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trlProps/ctrlProp51.xml" ContentType="application/vnd.ms-excel.controlproperties+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codeName="{E757BCB4-07E6-AE0B-56E0-F0EEF7A6E26C}"/>
  <workbookPr codeName="ThisWorkbook" defaultThemeVersion="166925"/>
  <mc:AlternateContent xmlns:mc="http://schemas.openxmlformats.org/markup-compatibility/2006">
    <mc:Choice Requires="x15">
      <x15ac:absPath xmlns:x15ac="http://schemas.microsoft.com/office/spreadsheetml/2010/11/ac" url="https://skgov-my.sharepoint.com/personal/mpalmari_gov_sk_ca/Documents/Desktop/"/>
    </mc:Choice>
  </mc:AlternateContent>
  <xr:revisionPtr revIDLastSave="19667" documentId="13_ncr:1_{03D06E81-9F53-4FBC-8812-15B3E28C79C9}" xr6:coauthVersionLast="47" xr6:coauthVersionMax="47" xr10:uidLastSave="{27308B5C-8B57-4010-99E9-2B185EB55A7C}"/>
  <workbookProtection workbookAlgorithmName="SHA-512" workbookHashValue="XKHd7m7XLQgpIqanmgYOBSCQUsUEL9z2E/Pk81m++PGN08xalPE+DV+iCc6vBtVtEaq4ODHSIhIBMAYHdGZKqw==" workbookSaltValue="NuNacusmc2J6i3EeoMUA4Q==" workbookSpinCount="100000" lockStructure="1"/>
  <bookViews>
    <workbookView xWindow="-120" yWindow="-120" windowWidth="29040" windowHeight="15840" tabRatio="743" xr2:uid="{7588D40E-E0D1-4925-ADD0-B2E44EDC1EBD}"/>
  </bookViews>
  <sheets>
    <sheet name="Instructions" sheetId="1" r:id="rId1"/>
    <sheet name="Facility Information" sheetId="2" r:id="rId2"/>
    <sheet name="Product Information" sheetId="3" state="hidden" r:id="rId3"/>
    <sheet name="Production Data" sheetId="4" state="hidden" r:id="rId4"/>
    <sheet name="Electricity Data" sheetId="11" state="hidden" r:id="rId5"/>
    <sheet name="Gas-to-Power Data" sheetId="6" state="hidden" r:id="rId6"/>
    <sheet name="Summary" sheetId="7" r:id="rId7"/>
    <sheet name="Declaration" sheetId="8" r:id="rId8"/>
    <sheet name="Appendix" sheetId="10" r:id="rId9"/>
    <sheet name="Developer" sheetId="9" state="veryHidden" r:id="rId10"/>
  </sheets>
  <definedNames>
    <definedName name="I.Declaration.Date" hidden="1">Declaration!$F$26</definedName>
    <definedName name="I.Declaration.Name" hidden="1">Declaration!$D$9</definedName>
    <definedName name="I.Developer.P1" hidden="1">Developer!$F$28940</definedName>
    <definedName name="I.Developer.P1C1" hidden="1">Developer!$F$28945</definedName>
    <definedName name="I.Developer.P1C1V2" hidden="1">Developer!$F$28949</definedName>
    <definedName name="I.Developer.P1C1V3" hidden="1">Developer!$F$28950</definedName>
    <definedName name="I.Developer.P1C1V4" hidden="1">Developer!$F$28951</definedName>
    <definedName name="I.Developer.P1C1V5" hidden="1">Developer!$F$28952</definedName>
    <definedName name="I.Developer.P1C1V6" hidden="1">Developer!$F$28953</definedName>
    <definedName name="I.Developer.P1C2" hidden="1">Developer!$F$28946</definedName>
    <definedName name="I.Developer.P1C3" hidden="1">Developer!$F$28947</definedName>
    <definedName name="I.Developer.P1C4" hidden="1">Developer!$F$28948</definedName>
    <definedName name="I.Developer.P2a" hidden="1">Developer!$F$28941</definedName>
    <definedName name="I.Developer.P2aC1" hidden="1">Developer!$F$28954</definedName>
    <definedName name="I.Developer.P2aC1V2" hidden="1">Developer!$F$28958</definedName>
    <definedName name="I.Developer.P2aC1V3" hidden="1">Developer!$F$28959</definedName>
    <definedName name="I.Developer.P2aC1V4" hidden="1">Developer!$F$28960</definedName>
    <definedName name="I.Developer.P2aC1V5" hidden="1">Developer!$F$28961</definedName>
    <definedName name="I.Developer.P2aC1V6" hidden="1">Developer!$F$28962</definedName>
    <definedName name="I.Developer.P2aC2" hidden="1">Developer!$F$28955</definedName>
    <definedName name="I.Developer.P2aC3" hidden="1">Developer!$F$28956</definedName>
    <definedName name="I.Developer.P2aC4" hidden="1">Developer!$F$28957</definedName>
    <definedName name="I.Developer.P2b" hidden="1">Developer!$F$28942</definedName>
    <definedName name="I.Developer.P2bC1" hidden="1">Developer!$F$28963</definedName>
    <definedName name="I.Developer.P2bC1V2" hidden="1">Developer!$F$28967</definedName>
    <definedName name="I.Developer.P2bC1V3" hidden="1">Developer!$F$28968</definedName>
    <definedName name="I.Developer.P2bC1V4" hidden="1">Developer!$F$28969</definedName>
    <definedName name="I.Developer.P2bC1V5" hidden="1">Developer!$F$28970</definedName>
    <definedName name="I.Developer.P2bC1V6" hidden="1">Developer!$F$28971</definedName>
    <definedName name="I.Developer.P2bC2" hidden="1">Developer!$F$28964</definedName>
    <definedName name="I.Developer.P2bC3" hidden="1">Developer!$F$28965</definedName>
    <definedName name="I.Developer.P2bC4" hidden="1">Developer!$F$28966</definedName>
    <definedName name="I.Developer.P3" hidden="1">Developer!$F$28943</definedName>
    <definedName name="I.Developer.P3C1" hidden="1">Developer!$F$28972</definedName>
    <definedName name="I.Developer.P3C1V2" hidden="1">Developer!$F$28976</definedName>
    <definedName name="I.Developer.P3C1V3" hidden="1">Developer!$F$28977</definedName>
    <definedName name="I.Developer.P3C1V4" hidden="1">Developer!$F$28978</definedName>
    <definedName name="I.Developer.P3C1V5" hidden="1">Developer!$F$28979</definedName>
    <definedName name="I.Developer.P3C1V6" hidden="1">Developer!$F$28980</definedName>
    <definedName name="I.Developer.P3C2" hidden="1">Developer!$F$28973</definedName>
    <definedName name="I.Developer.P3C3" hidden="1">Developer!$F$28974</definedName>
    <definedName name="I.Developer.P3C4" hidden="1">Developer!$F$28975</definedName>
    <definedName name="I.Developer.P4" hidden="1">Developer!$F$28944</definedName>
    <definedName name="I.Developer.P4C1" hidden="1">Developer!$F$28981</definedName>
    <definedName name="I.Developer.P4C1V2" hidden="1">Developer!$F$28985</definedName>
    <definedName name="I.Developer.P4C1V3" hidden="1">Developer!$F$28986</definedName>
    <definedName name="I.Developer.P4C1V4" hidden="1">Developer!$F$28987</definedName>
    <definedName name="I.Developer.P4C1V5" hidden="1">Developer!$F$28988</definedName>
    <definedName name="I.Developer.P4C1V6" hidden="1">Developer!$F$28989</definedName>
    <definedName name="I.Developer.P4C2" hidden="1">Developer!$F$28982</definedName>
    <definedName name="I.Developer.P4C3" hidden="1">Developer!$F$28983</definedName>
    <definedName name="I.Developer.P4C4" hidden="1">Developer!$F$28984</definedName>
    <definedName name="I.Electricity.P1C1" hidden="1">'Electricity Data'!$D$12:$D$20</definedName>
    <definedName name="I.Electricity.P1C2" hidden="1">'Electricity Data'!$D$24:$D$44</definedName>
    <definedName name="I.Electricity.P1C3" hidden="1">'Electricity Data'!$D$48:$D$52</definedName>
    <definedName name="I.Electricity.P1C4" hidden="1">'Electricity Data'!$D$58:$D$60</definedName>
    <definedName name="I.Electricity.P2aC1" hidden="1">'Electricity Data'!$D$66:$D$74</definedName>
    <definedName name="I.Electricity.P2aC2" hidden="1">'Electricity Data'!$D$78:$D$98</definedName>
    <definedName name="I.Electricity.P2aC3" hidden="1">'Electricity Data'!$D$102:$D$106</definedName>
    <definedName name="I.Electricity.P2aC4" hidden="1">'Electricity Data'!$D$112:$D$114</definedName>
    <definedName name="I.Electricity.P2bC1" hidden="1">'Electricity Data'!$D$120:$D$128</definedName>
    <definedName name="I.Electricity.P2bC2" hidden="1">'Electricity Data'!$D$132:$D$152</definedName>
    <definedName name="I.Electricity.P2bC3" hidden="1">'Electricity Data'!$D$156:$D$160</definedName>
    <definedName name="I.Electricity.P2bC4" hidden="1">'Electricity Data'!$D$166:$D$168</definedName>
    <definedName name="I.Electricity.P3C1" hidden="1">'Electricity Data'!$D$174:$D$182</definedName>
    <definedName name="I.Electricity.P3C2" hidden="1">'Electricity Data'!$D$186:$D$206</definedName>
    <definedName name="I.Electricity.P3C3" hidden="1">'Electricity Data'!$D$210:$D$214</definedName>
    <definedName name="I.Electricity.P3C4" hidden="1">'Electricity Data'!$D$220:$D$222</definedName>
    <definedName name="I.Electricity.P4C1" hidden="1">'Electricity Data'!$D$228:$D$236</definedName>
    <definedName name="I.Electricity.P4C2" hidden="1">'Electricity Data'!$D$240:$D$260</definedName>
    <definedName name="I.Electricity.P4C3" hidden="1">'Electricity Data'!$D$264:$D$268</definedName>
    <definedName name="I.Electricity.P4C4" hidden="1">'Electricity Data'!$D$274:$D$276</definedName>
    <definedName name="I.Facility.OBPSNumber" hidden="1">'Facility Information'!$C$10</definedName>
    <definedName name="I.Facility.Operator" hidden="1">'Facility Information'!$C$7</definedName>
    <definedName name="I.Facility.P1FacilityCount" hidden="1">'Facility Information'!$G$21</definedName>
    <definedName name="I.Facility.P1IDNumber" hidden="1">'Facility Information'!$D$29:$D$5028</definedName>
    <definedName name="I.Facility.P2aFacilityCount" hidden="1">'Facility Information'!$G$22</definedName>
    <definedName name="I.Facility.P2aIDNumber" hidden="1">'Facility Information'!$E$29:$E$5028</definedName>
    <definedName name="I.Facility.P2bFacilityCount" hidden="1">'Facility Information'!$G$23</definedName>
    <definedName name="I.Facility.P2bIDNumber" hidden="1">'Facility Information'!$F$29:$F$5028</definedName>
    <definedName name="I.Facility.P3FacilityCount" hidden="1">'Facility Information'!$G$24</definedName>
    <definedName name="I.Facility.P3IDNumber" hidden="1">'Facility Information'!$G$29:$G$5028</definedName>
    <definedName name="I.Facility.P4FacilityCount" hidden="1">'Facility Information'!$G$25</definedName>
    <definedName name="I.Facility.P4IDNumber" hidden="1">'Facility Information'!$H$29:$H$5028</definedName>
    <definedName name="I.Facility.StandardPart" hidden="1">'Facility Information'!$C$16</definedName>
    <definedName name="I.Gas.P1Y1AssociatedGasEnergy" hidden="1">'Gas-to-Power Data'!$D$20:$D$69</definedName>
    <definedName name="I.Gas.P1Y1C1E1" hidden="1">'Gas-to-Power Data'!$H$20:$H$69</definedName>
    <definedName name="I.Gas.P1Y1C1E2" hidden="1">'Gas-to-Power Data'!$I$20:$I$69</definedName>
    <definedName name="I.Gas.P1Y1C1E3" hidden="1">'Gas-to-Power Data'!$J$20:$J$69</definedName>
    <definedName name="I.Gas.P1Y1C1V1" hidden="1">'Gas-to-Power Data'!$G$20:$G$69</definedName>
    <definedName name="I.Gas.P1Y1Count" hidden="1">'Gas-to-Power Data'!$C$14</definedName>
    <definedName name="I.Gas.P1Y1ElectricityGeneration" hidden="1">'Gas-to-Power Data'!$F$20:$F$69</definedName>
    <definedName name="I.Gas.P1Y1TotalGasEnergy" hidden="1">'Gas-to-Power Data'!$E$20:$E$69</definedName>
    <definedName name="I.Gas.P1Y2AssociatedGasEnergy" hidden="1">'Gas-to-Power Data'!$D$81:$D$130</definedName>
    <definedName name="I.Gas.P1Y2C1E1" hidden="1">'Gas-to-Power Data'!$H$81:$H$130</definedName>
    <definedName name="I.Gas.P1Y2C1E2" hidden="1">'Gas-to-Power Data'!$I$81:$I$130</definedName>
    <definedName name="I.Gas.P1Y2C1E3" hidden="1">'Gas-to-Power Data'!$J$81:$J$130</definedName>
    <definedName name="I.Gas.P1Y2C1V1" hidden="1">'Gas-to-Power Data'!$G$81:$G$130</definedName>
    <definedName name="I.Gas.P1Y2Count" hidden="1">'Gas-to-Power Data'!$C$75</definedName>
    <definedName name="I.Gas.P1Y2ElectricityGeneration" hidden="1">'Gas-to-Power Data'!$F$81:$F$130</definedName>
    <definedName name="I.Gas.P1Y2TotalGasEnergy" hidden="1">'Gas-to-Power Data'!$E$81:$E$130</definedName>
    <definedName name="I.Gas.P2aY1AssociatedGasEnergy" hidden="1">'Gas-to-Power Data'!$D$144:$D$193</definedName>
    <definedName name="I.Gas.P2aY1C1E1" hidden="1">'Gas-to-Power Data'!$H$144:$H$193</definedName>
    <definedName name="I.Gas.P2aY1C1E2" hidden="1">'Gas-to-Power Data'!$I$144:$I$193</definedName>
    <definedName name="I.Gas.P2aY1C1E3" hidden="1">'Gas-to-Power Data'!$J$144:$J$193</definedName>
    <definedName name="I.Gas.P2aY1C1V1" hidden="1">'Gas-to-Power Data'!$G$144:$G$193</definedName>
    <definedName name="I.Gas.P2aY1Count" hidden="1">'Gas-to-Power Data'!$C$138</definedName>
    <definedName name="I.Gas.P2aY1ElectricityGeneration" hidden="1">'Gas-to-Power Data'!$F$144:$F$193</definedName>
    <definedName name="I.Gas.P2aY1TotalGasEnergy" hidden="1">'Gas-to-Power Data'!$E$144:$E$193</definedName>
    <definedName name="I.Gas.P2aY2AssociatedGasEnergy" hidden="1">'Gas-to-Power Data'!$D$205:$D$254</definedName>
    <definedName name="I.Gas.P2aY2C1E1" hidden="1">'Gas-to-Power Data'!$H$205:$H$254</definedName>
    <definedName name="I.Gas.P2aY2C1E2" hidden="1">'Gas-to-Power Data'!$I$205:$I$254</definedName>
    <definedName name="I.Gas.P2aY2C1E3" hidden="1">'Gas-to-Power Data'!$J$205:$J$254</definedName>
    <definedName name="I.Gas.P2aY2C1V1" hidden="1">'Gas-to-Power Data'!$G$205:$G$254</definedName>
    <definedName name="I.Gas.P2aY2Count" hidden="1">'Gas-to-Power Data'!$C$199</definedName>
    <definedName name="I.Gas.P2aY2ElectricityGeneration" hidden="1">'Gas-to-Power Data'!$F$205:$F$254</definedName>
    <definedName name="I.Gas.P2aY2TotalGasEnergy" hidden="1">'Gas-to-Power Data'!$E$205:$E$254</definedName>
    <definedName name="I.Gas.P2bY1AssociatedGasEnergy" hidden="1">'Gas-to-Power Data'!$D$268:$D$317</definedName>
    <definedName name="I.Gas.P2bY1C1E1" hidden="1">'Gas-to-Power Data'!$H$268:$H$317</definedName>
    <definedName name="I.Gas.P2bY1C1E2" hidden="1">'Gas-to-Power Data'!$I$268:$I$317</definedName>
    <definedName name="I.Gas.P2bY1C1E3" hidden="1">'Gas-to-Power Data'!$J$268:$J$317</definedName>
    <definedName name="I.Gas.P2bY1C1V1" hidden="1">'Gas-to-Power Data'!$G$268:$G$317</definedName>
    <definedName name="I.Gas.P2bY1Count" hidden="1">'Gas-to-Power Data'!$C$262</definedName>
    <definedName name="I.Gas.P2bY1ElectricityGeneration" hidden="1">'Gas-to-Power Data'!$F$268:$F$317</definedName>
    <definedName name="I.Gas.P2bY1TotalGasEnergy" hidden="1">'Gas-to-Power Data'!$E$268:$E$317</definedName>
    <definedName name="I.Gas.P2bY2AssociatedGasEnergy" hidden="1">'Gas-to-Power Data'!$D$329:$D$378</definedName>
    <definedName name="I.Gas.P2bY2C1E1" hidden="1">'Gas-to-Power Data'!$H$329:$H$378</definedName>
    <definedName name="I.Gas.P2bY2C1E2" hidden="1">'Gas-to-Power Data'!$I$329:$I$378</definedName>
    <definedName name="I.Gas.P2bY2C1E3" hidden="1">'Gas-to-Power Data'!$J$329:$J$378</definedName>
    <definedName name="I.Gas.P2bY2C1V1" hidden="1">'Gas-to-Power Data'!$G$329:$G$378</definedName>
    <definedName name="I.Gas.P2bY2Count" hidden="1">'Gas-to-Power Data'!$C$323</definedName>
    <definedName name="I.Gas.P2bY2ElectricityGeneration" hidden="1">'Gas-to-Power Data'!$F$329:$F$378</definedName>
    <definedName name="I.Gas.P2bY2TotalGasEnergy" hidden="1">'Gas-to-Power Data'!$E$329:$E$378</definedName>
    <definedName name="I.Gas.P3Y1AssociatedGasEnergy" hidden="1">'Gas-to-Power Data'!$D$392:$D$441</definedName>
    <definedName name="I.Gas.P3Y1C1E1" hidden="1">'Gas-to-Power Data'!$H$392:$H$441</definedName>
    <definedName name="I.Gas.P3Y1C1E2" hidden="1">'Gas-to-Power Data'!$I$392:$I$441</definedName>
    <definedName name="I.Gas.P3Y1C1E3" hidden="1">'Gas-to-Power Data'!$J$392:$J$441</definedName>
    <definedName name="I.Gas.P3Y1C1V1" hidden="1">'Gas-to-Power Data'!$G$392:$G$441</definedName>
    <definedName name="I.Gas.P3Y1Count" hidden="1">'Gas-to-Power Data'!$C$386</definedName>
    <definedName name="I.Gas.P3Y1ElectricityGeneration" hidden="1">'Gas-to-Power Data'!$F$392:$F$441</definedName>
    <definedName name="I.Gas.P3Y1TotalGasEnergy" hidden="1">'Gas-to-Power Data'!$E$392:$E$441</definedName>
    <definedName name="I.Gas.P3Y2AssociatedGasEnergy" hidden="1">'Gas-to-Power Data'!$D$453:$D$502</definedName>
    <definedName name="I.Gas.P3Y2C1E1" hidden="1">'Gas-to-Power Data'!$H$453:$H$502</definedName>
    <definedName name="I.Gas.P3Y2C1E2" hidden="1">'Gas-to-Power Data'!$I$453:$I$502</definedName>
    <definedName name="I.Gas.P3Y2C1E3" hidden="1">'Gas-to-Power Data'!$J$453:$J$502</definedName>
    <definedName name="I.Gas.P3Y2C1V1" hidden="1">'Gas-to-Power Data'!$G$453:$G$502</definedName>
    <definedName name="I.Gas.P3Y2Count" hidden="1">'Gas-to-Power Data'!$C$447</definedName>
    <definedName name="I.Gas.P3Y2ElectricityGeneration" hidden="1">'Gas-to-Power Data'!$F$453:$F$502</definedName>
    <definedName name="I.Gas.P3Y2TotalGasEnergy" hidden="1">'Gas-to-Power Data'!$E$453:$E$502</definedName>
    <definedName name="I.Gas.P4Y1AssociatedGasEnergy" hidden="1">'Gas-to-Power Data'!$D$516:$D$565</definedName>
    <definedName name="I.Gas.P4Y1C1E1" hidden="1">'Gas-to-Power Data'!$H$516:$H$565</definedName>
    <definedName name="I.Gas.P4Y1C1E2" hidden="1">'Gas-to-Power Data'!$I$516:$I$565</definedName>
    <definedName name="I.Gas.P4Y1C1E3" hidden="1">'Gas-to-Power Data'!$J$516:$J$565</definedName>
    <definedName name="I.Gas.P4Y1C1V1" hidden="1">'Gas-to-Power Data'!$G$516:$G$565</definedName>
    <definedName name="I.Gas.P4Y1Count" hidden="1">'Gas-to-Power Data'!$C$510</definedName>
    <definedName name="I.Gas.P4Y1ElectricityGeneration" hidden="1">'Gas-to-Power Data'!$F$516:$F$565</definedName>
    <definedName name="I.Gas.P4Y1TotalGasEnergy" hidden="1">'Gas-to-Power Data'!$E$516:$E$565</definedName>
    <definedName name="I.Gas.P4Y2AssociatedGasEnergy" hidden="1">'Gas-to-Power Data'!$D$577:$D$626</definedName>
    <definedName name="I.Gas.P4Y2C1E1" hidden="1">'Gas-to-Power Data'!$H$577:$H$626</definedName>
    <definedName name="I.Gas.P4Y2C1E2" hidden="1">'Gas-to-Power Data'!$I$577:$I$626</definedName>
    <definedName name="I.Gas.P4Y2C1E3" hidden="1">'Gas-to-Power Data'!$J$577:$J$626</definedName>
    <definedName name="I.Gas.P4Y2C1V1" hidden="1">'Gas-to-Power Data'!$G$577:$G$626</definedName>
    <definedName name="I.Gas.P4Y2Count" hidden="1">'Gas-to-Power Data'!$C$571</definedName>
    <definedName name="I.Gas.P4Y2ElectricityGeneration" hidden="1">'Gas-to-Power Data'!$F$577:$F$626</definedName>
    <definedName name="I.Gas.P4Y2TotalGasEnergy" hidden="1">'Gas-to-Power Data'!$E$577:$E$626</definedName>
    <definedName name="I.Product.P1BaselineYear" hidden="1">'Product Information'!$C$21</definedName>
    <definedName name="I.Product.P1Electricity" hidden="1">'Product Information'!$C$24</definedName>
    <definedName name="I.Product.P1GasToPower" hidden="1">'Product Information'!$C$27</definedName>
    <definedName name="I.Product.P1GasToPowerBaselineYear" hidden="1">'Product Information'!$C$33</definedName>
    <definedName name="I.Product.P1GasToPowerStatus" hidden="1">'Product Information'!$C$30</definedName>
    <definedName name="I.Product.P2aBaselineYear" hidden="1">'Product Information'!$C$51</definedName>
    <definedName name="I.Product.P2aElectricity" hidden="1">'Product Information'!$C$54</definedName>
    <definedName name="I.Product.P2aGasToPower" hidden="1">'Product Information'!$C$57</definedName>
    <definedName name="I.Product.P2aGasToPowerBaselineYear" hidden="1">'Product Information'!$C$63</definedName>
    <definedName name="I.Product.P2aGasToPowerStatus" hidden="1">'Product Information'!$C$60</definedName>
    <definedName name="I.Product.P2bBaselineYear" hidden="1">'Product Information'!$C$81</definedName>
    <definedName name="I.Product.P2bElectricity" hidden="1">'Product Information'!$C$84</definedName>
    <definedName name="I.Product.P2bGasToPower" hidden="1">'Product Information'!$C$87</definedName>
    <definedName name="I.Product.P2bGasToPowerBaselineYear" hidden="1">'Product Information'!$C$93</definedName>
    <definedName name="I.Product.P2bGasToPowerStatus" hidden="1">'Product Information'!$C$90</definedName>
    <definedName name="I.Product.P3BaselineYear" hidden="1">'Product Information'!$C$111</definedName>
    <definedName name="I.Product.P3Electricity" hidden="1">'Product Information'!$C$114</definedName>
    <definedName name="I.Product.P3GasToPower" hidden="1">'Product Information'!$C$117</definedName>
    <definedName name="I.Product.P3GasToPowerBaselineYear" hidden="1">'Product Information'!$C$123</definedName>
    <definedName name="I.Product.P3GasToPowerStatus" hidden="1">'Product Information'!$C$120</definedName>
    <definedName name="I.Product.P4BaselineYear" hidden="1">'Product Information'!$C$141</definedName>
    <definedName name="I.Product.P4Electricity" hidden="1">'Product Information'!$C$144</definedName>
    <definedName name="I.Product.P4GasToPower" hidden="1">'Product Information'!$C$147</definedName>
    <definedName name="I.Product.P4GasToPowerBaselineYear" hidden="1">'Product Information'!$C$153</definedName>
    <definedName name="I.Product.P4GasToPowerStatus" hidden="1">'Product Information'!$C$150</definedName>
    <definedName name="I.Production.P1C1" hidden="1">'Production Data'!$D$13:$D$21</definedName>
    <definedName name="I.Production.P1C2" hidden="1">'Production Data'!$D$25:$D$45</definedName>
    <definedName name="I.Production.P1C3" hidden="1">'Production Data'!$D$49:$D$53</definedName>
    <definedName name="I.Production.P1C4" hidden="1">'Production Data'!$D$59:$D$61</definedName>
    <definedName name="I.Production.P1Quantity" hidden="1">'Production Data'!$D$9</definedName>
    <definedName name="I.Production.P2aC1" hidden="1">'Production Data'!$D$71:$D$79</definedName>
    <definedName name="I.Production.P2aC2" hidden="1">'Production Data'!$D$83:$D$103</definedName>
    <definedName name="I.Production.P2aC3" hidden="1">'Production Data'!$D$107:$D$111</definedName>
    <definedName name="I.Production.P2aC4" hidden="1">'Production Data'!$D$117:$D$119</definedName>
    <definedName name="I.Production.P2aQuantity" hidden="1">'Production Data'!$D$67</definedName>
    <definedName name="I.Production.P2bC1" hidden="1">'Production Data'!$D$129:$D$137</definedName>
    <definedName name="I.Production.P2bC2" hidden="1">'Production Data'!$D$141:$D$161</definedName>
    <definedName name="I.Production.P2bC3" hidden="1">'Production Data'!$D$165:$D$169</definedName>
    <definedName name="I.Production.P2bC4" hidden="1">'Production Data'!$D$175:$D$177</definedName>
    <definedName name="I.Production.P2bQuantity" hidden="1">'Production Data'!$D$125</definedName>
    <definedName name="I.Production.P3C1" hidden="1">'Production Data'!$D$187:$D$195</definedName>
    <definedName name="I.Production.P3C2" hidden="1">'Production Data'!$D$199:$D$219</definedName>
    <definedName name="I.Production.P3C3" hidden="1">'Production Data'!$D$223:$D$227</definedName>
    <definedName name="I.Production.P3C4" hidden="1">'Production Data'!$D$233:$D$235</definedName>
    <definedName name="I.Production.P3Quantity" hidden="1">'Production Data'!$D$183</definedName>
    <definedName name="I.Production.P4C1" hidden="1">'Production Data'!$D$245:$D$253</definedName>
    <definedName name="I.Production.P4C2" hidden="1">'Production Data'!$D$257:$D$277</definedName>
    <definedName name="I.Production.P4C3" hidden="1">'Production Data'!$D$281:$D$285</definedName>
    <definedName name="I.Production.P4C4" hidden="1">'Production Data'!$D$291:$D$293</definedName>
    <definedName name="I.Production.P4Quantity" hidden="1">'Production Data'!$D$241</definedName>
    <definedName name="R.Appendix.PrintArea" hidden="1">Appendix!$B$1:$F$25</definedName>
    <definedName name="R.Declaration.PrintArea" hidden="1">Declaration!$B$1:$G$35</definedName>
    <definedName name="R.Declaration.Timestamp" hidden="1">Declaration!$C$29</definedName>
    <definedName name="R.Electricity.PrintArea" hidden="1">'Electricity Data'!$B$1:$F$284</definedName>
    <definedName name="R.Electricity.Timestamp" hidden="1">'Electricity Data'!$C$278</definedName>
    <definedName name="R.Facility.PrintArea" hidden="1">'Facility Information'!$B$1:$I$5036</definedName>
    <definedName name="R.Facility.Timestamp" hidden="1">'Facility Information'!$C$5030</definedName>
    <definedName name="R.Gas.PrintArea" hidden="1">'Gas-to-Power Data'!$B$1:$K$634</definedName>
    <definedName name="R.Gas.Timestamp" hidden="1">'Gas-to-Power Data'!$C$628</definedName>
    <definedName name="R.Instructions.PrintArea" hidden="1">Instructions!$B$1:$F$65</definedName>
    <definedName name="R.Instructions.VersionDate" hidden="1">Instructions!$E$65</definedName>
    <definedName name="R.Instructions.VersionNumber" hidden="1">Instructions!$C$65</definedName>
    <definedName name="R.Product.PrintArea" hidden="1">'Product Information'!$B$1:$F$161</definedName>
    <definedName name="R.Product.Timestamp" hidden="1">'Product Information'!$C$155</definedName>
    <definedName name="R.Production.PrintArea" hidden="1">'Production Data'!$B$1:$F$301</definedName>
    <definedName name="R.Production.Timestamp" hidden="1">'Production Data'!$C$295</definedName>
    <definedName name="R.Summary.PrintArea" hidden="1">Summary!$B$1:$F$212</definedName>
    <definedName name="S.Developer.Inputs" hidden="1">Developer!$B$4:$I$28989</definedName>
    <definedName name="S.Developer.LastEntry" hidden="1">Developer!$E$4:$E$28989</definedName>
    <definedName name="S.Developer.Ranges" hidden="1">Developer!$N$4:$Q$20</definedName>
    <definedName name="S.Developer.Sections" hidden="1">Developer!$K$4:$L$92</definedName>
    <definedName name="S.Electricity.P1" hidden="1">'Electricity Data'!$B$8:$F$61</definedName>
    <definedName name="S.Electricity.P1C1" hidden="1">'Electricity Data'!$B$10:$F$21</definedName>
    <definedName name="S.Electricity.P1C2" hidden="1">'Electricity Data'!$B$22:$F$45</definedName>
    <definedName name="S.Electricity.P1C3" hidden="1">'Electricity Data'!$B$46:$F$55</definedName>
    <definedName name="S.Electricity.P1C4" hidden="1">'Electricity Data'!$B$56:$F$61</definedName>
    <definedName name="S.Electricity.P2a" hidden="1">'Electricity Data'!$B$62:$F$115</definedName>
    <definedName name="S.Electricity.P2aC1" hidden="1">'Electricity Data'!$B$64:$F$75</definedName>
    <definedName name="S.Electricity.P2aC2" hidden="1">'Electricity Data'!$B$76:$F$99</definedName>
    <definedName name="S.Electricity.P2aC3" hidden="1">'Electricity Data'!$B$100:$F$109</definedName>
    <definedName name="S.Electricity.P2aC4" hidden="1">'Electricity Data'!$B$110:$F$115</definedName>
    <definedName name="S.Electricity.P2b" hidden="1">'Electricity Data'!$B$116:$F$169</definedName>
    <definedName name="S.Electricity.P2bC1" hidden="1">'Electricity Data'!$B$118:$F$129</definedName>
    <definedName name="S.Electricity.P2bC2" hidden="1">'Electricity Data'!$B$130:$F$153</definedName>
    <definedName name="S.Electricity.P2bC3" hidden="1">'Electricity Data'!$B$154:$F$163</definedName>
    <definedName name="S.Electricity.P2bC4" hidden="1">'Electricity Data'!$B$164:$F$169</definedName>
    <definedName name="S.Electricity.P3" hidden="1">'Electricity Data'!$B$170:$F$223</definedName>
    <definedName name="S.Electricity.P3C1" hidden="1">'Electricity Data'!$B$172:$F$183</definedName>
    <definedName name="S.Electricity.P3C2" hidden="1">'Electricity Data'!$B$184:$F$207</definedName>
    <definedName name="S.Electricity.P3C3" hidden="1">'Electricity Data'!$B$208:$F$217</definedName>
    <definedName name="S.Electricity.P3C4" hidden="1">'Electricity Data'!$B$218:$F$223</definedName>
    <definedName name="S.Electricity.P4" hidden="1">'Electricity Data'!$B$224:$F$277</definedName>
    <definedName name="S.Electricity.P4C1" hidden="1">'Electricity Data'!$B$226:$F$237</definedName>
    <definedName name="S.Electricity.P4C2" hidden="1">'Electricity Data'!$B$238:$F$261</definedName>
    <definedName name="S.Electricity.P4C3" hidden="1">'Electricity Data'!$B$262:$F$271</definedName>
    <definedName name="S.Electricity.P4C4" hidden="1">'Electricity Data'!$B$272:$F$277</definedName>
    <definedName name="S.Gas.P1" hidden="1">'Gas-to-Power Data'!$B$8:$K$131</definedName>
    <definedName name="S.Gas.P2a" hidden="1">'Gas-to-Power Data'!$B$132:$K$255</definedName>
    <definedName name="S.Gas.P2b" hidden="1">'Gas-to-Power Data'!$B$256:$K$379</definedName>
    <definedName name="S.Gas.P3" hidden="1">'Gas-to-Power Data'!$B$380:$K$503</definedName>
    <definedName name="S.Gas.P4" hidden="1">'Gas-to-Power Data'!$B$504:$K$627</definedName>
    <definedName name="S.Gas.TableP1Y1" hidden="1">'Gas-to-Power Data'!$D$20:$J$69</definedName>
    <definedName name="S.Gas.TableP1Y2" hidden="1">'Gas-to-Power Data'!$D$81:$J$130</definedName>
    <definedName name="S.Gas.TableP2aY1" hidden="1">'Gas-to-Power Data'!$D$144:$J$193</definedName>
    <definedName name="S.Gas.TableP2aY2" hidden="1">'Gas-to-Power Data'!$D$205:$J$254</definedName>
    <definedName name="S.Gas.TableP2bY1" hidden="1">'Gas-to-Power Data'!$D$268:$J$317</definedName>
    <definedName name="S.Gas.TableP2bY2" hidden="1">'Gas-to-Power Data'!$D$329:$J$378</definedName>
    <definedName name="S.Gas.TableP3Y1" hidden="1">'Gas-to-Power Data'!$D$392:$J$441</definedName>
    <definedName name="S.Gas.TableP3Y2" hidden="1">'Gas-to-Power Data'!$D$453:$J$502</definedName>
    <definedName name="S.Gas.TableP4Y1" hidden="1">'Gas-to-Power Data'!$D$516:$J$565</definedName>
    <definedName name="S.Gas.TableP4Y2" hidden="1">'Gas-to-Power Data'!$D$577:$J$626</definedName>
    <definedName name="S.Product.P1" hidden="1">'Product Information'!$B$5:$F$34</definedName>
    <definedName name="S.Product.P1FuelTypes" hidden="1">'Product Information'!$B$13:$F$19</definedName>
    <definedName name="S.Product.P2a" hidden="1">'Product Information'!$B$35:$F$64</definedName>
    <definedName name="S.Product.P2aFuelTypes" hidden="1">'Product Information'!$B$43:$F$49</definedName>
    <definedName name="S.Product.P2b" hidden="1">'Product Information'!$B$65:$F$94</definedName>
    <definedName name="S.Product.P2bFuelTypes" hidden="1">'Product Information'!$B$73:$F$79</definedName>
    <definedName name="S.Product.P3" hidden="1">'Product Information'!$B$95:$F$124</definedName>
    <definedName name="S.Product.P3FuelTypes" hidden="1">'Product Information'!$B$103:$F$109</definedName>
    <definedName name="S.Product.P4" hidden="1">'Product Information'!$B$125:$F$154</definedName>
    <definedName name="S.Product.P4FuelTypes" hidden="1">'Product Information'!$B$133:$F$139</definedName>
    <definedName name="S.Production.P1" hidden="1">'Production Data'!$B$5:$F$62</definedName>
    <definedName name="S.Production.P1C1" hidden="1">'Production Data'!$B$11:$F$22</definedName>
    <definedName name="S.Production.P1C2" hidden="1">'Production Data'!$B$23:$F$46</definedName>
    <definedName name="S.Production.P1C3" hidden="1">'Production Data'!$B$47:$F$56</definedName>
    <definedName name="S.Production.P1C4" hidden="1">'Production Data'!$B$57:$F$62</definedName>
    <definedName name="S.Production.P2a" hidden="1">'Production Data'!$B$63:$F$120</definedName>
    <definedName name="S.Production.P2aC1" hidden="1">'Production Data'!$B$69:$F$80</definedName>
    <definedName name="S.Production.P2aC2" hidden="1">'Production Data'!$B$81:$F$104</definedName>
    <definedName name="S.Production.P2aC3" hidden="1">'Production Data'!$B$105:$F$114</definedName>
    <definedName name="S.Production.P2aC4" hidden="1">'Production Data'!$B$115:$F$120</definedName>
    <definedName name="S.Production.P2b" hidden="1">'Production Data'!$B$121:$F$178</definedName>
    <definedName name="S.Production.P2bC1" hidden="1">'Production Data'!$B$127:$F$138</definedName>
    <definedName name="S.Production.P2bC2" hidden="1">'Production Data'!$B$139:$F$162</definedName>
    <definedName name="S.Production.P2bC3" hidden="1">'Production Data'!$B$163:$F$172</definedName>
    <definedName name="S.Production.P2bC4" hidden="1">'Production Data'!$B$173:$F$178</definedName>
    <definedName name="S.Production.P3" hidden="1">'Production Data'!$B$179:$F$236</definedName>
    <definedName name="S.Production.P3C1" hidden="1">'Production Data'!$B$185:$F$196</definedName>
    <definedName name="S.Production.P3C2" hidden="1">'Production Data'!$B$197:$F$220</definedName>
    <definedName name="S.Production.P3C3" hidden="1">'Production Data'!$B$221:$F$230</definedName>
    <definedName name="S.Production.P3C4" hidden="1">'Production Data'!$B$231:$F$236</definedName>
    <definedName name="S.Production.P4" hidden="1">'Production Data'!$B$237:$F$294</definedName>
    <definedName name="S.Production.P4C1" hidden="1">'Production Data'!$B$243:$F$254</definedName>
    <definedName name="S.Production.P4C2" hidden="1">'Production Data'!$B$255:$F$278</definedName>
    <definedName name="S.Production.P4C3" hidden="1">'Production Data'!$B$279:$F$288</definedName>
    <definedName name="S.Production.P4C4" hidden="1">'Production Data'!$B$289:$F$294</definedName>
    <definedName name="S.Summary.P1" hidden="1">Summary!$B$22:$F$59</definedName>
    <definedName name="S.Summary.P1GasToPower" hidden="1">Summary!$B$38:$F$59</definedName>
    <definedName name="S.Summary.P2a" hidden="1">Summary!$B$60:$F$97</definedName>
    <definedName name="S.Summary.P2aGasToPower" hidden="1">Summary!$B$76:$F$97</definedName>
    <definedName name="S.Summary.P2b" hidden="1">Summary!$B$98:$F$135</definedName>
    <definedName name="S.Summary.P2bGasToPower" hidden="1">Summary!$B$114:$F$135</definedName>
    <definedName name="S.Summary.P3" hidden="1">Summary!$B$136:$F$173</definedName>
    <definedName name="S.Summary.P3GasToPower" hidden="1">Summary!$B$152:$F$173</definedName>
    <definedName name="S.Summary.P4" hidden="1">Summary!$B$174:$F$211</definedName>
    <definedName name="S.Summary.P4GasToPower" hidden="1">Summary!$B$190:$F$211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02" i="7" l="1"/>
  <c r="D203" i="7" s="1"/>
  <c r="D204" i="7" s="1"/>
  <c r="D201" i="7" a="1"/>
  <c r="D201" i="7" s="1"/>
  <c r="D196" i="7"/>
  <c r="D208" i="7" s="1"/>
  <c r="D195" i="7"/>
  <c r="D194" i="7" a="1"/>
  <c r="D194" i="7" s="1"/>
  <c r="D209" i="7" s="1"/>
  <c r="D180" i="7"/>
  <c r="D179" i="7"/>
  <c r="D181" i="7" s="1"/>
  <c r="D178" i="7"/>
  <c r="D187" i="7" s="1"/>
  <c r="D164" i="7"/>
  <c r="D165" i="7" s="1"/>
  <c r="D166" i="7" s="1"/>
  <c r="D163" i="7" a="1"/>
  <c r="D163" i="7" s="1"/>
  <c r="D157" i="7"/>
  <c r="D158" i="7" s="1"/>
  <c r="D156" i="7" a="1"/>
  <c r="D156" i="7" s="1"/>
  <c r="D171" i="7" s="1"/>
  <c r="D142" i="7"/>
  <c r="D141" i="7"/>
  <c r="D140" i="7"/>
  <c r="D149" i="7" s="1"/>
  <c r="D126" i="7"/>
  <c r="D127" i="7" s="1"/>
  <c r="D128" i="7" s="1"/>
  <c r="D125" i="7" a="1"/>
  <c r="D125" i="7" s="1"/>
  <c r="D119" i="7"/>
  <c r="D120" i="7" s="1"/>
  <c r="D118" i="7" a="1"/>
  <c r="D118" i="7" s="1"/>
  <c r="D133" i="7" s="1"/>
  <c r="D111" i="7"/>
  <c r="D104" i="7"/>
  <c r="D105" i="7" s="1"/>
  <c r="D103" i="7"/>
  <c r="D102" i="7"/>
  <c r="D88" i="7"/>
  <c r="D89" i="7" s="1"/>
  <c r="D90" i="7" s="1"/>
  <c r="D87" i="7" a="1"/>
  <c r="D87" i="7" s="1"/>
  <c r="D81" i="7"/>
  <c r="D82" i="7" s="1"/>
  <c r="D80" i="7" a="1"/>
  <c r="D80" i="7" s="1"/>
  <c r="D95" i="7" s="1"/>
  <c r="D66" i="7"/>
  <c r="D65" i="7"/>
  <c r="D67" i="7" s="1"/>
  <c r="D64" i="7"/>
  <c r="D73" i="7" s="1"/>
  <c r="D50" i="7"/>
  <c r="D51" i="7" s="1"/>
  <c r="D52" i="7" s="1"/>
  <c r="D49" i="7" a="1"/>
  <c r="D49" i="7" s="1"/>
  <c r="D43" i="7"/>
  <c r="D44" i="7" s="1"/>
  <c r="D42" i="7" a="1"/>
  <c r="D42" i="7" s="1"/>
  <c r="D57" i="7" s="1"/>
  <c r="D35" i="7"/>
  <c r="D28" i="7"/>
  <c r="D27" i="7"/>
  <c r="D26" i="7"/>
  <c r="P5" i="9"/>
  <c r="P6" i="9"/>
  <c r="P8" i="9"/>
  <c r="P10" i="9"/>
  <c r="P12" i="9"/>
  <c r="P14" i="9"/>
  <c r="P16" i="9"/>
  <c r="P19" i="9"/>
  <c r="F4" i="9"/>
  <c r="H4" i="9"/>
  <c r="F5" i="9"/>
  <c r="H5" i="9"/>
  <c r="F6" i="9"/>
  <c r="H6" i="9"/>
  <c r="H7" i="9"/>
  <c r="F8" i="9"/>
  <c r="H8" i="9"/>
  <c r="F9" i="9"/>
  <c r="H9" i="9"/>
  <c r="F10" i="9"/>
  <c r="H10" i="9"/>
  <c r="F11" i="9"/>
  <c r="H11" i="9"/>
  <c r="F12" i="9"/>
  <c r="H12" i="9"/>
  <c r="F13" i="9"/>
  <c r="H13" i="9" s="1"/>
  <c r="F14" i="9"/>
  <c r="H14" i="9" s="1"/>
  <c r="F15" i="9"/>
  <c r="H15" i="9" s="1"/>
  <c r="F16" i="9"/>
  <c r="H16" i="9" s="1"/>
  <c r="F17" i="9"/>
  <c r="H17" i="9" s="1"/>
  <c r="F18" i="9"/>
  <c r="H18" i="9" s="1"/>
  <c r="F19" i="9"/>
  <c r="H19" i="9" s="1"/>
  <c r="F20" i="9"/>
  <c r="H20" i="9" s="1"/>
  <c r="F21" i="9"/>
  <c r="H21" i="9" s="1"/>
  <c r="F22" i="9"/>
  <c r="H22" i="9" s="1"/>
  <c r="F23" i="9"/>
  <c r="H23" i="9" s="1"/>
  <c r="F24" i="9"/>
  <c r="H24" i="9" s="1"/>
  <c r="F25" i="9"/>
  <c r="H25" i="9" s="1"/>
  <c r="F26" i="9"/>
  <c r="H26" i="9" s="1"/>
  <c r="F27" i="9"/>
  <c r="H27" i="9" s="1"/>
  <c r="F28" i="9"/>
  <c r="H28" i="9" s="1"/>
  <c r="F29" i="9"/>
  <c r="H29" i="9" s="1"/>
  <c r="F30" i="9"/>
  <c r="H30" i="9" s="1"/>
  <c r="F31" i="9"/>
  <c r="H31" i="9" s="1"/>
  <c r="F32" i="9"/>
  <c r="H32" i="9" s="1"/>
  <c r="F33" i="9"/>
  <c r="H33" i="9" s="1"/>
  <c r="F34" i="9"/>
  <c r="H34" i="9" s="1"/>
  <c r="F35" i="9"/>
  <c r="H35" i="9" s="1"/>
  <c r="F36" i="9"/>
  <c r="H36" i="9" s="1"/>
  <c r="F37" i="9"/>
  <c r="H37" i="9" s="1"/>
  <c r="F38" i="9"/>
  <c r="H38" i="9" s="1"/>
  <c r="F39" i="9"/>
  <c r="H39" i="9" s="1"/>
  <c r="F40" i="9"/>
  <c r="H40" i="9" s="1"/>
  <c r="F41" i="9"/>
  <c r="H41" i="9" s="1"/>
  <c r="F42" i="9"/>
  <c r="H42" i="9" s="1"/>
  <c r="F43" i="9"/>
  <c r="H43" i="9" s="1"/>
  <c r="F44" i="9"/>
  <c r="H44" i="9" s="1"/>
  <c r="F45" i="9"/>
  <c r="H45" i="9" s="1"/>
  <c r="F46" i="9"/>
  <c r="H46" i="9" s="1"/>
  <c r="F47" i="9"/>
  <c r="H47" i="9" s="1"/>
  <c r="F48" i="9"/>
  <c r="H48" i="9" s="1"/>
  <c r="F49" i="9"/>
  <c r="H49" i="9" s="1"/>
  <c r="F50" i="9"/>
  <c r="H50" i="9" s="1"/>
  <c r="F51" i="9"/>
  <c r="H51" i="9" s="1"/>
  <c r="F52" i="9"/>
  <c r="H52" i="9" s="1"/>
  <c r="F53" i="9"/>
  <c r="H53" i="9" s="1"/>
  <c r="F54" i="9"/>
  <c r="H54" i="9" s="1"/>
  <c r="F55" i="9"/>
  <c r="H55" i="9" s="1"/>
  <c r="F56" i="9"/>
  <c r="H56" i="9" s="1"/>
  <c r="F57" i="9"/>
  <c r="H57" i="9" s="1"/>
  <c r="F58" i="9"/>
  <c r="H58" i="9" s="1"/>
  <c r="F59" i="9"/>
  <c r="H59" i="9" s="1"/>
  <c r="F60" i="9"/>
  <c r="H60" i="9" s="1"/>
  <c r="F61" i="9"/>
  <c r="H61" i="9" s="1"/>
  <c r="F62" i="9"/>
  <c r="H62" i="9" s="1"/>
  <c r="F63" i="9"/>
  <c r="H63" i="9" s="1"/>
  <c r="F64" i="9"/>
  <c r="H64" i="9" s="1"/>
  <c r="F65" i="9"/>
  <c r="H65" i="9" s="1"/>
  <c r="F66" i="9"/>
  <c r="H66" i="9" s="1"/>
  <c r="F67" i="9"/>
  <c r="H67" i="9" s="1"/>
  <c r="F68" i="9"/>
  <c r="H68" i="9" s="1"/>
  <c r="F69" i="9"/>
  <c r="H69" i="9" s="1"/>
  <c r="F70" i="9"/>
  <c r="H70" i="9" s="1"/>
  <c r="F71" i="9"/>
  <c r="H71" i="9" s="1"/>
  <c r="F72" i="9"/>
  <c r="H72" i="9" s="1"/>
  <c r="F73" i="9"/>
  <c r="H73" i="9" s="1"/>
  <c r="F74" i="9"/>
  <c r="H74" i="9" s="1"/>
  <c r="F75" i="9"/>
  <c r="H75" i="9" s="1"/>
  <c r="F76" i="9"/>
  <c r="H76" i="9" s="1"/>
  <c r="F77" i="9"/>
  <c r="H77" i="9" s="1"/>
  <c r="F78" i="9"/>
  <c r="H78" i="9" s="1"/>
  <c r="F79" i="9"/>
  <c r="H79" i="9" s="1"/>
  <c r="F80" i="9"/>
  <c r="H80" i="9" s="1"/>
  <c r="F81" i="9"/>
  <c r="H81" i="9" s="1"/>
  <c r="F82" i="9"/>
  <c r="H82" i="9" s="1"/>
  <c r="F83" i="9"/>
  <c r="H83" i="9" s="1"/>
  <c r="F84" i="9"/>
  <c r="H84" i="9" s="1"/>
  <c r="F85" i="9"/>
  <c r="H85" i="9" s="1"/>
  <c r="F86" i="9"/>
  <c r="H86" i="9" s="1"/>
  <c r="F87" i="9"/>
  <c r="H87" i="9" s="1"/>
  <c r="F88" i="9"/>
  <c r="H88" i="9" s="1"/>
  <c r="F89" i="9"/>
  <c r="H89" i="9" s="1"/>
  <c r="F90" i="9"/>
  <c r="H90" i="9" s="1"/>
  <c r="F91" i="9"/>
  <c r="H91" i="9" s="1"/>
  <c r="F92" i="9"/>
  <c r="H92" i="9" s="1"/>
  <c r="F93" i="9"/>
  <c r="H93" i="9" s="1"/>
  <c r="F94" i="9"/>
  <c r="H94" i="9" s="1"/>
  <c r="F95" i="9"/>
  <c r="H95" i="9" s="1"/>
  <c r="F96" i="9"/>
  <c r="H96" i="9" s="1"/>
  <c r="F97" i="9"/>
  <c r="H97" i="9" s="1"/>
  <c r="F98" i="9"/>
  <c r="H98" i="9" s="1"/>
  <c r="F99" i="9"/>
  <c r="H99" i="9" s="1"/>
  <c r="F100" i="9"/>
  <c r="H100" i="9" s="1"/>
  <c r="F101" i="9"/>
  <c r="H101" i="9" s="1"/>
  <c r="F102" i="9"/>
  <c r="H102" i="9" s="1"/>
  <c r="F103" i="9"/>
  <c r="H103" i="9" s="1"/>
  <c r="F104" i="9"/>
  <c r="H104" i="9" s="1"/>
  <c r="F105" i="9"/>
  <c r="H105" i="9" s="1"/>
  <c r="F106" i="9"/>
  <c r="H106" i="9" s="1"/>
  <c r="F107" i="9"/>
  <c r="H107" i="9" s="1"/>
  <c r="F108" i="9"/>
  <c r="H108" i="9" s="1"/>
  <c r="F109" i="9"/>
  <c r="H109" i="9" s="1"/>
  <c r="F110" i="9"/>
  <c r="H110" i="9" s="1"/>
  <c r="F111" i="9"/>
  <c r="H111" i="9"/>
  <c r="F112" i="9"/>
  <c r="H112" i="9" s="1"/>
  <c r="F113" i="9"/>
  <c r="H113" i="9" s="1"/>
  <c r="F114" i="9"/>
  <c r="H114" i="9" s="1"/>
  <c r="F115" i="9"/>
  <c r="H115" i="9" s="1"/>
  <c r="F116" i="9"/>
  <c r="H116" i="9" s="1"/>
  <c r="F117" i="9"/>
  <c r="H117" i="9" s="1"/>
  <c r="F118" i="9"/>
  <c r="H118" i="9" s="1"/>
  <c r="F119" i="9"/>
  <c r="H119" i="9" s="1"/>
  <c r="F120" i="9"/>
  <c r="H120" i="9" s="1"/>
  <c r="F121" i="9"/>
  <c r="H121" i="9" s="1"/>
  <c r="F122" i="9"/>
  <c r="H122" i="9" s="1"/>
  <c r="F123" i="9"/>
  <c r="H123" i="9" s="1"/>
  <c r="F124" i="9"/>
  <c r="H124" i="9" s="1"/>
  <c r="F125" i="9"/>
  <c r="H125" i="9" s="1"/>
  <c r="F126" i="9"/>
  <c r="H126" i="9" s="1"/>
  <c r="F127" i="9"/>
  <c r="H127" i="9" s="1"/>
  <c r="F128" i="9"/>
  <c r="H128" i="9" s="1"/>
  <c r="F129" i="9"/>
  <c r="H129" i="9"/>
  <c r="F130" i="9"/>
  <c r="H130" i="9" s="1"/>
  <c r="F131" i="9"/>
  <c r="H131" i="9" s="1"/>
  <c r="F132" i="9"/>
  <c r="H132" i="9" s="1"/>
  <c r="F133" i="9"/>
  <c r="H133" i="9" s="1"/>
  <c r="F134" i="9"/>
  <c r="H134" i="9" s="1"/>
  <c r="F135" i="9"/>
  <c r="H135" i="9" s="1"/>
  <c r="F136" i="9"/>
  <c r="H136" i="9" s="1"/>
  <c r="F137" i="9"/>
  <c r="H137" i="9" s="1"/>
  <c r="F138" i="9"/>
  <c r="H138" i="9" s="1"/>
  <c r="F139" i="9"/>
  <c r="H139" i="9" s="1"/>
  <c r="F140" i="9"/>
  <c r="H140" i="9" s="1"/>
  <c r="F141" i="9"/>
  <c r="H141" i="9" s="1"/>
  <c r="F142" i="9"/>
  <c r="H142" i="9" s="1"/>
  <c r="F143" i="9"/>
  <c r="H143" i="9" s="1"/>
  <c r="F144" i="9"/>
  <c r="H144" i="9" s="1"/>
  <c r="F145" i="9"/>
  <c r="H145" i="9" s="1"/>
  <c r="F146" i="9"/>
  <c r="H146" i="9" s="1"/>
  <c r="F147" i="9"/>
  <c r="H147" i="9" s="1"/>
  <c r="F148" i="9"/>
  <c r="H148" i="9" s="1"/>
  <c r="F149" i="9"/>
  <c r="H149" i="9" s="1"/>
  <c r="F150" i="9"/>
  <c r="H150" i="9" s="1"/>
  <c r="F151" i="9"/>
  <c r="H151" i="9" s="1"/>
  <c r="F152" i="9"/>
  <c r="H152" i="9" s="1"/>
  <c r="F153" i="9"/>
  <c r="H153" i="9" s="1"/>
  <c r="F154" i="9"/>
  <c r="H154" i="9" s="1"/>
  <c r="F155" i="9"/>
  <c r="H155" i="9" s="1"/>
  <c r="F156" i="9"/>
  <c r="H156" i="9" s="1"/>
  <c r="F157" i="9"/>
  <c r="H157" i="9" s="1"/>
  <c r="F158" i="9"/>
  <c r="H158" i="9" s="1"/>
  <c r="F159" i="9"/>
  <c r="H159" i="9" s="1"/>
  <c r="F160" i="9"/>
  <c r="H160" i="9" s="1"/>
  <c r="F161" i="9"/>
  <c r="H161" i="9" s="1"/>
  <c r="F162" i="9"/>
  <c r="H162" i="9" s="1"/>
  <c r="F163" i="9"/>
  <c r="H163" i="9" s="1"/>
  <c r="F164" i="9"/>
  <c r="H164" i="9" s="1"/>
  <c r="F165" i="9"/>
  <c r="H165" i="9" s="1"/>
  <c r="F166" i="9"/>
  <c r="H166" i="9" s="1"/>
  <c r="F167" i="9"/>
  <c r="H167" i="9" s="1"/>
  <c r="F168" i="9"/>
  <c r="H168" i="9" s="1"/>
  <c r="F169" i="9"/>
  <c r="H169" i="9" s="1"/>
  <c r="F170" i="9"/>
  <c r="H170" i="9" s="1"/>
  <c r="F171" i="9"/>
  <c r="H171" i="9" s="1"/>
  <c r="F172" i="9"/>
  <c r="H172" i="9" s="1"/>
  <c r="F173" i="9"/>
  <c r="H173" i="9" s="1"/>
  <c r="F174" i="9"/>
  <c r="H174" i="9" s="1"/>
  <c r="F175" i="9"/>
  <c r="H175" i="9" s="1"/>
  <c r="F176" i="9"/>
  <c r="H176" i="9" s="1"/>
  <c r="F177" i="9"/>
  <c r="H177" i="9" s="1"/>
  <c r="F178" i="9"/>
  <c r="H178" i="9" s="1"/>
  <c r="F179" i="9"/>
  <c r="H179" i="9" s="1"/>
  <c r="F180" i="9"/>
  <c r="H180" i="9" s="1"/>
  <c r="F181" i="9"/>
  <c r="H181" i="9" s="1"/>
  <c r="F182" i="9"/>
  <c r="H182" i="9" s="1"/>
  <c r="F183" i="9"/>
  <c r="H183" i="9" s="1"/>
  <c r="F184" i="9"/>
  <c r="H184" i="9" s="1"/>
  <c r="F185" i="9"/>
  <c r="H185" i="9" s="1"/>
  <c r="F186" i="9"/>
  <c r="H186" i="9" s="1"/>
  <c r="F187" i="9"/>
  <c r="H187" i="9" s="1"/>
  <c r="F188" i="9"/>
  <c r="H188" i="9" s="1"/>
  <c r="F189" i="9"/>
  <c r="H189" i="9" s="1"/>
  <c r="F190" i="9"/>
  <c r="H190" i="9" s="1"/>
  <c r="F191" i="9"/>
  <c r="H191" i="9" s="1"/>
  <c r="F192" i="9"/>
  <c r="H192" i="9" s="1"/>
  <c r="F193" i="9"/>
  <c r="H193" i="9" s="1"/>
  <c r="F194" i="9"/>
  <c r="H194" i="9" s="1"/>
  <c r="F195" i="9"/>
  <c r="H195" i="9" s="1"/>
  <c r="F196" i="9"/>
  <c r="H196" i="9" s="1"/>
  <c r="F197" i="9"/>
  <c r="H197" i="9" s="1"/>
  <c r="F198" i="9"/>
  <c r="H198" i="9" s="1"/>
  <c r="F199" i="9"/>
  <c r="H199" i="9" s="1"/>
  <c r="F200" i="9"/>
  <c r="H200" i="9" s="1"/>
  <c r="F201" i="9"/>
  <c r="H201" i="9" s="1"/>
  <c r="F202" i="9"/>
  <c r="H202" i="9" s="1"/>
  <c r="F203" i="9"/>
  <c r="H203" i="9" s="1"/>
  <c r="F204" i="9"/>
  <c r="H204" i="9" s="1"/>
  <c r="F205" i="9"/>
  <c r="H205" i="9" s="1"/>
  <c r="F206" i="9"/>
  <c r="H206" i="9" s="1"/>
  <c r="F207" i="9"/>
  <c r="H207" i="9" s="1"/>
  <c r="F208" i="9"/>
  <c r="H208" i="9" s="1"/>
  <c r="F209" i="9"/>
  <c r="H209" i="9" s="1"/>
  <c r="F210" i="9"/>
  <c r="H210" i="9" s="1"/>
  <c r="F211" i="9"/>
  <c r="H211" i="9" s="1"/>
  <c r="F212" i="9"/>
  <c r="H212" i="9" s="1"/>
  <c r="F213" i="9"/>
  <c r="H213" i="9" s="1"/>
  <c r="F214" i="9"/>
  <c r="H214" i="9" s="1"/>
  <c r="F215" i="9"/>
  <c r="H215" i="9" s="1"/>
  <c r="F216" i="9"/>
  <c r="H216" i="9" s="1"/>
  <c r="F217" i="9"/>
  <c r="H217" i="9" s="1"/>
  <c r="F218" i="9"/>
  <c r="H218" i="9" s="1"/>
  <c r="F219" i="9"/>
  <c r="H219" i="9" s="1"/>
  <c r="F220" i="9"/>
  <c r="H220" i="9" s="1"/>
  <c r="F221" i="9"/>
  <c r="H221" i="9" s="1"/>
  <c r="F222" i="9"/>
  <c r="H222" i="9" s="1"/>
  <c r="F223" i="9"/>
  <c r="H223" i="9" s="1"/>
  <c r="F224" i="9"/>
  <c r="H224" i="9" s="1"/>
  <c r="F225" i="9"/>
  <c r="H225" i="9" s="1"/>
  <c r="F226" i="9"/>
  <c r="H226" i="9" s="1"/>
  <c r="F227" i="9"/>
  <c r="H227" i="9" s="1"/>
  <c r="F228" i="9"/>
  <c r="H228" i="9" s="1"/>
  <c r="F229" i="9"/>
  <c r="H229" i="9"/>
  <c r="F230" i="9"/>
  <c r="H230" i="9" s="1"/>
  <c r="F231" i="9"/>
  <c r="H231" i="9" s="1"/>
  <c r="F232" i="9"/>
  <c r="H232" i="9" s="1"/>
  <c r="F233" i="9"/>
  <c r="H233" i="9" s="1"/>
  <c r="F234" i="9"/>
  <c r="H234" i="9" s="1"/>
  <c r="F235" i="9"/>
  <c r="H235" i="9" s="1"/>
  <c r="F236" i="9"/>
  <c r="H236" i="9" s="1"/>
  <c r="F237" i="9"/>
  <c r="H237" i="9"/>
  <c r="F238" i="9"/>
  <c r="H238" i="9" s="1"/>
  <c r="F239" i="9"/>
  <c r="H239" i="9" s="1"/>
  <c r="F240" i="9"/>
  <c r="H240" i="9" s="1"/>
  <c r="F241" i="9"/>
  <c r="H241" i="9" s="1"/>
  <c r="F242" i="9"/>
  <c r="H242" i="9" s="1"/>
  <c r="F243" i="9"/>
  <c r="H243" i="9" s="1"/>
  <c r="F244" i="9"/>
  <c r="H244" i="9" s="1"/>
  <c r="F245" i="9"/>
  <c r="H245" i="9" s="1"/>
  <c r="F246" i="9"/>
  <c r="H246" i="9" s="1"/>
  <c r="F247" i="9"/>
  <c r="H247" i="9" s="1"/>
  <c r="F248" i="9"/>
  <c r="H248" i="9" s="1"/>
  <c r="F249" i="9"/>
  <c r="H249" i="9" s="1"/>
  <c r="F250" i="9"/>
  <c r="H250" i="9" s="1"/>
  <c r="F251" i="9"/>
  <c r="H251" i="9" s="1"/>
  <c r="F252" i="9"/>
  <c r="H252" i="9" s="1"/>
  <c r="F253" i="9"/>
  <c r="H253" i="9" s="1"/>
  <c r="F254" i="9"/>
  <c r="H254" i="9" s="1"/>
  <c r="F255" i="9"/>
  <c r="H255" i="9" s="1"/>
  <c r="F256" i="9"/>
  <c r="H256" i="9" s="1"/>
  <c r="F257" i="9"/>
  <c r="H257" i="9"/>
  <c r="F258" i="9"/>
  <c r="H258" i="9" s="1"/>
  <c r="F259" i="9"/>
  <c r="H259" i="9" s="1"/>
  <c r="F260" i="9"/>
  <c r="H260" i="9" s="1"/>
  <c r="F261" i="9"/>
  <c r="H261" i="9" s="1"/>
  <c r="F262" i="9"/>
  <c r="H262" i="9" s="1"/>
  <c r="F263" i="9"/>
  <c r="H263" i="9" s="1"/>
  <c r="F264" i="9"/>
  <c r="H264" i="9" s="1"/>
  <c r="F265" i="9"/>
  <c r="H265" i="9" s="1"/>
  <c r="F266" i="9"/>
  <c r="H266" i="9" s="1"/>
  <c r="F267" i="9"/>
  <c r="H267" i="9"/>
  <c r="F268" i="9"/>
  <c r="H268" i="9" s="1"/>
  <c r="F269" i="9"/>
  <c r="H269" i="9" s="1"/>
  <c r="F270" i="9"/>
  <c r="H270" i="9" s="1"/>
  <c r="F271" i="9"/>
  <c r="H271" i="9" s="1"/>
  <c r="F272" i="9"/>
  <c r="H272" i="9" s="1"/>
  <c r="F273" i="9"/>
  <c r="H273" i="9" s="1"/>
  <c r="F274" i="9"/>
  <c r="H274" i="9" s="1"/>
  <c r="F275" i="9"/>
  <c r="H275" i="9" s="1"/>
  <c r="F276" i="9"/>
  <c r="H276" i="9" s="1"/>
  <c r="F277" i="9"/>
  <c r="H277" i="9" s="1"/>
  <c r="F278" i="9"/>
  <c r="H278" i="9" s="1"/>
  <c r="F279" i="9"/>
  <c r="H279" i="9"/>
  <c r="F280" i="9"/>
  <c r="H280" i="9" s="1"/>
  <c r="F281" i="9"/>
  <c r="H281" i="9" s="1"/>
  <c r="F282" i="9"/>
  <c r="H282" i="9" s="1"/>
  <c r="F283" i="9"/>
  <c r="H283" i="9" s="1"/>
  <c r="F284" i="9"/>
  <c r="H284" i="9" s="1"/>
  <c r="F285" i="9"/>
  <c r="H285" i="9" s="1"/>
  <c r="F286" i="9"/>
  <c r="H286" i="9" s="1"/>
  <c r="F287" i="9"/>
  <c r="H287" i="9" s="1"/>
  <c r="F288" i="9"/>
  <c r="H288" i="9" s="1"/>
  <c r="F289" i="9"/>
  <c r="H289" i="9" s="1"/>
  <c r="F290" i="9"/>
  <c r="H290" i="9" s="1"/>
  <c r="F291" i="9"/>
  <c r="H291" i="9" s="1"/>
  <c r="F292" i="9"/>
  <c r="H292" i="9" s="1"/>
  <c r="F293" i="9"/>
  <c r="H293" i="9" s="1"/>
  <c r="F294" i="9"/>
  <c r="H294" i="9" s="1"/>
  <c r="F295" i="9"/>
  <c r="H295" i="9" s="1"/>
  <c r="F296" i="9"/>
  <c r="H296" i="9" s="1"/>
  <c r="F297" i="9"/>
  <c r="H297" i="9" s="1"/>
  <c r="F298" i="9"/>
  <c r="H298" i="9" s="1"/>
  <c r="F299" i="9"/>
  <c r="H299" i="9" s="1"/>
  <c r="F300" i="9"/>
  <c r="H300" i="9" s="1"/>
  <c r="F301" i="9"/>
  <c r="H301" i="9" s="1"/>
  <c r="F302" i="9"/>
  <c r="H302" i="9" s="1"/>
  <c r="F303" i="9"/>
  <c r="H303" i="9" s="1"/>
  <c r="F304" i="9"/>
  <c r="H304" i="9" s="1"/>
  <c r="F305" i="9"/>
  <c r="H305" i="9" s="1"/>
  <c r="F306" i="9"/>
  <c r="H306" i="9" s="1"/>
  <c r="F307" i="9"/>
  <c r="H307" i="9" s="1"/>
  <c r="F308" i="9"/>
  <c r="H308" i="9" s="1"/>
  <c r="F309" i="9"/>
  <c r="H309" i="9" s="1"/>
  <c r="F310" i="9"/>
  <c r="H310" i="9" s="1"/>
  <c r="F311" i="9"/>
  <c r="H311" i="9" s="1"/>
  <c r="F312" i="9"/>
  <c r="H312" i="9" s="1"/>
  <c r="F313" i="9"/>
  <c r="H313" i="9" s="1"/>
  <c r="F314" i="9"/>
  <c r="H314" i="9" s="1"/>
  <c r="F315" i="9"/>
  <c r="H315" i="9" s="1"/>
  <c r="F316" i="9"/>
  <c r="H316" i="9" s="1"/>
  <c r="F317" i="9"/>
  <c r="H317" i="9" s="1"/>
  <c r="F318" i="9"/>
  <c r="H318" i="9" s="1"/>
  <c r="F319" i="9"/>
  <c r="H319" i="9" s="1"/>
  <c r="F320" i="9"/>
  <c r="H320" i="9" s="1"/>
  <c r="F321" i="9"/>
  <c r="H321" i="9" s="1"/>
  <c r="F322" i="9"/>
  <c r="H322" i="9" s="1"/>
  <c r="F323" i="9"/>
  <c r="H323" i="9" s="1"/>
  <c r="F324" i="9"/>
  <c r="H324" i="9" s="1"/>
  <c r="F325" i="9"/>
  <c r="H325" i="9" s="1"/>
  <c r="F326" i="9"/>
  <c r="H326" i="9" s="1"/>
  <c r="F327" i="9"/>
  <c r="H327" i="9" s="1"/>
  <c r="F328" i="9"/>
  <c r="H328" i="9" s="1"/>
  <c r="F329" i="9"/>
  <c r="H329" i="9"/>
  <c r="F330" i="9"/>
  <c r="H330" i="9" s="1"/>
  <c r="F331" i="9"/>
  <c r="H331" i="9" s="1"/>
  <c r="F332" i="9"/>
  <c r="H332" i="9" s="1"/>
  <c r="F333" i="9"/>
  <c r="H333" i="9" s="1"/>
  <c r="F334" i="9"/>
  <c r="H334" i="9" s="1"/>
  <c r="F335" i="9"/>
  <c r="H335" i="9" s="1"/>
  <c r="F336" i="9"/>
  <c r="H336" i="9" s="1"/>
  <c r="F337" i="9"/>
  <c r="H337" i="9" s="1"/>
  <c r="F338" i="9"/>
  <c r="H338" i="9" s="1"/>
  <c r="F339" i="9"/>
  <c r="H339" i="9" s="1"/>
  <c r="F340" i="9"/>
  <c r="H340" i="9" s="1"/>
  <c r="F341" i="9"/>
  <c r="H341" i="9" s="1"/>
  <c r="F342" i="9"/>
  <c r="H342" i="9" s="1"/>
  <c r="F343" i="9"/>
  <c r="H343" i="9" s="1"/>
  <c r="F344" i="9"/>
  <c r="H344" i="9" s="1"/>
  <c r="F345" i="9"/>
  <c r="H345" i="9" s="1"/>
  <c r="F346" i="9"/>
  <c r="H346" i="9" s="1"/>
  <c r="F347" i="9"/>
  <c r="H347" i="9" s="1"/>
  <c r="F348" i="9"/>
  <c r="H348" i="9" s="1"/>
  <c r="F349" i="9"/>
  <c r="H349" i="9" s="1"/>
  <c r="F350" i="9"/>
  <c r="H350" i="9" s="1"/>
  <c r="F351" i="9"/>
  <c r="H351" i="9" s="1"/>
  <c r="F352" i="9"/>
  <c r="H352" i="9" s="1"/>
  <c r="F353" i="9"/>
  <c r="H353" i="9" s="1"/>
  <c r="F354" i="9"/>
  <c r="H354" i="9" s="1"/>
  <c r="F355" i="9"/>
  <c r="H355" i="9" s="1"/>
  <c r="F356" i="9"/>
  <c r="H356" i="9" s="1"/>
  <c r="F357" i="9"/>
  <c r="H357" i="9" s="1"/>
  <c r="F358" i="9"/>
  <c r="H358" i="9" s="1"/>
  <c r="F359" i="9"/>
  <c r="H359" i="9" s="1"/>
  <c r="F360" i="9"/>
  <c r="H360" i="9" s="1"/>
  <c r="F361" i="9"/>
  <c r="H361" i="9" s="1"/>
  <c r="F362" i="9"/>
  <c r="H362" i="9" s="1"/>
  <c r="F363" i="9"/>
  <c r="H363" i="9" s="1"/>
  <c r="F364" i="9"/>
  <c r="H364" i="9" s="1"/>
  <c r="F365" i="9"/>
  <c r="H365" i="9" s="1"/>
  <c r="F366" i="9"/>
  <c r="H366" i="9" s="1"/>
  <c r="F367" i="9"/>
  <c r="H367" i="9" s="1"/>
  <c r="F368" i="9"/>
  <c r="H368" i="9" s="1"/>
  <c r="F369" i="9"/>
  <c r="H369" i="9" s="1"/>
  <c r="F370" i="9"/>
  <c r="H370" i="9" s="1"/>
  <c r="F371" i="9"/>
  <c r="H371" i="9" s="1"/>
  <c r="F372" i="9"/>
  <c r="H372" i="9" s="1"/>
  <c r="F373" i="9"/>
  <c r="H373" i="9" s="1"/>
  <c r="F374" i="9"/>
  <c r="H374" i="9" s="1"/>
  <c r="F375" i="9"/>
  <c r="H375" i="9" s="1"/>
  <c r="F376" i="9"/>
  <c r="H376" i="9" s="1"/>
  <c r="F377" i="9"/>
  <c r="H377" i="9" s="1"/>
  <c r="F378" i="9"/>
  <c r="H378" i="9" s="1"/>
  <c r="F379" i="9"/>
  <c r="H379" i="9" s="1"/>
  <c r="F380" i="9"/>
  <c r="H380" i="9" s="1"/>
  <c r="F381" i="9"/>
  <c r="H381" i="9" s="1"/>
  <c r="F382" i="9"/>
  <c r="H382" i="9" s="1"/>
  <c r="F383" i="9"/>
  <c r="H383" i="9" s="1"/>
  <c r="F384" i="9"/>
  <c r="H384" i="9" s="1"/>
  <c r="F385" i="9"/>
  <c r="H385" i="9" s="1"/>
  <c r="F386" i="9"/>
  <c r="H386" i="9" s="1"/>
  <c r="F387" i="9"/>
  <c r="H387" i="9" s="1"/>
  <c r="F388" i="9"/>
  <c r="H388" i="9" s="1"/>
  <c r="F389" i="9"/>
  <c r="H389" i="9" s="1"/>
  <c r="F390" i="9"/>
  <c r="H390" i="9" s="1"/>
  <c r="F391" i="9"/>
  <c r="H391" i="9" s="1"/>
  <c r="F392" i="9"/>
  <c r="H392" i="9" s="1"/>
  <c r="F393" i="9"/>
  <c r="H393" i="9" s="1"/>
  <c r="F394" i="9"/>
  <c r="H394" i="9" s="1"/>
  <c r="F395" i="9"/>
  <c r="H395" i="9" s="1"/>
  <c r="F396" i="9"/>
  <c r="H396" i="9" s="1"/>
  <c r="F397" i="9"/>
  <c r="H397" i="9" s="1"/>
  <c r="F398" i="9"/>
  <c r="H398" i="9" s="1"/>
  <c r="F399" i="9"/>
  <c r="H399" i="9" s="1"/>
  <c r="F400" i="9"/>
  <c r="H400" i="9" s="1"/>
  <c r="F401" i="9"/>
  <c r="H401" i="9" s="1"/>
  <c r="F402" i="9"/>
  <c r="H402" i="9" s="1"/>
  <c r="F403" i="9"/>
  <c r="H403" i="9" s="1"/>
  <c r="F404" i="9"/>
  <c r="H404" i="9" s="1"/>
  <c r="F405" i="9"/>
  <c r="H405" i="9" s="1"/>
  <c r="F406" i="9"/>
  <c r="H406" i="9" s="1"/>
  <c r="F407" i="9"/>
  <c r="H407" i="9" s="1"/>
  <c r="F408" i="9"/>
  <c r="H408" i="9" s="1"/>
  <c r="F409" i="9"/>
  <c r="H409" i="9" s="1"/>
  <c r="F410" i="9"/>
  <c r="H410" i="9" s="1"/>
  <c r="F411" i="9"/>
  <c r="H411" i="9" s="1"/>
  <c r="F412" i="9"/>
  <c r="H412" i="9" s="1"/>
  <c r="F413" i="9"/>
  <c r="H413" i="9" s="1"/>
  <c r="F414" i="9"/>
  <c r="H414" i="9" s="1"/>
  <c r="F415" i="9"/>
  <c r="H415" i="9" s="1"/>
  <c r="F416" i="9"/>
  <c r="H416" i="9" s="1"/>
  <c r="F417" i="9"/>
  <c r="H417" i="9" s="1"/>
  <c r="F418" i="9"/>
  <c r="H418" i="9" s="1"/>
  <c r="F419" i="9"/>
  <c r="H419" i="9" s="1"/>
  <c r="F420" i="9"/>
  <c r="H420" i="9" s="1"/>
  <c r="F421" i="9"/>
  <c r="H421" i="9" s="1"/>
  <c r="F422" i="9"/>
  <c r="H422" i="9" s="1"/>
  <c r="F423" i="9"/>
  <c r="H423" i="9" s="1"/>
  <c r="F424" i="9"/>
  <c r="H424" i="9" s="1"/>
  <c r="F425" i="9"/>
  <c r="H425" i="9" s="1"/>
  <c r="F426" i="9"/>
  <c r="H426" i="9" s="1"/>
  <c r="F427" i="9"/>
  <c r="H427" i="9" s="1"/>
  <c r="F428" i="9"/>
  <c r="H428" i="9" s="1"/>
  <c r="F429" i="9"/>
  <c r="H429" i="9" s="1"/>
  <c r="F430" i="9"/>
  <c r="H430" i="9" s="1"/>
  <c r="F431" i="9"/>
  <c r="H431" i="9" s="1"/>
  <c r="F432" i="9"/>
  <c r="H432" i="9" s="1"/>
  <c r="F433" i="9"/>
  <c r="H433" i="9" s="1"/>
  <c r="F434" i="9"/>
  <c r="H434" i="9" s="1"/>
  <c r="F435" i="9"/>
  <c r="H435" i="9" s="1"/>
  <c r="F436" i="9"/>
  <c r="H436" i="9" s="1"/>
  <c r="F437" i="9"/>
  <c r="H437" i="9" s="1"/>
  <c r="F438" i="9"/>
  <c r="H438" i="9" s="1"/>
  <c r="F439" i="9"/>
  <c r="H439" i="9" s="1"/>
  <c r="F440" i="9"/>
  <c r="H440" i="9" s="1"/>
  <c r="F441" i="9"/>
  <c r="H441" i="9" s="1"/>
  <c r="F442" i="9"/>
  <c r="H442" i="9" s="1"/>
  <c r="F443" i="9"/>
  <c r="H443" i="9" s="1"/>
  <c r="F444" i="9"/>
  <c r="H444" i="9" s="1"/>
  <c r="F445" i="9"/>
  <c r="H445" i="9" s="1"/>
  <c r="F446" i="9"/>
  <c r="H446" i="9" s="1"/>
  <c r="F447" i="9"/>
  <c r="H447" i="9" s="1"/>
  <c r="F448" i="9"/>
  <c r="H448" i="9" s="1"/>
  <c r="F449" i="9"/>
  <c r="H449" i="9" s="1"/>
  <c r="F450" i="9"/>
  <c r="H450" i="9" s="1"/>
  <c r="F451" i="9"/>
  <c r="H451" i="9" s="1"/>
  <c r="F452" i="9"/>
  <c r="H452" i="9" s="1"/>
  <c r="F453" i="9"/>
  <c r="H453" i="9" s="1"/>
  <c r="F454" i="9"/>
  <c r="H454" i="9" s="1"/>
  <c r="F455" i="9"/>
  <c r="H455" i="9" s="1"/>
  <c r="F456" i="9"/>
  <c r="H456" i="9" s="1"/>
  <c r="F457" i="9"/>
  <c r="H457" i="9" s="1"/>
  <c r="F458" i="9"/>
  <c r="H458" i="9" s="1"/>
  <c r="F459" i="9"/>
  <c r="H459" i="9" s="1"/>
  <c r="F460" i="9"/>
  <c r="H460" i="9" s="1"/>
  <c r="F461" i="9"/>
  <c r="H461" i="9" s="1"/>
  <c r="F462" i="9"/>
  <c r="H462" i="9" s="1"/>
  <c r="F463" i="9"/>
  <c r="H463" i="9" s="1"/>
  <c r="F464" i="9"/>
  <c r="H464" i="9" s="1"/>
  <c r="F465" i="9"/>
  <c r="H465" i="9" s="1"/>
  <c r="F466" i="9"/>
  <c r="H466" i="9" s="1"/>
  <c r="F467" i="9"/>
  <c r="H467" i="9" s="1"/>
  <c r="F468" i="9"/>
  <c r="H468" i="9" s="1"/>
  <c r="F469" i="9"/>
  <c r="H469" i="9" s="1"/>
  <c r="F470" i="9"/>
  <c r="H470" i="9" s="1"/>
  <c r="F471" i="9"/>
  <c r="H471" i="9" s="1"/>
  <c r="F472" i="9"/>
  <c r="H472" i="9" s="1"/>
  <c r="F473" i="9"/>
  <c r="H473" i="9" s="1"/>
  <c r="F474" i="9"/>
  <c r="H474" i="9" s="1"/>
  <c r="F475" i="9"/>
  <c r="H475" i="9"/>
  <c r="F476" i="9"/>
  <c r="H476" i="9" s="1"/>
  <c r="F477" i="9"/>
  <c r="H477" i="9" s="1"/>
  <c r="F478" i="9"/>
  <c r="H478" i="9" s="1"/>
  <c r="F479" i="9"/>
  <c r="H479" i="9" s="1"/>
  <c r="F480" i="9"/>
  <c r="H480" i="9" s="1"/>
  <c r="F481" i="9"/>
  <c r="H481" i="9" s="1"/>
  <c r="F482" i="9"/>
  <c r="H482" i="9" s="1"/>
  <c r="F483" i="9"/>
  <c r="H483" i="9" s="1"/>
  <c r="F484" i="9"/>
  <c r="H484" i="9" s="1"/>
  <c r="F485" i="9"/>
  <c r="H485" i="9" s="1"/>
  <c r="F486" i="9"/>
  <c r="H486" i="9" s="1"/>
  <c r="F487" i="9"/>
  <c r="H487" i="9" s="1"/>
  <c r="F488" i="9"/>
  <c r="H488" i="9" s="1"/>
  <c r="F489" i="9"/>
  <c r="H489" i="9" s="1"/>
  <c r="F490" i="9"/>
  <c r="H490" i="9" s="1"/>
  <c r="F491" i="9"/>
  <c r="H491" i="9" s="1"/>
  <c r="F492" i="9"/>
  <c r="H492" i="9" s="1"/>
  <c r="F493" i="9"/>
  <c r="H493" i="9" s="1"/>
  <c r="F494" i="9"/>
  <c r="H494" i="9" s="1"/>
  <c r="F495" i="9"/>
  <c r="H495" i="9" s="1"/>
  <c r="F496" i="9"/>
  <c r="H496" i="9" s="1"/>
  <c r="F497" i="9"/>
  <c r="H497" i="9" s="1"/>
  <c r="F498" i="9"/>
  <c r="H498" i="9" s="1"/>
  <c r="F499" i="9"/>
  <c r="H499" i="9" s="1"/>
  <c r="F500" i="9"/>
  <c r="H500" i="9" s="1"/>
  <c r="F501" i="9"/>
  <c r="H501" i="9" s="1"/>
  <c r="F502" i="9"/>
  <c r="H502" i="9" s="1"/>
  <c r="F503" i="9"/>
  <c r="H503" i="9" s="1"/>
  <c r="F504" i="9"/>
  <c r="H504" i="9" s="1"/>
  <c r="F505" i="9"/>
  <c r="H505" i="9" s="1"/>
  <c r="F506" i="9"/>
  <c r="H506" i="9" s="1"/>
  <c r="F507" i="9"/>
  <c r="H507" i="9" s="1"/>
  <c r="F508" i="9"/>
  <c r="H508" i="9" s="1"/>
  <c r="F509" i="9"/>
  <c r="H509" i="9" s="1"/>
  <c r="F510" i="9"/>
  <c r="H510" i="9" s="1"/>
  <c r="F511" i="9"/>
  <c r="H511" i="9" s="1"/>
  <c r="F512" i="9"/>
  <c r="H512" i="9" s="1"/>
  <c r="F513" i="9"/>
  <c r="H513" i="9" s="1"/>
  <c r="F514" i="9"/>
  <c r="H514" i="9" s="1"/>
  <c r="F515" i="9"/>
  <c r="H515" i="9" s="1"/>
  <c r="F516" i="9"/>
  <c r="H516" i="9"/>
  <c r="F517" i="9"/>
  <c r="H517" i="9" s="1"/>
  <c r="F518" i="9"/>
  <c r="H518" i="9" s="1"/>
  <c r="F519" i="9"/>
  <c r="H519" i="9" s="1"/>
  <c r="F520" i="9"/>
  <c r="H520" i="9" s="1"/>
  <c r="F521" i="9"/>
  <c r="H521" i="9" s="1"/>
  <c r="F522" i="9"/>
  <c r="H522" i="9" s="1"/>
  <c r="F523" i="9"/>
  <c r="H523" i="9" s="1"/>
  <c r="F524" i="9"/>
  <c r="H524" i="9" s="1"/>
  <c r="F525" i="9"/>
  <c r="H525" i="9" s="1"/>
  <c r="F526" i="9"/>
  <c r="H526" i="9" s="1"/>
  <c r="F527" i="9"/>
  <c r="H527" i="9" s="1"/>
  <c r="F528" i="9"/>
  <c r="H528" i="9" s="1"/>
  <c r="F529" i="9"/>
  <c r="H529" i="9" s="1"/>
  <c r="F530" i="9"/>
  <c r="H530" i="9" s="1"/>
  <c r="F531" i="9"/>
  <c r="H531" i="9" s="1"/>
  <c r="F532" i="9"/>
  <c r="H532" i="9" s="1"/>
  <c r="F533" i="9"/>
  <c r="H533" i="9" s="1"/>
  <c r="F534" i="9"/>
  <c r="H534" i="9" s="1"/>
  <c r="F535" i="9"/>
  <c r="H535" i="9" s="1"/>
  <c r="F536" i="9"/>
  <c r="H536" i="9" s="1"/>
  <c r="F537" i="9"/>
  <c r="H537" i="9" s="1"/>
  <c r="F538" i="9"/>
  <c r="H538" i="9" s="1"/>
  <c r="F539" i="9"/>
  <c r="H539" i="9" s="1"/>
  <c r="F540" i="9"/>
  <c r="H540" i="9" s="1"/>
  <c r="F541" i="9"/>
  <c r="H541" i="9" s="1"/>
  <c r="F542" i="9"/>
  <c r="H542" i="9" s="1"/>
  <c r="F543" i="9"/>
  <c r="H543" i="9" s="1"/>
  <c r="F544" i="9"/>
  <c r="H544" i="9" s="1"/>
  <c r="F545" i="9"/>
  <c r="H545" i="9" s="1"/>
  <c r="F546" i="9"/>
  <c r="H546" i="9" s="1"/>
  <c r="F547" i="9"/>
  <c r="H547" i="9" s="1"/>
  <c r="F548" i="9"/>
  <c r="H548" i="9" s="1"/>
  <c r="F549" i="9"/>
  <c r="H549" i="9" s="1"/>
  <c r="F550" i="9"/>
  <c r="H550" i="9" s="1"/>
  <c r="F551" i="9"/>
  <c r="H551" i="9" s="1"/>
  <c r="F552" i="9"/>
  <c r="H552" i="9" s="1"/>
  <c r="F553" i="9"/>
  <c r="H553" i="9" s="1"/>
  <c r="F554" i="9"/>
  <c r="H554" i="9" s="1"/>
  <c r="F555" i="9"/>
  <c r="H555" i="9" s="1"/>
  <c r="F556" i="9"/>
  <c r="H556" i="9" s="1"/>
  <c r="F557" i="9"/>
  <c r="H557" i="9" s="1"/>
  <c r="F558" i="9"/>
  <c r="H558" i="9" s="1"/>
  <c r="F559" i="9"/>
  <c r="H559" i="9" s="1"/>
  <c r="F560" i="9"/>
  <c r="H560" i="9" s="1"/>
  <c r="F561" i="9"/>
  <c r="H561" i="9" s="1"/>
  <c r="F562" i="9"/>
  <c r="H562" i="9" s="1"/>
  <c r="F563" i="9"/>
  <c r="H563" i="9" s="1"/>
  <c r="F564" i="9"/>
  <c r="H564" i="9" s="1"/>
  <c r="F565" i="9"/>
  <c r="H565" i="9" s="1"/>
  <c r="F566" i="9"/>
  <c r="H566" i="9" s="1"/>
  <c r="F567" i="9"/>
  <c r="H567" i="9" s="1"/>
  <c r="F568" i="9"/>
  <c r="H568" i="9" s="1"/>
  <c r="F569" i="9"/>
  <c r="H569" i="9" s="1"/>
  <c r="F570" i="9"/>
  <c r="H570" i="9" s="1"/>
  <c r="F571" i="9"/>
  <c r="H571" i="9" s="1"/>
  <c r="F572" i="9"/>
  <c r="H572" i="9" s="1"/>
  <c r="F573" i="9"/>
  <c r="H573" i="9" s="1"/>
  <c r="F574" i="9"/>
  <c r="H574" i="9" s="1"/>
  <c r="F575" i="9"/>
  <c r="H575" i="9" s="1"/>
  <c r="F576" i="9"/>
  <c r="H576" i="9" s="1"/>
  <c r="F577" i="9"/>
  <c r="H577" i="9" s="1"/>
  <c r="F578" i="9"/>
  <c r="H578" i="9" s="1"/>
  <c r="F579" i="9"/>
  <c r="H579" i="9" s="1"/>
  <c r="F580" i="9"/>
  <c r="H580" i="9" s="1"/>
  <c r="F581" i="9"/>
  <c r="H581" i="9" s="1"/>
  <c r="F582" i="9"/>
  <c r="H582" i="9" s="1"/>
  <c r="F583" i="9"/>
  <c r="H583" i="9" s="1"/>
  <c r="F584" i="9"/>
  <c r="H584" i="9" s="1"/>
  <c r="F585" i="9"/>
  <c r="H585" i="9" s="1"/>
  <c r="F586" i="9"/>
  <c r="H586" i="9" s="1"/>
  <c r="F587" i="9"/>
  <c r="H587" i="9" s="1"/>
  <c r="F588" i="9"/>
  <c r="H588" i="9" s="1"/>
  <c r="F589" i="9"/>
  <c r="H589" i="9" s="1"/>
  <c r="F590" i="9"/>
  <c r="H590" i="9" s="1"/>
  <c r="F591" i="9"/>
  <c r="H591" i="9" s="1"/>
  <c r="F592" i="9"/>
  <c r="H592" i="9" s="1"/>
  <c r="F593" i="9"/>
  <c r="H593" i="9" s="1"/>
  <c r="F594" i="9"/>
  <c r="H594" i="9" s="1"/>
  <c r="F595" i="9"/>
  <c r="H595" i="9" s="1"/>
  <c r="F596" i="9"/>
  <c r="H596" i="9" s="1"/>
  <c r="F597" i="9"/>
  <c r="H597" i="9" s="1"/>
  <c r="F598" i="9"/>
  <c r="H598" i="9" s="1"/>
  <c r="F599" i="9"/>
  <c r="H599" i="9" s="1"/>
  <c r="F600" i="9"/>
  <c r="H600" i="9" s="1"/>
  <c r="F601" i="9"/>
  <c r="H601" i="9" s="1"/>
  <c r="F602" i="9"/>
  <c r="H602" i="9" s="1"/>
  <c r="F603" i="9"/>
  <c r="H603" i="9" s="1"/>
  <c r="F604" i="9"/>
  <c r="H604" i="9" s="1"/>
  <c r="F605" i="9"/>
  <c r="H605" i="9" s="1"/>
  <c r="F606" i="9"/>
  <c r="H606" i="9" s="1"/>
  <c r="F607" i="9"/>
  <c r="H607" i="9" s="1"/>
  <c r="F608" i="9"/>
  <c r="H608" i="9" s="1"/>
  <c r="F609" i="9"/>
  <c r="H609" i="9" s="1"/>
  <c r="F610" i="9"/>
  <c r="H610" i="9" s="1"/>
  <c r="F611" i="9"/>
  <c r="H611" i="9" s="1"/>
  <c r="F612" i="9"/>
  <c r="H612" i="9" s="1"/>
  <c r="F613" i="9"/>
  <c r="H613" i="9" s="1"/>
  <c r="F614" i="9"/>
  <c r="H614" i="9" s="1"/>
  <c r="F615" i="9"/>
  <c r="H615" i="9" s="1"/>
  <c r="F616" i="9"/>
  <c r="H616" i="9" s="1"/>
  <c r="F617" i="9"/>
  <c r="H617" i="9" s="1"/>
  <c r="F618" i="9"/>
  <c r="H618" i="9" s="1"/>
  <c r="F619" i="9"/>
  <c r="H619" i="9" s="1"/>
  <c r="F620" i="9"/>
  <c r="H620" i="9" s="1"/>
  <c r="F621" i="9"/>
  <c r="H621" i="9" s="1"/>
  <c r="F622" i="9"/>
  <c r="H622" i="9" s="1"/>
  <c r="F623" i="9"/>
  <c r="H623" i="9"/>
  <c r="F624" i="9"/>
  <c r="H624" i="9" s="1"/>
  <c r="F625" i="9"/>
  <c r="H625" i="9" s="1"/>
  <c r="F626" i="9"/>
  <c r="H626" i="9" s="1"/>
  <c r="F627" i="9"/>
  <c r="H627" i="9" s="1"/>
  <c r="F628" i="9"/>
  <c r="H628" i="9" s="1"/>
  <c r="F629" i="9"/>
  <c r="H629" i="9" s="1"/>
  <c r="F630" i="9"/>
  <c r="H630" i="9" s="1"/>
  <c r="F631" i="9"/>
  <c r="H631" i="9" s="1"/>
  <c r="F632" i="9"/>
  <c r="H632" i="9" s="1"/>
  <c r="F633" i="9"/>
  <c r="H633" i="9" s="1"/>
  <c r="F634" i="9"/>
  <c r="H634" i="9" s="1"/>
  <c r="F635" i="9"/>
  <c r="H635" i="9" s="1"/>
  <c r="F636" i="9"/>
  <c r="H636" i="9" s="1"/>
  <c r="F637" i="9"/>
  <c r="H637" i="9" s="1"/>
  <c r="F638" i="9"/>
  <c r="H638" i="9" s="1"/>
  <c r="F639" i="9"/>
  <c r="H639" i="9" s="1"/>
  <c r="F640" i="9"/>
  <c r="H640" i="9" s="1"/>
  <c r="F641" i="9"/>
  <c r="H641" i="9" s="1"/>
  <c r="F642" i="9"/>
  <c r="H642" i="9" s="1"/>
  <c r="F643" i="9"/>
  <c r="H643" i="9" s="1"/>
  <c r="F644" i="9"/>
  <c r="H644" i="9" s="1"/>
  <c r="F645" i="9"/>
  <c r="H645" i="9" s="1"/>
  <c r="F646" i="9"/>
  <c r="H646" i="9" s="1"/>
  <c r="F647" i="9"/>
  <c r="H647" i="9" s="1"/>
  <c r="F648" i="9"/>
  <c r="H648" i="9" s="1"/>
  <c r="F649" i="9"/>
  <c r="H649" i="9" s="1"/>
  <c r="F650" i="9"/>
  <c r="H650" i="9" s="1"/>
  <c r="F651" i="9"/>
  <c r="H651" i="9" s="1"/>
  <c r="F652" i="9"/>
  <c r="H652" i="9" s="1"/>
  <c r="F653" i="9"/>
  <c r="H653" i="9" s="1"/>
  <c r="F654" i="9"/>
  <c r="H654" i="9" s="1"/>
  <c r="F655" i="9"/>
  <c r="H655" i="9" s="1"/>
  <c r="F656" i="9"/>
  <c r="H656" i="9" s="1"/>
  <c r="F657" i="9"/>
  <c r="H657" i="9" s="1"/>
  <c r="F658" i="9"/>
  <c r="H658" i="9" s="1"/>
  <c r="F659" i="9"/>
  <c r="H659" i="9" s="1"/>
  <c r="F660" i="9"/>
  <c r="H660" i="9" s="1"/>
  <c r="F661" i="9"/>
  <c r="H661" i="9" s="1"/>
  <c r="F662" i="9"/>
  <c r="H662" i="9" s="1"/>
  <c r="F663" i="9"/>
  <c r="H663" i="9" s="1"/>
  <c r="F664" i="9"/>
  <c r="H664" i="9" s="1"/>
  <c r="F665" i="9"/>
  <c r="H665" i="9" s="1"/>
  <c r="F666" i="9"/>
  <c r="H666" i="9" s="1"/>
  <c r="F667" i="9"/>
  <c r="H667" i="9" s="1"/>
  <c r="F668" i="9"/>
  <c r="H668" i="9" s="1"/>
  <c r="F669" i="9"/>
  <c r="H669" i="9" s="1"/>
  <c r="F670" i="9"/>
  <c r="H670" i="9" s="1"/>
  <c r="F671" i="9"/>
  <c r="H671" i="9" s="1"/>
  <c r="F672" i="9"/>
  <c r="H672" i="9" s="1"/>
  <c r="F673" i="9"/>
  <c r="H673" i="9" s="1"/>
  <c r="F674" i="9"/>
  <c r="H674" i="9" s="1"/>
  <c r="F675" i="9"/>
  <c r="H675" i="9" s="1"/>
  <c r="F676" i="9"/>
  <c r="H676" i="9" s="1"/>
  <c r="F677" i="9"/>
  <c r="H677" i="9" s="1"/>
  <c r="F678" i="9"/>
  <c r="H678" i="9" s="1"/>
  <c r="F679" i="9"/>
  <c r="H679" i="9" s="1"/>
  <c r="F680" i="9"/>
  <c r="H680" i="9" s="1"/>
  <c r="F681" i="9"/>
  <c r="H681" i="9" s="1"/>
  <c r="F682" i="9"/>
  <c r="H682" i="9" s="1"/>
  <c r="F683" i="9"/>
  <c r="H683" i="9" s="1"/>
  <c r="F684" i="9"/>
  <c r="H684" i="9" s="1"/>
  <c r="F685" i="9"/>
  <c r="H685" i="9" s="1"/>
  <c r="F686" i="9"/>
  <c r="H686" i="9" s="1"/>
  <c r="F687" i="9"/>
  <c r="H687" i="9" s="1"/>
  <c r="F688" i="9"/>
  <c r="H688" i="9" s="1"/>
  <c r="F689" i="9"/>
  <c r="H689" i="9" s="1"/>
  <c r="F690" i="9"/>
  <c r="H690" i="9" s="1"/>
  <c r="F691" i="9"/>
  <c r="H691" i="9" s="1"/>
  <c r="F692" i="9"/>
  <c r="H692" i="9" s="1"/>
  <c r="F693" i="9"/>
  <c r="H693" i="9" s="1"/>
  <c r="F694" i="9"/>
  <c r="H694" i="9" s="1"/>
  <c r="F695" i="9"/>
  <c r="H695" i="9" s="1"/>
  <c r="F696" i="9"/>
  <c r="H696" i="9" s="1"/>
  <c r="F697" i="9"/>
  <c r="H697" i="9" s="1"/>
  <c r="F698" i="9"/>
  <c r="H698" i="9" s="1"/>
  <c r="F699" i="9"/>
  <c r="H699" i="9" s="1"/>
  <c r="F700" i="9"/>
  <c r="H700" i="9" s="1"/>
  <c r="F701" i="9"/>
  <c r="H701" i="9" s="1"/>
  <c r="F702" i="9"/>
  <c r="H702" i="9" s="1"/>
  <c r="F703" i="9"/>
  <c r="H703" i="9" s="1"/>
  <c r="F704" i="9"/>
  <c r="H704" i="9" s="1"/>
  <c r="F705" i="9"/>
  <c r="H705" i="9" s="1"/>
  <c r="F706" i="9"/>
  <c r="H706" i="9" s="1"/>
  <c r="F707" i="9"/>
  <c r="H707" i="9" s="1"/>
  <c r="F708" i="9"/>
  <c r="H708" i="9" s="1"/>
  <c r="F709" i="9"/>
  <c r="H709" i="9" s="1"/>
  <c r="F710" i="9"/>
  <c r="H710" i="9" s="1"/>
  <c r="F711" i="9"/>
  <c r="H711" i="9" s="1"/>
  <c r="F712" i="9"/>
  <c r="H712" i="9" s="1"/>
  <c r="F713" i="9"/>
  <c r="H713" i="9" s="1"/>
  <c r="F714" i="9"/>
  <c r="H714" i="9" s="1"/>
  <c r="F715" i="9"/>
  <c r="H715" i="9" s="1"/>
  <c r="F716" i="9"/>
  <c r="H716" i="9" s="1"/>
  <c r="F717" i="9"/>
  <c r="H717" i="9" s="1"/>
  <c r="F718" i="9"/>
  <c r="H718" i="9" s="1"/>
  <c r="F719" i="9"/>
  <c r="H719" i="9" s="1"/>
  <c r="F720" i="9"/>
  <c r="H720" i="9" s="1"/>
  <c r="F721" i="9"/>
  <c r="H721" i="9" s="1"/>
  <c r="F722" i="9"/>
  <c r="H722" i="9" s="1"/>
  <c r="F723" i="9"/>
  <c r="H723" i="9" s="1"/>
  <c r="F724" i="9"/>
  <c r="H724" i="9" s="1"/>
  <c r="F725" i="9"/>
  <c r="H725" i="9" s="1"/>
  <c r="F726" i="9"/>
  <c r="H726" i="9" s="1"/>
  <c r="F727" i="9"/>
  <c r="H727" i="9" s="1"/>
  <c r="F728" i="9"/>
  <c r="H728" i="9" s="1"/>
  <c r="F729" i="9"/>
  <c r="H729" i="9" s="1"/>
  <c r="F730" i="9"/>
  <c r="H730" i="9" s="1"/>
  <c r="F731" i="9"/>
  <c r="H731" i="9" s="1"/>
  <c r="F732" i="9"/>
  <c r="H732" i="9" s="1"/>
  <c r="F733" i="9"/>
  <c r="H733" i="9" s="1"/>
  <c r="F734" i="9"/>
  <c r="H734" i="9" s="1"/>
  <c r="F735" i="9"/>
  <c r="H735" i="9" s="1"/>
  <c r="F736" i="9"/>
  <c r="H736" i="9" s="1"/>
  <c r="F737" i="9"/>
  <c r="H737" i="9" s="1"/>
  <c r="F738" i="9"/>
  <c r="H738" i="9" s="1"/>
  <c r="F739" i="9"/>
  <c r="H739" i="9" s="1"/>
  <c r="F740" i="9"/>
  <c r="H740" i="9" s="1"/>
  <c r="F741" i="9"/>
  <c r="H741" i="9" s="1"/>
  <c r="F742" i="9"/>
  <c r="H742" i="9" s="1"/>
  <c r="F743" i="9"/>
  <c r="H743" i="9" s="1"/>
  <c r="F744" i="9"/>
  <c r="H744" i="9" s="1"/>
  <c r="F745" i="9"/>
  <c r="H745" i="9" s="1"/>
  <c r="F746" i="9"/>
  <c r="H746" i="9" s="1"/>
  <c r="F747" i="9"/>
  <c r="H747" i="9" s="1"/>
  <c r="F748" i="9"/>
  <c r="H748" i="9" s="1"/>
  <c r="F749" i="9"/>
  <c r="H749" i="9" s="1"/>
  <c r="F750" i="9"/>
  <c r="H750" i="9" s="1"/>
  <c r="F751" i="9"/>
  <c r="H751" i="9" s="1"/>
  <c r="F752" i="9"/>
  <c r="H752" i="9" s="1"/>
  <c r="F753" i="9"/>
  <c r="H753" i="9" s="1"/>
  <c r="F754" i="9"/>
  <c r="H754" i="9" s="1"/>
  <c r="F755" i="9"/>
  <c r="H755" i="9" s="1"/>
  <c r="F756" i="9"/>
  <c r="H756" i="9" s="1"/>
  <c r="F757" i="9"/>
  <c r="H757" i="9" s="1"/>
  <c r="F758" i="9"/>
  <c r="H758" i="9" s="1"/>
  <c r="F759" i="9"/>
  <c r="H759" i="9" s="1"/>
  <c r="F760" i="9"/>
  <c r="H760" i="9" s="1"/>
  <c r="F761" i="9"/>
  <c r="H761" i="9" s="1"/>
  <c r="F762" i="9"/>
  <c r="H762" i="9" s="1"/>
  <c r="F763" i="9"/>
  <c r="H763" i="9" s="1"/>
  <c r="F764" i="9"/>
  <c r="H764" i="9" s="1"/>
  <c r="F765" i="9"/>
  <c r="H765" i="9" s="1"/>
  <c r="F766" i="9"/>
  <c r="H766" i="9" s="1"/>
  <c r="F767" i="9"/>
  <c r="H767" i="9" s="1"/>
  <c r="F768" i="9"/>
  <c r="H768" i="9" s="1"/>
  <c r="F769" i="9"/>
  <c r="H769" i="9" s="1"/>
  <c r="F770" i="9"/>
  <c r="H770" i="9" s="1"/>
  <c r="F771" i="9"/>
  <c r="H771" i="9" s="1"/>
  <c r="F772" i="9"/>
  <c r="H772" i="9" s="1"/>
  <c r="F773" i="9"/>
  <c r="H773" i="9" s="1"/>
  <c r="F774" i="9"/>
  <c r="H774" i="9" s="1"/>
  <c r="F775" i="9"/>
  <c r="H775" i="9" s="1"/>
  <c r="F776" i="9"/>
  <c r="H776" i="9" s="1"/>
  <c r="F777" i="9"/>
  <c r="H777" i="9" s="1"/>
  <c r="F778" i="9"/>
  <c r="H778" i="9" s="1"/>
  <c r="F779" i="9"/>
  <c r="H779" i="9" s="1"/>
  <c r="F780" i="9"/>
  <c r="H780" i="9" s="1"/>
  <c r="F781" i="9"/>
  <c r="H781" i="9" s="1"/>
  <c r="F782" i="9"/>
  <c r="H782" i="9" s="1"/>
  <c r="F783" i="9"/>
  <c r="H783" i="9" s="1"/>
  <c r="F784" i="9"/>
  <c r="H784" i="9" s="1"/>
  <c r="F785" i="9"/>
  <c r="H785" i="9" s="1"/>
  <c r="F786" i="9"/>
  <c r="H786" i="9" s="1"/>
  <c r="F787" i="9"/>
  <c r="H787" i="9" s="1"/>
  <c r="F788" i="9"/>
  <c r="H788" i="9" s="1"/>
  <c r="F789" i="9"/>
  <c r="H789" i="9" s="1"/>
  <c r="F790" i="9"/>
  <c r="H790" i="9" s="1"/>
  <c r="F791" i="9"/>
  <c r="H791" i="9" s="1"/>
  <c r="F792" i="9"/>
  <c r="H792" i="9" s="1"/>
  <c r="F793" i="9"/>
  <c r="H793" i="9" s="1"/>
  <c r="F794" i="9"/>
  <c r="H794" i="9" s="1"/>
  <c r="F795" i="9"/>
  <c r="H795" i="9" s="1"/>
  <c r="F796" i="9"/>
  <c r="H796" i="9" s="1"/>
  <c r="F797" i="9"/>
  <c r="H797" i="9" s="1"/>
  <c r="F798" i="9"/>
  <c r="H798" i="9" s="1"/>
  <c r="F799" i="9"/>
  <c r="H799" i="9" s="1"/>
  <c r="F800" i="9"/>
  <c r="H800" i="9" s="1"/>
  <c r="F801" i="9"/>
  <c r="H801" i="9" s="1"/>
  <c r="F802" i="9"/>
  <c r="H802" i="9" s="1"/>
  <c r="F803" i="9"/>
  <c r="H803" i="9" s="1"/>
  <c r="F804" i="9"/>
  <c r="H804" i="9" s="1"/>
  <c r="F805" i="9"/>
  <c r="H805" i="9" s="1"/>
  <c r="F806" i="9"/>
  <c r="H806" i="9" s="1"/>
  <c r="F807" i="9"/>
  <c r="H807" i="9" s="1"/>
  <c r="F808" i="9"/>
  <c r="H808" i="9" s="1"/>
  <c r="F809" i="9"/>
  <c r="H809" i="9" s="1"/>
  <c r="F810" i="9"/>
  <c r="H810" i="9" s="1"/>
  <c r="F811" i="9"/>
  <c r="H811" i="9" s="1"/>
  <c r="F812" i="9"/>
  <c r="H812" i="9" s="1"/>
  <c r="F813" i="9"/>
  <c r="H813" i="9" s="1"/>
  <c r="F814" i="9"/>
  <c r="H814" i="9" s="1"/>
  <c r="F815" i="9"/>
  <c r="H815" i="9" s="1"/>
  <c r="F816" i="9"/>
  <c r="H816" i="9" s="1"/>
  <c r="F817" i="9"/>
  <c r="H817" i="9" s="1"/>
  <c r="F818" i="9"/>
  <c r="H818" i="9" s="1"/>
  <c r="F819" i="9"/>
  <c r="H819" i="9" s="1"/>
  <c r="F820" i="9"/>
  <c r="H820" i="9" s="1"/>
  <c r="F821" i="9"/>
  <c r="H821" i="9" s="1"/>
  <c r="F822" i="9"/>
  <c r="H822" i="9" s="1"/>
  <c r="F823" i="9"/>
  <c r="H823" i="9" s="1"/>
  <c r="F824" i="9"/>
  <c r="H824" i="9"/>
  <c r="F825" i="9"/>
  <c r="H825" i="9" s="1"/>
  <c r="F826" i="9"/>
  <c r="H826" i="9" s="1"/>
  <c r="F827" i="9"/>
  <c r="H827" i="9" s="1"/>
  <c r="F828" i="9"/>
  <c r="H828" i="9" s="1"/>
  <c r="F829" i="9"/>
  <c r="H829" i="9" s="1"/>
  <c r="F830" i="9"/>
  <c r="H830" i="9" s="1"/>
  <c r="F831" i="9"/>
  <c r="H831" i="9" s="1"/>
  <c r="F832" i="9"/>
  <c r="H832" i="9" s="1"/>
  <c r="F833" i="9"/>
  <c r="H833" i="9" s="1"/>
  <c r="F834" i="9"/>
  <c r="H834" i="9" s="1"/>
  <c r="F835" i="9"/>
  <c r="H835" i="9" s="1"/>
  <c r="F836" i="9"/>
  <c r="H836" i="9" s="1"/>
  <c r="F837" i="9"/>
  <c r="H837" i="9" s="1"/>
  <c r="F838" i="9"/>
  <c r="H838" i="9" s="1"/>
  <c r="F839" i="9"/>
  <c r="H839" i="9" s="1"/>
  <c r="F840" i="9"/>
  <c r="H840" i="9" s="1"/>
  <c r="F841" i="9"/>
  <c r="H841" i="9" s="1"/>
  <c r="F842" i="9"/>
  <c r="H842" i="9" s="1"/>
  <c r="F843" i="9"/>
  <c r="H843" i="9" s="1"/>
  <c r="F844" i="9"/>
  <c r="H844" i="9" s="1"/>
  <c r="F845" i="9"/>
  <c r="H845" i="9" s="1"/>
  <c r="F846" i="9"/>
  <c r="H846" i="9" s="1"/>
  <c r="F847" i="9"/>
  <c r="H847" i="9" s="1"/>
  <c r="F848" i="9"/>
  <c r="H848" i="9" s="1"/>
  <c r="F849" i="9"/>
  <c r="H849" i="9" s="1"/>
  <c r="F850" i="9"/>
  <c r="H850" i="9" s="1"/>
  <c r="F851" i="9"/>
  <c r="H851" i="9" s="1"/>
  <c r="F852" i="9"/>
  <c r="H852" i="9" s="1"/>
  <c r="F853" i="9"/>
  <c r="H853" i="9" s="1"/>
  <c r="F854" i="9"/>
  <c r="H854" i="9" s="1"/>
  <c r="F855" i="9"/>
  <c r="H855" i="9" s="1"/>
  <c r="F856" i="9"/>
  <c r="H856" i="9"/>
  <c r="F857" i="9"/>
  <c r="H857" i="9" s="1"/>
  <c r="F858" i="9"/>
  <c r="H858" i="9" s="1"/>
  <c r="F859" i="9"/>
  <c r="H859" i="9" s="1"/>
  <c r="F860" i="9"/>
  <c r="H860" i="9" s="1"/>
  <c r="F861" i="9"/>
  <c r="H861" i="9" s="1"/>
  <c r="F862" i="9"/>
  <c r="H862" i="9" s="1"/>
  <c r="F863" i="9"/>
  <c r="H863" i="9" s="1"/>
  <c r="F864" i="9"/>
  <c r="H864" i="9" s="1"/>
  <c r="F865" i="9"/>
  <c r="H865" i="9" s="1"/>
  <c r="F866" i="9"/>
  <c r="H866" i="9" s="1"/>
  <c r="F867" i="9"/>
  <c r="H867" i="9" s="1"/>
  <c r="F868" i="9"/>
  <c r="H868" i="9" s="1"/>
  <c r="F869" i="9"/>
  <c r="H869" i="9" s="1"/>
  <c r="F870" i="9"/>
  <c r="H870" i="9" s="1"/>
  <c r="F871" i="9"/>
  <c r="H871" i="9" s="1"/>
  <c r="F872" i="9"/>
  <c r="H872" i="9" s="1"/>
  <c r="F873" i="9"/>
  <c r="H873" i="9" s="1"/>
  <c r="F874" i="9"/>
  <c r="H874" i="9" s="1"/>
  <c r="F875" i="9"/>
  <c r="H875" i="9" s="1"/>
  <c r="F876" i="9"/>
  <c r="H876" i="9" s="1"/>
  <c r="F877" i="9"/>
  <c r="H877" i="9" s="1"/>
  <c r="F878" i="9"/>
  <c r="H878" i="9" s="1"/>
  <c r="F879" i="9"/>
  <c r="H879" i="9" s="1"/>
  <c r="F880" i="9"/>
  <c r="H880" i="9" s="1"/>
  <c r="F881" i="9"/>
  <c r="H881" i="9" s="1"/>
  <c r="F882" i="9"/>
  <c r="H882" i="9" s="1"/>
  <c r="F883" i="9"/>
  <c r="H883" i="9" s="1"/>
  <c r="F884" i="9"/>
  <c r="H884" i="9" s="1"/>
  <c r="F885" i="9"/>
  <c r="H885" i="9" s="1"/>
  <c r="F886" i="9"/>
  <c r="H886" i="9" s="1"/>
  <c r="F887" i="9"/>
  <c r="H887" i="9" s="1"/>
  <c r="F888" i="9"/>
  <c r="H888" i="9" s="1"/>
  <c r="F889" i="9"/>
  <c r="H889" i="9" s="1"/>
  <c r="F890" i="9"/>
  <c r="H890" i="9" s="1"/>
  <c r="F891" i="9"/>
  <c r="H891" i="9" s="1"/>
  <c r="F892" i="9"/>
  <c r="H892" i="9" s="1"/>
  <c r="F893" i="9"/>
  <c r="H893" i="9" s="1"/>
  <c r="F894" i="9"/>
  <c r="H894" i="9" s="1"/>
  <c r="F895" i="9"/>
  <c r="H895" i="9" s="1"/>
  <c r="F896" i="9"/>
  <c r="H896" i="9" s="1"/>
  <c r="F897" i="9"/>
  <c r="H897" i="9" s="1"/>
  <c r="F898" i="9"/>
  <c r="H898" i="9" s="1"/>
  <c r="F899" i="9"/>
  <c r="H899" i="9" s="1"/>
  <c r="F900" i="9"/>
  <c r="H900" i="9" s="1"/>
  <c r="F901" i="9"/>
  <c r="H901" i="9" s="1"/>
  <c r="F902" i="9"/>
  <c r="H902" i="9" s="1"/>
  <c r="F903" i="9"/>
  <c r="H903" i="9" s="1"/>
  <c r="F904" i="9"/>
  <c r="H904" i="9" s="1"/>
  <c r="F905" i="9"/>
  <c r="H905" i="9" s="1"/>
  <c r="F906" i="9"/>
  <c r="H906" i="9" s="1"/>
  <c r="F907" i="9"/>
  <c r="H907" i="9" s="1"/>
  <c r="F908" i="9"/>
  <c r="H908" i="9" s="1"/>
  <c r="F909" i="9"/>
  <c r="H909" i="9" s="1"/>
  <c r="F910" i="9"/>
  <c r="H910" i="9" s="1"/>
  <c r="F911" i="9"/>
  <c r="H911" i="9" s="1"/>
  <c r="F912" i="9"/>
  <c r="H912" i="9" s="1"/>
  <c r="F913" i="9"/>
  <c r="H913" i="9" s="1"/>
  <c r="F914" i="9"/>
  <c r="H914" i="9" s="1"/>
  <c r="F915" i="9"/>
  <c r="H915" i="9" s="1"/>
  <c r="F916" i="9"/>
  <c r="H916" i="9" s="1"/>
  <c r="F917" i="9"/>
  <c r="H917" i="9" s="1"/>
  <c r="F918" i="9"/>
  <c r="H918" i="9" s="1"/>
  <c r="F919" i="9"/>
  <c r="H919" i="9" s="1"/>
  <c r="F920" i="9"/>
  <c r="H920" i="9" s="1"/>
  <c r="F921" i="9"/>
  <c r="H921" i="9" s="1"/>
  <c r="F922" i="9"/>
  <c r="H922" i="9" s="1"/>
  <c r="F923" i="9"/>
  <c r="H923" i="9" s="1"/>
  <c r="F924" i="9"/>
  <c r="H924" i="9" s="1"/>
  <c r="F925" i="9"/>
  <c r="H925" i="9" s="1"/>
  <c r="F926" i="9"/>
  <c r="H926" i="9" s="1"/>
  <c r="F927" i="9"/>
  <c r="H927" i="9" s="1"/>
  <c r="F928" i="9"/>
  <c r="H928" i="9" s="1"/>
  <c r="F929" i="9"/>
  <c r="H929" i="9" s="1"/>
  <c r="F930" i="9"/>
  <c r="H930" i="9" s="1"/>
  <c r="F931" i="9"/>
  <c r="H931" i="9" s="1"/>
  <c r="F932" i="9"/>
  <c r="H932" i="9" s="1"/>
  <c r="F933" i="9"/>
  <c r="H933" i="9" s="1"/>
  <c r="F934" i="9"/>
  <c r="H934" i="9" s="1"/>
  <c r="F935" i="9"/>
  <c r="H935" i="9" s="1"/>
  <c r="F936" i="9"/>
  <c r="H936" i="9" s="1"/>
  <c r="F937" i="9"/>
  <c r="H937" i="9" s="1"/>
  <c r="F938" i="9"/>
  <c r="H938" i="9" s="1"/>
  <c r="F939" i="9"/>
  <c r="H939" i="9" s="1"/>
  <c r="F940" i="9"/>
  <c r="H940" i="9" s="1"/>
  <c r="F941" i="9"/>
  <c r="H941" i="9" s="1"/>
  <c r="F942" i="9"/>
  <c r="H942" i="9" s="1"/>
  <c r="F943" i="9"/>
  <c r="H943" i="9" s="1"/>
  <c r="F944" i="9"/>
  <c r="H944" i="9" s="1"/>
  <c r="F945" i="9"/>
  <c r="H945" i="9" s="1"/>
  <c r="F946" i="9"/>
  <c r="H946" i="9" s="1"/>
  <c r="F947" i="9"/>
  <c r="H947" i="9" s="1"/>
  <c r="F948" i="9"/>
  <c r="H948" i="9" s="1"/>
  <c r="F949" i="9"/>
  <c r="H949" i="9" s="1"/>
  <c r="F950" i="9"/>
  <c r="H950" i="9" s="1"/>
  <c r="F951" i="9"/>
  <c r="H951" i="9" s="1"/>
  <c r="F952" i="9"/>
  <c r="H952" i="9" s="1"/>
  <c r="F953" i="9"/>
  <c r="H953" i="9" s="1"/>
  <c r="F954" i="9"/>
  <c r="H954" i="9" s="1"/>
  <c r="F955" i="9"/>
  <c r="H955" i="9" s="1"/>
  <c r="F956" i="9"/>
  <c r="H956" i="9" s="1"/>
  <c r="F957" i="9"/>
  <c r="H957" i="9" s="1"/>
  <c r="F958" i="9"/>
  <c r="H958" i="9" s="1"/>
  <c r="F959" i="9"/>
  <c r="H959" i="9" s="1"/>
  <c r="F960" i="9"/>
  <c r="H960" i="9" s="1"/>
  <c r="F961" i="9"/>
  <c r="H961" i="9" s="1"/>
  <c r="F962" i="9"/>
  <c r="H962" i="9" s="1"/>
  <c r="F963" i="9"/>
  <c r="H963" i="9" s="1"/>
  <c r="F964" i="9"/>
  <c r="H964" i="9" s="1"/>
  <c r="F965" i="9"/>
  <c r="H965" i="9" s="1"/>
  <c r="F966" i="9"/>
  <c r="H966" i="9" s="1"/>
  <c r="F967" i="9"/>
  <c r="H967" i="9" s="1"/>
  <c r="F968" i="9"/>
  <c r="H968" i="9" s="1"/>
  <c r="F969" i="9"/>
  <c r="H969" i="9" s="1"/>
  <c r="F970" i="9"/>
  <c r="H970" i="9" s="1"/>
  <c r="F971" i="9"/>
  <c r="H971" i="9" s="1"/>
  <c r="F972" i="9"/>
  <c r="H972" i="9" s="1"/>
  <c r="F973" i="9"/>
  <c r="H973" i="9" s="1"/>
  <c r="F974" i="9"/>
  <c r="H974" i="9" s="1"/>
  <c r="F975" i="9"/>
  <c r="H975" i="9" s="1"/>
  <c r="F976" i="9"/>
  <c r="H976" i="9" s="1"/>
  <c r="F977" i="9"/>
  <c r="H977" i="9" s="1"/>
  <c r="F978" i="9"/>
  <c r="H978" i="9" s="1"/>
  <c r="F979" i="9"/>
  <c r="H979" i="9" s="1"/>
  <c r="F980" i="9"/>
  <c r="H980" i="9" s="1"/>
  <c r="F981" i="9"/>
  <c r="H981" i="9" s="1"/>
  <c r="F982" i="9"/>
  <c r="H982" i="9" s="1"/>
  <c r="F983" i="9"/>
  <c r="H983" i="9" s="1"/>
  <c r="F984" i="9"/>
  <c r="H984" i="9" s="1"/>
  <c r="F985" i="9"/>
  <c r="H985" i="9" s="1"/>
  <c r="F986" i="9"/>
  <c r="H986" i="9" s="1"/>
  <c r="F987" i="9"/>
  <c r="H987" i="9" s="1"/>
  <c r="F988" i="9"/>
  <c r="H988" i="9" s="1"/>
  <c r="F989" i="9"/>
  <c r="H989" i="9" s="1"/>
  <c r="F990" i="9"/>
  <c r="H990" i="9" s="1"/>
  <c r="F991" i="9"/>
  <c r="H991" i="9" s="1"/>
  <c r="F992" i="9"/>
  <c r="H992" i="9"/>
  <c r="F993" i="9"/>
  <c r="H993" i="9" s="1"/>
  <c r="F994" i="9"/>
  <c r="H994" i="9" s="1"/>
  <c r="F995" i="9"/>
  <c r="H995" i="9" s="1"/>
  <c r="F996" i="9"/>
  <c r="H996" i="9" s="1"/>
  <c r="F997" i="9"/>
  <c r="H997" i="9" s="1"/>
  <c r="F998" i="9"/>
  <c r="H998" i="9" s="1"/>
  <c r="F999" i="9"/>
  <c r="H999" i="9" s="1"/>
  <c r="F1000" i="9"/>
  <c r="H1000" i="9" s="1"/>
  <c r="F1001" i="9"/>
  <c r="H1001" i="9" s="1"/>
  <c r="F1002" i="9"/>
  <c r="H1002" i="9" s="1"/>
  <c r="F1003" i="9"/>
  <c r="H1003" i="9" s="1"/>
  <c r="F1004" i="9"/>
  <c r="H1004" i="9" s="1"/>
  <c r="F1005" i="9"/>
  <c r="H1005" i="9" s="1"/>
  <c r="F1006" i="9"/>
  <c r="H1006" i="9" s="1"/>
  <c r="F1007" i="9"/>
  <c r="H1007" i="9" s="1"/>
  <c r="F1008" i="9"/>
  <c r="H1008" i="9" s="1"/>
  <c r="F1009" i="9"/>
  <c r="H1009" i="9" s="1"/>
  <c r="F1010" i="9"/>
  <c r="H1010" i="9"/>
  <c r="F1011" i="9"/>
  <c r="H1011" i="9" s="1"/>
  <c r="F1012" i="9"/>
  <c r="H1012" i="9" s="1"/>
  <c r="F1013" i="9"/>
  <c r="H1013" i="9" s="1"/>
  <c r="F1014" i="9"/>
  <c r="H1014" i="9" s="1"/>
  <c r="F1015" i="9"/>
  <c r="H1015" i="9" s="1"/>
  <c r="F1016" i="9"/>
  <c r="H1016" i="9" s="1"/>
  <c r="F1017" i="9"/>
  <c r="H1017" i="9" s="1"/>
  <c r="F1018" i="9"/>
  <c r="H1018" i="9" s="1"/>
  <c r="F1019" i="9"/>
  <c r="H1019" i="9" s="1"/>
  <c r="F1020" i="9"/>
  <c r="H1020" i="9" s="1"/>
  <c r="F1021" i="9"/>
  <c r="H1021" i="9" s="1"/>
  <c r="F1022" i="9"/>
  <c r="H1022" i="9" s="1"/>
  <c r="F1023" i="9"/>
  <c r="H1023" i="9" s="1"/>
  <c r="F1024" i="9"/>
  <c r="H1024" i="9" s="1"/>
  <c r="F1025" i="9"/>
  <c r="H1025" i="9" s="1"/>
  <c r="F1026" i="9"/>
  <c r="H1026" i="9" s="1"/>
  <c r="F1027" i="9"/>
  <c r="H1027" i="9" s="1"/>
  <c r="F1028" i="9"/>
  <c r="H1028" i="9" s="1"/>
  <c r="F1029" i="9"/>
  <c r="H1029" i="9" s="1"/>
  <c r="F1030" i="9"/>
  <c r="H1030" i="9" s="1"/>
  <c r="F1031" i="9"/>
  <c r="H1031" i="9" s="1"/>
  <c r="F1032" i="9"/>
  <c r="H1032" i="9" s="1"/>
  <c r="F1033" i="9"/>
  <c r="H1033" i="9" s="1"/>
  <c r="F1034" i="9"/>
  <c r="H1034" i="9" s="1"/>
  <c r="F1035" i="9"/>
  <c r="H1035" i="9" s="1"/>
  <c r="F1036" i="9"/>
  <c r="H1036" i="9" s="1"/>
  <c r="F1037" i="9"/>
  <c r="H1037" i="9" s="1"/>
  <c r="F1038" i="9"/>
  <c r="H1038" i="9" s="1"/>
  <c r="F1039" i="9"/>
  <c r="H1039" i="9" s="1"/>
  <c r="F1040" i="9"/>
  <c r="H1040" i="9" s="1"/>
  <c r="F1041" i="9"/>
  <c r="H1041" i="9" s="1"/>
  <c r="F1042" i="9"/>
  <c r="H1042" i="9" s="1"/>
  <c r="F1043" i="9"/>
  <c r="H1043" i="9" s="1"/>
  <c r="F1044" i="9"/>
  <c r="H1044" i="9" s="1"/>
  <c r="F1045" i="9"/>
  <c r="H1045" i="9"/>
  <c r="F1046" i="9"/>
  <c r="H1046" i="9" s="1"/>
  <c r="F1047" i="9"/>
  <c r="H1047" i="9" s="1"/>
  <c r="F1048" i="9"/>
  <c r="H1048" i="9" s="1"/>
  <c r="F1049" i="9"/>
  <c r="H1049" i="9" s="1"/>
  <c r="F1050" i="9"/>
  <c r="H1050" i="9" s="1"/>
  <c r="F1051" i="9"/>
  <c r="H1051" i="9" s="1"/>
  <c r="F1052" i="9"/>
  <c r="H1052" i="9" s="1"/>
  <c r="F1053" i="9"/>
  <c r="H1053" i="9"/>
  <c r="F1054" i="9"/>
  <c r="H1054" i="9" s="1"/>
  <c r="F1055" i="9"/>
  <c r="H1055" i="9" s="1"/>
  <c r="F1056" i="9"/>
  <c r="H1056" i="9" s="1"/>
  <c r="F1057" i="9"/>
  <c r="H1057" i="9" s="1"/>
  <c r="F1058" i="9"/>
  <c r="H1058" i="9" s="1"/>
  <c r="F1059" i="9"/>
  <c r="H1059" i="9" s="1"/>
  <c r="F1060" i="9"/>
  <c r="H1060" i="9" s="1"/>
  <c r="F1061" i="9"/>
  <c r="H1061" i="9" s="1"/>
  <c r="F1062" i="9"/>
  <c r="H1062" i="9" s="1"/>
  <c r="F1063" i="9"/>
  <c r="H1063" i="9" s="1"/>
  <c r="F1064" i="9"/>
  <c r="H1064" i="9" s="1"/>
  <c r="F1065" i="9"/>
  <c r="H1065" i="9"/>
  <c r="F1066" i="9"/>
  <c r="H1066" i="9" s="1"/>
  <c r="F1067" i="9"/>
  <c r="H1067" i="9" s="1"/>
  <c r="F1068" i="9"/>
  <c r="H1068" i="9" s="1"/>
  <c r="F1069" i="9"/>
  <c r="H1069" i="9" s="1"/>
  <c r="F1070" i="9"/>
  <c r="H1070" i="9" s="1"/>
  <c r="F1071" i="9"/>
  <c r="H1071" i="9" s="1"/>
  <c r="F1072" i="9"/>
  <c r="H1072" i="9" s="1"/>
  <c r="F1073" i="9"/>
  <c r="H1073" i="9" s="1"/>
  <c r="F1074" i="9"/>
  <c r="H1074" i="9" s="1"/>
  <c r="F1075" i="9"/>
  <c r="H1075" i="9" s="1"/>
  <c r="F1076" i="9"/>
  <c r="H1076" i="9" s="1"/>
  <c r="F1077" i="9"/>
  <c r="H1077" i="9" s="1"/>
  <c r="F1078" i="9"/>
  <c r="H1078" i="9" s="1"/>
  <c r="F1079" i="9"/>
  <c r="H1079" i="9" s="1"/>
  <c r="F1080" i="9"/>
  <c r="H1080" i="9" s="1"/>
  <c r="F1081" i="9"/>
  <c r="H1081" i="9" s="1"/>
  <c r="F1082" i="9"/>
  <c r="H1082" i="9" s="1"/>
  <c r="F1083" i="9"/>
  <c r="H1083" i="9" s="1"/>
  <c r="F1084" i="9"/>
  <c r="H1084" i="9" s="1"/>
  <c r="F1085" i="9"/>
  <c r="H1085" i="9" s="1"/>
  <c r="F1086" i="9"/>
  <c r="H1086" i="9" s="1"/>
  <c r="F1087" i="9"/>
  <c r="H1087" i="9" s="1"/>
  <c r="F1088" i="9"/>
  <c r="H1088" i="9" s="1"/>
  <c r="F1089" i="9"/>
  <c r="H1089" i="9" s="1"/>
  <c r="F1090" i="9"/>
  <c r="H1090" i="9" s="1"/>
  <c r="F1091" i="9"/>
  <c r="H1091" i="9" s="1"/>
  <c r="F1092" i="9"/>
  <c r="H1092" i="9" s="1"/>
  <c r="F1093" i="9"/>
  <c r="H1093" i="9" s="1"/>
  <c r="F1094" i="9"/>
  <c r="H1094" i="9" s="1"/>
  <c r="F1095" i="9"/>
  <c r="H1095" i="9" s="1"/>
  <c r="F1096" i="9"/>
  <c r="H1096" i="9" s="1"/>
  <c r="F1097" i="9"/>
  <c r="H1097" i="9" s="1"/>
  <c r="F1098" i="9"/>
  <c r="H1098" i="9" s="1"/>
  <c r="F1099" i="9"/>
  <c r="H1099" i="9"/>
  <c r="F1100" i="9"/>
  <c r="H1100" i="9" s="1"/>
  <c r="F1101" i="9"/>
  <c r="H1101" i="9" s="1"/>
  <c r="F1102" i="9"/>
  <c r="H1102" i="9" s="1"/>
  <c r="F1103" i="9"/>
  <c r="H1103" i="9" s="1"/>
  <c r="F1104" i="9"/>
  <c r="H1104" i="9" s="1"/>
  <c r="F1105" i="9"/>
  <c r="H1105" i="9" s="1"/>
  <c r="F1106" i="9"/>
  <c r="H1106" i="9" s="1"/>
  <c r="F1107" i="9"/>
  <c r="H1107" i="9" s="1"/>
  <c r="F1108" i="9"/>
  <c r="H1108" i="9" s="1"/>
  <c r="F1109" i="9"/>
  <c r="H1109" i="9" s="1"/>
  <c r="F1110" i="9"/>
  <c r="H1110" i="9" s="1"/>
  <c r="F1111" i="9"/>
  <c r="H1111" i="9" s="1"/>
  <c r="F1112" i="9"/>
  <c r="H1112" i="9" s="1"/>
  <c r="F1113" i="9"/>
  <c r="H1113" i="9" s="1"/>
  <c r="F1114" i="9"/>
  <c r="H1114" i="9" s="1"/>
  <c r="F1115" i="9"/>
  <c r="H1115" i="9" s="1"/>
  <c r="F1116" i="9"/>
  <c r="H1116" i="9" s="1"/>
  <c r="F1117" i="9"/>
  <c r="H1117" i="9" s="1"/>
  <c r="F1118" i="9"/>
  <c r="H1118" i="9" s="1"/>
  <c r="F1119" i="9"/>
  <c r="H1119" i="9" s="1"/>
  <c r="F1120" i="9"/>
  <c r="H1120" i="9" s="1"/>
  <c r="F1121" i="9"/>
  <c r="H1121" i="9" s="1"/>
  <c r="F1122" i="9"/>
  <c r="H1122" i="9" s="1"/>
  <c r="F1123" i="9"/>
  <c r="H1123" i="9" s="1"/>
  <c r="F1124" i="9"/>
  <c r="H1124" i="9" s="1"/>
  <c r="F1125" i="9"/>
  <c r="H1125" i="9" s="1"/>
  <c r="F1126" i="9"/>
  <c r="H1126" i="9" s="1"/>
  <c r="F1127" i="9"/>
  <c r="H1127" i="9" s="1"/>
  <c r="F1128" i="9"/>
  <c r="H1128" i="9" s="1"/>
  <c r="F1129" i="9"/>
  <c r="H1129" i="9" s="1"/>
  <c r="F1130" i="9"/>
  <c r="H1130" i="9" s="1"/>
  <c r="F1131" i="9"/>
  <c r="H1131" i="9" s="1"/>
  <c r="F1132" i="9"/>
  <c r="H1132" i="9" s="1"/>
  <c r="F1133" i="9"/>
  <c r="H1133" i="9" s="1"/>
  <c r="F1134" i="9"/>
  <c r="H1134" i="9" s="1"/>
  <c r="F1135" i="9"/>
  <c r="H1135" i="9" s="1"/>
  <c r="F1136" i="9"/>
  <c r="H1136" i="9" s="1"/>
  <c r="F1137" i="9"/>
  <c r="H1137" i="9" s="1"/>
  <c r="F1138" i="9"/>
  <c r="H1138" i="9" s="1"/>
  <c r="F1139" i="9"/>
  <c r="H1139" i="9" s="1"/>
  <c r="F1140" i="9"/>
  <c r="H1140" i="9" s="1"/>
  <c r="F1141" i="9"/>
  <c r="H1141" i="9" s="1"/>
  <c r="F1142" i="9"/>
  <c r="H1142" i="9" s="1"/>
  <c r="F1143" i="9"/>
  <c r="H1143" i="9" s="1"/>
  <c r="F1144" i="9"/>
  <c r="H1144" i="9" s="1"/>
  <c r="F1145" i="9"/>
  <c r="H1145" i="9" s="1"/>
  <c r="F1146" i="9"/>
  <c r="H1146" i="9" s="1"/>
  <c r="F1147" i="9"/>
  <c r="H1147" i="9" s="1"/>
  <c r="F1148" i="9"/>
  <c r="H1148" i="9" s="1"/>
  <c r="F1149" i="9"/>
  <c r="H1149" i="9"/>
  <c r="F1150" i="9"/>
  <c r="H1150" i="9" s="1"/>
  <c r="F1151" i="9"/>
  <c r="H1151" i="9" s="1"/>
  <c r="F1152" i="9"/>
  <c r="H1152" i="9" s="1"/>
  <c r="F1153" i="9"/>
  <c r="H1153" i="9" s="1"/>
  <c r="F1154" i="9"/>
  <c r="H1154" i="9" s="1"/>
  <c r="F1155" i="9"/>
  <c r="H1155" i="9" s="1"/>
  <c r="F1156" i="9"/>
  <c r="H1156" i="9" s="1"/>
  <c r="F1157" i="9"/>
  <c r="H1157" i="9" s="1"/>
  <c r="F1158" i="9"/>
  <c r="H1158" i="9" s="1"/>
  <c r="F1159" i="9"/>
  <c r="H1159" i="9" s="1"/>
  <c r="F1160" i="9"/>
  <c r="H1160" i="9"/>
  <c r="F1161" i="9"/>
  <c r="H1161" i="9" s="1"/>
  <c r="F1162" i="9"/>
  <c r="H1162" i="9" s="1"/>
  <c r="F1163" i="9"/>
  <c r="H1163" i="9" s="1"/>
  <c r="F1164" i="9"/>
  <c r="H1164" i="9" s="1"/>
  <c r="F1165" i="9"/>
  <c r="H1165" i="9" s="1"/>
  <c r="F1166" i="9"/>
  <c r="H1166" i="9" s="1"/>
  <c r="F1167" i="9"/>
  <c r="H1167" i="9" s="1"/>
  <c r="F1168" i="9"/>
  <c r="H1168" i="9" s="1"/>
  <c r="F1169" i="9"/>
  <c r="H1169" i="9" s="1"/>
  <c r="F1170" i="9"/>
  <c r="H1170" i="9" s="1"/>
  <c r="F1171" i="9"/>
  <c r="H1171" i="9" s="1"/>
  <c r="F1172" i="9"/>
  <c r="H1172" i="9" s="1"/>
  <c r="F1173" i="9"/>
  <c r="H1173" i="9" s="1"/>
  <c r="F1174" i="9"/>
  <c r="H1174" i="9" s="1"/>
  <c r="F1175" i="9"/>
  <c r="H1175" i="9" s="1"/>
  <c r="F1176" i="9"/>
  <c r="H1176" i="9" s="1"/>
  <c r="F1177" i="9"/>
  <c r="H1177" i="9" s="1"/>
  <c r="F1178" i="9"/>
  <c r="H1178" i="9" s="1"/>
  <c r="F1179" i="9"/>
  <c r="H1179" i="9" s="1"/>
  <c r="F1180" i="9"/>
  <c r="H1180" i="9" s="1"/>
  <c r="F1181" i="9"/>
  <c r="H1181" i="9" s="1"/>
  <c r="F1182" i="9"/>
  <c r="H1182" i="9" s="1"/>
  <c r="F1183" i="9"/>
  <c r="H1183" i="9" s="1"/>
  <c r="F1184" i="9"/>
  <c r="H1184" i="9" s="1"/>
  <c r="F1185" i="9"/>
  <c r="H1185" i="9" s="1"/>
  <c r="F1186" i="9"/>
  <c r="H1186" i="9" s="1"/>
  <c r="F1187" i="9"/>
  <c r="H1187" i="9" s="1"/>
  <c r="F1188" i="9"/>
  <c r="H1188" i="9" s="1"/>
  <c r="F1189" i="9"/>
  <c r="H1189" i="9" s="1"/>
  <c r="F1190" i="9"/>
  <c r="H1190" i="9" s="1"/>
  <c r="F1191" i="9"/>
  <c r="H1191" i="9" s="1"/>
  <c r="F1192" i="9"/>
  <c r="H1192" i="9" s="1"/>
  <c r="F1193" i="9"/>
  <c r="H1193" i="9" s="1"/>
  <c r="F1194" i="9"/>
  <c r="H1194" i="9" s="1"/>
  <c r="F1195" i="9"/>
  <c r="H1195" i="9" s="1"/>
  <c r="F1196" i="9"/>
  <c r="H1196" i="9" s="1"/>
  <c r="F1197" i="9"/>
  <c r="H1197" i="9" s="1"/>
  <c r="F1198" i="9"/>
  <c r="H1198" i="9" s="1"/>
  <c r="F1199" i="9"/>
  <c r="H1199" i="9" s="1"/>
  <c r="F1200" i="9"/>
  <c r="H1200" i="9" s="1"/>
  <c r="F1201" i="9"/>
  <c r="H1201" i="9" s="1"/>
  <c r="F1202" i="9"/>
  <c r="H1202" i="9" s="1"/>
  <c r="F1203" i="9"/>
  <c r="H1203" i="9" s="1"/>
  <c r="F1204" i="9"/>
  <c r="H1204" i="9" s="1"/>
  <c r="F1205" i="9"/>
  <c r="H1205" i="9" s="1"/>
  <c r="F1206" i="9"/>
  <c r="H1206" i="9" s="1"/>
  <c r="F1207" i="9"/>
  <c r="H1207" i="9" s="1"/>
  <c r="F1208" i="9"/>
  <c r="H1208" i="9" s="1"/>
  <c r="F1209" i="9"/>
  <c r="H1209" i="9" s="1"/>
  <c r="F1210" i="9"/>
  <c r="H1210" i="9" s="1"/>
  <c r="F1211" i="9"/>
  <c r="H1211" i="9" s="1"/>
  <c r="F1212" i="9"/>
  <c r="H1212" i="9" s="1"/>
  <c r="F1213" i="9"/>
  <c r="H1213" i="9" s="1"/>
  <c r="F1214" i="9"/>
  <c r="H1214" i="9" s="1"/>
  <c r="F1215" i="9"/>
  <c r="H1215" i="9" s="1"/>
  <c r="F1216" i="9"/>
  <c r="H1216" i="9" s="1"/>
  <c r="F1217" i="9"/>
  <c r="H1217" i="9" s="1"/>
  <c r="F1218" i="9"/>
  <c r="H1218" i="9" s="1"/>
  <c r="F1219" i="9"/>
  <c r="H1219" i="9" s="1"/>
  <c r="F1220" i="9"/>
  <c r="H1220" i="9" s="1"/>
  <c r="F1221" i="9"/>
  <c r="H1221" i="9" s="1"/>
  <c r="F1222" i="9"/>
  <c r="H1222" i="9" s="1"/>
  <c r="F1223" i="9"/>
  <c r="H1223" i="9" s="1"/>
  <c r="F1224" i="9"/>
  <c r="H1224" i="9" s="1"/>
  <c r="F1225" i="9"/>
  <c r="H1225" i="9" s="1"/>
  <c r="F1226" i="9"/>
  <c r="H1226" i="9" s="1"/>
  <c r="F1227" i="9"/>
  <c r="H1227" i="9" s="1"/>
  <c r="F1228" i="9"/>
  <c r="H1228" i="9" s="1"/>
  <c r="F1229" i="9"/>
  <c r="H1229" i="9" s="1"/>
  <c r="F1230" i="9"/>
  <c r="H1230" i="9" s="1"/>
  <c r="F1231" i="9"/>
  <c r="H1231" i="9" s="1"/>
  <c r="F1232" i="9"/>
  <c r="H1232" i="9" s="1"/>
  <c r="F1233" i="9"/>
  <c r="H1233" i="9" s="1"/>
  <c r="F1234" i="9"/>
  <c r="H1234" i="9" s="1"/>
  <c r="F1235" i="9"/>
  <c r="H1235" i="9" s="1"/>
  <c r="F1236" i="9"/>
  <c r="H1236" i="9" s="1"/>
  <c r="F1237" i="9"/>
  <c r="H1237" i="9" s="1"/>
  <c r="F1238" i="9"/>
  <c r="H1238" i="9" s="1"/>
  <c r="F1239" i="9"/>
  <c r="H1239" i="9" s="1"/>
  <c r="F1240" i="9"/>
  <c r="H1240" i="9" s="1"/>
  <c r="F1241" i="9"/>
  <c r="H1241" i="9" s="1"/>
  <c r="F1242" i="9"/>
  <c r="H1242" i="9" s="1"/>
  <c r="F1243" i="9"/>
  <c r="H1243" i="9" s="1"/>
  <c r="F1244" i="9"/>
  <c r="H1244" i="9" s="1"/>
  <c r="F1245" i="9"/>
  <c r="H1245" i="9" s="1"/>
  <c r="F1246" i="9"/>
  <c r="H1246" i="9" s="1"/>
  <c r="F1247" i="9"/>
  <c r="H1247" i="9" s="1"/>
  <c r="F1248" i="9"/>
  <c r="H1248" i="9" s="1"/>
  <c r="F1249" i="9"/>
  <c r="H1249" i="9" s="1"/>
  <c r="F1250" i="9"/>
  <c r="H1250" i="9" s="1"/>
  <c r="F1251" i="9"/>
  <c r="H1251" i="9" s="1"/>
  <c r="F1252" i="9"/>
  <c r="H1252" i="9" s="1"/>
  <c r="F1253" i="9"/>
  <c r="H1253" i="9" s="1"/>
  <c r="F1254" i="9"/>
  <c r="H1254" i="9" s="1"/>
  <c r="F1255" i="9"/>
  <c r="H1255" i="9" s="1"/>
  <c r="F1256" i="9"/>
  <c r="H1256" i="9" s="1"/>
  <c r="F1257" i="9"/>
  <c r="H1257" i="9" s="1"/>
  <c r="F1258" i="9"/>
  <c r="H1258" i="9" s="1"/>
  <c r="F1259" i="9"/>
  <c r="H1259" i="9" s="1"/>
  <c r="F1260" i="9"/>
  <c r="H1260" i="9" s="1"/>
  <c r="F1261" i="9"/>
  <c r="H1261" i="9" s="1"/>
  <c r="F1262" i="9"/>
  <c r="H1262" i="9" s="1"/>
  <c r="F1263" i="9"/>
  <c r="H1263" i="9" s="1"/>
  <c r="F1264" i="9"/>
  <c r="H1264" i="9" s="1"/>
  <c r="F1265" i="9"/>
  <c r="H1265" i="9" s="1"/>
  <c r="F1266" i="9"/>
  <c r="H1266" i="9" s="1"/>
  <c r="F1267" i="9"/>
  <c r="H1267" i="9" s="1"/>
  <c r="F1268" i="9"/>
  <c r="H1268" i="9" s="1"/>
  <c r="F1269" i="9"/>
  <c r="H1269" i="9" s="1"/>
  <c r="F1270" i="9"/>
  <c r="H1270" i="9" s="1"/>
  <c r="F1271" i="9"/>
  <c r="H1271" i="9" s="1"/>
  <c r="F1272" i="9"/>
  <c r="H1272" i="9" s="1"/>
  <c r="F1273" i="9"/>
  <c r="H1273" i="9" s="1"/>
  <c r="F1274" i="9"/>
  <c r="H1274" i="9" s="1"/>
  <c r="F1275" i="9"/>
  <c r="H1275" i="9" s="1"/>
  <c r="F1276" i="9"/>
  <c r="H1276" i="9" s="1"/>
  <c r="F1277" i="9"/>
  <c r="H1277" i="9" s="1"/>
  <c r="F1278" i="9"/>
  <c r="H1278" i="9" s="1"/>
  <c r="F1279" i="9"/>
  <c r="H1279" i="9" s="1"/>
  <c r="F1280" i="9"/>
  <c r="H1280" i="9" s="1"/>
  <c r="F1281" i="9"/>
  <c r="H1281" i="9" s="1"/>
  <c r="F1282" i="9"/>
  <c r="H1282" i="9" s="1"/>
  <c r="F1283" i="9"/>
  <c r="H1283" i="9" s="1"/>
  <c r="F1284" i="9"/>
  <c r="H1284" i="9" s="1"/>
  <c r="F1285" i="9"/>
  <c r="H1285" i="9" s="1"/>
  <c r="F1286" i="9"/>
  <c r="H1286" i="9" s="1"/>
  <c r="F1287" i="9"/>
  <c r="H1287" i="9" s="1"/>
  <c r="F1288" i="9"/>
  <c r="H1288" i="9" s="1"/>
  <c r="F1289" i="9"/>
  <c r="H1289" i="9" s="1"/>
  <c r="F1290" i="9"/>
  <c r="H1290" i="9" s="1"/>
  <c r="F1291" i="9"/>
  <c r="H1291" i="9" s="1"/>
  <c r="F1292" i="9"/>
  <c r="H1292" i="9" s="1"/>
  <c r="F1293" i="9"/>
  <c r="H1293" i="9" s="1"/>
  <c r="F1294" i="9"/>
  <c r="H1294" i="9" s="1"/>
  <c r="F1295" i="9"/>
  <c r="H1295" i="9" s="1"/>
  <c r="F1296" i="9"/>
  <c r="H1296" i="9" s="1"/>
  <c r="F1297" i="9"/>
  <c r="H1297" i="9" s="1"/>
  <c r="F1298" i="9"/>
  <c r="H1298" i="9"/>
  <c r="F1299" i="9"/>
  <c r="H1299" i="9" s="1"/>
  <c r="F1300" i="9"/>
  <c r="H1300" i="9" s="1"/>
  <c r="F1301" i="9"/>
  <c r="H1301" i="9" s="1"/>
  <c r="F1302" i="9"/>
  <c r="H1302" i="9" s="1"/>
  <c r="F1303" i="9"/>
  <c r="H1303" i="9" s="1"/>
  <c r="F1304" i="9"/>
  <c r="H1304" i="9" s="1"/>
  <c r="F1305" i="9"/>
  <c r="H1305" i="9" s="1"/>
  <c r="F1306" i="9"/>
  <c r="H1306" i="9" s="1"/>
  <c r="F1307" i="9"/>
  <c r="H1307" i="9" s="1"/>
  <c r="F1308" i="9"/>
  <c r="H1308" i="9" s="1"/>
  <c r="F1309" i="9"/>
  <c r="H1309" i="9" s="1"/>
  <c r="F1310" i="9"/>
  <c r="H1310" i="9" s="1"/>
  <c r="F1311" i="9"/>
  <c r="H1311" i="9" s="1"/>
  <c r="F1312" i="9"/>
  <c r="H1312" i="9" s="1"/>
  <c r="F1313" i="9"/>
  <c r="H1313" i="9" s="1"/>
  <c r="F1314" i="9"/>
  <c r="H1314" i="9" s="1"/>
  <c r="F1315" i="9"/>
  <c r="H1315" i="9" s="1"/>
  <c r="F1316" i="9"/>
  <c r="H1316" i="9" s="1"/>
  <c r="F1317" i="9"/>
  <c r="H1317" i="9" s="1"/>
  <c r="F1318" i="9"/>
  <c r="H1318" i="9" s="1"/>
  <c r="F1319" i="9"/>
  <c r="H1319" i="9" s="1"/>
  <c r="F1320" i="9"/>
  <c r="H1320" i="9" s="1"/>
  <c r="F1321" i="9"/>
  <c r="H1321" i="9" s="1"/>
  <c r="F1322" i="9"/>
  <c r="H1322" i="9" s="1"/>
  <c r="F1323" i="9"/>
  <c r="H1323" i="9" s="1"/>
  <c r="F1324" i="9"/>
  <c r="H1324" i="9" s="1"/>
  <c r="F1325" i="9"/>
  <c r="H1325" i="9" s="1"/>
  <c r="F1326" i="9"/>
  <c r="H1326" i="9" s="1"/>
  <c r="F1327" i="9"/>
  <c r="H1327" i="9" s="1"/>
  <c r="F1328" i="9"/>
  <c r="H1328" i="9" s="1"/>
  <c r="F1329" i="9"/>
  <c r="H1329" i="9" s="1"/>
  <c r="F1330" i="9"/>
  <c r="H1330" i="9" s="1"/>
  <c r="F1331" i="9"/>
  <c r="H1331" i="9" s="1"/>
  <c r="F1332" i="9"/>
  <c r="H1332" i="9" s="1"/>
  <c r="F1333" i="9"/>
  <c r="H1333" i="9" s="1"/>
  <c r="F1334" i="9"/>
  <c r="H1334" i="9" s="1"/>
  <c r="F1335" i="9"/>
  <c r="H1335" i="9" s="1"/>
  <c r="F1336" i="9"/>
  <c r="H1336" i="9" s="1"/>
  <c r="F1337" i="9"/>
  <c r="H1337" i="9"/>
  <c r="F1338" i="9"/>
  <c r="H1338" i="9" s="1"/>
  <c r="F1339" i="9"/>
  <c r="H1339" i="9" s="1"/>
  <c r="F1340" i="9"/>
  <c r="H1340" i="9" s="1"/>
  <c r="F1341" i="9"/>
  <c r="H1341" i="9" s="1"/>
  <c r="F1342" i="9"/>
  <c r="H1342" i="9" s="1"/>
  <c r="F1343" i="9"/>
  <c r="H1343" i="9" s="1"/>
  <c r="F1344" i="9"/>
  <c r="H1344" i="9" s="1"/>
  <c r="F1345" i="9"/>
  <c r="H1345" i="9" s="1"/>
  <c r="F1346" i="9"/>
  <c r="H1346" i="9" s="1"/>
  <c r="F1347" i="9"/>
  <c r="H1347" i="9" s="1"/>
  <c r="F1348" i="9"/>
  <c r="H1348" i="9" s="1"/>
  <c r="F1349" i="9"/>
  <c r="H1349" i="9" s="1"/>
  <c r="F1350" i="9"/>
  <c r="H1350" i="9" s="1"/>
  <c r="F1351" i="9"/>
  <c r="H1351" i="9" s="1"/>
  <c r="F1352" i="9"/>
  <c r="H1352" i="9" s="1"/>
  <c r="F1353" i="9"/>
  <c r="H1353" i="9" s="1"/>
  <c r="F1354" i="9"/>
  <c r="H1354" i="9" s="1"/>
  <c r="F1355" i="9"/>
  <c r="H1355" i="9" s="1"/>
  <c r="F1356" i="9"/>
  <c r="H1356" i="9" s="1"/>
  <c r="F1357" i="9"/>
  <c r="H1357" i="9" s="1"/>
  <c r="F1358" i="9"/>
  <c r="H1358" i="9" s="1"/>
  <c r="F1359" i="9"/>
  <c r="H1359" i="9" s="1"/>
  <c r="F1360" i="9"/>
  <c r="H1360" i="9" s="1"/>
  <c r="F1361" i="9"/>
  <c r="H1361" i="9" s="1"/>
  <c r="F1362" i="9"/>
  <c r="H1362" i="9" s="1"/>
  <c r="F1363" i="9"/>
  <c r="H1363" i="9" s="1"/>
  <c r="F1364" i="9"/>
  <c r="H1364" i="9" s="1"/>
  <c r="F1365" i="9"/>
  <c r="H1365" i="9" s="1"/>
  <c r="F1366" i="9"/>
  <c r="H1366" i="9" s="1"/>
  <c r="F1367" i="9"/>
  <c r="H1367" i="9" s="1"/>
  <c r="F1368" i="9"/>
  <c r="H1368" i="9" s="1"/>
  <c r="F1369" i="9"/>
  <c r="H1369" i="9" s="1"/>
  <c r="F1370" i="9"/>
  <c r="H1370" i="9" s="1"/>
  <c r="F1371" i="9"/>
  <c r="H1371" i="9" s="1"/>
  <c r="F1372" i="9"/>
  <c r="H1372" i="9" s="1"/>
  <c r="F1373" i="9"/>
  <c r="H1373" i="9" s="1"/>
  <c r="F1374" i="9"/>
  <c r="H1374" i="9" s="1"/>
  <c r="F1375" i="9"/>
  <c r="H1375" i="9" s="1"/>
  <c r="F1376" i="9"/>
  <c r="H1376" i="9" s="1"/>
  <c r="F1377" i="9"/>
  <c r="H1377" i="9" s="1"/>
  <c r="F1378" i="9"/>
  <c r="H1378" i="9" s="1"/>
  <c r="F1379" i="9"/>
  <c r="H1379" i="9" s="1"/>
  <c r="F1380" i="9"/>
  <c r="H1380" i="9" s="1"/>
  <c r="F1381" i="9"/>
  <c r="H1381" i="9" s="1"/>
  <c r="F1382" i="9"/>
  <c r="H1382" i="9" s="1"/>
  <c r="F1383" i="9"/>
  <c r="H1383" i="9" s="1"/>
  <c r="F1384" i="9"/>
  <c r="H1384" i="9" s="1"/>
  <c r="F1385" i="9"/>
  <c r="H1385" i="9" s="1"/>
  <c r="F1386" i="9"/>
  <c r="H1386" i="9" s="1"/>
  <c r="F1387" i="9"/>
  <c r="H1387" i="9" s="1"/>
  <c r="F1388" i="9"/>
  <c r="H1388" i="9" s="1"/>
  <c r="F1389" i="9"/>
  <c r="H1389" i="9" s="1"/>
  <c r="F1390" i="9"/>
  <c r="H1390" i="9" s="1"/>
  <c r="F1391" i="9"/>
  <c r="H1391" i="9" s="1"/>
  <c r="F1392" i="9"/>
  <c r="H1392" i="9" s="1"/>
  <c r="F1393" i="9"/>
  <c r="H1393" i="9" s="1"/>
  <c r="F1394" i="9"/>
  <c r="H1394" i="9" s="1"/>
  <c r="F1395" i="9"/>
  <c r="H1395" i="9" s="1"/>
  <c r="F1396" i="9"/>
  <c r="H1396" i="9" s="1"/>
  <c r="F1397" i="9"/>
  <c r="H1397" i="9" s="1"/>
  <c r="F1398" i="9"/>
  <c r="H1398" i="9" s="1"/>
  <c r="F1399" i="9"/>
  <c r="H1399" i="9" s="1"/>
  <c r="F1400" i="9"/>
  <c r="H1400" i="9" s="1"/>
  <c r="F1401" i="9"/>
  <c r="H1401" i="9" s="1"/>
  <c r="F1402" i="9"/>
  <c r="H1402" i="9" s="1"/>
  <c r="F1403" i="9"/>
  <c r="H1403" i="9" s="1"/>
  <c r="F1404" i="9"/>
  <c r="H1404" i="9" s="1"/>
  <c r="F1405" i="9"/>
  <c r="H1405" i="9" s="1"/>
  <c r="F1406" i="9"/>
  <c r="H1406" i="9" s="1"/>
  <c r="F1407" i="9"/>
  <c r="H1407" i="9" s="1"/>
  <c r="F1408" i="9"/>
  <c r="H1408" i="9" s="1"/>
  <c r="F1409" i="9"/>
  <c r="H1409" i="9" s="1"/>
  <c r="F1410" i="9"/>
  <c r="H1410" i="9" s="1"/>
  <c r="F1411" i="9"/>
  <c r="H1411" i="9" s="1"/>
  <c r="F1412" i="9"/>
  <c r="H1412" i="9" s="1"/>
  <c r="F1413" i="9"/>
  <c r="H1413" i="9" s="1"/>
  <c r="F1414" i="9"/>
  <c r="H1414" i="9" s="1"/>
  <c r="F1415" i="9"/>
  <c r="H1415" i="9" s="1"/>
  <c r="F1416" i="9"/>
  <c r="H1416" i="9" s="1"/>
  <c r="F1417" i="9"/>
  <c r="H1417" i="9" s="1"/>
  <c r="F1418" i="9"/>
  <c r="H1418" i="9" s="1"/>
  <c r="F1419" i="9"/>
  <c r="H1419" i="9" s="1"/>
  <c r="F1420" i="9"/>
  <c r="H1420" i="9" s="1"/>
  <c r="F1421" i="9"/>
  <c r="H1421" i="9" s="1"/>
  <c r="F1422" i="9"/>
  <c r="H1422" i="9" s="1"/>
  <c r="F1423" i="9"/>
  <c r="H1423" i="9" s="1"/>
  <c r="F1424" i="9"/>
  <c r="H1424" i="9" s="1"/>
  <c r="F1425" i="9"/>
  <c r="H1425" i="9" s="1"/>
  <c r="F1426" i="9"/>
  <c r="H1426" i="9" s="1"/>
  <c r="F1427" i="9"/>
  <c r="H1427" i="9" s="1"/>
  <c r="F1428" i="9"/>
  <c r="H1428" i="9" s="1"/>
  <c r="F1429" i="9"/>
  <c r="H1429" i="9" s="1"/>
  <c r="F1430" i="9"/>
  <c r="H1430" i="9" s="1"/>
  <c r="F1431" i="9"/>
  <c r="H1431" i="9" s="1"/>
  <c r="F1432" i="9"/>
  <c r="H1432" i="9" s="1"/>
  <c r="F1433" i="9"/>
  <c r="H1433" i="9" s="1"/>
  <c r="F1434" i="9"/>
  <c r="H1434" i="9" s="1"/>
  <c r="F1435" i="9"/>
  <c r="H1435" i="9" s="1"/>
  <c r="F1436" i="9"/>
  <c r="H1436" i="9" s="1"/>
  <c r="F1437" i="9"/>
  <c r="H1437" i="9" s="1"/>
  <c r="F1438" i="9"/>
  <c r="H1438" i="9" s="1"/>
  <c r="F1439" i="9"/>
  <c r="H1439" i="9" s="1"/>
  <c r="F1440" i="9"/>
  <c r="H1440" i="9" s="1"/>
  <c r="F1441" i="9"/>
  <c r="H1441" i="9" s="1"/>
  <c r="F1442" i="9"/>
  <c r="H1442" i="9" s="1"/>
  <c r="F1443" i="9"/>
  <c r="H1443" i="9" s="1"/>
  <c r="F1444" i="9"/>
  <c r="H1444" i="9" s="1"/>
  <c r="F1445" i="9"/>
  <c r="H1445" i="9" s="1"/>
  <c r="F1446" i="9"/>
  <c r="H1446" i="9" s="1"/>
  <c r="F1447" i="9"/>
  <c r="H1447" i="9" s="1"/>
  <c r="F1448" i="9"/>
  <c r="H1448" i="9" s="1"/>
  <c r="F1449" i="9"/>
  <c r="H1449" i="9" s="1"/>
  <c r="F1450" i="9"/>
  <c r="H1450" i="9" s="1"/>
  <c r="F1451" i="9"/>
  <c r="H1451" i="9" s="1"/>
  <c r="F1452" i="9"/>
  <c r="H1452" i="9" s="1"/>
  <c r="F1453" i="9"/>
  <c r="H1453" i="9" s="1"/>
  <c r="F1454" i="9"/>
  <c r="H1454" i="9" s="1"/>
  <c r="F1455" i="9"/>
  <c r="H1455" i="9" s="1"/>
  <c r="F1456" i="9"/>
  <c r="H1456" i="9" s="1"/>
  <c r="F1457" i="9"/>
  <c r="H1457" i="9" s="1"/>
  <c r="F1458" i="9"/>
  <c r="H1458" i="9" s="1"/>
  <c r="F1459" i="9"/>
  <c r="H1459" i="9" s="1"/>
  <c r="F1460" i="9"/>
  <c r="H1460" i="9" s="1"/>
  <c r="F1461" i="9"/>
  <c r="H1461" i="9" s="1"/>
  <c r="F1462" i="9"/>
  <c r="H1462" i="9" s="1"/>
  <c r="F1463" i="9"/>
  <c r="H1463" i="9" s="1"/>
  <c r="F1464" i="9"/>
  <c r="H1464" i="9" s="1"/>
  <c r="F1465" i="9"/>
  <c r="H1465" i="9" s="1"/>
  <c r="F1466" i="9"/>
  <c r="H1466" i="9" s="1"/>
  <c r="F1467" i="9"/>
  <c r="H1467" i="9" s="1"/>
  <c r="F1468" i="9"/>
  <c r="H1468" i="9" s="1"/>
  <c r="F1469" i="9"/>
  <c r="H1469" i="9" s="1"/>
  <c r="F1470" i="9"/>
  <c r="H1470" i="9" s="1"/>
  <c r="F1471" i="9"/>
  <c r="H1471" i="9" s="1"/>
  <c r="F1472" i="9"/>
  <c r="H1472" i="9" s="1"/>
  <c r="F1473" i="9"/>
  <c r="H1473" i="9" s="1"/>
  <c r="F1474" i="9"/>
  <c r="H1474" i="9" s="1"/>
  <c r="F1475" i="9"/>
  <c r="H1475" i="9" s="1"/>
  <c r="F1476" i="9"/>
  <c r="H1476" i="9" s="1"/>
  <c r="F1477" i="9"/>
  <c r="H1477" i="9" s="1"/>
  <c r="F1478" i="9"/>
  <c r="H1478" i="9" s="1"/>
  <c r="F1479" i="9"/>
  <c r="H1479" i="9" s="1"/>
  <c r="F1480" i="9"/>
  <c r="H1480" i="9" s="1"/>
  <c r="F1481" i="9"/>
  <c r="H1481" i="9" s="1"/>
  <c r="F1482" i="9"/>
  <c r="H1482" i="9" s="1"/>
  <c r="F1483" i="9"/>
  <c r="H1483" i="9" s="1"/>
  <c r="F1484" i="9"/>
  <c r="H1484" i="9" s="1"/>
  <c r="F1485" i="9"/>
  <c r="H1485" i="9" s="1"/>
  <c r="F1486" i="9"/>
  <c r="H1486" i="9" s="1"/>
  <c r="F1487" i="9"/>
  <c r="H1487" i="9" s="1"/>
  <c r="F1488" i="9"/>
  <c r="H1488" i="9" s="1"/>
  <c r="F1489" i="9"/>
  <c r="H1489" i="9" s="1"/>
  <c r="F1490" i="9"/>
  <c r="H1490" i="9" s="1"/>
  <c r="F1491" i="9"/>
  <c r="H1491" i="9" s="1"/>
  <c r="F1492" i="9"/>
  <c r="H1492" i="9" s="1"/>
  <c r="F1493" i="9"/>
  <c r="H1493" i="9" s="1"/>
  <c r="F1494" i="9"/>
  <c r="H1494" i="9" s="1"/>
  <c r="F1495" i="9"/>
  <c r="H1495" i="9" s="1"/>
  <c r="F1496" i="9"/>
  <c r="H1496" i="9" s="1"/>
  <c r="F1497" i="9"/>
  <c r="H1497" i="9" s="1"/>
  <c r="F1498" i="9"/>
  <c r="H1498" i="9" s="1"/>
  <c r="F1499" i="9"/>
  <c r="H1499" i="9" s="1"/>
  <c r="F1500" i="9"/>
  <c r="H1500" i="9" s="1"/>
  <c r="F1501" i="9"/>
  <c r="H1501" i="9" s="1"/>
  <c r="F1502" i="9"/>
  <c r="H1502" i="9" s="1"/>
  <c r="F1503" i="9"/>
  <c r="H1503" i="9" s="1"/>
  <c r="F1504" i="9"/>
  <c r="H1504" i="9" s="1"/>
  <c r="F1505" i="9"/>
  <c r="H1505" i="9" s="1"/>
  <c r="F1506" i="9"/>
  <c r="H1506" i="9" s="1"/>
  <c r="F1507" i="9"/>
  <c r="H1507" i="9" s="1"/>
  <c r="F1508" i="9"/>
  <c r="H1508" i="9" s="1"/>
  <c r="F1509" i="9"/>
  <c r="H1509" i="9" s="1"/>
  <c r="F1510" i="9"/>
  <c r="H1510" i="9" s="1"/>
  <c r="F1511" i="9"/>
  <c r="H1511" i="9" s="1"/>
  <c r="F1512" i="9"/>
  <c r="H1512" i="9" s="1"/>
  <c r="F1513" i="9"/>
  <c r="H1513" i="9" s="1"/>
  <c r="F1514" i="9"/>
  <c r="H1514" i="9" s="1"/>
  <c r="F1515" i="9"/>
  <c r="H1515" i="9" s="1"/>
  <c r="F1516" i="9"/>
  <c r="H1516" i="9" s="1"/>
  <c r="F1517" i="9"/>
  <c r="H1517" i="9" s="1"/>
  <c r="F1518" i="9"/>
  <c r="H1518" i="9" s="1"/>
  <c r="F1519" i="9"/>
  <c r="H1519" i="9" s="1"/>
  <c r="F1520" i="9"/>
  <c r="H1520" i="9" s="1"/>
  <c r="F1521" i="9"/>
  <c r="H1521" i="9" s="1"/>
  <c r="F1522" i="9"/>
  <c r="H1522" i="9" s="1"/>
  <c r="F1523" i="9"/>
  <c r="H1523" i="9" s="1"/>
  <c r="F1524" i="9"/>
  <c r="H1524" i="9" s="1"/>
  <c r="F1525" i="9"/>
  <c r="H1525" i="9" s="1"/>
  <c r="F1526" i="9"/>
  <c r="H1526" i="9" s="1"/>
  <c r="F1527" i="9"/>
  <c r="H1527" i="9" s="1"/>
  <c r="F1528" i="9"/>
  <c r="H1528" i="9" s="1"/>
  <c r="F1529" i="9"/>
  <c r="H1529" i="9" s="1"/>
  <c r="F1530" i="9"/>
  <c r="H1530" i="9" s="1"/>
  <c r="F1531" i="9"/>
  <c r="H1531" i="9" s="1"/>
  <c r="F1532" i="9"/>
  <c r="H1532" i="9" s="1"/>
  <c r="F1533" i="9"/>
  <c r="H1533" i="9" s="1"/>
  <c r="F1534" i="9"/>
  <c r="H1534" i="9" s="1"/>
  <c r="F1535" i="9"/>
  <c r="H1535" i="9" s="1"/>
  <c r="F1536" i="9"/>
  <c r="H1536" i="9" s="1"/>
  <c r="F1537" i="9"/>
  <c r="H1537" i="9" s="1"/>
  <c r="F1538" i="9"/>
  <c r="H1538" i="9" s="1"/>
  <c r="F1539" i="9"/>
  <c r="H1539" i="9" s="1"/>
  <c r="F1540" i="9"/>
  <c r="H1540" i="9" s="1"/>
  <c r="F1541" i="9"/>
  <c r="H1541" i="9" s="1"/>
  <c r="F1542" i="9"/>
  <c r="H1542" i="9" s="1"/>
  <c r="F1543" i="9"/>
  <c r="H1543" i="9" s="1"/>
  <c r="F1544" i="9"/>
  <c r="H1544" i="9" s="1"/>
  <c r="F1545" i="9"/>
  <c r="H1545" i="9" s="1"/>
  <c r="F1546" i="9"/>
  <c r="H1546" i="9" s="1"/>
  <c r="F1547" i="9"/>
  <c r="H1547" i="9" s="1"/>
  <c r="F1548" i="9"/>
  <c r="H1548" i="9" s="1"/>
  <c r="F1549" i="9"/>
  <c r="H1549" i="9" s="1"/>
  <c r="F1550" i="9"/>
  <c r="H1550" i="9" s="1"/>
  <c r="F1551" i="9"/>
  <c r="H1551" i="9" s="1"/>
  <c r="F1552" i="9"/>
  <c r="H1552" i="9" s="1"/>
  <c r="F1553" i="9"/>
  <c r="H1553" i="9" s="1"/>
  <c r="F1554" i="9"/>
  <c r="H1554" i="9" s="1"/>
  <c r="F1555" i="9"/>
  <c r="H1555" i="9" s="1"/>
  <c r="F1556" i="9"/>
  <c r="H1556" i="9" s="1"/>
  <c r="F1557" i="9"/>
  <c r="H1557" i="9" s="1"/>
  <c r="F1558" i="9"/>
  <c r="H1558" i="9" s="1"/>
  <c r="F1559" i="9"/>
  <c r="H1559" i="9" s="1"/>
  <c r="F1560" i="9"/>
  <c r="H1560" i="9" s="1"/>
  <c r="F1561" i="9"/>
  <c r="H1561" i="9" s="1"/>
  <c r="F1562" i="9"/>
  <c r="H1562" i="9" s="1"/>
  <c r="F1563" i="9"/>
  <c r="H1563" i="9" s="1"/>
  <c r="F1564" i="9"/>
  <c r="H1564" i="9" s="1"/>
  <c r="F1565" i="9"/>
  <c r="H1565" i="9" s="1"/>
  <c r="F1566" i="9"/>
  <c r="H1566" i="9" s="1"/>
  <c r="F1567" i="9"/>
  <c r="H1567" i="9" s="1"/>
  <c r="F1568" i="9"/>
  <c r="H1568" i="9" s="1"/>
  <c r="F1569" i="9"/>
  <c r="H1569" i="9" s="1"/>
  <c r="F1570" i="9"/>
  <c r="H1570" i="9" s="1"/>
  <c r="F1571" i="9"/>
  <c r="H1571" i="9" s="1"/>
  <c r="F1572" i="9"/>
  <c r="H1572" i="9" s="1"/>
  <c r="F1573" i="9"/>
  <c r="H1573" i="9" s="1"/>
  <c r="F1574" i="9"/>
  <c r="H1574" i="9" s="1"/>
  <c r="F1575" i="9"/>
  <c r="H1575" i="9" s="1"/>
  <c r="F1576" i="9"/>
  <c r="H1576" i="9" s="1"/>
  <c r="F1577" i="9"/>
  <c r="H1577" i="9" s="1"/>
  <c r="F1578" i="9"/>
  <c r="H1578" i="9" s="1"/>
  <c r="F1579" i="9"/>
  <c r="H1579" i="9" s="1"/>
  <c r="F1580" i="9"/>
  <c r="H1580" i="9" s="1"/>
  <c r="F1581" i="9"/>
  <c r="H1581" i="9" s="1"/>
  <c r="F1582" i="9"/>
  <c r="H1582" i="9" s="1"/>
  <c r="F1583" i="9"/>
  <c r="H1583" i="9" s="1"/>
  <c r="F1584" i="9"/>
  <c r="H1584" i="9" s="1"/>
  <c r="F1585" i="9"/>
  <c r="H1585" i="9" s="1"/>
  <c r="F1586" i="9"/>
  <c r="H1586" i="9" s="1"/>
  <c r="F1587" i="9"/>
  <c r="H1587" i="9" s="1"/>
  <c r="F1588" i="9"/>
  <c r="H1588" i="9" s="1"/>
  <c r="F1589" i="9"/>
  <c r="H1589" i="9" s="1"/>
  <c r="F1590" i="9"/>
  <c r="H1590" i="9" s="1"/>
  <c r="F1591" i="9"/>
  <c r="H1591" i="9" s="1"/>
  <c r="F1592" i="9"/>
  <c r="H1592" i="9" s="1"/>
  <c r="F1593" i="9"/>
  <c r="H1593" i="9" s="1"/>
  <c r="F1594" i="9"/>
  <c r="H1594" i="9" s="1"/>
  <c r="F1595" i="9"/>
  <c r="H1595" i="9" s="1"/>
  <c r="F1596" i="9"/>
  <c r="H1596" i="9" s="1"/>
  <c r="F1597" i="9"/>
  <c r="H1597" i="9" s="1"/>
  <c r="F1598" i="9"/>
  <c r="H1598" i="9" s="1"/>
  <c r="F1599" i="9"/>
  <c r="H1599" i="9" s="1"/>
  <c r="F1600" i="9"/>
  <c r="H1600" i="9" s="1"/>
  <c r="F1601" i="9"/>
  <c r="H1601" i="9" s="1"/>
  <c r="F1602" i="9"/>
  <c r="H1602" i="9" s="1"/>
  <c r="F1603" i="9"/>
  <c r="H1603" i="9" s="1"/>
  <c r="F1604" i="9"/>
  <c r="H1604" i="9" s="1"/>
  <c r="F1605" i="9"/>
  <c r="H1605" i="9" s="1"/>
  <c r="F1606" i="9"/>
  <c r="H1606" i="9" s="1"/>
  <c r="F1607" i="9"/>
  <c r="H1607" i="9" s="1"/>
  <c r="F1608" i="9"/>
  <c r="H1608" i="9" s="1"/>
  <c r="F1609" i="9"/>
  <c r="H1609" i="9" s="1"/>
  <c r="F1610" i="9"/>
  <c r="H1610" i="9" s="1"/>
  <c r="F1611" i="9"/>
  <c r="H1611" i="9" s="1"/>
  <c r="F1612" i="9"/>
  <c r="H1612" i="9" s="1"/>
  <c r="F1613" i="9"/>
  <c r="H1613" i="9" s="1"/>
  <c r="F1614" i="9"/>
  <c r="H1614" i="9" s="1"/>
  <c r="F1615" i="9"/>
  <c r="H1615" i="9" s="1"/>
  <c r="F1616" i="9"/>
  <c r="H1616" i="9" s="1"/>
  <c r="F1617" i="9"/>
  <c r="H1617" i="9" s="1"/>
  <c r="F1618" i="9"/>
  <c r="H1618" i="9" s="1"/>
  <c r="F1619" i="9"/>
  <c r="H1619" i="9" s="1"/>
  <c r="F1620" i="9"/>
  <c r="H1620" i="9" s="1"/>
  <c r="F1621" i="9"/>
  <c r="H1621" i="9" s="1"/>
  <c r="F1622" i="9"/>
  <c r="H1622" i="9" s="1"/>
  <c r="F1623" i="9"/>
  <c r="H1623" i="9" s="1"/>
  <c r="F1624" i="9"/>
  <c r="H1624" i="9" s="1"/>
  <c r="F1625" i="9"/>
  <c r="H1625" i="9" s="1"/>
  <c r="F1626" i="9"/>
  <c r="H1626" i="9" s="1"/>
  <c r="F1627" i="9"/>
  <c r="H1627" i="9" s="1"/>
  <c r="F1628" i="9"/>
  <c r="H1628" i="9" s="1"/>
  <c r="F1629" i="9"/>
  <c r="H1629" i="9" s="1"/>
  <c r="F1630" i="9"/>
  <c r="H1630" i="9" s="1"/>
  <c r="F1631" i="9"/>
  <c r="H1631" i="9" s="1"/>
  <c r="F1632" i="9"/>
  <c r="H1632" i="9" s="1"/>
  <c r="F1633" i="9"/>
  <c r="H1633" i="9" s="1"/>
  <c r="F1634" i="9"/>
  <c r="H1634" i="9" s="1"/>
  <c r="F1635" i="9"/>
  <c r="H1635" i="9" s="1"/>
  <c r="F1636" i="9"/>
  <c r="H1636" i="9" s="1"/>
  <c r="F1637" i="9"/>
  <c r="H1637" i="9" s="1"/>
  <c r="F1638" i="9"/>
  <c r="H1638" i="9" s="1"/>
  <c r="F1639" i="9"/>
  <c r="H1639" i="9" s="1"/>
  <c r="F1640" i="9"/>
  <c r="H1640" i="9" s="1"/>
  <c r="F1641" i="9"/>
  <c r="H1641" i="9" s="1"/>
  <c r="F1642" i="9"/>
  <c r="H1642" i="9" s="1"/>
  <c r="F1643" i="9"/>
  <c r="H1643" i="9" s="1"/>
  <c r="F1644" i="9"/>
  <c r="H1644" i="9" s="1"/>
  <c r="F1645" i="9"/>
  <c r="H1645" i="9" s="1"/>
  <c r="F1646" i="9"/>
  <c r="H1646" i="9" s="1"/>
  <c r="F1647" i="9"/>
  <c r="H1647" i="9" s="1"/>
  <c r="F1648" i="9"/>
  <c r="H1648" i="9" s="1"/>
  <c r="F1649" i="9"/>
  <c r="H1649" i="9" s="1"/>
  <c r="F1650" i="9"/>
  <c r="H1650" i="9" s="1"/>
  <c r="F1651" i="9"/>
  <c r="H1651" i="9" s="1"/>
  <c r="F1652" i="9"/>
  <c r="H1652" i="9" s="1"/>
  <c r="F1653" i="9"/>
  <c r="H1653" i="9" s="1"/>
  <c r="F1654" i="9"/>
  <c r="H1654" i="9" s="1"/>
  <c r="F1655" i="9"/>
  <c r="H1655" i="9" s="1"/>
  <c r="F1656" i="9"/>
  <c r="H1656" i="9" s="1"/>
  <c r="F1657" i="9"/>
  <c r="H1657" i="9" s="1"/>
  <c r="F1658" i="9"/>
  <c r="H1658" i="9" s="1"/>
  <c r="F1659" i="9"/>
  <c r="H1659" i="9" s="1"/>
  <c r="F1660" i="9"/>
  <c r="H1660" i="9" s="1"/>
  <c r="F1661" i="9"/>
  <c r="H1661" i="9" s="1"/>
  <c r="F1662" i="9"/>
  <c r="H1662" i="9" s="1"/>
  <c r="F1663" i="9"/>
  <c r="H1663" i="9" s="1"/>
  <c r="F1664" i="9"/>
  <c r="H1664" i="9" s="1"/>
  <c r="F1665" i="9"/>
  <c r="H1665" i="9" s="1"/>
  <c r="F1666" i="9"/>
  <c r="H1666" i="9" s="1"/>
  <c r="F1667" i="9"/>
  <c r="H1667" i="9" s="1"/>
  <c r="F1668" i="9"/>
  <c r="H1668" i="9" s="1"/>
  <c r="F1669" i="9"/>
  <c r="H1669" i="9" s="1"/>
  <c r="F1670" i="9"/>
  <c r="H1670" i="9" s="1"/>
  <c r="F1671" i="9"/>
  <c r="H1671" i="9" s="1"/>
  <c r="F1672" i="9"/>
  <c r="H1672" i="9" s="1"/>
  <c r="F1673" i="9"/>
  <c r="H1673" i="9" s="1"/>
  <c r="F1674" i="9"/>
  <c r="H1674" i="9" s="1"/>
  <c r="F1675" i="9"/>
  <c r="H1675" i="9" s="1"/>
  <c r="F1676" i="9"/>
  <c r="H1676" i="9" s="1"/>
  <c r="F1677" i="9"/>
  <c r="H1677" i="9" s="1"/>
  <c r="F1678" i="9"/>
  <c r="H1678" i="9" s="1"/>
  <c r="F1679" i="9"/>
  <c r="H1679" i="9" s="1"/>
  <c r="F1680" i="9"/>
  <c r="H1680" i="9" s="1"/>
  <c r="F1681" i="9"/>
  <c r="H1681" i="9" s="1"/>
  <c r="F1682" i="9"/>
  <c r="H1682" i="9" s="1"/>
  <c r="F1683" i="9"/>
  <c r="H1683" i="9" s="1"/>
  <c r="F1684" i="9"/>
  <c r="H1684" i="9" s="1"/>
  <c r="F1685" i="9"/>
  <c r="H1685" i="9" s="1"/>
  <c r="F1686" i="9"/>
  <c r="H1686" i="9" s="1"/>
  <c r="F1687" i="9"/>
  <c r="H1687" i="9" s="1"/>
  <c r="F1688" i="9"/>
  <c r="H1688" i="9" s="1"/>
  <c r="F1689" i="9"/>
  <c r="H1689" i="9" s="1"/>
  <c r="F1690" i="9"/>
  <c r="H1690" i="9" s="1"/>
  <c r="F1691" i="9"/>
  <c r="H1691" i="9" s="1"/>
  <c r="F1692" i="9"/>
  <c r="H1692" i="9" s="1"/>
  <c r="F1693" i="9"/>
  <c r="H1693" i="9" s="1"/>
  <c r="F1694" i="9"/>
  <c r="H1694" i="9"/>
  <c r="F1695" i="9"/>
  <c r="H1695" i="9" s="1"/>
  <c r="F1696" i="9"/>
  <c r="H1696" i="9" s="1"/>
  <c r="F1697" i="9"/>
  <c r="H1697" i="9" s="1"/>
  <c r="F1698" i="9"/>
  <c r="H1698" i="9" s="1"/>
  <c r="F1699" i="9"/>
  <c r="H1699" i="9" s="1"/>
  <c r="F1700" i="9"/>
  <c r="H1700" i="9" s="1"/>
  <c r="F1701" i="9"/>
  <c r="H1701" i="9" s="1"/>
  <c r="F1702" i="9"/>
  <c r="H1702" i="9" s="1"/>
  <c r="F1703" i="9"/>
  <c r="H1703" i="9" s="1"/>
  <c r="F1704" i="9"/>
  <c r="H1704" i="9" s="1"/>
  <c r="F1705" i="9"/>
  <c r="H1705" i="9" s="1"/>
  <c r="F1706" i="9"/>
  <c r="H1706" i="9" s="1"/>
  <c r="F1707" i="9"/>
  <c r="H1707" i="9" s="1"/>
  <c r="F1708" i="9"/>
  <c r="H1708" i="9" s="1"/>
  <c r="F1709" i="9"/>
  <c r="H1709" i="9" s="1"/>
  <c r="F1710" i="9"/>
  <c r="H1710" i="9" s="1"/>
  <c r="F1711" i="9"/>
  <c r="H1711" i="9" s="1"/>
  <c r="F1712" i="9"/>
  <c r="H1712" i="9" s="1"/>
  <c r="F1713" i="9"/>
  <c r="H1713" i="9" s="1"/>
  <c r="F1714" i="9"/>
  <c r="H1714" i="9" s="1"/>
  <c r="F1715" i="9"/>
  <c r="H1715" i="9" s="1"/>
  <c r="F1716" i="9"/>
  <c r="H1716" i="9" s="1"/>
  <c r="F1717" i="9"/>
  <c r="H1717" i="9" s="1"/>
  <c r="F1718" i="9"/>
  <c r="H1718" i="9" s="1"/>
  <c r="F1719" i="9"/>
  <c r="H1719" i="9" s="1"/>
  <c r="F1720" i="9"/>
  <c r="H1720" i="9" s="1"/>
  <c r="F1721" i="9"/>
  <c r="H1721" i="9" s="1"/>
  <c r="F1722" i="9"/>
  <c r="H1722" i="9" s="1"/>
  <c r="F1723" i="9"/>
  <c r="H1723" i="9" s="1"/>
  <c r="F1724" i="9"/>
  <c r="H1724" i="9" s="1"/>
  <c r="F1725" i="9"/>
  <c r="H1725" i="9" s="1"/>
  <c r="F1726" i="9"/>
  <c r="H1726" i="9" s="1"/>
  <c r="F1727" i="9"/>
  <c r="H1727" i="9" s="1"/>
  <c r="F1728" i="9"/>
  <c r="H1728" i="9" s="1"/>
  <c r="F1729" i="9"/>
  <c r="H1729" i="9" s="1"/>
  <c r="F1730" i="9"/>
  <c r="H1730" i="9" s="1"/>
  <c r="F1731" i="9"/>
  <c r="H1731" i="9" s="1"/>
  <c r="F1732" i="9"/>
  <c r="H1732" i="9" s="1"/>
  <c r="F1733" i="9"/>
  <c r="H1733" i="9" s="1"/>
  <c r="F1734" i="9"/>
  <c r="H1734" i="9" s="1"/>
  <c r="F1735" i="9"/>
  <c r="H1735" i="9" s="1"/>
  <c r="F1736" i="9"/>
  <c r="H1736" i="9" s="1"/>
  <c r="F1737" i="9"/>
  <c r="H1737" i="9" s="1"/>
  <c r="F1738" i="9"/>
  <c r="H1738" i="9" s="1"/>
  <c r="F1739" i="9"/>
  <c r="H1739" i="9" s="1"/>
  <c r="F1740" i="9"/>
  <c r="H1740" i="9" s="1"/>
  <c r="F1741" i="9"/>
  <c r="H1741" i="9" s="1"/>
  <c r="F1742" i="9"/>
  <c r="H1742" i="9" s="1"/>
  <c r="F1743" i="9"/>
  <c r="H1743" i="9" s="1"/>
  <c r="F1744" i="9"/>
  <c r="H1744" i="9" s="1"/>
  <c r="F1745" i="9"/>
  <c r="H1745" i="9" s="1"/>
  <c r="F1746" i="9"/>
  <c r="H1746" i="9" s="1"/>
  <c r="F1747" i="9"/>
  <c r="H1747" i="9" s="1"/>
  <c r="F1748" i="9"/>
  <c r="H1748" i="9" s="1"/>
  <c r="F1749" i="9"/>
  <c r="H1749" i="9"/>
  <c r="F1750" i="9"/>
  <c r="H1750" i="9" s="1"/>
  <c r="F1751" i="9"/>
  <c r="H1751" i="9" s="1"/>
  <c r="F1752" i="9"/>
  <c r="H1752" i="9" s="1"/>
  <c r="F1753" i="9"/>
  <c r="H1753" i="9" s="1"/>
  <c r="F1754" i="9"/>
  <c r="H1754" i="9" s="1"/>
  <c r="F1755" i="9"/>
  <c r="H1755" i="9" s="1"/>
  <c r="F1756" i="9"/>
  <c r="H1756" i="9" s="1"/>
  <c r="F1757" i="9"/>
  <c r="H1757" i="9" s="1"/>
  <c r="F1758" i="9"/>
  <c r="H1758" i="9" s="1"/>
  <c r="F1759" i="9"/>
  <c r="H1759" i="9" s="1"/>
  <c r="F1760" i="9"/>
  <c r="H1760" i="9" s="1"/>
  <c r="F1761" i="9"/>
  <c r="H1761" i="9" s="1"/>
  <c r="F1762" i="9"/>
  <c r="H1762" i="9" s="1"/>
  <c r="F1763" i="9"/>
  <c r="H1763" i="9" s="1"/>
  <c r="F1764" i="9"/>
  <c r="H1764" i="9" s="1"/>
  <c r="F1765" i="9"/>
  <c r="H1765" i="9" s="1"/>
  <c r="F1766" i="9"/>
  <c r="H1766" i="9" s="1"/>
  <c r="F1767" i="9"/>
  <c r="H1767" i="9" s="1"/>
  <c r="F1768" i="9"/>
  <c r="H1768" i="9" s="1"/>
  <c r="F1769" i="9"/>
  <c r="H1769" i="9" s="1"/>
  <c r="F1770" i="9"/>
  <c r="H1770" i="9" s="1"/>
  <c r="F1771" i="9"/>
  <c r="H1771" i="9" s="1"/>
  <c r="F1772" i="9"/>
  <c r="H1772" i="9" s="1"/>
  <c r="F1773" i="9"/>
  <c r="H1773" i="9" s="1"/>
  <c r="F1774" i="9"/>
  <c r="H1774" i="9" s="1"/>
  <c r="F1775" i="9"/>
  <c r="H1775" i="9" s="1"/>
  <c r="F1776" i="9"/>
  <c r="H1776" i="9" s="1"/>
  <c r="F1777" i="9"/>
  <c r="H1777" i="9" s="1"/>
  <c r="F1778" i="9"/>
  <c r="H1778" i="9" s="1"/>
  <c r="F1779" i="9"/>
  <c r="H1779" i="9" s="1"/>
  <c r="F1780" i="9"/>
  <c r="H1780" i="9" s="1"/>
  <c r="F1781" i="9"/>
  <c r="H1781" i="9" s="1"/>
  <c r="F1782" i="9"/>
  <c r="H1782" i="9" s="1"/>
  <c r="F1783" i="9"/>
  <c r="H1783" i="9" s="1"/>
  <c r="F1784" i="9"/>
  <c r="H1784" i="9" s="1"/>
  <c r="F1785" i="9"/>
  <c r="H1785" i="9" s="1"/>
  <c r="F1786" i="9"/>
  <c r="H1786" i="9" s="1"/>
  <c r="F1787" i="9"/>
  <c r="H1787" i="9" s="1"/>
  <c r="F1788" i="9"/>
  <c r="H1788" i="9" s="1"/>
  <c r="F1789" i="9"/>
  <c r="H1789" i="9" s="1"/>
  <c r="F1790" i="9"/>
  <c r="H1790" i="9" s="1"/>
  <c r="F1791" i="9"/>
  <c r="H1791" i="9" s="1"/>
  <c r="F1792" i="9"/>
  <c r="H1792" i="9" s="1"/>
  <c r="F1793" i="9"/>
  <c r="H1793" i="9" s="1"/>
  <c r="F1794" i="9"/>
  <c r="H1794" i="9" s="1"/>
  <c r="F1795" i="9"/>
  <c r="H1795" i="9" s="1"/>
  <c r="F1796" i="9"/>
  <c r="H1796" i="9" s="1"/>
  <c r="F1797" i="9"/>
  <c r="H1797" i="9" s="1"/>
  <c r="F1798" i="9"/>
  <c r="H1798" i="9" s="1"/>
  <c r="F1799" i="9"/>
  <c r="H1799" i="9" s="1"/>
  <c r="F1800" i="9"/>
  <c r="H1800" i="9" s="1"/>
  <c r="F1801" i="9"/>
  <c r="H1801" i="9" s="1"/>
  <c r="F1802" i="9"/>
  <c r="H1802" i="9" s="1"/>
  <c r="F1803" i="9"/>
  <c r="H1803" i="9" s="1"/>
  <c r="F1804" i="9"/>
  <c r="H1804" i="9" s="1"/>
  <c r="F1805" i="9"/>
  <c r="H1805" i="9" s="1"/>
  <c r="F1806" i="9"/>
  <c r="H1806" i="9" s="1"/>
  <c r="F1807" i="9"/>
  <c r="H1807" i="9" s="1"/>
  <c r="F1808" i="9"/>
  <c r="H1808" i="9" s="1"/>
  <c r="F1809" i="9"/>
  <c r="H1809" i="9" s="1"/>
  <c r="F1810" i="9"/>
  <c r="H1810" i="9" s="1"/>
  <c r="F1811" i="9"/>
  <c r="H1811" i="9" s="1"/>
  <c r="F1812" i="9"/>
  <c r="H1812" i="9" s="1"/>
  <c r="F1813" i="9"/>
  <c r="H1813" i="9" s="1"/>
  <c r="F1814" i="9"/>
  <c r="H1814" i="9" s="1"/>
  <c r="F1815" i="9"/>
  <c r="H1815" i="9" s="1"/>
  <c r="F1816" i="9"/>
  <c r="H1816" i="9" s="1"/>
  <c r="F1817" i="9"/>
  <c r="H1817" i="9" s="1"/>
  <c r="F1818" i="9"/>
  <c r="H1818" i="9" s="1"/>
  <c r="F1819" i="9"/>
  <c r="H1819" i="9" s="1"/>
  <c r="F1820" i="9"/>
  <c r="H1820" i="9" s="1"/>
  <c r="F1821" i="9"/>
  <c r="H1821" i="9" s="1"/>
  <c r="F1822" i="9"/>
  <c r="H1822" i="9" s="1"/>
  <c r="F1823" i="9"/>
  <c r="H1823" i="9" s="1"/>
  <c r="F1824" i="9"/>
  <c r="H1824" i="9" s="1"/>
  <c r="F1825" i="9"/>
  <c r="H1825" i="9" s="1"/>
  <c r="F1826" i="9"/>
  <c r="H1826" i="9" s="1"/>
  <c r="F1827" i="9"/>
  <c r="H1827" i="9" s="1"/>
  <c r="F1828" i="9"/>
  <c r="H1828" i="9" s="1"/>
  <c r="F1829" i="9"/>
  <c r="H1829" i="9" s="1"/>
  <c r="F1830" i="9"/>
  <c r="H1830" i="9" s="1"/>
  <c r="F1831" i="9"/>
  <c r="H1831" i="9" s="1"/>
  <c r="F1832" i="9"/>
  <c r="H1832" i="9" s="1"/>
  <c r="F1833" i="9"/>
  <c r="H1833" i="9" s="1"/>
  <c r="F1834" i="9"/>
  <c r="H1834" i="9" s="1"/>
  <c r="F1835" i="9"/>
  <c r="H1835" i="9" s="1"/>
  <c r="F1836" i="9"/>
  <c r="H1836" i="9" s="1"/>
  <c r="F1837" i="9"/>
  <c r="H1837" i="9" s="1"/>
  <c r="F1838" i="9"/>
  <c r="H1838" i="9" s="1"/>
  <c r="F1839" i="9"/>
  <c r="H1839" i="9" s="1"/>
  <c r="F1840" i="9"/>
  <c r="H1840" i="9" s="1"/>
  <c r="F1841" i="9"/>
  <c r="H1841" i="9" s="1"/>
  <c r="F1842" i="9"/>
  <c r="H1842" i="9" s="1"/>
  <c r="F1843" i="9"/>
  <c r="H1843" i="9" s="1"/>
  <c r="F1844" i="9"/>
  <c r="H1844" i="9" s="1"/>
  <c r="F1845" i="9"/>
  <c r="H1845" i="9" s="1"/>
  <c r="F1846" i="9"/>
  <c r="H1846" i="9" s="1"/>
  <c r="F1847" i="9"/>
  <c r="H1847" i="9" s="1"/>
  <c r="F1848" i="9"/>
  <c r="H1848" i="9" s="1"/>
  <c r="F1849" i="9"/>
  <c r="H1849" i="9" s="1"/>
  <c r="F1850" i="9"/>
  <c r="H1850" i="9" s="1"/>
  <c r="F1851" i="9"/>
  <c r="H1851" i="9" s="1"/>
  <c r="F1852" i="9"/>
  <c r="H1852" i="9" s="1"/>
  <c r="F1853" i="9"/>
  <c r="H1853" i="9" s="1"/>
  <c r="F1854" i="9"/>
  <c r="H1854" i="9" s="1"/>
  <c r="F1855" i="9"/>
  <c r="H1855" i="9" s="1"/>
  <c r="F1856" i="9"/>
  <c r="H1856" i="9" s="1"/>
  <c r="F1857" i="9"/>
  <c r="H1857" i="9" s="1"/>
  <c r="F1858" i="9"/>
  <c r="H1858" i="9" s="1"/>
  <c r="F1859" i="9"/>
  <c r="H1859" i="9" s="1"/>
  <c r="F1860" i="9"/>
  <c r="H1860" i="9" s="1"/>
  <c r="F1861" i="9"/>
  <c r="H1861" i="9" s="1"/>
  <c r="F1862" i="9"/>
  <c r="H1862" i="9" s="1"/>
  <c r="F1863" i="9"/>
  <c r="H1863" i="9" s="1"/>
  <c r="F1864" i="9"/>
  <c r="H1864" i="9" s="1"/>
  <c r="F1865" i="9"/>
  <c r="H1865" i="9" s="1"/>
  <c r="F1866" i="9"/>
  <c r="H1866" i="9" s="1"/>
  <c r="F1867" i="9"/>
  <c r="H1867" i="9" s="1"/>
  <c r="F1868" i="9"/>
  <c r="H1868" i="9" s="1"/>
  <c r="F1869" i="9"/>
  <c r="H1869" i="9" s="1"/>
  <c r="F1870" i="9"/>
  <c r="H1870" i="9" s="1"/>
  <c r="F1871" i="9"/>
  <c r="H1871" i="9" s="1"/>
  <c r="F1872" i="9"/>
  <c r="H1872" i="9" s="1"/>
  <c r="F1873" i="9"/>
  <c r="H1873" i="9" s="1"/>
  <c r="F1874" i="9"/>
  <c r="H1874" i="9" s="1"/>
  <c r="F1875" i="9"/>
  <c r="H1875" i="9" s="1"/>
  <c r="F1876" i="9"/>
  <c r="H1876" i="9" s="1"/>
  <c r="F1877" i="9"/>
  <c r="H1877" i="9" s="1"/>
  <c r="F1878" i="9"/>
  <c r="H1878" i="9" s="1"/>
  <c r="F1879" i="9"/>
  <c r="H1879" i="9" s="1"/>
  <c r="F1880" i="9"/>
  <c r="H1880" i="9" s="1"/>
  <c r="F1881" i="9"/>
  <c r="H1881" i="9" s="1"/>
  <c r="F1882" i="9"/>
  <c r="H1882" i="9" s="1"/>
  <c r="F1883" i="9"/>
  <c r="H1883" i="9" s="1"/>
  <c r="F1884" i="9"/>
  <c r="H1884" i="9" s="1"/>
  <c r="F1885" i="9"/>
  <c r="H1885" i="9" s="1"/>
  <c r="F1886" i="9"/>
  <c r="H1886" i="9" s="1"/>
  <c r="F1887" i="9"/>
  <c r="H1887" i="9" s="1"/>
  <c r="F1888" i="9"/>
  <c r="H1888" i="9" s="1"/>
  <c r="F1889" i="9"/>
  <c r="H1889" i="9" s="1"/>
  <c r="F1890" i="9"/>
  <c r="H1890" i="9" s="1"/>
  <c r="F1891" i="9"/>
  <c r="H1891" i="9" s="1"/>
  <c r="F1892" i="9"/>
  <c r="H1892" i="9" s="1"/>
  <c r="F1893" i="9"/>
  <c r="H1893" i="9" s="1"/>
  <c r="F1894" i="9"/>
  <c r="H1894" i="9" s="1"/>
  <c r="F1895" i="9"/>
  <c r="H1895" i="9" s="1"/>
  <c r="F1896" i="9"/>
  <c r="H1896" i="9" s="1"/>
  <c r="F1897" i="9"/>
  <c r="H1897" i="9" s="1"/>
  <c r="F1898" i="9"/>
  <c r="H1898" i="9" s="1"/>
  <c r="F1899" i="9"/>
  <c r="H1899" i="9" s="1"/>
  <c r="F1900" i="9"/>
  <c r="H1900" i="9" s="1"/>
  <c r="F1901" i="9"/>
  <c r="H1901" i="9" s="1"/>
  <c r="F1902" i="9"/>
  <c r="H1902" i="9" s="1"/>
  <c r="F1903" i="9"/>
  <c r="H1903" i="9" s="1"/>
  <c r="F1904" i="9"/>
  <c r="H1904" i="9" s="1"/>
  <c r="F1905" i="9"/>
  <c r="H1905" i="9" s="1"/>
  <c r="F1906" i="9"/>
  <c r="H1906" i="9" s="1"/>
  <c r="F1907" i="9"/>
  <c r="H1907" i="9" s="1"/>
  <c r="F1908" i="9"/>
  <c r="H1908" i="9" s="1"/>
  <c r="F1909" i="9"/>
  <c r="H1909" i="9" s="1"/>
  <c r="F1910" i="9"/>
  <c r="H1910" i="9" s="1"/>
  <c r="F1911" i="9"/>
  <c r="H1911" i="9" s="1"/>
  <c r="F1912" i="9"/>
  <c r="H1912" i="9" s="1"/>
  <c r="F1913" i="9"/>
  <c r="H1913" i="9" s="1"/>
  <c r="F1914" i="9"/>
  <c r="H1914" i="9" s="1"/>
  <c r="F1915" i="9"/>
  <c r="H1915" i="9" s="1"/>
  <c r="F1916" i="9"/>
  <c r="H1916" i="9" s="1"/>
  <c r="F1917" i="9"/>
  <c r="H1917" i="9"/>
  <c r="F1918" i="9"/>
  <c r="H1918" i="9" s="1"/>
  <c r="F1919" i="9"/>
  <c r="H1919" i="9" s="1"/>
  <c r="F1920" i="9"/>
  <c r="H1920" i="9" s="1"/>
  <c r="F1921" i="9"/>
  <c r="H1921" i="9" s="1"/>
  <c r="F1922" i="9"/>
  <c r="H1922" i="9" s="1"/>
  <c r="F1923" i="9"/>
  <c r="H1923" i="9" s="1"/>
  <c r="F1924" i="9"/>
  <c r="H1924" i="9" s="1"/>
  <c r="F1925" i="9"/>
  <c r="H1925" i="9" s="1"/>
  <c r="F1926" i="9"/>
  <c r="H1926" i="9" s="1"/>
  <c r="F1927" i="9"/>
  <c r="H1927" i="9" s="1"/>
  <c r="F1928" i="9"/>
  <c r="H1928" i="9" s="1"/>
  <c r="F1929" i="9"/>
  <c r="H1929" i="9" s="1"/>
  <c r="F1930" i="9"/>
  <c r="H1930" i="9" s="1"/>
  <c r="F1931" i="9"/>
  <c r="H1931" i="9" s="1"/>
  <c r="F1932" i="9"/>
  <c r="H1932" i="9" s="1"/>
  <c r="F1933" i="9"/>
  <c r="H1933" i="9" s="1"/>
  <c r="F1934" i="9"/>
  <c r="H1934" i="9" s="1"/>
  <c r="F1935" i="9"/>
  <c r="H1935" i="9" s="1"/>
  <c r="F1936" i="9"/>
  <c r="H1936" i="9" s="1"/>
  <c r="F1937" i="9"/>
  <c r="H1937" i="9" s="1"/>
  <c r="F1938" i="9"/>
  <c r="H1938" i="9" s="1"/>
  <c r="F1939" i="9"/>
  <c r="H1939" i="9" s="1"/>
  <c r="F1940" i="9"/>
  <c r="H1940" i="9" s="1"/>
  <c r="F1941" i="9"/>
  <c r="H1941" i="9" s="1"/>
  <c r="F1942" i="9"/>
  <c r="H1942" i="9" s="1"/>
  <c r="F1943" i="9"/>
  <c r="H1943" i="9" s="1"/>
  <c r="F1944" i="9"/>
  <c r="H1944" i="9" s="1"/>
  <c r="F1945" i="9"/>
  <c r="H1945" i="9" s="1"/>
  <c r="F1946" i="9"/>
  <c r="H1946" i="9" s="1"/>
  <c r="F1947" i="9"/>
  <c r="H1947" i="9" s="1"/>
  <c r="F1948" i="9"/>
  <c r="H1948" i="9" s="1"/>
  <c r="F1949" i="9"/>
  <c r="H1949" i="9" s="1"/>
  <c r="F1950" i="9"/>
  <c r="H1950" i="9" s="1"/>
  <c r="F1951" i="9"/>
  <c r="H1951" i="9" s="1"/>
  <c r="F1952" i="9"/>
  <c r="H1952" i="9" s="1"/>
  <c r="F1953" i="9"/>
  <c r="H1953" i="9" s="1"/>
  <c r="F1954" i="9"/>
  <c r="H1954" i="9" s="1"/>
  <c r="F1955" i="9"/>
  <c r="H1955" i="9" s="1"/>
  <c r="F1956" i="9"/>
  <c r="H1956" i="9" s="1"/>
  <c r="F1957" i="9"/>
  <c r="H1957" i="9" s="1"/>
  <c r="F1958" i="9"/>
  <c r="H1958" i="9" s="1"/>
  <c r="F1959" i="9"/>
  <c r="H1959" i="9" s="1"/>
  <c r="F1960" i="9"/>
  <c r="H1960" i="9" s="1"/>
  <c r="F1961" i="9"/>
  <c r="H1961" i="9" s="1"/>
  <c r="F1962" i="9"/>
  <c r="H1962" i="9" s="1"/>
  <c r="F1963" i="9"/>
  <c r="H1963" i="9" s="1"/>
  <c r="F1964" i="9"/>
  <c r="H1964" i="9" s="1"/>
  <c r="F1965" i="9"/>
  <c r="H1965" i="9" s="1"/>
  <c r="F1966" i="9"/>
  <c r="H1966" i="9" s="1"/>
  <c r="F1967" i="9"/>
  <c r="H1967" i="9" s="1"/>
  <c r="F1968" i="9"/>
  <c r="H1968" i="9" s="1"/>
  <c r="F1969" i="9"/>
  <c r="H1969" i="9" s="1"/>
  <c r="F1970" i="9"/>
  <c r="H1970" i="9" s="1"/>
  <c r="F1971" i="9"/>
  <c r="H1971" i="9" s="1"/>
  <c r="F1972" i="9"/>
  <c r="H1972" i="9" s="1"/>
  <c r="F1973" i="9"/>
  <c r="H1973" i="9" s="1"/>
  <c r="F1974" i="9"/>
  <c r="H1974" i="9" s="1"/>
  <c r="F1975" i="9"/>
  <c r="H1975" i="9" s="1"/>
  <c r="F1976" i="9"/>
  <c r="H1976" i="9" s="1"/>
  <c r="F1977" i="9"/>
  <c r="H1977" i="9" s="1"/>
  <c r="F1978" i="9"/>
  <c r="H1978" i="9" s="1"/>
  <c r="F1979" i="9"/>
  <c r="H1979" i="9" s="1"/>
  <c r="F1980" i="9"/>
  <c r="H1980" i="9" s="1"/>
  <c r="F1981" i="9"/>
  <c r="H1981" i="9" s="1"/>
  <c r="F1982" i="9"/>
  <c r="H1982" i="9" s="1"/>
  <c r="F1983" i="9"/>
  <c r="H1983" i="9" s="1"/>
  <c r="F1984" i="9"/>
  <c r="H1984" i="9" s="1"/>
  <c r="F1985" i="9"/>
  <c r="H1985" i="9" s="1"/>
  <c r="F1986" i="9"/>
  <c r="H1986" i="9" s="1"/>
  <c r="F1987" i="9"/>
  <c r="H1987" i="9" s="1"/>
  <c r="F1988" i="9"/>
  <c r="H1988" i="9" s="1"/>
  <c r="F1989" i="9"/>
  <c r="H1989" i="9" s="1"/>
  <c r="F1990" i="9"/>
  <c r="H1990" i="9" s="1"/>
  <c r="F1991" i="9"/>
  <c r="H1991" i="9" s="1"/>
  <c r="F1992" i="9"/>
  <c r="H1992" i="9" s="1"/>
  <c r="F1993" i="9"/>
  <c r="H1993" i="9" s="1"/>
  <c r="F1994" i="9"/>
  <c r="H1994" i="9" s="1"/>
  <c r="F1995" i="9"/>
  <c r="H1995" i="9" s="1"/>
  <c r="F1996" i="9"/>
  <c r="H1996" i="9" s="1"/>
  <c r="F1997" i="9"/>
  <c r="H1997" i="9" s="1"/>
  <c r="F1998" i="9"/>
  <c r="H1998" i="9" s="1"/>
  <c r="F1999" i="9"/>
  <c r="H1999" i="9" s="1"/>
  <c r="F2000" i="9"/>
  <c r="H2000" i="9" s="1"/>
  <c r="F2001" i="9"/>
  <c r="H2001" i="9" s="1"/>
  <c r="F2002" i="9"/>
  <c r="H2002" i="9" s="1"/>
  <c r="F2003" i="9"/>
  <c r="H2003" i="9"/>
  <c r="F2004" i="9"/>
  <c r="H2004" i="9" s="1"/>
  <c r="F2005" i="9"/>
  <c r="H2005" i="9" s="1"/>
  <c r="F2006" i="9"/>
  <c r="H2006" i="9" s="1"/>
  <c r="F2007" i="9"/>
  <c r="H2007" i="9" s="1"/>
  <c r="F2008" i="9"/>
  <c r="H2008" i="9" s="1"/>
  <c r="F2009" i="9"/>
  <c r="H2009" i="9" s="1"/>
  <c r="F2010" i="9"/>
  <c r="H2010" i="9" s="1"/>
  <c r="F2011" i="9"/>
  <c r="H2011" i="9" s="1"/>
  <c r="F2012" i="9"/>
  <c r="H2012" i="9" s="1"/>
  <c r="F2013" i="9"/>
  <c r="H2013" i="9" s="1"/>
  <c r="F2014" i="9"/>
  <c r="H2014" i="9" s="1"/>
  <c r="F2015" i="9"/>
  <c r="H2015" i="9" s="1"/>
  <c r="F2016" i="9"/>
  <c r="H2016" i="9" s="1"/>
  <c r="F2017" i="9"/>
  <c r="H2017" i="9" s="1"/>
  <c r="F2018" i="9"/>
  <c r="H2018" i="9" s="1"/>
  <c r="F2019" i="9"/>
  <c r="H2019" i="9" s="1"/>
  <c r="F2020" i="9"/>
  <c r="H2020" i="9" s="1"/>
  <c r="F2021" i="9"/>
  <c r="H2021" i="9" s="1"/>
  <c r="F2022" i="9"/>
  <c r="H2022" i="9" s="1"/>
  <c r="F2023" i="9"/>
  <c r="H2023" i="9" s="1"/>
  <c r="F2024" i="9"/>
  <c r="H2024" i="9" s="1"/>
  <c r="F2025" i="9"/>
  <c r="H2025" i="9" s="1"/>
  <c r="F2026" i="9"/>
  <c r="H2026" i="9" s="1"/>
  <c r="F2027" i="9"/>
  <c r="H2027" i="9" s="1"/>
  <c r="F2028" i="9"/>
  <c r="H2028" i="9" s="1"/>
  <c r="F2029" i="9"/>
  <c r="H2029" i="9" s="1"/>
  <c r="F2030" i="9"/>
  <c r="H2030" i="9" s="1"/>
  <c r="F2031" i="9"/>
  <c r="H2031" i="9" s="1"/>
  <c r="F2032" i="9"/>
  <c r="H2032" i="9" s="1"/>
  <c r="F2033" i="9"/>
  <c r="H2033" i="9" s="1"/>
  <c r="F2034" i="9"/>
  <c r="H2034" i="9" s="1"/>
  <c r="F2035" i="9"/>
  <c r="H2035" i="9" s="1"/>
  <c r="F2036" i="9"/>
  <c r="H2036" i="9" s="1"/>
  <c r="F2037" i="9"/>
  <c r="H2037" i="9" s="1"/>
  <c r="F2038" i="9"/>
  <c r="H2038" i="9" s="1"/>
  <c r="F2039" i="9"/>
  <c r="H2039" i="9" s="1"/>
  <c r="F2040" i="9"/>
  <c r="H2040" i="9" s="1"/>
  <c r="F2041" i="9"/>
  <c r="H2041" i="9" s="1"/>
  <c r="F2042" i="9"/>
  <c r="H2042" i="9" s="1"/>
  <c r="F2043" i="9"/>
  <c r="H2043" i="9" s="1"/>
  <c r="F2044" i="9"/>
  <c r="H2044" i="9" s="1"/>
  <c r="F2045" i="9"/>
  <c r="H2045" i="9" s="1"/>
  <c r="F2046" i="9"/>
  <c r="H2046" i="9" s="1"/>
  <c r="F2047" i="9"/>
  <c r="H2047" i="9" s="1"/>
  <c r="F2048" i="9"/>
  <c r="H2048" i="9" s="1"/>
  <c r="F2049" i="9"/>
  <c r="H2049" i="9" s="1"/>
  <c r="F2050" i="9"/>
  <c r="H2050" i="9" s="1"/>
  <c r="F2051" i="9"/>
  <c r="H2051" i="9" s="1"/>
  <c r="F2052" i="9"/>
  <c r="H2052" i="9" s="1"/>
  <c r="F2053" i="9"/>
  <c r="H2053" i="9" s="1"/>
  <c r="F2054" i="9"/>
  <c r="H2054" i="9" s="1"/>
  <c r="F2055" i="9"/>
  <c r="H2055" i="9" s="1"/>
  <c r="F2056" i="9"/>
  <c r="H2056" i="9" s="1"/>
  <c r="F2057" i="9"/>
  <c r="H2057" i="9"/>
  <c r="F2058" i="9"/>
  <c r="H2058" i="9" s="1"/>
  <c r="F2059" i="9"/>
  <c r="H2059" i="9" s="1"/>
  <c r="F2060" i="9"/>
  <c r="H2060" i="9" s="1"/>
  <c r="F2061" i="9"/>
  <c r="H2061" i="9" s="1"/>
  <c r="F2062" i="9"/>
  <c r="H2062" i="9" s="1"/>
  <c r="F2063" i="9"/>
  <c r="H2063" i="9" s="1"/>
  <c r="F2064" i="9"/>
  <c r="H2064" i="9" s="1"/>
  <c r="F2065" i="9"/>
  <c r="H2065" i="9"/>
  <c r="F2066" i="9"/>
  <c r="H2066" i="9" s="1"/>
  <c r="F2067" i="9"/>
  <c r="H2067" i="9" s="1"/>
  <c r="F2068" i="9"/>
  <c r="H2068" i="9" s="1"/>
  <c r="F2069" i="9"/>
  <c r="H2069" i="9" s="1"/>
  <c r="F2070" i="9"/>
  <c r="H2070" i="9" s="1"/>
  <c r="F2071" i="9"/>
  <c r="H2071" i="9" s="1"/>
  <c r="F2072" i="9"/>
  <c r="H2072" i="9" s="1"/>
  <c r="F2073" i="9"/>
  <c r="H2073" i="9" s="1"/>
  <c r="F2074" i="9"/>
  <c r="H2074" i="9" s="1"/>
  <c r="F2075" i="9"/>
  <c r="H2075" i="9" s="1"/>
  <c r="F2076" i="9"/>
  <c r="H2076" i="9" s="1"/>
  <c r="F2077" i="9"/>
  <c r="H2077" i="9" s="1"/>
  <c r="F2078" i="9"/>
  <c r="H2078" i="9" s="1"/>
  <c r="F2079" i="9"/>
  <c r="H2079" i="9" s="1"/>
  <c r="F2080" i="9"/>
  <c r="H2080" i="9" s="1"/>
  <c r="F2081" i="9"/>
  <c r="H2081" i="9" s="1"/>
  <c r="F2082" i="9"/>
  <c r="H2082" i="9" s="1"/>
  <c r="F2083" i="9"/>
  <c r="H2083" i="9" s="1"/>
  <c r="F2084" i="9"/>
  <c r="H2084" i="9" s="1"/>
  <c r="F2085" i="9"/>
  <c r="H2085" i="9" s="1"/>
  <c r="F2086" i="9"/>
  <c r="H2086" i="9" s="1"/>
  <c r="F2087" i="9"/>
  <c r="H2087" i="9" s="1"/>
  <c r="F2088" i="9"/>
  <c r="H2088" i="9"/>
  <c r="F2089" i="9"/>
  <c r="H2089" i="9" s="1"/>
  <c r="F2090" i="9"/>
  <c r="H2090" i="9" s="1"/>
  <c r="F2091" i="9"/>
  <c r="H2091" i="9" s="1"/>
  <c r="F2092" i="9"/>
  <c r="H2092" i="9" s="1"/>
  <c r="F2093" i="9"/>
  <c r="H2093" i="9" s="1"/>
  <c r="F2094" i="9"/>
  <c r="H2094" i="9" s="1"/>
  <c r="F2095" i="9"/>
  <c r="H2095" i="9"/>
  <c r="F2096" i="9"/>
  <c r="H2096" i="9" s="1"/>
  <c r="F2097" i="9"/>
  <c r="H2097" i="9" s="1"/>
  <c r="F2098" i="9"/>
  <c r="H2098" i="9" s="1"/>
  <c r="F2099" i="9"/>
  <c r="H2099" i="9" s="1"/>
  <c r="F2100" i="9"/>
  <c r="H2100" i="9" s="1"/>
  <c r="F2101" i="9"/>
  <c r="H2101" i="9" s="1"/>
  <c r="F2102" i="9"/>
  <c r="H2102" i="9" s="1"/>
  <c r="F2103" i="9"/>
  <c r="H2103" i="9" s="1"/>
  <c r="F2104" i="9"/>
  <c r="H2104" i="9" s="1"/>
  <c r="F2105" i="9"/>
  <c r="H2105" i="9" s="1"/>
  <c r="F2106" i="9"/>
  <c r="H2106" i="9" s="1"/>
  <c r="F2107" i="9"/>
  <c r="H2107" i="9" s="1"/>
  <c r="F2108" i="9"/>
  <c r="H2108" i="9" s="1"/>
  <c r="F2109" i="9"/>
  <c r="H2109" i="9" s="1"/>
  <c r="F2110" i="9"/>
  <c r="H2110" i="9" s="1"/>
  <c r="F2111" i="9"/>
  <c r="H2111" i="9" s="1"/>
  <c r="F2112" i="9"/>
  <c r="H2112" i="9" s="1"/>
  <c r="F2113" i="9"/>
  <c r="H2113" i="9" s="1"/>
  <c r="F2114" i="9"/>
  <c r="H2114" i="9" s="1"/>
  <c r="F2115" i="9"/>
  <c r="H2115" i="9" s="1"/>
  <c r="F2116" i="9"/>
  <c r="H2116" i="9" s="1"/>
  <c r="F2117" i="9"/>
  <c r="H2117" i="9" s="1"/>
  <c r="F2118" i="9"/>
  <c r="H2118" i="9" s="1"/>
  <c r="F2119" i="9"/>
  <c r="H2119" i="9" s="1"/>
  <c r="F2120" i="9"/>
  <c r="H2120" i="9" s="1"/>
  <c r="F2121" i="9"/>
  <c r="H2121" i="9" s="1"/>
  <c r="F2122" i="9"/>
  <c r="H2122" i="9" s="1"/>
  <c r="F2123" i="9"/>
  <c r="H2123" i="9" s="1"/>
  <c r="F2124" i="9"/>
  <c r="H2124" i="9" s="1"/>
  <c r="F2125" i="9"/>
  <c r="H2125" i="9" s="1"/>
  <c r="F2126" i="9"/>
  <c r="H2126" i="9" s="1"/>
  <c r="F2127" i="9"/>
  <c r="H2127" i="9" s="1"/>
  <c r="F2128" i="9"/>
  <c r="H2128" i="9" s="1"/>
  <c r="F2129" i="9"/>
  <c r="H2129" i="9" s="1"/>
  <c r="F2130" i="9"/>
  <c r="H2130" i="9" s="1"/>
  <c r="F2131" i="9"/>
  <c r="H2131" i="9" s="1"/>
  <c r="F2132" i="9"/>
  <c r="H2132" i="9" s="1"/>
  <c r="F2133" i="9"/>
  <c r="H2133" i="9" s="1"/>
  <c r="F2134" i="9"/>
  <c r="H2134" i="9" s="1"/>
  <c r="F2135" i="9"/>
  <c r="H2135" i="9" s="1"/>
  <c r="F2136" i="9"/>
  <c r="H2136" i="9" s="1"/>
  <c r="F2137" i="9"/>
  <c r="H2137" i="9" s="1"/>
  <c r="F2138" i="9"/>
  <c r="H2138" i="9" s="1"/>
  <c r="F2139" i="9"/>
  <c r="H2139" i="9" s="1"/>
  <c r="F2140" i="9"/>
  <c r="H2140" i="9" s="1"/>
  <c r="F2141" i="9"/>
  <c r="H2141" i="9" s="1"/>
  <c r="F2142" i="9"/>
  <c r="H2142" i="9" s="1"/>
  <c r="F2143" i="9"/>
  <c r="H2143" i="9" s="1"/>
  <c r="F2144" i="9"/>
  <c r="H2144" i="9" s="1"/>
  <c r="F2145" i="9"/>
  <c r="H2145" i="9" s="1"/>
  <c r="F2146" i="9"/>
  <c r="H2146" i="9" s="1"/>
  <c r="F2147" i="9"/>
  <c r="H2147" i="9" s="1"/>
  <c r="F2148" i="9"/>
  <c r="H2148" i="9" s="1"/>
  <c r="F2149" i="9"/>
  <c r="H2149" i="9" s="1"/>
  <c r="F2150" i="9"/>
  <c r="H2150" i="9" s="1"/>
  <c r="F2151" i="9"/>
  <c r="H2151" i="9" s="1"/>
  <c r="F2152" i="9"/>
  <c r="H2152" i="9" s="1"/>
  <c r="F2153" i="9"/>
  <c r="H2153" i="9" s="1"/>
  <c r="F2154" i="9"/>
  <c r="H2154" i="9" s="1"/>
  <c r="F2155" i="9"/>
  <c r="H2155" i="9" s="1"/>
  <c r="F2156" i="9"/>
  <c r="H2156" i="9" s="1"/>
  <c r="F2157" i="9"/>
  <c r="H2157" i="9" s="1"/>
  <c r="F2158" i="9"/>
  <c r="H2158" i="9" s="1"/>
  <c r="F2159" i="9"/>
  <c r="H2159" i="9" s="1"/>
  <c r="F2160" i="9"/>
  <c r="H2160" i="9" s="1"/>
  <c r="F2161" i="9"/>
  <c r="H2161" i="9" s="1"/>
  <c r="F2162" i="9"/>
  <c r="H2162" i="9" s="1"/>
  <c r="F2163" i="9"/>
  <c r="H2163" i="9" s="1"/>
  <c r="F2164" i="9"/>
  <c r="H2164" i="9" s="1"/>
  <c r="F2165" i="9"/>
  <c r="H2165" i="9" s="1"/>
  <c r="F2166" i="9"/>
  <c r="H2166" i="9" s="1"/>
  <c r="F2167" i="9"/>
  <c r="H2167" i="9" s="1"/>
  <c r="F2168" i="9"/>
  <c r="H2168" i="9" s="1"/>
  <c r="F2169" i="9"/>
  <c r="H2169" i="9" s="1"/>
  <c r="F2170" i="9"/>
  <c r="H2170" i="9" s="1"/>
  <c r="F2171" i="9"/>
  <c r="H2171" i="9" s="1"/>
  <c r="F2172" i="9"/>
  <c r="H2172" i="9" s="1"/>
  <c r="F2173" i="9"/>
  <c r="H2173" i="9" s="1"/>
  <c r="F2174" i="9"/>
  <c r="H2174" i="9" s="1"/>
  <c r="F2175" i="9"/>
  <c r="H2175" i="9" s="1"/>
  <c r="F2176" i="9"/>
  <c r="H2176" i="9" s="1"/>
  <c r="F2177" i="9"/>
  <c r="H2177" i="9" s="1"/>
  <c r="F2178" i="9"/>
  <c r="H2178" i="9" s="1"/>
  <c r="F2179" i="9"/>
  <c r="H2179" i="9" s="1"/>
  <c r="F2180" i="9"/>
  <c r="H2180" i="9" s="1"/>
  <c r="F2181" i="9"/>
  <c r="H2181" i="9" s="1"/>
  <c r="F2182" i="9"/>
  <c r="H2182" i="9" s="1"/>
  <c r="F2183" i="9"/>
  <c r="H2183" i="9" s="1"/>
  <c r="F2184" i="9"/>
  <c r="H2184" i="9" s="1"/>
  <c r="F2185" i="9"/>
  <c r="H2185" i="9" s="1"/>
  <c r="F2186" i="9"/>
  <c r="H2186" i="9" s="1"/>
  <c r="F2187" i="9"/>
  <c r="H2187" i="9" s="1"/>
  <c r="F2188" i="9"/>
  <c r="H2188" i="9" s="1"/>
  <c r="F2189" i="9"/>
  <c r="H2189" i="9" s="1"/>
  <c r="F2190" i="9"/>
  <c r="H2190" i="9" s="1"/>
  <c r="F2191" i="9"/>
  <c r="H2191" i="9" s="1"/>
  <c r="F2192" i="9"/>
  <c r="H2192" i="9" s="1"/>
  <c r="F2193" i="9"/>
  <c r="H2193" i="9" s="1"/>
  <c r="F2194" i="9"/>
  <c r="H2194" i="9" s="1"/>
  <c r="F2195" i="9"/>
  <c r="H2195" i="9"/>
  <c r="F2196" i="9"/>
  <c r="H2196" i="9" s="1"/>
  <c r="F2197" i="9"/>
  <c r="H2197" i="9" s="1"/>
  <c r="F2198" i="9"/>
  <c r="H2198" i="9" s="1"/>
  <c r="F2199" i="9"/>
  <c r="H2199" i="9" s="1"/>
  <c r="F2200" i="9"/>
  <c r="H2200" i="9" s="1"/>
  <c r="F2201" i="9"/>
  <c r="H2201" i="9" s="1"/>
  <c r="F2202" i="9"/>
  <c r="H2202" i="9"/>
  <c r="F2203" i="9"/>
  <c r="H2203" i="9" s="1"/>
  <c r="F2204" i="9"/>
  <c r="H2204" i="9" s="1"/>
  <c r="F2205" i="9"/>
  <c r="H2205" i="9" s="1"/>
  <c r="F2206" i="9"/>
  <c r="H2206" i="9" s="1"/>
  <c r="F2207" i="9"/>
  <c r="H2207" i="9" s="1"/>
  <c r="F2208" i="9"/>
  <c r="H2208" i="9"/>
  <c r="F2209" i="9"/>
  <c r="H2209" i="9" s="1"/>
  <c r="F2210" i="9"/>
  <c r="H2210" i="9" s="1"/>
  <c r="F2211" i="9"/>
  <c r="H2211" i="9" s="1"/>
  <c r="F2212" i="9"/>
  <c r="H2212" i="9" s="1"/>
  <c r="F2213" i="9"/>
  <c r="H2213" i="9" s="1"/>
  <c r="F2214" i="9"/>
  <c r="H2214" i="9" s="1"/>
  <c r="F2215" i="9"/>
  <c r="H2215" i="9" s="1"/>
  <c r="F2216" i="9"/>
  <c r="H2216" i="9" s="1"/>
  <c r="F2217" i="9"/>
  <c r="H2217" i="9" s="1"/>
  <c r="F2218" i="9"/>
  <c r="H2218" i="9" s="1"/>
  <c r="F2219" i="9"/>
  <c r="H2219" i="9" s="1"/>
  <c r="F2220" i="9"/>
  <c r="H2220" i="9" s="1"/>
  <c r="F2221" i="9"/>
  <c r="H2221" i="9" s="1"/>
  <c r="F2222" i="9"/>
  <c r="H2222" i="9" s="1"/>
  <c r="F2223" i="9"/>
  <c r="H2223" i="9" s="1"/>
  <c r="F2224" i="9"/>
  <c r="H2224" i="9" s="1"/>
  <c r="F2225" i="9"/>
  <c r="H2225" i="9" s="1"/>
  <c r="F2226" i="9"/>
  <c r="H2226" i="9" s="1"/>
  <c r="F2227" i="9"/>
  <c r="H2227" i="9" s="1"/>
  <c r="F2228" i="9"/>
  <c r="H2228" i="9" s="1"/>
  <c r="F2229" i="9"/>
  <c r="H2229" i="9" s="1"/>
  <c r="F2230" i="9"/>
  <c r="H2230" i="9" s="1"/>
  <c r="F2231" i="9"/>
  <c r="H2231" i="9" s="1"/>
  <c r="F2232" i="9"/>
  <c r="H2232" i="9" s="1"/>
  <c r="F2233" i="9"/>
  <c r="H2233" i="9" s="1"/>
  <c r="F2234" i="9"/>
  <c r="H2234" i="9" s="1"/>
  <c r="F2235" i="9"/>
  <c r="H2235" i="9" s="1"/>
  <c r="F2236" i="9"/>
  <c r="H2236" i="9" s="1"/>
  <c r="F2237" i="9"/>
  <c r="H2237" i="9" s="1"/>
  <c r="F2238" i="9"/>
  <c r="H2238" i="9" s="1"/>
  <c r="F2239" i="9"/>
  <c r="H2239" i="9" s="1"/>
  <c r="F2240" i="9"/>
  <c r="H2240" i="9" s="1"/>
  <c r="F2241" i="9"/>
  <c r="H2241" i="9" s="1"/>
  <c r="F2242" i="9"/>
  <c r="H2242" i="9" s="1"/>
  <c r="F2243" i="9"/>
  <c r="H2243" i="9" s="1"/>
  <c r="F2244" i="9"/>
  <c r="H2244" i="9" s="1"/>
  <c r="F2245" i="9"/>
  <c r="H2245" i="9" s="1"/>
  <c r="F2246" i="9"/>
  <c r="H2246" i="9" s="1"/>
  <c r="F2247" i="9"/>
  <c r="H2247" i="9" s="1"/>
  <c r="F2248" i="9"/>
  <c r="H2248" i="9" s="1"/>
  <c r="F2249" i="9"/>
  <c r="H2249" i="9" s="1"/>
  <c r="F2250" i="9"/>
  <c r="H2250" i="9" s="1"/>
  <c r="F2251" i="9"/>
  <c r="H2251" i="9" s="1"/>
  <c r="F2252" i="9"/>
  <c r="H2252" i="9" s="1"/>
  <c r="F2253" i="9"/>
  <c r="H2253" i="9" s="1"/>
  <c r="F2254" i="9"/>
  <c r="H2254" i="9" s="1"/>
  <c r="F2255" i="9"/>
  <c r="H2255" i="9" s="1"/>
  <c r="F2256" i="9"/>
  <c r="H2256" i="9" s="1"/>
  <c r="F2257" i="9"/>
  <c r="H2257" i="9" s="1"/>
  <c r="F2258" i="9"/>
  <c r="H2258" i="9" s="1"/>
  <c r="F2259" i="9"/>
  <c r="H2259" i="9" s="1"/>
  <c r="F2260" i="9"/>
  <c r="H2260" i="9" s="1"/>
  <c r="F2261" i="9"/>
  <c r="H2261" i="9" s="1"/>
  <c r="F2262" i="9"/>
  <c r="H2262" i="9" s="1"/>
  <c r="F2263" i="9"/>
  <c r="H2263" i="9" s="1"/>
  <c r="F2264" i="9"/>
  <c r="H2264" i="9" s="1"/>
  <c r="F2265" i="9"/>
  <c r="H2265" i="9" s="1"/>
  <c r="F2266" i="9"/>
  <c r="H2266" i="9" s="1"/>
  <c r="F2267" i="9"/>
  <c r="H2267" i="9" s="1"/>
  <c r="F2268" i="9"/>
  <c r="H2268" i="9" s="1"/>
  <c r="F2269" i="9"/>
  <c r="H2269" i="9" s="1"/>
  <c r="F2270" i="9"/>
  <c r="H2270" i="9" s="1"/>
  <c r="F2271" i="9"/>
  <c r="H2271" i="9" s="1"/>
  <c r="F2272" i="9"/>
  <c r="H2272" i="9" s="1"/>
  <c r="F2273" i="9"/>
  <c r="H2273" i="9" s="1"/>
  <c r="F2274" i="9"/>
  <c r="H2274" i="9" s="1"/>
  <c r="F2275" i="9"/>
  <c r="H2275" i="9" s="1"/>
  <c r="F2276" i="9"/>
  <c r="H2276" i="9" s="1"/>
  <c r="F2277" i="9"/>
  <c r="H2277" i="9" s="1"/>
  <c r="F2278" i="9"/>
  <c r="H2278" i="9" s="1"/>
  <c r="F2279" i="9"/>
  <c r="H2279" i="9" s="1"/>
  <c r="F2280" i="9"/>
  <c r="H2280" i="9" s="1"/>
  <c r="F2281" i="9"/>
  <c r="H2281" i="9" s="1"/>
  <c r="F2282" i="9"/>
  <c r="H2282" i="9" s="1"/>
  <c r="F2283" i="9"/>
  <c r="H2283" i="9" s="1"/>
  <c r="F2284" i="9"/>
  <c r="H2284" i="9" s="1"/>
  <c r="F2285" i="9"/>
  <c r="H2285" i="9" s="1"/>
  <c r="F2286" i="9"/>
  <c r="H2286" i="9" s="1"/>
  <c r="F2287" i="9"/>
  <c r="H2287" i="9" s="1"/>
  <c r="F2288" i="9"/>
  <c r="H2288" i="9" s="1"/>
  <c r="F2289" i="9"/>
  <c r="H2289" i="9" s="1"/>
  <c r="F2290" i="9"/>
  <c r="H2290" i="9" s="1"/>
  <c r="F2291" i="9"/>
  <c r="H2291" i="9" s="1"/>
  <c r="F2292" i="9"/>
  <c r="H2292" i="9" s="1"/>
  <c r="F2293" i="9"/>
  <c r="H2293" i="9" s="1"/>
  <c r="F2294" i="9"/>
  <c r="H2294" i="9" s="1"/>
  <c r="F2295" i="9"/>
  <c r="H2295" i="9" s="1"/>
  <c r="F2296" i="9"/>
  <c r="H2296" i="9" s="1"/>
  <c r="F2297" i="9"/>
  <c r="H2297" i="9" s="1"/>
  <c r="F2298" i="9"/>
  <c r="H2298" i="9" s="1"/>
  <c r="F2299" i="9"/>
  <c r="H2299" i="9"/>
  <c r="F2300" i="9"/>
  <c r="H2300" i="9" s="1"/>
  <c r="F2301" i="9"/>
  <c r="H2301" i="9" s="1"/>
  <c r="F2302" i="9"/>
  <c r="H2302" i="9" s="1"/>
  <c r="F2303" i="9"/>
  <c r="H2303" i="9" s="1"/>
  <c r="F2304" i="9"/>
  <c r="H2304" i="9" s="1"/>
  <c r="F2305" i="9"/>
  <c r="H2305" i="9" s="1"/>
  <c r="F2306" i="9"/>
  <c r="H2306" i="9" s="1"/>
  <c r="F2307" i="9"/>
  <c r="H2307" i="9" s="1"/>
  <c r="F2308" i="9"/>
  <c r="H2308" i="9" s="1"/>
  <c r="F2309" i="9"/>
  <c r="H2309" i="9" s="1"/>
  <c r="F2310" i="9"/>
  <c r="H2310" i="9" s="1"/>
  <c r="F2311" i="9"/>
  <c r="H2311" i="9" s="1"/>
  <c r="F2312" i="9"/>
  <c r="H2312" i="9" s="1"/>
  <c r="F2313" i="9"/>
  <c r="H2313" i="9" s="1"/>
  <c r="F2314" i="9"/>
  <c r="H2314" i="9" s="1"/>
  <c r="F2315" i="9"/>
  <c r="H2315" i="9" s="1"/>
  <c r="F2316" i="9"/>
  <c r="H2316" i="9" s="1"/>
  <c r="F2317" i="9"/>
  <c r="H2317" i="9" s="1"/>
  <c r="F2318" i="9"/>
  <c r="H2318" i="9" s="1"/>
  <c r="F2319" i="9"/>
  <c r="H2319" i="9" s="1"/>
  <c r="F2320" i="9"/>
  <c r="H2320" i="9" s="1"/>
  <c r="F2321" i="9"/>
  <c r="H2321" i="9" s="1"/>
  <c r="F2322" i="9"/>
  <c r="H2322" i="9" s="1"/>
  <c r="F2323" i="9"/>
  <c r="H2323" i="9" s="1"/>
  <c r="F2324" i="9"/>
  <c r="H2324" i="9" s="1"/>
  <c r="F2325" i="9"/>
  <c r="H2325" i="9" s="1"/>
  <c r="F2326" i="9"/>
  <c r="H2326" i="9" s="1"/>
  <c r="F2327" i="9"/>
  <c r="H2327" i="9" s="1"/>
  <c r="F2328" i="9"/>
  <c r="H2328" i="9" s="1"/>
  <c r="F2329" i="9"/>
  <c r="H2329" i="9" s="1"/>
  <c r="F2330" i="9"/>
  <c r="H2330" i="9" s="1"/>
  <c r="F2331" i="9"/>
  <c r="H2331" i="9" s="1"/>
  <c r="F2332" i="9"/>
  <c r="H2332" i="9" s="1"/>
  <c r="F2333" i="9"/>
  <c r="H2333" i="9" s="1"/>
  <c r="F2334" i="9"/>
  <c r="H2334" i="9" s="1"/>
  <c r="F2335" i="9"/>
  <c r="H2335" i="9" s="1"/>
  <c r="F2336" i="9"/>
  <c r="H2336" i="9" s="1"/>
  <c r="F2337" i="9"/>
  <c r="H2337" i="9" s="1"/>
  <c r="F2338" i="9"/>
  <c r="H2338" i="9" s="1"/>
  <c r="F2339" i="9"/>
  <c r="H2339" i="9" s="1"/>
  <c r="F2340" i="9"/>
  <c r="H2340" i="9" s="1"/>
  <c r="F2341" i="9"/>
  <c r="H2341" i="9" s="1"/>
  <c r="F2342" i="9"/>
  <c r="H2342" i="9" s="1"/>
  <c r="F2343" i="9"/>
  <c r="H2343" i="9" s="1"/>
  <c r="F2344" i="9"/>
  <c r="H2344" i="9" s="1"/>
  <c r="F2345" i="9"/>
  <c r="H2345" i="9" s="1"/>
  <c r="F2346" i="9"/>
  <c r="H2346" i="9" s="1"/>
  <c r="F2347" i="9"/>
  <c r="H2347" i="9" s="1"/>
  <c r="F2348" i="9"/>
  <c r="H2348" i="9" s="1"/>
  <c r="F2349" i="9"/>
  <c r="H2349" i="9" s="1"/>
  <c r="F2350" i="9"/>
  <c r="H2350" i="9"/>
  <c r="F2351" i="9"/>
  <c r="H2351" i="9" s="1"/>
  <c r="F2352" i="9"/>
  <c r="H2352" i="9" s="1"/>
  <c r="F2353" i="9"/>
  <c r="H2353" i="9" s="1"/>
  <c r="F2354" i="9"/>
  <c r="H2354" i="9" s="1"/>
  <c r="F2355" i="9"/>
  <c r="H2355" i="9" s="1"/>
  <c r="F2356" i="9"/>
  <c r="H2356" i="9" s="1"/>
  <c r="F2357" i="9"/>
  <c r="H2357" i="9" s="1"/>
  <c r="F2358" i="9"/>
  <c r="H2358" i="9" s="1"/>
  <c r="F2359" i="9"/>
  <c r="H2359" i="9" s="1"/>
  <c r="F2360" i="9"/>
  <c r="H2360" i="9" s="1"/>
  <c r="F2361" i="9"/>
  <c r="H2361" i="9" s="1"/>
  <c r="F2362" i="9"/>
  <c r="H2362" i="9" s="1"/>
  <c r="F2363" i="9"/>
  <c r="H2363" i="9" s="1"/>
  <c r="F2364" i="9"/>
  <c r="H2364" i="9" s="1"/>
  <c r="F2365" i="9"/>
  <c r="H2365" i="9" s="1"/>
  <c r="F2366" i="9"/>
  <c r="H2366" i="9" s="1"/>
  <c r="F2367" i="9"/>
  <c r="H2367" i="9" s="1"/>
  <c r="F2368" i="9"/>
  <c r="H2368" i="9" s="1"/>
  <c r="F2369" i="9"/>
  <c r="H2369" i="9" s="1"/>
  <c r="F2370" i="9"/>
  <c r="H2370" i="9" s="1"/>
  <c r="F2371" i="9"/>
  <c r="H2371" i="9" s="1"/>
  <c r="F2372" i="9"/>
  <c r="H2372" i="9" s="1"/>
  <c r="F2373" i="9"/>
  <c r="H2373" i="9" s="1"/>
  <c r="F2374" i="9"/>
  <c r="H2374" i="9" s="1"/>
  <c r="F2375" i="9"/>
  <c r="H2375" i="9" s="1"/>
  <c r="F2376" i="9"/>
  <c r="H2376" i="9"/>
  <c r="F2377" i="9"/>
  <c r="H2377" i="9" s="1"/>
  <c r="F2378" i="9"/>
  <c r="H2378" i="9" s="1"/>
  <c r="F2379" i="9"/>
  <c r="H2379" i="9" s="1"/>
  <c r="F2380" i="9"/>
  <c r="H2380" i="9" s="1"/>
  <c r="F2381" i="9"/>
  <c r="H2381" i="9" s="1"/>
  <c r="F2382" i="9"/>
  <c r="H2382" i="9" s="1"/>
  <c r="F2383" i="9"/>
  <c r="H2383" i="9" s="1"/>
  <c r="F2384" i="9"/>
  <c r="H2384" i="9" s="1"/>
  <c r="F2385" i="9"/>
  <c r="H2385" i="9" s="1"/>
  <c r="F2386" i="9"/>
  <c r="H2386" i="9" s="1"/>
  <c r="F2387" i="9"/>
  <c r="H2387" i="9" s="1"/>
  <c r="F2388" i="9"/>
  <c r="H2388" i="9" s="1"/>
  <c r="F2389" i="9"/>
  <c r="H2389" i="9" s="1"/>
  <c r="F2390" i="9"/>
  <c r="H2390" i="9" s="1"/>
  <c r="F2391" i="9"/>
  <c r="H2391" i="9" s="1"/>
  <c r="F2392" i="9"/>
  <c r="H2392" i="9" s="1"/>
  <c r="F2393" i="9"/>
  <c r="H2393" i="9" s="1"/>
  <c r="F2394" i="9"/>
  <c r="H2394" i="9" s="1"/>
  <c r="F2395" i="9"/>
  <c r="H2395" i="9" s="1"/>
  <c r="F2396" i="9"/>
  <c r="H2396" i="9" s="1"/>
  <c r="F2397" i="9"/>
  <c r="H2397" i="9" s="1"/>
  <c r="F2398" i="9"/>
  <c r="H2398" i="9"/>
  <c r="F2399" i="9"/>
  <c r="H2399" i="9" s="1"/>
  <c r="F2400" i="9"/>
  <c r="H2400" i="9" s="1"/>
  <c r="F2401" i="9"/>
  <c r="H2401" i="9" s="1"/>
  <c r="F2402" i="9"/>
  <c r="H2402" i="9" s="1"/>
  <c r="F2403" i="9"/>
  <c r="H2403" i="9" s="1"/>
  <c r="F2404" i="9"/>
  <c r="H2404" i="9" s="1"/>
  <c r="F2405" i="9"/>
  <c r="H2405" i="9" s="1"/>
  <c r="F2406" i="9"/>
  <c r="H2406" i="9" s="1"/>
  <c r="F2407" i="9"/>
  <c r="H2407" i="9" s="1"/>
  <c r="F2408" i="9"/>
  <c r="H2408" i="9" s="1"/>
  <c r="F2409" i="9"/>
  <c r="H2409" i="9" s="1"/>
  <c r="F2410" i="9"/>
  <c r="H2410" i="9" s="1"/>
  <c r="F2411" i="9"/>
  <c r="H2411" i="9" s="1"/>
  <c r="F2412" i="9"/>
  <c r="H2412" i="9" s="1"/>
  <c r="F2413" i="9"/>
  <c r="H2413" i="9" s="1"/>
  <c r="F2414" i="9"/>
  <c r="H2414" i="9" s="1"/>
  <c r="F2415" i="9"/>
  <c r="H2415" i="9" s="1"/>
  <c r="F2416" i="9"/>
  <c r="H2416" i="9" s="1"/>
  <c r="F2417" i="9"/>
  <c r="H2417" i="9" s="1"/>
  <c r="F2418" i="9"/>
  <c r="H2418" i="9" s="1"/>
  <c r="F2419" i="9"/>
  <c r="H2419" i="9" s="1"/>
  <c r="F2420" i="9"/>
  <c r="H2420" i="9" s="1"/>
  <c r="F2421" i="9"/>
  <c r="H2421" i="9" s="1"/>
  <c r="F2422" i="9"/>
  <c r="H2422" i="9" s="1"/>
  <c r="F2423" i="9"/>
  <c r="H2423" i="9" s="1"/>
  <c r="F2424" i="9"/>
  <c r="H2424" i="9" s="1"/>
  <c r="F2425" i="9"/>
  <c r="H2425" i="9" s="1"/>
  <c r="F2426" i="9"/>
  <c r="H2426" i="9" s="1"/>
  <c r="F2427" i="9"/>
  <c r="H2427" i="9" s="1"/>
  <c r="F2428" i="9"/>
  <c r="H2428" i="9" s="1"/>
  <c r="F2429" i="9"/>
  <c r="H2429" i="9" s="1"/>
  <c r="F2430" i="9"/>
  <c r="H2430" i="9" s="1"/>
  <c r="F2431" i="9"/>
  <c r="H2431" i="9" s="1"/>
  <c r="F2432" i="9"/>
  <c r="H2432" i="9" s="1"/>
  <c r="F2433" i="9"/>
  <c r="H2433" i="9" s="1"/>
  <c r="F2434" i="9"/>
  <c r="H2434" i="9" s="1"/>
  <c r="F2435" i="9"/>
  <c r="H2435" i="9" s="1"/>
  <c r="F2436" i="9"/>
  <c r="H2436" i="9" s="1"/>
  <c r="F2437" i="9"/>
  <c r="H2437" i="9" s="1"/>
  <c r="F2438" i="9"/>
  <c r="H2438" i="9" s="1"/>
  <c r="F2439" i="9"/>
  <c r="H2439" i="9" s="1"/>
  <c r="F2440" i="9"/>
  <c r="H2440" i="9" s="1"/>
  <c r="F2441" i="9"/>
  <c r="H2441" i="9" s="1"/>
  <c r="F2442" i="9"/>
  <c r="H2442" i="9" s="1"/>
  <c r="F2443" i="9"/>
  <c r="H2443" i="9" s="1"/>
  <c r="F2444" i="9"/>
  <c r="H2444" i="9" s="1"/>
  <c r="F2445" i="9"/>
  <c r="H2445" i="9" s="1"/>
  <c r="F2446" i="9"/>
  <c r="H2446" i="9" s="1"/>
  <c r="F2447" i="9"/>
  <c r="H2447" i="9" s="1"/>
  <c r="F2448" i="9"/>
  <c r="H2448" i="9" s="1"/>
  <c r="F2449" i="9"/>
  <c r="H2449" i="9" s="1"/>
  <c r="F2450" i="9"/>
  <c r="H2450" i="9" s="1"/>
  <c r="F2451" i="9"/>
  <c r="H2451" i="9" s="1"/>
  <c r="F2452" i="9"/>
  <c r="H2452" i="9" s="1"/>
  <c r="F2453" i="9"/>
  <c r="H2453" i="9" s="1"/>
  <c r="F2454" i="9"/>
  <c r="H2454" i="9" s="1"/>
  <c r="F2455" i="9"/>
  <c r="H2455" i="9" s="1"/>
  <c r="F2456" i="9"/>
  <c r="H2456" i="9" s="1"/>
  <c r="F2457" i="9"/>
  <c r="H2457" i="9" s="1"/>
  <c r="F2458" i="9"/>
  <c r="H2458" i="9"/>
  <c r="F2459" i="9"/>
  <c r="H2459" i="9" s="1"/>
  <c r="F2460" i="9"/>
  <c r="H2460" i="9" s="1"/>
  <c r="F2461" i="9"/>
  <c r="H2461" i="9" s="1"/>
  <c r="F2462" i="9"/>
  <c r="H2462" i="9" s="1"/>
  <c r="F2463" i="9"/>
  <c r="H2463" i="9" s="1"/>
  <c r="F2464" i="9"/>
  <c r="H2464" i="9" s="1"/>
  <c r="F2465" i="9"/>
  <c r="H2465" i="9" s="1"/>
  <c r="F2466" i="9"/>
  <c r="H2466" i="9" s="1"/>
  <c r="F2467" i="9"/>
  <c r="H2467" i="9" s="1"/>
  <c r="F2468" i="9"/>
  <c r="H2468" i="9" s="1"/>
  <c r="F2469" i="9"/>
  <c r="H2469" i="9" s="1"/>
  <c r="F2470" i="9"/>
  <c r="H2470" i="9" s="1"/>
  <c r="F2471" i="9"/>
  <c r="H2471" i="9" s="1"/>
  <c r="F2472" i="9"/>
  <c r="H2472" i="9" s="1"/>
  <c r="F2473" i="9"/>
  <c r="H2473" i="9" s="1"/>
  <c r="F2474" i="9"/>
  <c r="H2474" i="9" s="1"/>
  <c r="F2475" i="9"/>
  <c r="H2475" i="9" s="1"/>
  <c r="F2476" i="9"/>
  <c r="H2476" i="9" s="1"/>
  <c r="F2477" i="9"/>
  <c r="H2477" i="9" s="1"/>
  <c r="F2478" i="9"/>
  <c r="H2478" i="9" s="1"/>
  <c r="F2479" i="9"/>
  <c r="H2479" i="9" s="1"/>
  <c r="F2480" i="9"/>
  <c r="H2480" i="9" s="1"/>
  <c r="F2481" i="9"/>
  <c r="H2481" i="9" s="1"/>
  <c r="F2482" i="9"/>
  <c r="H2482" i="9"/>
  <c r="F2483" i="9"/>
  <c r="H2483" i="9" s="1"/>
  <c r="F2484" i="9"/>
  <c r="H2484" i="9" s="1"/>
  <c r="F2485" i="9"/>
  <c r="H2485" i="9" s="1"/>
  <c r="F2486" i="9"/>
  <c r="H2486" i="9" s="1"/>
  <c r="F2487" i="9"/>
  <c r="H2487" i="9" s="1"/>
  <c r="F2488" i="9"/>
  <c r="H2488" i="9" s="1"/>
  <c r="F2489" i="9"/>
  <c r="H2489" i="9" s="1"/>
  <c r="F2490" i="9"/>
  <c r="H2490" i="9" s="1"/>
  <c r="F2491" i="9"/>
  <c r="H2491" i="9" s="1"/>
  <c r="F2492" i="9"/>
  <c r="H2492" i="9" s="1"/>
  <c r="F2493" i="9"/>
  <c r="H2493" i="9" s="1"/>
  <c r="F2494" i="9"/>
  <c r="H2494" i="9" s="1"/>
  <c r="F2495" i="9"/>
  <c r="H2495" i="9" s="1"/>
  <c r="F2496" i="9"/>
  <c r="H2496" i="9" s="1"/>
  <c r="F2497" i="9"/>
  <c r="H2497" i="9" s="1"/>
  <c r="F2498" i="9"/>
  <c r="H2498" i="9" s="1"/>
  <c r="F2499" i="9"/>
  <c r="H2499" i="9" s="1"/>
  <c r="F2500" i="9"/>
  <c r="H2500" i="9" s="1"/>
  <c r="F2501" i="9"/>
  <c r="H2501" i="9" s="1"/>
  <c r="F2502" i="9"/>
  <c r="H2502" i="9" s="1"/>
  <c r="F2503" i="9"/>
  <c r="H2503" i="9" s="1"/>
  <c r="F2504" i="9"/>
  <c r="H2504" i="9" s="1"/>
  <c r="F2505" i="9"/>
  <c r="H2505" i="9" s="1"/>
  <c r="F2506" i="9"/>
  <c r="H2506" i="9" s="1"/>
  <c r="F2507" i="9"/>
  <c r="H2507" i="9" s="1"/>
  <c r="F2508" i="9"/>
  <c r="H2508" i="9" s="1"/>
  <c r="F2509" i="9"/>
  <c r="H2509" i="9" s="1"/>
  <c r="F2510" i="9"/>
  <c r="H2510" i="9" s="1"/>
  <c r="F2511" i="9"/>
  <c r="H2511" i="9" s="1"/>
  <c r="F2512" i="9"/>
  <c r="H2512" i="9" s="1"/>
  <c r="F2513" i="9"/>
  <c r="H2513" i="9" s="1"/>
  <c r="F2514" i="9"/>
  <c r="H2514" i="9" s="1"/>
  <c r="F2515" i="9"/>
  <c r="H2515" i="9" s="1"/>
  <c r="F2516" i="9"/>
  <c r="H2516" i="9" s="1"/>
  <c r="F2517" i="9"/>
  <c r="H2517" i="9" s="1"/>
  <c r="F2518" i="9"/>
  <c r="H2518" i="9" s="1"/>
  <c r="F2519" i="9"/>
  <c r="H2519" i="9" s="1"/>
  <c r="F2520" i="9"/>
  <c r="H2520" i="9" s="1"/>
  <c r="F2521" i="9"/>
  <c r="H2521" i="9" s="1"/>
  <c r="F2522" i="9"/>
  <c r="H2522" i="9" s="1"/>
  <c r="F2523" i="9"/>
  <c r="H2523" i="9" s="1"/>
  <c r="F2524" i="9"/>
  <c r="H2524" i="9" s="1"/>
  <c r="F2525" i="9"/>
  <c r="H2525" i="9" s="1"/>
  <c r="F2526" i="9"/>
  <c r="H2526" i="9"/>
  <c r="F2527" i="9"/>
  <c r="H2527" i="9" s="1"/>
  <c r="F2528" i="9"/>
  <c r="H2528" i="9" s="1"/>
  <c r="F2529" i="9"/>
  <c r="H2529" i="9" s="1"/>
  <c r="F2530" i="9"/>
  <c r="H2530" i="9" s="1"/>
  <c r="F2531" i="9"/>
  <c r="H2531" i="9" s="1"/>
  <c r="F2532" i="9"/>
  <c r="H2532" i="9" s="1"/>
  <c r="F2533" i="9"/>
  <c r="H2533" i="9" s="1"/>
  <c r="F2534" i="9"/>
  <c r="H2534" i="9" s="1"/>
  <c r="F2535" i="9"/>
  <c r="H2535" i="9" s="1"/>
  <c r="F2536" i="9"/>
  <c r="H2536" i="9" s="1"/>
  <c r="F2537" i="9"/>
  <c r="H2537" i="9" s="1"/>
  <c r="F2538" i="9"/>
  <c r="H2538" i="9"/>
  <c r="F2539" i="9"/>
  <c r="H2539" i="9" s="1"/>
  <c r="F2540" i="9"/>
  <c r="H2540" i="9" s="1"/>
  <c r="F2541" i="9"/>
  <c r="H2541" i="9" s="1"/>
  <c r="F2542" i="9"/>
  <c r="H2542" i="9" s="1"/>
  <c r="F2543" i="9"/>
  <c r="H2543" i="9" s="1"/>
  <c r="F2544" i="9"/>
  <c r="H2544" i="9" s="1"/>
  <c r="F2545" i="9"/>
  <c r="H2545" i="9" s="1"/>
  <c r="F2546" i="9"/>
  <c r="H2546" i="9" s="1"/>
  <c r="F2547" i="9"/>
  <c r="H2547" i="9" s="1"/>
  <c r="F2548" i="9"/>
  <c r="H2548" i="9" s="1"/>
  <c r="F2549" i="9"/>
  <c r="H2549" i="9" s="1"/>
  <c r="F2550" i="9"/>
  <c r="H2550" i="9" s="1"/>
  <c r="F2551" i="9"/>
  <c r="H2551" i="9" s="1"/>
  <c r="F2552" i="9"/>
  <c r="H2552" i="9" s="1"/>
  <c r="F2553" i="9"/>
  <c r="H2553" i="9" s="1"/>
  <c r="F2554" i="9"/>
  <c r="H2554" i="9" s="1"/>
  <c r="F2555" i="9"/>
  <c r="H2555" i="9" s="1"/>
  <c r="F2556" i="9"/>
  <c r="H2556" i="9" s="1"/>
  <c r="F2557" i="9"/>
  <c r="H2557" i="9" s="1"/>
  <c r="F2558" i="9"/>
  <c r="H2558" i="9" s="1"/>
  <c r="F2559" i="9"/>
  <c r="H2559" i="9" s="1"/>
  <c r="F2560" i="9"/>
  <c r="H2560" i="9" s="1"/>
  <c r="F2561" i="9"/>
  <c r="H2561" i="9" s="1"/>
  <c r="F2562" i="9"/>
  <c r="H2562" i="9" s="1"/>
  <c r="F2563" i="9"/>
  <c r="H2563" i="9" s="1"/>
  <c r="F2564" i="9"/>
  <c r="H2564" i="9" s="1"/>
  <c r="F2565" i="9"/>
  <c r="H2565" i="9" s="1"/>
  <c r="F2566" i="9"/>
  <c r="H2566" i="9" s="1"/>
  <c r="F2567" i="9"/>
  <c r="H2567" i="9" s="1"/>
  <c r="F2568" i="9"/>
  <c r="H2568" i="9" s="1"/>
  <c r="F2569" i="9"/>
  <c r="H2569" i="9" s="1"/>
  <c r="F2570" i="9"/>
  <c r="H2570" i="9" s="1"/>
  <c r="F2571" i="9"/>
  <c r="H2571" i="9" s="1"/>
  <c r="F2572" i="9"/>
  <c r="H2572" i="9" s="1"/>
  <c r="F2573" i="9"/>
  <c r="H2573" i="9" s="1"/>
  <c r="F2574" i="9"/>
  <c r="H2574" i="9" s="1"/>
  <c r="F2575" i="9"/>
  <c r="H2575" i="9" s="1"/>
  <c r="F2576" i="9"/>
  <c r="H2576" i="9" s="1"/>
  <c r="F2577" i="9"/>
  <c r="H2577" i="9" s="1"/>
  <c r="F2578" i="9"/>
  <c r="H2578" i="9" s="1"/>
  <c r="F2579" i="9"/>
  <c r="H2579" i="9" s="1"/>
  <c r="F2580" i="9"/>
  <c r="H2580" i="9" s="1"/>
  <c r="F2581" i="9"/>
  <c r="H2581" i="9" s="1"/>
  <c r="F2582" i="9"/>
  <c r="H2582" i="9" s="1"/>
  <c r="F2583" i="9"/>
  <c r="H2583" i="9" s="1"/>
  <c r="F2584" i="9"/>
  <c r="H2584" i="9" s="1"/>
  <c r="F2585" i="9"/>
  <c r="H2585" i="9" s="1"/>
  <c r="F2586" i="9"/>
  <c r="H2586" i="9" s="1"/>
  <c r="F2587" i="9"/>
  <c r="H2587" i="9" s="1"/>
  <c r="F2588" i="9"/>
  <c r="H2588" i="9" s="1"/>
  <c r="F2589" i="9"/>
  <c r="H2589" i="9" s="1"/>
  <c r="F2590" i="9"/>
  <c r="H2590" i="9" s="1"/>
  <c r="F2591" i="9"/>
  <c r="H2591" i="9" s="1"/>
  <c r="F2592" i="9"/>
  <c r="H2592" i="9" s="1"/>
  <c r="F2593" i="9"/>
  <c r="H2593" i="9" s="1"/>
  <c r="F2594" i="9"/>
  <c r="H2594" i="9" s="1"/>
  <c r="F2595" i="9"/>
  <c r="H2595" i="9" s="1"/>
  <c r="F2596" i="9"/>
  <c r="H2596" i="9" s="1"/>
  <c r="F2597" i="9"/>
  <c r="H2597" i="9" s="1"/>
  <c r="F2598" i="9"/>
  <c r="H2598" i="9" s="1"/>
  <c r="F2599" i="9"/>
  <c r="H2599" i="9" s="1"/>
  <c r="F2600" i="9"/>
  <c r="H2600" i="9" s="1"/>
  <c r="F2601" i="9"/>
  <c r="H2601" i="9" s="1"/>
  <c r="F2602" i="9"/>
  <c r="H2602" i="9" s="1"/>
  <c r="F2603" i="9"/>
  <c r="H2603" i="9" s="1"/>
  <c r="F2604" i="9"/>
  <c r="H2604" i="9" s="1"/>
  <c r="F2605" i="9"/>
  <c r="H2605" i="9" s="1"/>
  <c r="F2606" i="9"/>
  <c r="H2606" i="9" s="1"/>
  <c r="F2607" i="9"/>
  <c r="H2607" i="9" s="1"/>
  <c r="F2608" i="9"/>
  <c r="H2608" i="9" s="1"/>
  <c r="F2609" i="9"/>
  <c r="H2609" i="9" s="1"/>
  <c r="F2610" i="9"/>
  <c r="H2610" i="9" s="1"/>
  <c r="F2611" i="9"/>
  <c r="H2611" i="9" s="1"/>
  <c r="F2612" i="9"/>
  <c r="H2612" i="9" s="1"/>
  <c r="F2613" i="9"/>
  <c r="H2613" i="9" s="1"/>
  <c r="F2614" i="9"/>
  <c r="H2614" i="9" s="1"/>
  <c r="F2615" i="9"/>
  <c r="H2615" i="9" s="1"/>
  <c r="F2616" i="9"/>
  <c r="H2616" i="9" s="1"/>
  <c r="F2617" i="9"/>
  <c r="H2617" i="9" s="1"/>
  <c r="F2618" i="9"/>
  <c r="H2618" i="9" s="1"/>
  <c r="F2619" i="9"/>
  <c r="H2619" i="9" s="1"/>
  <c r="F2620" i="9"/>
  <c r="H2620" i="9" s="1"/>
  <c r="F2621" i="9"/>
  <c r="H2621" i="9" s="1"/>
  <c r="F2622" i="9"/>
  <c r="H2622" i="9" s="1"/>
  <c r="F2623" i="9"/>
  <c r="H2623" i="9" s="1"/>
  <c r="F2624" i="9"/>
  <c r="H2624" i="9" s="1"/>
  <c r="F2625" i="9"/>
  <c r="H2625" i="9" s="1"/>
  <c r="F2626" i="9"/>
  <c r="H2626" i="9" s="1"/>
  <c r="F2627" i="9"/>
  <c r="H2627" i="9" s="1"/>
  <c r="F2628" i="9"/>
  <c r="H2628" i="9" s="1"/>
  <c r="F2629" i="9"/>
  <c r="H2629" i="9" s="1"/>
  <c r="F2630" i="9"/>
  <c r="H2630" i="9" s="1"/>
  <c r="F2631" i="9"/>
  <c r="H2631" i="9" s="1"/>
  <c r="F2632" i="9"/>
  <c r="H2632" i="9" s="1"/>
  <c r="F2633" i="9"/>
  <c r="H2633" i="9" s="1"/>
  <c r="F2634" i="9"/>
  <c r="H2634" i="9" s="1"/>
  <c r="F2635" i="9"/>
  <c r="H2635" i="9" s="1"/>
  <c r="F2636" i="9"/>
  <c r="H2636" i="9" s="1"/>
  <c r="F2637" i="9"/>
  <c r="H2637" i="9" s="1"/>
  <c r="F2638" i="9"/>
  <c r="H2638" i="9" s="1"/>
  <c r="F2639" i="9"/>
  <c r="H2639" i="9" s="1"/>
  <c r="F2640" i="9"/>
  <c r="H2640" i="9" s="1"/>
  <c r="F2641" i="9"/>
  <c r="H2641" i="9" s="1"/>
  <c r="F2642" i="9"/>
  <c r="H2642" i="9" s="1"/>
  <c r="F2643" i="9"/>
  <c r="H2643" i="9" s="1"/>
  <c r="F2644" i="9"/>
  <c r="H2644" i="9" s="1"/>
  <c r="F2645" i="9"/>
  <c r="H2645" i="9" s="1"/>
  <c r="F2646" i="9"/>
  <c r="H2646" i="9" s="1"/>
  <c r="F2647" i="9"/>
  <c r="H2647" i="9" s="1"/>
  <c r="F2648" i="9"/>
  <c r="H2648" i="9" s="1"/>
  <c r="F2649" i="9"/>
  <c r="H2649" i="9" s="1"/>
  <c r="F2650" i="9"/>
  <c r="H2650" i="9"/>
  <c r="F2651" i="9"/>
  <c r="H2651" i="9" s="1"/>
  <c r="F2652" i="9"/>
  <c r="H2652" i="9" s="1"/>
  <c r="F2653" i="9"/>
  <c r="H2653" i="9" s="1"/>
  <c r="F2654" i="9"/>
  <c r="H2654" i="9" s="1"/>
  <c r="F2655" i="9"/>
  <c r="H2655" i="9" s="1"/>
  <c r="F2656" i="9"/>
  <c r="H2656" i="9" s="1"/>
  <c r="F2657" i="9"/>
  <c r="H2657" i="9" s="1"/>
  <c r="F2658" i="9"/>
  <c r="H2658" i="9" s="1"/>
  <c r="F2659" i="9"/>
  <c r="H2659" i="9" s="1"/>
  <c r="F2660" i="9"/>
  <c r="H2660" i="9" s="1"/>
  <c r="F2661" i="9"/>
  <c r="H2661" i="9" s="1"/>
  <c r="F2662" i="9"/>
  <c r="H2662" i="9" s="1"/>
  <c r="F2663" i="9"/>
  <c r="H2663" i="9" s="1"/>
  <c r="F2664" i="9"/>
  <c r="H2664" i="9" s="1"/>
  <c r="F2665" i="9"/>
  <c r="H2665" i="9" s="1"/>
  <c r="F2666" i="9"/>
  <c r="H2666" i="9" s="1"/>
  <c r="F2667" i="9"/>
  <c r="H2667" i="9" s="1"/>
  <c r="F2668" i="9"/>
  <c r="H2668" i="9" s="1"/>
  <c r="F2669" i="9"/>
  <c r="H2669" i="9" s="1"/>
  <c r="F2670" i="9"/>
  <c r="H2670" i="9" s="1"/>
  <c r="F2671" i="9"/>
  <c r="H2671" i="9" s="1"/>
  <c r="F2672" i="9"/>
  <c r="H2672" i="9" s="1"/>
  <c r="F2673" i="9"/>
  <c r="H2673" i="9" s="1"/>
  <c r="F2674" i="9"/>
  <c r="H2674" i="9" s="1"/>
  <c r="F2675" i="9"/>
  <c r="H2675" i="9" s="1"/>
  <c r="F2676" i="9"/>
  <c r="H2676" i="9" s="1"/>
  <c r="F2677" i="9"/>
  <c r="H2677" i="9" s="1"/>
  <c r="F2678" i="9"/>
  <c r="H2678" i="9" s="1"/>
  <c r="F2679" i="9"/>
  <c r="H2679" i="9" s="1"/>
  <c r="F2680" i="9"/>
  <c r="H2680" i="9" s="1"/>
  <c r="F2681" i="9"/>
  <c r="H2681" i="9" s="1"/>
  <c r="F2682" i="9"/>
  <c r="H2682" i="9" s="1"/>
  <c r="F2683" i="9"/>
  <c r="H2683" i="9"/>
  <c r="F2684" i="9"/>
  <c r="H2684" i="9" s="1"/>
  <c r="F2685" i="9"/>
  <c r="H2685" i="9" s="1"/>
  <c r="F2686" i="9"/>
  <c r="H2686" i="9" s="1"/>
  <c r="F2687" i="9"/>
  <c r="H2687" i="9" s="1"/>
  <c r="F2688" i="9"/>
  <c r="H2688" i="9" s="1"/>
  <c r="F2689" i="9"/>
  <c r="H2689" i="9" s="1"/>
  <c r="F2690" i="9"/>
  <c r="H2690" i="9" s="1"/>
  <c r="F2691" i="9"/>
  <c r="H2691" i="9" s="1"/>
  <c r="F2692" i="9"/>
  <c r="H2692" i="9" s="1"/>
  <c r="F2693" i="9"/>
  <c r="H2693" i="9" s="1"/>
  <c r="F2694" i="9"/>
  <c r="H2694" i="9" s="1"/>
  <c r="F2695" i="9"/>
  <c r="H2695" i="9" s="1"/>
  <c r="F2696" i="9"/>
  <c r="H2696" i="9"/>
  <c r="F2697" i="9"/>
  <c r="H2697" i="9" s="1"/>
  <c r="F2698" i="9"/>
  <c r="H2698" i="9" s="1"/>
  <c r="F2699" i="9"/>
  <c r="H2699" i="9" s="1"/>
  <c r="F2700" i="9"/>
  <c r="H2700" i="9" s="1"/>
  <c r="F2701" i="9"/>
  <c r="H2701" i="9" s="1"/>
  <c r="F2702" i="9"/>
  <c r="H2702" i="9" s="1"/>
  <c r="F2703" i="9"/>
  <c r="H2703" i="9" s="1"/>
  <c r="F2704" i="9"/>
  <c r="H2704" i="9" s="1"/>
  <c r="F2705" i="9"/>
  <c r="H2705" i="9" s="1"/>
  <c r="F2706" i="9"/>
  <c r="H2706" i="9" s="1"/>
  <c r="F2707" i="9"/>
  <c r="H2707" i="9" s="1"/>
  <c r="F2708" i="9"/>
  <c r="H2708" i="9" s="1"/>
  <c r="F2709" i="9"/>
  <c r="H2709" i="9" s="1"/>
  <c r="F2710" i="9"/>
  <c r="H2710" i="9" s="1"/>
  <c r="F2711" i="9"/>
  <c r="H2711" i="9" s="1"/>
  <c r="F2712" i="9"/>
  <c r="H2712" i="9" s="1"/>
  <c r="F2713" i="9"/>
  <c r="H2713" i="9" s="1"/>
  <c r="F2714" i="9"/>
  <c r="H2714" i="9" s="1"/>
  <c r="F2715" i="9"/>
  <c r="H2715" i="9" s="1"/>
  <c r="F2716" i="9"/>
  <c r="H2716" i="9" s="1"/>
  <c r="F2717" i="9"/>
  <c r="H2717" i="9" s="1"/>
  <c r="F2718" i="9"/>
  <c r="H2718" i="9" s="1"/>
  <c r="F2719" i="9"/>
  <c r="H2719" i="9" s="1"/>
  <c r="F2720" i="9"/>
  <c r="H2720" i="9" s="1"/>
  <c r="F2721" i="9"/>
  <c r="H2721" i="9" s="1"/>
  <c r="F2722" i="9"/>
  <c r="H2722" i="9" s="1"/>
  <c r="F2723" i="9"/>
  <c r="H2723" i="9" s="1"/>
  <c r="F2724" i="9"/>
  <c r="H2724" i="9" s="1"/>
  <c r="F2725" i="9"/>
  <c r="H2725" i="9" s="1"/>
  <c r="F2726" i="9"/>
  <c r="H2726" i="9" s="1"/>
  <c r="F2727" i="9"/>
  <c r="H2727" i="9" s="1"/>
  <c r="F2728" i="9"/>
  <c r="H2728" i="9" s="1"/>
  <c r="F2729" i="9"/>
  <c r="H2729" i="9" s="1"/>
  <c r="F2730" i="9"/>
  <c r="H2730" i="9" s="1"/>
  <c r="F2731" i="9"/>
  <c r="H2731" i="9" s="1"/>
  <c r="F2732" i="9"/>
  <c r="H2732" i="9" s="1"/>
  <c r="F2733" i="9"/>
  <c r="H2733" i="9" s="1"/>
  <c r="F2734" i="9"/>
  <c r="H2734" i="9" s="1"/>
  <c r="F2735" i="9"/>
  <c r="H2735" i="9" s="1"/>
  <c r="F2736" i="9"/>
  <c r="H2736" i="9" s="1"/>
  <c r="F2737" i="9"/>
  <c r="H2737" i="9" s="1"/>
  <c r="F2738" i="9"/>
  <c r="H2738" i="9" s="1"/>
  <c r="F2739" i="9"/>
  <c r="H2739" i="9" s="1"/>
  <c r="F2740" i="9"/>
  <c r="H2740" i="9" s="1"/>
  <c r="F2741" i="9"/>
  <c r="H2741" i="9" s="1"/>
  <c r="F2742" i="9"/>
  <c r="H2742" i="9" s="1"/>
  <c r="F2743" i="9"/>
  <c r="H2743" i="9" s="1"/>
  <c r="F2744" i="9"/>
  <c r="H2744" i="9" s="1"/>
  <c r="F2745" i="9"/>
  <c r="H2745" i="9" s="1"/>
  <c r="F2746" i="9"/>
  <c r="H2746" i="9" s="1"/>
  <c r="F2747" i="9"/>
  <c r="H2747" i="9" s="1"/>
  <c r="F2748" i="9"/>
  <c r="H2748" i="9" s="1"/>
  <c r="F2749" i="9"/>
  <c r="H2749" i="9" s="1"/>
  <c r="F2750" i="9"/>
  <c r="H2750" i="9" s="1"/>
  <c r="F2751" i="9"/>
  <c r="H2751" i="9" s="1"/>
  <c r="F2752" i="9"/>
  <c r="H2752" i="9" s="1"/>
  <c r="F2753" i="9"/>
  <c r="H2753" i="9" s="1"/>
  <c r="F2754" i="9"/>
  <c r="H2754" i="9" s="1"/>
  <c r="F2755" i="9"/>
  <c r="H2755" i="9" s="1"/>
  <c r="F2756" i="9"/>
  <c r="H2756" i="9" s="1"/>
  <c r="F2757" i="9"/>
  <c r="H2757" i="9" s="1"/>
  <c r="F2758" i="9"/>
  <c r="H2758" i="9" s="1"/>
  <c r="F2759" i="9"/>
  <c r="H2759" i="9" s="1"/>
  <c r="F2760" i="9"/>
  <c r="H2760" i="9" s="1"/>
  <c r="F2761" i="9"/>
  <c r="H2761" i="9" s="1"/>
  <c r="F2762" i="9"/>
  <c r="H2762" i="9" s="1"/>
  <c r="F2763" i="9"/>
  <c r="H2763" i="9" s="1"/>
  <c r="F2764" i="9"/>
  <c r="H2764" i="9" s="1"/>
  <c r="F2765" i="9"/>
  <c r="H2765" i="9" s="1"/>
  <c r="F2766" i="9"/>
  <c r="H2766" i="9"/>
  <c r="F2767" i="9"/>
  <c r="H2767" i="9" s="1"/>
  <c r="F2768" i="9"/>
  <c r="H2768" i="9" s="1"/>
  <c r="F2769" i="9"/>
  <c r="H2769" i="9" s="1"/>
  <c r="F2770" i="9"/>
  <c r="H2770" i="9" s="1"/>
  <c r="F2771" i="9"/>
  <c r="H2771" i="9" s="1"/>
  <c r="F2772" i="9"/>
  <c r="H2772" i="9" s="1"/>
  <c r="F2773" i="9"/>
  <c r="H2773" i="9" s="1"/>
  <c r="F2774" i="9"/>
  <c r="H2774" i="9" s="1"/>
  <c r="F2775" i="9"/>
  <c r="H2775" i="9" s="1"/>
  <c r="F2776" i="9"/>
  <c r="H2776" i="9" s="1"/>
  <c r="F2777" i="9"/>
  <c r="H2777" i="9" s="1"/>
  <c r="F2778" i="9"/>
  <c r="H2778" i="9" s="1"/>
  <c r="F2779" i="9"/>
  <c r="H2779" i="9" s="1"/>
  <c r="F2780" i="9"/>
  <c r="H2780" i="9" s="1"/>
  <c r="F2781" i="9"/>
  <c r="H2781" i="9" s="1"/>
  <c r="F2782" i="9"/>
  <c r="H2782" i="9" s="1"/>
  <c r="F2783" i="9"/>
  <c r="H2783" i="9" s="1"/>
  <c r="F2784" i="9"/>
  <c r="H2784" i="9" s="1"/>
  <c r="F2785" i="9"/>
  <c r="H2785" i="9" s="1"/>
  <c r="F2786" i="9"/>
  <c r="H2786" i="9" s="1"/>
  <c r="F2787" i="9"/>
  <c r="H2787" i="9" s="1"/>
  <c r="F2788" i="9"/>
  <c r="H2788" i="9" s="1"/>
  <c r="F2789" i="9"/>
  <c r="H2789" i="9" s="1"/>
  <c r="F2790" i="9"/>
  <c r="H2790" i="9" s="1"/>
  <c r="F2791" i="9"/>
  <c r="H2791" i="9" s="1"/>
  <c r="F2792" i="9"/>
  <c r="H2792" i="9" s="1"/>
  <c r="F2793" i="9"/>
  <c r="H2793" i="9" s="1"/>
  <c r="F2794" i="9"/>
  <c r="H2794" i="9" s="1"/>
  <c r="F2795" i="9"/>
  <c r="H2795" i="9" s="1"/>
  <c r="F2796" i="9"/>
  <c r="H2796" i="9" s="1"/>
  <c r="F2797" i="9"/>
  <c r="H2797" i="9" s="1"/>
  <c r="F2798" i="9"/>
  <c r="H2798" i="9" s="1"/>
  <c r="F2799" i="9"/>
  <c r="H2799" i="9" s="1"/>
  <c r="F2800" i="9"/>
  <c r="H2800" i="9" s="1"/>
  <c r="F2801" i="9"/>
  <c r="H2801" i="9" s="1"/>
  <c r="F2802" i="9"/>
  <c r="H2802" i="9" s="1"/>
  <c r="F2803" i="9"/>
  <c r="H2803" i="9" s="1"/>
  <c r="F2804" i="9"/>
  <c r="H2804" i="9" s="1"/>
  <c r="F2805" i="9"/>
  <c r="H2805" i="9" s="1"/>
  <c r="F2806" i="9"/>
  <c r="H2806" i="9" s="1"/>
  <c r="F2807" i="9"/>
  <c r="H2807" i="9" s="1"/>
  <c r="F2808" i="9"/>
  <c r="H2808" i="9" s="1"/>
  <c r="F2809" i="9"/>
  <c r="H2809" i="9" s="1"/>
  <c r="F2810" i="9"/>
  <c r="H2810" i="9" s="1"/>
  <c r="F2811" i="9"/>
  <c r="H2811" i="9"/>
  <c r="F2812" i="9"/>
  <c r="H2812" i="9" s="1"/>
  <c r="F2813" i="9"/>
  <c r="H2813" i="9" s="1"/>
  <c r="F2814" i="9"/>
  <c r="H2814" i="9" s="1"/>
  <c r="F2815" i="9"/>
  <c r="H2815" i="9" s="1"/>
  <c r="F2816" i="9"/>
  <c r="H2816" i="9" s="1"/>
  <c r="F2817" i="9"/>
  <c r="H2817" i="9" s="1"/>
  <c r="F2818" i="9"/>
  <c r="H2818" i="9" s="1"/>
  <c r="F2819" i="9"/>
  <c r="H2819" i="9" s="1"/>
  <c r="F2820" i="9"/>
  <c r="H2820" i="9"/>
  <c r="F2821" i="9"/>
  <c r="H2821" i="9" s="1"/>
  <c r="F2822" i="9"/>
  <c r="H2822" i="9" s="1"/>
  <c r="F2823" i="9"/>
  <c r="H2823" i="9" s="1"/>
  <c r="F2824" i="9"/>
  <c r="H2824" i="9" s="1"/>
  <c r="F2825" i="9"/>
  <c r="H2825" i="9" s="1"/>
  <c r="F2826" i="9"/>
  <c r="H2826" i="9" s="1"/>
  <c r="F2827" i="9"/>
  <c r="H2827" i="9" s="1"/>
  <c r="F2828" i="9"/>
  <c r="H2828" i="9" s="1"/>
  <c r="F2829" i="9"/>
  <c r="H2829" i="9" s="1"/>
  <c r="F2830" i="9"/>
  <c r="H2830" i="9" s="1"/>
  <c r="F2831" i="9"/>
  <c r="H2831" i="9" s="1"/>
  <c r="F2832" i="9"/>
  <c r="H2832" i="9" s="1"/>
  <c r="F2833" i="9"/>
  <c r="H2833" i="9" s="1"/>
  <c r="F2834" i="9"/>
  <c r="H2834" i="9" s="1"/>
  <c r="F2835" i="9"/>
  <c r="H2835" i="9" s="1"/>
  <c r="F2836" i="9"/>
  <c r="H2836" i="9" s="1"/>
  <c r="F2837" i="9"/>
  <c r="H2837" i="9" s="1"/>
  <c r="F2838" i="9"/>
  <c r="H2838" i="9" s="1"/>
  <c r="F2839" i="9"/>
  <c r="H2839" i="9" s="1"/>
  <c r="F2840" i="9"/>
  <c r="H2840" i="9" s="1"/>
  <c r="F2841" i="9"/>
  <c r="H2841" i="9" s="1"/>
  <c r="F2842" i="9"/>
  <c r="H2842" i="9" s="1"/>
  <c r="F2843" i="9"/>
  <c r="H2843" i="9" s="1"/>
  <c r="F2844" i="9"/>
  <c r="H2844" i="9" s="1"/>
  <c r="F2845" i="9"/>
  <c r="H2845" i="9" s="1"/>
  <c r="F2846" i="9"/>
  <c r="H2846" i="9" s="1"/>
  <c r="F2847" i="9"/>
  <c r="H2847" i="9" s="1"/>
  <c r="F2848" i="9"/>
  <c r="H2848" i="9" s="1"/>
  <c r="F2849" i="9"/>
  <c r="H2849" i="9" s="1"/>
  <c r="F2850" i="9"/>
  <c r="H2850" i="9" s="1"/>
  <c r="F2851" i="9"/>
  <c r="H2851" i="9" s="1"/>
  <c r="F2852" i="9"/>
  <c r="H2852" i="9" s="1"/>
  <c r="F2853" i="9"/>
  <c r="H2853" i="9"/>
  <c r="F2854" i="9"/>
  <c r="H2854" i="9" s="1"/>
  <c r="F2855" i="9"/>
  <c r="H2855" i="9" s="1"/>
  <c r="F2856" i="9"/>
  <c r="H2856" i="9" s="1"/>
  <c r="F2857" i="9"/>
  <c r="H2857" i="9" s="1"/>
  <c r="F2858" i="9"/>
  <c r="H2858" i="9" s="1"/>
  <c r="F2859" i="9"/>
  <c r="H2859" i="9" s="1"/>
  <c r="F2860" i="9"/>
  <c r="H2860" i="9" s="1"/>
  <c r="F2861" i="9"/>
  <c r="H2861" i="9" s="1"/>
  <c r="F2862" i="9"/>
  <c r="H2862" i="9" s="1"/>
  <c r="F2863" i="9"/>
  <c r="H2863" i="9" s="1"/>
  <c r="F2864" i="9"/>
  <c r="H2864" i="9" s="1"/>
  <c r="F2865" i="9"/>
  <c r="H2865" i="9" s="1"/>
  <c r="F2866" i="9"/>
  <c r="H2866" i="9" s="1"/>
  <c r="F2867" i="9"/>
  <c r="H2867" i="9" s="1"/>
  <c r="F2868" i="9"/>
  <c r="H2868" i="9" s="1"/>
  <c r="F2869" i="9"/>
  <c r="H2869" i="9" s="1"/>
  <c r="F2870" i="9"/>
  <c r="H2870" i="9" s="1"/>
  <c r="F2871" i="9"/>
  <c r="H2871" i="9" s="1"/>
  <c r="F2872" i="9"/>
  <c r="H2872" i="9" s="1"/>
  <c r="F2873" i="9"/>
  <c r="H2873" i="9" s="1"/>
  <c r="F2874" i="9"/>
  <c r="H2874" i="9" s="1"/>
  <c r="F2875" i="9"/>
  <c r="H2875" i="9" s="1"/>
  <c r="F2876" i="9"/>
  <c r="H2876" i="9" s="1"/>
  <c r="F2877" i="9"/>
  <c r="H2877" i="9" s="1"/>
  <c r="F2878" i="9"/>
  <c r="H2878" i="9" s="1"/>
  <c r="F2879" i="9"/>
  <c r="H2879" i="9" s="1"/>
  <c r="F2880" i="9"/>
  <c r="H2880" i="9" s="1"/>
  <c r="F2881" i="9"/>
  <c r="H2881" i="9" s="1"/>
  <c r="F2882" i="9"/>
  <c r="H2882" i="9" s="1"/>
  <c r="F2883" i="9"/>
  <c r="H2883" i="9" s="1"/>
  <c r="F2884" i="9"/>
  <c r="H2884" i="9" s="1"/>
  <c r="F2885" i="9"/>
  <c r="H2885" i="9" s="1"/>
  <c r="F2886" i="9"/>
  <c r="H2886" i="9" s="1"/>
  <c r="F2887" i="9"/>
  <c r="H2887" i="9" s="1"/>
  <c r="F2888" i="9"/>
  <c r="H2888" i="9" s="1"/>
  <c r="F2889" i="9"/>
  <c r="H2889" i="9" s="1"/>
  <c r="F2890" i="9"/>
  <c r="H2890" i="9" s="1"/>
  <c r="F2891" i="9"/>
  <c r="H2891" i="9" s="1"/>
  <c r="F2892" i="9"/>
  <c r="H2892" i="9" s="1"/>
  <c r="F2893" i="9"/>
  <c r="H2893" i="9" s="1"/>
  <c r="F2894" i="9"/>
  <c r="H2894" i="9" s="1"/>
  <c r="F2895" i="9"/>
  <c r="H2895" i="9" s="1"/>
  <c r="F2896" i="9"/>
  <c r="H2896" i="9" s="1"/>
  <c r="F2897" i="9"/>
  <c r="H2897" i="9" s="1"/>
  <c r="F2898" i="9"/>
  <c r="H2898" i="9" s="1"/>
  <c r="F2899" i="9"/>
  <c r="H2899" i="9" s="1"/>
  <c r="F2900" i="9"/>
  <c r="H2900" i="9" s="1"/>
  <c r="F2901" i="9"/>
  <c r="H2901" i="9" s="1"/>
  <c r="F2902" i="9"/>
  <c r="H2902" i="9" s="1"/>
  <c r="F2903" i="9"/>
  <c r="H2903" i="9" s="1"/>
  <c r="F2904" i="9"/>
  <c r="H2904" i="9" s="1"/>
  <c r="F2905" i="9"/>
  <c r="H2905" i="9" s="1"/>
  <c r="F2906" i="9"/>
  <c r="H2906" i="9" s="1"/>
  <c r="F2907" i="9"/>
  <c r="H2907" i="9" s="1"/>
  <c r="F2908" i="9"/>
  <c r="H2908" i="9" s="1"/>
  <c r="F2909" i="9"/>
  <c r="H2909" i="9" s="1"/>
  <c r="F2910" i="9"/>
  <c r="H2910" i="9" s="1"/>
  <c r="F2911" i="9"/>
  <c r="H2911" i="9" s="1"/>
  <c r="F2912" i="9"/>
  <c r="H2912" i="9" s="1"/>
  <c r="F2913" i="9"/>
  <c r="H2913" i="9" s="1"/>
  <c r="F2914" i="9"/>
  <c r="H2914" i="9" s="1"/>
  <c r="F2915" i="9"/>
  <c r="H2915" i="9" s="1"/>
  <c r="F2916" i="9"/>
  <c r="H2916" i="9" s="1"/>
  <c r="F2917" i="9"/>
  <c r="H2917" i="9" s="1"/>
  <c r="F2918" i="9"/>
  <c r="H2918" i="9" s="1"/>
  <c r="F2919" i="9"/>
  <c r="H2919" i="9" s="1"/>
  <c r="F2920" i="9"/>
  <c r="H2920" i="9" s="1"/>
  <c r="F2921" i="9"/>
  <c r="H2921" i="9" s="1"/>
  <c r="F2922" i="9"/>
  <c r="H2922" i="9" s="1"/>
  <c r="F2923" i="9"/>
  <c r="H2923" i="9" s="1"/>
  <c r="F2924" i="9"/>
  <c r="H2924" i="9" s="1"/>
  <c r="F2925" i="9"/>
  <c r="H2925" i="9" s="1"/>
  <c r="F2926" i="9"/>
  <c r="H2926" i="9" s="1"/>
  <c r="F2927" i="9"/>
  <c r="H2927" i="9" s="1"/>
  <c r="F2928" i="9"/>
  <c r="H2928" i="9" s="1"/>
  <c r="F2929" i="9"/>
  <c r="H2929" i="9" s="1"/>
  <c r="F2930" i="9"/>
  <c r="H2930" i="9" s="1"/>
  <c r="F2931" i="9"/>
  <c r="H2931" i="9" s="1"/>
  <c r="F2932" i="9"/>
  <c r="H2932" i="9" s="1"/>
  <c r="F2933" i="9"/>
  <c r="H2933" i="9" s="1"/>
  <c r="F2934" i="9"/>
  <c r="H2934" i="9" s="1"/>
  <c r="F2935" i="9"/>
  <c r="H2935" i="9" s="1"/>
  <c r="F2936" i="9"/>
  <c r="H2936" i="9" s="1"/>
  <c r="F2937" i="9"/>
  <c r="H2937" i="9" s="1"/>
  <c r="F2938" i="9"/>
  <c r="H2938" i="9" s="1"/>
  <c r="F2939" i="9"/>
  <c r="H2939" i="9" s="1"/>
  <c r="F2940" i="9"/>
  <c r="H2940" i="9" s="1"/>
  <c r="F2941" i="9"/>
  <c r="H2941" i="9" s="1"/>
  <c r="F2942" i="9"/>
  <c r="H2942" i="9" s="1"/>
  <c r="F2943" i="9"/>
  <c r="H2943" i="9" s="1"/>
  <c r="F2944" i="9"/>
  <c r="H2944" i="9" s="1"/>
  <c r="F2945" i="9"/>
  <c r="H2945" i="9" s="1"/>
  <c r="F2946" i="9"/>
  <c r="H2946" i="9" s="1"/>
  <c r="F2947" i="9"/>
  <c r="H2947" i="9" s="1"/>
  <c r="F2948" i="9"/>
  <c r="H2948" i="9" s="1"/>
  <c r="F2949" i="9"/>
  <c r="H2949" i="9" s="1"/>
  <c r="F2950" i="9"/>
  <c r="H2950" i="9" s="1"/>
  <c r="F2951" i="9"/>
  <c r="H2951" i="9" s="1"/>
  <c r="F2952" i="9"/>
  <c r="H2952" i="9" s="1"/>
  <c r="F2953" i="9"/>
  <c r="H2953" i="9" s="1"/>
  <c r="F2954" i="9"/>
  <c r="H2954" i="9" s="1"/>
  <c r="F2955" i="9"/>
  <c r="H2955" i="9" s="1"/>
  <c r="F2956" i="9"/>
  <c r="H2956" i="9" s="1"/>
  <c r="F2957" i="9"/>
  <c r="H2957" i="9" s="1"/>
  <c r="F2958" i="9"/>
  <c r="H2958" i="9" s="1"/>
  <c r="F2959" i="9"/>
  <c r="H2959" i="9" s="1"/>
  <c r="F2960" i="9"/>
  <c r="H2960" i="9" s="1"/>
  <c r="F2961" i="9"/>
  <c r="H2961" i="9" s="1"/>
  <c r="F2962" i="9"/>
  <c r="H2962" i="9" s="1"/>
  <c r="F2963" i="9"/>
  <c r="H2963" i="9" s="1"/>
  <c r="F2964" i="9"/>
  <c r="H2964" i="9" s="1"/>
  <c r="F2965" i="9"/>
  <c r="H2965" i="9" s="1"/>
  <c r="F2966" i="9"/>
  <c r="H2966" i="9" s="1"/>
  <c r="F2967" i="9"/>
  <c r="H2967" i="9" s="1"/>
  <c r="F2968" i="9"/>
  <c r="H2968" i="9" s="1"/>
  <c r="F2969" i="9"/>
  <c r="H2969" i="9" s="1"/>
  <c r="F2970" i="9"/>
  <c r="H2970" i="9" s="1"/>
  <c r="F2971" i="9"/>
  <c r="H2971" i="9" s="1"/>
  <c r="F2972" i="9"/>
  <c r="H2972" i="9" s="1"/>
  <c r="F2973" i="9"/>
  <c r="H2973" i="9" s="1"/>
  <c r="F2974" i="9"/>
  <c r="H2974" i="9" s="1"/>
  <c r="F2975" i="9"/>
  <c r="H2975" i="9" s="1"/>
  <c r="F2976" i="9"/>
  <c r="H2976" i="9" s="1"/>
  <c r="F2977" i="9"/>
  <c r="H2977" i="9" s="1"/>
  <c r="F2978" i="9"/>
  <c r="H2978" i="9" s="1"/>
  <c r="F2979" i="9"/>
  <c r="H2979" i="9" s="1"/>
  <c r="F2980" i="9"/>
  <c r="H2980" i="9" s="1"/>
  <c r="F2981" i="9"/>
  <c r="H2981" i="9" s="1"/>
  <c r="F2982" i="9"/>
  <c r="H2982" i="9" s="1"/>
  <c r="F2983" i="9"/>
  <c r="H2983" i="9" s="1"/>
  <c r="F2984" i="9"/>
  <c r="H2984" i="9" s="1"/>
  <c r="F2985" i="9"/>
  <c r="H2985" i="9" s="1"/>
  <c r="F2986" i="9"/>
  <c r="H2986" i="9" s="1"/>
  <c r="F2987" i="9"/>
  <c r="H2987" i="9" s="1"/>
  <c r="F2988" i="9"/>
  <c r="H2988" i="9" s="1"/>
  <c r="F2989" i="9"/>
  <c r="H2989" i="9" s="1"/>
  <c r="F2990" i="9"/>
  <c r="H2990" i="9" s="1"/>
  <c r="F2991" i="9"/>
  <c r="H2991" i="9" s="1"/>
  <c r="F2992" i="9"/>
  <c r="H2992" i="9" s="1"/>
  <c r="F2993" i="9"/>
  <c r="H2993" i="9" s="1"/>
  <c r="F2994" i="9"/>
  <c r="H2994" i="9" s="1"/>
  <c r="F2995" i="9"/>
  <c r="H2995" i="9" s="1"/>
  <c r="F2996" i="9"/>
  <c r="H2996" i="9" s="1"/>
  <c r="F2997" i="9"/>
  <c r="H2997" i="9" s="1"/>
  <c r="F2998" i="9"/>
  <c r="H2998" i="9" s="1"/>
  <c r="F2999" i="9"/>
  <c r="H2999" i="9" s="1"/>
  <c r="F3000" i="9"/>
  <c r="H3000" i="9" s="1"/>
  <c r="F3001" i="9"/>
  <c r="H3001" i="9" s="1"/>
  <c r="F3002" i="9"/>
  <c r="H3002" i="9" s="1"/>
  <c r="F3003" i="9"/>
  <c r="H3003" i="9" s="1"/>
  <c r="F3004" i="9"/>
  <c r="H3004" i="9" s="1"/>
  <c r="F3005" i="9"/>
  <c r="H3005" i="9" s="1"/>
  <c r="F3006" i="9"/>
  <c r="H3006" i="9" s="1"/>
  <c r="F3007" i="9"/>
  <c r="H3007" i="9" s="1"/>
  <c r="F3008" i="9"/>
  <c r="H3008" i="9" s="1"/>
  <c r="F3009" i="9"/>
  <c r="H3009" i="9" s="1"/>
  <c r="F3010" i="9"/>
  <c r="H3010" i="9" s="1"/>
  <c r="F3011" i="9"/>
  <c r="H3011" i="9" s="1"/>
  <c r="F3012" i="9"/>
  <c r="H3012" i="9" s="1"/>
  <c r="F3013" i="9"/>
  <c r="H3013" i="9" s="1"/>
  <c r="F3014" i="9"/>
  <c r="H3014" i="9" s="1"/>
  <c r="F3015" i="9"/>
  <c r="H3015" i="9" s="1"/>
  <c r="F3016" i="9"/>
  <c r="H3016" i="9"/>
  <c r="F3017" i="9"/>
  <c r="H3017" i="9" s="1"/>
  <c r="F3018" i="9"/>
  <c r="H3018" i="9" s="1"/>
  <c r="F3019" i="9"/>
  <c r="H3019" i="9" s="1"/>
  <c r="F3020" i="9"/>
  <c r="H3020" i="9" s="1"/>
  <c r="F3021" i="9"/>
  <c r="H3021" i="9" s="1"/>
  <c r="F3022" i="9"/>
  <c r="H3022" i="9" s="1"/>
  <c r="F3023" i="9"/>
  <c r="H3023" i="9" s="1"/>
  <c r="F3024" i="9"/>
  <c r="H3024" i="9" s="1"/>
  <c r="F3025" i="9"/>
  <c r="H3025" i="9" s="1"/>
  <c r="F3026" i="9"/>
  <c r="H3026" i="9" s="1"/>
  <c r="F3027" i="9"/>
  <c r="H3027" i="9" s="1"/>
  <c r="F3028" i="9"/>
  <c r="H3028" i="9" s="1"/>
  <c r="F3029" i="9"/>
  <c r="H3029" i="9" s="1"/>
  <c r="F3030" i="9"/>
  <c r="H3030" i="9" s="1"/>
  <c r="F3031" i="9"/>
  <c r="H3031" i="9" s="1"/>
  <c r="F3032" i="9"/>
  <c r="H3032" i="9" s="1"/>
  <c r="F3033" i="9"/>
  <c r="H3033" i="9" s="1"/>
  <c r="F3034" i="9"/>
  <c r="H3034" i="9" s="1"/>
  <c r="F3035" i="9"/>
  <c r="H3035" i="9" s="1"/>
  <c r="F3036" i="9"/>
  <c r="H3036" i="9" s="1"/>
  <c r="F3037" i="9"/>
  <c r="H3037" i="9" s="1"/>
  <c r="F3038" i="9"/>
  <c r="H3038" i="9" s="1"/>
  <c r="F3039" i="9"/>
  <c r="H3039" i="9" s="1"/>
  <c r="F3040" i="9"/>
  <c r="H3040" i="9" s="1"/>
  <c r="F3041" i="9"/>
  <c r="H3041" i="9" s="1"/>
  <c r="F3042" i="9"/>
  <c r="H3042" i="9"/>
  <c r="F3043" i="9"/>
  <c r="H3043" i="9" s="1"/>
  <c r="F3044" i="9"/>
  <c r="H3044" i="9" s="1"/>
  <c r="F3045" i="9"/>
  <c r="H3045" i="9" s="1"/>
  <c r="F3046" i="9"/>
  <c r="H3046" i="9" s="1"/>
  <c r="F3047" i="9"/>
  <c r="H3047" i="9" s="1"/>
  <c r="F3048" i="9"/>
  <c r="H3048" i="9" s="1"/>
  <c r="F3049" i="9"/>
  <c r="H3049" i="9" s="1"/>
  <c r="F3050" i="9"/>
  <c r="H3050" i="9" s="1"/>
  <c r="F3051" i="9"/>
  <c r="H3051" i="9" s="1"/>
  <c r="F3052" i="9"/>
  <c r="H3052" i="9" s="1"/>
  <c r="F3053" i="9"/>
  <c r="H3053" i="9" s="1"/>
  <c r="F3054" i="9"/>
  <c r="H3054" i="9"/>
  <c r="F3055" i="9"/>
  <c r="H3055" i="9" s="1"/>
  <c r="F3056" i="9"/>
  <c r="H3056" i="9" s="1"/>
  <c r="F3057" i="9"/>
  <c r="H3057" i="9" s="1"/>
  <c r="F3058" i="9"/>
  <c r="H3058" i="9" s="1"/>
  <c r="F3059" i="9"/>
  <c r="H3059" i="9" s="1"/>
  <c r="F3060" i="9"/>
  <c r="H3060" i="9" s="1"/>
  <c r="F3061" i="9"/>
  <c r="H3061" i="9" s="1"/>
  <c r="F3062" i="9"/>
  <c r="H3062" i="9" s="1"/>
  <c r="F3063" i="9"/>
  <c r="H3063" i="9" s="1"/>
  <c r="F3064" i="9"/>
  <c r="H3064" i="9" s="1"/>
  <c r="F3065" i="9"/>
  <c r="H3065" i="9" s="1"/>
  <c r="F3066" i="9"/>
  <c r="H3066" i="9" s="1"/>
  <c r="F3067" i="9"/>
  <c r="H3067" i="9" s="1"/>
  <c r="F3068" i="9"/>
  <c r="H3068" i="9" s="1"/>
  <c r="F3069" i="9"/>
  <c r="H3069" i="9" s="1"/>
  <c r="F3070" i="9"/>
  <c r="H3070" i="9" s="1"/>
  <c r="F3071" i="9"/>
  <c r="H3071" i="9" s="1"/>
  <c r="F3072" i="9"/>
  <c r="H3072" i="9" s="1"/>
  <c r="F3073" i="9"/>
  <c r="H3073" i="9" s="1"/>
  <c r="F3074" i="9"/>
  <c r="H3074" i="9" s="1"/>
  <c r="F3075" i="9"/>
  <c r="H3075" i="9" s="1"/>
  <c r="F3076" i="9"/>
  <c r="H3076" i="9" s="1"/>
  <c r="F3077" i="9"/>
  <c r="H3077" i="9" s="1"/>
  <c r="F3078" i="9"/>
  <c r="H3078" i="9" s="1"/>
  <c r="F3079" i="9"/>
  <c r="H3079" i="9" s="1"/>
  <c r="F3080" i="9"/>
  <c r="H3080" i="9" s="1"/>
  <c r="F3081" i="9"/>
  <c r="H3081" i="9" s="1"/>
  <c r="F3082" i="9"/>
  <c r="H3082" i="9" s="1"/>
  <c r="F3083" i="9"/>
  <c r="H3083" i="9" s="1"/>
  <c r="F3084" i="9"/>
  <c r="H3084" i="9" s="1"/>
  <c r="F3085" i="9"/>
  <c r="H3085" i="9" s="1"/>
  <c r="F3086" i="9"/>
  <c r="H3086" i="9" s="1"/>
  <c r="F3087" i="9"/>
  <c r="H3087" i="9" s="1"/>
  <c r="F3088" i="9"/>
  <c r="H3088" i="9" s="1"/>
  <c r="F3089" i="9"/>
  <c r="H3089" i="9" s="1"/>
  <c r="F3090" i="9"/>
  <c r="H3090" i="9" s="1"/>
  <c r="F3091" i="9"/>
  <c r="H3091" i="9" s="1"/>
  <c r="F3092" i="9"/>
  <c r="H3092" i="9" s="1"/>
  <c r="F3093" i="9"/>
  <c r="H3093" i="9" s="1"/>
  <c r="F3094" i="9"/>
  <c r="H3094" i="9" s="1"/>
  <c r="F3095" i="9"/>
  <c r="H3095" i="9" s="1"/>
  <c r="F3096" i="9"/>
  <c r="H3096" i="9" s="1"/>
  <c r="F3097" i="9"/>
  <c r="H3097" i="9" s="1"/>
  <c r="F3098" i="9"/>
  <c r="H3098" i="9" s="1"/>
  <c r="F3099" i="9"/>
  <c r="H3099" i="9" s="1"/>
  <c r="F3100" i="9"/>
  <c r="H3100" i="9" s="1"/>
  <c r="F3101" i="9"/>
  <c r="H3101" i="9" s="1"/>
  <c r="F3102" i="9"/>
  <c r="H3102" i="9" s="1"/>
  <c r="F3103" i="9"/>
  <c r="H3103" i="9" s="1"/>
  <c r="F3104" i="9"/>
  <c r="H3104" i="9" s="1"/>
  <c r="F3105" i="9"/>
  <c r="H3105" i="9" s="1"/>
  <c r="F3106" i="9"/>
  <c r="H3106" i="9" s="1"/>
  <c r="F3107" i="9"/>
  <c r="H3107" i="9" s="1"/>
  <c r="F3108" i="9"/>
  <c r="H3108" i="9" s="1"/>
  <c r="F3109" i="9"/>
  <c r="H3109" i="9" s="1"/>
  <c r="F3110" i="9"/>
  <c r="H3110" i="9" s="1"/>
  <c r="F3111" i="9"/>
  <c r="H3111" i="9" s="1"/>
  <c r="F3112" i="9"/>
  <c r="H3112" i="9" s="1"/>
  <c r="F3113" i="9"/>
  <c r="H3113" i="9" s="1"/>
  <c r="F3114" i="9"/>
  <c r="H3114" i="9" s="1"/>
  <c r="F3115" i="9"/>
  <c r="H3115" i="9" s="1"/>
  <c r="F3116" i="9"/>
  <c r="H3116" i="9" s="1"/>
  <c r="F3117" i="9"/>
  <c r="H3117" i="9" s="1"/>
  <c r="F3118" i="9"/>
  <c r="H3118" i="9" s="1"/>
  <c r="F3119" i="9"/>
  <c r="H3119" i="9" s="1"/>
  <c r="F3120" i="9"/>
  <c r="H3120" i="9" s="1"/>
  <c r="F3121" i="9"/>
  <c r="H3121" i="9" s="1"/>
  <c r="F3122" i="9"/>
  <c r="H3122" i="9" s="1"/>
  <c r="F3123" i="9"/>
  <c r="H3123" i="9" s="1"/>
  <c r="F3124" i="9"/>
  <c r="H3124" i="9" s="1"/>
  <c r="F3125" i="9"/>
  <c r="H3125" i="9" s="1"/>
  <c r="F3126" i="9"/>
  <c r="H3126" i="9" s="1"/>
  <c r="F3127" i="9"/>
  <c r="H3127" i="9" s="1"/>
  <c r="F3128" i="9"/>
  <c r="H3128" i="9" s="1"/>
  <c r="F3129" i="9"/>
  <c r="H3129" i="9" s="1"/>
  <c r="F3130" i="9"/>
  <c r="H3130" i="9" s="1"/>
  <c r="F3131" i="9"/>
  <c r="H3131" i="9" s="1"/>
  <c r="F3132" i="9"/>
  <c r="H3132" i="9" s="1"/>
  <c r="F3133" i="9"/>
  <c r="H3133" i="9" s="1"/>
  <c r="F3134" i="9"/>
  <c r="H3134" i="9" s="1"/>
  <c r="F3135" i="9"/>
  <c r="H3135" i="9" s="1"/>
  <c r="F3136" i="9"/>
  <c r="H3136" i="9" s="1"/>
  <c r="F3137" i="9"/>
  <c r="H3137" i="9" s="1"/>
  <c r="F3138" i="9"/>
  <c r="H3138" i="9" s="1"/>
  <c r="F3139" i="9"/>
  <c r="H3139" i="9" s="1"/>
  <c r="F3140" i="9"/>
  <c r="H3140" i="9" s="1"/>
  <c r="F3141" i="9"/>
  <c r="H3141" i="9" s="1"/>
  <c r="F3142" i="9"/>
  <c r="H3142" i="9" s="1"/>
  <c r="F3143" i="9"/>
  <c r="H3143" i="9" s="1"/>
  <c r="F3144" i="9"/>
  <c r="H3144" i="9" s="1"/>
  <c r="F3145" i="9"/>
  <c r="H3145" i="9" s="1"/>
  <c r="F3146" i="9"/>
  <c r="H3146" i="9" s="1"/>
  <c r="F3147" i="9"/>
  <c r="H3147" i="9" s="1"/>
  <c r="F3148" i="9"/>
  <c r="H3148" i="9" s="1"/>
  <c r="F3149" i="9"/>
  <c r="H3149" i="9" s="1"/>
  <c r="F3150" i="9"/>
  <c r="H3150" i="9" s="1"/>
  <c r="F3151" i="9"/>
  <c r="H3151" i="9" s="1"/>
  <c r="F3152" i="9"/>
  <c r="H3152" i="9" s="1"/>
  <c r="F3153" i="9"/>
  <c r="H3153" i="9" s="1"/>
  <c r="F3154" i="9"/>
  <c r="H3154" i="9" s="1"/>
  <c r="F3155" i="9"/>
  <c r="H3155" i="9" s="1"/>
  <c r="F3156" i="9"/>
  <c r="H3156" i="9" s="1"/>
  <c r="F3157" i="9"/>
  <c r="H3157" i="9" s="1"/>
  <c r="F3158" i="9"/>
  <c r="H3158" i="9" s="1"/>
  <c r="F3159" i="9"/>
  <c r="H3159" i="9" s="1"/>
  <c r="F3160" i="9"/>
  <c r="H3160" i="9" s="1"/>
  <c r="F3161" i="9"/>
  <c r="H3161" i="9" s="1"/>
  <c r="F3162" i="9"/>
  <c r="H3162" i="9" s="1"/>
  <c r="F3163" i="9"/>
  <c r="H3163" i="9" s="1"/>
  <c r="F3164" i="9"/>
  <c r="H3164" i="9" s="1"/>
  <c r="F3165" i="9"/>
  <c r="H3165" i="9" s="1"/>
  <c r="F3166" i="9"/>
  <c r="H3166" i="9" s="1"/>
  <c r="F3167" i="9"/>
  <c r="H3167" i="9" s="1"/>
  <c r="F3168" i="9"/>
  <c r="H3168" i="9" s="1"/>
  <c r="F3169" i="9"/>
  <c r="H3169" i="9" s="1"/>
  <c r="F3170" i="9"/>
  <c r="H3170" i="9" s="1"/>
  <c r="F3171" i="9"/>
  <c r="H3171" i="9" s="1"/>
  <c r="F3172" i="9"/>
  <c r="H3172" i="9" s="1"/>
  <c r="F3173" i="9"/>
  <c r="H3173" i="9" s="1"/>
  <c r="F3174" i="9"/>
  <c r="H3174" i="9" s="1"/>
  <c r="F3175" i="9"/>
  <c r="H3175" i="9" s="1"/>
  <c r="F3176" i="9"/>
  <c r="H3176" i="9" s="1"/>
  <c r="F3177" i="9"/>
  <c r="H3177" i="9" s="1"/>
  <c r="F3178" i="9"/>
  <c r="H3178" i="9" s="1"/>
  <c r="F3179" i="9"/>
  <c r="H3179" i="9" s="1"/>
  <c r="F3180" i="9"/>
  <c r="H3180" i="9" s="1"/>
  <c r="F3181" i="9"/>
  <c r="H3181" i="9" s="1"/>
  <c r="F3182" i="9"/>
  <c r="H3182" i="9" s="1"/>
  <c r="F3183" i="9"/>
  <c r="H3183" i="9" s="1"/>
  <c r="F3184" i="9"/>
  <c r="H3184" i="9" s="1"/>
  <c r="F3185" i="9"/>
  <c r="H3185" i="9" s="1"/>
  <c r="F3186" i="9"/>
  <c r="H3186" i="9"/>
  <c r="F3187" i="9"/>
  <c r="H3187" i="9" s="1"/>
  <c r="F3188" i="9"/>
  <c r="H3188" i="9" s="1"/>
  <c r="F3189" i="9"/>
  <c r="H3189" i="9" s="1"/>
  <c r="F3190" i="9"/>
  <c r="H3190" i="9" s="1"/>
  <c r="F3191" i="9"/>
  <c r="H3191" i="9" s="1"/>
  <c r="F3192" i="9"/>
  <c r="H3192" i="9" s="1"/>
  <c r="F3193" i="9"/>
  <c r="H3193" i="9" s="1"/>
  <c r="F3194" i="9"/>
  <c r="H3194" i="9" s="1"/>
  <c r="F3195" i="9"/>
  <c r="H3195" i="9" s="1"/>
  <c r="F3196" i="9"/>
  <c r="H3196" i="9" s="1"/>
  <c r="F3197" i="9"/>
  <c r="H3197" i="9" s="1"/>
  <c r="F3198" i="9"/>
  <c r="H3198" i="9" s="1"/>
  <c r="F3199" i="9"/>
  <c r="H3199" i="9" s="1"/>
  <c r="F3200" i="9"/>
  <c r="H3200" i="9" s="1"/>
  <c r="F3201" i="9"/>
  <c r="H3201" i="9" s="1"/>
  <c r="F3202" i="9"/>
  <c r="H3202" i="9" s="1"/>
  <c r="F3203" i="9"/>
  <c r="H3203" i="9" s="1"/>
  <c r="F3204" i="9"/>
  <c r="H3204" i="9" s="1"/>
  <c r="F3205" i="9"/>
  <c r="H3205" i="9" s="1"/>
  <c r="F3206" i="9"/>
  <c r="H3206" i="9" s="1"/>
  <c r="F3207" i="9"/>
  <c r="H3207" i="9" s="1"/>
  <c r="F3208" i="9"/>
  <c r="H3208" i="9" s="1"/>
  <c r="F3209" i="9"/>
  <c r="H3209" i="9" s="1"/>
  <c r="F3210" i="9"/>
  <c r="H3210" i="9" s="1"/>
  <c r="F3211" i="9"/>
  <c r="H3211" i="9" s="1"/>
  <c r="F3212" i="9"/>
  <c r="H3212" i="9" s="1"/>
  <c r="F3213" i="9"/>
  <c r="H3213" i="9" s="1"/>
  <c r="F3214" i="9"/>
  <c r="H3214" i="9" s="1"/>
  <c r="F3215" i="9"/>
  <c r="H3215" i="9" s="1"/>
  <c r="F3216" i="9"/>
  <c r="H3216" i="9" s="1"/>
  <c r="F3217" i="9"/>
  <c r="H3217" i="9" s="1"/>
  <c r="F3218" i="9"/>
  <c r="H3218" i="9" s="1"/>
  <c r="F3219" i="9"/>
  <c r="H3219" i="9" s="1"/>
  <c r="F3220" i="9"/>
  <c r="H3220" i="9" s="1"/>
  <c r="F3221" i="9"/>
  <c r="H3221" i="9" s="1"/>
  <c r="F3222" i="9"/>
  <c r="H3222" i="9" s="1"/>
  <c r="F3223" i="9"/>
  <c r="H3223" i="9" s="1"/>
  <c r="F3224" i="9"/>
  <c r="H3224" i="9" s="1"/>
  <c r="F3225" i="9"/>
  <c r="H3225" i="9" s="1"/>
  <c r="F3226" i="9"/>
  <c r="H3226" i="9" s="1"/>
  <c r="F3227" i="9"/>
  <c r="H3227" i="9" s="1"/>
  <c r="F3228" i="9"/>
  <c r="H3228" i="9" s="1"/>
  <c r="F3229" i="9"/>
  <c r="H3229" i="9" s="1"/>
  <c r="F3230" i="9"/>
  <c r="H3230" i="9" s="1"/>
  <c r="F3231" i="9"/>
  <c r="H3231" i="9" s="1"/>
  <c r="F3232" i="9"/>
  <c r="H3232" i="9" s="1"/>
  <c r="F3233" i="9"/>
  <c r="H3233" i="9" s="1"/>
  <c r="F3234" i="9"/>
  <c r="H3234" i="9" s="1"/>
  <c r="F3235" i="9"/>
  <c r="H3235" i="9" s="1"/>
  <c r="F3236" i="9"/>
  <c r="H3236" i="9" s="1"/>
  <c r="F3237" i="9"/>
  <c r="H3237" i="9" s="1"/>
  <c r="F3238" i="9"/>
  <c r="H3238" i="9" s="1"/>
  <c r="F3239" i="9"/>
  <c r="H3239" i="9" s="1"/>
  <c r="F3240" i="9"/>
  <c r="H3240" i="9" s="1"/>
  <c r="F3241" i="9"/>
  <c r="H3241" i="9" s="1"/>
  <c r="F3242" i="9"/>
  <c r="H3242" i="9" s="1"/>
  <c r="F3243" i="9"/>
  <c r="H3243" i="9" s="1"/>
  <c r="F3244" i="9"/>
  <c r="H3244" i="9" s="1"/>
  <c r="F3245" i="9"/>
  <c r="H3245" i="9" s="1"/>
  <c r="F3246" i="9"/>
  <c r="H3246" i="9" s="1"/>
  <c r="F3247" i="9"/>
  <c r="H3247" i="9" s="1"/>
  <c r="F3248" i="9"/>
  <c r="H3248" i="9" s="1"/>
  <c r="F3249" i="9"/>
  <c r="H3249" i="9" s="1"/>
  <c r="F3250" i="9"/>
  <c r="H3250" i="9" s="1"/>
  <c r="F3251" i="9"/>
  <c r="H3251" i="9" s="1"/>
  <c r="F3252" i="9"/>
  <c r="H3252" i="9" s="1"/>
  <c r="F3253" i="9"/>
  <c r="H3253" i="9" s="1"/>
  <c r="F3254" i="9"/>
  <c r="H3254" i="9" s="1"/>
  <c r="F3255" i="9"/>
  <c r="H3255" i="9" s="1"/>
  <c r="F3256" i="9"/>
  <c r="H3256" i="9" s="1"/>
  <c r="F3257" i="9"/>
  <c r="H3257" i="9" s="1"/>
  <c r="F3258" i="9"/>
  <c r="H3258" i="9" s="1"/>
  <c r="F3259" i="9"/>
  <c r="H3259" i="9" s="1"/>
  <c r="F3260" i="9"/>
  <c r="H3260" i="9" s="1"/>
  <c r="F3261" i="9"/>
  <c r="H3261" i="9" s="1"/>
  <c r="F3262" i="9"/>
  <c r="H3262" i="9" s="1"/>
  <c r="F3263" i="9"/>
  <c r="H3263" i="9" s="1"/>
  <c r="F3264" i="9"/>
  <c r="H3264" i="9" s="1"/>
  <c r="F3265" i="9"/>
  <c r="H3265" i="9" s="1"/>
  <c r="F3266" i="9"/>
  <c r="H3266" i="9" s="1"/>
  <c r="F3267" i="9"/>
  <c r="H3267" i="9" s="1"/>
  <c r="F3268" i="9"/>
  <c r="H3268" i="9" s="1"/>
  <c r="F3269" i="9"/>
  <c r="H3269" i="9" s="1"/>
  <c r="F3270" i="9"/>
  <c r="H3270" i="9" s="1"/>
  <c r="F3271" i="9"/>
  <c r="H3271" i="9" s="1"/>
  <c r="F3272" i="9"/>
  <c r="H3272" i="9" s="1"/>
  <c r="F3273" i="9"/>
  <c r="H3273" i="9" s="1"/>
  <c r="F3274" i="9"/>
  <c r="H3274" i="9" s="1"/>
  <c r="F3275" i="9"/>
  <c r="H3275" i="9" s="1"/>
  <c r="F3276" i="9"/>
  <c r="H3276" i="9" s="1"/>
  <c r="F3277" i="9"/>
  <c r="H3277" i="9" s="1"/>
  <c r="F3278" i="9"/>
  <c r="H3278" i="9" s="1"/>
  <c r="F3279" i="9"/>
  <c r="H3279" i="9" s="1"/>
  <c r="F3280" i="9"/>
  <c r="H3280" i="9" s="1"/>
  <c r="F3281" i="9"/>
  <c r="H3281" i="9" s="1"/>
  <c r="F3282" i="9"/>
  <c r="H3282" i="9" s="1"/>
  <c r="F3283" i="9"/>
  <c r="H3283" i="9" s="1"/>
  <c r="F3284" i="9"/>
  <c r="H3284" i="9" s="1"/>
  <c r="F3285" i="9"/>
  <c r="H3285" i="9" s="1"/>
  <c r="F3286" i="9"/>
  <c r="H3286" i="9" s="1"/>
  <c r="F3287" i="9"/>
  <c r="H3287" i="9" s="1"/>
  <c r="F3288" i="9"/>
  <c r="H3288" i="9" s="1"/>
  <c r="F3289" i="9"/>
  <c r="H3289" i="9" s="1"/>
  <c r="F3290" i="9"/>
  <c r="H3290" i="9" s="1"/>
  <c r="F3291" i="9"/>
  <c r="H3291" i="9" s="1"/>
  <c r="F3292" i="9"/>
  <c r="H3292" i="9" s="1"/>
  <c r="F3293" i="9"/>
  <c r="H3293" i="9" s="1"/>
  <c r="F3294" i="9"/>
  <c r="H3294" i="9" s="1"/>
  <c r="F3295" i="9"/>
  <c r="H3295" i="9" s="1"/>
  <c r="F3296" i="9"/>
  <c r="H3296" i="9" s="1"/>
  <c r="F3297" i="9"/>
  <c r="H3297" i="9" s="1"/>
  <c r="F3298" i="9"/>
  <c r="H3298" i="9" s="1"/>
  <c r="F3299" i="9"/>
  <c r="H3299" i="9" s="1"/>
  <c r="F3300" i="9"/>
  <c r="H3300" i="9" s="1"/>
  <c r="F3301" i="9"/>
  <c r="H3301" i="9" s="1"/>
  <c r="F3302" i="9"/>
  <c r="H3302" i="9" s="1"/>
  <c r="F3303" i="9"/>
  <c r="H3303" i="9" s="1"/>
  <c r="F3304" i="9"/>
  <c r="H3304" i="9" s="1"/>
  <c r="F3305" i="9"/>
  <c r="H3305" i="9" s="1"/>
  <c r="F3306" i="9"/>
  <c r="H3306" i="9" s="1"/>
  <c r="F3307" i="9"/>
  <c r="H3307" i="9" s="1"/>
  <c r="F3308" i="9"/>
  <c r="H3308" i="9" s="1"/>
  <c r="F3309" i="9"/>
  <c r="H3309" i="9" s="1"/>
  <c r="F3310" i="9"/>
  <c r="H3310" i="9" s="1"/>
  <c r="F3311" i="9"/>
  <c r="H3311" i="9" s="1"/>
  <c r="F3312" i="9"/>
  <c r="H3312" i="9" s="1"/>
  <c r="F3313" i="9"/>
  <c r="H3313" i="9" s="1"/>
  <c r="F3314" i="9"/>
  <c r="H3314" i="9" s="1"/>
  <c r="F3315" i="9"/>
  <c r="H3315" i="9" s="1"/>
  <c r="F3316" i="9"/>
  <c r="H3316" i="9" s="1"/>
  <c r="F3317" i="9"/>
  <c r="H3317" i="9" s="1"/>
  <c r="F3318" i="9"/>
  <c r="H3318" i="9" s="1"/>
  <c r="F3319" i="9"/>
  <c r="H3319" i="9" s="1"/>
  <c r="F3320" i="9"/>
  <c r="H3320" i="9" s="1"/>
  <c r="F3321" i="9"/>
  <c r="H3321" i="9" s="1"/>
  <c r="F3322" i="9"/>
  <c r="H3322" i="9" s="1"/>
  <c r="F3323" i="9"/>
  <c r="H3323" i="9" s="1"/>
  <c r="F3324" i="9"/>
  <c r="H3324" i="9" s="1"/>
  <c r="F3325" i="9"/>
  <c r="H3325" i="9" s="1"/>
  <c r="F3326" i="9"/>
  <c r="H3326" i="9" s="1"/>
  <c r="F3327" i="9"/>
  <c r="H3327" i="9" s="1"/>
  <c r="F3328" i="9"/>
  <c r="H3328" i="9" s="1"/>
  <c r="F3329" i="9"/>
  <c r="H3329" i="9" s="1"/>
  <c r="F3330" i="9"/>
  <c r="H3330" i="9" s="1"/>
  <c r="F3331" i="9"/>
  <c r="H3331" i="9" s="1"/>
  <c r="F3332" i="9"/>
  <c r="H3332" i="9" s="1"/>
  <c r="F3333" i="9"/>
  <c r="H3333" i="9" s="1"/>
  <c r="F3334" i="9"/>
  <c r="H3334" i="9" s="1"/>
  <c r="F3335" i="9"/>
  <c r="H3335" i="9" s="1"/>
  <c r="F3336" i="9"/>
  <c r="H3336" i="9" s="1"/>
  <c r="F3337" i="9"/>
  <c r="H3337" i="9" s="1"/>
  <c r="F3338" i="9"/>
  <c r="H3338" i="9" s="1"/>
  <c r="F3339" i="9"/>
  <c r="H3339" i="9" s="1"/>
  <c r="F3340" i="9"/>
  <c r="H3340" i="9" s="1"/>
  <c r="F3341" i="9"/>
  <c r="H3341" i="9" s="1"/>
  <c r="F3342" i="9"/>
  <c r="H3342" i="9" s="1"/>
  <c r="F3343" i="9"/>
  <c r="H3343" i="9" s="1"/>
  <c r="F3344" i="9"/>
  <c r="H3344" i="9" s="1"/>
  <c r="F3345" i="9"/>
  <c r="H3345" i="9" s="1"/>
  <c r="F3346" i="9"/>
  <c r="H3346" i="9" s="1"/>
  <c r="F3347" i="9"/>
  <c r="H3347" i="9" s="1"/>
  <c r="F3348" i="9"/>
  <c r="H3348" i="9" s="1"/>
  <c r="F3349" i="9"/>
  <c r="H3349" i="9"/>
  <c r="F3350" i="9"/>
  <c r="H3350" i="9" s="1"/>
  <c r="F3351" i="9"/>
  <c r="H3351" i="9" s="1"/>
  <c r="F3352" i="9"/>
  <c r="H3352" i="9" s="1"/>
  <c r="F3353" i="9"/>
  <c r="H3353" i="9" s="1"/>
  <c r="F3354" i="9"/>
  <c r="H3354" i="9" s="1"/>
  <c r="F3355" i="9"/>
  <c r="H3355" i="9" s="1"/>
  <c r="F3356" i="9"/>
  <c r="H3356" i="9" s="1"/>
  <c r="F3357" i="9"/>
  <c r="H3357" i="9" s="1"/>
  <c r="F3358" i="9"/>
  <c r="H3358" i="9"/>
  <c r="F3359" i="9"/>
  <c r="H3359" i="9" s="1"/>
  <c r="F3360" i="9"/>
  <c r="H3360" i="9" s="1"/>
  <c r="F3361" i="9"/>
  <c r="H3361" i="9" s="1"/>
  <c r="F3362" i="9"/>
  <c r="H3362" i="9" s="1"/>
  <c r="F3363" i="9"/>
  <c r="H3363" i="9" s="1"/>
  <c r="F3364" i="9"/>
  <c r="H3364" i="9" s="1"/>
  <c r="F3365" i="9"/>
  <c r="H3365" i="9" s="1"/>
  <c r="F3366" i="9"/>
  <c r="H3366" i="9" s="1"/>
  <c r="F3367" i="9"/>
  <c r="H3367" i="9" s="1"/>
  <c r="F3368" i="9"/>
  <c r="H3368" i="9" s="1"/>
  <c r="F3369" i="9"/>
  <c r="H3369" i="9" s="1"/>
  <c r="F3370" i="9"/>
  <c r="H3370" i="9" s="1"/>
  <c r="F3371" i="9"/>
  <c r="H3371" i="9" s="1"/>
  <c r="F3372" i="9"/>
  <c r="H3372" i="9" s="1"/>
  <c r="F3373" i="9"/>
  <c r="H3373" i="9" s="1"/>
  <c r="F3374" i="9"/>
  <c r="H3374" i="9" s="1"/>
  <c r="F3375" i="9"/>
  <c r="H3375" i="9" s="1"/>
  <c r="F3376" i="9"/>
  <c r="H3376" i="9" s="1"/>
  <c r="F3377" i="9"/>
  <c r="H3377" i="9" s="1"/>
  <c r="F3378" i="9"/>
  <c r="H3378" i="9" s="1"/>
  <c r="F3379" i="9"/>
  <c r="H3379" i="9" s="1"/>
  <c r="F3380" i="9"/>
  <c r="H3380" i="9" s="1"/>
  <c r="F3381" i="9"/>
  <c r="H3381" i="9" s="1"/>
  <c r="F3382" i="9"/>
  <c r="H3382" i="9" s="1"/>
  <c r="F3383" i="9"/>
  <c r="H3383" i="9" s="1"/>
  <c r="F3384" i="9"/>
  <c r="H3384" i="9" s="1"/>
  <c r="F3385" i="9"/>
  <c r="H3385" i="9" s="1"/>
  <c r="F3386" i="9"/>
  <c r="H3386" i="9" s="1"/>
  <c r="F3387" i="9"/>
  <c r="H3387" i="9" s="1"/>
  <c r="F3388" i="9"/>
  <c r="H3388" i="9" s="1"/>
  <c r="F3389" i="9"/>
  <c r="H3389" i="9" s="1"/>
  <c r="F3390" i="9"/>
  <c r="H3390" i="9" s="1"/>
  <c r="F3391" i="9"/>
  <c r="H3391" i="9" s="1"/>
  <c r="F3392" i="9"/>
  <c r="H3392" i="9" s="1"/>
  <c r="F3393" i="9"/>
  <c r="H3393" i="9" s="1"/>
  <c r="F3394" i="9"/>
  <c r="H3394" i="9" s="1"/>
  <c r="F3395" i="9"/>
  <c r="H3395" i="9" s="1"/>
  <c r="F3396" i="9"/>
  <c r="H3396" i="9"/>
  <c r="F3397" i="9"/>
  <c r="H3397" i="9" s="1"/>
  <c r="F3398" i="9"/>
  <c r="H3398" i="9" s="1"/>
  <c r="F3399" i="9"/>
  <c r="H3399" i="9" s="1"/>
  <c r="F3400" i="9"/>
  <c r="H3400" i="9" s="1"/>
  <c r="F3401" i="9"/>
  <c r="H3401" i="9" s="1"/>
  <c r="F3402" i="9"/>
  <c r="H3402" i="9" s="1"/>
  <c r="F3403" i="9"/>
  <c r="H3403" i="9" s="1"/>
  <c r="F3404" i="9"/>
  <c r="H3404" i="9" s="1"/>
  <c r="F3405" i="9"/>
  <c r="H3405" i="9" s="1"/>
  <c r="F3406" i="9"/>
  <c r="H3406" i="9" s="1"/>
  <c r="F3407" i="9"/>
  <c r="H3407" i="9" s="1"/>
  <c r="F3408" i="9"/>
  <c r="H3408" i="9" s="1"/>
  <c r="F3409" i="9"/>
  <c r="H3409" i="9"/>
  <c r="F3410" i="9"/>
  <c r="H3410" i="9" s="1"/>
  <c r="F3411" i="9"/>
  <c r="H3411" i="9" s="1"/>
  <c r="F3412" i="9"/>
  <c r="H3412" i="9" s="1"/>
  <c r="F3413" i="9"/>
  <c r="H3413" i="9" s="1"/>
  <c r="F3414" i="9"/>
  <c r="H3414" i="9" s="1"/>
  <c r="F3415" i="9"/>
  <c r="H3415" i="9" s="1"/>
  <c r="F3416" i="9"/>
  <c r="H3416" i="9" s="1"/>
  <c r="F3417" i="9"/>
  <c r="H3417" i="9" s="1"/>
  <c r="F3418" i="9"/>
  <c r="H3418" i="9" s="1"/>
  <c r="F3419" i="9"/>
  <c r="H3419" i="9" s="1"/>
  <c r="F3420" i="9"/>
  <c r="H3420" i="9" s="1"/>
  <c r="F3421" i="9"/>
  <c r="H3421" i="9" s="1"/>
  <c r="F3422" i="9"/>
  <c r="H3422" i="9" s="1"/>
  <c r="F3423" i="9"/>
  <c r="H3423" i="9" s="1"/>
  <c r="F3424" i="9"/>
  <c r="H3424" i="9" s="1"/>
  <c r="F3425" i="9"/>
  <c r="H3425" i="9" s="1"/>
  <c r="F3426" i="9"/>
  <c r="H3426" i="9" s="1"/>
  <c r="F3427" i="9"/>
  <c r="H3427" i="9" s="1"/>
  <c r="F3428" i="9"/>
  <c r="H3428" i="9" s="1"/>
  <c r="F3429" i="9"/>
  <c r="H3429" i="9" s="1"/>
  <c r="F3430" i="9"/>
  <c r="H3430" i="9" s="1"/>
  <c r="F3431" i="9"/>
  <c r="H3431" i="9" s="1"/>
  <c r="F3432" i="9"/>
  <c r="H3432" i="9" s="1"/>
  <c r="F3433" i="9"/>
  <c r="H3433" i="9" s="1"/>
  <c r="F3434" i="9"/>
  <c r="H3434" i="9" s="1"/>
  <c r="F3435" i="9"/>
  <c r="H3435" i="9" s="1"/>
  <c r="F3436" i="9"/>
  <c r="H3436" i="9" s="1"/>
  <c r="F3437" i="9"/>
  <c r="H3437" i="9" s="1"/>
  <c r="F3438" i="9"/>
  <c r="H3438" i="9" s="1"/>
  <c r="F3439" i="9"/>
  <c r="H3439" i="9" s="1"/>
  <c r="F3440" i="9"/>
  <c r="H3440" i="9" s="1"/>
  <c r="F3441" i="9"/>
  <c r="H3441" i="9" s="1"/>
  <c r="F3442" i="9"/>
  <c r="H3442" i="9" s="1"/>
  <c r="F3443" i="9"/>
  <c r="H3443" i="9" s="1"/>
  <c r="F3444" i="9"/>
  <c r="H3444" i="9" s="1"/>
  <c r="F3445" i="9"/>
  <c r="H3445" i="9" s="1"/>
  <c r="F3446" i="9"/>
  <c r="H3446" i="9" s="1"/>
  <c r="F3447" i="9"/>
  <c r="H3447" i="9" s="1"/>
  <c r="F3448" i="9"/>
  <c r="H3448" i="9" s="1"/>
  <c r="F3449" i="9"/>
  <c r="H3449" i="9" s="1"/>
  <c r="F3450" i="9"/>
  <c r="H3450" i="9" s="1"/>
  <c r="F3451" i="9"/>
  <c r="H3451" i="9" s="1"/>
  <c r="F3452" i="9"/>
  <c r="H3452" i="9" s="1"/>
  <c r="F3453" i="9"/>
  <c r="H3453" i="9" s="1"/>
  <c r="F3454" i="9"/>
  <c r="H3454" i="9" s="1"/>
  <c r="F3455" i="9"/>
  <c r="H3455" i="9" s="1"/>
  <c r="F3456" i="9"/>
  <c r="H3456" i="9" s="1"/>
  <c r="F3457" i="9"/>
  <c r="H3457" i="9" s="1"/>
  <c r="F3458" i="9"/>
  <c r="H3458" i="9" s="1"/>
  <c r="F3459" i="9"/>
  <c r="H3459" i="9" s="1"/>
  <c r="F3460" i="9"/>
  <c r="H3460" i="9" s="1"/>
  <c r="F3461" i="9"/>
  <c r="H3461" i="9" s="1"/>
  <c r="F3462" i="9"/>
  <c r="H3462" i="9" s="1"/>
  <c r="F3463" i="9"/>
  <c r="H3463" i="9" s="1"/>
  <c r="F3464" i="9"/>
  <c r="H3464" i="9" s="1"/>
  <c r="F3465" i="9"/>
  <c r="H3465" i="9" s="1"/>
  <c r="F3466" i="9"/>
  <c r="H3466" i="9" s="1"/>
  <c r="F3467" i="9"/>
  <c r="H3467" i="9" s="1"/>
  <c r="F3468" i="9"/>
  <c r="H3468" i="9" s="1"/>
  <c r="F3469" i="9"/>
  <c r="H3469" i="9" s="1"/>
  <c r="F3470" i="9"/>
  <c r="H3470" i="9" s="1"/>
  <c r="F3471" i="9"/>
  <c r="H3471" i="9" s="1"/>
  <c r="F3472" i="9"/>
  <c r="H3472" i="9" s="1"/>
  <c r="F3473" i="9"/>
  <c r="H3473" i="9" s="1"/>
  <c r="F3474" i="9"/>
  <c r="H3474" i="9" s="1"/>
  <c r="F3475" i="9"/>
  <c r="H3475" i="9" s="1"/>
  <c r="F3476" i="9"/>
  <c r="H3476" i="9" s="1"/>
  <c r="F3477" i="9"/>
  <c r="H3477" i="9"/>
  <c r="F3478" i="9"/>
  <c r="H3478" i="9" s="1"/>
  <c r="F3479" i="9"/>
  <c r="H3479" i="9" s="1"/>
  <c r="F3480" i="9"/>
  <c r="H3480" i="9" s="1"/>
  <c r="F3481" i="9"/>
  <c r="H3481" i="9" s="1"/>
  <c r="F3482" i="9"/>
  <c r="H3482" i="9" s="1"/>
  <c r="F3483" i="9"/>
  <c r="H3483" i="9" s="1"/>
  <c r="F3484" i="9"/>
  <c r="H3484" i="9" s="1"/>
  <c r="F3485" i="9"/>
  <c r="H3485" i="9" s="1"/>
  <c r="F3486" i="9"/>
  <c r="H3486" i="9" s="1"/>
  <c r="F3487" i="9"/>
  <c r="H3487" i="9" s="1"/>
  <c r="F3488" i="9"/>
  <c r="H3488" i="9" s="1"/>
  <c r="F3489" i="9"/>
  <c r="H3489" i="9" s="1"/>
  <c r="F3490" i="9"/>
  <c r="H3490" i="9" s="1"/>
  <c r="F3491" i="9"/>
  <c r="H3491" i="9" s="1"/>
  <c r="F3492" i="9"/>
  <c r="H3492" i="9" s="1"/>
  <c r="F3493" i="9"/>
  <c r="H3493" i="9" s="1"/>
  <c r="F3494" i="9"/>
  <c r="H3494" i="9" s="1"/>
  <c r="F3495" i="9"/>
  <c r="H3495" i="9" s="1"/>
  <c r="F3496" i="9"/>
  <c r="H3496" i="9" s="1"/>
  <c r="F3497" i="9"/>
  <c r="H3497" i="9" s="1"/>
  <c r="F3498" i="9"/>
  <c r="H3498" i="9" s="1"/>
  <c r="F3499" i="9"/>
  <c r="H3499" i="9" s="1"/>
  <c r="F3500" i="9"/>
  <c r="H3500" i="9" s="1"/>
  <c r="F3501" i="9"/>
  <c r="H3501" i="9" s="1"/>
  <c r="F3502" i="9"/>
  <c r="H3502" i="9" s="1"/>
  <c r="F3503" i="9"/>
  <c r="H3503" i="9" s="1"/>
  <c r="F3504" i="9"/>
  <c r="H3504" i="9" s="1"/>
  <c r="F3505" i="9"/>
  <c r="H3505" i="9" s="1"/>
  <c r="F3506" i="9"/>
  <c r="H3506" i="9" s="1"/>
  <c r="F3507" i="9"/>
  <c r="H3507" i="9" s="1"/>
  <c r="F3508" i="9"/>
  <c r="H3508" i="9" s="1"/>
  <c r="F3509" i="9"/>
  <c r="H3509" i="9" s="1"/>
  <c r="F3510" i="9"/>
  <c r="H3510" i="9" s="1"/>
  <c r="F3511" i="9"/>
  <c r="H3511" i="9" s="1"/>
  <c r="F3512" i="9"/>
  <c r="H3512" i="9" s="1"/>
  <c r="F3513" i="9"/>
  <c r="H3513" i="9" s="1"/>
  <c r="F3514" i="9"/>
  <c r="H3514" i="9" s="1"/>
  <c r="F3515" i="9"/>
  <c r="H3515" i="9" s="1"/>
  <c r="F3516" i="9"/>
  <c r="H3516" i="9" s="1"/>
  <c r="F3517" i="9"/>
  <c r="H3517" i="9" s="1"/>
  <c r="F3518" i="9"/>
  <c r="H3518" i="9" s="1"/>
  <c r="F3519" i="9"/>
  <c r="H3519" i="9"/>
  <c r="F3520" i="9"/>
  <c r="H3520" i="9" s="1"/>
  <c r="F3521" i="9"/>
  <c r="H3521" i="9" s="1"/>
  <c r="F3522" i="9"/>
  <c r="H3522" i="9" s="1"/>
  <c r="F3523" i="9"/>
  <c r="H3523" i="9" s="1"/>
  <c r="F3524" i="9"/>
  <c r="H3524" i="9" s="1"/>
  <c r="F3525" i="9"/>
  <c r="H3525" i="9" s="1"/>
  <c r="F3526" i="9"/>
  <c r="H3526" i="9" s="1"/>
  <c r="F3527" i="9"/>
  <c r="H3527" i="9" s="1"/>
  <c r="F3528" i="9"/>
  <c r="H3528" i="9" s="1"/>
  <c r="F3529" i="9"/>
  <c r="H3529" i="9" s="1"/>
  <c r="F3530" i="9"/>
  <c r="H3530" i="9"/>
  <c r="F3531" i="9"/>
  <c r="H3531" i="9" s="1"/>
  <c r="F3532" i="9"/>
  <c r="H3532" i="9" s="1"/>
  <c r="F3533" i="9"/>
  <c r="H3533" i="9" s="1"/>
  <c r="F3534" i="9"/>
  <c r="H3534" i="9" s="1"/>
  <c r="F3535" i="9"/>
  <c r="H3535" i="9" s="1"/>
  <c r="F3536" i="9"/>
  <c r="H3536" i="9" s="1"/>
  <c r="F3537" i="9"/>
  <c r="H3537" i="9" s="1"/>
  <c r="F3538" i="9"/>
  <c r="H3538" i="9" s="1"/>
  <c r="F3539" i="9"/>
  <c r="H3539" i="9" s="1"/>
  <c r="F3540" i="9"/>
  <c r="H3540" i="9" s="1"/>
  <c r="F3541" i="9"/>
  <c r="H3541" i="9" s="1"/>
  <c r="F3542" i="9"/>
  <c r="H3542" i="9" s="1"/>
  <c r="F3543" i="9"/>
  <c r="H3543" i="9" s="1"/>
  <c r="F3544" i="9"/>
  <c r="H3544" i="9" s="1"/>
  <c r="F3545" i="9"/>
  <c r="H3545" i="9" s="1"/>
  <c r="F3546" i="9"/>
  <c r="H3546" i="9" s="1"/>
  <c r="F3547" i="9"/>
  <c r="H3547" i="9" s="1"/>
  <c r="F3548" i="9"/>
  <c r="H3548" i="9" s="1"/>
  <c r="F3549" i="9"/>
  <c r="H3549" i="9" s="1"/>
  <c r="F3550" i="9"/>
  <c r="H3550" i="9" s="1"/>
  <c r="F3551" i="9"/>
  <c r="H3551" i="9" s="1"/>
  <c r="F3552" i="9"/>
  <c r="H3552" i="9" s="1"/>
  <c r="F3553" i="9"/>
  <c r="H3553" i="9" s="1"/>
  <c r="F3554" i="9"/>
  <c r="H3554" i="9" s="1"/>
  <c r="F3555" i="9"/>
  <c r="H3555" i="9" s="1"/>
  <c r="F3556" i="9"/>
  <c r="H3556" i="9" s="1"/>
  <c r="F3557" i="9"/>
  <c r="H3557" i="9" s="1"/>
  <c r="F3558" i="9"/>
  <c r="H3558" i="9" s="1"/>
  <c r="F3559" i="9"/>
  <c r="H3559" i="9" s="1"/>
  <c r="F3560" i="9"/>
  <c r="H3560" i="9" s="1"/>
  <c r="F3561" i="9"/>
  <c r="H3561" i="9" s="1"/>
  <c r="F3562" i="9"/>
  <c r="H3562" i="9" s="1"/>
  <c r="F3563" i="9"/>
  <c r="H3563" i="9" s="1"/>
  <c r="F3564" i="9"/>
  <c r="H3564" i="9" s="1"/>
  <c r="F3565" i="9"/>
  <c r="H3565" i="9" s="1"/>
  <c r="F3566" i="9"/>
  <c r="H3566" i="9" s="1"/>
  <c r="F3567" i="9"/>
  <c r="H3567" i="9" s="1"/>
  <c r="F3568" i="9"/>
  <c r="H3568" i="9" s="1"/>
  <c r="F3569" i="9"/>
  <c r="H3569" i="9" s="1"/>
  <c r="F3570" i="9"/>
  <c r="H3570" i="9" s="1"/>
  <c r="F3571" i="9"/>
  <c r="H3571" i="9" s="1"/>
  <c r="F3572" i="9"/>
  <c r="H3572" i="9" s="1"/>
  <c r="F3573" i="9"/>
  <c r="H3573" i="9" s="1"/>
  <c r="F3574" i="9"/>
  <c r="H3574" i="9" s="1"/>
  <c r="F3575" i="9"/>
  <c r="H3575" i="9" s="1"/>
  <c r="F3576" i="9"/>
  <c r="H3576" i="9"/>
  <c r="F3577" i="9"/>
  <c r="H3577" i="9" s="1"/>
  <c r="F3578" i="9"/>
  <c r="H3578" i="9" s="1"/>
  <c r="F3579" i="9"/>
  <c r="H3579" i="9" s="1"/>
  <c r="F3580" i="9"/>
  <c r="H3580" i="9" s="1"/>
  <c r="F3581" i="9"/>
  <c r="H3581" i="9" s="1"/>
  <c r="F3582" i="9"/>
  <c r="H3582" i="9" s="1"/>
  <c r="F3583" i="9"/>
  <c r="H3583" i="9" s="1"/>
  <c r="F3584" i="9"/>
  <c r="H3584" i="9" s="1"/>
  <c r="F3585" i="9"/>
  <c r="H3585" i="9" s="1"/>
  <c r="F3586" i="9"/>
  <c r="H3586" i="9" s="1"/>
  <c r="F3587" i="9"/>
  <c r="H3587" i="9" s="1"/>
  <c r="F3588" i="9"/>
  <c r="H3588" i="9" s="1"/>
  <c r="F3589" i="9"/>
  <c r="H3589" i="9" s="1"/>
  <c r="F3590" i="9"/>
  <c r="H3590" i="9" s="1"/>
  <c r="F3591" i="9"/>
  <c r="H3591" i="9" s="1"/>
  <c r="F3592" i="9"/>
  <c r="H3592" i="9" s="1"/>
  <c r="F3593" i="9"/>
  <c r="H3593" i="9" s="1"/>
  <c r="F3594" i="9"/>
  <c r="H3594" i="9" s="1"/>
  <c r="F3595" i="9"/>
  <c r="H3595" i="9" s="1"/>
  <c r="F3596" i="9"/>
  <c r="H3596" i="9" s="1"/>
  <c r="F3597" i="9"/>
  <c r="H3597" i="9" s="1"/>
  <c r="F3598" i="9"/>
  <c r="H3598" i="9" s="1"/>
  <c r="F3599" i="9"/>
  <c r="H3599" i="9" s="1"/>
  <c r="F3600" i="9"/>
  <c r="H3600" i="9" s="1"/>
  <c r="F3601" i="9"/>
  <c r="H3601" i="9" s="1"/>
  <c r="F3602" i="9"/>
  <c r="H3602" i="9" s="1"/>
  <c r="F3603" i="9"/>
  <c r="H3603" i="9" s="1"/>
  <c r="F3604" i="9"/>
  <c r="H3604" i="9" s="1"/>
  <c r="F3605" i="9"/>
  <c r="H3605" i="9" s="1"/>
  <c r="F3606" i="9"/>
  <c r="H3606" i="9" s="1"/>
  <c r="F3607" i="9"/>
  <c r="H3607" i="9" s="1"/>
  <c r="F3608" i="9"/>
  <c r="H3608" i="9" s="1"/>
  <c r="F3609" i="9"/>
  <c r="H3609" i="9" s="1"/>
  <c r="F3610" i="9"/>
  <c r="H3610" i="9" s="1"/>
  <c r="F3611" i="9"/>
  <c r="H3611" i="9" s="1"/>
  <c r="F3612" i="9"/>
  <c r="H3612" i="9" s="1"/>
  <c r="F3613" i="9"/>
  <c r="H3613" i="9" s="1"/>
  <c r="F3614" i="9"/>
  <c r="H3614" i="9"/>
  <c r="F3615" i="9"/>
  <c r="H3615" i="9" s="1"/>
  <c r="F3616" i="9"/>
  <c r="H3616" i="9" s="1"/>
  <c r="F3617" i="9"/>
  <c r="H3617" i="9" s="1"/>
  <c r="F3618" i="9"/>
  <c r="H3618" i="9" s="1"/>
  <c r="F3619" i="9"/>
  <c r="H3619" i="9" s="1"/>
  <c r="F3620" i="9"/>
  <c r="H3620" i="9" s="1"/>
  <c r="F3621" i="9"/>
  <c r="H3621" i="9" s="1"/>
  <c r="F3622" i="9"/>
  <c r="H3622" i="9" s="1"/>
  <c r="F3623" i="9"/>
  <c r="H3623" i="9" s="1"/>
  <c r="F3624" i="9"/>
  <c r="H3624" i="9" s="1"/>
  <c r="F3625" i="9"/>
  <c r="H3625" i="9" s="1"/>
  <c r="F3626" i="9"/>
  <c r="H3626" i="9" s="1"/>
  <c r="F3627" i="9"/>
  <c r="H3627" i="9" s="1"/>
  <c r="F3628" i="9"/>
  <c r="H3628" i="9" s="1"/>
  <c r="F3629" i="9"/>
  <c r="H3629" i="9" s="1"/>
  <c r="F3630" i="9"/>
  <c r="H3630" i="9" s="1"/>
  <c r="F3631" i="9"/>
  <c r="H3631" i="9" s="1"/>
  <c r="F3632" i="9"/>
  <c r="H3632" i="9" s="1"/>
  <c r="F3633" i="9"/>
  <c r="H3633" i="9" s="1"/>
  <c r="F3634" i="9"/>
  <c r="H3634" i="9" s="1"/>
  <c r="F3635" i="9"/>
  <c r="H3635" i="9" s="1"/>
  <c r="F3636" i="9"/>
  <c r="H3636" i="9" s="1"/>
  <c r="F3637" i="9"/>
  <c r="H3637" i="9" s="1"/>
  <c r="F3638" i="9"/>
  <c r="H3638" i="9" s="1"/>
  <c r="F3639" i="9"/>
  <c r="H3639" i="9" s="1"/>
  <c r="F3640" i="9"/>
  <c r="H3640" i="9" s="1"/>
  <c r="F3641" i="9"/>
  <c r="H3641" i="9" s="1"/>
  <c r="F3642" i="9"/>
  <c r="H3642" i="9" s="1"/>
  <c r="F3643" i="9"/>
  <c r="H3643" i="9" s="1"/>
  <c r="F3644" i="9"/>
  <c r="H3644" i="9" s="1"/>
  <c r="F3645" i="9"/>
  <c r="H3645" i="9" s="1"/>
  <c r="F3646" i="9"/>
  <c r="H3646" i="9" s="1"/>
  <c r="F3647" i="9"/>
  <c r="H3647" i="9" s="1"/>
  <c r="F3648" i="9"/>
  <c r="H3648" i="9" s="1"/>
  <c r="F3649" i="9"/>
  <c r="H3649" i="9" s="1"/>
  <c r="F3650" i="9"/>
  <c r="H3650" i="9" s="1"/>
  <c r="F3651" i="9"/>
  <c r="H3651" i="9" s="1"/>
  <c r="F3652" i="9"/>
  <c r="H3652" i="9" s="1"/>
  <c r="F3653" i="9"/>
  <c r="H3653" i="9" s="1"/>
  <c r="F3654" i="9"/>
  <c r="H3654" i="9" s="1"/>
  <c r="F3655" i="9"/>
  <c r="H3655" i="9" s="1"/>
  <c r="F3656" i="9"/>
  <c r="H3656" i="9" s="1"/>
  <c r="F3657" i="9"/>
  <c r="H3657" i="9" s="1"/>
  <c r="F3658" i="9"/>
  <c r="H3658" i="9" s="1"/>
  <c r="F3659" i="9"/>
  <c r="H3659" i="9" s="1"/>
  <c r="F3660" i="9"/>
  <c r="H3660" i="9" s="1"/>
  <c r="F3661" i="9"/>
  <c r="H3661" i="9" s="1"/>
  <c r="F3662" i="9"/>
  <c r="H3662" i="9" s="1"/>
  <c r="F3663" i="9"/>
  <c r="H3663" i="9" s="1"/>
  <c r="F3664" i="9"/>
  <c r="H3664" i="9" s="1"/>
  <c r="F3665" i="9"/>
  <c r="H3665" i="9" s="1"/>
  <c r="F3666" i="9"/>
  <c r="H3666" i="9" s="1"/>
  <c r="F3667" i="9"/>
  <c r="H3667" i="9" s="1"/>
  <c r="F3668" i="9"/>
  <c r="H3668" i="9" s="1"/>
  <c r="F3669" i="9"/>
  <c r="H3669" i="9" s="1"/>
  <c r="F3670" i="9"/>
  <c r="H3670" i="9" s="1"/>
  <c r="F3671" i="9"/>
  <c r="H3671" i="9" s="1"/>
  <c r="F3672" i="9"/>
  <c r="H3672" i="9" s="1"/>
  <c r="F3673" i="9"/>
  <c r="H3673" i="9" s="1"/>
  <c r="F3674" i="9"/>
  <c r="H3674" i="9" s="1"/>
  <c r="F3675" i="9"/>
  <c r="H3675" i="9" s="1"/>
  <c r="F3676" i="9"/>
  <c r="H3676" i="9" s="1"/>
  <c r="F3677" i="9"/>
  <c r="H3677" i="9" s="1"/>
  <c r="F3678" i="9"/>
  <c r="H3678" i="9" s="1"/>
  <c r="F3679" i="9"/>
  <c r="H3679" i="9" s="1"/>
  <c r="F3680" i="9"/>
  <c r="H3680" i="9" s="1"/>
  <c r="F3681" i="9"/>
  <c r="H3681" i="9" s="1"/>
  <c r="F3682" i="9"/>
  <c r="H3682" i="9" s="1"/>
  <c r="F3683" i="9"/>
  <c r="H3683" i="9" s="1"/>
  <c r="F3684" i="9"/>
  <c r="H3684" i="9" s="1"/>
  <c r="F3685" i="9"/>
  <c r="H3685" i="9" s="1"/>
  <c r="F3686" i="9"/>
  <c r="H3686" i="9" s="1"/>
  <c r="F3687" i="9"/>
  <c r="H3687" i="9" s="1"/>
  <c r="F3688" i="9"/>
  <c r="H3688" i="9" s="1"/>
  <c r="F3689" i="9"/>
  <c r="H3689" i="9" s="1"/>
  <c r="F3690" i="9"/>
  <c r="H3690" i="9" s="1"/>
  <c r="F3691" i="9"/>
  <c r="H3691" i="9" s="1"/>
  <c r="F3692" i="9"/>
  <c r="H3692" i="9" s="1"/>
  <c r="F3693" i="9"/>
  <c r="H3693" i="9" s="1"/>
  <c r="F3694" i="9"/>
  <c r="H3694" i="9" s="1"/>
  <c r="F3695" i="9"/>
  <c r="H3695" i="9" s="1"/>
  <c r="F3696" i="9"/>
  <c r="H3696" i="9" s="1"/>
  <c r="F3697" i="9"/>
  <c r="H3697" i="9" s="1"/>
  <c r="F3698" i="9"/>
  <c r="H3698" i="9" s="1"/>
  <c r="F3699" i="9"/>
  <c r="H3699" i="9" s="1"/>
  <c r="F3700" i="9"/>
  <c r="H3700" i="9" s="1"/>
  <c r="F3701" i="9"/>
  <c r="H3701" i="9" s="1"/>
  <c r="F3702" i="9"/>
  <c r="H3702" i="9" s="1"/>
  <c r="F3703" i="9"/>
  <c r="H3703" i="9" s="1"/>
  <c r="F3704" i="9"/>
  <c r="H3704" i="9" s="1"/>
  <c r="F3705" i="9"/>
  <c r="H3705" i="9" s="1"/>
  <c r="F3706" i="9"/>
  <c r="H3706" i="9" s="1"/>
  <c r="F3707" i="9"/>
  <c r="H3707" i="9" s="1"/>
  <c r="F3708" i="9"/>
  <c r="H3708" i="9" s="1"/>
  <c r="F3709" i="9"/>
  <c r="H3709" i="9" s="1"/>
  <c r="F3710" i="9"/>
  <c r="H3710" i="9" s="1"/>
  <c r="F3711" i="9"/>
  <c r="H3711" i="9" s="1"/>
  <c r="F3712" i="9"/>
  <c r="H3712" i="9" s="1"/>
  <c r="F3713" i="9"/>
  <c r="H3713" i="9" s="1"/>
  <c r="F3714" i="9"/>
  <c r="H3714" i="9" s="1"/>
  <c r="F3715" i="9"/>
  <c r="H3715" i="9" s="1"/>
  <c r="F3716" i="9"/>
  <c r="H3716" i="9"/>
  <c r="F3717" i="9"/>
  <c r="H3717" i="9" s="1"/>
  <c r="F3718" i="9"/>
  <c r="H3718" i="9" s="1"/>
  <c r="F3719" i="9"/>
  <c r="H3719" i="9" s="1"/>
  <c r="F3720" i="9"/>
  <c r="H3720" i="9" s="1"/>
  <c r="F3721" i="9"/>
  <c r="H3721" i="9" s="1"/>
  <c r="F3722" i="9"/>
  <c r="H3722" i="9" s="1"/>
  <c r="F3723" i="9"/>
  <c r="H3723" i="9" s="1"/>
  <c r="F3724" i="9"/>
  <c r="H3724" i="9" s="1"/>
  <c r="F3725" i="9"/>
  <c r="H3725" i="9" s="1"/>
  <c r="F3726" i="9"/>
  <c r="H3726" i="9" s="1"/>
  <c r="F3727" i="9"/>
  <c r="H3727" i="9" s="1"/>
  <c r="F3728" i="9"/>
  <c r="H3728" i="9" s="1"/>
  <c r="F3729" i="9"/>
  <c r="H3729" i="9" s="1"/>
  <c r="F3730" i="9"/>
  <c r="H3730" i="9" s="1"/>
  <c r="F3731" i="9"/>
  <c r="H3731" i="9" s="1"/>
  <c r="F3732" i="9"/>
  <c r="H3732" i="9" s="1"/>
  <c r="F3733" i="9"/>
  <c r="H3733" i="9" s="1"/>
  <c r="F3734" i="9"/>
  <c r="H3734" i="9" s="1"/>
  <c r="F3735" i="9"/>
  <c r="H3735" i="9" s="1"/>
  <c r="F3736" i="9"/>
  <c r="H3736" i="9" s="1"/>
  <c r="F3737" i="9"/>
  <c r="H3737" i="9" s="1"/>
  <c r="F3738" i="9"/>
  <c r="H3738" i="9" s="1"/>
  <c r="F3739" i="9"/>
  <c r="H3739" i="9" s="1"/>
  <c r="F3740" i="9"/>
  <c r="H3740" i="9" s="1"/>
  <c r="F3741" i="9"/>
  <c r="H3741" i="9" s="1"/>
  <c r="F3742" i="9"/>
  <c r="H3742" i="9" s="1"/>
  <c r="F3743" i="9"/>
  <c r="H3743" i="9" s="1"/>
  <c r="F3744" i="9"/>
  <c r="H3744" i="9" s="1"/>
  <c r="F3745" i="9"/>
  <c r="H3745" i="9" s="1"/>
  <c r="F3746" i="9"/>
  <c r="H3746" i="9" s="1"/>
  <c r="F3747" i="9"/>
  <c r="H3747" i="9" s="1"/>
  <c r="F3748" i="9"/>
  <c r="H3748" i="9" s="1"/>
  <c r="F3749" i="9"/>
  <c r="H3749" i="9" s="1"/>
  <c r="F3750" i="9"/>
  <c r="H3750" i="9" s="1"/>
  <c r="F3751" i="9"/>
  <c r="H3751" i="9" s="1"/>
  <c r="F3752" i="9"/>
  <c r="H3752" i="9" s="1"/>
  <c r="F3753" i="9"/>
  <c r="H3753" i="9" s="1"/>
  <c r="F3754" i="9"/>
  <c r="H3754" i="9" s="1"/>
  <c r="F3755" i="9"/>
  <c r="H3755" i="9" s="1"/>
  <c r="F3756" i="9"/>
  <c r="H3756" i="9" s="1"/>
  <c r="F3757" i="9"/>
  <c r="H3757" i="9" s="1"/>
  <c r="F3758" i="9"/>
  <c r="H3758" i="9"/>
  <c r="F3759" i="9"/>
  <c r="H3759" i="9" s="1"/>
  <c r="F3760" i="9"/>
  <c r="H3760" i="9" s="1"/>
  <c r="F3761" i="9"/>
  <c r="H3761" i="9" s="1"/>
  <c r="F3762" i="9"/>
  <c r="H3762" i="9" s="1"/>
  <c r="F3763" i="9"/>
  <c r="H3763" i="9" s="1"/>
  <c r="F3764" i="9"/>
  <c r="H3764" i="9" s="1"/>
  <c r="F3765" i="9"/>
  <c r="H3765" i="9"/>
  <c r="F3766" i="9"/>
  <c r="H3766" i="9" s="1"/>
  <c r="F3767" i="9"/>
  <c r="H3767" i="9" s="1"/>
  <c r="F3768" i="9"/>
  <c r="H3768" i="9" s="1"/>
  <c r="F3769" i="9"/>
  <c r="H3769" i="9" s="1"/>
  <c r="F3770" i="9"/>
  <c r="H3770" i="9" s="1"/>
  <c r="F3771" i="9"/>
  <c r="H3771" i="9" s="1"/>
  <c r="F3772" i="9"/>
  <c r="H3772" i="9" s="1"/>
  <c r="F3773" i="9"/>
  <c r="H3773" i="9" s="1"/>
  <c r="F3774" i="9"/>
  <c r="H3774" i="9" s="1"/>
  <c r="F3775" i="9"/>
  <c r="H3775" i="9" s="1"/>
  <c r="F3776" i="9"/>
  <c r="H3776" i="9" s="1"/>
  <c r="F3777" i="9"/>
  <c r="H3777" i="9" s="1"/>
  <c r="F3778" i="9"/>
  <c r="H3778" i="9" s="1"/>
  <c r="F3779" i="9"/>
  <c r="H3779" i="9" s="1"/>
  <c r="F3780" i="9"/>
  <c r="H3780" i="9" s="1"/>
  <c r="F3781" i="9"/>
  <c r="H3781" i="9" s="1"/>
  <c r="F3782" i="9"/>
  <c r="H3782" i="9" s="1"/>
  <c r="F3783" i="9"/>
  <c r="H3783" i="9" s="1"/>
  <c r="F3784" i="9"/>
  <c r="H3784" i="9" s="1"/>
  <c r="F3785" i="9"/>
  <c r="H3785" i="9" s="1"/>
  <c r="F3786" i="9"/>
  <c r="H3786" i="9" s="1"/>
  <c r="F3787" i="9"/>
  <c r="H3787" i="9" s="1"/>
  <c r="F3788" i="9"/>
  <c r="H3788" i="9" s="1"/>
  <c r="F3789" i="9"/>
  <c r="H3789" i="9" s="1"/>
  <c r="F3790" i="9"/>
  <c r="H3790" i="9"/>
  <c r="F3791" i="9"/>
  <c r="H3791" i="9" s="1"/>
  <c r="F3792" i="9"/>
  <c r="H3792" i="9" s="1"/>
  <c r="F3793" i="9"/>
  <c r="H3793" i="9" s="1"/>
  <c r="F3794" i="9"/>
  <c r="H3794" i="9" s="1"/>
  <c r="F3795" i="9"/>
  <c r="H3795" i="9" s="1"/>
  <c r="F3796" i="9"/>
  <c r="H3796" i="9" s="1"/>
  <c r="F3797" i="9"/>
  <c r="H3797" i="9" s="1"/>
  <c r="F3798" i="9"/>
  <c r="H3798" i="9" s="1"/>
  <c r="F3799" i="9"/>
  <c r="H3799" i="9" s="1"/>
  <c r="F3800" i="9"/>
  <c r="H3800" i="9" s="1"/>
  <c r="F3801" i="9"/>
  <c r="H3801" i="9" s="1"/>
  <c r="F3802" i="9"/>
  <c r="H3802" i="9" s="1"/>
  <c r="F3803" i="9"/>
  <c r="H3803" i="9" s="1"/>
  <c r="F3804" i="9"/>
  <c r="H3804" i="9" s="1"/>
  <c r="F3805" i="9"/>
  <c r="H3805" i="9" s="1"/>
  <c r="F3806" i="9"/>
  <c r="H3806" i="9" s="1"/>
  <c r="F3807" i="9"/>
  <c r="H3807" i="9" s="1"/>
  <c r="F3808" i="9"/>
  <c r="H3808" i="9" s="1"/>
  <c r="F3809" i="9"/>
  <c r="H3809" i="9" s="1"/>
  <c r="F3810" i="9"/>
  <c r="H3810" i="9" s="1"/>
  <c r="F3811" i="9"/>
  <c r="H3811" i="9" s="1"/>
  <c r="F3812" i="9"/>
  <c r="H3812" i="9" s="1"/>
  <c r="F3813" i="9"/>
  <c r="H3813" i="9" s="1"/>
  <c r="F3814" i="9"/>
  <c r="H3814" i="9" s="1"/>
  <c r="F3815" i="9"/>
  <c r="H3815" i="9" s="1"/>
  <c r="F3816" i="9"/>
  <c r="H3816" i="9" s="1"/>
  <c r="F3817" i="9"/>
  <c r="H3817" i="9" s="1"/>
  <c r="F3818" i="9"/>
  <c r="H3818" i="9" s="1"/>
  <c r="F3819" i="9"/>
  <c r="H3819" i="9" s="1"/>
  <c r="F3820" i="9"/>
  <c r="H3820" i="9" s="1"/>
  <c r="F3821" i="9"/>
  <c r="H3821" i="9" s="1"/>
  <c r="F3822" i="9"/>
  <c r="H3822" i="9" s="1"/>
  <c r="F3823" i="9"/>
  <c r="H3823" i="9" s="1"/>
  <c r="F3824" i="9"/>
  <c r="H3824" i="9" s="1"/>
  <c r="F3825" i="9"/>
  <c r="H3825" i="9" s="1"/>
  <c r="F3826" i="9"/>
  <c r="H3826" i="9" s="1"/>
  <c r="F3827" i="9"/>
  <c r="H3827" i="9" s="1"/>
  <c r="F3828" i="9"/>
  <c r="H3828" i="9" s="1"/>
  <c r="F3829" i="9"/>
  <c r="H3829" i="9" s="1"/>
  <c r="F3830" i="9"/>
  <c r="H3830" i="9" s="1"/>
  <c r="F3831" i="9"/>
  <c r="H3831" i="9" s="1"/>
  <c r="F3832" i="9"/>
  <c r="H3832" i="9" s="1"/>
  <c r="F3833" i="9"/>
  <c r="H3833" i="9" s="1"/>
  <c r="F3834" i="9"/>
  <c r="H3834" i="9" s="1"/>
  <c r="F3835" i="9"/>
  <c r="H3835" i="9" s="1"/>
  <c r="F3836" i="9"/>
  <c r="H3836" i="9" s="1"/>
  <c r="F3837" i="9"/>
  <c r="H3837" i="9" s="1"/>
  <c r="F3838" i="9"/>
  <c r="H3838" i="9" s="1"/>
  <c r="F3839" i="9"/>
  <c r="H3839" i="9" s="1"/>
  <c r="F3840" i="9"/>
  <c r="H3840" i="9" s="1"/>
  <c r="F3841" i="9"/>
  <c r="H3841" i="9" s="1"/>
  <c r="F3842" i="9"/>
  <c r="H3842" i="9" s="1"/>
  <c r="F3843" i="9"/>
  <c r="H3843" i="9" s="1"/>
  <c r="F3844" i="9"/>
  <c r="H3844" i="9" s="1"/>
  <c r="F3845" i="9"/>
  <c r="H3845" i="9" s="1"/>
  <c r="F3846" i="9"/>
  <c r="H3846" i="9" s="1"/>
  <c r="F3847" i="9"/>
  <c r="H3847" i="9" s="1"/>
  <c r="F3848" i="9"/>
  <c r="H3848" i="9" s="1"/>
  <c r="F3849" i="9"/>
  <c r="H3849" i="9" s="1"/>
  <c r="F3850" i="9"/>
  <c r="H3850" i="9" s="1"/>
  <c r="F3851" i="9"/>
  <c r="H3851" i="9" s="1"/>
  <c r="F3852" i="9"/>
  <c r="H3852" i="9" s="1"/>
  <c r="F3853" i="9"/>
  <c r="H3853" i="9" s="1"/>
  <c r="F3854" i="9"/>
  <c r="H3854" i="9" s="1"/>
  <c r="F3855" i="9"/>
  <c r="H3855" i="9" s="1"/>
  <c r="F3856" i="9"/>
  <c r="H3856" i="9" s="1"/>
  <c r="F3857" i="9"/>
  <c r="H3857" i="9" s="1"/>
  <c r="F3858" i="9"/>
  <c r="H3858" i="9" s="1"/>
  <c r="F3859" i="9"/>
  <c r="H3859" i="9" s="1"/>
  <c r="F3860" i="9"/>
  <c r="H3860" i="9" s="1"/>
  <c r="F3861" i="9"/>
  <c r="H3861" i="9" s="1"/>
  <c r="F3862" i="9"/>
  <c r="H3862" i="9" s="1"/>
  <c r="F3863" i="9"/>
  <c r="H3863" i="9" s="1"/>
  <c r="F3864" i="9"/>
  <c r="H3864" i="9" s="1"/>
  <c r="F3865" i="9"/>
  <c r="H3865" i="9" s="1"/>
  <c r="F3866" i="9"/>
  <c r="H3866" i="9"/>
  <c r="F3867" i="9"/>
  <c r="H3867" i="9" s="1"/>
  <c r="F3868" i="9"/>
  <c r="H3868" i="9" s="1"/>
  <c r="F3869" i="9"/>
  <c r="H3869" i="9" s="1"/>
  <c r="F3870" i="9"/>
  <c r="H3870" i="9" s="1"/>
  <c r="F3871" i="9"/>
  <c r="H3871" i="9" s="1"/>
  <c r="F3872" i="9"/>
  <c r="H3872" i="9" s="1"/>
  <c r="F3873" i="9"/>
  <c r="H3873" i="9" s="1"/>
  <c r="F3874" i="9"/>
  <c r="H3874" i="9" s="1"/>
  <c r="F3875" i="9"/>
  <c r="H3875" i="9" s="1"/>
  <c r="F3876" i="9"/>
  <c r="H3876" i="9" s="1"/>
  <c r="F3877" i="9"/>
  <c r="H3877" i="9" s="1"/>
  <c r="F3878" i="9"/>
  <c r="H3878" i="9" s="1"/>
  <c r="F3879" i="9"/>
  <c r="H3879" i="9" s="1"/>
  <c r="F3880" i="9"/>
  <c r="H3880" i="9" s="1"/>
  <c r="F3881" i="9"/>
  <c r="H3881" i="9" s="1"/>
  <c r="F3882" i="9"/>
  <c r="H3882" i="9" s="1"/>
  <c r="F3883" i="9"/>
  <c r="H3883" i="9" s="1"/>
  <c r="F3884" i="9"/>
  <c r="H3884" i="9" s="1"/>
  <c r="F3885" i="9"/>
  <c r="H3885" i="9" s="1"/>
  <c r="F3886" i="9"/>
  <c r="H3886" i="9" s="1"/>
  <c r="F3887" i="9"/>
  <c r="H3887" i="9" s="1"/>
  <c r="F3888" i="9"/>
  <c r="H3888" i="9" s="1"/>
  <c r="F3889" i="9"/>
  <c r="H3889" i="9" s="1"/>
  <c r="F3890" i="9"/>
  <c r="H3890" i="9" s="1"/>
  <c r="F3891" i="9"/>
  <c r="H3891" i="9" s="1"/>
  <c r="F3892" i="9"/>
  <c r="H3892" i="9" s="1"/>
  <c r="F3893" i="9"/>
  <c r="H3893" i="9" s="1"/>
  <c r="F3894" i="9"/>
  <c r="H3894" i="9" s="1"/>
  <c r="F3895" i="9"/>
  <c r="H3895" i="9" s="1"/>
  <c r="F3896" i="9"/>
  <c r="H3896" i="9"/>
  <c r="F3897" i="9"/>
  <c r="H3897" i="9" s="1"/>
  <c r="F3898" i="9"/>
  <c r="H3898" i="9" s="1"/>
  <c r="F3899" i="9"/>
  <c r="H3899" i="9" s="1"/>
  <c r="F3900" i="9"/>
  <c r="H3900" i="9" s="1"/>
  <c r="F3901" i="9"/>
  <c r="H3901" i="9" s="1"/>
  <c r="F3902" i="9"/>
  <c r="H3902" i="9" s="1"/>
  <c r="F3903" i="9"/>
  <c r="H3903" i="9" s="1"/>
  <c r="F3904" i="9"/>
  <c r="H3904" i="9" s="1"/>
  <c r="F3905" i="9"/>
  <c r="H3905" i="9" s="1"/>
  <c r="F3906" i="9"/>
  <c r="H3906" i="9" s="1"/>
  <c r="F3907" i="9"/>
  <c r="H3907" i="9" s="1"/>
  <c r="F3908" i="9"/>
  <c r="H3908" i="9" s="1"/>
  <c r="F3909" i="9"/>
  <c r="H3909" i="9" s="1"/>
  <c r="F3910" i="9"/>
  <c r="H3910" i="9" s="1"/>
  <c r="F3911" i="9"/>
  <c r="H3911" i="9" s="1"/>
  <c r="F3912" i="9"/>
  <c r="H3912" i="9" s="1"/>
  <c r="F3913" i="9"/>
  <c r="H3913" i="9" s="1"/>
  <c r="F3914" i="9"/>
  <c r="H3914" i="9" s="1"/>
  <c r="F3915" i="9"/>
  <c r="H3915" i="9" s="1"/>
  <c r="F3916" i="9"/>
  <c r="H3916" i="9" s="1"/>
  <c r="F3917" i="9"/>
  <c r="H3917" i="9" s="1"/>
  <c r="F3918" i="9"/>
  <c r="H3918" i="9" s="1"/>
  <c r="F3919" i="9"/>
  <c r="H3919" i="9" s="1"/>
  <c r="F3920" i="9"/>
  <c r="H3920" i="9" s="1"/>
  <c r="F3921" i="9"/>
  <c r="H3921" i="9" s="1"/>
  <c r="F3922" i="9"/>
  <c r="H3922" i="9" s="1"/>
  <c r="F3923" i="9"/>
  <c r="H3923" i="9" s="1"/>
  <c r="F3924" i="9"/>
  <c r="H3924" i="9" s="1"/>
  <c r="F3925" i="9"/>
  <c r="H3925" i="9" s="1"/>
  <c r="F3926" i="9"/>
  <c r="H3926" i="9" s="1"/>
  <c r="F3927" i="9"/>
  <c r="H3927" i="9" s="1"/>
  <c r="F3928" i="9"/>
  <c r="H3928" i="9" s="1"/>
  <c r="F3929" i="9"/>
  <c r="H3929" i="9" s="1"/>
  <c r="F3930" i="9"/>
  <c r="H3930" i="9" s="1"/>
  <c r="F3931" i="9"/>
  <c r="H3931" i="9" s="1"/>
  <c r="F3932" i="9"/>
  <c r="H3932" i="9" s="1"/>
  <c r="F3933" i="9"/>
  <c r="H3933" i="9" s="1"/>
  <c r="F3934" i="9"/>
  <c r="H3934" i="9" s="1"/>
  <c r="F3935" i="9"/>
  <c r="H3935" i="9" s="1"/>
  <c r="F3936" i="9"/>
  <c r="H3936" i="9"/>
  <c r="F3937" i="9"/>
  <c r="H3937" i="9" s="1"/>
  <c r="F3938" i="9"/>
  <c r="H3938" i="9" s="1"/>
  <c r="F3939" i="9"/>
  <c r="H3939" i="9" s="1"/>
  <c r="F3940" i="9"/>
  <c r="H3940" i="9" s="1"/>
  <c r="F3941" i="9"/>
  <c r="H3941" i="9" s="1"/>
  <c r="F3942" i="9"/>
  <c r="H3942" i="9" s="1"/>
  <c r="F3943" i="9"/>
  <c r="H3943" i="9" s="1"/>
  <c r="F3944" i="9"/>
  <c r="H3944" i="9" s="1"/>
  <c r="F3945" i="9"/>
  <c r="H3945" i="9" s="1"/>
  <c r="F3946" i="9"/>
  <c r="H3946" i="9" s="1"/>
  <c r="F3947" i="9"/>
  <c r="H3947" i="9" s="1"/>
  <c r="F3948" i="9"/>
  <c r="H3948" i="9" s="1"/>
  <c r="F3949" i="9"/>
  <c r="H3949" i="9" s="1"/>
  <c r="F3950" i="9"/>
  <c r="H3950" i="9" s="1"/>
  <c r="F3951" i="9"/>
  <c r="H3951" i="9" s="1"/>
  <c r="F3952" i="9"/>
  <c r="H3952" i="9" s="1"/>
  <c r="F3953" i="9"/>
  <c r="H3953" i="9" s="1"/>
  <c r="F3954" i="9"/>
  <c r="H3954" i="9" s="1"/>
  <c r="F3955" i="9"/>
  <c r="H3955" i="9" s="1"/>
  <c r="F3956" i="9"/>
  <c r="H3956" i="9" s="1"/>
  <c r="F3957" i="9"/>
  <c r="H3957" i="9" s="1"/>
  <c r="F3958" i="9"/>
  <c r="H3958" i="9" s="1"/>
  <c r="F3959" i="9"/>
  <c r="H3959" i="9" s="1"/>
  <c r="F3960" i="9"/>
  <c r="H3960" i="9" s="1"/>
  <c r="F3961" i="9"/>
  <c r="H3961" i="9" s="1"/>
  <c r="F3962" i="9"/>
  <c r="H3962" i="9" s="1"/>
  <c r="F3963" i="9"/>
  <c r="H3963" i="9" s="1"/>
  <c r="F3964" i="9"/>
  <c r="H3964" i="9" s="1"/>
  <c r="F3965" i="9"/>
  <c r="H3965" i="9" s="1"/>
  <c r="F3966" i="9"/>
  <c r="H3966" i="9" s="1"/>
  <c r="F3967" i="9"/>
  <c r="H3967" i="9" s="1"/>
  <c r="F3968" i="9"/>
  <c r="H3968" i="9" s="1"/>
  <c r="F3969" i="9"/>
  <c r="H3969" i="9" s="1"/>
  <c r="F3970" i="9"/>
  <c r="H3970" i="9" s="1"/>
  <c r="F3971" i="9"/>
  <c r="H3971" i="9" s="1"/>
  <c r="F3972" i="9"/>
  <c r="H3972" i="9" s="1"/>
  <c r="F3973" i="9"/>
  <c r="H3973" i="9" s="1"/>
  <c r="F3974" i="9"/>
  <c r="H3974" i="9" s="1"/>
  <c r="F3975" i="9"/>
  <c r="H3975" i="9"/>
  <c r="F3976" i="9"/>
  <c r="H3976" i="9" s="1"/>
  <c r="F3977" i="9"/>
  <c r="H3977" i="9" s="1"/>
  <c r="F3978" i="9"/>
  <c r="H3978" i="9" s="1"/>
  <c r="F3979" i="9"/>
  <c r="H3979" i="9" s="1"/>
  <c r="F3980" i="9"/>
  <c r="H3980" i="9" s="1"/>
  <c r="F3981" i="9"/>
  <c r="H3981" i="9" s="1"/>
  <c r="F3982" i="9"/>
  <c r="H3982" i="9"/>
  <c r="F3983" i="9"/>
  <c r="H3983" i="9" s="1"/>
  <c r="F3984" i="9"/>
  <c r="H3984" i="9" s="1"/>
  <c r="F3985" i="9"/>
  <c r="H3985" i="9" s="1"/>
  <c r="F3986" i="9"/>
  <c r="H3986" i="9"/>
  <c r="F3987" i="9"/>
  <c r="H3987" i="9" s="1"/>
  <c r="F3988" i="9"/>
  <c r="H3988" i="9" s="1"/>
  <c r="F3989" i="9"/>
  <c r="H3989" i="9" s="1"/>
  <c r="F3990" i="9"/>
  <c r="H3990" i="9" s="1"/>
  <c r="F3991" i="9"/>
  <c r="H3991" i="9" s="1"/>
  <c r="F3992" i="9"/>
  <c r="H3992" i="9" s="1"/>
  <c r="F3993" i="9"/>
  <c r="H3993" i="9" s="1"/>
  <c r="F3994" i="9"/>
  <c r="H3994" i="9" s="1"/>
  <c r="F3995" i="9"/>
  <c r="H3995" i="9" s="1"/>
  <c r="F3996" i="9"/>
  <c r="H3996" i="9"/>
  <c r="F3997" i="9"/>
  <c r="H3997" i="9" s="1"/>
  <c r="F3998" i="9"/>
  <c r="H3998" i="9" s="1"/>
  <c r="F3999" i="9"/>
  <c r="H3999" i="9" s="1"/>
  <c r="F4000" i="9"/>
  <c r="H4000" i="9" s="1"/>
  <c r="F4001" i="9"/>
  <c r="H4001" i="9" s="1"/>
  <c r="F4002" i="9"/>
  <c r="H4002" i="9" s="1"/>
  <c r="F4003" i="9"/>
  <c r="H4003" i="9" s="1"/>
  <c r="F4004" i="9"/>
  <c r="H4004" i="9" s="1"/>
  <c r="F4005" i="9"/>
  <c r="H4005" i="9" s="1"/>
  <c r="F4006" i="9"/>
  <c r="H4006" i="9" s="1"/>
  <c r="F4007" i="9"/>
  <c r="H4007" i="9" s="1"/>
  <c r="F4008" i="9"/>
  <c r="H4008" i="9" s="1"/>
  <c r="F4009" i="9"/>
  <c r="H4009" i="9" s="1"/>
  <c r="F4010" i="9"/>
  <c r="H4010" i="9" s="1"/>
  <c r="F4011" i="9"/>
  <c r="H4011" i="9" s="1"/>
  <c r="F4012" i="9"/>
  <c r="H4012" i="9" s="1"/>
  <c r="F4013" i="9"/>
  <c r="H4013" i="9" s="1"/>
  <c r="F4014" i="9"/>
  <c r="H4014" i="9" s="1"/>
  <c r="F4015" i="9"/>
  <c r="H4015" i="9" s="1"/>
  <c r="F4016" i="9"/>
  <c r="H4016" i="9" s="1"/>
  <c r="F4017" i="9"/>
  <c r="H4017" i="9" s="1"/>
  <c r="F4018" i="9"/>
  <c r="H4018" i="9" s="1"/>
  <c r="F4019" i="9"/>
  <c r="H4019" i="9" s="1"/>
  <c r="F4020" i="9"/>
  <c r="H4020" i="9" s="1"/>
  <c r="F4021" i="9"/>
  <c r="H4021" i="9" s="1"/>
  <c r="F4022" i="9"/>
  <c r="H4022" i="9" s="1"/>
  <c r="F4023" i="9"/>
  <c r="H4023" i="9" s="1"/>
  <c r="F4024" i="9"/>
  <c r="H4024" i="9" s="1"/>
  <c r="F4025" i="9"/>
  <c r="H4025" i="9" s="1"/>
  <c r="F4026" i="9"/>
  <c r="H4026" i="9" s="1"/>
  <c r="F4027" i="9"/>
  <c r="H4027" i="9" s="1"/>
  <c r="F4028" i="9"/>
  <c r="H4028" i="9" s="1"/>
  <c r="F4029" i="9"/>
  <c r="H4029" i="9" s="1"/>
  <c r="F4030" i="9"/>
  <c r="H4030" i="9"/>
  <c r="F4031" i="9"/>
  <c r="H4031" i="9" s="1"/>
  <c r="F4032" i="9"/>
  <c r="H4032" i="9" s="1"/>
  <c r="F4033" i="9"/>
  <c r="H4033" i="9" s="1"/>
  <c r="F4034" i="9"/>
  <c r="H4034" i="9" s="1"/>
  <c r="F4035" i="9"/>
  <c r="H4035" i="9" s="1"/>
  <c r="F4036" i="9"/>
  <c r="H4036" i="9" s="1"/>
  <c r="F4037" i="9"/>
  <c r="H4037" i="9" s="1"/>
  <c r="F4038" i="9"/>
  <c r="H4038" i="9" s="1"/>
  <c r="F4039" i="9"/>
  <c r="H4039" i="9" s="1"/>
  <c r="F4040" i="9"/>
  <c r="H4040" i="9" s="1"/>
  <c r="F4041" i="9"/>
  <c r="H4041" i="9" s="1"/>
  <c r="F4042" i="9"/>
  <c r="H4042" i="9" s="1"/>
  <c r="F4043" i="9"/>
  <c r="H4043" i="9" s="1"/>
  <c r="F4044" i="9"/>
  <c r="H4044" i="9" s="1"/>
  <c r="F4045" i="9"/>
  <c r="H4045" i="9" s="1"/>
  <c r="F4046" i="9"/>
  <c r="H4046" i="9" s="1"/>
  <c r="F4047" i="9"/>
  <c r="H4047" i="9" s="1"/>
  <c r="F4048" i="9"/>
  <c r="H4048" i="9" s="1"/>
  <c r="F4049" i="9"/>
  <c r="H4049" i="9" s="1"/>
  <c r="F4050" i="9"/>
  <c r="H4050" i="9" s="1"/>
  <c r="F4051" i="9"/>
  <c r="H4051" i="9" s="1"/>
  <c r="F4052" i="9"/>
  <c r="H4052" i="9" s="1"/>
  <c r="F4053" i="9"/>
  <c r="H4053" i="9" s="1"/>
  <c r="F4054" i="9"/>
  <c r="H4054" i="9" s="1"/>
  <c r="F4055" i="9"/>
  <c r="H4055" i="9" s="1"/>
  <c r="F4056" i="9"/>
  <c r="H4056" i="9"/>
  <c r="F4057" i="9"/>
  <c r="H4057" i="9" s="1"/>
  <c r="F4058" i="9"/>
  <c r="H4058" i="9" s="1"/>
  <c r="F4059" i="9"/>
  <c r="H4059" i="9" s="1"/>
  <c r="F4060" i="9"/>
  <c r="H4060" i="9" s="1"/>
  <c r="F4061" i="9"/>
  <c r="H4061" i="9" s="1"/>
  <c r="F4062" i="9"/>
  <c r="H4062" i="9" s="1"/>
  <c r="F4063" i="9"/>
  <c r="H4063" i="9" s="1"/>
  <c r="F4064" i="9"/>
  <c r="H4064" i="9" s="1"/>
  <c r="F4065" i="9"/>
  <c r="H4065" i="9" s="1"/>
  <c r="F4066" i="9"/>
  <c r="H4066" i="9" s="1"/>
  <c r="F4067" i="9"/>
  <c r="H4067" i="9" s="1"/>
  <c r="F4068" i="9"/>
  <c r="H4068" i="9" s="1"/>
  <c r="F4069" i="9"/>
  <c r="H4069" i="9" s="1"/>
  <c r="F4070" i="9"/>
  <c r="H4070" i="9" s="1"/>
  <c r="F4071" i="9"/>
  <c r="H4071" i="9" s="1"/>
  <c r="F4072" i="9"/>
  <c r="H4072" i="9" s="1"/>
  <c r="F4073" i="9"/>
  <c r="H4073" i="9" s="1"/>
  <c r="F4074" i="9"/>
  <c r="H4074" i="9" s="1"/>
  <c r="F4075" i="9"/>
  <c r="H4075" i="9" s="1"/>
  <c r="F4076" i="9"/>
  <c r="H4076" i="9" s="1"/>
  <c r="F4077" i="9"/>
  <c r="H4077" i="9" s="1"/>
  <c r="F4078" i="9"/>
  <c r="H4078" i="9" s="1"/>
  <c r="F4079" i="9"/>
  <c r="H4079" i="9" s="1"/>
  <c r="F4080" i="9"/>
  <c r="H4080" i="9" s="1"/>
  <c r="F4081" i="9"/>
  <c r="H4081" i="9" s="1"/>
  <c r="F4082" i="9"/>
  <c r="H4082" i="9" s="1"/>
  <c r="F4083" i="9"/>
  <c r="H4083" i="9" s="1"/>
  <c r="F4084" i="9"/>
  <c r="H4084" i="9" s="1"/>
  <c r="F4085" i="9"/>
  <c r="H4085" i="9" s="1"/>
  <c r="F4086" i="9"/>
  <c r="H4086" i="9" s="1"/>
  <c r="F4087" i="9"/>
  <c r="H4087" i="9" s="1"/>
  <c r="F4088" i="9"/>
  <c r="H4088" i="9" s="1"/>
  <c r="F4089" i="9"/>
  <c r="H4089" i="9" s="1"/>
  <c r="F4090" i="9"/>
  <c r="H4090" i="9" s="1"/>
  <c r="F4091" i="9"/>
  <c r="H4091" i="9" s="1"/>
  <c r="F4092" i="9"/>
  <c r="H4092" i="9" s="1"/>
  <c r="F4093" i="9"/>
  <c r="H4093" i="9" s="1"/>
  <c r="F4094" i="9"/>
  <c r="H4094" i="9" s="1"/>
  <c r="F4095" i="9"/>
  <c r="H4095" i="9" s="1"/>
  <c r="F4096" i="9"/>
  <c r="H4096" i="9" s="1"/>
  <c r="F4097" i="9"/>
  <c r="H4097" i="9" s="1"/>
  <c r="F4098" i="9"/>
  <c r="H4098" i="9" s="1"/>
  <c r="F4099" i="9"/>
  <c r="H4099" i="9" s="1"/>
  <c r="F4100" i="9"/>
  <c r="H4100" i="9" s="1"/>
  <c r="F4101" i="9"/>
  <c r="H4101" i="9" s="1"/>
  <c r="F4102" i="9"/>
  <c r="H4102" i="9"/>
  <c r="F4103" i="9"/>
  <c r="H4103" i="9" s="1"/>
  <c r="F4104" i="9"/>
  <c r="H4104" i="9" s="1"/>
  <c r="F4105" i="9"/>
  <c r="H4105" i="9" s="1"/>
  <c r="F4106" i="9"/>
  <c r="H4106" i="9" s="1"/>
  <c r="F4107" i="9"/>
  <c r="H4107" i="9" s="1"/>
  <c r="F4108" i="9"/>
  <c r="H4108" i="9" s="1"/>
  <c r="F4109" i="9"/>
  <c r="H4109" i="9" s="1"/>
  <c r="F4110" i="9"/>
  <c r="H4110" i="9" s="1"/>
  <c r="F4111" i="9"/>
  <c r="H4111" i="9" s="1"/>
  <c r="F4112" i="9"/>
  <c r="H4112" i="9" s="1"/>
  <c r="F4113" i="9"/>
  <c r="H4113" i="9" s="1"/>
  <c r="F4114" i="9"/>
  <c r="H4114" i="9" s="1"/>
  <c r="F4115" i="9"/>
  <c r="H4115" i="9" s="1"/>
  <c r="F4116" i="9"/>
  <c r="H4116" i="9" s="1"/>
  <c r="F4117" i="9"/>
  <c r="H4117" i="9" s="1"/>
  <c r="F4118" i="9"/>
  <c r="H4118" i="9" s="1"/>
  <c r="F4119" i="9"/>
  <c r="H4119" i="9" s="1"/>
  <c r="F4120" i="9"/>
  <c r="H4120" i="9" s="1"/>
  <c r="F4121" i="9"/>
  <c r="H4121" i="9" s="1"/>
  <c r="F4122" i="9"/>
  <c r="H4122" i="9" s="1"/>
  <c r="F4123" i="9"/>
  <c r="H4123" i="9" s="1"/>
  <c r="F4124" i="9"/>
  <c r="H4124" i="9" s="1"/>
  <c r="F4125" i="9"/>
  <c r="H4125" i="9" s="1"/>
  <c r="F4126" i="9"/>
  <c r="H4126" i="9" s="1"/>
  <c r="F4127" i="9"/>
  <c r="H4127" i="9" s="1"/>
  <c r="F4128" i="9"/>
  <c r="H4128" i="9" s="1"/>
  <c r="F4129" i="9"/>
  <c r="H4129" i="9" s="1"/>
  <c r="F4130" i="9"/>
  <c r="H4130" i="9" s="1"/>
  <c r="F4131" i="9"/>
  <c r="H4131" i="9" s="1"/>
  <c r="F4132" i="9"/>
  <c r="H4132" i="9" s="1"/>
  <c r="F4133" i="9"/>
  <c r="H4133" i="9" s="1"/>
  <c r="F4134" i="9"/>
  <c r="H4134" i="9"/>
  <c r="F4135" i="9"/>
  <c r="H4135" i="9" s="1"/>
  <c r="F4136" i="9"/>
  <c r="H4136" i="9" s="1"/>
  <c r="F4137" i="9"/>
  <c r="H4137" i="9" s="1"/>
  <c r="F4138" i="9"/>
  <c r="H4138" i="9" s="1"/>
  <c r="F4139" i="9"/>
  <c r="H4139" i="9" s="1"/>
  <c r="F4140" i="9"/>
  <c r="H4140" i="9" s="1"/>
  <c r="F4141" i="9"/>
  <c r="H4141" i="9" s="1"/>
  <c r="F4142" i="9"/>
  <c r="H4142" i="9" s="1"/>
  <c r="F4143" i="9"/>
  <c r="H4143" i="9" s="1"/>
  <c r="F4144" i="9"/>
  <c r="H4144" i="9" s="1"/>
  <c r="F4145" i="9"/>
  <c r="H4145" i="9" s="1"/>
  <c r="F4146" i="9"/>
  <c r="H4146" i="9" s="1"/>
  <c r="F4147" i="9"/>
  <c r="H4147" i="9" s="1"/>
  <c r="F4148" i="9"/>
  <c r="H4148" i="9" s="1"/>
  <c r="F4149" i="9"/>
  <c r="H4149" i="9" s="1"/>
  <c r="F4150" i="9"/>
  <c r="H4150" i="9" s="1"/>
  <c r="F4151" i="9"/>
  <c r="H4151" i="9" s="1"/>
  <c r="F4152" i="9"/>
  <c r="H4152" i="9" s="1"/>
  <c r="F4153" i="9"/>
  <c r="H4153" i="9" s="1"/>
  <c r="F4154" i="9"/>
  <c r="H4154" i="9" s="1"/>
  <c r="F4155" i="9"/>
  <c r="H4155" i="9" s="1"/>
  <c r="F4156" i="9"/>
  <c r="H4156" i="9" s="1"/>
  <c r="F4157" i="9"/>
  <c r="H4157" i="9" s="1"/>
  <c r="F4158" i="9"/>
  <c r="H4158" i="9" s="1"/>
  <c r="F4159" i="9"/>
  <c r="H4159" i="9" s="1"/>
  <c r="F4160" i="9"/>
  <c r="H4160" i="9" s="1"/>
  <c r="F4161" i="9"/>
  <c r="H4161" i="9" s="1"/>
  <c r="F4162" i="9"/>
  <c r="H4162" i="9" s="1"/>
  <c r="F4163" i="9"/>
  <c r="H4163" i="9" s="1"/>
  <c r="F4164" i="9"/>
  <c r="H4164" i="9" s="1"/>
  <c r="F4165" i="9"/>
  <c r="H4165" i="9" s="1"/>
  <c r="F4166" i="9"/>
  <c r="H4166" i="9" s="1"/>
  <c r="F4167" i="9"/>
  <c r="H4167" i="9" s="1"/>
  <c r="F4168" i="9"/>
  <c r="H4168" i="9" s="1"/>
  <c r="F4169" i="9"/>
  <c r="H4169" i="9" s="1"/>
  <c r="F4170" i="9"/>
  <c r="H4170" i="9"/>
  <c r="F4171" i="9"/>
  <c r="H4171" i="9" s="1"/>
  <c r="F4172" i="9"/>
  <c r="H4172" i="9" s="1"/>
  <c r="F4173" i="9"/>
  <c r="H4173" i="9" s="1"/>
  <c r="F4174" i="9"/>
  <c r="H4174" i="9" s="1"/>
  <c r="F4175" i="9"/>
  <c r="H4175" i="9" s="1"/>
  <c r="F4176" i="9"/>
  <c r="H4176" i="9" s="1"/>
  <c r="F4177" i="9"/>
  <c r="H4177" i="9" s="1"/>
  <c r="F4178" i="9"/>
  <c r="H4178" i="9" s="1"/>
  <c r="F4179" i="9"/>
  <c r="H4179" i="9" s="1"/>
  <c r="F4180" i="9"/>
  <c r="H4180" i="9" s="1"/>
  <c r="F4181" i="9"/>
  <c r="H4181" i="9" s="1"/>
  <c r="F4182" i="9"/>
  <c r="H4182" i="9" s="1"/>
  <c r="F4183" i="9"/>
  <c r="H4183" i="9" s="1"/>
  <c r="F4184" i="9"/>
  <c r="H4184" i="9" s="1"/>
  <c r="F4185" i="9"/>
  <c r="H4185" i="9" s="1"/>
  <c r="F4186" i="9"/>
  <c r="H4186" i="9" s="1"/>
  <c r="F4187" i="9"/>
  <c r="H4187" i="9" s="1"/>
  <c r="F4188" i="9"/>
  <c r="H4188" i="9" s="1"/>
  <c r="F4189" i="9"/>
  <c r="H4189" i="9" s="1"/>
  <c r="F4190" i="9"/>
  <c r="H4190" i="9" s="1"/>
  <c r="F4191" i="9"/>
  <c r="H4191" i="9" s="1"/>
  <c r="F4192" i="9"/>
  <c r="H4192" i="9" s="1"/>
  <c r="F4193" i="9"/>
  <c r="H4193" i="9" s="1"/>
  <c r="F4194" i="9"/>
  <c r="H4194" i="9" s="1"/>
  <c r="F4195" i="9"/>
  <c r="H4195" i="9" s="1"/>
  <c r="F4196" i="9"/>
  <c r="H4196" i="9" s="1"/>
  <c r="F4197" i="9"/>
  <c r="H4197" i="9" s="1"/>
  <c r="F4198" i="9"/>
  <c r="H4198" i="9" s="1"/>
  <c r="F4199" i="9"/>
  <c r="H4199" i="9" s="1"/>
  <c r="F4200" i="9"/>
  <c r="H4200" i="9" s="1"/>
  <c r="F4201" i="9"/>
  <c r="H4201" i="9" s="1"/>
  <c r="F4202" i="9"/>
  <c r="H4202" i="9" s="1"/>
  <c r="F4203" i="9"/>
  <c r="H4203" i="9" s="1"/>
  <c r="F4204" i="9"/>
  <c r="H4204" i="9" s="1"/>
  <c r="F4205" i="9"/>
  <c r="H4205" i="9" s="1"/>
  <c r="F4206" i="9"/>
  <c r="H4206" i="9"/>
  <c r="F4207" i="9"/>
  <c r="H4207" i="9" s="1"/>
  <c r="F4208" i="9"/>
  <c r="H4208" i="9" s="1"/>
  <c r="F4209" i="9"/>
  <c r="H4209" i="9" s="1"/>
  <c r="F4210" i="9"/>
  <c r="H4210" i="9" s="1"/>
  <c r="F4211" i="9"/>
  <c r="H4211" i="9" s="1"/>
  <c r="F4212" i="9"/>
  <c r="H4212" i="9" s="1"/>
  <c r="F4213" i="9"/>
  <c r="H4213" i="9" s="1"/>
  <c r="F4214" i="9"/>
  <c r="H4214" i="9" s="1"/>
  <c r="F4215" i="9"/>
  <c r="H4215" i="9" s="1"/>
  <c r="F4216" i="9"/>
  <c r="H4216" i="9" s="1"/>
  <c r="F4217" i="9"/>
  <c r="H4217" i="9" s="1"/>
  <c r="F4218" i="9"/>
  <c r="H4218" i="9" s="1"/>
  <c r="F4219" i="9"/>
  <c r="H4219" i="9" s="1"/>
  <c r="F4220" i="9"/>
  <c r="H4220" i="9" s="1"/>
  <c r="F4221" i="9"/>
  <c r="H4221" i="9" s="1"/>
  <c r="F4222" i="9"/>
  <c r="H4222" i="9" s="1"/>
  <c r="F4223" i="9"/>
  <c r="H4223" i="9" s="1"/>
  <c r="F4224" i="9"/>
  <c r="H4224" i="9" s="1"/>
  <c r="F4225" i="9"/>
  <c r="H4225" i="9" s="1"/>
  <c r="F4226" i="9"/>
  <c r="H4226" i="9" s="1"/>
  <c r="F4227" i="9"/>
  <c r="H4227" i="9" s="1"/>
  <c r="F4228" i="9"/>
  <c r="H4228" i="9" s="1"/>
  <c r="F4229" i="9"/>
  <c r="H4229" i="9" s="1"/>
  <c r="F4230" i="9"/>
  <c r="H4230" i="9" s="1"/>
  <c r="F4231" i="9"/>
  <c r="H4231" i="9" s="1"/>
  <c r="F4232" i="9"/>
  <c r="H4232" i="9" s="1"/>
  <c r="F4233" i="9"/>
  <c r="H4233" i="9" s="1"/>
  <c r="F4234" i="9"/>
  <c r="H4234" i="9" s="1"/>
  <c r="F4235" i="9"/>
  <c r="H4235" i="9" s="1"/>
  <c r="F4236" i="9"/>
  <c r="H4236" i="9" s="1"/>
  <c r="F4237" i="9"/>
  <c r="H4237" i="9" s="1"/>
  <c r="F4238" i="9"/>
  <c r="H4238" i="9" s="1"/>
  <c r="F4239" i="9"/>
  <c r="H4239" i="9" s="1"/>
  <c r="F4240" i="9"/>
  <c r="H4240" i="9" s="1"/>
  <c r="F4241" i="9"/>
  <c r="H4241" i="9" s="1"/>
  <c r="F4242" i="9"/>
  <c r="H4242" i="9" s="1"/>
  <c r="F4243" i="9"/>
  <c r="H4243" i="9" s="1"/>
  <c r="F4244" i="9"/>
  <c r="H4244" i="9" s="1"/>
  <c r="F4245" i="9"/>
  <c r="H4245" i="9" s="1"/>
  <c r="F4246" i="9"/>
  <c r="H4246" i="9" s="1"/>
  <c r="F4247" i="9"/>
  <c r="H4247" i="9" s="1"/>
  <c r="F4248" i="9"/>
  <c r="H4248" i="9" s="1"/>
  <c r="F4249" i="9"/>
  <c r="H4249" i="9" s="1"/>
  <c r="F4250" i="9"/>
  <c r="H4250" i="9" s="1"/>
  <c r="F4251" i="9"/>
  <c r="H4251" i="9" s="1"/>
  <c r="F4252" i="9"/>
  <c r="H4252" i="9" s="1"/>
  <c r="F4253" i="9"/>
  <c r="H4253" i="9" s="1"/>
  <c r="F4254" i="9"/>
  <c r="H4254" i="9" s="1"/>
  <c r="F4255" i="9"/>
  <c r="H4255" i="9" s="1"/>
  <c r="F4256" i="9"/>
  <c r="H4256" i="9" s="1"/>
  <c r="F4257" i="9"/>
  <c r="H4257" i="9" s="1"/>
  <c r="F4258" i="9"/>
  <c r="H4258" i="9" s="1"/>
  <c r="F4259" i="9"/>
  <c r="H4259" i="9" s="1"/>
  <c r="F4260" i="9"/>
  <c r="H4260" i="9" s="1"/>
  <c r="F4261" i="9"/>
  <c r="H4261" i="9" s="1"/>
  <c r="F4262" i="9"/>
  <c r="H4262" i="9" s="1"/>
  <c r="F4263" i="9"/>
  <c r="H4263" i="9" s="1"/>
  <c r="F4264" i="9"/>
  <c r="H4264" i="9" s="1"/>
  <c r="F4265" i="9"/>
  <c r="H4265" i="9" s="1"/>
  <c r="F4266" i="9"/>
  <c r="H4266" i="9" s="1"/>
  <c r="F4267" i="9"/>
  <c r="H4267" i="9" s="1"/>
  <c r="F4268" i="9"/>
  <c r="H4268" i="9" s="1"/>
  <c r="F4269" i="9"/>
  <c r="H4269" i="9" s="1"/>
  <c r="F4270" i="9"/>
  <c r="H4270" i="9" s="1"/>
  <c r="F4271" i="9"/>
  <c r="H4271" i="9" s="1"/>
  <c r="F4272" i="9"/>
  <c r="H4272" i="9" s="1"/>
  <c r="F4273" i="9"/>
  <c r="H4273" i="9" s="1"/>
  <c r="F4274" i="9"/>
  <c r="H4274" i="9" s="1"/>
  <c r="F4275" i="9"/>
  <c r="H4275" i="9" s="1"/>
  <c r="F4276" i="9"/>
  <c r="H4276" i="9" s="1"/>
  <c r="F4277" i="9"/>
  <c r="H4277" i="9" s="1"/>
  <c r="F4278" i="9"/>
  <c r="H4278" i="9" s="1"/>
  <c r="F4279" i="9"/>
  <c r="H4279" i="9" s="1"/>
  <c r="F4280" i="9"/>
  <c r="H4280" i="9" s="1"/>
  <c r="F4281" i="9"/>
  <c r="H4281" i="9" s="1"/>
  <c r="F4282" i="9"/>
  <c r="H4282" i="9" s="1"/>
  <c r="F4283" i="9"/>
  <c r="H4283" i="9" s="1"/>
  <c r="F4284" i="9"/>
  <c r="H4284" i="9" s="1"/>
  <c r="F4285" i="9"/>
  <c r="H4285" i="9" s="1"/>
  <c r="F4286" i="9"/>
  <c r="H4286" i="9" s="1"/>
  <c r="F4287" i="9"/>
  <c r="H4287" i="9" s="1"/>
  <c r="F4288" i="9"/>
  <c r="H4288" i="9" s="1"/>
  <c r="F4289" i="9"/>
  <c r="H4289" i="9" s="1"/>
  <c r="F4290" i="9"/>
  <c r="H4290" i="9" s="1"/>
  <c r="F4291" i="9"/>
  <c r="H4291" i="9" s="1"/>
  <c r="F4292" i="9"/>
  <c r="H4292" i="9" s="1"/>
  <c r="F4293" i="9"/>
  <c r="H4293" i="9" s="1"/>
  <c r="F4294" i="9"/>
  <c r="H4294" i="9" s="1"/>
  <c r="F4295" i="9"/>
  <c r="H4295" i="9" s="1"/>
  <c r="F4296" i="9"/>
  <c r="H4296" i="9" s="1"/>
  <c r="F4297" i="9"/>
  <c r="H4297" i="9" s="1"/>
  <c r="F4298" i="9"/>
  <c r="H4298" i="9" s="1"/>
  <c r="F4299" i="9"/>
  <c r="H4299" i="9" s="1"/>
  <c r="F4300" i="9"/>
  <c r="H4300" i="9" s="1"/>
  <c r="F4301" i="9"/>
  <c r="H4301" i="9" s="1"/>
  <c r="F4302" i="9"/>
  <c r="H4302" i="9" s="1"/>
  <c r="F4303" i="9"/>
  <c r="H4303" i="9" s="1"/>
  <c r="F4304" i="9"/>
  <c r="H4304" i="9" s="1"/>
  <c r="F4305" i="9"/>
  <c r="H4305" i="9" s="1"/>
  <c r="F4306" i="9"/>
  <c r="H4306" i="9"/>
  <c r="F4307" i="9"/>
  <c r="H4307" i="9" s="1"/>
  <c r="F4308" i="9"/>
  <c r="H4308" i="9" s="1"/>
  <c r="F4309" i="9"/>
  <c r="H4309" i="9" s="1"/>
  <c r="F4310" i="9"/>
  <c r="H4310" i="9" s="1"/>
  <c r="F4311" i="9"/>
  <c r="H4311" i="9" s="1"/>
  <c r="F4312" i="9"/>
  <c r="H4312" i="9" s="1"/>
  <c r="F4313" i="9"/>
  <c r="H4313" i="9" s="1"/>
  <c r="F4314" i="9"/>
  <c r="H4314" i="9" s="1"/>
  <c r="F4315" i="9"/>
  <c r="H4315" i="9" s="1"/>
  <c r="F4316" i="9"/>
  <c r="H4316" i="9" s="1"/>
  <c r="F4317" i="9"/>
  <c r="H4317" i="9" s="1"/>
  <c r="F4318" i="9"/>
  <c r="H4318" i="9" s="1"/>
  <c r="F4319" i="9"/>
  <c r="H4319" i="9" s="1"/>
  <c r="F4320" i="9"/>
  <c r="H4320" i="9" s="1"/>
  <c r="F4321" i="9"/>
  <c r="H4321" i="9" s="1"/>
  <c r="F4322" i="9"/>
  <c r="H4322" i="9" s="1"/>
  <c r="F4323" i="9"/>
  <c r="H4323" i="9" s="1"/>
  <c r="F4324" i="9"/>
  <c r="H4324" i="9" s="1"/>
  <c r="F4325" i="9"/>
  <c r="H4325" i="9" s="1"/>
  <c r="F4326" i="9"/>
  <c r="H4326" i="9" s="1"/>
  <c r="F4327" i="9"/>
  <c r="H4327" i="9" s="1"/>
  <c r="F4328" i="9"/>
  <c r="H4328" i="9" s="1"/>
  <c r="F4329" i="9"/>
  <c r="H4329" i="9" s="1"/>
  <c r="F4330" i="9"/>
  <c r="H4330" i="9" s="1"/>
  <c r="F4331" i="9"/>
  <c r="H4331" i="9" s="1"/>
  <c r="F4332" i="9"/>
  <c r="H4332" i="9" s="1"/>
  <c r="F4333" i="9"/>
  <c r="H4333" i="9" s="1"/>
  <c r="F4334" i="9"/>
  <c r="H4334" i="9" s="1"/>
  <c r="F4335" i="9"/>
  <c r="H4335" i="9" s="1"/>
  <c r="F4336" i="9"/>
  <c r="H4336" i="9" s="1"/>
  <c r="F4337" i="9"/>
  <c r="H4337" i="9" s="1"/>
  <c r="F4338" i="9"/>
  <c r="H4338" i="9" s="1"/>
  <c r="F4339" i="9"/>
  <c r="H4339" i="9" s="1"/>
  <c r="F4340" i="9"/>
  <c r="H4340" i="9" s="1"/>
  <c r="F4341" i="9"/>
  <c r="H4341" i="9" s="1"/>
  <c r="F4342" i="9"/>
  <c r="H4342" i="9" s="1"/>
  <c r="F4343" i="9"/>
  <c r="H4343" i="9" s="1"/>
  <c r="F4344" i="9"/>
  <c r="H4344" i="9" s="1"/>
  <c r="F4345" i="9"/>
  <c r="H4345" i="9" s="1"/>
  <c r="F4346" i="9"/>
  <c r="H4346" i="9" s="1"/>
  <c r="F4347" i="9"/>
  <c r="H4347" i="9" s="1"/>
  <c r="F4348" i="9"/>
  <c r="H4348" i="9" s="1"/>
  <c r="F4349" i="9"/>
  <c r="H4349" i="9" s="1"/>
  <c r="F4350" i="9"/>
  <c r="H4350" i="9" s="1"/>
  <c r="F4351" i="9"/>
  <c r="H4351" i="9" s="1"/>
  <c r="F4352" i="9"/>
  <c r="H4352" i="9" s="1"/>
  <c r="F4353" i="9"/>
  <c r="H4353" i="9" s="1"/>
  <c r="F4354" i="9"/>
  <c r="H4354" i="9" s="1"/>
  <c r="F4355" i="9"/>
  <c r="H4355" i="9" s="1"/>
  <c r="F4356" i="9"/>
  <c r="H4356" i="9" s="1"/>
  <c r="F4357" i="9"/>
  <c r="H4357" i="9" s="1"/>
  <c r="F4358" i="9"/>
  <c r="H4358" i="9" s="1"/>
  <c r="F4359" i="9"/>
  <c r="H4359" i="9" s="1"/>
  <c r="F4360" i="9"/>
  <c r="H4360" i="9" s="1"/>
  <c r="F4361" i="9"/>
  <c r="H4361" i="9" s="1"/>
  <c r="F4362" i="9"/>
  <c r="H4362" i="9" s="1"/>
  <c r="F4363" i="9"/>
  <c r="H4363" i="9" s="1"/>
  <c r="F4364" i="9"/>
  <c r="H4364" i="9" s="1"/>
  <c r="F4365" i="9"/>
  <c r="H4365" i="9" s="1"/>
  <c r="F4366" i="9"/>
  <c r="H4366" i="9" s="1"/>
  <c r="F4367" i="9"/>
  <c r="H4367" i="9" s="1"/>
  <c r="F4368" i="9"/>
  <c r="H4368" i="9" s="1"/>
  <c r="F4369" i="9"/>
  <c r="H4369" i="9" s="1"/>
  <c r="F4370" i="9"/>
  <c r="H4370" i="9" s="1"/>
  <c r="F4371" i="9"/>
  <c r="H4371" i="9" s="1"/>
  <c r="F4372" i="9"/>
  <c r="H4372" i="9" s="1"/>
  <c r="F4373" i="9"/>
  <c r="H4373" i="9" s="1"/>
  <c r="F4374" i="9"/>
  <c r="H4374" i="9" s="1"/>
  <c r="F4375" i="9"/>
  <c r="H4375" i="9" s="1"/>
  <c r="F4376" i="9"/>
  <c r="H4376" i="9" s="1"/>
  <c r="F4377" i="9"/>
  <c r="H4377" i="9" s="1"/>
  <c r="F4378" i="9"/>
  <c r="H4378" i="9" s="1"/>
  <c r="F4379" i="9"/>
  <c r="H4379" i="9" s="1"/>
  <c r="F4380" i="9"/>
  <c r="H4380" i="9" s="1"/>
  <c r="F4381" i="9"/>
  <c r="H4381" i="9" s="1"/>
  <c r="F4382" i="9"/>
  <c r="H4382" i="9" s="1"/>
  <c r="F4383" i="9"/>
  <c r="H4383" i="9" s="1"/>
  <c r="F4384" i="9"/>
  <c r="H4384" i="9" s="1"/>
  <c r="F4385" i="9"/>
  <c r="H4385" i="9" s="1"/>
  <c r="F4386" i="9"/>
  <c r="H4386" i="9" s="1"/>
  <c r="F4387" i="9"/>
  <c r="H4387" i="9" s="1"/>
  <c r="F4388" i="9"/>
  <c r="H4388" i="9" s="1"/>
  <c r="F4389" i="9"/>
  <c r="H4389" i="9" s="1"/>
  <c r="F4390" i="9"/>
  <c r="H4390" i="9" s="1"/>
  <c r="F4391" i="9"/>
  <c r="H4391" i="9" s="1"/>
  <c r="F4392" i="9"/>
  <c r="H4392" i="9" s="1"/>
  <c r="F4393" i="9"/>
  <c r="H4393" i="9" s="1"/>
  <c r="F4394" i="9"/>
  <c r="H4394" i="9" s="1"/>
  <c r="F4395" i="9"/>
  <c r="H4395" i="9" s="1"/>
  <c r="F4396" i="9"/>
  <c r="H4396" i="9" s="1"/>
  <c r="F4397" i="9"/>
  <c r="H4397" i="9" s="1"/>
  <c r="F4398" i="9"/>
  <c r="H4398" i="9" s="1"/>
  <c r="F4399" i="9"/>
  <c r="H4399" i="9" s="1"/>
  <c r="F4400" i="9"/>
  <c r="H4400" i="9" s="1"/>
  <c r="F4401" i="9"/>
  <c r="H4401" i="9" s="1"/>
  <c r="F4402" i="9"/>
  <c r="H4402" i="9" s="1"/>
  <c r="F4403" i="9"/>
  <c r="H4403" i="9" s="1"/>
  <c r="F4404" i="9"/>
  <c r="H4404" i="9" s="1"/>
  <c r="F4405" i="9"/>
  <c r="H4405" i="9" s="1"/>
  <c r="F4406" i="9"/>
  <c r="H4406" i="9" s="1"/>
  <c r="F4407" i="9"/>
  <c r="H4407" i="9" s="1"/>
  <c r="F4408" i="9"/>
  <c r="H4408" i="9" s="1"/>
  <c r="F4409" i="9"/>
  <c r="H4409" i="9" s="1"/>
  <c r="F4410" i="9"/>
  <c r="H4410" i="9" s="1"/>
  <c r="F4411" i="9"/>
  <c r="H4411" i="9" s="1"/>
  <c r="F4412" i="9"/>
  <c r="H4412" i="9" s="1"/>
  <c r="F4413" i="9"/>
  <c r="H4413" i="9" s="1"/>
  <c r="F4414" i="9"/>
  <c r="H4414" i="9" s="1"/>
  <c r="F4415" i="9"/>
  <c r="H4415" i="9" s="1"/>
  <c r="F4416" i="9"/>
  <c r="H4416" i="9" s="1"/>
  <c r="F4417" i="9"/>
  <c r="H4417" i="9" s="1"/>
  <c r="F4418" i="9"/>
  <c r="H4418" i="9" s="1"/>
  <c r="F4419" i="9"/>
  <c r="H4419" i="9" s="1"/>
  <c r="F4420" i="9"/>
  <c r="H4420" i="9" s="1"/>
  <c r="F4421" i="9"/>
  <c r="H4421" i="9" s="1"/>
  <c r="F4422" i="9"/>
  <c r="H4422" i="9" s="1"/>
  <c r="F4423" i="9"/>
  <c r="H4423" i="9" s="1"/>
  <c r="F4424" i="9"/>
  <c r="H4424" i="9" s="1"/>
  <c r="F4425" i="9"/>
  <c r="H4425" i="9" s="1"/>
  <c r="F4426" i="9"/>
  <c r="H4426" i="9" s="1"/>
  <c r="F4427" i="9"/>
  <c r="H4427" i="9" s="1"/>
  <c r="F4428" i="9"/>
  <c r="H4428" i="9" s="1"/>
  <c r="F4429" i="9"/>
  <c r="H4429" i="9" s="1"/>
  <c r="F4430" i="9"/>
  <c r="H4430" i="9" s="1"/>
  <c r="F4431" i="9"/>
  <c r="H4431" i="9" s="1"/>
  <c r="F4432" i="9"/>
  <c r="H4432" i="9" s="1"/>
  <c r="F4433" i="9"/>
  <c r="H4433" i="9" s="1"/>
  <c r="F4434" i="9"/>
  <c r="H4434" i="9" s="1"/>
  <c r="F4435" i="9"/>
  <c r="H4435" i="9" s="1"/>
  <c r="F4436" i="9"/>
  <c r="H4436" i="9" s="1"/>
  <c r="F4437" i="9"/>
  <c r="H4437" i="9" s="1"/>
  <c r="F4438" i="9"/>
  <c r="H4438" i="9" s="1"/>
  <c r="F4439" i="9"/>
  <c r="H4439" i="9" s="1"/>
  <c r="F4440" i="9"/>
  <c r="H4440" i="9" s="1"/>
  <c r="F4441" i="9"/>
  <c r="H4441" i="9" s="1"/>
  <c r="F4442" i="9"/>
  <c r="H4442" i="9" s="1"/>
  <c r="F4443" i="9"/>
  <c r="H4443" i="9" s="1"/>
  <c r="F4444" i="9"/>
  <c r="H4444" i="9" s="1"/>
  <c r="F4445" i="9"/>
  <c r="H4445" i="9" s="1"/>
  <c r="F4446" i="9"/>
  <c r="H4446" i="9" s="1"/>
  <c r="F4447" i="9"/>
  <c r="H4447" i="9" s="1"/>
  <c r="F4448" i="9"/>
  <c r="H4448" i="9" s="1"/>
  <c r="F4449" i="9"/>
  <c r="H4449" i="9" s="1"/>
  <c r="F4450" i="9"/>
  <c r="H4450" i="9" s="1"/>
  <c r="F4451" i="9"/>
  <c r="H4451" i="9" s="1"/>
  <c r="F4452" i="9"/>
  <c r="H4452" i="9" s="1"/>
  <c r="F4453" i="9"/>
  <c r="H4453" i="9"/>
  <c r="F4454" i="9"/>
  <c r="H4454" i="9" s="1"/>
  <c r="F4455" i="9"/>
  <c r="H4455" i="9" s="1"/>
  <c r="F4456" i="9"/>
  <c r="H4456" i="9" s="1"/>
  <c r="F4457" i="9"/>
  <c r="H4457" i="9" s="1"/>
  <c r="F4458" i="9"/>
  <c r="H4458" i="9" s="1"/>
  <c r="F4459" i="9"/>
  <c r="H4459" i="9" s="1"/>
  <c r="F4460" i="9"/>
  <c r="H4460" i="9" s="1"/>
  <c r="F4461" i="9"/>
  <c r="H4461" i="9" s="1"/>
  <c r="F4462" i="9"/>
  <c r="H4462" i="9" s="1"/>
  <c r="F4463" i="9"/>
  <c r="H4463" i="9" s="1"/>
  <c r="F4464" i="9"/>
  <c r="H4464" i="9" s="1"/>
  <c r="F4465" i="9"/>
  <c r="H4465" i="9" s="1"/>
  <c r="F4466" i="9"/>
  <c r="H4466" i="9" s="1"/>
  <c r="F4467" i="9"/>
  <c r="H4467" i="9" s="1"/>
  <c r="F4468" i="9"/>
  <c r="H4468" i="9" s="1"/>
  <c r="F4469" i="9"/>
  <c r="H4469" i="9" s="1"/>
  <c r="F4470" i="9"/>
  <c r="H4470" i="9" s="1"/>
  <c r="F4471" i="9"/>
  <c r="H4471" i="9" s="1"/>
  <c r="F4472" i="9"/>
  <c r="H4472" i="9" s="1"/>
  <c r="F4473" i="9"/>
  <c r="H4473" i="9" s="1"/>
  <c r="F4474" i="9"/>
  <c r="H4474" i="9" s="1"/>
  <c r="F4475" i="9"/>
  <c r="H4475" i="9" s="1"/>
  <c r="F4476" i="9"/>
  <c r="H4476" i="9" s="1"/>
  <c r="F4477" i="9"/>
  <c r="H4477" i="9" s="1"/>
  <c r="F4478" i="9"/>
  <c r="H4478" i="9" s="1"/>
  <c r="F4479" i="9"/>
  <c r="H4479" i="9" s="1"/>
  <c r="F4480" i="9"/>
  <c r="H4480" i="9" s="1"/>
  <c r="F4481" i="9"/>
  <c r="H4481" i="9" s="1"/>
  <c r="F4482" i="9"/>
  <c r="H4482" i="9" s="1"/>
  <c r="F4483" i="9"/>
  <c r="H4483" i="9" s="1"/>
  <c r="F4484" i="9"/>
  <c r="H4484" i="9" s="1"/>
  <c r="F4485" i="9"/>
  <c r="H4485" i="9" s="1"/>
  <c r="F4486" i="9"/>
  <c r="H4486" i="9" s="1"/>
  <c r="F4487" i="9"/>
  <c r="H4487" i="9" s="1"/>
  <c r="F4488" i="9"/>
  <c r="H4488" i="9"/>
  <c r="F4489" i="9"/>
  <c r="H4489" i="9" s="1"/>
  <c r="F4490" i="9"/>
  <c r="H4490" i="9" s="1"/>
  <c r="F4491" i="9"/>
  <c r="H4491" i="9" s="1"/>
  <c r="F4492" i="9"/>
  <c r="H4492" i="9" s="1"/>
  <c r="F4493" i="9"/>
  <c r="H4493" i="9" s="1"/>
  <c r="F4494" i="9"/>
  <c r="H4494" i="9" s="1"/>
  <c r="F4495" i="9"/>
  <c r="H4495" i="9" s="1"/>
  <c r="F4496" i="9"/>
  <c r="H4496" i="9" s="1"/>
  <c r="F4497" i="9"/>
  <c r="H4497" i="9" s="1"/>
  <c r="F4498" i="9"/>
  <c r="H4498" i="9" s="1"/>
  <c r="F4499" i="9"/>
  <c r="H4499" i="9" s="1"/>
  <c r="F4500" i="9"/>
  <c r="H4500" i="9" s="1"/>
  <c r="F4501" i="9"/>
  <c r="H4501" i="9" s="1"/>
  <c r="F4502" i="9"/>
  <c r="H4502" i="9" s="1"/>
  <c r="F4503" i="9"/>
  <c r="H4503" i="9" s="1"/>
  <c r="F4504" i="9"/>
  <c r="H4504" i="9" s="1"/>
  <c r="F4505" i="9"/>
  <c r="H4505" i="9" s="1"/>
  <c r="F4506" i="9"/>
  <c r="H4506" i="9" s="1"/>
  <c r="F4507" i="9"/>
  <c r="H4507" i="9" s="1"/>
  <c r="F4508" i="9"/>
  <c r="H4508" i="9" s="1"/>
  <c r="F4509" i="9"/>
  <c r="H4509" i="9" s="1"/>
  <c r="F4510" i="9"/>
  <c r="H4510" i="9" s="1"/>
  <c r="F4511" i="9"/>
  <c r="H4511" i="9" s="1"/>
  <c r="F4512" i="9"/>
  <c r="H4512" i="9" s="1"/>
  <c r="F4513" i="9"/>
  <c r="H4513" i="9" s="1"/>
  <c r="F4514" i="9"/>
  <c r="H4514" i="9" s="1"/>
  <c r="F4515" i="9"/>
  <c r="H4515" i="9" s="1"/>
  <c r="F4516" i="9"/>
  <c r="H4516" i="9" s="1"/>
  <c r="F4517" i="9"/>
  <c r="H4517" i="9" s="1"/>
  <c r="F4518" i="9"/>
  <c r="H4518" i="9" s="1"/>
  <c r="F4519" i="9"/>
  <c r="H4519" i="9" s="1"/>
  <c r="F4520" i="9"/>
  <c r="H4520" i="9" s="1"/>
  <c r="F4521" i="9"/>
  <c r="H4521" i="9" s="1"/>
  <c r="F4522" i="9"/>
  <c r="H4522" i="9" s="1"/>
  <c r="F4523" i="9"/>
  <c r="H4523" i="9" s="1"/>
  <c r="F4524" i="9"/>
  <c r="H4524" i="9" s="1"/>
  <c r="F4525" i="9"/>
  <c r="H4525" i="9" s="1"/>
  <c r="F4526" i="9"/>
  <c r="H4526" i="9" s="1"/>
  <c r="F4527" i="9"/>
  <c r="H4527" i="9" s="1"/>
  <c r="F4528" i="9"/>
  <c r="H4528" i="9" s="1"/>
  <c r="F4529" i="9"/>
  <c r="H4529" i="9" s="1"/>
  <c r="F4530" i="9"/>
  <c r="H4530" i="9" s="1"/>
  <c r="F4531" i="9"/>
  <c r="H4531" i="9" s="1"/>
  <c r="F4532" i="9"/>
  <c r="H4532" i="9" s="1"/>
  <c r="F4533" i="9"/>
  <c r="H4533" i="9" s="1"/>
  <c r="F4534" i="9"/>
  <c r="H4534" i="9" s="1"/>
  <c r="F4535" i="9"/>
  <c r="H4535" i="9" s="1"/>
  <c r="F4536" i="9"/>
  <c r="H4536" i="9" s="1"/>
  <c r="F4537" i="9"/>
  <c r="H4537" i="9" s="1"/>
  <c r="F4538" i="9"/>
  <c r="H4538" i="9" s="1"/>
  <c r="F4539" i="9"/>
  <c r="H4539" i="9" s="1"/>
  <c r="F4540" i="9"/>
  <c r="H4540" i="9" s="1"/>
  <c r="F4541" i="9"/>
  <c r="H4541" i="9" s="1"/>
  <c r="F4542" i="9"/>
  <c r="H4542" i="9" s="1"/>
  <c r="F4543" i="9"/>
  <c r="H4543" i="9" s="1"/>
  <c r="F4544" i="9"/>
  <c r="H4544" i="9" s="1"/>
  <c r="F4545" i="9"/>
  <c r="H4545" i="9" s="1"/>
  <c r="F4546" i="9"/>
  <c r="H4546" i="9" s="1"/>
  <c r="F4547" i="9"/>
  <c r="H4547" i="9" s="1"/>
  <c r="F4548" i="9"/>
  <c r="H4548" i="9" s="1"/>
  <c r="F4549" i="9"/>
  <c r="H4549" i="9" s="1"/>
  <c r="F4550" i="9"/>
  <c r="H4550" i="9" s="1"/>
  <c r="F4551" i="9"/>
  <c r="H4551" i="9" s="1"/>
  <c r="F4552" i="9"/>
  <c r="H4552" i="9" s="1"/>
  <c r="F4553" i="9"/>
  <c r="H4553" i="9" s="1"/>
  <c r="F4554" i="9"/>
  <c r="H4554" i="9" s="1"/>
  <c r="F4555" i="9"/>
  <c r="H4555" i="9" s="1"/>
  <c r="F4556" i="9"/>
  <c r="H4556" i="9" s="1"/>
  <c r="F4557" i="9"/>
  <c r="H4557" i="9" s="1"/>
  <c r="F4558" i="9"/>
  <c r="H4558" i="9" s="1"/>
  <c r="F4559" i="9"/>
  <c r="H4559" i="9" s="1"/>
  <c r="F4560" i="9"/>
  <c r="H4560" i="9" s="1"/>
  <c r="F4561" i="9"/>
  <c r="H4561" i="9" s="1"/>
  <c r="F4562" i="9"/>
  <c r="H4562" i="9" s="1"/>
  <c r="F4563" i="9"/>
  <c r="H4563" i="9" s="1"/>
  <c r="F4564" i="9"/>
  <c r="H4564" i="9" s="1"/>
  <c r="F4565" i="9"/>
  <c r="H4565" i="9" s="1"/>
  <c r="F4566" i="9"/>
  <c r="H4566" i="9" s="1"/>
  <c r="F4567" i="9"/>
  <c r="H4567" i="9" s="1"/>
  <c r="F4568" i="9"/>
  <c r="H4568" i="9"/>
  <c r="F4569" i="9"/>
  <c r="H4569" i="9" s="1"/>
  <c r="F4570" i="9"/>
  <c r="H4570" i="9" s="1"/>
  <c r="F4571" i="9"/>
  <c r="H4571" i="9" s="1"/>
  <c r="F4572" i="9"/>
  <c r="H4572" i="9" s="1"/>
  <c r="F4573" i="9"/>
  <c r="H4573" i="9" s="1"/>
  <c r="F4574" i="9"/>
  <c r="H4574" i="9" s="1"/>
  <c r="F4575" i="9"/>
  <c r="H4575" i="9" s="1"/>
  <c r="F4576" i="9"/>
  <c r="H4576" i="9" s="1"/>
  <c r="F4577" i="9"/>
  <c r="H4577" i="9" s="1"/>
  <c r="F4578" i="9"/>
  <c r="H4578" i="9" s="1"/>
  <c r="F4579" i="9"/>
  <c r="H4579" i="9" s="1"/>
  <c r="F4580" i="9"/>
  <c r="H4580" i="9" s="1"/>
  <c r="F4581" i="9"/>
  <c r="H4581" i="9" s="1"/>
  <c r="F4582" i="9"/>
  <c r="H4582" i="9" s="1"/>
  <c r="F4583" i="9"/>
  <c r="H4583" i="9" s="1"/>
  <c r="F4584" i="9"/>
  <c r="H4584" i="9" s="1"/>
  <c r="F4585" i="9"/>
  <c r="H4585" i="9" s="1"/>
  <c r="F4586" i="9"/>
  <c r="H4586" i="9" s="1"/>
  <c r="F4587" i="9"/>
  <c r="H4587" i="9" s="1"/>
  <c r="F4588" i="9"/>
  <c r="H4588" i="9" s="1"/>
  <c r="F4589" i="9"/>
  <c r="H4589" i="9" s="1"/>
  <c r="F4590" i="9"/>
  <c r="H4590" i="9" s="1"/>
  <c r="F4591" i="9"/>
  <c r="H4591" i="9" s="1"/>
  <c r="F4592" i="9"/>
  <c r="H4592" i="9" s="1"/>
  <c r="F4593" i="9"/>
  <c r="H4593" i="9" s="1"/>
  <c r="F4594" i="9"/>
  <c r="H4594" i="9" s="1"/>
  <c r="F4595" i="9"/>
  <c r="H4595" i="9" s="1"/>
  <c r="F4596" i="9"/>
  <c r="H4596" i="9" s="1"/>
  <c r="F4597" i="9"/>
  <c r="H4597" i="9" s="1"/>
  <c r="F4598" i="9"/>
  <c r="H4598" i="9" s="1"/>
  <c r="F4599" i="9"/>
  <c r="H4599" i="9" s="1"/>
  <c r="F4600" i="9"/>
  <c r="H4600" i="9" s="1"/>
  <c r="F4601" i="9"/>
  <c r="H4601" i="9" s="1"/>
  <c r="F4602" i="9"/>
  <c r="H4602" i="9" s="1"/>
  <c r="F4603" i="9"/>
  <c r="H4603" i="9" s="1"/>
  <c r="F4604" i="9"/>
  <c r="H4604" i="9" s="1"/>
  <c r="F4605" i="9"/>
  <c r="H4605" i="9" s="1"/>
  <c r="F4606" i="9"/>
  <c r="H4606" i="9" s="1"/>
  <c r="F4607" i="9"/>
  <c r="H4607" i="9" s="1"/>
  <c r="F4608" i="9"/>
  <c r="H4608" i="9" s="1"/>
  <c r="F4609" i="9"/>
  <c r="H4609" i="9" s="1"/>
  <c r="F4610" i="9"/>
  <c r="H4610" i="9" s="1"/>
  <c r="F4611" i="9"/>
  <c r="H4611" i="9" s="1"/>
  <c r="F4612" i="9"/>
  <c r="H4612" i="9" s="1"/>
  <c r="F4613" i="9"/>
  <c r="H4613" i="9" s="1"/>
  <c r="F4614" i="9"/>
  <c r="H4614" i="9" s="1"/>
  <c r="F4615" i="9"/>
  <c r="H4615" i="9" s="1"/>
  <c r="F4616" i="9"/>
  <c r="H4616" i="9" s="1"/>
  <c r="F4617" i="9"/>
  <c r="H4617" i="9" s="1"/>
  <c r="F4618" i="9"/>
  <c r="H4618" i="9" s="1"/>
  <c r="F4619" i="9"/>
  <c r="H4619" i="9" s="1"/>
  <c r="F4620" i="9"/>
  <c r="H4620" i="9" s="1"/>
  <c r="F4621" i="9"/>
  <c r="H4621" i="9" s="1"/>
  <c r="F4622" i="9"/>
  <c r="H4622" i="9" s="1"/>
  <c r="F4623" i="9"/>
  <c r="H4623" i="9" s="1"/>
  <c r="F4624" i="9"/>
  <c r="H4624" i="9" s="1"/>
  <c r="F4625" i="9"/>
  <c r="H4625" i="9" s="1"/>
  <c r="F4626" i="9"/>
  <c r="H4626" i="9" s="1"/>
  <c r="F4627" i="9"/>
  <c r="H4627" i="9" s="1"/>
  <c r="F4628" i="9"/>
  <c r="H4628" i="9" s="1"/>
  <c r="F4629" i="9"/>
  <c r="H4629" i="9" s="1"/>
  <c r="F4630" i="9"/>
  <c r="H4630" i="9"/>
  <c r="F4631" i="9"/>
  <c r="H4631" i="9" s="1"/>
  <c r="F4632" i="9"/>
  <c r="H4632" i="9" s="1"/>
  <c r="F4633" i="9"/>
  <c r="H4633" i="9" s="1"/>
  <c r="F4634" i="9"/>
  <c r="H4634" i="9" s="1"/>
  <c r="F4635" i="9"/>
  <c r="H4635" i="9" s="1"/>
  <c r="F4636" i="9"/>
  <c r="H4636" i="9" s="1"/>
  <c r="F4637" i="9"/>
  <c r="H4637" i="9" s="1"/>
  <c r="F4638" i="9"/>
  <c r="H4638" i="9" s="1"/>
  <c r="F4639" i="9"/>
  <c r="H4639" i="9" s="1"/>
  <c r="F4640" i="9"/>
  <c r="H4640" i="9" s="1"/>
  <c r="F4641" i="9"/>
  <c r="H4641" i="9" s="1"/>
  <c r="F4642" i="9"/>
  <c r="H4642" i="9" s="1"/>
  <c r="F4643" i="9"/>
  <c r="H4643" i="9" s="1"/>
  <c r="F4644" i="9"/>
  <c r="H4644" i="9" s="1"/>
  <c r="F4645" i="9"/>
  <c r="H4645" i="9" s="1"/>
  <c r="F4646" i="9"/>
  <c r="H4646" i="9" s="1"/>
  <c r="F4647" i="9"/>
  <c r="H4647" i="9" s="1"/>
  <c r="F4648" i="9"/>
  <c r="H4648" i="9" s="1"/>
  <c r="F4649" i="9"/>
  <c r="H4649" i="9" s="1"/>
  <c r="F4650" i="9"/>
  <c r="H4650" i="9" s="1"/>
  <c r="F4651" i="9"/>
  <c r="H4651" i="9" s="1"/>
  <c r="F4652" i="9"/>
  <c r="H4652" i="9" s="1"/>
  <c r="F4653" i="9"/>
  <c r="H4653" i="9" s="1"/>
  <c r="F4654" i="9"/>
  <c r="H4654" i="9" s="1"/>
  <c r="F4655" i="9"/>
  <c r="H4655" i="9" s="1"/>
  <c r="F4656" i="9"/>
  <c r="H4656" i="9" s="1"/>
  <c r="F4657" i="9"/>
  <c r="H4657" i="9" s="1"/>
  <c r="F4658" i="9"/>
  <c r="H4658" i="9" s="1"/>
  <c r="F4659" i="9"/>
  <c r="H4659" i="9" s="1"/>
  <c r="F4660" i="9"/>
  <c r="H4660" i="9" s="1"/>
  <c r="F4661" i="9"/>
  <c r="H4661" i="9" s="1"/>
  <c r="F4662" i="9"/>
  <c r="H4662" i="9" s="1"/>
  <c r="F4663" i="9"/>
  <c r="H4663" i="9" s="1"/>
  <c r="F4664" i="9"/>
  <c r="H4664" i="9" s="1"/>
  <c r="F4665" i="9"/>
  <c r="H4665" i="9" s="1"/>
  <c r="F4666" i="9"/>
  <c r="H4666" i="9" s="1"/>
  <c r="F4667" i="9"/>
  <c r="H4667" i="9" s="1"/>
  <c r="F4668" i="9"/>
  <c r="H4668" i="9" s="1"/>
  <c r="F4669" i="9"/>
  <c r="H4669" i="9" s="1"/>
  <c r="F4670" i="9"/>
  <c r="H4670" i="9" s="1"/>
  <c r="F4671" i="9"/>
  <c r="H4671" i="9" s="1"/>
  <c r="F4672" i="9"/>
  <c r="H4672" i="9" s="1"/>
  <c r="F4673" i="9"/>
  <c r="H4673" i="9" s="1"/>
  <c r="F4674" i="9"/>
  <c r="H4674" i="9" s="1"/>
  <c r="F4675" i="9"/>
  <c r="H4675" i="9" s="1"/>
  <c r="F4676" i="9"/>
  <c r="H4676" i="9" s="1"/>
  <c r="F4677" i="9"/>
  <c r="H4677" i="9" s="1"/>
  <c r="F4678" i="9"/>
  <c r="H4678" i="9" s="1"/>
  <c r="F4679" i="9"/>
  <c r="H4679" i="9" s="1"/>
  <c r="F4680" i="9"/>
  <c r="H4680" i="9" s="1"/>
  <c r="F4681" i="9"/>
  <c r="H4681" i="9" s="1"/>
  <c r="F4682" i="9"/>
  <c r="H4682" i="9" s="1"/>
  <c r="F4683" i="9"/>
  <c r="H4683" i="9" s="1"/>
  <c r="F4684" i="9"/>
  <c r="H4684" i="9" s="1"/>
  <c r="F4685" i="9"/>
  <c r="H4685" i="9" s="1"/>
  <c r="F4686" i="9"/>
  <c r="H4686" i="9" s="1"/>
  <c r="F4687" i="9"/>
  <c r="H4687" i="9" s="1"/>
  <c r="F4688" i="9"/>
  <c r="H4688" i="9" s="1"/>
  <c r="F4689" i="9"/>
  <c r="H4689" i="9" s="1"/>
  <c r="F4690" i="9"/>
  <c r="H4690" i="9" s="1"/>
  <c r="F4691" i="9"/>
  <c r="H4691" i="9" s="1"/>
  <c r="F4692" i="9"/>
  <c r="H4692" i="9" s="1"/>
  <c r="F4693" i="9"/>
  <c r="H4693" i="9" s="1"/>
  <c r="F4694" i="9"/>
  <c r="H4694" i="9" s="1"/>
  <c r="F4695" i="9"/>
  <c r="H4695" i="9" s="1"/>
  <c r="F4696" i="9"/>
  <c r="H4696" i="9"/>
  <c r="F4697" i="9"/>
  <c r="H4697" i="9" s="1"/>
  <c r="F4698" i="9"/>
  <c r="H4698" i="9" s="1"/>
  <c r="F4699" i="9"/>
  <c r="H4699" i="9" s="1"/>
  <c r="F4700" i="9"/>
  <c r="H4700" i="9" s="1"/>
  <c r="F4701" i="9"/>
  <c r="H4701" i="9" s="1"/>
  <c r="F4702" i="9"/>
  <c r="H4702" i="9" s="1"/>
  <c r="F4703" i="9"/>
  <c r="H4703" i="9" s="1"/>
  <c r="F4704" i="9"/>
  <c r="H4704" i="9" s="1"/>
  <c r="F4705" i="9"/>
  <c r="H4705" i="9" s="1"/>
  <c r="F4706" i="9"/>
  <c r="H4706" i="9" s="1"/>
  <c r="F4707" i="9"/>
  <c r="H4707" i="9" s="1"/>
  <c r="F4708" i="9"/>
  <c r="H4708" i="9" s="1"/>
  <c r="F4709" i="9"/>
  <c r="H4709" i="9" s="1"/>
  <c r="F4710" i="9"/>
  <c r="H4710" i="9" s="1"/>
  <c r="F4711" i="9"/>
  <c r="H4711" i="9" s="1"/>
  <c r="F4712" i="9"/>
  <c r="H4712" i="9" s="1"/>
  <c r="F4713" i="9"/>
  <c r="H4713" i="9" s="1"/>
  <c r="F4714" i="9"/>
  <c r="H4714" i="9" s="1"/>
  <c r="F4715" i="9"/>
  <c r="H4715" i="9" s="1"/>
  <c r="F4716" i="9"/>
  <c r="H4716" i="9" s="1"/>
  <c r="F4717" i="9"/>
  <c r="H4717" i="9" s="1"/>
  <c r="F4718" i="9"/>
  <c r="H4718" i="9" s="1"/>
  <c r="F4719" i="9"/>
  <c r="H4719" i="9" s="1"/>
  <c r="F4720" i="9"/>
  <c r="H4720" i="9" s="1"/>
  <c r="F4721" i="9"/>
  <c r="H4721" i="9" s="1"/>
  <c r="F4722" i="9"/>
  <c r="H4722" i="9" s="1"/>
  <c r="F4723" i="9"/>
  <c r="H4723" i="9" s="1"/>
  <c r="F4724" i="9"/>
  <c r="H4724" i="9" s="1"/>
  <c r="F4725" i="9"/>
  <c r="H4725" i="9" s="1"/>
  <c r="F4726" i="9"/>
  <c r="H4726" i="9" s="1"/>
  <c r="F4727" i="9"/>
  <c r="H4727" i="9" s="1"/>
  <c r="F4728" i="9"/>
  <c r="H4728" i="9" s="1"/>
  <c r="F4729" i="9"/>
  <c r="H4729" i="9" s="1"/>
  <c r="F4730" i="9"/>
  <c r="H4730" i="9" s="1"/>
  <c r="F4731" i="9"/>
  <c r="H4731" i="9" s="1"/>
  <c r="F4732" i="9"/>
  <c r="H4732" i="9" s="1"/>
  <c r="F4733" i="9"/>
  <c r="H4733" i="9" s="1"/>
  <c r="F4734" i="9"/>
  <c r="H4734" i="9" s="1"/>
  <c r="F4735" i="9"/>
  <c r="H4735" i="9" s="1"/>
  <c r="F4736" i="9"/>
  <c r="H4736" i="9" s="1"/>
  <c r="F4737" i="9"/>
  <c r="H4737" i="9" s="1"/>
  <c r="F4738" i="9"/>
  <c r="H4738" i="9" s="1"/>
  <c r="F4739" i="9"/>
  <c r="H4739" i="9" s="1"/>
  <c r="F4740" i="9"/>
  <c r="H4740" i="9" s="1"/>
  <c r="F4741" i="9"/>
  <c r="H4741" i="9" s="1"/>
  <c r="F4742" i="9"/>
  <c r="H4742" i="9" s="1"/>
  <c r="F4743" i="9"/>
  <c r="H4743" i="9" s="1"/>
  <c r="F4744" i="9"/>
  <c r="H4744" i="9" s="1"/>
  <c r="F4745" i="9"/>
  <c r="H4745" i="9" s="1"/>
  <c r="F4746" i="9"/>
  <c r="H4746" i="9" s="1"/>
  <c r="F4747" i="9"/>
  <c r="H4747" i="9" s="1"/>
  <c r="F4748" i="9"/>
  <c r="H4748" i="9" s="1"/>
  <c r="F4749" i="9"/>
  <c r="H4749" i="9" s="1"/>
  <c r="F4750" i="9"/>
  <c r="H4750" i="9" s="1"/>
  <c r="F4751" i="9"/>
  <c r="H4751" i="9" s="1"/>
  <c r="F4752" i="9"/>
  <c r="H4752" i="9" s="1"/>
  <c r="F4753" i="9"/>
  <c r="H4753" i="9" s="1"/>
  <c r="F4754" i="9"/>
  <c r="H4754" i="9"/>
  <c r="F4755" i="9"/>
  <c r="H4755" i="9" s="1"/>
  <c r="F4756" i="9"/>
  <c r="H4756" i="9"/>
  <c r="F4757" i="9"/>
  <c r="H4757" i="9" s="1"/>
  <c r="F4758" i="9"/>
  <c r="H4758" i="9" s="1"/>
  <c r="F4759" i="9"/>
  <c r="H4759" i="9" s="1"/>
  <c r="F4760" i="9"/>
  <c r="H4760" i="9" s="1"/>
  <c r="F4761" i="9"/>
  <c r="H4761" i="9" s="1"/>
  <c r="F4762" i="9"/>
  <c r="H4762" i="9" s="1"/>
  <c r="F4763" i="9"/>
  <c r="H4763" i="9" s="1"/>
  <c r="F4764" i="9"/>
  <c r="H4764" i="9" s="1"/>
  <c r="F4765" i="9"/>
  <c r="H4765" i="9" s="1"/>
  <c r="F4766" i="9"/>
  <c r="H4766" i="9" s="1"/>
  <c r="F4767" i="9"/>
  <c r="H4767" i="9"/>
  <c r="F4768" i="9"/>
  <c r="H4768" i="9" s="1"/>
  <c r="F4769" i="9"/>
  <c r="H4769" i="9" s="1"/>
  <c r="F4770" i="9"/>
  <c r="H4770" i="9" s="1"/>
  <c r="F4771" i="9"/>
  <c r="H4771" i="9" s="1"/>
  <c r="F4772" i="9"/>
  <c r="H4772" i="9" s="1"/>
  <c r="F4773" i="9"/>
  <c r="H4773" i="9" s="1"/>
  <c r="F4774" i="9"/>
  <c r="H4774" i="9" s="1"/>
  <c r="F4775" i="9"/>
  <c r="H4775" i="9" s="1"/>
  <c r="F4776" i="9"/>
  <c r="H4776" i="9" s="1"/>
  <c r="F4777" i="9"/>
  <c r="H4777" i="9" s="1"/>
  <c r="F4778" i="9"/>
  <c r="H4778" i="9" s="1"/>
  <c r="F4779" i="9"/>
  <c r="H4779" i="9" s="1"/>
  <c r="F4780" i="9"/>
  <c r="H4780" i="9" s="1"/>
  <c r="F4781" i="9"/>
  <c r="H4781" i="9" s="1"/>
  <c r="F4782" i="9"/>
  <c r="H4782" i="9" s="1"/>
  <c r="F4783" i="9"/>
  <c r="H4783" i="9" s="1"/>
  <c r="F4784" i="9"/>
  <c r="H4784" i="9" s="1"/>
  <c r="F4785" i="9"/>
  <c r="H4785" i="9" s="1"/>
  <c r="F4786" i="9"/>
  <c r="H4786" i="9" s="1"/>
  <c r="F4787" i="9"/>
  <c r="H4787" i="9" s="1"/>
  <c r="F4788" i="9"/>
  <c r="H4788" i="9" s="1"/>
  <c r="F4789" i="9"/>
  <c r="H4789" i="9" s="1"/>
  <c r="F4790" i="9"/>
  <c r="H4790" i="9" s="1"/>
  <c r="F4791" i="9"/>
  <c r="H4791" i="9" s="1"/>
  <c r="F4792" i="9"/>
  <c r="H4792" i="9" s="1"/>
  <c r="F4793" i="9"/>
  <c r="H4793" i="9" s="1"/>
  <c r="F4794" i="9"/>
  <c r="H4794" i="9" s="1"/>
  <c r="F4795" i="9"/>
  <c r="H4795" i="9" s="1"/>
  <c r="F4796" i="9"/>
  <c r="H4796" i="9" s="1"/>
  <c r="F4797" i="9"/>
  <c r="H4797" i="9" s="1"/>
  <c r="F4798" i="9"/>
  <c r="H4798" i="9" s="1"/>
  <c r="F4799" i="9"/>
  <c r="H4799" i="9" s="1"/>
  <c r="F4800" i="9"/>
  <c r="H4800" i="9" s="1"/>
  <c r="F4801" i="9"/>
  <c r="H4801" i="9" s="1"/>
  <c r="F4802" i="9"/>
  <c r="H4802" i="9" s="1"/>
  <c r="F4803" i="9"/>
  <c r="H4803" i="9" s="1"/>
  <c r="F4804" i="9"/>
  <c r="H4804" i="9" s="1"/>
  <c r="F4805" i="9"/>
  <c r="H4805" i="9" s="1"/>
  <c r="F4806" i="9"/>
  <c r="H4806" i="9" s="1"/>
  <c r="F4807" i="9"/>
  <c r="H4807" i="9" s="1"/>
  <c r="F4808" i="9"/>
  <c r="H4808" i="9" s="1"/>
  <c r="F4809" i="9"/>
  <c r="H4809" i="9" s="1"/>
  <c r="F4810" i="9"/>
  <c r="H4810" i="9" s="1"/>
  <c r="F4811" i="9"/>
  <c r="H4811" i="9" s="1"/>
  <c r="F4812" i="9"/>
  <c r="H4812" i="9" s="1"/>
  <c r="F4813" i="9"/>
  <c r="H4813" i="9" s="1"/>
  <c r="F4814" i="9"/>
  <c r="H4814" i="9" s="1"/>
  <c r="F4815" i="9"/>
  <c r="H4815" i="9" s="1"/>
  <c r="F4816" i="9"/>
  <c r="H4816" i="9" s="1"/>
  <c r="F4817" i="9"/>
  <c r="H4817" i="9" s="1"/>
  <c r="F4818" i="9"/>
  <c r="H4818" i="9" s="1"/>
  <c r="F4819" i="9"/>
  <c r="H4819" i="9" s="1"/>
  <c r="F4820" i="9"/>
  <c r="H4820" i="9" s="1"/>
  <c r="F4821" i="9"/>
  <c r="H4821" i="9" s="1"/>
  <c r="F4822" i="9"/>
  <c r="H4822" i="9" s="1"/>
  <c r="F4823" i="9"/>
  <c r="H4823" i="9" s="1"/>
  <c r="F4824" i="9"/>
  <c r="H4824" i="9" s="1"/>
  <c r="F4825" i="9"/>
  <c r="H4825" i="9" s="1"/>
  <c r="F4826" i="9"/>
  <c r="H4826" i="9" s="1"/>
  <c r="F4827" i="9"/>
  <c r="H4827" i="9" s="1"/>
  <c r="F4828" i="9"/>
  <c r="H4828" i="9" s="1"/>
  <c r="F4829" i="9"/>
  <c r="H4829" i="9" s="1"/>
  <c r="F4830" i="9"/>
  <c r="H4830" i="9" s="1"/>
  <c r="F4831" i="9"/>
  <c r="H4831" i="9" s="1"/>
  <c r="F4832" i="9"/>
  <c r="H4832" i="9" s="1"/>
  <c r="F4833" i="9"/>
  <c r="H4833" i="9" s="1"/>
  <c r="F4834" i="9"/>
  <c r="H4834" i="9" s="1"/>
  <c r="F4835" i="9"/>
  <c r="H4835" i="9" s="1"/>
  <c r="F4836" i="9"/>
  <c r="H4836" i="9" s="1"/>
  <c r="F4837" i="9"/>
  <c r="H4837" i="9" s="1"/>
  <c r="F4838" i="9"/>
  <c r="H4838" i="9" s="1"/>
  <c r="F4839" i="9"/>
  <c r="H4839" i="9" s="1"/>
  <c r="F4840" i="9"/>
  <c r="H4840" i="9" s="1"/>
  <c r="F4841" i="9"/>
  <c r="H4841" i="9" s="1"/>
  <c r="F4842" i="9"/>
  <c r="H4842" i="9" s="1"/>
  <c r="F4843" i="9"/>
  <c r="H4843" i="9" s="1"/>
  <c r="F4844" i="9"/>
  <c r="H4844" i="9" s="1"/>
  <c r="F4845" i="9"/>
  <c r="H4845" i="9"/>
  <c r="F4846" i="9"/>
  <c r="H4846" i="9" s="1"/>
  <c r="F4847" i="9"/>
  <c r="H4847" i="9" s="1"/>
  <c r="F4848" i="9"/>
  <c r="H4848" i="9" s="1"/>
  <c r="F4849" i="9"/>
  <c r="H4849" i="9" s="1"/>
  <c r="F4850" i="9"/>
  <c r="H4850" i="9" s="1"/>
  <c r="F4851" i="9"/>
  <c r="H4851" i="9" s="1"/>
  <c r="F4852" i="9"/>
  <c r="H4852" i="9" s="1"/>
  <c r="F4853" i="9"/>
  <c r="H4853" i="9" s="1"/>
  <c r="F4854" i="9"/>
  <c r="H4854" i="9" s="1"/>
  <c r="F4855" i="9"/>
  <c r="H4855" i="9" s="1"/>
  <c r="F4856" i="9"/>
  <c r="H4856" i="9" s="1"/>
  <c r="F4857" i="9"/>
  <c r="H4857" i="9" s="1"/>
  <c r="F4858" i="9"/>
  <c r="H4858" i="9" s="1"/>
  <c r="F4859" i="9"/>
  <c r="H4859" i="9" s="1"/>
  <c r="F4860" i="9"/>
  <c r="H4860" i="9" s="1"/>
  <c r="F4861" i="9"/>
  <c r="H4861" i="9" s="1"/>
  <c r="F4862" i="9"/>
  <c r="H4862" i="9" s="1"/>
  <c r="F4863" i="9"/>
  <c r="H4863" i="9" s="1"/>
  <c r="F4864" i="9"/>
  <c r="H4864" i="9" s="1"/>
  <c r="F4865" i="9"/>
  <c r="H4865" i="9" s="1"/>
  <c r="F4866" i="9"/>
  <c r="H4866" i="9" s="1"/>
  <c r="F4867" i="9"/>
  <c r="H4867" i="9" s="1"/>
  <c r="F4868" i="9"/>
  <c r="H4868" i="9" s="1"/>
  <c r="F4869" i="9"/>
  <c r="H4869" i="9" s="1"/>
  <c r="F4870" i="9"/>
  <c r="H4870" i="9" s="1"/>
  <c r="F4871" i="9"/>
  <c r="H4871" i="9" s="1"/>
  <c r="F4872" i="9"/>
  <c r="H4872" i="9" s="1"/>
  <c r="F4873" i="9"/>
  <c r="H4873" i="9" s="1"/>
  <c r="F4874" i="9"/>
  <c r="H4874" i="9" s="1"/>
  <c r="F4875" i="9"/>
  <c r="H4875" i="9" s="1"/>
  <c r="F4876" i="9"/>
  <c r="H4876" i="9" s="1"/>
  <c r="F4877" i="9"/>
  <c r="H4877" i="9" s="1"/>
  <c r="F4878" i="9"/>
  <c r="H4878" i="9" s="1"/>
  <c r="F4879" i="9"/>
  <c r="H4879" i="9" s="1"/>
  <c r="F4880" i="9"/>
  <c r="H4880" i="9" s="1"/>
  <c r="F4881" i="9"/>
  <c r="H4881" i="9" s="1"/>
  <c r="F4882" i="9"/>
  <c r="H4882" i="9" s="1"/>
  <c r="F4883" i="9"/>
  <c r="H4883" i="9" s="1"/>
  <c r="F4884" i="9"/>
  <c r="H4884" i="9" s="1"/>
  <c r="F4885" i="9"/>
  <c r="H4885" i="9" s="1"/>
  <c r="F4886" i="9"/>
  <c r="H4886" i="9" s="1"/>
  <c r="F4887" i="9"/>
  <c r="H4887" i="9" s="1"/>
  <c r="F4888" i="9"/>
  <c r="H4888" i="9" s="1"/>
  <c r="F4889" i="9"/>
  <c r="H4889" i="9" s="1"/>
  <c r="F4890" i="9"/>
  <c r="H4890" i="9" s="1"/>
  <c r="F4891" i="9"/>
  <c r="H4891" i="9" s="1"/>
  <c r="F4892" i="9"/>
  <c r="H4892" i="9" s="1"/>
  <c r="F4893" i="9"/>
  <c r="H4893" i="9" s="1"/>
  <c r="F4894" i="9"/>
  <c r="H4894" i="9" s="1"/>
  <c r="F4895" i="9"/>
  <c r="H4895" i="9" s="1"/>
  <c r="F4896" i="9"/>
  <c r="H4896" i="9" s="1"/>
  <c r="F4897" i="9"/>
  <c r="H4897" i="9" s="1"/>
  <c r="F4898" i="9"/>
  <c r="H4898" i="9" s="1"/>
  <c r="F4899" i="9"/>
  <c r="H4899" i="9" s="1"/>
  <c r="F4900" i="9"/>
  <c r="H4900" i="9" s="1"/>
  <c r="F4901" i="9"/>
  <c r="H4901" i="9" s="1"/>
  <c r="F4902" i="9"/>
  <c r="H4902" i="9" s="1"/>
  <c r="F4903" i="9"/>
  <c r="H4903" i="9" s="1"/>
  <c r="F4904" i="9"/>
  <c r="H4904" i="9" s="1"/>
  <c r="F4905" i="9"/>
  <c r="H4905" i="9" s="1"/>
  <c r="F4906" i="9"/>
  <c r="H4906" i="9" s="1"/>
  <c r="F4907" i="9"/>
  <c r="H4907" i="9" s="1"/>
  <c r="F4908" i="9"/>
  <c r="H4908" i="9" s="1"/>
  <c r="F4909" i="9"/>
  <c r="H4909" i="9" s="1"/>
  <c r="F4910" i="9"/>
  <c r="H4910" i="9" s="1"/>
  <c r="F4911" i="9"/>
  <c r="H4911" i="9" s="1"/>
  <c r="F4912" i="9"/>
  <c r="H4912" i="9" s="1"/>
  <c r="F4913" i="9"/>
  <c r="H4913" i="9" s="1"/>
  <c r="F4914" i="9"/>
  <c r="H4914" i="9" s="1"/>
  <c r="F4915" i="9"/>
  <c r="H4915" i="9" s="1"/>
  <c r="F4916" i="9"/>
  <c r="H4916" i="9" s="1"/>
  <c r="F4917" i="9"/>
  <c r="H4917" i="9" s="1"/>
  <c r="F4918" i="9"/>
  <c r="H4918" i="9" s="1"/>
  <c r="F4919" i="9"/>
  <c r="H4919" i="9"/>
  <c r="F4920" i="9"/>
  <c r="H4920" i="9" s="1"/>
  <c r="F4921" i="9"/>
  <c r="H4921" i="9" s="1"/>
  <c r="F4922" i="9"/>
  <c r="H4922" i="9" s="1"/>
  <c r="F4923" i="9"/>
  <c r="H4923" i="9" s="1"/>
  <c r="F4924" i="9"/>
  <c r="H4924" i="9" s="1"/>
  <c r="F4925" i="9"/>
  <c r="H4925" i="9" s="1"/>
  <c r="F4926" i="9"/>
  <c r="H4926" i="9" s="1"/>
  <c r="F4927" i="9"/>
  <c r="H4927" i="9" s="1"/>
  <c r="F4928" i="9"/>
  <c r="H4928" i="9" s="1"/>
  <c r="F4929" i="9"/>
  <c r="H4929" i="9" s="1"/>
  <c r="F4930" i="9"/>
  <c r="H4930" i="9" s="1"/>
  <c r="F4931" i="9"/>
  <c r="H4931" i="9" s="1"/>
  <c r="F4932" i="9"/>
  <c r="H4932" i="9" s="1"/>
  <c r="F4933" i="9"/>
  <c r="H4933" i="9" s="1"/>
  <c r="F4934" i="9"/>
  <c r="H4934" i="9" s="1"/>
  <c r="F4935" i="9"/>
  <c r="H4935" i="9" s="1"/>
  <c r="F4936" i="9"/>
  <c r="H4936" i="9" s="1"/>
  <c r="F4937" i="9"/>
  <c r="H4937" i="9" s="1"/>
  <c r="F4938" i="9"/>
  <c r="H4938" i="9" s="1"/>
  <c r="F4939" i="9"/>
  <c r="H4939" i="9" s="1"/>
  <c r="F4940" i="9"/>
  <c r="H4940" i="9" s="1"/>
  <c r="F4941" i="9"/>
  <c r="H4941" i="9" s="1"/>
  <c r="F4942" i="9"/>
  <c r="H4942" i="9" s="1"/>
  <c r="F4943" i="9"/>
  <c r="H4943" i="9" s="1"/>
  <c r="F4944" i="9"/>
  <c r="H4944" i="9" s="1"/>
  <c r="F4945" i="9"/>
  <c r="H4945" i="9" s="1"/>
  <c r="F4946" i="9"/>
  <c r="H4946" i="9" s="1"/>
  <c r="F4947" i="9"/>
  <c r="H4947" i="9" s="1"/>
  <c r="F4948" i="9"/>
  <c r="H4948" i="9" s="1"/>
  <c r="F4949" i="9"/>
  <c r="H4949" i="9" s="1"/>
  <c r="F4950" i="9"/>
  <c r="H4950" i="9" s="1"/>
  <c r="F4951" i="9"/>
  <c r="H4951" i="9" s="1"/>
  <c r="F4952" i="9"/>
  <c r="H4952" i="9" s="1"/>
  <c r="F4953" i="9"/>
  <c r="H4953" i="9" s="1"/>
  <c r="F4954" i="9"/>
  <c r="H4954" i="9" s="1"/>
  <c r="F4955" i="9"/>
  <c r="H4955" i="9" s="1"/>
  <c r="F4956" i="9"/>
  <c r="H4956" i="9" s="1"/>
  <c r="F4957" i="9"/>
  <c r="H4957" i="9" s="1"/>
  <c r="F4958" i="9"/>
  <c r="H4958" i="9" s="1"/>
  <c r="F4959" i="9"/>
  <c r="H4959" i="9" s="1"/>
  <c r="F4960" i="9"/>
  <c r="H4960" i="9" s="1"/>
  <c r="F4961" i="9"/>
  <c r="H4961" i="9" s="1"/>
  <c r="F4962" i="9"/>
  <c r="H4962" i="9" s="1"/>
  <c r="F4963" i="9"/>
  <c r="H4963" i="9" s="1"/>
  <c r="F4964" i="9"/>
  <c r="H4964" i="9" s="1"/>
  <c r="F4965" i="9"/>
  <c r="H4965" i="9" s="1"/>
  <c r="F4966" i="9"/>
  <c r="H4966" i="9" s="1"/>
  <c r="F4967" i="9"/>
  <c r="H4967" i="9" s="1"/>
  <c r="F4968" i="9"/>
  <c r="H4968" i="9" s="1"/>
  <c r="F4969" i="9"/>
  <c r="H4969" i="9" s="1"/>
  <c r="F4970" i="9"/>
  <c r="H4970" i="9" s="1"/>
  <c r="F4971" i="9"/>
  <c r="H4971" i="9" s="1"/>
  <c r="F4972" i="9"/>
  <c r="H4972" i="9" s="1"/>
  <c r="F4973" i="9"/>
  <c r="H4973" i="9" s="1"/>
  <c r="F4974" i="9"/>
  <c r="H4974" i="9" s="1"/>
  <c r="F4975" i="9"/>
  <c r="H4975" i="9" s="1"/>
  <c r="F4976" i="9"/>
  <c r="H4976" i="9"/>
  <c r="F4977" i="9"/>
  <c r="H4977" i="9" s="1"/>
  <c r="F4978" i="9"/>
  <c r="H4978" i="9" s="1"/>
  <c r="F4979" i="9"/>
  <c r="H4979" i="9" s="1"/>
  <c r="F4980" i="9"/>
  <c r="H4980" i="9" s="1"/>
  <c r="F4981" i="9"/>
  <c r="H4981" i="9" s="1"/>
  <c r="F4982" i="9"/>
  <c r="H4982" i="9" s="1"/>
  <c r="F4983" i="9"/>
  <c r="H4983" i="9" s="1"/>
  <c r="F4984" i="9"/>
  <c r="H4984" i="9"/>
  <c r="F4985" i="9"/>
  <c r="H4985" i="9" s="1"/>
  <c r="F4986" i="9"/>
  <c r="H4986" i="9" s="1"/>
  <c r="F4987" i="9"/>
  <c r="H4987" i="9" s="1"/>
  <c r="F4988" i="9"/>
  <c r="H4988" i="9" s="1"/>
  <c r="F4989" i="9"/>
  <c r="H4989" i="9" s="1"/>
  <c r="F4990" i="9"/>
  <c r="H4990" i="9" s="1"/>
  <c r="F4991" i="9"/>
  <c r="H4991" i="9" s="1"/>
  <c r="F4992" i="9"/>
  <c r="H4992" i="9" s="1"/>
  <c r="F4993" i="9"/>
  <c r="H4993" i="9" s="1"/>
  <c r="F4994" i="9"/>
  <c r="H4994" i="9" s="1"/>
  <c r="F4995" i="9"/>
  <c r="H4995" i="9" s="1"/>
  <c r="F4996" i="9"/>
  <c r="H4996" i="9" s="1"/>
  <c r="F4997" i="9"/>
  <c r="H4997" i="9" s="1"/>
  <c r="F4998" i="9"/>
  <c r="H4998" i="9" s="1"/>
  <c r="F4999" i="9"/>
  <c r="H4999" i="9" s="1"/>
  <c r="F5000" i="9"/>
  <c r="H5000" i="9" s="1"/>
  <c r="F5001" i="9"/>
  <c r="H5001" i="9" s="1"/>
  <c r="F5002" i="9"/>
  <c r="H5002" i="9" s="1"/>
  <c r="F5003" i="9"/>
  <c r="H5003" i="9" s="1"/>
  <c r="F5004" i="9"/>
  <c r="H5004" i="9" s="1"/>
  <c r="F5005" i="9"/>
  <c r="H5005" i="9" s="1"/>
  <c r="F5006" i="9"/>
  <c r="H5006" i="9" s="1"/>
  <c r="F5007" i="9"/>
  <c r="H5007" i="9" s="1"/>
  <c r="F5008" i="9"/>
  <c r="H5008" i="9" s="1"/>
  <c r="F5009" i="9"/>
  <c r="H5009" i="9" s="1"/>
  <c r="F5010" i="9"/>
  <c r="H5010" i="9" s="1"/>
  <c r="F5011" i="9"/>
  <c r="H5011" i="9" s="1"/>
  <c r="F5012" i="9"/>
  <c r="H5012" i="9" s="1"/>
  <c r="F5013" i="9"/>
  <c r="H5013" i="9" s="1"/>
  <c r="F5014" i="9"/>
  <c r="H5014" i="9" s="1"/>
  <c r="F5015" i="9"/>
  <c r="H5015" i="9" s="1"/>
  <c r="F5016" i="9"/>
  <c r="H5016" i="9" s="1"/>
  <c r="F5017" i="9"/>
  <c r="H5017" i="9" s="1"/>
  <c r="F5018" i="9"/>
  <c r="H5018" i="9" s="1"/>
  <c r="F5019" i="9"/>
  <c r="H5019" i="9" s="1"/>
  <c r="F5020" i="9"/>
  <c r="H5020" i="9" s="1"/>
  <c r="F5021" i="9"/>
  <c r="H5021" i="9" s="1"/>
  <c r="F5022" i="9"/>
  <c r="H5022" i="9" s="1"/>
  <c r="F5023" i="9"/>
  <c r="H5023" i="9" s="1"/>
  <c r="F5024" i="9"/>
  <c r="H5024" i="9" s="1"/>
  <c r="F5025" i="9"/>
  <c r="H5025" i="9" s="1"/>
  <c r="F5026" i="9"/>
  <c r="H5026" i="9" s="1"/>
  <c r="F5027" i="9"/>
  <c r="H5027" i="9" s="1"/>
  <c r="F5028" i="9"/>
  <c r="H5028" i="9" s="1"/>
  <c r="F5029" i="9"/>
  <c r="H5029" i="9" s="1"/>
  <c r="F5030" i="9"/>
  <c r="H5030" i="9" s="1"/>
  <c r="F5031" i="9"/>
  <c r="H5031" i="9" s="1"/>
  <c r="F5032" i="9"/>
  <c r="H5032" i="9" s="1"/>
  <c r="F5033" i="9"/>
  <c r="H5033" i="9" s="1"/>
  <c r="F5034" i="9"/>
  <c r="H5034" i="9" s="1"/>
  <c r="F5035" i="9"/>
  <c r="H5035" i="9" s="1"/>
  <c r="F5036" i="9"/>
  <c r="H5036" i="9" s="1"/>
  <c r="F5037" i="9"/>
  <c r="H5037" i="9" s="1"/>
  <c r="F5038" i="9"/>
  <c r="H5038" i="9" s="1"/>
  <c r="F5039" i="9"/>
  <c r="H5039" i="9" s="1"/>
  <c r="F5040" i="9"/>
  <c r="H5040" i="9" s="1"/>
  <c r="F5041" i="9"/>
  <c r="H5041" i="9" s="1"/>
  <c r="F5042" i="9"/>
  <c r="H5042" i="9" s="1"/>
  <c r="F5043" i="9"/>
  <c r="H5043" i="9" s="1"/>
  <c r="F5044" i="9"/>
  <c r="H5044" i="9" s="1"/>
  <c r="F5045" i="9"/>
  <c r="H5045" i="9" s="1"/>
  <c r="F5046" i="9"/>
  <c r="H5046" i="9" s="1"/>
  <c r="F5047" i="9"/>
  <c r="H5047" i="9" s="1"/>
  <c r="F5048" i="9"/>
  <c r="H5048" i="9"/>
  <c r="F5049" i="9"/>
  <c r="H5049" i="9" s="1"/>
  <c r="F5050" i="9"/>
  <c r="H5050" i="9" s="1"/>
  <c r="F5051" i="9"/>
  <c r="H5051" i="9" s="1"/>
  <c r="F5052" i="9"/>
  <c r="H5052" i="9" s="1"/>
  <c r="F5053" i="9"/>
  <c r="H5053" i="9" s="1"/>
  <c r="F5054" i="9"/>
  <c r="H5054" i="9" s="1"/>
  <c r="F5055" i="9"/>
  <c r="H5055" i="9" s="1"/>
  <c r="F5056" i="9"/>
  <c r="H5056" i="9" s="1"/>
  <c r="F5057" i="9"/>
  <c r="H5057" i="9" s="1"/>
  <c r="F5058" i="9"/>
  <c r="H5058" i="9" s="1"/>
  <c r="F5059" i="9"/>
  <c r="H5059" i="9" s="1"/>
  <c r="F5060" i="9"/>
  <c r="H5060" i="9" s="1"/>
  <c r="F5061" i="9"/>
  <c r="H5061" i="9" s="1"/>
  <c r="F5062" i="9"/>
  <c r="H5062" i="9" s="1"/>
  <c r="F5063" i="9"/>
  <c r="H5063" i="9" s="1"/>
  <c r="F5064" i="9"/>
  <c r="H5064" i="9" s="1"/>
  <c r="F5065" i="9"/>
  <c r="H5065" i="9" s="1"/>
  <c r="F5066" i="9"/>
  <c r="H5066" i="9" s="1"/>
  <c r="F5067" i="9"/>
  <c r="H5067" i="9" s="1"/>
  <c r="F5068" i="9"/>
  <c r="H5068" i="9" s="1"/>
  <c r="F5069" i="9"/>
  <c r="H5069" i="9" s="1"/>
  <c r="F5070" i="9"/>
  <c r="H5070" i="9" s="1"/>
  <c r="F5071" i="9"/>
  <c r="H5071" i="9" s="1"/>
  <c r="F5072" i="9"/>
  <c r="H5072" i="9" s="1"/>
  <c r="F5073" i="9"/>
  <c r="H5073" i="9" s="1"/>
  <c r="F5074" i="9"/>
  <c r="H5074" i="9" s="1"/>
  <c r="F5075" i="9"/>
  <c r="H5075" i="9" s="1"/>
  <c r="F5076" i="9"/>
  <c r="H5076" i="9" s="1"/>
  <c r="F5077" i="9"/>
  <c r="H5077" i="9" s="1"/>
  <c r="F5078" i="9"/>
  <c r="H5078" i="9" s="1"/>
  <c r="F5079" i="9"/>
  <c r="H5079" i="9" s="1"/>
  <c r="F5080" i="9"/>
  <c r="H5080" i="9" s="1"/>
  <c r="F5081" i="9"/>
  <c r="H5081" i="9" s="1"/>
  <c r="F5082" i="9"/>
  <c r="H5082" i="9" s="1"/>
  <c r="F5083" i="9"/>
  <c r="H5083" i="9" s="1"/>
  <c r="F5084" i="9"/>
  <c r="H5084" i="9" s="1"/>
  <c r="F5085" i="9"/>
  <c r="H5085" i="9" s="1"/>
  <c r="F5086" i="9"/>
  <c r="H5086" i="9" s="1"/>
  <c r="F5087" i="9"/>
  <c r="H5087" i="9" s="1"/>
  <c r="F5088" i="9"/>
  <c r="H5088" i="9" s="1"/>
  <c r="F5089" i="9"/>
  <c r="H5089" i="9" s="1"/>
  <c r="F5090" i="9"/>
  <c r="H5090" i="9" s="1"/>
  <c r="F5091" i="9"/>
  <c r="H5091" i="9" s="1"/>
  <c r="F5092" i="9"/>
  <c r="H5092" i="9" s="1"/>
  <c r="F5093" i="9"/>
  <c r="H5093" i="9" s="1"/>
  <c r="F5094" i="9"/>
  <c r="H5094" i="9" s="1"/>
  <c r="F5095" i="9"/>
  <c r="H5095" i="9" s="1"/>
  <c r="F5096" i="9"/>
  <c r="H5096" i="9" s="1"/>
  <c r="F5097" i="9"/>
  <c r="H5097" i="9" s="1"/>
  <c r="F5098" i="9"/>
  <c r="H5098" i="9" s="1"/>
  <c r="F5099" i="9"/>
  <c r="H5099" i="9" s="1"/>
  <c r="F5100" i="9"/>
  <c r="H5100" i="9" s="1"/>
  <c r="F5101" i="9"/>
  <c r="H5101" i="9" s="1"/>
  <c r="F5102" i="9"/>
  <c r="H5102" i="9" s="1"/>
  <c r="F5103" i="9"/>
  <c r="H5103" i="9" s="1"/>
  <c r="F5104" i="9"/>
  <c r="H5104" i="9" s="1"/>
  <c r="F5105" i="9"/>
  <c r="H5105" i="9" s="1"/>
  <c r="F5106" i="9"/>
  <c r="H5106" i="9" s="1"/>
  <c r="F5107" i="9"/>
  <c r="H5107" i="9" s="1"/>
  <c r="F5108" i="9"/>
  <c r="H5108" i="9" s="1"/>
  <c r="F5109" i="9"/>
  <c r="H5109" i="9" s="1"/>
  <c r="F5110" i="9"/>
  <c r="H5110" i="9" s="1"/>
  <c r="F5111" i="9"/>
  <c r="H5111" i="9" s="1"/>
  <c r="F5112" i="9"/>
  <c r="H5112" i="9" s="1"/>
  <c r="F5113" i="9"/>
  <c r="H5113" i="9" s="1"/>
  <c r="F5114" i="9"/>
  <c r="H5114" i="9" s="1"/>
  <c r="F5115" i="9"/>
  <c r="H5115" i="9" s="1"/>
  <c r="F5116" i="9"/>
  <c r="H5116" i="9" s="1"/>
  <c r="F5117" i="9"/>
  <c r="H5117" i="9" s="1"/>
  <c r="F5118" i="9"/>
  <c r="H5118" i="9" s="1"/>
  <c r="F5119" i="9"/>
  <c r="H5119" i="9" s="1"/>
  <c r="F5120" i="9"/>
  <c r="H5120" i="9" s="1"/>
  <c r="F5121" i="9"/>
  <c r="H5121" i="9" s="1"/>
  <c r="F5122" i="9"/>
  <c r="H5122" i="9" s="1"/>
  <c r="F5123" i="9"/>
  <c r="H5123" i="9" s="1"/>
  <c r="F5124" i="9"/>
  <c r="H5124" i="9" s="1"/>
  <c r="F5125" i="9"/>
  <c r="H5125" i="9" s="1"/>
  <c r="F5126" i="9"/>
  <c r="H5126" i="9" s="1"/>
  <c r="F5127" i="9"/>
  <c r="H5127" i="9" s="1"/>
  <c r="F5128" i="9"/>
  <c r="H5128" i="9" s="1"/>
  <c r="F5129" i="9"/>
  <c r="H5129" i="9" s="1"/>
  <c r="F5130" i="9"/>
  <c r="H5130" i="9" s="1"/>
  <c r="F5131" i="9"/>
  <c r="H5131" i="9" s="1"/>
  <c r="F5132" i="9"/>
  <c r="H5132" i="9"/>
  <c r="F5133" i="9"/>
  <c r="H5133" i="9" s="1"/>
  <c r="F5134" i="9"/>
  <c r="H5134" i="9" s="1"/>
  <c r="F5135" i="9"/>
  <c r="H5135" i="9" s="1"/>
  <c r="F5136" i="9"/>
  <c r="H5136" i="9" s="1"/>
  <c r="F5137" i="9"/>
  <c r="H5137" i="9" s="1"/>
  <c r="F5138" i="9"/>
  <c r="H5138" i="9" s="1"/>
  <c r="F5139" i="9"/>
  <c r="H5139" i="9" s="1"/>
  <c r="F5140" i="9"/>
  <c r="H5140" i="9" s="1"/>
  <c r="F5141" i="9"/>
  <c r="H5141" i="9" s="1"/>
  <c r="F5142" i="9"/>
  <c r="H5142" i="9" s="1"/>
  <c r="F5143" i="9"/>
  <c r="H5143" i="9" s="1"/>
  <c r="F5144" i="9"/>
  <c r="H5144" i="9" s="1"/>
  <c r="F5145" i="9"/>
  <c r="H5145" i="9" s="1"/>
  <c r="F5146" i="9"/>
  <c r="H5146" i="9" s="1"/>
  <c r="F5147" i="9"/>
  <c r="H5147" i="9" s="1"/>
  <c r="F5148" i="9"/>
  <c r="H5148" i="9" s="1"/>
  <c r="F5149" i="9"/>
  <c r="H5149" i="9" s="1"/>
  <c r="F5150" i="9"/>
  <c r="H5150" i="9" s="1"/>
  <c r="F5151" i="9"/>
  <c r="H5151" i="9" s="1"/>
  <c r="F5152" i="9"/>
  <c r="H5152" i="9" s="1"/>
  <c r="F5153" i="9"/>
  <c r="H5153" i="9" s="1"/>
  <c r="F5154" i="9"/>
  <c r="H5154" i="9" s="1"/>
  <c r="F5155" i="9"/>
  <c r="H5155" i="9" s="1"/>
  <c r="F5156" i="9"/>
  <c r="H5156" i="9" s="1"/>
  <c r="F5157" i="9"/>
  <c r="H5157" i="9" s="1"/>
  <c r="F5158" i="9"/>
  <c r="H5158" i="9" s="1"/>
  <c r="F5159" i="9"/>
  <c r="H5159" i="9" s="1"/>
  <c r="F5160" i="9"/>
  <c r="H5160" i="9" s="1"/>
  <c r="F5161" i="9"/>
  <c r="H5161" i="9" s="1"/>
  <c r="F5162" i="9"/>
  <c r="H5162" i="9" s="1"/>
  <c r="F5163" i="9"/>
  <c r="H5163" i="9" s="1"/>
  <c r="F5164" i="9"/>
  <c r="H5164" i="9" s="1"/>
  <c r="F5165" i="9"/>
  <c r="H5165" i="9" s="1"/>
  <c r="F5166" i="9"/>
  <c r="H5166" i="9" s="1"/>
  <c r="F5167" i="9"/>
  <c r="H5167" i="9" s="1"/>
  <c r="F5168" i="9"/>
  <c r="H5168" i="9" s="1"/>
  <c r="F5169" i="9"/>
  <c r="H5169" i="9" s="1"/>
  <c r="F5170" i="9"/>
  <c r="H5170" i="9" s="1"/>
  <c r="F5171" i="9"/>
  <c r="H5171" i="9" s="1"/>
  <c r="F5172" i="9"/>
  <c r="H5172" i="9" s="1"/>
  <c r="F5173" i="9"/>
  <c r="H5173" i="9" s="1"/>
  <c r="F5174" i="9"/>
  <c r="H5174" i="9" s="1"/>
  <c r="F5175" i="9"/>
  <c r="H5175" i="9" s="1"/>
  <c r="F5176" i="9"/>
  <c r="H5176" i="9" s="1"/>
  <c r="F5177" i="9"/>
  <c r="H5177" i="9" s="1"/>
  <c r="F5178" i="9"/>
  <c r="H5178" i="9" s="1"/>
  <c r="F5179" i="9"/>
  <c r="H5179" i="9" s="1"/>
  <c r="F5180" i="9"/>
  <c r="H5180" i="9" s="1"/>
  <c r="F5181" i="9"/>
  <c r="H5181" i="9" s="1"/>
  <c r="F5182" i="9"/>
  <c r="H5182" i="9" s="1"/>
  <c r="F5183" i="9"/>
  <c r="H5183" i="9" s="1"/>
  <c r="F5184" i="9"/>
  <c r="H5184" i="9" s="1"/>
  <c r="F5185" i="9"/>
  <c r="H5185" i="9" s="1"/>
  <c r="F5186" i="9"/>
  <c r="H5186" i="9" s="1"/>
  <c r="F5187" i="9"/>
  <c r="H5187" i="9" s="1"/>
  <c r="F5188" i="9"/>
  <c r="H5188" i="9" s="1"/>
  <c r="F5189" i="9"/>
  <c r="H5189" i="9" s="1"/>
  <c r="F5190" i="9"/>
  <c r="H5190" i="9" s="1"/>
  <c r="F5191" i="9"/>
  <c r="H5191" i="9" s="1"/>
  <c r="F5192" i="9"/>
  <c r="H5192" i="9" s="1"/>
  <c r="F5193" i="9"/>
  <c r="H5193" i="9" s="1"/>
  <c r="F5194" i="9"/>
  <c r="H5194" i="9" s="1"/>
  <c r="F5195" i="9"/>
  <c r="H5195" i="9" s="1"/>
  <c r="F5196" i="9"/>
  <c r="H5196" i="9" s="1"/>
  <c r="F5197" i="9"/>
  <c r="H5197" i="9" s="1"/>
  <c r="F5198" i="9"/>
  <c r="H5198" i="9" s="1"/>
  <c r="F5199" i="9"/>
  <c r="H5199" i="9" s="1"/>
  <c r="F5200" i="9"/>
  <c r="H5200" i="9" s="1"/>
  <c r="F5201" i="9"/>
  <c r="H5201" i="9" s="1"/>
  <c r="F5202" i="9"/>
  <c r="H5202" i="9" s="1"/>
  <c r="F5203" i="9"/>
  <c r="H5203" i="9" s="1"/>
  <c r="F5204" i="9"/>
  <c r="H5204" i="9" s="1"/>
  <c r="F5205" i="9"/>
  <c r="H5205" i="9" s="1"/>
  <c r="F5206" i="9"/>
  <c r="H5206" i="9" s="1"/>
  <c r="F5207" i="9"/>
  <c r="H5207" i="9" s="1"/>
  <c r="F5208" i="9"/>
  <c r="H5208" i="9" s="1"/>
  <c r="F5209" i="9"/>
  <c r="H5209" i="9" s="1"/>
  <c r="F5210" i="9"/>
  <c r="H5210" i="9" s="1"/>
  <c r="F5211" i="9"/>
  <c r="H5211" i="9" s="1"/>
  <c r="F5212" i="9"/>
  <c r="H5212" i="9" s="1"/>
  <c r="F5213" i="9"/>
  <c r="H5213" i="9" s="1"/>
  <c r="F5214" i="9"/>
  <c r="H5214" i="9" s="1"/>
  <c r="F5215" i="9"/>
  <c r="H5215" i="9" s="1"/>
  <c r="F5216" i="9"/>
  <c r="H5216" i="9" s="1"/>
  <c r="F5217" i="9"/>
  <c r="H5217" i="9" s="1"/>
  <c r="F5218" i="9"/>
  <c r="H5218" i="9" s="1"/>
  <c r="F5219" i="9"/>
  <c r="H5219" i="9" s="1"/>
  <c r="F5220" i="9"/>
  <c r="H5220" i="9" s="1"/>
  <c r="F5221" i="9"/>
  <c r="H5221" i="9" s="1"/>
  <c r="F5222" i="9"/>
  <c r="H5222" i="9" s="1"/>
  <c r="F5223" i="9"/>
  <c r="H5223" i="9" s="1"/>
  <c r="F5224" i="9"/>
  <c r="H5224" i="9" s="1"/>
  <c r="F5225" i="9"/>
  <c r="H5225" i="9" s="1"/>
  <c r="F5226" i="9"/>
  <c r="H5226" i="9" s="1"/>
  <c r="F5227" i="9"/>
  <c r="H5227" i="9" s="1"/>
  <c r="F5228" i="9"/>
  <c r="H5228" i="9" s="1"/>
  <c r="F5229" i="9"/>
  <c r="H5229" i="9" s="1"/>
  <c r="F5230" i="9"/>
  <c r="H5230" i="9" s="1"/>
  <c r="F5231" i="9"/>
  <c r="H5231" i="9" s="1"/>
  <c r="F5232" i="9"/>
  <c r="H5232" i="9" s="1"/>
  <c r="F5233" i="9"/>
  <c r="H5233" i="9" s="1"/>
  <c r="F5234" i="9"/>
  <c r="H5234" i="9" s="1"/>
  <c r="F5235" i="9"/>
  <c r="H5235" i="9" s="1"/>
  <c r="F5236" i="9"/>
  <c r="H5236" i="9" s="1"/>
  <c r="F5237" i="9"/>
  <c r="H5237" i="9" s="1"/>
  <c r="F5238" i="9"/>
  <c r="H5238" i="9" s="1"/>
  <c r="F5239" i="9"/>
  <c r="H5239" i="9" s="1"/>
  <c r="F5240" i="9"/>
  <c r="H5240" i="9" s="1"/>
  <c r="F5241" i="9"/>
  <c r="H5241" i="9" s="1"/>
  <c r="F5242" i="9"/>
  <c r="H5242" i="9" s="1"/>
  <c r="F5243" i="9"/>
  <c r="H5243" i="9" s="1"/>
  <c r="F5244" i="9"/>
  <c r="H5244" i="9" s="1"/>
  <c r="F5245" i="9"/>
  <c r="H5245" i="9" s="1"/>
  <c r="F5246" i="9"/>
  <c r="H5246" i="9" s="1"/>
  <c r="F5247" i="9"/>
  <c r="H5247" i="9" s="1"/>
  <c r="F5248" i="9"/>
  <c r="H5248" i="9" s="1"/>
  <c r="F5249" i="9"/>
  <c r="H5249" i="9" s="1"/>
  <c r="F5250" i="9"/>
  <c r="H5250" i="9" s="1"/>
  <c r="F5251" i="9"/>
  <c r="H5251" i="9" s="1"/>
  <c r="F5252" i="9"/>
  <c r="H5252" i="9" s="1"/>
  <c r="F5253" i="9"/>
  <c r="H5253" i="9" s="1"/>
  <c r="F5254" i="9"/>
  <c r="H5254" i="9" s="1"/>
  <c r="F5255" i="9"/>
  <c r="H5255" i="9" s="1"/>
  <c r="F5256" i="9"/>
  <c r="H5256" i="9" s="1"/>
  <c r="F5257" i="9"/>
  <c r="H5257" i="9" s="1"/>
  <c r="F5258" i="9"/>
  <c r="H5258" i="9" s="1"/>
  <c r="F5259" i="9"/>
  <c r="H5259" i="9" s="1"/>
  <c r="F5260" i="9"/>
  <c r="H5260" i="9" s="1"/>
  <c r="F5261" i="9"/>
  <c r="H5261" i="9" s="1"/>
  <c r="F5262" i="9"/>
  <c r="H5262" i="9" s="1"/>
  <c r="F5263" i="9"/>
  <c r="H5263" i="9" s="1"/>
  <c r="F5264" i="9"/>
  <c r="H5264" i="9" s="1"/>
  <c r="F5265" i="9"/>
  <c r="H5265" i="9" s="1"/>
  <c r="F5266" i="9"/>
  <c r="H5266" i="9" s="1"/>
  <c r="F5267" i="9"/>
  <c r="H5267" i="9" s="1"/>
  <c r="F5268" i="9"/>
  <c r="H5268" i="9" s="1"/>
  <c r="F5269" i="9"/>
  <c r="H5269" i="9" s="1"/>
  <c r="F5270" i="9"/>
  <c r="H5270" i="9" s="1"/>
  <c r="F5271" i="9"/>
  <c r="H5271" i="9" s="1"/>
  <c r="F5272" i="9"/>
  <c r="H5272" i="9" s="1"/>
  <c r="F5273" i="9"/>
  <c r="H5273" i="9" s="1"/>
  <c r="F5274" i="9"/>
  <c r="H5274" i="9" s="1"/>
  <c r="F5275" i="9"/>
  <c r="H5275" i="9" s="1"/>
  <c r="F5276" i="9"/>
  <c r="H5276" i="9" s="1"/>
  <c r="F5277" i="9"/>
  <c r="H5277" i="9" s="1"/>
  <c r="F5278" i="9"/>
  <c r="H5278" i="9" s="1"/>
  <c r="F5279" i="9"/>
  <c r="H5279" i="9" s="1"/>
  <c r="F5280" i="9"/>
  <c r="H5280" i="9" s="1"/>
  <c r="F5281" i="9"/>
  <c r="H5281" i="9" s="1"/>
  <c r="F5282" i="9"/>
  <c r="H5282" i="9" s="1"/>
  <c r="F5283" i="9"/>
  <c r="H5283" i="9" s="1"/>
  <c r="F5284" i="9"/>
  <c r="H5284" i="9" s="1"/>
  <c r="F5285" i="9"/>
  <c r="H5285" i="9" s="1"/>
  <c r="F5286" i="9"/>
  <c r="H5286" i="9" s="1"/>
  <c r="F5287" i="9"/>
  <c r="H5287" i="9" s="1"/>
  <c r="F5288" i="9"/>
  <c r="H5288" i="9" s="1"/>
  <c r="F5289" i="9"/>
  <c r="H5289" i="9" s="1"/>
  <c r="F5290" i="9"/>
  <c r="H5290" i="9" s="1"/>
  <c r="F5291" i="9"/>
  <c r="H5291" i="9" s="1"/>
  <c r="F5292" i="9"/>
  <c r="H5292" i="9" s="1"/>
  <c r="F5293" i="9"/>
  <c r="H5293" i="9" s="1"/>
  <c r="F5294" i="9"/>
  <c r="H5294" i="9" s="1"/>
  <c r="F5295" i="9"/>
  <c r="H5295" i="9" s="1"/>
  <c r="F5296" i="9"/>
  <c r="H5296" i="9" s="1"/>
  <c r="F5297" i="9"/>
  <c r="H5297" i="9" s="1"/>
  <c r="F5298" i="9"/>
  <c r="H5298" i="9" s="1"/>
  <c r="F5299" i="9"/>
  <c r="H5299" i="9" s="1"/>
  <c r="F5300" i="9"/>
  <c r="H5300" i="9" s="1"/>
  <c r="F5301" i="9"/>
  <c r="H5301" i="9" s="1"/>
  <c r="F5302" i="9"/>
  <c r="H5302" i="9" s="1"/>
  <c r="F5303" i="9"/>
  <c r="H5303" i="9" s="1"/>
  <c r="F5304" i="9"/>
  <c r="H5304" i="9" s="1"/>
  <c r="F5305" i="9"/>
  <c r="H5305" i="9" s="1"/>
  <c r="F5306" i="9"/>
  <c r="H5306" i="9" s="1"/>
  <c r="F5307" i="9"/>
  <c r="H5307" i="9" s="1"/>
  <c r="F5308" i="9"/>
  <c r="H5308" i="9" s="1"/>
  <c r="F5309" i="9"/>
  <c r="H5309" i="9" s="1"/>
  <c r="F5310" i="9"/>
  <c r="H5310" i="9" s="1"/>
  <c r="F5311" i="9"/>
  <c r="H5311" i="9" s="1"/>
  <c r="F5312" i="9"/>
  <c r="H5312" i="9" s="1"/>
  <c r="F5313" i="9"/>
  <c r="H5313" i="9" s="1"/>
  <c r="F5314" i="9"/>
  <c r="H5314" i="9" s="1"/>
  <c r="F5315" i="9"/>
  <c r="H5315" i="9" s="1"/>
  <c r="F5316" i="9"/>
  <c r="H5316" i="9" s="1"/>
  <c r="F5317" i="9"/>
  <c r="H5317" i="9" s="1"/>
  <c r="F5318" i="9"/>
  <c r="H5318" i="9"/>
  <c r="F5319" i="9"/>
  <c r="H5319" i="9" s="1"/>
  <c r="F5320" i="9"/>
  <c r="H5320" i="9" s="1"/>
  <c r="F5321" i="9"/>
  <c r="H5321" i="9" s="1"/>
  <c r="F5322" i="9"/>
  <c r="H5322" i="9" s="1"/>
  <c r="F5323" i="9"/>
  <c r="H5323" i="9" s="1"/>
  <c r="F5324" i="9"/>
  <c r="H5324" i="9" s="1"/>
  <c r="F5325" i="9"/>
  <c r="H5325" i="9" s="1"/>
  <c r="F5326" i="9"/>
  <c r="H5326" i="9" s="1"/>
  <c r="F5327" i="9"/>
  <c r="H5327" i="9" s="1"/>
  <c r="F5328" i="9"/>
  <c r="H5328" i="9" s="1"/>
  <c r="F5329" i="9"/>
  <c r="H5329" i="9" s="1"/>
  <c r="F5330" i="9"/>
  <c r="H5330" i="9" s="1"/>
  <c r="F5331" i="9"/>
  <c r="H5331" i="9" s="1"/>
  <c r="F5332" i="9"/>
  <c r="H5332" i="9" s="1"/>
  <c r="F5333" i="9"/>
  <c r="H5333" i="9" s="1"/>
  <c r="F5334" i="9"/>
  <c r="H5334" i="9" s="1"/>
  <c r="F5335" i="9"/>
  <c r="H5335" i="9" s="1"/>
  <c r="F5336" i="9"/>
  <c r="H5336" i="9" s="1"/>
  <c r="F5337" i="9"/>
  <c r="H5337" i="9" s="1"/>
  <c r="F5338" i="9"/>
  <c r="H5338" i="9" s="1"/>
  <c r="F5339" i="9"/>
  <c r="H5339" i="9" s="1"/>
  <c r="F5340" i="9"/>
  <c r="H5340" i="9" s="1"/>
  <c r="F5341" i="9"/>
  <c r="H5341" i="9" s="1"/>
  <c r="F5342" i="9"/>
  <c r="H5342" i="9" s="1"/>
  <c r="F5343" i="9"/>
  <c r="H5343" i="9" s="1"/>
  <c r="F5344" i="9"/>
  <c r="H5344" i="9" s="1"/>
  <c r="F5345" i="9"/>
  <c r="H5345" i="9" s="1"/>
  <c r="F5346" i="9"/>
  <c r="H5346" i="9" s="1"/>
  <c r="F5347" i="9"/>
  <c r="H5347" i="9" s="1"/>
  <c r="F5348" i="9"/>
  <c r="H5348" i="9" s="1"/>
  <c r="F5349" i="9"/>
  <c r="H5349" i="9" s="1"/>
  <c r="F5350" i="9"/>
  <c r="H5350" i="9" s="1"/>
  <c r="F5351" i="9"/>
  <c r="H5351" i="9" s="1"/>
  <c r="F5352" i="9"/>
  <c r="H5352" i="9" s="1"/>
  <c r="F5353" i="9"/>
  <c r="H5353" i="9" s="1"/>
  <c r="F5354" i="9"/>
  <c r="H5354" i="9" s="1"/>
  <c r="F5355" i="9"/>
  <c r="H5355" i="9" s="1"/>
  <c r="F5356" i="9"/>
  <c r="H5356" i="9" s="1"/>
  <c r="F5357" i="9"/>
  <c r="H5357" i="9" s="1"/>
  <c r="F5358" i="9"/>
  <c r="H5358" i="9" s="1"/>
  <c r="F5359" i="9"/>
  <c r="H5359" i="9" s="1"/>
  <c r="F5360" i="9"/>
  <c r="H5360" i="9" s="1"/>
  <c r="F5361" i="9"/>
  <c r="H5361" i="9" s="1"/>
  <c r="F5362" i="9"/>
  <c r="H5362" i="9" s="1"/>
  <c r="F5363" i="9"/>
  <c r="H5363" i="9" s="1"/>
  <c r="F5364" i="9"/>
  <c r="H5364" i="9" s="1"/>
  <c r="F5365" i="9"/>
  <c r="H5365" i="9" s="1"/>
  <c r="F5366" i="9"/>
  <c r="H5366" i="9" s="1"/>
  <c r="F5367" i="9"/>
  <c r="H5367" i="9" s="1"/>
  <c r="F5368" i="9"/>
  <c r="H5368" i="9" s="1"/>
  <c r="F5369" i="9"/>
  <c r="H5369" i="9" s="1"/>
  <c r="F5370" i="9"/>
  <c r="H5370" i="9" s="1"/>
  <c r="F5371" i="9"/>
  <c r="H5371" i="9" s="1"/>
  <c r="F5372" i="9"/>
  <c r="H5372" i="9" s="1"/>
  <c r="F5373" i="9"/>
  <c r="H5373" i="9" s="1"/>
  <c r="F5374" i="9"/>
  <c r="H5374" i="9" s="1"/>
  <c r="F5375" i="9"/>
  <c r="H5375" i="9" s="1"/>
  <c r="F5376" i="9"/>
  <c r="H5376" i="9" s="1"/>
  <c r="F5377" i="9"/>
  <c r="H5377" i="9" s="1"/>
  <c r="F5378" i="9"/>
  <c r="H5378" i="9" s="1"/>
  <c r="F5379" i="9"/>
  <c r="H5379" i="9" s="1"/>
  <c r="F5380" i="9"/>
  <c r="H5380" i="9" s="1"/>
  <c r="F5381" i="9"/>
  <c r="H5381" i="9" s="1"/>
  <c r="F5382" i="9"/>
  <c r="H5382" i="9" s="1"/>
  <c r="F5383" i="9"/>
  <c r="H5383" i="9" s="1"/>
  <c r="F5384" i="9"/>
  <c r="H5384" i="9" s="1"/>
  <c r="F5385" i="9"/>
  <c r="H5385" i="9" s="1"/>
  <c r="F5386" i="9"/>
  <c r="H5386" i="9" s="1"/>
  <c r="F5387" i="9"/>
  <c r="H5387" i="9" s="1"/>
  <c r="F5388" i="9"/>
  <c r="H5388" i="9" s="1"/>
  <c r="F5389" i="9"/>
  <c r="H5389" i="9" s="1"/>
  <c r="F5390" i="9"/>
  <c r="H5390" i="9"/>
  <c r="F5391" i="9"/>
  <c r="H5391" i="9" s="1"/>
  <c r="F5392" i="9"/>
  <c r="H5392" i="9" s="1"/>
  <c r="F5393" i="9"/>
  <c r="H5393" i="9" s="1"/>
  <c r="F5394" i="9"/>
  <c r="H5394" i="9" s="1"/>
  <c r="F5395" i="9"/>
  <c r="H5395" i="9" s="1"/>
  <c r="F5396" i="9"/>
  <c r="H5396" i="9" s="1"/>
  <c r="F5397" i="9"/>
  <c r="H5397" i="9" s="1"/>
  <c r="F5398" i="9"/>
  <c r="H5398" i="9" s="1"/>
  <c r="F5399" i="9"/>
  <c r="H5399" i="9" s="1"/>
  <c r="F5400" i="9"/>
  <c r="H5400" i="9" s="1"/>
  <c r="F5401" i="9"/>
  <c r="H5401" i="9" s="1"/>
  <c r="F5402" i="9"/>
  <c r="H5402" i="9" s="1"/>
  <c r="F5403" i="9"/>
  <c r="H5403" i="9" s="1"/>
  <c r="F5404" i="9"/>
  <c r="H5404" i="9" s="1"/>
  <c r="F5405" i="9"/>
  <c r="H5405" i="9" s="1"/>
  <c r="F5406" i="9"/>
  <c r="H5406" i="9" s="1"/>
  <c r="F5407" i="9"/>
  <c r="H5407" i="9" s="1"/>
  <c r="F5408" i="9"/>
  <c r="H5408" i="9" s="1"/>
  <c r="F5409" i="9"/>
  <c r="H5409" i="9" s="1"/>
  <c r="F5410" i="9"/>
  <c r="H5410" i="9" s="1"/>
  <c r="F5411" i="9"/>
  <c r="H5411" i="9" s="1"/>
  <c r="F5412" i="9"/>
  <c r="H5412" i="9" s="1"/>
  <c r="F5413" i="9"/>
  <c r="H5413" i="9" s="1"/>
  <c r="F5414" i="9"/>
  <c r="H5414" i="9" s="1"/>
  <c r="F5415" i="9"/>
  <c r="H5415" i="9" s="1"/>
  <c r="F5416" i="9"/>
  <c r="H5416" i="9" s="1"/>
  <c r="F5417" i="9"/>
  <c r="H5417" i="9" s="1"/>
  <c r="F5418" i="9"/>
  <c r="H5418" i="9" s="1"/>
  <c r="F5419" i="9"/>
  <c r="H5419" i="9" s="1"/>
  <c r="F5420" i="9"/>
  <c r="H5420" i="9" s="1"/>
  <c r="F5421" i="9"/>
  <c r="H5421" i="9" s="1"/>
  <c r="F5422" i="9"/>
  <c r="H5422" i="9" s="1"/>
  <c r="F5423" i="9"/>
  <c r="H5423" i="9" s="1"/>
  <c r="F5424" i="9"/>
  <c r="H5424" i="9" s="1"/>
  <c r="F5425" i="9"/>
  <c r="H5425" i="9" s="1"/>
  <c r="F5426" i="9"/>
  <c r="H5426" i="9" s="1"/>
  <c r="F5427" i="9"/>
  <c r="H5427" i="9" s="1"/>
  <c r="F5428" i="9"/>
  <c r="H5428" i="9" s="1"/>
  <c r="F5429" i="9"/>
  <c r="H5429" i="9" s="1"/>
  <c r="F5430" i="9"/>
  <c r="H5430" i="9" s="1"/>
  <c r="F5431" i="9"/>
  <c r="H5431" i="9" s="1"/>
  <c r="F5432" i="9"/>
  <c r="H5432" i="9" s="1"/>
  <c r="F5433" i="9"/>
  <c r="H5433" i="9" s="1"/>
  <c r="F5434" i="9"/>
  <c r="H5434" i="9" s="1"/>
  <c r="F5435" i="9"/>
  <c r="H5435" i="9" s="1"/>
  <c r="F5436" i="9"/>
  <c r="H5436" i="9" s="1"/>
  <c r="F5437" i="9"/>
  <c r="H5437" i="9" s="1"/>
  <c r="F5438" i="9"/>
  <c r="H5438" i="9" s="1"/>
  <c r="F5439" i="9"/>
  <c r="H5439" i="9" s="1"/>
  <c r="F5440" i="9"/>
  <c r="H5440" i="9" s="1"/>
  <c r="F5441" i="9"/>
  <c r="H5441" i="9" s="1"/>
  <c r="F5442" i="9"/>
  <c r="H5442" i="9" s="1"/>
  <c r="F5443" i="9"/>
  <c r="H5443" i="9" s="1"/>
  <c r="F5444" i="9"/>
  <c r="H5444" i="9" s="1"/>
  <c r="F5445" i="9"/>
  <c r="H5445" i="9" s="1"/>
  <c r="F5446" i="9"/>
  <c r="H5446" i="9" s="1"/>
  <c r="F5447" i="9"/>
  <c r="H5447" i="9" s="1"/>
  <c r="F5448" i="9"/>
  <c r="H5448" i="9" s="1"/>
  <c r="F5449" i="9"/>
  <c r="H5449" i="9" s="1"/>
  <c r="F5450" i="9"/>
  <c r="H5450" i="9" s="1"/>
  <c r="F5451" i="9"/>
  <c r="H5451" i="9" s="1"/>
  <c r="F5452" i="9"/>
  <c r="H5452" i="9" s="1"/>
  <c r="F5453" i="9"/>
  <c r="H5453" i="9" s="1"/>
  <c r="F5454" i="9"/>
  <c r="H5454" i="9" s="1"/>
  <c r="F5455" i="9"/>
  <c r="H5455" i="9" s="1"/>
  <c r="F5456" i="9"/>
  <c r="H5456" i="9"/>
  <c r="F5457" i="9"/>
  <c r="H5457" i="9" s="1"/>
  <c r="F5458" i="9"/>
  <c r="H5458" i="9" s="1"/>
  <c r="F5459" i="9"/>
  <c r="H5459" i="9" s="1"/>
  <c r="F5460" i="9"/>
  <c r="H5460" i="9" s="1"/>
  <c r="F5461" i="9"/>
  <c r="H5461" i="9" s="1"/>
  <c r="F5462" i="9"/>
  <c r="H5462" i="9" s="1"/>
  <c r="F5463" i="9"/>
  <c r="H5463" i="9" s="1"/>
  <c r="F5464" i="9"/>
  <c r="H5464" i="9" s="1"/>
  <c r="F5465" i="9"/>
  <c r="H5465" i="9" s="1"/>
  <c r="F5466" i="9"/>
  <c r="H5466" i="9" s="1"/>
  <c r="F5467" i="9"/>
  <c r="H5467" i="9" s="1"/>
  <c r="F5468" i="9"/>
  <c r="H5468" i="9" s="1"/>
  <c r="F5469" i="9"/>
  <c r="H5469" i="9" s="1"/>
  <c r="F5470" i="9"/>
  <c r="H5470" i="9" s="1"/>
  <c r="F5471" i="9"/>
  <c r="H5471" i="9" s="1"/>
  <c r="F5472" i="9"/>
  <c r="H5472" i="9" s="1"/>
  <c r="F5473" i="9"/>
  <c r="H5473" i="9" s="1"/>
  <c r="F5474" i="9"/>
  <c r="H5474" i="9" s="1"/>
  <c r="F5475" i="9"/>
  <c r="H5475" i="9" s="1"/>
  <c r="F5476" i="9"/>
  <c r="H5476" i="9" s="1"/>
  <c r="F5477" i="9"/>
  <c r="H5477" i="9" s="1"/>
  <c r="F5478" i="9"/>
  <c r="H5478" i="9" s="1"/>
  <c r="F5479" i="9"/>
  <c r="H5479" i="9" s="1"/>
  <c r="F5480" i="9"/>
  <c r="H5480" i="9" s="1"/>
  <c r="F5481" i="9"/>
  <c r="H5481" i="9" s="1"/>
  <c r="F5482" i="9"/>
  <c r="H5482" i="9" s="1"/>
  <c r="F5483" i="9"/>
  <c r="H5483" i="9" s="1"/>
  <c r="F5484" i="9"/>
  <c r="H5484" i="9" s="1"/>
  <c r="F5485" i="9"/>
  <c r="H5485" i="9" s="1"/>
  <c r="F5486" i="9"/>
  <c r="H5486" i="9" s="1"/>
  <c r="F5487" i="9"/>
  <c r="H5487" i="9" s="1"/>
  <c r="F5488" i="9"/>
  <c r="H5488" i="9" s="1"/>
  <c r="F5489" i="9"/>
  <c r="H5489" i="9" s="1"/>
  <c r="F5490" i="9"/>
  <c r="H5490" i="9" s="1"/>
  <c r="F5491" i="9"/>
  <c r="H5491" i="9" s="1"/>
  <c r="F5492" i="9"/>
  <c r="H5492" i="9" s="1"/>
  <c r="F5493" i="9"/>
  <c r="H5493" i="9" s="1"/>
  <c r="F5494" i="9"/>
  <c r="H5494" i="9" s="1"/>
  <c r="F5495" i="9"/>
  <c r="H5495" i="9" s="1"/>
  <c r="F5496" i="9"/>
  <c r="H5496" i="9" s="1"/>
  <c r="F5497" i="9"/>
  <c r="H5497" i="9" s="1"/>
  <c r="F5498" i="9"/>
  <c r="H5498" i="9" s="1"/>
  <c r="F5499" i="9"/>
  <c r="H5499" i="9" s="1"/>
  <c r="F5500" i="9"/>
  <c r="H5500" i="9" s="1"/>
  <c r="F5501" i="9"/>
  <c r="H5501" i="9" s="1"/>
  <c r="F5502" i="9"/>
  <c r="H5502" i="9" s="1"/>
  <c r="F5503" i="9"/>
  <c r="H5503" i="9" s="1"/>
  <c r="F5504" i="9"/>
  <c r="H5504" i="9" s="1"/>
  <c r="F5505" i="9"/>
  <c r="H5505" i="9" s="1"/>
  <c r="F5506" i="9"/>
  <c r="H5506" i="9" s="1"/>
  <c r="F5507" i="9"/>
  <c r="H5507" i="9" s="1"/>
  <c r="F5508" i="9"/>
  <c r="H5508" i="9" s="1"/>
  <c r="F5509" i="9"/>
  <c r="H5509" i="9" s="1"/>
  <c r="F5510" i="9"/>
  <c r="H5510" i="9" s="1"/>
  <c r="F5511" i="9"/>
  <c r="H5511" i="9" s="1"/>
  <c r="F5512" i="9"/>
  <c r="H5512" i="9" s="1"/>
  <c r="F5513" i="9"/>
  <c r="H5513" i="9" s="1"/>
  <c r="F5514" i="9"/>
  <c r="H5514" i="9" s="1"/>
  <c r="F5515" i="9"/>
  <c r="H5515" i="9" s="1"/>
  <c r="F5516" i="9"/>
  <c r="H5516" i="9" s="1"/>
  <c r="F5517" i="9"/>
  <c r="H5517" i="9" s="1"/>
  <c r="F5518" i="9"/>
  <c r="H5518" i="9" s="1"/>
  <c r="F5519" i="9"/>
  <c r="H5519" i="9" s="1"/>
  <c r="F5520" i="9"/>
  <c r="H5520" i="9" s="1"/>
  <c r="F5521" i="9"/>
  <c r="H5521" i="9" s="1"/>
  <c r="F5522" i="9"/>
  <c r="H5522" i="9" s="1"/>
  <c r="F5523" i="9"/>
  <c r="H5523" i="9" s="1"/>
  <c r="F5524" i="9"/>
  <c r="H5524" i="9" s="1"/>
  <c r="F5525" i="9"/>
  <c r="H5525" i="9" s="1"/>
  <c r="F5526" i="9"/>
  <c r="H5526" i="9" s="1"/>
  <c r="F5527" i="9"/>
  <c r="H5527" i="9" s="1"/>
  <c r="F5528" i="9"/>
  <c r="H5528" i="9"/>
  <c r="F5529" i="9"/>
  <c r="H5529" i="9" s="1"/>
  <c r="F5530" i="9"/>
  <c r="H5530" i="9" s="1"/>
  <c r="F5531" i="9"/>
  <c r="H5531" i="9" s="1"/>
  <c r="F5532" i="9"/>
  <c r="H5532" i="9" s="1"/>
  <c r="F5533" i="9"/>
  <c r="H5533" i="9" s="1"/>
  <c r="F5534" i="9"/>
  <c r="H5534" i="9" s="1"/>
  <c r="F5535" i="9"/>
  <c r="H5535" i="9" s="1"/>
  <c r="F5536" i="9"/>
  <c r="H5536" i="9" s="1"/>
  <c r="F5537" i="9"/>
  <c r="H5537" i="9" s="1"/>
  <c r="F5538" i="9"/>
  <c r="H5538" i="9" s="1"/>
  <c r="F5539" i="9"/>
  <c r="H5539" i="9" s="1"/>
  <c r="F5540" i="9"/>
  <c r="H5540" i="9" s="1"/>
  <c r="F5541" i="9"/>
  <c r="H5541" i="9" s="1"/>
  <c r="F5542" i="9"/>
  <c r="H5542" i="9" s="1"/>
  <c r="F5543" i="9"/>
  <c r="H5543" i="9" s="1"/>
  <c r="F5544" i="9"/>
  <c r="H5544" i="9" s="1"/>
  <c r="F5545" i="9"/>
  <c r="H5545" i="9" s="1"/>
  <c r="F5546" i="9"/>
  <c r="H5546" i="9" s="1"/>
  <c r="F5547" i="9"/>
  <c r="H5547" i="9" s="1"/>
  <c r="F5548" i="9"/>
  <c r="H5548" i="9" s="1"/>
  <c r="F5549" i="9"/>
  <c r="H5549" i="9" s="1"/>
  <c r="F5550" i="9"/>
  <c r="H5550" i="9" s="1"/>
  <c r="F5551" i="9"/>
  <c r="H5551" i="9" s="1"/>
  <c r="F5552" i="9"/>
  <c r="H5552" i="9" s="1"/>
  <c r="F5553" i="9"/>
  <c r="H5553" i="9" s="1"/>
  <c r="F5554" i="9"/>
  <c r="H5554" i="9" s="1"/>
  <c r="F5555" i="9"/>
  <c r="H5555" i="9" s="1"/>
  <c r="F5556" i="9"/>
  <c r="H5556" i="9" s="1"/>
  <c r="F5557" i="9"/>
  <c r="H5557" i="9" s="1"/>
  <c r="F5558" i="9"/>
  <c r="H5558" i="9" s="1"/>
  <c r="F5559" i="9"/>
  <c r="H5559" i="9" s="1"/>
  <c r="F5560" i="9"/>
  <c r="H5560" i="9" s="1"/>
  <c r="F5561" i="9"/>
  <c r="H5561" i="9" s="1"/>
  <c r="F5562" i="9"/>
  <c r="H5562" i="9" s="1"/>
  <c r="F5563" i="9"/>
  <c r="H5563" i="9" s="1"/>
  <c r="F5564" i="9"/>
  <c r="H5564" i="9" s="1"/>
  <c r="F5565" i="9"/>
  <c r="H5565" i="9" s="1"/>
  <c r="F5566" i="9"/>
  <c r="H5566" i="9" s="1"/>
  <c r="F5567" i="9"/>
  <c r="H5567" i="9" s="1"/>
  <c r="F5568" i="9"/>
  <c r="H5568" i="9" s="1"/>
  <c r="F5569" i="9"/>
  <c r="H5569" i="9" s="1"/>
  <c r="F5570" i="9"/>
  <c r="H5570" i="9" s="1"/>
  <c r="F5571" i="9"/>
  <c r="H5571" i="9" s="1"/>
  <c r="F5572" i="9"/>
  <c r="H5572" i="9" s="1"/>
  <c r="F5573" i="9"/>
  <c r="H5573" i="9" s="1"/>
  <c r="F5574" i="9"/>
  <c r="H5574" i="9" s="1"/>
  <c r="F5575" i="9"/>
  <c r="H5575" i="9" s="1"/>
  <c r="F5576" i="9"/>
  <c r="H5576" i="9" s="1"/>
  <c r="F5577" i="9"/>
  <c r="H5577" i="9" s="1"/>
  <c r="F5578" i="9"/>
  <c r="H5578" i="9" s="1"/>
  <c r="F5579" i="9"/>
  <c r="H5579" i="9" s="1"/>
  <c r="F5580" i="9"/>
  <c r="H5580" i="9" s="1"/>
  <c r="F5581" i="9"/>
  <c r="H5581" i="9" s="1"/>
  <c r="F5582" i="9"/>
  <c r="H5582" i="9" s="1"/>
  <c r="F5583" i="9"/>
  <c r="H5583" i="9" s="1"/>
  <c r="F5584" i="9"/>
  <c r="H5584" i="9" s="1"/>
  <c r="F5585" i="9"/>
  <c r="H5585" i="9" s="1"/>
  <c r="F5586" i="9"/>
  <c r="H5586" i="9" s="1"/>
  <c r="F5587" i="9"/>
  <c r="H5587" i="9" s="1"/>
  <c r="F5588" i="9"/>
  <c r="H5588" i="9" s="1"/>
  <c r="F5589" i="9"/>
  <c r="H5589" i="9" s="1"/>
  <c r="F5590" i="9"/>
  <c r="H5590" i="9" s="1"/>
  <c r="F5591" i="9"/>
  <c r="H5591" i="9" s="1"/>
  <c r="F5592" i="9"/>
  <c r="H5592" i="9" s="1"/>
  <c r="F5593" i="9"/>
  <c r="H5593" i="9" s="1"/>
  <c r="F5594" i="9"/>
  <c r="H5594" i="9" s="1"/>
  <c r="F5595" i="9"/>
  <c r="H5595" i="9" s="1"/>
  <c r="F5596" i="9"/>
  <c r="H5596" i="9" s="1"/>
  <c r="F5597" i="9"/>
  <c r="H5597" i="9" s="1"/>
  <c r="F5598" i="9"/>
  <c r="H5598" i="9" s="1"/>
  <c r="F5599" i="9"/>
  <c r="H5599" i="9" s="1"/>
  <c r="F5600" i="9"/>
  <c r="H5600" i="9" s="1"/>
  <c r="F5601" i="9"/>
  <c r="H5601" i="9" s="1"/>
  <c r="F5602" i="9"/>
  <c r="H5602" i="9" s="1"/>
  <c r="F5603" i="9"/>
  <c r="H5603" i="9"/>
  <c r="F5604" i="9"/>
  <c r="H5604" i="9" s="1"/>
  <c r="F5605" i="9"/>
  <c r="H5605" i="9" s="1"/>
  <c r="F5606" i="9"/>
  <c r="H5606" i="9" s="1"/>
  <c r="F5607" i="9"/>
  <c r="H5607" i="9" s="1"/>
  <c r="F5608" i="9"/>
  <c r="H5608" i="9" s="1"/>
  <c r="F5609" i="9"/>
  <c r="H5609" i="9" s="1"/>
  <c r="F5610" i="9"/>
  <c r="H5610" i="9" s="1"/>
  <c r="F5611" i="9"/>
  <c r="H5611" i="9" s="1"/>
  <c r="F5612" i="9"/>
  <c r="H5612" i="9" s="1"/>
  <c r="F5613" i="9"/>
  <c r="H5613" i="9" s="1"/>
  <c r="F5614" i="9"/>
  <c r="H5614" i="9" s="1"/>
  <c r="F5615" i="9"/>
  <c r="H5615" i="9" s="1"/>
  <c r="F5616" i="9"/>
  <c r="H5616" i="9" s="1"/>
  <c r="F5617" i="9"/>
  <c r="H5617" i="9" s="1"/>
  <c r="F5618" i="9"/>
  <c r="H5618" i="9" s="1"/>
  <c r="F5619" i="9"/>
  <c r="H5619" i="9" s="1"/>
  <c r="F5620" i="9"/>
  <c r="H5620" i="9" s="1"/>
  <c r="F5621" i="9"/>
  <c r="H5621" i="9" s="1"/>
  <c r="F5622" i="9"/>
  <c r="H5622" i="9" s="1"/>
  <c r="F5623" i="9"/>
  <c r="H5623" i="9" s="1"/>
  <c r="F5624" i="9"/>
  <c r="H5624" i="9" s="1"/>
  <c r="F5625" i="9"/>
  <c r="H5625" i="9" s="1"/>
  <c r="F5626" i="9"/>
  <c r="H5626" i="9" s="1"/>
  <c r="F5627" i="9"/>
  <c r="H5627" i="9" s="1"/>
  <c r="F5628" i="9"/>
  <c r="H5628" i="9" s="1"/>
  <c r="F5629" i="9"/>
  <c r="H5629" i="9" s="1"/>
  <c r="F5630" i="9"/>
  <c r="H5630" i="9" s="1"/>
  <c r="F5631" i="9"/>
  <c r="H5631" i="9" s="1"/>
  <c r="F5632" i="9"/>
  <c r="H5632" i="9" s="1"/>
  <c r="F5633" i="9"/>
  <c r="H5633" i="9" s="1"/>
  <c r="F5634" i="9"/>
  <c r="H5634" i="9" s="1"/>
  <c r="F5635" i="9"/>
  <c r="H5635" i="9" s="1"/>
  <c r="F5636" i="9"/>
  <c r="H5636" i="9" s="1"/>
  <c r="F5637" i="9"/>
  <c r="H5637" i="9" s="1"/>
  <c r="F5638" i="9"/>
  <c r="H5638" i="9" s="1"/>
  <c r="F5639" i="9"/>
  <c r="H5639" i="9" s="1"/>
  <c r="F5640" i="9"/>
  <c r="H5640" i="9" s="1"/>
  <c r="F5641" i="9"/>
  <c r="H5641" i="9" s="1"/>
  <c r="F5642" i="9"/>
  <c r="H5642" i="9" s="1"/>
  <c r="F5643" i="9"/>
  <c r="H5643" i="9" s="1"/>
  <c r="F5644" i="9"/>
  <c r="H5644" i="9" s="1"/>
  <c r="F5645" i="9"/>
  <c r="H5645" i="9" s="1"/>
  <c r="F5646" i="9"/>
  <c r="H5646" i="9" s="1"/>
  <c r="F5647" i="9"/>
  <c r="H5647" i="9" s="1"/>
  <c r="F5648" i="9"/>
  <c r="H5648" i="9" s="1"/>
  <c r="F5649" i="9"/>
  <c r="H5649" i="9" s="1"/>
  <c r="F5650" i="9"/>
  <c r="H5650" i="9" s="1"/>
  <c r="F5651" i="9"/>
  <c r="H5651" i="9" s="1"/>
  <c r="F5652" i="9"/>
  <c r="H5652" i="9" s="1"/>
  <c r="F5653" i="9"/>
  <c r="H5653" i="9" s="1"/>
  <c r="F5654" i="9"/>
  <c r="H5654" i="9" s="1"/>
  <c r="F5655" i="9"/>
  <c r="H5655" i="9" s="1"/>
  <c r="F5656" i="9"/>
  <c r="H5656" i="9" s="1"/>
  <c r="F5657" i="9"/>
  <c r="H5657" i="9" s="1"/>
  <c r="F5658" i="9"/>
  <c r="H5658" i="9" s="1"/>
  <c r="F5659" i="9"/>
  <c r="H5659" i="9" s="1"/>
  <c r="F5660" i="9"/>
  <c r="H5660" i="9" s="1"/>
  <c r="F5661" i="9"/>
  <c r="H5661" i="9" s="1"/>
  <c r="F5662" i="9"/>
  <c r="H5662" i="9" s="1"/>
  <c r="F5663" i="9"/>
  <c r="H5663" i="9" s="1"/>
  <c r="F5664" i="9"/>
  <c r="H5664" i="9" s="1"/>
  <c r="F5665" i="9"/>
  <c r="H5665" i="9" s="1"/>
  <c r="F5666" i="9"/>
  <c r="H5666" i="9" s="1"/>
  <c r="F5667" i="9"/>
  <c r="H5667" i="9" s="1"/>
  <c r="F5668" i="9"/>
  <c r="H5668" i="9" s="1"/>
  <c r="F5669" i="9"/>
  <c r="H5669" i="9" s="1"/>
  <c r="F5670" i="9"/>
  <c r="H5670" i="9" s="1"/>
  <c r="F5671" i="9"/>
  <c r="H5671" i="9" s="1"/>
  <c r="F5672" i="9"/>
  <c r="H5672" i="9" s="1"/>
  <c r="F5673" i="9"/>
  <c r="H5673" i="9" s="1"/>
  <c r="F5674" i="9"/>
  <c r="H5674" i="9" s="1"/>
  <c r="F5675" i="9"/>
  <c r="H5675" i="9" s="1"/>
  <c r="F5676" i="9"/>
  <c r="H5676" i="9" s="1"/>
  <c r="F5677" i="9"/>
  <c r="H5677" i="9" s="1"/>
  <c r="F5678" i="9"/>
  <c r="H5678" i="9" s="1"/>
  <c r="F5679" i="9"/>
  <c r="H5679" i="9" s="1"/>
  <c r="F5680" i="9"/>
  <c r="H5680" i="9" s="1"/>
  <c r="F5681" i="9"/>
  <c r="H5681" i="9" s="1"/>
  <c r="F5682" i="9"/>
  <c r="H5682" i="9" s="1"/>
  <c r="F5683" i="9"/>
  <c r="H5683" i="9" s="1"/>
  <c r="F5684" i="9"/>
  <c r="H5684" i="9" s="1"/>
  <c r="F5685" i="9"/>
  <c r="H5685" i="9" s="1"/>
  <c r="F5686" i="9"/>
  <c r="H5686" i="9" s="1"/>
  <c r="F5687" i="9"/>
  <c r="H5687" i="9" s="1"/>
  <c r="F5688" i="9"/>
  <c r="H5688" i="9" s="1"/>
  <c r="F5689" i="9"/>
  <c r="H5689" i="9" s="1"/>
  <c r="F5690" i="9"/>
  <c r="H5690" i="9" s="1"/>
  <c r="F5691" i="9"/>
  <c r="H5691" i="9" s="1"/>
  <c r="F5692" i="9"/>
  <c r="H5692" i="9" s="1"/>
  <c r="F5693" i="9"/>
  <c r="H5693" i="9" s="1"/>
  <c r="F5694" i="9"/>
  <c r="H5694" i="9" s="1"/>
  <c r="F5695" i="9"/>
  <c r="H5695" i="9" s="1"/>
  <c r="F5696" i="9"/>
  <c r="H5696" i="9" s="1"/>
  <c r="F5697" i="9"/>
  <c r="H5697" i="9" s="1"/>
  <c r="F5698" i="9"/>
  <c r="H5698" i="9" s="1"/>
  <c r="F5699" i="9"/>
  <c r="H5699" i="9" s="1"/>
  <c r="F5700" i="9"/>
  <c r="H5700" i="9" s="1"/>
  <c r="F5701" i="9"/>
  <c r="H5701" i="9" s="1"/>
  <c r="F5702" i="9"/>
  <c r="H5702" i="9" s="1"/>
  <c r="F5703" i="9"/>
  <c r="H5703" i="9" s="1"/>
  <c r="F5704" i="9"/>
  <c r="H5704" i="9" s="1"/>
  <c r="F5705" i="9"/>
  <c r="H5705" i="9" s="1"/>
  <c r="F5706" i="9"/>
  <c r="H5706" i="9" s="1"/>
  <c r="F5707" i="9"/>
  <c r="H5707" i="9" s="1"/>
  <c r="F5708" i="9"/>
  <c r="H5708" i="9" s="1"/>
  <c r="F5709" i="9"/>
  <c r="H5709" i="9" s="1"/>
  <c r="F5710" i="9"/>
  <c r="H5710" i="9" s="1"/>
  <c r="F5711" i="9"/>
  <c r="H5711" i="9" s="1"/>
  <c r="F5712" i="9"/>
  <c r="H5712" i="9" s="1"/>
  <c r="F5713" i="9"/>
  <c r="H5713" i="9" s="1"/>
  <c r="F5714" i="9"/>
  <c r="H5714" i="9" s="1"/>
  <c r="F5715" i="9"/>
  <c r="H5715" i="9" s="1"/>
  <c r="F5716" i="9"/>
  <c r="H5716" i="9" s="1"/>
  <c r="F5717" i="9"/>
  <c r="H5717" i="9" s="1"/>
  <c r="F5718" i="9"/>
  <c r="H5718" i="9" s="1"/>
  <c r="F5719" i="9"/>
  <c r="H5719" i="9" s="1"/>
  <c r="F5720" i="9"/>
  <c r="H5720" i="9" s="1"/>
  <c r="F5721" i="9"/>
  <c r="H5721" i="9" s="1"/>
  <c r="F5722" i="9"/>
  <c r="H5722" i="9" s="1"/>
  <c r="F5723" i="9"/>
  <c r="H5723" i="9" s="1"/>
  <c r="F5724" i="9"/>
  <c r="H5724" i="9" s="1"/>
  <c r="F5725" i="9"/>
  <c r="H5725" i="9" s="1"/>
  <c r="F5726" i="9"/>
  <c r="H5726" i="9" s="1"/>
  <c r="F5727" i="9"/>
  <c r="H5727" i="9" s="1"/>
  <c r="F5728" i="9"/>
  <c r="H5728" i="9" s="1"/>
  <c r="F5729" i="9"/>
  <c r="H5729" i="9" s="1"/>
  <c r="F5730" i="9"/>
  <c r="H5730" i="9" s="1"/>
  <c r="F5731" i="9"/>
  <c r="H5731" i="9" s="1"/>
  <c r="F5732" i="9"/>
  <c r="H5732" i="9" s="1"/>
  <c r="F5733" i="9"/>
  <c r="H5733" i="9" s="1"/>
  <c r="F5734" i="9"/>
  <c r="H5734" i="9" s="1"/>
  <c r="F5735" i="9"/>
  <c r="H5735" i="9" s="1"/>
  <c r="F5736" i="9"/>
  <c r="H5736" i="9" s="1"/>
  <c r="F5737" i="9"/>
  <c r="H5737" i="9" s="1"/>
  <c r="F5738" i="9"/>
  <c r="H5738" i="9" s="1"/>
  <c r="F5739" i="9"/>
  <c r="H5739" i="9" s="1"/>
  <c r="F5740" i="9"/>
  <c r="H5740" i="9" s="1"/>
  <c r="F5741" i="9"/>
  <c r="H5741" i="9" s="1"/>
  <c r="F5742" i="9"/>
  <c r="H5742" i="9" s="1"/>
  <c r="F5743" i="9"/>
  <c r="H5743" i="9" s="1"/>
  <c r="F5744" i="9"/>
  <c r="H5744" i="9" s="1"/>
  <c r="F5745" i="9"/>
  <c r="H5745" i="9" s="1"/>
  <c r="F5746" i="9"/>
  <c r="H5746" i="9" s="1"/>
  <c r="F5747" i="9"/>
  <c r="H5747" i="9" s="1"/>
  <c r="F5748" i="9"/>
  <c r="H5748" i="9" s="1"/>
  <c r="F5749" i="9"/>
  <c r="H5749" i="9" s="1"/>
  <c r="F5750" i="9"/>
  <c r="H5750" i="9" s="1"/>
  <c r="F5751" i="9"/>
  <c r="H5751" i="9" s="1"/>
  <c r="F5752" i="9"/>
  <c r="H5752" i="9" s="1"/>
  <c r="F5753" i="9"/>
  <c r="H5753" i="9" s="1"/>
  <c r="F5754" i="9"/>
  <c r="H5754" i="9" s="1"/>
  <c r="F5755" i="9"/>
  <c r="H5755" i="9" s="1"/>
  <c r="F5756" i="9"/>
  <c r="H5756" i="9" s="1"/>
  <c r="F5757" i="9"/>
  <c r="H5757" i="9" s="1"/>
  <c r="F5758" i="9"/>
  <c r="H5758" i="9" s="1"/>
  <c r="F5759" i="9"/>
  <c r="H5759" i="9"/>
  <c r="F5760" i="9"/>
  <c r="H5760" i="9" s="1"/>
  <c r="F5761" i="9"/>
  <c r="H5761" i="9" s="1"/>
  <c r="F5762" i="9"/>
  <c r="H5762" i="9" s="1"/>
  <c r="F5763" i="9"/>
  <c r="H5763" i="9" s="1"/>
  <c r="F5764" i="9"/>
  <c r="H5764" i="9" s="1"/>
  <c r="F5765" i="9"/>
  <c r="H5765" i="9" s="1"/>
  <c r="F5766" i="9"/>
  <c r="H5766" i="9" s="1"/>
  <c r="F5767" i="9"/>
  <c r="H5767" i="9" s="1"/>
  <c r="F5768" i="9"/>
  <c r="H5768" i="9" s="1"/>
  <c r="F5769" i="9"/>
  <c r="H5769" i="9" s="1"/>
  <c r="F5770" i="9"/>
  <c r="H5770" i="9" s="1"/>
  <c r="F5771" i="9"/>
  <c r="H5771" i="9" s="1"/>
  <c r="F5772" i="9"/>
  <c r="H5772" i="9" s="1"/>
  <c r="F5773" i="9"/>
  <c r="H5773" i="9" s="1"/>
  <c r="F5774" i="9"/>
  <c r="H5774" i="9" s="1"/>
  <c r="F5775" i="9"/>
  <c r="H5775" i="9" s="1"/>
  <c r="F5776" i="9"/>
  <c r="H5776" i="9" s="1"/>
  <c r="F5777" i="9"/>
  <c r="H5777" i="9" s="1"/>
  <c r="F5778" i="9"/>
  <c r="H5778" i="9" s="1"/>
  <c r="F5779" i="9"/>
  <c r="H5779" i="9" s="1"/>
  <c r="F5780" i="9"/>
  <c r="H5780" i="9" s="1"/>
  <c r="F5781" i="9"/>
  <c r="H5781" i="9" s="1"/>
  <c r="F5782" i="9"/>
  <c r="H5782" i="9" s="1"/>
  <c r="F5783" i="9"/>
  <c r="H5783" i="9" s="1"/>
  <c r="F5784" i="9"/>
  <c r="H5784" i="9" s="1"/>
  <c r="F5785" i="9"/>
  <c r="H5785" i="9" s="1"/>
  <c r="F5786" i="9"/>
  <c r="H5786" i="9" s="1"/>
  <c r="F5787" i="9"/>
  <c r="H5787" i="9" s="1"/>
  <c r="F5788" i="9"/>
  <c r="H5788" i="9" s="1"/>
  <c r="F5789" i="9"/>
  <c r="H5789" i="9" s="1"/>
  <c r="F5790" i="9"/>
  <c r="H5790" i="9" s="1"/>
  <c r="F5791" i="9"/>
  <c r="H5791" i="9" s="1"/>
  <c r="F5792" i="9"/>
  <c r="H5792" i="9" s="1"/>
  <c r="F5793" i="9"/>
  <c r="H5793" i="9" s="1"/>
  <c r="F5794" i="9"/>
  <c r="H5794" i="9" s="1"/>
  <c r="F5795" i="9"/>
  <c r="H5795" i="9" s="1"/>
  <c r="F5796" i="9"/>
  <c r="H5796" i="9" s="1"/>
  <c r="F5797" i="9"/>
  <c r="H5797" i="9" s="1"/>
  <c r="F5798" i="9"/>
  <c r="H5798" i="9" s="1"/>
  <c r="F5799" i="9"/>
  <c r="H5799" i="9" s="1"/>
  <c r="F5800" i="9"/>
  <c r="H5800" i="9" s="1"/>
  <c r="F5801" i="9"/>
  <c r="H5801" i="9" s="1"/>
  <c r="F5802" i="9"/>
  <c r="H5802" i="9" s="1"/>
  <c r="F5803" i="9"/>
  <c r="H5803" i="9" s="1"/>
  <c r="F5804" i="9"/>
  <c r="H5804" i="9" s="1"/>
  <c r="F5805" i="9"/>
  <c r="H5805" i="9" s="1"/>
  <c r="F5806" i="9"/>
  <c r="H5806" i="9" s="1"/>
  <c r="F5807" i="9"/>
  <c r="H5807" i="9" s="1"/>
  <c r="F5808" i="9"/>
  <c r="H5808" i="9" s="1"/>
  <c r="F5809" i="9"/>
  <c r="H5809" i="9" s="1"/>
  <c r="F5810" i="9"/>
  <c r="H5810" i="9" s="1"/>
  <c r="F5811" i="9"/>
  <c r="H5811" i="9" s="1"/>
  <c r="F5812" i="9"/>
  <c r="H5812" i="9" s="1"/>
  <c r="F5813" i="9"/>
  <c r="H5813" i="9" s="1"/>
  <c r="F5814" i="9"/>
  <c r="H5814" i="9" s="1"/>
  <c r="F5815" i="9"/>
  <c r="H5815" i="9" s="1"/>
  <c r="F5816" i="9"/>
  <c r="H5816" i="9" s="1"/>
  <c r="F5817" i="9"/>
  <c r="H5817" i="9" s="1"/>
  <c r="F5818" i="9"/>
  <c r="H5818" i="9" s="1"/>
  <c r="F5819" i="9"/>
  <c r="H5819" i="9" s="1"/>
  <c r="F5820" i="9"/>
  <c r="H5820" i="9" s="1"/>
  <c r="F5821" i="9"/>
  <c r="H5821" i="9" s="1"/>
  <c r="F5822" i="9"/>
  <c r="H5822" i="9" s="1"/>
  <c r="F5823" i="9"/>
  <c r="H5823" i="9" s="1"/>
  <c r="F5824" i="9"/>
  <c r="H5824" i="9" s="1"/>
  <c r="F5825" i="9"/>
  <c r="H5825" i="9" s="1"/>
  <c r="F5826" i="9"/>
  <c r="H5826" i="9" s="1"/>
  <c r="F5827" i="9"/>
  <c r="H5827" i="9" s="1"/>
  <c r="F5828" i="9"/>
  <c r="H5828" i="9" s="1"/>
  <c r="F5829" i="9"/>
  <c r="H5829" i="9" s="1"/>
  <c r="F5830" i="9"/>
  <c r="H5830" i="9" s="1"/>
  <c r="F5831" i="9"/>
  <c r="H5831" i="9" s="1"/>
  <c r="F5832" i="9"/>
  <c r="H5832" i="9" s="1"/>
  <c r="F5833" i="9"/>
  <c r="H5833" i="9" s="1"/>
  <c r="F5834" i="9"/>
  <c r="H5834" i="9" s="1"/>
  <c r="F5835" i="9"/>
  <c r="H5835" i="9" s="1"/>
  <c r="F5836" i="9"/>
  <c r="H5836" i="9" s="1"/>
  <c r="F5837" i="9"/>
  <c r="H5837" i="9" s="1"/>
  <c r="F5838" i="9"/>
  <c r="H5838" i="9" s="1"/>
  <c r="F5839" i="9"/>
  <c r="H5839" i="9" s="1"/>
  <c r="F5840" i="9"/>
  <c r="H5840" i="9" s="1"/>
  <c r="F5841" i="9"/>
  <c r="H5841" i="9" s="1"/>
  <c r="F5842" i="9"/>
  <c r="H5842" i="9" s="1"/>
  <c r="F5843" i="9"/>
  <c r="H5843" i="9" s="1"/>
  <c r="F5844" i="9"/>
  <c r="H5844" i="9" s="1"/>
  <c r="F5845" i="9"/>
  <c r="H5845" i="9" s="1"/>
  <c r="F5846" i="9"/>
  <c r="H5846" i="9" s="1"/>
  <c r="F5847" i="9"/>
  <c r="H5847" i="9" s="1"/>
  <c r="F5848" i="9"/>
  <c r="H5848" i="9" s="1"/>
  <c r="F5849" i="9"/>
  <c r="H5849" i="9" s="1"/>
  <c r="F5850" i="9"/>
  <c r="H5850" i="9" s="1"/>
  <c r="F5851" i="9"/>
  <c r="H5851" i="9" s="1"/>
  <c r="F5852" i="9"/>
  <c r="H5852" i="9" s="1"/>
  <c r="F5853" i="9"/>
  <c r="H5853" i="9" s="1"/>
  <c r="F5854" i="9"/>
  <c r="H5854" i="9" s="1"/>
  <c r="F5855" i="9"/>
  <c r="H5855" i="9" s="1"/>
  <c r="F5856" i="9"/>
  <c r="H5856" i="9" s="1"/>
  <c r="F5857" i="9"/>
  <c r="H5857" i="9" s="1"/>
  <c r="F5858" i="9"/>
  <c r="H5858" i="9" s="1"/>
  <c r="F5859" i="9"/>
  <c r="H5859" i="9" s="1"/>
  <c r="F5860" i="9"/>
  <c r="H5860" i="9"/>
  <c r="F5861" i="9"/>
  <c r="H5861" i="9" s="1"/>
  <c r="F5862" i="9"/>
  <c r="H5862" i="9" s="1"/>
  <c r="F5863" i="9"/>
  <c r="H5863" i="9" s="1"/>
  <c r="F5864" i="9"/>
  <c r="H5864" i="9" s="1"/>
  <c r="F5865" i="9"/>
  <c r="H5865" i="9" s="1"/>
  <c r="F5866" i="9"/>
  <c r="H5866" i="9" s="1"/>
  <c r="F5867" i="9"/>
  <c r="H5867" i="9" s="1"/>
  <c r="F5868" i="9"/>
  <c r="H5868" i="9" s="1"/>
  <c r="F5869" i="9"/>
  <c r="H5869" i="9" s="1"/>
  <c r="F5870" i="9"/>
  <c r="H5870" i="9" s="1"/>
  <c r="F5871" i="9"/>
  <c r="H5871" i="9" s="1"/>
  <c r="F5872" i="9"/>
  <c r="H5872" i="9" s="1"/>
  <c r="F5873" i="9"/>
  <c r="H5873" i="9" s="1"/>
  <c r="F5874" i="9"/>
  <c r="H5874" i="9" s="1"/>
  <c r="F5875" i="9"/>
  <c r="H5875" i="9" s="1"/>
  <c r="F5876" i="9"/>
  <c r="H5876" i="9" s="1"/>
  <c r="F5877" i="9"/>
  <c r="H5877" i="9" s="1"/>
  <c r="F5878" i="9"/>
  <c r="H5878" i="9" s="1"/>
  <c r="F5879" i="9"/>
  <c r="H5879" i="9" s="1"/>
  <c r="F5880" i="9"/>
  <c r="H5880" i="9" s="1"/>
  <c r="F5881" i="9"/>
  <c r="H5881" i="9" s="1"/>
  <c r="F5882" i="9"/>
  <c r="H5882" i="9" s="1"/>
  <c r="F5883" i="9"/>
  <c r="H5883" i="9" s="1"/>
  <c r="F5884" i="9"/>
  <c r="H5884" i="9" s="1"/>
  <c r="F5885" i="9"/>
  <c r="H5885" i="9" s="1"/>
  <c r="F5886" i="9"/>
  <c r="H5886" i="9" s="1"/>
  <c r="F5887" i="9"/>
  <c r="H5887" i="9" s="1"/>
  <c r="F5888" i="9"/>
  <c r="H5888" i="9" s="1"/>
  <c r="F5889" i="9"/>
  <c r="H5889" i="9" s="1"/>
  <c r="F5890" i="9"/>
  <c r="H5890" i="9" s="1"/>
  <c r="F5891" i="9"/>
  <c r="H5891" i="9" s="1"/>
  <c r="F5892" i="9"/>
  <c r="H5892" i="9" s="1"/>
  <c r="F5893" i="9"/>
  <c r="H5893" i="9" s="1"/>
  <c r="F5894" i="9"/>
  <c r="H5894" i="9" s="1"/>
  <c r="F5895" i="9"/>
  <c r="H5895" i="9" s="1"/>
  <c r="F5896" i="9"/>
  <c r="H5896" i="9" s="1"/>
  <c r="F5897" i="9"/>
  <c r="H5897" i="9" s="1"/>
  <c r="F5898" i="9"/>
  <c r="H5898" i="9" s="1"/>
  <c r="F5899" i="9"/>
  <c r="H5899" i="9" s="1"/>
  <c r="F5900" i="9"/>
  <c r="H5900" i="9" s="1"/>
  <c r="F5901" i="9"/>
  <c r="H5901" i="9" s="1"/>
  <c r="F5902" i="9"/>
  <c r="H5902" i="9" s="1"/>
  <c r="F5903" i="9"/>
  <c r="H5903" i="9" s="1"/>
  <c r="F5904" i="9"/>
  <c r="H5904" i="9" s="1"/>
  <c r="F5905" i="9"/>
  <c r="H5905" i="9" s="1"/>
  <c r="F5906" i="9"/>
  <c r="H5906" i="9" s="1"/>
  <c r="F5907" i="9"/>
  <c r="H5907" i="9" s="1"/>
  <c r="F5908" i="9"/>
  <c r="H5908" i="9" s="1"/>
  <c r="F5909" i="9"/>
  <c r="H5909" i="9" s="1"/>
  <c r="F5910" i="9"/>
  <c r="H5910" i="9" s="1"/>
  <c r="F5911" i="9"/>
  <c r="H5911" i="9" s="1"/>
  <c r="F5912" i="9"/>
  <c r="H5912" i="9" s="1"/>
  <c r="F5913" i="9"/>
  <c r="H5913" i="9" s="1"/>
  <c r="F5914" i="9"/>
  <c r="H5914" i="9" s="1"/>
  <c r="F5915" i="9"/>
  <c r="H5915" i="9" s="1"/>
  <c r="F5916" i="9"/>
  <c r="H5916" i="9" s="1"/>
  <c r="F5917" i="9"/>
  <c r="H5917" i="9" s="1"/>
  <c r="F5918" i="9"/>
  <c r="H5918" i="9" s="1"/>
  <c r="F5919" i="9"/>
  <c r="H5919" i="9" s="1"/>
  <c r="F5920" i="9"/>
  <c r="H5920" i="9" s="1"/>
  <c r="F5921" i="9"/>
  <c r="H5921" i="9" s="1"/>
  <c r="F5922" i="9"/>
  <c r="H5922" i="9" s="1"/>
  <c r="F5923" i="9"/>
  <c r="H5923" i="9" s="1"/>
  <c r="F5924" i="9"/>
  <c r="H5924" i="9"/>
  <c r="F5925" i="9"/>
  <c r="H5925" i="9" s="1"/>
  <c r="F5926" i="9"/>
  <c r="H5926" i="9" s="1"/>
  <c r="F5927" i="9"/>
  <c r="H5927" i="9" s="1"/>
  <c r="F5928" i="9"/>
  <c r="H5928" i="9" s="1"/>
  <c r="F5929" i="9"/>
  <c r="H5929" i="9" s="1"/>
  <c r="F5930" i="9"/>
  <c r="H5930" i="9" s="1"/>
  <c r="F5931" i="9"/>
  <c r="H5931" i="9" s="1"/>
  <c r="F5932" i="9"/>
  <c r="H5932" i="9" s="1"/>
  <c r="F5933" i="9"/>
  <c r="H5933" i="9" s="1"/>
  <c r="F5934" i="9"/>
  <c r="H5934" i="9" s="1"/>
  <c r="F5935" i="9"/>
  <c r="H5935" i="9" s="1"/>
  <c r="F5936" i="9"/>
  <c r="H5936" i="9" s="1"/>
  <c r="F5937" i="9"/>
  <c r="H5937" i="9" s="1"/>
  <c r="F5938" i="9"/>
  <c r="H5938" i="9" s="1"/>
  <c r="F5939" i="9"/>
  <c r="H5939" i="9" s="1"/>
  <c r="F5940" i="9"/>
  <c r="H5940" i="9" s="1"/>
  <c r="F5941" i="9"/>
  <c r="H5941" i="9" s="1"/>
  <c r="F5942" i="9"/>
  <c r="H5942" i="9" s="1"/>
  <c r="F5943" i="9"/>
  <c r="H5943" i="9" s="1"/>
  <c r="F5944" i="9"/>
  <c r="H5944" i="9" s="1"/>
  <c r="F5945" i="9"/>
  <c r="H5945" i="9" s="1"/>
  <c r="F5946" i="9"/>
  <c r="H5946" i="9" s="1"/>
  <c r="F5947" i="9"/>
  <c r="H5947" i="9" s="1"/>
  <c r="F5948" i="9"/>
  <c r="H5948" i="9" s="1"/>
  <c r="F5949" i="9"/>
  <c r="H5949" i="9" s="1"/>
  <c r="F5950" i="9"/>
  <c r="H5950" i="9" s="1"/>
  <c r="F5951" i="9"/>
  <c r="H5951" i="9" s="1"/>
  <c r="F5952" i="9"/>
  <c r="H5952" i="9" s="1"/>
  <c r="F5953" i="9"/>
  <c r="H5953" i="9" s="1"/>
  <c r="F5954" i="9"/>
  <c r="H5954" i="9" s="1"/>
  <c r="F5955" i="9"/>
  <c r="H5955" i="9" s="1"/>
  <c r="F5956" i="9"/>
  <c r="H5956" i="9" s="1"/>
  <c r="F5957" i="9"/>
  <c r="H5957" i="9"/>
  <c r="F5958" i="9"/>
  <c r="H5958" i="9" s="1"/>
  <c r="F5959" i="9"/>
  <c r="H5959" i="9" s="1"/>
  <c r="F5960" i="9"/>
  <c r="H5960" i="9" s="1"/>
  <c r="F5961" i="9"/>
  <c r="H5961" i="9" s="1"/>
  <c r="F5962" i="9"/>
  <c r="H5962" i="9" s="1"/>
  <c r="F5963" i="9"/>
  <c r="H5963" i="9" s="1"/>
  <c r="F5964" i="9"/>
  <c r="H5964" i="9" s="1"/>
  <c r="F5965" i="9"/>
  <c r="H5965" i="9" s="1"/>
  <c r="F5966" i="9"/>
  <c r="H5966" i="9" s="1"/>
  <c r="F5967" i="9"/>
  <c r="H5967" i="9" s="1"/>
  <c r="F5968" i="9"/>
  <c r="H5968" i="9" s="1"/>
  <c r="F5969" i="9"/>
  <c r="H5969" i="9" s="1"/>
  <c r="F5970" i="9"/>
  <c r="H5970" i="9" s="1"/>
  <c r="F5971" i="9"/>
  <c r="H5971" i="9" s="1"/>
  <c r="F5972" i="9"/>
  <c r="H5972" i="9" s="1"/>
  <c r="F5973" i="9"/>
  <c r="H5973" i="9" s="1"/>
  <c r="F5974" i="9"/>
  <c r="H5974" i="9" s="1"/>
  <c r="F5975" i="9"/>
  <c r="H5975" i="9" s="1"/>
  <c r="F5976" i="9"/>
  <c r="H5976" i="9" s="1"/>
  <c r="F5977" i="9"/>
  <c r="H5977" i="9"/>
  <c r="F5978" i="9"/>
  <c r="H5978" i="9" s="1"/>
  <c r="F5979" i="9"/>
  <c r="H5979" i="9" s="1"/>
  <c r="F5980" i="9"/>
  <c r="H5980" i="9" s="1"/>
  <c r="F5981" i="9"/>
  <c r="H5981" i="9" s="1"/>
  <c r="F5982" i="9"/>
  <c r="H5982" i="9" s="1"/>
  <c r="F5983" i="9"/>
  <c r="H5983" i="9" s="1"/>
  <c r="F5984" i="9"/>
  <c r="H5984" i="9" s="1"/>
  <c r="F5985" i="9"/>
  <c r="H5985" i="9" s="1"/>
  <c r="F5986" i="9"/>
  <c r="H5986" i="9" s="1"/>
  <c r="F5987" i="9"/>
  <c r="H5987" i="9" s="1"/>
  <c r="F5988" i="9"/>
  <c r="H5988" i="9" s="1"/>
  <c r="F5989" i="9"/>
  <c r="H5989" i="9" s="1"/>
  <c r="F5990" i="9"/>
  <c r="H5990" i="9" s="1"/>
  <c r="F5991" i="9"/>
  <c r="H5991" i="9" s="1"/>
  <c r="F5992" i="9"/>
  <c r="H5992" i="9" s="1"/>
  <c r="F5993" i="9"/>
  <c r="H5993" i="9" s="1"/>
  <c r="F5994" i="9"/>
  <c r="H5994" i="9" s="1"/>
  <c r="F5995" i="9"/>
  <c r="H5995" i="9" s="1"/>
  <c r="F5996" i="9"/>
  <c r="H5996" i="9" s="1"/>
  <c r="F5997" i="9"/>
  <c r="H5997" i="9" s="1"/>
  <c r="F5998" i="9"/>
  <c r="H5998" i="9" s="1"/>
  <c r="F5999" i="9"/>
  <c r="H5999" i="9" s="1"/>
  <c r="F6000" i="9"/>
  <c r="H6000" i="9" s="1"/>
  <c r="F6001" i="9"/>
  <c r="H6001" i="9" s="1"/>
  <c r="F6002" i="9"/>
  <c r="H6002" i="9" s="1"/>
  <c r="F6003" i="9"/>
  <c r="H6003" i="9" s="1"/>
  <c r="F6004" i="9"/>
  <c r="H6004" i="9" s="1"/>
  <c r="F6005" i="9"/>
  <c r="H6005" i="9" s="1"/>
  <c r="F6006" i="9"/>
  <c r="H6006" i="9" s="1"/>
  <c r="F6007" i="9"/>
  <c r="H6007" i="9" s="1"/>
  <c r="F6008" i="9"/>
  <c r="H6008" i="9" s="1"/>
  <c r="F6009" i="9"/>
  <c r="H6009" i="9" s="1"/>
  <c r="F6010" i="9"/>
  <c r="H6010" i="9" s="1"/>
  <c r="F6011" i="9"/>
  <c r="H6011" i="9" s="1"/>
  <c r="F6012" i="9"/>
  <c r="H6012" i="9" s="1"/>
  <c r="F6013" i="9"/>
  <c r="H6013" i="9" s="1"/>
  <c r="F6014" i="9"/>
  <c r="H6014" i="9" s="1"/>
  <c r="F6015" i="9"/>
  <c r="H6015" i="9" s="1"/>
  <c r="F6016" i="9"/>
  <c r="H6016" i="9" s="1"/>
  <c r="F6017" i="9"/>
  <c r="H6017" i="9" s="1"/>
  <c r="F6018" i="9"/>
  <c r="H6018" i="9" s="1"/>
  <c r="F6019" i="9"/>
  <c r="H6019" i="9" s="1"/>
  <c r="F6020" i="9"/>
  <c r="H6020" i="9" s="1"/>
  <c r="F6021" i="9"/>
  <c r="H6021" i="9" s="1"/>
  <c r="F6022" i="9"/>
  <c r="H6022" i="9" s="1"/>
  <c r="F6023" i="9"/>
  <c r="H6023" i="9" s="1"/>
  <c r="F6024" i="9"/>
  <c r="H6024" i="9" s="1"/>
  <c r="F6025" i="9"/>
  <c r="H6025" i="9" s="1"/>
  <c r="F6026" i="9"/>
  <c r="H6026" i="9" s="1"/>
  <c r="F6027" i="9"/>
  <c r="H6027" i="9" s="1"/>
  <c r="F6028" i="9"/>
  <c r="H6028" i="9" s="1"/>
  <c r="F6029" i="9"/>
  <c r="H6029" i="9" s="1"/>
  <c r="F6030" i="9"/>
  <c r="H6030" i="9" s="1"/>
  <c r="F6031" i="9"/>
  <c r="H6031" i="9" s="1"/>
  <c r="F6032" i="9"/>
  <c r="H6032" i="9" s="1"/>
  <c r="F6033" i="9"/>
  <c r="H6033" i="9" s="1"/>
  <c r="F6034" i="9"/>
  <c r="H6034" i="9" s="1"/>
  <c r="F6035" i="9"/>
  <c r="H6035" i="9" s="1"/>
  <c r="F6036" i="9"/>
  <c r="H6036" i="9" s="1"/>
  <c r="F6037" i="9"/>
  <c r="H6037" i="9" s="1"/>
  <c r="F6038" i="9"/>
  <c r="H6038" i="9" s="1"/>
  <c r="F6039" i="9"/>
  <c r="H6039" i="9" s="1"/>
  <c r="F6040" i="9"/>
  <c r="H6040" i="9" s="1"/>
  <c r="F6041" i="9"/>
  <c r="H6041" i="9" s="1"/>
  <c r="F6042" i="9"/>
  <c r="H6042" i="9" s="1"/>
  <c r="F6043" i="9"/>
  <c r="H6043" i="9" s="1"/>
  <c r="F6044" i="9"/>
  <c r="H6044" i="9" s="1"/>
  <c r="F6045" i="9"/>
  <c r="H6045" i="9" s="1"/>
  <c r="F6046" i="9"/>
  <c r="H6046" i="9" s="1"/>
  <c r="F6047" i="9"/>
  <c r="H6047" i="9" s="1"/>
  <c r="F6048" i="9"/>
  <c r="H6048" i="9" s="1"/>
  <c r="F6049" i="9"/>
  <c r="H6049" i="9" s="1"/>
  <c r="F6050" i="9"/>
  <c r="H6050" i="9"/>
  <c r="F6051" i="9"/>
  <c r="H6051" i="9" s="1"/>
  <c r="F6052" i="9"/>
  <c r="H6052" i="9" s="1"/>
  <c r="F6053" i="9"/>
  <c r="H6053" i="9"/>
  <c r="F6054" i="9"/>
  <c r="H6054" i="9" s="1"/>
  <c r="F6055" i="9"/>
  <c r="H6055" i="9" s="1"/>
  <c r="F6056" i="9"/>
  <c r="H6056" i="9" s="1"/>
  <c r="F6057" i="9"/>
  <c r="H6057" i="9" s="1"/>
  <c r="F6058" i="9"/>
  <c r="H6058" i="9" s="1"/>
  <c r="F6059" i="9"/>
  <c r="H6059" i="9" s="1"/>
  <c r="F6060" i="9"/>
  <c r="H6060" i="9"/>
  <c r="F6061" i="9"/>
  <c r="H6061" i="9" s="1"/>
  <c r="F6062" i="9"/>
  <c r="H6062" i="9" s="1"/>
  <c r="F6063" i="9"/>
  <c r="H6063" i="9" s="1"/>
  <c r="F6064" i="9"/>
  <c r="H6064" i="9" s="1"/>
  <c r="F6065" i="9"/>
  <c r="H6065" i="9" s="1"/>
  <c r="F6066" i="9"/>
  <c r="H6066" i="9" s="1"/>
  <c r="F6067" i="9"/>
  <c r="H6067" i="9" s="1"/>
  <c r="F6068" i="9"/>
  <c r="H6068" i="9" s="1"/>
  <c r="F6069" i="9"/>
  <c r="H6069" i="9" s="1"/>
  <c r="F6070" i="9"/>
  <c r="H6070" i="9" s="1"/>
  <c r="F6071" i="9"/>
  <c r="H6071" i="9" s="1"/>
  <c r="F6072" i="9"/>
  <c r="H6072" i="9" s="1"/>
  <c r="F6073" i="9"/>
  <c r="H6073" i="9" s="1"/>
  <c r="F6074" i="9"/>
  <c r="H6074" i="9" s="1"/>
  <c r="F6075" i="9"/>
  <c r="H6075" i="9" s="1"/>
  <c r="F6076" i="9"/>
  <c r="H6076" i="9" s="1"/>
  <c r="F6077" i="9"/>
  <c r="H6077" i="9" s="1"/>
  <c r="F6078" i="9"/>
  <c r="H6078" i="9" s="1"/>
  <c r="F6079" i="9"/>
  <c r="H6079" i="9"/>
  <c r="F6080" i="9"/>
  <c r="H6080" i="9" s="1"/>
  <c r="F6081" i="9"/>
  <c r="H6081" i="9" s="1"/>
  <c r="F6082" i="9"/>
  <c r="H6082" i="9" s="1"/>
  <c r="F6083" i="9"/>
  <c r="H6083" i="9" s="1"/>
  <c r="F6084" i="9"/>
  <c r="H6084" i="9" s="1"/>
  <c r="F6085" i="9"/>
  <c r="H6085" i="9"/>
  <c r="F6086" i="9"/>
  <c r="H6086" i="9" s="1"/>
  <c r="F6087" i="9"/>
  <c r="H6087" i="9" s="1"/>
  <c r="F6088" i="9"/>
  <c r="H6088" i="9" s="1"/>
  <c r="F6089" i="9"/>
  <c r="H6089" i="9" s="1"/>
  <c r="F6090" i="9"/>
  <c r="H6090" i="9" s="1"/>
  <c r="F6091" i="9"/>
  <c r="H6091" i="9" s="1"/>
  <c r="F6092" i="9"/>
  <c r="H6092" i="9" s="1"/>
  <c r="F6093" i="9"/>
  <c r="H6093" i="9" s="1"/>
  <c r="F6094" i="9"/>
  <c r="H6094" i="9" s="1"/>
  <c r="F6095" i="9"/>
  <c r="H6095" i="9" s="1"/>
  <c r="F6096" i="9"/>
  <c r="H6096" i="9" s="1"/>
  <c r="F6097" i="9"/>
  <c r="H6097" i="9" s="1"/>
  <c r="F6098" i="9"/>
  <c r="H6098" i="9" s="1"/>
  <c r="F6099" i="9"/>
  <c r="H6099" i="9" s="1"/>
  <c r="F6100" i="9"/>
  <c r="H6100" i="9" s="1"/>
  <c r="F6101" i="9"/>
  <c r="H6101" i="9" s="1"/>
  <c r="F6102" i="9"/>
  <c r="H6102" i="9" s="1"/>
  <c r="F6103" i="9"/>
  <c r="H6103" i="9" s="1"/>
  <c r="F6104" i="9"/>
  <c r="H6104" i="9" s="1"/>
  <c r="F6105" i="9"/>
  <c r="H6105" i="9" s="1"/>
  <c r="F6106" i="9"/>
  <c r="H6106" i="9" s="1"/>
  <c r="F6107" i="9"/>
  <c r="H6107" i="9" s="1"/>
  <c r="F6108" i="9"/>
  <c r="H6108" i="9" s="1"/>
  <c r="F6109" i="9"/>
  <c r="H6109" i="9" s="1"/>
  <c r="F6110" i="9"/>
  <c r="H6110" i="9" s="1"/>
  <c r="F6111" i="9"/>
  <c r="H6111" i="9" s="1"/>
  <c r="F6112" i="9"/>
  <c r="H6112" i="9" s="1"/>
  <c r="F6113" i="9"/>
  <c r="H6113" i="9" s="1"/>
  <c r="F6114" i="9"/>
  <c r="H6114" i="9" s="1"/>
  <c r="F6115" i="9"/>
  <c r="H6115" i="9" s="1"/>
  <c r="F6116" i="9"/>
  <c r="H6116" i="9" s="1"/>
  <c r="F6117" i="9"/>
  <c r="H6117" i="9" s="1"/>
  <c r="F6118" i="9"/>
  <c r="H6118" i="9" s="1"/>
  <c r="F6119" i="9"/>
  <c r="H6119" i="9" s="1"/>
  <c r="F6120" i="9"/>
  <c r="H6120" i="9" s="1"/>
  <c r="F6121" i="9"/>
  <c r="H6121" i="9" s="1"/>
  <c r="F6122" i="9"/>
  <c r="H6122" i="9" s="1"/>
  <c r="F6123" i="9"/>
  <c r="H6123" i="9" s="1"/>
  <c r="F6124" i="9"/>
  <c r="H6124" i="9" s="1"/>
  <c r="F6125" i="9"/>
  <c r="H6125" i="9"/>
  <c r="F6126" i="9"/>
  <c r="H6126" i="9" s="1"/>
  <c r="F6127" i="9"/>
  <c r="H6127" i="9" s="1"/>
  <c r="F6128" i="9"/>
  <c r="H6128" i="9" s="1"/>
  <c r="F6129" i="9"/>
  <c r="H6129" i="9" s="1"/>
  <c r="F6130" i="9"/>
  <c r="H6130" i="9" s="1"/>
  <c r="F6131" i="9"/>
  <c r="H6131" i="9" s="1"/>
  <c r="F6132" i="9"/>
  <c r="H6132" i="9" s="1"/>
  <c r="F6133" i="9"/>
  <c r="H6133" i="9" s="1"/>
  <c r="F6134" i="9"/>
  <c r="H6134" i="9" s="1"/>
  <c r="F6135" i="9"/>
  <c r="H6135" i="9" s="1"/>
  <c r="F6136" i="9"/>
  <c r="H6136" i="9" s="1"/>
  <c r="F6137" i="9"/>
  <c r="H6137" i="9" s="1"/>
  <c r="F6138" i="9"/>
  <c r="H6138" i="9" s="1"/>
  <c r="F6139" i="9"/>
  <c r="H6139" i="9" s="1"/>
  <c r="F6140" i="9"/>
  <c r="H6140" i="9" s="1"/>
  <c r="F6141" i="9"/>
  <c r="H6141" i="9" s="1"/>
  <c r="F6142" i="9"/>
  <c r="H6142" i="9" s="1"/>
  <c r="F6143" i="9"/>
  <c r="H6143" i="9" s="1"/>
  <c r="F6144" i="9"/>
  <c r="H6144" i="9" s="1"/>
  <c r="F6145" i="9"/>
  <c r="H6145" i="9" s="1"/>
  <c r="F6146" i="9"/>
  <c r="H6146" i="9" s="1"/>
  <c r="F6147" i="9"/>
  <c r="H6147" i="9" s="1"/>
  <c r="F6148" i="9"/>
  <c r="H6148" i="9" s="1"/>
  <c r="F6149" i="9"/>
  <c r="H6149" i="9" s="1"/>
  <c r="F6150" i="9"/>
  <c r="H6150" i="9" s="1"/>
  <c r="F6151" i="9"/>
  <c r="H6151" i="9" s="1"/>
  <c r="F6152" i="9"/>
  <c r="H6152" i="9" s="1"/>
  <c r="F6153" i="9"/>
  <c r="H6153" i="9" s="1"/>
  <c r="F6154" i="9"/>
  <c r="H6154" i="9" s="1"/>
  <c r="F6155" i="9"/>
  <c r="H6155" i="9" s="1"/>
  <c r="F6156" i="9"/>
  <c r="H6156" i="9" s="1"/>
  <c r="F6157" i="9"/>
  <c r="H6157" i="9" s="1"/>
  <c r="F6158" i="9"/>
  <c r="H6158" i="9" s="1"/>
  <c r="F6159" i="9"/>
  <c r="H6159" i="9" s="1"/>
  <c r="F6160" i="9"/>
  <c r="H6160" i="9" s="1"/>
  <c r="F6161" i="9"/>
  <c r="H6161" i="9" s="1"/>
  <c r="F6162" i="9"/>
  <c r="H6162" i="9" s="1"/>
  <c r="F6163" i="9"/>
  <c r="H6163" i="9" s="1"/>
  <c r="F6164" i="9"/>
  <c r="H6164" i="9" s="1"/>
  <c r="F6165" i="9"/>
  <c r="H6165" i="9" s="1"/>
  <c r="F6166" i="9"/>
  <c r="H6166" i="9" s="1"/>
  <c r="F6167" i="9"/>
  <c r="H6167" i="9" s="1"/>
  <c r="F6168" i="9"/>
  <c r="H6168" i="9"/>
  <c r="F6169" i="9"/>
  <c r="H6169" i="9" s="1"/>
  <c r="F6170" i="9"/>
  <c r="H6170" i="9" s="1"/>
  <c r="F6171" i="9"/>
  <c r="H6171" i="9" s="1"/>
  <c r="F6172" i="9"/>
  <c r="H6172" i="9" s="1"/>
  <c r="F6173" i="9"/>
  <c r="H6173" i="9" s="1"/>
  <c r="F6174" i="9"/>
  <c r="H6174" i="9" s="1"/>
  <c r="F6175" i="9"/>
  <c r="H6175" i="9" s="1"/>
  <c r="F6176" i="9"/>
  <c r="H6176" i="9" s="1"/>
  <c r="F6177" i="9"/>
  <c r="H6177" i="9" s="1"/>
  <c r="F6178" i="9"/>
  <c r="H6178" i="9" s="1"/>
  <c r="F6179" i="9"/>
  <c r="H6179" i="9" s="1"/>
  <c r="F6180" i="9"/>
  <c r="H6180" i="9" s="1"/>
  <c r="F6181" i="9"/>
  <c r="H6181" i="9" s="1"/>
  <c r="F6182" i="9"/>
  <c r="H6182" i="9" s="1"/>
  <c r="F6183" i="9"/>
  <c r="H6183" i="9" s="1"/>
  <c r="F6184" i="9"/>
  <c r="H6184" i="9" s="1"/>
  <c r="F6185" i="9"/>
  <c r="H6185" i="9" s="1"/>
  <c r="F6186" i="9"/>
  <c r="H6186" i="9" s="1"/>
  <c r="F6187" i="9"/>
  <c r="H6187" i="9" s="1"/>
  <c r="F6188" i="9"/>
  <c r="H6188" i="9" s="1"/>
  <c r="F6189" i="9"/>
  <c r="H6189" i="9" s="1"/>
  <c r="F6190" i="9"/>
  <c r="H6190" i="9" s="1"/>
  <c r="F6191" i="9"/>
  <c r="H6191" i="9" s="1"/>
  <c r="F6192" i="9"/>
  <c r="H6192" i="9" s="1"/>
  <c r="F6193" i="9"/>
  <c r="H6193" i="9" s="1"/>
  <c r="F6194" i="9"/>
  <c r="H6194" i="9" s="1"/>
  <c r="F6195" i="9"/>
  <c r="H6195" i="9" s="1"/>
  <c r="F6196" i="9"/>
  <c r="H6196" i="9" s="1"/>
  <c r="F6197" i="9"/>
  <c r="H6197" i="9" s="1"/>
  <c r="F6198" i="9"/>
  <c r="H6198" i="9"/>
  <c r="F6199" i="9"/>
  <c r="H6199" i="9" s="1"/>
  <c r="F6200" i="9"/>
  <c r="H6200" i="9" s="1"/>
  <c r="F6201" i="9"/>
  <c r="H6201" i="9" s="1"/>
  <c r="F6202" i="9"/>
  <c r="H6202" i="9" s="1"/>
  <c r="F6203" i="9"/>
  <c r="H6203" i="9"/>
  <c r="F6204" i="9"/>
  <c r="H6204" i="9" s="1"/>
  <c r="F6205" i="9"/>
  <c r="H6205" i="9" s="1"/>
  <c r="F6206" i="9"/>
  <c r="H6206" i="9" s="1"/>
  <c r="F6207" i="9"/>
  <c r="H6207" i="9" s="1"/>
  <c r="F6208" i="9"/>
  <c r="H6208" i="9" s="1"/>
  <c r="F6209" i="9"/>
  <c r="H6209" i="9" s="1"/>
  <c r="F6210" i="9"/>
  <c r="H6210" i="9" s="1"/>
  <c r="F6211" i="9"/>
  <c r="H6211" i="9" s="1"/>
  <c r="F6212" i="9"/>
  <c r="H6212" i="9"/>
  <c r="F6213" i="9"/>
  <c r="H6213" i="9" s="1"/>
  <c r="F6214" i="9"/>
  <c r="H6214" i="9" s="1"/>
  <c r="F6215" i="9"/>
  <c r="H6215" i="9" s="1"/>
  <c r="F6216" i="9"/>
  <c r="H6216" i="9" s="1"/>
  <c r="F6217" i="9"/>
  <c r="H6217" i="9" s="1"/>
  <c r="F6218" i="9"/>
  <c r="H6218" i="9" s="1"/>
  <c r="F6219" i="9"/>
  <c r="H6219" i="9" s="1"/>
  <c r="F6220" i="9"/>
  <c r="H6220" i="9" s="1"/>
  <c r="F6221" i="9"/>
  <c r="H6221" i="9" s="1"/>
  <c r="F6222" i="9"/>
  <c r="H6222" i="9" s="1"/>
  <c r="F6223" i="9"/>
  <c r="H6223" i="9" s="1"/>
  <c r="F6224" i="9"/>
  <c r="H6224" i="9" s="1"/>
  <c r="F6225" i="9"/>
  <c r="H6225" i="9" s="1"/>
  <c r="F6226" i="9"/>
  <c r="H6226" i="9" s="1"/>
  <c r="F6227" i="9"/>
  <c r="H6227" i="9" s="1"/>
  <c r="F6228" i="9"/>
  <c r="H6228" i="9" s="1"/>
  <c r="F6229" i="9"/>
  <c r="H6229" i="9" s="1"/>
  <c r="F6230" i="9"/>
  <c r="H6230" i="9" s="1"/>
  <c r="F6231" i="9"/>
  <c r="H6231" i="9" s="1"/>
  <c r="F6232" i="9"/>
  <c r="H6232" i="9" s="1"/>
  <c r="F6233" i="9"/>
  <c r="H6233" i="9" s="1"/>
  <c r="F6234" i="9"/>
  <c r="H6234" i="9" s="1"/>
  <c r="F6235" i="9"/>
  <c r="H6235" i="9" s="1"/>
  <c r="F6236" i="9"/>
  <c r="H6236" i="9" s="1"/>
  <c r="F6237" i="9"/>
  <c r="H6237" i="9" s="1"/>
  <c r="F6238" i="9"/>
  <c r="H6238" i="9" s="1"/>
  <c r="F6239" i="9"/>
  <c r="H6239" i="9" s="1"/>
  <c r="F6240" i="9"/>
  <c r="H6240" i="9" s="1"/>
  <c r="F6241" i="9"/>
  <c r="H6241" i="9" s="1"/>
  <c r="F6242" i="9"/>
  <c r="H6242" i="9" s="1"/>
  <c r="F6243" i="9"/>
  <c r="H6243" i="9" s="1"/>
  <c r="F6244" i="9"/>
  <c r="H6244" i="9" s="1"/>
  <c r="F6245" i="9"/>
  <c r="H6245" i="9" s="1"/>
  <c r="F6246" i="9"/>
  <c r="H6246" i="9" s="1"/>
  <c r="F6247" i="9"/>
  <c r="H6247" i="9" s="1"/>
  <c r="F6248" i="9"/>
  <c r="H6248" i="9" s="1"/>
  <c r="F6249" i="9"/>
  <c r="H6249" i="9" s="1"/>
  <c r="F6250" i="9"/>
  <c r="H6250" i="9" s="1"/>
  <c r="F6251" i="9"/>
  <c r="H6251" i="9" s="1"/>
  <c r="F6252" i="9"/>
  <c r="H6252" i="9" s="1"/>
  <c r="F6253" i="9"/>
  <c r="H6253" i="9" s="1"/>
  <c r="F6254" i="9"/>
  <c r="H6254" i="9" s="1"/>
  <c r="F6255" i="9"/>
  <c r="H6255" i="9" s="1"/>
  <c r="F6256" i="9"/>
  <c r="H6256" i="9" s="1"/>
  <c r="F6257" i="9"/>
  <c r="H6257" i="9" s="1"/>
  <c r="F6258" i="9"/>
  <c r="H6258" i="9" s="1"/>
  <c r="F6259" i="9"/>
  <c r="H6259" i="9" s="1"/>
  <c r="F6260" i="9"/>
  <c r="H6260" i="9" s="1"/>
  <c r="F6261" i="9"/>
  <c r="H6261" i="9" s="1"/>
  <c r="F6262" i="9"/>
  <c r="H6262" i="9" s="1"/>
  <c r="F6263" i="9"/>
  <c r="H6263" i="9" s="1"/>
  <c r="F6264" i="9"/>
  <c r="H6264" i="9" s="1"/>
  <c r="F6265" i="9"/>
  <c r="H6265" i="9" s="1"/>
  <c r="F6266" i="9"/>
  <c r="H6266" i="9" s="1"/>
  <c r="F6267" i="9"/>
  <c r="H6267" i="9" s="1"/>
  <c r="F6268" i="9"/>
  <c r="H6268" i="9" s="1"/>
  <c r="F6269" i="9"/>
  <c r="H6269" i="9" s="1"/>
  <c r="F6270" i="9"/>
  <c r="H6270" i="9" s="1"/>
  <c r="F6271" i="9"/>
  <c r="H6271" i="9" s="1"/>
  <c r="F6272" i="9"/>
  <c r="H6272" i="9" s="1"/>
  <c r="F6273" i="9"/>
  <c r="H6273" i="9" s="1"/>
  <c r="F6274" i="9"/>
  <c r="H6274" i="9" s="1"/>
  <c r="F6275" i="9"/>
  <c r="H6275" i="9" s="1"/>
  <c r="F6276" i="9"/>
  <c r="H6276" i="9" s="1"/>
  <c r="F6277" i="9"/>
  <c r="H6277" i="9" s="1"/>
  <c r="F6278" i="9"/>
  <c r="H6278" i="9" s="1"/>
  <c r="F6279" i="9"/>
  <c r="H6279" i="9" s="1"/>
  <c r="F6280" i="9"/>
  <c r="H6280" i="9" s="1"/>
  <c r="F6281" i="9"/>
  <c r="H6281" i="9" s="1"/>
  <c r="F6282" i="9"/>
  <c r="H6282" i="9" s="1"/>
  <c r="F6283" i="9"/>
  <c r="H6283" i="9" s="1"/>
  <c r="F6284" i="9"/>
  <c r="H6284" i="9" s="1"/>
  <c r="F6285" i="9"/>
  <c r="H6285" i="9"/>
  <c r="F6286" i="9"/>
  <c r="H6286" i="9" s="1"/>
  <c r="F6287" i="9"/>
  <c r="H6287" i="9" s="1"/>
  <c r="F6288" i="9"/>
  <c r="H6288" i="9"/>
  <c r="F6289" i="9"/>
  <c r="H6289" i="9" s="1"/>
  <c r="F6290" i="9"/>
  <c r="H6290" i="9" s="1"/>
  <c r="F6291" i="9"/>
  <c r="H6291" i="9" s="1"/>
  <c r="F6292" i="9"/>
  <c r="H6292" i="9" s="1"/>
  <c r="F6293" i="9"/>
  <c r="H6293" i="9" s="1"/>
  <c r="F6294" i="9"/>
  <c r="H6294" i="9" s="1"/>
  <c r="F6295" i="9"/>
  <c r="H6295" i="9" s="1"/>
  <c r="F6296" i="9"/>
  <c r="H6296" i="9" s="1"/>
  <c r="F6297" i="9"/>
  <c r="H6297" i="9" s="1"/>
  <c r="F6298" i="9"/>
  <c r="H6298" i="9" s="1"/>
  <c r="F6299" i="9"/>
  <c r="H6299" i="9" s="1"/>
  <c r="F6300" i="9"/>
  <c r="H6300" i="9" s="1"/>
  <c r="F6301" i="9"/>
  <c r="H6301" i="9" s="1"/>
  <c r="F6302" i="9"/>
  <c r="H6302" i="9" s="1"/>
  <c r="F6303" i="9"/>
  <c r="H6303" i="9" s="1"/>
  <c r="F6304" i="9"/>
  <c r="H6304" i="9" s="1"/>
  <c r="F6305" i="9"/>
  <c r="H6305" i="9" s="1"/>
  <c r="F6306" i="9"/>
  <c r="H6306" i="9" s="1"/>
  <c r="F6307" i="9"/>
  <c r="H6307" i="9" s="1"/>
  <c r="F6308" i="9"/>
  <c r="H6308" i="9" s="1"/>
  <c r="F6309" i="9"/>
  <c r="H6309" i="9" s="1"/>
  <c r="F6310" i="9"/>
  <c r="H6310" i="9" s="1"/>
  <c r="F6311" i="9"/>
  <c r="H6311" i="9" s="1"/>
  <c r="F6312" i="9"/>
  <c r="H6312" i="9" s="1"/>
  <c r="F6313" i="9"/>
  <c r="H6313" i="9" s="1"/>
  <c r="F6314" i="9"/>
  <c r="H6314" i="9" s="1"/>
  <c r="F6315" i="9"/>
  <c r="H6315" i="9" s="1"/>
  <c r="F6316" i="9"/>
  <c r="H6316" i="9" s="1"/>
  <c r="F6317" i="9"/>
  <c r="H6317" i="9" s="1"/>
  <c r="F6318" i="9"/>
  <c r="H6318" i="9" s="1"/>
  <c r="F6319" i="9"/>
  <c r="H6319" i="9" s="1"/>
  <c r="F6320" i="9"/>
  <c r="H6320" i="9" s="1"/>
  <c r="F6321" i="9"/>
  <c r="H6321" i="9" s="1"/>
  <c r="F6322" i="9"/>
  <c r="H6322" i="9" s="1"/>
  <c r="F6323" i="9"/>
  <c r="H6323" i="9" s="1"/>
  <c r="F6324" i="9"/>
  <c r="H6324" i="9" s="1"/>
  <c r="F6325" i="9"/>
  <c r="H6325" i="9" s="1"/>
  <c r="F6326" i="9"/>
  <c r="H6326" i="9" s="1"/>
  <c r="F6327" i="9"/>
  <c r="H6327" i="9" s="1"/>
  <c r="F6328" i="9"/>
  <c r="H6328" i="9" s="1"/>
  <c r="F6329" i="9"/>
  <c r="H6329" i="9" s="1"/>
  <c r="F6330" i="9"/>
  <c r="H6330" i="9" s="1"/>
  <c r="F6331" i="9"/>
  <c r="H6331" i="9" s="1"/>
  <c r="F6332" i="9"/>
  <c r="H6332" i="9" s="1"/>
  <c r="F6333" i="9"/>
  <c r="H6333" i="9" s="1"/>
  <c r="F6334" i="9"/>
  <c r="H6334" i="9" s="1"/>
  <c r="F6335" i="9"/>
  <c r="H6335" i="9" s="1"/>
  <c r="F6336" i="9"/>
  <c r="H6336" i="9" s="1"/>
  <c r="F6337" i="9"/>
  <c r="H6337" i="9" s="1"/>
  <c r="F6338" i="9"/>
  <c r="H6338" i="9" s="1"/>
  <c r="F6339" i="9"/>
  <c r="H6339" i="9" s="1"/>
  <c r="F6340" i="9"/>
  <c r="H6340" i="9" s="1"/>
  <c r="F6341" i="9"/>
  <c r="H6341" i="9" s="1"/>
  <c r="F6342" i="9"/>
  <c r="H6342" i="9" s="1"/>
  <c r="F6343" i="9"/>
  <c r="H6343" i="9" s="1"/>
  <c r="F6344" i="9"/>
  <c r="H6344" i="9" s="1"/>
  <c r="F6345" i="9"/>
  <c r="H6345" i="9" s="1"/>
  <c r="F6346" i="9"/>
  <c r="H6346" i="9" s="1"/>
  <c r="F6347" i="9"/>
  <c r="H6347" i="9" s="1"/>
  <c r="F6348" i="9"/>
  <c r="H6348" i="9" s="1"/>
  <c r="F6349" i="9"/>
  <c r="H6349" i="9" s="1"/>
  <c r="F6350" i="9"/>
  <c r="H6350" i="9" s="1"/>
  <c r="F6351" i="9"/>
  <c r="H6351" i="9" s="1"/>
  <c r="F6352" i="9"/>
  <c r="H6352" i="9" s="1"/>
  <c r="F6353" i="9"/>
  <c r="H6353" i="9" s="1"/>
  <c r="F6354" i="9"/>
  <c r="H6354" i="9" s="1"/>
  <c r="F6355" i="9"/>
  <c r="H6355" i="9" s="1"/>
  <c r="F6356" i="9"/>
  <c r="H6356" i="9" s="1"/>
  <c r="F6357" i="9"/>
  <c r="H6357" i="9" s="1"/>
  <c r="F6358" i="9"/>
  <c r="H6358" i="9" s="1"/>
  <c r="F6359" i="9"/>
  <c r="H6359" i="9" s="1"/>
  <c r="F6360" i="9"/>
  <c r="H6360" i="9" s="1"/>
  <c r="F6361" i="9"/>
  <c r="H6361" i="9" s="1"/>
  <c r="F6362" i="9"/>
  <c r="H6362" i="9" s="1"/>
  <c r="F6363" i="9"/>
  <c r="H6363" i="9" s="1"/>
  <c r="F6364" i="9"/>
  <c r="H6364" i="9" s="1"/>
  <c r="F6365" i="9"/>
  <c r="H6365" i="9" s="1"/>
  <c r="F6366" i="9"/>
  <c r="H6366" i="9" s="1"/>
  <c r="F6367" i="9"/>
  <c r="H6367" i="9" s="1"/>
  <c r="F6368" i="9"/>
  <c r="H6368" i="9" s="1"/>
  <c r="F6369" i="9"/>
  <c r="H6369" i="9" s="1"/>
  <c r="F6370" i="9"/>
  <c r="H6370" i="9" s="1"/>
  <c r="F6371" i="9"/>
  <c r="H6371" i="9" s="1"/>
  <c r="F6372" i="9"/>
  <c r="H6372" i="9" s="1"/>
  <c r="F6373" i="9"/>
  <c r="H6373" i="9" s="1"/>
  <c r="F6374" i="9"/>
  <c r="H6374" i="9" s="1"/>
  <c r="F6375" i="9"/>
  <c r="H6375" i="9" s="1"/>
  <c r="F6376" i="9"/>
  <c r="H6376" i="9" s="1"/>
  <c r="F6377" i="9"/>
  <c r="H6377" i="9" s="1"/>
  <c r="F6378" i="9"/>
  <c r="H6378" i="9" s="1"/>
  <c r="F6379" i="9"/>
  <c r="H6379" i="9" s="1"/>
  <c r="F6380" i="9"/>
  <c r="H6380" i="9" s="1"/>
  <c r="F6381" i="9"/>
  <c r="H6381" i="9" s="1"/>
  <c r="F6382" i="9"/>
  <c r="H6382" i="9" s="1"/>
  <c r="F6383" i="9"/>
  <c r="H6383" i="9" s="1"/>
  <c r="F6384" i="9"/>
  <c r="H6384" i="9" s="1"/>
  <c r="F6385" i="9"/>
  <c r="H6385" i="9" s="1"/>
  <c r="F6386" i="9"/>
  <c r="H6386" i="9" s="1"/>
  <c r="F6387" i="9"/>
  <c r="H6387" i="9" s="1"/>
  <c r="F6388" i="9"/>
  <c r="H6388" i="9" s="1"/>
  <c r="F6389" i="9"/>
  <c r="H6389" i="9" s="1"/>
  <c r="F6390" i="9"/>
  <c r="H6390" i="9" s="1"/>
  <c r="F6391" i="9"/>
  <c r="H6391" i="9" s="1"/>
  <c r="F6392" i="9"/>
  <c r="H6392" i="9" s="1"/>
  <c r="F6393" i="9"/>
  <c r="H6393" i="9" s="1"/>
  <c r="F6394" i="9"/>
  <c r="H6394" i="9" s="1"/>
  <c r="F6395" i="9"/>
  <c r="H6395" i="9" s="1"/>
  <c r="F6396" i="9"/>
  <c r="H6396" i="9" s="1"/>
  <c r="F6397" i="9"/>
  <c r="H6397" i="9" s="1"/>
  <c r="F6398" i="9"/>
  <c r="H6398" i="9" s="1"/>
  <c r="F6399" i="9"/>
  <c r="H6399" i="9" s="1"/>
  <c r="F6400" i="9"/>
  <c r="H6400" i="9" s="1"/>
  <c r="F6401" i="9"/>
  <c r="H6401" i="9" s="1"/>
  <c r="F6402" i="9"/>
  <c r="H6402" i="9" s="1"/>
  <c r="F6403" i="9"/>
  <c r="H6403" i="9" s="1"/>
  <c r="F6404" i="9"/>
  <c r="H6404" i="9" s="1"/>
  <c r="F6405" i="9"/>
  <c r="H6405" i="9" s="1"/>
  <c r="F6406" i="9"/>
  <c r="H6406" i="9" s="1"/>
  <c r="F6407" i="9"/>
  <c r="H6407" i="9" s="1"/>
  <c r="F6408" i="9"/>
  <c r="H6408" i="9" s="1"/>
  <c r="F6409" i="9"/>
  <c r="H6409" i="9" s="1"/>
  <c r="F6410" i="9"/>
  <c r="H6410" i="9" s="1"/>
  <c r="F6411" i="9"/>
  <c r="H6411" i="9" s="1"/>
  <c r="F6412" i="9"/>
  <c r="H6412" i="9" s="1"/>
  <c r="F6413" i="9"/>
  <c r="H6413" i="9" s="1"/>
  <c r="F6414" i="9"/>
  <c r="H6414" i="9" s="1"/>
  <c r="F6415" i="9"/>
  <c r="H6415" i="9" s="1"/>
  <c r="F6416" i="9"/>
  <c r="H6416" i="9" s="1"/>
  <c r="F6417" i="9"/>
  <c r="H6417" i="9"/>
  <c r="F6418" i="9"/>
  <c r="H6418" i="9" s="1"/>
  <c r="F6419" i="9"/>
  <c r="H6419" i="9" s="1"/>
  <c r="F6420" i="9"/>
  <c r="H6420" i="9" s="1"/>
  <c r="F6421" i="9"/>
  <c r="H6421" i="9" s="1"/>
  <c r="F6422" i="9"/>
  <c r="H6422" i="9" s="1"/>
  <c r="F6423" i="9"/>
  <c r="H6423" i="9" s="1"/>
  <c r="F6424" i="9"/>
  <c r="H6424" i="9" s="1"/>
  <c r="F6425" i="9"/>
  <c r="H6425" i="9" s="1"/>
  <c r="F6426" i="9"/>
  <c r="H6426" i="9" s="1"/>
  <c r="F6427" i="9"/>
  <c r="H6427" i="9" s="1"/>
  <c r="F6428" i="9"/>
  <c r="H6428" i="9" s="1"/>
  <c r="F6429" i="9"/>
  <c r="H6429" i="9" s="1"/>
  <c r="F6430" i="9"/>
  <c r="H6430" i="9" s="1"/>
  <c r="F6431" i="9"/>
  <c r="H6431" i="9" s="1"/>
  <c r="F6432" i="9"/>
  <c r="H6432" i="9" s="1"/>
  <c r="F6433" i="9"/>
  <c r="H6433" i="9" s="1"/>
  <c r="F6434" i="9"/>
  <c r="H6434" i="9" s="1"/>
  <c r="F6435" i="9"/>
  <c r="H6435" i="9" s="1"/>
  <c r="F6436" i="9"/>
  <c r="H6436" i="9" s="1"/>
  <c r="F6437" i="9"/>
  <c r="H6437" i="9" s="1"/>
  <c r="F6438" i="9"/>
  <c r="H6438" i="9" s="1"/>
  <c r="F6439" i="9"/>
  <c r="H6439" i="9" s="1"/>
  <c r="F6440" i="9"/>
  <c r="H6440" i="9" s="1"/>
  <c r="F6441" i="9"/>
  <c r="H6441" i="9" s="1"/>
  <c r="F6442" i="9"/>
  <c r="H6442" i="9" s="1"/>
  <c r="F6443" i="9"/>
  <c r="H6443" i="9" s="1"/>
  <c r="F6444" i="9"/>
  <c r="H6444" i="9" s="1"/>
  <c r="F6445" i="9"/>
  <c r="H6445" i="9" s="1"/>
  <c r="F6446" i="9"/>
  <c r="H6446" i="9" s="1"/>
  <c r="F6447" i="9"/>
  <c r="H6447" i="9" s="1"/>
  <c r="F6448" i="9"/>
  <c r="H6448" i="9" s="1"/>
  <c r="F6449" i="9"/>
  <c r="H6449" i="9" s="1"/>
  <c r="F6450" i="9"/>
  <c r="H6450" i="9" s="1"/>
  <c r="F6451" i="9"/>
  <c r="H6451" i="9" s="1"/>
  <c r="F6452" i="9"/>
  <c r="H6452" i="9" s="1"/>
  <c r="F6453" i="9"/>
  <c r="H6453" i="9" s="1"/>
  <c r="F6454" i="9"/>
  <c r="H6454" i="9" s="1"/>
  <c r="F6455" i="9"/>
  <c r="H6455" i="9" s="1"/>
  <c r="F6456" i="9"/>
  <c r="H6456" i="9" s="1"/>
  <c r="F6457" i="9"/>
  <c r="H6457" i="9" s="1"/>
  <c r="F6458" i="9"/>
  <c r="H6458" i="9" s="1"/>
  <c r="F6459" i="9"/>
  <c r="H6459" i="9" s="1"/>
  <c r="F6460" i="9"/>
  <c r="H6460" i="9" s="1"/>
  <c r="F6461" i="9"/>
  <c r="H6461" i="9" s="1"/>
  <c r="F6462" i="9"/>
  <c r="H6462" i="9" s="1"/>
  <c r="F6463" i="9"/>
  <c r="H6463" i="9"/>
  <c r="F6464" i="9"/>
  <c r="H6464" i="9" s="1"/>
  <c r="F6465" i="9"/>
  <c r="H6465" i="9" s="1"/>
  <c r="F6466" i="9"/>
  <c r="H6466" i="9" s="1"/>
  <c r="F6467" i="9"/>
  <c r="H6467" i="9" s="1"/>
  <c r="F6468" i="9"/>
  <c r="H6468" i="9" s="1"/>
  <c r="F6469" i="9"/>
  <c r="H6469" i="9" s="1"/>
  <c r="F6470" i="9"/>
  <c r="H6470" i="9" s="1"/>
  <c r="F6471" i="9"/>
  <c r="H6471" i="9" s="1"/>
  <c r="F6472" i="9"/>
  <c r="H6472" i="9" s="1"/>
  <c r="F6473" i="9"/>
  <c r="H6473" i="9" s="1"/>
  <c r="F6474" i="9"/>
  <c r="H6474" i="9" s="1"/>
  <c r="F6475" i="9"/>
  <c r="H6475" i="9" s="1"/>
  <c r="F6476" i="9"/>
  <c r="H6476" i="9" s="1"/>
  <c r="F6477" i="9"/>
  <c r="H6477" i="9" s="1"/>
  <c r="F6478" i="9"/>
  <c r="H6478" i="9" s="1"/>
  <c r="F6479" i="9"/>
  <c r="H6479" i="9" s="1"/>
  <c r="F6480" i="9"/>
  <c r="H6480" i="9" s="1"/>
  <c r="F6481" i="9"/>
  <c r="H6481" i="9" s="1"/>
  <c r="F6482" i="9"/>
  <c r="H6482" i="9" s="1"/>
  <c r="F6483" i="9"/>
  <c r="H6483" i="9" s="1"/>
  <c r="F6484" i="9"/>
  <c r="H6484" i="9" s="1"/>
  <c r="F6485" i="9"/>
  <c r="H6485" i="9" s="1"/>
  <c r="F6486" i="9"/>
  <c r="H6486" i="9" s="1"/>
  <c r="F6487" i="9"/>
  <c r="H6487" i="9" s="1"/>
  <c r="F6488" i="9"/>
  <c r="H6488" i="9" s="1"/>
  <c r="F6489" i="9"/>
  <c r="H6489" i="9" s="1"/>
  <c r="F6490" i="9"/>
  <c r="H6490" i="9" s="1"/>
  <c r="F6491" i="9"/>
  <c r="H6491" i="9" s="1"/>
  <c r="F6492" i="9"/>
  <c r="H6492" i="9" s="1"/>
  <c r="F6493" i="9"/>
  <c r="H6493" i="9" s="1"/>
  <c r="F6494" i="9"/>
  <c r="H6494" i="9" s="1"/>
  <c r="F6495" i="9"/>
  <c r="H6495" i="9" s="1"/>
  <c r="F6496" i="9"/>
  <c r="H6496" i="9" s="1"/>
  <c r="F6497" i="9"/>
  <c r="H6497" i="9" s="1"/>
  <c r="F6498" i="9"/>
  <c r="H6498" i="9" s="1"/>
  <c r="F6499" i="9"/>
  <c r="H6499" i="9" s="1"/>
  <c r="F6500" i="9"/>
  <c r="H6500" i="9" s="1"/>
  <c r="F6501" i="9"/>
  <c r="H6501" i="9" s="1"/>
  <c r="F6502" i="9"/>
  <c r="H6502" i="9" s="1"/>
  <c r="F6503" i="9"/>
  <c r="H6503" i="9" s="1"/>
  <c r="F6504" i="9"/>
  <c r="H6504" i="9" s="1"/>
  <c r="F6505" i="9"/>
  <c r="H6505" i="9" s="1"/>
  <c r="F6506" i="9"/>
  <c r="H6506" i="9" s="1"/>
  <c r="F6507" i="9"/>
  <c r="H6507" i="9" s="1"/>
  <c r="F6508" i="9"/>
  <c r="H6508" i="9" s="1"/>
  <c r="F6509" i="9"/>
  <c r="H6509" i="9" s="1"/>
  <c r="F6510" i="9"/>
  <c r="H6510" i="9" s="1"/>
  <c r="F6511" i="9"/>
  <c r="H6511" i="9" s="1"/>
  <c r="F6512" i="9"/>
  <c r="H6512" i="9" s="1"/>
  <c r="F6513" i="9"/>
  <c r="H6513" i="9" s="1"/>
  <c r="F6514" i="9"/>
  <c r="H6514" i="9" s="1"/>
  <c r="F6515" i="9"/>
  <c r="H6515" i="9" s="1"/>
  <c r="F6516" i="9"/>
  <c r="H6516" i="9" s="1"/>
  <c r="F6517" i="9"/>
  <c r="H6517" i="9" s="1"/>
  <c r="F6518" i="9"/>
  <c r="H6518" i="9" s="1"/>
  <c r="F6519" i="9"/>
  <c r="H6519" i="9" s="1"/>
  <c r="F6520" i="9"/>
  <c r="H6520" i="9" s="1"/>
  <c r="F6521" i="9"/>
  <c r="H6521" i="9" s="1"/>
  <c r="F6522" i="9"/>
  <c r="H6522" i="9" s="1"/>
  <c r="F6523" i="9"/>
  <c r="H6523" i="9" s="1"/>
  <c r="F6524" i="9"/>
  <c r="H6524" i="9" s="1"/>
  <c r="F6525" i="9"/>
  <c r="H6525" i="9" s="1"/>
  <c r="F6526" i="9"/>
  <c r="H6526" i="9" s="1"/>
  <c r="F6527" i="9"/>
  <c r="H6527" i="9" s="1"/>
  <c r="F6528" i="9"/>
  <c r="H6528" i="9" s="1"/>
  <c r="F6529" i="9"/>
  <c r="H6529" i="9" s="1"/>
  <c r="F6530" i="9"/>
  <c r="H6530" i="9"/>
  <c r="F6531" i="9"/>
  <c r="H6531" i="9" s="1"/>
  <c r="F6532" i="9"/>
  <c r="H6532" i="9" s="1"/>
  <c r="F6533" i="9"/>
  <c r="H6533" i="9" s="1"/>
  <c r="F6534" i="9"/>
  <c r="H6534" i="9" s="1"/>
  <c r="F6535" i="9"/>
  <c r="H6535" i="9" s="1"/>
  <c r="F6536" i="9"/>
  <c r="H6536" i="9" s="1"/>
  <c r="F6537" i="9"/>
  <c r="H6537" i="9" s="1"/>
  <c r="F6538" i="9"/>
  <c r="H6538" i="9" s="1"/>
  <c r="F6539" i="9"/>
  <c r="H6539" i="9" s="1"/>
  <c r="F6540" i="9"/>
  <c r="H6540" i="9" s="1"/>
  <c r="F6541" i="9"/>
  <c r="H6541" i="9" s="1"/>
  <c r="F6542" i="9"/>
  <c r="H6542" i="9" s="1"/>
  <c r="F6543" i="9"/>
  <c r="H6543" i="9" s="1"/>
  <c r="F6544" i="9"/>
  <c r="H6544" i="9" s="1"/>
  <c r="F6545" i="9"/>
  <c r="H6545" i="9" s="1"/>
  <c r="F6546" i="9"/>
  <c r="H6546" i="9" s="1"/>
  <c r="F6547" i="9"/>
  <c r="H6547" i="9"/>
  <c r="F6548" i="9"/>
  <c r="H6548" i="9" s="1"/>
  <c r="F6549" i="9"/>
  <c r="H6549" i="9" s="1"/>
  <c r="F6550" i="9"/>
  <c r="H6550" i="9" s="1"/>
  <c r="F6551" i="9"/>
  <c r="H6551" i="9" s="1"/>
  <c r="F6552" i="9"/>
  <c r="H6552" i="9" s="1"/>
  <c r="F6553" i="9"/>
  <c r="H6553" i="9" s="1"/>
  <c r="F6554" i="9"/>
  <c r="H6554" i="9" s="1"/>
  <c r="F6555" i="9"/>
  <c r="H6555" i="9" s="1"/>
  <c r="F6556" i="9"/>
  <c r="H6556" i="9" s="1"/>
  <c r="F6557" i="9"/>
  <c r="H6557" i="9" s="1"/>
  <c r="F6558" i="9"/>
  <c r="H6558" i="9" s="1"/>
  <c r="F6559" i="9"/>
  <c r="H6559" i="9" s="1"/>
  <c r="F6560" i="9"/>
  <c r="H6560" i="9" s="1"/>
  <c r="F6561" i="9"/>
  <c r="H6561" i="9" s="1"/>
  <c r="F6562" i="9"/>
  <c r="H6562" i="9" s="1"/>
  <c r="F6563" i="9"/>
  <c r="H6563" i="9" s="1"/>
  <c r="F6564" i="9"/>
  <c r="H6564" i="9" s="1"/>
  <c r="F6565" i="9"/>
  <c r="H6565" i="9" s="1"/>
  <c r="F6566" i="9"/>
  <c r="H6566" i="9" s="1"/>
  <c r="F6567" i="9"/>
  <c r="H6567" i="9" s="1"/>
  <c r="F6568" i="9"/>
  <c r="H6568" i="9" s="1"/>
  <c r="F6569" i="9"/>
  <c r="H6569" i="9" s="1"/>
  <c r="F6570" i="9"/>
  <c r="H6570" i="9" s="1"/>
  <c r="F6571" i="9"/>
  <c r="H6571" i="9" s="1"/>
  <c r="F6572" i="9"/>
  <c r="H6572" i="9" s="1"/>
  <c r="F6573" i="9"/>
  <c r="H6573" i="9" s="1"/>
  <c r="F6574" i="9"/>
  <c r="H6574" i="9" s="1"/>
  <c r="F6575" i="9"/>
  <c r="H6575" i="9" s="1"/>
  <c r="F6576" i="9"/>
  <c r="H6576" i="9" s="1"/>
  <c r="F6577" i="9"/>
  <c r="H6577" i="9" s="1"/>
  <c r="F6578" i="9"/>
  <c r="H6578" i="9" s="1"/>
  <c r="F6579" i="9"/>
  <c r="H6579" i="9" s="1"/>
  <c r="F6580" i="9"/>
  <c r="H6580" i="9" s="1"/>
  <c r="F6581" i="9"/>
  <c r="H6581" i="9" s="1"/>
  <c r="F6582" i="9"/>
  <c r="H6582" i="9" s="1"/>
  <c r="F6583" i="9"/>
  <c r="H6583" i="9" s="1"/>
  <c r="F6584" i="9"/>
  <c r="H6584" i="9" s="1"/>
  <c r="F6585" i="9"/>
  <c r="H6585" i="9" s="1"/>
  <c r="F6586" i="9"/>
  <c r="H6586" i="9" s="1"/>
  <c r="F6587" i="9"/>
  <c r="H6587" i="9" s="1"/>
  <c r="F6588" i="9"/>
  <c r="H6588" i="9" s="1"/>
  <c r="F6589" i="9"/>
  <c r="H6589" i="9" s="1"/>
  <c r="F6590" i="9"/>
  <c r="H6590" i="9" s="1"/>
  <c r="F6591" i="9"/>
  <c r="H6591" i="9" s="1"/>
  <c r="F6592" i="9"/>
  <c r="H6592" i="9" s="1"/>
  <c r="F6593" i="9"/>
  <c r="H6593" i="9" s="1"/>
  <c r="F6594" i="9"/>
  <c r="H6594" i="9" s="1"/>
  <c r="F6595" i="9"/>
  <c r="H6595" i="9" s="1"/>
  <c r="F6596" i="9"/>
  <c r="H6596" i="9" s="1"/>
  <c r="F6597" i="9"/>
  <c r="H6597" i="9" s="1"/>
  <c r="F6598" i="9"/>
  <c r="H6598" i="9" s="1"/>
  <c r="F6599" i="9"/>
  <c r="H6599" i="9" s="1"/>
  <c r="F6600" i="9"/>
  <c r="H6600" i="9" s="1"/>
  <c r="F6601" i="9"/>
  <c r="H6601" i="9" s="1"/>
  <c r="F6602" i="9"/>
  <c r="H6602" i="9" s="1"/>
  <c r="F6603" i="9"/>
  <c r="H6603" i="9" s="1"/>
  <c r="F6604" i="9"/>
  <c r="H6604" i="9" s="1"/>
  <c r="F6605" i="9"/>
  <c r="H6605" i="9" s="1"/>
  <c r="F6606" i="9"/>
  <c r="H6606" i="9" s="1"/>
  <c r="F6607" i="9"/>
  <c r="H6607" i="9" s="1"/>
  <c r="F6608" i="9"/>
  <c r="H6608" i="9" s="1"/>
  <c r="F6609" i="9"/>
  <c r="H6609" i="9" s="1"/>
  <c r="F6610" i="9"/>
  <c r="H6610" i="9" s="1"/>
  <c r="F6611" i="9"/>
  <c r="H6611" i="9" s="1"/>
  <c r="F6612" i="9"/>
  <c r="H6612" i="9" s="1"/>
  <c r="F6613" i="9"/>
  <c r="H6613" i="9" s="1"/>
  <c r="F6614" i="9"/>
  <c r="H6614" i="9" s="1"/>
  <c r="F6615" i="9"/>
  <c r="H6615" i="9" s="1"/>
  <c r="F6616" i="9"/>
  <c r="H6616" i="9" s="1"/>
  <c r="F6617" i="9"/>
  <c r="H6617" i="9" s="1"/>
  <c r="F6618" i="9"/>
  <c r="H6618" i="9" s="1"/>
  <c r="F6619" i="9"/>
  <c r="H6619" i="9" s="1"/>
  <c r="F6620" i="9"/>
  <c r="H6620" i="9" s="1"/>
  <c r="F6621" i="9"/>
  <c r="H6621" i="9" s="1"/>
  <c r="F6622" i="9"/>
  <c r="H6622" i="9" s="1"/>
  <c r="F6623" i="9"/>
  <c r="H6623" i="9" s="1"/>
  <c r="F6624" i="9"/>
  <c r="H6624" i="9" s="1"/>
  <c r="F6625" i="9"/>
  <c r="H6625" i="9" s="1"/>
  <c r="F6626" i="9"/>
  <c r="H6626" i="9" s="1"/>
  <c r="F6627" i="9"/>
  <c r="H6627" i="9" s="1"/>
  <c r="F6628" i="9"/>
  <c r="H6628" i="9" s="1"/>
  <c r="F6629" i="9"/>
  <c r="H6629" i="9" s="1"/>
  <c r="F6630" i="9"/>
  <c r="H6630" i="9" s="1"/>
  <c r="F6631" i="9"/>
  <c r="H6631" i="9" s="1"/>
  <c r="F6632" i="9"/>
  <c r="H6632" i="9" s="1"/>
  <c r="F6633" i="9"/>
  <c r="H6633" i="9" s="1"/>
  <c r="F6634" i="9"/>
  <c r="H6634" i="9" s="1"/>
  <c r="F6635" i="9"/>
  <c r="H6635" i="9" s="1"/>
  <c r="F6636" i="9"/>
  <c r="H6636" i="9" s="1"/>
  <c r="F6637" i="9"/>
  <c r="H6637" i="9" s="1"/>
  <c r="F6638" i="9"/>
  <c r="H6638" i="9" s="1"/>
  <c r="F6639" i="9"/>
  <c r="H6639" i="9" s="1"/>
  <c r="F6640" i="9"/>
  <c r="H6640" i="9" s="1"/>
  <c r="F6641" i="9"/>
  <c r="H6641" i="9" s="1"/>
  <c r="F6642" i="9"/>
  <c r="H6642" i="9" s="1"/>
  <c r="F6643" i="9"/>
  <c r="H6643" i="9" s="1"/>
  <c r="F6644" i="9"/>
  <c r="H6644" i="9" s="1"/>
  <c r="F6645" i="9"/>
  <c r="H6645" i="9" s="1"/>
  <c r="F6646" i="9"/>
  <c r="H6646" i="9" s="1"/>
  <c r="F6647" i="9"/>
  <c r="H6647" i="9" s="1"/>
  <c r="F6648" i="9"/>
  <c r="H6648" i="9" s="1"/>
  <c r="F6649" i="9"/>
  <c r="H6649" i="9"/>
  <c r="F6650" i="9"/>
  <c r="H6650" i="9" s="1"/>
  <c r="F6651" i="9"/>
  <c r="H6651" i="9" s="1"/>
  <c r="F6652" i="9"/>
  <c r="H6652" i="9" s="1"/>
  <c r="F6653" i="9"/>
  <c r="H6653" i="9" s="1"/>
  <c r="F6654" i="9"/>
  <c r="H6654" i="9" s="1"/>
  <c r="F6655" i="9"/>
  <c r="H6655" i="9" s="1"/>
  <c r="F6656" i="9"/>
  <c r="H6656" i="9" s="1"/>
  <c r="F6657" i="9"/>
  <c r="H6657" i="9" s="1"/>
  <c r="F6658" i="9"/>
  <c r="H6658" i="9" s="1"/>
  <c r="F6659" i="9"/>
  <c r="H6659" i="9" s="1"/>
  <c r="F6660" i="9"/>
  <c r="H6660" i="9" s="1"/>
  <c r="F6661" i="9"/>
  <c r="H6661" i="9" s="1"/>
  <c r="F6662" i="9"/>
  <c r="H6662" i="9" s="1"/>
  <c r="F6663" i="9"/>
  <c r="H6663" i="9" s="1"/>
  <c r="F6664" i="9"/>
  <c r="H6664" i="9" s="1"/>
  <c r="F6665" i="9"/>
  <c r="H6665" i="9" s="1"/>
  <c r="F6666" i="9"/>
  <c r="H6666" i="9" s="1"/>
  <c r="F6667" i="9"/>
  <c r="H6667" i="9" s="1"/>
  <c r="F6668" i="9"/>
  <c r="H6668" i="9" s="1"/>
  <c r="F6669" i="9"/>
  <c r="H6669" i="9" s="1"/>
  <c r="F6670" i="9"/>
  <c r="H6670" i="9" s="1"/>
  <c r="F6671" i="9"/>
  <c r="H6671" i="9" s="1"/>
  <c r="F6672" i="9"/>
  <c r="H6672" i="9" s="1"/>
  <c r="F6673" i="9"/>
  <c r="H6673" i="9" s="1"/>
  <c r="F6674" i="9"/>
  <c r="H6674" i="9" s="1"/>
  <c r="F6675" i="9"/>
  <c r="H6675" i="9" s="1"/>
  <c r="F6676" i="9"/>
  <c r="H6676" i="9" s="1"/>
  <c r="F6677" i="9"/>
  <c r="H6677" i="9" s="1"/>
  <c r="F6678" i="9"/>
  <c r="H6678" i="9" s="1"/>
  <c r="F6679" i="9"/>
  <c r="H6679" i="9" s="1"/>
  <c r="F6680" i="9"/>
  <c r="H6680" i="9" s="1"/>
  <c r="F6681" i="9"/>
  <c r="H6681" i="9" s="1"/>
  <c r="F6682" i="9"/>
  <c r="H6682" i="9" s="1"/>
  <c r="F6683" i="9"/>
  <c r="H6683" i="9" s="1"/>
  <c r="F6684" i="9"/>
  <c r="H6684" i="9" s="1"/>
  <c r="F6685" i="9"/>
  <c r="H6685" i="9" s="1"/>
  <c r="F6686" i="9"/>
  <c r="H6686" i="9" s="1"/>
  <c r="F6687" i="9"/>
  <c r="H6687" i="9" s="1"/>
  <c r="F6688" i="9"/>
  <c r="H6688" i="9" s="1"/>
  <c r="F6689" i="9"/>
  <c r="H6689" i="9" s="1"/>
  <c r="F6690" i="9"/>
  <c r="H6690" i="9" s="1"/>
  <c r="F6691" i="9"/>
  <c r="H6691" i="9" s="1"/>
  <c r="F6692" i="9"/>
  <c r="H6692" i="9" s="1"/>
  <c r="F6693" i="9"/>
  <c r="H6693" i="9" s="1"/>
  <c r="F6694" i="9"/>
  <c r="H6694" i="9" s="1"/>
  <c r="F6695" i="9"/>
  <c r="H6695" i="9" s="1"/>
  <c r="F6696" i="9"/>
  <c r="H6696" i="9" s="1"/>
  <c r="F6697" i="9"/>
  <c r="H6697" i="9" s="1"/>
  <c r="F6698" i="9"/>
  <c r="H6698" i="9" s="1"/>
  <c r="F6699" i="9"/>
  <c r="H6699" i="9" s="1"/>
  <c r="F6700" i="9"/>
  <c r="H6700" i="9" s="1"/>
  <c r="F6701" i="9"/>
  <c r="H6701" i="9" s="1"/>
  <c r="F6702" i="9"/>
  <c r="H6702" i="9" s="1"/>
  <c r="F6703" i="9"/>
  <c r="H6703" i="9" s="1"/>
  <c r="F6704" i="9"/>
  <c r="H6704" i="9" s="1"/>
  <c r="F6705" i="9"/>
  <c r="H6705" i="9" s="1"/>
  <c r="F6706" i="9"/>
  <c r="H6706" i="9" s="1"/>
  <c r="F6707" i="9"/>
  <c r="H6707" i="9" s="1"/>
  <c r="F6708" i="9"/>
  <c r="H6708" i="9" s="1"/>
  <c r="F6709" i="9"/>
  <c r="H6709" i="9" s="1"/>
  <c r="F6710" i="9"/>
  <c r="H6710" i="9" s="1"/>
  <c r="F6711" i="9"/>
  <c r="H6711" i="9" s="1"/>
  <c r="F6712" i="9"/>
  <c r="H6712" i="9" s="1"/>
  <c r="F6713" i="9"/>
  <c r="H6713" i="9" s="1"/>
  <c r="F6714" i="9"/>
  <c r="H6714" i="9" s="1"/>
  <c r="F6715" i="9"/>
  <c r="H6715" i="9" s="1"/>
  <c r="F6716" i="9"/>
  <c r="H6716" i="9" s="1"/>
  <c r="F6717" i="9"/>
  <c r="H6717" i="9" s="1"/>
  <c r="F6718" i="9"/>
  <c r="H6718" i="9" s="1"/>
  <c r="F6719" i="9"/>
  <c r="H6719" i="9" s="1"/>
  <c r="F6720" i="9"/>
  <c r="H6720" i="9" s="1"/>
  <c r="F6721" i="9"/>
  <c r="H6721" i="9" s="1"/>
  <c r="F6722" i="9"/>
  <c r="H6722" i="9" s="1"/>
  <c r="F6723" i="9"/>
  <c r="H6723" i="9" s="1"/>
  <c r="F6724" i="9"/>
  <c r="H6724" i="9" s="1"/>
  <c r="F6725" i="9"/>
  <c r="H6725" i="9" s="1"/>
  <c r="F6726" i="9"/>
  <c r="H6726" i="9" s="1"/>
  <c r="F6727" i="9"/>
  <c r="H6727" i="9" s="1"/>
  <c r="F6728" i="9"/>
  <c r="H6728" i="9" s="1"/>
  <c r="F6729" i="9"/>
  <c r="H6729" i="9" s="1"/>
  <c r="F6730" i="9"/>
  <c r="H6730" i="9" s="1"/>
  <c r="F6731" i="9"/>
  <c r="H6731" i="9" s="1"/>
  <c r="F6732" i="9"/>
  <c r="H6732" i="9" s="1"/>
  <c r="F6733" i="9"/>
  <c r="H6733" i="9" s="1"/>
  <c r="F6734" i="9"/>
  <c r="H6734" i="9" s="1"/>
  <c r="F6735" i="9"/>
  <c r="H6735" i="9" s="1"/>
  <c r="F6736" i="9"/>
  <c r="H6736" i="9" s="1"/>
  <c r="F6737" i="9"/>
  <c r="H6737" i="9" s="1"/>
  <c r="F6738" i="9"/>
  <c r="H6738" i="9" s="1"/>
  <c r="F6739" i="9"/>
  <c r="H6739" i="9" s="1"/>
  <c r="F6740" i="9"/>
  <c r="H6740" i="9" s="1"/>
  <c r="F6741" i="9"/>
  <c r="H6741" i="9" s="1"/>
  <c r="F6742" i="9"/>
  <c r="H6742" i="9" s="1"/>
  <c r="F6743" i="9"/>
  <c r="H6743" i="9" s="1"/>
  <c r="F6744" i="9"/>
  <c r="H6744" i="9" s="1"/>
  <c r="F6745" i="9"/>
  <c r="H6745" i="9" s="1"/>
  <c r="F6746" i="9"/>
  <c r="H6746" i="9" s="1"/>
  <c r="F6747" i="9"/>
  <c r="H6747" i="9" s="1"/>
  <c r="F6748" i="9"/>
  <c r="H6748" i="9" s="1"/>
  <c r="F6749" i="9"/>
  <c r="H6749" i="9" s="1"/>
  <c r="F6750" i="9"/>
  <c r="H6750" i="9" s="1"/>
  <c r="F6751" i="9"/>
  <c r="H6751" i="9" s="1"/>
  <c r="F6752" i="9"/>
  <c r="H6752" i="9" s="1"/>
  <c r="F6753" i="9"/>
  <c r="H6753" i="9" s="1"/>
  <c r="F6754" i="9"/>
  <c r="H6754" i="9" s="1"/>
  <c r="F6755" i="9"/>
  <c r="H6755" i="9" s="1"/>
  <c r="F6756" i="9"/>
  <c r="H6756" i="9" s="1"/>
  <c r="F6757" i="9"/>
  <c r="H6757" i="9" s="1"/>
  <c r="F6758" i="9"/>
  <c r="H6758" i="9" s="1"/>
  <c r="F6759" i="9"/>
  <c r="H6759" i="9" s="1"/>
  <c r="F6760" i="9"/>
  <c r="H6760" i="9" s="1"/>
  <c r="F6761" i="9"/>
  <c r="H6761" i="9" s="1"/>
  <c r="F6762" i="9"/>
  <c r="H6762" i="9" s="1"/>
  <c r="F6763" i="9"/>
  <c r="H6763" i="9" s="1"/>
  <c r="F6764" i="9"/>
  <c r="H6764" i="9" s="1"/>
  <c r="F6765" i="9"/>
  <c r="H6765" i="9" s="1"/>
  <c r="F6766" i="9"/>
  <c r="H6766" i="9" s="1"/>
  <c r="F6767" i="9"/>
  <c r="H6767" i="9" s="1"/>
  <c r="F6768" i="9"/>
  <c r="H6768" i="9"/>
  <c r="F6769" i="9"/>
  <c r="H6769" i="9" s="1"/>
  <c r="F6770" i="9"/>
  <c r="H6770" i="9" s="1"/>
  <c r="F6771" i="9"/>
  <c r="H6771" i="9" s="1"/>
  <c r="F6772" i="9"/>
  <c r="H6772" i="9" s="1"/>
  <c r="F6773" i="9"/>
  <c r="H6773" i="9" s="1"/>
  <c r="F6774" i="9"/>
  <c r="H6774" i="9" s="1"/>
  <c r="F6775" i="9"/>
  <c r="H6775" i="9" s="1"/>
  <c r="F6776" i="9"/>
  <c r="H6776" i="9" s="1"/>
  <c r="F6777" i="9"/>
  <c r="H6777" i="9" s="1"/>
  <c r="F6778" i="9"/>
  <c r="H6778" i="9" s="1"/>
  <c r="F6779" i="9"/>
  <c r="H6779" i="9" s="1"/>
  <c r="F6780" i="9"/>
  <c r="H6780" i="9" s="1"/>
  <c r="F6781" i="9"/>
  <c r="H6781" i="9" s="1"/>
  <c r="F6782" i="9"/>
  <c r="H6782" i="9" s="1"/>
  <c r="F6783" i="9"/>
  <c r="H6783" i="9" s="1"/>
  <c r="F6784" i="9"/>
  <c r="H6784" i="9" s="1"/>
  <c r="F6785" i="9"/>
  <c r="H6785" i="9" s="1"/>
  <c r="F6786" i="9"/>
  <c r="H6786" i="9" s="1"/>
  <c r="F6787" i="9"/>
  <c r="H6787" i="9" s="1"/>
  <c r="F6788" i="9"/>
  <c r="H6788" i="9" s="1"/>
  <c r="F6789" i="9"/>
  <c r="H6789" i="9" s="1"/>
  <c r="F6790" i="9"/>
  <c r="H6790" i="9" s="1"/>
  <c r="F6791" i="9"/>
  <c r="H6791" i="9" s="1"/>
  <c r="F6792" i="9"/>
  <c r="H6792" i="9" s="1"/>
  <c r="F6793" i="9"/>
  <c r="H6793" i="9" s="1"/>
  <c r="F6794" i="9"/>
  <c r="H6794" i="9" s="1"/>
  <c r="F6795" i="9"/>
  <c r="H6795" i="9" s="1"/>
  <c r="F6796" i="9"/>
  <c r="H6796" i="9" s="1"/>
  <c r="F6797" i="9"/>
  <c r="H6797" i="9" s="1"/>
  <c r="F6798" i="9"/>
  <c r="H6798" i="9" s="1"/>
  <c r="F6799" i="9"/>
  <c r="H6799" i="9" s="1"/>
  <c r="F6800" i="9"/>
  <c r="H6800" i="9" s="1"/>
  <c r="F6801" i="9"/>
  <c r="H6801" i="9" s="1"/>
  <c r="F6802" i="9"/>
  <c r="H6802" i="9" s="1"/>
  <c r="F6803" i="9"/>
  <c r="H6803" i="9" s="1"/>
  <c r="F6804" i="9"/>
  <c r="H6804" i="9" s="1"/>
  <c r="F6805" i="9"/>
  <c r="H6805" i="9" s="1"/>
  <c r="F6806" i="9"/>
  <c r="H6806" i="9" s="1"/>
  <c r="F6807" i="9"/>
  <c r="H6807" i="9" s="1"/>
  <c r="F6808" i="9"/>
  <c r="H6808" i="9" s="1"/>
  <c r="F6809" i="9"/>
  <c r="H6809" i="9" s="1"/>
  <c r="F6810" i="9"/>
  <c r="H6810" i="9" s="1"/>
  <c r="F6811" i="9"/>
  <c r="H6811" i="9" s="1"/>
  <c r="F6812" i="9"/>
  <c r="H6812" i="9" s="1"/>
  <c r="F6813" i="9"/>
  <c r="H6813" i="9" s="1"/>
  <c r="F6814" i="9"/>
  <c r="H6814" i="9" s="1"/>
  <c r="F6815" i="9"/>
  <c r="H6815" i="9" s="1"/>
  <c r="F6816" i="9"/>
  <c r="H6816" i="9" s="1"/>
  <c r="F6817" i="9"/>
  <c r="H6817" i="9" s="1"/>
  <c r="F6818" i="9"/>
  <c r="H6818" i="9" s="1"/>
  <c r="F6819" i="9"/>
  <c r="H6819" i="9" s="1"/>
  <c r="F6820" i="9"/>
  <c r="H6820" i="9" s="1"/>
  <c r="F6821" i="9"/>
  <c r="H6821" i="9" s="1"/>
  <c r="F6822" i="9"/>
  <c r="H6822" i="9" s="1"/>
  <c r="F6823" i="9"/>
  <c r="H6823" i="9" s="1"/>
  <c r="F6824" i="9"/>
  <c r="H6824" i="9" s="1"/>
  <c r="F6825" i="9"/>
  <c r="H6825" i="9" s="1"/>
  <c r="F6826" i="9"/>
  <c r="H6826" i="9" s="1"/>
  <c r="F6827" i="9"/>
  <c r="H6827" i="9" s="1"/>
  <c r="F6828" i="9"/>
  <c r="H6828" i="9" s="1"/>
  <c r="F6829" i="9"/>
  <c r="H6829" i="9" s="1"/>
  <c r="F6830" i="9"/>
  <c r="H6830" i="9" s="1"/>
  <c r="F6831" i="9"/>
  <c r="H6831" i="9" s="1"/>
  <c r="F6832" i="9"/>
  <c r="H6832" i="9" s="1"/>
  <c r="F6833" i="9"/>
  <c r="H6833" i="9" s="1"/>
  <c r="F6834" i="9"/>
  <c r="H6834" i="9" s="1"/>
  <c r="F6835" i="9"/>
  <c r="H6835" i="9" s="1"/>
  <c r="F6836" i="9"/>
  <c r="H6836" i="9" s="1"/>
  <c r="F6837" i="9"/>
  <c r="H6837" i="9" s="1"/>
  <c r="F6838" i="9"/>
  <c r="H6838" i="9" s="1"/>
  <c r="F6839" i="9"/>
  <c r="H6839" i="9" s="1"/>
  <c r="F6840" i="9"/>
  <c r="H6840" i="9" s="1"/>
  <c r="F6841" i="9"/>
  <c r="H6841" i="9" s="1"/>
  <c r="F6842" i="9"/>
  <c r="H6842" i="9" s="1"/>
  <c r="F6843" i="9"/>
  <c r="H6843" i="9" s="1"/>
  <c r="F6844" i="9"/>
  <c r="H6844" i="9" s="1"/>
  <c r="F6845" i="9"/>
  <c r="H6845" i="9" s="1"/>
  <c r="F6846" i="9"/>
  <c r="H6846" i="9" s="1"/>
  <c r="F6847" i="9"/>
  <c r="H6847" i="9" s="1"/>
  <c r="F6848" i="9"/>
  <c r="H6848" i="9" s="1"/>
  <c r="F6849" i="9"/>
  <c r="H6849" i="9" s="1"/>
  <c r="F6850" i="9"/>
  <c r="H6850" i="9" s="1"/>
  <c r="F6851" i="9"/>
  <c r="H6851" i="9" s="1"/>
  <c r="F6852" i="9"/>
  <c r="H6852" i="9" s="1"/>
  <c r="F6853" i="9"/>
  <c r="H6853" i="9" s="1"/>
  <c r="F6854" i="9"/>
  <c r="H6854" i="9" s="1"/>
  <c r="F6855" i="9"/>
  <c r="H6855" i="9" s="1"/>
  <c r="F6856" i="9"/>
  <c r="H6856" i="9" s="1"/>
  <c r="F6857" i="9"/>
  <c r="H6857" i="9" s="1"/>
  <c r="F6858" i="9"/>
  <c r="H6858" i="9" s="1"/>
  <c r="F6859" i="9"/>
  <c r="H6859" i="9" s="1"/>
  <c r="F6860" i="9"/>
  <c r="H6860" i="9" s="1"/>
  <c r="F6861" i="9"/>
  <c r="H6861" i="9" s="1"/>
  <c r="F6862" i="9"/>
  <c r="H6862" i="9" s="1"/>
  <c r="F6863" i="9"/>
  <c r="H6863" i="9" s="1"/>
  <c r="F6864" i="9"/>
  <c r="H6864" i="9" s="1"/>
  <c r="F6865" i="9"/>
  <c r="H6865" i="9" s="1"/>
  <c r="F6866" i="9"/>
  <c r="H6866" i="9" s="1"/>
  <c r="F6867" i="9"/>
  <c r="H6867" i="9" s="1"/>
  <c r="F6868" i="9"/>
  <c r="H6868" i="9" s="1"/>
  <c r="F6869" i="9"/>
  <c r="H6869" i="9" s="1"/>
  <c r="F6870" i="9"/>
  <c r="H6870" i="9" s="1"/>
  <c r="F6871" i="9"/>
  <c r="H6871" i="9" s="1"/>
  <c r="F6872" i="9"/>
  <c r="H6872" i="9" s="1"/>
  <c r="F6873" i="9"/>
  <c r="H6873" i="9" s="1"/>
  <c r="F6874" i="9"/>
  <c r="H6874" i="9" s="1"/>
  <c r="F6875" i="9"/>
  <c r="H6875" i="9" s="1"/>
  <c r="F6876" i="9"/>
  <c r="H6876" i="9" s="1"/>
  <c r="F6877" i="9"/>
  <c r="H6877" i="9" s="1"/>
  <c r="F6878" i="9"/>
  <c r="H6878" i="9" s="1"/>
  <c r="F6879" i="9"/>
  <c r="H6879" i="9" s="1"/>
  <c r="F6880" i="9"/>
  <c r="H6880" i="9" s="1"/>
  <c r="F6881" i="9"/>
  <c r="H6881" i="9" s="1"/>
  <c r="F6882" i="9"/>
  <c r="H6882" i="9" s="1"/>
  <c r="F6883" i="9"/>
  <c r="H6883" i="9"/>
  <c r="F6884" i="9"/>
  <c r="H6884" i="9" s="1"/>
  <c r="F6885" i="9"/>
  <c r="H6885" i="9" s="1"/>
  <c r="F6886" i="9"/>
  <c r="H6886" i="9" s="1"/>
  <c r="F6887" i="9"/>
  <c r="H6887" i="9" s="1"/>
  <c r="F6888" i="9"/>
  <c r="H6888" i="9" s="1"/>
  <c r="F6889" i="9"/>
  <c r="H6889" i="9" s="1"/>
  <c r="F6890" i="9"/>
  <c r="H6890" i="9" s="1"/>
  <c r="F6891" i="9"/>
  <c r="H6891" i="9" s="1"/>
  <c r="F6892" i="9"/>
  <c r="H6892" i="9" s="1"/>
  <c r="F6893" i="9"/>
  <c r="H6893" i="9" s="1"/>
  <c r="F6894" i="9"/>
  <c r="H6894" i="9" s="1"/>
  <c r="F6895" i="9"/>
  <c r="H6895" i="9" s="1"/>
  <c r="F6896" i="9"/>
  <c r="H6896" i="9" s="1"/>
  <c r="F6897" i="9"/>
  <c r="H6897" i="9" s="1"/>
  <c r="F6898" i="9"/>
  <c r="H6898" i="9" s="1"/>
  <c r="F6899" i="9"/>
  <c r="H6899" i="9" s="1"/>
  <c r="F6900" i="9"/>
  <c r="H6900" i="9" s="1"/>
  <c r="F6901" i="9"/>
  <c r="H6901" i="9" s="1"/>
  <c r="F6902" i="9"/>
  <c r="H6902" i="9" s="1"/>
  <c r="F6903" i="9"/>
  <c r="H6903" i="9" s="1"/>
  <c r="F6904" i="9"/>
  <c r="H6904" i="9" s="1"/>
  <c r="F6905" i="9"/>
  <c r="H6905" i="9" s="1"/>
  <c r="F6906" i="9"/>
  <c r="H6906" i="9" s="1"/>
  <c r="F6907" i="9"/>
  <c r="H6907" i="9" s="1"/>
  <c r="F6908" i="9"/>
  <c r="H6908" i="9" s="1"/>
  <c r="F6909" i="9"/>
  <c r="H6909" i="9" s="1"/>
  <c r="F6910" i="9"/>
  <c r="H6910" i="9" s="1"/>
  <c r="F6911" i="9"/>
  <c r="H6911" i="9" s="1"/>
  <c r="F6912" i="9"/>
  <c r="H6912" i="9" s="1"/>
  <c r="F6913" i="9"/>
  <c r="H6913" i="9" s="1"/>
  <c r="F6914" i="9"/>
  <c r="H6914" i="9" s="1"/>
  <c r="F6915" i="9"/>
  <c r="H6915" i="9" s="1"/>
  <c r="F6916" i="9"/>
  <c r="H6916" i="9" s="1"/>
  <c r="F6917" i="9"/>
  <c r="H6917" i="9" s="1"/>
  <c r="F6918" i="9"/>
  <c r="H6918" i="9" s="1"/>
  <c r="F6919" i="9"/>
  <c r="H6919" i="9" s="1"/>
  <c r="F6920" i="9"/>
  <c r="H6920" i="9" s="1"/>
  <c r="F6921" i="9"/>
  <c r="H6921" i="9" s="1"/>
  <c r="F6922" i="9"/>
  <c r="H6922" i="9" s="1"/>
  <c r="F6923" i="9"/>
  <c r="H6923" i="9" s="1"/>
  <c r="F6924" i="9"/>
  <c r="H6924" i="9" s="1"/>
  <c r="F6925" i="9"/>
  <c r="H6925" i="9" s="1"/>
  <c r="F6926" i="9"/>
  <c r="H6926" i="9" s="1"/>
  <c r="F6927" i="9"/>
  <c r="H6927" i="9" s="1"/>
  <c r="F6928" i="9"/>
  <c r="H6928" i="9" s="1"/>
  <c r="F6929" i="9"/>
  <c r="H6929" i="9" s="1"/>
  <c r="F6930" i="9"/>
  <c r="H6930" i="9" s="1"/>
  <c r="F6931" i="9"/>
  <c r="H6931" i="9" s="1"/>
  <c r="F6932" i="9"/>
  <c r="H6932" i="9" s="1"/>
  <c r="F6933" i="9"/>
  <c r="H6933" i="9" s="1"/>
  <c r="F6934" i="9"/>
  <c r="H6934" i="9" s="1"/>
  <c r="F6935" i="9"/>
  <c r="H6935" i="9" s="1"/>
  <c r="F6936" i="9"/>
  <c r="H6936" i="9" s="1"/>
  <c r="F6937" i="9"/>
  <c r="H6937" i="9" s="1"/>
  <c r="F6938" i="9"/>
  <c r="H6938" i="9" s="1"/>
  <c r="F6939" i="9"/>
  <c r="H6939" i="9" s="1"/>
  <c r="F6940" i="9"/>
  <c r="H6940" i="9" s="1"/>
  <c r="F6941" i="9"/>
  <c r="H6941" i="9" s="1"/>
  <c r="F6942" i="9"/>
  <c r="H6942" i="9" s="1"/>
  <c r="F6943" i="9"/>
  <c r="H6943" i="9" s="1"/>
  <c r="F6944" i="9"/>
  <c r="H6944" i="9" s="1"/>
  <c r="F6945" i="9"/>
  <c r="H6945" i="9" s="1"/>
  <c r="F6946" i="9"/>
  <c r="H6946" i="9" s="1"/>
  <c r="F6947" i="9"/>
  <c r="H6947" i="9" s="1"/>
  <c r="F6948" i="9"/>
  <c r="H6948" i="9" s="1"/>
  <c r="F6949" i="9"/>
  <c r="H6949" i="9" s="1"/>
  <c r="F6950" i="9"/>
  <c r="H6950" i="9" s="1"/>
  <c r="F6951" i="9"/>
  <c r="H6951" i="9" s="1"/>
  <c r="F6952" i="9"/>
  <c r="H6952" i="9" s="1"/>
  <c r="F6953" i="9"/>
  <c r="H6953" i="9" s="1"/>
  <c r="F6954" i="9"/>
  <c r="H6954" i="9" s="1"/>
  <c r="F6955" i="9"/>
  <c r="H6955" i="9" s="1"/>
  <c r="F6956" i="9"/>
  <c r="H6956" i="9" s="1"/>
  <c r="F6957" i="9"/>
  <c r="H6957" i="9" s="1"/>
  <c r="F6958" i="9"/>
  <c r="H6958" i="9" s="1"/>
  <c r="F6959" i="9"/>
  <c r="H6959" i="9" s="1"/>
  <c r="F6960" i="9"/>
  <c r="H6960" i="9" s="1"/>
  <c r="F6961" i="9"/>
  <c r="H6961" i="9" s="1"/>
  <c r="F6962" i="9"/>
  <c r="H6962" i="9" s="1"/>
  <c r="F6963" i="9"/>
  <c r="H6963" i="9" s="1"/>
  <c r="F6964" i="9"/>
  <c r="H6964" i="9" s="1"/>
  <c r="F6965" i="9"/>
  <c r="H6965" i="9" s="1"/>
  <c r="F6966" i="9"/>
  <c r="H6966" i="9" s="1"/>
  <c r="F6967" i="9"/>
  <c r="H6967" i="9" s="1"/>
  <c r="F6968" i="9"/>
  <c r="H6968" i="9" s="1"/>
  <c r="F6969" i="9"/>
  <c r="H6969" i="9" s="1"/>
  <c r="F6970" i="9"/>
  <c r="H6970" i="9" s="1"/>
  <c r="F6971" i="9"/>
  <c r="H6971" i="9" s="1"/>
  <c r="F6972" i="9"/>
  <c r="H6972" i="9" s="1"/>
  <c r="F6973" i="9"/>
  <c r="H6973" i="9" s="1"/>
  <c r="F6974" i="9"/>
  <c r="H6974" i="9" s="1"/>
  <c r="F6975" i="9"/>
  <c r="H6975" i="9" s="1"/>
  <c r="F6976" i="9"/>
  <c r="H6976" i="9" s="1"/>
  <c r="F6977" i="9"/>
  <c r="H6977" i="9" s="1"/>
  <c r="F6978" i="9"/>
  <c r="H6978" i="9" s="1"/>
  <c r="F6979" i="9"/>
  <c r="H6979" i="9" s="1"/>
  <c r="F6980" i="9"/>
  <c r="H6980" i="9" s="1"/>
  <c r="F6981" i="9"/>
  <c r="H6981" i="9" s="1"/>
  <c r="F6982" i="9"/>
  <c r="H6982" i="9" s="1"/>
  <c r="F6983" i="9"/>
  <c r="H6983" i="9" s="1"/>
  <c r="F6984" i="9"/>
  <c r="H6984" i="9" s="1"/>
  <c r="F6985" i="9"/>
  <c r="H6985" i="9" s="1"/>
  <c r="F6986" i="9"/>
  <c r="H6986" i="9" s="1"/>
  <c r="F6987" i="9"/>
  <c r="H6987" i="9" s="1"/>
  <c r="F6988" i="9"/>
  <c r="H6988" i="9" s="1"/>
  <c r="F6989" i="9"/>
  <c r="H6989" i="9" s="1"/>
  <c r="F6990" i="9"/>
  <c r="H6990" i="9" s="1"/>
  <c r="F6991" i="9"/>
  <c r="H6991" i="9" s="1"/>
  <c r="F6992" i="9"/>
  <c r="H6992" i="9" s="1"/>
  <c r="F6993" i="9"/>
  <c r="H6993" i="9" s="1"/>
  <c r="F6994" i="9"/>
  <c r="H6994" i="9" s="1"/>
  <c r="F6995" i="9"/>
  <c r="H6995" i="9" s="1"/>
  <c r="F6996" i="9"/>
  <c r="H6996" i="9" s="1"/>
  <c r="F6997" i="9"/>
  <c r="H6997" i="9" s="1"/>
  <c r="F6998" i="9"/>
  <c r="H6998" i="9" s="1"/>
  <c r="F6999" i="9"/>
  <c r="H6999" i="9" s="1"/>
  <c r="F7000" i="9"/>
  <c r="H7000" i="9" s="1"/>
  <c r="F7001" i="9"/>
  <c r="H7001" i="9" s="1"/>
  <c r="F7002" i="9"/>
  <c r="H7002" i="9" s="1"/>
  <c r="F7003" i="9"/>
  <c r="H7003" i="9" s="1"/>
  <c r="F7004" i="9"/>
  <c r="H7004" i="9" s="1"/>
  <c r="F7005" i="9"/>
  <c r="H7005" i="9" s="1"/>
  <c r="F7006" i="9"/>
  <c r="H7006" i="9" s="1"/>
  <c r="F7007" i="9"/>
  <c r="H7007" i="9" s="1"/>
  <c r="F7008" i="9"/>
  <c r="H7008" i="9" s="1"/>
  <c r="F7009" i="9"/>
  <c r="H7009" i="9" s="1"/>
  <c r="F7010" i="9"/>
  <c r="H7010" i="9" s="1"/>
  <c r="F7011" i="9"/>
  <c r="H7011" i="9" s="1"/>
  <c r="F7012" i="9"/>
  <c r="H7012" i="9"/>
  <c r="F7013" i="9"/>
  <c r="H7013" i="9" s="1"/>
  <c r="F7014" i="9"/>
  <c r="H7014" i="9" s="1"/>
  <c r="F7015" i="9"/>
  <c r="H7015" i="9" s="1"/>
  <c r="F7016" i="9"/>
  <c r="H7016" i="9" s="1"/>
  <c r="F7017" i="9"/>
  <c r="H7017" i="9" s="1"/>
  <c r="F7018" i="9"/>
  <c r="H7018" i="9" s="1"/>
  <c r="F7019" i="9"/>
  <c r="H7019" i="9" s="1"/>
  <c r="F7020" i="9"/>
  <c r="H7020" i="9" s="1"/>
  <c r="F7021" i="9"/>
  <c r="H7021" i="9" s="1"/>
  <c r="F7022" i="9"/>
  <c r="H7022" i="9" s="1"/>
  <c r="F7023" i="9"/>
  <c r="H7023" i="9" s="1"/>
  <c r="F7024" i="9"/>
  <c r="H7024" i="9" s="1"/>
  <c r="F7025" i="9"/>
  <c r="H7025" i="9" s="1"/>
  <c r="F7026" i="9"/>
  <c r="H7026" i="9" s="1"/>
  <c r="F7027" i="9"/>
  <c r="H7027" i="9" s="1"/>
  <c r="F7028" i="9"/>
  <c r="H7028" i="9" s="1"/>
  <c r="F7029" i="9"/>
  <c r="H7029" i="9" s="1"/>
  <c r="F7030" i="9"/>
  <c r="H7030" i="9" s="1"/>
  <c r="F7031" i="9"/>
  <c r="H7031" i="9" s="1"/>
  <c r="F7032" i="9"/>
  <c r="H7032" i="9" s="1"/>
  <c r="F7033" i="9"/>
  <c r="H7033" i="9" s="1"/>
  <c r="F7034" i="9"/>
  <c r="H7034" i="9" s="1"/>
  <c r="F7035" i="9"/>
  <c r="H7035" i="9" s="1"/>
  <c r="F7036" i="9"/>
  <c r="H7036" i="9" s="1"/>
  <c r="F7037" i="9"/>
  <c r="H7037" i="9" s="1"/>
  <c r="F7038" i="9"/>
  <c r="H7038" i="9" s="1"/>
  <c r="F7039" i="9"/>
  <c r="H7039" i="9" s="1"/>
  <c r="F7040" i="9"/>
  <c r="H7040" i="9" s="1"/>
  <c r="F7041" i="9"/>
  <c r="H7041" i="9" s="1"/>
  <c r="F7042" i="9"/>
  <c r="H7042" i="9" s="1"/>
  <c r="F7043" i="9"/>
  <c r="H7043" i="9" s="1"/>
  <c r="F7044" i="9"/>
  <c r="H7044" i="9" s="1"/>
  <c r="F7045" i="9"/>
  <c r="H7045" i="9"/>
  <c r="F7046" i="9"/>
  <c r="H7046" i="9" s="1"/>
  <c r="F7047" i="9"/>
  <c r="H7047" i="9" s="1"/>
  <c r="F7048" i="9"/>
  <c r="H7048" i="9" s="1"/>
  <c r="F7049" i="9"/>
  <c r="H7049" i="9" s="1"/>
  <c r="F7050" i="9"/>
  <c r="H7050" i="9" s="1"/>
  <c r="F7051" i="9"/>
  <c r="H7051" i="9" s="1"/>
  <c r="F7052" i="9"/>
  <c r="H7052" i="9" s="1"/>
  <c r="F7053" i="9"/>
  <c r="H7053" i="9" s="1"/>
  <c r="F7054" i="9"/>
  <c r="H7054" i="9" s="1"/>
  <c r="F7055" i="9"/>
  <c r="H7055" i="9" s="1"/>
  <c r="F7056" i="9"/>
  <c r="H7056" i="9" s="1"/>
  <c r="F7057" i="9"/>
  <c r="H7057" i="9" s="1"/>
  <c r="F7058" i="9"/>
  <c r="H7058" i="9" s="1"/>
  <c r="F7059" i="9"/>
  <c r="H7059" i="9" s="1"/>
  <c r="F7060" i="9"/>
  <c r="H7060" i="9" s="1"/>
  <c r="F7061" i="9"/>
  <c r="H7061" i="9" s="1"/>
  <c r="F7062" i="9"/>
  <c r="H7062" i="9" s="1"/>
  <c r="F7063" i="9"/>
  <c r="H7063" i="9" s="1"/>
  <c r="F7064" i="9"/>
  <c r="H7064" i="9" s="1"/>
  <c r="F7065" i="9"/>
  <c r="H7065" i="9" s="1"/>
  <c r="F7066" i="9"/>
  <c r="H7066" i="9" s="1"/>
  <c r="F7067" i="9"/>
  <c r="H7067" i="9" s="1"/>
  <c r="F7068" i="9"/>
  <c r="H7068" i="9" s="1"/>
  <c r="F7069" i="9"/>
  <c r="H7069" i="9" s="1"/>
  <c r="F7070" i="9"/>
  <c r="H7070" i="9" s="1"/>
  <c r="F7071" i="9"/>
  <c r="H7071" i="9"/>
  <c r="F7072" i="9"/>
  <c r="H7072" i="9" s="1"/>
  <c r="F7073" i="9"/>
  <c r="H7073" i="9" s="1"/>
  <c r="F7074" i="9"/>
  <c r="H7074" i="9" s="1"/>
  <c r="F7075" i="9"/>
  <c r="H7075" i="9" s="1"/>
  <c r="F7076" i="9"/>
  <c r="H7076" i="9" s="1"/>
  <c r="F7077" i="9"/>
  <c r="H7077" i="9" s="1"/>
  <c r="F7078" i="9"/>
  <c r="H7078" i="9" s="1"/>
  <c r="F7079" i="9"/>
  <c r="H7079" i="9" s="1"/>
  <c r="F7080" i="9"/>
  <c r="H7080" i="9" s="1"/>
  <c r="F7081" i="9"/>
  <c r="H7081" i="9"/>
  <c r="F7082" i="9"/>
  <c r="H7082" i="9" s="1"/>
  <c r="F7083" i="9"/>
  <c r="H7083" i="9" s="1"/>
  <c r="F7084" i="9"/>
  <c r="H7084" i="9" s="1"/>
  <c r="F7085" i="9"/>
  <c r="H7085" i="9" s="1"/>
  <c r="F7086" i="9"/>
  <c r="H7086" i="9" s="1"/>
  <c r="F7087" i="9"/>
  <c r="H7087" i="9" s="1"/>
  <c r="F7088" i="9"/>
  <c r="H7088" i="9" s="1"/>
  <c r="F7089" i="9"/>
  <c r="H7089" i="9" s="1"/>
  <c r="F7090" i="9"/>
  <c r="H7090" i="9" s="1"/>
  <c r="F7091" i="9"/>
  <c r="H7091" i="9" s="1"/>
  <c r="F7092" i="9"/>
  <c r="H7092" i="9" s="1"/>
  <c r="F7093" i="9"/>
  <c r="H7093" i="9" s="1"/>
  <c r="F7094" i="9"/>
  <c r="H7094" i="9" s="1"/>
  <c r="F7095" i="9"/>
  <c r="H7095" i="9" s="1"/>
  <c r="F7096" i="9"/>
  <c r="H7096" i="9" s="1"/>
  <c r="F7097" i="9"/>
  <c r="H7097" i="9" s="1"/>
  <c r="F7098" i="9"/>
  <c r="H7098" i="9" s="1"/>
  <c r="F7099" i="9"/>
  <c r="H7099" i="9" s="1"/>
  <c r="F7100" i="9"/>
  <c r="H7100" i="9" s="1"/>
  <c r="F7101" i="9"/>
  <c r="H7101" i="9" s="1"/>
  <c r="F7102" i="9"/>
  <c r="H7102" i="9"/>
  <c r="F7103" i="9"/>
  <c r="H7103" i="9" s="1"/>
  <c r="F7104" i="9"/>
  <c r="H7104" i="9" s="1"/>
  <c r="F7105" i="9"/>
  <c r="H7105" i="9" s="1"/>
  <c r="F7106" i="9"/>
  <c r="H7106" i="9" s="1"/>
  <c r="F7107" i="9"/>
  <c r="H7107" i="9" s="1"/>
  <c r="F7108" i="9"/>
  <c r="H7108" i="9" s="1"/>
  <c r="F7109" i="9"/>
  <c r="H7109" i="9" s="1"/>
  <c r="F7110" i="9"/>
  <c r="H7110" i="9" s="1"/>
  <c r="F7111" i="9"/>
  <c r="H7111" i="9" s="1"/>
  <c r="F7112" i="9"/>
  <c r="H7112" i="9" s="1"/>
  <c r="F7113" i="9"/>
  <c r="H7113" i="9" s="1"/>
  <c r="F7114" i="9"/>
  <c r="H7114" i="9" s="1"/>
  <c r="F7115" i="9"/>
  <c r="H7115" i="9" s="1"/>
  <c r="F7116" i="9"/>
  <c r="H7116" i="9" s="1"/>
  <c r="F7117" i="9"/>
  <c r="H7117" i="9" s="1"/>
  <c r="F7118" i="9"/>
  <c r="H7118" i="9" s="1"/>
  <c r="F7119" i="9"/>
  <c r="H7119" i="9" s="1"/>
  <c r="F7120" i="9"/>
  <c r="H7120" i="9" s="1"/>
  <c r="F7121" i="9"/>
  <c r="H7121" i="9" s="1"/>
  <c r="F7122" i="9"/>
  <c r="H7122" i="9" s="1"/>
  <c r="F7123" i="9"/>
  <c r="H7123" i="9" s="1"/>
  <c r="F7124" i="9"/>
  <c r="H7124" i="9" s="1"/>
  <c r="F7125" i="9"/>
  <c r="H7125" i="9" s="1"/>
  <c r="F7126" i="9"/>
  <c r="H7126" i="9" s="1"/>
  <c r="F7127" i="9"/>
  <c r="H7127" i="9" s="1"/>
  <c r="F7128" i="9"/>
  <c r="H7128" i="9" s="1"/>
  <c r="F7129" i="9"/>
  <c r="H7129" i="9" s="1"/>
  <c r="F7130" i="9"/>
  <c r="H7130" i="9" s="1"/>
  <c r="F7131" i="9"/>
  <c r="H7131" i="9" s="1"/>
  <c r="F7132" i="9"/>
  <c r="H7132" i="9" s="1"/>
  <c r="F7133" i="9"/>
  <c r="H7133" i="9" s="1"/>
  <c r="F7134" i="9"/>
  <c r="H7134" i="9" s="1"/>
  <c r="F7135" i="9"/>
  <c r="H7135" i="9" s="1"/>
  <c r="F7136" i="9"/>
  <c r="H7136" i="9" s="1"/>
  <c r="F7137" i="9"/>
  <c r="H7137" i="9" s="1"/>
  <c r="F7138" i="9"/>
  <c r="H7138" i="9"/>
  <c r="F7139" i="9"/>
  <c r="H7139" i="9" s="1"/>
  <c r="F7140" i="9"/>
  <c r="H7140" i="9" s="1"/>
  <c r="F7141" i="9"/>
  <c r="H7141" i="9" s="1"/>
  <c r="F7142" i="9"/>
  <c r="H7142" i="9" s="1"/>
  <c r="F7143" i="9"/>
  <c r="H7143" i="9" s="1"/>
  <c r="F7144" i="9"/>
  <c r="H7144" i="9" s="1"/>
  <c r="F7145" i="9"/>
  <c r="H7145" i="9" s="1"/>
  <c r="F7146" i="9"/>
  <c r="H7146" i="9" s="1"/>
  <c r="F7147" i="9"/>
  <c r="H7147" i="9" s="1"/>
  <c r="F7148" i="9"/>
  <c r="H7148" i="9" s="1"/>
  <c r="F7149" i="9"/>
  <c r="H7149" i="9" s="1"/>
  <c r="F7150" i="9"/>
  <c r="H7150" i="9" s="1"/>
  <c r="F7151" i="9"/>
  <c r="H7151" i="9" s="1"/>
  <c r="F7152" i="9"/>
  <c r="H7152" i="9" s="1"/>
  <c r="F7153" i="9"/>
  <c r="H7153" i="9" s="1"/>
  <c r="F7154" i="9"/>
  <c r="H7154" i="9" s="1"/>
  <c r="F7155" i="9"/>
  <c r="H7155" i="9" s="1"/>
  <c r="F7156" i="9"/>
  <c r="H7156" i="9" s="1"/>
  <c r="F7157" i="9"/>
  <c r="H7157" i="9" s="1"/>
  <c r="F7158" i="9"/>
  <c r="H7158" i="9" s="1"/>
  <c r="F7159" i="9"/>
  <c r="H7159" i="9" s="1"/>
  <c r="F7160" i="9"/>
  <c r="H7160" i="9"/>
  <c r="F7161" i="9"/>
  <c r="H7161" i="9" s="1"/>
  <c r="F7162" i="9"/>
  <c r="H7162" i="9" s="1"/>
  <c r="F7163" i="9"/>
  <c r="H7163" i="9"/>
  <c r="F7164" i="9"/>
  <c r="H7164" i="9" s="1"/>
  <c r="F7165" i="9"/>
  <c r="H7165" i="9" s="1"/>
  <c r="F7166" i="9"/>
  <c r="H7166" i="9" s="1"/>
  <c r="F7167" i="9"/>
  <c r="H7167" i="9" s="1"/>
  <c r="F7168" i="9"/>
  <c r="H7168" i="9" s="1"/>
  <c r="F7169" i="9"/>
  <c r="H7169" i="9" s="1"/>
  <c r="F7170" i="9"/>
  <c r="H7170" i="9" s="1"/>
  <c r="F7171" i="9"/>
  <c r="H7171" i="9" s="1"/>
  <c r="F7172" i="9"/>
  <c r="H7172" i="9" s="1"/>
  <c r="F7173" i="9"/>
  <c r="H7173" i="9" s="1"/>
  <c r="F7174" i="9"/>
  <c r="H7174" i="9" s="1"/>
  <c r="F7175" i="9"/>
  <c r="H7175" i="9" s="1"/>
  <c r="F7176" i="9"/>
  <c r="H7176" i="9" s="1"/>
  <c r="F7177" i="9"/>
  <c r="H7177" i="9" s="1"/>
  <c r="F7178" i="9"/>
  <c r="H7178" i="9" s="1"/>
  <c r="F7179" i="9"/>
  <c r="H7179" i="9" s="1"/>
  <c r="F7180" i="9"/>
  <c r="H7180" i="9" s="1"/>
  <c r="F7181" i="9"/>
  <c r="H7181" i="9" s="1"/>
  <c r="F7182" i="9"/>
  <c r="H7182" i="9" s="1"/>
  <c r="F7183" i="9"/>
  <c r="H7183" i="9" s="1"/>
  <c r="F7184" i="9"/>
  <c r="H7184" i="9" s="1"/>
  <c r="F7185" i="9"/>
  <c r="H7185" i="9" s="1"/>
  <c r="F7186" i="9"/>
  <c r="H7186" i="9" s="1"/>
  <c r="F7187" i="9"/>
  <c r="H7187" i="9" s="1"/>
  <c r="F7188" i="9"/>
  <c r="H7188" i="9" s="1"/>
  <c r="F7189" i="9"/>
  <c r="H7189" i="9" s="1"/>
  <c r="F7190" i="9"/>
  <c r="H7190" i="9" s="1"/>
  <c r="F7191" i="9"/>
  <c r="H7191" i="9" s="1"/>
  <c r="F7192" i="9"/>
  <c r="H7192" i="9" s="1"/>
  <c r="F7193" i="9"/>
  <c r="H7193" i="9" s="1"/>
  <c r="F7194" i="9"/>
  <c r="H7194" i="9" s="1"/>
  <c r="F7195" i="9"/>
  <c r="H7195" i="9" s="1"/>
  <c r="F7196" i="9"/>
  <c r="H7196" i="9" s="1"/>
  <c r="F7197" i="9"/>
  <c r="H7197" i="9" s="1"/>
  <c r="F7198" i="9"/>
  <c r="H7198" i="9" s="1"/>
  <c r="F7199" i="9"/>
  <c r="H7199" i="9" s="1"/>
  <c r="F7200" i="9"/>
  <c r="H7200" i="9" s="1"/>
  <c r="F7201" i="9"/>
  <c r="H7201" i="9" s="1"/>
  <c r="F7202" i="9"/>
  <c r="H7202" i="9" s="1"/>
  <c r="F7203" i="9"/>
  <c r="H7203" i="9" s="1"/>
  <c r="F7204" i="9"/>
  <c r="H7204" i="9" s="1"/>
  <c r="F7205" i="9"/>
  <c r="H7205" i="9" s="1"/>
  <c r="F7206" i="9"/>
  <c r="H7206" i="9" s="1"/>
  <c r="F7207" i="9"/>
  <c r="H7207" i="9" s="1"/>
  <c r="F7208" i="9"/>
  <c r="H7208" i="9" s="1"/>
  <c r="F7209" i="9"/>
  <c r="H7209" i="9" s="1"/>
  <c r="F7210" i="9"/>
  <c r="H7210" i="9" s="1"/>
  <c r="F7211" i="9"/>
  <c r="H7211" i="9" s="1"/>
  <c r="F7212" i="9"/>
  <c r="H7212" i="9" s="1"/>
  <c r="F7213" i="9"/>
  <c r="H7213" i="9" s="1"/>
  <c r="F7214" i="9"/>
  <c r="H7214" i="9" s="1"/>
  <c r="F7215" i="9"/>
  <c r="H7215" i="9" s="1"/>
  <c r="F7216" i="9"/>
  <c r="H7216" i="9" s="1"/>
  <c r="F7217" i="9"/>
  <c r="H7217" i="9" s="1"/>
  <c r="F7218" i="9"/>
  <c r="H7218" i="9" s="1"/>
  <c r="F7219" i="9"/>
  <c r="H7219" i="9" s="1"/>
  <c r="F7220" i="9"/>
  <c r="H7220" i="9" s="1"/>
  <c r="F7221" i="9"/>
  <c r="H7221" i="9" s="1"/>
  <c r="F7222" i="9"/>
  <c r="H7222" i="9" s="1"/>
  <c r="F7223" i="9"/>
  <c r="H7223" i="9" s="1"/>
  <c r="F7224" i="9"/>
  <c r="H7224" i="9" s="1"/>
  <c r="F7225" i="9"/>
  <c r="H7225" i="9" s="1"/>
  <c r="F7226" i="9"/>
  <c r="H7226" i="9" s="1"/>
  <c r="F7227" i="9"/>
  <c r="H7227" i="9" s="1"/>
  <c r="F7228" i="9"/>
  <c r="H7228" i="9" s="1"/>
  <c r="F7229" i="9"/>
  <c r="H7229" i="9" s="1"/>
  <c r="F7230" i="9"/>
  <c r="H7230" i="9" s="1"/>
  <c r="F7231" i="9"/>
  <c r="H7231" i="9" s="1"/>
  <c r="F7232" i="9"/>
  <c r="H7232" i="9" s="1"/>
  <c r="F7233" i="9"/>
  <c r="H7233" i="9" s="1"/>
  <c r="F7234" i="9"/>
  <c r="H7234" i="9" s="1"/>
  <c r="F7235" i="9"/>
  <c r="H7235" i="9" s="1"/>
  <c r="F7236" i="9"/>
  <c r="H7236" i="9" s="1"/>
  <c r="F7237" i="9"/>
  <c r="H7237" i="9" s="1"/>
  <c r="F7238" i="9"/>
  <c r="H7238" i="9" s="1"/>
  <c r="F7239" i="9"/>
  <c r="H7239" i="9" s="1"/>
  <c r="F7240" i="9"/>
  <c r="H7240" i="9" s="1"/>
  <c r="F7241" i="9"/>
  <c r="H7241" i="9" s="1"/>
  <c r="F7242" i="9"/>
  <c r="H7242" i="9" s="1"/>
  <c r="F7243" i="9"/>
  <c r="H7243" i="9" s="1"/>
  <c r="F7244" i="9"/>
  <c r="H7244" i="9" s="1"/>
  <c r="F7245" i="9"/>
  <c r="H7245" i="9" s="1"/>
  <c r="F7246" i="9"/>
  <c r="H7246" i="9" s="1"/>
  <c r="F7247" i="9"/>
  <c r="H7247" i="9" s="1"/>
  <c r="F7248" i="9"/>
  <c r="H7248" i="9" s="1"/>
  <c r="F7249" i="9"/>
  <c r="H7249" i="9" s="1"/>
  <c r="F7250" i="9"/>
  <c r="H7250" i="9" s="1"/>
  <c r="F7251" i="9"/>
  <c r="H7251" i="9" s="1"/>
  <c r="F7252" i="9"/>
  <c r="H7252" i="9" s="1"/>
  <c r="F7253" i="9"/>
  <c r="H7253" i="9" s="1"/>
  <c r="F7254" i="9"/>
  <c r="H7254" i="9" s="1"/>
  <c r="F7255" i="9"/>
  <c r="H7255" i="9" s="1"/>
  <c r="F7256" i="9"/>
  <c r="H7256" i="9"/>
  <c r="F7257" i="9"/>
  <c r="H7257" i="9" s="1"/>
  <c r="F7258" i="9"/>
  <c r="H7258" i="9" s="1"/>
  <c r="F7259" i="9"/>
  <c r="H7259" i="9" s="1"/>
  <c r="F7260" i="9"/>
  <c r="H7260" i="9" s="1"/>
  <c r="F7261" i="9"/>
  <c r="H7261" i="9" s="1"/>
  <c r="F7262" i="9"/>
  <c r="H7262" i="9" s="1"/>
  <c r="F7263" i="9"/>
  <c r="H7263" i="9" s="1"/>
  <c r="F7264" i="9"/>
  <c r="H7264" i="9" s="1"/>
  <c r="F7265" i="9"/>
  <c r="H7265" i="9" s="1"/>
  <c r="F7266" i="9"/>
  <c r="H7266" i="9" s="1"/>
  <c r="F7267" i="9"/>
  <c r="H7267" i="9" s="1"/>
  <c r="F7268" i="9"/>
  <c r="H7268" i="9"/>
  <c r="F7269" i="9"/>
  <c r="H7269" i="9" s="1"/>
  <c r="F7270" i="9"/>
  <c r="H7270" i="9" s="1"/>
  <c r="F7271" i="9"/>
  <c r="H7271" i="9" s="1"/>
  <c r="F7272" i="9"/>
  <c r="H7272" i="9" s="1"/>
  <c r="F7273" i="9"/>
  <c r="H7273" i="9" s="1"/>
  <c r="F7274" i="9"/>
  <c r="H7274" i="9" s="1"/>
  <c r="F7275" i="9"/>
  <c r="H7275" i="9" s="1"/>
  <c r="F7276" i="9"/>
  <c r="H7276" i="9" s="1"/>
  <c r="F7277" i="9"/>
  <c r="H7277" i="9" s="1"/>
  <c r="F7278" i="9"/>
  <c r="H7278" i="9" s="1"/>
  <c r="F7279" i="9"/>
  <c r="H7279" i="9" s="1"/>
  <c r="F7280" i="9"/>
  <c r="H7280" i="9"/>
  <c r="F7281" i="9"/>
  <c r="H7281" i="9" s="1"/>
  <c r="F7282" i="9"/>
  <c r="H7282" i="9" s="1"/>
  <c r="F7283" i="9"/>
  <c r="H7283" i="9" s="1"/>
  <c r="F7284" i="9"/>
  <c r="H7284" i="9" s="1"/>
  <c r="F7285" i="9"/>
  <c r="H7285" i="9" s="1"/>
  <c r="F7286" i="9"/>
  <c r="H7286" i="9" s="1"/>
  <c r="F7287" i="9"/>
  <c r="H7287" i="9" s="1"/>
  <c r="F7288" i="9"/>
  <c r="H7288" i="9" s="1"/>
  <c r="F7289" i="9"/>
  <c r="H7289" i="9" s="1"/>
  <c r="F7290" i="9"/>
  <c r="H7290" i="9" s="1"/>
  <c r="F7291" i="9"/>
  <c r="H7291" i="9" s="1"/>
  <c r="F7292" i="9"/>
  <c r="H7292" i="9" s="1"/>
  <c r="F7293" i="9"/>
  <c r="H7293" i="9" s="1"/>
  <c r="F7294" i="9"/>
  <c r="H7294" i="9" s="1"/>
  <c r="F7295" i="9"/>
  <c r="H7295" i="9" s="1"/>
  <c r="F7296" i="9"/>
  <c r="H7296" i="9" s="1"/>
  <c r="F7297" i="9"/>
  <c r="H7297" i="9" s="1"/>
  <c r="F7298" i="9"/>
  <c r="H7298" i="9" s="1"/>
  <c r="F7299" i="9"/>
  <c r="H7299" i="9" s="1"/>
  <c r="F7300" i="9"/>
  <c r="H7300" i="9" s="1"/>
  <c r="F7301" i="9"/>
  <c r="H7301" i="9" s="1"/>
  <c r="F7302" i="9"/>
  <c r="H7302" i="9" s="1"/>
  <c r="F7303" i="9"/>
  <c r="H7303" i="9" s="1"/>
  <c r="F7304" i="9"/>
  <c r="H7304" i="9" s="1"/>
  <c r="F7305" i="9"/>
  <c r="H7305" i="9" s="1"/>
  <c r="F7306" i="9"/>
  <c r="H7306" i="9" s="1"/>
  <c r="F7307" i="9"/>
  <c r="H7307" i="9" s="1"/>
  <c r="F7308" i="9"/>
  <c r="H7308" i="9" s="1"/>
  <c r="F7309" i="9"/>
  <c r="H7309" i="9"/>
  <c r="F7310" i="9"/>
  <c r="H7310" i="9" s="1"/>
  <c r="F7311" i="9"/>
  <c r="H7311" i="9" s="1"/>
  <c r="F7312" i="9"/>
  <c r="H7312" i="9" s="1"/>
  <c r="F7313" i="9"/>
  <c r="H7313" i="9" s="1"/>
  <c r="F7314" i="9"/>
  <c r="H7314" i="9" s="1"/>
  <c r="F7315" i="9"/>
  <c r="H7315" i="9" s="1"/>
  <c r="F7316" i="9"/>
  <c r="H7316" i="9" s="1"/>
  <c r="F7317" i="9"/>
  <c r="H7317" i="9" s="1"/>
  <c r="F7318" i="9"/>
  <c r="H7318" i="9" s="1"/>
  <c r="F7319" i="9"/>
  <c r="H7319" i="9" s="1"/>
  <c r="F7320" i="9"/>
  <c r="H7320" i="9" s="1"/>
  <c r="F7321" i="9"/>
  <c r="H7321" i="9" s="1"/>
  <c r="F7322" i="9"/>
  <c r="H7322" i="9" s="1"/>
  <c r="F7323" i="9"/>
  <c r="H7323" i="9" s="1"/>
  <c r="F7324" i="9"/>
  <c r="H7324" i="9" s="1"/>
  <c r="F7325" i="9"/>
  <c r="H7325" i="9" s="1"/>
  <c r="F7326" i="9"/>
  <c r="H7326" i="9" s="1"/>
  <c r="F7327" i="9"/>
  <c r="H7327" i="9" s="1"/>
  <c r="F7328" i="9"/>
  <c r="H7328" i="9" s="1"/>
  <c r="F7329" i="9"/>
  <c r="H7329" i="9" s="1"/>
  <c r="F7330" i="9"/>
  <c r="H7330" i="9"/>
  <c r="F7331" i="9"/>
  <c r="H7331" i="9" s="1"/>
  <c r="F7332" i="9"/>
  <c r="H7332" i="9" s="1"/>
  <c r="F7333" i="9"/>
  <c r="H7333" i="9"/>
  <c r="F7334" i="9"/>
  <c r="H7334" i="9" s="1"/>
  <c r="F7335" i="9"/>
  <c r="H7335" i="9" s="1"/>
  <c r="F7336" i="9"/>
  <c r="H7336" i="9" s="1"/>
  <c r="F7337" i="9"/>
  <c r="H7337" i="9" s="1"/>
  <c r="F7338" i="9"/>
  <c r="H7338" i="9" s="1"/>
  <c r="F7339" i="9"/>
  <c r="H7339" i="9" s="1"/>
  <c r="F7340" i="9"/>
  <c r="H7340" i="9" s="1"/>
  <c r="F7341" i="9"/>
  <c r="H7341" i="9" s="1"/>
  <c r="F7342" i="9"/>
  <c r="H7342" i="9" s="1"/>
  <c r="F7343" i="9"/>
  <c r="H7343" i="9" s="1"/>
  <c r="F7344" i="9"/>
  <c r="H7344" i="9" s="1"/>
  <c r="F7345" i="9"/>
  <c r="H7345" i="9" s="1"/>
  <c r="F7346" i="9"/>
  <c r="H7346" i="9" s="1"/>
  <c r="F7347" i="9"/>
  <c r="H7347" i="9" s="1"/>
  <c r="F7348" i="9"/>
  <c r="H7348" i="9" s="1"/>
  <c r="F7349" i="9"/>
  <c r="H7349" i="9" s="1"/>
  <c r="F7350" i="9"/>
  <c r="H7350" i="9" s="1"/>
  <c r="F7351" i="9"/>
  <c r="H7351" i="9" s="1"/>
  <c r="F7352" i="9"/>
  <c r="H7352" i="9" s="1"/>
  <c r="F7353" i="9"/>
  <c r="H7353" i="9" s="1"/>
  <c r="F7354" i="9"/>
  <c r="H7354" i="9" s="1"/>
  <c r="F7355" i="9"/>
  <c r="H7355" i="9" s="1"/>
  <c r="F7356" i="9"/>
  <c r="H7356" i="9" s="1"/>
  <c r="F7357" i="9"/>
  <c r="H7357" i="9" s="1"/>
  <c r="F7358" i="9"/>
  <c r="H7358" i="9" s="1"/>
  <c r="F7359" i="9"/>
  <c r="H7359" i="9" s="1"/>
  <c r="F7360" i="9"/>
  <c r="H7360" i="9" s="1"/>
  <c r="F7361" i="9"/>
  <c r="H7361" i="9" s="1"/>
  <c r="F7362" i="9"/>
  <c r="H7362" i="9" s="1"/>
  <c r="F7363" i="9"/>
  <c r="H7363" i="9" s="1"/>
  <c r="F7364" i="9"/>
  <c r="H7364" i="9" s="1"/>
  <c r="F7365" i="9"/>
  <c r="H7365" i="9" s="1"/>
  <c r="F7366" i="9"/>
  <c r="H7366" i="9" s="1"/>
  <c r="F7367" i="9"/>
  <c r="H7367" i="9" s="1"/>
  <c r="F7368" i="9"/>
  <c r="H7368" i="9" s="1"/>
  <c r="F7369" i="9"/>
  <c r="H7369" i="9" s="1"/>
  <c r="F7370" i="9"/>
  <c r="H7370" i="9" s="1"/>
  <c r="F7371" i="9"/>
  <c r="H7371" i="9" s="1"/>
  <c r="F7372" i="9"/>
  <c r="H7372" i="9" s="1"/>
  <c r="F7373" i="9"/>
  <c r="H7373" i="9" s="1"/>
  <c r="F7374" i="9"/>
  <c r="H7374" i="9" s="1"/>
  <c r="F7375" i="9"/>
  <c r="H7375" i="9" s="1"/>
  <c r="F7376" i="9"/>
  <c r="H7376" i="9" s="1"/>
  <c r="F7377" i="9"/>
  <c r="H7377" i="9" s="1"/>
  <c r="F7378" i="9"/>
  <c r="H7378" i="9"/>
  <c r="F7379" i="9"/>
  <c r="H7379" i="9" s="1"/>
  <c r="F7380" i="9"/>
  <c r="H7380" i="9" s="1"/>
  <c r="F7381" i="9"/>
  <c r="H7381" i="9" s="1"/>
  <c r="F7382" i="9"/>
  <c r="H7382" i="9" s="1"/>
  <c r="F7383" i="9"/>
  <c r="H7383" i="9" s="1"/>
  <c r="F7384" i="9"/>
  <c r="H7384" i="9" s="1"/>
  <c r="F7385" i="9"/>
  <c r="H7385" i="9" s="1"/>
  <c r="F7386" i="9"/>
  <c r="H7386" i="9" s="1"/>
  <c r="F7387" i="9"/>
  <c r="H7387" i="9"/>
  <c r="F7388" i="9"/>
  <c r="H7388" i="9" s="1"/>
  <c r="F7389" i="9"/>
  <c r="H7389" i="9" s="1"/>
  <c r="F7390" i="9"/>
  <c r="H7390" i="9" s="1"/>
  <c r="F7391" i="9"/>
  <c r="H7391" i="9" s="1"/>
  <c r="F7392" i="9"/>
  <c r="H7392" i="9" s="1"/>
  <c r="F7393" i="9"/>
  <c r="H7393" i="9" s="1"/>
  <c r="F7394" i="9"/>
  <c r="H7394" i="9" s="1"/>
  <c r="F7395" i="9"/>
  <c r="H7395" i="9" s="1"/>
  <c r="F7396" i="9"/>
  <c r="H7396" i="9" s="1"/>
  <c r="F7397" i="9"/>
  <c r="H7397" i="9" s="1"/>
  <c r="F7398" i="9"/>
  <c r="H7398" i="9" s="1"/>
  <c r="F7399" i="9"/>
  <c r="H7399" i="9" s="1"/>
  <c r="F7400" i="9"/>
  <c r="H7400" i="9" s="1"/>
  <c r="F7401" i="9"/>
  <c r="H7401" i="9" s="1"/>
  <c r="F7402" i="9"/>
  <c r="H7402" i="9" s="1"/>
  <c r="F7403" i="9"/>
  <c r="H7403" i="9" s="1"/>
  <c r="F7404" i="9"/>
  <c r="H7404" i="9" s="1"/>
  <c r="F7405" i="9"/>
  <c r="H7405" i="9" s="1"/>
  <c r="F7406" i="9"/>
  <c r="H7406" i="9" s="1"/>
  <c r="F7407" i="9"/>
  <c r="H7407" i="9" s="1"/>
  <c r="F7408" i="9"/>
  <c r="H7408" i="9" s="1"/>
  <c r="F7409" i="9"/>
  <c r="H7409" i="9" s="1"/>
  <c r="F7410" i="9"/>
  <c r="H7410" i="9" s="1"/>
  <c r="F7411" i="9"/>
  <c r="H7411" i="9" s="1"/>
  <c r="F7412" i="9"/>
  <c r="H7412" i="9" s="1"/>
  <c r="F7413" i="9"/>
  <c r="H7413" i="9" s="1"/>
  <c r="F7414" i="9"/>
  <c r="H7414" i="9" s="1"/>
  <c r="F7415" i="9"/>
  <c r="H7415" i="9" s="1"/>
  <c r="F7416" i="9"/>
  <c r="H7416" i="9" s="1"/>
  <c r="F7417" i="9"/>
  <c r="H7417" i="9" s="1"/>
  <c r="F7418" i="9"/>
  <c r="H7418" i="9" s="1"/>
  <c r="F7419" i="9"/>
  <c r="H7419" i="9" s="1"/>
  <c r="F7420" i="9"/>
  <c r="H7420" i="9" s="1"/>
  <c r="F7421" i="9"/>
  <c r="H7421" i="9" s="1"/>
  <c r="F7422" i="9"/>
  <c r="H7422" i="9" s="1"/>
  <c r="F7423" i="9"/>
  <c r="H7423" i="9" s="1"/>
  <c r="F7424" i="9"/>
  <c r="H7424" i="9" s="1"/>
  <c r="F7425" i="9"/>
  <c r="H7425" i="9" s="1"/>
  <c r="F7426" i="9"/>
  <c r="H7426" i="9" s="1"/>
  <c r="F7427" i="9"/>
  <c r="H7427" i="9" s="1"/>
  <c r="F7428" i="9"/>
  <c r="H7428" i="9" s="1"/>
  <c r="F7429" i="9"/>
  <c r="H7429" i="9" s="1"/>
  <c r="F7430" i="9"/>
  <c r="H7430" i="9" s="1"/>
  <c r="F7431" i="9"/>
  <c r="H7431" i="9" s="1"/>
  <c r="F7432" i="9"/>
  <c r="H7432" i="9" s="1"/>
  <c r="F7433" i="9"/>
  <c r="H7433" i="9" s="1"/>
  <c r="F7434" i="9"/>
  <c r="H7434" i="9" s="1"/>
  <c r="F7435" i="9"/>
  <c r="H7435" i="9" s="1"/>
  <c r="F7436" i="9"/>
  <c r="H7436" i="9" s="1"/>
  <c r="F7437" i="9"/>
  <c r="H7437" i="9" s="1"/>
  <c r="F7438" i="9"/>
  <c r="H7438" i="9" s="1"/>
  <c r="F7439" i="9"/>
  <c r="H7439" i="9" s="1"/>
  <c r="F7440" i="9"/>
  <c r="H7440" i="9" s="1"/>
  <c r="F7441" i="9"/>
  <c r="H7441" i="9" s="1"/>
  <c r="F7442" i="9"/>
  <c r="H7442" i="9" s="1"/>
  <c r="F7443" i="9"/>
  <c r="H7443" i="9" s="1"/>
  <c r="F7444" i="9"/>
  <c r="H7444" i="9"/>
  <c r="F7445" i="9"/>
  <c r="H7445" i="9" s="1"/>
  <c r="F7446" i="9"/>
  <c r="H7446" i="9" s="1"/>
  <c r="F7447" i="9"/>
  <c r="H7447" i="9" s="1"/>
  <c r="F7448" i="9"/>
  <c r="H7448" i="9" s="1"/>
  <c r="F7449" i="9"/>
  <c r="H7449" i="9" s="1"/>
  <c r="F7450" i="9"/>
  <c r="H7450" i="9" s="1"/>
  <c r="F7451" i="9"/>
  <c r="H7451" i="9" s="1"/>
  <c r="F7452" i="9"/>
  <c r="H7452" i="9" s="1"/>
  <c r="F7453" i="9"/>
  <c r="H7453" i="9" s="1"/>
  <c r="F7454" i="9"/>
  <c r="H7454" i="9" s="1"/>
  <c r="F7455" i="9"/>
  <c r="H7455" i="9" s="1"/>
  <c r="F7456" i="9"/>
  <c r="H7456" i="9" s="1"/>
  <c r="F7457" i="9"/>
  <c r="H7457" i="9" s="1"/>
  <c r="F7458" i="9"/>
  <c r="H7458" i="9" s="1"/>
  <c r="F7459" i="9"/>
  <c r="H7459" i="9"/>
  <c r="F7460" i="9"/>
  <c r="H7460" i="9" s="1"/>
  <c r="F7461" i="9"/>
  <c r="H7461" i="9" s="1"/>
  <c r="F7462" i="9"/>
  <c r="H7462" i="9" s="1"/>
  <c r="F7463" i="9"/>
  <c r="H7463" i="9" s="1"/>
  <c r="F7464" i="9"/>
  <c r="H7464" i="9" s="1"/>
  <c r="F7465" i="9"/>
  <c r="H7465" i="9" s="1"/>
  <c r="F7466" i="9"/>
  <c r="H7466" i="9" s="1"/>
  <c r="F7467" i="9"/>
  <c r="H7467" i="9" s="1"/>
  <c r="F7468" i="9"/>
  <c r="H7468" i="9" s="1"/>
  <c r="F7469" i="9"/>
  <c r="H7469" i="9" s="1"/>
  <c r="F7470" i="9"/>
  <c r="H7470" i="9" s="1"/>
  <c r="F7471" i="9"/>
  <c r="H7471" i="9" s="1"/>
  <c r="F7472" i="9"/>
  <c r="H7472" i="9" s="1"/>
  <c r="F7473" i="9"/>
  <c r="H7473" i="9" s="1"/>
  <c r="F7474" i="9"/>
  <c r="H7474" i="9" s="1"/>
  <c r="F7475" i="9"/>
  <c r="H7475" i="9" s="1"/>
  <c r="F7476" i="9"/>
  <c r="H7476" i="9" s="1"/>
  <c r="F7477" i="9"/>
  <c r="H7477" i="9" s="1"/>
  <c r="F7478" i="9"/>
  <c r="H7478" i="9" s="1"/>
  <c r="F7479" i="9"/>
  <c r="H7479" i="9" s="1"/>
  <c r="F7480" i="9"/>
  <c r="H7480" i="9" s="1"/>
  <c r="F7481" i="9"/>
  <c r="H7481" i="9" s="1"/>
  <c r="F7482" i="9"/>
  <c r="H7482" i="9" s="1"/>
  <c r="F7483" i="9"/>
  <c r="H7483" i="9" s="1"/>
  <c r="F7484" i="9"/>
  <c r="H7484" i="9" s="1"/>
  <c r="F7485" i="9"/>
  <c r="H7485" i="9" s="1"/>
  <c r="F7486" i="9"/>
  <c r="H7486" i="9" s="1"/>
  <c r="F7487" i="9"/>
  <c r="H7487" i="9" s="1"/>
  <c r="F7488" i="9"/>
  <c r="H7488" i="9" s="1"/>
  <c r="F7489" i="9"/>
  <c r="H7489" i="9" s="1"/>
  <c r="F7490" i="9"/>
  <c r="H7490" i="9" s="1"/>
  <c r="F7491" i="9"/>
  <c r="H7491" i="9" s="1"/>
  <c r="F7492" i="9"/>
  <c r="H7492" i="9" s="1"/>
  <c r="F7493" i="9"/>
  <c r="H7493" i="9" s="1"/>
  <c r="F7494" i="9"/>
  <c r="H7494" i="9" s="1"/>
  <c r="F7495" i="9"/>
  <c r="H7495" i="9" s="1"/>
  <c r="F7496" i="9"/>
  <c r="H7496" i="9" s="1"/>
  <c r="F7497" i="9"/>
  <c r="H7497" i="9" s="1"/>
  <c r="F7498" i="9"/>
  <c r="H7498" i="9" s="1"/>
  <c r="F7499" i="9"/>
  <c r="H7499" i="9" s="1"/>
  <c r="F7500" i="9"/>
  <c r="H7500" i="9" s="1"/>
  <c r="F7501" i="9"/>
  <c r="H7501" i="9" s="1"/>
  <c r="F7502" i="9"/>
  <c r="H7502" i="9" s="1"/>
  <c r="F7503" i="9"/>
  <c r="H7503" i="9" s="1"/>
  <c r="F7504" i="9"/>
  <c r="H7504" i="9" s="1"/>
  <c r="F7505" i="9"/>
  <c r="H7505" i="9" s="1"/>
  <c r="F7506" i="9"/>
  <c r="H7506" i="9" s="1"/>
  <c r="F7507" i="9"/>
  <c r="H7507" i="9" s="1"/>
  <c r="F7508" i="9"/>
  <c r="H7508" i="9" s="1"/>
  <c r="F7509" i="9"/>
  <c r="H7509" i="9" s="1"/>
  <c r="F7510" i="9"/>
  <c r="H7510" i="9" s="1"/>
  <c r="F7511" i="9"/>
  <c r="H7511" i="9" s="1"/>
  <c r="F7512" i="9"/>
  <c r="H7512" i="9" s="1"/>
  <c r="F7513" i="9"/>
  <c r="H7513" i="9" s="1"/>
  <c r="F7514" i="9"/>
  <c r="H7514" i="9" s="1"/>
  <c r="F7515" i="9"/>
  <c r="H7515" i="9" s="1"/>
  <c r="F7516" i="9"/>
  <c r="H7516" i="9"/>
  <c r="F7517" i="9"/>
  <c r="H7517" i="9" s="1"/>
  <c r="F7518" i="9"/>
  <c r="H7518" i="9" s="1"/>
  <c r="F7519" i="9"/>
  <c r="H7519" i="9" s="1"/>
  <c r="F7520" i="9"/>
  <c r="H7520" i="9" s="1"/>
  <c r="F7521" i="9"/>
  <c r="H7521" i="9" s="1"/>
  <c r="F7522" i="9"/>
  <c r="H7522" i="9" s="1"/>
  <c r="F7523" i="9"/>
  <c r="H7523" i="9" s="1"/>
  <c r="F7524" i="9"/>
  <c r="H7524" i="9" s="1"/>
  <c r="F7525" i="9"/>
  <c r="H7525" i="9" s="1"/>
  <c r="F7526" i="9"/>
  <c r="H7526" i="9" s="1"/>
  <c r="F7527" i="9"/>
  <c r="H7527" i="9" s="1"/>
  <c r="F7528" i="9"/>
  <c r="H7528" i="9" s="1"/>
  <c r="F7529" i="9"/>
  <c r="H7529" i="9" s="1"/>
  <c r="F7530" i="9"/>
  <c r="H7530" i="9" s="1"/>
  <c r="F7531" i="9"/>
  <c r="H7531" i="9" s="1"/>
  <c r="F7532" i="9"/>
  <c r="H7532" i="9" s="1"/>
  <c r="F7533" i="9"/>
  <c r="H7533" i="9" s="1"/>
  <c r="F7534" i="9"/>
  <c r="H7534" i="9" s="1"/>
  <c r="F7535" i="9"/>
  <c r="H7535" i="9" s="1"/>
  <c r="F7536" i="9"/>
  <c r="H7536" i="9"/>
  <c r="F7537" i="9"/>
  <c r="H7537" i="9" s="1"/>
  <c r="F7538" i="9"/>
  <c r="H7538" i="9" s="1"/>
  <c r="F7539" i="9"/>
  <c r="H7539" i="9" s="1"/>
  <c r="F7540" i="9"/>
  <c r="H7540" i="9" s="1"/>
  <c r="F7541" i="9"/>
  <c r="H7541" i="9" s="1"/>
  <c r="F7542" i="9"/>
  <c r="H7542" i="9" s="1"/>
  <c r="F7543" i="9"/>
  <c r="H7543" i="9" s="1"/>
  <c r="F7544" i="9"/>
  <c r="H7544" i="9" s="1"/>
  <c r="F7545" i="9"/>
  <c r="H7545" i="9" s="1"/>
  <c r="F7546" i="9"/>
  <c r="H7546" i="9" s="1"/>
  <c r="F7547" i="9"/>
  <c r="H7547" i="9" s="1"/>
  <c r="F7548" i="9"/>
  <c r="H7548" i="9" s="1"/>
  <c r="F7549" i="9"/>
  <c r="H7549" i="9" s="1"/>
  <c r="F7550" i="9"/>
  <c r="H7550" i="9" s="1"/>
  <c r="F7551" i="9"/>
  <c r="H7551" i="9" s="1"/>
  <c r="F7552" i="9"/>
  <c r="H7552" i="9" s="1"/>
  <c r="F7553" i="9"/>
  <c r="H7553" i="9" s="1"/>
  <c r="F7554" i="9"/>
  <c r="H7554" i="9" s="1"/>
  <c r="F7555" i="9"/>
  <c r="H7555" i="9" s="1"/>
  <c r="F7556" i="9"/>
  <c r="H7556" i="9" s="1"/>
  <c r="F7557" i="9"/>
  <c r="H7557" i="9" s="1"/>
  <c r="F7558" i="9"/>
  <c r="H7558" i="9" s="1"/>
  <c r="F7559" i="9"/>
  <c r="H7559" i="9" s="1"/>
  <c r="F7560" i="9"/>
  <c r="H7560" i="9" s="1"/>
  <c r="F7561" i="9"/>
  <c r="H7561" i="9" s="1"/>
  <c r="F7562" i="9"/>
  <c r="H7562" i="9" s="1"/>
  <c r="F7563" i="9"/>
  <c r="H7563" i="9" s="1"/>
  <c r="F7564" i="9"/>
  <c r="H7564" i="9" s="1"/>
  <c r="F7565" i="9"/>
  <c r="H7565" i="9" s="1"/>
  <c r="F7566" i="9"/>
  <c r="H7566" i="9" s="1"/>
  <c r="F7567" i="9"/>
  <c r="H7567" i="9" s="1"/>
  <c r="F7568" i="9"/>
  <c r="H7568" i="9" s="1"/>
  <c r="F7569" i="9"/>
  <c r="H7569" i="9" s="1"/>
  <c r="F7570" i="9"/>
  <c r="H7570" i="9" s="1"/>
  <c r="F7571" i="9"/>
  <c r="H7571" i="9" s="1"/>
  <c r="F7572" i="9"/>
  <c r="H7572" i="9" s="1"/>
  <c r="F7573" i="9"/>
  <c r="H7573" i="9" s="1"/>
  <c r="F7574" i="9"/>
  <c r="H7574" i="9" s="1"/>
  <c r="F7575" i="9"/>
  <c r="H7575" i="9" s="1"/>
  <c r="F7576" i="9"/>
  <c r="H7576" i="9" s="1"/>
  <c r="F7577" i="9"/>
  <c r="H7577" i="9" s="1"/>
  <c r="F7578" i="9"/>
  <c r="H7578" i="9" s="1"/>
  <c r="F7579" i="9"/>
  <c r="H7579" i="9" s="1"/>
  <c r="F7580" i="9"/>
  <c r="H7580" i="9" s="1"/>
  <c r="F7581" i="9"/>
  <c r="H7581" i="9" s="1"/>
  <c r="F7582" i="9"/>
  <c r="H7582" i="9" s="1"/>
  <c r="F7583" i="9"/>
  <c r="H7583" i="9" s="1"/>
  <c r="F7584" i="9"/>
  <c r="H7584" i="9" s="1"/>
  <c r="F7585" i="9"/>
  <c r="H7585" i="9" s="1"/>
  <c r="F7586" i="9"/>
  <c r="H7586" i="9" s="1"/>
  <c r="F7587" i="9"/>
  <c r="H7587" i="9" s="1"/>
  <c r="F7588" i="9"/>
  <c r="H7588" i="9" s="1"/>
  <c r="F7589" i="9"/>
  <c r="H7589" i="9" s="1"/>
  <c r="F7590" i="9"/>
  <c r="H7590" i="9" s="1"/>
  <c r="F7591" i="9"/>
  <c r="H7591" i="9" s="1"/>
  <c r="F7592" i="9"/>
  <c r="H7592" i="9" s="1"/>
  <c r="F7593" i="9"/>
  <c r="H7593" i="9" s="1"/>
  <c r="F7594" i="9"/>
  <c r="H7594" i="9" s="1"/>
  <c r="F7595" i="9"/>
  <c r="H7595" i="9" s="1"/>
  <c r="F7596" i="9"/>
  <c r="H7596" i="9" s="1"/>
  <c r="F7597" i="9"/>
  <c r="H7597" i="9" s="1"/>
  <c r="F7598" i="9"/>
  <c r="H7598" i="9" s="1"/>
  <c r="F7599" i="9"/>
  <c r="H7599" i="9" s="1"/>
  <c r="F7600" i="9"/>
  <c r="H7600" i="9" s="1"/>
  <c r="F7601" i="9"/>
  <c r="H7601" i="9" s="1"/>
  <c r="F7602" i="9"/>
  <c r="H7602" i="9" s="1"/>
  <c r="F7603" i="9"/>
  <c r="H7603" i="9" s="1"/>
  <c r="F7604" i="9"/>
  <c r="H7604" i="9" s="1"/>
  <c r="F7605" i="9"/>
  <c r="H7605" i="9" s="1"/>
  <c r="F7606" i="9"/>
  <c r="H7606" i="9" s="1"/>
  <c r="F7607" i="9"/>
  <c r="H7607" i="9" s="1"/>
  <c r="F7608" i="9"/>
  <c r="H7608" i="9" s="1"/>
  <c r="F7609" i="9"/>
  <c r="H7609" i="9" s="1"/>
  <c r="F7610" i="9"/>
  <c r="H7610" i="9" s="1"/>
  <c r="F7611" i="9"/>
  <c r="H7611" i="9" s="1"/>
  <c r="F7612" i="9"/>
  <c r="H7612" i="9" s="1"/>
  <c r="F7613" i="9"/>
  <c r="H7613" i="9" s="1"/>
  <c r="F7614" i="9"/>
  <c r="H7614" i="9" s="1"/>
  <c r="F7615" i="9"/>
  <c r="H7615" i="9" s="1"/>
  <c r="F7616" i="9"/>
  <c r="H7616" i="9" s="1"/>
  <c r="F7617" i="9"/>
  <c r="H7617" i="9" s="1"/>
  <c r="F7618" i="9"/>
  <c r="H7618" i="9" s="1"/>
  <c r="F7619" i="9"/>
  <c r="H7619" i="9" s="1"/>
  <c r="F7620" i="9"/>
  <c r="H7620" i="9" s="1"/>
  <c r="F7621" i="9"/>
  <c r="H7621" i="9" s="1"/>
  <c r="F7622" i="9"/>
  <c r="H7622" i="9" s="1"/>
  <c r="F7623" i="9"/>
  <c r="H7623" i="9" s="1"/>
  <c r="F7624" i="9"/>
  <c r="H7624" i="9" s="1"/>
  <c r="F7625" i="9"/>
  <c r="H7625" i="9" s="1"/>
  <c r="F7626" i="9"/>
  <c r="H7626" i="9" s="1"/>
  <c r="F7627" i="9"/>
  <c r="H7627" i="9" s="1"/>
  <c r="F7628" i="9"/>
  <c r="H7628" i="9" s="1"/>
  <c r="F7629" i="9"/>
  <c r="H7629" i="9" s="1"/>
  <c r="F7630" i="9"/>
  <c r="H7630" i="9" s="1"/>
  <c r="F7631" i="9"/>
  <c r="H7631" i="9" s="1"/>
  <c r="F7632" i="9"/>
  <c r="H7632" i="9" s="1"/>
  <c r="F7633" i="9"/>
  <c r="H7633" i="9" s="1"/>
  <c r="F7634" i="9"/>
  <c r="H7634" i="9" s="1"/>
  <c r="F7635" i="9"/>
  <c r="H7635" i="9" s="1"/>
  <c r="F7636" i="9"/>
  <c r="H7636" i="9" s="1"/>
  <c r="F7637" i="9"/>
  <c r="H7637" i="9" s="1"/>
  <c r="F7638" i="9"/>
  <c r="H7638" i="9" s="1"/>
  <c r="F7639" i="9"/>
  <c r="H7639" i="9" s="1"/>
  <c r="F7640" i="9"/>
  <c r="H7640" i="9" s="1"/>
  <c r="F7641" i="9"/>
  <c r="H7641" i="9" s="1"/>
  <c r="F7642" i="9"/>
  <c r="H7642" i="9" s="1"/>
  <c r="F7643" i="9"/>
  <c r="H7643" i="9" s="1"/>
  <c r="F7644" i="9"/>
  <c r="H7644" i="9"/>
  <c r="F7645" i="9"/>
  <c r="H7645" i="9" s="1"/>
  <c r="F7646" i="9"/>
  <c r="H7646" i="9" s="1"/>
  <c r="F7647" i="9"/>
  <c r="H7647" i="9" s="1"/>
  <c r="F7648" i="9"/>
  <c r="H7648" i="9" s="1"/>
  <c r="F7649" i="9"/>
  <c r="H7649" i="9" s="1"/>
  <c r="F7650" i="9"/>
  <c r="H7650" i="9" s="1"/>
  <c r="F7651" i="9"/>
  <c r="H7651" i="9" s="1"/>
  <c r="F7652" i="9"/>
  <c r="H7652" i="9" s="1"/>
  <c r="F7653" i="9"/>
  <c r="H7653" i="9" s="1"/>
  <c r="F7654" i="9"/>
  <c r="H7654" i="9" s="1"/>
  <c r="F7655" i="9"/>
  <c r="H7655" i="9" s="1"/>
  <c r="F7656" i="9"/>
  <c r="H7656" i="9" s="1"/>
  <c r="F7657" i="9"/>
  <c r="H7657" i="9" s="1"/>
  <c r="F7658" i="9"/>
  <c r="H7658" i="9" s="1"/>
  <c r="F7659" i="9"/>
  <c r="H7659" i="9" s="1"/>
  <c r="F7660" i="9"/>
  <c r="H7660" i="9" s="1"/>
  <c r="F7661" i="9"/>
  <c r="H7661" i="9" s="1"/>
  <c r="F7662" i="9"/>
  <c r="H7662" i="9"/>
  <c r="F7663" i="9"/>
  <c r="H7663" i="9" s="1"/>
  <c r="F7664" i="9"/>
  <c r="H7664" i="9" s="1"/>
  <c r="F7665" i="9"/>
  <c r="H7665" i="9" s="1"/>
  <c r="F7666" i="9"/>
  <c r="H7666" i="9" s="1"/>
  <c r="F7667" i="9"/>
  <c r="H7667" i="9" s="1"/>
  <c r="F7668" i="9"/>
  <c r="H7668" i="9" s="1"/>
  <c r="F7669" i="9"/>
  <c r="H7669" i="9" s="1"/>
  <c r="F7670" i="9"/>
  <c r="H7670" i="9" s="1"/>
  <c r="F7671" i="9"/>
  <c r="H7671" i="9" s="1"/>
  <c r="F7672" i="9"/>
  <c r="H7672" i="9" s="1"/>
  <c r="F7673" i="9"/>
  <c r="H7673" i="9" s="1"/>
  <c r="F7674" i="9"/>
  <c r="H7674" i="9" s="1"/>
  <c r="F7675" i="9"/>
  <c r="H7675" i="9" s="1"/>
  <c r="F7676" i="9"/>
  <c r="H7676" i="9" s="1"/>
  <c r="F7677" i="9"/>
  <c r="H7677" i="9" s="1"/>
  <c r="F7678" i="9"/>
  <c r="H7678" i="9" s="1"/>
  <c r="F7679" i="9"/>
  <c r="H7679" i="9" s="1"/>
  <c r="F7680" i="9"/>
  <c r="H7680" i="9" s="1"/>
  <c r="F7681" i="9"/>
  <c r="H7681" i="9" s="1"/>
  <c r="F7682" i="9"/>
  <c r="H7682" i="9" s="1"/>
  <c r="F7683" i="9"/>
  <c r="H7683" i="9" s="1"/>
  <c r="F7684" i="9"/>
  <c r="H7684" i="9" s="1"/>
  <c r="F7685" i="9"/>
  <c r="H7685" i="9" s="1"/>
  <c r="F7686" i="9"/>
  <c r="H7686" i="9" s="1"/>
  <c r="F7687" i="9"/>
  <c r="H7687" i="9" s="1"/>
  <c r="F7688" i="9"/>
  <c r="H7688" i="9" s="1"/>
  <c r="F7689" i="9"/>
  <c r="H7689" i="9" s="1"/>
  <c r="F7690" i="9"/>
  <c r="H7690" i="9" s="1"/>
  <c r="F7691" i="9"/>
  <c r="H7691" i="9" s="1"/>
  <c r="F7692" i="9"/>
  <c r="H7692" i="9" s="1"/>
  <c r="F7693" i="9"/>
  <c r="H7693" i="9" s="1"/>
  <c r="F7694" i="9"/>
  <c r="H7694" i="9" s="1"/>
  <c r="F7695" i="9"/>
  <c r="H7695" i="9" s="1"/>
  <c r="F7696" i="9"/>
  <c r="H7696" i="9" s="1"/>
  <c r="F7697" i="9"/>
  <c r="H7697" i="9" s="1"/>
  <c r="F7698" i="9"/>
  <c r="H7698" i="9" s="1"/>
  <c r="F7699" i="9"/>
  <c r="H7699" i="9" s="1"/>
  <c r="F7700" i="9"/>
  <c r="H7700" i="9" s="1"/>
  <c r="F7701" i="9"/>
  <c r="H7701" i="9" s="1"/>
  <c r="F7702" i="9"/>
  <c r="H7702" i="9" s="1"/>
  <c r="F7703" i="9"/>
  <c r="H7703" i="9" s="1"/>
  <c r="F7704" i="9"/>
  <c r="H7704" i="9" s="1"/>
  <c r="F7705" i="9"/>
  <c r="H7705" i="9" s="1"/>
  <c r="F7706" i="9"/>
  <c r="H7706" i="9" s="1"/>
  <c r="F7707" i="9"/>
  <c r="H7707" i="9" s="1"/>
  <c r="F7708" i="9"/>
  <c r="H7708" i="9" s="1"/>
  <c r="F7709" i="9"/>
  <c r="H7709" i="9" s="1"/>
  <c r="F7710" i="9"/>
  <c r="H7710" i="9" s="1"/>
  <c r="F7711" i="9"/>
  <c r="H7711" i="9" s="1"/>
  <c r="F7712" i="9"/>
  <c r="H7712" i="9" s="1"/>
  <c r="F7713" i="9"/>
  <c r="H7713" i="9" s="1"/>
  <c r="F7714" i="9"/>
  <c r="H7714" i="9" s="1"/>
  <c r="F7715" i="9"/>
  <c r="H7715" i="9" s="1"/>
  <c r="F7716" i="9"/>
  <c r="H7716" i="9" s="1"/>
  <c r="F7717" i="9"/>
  <c r="H7717" i="9" s="1"/>
  <c r="F7718" i="9"/>
  <c r="H7718" i="9" s="1"/>
  <c r="F7719" i="9"/>
  <c r="H7719" i="9" s="1"/>
  <c r="F7720" i="9"/>
  <c r="H7720" i="9" s="1"/>
  <c r="F7721" i="9"/>
  <c r="H7721" i="9"/>
  <c r="F7722" i="9"/>
  <c r="H7722" i="9" s="1"/>
  <c r="F7723" i="9"/>
  <c r="H7723" i="9" s="1"/>
  <c r="F7724" i="9"/>
  <c r="H7724" i="9" s="1"/>
  <c r="F7725" i="9"/>
  <c r="H7725" i="9" s="1"/>
  <c r="F7726" i="9"/>
  <c r="H7726" i="9" s="1"/>
  <c r="F7727" i="9"/>
  <c r="H7727" i="9" s="1"/>
  <c r="F7728" i="9"/>
  <c r="H7728" i="9" s="1"/>
  <c r="F7729" i="9"/>
  <c r="H7729" i="9" s="1"/>
  <c r="F7730" i="9"/>
  <c r="H7730" i="9" s="1"/>
  <c r="F7731" i="9"/>
  <c r="H7731" i="9" s="1"/>
  <c r="F7732" i="9"/>
  <c r="H7732" i="9" s="1"/>
  <c r="F7733" i="9"/>
  <c r="H7733" i="9" s="1"/>
  <c r="F7734" i="9"/>
  <c r="H7734" i="9" s="1"/>
  <c r="F7735" i="9"/>
  <c r="H7735" i="9" s="1"/>
  <c r="F7736" i="9"/>
  <c r="H7736" i="9" s="1"/>
  <c r="F7737" i="9"/>
  <c r="H7737" i="9" s="1"/>
  <c r="F7738" i="9"/>
  <c r="H7738" i="9" s="1"/>
  <c r="F7739" i="9"/>
  <c r="H7739" i="9" s="1"/>
  <c r="F7740" i="9"/>
  <c r="H7740" i="9" s="1"/>
  <c r="F7741" i="9"/>
  <c r="H7741" i="9" s="1"/>
  <c r="F7742" i="9"/>
  <c r="H7742" i="9"/>
  <c r="F7743" i="9"/>
  <c r="H7743" i="9" s="1"/>
  <c r="F7744" i="9"/>
  <c r="H7744" i="9" s="1"/>
  <c r="F7745" i="9"/>
  <c r="H7745" i="9" s="1"/>
  <c r="F7746" i="9"/>
  <c r="H7746" i="9" s="1"/>
  <c r="F7747" i="9"/>
  <c r="H7747" i="9" s="1"/>
  <c r="F7748" i="9"/>
  <c r="H7748" i="9" s="1"/>
  <c r="F7749" i="9"/>
  <c r="H7749" i="9" s="1"/>
  <c r="F7750" i="9"/>
  <c r="H7750" i="9" s="1"/>
  <c r="F7751" i="9"/>
  <c r="H7751" i="9" s="1"/>
  <c r="F7752" i="9"/>
  <c r="H7752" i="9" s="1"/>
  <c r="F7753" i="9"/>
  <c r="H7753" i="9" s="1"/>
  <c r="F7754" i="9"/>
  <c r="H7754" i="9" s="1"/>
  <c r="F7755" i="9"/>
  <c r="H7755" i="9" s="1"/>
  <c r="F7756" i="9"/>
  <c r="H7756" i="9" s="1"/>
  <c r="F7757" i="9"/>
  <c r="H7757" i="9" s="1"/>
  <c r="F7758" i="9"/>
  <c r="H7758" i="9" s="1"/>
  <c r="F7759" i="9"/>
  <c r="H7759" i="9" s="1"/>
  <c r="F7760" i="9"/>
  <c r="H7760" i="9" s="1"/>
  <c r="F7761" i="9"/>
  <c r="H7761" i="9" s="1"/>
  <c r="F7762" i="9"/>
  <c r="H7762" i="9" s="1"/>
  <c r="F7763" i="9"/>
  <c r="H7763" i="9" s="1"/>
  <c r="F7764" i="9"/>
  <c r="H7764" i="9"/>
  <c r="F7765" i="9"/>
  <c r="H7765" i="9" s="1"/>
  <c r="F7766" i="9"/>
  <c r="H7766" i="9" s="1"/>
  <c r="F7767" i="9"/>
  <c r="H7767" i="9" s="1"/>
  <c r="F7768" i="9"/>
  <c r="H7768" i="9" s="1"/>
  <c r="F7769" i="9"/>
  <c r="H7769" i="9" s="1"/>
  <c r="F7770" i="9"/>
  <c r="H7770" i="9" s="1"/>
  <c r="F7771" i="9"/>
  <c r="H7771" i="9" s="1"/>
  <c r="F7772" i="9"/>
  <c r="H7772" i="9" s="1"/>
  <c r="F7773" i="9"/>
  <c r="H7773" i="9" s="1"/>
  <c r="F7774" i="9"/>
  <c r="H7774" i="9" s="1"/>
  <c r="F7775" i="9"/>
  <c r="H7775" i="9" s="1"/>
  <c r="F7776" i="9"/>
  <c r="H7776" i="9" s="1"/>
  <c r="F7777" i="9"/>
  <c r="H7777" i="9" s="1"/>
  <c r="F7778" i="9"/>
  <c r="H7778" i="9" s="1"/>
  <c r="F7779" i="9"/>
  <c r="H7779" i="9" s="1"/>
  <c r="F7780" i="9"/>
  <c r="H7780" i="9" s="1"/>
  <c r="F7781" i="9"/>
  <c r="H7781" i="9" s="1"/>
  <c r="F7782" i="9"/>
  <c r="H7782" i="9" s="1"/>
  <c r="F7783" i="9"/>
  <c r="H7783" i="9" s="1"/>
  <c r="F7784" i="9"/>
  <c r="H7784" i="9" s="1"/>
  <c r="F7785" i="9"/>
  <c r="H7785" i="9" s="1"/>
  <c r="F7786" i="9"/>
  <c r="H7786" i="9" s="1"/>
  <c r="F7787" i="9"/>
  <c r="H7787" i="9" s="1"/>
  <c r="F7788" i="9"/>
  <c r="H7788" i="9" s="1"/>
  <c r="F7789" i="9"/>
  <c r="H7789" i="9" s="1"/>
  <c r="F7790" i="9"/>
  <c r="H7790" i="9" s="1"/>
  <c r="F7791" i="9"/>
  <c r="H7791" i="9" s="1"/>
  <c r="F7792" i="9"/>
  <c r="H7792" i="9" s="1"/>
  <c r="F7793" i="9"/>
  <c r="H7793" i="9" s="1"/>
  <c r="F7794" i="9"/>
  <c r="H7794" i="9" s="1"/>
  <c r="F7795" i="9"/>
  <c r="H7795" i="9" s="1"/>
  <c r="F7796" i="9"/>
  <c r="H7796" i="9" s="1"/>
  <c r="F7797" i="9"/>
  <c r="H7797" i="9" s="1"/>
  <c r="F7798" i="9"/>
  <c r="H7798" i="9" s="1"/>
  <c r="F7799" i="9"/>
  <c r="H7799" i="9" s="1"/>
  <c r="F7800" i="9"/>
  <c r="H7800" i="9" s="1"/>
  <c r="F7801" i="9"/>
  <c r="H7801" i="9" s="1"/>
  <c r="F7802" i="9"/>
  <c r="H7802" i="9" s="1"/>
  <c r="F7803" i="9"/>
  <c r="H7803" i="9" s="1"/>
  <c r="F7804" i="9"/>
  <c r="H7804" i="9" s="1"/>
  <c r="F7805" i="9"/>
  <c r="H7805" i="9" s="1"/>
  <c r="F7806" i="9"/>
  <c r="H7806" i="9" s="1"/>
  <c r="F7807" i="9"/>
  <c r="H7807" i="9" s="1"/>
  <c r="F7808" i="9"/>
  <c r="H7808" i="9" s="1"/>
  <c r="F7809" i="9"/>
  <c r="H7809" i="9" s="1"/>
  <c r="F7810" i="9"/>
  <c r="H7810" i="9" s="1"/>
  <c r="F7811" i="9"/>
  <c r="H7811" i="9" s="1"/>
  <c r="F7812" i="9"/>
  <c r="H7812" i="9" s="1"/>
  <c r="F7813" i="9"/>
  <c r="H7813" i="9" s="1"/>
  <c r="F7814" i="9"/>
  <c r="H7814" i="9"/>
  <c r="F7815" i="9"/>
  <c r="H7815" i="9" s="1"/>
  <c r="F7816" i="9"/>
  <c r="H7816" i="9" s="1"/>
  <c r="F7817" i="9"/>
  <c r="H7817" i="9" s="1"/>
  <c r="F7818" i="9"/>
  <c r="H7818" i="9" s="1"/>
  <c r="F7819" i="9"/>
  <c r="H7819" i="9" s="1"/>
  <c r="F7820" i="9"/>
  <c r="H7820" i="9" s="1"/>
  <c r="F7821" i="9"/>
  <c r="H7821" i="9" s="1"/>
  <c r="F7822" i="9"/>
  <c r="H7822" i="9"/>
  <c r="F7823" i="9"/>
  <c r="H7823" i="9" s="1"/>
  <c r="F7824" i="9"/>
  <c r="H7824" i="9" s="1"/>
  <c r="F7825" i="9"/>
  <c r="H7825" i="9" s="1"/>
  <c r="F7826" i="9"/>
  <c r="H7826" i="9" s="1"/>
  <c r="F7827" i="9"/>
  <c r="H7827" i="9" s="1"/>
  <c r="F7828" i="9"/>
  <c r="H7828" i="9" s="1"/>
  <c r="F7829" i="9"/>
  <c r="H7829" i="9" s="1"/>
  <c r="F7830" i="9"/>
  <c r="H7830" i="9" s="1"/>
  <c r="F7831" i="9"/>
  <c r="H7831" i="9" s="1"/>
  <c r="F7832" i="9"/>
  <c r="H7832" i="9" s="1"/>
  <c r="F7833" i="9"/>
  <c r="H7833" i="9" s="1"/>
  <c r="F7834" i="9"/>
  <c r="H7834" i="9" s="1"/>
  <c r="F7835" i="9"/>
  <c r="H7835" i="9" s="1"/>
  <c r="F7836" i="9"/>
  <c r="H7836" i="9" s="1"/>
  <c r="F7837" i="9"/>
  <c r="H7837" i="9" s="1"/>
  <c r="F7838" i="9"/>
  <c r="H7838" i="9" s="1"/>
  <c r="F7839" i="9"/>
  <c r="H7839" i="9" s="1"/>
  <c r="F7840" i="9"/>
  <c r="H7840" i="9" s="1"/>
  <c r="F7841" i="9"/>
  <c r="H7841" i="9" s="1"/>
  <c r="F7842" i="9"/>
  <c r="H7842" i="9" s="1"/>
  <c r="F7843" i="9"/>
  <c r="H7843" i="9" s="1"/>
  <c r="F7844" i="9"/>
  <c r="H7844" i="9" s="1"/>
  <c r="F7845" i="9"/>
  <c r="H7845" i="9" s="1"/>
  <c r="F7846" i="9"/>
  <c r="H7846" i="9" s="1"/>
  <c r="F7847" i="9"/>
  <c r="H7847" i="9" s="1"/>
  <c r="F7848" i="9"/>
  <c r="H7848" i="9"/>
  <c r="F7849" i="9"/>
  <c r="H7849" i="9" s="1"/>
  <c r="F7850" i="9"/>
  <c r="H7850" i="9" s="1"/>
  <c r="F7851" i="9"/>
  <c r="H7851" i="9" s="1"/>
  <c r="F7852" i="9"/>
  <c r="H7852" i="9" s="1"/>
  <c r="F7853" i="9"/>
  <c r="H7853" i="9" s="1"/>
  <c r="F7854" i="9"/>
  <c r="H7854" i="9" s="1"/>
  <c r="F7855" i="9"/>
  <c r="H7855" i="9" s="1"/>
  <c r="F7856" i="9"/>
  <c r="H7856" i="9" s="1"/>
  <c r="F7857" i="9"/>
  <c r="H7857" i="9" s="1"/>
  <c r="F7858" i="9"/>
  <c r="H7858" i="9" s="1"/>
  <c r="F7859" i="9"/>
  <c r="H7859" i="9" s="1"/>
  <c r="F7860" i="9"/>
  <c r="H7860" i="9" s="1"/>
  <c r="F7861" i="9"/>
  <c r="H7861" i="9" s="1"/>
  <c r="F7862" i="9"/>
  <c r="H7862" i="9" s="1"/>
  <c r="F7863" i="9"/>
  <c r="H7863" i="9" s="1"/>
  <c r="F7864" i="9"/>
  <c r="H7864" i="9" s="1"/>
  <c r="F7865" i="9"/>
  <c r="H7865" i="9" s="1"/>
  <c r="F7866" i="9"/>
  <c r="H7866" i="9" s="1"/>
  <c r="F7867" i="9"/>
  <c r="H7867" i="9" s="1"/>
  <c r="F7868" i="9"/>
  <c r="H7868" i="9" s="1"/>
  <c r="F7869" i="9"/>
  <c r="H7869" i="9" s="1"/>
  <c r="F7870" i="9"/>
  <c r="H7870" i="9" s="1"/>
  <c r="F7871" i="9"/>
  <c r="H7871" i="9" s="1"/>
  <c r="F7872" i="9"/>
  <c r="H7872" i="9" s="1"/>
  <c r="F7873" i="9"/>
  <c r="H7873" i="9" s="1"/>
  <c r="F7874" i="9"/>
  <c r="H7874" i="9" s="1"/>
  <c r="F7875" i="9"/>
  <c r="H7875" i="9" s="1"/>
  <c r="F7876" i="9"/>
  <c r="H7876" i="9"/>
  <c r="F7877" i="9"/>
  <c r="H7877" i="9" s="1"/>
  <c r="F7878" i="9"/>
  <c r="H7878" i="9" s="1"/>
  <c r="F7879" i="9"/>
  <c r="H7879" i="9" s="1"/>
  <c r="F7880" i="9"/>
  <c r="H7880" i="9" s="1"/>
  <c r="F7881" i="9"/>
  <c r="H7881" i="9" s="1"/>
  <c r="F7882" i="9"/>
  <c r="H7882" i="9"/>
  <c r="F7883" i="9"/>
  <c r="H7883" i="9" s="1"/>
  <c r="F7884" i="9"/>
  <c r="H7884" i="9" s="1"/>
  <c r="F7885" i="9"/>
  <c r="H7885" i="9" s="1"/>
  <c r="F7886" i="9"/>
  <c r="H7886" i="9"/>
  <c r="F7887" i="9"/>
  <c r="H7887" i="9" s="1"/>
  <c r="F7888" i="9"/>
  <c r="H7888" i="9" s="1"/>
  <c r="F7889" i="9"/>
  <c r="H7889" i="9" s="1"/>
  <c r="F7890" i="9"/>
  <c r="H7890" i="9" s="1"/>
  <c r="F7891" i="9"/>
  <c r="H7891" i="9" s="1"/>
  <c r="F7892" i="9"/>
  <c r="H7892" i="9" s="1"/>
  <c r="F7893" i="9"/>
  <c r="H7893" i="9" s="1"/>
  <c r="F7894" i="9"/>
  <c r="H7894" i="9" s="1"/>
  <c r="F7895" i="9"/>
  <c r="H7895" i="9" s="1"/>
  <c r="F7896" i="9"/>
  <c r="H7896" i="9"/>
  <c r="F7897" i="9"/>
  <c r="H7897" i="9" s="1"/>
  <c r="F7898" i="9"/>
  <c r="H7898" i="9" s="1"/>
  <c r="F7899" i="9"/>
  <c r="H7899" i="9" s="1"/>
  <c r="F7900" i="9"/>
  <c r="H7900" i="9" s="1"/>
  <c r="F7901" i="9"/>
  <c r="H7901" i="9" s="1"/>
  <c r="F7902" i="9"/>
  <c r="H7902" i="9" s="1"/>
  <c r="F7903" i="9"/>
  <c r="H7903" i="9" s="1"/>
  <c r="F7904" i="9"/>
  <c r="H7904" i="9" s="1"/>
  <c r="F7905" i="9"/>
  <c r="H7905" i="9" s="1"/>
  <c r="F7906" i="9"/>
  <c r="H7906" i="9"/>
  <c r="F7907" i="9"/>
  <c r="H7907" i="9" s="1"/>
  <c r="F7908" i="9"/>
  <c r="H7908" i="9" s="1"/>
  <c r="F7909" i="9"/>
  <c r="H7909" i="9" s="1"/>
  <c r="F7910" i="9"/>
  <c r="H7910" i="9" s="1"/>
  <c r="F7911" i="9"/>
  <c r="H7911" i="9" s="1"/>
  <c r="F7912" i="9"/>
  <c r="H7912" i="9" s="1"/>
  <c r="F7913" i="9"/>
  <c r="H7913" i="9" s="1"/>
  <c r="F7914" i="9"/>
  <c r="H7914" i="9" s="1"/>
  <c r="F7915" i="9"/>
  <c r="H7915" i="9" s="1"/>
  <c r="F7916" i="9"/>
  <c r="H7916" i="9" s="1"/>
  <c r="F7917" i="9"/>
  <c r="H7917" i="9" s="1"/>
  <c r="F7918" i="9"/>
  <c r="H7918" i="9" s="1"/>
  <c r="F7919" i="9"/>
  <c r="H7919" i="9" s="1"/>
  <c r="F7920" i="9"/>
  <c r="H7920" i="9" s="1"/>
  <c r="F7921" i="9"/>
  <c r="H7921" i="9" s="1"/>
  <c r="F7922" i="9"/>
  <c r="H7922" i="9" s="1"/>
  <c r="F7923" i="9"/>
  <c r="H7923" i="9" s="1"/>
  <c r="F7924" i="9"/>
  <c r="H7924" i="9" s="1"/>
  <c r="F7925" i="9"/>
  <c r="H7925" i="9" s="1"/>
  <c r="F7926" i="9"/>
  <c r="H7926" i="9" s="1"/>
  <c r="F7927" i="9"/>
  <c r="H7927" i="9" s="1"/>
  <c r="F7928" i="9"/>
  <c r="H7928" i="9" s="1"/>
  <c r="F7929" i="9"/>
  <c r="H7929" i="9" s="1"/>
  <c r="F7930" i="9"/>
  <c r="H7930" i="9" s="1"/>
  <c r="F7931" i="9"/>
  <c r="H7931" i="9" s="1"/>
  <c r="F7932" i="9"/>
  <c r="H7932" i="9" s="1"/>
  <c r="F7933" i="9"/>
  <c r="H7933" i="9" s="1"/>
  <c r="F7934" i="9"/>
  <c r="H7934" i="9" s="1"/>
  <c r="F7935" i="9"/>
  <c r="H7935" i="9" s="1"/>
  <c r="F7936" i="9"/>
  <c r="H7936" i="9" s="1"/>
  <c r="F7937" i="9"/>
  <c r="H7937" i="9" s="1"/>
  <c r="F7938" i="9"/>
  <c r="H7938" i="9" s="1"/>
  <c r="F7939" i="9"/>
  <c r="H7939" i="9" s="1"/>
  <c r="F7940" i="9"/>
  <c r="H7940" i="9" s="1"/>
  <c r="F7941" i="9"/>
  <c r="H7941" i="9" s="1"/>
  <c r="F7942" i="9"/>
  <c r="H7942" i="9" s="1"/>
  <c r="F7943" i="9"/>
  <c r="H7943" i="9" s="1"/>
  <c r="F7944" i="9"/>
  <c r="H7944" i="9" s="1"/>
  <c r="F7945" i="9"/>
  <c r="H7945" i="9" s="1"/>
  <c r="F7946" i="9"/>
  <c r="H7946" i="9" s="1"/>
  <c r="F7947" i="9"/>
  <c r="H7947" i="9" s="1"/>
  <c r="F7948" i="9"/>
  <c r="H7948" i="9" s="1"/>
  <c r="F7949" i="9"/>
  <c r="H7949" i="9" s="1"/>
  <c r="F7950" i="9"/>
  <c r="H7950" i="9" s="1"/>
  <c r="F7951" i="9"/>
  <c r="H7951" i="9" s="1"/>
  <c r="F7952" i="9"/>
  <c r="H7952" i="9" s="1"/>
  <c r="F7953" i="9"/>
  <c r="H7953" i="9" s="1"/>
  <c r="F7954" i="9"/>
  <c r="H7954" i="9" s="1"/>
  <c r="F7955" i="9"/>
  <c r="H7955" i="9" s="1"/>
  <c r="F7956" i="9"/>
  <c r="H7956" i="9" s="1"/>
  <c r="F7957" i="9"/>
  <c r="H7957" i="9" s="1"/>
  <c r="F7958" i="9"/>
  <c r="H7958" i="9" s="1"/>
  <c r="F7959" i="9"/>
  <c r="H7959" i="9" s="1"/>
  <c r="F7960" i="9"/>
  <c r="H7960" i="9" s="1"/>
  <c r="F7961" i="9"/>
  <c r="H7961" i="9" s="1"/>
  <c r="F7962" i="9"/>
  <c r="H7962" i="9" s="1"/>
  <c r="F7963" i="9"/>
  <c r="H7963" i="9" s="1"/>
  <c r="F7964" i="9"/>
  <c r="H7964" i="9" s="1"/>
  <c r="F7965" i="9"/>
  <c r="H7965" i="9" s="1"/>
  <c r="F7966" i="9"/>
  <c r="H7966" i="9" s="1"/>
  <c r="F7967" i="9"/>
  <c r="H7967" i="9" s="1"/>
  <c r="F7968" i="9"/>
  <c r="H7968" i="9" s="1"/>
  <c r="F7969" i="9"/>
  <c r="H7969" i="9" s="1"/>
  <c r="F7970" i="9"/>
  <c r="H7970" i="9" s="1"/>
  <c r="F7971" i="9"/>
  <c r="H7971" i="9" s="1"/>
  <c r="F7972" i="9"/>
  <c r="H7972" i="9" s="1"/>
  <c r="F7973" i="9"/>
  <c r="H7973" i="9" s="1"/>
  <c r="F7974" i="9"/>
  <c r="H7974" i="9" s="1"/>
  <c r="F7975" i="9"/>
  <c r="H7975" i="9" s="1"/>
  <c r="F7976" i="9"/>
  <c r="H7976" i="9"/>
  <c r="F7977" i="9"/>
  <c r="H7977" i="9" s="1"/>
  <c r="F7978" i="9"/>
  <c r="H7978" i="9" s="1"/>
  <c r="F7979" i="9"/>
  <c r="H7979" i="9" s="1"/>
  <c r="F7980" i="9"/>
  <c r="H7980" i="9"/>
  <c r="F7981" i="9"/>
  <c r="H7981" i="9" s="1"/>
  <c r="F7982" i="9"/>
  <c r="H7982" i="9"/>
  <c r="F7983" i="9"/>
  <c r="H7983" i="9" s="1"/>
  <c r="F7984" i="9"/>
  <c r="H7984" i="9" s="1"/>
  <c r="F7985" i="9"/>
  <c r="H7985" i="9" s="1"/>
  <c r="F7986" i="9"/>
  <c r="H7986" i="9" s="1"/>
  <c r="F7987" i="9"/>
  <c r="H7987" i="9" s="1"/>
  <c r="F7988" i="9"/>
  <c r="H7988" i="9"/>
  <c r="F7989" i="9"/>
  <c r="H7989" i="9" s="1"/>
  <c r="F7990" i="9"/>
  <c r="H7990" i="9" s="1"/>
  <c r="F7991" i="9"/>
  <c r="H7991" i="9" s="1"/>
  <c r="F7992" i="9"/>
  <c r="H7992" i="9" s="1"/>
  <c r="F7993" i="9"/>
  <c r="H7993" i="9" s="1"/>
  <c r="F7994" i="9"/>
  <c r="H7994" i="9" s="1"/>
  <c r="F7995" i="9"/>
  <c r="H7995" i="9" s="1"/>
  <c r="F7996" i="9"/>
  <c r="H7996" i="9" s="1"/>
  <c r="F7997" i="9"/>
  <c r="H7997" i="9" s="1"/>
  <c r="F7998" i="9"/>
  <c r="H7998" i="9" s="1"/>
  <c r="F7999" i="9"/>
  <c r="H7999" i="9" s="1"/>
  <c r="F8000" i="9"/>
  <c r="H8000" i="9" s="1"/>
  <c r="F8001" i="9"/>
  <c r="H8001" i="9" s="1"/>
  <c r="F8002" i="9"/>
  <c r="H8002" i="9" s="1"/>
  <c r="F8003" i="9"/>
  <c r="H8003" i="9" s="1"/>
  <c r="F8004" i="9"/>
  <c r="H8004" i="9" s="1"/>
  <c r="F8005" i="9"/>
  <c r="H8005" i="9" s="1"/>
  <c r="F8006" i="9"/>
  <c r="H8006" i="9"/>
  <c r="F8007" i="9"/>
  <c r="H8007" i="9" s="1"/>
  <c r="F8008" i="9"/>
  <c r="H8008" i="9" s="1"/>
  <c r="F8009" i="9"/>
  <c r="H8009" i="9" s="1"/>
  <c r="F8010" i="9"/>
  <c r="H8010" i="9" s="1"/>
  <c r="F8011" i="9"/>
  <c r="H8011" i="9" s="1"/>
  <c r="F8012" i="9"/>
  <c r="H8012" i="9" s="1"/>
  <c r="F8013" i="9"/>
  <c r="H8013" i="9" s="1"/>
  <c r="F8014" i="9"/>
  <c r="H8014" i="9" s="1"/>
  <c r="F8015" i="9"/>
  <c r="H8015" i="9" s="1"/>
  <c r="F8016" i="9"/>
  <c r="H8016" i="9" s="1"/>
  <c r="F8017" i="9"/>
  <c r="H8017" i="9" s="1"/>
  <c r="F8018" i="9"/>
  <c r="H8018" i="9" s="1"/>
  <c r="F8019" i="9"/>
  <c r="H8019" i="9" s="1"/>
  <c r="F8020" i="9"/>
  <c r="H8020" i="9" s="1"/>
  <c r="F8021" i="9"/>
  <c r="H8021" i="9" s="1"/>
  <c r="F8022" i="9"/>
  <c r="H8022" i="9" s="1"/>
  <c r="F8023" i="9"/>
  <c r="H8023" i="9"/>
  <c r="F8024" i="9"/>
  <c r="H8024" i="9" s="1"/>
  <c r="F8025" i="9"/>
  <c r="H8025" i="9" s="1"/>
  <c r="F8026" i="9"/>
  <c r="H8026" i="9" s="1"/>
  <c r="F8027" i="9"/>
  <c r="H8027" i="9" s="1"/>
  <c r="F8028" i="9"/>
  <c r="H8028" i="9" s="1"/>
  <c r="F8029" i="9"/>
  <c r="H8029" i="9" s="1"/>
  <c r="F8030" i="9"/>
  <c r="H8030" i="9" s="1"/>
  <c r="F8031" i="9"/>
  <c r="H8031" i="9" s="1"/>
  <c r="F8032" i="9"/>
  <c r="H8032" i="9" s="1"/>
  <c r="F8033" i="9"/>
  <c r="H8033" i="9" s="1"/>
  <c r="F8034" i="9"/>
  <c r="H8034" i="9" s="1"/>
  <c r="F8035" i="9"/>
  <c r="H8035" i="9"/>
  <c r="F8036" i="9"/>
  <c r="H8036" i="9" s="1"/>
  <c r="F8037" i="9"/>
  <c r="H8037" i="9" s="1"/>
  <c r="F8038" i="9"/>
  <c r="H8038" i="9" s="1"/>
  <c r="F8039" i="9"/>
  <c r="H8039" i="9" s="1"/>
  <c r="F8040" i="9"/>
  <c r="H8040" i="9" s="1"/>
  <c r="F8041" i="9"/>
  <c r="H8041" i="9" s="1"/>
  <c r="F8042" i="9"/>
  <c r="H8042" i="9" s="1"/>
  <c r="F8043" i="9"/>
  <c r="H8043" i="9" s="1"/>
  <c r="F8044" i="9"/>
  <c r="H8044" i="9" s="1"/>
  <c r="F8045" i="9"/>
  <c r="H8045" i="9" s="1"/>
  <c r="F8046" i="9"/>
  <c r="H8046" i="9" s="1"/>
  <c r="F8047" i="9"/>
  <c r="H8047" i="9" s="1"/>
  <c r="F8048" i="9"/>
  <c r="H8048" i="9" s="1"/>
  <c r="F8049" i="9"/>
  <c r="H8049" i="9" s="1"/>
  <c r="F8050" i="9"/>
  <c r="H8050" i="9" s="1"/>
  <c r="F8051" i="9"/>
  <c r="H8051" i="9" s="1"/>
  <c r="F8052" i="9"/>
  <c r="H8052" i="9" s="1"/>
  <c r="F8053" i="9"/>
  <c r="H8053" i="9" s="1"/>
  <c r="F8054" i="9"/>
  <c r="H8054" i="9" s="1"/>
  <c r="F8055" i="9"/>
  <c r="H8055" i="9" s="1"/>
  <c r="F8056" i="9"/>
  <c r="H8056" i="9" s="1"/>
  <c r="F8057" i="9"/>
  <c r="H8057" i="9" s="1"/>
  <c r="F8058" i="9"/>
  <c r="H8058" i="9" s="1"/>
  <c r="F8059" i="9"/>
  <c r="H8059" i="9" s="1"/>
  <c r="F8060" i="9"/>
  <c r="H8060" i="9" s="1"/>
  <c r="F8061" i="9"/>
  <c r="H8061" i="9" s="1"/>
  <c r="F8062" i="9"/>
  <c r="H8062" i="9" s="1"/>
  <c r="F8063" i="9"/>
  <c r="H8063" i="9" s="1"/>
  <c r="F8064" i="9"/>
  <c r="H8064" i="9"/>
  <c r="F8065" i="9"/>
  <c r="H8065" i="9" s="1"/>
  <c r="F8066" i="9"/>
  <c r="H8066" i="9" s="1"/>
  <c r="F8067" i="9"/>
  <c r="H8067" i="9" s="1"/>
  <c r="F8068" i="9"/>
  <c r="H8068" i="9" s="1"/>
  <c r="F8069" i="9"/>
  <c r="H8069" i="9" s="1"/>
  <c r="F8070" i="9"/>
  <c r="H8070" i="9" s="1"/>
  <c r="F8071" i="9"/>
  <c r="H8071" i="9" s="1"/>
  <c r="F8072" i="9"/>
  <c r="H8072" i="9" s="1"/>
  <c r="F8073" i="9"/>
  <c r="H8073" i="9" s="1"/>
  <c r="F8074" i="9"/>
  <c r="H8074" i="9" s="1"/>
  <c r="F8075" i="9"/>
  <c r="H8075" i="9" s="1"/>
  <c r="F8076" i="9"/>
  <c r="H8076" i="9" s="1"/>
  <c r="F8077" i="9"/>
  <c r="H8077" i="9" s="1"/>
  <c r="F8078" i="9"/>
  <c r="H8078" i="9" s="1"/>
  <c r="F8079" i="9"/>
  <c r="H8079" i="9" s="1"/>
  <c r="F8080" i="9"/>
  <c r="H8080" i="9"/>
  <c r="F8081" i="9"/>
  <c r="H8081" i="9" s="1"/>
  <c r="F8082" i="9"/>
  <c r="H8082" i="9" s="1"/>
  <c r="F8083" i="9"/>
  <c r="H8083" i="9"/>
  <c r="F8084" i="9"/>
  <c r="H8084" i="9" s="1"/>
  <c r="F8085" i="9"/>
  <c r="H8085" i="9" s="1"/>
  <c r="F8086" i="9"/>
  <c r="H8086" i="9" s="1"/>
  <c r="F8087" i="9"/>
  <c r="H8087" i="9" s="1"/>
  <c r="F8088" i="9"/>
  <c r="H8088" i="9" s="1"/>
  <c r="F8089" i="9"/>
  <c r="H8089" i="9" s="1"/>
  <c r="F8090" i="9"/>
  <c r="H8090" i="9" s="1"/>
  <c r="F8091" i="9"/>
  <c r="H8091" i="9" s="1"/>
  <c r="F8092" i="9"/>
  <c r="H8092" i="9" s="1"/>
  <c r="F8093" i="9"/>
  <c r="H8093" i="9" s="1"/>
  <c r="F8094" i="9"/>
  <c r="H8094" i="9"/>
  <c r="F8095" i="9"/>
  <c r="H8095" i="9" s="1"/>
  <c r="F8096" i="9"/>
  <c r="H8096" i="9" s="1"/>
  <c r="F8097" i="9"/>
  <c r="H8097" i="9" s="1"/>
  <c r="F8098" i="9"/>
  <c r="H8098" i="9" s="1"/>
  <c r="F8099" i="9"/>
  <c r="H8099" i="9" s="1"/>
  <c r="F8100" i="9"/>
  <c r="H8100" i="9" s="1"/>
  <c r="F8101" i="9"/>
  <c r="H8101" i="9" s="1"/>
  <c r="F8102" i="9"/>
  <c r="H8102" i="9" s="1"/>
  <c r="F8103" i="9"/>
  <c r="H8103" i="9" s="1"/>
  <c r="F8104" i="9"/>
  <c r="H8104" i="9" s="1"/>
  <c r="F8105" i="9"/>
  <c r="H8105" i="9" s="1"/>
  <c r="F8106" i="9"/>
  <c r="H8106" i="9" s="1"/>
  <c r="F8107" i="9"/>
  <c r="H8107" i="9" s="1"/>
  <c r="F8108" i="9"/>
  <c r="H8108" i="9" s="1"/>
  <c r="F8109" i="9"/>
  <c r="H8109" i="9" s="1"/>
  <c r="F8110" i="9"/>
  <c r="H8110" i="9" s="1"/>
  <c r="F8111" i="9"/>
  <c r="H8111" i="9" s="1"/>
  <c r="F8112" i="9"/>
  <c r="H8112" i="9" s="1"/>
  <c r="F8113" i="9"/>
  <c r="H8113" i="9" s="1"/>
  <c r="F8114" i="9"/>
  <c r="H8114" i="9" s="1"/>
  <c r="F8115" i="9"/>
  <c r="H8115" i="9" s="1"/>
  <c r="F8116" i="9"/>
  <c r="H8116" i="9" s="1"/>
  <c r="F8117" i="9"/>
  <c r="H8117" i="9" s="1"/>
  <c r="F8118" i="9"/>
  <c r="H8118" i="9" s="1"/>
  <c r="F8119" i="9"/>
  <c r="H8119" i="9" s="1"/>
  <c r="F8120" i="9"/>
  <c r="H8120" i="9" s="1"/>
  <c r="F8121" i="9"/>
  <c r="H8121" i="9" s="1"/>
  <c r="F8122" i="9"/>
  <c r="H8122" i="9" s="1"/>
  <c r="F8123" i="9"/>
  <c r="H8123" i="9" s="1"/>
  <c r="F8124" i="9"/>
  <c r="H8124" i="9" s="1"/>
  <c r="F8125" i="9"/>
  <c r="H8125" i="9" s="1"/>
  <c r="F8126" i="9"/>
  <c r="H8126" i="9" s="1"/>
  <c r="F8127" i="9"/>
  <c r="H8127" i="9" s="1"/>
  <c r="F8128" i="9"/>
  <c r="H8128" i="9" s="1"/>
  <c r="F8129" i="9"/>
  <c r="H8129" i="9" s="1"/>
  <c r="F8130" i="9"/>
  <c r="H8130" i="9" s="1"/>
  <c r="F8131" i="9"/>
  <c r="H8131" i="9" s="1"/>
  <c r="F8132" i="9"/>
  <c r="H8132" i="9"/>
  <c r="F8133" i="9"/>
  <c r="H8133" i="9" s="1"/>
  <c r="F8134" i="9"/>
  <c r="H8134" i="9" s="1"/>
  <c r="F8135" i="9"/>
  <c r="H8135" i="9" s="1"/>
  <c r="F8136" i="9"/>
  <c r="H8136" i="9" s="1"/>
  <c r="F8137" i="9"/>
  <c r="H8137" i="9" s="1"/>
  <c r="F8138" i="9"/>
  <c r="H8138" i="9" s="1"/>
  <c r="F8139" i="9"/>
  <c r="H8139" i="9" s="1"/>
  <c r="F8140" i="9"/>
  <c r="H8140" i="9" s="1"/>
  <c r="F8141" i="9"/>
  <c r="H8141" i="9" s="1"/>
  <c r="F8142" i="9"/>
  <c r="H8142" i="9" s="1"/>
  <c r="F8143" i="9"/>
  <c r="H8143" i="9" s="1"/>
  <c r="F8144" i="9"/>
  <c r="H8144" i="9" s="1"/>
  <c r="F8145" i="9"/>
  <c r="H8145" i="9" s="1"/>
  <c r="F8146" i="9"/>
  <c r="H8146" i="9" s="1"/>
  <c r="F8147" i="9"/>
  <c r="H8147" i="9" s="1"/>
  <c r="F8148" i="9"/>
  <c r="H8148" i="9" s="1"/>
  <c r="F8149" i="9"/>
  <c r="H8149" i="9" s="1"/>
  <c r="F8150" i="9"/>
  <c r="H8150" i="9" s="1"/>
  <c r="F8151" i="9"/>
  <c r="H8151" i="9" s="1"/>
  <c r="F8152" i="9"/>
  <c r="H8152" i="9" s="1"/>
  <c r="F8153" i="9"/>
  <c r="H8153" i="9" s="1"/>
  <c r="F8154" i="9"/>
  <c r="H8154" i="9" s="1"/>
  <c r="F8155" i="9"/>
  <c r="H8155" i="9" s="1"/>
  <c r="F8156" i="9"/>
  <c r="H8156" i="9" s="1"/>
  <c r="F8157" i="9"/>
  <c r="H8157" i="9" s="1"/>
  <c r="F8158" i="9"/>
  <c r="H8158" i="9" s="1"/>
  <c r="F8159" i="9"/>
  <c r="H8159" i="9" s="1"/>
  <c r="F8160" i="9"/>
  <c r="H8160" i="9" s="1"/>
  <c r="F8161" i="9"/>
  <c r="H8161" i="9" s="1"/>
  <c r="F8162" i="9"/>
  <c r="H8162" i="9" s="1"/>
  <c r="F8163" i="9"/>
  <c r="H8163" i="9" s="1"/>
  <c r="F8164" i="9"/>
  <c r="H8164" i="9" s="1"/>
  <c r="F8165" i="9"/>
  <c r="H8165" i="9" s="1"/>
  <c r="F8166" i="9"/>
  <c r="H8166" i="9" s="1"/>
  <c r="F8167" i="9"/>
  <c r="H8167" i="9" s="1"/>
  <c r="F8168" i="9"/>
  <c r="H8168" i="9"/>
  <c r="F8169" i="9"/>
  <c r="H8169" i="9" s="1"/>
  <c r="F8170" i="9"/>
  <c r="H8170" i="9" s="1"/>
  <c r="F8171" i="9"/>
  <c r="H8171" i="9" s="1"/>
  <c r="F8172" i="9"/>
  <c r="H8172" i="9" s="1"/>
  <c r="F8173" i="9"/>
  <c r="H8173" i="9" s="1"/>
  <c r="F8174" i="9"/>
  <c r="H8174" i="9" s="1"/>
  <c r="F8175" i="9"/>
  <c r="H8175" i="9" s="1"/>
  <c r="F8176" i="9"/>
  <c r="H8176" i="9" s="1"/>
  <c r="F8177" i="9"/>
  <c r="H8177" i="9" s="1"/>
  <c r="F8178" i="9"/>
  <c r="H8178" i="9"/>
  <c r="F8179" i="9"/>
  <c r="H8179" i="9" s="1"/>
  <c r="F8180" i="9"/>
  <c r="H8180" i="9" s="1"/>
  <c r="F8181" i="9"/>
  <c r="H8181" i="9" s="1"/>
  <c r="F8182" i="9"/>
  <c r="H8182" i="9" s="1"/>
  <c r="F8183" i="9"/>
  <c r="H8183" i="9" s="1"/>
  <c r="F8184" i="9"/>
  <c r="H8184" i="9" s="1"/>
  <c r="F8185" i="9"/>
  <c r="H8185" i="9" s="1"/>
  <c r="F8186" i="9"/>
  <c r="H8186" i="9" s="1"/>
  <c r="F8187" i="9"/>
  <c r="H8187" i="9" s="1"/>
  <c r="F8188" i="9"/>
  <c r="H8188" i="9" s="1"/>
  <c r="F8189" i="9"/>
  <c r="H8189" i="9" s="1"/>
  <c r="F8190" i="9"/>
  <c r="H8190" i="9" s="1"/>
  <c r="F8191" i="9"/>
  <c r="H8191" i="9" s="1"/>
  <c r="F8192" i="9"/>
  <c r="H8192" i="9" s="1"/>
  <c r="F8193" i="9"/>
  <c r="H8193" i="9"/>
  <c r="F8194" i="9"/>
  <c r="H8194" i="9" s="1"/>
  <c r="F8195" i="9"/>
  <c r="H8195" i="9" s="1"/>
  <c r="F8196" i="9"/>
  <c r="H8196" i="9" s="1"/>
  <c r="F8197" i="9"/>
  <c r="H8197" i="9"/>
  <c r="F8198" i="9"/>
  <c r="H8198" i="9" s="1"/>
  <c r="F8199" i="9"/>
  <c r="H8199" i="9" s="1"/>
  <c r="F8200" i="9"/>
  <c r="H8200" i="9" s="1"/>
  <c r="F8201" i="9"/>
  <c r="H8201" i="9" s="1"/>
  <c r="F8202" i="9"/>
  <c r="H8202" i="9" s="1"/>
  <c r="F8203" i="9"/>
  <c r="H8203" i="9" s="1"/>
  <c r="F8204" i="9"/>
  <c r="H8204" i="9" s="1"/>
  <c r="F8205" i="9"/>
  <c r="H8205" i="9" s="1"/>
  <c r="F8206" i="9"/>
  <c r="H8206" i="9" s="1"/>
  <c r="F8207" i="9"/>
  <c r="H8207" i="9" s="1"/>
  <c r="F8208" i="9"/>
  <c r="H8208" i="9" s="1"/>
  <c r="F8209" i="9"/>
  <c r="H8209" i="9" s="1"/>
  <c r="F8210" i="9"/>
  <c r="H8210" i="9"/>
  <c r="F8211" i="9"/>
  <c r="H8211" i="9" s="1"/>
  <c r="F8212" i="9"/>
  <c r="H8212" i="9" s="1"/>
  <c r="F8213" i="9"/>
  <c r="H8213" i="9" s="1"/>
  <c r="F8214" i="9"/>
  <c r="H8214" i="9" s="1"/>
  <c r="F8215" i="9"/>
  <c r="H8215" i="9" s="1"/>
  <c r="F8216" i="9"/>
  <c r="H8216" i="9" s="1"/>
  <c r="F8217" i="9"/>
  <c r="H8217" i="9" s="1"/>
  <c r="F8218" i="9"/>
  <c r="H8218" i="9" s="1"/>
  <c r="F8219" i="9"/>
  <c r="H8219" i="9" s="1"/>
  <c r="F8220" i="9"/>
  <c r="H8220" i="9" s="1"/>
  <c r="F8221" i="9"/>
  <c r="H8221" i="9" s="1"/>
  <c r="F8222" i="9"/>
  <c r="H8222" i="9" s="1"/>
  <c r="F8223" i="9"/>
  <c r="H8223" i="9" s="1"/>
  <c r="F8224" i="9"/>
  <c r="H8224" i="9" s="1"/>
  <c r="F8225" i="9"/>
  <c r="H8225" i="9" s="1"/>
  <c r="F8226" i="9"/>
  <c r="H8226" i="9" s="1"/>
  <c r="F8227" i="9"/>
  <c r="H8227" i="9" s="1"/>
  <c r="F8228" i="9"/>
  <c r="H8228" i="9" s="1"/>
  <c r="F8229" i="9"/>
  <c r="H8229" i="9" s="1"/>
  <c r="F8230" i="9"/>
  <c r="H8230" i="9" s="1"/>
  <c r="F8231" i="9"/>
  <c r="H8231" i="9" s="1"/>
  <c r="F8232" i="9"/>
  <c r="H8232" i="9"/>
  <c r="F8233" i="9"/>
  <c r="H8233" i="9" s="1"/>
  <c r="F8234" i="9"/>
  <c r="H8234" i="9"/>
  <c r="F8235" i="9"/>
  <c r="H8235" i="9" s="1"/>
  <c r="F8236" i="9"/>
  <c r="H8236" i="9" s="1"/>
  <c r="F8237" i="9"/>
  <c r="H8237" i="9" s="1"/>
  <c r="F8238" i="9"/>
  <c r="H8238" i="9" s="1"/>
  <c r="F8239" i="9"/>
  <c r="H8239" i="9" s="1"/>
  <c r="F8240" i="9"/>
  <c r="H8240" i="9" s="1"/>
  <c r="F8241" i="9"/>
  <c r="H8241" i="9" s="1"/>
  <c r="F8242" i="9"/>
  <c r="H8242" i="9" s="1"/>
  <c r="F8243" i="9"/>
  <c r="H8243" i="9" s="1"/>
  <c r="F8244" i="9"/>
  <c r="H8244" i="9" s="1"/>
  <c r="F8245" i="9"/>
  <c r="H8245" i="9" s="1"/>
  <c r="F8246" i="9"/>
  <c r="H8246" i="9" s="1"/>
  <c r="F8247" i="9"/>
  <c r="H8247" i="9"/>
  <c r="F8248" i="9"/>
  <c r="H8248" i="9" s="1"/>
  <c r="F8249" i="9"/>
  <c r="H8249" i="9" s="1"/>
  <c r="F8250" i="9"/>
  <c r="H8250" i="9" s="1"/>
  <c r="F8251" i="9"/>
  <c r="H8251" i="9" s="1"/>
  <c r="F8252" i="9"/>
  <c r="H8252" i="9" s="1"/>
  <c r="F8253" i="9"/>
  <c r="H8253" i="9" s="1"/>
  <c r="F8254" i="9"/>
  <c r="H8254" i="9" s="1"/>
  <c r="F8255" i="9"/>
  <c r="H8255" i="9" s="1"/>
  <c r="F8256" i="9"/>
  <c r="H8256" i="9" s="1"/>
  <c r="F8257" i="9"/>
  <c r="H8257" i="9" s="1"/>
  <c r="F8258" i="9"/>
  <c r="H8258" i="9" s="1"/>
  <c r="F8259" i="9"/>
  <c r="H8259" i="9" s="1"/>
  <c r="F8260" i="9"/>
  <c r="H8260" i="9" s="1"/>
  <c r="F8261" i="9"/>
  <c r="H8261" i="9" s="1"/>
  <c r="F8262" i="9"/>
  <c r="H8262" i="9" s="1"/>
  <c r="F8263" i="9"/>
  <c r="H8263" i="9" s="1"/>
  <c r="F8264" i="9"/>
  <c r="H8264" i="9" s="1"/>
  <c r="F8265" i="9"/>
  <c r="H8265" i="9" s="1"/>
  <c r="F8266" i="9"/>
  <c r="H8266" i="9" s="1"/>
  <c r="F8267" i="9"/>
  <c r="H8267" i="9" s="1"/>
  <c r="F8268" i="9"/>
  <c r="H8268" i="9" s="1"/>
  <c r="F8269" i="9"/>
  <c r="H8269" i="9" s="1"/>
  <c r="F8270" i="9"/>
  <c r="H8270" i="9" s="1"/>
  <c r="F8271" i="9"/>
  <c r="H8271" i="9" s="1"/>
  <c r="F8272" i="9"/>
  <c r="H8272" i="9" s="1"/>
  <c r="F8273" i="9"/>
  <c r="H8273" i="9" s="1"/>
  <c r="F8274" i="9"/>
  <c r="H8274" i="9" s="1"/>
  <c r="F8275" i="9"/>
  <c r="H8275" i="9" s="1"/>
  <c r="F8276" i="9"/>
  <c r="H8276" i="9" s="1"/>
  <c r="F8277" i="9"/>
  <c r="H8277" i="9"/>
  <c r="F8278" i="9"/>
  <c r="H8278" i="9" s="1"/>
  <c r="F8279" i="9"/>
  <c r="H8279" i="9" s="1"/>
  <c r="F8280" i="9"/>
  <c r="H8280" i="9" s="1"/>
  <c r="F8281" i="9"/>
  <c r="H8281" i="9" s="1"/>
  <c r="F8282" i="9"/>
  <c r="H8282" i="9" s="1"/>
  <c r="F8283" i="9"/>
  <c r="H8283" i="9" s="1"/>
  <c r="F8284" i="9"/>
  <c r="H8284" i="9" s="1"/>
  <c r="F8285" i="9"/>
  <c r="H8285" i="9" s="1"/>
  <c r="F8286" i="9"/>
  <c r="H8286" i="9" s="1"/>
  <c r="F8287" i="9"/>
  <c r="H8287" i="9" s="1"/>
  <c r="F8288" i="9"/>
  <c r="H8288" i="9" s="1"/>
  <c r="F8289" i="9"/>
  <c r="H8289" i="9" s="1"/>
  <c r="F8290" i="9"/>
  <c r="H8290" i="9" s="1"/>
  <c r="F8291" i="9"/>
  <c r="H8291" i="9" s="1"/>
  <c r="F8292" i="9"/>
  <c r="H8292" i="9" s="1"/>
  <c r="F8293" i="9"/>
  <c r="H8293" i="9" s="1"/>
  <c r="F8294" i="9"/>
  <c r="H8294" i="9" s="1"/>
  <c r="F8295" i="9"/>
  <c r="H8295" i="9" s="1"/>
  <c r="F8296" i="9"/>
  <c r="H8296" i="9" s="1"/>
  <c r="F8297" i="9"/>
  <c r="H8297" i="9" s="1"/>
  <c r="F8298" i="9"/>
  <c r="H8298" i="9"/>
  <c r="F8299" i="9"/>
  <c r="H8299" i="9" s="1"/>
  <c r="F8300" i="9"/>
  <c r="H8300" i="9"/>
  <c r="F8301" i="9"/>
  <c r="H8301" i="9" s="1"/>
  <c r="F8302" i="9"/>
  <c r="H8302" i="9" s="1"/>
  <c r="F8303" i="9"/>
  <c r="H8303" i="9" s="1"/>
  <c r="F8304" i="9"/>
  <c r="H8304" i="9" s="1"/>
  <c r="F8305" i="9"/>
  <c r="H8305" i="9" s="1"/>
  <c r="F8306" i="9"/>
  <c r="H8306" i="9" s="1"/>
  <c r="F8307" i="9"/>
  <c r="H8307" i="9" s="1"/>
  <c r="F8308" i="9"/>
  <c r="H8308" i="9" s="1"/>
  <c r="F8309" i="9"/>
  <c r="H8309" i="9" s="1"/>
  <c r="F8310" i="9"/>
  <c r="H8310" i="9" s="1"/>
  <c r="F8311" i="9"/>
  <c r="H8311" i="9" s="1"/>
  <c r="F8312" i="9"/>
  <c r="H8312" i="9" s="1"/>
  <c r="F8313" i="9"/>
  <c r="H8313" i="9" s="1"/>
  <c r="F8314" i="9"/>
  <c r="H8314" i="9" s="1"/>
  <c r="F8315" i="9"/>
  <c r="H8315" i="9" s="1"/>
  <c r="F8316" i="9"/>
  <c r="H8316" i="9" s="1"/>
  <c r="F8317" i="9"/>
  <c r="H8317" i="9" s="1"/>
  <c r="F8318" i="9"/>
  <c r="H8318" i="9" s="1"/>
  <c r="F8319" i="9"/>
  <c r="H8319" i="9" s="1"/>
  <c r="F8320" i="9"/>
  <c r="H8320" i="9" s="1"/>
  <c r="F8321" i="9"/>
  <c r="H8321" i="9" s="1"/>
  <c r="F8322" i="9"/>
  <c r="H8322" i="9" s="1"/>
  <c r="F8323" i="9"/>
  <c r="H8323" i="9" s="1"/>
  <c r="F8324" i="9"/>
  <c r="H8324" i="9" s="1"/>
  <c r="F8325" i="9"/>
  <c r="H8325" i="9" s="1"/>
  <c r="F8326" i="9"/>
  <c r="H8326" i="9" s="1"/>
  <c r="F8327" i="9"/>
  <c r="H8327" i="9" s="1"/>
  <c r="F8328" i="9"/>
  <c r="H8328" i="9" s="1"/>
  <c r="F8329" i="9"/>
  <c r="H8329" i="9" s="1"/>
  <c r="F8330" i="9"/>
  <c r="H8330" i="9" s="1"/>
  <c r="F8331" i="9"/>
  <c r="H8331" i="9" s="1"/>
  <c r="F8332" i="9"/>
  <c r="H8332" i="9" s="1"/>
  <c r="F8333" i="9"/>
  <c r="H8333" i="9" s="1"/>
  <c r="F8334" i="9"/>
  <c r="H8334" i="9" s="1"/>
  <c r="F8335" i="9"/>
  <c r="H8335" i="9" s="1"/>
  <c r="F8336" i="9"/>
  <c r="H8336" i="9" s="1"/>
  <c r="F8337" i="9"/>
  <c r="H8337" i="9" s="1"/>
  <c r="F8338" i="9"/>
  <c r="H8338" i="9" s="1"/>
  <c r="F8339" i="9"/>
  <c r="H8339" i="9" s="1"/>
  <c r="F8340" i="9"/>
  <c r="H8340" i="9" s="1"/>
  <c r="F8341" i="9"/>
  <c r="H8341" i="9" s="1"/>
  <c r="F8342" i="9"/>
  <c r="H8342" i="9" s="1"/>
  <c r="F8343" i="9"/>
  <c r="H8343" i="9" s="1"/>
  <c r="F8344" i="9"/>
  <c r="H8344" i="9" s="1"/>
  <c r="F8345" i="9"/>
  <c r="H8345" i="9" s="1"/>
  <c r="F8346" i="9"/>
  <c r="H8346" i="9" s="1"/>
  <c r="F8347" i="9"/>
  <c r="H8347" i="9" s="1"/>
  <c r="F8348" i="9"/>
  <c r="H8348" i="9" s="1"/>
  <c r="F8349" i="9"/>
  <c r="H8349" i="9"/>
  <c r="F8350" i="9"/>
  <c r="H8350" i="9" s="1"/>
  <c r="F8351" i="9"/>
  <c r="H8351" i="9" s="1"/>
  <c r="F8352" i="9"/>
  <c r="H8352" i="9" s="1"/>
  <c r="F8353" i="9"/>
  <c r="H8353" i="9" s="1"/>
  <c r="F8354" i="9"/>
  <c r="H8354" i="9" s="1"/>
  <c r="F8355" i="9"/>
  <c r="H8355" i="9" s="1"/>
  <c r="F8356" i="9"/>
  <c r="H8356" i="9" s="1"/>
  <c r="F8357" i="9"/>
  <c r="H8357" i="9" s="1"/>
  <c r="F8358" i="9"/>
  <c r="H8358" i="9" s="1"/>
  <c r="F8359" i="9"/>
  <c r="H8359" i="9" s="1"/>
  <c r="F8360" i="9"/>
  <c r="H8360" i="9" s="1"/>
  <c r="F8361" i="9"/>
  <c r="H8361" i="9" s="1"/>
  <c r="F8362" i="9"/>
  <c r="H8362" i="9" s="1"/>
  <c r="F8363" i="9"/>
  <c r="H8363" i="9" s="1"/>
  <c r="F8364" i="9"/>
  <c r="H8364" i="9" s="1"/>
  <c r="F8365" i="9"/>
  <c r="H8365" i="9" s="1"/>
  <c r="F8366" i="9"/>
  <c r="H8366" i="9" s="1"/>
  <c r="F8367" i="9"/>
  <c r="H8367" i="9" s="1"/>
  <c r="F8368" i="9"/>
  <c r="H8368" i="9" s="1"/>
  <c r="F8369" i="9"/>
  <c r="H8369" i="9" s="1"/>
  <c r="F8370" i="9"/>
  <c r="H8370" i="9" s="1"/>
  <c r="F8371" i="9"/>
  <c r="H8371" i="9" s="1"/>
  <c r="F8372" i="9"/>
  <c r="H8372" i="9" s="1"/>
  <c r="F8373" i="9"/>
  <c r="H8373" i="9" s="1"/>
  <c r="F8374" i="9"/>
  <c r="H8374" i="9" s="1"/>
  <c r="F8375" i="9"/>
  <c r="H8375" i="9" s="1"/>
  <c r="F8376" i="9"/>
  <c r="H8376" i="9" s="1"/>
  <c r="F8377" i="9"/>
  <c r="H8377" i="9" s="1"/>
  <c r="F8378" i="9"/>
  <c r="H8378" i="9" s="1"/>
  <c r="F8379" i="9"/>
  <c r="H8379" i="9" s="1"/>
  <c r="F8380" i="9"/>
  <c r="H8380" i="9" s="1"/>
  <c r="F8381" i="9"/>
  <c r="H8381" i="9" s="1"/>
  <c r="F8382" i="9"/>
  <c r="H8382" i="9" s="1"/>
  <c r="F8383" i="9"/>
  <c r="H8383" i="9" s="1"/>
  <c r="F8384" i="9"/>
  <c r="H8384" i="9" s="1"/>
  <c r="F8385" i="9"/>
  <c r="H8385" i="9" s="1"/>
  <c r="F8386" i="9"/>
  <c r="H8386" i="9" s="1"/>
  <c r="F8387" i="9"/>
  <c r="H8387" i="9" s="1"/>
  <c r="F8388" i="9"/>
  <c r="H8388" i="9" s="1"/>
  <c r="F8389" i="9"/>
  <c r="H8389" i="9" s="1"/>
  <c r="F8390" i="9"/>
  <c r="H8390" i="9"/>
  <c r="F8391" i="9"/>
  <c r="H8391" i="9" s="1"/>
  <c r="F8392" i="9"/>
  <c r="H8392" i="9" s="1"/>
  <c r="F8393" i="9"/>
  <c r="H8393" i="9" s="1"/>
  <c r="F8394" i="9"/>
  <c r="H8394" i="9" s="1"/>
  <c r="F8395" i="9"/>
  <c r="H8395" i="9" s="1"/>
  <c r="F8396" i="9"/>
  <c r="H8396" i="9" s="1"/>
  <c r="F8397" i="9"/>
  <c r="H8397" i="9" s="1"/>
  <c r="F8398" i="9"/>
  <c r="H8398" i="9" s="1"/>
  <c r="F8399" i="9"/>
  <c r="H8399" i="9" s="1"/>
  <c r="F8400" i="9"/>
  <c r="H8400" i="9"/>
  <c r="F8401" i="9"/>
  <c r="H8401" i="9" s="1"/>
  <c r="F8402" i="9"/>
  <c r="H8402" i="9" s="1"/>
  <c r="F8403" i="9"/>
  <c r="H8403" i="9" s="1"/>
  <c r="F8404" i="9"/>
  <c r="H8404" i="9" s="1"/>
  <c r="F8405" i="9"/>
  <c r="H8405" i="9" s="1"/>
  <c r="F8406" i="9"/>
  <c r="H8406" i="9" s="1"/>
  <c r="F8407" i="9"/>
  <c r="H8407" i="9" s="1"/>
  <c r="F8408" i="9"/>
  <c r="H8408" i="9" s="1"/>
  <c r="F8409" i="9"/>
  <c r="H8409" i="9" s="1"/>
  <c r="F8410" i="9"/>
  <c r="H8410" i="9" s="1"/>
  <c r="F8411" i="9"/>
  <c r="H8411" i="9" s="1"/>
  <c r="F8412" i="9"/>
  <c r="H8412" i="9" s="1"/>
  <c r="F8413" i="9"/>
  <c r="H8413" i="9" s="1"/>
  <c r="F8414" i="9"/>
  <c r="H8414" i="9" s="1"/>
  <c r="F8415" i="9"/>
  <c r="H8415" i="9" s="1"/>
  <c r="F8416" i="9"/>
  <c r="H8416" i="9" s="1"/>
  <c r="F8417" i="9"/>
  <c r="H8417" i="9" s="1"/>
  <c r="F8418" i="9"/>
  <c r="H8418" i="9" s="1"/>
  <c r="F8419" i="9"/>
  <c r="H8419" i="9" s="1"/>
  <c r="F8420" i="9"/>
  <c r="H8420" i="9" s="1"/>
  <c r="F8421" i="9"/>
  <c r="H8421" i="9" s="1"/>
  <c r="F8422" i="9"/>
  <c r="H8422" i="9" s="1"/>
  <c r="F8423" i="9"/>
  <c r="H8423" i="9" s="1"/>
  <c r="F8424" i="9"/>
  <c r="H8424" i="9" s="1"/>
  <c r="F8425" i="9"/>
  <c r="H8425" i="9" s="1"/>
  <c r="F8426" i="9"/>
  <c r="H8426" i="9" s="1"/>
  <c r="F8427" i="9"/>
  <c r="H8427" i="9" s="1"/>
  <c r="F8428" i="9"/>
  <c r="H8428" i="9" s="1"/>
  <c r="F8429" i="9"/>
  <c r="H8429" i="9" s="1"/>
  <c r="F8430" i="9"/>
  <c r="H8430" i="9" s="1"/>
  <c r="F8431" i="9"/>
  <c r="H8431" i="9" s="1"/>
  <c r="F8432" i="9"/>
  <c r="H8432" i="9" s="1"/>
  <c r="F8433" i="9"/>
  <c r="H8433" i="9" s="1"/>
  <c r="F8434" i="9"/>
  <c r="H8434" i="9" s="1"/>
  <c r="F8435" i="9"/>
  <c r="H8435" i="9" s="1"/>
  <c r="F8436" i="9"/>
  <c r="H8436" i="9" s="1"/>
  <c r="F8437" i="9"/>
  <c r="H8437" i="9" s="1"/>
  <c r="F8438" i="9"/>
  <c r="H8438" i="9" s="1"/>
  <c r="F8439" i="9"/>
  <c r="H8439" i="9" s="1"/>
  <c r="F8440" i="9"/>
  <c r="H8440" i="9" s="1"/>
  <c r="F8441" i="9"/>
  <c r="H8441" i="9" s="1"/>
  <c r="F8442" i="9"/>
  <c r="H8442" i="9" s="1"/>
  <c r="F8443" i="9"/>
  <c r="H8443" i="9" s="1"/>
  <c r="F8444" i="9"/>
  <c r="H8444" i="9" s="1"/>
  <c r="F8445" i="9"/>
  <c r="H8445" i="9" s="1"/>
  <c r="F8446" i="9"/>
  <c r="H8446" i="9" s="1"/>
  <c r="F8447" i="9"/>
  <c r="H8447" i="9" s="1"/>
  <c r="F8448" i="9"/>
  <c r="H8448" i="9" s="1"/>
  <c r="F8449" i="9"/>
  <c r="H8449" i="9" s="1"/>
  <c r="F8450" i="9"/>
  <c r="H8450" i="9" s="1"/>
  <c r="F8451" i="9"/>
  <c r="H8451" i="9" s="1"/>
  <c r="F8452" i="9"/>
  <c r="H8452" i="9" s="1"/>
  <c r="F8453" i="9"/>
  <c r="H8453" i="9" s="1"/>
  <c r="F8454" i="9"/>
  <c r="H8454" i="9" s="1"/>
  <c r="F8455" i="9"/>
  <c r="H8455" i="9" s="1"/>
  <c r="F8456" i="9"/>
  <c r="H8456" i="9" s="1"/>
  <c r="F8457" i="9"/>
  <c r="H8457" i="9"/>
  <c r="F8458" i="9"/>
  <c r="H8458" i="9" s="1"/>
  <c r="F8459" i="9"/>
  <c r="H8459" i="9" s="1"/>
  <c r="F8460" i="9"/>
  <c r="H8460" i="9" s="1"/>
  <c r="F8461" i="9"/>
  <c r="H8461" i="9" s="1"/>
  <c r="F8462" i="9"/>
  <c r="H8462" i="9" s="1"/>
  <c r="F8463" i="9"/>
  <c r="H8463" i="9" s="1"/>
  <c r="F8464" i="9"/>
  <c r="H8464" i="9" s="1"/>
  <c r="F8465" i="9"/>
  <c r="H8465" i="9" s="1"/>
  <c r="F8466" i="9"/>
  <c r="H8466" i="9" s="1"/>
  <c r="F8467" i="9"/>
  <c r="H8467" i="9" s="1"/>
  <c r="F8468" i="9"/>
  <c r="H8468" i="9" s="1"/>
  <c r="F8469" i="9"/>
  <c r="H8469" i="9" s="1"/>
  <c r="F8470" i="9"/>
  <c r="H8470" i="9" s="1"/>
  <c r="F8471" i="9"/>
  <c r="H8471" i="9" s="1"/>
  <c r="F8472" i="9"/>
  <c r="H8472" i="9" s="1"/>
  <c r="F8473" i="9"/>
  <c r="H8473" i="9" s="1"/>
  <c r="F8474" i="9"/>
  <c r="H8474" i="9" s="1"/>
  <c r="F8475" i="9"/>
  <c r="H8475" i="9" s="1"/>
  <c r="F8476" i="9"/>
  <c r="H8476" i="9" s="1"/>
  <c r="F8477" i="9"/>
  <c r="H8477" i="9" s="1"/>
  <c r="F8478" i="9"/>
  <c r="H8478" i="9" s="1"/>
  <c r="F8479" i="9"/>
  <c r="H8479" i="9" s="1"/>
  <c r="F8480" i="9"/>
  <c r="H8480" i="9" s="1"/>
  <c r="F8481" i="9"/>
  <c r="H8481" i="9" s="1"/>
  <c r="F8482" i="9"/>
  <c r="H8482" i="9" s="1"/>
  <c r="F8483" i="9"/>
  <c r="H8483" i="9" s="1"/>
  <c r="F8484" i="9"/>
  <c r="H8484" i="9" s="1"/>
  <c r="F8485" i="9"/>
  <c r="H8485" i="9" s="1"/>
  <c r="F8486" i="9"/>
  <c r="H8486" i="9" s="1"/>
  <c r="F8487" i="9"/>
  <c r="H8487" i="9" s="1"/>
  <c r="F8488" i="9"/>
  <c r="H8488" i="9" s="1"/>
  <c r="F8489" i="9"/>
  <c r="H8489" i="9" s="1"/>
  <c r="F8490" i="9"/>
  <c r="H8490" i="9"/>
  <c r="F8491" i="9"/>
  <c r="H8491" i="9" s="1"/>
  <c r="F8492" i="9"/>
  <c r="H8492" i="9" s="1"/>
  <c r="F8493" i="9"/>
  <c r="H8493" i="9" s="1"/>
  <c r="F8494" i="9"/>
  <c r="H8494" i="9" s="1"/>
  <c r="F8495" i="9"/>
  <c r="H8495" i="9" s="1"/>
  <c r="F8496" i="9"/>
  <c r="H8496" i="9" s="1"/>
  <c r="F8497" i="9"/>
  <c r="H8497" i="9" s="1"/>
  <c r="F8498" i="9"/>
  <c r="H8498" i="9" s="1"/>
  <c r="F8499" i="9"/>
  <c r="H8499" i="9" s="1"/>
  <c r="F8500" i="9"/>
  <c r="H8500" i="9" s="1"/>
  <c r="F8501" i="9"/>
  <c r="H8501" i="9" s="1"/>
  <c r="F8502" i="9"/>
  <c r="H8502" i="9" s="1"/>
  <c r="F8503" i="9"/>
  <c r="H8503" i="9" s="1"/>
  <c r="F8504" i="9"/>
  <c r="H8504" i="9" s="1"/>
  <c r="F8505" i="9"/>
  <c r="H8505" i="9" s="1"/>
  <c r="F8506" i="9"/>
  <c r="H8506" i="9" s="1"/>
  <c r="F8507" i="9"/>
  <c r="H8507" i="9" s="1"/>
  <c r="F8508" i="9"/>
  <c r="H8508" i="9" s="1"/>
  <c r="F8509" i="9"/>
  <c r="H8509" i="9" s="1"/>
  <c r="F8510" i="9"/>
  <c r="H8510" i="9" s="1"/>
  <c r="F8511" i="9"/>
  <c r="H8511" i="9" s="1"/>
  <c r="F8512" i="9"/>
  <c r="H8512" i="9" s="1"/>
  <c r="F8513" i="9"/>
  <c r="H8513" i="9" s="1"/>
  <c r="F8514" i="9"/>
  <c r="H8514" i="9" s="1"/>
  <c r="F8515" i="9"/>
  <c r="H8515" i="9" s="1"/>
  <c r="F8516" i="9"/>
  <c r="H8516" i="9" s="1"/>
  <c r="F8517" i="9"/>
  <c r="H8517" i="9" s="1"/>
  <c r="F8518" i="9"/>
  <c r="H8518" i="9" s="1"/>
  <c r="F8519" i="9"/>
  <c r="H8519" i="9" s="1"/>
  <c r="F8520" i="9"/>
  <c r="H8520" i="9" s="1"/>
  <c r="F8521" i="9"/>
  <c r="H8521" i="9"/>
  <c r="F8522" i="9"/>
  <c r="H8522" i="9" s="1"/>
  <c r="F8523" i="9"/>
  <c r="H8523" i="9" s="1"/>
  <c r="F8524" i="9"/>
  <c r="H8524" i="9" s="1"/>
  <c r="F8525" i="9"/>
  <c r="H8525" i="9" s="1"/>
  <c r="F8526" i="9"/>
  <c r="H8526" i="9" s="1"/>
  <c r="F8527" i="9"/>
  <c r="H8527" i="9" s="1"/>
  <c r="F8528" i="9"/>
  <c r="H8528" i="9" s="1"/>
  <c r="F8529" i="9"/>
  <c r="H8529" i="9" s="1"/>
  <c r="F8530" i="9"/>
  <c r="H8530" i="9" s="1"/>
  <c r="F8531" i="9"/>
  <c r="H8531" i="9" s="1"/>
  <c r="F8532" i="9"/>
  <c r="H8532" i="9" s="1"/>
  <c r="F8533" i="9"/>
  <c r="H8533" i="9" s="1"/>
  <c r="F8534" i="9"/>
  <c r="H8534" i="9"/>
  <c r="F8535" i="9"/>
  <c r="H8535" i="9" s="1"/>
  <c r="F8536" i="9"/>
  <c r="H8536" i="9" s="1"/>
  <c r="F8537" i="9"/>
  <c r="H8537" i="9" s="1"/>
  <c r="F8538" i="9"/>
  <c r="H8538" i="9" s="1"/>
  <c r="F8539" i="9"/>
  <c r="H8539" i="9" s="1"/>
  <c r="F8540" i="9"/>
  <c r="H8540" i="9" s="1"/>
  <c r="F8541" i="9"/>
  <c r="H8541" i="9" s="1"/>
  <c r="F8542" i="9"/>
  <c r="H8542" i="9" s="1"/>
  <c r="F8543" i="9"/>
  <c r="H8543" i="9" s="1"/>
  <c r="F8544" i="9"/>
  <c r="H8544" i="9" s="1"/>
  <c r="F8545" i="9"/>
  <c r="H8545" i="9" s="1"/>
  <c r="F8546" i="9"/>
  <c r="H8546" i="9" s="1"/>
  <c r="F8547" i="9"/>
  <c r="H8547" i="9" s="1"/>
  <c r="F8548" i="9"/>
  <c r="H8548" i="9" s="1"/>
  <c r="F8549" i="9"/>
  <c r="H8549" i="9" s="1"/>
  <c r="F8550" i="9"/>
  <c r="H8550" i="9" s="1"/>
  <c r="F8551" i="9"/>
  <c r="H8551" i="9"/>
  <c r="F8552" i="9"/>
  <c r="H8552" i="9" s="1"/>
  <c r="F8553" i="9"/>
  <c r="H8553" i="9" s="1"/>
  <c r="F8554" i="9"/>
  <c r="H8554" i="9" s="1"/>
  <c r="F8555" i="9"/>
  <c r="H8555" i="9" s="1"/>
  <c r="F8556" i="9"/>
  <c r="H8556" i="9" s="1"/>
  <c r="F8557" i="9"/>
  <c r="H8557" i="9"/>
  <c r="F8558" i="9"/>
  <c r="H8558" i="9" s="1"/>
  <c r="F8559" i="9"/>
  <c r="H8559" i="9" s="1"/>
  <c r="F8560" i="9"/>
  <c r="H8560" i="9" s="1"/>
  <c r="F8561" i="9"/>
  <c r="H8561" i="9" s="1"/>
  <c r="F8562" i="9"/>
  <c r="H8562" i="9" s="1"/>
  <c r="F8563" i="9"/>
  <c r="H8563" i="9" s="1"/>
  <c r="F8564" i="9"/>
  <c r="H8564" i="9" s="1"/>
  <c r="F8565" i="9"/>
  <c r="H8565" i="9" s="1"/>
  <c r="F8566" i="9"/>
  <c r="H8566" i="9" s="1"/>
  <c r="F8567" i="9"/>
  <c r="H8567" i="9" s="1"/>
  <c r="F8568" i="9"/>
  <c r="H8568" i="9" s="1"/>
  <c r="F8569" i="9"/>
  <c r="H8569" i="9" s="1"/>
  <c r="F8570" i="9"/>
  <c r="H8570" i="9" s="1"/>
  <c r="F8571" i="9"/>
  <c r="H8571" i="9" s="1"/>
  <c r="F8572" i="9"/>
  <c r="H8572" i="9" s="1"/>
  <c r="F8573" i="9"/>
  <c r="H8573" i="9" s="1"/>
  <c r="F8574" i="9"/>
  <c r="H8574" i="9" s="1"/>
  <c r="F8575" i="9"/>
  <c r="H8575" i="9" s="1"/>
  <c r="F8576" i="9"/>
  <c r="H8576" i="9" s="1"/>
  <c r="F8577" i="9"/>
  <c r="H8577" i="9" s="1"/>
  <c r="F8578" i="9"/>
  <c r="H8578" i="9" s="1"/>
  <c r="F8579" i="9"/>
  <c r="H8579" i="9" s="1"/>
  <c r="F8580" i="9"/>
  <c r="H8580" i="9" s="1"/>
  <c r="F8581" i="9"/>
  <c r="H8581" i="9" s="1"/>
  <c r="F8582" i="9"/>
  <c r="H8582" i="9" s="1"/>
  <c r="F8583" i="9"/>
  <c r="H8583" i="9"/>
  <c r="F8584" i="9"/>
  <c r="H8584" i="9" s="1"/>
  <c r="F8585" i="9"/>
  <c r="H8585" i="9" s="1"/>
  <c r="F8586" i="9"/>
  <c r="H8586" i="9" s="1"/>
  <c r="F8587" i="9"/>
  <c r="H8587" i="9" s="1"/>
  <c r="F8588" i="9"/>
  <c r="H8588" i="9" s="1"/>
  <c r="F8589" i="9"/>
  <c r="H8589" i="9" s="1"/>
  <c r="F8590" i="9"/>
  <c r="H8590" i="9" s="1"/>
  <c r="F8591" i="9"/>
  <c r="H8591" i="9" s="1"/>
  <c r="F8592" i="9"/>
  <c r="H8592" i="9" s="1"/>
  <c r="F8593" i="9"/>
  <c r="H8593" i="9" s="1"/>
  <c r="F8594" i="9"/>
  <c r="H8594" i="9" s="1"/>
  <c r="F8595" i="9"/>
  <c r="H8595" i="9" s="1"/>
  <c r="F8596" i="9"/>
  <c r="H8596" i="9" s="1"/>
  <c r="F8597" i="9"/>
  <c r="H8597" i="9" s="1"/>
  <c r="F8598" i="9"/>
  <c r="H8598" i="9" s="1"/>
  <c r="F8599" i="9"/>
  <c r="H8599" i="9" s="1"/>
  <c r="F8600" i="9"/>
  <c r="H8600" i="9" s="1"/>
  <c r="F8601" i="9"/>
  <c r="H8601" i="9"/>
  <c r="F8602" i="9"/>
  <c r="H8602" i="9" s="1"/>
  <c r="F8603" i="9"/>
  <c r="H8603" i="9" s="1"/>
  <c r="F8604" i="9"/>
  <c r="H8604" i="9" s="1"/>
  <c r="F8605" i="9"/>
  <c r="H8605" i="9" s="1"/>
  <c r="F8606" i="9"/>
  <c r="H8606" i="9"/>
  <c r="F8607" i="9"/>
  <c r="H8607" i="9" s="1"/>
  <c r="F8608" i="9"/>
  <c r="H8608" i="9" s="1"/>
  <c r="F8609" i="9"/>
  <c r="H8609" i="9" s="1"/>
  <c r="F8610" i="9"/>
  <c r="H8610" i="9"/>
  <c r="F8611" i="9"/>
  <c r="H8611" i="9" s="1"/>
  <c r="F8612" i="9"/>
  <c r="H8612" i="9" s="1"/>
  <c r="F8613" i="9"/>
  <c r="H8613" i="9"/>
  <c r="F8614" i="9"/>
  <c r="H8614" i="9" s="1"/>
  <c r="F8615" i="9"/>
  <c r="H8615" i="9" s="1"/>
  <c r="F8616" i="9"/>
  <c r="H8616" i="9"/>
  <c r="F8617" i="9"/>
  <c r="H8617" i="9"/>
  <c r="F8618" i="9"/>
  <c r="H8618" i="9" s="1"/>
  <c r="F8619" i="9"/>
  <c r="H8619" i="9" s="1"/>
  <c r="F8620" i="9"/>
  <c r="H8620" i="9" s="1"/>
  <c r="F8621" i="9"/>
  <c r="H8621" i="9" s="1"/>
  <c r="F8622" i="9"/>
  <c r="H8622" i="9" s="1"/>
  <c r="F8623" i="9"/>
  <c r="H8623" i="9" s="1"/>
  <c r="F8624" i="9"/>
  <c r="H8624" i="9" s="1"/>
  <c r="F8625" i="9"/>
  <c r="H8625" i="9" s="1"/>
  <c r="F8626" i="9"/>
  <c r="H8626" i="9" s="1"/>
  <c r="F8627" i="9"/>
  <c r="H8627" i="9" s="1"/>
  <c r="F8628" i="9"/>
  <c r="H8628" i="9" s="1"/>
  <c r="F8629" i="9"/>
  <c r="H8629" i="9" s="1"/>
  <c r="F8630" i="9"/>
  <c r="H8630" i="9" s="1"/>
  <c r="F8631" i="9"/>
  <c r="H8631" i="9" s="1"/>
  <c r="F8632" i="9"/>
  <c r="H8632" i="9" s="1"/>
  <c r="F8633" i="9"/>
  <c r="H8633" i="9" s="1"/>
  <c r="F8634" i="9"/>
  <c r="H8634" i="9" s="1"/>
  <c r="F8635" i="9"/>
  <c r="H8635" i="9" s="1"/>
  <c r="F8636" i="9"/>
  <c r="H8636" i="9" s="1"/>
  <c r="F8637" i="9"/>
  <c r="H8637" i="9" s="1"/>
  <c r="F8638" i="9"/>
  <c r="H8638" i="9" s="1"/>
  <c r="F8639" i="9"/>
  <c r="H8639" i="9" s="1"/>
  <c r="F8640" i="9"/>
  <c r="H8640" i="9" s="1"/>
  <c r="F8641" i="9"/>
  <c r="H8641" i="9" s="1"/>
  <c r="F8642" i="9"/>
  <c r="H8642" i="9" s="1"/>
  <c r="F8643" i="9"/>
  <c r="H8643" i="9" s="1"/>
  <c r="F8644" i="9"/>
  <c r="H8644" i="9" s="1"/>
  <c r="F8645" i="9"/>
  <c r="H8645" i="9" s="1"/>
  <c r="F8646" i="9"/>
  <c r="H8646" i="9" s="1"/>
  <c r="F8647" i="9"/>
  <c r="H8647" i="9" s="1"/>
  <c r="F8648" i="9"/>
  <c r="H8648" i="9" s="1"/>
  <c r="F8649" i="9"/>
  <c r="H8649" i="9"/>
  <c r="F8650" i="9"/>
  <c r="H8650" i="9" s="1"/>
  <c r="F8651" i="9"/>
  <c r="H8651" i="9" s="1"/>
  <c r="F8652" i="9"/>
  <c r="H8652" i="9" s="1"/>
  <c r="F8653" i="9"/>
  <c r="H8653" i="9" s="1"/>
  <c r="F8654" i="9"/>
  <c r="H8654" i="9" s="1"/>
  <c r="F8655" i="9"/>
  <c r="H8655" i="9" s="1"/>
  <c r="F8656" i="9"/>
  <c r="H8656" i="9" s="1"/>
  <c r="F8657" i="9"/>
  <c r="H8657" i="9" s="1"/>
  <c r="F8658" i="9"/>
  <c r="H8658" i="9" s="1"/>
  <c r="F8659" i="9"/>
  <c r="H8659" i="9" s="1"/>
  <c r="F8660" i="9"/>
  <c r="H8660" i="9" s="1"/>
  <c r="F8661" i="9"/>
  <c r="H8661" i="9" s="1"/>
  <c r="F8662" i="9"/>
  <c r="H8662" i="9" s="1"/>
  <c r="F8663" i="9"/>
  <c r="H8663" i="9" s="1"/>
  <c r="F8664" i="9"/>
  <c r="H8664" i="9" s="1"/>
  <c r="F8665" i="9"/>
  <c r="H8665" i="9" s="1"/>
  <c r="F8666" i="9"/>
  <c r="H8666" i="9" s="1"/>
  <c r="F8667" i="9"/>
  <c r="H8667" i="9" s="1"/>
  <c r="F8668" i="9"/>
  <c r="H8668" i="9"/>
  <c r="F8669" i="9"/>
  <c r="H8669" i="9" s="1"/>
  <c r="F8670" i="9"/>
  <c r="H8670" i="9"/>
  <c r="F8671" i="9"/>
  <c r="H8671" i="9"/>
  <c r="F8672" i="9"/>
  <c r="H8672" i="9" s="1"/>
  <c r="F8673" i="9"/>
  <c r="H8673" i="9" s="1"/>
  <c r="F8674" i="9"/>
  <c r="H8674" i="9" s="1"/>
  <c r="F8675" i="9"/>
  <c r="H8675" i="9" s="1"/>
  <c r="F8676" i="9"/>
  <c r="H8676" i="9" s="1"/>
  <c r="F8677" i="9"/>
  <c r="H8677" i="9" s="1"/>
  <c r="F8678" i="9"/>
  <c r="H8678" i="9" s="1"/>
  <c r="F8679" i="9"/>
  <c r="H8679" i="9" s="1"/>
  <c r="F8680" i="9"/>
  <c r="H8680" i="9" s="1"/>
  <c r="F8681" i="9"/>
  <c r="H8681" i="9" s="1"/>
  <c r="F8682" i="9"/>
  <c r="H8682" i="9" s="1"/>
  <c r="F8683" i="9"/>
  <c r="H8683" i="9" s="1"/>
  <c r="F8684" i="9"/>
  <c r="H8684" i="9" s="1"/>
  <c r="F8685" i="9"/>
  <c r="H8685" i="9" s="1"/>
  <c r="F8686" i="9"/>
  <c r="H8686" i="9"/>
  <c r="F8687" i="9"/>
  <c r="H8687" i="9" s="1"/>
  <c r="F8688" i="9"/>
  <c r="H8688" i="9" s="1"/>
  <c r="F8689" i="9"/>
  <c r="H8689" i="9" s="1"/>
  <c r="F8690" i="9"/>
  <c r="H8690" i="9" s="1"/>
  <c r="F8691" i="9"/>
  <c r="H8691" i="9" s="1"/>
  <c r="F8692" i="9"/>
  <c r="H8692" i="9" s="1"/>
  <c r="F8693" i="9"/>
  <c r="H8693" i="9" s="1"/>
  <c r="F8694" i="9"/>
  <c r="H8694" i="9" s="1"/>
  <c r="F8695" i="9"/>
  <c r="H8695" i="9" s="1"/>
  <c r="F8696" i="9"/>
  <c r="H8696" i="9" s="1"/>
  <c r="F8697" i="9"/>
  <c r="H8697" i="9" s="1"/>
  <c r="F8698" i="9"/>
  <c r="H8698" i="9" s="1"/>
  <c r="F8699" i="9"/>
  <c r="H8699" i="9" s="1"/>
  <c r="F8700" i="9"/>
  <c r="H8700" i="9" s="1"/>
  <c r="F8701" i="9"/>
  <c r="H8701" i="9" s="1"/>
  <c r="F8702" i="9"/>
  <c r="H8702" i="9" s="1"/>
  <c r="F8703" i="9"/>
  <c r="H8703" i="9" s="1"/>
  <c r="F8704" i="9"/>
  <c r="H8704" i="9" s="1"/>
  <c r="F8705" i="9"/>
  <c r="H8705" i="9" s="1"/>
  <c r="F8706" i="9"/>
  <c r="H8706" i="9" s="1"/>
  <c r="F8707" i="9"/>
  <c r="H8707" i="9" s="1"/>
  <c r="F8708" i="9"/>
  <c r="H8708" i="9" s="1"/>
  <c r="F8709" i="9"/>
  <c r="H8709" i="9" s="1"/>
  <c r="F8710" i="9"/>
  <c r="H8710" i="9" s="1"/>
  <c r="F8711" i="9"/>
  <c r="H8711" i="9" s="1"/>
  <c r="F8712" i="9"/>
  <c r="H8712" i="9" s="1"/>
  <c r="F8713" i="9"/>
  <c r="H8713" i="9" s="1"/>
  <c r="F8714" i="9"/>
  <c r="H8714" i="9" s="1"/>
  <c r="F8715" i="9"/>
  <c r="H8715" i="9" s="1"/>
  <c r="F8716" i="9"/>
  <c r="H8716" i="9" s="1"/>
  <c r="F8717" i="9"/>
  <c r="H8717" i="9" s="1"/>
  <c r="F8718" i="9"/>
  <c r="H8718" i="9" s="1"/>
  <c r="F8719" i="9"/>
  <c r="H8719" i="9" s="1"/>
  <c r="F8720" i="9"/>
  <c r="H8720" i="9" s="1"/>
  <c r="F8721" i="9"/>
  <c r="H8721" i="9" s="1"/>
  <c r="F8722" i="9"/>
  <c r="H8722" i="9" s="1"/>
  <c r="F8723" i="9"/>
  <c r="H8723" i="9" s="1"/>
  <c r="F8724" i="9"/>
  <c r="H8724" i="9" s="1"/>
  <c r="F8725" i="9"/>
  <c r="H8725" i="9" s="1"/>
  <c r="F8726" i="9"/>
  <c r="H8726" i="9" s="1"/>
  <c r="F8727" i="9"/>
  <c r="H8727" i="9" s="1"/>
  <c r="F8728" i="9"/>
  <c r="H8728" i="9" s="1"/>
  <c r="F8729" i="9"/>
  <c r="H8729" i="9" s="1"/>
  <c r="F8730" i="9"/>
  <c r="H8730" i="9" s="1"/>
  <c r="F8731" i="9"/>
  <c r="H8731" i="9" s="1"/>
  <c r="F8732" i="9"/>
  <c r="H8732" i="9" s="1"/>
  <c r="F8733" i="9"/>
  <c r="H8733" i="9" s="1"/>
  <c r="F8734" i="9"/>
  <c r="H8734" i="9" s="1"/>
  <c r="F8735" i="9"/>
  <c r="H8735" i="9" s="1"/>
  <c r="F8736" i="9"/>
  <c r="H8736" i="9" s="1"/>
  <c r="F8737" i="9"/>
  <c r="H8737" i="9" s="1"/>
  <c r="F8738" i="9"/>
  <c r="H8738" i="9"/>
  <c r="F8739" i="9"/>
  <c r="H8739" i="9" s="1"/>
  <c r="F8740" i="9"/>
  <c r="H8740" i="9" s="1"/>
  <c r="F8741" i="9"/>
  <c r="H8741" i="9" s="1"/>
  <c r="F8742" i="9"/>
  <c r="H8742" i="9" s="1"/>
  <c r="F8743" i="9"/>
  <c r="H8743" i="9" s="1"/>
  <c r="F8744" i="9"/>
  <c r="H8744" i="9" s="1"/>
  <c r="F8745" i="9"/>
  <c r="H8745" i="9" s="1"/>
  <c r="F8746" i="9"/>
  <c r="H8746" i="9" s="1"/>
  <c r="F8747" i="9"/>
  <c r="H8747" i="9" s="1"/>
  <c r="F8748" i="9"/>
  <c r="H8748" i="9" s="1"/>
  <c r="F8749" i="9"/>
  <c r="H8749" i="9" s="1"/>
  <c r="F8750" i="9"/>
  <c r="H8750" i="9" s="1"/>
  <c r="F8751" i="9"/>
  <c r="H8751" i="9" s="1"/>
  <c r="F8752" i="9"/>
  <c r="H8752" i="9" s="1"/>
  <c r="F8753" i="9"/>
  <c r="H8753" i="9" s="1"/>
  <c r="F8754" i="9"/>
  <c r="H8754" i="9" s="1"/>
  <c r="F8755" i="9"/>
  <c r="H8755" i="9"/>
  <c r="F8756" i="9"/>
  <c r="H8756" i="9" s="1"/>
  <c r="F8757" i="9"/>
  <c r="H8757" i="9"/>
  <c r="F8758" i="9"/>
  <c r="H8758" i="9" s="1"/>
  <c r="F8759" i="9"/>
  <c r="H8759" i="9" s="1"/>
  <c r="F8760" i="9"/>
  <c r="H8760" i="9" s="1"/>
  <c r="F8761" i="9"/>
  <c r="H8761" i="9" s="1"/>
  <c r="F8762" i="9"/>
  <c r="H8762" i="9" s="1"/>
  <c r="F8763" i="9"/>
  <c r="H8763" i="9" s="1"/>
  <c r="F8764" i="9"/>
  <c r="H8764" i="9" s="1"/>
  <c r="F8765" i="9"/>
  <c r="H8765" i="9" s="1"/>
  <c r="F8766" i="9"/>
  <c r="H8766" i="9" s="1"/>
  <c r="F8767" i="9"/>
  <c r="H8767" i="9"/>
  <c r="F8768" i="9"/>
  <c r="H8768" i="9" s="1"/>
  <c r="F8769" i="9"/>
  <c r="H8769" i="9" s="1"/>
  <c r="F8770" i="9"/>
  <c r="H8770" i="9" s="1"/>
  <c r="F8771" i="9"/>
  <c r="H8771" i="9" s="1"/>
  <c r="F8772" i="9"/>
  <c r="H8772" i="9" s="1"/>
  <c r="F8773" i="9"/>
  <c r="H8773" i="9"/>
  <c r="F8774" i="9"/>
  <c r="H8774" i="9" s="1"/>
  <c r="F8775" i="9"/>
  <c r="H8775" i="9" s="1"/>
  <c r="F8776" i="9"/>
  <c r="H8776" i="9" s="1"/>
  <c r="F8777" i="9"/>
  <c r="H8777" i="9" s="1"/>
  <c r="F8778" i="9"/>
  <c r="H8778" i="9" s="1"/>
  <c r="F8779" i="9"/>
  <c r="H8779" i="9" s="1"/>
  <c r="F8780" i="9"/>
  <c r="H8780" i="9" s="1"/>
  <c r="F8781" i="9"/>
  <c r="H8781" i="9" s="1"/>
  <c r="F8782" i="9"/>
  <c r="H8782" i="9" s="1"/>
  <c r="F8783" i="9"/>
  <c r="H8783" i="9" s="1"/>
  <c r="F8784" i="9"/>
  <c r="H8784" i="9" s="1"/>
  <c r="F8785" i="9"/>
  <c r="H8785" i="9" s="1"/>
  <c r="F8786" i="9"/>
  <c r="H8786" i="9" s="1"/>
  <c r="F8787" i="9"/>
  <c r="H8787" i="9" s="1"/>
  <c r="F8788" i="9"/>
  <c r="H8788" i="9" s="1"/>
  <c r="F8789" i="9"/>
  <c r="H8789" i="9" s="1"/>
  <c r="F8790" i="9"/>
  <c r="H8790" i="9" s="1"/>
  <c r="F8791" i="9"/>
  <c r="H8791" i="9" s="1"/>
  <c r="F8792" i="9"/>
  <c r="H8792" i="9" s="1"/>
  <c r="F8793" i="9"/>
  <c r="H8793" i="9" s="1"/>
  <c r="F8794" i="9"/>
  <c r="H8794" i="9" s="1"/>
  <c r="F8795" i="9"/>
  <c r="H8795" i="9" s="1"/>
  <c r="F8796" i="9"/>
  <c r="H8796" i="9" s="1"/>
  <c r="F8797" i="9"/>
  <c r="H8797" i="9" s="1"/>
  <c r="F8798" i="9"/>
  <c r="H8798" i="9" s="1"/>
  <c r="F8799" i="9"/>
  <c r="H8799" i="9" s="1"/>
  <c r="F8800" i="9"/>
  <c r="H8800" i="9" s="1"/>
  <c r="F8801" i="9"/>
  <c r="H8801" i="9" s="1"/>
  <c r="F8802" i="9"/>
  <c r="H8802" i="9"/>
  <c r="F8803" i="9"/>
  <c r="H8803" i="9" s="1"/>
  <c r="F8804" i="9"/>
  <c r="H8804" i="9" s="1"/>
  <c r="F8805" i="9"/>
  <c r="H8805" i="9" s="1"/>
  <c r="F8806" i="9"/>
  <c r="H8806" i="9" s="1"/>
  <c r="F8807" i="9"/>
  <c r="H8807" i="9" s="1"/>
  <c r="F8808" i="9"/>
  <c r="H8808" i="9" s="1"/>
  <c r="F8809" i="9"/>
  <c r="H8809" i="9" s="1"/>
  <c r="F8810" i="9"/>
  <c r="H8810" i="9" s="1"/>
  <c r="F8811" i="9"/>
  <c r="H8811" i="9" s="1"/>
  <c r="F8812" i="9"/>
  <c r="H8812" i="9" s="1"/>
  <c r="F8813" i="9"/>
  <c r="H8813" i="9" s="1"/>
  <c r="F8814" i="9"/>
  <c r="H8814" i="9" s="1"/>
  <c r="F8815" i="9"/>
  <c r="H8815" i="9" s="1"/>
  <c r="F8816" i="9"/>
  <c r="H8816" i="9" s="1"/>
  <c r="F8817" i="9"/>
  <c r="H8817" i="9" s="1"/>
  <c r="F8818" i="9"/>
  <c r="H8818" i="9" s="1"/>
  <c r="F8819" i="9"/>
  <c r="H8819" i="9" s="1"/>
  <c r="F8820" i="9"/>
  <c r="H8820" i="9" s="1"/>
  <c r="F8821" i="9"/>
  <c r="H8821" i="9" s="1"/>
  <c r="F8822" i="9"/>
  <c r="H8822" i="9" s="1"/>
  <c r="F8823" i="9"/>
  <c r="H8823" i="9" s="1"/>
  <c r="F8824" i="9"/>
  <c r="H8824" i="9" s="1"/>
  <c r="F8825" i="9"/>
  <c r="H8825" i="9" s="1"/>
  <c r="F8826" i="9"/>
  <c r="H8826" i="9" s="1"/>
  <c r="F8827" i="9"/>
  <c r="H8827" i="9" s="1"/>
  <c r="F8828" i="9"/>
  <c r="H8828" i="9" s="1"/>
  <c r="F8829" i="9"/>
  <c r="H8829" i="9" s="1"/>
  <c r="F8830" i="9"/>
  <c r="H8830" i="9" s="1"/>
  <c r="F8831" i="9"/>
  <c r="H8831" i="9" s="1"/>
  <c r="F8832" i="9"/>
  <c r="H8832" i="9" s="1"/>
  <c r="F8833" i="9"/>
  <c r="H8833" i="9" s="1"/>
  <c r="F8834" i="9"/>
  <c r="H8834" i="9" s="1"/>
  <c r="F8835" i="9"/>
  <c r="H8835" i="9" s="1"/>
  <c r="F8836" i="9"/>
  <c r="H8836" i="9" s="1"/>
  <c r="F8837" i="9"/>
  <c r="H8837" i="9" s="1"/>
  <c r="F8838" i="9"/>
  <c r="H8838" i="9"/>
  <c r="F8839" i="9"/>
  <c r="H8839" i="9" s="1"/>
  <c r="F8840" i="9"/>
  <c r="H8840" i="9" s="1"/>
  <c r="F8841" i="9"/>
  <c r="H8841" i="9" s="1"/>
  <c r="F8842" i="9"/>
  <c r="H8842" i="9" s="1"/>
  <c r="F8843" i="9"/>
  <c r="H8843" i="9" s="1"/>
  <c r="F8844" i="9"/>
  <c r="H8844" i="9" s="1"/>
  <c r="F8845" i="9"/>
  <c r="H8845" i="9" s="1"/>
  <c r="F8846" i="9"/>
  <c r="H8846" i="9" s="1"/>
  <c r="F8847" i="9"/>
  <c r="H8847" i="9" s="1"/>
  <c r="F8848" i="9"/>
  <c r="H8848" i="9" s="1"/>
  <c r="F8849" i="9"/>
  <c r="H8849" i="9" s="1"/>
  <c r="F8850" i="9"/>
  <c r="H8850" i="9" s="1"/>
  <c r="F8851" i="9"/>
  <c r="H8851" i="9" s="1"/>
  <c r="F8852" i="9"/>
  <c r="H8852" i="9" s="1"/>
  <c r="F8853" i="9"/>
  <c r="H8853" i="9" s="1"/>
  <c r="F8854" i="9"/>
  <c r="H8854" i="9" s="1"/>
  <c r="F8855" i="9"/>
  <c r="H8855" i="9" s="1"/>
  <c r="F8856" i="9"/>
  <c r="H8856" i="9" s="1"/>
  <c r="F8857" i="9"/>
  <c r="H8857" i="9" s="1"/>
  <c r="F8858" i="9"/>
  <c r="H8858" i="9" s="1"/>
  <c r="F8859" i="9"/>
  <c r="H8859" i="9" s="1"/>
  <c r="F8860" i="9"/>
  <c r="H8860" i="9" s="1"/>
  <c r="F8861" i="9"/>
  <c r="H8861" i="9" s="1"/>
  <c r="F8862" i="9"/>
  <c r="H8862" i="9" s="1"/>
  <c r="F8863" i="9"/>
  <c r="H8863" i="9" s="1"/>
  <c r="F8864" i="9"/>
  <c r="H8864" i="9" s="1"/>
  <c r="F8865" i="9"/>
  <c r="H8865" i="9" s="1"/>
  <c r="F8866" i="9"/>
  <c r="H8866" i="9" s="1"/>
  <c r="F8867" i="9"/>
  <c r="H8867" i="9" s="1"/>
  <c r="F8868" i="9"/>
  <c r="H8868" i="9" s="1"/>
  <c r="F8869" i="9"/>
  <c r="H8869" i="9"/>
  <c r="F8870" i="9"/>
  <c r="H8870" i="9" s="1"/>
  <c r="F8871" i="9"/>
  <c r="H8871" i="9" s="1"/>
  <c r="F8872" i="9"/>
  <c r="H8872" i="9" s="1"/>
  <c r="F8873" i="9"/>
  <c r="H8873" i="9" s="1"/>
  <c r="F8874" i="9"/>
  <c r="H8874" i="9" s="1"/>
  <c r="F8875" i="9"/>
  <c r="H8875" i="9" s="1"/>
  <c r="F8876" i="9"/>
  <c r="H8876" i="9" s="1"/>
  <c r="F8877" i="9"/>
  <c r="H8877" i="9" s="1"/>
  <c r="F8878" i="9"/>
  <c r="H8878" i="9" s="1"/>
  <c r="F8879" i="9"/>
  <c r="H8879" i="9" s="1"/>
  <c r="F8880" i="9"/>
  <c r="H8880" i="9" s="1"/>
  <c r="F8881" i="9"/>
  <c r="H8881" i="9" s="1"/>
  <c r="F8882" i="9"/>
  <c r="H8882" i="9"/>
  <c r="F8883" i="9"/>
  <c r="H8883" i="9" s="1"/>
  <c r="F8884" i="9"/>
  <c r="H8884" i="9" s="1"/>
  <c r="F8885" i="9"/>
  <c r="H8885" i="9" s="1"/>
  <c r="F8886" i="9"/>
  <c r="H8886" i="9" s="1"/>
  <c r="F8887" i="9"/>
  <c r="H8887" i="9" s="1"/>
  <c r="F8888" i="9"/>
  <c r="H8888" i="9"/>
  <c r="F8889" i="9"/>
  <c r="H8889" i="9" s="1"/>
  <c r="F8890" i="9"/>
  <c r="H8890" i="9" s="1"/>
  <c r="F8891" i="9"/>
  <c r="H8891" i="9" s="1"/>
  <c r="F8892" i="9"/>
  <c r="H8892" i="9" s="1"/>
  <c r="F8893" i="9"/>
  <c r="H8893" i="9" s="1"/>
  <c r="F8894" i="9"/>
  <c r="H8894" i="9" s="1"/>
  <c r="F8895" i="9"/>
  <c r="H8895" i="9" s="1"/>
  <c r="F8896" i="9"/>
  <c r="H8896" i="9" s="1"/>
  <c r="F8897" i="9"/>
  <c r="H8897" i="9" s="1"/>
  <c r="F8898" i="9"/>
  <c r="H8898" i="9" s="1"/>
  <c r="F8899" i="9"/>
  <c r="H8899" i="9" s="1"/>
  <c r="F8900" i="9"/>
  <c r="H8900" i="9"/>
  <c r="F8901" i="9"/>
  <c r="H8901" i="9" s="1"/>
  <c r="F8902" i="9"/>
  <c r="H8902" i="9" s="1"/>
  <c r="F8903" i="9"/>
  <c r="H8903" i="9" s="1"/>
  <c r="F8904" i="9"/>
  <c r="H8904" i="9" s="1"/>
  <c r="F8905" i="9"/>
  <c r="H8905" i="9" s="1"/>
  <c r="F8906" i="9"/>
  <c r="H8906" i="9" s="1"/>
  <c r="F8907" i="9"/>
  <c r="H8907" i="9" s="1"/>
  <c r="F8908" i="9"/>
  <c r="H8908" i="9" s="1"/>
  <c r="F8909" i="9"/>
  <c r="H8909" i="9" s="1"/>
  <c r="F8910" i="9"/>
  <c r="H8910" i="9" s="1"/>
  <c r="F8911" i="9"/>
  <c r="H8911" i="9" s="1"/>
  <c r="F8912" i="9"/>
  <c r="H8912" i="9" s="1"/>
  <c r="F8913" i="9"/>
  <c r="H8913" i="9" s="1"/>
  <c r="F8914" i="9"/>
  <c r="H8914" i="9" s="1"/>
  <c r="F8915" i="9"/>
  <c r="H8915" i="9" s="1"/>
  <c r="F8916" i="9"/>
  <c r="H8916" i="9"/>
  <c r="F8917" i="9"/>
  <c r="H8917" i="9" s="1"/>
  <c r="F8918" i="9"/>
  <c r="H8918" i="9" s="1"/>
  <c r="F8919" i="9"/>
  <c r="H8919" i="9" s="1"/>
  <c r="F8920" i="9"/>
  <c r="H8920" i="9" s="1"/>
  <c r="F8921" i="9"/>
  <c r="H8921" i="9" s="1"/>
  <c r="F8922" i="9"/>
  <c r="H8922" i="9" s="1"/>
  <c r="F8923" i="9"/>
  <c r="H8923" i="9" s="1"/>
  <c r="F8924" i="9"/>
  <c r="H8924" i="9" s="1"/>
  <c r="F8925" i="9"/>
  <c r="H8925" i="9" s="1"/>
  <c r="F8926" i="9"/>
  <c r="H8926" i="9" s="1"/>
  <c r="F8927" i="9"/>
  <c r="H8927" i="9" s="1"/>
  <c r="F8928" i="9"/>
  <c r="H8928" i="9" s="1"/>
  <c r="F8929" i="9"/>
  <c r="H8929" i="9" s="1"/>
  <c r="F8930" i="9"/>
  <c r="H8930" i="9" s="1"/>
  <c r="F8931" i="9"/>
  <c r="H8931" i="9" s="1"/>
  <c r="F8932" i="9"/>
  <c r="H8932" i="9" s="1"/>
  <c r="F8933" i="9"/>
  <c r="H8933" i="9" s="1"/>
  <c r="F8934" i="9"/>
  <c r="H8934" i="9" s="1"/>
  <c r="F8935" i="9"/>
  <c r="H8935" i="9" s="1"/>
  <c r="F8936" i="9"/>
  <c r="H8936" i="9" s="1"/>
  <c r="F8937" i="9"/>
  <c r="H8937" i="9" s="1"/>
  <c r="F8938" i="9"/>
  <c r="H8938" i="9" s="1"/>
  <c r="F8939" i="9"/>
  <c r="H8939" i="9" s="1"/>
  <c r="F8940" i="9"/>
  <c r="H8940" i="9" s="1"/>
  <c r="F8941" i="9"/>
  <c r="H8941" i="9" s="1"/>
  <c r="F8942" i="9"/>
  <c r="H8942" i="9" s="1"/>
  <c r="F8943" i="9"/>
  <c r="H8943" i="9" s="1"/>
  <c r="F8944" i="9"/>
  <c r="H8944" i="9" s="1"/>
  <c r="F8945" i="9"/>
  <c r="H8945" i="9" s="1"/>
  <c r="F8946" i="9"/>
  <c r="H8946" i="9" s="1"/>
  <c r="F8947" i="9"/>
  <c r="H8947" i="9" s="1"/>
  <c r="F8948" i="9"/>
  <c r="H8948" i="9"/>
  <c r="F8949" i="9"/>
  <c r="H8949" i="9" s="1"/>
  <c r="F8950" i="9"/>
  <c r="H8950" i="9" s="1"/>
  <c r="F8951" i="9"/>
  <c r="H8951" i="9" s="1"/>
  <c r="F8952" i="9"/>
  <c r="H8952" i="9" s="1"/>
  <c r="F8953" i="9"/>
  <c r="H8953" i="9" s="1"/>
  <c r="F8954" i="9"/>
  <c r="H8954" i="9" s="1"/>
  <c r="F8955" i="9"/>
  <c r="H8955" i="9" s="1"/>
  <c r="F8956" i="9"/>
  <c r="H8956" i="9" s="1"/>
  <c r="F8957" i="9"/>
  <c r="H8957" i="9" s="1"/>
  <c r="F8958" i="9"/>
  <c r="H8958" i="9" s="1"/>
  <c r="F8959" i="9"/>
  <c r="H8959" i="9" s="1"/>
  <c r="F8960" i="9"/>
  <c r="H8960" i="9" s="1"/>
  <c r="F8961" i="9"/>
  <c r="H8961" i="9"/>
  <c r="F8962" i="9"/>
  <c r="H8962" i="9" s="1"/>
  <c r="F8963" i="9"/>
  <c r="H8963" i="9" s="1"/>
  <c r="F8964" i="9"/>
  <c r="H8964" i="9" s="1"/>
  <c r="F8965" i="9"/>
  <c r="H8965" i="9" s="1"/>
  <c r="F8966" i="9"/>
  <c r="H8966" i="9" s="1"/>
  <c r="F8967" i="9"/>
  <c r="H8967" i="9" s="1"/>
  <c r="F8968" i="9"/>
  <c r="H8968" i="9" s="1"/>
  <c r="F8969" i="9"/>
  <c r="H8969" i="9" s="1"/>
  <c r="F8970" i="9"/>
  <c r="H8970" i="9" s="1"/>
  <c r="F8971" i="9"/>
  <c r="H8971" i="9" s="1"/>
  <c r="F8972" i="9"/>
  <c r="H8972" i="9" s="1"/>
  <c r="F8973" i="9"/>
  <c r="H8973" i="9" s="1"/>
  <c r="F8974" i="9"/>
  <c r="H8974" i="9" s="1"/>
  <c r="F8975" i="9"/>
  <c r="H8975" i="9" s="1"/>
  <c r="F8976" i="9"/>
  <c r="H8976" i="9" s="1"/>
  <c r="F8977" i="9"/>
  <c r="H8977" i="9" s="1"/>
  <c r="F8978" i="9"/>
  <c r="H8978" i="9" s="1"/>
  <c r="F8979" i="9"/>
  <c r="H8979" i="9" s="1"/>
  <c r="F8980" i="9"/>
  <c r="H8980" i="9" s="1"/>
  <c r="F8981" i="9"/>
  <c r="H8981" i="9" s="1"/>
  <c r="F8982" i="9"/>
  <c r="H8982" i="9" s="1"/>
  <c r="F8983" i="9"/>
  <c r="H8983" i="9" s="1"/>
  <c r="F8984" i="9"/>
  <c r="H8984" i="9" s="1"/>
  <c r="F8985" i="9"/>
  <c r="H8985" i="9" s="1"/>
  <c r="F8986" i="9"/>
  <c r="H8986" i="9"/>
  <c r="F8987" i="9"/>
  <c r="H8987" i="9" s="1"/>
  <c r="F8988" i="9"/>
  <c r="H8988" i="9" s="1"/>
  <c r="F8989" i="9"/>
  <c r="H8989" i="9" s="1"/>
  <c r="F8990" i="9"/>
  <c r="H8990" i="9"/>
  <c r="F8991" i="9"/>
  <c r="H8991" i="9" s="1"/>
  <c r="F8992" i="9"/>
  <c r="H8992" i="9" s="1"/>
  <c r="F8993" i="9"/>
  <c r="H8993" i="9" s="1"/>
  <c r="F8994" i="9"/>
  <c r="H8994" i="9" s="1"/>
  <c r="F8995" i="9"/>
  <c r="H8995" i="9" s="1"/>
  <c r="F8996" i="9"/>
  <c r="H8996" i="9" s="1"/>
  <c r="F8997" i="9"/>
  <c r="H8997" i="9" s="1"/>
  <c r="F8998" i="9"/>
  <c r="H8998" i="9" s="1"/>
  <c r="F8999" i="9"/>
  <c r="H8999" i="9" s="1"/>
  <c r="F9000" i="9"/>
  <c r="H9000" i="9" s="1"/>
  <c r="F9001" i="9"/>
  <c r="H9001" i="9" s="1"/>
  <c r="F9002" i="9"/>
  <c r="H9002" i="9" s="1"/>
  <c r="F9003" i="9"/>
  <c r="H9003" i="9" s="1"/>
  <c r="F9004" i="9"/>
  <c r="H9004" i="9" s="1"/>
  <c r="F9005" i="9"/>
  <c r="H9005" i="9" s="1"/>
  <c r="F9006" i="9"/>
  <c r="H9006" i="9" s="1"/>
  <c r="F9007" i="9"/>
  <c r="H9007" i="9" s="1"/>
  <c r="F9008" i="9"/>
  <c r="H9008" i="9"/>
  <c r="F9009" i="9"/>
  <c r="H9009" i="9" s="1"/>
  <c r="F9010" i="9"/>
  <c r="H9010" i="9" s="1"/>
  <c r="F9011" i="9"/>
  <c r="H9011" i="9" s="1"/>
  <c r="F9012" i="9"/>
  <c r="H9012" i="9" s="1"/>
  <c r="F9013" i="9"/>
  <c r="H9013" i="9" s="1"/>
  <c r="F9014" i="9"/>
  <c r="H9014" i="9" s="1"/>
  <c r="F9015" i="9"/>
  <c r="H9015" i="9" s="1"/>
  <c r="F9016" i="9"/>
  <c r="H9016" i="9" s="1"/>
  <c r="F9017" i="9"/>
  <c r="H9017" i="9" s="1"/>
  <c r="F9018" i="9"/>
  <c r="H9018" i="9" s="1"/>
  <c r="F9019" i="9"/>
  <c r="H9019" i="9" s="1"/>
  <c r="F9020" i="9"/>
  <c r="H9020" i="9" s="1"/>
  <c r="F9021" i="9"/>
  <c r="H9021" i="9" s="1"/>
  <c r="F9022" i="9"/>
  <c r="H9022" i="9"/>
  <c r="F9023" i="9"/>
  <c r="H9023" i="9" s="1"/>
  <c r="F9024" i="9"/>
  <c r="H9024" i="9" s="1"/>
  <c r="F9025" i="9"/>
  <c r="H9025" i="9" s="1"/>
  <c r="F9026" i="9"/>
  <c r="H9026" i="9" s="1"/>
  <c r="F9027" i="9"/>
  <c r="H9027" i="9" s="1"/>
  <c r="F9028" i="9"/>
  <c r="H9028" i="9" s="1"/>
  <c r="F9029" i="9"/>
  <c r="H9029" i="9" s="1"/>
  <c r="F9030" i="9"/>
  <c r="H9030" i="9" s="1"/>
  <c r="F9031" i="9"/>
  <c r="H9031" i="9" s="1"/>
  <c r="F9032" i="9"/>
  <c r="H9032" i="9" s="1"/>
  <c r="F9033" i="9"/>
  <c r="H9033" i="9" s="1"/>
  <c r="F9034" i="9"/>
  <c r="H9034" i="9" s="1"/>
  <c r="F9035" i="9"/>
  <c r="H9035" i="9" s="1"/>
  <c r="F9036" i="9"/>
  <c r="H9036" i="9" s="1"/>
  <c r="F9037" i="9"/>
  <c r="H9037" i="9" s="1"/>
  <c r="F9038" i="9"/>
  <c r="H9038" i="9" s="1"/>
  <c r="F9039" i="9"/>
  <c r="H9039" i="9" s="1"/>
  <c r="F9040" i="9"/>
  <c r="H9040" i="9"/>
  <c r="F9041" i="9"/>
  <c r="H9041" i="9" s="1"/>
  <c r="F9042" i="9"/>
  <c r="H9042" i="9"/>
  <c r="F9043" i="9"/>
  <c r="H9043" i="9"/>
  <c r="F9044" i="9"/>
  <c r="H9044" i="9" s="1"/>
  <c r="F9045" i="9"/>
  <c r="H9045" i="9" s="1"/>
  <c r="F9046" i="9"/>
  <c r="H9046" i="9" s="1"/>
  <c r="F9047" i="9"/>
  <c r="H9047" i="9" s="1"/>
  <c r="F9048" i="9"/>
  <c r="H9048" i="9" s="1"/>
  <c r="F9049" i="9"/>
  <c r="H9049" i="9" s="1"/>
  <c r="F9050" i="9"/>
  <c r="H9050" i="9" s="1"/>
  <c r="F9051" i="9"/>
  <c r="H9051" i="9" s="1"/>
  <c r="F9052" i="9"/>
  <c r="H9052" i="9" s="1"/>
  <c r="F9053" i="9"/>
  <c r="H9053" i="9" s="1"/>
  <c r="F9054" i="9"/>
  <c r="H9054" i="9" s="1"/>
  <c r="F9055" i="9"/>
  <c r="H9055" i="9" s="1"/>
  <c r="F9056" i="9"/>
  <c r="H9056" i="9" s="1"/>
  <c r="F9057" i="9"/>
  <c r="H9057" i="9" s="1"/>
  <c r="F9058" i="9"/>
  <c r="H9058" i="9" s="1"/>
  <c r="F9059" i="9"/>
  <c r="H9059" i="9"/>
  <c r="F9060" i="9"/>
  <c r="H9060" i="9" s="1"/>
  <c r="F9061" i="9"/>
  <c r="H9061" i="9" s="1"/>
  <c r="F9062" i="9"/>
  <c r="H9062" i="9" s="1"/>
  <c r="F9063" i="9"/>
  <c r="H9063" i="9" s="1"/>
  <c r="F9064" i="9"/>
  <c r="H9064" i="9" s="1"/>
  <c r="F9065" i="9"/>
  <c r="H9065" i="9" s="1"/>
  <c r="F9066" i="9"/>
  <c r="H9066" i="9" s="1"/>
  <c r="F9067" i="9"/>
  <c r="H9067" i="9" s="1"/>
  <c r="F9068" i="9"/>
  <c r="H9068" i="9" s="1"/>
  <c r="F9069" i="9"/>
  <c r="H9069" i="9" s="1"/>
  <c r="F9070" i="9"/>
  <c r="H9070" i="9" s="1"/>
  <c r="F9071" i="9"/>
  <c r="H9071" i="9" s="1"/>
  <c r="F9072" i="9"/>
  <c r="H9072" i="9" s="1"/>
  <c r="F9073" i="9"/>
  <c r="H9073" i="9" s="1"/>
  <c r="F9074" i="9"/>
  <c r="H9074" i="9" s="1"/>
  <c r="F9075" i="9"/>
  <c r="H9075" i="9" s="1"/>
  <c r="F9076" i="9"/>
  <c r="H9076" i="9" s="1"/>
  <c r="F9077" i="9"/>
  <c r="H9077" i="9" s="1"/>
  <c r="F9078" i="9"/>
  <c r="H9078" i="9" s="1"/>
  <c r="F9079" i="9"/>
  <c r="H9079" i="9" s="1"/>
  <c r="F9080" i="9"/>
  <c r="H9080" i="9" s="1"/>
  <c r="F9081" i="9"/>
  <c r="H9081" i="9" s="1"/>
  <c r="F9082" i="9"/>
  <c r="H9082" i="9"/>
  <c r="F9083" i="9"/>
  <c r="H9083" i="9" s="1"/>
  <c r="F9084" i="9"/>
  <c r="H9084" i="9" s="1"/>
  <c r="F9085" i="9"/>
  <c r="H9085" i="9" s="1"/>
  <c r="F9086" i="9"/>
  <c r="H9086" i="9"/>
  <c r="F9087" i="9"/>
  <c r="H9087" i="9" s="1"/>
  <c r="F9088" i="9"/>
  <c r="H9088" i="9" s="1"/>
  <c r="F9089" i="9"/>
  <c r="H9089" i="9" s="1"/>
  <c r="F9090" i="9"/>
  <c r="H9090" i="9" s="1"/>
  <c r="F9091" i="9"/>
  <c r="H9091" i="9" s="1"/>
  <c r="F9092" i="9"/>
  <c r="H9092" i="9" s="1"/>
  <c r="F9093" i="9"/>
  <c r="H9093" i="9" s="1"/>
  <c r="F9094" i="9"/>
  <c r="H9094" i="9" s="1"/>
  <c r="F9095" i="9"/>
  <c r="H9095" i="9" s="1"/>
  <c r="F9096" i="9"/>
  <c r="H9096" i="9" s="1"/>
  <c r="F9097" i="9"/>
  <c r="H9097" i="9" s="1"/>
  <c r="F9098" i="9"/>
  <c r="H9098" i="9" s="1"/>
  <c r="F9099" i="9"/>
  <c r="H9099" i="9" s="1"/>
  <c r="F9100" i="9"/>
  <c r="H9100" i="9" s="1"/>
  <c r="F9101" i="9"/>
  <c r="H9101" i="9" s="1"/>
  <c r="F9102" i="9"/>
  <c r="H9102" i="9" s="1"/>
  <c r="F9103" i="9"/>
  <c r="H9103" i="9" s="1"/>
  <c r="F9104" i="9"/>
  <c r="H9104" i="9" s="1"/>
  <c r="F9105" i="9"/>
  <c r="H9105" i="9" s="1"/>
  <c r="F9106" i="9"/>
  <c r="H9106" i="9" s="1"/>
  <c r="F9107" i="9"/>
  <c r="H9107" i="9" s="1"/>
  <c r="F9108" i="9"/>
  <c r="H9108" i="9" s="1"/>
  <c r="F9109" i="9"/>
  <c r="H9109" i="9" s="1"/>
  <c r="F9110" i="9"/>
  <c r="H9110" i="9" s="1"/>
  <c r="F9111" i="9"/>
  <c r="H9111" i="9" s="1"/>
  <c r="F9112" i="9"/>
  <c r="H9112" i="9" s="1"/>
  <c r="F9113" i="9"/>
  <c r="H9113" i="9" s="1"/>
  <c r="F9114" i="9"/>
  <c r="H9114" i="9" s="1"/>
  <c r="F9115" i="9"/>
  <c r="H9115" i="9" s="1"/>
  <c r="F9116" i="9"/>
  <c r="H9116" i="9" s="1"/>
  <c r="F9117" i="9"/>
  <c r="H9117" i="9" s="1"/>
  <c r="F9118" i="9"/>
  <c r="H9118" i="9" s="1"/>
  <c r="F9119" i="9"/>
  <c r="H9119" i="9" s="1"/>
  <c r="F9120" i="9"/>
  <c r="H9120" i="9" s="1"/>
  <c r="F9121" i="9"/>
  <c r="H9121" i="9" s="1"/>
  <c r="F9122" i="9"/>
  <c r="H9122" i="9" s="1"/>
  <c r="F9123" i="9"/>
  <c r="H9123" i="9" s="1"/>
  <c r="F9124" i="9"/>
  <c r="H9124" i="9" s="1"/>
  <c r="F9125" i="9"/>
  <c r="H9125" i="9" s="1"/>
  <c r="F9126" i="9"/>
  <c r="H9126" i="9" s="1"/>
  <c r="F9127" i="9"/>
  <c r="H9127" i="9" s="1"/>
  <c r="F9128" i="9"/>
  <c r="H9128" i="9" s="1"/>
  <c r="F9129" i="9"/>
  <c r="H9129" i="9" s="1"/>
  <c r="F9130" i="9"/>
  <c r="H9130" i="9"/>
  <c r="F9131" i="9"/>
  <c r="H9131" i="9" s="1"/>
  <c r="F9132" i="9"/>
  <c r="H9132" i="9" s="1"/>
  <c r="F9133" i="9"/>
  <c r="H9133" i="9" s="1"/>
  <c r="F9134" i="9"/>
  <c r="H9134" i="9" s="1"/>
  <c r="F9135" i="9"/>
  <c r="H9135" i="9" s="1"/>
  <c r="F9136" i="9"/>
  <c r="H9136" i="9" s="1"/>
  <c r="F9137" i="9"/>
  <c r="H9137" i="9" s="1"/>
  <c r="F9138" i="9"/>
  <c r="H9138" i="9" s="1"/>
  <c r="F9139" i="9"/>
  <c r="H9139" i="9" s="1"/>
  <c r="F9140" i="9"/>
  <c r="H9140" i="9" s="1"/>
  <c r="F9141" i="9"/>
  <c r="H9141" i="9" s="1"/>
  <c r="F9142" i="9"/>
  <c r="H9142" i="9" s="1"/>
  <c r="F9143" i="9"/>
  <c r="H9143" i="9" s="1"/>
  <c r="F9144" i="9"/>
  <c r="H9144" i="9" s="1"/>
  <c r="F9145" i="9"/>
  <c r="H9145" i="9" s="1"/>
  <c r="F9146" i="9"/>
  <c r="H9146" i="9" s="1"/>
  <c r="F9147" i="9"/>
  <c r="H9147" i="9" s="1"/>
  <c r="F9148" i="9"/>
  <c r="H9148" i="9" s="1"/>
  <c r="F9149" i="9"/>
  <c r="H9149" i="9" s="1"/>
  <c r="F9150" i="9"/>
  <c r="H9150" i="9" s="1"/>
  <c r="F9151" i="9"/>
  <c r="H9151" i="9" s="1"/>
  <c r="F9152" i="9"/>
  <c r="H9152" i="9" s="1"/>
  <c r="F9153" i="9"/>
  <c r="H9153" i="9" s="1"/>
  <c r="F9154" i="9"/>
  <c r="H9154" i="9" s="1"/>
  <c r="F9155" i="9"/>
  <c r="H9155" i="9" s="1"/>
  <c r="F9156" i="9"/>
  <c r="H9156" i="9" s="1"/>
  <c r="F9157" i="9"/>
  <c r="H9157" i="9"/>
  <c r="F9158" i="9"/>
  <c r="H9158" i="9" s="1"/>
  <c r="F9159" i="9"/>
  <c r="H9159" i="9" s="1"/>
  <c r="F9160" i="9"/>
  <c r="H9160" i="9" s="1"/>
  <c r="F9161" i="9"/>
  <c r="H9161" i="9" s="1"/>
  <c r="F9162" i="9"/>
  <c r="H9162" i="9" s="1"/>
  <c r="F9163" i="9"/>
  <c r="H9163" i="9" s="1"/>
  <c r="F9164" i="9"/>
  <c r="H9164" i="9" s="1"/>
  <c r="F9165" i="9"/>
  <c r="H9165" i="9" s="1"/>
  <c r="F9166" i="9"/>
  <c r="H9166" i="9" s="1"/>
  <c r="F9167" i="9"/>
  <c r="H9167" i="9" s="1"/>
  <c r="F9168" i="9"/>
  <c r="H9168" i="9" s="1"/>
  <c r="F9169" i="9"/>
  <c r="H9169" i="9" s="1"/>
  <c r="F9170" i="9"/>
  <c r="H9170" i="9" s="1"/>
  <c r="F9171" i="9"/>
  <c r="H9171" i="9" s="1"/>
  <c r="F9172" i="9"/>
  <c r="H9172" i="9" s="1"/>
  <c r="F9173" i="9"/>
  <c r="H9173" i="9" s="1"/>
  <c r="F9174" i="9"/>
  <c r="H9174" i="9" s="1"/>
  <c r="F9175" i="9"/>
  <c r="H9175" i="9" s="1"/>
  <c r="F9176" i="9"/>
  <c r="H9176" i="9" s="1"/>
  <c r="F9177" i="9"/>
  <c r="H9177" i="9" s="1"/>
  <c r="F9178" i="9"/>
  <c r="H9178" i="9" s="1"/>
  <c r="F9179" i="9"/>
  <c r="H9179" i="9" s="1"/>
  <c r="F9180" i="9"/>
  <c r="H9180" i="9" s="1"/>
  <c r="F9181" i="9"/>
  <c r="H9181" i="9" s="1"/>
  <c r="F9182" i="9"/>
  <c r="H9182" i="9" s="1"/>
  <c r="F9183" i="9"/>
  <c r="H9183" i="9" s="1"/>
  <c r="F9184" i="9"/>
  <c r="H9184" i="9" s="1"/>
  <c r="F9185" i="9"/>
  <c r="H9185" i="9" s="1"/>
  <c r="F9186" i="9"/>
  <c r="H9186" i="9" s="1"/>
  <c r="F9187" i="9"/>
  <c r="H9187" i="9" s="1"/>
  <c r="F9188" i="9"/>
  <c r="H9188" i="9" s="1"/>
  <c r="F9189" i="9"/>
  <c r="H9189" i="9" s="1"/>
  <c r="F9190" i="9"/>
  <c r="H9190" i="9" s="1"/>
  <c r="F9191" i="9"/>
  <c r="H9191" i="9" s="1"/>
  <c r="F9192" i="9"/>
  <c r="H9192" i="9"/>
  <c r="F9193" i="9"/>
  <c r="H9193" i="9" s="1"/>
  <c r="F9194" i="9"/>
  <c r="H9194" i="9" s="1"/>
  <c r="F9195" i="9"/>
  <c r="H9195" i="9" s="1"/>
  <c r="F9196" i="9"/>
  <c r="H9196" i="9" s="1"/>
  <c r="F9197" i="9"/>
  <c r="H9197" i="9" s="1"/>
  <c r="F9198" i="9"/>
  <c r="H9198" i="9"/>
  <c r="F9199" i="9"/>
  <c r="H9199" i="9"/>
  <c r="F9200" i="9"/>
  <c r="H9200" i="9" s="1"/>
  <c r="F9201" i="9"/>
  <c r="H9201" i="9" s="1"/>
  <c r="F9202" i="9"/>
  <c r="H9202" i="9" s="1"/>
  <c r="F9203" i="9"/>
  <c r="H9203" i="9" s="1"/>
  <c r="F9204" i="9"/>
  <c r="H9204" i="9" s="1"/>
  <c r="F9205" i="9"/>
  <c r="H9205" i="9" s="1"/>
  <c r="F9206" i="9"/>
  <c r="H9206" i="9" s="1"/>
  <c r="F9207" i="9"/>
  <c r="H9207" i="9" s="1"/>
  <c r="F9208" i="9"/>
  <c r="H9208" i="9" s="1"/>
  <c r="F9209" i="9"/>
  <c r="H9209" i="9" s="1"/>
  <c r="F9210" i="9"/>
  <c r="H9210" i="9" s="1"/>
  <c r="F9211" i="9"/>
  <c r="H9211" i="9" s="1"/>
  <c r="F9212" i="9"/>
  <c r="H9212" i="9" s="1"/>
  <c r="F9213" i="9"/>
  <c r="H9213" i="9" s="1"/>
  <c r="F9214" i="9"/>
  <c r="H9214" i="9" s="1"/>
  <c r="F9215" i="9"/>
  <c r="H9215" i="9" s="1"/>
  <c r="F9216" i="9"/>
  <c r="H9216" i="9" s="1"/>
  <c r="F9217" i="9"/>
  <c r="H9217" i="9" s="1"/>
  <c r="F9218" i="9"/>
  <c r="H9218" i="9" s="1"/>
  <c r="F9219" i="9"/>
  <c r="H9219" i="9" s="1"/>
  <c r="F9220" i="9"/>
  <c r="H9220" i="9" s="1"/>
  <c r="F9221" i="9"/>
  <c r="H9221" i="9"/>
  <c r="F9222" i="9"/>
  <c r="H9222" i="9" s="1"/>
  <c r="F9223" i="9"/>
  <c r="H9223" i="9" s="1"/>
  <c r="F9224" i="9"/>
  <c r="H9224" i="9" s="1"/>
  <c r="F9225" i="9"/>
  <c r="H9225" i="9" s="1"/>
  <c r="F9226" i="9"/>
  <c r="H9226" i="9" s="1"/>
  <c r="F9227" i="9"/>
  <c r="H9227" i="9" s="1"/>
  <c r="F9228" i="9"/>
  <c r="H9228" i="9" s="1"/>
  <c r="F9229" i="9"/>
  <c r="H9229" i="9" s="1"/>
  <c r="F9230" i="9"/>
  <c r="H9230" i="9" s="1"/>
  <c r="F9231" i="9"/>
  <c r="H9231" i="9" s="1"/>
  <c r="F9232" i="9"/>
  <c r="H9232" i="9" s="1"/>
  <c r="F9233" i="9"/>
  <c r="H9233" i="9" s="1"/>
  <c r="F9234" i="9"/>
  <c r="H9234" i="9" s="1"/>
  <c r="F9235" i="9"/>
  <c r="H9235" i="9" s="1"/>
  <c r="F9236" i="9"/>
  <c r="H9236" i="9" s="1"/>
  <c r="F9237" i="9"/>
  <c r="H9237" i="9" s="1"/>
  <c r="F9238" i="9"/>
  <c r="H9238" i="9" s="1"/>
  <c r="F9239" i="9"/>
  <c r="H9239" i="9" s="1"/>
  <c r="F9240" i="9"/>
  <c r="H9240" i="9" s="1"/>
  <c r="F9241" i="9"/>
  <c r="H9241" i="9" s="1"/>
  <c r="F9242" i="9"/>
  <c r="H9242" i="9" s="1"/>
  <c r="F9243" i="9"/>
  <c r="H9243" i="9" s="1"/>
  <c r="F9244" i="9"/>
  <c r="H9244" i="9" s="1"/>
  <c r="F9245" i="9"/>
  <c r="H9245" i="9" s="1"/>
  <c r="F9246" i="9"/>
  <c r="H9246" i="9" s="1"/>
  <c r="F9247" i="9"/>
  <c r="H9247" i="9" s="1"/>
  <c r="F9248" i="9"/>
  <c r="H9248" i="9" s="1"/>
  <c r="F9249" i="9"/>
  <c r="H9249" i="9" s="1"/>
  <c r="F9250" i="9"/>
  <c r="H9250" i="9" s="1"/>
  <c r="F9251" i="9"/>
  <c r="H9251" i="9" s="1"/>
  <c r="F9252" i="9"/>
  <c r="H9252" i="9" s="1"/>
  <c r="F9253" i="9"/>
  <c r="H9253" i="9" s="1"/>
  <c r="F9254" i="9"/>
  <c r="H9254" i="9" s="1"/>
  <c r="F9255" i="9"/>
  <c r="H9255" i="9" s="1"/>
  <c r="F9256" i="9"/>
  <c r="H9256" i="9" s="1"/>
  <c r="F9257" i="9"/>
  <c r="H9257" i="9" s="1"/>
  <c r="F9258" i="9"/>
  <c r="H9258" i="9" s="1"/>
  <c r="F9259" i="9"/>
  <c r="H9259" i="9" s="1"/>
  <c r="F9260" i="9"/>
  <c r="H9260" i="9" s="1"/>
  <c r="F9261" i="9"/>
  <c r="H9261" i="9" s="1"/>
  <c r="F9262" i="9"/>
  <c r="H9262" i="9" s="1"/>
  <c r="F9263" i="9"/>
  <c r="H9263" i="9" s="1"/>
  <c r="F9264" i="9"/>
  <c r="H9264" i="9" s="1"/>
  <c r="F9265" i="9"/>
  <c r="H9265" i="9" s="1"/>
  <c r="F9266" i="9"/>
  <c r="H9266" i="9" s="1"/>
  <c r="F9267" i="9"/>
  <c r="H9267" i="9" s="1"/>
  <c r="F9268" i="9"/>
  <c r="H9268" i="9" s="1"/>
  <c r="F9269" i="9"/>
  <c r="H9269" i="9" s="1"/>
  <c r="F9270" i="9"/>
  <c r="H9270" i="9" s="1"/>
  <c r="F9271" i="9"/>
  <c r="H9271" i="9" s="1"/>
  <c r="F9272" i="9"/>
  <c r="H9272" i="9" s="1"/>
  <c r="F9273" i="9"/>
  <c r="H9273" i="9" s="1"/>
  <c r="F9274" i="9"/>
  <c r="H9274" i="9" s="1"/>
  <c r="F9275" i="9"/>
  <c r="H9275" i="9" s="1"/>
  <c r="F9276" i="9"/>
  <c r="H9276" i="9" s="1"/>
  <c r="F9277" i="9"/>
  <c r="H9277" i="9" s="1"/>
  <c r="F9278" i="9"/>
  <c r="H9278" i="9" s="1"/>
  <c r="F9279" i="9"/>
  <c r="H9279" i="9" s="1"/>
  <c r="F9280" i="9"/>
  <c r="H9280" i="9" s="1"/>
  <c r="F9281" i="9"/>
  <c r="H9281" i="9" s="1"/>
  <c r="F9282" i="9"/>
  <c r="H9282" i="9" s="1"/>
  <c r="F9283" i="9"/>
  <c r="H9283" i="9" s="1"/>
  <c r="F9284" i="9"/>
  <c r="H9284" i="9" s="1"/>
  <c r="F9285" i="9"/>
  <c r="H9285" i="9" s="1"/>
  <c r="F9286" i="9"/>
  <c r="H9286" i="9" s="1"/>
  <c r="F9287" i="9"/>
  <c r="H9287" i="9" s="1"/>
  <c r="F9288" i="9"/>
  <c r="H9288" i="9" s="1"/>
  <c r="F9289" i="9"/>
  <c r="H9289" i="9" s="1"/>
  <c r="F9290" i="9"/>
  <c r="H9290" i="9" s="1"/>
  <c r="F9291" i="9"/>
  <c r="H9291" i="9" s="1"/>
  <c r="F9292" i="9"/>
  <c r="H9292" i="9" s="1"/>
  <c r="F9293" i="9"/>
  <c r="H9293" i="9" s="1"/>
  <c r="F9294" i="9"/>
  <c r="H9294" i="9" s="1"/>
  <c r="F9295" i="9"/>
  <c r="H9295" i="9" s="1"/>
  <c r="F9296" i="9"/>
  <c r="H9296" i="9" s="1"/>
  <c r="F9297" i="9"/>
  <c r="H9297" i="9" s="1"/>
  <c r="F9298" i="9"/>
  <c r="H9298" i="9" s="1"/>
  <c r="F9299" i="9"/>
  <c r="H9299" i="9" s="1"/>
  <c r="F9300" i="9"/>
  <c r="H9300" i="9" s="1"/>
  <c r="F9301" i="9"/>
  <c r="H9301" i="9" s="1"/>
  <c r="F9302" i="9"/>
  <c r="H9302" i="9" s="1"/>
  <c r="F9303" i="9"/>
  <c r="H9303" i="9" s="1"/>
  <c r="F9304" i="9"/>
  <c r="H9304" i="9" s="1"/>
  <c r="F9305" i="9"/>
  <c r="H9305" i="9" s="1"/>
  <c r="F9306" i="9"/>
  <c r="H9306" i="9" s="1"/>
  <c r="F9307" i="9"/>
  <c r="H9307" i="9" s="1"/>
  <c r="F9308" i="9"/>
  <c r="H9308" i="9" s="1"/>
  <c r="F9309" i="9"/>
  <c r="H9309" i="9" s="1"/>
  <c r="F9310" i="9"/>
  <c r="H9310" i="9" s="1"/>
  <c r="F9311" i="9"/>
  <c r="H9311" i="9" s="1"/>
  <c r="F9312" i="9"/>
  <c r="H9312" i="9" s="1"/>
  <c r="F9313" i="9"/>
  <c r="H9313" i="9" s="1"/>
  <c r="F9314" i="9"/>
  <c r="H9314" i="9" s="1"/>
  <c r="F9315" i="9"/>
  <c r="H9315" i="9" s="1"/>
  <c r="F9316" i="9"/>
  <c r="H9316" i="9" s="1"/>
  <c r="F9317" i="9"/>
  <c r="H9317" i="9" s="1"/>
  <c r="F9318" i="9"/>
  <c r="H9318" i="9" s="1"/>
  <c r="F9319" i="9"/>
  <c r="H9319" i="9" s="1"/>
  <c r="F9320" i="9"/>
  <c r="H9320" i="9" s="1"/>
  <c r="F9321" i="9"/>
  <c r="H9321" i="9" s="1"/>
  <c r="F9322" i="9"/>
  <c r="H9322" i="9" s="1"/>
  <c r="F9323" i="9"/>
  <c r="H9323" i="9" s="1"/>
  <c r="F9324" i="9"/>
  <c r="H9324" i="9" s="1"/>
  <c r="F9325" i="9"/>
  <c r="H9325" i="9" s="1"/>
  <c r="F9326" i="9"/>
  <c r="H9326" i="9" s="1"/>
  <c r="F9327" i="9"/>
  <c r="H9327" i="9" s="1"/>
  <c r="F9328" i="9"/>
  <c r="H9328" i="9" s="1"/>
  <c r="F9329" i="9"/>
  <c r="H9329" i="9" s="1"/>
  <c r="F9330" i="9"/>
  <c r="H9330" i="9" s="1"/>
  <c r="F9331" i="9"/>
  <c r="H9331" i="9" s="1"/>
  <c r="F9332" i="9"/>
  <c r="H9332" i="9" s="1"/>
  <c r="F9333" i="9"/>
  <c r="H9333" i="9" s="1"/>
  <c r="F9334" i="9"/>
  <c r="H9334" i="9" s="1"/>
  <c r="F9335" i="9"/>
  <c r="H9335" i="9" s="1"/>
  <c r="F9336" i="9"/>
  <c r="H9336" i="9" s="1"/>
  <c r="F9337" i="9"/>
  <c r="H9337" i="9" s="1"/>
  <c r="F9338" i="9"/>
  <c r="H9338" i="9" s="1"/>
  <c r="F9339" i="9"/>
  <c r="H9339" i="9" s="1"/>
  <c r="F9340" i="9"/>
  <c r="H9340" i="9" s="1"/>
  <c r="F9341" i="9"/>
  <c r="H9341" i="9" s="1"/>
  <c r="F9342" i="9"/>
  <c r="H9342" i="9" s="1"/>
  <c r="F9343" i="9"/>
  <c r="H9343" i="9" s="1"/>
  <c r="F9344" i="9"/>
  <c r="H9344" i="9" s="1"/>
  <c r="F9345" i="9"/>
  <c r="H9345" i="9" s="1"/>
  <c r="F9346" i="9"/>
  <c r="H9346" i="9" s="1"/>
  <c r="F9347" i="9"/>
  <c r="H9347" i="9" s="1"/>
  <c r="F9348" i="9"/>
  <c r="H9348" i="9" s="1"/>
  <c r="F9349" i="9"/>
  <c r="H9349" i="9"/>
  <c r="F9350" i="9"/>
  <c r="H9350" i="9" s="1"/>
  <c r="F9351" i="9"/>
  <c r="H9351" i="9" s="1"/>
  <c r="F9352" i="9"/>
  <c r="H9352" i="9"/>
  <c r="F9353" i="9"/>
  <c r="H9353" i="9" s="1"/>
  <c r="F9354" i="9"/>
  <c r="H9354" i="9" s="1"/>
  <c r="F9355" i="9"/>
  <c r="H9355" i="9" s="1"/>
  <c r="F9356" i="9"/>
  <c r="H9356" i="9" s="1"/>
  <c r="F9357" i="9"/>
  <c r="H9357" i="9" s="1"/>
  <c r="F9358" i="9"/>
  <c r="H9358" i="9" s="1"/>
  <c r="F9359" i="9"/>
  <c r="H9359" i="9" s="1"/>
  <c r="F9360" i="9"/>
  <c r="H9360" i="9" s="1"/>
  <c r="F9361" i="9"/>
  <c r="H9361" i="9" s="1"/>
  <c r="F9362" i="9"/>
  <c r="H9362" i="9" s="1"/>
  <c r="F9363" i="9"/>
  <c r="H9363" i="9" s="1"/>
  <c r="F9364" i="9"/>
  <c r="H9364" i="9" s="1"/>
  <c r="F9365" i="9"/>
  <c r="H9365" i="9"/>
  <c r="F9366" i="9"/>
  <c r="H9366" i="9" s="1"/>
  <c r="F9367" i="9"/>
  <c r="H9367" i="9"/>
  <c r="F9368" i="9"/>
  <c r="H9368" i="9" s="1"/>
  <c r="F9369" i="9"/>
  <c r="H9369" i="9" s="1"/>
  <c r="F9370" i="9"/>
  <c r="H9370" i="9" s="1"/>
  <c r="F9371" i="9"/>
  <c r="H9371" i="9" s="1"/>
  <c r="F9372" i="9"/>
  <c r="H9372" i="9" s="1"/>
  <c r="F9373" i="9"/>
  <c r="H9373" i="9" s="1"/>
  <c r="F9374" i="9"/>
  <c r="H9374" i="9" s="1"/>
  <c r="F9375" i="9"/>
  <c r="H9375" i="9" s="1"/>
  <c r="F9376" i="9"/>
  <c r="H9376" i="9" s="1"/>
  <c r="F9377" i="9"/>
  <c r="H9377" i="9" s="1"/>
  <c r="F9378" i="9"/>
  <c r="H9378" i="9" s="1"/>
  <c r="F9379" i="9"/>
  <c r="H9379" i="9" s="1"/>
  <c r="F9380" i="9"/>
  <c r="H9380" i="9" s="1"/>
  <c r="F9381" i="9"/>
  <c r="H9381" i="9" s="1"/>
  <c r="F9382" i="9"/>
  <c r="H9382" i="9" s="1"/>
  <c r="F9383" i="9"/>
  <c r="H9383" i="9" s="1"/>
  <c r="F9384" i="9"/>
  <c r="H9384" i="9"/>
  <c r="F9385" i="9"/>
  <c r="H9385" i="9" s="1"/>
  <c r="F9386" i="9"/>
  <c r="H9386" i="9" s="1"/>
  <c r="F9387" i="9"/>
  <c r="H9387" i="9" s="1"/>
  <c r="F9388" i="9"/>
  <c r="H9388" i="9" s="1"/>
  <c r="F9389" i="9"/>
  <c r="H9389" i="9" s="1"/>
  <c r="F9390" i="9"/>
  <c r="H9390" i="9" s="1"/>
  <c r="F9391" i="9"/>
  <c r="H9391" i="9" s="1"/>
  <c r="F9392" i="9"/>
  <c r="H9392" i="9" s="1"/>
  <c r="F9393" i="9"/>
  <c r="H9393" i="9" s="1"/>
  <c r="F9394" i="9"/>
  <c r="H9394" i="9" s="1"/>
  <c r="F9395" i="9"/>
  <c r="H9395" i="9" s="1"/>
  <c r="F9396" i="9"/>
  <c r="H9396" i="9" s="1"/>
  <c r="F9397" i="9"/>
  <c r="H9397" i="9"/>
  <c r="F9398" i="9"/>
  <c r="H9398" i="9" s="1"/>
  <c r="F9399" i="9"/>
  <c r="H9399" i="9" s="1"/>
  <c r="F9400" i="9"/>
  <c r="H9400" i="9" s="1"/>
  <c r="F9401" i="9"/>
  <c r="H9401" i="9" s="1"/>
  <c r="F9402" i="9"/>
  <c r="H9402" i="9" s="1"/>
  <c r="F9403" i="9"/>
  <c r="H9403" i="9" s="1"/>
  <c r="F9404" i="9"/>
  <c r="H9404" i="9" s="1"/>
  <c r="F9405" i="9"/>
  <c r="H9405" i="9" s="1"/>
  <c r="F9406" i="9"/>
  <c r="H9406" i="9" s="1"/>
  <c r="F9407" i="9"/>
  <c r="H9407" i="9" s="1"/>
  <c r="F9408" i="9"/>
  <c r="H9408" i="9" s="1"/>
  <c r="F9409" i="9"/>
  <c r="H9409" i="9" s="1"/>
  <c r="F9410" i="9"/>
  <c r="H9410" i="9" s="1"/>
  <c r="F9411" i="9"/>
  <c r="H9411" i="9" s="1"/>
  <c r="F9412" i="9"/>
  <c r="H9412" i="9" s="1"/>
  <c r="F9413" i="9"/>
  <c r="H9413" i="9" s="1"/>
  <c r="F9414" i="9"/>
  <c r="H9414" i="9" s="1"/>
  <c r="F9415" i="9"/>
  <c r="H9415" i="9" s="1"/>
  <c r="F9416" i="9"/>
  <c r="H9416" i="9" s="1"/>
  <c r="F9417" i="9"/>
  <c r="H9417" i="9" s="1"/>
  <c r="F9418" i="9"/>
  <c r="H9418" i="9" s="1"/>
  <c r="F9419" i="9"/>
  <c r="H9419" i="9" s="1"/>
  <c r="F9420" i="9"/>
  <c r="H9420" i="9" s="1"/>
  <c r="F9421" i="9"/>
  <c r="H9421" i="9" s="1"/>
  <c r="F9422" i="9"/>
  <c r="H9422" i="9" s="1"/>
  <c r="F9423" i="9"/>
  <c r="H9423" i="9" s="1"/>
  <c r="F9424" i="9"/>
  <c r="H9424" i="9" s="1"/>
  <c r="F9425" i="9"/>
  <c r="H9425" i="9" s="1"/>
  <c r="F9426" i="9"/>
  <c r="H9426" i="9" s="1"/>
  <c r="F9427" i="9"/>
  <c r="H9427" i="9" s="1"/>
  <c r="F9428" i="9"/>
  <c r="H9428" i="9" s="1"/>
  <c r="F9429" i="9"/>
  <c r="H9429" i="9" s="1"/>
  <c r="F9430" i="9"/>
  <c r="H9430" i="9" s="1"/>
  <c r="F9431" i="9"/>
  <c r="H9431" i="9" s="1"/>
  <c r="F9432" i="9"/>
  <c r="H9432" i="9" s="1"/>
  <c r="F9433" i="9"/>
  <c r="H9433" i="9" s="1"/>
  <c r="F9434" i="9"/>
  <c r="H9434" i="9" s="1"/>
  <c r="F9435" i="9"/>
  <c r="H9435" i="9" s="1"/>
  <c r="F9436" i="9"/>
  <c r="H9436" i="9" s="1"/>
  <c r="F9437" i="9"/>
  <c r="H9437" i="9" s="1"/>
  <c r="F9438" i="9"/>
  <c r="H9438" i="9" s="1"/>
  <c r="F9439" i="9"/>
  <c r="H9439" i="9" s="1"/>
  <c r="F9440" i="9"/>
  <c r="H9440" i="9" s="1"/>
  <c r="F9441" i="9"/>
  <c r="H9441" i="9" s="1"/>
  <c r="F9442" i="9"/>
  <c r="H9442" i="9" s="1"/>
  <c r="F9443" i="9"/>
  <c r="H9443" i="9"/>
  <c r="F9444" i="9"/>
  <c r="H9444" i="9" s="1"/>
  <c r="F9445" i="9"/>
  <c r="H9445" i="9" s="1"/>
  <c r="F9446" i="9"/>
  <c r="H9446" i="9" s="1"/>
  <c r="F9447" i="9"/>
  <c r="H9447" i="9" s="1"/>
  <c r="F9448" i="9"/>
  <c r="H9448" i="9" s="1"/>
  <c r="F9449" i="9"/>
  <c r="H9449" i="9" s="1"/>
  <c r="F9450" i="9"/>
  <c r="H9450" i="9"/>
  <c r="F9451" i="9"/>
  <c r="H9451" i="9" s="1"/>
  <c r="F9452" i="9"/>
  <c r="H9452" i="9" s="1"/>
  <c r="F9453" i="9"/>
  <c r="H9453" i="9" s="1"/>
  <c r="F9454" i="9"/>
  <c r="H9454" i="9" s="1"/>
  <c r="F9455" i="9"/>
  <c r="H9455" i="9" s="1"/>
  <c r="F9456" i="9"/>
  <c r="H9456" i="9" s="1"/>
  <c r="F9457" i="9"/>
  <c r="H9457" i="9" s="1"/>
  <c r="F9458" i="9"/>
  <c r="H9458" i="9" s="1"/>
  <c r="F9459" i="9"/>
  <c r="H9459" i="9" s="1"/>
  <c r="F9460" i="9"/>
  <c r="H9460" i="9" s="1"/>
  <c r="F9461" i="9"/>
  <c r="H9461" i="9" s="1"/>
  <c r="F9462" i="9"/>
  <c r="H9462" i="9" s="1"/>
  <c r="F9463" i="9"/>
  <c r="H9463" i="9"/>
  <c r="F9464" i="9"/>
  <c r="H9464" i="9" s="1"/>
  <c r="F9465" i="9"/>
  <c r="H9465" i="9" s="1"/>
  <c r="F9466" i="9"/>
  <c r="H9466" i="9" s="1"/>
  <c r="F9467" i="9"/>
  <c r="H9467" i="9" s="1"/>
  <c r="F9468" i="9"/>
  <c r="H9468" i="9" s="1"/>
  <c r="F9469" i="9"/>
  <c r="H9469" i="9" s="1"/>
  <c r="F9470" i="9"/>
  <c r="H9470" i="9" s="1"/>
  <c r="F9471" i="9"/>
  <c r="H9471" i="9" s="1"/>
  <c r="F9472" i="9"/>
  <c r="H9472" i="9" s="1"/>
  <c r="F9473" i="9"/>
  <c r="H9473" i="9" s="1"/>
  <c r="F9474" i="9"/>
  <c r="H9474" i="9" s="1"/>
  <c r="F9475" i="9"/>
  <c r="H9475" i="9" s="1"/>
  <c r="F9476" i="9"/>
  <c r="H9476" i="9" s="1"/>
  <c r="F9477" i="9"/>
  <c r="H9477" i="9" s="1"/>
  <c r="F9478" i="9"/>
  <c r="H9478" i="9" s="1"/>
  <c r="F9479" i="9"/>
  <c r="H9479" i="9" s="1"/>
  <c r="F9480" i="9"/>
  <c r="H9480" i="9" s="1"/>
  <c r="F9481" i="9"/>
  <c r="H9481" i="9" s="1"/>
  <c r="F9482" i="9"/>
  <c r="H9482" i="9" s="1"/>
  <c r="F9483" i="9"/>
  <c r="H9483" i="9" s="1"/>
  <c r="F9484" i="9"/>
  <c r="H9484" i="9" s="1"/>
  <c r="F9485" i="9"/>
  <c r="H9485" i="9" s="1"/>
  <c r="F9486" i="9"/>
  <c r="H9486" i="9" s="1"/>
  <c r="F9487" i="9"/>
  <c r="H9487" i="9" s="1"/>
  <c r="F9488" i="9"/>
  <c r="H9488" i="9" s="1"/>
  <c r="F9489" i="9"/>
  <c r="H9489" i="9" s="1"/>
  <c r="F9490" i="9"/>
  <c r="H9490" i="9" s="1"/>
  <c r="F9491" i="9"/>
  <c r="H9491" i="9" s="1"/>
  <c r="F9492" i="9"/>
  <c r="H9492" i="9"/>
  <c r="F9493" i="9"/>
  <c r="H9493" i="9" s="1"/>
  <c r="F9494" i="9"/>
  <c r="H9494" i="9" s="1"/>
  <c r="F9495" i="9"/>
  <c r="H9495" i="9" s="1"/>
  <c r="F9496" i="9"/>
  <c r="H9496" i="9" s="1"/>
  <c r="F9497" i="9"/>
  <c r="H9497" i="9" s="1"/>
  <c r="F9498" i="9"/>
  <c r="H9498" i="9" s="1"/>
  <c r="F9499" i="9"/>
  <c r="H9499" i="9" s="1"/>
  <c r="F9500" i="9"/>
  <c r="H9500" i="9" s="1"/>
  <c r="F9501" i="9"/>
  <c r="H9501" i="9" s="1"/>
  <c r="F9502" i="9"/>
  <c r="H9502" i="9" s="1"/>
  <c r="F9503" i="9"/>
  <c r="H9503" i="9" s="1"/>
  <c r="F9504" i="9"/>
  <c r="H9504" i="9" s="1"/>
  <c r="F9505" i="9"/>
  <c r="H9505" i="9"/>
  <c r="F9506" i="9"/>
  <c r="H9506" i="9" s="1"/>
  <c r="F9507" i="9"/>
  <c r="H9507" i="9" s="1"/>
  <c r="F9508" i="9"/>
  <c r="H9508" i="9" s="1"/>
  <c r="F9509" i="9"/>
  <c r="H9509" i="9" s="1"/>
  <c r="F9510" i="9"/>
  <c r="H9510" i="9" s="1"/>
  <c r="F9511" i="9"/>
  <c r="H9511" i="9" s="1"/>
  <c r="F9512" i="9"/>
  <c r="H9512" i="9" s="1"/>
  <c r="F9513" i="9"/>
  <c r="H9513" i="9" s="1"/>
  <c r="F9514" i="9"/>
  <c r="H9514" i="9"/>
  <c r="F9515" i="9"/>
  <c r="H9515" i="9" s="1"/>
  <c r="F9516" i="9"/>
  <c r="H9516" i="9" s="1"/>
  <c r="F9517" i="9"/>
  <c r="H9517" i="9" s="1"/>
  <c r="F9518" i="9"/>
  <c r="H9518" i="9" s="1"/>
  <c r="F9519" i="9"/>
  <c r="H9519" i="9" s="1"/>
  <c r="F9520" i="9"/>
  <c r="H9520" i="9" s="1"/>
  <c r="F9521" i="9"/>
  <c r="H9521" i="9" s="1"/>
  <c r="F9522" i="9"/>
  <c r="H9522" i="9" s="1"/>
  <c r="F9523" i="9"/>
  <c r="H9523" i="9" s="1"/>
  <c r="F9524" i="9"/>
  <c r="H9524" i="9" s="1"/>
  <c r="F9525" i="9"/>
  <c r="H9525" i="9" s="1"/>
  <c r="F9526" i="9"/>
  <c r="H9526" i="9" s="1"/>
  <c r="F9527" i="9"/>
  <c r="H9527" i="9" s="1"/>
  <c r="F9528" i="9"/>
  <c r="H9528" i="9" s="1"/>
  <c r="F9529" i="9"/>
  <c r="H9529" i="9" s="1"/>
  <c r="F9530" i="9"/>
  <c r="H9530" i="9" s="1"/>
  <c r="F9531" i="9"/>
  <c r="H9531" i="9" s="1"/>
  <c r="F9532" i="9"/>
  <c r="H9532" i="9" s="1"/>
  <c r="F9533" i="9"/>
  <c r="H9533" i="9" s="1"/>
  <c r="F9534" i="9"/>
  <c r="H9534" i="9" s="1"/>
  <c r="F9535" i="9"/>
  <c r="H9535" i="9" s="1"/>
  <c r="F9536" i="9"/>
  <c r="H9536" i="9" s="1"/>
  <c r="F9537" i="9"/>
  <c r="H9537" i="9" s="1"/>
  <c r="F9538" i="9"/>
  <c r="H9538" i="9" s="1"/>
  <c r="F9539" i="9"/>
  <c r="H9539" i="9" s="1"/>
  <c r="F9540" i="9"/>
  <c r="H9540" i="9" s="1"/>
  <c r="F9541" i="9"/>
  <c r="H9541" i="9" s="1"/>
  <c r="F9542" i="9"/>
  <c r="H9542" i="9" s="1"/>
  <c r="F9543" i="9"/>
  <c r="H9543" i="9" s="1"/>
  <c r="F9544" i="9"/>
  <c r="H9544" i="9" s="1"/>
  <c r="F9545" i="9"/>
  <c r="H9545" i="9" s="1"/>
  <c r="F9546" i="9"/>
  <c r="H9546" i="9" s="1"/>
  <c r="F9547" i="9"/>
  <c r="H9547" i="9" s="1"/>
  <c r="F9548" i="9"/>
  <c r="H9548" i="9" s="1"/>
  <c r="F9549" i="9"/>
  <c r="H9549" i="9" s="1"/>
  <c r="F9550" i="9"/>
  <c r="H9550" i="9" s="1"/>
  <c r="F9551" i="9"/>
  <c r="H9551" i="9" s="1"/>
  <c r="F9552" i="9"/>
  <c r="H9552" i="9" s="1"/>
  <c r="F9553" i="9"/>
  <c r="H9553" i="9" s="1"/>
  <c r="F9554" i="9"/>
  <c r="H9554" i="9" s="1"/>
  <c r="F9555" i="9"/>
  <c r="H9555" i="9" s="1"/>
  <c r="F9556" i="9"/>
  <c r="H9556" i="9" s="1"/>
  <c r="F9557" i="9"/>
  <c r="H9557" i="9"/>
  <c r="F9558" i="9"/>
  <c r="H9558" i="9" s="1"/>
  <c r="F9559" i="9"/>
  <c r="H9559" i="9" s="1"/>
  <c r="F9560" i="9"/>
  <c r="H9560" i="9" s="1"/>
  <c r="F9561" i="9"/>
  <c r="H9561" i="9" s="1"/>
  <c r="F9562" i="9"/>
  <c r="H9562" i="9" s="1"/>
  <c r="F9563" i="9"/>
  <c r="H9563" i="9" s="1"/>
  <c r="F9564" i="9"/>
  <c r="H9564" i="9" s="1"/>
  <c r="F9565" i="9"/>
  <c r="H9565" i="9" s="1"/>
  <c r="F9566" i="9"/>
  <c r="H9566" i="9" s="1"/>
  <c r="F9567" i="9"/>
  <c r="H9567" i="9" s="1"/>
  <c r="F9568" i="9"/>
  <c r="H9568" i="9" s="1"/>
  <c r="F9569" i="9"/>
  <c r="H9569" i="9" s="1"/>
  <c r="F9570" i="9"/>
  <c r="H9570" i="9" s="1"/>
  <c r="F9571" i="9"/>
  <c r="H9571" i="9" s="1"/>
  <c r="F9572" i="9"/>
  <c r="H9572" i="9" s="1"/>
  <c r="F9573" i="9"/>
  <c r="H9573" i="9" s="1"/>
  <c r="F9574" i="9"/>
  <c r="H9574" i="9" s="1"/>
  <c r="F9575" i="9"/>
  <c r="H9575" i="9" s="1"/>
  <c r="F9576" i="9"/>
  <c r="H9576" i="9" s="1"/>
  <c r="F9577" i="9"/>
  <c r="H9577" i="9" s="1"/>
  <c r="F9578" i="9"/>
  <c r="H9578" i="9" s="1"/>
  <c r="F9579" i="9"/>
  <c r="H9579" i="9" s="1"/>
  <c r="F9580" i="9"/>
  <c r="H9580" i="9" s="1"/>
  <c r="F9581" i="9"/>
  <c r="H9581" i="9" s="1"/>
  <c r="F9582" i="9"/>
  <c r="H9582" i="9" s="1"/>
  <c r="F9583" i="9"/>
  <c r="H9583" i="9" s="1"/>
  <c r="F9584" i="9"/>
  <c r="H9584" i="9" s="1"/>
  <c r="F9585" i="9"/>
  <c r="H9585" i="9" s="1"/>
  <c r="F9586" i="9"/>
  <c r="H9586" i="9" s="1"/>
  <c r="F9587" i="9"/>
  <c r="H9587" i="9" s="1"/>
  <c r="F9588" i="9"/>
  <c r="H9588" i="9" s="1"/>
  <c r="F9589" i="9"/>
  <c r="H9589" i="9" s="1"/>
  <c r="F9590" i="9"/>
  <c r="H9590" i="9" s="1"/>
  <c r="F9591" i="9"/>
  <c r="H9591" i="9" s="1"/>
  <c r="F9592" i="9"/>
  <c r="H9592" i="9" s="1"/>
  <c r="F9593" i="9"/>
  <c r="H9593" i="9" s="1"/>
  <c r="F9594" i="9"/>
  <c r="H9594" i="9" s="1"/>
  <c r="F9595" i="9"/>
  <c r="H9595" i="9" s="1"/>
  <c r="F9596" i="9"/>
  <c r="H9596" i="9" s="1"/>
  <c r="F9597" i="9"/>
  <c r="H9597" i="9" s="1"/>
  <c r="F9598" i="9"/>
  <c r="H9598" i="9" s="1"/>
  <c r="F9599" i="9"/>
  <c r="H9599" i="9" s="1"/>
  <c r="F9600" i="9"/>
  <c r="H9600" i="9" s="1"/>
  <c r="F9601" i="9"/>
  <c r="H9601" i="9" s="1"/>
  <c r="F9602" i="9"/>
  <c r="H9602" i="9" s="1"/>
  <c r="F9603" i="9"/>
  <c r="H9603" i="9" s="1"/>
  <c r="F9604" i="9"/>
  <c r="H9604" i="9"/>
  <c r="F9605" i="9"/>
  <c r="H9605" i="9" s="1"/>
  <c r="F9606" i="9"/>
  <c r="H9606" i="9" s="1"/>
  <c r="F9607" i="9"/>
  <c r="H9607" i="9" s="1"/>
  <c r="F9608" i="9"/>
  <c r="H9608" i="9" s="1"/>
  <c r="F9609" i="9"/>
  <c r="H9609" i="9" s="1"/>
  <c r="F9610" i="9"/>
  <c r="H9610" i="9"/>
  <c r="F9611" i="9"/>
  <c r="H9611" i="9" s="1"/>
  <c r="F9612" i="9"/>
  <c r="H9612" i="9" s="1"/>
  <c r="F9613" i="9"/>
  <c r="H9613" i="9" s="1"/>
  <c r="F9614" i="9"/>
  <c r="H9614" i="9" s="1"/>
  <c r="F9615" i="9"/>
  <c r="H9615" i="9" s="1"/>
  <c r="F9616" i="9"/>
  <c r="H9616" i="9" s="1"/>
  <c r="F9617" i="9"/>
  <c r="H9617" i="9" s="1"/>
  <c r="F9618" i="9"/>
  <c r="H9618" i="9" s="1"/>
  <c r="F9619" i="9"/>
  <c r="H9619" i="9" s="1"/>
  <c r="F9620" i="9"/>
  <c r="H9620" i="9" s="1"/>
  <c r="F9621" i="9"/>
  <c r="H9621" i="9" s="1"/>
  <c r="F9622" i="9"/>
  <c r="H9622" i="9" s="1"/>
  <c r="F9623" i="9"/>
  <c r="H9623" i="9" s="1"/>
  <c r="F9624" i="9"/>
  <c r="H9624" i="9" s="1"/>
  <c r="F9625" i="9"/>
  <c r="H9625" i="9" s="1"/>
  <c r="F9626" i="9"/>
  <c r="H9626" i="9" s="1"/>
  <c r="F9627" i="9"/>
  <c r="H9627" i="9" s="1"/>
  <c r="F9628" i="9"/>
  <c r="H9628" i="9" s="1"/>
  <c r="F9629" i="9"/>
  <c r="H9629" i="9" s="1"/>
  <c r="F9630" i="9"/>
  <c r="H9630" i="9" s="1"/>
  <c r="F9631" i="9"/>
  <c r="H9631" i="9" s="1"/>
  <c r="F9632" i="9"/>
  <c r="H9632" i="9" s="1"/>
  <c r="F9633" i="9"/>
  <c r="H9633" i="9" s="1"/>
  <c r="F9634" i="9"/>
  <c r="H9634" i="9" s="1"/>
  <c r="F9635" i="9"/>
  <c r="H9635" i="9" s="1"/>
  <c r="F9636" i="9"/>
  <c r="H9636" i="9" s="1"/>
  <c r="F9637" i="9"/>
  <c r="H9637" i="9" s="1"/>
  <c r="F9638" i="9"/>
  <c r="H9638" i="9" s="1"/>
  <c r="F9639" i="9"/>
  <c r="H9639" i="9" s="1"/>
  <c r="F9640" i="9"/>
  <c r="H9640" i="9" s="1"/>
  <c r="F9641" i="9"/>
  <c r="H9641" i="9" s="1"/>
  <c r="F9642" i="9"/>
  <c r="H9642" i="9" s="1"/>
  <c r="F9643" i="9"/>
  <c r="H9643" i="9" s="1"/>
  <c r="F9644" i="9"/>
  <c r="H9644" i="9" s="1"/>
  <c r="F9645" i="9"/>
  <c r="H9645" i="9" s="1"/>
  <c r="F9646" i="9"/>
  <c r="H9646" i="9" s="1"/>
  <c r="F9647" i="9"/>
  <c r="H9647" i="9" s="1"/>
  <c r="F9648" i="9"/>
  <c r="H9648" i="9" s="1"/>
  <c r="F9649" i="9"/>
  <c r="H9649" i="9" s="1"/>
  <c r="F9650" i="9"/>
  <c r="H9650" i="9" s="1"/>
  <c r="F9651" i="9"/>
  <c r="H9651" i="9" s="1"/>
  <c r="F9652" i="9"/>
  <c r="H9652" i="9" s="1"/>
  <c r="F9653" i="9"/>
  <c r="H9653" i="9" s="1"/>
  <c r="F9654" i="9"/>
  <c r="H9654" i="9" s="1"/>
  <c r="F9655" i="9"/>
  <c r="H9655" i="9" s="1"/>
  <c r="F9656" i="9"/>
  <c r="H9656" i="9" s="1"/>
  <c r="F9657" i="9"/>
  <c r="H9657" i="9" s="1"/>
  <c r="F9658" i="9"/>
  <c r="H9658" i="9" s="1"/>
  <c r="F9659" i="9"/>
  <c r="H9659" i="9" s="1"/>
  <c r="F9660" i="9"/>
  <c r="H9660" i="9" s="1"/>
  <c r="F9661" i="9"/>
  <c r="H9661" i="9" s="1"/>
  <c r="F9662" i="9"/>
  <c r="H9662" i="9" s="1"/>
  <c r="F9663" i="9"/>
  <c r="H9663" i="9" s="1"/>
  <c r="F9664" i="9"/>
  <c r="H9664" i="9" s="1"/>
  <c r="F9665" i="9"/>
  <c r="H9665" i="9" s="1"/>
  <c r="F9666" i="9"/>
  <c r="H9666" i="9"/>
  <c r="F9667" i="9"/>
  <c r="H9667" i="9" s="1"/>
  <c r="F9668" i="9"/>
  <c r="H9668" i="9" s="1"/>
  <c r="F9669" i="9"/>
  <c r="H9669" i="9" s="1"/>
  <c r="F9670" i="9"/>
  <c r="H9670" i="9" s="1"/>
  <c r="F9671" i="9"/>
  <c r="H9671" i="9" s="1"/>
  <c r="F9672" i="9"/>
  <c r="H9672" i="9" s="1"/>
  <c r="F9673" i="9"/>
  <c r="H9673" i="9" s="1"/>
  <c r="F9674" i="9"/>
  <c r="H9674" i="9" s="1"/>
  <c r="F9675" i="9"/>
  <c r="H9675" i="9" s="1"/>
  <c r="F9676" i="9"/>
  <c r="H9676" i="9" s="1"/>
  <c r="F9677" i="9"/>
  <c r="H9677" i="9" s="1"/>
  <c r="F9678" i="9"/>
  <c r="H9678" i="9" s="1"/>
  <c r="F9679" i="9"/>
  <c r="H9679" i="9" s="1"/>
  <c r="F9680" i="9"/>
  <c r="H9680" i="9" s="1"/>
  <c r="F9681" i="9"/>
  <c r="H9681" i="9" s="1"/>
  <c r="F9682" i="9"/>
  <c r="H9682" i="9" s="1"/>
  <c r="F9683" i="9"/>
  <c r="H9683" i="9"/>
  <c r="F9684" i="9"/>
  <c r="H9684" i="9" s="1"/>
  <c r="F9685" i="9"/>
  <c r="H9685" i="9" s="1"/>
  <c r="F9686" i="9"/>
  <c r="H9686" i="9" s="1"/>
  <c r="F9687" i="9"/>
  <c r="H9687" i="9" s="1"/>
  <c r="F9688" i="9"/>
  <c r="H9688" i="9" s="1"/>
  <c r="F9689" i="9"/>
  <c r="H9689" i="9" s="1"/>
  <c r="F9690" i="9"/>
  <c r="H9690" i="9" s="1"/>
  <c r="F9691" i="9"/>
  <c r="H9691" i="9" s="1"/>
  <c r="F9692" i="9"/>
  <c r="H9692" i="9" s="1"/>
  <c r="F9693" i="9"/>
  <c r="H9693" i="9" s="1"/>
  <c r="F9694" i="9"/>
  <c r="H9694" i="9" s="1"/>
  <c r="F9695" i="9"/>
  <c r="H9695" i="9" s="1"/>
  <c r="F9696" i="9"/>
  <c r="H9696" i="9" s="1"/>
  <c r="F9697" i="9"/>
  <c r="H9697" i="9" s="1"/>
  <c r="F9698" i="9"/>
  <c r="H9698" i="9" s="1"/>
  <c r="F9699" i="9"/>
  <c r="H9699" i="9" s="1"/>
  <c r="F9700" i="9"/>
  <c r="H9700" i="9" s="1"/>
  <c r="F9701" i="9"/>
  <c r="H9701" i="9" s="1"/>
  <c r="F9702" i="9"/>
  <c r="H9702" i="9" s="1"/>
  <c r="F9703" i="9"/>
  <c r="H9703" i="9" s="1"/>
  <c r="F9704" i="9"/>
  <c r="H9704" i="9" s="1"/>
  <c r="F9705" i="9"/>
  <c r="H9705" i="9" s="1"/>
  <c r="F9706" i="9"/>
  <c r="H9706" i="9" s="1"/>
  <c r="F9707" i="9"/>
  <c r="H9707" i="9" s="1"/>
  <c r="F9708" i="9"/>
  <c r="H9708" i="9" s="1"/>
  <c r="F9709" i="9"/>
  <c r="H9709" i="9" s="1"/>
  <c r="F9710" i="9"/>
  <c r="H9710" i="9" s="1"/>
  <c r="F9711" i="9"/>
  <c r="H9711" i="9" s="1"/>
  <c r="F9712" i="9"/>
  <c r="H9712" i="9" s="1"/>
  <c r="F9713" i="9"/>
  <c r="H9713" i="9" s="1"/>
  <c r="F9714" i="9"/>
  <c r="H9714" i="9" s="1"/>
  <c r="F9715" i="9"/>
  <c r="H9715" i="9" s="1"/>
  <c r="F9716" i="9"/>
  <c r="H9716" i="9" s="1"/>
  <c r="F9717" i="9"/>
  <c r="H9717" i="9" s="1"/>
  <c r="F9718" i="9"/>
  <c r="H9718" i="9" s="1"/>
  <c r="F9719" i="9"/>
  <c r="H9719" i="9" s="1"/>
  <c r="F9720" i="9"/>
  <c r="H9720" i="9" s="1"/>
  <c r="F9721" i="9"/>
  <c r="H9721" i="9" s="1"/>
  <c r="F9722" i="9"/>
  <c r="H9722" i="9" s="1"/>
  <c r="F9723" i="9"/>
  <c r="H9723" i="9" s="1"/>
  <c r="F9724" i="9"/>
  <c r="H9724" i="9" s="1"/>
  <c r="F9725" i="9"/>
  <c r="H9725" i="9" s="1"/>
  <c r="F9726" i="9"/>
  <c r="H9726" i="9" s="1"/>
  <c r="F9727" i="9"/>
  <c r="H9727" i="9" s="1"/>
  <c r="F9728" i="9"/>
  <c r="H9728" i="9" s="1"/>
  <c r="F9729" i="9"/>
  <c r="H9729" i="9" s="1"/>
  <c r="F9730" i="9"/>
  <c r="H9730" i="9" s="1"/>
  <c r="F9731" i="9"/>
  <c r="H9731" i="9" s="1"/>
  <c r="F9732" i="9"/>
  <c r="H9732" i="9" s="1"/>
  <c r="F9733" i="9"/>
  <c r="H9733" i="9" s="1"/>
  <c r="F9734" i="9"/>
  <c r="H9734" i="9" s="1"/>
  <c r="F9735" i="9"/>
  <c r="H9735" i="9" s="1"/>
  <c r="F9736" i="9"/>
  <c r="H9736" i="9" s="1"/>
  <c r="F9737" i="9"/>
  <c r="H9737" i="9" s="1"/>
  <c r="F9738" i="9"/>
  <c r="H9738" i="9" s="1"/>
  <c r="F9739" i="9"/>
  <c r="H9739" i="9" s="1"/>
  <c r="F9740" i="9"/>
  <c r="H9740" i="9" s="1"/>
  <c r="F9741" i="9"/>
  <c r="H9741" i="9" s="1"/>
  <c r="F9742" i="9"/>
  <c r="H9742" i="9" s="1"/>
  <c r="F9743" i="9"/>
  <c r="H9743" i="9" s="1"/>
  <c r="F9744" i="9"/>
  <c r="H9744" i="9" s="1"/>
  <c r="F9745" i="9"/>
  <c r="H9745" i="9" s="1"/>
  <c r="F9746" i="9"/>
  <c r="H9746" i="9" s="1"/>
  <c r="F9747" i="9"/>
  <c r="H9747" i="9" s="1"/>
  <c r="F9748" i="9"/>
  <c r="H9748" i="9" s="1"/>
  <c r="F9749" i="9"/>
  <c r="H9749" i="9" s="1"/>
  <c r="F9750" i="9"/>
  <c r="H9750" i="9" s="1"/>
  <c r="F9751" i="9"/>
  <c r="H9751" i="9"/>
  <c r="F9752" i="9"/>
  <c r="H9752" i="9" s="1"/>
  <c r="F9753" i="9"/>
  <c r="H9753" i="9" s="1"/>
  <c r="F9754" i="9"/>
  <c r="H9754" i="9" s="1"/>
  <c r="F9755" i="9"/>
  <c r="H9755" i="9" s="1"/>
  <c r="F9756" i="9"/>
  <c r="H9756" i="9" s="1"/>
  <c r="F9757" i="9"/>
  <c r="H9757" i="9" s="1"/>
  <c r="F9758" i="9"/>
  <c r="H9758" i="9" s="1"/>
  <c r="F9759" i="9"/>
  <c r="H9759" i="9" s="1"/>
  <c r="F9760" i="9"/>
  <c r="H9760" i="9" s="1"/>
  <c r="F9761" i="9"/>
  <c r="H9761" i="9" s="1"/>
  <c r="F9762" i="9"/>
  <c r="H9762" i="9" s="1"/>
  <c r="F9763" i="9"/>
  <c r="H9763" i="9" s="1"/>
  <c r="F9764" i="9"/>
  <c r="H9764" i="9" s="1"/>
  <c r="F9765" i="9"/>
  <c r="H9765" i="9" s="1"/>
  <c r="F9766" i="9"/>
  <c r="H9766" i="9" s="1"/>
  <c r="F9767" i="9"/>
  <c r="H9767" i="9" s="1"/>
  <c r="F9768" i="9"/>
  <c r="H9768" i="9" s="1"/>
  <c r="F9769" i="9"/>
  <c r="H9769" i="9" s="1"/>
  <c r="F9770" i="9"/>
  <c r="H9770" i="9" s="1"/>
  <c r="F9771" i="9"/>
  <c r="H9771" i="9" s="1"/>
  <c r="F9772" i="9"/>
  <c r="H9772" i="9" s="1"/>
  <c r="F9773" i="9"/>
  <c r="H9773" i="9"/>
  <c r="F9774" i="9"/>
  <c r="H9774" i="9" s="1"/>
  <c r="F9775" i="9"/>
  <c r="H9775" i="9" s="1"/>
  <c r="F9776" i="9"/>
  <c r="H9776" i="9" s="1"/>
  <c r="F9777" i="9"/>
  <c r="H9777" i="9" s="1"/>
  <c r="F9778" i="9"/>
  <c r="H9778" i="9" s="1"/>
  <c r="F9779" i="9"/>
  <c r="H9779" i="9" s="1"/>
  <c r="F9780" i="9"/>
  <c r="H9780" i="9" s="1"/>
  <c r="F9781" i="9"/>
  <c r="H9781" i="9" s="1"/>
  <c r="F9782" i="9"/>
  <c r="H9782" i="9" s="1"/>
  <c r="F9783" i="9"/>
  <c r="H9783" i="9" s="1"/>
  <c r="F9784" i="9"/>
  <c r="H9784" i="9" s="1"/>
  <c r="F9785" i="9"/>
  <c r="H9785" i="9" s="1"/>
  <c r="F9786" i="9"/>
  <c r="H9786" i="9" s="1"/>
  <c r="F9787" i="9"/>
  <c r="H9787" i="9" s="1"/>
  <c r="F9788" i="9"/>
  <c r="H9788" i="9" s="1"/>
  <c r="F9789" i="9"/>
  <c r="H9789" i="9" s="1"/>
  <c r="F9790" i="9"/>
  <c r="H9790" i="9" s="1"/>
  <c r="F9791" i="9"/>
  <c r="H9791" i="9" s="1"/>
  <c r="F9792" i="9"/>
  <c r="H9792" i="9" s="1"/>
  <c r="F9793" i="9"/>
  <c r="H9793" i="9" s="1"/>
  <c r="F9794" i="9"/>
  <c r="H9794" i="9" s="1"/>
  <c r="F9795" i="9"/>
  <c r="H9795" i="9" s="1"/>
  <c r="F9796" i="9"/>
  <c r="H9796" i="9" s="1"/>
  <c r="F9797" i="9"/>
  <c r="H9797" i="9" s="1"/>
  <c r="F9798" i="9"/>
  <c r="H9798" i="9"/>
  <c r="F9799" i="9"/>
  <c r="H9799" i="9" s="1"/>
  <c r="F9800" i="9"/>
  <c r="H9800" i="9" s="1"/>
  <c r="F9801" i="9"/>
  <c r="H9801" i="9" s="1"/>
  <c r="F9802" i="9"/>
  <c r="H9802" i="9" s="1"/>
  <c r="F9803" i="9"/>
  <c r="H9803" i="9" s="1"/>
  <c r="F9804" i="9"/>
  <c r="H9804" i="9" s="1"/>
  <c r="F9805" i="9"/>
  <c r="H9805" i="9" s="1"/>
  <c r="F9806" i="9"/>
  <c r="H9806" i="9" s="1"/>
  <c r="F9807" i="9"/>
  <c r="H9807" i="9" s="1"/>
  <c r="F9808" i="9"/>
  <c r="H9808" i="9"/>
  <c r="F9809" i="9"/>
  <c r="H9809" i="9" s="1"/>
  <c r="F9810" i="9"/>
  <c r="H9810" i="9" s="1"/>
  <c r="F9811" i="9"/>
  <c r="H9811" i="9" s="1"/>
  <c r="F9812" i="9"/>
  <c r="H9812" i="9" s="1"/>
  <c r="F9813" i="9"/>
  <c r="H9813" i="9" s="1"/>
  <c r="F9814" i="9"/>
  <c r="H9814" i="9" s="1"/>
  <c r="F9815" i="9"/>
  <c r="H9815" i="9" s="1"/>
  <c r="F9816" i="9"/>
  <c r="H9816" i="9" s="1"/>
  <c r="F9817" i="9"/>
  <c r="H9817" i="9" s="1"/>
  <c r="F9818" i="9"/>
  <c r="H9818" i="9"/>
  <c r="F9819" i="9"/>
  <c r="H9819" i="9" s="1"/>
  <c r="F9820" i="9"/>
  <c r="H9820" i="9" s="1"/>
  <c r="F9821" i="9"/>
  <c r="H9821" i="9" s="1"/>
  <c r="F9822" i="9"/>
  <c r="H9822" i="9" s="1"/>
  <c r="F9823" i="9"/>
  <c r="H9823" i="9" s="1"/>
  <c r="F9824" i="9"/>
  <c r="H9824" i="9" s="1"/>
  <c r="F9825" i="9"/>
  <c r="H9825" i="9" s="1"/>
  <c r="F9826" i="9"/>
  <c r="H9826" i="9" s="1"/>
  <c r="F9827" i="9"/>
  <c r="H9827" i="9" s="1"/>
  <c r="F9828" i="9"/>
  <c r="H9828" i="9" s="1"/>
  <c r="F9829" i="9"/>
  <c r="H9829" i="9" s="1"/>
  <c r="F9830" i="9"/>
  <c r="H9830" i="9" s="1"/>
  <c r="F9831" i="9"/>
  <c r="H9831" i="9" s="1"/>
  <c r="F9832" i="9"/>
  <c r="H9832" i="9" s="1"/>
  <c r="F9833" i="9"/>
  <c r="H9833" i="9" s="1"/>
  <c r="F9834" i="9"/>
  <c r="H9834" i="9" s="1"/>
  <c r="F9835" i="9"/>
  <c r="H9835" i="9" s="1"/>
  <c r="F9836" i="9"/>
  <c r="H9836" i="9" s="1"/>
  <c r="F9837" i="9"/>
  <c r="H9837" i="9" s="1"/>
  <c r="F9838" i="9"/>
  <c r="H9838" i="9" s="1"/>
  <c r="F9839" i="9"/>
  <c r="H9839" i="9" s="1"/>
  <c r="F9840" i="9"/>
  <c r="H9840" i="9" s="1"/>
  <c r="F9841" i="9"/>
  <c r="H9841" i="9" s="1"/>
  <c r="F9842" i="9"/>
  <c r="H9842" i="9" s="1"/>
  <c r="F9843" i="9"/>
  <c r="H9843" i="9" s="1"/>
  <c r="F9844" i="9"/>
  <c r="H9844" i="9" s="1"/>
  <c r="F9845" i="9"/>
  <c r="H9845" i="9" s="1"/>
  <c r="F9846" i="9"/>
  <c r="H9846" i="9" s="1"/>
  <c r="F9847" i="9"/>
  <c r="H9847" i="9" s="1"/>
  <c r="F9848" i="9"/>
  <c r="H9848" i="9" s="1"/>
  <c r="F9849" i="9"/>
  <c r="H9849" i="9" s="1"/>
  <c r="F9850" i="9"/>
  <c r="H9850" i="9" s="1"/>
  <c r="F9851" i="9"/>
  <c r="H9851" i="9" s="1"/>
  <c r="F9852" i="9"/>
  <c r="H9852" i="9" s="1"/>
  <c r="F9853" i="9"/>
  <c r="H9853" i="9" s="1"/>
  <c r="F9854" i="9"/>
  <c r="H9854" i="9" s="1"/>
  <c r="F9855" i="9"/>
  <c r="H9855" i="9" s="1"/>
  <c r="F9856" i="9"/>
  <c r="H9856" i="9" s="1"/>
  <c r="F9857" i="9"/>
  <c r="H9857" i="9" s="1"/>
  <c r="F9858" i="9"/>
  <c r="H9858" i="9" s="1"/>
  <c r="F9859" i="9"/>
  <c r="H9859" i="9" s="1"/>
  <c r="F9860" i="9"/>
  <c r="H9860" i="9" s="1"/>
  <c r="F9861" i="9"/>
  <c r="H9861" i="9" s="1"/>
  <c r="F9862" i="9"/>
  <c r="H9862" i="9" s="1"/>
  <c r="F9863" i="9"/>
  <c r="H9863" i="9" s="1"/>
  <c r="F9864" i="9"/>
  <c r="H9864" i="9" s="1"/>
  <c r="F9865" i="9"/>
  <c r="H9865" i="9" s="1"/>
  <c r="F9866" i="9"/>
  <c r="H9866" i="9" s="1"/>
  <c r="F9867" i="9"/>
  <c r="H9867" i="9" s="1"/>
  <c r="F9868" i="9"/>
  <c r="H9868" i="9" s="1"/>
  <c r="F9869" i="9"/>
  <c r="H9869" i="9" s="1"/>
  <c r="F9870" i="9"/>
  <c r="H9870" i="9" s="1"/>
  <c r="F9871" i="9"/>
  <c r="H9871" i="9" s="1"/>
  <c r="F9872" i="9"/>
  <c r="H9872" i="9" s="1"/>
  <c r="F9873" i="9"/>
  <c r="H9873" i="9" s="1"/>
  <c r="F9874" i="9"/>
  <c r="H9874" i="9" s="1"/>
  <c r="F9875" i="9"/>
  <c r="H9875" i="9" s="1"/>
  <c r="F9876" i="9"/>
  <c r="H9876" i="9" s="1"/>
  <c r="F9877" i="9"/>
  <c r="H9877" i="9" s="1"/>
  <c r="F9878" i="9"/>
  <c r="H9878" i="9" s="1"/>
  <c r="F9879" i="9"/>
  <c r="H9879" i="9" s="1"/>
  <c r="F9880" i="9"/>
  <c r="H9880" i="9" s="1"/>
  <c r="F9881" i="9"/>
  <c r="H9881" i="9"/>
  <c r="F9882" i="9"/>
  <c r="H9882" i="9"/>
  <c r="F9883" i="9"/>
  <c r="H9883" i="9" s="1"/>
  <c r="F9884" i="9"/>
  <c r="H9884" i="9" s="1"/>
  <c r="F9885" i="9"/>
  <c r="H9885" i="9" s="1"/>
  <c r="F9886" i="9"/>
  <c r="H9886" i="9" s="1"/>
  <c r="F9887" i="9"/>
  <c r="H9887" i="9" s="1"/>
  <c r="F9888" i="9"/>
  <c r="H9888" i="9" s="1"/>
  <c r="F9889" i="9"/>
  <c r="H9889" i="9" s="1"/>
  <c r="F9890" i="9"/>
  <c r="H9890" i="9" s="1"/>
  <c r="F9891" i="9"/>
  <c r="H9891" i="9" s="1"/>
  <c r="F9892" i="9"/>
  <c r="H9892" i="9" s="1"/>
  <c r="F9893" i="9"/>
  <c r="H9893" i="9" s="1"/>
  <c r="F9894" i="9"/>
  <c r="H9894" i="9" s="1"/>
  <c r="F9895" i="9"/>
  <c r="H9895" i="9"/>
  <c r="F9896" i="9"/>
  <c r="H9896" i="9" s="1"/>
  <c r="F9897" i="9"/>
  <c r="H9897" i="9" s="1"/>
  <c r="F9898" i="9"/>
  <c r="H9898" i="9" s="1"/>
  <c r="F9899" i="9"/>
  <c r="H9899" i="9" s="1"/>
  <c r="F9900" i="9"/>
  <c r="H9900" i="9" s="1"/>
  <c r="F9901" i="9"/>
  <c r="H9901" i="9" s="1"/>
  <c r="F9902" i="9"/>
  <c r="H9902" i="9" s="1"/>
  <c r="F9903" i="9"/>
  <c r="H9903" i="9" s="1"/>
  <c r="F9904" i="9"/>
  <c r="H9904" i="9" s="1"/>
  <c r="F9905" i="9"/>
  <c r="H9905" i="9" s="1"/>
  <c r="F9906" i="9"/>
  <c r="H9906" i="9" s="1"/>
  <c r="F9907" i="9"/>
  <c r="H9907" i="9" s="1"/>
  <c r="F9908" i="9"/>
  <c r="H9908" i="9" s="1"/>
  <c r="F9909" i="9"/>
  <c r="H9909" i="9" s="1"/>
  <c r="F9910" i="9"/>
  <c r="H9910" i="9" s="1"/>
  <c r="F9911" i="9"/>
  <c r="H9911" i="9" s="1"/>
  <c r="F9912" i="9"/>
  <c r="H9912" i="9" s="1"/>
  <c r="F9913" i="9"/>
  <c r="H9913" i="9" s="1"/>
  <c r="F9914" i="9"/>
  <c r="H9914" i="9" s="1"/>
  <c r="F9915" i="9"/>
  <c r="H9915" i="9" s="1"/>
  <c r="F9916" i="9"/>
  <c r="H9916" i="9"/>
  <c r="F9917" i="9"/>
  <c r="H9917" i="9" s="1"/>
  <c r="F9918" i="9"/>
  <c r="H9918" i="9" s="1"/>
  <c r="F9919" i="9"/>
  <c r="H9919" i="9" s="1"/>
  <c r="F9920" i="9"/>
  <c r="H9920" i="9" s="1"/>
  <c r="F9921" i="9"/>
  <c r="H9921" i="9" s="1"/>
  <c r="F9922" i="9"/>
  <c r="H9922" i="9" s="1"/>
  <c r="F9923" i="9"/>
  <c r="H9923" i="9" s="1"/>
  <c r="F9924" i="9"/>
  <c r="H9924" i="9" s="1"/>
  <c r="F9925" i="9"/>
  <c r="H9925" i="9" s="1"/>
  <c r="F9926" i="9"/>
  <c r="H9926" i="9" s="1"/>
  <c r="F9927" i="9"/>
  <c r="H9927" i="9" s="1"/>
  <c r="F9928" i="9"/>
  <c r="H9928" i="9" s="1"/>
  <c r="F9929" i="9"/>
  <c r="H9929" i="9" s="1"/>
  <c r="F9930" i="9"/>
  <c r="H9930" i="9" s="1"/>
  <c r="F9931" i="9"/>
  <c r="H9931" i="9" s="1"/>
  <c r="F9932" i="9"/>
  <c r="H9932" i="9" s="1"/>
  <c r="F9933" i="9"/>
  <c r="H9933" i="9" s="1"/>
  <c r="F9934" i="9"/>
  <c r="H9934" i="9" s="1"/>
  <c r="F9935" i="9"/>
  <c r="H9935" i="9" s="1"/>
  <c r="F9936" i="9"/>
  <c r="H9936" i="9" s="1"/>
  <c r="F9937" i="9"/>
  <c r="H9937" i="9" s="1"/>
  <c r="F9938" i="9"/>
  <c r="H9938" i="9" s="1"/>
  <c r="F9939" i="9"/>
  <c r="H9939" i="9" s="1"/>
  <c r="F9940" i="9"/>
  <c r="H9940" i="9" s="1"/>
  <c r="F9941" i="9"/>
  <c r="H9941" i="9" s="1"/>
  <c r="F9942" i="9"/>
  <c r="H9942" i="9" s="1"/>
  <c r="F9943" i="9"/>
  <c r="H9943" i="9" s="1"/>
  <c r="F9944" i="9"/>
  <c r="H9944" i="9" s="1"/>
  <c r="F9945" i="9"/>
  <c r="H9945" i="9" s="1"/>
  <c r="F9946" i="9"/>
  <c r="H9946" i="9" s="1"/>
  <c r="F9947" i="9"/>
  <c r="H9947" i="9" s="1"/>
  <c r="F9948" i="9"/>
  <c r="H9948" i="9" s="1"/>
  <c r="F9949" i="9"/>
  <c r="H9949" i="9" s="1"/>
  <c r="F9950" i="9"/>
  <c r="H9950" i="9" s="1"/>
  <c r="F9951" i="9"/>
  <c r="H9951" i="9" s="1"/>
  <c r="F9952" i="9"/>
  <c r="H9952" i="9" s="1"/>
  <c r="F9953" i="9"/>
  <c r="H9953" i="9" s="1"/>
  <c r="F9954" i="9"/>
  <c r="H9954" i="9" s="1"/>
  <c r="F9955" i="9"/>
  <c r="H9955" i="9"/>
  <c r="F9956" i="9"/>
  <c r="H9956" i="9" s="1"/>
  <c r="F9957" i="9"/>
  <c r="H9957" i="9" s="1"/>
  <c r="F9958" i="9"/>
  <c r="H9958" i="9" s="1"/>
  <c r="F9959" i="9"/>
  <c r="H9959" i="9" s="1"/>
  <c r="F9960" i="9"/>
  <c r="H9960" i="9" s="1"/>
  <c r="F9961" i="9"/>
  <c r="H9961" i="9" s="1"/>
  <c r="F9962" i="9"/>
  <c r="H9962" i="9" s="1"/>
  <c r="F9963" i="9"/>
  <c r="H9963" i="9" s="1"/>
  <c r="F9964" i="9"/>
  <c r="H9964" i="9" s="1"/>
  <c r="F9965" i="9"/>
  <c r="H9965" i="9" s="1"/>
  <c r="F9966" i="9"/>
  <c r="H9966" i="9" s="1"/>
  <c r="F9967" i="9"/>
  <c r="H9967" i="9" s="1"/>
  <c r="F9968" i="9"/>
  <c r="H9968" i="9" s="1"/>
  <c r="F9969" i="9"/>
  <c r="H9969" i="9" s="1"/>
  <c r="F9970" i="9"/>
  <c r="H9970" i="9" s="1"/>
  <c r="F9971" i="9"/>
  <c r="H9971" i="9" s="1"/>
  <c r="F9972" i="9"/>
  <c r="H9972" i="9" s="1"/>
  <c r="F9973" i="9"/>
  <c r="H9973" i="9" s="1"/>
  <c r="F9974" i="9"/>
  <c r="H9974" i="9" s="1"/>
  <c r="F9975" i="9"/>
  <c r="H9975" i="9" s="1"/>
  <c r="F9976" i="9"/>
  <c r="H9976" i="9" s="1"/>
  <c r="F9977" i="9"/>
  <c r="H9977" i="9" s="1"/>
  <c r="F9978" i="9"/>
  <c r="H9978" i="9" s="1"/>
  <c r="F9979" i="9"/>
  <c r="H9979" i="9" s="1"/>
  <c r="F9980" i="9"/>
  <c r="H9980" i="9"/>
  <c r="F9981" i="9"/>
  <c r="H9981" i="9" s="1"/>
  <c r="F9982" i="9"/>
  <c r="H9982" i="9" s="1"/>
  <c r="F9983" i="9"/>
  <c r="H9983" i="9" s="1"/>
  <c r="F9984" i="9"/>
  <c r="H9984" i="9" s="1"/>
  <c r="F9985" i="9"/>
  <c r="H9985" i="9" s="1"/>
  <c r="F9986" i="9"/>
  <c r="H9986" i="9"/>
  <c r="F9987" i="9"/>
  <c r="H9987" i="9" s="1"/>
  <c r="F9988" i="9"/>
  <c r="H9988" i="9" s="1"/>
  <c r="F9989" i="9"/>
  <c r="H9989" i="9" s="1"/>
  <c r="F9990" i="9"/>
  <c r="H9990" i="9" s="1"/>
  <c r="F9991" i="9"/>
  <c r="H9991" i="9" s="1"/>
  <c r="F9992" i="9"/>
  <c r="H9992" i="9" s="1"/>
  <c r="F9993" i="9"/>
  <c r="H9993" i="9" s="1"/>
  <c r="F9994" i="9"/>
  <c r="H9994" i="9" s="1"/>
  <c r="F9995" i="9"/>
  <c r="H9995" i="9" s="1"/>
  <c r="F9996" i="9"/>
  <c r="H9996" i="9" s="1"/>
  <c r="F9997" i="9"/>
  <c r="H9997" i="9" s="1"/>
  <c r="F9998" i="9"/>
  <c r="H9998" i="9" s="1"/>
  <c r="F9999" i="9"/>
  <c r="H9999" i="9" s="1"/>
  <c r="F10000" i="9"/>
  <c r="H10000" i="9" s="1"/>
  <c r="F10001" i="9"/>
  <c r="H10001" i="9" s="1"/>
  <c r="F10002" i="9"/>
  <c r="H10002" i="9" s="1"/>
  <c r="F10003" i="9"/>
  <c r="H10003" i="9" s="1"/>
  <c r="F10004" i="9"/>
  <c r="H10004" i="9" s="1"/>
  <c r="F10005" i="9"/>
  <c r="H10005" i="9" s="1"/>
  <c r="F10006" i="9"/>
  <c r="H10006" i="9" s="1"/>
  <c r="F10007" i="9"/>
  <c r="H10007" i="9" s="1"/>
  <c r="F10008" i="9"/>
  <c r="H10008" i="9" s="1"/>
  <c r="F10009" i="9"/>
  <c r="H10009" i="9"/>
  <c r="F10010" i="9"/>
  <c r="H10010" i="9" s="1"/>
  <c r="F10011" i="9"/>
  <c r="H10011" i="9" s="1"/>
  <c r="F10012" i="9"/>
  <c r="H10012" i="9" s="1"/>
  <c r="F10013" i="9"/>
  <c r="H10013" i="9" s="1"/>
  <c r="F10014" i="9"/>
  <c r="H10014" i="9" s="1"/>
  <c r="F10015" i="9"/>
  <c r="H10015" i="9" s="1"/>
  <c r="F10016" i="9"/>
  <c r="H10016" i="9" s="1"/>
  <c r="F10017" i="9"/>
  <c r="H10017" i="9" s="1"/>
  <c r="F10018" i="9"/>
  <c r="H10018" i="9"/>
  <c r="F10019" i="9"/>
  <c r="H10019" i="9" s="1"/>
  <c r="F10020" i="9"/>
  <c r="H10020" i="9" s="1"/>
  <c r="F10021" i="9"/>
  <c r="H10021" i="9" s="1"/>
  <c r="F10022" i="9"/>
  <c r="H10022" i="9" s="1"/>
  <c r="F10023" i="9"/>
  <c r="H10023" i="9" s="1"/>
  <c r="F10024" i="9"/>
  <c r="H10024" i="9" s="1"/>
  <c r="F10025" i="9"/>
  <c r="H10025" i="9" s="1"/>
  <c r="F10026" i="9"/>
  <c r="H10026" i="9" s="1"/>
  <c r="F10027" i="9"/>
  <c r="H10027" i="9" s="1"/>
  <c r="F10028" i="9"/>
  <c r="H10028" i="9"/>
  <c r="F10029" i="9"/>
  <c r="H10029" i="9" s="1"/>
  <c r="F10030" i="9"/>
  <c r="H10030" i="9" s="1"/>
  <c r="F10031" i="9"/>
  <c r="H10031" i="9" s="1"/>
  <c r="F10032" i="9"/>
  <c r="H10032" i="9" s="1"/>
  <c r="F10033" i="9"/>
  <c r="H10033" i="9" s="1"/>
  <c r="F10034" i="9"/>
  <c r="H10034" i="9" s="1"/>
  <c r="F10035" i="9"/>
  <c r="H10035" i="9" s="1"/>
  <c r="F10036" i="9"/>
  <c r="H10036" i="9" s="1"/>
  <c r="F10037" i="9"/>
  <c r="H10037" i="9" s="1"/>
  <c r="F10038" i="9"/>
  <c r="H10038" i="9" s="1"/>
  <c r="F10039" i="9"/>
  <c r="H10039" i="9" s="1"/>
  <c r="F10040" i="9"/>
  <c r="H10040" i="9"/>
  <c r="F10041" i="9"/>
  <c r="H10041" i="9" s="1"/>
  <c r="F10042" i="9"/>
  <c r="H10042" i="9" s="1"/>
  <c r="F10043" i="9"/>
  <c r="H10043" i="9" s="1"/>
  <c r="F10044" i="9"/>
  <c r="H10044" i="9" s="1"/>
  <c r="F10045" i="9"/>
  <c r="H10045" i="9" s="1"/>
  <c r="F10046" i="9"/>
  <c r="H10046" i="9" s="1"/>
  <c r="F10047" i="9"/>
  <c r="H10047" i="9" s="1"/>
  <c r="F10048" i="9"/>
  <c r="H10048" i="9" s="1"/>
  <c r="F10049" i="9"/>
  <c r="H10049" i="9" s="1"/>
  <c r="F10050" i="9"/>
  <c r="H10050" i="9" s="1"/>
  <c r="F10051" i="9"/>
  <c r="H10051" i="9" s="1"/>
  <c r="F10052" i="9"/>
  <c r="H10052" i="9" s="1"/>
  <c r="F10053" i="9"/>
  <c r="H10053" i="9" s="1"/>
  <c r="F10054" i="9"/>
  <c r="H10054" i="9" s="1"/>
  <c r="F10055" i="9"/>
  <c r="H10055" i="9" s="1"/>
  <c r="F10056" i="9"/>
  <c r="H10056" i="9" s="1"/>
  <c r="F10057" i="9"/>
  <c r="H10057" i="9" s="1"/>
  <c r="F10058" i="9"/>
  <c r="H10058" i="9" s="1"/>
  <c r="F10059" i="9"/>
  <c r="H10059" i="9" s="1"/>
  <c r="F10060" i="9"/>
  <c r="H10060" i="9" s="1"/>
  <c r="F10061" i="9"/>
  <c r="H10061" i="9" s="1"/>
  <c r="F10062" i="9"/>
  <c r="H10062" i="9" s="1"/>
  <c r="F10063" i="9"/>
  <c r="H10063" i="9" s="1"/>
  <c r="F10064" i="9"/>
  <c r="H10064" i="9"/>
  <c r="F10065" i="9"/>
  <c r="H10065" i="9" s="1"/>
  <c r="F10066" i="9"/>
  <c r="H10066" i="9" s="1"/>
  <c r="F10067" i="9"/>
  <c r="H10067" i="9" s="1"/>
  <c r="F10068" i="9"/>
  <c r="H10068" i="9" s="1"/>
  <c r="F10069" i="9"/>
  <c r="H10069" i="9" s="1"/>
  <c r="F10070" i="9"/>
  <c r="H10070" i="9" s="1"/>
  <c r="F10071" i="9"/>
  <c r="H10071" i="9" s="1"/>
  <c r="F10072" i="9"/>
  <c r="H10072" i="9" s="1"/>
  <c r="F10073" i="9"/>
  <c r="H10073" i="9" s="1"/>
  <c r="F10074" i="9"/>
  <c r="H10074" i="9" s="1"/>
  <c r="F10075" i="9"/>
  <c r="H10075" i="9"/>
  <c r="F10076" i="9"/>
  <c r="H10076" i="9" s="1"/>
  <c r="F10077" i="9"/>
  <c r="H10077" i="9" s="1"/>
  <c r="F10078" i="9"/>
  <c r="H10078" i="9" s="1"/>
  <c r="F10079" i="9"/>
  <c r="H10079" i="9" s="1"/>
  <c r="F10080" i="9"/>
  <c r="H10080" i="9" s="1"/>
  <c r="F10081" i="9"/>
  <c r="H10081" i="9" s="1"/>
  <c r="F10082" i="9"/>
  <c r="H10082" i="9" s="1"/>
  <c r="F10083" i="9"/>
  <c r="H10083" i="9" s="1"/>
  <c r="F10084" i="9"/>
  <c r="H10084" i="9" s="1"/>
  <c r="F10085" i="9"/>
  <c r="H10085" i="9" s="1"/>
  <c r="F10086" i="9"/>
  <c r="H10086" i="9" s="1"/>
  <c r="F10087" i="9"/>
  <c r="H10087" i="9" s="1"/>
  <c r="F10088" i="9"/>
  <c r="H10088" i="9" s="1"/>
  <c r="F10089" i="9"/>
  <c r="H10089" i="9" s="1"/>
  <c r="F10090" i="9"/>
  <c r="H10090" i="9" s="1"/>
  <c r="F10091" i="9"/>
  <c r="H10091" i="9" s="1"/>
  <c r="F10092" i="9"/>
  <c r="H10092" i="9" s="1"/>
  <c r="F10093" i="9"/>
  <c r="H10093" i="9" s="1"/>
  <c r="F10094" i="9"/>
  <c r="H10094" i="9" s="1"/>
  <c r="F10095" i="9"/>
  <c r="H10095" i="9"/>
  <c r="F10096" i="9"/>
  <c r="H10096" i="9" s="1"/>
  <c r="F10097" i="9"/>
  <c r="H10097" i="9" s="1"/>
  <c r="F10098" i="9"/>
  <c r="H10098" i="9" s="1"/>
  <c r="F10099" i="9"/>
  <c r="H10099" i="9" s="1"/>
  <c r="F10100" i="9"/>
  <c r="H10100" i="9" s="1"/>
  <c r="F10101" i="9"/>
  <c r="H10101" i="9" s="1"/>
  <c r="F10102" i="9"/>
  <c r="H10102" i="9"/>
  <c r="F10103" i="9"/>
  <c r="H10103" i="9" s="1"/>
  <c r="F10104" i="9"/>
  <c r="H10104" i="9" s="1"/>
  <c r="F10105" i="9"/>
  <c r="H10105" i="9" s="1"/>
  <c r="F10106" i="9"/>
  <c r="H10106" i="9" s="1"/>
  <c r="F10107" i="9"/>
  <c r="H10107" i="9" s="1"/>
  <c r="F10108" i="9"/>
  <c r="H10108" i="9" s="1"/>
  <c r="F10109" i="9"/>
  <c r="H10109" i="9" s="1"/>
  <c r="F10110" i="9"/>
  <c r="H10110" i="9" s="1"/>
  <c r="F10111" i="9"/>
  <c r="H10111" i="9" s="1"/>
  <c r="F10112" i="9"/>
  <c r="H10112" i="9" s="1"/>
  <c r="F10113" i="9"/>
  <c r="H10113" i="9" s="1"/>
  <c r="F10114" i="9"/>
  <c r="H10114" i="9" s="1"/>
  <c r="F10115" i="9"/>
  <c r="H10115" i="9" s="1"/>
  <c r="F10116" i="9"/>
  <c r="H10116" i="9" s="1"/>
  <c r="F10117" i="9"/>
  <c r="H10117" i="9" s="1"/>
  <c r="F10118" i="9"/>
  <c r="H10118" i="9" s="1"/>
  <c r="F10119" i="9"/>
  <c r="H10119" i="9" s="1"/>
  <c r="F10120" i="9"/>
  <c r="H10120" i="9" s="1"/>
  <c r="F10121" i="9"/>
  <c r="H10121" i="9" s="1"/>
  <c r="F10122" i="9"/>
  <c r="H10122" i="9" s="1"/>
  <c r="F10123" i="9"/>
  <c r="H10123" i="9" s="1"/>
  <c r="F10124" i="9"/>
  <c r="H10124" i="9"/>
  <c r="F10125" i="9"/>
  <c r="H10125" i="9" s="1"/>
  <c r="F10126" i="9"/>
  <c r="H10126" i="9" s="1"/>
  <c r="F10127" i="9"/>
  <c r="H10127" i="9" s="1"/>
  <c r="F10128" i="9"/>
  <c r="H10128" i="9" s="1"/>
  <c r="F10129" i="9"/>
  <c r="H10129" i="9" s="1"/>
  <c r="F10130" i="9"/>
  <c r="H10130" i="9" s="1"/>
  <c r="F10131" i="9"/>
  <c r="H10131" i="9" s="1"/>
  <c r="F10132" i="9"/>
  <c r="H10132" i="9" s="1"/>
  <c r="F10133" i="9"/>
  <c r="H10133" i="9" s="1"/>
  <c r="F10134" i="9"/>
  <c r="H10134" i="9" s="1"/>
  <c r="F10135" i="9"/>
  <c r="H10135" i="9" s="1"/>
  <c r="F10136" i="9"/>
  <c r="H10136" i="9" s="1"/>
  <c r="F10137" i="9"/>
  <c r="H10137" i="9" s="1"/>
  <c r="F10138" i="9"/>
  <c r="H10138" i="9" s="1"/>
  <c r="F10139" i="9"/>
  <c r="H10139" i="9" s="1"/>
  <c r="F10140" i="9"/>
  <c r="H10140" i="9" s="1"/>
  <c r="F10141" i="9"/>
  <c r="H10141" i="9" s="1"/>
  <c r="F10142" i="9"/>
  <c r="H10142" i="9" s="1"/>
  <c r="F10143" i="9"/>
  <c r="H10143" i="9" s="1"/>
  <c r="F10144" i="9"/>
  <c r="H10144" i="9" s="1"/>
  <c r="F10145" i="9"/>
  <c r="H10145" i="9" s="1"/>
  <c r="F10146" i="9"/>
  <c r="H10146" i="9" s="1"/>
  <c r="F10147" i="9"/>
  <c r="H10147" i="9" s="1"/>
  <c r="F10148" i="9"/>
  <c r="H10148" i="9"/>
  <c r="F10149" i="9"/>
  <c r="H10149" i="9" s="1"/>
  <c r="F10150" i="9"/>
  <c r="H10150" i="9" s="1"/>
  <c r="F10151" i="9"/>
  <c r="H10151" i="9" s="1"/>
  <c r="F10152" i="9"/>
  <c r="H10152" i="9" s="1"/>
  <c r="F10153" i="9"/>
  <c r="H10153" i="9" s="1"/>
  <c r="F10154" i="9"/>
  <c r="H10154" i="9" s="1"/>
  <c r="F10155" i="9"/>
  <c r="H10155" i="9" s="1"/>
  <c r="F10156" i="9"/>
  <c r="H10156" i="9" s="1"/>
  <c r="F10157" i="9"/>
  <c r="H10157" i="9" s="1"/>
  <c r="F10158" i="9"/>
  <c r="H10158" i="9" s="1"/>
  <c r="F10159" i="9"/>
  <c r="H10159" i="9" s="1"/>
  <c r="F10160" i="9"/>
  <c r="H10160" i="9" s="1"/>
  <c r="F10161" i="9"/>
  <c r="H10161" i="9" s="1"/>
  <c r="F10162" i="9"/>
  <c r="H10162" i="9" s="1"/>
  <c r="F10163" i="9"/>
  <c r="H10163" i="9" s="1"/>
  <c r="F10164" i="9"/>
  <c r="H10164" i="9" s="1"/>
  <c r="F10165" i="9"/>
  <c r="H10165" i="9" s="1"/>
  <c r="F10166" i="9"/>
  <c r="H10166" i="9"/>
  <c r="F10167" i="9"/>
  <c r="H10167" i="9" s="1"/>
  <c r="F10168" i="9"/>
  <c r="H10168" i="9" s="1"/>
  <c r="F10169" i="9"/>
  <c r="H10169" i="9" s="1"/>
  <c r="F10170" i="9"/>
  <c r="H10170" i="9" s="1"/>
  <c r="F10171" i="9"/>
  <c r="H10171" i="9" s="1"/>
  <c r="F10172" i="9"/>
  <c r="H10172" i="9" s="1"/>
  <c r="F10173" i="9"/>
  <c r="H10173" i="9" s="1"/>
  <c r="F10174" i="9"/>
  <c r="H10174" i="9" s="1"/>
  <c r="F10175" i="9"/>
  <c r="H10175" i="9" s="1"/>
  <c r="F10176" i="9"/>
  <c r="H10176" i="9" s="1"/>
  <c r="F10177" i="9"/>
  <c r="H10177" i="9" s="1"/>
  <c r="F10178" i="9"/>
  <c r="H10178" i="9" s="1"/>
  <c r="F10179" i="9"/>
  <c r="H10179" i="9" s="1"/>
  <c r="F10180" i="9"/>
  <c r="H10180" i="9" s="1"/>
  <c r="F10181" i="9"/>
  <c r="H10181" i="9" s="1"/>
  <c r="F10182" i="9"/>
  <c r="H10182" i="9" s="1"/>
  <c r="F10183" i="9"/>
  <c r="H10183" i="9" s="1"/>
  <c r="F10184" i="9"/>
  <c r="H10184" i="9" s="1"/>
  <c r="F10185" i="9"/>
  <c r="H10185" i="9" s="1"/>
  <c r="F10186" i="9"/>
  <c r="H10186" i="9" s="1"/>
  <c r="F10187" i="9"/>
  <c r="H10187" i="9" s="1"/>
  <c r="F10188" i="9"/>
  <c r="H10188" i="9" s="1"/>
  <c r="F10189" i="9"/>
  <c r="H10189" i="9" s="1"/>
  <c r="F10190" i="9"/>
  <c r="H10190" i="9" s="1"/>
  <c r="F10191" i="9"/>
  <c r="H10191" i="9" s="1"/>
  <c r="F10192" i="9"/>
  <c r="H10192" i="9" s="1"/>
  <c r="F10193" i="9"/>
  <c r="H10193" i="9" s="1"/>
  <c r="F10194" i="9"/>
  <c r="H10194" i="9" s="1"/>
  <c r="F10195" i="9"/>
  <c r="H10195" i="9" s="1"/>
  <c r="F10196" i="9"/>
  <c r="H10196" i="9" s="1"/>
  <c r="F10197" i="9"/>
  <c r="H10197" i="9" s="1"/>
  <c r="F10198" i="9"/>
  <c r="H10198" i="9" s="1"/>
  <c r="F10199" i="9"/>
  <c r="H10199" i="9" s="1"/>
  <c r="F10200" i="9"/>
  <c r="H10200" i="9" s="1"/>
  <c r="F10201" i="9"/>
  <c r="H10201" i="9" s="1"/>
  <c r="F10202" i="9"/>
  <c r="H10202" i="9" s="1"/>
  <c r="F10203" i="9"/>
  <c r="H10203" i="9" s="1"/>
  <c r="F10204" i="9"/>
  <c r="H10204" i="9" s="1"/>
  <c r="F10205" i="9"/>
  <c r="H10205" i="9" s="1"/>
  <c r="F10206" i="9"/>
  <c r="H10206" i="9" s="1"/>
  <c r="F10207" i="9"/>
  <c r="H10207" i="9" s="1"/>
  <c r="F10208" i="9"/>
  <c r="H10208" i="9" s="1"/>
  <c r="F10209" i="9"/>
  <c r="H10209" i="9" s="1"/>
  <c r="F10210" i="9"/>
  <c r="H10210" i="9" s="1"/>
  <c r="F10211" i="9"/>
  <c r="H10211" i="9" s="1"/>
  <c r="F10212" i="9"/>
  <c r="H10212" i="9" s="1"/>
  <c r="F10213" i="9"/>
  <c r="H10213" i="9" s="1"/>
  <c r="F10214" i="9"/>
  <c r="H10214" i="9" s="1"/>
  <c r="F10215" i="9"/>
  <c r="H10215" i="9" s="1"/>
  <c r="F10216" i="9"/>
  <c r="H10216" i="9" s="1"/>
  <c r="F10217" i="9"/>
  <c r="H10217" i="9" s="1"/>
  <c r="F10218" i="9"/>
  <c r="H10218" i="9" s="1"/>
  <c r="F10219" i="9"/>
  <c r="H10219" i="9" s="1"/>
  <c r="F10220" i="9"/>
  <c r="H10220" i="9" s="1"/>
  <c r="F10221" i="9"/>
  <c r="H10221" i="9" s="1"/>
  <c r="F10222" i="9"/>
  <c r="H10222" i="9"/>
  <c r="F10223" i="9"/>
  <c r="H10223" i="9" s="1"/>
  <c r="F10224" i="9"/>
  <c r="H10224" i="9" s="1"/>
  <c r="F10225" i="9"/>
  <c r="H10225" i="9"/>
  <c r="F10226" i="9"/>
  <c r="H10226" i="9" s="1"/>
  <c r="F10227" i="9"/>
  <c r="H10227" i="9" s="1"/>
  <c r="F10228" i="9"/>
  <c r="H10228" i="9" s="1"/>
  <c r="F10229" i="9"/>
  <c r="H10229" i="9" s="1"/>
  <c r="F10230" i="9"/>
  <c r="H10230" i="9" s="1"/>
  <c r="F10231" i="9"/>
  <c r="H10231" i="9" s="1"/>
  <c r="F10232" i="9"/>
  <c r="H10232" i="9"/>
  <c r="F10233" i="9"/>
  <c r="H10233" i="9" s="1"/>
  <c r="F10234" i="9"/>
  <c r="H10234" i="9" s="1"/>
  <c r="F10235" i="9"/>
  <c r="H10235" i="9" s="1"/>
  <c r="F10236" i="9"/>
  <c r="H10236" i="9" s="1"/>
  <c r="F10237" i="9"/>
  <c r="H10237" i="9" s="1"/>
  <c r="F10238" i="9"/>
  <c r="H10238" i="9" s="1"/>
  <c r="F10239" i="9"/>
  <c r="H10239" i="9" s="1"/>
  <c r="F10240" i="9"/>
  <c r="H10240" i="9"/>
  <c r="F10241" i="9"/>
  <c r="H10241" i="9" s="1"/>
  <c r="F10242" i="9"/>
  <c r="H10242" i="9" s="1"/>
  <c r="F10243" i="9"/>
  <c r="H10243" i="9" s="1"/>
  <c r="F10244" i="9"/>
  <c r="H10244" i="9" s="1"/>
  <c r="F10245" i="9"/>
  <c r="H10245" i="9" s="1"/>
  <c r="F10246" i="9"/>
  <c r="H10246" i="9" s="1"/>
  <c r="F10247" i="9"/>
  <c r="H10247" i="9" s="1"/>
  <c r="F10248" i="9"/>
  <c r="H10248" i="9" s="1"/>
  <c r="F10249" i="9"/>
  <c r="H10249" i="9" s="1"/>
  <c r="F10250" i="9"/>
  <c r="H10250" i="9" s="1"/>
  <c r="F10251" i="9"/>
  <c r="H10251" i="9" s="1"/>
  <c r="F10252" i="9"/>
  <c r="H10252" i="9" s="1"/>
  <c r="F10253" i="9"/>
  <c r="H10253" i="9" s="1"/>
  <c r="F10254" i="9"/>
  <c r="H10254" i="9" s="1"/>
  <c r="F10255" i="9"/>
  <c r="H10255" i="9" s="1"/>
  <c r="F10256" i="9"/>
  <c r="H10256" i="9" s="1"/>
  <c r="F10257" i="9"/>
  <c r="H10257" i="9" s="1"/>
  <c r="F10258" i="9"/>
  <c r="H10258" i="9" s="1"/>
  <c r="F10259" i="9"/>
  <c r="H10259" i="9" s="1"/>
  <c r="F10260" i="9"/>
  <c r="H10260" i="9" s="1"/>
  <c r="F10261" i="9"/>
  <c r="H10261" i="9" s="1"/>
  <c r="F10262" i="9"/>
  <c r="H10262" i="9" s="1"/>
  <c r="F10263" i="9"/>
  <c r="H10263" i="9" s="1"/>
  <c r="F10264" i="9"/>
  <c r="H10264" i="9" s="1"/>
  <c r="F10265" i="9"/>
  <c r="H10265" i="9" s="1"/>
  <c r="F10266" i="9"/>
  <c r="H10266" i="9" s="1"/>
  <c r="F10267" i="9"/>
  <c r="H10267" i="9" s="1"/>
  <c r="F10268" i="9"/>
  <c r="H10268" i="9" s="1"/>
  <c r="F10269" i="9"/>
  <c r="H10269" i="9" s="1"/>
  <c r="F10270" i="9"/>
  <c r="H10270" i="9" s="1"/>
  <c r="F10271" i="9"/>
  <c r="H10271" i="9" s="1"/>
  <c r="F10272" i="9"/>
  <c r="H10272" i="9" s="1"/>
  <c r="F10273" i="9"/>
  <c r="H10273" i="9" s="1"/>
  <c r="F10274" i="9"/>
  <c r="H10274" i="9" s="1"/>
  <c r="F10275" i="9"/>
  <c r="H10275" i="9" s="1"/>
  <c r="F10276" i="9"/>
  <c r="H10276" i="9" s="1"/>
  <c r="F10277" i="9"/>
  <c r="H10277" i="9" s="1"/>
  <c r="F10278" i="9"/>
  <c r="H10278" i="9" s="1"/>
  <c r="F10279" i="9"/>
  <c r="H10279" i="9" s="1"/>
  <c r="F10280" i="9"/>
  <c r="H10280" i="9" s="1"/>
  <c r="F10281" i="9"/>
  <c r="H10281" i="9" s="1"/>
  <c r="F10282" i="9"/>
  <c r="H10282" i="9" s="1"/>
  <c r="F10283" i="9"/>
  <c r="H10283" i="9" s="1"/>
  <c r="F10284" i="9"/>
  <c r="H10284" i="9" s="1"/>
  <c r="F10285" i="9"/>
  <c r="H10285" i="9" s="1"/>
  <c r="F10286" i="9"/>
  <c r="H10286" i="9"/>
  <c r="F10287" i="9"/>
  <c r="H10287" i="9" s="1"/>
  <c r="F10288" i="9"/>
  <c r="H10288" i="9" s="1"/>
  <c r="F10289" i="9"/>
  <c r="H10289" i="9" s="1"/>
  <c r="F10290" i="9"/>
  <c r="H10290" i="9" s="1"/>
  <c r="F10291" i="9"/>
  <c r="H10291" i="9" s="1"/>
  <c r="F10292" i="9"/>
  <c r="H10292" i="9"/>
  <c r="F10293" i="9"/>
  <c r="H10293" i="9" s="1"/>
  <c r="F10294" i="9"/>
  <c r="H10294" i="9"/>
  <c r="F10295" i="9"/>
  <c r="H10295" i="9" s="1"/>
  <c r="F10296" i="9"/>
  <c r="H10296" i="9" s="1"/>
  <c r="F10297" i="9"/>
  <c r="H10297" i="9"/>
  <c r="F10298" i="9"/>
  <c r="H10298" i="9" s="1"/>
  <c r="F10299" i="9"/>
  <c r="H10299" i="9" s="1"/>
  <c r="F10300" i="9"/>
  <c r="H10300" i="9" s="1"/>
  <c r="F10301" i="9"/>
  <c r="H10301" i="9" s="1"/>
  <c r="F10302" i="9"/>
  <c r="H10302" i="9" s="1"/>
  <c r="F10303" i="9"/>
  <c r="H10303" i="9" s="1"/>
  <c r="F10304" i="9"/>
  <c r="H10304" i="9" s="1"/>
  <c r="F10305" i="9"/>
  <c r="H10305" i="9" s="1"/>
  <c r="F10306" i="9"/>
  <c r="H10306" i="9" s="1"/>
  <c r="F10307" i="9"/>
  <c r="H10307" i="9" s="1"/>
  <c r="F10308" i="9"/>
  <c r="H10308" i="9" s="1"/>
  <c r="F10309" i="9"/>
  <c r="H10309" i="9" s="1"/>
  <c r="F10310" i="9"/>
  <c r="H10310" i="9" s="1"/>
  <c r="F10311" i="9"/>
  <c r="H10311" i="9" s="1"/>
  <c r="F10312" i="9"/>
  <c r="H10312" i="9" s="1"/>
  <c r="F10313" i="9"/>
  <c r="H10313" i="9" s="1"/>
  <c r="F10314" i="9"/>
  <c r="H10314" i="9" s="1"/>
  <c r="F10315" i="9"/>
  <c r="H10315" i="9" s="1"/>
  <c r="F10316" i="9"/>
  <c r="H10316" i="9"/>
  <c r="F10317" i="9"/>
  <c r="H10317" i="9" s="1"/>
  <c r="F10318" i="9"/>
  <c r="H10318" i="9" s="1"/>
  <c r="F10319" i="9"/>
  <c r="H10319" i="9" s="1"/>
  <c r="F10320" i="9"/>
  <c r="H10320" i="9" s="1"/>
  <c r="F10321" i="9"/>
  <c r="H10321" i="9" s="1"/>
  <c r="F10322" i="9"/>
  <c r="H10322" i="9" s="1"/>
  <c r="F10323" i="9"/>
  <c r="H10323" i="9" s="1"/>
  <c r="F10324" i="9"/>
  <c r="H10324" i="9" s="1"/>
  <c r="F10325" i="9"/>
  <c r="H10325" i="9" s="1"/>
  <c r="F10326" i="9"/>
  <c r="H10326" i="9" s="1"/>
  <c r="F10327" i="9"/>
  <c r="H10327" i="9" s="1"/>
  <c r="F10328" i="9"/>
  <c r="H10328" i="9" s="1"/>
  <c r="F10329" i="9"/>
  <c r="H10329" i="9" s="1"/>
  <c r="F10330" i="9"/>
  <c r="H10330" i="9" s="1"/>
  <c r="F10331" i="9"/>
  <c r="H10331" i="9" s="1"/>
  <c r="F10332" i="9"/>
  <c r="H10332" i="9" s="1"/>
  <c r="F10333" i="9"/>
  <c r="H10333" i="9" s="1"/>
  <c r="F10334" i="9"/>
  <c r="H10334" i="9"/>
  <c r="F10335" i="9"/>
  <c r="H10335" i="9" s="1"/>
  <c r="F10336" i="9"/>
  <c r="H10336" i="9"/>
  <c r="F10337" i="9"/>
  <c r="H10337" i="9" s="1"/>
  <c r="F10338" i="9"/>
  <c r="H10338" i="9" s="1"/>
  <c r="F10339" i="9"/>
  <c r="H10339" i="9" s="1"/>
  <c r="F10340" i="9"/>
  <c r="H10340" i="9" s="1"/>
  <c r="F10341" i="9"/>
  <c r="H10341" i="9" s="1"/>
  <c r="F10342" i="9"/>
  <c r="H10342" i="9" s="1"/>
  <c r="F10343" i="9"/>
  <c r="H10343" i="9" s="1"/>
  <c r="F10344" i="9"/>
  <c r="H10344" i="9" s="1"/>
  <c r="F10345" i="9"/>
  <c r="H10345" i="9" s="1"/>
  <c r="F10346" i="9"/>
  <c r="H10346" i="9" s="1"/>
  <c r="F10347" i="9"/>
  <c r="H10347" i="9" s="1"/>
  <c r="F10348" i="9"/>
  <c r="H10348" i="9" s="1"/>
  <c r="F10349" i="9"/>
  <c r="H10349" i="9" s="1"/>
  <c r="F10350" i="9"/>
  <c r="H10350" i="9" s="1"/>
  <c r="F10351" i="9"/>
  <c r="H10351" i="9" s="1"/>
  <c r="F10352" i="9"/>
  <c r="H10352" i="9" s="1"/>
  <c r="F10353" i="9"/>
  <c r="H10353" i="9" s="1"/>
  <c r="F10354" i="9"/>
  <c r="H10354" i="9" s="1"/>
  <c r="F10355" i="9"/>
  <c r="H10355" i="9" s="1"/>
  <c r="F10356" i="9"/>
  <c r="H10356" i="9" s="1"/>
  <c r="F10357" i="9"/>
  <c r="H10357" i="9" s="1"/>
  <c r="F10358" i="9"/>
  <c r="H10358" i="9" s="1"/>
  <c r="F10359" i="9"/>
  <c r="H10359" i="9" s="1"/>
  <c r="F10360" i="9"/>
  <c r="H10360" i="9"/>
  <c r="F10361" i="9"/>
  <c r="H10361" i="9" s="1"/>
  <c r="F10362" i="9"/>
  <c r="H10362" i="9" s="1"/>
  <c r="F10363" i="9"/>
  <c r="H10363" i="9" s="1"/>
  <c r="F10364" i="9"/>
  <c r="H10364" i="9" s="1"/>
  <c r="F10365" i="9"/>
  <c r="H10365" i="9" s="1"/>
  <c r="F10366" i="9"/>
  <c r="H10366" i="9" s="1"/>
  <c r="F10367" i="9"/>
  <c r="H10367" i="9" s="1"/>
  <c r="F10368" i="9"/>
  <c r="H10368" i="9" s="1"/>
  <c r="F10369" i="9"/>
  <c r="H10369" i="9" s="1"/>
  <c r="F10370" i="9"/>
  <c r="H10370" i="9" s="1"/>
  <c r="F10371" i="9"/>
  <c r="H10371" i="9" s="1"/>
  <c r="F10372" i="9"/>
  <c r="H10372" i="9" s="1"/>
  <c r="F10373" i="9"/>
  <c r="H10373" i="9" s="1"/>
  <c r="F10374" i="9"/>
  <c r="H10374" i="9" s="1"/>
  <c r="F10375" i="9"/>
  <c r="H10375" i="9" s="1"/>
  <c r="F10376" i="9"/>
  <c r="H10376" i="9" s="1"/>
  <c r="F10377" i="9"/>
  <c r="H10377" i="9" s="1"/>
  <c r="F10378" i="9"/>
  <c r="H10378" i="9" s="1"/>
  <c r="F10379" i="9"/>
  <c r="H10379" i="9" s="1"/>
  <c r="F10380" i="9"/>
  <c r="H10380" i="9" s="1"/>
  <c r="F10381" i="9"/>
  <c r="H10381" i="9" s="1"/>
  <c r="F10382" i="9"/>
  <c r="H10382" i="9" s="1"/>
  <c r="F10383" i="9"/>
  <c r="H10383" i="9" s="1"/>
  <c r="F10384" i="9"/>
  <c r="H10384" i="9" s="1"/>
  <c r="F10385" i="9"/>
  <c r="H10385" i="9" s="1"/>
  <c r="F10386" i="9"/>
  <c r="H10386" i="9" s="1"/>
  <c r="F10387" i="9"/>
  <c r="H10387" i="9" s="1"/>
  <c r="F10388" i="9"/>
  <c r="H10388" i="9" s="1"/>
  <c r="F10389" i="9"/>
  <c r="H10389" i="9" s="1"/>
  <c r="F10390" i="9"/>
  <c r="H10390" i="9" s="1"/>
  <c r="F10391" i="9"/>
  <c r="H10391" i="9" s="1"/>
  <c r="F10392" i="9"/>
  <c r="H10392" i="9" s="1"/>
  <c r="F10393" i="9"/>
  <c r="H10393" i="9" s="1"/>
  <c r="F10394" i="9"/>
  <c r="H10394" i="9" s="1"/>
  <c r="F10395" i="9"/>
  <c r="H10395" i="9" s="1"/>
  <c r="F10396" i="9"/>
  <c r="H10396" i="9" s="1"/>
  <c r="F10397" i="9"/>
  <c r="H10397" i="9" s="1"/>
  <c r="F10398" i="9"/>
  <c r="H10398" i="9" s="1"/>
  <c r="F10399" i="9"/>
  <c r="H10399" i="9" s="1"/>
  <c r="F10400" i="9"/>
  <c r="H10400" i="9"/>
  <c r="F10401" i="9"/>
  <c r="H10401" i="9" s="1"/>
  <c r="F10402" i="9"/>
  <c r="H10402" i="9" s="1"/>
  <c r="F10403" i="9"/>
  <c r="H10403" i="9" s="1"/>
  <c r="F10404" i="9"/>
  <c r="H10404" i="9" s="1"/>
  <c r="F10405" i="9"/>
  <c r="H10405" i="9" s="1"/>
  <c r="F10406" i="9"/>
  <c r="H10406" i="9" s="1"/>
  <c r="F10407" i="9"/>
  <c r="H10407" i="9" s="1"/>
  <c r="F10408" i="9"/>
  <c r="H10408" i="9" s="1"/>
  <c r="F10409" i="9"/>
  <c r="H10409" i="9" s="1"/>
  <c r="F10410" i="9"/>
  <c r="H10410" i="9" s="1"/>
  <c r="F10411" i="9"/>
  <c r="H10411" i="9" s="1"/>
  <c r="F10412" i="9"/>
  <c r="H10412" i="9" s="1"/>
  <c r="F10413" i="9"/>
  <c r="H10413" i="9" s="1"/>
  <c r="F10414" i="9"/>
  <c r="H10414" i="9" s="1"/>
  <c r="F10415" i="9"/>
  <c r="H10415" i="9" s="1"/>
  <c r="F10416" i="9"/>
  <c r="H10416" i="9" s="1"/>
  <c r="F10417" i="9"/>
  <c r="H10417" i="9" s="1"/>
  <c r="F10418" i="9"/>
  <c r="H10418" i="9" s="1"/>
  <c r="F10419" i="9"/>
  <c r="H10419" i="9" s="1"/>
  <c r="F10420" i="9"/>
  <c r="H10420" i="9" s="1"/>
  <c r="F10421" i="9"/>
  <c r="H10421" i="9" s="1"/>
  <c r="F10422" i="9"/>
  <c r="H10422" i="9" s="1"/>
  <c r="F10423" i="9"/>
  <c r="H10423" i="9" s="1"/>
  <c r="F10424" i="9"/>
  <c r="H10424" i="9" s="1"/>
  <c r="F10425" i="9"/>
  <c r="H10425" i="9" s="1"/>
  <c r="F10426" i="9"/>
  <c r="H10426" i="9" s="1"/>
  <c r="F10427" i="9"/>
  <c r="H10427" i="9" s="1"/>
  <c r="F10428" i="9"/>
  <c r="H10428" i="9" s="1"/>
  <c r="F10429" i="9"/>
  <c r="H10429" i="9" s="1"/>
  <c r="F10430" i="9"/>
  <c r="H10430" i="9" s="1"/>
  <c r="F10431" i="9"/>
  <c r="H10431" i="9" s="1"/>
  <c r="F10432" i="9"/>
  <c r="H10432" i="9" s="1"/>
  <c r="F10433" i="9"/>
  <c r="H10433" i="9"/>
  <c r="F10434" i="9"/>
  <c r="H10434" i="9" s="1"/>
  <c r="F10435" i="9"/>
  <c r="H10435" i="9" s="1"/>
  <c r="F10436" i="9"/>
  <c r="H10436" i="9" s="1"/>
  <c r="F10437" i="9"/>
  <c r="H10437" i="9" s="1"/>
  <c r="F10438" i="9"/>
  <c r="H10438" i="9" s="1"/>
  <c r="F10439" i="9"/>
  <c r="H10439" i="9" s="1"/>
  <c r="F10440" i="9"/>
  <c r="H10440" i="9" s="1"/>
  <c r="F10441" i="9"/>
  <c r="H10441" i="9" s="1"/>
  <c r="F10442" i="9"/>
  <c r="H10442" i="9" s="1"/>
  <c r="F10443" i="9"/>
  <c r="H10443" i="9" s="1"/>
  <c r="F10444" i="9"/>
  <c r="H10444" i="9" s="1"/>
  <c r="F10445" i="9"/>
  <c r="H10445" i="9" s="1"/>
  <c r="F10446" i="9"/>
  <c r="H10446" i="9" s="1"/>
  <c r="F10447" i="9"/>
  <c r="H10447" i="9" s="1"/>
  <c r="F10448" i="9"/>
  <c r="H10448" i="9" s="1"/>
  <c r="F10449" i="9"/>
  <c r="H10449" i="9" s="1"/>
  <c r="F10450" i="9"/>
  <c r="H10450" i="9" s="1"/>
  <c r="F10451" i="9"/>
  <c r="H10451" i="9" s="1"/>
  <c r="F10452" i="9"/>
  <c r="H10452" i="9" s="1"/>
  <c r="F10453" i="9"/>
  <c r="H10453" i="9" s="1"/>
  <c r="F10454" i="9"/>
  <c r="H10454" i="9" s="1"/>
  <c r="F10455" i="9"/>
  <c r="H10455" i="9" s="1"/>
  <c r="F10456" i="9"/>
  <c r="H10456" i="9" s="1"/>
  <c r="F10457" i="9"/>
  <c r="H10457" i="9" s="1"/>
  <c r="F10458" i="9"/>
  <c r="H10458" i="9" s="1"/>
  <c r="F10459" i="9"/>
  <c r="H10459" i="9" s="1"/>
  <c r="F10460" i="9"/>
  <c r="H10460" i="9" s="1"/>
  <c r="F10461" i="9"/>
  <c r="H10461" i="9" s="1"/>
  <c r="F10462" i="9"/>
  <c r="H10462" i="9" s="1"/>
  <c r="F10463" i="9"/>
  <c r="H10463" i="9" s="1"/>
  <c r="F10464" i="9"/>
  <c r="H10464" i="9" s="1"/>
  <c r="F10465" i="9"/>
  <c r="H10465" i="9" s="1"/>
  <c r="F10466" i="9"/>
  <c r="H10466" i="9" s="1"/>
  <c r="F10467" i="9"/>
  <c r="H10467" i="9" s="1"/>
  <c r="F10468" i="9"/>
  <c r="H10468" i="9"/>
  <c r="F10469" i="9"/>
  <c r="H10469" i="9" s="1"/>
  <c r="F10470" i="9"/>
  <c r="H10470" i="9" s="1"/>
  <c r="F10471" i="9"/>
  <c r="H10471" i="9" s="1"/>
  <c r="F10472" i="9"/>
  <c r="H10472" i="9"/>
  <c r="F10473" i="9"/>
  <c r="H10473" i="9"/>
  <c r="F10474" i="9"/>
  <c r="H10474" i="9" s="1"/>
  <c r="F10475" i="9"/>
  <c r="H10475" i="9" s="1"/>
  <c r="F10476" i="9"/>
  <c r="H10476" i="9" s="1"/>
  <c r="F10477" i="9"/>
  <c r="H10477" i="9" s="1"/>
  <c r="F10478" i="9"/>
  <c r="H10478" i="9" s="1"/>
  <c r="F10479" i="9"/>
  <c r="H10479" i="9" s="1"/>
  <c r="F10480" i="9"/>
  <c r="H10480" i="9" s="1"/>
  <c r="F10481" i="9"/>
  <c r="H10481" i="9" s="1"/>
  <c r="F10482" i="9"/>
  <c r="H10482" i="9" s="1"/>
  <c r="F10483" i="9"/>
  <c r="H10483" i="9" s="1"/>
  <c r="F10484" i="9"/>
  <c r="H10484" i="9" s="1"/>
  <c r="F10485" i="9"/>
  <c r="H10485" i="9" s="1"/>
  <c r="F10486" i="9"/>
  <c r="H10486" i="9"/>
  <c r="F10487" i="9"/>
  <c r="H10487" i="9" s="1"/>
  <c r="F10488" i="9"/>
  <c r="H10488" i="9" s="1"/>
  <c r="F10489" i="9"/>
  <c r="H10489" i="9" s="1"/>
  <c r="F10490" i="9"/>
  <c r="H10490" i="9" s="1"/>
  <c r="F10491" i="9"/>
  <c r="H10491" i="9" s="1"/>
  <c r="F10492" i="9"/>
  <c r="H10492" i="9" s="1"/>
  <c r="F10493" i="9"/>
  <c r="H10493" i="9" s="1"/>
  <c r="F10494" i="9"/>
  <c r="H10494" i="9" s="1"/>
  <c r="F10495" i="9"/>
  <c r="H10495" i="9" s="1"/>
  <c r="F10496" i="9"/>
  <c r="H10496" i="9" s="1"/>
  <c r="F10497" i="9"/>
  <c r="H10497" i="9" s="1"/>
  <c r="F10498" i="9"/>
  <c r="H10498" i="9" s="1"/>
  <c r="F10499" i="9"/>
  <c r="H10499" i="9" s="1"/>
  <c r="F10500" i="9"/>
  <c r="H10500" i="9" s="1"/>
  <c r="F10501" i="9"/>
  <c r="H10501" i="9" s="1"/>
  <c r="F10502" i="9"/>
  <c r="H10502" i="9" s="1"/>
  <c r="F10503" i="9"/>
  <c r="H10503" i="9" s="1"/>
  <c r="F10504" i="9"/>
  <c r="H10504" i="9" s="1"/>
  <c r="F10505" i="9"/>
  <c r="H10505" i="9" s="1"/>
  <c r="F10506" i="9"/>
  <c r="H10506" i="9" s="1"/>
  <c r="F10507" i="9"/>
  <c r="H10507" i="9" s="1"/>
  <c r="F10508" i="9"/>
  <c r="H10508" i="9" s="1"/>
  <c r="F10509" i="9"/>
  <c r="H10509" i="9" s="1"/>
  <c r="F10510" i="9"/>
  <c r="H10510" i="9" s="1"/>
  <c r="F10511" i="9"/>
  <c r="H10511" i="9" s="1"/>
  <c r="F10512" i="9"/>
  <c r="H10512" i="9" s="1"/>
  <c r="F10513" i="9"/>
  <c r="H10513" i="9" s="1"/>
  <c r="F10514" i="9"/>
  <c r="H10514" i="9" s="1"/>
  <c r="F10515" i="9"/>
  <c r="H10515" i="9" s="1"/>
  <c r="F10516" i="9"/>
  <c r="H10516" i="9" s="1"/>
  <c r="F10517" i="9"/>
  <c r="H10517" i="9" s="1"/>
  <c r="F10518" i="9"/>
  <c r="H10518" i="9" s="1"/>
  <c r="F10519" i="9"/>
  <c r="H10519" i="9" s="1"/>
  <c r="F10520" i="9"/>
  <c r="H10520" i="9" s="1"/>
  <c r="F10521" i="9"/>
  <c r="H10521" i="9" s="1"/>
  <c r="F10522" i="9"/>
  <c r="H10522" i="9"/>
  <c r="F10523" i="9"/>
  <c r="H10523" i="9"/>
  <c r="F10524" i="9"/>
  <c r="H10524" i="9" s="1"/>
  <c r="F10525" i="9"/>
  <c r="H10525" i="9" s="1"/>
  <c r="F10526" i="9"/>
  <c r="H10526" i="9" s="1"/>
  <c r="F10527" i="9"/>
  <c r="H10527" i="9" s="1"/>
  <c r="F10528" i="9"/>
  <c r="H10528" i="9" s="1"/>
  <c r="F10529" i="9"/>
  <c r="H10529" i="9" s="1"/>
  <c r="F10530" i="9"/>
  <c r="H10530" i="9" s="1"/>
  <c r="F10531" i="9"/>
  <c r="H10531" i="9" s="1"/>
  <c r="F10532" i="9"/>
  <c r="H10532" i="9" s="1"/>
  <c r="F10533" i="9"/>
  <c r="H10533" i="9" s="1"/>
  <c r="F10534" i="9"/>
  <c r="H10534" i="9"/>
  <c r="F10535" i="9"/>
  <c r="H10535" i="9" s="1"/>
  <c r="F10536" i="9"/>
  <c r="H10536" i="9" s="1"/>
  <c r="F10537" i="9"/>
  <c r="H10537" i="9" s="1"/>
  <c r="F10538" i="9"/>
  <c r="H10538" i="9" s="1"/>
  <c r="F10539" i="9"/>
  <c r="H10539" i="9" s="1"/>
  <c r="F10540" i="9"/>
  <c r="H10540" i="9" s="1"/>
  <c r="F10541" i="9"/>
  <c r="H10541" i="9" s="1"/>
  <c r="F10542" i="9"/>
  <c r="H10542" i="9" s="1"/>
  <c r="F10543" i="9"/>
  <c r="H10543" i="9" s="1"/>
  <c r="F10544" i="9"/>
  <c r="H10544" i="9" s="1"/>
  <c r="F10545" i="9"/>
  <c r="H10545" i="9" s="1"/>
  <c r="F10546" i="9"/>
  <c r="H10546" i="9" s="1"/>
  <c r="F10547" i="9"/>
  <c r="H10547" i="9"/>
  <c r="F10548" i="9"/>
  <c r="H10548" i="9" s="1"/>
  <c r="F10549" i="9"/>
  <c r="H10549" i="9" s="1"/>
  <c r="F10550" i="9"/>
  <c r="H10550" i="9" s="1"/>
  <c r="F10551" i="9"/>
  <c r="H10551" i="9" s="1"/>
  <c r="F10552" i="9"/>
  <c r="H10552" i="9" s="1"/>
  <c r="F10553" i="9"/>
  <c r="H10553" i="9" s="1"/>
  <c r="F10554" i="9"/>
  <c r="H10554" i="9" s="1"/>
  <c r="F10555" i="9"/>
  <c r="H10555" i="9" s="1"/>
  <c r="F10556" i="9"/>
  <c r="H10556" i="9" s="1"/>
  <c r="F10557" i="9"/>
  <c r="H10557" i="9" s="1"/>
  <c r="F10558" i="9"/>
  <c r="H10558" i="9" s="1"/>
  <c r="F10559" i="9"/>
  <c r="H10559" i="9" s="1"/>
  <c r="F10560" i="9"/>
  <c r="H10560" i="9" s="1"/>
  <c r="F10561" i="9"/>
  <c r="H10561" i="9" s="1"/>
  <c r="F10562" i="9"/>
  <c r="H10562" i="9" s="1"/>
  <c r="F10563" i="9"/>
  <c r="H10563" i="9" s="1"/>
  <c r="F10564" i="9"/>
  <c r="H10564" i="9"/>
  <c r="F10565" i="9"/>
  <c r="H10565" i="9" s="1"/>
  <c r="F10566" i="9"/>
  <c r="H10566" i="9" s="1"/>
  <c r="F10567" i="9"/>
  <c r="H10567" i="9" s="1"/>
  <c r="F10568" i="9"/>
  <c r="H10568" i="9" s="1"/>
  <c r="F10569" i="9"/>
  <c r="H10569" i="9" s="1"/>
  <c r="F10570" i="9"/>
  <c r="H10570" i="9" s="1"/>
  <c r="F10571" i="9"/>
  <c r="H10571" i="9" s="1"/>
  <c r="F10572" i="9"/>
  <c r="H10572" i="9" s="1"/>
  <c r="F10573" i="9"/>
  <c r="H10573" i="9" s="1"/>
  <c r="F10574" i="9"/>
  <c r="H10574" i="9"/>
  <c r="F10575" i="9"/>
  <c r="H10575" i="9" s="1"/>
  <c r="F10576" i="9"/>
  <c r="H10576" i="9" s="1"/>
  <c r="F10577" i="9"/>
  <c r="H10577" i="9" s="1"/>
  <c r="F10578" i="9"/>
  <c r="H10578" i="9" s="1"/>
  <c r="F10579" i="9"/>
  <c r="H10579" i="9" s="1"/>
  <c r="F10580" i="9"/>
  <c r="H10580" i="9" s="1"/>
  <c r="F10581" i="9"/>
  <c r="H10581" i="9" s="1"/>
  <c r="F10582" i="9"/>
  <c r="H10582" i="9" s="1"/>
  <c r="F10583" i="9"/>
  <c r="H10583" i="9" s="1"/>
  <c r="F10584" i="9"/>
  <c r="H10584" i="9" s="1"/>
  <c r="F10585" i="9"/>
  <c r="H10585" i="9" s="1"/>
  <c r="F10586" i="9"/>
  <c r="H10586" i="9" s="1"/>
  <c r="F10587" i="9"/>
  <c r="H10587" i="9" s="1"/>
  <c r="F10588" i="9"/>
  <c r="H10588" i="9" s="1"/>
  <c r="F10589" i="9"/>
  <c r="H10589" i="9"/>
  <c r="F10590" i="9"/>
  <c r="H10590" i="9" s="1"/>
  <c r="F10591" i="9"/>
  <c r="H10591" i="9" s="1"/>
  <c r="F10592" i="9"/>
  <c r="H10592" i="9" s="1"/>
  <c r="F10593" i="9"/>
  <c r="H10593" i="9" s="1"/>
  <c r="F10594" i="9"/>
  <c r="H10594" i="9" s="1"/>
  <c r="F10595" i="9"/>
  <c r="H10595" i="9" s="1"/>
  <c r="F10596" i="9"/>
  <c r="H10596" i="9" s="1"/>
  <c r="F10597" i="9"/>
  <c r="H10597" i="9" s="1"/>
  <c r="F10598" i="9"/>
  <c r="H10598" i="9" s="1"/>
  <c r="F10599" i="9"/>
  <c r="H10599" i="9" s="1"/>
  <c r="F10600" i="9"/>
  <c r="H10600" i="9" s="1"/>
  <c r="F10601" i="9"/>
  <c r="H10601" i="9" s="1"/>
  <c r="F10602" i="9"/>
  <c r="H10602" i="9" s="1"/>
  <c r="F10603" i="9"/>
  <c r="H10603" i="9" s="1"/>
  <c r="F10604" i="9"/>
  <c r="H10604" i="9" s="1"/>
  <c r="F10605" i="9"/>
  <c r="H10605" i="9" s="1"/>
  <c r="F10606" i="9"/>
  <c r="H10606" i="9" s="1"/>
  <c r="F10607" i="9"/>
  <c r="H10607" i="9" s="1"/>
  <c r="F10608" i="9"/>
  <c r="H10608" i="9" s="1"/>
  <c r="F10609" i="9"/>
  <c r="H10609" i="9" s="1"/>
  <c r="F10610" i="9"/>
  <c r="H10610" i="9" s="1"/>
  <c r="F10611" i="9"/>
  <c r="H10611" i="9" s="1"/>
  <c r="F10612" i="9"/>
  <c r="H10612" i="9" s="1"/>
  <c r="F10613" i="9"/>
  <c r="H10613" i="9" s="1"/>
  <c r="F10614" i="9"/>
  <c r="H10614" i="9" s="1"/>
  <c r="F10615" i="9"/>
  <c r="H10615" i="9" s="1"/>
  <c r="F10616" i="9"/>
  <c r="H10616" i="9" s="1"/>
  <c r="F10617" i="9"/>
  <c r="H10617" i="9" s="1"/>
  <c r="F10618" i="9"/>
  <c r="H10618" i="9" s="1"/>
  <c r="F10619" i="9"/>
  <c r="H10619" i="9"/>
  <c r="F10620" i="9"/>
  <c r="H10620" i="9" s="1"/>
  <c r="F10621" i="9"/>
  <c r="H10621" i="9" s="1"/>
  <c r="F10622" i="9"/>
  <c r="H10622" i="9" s="1"/>
  <c r="F10623" i="9"/>
  <c r="H10623" i="9" s="1"/>
  <c r="F10624" i="9"/>
  <c r="H10624" i="9" s="1"/>
  <c r="F10625" i="9"/>
  <c r="H10625" i="9" s="1"/>
  <c r="F10626" i="9"/>
  <c r="H10626" i="9" s="1"/>
  <c r="F10627" i="9"/>
  <c r="H10627" i="9"/>
  <c r="F10628" i="9"/>
  <c r="H10628" i="9" s="1"/>
  <c r="F10629" i="9"/>
  <c r="H10629" i="9" s="1"/>
  <c r="F10630" i="9"/>
  <c r="H10630" i="9" s="1"/>
  <c r="F10631" i="9"/>
  <c r="H10631" i="9" s="1"/>
  <c r="F10632" i="9"/>
  <c r="H10632" i="9" s="1"/>
  <c r="F10633" i="9"/>
  <c r="H10633" i="9" s="1"/>
  <c r="F10634" i="9"/>
  <c r="H10634" i="9" s="1"/>
  <c r="F10635" i="9"/>
  <c r="H10635" i="9" s="1"/>
  <c r="F10636" i="9"/>
  <c r="H10636" i="9" s="1"/>
  <c r="F10637" i="9"/>
  <c r="H10637" i="9"/>
  <c r="F10638" i="9"/>
  <c r="H10638" i="9" s="1"/>
  <c r="F10639" i="9"/>
  <c r="H10639" i="9" s="1"/>
  <c r="F10640" i="9"/>
  <c r="H10640" i="9" s="1"/>
  <c r="F10641" i="9"/>
  <c r="H10641" i="9" s="1"/>
  <c r="F10642" i="9"/>
  <c r="H10642" i="9" s="1"/>
  <c r="F10643" i="9"/>
  <c r="H10643" i="9" s="1"/>
  <c r="F10644" i="9"/>
  <c r="H10644" i="9" s="1"/>
  <c r="F10645" i="9"/>
  <c r="H10645" i="9" s="1"/>
  <c r="F10646" i="9"/>
  <c r="H10646" i="9" s="1"/>
  <c r="F10647" i="9"/>
  <c r="H10647" i="9" s="1"/>
  <c r="F10648" i="9"/>
  <c r="H10648" i="9" s="1"/>
  <c r="F10649" i="9"/>
  <c r="H10649" i="9" s="1"/>
  <c r="F10650" i="9"/>
  <c r="H10650" i="9" s="1"/>
  <c r="F10651" i="9"/>
  <c r="H10651" i="9" s="1"/>
  <c r="F10652" i="9"/>
  <c r="H10652" i="9" s="1"/>
  <c r="F10653" i="9"/>
  <c r="H10653" i="9" s="1"/>
  <c r="F10654" i="9"/>
  <c r="H10654" i="9" s="1"/>
  <c r="F10655" i="9"/>
  <c r="H10655" i="9" s="1"/>
  <c r="F10656" i="9"/>
  <c r="H10656" i="9" s="1"/>
  <c r="F10657" i="9"/>
  <c r="H10657" i="9" s="1"/>
  <c r="F10658" i="9"/>
  <c r="H10658" i="9" s="1"/>
  <c r="F10659" i="9"/>
  <c r="H10659" i="9" s="1"/>
  <c r="F10660" i="9"/>
  <c r="H10660" i="9" s="1"/>
  <c r="F10661" i="9"/>
  <c r="H10661" i="9" s="1"/>
  <c r="F10662" i="9"/>
  <c r="H10662" i="9" s="1"/>
  <c r="F10663" i="9"/>
  <c r="H10663" i="9"/>
  <c r="F10664" i="9"/>
  <c r="H10664" i="9" s="1"/>
  <c r="F10665" i="9"/>
  <c r="H10665" i="9" s="1"/>
  <c r="F10666" i="9"/>
  <c r="H10666" i="9" s="1"/>
  <c r="F10667" i="9"/>
  <c r="H10667" i="9" s="1"/>
  <c r="F10668" i="9"/>
  <c r="H10668" i="9" s="1"/>
  <c r="F10669" i="9"/>
  <c r="H10669" i="9"/>
  <c r="F10670" i="9"/>
  <c r="H10670" i="9" s="1"/>
  <c r="F10671" i="9"/>
  <c r="H10671" i="9" s="1"/>
  <c r="F10672" i="9"/>
  <c r="H10672" i="9" s="1"/>
  <c r="F10673" i="9"/>
  <c r="H10673" i="9"/>
  <c r="F10674" i="9"/>
  <c r="H10674" i="9" s="1"/>
  <c r="F10675" i="9"/>
  <c r="H10675" i="9" s="1"/>
  <c r="F10676" i="9"/>
  <c r="H10676" i="9" s="1"/>
  <c r="F10677" i="9"/>
  <c r="H10677" i="9" s="1"/>
  <c r="F10678" i="9"/>
  <c r="H10678" i="9" s="1"/>
  <c r="F10679" i="9"/>
  <c r="H10679" i="9" s="1"/>
  <c r="F10680" i="9"/>
  <c r="H10680" i="9" s="1"/>
  <c r="F10681" i="9"/>
  <c r="H10681" i="9" s="1"/>
  <c r="F10682" i="9"/>
  <c r="H10682" i="9" s="1"/>
  <c r="F10683" i="9"/>
  <c r="H10683" i="9" s="1"/>
  <c r="F10684" i="9"/>
  <c r="H10684" i="9" s="1"/>
  <c r="F10685" i="9"/>
  <c r="H10685" i="9" s="1"/>
  <c r="F10686" i="9"/>
  <c r="H10686" i="9" s="1"/>
  <c r="F10687" i="9"/>
  <c r="H10687" i="9" s="1"/>
  <c r="F10688" i="9"/>
  <c r="H10688" i="9" s="1"/>
  <c r="F10689" i="9"/>
  <c r="H10689" i="9" s="1"/>
  <c r="F10690" i="9"/>
  <c r="H10690" i="9" s="1"/>
  <c r="F10691" i="9"/>
  <c r="H10691" i="9" s="1"/>
  <c r="F10692" i="9"/>
  <c r="H10692" i="9" s="1"/>
  <c r="F10693" i="9"/>
  <c r="H10693" i="9" s="1"/>
  <c r="F10694" i="9"/>
  <c r="H10694" i="9" s="1"/>
  <c r="F10695" i="9"/>
  <c r="H10695" i="9" s="1"/>
  <c r="F10696" i="9"/>
  <c r="H10696" i="9" s="1"/>
  <c r="F10697" i="9"/>
  <c r="H10697" i="9" s="1"/>
  <c r="F10698" i="9"/>
  <c r="H10698" i="9" s="1"/>
  <c r="F10699" i="9"/>
  <c r="H10699" i="9" s="1"/>
  <c r="F10700" i="9"/>
  <c r="H10700" i="9" s="1"/>
  <c r="F10701" i="9"/>
  <c r="H10701" i="9" s="1"/>
  <c r="F10702" i="9"/>
  <c r="H10702" i="9" s="1"/>
  <c r="F10703" i="9"/>
  <c r="H10703" i="9"/>
  <c r="F10704" i="9"/>
  <c r="H10704" i="9" s="1"/>
  <c r="F10705" i="9"/>
  <c r="H10705" i="9"/>
  <c r="F10706" i="9"/>
  <c r="H10706" i="9" s="1"/>
  <c r="F10707" i="9"/>
  <c r="H10707" i="9" s="1"/>
  <c r="F10708" i="9"/>
  <c r="H10708" i="9" s="1"/>
  <c r="F10709" i="9"/>
  <c r="H10709" i="9" s="1"/>
  <c r="F10710" i="9"/>
  <c r="H10710" i="9" s="1"/>
  <c r="F10711" i="9"/>
  <c r="H10711" i="9"/>
  <c r="F10712" i="9"/>
  <c r="H10712" i="9" s="1"/>
  <c r="F10713" i="9"/>
  <c r="H10713" i="9" s="1"/>
  <c r="F10714" i="9"/>
  <c r="H10714" i="9" s="1"/>
  <c r="F10715" i="9"/>
  <c r="H10715" i="9" s="1"/>
  <c r="F10716" i="9"/>
  <c r="H10716" i="9" s="1"/>
  <c r="F10717" i="9"/>
  <c r="H10717" i="9" s="1"/>
  <c r="F10718" i="9"/>
  <c r="H10718" i="9" s="1"/>
  <c r="F10719" i="9"/>
  <c r="H10719" i="9" s="1"/>
  <c r="F10720" i="9"/>
  <c r="H10720" i="9" s="1"/>
  <c r="F10721" i="9"/>
  <c r="H10721" i="9" s="1"/>
  <c r="F10722" i="9"/>
  <c r="H10722" i="9" s="1"/>
  <c r="F10723" i="9"/>
  <c r="H10723" i="9" s="1"/>
  <c r="F10724" i="9"/>
  <c r="H10724" i="9" s="1"/>
  <c r="F10725" i="9"/>
  <c r="H10725" i="9" s="1"/>
  <c r="F10726" i="9"/>
  <c r="H10726" i="9" s="1"/>
  <c r="F10727" i="9"/>
  <c r="H10727" i="9"/>
  <c r="F10728" i="9"/>
  <c r="H10728" i="9" s="1"/>
  <c r="F10729" i="9"/>
  <c r="H10729" i="9" s="1"/>
  <c r="F10730" i="9"/>
  <c r="H10730" i="9" s="1"/>
  <c r="F10731" i="9"/>
  <c r="H10731" i="9" s="1"/>
  <c r="F10732" i="9"/>
  <c r="H10732" i="9" s="1"/>
  <c r="F10733" i="9"/>
  <c r="H10733" i="9" s="1"/>
  <c r="F10734" i="9"/>
  <c r="H10734" i="9" s="1"/>
  <c r="F10735" i="9"/>
  <c r="H10735" i="9" s="1"/>
  <c r="F10736" i="9"/>
  <c r="H10736" i="9"/>
  <c r="F10737" i="9"/>
  <c r="H10737" i="9" s="1"/>
  <c r="F10738" i="9"/>
  <c r="H10738" i="9" s="1"/>
  <c r="F10739" i="9"/>
  <c r="H10739" i="9" s="1"/>
  <c r="F10740" i="9"/>
  <c r="H10740" i="9" s="1"/>
  <c r="F10741" i="9"/>
  <c r="H10741" i="9" s="1"/>
  <c r="F10742" i="9"/>
  <c r="H10742" i="9" s="1"/>
  <c r="F10743" i="9"/>
  <c r="H10743" i="9" s="1"/>
  <c r="F10744" i="9"/>
  <c r="H10744" i="9" s="1"/>
  <c r="F10745" i="9"/>
  <c r="H10745" i="9" s="1"/>
  <c r="F10746" i="9"/>
  <c r="H10746" i="9" s="1"/>
  <c r="F10747" i="9"/>
  <c r="H10747" i="9" s="1"/>
  <c r="F10748" i="9"/>
  <c r="H10748" i="9"/>
  <c r="F10749" i="9"/>
  <c r="H10749" i="9" s="1"/>
  <c r="F10750" i="9"/>
  <c r="H10750" i="9" s="1"/>
  <c r="F10751" i="9"/>
  <c r="H10751" i="9" s="1"/>
  <c r="F10752" i="9"/>
  <c r="H10752" i="9" s="1"/>
  <c r="F10753" i="9"/>
  <c r="H10753" i="9" s="1"/>
  <c r="F10754" i="9"/>
  <c r="H10754" i="9" s="1"/>
  <c r="F10755" i="9"/>
  <c r="H10755" i="9" s="1"/>
  <c r="F10756" i="9"/>
  <c r="H10756" i="9" s="1"/>
  <c r="F10757" i="9"/>
  <c r="H10757" i="9" s="1"/>
  <c r="F10758" i="9"/>
  <c r="H10758" i="9" s="1"/>
  <c r="F10759" i="9"/>
  <c r="H10759" i="9" s="1"/>
  <c r="F10760" i="9"/>
  <c r="H10760" i="9" s="1"/>
  <c r="F10761" i="9"/>
  <c r="H10761" i="9" s="1"/>
  <c r="F10762" i="9"/>
  <c r="H10762" i="9" s="1"/>
  <c r="F10763" i="9"/>
  <c r="H10763" i="9" s="1"/>
  <c r="F10764" i="9"/>
  <c r="H10764" i="9" s="1"/>
  <c r="F10765" i="9"/>
  <c r="H10765" i="9" s="1"/>
  <c r="F10766" i="9"/>
  <c r="H10766" i="9" s="1"/>
  <c r="F10767" i="9"/>
  <c r="H10767" i="9" s="1"/>
  <c r="F10768" i="9"/>
  <c r="H10768" i="9" s="1"/>
  <c r="F10769" i="9"/>
  <c r="H10769" i="9" s="1"/>
  <c r="F10770" i="9"/>
  <c r="H10770" i="9" s="1"/>
  <c r="F10771" i="9"/>
  <c r="H10771" i="9" s="1"/>
  <c r="F10772" i="9"/>
  <c r="H10772" i="9" s="1"/>
  <c r="F10773" i="9"/>
  <c r="H10773" i="9" s="1"/>
  <c r="F10774" i="9"/>
  <c r="H10774" i="9" s="1"/>
  <c r="F10775" i="9"/>
  <c r="H10775" i="9" s="1"/>
  <c r="F10776" i="9"/>
  <c r="H10776" i="9" s="1"/>
  <c r="F10777" i="9"/>
  <c r="H10777" i="9" s="1"/>
  <c r="F10778" i="9"/>
  <c r="H10778" i="9" s="1"/>
  <c r="F10779" i="9"/>
  <c r="H10779" i="9" s="1"/>
  <c r="F10780" i="9"/>
  <c r="H10780" i="9" s="1"/>
  <c r="F10781" i="9"/>
  <c r="H10781" i="9" s="1"/>
  <c r="F10782" i="9"/>
  <c r="H10782" i="9" s="1"/>
  <c r="F10783" i="9"/>
  <c r="H10783" i="9" s="1"/>
  <c r="F10784" i="9"/>
  <c r="H10784" i="9" s="1"/>
  <c r="F10785" i="9"/>
  <c r="H10785" i="9" s="1"/>
  <c r="F10786" i="9"/>
  <c r="H10786" i="9" s="1"/>
  <c r="F10787" i="9"/>
  <c r="H10787" i="9" s="1"/>
  <c r="F10788" i="9"/>
  <c r="H10788" i="9" s="1"/>
  <c r="F10789" i="9"/>
  <c r="H10789" i="9" s="1"/>
  <c r="F10790" i="9"/>
  <c r="H10790" i="9"/>
  <c r="F10791" i="9"/>
  <c r="H10791" i="9" s="1"/>
  <c r="F10792" i="9"/>
  <c r="H10792" i="9" s="1"/>
  <c r="F10793" i="9"/>
  <c r="H10793" i="9" s="1"/>
  <c r="F10794" i="9"/>
  <c r="H10794" i="9" s="1"/>
  <c r="F10795" i="9"/>
  <c r="H10795" i="9" s="1"/>
  <c r="F10796" i="9"/>
  <c r="H10796" i="9" s="1"/>
  <c r="F10797" i="9"/>
  <c r="H10797" i="9" s="1"/>
  <c r="F10798" i="9"/>
  <c r="H10798" i="9" s="1"/>
  <c r="F10799" i="9"/>
  <c r="H10799" i="9" s="1"/>
  <c r="F10800" i="9"/>
  <c r="H10800" i="9" s="1"/>
  <c r="F10801" i="9"/>
  <c r="H10801" i="9" s="1"/>
  <c r="F10802" i="9"/>
  <c r="H10802" i="9" s="1"/>
  <c r="F10803" i="9"/>
  <c r="H10803" i="9" s="1"/>
  <c r="F10804" i="9"/>
  <c r="H10804" i="9" s="1"/>
  <c r="F10805" i="9"/>
  <c r="H10805" i="9" s="1"/>
  <c r="F10806" i="9"/>
  <c r="H10806" i="9" s="1"/>
  <c r="F10807" i="9"/>
  <c r="H10807" i="9" s="1"/>
  <c r="F10808" i="9"/>
  <c r="H10808" i="9" s="1"/>
  <c r="F10809" i="9"/>
  <c r="H10809" i="9" s="1"/>
  <c r="F10810" i="9"/>
  <c r="H10810" i="9" s="1"/>
  <c r="F10811" i="9"/>
  <c r="H10811" i="9" s="1"/>
  <c r="F10812" i="9"/>
  <c r="H10812" i="9" s="1"/>
  <c r="F10813" i="9"/>
  <c r="H10813" i="9" s="1"/>
  <c r="F10814" i="9"/>
  <c r="H10814" i="9" s="1"/>
  <c r="F10815" i="9"/>
  <c r="H10815" i="9" s="1"/>
  <c r="F10816" i="9"/>
  <c r="H10816" i="9" s="1"/>
  <c r="F10817" i="9"/>
  <c r="H10817" i="9" s="1"/>
  <c r="F10818" i="9"/>
  <c r="H10818" i="9" s="1"/>
  <c r="F10819" i="9"/>
  <c r="H10819" i="9" s="1"/>
  <c r="F10820" i="9"/>
  <c r="H10820" i="9" s="1"/>
  <c r="F10821" i="9"/>
  <c r="H10821" i="9" s="1"/>
  <c r="F10822" i="9"/>
  <c r="H10822" i="9" s="1"/>
  <c r="F10823" i="9"/>
  <c r="H10823" i="9" s="1"/>
  <c r="F10824" i="9"/>
  <c r="H10824" i="9" s="1"/>
  <c r="F10825" i="9"/>
  <c r="H10825" i="9" s="1"/>
  <c r="F10826" i="9"/>
  <c r="H10826" i="9" s="1"/>
  <c r="F10827" i="9"/>
  <c r="H10827" i="9" s="1"/>
  <c r="F10828" i="9"/>
  <c r="H10828" i="9" s="1"/>
  <c r="F10829" i="9"/>
  <c r="H10829" i="9"/>
  <c r="F10830" i="9"/>
  <c r="H10830" i="9" s="1"/>
  <c r="F10831" i="9"/>
  <c r="H10831" i="9" s="1"/>
  <c r="F10832" i="9"/>
  <c r="H10832" i="9" s="1"/>
  <c r="F10833" i="9"/>
  <c r="H10833" i="9" s="1"/>
  <c r="F10834" i="9"/>
  <c r="H10834" i="9" s="1"/>
  <c r="F10835" i="9"/>
  <c r="H10835" i="9"/>
  <c r="F10836" i="9"/>
  <c r="H10836" i="9" s="1"/>
  <c r="F10837" i="9"/>
  <c r="H10837" i="9" s="1"/>
  <c r="F10838" i="9"/>
  <c r="H10838" i="9" s="1"/>
  <c r="F10839" i="9"/>
  <c r="H10839" i="9" s="1"/>
  <c r="F10840" i="9"/>
  <c r="H10840" i="9" s="1"/>
  <c r="F10841" i="9"/>
  <c r="H10841" i="9" s="1"/>
  <c r="F10842" i="9"/>
  <c r="H10842" i="9" s="1"/>
  <c r="F10843" i="9"/>
  <c r="H10843" i="9" s="1"/>
  <c r="F10844" i="9"/>
  <c r="H10844" i="9" s="1"/>
  <c r="F10845" i="9"/>
  <c r="H10845" i="9" s="1"/>
  <c r="F10846" i="9"/>
  <c r="H10846" i="9" s="1"/>
  <c r="F10847" i="9"/>
  <c r="H10847" i="9" s="1"/>
  <c r="F10848" i="9"/>
  <c r="H10848" i="9" s="1"/>
  <c r="F10849" i="9"/>
  <c r="H10849" i="9" s="1"/>
  <c r="F10850" i="9"/>
  <c r="H10850" i="9" s="1"/>
  <c r="F10851" i="9"/>
  <c r="H10851" i="9" s="1"/>
  <c r="F10852" i="9"/>
  <c r="H10852" i="9" s="1"/>
  <c r="F10853" i="9"/>
  <c r="H10853" i="9" s="1"/>
  <c r="F10854" i="9"/>
  <c r="H10854" i="9" s="1"/>
  <c r="F10855" i="9"/>
  <c r="H10855" i="9" s="1"/>
  <c r="F10856" i="9"/>
  <c r="H10856" i="9" s="1"/>
  <c r="F10857" i="9"/>
  <c r="H10857" i="9" s="1"/>
  <c r="F10858" i="9"/>
  <c r="H10858" i="9" s="1"/>
  <c r="F10859" i="9"/>
  <c r="H10859" i="9" s="1"/>
  <c r="F10860" i="9"/>
  <c r="H10860" i="9" s="1"/>
  <c r="F10861" i="9"/>
  <c r="H10861" i="9" s="1"/>
  <c r="F10862" i="9"/>
  <c r="H10862" i="9" s="1"/>
  <c r="F10863" i="9"/>
  <c r="H10863" i="9" s="1"/>
  <c r="F10864" i="9"/>
  <c r="H10864" i="9" s="1"/>
  <c r="F10865" i="9"/>
  <c r="H10865" i="9" s="1"/>
  <c r="F10866" i="9"/>
  <c r="H10866" i="9" s="1"/>
  <c r="F10867" i="9"/>
  <c r="H10867" i="9" s="1"/>
  <c r="F10868" i="9"/>
  <c r="H10868" i="9" s="1"/>
  <c r="F10869" i="9"/>
  <c r="H10869" i="9" s="1"/>
  <c r="F10870" i="9"/>
  <c r="H10870" i="9" s="1"/>
  <c r="F10871" i="9"/>
  <c r="H10871" i="9" s="1"/>
  <c r="F10872" i="9"/>
  <c r="H10872" i="9" s="1"/>
  <c r="F10873" i="9"/>
  <c r="H10873" i="9" s="1"/>
  <c r="F10874" i="9"/>
  <c r="H10874" i="9" s="1"/>
  <c r="F10875" i="9"/>
  <c r="H10875" i="9" s="1"/>
  <c r="F10876" i="9"/>
  <c r="H10876" i="9" s="1"/>
  <c r="F10877" i="9"/>
  <c r="H10877" i="9" s="1"/>
  <c r="F10878" i="9"/>
  <c r="H10878" i="9" s="1"/>
  <c r="F10879" i="9"/>
  <c r="H10879" i="9" s="1"/>
  <c r="F10880" i="9"/>
  <c r="H10880" i="9" s="1"/>
  <c r="F10881" i="9"/>
  <c r="H10881" i="9" s="1"/>
  <c r="F10882" i="9"/>
  <c r="H10882" i="9" s="1"/>
  <c r="F10883" i="9"/>
  <c r="H10883" i="9" s="1"/>
  <c r="F10884" i="9"/>
  <c r="H10884" i="9" s="1"/>
  <c r="F10885" i="9"/>
  <c r="H10885" i="9" s="1"/>
  <c r="F10886" i="9"/>
  <c r="H10886" i="9" s="1"/>
  <c r="F10887" i="9"/>
  <c r="H10887" i="9" s="1"/>
  <c r="F10888" i="9"/>
  <c r="H10888" i="9" s="1"/>
  <c r="F10889" i="9"/>
  <c r="H10889" i="9" s="1"/>
  <c r="F10890" i="9"/>
  <c r="H10890" i="9" s="1"/>
  <c r="F10891" i="9"/>
  <c r="H10891" i="9" s="1"/>
  <c r="F10892" i="9"/>
  <c r="H10892" i="9" s="1"/>
  <c r="F10893" i="9"/>
  <c r="H10893" i="9" s="1"/>
  <c r="F10894" i="9"/>
  <c r="H10894" i="9" s="1"/>
  <c r="F10895" i="9"/>
  <c r="H10895" i="9"/>
  <c r="F10896" i="9"/>
  <c r="H10896" i="9" s="1"/>
  <c r="F10897" i="9"/>
  <c r="H10897" i="9"/>
  <c r="F10898" i="9"/>
  <c r="H10898" i="9" s="1"/>
  <c r="F10899" i="9"/>
  <c r="H10899" i="9" s="1"/>
  <c r="F10900" i="9"/>
  <c r="H10900" i="9" s="1"/>
  <c r="F10901" i="9"/>
  <c r="H10901" i="9" s="1"/>
  <c r="F10902" i="9"/>
  <c r="H10902" i="9" s="1"/>
  <c r="F10903" i="9"/>
  <c r="H10903" i="9" s="1"/>
  <c r="F10904" i="9"/>
  <c r="H10904" i="9" s="1"/>
  <c r="F10905" i="9"/>
  <c r="H10905" i="9" s="1"/>
  <c r="F10906" i="9"/>
  <c r="H10906" i="9" s="1"/>
  <c r="F10907" i="9"/>
  <c r="H10907" i="9" s="1"/>
  <c r="F10908" i="9"/>
  <c r="H10908" i="9" s="1"/>
  <c r="F10909" i="9"/>
  <c r="H10909" i="9" s="1"/>
  <c r="F10910" i="9"/>
  <c r="H10910" i="9" s="1"/>
  <c r="F10911" i="9"/>
  <c r="H10911" i="9" s="1"/>
  <c r="F10912" i="9"/>
  <c r="H10912" i="9" s="1"/>
  <c r="F10913" i="9"/>
  <c r="H10913" i="9" s="1"/>
  <c r="F10914" i="9"/>
  <c r="H10914" i="9" s="1"/>
  <c r="F10915" i="9"/>
  <c r="H10915" i="9"/>
  <c r="F10916" i="9"/>
  <c r="H10916" i="9" s="1"/>
  <c r="F10917" i="9"/>
  <c r="H10917" i="9" s="1"/>
  <c r="F10918" i="9"/>
  <c r="H10918" i="9" s="1"/>
  <c r="F10919" i="9"/>
  <c r="H10919" i="9" s="1"/>
  <c r="F10920" i="9"/>
  <c r="H10920" i="9" s="1"/>
  <c r="F10921" i="9"/>
  <c r="H10921" i="9"/>
  <c r="F10922" i="9"/>
  <c r="H10922" i="9" s="1"/>
  <c r="F10923" i="9"/>
  <c r="H10923" i="9" s="1"/>
  <c r="F10924" i="9"/>
  <c r="H10924" i="9" s="1"/>
  <c r="F10925" i="9"/>
  <c r="H10925" i="9" s="1"/>
  <c r="F10926" i="9"/>
  <c r="H10926" i="9" s="1"/>
  <c r="F10927" i="9"/>
  <c r="H10927" i="9" s="1"/>
  <c r="F10928" i="9"/>
  <c r="H10928" i="9" s="1"/>
  <c r="F10929" i="9"/>
  <c r="H10929" i="9" s="1"/>
  <c r="F10930" i="9"/>
  <c r="H10930" i="9" s="1"/>
  <c r="F10931" i="9"/>
  <c r="H10931" i="9" s="1"/>
  <c r="F10932" i="9"/>
  <c r="H10932" i="9" s="1"/>
  <c r="F10933" i="9"/>
  <c r="H10933" i="9" s="1"/>
  <c r="F10934" i="9"/>
  <c r="H10934" i="9" s="1"/>
  <c r="F10935" i="9"/>
  <c r="H10935" i="9" s="1"/>
  <c r="F10936" i="9"/>
  <c r="H10936" i="9" s="1"/>
  <c r="F10937" i="9"/>
  <c r="H10937" i="9" s="1"/>
  <c r="F10938" i="9"/>
  <c r="H10938" i="9" s="1"/>
  <c r="F10939" i="9"/>
  <c r="H10939" i="9" s="1"/>
  <c r="F10940" i="9"/>
  <c r="H10940" i="9" s="1"/>
  <c r="F10941" i="9"/>
  <c r="H10941" i="9" s="1"/>
  <c r="F10942" i="9"/>
  <c r="H10942" i="9" s="1"/>
  <c r="F10943" i="9"/>
  <c r="H10943" i="9" s="1"/>
  <c r="F10944" i="9"/>
  <c r="H10944" i="9" s="1"/>
  <c r="F10945" i="9"/>
  <c r="H10945" i="9" s="1"/>
  <c r="F10946" i="9"/>
  <c r="H10946" i="9" s="1"/>
  <c r="F10947" i="9"/>
  <c r="H10947" i="9"/>
  <c r="F10948" i="9"/>
  <c r="H10948" i="9" s="1"/>
  <c r="F10949" i="9"/>
  <c r="H10949" i="9" s="1"/>
  <c r="F10950" i="9"/>
  <c r="H10950" i="9" s="1"/>
  <c r="F10951" i="9"/>
  <c r="H10951" i="9" s="1"/>
  <c r="F10952" i="9"/>
  <c r="H10952" i="9" s="1"/>
  <c r="F10953" i="9"/>
  <c r="H10953" i="9" s="1"/>
  <c r="F10954" i="9"/>
  <c r="H10954" i="9" s="1"/>
  <c r="F10955" i="9"/>
  <c r="H10955" i="9" s="1"/>
  <c r="F10956" i="9"/>
  <c r="H10956" i="9" s="1"/>
  <c r="F10957" i="9"/>
  <c r="H10957" i="9" s="1"/>
  <c r="F10958" i="9"/>
  <c r="H10958" i="9" s="1"/>
  <c r="F10959" i="9"/>
  <c r="H10959" i="9" s="1"/>
  <c r="F10960" i="9"/>
  <c r="H10960" i="9" s="1"/>
  <c r="F10961" i="9"/>
  <c r="H10961" i="9" s="1"/>
  <c r="F10962" i="9"/>
  <c r="H10962" i="9" s="1"/>
  <c r="F10963" i="9"/>
  <c r="H10963" i="9" s="1"/>
  <c r="F10964" i="9"/>
  <c r="H10964" i="9" s="1"/>
  <c r="F10965" i="9"/>
  <c r="H10965" i="9" s="1"/>
  <c r="F10966" i="9"/>
  <c r="H10966" i="9" s="1"/>
  <c r="F10967" i="9"/>
  <c r="H10967" i="9" s="1"/>
  <c r="F10968" i="9"/>
  <c r="H10968" i="9" s="1"/>
  <c r="F10969" i="9"/>
  <c r="H10969" i="9" s="1"/>
  <c r="F10970" i="9"/>
  <c r="H10970" i="9" s="1"/>
  <c r="F10971" i="9"/>
  <c r="H10971" i="9" s="1"/>
  <c r="F10972" i="9"/>
  <c r="H10972" i="9" s="1"/>
  <c r="F10973" i="9"/>
  <c r="H10973" i="9" s="1"/>
  <c r="F10974" i="9"/>
  <c r="H10974" i="9" s="1"/>
  <c r="F10975" i="9"/>
  <c r="H10975" i="9" s="1"/>
  <c r="F10976" i="9"/>
  <c r="H10976" i="9" s="1"/>
  <c r="F10977" i="9"/>
  <c r="H10977" i="9" s="1"/>
  <c r="F10978" i="9"/>
  <c r="H10978" i="9" s="1"/>
  <c r="F10979" i="9"/>
  <c r="H10979" i="9" s="1"/>
  <c r="F10980" i="9"/>
  <c r="H10980" i="9" s="1"/>
  <c r="F10981" i="9"/>
  <c r="H10981" i="9" s="1"/>
  <c r="F10982" i="9"/>
  <c r="H10982" i="9" s="1"/>
  <c r="F10983" i="9"/>
  <c r="H10983" i="9" s="1"/>
  <c r="F10984" i="9"/>
  <c r="H10984" i="9" s="1"/>
  <c r="F10985" i="9"/>
  <c r="H10985" i="9" s="1"/>
  <c r="F10986" i="9"/>
  <c r="H10986" i="9" s="1"/>
  <c r="F10987" i="9"/>
  <c r="H10987" i="9" s="1"/>
  <c r="F10988" i="9"/>
  <c r="H10988" i="9" s="1"/>
  <c r="F10989" i="9"/>
  <c r="H10989" i="9" s="1"/>
  <c r="F10990" i="9"/>
  <c r="H10990" i="9" s="1"/>
  <c r="F10991" i="9"/>
  <c r="H10991" i="9"/>
  <c r="F10992" i="9"/>
  <c r="H10992" i="9" s="1"/>
  <c r="F10993" i="9"/>
  <c r="H10993" i="9" s="1"/>
  <c r="F10994" i="9"/>
  <c r="H10994" i="9" s="1"/>
  <c r="F10995" i="9"/>
  <c r="H10995" i="9" s="1"/>
  <c r="F10996" i="9"/>
  <c r="H10996" i="9" s="1"/>
  <c r="F10997" i="9"/>
  <c r="H10997" i="9" s="1"/>
  <c r="F10998" i="9"/>
  <c r="H10998" i="9" s="1"/>
  <c r="F10999" i="9"/>
  <c r="H10999" i="9" s="1"/>
  <c r="F11000" i="9"/>
  <c r="H11000" i="9" s="1"/>
  <c r="F11001" i="9"/>
  <c r="H11001" i="9" s="1"/>
  <c r="F11002" i="9"/>
  <c r="H11002" i="9" s="1"/>
  <c r="F11003" i="9"/>
  <c r="H11003" i="9" s="1"/>
  <c r="F11004" i="9"/>
  <c r="H11004" i="9" s="1"/>
  <c r="F11005" i="9"/>
  <c r="H11005" i="9" s="1"/>
  <c r="F11006" i="9"/>
  <c r="H11006" i="9" s="1"/>
  <c r="F11007" i="9"/>
  <c r="H11007" i="9" s="1"/>
  <c r="F11008" i="9"/>
  <c r="H11008" i="9" s="1"/>
  <c r="F11009" i="9"/>
  <c r="H11009" i="9" s="1"/>
  <c r="F11010" i="9"/>
  <c r="H11010" i="9" s="1"/>
  <c r="F11011" i="9"/>
  <c r="H11011" i="9" s="1"/>
  <c r="F11012" i="9"/>
  <c r="H11012" i="9" s="1"/>
  <c r="F11013" i="9"/>
  <c r="H11013" i="9" s="1"/>
  <c r="F11014" i="9"/>
  <c r="H11014" i="9" s="1"/>
  <c r="F11015" i="9"/>
  <c r="H11015" i="9"/>
  <c r="F11016" i="9"/>
  <c r="H11016" i="9" s="1"/>
  <c r="F11017" i="9"/>
  <c r="H11017" i="9"/>
  <c r="F11018" i="9"/>
  <c r="H11018" i="9" s="1"/>
  <c r="F11019" i="9"/>
  <c r="H11019" i="9" s="1"/>
  <c r="F11020" i="9"/>
  <c r="H11020" i="9" s="1"/>
  <c r="F11021" i="9"/>
  <c r="H11021" i="9" s="1"/>
  <c r="F11022" i="9"/>
  <c r="H11022" i="9" s="1"/>
  <c r="F11023" i="9"/>
  <c r="H11023" i="9" s="1"/>
  <c r="F11024" i="9"/>
  <c r="H11024" i="9"/>
  <c r="F11025" i="9"/>
  <c r="H11025" i="9" s="1"/>
  <c r="F11026" i="9"/>
  <c r="H11026" i="9" s="1"/>
  <c r="F11027" i="9"/>
  <c r="H11027" i="9" s="1"/>
  <c r="F11028" i="9"/>
  <c r="H11028" i="9" s="1"/>
  <c r="F11029" i="9"/>
  <c r="H11029" i="9" s="1"/>
  <c r="F11030" i="9"/>
  <c r="H11030" i="9" s="1"/>
  <c r="F11031" i="9"/>
  <c r="H11031" i="9" s="1"/>
  <c r="F11032" i="9"/>
  <c r="H11032" i="9" s="1"/>
  <c r="F11033" i="9"/>
  <c r="H11033" i="9" s="1"/>
  <c r="F11034" i="9"/>
  <c r="H11034" i="9" s="1"/>
  <c r="F11035" i="9"/>
  <c r="H11035" i="9" s="1"/>
  <c r="F11036" i="9"/>
  <c r="H11036" i="9"/>
  <c r="F11037" i="9"/>
  <c r="H11037" i="9" s="1"/>
  <c r="F11038" i="9"/>
  <c r="H11038" i="9" s="1"/>
  <c r="F11039" i="9"/>
  <c r="H11039" i="9" s="1"/>
  <c r="F11040" i="9"/>
  <c r="H11040" i="9" s="1"/>
  <c r="F11041" i="9"/>
  <c r="H11041" i="9" s="1"/>
  <c r="F11042" i="9"/>
  <c r="H11042" i="9" s="1"/>
  <c r="F11043" i="9"/>
  <c r="H11043" i="9" s="1"/>
  <c r="F11044" i="9"/>
  <c r="H11044" i="9" s="1"/>
  <c r="F11045" i="9"/>
  <c r="H11045" i="9" s="1"/>
  <c r="F11046" i="9"/>
  <c r="H11046" i="9" s="1"/>
  <c r="F11047" i="9"/>
  <c r="H11047" i="9" s="1"/>
  <c r="F11048" i="9"/>
  <c r="H11048" i="9" s="1"/>
  <c r="F11049" i="9"/>
  <c r="H11049" i="9" s="1"/>
  <c r="F11050" i="9"/>
  <c r="H11050" i="9" s="1"/>
  <c r="F11051" i="9"/>
  <c r="H11051" i="9"/>
  <c r="F11052" i="9"/>
  <c r="H11052" i="9" s="1"/>
  <c r="F11053" i="9"/>
  <c r="H11053" i="9" s="1"/>
  <c r="F11054" i="9"/>
  <c r="H11054" i="9" s="1"/>
  <c r="F11055" i="9"/>
  <c r="H11055" i="9" s="1"/>
  <c r="F11056" i="9"/>
  <c r="H11056" i="9"/>
  <c r="F11057" i="9"/>
  <c r="H11057" i="9" s="1"/>
  <c r="F11058" i="9"/>
  <c r="H11058" i="9" s="1"/>
  <c r="F11059" i="9"/>
  <c r="H11059" i="9" s="1"/>
  <c r="F11060" i="9"/>
  <c r="H11060" i="9" s="1"/>
  <c r="F11061" i="9"/>
  <c r="H11061" i="9" s="1"/>
  <c r="F11062" i="9"/>
  <c r="H11062" i="9" s="1"/>
  <c r="F11063" i="9"/>
  <c r="H11063" i="9" s="1"/>
  <c r="F11064" i="9"/>
  <c r="H11064" i="9" s="1"/>
  <c r="F11065" i="9"/>
  <c r="H11065" i="9" s="1"/>
  <c r="F11066" i="9"/>
  <c r="H11066" i="9" s="1"/>
  <c r="F11067" i="9"/>
  <c r="H11067" i="9" s="1"/>
  <c r="F11068" i="9"/>
  <c r="H11068" i="9" s="1"/>
  <c r="F11069" i="9"/>
  <c r="H11069" i="9" s="1"/>
  <c r="F11070" i="9"/>
  <c r="H11070" i="9" s="1"/>
  <c r="F11071" i="9"/>
  <c r="H11071" i="9" s="1"/>
  <c r="F11072" i="9"/>
  <c r="H11072" i="9"/>
  <c r="F11073" i="9"/>
  <c r="H11073" i="9" s="1"/>
  <c r="F11074" i="9"/>
  <c r="H11074" i="9" s="1"/>
  <c r="F11075" i="9"/>
  <c r="H11075" i="9" s="1"/>
  <c r="F11076" i="9"/>
  <c r="H11076" i="9" s="1"/>
  <c r="F11077" i="9"/>
  <c r="H11077" i="9" s="1"/>
  <c r="F11078" i="9"/>
  <c r="H11078" i="9" s="1"/>
  <c r="F11079" i="9"/>
  <c r="H11079" i="9" s="1"/>
  <c r="F11080" i="9"/>
  <c r="H11080" i="9"/>
  <c r="F11081" i="9"/>
  <c r="H11081" i="9" s="1"/>
  <c r="F11082" i="9"/>
  <c r="H11082" i="9" s="1"/>
  <c r="F11083" i="9"/>
  <c r="H11083" i="9" s="1"/>
  <c r="F11084" i="9"/>
  <c r="H11084" i="9"/>
  <c r="F11085" i="9"/>
  <c r="H11085" i="9" s="1"/>
  <c r="F11086" i="9"/>
  <c r="H11086" i="9" s="1"/>
  <c r="F11087" i="9"/>
  <c r="H11087" i="9" s="1"/>
  <c r="F11088" i="9"/>
  <c r="H11088" i="9" s="1"/>
  <c r="F11089" i="9"/>
  <c r="H11089" i="9" s="1"/>
  <c r="F11090" i="9"/>
  <c r="H11090" i="9"/>
  <c r="F11091" i="9"/>
  <c r="H11091" i="9" s="1"/>
  <c r="F11092" i="9"/>
  <c r="H11092" i="9" s="1"/>
  <c r="F11093" i="9"/>
  <c r="H11093" i="9" s="1"/>
  <c r="F11094" i="9"/>
  <c r="H11094" i="9" s="1"/>
  <c r="F11095" i="9"/>
  <c r="H11095" i="9" s="1"/>
  <c r="F11096" i="9"/>
  <c r="H11096" i="9" s="1"/>
  <c r="F11097" i="9"/>
  <c r="H11097" i="9"/>
  <c r="F11098" i="9"/>
  <c r="H11098" i="9" s="1"/>
  <c r="F11099" i="9"/>
  <c r="H11099" i="9" s="1"/>
  <c r="F11100" i="9"/>
  <c r="H11100" i="9" s="1"/>
  <c r="F11101" i="9"/>
  <c r="H11101" i="9" s="1"/>
  <c r="F11102" i="9"/>
  <c r="H11102" i="9" s="1"/>
  <c r="F11103" i="9"/>
  <c r="H11103" i="9" s="1"/>
  <c r="F11104" i="9"/>
  <c r="H11104" i="9" s="1"/>
  <c r="F11105" i="9"/>
  <c r="H11105" i="9" s="1"/>
  <c r="F11106" i="9"/>
  <c r="H11106" i="9" s="1"/>
  <c r="F11107" i="9"/>
  <c r="H11107" i="9"/>
  <c r="F11108" i="9"/>
  <c r="H11108" i="9"/>
  <c r="F11109" i="9"/>
  <c r="H11109" i="9" s="1"/>
  <c r="F11110" i="9"/>
  <c r="H11110" i="9" s="1"/>
  <c r="F11111" i="9"/>
  <c r="H11111" i="9" s="1"/>
  <c r="F11112" i="9"/>
  <c r="H11112" i="9" s="1"/>
  <c r="F11113" i="9"/>
  <c r="H11113" i="9" s="1"/>
  <c r="F11114" i="9"/>
  <c r="H11114" i="9" s="1"/>
  <c r="F11115" i="9"/>
  <c r="H11115" i="9"/>
  <c r="F11116" i="9"/>
  <c r="H11116" i="9" s="1"/>
  <c r="F11117" i="9"/>
  <c r="H11117" i="9" s="1"/>
  <c r="F11118" i="9"/>
  <c r="H11118" i="9" s="1"/>
  <c r="F11119" i="9"/>
  <c r="H11119" i="9" s="1"/>
  <c r="F11120" i="9"/>
  <c r="H11120" i="9" s="1"/>
  <c r="F11121" i="9"/>
  <c r="H11121" i="9" s="1"/>
  <c r="F11122" i="9"/>
  <c r="H11122" i="9" s="1"/>
  <c r="F11123" i="9"/>
  <c r="H11123" i="9" s="1"/>
  <c r="F11124" i="9"/>
  <c r="H11124" i="9" s="1"/>
  <c r="F11125" i="9"/>
  <c r="H11125" i="9" s="1"/>
  <c r="F11126" i="9"/>
  <c r="H11126" i="9" s="1"/>
  <c r="F11127" i="9"/>
  <c r="H11127" i="9" s="1"/>
  <c r="F11128" i="9"/>
  <c r="H11128" i="9" s="1"/>
  <c r="F11129" i="9"/>
  <c r="H11129" i="9"/>
  <c r="F11130" i="9"/>
  <c r="H11130" i="9" s="1"/>
  <c r="F11131" i="9"/>
  <c r="H11131" i="9"/>
  <c r="F11132" i="9"/>
  <c r="H11132" i="9" s="1"/>
  <c r="F11133" i="9"/>
  <c r="H11133" i="9" s="1"/>
  <c r="F11134" i="9"/>
  <c r="H11134" i="9" s="1"/>
  <c r="F11135" i="9"/>
  <c r="H11135" i="9" s="1"/>
  <c r="F11136" i="9"/>
  <c r="H11136" i="9" s="1"/>
  <c r="F11137" i="9"/>
  <c r="H11137" i="9" s="1"/>
  <c r="F11138" i="9"/>
  <c r="H11138" i="9" s="1"/>
  <c r="F11139" i="9"/>
  <c r="H11139" i="9" s="1"/>
  <c r="F11140" i="9"/>
  <c r="H11140" i="9" s="1"/>
  <c r="F11141" i="9"/>
  <c r="H11141" i="9" s="1"/>
  <c r="F11142" i="9"/>
  <c r="H11142" i="9" s="1"/>
  <c r="F11143" i="9"/>
  <c r="H11143" i="9" s="1"/>
  <c r="F11144" i="9"/>
  <c r="H11144" i="9" s="1"/>
  <c r="F11145" i="9"/>
  <c r="H11145" i="9" s="1"/>
  <c r="F11146" i="9"/>
  <c r="H11146" i="9" s="1"/>
  <c r="F11147" i="9"/>
  <c r="H11147" i="9" s="1"/>
  <c r="F11148" i="9"/>
  <c r="H11148" i="9" s="1"/>
  <c r="F11149" i="9"/>
  <c r="H11149" i="9" s="1"/>
  <c r="F11150" i="9"/>
  <c r="H11150" i="9" s="1"/>
  <c r="F11151" i="9"/>
  <c r="H11151" i="9" s="1"/>
  <c r="F11152" i="9"/>
  <c r="H11152" i="9" s="1"/>
  <c r="F11153" i="9"/>
  <c r="H11153" i="9" s="1"/>
  <c r="F11154" i="9"/>
  <c r="H11154" i="9" s="1"/>
  <c r="F11155" i="9"/>
  <c r="H11155" i="9" s="1"/>
  <c r="F11156" i="9"/>
  <c r="H11156" i="9" s="1"/>
  <c r="F11157" i="9"/>
  <c r="H11157" i="9" s="1"/>
  <c r="F11158" i="9"/>
  <c r="H11158" i="9" s="1"/>
  <c r="F11159" i="9"/>
  <c r="H11159" i="9" s="1"/>
  <c r="F11160" i="9"/>
  <c r="H11160" i="9" s="1"/>
  <c r="F11161" i="9"/>
  <c r="H11161" i="9" s="1"/>
  <c r="F11162" i="9"/>
  <c r="H11162" i="9" s="1"/>
  <c r="F11163" i="9"/>
  <c r="H11163" i="9" s="1"/>
  <c r="F11164" i="9"/>
  <c r="H11164" i="9" s="1"/>
  <c r="F11165" i="9"/>
  <c r="H11165" i="9" s="1"/>
  <c r="F11166" i="9"/>
  <c r="H11166" i="9" s="1"/>
  <c r="F11167" i="9"/>
  <c r="H11167" i="9" s="1"/>
  <c r="F11168" i="9"/>
  <c r="H11168" i="9" s="1"/>
  <c r="F11169" i="9"/>
  <c r="H11169" i="9" s="1"/>
  <c r="F11170" i="9"/>
  <c r="H11170" i="9" s="1"/>
  <c r="F11171" i="9"/>
  <c r="H11171" i="9"/>
  <c r="F11172" i="9"/>
  <c r="H11172" i="9" s="1"/>
  <c r="F11173" i="9"/>
  <c r="H11173" i="9" s="1"/>
  <c r="F11174" i="9"/>
  <c r="H11174" i="9" s="1"/>
  <c r="F11175" i="9"/>
  <c r="H11175" i="9" s="1"/>
  <c r="F11176" i="9"/>
  <c r="H11176" i="9" s="1"/>
  <c r="F11177" i="9"/>
  <c r="H11177" i="9" s="1"/>
  <c r="F11178" i="9"/>
  <c r="H11178" i="9" s="1"/>
  <c r="F11179" i="9"/>
  <c r="H11179" i="9"/>
  <c r="F11180" i="9"/>
  <c r="H11180" i="9" s="1"/>
  <c r="F11181" i="9"/>
  <c r="H11181" i="9" s="1"/>
  <c r="F11182" i="9"/>
  <c r="H11182" i="9" s="1"/>
  <c r="F11183" i="9"/>
  <c r="H11183" i="9" s="1"/>
  <c r="F11184" i="9"/>
  <c r="H11184" i="9" s="1"/>
  <c r="F11185" i="9"/>
  <c r="H11185" i="9"/>
  <c r="F11186" i="9"/>
  <c r="H11186" i="9" s="1"/>
  <c r="F11187" i="9"/>
  <c r="H11187" i="9" s="1"/>
  <c r="F11188" i="9"/>
  <c r="H11188" i="9" s="1"/>
  <c r="F11189" i="9"/>
  <c r="H11189" i="9" s="1"/>
  <c r="F11190" i="9"/>
  <c r="H11190" i="9" s="1"/>
  <c r="F11191" i="9"/>
  <c r="H11191" i="9" s="1"/>
  <c r="F11192" i="9"/>
  <c r="H11192" i="9"/>
  <c r="F11193" i="9"/>
  <c r="H11193" i="9" s="1"/>
  <c r="F11194" i="9"/>
  <c r="H11194" i="9" s="1"/>
  <c r="F11195" i="9"/>
  <c r="H11195" i="9" s="1"/>
  <c r="F11196" i="9"/>
  <c r="H11196" i="9" s="1"/>
  <c r="F11197" i="9"/>
  <c r="H11197" i="9" s="1"/>
  <c r="F11198" i="9"/>
  <c r="H11198" i="9" s="1"/>
  <c r="F11199" i="9"/>
  <c r="H11199" i="9" s="1"/>
  <c r="F11200" i="9"/>
  <c r="H11200" i="9" s="1"/>
  <c r="F11201" i="9"/>
  <c r="H11201" i="9" s="1"/>
  <c r="F11202" i="9"/>
  <c r="H11202" i="9" s="1"/>
  <c r="F11203" i="9"/>
  <c r="H11203" i="9" s="1"/>
  <c r="F11204" i="9"/>
  <c r="H11204" i="9" s="1"/>
  <c r="F11205" i="9"/>
  <c r="H11205" i="9" s="1"/>
  <c r="F11206" i="9"/>
  <c r="H11206" i="9" s="1"/>
  <c r="F11207" i="9"/>
  <c r="H11207" i="9" s="1"/>
  <c r="F11208" i="9"/>
  <c r="H11208" i="9" s="1"/>
  <c r="F11209" i="9"/>
  <c r="H11209" i="9" s="1"/>
  <c r="F11210" i="9"/>
  <c r="H11210" i="9" s="1"/>
  <c r="F11211" i="9"/>
  <c r="H11211" i="9" s="1"/>
  <c r="F11212" i="9"/>
  <c r="H11212" i="9" s="1"/>
  <c r="F11213" i="9"/>
  <c r="H11213" i="9" s="1"/>
  <c r="F11214" i="9"/>
  <c r="H11214" i="9" s="1"/>
  <c r="F11215" i="9"/>
  <c r="H11215" i="9" s="1"/>
  <c r="F11216" i="9"/>
  <c r="H11216" i="9" s="1"/>
  <c r="F11217" i="9"/>
  <c r="H11217" i="9" s="1"/>
  <c r="F11218" i="9"/>
  <c r="H11218" i="9" s="1"/>
  <c r="F11219" i="9"/>
  <c r="H11219" i="9" s="1"/>
  <c r="F11220" i="9"/>
  <c r="H11220" i="9" s="1"/>
  <c r="F11221" i="9"/>
  <c r="H11221" i="9" s="1"/>
  <c r="F11222" i="9"/>
  <c r="H11222" i="9" s="1"/>
  <c r="F11223" i="9"/>
  <c r="H11223" i="9" s="1"/>
  <c r="F11224" i="9"/>
  <c r="H11224" i="9" s="1"/>
  <c r="F11225" i="9"/>
  <c r="H11225" i="9" s="1"/>
  <c r="F11226" i="9"/>
  <c r="H11226" i="9" s="1"/>
  <c r="F11227" i="9"/>
  <c r="H11227" i="9" s="1"/>
  <c r="F11228" i="9"/>
  <c r="H11228" i="9" s="1"/>
  <c r="F11229" i="9"/>
  <c r="H11229" i="9" s="1"/>
  <c r="F11230" i="9"/>
  <c r="H11230" i="9" s="1"/>
  <c r="F11231" i="9"/>
  <c r="H11231" i="9" s="1"/>
  <c r="F11232" i="9"/>
  <c r="H11232" i="9" s="1"/>
  <c r="F11233" i="9"/>
  <c r="H11233" i="9" s="1"/>
  <c r="F11234" i="9"/>
  <c r="H11234" i="9" s="1"/>
  <c r="F11235" i="9"/>
  <c r="H11235" i="9" s="1"/>
  <c r="F11236" i="9"/>
  <c r="H11236" i="9" s="1"/>
  <c r="F11237" i="9"/>
  <c r="H11237" i="9" s="1"/>
  <c r="F11238" i="9"/>
  <c r="H11238" i="9" s="1"/>
  <c r="F11239" i="9"/>
  <c r="H11239" i="9" s="1"/>
  <c r="F11240" i="9"/>
  <c r="H11240" i="9" s="1"/>
  <c r="F11241" i="9"/>
  <c r="H11241" i="9" s="1"/>
  <c r="F11242" i="9"/>
  <c r="H11242" i="9" s="1"/>
  <c r="F11243" i="9"/>
  <c r="H11243" i="9" s="1"/>
  <c r="F11244" i="9"/>
  <c r="H11244" i="9" s="1"/>
  <c r="F11245" i="9"/>
  <c r="H11245" i="9" s="1"/>
  <c r="F11246" i="9"/>
  <c r="H11246" i="9" s="1"/>
  <c r="F11247" i="9"/>
  <c r="H11247" i="9" s="1"/>
  <c r="F11248" i="9"/>
  <c r="H11248" i="9" s="1"/>
  <c r="F11249" i="9"/>
  <c r="H11249" i="9" s="1"/>
  <c r="F11250" i="9"/>
  <c r="H11250" i="9" s="1"/>
  <c r="F11251" i="9"/>
  <c r="H11251" i="9" s="1"/>
  <c r="F11252" i="9"/>
  <c r="H11252" i="9" s="1"/>
  <c r="F11253" i="9"/>
  <c r="H11253" i="9" s="1"/>
  <c r="F11254" i="9"/>
  <c r="H11254" i="9" s="1"/>
  <c r="F11255" i="9"/>
  <c r="H11255" i="9" s="1"/>
  <c r="F11256" i="9"/>
  <c r="H11256" i="9" s="1"/>
  <c r="F11257" i="9"/>
  <c r="H11257" i="9"/>
  <c r="F11258" i="9"/>
  <c r="H11258" i="9" s="1"/>
  <c r="F11259" i="9"/>
  <c r="H11259" i="9" s="1"/>
  <c r="F11260" i="9"/>
  <c r="H11260" i="9" s="1"/>
  <c r="F11261" i="9"/>
  <c r="H11261" i="9" s="1"/>
  <c r="F11262" i="9"/>
  <c r="H11262" i="9" s="1"/>
  <c r="F11263" i="9"/>
  <c r="H11263" i="9" s="1"/>
  <c r="F11264" i="9"/>
  <c r="H11264" i="9" s="1"/>
  <c r="F11265" i="9"/>
  <c r="H11265" i="9" s="1"/>
  <c r="F11266" i="9"/>
  <c r="H11266" i="9" s="1"/>
  <c r="F11267" i="9"/>
  <c r="H11267" i="9" s="1"/>
  <c r="F11268" i="9"/>
  <c r="H11268" i="9" s="1"/>
  <c r="F11269" i="9"/>
  <c r="H11269" i="9" s="1"/>
  <c r="F11270" i="9"/>
  <c r="H11270" i="9" s="1"/>
  <c r="F11271" i="9"/>
  <c r="H11271" i="9" s="1"/>
  <c r="F11272" i="9"/>
  <c r="H11272" i="9" s="1"/>
  <c r="F11273" i="9"/>
  <c r="H11273" i="9" s="1"/>
  <c r="F11274" i="9"/>
  <c r="H11274" i="9" s="1"/>
  <c r="F11275" i="9"/>
  <c r="H11275" i="9" s="1"/>
  <c r="F11276" i="9"/>
  <c r="H11276" i="9" s="1"/>
  <c r="F11277" i="9"/>
  <c r="H11277" i="9" s="1"/>
  <c r="F11278" i="9"/>
  <c r="H11278" i="9" s="1"/>
  <c r="F11279" i="9"/>
  <c r="H11279" i="9" s="1"/>
  <c r="F11280" i="9"/>
  <c r="H11280" i="9" s="1"/>
  <c r="F11281" i="9"/>
  <c r="H11281" i="9" s="1"/>
  <c r="F11282" i="9"/>
  <c r="H11282" i="9" s="1"/>
  <c r="F11283" i="9"/>
  <c r="H11283" i="9" s="1"/>
  <c r="F11284" i="9"/>
  <c r="H11284" i="9" s="1"/>
  <c r="F11285" i="9"/>
  <c r="H11285" i="9" s="1"/>
  <c r="F11286" i="9"/>
  <c r="H11286" i="9" s="1"/>
  <c r="F11287" i="9"/>
  <c r="H11287" i="9" s="1"/>
  <c r="F11288" i="9"/>
  <c r="H11288" i="9" s="1"/>
  <c r="F11289" i="9"/>
  <c r="H11289" i="9" s="1"/>
  <c r="F11290" i="9"/>
  <c r="H11290" i="9" s="1"/>
  <c r="F11291" i="9"/>
  <c r="H11291" i="9"/>
  <c r="F11292" i="9"/>
  <c r="H11292" i="9" s="1"/>
  <c r="F11293" i="9"/>
  <c r="H11293" i="9" s="1"/>
  <c r="F11294" i="9"/>
  <c r="H11294" i="9" s="1"/>
  <c r="F11295" i="9"/>
  <c r="H11295" i="9" s="1"/>
  <c r="F11296" i="9"/>
  <c r="H11296" i="9" s="1"/>
  <c r="F11297" i="9"/>
  <c r="H11297" i="9" s="1"/>
  <c r="F11298" i="9"/>
  <c r="H11298" i="9" s="1"/>
  <c r="F11299" i="9"/>
  <c r="H11299" i="9" s="1"/>
  <c r="F11300" i="9"/>
  <c r="H11300" i="9" s="1"/>
  <c r="F11301" i="9"/>
  <c r="H11301" i="9" s="1"/>
  <c r="F11302" i="9"/>
  <c r="H11302" i="9" s="1"/>
  <c r="F11303" i="9"/>
  <c r="H11303" i="9" s="1"/>
  <c r="F11304" i="9"/>
  <c r="H11304" i="9" s="1"/>
  <c r="F11305" i="9"/>
  <c r="H11305" i="9" s="1"/>
  <c r="F11306" i="9"/>
  <c r="H11306" i="9" s="1"/>
  <c r="F11307" i="9"/>
  <c r="H11307" i="9" s="1"/>
  <c r="F11308" i="9"/>
  <c r="H11308" i="9" s="1"/>
  <c r="F11309" i="9"/>
  <c r="H11309" i="9" s="1"/>
  <c r="F11310" i="9"/>
  <c r="H11310" i="9" s="1"/>
  <c r="F11311" i="9"/>
  <c r="H11311" i="9" s="1"/>
  <c r="F11312" i="9"/>
  <c r="H11312" i="9" s="1"/>
  <c r="F11313" i="9"/>
  <c r="H11313" i="9" s="1"/>
  <c r="F11314" i="9"/>
  <c r="H11314" i="9" s="1"/>
  <c r="F11315" i="9"/>
  <c r="H11315" i="9" s="1"/>
  <c r="F11316" i="9"/>
  <c r="H11316" i="9" s="1"/>
  <c r="F11317" i="9"/>
  <c r="H11317" i="9" s="1"/>
  <c r="F11318" i="9"/>
  <c r="H11318" i="9" s="1"/>
  <c r="F11319" i="9"/>
  <c r="H11319" i="9" s="1"/>
  <c r="F11320" i="9"/>
  <c r="H11320" i="9" s="1"/>
  <c r="F11321" i="9"/>
  <c r="H11321" i="9" s="1"/>
  <c r="F11322" i="9"/>
  <c r="H11322" i="9" s="1"/>
  <c r="F11323" i="9"/>
  <c r="H11323" i="9" s="1"/>
  <c r="F11324" i="9"/>
  <c r="H11324" i="9"/>
  <c r="F11325" i="9"/>
  <c r="H11325" i="9" s="1"/>
  <c r="F11326" i="9"/>
  <c r="H11326" i="9"/>
  <c r="F11327" i="9"/>
  <c r="H11327" i="9" s="1"/>
  <c r="F11328" i="9"/>
  <c r="H11328" i="9" s="1"/>
  <c r="F11329" i="9"/>
  <c r="H11329" i="9" s="1"/>
  <c r="F11330" i="9"/>
  <c r="H11330" i="9" s="1"/>
  <c r="F11331" i="9"/>
  <c r="H11331" i="9" s="1"/>
  <c r="F11332" i="9"/>
  <c r="H11332" i="9" s="1"/>
  <c r="F11333" i="9"/>
  <c r="H11333" i="9" s="1"/>
  <c r="F11334" i="9"/>
  <c r="H11334" i="9" s="1"/>
  <c r="F11335" i="9"/>
  <c r="H11335" i="9" s="1"/>
  <c r="F11336" i="9"/>
  <c r="H11336" i="9" s="1"/>
  <c r="F11337" i="9"/>
  <c r="H11337" i="9" s="1"/>
  <c r="F11338" i="9"/>
  <c r="H11338" i="9" s="1"/>
  <c r="F11339" i="9"/>
  <c r="H11339" i="9" s="1"/>
  <c r="F11340" i="9"/>
  <c r="H11340" i="9" s="1"/>
  <c r="F11341" i="9"/>
  <c r="H11341" i="9" s="1"/>
  <c r="F11342" i="9"/>
  <c r="H11342" i="9" s="1"/>
  <c r="F11343" i="9"/>
  <c r="H11343" i="9" s="1"/>
  <c r="F11344" i="9"/>
  <c r="H11344" i="9" s="1"/>
  <c r="F11345" i="9"/>
  <c r="H11345" i="9" s="1"/>
  <c r="F11346" i="9"/>
  <c r="H11346" i="9" s="1"/>
  <c r="F11347" i="9"/>
  <c r="H11347" i="9" s="1"/>
  <c r="F11348" i="9"/>
  <c r="H11348" i="9" s="1"/>
  <c r="F11349" i="9"/>
  <c r="H11349" i="9" s="1"/>
  <c r="F11350" i="9"/>
  <c r="H11350" i="9"/>
  <c r="F11351" i="9"/>
  <c r="H11351" i="9" s="1"/>
  <c r="F11352" i="9"/>
  <c r="H11352" i="9" s="1"/>
  <c r="F11353" i="9"/>
  <c r="H11353" i="9" s="1"/>
  <c r="F11354" i="9"/>
  <c r="H11354" i="9" s="1"/>
  <c r="F11355" i="9"/>
  <c r="H11355" i="9" s="1"/>
  <c r="F11356" i="9"/>
  <c r="H11356" i="9" s="1"/>
  <c r="F11357" i="9"/>
  <c r="H11357" i="9" s="1"/>
  <c r="F11358" i="9"/>
  <c r="H11358" i="9" s="1"/>
  <c r="F11359" i="9"/>
  <c r="H11359" i="9" s="1"/>
  <c r="F11360" i="9"/>
  <c r="H11360" i="9" s="1"/>
  <c r="F11361" i="9"/>
  <c r="H11361" i="9" s="1"/>
  <c r="F11362" i="9"/>
  <c r="H11362" i="9" s="1"/>
  <c r="F11363" i="9"/>
  <c r="H11363" i="9"/>
  <c r="F11364" i="9"/>
  <c r="H11364" i="9" s="1"/>
  <c r="F11365" i="9"/>
  <c r="H11365" i="9" s="1"/>
  <c r="F11366" i="9"/>
  <c r="H11366" i="9" s="1"/>
  <c r="F11367" i="9"/>
  <c r="H11367" i="9" s="1"/>
  <c r="F11368" i="9"/>
  <c r="H11368" i="9" s="1"/>
  <c r="F11369" i="9"/>
  <c r="H11369" i="9" s="1"/>
  <c r="F11370" i="9"/>
  <c r="H11370" i="9" s="1"/>
  <c r="F11371" i="9"/>
  <c r="H11371" i="9" s="1"/>
  <c r="F11372" i="9"/>
  <c r="H11372" i="9" s="1"/>
  <c r="F11373" i="9"/>
  <c r="H11373" i="9" s="1"/>
  <c r="F11374" i="9"/>
  <c r="H11374" i="9" s="1"/>
  <c r="F11375" i="9"/>
  <c r="H11375" i="9" s="1"/>
  <c r="F11376" i="9"/>
  <c r="H11376" i="9" s="1"/>
  <c r="F11377" i="9"/>
  <c r="H11377" i="9" s="1"/>
  <c r="F11378" i="9"/>
  <c r="H11378" i="9" s="1"/>
  <c r="F11379" i="9"/>
  <c r="H11379" i="9"/>
  <c r="F11380" i="9"/>
  <c r="H11380" i="9" s="1"/>
  <c r="F11381" i="9"/>
  <c r="H11381" i="9" s="1"/>
  <c r="F11382" i="9"/>
  <c r="H11382" i="9" s="1"/>
  <c r="F11383" i="9"/>
  <c r="H11383" i="9" s="1"/>
  <c r="F11384" i="9"/>
  <c r="H11384" i="9" s="1"/>
  <c r="F11385" i="9"/>
  <c r="H11385" i="9" s="1"/>
  <c r="F11386" i="9"/>
  <c r="H11386" i="9" s="1"/>
  <c r="F11387" i="9"/>
  <c r="H11387" i="9" s="1"/>
  <c r="F11388" i="9"/>
  <c r="H11388" i="9" s="1"/>
  <c r="F11389" i="9"/>
  <c r="H11389" i="9" s="1"/>
  <c r="F11390" i="9"/>
  <c r="H11390" i="9" s="1"/>
  <c r="F11391" i="9"/>
  <c r="H11391" i="9" s="1"/>
  <c r="F11392" i="9"/>
  <c r="H11392" i="9" s="1"/>
  <c r="F11393" i="9"/>
  <c r="H11393" i="9" s="1"/>
  <c r="F11394" i="9"/>
  <c r="H11394" i="9" s="1"/>
  <c r="F11395" i="9"/>
  <c r="H11395" i="9" s="1"/>
  <c r="F11396" i="9"/>
  <c r="H11396" i="9" s="1"/>
  <c r="F11397" i="9"/>
  <c r="H11397" i="9" s="1"/>
  <c r="F11398" i="9"/>
  <c r="H11398" i="9" s="1"/>
  <c r="F11399" i="9"/>
  <c r="H11399" i="9" s="1"/>
  <c r="F11400" i="9"/>
  <c r="H11400" i="9" s="1"/>
  <c r="F11401" i="9"/>
  <c r="H11401" i="9" s="1"/>
  <c r="F11402" i="9"/>
  <c r="H11402" i="9" s="1"/>
  <c r="F11403" i="9"/>
  <c r="H11403" i="9"/>
  <c r="F11404" i="9"/>
  <c r="H11404" i="9" s="1"/>
  <c r="F11405" i="9"/>
  <c r="H11405" i="9" s="1"/>
  <c r="F11406" i="9"/>
  <c r="H11406" i="9" s="1"/>
  <c r="F11407" i="9"/>
  <c r="H11407" i="9" s="1"/>
  <c r="F11408" i="9"/>
  <c r="H11408" i="9" s="1"/>
  <c r="F11409" i="9"/>
  <c r="H11409" i="9" s="1"/>
  <c r="F11410" i="9"/>
  <c r="H11410" i="9" s="1"/>
  <c r="F11411" i="9"/>
  <c r="H11411" i="9" s="1"/>
  <c r="F11412" i="9"/>
  <c r="H11412" i="9" s="1"/>
  <c r="F11413" i="9"/>
  <c r="H11413" i="9" s="1"/>
  <c r="F11414" i="9"/>
  <c r="H11414" i="9" s="1"/>
  <c r="F11415" i="9"/>
  <c r="H11415" i="9" s="1"/>
  <c r="F11416" i="9"/>
  <c r="H11416" i="9" s="1"/>
  <c r="F11417" i="9"/>
  <c r="H11417" i="9" s="1"/>
  <c r="F11418" i="9"/>
  <c r="H11418" i="9" s="1"/>
  <c r="F11419" i="9"/>
  <c r="H11419" i="9" s="1"/>
  <c r="F11420" i="9"/>
  <c r="H11420" i="9" s="1"/>
  <c r="F11421" i="9"/>
  <c r="H11421" i="9" s="1"/>
  <c r="F11422" i="9"/>
  <c r="H11422" i="9" s="1"/>
  <c r="F11423" i="9"/>
  <c r="H11423" i="9" s="1"/>
  <c r="F11424" i="9"/>
  <c r="H11424" i="9" s="1"/>
  <c r="F11425" i="9"/>
  <c r="H11425" i="9" s="1"/>
  <c r="F11426" i="9"/>
  <c r="H11426" i="9" s="1"/>
  <c r="F11427" i="9"/>
  <c r="H11427" i="9" s="1"/>
  <c r="F11428" i="9"/>
  <c r="H11428" i="9" s="1"/>
  <c r="F11429" i="9"/>
  <c r="H11429" i="9" s="1"/>
  <c r="F11430" i="9"/>
  <c r="H11430" i="9" s="1"/>
  <c r="F11431" i="9"/>
  <c r="H11431" i="9" s="1"/>
  <c r="F11432" i="9"/>
  <c r="H11432" i="9" s="1"/>
  <c r="F11433" i="9"/>
  <c r="H11433" i="9" s="1"/>
  <c r="F11434" i="9"/>
  <c r="H11434" i="9" s="1"/>
  <c r="F11435" i="9"/>
  <c r="H11435" i="9"/>
  <c r="F11436" i="9"/>
  <c r="H11436" i="9" s="1"/>
  <c r="F11437" i="9"/>
  <c r="H11437" i="9" s="1"/>
  <c r="F11438" i="9"/>
  <c r="H11438" i="9" s="1"/>
  <c r="F11439" i="9"/>
  <c r="H11439" i="9" s="1"/>
  <c r="F11440" i="9"/>
  <c r="H11440" i="9" s="1"/>
  <c r="F11441" i="9"/>
  <c r="H11441" i="9" s="1"/>
  <c r="F11442" i="9"/>
  <c r="H11442" i="9" s="1"/>
  <c r="F11443" i="9"/>
  <c r="H11443" i="9" s="1"/>
  <c r="F11444" i="9"/>
  <c r="H11444" i="9"/>
  <c r="F11445" i="9"/>
  <c r="H11445" i="9" s="1"/>
  <c r="F11446" i="9"/>
  <c r="H11446" i="9" s="1"/>
  <c r="F11447" i="9"/>
  <c r="H11447" i="9" s="1"/>
  <c r="F11448" i="9"/>
  <c r="H11448" i="9" s="1"/>
  <c r="F11449" i="9"/>
  <c r="H11449" i="9" s="1"/>
  <c r="F11450" i="9"/>
  <c r="H11450" i="9" s="1"/>
  <c r="F11451" i="9"/>
  <c r="H11451" i="9" s="1"/>
  <c r="F11452" i="9"/>
  <c r="H11452" i="9" s="1"/>
  <c r="F11453" i="9"/>
  <c r="H11453" i="9" s="1"/>
  <c r="F11454" i="9"/>
  <c r="H11454" i="9" s="1"/>
  <c r="F11455" i="9"/>
  <c r="H11455" i="9" s="1"/>
  <c r="F11456" i="9"/>
  <c r="H11456" i="9" s="1"/>
  <c r="F11457" i="9"/>
  <c r="H11457" i="9"/>
  <c r="F11458" i="9"/>
  <c r="H11458" i="9" s="1"/>
  <c r="F11459" i="9"/>
  <c r="H11459" i="9" s="1"/>
  <c r="F11460" i="9"/>
  <c r="H11460" i="9" s="1"/>
  <c r="F11461" i="9"/>
  <c r="H11461" i="9" s="1"/>
  <c r="F11462" i="9"/>
  <c r="H11462" i="9" s="1"/>
  <c r="F11463" i="9"/>
  <c r="H11463" i="9" s="1"/>
  <c r="F11464" i="9"/>
  <c r="H11464" i="9" s="1"/>
  <c r="F11465" i="9"/>
  <c r="H11465" i="9" s="1"/>
  <c r="F11466" i="9"/>
  <c r="H11466" i="9" s="1"/>
  <c r="F11467" i="9"/>
  <c r="H11467" i="9" s="1"/>
  <c r="F11468" i="9"/>
  <c r="H11468" i="9"/>
  <c r="F11469" i="9"/>
  <c r="H11469" i="9" s="1"/>
  <c r="F11470" i="9"/>
  <c r="H11470" i="9" s="1"/>
  <c r="F11471" i="9"/>
  <c r="H11471" i="9"/>
  <c r="F11472" i="9"/>
  <c r="H11472" i="9" s="1"/>
  <c r="F11473" i="9"/>
  <c r="H11473" i="9"/>
  <c r="F11474" i="9"/>
  <c r="H11474" i="9" s="1"/>
  <c r="F11475" i="9"/>
  <c r="H11475" i="9" s="1"/>
  <c r="F11476" i="9"/>
  <c r="H11476" i="9" s="1"/>
  <c r="F11477" i="9"/>
  <c r="H11477" i="9" s="1"/>
  <c r="F11478" i="9"/>
  <c r="H11478" i="9" s="1"/>
  <c r="F11479" i="9"/>
  <c r="H11479" i="9"/>
  <c r="F11480" i="9"/>
  <c r="H11480" i="9" s="1"/>
  <c r="F11481" i="9"/>
  <c r="H11481" i="9" s="1"/>
  <c r="F11482" i="9"/>
  <c r="H11482" i="9" s="1"/>
  <c r="F11483" i="9"/>
  <c r="H11483" i="9" s="1"/>
  <c r="F11484" i="9"/>
  <c r="H11484" i="9" s="1"/>
  <c r="F11485" i="9"/>
  <c r="H11485" i="9"/>
  <c r="F11486" i="9"/>
  <c r="H11486" i="9" s="1"/>
  <c r="F11487" i="9"/>
  <c r="H11487" i="9" s="1"/>
  <c r="F11488" i="9"/>
  <c r="H11488" i="9" s="1"/>
  <c r="F11489" i="9"/>
  <c r="H11489" i="9" s="1"/>
  <c r="F11490" i="9"/>
  <c r="H11490" i="9" s="1"/>
  <c r="F11491" i="9"/>
  <c r="H11491" i="9" s="1"/>
  <c r="F11492" i="9"/>
  <c r="H11492" i="9" s="1"/>
  <c r="F11493" i="9"/>
  <c r="H11493" i="9" s="1"/>
  <c r="F11494" i="9"/>
  <c r="H11494" i="9" s="1"/>
  <c r="F11495" i="9"/>
  <c r="H11495" i="9" s="1"/>
  <c r="F11496" i="9"/>
  <c r="H11496" i="9" s="1"/>
  <c r="F11497" i="9"/>
  <c r="H11497" i="9" s="1"/>
  <c r="F11498" i="9"/>
  <c r="H11498" i="9" s="1"/>
  <c r="F11499" i="9"/>
  <c r="H11499" i="9" s="1"/>
  <c r="F11500" i="9"/>
  <c r="H11500" i="9" s="1"/>
  <c r="F11501" i="9"/>
  <c r="H11501" i="9" s="1"/>
  <c r="F11502" i="9"/>
  <c r="H11502" i="9" s="1"/>
  <c r="F11503" i="9"/>
  <c r="H11503" i="9" s="1"/>
  <c r="F11504" i="9"/>
  <c r="H11504" i="9" s="1"/>
  <c r="F11505" i="9"/>
  <c r="H11505" i="9" s="1"/>
  <c r="F11506" i="9"/>
  <c r="H11506" i="9" s="1"/>
  <c r="F11507" i="9"/>
  <c r="H11507" i="9" s="1"/>
  <c r="F11508" i="9"/>
  <c r="H11508" i="9" s="1"/>
  <c r="F11509" i="9"/>
  <c r="H11509" i="9" s="1"/>
  <c r="F11510" i="9"/>
  <c r="H11510" i="9"/>
  <c r="F11511" i="9"/>
  <c r="H11511" i="9" s="1"/>
  <c r="F11512" i="9"/>
  <c r="H11512" i="9" s="1"/>
  <c r="F11513" i="9"/>
  <c r="H11513" i="9" s="1"/>
  <c r="F11514" i="9"/>
  <c r="H11514" i="9" s="1"/>
  <c r="F11515" i="9"/>
  <c r="H11515" i="9" s="1"/>
  <c r="F11516" i="9"/>
  <c r="H11516" i="9" s="1"/>
  <c r="F11517" i="9"/>
  <c r="H11517" i="9" s="1"/>
  <c r="F11518" i="9"/>
  <c r="H11518" i="9" s="1"/>
  <c r="F11519" i="9"/>
  <c r="H11519" i="9" s="1"/>
  <c r="F11520" i="9"/>
  <c r="H11520" i="9" s="1"/>
  <c r="F11521" i="9"/>
  <c r="H11521" i="9" s="1"/>
  <c r="F11522" i="9"/>
  <c r="H11522" i="9" s="1"/>
  <c r="F11523" i="9"/>
  <c r="H11523" i="9" s="1"/>
  <c r="F11524" i="9"/>
  <c r="H11524" i="9" s="1"/>
  <c r="F11525" i="9"/>
  <c r="H11525" i="9" s="1"/>
  <c r="F11526" i="9"/>
  <c r="H11526" i="9" s="1"/>
  <c r="F11527" i="9"/>
  <c r="H11527" i="9" s="1"/>
  <c r="F11528" i="9"/>
  <c r="H11528" i="9" s="1"/>
  <c r="F11529" i="9"/>
  <c r="H11529" i="9" s="1"/>
  <c r="F11530" i="9"/>
  <c r="H11530" i="9" s="1"/>
  <c r="F11531" i="9"/>
  <c r="H11531" i="9" s="1"/>
  <c r="F11532" i="9"/>
  <c r="H11532" i="9" s="1"/>
  <c r="F11533" i="9"/>
  <c r="H11533" i="9" s="1"/>
  <c r="F11534" i="9"/>
  <c r="H11534" i="9" s="1"/>
  <c r="F11535" i="9"/>
  <c r="H11535" i="9" s="1"/>
  <c r="F11536" i="9"/>
  <c r="H11536" i="9" s="1"/>
  <c r="F11537" i="9"/>
  <c r="H11537" i="9" s="1"/>
  <c r="F11538" i="9"/>
  <c r="H11538" i="9" s="1"/>
  <c r="F11539" i="9"/>
  <c r="H11539" i="9" s="1"/>
  <c r="F11540" i="9"/>
  <c r="H11540" i="9"/>
  <c r="F11541" i="9"/>
  <c r="H11541" i="9" s="1"/>
  <c r="F11542" i="9"/>
  <c r="H11542" i="9" s="1"/>
  <c r="F11543" i="9"/>
  <c r="H11543" i="9" s="1"/>
  <c r="F11544" i="9"/>
  <c r="H11544" i="9" s="1"/>
  <c r="F11545" i="9"/>
  <c r="H11545" i="9" s="1"/>
  <c r="F11546" i="9"/>
  <c r="H11546" i="9" s="1"/>
  <c r="F11547" i="9"/>
  <c r="H11547" i="9" s="1"/>
  <c r="F11548" i="9"/>
  <c r="H11548" i="9" s="1"/>
  <c r="F11549" i="9"/>
  <c r="H11549" i="9" s="1"/>
  <c r="F11550" i="9"/>
  <c r="H11550" i="9"/>
  <c r="F11551" i="9"/>
  <c r="H11551" i="9" s="1"/>
  <c r="F11552" i="9"/>
  <c r="H11552" i="9" s="1"/>
  <c r="F11553" i="9"/>
  <c r="H11553" i="9" s="1"/>
  <c r="F11554" i="9"/>
  <c r="H11554" i="9" s="1"/>
  <c r="F11555" i="9"/>
  <c r="H11555" i="9" s="1"/>
  <c r="F11556" i="9"/>
  <c r="H11556" i="9" s="1"/>
  <c r="F11557" i="9"/>
  <c r="H11557" i="9" s="1"/>
  <c r="F11558" i="9"/>
  <c r="H11558" i="9" s="1"/>
  <c r="F11559" i="9"/>
  <c r="H11559" i="9" s="1"/>
  <c r="F11560" i="9"/>
  <c r="H11560" i="9" s="1"/>
  <c r="F11561" i="9"/>
  <c r="H11561" i="9" s="1"/>
  <c r="F11562" i="9"/>
  <c r="H11562" i="9" s="1"/>
  <c r="F11563" i="9"/>
  <c r="H11563" i="9" s="1"/>
  <c r="F11564" i="9"/>
  <c r="H11564" i="9" s="1"/>
  <c r="F11565" i="9"/>
  <c r="H11565" i="9"/>
  <c r="F11566" i="9"/>
  <c r="H11566" i="9" s="1"/>
  <c r="F11567" i="9"/>
  <c r="H11567" i="9" s="1"/>
  <c r="F11568" i="9"/>
  <c r="H11568" i="9" s="1"/>
  <c r="F11569" i="9"/>
  <c r="H11569" i="9"/>
  <c r="F11570" i="9"/>
  <c r="H11570" i="9" s="1"/>
  <c r="F11571" i="9"/>
  <c r="H11571" i="9" s="1"/>
  <c r="F11572" i="9"/>
  <c r="H11572" i="9" s="1"/>
  <c r="F11573" i="9"/>
  <c r="H11573" i="9" s="1"/>
  <c r="F11574" i="9"/>
  <c r="H11574" i="9" s="1"/>
  <c r="F11575" i="9"/>
  <c r="H11575" i="9"/>
  <c r="F11576" i="9"/>
  <c r="H11576" i="9" s="1"/>
  <c r="F11577" i="9"/>
  <c r="H11577" i="9" s="1"/>
  <c r="F11578" i="9"/>
  <c r="H11578" i="9" s="1"/>
  <c r="F11579" i="9"/>
  <c r="H11579" i="9" s="1"/>
  <c r="F11580" i="9"/>
  <c r="H11580" i="9" s="1"/>
  <c r="F11581" i="9"/>
  <c r="H11581" i="9" s="1"/>
  <c r="F11582" i="9"/>
  <c r="H11582" i="9" s="1"/>
  <c r="F11583" i="9"/>
  <c r="H11583" i="9"/>
  <c r="F11584" i="9"/>
  <c r="H11584" i="9" s="1"/>
  <c r="F11585" i="9"/>
  <c r="H11585" i="9" s="1"/>
  <c r="F11586" i="9"/>
  <c r="H11586" i="9" s="1"/>
  <c r="F11587" i="9"/>
  <c r="H11587" i="9" s="1"/>
  <c r="F11588" i="9"/>
  <c r="H11588" i="9" s="1"/>
  <c r="F11589" i="9"/>
  <c r="H11589" i="9" s="1"/>
  <c r="F11590" i="9"/>
  <c r="H11590" i="9" s="1"/>
  <c r="F11591" i="9"/>
  <c r="H11591" i="9" s="1"/>
  <c r="F11592" i="9"/>
  <c r="H11592" i="9" s="1"/>
  <c r="F11593" i="9"/>
  <c r="H11593" i="9" s="1"/>
  <c r="F11594" i="9"/>
  <c r="H11594" i="9" s="1"/>
  <c r="F11595" i="9"/>
  <c r="H11595" i="9" s="1"/>
  <c r="F11596" i="9"/>
  <c r="H11596" i="9" s="1"/>
  <c r="F11597" i="9"/>
  <c r="H11597" i="9" s="1"/>
  <c r="F11598" i="9"/>
  <c r="H11598" i="9" s="1"/>
  <c r="F11599" i="9"/>
  <c r="H11599" i="9" s="1"/>
  <c r="F11600" i="9"/>
  <c r="H11600" i="9" s="1"/>
  <c r="F11601" i="9"/>
  <c r="H11601" i="9" s="1"/>
  <c r="F11602" i="9"/>
  <c r="H11602" i="9" s="1"/>
  <c r="F11603" i="9"/>
  <c r="H11603" i="9" s="1"/>
  <c r="F11604" i="9"/>
  <c r="H11604" i="9" s="1"/>
  <c r="F11605" i="9"/>
  <c r="H11605" i="9" s="1"/>
  <c r="F11606" i="9"/>
  <c r="H11606" i="9" s="1"/>
  <c r="F11607" i="9"/>
  <c r="H11607" i="9" s="1"/>
  <c r="F11608" i="9"/>
  <c r="H11608" i="9" s="1"/>
  <c r="F11609" i="9"/>
  <c r="H11609" i="9" s="1"/>
  <c r="F11610" i="9"/>
  <c r="H11610" i="9" s="1"/>
  <c r="F11611" i="9"/>
  <c r="H11611" i="9" s="1"/>
  <c r="F11612" i="9"/>
  <c r="H11612" i="9" s="1"/>
  <c r="F11613" i="9"/>
  <c r="H11613" i="9" s="1"/>
  <c r="F11614" i="9"/>
  <c r="H11614" i="9" s="1"/>
  <c r="F11615" i="9"/>
  <c r="H11615" i="9" s="1"/>
  <c r="F11616" i="9"/>
  <c r="H11616" i="9" s="1"/>
  <c r="F11617" i="9"/>
  <c r="H11617" i="9" s="1"/>
  <c r="F11618" i="9"/>
  <c r="H11618" i="9" s="1"/>
  <c r="F11619" i="9"/>
  <c r="H11619" i="9" s="1"/>
  <c r="F11620" i="9"/>
  <c r="H11620" i="9" s="1"/>
  <c r="F11621" i="9"/>
  <c r="H11621" i="9" s="1"/>
  <c r="F11622" i="9"/>
  <c r="H11622" i="9" s="1"/>
  <c r="F11623" i="9"/>
  <c r="H11623" i="9" s="1"/>
  <c r="F11624" i="9"/>
  <c r="H11624" i="9" s="1"/>
  <c r="F11625" i="9"/>
  <c r="H11625" i="9" s="1"/>
  <c r="F11626" i="9"/>
  <c r="H11626" i="9" s="1"/>
  <c r="F11627" i="9"/>
  <c r="H11627" i="9" s="1"/>
  <c r="F11628" i="9"/>
  <c r="H11628" i="9" s="1"/>
  <c r="F11629" i="9"/>
  <c r="H11629" i="9" s="1"/>
  <c r="F11630" i="9"/>
  <c r="H11630" i="9" s="1"/>
  <c r="F11631" i="9"/>
  <c r="H11631" i="9" s="1"/>
  <c r="F11632" i="9"/>
  <c r="H11632" i="9" s="1"/>
  <c r="F11633" i="9"/>
  <c r="H11633" i="9" s="1"/>
  <c r="F11634" i="9"/>
  <c r="H11634" i="9" s="1"/>
  <c r="F11635" i="9"/>
  <c r="H11635" i="9" s="1"/>
  <c r="F11636" i="9"/>
  <c r="H11636" i="9" s="1"/>
  <c r="F11637" i="9"/>
  <c r="H11637" i="9" s="1"/>
  <c r="F11638" i="9"/>
  <c r="H11638" i="9" s="1"/>
  <c r="F11639" i="9"/>
  <c r="H11639" i="9" s="1"/>
  <c r="F11640" i="9"/>
  <c r="H11640" i="9" s="1"/>
  <c r="F11641" i="9"/>
  <c r="H11641" i="9" s="1"/>
  <c r="F11642" i="9"/>
  <c r="H11642" i="9" s="1"/>
  <c r="F11643" i="9"/>
  <c r="H11643" i="9" s="1"/>
  <c r="F11644" i="9"/>
  <c r="H11644" i="9" s="1"/>
  <c r="F11645" i="9"/>
  <c r="H11645" i="9" s="1"/>
  <c r="F11646" i="9"/>
  <c r="H11646" i="9" s="1"/>
  <c r="F11647" i="9"/>
  <c r="H11647" i="9" s="1"/>
  <c r="F11648" i="9"/>
  <c r="H11648" i="9" s="1"/>
  <c r="F11649" i="9"/>
  <c r="H11649" i="9" s="1"/>
  <c r="F11650" i="9"/>
  <c r="H11650" i="9" s="1"/>
  <c r="F11651" i="9"/>
  <c r="H11651" i="9" s="1"/>
  <c r="F11652" i="9"/>
  <c r="H11652" i="9" s="1"/>
  <c r="F11653" i="9"/>
  <c r="H11653" i="9" s="1"/>
  <c r="F11654" i="9"/>
  <c r="H11654" i="9" s="1"/>
  <c r="F11655" i="9"/>
  <c r="H11655" i="9" s="1"/>
  <c r="F11656" i="9"/>
  <c r="H11656" i="9" s="1"/>
  <c r="F11657" i="9"/>
  <c r="H11657" i="9" s="1"/>
  <c r="F11658" i="9"/>
  <c r="H11658" i="9" s="1"/>
  <c r="F11659" i="9"/>
  <c r="H11659" i="9" s="1"/>
  <c r="F11660" i="9"/>
  <c r="H11660" i="9" s="1"/>
  <c r="F11661" i="9"/>
  <c r="H11661" i="9" s="1"/>
  <c r="F11662" i="9"/>
  <c r="H11662" i="9" s="1"/>
  <c r="F11663" i="9"/>
  <c r="H11663" i="9" s="1"/>
  <c r="F11664" i="9"/>
  <c r="H11664" i="9" s="1"/>
  <c r="F11665" i="9"/>
  <c r="H11665" i="9" s="1"/>
  <c r="F11666" i="9"/>
  <c r="H11666" i="9" s="1"/>
  <c r="F11667" i="9"/>
  <c r="H11667" i="9" s="1"/>
  <c r="F11668" i="9"/>
  <c r="H11668" i="9" s="1"/>
  <c r="F11669" i="9"/>
  <c r="H11669" i="9" s="1"/>
  <c r="F11670" i="9"/>
  <c r="H11670" i="9" s="1"/>
  <c r="F11671" i="9"/>
  <c r="H11671" i="9" s="1"/>
  <c r="F11672" i="9"/>
  <c r="H11672" i="9"/>
  <c r="F11673" i="9"/>
  <c r="H11673" i="9" s="1"/>
  <c r="F11674" i="9"/>
  <c r="H11674" i="9" s="1"/>
  <c r="F11675" i="9"/>
  <c r="H11675" i="9" s="1"/>
  <c r="F11676" i="9"/>
  <c r="H11676" i="9" s="1"/>
  <c r="F11677" i="9"/>
  <c r="H11677" i="9" s="1"/>
  <c r="F11678" i="9"/>
  <c r="H11678" i="9" s="1"/>
  <c r="F11679" i="9"/>
  <c r="H11679" i="9" s="1"/>
  <c r="F11680" i="9"/>
  <c r="H11680" i="9" s="1"/>
  <c r="F11681" i="9"/>
  <c r="H11681" i="9" s="1"/>
  <c r="F11682" i="9"/>
  <c r="H11682" i="9" s="1"/>
  <c r="F11683" i="9"/>
  <c r="H11683" i="9" s="1"/>
  <c r="F11684" i="9"/>
  <c r="H11684" i="9"/>
  <c r="F11685" i="9"/>
  <c r="H11685" i="9" s="1"/>
  <c r="F11686" i="9"/>
  <c r="H11686" i="9" s="1"/>
  <c r="F11687" i="9"/>
  <c r="H11687" i="9" s="1"/>
  <c r="F11688" i="9"/>
  <c r="H11688" i="9" s="1"/>
  <c r="F11689" i="9"/>
  <c r="H11689" i="9" s="1"/>
  <c r="F11690" i="9"/>
  <c r="H11690" i="9" s="1"/>
  <c r="F11691" i="9"/>
  <c r="H11691" i="9" s="1"/>
  <c r="F11692" i="9"/>
  <c r="H11692" i="9" s="1"/>
  <c r="F11693" i="9"/>
  <c r="H11693" i="9" s="1"/>
  <c r="F11694" i="9"/>
  <c r="H11694" i="9"/>
  <c r="F11695" i="9"/>
  <c r="H11695" i="9" s="1"/>
  <c r="F11696" i="9"/>
  <c r="H11696" i="9" s="1"/>
  <c r="F11697" i="9"/>
  <c r="H11697" i="9" s="1"/>
  <c r="F11698" i="9"/>
  <c r="H11698" i="9" s="1"/>
  <c r="F11699" i="9"/>
  <c r="H11699" i="9" s="1"/>
  <c r="F11700" i="9"/>
  <c r="H11700" i="9" s="1"/>
  <c r="F11701" i="9"/>
  <c r="H11701" i="9" s="1"/>
  <c r="F11702" i="9"/>
  <c r="H11702" i="9" s="1"/>
  <c r="F11703" i="9"/>
  <c r="H11703" i="9" s="1"/>
  <c r="F11704" i="9"/>
  <c r="H11704" i="9" s="1"/>
  <c r="F11705" i="9"/>
  <c r="H11705" i="9" s="1"/>
  <c r="F11706" i="9"/>
  <c r="H11706" i="9" s="1"/>
  <c r="F11707" i="9"/>
  <c r="H11707" i="9" s="1"/>
  <c r="F11708" i="9"/>
  <c r="H11708" i="9" s="1"/>
  <c r="F11709" i="9"/>
  <c r="H11709" i="9" s="1"/>
  <c r="F11710" i="9"/>
  <c r="H11710" i="9" s="1"/>
  <c r="F11711" i="9"/>
  <c r="H11711" i="9" s="1"/>
  <c r="F11712" i="9"/>
  <c r="H11712" i="9" s="1"/>
  <c r="F11713" i="9"/>
  <c r="H11713" i="9" s="1"/>
  <c r="F11714" i="9"/>
  <c r="H11714" i="9" s="1"/>
  <c r="F11715" i="9"/>
  <c r="H11715" i="9" s="1"/>
  <c r="F11716" i="9"/>
  <c r="H11716" i="9" s="1"/>
  <c r="F11717" i="9"/>
  <c r="H11717" i="9" s="1"/>
  <c r="F11718" i="9"/>
  <c r="H11718" i="9" s="1"/>
  <c r="F11719" i="9"/>
  <c r="H11719" i="9" s="1"/>
  <c r="F11720" i="9"/>
  <c r="H11720" i="9" s="1"/>
  <c r="F11721" i="9"/>
  <c r="H11721" i="9" s="1"/>
  <c r="F11722" i="9"/>
  <c r="H11722" i="9" s="1"/>
  <c r="F11723" i="9"/>
  <c r="H11723" i="9" s="1"/>
  <c r="F11724" i="9"/>
  <c r="H11724" i="9" s="1"/>
  <c r="F11725" i="9"/>
  <c r="H11725" i="9" s="1"/>
  <c r="F11726" i="9"/>
  <c r="H11726" i="9" s="1"/>
  <c r="F11727" i="9"/>
  <c r="H11727" i="9" s="1"/>
  <c r="F11728" i="9"/>
  <c r="H11728" i="9" s="1"/>
  <c r="F11729" i="9"/>
  <c r="H11729" i="9" s="1"/>
  <c r="F11730" i="9"/>
  <c r="H11730" i="9" s="1"/>
  <c r="F11731" i="9"/>
  <c r="H11731" i="9" s="1"/>
  <c r="F11732" i="9"/>
  <c r="H11732" i="9" s="1"/>
  <c r="F11733" i="9"/>
  <c r="H11733" i="9" s="1"/>
  <c r="F11734" i="9"/>
  <c r="H11734" i="9" s="1"/>
  <c r="F11735" i="9"/>
  <c r="H11735" i="9" s="1"/>
  <c r="F11736" i="9"/>
  <c r="H11736" i="9" s="1"/>
  <c r="F11737" i="9"/>
  <c r="H11737" i="9" s="1"/>
  <c r="F11738" i="9"/>
  <c r="H11738" i="9" s="1"/>
  <c r="F11739" i="9"/>
  <c r="H11739" i="9" s="1"/>
  <c r="F11740" i="9"/>
  <c r="H11740" i="9" s="1"/>
  <c r="F11741" i="9"/>
  <c r="H11741" i="9" s="1"/>
  <c r="F11742" i="9"/>
  <c r="H11742" i="9" s="1"/>
  <c r="F11743" i="9"/>
  <c r="H11743" i="9" s="1"/>
  <c r="F11744" i="9"/>
  <c r="H11744" i="9" s="1"/>
  <c r="F11745" i="9"/>
  <c r="H11745" i="9" s="1"/>
  <c r="F11746" i="9"/>
  <c r="H11746" i="9" s="1"/>
  <c r="F11747" i="9"/>
  <c r="H11747" i="9" s="1"/>
  <c r="F11748" i="9"/>
  <c r="H11748" i="9" s="1"/>
  <c r="F11749" i="9"/>
  <c r="H11749" i="9" s="1"/>
  <c r="F11750" i="9"/>
  <c r="H11750" i="9" s="1"/>
  <c r="F11751" i="9"/>
  <c r="H11751" i="9" s="1"/>
  <c r="F11752" i="9"/>
  <c r="H11752" i="9" s="1"/>
  <c r="F11753" i="9"/>
  <c r="H11753" i="9" s="1"/>
  <c r="F11754" i="9"/>
  <c r="H11754" i="9" s="1"/>
  <c r="F11755" i="9"/>
  <c r="H11755" i="9" s="1"/>
  <c r="F11756" i="9"/>
  <c r="H11756" i="9" s="1"/>
  <c r="F11757" i="9"/>
  <c r="H11757" i="9" s="1"/>
  <c r="F11758" i="9"/>
  <c r="H11758" i="9" s="1"/>
  <c r="F11759" i="9"/>
  <c r="H11759" i="9" s="1"/>
  <c r="F11760" i="9"/>
  <c r="H11760" i="9" s="1"/>
  <c r="F11761" i="9"/>
  <c r="H11761" i="9" s="1"/>
  <c r="F11762" i="9"/>
  <c r="H11762" i="9" s="1"/>
  <c r="F11763" i="9"/>
  <c r="H11763" i="9" s="1"/>
  <c r="F11764" i="9"/>
  <c r="H11764" i="9" s="1"/>
  <c r="F11765" i="9"/>
  <c r="H11765" i="9" s="1"/>
  <c r="F11766" i="9"/>
  <c r="H11766" i="9" s="1"/>
  <c r="F11767" i="9"/>
  <c r="H11767" i="9" s="1"/>
  <c r="F11768" i="9"/>
  <c r="H11768" i="9" s="1"/>
  <c r="F11769" i="9"/>
  <c r="H11769" i="9" s="1"/>
  <c r="F11770" i="9"/>
  <c r="H11770" i="9" s="1"/>
  <c r="F11771" i="9"/>
  <c r="H11771" i="9" s="1"/>
  <c r="F11772" i="9"/>
  <c r="H11772" i="9" s="1"/>
  <c r="F11773" i="9"/>
  <c r="H11773" i="9" s="1"/>
  <c r="F11774" i="9"/>
  <c r="H11774" i="9" s="1"/>
  <c r="F11775" i="9"/>
  <c r="H11775" i="9" s="1"/>
  <c r="F11776" i="9"/>
  <c r="H11776" i="9" s="1"/>
  <c r="F11777" i="9"/>
  <c r="H11777" i="9" s="1"/>
  <c r="F11778" i="9"/>
  <c r="H11778" i="9" s="1"/>
  <c r="F11779" i="9"/>
  <c r="H11779" i="9" s="1"/>
  <c r="F11780" i="9"/>
  <c r="H11780" i="9" s="1"/>
  <c r="F11781" i="9"/>
  <c r="H11781" i="9" s="1"/>
  <c r="F11782" i="9"/>
  <c r="H11782" i="9" s="1"/>
  <c r="F11783" i="9"/>
  <c r="H11783" i="9" s="1"/>
  <c r="F11784" i="9"/>
  <c r="H11784" i="9" s="1"/>
  <c r="F11785" i="9"/>
  <c r="H11785" i="9" s="1"/>
  <c r="F11786" i="9"/>
  <c r="H11786" i="9" s="1"/>
  <c r="F11787" i="9"/>
  <c r="H11787" i="9" s="1"/>
  <c r="F11788" i="9"/>
  <c r="H11788" i="9" s="1"/>
  <c r="F11789" i="9"/>
  <c r="H11789" i="9" s="1"/>
  <c r="F11790" i="9"/>
  <c r="H11790" i="9" s="1"/>
  <c r="F11791" i="9"/>
  <c r="H11791" i="9" s="1"/>
  <c r="F11792" i="9"/>
  <c r="H11792" i="9" s="1"/>
  <c r="F11793" i="9"/>
  <c r="H11793" i="9" s="1"/>
  <c r="F11794" i="9"/>
  <c r="H11794" i="9" s="1"/>
  <c r="F11795" i="9"/>
  <c r="H11795" i="9" s="1"/>
  <c r="F11796" i="9"/>
  <c r="H11796" i="9" s="1"/>
  <c r="F11797" i="9"/>
  <c r="H11797" i="9" s="1"/>
  <c r="F11798" i="9"/>
  <c r="H11798" i="9" s="1"/>
  <c r="F11799" i="9"/>
  <c r="H11799" i="9" s="1"/>
  <c r="F11800" i="9"/>
  <c r="H11800" i="9" s="1"/>
  <c r="F11801" i="9"/>
  <c r="H11801" i="9" s="1"/>
  <c r="F11802" i="9"/>
  <c r="H11802" i="9" s="1"/>
  <c r="F11803" i="9"/>
  <c r="H11803" i="9" s="1"/>
  <c r="F11804" i="9"/>
  <c r="H11804" i="9" s="1"/>
  <c r="F11805" i="9"/>
  <c r="H11805" i="9" s="1"/>
  <c r="F11806" i="9"/>
  <c r="H11806" i="9" s="1"/>
  <c r="F11807" i="9"/>
  <c r="H11807" i="9" s="1"/>
  <c r="F11808" i="9"/>
  <c r="H11808" i="9" s="1"/>
  <c r="F11809" i="9"/>
  <c r="H11809" i="9" s="1"/>
  <c r="F11810" i="9"/>
  <c r="H11810" i="9" s="1"/>
  <c r="F11811" i="9"/>
  <c r="H11811" i="9" s="1"/>
  <c r="F11812" i="9"/>
  <c r="H11812" i="9" s="1"/>
  <c r="F11813" i="9"/>
  <c r="H11813" i="9" s="1"/>
  <c r="F11814" i="9"/>
  <c r="H11814" i="9" s="1"/>
  <c r="F11815" i="9"/>
  <c r="H11815" i="9" s="1"/>
  <c r="F11816" i="9"/>
  <c r="H11816" i="9" s="1"/>
  <c r="F11817" i="9"/>
  <c r="H11817" i="9" s="1"/>
  <c r="F11818" i="9"/>
  <c r="H11818" i="9" s="1"/>
  <c r="F11819" i="9"/>
  <c r="H11819" i="9" s="1"/>
  <c r="F11820" i="9"/>
  <c r="H11820" i="9" s="1"/>
  <c r="F11821" i="9"/>
  <c r="H11821" i="9" s="1"/>
  <c r="F11822" i="9"/>
  <c r="H11822" i="9" s="1"/>
  <c r="F11823" i="9"/>
  <c r="H11823" i="9" s="1"/>
  <c r="F11824" i="9"/>
  <c r="H11824" i="9" s="1"/>
  <c r="F11825" i="9"/>
  <c r="H11825" i="9" s="1"/>
  <c r="F11826" i="9"/>
  <c r="H11826" i="9" s="1"/>
  <c r="F11827" i="9"/>
  <c r="H11827" i="9" s="1"/>
  <c r="F11828" i="9"/>
  <c r="H11828" i="9" s="1"/>
  <c r="F11829" i="9"/>
  <c r="H11829" i="9" s="1"/>
  <c r="F11830" i="9"/>
  <c r="H11830" i="9" s="1"/>
  <c r="F11831" i="9"/>
  <c r="H11831" i="9" s="1"/>
  <c r="F11832" i="9"/>
  <c r="H11832" i="9" s="1"/>
  <c r="F11833" i="9"/>
  <c r="H11833" i="9"/>
  <c r="F11834" i="9"/>
  <c r="H11834" i="9" s="1"/>
  <c r="F11835" i="9"/>
  <c r="H11835" i="9" s="1"/>
  <c r="F11836" i="9"/>
  <c r="H11836" i="9" s="1"/>
  <c r="F11837" i="9"/>
  <c r="H11837" i="9" s="1"/>
  <c r="F11838" i="9"/>
  <c r="H11838" i="9" s="1"/>
  <c r="F11839" i="9"/>
  <c r="H11839" i="9" s="1"/>
  <c r="F11840" i="9"/>
  <c r="H11840" i="9" s="1"/>
  <c r="F11841" i="9"/>
  <c r="H11841" i="9" s="1"/>
  <c r="F11842" i="9"/>
  <c r="H11842" i="9" s="1"/>
  <c r="F11843" i="9"/>
  <c r="H11843" i="9" s="1"/>
  <c r="F11844" i="9"/>
  <c r="H11844" i="9" s="1"/>
  <c r="F11845" i="9"/>
  <c r="H11845" i="9" s="1"/>
  <c r="F11846" i="9"/>
  <c r="H11846" i="9" s="1"/>
  <c r="F11847" i="9"/>
  <c r="H11847" i="9" s="1"/>
  <c r="F11848" i="9"/>
  <c r="H11848" i="9" s="1"/>
  <c r="F11849" i="9"/>
  <c r="H11849" i="9" s="1"/>
  <c r="F11850" i="9"/>
  <c r="H11850" i="9" s="1"/>
  <c r="F11851" i="9"/>
  <c r="H11851" i="9" s="1"/>
  <c r="F11852" i="9"/>
  <c r="H11852" i="9" s="1"/>
  <c r="F11853" i="9"/>
  <c r="H11853" i="9" s="1"/>
  <c r="F11854" i="9"/>
  <c r="H11854" i="9" s="1"/>
  <c r="F11855" i="9"/>
  <c r="H11855" i="9" s="1"/>
  <c r="F11856" i="9"/>
  <c r="H11856" i="9" s="1"/>
  <c r="F11857" i="9"/>
  <c r="H11857" i="9" s="1"/>
  <c r="F11858" i="9"/>
  <c r="H11858" i="9" s="1"/>
  <c r="F11859" i="9"/>
  <c r="H11859" i="9"/>
  <c r="F11860" i="9"/>
  <c r="H11860" i="9" s="1"/>
  <c r="F11861" i="9"/>
  <c r="H11861" i="9" s="1"/>
  <c r="F11862" i="9"/>
  <c r="H11862" i="9" s="1"/>
  <c r="F11863" i="9"/>
  <c r="H11863" i="9" s="1"/>
  <c r="F11864" i="9"/>
  <c r="H11864" i="9" s="1"/>
  <c r="F11865" i="9"/>
  <c r="H11865" i="9" s="1"/>
  <c r="F11866" i="9"/>
  <c r="H11866" i="9" s="1"/>
  <c r="F11867" i="9"/>
  <c r="H11867" i="9" s="1"/>
  <c r="F11868" i="9"/>
  <c r="H11868" i="9" s="1"/>
  <c r="F11869" i="9"/>
  <c r="H11869" i="9" s="1"/>
  <c r="F11870" i="9"/>
  <c r="H11870" i="9" s="1"/>
  <c r="F11871" i="9"/>
  <c r="H11871" i="9" s="1"/>
  <c r="F11872" i="9"/>
  <c r="H11872" i="9" s="1"/>
  <c r="F11873" i="9"/>
  <c r="H11873" i="9" s="1"/>
  <c r="F11874" i="9"/>
  <c r="H11874" i="9" s="1"/>
  <c r="F11875" i="9"/>
  <c r="H11875" i="9" s="1"/>
  <c r="F11876" i="9"/>
  <c r="H11876" i="9" s="1"/>
  <c r="F11877" i="9"/>
  <c r="H11877" i="9"/>
  <c r="F11878" i="9"/>
  <c r="H11878" i="9" s="1"/>
  <c r="F11879" i="9"/>
  <c r="H11879" i="9" s="1"/>
  <c r="F11880" i="9"/>
  <c r="H11880" i="9" s="1"/>
  <c r="F11881" i="9"/>
  <c r="H11881" i="9" s="1"/>
  <c r="F11882" i="9"/>
  <c r="H11882" i="9" s="1"/>
  <c r="F11883" i="9"/>
  <c r="H11883" i="9" s="1"/>
  <c r="F11884" i="9"/>
  <c r="H11884" i="9" s="1"/>
  <c r="F11885" i="9"/>
  <c r="H11885" i="9" s="1"/>
  <c r="F11886" i="9"/>
  <c r="H11886" i="9" s="1"/>
  <c r="F11887" i="9"/>
  <c r="H11887" i="9" s="1"/>
  <c r="F11888" i="9"/>
  <c r="H11888" i="9" s="1"/>
  <c r="F11889" i="9"/>
  <c r="H11889" i="9"/>
  <c r="F11890" i="9"/>
  <c r="H11890" i="9" s="1"/>
  <c r="F11891" i="9"/>
  <c r="H11891" i="9" s="1"/>
  <c r="F11892" i="9"/>
  <c r="H11892" i="9" s="1"/>
  <c r="F11893" i="9"/>
  <c r="H11893" i="9" s="1"/>
  <c r="F11894" i="9"/>
  <c r="H11894" i="9" s="1"/>
  <c r="F11895" i="9"/>
  <c r="H11895" i="9" s="1"/>
  <c r="F11896" i="9"/>
  <c r="H11896" i="9" s="1"/>
  <c r="F11897" i="9"/>
  <c r="H11897" i="9" s="1"/>
  <c r="F11898" i="9"/>
  <c r="H11898" i="9" s="1"/>
  <c r="F11899" i="9"/>
  <c r="H11899" i="9" s="1"/>
  <c r="F11900" i="9"/>
  <c r="H11900" i="9" s="1"/>
  <c r="F11901" i="9"/>
  <c r="H11901" i="9" s="1"/>
  <c r="F11902" i="9"/>
  <c r="H11902" i="9" s="1"/>
  <c r="F11903" i="9"/>
  <c r="H11903" i="9" s="1"/>
  <c r="F11904" i="9"/>
  <c r="H11904" i="9" s="1"/>
  <c r="F11905" i="9"/>
  <c r="H11905" i="9" s="1"/>
  <c r="F11906" i="9"/>
  <c r="H11906" i="9" s="1"/>
  <c r="F11907" i="9"/>
  <c r="H11907" i="9" s="1"/>
  <c r="F11908" i="9"/>
  <c r="H11908" i="9" s="1"/>
  <c r="F11909" i="9"/>
  <c r="H11909" i="9" s="1"/>
  <c r="F11910" i="9"/>
  <c r="H11910" i="9" s="1"/>
  <c r="F11911" i="9"/>
  <c r="H11911" i="9" s="1"/>
  <c r="F11912" i="9"/>
  <c r="H11912" i="9" s="1"/>
  <c r="F11913" i="9"/>
  <c r="H11913" i="9" s="1"/>
  <c r="F11914" i="9"/>
  <c r="H11914" i="9" s="1"/>
  <c r="F11915" i="9"/>
  <c r="H11915" i="9" s="1"/>
  <c r="F11916" i="9"/>
  <c r="H11916" i="9" s="1"/>
  <c r="F11917" i="9"/>
  <c r="H11917" i="9" s="1"/>
  <c r="F11918" i="9"/>
  <c r="H11918" i="9" s="1"/>
  <c r="F11919" i="9"/>
  <c r="H11919" i="9" s="1"/>
  <c r="F11920" i="9"/>
  <c r="H11920" i="9" s="1"/>
  <c r="F11921" i="9"/>
  <c r="H11921" i="9" s="1"/>
  <c r="F11922" i="9"/>
  <c r="H11922" i="9" s="1"/>
  <c r="F11923" i="9"/>
  <c r="H11923" i="9" s="1"/>
  <c r="F11924" i="9"/>
  <c r="H11924" i="9" s="1"/>
  <c r="F11925" i="9"/>
  <c r="H11925" i="9" s="1"/>
  <c r="F11926" i="9"/>
  <c r="H11926" i="9" s="1"/>
  <c r="F11927" i="9"/>
  <c r="H11927" i="9" s="1"/>
  <c r="F11928" i="9"/>
  <c r="H11928" i="9" s="1"/>
  <c r="F11929" i="9"/>
  <c r="H11929" i="9" s="1"/>
  <c r="F11930" i="9"/>
  <c r="H11930" i="9" s="1"/>
  <c r="F11931" i="9"/>
  <c r="H11931" i="9" s="1"/>
  <c r="F11932" i="9"/>
  <c r="H11932" i="9" s="1"/>
  <c r="F11933" i="9"/>
  <c r="H11933" i="9" s="1"/>
  <c r="F11934" i="9"/>
  <c r="H11934" i="9" s="1"/>
  <c r="F11935" i="9"/>
  <c r="H11935" i="9" s="1"/>
  <c r="F11936" i="9"/>
  <c r="H11936" i="9" s="1"/>
  <c r="F11937" i="9"/>
  <c r="H11937" i="9" s="1"/>
  <c r="F11938" i="9"/>
  <c r="H11938" i="9" s="1"/>
  <c r="F11939" i="9"/>
  <c r="H11939" i="9" s="1"/>
  <c r="F11940" i="9"/>
  <c r="H11940" i="9" s="1"/>
  <c r="F11941" i="9"/>
  <c r="H11941" i="9" s="1"/>
  <c r="F11942" i="9"/>
  <c r="H11942" i="9" s="1"/>
  <c r="F11943" i="9"/>
  <c r="H11943" i="9" s="1"/>
  <c r="F11944" i="9"/>
  <c r="H11944" i="9" s="1"/>
  <c r="F11945" i="9"/>
  <c r="H11945" i="9" s="1"/>
  <c r="F11946" i="9"/>
  <c r="H11946" i="9" s="1"/>
  <c r="F11947" i="9"/>
  <c r="H11947" i="9" s="1"/>
  <c r="F11948" i="9"/>
  <c r="H11948" i="9" s="1"/>
  <c r="F11949" i="9"/>
  <c r="H11949" i="9" s="1"/>
  <c r="F11950" i="9"/>
  <c r="H11950" i="9" s="1"/>
  <c r="F11951" i="9"/>
  <c r="H11951" i="9" s="1"/>
  <c r="F11952" i="9"/>
  <c r="H11952" i="9" s="1"/>
  <c r="F11953" i="9"/>
  <c r="H11953" i="9" s="1"/>
  <c r="F11954" i="9"/>
  <c r="H11954" i="9" s="1"/>
  <c r="F11955" i="9"/>
  <c r="H11955" i="9" s="1"/>
  <c r="F11956" i="9"/>
  <c r="H11956" i="9" s="1"/>
  <c r="F11957" i="9"/>
  <c r="H11957" i="9" s="1"/>
  <c r="F11958" i="9"/>
  <c r="H11958" i="9" s="1"/>
  <c r="F11959" i="9"/>
  <c r="H11959" i="9" s="1"/>
  <c r="F11960" i="9"/>
  <c r="H11960" i="9" s="1"/>
  <c r="F11961" i="9"/>
  <c r="H11961" i="9" s="1"/>
  <c r="F11962" i="9"/>
  <c r="H11962" i="9" s="1"/>
  <c r="F11963" i="9"/>
  <c r="H11963" i="9" s="1"/>
  <c r="F11964" i="9"/>
  <c r="H11964" i="9" s="1"/>
  <c r="F11965" i="9"/>
  <c r="H11965" i="9" s="1"/>
  <c r="F11966" i="9"/>
  <c r="H11966" i="9" s="1"/>
  <c r="F11967" i="9"/>
  <c r="H11967" i="9" s="1"/>
  <c r="F11968" i="9"/>
  <c r="H11968" i="9" s="1"/>
  <c r="F11969" i="9"/>
  <c r="H11969" i="9" s="1"/>
  <c r="F11970" i="9"/>
  <c r="H11970" i="9" s="1"/>
  <c r="F11971" i="9"/>
  <c r="H11971" i="9" s="1"/>
  <c r="F11972" i="9"/>
  <c r="H11972" i="9" s="1"/>
  <c r="F11973" i="9"/>
  <c r="H11973" i="9" s="1"/>
  <c r="F11974" i="9"/>
  <c r="H11974" i="9" s="1"/>
  <c r="F11975" i="9"/>
  <c r="H11975" i="9" s="1"/>
  <c r="F11976" i="9"/>
  <c r="H11976" i="9" s="1"/>
  <c r="F11977" i="9"/>
  <c r="H11977" i="9" s="1"/>
  <c r="F11978" i="9"/>
  <c r="H11978" i="9" s="1"/>
  <c r="F11979" i="9"/>
  <c r="H11979" i="9" s="1"/>
  <c r="F11980" i="9"/>
  <c r="H11980" i="9" s="1"/>
  <c r="F11981" i="9"/>
  <c r="H11981" i="9" s="1"/>
  <c r="F11982" i="9"/>
  <c r="H11982" i="9" s="1"/>
  <c r="F11983" i="9"/>
  <c r="H11983" i="9" s="1"/>
  <c r="F11984" i="9"/>
  <c r="H11984" i="9" s="1"/>
  <c r="F11985" i="9"/>
  <c r="H11985" i="9" s="1"/>
  <c r="F11986" i="9"/>
  <c r="H11986" i="9" s="1"/>
  <c r="F11987" i="9"/>
  <c r="H11987" i="9" s="1"/>
  <c r="F11988" i="9"/>
  <c r="H11988" i="9" s="1"/>
  <c r="F11989" i="9"/>
  <c r="H11989" i="9" s="1"/>
  <c r="F11990" i="9"/>
  <c r="H11990" i="9" s="1"/>
  <c r="F11991" i="9"/>
  <c r="H11991" i="9" s="1"/>
  <c r="F11992" i="9"/>
  <c r="H11992" i="9" s="1"/>
  <c r="F11993" i="9"/>
  <c r="H11993" i="9" s="1"/>
  <c r="F11994" i="9"/>
  <c r="H11994" i="9" s="1"/>
  <c r="F11995" i="9"/>
  <c r="H11995" i="9" s="1"/>
  <c r="F11996" i="9"/>
  <c r="H11996" i="9" s="1"/>
  <c r="F11997" i="9"/>
  <c r="H11997" i="9" s="1"/>
  <c r="F11998" i="9"/>
  <c r="H11998" i="9" s="1"/>
  <c r="F11999" i="9"/>
  <c r="H11999" i="9" s="1"/>
  <c r="F12000" i="9"/>
  <c r="H12000" i="9" s="1"/>
  <c r="F12001" i="9"/>
  <c r="H12001" i="9" s="1"/>
  <c r="F12002" i="9"/>
  <c r="H12002" i="9" s="1"/>
  <c r="F12003" i="9"/>
  <c r="H12003" i="9" s="1"/>
  <c r="F12004" i="9"/>
  <c r="H12004" i="9" s="1"/>
  <c r="F12005" i="9"/>
  <c r="H12005" i="9" s="1"/>
  <c r="F12006" i="9"/>
  <c r="H12006" i="9" s="1"/>
  <c r="F12007" i="9"/>
  <c r="H12007" i="9" s="1"/>
  <c r="F12008" i="9"/>
  <c r="H12008" i="9" s="1"/>
  <c r="F12009" i="9"/>
  <c r="H12009" i="9" s="1"/>
  <c r="F12010" i="9"/>
  <c r="H12010" i="9" s="1"/>
  <c r="F12011" i="9"/>
  <c r="H12011" i="9" s="1"/>
  <c r="F12012" i="9"/>
  <c r="H12012" i="9" s="1"/>
  <c r="F12013" i="9"/>
  <c r="H12013" i="9" s="1"/>
  <c r="F12014" i="9"/>
  <c r="H12014" i="9" s="1"/>
  <c r="F12015" i="9"/>
  <c r="H12015" i="9" s="1"/>
  <c r="F12016" i="9"/>
  <c r="H12016" i="9" s="1"/>
  <c r="F12017" i="9"/>
  <c r="H12017" i="9" s="1"/>
  <c r="F12018" i="9"/>
  <c r="H12018" i="9" s="1"/>
  <c r="F12019" i="9"/>
  <c r="H12019" i="9" s="1"/>
  <c r="F12020" i="9"/>
  <c r="H12020" i="9" s="1"/>
  <c r="F12021" i="9"/>
  <c r="H12021" i="9" s="1"/>
  <c r="F12022" i="9"/>
  <c r="H12022" i="9" s="1"/>
  <c r="F12023" i="9"/>
  <c r="H12023" i="9" s="1"/>
  <c r="F12024" i="9"/>
  <c r="H12024" i="9" s="1"/>
  <c r="F12025" i="9"/>
  <c r="H12025" i="9" s="1"/>
  <c r="F12026" i="9"/>
  <c r="H12026" i="9" s="1"/>
  <c r="F12027" i="9"/>
  <c r="H12027" i="9" s="1"/>
  <c r="F12028" i="9"/>
  <c r="H12028" i="9" s="1"/>
  <c r="F12029" i="9"/>
  <c r="H12029" i="9" s="1"/>
  <c r="F12030" i="9"/>
  <c r="H12030" i="9" s="1"/>
  <c r="F12031" i="9"/>
  <c r="H12031" i="9" s="1"/>
  <c r="F12032" i="9"/>
  <c r="H12032" i="9" s="1"/>
  <c r="F12033" i="9"/>
  <c r="H12033" i="9" s="1"/>
  <c r="F12034" i="9"/>
  <c r="H12034" i="9" s="1"/>
  <c r="F12035" i="9"/>
  <c r="H12035" i="9" s="1"/>
  <c r="F12036" i="9"/>
  <c r="H12036" i="9" s="1"/>
  <c r="F12037" i="9"/>
  <c r="H12037" i="9" s="1"/>
  <c r="F12038" i="9"/>
  <c r="H12038" i="9" s="1"/>
  <c r="F12039" i="9"/>
  <c r="H12039" i="9" s="1"/>
  <c r="F12040" i="9"/>
  <c r="H12040" i="9" s="1"/>
  <c r="F12041" i="9"/>
  <c r="H12041" i="9" s="1"/>
  <c r="F12042" i="9"/>
  <c r="H12042" i="9" s="1"/>
  <c r="F12043" i="9"/>
  <c r="H12043" i="9" s="1"/>
  <c r="F12044" i="9"/>
  <c r="H12044" i="9" s="1"/>
  <c r="F12045" i="9"/>
  <c r="H12045" i="9" s="1"/>
  <c r="F12046" i="9"/>
  <c r="H12046" i="9" s="1"/>
  <c r="F12047" i="9"/>
  <c r="H12047" i="9" s="1"/>
  <c r="F12048" i="9"/>
  <c r="H12048" i="9" s="1"/>
  <c r="F12049" i="9"/>
  <c r="H12049" i="9" s="1"/>
  <c r="F12050" i="9"/>
  <c r="H12050" i="9" s="1"/>
  <c r="F12051" i="9"/>
  <c r="H12051" i="9" s="1"/>
  <c r="F12052" i="9"/>
  <c r="H12052" i="9" s="1"/>
  <c r="F12053" i="9"/>
  <c r="H12053" i="9" s="1"/>
  <c r="F12054" i="9"/>
  <c r="H12054" i="9" s="1"/>
  <c r="F12055" i="9"/>
  <c r="H12055" i="9" s="1"/>
  <c r="F12056" i="9"/>
  <c r="H12056" i="9" s="1"/>
  <c r="F12057" i="9"/>
  <c r="H12057" i="9" s="1"/>
  <c r="F12058" i="9"/>
  <c r="H12058" i="9" s="1"/>
  <c r="F12059" i="9"/>
  <c r="H12059" i="9" s="1"/>
  <c r="F12060" i="9"/>
  <c r="H12060" i="9" s="1"/>
  <c r="F12061" i="9"/>
  <c r="H12061" i="9" s="1"/>
  <c r="F12062" i="9"/>
  <c r="H12062" i="9" s="1"/>
  <c r="F12063" i="9"/>
  <c r="H12063" i="9" s="1"/>
  <c r="F12064" i="9"/>
  <c r="H12064" i="9" s="1"/>
  <c r="F12065" i="9"/>
  <c r="H12065" i="9" s="1"/>
  <c r="F12066" i="9"/>
  <c r="H12066" i="9" s="1"/>
  <c r="F12067" i="9"/>
  <c r="H12067" i="9" s="1"/>
  <c r="F12068" i="9"/>
  <c r="H12068" i="9" s="1"/>
  <c r="F12069" i="9"/>
  <c r="H12069" i="9" s="1"/>
  <c r="F12070" i="9"/>
  <c r="H12070" i="9" s="1"/>
  <c r="F12071" i="9"/>
  <c r="H12071" i="9" s="1"/>
  <c r="F12072" i="9"/>
  <c r="H12072" i="9"/>
  <c r="F12073" i="9"/>
  <c r="H12073" i="9" s="1"/>
  <c r="F12074" i="9"/>
  <c r="H12074" i="9" s="1"/>
  <c r="F12075" i="9"/>
  <c r="H12075" i="9" s="1"/>
  <c r="F12076" i="9"/>
  <c r="H12076" i="9" s="1"/>
  <c r="F12077" i="9"/>
  <c r="H12077" i="9" s="1"/>
  <c r="F12078" i="9"/>
  <c r="H12078" i="9" s="1"/>
  <c r="F12079" i="9"/>
  <c r="H12079" i="9" s="1"/>
  <c r="F12080" i="9"/>
  <c r="H12080" i="9" s="1"/>
  <c r="F12081" i="9"/>
  <c r="H12081" i="9" s="1"/>
  <c r="F12082" i="9"/>
  <c r="H12082" i="9" s="1"/>
  <c r="F12083" i="9"/>
  <c r="H12083" i="9" s="1"/>
  <c r="F12084" i="9"/>
  <c r="H12084" i="9" s="1"/>
  <c r="F12085" i="9"/>
  <c r="H12085" i="9"/>
  <c r="F12086" i="9"/>
  <c r="H12086" i="9" s="1"/>
  <c r="F12087" i="9"/>
  <c r="H12087" i="9" s="1"/>
  <c r="F12088" i="9"/>
  <c r="H12088" i="9" s="1"/>
  <c r="F12089" i="9"/>
  <c r="H12089" i="9" s="1"/>
  <c r="F12090" i="9"/>
  <c r="H12090" i="9" s="1"/>
  <c r="F12091" i="9"/>
  <c r="H12091" i="9" s="1"/>
  <c r="F12092" i="9"/>
  <c r="H12092" i="9" s="1"/>
  <c r="F12093" i="9"/>
  <c r="H12093" i="9" s="1"/>
  <c r="F12094" i="9"/>
  <c r="H12094" i="9" s="1"/>
  <c r="F12095" i="9"/>
  <c r="H12095" i="9" s="1"/>
  <c r="F12096" i="9"/>
  <c r="H12096" i="9" s="1"/>
  <c r="F12097" i="9"/>
  <c r="H12097" i="9" s="1"/>
  <c r="F12098" i="9"/>
  <c r="H12098" i="9" s="1"/>
  <c r="F12099" i="9"/>
  <c r="H12099" i="9" s="1"/>
  <c r="F12100" i="9"/>
  <c r="H12100" i="9" s="1"/>
  <c r="F12101" i="9"/>
  <c r="H12101" i="9" s="1"/>
  <c r="F12102" i="9"/>
  <c r="H12102" i="9" s="1"/>
  <c r="F12103" i="9"/>
  <c r="H12103" i="9" s="1"/>
  <c r="F12104" i="9"/>
  <c r="H12104" i="9" s="1"/>
  <c r="F12105" i="9"/>
  <c r="H12105" i="9" s="1"/>
  <c r="F12106" i="9"/>
  <c r="H12106" i="9" s="1"/>
  <c r="F12107" i="9"/>
  <c r="H12107" i="9" s="1"/>
  <c r="F12108" i="9"/>
  <c r="H12108" i="9" s="1"/>
  <c r="F12109" i="9"/>
  <c r="H12109" i="9" s="1"/>
  <c r="F12110" i="9"/>
  <c r="H12110" i="9" s="1"/>
  <c r="F12111" i="9"/>
  <c r="H12111" i="9" s="1"/>
  <c r="F12112" i="9"/>
  <c r="H12112" i="9" s="1"/>
  <c r="F12113" i="9"/>
  <c r="H12113" i="9" s="1"/>
  <c r="F12114" i="9"/>
  <c r="H12114" i="9" s="1"/>
  <c r="F12115" i="9"/>
  <c r="H12115" i="9" s="1"/>
  <c r="F12116" i="9"/>
  <c r="H12116" i="9" s="1"/>
  <c r="F12117" i="9"/>
  <c r="H12117" i="9" s="1"/>
  <c r="F12118" i="9"/>
  <c r="H12118" i="9" s="1"/>
  <c r="F12119" i="9"/>
  <c r="H12119" i="9" s="1"/>
  <c r="F12120" i="9"/>
  <c r="H12120" i="9" s="1"/>
  <c r="F12121" i="9"/>
  <c r="H12121" i="9" s="1"/>
  <c r="F12122" i="9"/>
  <c r="H12122" i="9" s="1"/>
  <c r="F12123" i="9"/>
  <c r="H12123" i="9" s="1"/>
  <c r="F12124" i="9"/>
  <c r="H12124" i="9" s="1"/>
  <c r="F12125" i="9"/>
  <c r="H12125" i="9" s="1"/>
  <c r="F12126" i="9"/>
  <c r="H12126" i="9" s="1"/>
  <c r="F12127" i="9"/>
  <c r="H12127" i="9" s="1"/>
  <c r="F12128" i="9"/>
  <c r="H12128" i="9" s="1"/>
  <c r="F12129" i="9"/>
  <c r="H12129" i="9" s="1"/>
  <c r="F12130" i="9"/>
  <c r="H12130" i="9" s="1"/>
  <c r="F12131" i="9"/>
  <c r="H12131" i="9" s="1"/>
  <c r="F12132" i="9"/>
  <c r="H12132" i="9"/>
  <c r="F12133" i="9"/>
  <c r="H12133" i="9" s="1"/>
  <c r="F12134" i="9"/>
  <c r="H12134" i="9" s="1"/>
  <c r="F12135" i="9"/>
  <c r="H12135" i="9" s="1"/>
  <c r="F12136" i="9"/>
  <c r="H12136" i="9" s="1"/>
  <c r="F12137" i="9"/>
  <c r="H12137" i="9" s="1"/>
  <c r="F12138" i="9"/>
  <c r="H12138" i="9" s="1"/>
  <c r="F12139" i="9"/>
  <c r="H12139" i="9"/>
  <c r="F12140" i="9"/>
  <c r="H12140" i="9" s="1"/>
  <c r="F12141" i="9"/>
  <c r="H12141" i="9" s="1"/>
  <c r="F12142" i="9"/>
  <c r="H12142" i="9" s="1"/>
  <c r="F12143" i="9"/>
  <c r="H12143" i="9" s="1"/>
  <c r="F12144" i="9"/>
  <c r="H12144" i="9" s="1"/>
  <c r="F12145" i="9"/>
  <c r="H12145" i="9" s="1"/>
  <c r="F12146" i="9"/>
  <c r="H12146" i="9" s="1"/>
  <c r="F12147" i="9"/>
  <c r="H12147" i="9" s="1"/>
  <c r="F12148" i="9"/>
  <c r="H12148" i="9" s="1"/>
  <c r="F12149" i="9"/>
  <c r="H12149" i="9" s="1"/>
  <c r="F12150" i="9"/>
  <c r="H12150" i="9" s="1"/>
  <c r="F12151" i="9"/>
  <c r="H12151" i="9" s="1"/>
  <c r="F12152" i="9"/>
  <c r="H12152" i="9" s="1"/>
  <c r="F12153" i="9"/>
  <c r="H12153" i="9" s="1"/>
  <c r="F12154" i="9"/>
  <c r="H12154" i="9" s="1"/>
  <c r="F12155" i="9"/>
  <c r="H12155" i="9" s="1"/>
  <c r="F12156" i="9"/>
  <c r="H12156" i="9" s="1"/>
  <c r="F12157" i="9"/>
  <c r="H12157" i="9" s="1"/>
  <c r="F12158" i="9"/>
  <c r="H12158" i="9" s="1"/>
  <c r="F12159" i="9"/>
  <c r="H12159" i="9" s="1"/>
  <c r="F12160" i="9"/>
  <c r="H12160" i="9" s="1"/>
  <c r="F12161" i="9"/>
  <c r="H12161" i="9" s="1"/>
  <c r="F12162" i="9"/>
  <c r="H12162" i="9" s="1"/>
  <c r="F12163" i="9"/>
  <c r="H12163" i="9" s="1"/>
  <c r="F12164" i="9"/>
  <c r="H12164" i="9" s="1"/>
  <c r="F12165" i="9"/>
  <c r="H12165" i="9" s="1"/>
  <c r="F12166" i="9"/>
  <c r="H12166" i="9" s="1"/>
  <c r="F12167" i="9"/>
  <c r="H12167" i="9" s="1"/>
  <c r="F12168" i="9"/>
  <c r="H12168" i="9" s="1"/>
  <c r="F12169" i="9"/>
  <c r="H12169" i="9" s="1"/>
  <c r="F12170" i="9"/>
  <c r="H12170" i="9" s="1"/>
  <c r="F12171" i="9"/>
  <c r="H12171" i="9" s="1"/>
  <c r="F12172" i="9"/>
  <c r="H12172" i="9" s="1"/>
  <c r="F12173" i="9"/>
  <c r="H12173" i="9" s="1"/>
  <c r="F12174" i="9"/>
  <c r="H12174" i="9" s="1"/>
  <c r="F12175" i="9"/>
  <c r="H12175" i="9" s="1"/>
  <c r="F12176" i="9"/>
  <c r="H12176" i="9" s="1"/>
  <c r="F12177" i="9"/>
  <c r="H12177" i="9" s="1"/>
  <c r="F12178" i="9"/>
  <c r="H12178" i="9" s="1"/>
  <c r="F12179" i="9"/>
  <c r="H12179" i="9" s="1"/>
  <c r="F12180" i="9"/>
  <c r="H12180" i="9" s="1"/>
  <c r="F12181" i="9"/>
  <c r="H12181" i="9" s="1"/>
  <c r="F12182" i="9"/>
  <c r="H12182" i="9" s="1"/>
  <c r="F12183" i="9"/>
  <c r="H12183" i="9" s="1"/>
  <c r="F12184" i="9"/>
  <c r="H12184" i="9" s="1"/>
  <c r="F12185" i="9"/>
  <c r="H12185" i="9"/>
  <c r="F12186" i="9"/>
  <c r="H12186" i="9" s="1"/>
  <c r="F12187" i="9"/>
  <c r="H12187" i="9" s="1"/>
  <c r="F12188" i="9"/>
  <c r="H12188" i="9" s="1"/>
  <c r="F12189" i="9"/>
  <c r="H12189" i="9" s="1"/>
  <c r="F12190" i="9"/>
  <c r="H12190" i="9" s="1"/>
  <c r="F12191" i="9"/>
  <c r="H12191" i="9" s="1"/>
  <c r="F12192" i="9"/>
  <c r="H12192" i="9" s="1"/>
  <c r="F12193" i="9"/>
  <c r="H12193" i="9" s="1"/>
  <c r="F12194" i="9"/>
  <c r="H12194" i="9" s="1"/>
  <c r="F12195" i="9"/>
  <c r="H12195" i="9" s="1"/>
  <c r="F12196" i="9"/>
  <c r="H12196" i="9" s="1"/>
  <c r="F12197" i="9"/>
  <c r="H12197" i="9" s="1"/>
  <c r="F12198" i="9"/>
  <c r="H12198" i="9" s="1"/>
  <c r="F12199" i="9"/>
  <c r="H12199" i="9"/>
  <c r="F12200" i="9"/>
  <c r="H12200" i="9" s="1"/>
  <c r="F12201" i="9"/>
  <c r="H12201" i="9" s="1"/>
  <c r="F12202" i="9"/>
  <c r="H12202" i="9" s="1"/>
  <c r="F12203" i="9"/>
  <c r="H12203" i="9" s="1"/>
  <c r="F12204" i="9"/>
  <c r="H12204" i="9" s="1"/>
  <c r="F12205" i="9"/>
  <c r="H12205" i="9" s="1"/>
  <c r="F12206" i="9"/>
  <c r="H12206" i="9" s="1"/>
  <c r="F12207" i="9"/>
  <c r="H12207" i="9" s="1"/>
  <c r="F12208" i="9"/>
  <c r="H12208" i="9" s="1"/>
  <c r="F12209" i="9"/>
  <c r="H12209" i="9" s="1"/>
  <c r="F12210" i="9"/>
  <c r="H12210" i="9"/>
  <c r="F12211" i="9"/>
  <c r="H12211" i="9" s="1"/>
  <c r="F12212" i="9"/>
  <c r="H12212" i="9" s="1"/>
  <c r="F12213" i="9"/>
  <c r="H12213" i="9" s="1"/>
  <c r="F12214" i="9"/>
  <c r="H12214" i="9" s="1"/>
  <c r="F12215" i="9"/>
  <c r="H12215" i="9" s="1"/>
  <c r="F12216" i="9"/>
  <c r="H12216" i="9" s="1"/>
  <c r="F12217" i="9"/>
  <c r="H12217" i="9" s="1"/>
  <c r="F12218" i="9"/>
  <c r="H12218" i="9" s="1"/>
  <c r="F12219" i="9"/>
  <c r="H12219" i="9" s="1"/>
  <c r="F12220" i="9"/>
  <c r="H12220" i="9" s="1"/>
  <c r="F12221" i="9"/>
  <c r="H12221" i="9" s="1"/>
  <c r="F12222" i="9"/>
  <c r="H12222" i="9" s="1"/>
  <c r="F12223" i="9"/>
  <c r="H12223" i="9" s="1"/>
  <c r="F12224" i="9"/>
  <c r="H12224" i="9" s="1"/>
  <c r="F12225" i="9"/>
  <c r="H12225" i="9" s="1"/>
  <c r="F12226" i="9"/>
  <c r="H12226" i="9" s="1"/>
  <c r="F12227" i="9"/>
  <c r="H12227" i="9" s="1"/>
  <c r="F12228" i="9"/>
  <c r="H12228" i="9" s="1"/>
  <c r="F12229" i="9"/>
  <c r="H12229" i="9" s="1"/>
  <c r="F12230" i="9"/>
  <c r="H12230" i="9" s="1"/>
  <c r="F12231" i="9"/>
  <c r="H12231" i="9" s="1"/>
  <c r="F12232" i="9"/>
  <c r="H12232" i="9" s="1"/>
  <c r="F12233" i="9"/>
  <c r="H12233" i="9" s="1"/>
  <c r="F12234" i="9"/>
  <c r="H12234" i="9" s="1"/>
  <c r="F12235" i="9"/>
  <c r="H12235" i="9" s="1"/>
  <c r="F12236" i="9"/>
  <c r="H12236" i="9" s="1"/>
  <c r="F12237" i="9"/>
  <c r="H12237" i="9" s="1"/>
  <c r="F12238" i="9"/>
  <c r="H12238" i="9" s="1"/>
  <c r="F12239" i="9"/>
  <c r="H12239" i="9" s="1"/>
  <c r="F12240" i="9"/>
  <c r="H12240" i="9" s="1"/>
  <c r="F12241" i="9"/>
  <c r="H12241" i="9"/>
  <c r="F12242" i="9"/>
  <c r="H12242" i="9" s="1"/>
  <c r="F12243" i="9"/>
  <c r="H12243" i="9" s="1"/>
  <c r="F12244" i="9"/>
  <c r="H12244" i="9" s="1"/>
  <c r="F12245" i="9"/>
  <c r="H12245" i="9" s="1"/>
  <c r="F12246" i="9"/>
  <c r="H12246" i="9" s="1"/>
  <c r="F12247" i="9"/>
  <c r="H12247" i="9" s="1"/>
  <c r="F12248" i="9"/>
  <c r="H12248" i="9" s="1"/>
  <c r="F12249" i="9"/>
  <c r="H12249" i="9" s="1"/>
  <c r="F12250" i="9"/>
  <c r="H12250" i="9" s="1"/>
  <c r="F12251" i="9"/>
  <c r="H12251" i="9" s="1"/>
  <c r="F12252" i="9"/>
  <c r="H12252" i="9" s="1"/>
  <c r="F12253" i="9"/>
  <c r="H12253" i="9" s="1"/>
  <c r="F12254" i="9"/>
  <c r="H12254" i="9" s="1"/>
  <c r="F12255" i="9"/>
  <c r="H12255" i="9" s="1"/>
  <c r="F12256" i="9"/>
  <c r="H12256" i="9" s="1"/>
  <c r="F12257" i="9"/>
  <c r="H12257" i="9"/>
  <c r="F12258" i="9"/>
  <c r="H12258" i="9" s="1"/>
  <c r="F12259" i="9"/>
  <c r="H12259" i="9" s="1"/>
  <c r="F12260" i="9"/>
  <c r="H12260" i="9" s="1"/>
  <c r="F12261" i="9"/>
  <c r="H12261" i="9" s="1"/>
  <c r="F12262" i="9"/>
  <c r="H12262" i="9" s="1"/>
  <c r="F12263" i="9"/>
  <c r="H12263" i="9" s="1"/>
  <c r="F12264" i="9"/>
  <c r="H12264" i="9" s="1"/>
  <c r="F12265" i="9"/>
  <c r="H12265" i="9" s="1"/>
  <c r="F12266" i="9"/>
  <c r="H12266" i="9" s="1"/>
  <c r="F12267" i="9"/>
  <c r="H12267" i="9" s="1"/>
  <c r="F12268" i="9"/>
  <c r="H12268" i="9" s="1"/>
  <c r="F12269" i="9"/>
  <c r="H12269" i="9" s="1"/>
  <c r="F12270" i="9"/>
  <c r="H12270" i="9" s="1"/>
  <c r="F12271" i="9"/>
  <c r="H12271" i="9" s="1"/>
  <c r="F12272" i="9"/>
  <c r="H12272" i="9"/>
  <c r="F12273" i="9"/>
  <c r="H12273" i="9" s="1"/>
  <c r="F12274" i="9"/>
  <c r="H12274" i="9" s="1"/>
  <c r="F12275" i="9"/>
  <c r="H12275" i="9" s="1"/>
  <c r="F12276" i="9"/>
  <c r="H12276" i="9" s="1"/>
  <c r="F12277" i="9"/>
  <c r="H12277" i="9"/>
  <c r="F12278" i="9"/>
  <c r="H12278" i="9" s="1"/>
  <c r="F12279" i="9"/>
  <c r="H12279" i="9" s="1"/>
  <c r="F12280" i="9"/>
  <c r="H12280" i="9" s="1"/>
  <c r="F12281" i="9"/>
  <c r="H12281" i="9" s="1"/>
  <c r="F12282" i="9"/>
  <c r="H12282" i="9" s="1"/>
  <c r="F12283" i="9"/>
  <c r="H12283" i="9" s="1"/>
  <c r="F12284" i="9"/>
  <c r="H12284" i="9" s="1"/>
  <c r="F12285" i="9"/>
  <c r="H12285" i="9" s="1"/>
  <c r="F12286" i="9"/>
  <c r="H12286" i="9" s="1"/>
  <c r="F12287" i="9"/>
  <c r="H12287" i="9" s="1"/>
  <c r="F12288" i="9"/>
  <c r="H12288" i="9" s="1"/>
  <c r="F12289" i="9"/>
  <c r="H12289" i="9" s="1"/>
  <c r="F12290" i="9"/>
  <c r="H12290" i="9" s="1"/>
  <c r="F12291" i="9"/>
  <c r="H12291" i="9" s="1"/>
  <c r="F12292" i="9"/>
  <c r="H12292" i="9" s="1"/>
  <c r="F12293" i="9"/>
  <c r="H12293" i="9" s="1"/>
  <c r="F12294" i="9"/>
  <c r="H12294" i="9" s="1"/>
  <c r="F12295" i="9"/>
  <c r="H12295" i="9" s="1"/>
  <c r="F12296" i="9"/>
  <c r="H12296" i="9" s="1"/>
  <c r="F12297" i="9"/>
  <c r="H12297" i="9" s="1"/>
  <c r="F12298" i="9"/>
  <c r="H12298" i="9" s="1"/>
  <c r="F12299" i="9"/>
  <c r="H12299" i="9" s="1"/>
  <c r="F12300" i="9"/>
  <c r="H12300" i="9" s="1"/>
  <c r="F12301" i="9"/>
  <c r="H12301" i="9" s="1"/>
  <c r="F12302" i="9"/>
  <c r="H12302" i="9" s="1"/>
  <c r="F12303" i="9"/>
  <c r="H12303" i="9" s="1"/>
  <c r="F12304" i="9"/>
  <c r="H12304" i="9" s="1"/>
  <c r="F12305" i="9"/>
  <c r="H12305" i="9" s="1"/>
  <c r="F12306" i="9"/>
  <c r="H12306" i="9" s="1"/>
  <c r="F12307" i="9"/>
  <c r="H12307" i="9" s="1"/>
  <c r="F12308" i="9"/>
  <c r="H12308" i="9"/>
  <c r="F12309" i="9"/>
  <c r="H12309" i="9" s="1"/>
  <c r="F12310" i="9"/>
  <c r="H12310" i="9" s="1"/>
  <c r="F12311" i="9"/>
  <c r="H12311" i="9" s="1"/>
  <c r="F12312" i="9"/>
  <c r="H12312" i="9" s="1"/>
  <c r="F12313" i="9"/>
  <c r="H12313" i="9"/>
  <c r="F12314" i="9"/>
  <c r="H12314" i="9" s="1"/>
  <c r="F12315" i="9"/>
  <c r="H12315" i="9" s="1"/>
  <c r="F12316" i="9"/>
  <c r="H12316" i="9" s="1"/>
  <c r="F12317" i="9"/>
  <c r="H12317" i="9" s="1"/>
  <c r="F12318" i="9"/>
  <c r="H12318" i="9" s="1"/>
  <c r="F12319" i="9"/>
  <c r="H12319" i="9" s="1"/>
  <c r="F12320" i="9"/>
  <c r="H12320" i="9" s="1"/>
  <c r="F12321" i="9"/>
  <c r="H12321" i="9" s="1"/>
  <c r="F12322" i="9"/>
  <c r="H12322" i="9" s="1"/>
  <c r="F12323" i="9"/>
  <c r="H12323" i="9"/>
  <c r="F12324" i="9"/>
  <c r="H12324" i="9" s="1"/>
  <c r="F12325" i="9"/>
  <c r="H12325" i="9"/>
  <c r="F12326" i="9"/>
  <c r="H12326" i="9" s="1"/>
  <c r="F12327" i="9"/>
  <c r="H12327" i="9"/>
  <c r="F12328" i="9"/>
  <c r="H12328" i="9" s="1"/>
  <c r="F12329" i="9"/>
  <c r="H12329" i="9" s="1"/>
  <c r="F12330" i="9"/>
  <c r="H12330" i="9" s="1"/>
  <c r="F12331" i="9"/>
  <c r="H12331" i="9" s="1"/>
  <c r="F12332" i="9"/>
  <c r="H12332" i="9" s="1"/>
  <c r="F12333" i="9"/>
  <c r="H12333" i="9" s="1"/>
  <c r="F12334" i="9"/>
  <c r="H12334" i="9" s="1"/>
  <c r="F12335" i="9"/>
  <c r="H12335" i="9" s="1"/>
  <c r="F12336" i="9"/>
  <c r="H12336" i="9" s="1"/>
  <c r="F12337" i="9"/>
  <c r="H12337" i="9" s="1"/>
  <c r="F12338" i="9"/>
  <c r="H12338" i="9"/>
  <c r="F12339" i="9"/>
  <c r="H12339" i="9" s="1"/>
  <c r="F12340" i="9"/>
  <c r="H12340" i="9" s="1"/>
  <c r="F12341" i="9"/>
  <c r="H12341" i="9" s="1"/>
  <c r="F12342" i="9"/>
  <c r="H12342" i="9" s="1"/>
  <c r="F12343" i="9"/>
  <c r="H12343" i="9" s="1"/>
  <c r="F12344" i="9"/>
  <c r="H12344" i="9" s="1"/>
  <c r="F12345" i="9"/>
  <c r="H12345" i="9" s="1"/>
  <c r="F12346" i="9"/>
  <c r="H12346" i="9" s="1"/>
  <c r="F12347" i="9"/>
  <c r="H12347" i="9"/>
  <c r="F12348" i="9"/>
  <c r="H12348" i="9" s="1"/>
  <c r="F12349" i="9"/>
  <c r="H12349" i="9" s="1"/>
  <c r="F12350" i="9"/>
  <c r="H12350" i="9" s="1"/>
  <c r="F12351" i="9"/>
  <c r="H12351" i="9" s="1"/>
  <c r="F12352" i="9"/>
  <c r="H12352" i="9" s="1"/>
  <c r="F12353" i="9"/>
  <c r="H12353" i="9" s="1"/>
  <c r="F12354" i="9"/>
  <c r="H12354" i="9"/>
  <c r="F12355" i="9"/>
  <c r="H12355" i="9"/>
  <c r="F12356" i="9"/>
  <c r="H12356" i="9" s="1"/>
  <c r="F12357" i="9"/>
  <c r="H12357" i="9" s="1"/>
  <c r="F12358" i="9"/>
  <c r="H12358" i="9" s="1"/>
  <c r="F12359" i="9"/>
  <c r="H12359" i="9"/>
  <c r="F12360" i="9"/>
  <c r="H12360" i="9" s="1"/>
  <c r="F12361" i="9"/>
  <c r="H12361" i="9" s="1"/>
  <c r="F12362" i="9"/>
  <c r="H12362" i="9" s="1"/>
  <c r="F12363" i="9"/>
  <c r="H12363" i="9" s="1"/>
  <c r="F12364" i="9"/>
  <c r="H12364" i="9" s="1"/>
  <c r="F12365" i="9"/>
  <c r="H12365" i="9" s="1"/>
  <c r="F12366" i="9"/>
  <c r="H12366" i="9" s="1"/>
  <c r="F12367" i="9"/>
  <c r="H12367" i="9" s="1"/>
  <c r="F12368" i="9"/>
  <c r="H12368" i="9" s="1"/>
  <c r="F12369" i="9"/>
  <c r="H12369" i="9" s="1"/>
  <c r="F12370" i="9"/>
  <c r="H12370" i="9" s="1"/>
  <c r="F12371" i="9"/>
  <c r="H12371" i="9" s="1"/>
  <c r="F12372" i="9"/>
  <c r="H12372" i="9" s="1"/>
  <c r="F12373" i="9"/>
  <c r="H12373" i="9" s="1"/>
  <c r="F12374" i="9"/>
  <c r="H12374" i="9" s="1"/>
  <c r="F12375" i="9"/>
  <c r="H12375" i="9" s="1"/>
  <c r="F12376" i="9"/>
  <c r="H12376" i="9" s="1"/>
  <c r="F12377" i="9"/>
  <c r="H12377" i="9" s="1"/>
  <c r="F12378" i="9"/>
  <c r="H12378" i="9" s="1"/>
  <c r="F12379" i="9"/>
  <c r="H12379" i="9" s="1"/>
  <c r="F12380" i="9"/>
  <c r="H12380" i="9" s="1"/>
  <c r="F12381" i="9"/>
  <c r="H12381" i="9" s="1"/>
  <c r="F12382" i="9"/>
  <c r="H12382" i="9" s="1"/>
  <c r="F12383" i="9"/>
  <c r="H12383" i="9" s="1"/>
  <c r="F12384" i="9"/>
  <c r="H12384" i="9" s="1"/>
  <c r="F12385" i="9"/>
  <c r="H12385" i="9" s="1"/>
  <c r="F12386" i="9"/>
  <c r="H12386" i="9"/>
  <c r="F12387" i="9"/>
  <c r="H12387" i="9" s="1"/>
  <c r="F12388" i="9"/>
  <c r="H12388" i="9" s="1"/>
  <c r="F12389" i="9"/>
  <c r="H12389" i="9" s="1"/>
  <c r="F12390" i="9"/>
  <c r="H12390" i="9" s="1"/>
  <c r="F12391" i="9"/>
  <c r="H12391" i="9" s="1"/>
  <c r="F12392" i="9"/>
  <c r="H12392" i="9" s="1"/>
  <c r="F12393" i="9"/>
  <c r="H12393" i="9" s="1"/>
  <c r="F12394" i="9"/>
  <c r="H12394" i="9" s="1"/>
  <c r="F12395" i="9"/>
  <c r="H12395" i="9"/>
  <c r="F12396" i="9"/>
  <c r="H12396" i="9" s="1"/>
  <c r="F12397" i="9"/>
  <c r="H12397" i="9" s="1"/>
  <c r="F12398" i="9"/>
  <c r="H12398" i="9" s="1"/>
  <c r="F12399" i="9"/>
  <c r="H12399" i="9" s="1"/>
  <c r="F12400" i="9"/>
  <c r="H12400" i="9" s="1"/>
  <c r="F12401" i="9"/>
  <c r="H12401" i="9" s="1"/>
  <c r="F12402" i="9"/>
  <c r="H12402" i="9" s="1"/>
  <c r="F12403" i="9"/>
  <c r="H12403" i="9" s="1"/>
  <c r="F12404" i="9"/>
  <c r="H12404" i="9" s="1"/>
  <c r="F12405" i="9"/>
  <c r="H12405" i="9" s="1"/>
  <c r="F12406" i="9"/>
  <c r="H12406" i="9" s="1"/>
  <c r="F12407" i="9"/>
  <c r="H12407" i="9" s="1"/>
  <c r="F12408" i="9"/>
  <c r="H12408" i="9" s="1"/>
  <c r="F12409" i="9"/>
  <c r="H12409" i="9" s="1"/>
  <c r="F12410" i="9"/>
  <c r="H12410" i="9" s="1"/>
  <c r="F12411" i="9"/>
  <c r="H12411" i="9" s="1"/>
  <c r="F12412" i="9"/>
  <c r="H12412" i="9" s="1"/>
  <c r="F12413" i="9"/>
  <c r="H12413" i="9" s="1"/>
  <c r="F12414" i="9"/>
  <c r="H12414" i="9" s="1"/>
  <c r="F12415" i="9"/>
  <c r="H12415" i="9"/>
  <c r="F12416" i="9"/>
  <c r="H12416" i="9" s="1"/>
  <c r="F12417" i="9"/>
  <c r="H12417" i="9" s="1"/>
  <c r="F12418" i="9"/>
  <c r="H12418" i="9" s="1"/>
  <c r="F12419" i="9"/>
  <c r="H12419" i="9" s="1"/>
  <c r="F12420" i="9"/>
  <c r="H12420" i="9" s="1"/>
  <c r="F12421" i="9"/>
  <c r="H12421" i="9" s="1"/>
  <c r="F12422" i="9"/>
  <c r="H12422" i="9" s="1"/>
  <c r="F12423" i="9"/>
  <c r="H12423" i="9" s="1"/>
  <c r="F12424" i="9"/>
  <c r="H12424" i="9" s="1"/>
  <c r="F12425" i="9"/>
  <c r="H12425" i="9" s="1"/>
  <c r="F12426" i="9"/>
  <c r="H12426" i="9" s="1"/>
  <c r="F12427" i="9"/>
  <c r="H12427" i="9" s="1"/>
  <c r="F12428" i="9"/>
  <c r="H12428" i="9" s="1"/>
  <c r="F12429" i="9"/>
  <c r="H12429" i="9" s="1"/>
  <c r="F12430" i="9"/>
  <c r="H12430" i="9" s="1"/>
  <c r="F12431" i="9"/>
  <c r="H12431" i="9" s="1"/>
  <c r="F12432" i="9"/>
  <c r="H12432" i="9" s="1"/>
  <c r="F12433" i="9"/>
  <c r="H12433" i="9" s="1"/>
  <c r="F12434" i="9"/>
  <c r="H12434" i="9" s="1"/>
  <c r="F12435" i="9"/>
  <c r="H12435" i="9" s="1"/>
  <c r="F12436" i="9"/>
  <c r="H12436" i="9" s="1"/>
  <c r="F12437" i="9"/>
  <c r="H12437" i="9" s="1"/>
  <c r="F12438" i="9"/>
  <c r="H12438" i="9" s="1"/>
  <c r="F12439" i="9"/>
  <c r="H12439" i="9" s="1"/>
  <c r="F12440" i="9"/>
  <c r="H12440" i="9" s="1"/>
  <c r="F12441" i="9"/>
  <c r="H12441" i="9" s="1"/>
  <c r="F12442" i="9"/>
  <c r="H12442" i="9" s="1"/>
  <c r="F12443" i="9"/>
  <c r="H12443" i="9" s="1"/>
  <c r="F12444" i="9"/>
  <c r="H12444" i="9" s="1"/>
  <c r="F12445" i="9"/>
  <c r="H12445" i="9" s="1"/>
  <c r="F12446" i="9"/>
  <c r="H12446" i="9" s="1"/>
  <c r="F12447" i="9"/>
  <c r="H12447" i="9" s="1"/>
  <c r="F12448" i="9"/>
  <c r="H12448" i="9" s="1"/>
  <c r="F12449" i="9"/>
  <c r="H12449" i="9" s="1"/>
  <c r="F12450" i="9"/>
  <c r="H12450" i="9"/>
  <c r="F12451" i="9"/>
  <c r="H12451" i="9" s="1"/>
  <c r="F12452" i="9"/>
  <c r="H12452" i="9" s="1"/>
  <c r="F12453" i="9"/>
  <c r="H12453" i="9" s="1"/>
  <c r="F12454" i="9"/>
  <c r="H12454" i="9" s="1"/>
  <c r="F12455" i="9"/>
  <c r="H12455" i="9" s="1"/>
  <c r="F12456" i="9"/>
  <c r="H12456" i="9" s="1"/>
  <c r="F12457" i="9"/>
  <c r="H12457" i="9" s="1"/>
  <c r="F12458" i="9"/>
  <c r="H12458" i="9" s="1"/>
  <c r="F12459" i="9"/>
  <c r="H12459" i="9" s="1"/>
  <c r="F12460" i="9"/>
  <c r="H12460" i="9" s="1"/>
  <c r="F12461" i="9"/>
  <c r="H12461" i="9"/>
  <c r="F12462" i="9"/>
  <c r="H12462" i="9" s="1"/>
  <c r="F12463" i="9"/>
  <c r="H12463" i="9" s="1"/>
  <c r="F12464" i="9"/>
  <c r="H12464" i="9" s="1"/>
  <c r="F12465" i="9"/>
  <c r="H12465" i="9" s="1"/>
  <c r="F12466" i="9"/>
  <c r="H12466" i="9" s="1"/>
  <c r="F12467" i="9"/>
  <c r="H12467" i="9" s="1"/>
  <c r="F12468" i="9"/>
  <c r="H12468" i="9" s="1"/>
  <c r="F12469" i="9"/>
  <c r="H12469" i="9" s="1"/>
  <c r="F12470" i="9"/>
  <c r="H12470" i="9" s="1"/>
  <c r="F12471" i="9"/>
  <c r="H12471" i="9" s="1"/>
  <c r="F12472" i="9"/>
  <c r="H12472" i="9" s="1"/>
  <c r="F12473" i="9"/>
  <c r="H12473" i="9" s="1"/>
  <c r="F12474" i="9"/>
  <c r="H12474" i="9"/>
  <c r="F12475" i="9"/>
  <c r="H12475" i="9" s="1"/>
  <c r="F12476" i="9"/>
  <c r="H12476" i="9" s="1"/>
  <c r="F12477" i="9"/>
  <c r="H12477" i="9" s="1"/>
  <c r="F12478" i="9"/>
  <c r="H12478" i="9" s="1"/>
  <c r="F12479" i="9"/>
  <c r="H12479" i="9" s="1"/>
  <c r="F12480" i="9"/>
  <c r="H12480" i="9"/>
  <c r="F12481" i="9"/>
  <c r="H12481" i="9" s="1"/>
  <c r="F12482" i="9"/>
  <c r="H12482" i="9"/>
  <c r="F12483" i="9"/>
  <c r="H12483" i="9" s="1"/>
  <c r="F12484" i="9"/>
  <c r="H12484" i="9" s="1"/>
  <c r="F12485" i="9"/>
  <c r="H12485" i="9" s="1"/>
  <c r="F12486" i="9"/>
  <c r="H12486" i="9" s="1"/>
  <c r="F12487" i="9"/>
  <c r="H12487" i="9" s="1"/>
  <c r="F12488" i="9"/>
  <c r="H12488" i="9" s="1"/>
  <c r="F12489" i="9"/>
  <c r="H12489" i="9" s="1"/>
  <c r="F12490" i="9"/>
  <c r="H12490" i="9" s="1"/>
  <c r="F12491" i="9"/>
  <c r="H12491" i="9" s="1"/>
  <c r="F12492" i="9"/>
  <c r="H12492" i="9" s="1"/>
  <c r="F12493" i="9"/>
  <c r="H12493" i="9" s="1"/>
  <c r="F12494" i="9"/>
  <c r="H12494" i="9" s="1"/>
  <c r="F12495" i="9"/>
  <c r="H12495" i="9" s="1"/>
  <c r="F12496" i="9"/>
  <c r="H12496" i="9" s="1"/>
  <c r="F12497" i="9"/>
  <c r="H12497" i="9" s="1"/>
  <c r="F12498" i="9"/>
  <c r="H12498" i="9" s="1"/>
  <c r="F12499" i="9"/>
  <c r="H12499" i="9" s="1"/>
  <c r="F12500" i="9"/>
  <c r="H12500" i="9"/>
  <c r="F12501" i="9"/>
  <c r="H12501" i="9" s="1"/>
  <c r="F12502" i="9"/>
  <c r="H12502" i="9" s="1"/>
  <c r="F12503" i="9"/>
  <c r="H12503" i="9" s="1"/>
  <c r="F12504" i="9"/>
  <c r="H12504" i="9" s="1"/>
  <c r="F12505" i="9"/>
  <c r="H12505" i="9" s="1"/>
  <c r="F12506" i="9"/>
  <c r="H12506" i="9" s="1"/>
  <c r="F12507" i="9"/>
  <c r="H12507" i="9" s="1"/>
  <c r="F12508" i="9"/>
  <c r="H12508" i="9" s="1"/>
  <c r="F12509" i="9"/>
  <c r="H12509" i="9" s="1"/>
  <c r="F12510" i="9"/>
  <c r="H12510" i="9" s="1"/>
  <c r="F12511" i="9"/>
  <c r="H12511" i="9" s="1"/>
  <c r="F12512" i="9"/>
  <c r="H12512" i="9" s="1"/>
  <c r="F12513" i="9"/>
  <c r="H12513" i="9" s="1"/>
  <c r="F12514" i="9"/>
  <c r="H12514" i="9" s="1"/>
  <c r="F12515" i="9"/>
  <c r="H12515" i="9" s="1"/>
  <c r="F12516" i="9"/>
  <c r="H12516" i="9" s="1"/>
  <c r="F12517" i="9"/>
  <c r="H12517" i="9" s="1"/>
  <c r="F12518" i="9"/>
  <c r="H12518" i="9" s="1"/>
  <c r="F12519" i="9"/>
  <c r="H12519" i="9" s="1"/>
  <c r="F12520" i="9"/>
  <c r="H12520" i="9" s="1"/>
  <c r="F12521" i="9"/>
  <c r="H12521" i="9" s="1"/>
  <c r="F12522" i="9"/>
  <c r="H12522" i="9"/>
  <c r="F12523" i="9"/>
  <c r="H12523" i="9" s="1"/>
  <c r="F12524" i="9"/>
  <c r="H12524" i="9" s="1"/>
  <c r="F12525" i="9"/>
  <c r="H12525" i="9" s="1"/>
  <c r="F12526" i="9"/>
  <c r="H12526" i="9" s="1"/>
  <c r="F12527" i="9"/>
  <c r="H12527" i="9" s="1"/>
  <c r="F12528" i="9"/>
  <c r="H12528" i="9" s="1"/>
  <c r="F12529" i="9"/>
  <c r="H12529" i="9" s="1"/>
  <c r="F12530" i="9"/>
  <c r="H12530" i="9" s="1"/>
  <c r="F12531" i="9"/>
  <c r="H12531" i="9" s="1"/>
  <c r="F12532" i="9"/>
  <c r="H12532" i="9" s="1"/>
  <c r="F12533" i="9"/>
  <c r="H12533" i="9" s="1"/>
  <c r="F12534" i="9"/>
  <c r="H12534" i="9"/>
  <c r="F12535" i="9"/>
  <c r="H12535" i="9"/>
  <c r="F12536" i="9"/>
  <c r="H12536" i="9" s="1"/>
  <c r="F12537" i="9"/>
  <c r="H12537" i="9" s="1"/>
  <c r="F12538" i="9"/>
  <c r="H12538" i="9" s="1"/>
  <c r="F12539" i="9"/>
  <c r="H12539" i="9" s="1"/>
  <c r="F12540" i="9"/>
  <c r="H12540" i="9" s="1"/>
  <c r="F12541" i="9"/>
  <c r="H12541" i="9" s="1"/>
  <c r="F12542" i="9"/>
  <c r="H12542" i="9" s="1"/>
  <c r="F12543" i="9"/>
  <c r="H12543" i="9"/>
  <c r="F12544" i="9"/>
  <c r="H12544" i="9" s="1"/>
  <c r="F12545" i="9"/>
  <c r="H12545" i="9" s="1"/>
  <c r="F12546" i="9"/>
  <c r="H12546" i="9" s="1"/>
  <c r="F12547" i="9"/>
  <c r="H12547" i="9"/>
  <c r="F12548" i="9"/>
  <c r="H12548" i="9" s="1"/>
  <c r="F12549" i="9"/>
  <c r="H12549" i="9" s="1"/>
  <c r="F12550" i="9"/>
  <c r="H12550" i="9" s="1"/>
  <c r="F12551" i="9"/>
  <c r="H12551" i="9" s="1"/>
  <c r="F12552" i="9"/>
  <c r="H12552" i="9" s="1"/>
  <c r="F12553" i="9"/>
  <c r="H12553" i="9" s="1"/>
  <c r="F12554" i="9"/>
  <c r="H12554" i="9"/>
  <c r="F12555" i="9"/>
  <c r="H12555" i="9"/>
  <c r="F12556" i="9"/>
  <c r="H12556" i="9" s="1"/>
  <c r="F12557" i="9"/>
  <c r="H12557" i="9" s="1"/>
  <c r="F12558" i="9"/>
  <c r="H12558" i="9" s="1"/>
  <c r="F12559" i="9"/>
  <c r="H12559" i="9" s="1"/>
  <c r="F12560" i="9"/>
  <c r="H12560" i="9" s="1"/>
  <c r="F12561" i="9"/>
  <c r="H12561" i="9" s="1"/>
  <c r="F12562" i="9"/>
  <c r="H12562" i="9" s="1"/>
  <c r="F12563" i="9"/>
  <c r="H12563" i="9" s="1"/>
  <c r="F12564" i="9"/>
  <c r="H12564" i="9" s="1"/>
  <c r="F12565" i="9"/>
  <c r="H12565" i="9" s="1"/>
  <c r="F12566" i="9"/>
  <c r="H12566" i="9" s="1"/>
  <c r="F12567" i="9"/>
  <c r="H12567" i="9" s="1"/>
  <c r="F12568" i="9"/>
  <c r="H12568" i="9" s="1"/>
  <c r="F12569" i="9"/>
  <c r="H12569" i="9" s="1"/>
  <c r="F12570" i="9"/>
  <c r="H12570" i="9" s="1"/>
  <c r="F12571" i="9"/>
  <c r="H12571" i="9" s="1"/>
  <c r="F12572" i="9"/>
  <c r="H12572" i="9" s="1"/>
  <c r="F12573" i="9"/>
  <c r="H12573" i="9" s="1"/>
  <c r="F12574" i="9"/>
  <c r="H12574" i="9" s="1"/>
  <c r="F12575" i="9"/>
  <c r="H12575" i="9" s="1"/>
  <c r="F12576" i="9"/>
  <c r="H12576" i="9" s="1"/>
  <c r="F12577" i="9"/>
  <c r="H12577" i="9" s="1"/>
  <c r="F12578" i="9"/>
  <c r="H12578" i="9" s="1"/>
  <c r="F12579" i="9"/>
  <c r="H12579" i="9" s="1"/>
  <c r="F12580" i="9"/>
  <c r="H12580" i="9" s="1"/>
  <c r="F12581" i="9"/>
  <c r="H12581" i="9" s="1"/>
  <c r="F12582" i="9"/>
  <c r="H12582" i="9" s="1"/>
  <c r="F12583" i="9"/>
  <c r="H12583" i="9" s="1"/>
  <c r="F12584" i="9"/>
  <c r="H12584" i="9" s="1"/>
  <c r="F12585" i="9"/>
  <c r="H12585" i="9" s="1"/>
  <c r="F12586" i="9"/>
  <c r="H12586" i="9" s="1"/>
  <c r="F12587" i="9"/>
  <c r="H12587" i="9" s="1"/>
  <c r="F12588" i="9"/>
  <c r="H12588" i="9" s="1"/>
  <c r="F12589" i="9"/>
  <c r="H12589" i="9" s="1"/>
  <c r="F12590" i="9"/>
  <c r="H12590" i="9" s="1"/>
  <c r="F12591" i="9"/>
  <c r="H12591" i="9" s="1"/>
  <c r="F12592" i="9"/>
  <c r="H12592" i="9" s="1"/>
  <c r="F12593" i="9"/>
  <c r="H12593" i="9" s="1"/>
  <c r="F12594" i="9"/>
  <c r="H12594" i="9" s="1"/>
  <c r="F12595" i="9"/>
  <c r="H12595" i="9" s="1"/>
  <c r="F12596" i="9"/>
  <c r="H12596" i="9" s="1"/>
  <c r="F12597" i="9"/>
  <c r="H12597" i="9"/>
  <c r="F12598" i="9"/>
  <c r="H12598" i="9" s="1"/>
  <c r="F12599" i="9"/>
  <c r="H12599" i="9" s="1"/>
  <c r="F12600" i="9"/>
  <c r="H12600" i="9" s="1"/>
  <c r="F12601" i="9"/>
  <c r="H12601" i="9" s="1"/>
  <c r="F12602" i="9"/>
  <c r="H12602" i="9" s="1"/>
  <c r="F12603" i="9"/>
  <c r="H12603" i="9" s="1"/>
  <c r="F12604" i="9"/>
  <c r="H12604" i="9" s="1"/>
  <c r="F12605" i="9"/>
  <c r="H12605" i="9" s="1"/>
  <c r="F12606" i="9"/>
  <c r="H12606" i="9" s="1"/>
  <c r="F12607" i="9"/>
  <c r="H12607" i="9" s="1"/>
  <c r="F12608" i="9"/>
  <c r="H12608" i="9" s="1"/>
  <c r="F12609" i="9"/>
  <c r="H12609" i="9" s="1"/>
  <c r="F12610" i="9"/>
  <c r="H12610" i="9" s="1"/>
  <c r="F12611" i="9"/>
  <c r="H12611" i="9" s="1"/>
  <c r="F12612" i="9"/>
  <c r="H12612" i="9" s="1"/>
  <c r="F12613" i="9"/>
  <c r="H12613" i="9" s="1"/>
  <c r="F12614" i="9"/>
  <c r="H12614" i="9" s="1"/>
  <c r="F12615" i="9"/>
  <c r="H12615" i="9" s="1"/>
  <c r="F12616" i="9"/>
  <c r="H12616" i="9" s="1"/>
  <c r="F12617" i="9"/>
  <c r="H12617" i="9" s="1"/>
  <c r="F12618" i="9"/>
  <c r="H12618" i="9" s="1"/>
  <c r="F12619" i="9"/>
  <c r="H12619" i="9" s="1"/>
  <c r="F12620" i="9"/>
  <c r="H12620" i="9" s="1"/>
  <c r="F12621" i="9"/>
  <c r="H12621" i="9" s="1"/>
  <c r="F12622" i="9"/>
  <c r="H12622" i="9" s="1"/>
  <c r="F12623" i="9"/>
  <c r="H12623" i="9" s="1"/>
  <c r="F12624" i="9"/>
  <c r="H12624" i="9" s="1"/>
  <c r="F12625" i="9"/>
  <c r="H12625" i="9" s="1"/>
  <c r="F12626" i="9"/>
  <c r="H12626" i="9" s="1"/>
  <c r="F12627" i="9"/>
  <c r="H12627" i="9" s="1"/>
  <c r="F12628" i="9"/>
  <c r="H12628" i="9" s="1"/>
  <c r="F12629" i="9"/>
  <c r="H12629" i="9" s="1"/>
  <c r="F12630" i="9"/>
  <c r="H12630" i="9" s="1"/>
  <c r="F12631" i="9"/>
  <c r="H12631" i="9" s="1"/>
  <c r="F12632" i="9"/>
  <c r="H12632" i="9" s="1"/>
  <c r="F12633" i="9"/>
  <c r="H12633" i="9" s="1"/>
  <c r="F12634" i="9"/>
  <c r="H12634" i="9" s="1"/>
  <c r="F12635" i="9"/>
  <c r="H12635" i="9" s="1"/>
  <c r="F12636" i="9"/>
  <c r="H12636" i="9" s="1"/>
  <c r="F12637" i="9"/>
  <c r="H12637" i="9" s="1"/>
  <c r="F12638" i="9"/>
  <c r="H12638" i="9" s="1"/>
  <c r="F12639" i="9"/>
  <c r="H12639" i="9" s="1"/>
  <c r="F12640" i="9"/>
  <c r="H12640" i="9" s="1"/>
  <c r="F12641" i="9"/>
  <c r="H12641" i="9" s="1"/>
  <c r="F12642" i="9"/>
  <c r="H12642" i="9"/>
  <c r="F12643" i="9"/>
  <c r="H12643" i="9" s="1"/>
  <c r="F12644" i="9"/>
  <c r="H12644" i="9" s="1"/>
  <c r="F12645" i="9"/>
  <c r="H12645" i="9" s="1"/>
  <c r="F12646" i="9"/>
  <c r="H12646" i="9" s="1"/>
  <c r="F12647" i="9"/>
  <c r="H12647" i="9" s="1"/>
  <c r="F12648" i="9"/>
  <c r="H12648" i="9"/>
  <c r="F12649" i="9"/>
  <c r="H12649" i="9" s="1"/>
  <c r="F12650" i="9"/>
  <c r="H12650" i="9"/>
  <c r="F12651" i="9"/>
  <c r="H12651" i="9" s="1"/>
  <c r="F12652" i="9"/>
  <c r="H12652" i="9" s="1"/>
  <c r="F12653" i="9"/>
  <c r="H12653" i="9" s="1"/>
  <c r="F12654" i="9"/>
  <c r="H12654" i="9" s="1"/>
  <c r="F12655" i="9"/>
  <c r="H12655" i="9" s="1"/>
  <c r="F12656" i="9"/>
  <c r="H12656" i="9" s="1"/>
  <c r="F12657" i="9"/>
  <c r="H12657" i="9" s="1"/>
  <c r="F12658" i="9"/>
  <c r="H12658" i="9" s="1"/>
  <c r="F12659" i="9"/>
  <c r="H12659" i="9" s="1"/>
  <c r="F12660" i="9"/>
  <c r="H12660" i="9" s="1"/>
  <c r="F12661" i="9"/>
  <c r="H12661" i="9" s="1"/>
  <c r="F12662" i="9"/>
  <c r="H12662" i="9" s="1"/>
  <c r="F12663" i="9"/>
  <c r="H12663" i="9" s="1"/>
  <c r="F12664" i="9"/>
  <c r="H12664" i="9" s="1"/>
  <c r="F12665" i="9"/>
  <c r="H12665" i="9" s="1"/>
  <c r="F12666" i="9"/>
  <c r="H12666" i="9" s="1"/>
  <c r="F12667" i="9"/>
  <c r="H12667" i="9" s="1"/>
  <c r="F12668" i="9"/>
  <c r="H12668" i="9" s="1"/>
  <c r="F12669" i="9"/>
  <c r="H12669" i="9" s="1"/>
  <c r="F12670" i="9"/>
  <c r="H12670" i="9" s="1"/>
  <c r="F12671" i="9"/>
  <c r="H12671" i="9" s="1"/>
  <c r="F12672" i="9"/>
  <c r="H12672" i="9" s="1"/>
  <c r="F12673" i="9"/>
  <c r="H12673" i="9" s="1"/>
  <c r="F12674" i="9"/>
  <c r="H12674" i="9" s="1"/>
  <c r="F12675" i="9"/>
  <c r="H12675" i="9" s="1"/>
  <c r="F12676" i="9"/>
  <c r="H12676" i="9" s="1"/>
  <c r="F12677" i="9"/>
  <c r="H12677" i="9" s="1"/>
  <c r="F12678" i="9"/>
  <c r="H12678" i="9" s="1"/>
  <c r="F12679" i="9"/>
  <c r="H12679" i="9" s="1"/>
  <c r="F12680" i="9"/>
  <c r="H12680" i="9" s="1"/>
  <c r="F12681" i="9"/>
  <c r="H12681" i="9" s="1"/>
  <c r="F12682" i="9"/>
  <c r="H12682" i="9" s="1"/>
  <c r="F12683" i="9"/>
  <c r="H12683" i="9" s="1"/>
  <c r="F12684" i="9"/>
  <c r="H12684" i="9" s="1"/>
  <c r="F12685" i="9"/>
  <c r="H12685" i="9" s="1"/>
  <c r="F12686" i="9"/>
  <c r="H12686" i="9" s="1"/>
  <c r="F12687" i="9"/>
  <c r="H12687" i="9" s="1"/>
  <c r="F12688" i="9"/>
  <c r="H12688" i="9" s="1"/>
  <c r="F12689" i="9"/>
  <c r="H12689" i="9" s="1"/>
  <c r="F12690" i="9"/>
  <c r="H12690" i="9" s="1"/>
  <c r="F12691" i="9"/>
  <c r="H12691" i="9" s="1"/>
  <c r="F12692" i="9"/>
  <c r="H12692" i="9" s="1"/>
  <c r="F12693" i="9"/>
  <c r="H12693" i="9" s="1"/>
  <c r="F12694" i="9"/>
  <c r="H12694" i="9" s="1"/>
  <c r="F12695" i="9"/>
  <c r="H12695" i="9" s="1"/>
  <c r="F12696" i="9"/>
  <c r="H12696" i="9" s="1"/>
  <c r="F12697" i="9"/>
  <c r="H12697" i="9" s="1"/>
  <c r="F12698" i="9"/>
  <c r="H12698" i="9"/>
  <c r="F12699" i="9"/>
  <c r="H12699" i="9" s="1"/>
  <c r="F12700" i="9"/>
  <c r="H12700" i="9" s="1"/>
  <c r="F12701" i="9"/>
  <c r="H12701" i="9" s="1"/>
  <c r="F12702" i="9"/>
  <c r="H12702" i="9" s="1"/>
  <c r="F12703" i="9"/>
  <c r="H12703" i="9" s="1"/>
  <c r="F12704" i="9"/>
  <c r="H12704" i="9" s="1"/>
  <c r="F12705" i="9"/>
  <c r="H12705" i="9" s="1"/>
  <c r="F12706" i="9"/>
  <c r="H12706" i="9" s="1"/>
  <c r="F12707" i="9"/>
  <c r="H12707" i="9" s="1"/>
  <c r="F12708" i="9"/>
  <c r="H12708" i="9" s="1"/>
  <c r="F12709" i="9"/>
  <c r="H12709" i="9"/>
  <c r="F12710" i="9"/>
  <c r="H12710" i="9" s="1"/>
  <c r="F12711" i="9"/>
  <c r="H12711" i="9" s="1"/>
  <c r="F12712" i="9"/>
  <c r="H12712" i="9" s="1"/>
  <c r="F12713" i="9"/>
  <c r="H12713" i="9" s="1"/>
  <c r="F12714" i="9"/>
  <c r="H12714" i="9" s="1"/>
  <c r="F12715" i="9"/>
  <c r="H12715" i="9" s="1"/>
  <c r="F12716" i="9"/>
  <c r="H12716" i="9" s="1"/>
  <c r="F12717" i="9"/>
  <c r="H12717" i="9" s="1"/>
  <c r="F12718" i="9"/>
  <c r="H12718" i="9" s="1"/>
  <c r="F12719" i="9"/>
  <c r="H12719" i="9" s="1"/>
  <c r="F12720" i="9"/>
  <c r="H12720" i="9" s="1"/>
  <c r="F12721" i="9"/>
  <c r="H12721" i="9" s="1"/>
  <c r="F12722" i="9"/>
  <c r="H12722" i="9" s="1"/>
  <c r="F12723" i="9"/>
  <c r="H12723" i="9"/>
  <c r="F12724" i="9"/>
  <c r="H12724" i="9" s="1"/>
  <c r="F12725" i="9"/>
  <c r="H12725" i="9" s="1"/>
  <c r="F12726" i="9"/>
  <c r="H12726" i="9" s="1"/>
  <c r="F12727" i="9"/>
  <c r="H12727" i="9" s="1"/>
  <c r="F12728" i="9"/>
  <c r="H12728" i="9" s="1"/>
  <c r="F12729" i="9"/>
  <c r="H12729" i="9" s="1"/>
  <c r="F12730" i="9"/>
  <c r="H12730" i="9" s="1"/>
  <c r="F12731" i="9"/>
  <c r="H12731" i="9" s="1"/>
  <c r="F12732" i="9"/>
  <c r="H12732" i="9" s="1"/>
  <c r="F12733" i="9"/>
  <c r="H12733" i="9" s="1"/>
  <c r="F12734" i="9"/>
  <c r="H12734" i="9" s="1"/>
  <c r="F12735" i="9"/>
  <c r="H12735" i="9"/>
  <c r="F12736" i="9"/>
  <c r="H12736" i="9" s="1"/>
  <c r="F12737" i="9"/>
  <c r="H12737" i="9"/>
  <c r="F12738" i="9"/>
  <c r="H12738" i="9" s="1"/>
  <c r="F12739" i="9"/>
  <c r="H12739" i="9" s="1"/>
  <c r="F12740" i="9"/>
  <c r="H12740" i="9"/>
  <c r="F12741" i="9"/>
  <c r="H12741" i="9" s="1"/>
  <c r="F12742" i="9"/>
  <c r="H12742" i="9" s="1"/>
  <c r="F12743" i="9"/>
  <c r="H12743" i="9"/>
  <c r="F12744" i="9"/>
  <c r="H12744" i="9" s="1"/>
  <c r="F12745" i="9"/>
  <c r="H12745" i="9" s="1"/>
  <c r="F12746" i="9"/>
  <c r="H12746" i="9" s="1"/>
  <c r="F12747" i="9"/>
  <c r="H12747" i="9" s="1"/>
  <c r="F12748" i="9"/>
  <c r="H12748" i="9" s="1"/>
  <c r="F12749" i="9"/>
  <c r="H12749" i="9" s="1"/>
  <c r="F12750" i="9"/>
  <c r="H12750" i="9" s="1"/>
  <c r="F12751" i="9"/>
  <c r="H12751" i="9" s="1"/>
  <c r="F12752" i="9"/>
  <c r="H12752" i="9" s="1"/>
  <c r="F12753" i="9"/>
  <c r="H12753" i="9" s="1"/>
  <c r="F12754" i="9"/>
  <c r="H12754" i="9" s="1"/>
  <c r="F12755" i="9"/>
  <c r="H12755" i="9" s="1"/>
  <c r="F12756" i="9"/>
  <c r="H12756" i="9" s="1"/>
  <c r="F12757" i="9"/>
  <c r="H12757" i="9" s="1"/>
  <c r="F12758" i="9"/>
  <c r="H12758" i="9" s="1"/>
  <c r="F12759" i="9"/>
  <c r="H12759" i="9" s="1"/>
  <c r="F12760" i="9"/>
  <c r="H12760" i="9" s="1"/>
  <c r="F12761" i="9"/>
  <c r="H12761" i="9" s="1"/>
  <c r="F12762" i="9"/>
  <c r="H12762" i="9" s="1"/>
  <c r="F12763" i="9"/>
  <c r="H12763" i="9" s="1"/>
  <c r="F12764" i="9"/>
  <c r="H12764" i="9" s="1"/>
  <c r="F12765" i="9"/>
  <c r="H12765" i="9" s="1"/>
  <c r="F12766" i="9"/>
  <c r="H12766" i="9" s="1"/>
  <c r="F12767" i="9"/>
  <c r="H12767" i="9" s="1"/>
  <c r="F12768" i="9"/>
  <c r="H12768" i="9" s="1"/>
  <c r="F12769" i="9"/>
  <c r="H12769" i="9" s="1"/>
  <c r="F12770" i="9"/>
  <c r="H12770" i="9" s="1"/>
  <c r="F12771" i="9"/>
  <c r="H12771" i="9" s="1"/>
  <c r="F12772" i="9"/>
  <c r="H12772" i="9" s="1"/>
  <c r="F12773" i="9"/>
  <c r="H12773" i="9" s="1"/>
  <c r="F12774" i="9"/>
  <c r="H12774" i="9"/>
  <c r="F12775" i="9"/>
  <c r="H12775" i="9" s="1"/>
  <c r="F12776" i="9"/>
  <c r="H12776" i="9" s="1"/>
  <c r="F12777" i="9"/>
  <c r="H12777" i="9"/>
  <c r="F12778" i="9"/>
  <c r="H12778" i="9" s="1"/>
  <c r="F12779" i="9"/>
  <c r="H12779" i="9" s="1"/>
  <c r="F12780" i="9"/>
  <c r="H12780" i="9" s="1"/>
  <c r="F12781" i="9"/>
  <c r="H12781" i="9" s="1"/>
  <c r="F12782" i="9"/>
  <c r="H12782" i="9" s="1"/>
  <c r="F12783" i="9"/>
  <c r="H12783" i="9" s="1"/>
  <c r="F12784" i="9"/>
  <c r="H12784" i="9" s="1"/>
  <c r="F12785" i="9"/>
  <c r="H12785" i="9" s="1"/>
  <c r="F12786" i="9"/>
  <c r="H12786" i="9" s="1"/>
  <c r="F12787" i="9"/>
  <c r="H12787" i="9" s="1"/>
  <c r="F12788" i="9"/>
  <c r="H12788" i="9" s="1"/>
  <c r="F12789" i="9"/>
  <c r="H12789" i="9" s="1"/>
  <c r="F12790" i="9"/>
  <c r="H12790" i="9" s="1"/>
  <c r="F12791" i="9"/>
  <c r="H12791" i="9" s="1"/>
  <c r="F12792" i="9"/>
  <c r="H12792" i="9" s="1"/>
  <c r="F12793" i="9"/>
  <c r="H12793" i="9" s="1"/>
  <c r="F12794" i="9"/>
  <c r="H12794" i="9" s="1"/>
  <c r="F12795" i="9"/>
  <c r="H12795" i="9" s="1"/>
  <c r="F12796" i="9"/>
  <c r="H12796" i="9" s="1"/>
  <c r="F12797" i="9"/>
  <c r="H12797" i="9" s="1"/>
  <c r="F12798" i="9"/>
  <c r="H12798" i="9" s="1"/>
  <c r="F12799" i="9"/>
  <c r="H12799" i="9"/>
  <c r="F12800" i="9"/>
  <c r="H12800" i="9" s="1"/>
  <c r="F12801" i="9"/>
  <c r="H12801" i="9" s="1"/>
  <c r="F12802" i="9"/>
  <c r="H12802" i="9" s="1"/>
  <c r="F12803" i="9"/>
  <c r="H12803" i="9" s="1"/>
  <c r="F12804" i="9"/>
  <c r="H12804" i="9"/>
  <c r="F12805" i="9"/>
  <c r="H12805" i="9" s="1"/>
  <c r="F12806" i="9"/>
  <c r="H12806" i="9" s="1"/>
  <c r="F12807" i="9"/>
  <c r="H12807" i="9" s="1"/>
  <c r="F12808" i="9"/>
  <c r="H12808" i="9" s="1"/>
  <c r="F12809" i="9"/>
  <c r="H12809" i="9" s="1"/>
  <c r="F12810" i="9"/>
  <c r="H12810" i="9" s="1"/>
  <c r="F12811" i="9"/>
  <c r="H12811" i="9" s="1"/>
  <c r="F12812" i="9"/>
  <c r="H12812" i="9" s="1"/>
  <c r="F12813" i="9"/>
  <c r="H12813" i="9" s="1"/>
  <c r="F12814" i="9"/>
  <c r="H12814" i="9" s="1"/>
  <c r="F12815" i="9"/>
  <c r="H12815" i="9" s="1"/>
  <c r="F12816" i="9"/>
  <c r="H12816" i="9" s="1"/>
  <c r="F12817" i="9"/>
  <c r="H12817" i="9" s="1"/>
  <c r="F12818" i="9"/>
  <c r="H12818" i="9" s="1"/>
  <c r="F12819" i="9"/>
  <c r="H12819" i="9" s="1"/>
  <c r="F12820" i="9"/>
  <c r="H12820" i="9" s="1"/>
  <c r="F12821" i="9"/>
  <c r="H12821" i="9" s="1"/>
  <c r="F12822" i="9"/>
  <c r="H12822" i="9" s="1"/>
  <c r="F12823" i="9"/>
  <c r="H12823" i="9" s="1"/>
  <c r="F12824" i="9"/>
  <c r="H12824" i="9" s="1"/>
  <c r="F12825" i="9"/>
  <c r="H12825" i="9" s="1"/>
  <c r="F12826" i="9"/>
  <c r="H12826" i="9" s="1"/>
  <c r="F12827" i="9"/>
  <c r="H12827" i="9" s="1"/>
  <c r="F12828" i="9"/>
  <c r="H12828" i="9" s="1"/>
  <c r="F12829" i="9"/>
  <c r="H12829" i="9" s="1"/>
  <c r="F12830" i="9"/>
  <c r="H12830" i="9" s="1"/>
  <c r="F12831" i="9"/>
  <c r="H12831" i="9"/>
  <c r="F12832" i="9"/>
  <c r="H12832" i="9" s="1"/>
  <c r="F12833" i="9"/>
  <c r="H12833" i="9" s="1"/>
  <c r="F12834" i="9"/>
  <c r="H12834" i="9" s="1"/>
  <c r="F12835" i="9"/>
  <c r="H12835" i="9" s="1"/>
  <c r="F12836" i="9"/>
  <c r="H12836" i="9" s="1"/>
  <c r="F12837" i="9"/>
  <c r="H12837" i="9" s="1"/>
  <c r="F12838" i="9"/>
  <c r="H12838" i="9" s="1"/>
  <c r="F12839" i="9"/>
  <c r="H12839" i="9" s="1"/>
  <c r="F12840" i="9"/>
  <c r="H12840" i="9" s="1"/>
  <c r="F12841" i="9"/>
  <c r="H12841" i="9" s="1"/>
  <c r="F12842" i="9"/>
  <c r="H12842" i="9" s="1"/>
  <c r="F12843" i="9"/>
  <c r="H12843" i="9" s="1"/>
  <c r="F12844" i="9"/>
  <c r="H12844" i="9" s="1"/>
  <c r="F12845" i="9"/>
  <c r="H12845" i="9" s="1"/>
  <c r="F12846" i="9"/>
  <c r="H12846" i="9" s="1"/>
  <c r="F12847" i="9"/>
  <c r="H12847" i="9" s="1"/>
  <c r="F12848" i="9"/>
  <c r="H12848" i="9"/>
  <c r="F12849" i="9"/>
  <c r="H12849" i="9"/>
  <c r="F12850" i="9"/>
  <c r="H12850" i="9" s="1"/>
  <c r="F12851" i="9"/>
  <c r="H12851" i="9" s="1"/>
  <c r="F12852" i="9"/>
  <c r="H12852" i="9" s="1"/>
  <c r="F12853" i="9"/>
  <c r="H12853" i="9" s="1"/>
  <c r="F12854" i="9"/>
  <c r="H12854" i="9" s="1"/>
  <c r="F12855" i="9"/>
  <c r="H12855" i="9" s="1"/>
  <c r="F12856" i="9"/>
  <c r="H12856" i="9" s="1"/>
  <c r="F12857" i="9"/>
  <c r="H12857" i="9" s="1"/>
  <c r="F12858" i="9"/>
  <c r="H12858" i="9" s="1"/>
  <c r="F12859" i="9"/>
  <c r="H12859" i="9" s="1"/>
  <c r="F12860" i="9"/>
  <c r="H12860" i="9" s="1"/>
  <c r="F12861" i="9"/>
  <c r="H12861" i="9" s="1"/>
  <c r="F12862" i="9"/>
  <c r="H12862" i="9" s="1"/>
  <c r="F12863" i="9"/>
  <c r="H12863" i="9" s="1"/>
  <c r="F12864" i="9"/>
  <c r="H12864" i="9" s="1"/>
  <c r="F12865" i="9"/>
  <c r="H12865" i="9" s="1"/>
  <c r="F12866" i="9"/>
  <c r="H12866" i="9" s="1"/>
  <c r="F12867" i="9"/>
  <c r="H12867" i="9" s="1"/>
  <c r="F12868" i="9"/>
  <c r="H12868" i="9" s="1"/>
  <c r="F12869" i="9"/>
  <c r="H12869" i="9" s="1"/>
  <c r="F12870" i="9"/>
  <c r="H12870" i="9" s="1"/>
  <c r="F12871" i="9"/>
  <c r="H12871" i="9"/>
  <c r="F12872" i="9"/>
  <c r="H12872" i="9" s="1"/>
  <c r="F12873" i="9"/>
  <c r="H12873" i="9" s="1"/>
  <c r="F12874" i="9"/>
  <c r="H12874" i="9" s="1"/>
  <c r="F12875" i="9"/>
  <c r="H12875" i="9" s="1"/>
  <c r="F12876" i="9"/>
  <c r="H12876" i="9" s="1"/>
  <c r="F12877" i="9"/>
  <c r="H12877" i="9" s="1"/>
  <c r="F12878" i="9"/>
  <c r="H12878" i="9" s="1"/>
  <c r="F12879" i="9"/>
  <c r="H12879" i="9" s="1"/>
  <c r="F12880" i="9"/>
  <c r="H12880" i="9" s="1"/>
  <c r="F12881" i="9"/>
  <c r="H12881" i="9" s="1"/>
  <c r="F12882" i="9"/>
  <c r="H12882" i="9"/>
  <c r="F12883" i="9"/>
  <c r="H12883" i="9" s="1"/>
  <c r="F12884" i="9"/>
  <c r="H12884" i="9" s="1"/>
  <c r="F12885" i="9"/>
  <c r="H12885" i="9" s="1"/>
  <c r="F12886" i="9"/>
  <c r="H12886" i="9" s="1"/>
  <c r="F12887" i="9"/>
  <c r="H12887" i="9" s="1"/>
  <c r="F12888" i="9"/>
  <c r="H12888" i="9" s="1"/>
  <c r="F12889" i="9"/>
  <c r="H12889" i="9" s="1"/>
  <c r="F12890" i="9"/>
  <c r="H12890" i="9" s="1"/>
  <c r="F12891" i="9"/>
  <c r="H12891" i="9" s="1"/>
  <c r="F12892" i="9"/>
  <c r="H12892" i="9" s="1"/>
  <c r="F12893" i="9"/>
  <c r="H12893" i="9" s="1"/>
  <c r="F12894" i="9"/>
  <c r="H12894" i="9" s="1"/>
  <c r="F12895" i="9"/>
  <c r="H12895" i="9" s="1"/>
  <c r="F12896" i="9"/>
  <c r="H12896" i="9" s="1"/>
  <c r="F12897" i="9"/>
  <c r="H12897" i="9"/>
  <c r="F12898" i="9"/>
  <c r="H12898" i="9" s="1"/>
  <c r="F12899" i="9"/>
  <c r="H12899" i="9" s="1"/>
  <c r="F12900" i="9"/>
  <c r="H12900" i="9"/>
  <c r="F12901" i="9"/>
  <c r="H12901" i="9" s="1"/>
  <c r="F12902" i="9"/>
  <c r="H12902" i="9"/>
  <c r="F12903" i="9"/>
  <c r="H12903" i="9" s="1"/>
  <c r="F12904" i="9"/>
  <c r="H12904" i="9" s="1"/>
  <c r="F12905" i="9"/>
  <c r="H12905" i="9" s="1"/>
  <c r="F12906" i="9"/>
  <c r="H12906" i="9" s="1"/>
  <c r="F12907" i="9"/>
  <c r="H12907" i="9" s="1"/>
  <c r="F12908" i="9"/>
  <c r="H12908" i="9" s="1"/>
  <c r="F12909" i="9"/>
  <c r="H12909" i="9" s="1"/>
  <c r="F12910" i="9"/>
  <c r="H12910" i="9" s="1"/>
  <c r="F12911" i="9"/>
  <c r="H12911" i="9" s="1"/>
  <c r="F12912" i="9"/>
  <c r="H12912" i="9" s="1"/>
  <c r="F12913" i="9"/>
  <c r="H12913" i="9" s="1"/>
  <c r="F12914" i="9"/>
  <c r="H12914" i="9" s="1"/>
  <c r="F12915" i="9"/>
  <c r="H12915" i="9" s="1"/>
  <c r="F12916" i="9"/>
  <c r="H12916" i="9" s="1"/>
  <c r="F12917" i="9"/>
  <c r="H12917" i="9" s="1"/>
  <c r="F12918" i="9"/>
  <c r="H12918" i="9" s="1"/>
  <c r="F12919" i="9"/>
  <c r="H12919" i="9" s="1"/>
  <c r="F12920" i="9"/>
  <c r="H12920" i="9" s="1"/>
  <c r="F12921" i="9"/>
  <c r="H12921" i="9" s="1"/>
  <c r="F12922" i="9"/>
  <c r="H12922" i="9" s="1"/>
  <c r="F12923" i="9"/>
  <c r="H12923" i="9" s="1"/>
  <c r="F12924" i="9"/>
  <c r="H12924" i="9" s="1"/>
  <c r="F12925" i="9"/>
  <c r="H12925" i="9" s="1"/>
  <c r="F12926" i="9"/>
  <c r="H12926" i="9" s="1"/>
  <c r="F12927" i="9"/>
  <c r="H12927" i="9" s="1"/>
  <c r="F12928" i="9"/>
  <c r="H12928" i="9" s="1"/>
  <c r="F12929" i="9"/>
  <c r="H12929" i="9" s="1"/>
  <c r="F12930" i="9"/>
  <c r="H12930" i="9" s="1"/>
  <c r="F12931" i="9"/>
  <c r="H12931" i="9" s="1"/>
  <c r="F12932" i="9"/>
  <c r="H12932" i="9" s="1"/>
  <c r="F12933" i="9"/>
  <c r="H12933" i="9" s="1"/>
  <c r="F12934" i="9"/>
  <c r="H12934" i="9" s="1"/>
  <c r="F12935" i="9"/>
  <c r="H12935" i="9" s="1"/>
  <c r="F12936" i="9"/>
  <c r="H12936" i="9" s="1"/>
  <c r="F12937" i="9"/>
  <c r="H12937" i="9" s="1"/>
  <c r="F12938" i="9"/>
  <c r="H12938" i="9" s="1"/>
  <c r="F12939" i="9"/>
  <c r="H12939" i="9" s="1"/>
  <c r="F12940" i="9"/>
  <c r="H12940" i="9" s="1"/>
  <c r="F12941" i="9"/>
  <c r="H12941" i="9" s="1"/>
  <c r="F12942" i="9"/>
  <c r="H12942" i="9" s="1"/>
  <c r="F12943" i="9"/>
  <c r="H12943" i="9" s="1"/>
  <c r="F12944" i="9"/>
  <c r="H12944" i="9" s="1"/>
  <c r="F12945" i="9"/>
  <c r="H12945" i="9"/>
  <c r="F12946" i="9"/>
  <c r="H12946" i="9" s="1"/>
  <c r="F12947" i="9"/>
  <c r="H12947" i="9" s="1"/>
  <c r="F12948" i="9"/>
  <c r="H12948" i="9" s="1"/>
  <c r="F12949" i="9"/>
  <c r="H12949" i="9" s="1"/>
  <c r="F12950" i="9"/>
  <c r="H12950" i="9" s="1"/>
  <c r="F12951" i="9"/>
  <c r="H12951" i="9" s="1"/>
  <c r="F12952" i="9"/>
  <c r="H12952" i="9" s="1"/>
  <c r="F12953" i="9"/>
  <c r="H12953" i="9" s="1"/>
  <c r="F12954" i="9"/>
  <c r="H12954" i="9" s="1"/>
  <c r="F12955" i="9"/>
  <c r="H12955" i="9" s="1"/>
  <c r="F12956" i="9"/>
  <c r="H12956" i="9" s="1"/>
  <c r="F12957" i="9"/>
  <c r="H12957" i="9" s="1"/>
  <c r="F12958" i="9"/>
  <c r="H12958" i="9" s="1"/>
  <c r="F12959" i="9"/>
  <c r="H12959" i="9" s="1"/>
  <c r="F12960" i="9"/>
  <c r="H12960" i="9" s="1"/>
  <c r="F12961" i="9"/>
  <c r="H12961" i="9" s="1"/>
  <c r="F12962" i="9"/>
  <c r="H12962" i="9" s="1"/>
  <c r="F12963" i="9"/>
  <c r="H12963" i="9" s="1"/>
  <c r="F12964" i="9"/>
  <c r="H12964" i="9" s="1"/>
  <c r="F12965" i="9"/>
  <c r="H12965" i="9" s="1"/>
  <c r="F12966" i="9"/>
  <c r="H12966" i="9" s="1"/>
  <c r="F12967" i="9"/>
  <c r="H12967" i="9" s="1"/>
  <c r="F12968" i="9"/>
  <c r="H12968" i="9" s="1"/>
  <c r="F12969" i="9"/>
  <c r="H12969" i="9" s="1"/>
  <c r="F12970" i="9"/>
  <c r="H12970" i="9" s="1"/>
  <c r="F12971" i="9"/>
  <c r="H12971" i="9" s="1"/>
  <c r="F12972" i="9"/>
  <c r="H12972" i="9"/>
  <c r="F12973" i="9"/>
  <c r="H12973" i="9" s="1"/>
  <c r="F12974" i="9"/>
  <c r="H12974" i="9" s="1"/>
  <c r="F12975" i="9"/>
  <c r="H12975" i="9" s="1"/>
  <c r="F12976" i="9"/>
  <c r="H12976" i="9" s="1"/>
  <c r="F12977" i="9"/>
  <c r="H12977" i="9" s="1"/>
  <c r="F12978" i="9"/>
  <c r="H12978" i="9" s="1"/>
  <c r="F12979" i="9"/>
  <c r="H12979" i="9" s="1"/>
  <c r="F12980" i="9"/>
  <c r="H12980" i="9" s="1"/>
  <c r="F12981" i="9"/>
  <c r="H12981" i="9" s="1"/>
  <c r="F12982" i="9"/>
  <c r="H12982" i="9" s="1"/>
  <c r="F12983" i="9"/>
  <c r="H12983" i="9" s="1"/>
  <c r="F12984" i="9"/>
  <c r="H12984" i="9" s="1"/>
  <c r="F12985" i="9"/>
  <c r="H12985" i="9" s="1"/>
  <c r="F12986" i="9"/>
  <c r="H12986" i="9"/>
  <c r="F12987" i="9"/>
  <c r="H12987" i="9" s="1"/>
  <c r="F12988" i="9"/>
  <c r="H12988" i="9" s="1"/>
  <c r="F12989" i="9"/>
  <c r="H12989" i="9" s="1"/>
  <c r="F12990" i="9"/>
  <c r="H12990" i="9" s="1"/>
  <c r="F12991" i="9"/>
  <c r="H12991" i="9" s="1"/>
  <c r="F12992" i="9"/>
  <c r="H12992" i="9" s="1"/>
  <c r="F12993" i="9"/>
  <c r="H12993" i="9" s="1"/>
  <c r="F12994" i="9"/>
  <c r="H12994" i="9" s="1"/>
  <c r="F12995" i="9"/>
  <c r="H12995" i="9" s="1"/>
  <c r="F12996" i="9"/>
  <c r="H12996" i="9" s="1"/>
  <c r="F12997" i="9"/>
  <c r="H12997" i="9" s="1"/>
  <c r="F12998" i="9"/>
  <c r="H12998" i="9" s="1"/>
  <c r="F12999" i="9"/>
  <c r="H12999" i="9" s="1"/>
  <c r="F13000" i="9"/>
  <c r="H13000" i="9" s="1"/>
  <c r="F13001" i="9"/>
  <c r="H13001" i="9" s="1"/>
  <c r="F13002" i="9"/>
  <c r="H13002" i="9" s="1"/>
  <c r="F13003" i="9"/>
  <c r="H13003" i="9" s="1"/>
  <c r="F13004" i="9"/>
  <c r="H13004" i="9" s="1"/>
  <c r="F13005" i="9"/>
  <c r="H13005" i="9"/>
  <c r="F13006" i="9"/>
  <c r="H13006" i="9" s="1"/>
  <c r="F13007" i="9"/>
  <c r="H13007" i="9" s="1"/>
  <c r="F13008" i="9"/>
  <c r="H13008" i="9" s="1"/>
  <c r="F13009" i="9"/>
  <c r="H13009" i="9" s="1"/>
  <c r="F13010" i="9"/>
  <c r="H13010" i="9"/>
  <c r="F13011" i="9"/>
  <c r="H13011" i="9" s="1"/>
  <c r="F13012" i="9"/>
  <c r="H13012" i="9" s="1"/>
  <c r="F13013" i="9"/>
  <c r="H13013" i="9" s="1"/>
  <c r="F13014" i="9"/>
  <c r="H13014" i="9" s="1"/>
  <c r="F13015" i="9"/>
  <c r="H13015" i="9" s="1"/>
  <c r="F13016" i="9"/>
  <c r="H13016" i="9" s="1"/>
  <c r="F13017" i="9"/>
  <c r="H13017" i="9" s="1"/>
  <c r="F13018" i="9"/>
  <c r="H13018" i="9" s="1"/>
  <c r="F13019" i="9"/>
  <c r="H13019" i="9" s="1"/>
  <c r="F13020" i="9"/>
  <c r="H13020" i="9" s="1"/>
  <c r="F13021" i="9"/>
  <c r="H13021" i="9" s="1"/>
  <c r="F13022" i="9"/>
  <c r="H13022" i="9" s="1"/>
  <c r="F13023" i="9"/>
  <c r="H13023" i="9" s="1"/>
  <c r="F13024" i="9"/>
  <c r="H13024" i="9" s="1"/>
  <c r="F13025" i="9"/>
  <c r="H13025" i="9" s="1"/>
  <c r="F13026" i="9"/>
  <c r="H13026" i="9" s="1"/>
  <c r="F13027" i="9"/>
  <c r="H13027" i="9" s="1"/>
  <c r="F13028" i="9"/>
  <c r="H13028" i="9" s="1"/>
  <c r="F13029" i="9"/>
  <c r="H13029" i="9" s="1"/>
  <c r="F13030" i="9"/>
  <c r="H13030" i="9" s="1"/>
  <c r="F13031" i="9"/>
  <c r="H13031" i="9" s="1"/>
  <c r="F13032" i="9"/>
  <c r="H13032" i="9"/>
  <c r="F13033" i="9"/>
  <c r="H13033" i="9" s="1"/>
  <c r="F13034" i="9"/>
  <c r="H13034" i="9" s="1"/>
  <c r="F13035" i="9"/>
  <c r="H13035" i="9" s="1"/>
  <c r="F13036" i="9"/>
  <c r="H13036" i="9" s="1"/>
  <c r="F13037" i="9"/>
  <c r="H13037" i="9" s="1"/>
  <c r="F13038" i="9"/>
  <c r="H13038" i="9" s="1"/>
  <c r="F13039" i="9"/>
  <c r="H13039" i="9"/>
  <c r="F13040" i="9"/>
  <c r="H13040" i="9" s="1"/>
  <c r="F13041" i="9"/>
  <c r="H13041" i="9" s="1"/>
  <c r="F13042" i="9"/>
  <c r="H13042" i="9" s="1"/>
  <c r="F13043" i="9"/>
  <c r="H13043" i="9" s="1"/>
  <c r="F13044" i="9"/>
  <c r="H13044" i="9" s="1"/>
  <c r="F13045" i="9"/>
  <c r="H13045" i="9" s="1"/>
  <c r="F13046" i="9"/>
  <c r="H13046" i="9"/>
  <c r="F13047" i="9"/>
  <c r="H13047" i="9" s="1"/>
  <c r="F13048" i="9"/>
  <c r="H13048" i="9" s="1"/>
  <c r="F13049" i="9"/>
  <c r="H13049" i="9" s="1"/>
  <c r="F13050" i="9"/>
  <c r="H13050" i="9" s="1"/>
  <c r="F13051" i="9"/>
  <c r="H13051" i="9" s="1"/>
  <c r="F13052" i="9"/>
  <c r="H13052" i="9" s="1"/>
  <c r="F13053" i="9"/>
  <c r="H13053" i="9" s="1"/>
  <c r="F13054" i="9"/>
  <c r="H13054" i="9" s="1"/>
  <c r="F13055" i="9"/>
  <c r="H13055" i="9" s="1"/>
  <c r="F13056" i="9"/>
  <c r="H13056" i="9" s="1"/>
  <c r="F13057" i="9"/>
  <c r="H13057" i="9" s="1"/>
  <c r="F13058" i="9"/>
  <c r="H13058" i="9" s="1"/>
  <c r="F13059" i="9"/>
  <c r="H13059" i="9" s="1"/>
  <c r="F13060" i="9"/>
  <c r="H13060" i="9" s="1"/>
  <c r="F13061" i="9"/>
  <c r="H13061" i="9" s="1"/>
  <c r="F13062" i="9"/>
  <c r="H13062" i="9" s="1"/>
  <c r="F13063" i="9"/>
  <c r="H13063" i="9" s="1"/>
  <c r="F13064" i="9"/>
  <c r="H13064" i="9" s="1"/>
  <c r="F13065" i="9"/>
  <c r="H13065" i="9" s="1"/>
  <c r="F13066" i="9"/>
  <c r="H13066" i="9" s="1"/>
  <c r="F13067" i="9"/>
  <c r="H13067" i="9" s="1"/>
  <c r="F13068" i="9"/>
  <c r="H13068" i="9" s="1"/>
  <c r="F13069" i="9"/>
  <c r="H13069" i="9" s="1"/>
  <c r="F13070" i="9"/>
  <c r="H13070" i="9" s="1"/>
  <c r="F13071" i="9"/>
  <c r="H13071" i="9" s="1"/>
  <c r="F13072" i="9"/>
  <c r="H13072" i="9" s="1"/>
  <c r="F13073" i="9"/>
  <c r="H13073" i="9" s="1"/>
  <c r="F13074" i="9"/>
  <c r="H13074" i="9" s="1"/>
  <c r="F13075" i="9"/>
  <c r="H13075" i="9" s="1"/>
  <c r="F13076" i="9"/>
  <c r="H13076" i="9" s="1"/>
  <c r="F13077" i="9"/>
  <c r="H13077" i="9" s="1"/>
  <c r="F13078" i="9"/>
  <c r="H13078" i="9" s="1"/>
  <c r="F13079" i="9"/>
  <c r="H13079" i="9" s="1"/>
  <c r="F13080" i="9"/>
  <c r="H13080" i="9"/>
  <c r="F13081" i="9"/>
  <c r="H13081" i="9" s="1"/>
  <c r="F13082" i="9"/>
  <c r="H13082" i="9"/>
  <c r="F13083" i="9"/>
  <c r="H13083" i="9" s="1"/>
  <c r="F13084" i="9"/>
  <c r="H13084" i="9" s="1"/>
  <c r="F13085" i="9"/>
  <c r="H13085" i="9" s="1"/>
  <c r="F13086" i="9"/>
  <c r="H13086" i="9" s="1"/>
  <c r="F13087" i="9"/>
  <c r="H13087" i="9" s="1"/>
  <c r="F13088" i="9"/>
  <c r="H13088" i="9" s="1"/>
  <c r="F13089" i="9"/>
  <c r="H13089" i="9" s="1"/>
  <c r="F13090" i="9"/>
  <c r="H13090" i="9" s="1"/>
  <c r="F13091" i="9"/>
  <c r="H13091" i="9" s="1"/>
  <c r="F13092" i="9"/>
  <c r="H13092" i="9" s="1"/>
  <c r="F13093" i="9"/>
  <c r="H13093" i="9" s="1"/>
  <c r="F13094" i="9"/>
  <c r="H13094" i="9" s="1"/>
  <c r="F13095" i="9"/>
  <c r="H13095" i="9" s="1"/>
  <c r="F13096" i="9"/>
  <c r="H13096" i="9" s="1"/>
  <c r="F13097" i="9"/>
  <c r="H13097" i="9" s="1"/>
  <c r="F13098" i="9"/>
  <c r="H13098" i="9" s="1"/>
  <c r="F13099" i="9"/>
  <c r="H13099" i="9" s="1"/>
  <c r="F13100" i="9"/>
  <c r="H13100" i="9" s="1"/>
  <c r="F13101" i="9"/>
  <c r="H13101" i="9" s="1"/>
  <c r="F13102" i="9"/>
  <c r="H13102" i="9" s="1"/>
  <c r="F13103" i="9"/>
  <c r="H13103" i="9" s="1"/>
  <c r="F13104" i="9"/>
  <c r="H13104" i="9"/>
  <c r="F13105" i="9"/>
  <c r="H13105" i="9" s="1"/>
  <c r="F13106" i="9"/>
  <c r="H13106" i="9" s="1"/>
  <c r="F13107" i="9"/>
  <c r="H13107" i="9" s="1"/>
  <c r="F13108" i="9"/>
  <c r="H13108" i="9" s="1"/>
  <c r="F13109" i="9"/>
  <c r="H13109" i="9" s="1"/>
  <c r="F13110" i="9"/>
  <c r="H13110" i="9" s="1"/>
  <c r="F13111" i="9"/>
  <c r="H13111" i="9" s="1"/>
  <c r="F13112" i="9"/>
  <c r="H13112" i="9" s="1"/>
  <c r="F13113" i="9"/>
  <c r="H13113" i="9"/>
  <c r="F13114" i="9"/>
  <c r="H13114" i="9" s="1"/>
  <c r="F13115" i="9"/>
  <c r="H13115" i="9" s="1"/>
  <c r="F13116" i="9"/>
  <c r="H13116" i="9" s="1"/>
  <c r="F13117" i="9"/>
  <c r="H13117" i="9" s="1"/>
  <c r="F13118" i="9"/>
  <c r="H13118" i="9" s="1"/>
  <c r="F13119" i="9"/>
  <c r="H13119" i="9" s="1"/>
  <c r="F13120" i="9"/>
  <c r="H13120" i="9" s="1"/>
  <c r="F13121" i="9"/>
  <c r="H13121" i="9" s="1"/>
  <c r="F13122" i="9"/>
  <c r="H13122" i="9" s="1"/>
  <c r="F13123" i="9"/>
  <c r="H13123" i="9" s="1"/>
  <c r="F13124" i="9"/>
  <c r="H13124" i="9" s="1"/>
  <c r="F13125" i="9"/>
  <c r="H13125" i="9" s="1"/>
  <c r="F13126" i="9"/>
  <c r="H13126" i="9" s="1"/>
  <c r="F13127" i="9"/>
  <c r="H13127" i="9" s="1"/>
  <c r="F13128" i="9"/>
  <c r="H13128" i="9" s="1"/>
  <c r="F13129" i="9"/>
  <c r="H13129" i="9" s="1"/>
  <c r="F13130" i="9"/>
  <c r="H13130" i="9" s="1"/>
  <c r="F13131" i="9"/>
  <c r="H13131" i="9" s="1"/>
  <c r="F13132" i="9"/>
  <c r="H13132" i="9" s="1"/>
  <c r="F13133" i="9"/>
  <c r="H13133" i="9" s="1"/>
  <c r="F13134" i="9"/>
  <c r="H13134" i="9" s="1"/>
  <c r="F13135" i="9"/>
  <c r="H13135" i="9" s="1"/>
  <c r="F13136" i="9"/>
  <c r="H13136" i="9" s="1"/>
  <c r="F13137" i="9"/>
  <c r="H13137" i="9" s="1"/>
  <c r="F13138" i="9"/>
  <c r="H13138" i="9" s="1"/>
  <c r="F13139" i="9"/>
  <c r="H13139" i="9" s="1"/>
  <c r="F13140" i="9"/>
  <c r="H13140" i="9"/>
  <c r="F13141" i="9"/>
  <c r="H13141" i="9" s="1"/>
  <c r="F13142" i="9"/>
  <c r="H13142" i="9" s="1"/>
  <c r="F13143" i="9"/>
  <c r="H13143" i="9" s="1"/>
  <c r="F13144" i="9"/>
  <c r="H13144" i="9" s="1"/>
  <c r="F13145" i="9"/>
  <c r="H13145" i="9" s="1"/>
  <c r="F13146" i="9"/>
  <c r="H13146" i="9" s="1"/>
  <c r="F13147" i="9"/>
  <c r="H13147" i="9" s="1"/>
  <c r="F13148" i="9"/>
  <c r="H13148" i="9" s="1"/>
  <c r="F13149" i="9"/>
  <c r="H13149" i="9" s="1"/>
  <c r="F13150" i="9"/>
  <c r="H13150" i="9" s="1"/>
  <c r="F13151" i="9"/>
  <c r="H13151" i="9" s="1"/>
  <c r="F13152" i="9"/>
  <c r="H13152" i="9" s="1"/>
  <c r="F13153" i="9"/>
  <c r="H13153" i="9" s="1"/>
  <c r="F13154" i="9"/>
  <c r="H13154" i="9" s="1"/>
  <c r="F13155" i="9"/>
  <c r="H13155" i="9" s="1"/>
  <c r="F13156" i="9"/>
  <c r="H13156" i="9" s="1"/>
  <c r="F13157" i="9"/>
  <c r="H13157" i="9" s="1"/>
  <c r="F13158" i="9"/>
  <c r="H13158" i="9" s="1"/>
  <c r="F13159" i="9"/>
  <c r="H13159" i="9" s="1"/>
  <c r="F13160" i="9"/>
  <c r="H13160" i="9" s="1"/>
  <c r="F13161" i="9"/>
  <c r="H13161" i="9"/>
  <c r="F13162" i="9"/>
  <c r="H13162" i="9" s="1"/>
  <c r="F13163" i="9"/>
  <c r="H13163" i="9" s="1"/>
  <c r="F13164" i="9"/>
  <c r="H13164" i="9" s="1"/>
  <c r="F13165" i="9"/>
  <c r="H13165" i="9" s="1"/>
  <c r="F13166" i="9"/>
  <c r="H13166" i="9" s="1"/>
  <c r="F13167" i="9"/>
  <c r="H13167" i="9" s="1"/>
  <c r="F13168" i="9"/>
  <c r="H13168" i="9" s="1"/>
  <c r="F13169" i="9"/>
  <c r="H13169" i="9" s="1"/>
  <c r="F13170" i="9"/>
  <c r="H13170" i="9" s="1"/>
  <c r="F13171" i="9"/>
  <c r="H13171" i="9" s="1"/>
  <c r="F13172" i="9"/>
  <c r="H13172" i="9" s="1"/>
  <c r="F13173" i="9"/>
  <c r="H13173" i="9" s="1"/>
  <c r="F13174" i="9"/>
  <c r="H13174" i="9" s="1"/>
  <c r="F13175" i="9"/>
  <c r="H13175" i="9" s="1"/>
  <c r="F13176" i="9"/>
  <c r="H13176" i="9" s="1"/>
  <c r="F13177" i="9"/>
  <c r="H13177" i="9" s="1"/>
  <c r="F13178" i="9"/>
  <c r="H13178" i="9" s="1"/>
  <c r="F13179" i="9"/>
  <c r="H13179" i="9" s="1"/>
  <c r="F13180" i="9"/>
  <c r="H13180" i="9" s="1"/>
  <c r="F13181" i="9"/>
  <c r="H13181" i="9" s="1"/>
  <c r="F13182" i="9"/>
  <c r="H13182" i="9" s="1"/>
  <c r="F13183" i="9"/>
  <c r="H13183" i="9"/>
  <c r="F13184" i="9"/>
  <c r="H13184" i="9" s="1"/>
  <c r="F13185" i="9"/>
  <c r="H13185" i="9"/>
  <c r="F13186" i="9"/>
  <c r="H13186" i="9" s="1"/>
  <c r="F13187" i="9"/>
  <c r="H13187" i="9" s="1"/>
  <c r="F13188" i="9"/>
  <c r="H13188" i="9" s="1"/>
  <c r="F13189" i="9"/>
  <c r="H13189" i="9" s="1"/>
  <c r="F13190" i="9"/>
  <c r="H13190" i="9" s="1"/>
  <c r="F13191" i="9"/>
  <c r="H13191" i="9" s="1"/>
  <c r="F13192" i="9"/>
  <c r="H13192" i="9" s="1"/>
  <c r="F13193" i="9"/>
  <c r="H13193" i="9" s="1"/>
  <c r="F13194" i="9"/>
  <c r="H13194" i="9" s="1"/>
  <c r="F13195" i="9"/>
  <c r="H13195" i="9" s="1"/>
  <c r="F13196" i="9"/>
  <c r="H13196" i="9" s="1"/>
  <c r="F13197" i="9"/>
  <c r="H13197" i="9" s="1"/>
  <c r="F13198" i="9"/>
  <c r="H13198" i="9" s="1"/>
  <c r="F13199" i="9"/>
  <c r="H13199" i="9" s="1"/>
  <c r="F13200" i="9"/>
  <c r="H13200" i="9" s="1"/>
  <c r="F13201" i="9"/>
  <c r="H13201" i="9" s="1"/>
  <c r="F13202" i="9"/>
  <c r="H13202" i="9" s="1"/>
  <c r="F13203" i="9"/>
  <c r="H13203" i="9" s="1"/>
  <c r="F13204" i="9"/>
  <c r="H13204" i="9" s="1"/>
  <c r="F13205" i="9"/>
  <c r="H13205" i="9" s="1"/>
  <c r="F13206" i="9"/>
  <c r="H13206" i="9" s="1"/>
  <c r="F13207" i="9"/>
  <c r="H13207" i="9" s="1"/>
  <c r="F13208" i="9"/>
  <c r="H13208" i="9" s="1"/>
  <c r="F13209" i="9"/>
  <c r="H13209" i="9" s="1"/>
  <c r="F13210" i="9"/>
  <c r="H13210" i="9" s="1"/>
  <c r="F13211" i="9"/>
  <c r="H13211" i="9" s="1"/>
  <c r="F13212" i="9"/>
  <c r="H13212" i="9"/>
  <c r="F13213" i="9"/>
  <c r="H13213" i="9" s="1"/>
  <c r="F13214" i="9"/>
  <c r="H13214" i="9" s="1"/>
  <c r="F13215" i="9"/>
  <c r="H13215" i="9" s="1"/>
  <c r="F13216" i="9"/>
  <c r="H13216" i="9" s="1"/>
  <c r="F13217" i="9"/>
  <c r="H13217" i="9" s="1"/>
  <c r="F13218" i="9"/>
  <c r="H13218" i="9" s="1"/>
  <c r="F13219" i="9"/>
  <c r="H13219" i="9" s="1"/>
  <c r="F13220" i="9"/>
  <c r="H13220" i="9" s="1"/>
  <c r="F13221" i="9"/>
  <c r="H13221" i="9" s="1"/>
  <c r="F13222" i="9"/>
  <c r="H13222" i="9" s="1"/>
  <c r="F13223" i="9"/>
  <c r="H13223" i="9" s="1"/>
  <c r="F13224" i="9"/>
  <c r="H13224" i="9" s="1"/>
  <c r="F13225" i="9"/>
  <c r="H13225" i="9" s="1"/>
  <c r="F13226" i="9"/>
  <c r="H13226" i="9"/>
  <c r="F13227" i="9"/>
  <c r="H13227" i="9" s="1"/>
  <c r="F13228" i="9"/>
  <c r="H13228" i="9" s="1"/>
  <c r="F13229" i="9"/>
  <c r="H13229" i="9" s="1"/>
  <c r="F13230" i="9"/>
  <c r="H13230" i="9" s="1"/>
  <c r="F13231" i="9"/>
  <c r="H13231" i="9" s="1"/>
  <c r="F13232" i="9"/>
  <c r="H13232" i="9" s="1"/>
  <c r="F13233" i="9"/>
  <c r="H13233" i="9"/>
  <c r="F13234" i="9"/>
  <c r="H13234" i="9" s="1"/>
  <c r="F13235" i="9"/>
  <c r="H13235" i="9" s="1"/>
  <c r="F13236" i="9"/>
  <c r="H13236" i="9" s="1"/>
  <c r="F13237" i="9"/>
  <c r="H13237" i="9" s="1"/>
  <c r="F13238" i="9"/>
  <c r="H13238" i="9" s="1"/>
  <c r="F13239" i="9"/>
  <c r="H13239" i="9" s="1"/>
  <c r="F13240" i="9"/>
  <c r="H13240" i="9" s="1"/>
  <c r="F13241" i="9"/>
  <c r="H13241" i="9" s="1"/>
  <c r="F13242" i="9"/>
  <c r="H13242" i="9" s="1"/>
  <c r="F13243" i="9"/>
  <c r="H13243" i="9" s="1"/>
  <c r="F13244" i="9"/>
  <c r="H13244" i="9" s="1"/>
  <c r="F13245" i="9"/>
  <c r="H13245" i="9" s="1"/>
  <c r="F13246" i="9"/>
  <c r="H13246" i="9" s="1"/>
  <c r="F13247" i="9"/>
  <c r="H13247" i="9" s="1"/>
  <c r="F13248" i="9"/>
  <c r="H13248" i="9"/>
  <c r="F13249" i="9"/>
  <c r="H13249" i="9" s="1"/>
  <c r="F13250" i="9"/>
  <c r="H13250" i="9" s="1"/>
  <c r="F13251" i="9"/>
  <c r="H13251" i="9" s="1"/>
  <c r="F13252" i="9"/>
  <c r="H13252" i="9" s="1"/>
  <c r="F13253" i="9"/>
  <c r="H13253" i="9" s="1"/>
  <c r="F13254" i="9"/>
  <c r="H13254" i="9" s="1"/>
  <c r="F13255" i="9"/>
  <c r="H13255" i="9"/>
  <c r="F13256" i="9"/>
  <c r="H13256" i="9" s="1"/>
  <c r="F13257" i="9"/>
  <c r="H13257" i="9" s="1"/>
  <c r="F13258" i="9"/>
  <c r="H13258" i="9" s="1"/>
  <c r="F13259" i="9"/>
  <c r="H13259" i="9" s="1"/>
  <c r="F13260" i="9"/>
  <c r="H13260" i="9" s="1"/>
  <c r="F13261" i="9"/>
  <c r="H13261" i="9" s="1"/>
  <c r="F13262" i="9"/>
  <c r="H13262" i="9" s="1"/>
  <c r="F13263" i="9"/>
  <c r="H13263" i="9" s="1"/>
  <c r="F13264" i="9"/>
  <c r="H13264" i="9" s="1"/>
  <c r="F13265" i="9"/>
  <c r="H13265" i="9" s="1"/>
  <c r="F13266" i="9"/>
  <c r="H13266" i="9" s="1"/>
  <c r="F13267" i="9"/>
  <c r="H13267" i="9" s="1"/>
  <c r="F13268" i="9"/>
  <c r="H13268" i="9" s="1"/>
  <c r="F13269" i="9"/>
  <c r="H13269" i="9" s="1"/>
  <c r="F13270" i="9"/>
  <c r="H13270" i="9" s="1"/>
  <c r="F13271" i="9"/>
  <c r="H13271" i="9" s="1"/>
  <c r="F13272" i="9"/>
  <c r="H13272" i="9" s="1"/>
  <c r="F13273" i="9"/>
  <c r="H13273" i="9" s="1"/>
  <c r="F13274" i="9"/>
  <c r="H13274" i="9" s="1"/>
  <c r="F13275" i="9"/>
  <c r="H13275" i="9" s="1"/>
  <c r="F13276" i="9"/>
  <c r="H13276" i="9" s="1"/>
  <c r="F13277" i="9"/>
  <c r="H13277" i="9" s="1"/>
  <c r="F13278" i="9"/>
  <c r="H13278" i="9" s="1"/>
  <c r="F13279" i="9"/>
  <c r="H13279" i="9" s="1"/>
  <c r="F13280" i="9"/>
  <c r="H13280" i="9" s="1"/>
  <c r="F13281" i="9"/>
  <c r="H13281" i="9" s="1"/>
  <c r="F13282" i="9"/>
  <c r="H13282" i="9" s="1"/>
  <c r="F13283" i="9"/>
  <c r="H13283" i="9" s="1"/>
  <c r="F13284" i="9"/>
  <c r="H13284" i="9"/>
  <c r="F13285" i="9"/>
  <c r="H13285" i="9" s="1"/>
  <c r="F13286" i="9"/>
  <c r="H13286" i="9" s="1"/>
  <c r="F13287" i="9"/>
  <c r="H13287" i="9" s="1"/>
  <c r="F13288" i="9"/>
  <c r="H13288" i="9" s="1"/>
  <c r="F13289" i="9"/>
  <c r="H13289" i="9" s="1"/>
  <c r="F13290" i="9"/>
  <c r="H13290" i="9" s="1"/>
  <c r="F13291" i="9"/>
  <c r="H13291" i="9" s="1"/>
  <c r="F13292" i="9"/>
  <c r="H13292" i="9" s="1"/>
  <c r="F13293" i="9"/>
  <c r="H13293" i="9" s="1"/>
  <c r="F13294" i="9"/>
  <c r="H13294" i="9" s="1"/>
  <c r="F13295" i="9"/>
  <c r="H13295" i="9" s="1"/>
  <c r="F13296" i="9"/>
  <c r="H13296" i="9" s="1"/>
  <c r="F13297" i="9"/>
  <c r="H13297" i="9" s="1"/>
  <c r="F13298" i="9"/>
  <c r="H13298" i="9"/>
  <c r="F13299" i="9"/>
  <c r="H13299" i="9" s="1"/>
  <c r="F13300" i="9"/>
  <c r="H13300" i="9" s="1"/>
  <c r="F13301" i="9"/>
  <c r="H13301" i="9" s="1"/>
  <c r="F13302" i="9"/>
  <c r="H13302" i="9" s="1"/>
  <c r="F13303" i="9"/>
  <c r="H13303" i="9" s="1"/>
  <c r="F13304" i="9"/>
  <c r="H13304" i="9" s="1"/>
  <c r="F13305" i="9"/>
  <c r="H13305" i="9" s="1"/>
  <c r="F13306" i="9"/>
  <c r="H13306" i="9" s="1"/>
  <c r="F13307" i="9"/>
  <c r="H13307" i="9" s="1"/>
  <c r="F13308" i="9"/>
  <c r="H13308" i="9" s="1"/>
  <c r="F13309" i="9"/>
  <c r="H13309" i="9" s="1"/>
  <c r="F13310" i="9"/>
  <c r="H13310" i="9" s="1"/>
  <c r="F13311" i="9"/>
  <c r="H13311" i="9" s="1"/>
  <c r="F13312" i="9"/>
  <c r="H13312" i="9"/>
  <c r="F13313" i="9"/>
  <c r="H13313" i="9" s="1"/>
  <c r="F13314" i="9"/>
  <c r="H13314" i="9" s="1"/>
  <c r="F13315" i="9"/>
  <c r="H13315" i="9" s="1"/>
  <c r="F13316" i="9"/>
  <c r="H13316" i="9" s="1"/>
  <c r="F13317" i="9"/>
  <c r="H13317" i="9" s="1"/>
  <c r="F13318" i="9"/>
  <c r="H13318" i="9" s="1"/>
  <c r="F13319" i="9"/>
  <c r="H13319" i="9" s="1"/>
  <c r="F13320" i="9"/>
  <c r="H13320" i="9" s="1"/>
  <c r="F13321" i="9"/>
  <c r="H13321" i="9"/>
  <c r="F13322" i="9"/>
  <c r="H13322" i="9" s="1"/>
  <c r="F13323" i="9"/>
  <c r="H13323" i="9" s="1"/>
  <c r="F13324" i="9"/>
  <c r="H13324" i="9"/>
  <c r="F13325" i="9"/>
  <c r="H13325" i="9" s="1"/>
  <c r="F13326" i="9"/>
  <c r="H13326" i="9" s="1"/>
  <c r="F13327" i="9"/>
  <c r="H13327" i="9" s="1"/>
  <c r="F13328" i="9"/>
  <c r="H13328" i="9" s="1"/>
  <c r="F13329" i="9"/>
  <c r="H13329" i="9" s="1"/>
  <c r="F13330" i="9"/>
  <c r="H13330" i="9" s="1"/>
  <c r="F13331" i="9"/>
  <c r="H13331" i="9" s="1"/>
  <c r="F13332" i="9"/>
  <c r="H13332" i="9" s="1"/>
  <c r="F13333" i="9"/>
  <c r="H13333" i="9" s="1"/>
  <c r="F13334" i="9"/>
  <c r="H13334" i="9" s="1"/>
  <c r="F13335" i="9"/>
  <c r="H13335" i="9" s="1"/>
  <c r="F13336" i="9"/>
  <c r="H13336" i="9" s="1"/>
  <c r="F13337" i="9"/>
  <c r="H13337" i="9" s="1"/>
  <c r="F13338" i="9"/>
  <c r="H13338" i="9"/>
  <c r="F13339" i="9"/>
  <c r="H13339" i="9" s="1"/>
  <c r="F13340" i="9"/>
  <c r="H13340" i="9" s="1"/>
  <c r="F13341" i="9"/>
  <c r="H13341" i="9" s="1"/>
  <c r="F13342" i="9"/>
  <c r="H13342" i="9" s="1"/>
  <c r="F13343" i="9"/>
  <c r="H13343" i="9" s="1"/>
  <c r="F13344" i="9"/>
  <c r="H13344" i="9" s="1"/>
  <c r="F13345" i="9"/>
  <c r="H13345" i="9" s="1"/>
  <c r="F13346" i="9"/>
  <c r="H13346" i="9" s="1"/>
  <c r="F13347" i="9"/>
  <c r="H13347" i="9" s="1"/>
  <c r="F13348" i="9"/>
  <c r="H13348" i="9" s="1"/>
  <c r="F13349" i="9"/>
  <c r="H13349" i="9" s="1"/>
  <c r="F13350" i="9"/>
  <c r="H13350" i="9" s="1"/>
  <c r="F13351" i="9"/>
  <c r="H13351" i="9" s="1"/>
  <c r="F13352" i="9"/>
  <c r="H13352" i="9" s="1"/>
  <c r="F13353" i="9"/>
  <c r="H13353" i="9" s="1"/>
  <c r="F13354" i="9"/>
  <c r="H13354" i="9" s="1"/>
  <c r="F13355" i="9"/>
  <c r="H13355" i="9" s="1"/>
  <c r="F13356" i="9"/>
  <c r="H13356" i="9" s="1"/>
  <c r="F13357" i="9"/>
  <c r="H13357" i="9" s="1"/>
  <c r="F13358" i="9"/>
  <c r="H13358" i="9" s="1"/>
  <c r="F13359" i="9"/>
  <c r="H13359" i="9" s="1"/>
  <c r="F13360" i="9"/>
  <c r="H13360" i="9" s="1"/>
  <c r="F13361" i="9"/>
  <c r="H13361" i="9" s="1"/>
  <c r="F13362" i="9"/>
  <c r="H13362" i="9" s="1"/>
  <c r="F13363" i="9"/>
  <c r="H13363" i="9" s="1"/>
  <c r="F13364" i="9"/>
  <c r="H13364" i="9" s="1"/>
  <c r="F13365" i="9"/>
  <c r="H13365" i="9" s="1"/>
  <c r="F13366" i="9"/>
  <c r="H13366" i="9" s="1"/>
  <c r="F13367" i="9"/>
  <c r="H13367" i="9"/>
  <c r="F13368" i="9"/>
  <c r="H13368" i="9" s="1"/>
  <c r="F13369" i="9"/>
  <c r="H13369" i="9" s="1"/>
  <c r="F13370" i="9"/>
  <c r="H13370" i="9" s="1"/>
  <c r="F13371" i="9"/>
  <c r="H13371" i="9" s="1"/>
  <c r="F13372" i="9"/>
  <c r="H13372" i="9" s="1"/>
  <c r="F13373" i="9"/>
  <c r="H13373" i="9" s="1"/>
  <c r="F13374" i="9"/>
  <c r="H13374" i="9" s="1"/>
  <c r="F13375" i="9"/>
  <c r="H13375" i="9" s="1"/>
  <c r="F13376" i="9"/>
  <c r="H13376" i="9" s="1"/>
  <c r="F13377" i="9"/>
  <c r="H13377" i="9" s="1"/>
  <c r="F13378" i="9"/>
  <c r="H13378" i="9" s="1"/>
  <c r="F13379" i="9"/>
  <c r="H13379" i="9" s="1"/>
  <c r="F13380" i="9"/>
  <c r="H13380" i="9" s="1"/>
  <c r="F13381" i="9"/>
  <c r="H13381" i="9" s="1"/>
  <c r="F13382" i="9"/>
  <c r="H13382" i="9" s="1"/>
  <c r="F13383" i="9"/>
  <c r="H13383" i="9" s="1"/>
  <c r="F13384" i="9"/>
  <c r="H13384" i="9" s="1"/>
  <c r="F13385" i="9"/>
  <c r="H13385" i="9" s="1"/>
  <c r="F13386" i="9"/>
  <c r="H13386" i="9" s="1"/>
  <c r="F13387" i="9"/>
  <c r="H13387" i="9" s="1"/>
  <c r="F13388" i="9"/>
  <c r="H13388" i="9" s="1"/>
  <c r="F13389" i="9"/>
  <c r="H13389" i="9" s="1"/>
  <c r="F13390" i="9"/>
  <c r="H13390" i="9" s="1"/>
  <c r="F13391" i="9"/>
  <c r="H13391" i="9" s="1"/>
  <c r="F13392" i="9"/>
  <c r="H13392" i="9" s="1"/>
  <c r="F13393" i="9"/>
  <c r="H13393" i="9" s="1"/>
  <c r="F13394" i="9"/>
  <c r="H13394" i="9" s="1"/>
  <c r="F13395" i="9"/>
  <c r="H13395" i="9" s="1"/>
  <c r="F13396" i="9"/>
  <c r="H13396" i="9" s="1"/>
  <c r="F13397" i="9"/>
  <c r="H13397" i="9" s="1"/>
  <c r="F13398" i="9"/>
  <c r="H13398" i="9" s="1"/>
  <c r="F13399" i="9"/>
  <c r="H13399" i="9" s="1"/>
  <c r="F13400" i="9"/>
  <c r="H13400" i="9" s="1"/>
  <c r="F13401" i="9"/>
  <c r="H13401" i="9" s="1"/>
  <c r="F13402" i="9"/>
  <c r="H13402" i="9" s="1"/>
  <c r="F13403" i="9"/>
  <c r="H13403" i="9" s="1"/>
  <c r="F13404" i="9"/>
  <c r="H13404" i="9" s="1"/>
  <c r="F13405" i="9"/>
  <c r="H13405" i="9" s="1"/>
  <c r="F13406" i="9"/>
  <c r="H13406" i="9" s="1"/>
  <c r="F13407" i="9"/>
  <c r="H13407" i="9" s="1"/>
  <c r="F13408" i="9"/>
  <c r="H13408" i="9" s="1"/>
  <c r="F13409" i="9"/>
  <c r="H13409" i="9" s="1"/>
  <c r="F13410" i="9"/>
  <c r="H13410" i="9" s="1"/>
  <c r="F13411" i="9"/>
  <c r="H13411" i="9" s="1"/>
  <c r="F13412" i="9"/>
  <c r="H13412" i="9" s="1"/>
  <c r="F13413" i="9"/>
  <c r="H13413" i="9" s="1"/>
  <c r="F13414" i="9"/>
  <c r="H13414" i="9" s="1"/>
  <c r="F13415" i="9"/>
  <c r="H13415" i="9" s="1"/>
  <c r="F13416" i="9"/>
  <c r="H13416" i="9" s="1"/>
  <c r="F13417" i="9"/>
  <c r="H13417" i="9" s="1"/>
  <c r="F13418" i="9"/>
  <c r="H13418" i="9" s="1"/>
  <c r="F13419" i="9"/>
  <c r="H13419" i="9" s="1"/>
  <c r="F13420" i="9"/>
  <c r="H13420" i="9" s="1"/>
  <c r="F13421" i="9"/>
  <c r="H13421" i="9" s="1"/>
  <c r="F13422" i="9"/>
  <c r="H13422" i="9" s="1"/>
  <c r="F13423" i="9"/>
  <c r="H13423" i="9" s="1"/>
  <c r="F13424" i="9"/>
  <c r="H13424" i="9" s="1"/>
  <c r="F13425" i="9"/>
  <c r="H13425" i="9" s="1"/>
  <c r="F13426" i="9"/>
  <c r="H13426" i="9" s="1"/>
  <c r="F13427" i="9"/>
  <c r="H13427" i="9" s="1"/>
  <c r="F13428" i="9"/>
  <c r="H13428" i="9"/>
  <c r="F13429" i="9"/>
  <c r="H13429" i="9" s="1"/>
  <c r="F13430" i="9"/>
  <c r="H13430" i="9" s="1"/>
  <c r="F13431" i="9"/>
  <c r="H13431" i="9" s="1"/>
  <c r="F13432" i="9"/>
  <c r="H13432" i="9" s="1"/>
  <c r="F13433" i="9"/>
  <c r="H13433" i="9" s="1"/>
  <c r="F13434" i="9"/>
  <c r="H13434" i="9" s="1"/>
  <c r="F13435" i="9"/>
  <c r="H13435" i="9" s="1"/>
  <c r="F13436" i="9"/>
  <c r="H13436" i="9" s="1"/>
  <c r="F13437" i="9"/>
  <c r="H13437" i="9" s="1"/>
  <c r="F13438" i="9"/>
  <c r="H13438" i="9" s="1"/>
  <c r="F13439" i="9"/>
  <c r="H13439" i="9" s="1"/>
  <c r="F13440" i="9"/>
  <c r="H13440" i="9" s="1"/>
  <c r="F13441" i="9"/>
  <c r="H13441" i="9" s="1"/>
  <c r="F13442" i="9"/>
  <c r="H13442" i="9" s="1"/>
  <c r="F13443" i="9"/>
  <c r="H13443" i="9" s="1"/>
  <c r="F13444" i="9"/>
  <c r="H13444" i="9" s="1"/>
  <c r="F13445" i="9"/>
  <c r="H13445" i="9" s="1"/>
  <c r="F13446" i="9"/>
  <c r="H13446" i="9" s="1"/>
  <c r="F13447" i="9"/>
  <c r="H13447" i="9" s="1"/>
  <c r="F13448" i="9"/>
  <c r="H13448" i="9" s="1"/>
  <c r="F13449" i="9"/>
  <c r="H13449" i="9" s="1"/>
  <c r="F13450" i="9"/>
  <c r="H13450" i="9" s="1"/>
  <c r="F13451" i="9"/>
  <c r="H13451" i="9" s="1"/>
  <c r="F13452" i="9"/>
  <c r="H13452" i="9" s="1"/>
  <c r="F13453" i="9"/>
  <c r="H13453" i="9" s="1"/>
  <c r="F13454" i="9"/>
  <c r="H13454" i="9"/>
  <c r="F13455" i="9"/>
  <c r="H13455" i="9" s="1"/>
  <c r="F13456" i="9"/>
  <c r="H13456" i="9" s="1"/>
  <c r="F13457" i="9"/>
  <c r="H13457" i="9" s="1"/>
  <c r="F13458" i="9"/>
  <c r="H13458" i="9" s="1"/>
  <c r="F13459" i="9"/>
  <c r="H13459" i="9" s="1"/>
  <c r="F13460" i="9"/>
  <c r="H13460" i="9" s="1"/>
  <c r="F13461" i="9"/>
  <c r="H13461" i="9" s="1"/>
  <c r="F13462" i="9"/>
  <c r="H13462" i="9" s="1"/>
  <c r="F13463" i="9"/>
  <c r="H13463" i="9" s="1"/>
  <c r="F13464" i="9"/>
  <c r="H13464" i="9"/>
  <c r="F13465" i="9"/>
  <c r="H13465" i="9" s="1"/>
  <c r="F13466" i="9"/>
  <c r="H13466" i="9" s="1"/>
  <c r="F13467" i="9"/>
  <c r="H13467" i="9" s="1"/>
  <c r="F13468" i="9"/>
  <c r="H13468" i="9" s="1"/>
  <c r="F13469" i="9"/>
  <c r="H13469" i="9" s="1"/>
  <c r="F13470" i="9"/>
  <c r="H13470" i="9" s="1"/>
  <c r="F13471" i="9"/>
  <c r="H13471" i="9" s="1"/>
  <c r="F13472" i="9"/>
  <c r="H13472" i="9" s="1"/>
  <c r="F13473" i="9"/>
  <c r="H13473" i="9" s="1"/>
  <c r="F13474" i="9"/>
  <c r="H13474" i="9" s="1"/>
  <c r="F13475" i="9"/>
  <c r="H13475" i="9" s="1"/>
  <c r="F13476" i="9"/>
  <c r="H13476" i="9" s="1"/>
  <c r="F13477" i="9"/>
  <c r="H13477" i="9" s="1"/>
  <c r="F13478" i="9"/>
  <c r="H13478" i="9" s="1"/>
  <c r="F13479" i="9"/>
  <c r="H13479" i="9" s="1"/>
  <c r="F13480" i="9"/>
  <c r="H13480" i="9" s="1"/>
  <c r="F13481" i="9"/>
  <c r="H13481" i="9" s="1"/>
  <c r="F13482" i="9"/>
  <c r="H13482" i="9" s="1"/>
  <c r="F13483" i="9"/>
  <c r="H13483" i="9" s="1"/>
  <c r="F13484" i="9"/>
  <c r="H13484" i="9"/>
  <c r="F13485" i="9"/>
  <c r="H13485" i="9" s="1"/>
  <c r="F13486" i="9"/>
  <c r="H13486" i="9" s="1"/>
  <c r="F13487" i="9"/>
  <c r="H13487" i="9" s="1"/>
  <c r="F13488" i="9"/>
  <c r="H13488" i="9" s="1"/>
  <c r="F13489" i="9"/>
  <c r="H13489" i="9" s="1"/>
  <c r="F13490" i="9"/>
  <c r="H13490" i="9" s="1"/>
  <c r="F13491" i="9"/>
  <c r="H13491" i="9" s="1"/>
  <c r="F13492" i="9"/>
  <c r="H13492" i="9" s="1"/>
  <c r="F13493" i="9"/>
  <c r="H13493" i="9" s="1"/>
  <c r="F13494" i="9"/>
  <c r="H13494" i="9"/>
  <c r="F13495" i="9"/>
  <c r="H13495" i="9" s="1"/>
  <c r="F13496" i="9"/>
  <c r="H13496" i="9" s="1"/>
  <c r="F13497" i="9"/>
  <c r="H13497" i="9" s="1"/>
  <c r="F13498" i="9"/>
  <c r="H13498" i="9" s="1"/>
  <c r="F13499" i="9"/>
  <c r="H13499" i="9" s="1"/>
  <c r="F13500" i="9"/>
  <c r="H13500" i="9" s="1"/>
  <c r="F13501" i="9"/>
  <c r="H13501" i="9"/>
  <c r="F13502" i="9"/>
  <c r="H13502" i="9" s="1"/>
  <c r="F13503" i="9"/>
  <c r="H13503" i="9" s="1"/>
  <c r="F13504" i="9"/>
  <c r="H13504" i="9" s="1"/>
  <c r="F13505" i="9"/>
  <c r="H13505" i="9" s="1"/>
  <c r="F13506" i="9"/>
  <c r="H13506" i="9" s="1"/>
  <c r="F13507" i="9"/>
  <c r="H13507" i="9" s="1"/>
  <c r="F13508" i="9"/>
  <c r="H13508" i="9"/>
  <c r="F13509" i="9"/>
  <c r="H13509" i="9" s="1"/>
  <c r="F13510" i="9"/>
  <c r="H13510" i="9" s="1"/>
  <c r="F13511" i="9"/>
  <c r="H13511" i="9" s="1"/>
  <c r="F13512" i="9"/>
  <c r="H13512" i="9" s="1"/>
  <c r="F13513" i="9"/>
  <c r="H13513" i="9" s="1"/>
  <c r="F13514" i="9"/>
  <c r="H13514" i="9" s="1"/>
  <c r="F13515" i="9"/>
  <c r="H13515" i="9" s="1"/>
  <c r="F13516" i="9"/>
  <c r="H13516" i="9" s="1"/>
  <c r="F13517" i="9"/>
  <c r="H13517" i="9" s="1"/>
  <c r="F13518" i="9"/>
  <c r="H13518" i="9" s="1"/>
  <c r="F13519" i="9"/>
  <c r="H13519" i="9" s="1"/>
  <c r="F13520" i="9"/>
  <c r="H13520" i="9" s="1"/>
  <c r="F13521" i="9"/>
  <c r="H13521" i="9" s="1"/>
  <c r="F13522" i="9"/>
  <c r="H13522" i="9" s="1"/>
  <c r="F13523" i="9"/>
  <c r="H13523" i="9" s="1"/>
  <c r="F13524" i="9"/>
  <c r="H13524" i="9" s="1"/>
  <c r="F13525" i="9"/>
  <c r="H13525" i="9"/>
  <c r="F13526" i="9"/>
  <c r="H13526" i="9" s="1"/>
  <c r="F13527" i="9"/>
  <c r="H13527" i="9" s="1"/>
  <c r="F13528" i="9"/>
  <c r="H13528" i="9" s="1"/>
  <c r="F13529" i="9"/>
  <c r="H13529" i="9" s="1"/>
  <c r="F13530" i="9"/>
  <c r="H13530" i="9" s="1"/>
  <c r="F13531" i="9"/>
  <c r="H13531" i="9" s="1"/>
  <c r="F13532" i="9"/>
  <c r="H13532" i="9" s="1"/>
  <c r="F13533" i="9"/>
  <c r="H13533" i="9" s="1"/>
  <c r="F13534" i="9"/>
  <c r="H13534" i="9" s="1"/>
  <c r="F13535" i="9"/>
  <c r="H13535" i="9"/>
  <c r="F13536" i="9"/>
  <c r="H13536" i="9" s="1"/>
  <c r="F13537" i="9"/>
  <c r="H13537" i="9" s="1"/>
  <c r="F13538" i="9"/>
  <c r="H13538" i="9" s="1"/>
  <c r="F13539" i="9"/>
  <c r="H13539" i="9" s="1"/>
  <c r="F13540" i="9"/>
  <c r="H13540" i="9" s="1"/>
  <c r="F13541" i="9"/>
  <c r="H13541" i="9" s="1"/>
  <c r="F13542" i="9"/>
  <c r="H13542" i="9" s="1"/>
  <c r="F13543" i="9"/>
  <c r="H13543" i="9" s="1"/>
  <c r="F13544" i="9"/>
  <c r="H13544" i="9" s="1"/>
  <c r="F13545" i="9"/>
  <c r="H13545" i="9" s="1"/>
  <c r="F13546" i="9"/>
  <c r="H13546" i="9" s="1"/>
  <c r="F13547" i="9"/>
  <c r="H13547" i="9" s="1"/>
  <c r="F13548" i="9"/>
  <c r="H13548" i="9" s="1"/>
  <c r="F13549" i="9"/>
  <c r="H13549" i="9" s="1"/>
  <c r="F13550" i="9"/>
  <c r="H13550" i="9" s="1"/>
  <c r="F13551" i="9"/>
  <c r="H13551" i="9" s="1"/>
  <c r="F13552" i="9"/>
  <c r="H13552" i="9" s="1"/>
  <c r="F13553" i="9"/>
  <c r="H13553" i="9" s="1"/>
  <c r="F13554" i="9"/>
  <c r="H13554" i="9" s="1"/>
  <c r="F13555" i="9"/>
  <c r="H13555" i="9" s="1"/>
  <c r="F13556" i="9"/>
  <c r="H13556" i="9" s="1"/>
  <c r="F13557" i="9"/>
  <c r="H13557" i="9" s="1"/>
  <c r="F13558" i="9"/>
  <c r="H13558" i="9" s="1"/>
  <c r="F13559" i="9"/>
  <c r="H13559" i="9" s="1"/>
  <c r="F13560" i="9"/>
  <c r="H13560" i="9"/>
  <c r="F13561" i="9"/>
  <c r="H13561" i="9" s="1"/>
  <c r="F13562" i="9"/>
  <c r="H13562" i="9" s="1"/>
  <c r="F13563" i="9"/>
  <c r="H13563" i="9" s="1"/>
  <c r="F13564" i="9"/>
  <c r="H13564" i="9" s="1"/>
  <c r="F13565" i="9"/>
  <c r="H13565" i="9" s="1"/>
  <c r="F13566" i="9"/>
  <c r="H13566" i="9" s="1"/>
  <c r="F13567" i="9"/>
  <c r="H13567" i="9" s="1"/>
  <c r="F13568" i="9"/>
  <c r="H13568" i="9"/>
  <c r="F13569" i="9"/>
  <c r="H13569" i="9" s="1"/>
  <c r="F13570" i="9"/>
  <c r="H13570" i="9" s="1"/>
  <c r="F13571" i="9"/>
  <c r="H13571" i="9" s="1"/>
  <c r="F13572" i="9"/>
  <c r="H13572" i="9" s="1"/>
  <c r="F13573" i="9"/>
  <c r="H13573" i="9" s="1"/>
  <c r="F13574" i="9"/>
  <c r="H13574" i="9" s="1"/>
  <c r="F13575" i="9"/>
  <c r="H13575" i="9" s="1"/>
  <c r="F13576" i="9"/>
  <c r="H13576" i="9" s="1"/>
  <c r="F13577" i="9"/>
  <c r="H13577" i="9" s="1"/>
  <c r="F13578" i="9"/>
  <c r="H13578" i="9" s="1"/>
  <c r="F13579" i="9"/>
  <c r="H13579" i="9" s="1"/>
  <c r="F13580" i="9"/>
  <c r="H13580" i="9" s="1"/>
  <c r="F13581" i="9"/>
  <c r="H13581" i="9" s="1"/>
  <c r="F13582" i="9"/>
  <c r="H13582" i="9" s="1"/>
  <c r="F13583" i="9"/>
  <c r="H13583" i="9" s="1"/>
  <c r="F13584" i="9"/>
  <c r="H13584" i="9" s="1"/>
  <c r="F13585" i="9"/>
  <c r="H13585" i="9"/>
  <c r="F13586" i="9"/>
  <c r="H13586" i="9" s="1"/>
  <c r="F13587" i="9"/>
  <c r="H13587" i="9" s="1"/>
  <c r="F13588" i="9"/>
  <c r="H13588" i="9" s="1"/>
  <c r="F13589" i="9"/>
  <c r="H13589" i="9" s="1"/>
  <c r="F13590" i="9"/>
  <c r="H13590" i="9" s="1"/>
  <c r="F13591" i="9"/>
  <c r="H13591" i="9" s="1"/>
  <c r="F13592" i="9"/>
  <c r="H13592" i="9" s="1"/>
  <c r="F13593" i="9"/>
  <c r="H13593" i="9" s="1"/>
  <c r="F13594" i="9"/>
  <c r="H13594" i="9" s="1"/>
  <c r="F13595" i="9"/>
  <c r="H13595" i="9" s="1"/>
  <c r="F13596" i="9"/>
  <c r="H13596" i="9" s="1"/>
  <c r="F13597" i="9"/>
  <c r="H13597" i="9" s="1"/>
  <c r="F13598" i="9"/>
  <c r="H13598" i="9" s="1"/>
  <c r="F13599" i="9"/>
  <c r="H13599" i="9" s="1"/>
  <c r="F13600" i="9"/>
  <c r="H13600" i="9" s="1"/>
  <c r="F13601" i="9"/>
  <c r="H13601" i="9" s="1"/>
  <c r="F13602" i="9"/>
  <c r="H13602" i="9" s="1"/>
  <c r="F13603" i="9"/>
  <c r="H13603" i="9" s="1"/>
  <c r="F13604" i="9"/>
  <c r="H13604" i="9" s="1"/>
  <c r="F13605" i="9"/>
  <c r="H13605" i="9" s="1"/>
  <c r="F13606" i="9"/>
  <c r="H13606" i="9" s="1"/>
  <c r="F13607" i="9"/>
  <c r="H13607" i="9" s="1"/>
  <c r="F13608" i="9"/>
  <c r="H13608" i="9" s="1"/>
  <c r="F13609" i="9"/>
  <c r="H13609" i="9" s="1"/>
  <c r="F13610" i="9"/>
  <c r="H13610" i="9" s="1"/>
  <c r="F13611" i="9"/>
  <c r="H13611" i="9" s="1"/>
  <c r="F13612" i="9"/>
  <c r="H13612" i="9" s="1"/>
  <c r="F13613" i="9"/>
  <c r="H13613" i="9" s="1"/>
  <c r="F13614" i="9"/>
  <c r="H13614" i="9" s="1"/>
  <c r="F13615" i="9"/>
  <c r="H13615" i="9"/>
  <c r="F13616" i="9"/>
  <c r="H13616" i="9" s="1"/>
  <c r="F13617" i="9"/>
  <c r="H13617" i="9" s="1"/>
  <c r="F13618" i="9"/>
  <c r="H13618" i="9" s="1"/>
  <c r="F13619" i="9"/>
  <c r="H13619" i="9" s="1"/>
  <c r="F13620" i="9"/>
  <c r="H13620" i="9" s="1"/>
  <c r="F13621" i="9"/>
  <c r="H13621" i="9" s="1"/>
  <c r="F13622" i="9"/>
  <c r="H13622" i="9" s="1"/>
  <c r="F13623" i="9"/>
  <c r="H13623" i="9"/>
  <c r="F13624" i="9"/>
  <c r="H13624" i="9" s="1"/>
  <c r="F13625" i="9"/>
  <c r="H13625" i="9"/>
  <c r="F13626" i="9"/>
  <c r="H13626" i="9" s="1"/>
  <c r="F13627" i="9"/>
  <c r="H13627" i="9" s="1"/>
  <c r="F13628" i="9"/>
  <c r="H13628" i="9" s="1"/>
  <c r="F13629" i="9"/>
  <c r="H13629" i="9"/>
  <c r="F13630" i="9"/>
  <c r="H13630" i="9" s="1"/>
  <c r="F13631" i="9"/>
  <c r="H13631" i="9" s="1"/>
  <c r="F13632" i="9"/>
  <c r="H13632" i="9" s="1"/>
  <c r="F13633" i="9"/>
  <c r="H13633" i="9" s="1"/>
  <c r="F13634" i="9"/>
  <c r="H13634" i="9" s="1"/>
  <c r="F13635" i="9"/>
  <c r="H13635" i="9" s="1"/>
  <c r="F13636" i="9"/>
  <c r="H13636" i="9" s="1"/>
  <c r="F13637" i="9"/>
  <c r="H13637" i="9" s="1"/>
  <c r="F13638" i="9"/>
  <c r="H13638" i="9" s="1"/>
  <c r="F13639" i="9"/>
  <c r="H13639" i="9" s="1"/>
  <c r="F13640" i="9"/>
  <c r="H13640" i="9" s="1"/>
  <c r="F13641" i="9"/>
  <c r="H13641" i="9" s="1"/>
  <c r="F13642" i="9"/>
  <c r="H13642" i="9" s="1"/>
  <c r="F13643" i="9"/>
  <c r="H13643" i="9" s="1"/>
  <c r="F13644" i="9"/>
  <c r="H13644" i="9" s="1"/>
  <c r="F13645" i="9"/>
  <c r="H13645" i="9" s="1"/>
  <c r="F13646" i="9"/>
  <c r="H13646" i="9" s="1"/>
  <c r="F13647" i="9"/>
  <c r="H13647" i="9" s="1"/>
  <c r="F13648" i="9"/>
  <c r="H13648" i="9" s="1"/>
  <c r="F13649" i="9"/>
  <c r="H13649" i="9" s="1"/>
  <c r="F13650" i="9"/>
  <c r="H13650" i="9" s="1"/>
  <c r="F13651" i="9"/>
  <c r="H13651" i="9"/>
  <c r="F13652" i="9"/>
  <c r="H13652" i="9" s="1"/>
  <c r="F13653" i="9"/>
  <c r="H13653" i="9" s="1"/>
  <c r="F13654" i="9"/>
  <c r="H13654" i="9" s="1"/>
  <c r="F13655" i="9"/>
  <c r="H13655" i="9" s="1"/>
  <c r="F13656" i="9"/>
  <c r="H13656" i="9" s="1"/>
  <c r="F13657" i="9"/>
  <c r="H13657" i="9" s="1"/>
  <c r="F13658" i="9"/>
  <c r="H13658" i="9" s="1"/>
  <c r="F13659" i="9"/>
  <c r="H13659" i="9" s="1"/>
  <c r="F13660" i="9"/>
  <c r="H13660" i="9" s="1"/>
  <c r="F13661" i="9"/>
  <c r="H13661" i="9" s="1"/>
  <c r="F13662" i="9"/>
  <c r="H13662" i="9" s="1"/>
  <c r="F13663" i="9"/>
  <c r="H13663" i="9" s="1"/>
  <c r="F13664" i="9"/>
  <c r="H13664" i="9" s="1"/>
  <c r="F13665" i="9"/>
  <c r="H13665" i="9" s="1"/>
  <c r="F13666" i="9"/>
  <c r="H13666" i="9" s="1"/>
  <c r="F13667" i="9"/>
  <c r="H13667" i="9" s="1"/>
  <c r="F13668" i="9"/>
  <c r="H13668" i="9" s="1"/>
  <c r="F13669" i="9"/>
  <c r="H13669" i="9" s="1"/>
  <c r="F13670" i="9"/>
  <c r="H13670" i="9" s="1"/>
  <c r="F13671" i="9"/>
  <c r="H13671" i="9" s="1"/>
  <c r="F13672" i="9"/>
  <c r="H13672" i="9" s="1"/>
  <c r="F13673" i="9"/>
  <c r="H13673" i="9" s="1"/>
  <c r="F13674" i="9"/>
  <c r="H13674" i="9" s="1"/>
  <c r="F13675" i="9"/>
  <c r="H13675" i="9" s="1"/>
  <c r="F13676" i="9"/>
  <c r="H13676" i="9" s="1"/>
  <c r="F13677" i="9"/>
  <c r="H13677" i="9" s="1"/>
  <c r="F13678" i="9"/>
  <c r="H13678" i="9" s="1"/>
  <c r="F13679" i="9"/>
  <c r="H13679" i="9" s="1"/>
  <c r="F13680" i="9"/>
  <c r="H13680" i="9" s="1"/>
  <c r="F13681" i="9"/>
  <c r="H13681" i="9" s="1"/>
  <c r="F13682" i="9"/>
  <c r="H13682" i="9" s="1"/>
  <c r="F13683" i="9"/>
  <c r="H13683" i="9" s="1"/>
  <c r="F13684" i="9"/>
  <c r="H13684" i="9" s="1"/>
  <c r="F13685" i="9"/>
  <c r="H13685" i="9" s="1"/>
  <c r="F13686" i="9"/>
  <c r="H13686" i="9" s="1"/>
  <c r="F13687" i="9"/>
  <c r="H13687" i="9" s="1"/>
  <c r="F13688" i="9"/>
  <c r="H13688" i="9" s="1"/>
  <c r="F13689" i="9"/>
  <c r="H13689" i="9" s="1"/>
  <c r="F13690" i="9"/>
  <c r="H13690" i="9" s="1"/>
  <c r="F13691" i="9"/>
  <c r="H13691" i="9" s="1"/>
  <c r="F13692" i="9"/>
  <c r="H13692" i="9" s="1"/>
  <c r="F13693" i="9"/>
  <c r="H13693" i="9" s="1"/>
  <c r="F13694" i="9"/>
  <c r="H13694" i="9" s="1"/>
  <c r="F13695" i="9"/>
  <c r="H13695" i="9" s="1"/>
  <c r="F13696" i="9"/>
  <c r="H13696" i="9" s="1"/>
  <c r="F13697" i="9"/>
  <c r="H13697" i="9" s="1"/>
  <c r="F13698" i="9"/>
  <c r="H13698" i="9" s="1"/>
  <c r="F13699" i="9"/>
  <c r="H13699" i="9"/>
  <c r="F13700" i="9"/>
  <c r="H13700" i="9" s="1"/>
  <c r="F13701" i="9"/>
  <c r="H13701" i="9"/>
  <c r="F13702" i="9"/>
  <c r="H13702" i="9" s="1"/>
  <c r="F13703" i="9"/>
  <c r="H13703" i="9" s="1"/>
  <c r="F13704" i="9"/>
  <c r="H13704" i="9" s="1"/>
  <c r="F13705" i="9"/>
  <c r="H13705" i="9" s="1"/>
  <c r="F13706" i="9"/>
  <c r="H13706" i="9" s="1"/>
  <c r="F13707" i="9"/>
  <c r="H13707" i="9" s="1"/>
  <c r="F13708" i="9"/>
  <c r="H13708" i="9" s="1"/>
  <c r="F13709" i="9"/>
  <c r="H13709" i="9" s="1"/>
  <c r="F13710" i="9"/>
  <c r="H13710" i="9" s="1"/>
  <c r="F13711" i="9"/>
  <c r="H13711" i="9" s="1"/>
  <c r="F13712" i="9"/>
  <c r="H13712" i="9" s="1"/>
  <c r="F13713" i="9"/>
  <c r="H13713" i="9" s="1"/>
  <c r="F13714" i="9"/>
  <c r="H13714" i="9" s="1"/>
  <c r="F13715" i="9"/>
  <c r="H13715" i="9" s="1"/>
  <c r="F13716" i="9"/>
  <c r="H13716" i="9" s="1"/>
  <c r="F13717" i="9"/>
  <c r="H13717" i="9" s="1"/>
  <c r="F13718" i="9"/>
  <c r="H13718" i="9" s="1"/>
  <c r="F13719" i="9"/>
  <c r="H13719" i="9" s="1"/>
  <c r="F13720" i="9"/>
  <c r="H13720" i="9" s="1"/>
  <c r="F13721" i="9"/>
  <c r="H13721" i="9" s="1"/>
  <c r="F13722" i="9"/>
  <c r="H13722" i="9" s="1"/>
  <c r="F13723" i="9"/>
  <c r="H13723" i="9" s="1"/>
  <c r="F13724" i="9"/>
  <c r="H13724" i="9" s="1"/>
  <c r="F13725" i="9"/>
  <c r="H13725" i="9" s="1"/>
  <c r="F13726" i="9"/>
  <c r="H13726" i="9" s="1"/>
  <c r="F13727" i="9"/>
  <c r="H13727" i="9" s="1"/>
  <c r="F13728" i="9"/>
  <c r="H13728" i="9" s="1"/>
  <c r="F13729" i="9"/>
  <c r="H13729" i="9" s="1"/>
  <c r="F13730" i="9"/>
  <c r="H13730" i="9" s="1"/>
  <c r="F13731" i="9"/>
  <c r="H13731" i="9" s="1"/>
  <c r="F13732" i="9"/>
  <c r="H13732" i="9" s="1"/>
  <c r="F13733" i="9"/>
  <c r="H13733" i="9" s="1"/>
  <c r="F13734" i="9"/>
  <c r="H13734" i="9" s="1"/>
  <c r="F13735" i="9"/>
  <c r="H13735" i="9" s="1"/>
  <c r="F13736" i="9"/>
  <c r="H13736" i="9" s="1"/>
  <c r="F13737" i="9"/>
  <c r="H13737" i="9" s="1"/>
  <c r="F13738" i="9"/>
  <c r="H13738" i="9" s="1"/>
  <c r="F13739" i="9"/>
  <c r="H13739" i="9" s="1"/>
  <c r="F13740" i="9"/>
  <c r="H13740" i="9" s="1"/>
  <c r="F13741" i="9"/>
  <c r="H13741" i="9" s="1"/>
  <c r="F13742" i="9"/>
  <c r="H13742" i="9" s="1"/>
  <c r="F13743" i="9"/>
  <c r="H13743" i="9" s="1"/>
  <c r="F13744" i="9"/>
  <c r="H13744" i="9" s="1"/>
  <c r="F13745" i="9"/>
  <c r="H13745" i="9" s="1"/>
  <c r="F13746" i="9"/>
  <c r="H13746" i="9"/>
  <c r="F13747" i="9"/>
  <c r="H13747" i="9" s="1"/>
  <c r="F13748" i="9"/>
  <c r="H13748" i="9" s="1"/>
  <c r="F13749" i="9"/>
  <c r="H13749" i="9" s="1"/>
  <c r="F13750" i="9"/>
  <c r="H13750" i="9" s="1"/>
  <c r="F13751" i="9"/>
  <c r="H13751" i="9"/>
  <c r="F13752" i="9"/>
  <c r="H13752" i="9" s="1"/>
  <c r="F13753" i="9"/>
  <c r="H13753" i="9" s="1"/>
  <c r="F13754" i="9"/>
  <c r="H13754" i="9" s="1"/>
  <c r="F13755" i="9"/>
  <c r="H13755" i="9" s="1"/>
  <c r="F13756" i="9"/>
  <c r="H13756" i="9" s="1"/>
  <c r="F13757" i="9"/>
  <c r="H13757" i="9" s="1"/>
  <c r="F13758" i="9"/>
  <c r="H13758" i="9" s="1"/>
  <c r="F13759" i="9"/>
  <c r="H13759" i="9" s="1"/>
  <c r="F13760" i="9"/>
  <c r="H13760" i="9" s="1"/>
  <c r="F13761" i="9"/>
  <c r="H13761" i="9" s="1"/>
  <c r="F13762" i="9"/>
  <c r="H13762" i="9" s="1"/>
  <c r="F13763" i="9"/>
  <c r="H13763" i="9" s="1"/>
  <c r="F13764" i="9"/>
  <c r="H13764" i="9" s="1"/>
  <c r="F13765" i="9"/>
  <c r="H13765" i="9" s="1"/>
  <c r="F13766" i="9"/>
  <c r="H13766" i="9" s="1"/>
  <c r="F13767" i="9"/>
  <c r="H13767" i="9" s="1"/>
  <c r="F13768" i="9"/>
  <c r="H13768" i="9" s="1"/>
  <c r="F13769" i="9"/>
  <c r="H13769" i="9" s="1"/>
  <c r="F13770" i="9"/>
  <c r="H13770" i="9" s="1"/>
  <c r="F13771" i="9"/>
  <c r="H13771" i="9"/>
  <c r="F13772" i="9"/>
  <c r="H13772" i="9" s="1"/>
  <c r="F13773" i="9"/>
  <c r="H13773" i="9"/>
  <c r="F13774" i="9"/>
  <c r="H13774" i="9" s="1"/>
  <c r="F13775" i="9"/>
  <c r="H13775" i="9" s="1"/>
  <c r="F13776" i="9"/>
  <c r="H13776" i="9" s="1"/>
  <c r="F13777" i="9"/>
  <c r="H13777" i="9" s="1"/>
  <c r="F13778" i="9"/>
  <c r="H13778" i="9" s="1"/>
  <c r="F13779" i="9"/>
  <c r="H13779" i="9" s="1"/>
  <c r="F13780" i="9"/>
  <c r="H13780" i="9" s="1"/>
  <c r="F13781" i="9"/>
  <c r="H13781" i="9" s="1"/>
  <c r="F13782" i="9"/>
  <c r="H13782" i="9" s="1"/>
  <c r="F13783" i="9"/>
  <c r="H13783" i="9" s="1"/>
  <c r="F13784" i="9"/>
  <c r="H13784" i="9" s="1"/>
  <c r="F13785" i="9"/>
  <c r="H13785" i="9" s="1"/>
  <c r="F13786" i="9"/>
  <c r="H13786" i="9" s="1"/>
  <c r="F13787" i="9"/>
  <c r="H13787" i="9" s="1"/>
  <c r="F13788" i="9"/>
  <c r="H13788" i="9" s="1"/>
  <c r="F13789" i="9"/>
  <c r="H13789" i="9" s="1"/>
  <c r="F13790" i="9"/>
  <c r="H13790" i="9" s="1"/>
  <c r="F13791" i="9"/>
  <c r="H13791" i="9" s="1"/>
  <c r="F13792" i="9"/>
  <c r="H13792" i="9" s="1"/>
  <c r="F13793" i="9"/>
  <c r="H13793" i="9" s="1"/>
  <c r="F13794" i="9"/>
  <c r="H13794" i="9" s="1"/>
  <c r="F13795" i="9"/>
  <c r="H13795" i="9" s="1"/>
  <c r="F13796" i="9"/>
  <c r="H13796" i="9" s="1"/>
  <c r="F13797" i="9"/>
  <c r="H13797" i="9" s="1"/>
  <c r="F13798" i="9"/>
  <c r="H13798" i="9" s="1"/>
  <c r="F13799" i="9"/>
  <c r="H13799" i="9" s="1"/>
  <c r="F13800" i="9"/>
  <c r="H13800" i="9" s="1"/>
  <c r="F13801" i="9"/>
  <c r="H13801" i="9" s="1"/>
  <c r="F13802" i="9"/>
  <c r="H13802" i="9" s="1"/>
  <c r="F13803" i="9"/>
  <c r="H13803" i="9" s="1"/>
  <c r="F13804" i="9"/>
  <c r="H13804" i="9" s="1"/>
  <c r="F13805" i="9"/>
  <c r="H13805" i="9" s="1"/>
  <c r="F13806" i="9"/>
  <c r="H13806" i="9" s="1"/>
  <c r="F13807" i="9"/>
  <c r="H13807" i="9" s="1"/>
  <c r="F13808" i="9"/>
  <c r="H13808" i="9" s="1"/>
  <c r="F13809" i="9"/>
  <c r="H13809" i="9" s="1"/>
  <c r="F13810" i="9"/>
  <c r="H13810" i="9" s="1"/>
  <c r="F13811" i="9"/>
  <c r="H13811" i="9" s="1"/>
  <c r="F13812" i="9"/>
  <c r="H13812" i="9" s="1"/>
  <c r="F13813" i="9"/>
  <c r="H13813" i="9" s="1"/>
  <c r="F13814" i="9"/>
  <c r="H13814" i="9" s="1"/>
  <c r="F13815" i="9"/>
  <c r="H13815" i="9" s="1"/>
  <c r="F13816" i="9"/>
  <c r="H13816" i="9" s="1"/>
  <c r="F13817" i="9"/>
  <c r="H13817" i="9" s="1"/>
  <c r="F13818" i="9"/>
  <c r="H13818" i="9" s="1"/>
  <c r="F13819" i="9"/>
  <c r="H13819" i="9" s="1"/>
  <c r="F13820" i="9"/>
  <c r="H13820" i="9" s="1"/>
  <c r="F13821" i="9"/>
  <c r="H13821" i="9" s="1"/>
  <c r="F13822" i="9"/>
  <c r="H13822" i="9" s="1"/>
  <c r="F13823" i="9"/>
  <c r="H13823" i="9" s="1"/>
  <c r="F13824" i="9"/>
  <c r="H13824" i="9" s="1"/>
  <c r="F13825" i="9"/>
  <c r="H13825" i="9" s="1"/>
  <c r="F13826" i="9"/>
  <c r="H13826" i="9" s="1"/>
  <c r="F13827" i="9"/>
  <c r="H13827" i="9" s="1"/>
  <c r="F13828" i="9"/>
  <c r="H13828" i="9" s="1"/>
  <c r="F13829" i="9"/>
  <c r="H13829" i="9" s="1"/>
  <c r="F13830" i="9"/>
  <c r="H13830" i="9" s="1"/>
  <c r="F13831" i="9"/>
  <c r="H13831" i="9" s="1"/>
  <c r="F13832" i="9"/>
  <c r="H13832" i="9" s="1"/>
  <c r="F13833" i="9"/>
  <c r="H13833" i="9" s="1"/>
  <c r="F13834" i="9"/>
  <c r="H13834" i="9" s="1"/>
  <c r="F13835" i="9"/>
  <c r="H13835" i="9" s="1"/>
  <c r="F13836" i="9"/>
  <c r="H13836" i="9" s="1"/>
  <c r="F13837" i="9"/>
  <c r="H13837" i="9" s="1"/>
  <c r="F13838" i="9"/>
  <c r="H13838" i="9" s="1"/>
  <c r="F13839" i="9"/>
  <c r="H13839" i="9" s="1"/>
  <c r="F13840" i="9"/>
  <c r="H13840" i="9" s="1"/>
  <c r="F13841" i="9"/>
  <c r="H13841" i="9" s="1"/>
  <c r="F13842" i="9"/>
  <c r="H13842" i="9" s="1"/>
  <c r="F13843" i="9"/>
  <c r="H13843" i="9" s="1"/>
  <c r="F13844" i="9"/>
  <c r="H13844" i="9" s="1"/>
  <c r="F13845" i="9"/>
  <c r="H13845" i="9" s="1"/>
  <c r="F13846" i="9"/>
  <c r="H13846" i="9" s="1"/>
  <c r="F13847" i="9"/>
  <c r="H13847" i="9" s="1"/>
  <c r="F13848" i="9"/>
  <c r="H13848" i="9" s="1"/>
  <c r="F13849" i="9"/>
  <c r="H13849" i="9" s="1"/>
  <c r="F13850" i="9"/>
  <c r="H13850" i="9" s="1"/>
  <c r="F13851" i="9"/>
  <c r="H13851" i="9" s="1"/>
  <c r="F13852" i="9"/>
  <c r="H13852" i="9" s="1"/>
  <c r="F13853" i="9"/>
  <c r="H13853" i="9" s="1"/>
  <c r="F13854" i="9"/>
  <c r="H13854" i="9" s="1"/>
  <c r="F13855" i="9"/>
  <c r="H13855" i="9" s="1"/>
  <c r="F13856" i="9"/>
  <c r="H13856" i="9" s="1"/>
  <c r="F13857" i="9"/>
  <c r="H13857" i="9" s="1"/>
  <c r="F13858" i="9"/>
  <c r="H13858" i="9" s="1"/>
  <c r="F13859" i="9"/>
  <c r="H13859" i="9" s="1"/>
  <c r="F13860" i="9"/>
  <c r="H13860" i="9" s="1"/>
  <c r="F13861" i="9"/>
  <c r="H13861" i="9" s="1"/>
  <c r="F13862" i="9"/>
  <c r="H13862" i="9" s="1"/>
  <c r="F13863" i="9"/>
  <c r="H13863" i="9" s="1"/>
  <c r="F13864" i="9"/>
  <c r="H13864" i="9" s="1"/>
  <c r="F13865" i="9"/>
  <c r="H13865" i="9" s="1"/>
  <c r="F13866" i="9"/>
  <c r="H13866" i="9" s="1"/>
  <c r="F13867" i="9"/>
  <c r="H13867" i="9" s="1"/>
  <c r="F13868" i="9"/>
  <c r="H13868" i="9" s="1"/>
  <c r="F13869" i="9"/>
  <c r="H13869" i="9"/>
  <c r="F13870" i="9"/>
  <c r="H13870" i="9" s="1"/>
  <c r="F13871" i="9"/>
  <c r="H13871" i="9" s="1"/>
  <c r="F13872" i="9"/>
  <c r="H13872" i="9" s="1"/>
  <c r="F13873" i="9"/>
  <c r="H13873" i="9" s="1"/>
  <c r="F13874" i="9"/>
  <c r="H13874" i="9" s="1"/>
  <c r="F13875" i="9"/>
  <c r="H13875" i="9" s="1"/>
  <c r="F13876" i="9"/>
  <c r="H13876" i="9" s="1"/>
  <c r="F13877" i="9"/>
  <c r="H13877" i="9" s="1"/>
  <c r="F13878" i="9"/>
  <c r="H13878" i="9"/>
  <c r="F13879" i="9"/>
  <c r="H13879" i="9"/>
  <c r="F13880" i="9"/>
  <c r="H13880" i="9" s="1"/>
  <c r="F13881" i="9"/>
  <c r="H13881" i="9" s="1"/>
  <c r="F13882" i="9"/>
  <c r="H13882" i="9" s="1"/>
  <c r="F13883" i="9"/>
  <c r="H13883" i="9" s="1"/>
  <c r="F13884" i="9"/>
  <c r="H13884" i="9" s="1"/>
  <c r="F13885" i="9"/>
  <c r="H13885" i="9" s="1"/>
  <c r="F13886" i="9"/>
  <c r="H13886" i="9" s="1"/>
  <c r="F13887" i="9"/>
  <c r="H13887" i="9" s="1"/>
  <c r="F13888" i="9"/>
  <c r="H13888" i="9" s="1"/>
  <c r="F13889" i="9"/>
  <c r="H13889" i="9" s="1"/>
  <c r="F13890" i="9"/>
  <c r="H13890" i="9" s="1"/>
  <c r="F13891" i="9"/>
  <c r="H13891" i="9" s="1"/>
  <c r="F13892" i="9"/>
  <c r="H13892" i="9" s="1"/>
  <c r="F13893" i="9"/>
  <c r="H13893" i="9" s="1"/>
  <c r="F13894" i="9"/>
  <c r="H13894" i="9" s="1"/>
  <c r="F13895" i="9"/>
  <c r="H13895" i="9" s="1"/>
  <c r="F13896" i="9"/>
  <c r="H13896" i="9" s="1"/>
  <c r="F13897" i="9"/>
  <c r="H13897" i="9" s="1"/>
  <c r="F13898" i="9"/>
  <c r="H13898" i="9" s="1"/>
  <c r="F13899" i="9"/>
  <c r="H13899" i="9" s="1"/>
  <c r="F13900" i="9"/>
  <c r="H13900" i="9" s="1"/>
  <c r="F13901" i="9"/>
  <c r="H13901" i="9" s="1"/>
  <c r="F13902" i="9"/>
  <c r="H13902" i="9" s="1"/>
  <c r="F13903" i="9"/>
  <c r="H13903" i="9" s="1"/>
  <c r="F13904" i="9"/>
  <c r="H13904" i="9" s="1"/>
  <c r="F13905" i="9"/>
  <c r="H13905" i="9" s="1"/>
  <c r="F13906" i="9"/>
  <c r="H13906" i="9" s="1"/>
  <c r="F13907" i="9"/>
  <c r="H13907" i="9" s="1"/>
  <c r="F13908" i="9"/>
  <c r="H13908" i="9" s="1"/>
  <c r="F13909" i="9"/>
  <c r="H13909" i="9" s="1"/>
  <c r="F13910" i="9"/>
  <c r="H13910" i="9" s="1"/>
  <c r="F13911" i="9"/>
  <c r="H13911" i="9"/>
  <c r="F13912" i="9"/>
  <c r="H13912" i="9" s="1"/>
  <c r="F13913" i="9"/>
  <c r="H13913" i="9" s="1"/>
  <c r="F13914" i="9"/>
  <c r="H13914" i="9" s="1"/>
  <c r="F13915" i="9"/>
  <c r="H13915" i="9" s="1"/>
  <c r="F13916" i="9"/>
  <c r="H13916" i="9" s="1"/>
  <c r="F13917" i="9"/>
  <c r="H13917" i="9" s="1"/>
  <c r="F13918" i="9"/>
  <c r="H13918" i="9" s="1"/>
  <c r="F13919" i="9"/>
  <c r="H13919" i="9" s="1"/>
  <c r="F13920" i="9"/>
  <c r="H13920" i="9" s="1"/>
  <c r="F13921" i="9"/>
  <c r="H13921" i="9" s="1"/>
  <c r="F13922" i="9"/>
  <c r="H13922" i="9" s="1"/>
  <c r="F13923" i="9"/>
  <c r="H13923" i="9" s="1"/>
  <c r="F13924" i="9"/>
  <c r="H13924" i="9" s="1"/>
  <c r="F13925" i="9"/>
  <c r="H13925" i="9" s="1"/>
  <c r="F13926" i="9"/>
  <c r="H13926" i="9" s="1"/>
  <c r="F13927" i="9"/>
  <c r="H13927" i="9" s="1"/>
  <c r="F13928" i="9"/>
  <c r="H13928" i="9" s="1"/>
  <c r="F13929" i="9"/>
  <c r="H13929" i="9" s="1"/>
  <c r="F13930" i="9"/>
  <c r="H13930" i="9" s="1"/>
  <c r="F13931" i="9"/>
  <c r="H13931" i="9" s="1"/>
  <c r="F13932" i="9"/>
  <c r="H13932" i="9" s="1"/>
  <c r="F13933" i="9"/>
  <c r="H13933" i="9" s="1"/>
  <c r="F13934" i="9"/>
  <c r="H13934" i="9" s="1"/>
  <c r="F13935" i="9"/>
  <c r="H13935" i="9" s="1"/>
  <c r="F13936" i="9"/>
  <c r="H13936" i="9" s="1"/>
  <c r="F13937" i="9"/>
  <c r="H13937" i="9" s="1"/>
  <c r="F13938" i="9"/>
  <c r="H13938" i="9" s="1"/>
  <c r="F13939" i="9"/>
  <c r="H13939" i="9" s="1"/>
  <c r="F13940" i="9"/>
  <c r="H13940" i="9" s="1"/>
  <c r="F13941" i="9"/>
  <c r="H13941" i="9" s="1"/>
  <c r="F13942" i="9"/>
  <c r="H13942" i="9" s="1"/>
  <c r="F13943" i="9"/>
  <c r="H13943" i="9" s="1"/>
  <c r="F13944" i="9"/>
  <c r="H13944" i="9"/>
  <c r="F13945" i="9"/>
  <c r="H13945" i="9" s="1"/>
  <c r="F13946" i="9"/>
  <c r="H13946" i="9" s="1"/>
  <c r="F13947" i="9"/>
  <c r="H13947" i="9" s="1"/>
  <c r="F13948" i="9"/>
  <c r="H13948" i="9" s="1"/>
  <c r="F13949" i="9"/>
  <c r="H13949" i="9" s="1"/>
  <c r="F13950" i="9"/>
  <c r="H13950" i="9" s="1"/>
  <c r="F13951" i="9"/>
  <c r="H13951" i="9" s="1"/>
  <c r="F13952" i="9"/>
  <c r="H13952" i="9" s="1"/>
  <c r="F13953" i="9"/>
  <c r="H13953" i="9" s="1"/>
  <c r="F13954" i="9"/>
  <c r="H13954" i="9" s="1"/>
  <c r="F13955" i="9"/>
  <c r="H13955" i="9" s="1"/>
  <c r="F13956" i="9"/>
  <c r="H13956" i="9" s="1"/>
  <c r="F13957" i="9"/>
  <c r="H13957" i="9" s="1"/>
  <c r="F13958" i="9"/>
  <c r="H13958" i="9" s="1"/>
  <c r="F13959" i="9"/>
  <c r="H13959" i="9" s="1"/>
  <c r="F13960" i="9"/>
  <c r="H13960" i="9"/>
  <c r="F13961" i="9"/>
  <c r="H13961" i="9" s="1"/>
  <c r="F13962" i="9"/>
  <c r="H13962" i="9" s="1"/>
  <c r="F13963" i="9"/>
  <c r="H13963" i="9" s="1"/>
  <c r="F13964" i="9"/>
  <c r="H13964" i="9" s="1"/>
  <c r="F13965" i="9"/>
  <c r="H13965" i="9" s="1"/>
  <c r="F13966" i="9"/>
  <c r="H13966" i="9" s="1"/>
  <c r="F13967" i="9"/>
  <c r="H13967" i="9" s="1"/>
  <c r="F13968" i="9"/>
  <c r="H13968" i="9" s="1"/>
  <c r="F13969" i="9"/>
  <c r="H13969" i="9" s="1"/>
  <c r="F13970" i="9"/>
  <c r="H13970" i="9" s="1"/>
  <c r="F13971" i="9"/>
  <c r="H13971" i="9" s="1"/>
  <c r="F13972" i="9"/>
  <c r="H13972" i="9" s="1"/>
  <c r="F13973" i="9"/>
  <c r="H13973" i="9" s="1"/>
  <c r="F13974" i="9"/>
  <c r="H13974" i="9" s="1"/>
  <c r="F13975" i="9"/>
  <c r="H13975" i="9"/>
  <c r="F13976" i="9"/>
  <c r="H13976" i="9" s="1"/>
  <c r="F13977" i="9"/>
  <c r="H13977" i="9" s="1"/>
  <c r="F13978" i="9"/>
  <c r="H13978" i="9" s="1"/>
  <c r="F13979" i="9"/>
  <c r="H13979" i="9" s="1"/>
  <c r="F13980" i="9"/>
  <c r="H13980" i="9" s="1"/>
  <c r="F13981" i="9"/>
  <c r="H13981" i="9" s="1"/>
  <c r="F13982" i="9"/>
  <c r="H13982" i="9" s="1"/>
  <c r="F13983" i="9"/>
  <c r="H13983" i="9" s="1"/>
  <c r="F13984" i="9"/>
  <c r="H13984" i="9" s="1"/>
  <c r="F13985" i="9"/>
  <c r="H13985" i="9" s="1"/>
  <c r="F13986" i="9"/>
  <c r="H13986" i="9" s="1"/>
  <c r="F13987" i="9"/>
  <c r="H13987" i="9" s="1"/>
  <c r="F13988" i="9"/>
  <c r="H13988" i="9" s="1"/>
  <c r="F13989" i="9"/>
  <c r="H13989" i="9" s="1"/>
  <c r="F13990" i="9"/>
  <c r="H13990" i="9" s="1"/>
  <c r="F13991" i="9"/>
  <c r="H13991" i="9" s="1"/>
  <c r="F13992" i="9"/>
  <c r="H13992" i="9"/>
  <c r="F13993" i="9"/>
  <c r="H13993" i="9" s="1"/>
  <c r="F13994" i="9"/>
  <c r="H13994" i="9" s="1"/>
  <c r="F13995" i="9"/>
  <c r="H13995" i="9" s="1"/>
  <c r="F13996" i="9"/>
  <c r="H13996" i="9" s="1"/>
  <c r="F13997" i="9"/>
  <c r="H13997" i="9" s="1"/>
  <c r="F13998" i="9"/>
  <c r="H13998" i="9" s="1"/>
  <c r="F13999" i="9"/>
  <c r="H13999" i="9" s="1"/>
  <c r="F14000" i="9"/>
  <c r="H14000" i="9" s="1"/>
  <c r="F14001" i="9"/>
  <c r="H14001" i="9" s="1"/>
  <c r="F14002" i="9"/>
  <c r="H14002" i="9" s="1"/>
  <c r="F14003" i="9"/>
  <c r="H14003" i="9" s="1"/>
  <c r="F14004" i="9"/>
  <c r="H14004" i="9" s="1"/>
  <c r="F14005" i="9"/>
  <c r="H14005" i="9" s="1"/>
  <c r="F14006" i="9"/>
  <c r="H14006" i="9" s="1"/>
  <c r="F14007" i="9"/>
  <c r="H14007" i="9" s="1"/>
  <c r="F14008" i="9"/>
  <c r="H14008" i="9" s="1"/>
  <c r="F14009" i="9"/>
  <c r="H14009" i="9" s="1"/>
  <c r="F14010" i="9"/>
  <c r="H14010" i="9"/>
  <c r="F14011" i="9"/>
  <c r="H14011" i="9" s="1"/>
  <c r="F14012" i="9"/>
  <c r="H14012" i="9" s="1"/>
  <c r="F14013" i="9"/>
  <c r="H14013" i="9" s="1"/>
  <c r="F14014" i="9"/>
  <c r="H14014" i="9" s="1"/>
  <c r="F14015" i="9"/>
  <c r="H14015" i="9" s="1"/>
  <c r="F14016" i="9"/>
  <c r="H14016" i="9" s="1"/>
  <c r="F14017" i="9"/>
  <c r="H14017" i="9" s="1"/>
  <c r="F14018" i="9"/>
  <c r="H14018" i="9" s="1"/>
  <c r="F14019" i="9"/>
  <c r="H14019" i="9" s="1"/>
  <c r="F14020" i="9"/>
  <c r="H14020" i="9" s="1"/>
  <c r="F14021" i="9"/>
  <c r="H14021" i="9" s="1"/>
  <c r="F14022" i="9"/>
  <c r="H14022" i="9" s="1"/>
  <c r="F14023" i="9"/>
  <c r="H14023" i="9" s="1"/>
  <c r="F14024" i="9"/>
  <c r="H14024" i="9" s="1"/>
  <c r="F14025" i="9"/>
  <c r="H14025" i="9" s="1"/>
  <c r="F14026" i="9"/>
  <c r="H14026" i="9" s="1"/>
  <c r="F14027" i="9"/>
  <c r="H14027" i="9" s="1"/>
  <c r="F14028" i="9"/>
  <c r="H14028" i="9" s="1"/>
  <c r="F14029" i="9"/>
  <c r="H14029" i="9" s="1"/>
  <c r="F14030" i="9"/>
  <c r="H14030" i="9" s="1"/>
  <c r="F14031" i="9"/>
  <c r="H14031" i="9" s="1"/>
  <c r="F14032" i="9"/>
  <c r="H14032" i="9"/>
  <c r="F14033" i="9"/>
  <c r="H14033" i="9" s="1"/>
  <c r="F14034" i="9"/>
  <c r="H14034" i="9" s="1"/>
  <c r="F14035" i="9"/>
  <c r="H14035" i="9" s="1"/>
  <c r="F14036" i="9"/>
  <c r="H14036" i="9" s="1"/>
  <c r="F14037" i="9"/>
  <c r="H14037" i="9" s="1"/>
  <c r="F14038" i="9"/>
  <c r="H14038" i="9" s="1"/>
  <c r="F14039" i="9"/>
  <c r="H14039" i="9" s="1"/>
  <c r="F14040" i="9"/>
  <c r="H14040" i="9" s="1"/>
  <c r="F14041" i="9"/>
  <c r="H14041" i="9" s="1"/>
  <c r="F14042" i="9"/>
  <c r="H14042" i="9" s="1"/>
  <c r="F14043" i="9"/>
  <c r="H14043" i="9" s="1"/>
  <c r="F14044" i="9"/>
  <c r="H14044" i="9" s="1"/>
  <c r="F14045" i="9"/>
  <c r="H14045" i="9" s="1"/>
  <c r="F14046" i="9"/>
  <c r="H14046" i="9" s="1"/>
  <c r="F14047" i="9"/>
  <c r="H14047" i="9" s="1"/>
  <c r="F14048" i="9"/>
  <c r="H14048" i="9" s="1"/>
  <c r="F14049" i="9"/>
  <c r="H14049" i="9" s="1"/>
  <c r="F14050" i="9"/>
  <c r="H14050" i="9" s="1"/>
  <c r="F14051" i="9"/>
  <c r="H14051" i="9" s="1"/>
  <c r="F14052" i="9"/>
  <c r="H14052" i="9" s="1"/>
  <c r="F14053" i="9"/>
  <c r="H14053" i="9" s="1"/>
  <c r="F14054" i="9"/>
  <c r="H14054" i="9" s="1"/>
  <c r="F14055" i="9"/>
  <c r="H14055" i="9" s="1"/>
  <c r="F14056" i="9"/>
  <c r="H14056" i="9" s="1"/>
  <c r="F14057" i="9"/>
  <c r="H14057" i="9" s="1"/>
  <c r="F14058" i="9"/>
  <c r="H14058" i="9" s="1"/>
  <c r="F14059" i="9"/>
  <c r="H14059" i="9" s="1"/>
  <c r="F14060" i="9"/>
  <c r="H14060" i="9" s="1"/>
  <c r="F14061" i="9"/>
  <c r="H14061" i="9" s="1"/>
  <c r="F14062" i="9"/>
  <c r="H14062" i="9" s="1"/>
  <c r="F14063" i="9"/>
  <c r="H14063" i="9" s="1"/>
  <c r="F14064" i="9"/>
  <c r="H14064" i="9" s="1"/>
  <c r="F14065" i="9"/>
  <c r="H14065" i="9" s="1"/>
  <c r="F14066" i="9"/>
  <c r="H14066" i="9" s="1"/>
  <c r="F14067" i="9"/>
  <c r="H14067" i="9" s="1"/>
  <c r="F14068" i="9"/>
  <c r="H14068" i="9" s="1"/>
  <c r="F14069" i="9"/>
  <c r="H14069" i="9" s="1"/>
  <c r="F14070" i="9"/>
  <c r="H14070" i="9" s="1"/>
  <c r="F14071" i="9"/>
  <c r="H14071" i="9" s="1"/>
  <c r="F14072" i="9"/>
  <c r="H14072" i="9" s="1"/>
  <c r="F14073" i="9"/>
  <c r="H14073" i="9" s="1"/>
  <c r="F14074" i="9"/>
  <c r="H14074" i="9" s="1"/>
  <c r="F14075" i="9"/>
  <c r="H14075" i="9" s="1"/>
  <c r="F14076" i="9"/>
  <c r="H14076" i="9" s="1"/>
  <c r="F14077" i="9"/>
  <c r="H14077" i="9" s="1"/>
  <c r="F14078" i="9"/>
  <c r="H14078" i="9" s="1"/>
  <c r="F14079" i="9"/>
  <c r="H14079" i="9" s="1"/>
  <c r="F14080" i="9"/>
  <c r="H14080" i="9" s="1"/>
  <c r="F14081" i="9"/>
  <c r="H14081" i="9" s="1"/>
  <c r="F14082" i="9"/>
  <c r="H14082" i="9" s="1"/>
  <c r="F14083" i="9"/>
  <c r="H14083" i="9" s="1"/>
  <c r="F14084" i="9"/>
  <c r="H14084" i="9" s="1"/>
  <c r="F14085" i="9"/>
  <c r="H14085" i="9" s="1"/>
  <c r="F14086" i="9"/>
  <c r="H14086" i="9" s="1"/>
  <c r="F14087" i="9"/>
  <c r="H14087" i="9"/>
  <c r="F14088" i="9"/>
  <c r="H14088" i="9" s="1"/>
  <c r="F14089" i="9"/>
  <c r="H14089" i="9" s="1"/>
  <c r="F14090" i="9"/>
  <c r="H14090" i="9" s="1"/>
  <c r="F14091" i="9"/>
  <c r="H14091" i="9" s="1"/>
  <c r="F14092" i="9"/>
  <c r="H14092" i="9" s="1"/>
  <c r="F14093" i="9"/>
  <c r="H14093" i="9" s="1"/>
  <c r="F14094" i="9"/>
  <c r="H14094" i="9" s="1"/>
  <c r="F14095" i="9"/>
  <c r="H14095" i="9" s="1"/>
  <c r="F14096" i="9"/>
  <c r="H14096" i="9" s="1"/>
  <c r="F14097" i="9"/>
  <c r="H14097" i="9" s="1"/>
  <c r="F14098" i="9"/>
  <c r="H14098" i="9" s="1"/>
  <c r="F14099" i="9"/>
  <c r="H14099" i="9" s="1"/>
  <c r="F14100" i="9"/>
  <c r="H14100" i="9" s="1"/>
  <c r="F14101" i="9"/>
  <c r="H14101" i="9" s="1"/>
  <c r="F14102" i="9"/>
  <c r="H14102" i="9" s="1"/>
  <c r="F14103" i="9"/>
  <c r="H14103" i="9" s="1"/>
  <c r="F14104" i="9"/>
  <c r="H14104" i="9" s="1"/>
  <c r="F14105" i="9"/>
  <c r="H14105" i="9" s="1"/>
  <c r="F14106" i="9"/>
  <c r="H14106" i="9" s="1"/>
  <c r="F14107" i="9"/>
  <c r="H14107" i="9" s="1"/>
  <c r="F14108" i="9"/>
  <c r="H14108" i="9" s="1"/>
  <c r="F14109" i="9"/>
  <c r="H14109" i="9" s="1"/>
  <c r="F14110" i="9"/>
  <c r="H14110" i="9" s="1"/>
  <c r="F14111" i="9"/>
  <c r="H14111" i="9" s="1"/>
  <c r="F14112" i="9"/>
  <c r="H14112" i="9" s="1"/>
  <c r="F14113" i="9"/>
  <c r="H14113" i="9" s="1"/>
  <c r="F14114" i="9"/>
  <c r="H14114" i="9" s="1"/>
  <c r="F14115" i="9"/>
  <c r="H14115" i="9" s="1"/>
  <c r="F14116" i="9"/>
  <c r="H14116" i="9" s="1"/>
  <c r="F14117" i="9"/>
  <c r="H14117" i="9" s="1"/>
  <c r="F14118" i="9"/>
  <c r="H14118" i="9" s="1"/>
  <c r="F14119" i="9"/>
  <c r="H14119" i="9" s="1"/>
  <c r="F14120" i="9"/>
  <c r="H14120" i="9" s="1"/>
  <c r="F14121" i="9"/>
  <c r="H14121" i="9" s="1"/>
  <c r="F14122" i="9"/>
  <c r="H14122" i="9" s="1"/>
  <c r="F14123" i="9"/>
  <c r="H14123" i="9" s="1"/>
  <c r="F14124" i="9"/>
  <c r="H14124" i="9" s="1"/>
  <c r="F14125" i="9"/>
  <c r="H14125" i="9" s="1"/>
  <c r="F14126" i="9"/>
  <c r="H14126" i="9"/>
  <c r="F14127" i="9"/>
  <c r="H14127" i="9" s="1"/>
  <c r="F14128" i="9"/>
  <c r="H14128" i="9" s="1"/>
  <c r="F14129" i="9"/>
  <c r="H14129" i="9" s="1"/>
  <c r="F14130" i="9"/>
  <c r="H14130" i="9" s="1"/>
  <c r="F14131" i="9"/>
  <c r="H14131" i="9" s="1"/>
  <c r="F14132" i="9"/>
  <c r="H14132" i="9" s="1"/>
  <c r="F14133" i="9"/>
  <c r="H14133" i="9" s="1"/>
  <c r="F14134" i="9"/>
  <c r="H14134" i="9" s="1"/>
  <c r="F14135" i="9"/>
  <c r="H14135" i="9" s="1"/>
  <c r="F14136" i="9"/>
  <c r="H14136" i="9" s="1"/>
  <c r="F14137" i="9"/>
  <c r="H14137" i="9" s="1"/>
  <c r="F14138" i="9"/>
  <c r="H14138" i="9" s="1"/>
  <c r="F14139" i="9"/>
  <c r="H14139" i="9" s="1"/>
  <c r="F14140" i="9"/>
  <c r="H14140" i="9" s="1"/>
  <c r="F14141" i="9"/>
  <c r="H14141" i="9" s="1"/>
  <c r="F14142" i="9"/>
  <c r="H14142" i="9" s="1"/>
  <c r="F14143" i="9"/>
  <c r="H14143" i="9" s="1"/>
  <c r="F14144" i="9"/>
  <c r="H14144" i="9" s="1"/>
  <c r="F14145" i="9"/>
  <c r="H14145" i="9" s="1"/>
  <c r="F14146" i="9"/>
  <c r="H14146" i="9" s="1"/>
  <c r="F14147" i="9"/>
  <c r="H14147" i="9" s="1"/>
  <c r="F14148" i="9"/>
  <c r="H14148" i="9"/>
  <c r="F14149" i="9"/>
  <c r="H14149" i="9" s="1"/>
  <c r="F14150" i="9"/>
  <c r="H14150" i="9" s="1"/>
  <c r="F14151" i="9"/>
  <c r="H14151" i="9" s="1"/>
  <c r="F14152" i="9"/>
  <c r="H14152" i="9" s="1"/>
  <c r="F14153" i="9"/>
  <c r="H14153" i="9" s="1"/>
  <c r="F14154" i="9"/>
  <c r="H14154" i="9" s="1"/>
  <c r="F14155" i="9"/>
  <c r="H14155" i="9" s="1"/>
  <c r="F14156" i="9"/>
  <c r="H14156" i="9" s="1"/>
  <c r="F14157" i="9"/>
  <c r="H14157" i="9" s="1"/>
  <c r="F14158" i="9"/>
  <c r="H14158" i="9" s="1"/>
  <c r="F14159" i="9"/>
  <c r="H14159" i="9" s="1"/>
  <c r="F14160" i="9"/>
  <c r="H14160" i="9" s="1"/>
  <c r="F14161" i="9"/>
  <c r="H14161" i="9" s="1"/>
  <c r="F14162" i="9"/>
  <c r="H14162" i="9" s="1"/>
  <c r="F14163" i="9"/>
  <c r="H14163" i="9" s="1"/>
  <c r="F14164" i="9"/>
  <c r="H14164" i="9" s="1"/>
  <c r="F14165" i="9"/>
  <c r="H14165" i="9" s="1"/>
  <c r="F14166" i="9"/>
  <c r="H14166" i="9" s="1"/>
  <c r="F14167" i="9"/>
  <c r="H14167" i="9" s="1"/>
  <c r="F14168" i="9"/>
  <c r="H14168" i="9" s="1"/>
  <c r="F14169" i="9"/>
  <c r="H14169" i="9" s="1"/>
  <c r="F14170" i="9"/>
  <c r="H14170" i="9" s="1"/>
  <c r="F14171" i="9"/>
  <c r="H14171" i="9" s="1"/>
  <c r="F14172" i="9"/>
  <c r="H14172" i="9" s="1"/>
  <c r="F14173" i="9"/>
  <c r="H14173" i="9" s="1"/>
  <c r="F14174" i="9"/>
  <c r="H14174" i="9" s="1"/>
  <c r="F14175" i="9"/>
  <c r="H14175" i="9" s="1"/>
  <c r="F14176" i="9"/>
  <c r="H14176" i="9" s="1"/>
  <c r="F14177" i="9"/>
  <c r="H14177" i="9" s="1"/>
  <c r="F14178" i="9"/>
  <c r="H14178" i="9" s="1"/>
  <c r="F14179" i="9"/>
  <c r="H14179" i="9" s="1"/>
  <c r="F14180" i="9"/>
  <c r="H14180" i="9" s="1"/>
  <c r="F14181" i="9"/>
  <c r="H14181" i="9" s="1"/>
  <c r="F14182" i="9"/>
  <c r="H14182" i="9" s="1"/>
  <c r="F14183" i="9"/>
  <c r="H14183" i="9" s="1"/>
  <c r="F14184" i="9"/>
  <c r="H14184" i="9" s="1"/>
  <c r="F14185" i="9"/>
  <c r="H14185" i="9"/>
  <c r="F14186" i="9"/>
  <c r="H14186" i="9" s="1"/>
  <c r="F14187" i="9"/>
  <c r="H14187" i="9" s="1"/>
  <c r="F14188" i="9"/>
  <c r="H14188" i="9" s="1"/>
  <c r="F14189" i="9"/>
  <c r="H14189" i="9" s="1"/>
  <c r="F14190" i="9"/>
  <c r="H14190" i="9" s="1"/>
  <c r="F14191" i="9"/>
  <c r="H14191" i="9" s="1"/>
  <c r="F14192" i="9"/>
  <c r="H14192" i="9" s="1"/>
  <c r="F14193" i="9"/>
  <c r="H14193" i="9" s="1"/>
  <c r="F14194" i="9"/>
  <c r="H14194" i="9" s="1"/>
  <c r="F14195" i="9"/>
  <c r="H14195" i="9" s="1"/>
  <c r="F14196" i="9"/>
  <c r="H14196" i="9" s="1"/>
  <c r="F14197" i="9"/>
  <c r="H14197" i="9" s="1"/>
  <c r="F14198" i="9"/>
  <c r="H14198" i="9" s="1"/>
  <c r="F14199" i="9"/>
  <c r="H14199" i="9" s="1"/>
  <c r="F14200" i="9"/>
  <c r="H14200" i="9" s="1"/>
  <c r="F14201" i="9"/>
  <c r="H14201" i="9" s="1"/>
  <c r="F14202" i="9"/>
  <c r="H14202" i="9" s="1"/>
  <c r="F14203" i="9"/>
  <c r="H14203" i="9" s="1"/>
  <c r="F14204" i="9"/>
  <c r="H14204" i="9" s="1"/>
  <c r="F14205" i="9"/>
  <c r="H14205" i="9" s="1"/>
  <c r="F14206" i="9"/>
  <c r="H14206" i="9" s="1"/>
  <c r="F14207" i="9"/>
  <c r="H14207" i="9" s="1"/>
  <c r="F14208" i="9"/>
  <c r="H14208" i="9" s="1"/>
  <c r="F14209" i="9"/>
  <c r="H14209" i="9" s="1"/>
  <c r="F14210" i="9"/>
  <c r="H14210" i="9" s="1"/>
  <c r="F14211" i="9"/>
  <c r="H14211" i="9" s="1"/>
  <c r="F14212" i="9"/>
  <c r="H14212" i="9" s="1"/>
  <c r="F14213" i="9"/>
  <c r="H14213" i="9" s="1"/>
  <c r="F14214" i="9"/>
  <c r="H14214" i="9" s="1"/>
  <c r="F14215" i="9"/>
  <c r="H14215" i="9" s="1"/>
  <c r="F14216" i="9"/>
  <c r="H14216" i="9" s="1"/>
  <c r="F14217" i="9"/>
  <c r="H14217" i="9" s="1"/>
  <c r="F14218" i="9"/>
  <c r="H14218" i="9" s="1"/>
  <c r="F14219" i="9"/>
  <c r="H14219" i="9" s="1"/>
  <c r="F14220" i="9"/>
  <c r="H14220" i="9" s="1"/>
  <c r="F14221" i="9"/>
  <c r="H14221" i="9" s="1"/>
  <c r="F14222" i="9"/>
  <c r="H14222" i="9" s="1"/>
  <c r="F14223" i="9"/>
  <c r="H14223" i="9" s="1"/>
  <c r="F14224" i="9"/>
  <c r="H14224" i="9" s="1"/>
  <c r="F14225" i="9"/>
  <c r="H14225" i="9" s="1"/>
  <c r="F14226" i="9"/>
  <c r="H14226" i="9" s="1"/>
  <c r="F14227" i="9"/>
  <c r="H14227" i="9" s="1"/>
  <c r="F14228" i="9"/>
  <c r="H14228" i="9" s="1"/>
  <c r="F14229" i="9"/>
  <c r="H14229" i="9" s="1"/>
  <c r="F14230" i="9"/>
  <c r="H14230" i="9" s="1"/>
  <c r="F14231" i="9"/>
  <c r="H14231" i="9" s="1"/>
  <c r="F14232" i="9"/>
  <c r="H14232" i="9" s="1"/>
  <c r="F14233" i="9"/>
  <c r="H14233" i="9" s="1"/>
  <c r="F14234" i="9"/>
  <c r="H14234" i="9" s="1"/>
  <c r="F14235" i="9"/>
  <c r="H14235" i="9" s="1"/>
  <c r="F14236" i="9"/>
  <c r="H14236" i="9" s="1"/>
  <c r="F14237" i="9"/>
  <c r="H14237" i="9" s="1"/>
  <c r="F14238" i="9"/>
  <c r="H14238" i="9" s="1"/>
  <c r="F14239" i="9"/>
  <c r="H14239" i="9" s="1"/>
  <c r="F14240" i="9"/>
  <c r="H14240" i="9" s="1"/>
  <c r="F14241" i="9"/>
  <c r="H14241" i="9" s="1"/>
  <c r="F14242" i="9"/>
  <c r="H14242" i="9" s="1"/>
  <c r="F14243" i="9"/>
  <c r="H14243" i="9" s="1"/>
  <c r="F14244" i="9"/>
  <c r="H14244" i="9" s="1"/>
  <c r="F14245" i="9"/>
  <c r="H14245" i="9" s="1"/>
  <c r="F14246" i="9"/>
  <c r="H14246" i="9" s="1"/>
  <c r="F14247" i="9"/>
  <c r="H14247" i="9" s="1"/>
  <c r="F14248" i="9"/>
  <c r="H14248" i="9" s="1"/>
  <c r="F14249" i="9"/>
  <c r="H14249" i="9" s="1"/>
  <c r="F14250" i="9"/>
  <c r="H14250" i="9" s="1"/>
  <c r="F14251" i="9"/>
  <c r="H14251" i="9" s="1"/>
  <c r="F14252" i="9"/>
  <c r="H14252" i="9" s="1"/>
  <c r="F14253" i="9"/>
  <c r="H14253" i="9" s="1"/>
  <c r="F14254" i="9"/>
  <c r="H14254" i="9" s="1"/>
  <c r="F14255" i="9"/>
  <c r="H14255" i="9" s="1"/>
  <c r="F14256" i="9"/>
  <c r="H14256" i="9" s="1"/>
  <c r="F14257" i="9"/>
  <c r="H14257" i="9" s="1"/>
  <c r="F14258" i="9"/>
  <c r="H14258" i="9" s="1"/>
  <c r="F14259" i="9"/>
  <c r="H14259" i="9" s="1"/>
  <c r="F14260" i="9"/>
  <c r="H14260" i="9" s="1"/>
  <c r="F14261" i="9"/>
  <c r="H14261" i="9" s="1"/>
  <c r="F14262" i="9"/>
  <c r="H14262" i="9" s="1"/>
  <c r="F14263" i="9"/>
  <c r="H14263" i="9" s="1"/>
  <c r="F14264" i="9"/>
  <c r="H14264" i="9" s="1"/>
  <c r="F14265" i="9"/>
  <c r="H14265" i="9" s="1"/>
  <c r="F14266" i="9"/>
  <c r="H14266" i="9" s="1"/>
  <c r="F14267" i="9"/>
  <c r="H14267" i="9" s="1"/>
  <c r="F14268" i="9"/>
  <c r="H14268" i="9" s="1"/>
  <c r="F14269" i="9"/>
  <c r="H14269" i="9" s="1"/>
  <c r="F14270" i="9"/>
  <c r="H14270" i="9" s="1"/>
  <c r="F14271" i="9"/>
  <c r="H14271" i="9" s="1"/>
  <c r="F14272" i="9"/>
  <c r="H14272" i="9" s="1"/>
  <c r="F14273" i="9"/>
  <c r="H14273" i="9" s="1"/>
  <c r="F14274" i="9"/>
  <c r="H14274" i="9" s="1"/>
  <c r="F14275" i="9"/>
  <c r="H14275" i="9" s="1"/>
  <c r="F14276" i="9"/>
  <c r="H14276" i="9" s="1"/>
  <c r="F14277" i="9"/>
  <c r="H14277" i="9" s="1"/>
  <c r="F14278" i="9"/>
  <c r="H14278" i="9" s="1"/>
  <c r="F14279" i="9"/>
  <c r="H14279" i="9" s="1"/>
  <c r="F14280" i="9"/>
  <c r="H14280" i="9" s="1"/>
  <c r="F14281" i="9"/>
  <c r="H14281" i="9" s="1"/>
  <c r="F14282" i="9"/>
  <c r="H14282" i="9" s="1"/>
  <c r="F14283" i="9"/>
  <c r="H14283" i="9" s="1"/>
  <c r="F14284" i="9"/>
  <c r="H14284" i="9" s="1"/>
  <c r="F14285" i="9"/>
  <c r="H14285" i="9" s="1"/>
  <c r="F14286" i="9"/>
  <c r="H14286" i="9" s="1"/>
  <c r="F14287" i="9"/>
  <c r="H14287" i="9" s="1"/>
  <c r="F14288" i="9"/>
  <c r="H14288" i="9" s="1"/>
  <c r="F14289" i="9"/>
  <c r="H14289" i="9" s="1"/>
  <c r="F14290" i="9"/>
  <c r="H14290" i="9" s="1"/>
  <c r="F14291" i="9"/>
  <c r="H14291" i="9" s="1"/>
  <c r="F14292" i="9"/>
  <c r="H14292" i="9" s="1"/>
  <c r="F14293" i="9"/>
  <c r="H14293" i="9" s="1"/>
  <c r="F14294" i="9"/>
  <c r="H14294" i="9" s="1"/>
  <c r="F14295" i="9"/>
  <c r="H14295" i="9" s="1"/>
  <c r="F14296" i="9"/>
  <c r="H14296" i="9" s="1"/>
  <c r="F14297" i="9"/>
  <c r="H14297" i="9"/>
  <c r="F14298" i="9"/>
  <c r="H14298" i="9" s="1"/>
  <c r="F14299" i="9"/>
  <c r="H14299" i="9" s="1"/>
  <c r="F14300" i="9"/>
  <c r="H14300" i="9" s="1"/>
  <c r="F14301" i="9"/>
  <c r="H14301" i="9" s="1"/>
  <c r="F14302" i="9"/>
  <c r="H14302" i="9" s="1"/>
  <c r="F14303" i="9"/>
  <c r="H14303" i="9" s="1"/>
  <c r="F14304" i="9"/>
  <c r="H14304" i="9" s="1"/>
  <c r="F14305" i="9"/>
  <c r="H14305" i="9" s="1"/>
  <c r="F14306" i="9"/>
  <c r="H14306" i="9"/>
  <c r="F14307" i="9"/>
  <c r="H14307" i="9" s="1"/>
  <c r="F14308" i="9"/>
  <c r="H14308" i="9" s="1"/>
  <c r="F14309" i="9"/>
  <c r="H14309" i="9" s="1"/>
  <c r="F14310" i="9"/>
  <c r="H14310" i="9" s="1"/>
  <c r="F14311" i="9"/>
  <c r="H14311" i="9" s="1"/>
  <c r="F14312" i="9"/>
  <c r="H14312" i="9" s="1"/>
  <c r="F14313" i="9"/>
  <c r="H14313" i="9" s="1"/>
  <c r="F14314" i="9"/>
  <c r="H14314" i="9" s="1"/>
  <c r="F14315" i="9"/>
  <c r="H14315" i="9" s="1"/>
  <c r="F14316" i="9"/>
  <c r="H14316" i="9" s="1"/>
  <c r="F14317" i="9"/>
  <c r="H14317" i="9" s="1"/>
  <c r="F14318" i="9"/>
  <c r="H14318" i="9" s="1"/>
  <c r="F14319" i="9"/>
  <c r="H14319" i="9" s="1"/>
  <c r="F14320" i="9"/>
  <c r="H14320" i="9" s="1"/>
  <c r="F14321" i="9"/>
  <c r="H14321" i="9" s="1"/>
  <c r="F14322" i="9"/>
  <c r="H14322" i="9" s="1"/>
  <c r="F14323" i="9"/>
  <c r="H14323" i="9" s="1"/>
  <c r="F14324" i="9"/>
  <c r="H14324" i="9" s="1"/>
  <c r="F14325" i="9"/>
  <c r="H14325" i="9" s="1"/>
  <c r="F14326" i="9"/>
  <c r="H14326" i="9" s="1"/>
  <c r="F14327" i="9"/>
  <c r="H14327" i="9" s="1"/>
  <c r="F14328" i="9"/>
  <c r="H14328" i="9" s="1"/>
  <c r="F14329" i="9"/>
  <c r="H14329" i="9" s="1"/>
  <c r="F14330" i="9"/>
  <c r="H14330" i="9" s="1"/>
  <c r="F14331" i="9"/>
  <c r="H14331" i="9" s="1"/>
  <c r="F14332" i="9"/>
  <c r="H14332" i="9" s="1"/>
  <c r="F14333" i="9"/>
  <c r="H14333" i="9" s="1"/>
  <c r="F14334" i="9"/>
  <c r="H14334" i="9" s="1"/>
  <c r="F14335" i="9"/>
  <c r="H14335" i="9" s="1"/>
  <c r="F14336" i="9"/>
  <c r="H14336" i="9"/>
  <c r="F14337" i="9"/>
  <c r="H14337" i="9" s="1"/>
  <c r="F14338" i="9"/>
  <c r="H14338" i="9" s="1"/>
  <c r="F14339" i="9"/>
  <c r="H14339" i="9" s="1"/>
  <c r="F14340" i="9"/>
  <c r="H14340" i="9" s="1"/>
  <c r="F14341" i="9"/>
  <c r="H14341" i="9" s="1"/>
  <c r="F14342" i="9"/>
  <c r="H14342" i="9" s="1"/>
  <c r="F14343" i="9"/>
  <c r="H14343" i="9" s="1"/>
  <c r="F14344" i="9"/>
  <c r="H14344" i="9" s="1"/>
  <c r="F14345" i="9"/>
  <c r="H14345" i="9" s="1"/>
  <c r="F14346" i="9"/>
  <c r="H14346" i="9" s="1"/>
  <c r="F14347" i="9"/>
  <c r="H14347" i="9" s="1"/>
  <c r="F14348" i="9"/>
  <c r="H14348" i="9" s="1"/>
  <c r="F14349" i="9"/>
  <c r="H14349" i="9" s="1"/>
  <c r="F14350" i="9"/>
  <c r="H14350" i="9" s="1"/>
  <c r="F14351" i="9"/>
  <c r="H14351" i="9" s="1"/>
  <c r="F14352" i="9"/>
  <c r="H14352" i="9" s="1"/>
  <c r="F14353" i="9"/>
  <c r="H14353" i="9" s="1"/>
  <c r="F14354" i="9"/>
  <c r="H14354" i="9" s="1"/>
  <c r="F14355" i="9"/>
  <c r="H14355" i="9" s="1"/>
  <c r="F14356" i="9"/>
  <c r="H14356" i="9" s="1"/>
  <c r="F14357" i="9"/>
  <c r="H14357" i="9" s="1"/>
  <c r="F14358" i="9"/>
  <c r="H14358" i="9" s="1"/>
  <c r="F14359" i="9"/>
  <c r="H14359" i="9" s="1"/>
  <c r="F14360" i="9"/>
  <c r="H14360" i="9" s="1"/>
  <c r="F14361" i="9"/>
  <c r="H14361" i="9" s="1"/>
  <c r="F14362" i="9"/>
  <c r="H14362" i="9" s="1"/>
  <c r="F14363" i="9"/>
  <c r="H14363" i="9" s="1"/>
  <c r="F14364" i="9"/>
  <c r="H14364" i="9" s="1"/>
  <c r="F14365" i="9"/>
  <c r="H14365" i="9"/>
  <c r="F14366" i="9"/>
  <c r="H14366" i="9" s="1"/>
  <c r="F14367" i="9"/>
  <c r="H14367" i="9" s="1"/>
  <c r="F14368" i="9"/>
  <c r="H14368" i="9" s="1"/>
  <c r="F14369" i="9"/>
  <c r="H14369" i="9" s="1"/>
  <c r="F14370" i="9"/>
  <c r="H14370" i="9" s="1"/>
  <c r="F14371" i="9"/>
  <c r="H14371" i="9" s="1"/>
  <c r="F14372" i="9"/>
  <c r="H14372" i="9"/>
  <c r="F14373" i="9"/>
  <c r="H14373" i="9" s="1"/>
  <c r="F14374" i="9"/>
  <c r="H14374" i="9" s="1"/>
  <c r="F14375" i="9"/>
  <c r="H14375" i="9" s="1"/>
  <c r="F14376" i="9"/>
  <c r="H14376" i="9" s="1"/>
  <c r="F14377" i="9"/>
  <c r="H14377" i="9" s="1"/>
  <c r="F14378" i="9"/>
  <c r="H14378" i="9" s="1"/>
  <c r="F14379" i="9"/>
  <c r="H14379" i="9" s="1"/>
  <c r="F14380" i="9"/>
  <c r="H14380" i="9" s="1"/>
  <c r="F14381" i="9"/>
  <c r="H14381" i="9" s="1"/>
  <c r="F14382" i="9"/>
  <c r="H14382" i="9" s="1"/>
  <c r="F14383" i="9"/>
  <c r="H14383" i="9" s="1"/>
  <c r="F14384" i="9"/>
  <c r="H14384" i="9" s="1"/>
  <c r="F14385" i="9"/>
  <c r="H14385" i="9" s="1"/>
  <c r="F14386" i="9"/>
  <c r="H14386" i="9" s="1"/>
  <c r="F14387" i="9"/>
  <c r="H14387" i="9" s="1"/>
  <c r="F14388" i="9"/>
  <c r="H14388" i="9"/>
  <c r="F14389" i="9"/>
  <c r="H14389" i="9" s="1"/>
  <c r="F14390" i="9"/>
  <c r="H14390" i="9" s="1"/>
  <c r="F14391" i="9"/>
  <c r="H14391" i="9" s="1"/>
  <c r="F14392" i="9"/>
  <c r="H14392" i="9" s="1"/>
  <c r="F14393" i="9"/>
  <c r="H14393" i="9" s="1"/>
  <c r="F14394" i="9"/>
  <c r="H14394" i="9" s="1"/>
  <c r="F14395" i="9"/>
  <c r="H14395" i="9" s="1"/>
  <c r="F14396" i="9"/>
  <c r="H14396" i="9" s="1"/>
  <c r="F14397" i="9"/>
  <c r="H14397" i="9" s="1"/>
  <c r="F14398" i="9"/>
  <c r="H14398" i="9" s="1"/>
  <c r="F14399" i="9"/>
  <c r="H14399" i="9" s="1"/>
  <c r="F14400" i="9"/>
  <c r="H14400" i="9" s="1"/>
  <c r="F14401" i="9"/>
  <c r="H14401" i="9" s="1"/>
  <c r="F14402" i="9"/>
  <c r="H14402" i="9" s="1"/>
  <c r="F14403" i="9"/>
  <c r="H14403" i="9" s="1"/>
  <c r="F14404" i="9"/>
  <c r="H14404" i="9" s="1"/>
  <c r="F14405" i="9"/>
  <c r="H14405" i="9" s="1"/>
  <c r="F14406" i="9"/>
  <c r="H14406" i="9" s="1"/>
  <c r="F14407" i="9"/>
  <c r="H14407" i="9" s="1"/>
  <c r="F14408" i="9"/>
  <c r="H14408" i="9" s="1"/>
  <c r="F14409" i="9"/>
  <c r="H14409" i="9" s="1"/>
  <c r="F14410" i="9"/>
  <c r="H14410" i="9" s="1"/>
  <c r="F14411" i="9"/>
  <c r="H14411" i="9" s="1"/>
  <c r="F14412" i="9"/>
  <c r="H14412" i="9" s="1"/>
  <c r="F14413" i="9"/>
  <c r="H14413" i="9" s="1"/>
  <c r="F14414" i="9"/>
  <c r="H14414" i="9" s="1"/>
  <c r="F14415" i="9"/>
  <c r="H14415" i="9" s="1"/>
  <c r="F14416" i="9"/>
  <c r="H14416" i="9" s="1"/>
  <c r="F14417" i="9"/>
  <c r="H14417" i="9" s="1"/>
  <c r="F14418" i="9"/>
  <c r="H14418" i="9" s="1"/>
  <c r="F14419" i="9"/>
  <c r="H14419" i="9" s="1"/>
  <c r="F14420" i="9"/>
  <c r="H14420" i="9" s="1"/>
  <c r="F14421" i="9"/>
  <c r="H14421" i="9" s="1"/>
  <c r="F14422" i="9"/>
  <c r="H14422" i="9" s="1"/>
  <c r="F14423" i="9"/>
  <c r="H14423" i="9" s="1"/>
  <c r="F14424" i="9"/>
  <c r="H14424" i="9" s="1"/>
  <c r="F14425" i="9"/>
  <c r="H14425" i="9" s="1"/>
  <c r="F14426" i="9"/>
  <c r="H14426" i="9" s="1"/>
  <c r="F14427" i="9"/>
  <c r="H14427" i="9" s="1"/>
  <c r="F14428" i="9"/>
  <c r="H14428" i="9" s="1"/>
  <c r="F14429" i="9"/>
  <c r="H14429" i="9" s="1"/>
  <c r="F14430" i="9"/>
  <c r="H14430" i="9" s="1"/>
  <c r="F14431" i="9"/>
  <c r="H14431" i="9" s="1"/>
  <c r="F14432" i="9"/>
  <c r="H14432" i="9" s="1"/>
  <c r="F14433" i="9"/>
  <c r="H14433" i="9" s="1"/>
  <c r="F14434" i="9"/>
  <c r="H14434" i="9" s="1"/>
  <c r="F14435" i="9"/>
  <c r="H14435" i="9" s="1"/>
  <c r="F14436" i="9"/>
  <c r="H14436" i="9" s="1"/>
  <c r="F14437" i="9"/>
  <c r="H14437" i="9" s="1"/>
  <c r="F14438" i="9"/>
  <c r="H14438" i="9" s="1"/>
  <c r="F14439" i="9"/>
  <c r="H14439" i="9" s="1"/>
  <c r="F14440" i="9"/>
  <c r="H14440" i="9" s="1"/>
  <c r="F14441" i="9"/>
  <c r="H14441" i="9" s="1"/>
  <c r="F14442" i="9"/>
  <c r="H14442" i="9" s="1"/>
  <c r="F14443" i="9"/>
  <c r="H14443" i="9" s="1"/>
  <c r="F14444" i="9"/>
  <c r="H14444" i="9" s="1"/>
  <c r="F14445" i="9"/>
  <c r="H14445" i="9" s="1"/>
  <c r="F14446" i="9"/>
  <c r="H14446" i="9" s="1"/>
  <c r="F14447" i="9"/>
  <c r="H14447" i="9" s="1"/>
  <c r="F14448" i="9"/>
  <c r="H14448" i="9" s="1"/>
  <c r="F14449" i="9"/>
  <c r="H14449" i="9" s="1"/>
  <c r="F14450" i="9"/>
  <c r="H14450" i="9"/>
  <c r="F14451" i="9"/>
  <c r="H14451" i="9" s="1"/>
  <c r="F14452" i="9"/>
  <c r="H14452" i="9" s="1"/>
  <c r="F14453" i="9"/>
  <c r="H14453" i="9" s="1"/>
  <c r="F14454" i="9"/>
  <c r="H14454" i="9" s="1"/>
  <c r="F14455" i="9"/>
  <c r="H14455" i="9" s="1"/>
  <c r="F14456" i="9"/>
  <c r="H14456" i="9" s="1"/>
  <c r="F14457" i="9"/>
  <c r="H14457" i="9" s="1"/>
  <c r="F14458" i="9"/>
  <c r="H14458" i="9" s="1"/>
  <c r="F14459" i="9"/>
  <c r="H14459" i="9" s="1"/>
  <c r="F14460" i="9"/>
  <c r="H14460" i="9" s="1"/>
  <c r="F14461" i="9"/>
  <c r="H14461" i="9"/>
  <c r="F14462" i="9"/>
  <c r="H14462" i="9" s="1"/>
  <c r="F14463" i="9"/>
  <c r="H14463" i="9" s="1"/>
  <c r="F14464" i="9"/>
  <c r="H14464" i="9" s="1"/>
  <c r="F14465" i="9"/>
  <c r="H14465" i="9" s="1"/>
  <c r="F14466" i="9"/>
  <c r="H14466" i="9" s="1"/>
  <c r="F14467" i="9"/>
  <c r="H14467" i="9" s="1"/>
  <c r="F14468" i="9"/>
  <c r="H14468" i="9" s="1"/>
  <c r="F14469" i="9"/>
  <c r="H14469" i="9" s="1"/>
  <c r="F14470" i="9"/>
  <c r="H14470" i="9" s="1"/>
  <c r="F14471" i="9"/>
  <c r="H14471" i="9" s="1"/>
  <c r="F14472" i="9"/>
  <c r="H14472" i="9" s="1"/>
  <c r="F14473" i="9"/>
  <c r="H14473" i="9" s="1"/>
  <c r="F14474" i="9"/>
  <c r="H14474" i="9" s="1"/>
  <c r="F14475" i="9"/>
  <c r="H14475" i="9" s="1"/>
  <c r="F14476" i="9"/>
  <c r="H14476" i="9" s="1"/>
  <c r="F14477" i="9"/>
  <c r="H14477" i="9" s="1"/>
  <c r="F14478" i="9"/>
  <c r="H14478" i="9" s="1"/>
  <c r="F14479" i="9"/>
  <c r="H14479" i="9" s="1"/>
  <c r="F14480" i="9"/>
  <c r="H14480" i="9" s="1"/>
  <c r="F14481" i="9"/>
  <c r="H14481" i="9" s="1"/>
  <c r="F14482" i="9"/>
  <c r="H14482" i="9" s="1"/>
  <c r="F14483" i="9"/>
  <c r="H14483" i="9" s="1"/>
  <c r="F14484" i="9"/>
  <c r="H14484" i="9" s="1"/>
  <c r="F14485" i="9"/>
  <c r="H14485" i="9" s="1"/>
  <c r="F14486" i="9"/>
  <c r="H14486" i="9" s="1"/>
  <c r="F14487" i="9"/>
  <c r="H14487" i="9" s="1"/>
  <c r="F14488" i="9"/>
  <c r="H14488" i="9" s="1"/>
  <c r="F14489" i="9"/>
  <c r="H14489" i="9"/>
  <c r="F14490" i="9"/>
  <c r="H14490" i="9" s="1"/>
  <c r="F14491" i="9"/>
  <c r="H14491" i="9" s="1"/>
  <c r="F14492" i="9"/>
  <c r="H14492" i="9" s="1"/>
  <c r="F14493" i="9"/>
  <c r="H14493" i="9" s="1"/>
  <c r="F14494" i="9"/>
  <c r="H14494" i="9" s="1"/>
  <c r="F14495" i="9"/>
  <c r="H14495" i="9" s="1"/>
  <c r="F14496" i="9"/>
  <c r="H14496" i="9" s="1"/>
  <c r="F14497" i="9"/>
  <c r="H14497" i="9" s="1"/>
  <c r="F14498" i="9"/>
  <c r="H14498" i="9" s="1"/>
  <c r="F14499" i="9"/>
  <c r="H14499" i="9" s="1"/>
  <c r="F14500" i="9"/>
  <c r="H14500" i="9" s="1"/>
  <c r="F14501" i="9"/>
  <c r="H14501" i="9" s="1"/>
  <c r="F14502" i="9"/>
  <c r="H14502" i="9" s="1"/>
  <c r="F14503" i="9"/>
  <c r="H14503" i="9"/>
  <c r="F14504" i="9"/>
  <c r="H14504" i="9" s="1"/>
  <c r="F14505" i="9"/>
  <c r="H14505" i="9" s="1"/>
  <c r="F14506" i="9"/>
  <c r="H14506" i="9" s="1"/>
  <c r="F14507" i="9"/>
  <c r="H14507" i="9" s="1"/>
  <c r="F14508" i="9"/>
  <c r="H14508" i="9"/>
  <c r="F14509" i="9"/>
  <c r="H14509" i="9" s="1"/>
  <c r="F14510" i="9"/>
  <c r="H14510" i="9" s="1"/>
  <c r="F14511" i="9"/>
  <c r="H14511" i="9" s="1"/>
  <c r="F14512" i="9"/>
  <c r="H14512" i="9" s="1"/>
  <c r="F14513" i="9"/>
  <c r="H14513" i="9" s="1"/>
  <c r="F14514" i="9"/>
  <c r="H14514" i="9" s="1"/>
  <c r="F14515" i="9"/>
  <c r="H14515" i="9" s="1"/>
  <c r="F14516" i="9"/>
  <c r="H14516" i="9" s="1"/>
  <c r="F14517" i="9"/>
  <c r="H14517" i="9" s="1"/>
  <c r="F14518" i="9"/>
  <c r="H14518" i="9" s="1"/>
  <c r="F14519" i="9"/>
  <c r="H14519" i="9"/>
  <c r="F14520" i="9"/>
  <c r="H14520" i="9" s="1"/>
  <c r="F14521" i="9"/>
  <c r="H14521" i="9" s="1"/>
  <c r="F14522" i="9"/>
  <c r="H14522" i="9"/>
  <c r="F14523" i="9"/>
  <c r="H14523" i="9" s="1"/>
  <c r="F14524" i="9"/>
  <c r="H14524" i="9" s="1"/>
  <c r="F14525" i="9"/>
  <c r="H14525" i="9" s="1"/>
  <c r="F14526" i="9"/>
  <c r="H14526" i="9" s="1"/>
  <c r="F14527" i="9"/>
  <c r="H14527" i="9" s="1"/>
  <c r="F14528" i="9"/>
  <c r="H14528" i="9" s="1"/>
  <c r="F14529" i="9"/>
  <c r="H14529" i="9" s="1"/>
  <c r="F14530" i="9"/>
  <c r="H14530" i="9" s="1"/>
  <c r="F14531" i="9"/>
  <c r="H14531" i="9" s="1"/>
  <c r="F14532" i="9"/>
  <c r="H14532" i="9" s="1"/>
  <c r="F14533" i="9"/>
  <c r="H14533" i="9" s="1"/>
  <c r="F14534" i="9"/>
  <c r="H14534" i="9" s="1"/>
  <c r="F14535" i="9"/>
  <c r="H14535" i="9" s="1"/>
  <c r="F14536" i="9"/>
  <c r="H14536" i="9" s="1"/>
  <c r="F14537" i="9"/>
  <c r="H14537" i="9" s="1"/>
  <c r="F14538" i="9"/>
  <c r="H14538" i="9"/>
  <c r="F14539" i="9"/>
  <c r="H14539" i="9" s="1"/>
  <c r="F14540" i="9"/>
  <c r="H14540" i="9" s="1"/>
  <c r="F14541" i="9"/>
  <c r="H14541" i="9" s="1"/>
  <c r="F14542" i="9"/>
  <c r="H14542" i="9" s="1"/>
  <c r="F14543" i="9"/>
  <c r="H14543" i="9" s="1"/>
  <c r="F14544" i="9"/>
  <c r="H14544" i="9" s="1"/>
  <c r="F14545" i="9"/>
  <c r="H14545" i="9" s="1"/>
  <c r="F14546" i="9"/>
  <c r="H14546" i="9" s="1"/>
  <c r="F14547" i="9"/>
  <c r="H14547" i="9" s="1"/>
  <c r="F14548" i="9"/>
  <c r="H14548" i="9" s="1"/>
  <c r="F14549" i="9"/>
  <c r="H14549" i="9" s="1"/>
  <c r="F14550" i="9"/>
  <c r="H14550" i="9" s="1"/>
  <c r="F14551" i="9"/>
  <c r="H14551" i="9" s="1"/>
  <c r="F14552" i="9"/>
  <c r="H14552" i="9" s="1"/>
  <c r="F14553" i="9"/>
  <c r="H14553" i="9" s="1"/>
  <c r="F14554" i="9"/>
  <c r="H14554" i="9" s="1"/>
  <c r="F14555" i="9"/>
  <c r="H14555" i="9" s="1"/>
  <c r="F14556" i="9"/>
  <c r="H14556" i="9" s="1"/>
  <c r="F14557" i="9"/>
  <c r="H14557" i="9" s="1"/>
  <c r="F14558" i="9"/>
  <c r="H14558" i="9" s="1"/>
  <c r="F14559" i="9"/>
  <c r="H14559" i="9" s="1"/>
  <c r="F14560" i="9"/>
  <c r="H14560" i="9" s="1"/>
  <c r="F14561" i="9"/>
  <c r="H14561" i="9" s="1"/>
  <c r="F14562" i="9"/>
  <c r="H14562" i="9" s="1"/>
  <c r="F14563" i="9"/>
  <c r="H14563" i="9" s="1"/>
  <c r="F14564" i="9"/>
  <c r="H14564" i="9" s="1"/>
  <c r="F14565" i="9"/>
  <c r="H14565" i="9" s="1"/>
  <c r="F14566" i="9"/>
  <c r="H14566" i="9" s="1"/>
  <c r="F14567" i="9"/>
  <c r="H14567" i="9" s="1"/>
  <c r="F14568" i="9"/>
  <c r="H14568" i="9" s="1"/>
  <c r="F14569" i="9"/>
  <c r="H14569" i="9" s="1"/>
  <c r="F14570" i="9"/>
  <c r="H14570" i="9" s="1"/>
  <c r="F14571" i="9"/>
  <c r="H14571" i="9" s="1"/>
  <c r="F14572" i="9"/>
  <c r="H14572" i="9" s="1"/>
  <c r="F14573" i="9"/>
  <c r="H14573" i="9" s="1"/>
  <c r="F14574" i="9"/>
  <c r="H14574" i="9" s="1"/>
  <c r="F14575" i="9"/>
  <c r="H14575" i="9" s="1"/>
  <c r="F14576" i="9"/>
  <c r="H14576" i="9" s="1"/>
  <c r="F14577" i="9"/>
  <c r="H14577" i="9" s="1"/>
  <c r="F14578" i="9"/>
  <c r="H14578" i="9" s="1"/>
  <c r="F14579" i="9"/>
  <c r="H14579" i="9" s="1"/>
  <c r="F14580" i="9"/>
  <c r="H14580" i="9" s="1"/>
  <c r="F14581" i="9"/>
  <c r="H14581" i="9" s="1"/>
  <c r="F14582" i="9"/>
  <c r="H14582" i="9" s="1"/>
  <c r="F14583" i="9"/>
  <c r="H14583" i="9" s="1"/>
  <c r="F14584" i="9"/>
  <c r="H14584" i="9" s="1"/>
  <c r="F14585" i="9"/>
  <c r="H14585" i="9" s="1"/>
  <c r="F14586" i="9"/>
  <c r="H14586" i="9" s="1"/>
  <c r="F14587" i="9"/>
  <c r="H14587" i="9" s="1"/>
  <c r="F14588" i="9"/>
  <c r="H14588" i="9" s="1"/>
  <c r="F14589" i="9"/>
  <c r="H14589" i="9" s="1"/>
  <c r="F14590" i="9"/>
  <c r="H14590" i="9" s="1"/>
  <c r="F14591" i="9"/>
  <c r="H14591" i="9" s="1"/>
  <c r="F14592" i="9"/>
  <c r="H14592" i="9" s="1"/>
  <c r="F14593" i="9"/>
  <c r="H14593" i="9" s="1"/>
  <c r="F14594" i="9"/>
  <c r="H14594" i="9"/>
  <c r="F14595" i="9"/>
  <c r="H14595" i="9" s="1"/>
  <c r="F14596" i="9"/>
  <c r="H14596" i="9" s="1"/>
  <c r="F14597" i="9"/>
  <c r="H14597" i="9" s="1"/>
  <c r="F14598" i="9"/>
  <c r="H14598" i="9" s="1"/>
  <c r="F14599" i="9"/>
  <c r="H14599" i="9" s="1"/>
  <c r="F14600" i="9"/>
  <c r="H14600" i="9" s="1"/>
  <c r="F14601" i="9"/>
  <c r="H14601" i="9" s="1"/>
  <c r="F14602" i="9"/>
  <c r="H14602" i="9" s="1"/>
  <c r="F14603" i="9"/>
  <c r="H14603" i="9" s="1"/>
  <c r="F14604" i="9"/>
  <c r="H14604" i="9" s="1"/>
  <c r="F14605" i="9"/>
  <c r="H14605" i="9" s="1"/>
  <c r="F14606" i="9"/>
  <c r="H14606" i="9" s="1"/>
  <c r="F14607" i="9"/>
  <c r="H14607" i="9" s="1"/>
  <c r="F14608" i="9"/>
  <c r="H14608" i="9" s="1"/>
  <c r="F14609" i="9"/>
  <c r="H14609" i="9"/>
  <c r="F14610" i="9"/>
  <c r="H14610" i="9" s="1"/>
  <c r="F14611" i="9"/>
  <c r="H14611" i="9"/>
  <c r="F14612" i="9"/>
  <c r="H14612" i="9"/>
  <c r="F14613" i="9"/>
  <c r="H14613" i="9" s="1"/>
  <c r="F14614" i="9"/>
  <c r="H14614" i="9" s="1"/>
  <c r="F14615" i="9"/>
  <c r="H14615" i="9" s="1"/>
  <c r="F14616" i="9"/>
  <c r="H14616" i="9" s="1"/>
  <c r="F14617" i="9"/>
  <c r="H14617" i="9" s="1"/>
  <c r="F14618" i="9"/>
  <c r="H14618" i="9" s="1"/>
  <c r="F14619" i="9"/>
  <c r="H14619" i="9" s="1"/>
  <c r="F14620" i="9"/>
  <c r="H14620" i="9" s="1"/>
  <c r="F14621" i="9"/>
  <c r="H14621" i="9" s="1"/>
  <c r="F14622" i="9"/>
  <c r="H14622" i="9" s="1"/>
  <c r="F14623" i="9"/>
  <c r="H14623" i="9" s="1"/>
  <c r="F14624" i="9"/>
  <c r="H14624" i="9" s="1"/>
  <c r="F14625" i="9"/>
  <c r="H14625" i="9" s="1"/>
  <c r="F14626" i="9"/>
  <c r="H14626" i="9" s="1"/>
  <c r="F14627" i="9"/>
  <c r="H14627" i="9" s="1"/>
  <c r="F14628" i="9"/>
  <c r="H14628" i="9" s="1"/>
  <c r="F14629" i="9"/>
  <c r="H14629" i="9" s="1"/>
  <c r="F14630" i="9"/>
  <c r="H14630" i="9" s="1"/>
  <c r="F14631" i="9"/>
  <c r="H14631" i="9" s="1"/>
  <c r="F14632" i="9"/>
  <c r="H14632" i="9" s="1"/>
  <c r="F14633" i="9"/>
  <c r="H14633" i="9" s="1"/>
  <c r="F14634" i="9"/>
  <c r="H14634" i="9" s="1"/>
  <c r="F14635" i="9"/>
  <c r="H14635" i="9" s="1"/>
  <c r="F14636" i="9"/>
  <c r="H14636" i="9" s="1"/>
  <c r="F14637" i="9"/>
  <c r="H14637" i="9" s="1"/>
  <c r="F14638" i="9"/>
  <c r="H14638" i="9" s="1"/>
  <c r="F14639" i="9"/>
  <c r="H14639" i="9"/>
  <c r="F14640" i="9"/>
  <c r="H14640" i="9" s="1"/>
  <c r="F14641" i="9"/>
  <c r="H14641" i="9" s="1"/>
  <c r="F14642" i="9"/>
  <c r="H14642" i="9" s="1"/>
  <c r="F14643" i="9"/>
  <c r="H14643" i="9" s="1"/>
  <c r="F14644" i="9"/>
  <c r="H14644" i="9" s="1"/>
  <c r="F14645" i="9"/>
  <c r="H14645" i="9" s="1"/>
  <c r="F14646" i="9"/>
  <c r="H14646" i="9" s="1"/>
  <c r="F14647" i="9"/>
  <c r="H14647" i="9" s="1"/>
  <c r="F14648" i="9"/>
  <c r="H14648" i="9" s="1"/>
  <c r="F14649" i="9"/>
  <c r="H14649" i="9" s="1"/>
  <c r="F14650" i="9"/>
  <c r="H14650" i="9" s="1"/>
  <c r="F14651" i="9"/>
  <c r="H14651" i="9" s="1"/>
  <c r="F14652" i="9"/>
  <c r="H14652" i="9"/>
  <c r="F14653" i="9"/>
  <c r="H14653" i="9" s="1"/>
  <c r="F14654" i="9"/>
  <c r="H14654" i="9" s="1"/>
  <c r="F14655" i="9"/>
  <c r="H14655" i="9" s="1"/>
  <c r="F14656" i="9"/>
  <c r="H14656" i="9" s="1"/>
  <c r="F14657" i="9"/>
  <c r="H14657" i="9" s="1"/>
  <c r="F14658" i="9"/>
  <c r="H14658" i="9" s="1"/>
  <c r="F14659" i="9"/>
  <c r="H14659" i="9" s="1"/>
  <c r="F14660" i="9"/>
  <c r="H14660" i="9"/>
  <c r="F14661" i="9"/>
  <c r="H14661" i="9" s="1"/>
  <c r="F14662" i="9"/>
  <c r="H14662" i="9" s="1"/>
  <c r="F14663" i="9"/>
  <c r="H14663" i="9" s="1"/>
  <c r="F14664" i="9"/>
  <c r="H14664" i="9" s="1"/>
  <c r="F14665" i="9"/>
  <c r="H14665" i="9" s="1"/>
  <c r="F14666" i="9"/>
  <c r="H14666" i="9" s="1"/>
  <c r="F14667" i="9"/>
  <c r="H14667" i="9" s="1"/>
  <c r="F14668" i="9"/>
  <c r="H14668" i="9" s="1"/>
  <c r="F14669" i="9"/>
  <c r="H14669" i="9" s="1"/>
  <c r="F14670" i="9"/>
  <c r="H14670" i="9" s="1"/>
  <c r="F14671" i="9"/>
  <c r="H14671" i="9" s="1"/>
  <c r="F14672" i="9"/>
  <c r="H14672" i="9" s="1"/>
  <c r="F14673" i="9"/>
  <c r="H14673" i="9" s="1"/>
  <c r="F14674" i="9"/>
  <c r="H14674" i="9" s="1"/>
  <c r="F14675" i="9"/>
  <c r="H14675" i="9" s="1"/>
  <c r="F14676" i="9"/>
  <c r="H14676" i="9" s="1"/>
  <c r="F14677" i="9"/>
  <c r="H14677" i="9" s="1"/>
  <c r="F14678" i="9"/>
  <c r="H14678" i="9"/>
  <c r="F14679" i="9"/>
  <c r="H14679" i="9" s="1"/>
  <c r="F14680" i="9"/>
  <c r="H14680" i="9" s="1"/>
  <c r="F14681" i="9"/>
  <c r="H14681" i="9"/>
  <c r="F14682" i="9"/>
  <c r="H14682" i="9" s="1"/>
  <c r="F14683" i="9"/>
  <c r="H14683" i="9" s="1"/>
  <c r="F14684" i="9"/>
  <c r="H14684" i="9" s="1"/>
  <c r="F14685" i="9"/>
  <c r="H14685" i="9" s="1"/>
  <c r="F14686" i="9"/>
  <c r="H14686" i="9" s="1"/>
  <c r="F14687" i="9"/>
  <c r="H14687" i="9" s="1"/>
  <c r="F14688" i="9"/>
  <c r="H14688" i="9" s="1"/>
  <c r="F14689" i="9"/>
  <c r="H14689" i="9" s="1"/>
  <c r="F14690" i="9"/>
  <c r="H14690" i="9" s="1"/>
  <c r="F14691" i="9"/>
  <c r="H14691" i="9" s="1"/>
  <c r="F14692" i="9"/>
  <c r="H14692" i="9" s="1"/>
  <c r="F14693" i="9"/>
  <c r="H14693" i="9" s="1"/>
  <c r="F14694" i="9"/>
  <c r="H14694" i="9" s="1"/>
  <c r="F14695" i="9"/>
  <c r="H14695" i="9" s="1"/>
  <c r="F14696" i="9"/>
  <c r="H14696" i="9" s="1"/>
  <c r="F14697" i="9"/>
  <c r="H14697" i="9" s="1"/>
  <c r="F14698" i="9"/>
  <c r="H14698" i="9" s="1"/>
  <c r="F14699" i="9"/>
  <c r="H14699" i="9" s="1"/>
  <c r="F14700" i="9"/>
  <c r="H14700" i="9" s="1"/>
  <c r="F14701" i="9"/>
  <c r="H14701" i="9" s="1"/>
  <c r="F14702" i="9"/>
  <c r="H14702" i="9" s="1"/>
  <c r="F14703" i="9"/>
  <c r="H14703" i="9" s="1"/>
  <c r="F14704" i="9"/>
  <c r="H14704" i="9" s="1"/>
  <c r="F14705" i="9"/>
  <c r="H14705" i="9" s="1"/>
  <c r="F14706" i="9"/>
  <c r="H14706" i="9" s="1"/>
  <c r="F14707" i="9"/>
  <c r="H14707" i="9" s="1"/>
  <c r="F14708" i="9"/>
  <c r="H14708" i="9" s="1"/>
  <c r="F14709" i="9"/>
  <c r="H14709" i="9" s="1"/>
  <c r="F14710" i="9"/>
  <c r="H14710" i="9" s="1"/>
  <c r="F14711" i="9"/>
  <c r="H14711" i="9" s="1"/>
  <c r="F14712" i="9"/>
  <c r="H14712" i="9" s="1"/>
  <c r="F14713" i="9"/>
  <c r="H14713" i="9" s="1"/>
  <c r="F14714" i="9"/>
  <c r="H14714" i="9" s="1"/>
  <c r="F14715" i="9"/>
  <c r="H14715" i="9" s="1"/>
  <c r="F14716" i="9"/>
  <c r="H14716" i="9" s="1"/>
  <c r="F14717" i="9"/>
  <c r="H14717" i="9" s="1"/>
  <c r="F14718" i="9"/>
  <c r="H14718" i="9" s="1"/>
  <c r="F14719" i="9"/>
  <c r="H14719" i="9" s="1"/>
  <c r="F14720" i="9"/>
  <c r="H14720" i="9" s="1"/>
  <c r="F14721" i="9"/>
  <c r="H14721" i="9" s="1"/>
  <c r="F14722" i="9"/>
  <c r="H14722" i="9" s="1"/>
  <c r="F14723" i="9"/>
  <c r="H14723" i="9" s="1"/>
  <c r="F14724" i="9"/>
  <c r="H14724" i="9"/>
  <c r="F14725" i="9"/>
  <c r="H14725" i="9" s="1"/>
  <c r="F14726" i="9"/>
  <c r="H14726" i="9" s="1"/>
  <c r="F14727" i="9"/>
  <c r="H14727" i="9" s="1"/>
  <c r="F14728" i="9"/>
  <c r="H14728" i="9" s="1"/>
  <c r="F14729" i="9"/>
  <c r="H14729" i="9" s="1"/>
  <c r="F14730" i="9"/>
  <c r="H14730" i="9" s="1"/>
  <c r="F14731" i="9"/>
  <c r="H14731" i="9" s="1"/>
  <c r="F14732" i="9"/>
  <c r="H14732" i="9" s="1"/>
  <c r="F14733" i="9"/>
  <c r="H14733" i="9" s="1"/>
  <c r="F14734" i="9"/>
  <c r="H14734" i="9" s="1"/>
  <c r="F14735" i="9"/>
  <c r="H14735" i="9"/>
  <c r="F14736" i="9"/>
  <c r="H14736" i="9" s="1"/>
  <c r="F14737" i="9"/>
  <c r="H14737" i="9" s="1"/>
  <c r="F14738" i="9"/>
  <c r="H14738" i="9" s="1"/>
  <c r="F14739" i="9"/>
  <c r="H14739" i="9" s="1"/>
  <c r="F14740" i="9"/>
  <c r="H14740" i="9" s="1"/>
  <c r="F14741" i="9"/>
  <c r="H14741" i="9" s="1"/>
  <c r="F14742" i="9"/>
  <c r="H14742" i="9" s="1"/>
  <c r="F14743" i="9"/>
  <c r="H14743" i="9" s="1"/>
  <c r="F14744" i="9"/>
  <c r="H14744" i="9" s="1"/>
  <c r="F14745" i="9"/>
  <c r="H14745" i="9" s="1"/>
  <c r="F14746" i="9"/>
  <c r="H14746" i="9" s="1"/>
  <c r="F14747" i="9"/>
  <c r="H14747" i="9" s="1"/>
  <c r="F14748" i="9"/>
  <c r="H14748" i="9" s="1"/>
  <c r="F14749" i="9"/>
  <c r="H14749" i="9" s="1"/>
  <c r="F14750" i="9"/>
  <c r="H14750" i="9" s="1"/>
  <c r="F14751" i="9"/>
  <c r="H14751" i="9" s="1"/>
  <c r="F14752" i="9"/>
  <c r="H14752" i="9" s="1"/>
  <c r="F14753" i="9"/>
  <c r="H14753" i="9"/>
  <c r="F14754" i="9"/>
  <c r="H14754" i="9" s="1"/>
  <c r="F14755" i="9"/>
  <c r="H14755" i="9" s="1"/>
  <c r="F14756" i="9"/>
  <c r="H14756" i="9" s="1"/>
  <c r="F14757" i="9"/>
  <c r="H14757" i="9" s="1"/>
  <c r="F14758" i="9"/>
  <c r="H14758" i="9" s="1"/>
  <c r="F14759" i="9"/>
  <c r="H14759" i="9" s="1"/>
  <c r="F14760" i="9"/>
  <c r="H14760" i="9" s="1"/>
  <c r="F14761" i="9"/>
  <c r="H14761" i="9" s="1"/>
  <c r="F14762" i="9"/>
  <c r="H14762" i="9" s="1"/>
  <c r="F14763" i="9"/>
  <c r="H14763" i="9" s="1"/>
  <c r="F14764" i="9"/>
  <c r="H14764" i="9" s="1"/>
  <c r="F14765" i="9"/>
  <c r="H14765" i="9" s="1"/>
  <c r="F14766" i="9"/>
  <c r="H14766" i="9" s="1"/>
  <c r="F14767" i="9"/>
  <c r="H14767" i="9" s="1"/>
  <c r="F14768" i="9"/>
  <c r="H14768" i="9" s="1"/>
  <c r="F14769" i="9"/>
  <c r="H14769" i="9" s="1"/>
  <c r="F14770" i="9"/>
  <c r="H14770" i="9" s="1"/>
  <c r="F14771" i="9"/>
  <c r="H14771" i="9"/>
  <c r="F14772" i="9"/>
  <c r="H14772" i="9" s="1"/>
  <c r="F14773" i="9"/>
  <c r="H14773" i="9" s="1"/>
  <c r="F14774" i="9"/>
  <c r="H14774" i="9" s="1"/>
  <c r="F14775" i="9"/>
  <c r="H14775" i="9" s="1"/>
  <c r="F14776" i="9"/>
  <c r="H14776" i="9" s="1"/>
  <c r="F14777" i="9"/>
  <c r="H14777" i="9" s="1"/>
  <c r="F14778" i="9"/>
  <c r="H14778" i="9" s="1"/>
  <c r="F14779" i="9"/>
  <c r="H14779" i="9" s="1"/>
  <c r="F14780" i="9"/>
  <c r="H14780" i="9" s="1"/>
  <c r="F14781" i="9"/>
  <c r="H14781" i="9" s="1"/>
  <c r="F14782" i="9"/>
  <c r="H14782" i="9" s="1"/>
  <c r="F14783" i="9"/>
  <c r="H14783" i="9" s="1"/>
  <c r="F14784" i="9"/>
  <c r="H14784" i="9" s="1"/>
  <c r="F14785" i="9"/>
  <c r="H14785" i="9" s="1"/>
  <c r="F14786" i="9"/>
  <c r="H14786" i="9" s="1"/>
  <c r="F14787" i="9"/>
  <c r="H14787" i="9" s="1"/>
  <c r="F14788" i="9"/>
  <c r="H14788" i="9" s="1"/>
  <c r="F14789" i="9"/>
  <c r="H14789" i="9" s="1"/>
  <c r="F14790" i="9"/>
  <c r="H14790" i="9"/>
  <c r="F14791" i="9"/>
  <c r="H14791" i="9"/>
  <c r="F14792" i="9"/>
  <c r="H14792" i="9"/>
  <c r="F14793" i="9"/>
  <c r="H14793" i="9" s="1"/>
  <c r="F14794" i="9"/>
  <c r="H14794" i="9" s="1"/>
  <c r="F14795" i="9"/>
  <c r="H14795" i="9" s="1"/>
  <c r="F14796" i="9"/>
  <c r="H14796" i="9"/>
  <c r="F14797" i="9"/>
  <c r="H14797" i="9" s="1"/>
  <c r="F14798" i="9"/>
  <c r="H14798" i="9" s="1"/>
  <c r="F14799" i="9"/>
  <c r="H14799" i="9" s="1"/>
  <c r="F14800" i="9"/>
  <c r="H14800" i="9" s="1"/>
  <c r="F14801" i="9"/>
  <c r="H14801" i="9" s="1"/>
  <c r="F14802" i="9"/>
  <c r="H14802" i="9" s="1"/>
  <c r="F14803" i="9"/>
  <c r="H14803" i="9" s="1"/>
  <c r="F14804" i="9"/>
  <c r="H14804" i="9" s="1"/>
  <c r="F14805" i="9"/>
  <c r="H14805" i="9" s="1"/>
  <c r="F14806" i="9"/>
  <c r="H14806" i="9" s="1"/>
  <c r="F14807" i="9"/>
  <c r="H14807" i="9"/>
  <c r="F14808" i="9"/>
  <c r="H14808" i="9"/>
  <c r="F14809" i="9"/>
  <c r="H14809" i="9" s="1"/>
  <c r="F14810" i="9"/>
  <c r="H14810" i="9"/>
  <c r="F14811" i="9"/>
  <c r="H14811" i="9" s="1"/>
  <c r="F14812" i="9"/>
  <c r="H14812" i="9" s="1"/>
  <c r="F14813" i="9"/>
  <c r="H14813" i="9" s="1"/>
  <c r="F14814" i="9"/>
  <c r="H14814" i="9" s="1"/>
  <c r="F14815" i="9"/>
  <c r="H14815" i="9" s="1"/>
  <c r="F14816" i="9"/>
  <c r="H14816" i="9" s="1"/>
  <c r="F14817" i="9"/>
  <c r="H14817" i="9" s="1"/>
  <c r="F14818" i="9"/>
  <c r="H14818" i="9" s="1"/>
  <c r="F14819" i="9"/>
  <c r="H14819" i="9" s="1"/>
  <c r="F14820" i="9"/>
  <c r="H14820" i="9" s="1"/>
  <c r="F14821" i="9"/>
  <c r="H14821" i="9" s="1"/>
  <c r="F14822" i="9"/>
  <c r="H14822" i="9" s="1"/>
  <c r="F14823" i="9"/>
  <c r="H14823" i="9" s="1"/>
  <c r="F14824" i="9"/>
  <c r="H14824" i="9" s="1"/>
  <c r="F14825" i="9"/>
  <c r="H14825" i="9" s="1"/>
  <c r="F14826" i="9"/>
  <c r="H14826" i="9" s="1"/>
  <c r="F14827" i="9"/>
  <c r="H14827" i="9" s="1"/>
  <c r="F14828" i="9"/>
  <c r="H14828" i="9" s="1"/>
  <c r="F14829" i="9"/>
  <c r="H14829" i="9" s="1"/>
  <c r="F14830" i="9"/>
  <c r="H14830" i="9" s="1"/>
  <c r="F14831" i="9"/>
  <c r="H14831" i="9" s="1"/>
  <c r="F14832" i="9"/>
  <c r="H14832" i="9" s="1"/>
  <c r="F14833" i="9"/>
  <c r="H14833" i="9" s="1"/>
  <c r="F14834" i="9"/>
  <c r="H14834" i="9" s="1"/>
  <c r="F14835" i="9"/>
  <c r="H14835" i="9" s="1"/>
  <c r="F14836" i="9"/>
  <c r="H14836" i="9" s="1"/>
  <c r="F14837" i="9"/>
  <c r="H14837" i="9" s="1"/>
  <c r="F14838" i="9"/>
  <c r="H14838" i="9" s="1"/>
  <c r="F14839" i="9"/>
  <c r="H14839" i="9" s="1"/>
  <c r="F14840" i="9"/>
  <c r="H14840" i="9" s="1"/>
  <c r="F14841" i="9"/>
  <c r="H14841" i="9" s="1"/>
  <c r="F14842" i="9"/>
  <c r="H14842" i="9" s="1"/>
  <c r="F14843" i="9"/>
  <c r="H14843" i="9" s="1"/>
  <c r="F14844" i="9"/>
  <c r="H14844" i="9" s="1"/>
  <c r="F14845" i="9"/>
  <c r="H14845" i="9" s="1"/>
  <c r="F14846" i="9"/>
  <c r="H14846" i="9" s="1"/>
  <c r="F14847" i="9"/>
  <c r="H14847" i="9" s="1"/>
  <c r="F14848" i="9"/>
  <c r="H14848" i="9" s="1"/>
  <c r="F14849" i="9"/>
  <c r="H14849" i="9" s="1"/>
  <c r="F14850" i="9"/>
  <c r="H14850" i="9" s="1"/>
  <c r="F14851" i="9"/>
  <c r="H14851" i="9" s="1"/>
  <c r="F14852" i="9"/>
  <c r="H14852" i="9" s="1"/>
  <c r="F14853" i="9"/>
  <c r="H14853" i="9" s="1"/>
  <c r="F14854" i="9"/>
  <c r="H14854" i="9" s="1"/>
  <c r="F14855" i="9"/>
  <c r="H14855" i="9" s="1"/>
  <c r="F14856" i="9"/>
  <c r="H14856" i="9" s="1"/>
  <c r="F14857" i="9"/>
  <c r="H14857" i="9" s="1"/>
  <c r="F14858" i="9"/>
  <c r="H14858" i="9" s="1"/>
  <c r="F14859" i="9"/>
  <c r="H14859" i="9" s="1"/>
  <c r="F14860" i="9"/>
  <c r="H14860" i="9" s="1"/>
  <c r="F14861" i="9"/>
  <c r="H14861" i="9" s="1"/>
  <c r="F14862" i="9"/>
  <c r="H14862" i="9" s="1"/>
  <c r="F14863" i="9"/>
  <c r="H14863" i="9" s="1"/>
  <c r="F14864" i="9"/>
  <c r="H14864" i="9" s="1"/>
  <c r="F14865" i="9"/>
  <c r="H14865" i="9" s="1"/>
  <c r="F14866" i="9"/>
  <c r="H14866" i="9" s="1"/>
  <c r="F14867" i="9"/>
  <c r="H14867" i="9" s="1"/>
  <c r="F14868" i="9"/>
  <c r="H14868" i="9" s="1"/>
  <c r="F14869" i="9"/>
  <c r="H14869" i="9" s="1"/>
  <c r="F14870" i="9"/>
  <c r="H14870" i="9" s="1"/>
  <c r="F14871" i="9"/>
  <c r="H14871" i="9" s="1"/>
  <c r="F14872" i="9"/>
  <c r="H14872" i="9" s="1"/>
  <c r="F14873" i="9"/>
  <c r="H14873" i="9" s="1"/>
  <c r="F14874" i="9"/>
  <c r="H14874" i="9" s="1"/>
  <c r="F14875" i="9"/>
  <c r="H14875" i="9" s="1"/>
  <c r="F14876" i="9"/>
  <c r="H14876" i="9" s="1"/>
  <c r="F14877" i="9"/>
  <c r="H14877" i="9" s="1"/>
  <c r="F14878" i="9"/>
  <c r="H14878" i="9" s="1"/>
  <c r="F14879" i="9"/>
  <c r="H14879" i="9" s="1"/>
  <c r="F14880" i="9"/>
  <c r="H14880" i="9" s="1"/>
  <c r="F14881" i="9"/>
  <c r="H14881" i="9" s="1"/>
  <c r="F14882" i="9"/>
  <c r="H14882" i="9" s="1"/>
  <c r="F14883" i="9"/>
  <c r="H14883" i="9" s="1"/>
  <c r="F14884" i="9"/>
  <c r="H14884" i="9" s="1"/>
  <c r="F14885" i="9"/>
  <c r="H14885" i="9" s="1"/>
  <c r="F14886" i="9"/>
  <c r="H14886" i="9" s="1"/>
  <c r="F14887" i="9"/>
  <c r="H14887" i="9" s="1"/>
  <c r="F14888" i="9"/>
  <c r="H14888" i="9" s="1"/>
  <c r="F14889" i="9"/>
  <c r="H14889" i="9" s="1"/>
  <c r="F14890" i="9"/>
  <c r="H14890" i="9" s="1"/>
  <c r="F14891" i="9"/>
  <c r="H14891" i="9" s="1"/>
  <c r="F14892" i="9"/>
  <c r="H14892" i="9" s="1"/>
  <c r="F14893" i="9"/>
  <c r="H14893" i="9" s="1"/>
  <c r="F14894" i="9"/>
  <c r="H14894" i="9" s="1"/>
  <c r="F14895" i="9"/>
  <c r="H14895" i="9" s="1"/>
  <c r="F14896" i="9"/>
  <c r="H14896" i="9" s="1"/>
  <c r="F14897" i="9"/>
  <c r="H14897" i="9" s="1"/>
  <c r="F14898" i="9"/>
  <c r="H14898" i="9" s="1"/>
  <c r="F14899" i="9"/>
  <c r="H14899" i="9" s="1"/>
  <c r="F14900" i="9"/>
  <c r="H14900" i="9" s="1"/>
  <c r="F14901" i="9"/>
  <c r="H14901" i="9" s="1"/>
  <c r="F14902" i="9"/>
  <c r="H14902" i="9" s="1"/>
  <c r="F14903" i="9"/>
  <c r="H14903" i="9" s="1"/>
  <c r="F14904" i="9"/>
  <c r="H14904" i="9" s="1"/>
  <c r="F14905" i="9"/>
  <c r="H14905" i="9" s="1"/>
  <c r="F14906" i="9"/>
  <c r="H14906" i="9" s="1"/>
  <c r="F14907" i="9"/>
  <c r="H14907" i="9" s="1"/>
  <c r="F14908" i="9"/>
  <c r="H14908" i="9" s="1"/>
  <c r="F14909" i="9"/>
  <c r="H14909" i="9" s="1"/>
  <c r="F14910" i="9"/>
  <c r="H14910" i="9" s="1"/>
  <c r="F14911" i="9"/>
  <c r="H14911" i="9" s="1"/>
  <c r="F14912" i="9"/>
  <c r="H14912" i="9" s="1"/>
  <c r="F14913" i="9"/>
  <c r="H14913" i="9" s="1"/>
  <c r="F14914" i="9"/>
  <c r="H14914" i="9" s="1"/>
  <c r="F14915" i="9"/>
  <c r="H14915" i="9" s="1"/>
  <c r="F14916" i="9"/>
  <c r="H14916" i="9" s="1"/>
  <c r="F14917" i="9"/>
  <c r="H14917" i="9" s="1"/>
  <c r="F14918" i="9"/>
  <c r="H14918" i="9" s="1"/>
  <c r="F14919" i="9"/>
  <c r="H14919" i="9" s="1"/>
  <c r="F14920" i="9"/>
  <c r="H14920" i="9" s="1"/>
  <c r="F14921" i="9"/>
  <c r="H14921" i="9" s="1"/>
  <c r="F14922" i="9"/>
  <c r="H14922" i="9" s="1"/>
  <c r="F14923" i="9"/>
  <c r="H14923" i="9" s="1"/>
  <c r="F14924" i="9"/>
  <c r="H14924" i="9" s="1"/>
  <c r="F14925" i="9"/>
  <c r="H14925" i="9" s="1"/>
  <c r="F14926" i="9"/>
  <c r="H14926" i="9" s="1"/>
  <c r="F14927" i="9"/>
  <c r="H14927" i="9" s="1"/>
  <c r="F14928" i="9"/>
  <c r="H14928" i="9" s="1"/>
  <c r="F14929" i="9"/>
  <c r="H14929" i="9" s="1"/>
  <c r="F14930" i="9"/>
  <c r="H14930" i="9" s="1"/>
  <c r="F14931" i="9"/>
  <c r="H14931" i="9" s="1"/>
  <c r="F14932" i="9"/>
  <c r="H14932" i="9" s="1"/>
  <c r="F14933" i="9"/>
  <c r="H14933" i="9" s="1"/>
  <c r="F14934" i="9"/>
  <c r="H14934" i="9" s="1"/>
  <c r="F14935" i="9"/>
  <c r="H14935" i="9" s="1"/>
  <c r="F14936" i="9"/>
  <c r="H14936" i="9" s="1"/>
  <c r="F14937" i="9"/>
  <c r="H14937" i="9" s="1"/>
  <c r="F14938" i="9"/>
  <c r="H14938" i="9" s="1"/>
  <c r="F14939" i="9"/>
  <c r="H14939" i="9" s="1"/>
  <c r="F14940" i="9"/>
  <c r="H14940" i="9" s="1"/>
  <c r="F14941" i="9"/>
  <c r="H14941" i="9" s="1"/>
  <c r="F14942" i="9"/>
  <c r="H14942" i="9" s="1"/>
  <c r="F14943" i="9"/>
  <c r="H14943" i="9" s="1"/>
  <c r="F14944" i="9"/>
  <c r="H14944" i="9" s="1"/>
  <c r="F14945" i="9"/>
  <c r="H14945" i="9" s="1"/>
  <c r="F14946" i="9"/>
  <c r="H14946" i="9" s="1"/>
  <c r="F14947" i="9"/>
  <c r="H14947" i="9" s="1"/>
  <c r="F14948" i="9"/>
  <c r="H14948" i="9" s="1"/>
  <c r="F14949" i="9"/>
  <c r="H14949" i="9" s="1"/>
  <c r="F14950" i="9"/>
  <c r="H14950" i="9" s="1"/>
  <c r="F14951" i="9"/>
  <c r="H14951" i="9" s="1"/>
  <c r="F14952" i="9"/>
  <c r="H14952" i="9" s="1"/>
  <c r="F14953" i="9"/>
  <c r="H14953" i="9" s="1"/>
  <c r="F14954" i="9"/>
  <c r="H14954" i="9" s="1"/>
  <c r="F14955" i="9"/>
  <c r="H14955" i="9" s="1"/>
  <c r="F14956" i="9"/>
  <c r="H14956" i="9" s="1"/>
  <c r="F14957" i="9"/>
  <c r="H14957" i="9" s="1"/>
  <c r="F14958" i="9"/>
  <c r="H14958" i="9" s="1"/>
  <c r="F14959" i="9"/>
  <c r="H14959" i="9"/>
  <c r="F14960" i="9"/>
  <c r="H14960" i="9" s="1"/>
  <c r="F14961" i="9"/>
  <c r="H14961" i="9" s="1"/>
  <c r="F14962" i="9"/>
  <c r="H14962" i="9" s="1"/>
  <c r="F14963" i="9"/>
  <c r="H14963" i="9" s="1"/>
  <c r="F14964" i="9"/>
  <c r="H14964" i="9" s="1"/>
  <c r="F14965" i="9"/>
  <c r="H14965" i="9" s="1"/>
  <c r="F14966" i="9"/>
  <c r="H14966" i="9" s="1"/>
  <c r="F14967" i="9"/>
  <c r="H14967" i="9" s="1"/>
  <c r="F14968" i="9"/>
  <c r="H14968" i="9" s="1"/>
  <c r="F14969" i="9"/>
  <c r="H14969" i="9" s="1"/>
  <c r="F14970" i="9"/>
  <c r="H14970" i="9" s="1"/>
  <c r="F14971" i="9"/>
  <c r="H14971" i="9" s="1"/>
  <c r="F14972" i="9"/>
  <c r="H14972" i="9" s="1"/>
  <c r="F14973" i="9"/>
  <c r="H14973" i="9" s="1"/>
  <c r="F14974" i="9"/>
  <c r="H14974" i="9" s="1"/>
  <c r="F14975" i="9"/>
  <c r="H14975" i="9" s="1"/>
  <c r="F14976" i="9"/>
  <c r="H14976" i="9" s="1"/>
  <c r="F14977" i="9"/>
  <c r="H14977" i="9"/>
  <c r="F14978" i="9"/>
  <c r="H14978" i="9" s="1"/>
  <c r="F14979" i="9"/>
  <c r="H14979" i="9" s="1"/>
  <c r="F14980" i="9"/>
  <c r="H14980" i="9" s="1"/>
  <c r="F14981" i="9"/>
  <c r="H14981" i="9" s="1"/>
  <c r="F14982" i="9"/>
  <c r="H14982" i="9" s="1"/>
  <c r="F14983" i="9"/>
  <c r="H14983" i="9" s="1"/>
  <c r="F14984" i="9"/>
  <c r="H14984" i="9" s="1"/>
  <c r="F14985" i="9"/>
  <c r="H14985" i="9" s="1"/>
  <c r="F14986" i="9"/>
  <c r="H14986" i="9" s="1"/>
  <c r="F14987" i="9"/>
  <c r="H14987" i="9" s="1"/>
  <c r="F14988" i="9"/>
  <c r="H14988" i="9" s="1"/>
  <c r="F14989" i="9"/>
  <c r="H14989" i="9" s="1"/>
  <c r="F14990" i="9"/>
  <c r="H14990" i="9" s="1"/>
  <c r="F14991" i="9"/>
  <c r="H14991" i="9" s="1"/>
  <c r="F14992" i="9"/>
  <c r="H14992" i="9" s="1"/>
  <c r="F14993" i="9"/>
  <c r="H14993" i="9" s="1"/>
  <c r="F14994" i="9"/>
  <c r="H14994" i="9" s="1"/>
  <c r="F14995" i="9"/>
  <c r="H14995" i="9" s="1"/>
  <c r="F14996" i="9"/>
  <c r="H14996" i="9" s="1"/>
  <c r="F14997" i="9"/>
  <c r="H14997" i="9" s="1"/>
  <c r="F14998" i="9"/>
  <c r="H14998" i="9" s="1"/>
  <c r="F14999" i="9"/>
  <c r="H14999" i="9" s="1"/>
  <c r="F15000" i="9"/>
  <c r="H15000" i="9" s="1"/>
  <c r="F15001" i="9"/>
  <c r="H15001" i="9" s="1"/>
  <c r="F15002" i="9"/>
  <c r="H15002" i="9" s="1"/>
  <c r="F15003" i="9"/>
  <c r="H15003" i="9" s="1"/>
  <c r="F15004" i="9"/>
  <c r="H15004" i="9"/>
  <c r="F15005" i="9"/>
  <c r="H15005" i="9" s="1"/>
  <c r="F15006" i="9"/>
  <c r="H15006" i="9" s="1"/>
  <c r="F15007" i="9"/>
  <c r="H15007" i="9" s="1"/>
  <c r="F15008" i="9"/>
  <c r="H15008" i="9" s="1"/>
  <c r="F15009" i="9"/>
  <c r="H15009" i="9" s="1"/>
  <c r="F15010" i="9"/>
  <c r="H15010" i="9" s="1"/>
  <c r="F15011" i="9"/>
  <c r="H15011" i="9" s="1"/>
  <c r="F15012" i="9"/>
  <c r="H15012" i="9" s="1"/>
  <c r="F15013" i="9"/>
  <c r="H15013" i="9" s="1"/>
  <c r="F15014" i="9"/>
  <c r="H15014" i="9" s="1"/>
  <c r="F15015" i="9"/>
  <c r="H15015" i="9" s="1"/>
  <c r="F15016" i="9"/>
  <c r="H15016" i="9" s="1"/>
  <c r="F15017" i="9"/>
  <c r="H15017" i="9" s="1"/>
  <c r="F15018" i="9"/>
  <c r="H15018" i="9" s="1"/>
  <c r="F15019" i="9"/>
  <c r="H15019" i="9" s="1"/>
  <c r="F15020" i="9"/>
  <c r="H15020" i="9" s="1"/>
  <c r="F15021" i="9"/>
  <c r="H15021" i="9" s="1"/>
  <c r="F15022" i="9"/>
  <c r="H15022" i="9" s="1"/>
  <c r="F15023" i="9"/>
  <c r="H15023" i="9" s="1"/>
  <c r="F15024" i="9"/>
  <c r="H15024" i="9" s="1"/>
  <c r="F15025" i="9"/>
  <c r="H15025" i="9" s="1"/>
  <c r="F15026" i="9"/>
  <c r="H15026" i="9" s="1"/>
  <c r="F15027" i="9"/>
  <c r="H15027" i="9" s="1"/>
  <c r="F15028" i="9"/>
  <c r="H15028" i="9" s="1"/>
  <c r="F15029" i="9"/>
  <c r="H15029" i="9" s="1"/>
  <c r="F15030" i="9"/>
  <c r="H15030" i="9" s="1"/>
  <c r="F15031" i="9"/>
  <c r="H15031" i="9" s="1"/>
  <c r="F15032" i="9"/>
  <c r="H15032" i="9" s="1"/>
  <c r="F15033" i="9"/>
  <c r="H15033" i="9" s="1"/>
  <c r="F15034" i="9"/>
  <c r="H15034" i="9" s="1"/>
  <c r="F15035" i="9"/>
  <c r="H15035" i="9" s="1"/>
  <c r="F15036" i="9"/>
  <c r="H15036" i="9" s="1"/>
  <c r="F15037" i="9"/>
  <c r="H15037" i="9" s="1"/>
  <c r="F15038" i="9"/>
  <c r="H15038" i="9" s="1"/>
  <c r="F15039" i="9"/>
  <c r="H15039" i="9" s="1"/>
  <c r="F15040" i="9"/>
  <c r="H15040" i="9" s="1"/>
  <c r="F15041" i="9"/>
  <c r="H15041" i="9" s="1"/>
  <c r="F15042" i="9"/>
  <c r="H15042" i="9" s="1"/>
  <c r="F15043" i="9"/>
  <c r="H15043" i="9" s="1"/>
  <c r="F15044" i="9"/>
  <c r="H15044" i="9" s="1"/>
  <c r="F15045" i="9"/>
  <c r="H15045" i="9" s="1"/>
  <c r="F15046" i="9"/>
  <c r="H15046" i="9" s="1"/>
  <c r="F15047" i="9"/>
  <c r="H15047" i="9" s="1"/>
  <c r="F15048" i="9"/>
  <c r="H15048" i="9" s="1"/>
  <c r="F15049" i="9"/>
  <c r="H15049" i="9" s="1"/>
  <c r="F15050" i="9"/>
  <c r="H15050" i="9" s="1"/>
  <c r="F15051" i="9"/>
  <c r="H15051" i="9" s="1"/>
  <c r="F15052" i="9"/>
  <c r="H15052" i="9" s="1"/>
  <c r="F15053" i="9"/>
  <c r="H15053" i="9" s="1"/>
  <c r="F15054" i="9"/>
  <c r="H15054" i="9" s="1"/>
  <c r="F15055" i="9"/>
  <c r="H15055" i="9" s="1"/>
  <c r="F15056" i="9"/>
  <c r="H15056" i="9" s="1"/>
  <c r="F15057" i="9"/>
  <c r="H15057" i="9" s="1"/>
  <c r="F15058" i="9"/>
  <c r="H15058" i="9" s="1"/>
  <c r="F15059" i="9"/>
  <c r="H15059" i="9" s="1"/>
  <c r="F15060" i="9"/>
  <c r="H15060" i="9" s="1"/>
  <c r="F15061" i="9"/>
  <c r="H15061" i="9" s="1"/>
  <c r="F15062" i="9"/>
  <c r="H15062" i="9" s="1"/>
  <c r="F15063" i="9"/>
  <c r="H15063" i="9" s="1"/>
  <c r="F15064" i="9"/>
  <c r="H15064" i="9" s="1"/>
  <c r="F15065" i="9"/>
  <c r="H15065" i="9" s="1"/>
  <c r="F15066" i="9"/>
  <c r="H15066" i="9" s="1"/>
  <c r="F15067" i="9"/>
  <c r="H15067" i="9"/>
  <c r="F15068" i="9"/>
  <c r="H15068" i="9" s="1"/>
  <c r="F15069" i="9"/>
  <c r="H15069" i="9" s="1"/>
  <c r="F15070" i="9"/>
  <c r="H15070" i="9" s="1"/>
  <c r="F15071" i="9"/>
  <c r="H15071" i="9" s="1"/>
  <c r="F15072" i="9"/>
  <c r="H15072" i="9" s="1"/>
  <c r="F15073" i="9"/>
  <c r="H15073" i="9" s="1"/>
  <c r="F15074" i="9"/>
  <c r="H15074" i="9" s="1"/>
  <c r="F15075" i="9"/>
  <c r="H15075" i="9" s="1"/>
  <c r="F15076" i="9"/>
  <c r="H15076" i="9" s="1"/>
  <c r="F15077" i="9"/>
  <c r="H15077" i="9" s="1"/>
  <c r="F15078" i="9"/>
  <c r="H15078" i="9" s="1"/>
  <c r="F15079" i="9"/>
  <c r="H15079" i="9" s="1"/>
  <c r="F15080" i="9"/>
  <c r="H15080" i="9" s="1"/>
  <c r="F15081" i="9"/>
  <c r="H15081" i="9" s="1"/>
  <c r="F15082" i="9"/>
  <c r="H15082" i="9" s="1"/>
  <c r="F15083" i="9"/>
  <c r="H15083" i="9" s="1"/>
  <c r="F15084" i="9"/>
  <c r="H15084" i="9" s="1"/>
  <c r="F15085" i="9"/>
  <c r="H15085" i="9" s="1"/>
  <c r="F15086" i="9"/>
  <c r="H15086" i="9" s="1"/>
  <c r="F15087" i="9"/>
  <c r="H15087" i="9" s="1"/>
  <c r="F15088" i="9"/>
  <c r="H15088" i="9" s="1"/>
  <c r="F15089" i="9"/>
  <c r="H15089" i="9" s="1"/>
  <c r="F15090" i="9"/>
  <c r="H15090" i="9" s="1"/>
  <c r="F15091" i="9"/>
  <c r="H15091" i="9" s="1"/>
  <c r="F15092" i="9"/>
  <c r="H15092" i="9" s="1"/>
  <c r="F15093" i="9"/>
  <c r="H15093" i="9" s="1"/>
  <c r="F15094" i="9"/>
  <c r="H15094" i="9" s="1"/>
  <c r="F15095" i="9"/>
  <c r="H15095" i="9" s="1"/>
  <c r="F15096" i="9"/>
  <c r="H15096" i="9" s="1"/>
  <c r="F15097" i="9"/>
  <c r="H15097" i="9" s="1"/>
  <c r="F15098" i="9"/>
  <c r="H15098" i="9" s="1"/>
  <c r="F15099" i="9"/>
  <c r="H15099" i="9" s="1"/>
  <c r="F15100" i="9"/>
  <c r="H15100" i="9" s="1"/>
  <c r="F15101" i="9"/>
  <c r="H15101" i="9" s="1"/>
  <c r="F15102" i="9"/>
  <c r="H15102" i="9" s="1"/>
  <c r="F15103" i="9"/>
  <c r="H15103" i="9" s="1"/>
  <c r="F15104" i="9"/>
  <c r="H15104" i="9" s="1"/>
  <c r="F15105" i="9"/>
  <c r="H15105" i="9" s="1"/>
  <c r="F15106" i="9"/>
  <c r="H15106" i="9" s="1"/>
  <c r="F15107" i="9"/>
  <c r="H15107" i="9" s="1"/>
  <c r="F15108" i="9"/>
  <c r="H15108" i="9" s="1"/>
  <c r="F15109" i="9"/>
  <c r="H15109" i="9" s="1"/>
  <c r="F15110" i="9"/>
  <c r="H15110" i="9" s="1"/>
  <c r="F15111" i="9"/>
  <c r="H15111" i="9" s="1"/>
  <c r="F15112" i="9"/>
  <c r="H15112" i="9" s="1"/>
  <c r="F15113" i="9"/>
  <c r="H15113" i="9" s="1"/>
  <c r="F15114" i="9"/>
  <c r="H15114" i="9" s="1"/>
  <c r="F15115" i="9"/>
  <c r="H15115" i="9" s="1"/>
  <c r="F15116" i="9"/>
  <c r="H15116" i="9" s="1"/>
  <c r="F15117" i="9"/>
  <c r="H15117" i="9" s="1"/>
  <c r="F15118" i="9"/>
  <c r="H15118" i="9" s="1"/>
  <c r="F15119" i="9"/>
  <c r="H15119" i="9" s="1"/>
  <c r="F15120" i="9"/>
  <c r="H15120" i="9" s="1"/>
  <c r="F15121" i="9"/>
  <c r="H15121" i="9" s="1"/>
  <c r="F15122" i="9"/>
  <c r="H15122" i="9" s="1"/>
  <c r="F15123" i="9"/>
  <c r="H15123" i="9" s="1"/>
  <c r="F15124" i="9"/>
  <c r="H15124" i="9" s="1"/>
  <c r="F15125" i="9"/>
  <c r="H15125" i="9" s="1"/>
  <c r="F15126" i="9"/>
  <c r="H15126" i="9"/>
  <c r="F15127" i="9"/>
  <c r="H15127" i="9" s="1"/>
  <c r="F15128" i="9"/>
  <c r="H15128" i="9" s="1"/>
  <c r="F15129" i="9"/>
  <c r="H15129" i="9" s="1"/>
  <c r="F15130" i="9"/>
  <c r="H15130" i="9" s="1"/>
  <c r="F15131" i="9"/>
  <c r="H15131" i="9" s="1"/>
  <c r="F15132" i="9"/>
  <c r="H15132" i="9" s="1"/>
  <c r="F15133" i="9"/>
  <c r="H15133" i="9" s="1"/>
  <c r="F15134" i="9"/>
  <c r="H15134" i="9" s="1"/>
  <c r="F15135" i="9"/>
  <c r="H15135" i="9" s="1"/>
  <c r="F15136" i="9"/>
  <c r="H15136" i="9" s="1"/>
  <c r="F15137" i="9"/>
  <c r="H15137" i="9" s="1"/>
  <c r="F15138" i="9"/>
  <c r="H15138" i="9" s="1"/>
  <c r="F15139" i="9"/>
  <c r="H15139" i="9" s="1"/>
  <c r="F15140" i="9"/>
  <c r="H15140" i="9" s="1"/>
  <c r="F15141" i="9"/>
  <c r="H15141" i="9" s="1"/>
  <c r="F15142" i="9"/>
  <c r="H15142" i="9" s="1"/>
  <c r="F15143" i="9"/>
  <c r="H15143" i="9" s="1"/>
  <c r="F15144" i="9"/>
  <c r="H15144" i="9" s="1"/>
  <c r="F15145" i="9"/>
  <c r="H15145" i="9" s="1"/>
  <c r="F15146" i="9"/>
  <c r="H15146" i="9" s="1"/>
  <c r="F15147" i="9"/>
  <c r="H15147" i="9" s="1"/>
  <c r="F15148" i="9"/>
  <c r="H15148" i="9" s="1"/>
  <c r="F15149" i="9"/>
  <c r="H15149" i="9" s="1"/>
  <c r="F15150" i="9"/>
  <c r="H15150" i="9" s="1"/>
  <c r="F15151" i="9"/>
  <c r="H15151" i="9" s="1"/>
  <c r="F15152" i="9"/>
  <c r="H15152" i="9" s="1"/>
  <c r="F15153" i="9"/>
  <c r="H15153" i="9" s="1"/>
  <c r="F15154" i="9"/>
  <c r="H15154" i="9" s="1"/>
  <c r="F15155" i="9"/>
  <c r="H15155" i="9" s="1"/>
  <c r="F15156" i="9"/>
  <c r="H15156" i="9" s="1"/>
  <c r="F15157" i="9"/>
  <c r="H15157" i="9" s="1"/>
  <c r="F15158" i="9"/>
  <c r="H15158" i="9" s="1"/>
  <c r="F15159" i="9"/>
  <c r="H15159" i="9" s="1"/>
  <c r="F15160" i="9"/>
  <c r="H15160" i="9" s="1"/>
  <c r="F15161" i="9"/>
  <c r="H15161" i="9" s="1"/>
  <c r="F15162" i="9"/>
  <c r="H15162" i="9" s="1"/>
  <c r="F15163" i="9"/>
  <c r="H15163" i="9" s="1"/>
  <c r="F15164" i="9"/>
  <c r="H15164" i="9" s="1"/>
  <c r="F15165" i="9"/>
  <c r="H15165" i="9" s="1"/>
  <c r="F15166" i="9"/>
  <c r="H15166" i="9" s="1"/>
  <c r="F15167" i="9"/>
  <c r="H15167" i="9" s="1"/>
  <c r="F15168" i="9"/>
  <c r="H15168" i="9" s="1"/>
  <c r="F15169" i="9"/>
  <c r="H15169" i="9" s="1"/>
  <c r="F15170" i="9"/>
  <c r="H15170" i="9" s="1"/>
  <c r="F15171" i="9"/>
  <c r="H15171" i="9" s="1"/>
  <c r="F15172" i="9"/>
  <c r="H15172" i="9" s="1"/>
  <c r="F15173" i="9"/>
  <c r="H15173" i="9" s="1"/>
  <c r="F15174" i="9"/>
  <c r="H15174" i="9"/>
  <c r="F15175" i="9"/>
  <c r="H15175" i="9" s="1"/>
  <c r="F15176" i="9"/>
  <c r="H15176" i="9" s="1"/>
  <c r="F15177" i="9"/>
  <c r="H15177" i="9" s="1"/>
  <c r="F15178" i="9"/>
  <c r="H15178" i="9" s="1"/>
  <c r="F15179" i="9"/>
  <c r="H15179" i="9" s="1"/>
  <c r="F15180" i="9"/>
  <c r="H15180" i="9" s="1"/>
  <c r="F15181" i="9"/>
  <c r="H15181" i="9" s="1"/>
  <c r="F15182" i="9"/>
  <c r="H15182" i="9" s="1"/>
  <c r="F15183" i="9"/>
  <c r="H15183" i="9" s="1"/>
  <c r="F15184" i="9"/>
  <c r="H15184" i="9" s="1"/>
  <c r="F15185" i="9"/>
  <c r="H15185" i="9" s="1"/>
  <c r="F15186" i="9"/>
  <c r="H15186" i="9" s="1"/>
  <c r="F15187" i="9"/>
  <c r="H15187" i="9" s="1"/>
  <c r="F15188" i="9"/>
  <c r="H15188" i="9" s="1"/>
  <c r="F15189" i="9"/>
  <c r="H15189" i="9" s="1"/>
  <c r="F15190" i="9"/>
  <c r="H15190" i="9" s="1"/>
  <c r="F15191" i="9"/>
  <c r="H15191" i="9" s="1"/>
  <c r="F15192" i="9"/>
  <c r="H15192" i="9" s="1"/>
  <c r="F15193" i="9"/>
  <c r="H15193" i="9" s="1"/>
  <c r="F15194" i="9"/>
  <c r="H15194" i="9" s="1"/>
  <c r="F15195" i="9"/>
  <c r="H15195" i="9" s="1"/>
  <c r="F15196" i="9"/>
  <c r="H15196" i="9" s="1"/>
  <c r="F15197" i="9"/>
  <c r="H15197" i="9" s="1"/>
  <c r="F15198" i="9"/>
  <c r="H15198" i="9" s="1"/>
  <c r="F15199" i="9"/>
  <c r="H15199" i="9" s="1"/>
  <c r="F15200" i="9"/>
  <c r="H15200" i="9" s="1"/>
  <c r="F15201" i="9"/>
  <c r="H15201" i="9" s="1"/>
  <c r="F15202" i="9"/>
  <c r="H15202" i="9" s="1"/>
  <c r="F15203" i="9"/>
  <c r="H15203" i="9" s="1"/>
  <c r="F15204" i="9"/>
  <c r="H15204" i="9" s="1"/>
  <c r="F15205" i="9"/>
  <c r="H15205" i="9"/>
  <c r="F15206" i="9"/>
  <c r="H15206" i="9" s="1"/>
  <c r="F15207" i="9"/>
  <c r="H15207" i="9" s="1"/>
  <c r="F15208" i="9"/>
  <c r="H15208" i="9" s="1"/>
  <c r="F15209" i="9"/>
  <c r="H15209" i="9" s="1"/>
  <c r="F15210" i="9"/>
  <c r="H15210" i="9" s="1"/>
  <c r="F15211" i="9"/>
  <c r="H15211" i="9"/>
  <c r="F15212" i="9"/>
  <c r="H15212" i="9" s="1"/>
  <c r="F15213" i="9"/>
  <c r="H15213" i="9" s="1"/>
  <c r="F15214" i="9"/>
  <c r="H15214" i="9" s="1"/>
  <c r="F15215" i="9"/>
  <c r="H15215" i="9" s="1"/>
  <c r="F15216" i="9"/>
  <c r="H15216" i="9" s="1"/>
  <c r="F15217" i="9"/>
  <c r="H15217" i="9" s="1"/>
  <c r="F15218" i="9"/>
  <c r="H15218" i="9" s="1"/>
  <c r="F15219" i="9"/>
  <c r="H15219" i="9" s="1"/>
  <c r="F15220" i="9"/>
  <c r="H15220" i="9" s="1"/>
  <c r="F15221" i="9"/>
  <c r="H15221" i="9" s="1"/>
  <c r="F15222" i="9"/>
  <c r="H15222" i="9" s="1"/>
  <c r="F15223" i="9"/>
  <c r="H15223" i="9" s="1"/>
  <c r="F15224" i="9"/>
  <c r="H15224" i="9" s="1"/>
  <c r="F15225" i="9"/>
  <c r="H15225" i="9" s="1"/>
  <c r="F15226" i="9"/>
  <c r="H15226" i="9" s="1"/>
  <c r="F15227" i="9"/>
  <c r="H15227" i="9" s="1"/>
  <c r="F15228" i="9"/>
  <c r="H15228" i="9" s="1"/>
  <c r="F15229" i="9"/>
  <c r="H15229" i="9" s="1"/>
  <c r="F15230" i="9"/>
  <c r="H15230" i="9" s="1"/>
  <c r="F15231" i="9"/>
  <c r="H15231" i="9"/>
  <c r="F15232" i="9"/>
  <c r="H15232" i="9" s="1"/>
  <c r="F15233" i="9"/>
  <c r="H15233" i="9" s="1"/>
  <c r="F15234" i="9"/>
  <c r="H15234" i="9" s="1"/>
  <c r="F15235" i="9"/>
  <c r="H15235" i="9" s="1"/>
  <c r="F15236" i="9"/>
  <c r="H15236" i="9" s="1"/>
  <c r="F15237" i="9"/>
  <c r="H15237" i="9" s="1"/>
  <c r="F15238" i="9"/>
  <c r="H15238" i="9" s="1"/>
  <c r="F15239" i="9"/>
  <c r="H15239" i="9" s="1"/>
  <c r="F15240" i="9"/>
  <c r="H15240" i="9" s="1"/>
  <c r="F15241" i="9"/>
  <c r="H15241" i="9" s="1"/>
  <c r="F15242" i="9"/>
  <c r="H15242" i="9" s="1"/>
  <c r="F15243" i="9"/>
  <c r="H15243" i="9" s="1"/>
  <c r="F15244" i="9"/>
  <c r="H15244" i="9" s="1"/>
  <c r="F15245" i="9"/>
  <c r="H15245" i="9" s="1"/>
  <c r="F15246" i="9"/>
  <c r="H15246" i="9"/>
  <c r="F15247" i="9"/>
  <c r="H15247" i="9" s="1"/>
  <c r="F15248" i="9"/>
  <c r="H15248" i="9"/>
  <c r="F15249" i="9"/>
  <c r="H15249" i="9" s="1"/>
  <c r="F15250" i="9"/>
  <c r="H15250" i="9" s="1"/>
  <c r="F15251" i="9"/>
  <c r="H15251" i="9" s="1"/>
  <c r="F15252" i="9"/>
  <c r="H15252" i="9"/>
  <c r="F15253" i="9"/>
  <c r="H15253" i="9" s="1"/>
  <c r="F15254" i="9"/>
  <c r="H15254" i="9" s="1"/>
  <c r="F15255" i="9"/>
  <c r="H15255" i="9" s="1"/>
  <c r="F15256" i="9"/>
  <c r="H15256" i="9" s="1"/>
  <c r="F15257" i="9"/>
  <c r="H15257" i="9" s="1"/>
  <c r="F15258" i="9"/>
  <c r="H15258" i="9" s="1"/>
  <c r="F15259" i="9"/>
  <c r="H15259" i="9" s="1"/>
  <c r="F15260" i="9"/>
  <c r="H15260" i="9" s="1"/>
  <c r="F15261" i="9"/>
  <c r="H15261" i="9" s="1"/>
  <c r="F15262" i="9"/>
  <c r="H15262" i="9" s="1"/>
  <c r="F15263" i="9"/>
  <c r="H15263" i="9" s="1"/>
  <c r="F15264" i="9"/>
  <c r="H15264" i="9" s="1"/>
  <c r="F15265" i="9"/>
  <c r="H15265" i="9" s="1"/>
  <c r="F15266" i="9"/>
  <c r="H15266" i="9" s="1"/>
  <c r="F15267" i="9"/>
  <c r="H15267" i="9" s="1"/>
  <c r="F15268" i="9"/>
  <c r="H15268" i="9" s="1"/>
  <c r="F15269" i="9"/>
  <c r="H15269" i="9" s="1"/>
  <c r="F15270" i="9"/>
  <c r="H15270" i="9" s="1"/>
  <c r="F15271" i="9"/>
  <c r="H15271" i="9" s="1"/>
  <c r="F15272" i="9"/>
  <c r="H15272" i="9" s="1"/>
  <c r="F15273" i="9"/>
  <c r="H15273" i="9" s="1"/>
  <c r="F15274" i="9"/>
  <c r="H15274" i="9" s="1"/>
  <c r="F15275" i="9"/>
  <c r="H15275" i="9" s="1"/>
  <c r="F15276" i="9"/>
  <c r="H15276" i="9" s="1"/>
  <c r="F15277" i="9"/>
  <c r="H15277" i="9" s="1"/>
  <c r="F15278" i="9"/>
  <c r="H15278" i="9" s="1"/>
  <c r="F15279" i="9"/>
  <c r="H15279" i="9" s="1"/>
  <c r="F15280" i="9"/>
  <c r="H15280" i="9" s="1"/>
  <c r="F15281" i="9"/>
  <c r="H15281" i="9" s="1"/>
  <c r="F15282" i="9"/>
  <c r="H15282" i="9" s="1"/>
  <c r="F15283" i="9"/>
  <c r="H15283" i="9" s="1"/>
  <c r="F15284" i="9"/>
  <c r="H15284" i="9" s="1"/>
  <c r="F15285" i="9"/>
  <c r="H15285" i="9" s="1"/>
  <c r="F15286" i="9"/>
  <c r="H15286" i="9" s="1"/>
  <c r="F15287" i="9"/>
  <c r="H15287" i="9" s="1"/>
  <c r="F15288" i="9"/>
  <c r="H15288" i="9" s="1"/>
  <c r="F15289" i="9"/>
  <c r="H15289" i="9" s="1"/>
  <c r="F15290" i="9"/>
  <c r="H15290" i="9" s="1"/>
  <c r="F15291" i="9"/>
  <c r="H15291" i="9" s="1"/>
  <c r="F15292" i="9"/>
  <c r="H15292" i="9" s="1"/>
  <c r="F15293" i="9"/>
  <c r="H15293" i="9" s="1"/>
  <c r="F15294" i="9"/>
  <c r="H15294" i="9" s="1"/>
  <c r="F15295" i="9"/>
  <c r="H15295" i="9" s="1"/>
  <c r="F15296" i="9"/>
  <c r="H15296" i="9" s="1"/>
  <c r="F15297" i="9"/>
  <c r="H15297" i="9" s="1"/>
  <c r="F15298" i="9"/>
  <c r="H15298" i="9" s="1"/>
  <c r="F15299" i="9"/>
  <c r="H15299" i="9" s="1"/>
  <c r="F15300" i="9"/>
  <c r="H15300" i="9" s="1"/>
  <c r="F15301" i="9"/>
  <c r="H15301" i="9" s="1"/>
  <c r="F15302" i="9"/>
  <c r="H15302" i="9" s="1"/>
  <c r="F15303" i="9"/>
  <c r="H15303" i="9"/>
  <c r="F15304" i="9"/>
  <c r="H15304" i="9" s="1"/>
  <c r="F15305" i="9"/>
  <c r="H15305" i="9" s="1"/>
  <c r="F15306" i="9"/>
  <c r="H15306" i="9" s="1"/>
  <c r="F15307" i="9"/>
  <c r="H15307" i="9" s="1"/>
  <c r="F15308" i="9"/>
  <c r="H15308" i="9" s="1"/>
  <c r="F15309" i="9"/>
  <c r="H15309" i="9" s="1"/>
  <c r="F15310" i="9"/>
  <c r="H15310" i="9" s="1"/>
  <c r="F15311" i="9"/>
  <c r="H15311" i="9" s="1"/>
  <c r="F15312" i="9"/>
  <c r="H15312" i="9" s="1"/>
  <c r="F15313" i="9"/>
  <c r="H15313" i="9" s="1"/>
  <c r="F15314" i="9"/>
  <c r="H15314" i="9" s="1"/>
  <c r="F15315" i="9"/>
  <c r="H15315" i="9" s="1"/>
  <c r="F15316" i="9"/>
  <c r="H15316" i="9" s="1"/>
  <c r="F15317" i="9"/>
  <c r="H15317" i="9" s="1"/>
  <c r="F15318" i="9"/>
  <c r="H15318" i="9" s="1"/>
  <c r="F15319" i="9"/>
  <c r="H15319" i="9" s="1"/>
  <c r="F15320" i="9"/>
  <c r="H15320" i="9" s="1"/>
  <c r="F15321" i="9"/>
  <c r="H15321" i="9" s="1"/>
  <c r="F15322" i="9"/>
  <c r="H15322" i="9" s="1"/>
  <c r="F15323" i="9"/>
  <c r="H15323" i="9" s="1"/>
  <c r="F15324" i="9"/>
  <c r="H15324" i="9" s="1"/>
  <c r="F15325" i="9"/>
  <c r="H15325" i="9" s="1"/>
  <c r="F15326" i="9"/>
  <c r="H15326" i="9" s="1"/>
  <c r="F15327" i="9"/>
  <c r="H15327" i="9" s="1"/>
  <c r="F15328" i="9"/>
  <c r="H15328" i="9" s="1"/>
  <c r="F15329" i="9"/>
  <c r="H15329" i="9" s="1"/>
  <c r="F15330" i="9"/>
  <c r="H15330" i="9" s="1"/>
  <c r="F15331" i="9"/>
  <c r="H15331" i="9" s="1"/>
  <c r="F15332" i="9"/>
  <c r="H15332" i="9" s="1"/>
  <c r="F15333" i="9"/>
  <c r="H15333" i="9" s="1"/>
  <c r="F15334" i="9"/>
  <c r="H15334" i="9" s="1"/>
  <c r="F15335" i="9"/>
  <c r="H15335" i="9" s="1"/>
  <c r="F15336" i="9"/>
  <c r="H15336" i="9" s="1"/>
  <c r="F15337" i="9"/>
  <c r="H15337" i="9" s="1"/>
  <c r="F15338" i="9"/>
  <c r="H15338" i="9" s="1"/>
  <c r="F15339" i="9"/>
  <c r="H15339" i="9" s="1"/>
  <c r="F15340" i="9"/>
  <c r="H15340" i="9" s="1"/>
  <c r="F15341" i="9"/>
  <c r="H15341" i="9" s="1"/>
  <c r="F15342" i="9"/>
  <c r="H15342" i="9" s="1"/>
  <c r="F15343" i="9"/>
  <c r="H15343" i="9" s="1"/>
  <c r="F15344" i="9"/>
  <c r="H15344" i="9"/>
  <c r="F15345" i="9"/>
  <c r="H15345" i="9" s="1"/>
  <c r="F15346" i="9"/>
  <c r="H15346" i="9" s="1"/>
  <c r="F15347" i="9"/>
  <c r="H15347" i="9" s="1"/>
  <c r="F15348" i="9"/>
  <c r="H15348" i="9" s="1"/>
  <c r="F15349" i="9"/>
  <c r="H15349" i="9" s="1"/>
  <c r="F15350" i="9"/>
  <c r="H15350" i="9" s="1"/>
  <c r="F15351" i="9"/>
  <c r="H15351" i="9" s="1"/>
  <c r="F15352" i="9"/>
  <c r="H15352" i="9" s="1"/>
  <c r="F15353" i="9"/>
  <c r="H15353" i="9" s="1"/>
  <c r="F15354" i="9"/>
  <c r="H15354" i="9" s="1"/>
  <c r="F15355" i="9"/>
  <c r="H15355" i="9" s="1"/>
  <c r="F15356" i="9"/>
  <c r="H15356" i="9" s="1"/>
  <c r="F15357" i="9"/>
  <c r="H15357" i="9" s="1"/>
  <c r="F15358" i="9"/>
  <c r="H15358" i="9" s="1"/>
  <c r="F15359" i="9"/>
  <c r="H15359" i="9" s="1"/>
  <c r="F15360" i="9"/>
  <c r="H15360" i="9" s="1"/>
  <c r="F15361" i="9"/>
  <c r="H15361" i="9" s="1"/>
  <c r="F15362" i="9"/>
  <c r="H15362" i="9" s="1"/>
  <c r="F15363" i="9"/>
  <c r="H15363" i="9" s="1"/>
  <c r="F15364" i="9"/>
  <c r="H15364" i="9" s="1"/>
  <c r="F15365" i="9"/>
  <c r="H15365" i="9" s="1"/>
  <c r="F15366" i="9"/>
  <c r="H15366" i="9" s="1"/>
  <c r="F15367" i="9"/>
  <c r="H15367" i="9" s="1"/>
  <c r="F15368" i="9"/>
  <c r="H15368" i="9" s="1"/>
  <c r="F15369" i="9"/>
  <c r="H15369" i="9" s="1"/>
  <c r="F15370" i="9"/>
  <c r="H15370" i="9" s="1"/>
  <c r="F15371" i="9"/>
  <c r="H15371" i="9" s="1"/>
  <c r="F15372" i="9"/>
  <c r="H15372" i="9" s="1"/>
  <c r="F15373" i="9"/>
  <c r="H15373" i="9" s="1"/>
  <c r="F15374" i="9"/>
  <c r="H15374" i="9" s="1"/>
  <c r="F15375" i="9"/>
  <c r="H15375" i="9" s="1"/>
  <c r="F15376" i="9"/>
  <c r="H15376" i="9" s="1"/>
  <c r="F15377" i="9"/>
  <c r="H15377" i="9" s="1"/>
  <c r="F15378" i="9"/>
  <c r="H15378" i="9"/>
  <c r="F15379" i="9"/>
  <c r="H15379" i="9" s="1"/>
  <c r="F15380" i="9"/>
  <c r="H15380" i="9" s="1"/>
  <c r="F15381" i="9"/>
  <c r="H15381" i="9" s="1"/>
  <c r="F15382" i="9"/>
  <c r="H15382" i="9" s="1"/>
  <c r="F15383" i="9"/>
  <c r="H15383" i="9" s="1"/>
  <c r="F15384" i="9"/>
  <c r="H15384" i="9" s="1"/>
  <c r="F15385" i="9"/>
  <c r="H15385" i="9" s="1"/>
  <c r="F15386" i="9"/>
  <c r="H15386" i="9" s="1"/>
  <c r="F15387" i="9"/>
  <c r="H15387" i="9" s="1"/>
  <c r="F15388" i="9"/>
  <c r="H15388" i="9" s="1"/>
  <c r="F15389" i="9"/>
  <c r="H15389" i="9" s="1"/>
  <c r="F15390" i="9"/>
  <c r="H15390" i="9" s="1"/>
  <c r="F15391" i="9"/>
  <c r="H15391" i="9" s="1"/>
  <c r="F15392" i="9"/>
  <c r="H15392" i="9" s="1"/>
  <c r="F15393" i="9"/>
  <c r="H15393" i="9" s="1"/>
  <c r="F15394" i="9"/>
  <c r="H15394" i="9" s="1"/>
  <c r="F15395" i="9"/>
  <c r="H15395" i="9" s="1"/>
  <c r="F15396" i="9"/>
  <c r="H15396" i="9" s="1"/>
  <c r="F15397" i="9"/>
  <c r="H15397" i="9" s="1"/>
  <c r="F15398" i="9"/>
  <c r="H15398" i="9" s="1"/>
  <c r="F15399" i="9"/>
  <c r="H15399" i="9" s="1"/>
  <c r="F15400" i="9"/>
  <c r="H15400" i="9" s="1"/>
  <c r="F15401" i="9"/>
  <c r="H15401" i="9" s="1"/>
  <c r="F15402" i="9"/>
  <c r="H15402" i="9" s="1"/>
  <c r="F15403" i="9"/>
  <c r="H15403" i="9" s="1"/>
  <c r="F15404" i="9"/>
  <c r="H15404" i="9" s="1"/>
  <c r="F15405" i="9"/>
  <c r="H15405" i="9" s="1"/>
  <c r="F15406" i="9"/>
  <c r="H15406" i="9" s="1"/>
  <c r="F15407" i="9"/>
  <c r="H15407" i="9" s="1"/>
  <c r="F15408" i="9"/>
  <c r="H15408" i="9" s="1"/>
  <c r="F15409" i="9"/>
  <c r="H15409" i="9" s="1"/>
  <c r="F15410" i="9"/>
  <c r="H15410" i="9" s="1"/>
  <c r="F15411" i="9"/>
  <c r="H15411" i="9" s="1"/>
  <c r="F15412" i="9"/>
  <c r="H15412" i="9" s="1"/>
  <c r="F15413" i="9"/>
  <c r="H15413" i="9" s="1"/>
  <c r="F15414" i="9"/>
  <c r="H15414" i="9" s="1"/>
  <c r="F15415" i="9"/>
  <c r="H15415" i="9" s="1"/>
  <c r="F15416" i="9"/>
  <c r="H15416" i="9" s="1"/>
  <c r="F15417" i="9"/>
  <c r="H15417" i="9" s="1"/>
  <c r="F15418" i="9"/>
  <c r="H15418" i="9" s="1"/>
  <c r="F15419" i="9"/>
  <c r="H15419" i="9" s="1"/>
  <c r="F15420" i="9"/>
  <c r="H15420" i="9" s="1"/>
  <c r="F15421" i="9"/>
  <c r="H15421" i="9" s="1"/>
  <c r="F15422" i="9"/>
  <c r="H15422" i="9" s="1"/>
  <c r="F15423" i="9"/>
  <c r="H15423" i="9" s="1"/>
  <c r="F15424" i="9"/>
  <c r="H15424" i="9" s="1"/>
  <c r="F15425" i="9"/>
  <c r="H15425" i="9" s="1"/>
  <c r="F15426" i="9"/>
  <c r="H15426" i="9" s="1"/>
  <c r="F15427" i="9"/>
  <c r="H15427" i="9" s="1"/>
  <c r="F15428" i="9"/>
  <c r="H15428" i="9"/>
  <c r="F15429" i="9"/>
  <c r="H15429" i="9" s="1"/>
  <c r="F15430" i="9"/>
  <c r="H15430" i="9" s="1"/>
  <c r="F15431" i="9"/>
  <c r="H15431" i="9" s="1"/>
  <c r="F15432" i="9"/>
  <c r="H15432" i="9" s="1"/>
  <c r="F15433" i="9"/>
  <c r="H15433" i="9" s="1"/>
  <c r="F15434" i="9"/>
  <c r="H15434" i="9" s="1"/>
  <c r="F15435" i="9"/>
  <c r="H15435" i="9" s="1"/>
  <c r="F15436" i="9"/>
  <c r="H15436" i="9" s="1"/>
  <c r="F15437" i="9"/>
  <c r="H15437" i="9" s="1"/>
  <c r="F15438" i="9"/>
  <c r="H15438" i="9" s="1"/>
  <c r="F15439" i="9"/>
  <c r="H15439" i="9" s="1"/>
  <c r="F15440" i="9"/>
  <c r="H15440" i="9" s="1"/>
  <c r="F15441" i="9"/>
  <c r="H15441" i="9" s="1"/>
  <c r="F15442" i="9"/>
  <c r="H15442" i="9" s="1"/>
  <c r="F15443" i="9"/>
  <c r="H15443" i="9" s="1"/>
  <c r="F15444" i="9"/>
  <c r="H15444" i="9" s="1"/>
  <c r="F15445" i="9"/>
  <c r="H15445" i="9" s="1"/>
  <c r="F15446" i="9"/>
  <c r="H15446" i="9" s="1"/>
  <c r="F15447" i="9"/>
  <c r="H15447" i="9" s="1"/>
  <c r="F15448" i="9"/>
  <c r="H15448" i="9" s="1"/>
  <c r="F15449" i="9"/>
  <c r="H15449" i="9" s="1"/>
  <c r="F15450" i="9"/>
  <c r="H15450" i="9" s="1"/>
  <c r="F15451" i="9"/>
  <c r="H15451" i="9" s="1"/>
  <c r="F15452" i="9"/>
  <c r="H15452" i="9" s="1"/>
  <c r="F15453" i="9"/>
  <c r="H15453" i="9" s="1"/>
  <c r="F15454" i="9"/>
  <c r="H15454" i="9" s="1"/>
  <c r="F15455" i="9"/>
  <c r="H15455" i="9" s="1"/>
  <c r="F15456" i="9"/>
  <c r="H15456" i="9" s="1"/>
  <c r="F15457" i="9"/>
  <c r="H15457" i="9" s="1"/>
  <c r="F15458" i="9"/>
  <c r="H15458" i="9" s="1"/>
  <c r="F15459" i="9"/>
  <c r="H15459" i="9" s="1"/>
  <c r="F15460" i="9"/>
  <c r="H15460" i="9" s="1"/>
  <c r="F15461" i="9"/>
  <c r="H15461" i="9" s="1"/>
  <c r="F15462" i="9"/>
  <c r="H15462" i="9" s="1"/>
  <c r="F15463" i="9"/>
  <c r="H15463" i="9" s="1"/>
  <c r="F15464" i="9"/>
  <c r="H15464" i="9" s="1"/>
  <c r="F15465" i="9"/>
  <c r="H15465" i="9" s="1"/>
  <c r="F15466" i="9"/>
  <c r="H15466" i="9" s="1"/>
  <c r="F15467" i="9"/>
  <c r="H15467" i="9" s="1"/>
  <c r="F15468" i="9"/>
  <c r="H15468" i="9" s="1"/>
  <c r="F15469" i="9"/>
  <c r="H15469" i="9"/>
  <c r="F15470" i="9"/>
  <c r="H15470" i="9" s="1"/>
  <c r="F15471" i="9"/>
  <c r="H15471" i="9" s="1"/>
  <c r="F15472" i="9"/>
  <c r="H15472" i="9" s="1"/>
  <c r="F15473" i="9"/>
  <c r="H15473" i="9" s="1"/>
  <c r="F15474" i="9"/>
  <c r="H15474" i="9" s="1"/>
  <c r="F15475" i="9"/>
  <c r="H15475" i="9" s="1"/>
  <c r="F15476" i="9"/>
  <c r="H15476" i="9" s="1"/>
  <c r="F15477" i="9"/>
  <c r="H15477" i="9" s="1"/>
  <c r="F15478" i="9"/>
  <c r="H15478" i="9" s="1"/>
  <c r="F15479" i="9"/>
  <c r="H15479" i="9" s="1"/>
  <c r="F15480" i="9"/>
  <c r="H15480" i="9" s="1"/>
  <c r="F15481" i="9"/>
  <c r="H15481" i="9" s="1"/>
  <c r="F15482" i="9"/>
  <c r="H15482" i="9" s="1"/>
  <c r="F15483" i="9"/>
  <c r="H15483" i="9" s="1"/>
  <c r="F15484" i="9"/>
  <c r="H15484" i="9" s="1"/>
  <c r="F15485" i="9"/>
  <c r="H15485" i="9" s="1"/>
  <c r="F15486" i="9"/>
  <c r="H15486" i="9" s="1"/>
  <c r="F15487" i="9"/>
  <c r="H15487" i="9" s="1"/>
  <c r="F15488" i="9"/>
  <c r="H15488" i="9" s="1"/>
  <c r="F15489" i="9"/>
  <c r="H15489" i="9" s="1"/>
  <c r="F15490" i="9"/>
  <c r="H15490" i="9" s="1"/>
  <c r="F15491" i="9"/>
  <c r="H15491" i="9" s="1"/>
  <c r="F15492" i="9"/>
  <c r="H15492" i="9"/>
  <c r="F15493" i="9"/>
  <c r="H15493" i="9" s="1"/>
  <c r="F15494" i="9"/>
  <c r="H15494" i="9" s="1"/>
  <c r="F15495" i="9"/>
  <c r="H15495" i="9" s="1"/>
  <c r="F15496" i="9"/>
  <c r="H15496" i="9" s="1"/>
  <c r="F15497" i="9"/>
  <c r="H15497" i="9" s="1"/>
  <c r="F15498" i="9"/>
  <c r="H15498" i="9" s="1"/>
  <c r="F15499" i="9"/>
  <c r="H15499" i="9" s="1"/>
  <c r="F15500" i="9"/>
  <c r="H15500" i="9"/>
  <c r="F15501" i="9"/>
  <c r="H15501" i="9" s="1"/>
  <c r="F15502" i="9"/>
  <c r="H15502" i="9" s="1"/>
  <c r="F15503" i="9"/>
  <c r="H15503" i="9" s="1"/>
  <c r="F15504" i="9"/>
  <c r="H15504" i="9" s="1"/>
  <c r="F15505" i="9"/>
  <c r="H15505" i="9" s="1"/>
  <c r="F15506" i="9"/>
  <c r="H15506" i="9"/>
  <c r="F15507" i="9"/>
  <c r="H15507" i="9" s="1"/>
  <c r="F15508" i="9"/>
  <c r="H15508" i="9" s="1"/>
  <c r="F15509" i="9"/>
  <c r="H15509" i="9" s="1"/>
  <c r="F15510" i="9"/>
  <c r="H15510" i="9" s="1"/>
  <c r="F15511" i="9"/>
  <c r="H15511" i="9" s="1"/>
  <c r="F15512" i="9"/>
  <c r="H15512" i="9" s="1"/>
  <c r="F15513" i="9"/>
  <c r="H15513" i="9" s="1"/>
  <c r="F15514" i="9"/>
  <c r="H15514" i="9" s="1"/>
  <c r="F15515" i="9"/>
  <c r="H15515" i="9" s="1"/>
  <c r="F15516" i="9"/>
  <c r="H15516" i="9" s="1"/>
  <c r="F15517" i="9"/>
  <c r="H15517" i="9" s="1"/>
  <c r="F15518" i="9"/>
  <c r="H15518" i="9" s="1"/>
  <c r="F15519" i="9"/>
  <c r="H15519" i="9" s="1"/>
  <c r="F15520" i="9"/>
  <c r="H15520" i="9" s="1"/>
  <c r="F15521" i="9"/>
  <c r="H15521" i="9" s="1"/>
  <c r="F15522" i="9"/>
  <c r="H15522" i="9" s="1"/>
  <c r="F15523" i="9"/>
  <c r="H15523" i="9" s="1"/>
  <c r="F15524" i="9"/>
  <c r="H15524" i="9" s="1"/>
  <c r="F15525" i="9"/>
  <c r="H15525" i="9" s="1"/>
  <c r="F15526" i="9"/>
  <c r="H15526" i="9" s="1"/>
  <c r="F15527" i="9"/>
  <c r="H15527" i="9" s="1"/>
  <c r="F15528" i="9"/>
  <c r="H15528" i="9" s="1"/>
  <c r="F15529" i="9"/>
  <c r="H15529" i="9" s="1"/>
  <c r="F15530" i="9"/>
  <c r="H15530" i="9" s="1"/>
  <c r="F15531" i="9"/>
  <c r="H15531" i="9" s="1"/>
  <c r="F15532" i="9"/>
  <c r="H15532" i="9" s="1"/>
  <c r="F15533" i="9"/>
  <c r="H15533" i="9" s="1"/>
  <c r="F15534" i="9"/>
  <c r="H15534" i="9" s="1"/>
  <c r="F15535" i="9"/>
  <c r="H15535" i="9" s="1"/>
  <c r="F15536" i="9"/>
  <c r="H15536" i="9" s="1"/>
  <c r="F15537" i="9"/>
  <c r="H15537" i="9" s="1"/>
  <c r="F15538" i="9"/>
  <c r="H15538" i="9" s="1"/>
  <c r="F15539" i="9"/>
  <c r="H15539" i="9" s="1"/>
  <c r="F15540" i="9"/>
  <c r="H15540" i="9" s="1"/>
  <c r="F15541" i="9"/>
  <c r="H15541" i="9" s="1"/>
  <c r="F15542" i="9"/>
  <c r="H15542" i="9" s="1"/>
  <c r="F15543" i="9"/>
  <c r="H15543" i="9" s="1"/>
  <c r="F15544" i="9"/>
  <c r="H15544" i="9" s="1"/>
  <c r="F15545" i="9"/>
  <c r="H15545" i="9" s="1"/>
  <c r="F15546" i="9"/>
  <c r="H15546" i="9" s="1"/>
  <c r="F15547" i="9"/>
  <c r="H15547" i="9" s="1"/>
  <c r="F15548" i="9"/>
  <c r="H15548" i="9" s="1"/>
  <c r="F15549" i="9"/>
  <c r="H15549" i="9" s="1"/>
  <c r="F15550" i="9"/>
  <c r="H15550" i="9" s="1"/>
  <c r="F15551" i="9"/>
  <c r="H15551" i="9" s="1"/>
  <c r="F15552" i="9"/>
  <c r="H15552" i="9" s="1"/>
  <c r="F15553" i="9"/>
  <c r="H15553" i="9" s="1"/>
  <c r="F15554" i="9"/>
  <c r="H15554" i="9" s="1"/>
  <c r="F15555" i="9"/>
  <c r="H15555" i="9" s="1"/>
  <c r="F15556" i="9"/>
  <c r="H15556" i="9" s="1"/>
  <c r="F15557" i="9"/>
  <c r="H15557" i="9" s="1"/>
  <c r="F15558" i="9"/>
  <c r="H15558" i="9" s="1"/>
  <c r="F15559" i="9"/>
  <c r="H15559" i="9" s="1"/>
  <c r="F15560" i="9"/>
  <c r="H15560" i="9" s="1"/>
  <c r="F15561" i="9"/>
  <c r="H15561" i="9" s="1"/>
  <c r="F15562" i="9"/>
  <c r="H15562" i="9" s="1"/>
  <c r="F15563" i="9"/>
  <c r="H15563" i="9" s="1"/>
  <c r="F15564" i="9"/>
  <c r="H15564" i="9"/>
  <c r="F15565" i="9"/>
  <c r="H15565" i="9" s="1"/>
  <c r="F15566" i="9"/>
  <c r="H15566" i="9" s="1"/>
  <c r="F15567" i="9"/>
  <c r="H15567" i="9" s="1"/>
  <c r="F15568" i="9"/>
  <c r="H15568" i="9" s="1"/>
  <c r="F15569" i="9"/>
  <c r="H15569" i="9" s="1"/>
  <c r="F15570" i="9"/>
  <c r="H15570" i="9" s="1"/>
  <c r="F15571" i="9"/>
  <c r="H15571" i="9" s="1"/>
  <c r="F15572" i="9"/>
  <c r="H15572" i="9" s="1"/>
  <c r="F15573" i="9"/>
  <c r="H15573" i="9" s="1"/>
  <c r="F15574" i="9"/>
  <c r="H15574" i="9" s="1"/>
  <c r="F15575" i="9"/>
  <c r="H15575" i="9" s="1"/>
  <c r="F15576" i="9"/>
  <c r="H15576" i="9"/>
  <c r="F15577" i="9"/>
  <c r="H15577" i="9" s="1"/>
  <c r="F15578" i="9"/>
  <c r="H15578" i="9" s="1"/>
  <c r="F15579" i="9"/>
  <c r="H15579" i="9" s="1"/>
  <c r="F15580" i="9"/>
  <c r="H15580" i="9" s="1"/>
  <c r="F15581" i="9"/>
  <c r="H15581" i="9" s="1"/>
  <c r="F15582" i="9"/>
  <c r="H15582" i="9" s="1"/>
  <c r="F15583" i="9"/>
  <c r="H15583" i="9" s="1"/>
  <c r="F15584" i="9"/>
  <c r="H15584" i="9" s="1"/>
  <c r="F15585" i="9"/>
  <c r="H15585" i="9" s="1"/>
  <c r="F15586" i="9"/>
  <c r="H15586" i="9" s="1"/>
  <c r="F15587" i="9"/>
  <c r="H15587" i="9"/>
  <c r="F15588" i="9"/>
  <c r="H15588" i="9" s="1"/>
  <c r="F15589" i="9"/>
  <c r="H15589" i="9" s="1"/>
  <c r="F15590" i="9"/>
  <c r="H15590" i="9" s="1"/>
  <c r="F15591" i="9"/>
  <c r="H15591" i="9" s="1"/>
  <c r="F15592" i="9"/>
  <c r="H15592" i="9" s="1"/>
  <c r="F15593" i="9"/>
  <c r="H15593" i="9"/>
  <c r="F15594" i="9"/>
  <c r="H15594" i="9" s="1"/>
  <c r="F15595" i="9"/>
  <c r="H15595" i="9" s="1"/>
  <c r="F15596" i="9"/>
  <c r="H15596" i="9" s="1"/>
  <c r="F15597" i="9"/>
  <c r="H15597" i="9" s="1"/>
  <c r="F15598" i="9"/>
  <c r="H15598" i="9" s="1"/>
  <c r="F15599" i="9"/>
  <c r="H15599" i="9" s="1"/>
  <c r="F15600" i="9"/>
  <c r="H15600" i="9" s="1"/>
  <c r="F15601" i="9"/>
  <c r="H15601" i="9" s="1"/>
  <c r="F15602" i="9"/>
  <c r="H15602" i="9" s="1"/>
  <c r="F15603" i="9"/>
  <c r="H15603" i="9" s="1"/>
  <c r="F15604" i="9"/>
  <c r="H15604" i="9" s="1"/>
  <c r="F15605" i="9"/>
  <c r="H15605" i="9" s="1"/>
  <c r="F15606" i="9"/>
  <c r="H15606" i="9" s="1"/>
  <c r="F15607" i="9"/>
  <c r="H15607" i="9" s="1"/>
  <c r="F15608" i="9"/>
  <c r="H15608" i="9" s="1"/>
  <c r="F15609" i="9"/>
  <c r="H15609" i="9" s="1"/>
  <c r="F15610" i="9"/>
  <c r="H15610" i="9" s="1"/>
  <c r="F15611" i="9"/>
  <c r="H15611" i="9"/>
  <c r="F15612" i="9"/>
  <c r="H15612" i="9" s="1"/>
  <c r="F15613" i="9"/>
  <c r="H15613" i="9" s="1"/>
  <c r="F15614" i="9"/>
  <c r="H15614" i="9" s="1"/>
  <c r="F15615" i="9"/>
  <c r="H15615" i="9"/>
  <c r="F15616" i="9"/>
  <c r="H15616" i="9" s="1"/>
  <c r="F15617" i="9"/>
  <c r="H15617" i="9" s="1"/>
  <c r="F15618" i="9"/>
  <c r="H15618" i="9" s="1"/>
  <c r="F15619" i="9"/>
  <c r="H15619" i="9" s="1"/>
  <c r="F15620" i="9"/>
  <c r="H15620" i="9" s="1"/>
  <c r="F15621" i="9"/>
  <c r="H15621" i="9" s="1"/>
  <c r="F15622" i="9"/>
  <c r="H15622" i="9" s="1"/>
  <c r="F15623" i="9"/>
  <c r="H15623" i="9" s="1"/>
  <c r="F15624" i="9"/>
  <c r="H15624" i="9" s="1"/>
  <c r="F15625" i="9"/>
  <c r="H15625" i="9" s="1"/>
  <c r="F15626" i="9"/>
  <c r="H15626" i="9" s="1"/>
  <c r="F15627" i="9"/>
  <c r="H15627" i="9" s="1"/>
  <c r="F15628" i="9"/>
  <c r="H15628" i="9" s="1"/>
  <c r="F15629" i="9"/>
  <c r="H15629" i="9" s="1"/>
  <c r="F15630" i="9"/>
  <c r="H15630" i="9" s="1"/>
  <c r="F15631" i="9"/>
  <c r="H15631" i="9" s="1"/>
  <c r="F15632" i="9"/>
  <c r="H15632" i="9" s="1"/>
  <c r="F15633" i="9"/>
  <c r="H15633" i="9" s="1"/>
  <c r="F15634" i="9"/>
  <c r="H15634" i="9"/>
  <c r="F15635" i="9"/>
  <c r="H15635" i="9" s="1"/>
  <c r="F15636" i="9"/>
  <c r="H15636" i="9" s="1"/>
  <c r="F15637" i="9"/>
  <c r="H15637" i="9" s="1"/>
  <c r="F15638" i="9"/>
  <c r="H15638" i="9" s="1"/>
  <c r="F15639" i="9"/>
  <c r="H15639" i="9" s="1"/>
  <c r="F15640" i="9"/>
  <c r="H15640" i="9" s="1"/>
  <c r="F15641" i="9"/>
  <c r="H15641" i="9" s="1"/>
  <c r="F15642" i="9"/>
  <c r="H15642" i="9" s="1"/>
  <c r="F15643" i="9"/>
  <c r="H15643" i="9" s="1"/>
  <c r="F15644" i="9"/>
  <c r="H15644" i="9" s="1"/>
  <c r="F15645" i="9"/>
  <c r="H15645" i="9"/>
  <c r="F15646" i="9"/>
  <c r="H15646" i="9" s="1"/>
  <c r="F15647" i="9"/>
  <c r="H15647" i="9"/>
  <c r="F15648" i="9"/>
  <c r="H15648" i="9"/>
  <c r="F15649" i="9"/>
  <c r="H15649" i="9" s="1"/>
  <c r="F15650" i="9"/>
  <c r="H15650" i="9" s="1"/>
  <c r="F15651" i="9"/>
  <c r="H15651" i="9" s="1"/>
  <c r="F15652" i="9"/>
  <c r="H15652" i="9" s="1"/>
  <c r="F15653" i="9"/>
  <c r="H15653" i="9" s="1"/>
  <c r="F15654" i="9"/>
  <c r="H15654" i="9" s="1"/>
  <c r="F15655" i="9"/>
  <c r="H15655" i="9" s="1"/>
  <c r="F15656" i="9"/>
  <c r="H15656" i="9" s="1"/>
  <c r="F15657" i="9"/>
  <c r="H15657" i="9" s="1"/>
  <c r="F15658" i="9"/>
  <c r="H15658" i="9" s="1"/>
  <c r="F15659" i="9"/>
  <c r="H15659" i="9" s="1"/>
  <c r="F15660" i="9"/>
  <c r="H15660" i="9" s="1"/>
  <c r="F15661" i="9"/>
  <c r="H15661" i="9" s="1"/>
  <c r="F15662" i="9"/>
  <c r="H15662" i="9" s="1"/>
  <c r="F15663" i="9"/>
  <c r="H15663" i="9" s="1"/>
  <c r="F15664" i="9"/>
  <c r="H15664" i="9" s="1"/>
  <c r="F15665" i="9"/>
  <c r="H15665" i="9" s="1"/>
  <c r="F15666" i="9"/>
  <c r="H15666" i="9" s="1"/>
  <c r="F15667" i="9"/>
  <c r="H15667" i="9" s="1"/>
  <c r="F15668" i="9"/>
  <c r="H15668" i="9" s="1"/>
  <c r="F15669" i="9"/>
  <c r="H15669" i="9" s="1"/>
  <c r="F15670" i="9"/>
  <c r="H15670" i="9" s="1"/>
  <c r="F15671" i="9"/>
  <c r="H15671" i="9" s="1"/>
  <c r="F15672" i="9"/>
  <c r="H15672" i="9" s="1"/>
  <c r="F15673" i="9"/>
  <c r="H15673" i="9" s="1"/>
  <c r="F15674" i="9"/>
  <c r="H15674" i="9" s="1"/>
  <c r="F15675" i="9"/>
  <c r="H15675" i="9" s="1"/>
  <c r="F15676" i="9"/>
  <c r="H15676" i="9" s="1"/>
  <c r="F15677" i="9"/>
  <c r="H15677" i="9" s="1"/>
  <c r="F15678" i="9"/>
  <c r="H15678" i="9" s="1"/>
  <c r="F15679" i="9"/>
  <c r="H15679" i="9" s="1"/>
  <c r="F15680" i="9"/>
  <c r="H15680" i="9" s="1"/>
  <c r="F15681" i="9"/>
  <c r="H15681" i="9" s="1"/>
  <c r="F15682" i="9"/>
  <c r="H15682" i="9" s="1"/>
  <c r="F15683" i="9"/>
  <c r="H15683" i="9"/>
  <c r="F15684" i="9"/>
  <c r="H15684" i="9" s="1"/>
  <c r="F15685" i="9"/>
  <c r="H15685" i="9" s="1"/>
  <c r="F15686" i="9"/>
  <c r="H15686" i="9" s="1"/>
  <c r="F15687" i="9"/>
  <c r="H15687" i="9" s="1"/>
  <c r="F15688" i="9"/>
  <c r="H15688" i="9" s="1"/>
  <c r="F15689" i="9"/>
  <c r="H15689" i="9"/>
  <c r="F15690" i="9"/>
  <c r="H15690" i="9" s="1"/>
  <c r="F15691" i="9"/>
  <c r="H15691" i="9" s="1"/>
  <c r="F15692" i="9"/>
  <c r="H15692" i="9" s="1"/>
  <c r="F15693" i="9"/>
  <c r="H15693" i="9" s="1"/>
  <c r="F15694" i="9"/>
  <c r="H15694" i="9" s="1"/>
  <c r="F15695" i="9"/>
  <c r="H15695" i="9" s="1"/>
  <c r="F15696" i="9"/>
  <c r="H15696" i="9" s="1"/>
  <c r="F15697" i="9"/>
  <c r="H15697" i="9" s="1"/>
  <c r="F15698" i="9"/>
  <c r="H15698" i="9" s="1"/>
  <c r="F15699" i="9"/>
  <c r="H15699" i="9" s="1"/>
  <c r="F15700" i="9"/>
  <c r="H15700" i="9" s="1"/>
  <c r="F15701" i="9"/>
  <c r="H15701" i="9" s="1"/>
  <c r="F15702" i="9"/>
  <c r="H15702" i="9" s="1"/>
  <c r="F15703" i="9"/>
  <c r="H15703" i="9" s="1"/>
  <c r="F15704" i="9"/>
  <c r="H15704" i="9" s="1"/>
  <c r="F15705" i="9"/>
  <c r="H15705" i="9" s="1"/>
  <c r="F15706" i="9"/>
  <c r="H15706" i="9" s="1"/>
  <c r="F15707" i="9"/>
  <c r="H15707" i="9"/>
  <c r="F15708" i="9"/>
  <c r="H15708" i="9" s="1"/>
  <c r="F15709" i="9"/>
  <c r="H15709" i="9" s="1"/>
  <c r="F15710" i="9"/>
  <c r="H15710" i="9" s="1"/>
  <c r="F15711" i="9"/>
  <c r="H15711" i="9" s="1"/>
  <c r="F15712" i="9"/>
  <c r="H15712" i="9" s="1"/>
  <c r="F15713" i="9"/>
  <c r="H15713" i="9" s="1"/>
  <c r="F15714" i="9"/>
  <c r="H15714" i="9" s="1"/>
  <c r="F15715" i="9"/>
  <c r="H15715" i="9" s="1"/>
  <c r="F15716" i="9"/>
  <c r="H15716" i="9" s="1"/>
  <c r="F15717" i="9"/>
  <c r="H15717" i="9" s="1"/>
  <c r="F15718" i="9"/>
  <c r="H15718" i="9" s="1"/>
  <c r="F15719" i="9"/>
  <c r="H15719" i="9" s="1"/>
  <c r="F15720" i="9"/>
  <c r="H15720" i="9" s="1"/>
  <c r="F15721" i="9"/>
  <c r="H15721" i="9" s="1"/>
  <c r="F15722" i="9"/>
  <c r="H15722" i="9" s="1"/>
  <c r="F15723" i="9"/>
  <c r="H15723" i="9" s="1"/>
  <c r="F15724" i="9"/>
  <c r="H15724" i="9" s="1"/>
  <c r="F15725" i="9"/>
  <c r="H15725" i="9" s="1"/>
  <c r="F15726" i="9"/>
  <c r="H15726" i="9" s="1"/>
  <c r="F15727" i="9"/>
  <c r="H15727" i="9" s="1"/>
  <c r="F15728" i="9"/>
  <c r="H15728" i="9" s="1"/>
  <c r="F15729" i="9"/>
  <c r="H15729" i="9" s="1"/>
  <c r="F15730" i="9"/>
  <c r="H15730" i="9" s="1"/>
  <c r="F15731" i="9"/>
  <c r="H15731" i="9"/>
  <c r="F15732" i="9"/>
  <c r="H15732" i="9" s="1"/>
  <c r="F15733" i="9"/>
  <c r="H15733" i="9" s="1"/>
  <c r="F15734" i="9"/>
  <c r="H15734" i="9" s="1"/>
  <c r="F15735" i="9"/>
  <c r="H15735" i="9" s="1"/>
  <c r="F15736" i="9"/>
  <c r="H15736" i="9" s="1"/>
  <c r="F15737" i="9"/>
  <c r="H15737" i="9" s="1"/>
  <c r="F15738" i="9"/>
  <c r="H15738" i="9" s="1"/>
  <c r="F15739" i="9"/>
  <c r="H15739" i="9" s="1"/>
  <c r="F15740" i="9"/>
  <c r="H15740" i="9" s="1"/>
  <c r="F15741" i="9"/>
  <c r="H15741" i="9" s="1"/>
  <c r="F15742" i="9"/>
  <c r="H15742" i="9" s="1"/>
  <c r="F15743" i="9"/>
  <c r="H15743" i="9" s="1"/>
  <c r="F15744" i="9"/>
  <c r="H15744" i="9" s="1"/>
  <c r="F15745" i="9"/>
  <c r="H15745" i="9" s="1"/>
  <c r="F15746" i="9"/>
  <c r="H15746" i="9" s="1"/>
  <c r="F15747" i="9"/>
  <c r="H15747" i="9" s="1"/>
  <c r="F15748" i="9"/>
  <c r="H15748" i="9" s="1"/>
  <c r="F15749" i="9"/>
  <c r="H15749" i="9" s="1"/>
  <c r="F15750" i="9"/>
  <c r="H15750" i="9" s="1"/>
  <c r="F15751" i="9"/>
  <c r="H15751" i="9" s="1"/>
  <c r="F15752" i="9"/>
  <c r="H15752" i="9" s="1"/>
  <c r="F15753" i="9"/>
  <c r="H15753" i="9" s="1"/>
  <c r="F15754" i="9"/>
  <c r="H15754" i="9" s="1"/>
  <c r="F15755" i="9"/>
  <c r="H15755" i="9" s="1"/>
  <c r="F15756" i="9"/>
  <c r="H15756" i="9" s="1"/>
  <c r="F15757" i="9"/>
  <c r="H15757" i="9" s="1"/>
  <c r="F15758" i="9"/>
  <c r="H15758" i="9" s="1"/>
  <c r="F15759" i="9"/>
  <c r="H15759" i="9" s="1"/>
  <c r="F15760" i="9"/>
  <c r="H15760" i="9" s="1"/>
  <c r="F15761" i="9"/>
  <c r="H15761" i="9" s="1"/>
  <c r="F15762" i="9"/>
  <c r="H15762" i="9" s="1"/>
  <c r="F15763" i="9"/>
  <c r="H15763" i="9" s="1"/>
  <c r="F15764" i="9"/>
  <c r="H15764" i="9" s="1"/>
  <c r="F15765" i="9"/>
  <c r="H15765" i="9" s="1"/>
  <c r="F15766" i="9"/>
  <c r="H15766" i="9" s="1"/>
  <c r="F15767" i="9"/>
  <c r="H15767" i="9" s="1"/>
  <c r="F15768" i="9"/>
  <c r="H15768" i="9" s="1"/>
  <c r="F15769" i="9"/>
  <c r="H15769" i="9" s="1"/>
  <c r="F15770" i="9"/>
  <c r="H15770" i="9" s="1"/>
  <c r="F15771" i="9"/>
  <c r="H15771" i="9" s="1"/>
  <c r="F15772" i="9"/>
  <c r="H15772" i="9" s="1"/>
  <c r="F15773" i="9"/>
  <c r="H15773" i="9" s="1"/>
  <c r="F15774" i="9"/>
  <c r="H15774" i="9" s="1"/>
  <c r="F15775" i="9"/>
  <c r="H15775" i="9" s="1"/>
  <c r="F15776" i="9"/>
  <c r="H15776" i="9" s="1"/>
  <c r="F15777" i="9"/>
  <c r="H15777" i="9" s="1"/>
  <c r="F15778" i="9"/>
  <c r="H15778" i="9" s="1"/>
  <c r="F15779" i="9"/>
  <c r="H15779" i="9"/>
  <c r="F15780" i="9"/>
  <c r="H15780" i="9" s="1"/>
  <c r="F15781" i="9"/>
  <c r="H15781" i="9" s="1"/>
  <c r="F15782" i="9"/>
  <c r="H15782" i="9" s="1"/>
  <c r="F15783" i="9"/>
  <c r="H15783" i="9" s="1"/>
  <c r="F15784" i="9"/>
  <c r="H15784" i="9" s="1"/>
  <c r="F15785" i="9"/>
  <c r="H15785" i="9" s="1"/>
  <c r="F15786" i="9"/>
  <c r="H15786" i="9" s="1"/>
  <c r="F15787" i="9"/>
  <c r="H15787" i="9" s="1"/>
  <c r="F15788" i="9"/>
  <c r="H15788" i="9" s="1"/>
  <c r="F15789" i="9"/>
  <c r="H15789" i="9" s="1"/>
  <c r="F15790" i="9"/>
  <c r="H15790" i="9" s="1"/>
  <c r="F15791" i="9"/>
  <c r="H15791" i="9" s="1"/>
  <c r="F15792" i="9"/>
  <c r="H15792" i="9" s="1"/>
  <c r="F15793" i="9"/>
  <c r="H15793" i="9" s="1"/>
  <c r="F15794" i="9"/>
  <c r="H15794" i="9" s="1"/>
  <c r="F15795" i="9"/>
  <c r="H15795" i="9" s="1"/>
  <c r="F15796" i="9"/>
  <c r="H15796" i="9" s="1"/>
  <c r="F15797" i="9"/>
  <c r="H15797" i="9" s="1"/>
  <c r="F15798" i="9"/>
  <c r="H15798" i="9"/>
  <c r="F15799" i="9"/>
  <c r="H15799" i="9" s="1"/>
  <c r="F15800" i="9"/>
  <c r="H15800" i="9" s="1"/>
  <c r="F15801" i="9"/>
  <c r="H15801" i="9" s="1"/>
  <c r="F15802" i="9"/>
  <c r="H15802" i="9" s="1"/>
  <c r="F15803" i="9"/>
  <c r="H15803" i="9" s="1"/>
  <c r="F15804" i="9"/>
  <c r="H15804" i="9" s="1"/>
  <c r="F15805" i="9"/>
  <c r="H15805" i="9" s="1"/>
  <c r="F15806" i="9"/>
  <c r="H15806" i="9" s="1"/>
  <c r="F15807" i="9"/>
  <c r="H15807" i="9" s="1"/>
  <c r="F15808" i="9"/>
  <c r="H15808" i="9" s="1"/>
  <c r="F15809" i="9"/>
  <c r="H15809" i="9" s="1"/>
  <c r="F15810" i="9"/>
  <c r="H15810" i="9" s="1"/>
  <c r="F15811" i="9"/>
  <c r="H15811" i="9" s="1"/>
  <c r="F15812" i="9"/>
  <c r="H15812" i="9" s="1"/>
  <c r="F15813" i="9"/>
  <c r="H15813" i="9" s="1"/>
  <c r="F15814" i="9"/>
  <c r="H15814" i="9" s="1"/>
  <c r="F15815" i="9"/>
  <c r="H15815" i="9" s="1"/>
  <c r="F15816" i="9"/>
  <c r="H15816" i="9" s="1"/>
  <c r="F15817" i="9"/>
  <c r="H15817" i="9"/>
  <c r="F15818" i="9"/>
  <c r="H15818" i="9" s="1"/>
  <c r="F15819" i="9"/>
  <c r="H15819" i="9" s="1"/>
  <c r="F15820" i="9"/>
  <c r="H15820" i="9" s="1"/>
  <c r="F15821" i="9"/>
  <c r="H15821" i="9" s="1"/>
  <c r="F15822" i="9"/>
  <c r="H15822" i="9" s="1"/>
  <c r="F15823" i="9"/>
  <c r="H15823" i="9" s="1"/>
  <c r="F15824" i="9"/>
  <c r="H15824" i="9" s="1"/>
  <c r="F15825" i="9"/>
  <c r="H15825" i="9" s="1"/>
  <c r="F15826" i="9"/>
  <c r="H15826" i="9" s="1"/>
  <c r="F15827" i="9"/>
  <c r="H15827" i="9" s="1"/>
  <c r="F15828" i="9"/>
  <c r="H15828" i="9" s="1"/>
  <c r="F15829" i="9"/>
  <c r="H15829" i="9" s="1"/>
  <c r="F15830" i="9"/>
  <c r="H15830" i="9" s="1"/>
  <c r="F15831" i="9"/>
  <c r="H15831" i="9" s="1"/>
  <c r="F15832" i="9"/>
  <c r="H15832" i="9" s="1"/>
  <c r="F15833" i="9"/>
  <c r="H15833" i="9" s="1"/>
  <c r="F15834" i="9"/>
  <c r="H15834" i="9" s="1"/>
  <c r="F15835" i="9"/>
  <c r="H15835" i="9" s="1"/>
  <c r="F15836" i="9"/>
  <c r="H15836" i="9" s="1"/>
  <c r="F15837" i="9"/>
  <c r="H15837" i="9" s="1"/>
  <c r="F15838" i="9"/>
  <c r="H15838" i="9" s="1"/>
  <c r="F15839" i="9"/>
  <c r="H15839" i="9" s="1"/>
  <c r="F15840" i="9"/>
  <c r="H15840" i="9" s="1"/>
  <c r="F15841" i="9"/>
  <c r="H15841" i="9" s="1"/>
  <c r="F15842" i="9"/>
  <c r="H15842" i="9" s="1"/>
  <c r="F15843" i="9"/>
  <c r="H15843" i="9" s="1"/>
  <c r="F15844" i="9"/>
  <c r="H15844" i="9" s="1"/>
  <c r="F15845" i="9"/>
  <c r="H15845" i="9" s="1"/>
  <c r="F15846" i="9"/>
  <c r="H15846" i="9" s="1"/>
  <c r="F15847" i="9"/>
  <c r="H15847" i="9" s="1"/>
  <c r="F15848" i="9"/>
  <c r="H15848" i="9" s="1"/>
  <c r="F15849" i="9"/>
  <c r="H15849" i="9" s="1"/>
  <c r="F15850" i="9"/>
  <c r="H15850" i="9" s="1"/>
  <c r="F15851" i="9"/>
  <c r="H15851" i="9" s="1"/>
  <c r="F15852" i="9"/>
  <c r="H15852" i="9" s="1"/>
  <c r="F15853" i="9"/>
  <c r="H15853" i="9" s="1"/>
  <c r="F15854" i="9"/>
  <c r="H15854" i="9" s="1"/>
  <c r="F15855" i="9"/>
  <c r="H15855" i="9" s="1"/>
  <c r="F15856" i="9"/>
  <c r="H15856" i="9" s="1"/>
  <c r="F15857" i="9"/>
  <c r="H15857" i="9" s="1"/>
  <c r="F15858" i="9"/>
  <c r="H15858" i="9" s="1"/>
  <c r="F15859" i="9"/>
  <c r="H15859" i="9" s="1"/>
  <c r="F15860" i="9"/>
  <c r="H15860" i="9" s="1"/>
  <c r="F15861" i="9"/>
  <c r="H15861" i="9" s="1"/>
  <c r="F15862" i="9"/>
  <c r="H15862" i="9" s="1"/>
  <c r="F15863" i="9"/>
  <c r="H15863" i="9" s="1"/>
  <c r="F15864" i="9"/>
  <c r="H15864" i="9" s="1"/>
  <c r="F15865" i="9"/>
  <c r="H15865" i="9" s="1"/>
  <c r="F15866" i="9"/>
  <c r="H15866" i="9" s="1"/>
  <c r="F15867" i="9"/>
  <c r="H15867" i="9" s="1"/>
  <c r="F15868" i="9"/>
  <c r="H15868" i="9" s="1"/>
  <c r="F15869" i="9"/>
  <c r="H15869" i="9" s="1"/>
  <c r="F15870" i="9"/>
  <c r="H15870" i="9" s="1"/>
  <c r="F15871" i="9"/>
  <c r="H15871" i="9" s="1"/>
  <c r="F15872" i="9"/>
  <c r="H15872" i="9" s="1"/>
  <c r="F15873" i="9"/>
  <c r="H15873" i="9" s="1"/>
  <c r="F15874" i="9"/>
  <c r="H15874" i="9" s="1"/>
  <c r="F15875" i="9"/>
  <c r="H15875" i="9" s="1"/>
  <c r="F15876" i="9"/>
  <c r="H15876" i="9" s="1"/>
  <c r="F15877" i="9"/>
  <c r="H15877" i="9" s="1"/>
  <c r="F15878" i="9"/>
  <c r="H15878" i="9" s="1"/>
  <c r="F15879" i="9"/>
  <c r="H15879" i="9" s="1"/>
  <c r="F15880" i="9"/>
  <c r="H15880" i="9" s="1"/>
  <c r="F15881" i="9"/>
  <c r="H15881" i="9" s="1"/>
  <c r="F15882" i="9"/>
  <c r="H15882" i="9" s="1"/>
  <c r="F15883" i="9"/>
  <c r="H15883" i="9" s="1"/>
  <c r="F15884" i="9"/>
  <c r="H15884" i="9" s="1"/>
  <c r="F15885" i="9"/>
  <c r="H15885" i="9" s="1"/>
  <c r="F15886" i="9"/>
  <c r="H15886" i="9" s="1"/>
  <c r="F15887" i="9"/>
  <c r="H15887" i="9" s="1"/>
  <c r="F15888" i="9"/>
  <c r="H15888" i="9" s="1"/>
  <c r="F15889" i="9"/>
  <c r="H15889" i="9" s="1"/>
  <c r="F15890" i="9"/>
  <c r="H15890" i="9" s="1"/>
  <c r="F15891" i="9"/>
  <c r="H15891" i="9" s="1"/>
  <c r="F15892" i="9"/>
  <c r="H15892" i="9" s="1"/>
  <c r="F15893" i="9"/>
  <c r="H15893" i="9" s="1"/>
  <c r="F15894" i="9"/>
  <c r="H15894" i="9" s="1"/>
  <c r="F15895" i="9"/>
  <c r="H15895" i="9" s="1"/>
  <c r="F15896" i="9"/>
  <c r="H15896" i="9" s="1"/>
  <c r="F15897" i="9"/>
  <c r="H15897" i="9" s="1"/>
  <c r="F15898" i="9"/>
  <c r="H15898" i="9" s="1"/>
  <c r="F15899" i="9"/>
  <c r="H15899" i="9" s="1"/>
  <c r="F15900" i="9"/>
  <c r="H15900" i="9"/>
  <c r="F15901" i="9"/>
  <c r="H15901" i="9" s="1"/>
  <c r="F15902" i="9"/>
  <c r="H15902" i="9" s="1"/>
  <c r="F15903" i="9"/>
  <c r="H15903" i="9" s="1"/>
  <c r="F15904" i="9"/>
  <c r="H15904" i="9" s="1"/>
  <c r="F15905" i="9"/>
  <c r="H15905" i="9" s="1"/>
  <c r="F15906" i="9"/>
  <c r="H15906" i="9" s="1"/>
  <c r="F15907" i="9"/>
  <c r="H15907" i="9" s="1"/>
  <c r="F15908" i="9"/>
  <c r="H15908" i="9" s="1"/>
  <c r="F15909" i="9"/>
  <c r="H15909" i="9" s="1"/>
  <c r="F15910" i="9"/>
  <c r="H15910" i="9" s="1"/>
  <c r="F15911" i="9"/>
  <c r="H15911" i="9" s="1"/>
  <c r="F15912" i="9"/>
  <c r="H15912" i="9" s="1"/>
  <c r="F15913" i="9"/>
  <c r="H15913" i="9" s="1"/>
  <c r="F15914" i="9"/>
  <c r="H15914" i="9" s="1"/>
  <c r="F15915" i="9"/>
  <c r="H15915" i="9" s="1"/>
  <c r="F15916" i="9"/>
  <c r="H15916" i="9" s="1"/>
  <c r="F15917" i="9"/>
  <c r="H15917" i="9" s="1"/>
  <c r="F15918" i="9"/>
  <c r="H15918" i="9" s="1"/>
  <c r="F15919" i="9"/>
  <c r="H15919" i="9" s="1"/>
  <c r="F15920" i="9"/>
  <c r="H15920" i="9" s="1"/>
  <c r="F15921" i="9"/>
  <c r="H15921" i="9" s="1"/>
  <c r="F15922" i="9"/>
  <c r="H15922" i="9" s="1"/>
  <c r="F15923" i="9"/>
  <c r="H15923" i="9" s="1"/>
  <c r="F15924" i="9"/>
  <c r="H15924" i="9" s="1"/>
  <c r="F15925" i="9"/>
  <c r="H15925" i="9" s="1"/>
  <c r="F15926" i="9"/>
  <c r="H15926" i="9" s="1"/>
  <c r="F15927" i="9"/>
  <c r="H15927" i="9" s="1"/>
  <c r="F15928" i="9"/>
  <c r="H15928" i="9" s="1"/>
  <c r="F15929" i="9"/>
  <c r="H15929" i="9" s="1"/>
  <c r="F15930" i="9"/>
  <c r="H15930" i="9" s="1"/>
  <c r="F15931" i="9"/>
  <c r="H15931" i="9" s="1"/>
  <c r="F15932" i="9"/>
  <c r="H15932" i="9" s="1"/>
  <c r="F15933" i="9"/>
  <c r="H15933" i="9" s="1"/>
  <c r="F15934" i="9"/>
  <c r="H15934" i="9" s="1"/>
  <c r="F15935" i="9"/>
  <c r="H15935" i="9" s="1"/>
  <c r="F15936" i="9"/>
  <c r="H15936" i="9" s="1"/>
  <c r="F15937" i="9"/>
  <c r="H15937" i="9" s="1"/>
  <c r="F15938" i="9"/>
  <c r="H15938" i="9" s="1"/>
  <c r="F15939" i="9"/>
  <c r="H15939" i="9" s="1"/>
  <c r="F15940" i="9"/>
  <c r="H15940" i="9" s="1"/>
  <c r="F15941" i="9"/>
  <c r="H15941" i="9" s="1"/>
  <c r="F15942" i="9"/>
  <c r="H15942" i="9" s="1"/>
  <c r="F15943" i="9"/>
  <c r="H15943" i="9" s="1"/>
  <c r="F15944" i="9"/>
  <c r="H15944" i="9" s="1"/>
  <c r="F15945" i="9"/>
  <c r="H15945" i="9" s="1"/>
  <c r="F15946" i="9"/>
  <c r="H15946" i="9" s="1"/>
  <c r="F15947" i="9"/>
  <c r="H15947" i="9" s="1"/>
  <c r="F15948" i="9"/>
  <c r="H15948" i="9" s="1"/>
  <c r="F15949" i="9"/>
  <c r="H15949" i="9"/>
  <c r="F15950" i="9"/>
  <c r="H15950" i="9" s="1"/>
  <c r="F15951" i="9"/>
  <c r="H15951" i="9" s="1"/>
  <c r="F15952" i="9"/>
  <c r="H15952" i="9" s="1"/>
  <c r="F15953" i="9"/>
  <c r="H15953" i="9"/>
  <c r="F15954" i="9"/>
  <c r="H15954" i="9" s="1"/>
  <c r="F15955" i="9"/>
  <c r="H15955" i="9" s="1"/>
  <c r="F15956" i="9"/>
  <c r="H15956" i="9" s="1"/>
  <c r="F15957" i="9"/>
  <c r="H15957" i="9" s="1"/>
  <c r="F15958" i="9"/>
  <c r="H15958" i="9" s="1"/>
  <c r="F15959" i="9"/>
  <c r="H15959" i="9" s="1"/>
  <c r="F15960" i="9"/>
  <c r="H15960" i="9" s="1"/>
  <c r="F15961" i="9"/>
  <c r="H15961" i="9" s="1"/>
  <c r="F15962" i="9"/>
  <c r="H15962" i="9" s="1"/>
  <c r="F15963" i="9"/>
  <c r="H15963" i="9" s="1"/>
  <c r="F15964" i="9"/>
  <c r="H15964" i="9" s="1"/>
  <c r="F15965" i="9"/>
  <c r="H15965" i="9" s="1"/>
  <c r="F15966" i="9"/>
  <c r="H15966" i="9"/>
  <c r="F15967" i="9"/>
  <c r="H15967" i="9" s="1"/>
  <c r="F15968" i="9"/>
  <c r="H15968" i="9" s="1"/>
  <c r="F15969" i="9"/>
  <c r="H15969" i="9" s="1"/>
  <c r="F15970" i="9"/>
  <c r="H15970" i="9" s="1"/>
  <c r="F15971" i="9"/>
  <c r="H15971" i="9" s="1"/>
  <c r="F15972" i="9"/>
  <c r="H15972" i="9" s="1"/>
  <c r="F15973" i="9"/>
  <c r="H15973" i="9" s="1"/>
  <c r="F15974" i="9"/>
  <c r="H15974" i="9" s="1"/>
  <c r="F15975" i="9"/>
  <c r="H15975" i="9" s="1"/>
  <c r="F15976" i="9"/>
  <c r="H15976" i="9" s="1"/>
  <c r="F15977" i="9"/>
  <c r="H15977" i="9" s="1"/>
  <c r="F15978" i="9"/>
  <c r="H15978" i="9" s="1"/>
  <c r="F15979" i="9"/>
  <c r="H15979" i="9" s="1"/>
  <c r="F15980" i="9"/>
  <c r="H15980" i="9" s="1"/>
  <c r="F15981" i="9"/>
  <c r="H15981" i="9" s="1"/>
  <c r="F15982" i="9"/>
  <c r="H15982" i="9" s="1"/>
  <c r="F15983" i="9"/>
  <c r="H15983" i="9" s="1"/>
  <c r="F15984" i="9"/>
  <c r="H15984" i="9" s="1"/>
  <c r="F15985" i="9"/>
  <c r="H15985" i="9" s="1"/>
  <c r="F15986" i="9"/>
  <c r="H15986" i="9" s="1"/>
  <c r="F15987" i="9"/>
  <c r="H15987" i="9" s="1"/>
  <c r="F15988" i="9"/>
  <c r="H15988" i="9" s="1"/>
  <c r="F15989" i="9"/>
  <c r="H15989" i="9" s="1"/>
  <c r="F15990" i="9"/>
  <c r="H15990" i="9" s="1"/>
  <c r="F15991" i="9"/>
  <c r="H15991" i="9" s="1"/>
  <c r="F15992" i="9"/>
  <c r="H15992" i="9" s="1"/>
  <c r="F15993" i="9"/>
  <c r="H15993" i="9" s="1"/>
  <c r="F15994" i="9"/>
  <c r="H15994" i="9" s="1"/>
  <c r="F15995" i="9"/>
  <c r="H15995" i="9" s="1"/>
  <c r="F15996" i="9"/>
  <c r="H15996" i="9" s="1"/>
  <c r="F15997" i="9"/>
  <c r="H15997" i="9" s="1"/>
  <c r="F15998" i="9"/>
  <c r="H15998" i="9" s="1"/>
  <c r="F15999" i="9"/>
  <c r="H15999" i="9" s="1"/>
  <c r="F16000" i="9"/>
  <c r="H16000" i="9" s="1"/>
  <c r="F16001" i="9"/>
  <c r="H16001" i="9" s="1"/>
  <c r="F16002" i="9"/>
  <c r="H16002" i="9" s="1"/>
  <c r="F16003" i="9"/>
  <c r="H16003" i="9" s="1"/>
  <c r="F16004" i="9"/>
  <c r="H16004" i="9" s="1"/>
  <c r="F16005" i="9"/>
  <c r="H16005" i="9" s="1"/>
  <c r="F16006" i="9"/>
  <c r="H16006" i="9" s="1"/>
  <c r="F16007" i="9"/>
  <c r="H16007" i="9" s="1"/>
  <c r="F16008" i="9"/>
  <c r="H16008" i="9" s="1"/>
  <c r="F16009" i="9"/>
  <c r="H16009" i="9" s="1"/>
  <c r="F16010" i="9"/>
  <c r="H16010" i="9" s="1"/>
  <c r="F16011" i="9"/>
  <c r="H16011" i="9" s="1"/>
  <c r="F16012" i="9"/>
  <c r="H16012" i="9" s="1"/>
  <c r="F16013" i="9"/>
  <c r="H16013" i="9" s="1"/>
  <c r="F16014" i="9"/>
  <c r="H16014" i="9"/>
  <c r="F16015" i="9"/>
  <c r="H16015" i="9" s="1"/>
  <c r="F16016" i="9"/>
  <c r="H16016" i="9" s="1"/>
  <c r="F16017" i="9"/>
  <c r="H16017" i="9" s="1"/>
  <c r="F16018" i="9"/>
  <c r="H16018" i="9" s="1"/>
  <c r="F16019" i="9"/>
  <c r="H16019" i="9" s="1"/>
  <c r="F16020" i="9"/>
  <c r="H16020" i="9" s="1"/>
  <c r="F16021" i="9"/>
  <c r="H16021" i="9" s="1"/>
  <c r="F16022" i="9"/>
  <c r="H16022" i="9" s="1"/>
  <c r="F16023" i="9"/>
  <c r="H16023" i="9" s="1"/>
  <c r="F16024" i="9"/>
  <c r="H16024" i="9" s="1"/>
  <c r="F16025" i="9"/>
  <c r="H16025" i="9" s="1"/>
  <c r="F16026" i="9"/>
  <c r="H16026" i="9" s="1"/>
  <c r="F16027" i="9"/>
  <c r="H16027" i="9" s="1"/>
  <c r="F16028" i="9"/>
  <c r="H16028" i="9" s="1"/>
  <c r="F16029" i="9"/>
  <c r="H16029" i="9" s="1"/>
  <c r="F16030" i="9"/>
  <c r="H16030" i="9" s="1"/>
  <c r="F16031" i="9"/>
  <c r="H16031" i="9" s="1"/>
  <c r="F16032" i="9"/>
  <c r="H16032" i="9" s="1"/>
  <c r="F16033" i="9"/>
  <c r="H16033" i="9" s="1"/>
  <c r="F16034" i="9"/>
  <c r="H16034" i="9" s="1"/>
  <c r="F16035" i="9"/>
  <c r="H16035" i="9" s="1"/>
  <c r="F16036" i="9"/>
  <c r="H16036" i="9" s="1"/>
  <c r="F16037" i="9"/>
  <c r="H16037" i="9"/>
  <c r="F16038" i="9"/>
  <c r="H16038" i="9" s="1"/>
  <c r="F16039" i="9"/>
  <c r="H16039" i="9" s="1"/>
  <c r="F16040" i="9"/>
  <c r="H16040" i="9" s="1"/>
  <c r="F16041" i="9"/>
  <c r="H16041" i="9" s="1"/>
  <c r="F16042" i="9"/>
  <c r="H16042" i="9" s="1"/>
  <c r="F16043" i="9"/>
  <c r="H16043" i="9" s="1"/>
  <c r="F16044" i="9"/>
  <c r="H16044" i="9" s="1"/>
  <c r="F16045" i="9"/>
  <c r="H16045" i="9" s="1"/>
  <c r="F16046" i="9"/>
  <c r="H16046" i="9" s="1"/>
  <c r="F16047" i="9"/>
  <c r="H16047" i="9" s="1"/>
  <c r="F16048" i="9"/>
  <c r="H16048" i="9" s="1"/>
  <c r="F16049" i="9"/>
  <c r="H16049" i="9" s="1"/>
  <c r="F16050" i="9"/>
  <c r="H16050" i="9" s="1"/>
  <c r="F16051" i="9"/>
  <c r="H16051" i="9" s="1"/>
  <c r="F16052" i="9"/>
  <c r="H16052" i="9" s="1"/>
  <c r="F16053" i="9"/>
  <c r="H16053" i="9" s="1"/>
  <c r="F16054" i="9"/>
  <c r="H16054" i="9" s="1"/>
  <c r="F16055" i="9"/>
  <c r="H16055" i="9" s="1"/>
  <c r="F16056" i="9"/>
  <c r="H16056" i="9" s="1"/>
  <c r="F16057" i="9"/>
  <c r="H16057" i="9" s="1"/>
  <c r="F16058" i="9"/>
  <c r="H16058" i="9" s="1"/>
  <c r="F16059" i="9"/>
  <c r="H16059" i="9" s="1"/>
  <c r="F16060" i="9"/>
  <c r="H16060" i="9" s="1"/>
  <c r="F16061" i="9"/>
  <c r="H16061" i="9" s="1"/>
  <c r="F16062" i="9"/>
  <c r="H16062" i="9" s="1"/>
  <c r="F16063" i="9"/>
  <c r="H16063" i="9" s="1"/>
  <c r="F16064" i="9"/>
  <c r="H16064" i="9" s="1"/>
  <c r="F16065" i="9"/>
  <c r="H16065" i="9" s="1"/>
  <c r="F16066" i="9"/>
  <c r="H16066" i="9" s="1"/>
  <c r="F16067" i="9"/>
  <c r="H16067" i="9" s="1"/>
  <c r="F16068" i="9"/>
  <c r="H16068" i="9" s="1"/>
  <c r="F16069" i="9"/>
  <c r="H16069" i="9" s="1"/>
  <c r="F16070" i="9"/>
  <c r="H16070" i="9" s="1"/>
  <c r="F16071" i="9"/>
  <c r="H16071" i="9" s="1"/>
  <c r="F16072" i="9"/>
  <c r="H16072" i="9" s="1"/>
  <c r="F16073" i="9"/>
  <c r="H16073" i="9" s="1"/>
  <c r="F16074" i="9"/>
  <c r="H16074" i="9" s="1"/>
  <c r="F16075" i="9"/>
  <c r="H16075" i="9" s="1"/>
  <c r="F16076" i="9"/>
  <c r="H16076" i="9" s="1"/>
  <c r="F16077" i="9"/>
  <c r="H16077" i="9" s="1"/>
  <c r="F16078" i="9"/>
  <c r="H16078" i="9" s="1"/>
  <c r="F16079" i="9"/>
  <c r="H16079" i="9" s="1"/>
  <c r="F16080" i="9"/>
  <c r="H16080" i="9" s="1"/>
  <c r="F16081" i="9"/>
  <c r="H16081" i="9" s="1"/>
  <c r="F16082" i="9"/>
  <c r="H16082" i="9" s="1"/>
  <c r="F16083" i="9"/>
  <c r="H16083" i="9" s="1"/>
  <c r="F16084" i="9"/>
  <c r="H16084" i="9" s="1"/>
  <c r="F16085" i="9"/>
  <c r="H16085" i="9" s="1"/>
  <c r="F16086" i="9"/>
  <c r="H16086" i="9" s="1"/>
  <c r="F16087" i="9"/>
  <c r="H16087" i="9" s="1"/>
  <c r="F16088" i="9"/>
  <c r="H16088" i="9" s="1"/>
  <c r="F16089" i="9"/>
  <c r="H16089" i="9" s="1"/>
  <c r="F16090" i="9"/>
  <c r="H16090" i="9" s="1"/>
  <c r="F16091" i="9"/>
  <c r="H16091" i="9" s="1"/>
  <c r="F16092" i="9"/>
  <c r="H16092" i="9" s="1"/>
  <c r="F16093" i="9"/>
  <c r="H16093" i="9"/>
  <c r="F16094" i="9"/>
  <c r="H16094" i="9" s="1"/>
  <c r="F16095" i="9"/>
  <c r="H16095" i="9" s="1"/>
  <c r="F16096" i="9"/>
  <c r="H16096" i="9" s="1"/>
  <c r="F16097" i="9"/>
  <c r="H16097" i="9" s="1"/>
  <c r="F16098" i="9"/>
  <c r="H16098" i="9" s="1"/>
  <c r="F16099" i="9"/>
  <c r="H16099" i="9" s="1"/>
  <c r="F16100" i="9"/>
  <c r="H16100" i="9" s="1"/>
  <c r="F16101" i="9"/>
  <c r="H16101" i="9" s="1"/>
  <c r="F16102" i="9"/>
  <c r="H16102" i="9" s="1"/>
  <c r="F16103" i="9"/>
  <c r="H16103" i="9" s="1"/>
  <c r="F16104" i="9"/>
  <c r="H16104" i="9" s="1"/>
  <c r="F16105" i="9"/>
  <c r="H16105" i="9" s="1"/>
  <c r="F16106" i="9"/>
  <c r="H16106" i="9" s="1"/>
  <c r="F16107" i="9"/>
  <c r="H16107" i="9" s="1"/>
  <c r="F16108" i="9"/>
  <c r="H16108" i="9" s="1"/>
  <c r="F16109" i="9"/>
  <c r="H16109" i="9" s="1"/>
  <c r="F16110" i="9"/>
  <c r="H16110" i="9" s="1"/>
  <c r="F16111" i="9"/>
  <c r="H16111" i="9" s="1"/>
  <c r="F16112" i="9"/>
  <c r="H16112" i="9" s="1"/>
  <c r="F16113" i="9"/>
  <c r="H16113" i="9" s="1"/>
  <c r="F16114" i="9"/>
  <c r="H16114" i="9" s="1"/>
  <c r="F16115" i="9"/>
  <c r="H16115" i="9" s="1"/>
  <c r="F16116" i="9"/>
  <c r="H16116" i="9" s="1"/>
  <c r="F16117" i="9"/>
  <c r="H16117" i="9" s="1"/>
  <c r="F16118" i="9"/>
  <c r="H16118" i="9" s="1"/>
  <c r="F16119" i="9"/>
  <c r="H16119" i="9" s="1"/>
  <c r="F16120" i="9"/>
  <c r="H16120" i="9" s="1"/>
  <c r="F16121" i="9"/>
  <c r="H16121" i="9" s="1"/>
  <c r="F16122" i="9"/>
  <c r="H16122" i="9" s="1"/>
  <c r="F16123" i="9"/>
  <c r="H16123" i="9" s="1"/>
  <c r="F16124" i="9"/>
  <c r="H16124" i="9" s="1"/>
  <c r="F16125" i="9"/>
  <c r="H16125" i="9" s="1"/>
  <c r="F16126" i="9"/>
  <c r="H16126" i="9" s="1"/>
  <c r="F16127" i="9"/>
  <c r="H16127" i="9" s="1"/>
  <c r="F16128" i="9"/>
  <c r="H16128" i="9" s="1"/>
  <c r="F16129" i="9"/>
  <c r="H16129" i="9" s="1"/>
  <c r="F16130" i="9"/>
  <c r="H16130" i="9" s="1"/>
  <c r="F16131" i="9"/>
  <c r="H16131" i="9" s="1"/>
  <c r="F16132" i="9"/>
  <c r="H16132" i="9" s="1"/>
  <c r="F16133" i="9"/>
  <c r="H16133" i="9" s="1"/>
  <c r="F16134" i="9"/>
  <c r="H16134" i="9" s="1"/>
  <c r="F16135" i="9"/>
  <c r="H16135" i="9" s="1"/>
  <c r="F16136" i="9"/>
  <c r="H16136" i="9" s="1"/>
  <c r="F16137" i="9"/>
  <c r="H16137" i="9" s="1"/>
  <c r="F16138" i="9"/>
  <c r="H16138" i="9" s="1"/>
  <c r="F16139" i="9"/>
  <c r="H16139" i="9" s="1"/>
  <c r="F16140" i="9"/>
  <c r="H16140" i="9" s="1"/>
  <c r="F16141" i="9"/>
  <c r="H16141" i="9" s="1"/>
  <c r="F16142" i="9"/>
  <c r="H16142" i="9" s="1"/>
  <c r="F16143" i="9"/>
  <c r="H16143" i="9" s="1"/>
  <c r="F16144" i="9"/>
  <c r="H16144" i="9" s="1"/>
  <c r="F16145" i="9"/>
  <c r="H16145" i="9" s="1"/>
  <c r="F16146" i="9"/>
  <c r="H16146" i="9" s="1"/>
  <c r="F16147" i="9"/>
  <c r="H16147" i="9" s="1"/>
  <c r="F16148" i="9"/>
  <c r="H16148" i="9" s="1"/>
  <c r="F16149" i="9"/>
  <c r="H16149" i="9" s="1"/>
  <c r="F16150" i="9"/>
  <c r="H16150" i="9" s="1"/>
  <c r="F16151" i="9"/>
  <c r="H16151" i="9" s="1"/>
  <c r="F16152" i="9"/>
  <c r="H16152" i="9" s="1"/>
  <c r="F16153" i="9"/>
  <c r="H16153" i="9" s="1"/>
  <c r="F16154" i="9"/>
  <c r="H16154" i="9" s="1"/>
  <c r="F16155" i="9"/>
  <c r="H16155" i="9" s="1"/>
  <c r="F16156" i="9"/>
  <c r="H16156" i="9" s="1"/>
  <c r="F16157" i="9"/>
  <c r="H16157" i="9" s="1"/>
  <c r="F16158" i="9"/>
  <c r="H16158" i="9" s="1"/>
  <c r="F16159" i="9"/>
  <c r="H16159" i="9" s="1"/>
  <c r="F16160" i="9"/>
  <c r="H16160" i="9"/>
  <c r="F16161" i="9"/>
  <c r="H16161" i="9" s="1"/>
  <c r="F16162" i="9"/>
  <c r="H16162" i="9" s="1"/>
  <c r="F16163" i="9"/>
  <c r="H16163" i="9" s="1"/>
  <c r="F16164" i="9"/>
  <c r="H16164" i="9" s="1"/>
  <c r="F16165" i="9"/>
  <c r="H16165" i="9" s="1"/>
  <c r="F16166" i="9"/>
  <c r="H16166" i="9" s="1"/>
  <c r="F16167" i="9"/>
  <c r="H16167" i="9"/>
  <c r="F16168" i="9"/>
  <c r="H16168" i="9" s="1"/>
  <c r="F16169" i="9"/>
  <c r="H16169" i="9" s="1"/>
  <c r="F16170" i="9"/>
  <c r="H16170" i="9" s="1"/>
  <c r="F16171" i="9"/>
  <c r="H16171" i="9" s="1"/>
  <c r="F16172" i="9"/>
  <c r="H16172" i="9" s="1"/>
  <c r="F16173" i="9"/>
  <c r="H16173" i="9" s="1"/>
  <c r="F16174" i="9"/>
  <c r="H16174" i="9" s="1"/>
  <c r="F16175" i="9"/>
  <c r="H16175" i="9" s="1"/>
  <c r="F16176" i="9"/>
  <c r="H16176" i="9" s="1"/>
  <c r="F16177" i="9"/>
  <c r="H16177" i="9"/>
  <c r="F16178" i="9"/>
  <c r="H16178" i="9" s="1"/>
  <c r="F16179" i="9"/>
  <c r="H16179" i="9" s="1"/>
  <c r="F16180" i="9"/>
  <c r="H16180" i="9" s="1"/>
  <c r="F16181" i="9"/>
  <c r="H16181" i="9" s="1"/>
  <c r="F16182" i="9"/>
  <c r="H16182" i="9" s="1"/>
  <c r="F16183" i="9"/>
  <c r="H16183" i="9" s="1"/>
  <c r="F16184" i="9"/>
  <c r="H16184" i="9" s="1"/>
  <c r="F16185" i="9"/>
  <c r="H16185" i="9" s="1"/>
  <c r="F16186" i="9"/>
  <c r="H16186" i="9" s="1"/>
  <c r="F16187" i="9"/>
  <c r="H16187" i="9" s="1"/>
  <c r="F16188" i="9"/>
  <c r="H16188" i="9" s="1"/>
  <c r="F16189" i="9"/>
  <c r="H16189" i="9" s="1"/>
  <c r="F16190" i="9"/>
  <c r="H16190" i="9" s="1"/>
  <c r="F16191" i="9"/>
  <c r="H16191" i="9"/>
  <c r="F16192" i="9"/>
  <c r="H16192" i="9" s="1"/>
  <c r="F16193" i="9"/>
  <c r="H16193" i="9" s="1"/>
  <c r="F16194" i="9"/>
  <c r="H16194" i="9" s="1"/>
  <c r="F16195" i="9"/>
  <c r="H16195" i="9" s="1"/>
  <c r="F16196" i="9"/>
  <c r="H16196" i="9" s="1"/>
  <c r="F16197" i="9"/>
  <c r="H16197" i="9" s="1"/>
  <c r="F16198" i="9"/>
  <c r="H16198" i="9" s="1"/>
  <c r="F16199" i="9"/>
  <c r="H16199" i="9" s="1"/>
  <c r="F16200" i="9"/>
  <c r="H16200" i="9" s="1"/>
  <c r="F16201" i="9"/>
  <c r="H16201" i="9" s="1"/>
  <c r="F16202" i="9"/>
  <c r="H16202" i="9" s="1"/>
  <c r="F16203" i="9"/>
  <c r="H16203" i="9" s="1"/>
  <c r="F16204" i="9"/>
  <c r="H16204" i="9" s="1"/>
  <c r="F16205" i="9"/>
  <c r="H16205" i="9" s="1"/>
  <c r="F16206" i="9"/>
  <c r="H16206" i="9" s="1"/>
  <c r="F16207" i="9"/>
  <c r="H16207" i="9" s="1"/>
  <c r="F16208" i="9"/>
  <c r="H16208" i="9" s="1"/>
  <c r="F16209" i="9"/>
  <c r="H16209" i="9" s="1"/>
  <c r="F16210" i="9"/>
  <c r="H16210" i="9" s="1"/>
  <c r="F16211" i="9"/>
  <c r="H16211" i="9" s="1"/>
  <c r="F16212" i="9"/>
  <c r="H16212" i="9" s="1"/>
  <c r="F16213" i="9"/>
  <c r="H16213" i="9" s="1"/>
  <c r="F16214" i="9"/>
  <c r="H16214" i="9"/>
  <c r="F16215" i="9"/>
  <c r="H16215" i="9" s="1"/>
  <c r="F16216" i="9"/>
  <c r="H16216" i="9" s="1"/>
  <c r="F16217" i="9"/>
  <c r="H16217" i="9" s="1"/>
  <c r="F16218" i="9"/>
  <c r="H16218" i="9" s="1"/>
  <c r="F16219" i="9"/>
  <c r="H16219" i="9" s="1"/>
  <c r="F16220" i="9"/>
  <c r="H16220" i="9"/>
  <c r="F16221" i="9"/>
  <c r="H16221" i="9"/>
  <c r="F16222" i="9"/>
  <c r="H16222" i="9"/>
  <c r="F16223" i="9"/>
  <c r="H16223" i="9" s="1"/>
  <c r="F16224" i="9"/>
  <c r="H16224" i="9" s="1"/>
  <c r="F16225" i="9"/>
  <c r="H16225" i="9" s="1"/>
  <c r="F16226" i="9"/>
  <c r="H16226" i="9" s="1"/>
  <c r="F16227" i="9"/>
  <c r="H16227" i="9" s="1"/>
  <c r="F16228" i="9"/>
  <c r="H16228" i="9" s="1"/>
  <c r="F16229" i="9"/>
  <c r="H16229" i="9" s="1"/>
  <c r="F16230" i="9"/>
  <c r="H16230" i="9" s="1"/>
  <c r="F16231" i="9"/>
  <c r="H16231" i="9" s="1"/>
  <c r="F16232" i="9"/>
  <c r="H16232" i="9" s="1"/>
  <c r="F16233" i="9"/>
  <c r="H16233" i="9" s="1"/>
  <c r="F16234" i="9"/>
  <c r="H16234" i="9" s="1"/>
  <c r="F16235" i="9"/>
  <c r="H16235" i="9" s="1"/>
  <c r="F16236" i="9"/>
  <c r="H16236" i="9" s="1"/>
  <c r="F16237" i="9"/>
  <c r="H16237" i="9" s="1"/>
  <c r="F16238" i="9"/>
  <c r="H16238" i="9" s="1"/>
  <c r="F16239" i="9"/>
  <c r="H16239" i="9" s="1"/>
  <c r="F16240" i="9"/>
  <c r="H16240" i="9" s="1"/>
  <c r="F16241" i="9"/>
  <c r="H16241" i="9" s="1"/>
  <c r="F16242" i="9"/>
  <c r="H16242" i="9" s="1"/>
  <c r="F16243" i="9"/>
  <c r="H16243" i="9"/>
  <c r="F16244" i="9"/>
  <c r="H16244" i="9" s="1"/>
  <c r="F16245" i="9"/>
  <c r="H16245" i="9" s="1"/>
  <c r="F16246" i="9"/>
  <c r="H16246" i="9" s="1"/>
  <c r="F16247" i="9"/>
  <c r="H16247" i="9" s="1"/>
  <c r="F16248" i="9"/>
  <c r="H16248" i="9" s="1"/>
  <c r="F16249" i="9"/>
  <c r="H16249" i="9" s="1"/>
  <c r="F16250" i="9"/>
  <c r="H16250" i="9" s="1"/>
  <c r="F16251" i="9"/>
  <c r="H16251" i="9" s="1"/>
  <c r="F16252" i="9"/>
  <c r="H16252" i="9" s="1"/>
  <c r="F16253" i="9"/>
  <c r="H16253" i="9" s="1"/>
  <c r="F16254" i="9"/>
  <c r="H16254" i="9" s="1"/>
  <c r="F16255" i="9"/>
  <c r="H16255" i="9" s="1"/>
  <c r="F16256" i="9"/>
  <c r="H16256" i="9" s="1"/>
  <c r="F16257" i="9"/>
  <c r="H16257" i="9" s="1"/>
  <c r="F16258" i="9"/>
  <c r="H16258" i="9"/>
  <c r="F16259" i="9"/>
  <c r="H16259" i="9" s="1"/>
  <c r="F16260" i="9"/>
  <c r="H16260" i="9" s="1"/>
  <c r="F16261" i="9"/>
  <c r="H16261" i="9" s="1"/>
  <c r="F16262" i="9"/>
  <c r="H16262" i="9" s="1"/>
  <c r="F16263" i="9"/>
  <c r="H16263" i="9" s="1"/>
  <c r="F16264" i="9"/>
  <c r="H16264" i="9" s="1"/>
  <c r="F16265" i="9"/>
  <c r="H16265" i="9" s="1"/>
  <c r="F16266" i="9"/>
  <c r="H16266" i="9" s="1"/>
  <c r="F16267" i="9"/>
  <c r="H16267" i="9" s="1"/>
  <c r="F16268" i="9"/>
  <c r="H16268" i="9" s="1"/>
  <c r="F16269" i="9"/>
  <c r="H16269" i="9" s="1"/>
  <c r="F16270" i="9"/>
  <c r="H16270" i="9" s="1"/>
  <c r="F16271" i="9"/>
  <c r="H16271" i="9" s="1"/>
  <c r="F16272" i="9"/>
  <c r="H16272" i="9" s="1"/>
  <c r="F16273" i="9"/>
  <c r="H16273" i="9" s="1"/>
  <c r="F16274" i="9"/>
  <c r="H16274" i="9" s="1"/>
  <c r="F16275" i="9"/>
  <c r="H16275" i="9" s="1"/>
  <c r="F16276" i="9"/>
  <c r="H16276" i="9" s="1"/>
  <c r="F16277" i="9"/>
  <c r="H16277" i="9" s="1"/>
  <c r="F16278" i="9"/>
  <c r="H16278" i="9" s="1"/>
  <c r="F16279" i="9"/>
  <c r="H16279" i="9" s="1"/>
  <c r="F16280" i="9"/>
  <c r="H16280" i="9" s="1"/>
  <c r="F16281" i="9"/>
  <c r="H16281" i="9" s="1"/>
  <c r="F16282" i="9"/>
  <c r="H16282" i="9" s="1"/>
  <c r="F16283" i="9"/>
  <c r="H16283" i="9" s="1"/>
  <c r="F16284" i="9"/>
  <c r="H16284" i="9" s="1"/>
  <c r="F16285" i="9"/>
  <c r="H16285" i="9" s="1"/>
  <c r="F16286" i="9"/>
  <c r="H16286" i="9" s="1"/>
  <c r="F16287" i="9"/>
  <c r="H16287" i="9" s="1"/>
  <c r="F16288" i="9"/>
  <c r="H16288" i="9" s="1"/>
  <c r="F16289" i="9"/>
  <c r="H16289" i="9" s="1"/>
  <c r="F16290" i="9"/>
  <c r="H16290" i="9" s="1"/>
  <c r="F16291" i="9"/>
  <c r="H16291" i="9" s="1"/>
  <c r="F16292" i="9"/>
  <c r="H16292" i="9" s="1"/>
  <c r="F16293" i="9"/>
  <c r="H16293" i="9" s="1"/>
  <c r="F16294" i="9"/>
  <c r="H16294" i="9" s="1"/>
  <c r="F16295" i="9"/>
  <c r="H16295" i="9" s="1"/>
  <c r="F16296" i="9"/>
  <c r="H16296" i="9" s="1"/>
  <c r="F16297" i="9"/>
  <c r="H16297" i="9" s="1"/>
  <c r="F16298" i="9"/>
  <c r="H16298" i="9" s="1"/>
  <c r="F16299" i="9"/>
  <c r="H16299" i="9" s="1"/>
  <c r="F16300" i="9"/>
  <c r="H16300" i="9" s="1"/>
  <c r="F16301" i="9"/>
  <c r="H16301" i="9" s="1"/>
  <c r="F16302" i="9"/>
  <c r="H16302" i="9" s="1"/>
  <c r="F16303" i="9"/>
  <c r="H16303" i="9" s="1"/>
  <c r="F16304" i="9"/>
  <c r="H16304" i="9" s="1"/>
  <c r="F16305" i="9"/>
  <c r="H16305" i="9" s="1"/>
  <c r="F16306" i="9"/>
  <c r="H16306" i="9" s="1"/>
  <c r="F16307" i="9"/>
  <c r="H16307" i="9" s="1"/>
  <c r="F16308" i="9"/>
  <c r="H16308" i="9" s="1"/>
  <c r="F16309" i="9"/>
  <c r="H16309" i="9"/>
  <c r="F16310" i="9"/>
  <c r="H16310" i="9" s="1"/>
  <c r="F16311" i="9"/>
  <c r="H16311" i="9" s="1"/>
  <c r="F16312" i="9"/>
  <c r="H16312" i="9" s="1"/>
  <c r="F16313" i="9"/>
  <c r="H16313" i="9" s="1"/>
  <c r="F16314" i="9"/>
  <c r="H16314" i="9" s="1"/>
  <c r="F16315" i="9"/>
  <c r="H16315" i="9" s="1"/>
  <c r="F16316" i="9"/>
  <c r="H16316" i="9" s="1"/>
  <c r="F16317" i="9"/>
  <c r="H16317" i="9" s="1"/>
  <c r="F16318" i="9"/>
  <c r="H16318" i="9" s="1"/>
  <c r="F16319" i="9"/>
  <c r="H16319" i="9" s="1"/>
  <c r="F16320" i="9"/>
  <c r="H16320" i="9" s="1"/>
  <c r="F16321" i="9"/>
  <c r="H16321" i="9"/>
  <c r="F16322" i="9"/>
  <c r="H16322" i="9" s="1"/>
  <c r="F16323" i="9"/>
  <c r="H16323" i="9" s="1"/>
  <c r="F16324" i="9"/>
  <c r="H16324" i="9" s="1"/>
  <c r="F16325" i="9"/>
  <c r="H16325" i="9" s="1"/>
  <c r="F16326" i="9"/>
  <c r="H16326" i="9" s="1"/>
  <c r="F16327" i="9"/>
  <c r="H16327" i="9" s="1"/>
  <c r="F16328" i="9"/>
  <c r="H16328" i="9" s="1"/>
  <c r="F16329" i="9"/>
  <c r="H16329" i="9" s="1"/>
  <c r="F16330" i="9"/>
  <c r="H16330" i="9" s="1"/>
  <c r="F16331" i="9"/>
  <c r="H16331" i="9" s="1"/>
  <c r="F16332" i="9"/>
  <c r="H16332" i="9" s="1"/>
  <c r="F16333" i="9"/>
  <c r="H16333" i="9" s="1"/>
  <c r="F16334" i="9"/>
  <c r="H16334" i="9" s="1"/>
  <c r="F16335" i="9"/>
  <c r="H16335" i="9" s="1"/>
  <c r="F16336" i="9"/>
  <c r="H16336" i="9"/>
  <c r="F16337" i="9"/>
  <c r="H16337" i="9" s="1"/>
  <c r="F16338" i="9"/>
  <c r="H16338" i="9" s="1"/>
  <c r="F16339" i="9"/>
  <c r="H16339" i="9" s="1"/>
  <c r="F16340" i="9"/>
  <c r="H16340" i="9" s="1"/>
  <c r="F16341" i="9"/>
  <c r="H16341" i="9" s="1"/>
  <c r="F16342" i="9"/>
  <c r="H16342" i="9" s="1"/>
  <c r="F16343" i="9"/>
  <c r="H16343" i="9" s="1"/>
  <c r="F16344" i="9"/>
  <c r="H16344" i="9" s="1"/>
  <c r="F16345" i="9"/>
  <c r="H16345" i="9" s="1"/>
  <c r="F16346" i="9"/>
  <c r="H16346" i="9" s="1"/>
  <c r="F16347" i="9"/>
  <c r="H16347" i="9" s="1"/>
  <c r="F16348" i="9"/>
  <c r="H16348" i="9" s="1"/>
  <c r="F16349" i="9"/>
  <c r="H16349" i="9" s="1"/>
  <c r="F16350" i="9"/>
  <c r="H16350" i="9" s="1"/>
  <c r="F16351" i="9"/>
  <c r="H16351" i="9" s="1"/>
  <c r="F16352" i="9"/>
  <c r="H16352" i="9" s="1"/>
  <c r="F16353" i="9"/>
  <c r="H16353" i="9" s="1"/>
  <c r="F16354" i="9"/>
  <c r="H16354" i="9" s="1"/>
  <c r="F16355" i="9"/>
  <c r="H16355" i="9" s="1"/>
  <c r="F16356" i="9"/>
  <c r="H16356" i="9" s="1"/>
  <c r="F16357" i="9"/>
  <c r="H16357" i="9" s="1"/>
  <c r="F16358" i="9"/>
  <c r="H16358" i="9" s="1"/>
  <c r="F16359" i="9"/>
  <c r="H16359" i="9" s="1"/>
  <c r="F16360" i="9"/>
  <c r="H16360" i="9" s="1"/>
  <c r="F16361" i="9"/>
  <c r="H16361" i="9" s="1"/>
  <c r="F16362" i="9"/>
  <c r="H16362" i="9" s="1"/>
  <c r="F16363" i="9"/>
  <c r="H16363" i="9" s="1"/>
  <c r="F16364" i="9"/>
  <c r="H16364" i="9" s="1"/>
  <c r="F16365" i="9"/>
  <c r="H16365" i="9" s="1"/>
  <c r="F16366" i="9"/>
  <c r="H16366" i="9" s="1"/>
  <c r="F16367" i="9"/>
  <c r="H16367" i="9" s="1"/>
  <c r="F16368" i="9"/>
  <c r="H16368" i="9" s="1"/>
  <c r="F16369" i="9"/>
  <c r="H16369" i="9" s="1"/>
  <c r="F16370" i="9"/>
  <c r="H16370" i="9" s="1"/>
  <c r="F16371" i="9"/>
  <c r="H16371" i="9" s="1"/>
  <c r="F16372" i="9"/>
  <c r="H16372" i="9" s="1"/>
  <c r="F16373" i="9"/>
  <c r="H16373" i="9" s="1"/>
  <c r="F16374" i="9"/>
  <c r="H16374" i="9" s="1"/>
  <c r="F16375" i="9"/>
  <c r="H16375" i="9" s="1"/>
  <c r="F16376" i="9"/>
  <c r="H16376" i="9" s="1"/>
  <c r="F16377" i="9"/>
  <c r="H16377" i="9" s="1"/>
  <c r="F16378" i="9"/>
  <c r="H16378" i="9" s="1"/>
  <c r="F16379" i="9"/>
  <c r="H16379" i="9" s="1"/>
  <c r="F16380" i="9"/>
  <c r="H16380" i="9" s="1"/>
  <c r="F16381" i="9"/>
  <c r="H16381" i="9" s="1"/>
  <c r="F16382" i="9"/>
  <c r="H16382" i="9" s="1"/>
  <c r="F16383" i="9"/>
  <c r="H16383" i="9" s="1"/>
  <c r="F16384" i="9"/>
  <c r="H16384" i="9" s="1"/>
  <c r="F16385" i="9"/>
  <c r="H16385" i="9" s="1"/>
  <c r="F16386" i="9"/>
  <c r="H16386" i="9" s="1"/>
  <c r="F16387" i="9"/>
  <c r="H16387" i="9" s="1"/>
  <c r="F16388" i="9"/>
  <c r="H16388" i="9"/>
  <c r="F16389" i="9"/>
  <c r="H16389" i="9" s="1"/>
  <c r="F16390" i="9"/>
  <c r="H16390" i="9" s="1"/>
  <c r="F16391" i="9"/>
  <c r="H16391" i="9" s="1"/>
  <c r="F16392" i="9"/>
  <c r="H16392" i="9" s="1"/>
  <c r="F16393" i="9"/>
  <c r="H16393" i="9" s="1"/>
  <c r="F16394" i="9"/>
  <c r="H16394" i="9"/>
  <c r="F16395" i="9"/>
  <c r="H16395" i="9"/>
  <c r="F16396" i="9"/>
  <c r="H16396" i="9" s="1"/>
  <c r="F16397" i="9"/>
  <c r="H16397" i="9" s="1"/>
  <c r="F16398" i="9"/>
  <c r="H16398" i="9" s="1"/>
  <c r="F16399" i="9"/>
  <c r="H16399" i="9" s="1"/>
  <c r="F16400" i="9"/>
  <c r="H16400" i="9" s="1"/>
  <c r="F16401" i="9"/>
  <c r="H16401" i="9" s="1"/>
  <c r="F16402" i="9"/>
  <c r="H16402" i="9" s="1"/>
  <c r="F16403" i="9"/>
  <c r="H16403" i="9" s="1"/>
  <c r="F16404" i="9"/>
  <c r="H16404" i="9" s="1"/>
  <c r="F16405" i="9"/>
  <c r="H16405" i="9" s="1"/>
  <c r="F16406" i="9"/>
  <c r="H16406" i="9" s="1"/>
  <c r="F16407" i="9"/>
  <c r="H16407" i="9" s="1"/>
  <c r="F16408" i="9"/>
  <c r="H16408" i="9" s="1"/>
  <c r="F16409" i="9"/>
  <c r="H16409" i="9" s="1"/>
  <c r="F16410" i="9"/>
  <c r="H16410" i="9" s="1"/>
  <c r="F16411" i="9"/>
  <c r="H16411" i="9" s="1"/>
  <c r="F16412" i="9"/>
  <c r="H16412" i="9" s="1"/>
  <c r="F16413" i="9"/>
  <c r="H16413" i="9" s="1"/>
  <c r="F16414" i="9"/>
  <c r="H16414" i="9" s="1"/>
  <c r="F16415" i="9"/>
  <c r="H16415" i="9" s="1"/>
  <c r="F16416" i="9"/>
  <c r="H16416" i="9" s="1"/>
  <c r="F16417" i="9"/>
  <c r="H16417" i="9" s="1"/>
  <c r="F16418" i="9"/>
  <c r="H16418" i="9" s="1"/>
  <c r="F16419" i="9"/>
  <c r="H16419" i="9" s="1"/>
  <c r="F16420" i="9"/>
  <c r="H16420" i="9" s="1"/>
  <c r="F16421" i="9"/>
  <c r="H16421" i="9" s="1"/>
  <c r="F16422" i="9"/>
  <c r="H16422" i="9" s="1"/>
  <c r="F16423" i="9"/>
  <c r="H16423" i="9" s="1"/>
  <c r="F16424" i="9"/>
  <c r="H16424" i="9" s="1"/>
  <c r="F16425" i="9"/>
  <c r="H16425" i="9" s="1"/>
  <c r="F16426" i="9"/>
  <c r="H16426" i="9" s="1"/>
  <c r="F16427" i="9"/>
  <c r="H16427" i="9" s="1"/>
  <c r="F16428" i="9"/>
  <c r="H16428" i="9" s="1"/>
  <c r="F16429" i="9"/>
  <c r="H16429" i="9" s="1"/>
  <c r="F16430" i="9"/>
  <c r="H16430" i="9" s="1"/>
  <c r="F16431" i="9"/>
  <c r="H16431" i="9" s="1"/>
  <c r="F16432" i="9"/>
  <c r="H16432" i="9" s="1"/>
  <c r="F16433" i="9"/>
  <c r="H16433" i="9" s="1"/>
  <c r="F16434" i="9"/>
  <c r="H16434" i="9" s="1"/>
  <c r="F16435" i="9"/>
  <c r="H16435" i="9" s="1"/>
  <c r="F16436" i="9"/>
  <c r="H16436" i="9"/>
  <c r="F16437" i="9"/>
  <c r="H16437" i="9" s="1"/>
  <c r="F16438" i="9"/>
  <c r="H16438" i="9"/>
  <c r="F16439" i="9"/>
  <c r="H16439" i="9" s="1"/>
  <c r="F16440" i="9"/>
  <c r="H16440" i="9" s="1"/>
  <c r="F16441" i="9"/>
  <c r="H16441" i="9" s="1"/>
  <c r="F16442" i="9"/>
  <c r="H16442" i="9" s="1"/>
  <c r="F16443" i="9"/>
  <c r="H16443" i="9" s="1"/>
  <c r="F16444" i="9"/>
  <c r="H16444" i="9" s="1"/>
  <c r="F16445" i="9"/>
  <c r="H16445" i="9" s="1"/>
  <c r="F16446" i="9"/>
  <c r="H16446" i="9" s="1"/>
  <c r="F16447" i="9"/>
  <c r="H16447" i="9" s="1"/>
  <c r="F16448" i="9"/>
  <c r="H16448" i="9" s="1"/>
  <c r="F16449" i="9"/>
  <c r="H16449" i="9" s="1"/>
  <c r="F16450" i="9"/>
  <c r="H16450" i="9" s="1"/>
  <c r="F16451" i="9"/>
  <c r="H16451" i="9" s="1"/>
  <c r="F16452" i="9"/>
  <c r="H16452" i="9" s="1"/>
  <c r="F16453" i="9"/>
  <c r="H16453" i="9" s="1"/>
  <c r="F16454" i="9"/>
  <c r="H16454" i="9" s="1"/>
  <c r="F16455" i="9"/>
  <c r="H16455" i="9" s="1"/>
  <c r="F16456" i="9"/>
  <c r="H16456" i="9" s="1"/>
  <c r="F16457" i="9"/>
  <c r="H16457" i="9" s="1"/>
  <c r="F16458" i="9"/>
  <c r="H16458" i="9" s="1"/>
  <c r="F16459" i="9"/>
  <c r="H16459" i="9" s="1"/>
  <c r="F16460" i="9"/>
  <c r="H16460" i="9" s="1"/>
  <c r="F16461" i="9"/>
  <c r="H16461" i="9" s="1"/>
  <c r="F16462" i="9"/>
  <c r="H16462" i="9" s="1"/>
  <c r="F16463" i="9"/>
  <c r="H16463" i="9" s="1"/>
  <c r="F16464" i="9"/>
  <c r="H16464" i="9" s="1"/>
  <c r="F16465" i="9"/>
  <c r="H16465" i="9" s="1"/>
  <c r="F16466" i="9"/>
  <c r="H16466" i="9" s="1"/>
  <c r="F16467" i="9"/>
  <c r="H16467" i="9" s="1"/>
  <c r="F16468" i="9"/>
  <c r="H16468" i="9" s="1"/>
  <c r="F16469" i="9"/>
  <c r="H16469" i="9" s="1"/>
  <c r="F16470" i="9"/>
  <c r="H16470" i="9" s="1"/>
  <c r="F16471" i="9"/>
  <c r="H16471" i="9" s="1"/>
  <c r="F16472" i="9"/>
  <c r="H16472" i="9" s="1"/>
  <c r="F16473" i="9"/>
  <c r="H16473" i="9" s="1"/>
  <c r="F16474" i="9"/>
  <c r="H16474" i="9" s="1"/>
  <c r="F16475" i="9"/>
  <c r="H16475" i="9" s="1"/>
  <c r="F16476" i="9"/>
  <c r="H16476" i="9" s="1"/>
  <c r="F16477" i="9"/>
  <c r="H16477" i="9" s="1"/>
  <c r="F16478" i="9"/>
  <c r="H16478" i="9" s="1"/>
  <c r="F16479" i="9"/>
  <c r="H16479" i="9" s="1"/>
  <c r="F16480" i="9"/>
  <c r="H16480" i="9" s="1"/>
  <c r="F16481" i="9"/>
  <c r="H16481" i="9" s="1"/>
  <c r="F16482" i="9"/>
  <c r="H16482" i="9" s="1"/>
  <c r="F16483" i="9"/>
  <c r="H16483" i="9" s="1"/>
  <c r="F16484" i="9"/>
  <c r="H16484" i="9" s="1"/>
  <c r="F16485" i="9"/>
  <c r="H16485" i="9" s="1"/>
  <c r="F16486" i="9"/>
  <c r="H16486" i="9" s="1"/>
  <c r="F16487" i="9"/>
  <c r="H16487" i="9" s="1"/>
  <c r="F16488" i="9"/>
  <c r="H16488" i="9" s="1"/>
  <c r="F16489" i="9"/>
  <c r="H16489" i="9" s="1"/>
  <c r="F16490" i="9"/>
  <c r="H16490" i="9" s="1"/>
  <c r="F16491" i="9"/>
  <c r="H16491" i="9" s="1"/>
  <c r="F16492" i="9"/>
  <c r="H16492" i="9" s="1"/>
  <c r="F16493" i="9"/>
  <c r="H16493" i="9" s="1"/>
  <c r="F16494" i="9"/>
  <c r="H16494" i="9" s="1"/>
  <c r="F16495" i="9"/>
  <c r="H16495" i="9" s="1"/>
  <c r="F16496" i="9"/>
  <c r="H16496" i="9" s="1"/>
  <c r="F16497" i="9"/>
  <c r="H16497" i="9" s="1"/>
  <c r="F16498" i="9"/>
  <c r="H16498" i="9" s="1"/>
  <c r="F16499" i="9"/>
  <c r="H16499" i="9" s="1"/>
  <c r="F16500" i="9"/>
  <c r="H16500" i="9" s="1"/>
  <c r="F16501" i="9"/>
  <c r="H16501" i="9" s="1"/>
  <c r="F16502" i="9"/>
  <c r="H16502" i="9" s="1"/>
  <c r="F16503" i="9"/>
  <c r="H16503" i="9" s="1"/>
  <c r="F16504" i="9"/>
  <c r="H16504" i="9" s="1"/>
  <c r="F16505" i="9"/>
  <c r="H16505" i="9" s="1"/>
  <c r="F16506" i="9"/>
  <c r="H16506" i="9" s="1"/>
  <c r="F16507" i="9"/>
  <c r="H16507" i="9" s="1"/>
  <c r="F16508" i="9"/>
  <c r="H16508" i="9" s="1"/>
  <c r="F16509" i="9"/>
  <c r="H16509" i="9" s="1"/>
  <c r="F16510" i="9"/>
  <c r="H16510" i="9" s="1"/>
  <c r="F16511" i="9"/>
  <c r="H16511" i="9" s="1"/>
  <c r="F16512" i="9"/>
  <c r="H16512" i="9" s="1"/>
  <c r="F16513" i="9"/>
  <c r="H16513" i="9" s="1"/>
  <c r="F16514" i="9"/>
  <c r="H16514" i="9" s="1"/>
  <c r="F16515" i="9"/>
  <c r="H16515" i="9" s="1"/>
  <c r="F16516" i="9"/>
  <c r="H16516" i="9" s="1"/>
  <c r="F16517" i="9"/>
  <c r="H16517" i="9" s="1"/>
  <c r="F16518" i="9"/>
  <c r="H16518" i="9" s="1"/>
  <c r="F16519" i="9"/>
  <c r="H16519" i="9" s="1"/>
  <c r="F16520" i="9"/>
  <c r="H16520" i="9" s="1"/>
  <c r="F16521" i="9"/>
  <c r="H16521" i="9" s="1"/>
  <c r="F16522" i="9"/>
  <c r="H16522" i="9" s="1"/>
  <c r="F16523" i="9"/>
  <c r="H16523" i="9" s="1"/>
  <c r="F16524" i="9"/>
  <c r="H16524" i="9" s="1"/>
  <c r="F16525" i="9"/>
  <c r="H16525" i="9" s="1"/>
  <c r="F16526" i="9"/>
  <c r="H16526" i="9" s="1"/>
  <c r="F16527" i="9"/>
  <c r="H16527" i="9" s="1"/>
  <c r="F16528" i="9"/>
  <c r="H16528" i="9" s="1"/>
  <c r="F16529" i="9"/>
  <c r="H16529" i="9" s="1"/>
  <c r="F16530" i="9"/>
  <c r="H16530" i="9" s="1"/>
  <c r="F16531" i="9"/>
  <c r="H16531" i="9" s="1"/>
  <c r="F16532" i="9"/>
  <c r="H16532" i="9" s="1"/>
  <c r="F16533" i="9"/>
  <c r="H16533" i="9" s="1"/>
  <c r="F16534" i="9"/>
  <c r="H16534" i="9" s="1"/>
  <c r="F16535" i="9"/>
  <c r="H16535" i="9" s="1"/>
  <c r="F16536" i="9"/>
  <c r="H16536" i="9" s="1"/>
  <c r="F16537" i="9"/>
  <c r="H16537" i="9" s="1"/>
  <c r="F16538" i="9"/>
  <c r="H16538" i="9" s="1"/>
  <c r="F16539" i="9"/>
  <c r="H16539" i="9" s="1"/>
  <c r="F16540" i="9"/>
  <c r="H16540" i="9" s="1"/>
  <c r="F16541" i="9"/>
  <c r="H16541" i="9" s="1"/>
  <c r="F16542" i="9"/>
  <c r="H16542" i="9" s="1"/>
  <c r="F16543" i="9"/>
  <c r="H16543" i="9" s="1"/>
  <c r="F16544" i="9"/>
  <c r="H16544" i="9" s="1"/>
  <c r="F16545" i="9"/>
  <c r="H16545" i="9" s="1"/>
  <c r="F16546" i="9"/>
  <c r="H16546" i="9" s="1"/>
  <c r="F16547" i="9"/>
  <c r="H16547" i="9" s="1"/>
  <c r="F16548" i="9"/>
  <c r="H16548" i="9" s="1"/>
  <c r="F16549" i="9"/>
  <c r="H16549" i="9" s="1"/>
  <c r="F16550" i="9"/>
  <c r="H16550" i="9" s="1"/>
  <c r="F16551" i="9"/>
  <c r="H16551" i="9" s="1"/>
  <c r="F16552" i="9"/>
  <c r="H16552" i="9" s="1"/>
  <c r="F16553" i="9"/>
  <c r="H16553" i="9" s="1"/>
  <c r="F16554" i="9"/>
  <c r="H16554" i="9" s="1"/>
  <c r="F16555" i="9"/>
  <c r="H16555" i="9" s="1"/>
  <c r="F16556" i="9"/>
  <c r="H16556" i="9" s="1"/>
  <c r="F16557" i="9"/>
  <c r="H16557" i="9" s="1"/>
  <c r="F16558" i="9"/>
  <c r="H16558" i="9" s="1"/>
  <c r="F16559" i="9"/>
  <c r="H16559" i="9" s="1"/>
  <c r="F16560" i="9"/>
  <c r="H16560" i="9" s="1"/>
  <c r="F16561" i="9"/>
  <c r="H16561" i="9" s="1"/>
  <c r="F16562" i="9"/>
  <c r="H16562" i="9" s="1"/>
  <c r="F16563" i="9"/>
  <c r="H16563" i="9" s="1"/>
  <c r="F16564" i="9"/>
  <c r="H16564" i="9" s="1"/>
  <c r="F16565" i="9"/>
  <c r="H16565" i="9" s="1"/>
  <c r="F16566" i="9"/>
  <c r="H16566" i="9" s="1"/>
  <c r="F16567" i="9"/>
  <c r="H16567" i="9" s="1"/>
  <c r="F16568" i="9"/>
  <c r="H16568" i="9" s="1"/>
  <c r="F16569" i="9"/>
  <c r="H16569" i="9" s="1"/>
  <c r="F16570" i="9"/>
  <c r="H16570" i="9" s="1"/>
  <c r="F16571" i="9"/>
  <c r="H16571" i="9" s="1"/>
  <c r="F16572" i="9"/>
  <c r="H16572" i="9" s="1"/>
  <c r="F16573" i="9"/>
  <c r="H16573" i="9" s="1"/>
  <c r="F16574" i="9"/>
  <c r="H16574" i="9" s="1"/>
  <c r="F16575" i="9"/>
  <c r="H16575" i="9" s="1"/>
  <c r="F16576" i="9"/>
  <c r="H16576" i="9" s="1"/>
  <c r="F16577" i="9"/>
  <c r="H16577" i="9" s="1"/>
  <c r="F16578" i="9"/>
  <c r="H16578" i="9" s="1"/>
  <c r="F16579" i="9"/>
  <c r="H16579" i="9" s="1"/>
  <c r="F16580" i="9"/>
  <c r="H16580" i="9" s="1"/>
  <c r="F16581" i="9"/>
  <c r="H16581" i="9" s="1"/>
  <c r="F16582" i="9"/>
  <c r="H16582" i="9" s="1"/>
  <c r="F16583" i="9"/>
  <c r="H16583" i="9" s="1"/>
  <c r="F16584" i="9"/>
  <c r="H16584" i="9" s="1"/>
  <c r="F16585" i="9"/>
  <c r="H16585" i="9" s="1"/>
  <c r="F16586" i="9"/>
  <c r="H16586" i="9" s="1"/>
  <c r="F16587" i="9"/>
  <c r="H16587" i="9" s="1"/>
  <c r="F16588" i="9"/>
  <c r="H16588" i="9" s="1"/>
  <c r="F16589" i="9"/>
  <c r="H16589" i="9" s="1"/>
  <c r="F16590" i="9"/>
  <c r="H16590" i="9" s="1"/>
  <c r="F16591" i="9"/>
  <c r="H16591" i="9" s="1"/>
  <c r="F16592" i="9"/>
  <c r="H16592" i="9" s="1"/>
  <c r="F16593" i="9"/>
  <c r="H16593" i="9" s="1"/>
  <c r="F16594" i="9"/>
  <c r="H16594" i="9" s="1"/>
  <c r="F16595" i="9"/>
  <c r="H16595" i="9" s="1"/>
  <c r="F16596" i="9"/>
  <c r="H16596" i="9" s="1"/>
  <c r="F16597" i="9"/>
  <c r="H16597" i="9" s="1"/>
  <c r="F16598" i="9"/>
  <c r="H16598" i="9" s="1"/>
  <c r="F16599" i="9"/>
  <c r="H16599" i="9" s="1"/>
  <c r="F16600" i="9"/>
  <c r="H16600" i="9" s="1"/>
  <c r="F16601" i="9"/>
  <c r="H16601" i="9" s="1"/>
  <c r="F16602" i="9"/>
  <c r="H16602" i="9" s="1"/>
  <c r="F16603" i="9"/>
  <c r="H16603" i="9" s="1"/>
  <c r="F16604" i="9"/>
  <c r="H16604" i="9" s="1"/>
  <c r="F16605" i="9"/>
  <c r="H16605" i="9" s="1"/>
  <c r="F16606" i="9"/>
  <c r="H16606" i="9" s="1"/>
  <c r="F16607" i="9"/>
  <c r="H16607" i="9" s="1"/>
  <c r="F16608" i="9"/>
  <c r="H16608" i="9" s="1"/>
  <c r="F16609" i="9"/>
  <c r="H16609" i="9" s="1"/>
  <c r="F16610" i="9"/>
  <c r="H16610" i="9" s="1"/>
  <c r="F16611" i="9"/>
  <c r="H16611" i="9" s="1"/>
  <c r="F16612" i="9"/>
  <c r="H16612" i="9" s="1"/>
  <c r="F16613" i="9"/>
  <c r="H16613" i="9" s="1"/>
  <c r="F16614" i="9"/>
  <c r="H16614" i="9" s="1"/>
  <c r="F16615" i="9"/>
  <c r="H16615" i="9" s="1"/>
  <c r="F16616" i="9"/>
  <c r="H16616" i="9" s="1"/>
  <c r="F16617" i="9"/>
  <c r="H16617" i="9" s="1"/>
  <c r="F16618" i="9"/>
  <c r="H16618" i="9" s="1"/>
  <c r="F16619" i="9"/>
  <c r="H16619" i="9" s="1"/>
  <c r="F16620" i="9"/>
  <c r="H16620" i="9" s="1"/>
  <c r="F16621" i="9"/>
  <c r="H16621" i="9" s="1"/>
  <c r="F16622" i="9"/>
  <c r="H16622" i="9" s="1"/>
  <c r="F16623" i="9"/>
  <c r="H16623" i="9" s="1"/>
  <c r="F16624" i="9"/>
  <c r="H16624" i="9" s="1"/>
  <c r="F16625" i="9"/>
  <c r="H16625" i="9" s="1"/>
  <c r="F16626" i="9"/>
  <c r="H16626" i="9" s="1"/>
  <c r="F16627" i="9"/>
  <c r="H16627" i="9" s="1"/>
  <c r="F16628" i="9"/>
  <c r="H16628" i="9" s="1"/>
  <c r="F16629" i="9"/>
  <c r="H16629" i="9" s="1"/>
  <c r="F16630" i="9"/>
  <c r="H16630" i="9" s="1"/>
  <c r="F16631" i="9"/>
  <c r="H16631" i="9" s="1"/>
  <c r="F16632" i="9"/>
  <c r="H16632" i="9" s="1"/>
  <c r="F16633" i="9"/>
  <c r="H16633" i="9"/>
  <c r="F16634" i="9"/>
  <c r="H16634" i="9" s="1"/>
  <c r="F16635" i="9"/>
  <c r="H16635" i="9" s="1"/>
  <c r="F16636" i="9"/>
  <c r="H16636" i="9" s="1"/>
  <c r="F16637" i="9"/>
  <c r="H16637" i="9" s="1"/>
  <c r="F16638" i="9"/>
  <c r="H16638" i="9" s="1"/>
  <c r="F16639" i="9"/>
  <c r="H16639" i="9" s="1"/>
  <c r="F16640" i="9"/>
  <c r="H16640" i="9" s="1"/>
  <c r="F16641" i="9"/>
  <c r="H16641" i="9" s="1"/>
  <c r="F16642" i="9"/>
  <c r="H16642" i="9" s="1"/>
  <c r="F16643" i="9"/>
  <c r="H16643" i="9" s="1"/>
  <c r="F16644" i="9"/>
  <c r="H16644" i="9" s="1"/>
  <c r="F16645" i="9"/>
  <c r="H16645" i="9" s="1"/>
  <c r="F16646" i="9"/>
  <c r="H16646" i="9" s="1"/>
  <c r="F16647" i="9"/>
  <c r="H16647" i="9" s="1"/>
  <c r="F16648" i="9"/>
  <c r="H16648" i="9" s="1"/>
  <c r="F16649" i="9"/>
  <c r="H16649" i="9" s="1"/>
  <c r="F16650" i="9"/>
  <c r="H16650" i="9" s="1"/>
  <c r="F16651" i="9"/>
  <c r="H16651" i="9" s="1"/>
  <c r="F16652" i="9"/>
  <c r="H16652" i="9" s="1"/>
  <c r="F16653" i="9"/>
  <c r="H16653" i="9" s="1"/>
  <c r="F16654" i="9"/>
  <c r="H16654" i="9" s="1"/>
  <c r="F16655" i="9"/>
  <c r="H16655" i="9" s="1"/>
  <c r="F16656" i="9"/>
  <c r="H16656" i="9" s="1"/>
  <c r="F16657" i="9"/>
  <c r="H16657" i="9" s="1"/>
  <c r="F16658" i="9"/>
  <c r="H16658" i="9" s="1"/>
  <c r="F16659" i="9"/>
  <c r="H16659" i="9" s="1"/>
  <c r="F16660" i="9"/>
  <c r="H16660" i="9" s="1"/>
  <c r="F16661" i="9"/>
  <c r="H16661" i="9" s="1"/>
  <c r="F16662" i="9"/>
  <c r="H16662" i="9" s="1"/>
  <c r="F16663" i="9"/>
  <c r="H16663" i="9" s="1"/>
  <c r="F16664" i="9"/>
  <c r="H16664" i="9" s="1"/>
  <c r="F16665" i="9"/>
  <c r="H16665" i="9" s="1"/>
  <c r="F16666" i="9"/>
  <c r="H16666" i="9" s="1"/>
  <c r="F16667" i="9"/>
  <c r="H16667" i="9" s="1"/>
  <c r="F16668" i="9"/>
  <c r="H16668" i="9" s="1"/>
  <c r="F16669" i="9"/>
  <c r="H16669" i="9" s="1"/>
  <c r="F16670" i="9"/>
  <c r="H16670" i="9" s="1"/>
  <c r="F16671" i="9"/>
  <c r="H16671" i="9" s="1"/>
  <c r="F16672" i="9"/>
  <c r="H16672" i="9" s="1"/>
  <c r="F16673" i="9"/>
  <c r="H16673" i="9" s="1"/>
  <c r="F16674" i="9"/>
  <c r="H16674" i="9" s="1"/>
  <c r="F16675" i="9"/>
  <c r="H16675" i="9" s="1"/>
  <c r="F16676" i="9"/>
  <c r="H16676" i="9" s="1"/>
  <c r="F16677" i="9"/>
  <c r="H16677" i="9" s="1"/>
  <c r="F16678" i="9"/>
  <c r="H16678" i="9" s="1"/>
  <c r="F16679" i="9"/>
  <c r="H16679" i="9" s="1"/>
  <c r="F16680" i="9"/>
  <c r="H16680" i="9" s="1"/>
  <c r="F16681" i="9"/>
  <c r="H16681" i="9" s="1"/>
  <c r="F16682" i="9"/>
  <c r="H16682" i="9" s="1"/>
  <c r="F16683" i="9"/>
  <c r="H16683" i="9" s="1"/>
  <c r="F16684" i="9"/>
  <c r="H16684" i="9" s="1"/>
  <c r="F16685" i="9"/>
  <c r="H16685" i="9" s="1"/>
  <c r="F16686" i="9"/>
  <c r="H16686" i="9" s="1"/>
  <c r="F16687" i="9"/>
  <c r="H16687" i="9" s="1"/>
  <c r="F16688" i="9"/>
  <c r="H16688" i="9" s="1"/>
  <c r="F16689" i="9"/>
  <c r="H16689" i="9" s="1"/>
  <c r="F16690" i="9"/>
  <c r="H16690" i="9" s="1"/>
  <c r="F16691" i="9"/>
  <c r="H16691" i="9" s="1"/>
  <c r="F16692" i="9"/>
  <c r="H16692" i="9" s="1"/>
  <c r="F16693" i="9"/>
  <c r="H16693" i="9" s="1"/>
  <c r="F16694" i="9"/>
  <c r="H16694" i="9" s="1"/>
  <c r="F16695" i="9"/>
  <c r="H16695" i="9" s="1"/>
  <c r="F16696" i="9"/>
  <c r="H16696" i="9" s="1"/>
  <c r="F16697" i="9"/>
  <c r="H16697" i="9" s="1"/>
  <c r="F16698" i="9"/>
  <c r="H16698" i="9"/>
  <c r="F16699" i="9"/>
  <c r="H16699" i="9" s="1"/>
  <c r="F16700" i="9"/>
  <c r="H16700" i="9" s="1"/>
  <c r="F16701" i="9"/>
  <c r="H16701" i="9" s="1"/>
  <c r="F16702" i="9"/>
  <c r="H16702" i="9" s="1"/>
  <c r="F16703" i="9"/>
  <c r="H16703" i="9" s="1"/>
  <c r="F16704" i="9"/>
  <c r="H16704" i="9" s="1"/>
  <c r="F16705" i="9"/>
  <c r="H16705" i="9" s="1"/>
  <c r="F16706" i="9"/>
  <c r="H16706" i="9" s="1"/>
  <c r="F16707" i="9"/>
  <c r="H16707" i="9" s="1"/>
  <c r="F16708" i="9"/>
  <c r="H16708" i="9" s="1"/>
  <c r="F16709" i="9"/>
  <c r="H16709" i="9" s="1"/>
  <c r="F16710" i="9"/>
  <c r="H16710" i="9" s="1"/>
  <c r="F16711" i="9"/>
  <c r="H16711" i="9" s="1"/>
  <c r="F16712" i="9"/>
  <c r="H16712" i="9" s="1"/>
  <c r="F16713" i="9"/>
  <c r="H16713" i="9" s="1"/>
  <c r="F16714" i="9"/>
  <c r="H16714" i="9" s="1"/>
  <c r="F16715" i="9"/>
  <c r="H16715" i="9" s="1"/>
  <c r="F16716" i="9"/>
  <c r="H16716" i="9" s="1"/>
  <c r="F16717" i="9"/>
  <c r="H16717" i="9" s="1"/>
  <c r="F16718" i="9"/>
  <c r="H16718" i="9" s="1"/>
  <c r="F16719" i="9"/>
  <c r="H16719" i="9" s="1"/>
  <c r="F16720" i="9"/>
  <c r="H16720" i="9" s="1"/>
  <c r="F16721" i="9"/>
  <c r="H16721" i="9" s="1"/>
  <c r="F16722" i="9"/>
  <c r="H16722" i="9" s="1"/>
  <c r="F16723" i="9"/>
  <c r="H16723" i="9"/>
  <c r="F16724" i="9"/>
  <c r="H16724" i="9" s="1"/>
  <c r="F16725" i="9"/>
  <c r="H16725" i="9" s="1"/>
  <c r="F16726" i="9"/>
  <c r="H16726" i="9" s="1"/>
  <c r="F16727" i="9"/>
  <c r="H16727" i="9" s="1"/>
  <c r="F16728" i="9"/>
  <c r="H16728" i="9" s="1"/>
  <c r="F16729" i="9"/>
  <c r="H16729" i="9" s="1"/>
  <c r="F16730" i="9"/>
  <c r="H16730" i="9" s="1"/>
  <c r="F16731" i="9"/>
  <c r="H16731" i="9" s="1"/>
  <c r="F16732" i="9"/>
  <c r="H16732" i="9" s="1"/>
  <c r="F16733" i="9"/>
  <c r="H16733" i="9"/>
  <c r="F16734" i="9"/>
  <c r="H16734" i="9" s="1"/>
  <c r="F16735" i="9"/>
  <c r="H16735" i="9" s="1"/>
  <c r="F16736" i="9"/>
  <c r="H16736" i="9" s="1"/>
  <c r="F16737" i="9"/>
  <c r="H16737" i="9" s="1"/>
  <c r="F16738" i="9"/>
  <c r="H16738" i="9" s="1"/>
  <c r="F16739" i="9"/>
  <c r="H16739" i="9" s="1"/>
  <c r="F16740" i="9"/>
  <c r="H16740" i="9" s="1"/>
  <c r="F16741" i="9"/>
  <c r="H16741" i="9" s="1"/>
  <c r="F16742" i="9"/>
  <c r="H16742" i="9" s="1"/>
  <c r="F16743" i="9"/>
  <c r="H16743" i="9" s="1"/>
  <c r="F16744" i="9"/>
  <c r="H16744" i="9" s="1"/>
  <c r="F16745" i="9"/>
  <c r="H16745" i="9" s="1"/>
  <c r="F16746" i="9"/>
  <c r="H16746" i="9" s="1"/>
  <c r="F16747" i="9"/>
  <c r="H16747" i="9" s="1"/>
  <c r="F16748" i="9"/>
  <c r="H16748" i="9" s="1"/>
  <c r="F16749" i="9"/>
  <c r="H16749" i="9" s="1"/>
  <c r="F16750" i="9"/>
  <c r="H16750" i="9" s="1"/>
  <c r="F16751" i="9"/>
  <c r="H16751" i="9" s="1"/>
  <c r="F16752" i="9"/>
  <c r="H16752" i="9" s="1"/>
  <c r="F16753" i="9"/>
  <c r="H16753" i="9" s="1"/>
  <c r="F16754" i="9"/>
  <c r="H16754" i="9" s="1"/>
  <c r="F16755" i="9"/>
  <c r="H16755" i="9" s="1"/>
  <c r="F16756" i="9"/>
  <c r="H16756" i="9"/>
  <c r="F16757" i="9"/>
  <c r="H16757" i="9" s="1"/>
  <c r="F16758" i="9"/>
  <c r="H16758" i="9" s="1"/>
  <c r="F16759" i="9"/>
  <c r="H16759" i="9" s="1"/>
  <c r="F16760" i="9"/>
  <c r="H16760" i="9" s="1"/>
  <c r="F16761" i="9"/>
  <c r="H16761" i="9" s="1"/>
  <c r="F16762" i="9"/>
  <c r="H16762" i="9" s="1"/>
  <c r="F16763" i="9"/>
  <c r="H16763" i="9" s="1"/>
  <c r="F16764" i="9"/>
  <c r="H16764" i="9" s="1"/>
  <c r="F16765" i="9"/>
  <c r="H16765" i="9" s="1"/>
  <c r="F16766" i="9"/>
  <c r="H16766" i="9" s="1"/>
  <c r="F16767" i="9"/>
  <c r="H16767" i="9" s="1"/>
  <c r="F16768" i="9"/>
  <c r="H16768" i="9" s="1"/>
  <c r="F16769" i="9"/>
  <c r="H16769" i="9" s="1"/>
  <c r="F16770" i="9"/>
  <c r="H16770" i="9" s="1"/>
  <c r="F16771" i="9"/>
  <c r="H16771" i="9" s="1"/>
  <c r="F16772" i="9"/>
  <c r="H16772" i="9" s="1"/>
  <c r="F16773" i="9"/>
  <c r="H16773" i="9" s="1"/>
  <c r="F16774" i="9"/>
  <c r="H16774" i="9" s="1"/>
  <c r="F16775" i="9"/>
  <c r="H16775" i="9" s="1"/>
  <c r="F16776" i="9"/>
  <c r="H16776" i="9" s="1"/>
  <c r="F16777" i="9"/>
  <c r="H16777" i="9" s="1"/>
  <c r="F16778" i="9"/>
  <c r="H16778" i="9" s="1"/>
  <c r="F16779" i="9"/>
  <c r="H16779" i="9" s="1"/>
  <c r="F16780" i="9"/>
  <c r="H16780" i="9" s="1"/>
  <c r="F16781" i="9"/>
  <c r="H16781" i="9" s="1"/>
  <c r="F16782" i="9"/>
  <c r="H16782" i="9" s="1"/>
  <c r="F16783" i="9"/>
  <c r="H16783" i="9" s="1"/>
  <c r="F16784" i="9"/>
  <c r="H16784" i="9" s="1"/>
  <c r="F16785" i="9"/>
  <c r="H16785" i="9" s="1"/>
  <c r="F16786" i="9"/>
  <c r="H16786" i="9" s="1"/>
  <c r="F16787" i="9"/>
  <c r="H16787" i="9" s="1"/>
  <c r="F16788" i="9"/>
  <c r="H16788" i="9" s="1"/>
  <c r="F16789" i="9"/>
  <c r="H16789" i="9" s="1"/>
  <c r="F16790" i="9"/>
  <c r="H16790" i="9" s="1"/>
  <c r="F16791" i="9"/>
  <c r="H16791" i="9" s="1"/>
  <c r="F16792" i="9"/>
  <c r="H16792" i="9" s="1"/>
  <c r="F16793" i="9"/>
  <c r="H16793" i="9" s="1"/>
  <c r="F16794" i="9"/>
  <c r="H16794" i="9" s="1"/>
  <c r="F16795" i="9"/>
  <c r="H16795" i="9" s="1"/>
  <c r="F16796" i="9"/>
  <c r="H16796" i="9" s="1"/>
  <c r="F16797" i="9"/>
  <c r="H16797" i="9" s="1"/>
  <c r="F16798" i="9"/>
  <c r="H16798" i="9" s="1"/>
  <c r="F16799" i="9"/>
  <c r="H16799" i="9" s="1"/>
  <c r="F16800" i="9"/>
  <c r="H16800" i="9" s="1"/>
  <c r="F16801" i="9"/>
  <c r="H16801" i="9" s="1"/>
  <c r="F16802" i="9"/>
  <c r="H16802" i="9" s="1"/>
  <c r="F16803" i="9"/>
  <c r="H16803" i="9" s="1"/>
  <c r="F16804" i="9"/>
  <c r="H16804" i="9" s="1"/>
  <c r="F16805" i="9"/>
  <c r="H16805" i="9" s="1"/>
  <c r="F16806" i="9"/>
  <c r="H16806" i="9" s="1"/>
  <c r="F16807" i="9"/>
  <c r="H16807" i="9" s="1"/>
  <c r="F16808" i="9"/>
  <c r="H16808" i="9" s="1"/>
  <c r="F16809" i="9"/>
  <c r="H16809" i="9" s="1"/>
  <c r="F16810" i="9"/>
  <c r="H16810" i="9" s="1"/>
  <c r="F16811" i="9"/>
  <c r="H16811" i="9" s="1"/>
  <c r="F16812" i="9"/>
  <c r="H16812" i="9" s="1"/>
  <c r="F16813" i="9"/>
  <c r="H16813" i="9" s="1"/>
  <c r="F16814" i="9"/>
  <c r="H16814" i="9" s="1"/>
  <c r="F16815" i="9"/>
  <c r="H16815" i="9" s="1"/>
  <c r="F16816" i="9"/>
  <c r="H16816" i="9" s="1"/>
  <c r="F16817" i="9"/>
  <c r="H16817" i="9" s="1"/>
  <c r="F16818" i="9"/>
  <c r="H16818" i="9" s="1"/>
  <c r="F16819" i="9"/>
  <c r="H16819" i="9" s="1"/>
  <c r="F16820" i="9"/>
  <c r="H16820" i="9" s="1"/>
  <c r="F16821" i="9"/>
  <c r="H16821" i="9" s="1"/>
  <c r="F16822" i="9"/>
  <c r="H16822" i="9" s="1"/>
  <c r="F16823" i="9"/>
  <c r="H16823" i="9" s="1"/>
  <c r="F16824" i="9"/>
  <c r="H16824" i="9" s="1"/>
  <c r="F16825" i="9"/>
  <c r="H16825" i="9" s="1"/>
  <c r="F16826" i="9"/>
  <c r="H16826" i="9" s="1"/>
  <c r="F16827" i="9"/>
  <c r="H16827" i="9" s="1"/>
  <c r="F16828" i="9"/>
  <c r="H16828" i="9" s="1"/>
  <c r="F16829" i="9"/>
  <c r="H16829" i="9" s="1"/>
  <c r="F16830" i="9"/>
  <c r="H16830" i="9" s="1"/>
  <c r="F16831" i="9"/>
  <c r="H16831" i="9" s="1"/>
  <c r="F16832" i="9"/>
  <c r="H16832" i="9" s="1"/>
  <c r="F16833" i="9"/>
  <c r="H16833" i="9" s="1"/>
  <c r="F16834" i="9"/>
  <c r="H16834" i="9" s="1"/>
  <c r="F16835" i="9"/>
  <c r="H16835" i="9" s="1"/>
  <c r="F16836" i="9"/>
  <c r="H16836" i="9" s="1"/>
  <c r="F16837" i="9"/>
  <c r="H16837" i="9" s="1"/>
  <c r="F16838" i="9"/>
  <c r="H16838" i="9" s="1"/>
  <c r="F16839" i="9"/>
  <c r="H16839" i="9" s="1"/>
  <c r="F16840" i="9"/>
  <c r="H16840" i="9" s="1"/>
  <c r="F16841" i="9"/>
  <c r="H16841" i="9" s="1"/>
  <c r="F16842" i="9"/>
  <c r="H16842" i="9" s="1"/>
  <c r="F16843" i="9"/>
  <c r="H16843" i="9" s="1"/>
  <c r="F16844" i="9"/>
  <c r="H16844" i="9" s="1"/>
  <c r="F16845" i="9"/>
  <c r="H16845" i="9" s="1"/>
  <c r="F16846" i="9"/>
  <c r="H16846" i="9" s="1"/>
  <c r="F16847" i="9"/>
  <c r="H16847" i="9" s="1"/>
  <c r="F16848" i="9"/>
  <c r="H16848" i="9" s="1"/>
  <c r="F16849" i="9"/>
  <c r="H16849" i="9" s="1"/>
  <c r="F16850" i="9"/>
  <c r="H16850" i="9" s="1"/>
  <c r="F16851" i="9"/>
  <c r="H16851" i="9" s="1"/>
  <c r="F16852" i="9"/>
  <c r="H16852" i="9" s="1"/>
  <c r="F16853" i="9"/>
  <c r="H16853" i="9" s="1"/>
  <c r="F16854" i="9"/>
  <c r="H16854" i="9" s="1"/>
  <c r="F16855" i="9"/>
  <c r="H16855" i="9" s="1"/>
  <c r="F16856" i="9"/>
  <c r="H16856" i="9" s="1"/>
  <c r="F16857" i="9"/>
  <c r="H16857" i="9" s="1"/>
  <c r="F16858" i="9"/>
  <c r="H16858" i="9" s="1"/>
  <c r="F16859" i="9"/>
  <c r="H16859" i="9" s="1"/>
  <c r="F16860" i="9"/>
  <c r="H16860" i="9" s="1"/>
  <c r="F16861" i="9"/>
  <c r="H16861" i="9" s="1"/>
  <c r="F16862" i="9"/>
  <c r="H16862" i="9" s="1"/>
  <c r="F16863" i="9"/>
  <c r="H16863" i="9" s="1"/>
  <c r="F16864" i="9"/>
  <c r="H16864" i="9" s="1"/>
  <c r="F16865" i="9"/>
  <c r="H16865" i="9" s="1"/>
  <c r="F16866" i="9"/>
  <c r="H16866" i="9" s="1"/>
  <c r="F16867" i="9"/>
  <c r="H16867" i="9" s="1"/>
  <c r="F16868" i="9"/>
  <c r="H16868" i="9" s="1"/>
  <c r="F16869" i="9"/>
  <c r="H16869" i="9" s="1"/>
  <c r="F16870" i="9"/>
  <c r="H16870" i="9" s="1"/>
  <c r="F16871" i="9"/>
  <c r="H16871" i="9" s="1"/>
  <c r="F16872" i="9"/>
  <c r="H16872" i="9" s="1"/>
  <c r="F16873" i="9"/>
  <c r="H16873" i="9" s="1"/>
  <c r="F16874" i="9"/>
  <c r="H16874" i="9" s="1"/>
  <c r="F16875" i="9"/>
  <c r="H16875" i="9"/>
  <c r="F16876" i="9"/>
  <c r="H16876" i="9" s="1"/>
  <c r="F16877" i="9"/>
  <c r="H16877" i="9" s="1"/>
  <c r="F16878" i="9"/>
  <c r="H16878" i="9" s="1"/>
  <c r="F16879" i="9"/>
  <c r="H16879" i="9" s="1"/>
  <c r="F16880" i="9"/>
  <c r="H16880" i="9" s="1"/>
  <c r="F16881" i="9"/>
  <c r="H16881" i="9" s="1"/>
  <c r="F16882" i="9"/>
  <c r="H16882" i="9" s="1"/>
  <c r="F16883" i="9"/>
  <c r="H16883" i="9" s="1"/>
  <c r="F16884" i="9"/>
  <c r="H16884" i="9" s="1"/>
  <c r="F16885" i="9"/>
  <c r="H16885" i="9" s="1"/>
  <c r="F16886" i="9"/>
  <c r="H16886" i="9" s="1"/>
  <c r="F16887" i="9"/>
  <c r="H16887" i="9" s="1"/>
  <c r="F16888" i="9"/>
  <c r="H16888" i="9" s="1"/>
  <c r="F16889" i="9"/>
  <c r="H16889" i="9" s="1"/>
  <c r="F16890" i="9"/>
  <c r="H16890" i="9" s="1"/>
  <c r="F16891" i="9"/>
  <c r="H16891" i="9" s="1"/>
  <c r="F16892" i="9"/>
  <c r="H16892" i="9" s="1"/>
  <c r="F16893" i="9"/>
  <c r="H16893" i="9" s="1"/>
  <c r="F16894" i="9"/>
  <c r="H16894" i="9" s="1"/>
  <c r="F16895" i="9"/>
  <c r="H16895" i="9" s="1"/>
  <c r="F16896" i="9"/>
  <c r="H16896" i="9" s="1"/>
  <c r="F16897" i="9"/>
  <c r="H16897" i="9"/>
  <c r="F16898" i="9"/>
  <c r="H16898" i="9" s="1"/>
  <c r="F16899" i="9"/>
  <c r="H16899" i="9" s="1"/>
  <c r="F16900" i="9"/>
  <c r="H16900" i="9" s="1"/>
  <c r="F16901" i="9"/>
  <c r="H16901" i="9" s="1"/>
  <c r="F16902" i="9"/>
  <c r="H16902" i="9" s="1"/>
  <c r="F16903" i="9"/>
  <c r="H16903" i="9" s="1"/>
  <c r="F16904" i="9"/>
  <c r="H16904" i="9" s="1"/>
  <c r="F16905" i="9"/>
  <c r="H16905" i="9" s="1"/>
  <c r="F16906" i="9"/>
  <c r="H16906" i="9" s="1"/>
  <c r="F16907" i="9"/>
  <c r="H16907" i="9" s="1"/>
  <c r="F16908" i="9"/>
  <c r="H16908" i="9" s="1"/>
  <c r="F16909" i="9"/>
  <c r="H16909" i="9" s="1"/>
  <c r="F16910" i="9"/>
  <c r="H16910" i="9"/>
  <c r="F16911" i="9"/>
  <c r="H16911" i="9" s="1"/>
  <c r="F16912" i="9"/>
  <c r="H16912" i="9" s="1"/>
  <c r="F16913" i="9"/>
  <c r="H16913" i="9" s="1"/>
  <c r="F16914" i="9"/>
  <c r="H16914" i="9" s="1"/>
  <c r="F16915" i="9"/>
  <c r="H16915" i="9" s="1"/>
  <c r="F16916" i="9"/>
  <c r="H16916" i="9" s="1"/>
  <c r="F16917" i="9"/>
  <c r="H16917" i="9" s="1"/>
  <c r="F16918" i="9"/>
  <c r="H16918" i="9" s="1"/>
  <c r="F16919" i="9"/>
  <c r="H16919" i="9" s="1"/>
  <c r="F16920" i="9"/>
  <c r="H16920" i="9" s="1"/>
  <c r="F16921" i="9"/>
  <c r="H16921" i="9" s="1"/>
  <c r="F16922" i="9"/>
  <c r="H16922" i="9" s="1"/>
  <c r="F16923" i="9"/>
  <c r="H16923" i="9" s="1"/>
  <c r="F16924" i="9"/>
  <c r="H16924" i="9" s="1"/>
  <c r="F16925" i="9"/>
  <c r="H16925" i="9" s="1"/>
  <c r="F16926" i="9"/>
  <c r="H16926" i="9" s="1"/>
  <c r="F16927" i="9"/>
  <c r="H16927" i="9" s="1"/>
  <c r="F16928" i="9"/>
  <c r="H16928" i="9" s="1"/>
  <c r="F16929" i="9"/>
  <c r="H16929" i="9" s="1"/>
  <c r="F16930" i="9"/>
  <c r="H16930" i="9" s="1"/>
  <c r="F16931" i="9"/>
  <c r="H16931" i="9" s="1"/>
  <c r="F16932" i="9"/>
  <c r="H16932" i="9" s="1"/>
  <c r="F16933" i="9"/>
  <c r="H16933" i="9" s="1"/>
  <c r="F16934" i="9"/>
  <c r="H16934" i="9" s="1"/>
  <c r="F16935" i="9"/>
  <c r="H16935" i="9"/>
  <c r="F16936" i="9"/>
  <c r="H16936" i="9"/>
  <c r="F16937" i="9"/>
  <c r="H16937" i="9" s="1"/>
  <c r="F16938" i="9"/>
  <c r="H16938" i="9" s="1"/>
  <c r="F16939" i="9"/>
  <c r="H16939" i="9" s="1"/>
  <c r="F16940" i="9"/>
  <c r="H16940" i="9" s="1"/>
  <c r="F16941" i="9"/>
  <c r="H16941" i="9" s="1"/>
  <c r="F16942" i="9"/>
  <c r="H16942" i="9"/>
  <c r="F16943" i="9"/>
  <c r="H16943" i="9" s="1"/>
  <c r="F16944" i="9"/>
  <c r="H16944" i="9" s="1"/>
  <c r="F16945" i="9"/>
  <c r="H16945" i="9" s="1"/>
  <c r="F16946" i="9"/>
  <c r="H16946" i="9"/>
  <c r="F16947" i="9"/>
  <c r="H16947" i="9"/>
  <c r="F16948" i="9"/>
  <c r="H16948" i="9" s="1"/>
  <c r="F16949" i="9"/>
  <c r="H16949" i="9" s="1"/>
  <c r="F16950" i="9"/>
  <c r="H16950" i="9" s="1"/>
  <c r="F16951" i="9"/>
  <c r="H16951" i="9" s="1"/>
  <c r="F16952" i="9"/>
  <c r="H16952" i="9" s="1"/>
  <c r="F16953" i="9"/>
  <c r="H16953" i="9" s="1"/>
  <c r="F16954" i="9"/>
  <c r="H16954" i="9" s="1"/>
  <c r="F16955" i="9"/>
  <c r="H16955" i="9" s="1"/>
  <c r="F16956" i="9"/>
  <c r="H16956" i="9" s="1"/>
  <c r="F16957" i="9"/>
  <c r="H16957" i="9" s="1"/>
  <c r="F16958" i="9"/>
  <c r="H16958" i="9" s="1"/>
  <c r="F16959" i="9"/>
  <c r="H16959" i="9" s="1"/>
  <c r="F16960" i="9"/>
  <c r="H16960" i="9" s="1"/>
  <c r="F16961" i="9"/>
  <c r="H16961" i="9" s="1"/>
  <c r="F16962" i="9"/>
  <c r="H16962" i="9" s="1"/>
  <c r="F16963" i="9"/>
  <c r="H16963" i="9"/>
  <c r="F16964" i="9"/>
  <c r="H16964" i="9"/>
  <c r="F16965" i="9"/>
  <c r="H16965" i="9" s="1"/>
  <c r="F16966" i="9"/>
  <c r="H16966" i="9" s="1"/>
  <c r="F16967" i="9"/>
  <c r="H16967" i="9" s="1"/>
  <c r="F16968" i="9"/>
  <c r="H16968" i="9" s="1"/>
  <c r="F16969" i="9"/>
  <c r="H16969" i="9" s="1"/>
  <c r="F16970" i="9"/>
  <c r="H16970" i="9" s="1"/>
  <c r="F16971" i="9"/>
  <c r="H16971" i="9" s="1"/>
  <c r="F16972" i="9"/>
  <c r="H16972" i="9" s="1"/>
  <c r="F16973" i="9"/>
  <c r="H16973" i="9" s="1"/>
  <c r="F16974" i="9"/>
  <c r="H16974" i="9" s="1"/>
  <c r="F16975" i="9"/>
  <c r="H16975" i="9" s="1"/>
  <c r="F16976" i="9"/>
  <c r="H16976" i="9" s="1"/>
  <c r="F16977" i="9"/>
  <c r="H16977" i="9" s="1"/>
  <c r="F16978" i="9"/>
  <c r="H16978" i="9" s="1"/>
  <c r="F16979" i="9"/>
  <c r="H16979" i="9" s="1"/>
  <c r="F16980" i="9"/>
  <c r="H16980" i="9" s="1"/>
  <c r="F16981" i="9"/>
  <c r="H16981" i="9" s="1"/>
  <c r="F16982" i="9"/>
  <c r="H16982" i="9" s="1"/>
  <c r="F16983" i="9"/>
  <c r="H16983" i="9" s="1"/>
  <c r="F16984" i="9"/>
  <c r="H16984" i="9" s="1"/>
  <c r="F16985" i="9"/>
  <c r="H16985" i="9" s="1"/>
  <c r="F16986" i="9"/>
  <c r="H16986" i="9" s="1"/>
  <c r="F16987" i="9"/>
  <c r="H16987" i="9" s="1"/>
  <c r="F16988" i="9"/>
  <c r="H16988" i="9" s="1"/>
  <c r="F16989" i="9"/>
  <c r="H16989" i="9" s="1"/>
  <c r="F16990" i="9"/>
  <c r="H16990" i="9" s="1"/>
  <c r="F16991" i="9"/>
  <c r="H16991" i="9" s="1"/>
  <c r="F16992" i="9"/>
  <c r="H16992" i="9" s="1"/>
  <c r="F16993" i="9"/>
  <c r="H16993" i="9" s="1"/>
  <c r="F16994" i="9"/>
  <c r="H16994" i="9" s="1"/>
  <c r="F16995" i="9"/>
  <c r="H16995" i="9" s="1"/>
  <c r="F16996" i="9"/>
  <c r="H16996" i="9" s="1"/>
  <c r="F16997" i="9"/>
  <c r="H16997" i="9" s="1"/>
  <c r="F16998" i="9"/>
  <c r="H16998" i="9" s="1"/>
  <c r="F16999" i="9"/>
  <c r="H16999" i="9" s="1"/>
  <c r="F17000" i="9"/>
  <c r="H17000" i="9" s="1"/>
  <c r="F17001" i="9"/>
  <c r="H17001" i="9" s="1"/>
  <c r="F17002" i="9"/>
  <c r="H17002" i="9" s="1"/>
  <c r="F17003" i="9"/>
  <c r="H17003" i="9" s="1"/>
  <c r="F17004" i="9"/>
  <c r="H17004" i="9" s="1"/>
  <c r="F17005" i="9"/>
  <c r="H17005" i="9" s="1"/>
  <c r="F17006" i="9"/>
  <c r="H17006" i="9" s="1"/>
  <c r="F17007" i="9"/>
  <c r="H17007" i="9" s="1"/>
  <c r="F17008" i="9"/>
  <c r="H17008" i="9" s="1"/>
  <c r="F17009" i="9"/>
  <c r="H17009" i="9" s="1"/>
  <c r="F17010" i="9"/>
  <c r="H17010" i="9" s="1"/>
  <c r="F17011" i="9"/>
  <c r="H17011" i="9" s="1"/>
  <c r="F17012" i="9"/>
  <c r="H17012" i="9"/>
  <c r="F17013" i="9"/>
  <c r="H17013" i="9" s="1"/>
  <c r="F17014" i="9"/>
  <c r="H17014" i="9" s="1"/>
  <c r="F17015" i="9"/>
  <c r="H17015" i="9" s="1"/>
  <c r="F17016" i="9"/>
  <c r="H17016" i="9" s="1"/>
  <c r="F17017" i="9"/>
  <c r="H17017" i="9" s="1"/>
  <c r="F17018" i="9"/>
  <c r="H17018" i="9"/>
  <c r="F17019" i="9"/>
  <c r="H17019" i="9"/>
  <c r="F17020" i="9"/>
  <c r="H17020" i="9" s="1"/>
  <c r="F17021" i="9"/>
  <c r="H17021" i="9" s="1"/>
  <c r="F17022" i="9"/>
  <c r="H17022" i="9" s="1"/>
  <c r="F17023" i="9"/>
  <c r="H17023" i="9"/>
  <c r="F17024" i="9"/>
  <c r="H17024" i="9" s="1"/>
  <c r="F17025" i="9"/>
  <c r="H17025" i="9" s="1"/>
  <c r="F17026" i="9"/>
  <c r="H17026" i="9" s="1"/>
  <c r="F17027" i="9"/>
  <c r="H17027" i="9" s="1"/>
  <c r="F17028" i="9"/>
  <c r="H17028" i="9" s="1"/>
  <c r="F17029" i="9"/>
  <c r="H17029" i="9" s="1"/>
  <c r="F17030" i="9"/>
  <c r="H17030" i="9" s="1"/>
  <c r="F17031" i="9"/>
  <c r="H17031" i="9" s="1"/>
  <c r="F17032" i="9"/>
  <c r="H17032" i="9" s="1"/>
  <c r="F17033" i="9"/>
  <c r="H17033" i="9" s="1"/>
  <c r="F17034" i="9"/>
  <c r="H17034" i="9" s="1"/>
  <c r="F17035" i="9"/>
  <c r="H17035" i="9" s="1"/>
  <c r="F17036" i="9"/>
  <c r="H17036" i="9" s="1"/>
  <c r="F17037" i="9"/>
  <c r="H17037" i="9" s="1"/>
  <c r="F17038" i="9"/>
  <c r="H17038" i="9" s="1"/>
  <c r="F17039" i="9"/>
  <c r="H17039" i="9" s="1"/>
  <c r="F17040" i="9"/>
  <c r="H17040" i="9" s="1"/>
  <c r="F17041" i="9"/>
  <c r="H17041" i="9" s="1"/>
  <c r="F17042" i="9"/>
  <c r="H17042" i="9" s="1"/>
  <c r="F17043" i="9"/>
  <c r="H17043" i="9" s="1"/>
  <c r="F17044" i="9"/>
  <c r="H17044" i="9" s="1"/>
  <c r="F17045" i="9"/>
  <c r="H17045" i="9" s="1"/>
  <c r="F17046" i="9"/>
  <c r="H17046" i="9" s="1"/>
  <c r="F17047" i="9"/>
  <c r="H17047" i="9" s="1"/>
  <c r="F17048" i="9"/>
  <c r="H17048" i="9" s="1"/>
  <c r="F17049" i="9"/>
  <c r="H17049" i="9" s="1"/>
  <c r="F17050" i="9"/>
  <c r="H17050" i="9" s="1"/>
  <c r="F17051" i="9"/>
  <c r="H17051" i="9" s="1"/>
  <c r="F17052" i="9"/>
  <c r="H17052" i="9" s="1"/>
  <c r="F17053" i="9"/>
  <c r="H17053" i="9" s="1"/>
  <c r="F17054" i="9"/>
  <c r="H17054" i="9" s="1"/>
  <c r="F17055" i="9"/>
  <c r="H17055" i="9" s="1"/>
  <c r="F17056" i="9"/>
  <c r="H17056" i="9" s="1"/>
  <c r="F17057" i="9"/>
  <c r="H17057" i="9" s="1"/>
  <c r="F17058" i="9"/>
  <c r="H17058" i="9" s="1"/>
  <c r="F17059" i="9"/>
  <c r="H17059" i="9" s="1"/>
  <c r="F17060" i="9"/>
  <c r="H17060" i="9" s="1"/>
  <c r="F17061" i="9"/>
  <c r="H17061" i="9" s="1"/>
  <c r="F17062" i="9"/>
  <c r="H17062" i="9" s="1"/>
  <c r="F17063" i="9"/>
  <c r="H17063" i="9" s="1"/>
  <c r="F17064" i="9"/>
  <c r="H17064" i="9" s="1"/>
  <c r="F17065" i="9"/>
  <c r="H17065" i="9" s="1"/>
  <c r="F17066" i="9"/>
  <c r="H17066" i="9" s="1"/>
  <c r="F17067" i="9"/>
  <c r="H17067" i="9" s="1"/>
  <c r="F17068" i="9"/>
  <c r="H17068" i="9" s="1"/>
  <c r="F17069" i="9"/>
  <c r="H17069" i="9" s="1"/>
  <c r="F17070" i="9"/>
  <c r="H17070" i="9" s="1"/>
  <c r="F17071" i="9"/>
  <c r="H17071" i="9" s="1"/>
  <c r="F17072" i="9"/>
  <c r="H17072" i="9" s="1"/>
  <c r="F17073" i="9"/>
  <c r="H17073" i="9" s="1"/>
  <c r="F17074" i="9"/>
  <c r="H17074" i="9" s="1"/>
  <c r="F17075" i="9"/>
  <c r="H17075" i="9" s="1"/>
  <c r="F17076" i="9"/>
  <c r="H17076" i="9" s="1"/>
  <c r="F17077" i="9"/>
  <c r="H17077" i="9" s="1"/>
  <c r="F17078" i="9"/>
  <c r="H17078" i="9" s="1"/>
  <c r="F17079" i="9"/>
  <c r="H17079" i="9" s="1"/>
  <c r="F17080" i="9"/>
  <c r="H17080" i="9" s="1"/>
  <c r="F17081" i="9"/>
  <c r="H17081" i="9" s="1"/>
  <c r="F17082" i="9"/>
  <c r="H17082" i="9" s="1"/>
  <c r="F17083" i="9"/>
  <c r="H17083" i="9" s="1"/>
  <c r="F17084" i="9"/>
  <c r="H17084" i="9"/>
  <c r="F17085" i="9"/>
  <c r="H17085" i="9" s="1"/>
  <c r="F17086" i="9"/>
  <c r="H17086" i="9" s="1"/>
  <c r="F17087" i="9"/>
  <c r="H17087" i="9" s="1"/>
  <c r="F17088" i="9"/>
  <c r="H17088" i="9" s="1"/>
  <c r="F17089" i="9"/>
  <c r="H17089" i="9" s="1"/>
  <c r="F17090" i="9"/>
  <c r="H17090" i="9" s="1"/>
  <c r="F17091" i="9"/>
  <c r="H17091" i="9" s="1"/>
  <c r="F17092" i="9"/>
  <c r="H17092" i="9" s="1"/>
  <c r="F17093" i="9"/>
  <c r="H17093" i="9" s="1"/>
  <c r="F17094" i="9"/>
  <c r="H17094" i="9" s="1"/>
  <c r="F17095" i="9"/>
  <c r="H17095" i="9" s="1"/>
  <c r="F17096" i="9"/>
  <c r="H17096" i="9" s="1"/>
  <c r="F17097" i="9"/>
  <c r="H17097" i="9" s="1"/>
  <c r="F17098" i="9"/>
  <c r="H17098" i="9" s="1"/>
  <c r="F17099" i="9"/>
  <c r="H17099" i="9" s="1"/>
  <c r="F17100" i="9"/>
  <c r="H17100" i="9" s="1"/>
  <c r="F17101" i="9"/>
  <c r="H17101" i="9" s="1"/>
  <c r="F17102" i="9"/>
  <c r="H17102" i="9" s="1"/>
  <c r="F17103" i="9"/>
  <c r="H17103" i="9" s="1"/>
  <c r="F17104" i="9"/>
  <c r="H17104" i="9" s="1"/>
  <c r="F17105" i="9"/>
  <c r="H17105" i="9" s="1"/>
  <c r="F17106" i="9"/>
  <c r="H17106" i="9" s="1"/>
  <c r="F17107" i="9"/>
  <c r="H17107" i="9" s="1"/>
  <c r="F17108" i="9"/>
  <c r="H17108" i="9" s="1"/>
  <c r="F17109" i="9"/>
  <c r="H17109" i="9" s="1"/>
  <c r="F17110" i="9"/>
  <c r="H17110" i="9" s="1"/>
  <c r="F17111" i="9"/>
  <c r="H17111" i="9" s="1"/>
  <c r="F17112" i="9"/>
  <c r="H17112" i="9" s="1"/>
  <c r="F17113" i="9"/>
  <c r="H17113" i="9" s="1"/>
  <c r="F17114" i="9"/>
  <c r="H17114" i="9" s="1"/>
  <c r="F17115" i="9"/>
  <c r="H17115" i="9" s="1"/>
  <c r="F17116" i="9"/>
  <c r="H17116" i="9" s="1"/>
  <c r="F17117" i="9"/>
  <c r="H17117" i="9" s="1"/>
  <c r="F17118" i="9"/>
  <c r="H17118" i="9" s="1"/>
  <c r="F17119" i="9"/>
  <c r="H17119" i="9" s="1"/>
  <c r="F17120" i="9"/>
  <c r="H17120" i="9" s="1"/>
  <c r="F17121" i="9"/>
  <c r="H17121" i="9" s="1"/>
  <c r="F17122" i="9"/>
  <c r="H17122" i="9" s="1"/>
  <c r="F17123" i="9"/>
  <c r="H17123" i="9" s="1"/>
  <c r="F17124" i="9"/>
  <c r="H17124" i="9" s="1"/>
  <c r="F17125" i="9"/>
  <c r="H17125" i="9" s="1"/>
  <c r="F17126" i="9"/>
  <c r="H17126" i="9"/>
  <c r="F17127" i="9"/>
  <c r="H17127" i="9" s="1"/>
  <c r="F17128" i="9"/>
  <c r="H17128" i="9" s="1"/>
  <c r="F17129" i="9"/>
  <c r="H17129" i="9" s="1"/>
  <c r="F17130" i="9"/>
  <c r="H17130" i="9" s="1"/>
  <c r="F17131" i="9"/>
  <c r="H17131" i="9" s="1"/>
  <c r="F17132" i="9"/>
  <c r="H17132" i="9" s="1"/>
  <c r="F17133" i="9"/>
  <c r="H17133" i="9" s="1"/>
  <c r="F17134" i="9"/>
  <c r="H17134" i="9" s="1"/>
  <c r="F17135" i="9"/>
  <c r="H17135" i="9" s="1"/>
  <c r="F17136" i="9"/>
  <c r="H17136" i="9" s="1"/>
  <c r="F17137" i="9"/>
  <c r="H17137" i="9"/>
  <c r="F17138" i="9"/>
  <c r="H17138" i="9" s="1"/>
  <c r="F17139" i="9"/>
  <c r="H17139" i="9" s="1"/>
  <c r="F17140" i="9"/>
  <c r="H17140" i="9" s="1"/>
  <c r="F17141" i="9"/>
  <c r="H17141" i="9" s="1"/>
  <c r="F17142" i="9"/>
  <c r="H17142" i="9" s="1"/>
  <c r="F17143" i="9"/>
  <c r="H17143" i="9" s="1"/>
  <c r="F17144" i="9"/>
  <c r="H17144" i="9" s="1"/>
  <c r="F17145" i="9"/>
  <c r="H17145" i="9" s="1"/>
  <c r="F17146" i="9"/>
  <c r="H17146" i="9" s="1"/>
  <c r="F17147" i="9"/>
  <c r="H17147" i="9" s="1"/>
  <c r="F17148" i="9"/>
  <c r="H17148" i="9" s="1"/>
  <c r="F17149" i="9"/>
  <c r="H17149" i="9" s="1"/>
  <c r="F17150" i="9"/>
  <c r="H17150" i="9" s="1"/>
  <c r="F17151" i="9"/>
  <c r="H17151" i="9" s="1"/>
  <c r="F17152" i="9"/>
  <c r="H17152" i="9" s="1"/>
  <c r="F17153" i="9"/>
  <c r="H17153" i="9" s="1"/>
  <c r="F17154" i="9"/>
  <c r="H17154" i="9" s="1"/>
  <c r="F17155" i="9"/>
  <c r="H17155" i="9" s="1"/>
  <c r="F17156" i="9"/>
  <c r="H17156" i="9" s="1"/>
  <c r="F17157" i="9"/>
  <c r="H17157" i="9" s="1"/>
  <c r="F17158" i="9"/>
  <c r="H17158" i="9" s="1"/>
  <c r="F17159" i="9"/>
  <c r="H17159" i="9" s="1"/>
  <c r="F17160" i="9"/>
  <c r="H17160" i="9" s="1"/>
  <c r="F17161" i="9"/>
  <c r="H17161" i="9" s="1"/>
  <c r="F17162" i="9"/>
  <c r="H17162" i="9" s="1"/>
  <c r="F17163" i="9"/>
  <c r="H17163" i="9" s="1"/>
  <c r="F17164" i="9"/>
  <c r="H17164" i="9" s="1"/>
  <c r="F17165" i="9"/>
  <c r="H17165" i="9" s="1"/>
  <c r="F17166" i="9"/>
  <c r="H17166" i="9" s="1"/>
  <c r="F17167" i="9"/>
  <c r="H17167" i="9" s="1"/>
  <c r="F17168" i="9"/>
  <c r="H17168" i="9" s="1"/>
  <c r="F17169" i="9"/>
  <c r="H17169" i="9" s="1"/>
  <c r="F17170" i="9"/>
  <c r="H17170" i="9" s="1"/>
  <c r="F17171" i="9"/>
  <c r="H17171" i="9" s="1"/>
  <c r="F17172" i="9"/>
  <c r="H17172" i="9" s="1"/>
  <c r="F17173" i="9"/>
  <c r="H17173" i="9" s="1"/>
  <c r="F17174" i="9"/>
  <c r="H17174" i="9"/>
  <c r="F17175" i="9"/>
  <c r="H17175" i="9"/>
  <c r="F17176" i="9"/>
  <c r="H17176" i="9" s="1"/>
  <c r="F17177" i="9"/>
  <c r="H17177" i="9" s="1"/>
  <c r="F17178" i="9"/>
  <c r="H17178" i="9" s="1"/>
  <c r="F17179" i="9"/>
  <c r="H17179" i="9" s="1"/>
  <c r="F17180" i="9"/>
  <c r="H17180" i="9" s="1"/>
  <c r="F17181" i="9"/>
  <c r="H17181" i="9" s="1"/>
  <c r="F17182" i="9"/>
  <c r="H17182" i="9" s="1"/>
  <c r="F17183" i="9"/>
  <c r="H17183" i="9" s="1"/>
  <c r="F17184" i="9"/>
  <c r="H17184" i="9" s="1"/>
  <c r="F17185" i="9"/>
  <c r="H17185" i="9" s="1"/>
  <c r="F17186" i="9"/>
  <c r="H17186" i="9" s="1"/>
  <c r="F17187" i="9"/>
  <c r="H17187" i="9" s="1"/>
  <c r="F17188" i="9"/>
  <c r="H17188" i="9" s="1"/>
  <c r="F17189" i="9"/>
  <c r="H17189" i="9" s="1"/>
  <c r="F17190" i="9"/>
  <c r="H17190" i="9" s="1"/>
  <c r="F17191" i="9"/>
  <c r="H17191" i="9"/>
  <c r="F17192" i="9"/>
  <c r="H17192" i="9" s="1"/>
  <c r="F17193" i="9"/>
  <c r="H17193" i="9" s="1"/>
  <c r="F17194" i="9"/>
  <c r="H17194" i="9" s="1"/>
  <c r="F17195" i="9"/>
  <c r="H17195" i="9" s="1"/>
  <c r="F17196" i="9"/>
  <c r="H17196" i="9" s="1"/>
  <c r="F17197" i="9"/>
  <c r="H17197" i="9"/>
  <c r="F17198" i="9"/>
  <c r="H17198" i="9" s="1"/>
  <c r="F17199" i="9"/>
  <c r="H17199" i="9" s="1"/>
  <c r="F17200" i="9"/>
  <c r="H17200" i="9" s="1"/>
  <c r="F17201" i="9"/>
  <c r="H17201" i="9" s="1"/>
  <c r="F17202" i="9"/>
  <c r="H17202" i="9" s="1"/>
  <c r="F17203" i="9"/>
  <c r="H17203" i="9" s="1"/>
  <c r="F17204" i="9"/>
  <c r="H17204" i="9" s="1"/>
  <c r="F17205" i="9"/>
  <c r="H17205" i="9" s="1"/>
  <c r="F17206" i="9"/>
  <c r="H17206" i="9" s="1"/>
  <c r="F17207" i="9"/>
  <c r="H17207" i="9" s="1"/>
  <c r="F17208" i="9"/>
  <c r="H17208" i="9" s="1"/>
  <c r="F17209" i="9"/>
  <c r="H17209" i="9" s="1"/>
  <c r="F17210" i="9"/>
  <c r="H17210" i="9" s="1"/>
  <c r="F17211" i="9"/>
  <c r="H17211" i="9"/>
  <c r="F17212" i="9"/>
  <c r="H17212" i="9" s="1"/>
  <c r="F17213" i="9"/>
  <c r="H17213" i="9" s="1"/>
  <c r="F17214" i="9"/>
  <c r="H17214" i="9" s="1"/>
  <c r="F17215" i="9"/>
  <c r="H17215" i="9" s="1"/>
  <c r="F17216" i="9"/>
  <c r="H17216" i="9" s="1"/>
  <c r="F17217" i="9"/>
  <c r="H17217" i="9" s="1"/>
  <c r="F17218" i="9"/>
  <c r="H17218" i="9" s="1"/>
  <c r="F17219" i="9"/>
  <c r="H17219" i="9" s="1"/>
  <c r="F17220" i="9"/>
  <c r="H17220" i="9" s="1"/>
  <c r="F17221" i="9"/>
  <c r="H17221" i="9" s="1"/>
  <c r="F17222" i="9"/>
  <c r="H17222" i="9"/>
  <c r="F17223" i="9"/>
  <c r="H17223" i="9"/>
  <c r="F17224" i="9"/>
  <c r="H17224" i="9" s="1"/>
  <c r="F17225" i="9"/>
  <c r="H17225" i="9" s="1"/>
  <c r="F17226" i="9"/>
  <c r="H17226" i="9" s="1"/>
  <c r="F17227" i="9"/>
  <c r="H17227" i="9" s="1"/>
  <c r="F17228" i="9"/>
  <c r="H17228" i="9" s="1"/>
  <c r="F17229" i="9"/>
  <c r="H17229" i="9" s="1"/>
  <c r="F17230" i="9"/>
  <c r="H17230" i="9" s="1"/>
  <c r="F17231" i="9"/>
  <c r="H17231" i="9" s="1"/>
  <c r="F17232" i="9"/>
  <c r="H17232" i="9" s="1"/>
  <c r="F17233" i="9"/>
  <c r="H17233" i="9" s="1"/>
  <c r="F17234" i="9"/>
  <c r="H17234" i="9"/>
  <c r="F17235" i="9"/>
  <c r="H17235" i="9" s="1"/>
  <c r="F17236" i="9"/>
  <c r="H17236" i="9" s="1"/>
  <c r="F17237" i="9"/>
  <c r="H17237" i="9" s="1"/>
  <c r="F17238" i="9"/>
  <c r="H17238" i="9" s="1"/>
  <c r="F17239" i="9"/>
  <c r="H17239" i="9" s="1"/>
  <c r="F17240" i="9"/>
  <c r="H17240" i="9" s="1"/>
  <c r="F17241" i="9"/>
  <c r="H17241" i="9" s="1"/>
  <c r="F17242" i="9"/>
  <c r="H17242" i="9" s="1"/>
  <c r="F17243" i="9"/>
  <c r="H17243" i="9" s="1"/>
  <c r="F17244" i="9"/>
  <c r="H17244" i="9" s="1"/>
  <c r="F17245" i="9"/>
  <c r="H17245" i="9" s="1"/>
  <c r="F17246" i="9"/>
  <c r="H17246" i="9" s="1"/>
  <c r="F17247" i="9"/>
  <c r="H17247" i="9" s="1"/>
  <c r="F17248" i="9"/>
  <c r="H17248" i="9" s="1"/>
  <c r="F17249" i="9"/>
  <c r="H17249" i="9" s="1"/>
  <c r="F17250" i="9"/>
  <c r="H17250" i="9" s="1"/>
  <c r="F17251" i="9"/>
  <c r="H17251" i="9" s="1"/>
  <c r="F17252" i="9"/>
  <c r="H17252" i="9" s="1"/>
  <c r="F17253" i="9"/>
  <c r="H17253" i="9" s="1"/>
  <c r="F17254" i="9"/>
  <c r="H17254" i="9" s="1"/>
  <c r="F17255" i="9"/>
  <c r="H17255" i="9" s="1"/>
  <c r="F17256" i="9"/>
  <c r="H17256" i="9" s="1"/>
  <c r="F17257" i="9"/>
  <c r="H17257" i="9" s="1"/>
  <c r="F17258" i="9"/>
  <c r="H17258" i="9" s="1"/>
  <c r="F17259" i="9"/>
  <c r="H17259" i="9" s="1"/>
  <c r="F17260" i="9"/>
  <c r="H17260" i="9" s="1"/>
  <c r="F17261" i="9"/>
  <c r="H17261" i="9"/>
  <c r="F17262" i="9"/>
  <c r="H17262" i="9" s="1"/>
  <c r="F17263" i="9"/>
  <c r="H17263" i="9" s="1"/>
  <c r="F17264" i="9"/>
  <c r="H17264" i="9" s="1"/>
  <c r="F17265" i="9"/>
  <c r="H17265" i="9" s="1"/>
  <c r="F17266" i="9"/>
  <c r="H17266" i="9" s="1"/>
  <c r="F17267" i="9"/>
  <c r="H17267" i="9" s="1"/>
  <c r="F17268" i="9"/>
  <c r="H17268" i="9" s="1"/>
  <c r="F17269" i="9"/>
  <c r="H17269" i="9" s="1"/>
  <c r="F17270" i="9"/>
  <c r="H17270" i="9"/>
  <c r="F17271" i="9"/>
  <c r="H17271" i="9" s="1"/>
  <c r="F17272" i="9"/>
  <c r="H17272" i="9" s="1"/>
  <c r="F17273" i="9"/>
  <c r="H17273" i="9" s="1"/>
  <c r="F17274" i="9"/>
  <c r="H17274" i="9" s="1"/>
  <c r="F17275" i="9"/>
  <c r="H17275" i="9" s="1"/>
  <c r="F17276" i="9"/>
  <c r="H17276" i="9" s="1"/>
  <c r="F17277" i="9"/>
  <c r="H17277" i="9" s="1"/>
  <c r="F17278" i="9"/>
  <c r="H17278" i="9" s="1"/>
  <c r="F17279" i="9"/>
  <c r="H17279" i="9" s="1"/>
  <c r="F17280" i="9"/>
  <c r="H17280" i="9" s="1"/>
  <c r="F17281" i="9"/>
  <c r="H17281" i="9" s="1"/>
  <c r="F17282" i="9"/>
  <c r="H17282" i="9" s="1"/>
  <c r="F17283" i="9"/>
  <c r="H17283" i="9" s="1"/>
  <c r="F17284" i="9"/>
  <c r="H17284" i="9" s="1"/>
  <c r="F17285" i="9"/>
  <c r="H17285" i="9" s="1"/>
  <c r="F17286" i="9"/>
  <c r="H17286" i="9" s="1"/>
  <c r="F17287" i="9"/>
  <c r="H17287" i="9" s="1"/>
  <c r="F17288" i="9"/>
  <c r="H17288" i="9" s="1"/>
  <c r="F17289" i="9"/>
  <c r="H17289" i="9" s="1"/>
  <c r="F17290" i="9"/>
  <c r="H17290" i="9" s="1"/>
  <c r="F17291" i="9"/>
  <c r="H17291" i="9" s="1"/>
  <c r="F17292" i="9"/>
  <c r="H17292" i="9" s="1"/>
  <c r="F17293" i="9"/>
  <c r="H17293" i="9" s="1"/>
  <c r="F17294" i="9"/>
  <c r="H17294" i="9" s="1"/>
  <c r="F17295" i="9"/>
  <c r="H17295" i="9" s="1"/>
  <c r="F17296" i="9"/>
  <c r="H17296" i="9" s="1"/>
  <c r="F17297" i="9"/>
  <c r="H17297" i="9" s="1"/>
  <c r="F17298" i="9"/>
  <c r="H17298" i="9" s="1"/>
  <c r="F17299" i="9"/>
  <c r="H17299" i="9" s="1"/>
  <c r="F17300" i="9"/>
  <c r="H17300" i="9" s="1"/>
  <c r="F17301" i="9"/>
  <c r="H17301" i="9" s="1"/>
  <c r="F17302" i="9"/>
  <c r="H17302" i="9" s="1"/>
  <c r="F17303" i="9"/>
  <c r="H17303" i="9" s="1"/>
  <c r="F17304" i="9"/>
  <c r="H17304" i="9" s="1"/>
  <c r="F17305" i="9"/>
  <c r="H17305" i="9" s="1"/>
  <c r="F17306" i="9"/>
  <c r="H17306" i="9" s="1"/>
  <c r="F17307" i="9"/>
  <c r="H17307" i="9" s="1"/>
  <c r="F17308" i="9"/>
  <c r="H17308" i="9" s="1"/>
  <c r="F17309" i="9"/>
  <c r="H17309" i="9" s="1"/>
  <c r="F17310" i="9"/>
  <c r="H17310" i="9" s="1"/>
  <c r="F17311" i="9"/>
  <c r="H17311" i="9" s="1"/>
  <c r="F17312" i="9"/>
  <c r="H17312" i="9" s="1"/>
  <c r="F17313" i="9"/>
  <c r="H17313" i="9" s="1"/>
  <c r="F17314" i="9"/>
  <c r="H17314" i="9" s="1"/>
  <c r="F17315" i="9"/>
  <c r="H17315" i="9" s="1"/>
  <c r="F17316" i="9"/>
  <c r="H17316" i="9" s="1"/>
  <c r="F17317" i="9"/>
  <c r="H17317" i="9" s="1"/>
  <c r="F17318" i="9"/>
  <c r="H17318" i="9" s="1"/>
  <c r="F17319" i="9"/>
  <c r="H17319" i="9" s="1"/>
  <c r="F17320" i="9"/>
  <c r="H17320" i="9" s="1"/>
  <c r="F17321" i="9"/>
  <c r="H17321" i="9" s="1"/>
  <c r="F17322" i="9"/>
  <c r="H17322" i="9" s="1"/>
  <c r="F17323" i="9"/>
  <c r="H17323" i="9" s="1"/>
  <c r="F17324" i="9"/>
  <c r="H17324" i="9" s="1"/>
  <c r="F17325" i="9"/>
  <c r="H17325" i="9" s="1"/>
  <c r="F17326" i="9"/>
  <c r="H17326" i="9" s="1"/>
  <c r="F17327" i="9"/>
  <c r="H17327" i="9" s="1"/>
  <c r="F17328" i="9"/>
  <c r="H17328" i="9" s="1"/>
  <c r="F17329" i="9"/>
  <c r="H17329" i="9" s="1"/>
  <c r="F17330" i="9"/>
  <c r="H17330" i="9" s="1"/>
  <c r="F17331" i="9"/>
  <c r="H17331" i="9" s="1"/>
  <c r="F17332" i="9"/>
  <c r="H17332" i="9" s="1"/>
  <c r="F17333" i="9"/>
  <c r="H17333" i="9" s="1"/>
  <c r="F17334" i="9"/>
  <c r="H17334" i="9" s="1"/>
  <c r="F17335" i="9"/>
  <c r="H17335" i="9" s="1"/>
  <c r="F17336" i="9"/>
  <c r="H17336" i="9" s="1"/>
  <c r="F17337" i="9"/>
  <c r="H17337" i="9" s="1"/>
  <c r="F17338" i="9"/>
  <c r="H17338" i="9" s="1"/>
  <c r="F17339" i="9"/>
  <c r="H17339" i="9" s="1"/>
  <c r="F17340" i="9"/>
  <c r="H17340" i="9" s="1"/>
  <c r="F17341" i="9"/>
  <c r="H17341" i="9" s="1"/>
  <c r="F17342" i="9"/>
  <c r="H17342" i="9" s="1"/>
  <c r="F17343" i="9"/>
  <c r="H17343" i="9" s="1"/>
  <c r="F17344" i="9"/>
  <c r="H17344" i="9" s="1"/>
  <c r="F17345" i="9"/>
  <c r="H17345" i="9" s="1"/>
  <c r="F17346" i="9"/>
  <c r="H17346" i="9" s="1"/>
  <c r="F17347" i="9"/>
  <c r="H17347" i="9" s="1"/>
  <c r="F17348" i="9"/>
  <c r="H17348" i="9" s="1"/>
  <c r="F17349" i="9"/>
  <c r="H17349" i="9" s="1"/>
  <c r="F17350" i="9"/>
  <c r="H17350" i="9" s="1"/>
  <c r="F17351" i="9"/>
  <c r="H17351" i="9" s="1"/>
  <c r="F17352" i="9"/>
  <c r="H17352" i="9" s="1"/>
  <c r="F17353" i="9"/>
  <c r="H17353" i="9" s="1"/>
  <c r="F17354" i="9"/>
  <c r="H17354" i="9" s="1"/>
  <c r="F17355" i="9"/>
  <c r="H17355" i="9" s="1"/>
  <c r="F17356" i="9"/>
  <c r="H17356" i="9" s="1"/>
  <c r="F17357" i="9"/>
  <c r="H17357" i="9" s="1"/>
  <c r="F17358" i="9"/>
  <c r="H17358" i="9"/>
  <c r="F17359" i="9"/>
  <c r="H17359" i="9" s="1"/>
  <c r="F17360" i="9"/>
  <c r="H17360" i="9" s="1"/>
  <c r="F17361" i="9"/>
  <c r="H17361" i="9" s="1"/>
  <c r="F17362" i="9"/>
  <c r="H17362" i="9" s="1"/>
  <c r="F17363" i="9"/>
  <c r="H17363" i="9" s="1"/>
  <c r="F17364" i="9"/>
  <c r="H17364" i="9" s="1"/>
  <c r="F17365" i="9"/>
  <c r="H17365" i="9" s="1"/>
  <c r="F17366" i="9"/>
  <c r="H17366" i="9" s="1"/>
  <c r="F17367" i="9"/>
  <c r="H17367" i="9" s="1"/>
  <c r="F17368" i="9"/>
  <c r="H17368" i="9" s="1"/>
  <c r="F17369" i="9"/>
  <c r="H17369" i="9" s="1"/>
  <c r="F17370" i="9"/>
  <c r="H17370" i="9" s="1"/>
  <c r="F17371" i="9"/>
  <c r="H17371" i="9" s="1"/>
  <c r="F17372" i="9"/>
  <c r="H17372" i="9" s="1"/>
  <c r="F17373" i="9"/>
  <c r="H17373" i="9" s="1"/>
  <c r="F17374" i="9"/>
  <c r="H17374" i="9" s="1"/>
  <c r="F17375" i="9"/>
  <c r="H17375" i="9" s="1"/>
  <c r="F17376" i="9"/>
  <c r="H17376" i="9" s="1"/>
  <c r="F17377" i="9"/>
  <c r="H17377" i="9" s="1"/>
  <c r="F17378" i="9"/>
  <c r="H17378" i="9" s="1"/>
  <c r="F17379" i="9"/>
  <c r="H17379" i="9" s="1"/>
  <c r="F17380" i="9"/>
  <c r="H17380" i="9" s="1"/>
  <c r="F17381" i="9"/>
  <c r="H17381" i="9" s="1"/>
  <c r="F17382" i="9"/>
  <c r="H17382" i="9" s="1"/>
  <c r="F17383" i="9"/>
  <c r="H17383" i="9" s="1"/>
  <c r="F17384" i="9"/>
  <c r="H17384" i="9" s="1"/>
  <c r="F17385" i="9"/>
  <c r="H17385" i="9" s="1"/>
  <c r="F17386" i="9"/>
  <c r="H17386" i="9" s="1"/>
  <c r="F17387" i="9"/>
  <c r="H17387" i="9" s="1"/>
  <c r="F17388" i="9"/>
  <c r="H17388" i="9" s="1"/>
  <c r="F17389" i="9"/>
  <c r="H17389" i="9" s="1"/>
  <c r="F17390" i="9"/>
  <c r="H17390" i="9"/>
  <c r="F17391" i="9"/>
  <c r="H17391" i="9" s="1"/>
  <c r="F17392" i="9"/>
  <c r="H17392" i="9" s="1"/>
  <c r="F17393" i="9"/>
  <c r="H17393" i="9" s="1"/>
  <c r="F17394" i="9"/>
  <c r="H17394" i="9" s="1"/>
  <c r="F17395" i="9"/>
  <c r="H17395" i="9" s="1"/>
  <c r="F17396" i="9"/>
  <c r="H17396" i="9" s="1"/>
  <c r="F17397" i="9"/>
  <c r="H17397" i="9" s="1"/>
  <c r="F17398" i="9"/>
  <c r="H17398" i="9" s="1"/>
  <c r="F17399" i="9"/>
  <c r="H17399" i="9" s="1"/>
  <c r="F17400" i="9"/>
  <c r="H17400" i="9" s="1"/>
  <c r="F17401" i="9"/>
  <c r="H17401" i="9" s="1"/>
  <c r="F17402" i="9"/>
  <c r="H17402" i="9" s="1"/>
  <c r="F17403" i="9"/>
  <c r="H17403" i="9" s="1"/>
  <c r="F17404" i="9"/>
  <c r="H17404" i="9" s="1"/>
  <c r="F17405" i="9"/>
  <c r="H17405" i="9" s="1"/>
  <c r="F17406" i="9"/>
  <c r="H17406" i="9" s="1"/>
  <c r="F17407" i="9"/>
  <c r="H17407" i="9" s="1"/>
  <c r="F17408" i="9"/>
  <c r="H17408" i="9" s="1"/>
  <c r="F17409" i="9"/>
  <c r="H17409" i="9" s="1"/>
  <c r="F17410" i="9"/>
  <c r="H17410" i="9" s="1"/>
  <c r="F17411" i="9"/>
  <c r="H17411" i="9" s="1"/>
  <c r="F17412" i="9"/>
  <c r="H17412" i="9" s="1"/>
  <c r="F17413" i="9"/>
  <c r="H17413" i="9"/>
  <c r="F17414" i="9"/>
  <c r="H17414" i="9" s="1"/>
  <c r="F17415" i="9"/>
  <c r="H17415" i="9" s="1"/>
  <c r="F17416" i="9"/>
  <c r="H17416" i="9" s="1"/>
  <c r="F17417" i="9"/>
  <c r="H17417" i="9" s="1"/>
  <c r="F17418" i="9"/>
  <c r="H17418" i="9"/>
  <c r="F17419" i="9"/>
  <c r="H17419" i="9" s="1"/>
  <c r="F17420" i="9"/>
  <c r="H17420" i="9" s="1"/>
  <c r="F17421" i="9"/>
  <c r="H17421" i="9" s="1"/>
  <c r="F17422" i="9"/>
  <c r="H17422" i="9" s="1"/>
  <c r="F17423" i="9"/>
  <c r="H17423" i="9" s="1"/>
  <c r="F17424" i="9"/>
  <c r="H17424" i="9" s="1"/>
  <c r="F17425" i="9"/>
  <c r="H17425" i="9" s="1"/>
  <c r="F17426" i="9"/>
  <c r="H17426" i="9" s="1"/>
  <c r="F17427" i="9"/>
  <c r="H17427" i="9" s="1"/>
  <c r="F17428" i="9"/>
  <c r="H17428" i="9" s="1"/>
  <c r="F17429" i="9"/>
  <c r="H17429" i="9" s="1"/>
  <c r="F17430" i="9"/>
  <c r="H17430" i="9" s="1"/>
  <c r="F17431" i="9"/>
  <c r="H17431" i="9" s="1"/>
  <c r="F17432" i="9"/>
  <c r="H17432" i="9" s="1"/>
  <c r="F17433" i="9"/>
  <c r="H17433" i="9" s="1"/>
  <c r="F17434" i="9"/>
  <c r="H17434" i="9" s="1"/>
  <c r="F17435" i="9"/>
  <c r="H17435" i="9" s="1"/>
  <c r="F17436" i="9"/>
  <c r="H17436" i="9" s="1"/>
  <c r="F17437" i="9"/>
  <c r="H17437" i="9" s="1"/>
  <c r="F17438" i="9"/>
  <c r="H17438" i="9"/>
  <c r="F17439" i="9"/>
  <c r="H17439" i="9" s="1"/>
  <c r="F17440" i="9"/>
  <c r="H17440" i="9" s="1"/>
  <c r="F17441" i="9"/>
  <c r="H17441" i="9" s="1"/>
  <c r="F17442" i="9"/>
  <c r="H17442" i="9" s="1"/>
  <c r="F17443" i="9"/>
  <c r="H17443" i="9" s="1"/>
  <c r="F17444" i="9"/>
  <c r="H17444" i="9" s="1"/>
  <c r="F17445" i="9"/>
  <c r="H17445" i="9" s="1"/>
  <c r="F17446" i="9"/>
  <c r="H17446" i="9" s="1"/>
  <c r="F17447" i="9"/>
  <c r="H17447" i="9" s="1"/>
  <c r="F17448" i="9"/>
  <c r="H17448" i="9" s="1"/>
  <c r="F17449" i="9"/>
  <c r="H17449" i="9"/>
  <c r="F17450" i="9"/>
  <c r="H17450" i="9" s="1"/>
  <c r="F17451" i="9"/>
  <c r="H17451" i="9" s="1"/>
  <c r="F17452" i="9"/>
  <c r="H17452" i="9" s="1"/>
  <c r="F17453" i="9"/>
  <c r="H17453" i="9" s="1"/>
  <c r="F17454" i="9"/>
  <c r="H17454" i="9" s="1"/>
  <c r="F17455" i="9"/>
  <c r="H17455" i="9" s="1"/>
  <c r="F17456" i="9"/>
  <c r="H17456" i="9" s="1"/>
  <c r="F17457" i="9"/>
  <c r="H17457" i="9" s="1"/>
  <c r="F17458" i="9"/>
  <c r="H17458" i="9" s="1"/>
  <c r="F17459" i="9"/>
  <c r="H17459" i="9" s="1"/>
  <c r="F17460" i="9"/>
  <c r="H17460" i="9" s="1"/>
  <c r="F17461" i="9"/>
  <c r="H17461" i="9" s="1"/>
  <c r="F17462" i="9"/>
  <c r="H17462" i="9" s="1"/>
  <c r="F17463" i="9"/>
  <c r="H17463" i="9" s="1"/>
  <c r="F17464" i="9"/>
  <c r="H17464" i="9" s="1"/>
  <c r="F17465" i="9"/>
  <c r="H17465" i="9" s="1"/>
  <c r="F17466" i="9"/>
  <c r="H17466" i="9" s="1"/>
  <c r="F17467" i="9"/>
  <c r="H17467" i="9" s="1"/>
  <c r="F17468" i="9"/>
  <c r="H17468" i="9" s="1"/>
  <c r="F17469" i="9"/>
  <c r="H17469" i="9" s="1"/>
  <c r="F17470" i="9"/>
  <c r="H17470" i="9" s="1"/>
  <c r="F17471" i="9"/>
  <c r="H17471" i="9" s="1"/>
  <c r="F17472" i="9"/>
  <c r="H17472" i="9" s="1"/>
  <c r="F17473" i="9"/>
  <c r="H17473" i="9" s="1"/>
  <c r="F17474" i="9"/>
  <c r="H17474" i="9" s="1"/>
  <c r="F17475" i="9"/>
  <c r="H17475" i="9" s="1"/>
  <c r="F17476" i="9"/>
  <c r="H17476" i="9" s="1"/>
  <c r="F17477" i="9"/>
  <c r="H17477" i="9" s="1"/>
  <c r="F17478" i="9"/>
  <c r="H17478" i="9" s="1"/>
  <c r="F17479" i="9"/>
  <c r="H17479" i="9" s="1"/>
  <c r="F17480" i="9"/>
  <c r="H17480" i="9" s="1"/>
  <c r="F17481" i="9"/>
  <c r="H17481" i="9" s="1"/>
  <c r="F17482" i="9"/>
  <c r="H17482" i="9" s="1"/>
  <c r="F17483" i="9"/>
  <c r="H17483" i="9" s="1"/>
  <c r="F17484" i="9"/>
  <c r="H17484" i="9" s="1"/>
  <c r="F17485" i="9"/>
  <c r="H17485" i="9" s="1"/>
  <c r="F17486" i="9"/>
  <c r="H17486" i="9" s="1"/>
  <c r="F17487" i="9"/>
  <c r="H17487" i="9" s="1"/>
  <c r="F17488" i="9"/>
  <c r="H17488" i="9" s="1"/>
  <c r="F17489" i="9"/>
  <c r="H17489" i="9" s="1"/>
  <c r="F17490" i="9"/>
  <c r="H17490" i="9" s="1"/>
  <c r="F17491" i="9"/>
  <c r="H17491" i="9" s="1"/>
  <c r="F17492" i="9"/>
  <c r="H17492" i="9" s="1"/>
  <c r="F17493" i="9"/>
  <c r="H17493" i="9" s="1"/>
  <c r="F17494" i="9"/>
  <c r="H17494" i="9" s="1"/>
  <c r="F17495" i="9"/>
  <c r="H17495" i="9" s="1"/>
  <c r="F17496" i="9"/>
  <c r="H17496" i="9" s="1"/>
  <c r="F17497" i="9"/>
  <c r="H17497" i="9" s="1"/>
  <c r="F17498" i="9"/>
  <c r="H17498" i="9" s="1"/>
  <c r="F17499" i="9"/>
  <c r="H17499" i="9" s="1"/>
  <c r="F17500" i="9"/>
  <c r="H17500" i="9" s="1"/>
  <c r="F17501" i="9"/>
  <c r="H17501" i="9" s="1"/>
  <c r="F17502" i="9"/>
  <c r="H17502" i="9" s="1"/>
  <c r="F17503" i="9"/>
  <c r="H17503" i="9" s="1"/>
  <c r="F17504" i="9"/>
  <c r="H17504" i="9" s="1"/>
  <c r="F17505" i="9"/>
  <c r="H17505" i="9" s="1"/>
  <c r="F17506" i="9"/>
  <c r="H17506" i="9" s="1"/>
  <c r="F17507" i="9"/>
  <c r="H17507" i="9"/>
  <c r="F17508" i="9"/>
  <c r="H17508" i="9" s="1"/>
  <c r="F17509" i="9"/>
  <c r="H17509" i="9" s="1"/>
  <c r="F17510" i="9"/>
  <c r="H17510" i="9" s="1"/>
  <c r="F17511" i="9"/>
  <c r="H17511" i="9" s="1"/>
  <c r="F17512" i="9"/>
  <c r="H17512" i="9" s="1"/>
  <c r="F17513" i="9"/>
  <c r="H17513" i="9" s="1"/>
  <c r="F17514" i="9"/>
  <c r="H17514" i="9" s="1"/>
  <c r="F17515" i="9"/>
  <c r="H17515" i="9" s="1"/>
  <c r="F17516" i="9"/>
  <c r="H17516" i="9" s="1"/>
  <c r="F17517" i="9"/>
  <c r="H17517" i="9" s="1"/>
  <c r="F17518" i="9"/>
  <c r="H17518" i="9" s="1"/>
  <c r="F17519" i="9"/>
  <c r="H17519" i="9" s="1"/>
  <c r="F17520" i="9"/>
  <c r="H17520" i="9" s="1"/>
  <c r="F17521" i="9"/>
  <c r="H17521" i="9" s="1"/>
  <c r="F17522" i="9"/>
  <c r="H17522" i="9" s="1"/>
  <c r="F17523" i="9"/>
  <c r="H17523" i="9" s="1"/>
  <c r="F17524" i="9"/>
  <c r="H17524" i="9" s="1"/>
  <c r="F17525" i="9"/>
  <c r="H17525" i="9" s="1"/>
  <c r="F17526" i="9"/>
  <c r="H17526" i="9" s="1"/>
  <c r="F17527" i="9"/>
  <c r="H17527" i="9" s="1"/>
  <c r="F17528" i="9"/>
  <c r="H17528" i="9"/>
  <c r="F17529" i="9"/>
  <c r="H17529" i="9" s="1"/>
  <c r="F17530" i="9"/>
  <c r="H17530" i="9" s="1"/>
  <c r="F17531" i="9"/>
  <c r="H17531" i="9" s="1"/>
  <c r="F17532" i="9"/>
  <c r="H17532" i="9" s="1"/>
  <c r="F17533" i="9"/>
  <c r="H17533" i="9" s="1"/>
  <c r="F17534" i="9"/>
  <c r="H17534" i="9" s="1"/>
  <c r="F17535" i="9"/>
  <c r="H17535" i="9" s="1"/>
  <c r="F17536" i="9"/>
  <c r="H17536" i="9" s="1"/>
  <c r="F17537" i="9"/>
  <c r="H17537" i="9" s="1"/>
  <c r="F17538" i="9"/>
  <c r="H17538" i="9" s="1"/>
  <c r="F17539" i="9"/>
  <c r="H17539" i="9" s="1"/>
  <c r="F17540" i="9"/>
  <c r="H17540" i="9" s="1"/>
  <c r="F17541" i="9"/>
  <c r="H17541" i="9" s="1"/>
  <c r="F17542" i="9"/>
  <c r="H17542" i="9" s="1"/>
  <c r="F17543" i="9"/>
  <c r="H17543" i="9" s="1"/>
  <c r="F17544" i="9"/>
  <c r="H17544" i="9" s="1"/>
  <c r="F17545" i="9"/>
  <c r="H17545" i="9" s="1"/>
  <c r="F17546" i="9"/>
  <c r="H17546" i="9" s="1"/>
  <c r="F17547" i="9"/>
  <c r="H17547" i="9" s="1"/>
  <c r="F17548" i="9"/>
  <c r="H17548" i="9" s="1"/>
  <c r="F17549" i="9"/>
  <c r="H17549" i="9" s="1"/>
  <c r="F17550" i="9"/>
  <c r="H17550" i="9" s="1"/>
  <c r="F17551" i="9"/>
  <c r="H17551" i="9" s="1"/>
  <c r="F17552" i="9"/>
  <c r="H17552" i="9" s="1"/>
  <c r="F17553" i="9"/>
  <c r="H17553" i="9"/>
  <c r="F17554" i="9"/>
  <c r="H17554" i="9" s="1"/>
  <c r="F17555" i="9"/>
  <c r="H17555" i="9" s="1"/>
  <c r="F17556" i="9"/>
  <c r="H17556" i="9"/>
  <c r="F17557" i="9"/>
  <c r="H17557" i="9" s="1"/>
  <c r="F17558" i="9"/>
  <c r="H17558" i="9" s="1"/>
  <c r="F17559" i="9"/>
  <c r="H17559" i="9" s="1"/>
  <c r="F17560" i="9"/>
  <c r="H17560" i="9" s="1"/>
  <c r="F17561" i="9"/>
  <c r="H17561" i="9" s="1"/>
  <c r="F17562" i="9"/>
  <c r="H17562" i="9" s="1"/>
  <c r="F17563" i="9"/>
  <c r="H17563" i="9" s="1"/>
  <c r="F17564" i="9"/>
  <c r="H17564" i="9" s="1"/>
  <c r="F17565" i="9"/>
  <c r="H17565" i="9" s="1"/>
  <c r="F17566" i="9"/>
  <c r="H17566" i="9" s="1"/>
  <c r="F17567" i="9"/>
  <c r="H17567" i="9" s="1"/>
  <c r="F17568" i="9"/>
  <c r="H17568" i="9" s="1"/>
  <c r="F17569" i="9"/>
  <c r="H17569" i="9" s="1"/>
  <c r="F17570" i="9"/>
  <c r="H17570" i="9" s="1"/>
  <c r="F17571" i="9"/>
  <c r="H17571" i="9" s="1"/>
  <c r="F17572" i="9"/>
  <c r="H17572" i="9" s="1"/>
  <c r="F17573" i="9"/>
  <c r="H17573" i="9" s="1"/>
  <c r="F17574" i="9"/>
  <c r="H17574" i="9" s="1"/>
  <c r="F17575" i="9"/>
  <c r="H17575" i="9" s="1"/>
  <c r="F17576" i="9"/>
  <c r="H17576" i="9" s="1"/>
  <c r="F17577" i="9"/>
  <c r="H17577" i="9" s="1"/>
  <c r="F17578" i="9"/>
  <c r="H17578" i="9" s="1"/>
  <c r="F17579" i="9"/>
  <c r="H17579" i="9" s="1"/>
  <c r="F17580" i="9"/>
  <c r="H17580" i="9" s="1"/>
  <c r="F17581" i="9"/>
  <c r="H17581" i="9" s="1"/>
  <c r="F17582" i="9"/>
  <c r="H17582" i="9" s="1"/>
  <c r="F17583" i="9"/>
  <c r="H17583" i="9" s="1"/>
  <c r="F17584" i="9"/>
  <c r="H17584" i="9" s="1"/>
  <c r="F17585" i="9"/>
  <c r="H17585" i="9" s="1"/>
  <c r="F17586" i="9"/>
  <c r="H17586" i="9" s="1"/>
  <c r="F17587" i="9"/>
  <c r="H17587" i="9" s="1"/>
  <c r="F17588" i="9"/>
  <c r="H17588" i="9" s="1"/>
  <c r="F17589" i="9"/>
  <c r="H17589" i="9" s="1"/>
  <c r="F17590" i="9"/>
  <c r="H17590" i="9" s="1"/>
  <c r="F17591" i="9"/>
  <c r="H17591" i="9" s="1"/>
  <c r="F17592" i="9"/>
  <c r="H17592" i="9" s="1"/>
  <c r="F17593" i="9"/>
  <c r="H17593" i="9" s="1"/>
  <c r="F17594" i="9"/>
  <c r="H17594" i="9" s="1"/>
  <c r="F17595" i="9"/>
  <c r="H17595" i="9" s="1"/>
  <c r="F17596" i="9"/>
  <c r="H17596" i="9" s="1"/>
  <c r="F17597" i="9"/>
  <c r="H17597" i="9" s="1"/>
  <c r="F17598" i="9"/>
  <c r="H17598" i="9" s="1"/>
  <c r="F17599" i="9"/>
  <c r="H17599" i="9" s="1"/>
  <c r="F17600" i="9"/>
  <c r="H17600" i="9" s="1"/>
  <c r="F17601" i="9"/>
  <c r="H17601" i="9"/>
  <c r="F17602" i="9"/>
  <c r="H17602" i="9" s="1"/>
  <c r="F17603" i="9"/>
  <c r="H17603" i="9" s="1"/>
  <c r="F17604" i="9"/>
  <c r="H17604" i="9" s="1"/>
  <c r="F17605" i="9"/>
  <c r="H17605" i="9" s="1"/>
  <c r="F17606" i="9"/>
  <c r="H17606" i="9" s="1"/>
  <c r="F17607" i="9"/>
  <c r="H17607" i="9"/>
  <c r="F17608" i="9"/>
  <c r="H17608" i="9" s="1"/>
  <c r="F17609" i="9"/>
  <c r="H17609" i="9" s="1"/>
  <c r="F17610" i="9"/>
  <c r="H17610" i="9" s="1"/>
  <c r="F17611" i="9"/>
  <c r="H17611" i="9" s="1"/>
  <c r="F17612" i="9"/>
  <c r="H17612" i="9" s="1"/>
  <c r="F17613" i="9"/>
  <c r="H17613" i="9" s="1"/>
  <c r="F17614" i="9"/>
  <c r="H17614" i="9" s="1"/>
  <c r="F17615" i="9"/>
  <c r="H17615" i="9" s="1"/>
  <c r="F17616" i="9"/>
  <c r="H17616" i="9" s="1"/>
  <c r="F17617" i="9"/>
  <c r="H17617" i="9" s="1"/>
  <c r="F17618" i="9"/>
  <c r="H17618" i="9" s="1"/>
  <c r="F17619" i="9"/>
  <c r="H17619" i="9" s="1"/>
  <c r="F17620" i="9"/>
  <c r="H17620" i="9" s="1"/>
  <c r="F17621" i="9"/>
  <c r="H17621" i="9" s="1"/>
  <c r="F17622" i="9"/>
  <c r="H17622" i="9" s="1"/>
  <c r="F17623" i="9"/>
  <c r="H17623" i="9" s="1"/>
  <c r="F17624" i="9"/>
  <c r="H17624" i="9" s="1"/>
  <c r="F17625" i="9"/>
  <c r="H17625" i="9" s="1"/>
  <c r="F17626" i="9"/>
  <c r="H17626" i="9" s="1"/>
  <c r="F17627" i="9"/>
  <c r="H17627" i="9" s="1"/>
  <c r="F17628" i="9"/>
  <c r="H17628" i="9" s="1"/>
  <c r="F17629" i="9"/>
  <c r="H17629" i="9" s="1"/>
  <c r="F17630" i="9"/>
  <c r="H17630" i="9" s="1"/>
  <c r="F17631" i="9"/>
  <c r="H17631" i="9" s="1"/>
  <c r="F17632" i="9"/>
  <c r="H17632" i="9" s="1"/>
  <c r="F17633" i="9"/>
  <c r="H17633" i="9" s="1"/>
  <c r="F17634" i="9"/>
  <c r="H17634" i="9" s="1"/>
  <c r="F17635" i="9"/>
  <c r="H17635" i="9" s="1"/>
  <c r="F17636" i="9"/>
  <c r="H17636" i="9" s="1"/>
  <c r="F17637" i="9"/>
  <c r="H17637" i="9" s="1"/>
  <c r="F17638" i="9"/>
  <c r="H17638" i="9" s="1"/>
  <c r="F17639" i="9"/>
  <c r="H17639" i="9" s="1"/>
  <c r="F17640" i="9"/>
  <c r="H17640" i="9" s="1"/>
  <c r="F17641" i="9"/>
  <c r="H17641" i="9" s="1"/>
  <c r="F17642" i="9"/>
  <c r="H17642" i="9" s="1"/>
  <c r="F17643" i="9"/>
  <c r="H17643" i="9"/>
  <c r="F17644" i="9"/>
  <c r="H17644" i="9" s="1"/>
  <c r="F17645" i="9"/>
  <c r="H17645" i="9" s="1"/>
  <c r="F17646" i="9"/>
  <c r="H17646" i="9" s="1"/>
  <c r="F17647" i="9"/>
  <c r="H17647" i="9" s="1"/>
  <c r="F17648" i="9"/>
  <c r="H17648" i="9" s="1"/>
  <c r="F17649" i="9"/>
  <c r="H17649" i="9" s="1"/>
  <c r="F17650" i="9"/>
  <c r="H17650" i="9" s="1"/>
  <c r="F17651" i="9"/>
  <c r="H17651" i="9" s="1"/>
  <c r="F17652" i="9"/>
  <c r="H17652" i="9" s="1"/>
  <c r="F17653" i="9"/>
  <c r="H17653" i="9" s="1"/>
  <c r="F17654" i="9"/>
  <c r="H17654" i="9" s="1"/>
  <c r="F17655" i="9"/>
  <c r="H17655" i="9" s="1"/>
  <c r="F17656" i="9"/>
  <c r="H17656" i="9" s="1"/>
  <c r="F17657" i="9"/>
  <c r="H17657" i="9" s="1"/>
  <c r="F17658" i="9"/>
  <c r="H17658" i="9" s="1"/>
  <c r="F17659" i="9"/>
  <c r="H17659" i="9" s="1"/>
  <c r="F17660" i="9"/>
  <c r="H17660" i="9" s="1"/>
  <c r="F17661" i="9"/>
  <c r="H17661" i="9" s="1"/>
  <c r="F17662" i="9"/>
  <c r="H17662" i="9" s="1"/>
  <c r="F17663" i="9"/>
  <c r="H17663" i="9" s="1"/>
  <c r="F17664" i="9"/>
  <c r="H17664" i="9"/>
  <c r="F17665" i="9"/>
  <c r="H17665" i="9" s="1"/>
  <c r="F17666" i="9"/>
  <c r="H17666" i="9" s="1"/>
  <c r="F17667" i="9"/>
  <c r="H17667" i="9" s="1"/>
  <c r="F17668" i="9"/>
  <c r="H17668" i="9" s="1"/>
  <c r="F17669" i="9"/>
  <c r="H17669" i="9" s="1"/>
  <c r="F17670" i="9"/>
  <c r="H17670" i="9" s="1"/>
  <c r="F17671" i="9"/>
  <c r="H17671" i="9" s="1"/>
  <c r="F17672" i="9"/>
  <c r="H17672" i="9" s="1"/>
  <c r="F17673" i="9"/>
  <c r="H17673" i="9" s="1"/>
  <c r="F17674" i="9"/>
  <c r="H17674" i="9" s="1"/>
  <c r="F17675" i="9"/>
  <c r="H17675" i="9" s="1"/>
  <c r="F17676" i="9"/>
  <c r="H17676" i="9" s="1"/>
  <c r="F17677" i="9"/>
  <c r="H17677" i="9"/>
  <c r="F17678" i="9"/>
  <c r="H17678" i="9" s="1"/>
  <c r="F17679" i="9"/>
  <c r="H17679" i="9" s="1"/>
  <c r="F17680" i="9"/>
  <c r="H17680" i="9" s="1"/>
  <c r="F17681" i="9"/>
  <c r="H17681" i="9" s="1"/>
  <c r="F17682" i="9"/>
  <c r="H17682" i="9" s="1"/>
  <c r="F17683" i="9"/>
  <c r="H17683" i="9" s="1"/>
  <c r="F17684" i="9"/>
  <c r="H17684" i="9" s="1"/>
  <c r="F17685" i="9"/>
  <c r="H17685" i="9" s="1"/>
  <c r="F17686" i="9"/>
  <c r="H17686" i="9" s="1"/>
  <c r="F17687" i="9"/>
  <c r="H17687" i="9" s="1"/>
  <c r="F17688" i="9"/>
  <c r="H17688" i="9" s="1"/>
  <c r="F17689" i="9"/>
  <c r="H17689" i="9" s="1"/>
  <c r="F17690" i="9"/>
  <c r="H17690" i="9" s="1"/>
  <c r="F17691" i="9"/>
  <c r="H17691" i="9" s="1"/>
  <c r="F17692" i="9"/>
  <c r="H17692" i="9" s="1"/>
  <c r="F17693" i="9"/>
  <c r="H17693" i="9" s="1"/>
  <c r="F17694" i="9"/>
  <c r="H17694" i="9" s="1"/>
  <c r="F17695" i="9"/>
  <c r="H17695" i="9" s="1"/>
  <c r="F17696" i="9"/>
  <c r="H17696" i="9" s="1"/>
  <c r="F17697" i="9"/>
  <c r="H17697" i="9" s="1"/>
  <c r="F17698" i="9"/>
  <c r="H17698" i="9" s="1"/>
  <c r="F17699" i="9"/>
  <c r="H17699" i="9" s="1"/>
  <c r="F17700" i="9"/>
  <c r="H17700" i="9" s="1"/>
  <c r="F17701" i="9"/>
  <c r="H17701" i="9" s="1"/>
  <c r="F17702" i="9"/>
  <c r="H17702" i="9" s="1"/>
  <c r="F17703" i="9"/>
  <c r="H17703" i="9" s="1"/>
  <c r="F17704" i="9"/>
  <c r="H17704" i="9" s="1"/>
  <c r="F17705" i="9"/>
  <c r="H17705" i="9" s="1"/>
  <c r="F17706" i="9"/>
  <c r="H17706" i="9" s="1"/>
  <c r="F17707" i="9"/>
  <c r="H17707" i="9" s="1"/>
  <c r="F17708" i="9"/>
  <c r="H17708" i="9" s="1"/>
  <c r="F17709" i="9"/>
  <c r="H17709" i="9" s="1"/>
  <c r="F17710" i="9"/>
  <c r="H17710" i="9" s="1"/>
  <c r="F17711" i="9"/>
  <c r="H17711" i="9" s="1"/>
  <c r="F17712" i="9"/>
  <c r="H17712" i="9" s="1"/>
  <c r="F17713" i="9"/>
  <c r="H17713" i="9" s="1"/>
  <c r="F17714" i="9"/>
  <c r="H17714" i="9" s="1"/>
  <c r="F17715" i="9"/>
  <c r="H17715" i="9" s="1"/>
  <c r="F17716" i="9"/>
  <c r="H17716" i="9" s="1"/>
  <c r="F17717" i="9"/>
  <c r="H17717" i="9"/>
  <c r="F17718" i="9"/>
  <c r="H17718" i="9" s="1"/>
  <c r="F17719" i="9"/>
  <c r="H17719" i="9" s="1"/>
  <c r="F17720" i="9"/>
  <c r="H17720" i="9" s="1"/>
  <c r="F17721" i="9"/>
  <c r="H17721" i="9" s="1"/>
  <c r="F17722" i="9"/>
  <c r="H17722" i="9" s="1"/>
  <c r="F17723" i="9"/>
  <c r="H17723" i="9" s="1"/>
  <c r="F17724" i="9"/>
  <c r="H17724" i="9" s="1"/>
  <c r="F17725" i="9"/>
  <c r="H17725" i="9" s="1"/>
  <c r="F17726" i="9"/>
  <c r="H17726" i="9" s="1"/>
  <c r="F17727" i="9"/>
  <c r="H17727" i="9" s="1"/>
  <c r="F17728" i="9"/>
  <c r="H17728" i="9" s="1"/>
  <c r="F17729" i="9"/>
  <c r="H17729" i="9" s="1"/>
  <c r="F17730" i="9"/>
  <c r="H17730" i="9" s="1"/>
  <c r="F17731" i="9"/>
  <c r="H17731" i="9" s="1"/>
  <c r="F17732" i="9"/>
  <c r="H17732" i="9" s="1"/>
  <c r="F17733" i="9"/>
  <c r="H17733" i="9" s="1"/>
  <c r="F17734" i="9"/>
  <c r="H17734" i="9" s="1"/>
  <c r="F17735" i="9"/>
  <c r="H17735" i="9" s="1"/>
  <c r="F17736" i="9"/>
  <c r="H17736" i="9" s="1"/>
  <c r="F17737" i="9"/>
  <c r="H17737" i="9" s="1"/>
  <c r="F17738" i="9"/>
  <c r="H17738" i="9" s="1"/>
  <c r="F17739" i="9"/>
  <c r="H17739" i="9" s="1"/>
  <c r="F17740" i="9"/>
  <c r="H17740" i="9" s="1"/>
  <c r="F17741" i="9"/>
  <c r="H17741" i="9"/>
  <c r="F17742" i="9"/>
  <c r="H17742" i="9" s="1"/>
  <c r="F17743" i="9"/>
  <c r="H17743" i="9" s="1"/>
  <c r="F17744" i="9"/>
  <c r="H17744" i="9" s="1"/>
  <c r="F17745" i="9"/>
  <c r="H17745" i="9" s="1"/>
  <c r="F17746" i="9"/>
  <c r="H17746" i="9" s="1"/>
  <c r="F17747" i="9"/>
  <c r="H17747" i="9" s="1"/>
  <c r="F17748" i="9"/>
  <c r="H17748" i="9"/>
  <c r="F17749" i="9"/>
  <c r="H17749" i="9" s="1"/>
  <c r="F17750" i="9"/>
  <c r="H17750" i="9" s="1"/>
  <c r="F17751" i="9"/>
  <c r="H17751" i="9" s="1"/>
  <c r="F17752" i="9"/>
  <c r="H17752" i="9" s="1"/>
  <c r="F17753" i="9"/>
  <c r="H17753" i="9" s="1"/>
  <c r="F17754" i="9"/>
  <c r="H17754" i="9" s="1"/>
  <c r="F17755" i="9"/>
  <c r="H17755" i="9" s="1"/>
  <c r="F17756" i="9"/>
  <c r="H17756" i="9" s="1"/>
  <c r="F17757" i="9"/>
  <c r="H17757" i="9" s="1"/>
  <c r="F17758" i="9"/>
  <c r="H17758" i="9" s="1"/>
  <c r="F17759" i="9"/>
  <c r="H17759" i="9" s="1"/>
  <c r="F17760" i="9"/>
  <c r="H17760" i="9" s="1"/>
  <c r="F17761" i="9"/>
  <c r="H17761" i="9" s="1"/>
  <c r="F17762" i="9"/>
  <c r="H17762" i="9" s="1"/>
  <c r="F17763" i="9"/>
  <c r="H17763" i="9" s="1"/>
  <c r="F17764" i="9"/>
  <c r="H17764" i="9" s="1"/>
  <c r="F17765" i="9"/>
  <c r="H17765" i="9" s="1"/>
  <c r="F17766" i="9"/>
  <c r="H17766" i="9" s="1"/>
  <c r="F17767" i="9"/>
  <c r="H17767" i="9" s="1"/>
  <c r="F17768" i="9"/>
  <c r="H17768" i="9" s="1"/>
  <c r="F17769" i="9"/>
  <c r="H17769" i="9" s="1"/>
  <c r="F17770" i="9"/>
  <c r="H17770" i="9" s="1"/>
  <c r="F17771" i="9"/>
  <c r="H17771" i="9" s="1"/>
  <c r="F17772" i="9"/>
  <c r="H17772" i="9" s="1"/>
  <c r="F17773" i="9"/>
  <c r="H17773" i="9" s="1"/>
  <c r="F17774" i="9"/>
  <c r="H17774" i="9" s="1"/>
  <c r="F17775" i="9"/>
  <c r="H17775" i="9" s="1"/>
  <c r="F17776" i="9"/>
  <c r="H17776" i="9" s="1"/>
  <c r="F17777" i="9"/>
  <c r="H17777" i="9" s="1"/>
  <c r="F17778" i="9"/>
  <c r="H17778" i="9" s="1"/>
  <c r="F17779" i="9"/>
  <c r="H17779" i="9" s="1"/>
  <c r="F17780" i="9"/>
  <c r="H17780" i="9" s="1"/>
  <c r="F17781" i="9"/>
  <c r="H17781" i="9" s="1"/>
  <c r="F17782" i="9"/>
  <c r="H17782" i="9" s="1"/>
  <c r="F17783" i="9"/>
  <c r="H17783" i="9" s="1"/>
  <c r="F17784" i="9"/>
  <c r="H17784" i="9" s="1"/>
  <c r="F17785" i="9"/>
  <c r="H17785" i="9" s="1"/>
  <c r="F17786" i="9"/>
  <c r="H17786" i="9" s="1"/>
  <c r="F17787" i="9"/>
  <c r="H17787" i="9" s="1"/>
  <c r="F17788" i="9"/>
  <c r="H17788" i="9" s="1"/>
  <c r="F17789" i="9"/>
  <c r="H17789" i="9" s="1"/>
  <c r="F17790" i="9"/>
  <c r="H17790" i="9" s="1"/>
  <c r="F17791" i="9"/>
  <c r="H17791" i="9" s="1"/>
  <c r="F17792" i="9"/>
  <c r="H17792" i="9" s="1"/>
  <c r="F17793" i="9"/>
  <c r="H17793" i="9" s="1"/>
  <c r="F17794" i="9"/>
  <c r="H17794" i="9" s="1"/>
  <c r="F17795" i="9"/>
  <c r="H17795" i="9" s="1"/>
  <c r="F17796" i="9"/>
  <c r="H17796" i="9" s="1"/>
  <c r="F17797" i="9"/>
  <c r="H17797" i="9" s="1"/>
  <c r="F17798" i="9"/>
  <c r="H17798" i="9" s="1"/>
  <c r="F17799" i="9"/>
  <c r="H17799" i="9" s="1"/>
  <c r="F17800" i="9"/>
  <c r="H17800" i="9" s="1"/>
  <c r="F17801" i="9"/>
  <c r="H17801" i="9" s="1"/>
  <c r="F17802" i="9"/>
  <c r="H17802" i="9" s="1"/>
  <c r="F17803" i="9"/>
  <c r="H17803" i="9" s="1"/>
  <c r="F17804" i="9"/>
  <c r="H17804" i="9" s="1"/>
  <c r="F17805" i="9"/>
  <c r="H17805" i="9" s="1"/>
  <c r="F17806" i="9"/>
  <c r="H17806" i="9" s="1"/>
  <c r="F17807" i="9"/>
  <c r="H17807" i="9" s="1"/>
  <c r="F17808" i="9"/>
  <c r="H17808" i="9"/>
  <c r="F17809" i="9"/>
  <c r="H17809" i="9" s="1"/>
  <c r="F17810" i="9"/>
  <c r="H17810" i="9" s="1"/>
  <c r="F17811" i="9"/>
  <c r="H17811" i="9" s="1"/>
  <c r="F17812" i="9"/>
  <c r="H17812" i="9" s="1"/>
  <c r="F17813" i="9"/>
  <c r="H17813" i="9" s="1"/>
  <c r="F17814" i="9"/>
  <c r="H17814" i="9" s="1"/>
  <c r="F17815" i="9"/>
  <c r="H17815" i="9" s="1"/>
  <c r="F17816" i="9"/>
  <c r="H17816" i="9" s="1"/>
  <c r="F17817" i="9"/>
  <c r="H17817" i="9" s="1"/>
  <c r="F17818" i="9"/>
  <c r="H17818" i="9" s="1"/>
  <c r="F17819" i="9"/>
  <c r="H17819" i="9"/>
  <c r="F17820" i="9"/>
  <c r="H17820" i="9" s="1"/>
  <c r="F17821" i="9"/>
  <c r="H17821" i="9" s="1"/>
  <c r="F17822" i="9"/>
  <c r="H17822" i="9" s="1"/>
  <c r="F17823" i="9"/>
  <c r="H17823" i="9" s="1"/>
  <c r="F17824" i="9"/>
  <c r="H17824" i="9" s="1"/>
  <c r="F17825" i="9"/>
  <c r="H17825" i="9"/>
  <c r="F17826" i="9"/>
  <c r="H17826" i="9" s="1"/>
  <c r="F17827" i="9"/>
  <c r="H17827" i="9" s="1"/>
  <c r="F17828" i="9"/>
  <c r="H17828" i="9" s="1"/>
  <c r="F17829" i="9"/>
  <c r="H17829" i="9" s="1"/>
  <c r="F17830" i="9"/>
  <c r="H17830" i="9" s="1"/>
  <c r="F17831" i="9"/>
  <c r="H17831" i="9" s="1"/>
  <c r="F17832" i="9"/>
  <c r="H17832" i="9" s="1"/>
  <c r="F17833" i="9"/>
  <c r="H17833" i="9"/>
  <c r="F17834" i="9"/>
  <c r="H17834" i="9" s="1"/>
  <c r="F17835" i="9"/>
  <c r="H17835" i="9" s="1"/>
  <c r="F17836" i="9"/>
  <c r="H17836" i="9" s="1"/>
  <c r="F17837" i="9"/>
  <c r="H17837" i="9" s="1"/>
  <c r="F17838" i="9"/>
  <c r="H17838" i="9" s="1"/>
  <c r="F17839" i="9"/>
  <c r="H17839" i="9" s="1"/>
  <c r="F17840" i="9"/>
  <c r="H17840" i="9" s="1"/>
  <c r="F17841" i="9"/>
  <c r="H17841" i="9" s="1"/>
  <c r="F17842" i="9"/>
  <c r="H17842" i="9" s="1"/>
  <c r="F17843" i="9"/>
  <c r="H17843" i="9" s="1"/>
  <c r="F17844" i="9"/>
  <c r="H17844" i="9" s="1"/>
  <c r="F17845" i="9"/>
  <c r="H17845" i="9" s="1"/>
  <c r="F17846" i="9"/>
  <c r="H17846" i="9" s="1"/>
  <c r="F17847" i="9"/>
  <c r="H17847" i="9" s="1"/>
  <c r="F17848" i="9"/>
  <c r="H17848" i="9" s="1"/>
  <c r="F17849" i="9"/>
  <c r="H17849" i="9" s="1"/>
  <c r="F17850" i="9"/>
  <c r="H17850" i="9" s="1"/>
  <c r="F17851" i="9"/>
  <c r="H17851" i="9" s="1"/>
  <c r="F17852" i="9"/>
  <c r="H17852" i="9" s="1"/>
  <c r="F17853" i="9"/>
  <c r="H17853" i="9" s="1"/>
  <c r="F17854" i="9"/>
  <c r="H17854" i="9" s="1"/>
  <c r="F17855" i="9"/>
  <c r="H17855" i="9" s="1"/>
  <c r="F17856" i="9"/>
  <c r="H17856" i="9"/>
  <c r="F17857" i="9"/>
  <c r="H17857" i="9" s="1"/>
  <c r="F17858" i="9"/>
  <c r="H17858" i="9" s="1"/>
  <c r="F17859" i="9"/>
  <c r="H17859" i="9" s="1"/>
  <c r="F17860" i="9"/>
  <c r="H17860" i="9" s="1"/>
  <c r="F17861" i="9"/>
  <c r="H17861" i="9" s="1"/>
  <c r="F17862" i="9"/>
  <c r="H17862" i="9" s="1"/>
  <c r="F17863" i="9"/>
  <c r="H17863" i="9" s="1"/>
  <c r="F17864" i="9"/>
  <c r="H17864" i="9" s="1"/>
  <c r="F17865" i="9"/>
  <c r="H17865" i="9" s="1"/>
  <c r="F17866" i="9"/>
  <c r="H17866" i="9" s="1"/>
  <c r="F17867" i="9"/>
  <c r="H17867" i="9"/>
  <c r="F17868" i="9"/>
  <c r="H17868" i="9" s="1"/>
  <c r="F17869" i="9"/>
  <c r="H17869" i="9" s="1"/>
  <c r="F17870" i="9"/>
  <c r="H17870" i="9" s="1"/>
  <c r="F17871" i="9"/>
  <c r="H17871" i="9" s="1"/>
  <c r="F17872" i="9"/>
  <c r="H17872" i="9" s="1"/>
  <c r="F17873" i="9"/>
  <c r="H17873" i="9"/>
  <c r="F17874" i="9"/>
  <c r="H17874" i="9" s="1"/>
  <c r="F17875" i="9"/>
  <c r="H17875" i="9" s="1"/>
  <c r="F17876" i="9"/>
  <c r="H17876" i="9"/>
  <c r="F17877" i="9"/>
  <c r="H17877" i="9" s="1"/>
  <c r="F17878" i="9"/>
  <c r="H17878" i="9" s="1"/>
  <c r="F17879" i="9"/>
  <c r="H17879" i="9" s="1"/>
  <c r="F17880" i="9"/>
  <c r="H17880" i="9" s="1"/>
  <c r="F17881" i="9"/>
  <c r="H17881" i="9" s="1"/>
  <c r="F17882" i="9"/>
  <c r="H17882" i="9" s="1"/>
  <c r="F17883" i="9"/>
  <c r="H17883" i="9"/>
  <c r="F17884" i="9"/>
  <c r="H17884" i="9" s="1"/>
  <c r="F17885" i="9"/>
  <c r="H17885" i="9" s="1"/>
  <c r="F17886" i="9"/>
  <c r="H17886" i="9" s="1"/>
  <c r="F17887" i="9"/>
  <c r="H17887" i="9" s="1"/>
  <c r="F17888" i="9"/>
  <c r="H17888" i="9" s="1"/>
  <c r="F17889" i="9"/>
  <c r="H17889" i="9" s="1"/>
  <c r="F17890" i="9"/>
  <c r="H17890" i="9" s="1"/>
  <c r="F17891" i="9"/>
  <c r="H17891" i="9"/>
  <c r="F17892" i="9"/>
  <c r="H17892" i="9" s="1"/>
  <c r="F17893" i="9"/>
  <c r="H17893" i="9" s="1"/>
  <c r="F17894" i="9"/>
  <c r="H17894" i="9" s="1"/>
  <c r="F17895" i="9"/>
  <c r="H17895" i="9" s="1"/>
  <c r="F17896" i="9"/>
  <c r="H17896" i="9" s="1"/>
  <c r="F17897" i="9"/>
  <c r="H17897" i="9" s="1"/>
  <c r="F17898" i="9"/>
  <c r="H17898" i="9" s="1"/>
  <c r="F17899" i="9"/>
  <c r="H17899" i="9" s="1"/>
  <c r="F17900" i="9"/>
  <c r="H17900" i="9" s="1"/>
  <c r="F17901" i="9"/>
  <c r="H17901" i="9" s="1"/>
  <c r="F17902" i="9"/>
  <c r="H17902" i="9" s="1"/>
  <c r="F17903" i="9"/>
  <c r="H17903" i="9" s="1"/>
  <c r="F17904" i="9"/>
  <c r="H17904" i="9" s="1"/>
  <c r="F17905" i="9"/>
  <c r="H17905" i="9" s="1"/>
  <c r="F17906" i="9"/>
  <c r="H17906" i="9" s="1"/>
  <c r="F17907" i="9"/>
  <c r="H17907" i="9" s="1"/>
  <c r="F17908" i="9"/>
  <c r="H17908" i="9" s="1"/>
  <c r="F17909" i="9"/>
  <c r="H17909" i="9"/>
  <c r="F17910" i="9"/>
  <c r="H17910" i="9" s="1"/>
  <c r="F17911" i="9"/>
  <c r="H17911" i="9" s="1"/>
  <c r="F17912" i="9"/>
  <c r="H17912" i="9" s="1"/>
  <c r="F17913" i="9"/>
  <c r="H17913" i="9" s="1"/>
  <c r="F17914" i="9"/>
  <c r="H17914" i="9" s="1"/>
  <c r="F17915" i="9"/>
  <c r="H17915" i="9" s="1"/>
  <c r="F17916" i="9"/>
  <c r="H17916" i="9" s="1"/>
  <c r="F17917" i="9"/>
  <c r="H17917" i="9" s="1"/>
  <c r="F17918" i="9"/>
  <c r="H17918" i="9" s="1"/>
  <c r="F17919" i="9"/>
  <c r="H17919" i="9" s="1"/>
  <c r="F17920" i="9"/>
  <c r="H17920" i="9" s="1"/>
  <c r="F17921" i="9"/>
  <c r="H17921" i="9" s="1"/>
  <c r="F17922" i="9"/>
  <c r="H17922" i="9" s="1"/>
  <c r="F17923" i="9"/>
  <c r="H17923" i="9" s="1"/>
  <c r="F17924" i="9"/>
  <c r="H17924" i="9" s="1"/>
  <c r="F17925" i="9"/>
  <c r="H17925" i="9" s="1"/>
  <c r="F17926" i="9"/>
  <c r="H17926" i="9" s="1"/>
  <c r="F17927" i="9"/>
  <c r="H17927" i="9" s="1"/>
  <c r="F17928" i="9"/>
  <c r="H17928" i="9" s="1"/>
  <c r="F17929" i="9"/>
  <c r="H17929" i="9" s="1"/>
  <c r="F17930" i="9"/>
  <c r="H17930" i="9" s="1"/>
  <c r="F17931" i="9"/>
  <c r="H17931" i="9" s="1"/>
  <c r="F17932" i="9"/>
  <c r="H17932" i="9" s="1"/>
  <c r="F17933" i="9"/>
  <c r="H17933" i="9" s="1"/>
  <c r="F17934" i="9"/>
  <c r="H17934" i="9" s="1"/>
  <c r="F17935" i="9"/>
  <c r="H17935" i="9" s="1"/>
  <c r="F17936" i="9"/>
  <c r="H17936" i="9" s="1"/>
  <c r="F17937" i="9"/>
  <c r="H17937" i="9" s="1"/>
  <c r="F17938" i="9"/>
  <c r="H17938" i="9" s="1"/>
  <c r="F17939" i="9"/>
  <c r="H17939" i="9" s="1"/>
  <c r="F17940" i="9"/>
  <c r="H17940" i="9" s="1"/>
  <c r="F17941" i="9"/>
  <c r="H17941" i="9" s="1"/>
  <c r="F17942" i="9"/>
  <c r="H17942" i="9" s="1"/>
  <c r="F17943" i="9"/>
  <c r="H17943" i="9" s="1"/>
  <c r="F17944" i="9"/>
  <c r="H17944" i="9" s="1"/>
  <c r="F17945" i="9"/>
  <c r="H17945" i="9" s="1"/>
  <c r="F17946" i="9"/>
  <c r="H17946" i="9" s="1"/>
  <c r="F17947" i="9"/>
  <c r="H17947" i="9" s="1"/>
  <c r="F17948" i="9"/>
  <c r="H17948" i="9" s="1"/>
  <c r="F17949" i="9"/>
  <c r="H17949" i="9" s="1"/>
  <c r="F17950" i="9"/>
  <c r="H17950" i="9" s="1"/>
  <c r="F17951" i="9"/>
  <c r="H17951" i="9" s="1"/>
  <c r="F17952" i="9"/>
  <c r="H17952" i="9" s="1"/>
  <c r="F17953" i="9"/>
  <c r="H17953" i="9" s="1"/>
  <c r="F17954" i="9"/>
  <c r="H17954" i="9" s="1"/>
  <c r="F17955" i="9"/>
  <c r="H17955" i="9" s="1"/>
  <c r="F17956" i="9"/>
  <c r="H17956" i="9" s="1"/>
  <c r="F17957" i="9"/>
  <c r="H17957" i="9" s="1"/>
  <c r="F17958" i="9"/>
  <c r="H17958" i="9" s="1"/>
  <c r="F17959" i="9"/>
  <c r="H17959" i="9" s="1"/>
  <c r="F17960" i="9"/>
  <c r="H17960" i="9"/>
  <c r="F17961" i="9"/>
  <c r="H17961" i="9" s="1"/>
  <c r="F17962" i="9"/>
  <c r="H17962" i="9" s="1"/>
  <c r="F17963" i="9"/>
  <c r="H17963" i="9" s="1"/>
  <c r="F17964" i="9"/>
  <c r="H17964" i="9" s="1"/>
  <c r="F17965" i="9"/>
  <c r="H17965" i="9" s="1"/>
  <c r="F17966" i="9"/>
  <c r="H17966" i="9" s="1"/>
  <c r="F17967" i="9"/>
  <c r="H17967" i="9" s="1"/>
  <c r="F17968" i="9"/>
  <c r="H17968" i="9" s="1"/>
  <c r="F17969" i="9"/>
  <c r="H17969" i="9" s="1"/>
  <c r="F17970" i="9"/>
  <c r="H17970" i="9" s="1"/>
  <c r="F17971" i="9"/>
  <c r="H17971" i="9" s="1"/>
  <c r="F17972" i="9"/>
  <c r="H17972" i="9" s="1"/>
  <c r="F17973" i="9"/>
  <c r="H17973" i="9" s="1"/>
  <c r="F17974" i="9"/>
  <c r="H17974" i="9" s="1"/>
  <c r="F17975" i="9"/>
  <c r="H17975" i="9" s="1"/>
  <c r="F17976" i="9"/>
  <c r="H17976" i="9" s="1"/>
  <c r="F17977" i="9"/>
  <c r="H17977" i="9" s="1"/>
  <c r="F17978" i="9"/>
  <c r="H17978" i="9"/>
  <c r="F17979" i="9"/>
  <c r="H17979" i="9" s="1"/>
  <c r="F17980" i="9"/>
  <c r="H17980" i="9" s="1"/>
  <c r="F17981" i="9"/>
  <c r="H17981" i="9" s="1"/>
  <c r="F17982" i="9"/>
  <c r="H17982" i="9" s="1"/>
  <c r="F17983" i="9"/>
  <c r="H17983" i="9" s="1"/>
  <c r="F17984" i="9"/>
  <c r="H17984" i="9" s="1"/>
  <c r="F17985" i="9"/>
  <c r="H17985" i="9" s="1"/>
  <c r="F17986" i="9"/>
  <c r="H17986" i="9" s="1"/>
  <c r="F17987" i="9"/>
  <c r="H17987" i="9" s="1"/>
  <c r="F17988" i="9"/>
  <c r="H17988" i="9" s="1"/>
  <c r="F17989" i="9"/>
  <c r="H17989" i="9"/>
  <c r="F17990" i="9"/>
  <c r="H17990" i="9" s="1"/>
  <c r="F17991" i="9"/>
  <c r="H17991" i="9" s="1"/>
  <c r="F17992" i="9"/>
  <c r="H17992" i="9" s="1"/>
  <c r="F17993" i="9"/>
  <c r="H17993" i="9" s="1"/>
  <c r="F17994" i="9"/>
  <c r="H17994" i="9" s="1"/>
  <c r="F17995" i="9"/>
  <c r="H17995" i="9" s="1"/>
  <c r="F17996" i="9"/>
  <c r="H17996" i="9"/>
  <c r="F17997" i="9"/>
  <c r="H17997" i="9" s="1"/>
  <c r="F17998" i="9"/>
  <c r="H17998" i="9" s="1"/>
  <c r="F17999" i="9"/>
  <c r="H17999" i="9" s="1"/>
  <c r="F18000" i="9"/>
  <c r="H18000" i="9" s="1"/>
  <c r="F18001" i="9"/>
  <c r="H18001" i="9" s="1"/>
  <c r="F18002" i="9"/>
  <c r="H18002" i="9" s="1"/>
  <c r="F18003" i="9"/>
  <c r="H18003" i="9" s="1"/>
  <c r="F18004" i="9"/>
  <c r="H18004" i="9" s="1"/>
  <c r="F18005" i="9"/>
  <c r="H18005" i="9" s="1"/>
  <c r="F18006" i="9"/>
  <c r="H18006" i="9" s="1"/>
  <c r="F18007" i="9"/>
  <c r="H18007" i="9" s="1"/>
  <c r="F18008" i="9"/>
  <c r="H18008" i="9" s="1"/>
  <c r="F18009" i="9"/>
  <c r="H18009" i="9"/>
  <c r="F18010" i="9"/>
  <c r="H18010" i="9" s="1"/>
  <c r="F18011" i="9"/>
  <c r="H18011" i="9" s="1"/>
  <c r="F18012" i="9"/>
  <c r="H18012" i="9" s="1"/>
  <c r="F18013" i="9"/>
  <c r="H18013" i="9" s="1"/>
  <c r="F18014" i="9"/>
  <c r="H18014" i="9" s="1"/>
  <c r="F18015" i="9"/>
  <c r="H18015" i="9" s="1"/>
  <c r="F18016" i="9"/>
  <c r="H18016" i="9" s="1"/>
  <c r="F18017" i="9"/>
  <c r="H18017" i="9" s="1"/>
  <c r="F18018" i="9"/>
  <c r="H18018" i="9" s="1"/>
  <c r="F18019" i="9"/>
  <c r="H18019" i="9" s="1"/>
  <c r="F18020" i="9"/>
  <c r="H18020" i="9" s="1"/>
  <c r="F18021" i="9"/>
  <c r="H18021" i="9" s="1"/>
  <c r="F18022" i="9"/>
  <c r="H18022" i="9" s="1"/>
  <c r="F18023" i="9"/>
  <c r="H18023" i="9" s="1"/>
  <c r="F18024" i="9"/>
  <c r="H18024" i="9" s="1"/>
  <c r="F18025" i="9"/>
  <c r="H18025" i="9" s="1"/>
  <c r="F18026" i="9"/>
  <c r="H18026" i="9" s="1"/>
  <c r="F18027" i="9"/>
  <c r="H18027" i="9" s="1"/>
  <c r="F18028" i="9"/>
  <c r="H18028" i="9" s="1"/>
  <c r="F18029" i="9"/>
  <c r="H18029" i="9" s="1"/>
  <c r="F18030" i="9"/>
  <c r="H18030" i="9" s="1"/>
  <c r="F18031" i="9"/>
  <c r="H18031" i="9" s="1"/>
  <c r="F18032" i="9"/>
  <c r="H18032" i="9" s="1"/>
  <c r="F18033" i="9"/>
  <c r="H18033" i="9" s="1"/>
  <c r="F18034" i="9"/>
  <c r="H18034" i="9" s="1"/>
  <c r="F18035" i="9"/>
  <c r="H18035" i="9" s="1"/>
  <c r="F18036" i="9"/>
  <c r="H18036" i="9" s="1"/>
  <c r="F18037" i="9"/>
  <c r="H18037" i="9" s="1"/>
  <c r="F18038" i="9"/>
  <c r="H18038" i="9" s="1"/>
  <c r="F18039" i="9"/>
  <c r="H18039" i="9" s="1"/>
  <c r="F18040" i="9"/>
  <c r="H18040" i="9" s="1"/>
  <c r="F18041" i="9"/>
  <c r="H18041" i="9"/>
  <c r="F18042" i="9"/>
  <c r="H18042" i="9" s="1"/>
  <c r="F18043" i="9"/>
  <c r="H18043" i="9" s="1"/>
  <c r="F18044" i="9"/>
  <c r="H18044" i="9" s="1"/>
  <c r="F18045" i="9"/>
  <c r="H18045" i="9" s="1"/>
  <c r="F18046" i="9"/>
  <c r="H18046" i="9" s="1"/>
  <c r="F18047" i="9"/>
  <c r="H18047" i="9" s="1"/>
  <c r="F18048" i="9"/>
  <c r="H18048" i="9" s="1"/>
  <c r="F18049" i="9"/>
  <c r="H18049" i="9"/>
  <c r="F18050" i="9"/>
  <c r="H18050" i="9" s="1"/>
  <c r="F18051" i="9"/>
  <c r="H18051" i="9" s="1"/>
  <c r="F18052" i="9"/>
  <c r="H18052" i="9" s="1"/>
  <c r="F18053" i="9"/>
  <c r="H18053" i="9" s="1"/>
  <c r="F18054" i="9"/>
  <c r="H18054" i="9" s="1"/>
  <c r="F18055" i="9"/>
  <c r="H18055" i="9" s="1"/>
  <c r="F18056" i="9"/>
  <c r="H18056" i="9" s="1"/>
  <c r="F18057" i="9"/>
  <c r="H18057" i="9" s="1"/>
  <c r="F18058" i="9"/>
  <c r="H18058" i="9" s="1"/>
  <c r="F18059" i="9"/>
  <c r="H18059" i="9" s="1"/>
  <c r="F18060" i="9"/>
  <c r="H18060" i="9" s="1"/>
  <c r="F18061" i="9"/>
  <c r="H18061" i="9" s="1"/>
  <c r="F18062" i="9"/>
  <c r="H18062" i="9" s="1"/>
  <c r="F18063" i="9"/>
  <c r="H18063" i="9" s="1"/>
  <c r="F18064" i="9"/>
  <c r="H18064" i="9" s="1"/>
  <c r="F18065" i="9"/>
  <c r="H18065" i="9"/>
  <c r="F18066" i="9"/>
  <c r="H18066" i="9" s="1"/>
  <c r="F18067" i="9"/>
  <c r="H18067" i="9"/>
  <c r="F18068" i="9"/>
  <c r="H18068" i="9" s="1"/>
  <c r="F18069" i="9"/>
  <c r="H18069" i="9" s="1"/>
  <c r="F18070" i="9"/>
  <c r="H18070" i="9" s="1"/>
  <c r="F18071" i="9"/>
  <c r="H18071" i="9" s="1"/>
  <c r="F18072" i="9"/>
  <c r="H18072" i="9" s="1"/>
  <c r="F18073" i="9"/>
  <c r="H18073" i="9" s="1"/>
  <c r="F18074" i="9"/>
  <c r="H18074" i="9" s="1"/>
  <c r="F18075" i="9"/>
  <c r="H18075" i="9" s="1"/>
  <c r="F18076" i="9"/>
  <c r="H18076" i="9" s="1"/>
  <c r="F18077" i="9"/>
  <c r="H18077" i="9" s="1"/>
  <c r="F18078" i="9"/>
  <c r="H18078" i="9" s="1"/>
  <c r="F18079" i="9"/>
  <c r="H18079" i="9" s="1"/>
  <c r="F18080" i="9"/>
  <c r="H18080" i="9" s="1"/>
  <c r="F18081" i="9"/>
  <c r="H18081" i="9" s="1"/>
  <c r="F18082" i="9"/>
  <c r="H18082" i="9" s="1"/>
  <c r="F18083" i="9"/>
  <c r="H18083" i="9" s="1"/>
  <c r="F18084" i="9"/>
  <c r="H18084" i="9" s="1"/>
  <c r="F18085" i="9"/>
  <c r="H18085" i="9" s="1"/>
  <c r="F18086" i="9"/>
  <c r="H18086" i="9"/>
  <c r="F18087" i="9"/>
  <c r="H18087" i="9" s="1"/>
  <c r="F18088" i="9"/>
  <c r="H18088" i="9" s="1"/>
  <c r="F18089" i="9"/>
  <c r="H18089" i="9" s="1"/>
  <c r="F18090" i="9"/>
  <c r="H18090" i="9" s="1"/>
  <c r="F18091" i="9"/>
  <c r="H18091" i="9" s="1"/>
  <c r="F18092" i="9"/>
  <c r="H18092" i="9" s="1"/>
  <c r="F18093" i="9"/>
  <c r="H18093" i="9"/>
  <c r="F18094" i="9"/>
  <c r="H18094" i="9" s="1"/>
  <c r="F18095" i="9"/>
  <c r="H18095" i="9" s="1"/>
  <c r="F18096" i="9"/>
  <c r="H18096" i="9" s="1"/>
  <c r="F18097" i="9"/>
  <c r="H18097" i="9" s="1"/>
  <c r="F18098" i="9"/>
  <c r="H18098" i="9" s="1"/>
  <c r="F18099" i="9"/>
  <c r="H18099" i="9" s="1"/>
  <c r="F18100" i="9"/>
  <c r="H18100" i="9" s="1"/>
  <c r="F18101" i="9"/>
  <c r="H18101" i="9" s="1"/>
  <c r="F18102" i="9"/>
  <c r="H18102" i="9" s="1"/>
  <c r="F18103" i="9"/>
  <c r="H18103" i="9" s="1"/>
  <c r="F18104" i="9"/>
  <c r="H18104" i="9"/>
  <c r="F18105" i="9"/>
  <c r="H18105" i="9" s="1"/>
  <c r="F18106" i="9"/>
  <c r="H18106" i="9" s="1"/>
  <c r="F18107" i="9"/>
  <c r="H18107" i="9" s="1"/>
  <c r="F18108" i="9"/>
  <c r="H18108" i="9" s="1"/>
  <c r="F18109" i="9"/>
  <c r="H18109" i="9" s="1"/>
  <c r="F18110" i="9"/>
  <c r="H18110" i="9" s="1"/>
  <c r="F18111" i="9"/>
  <c r="H18111" i="9" s="1"/>
  <c r="F18112" i="9"/>
  <c r="H18112" i="9" s="1"/>
  <c r="F18113" i="9"/>
  <c r="H18113" i="9" s="1"/>
  <c r="F18114" i="9"/>
  <c r="H18114" i="9" s="1"/>
  <c r="F18115" i="9"/>
  <c r="H18115" i="9" s="1"/>
  <c r="F18116" i="9"/>
  <c r="H18116" i="9" s="1"/>
  <c r="F18117" i="9"/>
  <c r="H18117" i="9" s="1"/>
  <c r="F18118" i="9"/>
  <c r="H18118" i="9" s="1"/>
  <c r="F18119" i="9"/>
  <c r="H18119" i="9" s="1"/>
  <c r="F18120" i="9"/>
  <c r="H18120" i="9" s="1"/>
  <c r="F18121" i="9"/>
  <c r="H18121" i="9" s="1"/>
  <c r="F18122" i="9"/>
  <c r="H18122" i="9" s="1"/>
  <c r="F18123" i="9"/>
  <c r="H18123" i="9" s="1"/>
  <c r="F18124" i="9"/>
  <c r="H18124" i="9" s="1"/>
  <c r="F18125" i="9"/>
  <c r="H18125" i="9" s="1"/>
  <c r="F18126" i="9"/>
  <c r="H18126" i="9" s="1"/>
  <c r="F18127" i="9"/>
  <c r="H18127" i="9" s="1"/>
  <c r="F18128" i="9"/>
  <c r="H18128" i="9" s="1"/>
  <c r="F18129" i="9"/>
  <c r="H18129" i="9" s="1"/>
  <c r="F18130" i="9"/>
  <c r="H18130" i="9" s="1"/>
  <c r="F18131" i="9"/>
  <c r="H18131" i="9" s="1"/>
  <c r="F18132" i="9"/>
  <c r="H18132" i="9" s="1"/>
  <c r="F18133" i="9"/>
  <c r="H18133" i="9" s="1"/>
  <c r="F18134" i="9"/>
  <c r="H18134" i="9" s="1"/>
  <c r="F18135" i="9"/>
  <c r="H18135" i="9" s="1"/>
  <c r="F18136" i="9"/>
  <c r="H18136" i="9" s="1"/>
  <c r="F18137" i="9"/>
  <c r="H18137" i="9" s="1"/>
  <c r="F18138" i="9"/>
  <c r="H18138" i="9" s="1"/>
  <c r="F18139" i="9"/>
  <c r="H18139" i="9" s="1"/>
  <c r="F18140" i="9"/>
  <c r="H18140" i="9" s="1"/>
  <c r="F18141" i="9"/>
  <c r="H18141" i="9" s="1"/>
  <c r="F18142" i="9"/>
  <c r="H18142" i="9" s="1"/>
  <c r="F18143" i="9"/>
  <c r="H18143" i="9" s="1"/>
  <c r="F18144" i="9"/>
  <c r="H18144" i="9" s="1"/>
  <c r="F18145" i="9"/>
  <c r="H18145" i="9" s="1"/>
  <c r="F18146" i="9"/>
  <c r="H18146" i="9" s="1"/>
  <c r="F18147" i="9"/>
  <c r="H18147" i="9" s="1"/>
  <c r="F18148" i="9"/>
  <c r="H18148" i="9" s="1"/>
  <c r="F18149" i="9"/>
  <c r="H18149" i="9" s="1"/>
  <c r="F18150" i="9"/>
  <c r="H18150" i="9" s="1"/>
  <c r="F18151" i="9"/>
  <c r="H18151" i="9" s="1"/>
  <c r="F18152" i="9"/>
  <c r="H18152" i="9"/>
  <c r="F18153" i="9"/>
  <c r="H18153" i="9" s="1"/>
  <c r="F18154" i="9"/>
  <c r="H18154" i="9" s="1"/>
  <c r="F18155" i="9"/>
  <c r="H18155" i="9" s="1"/>
  <c r="F18156" i="9"/>
  <c r="H18156" i="9" s="1"/>
  <c r="F18157" i="9"/>
  <c r="H18157" i="9" s="1"/>
  <c r="F18158" i="9"/>
  <c r="H18158" i="9" s="1"/>
  <c r="F18159" i="9"/>
  <c r="H18159" i="9" s="1"/>
  <c r="F18160" i="9"/>
  <c r="H18160" i="9" s="1"/>
  <c r="F18161" i="9"/>
  <c r="H18161" i="9" s="1"/>
  <c r="F18162" i="9"/>
  <c r="H18162" i="9" s="1"/>
  <c r="F18163" i="9"/>
  <c r="H18163" i="9" s="1"/>
  <c r="F18164" i="9"/>
  <c r="H18164" i="9" s="1"/>
  <c r="F18165" i="9"/>
  <c r="H18165" i="9" s="1"/>
  <c r="F18166" i="9"/>
  <c r="H18166" i="9" s="1"/>
  <c r="F18167" i="9"/>
  <c r="H18167" i="9" s="1"/>
  <c r="F18168" i="9"/>
  <c r="H18168" i="9" s="1"/>
  <c r="F18169" i="9"/>
  <c r="H18169" i="9" s="1"/>
  <c r="F18170" i="9"/>
  <c r="H18170" i="9" s="1"/>
  <c r="F18171" i="9"/>
  <c r="H18171" i="9" s="1"/>
  <c r="F18172" i="9"/>
  <c r="H18172" i="9" s="1"/>
  <c r="F18173" i="9"/>
  <c r="H18173" i="9" s="1"/>
  <c r="F18174" i="9"/>
  <c r="H18174" i="9" s="1"/>
  <c r="F18175" i="9"/>
  <c r="H18175" i="9" s="1"/>
  <c r="F18176" i="9"/>
  <c r="H18176" i="9" s="1"/>
  <c r="F18177" i="9"/>
  <c r="H18177" i="9" s="1"/>
  <c r="F18178" i="9"/>
  <c r="H18178" i="9" s="1"/>
  <c r="F18179" i="9"/>
  <c r="H18179" i="9"/>
  <c r="F18180" i="9"/>
  <c r="H18180" i="9" s="1"/>
  <c r="F18181" i="9"/>
  <c r="H18181" i="9" s="1"/>
  <c r="F18182" i="9"/>
  <c r="H18182" i="9" s="1"/>
  <c r="F18183" i="9"/>
  <c r="H18183" i="9" s="1"/>
  <c r="F18184" i="9"/>
  <c r="H18184" i="9" s="1"/>
  <c r="F18185" i="9"/>
  <c r="H18185" i="9" s="1"/>
  <c r="F18186" i="9"/>
  <c r="H18186" i="9" s="1"/>
  <c r="F18187" i="9"/>
  <c r="H18187" i="9" s="1"/>
  <c r="F18188" i="9"/>
  <c r="H18188" i="9" s="1"/>
  <c r="F18189" i="9"/>
  <c r="H18189" i="9" s="1"/>
  <c r="F18190" i="9"/>
  <c r="H18190" i="9" s="1"/>
  <c r="F18191" i="9"/>
  <c r="H18191" i="9" s="1"/>
  <c r="F18192" i="9"/>
  <c r="H18192" i="9" s="1"/>
  <c r="F18193" i="9"/>
  <c r="H18193" i="9" s="1"/>
  <c r="F18194" i="9"/>
  <c r="H18194" i="9" s="1"/>
  <c r="F18195" i="9"/>
  <c r="H18195" i="9"/>
  <c r="F18196" i="9"/>
  <c r="H18196" i="9" s="1"/>
  <c r="F18197" i="9"/>
  <c r="H18197" i="9" s="1"/>
  <c r="F18198" i="9"/>
  <c r="H18198" i="9" s="1"/>
  <c r="F18199" i="9"/>
  <c r="H18199" i="9" s="1"/>
  <c r="F18200" i="9"/>
  <c r="H18200" i="9" s="1"/>
  <c r="F18201" i="9"/>
  <c r="H18201" i="9" s="1"/>
  <c r="F18202" i="9"/>
  <c r="H18202" i="9" s="1"/>
  <c r="F18203" i="9"/>
  <c r="H18203" i="9" s="1"/>
  <c r="F18204" i="9"/>
  <c r="H18204" i="9" s="1"/>
  <c r="F18205" i="9"/>
  <c r="H18205" i="9" s="1"/>
  <c r="F18206" i="9"/>
  <c r="H18206" i="9" s="1"/>
  <c r="F18207" i="9"/>
  <c r="H18207" i="9" s="1"/>
  <c r="F18208" i="9"/>
  <c r="H18208" i="9" s="1"/>
  <c r="F18209" i="9"/>
  <c r="H18209" i="9" s="1"/>
  <c r="F18210" i="9"/>
  <c r="H18210" i="9" s="1"/>
  <c r="F18211" i="9"/>
  <c r="H18211" i="9" s="1"/>
  <c r="F18212" i="9"/>
  <c r="H18212" i="9" s="1"/>
  <c r="F18213" i="9"/>
  <c r="H18213" i="9" s="1"/>
  <c r="F18214" i="9"/>
  <c r="H18214" i="9" s="1"/>
  <c r="F18215" i="9"/>
  <c r="H18215" i="9" s="1"/>
  <c r="F18216" i="9"/>
  <c r="H18216" i="9" s="1"/>
  <c r="F18217" i="9"/>
  <c r="H18217" i="9" s="1"/>
  <c r="F18218" i="9"/>
  <c r="H18218" i="9" s="1"/>
  <c r="F18219" i="9"/>
  <c r="H18219" i="9" s="1"/>
  <c r="F18220" i="9"/>
  <c r="H18220" i="9" s="1"/>
  <c r="F18221" i="9"/>
  <c r="H18221" i="9" s="1"/>
  <c r="F18222" i="9"/>
  <c r="H18222" i="9" s="1"/>
  <c r="F18223" i="9"/>
  <c r="H18223" i="9" s="1"/>
  <c r="F18224" i="9"/>
  <c r="H18224" i="9" s="1"/>
  <c r="F18225" i="9"/>
  <c r="H18225" i="9" s="1"/>
  <c r="F18226" i="9"/>
  <c r="H18226" i="9" s="1"/>
  <c r="F18227" i="9"/>
  <c r="H18227" i="9" s="1"/>
  <c r="F18228" i="9"/>
  <c r="H18228" i="9" s="1"/>
  <c r="F18229" i="9"/>
  <c r="H18229" i="9" s="1"/>
  <c r="F18230" i="9"/>
  <c r="H18230" i="9" s="1"/>
  <c r="F18231" i="9"/>
  <c r="H18231" i="9"/>
  <c r="F18232" i="9"/>
  <c r="H18232" i="9" s="1"/>
  <c r="F18233" i="9"/>
  <c r="H18233" i="9" s="1"/>
  <c r="F18234" i="9"/>
  <c r="H18234" i="9" s="1"/>
  <c r="F18235" i="9"/>
  <c r="H18235" i="9" s="1"/>
  <c r="F18236" i="9"/>
  <c r="H18236" i="9" s="1"/>
  <c r="F18237" i="9"/>
  <c r="H18237" i="9" s="1"/>
  <c r="F18238" i="9"/>
  <c r="H18238" i="9" s="1"/>
  <c r="F18239" i="9"/>
  <c r="H18239" i="9" s="1"/>
  <c r="F18240" i="9"/>
  <c r="H18240" i="9" s="1"/>
  <c r="F18241" i="9"/>
  <c r="H18241" i="9" s="1"/>
  <c r="F18242" i="9"/>
  <c r="H18242" i="9" s="1"/>
  <c r="F18243" i="9"/>
  <c r="H18243" i="9" s="1"/>
  <c r="F18244" i="9"/>
  <c r="H18244" i="9" s="1"/>
  <c r="F18245" i="9"/>
  <c r="H18245" i="9" s="1"/>
  <c r="F18246" i="9"/>
  <c r="H18246" i="9" s="1"/>
  <c r="F18247" i="9"/>
  <c r="H18247" i="9" s="1"/>
  <c r="F18248" i="9"/>
  <c r="H18248" i="9" s="1"/>
  <c r="F18249" i="9"/>
  <c r="H18249" i="9" s="1"/>
  <c r="F18250" i="9"/>
  <c r="H18250" i="9" s="1"/>
  <c r="F18251" i="9"/>
  <c r="H18251" i="9" s="1"/>
  <c r="F18252" i="9"/>
  <c r="H18252" i="9" s="1"/>
  <c r="F18253" i="9"/>
  <c r="H18253" i="9"/>
  <c r="F18254" i="9"/>
  <c r="H18254" i="9" s="1"/>
  <c r="F18255" i="9"/>
  <c r="H18255" i="9" s="1"/>
  <c r="F18256" i="9"/>
  <c r="H18256" i="9" s="1"/>
  <c r="F18257" i="9"/>
  <c r="H18257" i="9" s="1"/>
  <c r="F18258" i="9"/>
  <c r="H18258" i="9" s="1"/>
  <c r="F18259" i="9"/>
  <c r="H18259" i="9" s="1"/>
  <c r="F18260" i="9"/>
  <c r="H18260" i="9" s="1"/>
  <c r="F18261" i="9"/>
  <c r="H18261" i="9" s="1"/>
  <c r="F18262" i="9"/>
  <c r="H18262" i="9" s="1"/>
  <c r="F18263" i="9"/>
  <c r="H18263" i="9" s="1"/>
  <c r="F18264" i="9"/>
  <c r="H18264" i="9" s="1"/>
  <c r="F18265" i="9"/>
  <c r="H18265" i="9" s="1"/>
  <c r="F18266" i="9"/>
  <c r="H18266" i="9" s="1"/>
  <c r="F18267" i="9"/>
  <c r="H18267" i="9" s="1"/>
  <c r="F18268" i="9"/>
  <c r="H18268" i="9" s="1"/>
  <c r="F18269" i="9"/>
  <c r="H18269" i="9" s="1"/>
  <c r="F18270" i="9"/>
  <c r="H18270" i="9" s="1"/>
  <c r="F18271" i="9"/>
  <c r="H18271" i="9" s="1"/>
  <c r="F18272" i="9"/>
  <c r="H18272" i="9" s="1"/>
  <c r="F18273" i="9"/>
  <c r="H18273" i="9" s="1"/>
  <c r="F18274" i="9"/>
  <c r="H18274" i="9" s="1"/>
  <c r="F18275" i="9"/>
  <c r="H18275" i="9" s="1"/>
  <c r="F18276" i="9"/>
  <c r="H18276" i="9" s="1"/>
  <c r="F18277" i="9"/>
  <c r="H18277" i="9" s="1"/>
  <c r="F18278" i="9"/>
  <c r="H18278" i="9" s="1"/>
  <c r="F18279" i="9"/>
  <c r="H18279" i="9" s="1"/>
  <c r="F18280" i="9"/>
  <c r="H18280" i="9" s="1"/>
  <c r="F18281" i="9"/>
  <c r="H18281" i="9" s="1"/>
  <c r="F18282" i="9"/>
  <c r="H18282" i="9" s="1"/>
  <c r="F18283" i="9"/>
  <c r="H18283" i="9" s="1"/>
  <c r="F18284" i="9"/>
  <c r="H18284" i="9" s="1"/>
  <c r="F18285" i="9"/>
  <c r="H18285" i="9" s="1"/>
  <c r="F18286" i="9"/>
  <c r="H18286" i="9" s="1"/>
  <c r="F18287" i="9"/>
  <c r="H18287" i="9" s="1"/>
  <c r="F18288" i="9"/>
  <c r="H18288" i="9" s="1"/>
  <c r="F18289" i="9"/>
  <c r="H18289" i="9" s="1"/>
  <c r="F18290" i="9"/>
  <c r="H18290" i="9" s="1"/>
  <c r="F18291" i="9"/>
  <c r="H18291" i="9" s="1"/>
  <c r="F18292" i="9"/>
  <c r="H18292" i="9" s="1"/>
  <c r="F18293" i="9"/>
  <c r="H18293" i="9" s="1"/>
  <c r="F18294" i="9"/>
  <c r="H18294" i="9" s="1"/>
  <c r="F18295" i="9"/>
  <c r="H18295" i="9" s="1"/>
  <c r="F18296" i="9"/>
  <c r="H18296" i="9" s="1"/>
  <c r="F18297" i="9"/>
  <c r="H18297" i="9" s="1"/>
  <c r="F18298" i="9"/>
  <c r="H18298" i="9" s="1"/>
  <c r="F18299" i="9"/>
  <c r="H18299" i="9" s="1"/>
  <c r="F18300" i="9"/>
  <c r="H18300" i="9" s="1"/>
  <c r="F18301" i="9"/>
  <c r="H18301" i="9" s="1"/>
  <c r="F18302" i="9"/>
  <c r="H18302" i="9" s="1"/>
  <c r="F18303" i="9"/>
  <c r="H18303" i="9" s="1"/>
  <c r="F18304" i="9"/>
  <c r="H18304" i="9" s="1"/>
  <c r="F18305" i="9"/>
  <c r="H18305" i="9" s="1"/>
  <c r="F18306" i="9"/>
  <c r="H18306" i="9" s="1"/>
  <c r="F18307" i="9"/>
  <c r="H18307" i="9" s="1"/>
  <c r="F18308" i="9"/>
  <c r="H18308" i="9" s="1"/>
  <c r="F18309" i="9"/>
  <c r="H18309" i="9" s="1"/>
  <c r="F18310" i="9"/>
  <c r="H18310" i="9" s="1"/>
  <c r="F18311" i="9"/>
  <c r="H18311" i="9" s="1"/>
  <c r="F18312" i="9"/>
  <c r="H18312" i="9" s="1"/>
  <c r="F18313" i="9"/>
  <c r="H18313" i="9" s="1"/>
  <c r="F18314" i="9"/>
  <c r="H18314" i="9" s="1"/>
  <c r="F18315" i="9"/>
  <c r="H18315" i="9" s="1"/>
  <c r="F18316" i="9"/>
  <c r="H18316" i="9" s="1"/>
  <c r="F18317" i="9"/>
  <c r="H18317" i="9" s="1"/>
  <c r="F18318" i="9"/>
  <c r="H18318" i="9" s="1"/>
  <c r="F18319" i="9"/>
  <c r="H18319" i="9" s="1"/>
  <c r="F18320" i="9"/>
  <c r="H18320" i="9" s="1"/>
  <c r="F18321" i="9"/>
  <c r="H18321" i="9" s="1"/>
  <c r="F18322" i="9"/>
  <c r="H18322" i="9" s="1"/>
  <c r="F18323" i="9"/>
  <c r="H18323" i="9" s="1"/>
  <c r="F18324" i="9"/>
  <c r="H18324" i="9"/>
  <c r="F18325" i="9"/>
  <c r="H18325" i="9" s="1"/>
  <c r="F18326" i="9"/>
  <c r="H18326" i="9" s="1"/>
  <c r="F18327" i="9"/>
  <c r="H18327" i="9" s="1"/>
  <c r="F18328" i="9"/>
  <c r="H18328" i="9" s="1"/>
  <c r="F18329" i="9"/>
  <c r="H18329" i="9" s="1"/>
  <c r="F18330" i="9"/>
  <c r="H18330" i="9" s="1"/>
  <c r="F18331" i="9"/>
  <c r="H18331" i="9" s="1"/>
  <c r="F18332" i="9"/>
  <c r="H18332" i="9" s="1"/>
  <c r="F18333" i="9"/>
  <c r="H18333" i="9" s="1"/>
  <c r="F18334" i="9"/>
  <c r="H18334" i="9" s="1"/>
  <c r="F18335" i="9"/>
  <c r="H18335" i="9" s="1"/>
  <c r="F18336" i="9"/>
  <c r="H18336" i="9" s="1"/>
  <c r="F18337" i="9"/>
  <c r="H18337" i="9"/>
  <c r="F18338" i="9"/>
  <c r="H18338" i="9" s="1"/>
  <c r="F18339" i="9"/>
  <c r="H18339" i="9" s="1"/>
  <c r="F18340" i="9"/>
  <c r="H18340" i="9" s="1"/>
  <c r="F18341" i="9"/>
  <c r="H18341" i="9" s="1"/>
  <c r="F18342" i="9"/>
  <c r="H18342" i="9" s="1"/>
  <c r="F18343" i="9"/>
  <c r="H18343" i="9" s="1"/>
  <c r="F18344" i="9"/>
  <c r="H18344" i="9" s="1"/>
  <c r="F18345" i="9"/>
  <c r="H18345" i="9" s="1"/>
  <c r="F18346" i="9"/>
  <c r="H18346" i="9" s="1"/>
  <c r="F18347" i="9"/>
  <c r="H18347" i="9" s="1"/>
  <c r="F18348" i="9"/>
  <c r="H18348" i="9"/>
  <c r="F18349" i="9"/>
  <c r="H18349" i="9" s="1"/>
  <c r="F18350" i="9"/>
  <c r="H18350" i="9" s="1"/>
  <c r="F18351" i="9"/>
  <c r="H18351" i="9" s="1"/>
  <c r="F18352" i="9"/>
  <c r="H18352" i="9" s="1"/>
  <c r="F18353" i="9"/>
  <c r="H18353" i="9" s="1"/>
  <c r="F18354" i="9"/>
  <c r="H18354" i="9" s="1"/>
  <c r="F18355" i="9"/>
  <c r="H18355" i="9" s="1"/>
  <c r="F18356" i="9"/>
  <c r="H18356" i="9"/>
  <c r="F18357" i="9"/>
  <c r="H18357" i="9" s="1"/>
  <c r="F18358" i="9"/>
  <c r="H18358" i="9" s="1"/>
  <c r="F18359" i="9"/>
  <c r="H18359" i="9" s="1"/>
  <c r="F18360" i="9"/>
  <c r="H18360" i="9" s="1"/>
  <c r="F18361" i="9"/>
  <c r="H18361" i="9" s="1"/>
  <c r="F18362" i="9"/>
  <c r="H18362" i="9" s="1"/>
  <c r="F18363" i="9"/>
  <c r="H18363" i="9" s="1"/>
  <c r="F18364" i="9"/>
  <c r="H18364" i="9" s="1"/>
  <c r="F18365" i="9"/>
  <c r="H18365" i="9" s="1"/>
  <c r="F18366" i="9"/>
  <c r="H18366" i="9" s="1"/>
  <c r="F18367" i="9"/>
  <c r="H18367" i="9" s="1"/>
  <c r="F18368" i="9"/>
  <c r="H18368" i="9" s="1"/>
  <c r="F18369" i="9"/>
  <c r="H18369" i="9" s="1"/>
  <c r="F18370" i="9"/>
  <c r="H18370" i="9" s="1"/>
  <c r="F18371" i="9"/>
  <c r="H18371" i="9" s="1"/>
  <c r="F18372" i="9"/>
  <c r="H18372" i="9" s="1"/>
  <c r="F18373" i="9"/>
  <c r="H18373" i="9" s="1"/>
  <c r="F18374" i="9"/>
  <c r="H18374" i="9" s="1"/>
  <c r="F18375" i="9"/>
  <c r="H18375" i="9"/>
  <c r="F18376" i="9"/>
  <c r="H18376" i="9" s="1"/>
  <c r="F18377" i="9"/>
  <c r="H18377" i="9" s="1"/>
  <c r="F18378" i="9"/>
  <c r="H18378" i="9" s="1"/>
  <c r="F18379" i="9"/>
  <c r="H18379" i="9" s="1"/>
  <c r="F18380" i="9"/>
  <c r="H18380" i="9" s="1"/>
  <c r="F18381" i="9"/>
  <c r="H18381" i="9" s="1"/>
  <c r="F18382" i="9"/>
  <c r="H18382" i="9" s="1"/>
  <c r="F18383" i="9"/>
  <c r="H18383" i="9" s="1"/>
  <c r="F18384" i="9"/>
  <c r="H18384" i="9" s="1"/>
  <c r="F18385" i="9"/>
  <c r="H18385" i="9" s="1"/>
  <c r="F18386" i="9"/>
  <c r="H18386" i="9" s="1"/>
  <c r="F18387" i="9"/>
  <c r="H18387" i="9" s="1"/>
  <c r="F18388" i="9"/>
  <c r="H18388" i="9" s="1"/>
  <c r="F18389" i="9"/>
  <c r="H18389" i="9" s="1"/>
  <c r="F18390" i="9"/>
  <c r="H18390" i="9" s="1"/>
  <c r="F18391" i="9"/>
  <c r="H18391" i="9" s="1"/>
  <c r="F18392" i="9"/>
  <c r="H18392" i="9" s="1"/>
  <c r="F18393" i="9"/>
  <c r="H18393" i="9" s="1"/>
  <c r="F18394" i="9"/>
  <c r="H18394" i="9" s="1"/>
  <c r="F18395" i="9"/>
  <c r="H18395" i="9" s="1"/>
  <c r="F18396" i="9"/>
  <c r="H18396" i="9" s="1"/>
  <c r="F18397" i="9"/>
  <c r="H18397" i="9"/>
  <c r="F18398" i="9"/>
  <c r="H18398" i="9" s="1"/>
  <c r="F18399" i="9"/>
  <c r="H18399" i="9" s="1"/>
  <c r="F18400" i="9"/>
  <c r="H18400" i="9" s="1"/>
  <c r="F18401" i="9"/>
  <c r="H18401" i="9" s="1"/>
  <c r="F18402" i="9"/>
  <c r="H18402" i="9" s="1"/>
  <c r="F18403" i="9"/>
  <c r="H18403" i="9" s="1"/>
  <c r="F18404" i="9"/>
  <c r="H18404" i="9" s="1"/>
  <c r="F18405" i="9"/>
  <c r="H18405" i="9" s="1"/>
  <c r="F18406" i="9"/>
  <c r="H18406" i="9" s="1"/>
  <c r="F18407" i="9"/>
  <c r="H18407" i="9"/>
  <c r="F18408" i="9"/>
  <c r="H18408" i="9" s="1"/>
  <c r="F18409" i="9"/>
  <c r="H18409" i="9" s="1"/>
  <c r="F18410" i="9"/>
  <c r="H18410" i="9" s="1"/>
  <c r="F18411" i="9"/>
  <c r="H18411" i="9" s="1"/>
  <c r="F18412" i="9"/>
  <c r="H18412" i="9" s="1"/>
  <c r="F18413" i="9"/>
  <c r="H18413" i="9" s="1"/>
  <c r="F18414" i="9"/>
  <c r="H18414" i="9" s="1"/>
  <c r="F18415" i="9"/>
  <c r="H18415" i="9" s="1"/>
  <c r="F18416" i="9"/>
  <c r="H18416" i="9" s="1"/>
  <c r="F18417" i="9"/>
  <c r="H18417" i="9" s="1"/>
  <c r="F18418" i="9"/>
  <c r="H18418" i="9" s="1"/>
  <c r="F18419" i="9"/>
  <c r="H18419" i="9" s="1"/>
  <c r="F18420" i="9"/>
  <c r="H18420" i="9" s="1"/>
  <c r="F18421" i="9"/>
  <c r="H18421" i="9" s="1"/>
  <c r="F18422" i="9"/>
  <c r="H18422" i="9" s="1"/>
  <c r="F18423" i="9"/>
  <c r="H18423" i="9" s="1"/>
  <c r="F18424" i="9"/>
  <c r="H18424" i="9" s="1"/>
  <c r="F18425" i="9"/>
  <c r="H18425" i="9" s="1"/>
  <c r="F18426" i="9"/>
  <c r="H18426" i="9" s="1"/>
  <c r="F18427" i="9"/>
  <c r="H18427" i="9" s="1"/>
  <c r="F18428" i="9"/>
  <c r="H18428" i="9" s="1"/>
  <c r="F18429" i="9"/>
  <c r="H18429" i="9" s="1"/>
  <c r="F18430" i="9"/>
  <c r="H18430" i="9" s="1"/>
  <c r="F18431" i="9"/>
  <c r="H18431" i="9" s="1"/>
  <c r="F18432" i="9"/>
  <c r="H18432" i="9" s="1"/>
  <c r="F18433" i="9"/>
  <c r="H18433" i="9" s="1"/>
  <c r="F18434" i="9"/>
  <c r="H18434" i="9" s="1"/>
  <c r="F18435" i="9"/>
  <c r="H18435" i="9"/>
  <c r="F18436" i="9"/>
  <c r="H18436" i="9" s="1"/>
  <c r="F18437" i="9"/>
  <c r="H18437" i="9" s="1"/>
  <c r="F18438" i="9"/>
  <c r="H18438" i="9" s="1"/>
  <c r="F18439" i="9"/>
  <c r="H18439" i="9" s="1"/>
  <c r="F18440" i="9"/>
  <c r="H18440" i="9" s="1"/>
  <c r="F18441" i="9"/>
  <c r="H18441" i="9" s="1"/>
  <c r="F18442" i="9"/>
  <c r="H18442" i="9" s="1"/>
  <c r="F18443" i="9"/>
  <c r="H18443" i="9" s="1"/>
  <c r="F18444" i="9"/>
  <c r="H18444" i="9" s="1"/>
  <c r="F18445" i="9"/>
  <c r="H18445" i="9" s="1"/>
  <c r="F18446" i="9"/>
  <c r="H18446" i="9" s="1"/>
  <c r="F18447" i="9"/>
  <c r="H18447" i="9"/>
  <c r="F18448" i="9"/>
  <c r="H18448" i="9" s="1"/>
  <c r="F18449" i="9"/>
  <c r="H18449" i="9" s="1"/>
  <c r="F18450" i="9"/>
  <c r="H18450" i="9" s="1"/>
  <c r="F18451" i="9"/>
  <c r="H18451" i="9" s="1"/>
  <c r="F18452" i="9"/>
  <c r="H18452" i="9" s="1"/>
  <c r="F18453" i="9"/>
  <c r="H18453" i="9" s="1"/>
  <c r="F18454" i="9"/>
  <c r="H18454" i="9" s="1"/>
  <c r="F18455" i="9"/>
  <c r="H18455" i="9" s="1"/>
  <c r="F18456" i="9"/>
  <c r="H18456" i="9" s="1"/>
  <c r="F18457" i="9"/>
  <c r="H18457" i="9" s="1"/>
  <c r="F18458" i="9"/>
  <c r="H18458" i="9" s="1"/>
  <c r="F18459" i="9"/>
  <c r="H18459" i="9" s="1"/>
  <c r="F18460" i="9"/>
  <c r="H18460" i="9" s="1"/>
  <c r="F18461" i="9"/>
  <c r="H18461" i="9" s="1"/>
  <c r="F18462" i="9"/>
  <c r="H18462" i="9" s="1"/>
  <c r="F18463" i="9"/>
  <c r="H18463" i="9" s="1"/>
  <c r="F18464" i="9"/>
  <c r="H18464" i="9" s="1"/>
  <c r="F18465" i="9"/>
  <c r="H18465" i="9" s="1"/>
  <c r="F18466" i="9"/>
  <c r="H18466" i="9" s="1"/>
  <c r="F18467" i="9"/>
  <c r="H18467" i="9" s="1"/>
  <c r="F18468" i="9"/>
  <c r="H18468" i="9" s="1"/>
  <c r="F18469" i="9"/>
  <c r="H18469" i="9" s="1"/>
  <c r="F18470" i="9"/>
  <c r="H18470" i="9" s="1"/>
  <c r="F18471" i="9"/>
  <c r="H18471" i="9" s="1"/>
  <c r="F18472" i="9"/>
  <c r="H18472" i="9" s="1"/>
  <c r="F18473" i="9"/>
  <c r="H18473" i="9"/>
  <c r="F18474" i="9"/>
  <c r="H18474" i="9" s="1"/>
  <c r="F18475" i="9"/>
  <c r="H18475" i="9" s="1"/>
  <c r="F18476" i="9"/>
  <c r="H18476" i="9" s="1"/>
  <c r="F18477" i="9"/>
  <c r="H18477" i="9"/>
  <c r="F18478" i="9"/>
  <c r="H18478" i="9" s="1"/>
  <c r="F18479" i="9"/>
  <c r="H18479" i="9" s="1"/>
  <c r="F18480" i="9"/>
  <c r="H18480" i="9" s="1"/>
  <c r="F18481" i="9"/>
  <c r="H18481" i="9" s="1"/>
  <c r="F18482" i="9"/>
  <c r="H18482" i="9" s="1"/>
  <c r="F18483" i="9"/>
  <c r="H18483" i="9" s="1"/>
  <c r="F18484" i="9"/>
  <c r="H18484" i="9" s="1"/>
  <c r="F18485" i="9"/>
  <c r="H18485" i="9" s="1"/>
  <c r="F18486" i="9"/>
  <c r="H18486" i="9"/>
  <c r="F18487" i="9"/>
  <c r="H18487" i="9" s="1"/>
  <c r="F18488" i="9"/>
  <c r="H18488" i="9" s="1"/>
  <c r="F18489" i="9"/>
  <c r="H18489" i="9" s="1"/>
  <c r="F18490" i="9"/>
  <c r="H18490" i="9" s="1"/>
  <c r="F18491" i="9"/>
  <c r="H18491" i="9" s="1"/>
  <c r="F18492" i="9"/>
  <c r="H18492" i="9" s="1"/>
  <c r="F18493" i="9"/>
  <c r="H18493" i="9" s="1"/>
  <c r="F18494" i="9"/>
  <c r="H18494" i="9" s="1"/>
  <c r="F18495" i="9"/>
  <c r="H18495" i="9"/>
  <c r="F18496" i="9"/>
  <c r="H18496" i="9" s="1"/>
  <c r="F18497" i="9"/>
  <c r="H18497" i="9" s="1"/>
  <c r="F18498" i="9"/>
  <c r="H18498" i="9" s="1"/>
  <c r="F18499" i="9"/>
  <c r="H18499" i="9" s="1"/>
  <c r="F18500" i="9"/>
  <c r="H18500" i="9" s="1"/>
  <c r="F18501" i="9"/>
  <c r="H18501" i="9" s="1"/>
  <c r="F18502" i="9"/>
  <c r="H18502" i="9" s="1"/>
  <c r="F18503" i="9"/>
  <c r="H18503" i="9" s="1"/>
  <c r="F18504" i="9"/>
  <c r="H18504" i="9" s="1"/>
  <c r="F18505" i="9"/>
  <c r="H18505" i="9" s="1"/>
  <c r="F18506" i="9"/>
  <c r="H18506" i="9"/>
  <c r="F18507" i="9"/>
  <c r="H18507" i="9" s="1"/>
  <c r="F18508" i="9"/>
  <c r="H18508" i="9" s="1"/>
  <c r="F18509" i="9"/>
  <c r="H18509" i="9" s="1"/>
  <c r="F18510" i="9"/>
  <c r="H18510" i="9" s="1"/>
  <c r="F18511" i="9"/>
  <c r="H18511" i="9" s="1"/>
  <c r="F18512" i="9"/>
  <c r="H18512" i="9" s="1"/>
  <c r="F18513" i="9"/>
  <c r="H18513" i="9" s="1"/>
  <c r="F18514" i="9"/>
  <c r="H18514" i="9"/>
  <c r="F18515" i="9"/>
  <c r="H18515" i="9" s="1"/>
  <c r="F18516" i="9"/>
  <c r="H18516" i="9" s="1"/>
  <c r="F18517" i="9"/>
  <c r="H18517" i="9" s="1"/>
  <c r="F18518" i="9"/>
  <c r="H18518" i="9"/>
  <c r="F18519" i="9"/>
  <c r="H18519" i="9" s="1"/>
  <c r="F18520" i="9"/>
  <c r="H18520" i="9" s="1"/>
  <c r="F18521" i="9"/>
  <c r="H18521" i="9" s="1"/>
  <c r="F18522" i="9"/>
  <c r="H18522" i="9"/>
  <c r="F18523" i="9"/>
  <c r="H18523" i="9" s="1"/>
  <c r="F18524" i="9"/>
  <c r="H18524" i="9" s="1"/>
  <c r="F18525" i="9"/>
  <c r="H18525" i="9" s="1"/>
  <c r="F18526" i="9"/>
  <c r="H18526" i="9"/>
  <c r="F18527" i="9"/>
  <c r="H18527" i="9"/>
  <c r="F18528" i="9"/>
  <c r="H18528" i="9"/>
  <c r="F18529" i="9"/>
  <c r="H18529" i="9" s="1"/>
  <c r="F18530" i="9"/>
  <c r="H18530" i="9"/>
  <c r="F18531" i="9"/>
  <c r="H18531" i="9" s="1"/>
  <c r="F18532" i="9"/>
  <c r="H18532" i="9" s="1"/>
  <c r="F18533" i="9"/>
  <c r="H18533" i="9" s="1"/>
  <c r="F18534" i="9"/>
  <c r="H18534" i="9" s="1"/>
  <c r="F18535" i="9"/>
  <c r="H18535" i="9" s="1"/>
  <c r="F18536" i="9"/>
  <c r="H18536" i="9" s="1"/>
  <c r="F18537" i="9"/>
  <c r="H18537" i="9" s="1"/>
  <c r="F18538" i="9"/>
  <c r="H18538" i="9"/>
  <c r="F18539" i="9"/>
  <c r="H18539" i="9" s="1"/>
  <c r="F18540" i="9"/>
  <c r="H18540" i="9" s="1"/>
  <c r="F18541" i="9"/>
  <c r="H18541" i="9" s="1"/>
  <c r="F18542" i="9"/>
  <c r="H18542" i="9"/>
  <c r="F18543" i="9"/>
  <c r="H18543" i="9" s="1"/>
  <c r="F18544" i="9"/>
  <c r="H18544" i="9" s="1"/>
  <c r="F18545" i="9"/>
  <c r="H18545" i="9"/>
  <c r="F18546" i="9"/>
  <c r="H18546" i="9" s="1"/>
  <c r="F18547" i="9"/>
  <c r="H18547" i="9" s="1"/>
  <c r="F18548" i="9"/>
  <c r="H18548" i="9" s="1"/>
  <c r="F18549" i="9"/>
  <c r="H18549" i="9" s="1"/>
  <c r="F18550" i="9"/>
  <c r="H18550" i="9" s="1"/>
  <c r="F18551" i="9"/>
  <c r="H18551" i="9" s="1"/>
  <c r="F18552" i="9"/>
  <c r="H18552" i="9" s="1"/>
  <c r="F18553" i="9"/>
  <c r="H18553" i="9" s="1"/>
  <c r="F18554" i="9"/>
  <c r="H18554" i="9"/>
  <c r="F18555" i="9"/>
  <c r="H18555" i="9"/>
  <c r="F18556" i="9"/>
  <c r="H18556" i="9" s="1"/>
  <c r="F18557" i="9"/>
  <c r="H18557" i="9" s="1"/>
  <c r="F18558" i="9"/>
  <c r="H18558" i="9" s="1"/>
  <c r="F18559" i="9"/>
  <c r="H18559" i="9" s="1"/>
  <c r="F18560" i="9"/>
  <c r="H18560" i="9" s="1"/>
  <c r="F18561" i="9"/>
  <c r="H18561" i="9"/>
  <c r="F18562" i="9"/>
  <c r="H18562" i="9" s="1"/>
  <c r="F18563" i="9"/>
  <c r="H18563" i="9" s="1"/>
  <c r="F18564" i="9"/>
  <c r="H18564" i="9"/>
  <c r="F18565" i="9"/>
  <c r="H18565" i="9" s="1"/>
  <c r="F18566" i="9"/>
  <c r="H18566" i="9"/>
  <c r="F18567" i="9"/>
  <c r="H18567" i="9" s="1"/>
  <c r="F18568" i="9"/>
  <c r="H18568" i="9" s="1"/>
  <c r="F18569" i="9"/>
  <c r="H18569" i="9" s="1"/>
  <c r="F18570" i="9"/>
  <c r="H18570" i="9" s="1"/>
  <c r="F18571" i="9"/>
  <c r="H18571" i="9" s="1"/>
  <c r="F18572" i="9"/>
  <c r="H18572" i="9" s="1"/>
  <c r="F18573" i="9"/>
  <c r="H18573" i="9" s="1"/>
  <c r="F18574" i="9"/>
  <c r="H18574" i="9" s="1"/>
  <c r="F18575" i="9"/>
  <c r="H18575" i="9" s="1"/>
  <c r="F18576" i="9"/>
  <c r="H18576" i="9" s="1"/>
  <c r="F18577" i="9"/>
  <c r="H18577" i="9" s="1"/>
  <c r="F18578" i="9"/>
  <c r="H18578" i="9" s="1"/>
  <c r="F18579" i="9"/>
  <c r="H18579" i="9" s="1"/>
  <c r="F18580" i="9"/>
  <c r="H18580" i="9" s="1"/>
  <c r="F18581" i="9"/>
  <c r="H18581" i="9" s="1"/>
  <c r="F18582" i="9"/>
  <c r="H18582" i="9" s="1"/>
  <c r="F18583" i="9"/>
  <c r="H18583" i="9" s="1"/>
  <c r="F18584" i="9"/>
  <c r="H18584" i="9" s="1"/>
  <c r="F18585" i="9"/>
  <c r="H18585" i="9"/>
  <c r="F18586" i="9"/>
  <c r="H18586" i="9"/>
  <c r="F18587" i="9"/>
  <c r="H18587" i="9" s="1"/>
  <c r="F18588" i="9"/>
  <c r="H18588" i="9" s="1"/>
  <c r="F18589" i="9"/>
  <c r="H18589" i="9" s="1"/>
  <c r="F18590" i="9"/>
  <c r="H18590" i="9" s="1"/>
  <c r="F18591" i="9"/>
  <c r="H18591" i="9" s="1"/>
  <c r="F18592" i="9"/>
  <c r="H18592" i="9" s="1"/>
  <c r="F18593" i="9"/>
  <c r="H18593" i="9" s="1"/>
  <c r="F18594" i="9"/>
  <c r="H18594" i="9"/>
  <c r="F18595" i="9"/>
  <c r="H18595" i="9" s="1"/>
  <c r="F18596" i="9"/>
  <c r="H18596" i="9" s="1"/>
  <c r="F18597" i="9"/>
  <c r="H18597" i="9" s="1"/>
  <c r="F18598" i="9"/>
  <c r="H18598" i="9" s="1"/>
  <c r="F18599" i="9"/>
  <c r="H18599" i="9" s="1"/>
  <c r="F18600" i="9"/>
  <c r="H18600" i="9" s="1"/>
  <c r="F18601" i="9"/>
  <c r="H18601" i="9" s="1"/>
  <c r="F18602" i="9"/>
  <c r="H18602" i="9"/>
  <c r="F18603" i="9"/>
  <c r="H18603" i="9" s="1"/>
  <c r="F18604" i="9"/>
  <c r="H18604" i="9" s="1"/>
  <c r="F18605" i="9"/>
  <c r="H18605" i="9" s="1"/>
  <c r="F18606" i="9"/>
  <c r="H18606" i="9" s="1"/>
  <c r="F18607" i="9"/>
  <c r="H18607" i="9" s="1"/>
  <c r="F18608" i="9"/>
  <c r="H18608" i="9" s="1"/>
  <c r="F18609" i="9"/>
  <c r="H18609" i="9" s="1"/>
  <c r="F18610" i="9"/>
  <c r="H18610" i="9" s="1"/>
  <c r="F18611" i="9"/>
  <c r="H18611" i="9" s="1"/>
  <c r="F18612" i="9"/>
  <c r="H18612" i="9" s="1"/>
  <c r="F18613" i="9"/>
  <c r="H18613" i="9" s="1"/>
  <c r="F18614" i="9"/>
  <c r="H18614" i="9" s="1"/>
  <c r="F18615" i="9"/>
  <c r="H18615" i="9" s="1"/>
  <c r="F18616" i="9"/>
  <c r="H18616" i="9" s="1"/>
  <c r="F18617" i="9"/>
  <c r="H18617" i="9" s="1"/>
  <c r="F18618" i="9"/>
  <c r="H18618" i="9" s="1"/>
  <c r="F18619" i="9"/>
  <c r="H18619" i="9" s="1"/>
  <c r="F18620" i="9"/>
  <c r="H18620" i="9" s="1"/>
  <c r="F18621" i="9"/>
  <c r="H18621" i="9" s="1"/>
  <c r="F18622" i="9"/>
  <c r="H18622" i="9" s="1"/>
  <c r="F18623" i="9"/>
  <c r="H18623" i="9" s="1"/>
  <c r="F18624" i="9"/>
  <c r="H18624" i="9" s="1"/>
  <c r="F18625" i="9"/>
  <c r="H18625" i="9" s="1"/>
  <c r="F18626" i="9"/>
  <c r="H18626" i="9" s="1"/>
  <c r="F18627" i="9"/>
  <c r="H18627" i="9" s="1"/>
  <c r="F18628" i="9"/>
  <c r="H18628" i="9" s="1"/>
  <c r="F18629" i="9"/>
  <c r="H18629" i="9" s="1"/>
  <c r="F18630" i="9"/>
  <c r="H18630" i="9"/>
  <c r="F18631" i="9"/>
  <c r="H18631" i="9" s="1"/>
  <c r="F18632" i="9"/>
  <c r="H18632" i="9"/>
  <c r="F18633" i="9"/>
  <c r="H18633" i="9"/>
  <c r="F18634" i="9"/>
  <c r="H18634" i="9" s="1"/>
  <c r="F18635" i="9"/>
  <c r="H18635" i="9" s="1"/>
  <c r="F18636" i="9"/>
  <c r="H18636" i="9" s="1"/>
  <c r="F18637" i="9"/>
  <c r="H18637" i="9" s="1"/>
  <c r="F18638" i="9"/>
  <c r="H18638" i="9" s="1"/>
  <c r="F18639" i="9"/>
  <c r="H18639" i="9" s="1"/>
  <c r="F18640" i="9"/>
  <c r="H18640" i="9"/>
  <c r="F18641" i="9"/>
  <c r="H18641" i="9"/>
  <c r="F18642" i="9"/>
  <c r="H18642" i="9" s="1"/>
  <c r="F18643" i="9"/>
  <c r="H18643" i="9" s="1"/>
  <c r="F18644" i="9"/>
  <c r="H18644" i="9" s="1"/>
  <c r="F18645" i="9"/>
  <c r="H18645" i="9" s="1"/>
  <c r="F18646" i="9"/>
  <c r="H18646" i="9" s="1"/>
  <c r="F18647" i="9"/>
  <c r="H18647" i="9" s="1"/>
  <c r="F18648" i="9"/>
  <c r="H18648" i="9" s="1"/>
  <c r="F18649" i="9"/>
  <c r="H18649" i="9" s="1"/>
  <c r="F18650" i="9"/>
  <c r="H18650" i="9" s="1"/>
  <c r="F18651" i="9"/>
  <c r="H18651" i="9" s="1"/>
  <c r="F18652" i="9"/>
  <c r="H18652" i="9" s="1"/>
  <c r="F18653" i="9"/>
  <c r="H18653" i="9" s="1"/>
  <c r="F18654" i="9"/>
  <c r="H18654" i="9" s="1"/>
  <c r="F18655" i="9"/>
  <c r="H18655" i="9" s="1"/>
  <c r="F18656" i="9"/>
  <c r="H18656" i="9" s="1"/>
  <c r="F18657" i="9"/>
  <c r="H18657" i="9" s="1"/>
  <c r="F18658" i="9"/>
  <c r="H18658" i="9" s="1"/>
  <c r="F18659" i="9"/>
  <c r="H18659" i="9"/>
  <c r="F18660" i="9"/>
  <c r="H18660" i="9" s="1"/>
  <c r="F18661" i="9"/>
  <c r="H18661" i="9" s="1"/>
  <c r="F18662" i="9"/>
  <c r="H18662" i="9" s="1"/>
  <c r="F18663" i="9"/>
  <c r="H18663" i="9" s="1"/>
  <c r="F18664" i="9"/>
  <c r="H18664" i="9" s="1"/>
  <c r="F18665" i="9"/>
  <c r="H18665" i="9" s="1"/>
  <c r="F18666" i="9"/>
  <c r="H18666" i="9" s="1"/>
  <c r="F18667" i="9"/>
  <c r="H18667" i="9" s="1"/>
  <c r="F18668" i="9"/>
  <c r="H18668" i="9" s="1"/>
  <c r="F18669" i="9"/>
  <c r="H18669" i="9" s="1"/>
  <c r="F18670" i="9"/>
  <c r="H18670" i="9" s="1"/>
  <c r="F18671" i="9"/>
  <c r="H18671" i="9" s="1"/>
  <c r="F18672" i="9"/>
  <c r="H18672" i="9"/>
  <c r="F18673" i="9"/>
  <c r="H18673" i="9" s="1"/>
  <c r="F18674" i="9"/>
  <c r="H18674" i="9" s="1"/>
  <c r="F18675" i="9"/>
  <c r="H18675" i="9" s="1"/>
  <c r="F18676" i="9"/>
  <c r="H18676" i="9" s="1"/>
  <c r="F18677" i="9"/>
  <c r="H18677" i="9" s="1"/>
  <c r="F18678" i="9"/>
  <c r="H18678" i="9" s="1"/>
  <c r="F18679" i="9"/>
  <c r="H18679" i="9" s="1"/>
  <c r="F18680" i="9"/>
  <c r="H18680" i="9" s="1"/>
  <c r="F18681" i="9"/>
  <c r="H18681" i="9" s="1"/>
  <c r="F18682" i="9"/>
  <c r="H18682" i="9"/>
  <c r="F18683" i="9"/>
  <c r="H18683" i="9" s="1"/>
  <c r="F18684" i="9"/>
  <c r="H18684" i="9" s="1"/>
  <c r="F18685" i="9"/>
  <c r="H18685" i="9" s="1"/>
  <c r="F18686" i="9"/>
  <c r="H18686" i="9" s="1"/>
  <c r="F18687" i="9"/>
  <c r="H18687" i="9" s="1"/>
  <c r="F18688" i="9"/>
  <c r="H18688" i="9" s="1"/>
  <c r="F18689" i="9"/>
  <c r="H18689" i="9" s="1"/>
  <c r="F18690" i="9"/>
  <c r="H18690" i="9" s="1"/>
  <c r="F18691" i="9"/>
  <c r="H18691" i="9" s="1"/>
  <c r="F18692" i="9"/>
  <c r="H18692" i="9"/>
  <c r="F18693" i="9"/>
  <c r="H18693" i="9" s="1"/>
  <c r="F18694" i="9"/>
  <c r="H18694" i="9" s="1"/>
  <c r="F18695" i="9"/>
  <c r="H18695" i="9" s="1"/>
  <c r="F18696" i="9"/>
  <c r="H18696" i="9" s="1"/>
  <c r="F18697" i="9"/>
  <c r="H18697" i="9" s="1"/>
  <c r="F18698" i="9"/>
  <c r="H18698" i="9" s="1"/>
  <c r="F18699" i="9"/>
  <c r="H18699" i="9" s="1"/>
  <c r="F18700" i="9"/>
  <c r="H18700" i="9" s="1"/>
  <c r="F18701" i="9"/>
  <c r="H18701" i="9" s="1"/>
  <c r="F18702" i="9"/>
  <c r="H18702" i="9" s="1"/>
  <c r="F18703" i="9"/>
  <c r="H18703" i="9" s="1"/>
  <c r="F18704" i="9"/>
  <c r="H18704" i="9" s="1"/>
  <c r="F18705" i="9"/>
  <c r="H18705" i="9" s="1"/>
  <c r="F18706" i="9"/>
  <c r="H18706" i="9" s="1"/>
  <c r="F18707" i="9"/>
  <c r="H18707" i="9" s="1"/>
  <c r="F18708" i="9"/>
  <c r="H18708" i="9" s="1"/>
  <c r="F18709" i="9"/>
  <c r="H18709" i="9" s="1"/>
  <c r="F18710" i="9"/>
  <c r="H18710" i="9" s="1"/>
  <c r="F18711" i="9"/>
  <c r="H18711" i="9" s="1"/>
  <c r="F18712" i="9"/>
  <c r="H18712" i="9" s="1"/>
  <c r="F18713" i="9"/>
  <c r="H18713" i="9" s="1"/>
  <c r="F18714" i="9"/>
  <c r="H18714" i="9" s="1"/>
  <c r="F18715" i="9"/>
  <c r="H18715" i="9" s="1"/>
  <c r="F18716" i="9"/>
  <c r="H18716" i="9" s="1"/>
  <c r="F18717" i="9"/>
  <c r="H18717" i="9" s="1"/>
  <c r="F18718" i="9"/>
  <c r="H18718" i="9" s="1"/>
  <c r="F18719" i="9"/>
  <c r="H18719" i="9" s="1"/>
  <c r="F18720" i="9"/>
  <c r="H18720" i="9" s="1"/>
  <c r="F18721" i="9"/>
  <c r="H18721" i="9" s="1"/>
  <c r="F18722" i="9"/>
  <c r="H18722" i="9" s="1"/>
  <c r="F18723" i="9"/>
  <c r="H18723" i="9" s="1"/>
  <c r="F18724" i="9"/>
  <c r="H18724" i="9" s="1"/>
  <c r="F18725" i="9"/>
  <c r="H18725" i="9"/>
  <c r="F18726" i="9"/>
  <c r="H18726" i="9"/>
  <c r="F18727" i="9"/>
  <c r="H18727" i="9" s="1"/>
  <c r="F18728" i="9"/>
  <c r="H18728" i="9"/>
  <c r="F18729" i="9"/>
  <c r="H18729" i="9" s="1"/>
  <c r="F18730" i="9"/>
  <c r="H18730" i="9" s="1"/>
  <c r="F18731" i="9"/>
  <c r="H18731" i="9" s="1"/>
  <c r="F18732" i="9"/>
  <c r="H18732" i="9" s="1"/>
  <c r="F18733" i="9"/>
  <c r="H18733" i="9" s="1"/>
  <c r="F18734" i="9"/>
  <c r="H18734" i="9"/>
  <c r="F18735" i="9"/>
  <c r="H18735" i="9" s="1"/>
  <c r="F18736" i="9"/>
  <c r="H18736" i="9" s="1"/>
  <c r="F18737" i="9"/>
  <c r="H18737" i="9" s="1"/>
  <c r="F18738" i="9"/>
  <c r="H18738" i="9" s="1"/>
  <c r="F18739" i="9"/>
  <c r="H18739" i="9" s="1"/>
  <c r="F18740" i="9"/>
  <c r="H18740" i="9" s="1"/>
  <c r="F18741" i="9"/>
  <c r="H18741" i="9" s="1"/>
  <c r="F18742" i="9"/>
  <c r="H18742" i="9" s="1"/>
  <c r="F18743" i="9"/>
  <c r="H18743" i="9" s="1"/>
  <c r="F18744" i="9"/>
  <c r="H18744" i="9"/>
  <c r="F18745" i="9"/>
  <c r="H18745" i="9" s="1"/>
  <c r="F18746" i="9"/>
  <c r="H18746" i="9" s="1"/>
  <c r="F18747" i="9"/>
  <c r="H18747" i="9" s="1"/>
  <c r="F18748" i="9"/>
  <c r="H18748" i="9" s="1"/>
  <c r="F18749" i="9"/>
  <c r="H18749" i="9" s="1"/>
  <c r="F18750" i="9"/>
  <c r="H18750" i="9" s="1"/>
  <c r="F18751" i="9"/>
  <c r="H18751" i="9" s="1"/>
  <c r="F18752" i="9"/>
  <c r="H18752" i="9" s="1"/>
  <c r="F18753" i="9"/>
  <c r="H18753" i="9" s="1"/>
  <c r="F18754" i="9"/>
  <c r="H18754" i="9" s="1"/>
  <c r="F18755" i="9"/>
  <c r="H18755" i="9" s="1"/>
  <c r="F18756" i="9"/>
  <c r="H18756" i="9"/>
  <c r="F18757" i="9"/>
  <c r="H18757" i="9" s="1"/>
  <c r="F18758" i="9"/>
  <c r="H18758" i="9" s="1"/>
  <c r="F18759" i="9"/>
  <c r="H18759" i="9"/>
  <c r="F18760" i="9"/>
  <c r="H18760" i="9" s="1"/>
  <c r="F18761" i="9"/>
  <c r="H18761" i="9" s="1"/>
  <c r="F18762" i="9"/>
  <c r="H18762" i="9" s="1"/>
  <c r="F18763" i="9"/>
  <c r="H18763" i="9" s="1"/>
  <c r="F18764" i="9"/>
  <c r="H18764" i="9" s="1"/>
  <c r="F18765" i="9"/>
  <c r="H18765" i="9" s="1"/>
  <c r="F18766" i="9"/>
  <c r="H18766" i="9" s="1"/>
  <c r="F18767" i="9"/>
  <c r="H18767" i="9" s="1"/>
  <c r="F18768" i="9"/>
  <c r="H18768" i="9" s="1"/>
  <c r="F18769" i="9"/>
  <c r="H18769" i="9" s="1"/>
  <c r="F18770" i="9"/>
  <c r="H18770" i="9" s="1"/>
  <c r="F18771" i="9"/>
  <c r="H18771" i="9" s="1"/>
  <c r="F18772" i="9"/>
  <c r="H18772" i="9" s="1"/>
  <c r="F18773" i="9"/>
  <c r="H18773" i="9" s="1"/>
  <c r="F18774" i="9"/>
  <c r="H18774" i="9" s="1"/>
  <c r="F18775" i="9"/>
  <c r="H18775" i="9" s="1"/>
  <c r="F18776" i="9"/>
  <c r="H18776" i="9" s="1"/>
  <c r="F18777" i="9"/>
  <c r="H18777" i="9"/>
  <c r="F18778" i="9"/>
  <c r="H18778" i="9" s="1"/>
  <c r="F18779" i="9"/>
  <c r="H18779" i="9" s="1"/>
  <c r="F18780" i="9"/>
  <c r="H18780" i="9" s="1"/>
  <c r="F18781" i="9"/>
  <c r="H18781" i="9" s="1"/>
  <c r="F18782" i="9"/>
  <c r="H18782" i="9"/>
  <c r="F18783" i="9"/>
  <c r="H18783" i="9" s="1"/>
  <c r="F18784" i="9"/>
  <c r="H18784" i="9" s="1"/>
  <c r="F18785" i="9"/>
  <c r="H18785" i="9"/>
  <c r="F18786" i="9"/>
  <c r="H18786" i="9" s="1"/>
  <c r="F18787" i="9"/>
  <c r="H18787" i="9" s="1"/>
  <c r="F18788" i="9"/>
  <c r="H18788" i="9" s="1"/>
  <c r="F18789" i="9"/>
  <c r="H18789" i="9" s="1"/>
  <c r="F18790" i="9"/>
  <c r="H18790" i="9" s="1"/>
  <c r="F18791" i="9"/>
  <c r="H18791" i="9" s="1"/>
  <c r="F18792" i="9"/>
  <c r="H18792" i="9" s="1"/>
  <c r="F18793" i="9"/>
  <c r="H18793" i="9" s="1"/>
  <c r="F18794" i="9"/>
  <c r="H18794" i="9" s="1"/>
  <c r="F18795" i="9"/>
  <c r="H18795" i="9" s="1"/>
  <c r="F18796" i="9"/>
  <c r="H18796" i="9" s="1"/>
  <c r="F18797" i="9"/>
  <c r="H18797" i="9" s="1"/>
  <c r="F18798" i="9"/>
  <c r="H18798" i="9" s="1"/>
  <c r="F18799" i="9"/>
  <c r="H18799" i="9" s="1"/>
  <c r="F18800" i="9"/>
  <c r="H18800" i="9" s="1"/>
  <c r="F18801" i="9"/>
  <c r="H18801" i="9" s="1"/>
  <c r="F18802" i="9"/>
  <c r="H18802" i="9" s="1"/>
  <c r="F18803" i="9"/>
  <c r="H18803" i="9"/>
  <c r="F18804" i="9"/>
  <c r="H18804" i="9" s="1"/>
  <c r="F18805" i="9"/>
  <c r="H18805" i="9" s="1"/>
  <c r="F18806" i="9"/>
  <c r="H18806" i="9" s="1"/>
  <c r="F18807" i="9"/>
  <c r="H18807" i="9"/>
  <c r="F18808" i="9"/>
  <c r="H18808" i="9" s="1"/>
  <c r="F18809" i="9"/>
  <c r="H18809" i="9" s="1"/>
  <c r="F18810" i="9"/>
  <c r="H18810" i="9" s="1"/>
  <c r="F18811" i="9"/>
  <c r="H18811" i="9" s="1"/>
  <c r="F18812" i="9"/>
  <c r="H18812" i="9" s="1"/>
  <c r="F18813" i="9"/>
  <c r="H18813" i="9"/>
  <c r="F18814" i="9"/>
  <c r="H18814" i="9" s="1"/>
  <c r="F18815" i="9"/>
  <c r="H18815" i="9" s="1"/>
  <c r="F18816" i="9"/>
  <c r="H18816" i="9" s="1"/>
  <c r="F18817" i="9"/>
  <c r="H18817" i="9" s="1"/>
  <c r="F18818" i="9"/>
  <c r="H18818" i="9" s="1"/>
  <c r="F18819" i="9"/>
  <c r="H18819" i="9" s="1"/>
  <c r="F18820" i="9"/>
  <c r="H18820" i="9" s="1"/>
  <c r="F18821" i="9"/>
  <c r="H18821" i="9" s="1"/>
  <c r="F18822" i="9"/>
  <c r="H18822" i="9" s="1"/>
  <c r="F18823" i="9"/>
  <c r="H18823" i="9" s="1"/>
  <c r="F18824" i="9"/>
  <c r="H18824" i="9" s="1"/>
  <c r="F18825" i="9"/>
  <c r="H18825" i="9" s="1"/>
  <c r="F18826" i="9"/>
  <c r="H18826" i="9" s="1"/>
  <c r="F18827" i="9"/>
  <c r="H18827" i="9"/>
  <c r="F18828" i="9"/>
  <c r="H18828" i="9"/>
  <c r="F18829" i="9"/>
  <c r="H18829" i="9" s="1"/>
  <c r="F18830" i="9"/>
  <c r="H18830" i="9" s="1"/>
  <c r="F18831" i="9"/>
  <c r="H18831" i="9" s="1"/>
  <c r="F18832" i="9"/>
  <c r="H18832" i="9" s="1"/>
  <c r="F18833" i="9"/>
  <c r="H18833" i="9" s="1"/>
  <c r="F18834" i="9"/>
  <c r="H18834" i="9" s="1"/>
  <c r="F18835" i="9"/>
  <c r="H18835" i="9" s="1"/>
  <c r="F18836" i="9"/>
  <c r="H18836" i="9" s="1"/>
  <c r="F18837" i="9"/>
  <c r="H18837" i="9" s="1"/>
  <c r="F18838" i="9"/>
  <c r="H18838" i="9" s="1"/>
  <c r="F18839" i="9"/>
  <c r="H18839" i="9" s="1"/>
  <c r="F18840" i="9"/>
  <c r="H18840" i="9" s="1"/>
  <c r="F18841" i="9"/>
  <c r="H18841" i="9" s="1"/>
  <c r="F18842" i="9"/>
  <c r="H18842" i="9" s="1"/>
  <c r="F18843" i="9"/>
  <c r="H18843" i="9" s="1"/>
  <c r="F18844" i="9"/>
  <c r="H18844" i="9" s="1"/>
  <c r="F18845" i="9"/>
  <c r="H18845" i="9" s="1"/>
  <c r="F18846" i="9"/>
  <c r="H18846" i="9"/>
  <c r="F18847" i="9"/>
  <c r="H18847" i="9" s="1"/>
  <c r="F18848" i="9"/>
  <c r="H18848" i="9" s="1"/>
  <c r="F18849" i="9"/>
  <c r="H18849" i="9" s="1"/>
  <c r="F18850" i="9"/>
  <c r="H18850" i="9" s="1"/>
  <c r="F18851" i="9"/>
  <c r="H18851" i="9" s="1"/>
  <c r="F18852" i="9"/>
  <c r="H18852" i="9" s="1"/>
  <c r="F18853" i="9"/>
  <c r="H18853" i="9" s="1"/>
  <c r="F18854" i="9"/>
  <c r="H18854" i="9" s="1"/>
  <c r="F18855" i="9"/>
  <c r="H18855" i="9" s="1"/>
  <c r="F18856" i="9"/>
  <c r="H18856" i="9"/>
  <c r="F18857" i="9"/>
  <c r="H18857" i="9"/>
  <c r="F18858" i="9"/>
  <c r="H18858" i="9" s="1"/>
  <c r="F18859" i="9"/>
  <c r="H18859" i="9" s="1"/>
  <c r="F18860" i="9"/>
  <c r="H18860" i="9" s="1"/>
  <c r="F18861" i="9"/>
  <c r="H18861" i="9" s="1"/>
  <c r="F18862" i="9"/>
  <c r="H18862" i="9" s="1"/>
  <c r="F18863" i="9"/>
  <c r="H18863" i="9" s="1"/>
  <c r="F18864" i="9"/>
  <c r="H18864" i="9" s="1"/>
  <c r="F18865" i="9"/>
  <c r="H18865" i="9" s="1"/>
  <c r="F18866" i="9"/>
  <c r="H18866" i="9" s="1"/>
  <c r="F18867" i="9"/>
  <c r="H18867" i="9" s="1"/>
  <c r="F18868" i="9"/>
  <c r="H18868" i="9" s="1"/>
  <c r="F18869" i="9"/>
  <c r="H18869" i="9" s="1"/>
  <c r="F18870" i="9"/>
  <c r="H18870" i="9" s="1"/>
  <c r="F18871" i="9"/>
  <c r="H18871" i="9" s="1"/>
  <c r="F18872" i="9"/>
  <c r="H18872" i="9" s="1"/>
  <c r="F18873" i="9"/>
  <c r="H18873" i="9" s="1"/>
  <c r="F18874" i="9"/>
  <c r="H18874" i="9" s="1"/>
  <c r="F18875" i="9"/>
  <c r="H18875" i="9" s="1"/>
  <c r="F18876" i="9"/>
  <c r="H18876" i="9" s="1"/>
  <c r="F18877" i="9"/>
  <c r="H18877" i="9" s="1"/>
  <c r="F18878" i="9"/>
  <c r="H18878" i="9"/>
  <c r="F18879" i="9"/>
  <c r="H18879" i="9" s="1"/>
  <c r="F18880" i="9"/>
  <c r="H18880" i="9" s="1"/>
  <c r="F18881" i="9"/>
  <c r="H18881" i="9" s="1"/>
  <c r="F18882" i="9"/>
  <c r="H18882" i="9" s="1"/>
  <c r="F18883" i="9"/>
  <c r="H18883" i="9" s="1"/>
  <c r="F18884" i="9"/>
  <c r="H18884" i="9" s="1"/>
  <c r="F18885" i="9"/>
  <c r="H18885" i="9" s="1"/>
  <c r="F18886" i="9"/>
  <c r="H18886" i="9" s="1"/>
  <c r="F18887" i="9"/>
  <c r="H18887" i="9" s="1"/>
  <c r="F18888" i="9"/>
  <c r="H18888" i="9" s="1"/>
  <c r="F18889" i="9"/>
  <c r="H18889" i="9" s="1"/>
  <c r="F18890" i="9"/>
  <c r="H18890" i="9" s="1"/>
  <c r="F18891" i="9"/>
  <c r="H18891" i="9" s="1"/>
  <c r="F18892" i="9"/>
  <c r="H18892" i="9" s="1"/>
  <c r="F18893" i="9"/>
  <c r="H18893" i="9" s="1"/>
  <c r="F18894" i="9"/>
  <c r="H18894" i="9" s="1"/>
  <c r="F18895" i="9"/>
  <c r="H18895" i="9" s="1"/>
  <c r="F18896" i="9"/>
  <c r="H18896" i="9" s="1"/>
  <c r="F18897" i="9"/>
  <c r="H18897" i="9" s="1"/>
  <c r="F18898" i="9"/>
  <c r="H18898" i="9" s="1"/>
  <c r="F18899" i="9"/>
  <c r="H18899" i="9" s="1"/>
  <c r="F18900" i="9"/>
  <c r="H18900" i="9" s="1"/>
  <c r="F18901" i="9"/>
  <c r="H18901" i="9" s="1"/>
  <c r="F18902" i="9"/>
  <c r="H18902" i="9" s="1"/>
  <c r="F18903" i="9"/>
  <c r="H18903" i="9" s="1"/>
  <c r="F18904" i="9"/>
  <c r="H18904" i="9" s="1"/>
  <c r="F18905" i="9"/>
  <c r="H18905" i="9" s="1"/>
  <c r="F18906" i="9"/>
  <c r="H18906" i="9" s="1"/>
  <c r="F18907" i="9"/>
  <c r="H18907" i="9" s="1"/>
  <c r="F18908" i="9"/>
  <c r="H18908" i="9"/>
  <c r="F18909" i="9"/>
  <c r="H18909" i="9" s="1"/>
  <c r="F18910" i="9"/>
  <c r="H18910" i="9" s="1"/>
  <c r="F18911" i="9"/>
  <c r="H18911" i="9" s="1"/>
  <c r="F18912" i="9"/>
  <c r="H18912" i="9" s="1"/>
  <c r="F18913" i="9"/>
  <c r="H18913" i="9" s="1"/>
  <c r="F18914" i="9"/>
  <c r="H18914" i="9" s="1"/>
  <c r="F18915" i="9"/>
  <c r="H18915" i="9" s="1"/>
  <c r="F18916" i="9"/>
  <c r="H18916" i="9" s="1"/>
  <c r="F18917" i="9"/>
  <c r="H18917" i="9" s="1"/>
  <c r="F18918" i="9"/>
  <c r="H18918" i="9" s="1"/>
  <c r="F18919" i="9"/>
  <c r="H18919" i="9" s="1"/>
  <c r="F18920" i="9"/>
  <c r="H18920" i="9" s="1"/>
  <c r="F18921" i="9"/>
  <c r="H18921" i="9"/>
  <c r="F18922" i="9"/>
  <c r="H18922" i="9" s="1"/>
  <c r="F18923" i="9"/>
  <c r="H18923" i="9" s="1"/>
  <c r="F18924" i="9"/>
  <c r="H18924" i="9" s="1"/>
  <c r="F18925" i="9"/>
  <c r="H18925" i="9" s="1"/>
  <c r="F18926" i="9"/>
  <c r="H18926" i="9" s="1"/>
  <c r="F18927" i="9"/>
  <c r="H18927" i="9" s="1"/>
  <c r="F18928" i="9"/>
  <c r="H18928" i="9" s="1"/>
  <c r="F18929" i="9"/>
  <c r="H18929" i="9"/>
  <c r="F18930" i="9"/>
  <c r="H18930" i="9" s="1"/>
  <c r="F18931" i="9"/>
  <c r="H18931" i="9" s="1"/>
  <c r="F18932" i="9"/>
  <c r="H18932" i="9" s="1"/>
  <c r="F18933" i="9"/>
  <c r="H18933" i="9" s="1"/>
  <c r="F18934" i="9"/>
  <c r="H18934" i="9" s="1"/>
  <c r="F18935" i="9"/>
  <c r="H18935" i="9" s="1"/>
  <c r="F18936" i="9"/>
  <c r="H18936" i="9" s="1"/>
  <c r="F18937" i="9"/>
  <c r="H18937" i="9" s="1"/>
  <c r="F18938" i="9"/>
  <c r="H18938" i="9" s="1"/>
  <c r="F18939" i="9"/>
  <c r="H18939" i="9" s="1"/>
  <c r="F18940" i="9"/>
  <c r="H18940" i="9" s="1"/>
  <c r="F18941" i="9"/>
  <c r="H18941" i="9" s="1"/>
  <c r="F18942" i="9"/>
  <c r="H18942" i="9" s="1"/>
  <c r="F18943" i="9"/>
  <c r="H18943" i="9" s="1"/>
  <c r="F18944" i="9"/>
  <c r="H18944" i="9" s="1"/>
  <c r="F18945" i="9"/>
  <c r="H18945" i="9" s="1"/>
  <c r="F18946" i="9"/>
  <c r="H18946" i="9" s="1"/>
  <c r="F18947" i="9"/>
  <c r="H18947" i="9" s="1"/>
  <c r="F18948" i="9"/>
  <c r="H18948" i="9" s="1"/>
  <c r="F18949" i="9"/>
  <c r="H18949" i="9"/>
  <c r="F18950" i="9"/>
  <c r="H18950" i="9" s="1"/>
  <c r="F18951" i="9"/>
  <c r="H18951" i="9" s="1"/>
  <c r="F18952" i="9"/>
  <c r="H18952" i="9" s="1"/>
  <c r="F18953" i="9"/>
  <c r="H18953" i="9" s="1"/>
  <c r="F18954" i="9"/>
  <c r="H18954" i="9" s="1"/>
  <c r="F18955" i="9"/>
  <c r="H18955" i="9" s="1"/>
  <c r="F18956" i="9"/>
  <c r="H18956" i="9" s="1"/>
  <c r="F18957" i="9"/>
  <c r="H18957" i="9" s="1"/>
  <c r="F18958" i="9"/>
  <c r="H18958" i="9"/>
  <c r="F18959" i="9"/>
  <c r="H18959" i="9" s="1"/>
  <c r="F18960" i="9"/>
  <c r="H18960" i="9" s="1"/>
  <c r="F18961" i="9"/>
  <c r="H18961" i="9" s="1"/>
  <c r="F18962" i="9"/>
  <c r="H18962" i="9" s="1"/>
  <c r="F18963" i="9"/>
  <c r="H18963" i="9" s="1"/>
  <c r="F18964" i="9"/>
  <c r="H18964" i="9" s="1"/>
  <c r="F18965" i="9"/>
  <c r="H18965" i="9" s="1"/>
  <c r="F18966" i="9"/>
  <c r="H18966" i="9" s="1"/>
  <c r="F18967" i="9"/>
  <c r="H18967" i="9"/>
  <c r="F18968" i="9"/>
  <c r="H18968" i="9" s="1"/>
  <c r="F18969" i="9"/>
  <c r="H18969" i="9" s="1"/>
  <c r="F18970" i="9"/>
  <c r="H18970" i="9" s="1"/>
  <c r="F18971" i="9"/>
  <c r="H18971" i="9" s="1"/>
  <c r="F18972" i="9"/>
  <c r="H18972" i="9" s="1"/>
  <c r="F18973" i="9"/>
  <c r="H18973" i="9" s="1"/>
  <c r="F18974" i="9"/>
  <c r="H18974" i="9"/>
  <c r="F18975" i="9"/>
  <c r="H18975" i="9" s="1"/>
  <c r="F18976" i="9"/>
  <c r="H18976" i="9" s="1"/>
  <c r="F18977" i="9"/>
  <c r="H18977" i="9" s="1"/>
  <c r="F18978" i="9"/>
  <c r="H18978" i="9" s="1"/>
  <c r="F18979" i="9"/>
  <c r="H18979" i="9" s="1"/>
  <c r="F18980" i="9"/>
  <c r="H18980" i="9"/>
  <c r="F18981" i="9"/>
  <c r="H18981" i="9" s="1"/>
  <c r="F18982" i="9"/>
  <c r="H18982" i="9" s="1"/>
  <c r="F18983" i="9"/>
  <c r="H18983" i="9" s="1"/>
  <c r="F18984" i="9"/>
  <c r="H18984" i="9" s="1"/>
  <c r="F18985" i="9"/>
  <c r="H18985" i="9"/>
  <c r="F18986" i="9"/>
  <c r="H18986" i="9" s="1"/>
  <c r="F18987" i="9"/>
  <c r="H18987" i="9"/>
  <c r="F18988" i="9"/>
  <c r="H18988" i="9"/>
  <c r="F18989" i="9"/>
  <c r="H18989" i="9" s="1"/>
  <c r="F18990" i="9"/>
  <c r="H18990" i="9" s="1"/>
  <c r="F18991" i="9"/>
  <c r="H18991" i="9" s="1"/>
  <c r="F18992" i="9"/>
  <c r="H18992" i="9"/>
  <c r="F18993" i="9"/>
  <c r="H18993" i="9" s="1"/>
  <c r="F18994" i="9"/>
  <c r="H18994" i="9"/>
  <c r="F18995" i="9"/>
  <c r="H18995" i="9" s="1"/>
  <c r="F18996" i="9"/>
  <c r="H18996" i="9" s="1"/>
  <c r="F18997" i="9"/>
  <c r="H18997" i="9" s="1"/>
  <c r="F18998" i="9"/>
  <c r="H18998" i="9" s="1"/>
  <c r="F18999" i="9"/>
  <c r="H18999" i="9" s="1"/>
  <c r="F19000" i="9"/>
  <c r="H19000" i="9" s="1"/>
  <c r="F19001" i="9"/>
  <c r="H19001" i="9" s="1"/>
  <c r="F19002" i="9"/>
  <c r="H19002" i="9" s="1"/>
  <c r="F19003" i="9"/>
  <c r="H19003" i="9"/>
  <c r="F19004" i="9"/>
  <c r="H19004" i="9" s="1"/>
  <c r="F19005" i="9"/>
  <c r="H19005" i="9" s="1"/>
  <c r="F19006" i="9"/>
  <c r="H19006" i="9" s="1"/>
  <c r="F19007" i="9"/>
  <c r="H19007" i="9" s="1"/>
  <c r="F19008" i="9"/>
  <c r="H19008" i="9" s="1"/>
  <c r="F19009" i="9"/>
  <c r="H19009" i="9" s="1"/>
  <c r="F19010" i="9"/>
  <c r="H19010" i="9" s="1"/>
  <c r="F19011" i="9"/>
  <c r="H19011" i="9" s="1"/>
  <c r="F19012" i="9"/>
  <c r="H19012" i="9" s="1"/>
  <c r="F19013" i="9"/>
  <c r="H19013" i="9" s="1"/>
  <c r="F19014" i="9"/>
  <c r="H19014" i="9" s="1"/>
  <c r="F19015" i="9"/>
  <c r="H19015" i="9" s="1"/>
  <c r="F19016" i="9"/>
  <c r="H19016" i="9" s="1"/>
  <c r="F19017" i="9"/>
  <c r="H19017" i="9" s="1"/>
  <c r="F19018" i="9"/>
  <c r="H19018" i="9" s="1"/>
  <c r="F19019" i="9"/>
  <c r="H19019" i="9" s="1"/>
  <c r="F19020" i="9"/>
  <c r="H19020" i="9" s="1"/>
  <c r="F19021" i="9"/>
  <c r="H19021" i="9" s="1"/>
  <c r="F19022" i="9"/>
  <c r="H19022" i="9" s="1"/>
  <c r="F19023" i="9"/>
  <c r="H19023" i="9"/>
  <c r="F19024" i="9"/>
  <c r="H19024" i="9" s="1"/>
  <c r="F19025" i="9"/>
  <c r="H19025" i="9" s="1"/>
  <c r="F19026" i="9"/>
  <c r="H19026" i="9" s="1"/>
  <c r="F19027" i="9"/>
  <c r="H19027" i="9" s="1"/>
  <c r="F19028" i="9"/>
  <c r="H19028" i="9" s="1"/>
  <c r="F19029" i="9"/>
  <c r="H19029" i="9" s="1"/>
  <c r="F19030" i="9"/>
  <c r="H19030" i="9"/>
  <c r="F19031" i="9"/>
  <c r="H19031" i="9" s="1"/>
  <c r="F19032" i="9"/>
  <c r="H19032" i="9" s="1"/>
  <c r="F19033" i="9"/>
  <c r="H19033" i="9" s="1"/>
  <c r="F19034" i="9"/>
  <c r="H19034" i="9" s="1"/>
  <c r="F19035" i="9"/>
  <c r="H19035" i="9" s="1"/>
  <c r="F19036" i="9"/>
  <c r="H19036" i="9" s="1"/>
  <c r="F19037" i="9"/>
  <c r="H19037" i="9" s="1"/>
  <c r="F19038" i="9"/>
  <c r="H19038" i="9" s="1"/>
  <c r="F19039" i="9"/>
  <c r="H19039" i="9" s="1"/>
  <c r="F19040" i="9"/>
  <c r="H19040" i="9" s="1"/>
  <c r="F19041" i="9"/>
  <c r="H19041" i="9" s="1"/>
  <c r="F19042" i="9"/>
  <c r="H19042" i="9" s="1"/>
  <c r="F19043" i="9"/>
  <c r="H19043" i="9" s="1"/>
  <c r="F19044" i="9"/>
  <c r="H19044" i="9" s="1"/>
  <c r="F19045" i="9"/>
  <c r="H19045" i="9" s="1"/>
  <c r="F19046" i="9"/>
  <c r="H19046" i="9" s="1"/>
  <c r="F19047" i="9"/>
  <c r="H19047" i="9" s="1"/>
  <c r="F19048" i="9"/>
  <c r="H19048" i="9" s="1"/>
  <c r="F19049" i="9"/>
  <c r="H19049" i="9" s="1"/>
  <c r="F19050" i="9"/>
  <c r="H19050" i="9" s="1"/>
  <c r="F19051" i="9"/>
  <c r="H19051" i="9" s="1"/>
  <c r="F19052" i="9"/>
  <c r="H19052" i="9"/>
  <c r="F19053" i="9"/>
  <c r="H19053" i="9"/>
  <c r="F19054" i="9"/>
  <c r="H19054" i="9" s="1"/>
  <c r="F19055" i="9"/>
  <c r="H19055" i="9" s="1"/>
  <c r="F19056" i="9"/>
  <c r="H19056" i="9" s="1"/>
  <c r="F19057" i="9"/>
  <c r="H19057" i="9"/>
  <c r="F19058" i="9"/>
  <c r="H19058" i="9" s="1"/>
  <c r="F19059" i="9"/>
  <c r="H19059" i="9"/>
  <c r="F19060" i="9"/>
  <c r="H19060" i="9"/>
  <c r="F19061" i="9"/>
  <c r="H19061" i="9" s="1"/>
  <c r="F19062" i="9"/>
  <c r="H19062" i="9" s="1"/>
  <c r="F19063" i="9"/>
  <c r="H19063" i="9" s="1"/>
  <c r="F19064" i="9"/>
  <c r="H19064" i="9"/>
  <c r="F19065" i="9"/>
  <c r="H19065" i="9" s="1"/>
  <c r="F19066" i="9"/>
  <c r="H19066" i="9" s="1"/>
  <c r="F19067" i="9"/>
  <c r="H19067" i="9" s="1"/>
  <c r="F19068" i="9"/>
  <c r="H19068" i="9" s="1"/>
  <c r="F19069" i="9"/>
  <c r="H19069" i="9" s="1"/>
  <c r="F19070" i="9"/>
  <c r="H19070" i="9" s="1"/>
  <c r="F19071" i="9"/>
  <c r="H19071" i="9"/>
  <c r="F19072" i="9"/>
  <c r="H19072" i="9" s="1"/>
  <c r="F19073" i="9"/>
  <c r="H19073" i="9" s="1"/>
  <c r="F19074" i="9"/>
  <c r="H19074" i="9" s="1"/>
  <c r="F19075" i="9"/>
  <c r="H19075" i="9"/>
  <c r="F19076" i="9"/>
  <c r="H19076" i="9" s="1"/>
  <c r="F19077" i="9"/>
  <c r="H19077" i="9" s="1"/>
  <c r="F19078" i="9"/>
  <c r="H19078" i="9" s="1"/>
  <c r="F19079" i="9"/>
  <c r="H19079" i="9" s="1"/>
  <c r="F19080" i="9"/>
  <c r="H19080" i="9" s="1"/>
  <c r="F19081" i="9"/>
  <c r="H19081" i="9"/>
  <c r="F19082" i="9"/>
  <c r="H19082" i="9" s="1"/>
  <c r="F19083" i="9"/>
  <c r="H19083" i="9" s="1"/>
  <c r="F19084" i="9"/>
  <c r="H19084" i="9" s="1"/>
  <c r="F19085" i="9"/>
  <c r="H19085" i="9" s="1"/>
  <c r="F19086" i="9"/>
  <c r="H19086" i="9" s="1"/>
  <c r="F19087" i="9"/>
  <c r="H19087" i="9" s="1"/>
  <c r="F19088" i="9"/>
  <c r="H19088" i="9"/>
  <c r="F19089" i="9"/>
  <c r="H19089" i="9" s="1"/>
  <c r="F19090" i="9"/>
  <c r="H19090" i="9" s="1"/>
  <c r="F19091" i="9"/>
  <c r="H19091" i="9" s="1"/>
  <c r="F19092" i="9"/>
  <c r="H19092" i="9" s="1"/>
  <c r="F19093" i="9"/>
  <c r="H19093" i="9" s="1"/>
  <c r="F19094" i="9"/>
  <c r="H19094" i="9" s="1"/>
  <c r="F19095" i="9"/>
  <c r="H19095" i="9"/>
  <c r="F19096" i="9"/>
  <c r="H19096" i="9"/>
  <c r="F19097" i="9"/>
  <c r="H19097" i="9" s="1"/>
  <c r="F19098" i="9"/>
  <c r="H19098" i="9" s="1"/>
  <c r="F19099" i="9"/>
  <c r="H19099" i="9" s="1"/>
  <c r="F19100" i="9"/>
  <c r="H19100" i="9" s="1"/>
  <c r="F19101" i="9"/>
  <c r="H19101" i="9" s="1"/>
  <c r="F19102" i="9"/>
  <c r="H19102" i="9"/>
  <c r="F19103" i="9"/>
  <c r="H19103" i="9" s="1"/>
  <c r="F19104" i="9"/>
  <c r="H19104" i="9" s="1"/>
  <c r="F19105" i="9"/>
  <c r="H19105" i="9" s="1"/>
  <c r="F19106" i="9"/>
  <c r="H19106" i="9" s="1"/>
  <c r="F19107" i="9"/>
  <c r="H19107" i="9" s="1"/>
  <c r="F19108" i="9"/>
  <c r="H19108" i="9" s="1"/>
  <c r="F19109" i="9"/>
  <c r="H19109" i="9" s="1"/>
  <c r="F19110" i="9"/>
  <c r="H19110" i="9" s="1"/>
  <c r="F19111" i="9"/>
  <c r="H19111" i="9" s="1"/>
  <c r="F19112" i="9"/>
  <c r="H19112" i="9" s="1"/>
  <c r="F19113" i="9"/>
  <c r="H19113" i="9" s="1"/>
  <c r="F19114" i="9"/>
  <c r="H19114" i="9" s="1"/>
  <c r="F19115" i="9"/>
  <c r="H19115" i="9" s="1"/>
  <c r="F19116" i="9"/>
  <c r="H19116" i="9" s="1"/>
  <c r="F19117" i="9"/>
  <c r="H19117" i="9" s="1"/>
  <c r="F19118" i="9"/>
  <c r="H19118" i="9" s="1"/>
  <c r="F19119" i="9"/>
  <c r="H19119" i="9" s="1"/>
  <c r="F19120" i="9"/>
  <c r="H19120" i="9" s="1"/>
  <c r="F19121" i="9"/>
  <c r="H19121" i="9" s="1"/>
  <c r="F19122" i="9"/>
  <c r="H19122" i="9" s="1"/>
  <c r="F19123" i="9"/>
  <c r="H19123" i="9" s="1"/>
  <c r="F19124" i="9"/>
  <c r="H19124" i="9"/>
  <c r="F19125" i="9"/>
  <c r="H19125" i="9"/>
  <c r="F19126" i="9"/>
  <c r="H19126" i="9" s="1"/>
  <c r="F19127" i="9"/>
  <c r="H19127" i="9" s="1"/>
  <c r="F19128" i="9"/>
  <c r="H19128" i="9" s="1"/>
  <c r="F19129" i="9"/>
  <c r="H19129" i="9"/>
  <c r="F19130" i="9"/>
  <c r="H19130" i="9" s="1"/>
  <c r="F19131" i="9"/>
  <c r="H19131" i="9" s="1"/>
  <c r="F19132" i="9"/>
  <c r="H19132" i="9"/>
  <c r="F19133" i="9"/>
  <c r="H19133" i="9" s="1"/>
  <c r="F19134" i="9"/>
  <c r="H19134" i="9" s="1"/>
  <c r="F19135" i="9"/>
  <c r="H19135" i="9" s="1"/>
  <c r="F19136" i="9"/>
  <c r="H19136" i="9" s="1"/>
  <c r="F19137" i="9"/>
  <c r="H19137" i="9" s="1"/>
  <c r="F19138" i="9"/>
  <c r="H19138" i="9" s="1"/>
  <c r="F19139" i="9"/>
  <c r="H19139" i="9" s="1"/>
  <c r="F19140" i="9"/>
  <c r="H19140" i="9" s="1"/>
  <c r="F19141" i="9"/>
  <c r="H19141" i="9" s="1"/>
  <c r="F19142" i="9"/>
  <c r="H19142" i="9" s="1"/>
  <c r="F19143" i="9"/>
  <c r="H19143" i="9"/>
  <c r="F19144" i="9"/>
  <c r="H19144" i="9" s="1"/>
  <c r="F19145" i="9"/>
  <c r="H19145" i="9" s="1"/>
  <c r="F19146" i="9"/>
  <c r="H19146" i="9" s="1"/>
  <c r="F19147" i="9"/>
  <c r="H19147" i="9" s="1"/>
  <c r="F19148" i="9"/>
  <c r="H19148" i="9" s="1"/>
  <c r="F19149" i="9"/>
  <c r="H19149" i="9" s="1"/>
  <c r="F19150" i="9"/>
  <c r="H19150" i="9" s="1"/>
  <c r="F19151" i="9"/>
  <c r="H19151" i="9" s="1"/>
  <c r="F19152" i="9"/>
  <c r="H19152" i="9" s="1"/>
  <c r="F19153" i="9"/>
  <c r="H19153" i="9"/>
  <c r="F19154" i="9"/>
  <c r="H19154" i="9"/>
  <c r="F19155" i="9"/>
  <c r="H19155" i="9" s="1"/>
  <c r="F19156" i="9"/>
  <c r="H19156" i="9" s="1"/>
  <c r="F19157" i="9"/>
  <c r="H19157" i="9" s="1"/>
  <c r="F19158" i="9"/>
  <c r="H19158" i="9" s="1"/>
  <c r="F19159" i="9"/>
  <c r="H19159" i="9" s="1"/>
  <c r="F19160" i="9"/>
  <c r="H19160" i="9"/>
  <c r="F19161" i="9"/>
  <c r="H19161" i="9"/>
  <c r="F19162" i="9"/>
  <c r="H19162" i="9" s="1"/>
  <c r="F19163" i="9"/>
  <c r="H19163" i="9" s="1"/>
  <c r="F19164" i="9"/>
  <c r="H19164" i="9" s="1"/>
  <c r="F19165" i="9"/>
  <c r="H19165" i="9" s="1"/>
  <c r="F19166" i="9"/>
  <c r="H19166" i="9" s="1"/>
  <c r="F19167" i="9"/>
  <c r="H19167" i="9"/>
  <c r="F19168" i="9"/>
  <c r="H19168" i="9"/>
  <c r="F19169" i="9"/>
  <c r="H19169" i="9" s="1"/>
  <c r="F19170" i="9"/>
  <c r="H19170" i="9" s="1"/>
  <c r="F19171" i="9"/>
  <c r="H19171" i="9" s="1"/>
  <c r="F19172" i="9"/>
  <c r="H19172" i="9"/>
  <c r="F19173" i="9"/>
  <c r="H19173" i="9" s="1"/>
  <c r="F19174" i="9"/>
  <c r="H19174" i="9"/>
  <c r="F19175" i="9"/>
  <c r="H19175" i="9" s="1"/>
  <c r="F19176" i="9"/>
  <c r="H19176" i="9" s="1"/>
  <c r="F19177" i="9"/>
  <c r="H19177" i="9" s="1"/>
  <c r="F19178" i="9"/>
  <c r="H19178" i="9" s="1"/>
  <c r="F19179" i="9"/>
  <c r="H19179" i="9"/>
  <c r="F19180" i="9"/>
  <c r="H19180" i="9" s="1"/>
  <c r="F19181" i="9"/>
  <c r="H19181" i="9" s="1"/>
  <c r="F19182" i="9"/>
  <c r="H19182" i="9" s="1"/>
  <c r="F19183" i="9"/>
  <c r="H19183" i="9" s="1"/>
  <c r="F19184" i="9"/>
  <c r="H19184" i="9" s="1"/>
  <c r="F19185" i="9"/>
  <c r="H19185" i="9" s="1"/>
  <c r="F19186" i="9"/>
  <c r="H19186" i="9" s="1"/>
  <c r="F19187" i="9"/>
  <c r="H19187" i="9" s="1"/>
  <c r="F19188" i="9"/>
  <c r="H19188" i="9" s="1"/>
  <c r="F19189" i="9"/>
  <c r="H19189" i="9" s="1"/>
  <c r="F19190" i="9"/>
  <c r="H19190" i="9" s="1"/>
  <c r="F19191" i="9"/>
  <c r="H19191" i="9" s="1"/>
  <c r="F19192" i="9"/>
  <c r="H19192" i="9" s="1"/>
  <c r="F19193" i="9"/>
  <c r="H19193" i="9" s="1"/>
  <c r="F19194" i="9"/>
  <c r="H19194" i="9" s="1"/>
  <c r="F19195" i="9"/>
  <c r="H19195" i="9" s="1"/>
  <c r="F19196" i="9"/>
  <c r="H19196" i="9" s="1"/>
  <c r="F19197" i="9"/>
  <c r="H19197" i="9"/>
  <c r="F19198" i="9"/>
  <c r="H19198" i="9" s="1"/>
  <c r="F19199" i="9"/>
  <c r="H19199" i="9" s="1"/>
  <c r="F19200" i="9"/>
  <c r="H19200" i="9" s="1"/>
  <c r="F19201" i="9"/>
  <c r="H19201" i="9"/>
  <c r="F19202" i="9"/>
  <c r="H19202" i="9" s="1"/>
  <c r="F19203" i="9"/>
  <c r="H19203" i="9" s="1"/>
  <c r="F19204" i="9"/>
  <c r="H19204" i="9" s="1"/>
  <c r="F19205" i="9"/>
  <c r="H19205" i="9" s="1"/>
  <c r="F19206" i="9"/>
  <c r="H19206" i="9" s="1"/>
  <c r="F19207" i="9"/>
  <c r="H19207" i="9" s="1"/>
  <c r="F19208" i="9"/>
  <c r="H19208" i="9" s="1"/>
  <c r="F19209" i="9"/>
  <c r="H19209" i="9" s="1"/>
  <c r="F19210" i="9"/>
  <c r="H19210" i="9" s="1"/>
  <c r="F19211" i="9"/>
  <c r="H19211" i="9" s="1"/>
  <c r="F19212" i="9"/>
  <c r="H19212" i="9" s="1"/>
  <c r="F19213" i="9"/>
  <c r="H19213" i="9" s="1"/>
  <c r="F19214" i="9"/>
  <c r="H19214" i="9" s="1"/>
  <c r="F19215" i="9"/>
  <c r="H19215" i="9" s="1"/>
  <c r="F19216" i="9"/>
  <c r="H19216" i="9" s="1"/>
  <c r="F19217" i="9"/>
  <c r="H19217" i="9" s="1"/>
  <c r="F19218" i="9"/>
  <c r="H19218" i="9" s="1"/>
  <c r="F19219" i="9"/>
  <c r="H19219" i="9"/>
  <c r="F19220" i="9"/>
  <c r="H19220" i="9" s="1"/>
  <c r="F19221" i="9"/>
  <c r="H19221" i="9" s="1"/>
  <c r="F19222" i="9"/>
  <c r="H19222" i="9" s="1"/>
  <c r="F19223" i="9"/>
  <c r="H19223" i="9" s="1"/>
  <c r="F19224" i="9"/>
  <c r="H19224" i="9" s="1"/>
  <c r="F19225" i="9"/>
  <c r="H19225" i="9" s="1"/>
  <c r="F19226" i="9"/>
  <c r="H19226" i="9" s="1"/>
  <c r="F19227" i="9"/>
  <c r="H19227" i="9" s="1"/>
  <c r="F19228" i="9"/>
  <c r="H19228" i="9" s="1"/>
  <c r="F19229" i="9"/>
  <c r="H19229" i="9" s="1"/>
  <c r="F19230" i="9"/>
  <c r="H19230" i="9" s="1"/>
  <c r="F19231" i="9"/>
  <c r="H19231" i="9" s="1"/>
  <c r="F19232" i="9"/>
  <c r="H19232" i="9" s="1"/>
  <c r="F19233" i="9"/>
  <c r="H19233" i="9"/>
  <c r="F19234" i="9"/>
  <c r="H19234" i="9" s="1"/>
  <c r="F19235" i="9"/>
  <c r="H19235" i="9" s="1"/>
  <c r="F19236" i="9"/>
  <c r="H19236" i="9" s="1"/>
  <c r="F19237" i="9"/>
  <c r="H19237" i="9" s="1"/>
  <c r="F19238" i="9"/>
  <c r="H19238" i="9" s="1"/>
  <c r="F19239" i="9"/>
  <c r="H19239" i="9" s="1"/>
  <c r="F19240" i="9"/>
  <c r="H19240" i="9"/>
  <c r="F19241" i="9"/>
  <c r="H19241" i="9" s="1"/>
  <c r="F19242" i="9"/>
  <c r="H19242" i="9" s="1"/>
  <c r="F19243" i="9"/>
  <c r="H19243" i="9" s="1"/>
  <c r="F19244" i="9"/>
  <c r="H19244" i="9" s="1"/>
  <c r="F19245" i="9"/>
  <c r="H19245" i="9" s="1"/>
  <c r="F19246" i="9"/>
  <c r="H19246" i="9" s="1"/>
  <c r="F19247" i="9"/>
  <c r="H19247" i="9" s="1"/>
  <c r="F19248" i="9"/>
  <c r="H19248" i="9" s="1"/>
  <c r="F19249" i="9"/>
  <c r="H19249" i="9" s="1"/>
  <c r="F19250" i="9"/>
  <c r="H19250" i="9" s="1"/>
  <c r="F19251" i="9"/>
  <c r="H19251" i="9" s="1"/>
  <c r="F19252" i="9"/>
  <c r="H19252" i="9" s="1"/>
  <c r="F19253" i="9"/>
  <c r="H19253" i="9" s="1"/>
  <c r="F19254" i="9"/>
  <c r="H19254" i="9" s="1"/>
  <c r="F19255" i="9"/>
  <c r="H19255" i="9" s="1"/>
  <c r="F19256" i="9"/>
  <c r="H19256" i="9" s="1"/>
  <c r="F19257" i="9"/>
  <c r="H19257" i="9" s="1"/>
  <c r="F19258" i="9"/>
  <c r="H19258" i="9" s="1"/>
  <c r="F19259" i="9"/>
  <c r="H19259" i="9" s="1"/>
  <c r="F19260" i="9"/>
  <c r="H19260" i="9" s="1"/>
  <c r="F19261" i="9"/>
  <c r="H19261" i="9" s="1"/>
  <c r="F19262" i="9"/>
  <c r="H19262" i="9"/>
  <c r="F19263" i="9"/>
  <c r="H19263" i="9" s="1"/>
  <c r="F19264" i="9"/>
  <c r="H19264" i="9" s="1"/>
  <c r="F19265" i="9"/>
  <c r="H19265" i="9" s="1"/>
  <c r="F19266" i="9"/>
  <c r="H19266" i="9" s="1"/>
  <c r="F19267" i="9"/>
  <c r="H19267" i="9" s="1"/>
  <c r="F19268" i="9"/>
  <c r="H19268" i="9" s="1"/>
  <c r="F19269" i="9"/>
  <c r="H19269" i="9" s="1"/>
  <c r="F19270" i="9"/>
  <c r="H19270" i="9" s="1"/>
  <c r="F19271" i="9"/>
  <c r="H19271" i="9" s="1"/>
  <c r="F19272" i="9"/>
  <c r="H19272" i="9" s="1"/>
  <c r="F19273" i="9"/>
  <c r="H19273" i="9" s="1"/>
  <c r="F19274" i="9"/>
  <c r="H19274" i="9" s="1"/>
  <c r="F19275" i="9"/>
  <c r="H19275" i="9" s="1"/>
  <c r="F19276" i="9"/>
  <c r="H19276" i="9" s="1"/>
  <c r="F19277" i="9"/>
  <c r="H19277" i="9" s="1"/>
  <c r="F19278" i="9"/>
  <c r="H19278" i="9" s="1"/>
  <c r="F19279" i="9"/>
  <c r="H19279" i="9" s="1"/>
  <c r="F19280" i="9"/>
  <c r="H19280" i="9" s="1"/>
  <c r="F19281" i="9"/>
  <c r="H19281" i="9" s="1"/>
  <c r="F19282" i="9"/>
  <c r="H19282" i="9" s="1"/>
  <c r="F19283" i="9"/>
  <c r="H19283" i="9" s="1"/>
  <c r="F19284" i="9"/>
  <c r="H19284" i="9" s="1"/>
  <c r="F19285" i="9"/>
  <c r="H19285" i="9" s="1"/>
  <c r="F19286" i="9"/>
  <c r="H19286" i="9" s="1"/>
  <c r="F19287" i="9"/>
  <c r="H19287" i="9" s="1"/>
  <c r="F19288" i="9"/>
  <c r="H19288" i="9" s="1"/>
  <c r="F19289" i="9"/>
  <c r="H19289" i="9" s="1"/>
  <c r="F19290" i="9"/>
  <c r="H19290" i="9" s="1"/>
  <c r="F19291" i="9"/>
  <c r="H19291" i="9" s="1"/>
  <c r="F19292" i="9"/>
  <c r="H19292" i="9" s="1"/>
  <c r="F19293" i="9"/>
  <c r="H19293" i="9" s="1"/>
  <c r="F19294" i="9"/>
  <c r="H19294" i="9" s="1"/>
  <c r="F19295" i="9"/>
  <c r="H19295" i="9" s="1"/>
  <c r="F19296" i="9"/>
  <c r="H19296" i="9" s="1"/>
  <c r="F19297" i="9"/>
  <c r="H19297" i="9" s="1"/>
  <c r="F19298" i="9"/>
  <c r="H19298" i="9" s="1"/>
  <c r="F19299" i="9"/>
  <c r="H19299" i="9" s="1"/>
  <c r="F19300" i="9"/>
  <c r="H19300" i="9" s="1"/>
  <c r="F19301" i="9"/>
  <c r="H19301" i="9" s="1"/>
  <c r="F19302" i="9"/>
  <c r="H19302" i="9" s="1"/>
  <c r="F19303" i="9"/>
  <c r="H19303" i="9" s="1"/>
  <c r="F19304" i="9"/>
  <c r="H19304" i="9" s="1"/>
  <c r="F19305" i="9"/>
  <c r="H19305" i="9"/>
  <c r="F19306" i="9"/>
  <c r="H19306" i="9" s="1"/>
  <c r="F19307" i="9"/>
  <c r="H19307" i="9" s="1"/>
  <c r="F19308" i="9"/>
  <c r="H19308" i="9" s="1"/>
  <c r="F19309" i="9"/>
  <c r="H19309" i="9"/>
  <c r="F19310" i="9"/>
  <c r="H19310" i="9" s="1"/>
  <c r="F19311" i="9"/>
  <c r="H19311" i="9" s="1"/>
  <c r="F19312" i="9"/>
  <c r="H19312" i="9" s="1"/>
  <c r="F19313" i="9"/>
  <c r="H19313" i="9" s="1"/>
  <c r="F19314" i="9"/>
  <c r="H19314" i="9" s="1"/>
  <c r="F19315" i="9"/>
  <c r="H19315" i="9" s="1"/>
  <c r="F19316" i="9"/>
  <c r="H19316" i="9"/>
  <c r="F19317" i="9"/>
  <c r="H19317" i="9" s="1"/>
  <c r="F19318" i="9"/>
  <c r="H19318" i="9" s="1"/>
  <c r="F19319" i="9"/>
  <c r="H19319" i="9" s="1"/>
  <c r="F19320" i="9"/>
  <c r="H19320" i="9" s="1"/>
  <c r="F19321" i="9"/>
  <c r="H19321" i="9" s="1"/>
  <c r="F19322" i="9"/>
  <c r="H19322" i="9" s="1"/>
  <c r="F19323" i="9"/>
  <c r="H19323" i="9" s="1"/>
  <c r="F19324" i="9"/>
  <c r="H19324" i="9" s="1"/>
  <c r="F19325" i="9"/>
  <c r="H19325" i="9" s="1"/>
  <c r="F19326" i="9"/>
  <c r="H19326" i="9" s="1"/>
  <c r="F19327" i="9"/>
  <c r="H19327" i="9"/>
  <c r="F19328" i="9"/>
  <c r="H19328" i="9" s="1"/>
  <c r="F19329" i="9"/>
  <c r="H19329" i="9" s="1"/>
  <c r="F19330" i="9"/>
  <c r="H19330" i="9" s="1"/>
  <c r="F19331" i="9"/>
  <c r="H19331" i="9" s="1"/>
  <c r="F19332" i="9"/>
  <c r="H19332" i="9" s="1"/>
  <c r="F19333" i="9"/>
  <c r="H19333" i="9" s="1"/>
  <c r="F19334" i="9"/>
  <c r="H19334" i="9" s="1"/>
  <c r="F19335" i="9"/>
  <c r="H19335" i="9" s="1"/>
  <c r="F19336" i="9"/>
  <c r="H19336" i="9" s="1"/>
  <c r="F19337" i="9"/>
  <c r="H19337" i="9" s="1"/>
  <c r="F19338" i="9"/>
  <c r="H19338" i="9" s="1"/>
  <c r="F19339" i="9"/>
  <c r="H19339" i="9" s="1"/>
  <c r="F19340" i="9"/>
  <c r="H19340" i="9" s="1"/>
  <c r="F19341" i="9"/>
  <c r="H19341" i="9"/>
  <c r="F19342" i="9"/>
  <c r="H19342" i="9" s="1"/>
  <c r="F19343" i="9"/>
  <c r="H19343" i="9" s="1"/>
  <c r="F19344" i="9"/>
  <c r="H19344" i="9" s="1"/>
  <c r="F19345" i="9"/>
  <c r="H19345" i="9" s="1"/>
  <c r="F19346" i="9"/>
  <c r="H19346" i="9" s="1"/>
  <c r="F19347" i="9"/>
  <c r="H19347" i="9" s="1"/>
  <c r="F19348" i="9"/>
  <c r="H19348" i="9"/>
  <c r="F19349" i="9"/>
  <c r="H19349" i="9" s="1"/>
  <c r="F19350" i="9"/>
  <c r="H19350" i="9" s="1"/>
  <c r="F19351" i="9"/>
  <c r="H19351" i="9" s="1"/>
  <c r="F19352" i="9"/>
  <c r="H19352" i="9" s="1"/>
  <c r="F19353" i="9"/>
  <c r="H19353" i="9" s="1"/>
  <c r="F19354" i="9"/>
  <c r="H19354" i="9" s="1"/>
  <c r="F19355" i="9"/>
  <c r="H19355" i="9"/>
  <c r="F19356" i="9"/>
  <c r="H19356" i="9" s="1"/>
  <c r="F19357" i="9"/>
  <c r="H19357" i="9"/>
  <c r="F19358" i="9"/>
  <c r="H19358" i="9" s="1"/>
  <c r="F19359" i="9"/>
  <c r="H19359" i="9" s="1"/>
  <c r="F19360" i="9"/>
  <c r="H19360" i="9" s="1"/>
  <c r="F19361" i="9"/>
  <c r="H19361" i="9" s="1"/>
  <c r="F19362" i="9"/>
  <c r="H19362" i="9" s="1"/>
  <c r="F19363" i="9"/>
  <c r="H19363" i="9" s="1"/>
  <c r="F19364" i="9"/>
  <c r="H19364" i="9" s="1"/>
  <c r="F19365" i="9"/>
  <c r="H19365" i="9" s="1"/>
  <c r="F19366" i="9"/>
  <c r="H19366" i="9" s="1"/>
  <c r="F19367" i="9"/>
  <c r="H19367" i="9" s="1"/>
  <c r="F19368" i="9"/>
  <c r="H19368" i="9" s="1"/>
  <c r="F19369" i="9"/>
  <c r="H19369" i="9"/>
  <c r="F19370" i="9"/>
  <c r="H19370" i="9" s="1"/>
  <c r="F19371" i="9"/>
  <c r="H19371" i="9" s="1"/>
  <c r="F19372" i="9"/>
  <c r="H19372" i="9" s="1"/>
  <c r="F19373" i="9"/>
  <c r="H19373" i="9" s="1"/>
  <c r="F19374" i="9"/>
  <c r="H19374" i="9" s="1"/>
  <c r="F19375" i="9"/>
  <c r="H19375" i="9" s="1"/>
  <c r="F19376" i="9"/>
  <c r="H19376" i="9" s="1"/>
  <c r="F19377" i="9"/>
  <c r="H19377" i="9" s="1"/>
  <c r="F19378" i="9"/>
  <c r="H19378" i="9" s="1"/>
  <c r="F19379" i="9"/>
  <c r="H19379" i="9" s="1"/>
  <c r="F19380" i="9"/>
  <c r="H19380" i="9" s="1"/>
  <c r="F19381" i="9"/>
  <c r="H19381" i="9" s="1"/>
  <c r="F19382" i="9"/>
  <c r="H19382" i="9" s="1"/>
  <c r="F19383" i="9"/>
  <c r="H19383" i="9" s="1"/>
  <c r="F19384" i="9"/>
  <c r="H19384" i="9" s="1"/>
  <c r="F19385" i="9"/>
  <c r="H19385" i="9" s="1"/>
  <c r="F19386" i="9"/>
  <c r="H19386" i="9" s="1"/>
  <c r="F19387" i="9"/>
  <c r="H19387" i="9" s="1"/>
  <c r="F19388" i="9"/>
  <c r="H19388" i="9" s="1"/>
  <c r="F19389" i="9"/>
  <c r="H19389" i="9"/>
  <c r="F19390" i="9"/>
  <c r="H19390" i="9" s="1"/>
  <c r="F19391" i="9"/>
  <c r="H19391" i="9" s="1"/>
  <c r="F19392" i="9"/>
  <c r="H19392" i="9" s="1"/>
  <c r="F19393" i="9"/>
  <c r="H19393" i="9"/>
  <c r="F19394" i="9"/>
  <c r="H19394" i="9" s="1"/>
  <c r="F19395" i="9"/>
  <c r="H19395" i="9" s="1"/>
  <c r="F19396" i="9"/>
  <c r="H19396" i="9" s="1"/>
  <c r="F19397" i="9"/>
  <c r="H19397" i="9" s="1"/>
  <c r="F19398" i="9"/>
  <c r="H19398" i="9" s="1"/>
  <c r="F19399" i="9"/>
  <c r="H19399" i="9" s="1"/>
  <c r="F19400" i="9"/>
  <c r="H19400" i="9" s="1"/>
  <c r="F19401" i="9"/>
  <c r="H19401" i="9"/>
  <c r="F19402" i="9"/>
  <c r="H19402" i="9" s="1"/>
  <c r="F19403" i="9"/>
  <c r="H19403" i="9" s="1"/>
  <c r="F19404" i="9"/>
  <c r="H19404" i="9" s="1"/>
  <c r="F19405" i="9"/>
  <c r="H19405" i="9" s="1"/>
  <c r="F19406" i="9"/>
  <c r="H19406" i="9" s="1"/>
  <c r="F19407" i="9"/>
  <c r="H19407" i="9" s="1"/>
  <c r="F19408" i="9"/>
  <c r="H19408" i="9" s="1"/>
  <c r="F19409" i="9"/>
  <c r="H19409" i="9" s="1"/>
  <c r="F19410" i="9"/>
  <c r="H19410" i="9" s="1"/>
  <c r="F19411" i="9"/>
  <c r="H19411" i="9" s="1"/>
  <c r="F19412" i="9"/>
  <c r="H19412" i="9" s="1"/>
  <c r="F19413" i="9"/>
  <c r="H19413" i="9" s="1"/>
  <c r="F19414" i="9"/>
  <c r="H19414" i="9"/>
  <c r="F19415" i="9"/>
  <c r="H19415" i="9" s="1"/>
  <c r="F19416" i="9"/>
  <c r="H19416" i="9" s="1"/>
  <c r="F19417" i="9"/>
  <c r="H19417" i="9" s="1"/>
  <c r="F19418" i="9"/>
  <c r="H19418" i="9" s="1"/>
  <c r="F19419" i="9"/>
  <c r="H19419" i="9" s="1"/>
  <c r="F19420" i="9"/>
  <c r="H19420" i="9" s="1"/>
  <c r="F19421" i="9"/>
  <c r="H19421" i="9" s="1"/>
  <c r="F19422" i="9"/>
  <c r="H19422" i="9" s="1"/>
  <c r="F19423" i="9"/>
  <c r="H19423" i="9" s="1"/>
  <c r="F19424" i="9"/>
  <c r="H19424" i="9" s="1"/>
  <c r="F19425" i="9"/>
  <c r="H19425" i="9" s="1"/>
  <c r="F19426" i="9"/>
  <c r="H19426" i="9" s="1"/>
  <c r="F19427" i="9"/>
  <c r="H19427" i="9" s="1"/>
  <c r="F19428" i="9"/>
  <c r="H19428" i="9" s="1"/>
  <c r="F19429" i="9"/>
  <c r="H19429" i="9" s="1"/>
  <c r="F19430" i="9"/>
  <c r="H19430" i="9" s="1"/>
  <c r="F19431" i="9"/>
  <c r="H19431" i="9"/>
  <c r="F19432" i="9"/>
  <c r="H19432" i="9" s="1"/>
  <c r="F19433" i="9"/>
  <c r="H19433" i="9" s="1"/>
  <c r="F19434" i="9"/>
  <c r="H19434" i="9" s="1"/>
  <c r="F19435" i="9"/>
  <c r="H19435" i="9"/>
  <c r="F19436" i="9"/>
  <c r="H19436" i="9" s="1"/>
  <c r="F19437" i="9"/>
  <c r="H19437" i="9"/>
  <c r="F19438" i="9"/>
  <c r="H19438" i="9"/>
  <c r="F19439" i="9"/>
  <c r="H19439" i="9" s="1"/>
  <c r="F19440" i="9"/>
  <c r="H19440" i="9" s="1"/>
  <c r="F19441" i="9"/>
  <c r="H19441" i="9" s="1"/>
  <c r="F19442" i="9"/>
  <c r="H19442" i="9" s="1"/>
  <c r="F19443" i="9"/>
  <c r="H19443" i="9" s="1"/>
  <c r="F19444" i="9"/>
  <c r="H19444" i="9" s="1"/>
  <c r="F19445" i="9"/>
  <c r="H19445" i="9" s="1"/>
  <c r="F19446" i="9"/>
  <c r="H19446" i="9" s="1"/>
  <c r="F19447" i="9"/>
  <c r="H19447" i="9"/>
  <c r="F19448" i="9"/>
  <c r="H19448" i="9" s="1"/>
  <c r="F19449" i="9"/>
  <c r="H19449" i="9"/>
  <c r="F19450" i="9"/>
  <c r="H19450" i="9"/>
  <c r="F19451" i="9"/>
  <c r="H19451" i="9" s="1"/>
  <c r="F19452" i="9"/>
  <c r="H19452" i="9" s="1"/>
  <c r="F19453" i="9"/>
  <c r="H19453" i="9" s="1"/>
  <c r="F19454" i="9"/>
  <c r="H19454" i="9" s="1"/>
  <c r="F19455" i="9"/>
  <c r="H19455" i="9"/>
  <c r="F19456" i="9"/>
  <c r="H19456" i="9" s="1"/>
  <c r="F19457" i="9"/>
  <c r="H19457" i="9" s="1"/>
  <c r="F19458" i="9"/>
  <c r="H19458" i="9" s="1"/>
  <c r="F19459" i="9"/>
  <c r="H19459" i="9" s="1"/>
  <c r="F19460" i="9"/>
  <c r="H19460" i="9" s="1"/>
  <c r="F19461" i="9"/>
  <c r="H19461" i="9" s="1"/>
  <c r="F19462" i="9"/>
  <c r="H19462" i="9" s="1"/>
  <c r="F19463" i="9"/>
  <c r="H19463" i="9" s="1"/>
  <c r="F19464" i="9"/>
  <c r="H19464" i="9" s="1"/>
  <c r="F19465" i="9"/>
  <c r="H19465" i="9"/>
  <c r="F19466" i="9"/>
  <c r="H19466" i="9" s="1"/>
  <c r="F19467" i="9"/>
  <c r="H19467" i="9" s="1"/>
  <c r="F19468" i="9"/>
  <c r="H19468" i="9" s="1"/>
  <c r="F19469" i="9"/>
  <c r="H19469" i="9" s="1"/>
  <c r="F19470" i="9"/>
  <c r="H19470" i="9" s="1"/>
  <c r="F19471" i="9"/>
  <c r="H19471" i="9" s="1"/>
  <c r="F19472" i="9"/>
  <c r="H19472" i="9" s="1"/>
  <c r="F19473" i="9"/>
  <c r="H19473" i="9" s="1"/>
  <c r="F19474" i="9"/>
  <c r="H19474" i="9"/>
  <c r="F19475" i="9"/>
  <c r="H19475" i="9" s="1"/>
  <c r="F19476" i="9"/>
  <c r="H19476" i="9" s="1"/>
  <c r="F19477" i="9"/>
  <c r="H19477" i="9"/>
  <c r="F19478" i="9"/>
  <c r="H19478" i="9" s="1"/>
  <c r="F19479" i="9"/>
  <c r="H19479" i="9"/>
  <c r="F19480" i="9"/>
  <c r="H19480" i="9" s="1"/>
  <c r="F19481" i="9"/>
  <c r="H19481" i="9" s="1"/>
  <c r="F19482" i="9"/>
  <c r="H19482" i="9" s="1"/>
  <c r="F19483" i="9"/>
  <c r="H19483" i="9"/>
  <c r="F19484" i="9"/>
  <c r="H19484" i="9" s="1"/>
  <c r="F19485" i="9"/>
  <c r="H19485" i="9" s="1"/>
  <c r="F19486" i="9"/>
  <c r="H19486" i="9"/>
  <c r="F19487" i="9"/>
  <c r="H19487" i="9" s="1"/>
  <c r="F19488" i="9"/>
  <c r="H19488" i="9" s="1"/>
  <c r="F19489" i="9"/>
  <c r="H19489" i="9" s="1"/>
  <c r="F19490" i="9"/>
  <c r="H19490" i="9" s="1"/>
  <c r="F19491" i="9"/>
  <c r="H19491" i="9"/>
  <c r="F19492" i="9"/>
  <c r="H19492" i="9" s="1"/>
  <c r="F19493" i="9"/>
  <c r="H19493" i="9" s="1"/>
  <c r="F19494" i="9"/>
  <c r="H19494" i="9" s="1"/>
  <c r="F19495" i="9"/>
  <c r="H19495" i="9"/>
  <c r="F19496" i="9"/>
  <c r="H19496" i="9" s="1"/>
  <c r="F19497" i="9"/>
  <c r="H19497" i="9" s="1"/>
  <c r="F19498" i="9"/>
  <c r="H19498" i="9" s="1"/>
  <c r="F19499" i="9"/>
  <c r="H19499" i="9" s="1"/>
  <c r="F19500" i="9"/>
  <c r="H19500" i="9" s="1"/>
  <c r="F19501" i="9"/>
  <c r="H19501" i="9"/>
  <c r="F19502" i="9"/>
  <c r="H19502" i="9" s="1"/>
  <c r="F19503" i="9"/>
  <c r="H19503" i="9"/>
  <c r="F19504" i="9"/>
  <c r="H19504" i="9" s="1"/>
  <c r="F19505" i="9"/>
  <c r="H19505" i="9" s="1"/>
  <c r="F19506" i="9"/>
  <c r="H19506" i="9" s="1"/>
  <c r="F19507" i="9"/>
  <c r="H19507" i="9" s="1"/>
  <c r="F19508" i="9"/>
  <c r="H19508" i="9" s="1"/>
  <c r="F19509" i="9"/>
  <c r="H19509" i="9" s="1"/>
  <c r="F19510" i="9"/>
  <c r="H19510" i="9" s="1"/>
  <c r="F19511" i="9"/>
  <c r="H19511" i="9" s="1"/>
  <c r="F19512" i="9"/>
  <c r="H19512" i="9" s="1"/>
  <c r="F19513" i="9"/>
  <c r="H19513" i="9" s="1"/>
  <c r="F19514" i="9"/>
  <c r="H19514" i="9" s="1"/>
  <c r="F19515" i="9"/>
  <c r="H19515" i="9" s="1"/>
  <c r="F19516" i="9"/>
  <c r="H19516" i="9" s="1"/>
  <c r="F19517" i="9"/>
  <c r="H19517" i="9" s="1"/>
  <c r="F19518" i="9"/>
  <c r="H19518" i="9" s="1"/>
  <c r="F19519" i="9"/>
  <c r="H19519" i="9" s="1"/>
  <c r="F19520" i="9"/>
  <c r="H19520" i="9" s="1"/>
  <c r="F19521" i="9"/>
  <c r="H19521" i="9" s="1"/>
  <c r="F19522" i="9"/>
  <c r="H19522" i="9" s="1"/>
  <c r="F19523" i="9"/>
  <c r="H19523" i="9" s="1"/>
  <c r="F19524" i="9"/>
  <c r="H19524" i="9" s="1"/>
  <c r="F19525" i="9"/>
  <c r="H19525" i="9"/>
  <c r="F19526" i="9"/>
  <c r="H19526" i="9" s="1"/>
  <c r="F19527" i="9"/>
  <c r="H19527" i="9" s="1"/>
  <c r="F19528" i="9"/>
  <c r="H19528" i="9" s="1"/>
  <c r="F19529" i="9"/>
  <c r="H19529" i="9" s="1"/>
  <c r="F19530" i="9"/>
  <c r="H19530" i="9" s="1"/>
  <c r="F19531" i="9"/>
  <c r="H19531" i="9" s="1"/>
  <c r="F19532" i="9"/>
  <c r="H19532" i="9" s="1"/>
  <c r="F19533" i="9"/>
  <c r="H19533" i="9"/>
  <c r="F19534" i="9"/>
  <c r="H19534" i="9" s="1"/>
  <c r="F19535" i="9"/>
  <c r="H19535" i="9" s="1"/>
  <c r="F19536" i="9"/>
  <c r="H19536" i="9" s="1"/>
  <c r="F19537" i="9"/>
  <c r="H19537" i="9"/>
  <c r="F19538" i="9"/>
  <c r="H19538" i="9" s="1"/>
  <c r="F19539" i="9"/>
  <c r="H19539" i="9" s="1"/>
  <c r="F19540" i="9"/>
  <c r="H19540" i="9" s="1"/>
  <c r="F19541" i="9"/>
  <c r="H19541" i="9" s="1"/>
  <c r="F19542" i="9"/>
  <c r="H19542" i="9" s="1"/>
  <c r="F19543" i="9"/>
  <c r="H19543" i="9" s="1"/>
  <c r="F19544" i="9"/>
  <c r="H19544" i="9" s="1"/>
  <c r="F19545" i="9"/>
  <c r="H19545" i="9" s="1"/>
  <c r="F19546" i="9"/>
  <c r="H19546" i="9" s="1"/>
  <c r="F19547" i="9"/>
  <c r="H19547" i="9" s="1"/>
  <c r="F19548" i="9"/>
  <c r="H19548" i="9" s="1"/>
  <c r="F19549" i="9"/>
  <c r="H19549" i="9" s="1"/>
  <c r="F19550" i="9"/>
  <c r="H19550" i="9" s="1"/>
  <c r="F19551" i="9"/>
  <c r="H19551" i="9" s="1"/>
  <c r="F19552" i="9"/>
  <c r="H19552" i="9" s="1"/>
  <c r="F19553" i="9"/>
  <c r="H19553" i="9" s="1"/>
  <c r="F19554" i="9"/>
  <c r="H19554" i="9" s="1"/>
  <c r="F19555" i="9"/>
  <c r="H19555" i="9" s="1"/>
  <c r="F19556" i="9"/>
  <c r="H19556" i="9" s="1"/>
  <c r="F19557" i="9"/>
  <c r="H19557" i="9"/>
  <c r="F19558" i="9"/>
  <c r="H19558" i="9"/>
  <c r="F19559" i="9"/>
  <c r="H19559" i="9" s="1"/>
  <c r="F19560" i="9"/>
  <c r="H19560" i="9" s="1"/>
  <c r="F19561" i="9"/>
  <c r="H19561" i="9" s="1"/>
  <c r="F19562" i="9"/>
  <c r="H19562" i="9" s="1"/>
  <c r="F19563" i="9"/>
  <c r="H19563" i="9" s="1"/>
  <c r="F19564" i="9"/>
  <c r="H19564" i="9" s="1"/>
  <c r="F19565" i="9"/>
  <c r="H19565" i="9" s="1"/>
  <c r="F19566" i="9"/>
  <c r="H19566" i="9" s="1"/>
  <c r="F19567" i="9"/>
  <c r="H19567" i="9"/>
  <c r="F19568" i="9"/>
  <c r="H19568" i="9" s="1"/>
  <c r="F19569" i="9"/>
  <c r="H19569" i="9"/>
  <c r="F19570" i="9"/>
  <c r="H19570" i="9"/>
  <c r="F19571" i="9"/>
  <c r="H19571" i="9" s="1"/>
  <c r="F19572" i="9"/>
  <c r="H19572" i="9" s="1"/>
  <c r="F19573" i="9"/>
  <c r="H19573" i="9" s="1"/>
  <c r="F19574" i="9"/>
  <c r="H19574" i="9" s="1"/>
  <c r="F19575" i="9"/>
  <c r="H19575" i="9" s="1"/>
  <c r="F19576" i="9"/>
  <c r="H19576" i="9" s="1"/>
  <c r="F19577" i="9"/>
  <c r="H19577" i="9" s="1"/>
  <c r="F19578" i="9"/>
  <c r="H19578" i="9" s="1"/>
  <c r="F19579" i="9"/>
  <c r="H19579" i="9" s="1"/>
  <c r="F19580" i="9"/>
  <c r="H19580" i="9" s="1"/>
  <c r="F19581" i="9"/>
  <c r="H19581" i="9"/>
  <c r="F19582" i="9"/>
  <c r="H19582" i="9"/>
  <c r="F19583" i="9"/>
  <c r="H19583" i="9" s="1"/>
  <c r="F19584" i="9"/>
  <c r="H19584" i="9" s="1"/>
  <c r="F19585" i="9"/>
  <c r="H19585" i="9" s="1"/>
  <c r="F19586" i="9"/>
  <c r="H19586" i="9" s="1"/>
  <c r="F19587" i="9"/>
  <c r="H19587" i="9"/>
  <c r="F19588" i="9"/>
  <c r="H19588" i="9" s="1"/>
  <c r="F19589" i="9"/>
  <c r="H19589" i="9" s="1"/>
  <c r="F19590" i="9"/>
  <c r="H19590" i="9" s="1"/>
  <c r="F19591" i="9"/>
  <c r="H19591" i="9"/>
  <c r="F19592" i="9"/>
  <c r="H19592" i="9" s="1"/>
  <c r="F19593" i="9"/>
  <c r="H19593" i="9" s="1"/>
  <c r="F19594" i="9"/>
  <c r="H19594" i="9" s="1"/>
  <c r="F19595" i="9"/>
  <c r="H19595" i="9" s="1"/>
  <c r="F19596" i="9"/>
  <c r="H19596" i="9" s="1"/>
  <c r="F19597" i="9"/>
  <c r="H19597" i="9" s="1"/>
  <c r="F19598" i="9"/>
  <c r="H19598" i="9" s="1"/>
  <c r="F19599" i="9"/>
  <c r="H19599" i="9"/>
  <c r="F19600" i="9"/>
  <c r="H19600" i="9" s="1"/>
  <c r="F19601" i="9"/>
  <c r="H19601" i="9" s="1"/>
  <c r="F19602" i="9"/>
  <c r="H19602" i="9" s="1"/>
  <c r="F19603" i="9"/>
  <c r="H19603" i="9"/>
  <c r="F19604" i="9"/>
  <c r="H19604" i="9" s="1"/>
  <c r="F19605" i="9"/>
  <c r="H19605" i="9"/>
  <c r="F19606" i="9"/>
  <c r="H19606" i="9"/>
  <c r="F19607" i="9"/>
  <c r="H19607" i="9" s="1"/>
  <c r="F19608" i="9"/>
  <c r="H19608" i="9" s="1"/>
  <c r="F19609" i="9"/>
  <c r="H19609" i="9"/>
  <c r="F19610" i="9"/>
  <c r="H19610" i="9" s="1"/>
  <c r="F19611" i="9"/>
  <c r="H19611" i="9"/>
  <c r="F19612" i="9"/>
  <c r="H19612" i="9" s="1"/>
  <c r="F19613" i="9"/>
  <c r="H19613" i="9" s="1"/>
  <c r="F19614" i="9"/>
  <c r="H19614" i="9" s="1"/>
  <c r="F19615" i="9"/>
  <c r="H19615" i="9"/>
  <c r="F19616" i="9"/>
  <c r="H19616" i="9" s="1"/>
  <c r="F19617" i="9"/>
  <c r="H19617" i="9" s="1"/>
  <c r="F19618" i="9"/>
  <c r="H19618" i="9"/>
  <c r="F19619" i="9"/>
  <c r="H19619" i="9" s="1"/>
  <c r="F19620" i="9"/>
  <c r="H19620" i="9" s="1"/>
  <c r="F19621" i="9"/>
  <c r="H19621" i="9" s="1"/>
  <c r="F19622" i="9"/>
  <c r="H19622" i="9" s="1"/>
  <c r="F19623" i="9"/>
  <c r="H19623" i="9" s="1"/>
  <c r="F19624" i="9"/>
  <c r="H19624" i="9" s="1"/>
  <c r="F19625" i="9"/>
  <c r="H19625" i="9" s="1"/>
  <c r="F19626" i="9"/>
  <c r="H19626" i="9" s="1"/>
  <c r="F19627" i="9"/>
  <c r="H19627" i="9"/>
  <c r="F19628" i="9"/>
  <c r="H19628" i="9" s="1"/>
  <c r="F19629" i="9"/>
  <c r="H19629" i="9" s="1"/>
  <c r="F19630" i="9"/>
  <c r="H19630" i="9" s="1"/>
  <c r="F19631" i="9"/>
  <c r="H19631" i="9" s="1"/>
  <c r="F19632" i="9"/>
  <c r="H19632" i="9" s="1"/>
  <c r="F19633" i="9"/>
  <c r="H19633" i="9"/>
  <c r="F19634" i="9"/>
  <c r="H19634" i="9" s="1"/>
  <c r="F19635" i="9"/>
  <c r="H19635" i="9"/>
  <c r="F19636" i="9"/>
  <c r="H19636" i="9" s="1"/>
  <c r="F19637" i="9"/>
  <c r="H19637" i="9" s="1"/>
  <c r="F19638" i="9"/>
  <c r="H19638" i="9" s="1"/>
  <c r="F19639" i="9"/>
  <c r="H19639" i="9" s="1"/>
  <c r="F19640" i="9"/>
  <c r="H19640" i="9" s="1"/>
  <c r="F19641" i="9"/>
  <c r="H19641" i="9" s="1"/>
  <c r="F19642" i="9"/>
  <c r="H19642" i="9" s="1"/>
  <c r="F19643" i="9"/>
  <c r="H19643" i="9" s="1"/>
  <c r="F19644" i="9"/>
  <c r="H19644" i="9" s="1"/>
  <c r="F19645" i="9"/>
  <c r="H19645" i="9"/>
  <c r="F19646" i="9"/>
  <c r="H19646" i="9" s="1"/>
  <c r="F19647" i="9"/>
  <c r="H19647" i="9" s="1"/>
  <c r="F19648" i="9"/>
  <c r="H19648" i="9" s="1"/>
  <c r="F19649" i="9"/>
  <c r="H19649" i="9" s="1"/>
  <c r="F19650" i="9"/>
  <c r="H19650" i="9" s="1"/>
  <c r="F19651" i="9"/>
  <c r="H19651" i="9" s="1"/>
  <c r="F19652" i="9"/>
  <c r="H19652" i="9" s="1"/>
  <c r="F19653" i="9"/>
  <c r="H19653" i="9" s="1"/>
  <c r="F19654" i="9"/>
  <c r="H19654" i="9" s="1"/>
  <c r="F19655" i="9"/>
  <c r="H19655" i="9"/>
  <c r="F19656" i="9"/>
  <c r="H19656" i="9"/>
  <c r="F19657" i="9"/>
  <c r="H19657" i="9" s="1"/>
  <c r="F19658" i="9"/>
  <c r="H19658" i="9" s="1"/>
  <c r="F19659" i="9"/>
  <c r="H19659" i="9"/>
  <c r="F19660" i="9"/>
  <c r="H19660" i="9" s="1"/>
  <c r="F19661" i="9"/>
  <c r="H19661" i="9" s="1"/>
  <c r="F19662" i="9"/>
  <c r="H19662" i="9" s="1"/>
  <c r="F19663" i="9"/>
  <c r="H19663" i="9"/>
  <c r="F19664" i="9"/>
  <c r="H19664" i="9"/>
  <c r="F19665" i="9"/>
  <c r="H19665" i="9"/>
  <c r="F19666" i="9"/>
  <c r="H19666" i="9" s="1"/>
  <c r="F19667" i="9"/>
  <c r="H19667" i="9" s="1"/>
  <c r="F19668" i="9"/>
  <c r="H19668" i="9" s="1"/>
  <c r="F19669" i="9"/>
  <c r="H19669" i="9" s="1"/>
  <c r="F19670" i="9"/>
  <c r="H19670" i="9" s="1"/>
  <c r="F19671" i="9"/>
  <c r="H19671" i="9" s="1"/>
  <c r="F19672" i="9"/>
  <c r="H19672" i="9" s="1"/>
  <c r="F19673" i="9"/>
  <c r="H19673" i="9" s="1"/>
  <c r="F19674" i="9"/>
  <c r="H19674" i="9" s="1"/>
  <c r="F19675" i="9"/>
  <c r="H19675" i="9" s="1"/>
  <c r="F19676" i="9"/>
  <c r="H19676" i="9" s="1"/>
  <c r="F19677" i="9"/>
  <c r="H19677" i="9" s="1"/>
  <c r="F19678" i="9"/>
  <c r="H19678" i="9"/>
  <c r="F19679" i="9"/>
  <c r="H19679" i="9"/>
  <c r="F19680" i="9"/>
  <c r="H19680" i="9" s="1"/>
  <c r="F19681" i="9"/>
  <c r="H19681" i="9" s="1"/>
  <c r="F19682" i="9"/>
  <c r="H19682" i="9" s="1"/>
  <c r="F19683" i="9"/>
  <c r="H19683" i="9" s="1"/>
  <c r="F19684" i="9"/>
  <c r="H19684" i="9" s="1"/>
  <c r="F19685" i="9"/>
  <c r="H19685" i="9" s="1"/>
  <c r="F19686" i="9"/>
  <c r="H19686" i="9" s="1"/>
  <c r="F19687" i="9"/>
  <c r="H19687" i="9" s="1"/>
  <c r="F19688" i="9"/>
  <c r="H19688" i="9" s="1"/>
  <c r="F19689" i="9"/>
  <c r="H19689" i="9" s="1"/>
  <c r="F19690" i="9"/>
  <c r="H19690" i="9" s="1"/>
  <c r="F19691" i="9"/>
  <c r="H19691" i="9"/>
  <c r="F19692" i="9"/>
  <c r="H19692" i="9" s="1"/>
  <c r="F19693" i="9"/>
  <c r="H19693" i="9" s="1"/>
  <c r="F19694" i="9"/>
  <c r="H19694" i="9" s="1"/>
  <c r="F19695" i="9"/>
  <c r="H19695" i="9" s="1"/>
  <c r="F19696" i="9"/>
  <c r="H19696" i="9" s="1"/>
  <c r="F19697" i="9"/>
  <c r="H19697" i="9" s="1"/>
  <c r="F19698" i="9"/>
  <c r="H19698" i="9" s="1"/>
  <c r="F19699" i="9"/>
  <c r="H19699" i="9"/>
  <c r="F19700" i="9"/>
  <c r="H19700" i="9" s="1"/>
  <c r="F19701" i="9"/>
  <c r="H19701" i="9" s="1"/>
  <c r="F19702" i="9"/>
  <c r="H19702" i="9" s="1"/>
  <c r="F19703" i="9"/>
  <c r="H19703" i="9" s="1"/>
  <c r="F19704" i="9"/>
  <c r="H19704" i="9"/>
  <c r="F19705" i="9"/>
  <c r="H19705" i="9" s="1"/>
  <c r="F19706" i="9"/>
  <c r="H19706" i="9" s="1"/>
  <c r="F19707" i="9"/>
  <c r="H19707" i="9" s="1"/>
  <c r="F19708" i="9"/>
  <c r="H19708" i="9" s="1"/>
  <c r="F19709" i="9"/>
  <c r="H19709" i="9" s="1"/>
  <c r="F19710" i="9"/>
  <c r="H19710" i="9" s="1"/>
  <c r="F19711" i="9"/>
  <c r="H19711" i="9" s="1"/>
  <c r="F19712" i="9"/>
  <c r="H19712" i="9" s="1"/>
  <c r="F19713" i="9"/>
  <c r="H19713" i="9" s="1"/>
  <c r="F19714" i="9"/>
  <c r="H19714" i="9" s="1"/>
  <c r="F19715" i="9"/>
  <c r="H19715" i="9" s="1"/>
  <c r="F19716" i="9"/>
  <c r="H19716" i="9" s="1"/>
  <c r="F19717" i="9"/>
  <c r="H19717" i="9" s="1"/>
  <c r="F19718" i="9"/>
  <c r="H19718" i="9" s="1"/>
  <c r="F19719" i="9"/>
  <c r="H19719" i="9" s="1"/>
  <c r="F19720" i="9"/>
  <c r="H19720" i="9" s="1"/>
  <c r="F19721" i="9"/>
  <c r="H19721" i="9" s="1"/>
  <c r="F19722" i="9"/>
  <c r="H19722" i="9" s="1"/>
  <c r="F19723" i="9"/>
  <c r="H19723" i="9" s="1"/>
  <c r="F19724" i="9"/>
  <c r="H19724" i="9" s="1"/>
  <c r="F19725" i="9"/>
  <c r="H19725" i="9"/>
  <c r="F19726" i="9"/>
  <c r="H19726" i="9" s="1"/>
  <c r="F19727" i="9"/>
  <c r="H19727" i="9" s="1"/>
  <c r="F19728" i="9"/>
  <c r="H19728" i="9" s="1"/>
  <c r="F19729" i="9"/>
  <c r="H19729" i="9" s="1"/>
  <c r="F19730" i="9"/>
  <c r="H19730" i="9" s="1"/>
  <c r="F19731" i="9"/>
  <c r="H19731" i="9" s="1"/>
  <c r="F19732" i="9"/>
  <c r="H19732" i="9" s="1"/>
  <c r="F19733" i="9"/>
  <c r="H19733" i="9" s="1"/>
  <c r="F19734" i="9"/>
  <c r="H19734" i="9" s="1"/>
  <c r="F19735" i="9"/>
  <c r="H19735" i="9" s="1"/>
  <c r="F19736" i="9"/>
  <c r="H19736" i="9" s="1"/>
  <c r="F19737" i="9"/>
  <c r="H19737" i="9" s="1"/>
  <c r="F19738" i="9"/>
  <c r="H19738" i="9" s="1"/>
  <c r="F19739" i="9"/>
  <c r="H19739" i="9" s="1"/>
  <c r="F19740" i="9"/>
  <c r="H19740" i="9"/>
  <c r="F19741" i="9"/>
  <c r="H19741" i="9"/>
  <c r="F19742" i="9"/>
  <c r="H19742" i="9" s="1"/>
  <c r="F19743" i="9"/>
  <c r="H19743" i="9" s="1"/>
  <c r="F19744" i="9"/>
  <c r="H19744" i="9" s="1"/>
  <c r="F19745" i="9"/>
  <c r="H19745" i="9" s="1"/>
  <c r="F19746" i="9"/>
  <c r="H19746" i="9" s="1"/>
  <c r="F19747" i="9"/>
  <c r="H19747" i="9" s="1"/>
  <c r="F19748" i="9"/>
  <c r="H19748" i="9" s="1"/>
  <c r="F19749" i="9"/>
  <c r="H19749" i="9"/>
  <c r="F19750" i="9"/>
  <c r="H19750" i="9"/>
  <c r="F19751" i="9"/>
  <c r="H19751" i="9" s="1"/>
  <c r="F19752" i="9"/>
  <c r="H19752" i="9" s="1"/>
  <c r="F19753" i="9"/>
  <c r="H19753" i="9" s="1"/>
  <c r="F19754" i="9"/>
  <c r="H19754" i="9" s="1"/>
  <c r="F19755" i="9"/>
  <c r="H19755" i="9" s="1"/>
  <c r="F19756" i="9"/>
  <c r="H19756" i="9" s="1"/>
  <c r="F19757" i="9"/>
  <c r="H19757" i="9" s="1"/>
  <c r="F19758" i="9"/>
  <c r="H19758" i="9" s="1"/>
  <c r="F19759" i="9"/>
  <c r="H19759" i="9" s="1"/>
  <c r="F19760" i="9"/>
  <c r="H19760" i="9" s="1"/>
  <c r="F19761" i="9"/>
  <c r="H19761" i="9"/>
  <c r="F19762" i="9"/>
  <c r="H19762" i="9"/>
  <c r="F19763" i="9"/>
  <c r="H19763" i="9"/>
  <c r="F19764" i="9"/>
  <c r="H19764" i="9" s="1"/>
  <c r="F19765" i="9"/>
  <c r="H19765" i="9" s="1"/>
  <c r="F19766" i="9"/>
  <c r="H19766" i="9" s="1"/>
  <c r="F19767" i="9"/>
  <c r="H19767" i="9" s="1"/>
  <c r="F19768" i="9"/>
  <c r="H19768" i="9" s="1"/>
  <c r="F19769" i="9"/>
  <c r="H19769" i="9" s="1"/>
  <c r="F19770" i="9"/>
  <c r="H19770" i="9" s="1"/>
  <c r="F19771" i="9"/>
  <c r="H19771" i="9" s="1"/>
  <c r="F19772" i="9"/>
  <c r="H19772" i="9" s="1"/>
  <c r="F19773" i="9"/>
  <c r="H19773" i="9" s="1"/>
  <c r="F19774" i="9"/>
  <c r="H19774" i="9" s="1"/>
  <c r="F19775" i="9"/>
  <c r="H19775" i="9" s="1"/>
  <c r="F19776" i="9"/>
  <c r="H19776" i="9" s="1"/>
  <c r="F19777" i="9"/>
  <c r="H19777" i="9" s="1"/>
  <c r="F19778" i="9"/>
  <c r="H19778" i="9" s="1"/>
  <c r="F19779" i="9"/>
  <c r="H19779" i="9" s="1"/>
  <c r="F19780" i="9"/>
  <c r="H19780" i="9" s="1"/>
  <c r="F19781" i="9"/>
  <c r="H19781" i="9" s="1"/>
  <c r="F19782" i="9"/>
  <c r="H19782" i="9" s="1"/>
  <c r="F19783" i="9"/>
  <c r="H19783" i="9" s="1"/>
  <c r="F19784" i="9"/>
  <c r="H19784" i="9" s="1"/>
  <c r="F19785" i="9"/>
  <c r="H19785" i="9" s="1"/>
  <c r="F19786" i="9"/>
  <c r="H19786" i="9" s="1"/>
  <c r="F19787" i="9"/>
  <c r="H19787" i="9"/>
  <c r="F19788" i="9"/>
  <c r="H19788" i="9" s="1"/>
  <c r="F19789" i="9"/>
  <c r="H19789" i="9" s="1"/>
  <c r="F19790" i="9"/>
  <c r="H19790" i="9" s="1"/>
  <c r="F19791" i="9"/>
  <c r="H19791" i="9" s="1"/>
  <c r="F19792" i="9"/>
  <c r="H19792" i="9" s="1"/>
  <c r="F19793" i="9"/>
  <c r="H19793" i="9" s="1"/>
  <c r="F19794" i="9"/>
  <c r="H19794" i="9" s="1"/>
  <c r="F19795" i="9"/>
  <c r="H19795" i="9" s="1"/>
  <c r="F19796" i="9"/>
  <c r="H19796" i="9" s="1"/>
  <c r="F19797" i="9"/>
  <c r="H19797" i="9" s="1"/>
  <c r="F19798" i="9"/>
  <c r="H19798" i="9" s="1"/>
  <c r="F19799" i="9"/>
  <c r="H19799" i="9" s="1"/>
  <c r="F19800" i="9"/>
  <c r="H19800" i="9"/>
  <c r="F19801" i="9"/>
  <c r="H19801" i="9"/>
  <c r="F19802" i="9"/>
  <c r="H19802" i="9" s="1"/>
  <c r="F19803" i="9"/>
  <c r="H19803" i="9" s="1"/>
  <c r="F19804" i="9"/>
  <c r="H19804" i="9" s="1"/>
  <c r="F19805" i="9"/>
  <c r="H19805" i="9" s="1"/>
  <c r="F19806" i="9"/>
  <c r="H19806" i="9" s="1"/>
  <c r="F19807" i="9"/>
  <c r="H19807" i="9" s="1"/>
  <c r="F19808" i="9"/>
  <c r="H19808" i="9" s="1"/>
  <c r="F19809" i="9"/>
  <c r="H19809" i="9"/>
  <c r="F19810" i="9"/>
  <c r="H19810" i="9" s="1"/>
  <c r="F19811" i="9"/>
  <c r="H19811" i="9" s="1"/>
  <c r="F19812" i="9"/>
  <c r="H19812" i="9"/>
  <c r="F19813" i="9"/>
  <c r="H19813" i="9" s="1"/>
  <c r="F19814" i="9"/>
  <c r="H19814" i="9" s="1"/>
  <c r="F19815" i="9"/>
  <c r="H19815" i="9" s="1"/>
  <c r="F19816" i="9"/>
  <c r="H19816" i="9" s="1"/>
  <c r="F19817" i="9"/>
  <c r="H19817" i="9" s="1"/>
  <c r="F19818" i="9"/>
  <c r="H19818" i="9" s="1"/>
  <c r="F19819" i="9"/>
  <c r="H19819" i="9" s="1"/>
  <c r="F19820" i="9"/>
  <c r="H19820" i="9" s="1"/>
  <c r="F19821" i="9"/>
  <c r="H19821" i="9" s="1"/>
  <c r="F19822" i="9"/>
  <c r="H19822" i="9" s="1"/>
  <c r="F19823" i="9"/>
  <c r="H19823" i="9" s="1"/>
  <c r="F19824" i="9"/>
  <c r="H19824" i="9" s="1"/>
  <c r="F19825" i="9"/>
  <c r="H19825" i="9" s="1"/>
  <c r="F19826" i="9"/>
  <c r="H19826" i="9" s="1"/>
  <c r="F19827" i="9"/>
  <c r="H19827" i="9" s="1"/>
  <c r="F19828" i="9"/>
  <c r="H19828" i="9" s="1"/>
  <c r="F19829" i="9"/>
  <c r="H19829" i="9" s="1"/>
  <c r="F19830" i="9"/>
  <c r="H19830" i="9" s="1"/>
  <c r="F19831" i="9"/>
  <c r="H19831" i="9" s="1"/>
  <c r="F19832" i="9"/>
  <c r="H19832" i="9" s="1"/>
  <c r="F19833" i="9"/>
  <c r="H19833" i="9" s="1"/>
  <c r="F19834" i="9"/>
  <c r="H19834" i="9" s="1"/>
  <c r="F19835" i="9"/>
  <c r="H19835" i="9" s="1"/>
  <c r="F19836" i="9"/>
  <c r="H19836" i="9"/>
  <c r="F19837" i="9"/>
  <c r="H19837" i="9" s="1"/>
  <c r="F19838" i="9"/>
  <c r="H19838" i="9" s="1"/>
  <c r="F19839" i="9"/>
  <c r="H19839" i="9" s="1"/>
  <c r="F19840" i="9"/>
  <c r="H19840" i="9" s="1"/>
  <c r="F19841" i="9"/>
  <c r="H19841" i="9" s="1"/>
  <c r="F19842" i="9"/>
  <c r="H19842" i="9" s="1"/>
  <c r="F19843" i="9"/>
  <c r="H19843" i="9" s="1"/>
  <c r="F19844" i="9"/>
  <c r="H19844" i="9" s="1"/>
  <c r="F19845" i="9"/>
  <c r="H19845" i="9" s="1"/>
  <c r="F19846" i="9"/>
  <c r="H19846" i="9" s="1"/>
  <c r="F19847" i="9"/>
  <c r="H19847" i="9" s="1"/>
  <c r="F19848" i="9"/>
  <c r="H19848" i="9" s="1"/>
  <c r="F19849" i="9"/>
  <c r="H19849" i="9"/>
  <c r="F19850" i="9"/>
  <c r="H19850" i="9" s="1"/>
  <c r="F19851" i="9"/>
  <c r="H19851" i="9" s="1"/>
  <c r="F19852" i="9"/>
  <c r="H19852" i="9" s="1"/>
  <c r="F19853" i="9"/>
  <c r="H19853" i="9" s="1"/>
  <c r="F19854" i="9"/>
  <c r="H19854" i="9" s="1"/>
  <c r="F19855" i="9"/>
  <c r="H19855" i="9" s="1"/>
  <c r="F19856" i="9"/>
  <c r="H19856" i="9" s="1"/>
  <c r="F19857" i="9"/>
  <c r="H19857" i="9" s="1"/>
  <c r="F19858" i="9"/>
  <c r="H19858" i="9" s="1"/>
  <c r="F19859" i="9"/>
  <c r="H19859" i="9" s="1"/>
  <c r="F19860" i="9"/>
  <c r="H19860" i="9" s="1"/>
  <c r="F19861" i="9"/>
  <c r="H19861" i="9" s="1"/>
  <c r="F19862" i="9"/>
  <c r="H19862" i="9" s="1"/>
  <c r="F19863" i="9"/>
  <c r="H19863" i="9"/>
  <c r="F19864" i="9"/>
  <c r="H19864" i="9" s="1"/>
  <c r="F19865" i="9"/>
  <c r="H19865" i="9" s="1"/>
  <c r="F19866" i="9"/>
  <c r="H19866" i="9" s="1"/>
  <c r="F19867" i="9"/>
  <c r="H19867" i="9" s="1"/>
  <c r="F19868" i="9"/>
  <c r="H19868" i="9" s="1"/>
  <c r="F19869" i="9"/>
  <c r="H19869" i="9" s="1"/>
  <c r="F19870" i="9"/>
  <c r="H19870" i="9"/>
  <c r="F19871" i="9"/>
  <c r="H19871" i="9" s="1"/>
  <c r="F19872" i="9"/>
  <c r="H19872" i="9" s="1"/>
  <c r="F19873" i="9"/>
  <c r="H19873" i="9" s="1"/>
  <c r="F19874" i="9"/>
  <c r="H19874" i="9" s="1"/>
  <c r="F19875" i="9"/>
  <c r="H19875" i="9" s="1"/>
  <c r="F19876" i="9"/>
  <c r="H19876" i="9" s="1"/>
  <c r="F19877" i="9"/>
  <c r="H19877" i="9" s="1"/>
  <c r="F19878" i="9"/>
  <c r="H19878" i="9" s="1"/>
  <c r="F19879" i="9"/>
  <c r="H19879" i="9" s="1"/>
  <c r="F19880" i="9"/>
  <c r="H19880" i="9" s="1"/>
  <c r="F19881" i="9"/>
  <c r="H19881" i="9" s="1"/>
  <c r="F19882" i="9"/>
  <c r="H19882" i="9" s="1"/>
  <c r="F19883" i="9"/>
  <c r="H19883" i="9" s="1"/>
  <c r="F19884" i="9"/>
  <c r="H19884" i="9" s="1"/>
  <c r="F19885" i="9"/>
  <c r="H19885" i="9" s="1"/>
  <c r="F19886" i="9"/>
  <c r="H19886" i="9" s="1"/>
  <c r="F19887" i="9"/>
  <c r="H19887" i="9" s="1"/>
  <c r="F19888" i="9"/>
  <c r="H19888" i="9" s="1"/>
  <c r="F19889" i="9"/>
  <c r="H19889" i="9"/>
  <c r="F19890" i="9"/>
  <c r="H19890" i="9" s="1"/>
  <c r="F19891" i="9"/>
  <c r="H19891" i="9" s="1"/>
  <c r="F19892" i="9"/>
  <c r="H19892" i="9" s="1"/>
  <c r="F19893" i="9"/>
  <c r="H19893" i="9" s="1"/>
  <c r="F19894" i="9"/>
  <c r="H19894" i="9" s="1"/>
  <c r="F19895" i="9"/>
  <c r="H19895" i="9" s="1"/>
  <c r="F19896" i="9"/>
  <c r="H19896" i="9" s="1"/>
  <c r="F19897" i="9"/>
  <c r="H19897" i="9"/>
  <c r="F19898" i="9"/>
  <c r="H19898" i="9" s="1"/>
  <c r="F19899" i="9"/>
  <c r="H19899" i="9" s="1"/>
  <c r="F19900" i="9"/>
  <c r="H19900" i="9" s="1"/>
  <c r="F19901" i="9"/>
  <c r="H19901" i="9" s="1"/>
  <c r="F19902" i="9"/>
  <c r="H19902" i="9" s="1"/>
  <c r="F19903" i="9"/>
  <c r="H19903" i="9" s="1"/>
  <c r="F19904" i="9"/>
  <c r="H19904" i="9" s="1"/>
  <c r="F19905" i="9"/>
  <c r="H19905" i="9" s="1"/>
  <c r="F19906" i="9"/>
  <c r="H19906" i="9" s="1"/>
  <c r="F19907" i="9"/>
  <c r="H19907" i="9"/>
  <c r="F19908" i="9"/>
  <c r="H19908" i="9"/>
  <c r="F19909" i="9"/>
  <c r="H19909" i="9"/>
  <c r="F19910" i="9"/>
  <c r="H19910" i="9" s="1"/>
  <c r="F19911" i="9"/>
  <c r="H19911" i="9" s="1"/>
  <c r="F19912" i="9"/>
  <c r="H19912" i="9" s="1"/>
  <c r="F19913" i="9"/>
  <c r="H19913" i="9" s="1"/>
  <c r="F19914" i="9"/>
  <c r="H19914" i="9" s="1"/>
  <c r="F19915" i="9"/>
  <c r="H19915" i="9" s="1"/>
  <c r="F19916" i="9"/>
  <c r="H19916" i="9" s="1"/>
  <c r="F19917" i="9"/>
  <c r="H19917" i="9"/>
  <c r="F19918" i="9"/>
  <c r="H19918" i="9" s="1"/>
  <c r="F19919" i="9"/>
  <c r="H19919" i="9" s="1"/>
  <c r="F19920" i="9"/>
  <c r="H19920" i="9" s="1"/>
  <c r="F19921" i="9"/>
  <c r="H19921" i="9" s="1"/>
  <c r="F19922" i="9"/>
  <c r="H19922" i="9" s="1"/>
  <c r="F19923" i="9"/>
  <c r="H19923" i="9" s="1"/>
  <c r="F19924" i="9"/>
  <c r="H19924" i="9" s="1"/>
  <c r="F19925" i="9"/>
  <c r="H19925" i="9" s="1"/>
  <c r="F19926" i="9"/>
  <c r="H19926" i="9" s="1"/>
  <c r="F19927" i="9"/>
  <c r="H19927" i="9" s="1"/>
  <c r="F19928" i="9"/>
  <c r="H19928" i="9" s="1"/>
  <c r="F19929" i="9"/>
  <c r="H19929" i="9" s="1"/>
  <c r="F19930" i="9"/>
  <c r="H19930" i="9" s="1"/>
  <c r="F19931" i="9"/>
  <c r="H19931" i="9" s="1"/>
  <c r="F19932" i="9"/>
  <c r="H19932" i="9" s="1"/>
  <c r="F19933" i="9"/>
  <c r="H19933" i="9" s="1"/>
  <c r="F19934" i="9"/>
  <c r="H19934" i="9" s="1"/>
  <c r="F19935" i="9"/>
  <c r="H19935" i="9"/>
  <c r="F19936" i="9"/>
  <c r="H19936" i="9"/>
  <c r="F19937" i="9"/>
  <c r="H19937" i="9" s="1"/>
  <c r="F19938" i="9"/>
  <c r="H19938" i="9" s="1"/>
  <c r="F19939" i="9"/>
  <c r="H19939" i="9" s="1"/>
  <c r="F19940" i="9"/>
  <c r="H19940" i="9" s="1"/>
  <c r="F19941" i="9"/>
  <c r="H19941" i="9" s="1"/>
  <c r="F19942" i="9"/>
  <c r="H19942" i="9"/>
  <c r="F19943" i="9"/>
  <c r="H19943" i="9" s="1"/>
  <c r="F19944" i="9"/>
  <c r="H19944" i="9" s="1"/>
  <c r="F19945" i="9"/>
  <c r="H19945" i="9"/>
  <c r="F19946" i="9"/>
  <c r="H19946" i="9" s="1"/>
  <c r="F19947" i="9"/>
  <c r="H19947" i="9" s="1"/>
  <c r="F19948" i="9"/>
  <c r="H19948" i="9" s="1"/>
  <c r="F19949" i="9"/>
  <c r="H19949" i="9" s="1"/>
  <c r="F19950" i="9"/>
  <c r="H19950" i="9" s="1"/>
  <c r="F19951" i="9"/>
  <c r="H19951" i="9" s="1"/>
  <c r="F19952" i="9"/>
  <c r="H19952" i="9" s="1"/>
  <c r="F19953" i="9"/>
  <c r="H19953" i="9" s="1"/>
  <c r="F19954" i="9"/>
  <c r="H19954" i="9"/>
  <c r="F19955" i="9"/>
  <c r="H19955" i="9" s="1"/>
  <c r="F19956" i="9"/>
  <c r="H19956" i="9" s="1"/>
  <c r="F19957" i="9"/>
  <c r="H19957" i="9"/>
  <c r="F19958" i="9"/>
  <c r="H19958" i="9" s="1"/>
  <c r="F19959" i="9"/>
  <c r="H19959" i="9" s="1"/>
  <c r="F19960" i="9"/>
  <c r="H19960" i="9" s="1"/>
  <c r="F19961" i="9"/>
  <c r="H19961" i="9" s="1"/>
  <c r="F19962" i="9"/>
  <c r="H19962" i="9" s="1"/>
  <c r="F19963" i="9"/>
  <c r="H19963" i="9" s="1"/>
  <c r="F19964" i="9"/>
  <c r="H19964" i="9" s="1"/>
  <c r="F19965" i="9"/>
  <c r="H19965" i="9"/>
  <c r="F19966" i="9"/>
  <c r="H19966" i="9" s="1"/>
  <c r="F19967" i="9"/>
  <c r="H19967" i="9" s="1"/>
  <c r="F19968" i="9"/>
  <c r="H19968" i="9" s="1"/>
  <c r="F19969" i="9"/>
  <c r="H19969" i="9" s="1"/>
  <c r="F19970" i="9"/>
  <c r="H19970" i="9" s="1"/>
  <c r="F19971" i="9"/>
  <c r="H19971" i="9" s="1"/>
  <c r="F19972" i="9"/>
  <c r="H19972" i="9" s="1"/>
  <c r="F19973" i="9"/>
  <c r="H19973" i="9" s="1"/>
  <c r="F19974" i="9"/>
  <c r="H19974" i="9" s="1"/>
  <c r="F19975" i="9"/>
  <c r="H19975" i="9" s="1"/>
  <c r="F19976" i="9"/>
  <c r="H19976" i="9" s="1"/>
  <c r="F19977" i="9"/>
  <c r="H19977" i="9"/>
  <c r="F19978" i="9"/>
  <c r="H19978" i="9"/>
  <c r="F19979" i="9"/>
  <c r="H19979" i="9" s="1"/>
  <c r="F19980" i="9"/>
  <c r="H19980" i="9" s="1"/>
  <c r="F19981" i="9"/>
  <c r="H19981" i="9" s="1"/>
  <c r="F19982" i="9"/>
  <c r="H19982" i="9" s="1"/>
  <c r="F19983" i="9"/>
  <c r="H19983" i="9" s="1"/>
  <c r="F19984" i="9"/>
  <c r="H19984" i="9" s="1"/>
  <c r="F19985" i="9"/>
  <c r="H19985" i="9" s="1"/>
  <c r="F19986" i="9"/>
  <c r="H19986" i="9" s="1"/>
  <c r="F19987" i="9"/>
  <c r="H19987" i="9" s="1"/>
  <c r="F19988" i="9"/>
  <c r="H19988" i="9" s="1"/>
  <c r="F19989" i="9"/>
  <c r="H19989" i="9" s="1"/>
  <c r="F19990" i="9"/>
  <c r="H19990" i="9" s="1"/>
  <c r="F19991" i="9"/>
  <c r="H19991" i="9" s="1"/>
  <c r="F19992" i="9"/>
  <c r="H19992" i="9" s="1"/>
  <c r="F19993" i="9"/>
  <c r="H19993" i="9" s="1"/>
  <c r="F19994" i="9"/>
  <c r="H19994" i="9" s="1"/>
  <c r="F19995" i="9"/>
  <c r="H19995" i="9" s="1"/>
  <c r="F19996" i="9"/>
  <c r="H19996" i="9" s="1"/>
  <c r="F19997" i="9"/>
  <c r="H19997" i="9" s="1"/>
  <c r="F19998" i="9"/>
  <c r="H19998" i="9" s="1"/>
  <c r="F19999" i="9"/>
  <c r="H19999" i="9" s="1"/>
  <c r="F20000" i="9"/>
  <c r="H20000" i="9" s="1"/>
  <c r="F20001" i="9"/>
  <c r="H20001" i="9" s="1"/>
  <c r="F20002" i="9"/>
  <c r="H20002" i="9" s="1"/>
  <c r="F20003" i="9"/>
  <c r="H20003" i="9"/>
  <c r="F20004" i="9"/>
  <c r="H20004" i="9" s="1"/>
  <c r="F20005" i="9"/>
  <c r="H20005" i="9" s="1"/>
  <c r="F20006" i="9"/>
  <c r="H20006" i="9" s="1"/>
  <c r="F20007" i="9"/>
  <c r="H20007" i="9"/>
  <c r="F20008" i="9"/>
  <c r="H20008" i="9"/>
  <c r="F20009" i="9"/>
  <c r="H20009" i="9" s="1"/>
  <c r="F20010" i="9"/>
  <c r="H20010" i="9" s="1"/>
  <c r="F20011" i="9"/>
  <c r="H20011" i="9" s="1"/>
  <c r="F20012" i="9"/>
  <c r="H20012" i="9" s="1"/>
  <c r="F20013" i="9"/>
  <c r="H20013" i="9" s="1"/>
  <c r="F20014" i="9"/>
  <c r="H20014" i="9" s="1"/>
  <c r="F20015" i="9"/>
  <c r="H20015" i="9" s="1"/>
  <c r="F20016" i="9"/>
  <c r="H20016" i="9" s="1"/>
  <c r="F20017" i="9"/>
  <c r="H20017" i="9" s="1"/>
  <c r="F20018" i="9"/>
  <c r="H20018" i="9" s="1"/>
  <c r="F20019" i="9"/>
  <c r="H20019" i="9" s="1"/>
  <c r="F20020" i="9"/>
  <c r="H20020" i="9" s="1"/>
  <c r="F20021" i="9"/>
  <c r="H20021" i="9" s="1"/>
  <c r="F20022" i="9"/>
  <c r="H20022" i="9" s="1"/>
  <c r="F20023" i="9"/>
  <c r="H20023" i="9" s="1"/>
  <c r="F20024" i="9"/>
  <c r="H20024" i="9" s="1"/>
  <c r="F20025" i="9"/>
  <c r="H20025" i="9" s="1"/>
  <c r="F20026" i="9"/>
  <c r="H20026" i="9" s="1"/>
  <c r="F20027" i="9"/>
  <c r="H20027" i="9" s="1"/>
  <c r="F20028" i="9"/>
  <c r="H20028" i="9" s="1"/>
  <c r="F20029" i="9"/>
  <c r="H20029" i="9" s="1"/>
  <c r="F20030" i="9"/>
  <c r="H20030" i="9" s="1"/>
  <c r="F20031" i="9"/>
  <c r="H20031" i="9" s="1"/>
  <c r="F20032" i="9"/>
  <c r="H20032" i="9" s="1"/>
  <c r="F20033" i="9"/>
  <c r="H20033" i="9" s="1"/>
  <c r="F20034" i="9"/>
  <c r="H20034" i="9" s="1"/>
  <c r="F20035" i="9"/>
  <c r="H20035" i="9" s="1"/>
  <c r="F20036" i="9"/>
  <c r="H20036" i="9" s="1"/>
  <c r="F20037" i="9"/>
  <c r="H20037" i="9" s="1"/>
  <c r="F20038" i="9"/>
  <c r="H20038" i="9" s="1"/>
  <c r="F20039" i="9"/>
  <c r="H20039" i="9" s="1"/>
  <c r="F20040" i="9"/>
  <c r="H20040" i="9" s="1"/>
  <c r="F20041" i="9"/>
  <c r="H20041" i="9" s="1"/>
  <c r="F20042" i="9"/>
  <c r="H20042" i="9" s="1"/>
  <c r="F20043" i="9"/>
  <c r="H20043" i="9" s="1"/>
  <c r="F20044" i="9"/>
  <c r="H20044" i="9" s="1"/>
  <c r="F20045" i="9"/>
  <c r="H20045" i="9" s="1"/>
  <c r="F20046" i="9"/>
  <c r="H20046" i="9" s="1"/>
  <c r="F20047" i="9"/>
  <c r="H20047" i="9" s="1"/>
  <c r="F20048" i="9"/>
  <c r="H20048" i="9" s="1"/>
  <c r="F20049" i="9"/>
  <c r="H20049" i="9"/>
  <c r="F20050" i="9"/>
  <c r="H20050" i="9" s="1"/>
  <c r="F20051" i="9"/>
  <c r="H20051" i="9" s="1"/>
  <c r="F20052" i="9"/>
  <c r="H20052" i="9" s="1"/>
  <c r="F20053" i="9"/>
  <c r="H20053" i="9" s="1"/>
  <c r="F20054" i="9"/>
  <c r="H20054" i="9" s="1"/>
  <c r="F20055" i="9"/>
  <c r="H20055" i="9" s="1"/>
  <c r="F20056" i="9"/>
  <c r="H20056" i="9" s="1"/>
  <c r="F20057" i="9"/>
  <c r="H20057" i="9" s="1"/>
  <c r="F20058" i="9"/>
  <c r="H20058" i="9" s="1"/>
  <c r="F20059" i="9"/>
  <c r="H20059" i="9" s="1"/>
  <c r="F20060" i="9"/>
  <c r="H20060" i="9" s="1"/>
  <c r="F20061" i="9"/>
  <c r="H20061" i="9" s="1"/>
  <c r="F20062" i="9"/>
  <c r="H20062" i="9" s="1"/>
  <c r="F20063" i="9"/>
  <c r="H20063" i="9" s="1"/>
  <c r="F20064" i="9"/>
  <c r="H20064" i="9" s="1"/>
  <c r="F20065" i="9"/>
  <c r="H20065" i="9" s="1"/>
  <c r="F20066" i="9"/>
  <c r="H20066" i="9" s="1"/>
  <c r="F20067" i="9"/>
  <c r="H20067" i="9" s="1"/>
  <c r="F20068" i="9"/>
  <c r="H20068" i="9" s="1"/>
  <c r="F20069" i="9"/>
  <c r="H20069" i="9" s="1"/>
  <c r="F20070" i="9"/>
  <c r="H20070" i="9" s="1"/>
  <c r="F20071" i="9"/>
  <c r="H20071" i="9" s="1"/>
  <c r="F20072" i="9"/>
  <c r="H20072" i="9" s="1"/>
  <c r="F20073" i="9"/>
  <c r="H20073" i="9" s="1"/>
  <c r="F20074" i="9"/>
  <c r="H20074" i="9" s="1"/>
  <c r="F20075" i="9"/>
  <c r="H20075" i="9" s="1"/>
  <c r="F20076" i="9"/>
  <c r="H20076" i="9" s="1"/>
  <c r="F20077" i="9"/>
  <c r="H20077" i="9" s="1"/>
  <c r="F20078" i="9"/>
  <c r="H20078" i="9" s="1"/>
  <c r="F20079" i="9"/>
  <c r="H20079" i="9" s="1"/>
  <c r="F20080" i="9"/>
  <c r="H20080" i="9" s="1"/>
  <c r="F20081" i="9"/>
  <c r="H20081" i="9" s="1"/>
  <c r="F20082" i="9"/>
  <c r="H20082" i="9" s="1"/>
  <c r="F20083" i="9"/>
  <c r="H20083" i="9" s="1"/>
  <c r="F20084" i="9"/>
  <c r="H20084" i="9" s="1"/>
  <c r="F20085" i="9"/>
  <c r="H20085" i="9" s="1"/>
  <c r="F20086" i="9"/>
  <c r="H20086" i="9" s="1"/>
  <c r="F20087" i="9"/>
  <c r="H20087" i="9" s="1"/>
  <c r="F20088" i="9"/>
  <c r="H20088" i="9" s="1"/>
  <c r="F20089" i="9"/>
  <c r="H20089" i="9" s="1"/>
  <c r="F20090" i="9"/>
  <c r="H20090" i="9" s="1"/>
  <c r="F20091" i="9"/>
  <c r="H20091" i="9" s="1"/>
  <c r="F20092" i="9"/>
  <c r="H20092" i="9"/>
  <c r="F20093" i="9"/>
  <c r="H20093" i="9" s="1"/>
  <c r="F20094" i="9"/>
  <c r="H20094" i="9" s="1"/>
  <c r="F20095" i="9"/>
  <c r="H20095" i="9" s="1"/>
  <c r="F20096" i="9"/>
  <c r="H20096" i="9" s="1"/>
  <c r="F20097" i="9"/>
  <c r="H20097" i="9" s="1"/>
  <c r="F20098" i="9"/>
  <c r="H20098" i="9" s="1"/>
  <c r="F20099" i="9"/>
  <c r="H20099" i="9" s="1"/>
  <c r="F20100" i="9"/>
  <c r="H20100" i="9" s="1"/>
  <c r="F20101" i="9"/>
  <c r="H20101" i="9" s="1"/>
  <c r="F20102" i="9"/>
  <c r="H20102" i="9" s="1"/>
  <c r="F20103" i="9"/>
  <c r="H20103" i="9" s="1"/>
  <c r="F20104" i="9"/>
  <c r="H20104" i="9" s="1"/>
  <c r="F20105" i="9"/>
  <c r="H20105" i="9"/>
  <c r="F20106" i="9"/>
  <c r="H20106" i="9" s="1"/>
  <c r="F20107" i="9"/>
  <c r="H20107" i="9" s="1"/>
  <c r="F20108" i="9"/>
  <c r="H20108" i="9" s="1"/>
  <c r="F20109" i="9"/>
  <c r="H20109" i="9" s="1"/>
  <c r="F20110" i="9"/>
  <c r="H20110" i="9" s="1"/>
  <c r="F20111" i="9"/>
  <c r="H20111" i="9" s="1"/>
  <c r="F20112" i="9"/>
  <c r="H20112" i="9" s="1"/>
  <c r="F20113" i="9"/>
  <c r="H20113" i="9" s="1"/>
  <c r="F20114" i="9"/>
  <c r="H20114" i="9" s="1"/>
  <c r="F20115" i="9"/>
  <c r="H20115" i="9" s="1"/>
  <c r="F20116" i="9"/>
  <c r="H20116" i="9" s="1"/>
  <c r="F20117" i="9"/>
  <c r="H20117" i="9" s="1"/>
  <c r="F20118" i="9"/>
  <c r="H20118" i="9" s="1"/>
  <c r="F20119" i="9"/>
  <c r="H20119" i="9" s="1"/>
  <c r="F20120" i="9"/>
  <c r="H20120" i="9" s="1"/>
  <c r="F20121" i="9"/>
  <c r="H20121" i="9" s="1"/>
  <c r="F20122" i="9"/>
  <c r="H20122" i="9" s="1"/>
  <c r="F20123" i="9"/>
  <c r="H20123" i="9"/>
  <c r="F20124" i="9"/>
  <c r="H20124" i="9" s="1"/>
  <c r="F20125" i="9"/>
  <c r="H20125" i="9" s="1"/>
  <c r="F20126" i="9"/>
  <c r="H20126" i="9" s="1"/>
  <c r="F20127" i="9"/>
  <c r="H20127" i="9" s="1"/>
  <c r="F20128" i="9"/>
  <c r="H20128" i="9" s="1"/>
  <c r="F20129" i="9"/>
  <c r="H20129" i="9" s="1"/>
  <c r="F20130" i="9"/>
  <c r="H20130" i="9" s="1"/>
  <c r="F20131" i="9"/>
  <c r="H20131" i="9" s="1"/>
  <c r="F20132" i="9"/>
  <c r="H20132" i="9" s="1"/>
  <c r="F20133" i="9"/>
  <c r="H20133" i="9" s="1"/>
  <c r="F20134" i="9"/>
  <c r="H20134" i="9" s="1"/>
  <c r="F20135" i="9"/>
  <c r="H20135" i="9" s="1"/>
  <c r="F20136" i="9"/>
  <c r="H20136" i="9" s="1"/>
  <c r="F20137" i="9"/>
  <c r="H20137" i="9" s="1"/>
  <c r="F20138" i="9"/>
  <c r="H20138" i="9"/>
  <c r="F20139" i="9"/>
  <c r="H20139" i="9" s="1"/>
  <c r="F20140" i="9"/>
  <c r="H20140" i="9" s="1"/>
  <c r="F20141" i="9"/>
  <c r="H20141" i="9" s="1"/>
  <c r="F20142" i="9"/>
  <c r="H20142" i="9" s="1"/>
  <c r="F20143" i="9"/>
  <c r="H20143" i="9" s="1"/>
  <c r="F20144" i="9"/>
  <c r="H20144" i="9" s="1"/>
  <c r="F20145" i="9"/>
  <c r="H20145" i="9" s="1"/>
  <c r="F20146" i="9"/>
  <c r="H20146" i="9" s="1"/>
  <c r="F20147" i="9"/>
  <c r="H20147" i="9" s="1"/>
  <c r="F20148" i="9"/>
  <c r="H20148" i="9" s="1"/>
  <c r="F20149" i="9"/>
  <c r="H20149" i="9" s="1"/>
  <c r="F20150" i="9"/>
  <c r="H20150" i="9" s="1"/>
  <c r="F20151" i="9"/>
  <c r="H20151" i="9" s="1"/>
  <c r="F20152" i="9"/>
  <c r="H20152" i="9" s="1"/>
  <c r="F20153" i="9"/>
  <c r="H20153" i="9" s="1"/>
  <c r="F20154" i="9"/>
  <c r="H20154" i="9" s="1"/>
  <c r="F20155" i="9"/>
  <c r="H20155" i="9" s="1"/>
  <c r="F20156" i="9"/>
  <c r="H20156" i="9" s="1"/>
  <c r="F20157" i="9"/>
  <c r="H20157" i="9" s="1"/>
  <c r="F20158" i="9"/>
  <c r="H20158" i="9" s="1"/>
  <c r="F20159" i="9"/>
  <c r="H20159" i="9" s="1"/>
  <c r="F20160" i="9"/>
  <c r="H20160" i="9" s="1"/>
  <c r="F20161" i="9"/>
  <c r="H20161" i="9" s="1"/>
  <c r="F20162" i="9"/>
  <c r="H20162" i="9" s="1"/>
  <c r="F20163" i="9"/>
  <c r="H20163" i="9" s="1"/>
  <c r="F20164" i="9"/>
  <c r="H20164" i="9" s="1"/>
  <c r="F20165" i="9"/>
  <c r="H20165" i="9" s="1"/>
  <c r="F20166" i="9"/>
  <c r="H20166" i="9" s="1"/>
  <c r="F20167" i="9"/>
  <c r="H20167" i="9" s="1"/>
  <c r="F20168" i="9"/>
  <c r="H20168" i="9" s="1"/>
  <c r="F20169" i="9"/>
  <c r="H20169" i="9" s="1"/>
  <c r="F20170" i="9"/>
  <c r="H20170" i="9" s="1"/>
  <c r="F20171" i="9"/>
  <c r="H20171" i="9" s="1"/>
  <c r="F20172" i="9"/>
  <c r="H20172" i="9" s="1"/>
  <c r="F20173" i="9"/>
  <c r="H20173" i="9" s="1"/>
  <c r="F20174" i="9"/>
  <c r="H20174" i="9" s="1"/>
  <c r="F20175" i="9"/>
  <c r="H20175" i="9" s="1"/>
  <c r="F20176" i="9"/>
  <c r="H20176" i="9" s="1"/>
  <c r="F20177" i="9"/>
  <c r="H20177" i="9" s="1"/>
  <c r="F20178" i="9"/>
  <c r="H20178" i="9" s="1"/>
  <c r="F20179" i="9"/>
  <c r="H20179" i="9" s="1"/>
  <c r="F20180" i="9"/>
  <c r="H20180" i="9" s="1"/>
  <c r="F20181" i="9"/>
  <c r="H20181" i="9" s="1"/>
  <c r="F20182" i="9"/>
  <c r="H20182" i="9" s="1"/>
  <c r="F20183" i="9"/>
  <c r="H20183" i="9" s="1"/>
  <c r="F20184" i="9"/>
  <c r="H20184" i="9" s="1"/>
  <c r="F20185" i="9"/>
  <c r="H20185" i="9" s="1"/>
  <c r="F20186" i="9"/>
  <c r="H20186" i="9" s="1"/>
  <c r="F20187" i="9"/>
  <c r="H20187" i="9" s="1"/>
  <c r="F20188" i="9"/>
  <c r="H20188" i="9" s="1"/>
  <c r="F20189" i="9"/>
  <c r="H20189" i="9" s="1"/>
  <c r="F20190" i="9"/>
  <c r="H20190" i="9" s="1"/>
  <c r="F20191" i="9"/>
  <c r="H20191" i="9" s="1"/>
  <c r="F20192" i="9"/>
  <c r="H20192" i="9" s="1"/>
  <c r="F20193" i="9"/>
  <c r="H20193" i="9" s="1"/>
  <c r="F20194" i="9"/>
  <c r="H20194" i="9" s="1"/>
  <c r="F20195" i="9"/>
  <c r="H20195" i="9" s="1"/>
  <c r="F20196" i="9"/>
  <c r="H20196" i="9" s="1"/>
  <c r="F20197" i="9"/>
  <c r="H20197" i="9" s="1"/>
  <c r="F20198" i="9"/>
  <c r="H20198" i="9" s="1"/>
  <c r="F20199" i="9"/>
  <c r="H20199" i="9" s="1"/>
  <c r="F20200" i="9"/>
  <c r="H20200" i="9" s="1"/>
  <c r="F20201" i="9"/>
  <c r="H20201" i="9" s="1"/>
  <c r="F20202" i="9"/>
  <c r="H20202" i="9" s="1"/>
  <c r="F20203" i="9"/>
  <c r="H20203" i="9" s="1"/>
  <c r="F20204" i="9"/>
  <c r="H20204" i="9" s="1"/>
  <c r="F20205" i="9"/>
  <c r="H20205" i="9" s="1"/>
  <c r="F20206" i="9"/>
  <c r="H20206" i="9" s="1"/>
  <c r="F20207" i="9"/>
  <c r="H20207" i="9" s="1"/>
  <c r="F20208" i="9"/>
  <c r="H20208" i="9" s="1"/>
  <c r="F20209" i="9"/>
  <c r="H20209" i="9" s="1"/>
  <c r="F20210" i="9"/>
  <c r="H20210" i="9" s="1"/>
  <c r="F20211" i="9"/>
  <c r="H20211" i="9" s="1"/>
  <c r="F20212" i="9"/>
  <c r="H20212" i="9" s="1"/>
  <c r="F20213" i="9"/>
  <c r="H20213" i="9" s="1"/>
  <c r="F20214" i="9"/>
  <c r="H20214" i="9" s="1"/>
  <c r="F20215" i="9"/>
  <c r="H20215" i="9" s="1"/>
  <c r="F20216" i="9"/>
  <c r="H20216" i="9" s="1"/>
  <c r="F20217" i="9"/>
  <c r="H20217" i="9" s="1"/>
  <c r="F20218" i="9"/>
  <c r="H20218" i="9" s="1"/>
  <c r="F20219" i="9"/>
  <c r="H20219" i="9" s="1"/>
  <c r="F20220" i="9"/>
  <c r="H20220" i="9" s="1"/>
  <c r="F20221" i="9"/>
  <c r="H20221" i="9" s="1"/>
  <c r="F20222" i="9"/>
  <c r="H20222" i="9" s="1"/>
  <c r="F20223" i="9"/>
  <c r="H20223" i="9" s="1"/>
  <c r="F20224" i="9"/>
  <c r="H20224" i="9" s="1"/>
  <c r="F20225" i="9"/>
  <c r="H20225" i="9" s="1"/>
  <c r="F20226" i="9"/>
  <c r="H20226" i="9" s="1"/>
  <c r="F20227" i="9"/>
  <c r="H20227" i="9" s="1"/>
  <c r="F20228" i="9"/>
  <c r="H20228" i="9" s="1"/>
  <c r="F20229" i="9"/>
  <c r="H20229" i="9" s="1"/>
  <c r="F20230" i="9"/>
  <c r="H20230" i="9" s="1"/>
  <c r="F20231" i="9"/>
  <c r="H20231" i="9" s="1"/>
  <c r="F20232" i="9"/>
  <c r="H20232" i="9" s="1"/>
  <c r="F20233" i="9"/>
  <c r="H20233" i="9" s="1"/>
  <c r="F20234" i="9"/>
  <c r="H20234" i="9" s="1"/>
  <c r="F20235" i="9"/>
  <c r="H20235" i="9" s="1"/>
  <c r="F20236" i="9"/>
  <c r="H20236" i="9" s="1"/>
  <c r="F20237" i="9"/>
  <c r="H20237" i="9" s="1"/>
  <c r="F20238" i="9"/>
  <c r="H20238" i="9" s="1"/>
  <c r="F20239" i="9"/>
  <c r="H20239" i="9" s="1"/>
  <c r="F20240" i="9"/>
  <c r="H20240" i="9" s="1"/>
  <c r="F20241" i="9"/>
  <c r="H20241" i="9" s="1"/>
  <c r="F20242" i="9"/>
  <c r="H20242" i="9" s="1"/>
  <c r="F20243" i="9"/>
  <c r="H20243" i="9" s="1"/>
  <c r="F20244" i="9"/>
  <c r="H20244" i="9" s="1"/>
  <c r="F20245" i="9"/>
  <c r="H20245" i="9" s="1"/>
  <c r="F20246" i="9"/>
  <c r="H20246" i="9" s="1"/>
  <c r="F20247" i="9"/>
  <c r="H20247" i="9" s="1"/>
  <c r="F20248" i="9"/>
  <c r="H20248" i="9" s="1"/>
  <c r="F20249" i="9"/>
  <c r="H20249" i="9" s="1"/>
  <c r="F20250" i="9"/>
  <c r="H20250" i="9" s="1"/>
  <c r="F20251" i="9"/>
  <c r="H20251" i="9" s="1"/>
  <c r="F20252" i="9"/>
  <c r="H20252" i="9" s="1"/>
  <c r="F20253" i="9"/>
  <c r="H20253" i="9" s="1"/>
  <c r="F20254" i="9"/>
  <c r="H20254" i="9" s="1"/>
  <c r="F20255" i="9"/>
  <c r="H20255" i="9" s="1"/>
  <c r="F20256" i="9"/>
  <c r="H20256" i="9" s="1"/>
  <c r="F20257" i="9"/>
  <c r="H20257" i="9" s="1"/>
  <c r="F20258" i="9"/>
  <c r="H20258" i="9" s="1"/>
  <c r="F20259" i="9"/>
  <c r="H20259" i="9" s="1"/>
  <c r="F20260" i="9"/>
  <c r="H20260" i="9" s="1"/>
  <c r="F20261" i="9"/>
  <c r="H20261" i="9" s="1"/>
  <c r="F20262" i="9"/>
  <c r="H20262" i="9" s="1"/>
  <c r="F20263" i="9"/>
  <c r="H20263" i="9" s="1"/>
  <c r="F20264" i="9"/>
  <c r="H20264" i="9" s="1"/>
  <c r="F20265" i="9"/>
  <c r="H20265" i="9" s="1"/>
  <c r="F20266" i="9"/>
  <c r="H20266" i="9" s="1"/>
  <c r="F20267" i="9"/>
  <c r="H20267" i="9"/>
  <c r="F20268" i="9"/>
  <c r="H20268" i="9" s="1"/>
  <c r="F20269" i="9"/>
  <c r="H20269" i="9" s="1"/>
  <c r="F20270" i="9"/>
  <c r="H20270" i="9" s="1"/>
  <c r="F20271" i="9"/>
  <c r="H20271" i="9" s="1"/>
  <c r="F20272" i="9"/>
  <c r="H20272" i="9" s="1"/>
  <c r="F20273" i="9"/>
  <c r="H20273" i="9" s="1"/>
  <c r="F20274" i="9"/>
  <c r="H20274" i="9" s="1"/>
  <c r="F20275" i="9"/>
  <c r="H20275" i="9" s="1"/>
  <c r="F20276" i="9"/>
  <c r="H20276" i="9" s="1"/>
  <c r="F20277" i="9"/>
  <c r="H20277" i="9" s="1"/>
  <c r="F20278" i="9"/>
  <c r="H20278" i="9" s="1"/>
  <c r="F20279" i="9"/>
  <c r="H20279" i="9" s="1"/>
  <c r="F20280" i="9"/>
  <c r="H20280" i="9" s="1"/>
  <c r="F20281" i="9"/>
  <c r="H20281" i="9" s="1"/>
  <c r="F20282" i="9"/>
  <c r="H20282" i="9" s="1"/>
  <c r="F20283" i="9"/>
  <c r="H20283" i="9" s="1"/>
  <c r="F20284" i="9"/>
  <c r="H20284" i="9" s="1"/>
  <c r="F20285" i="9"/>
  <c r="H20285" i="9" s="1"/>
  <c r="F20286" i="9"/>
  <c r="H20286" i="9" s="1"/>
  <c r="F20287" i="9"/>
  <c r="H20287" i="9" s="1"/>
  <c r="F20288" i="9"/>
  <c r="H20288" i="9" s="1"/>
  <c r="F20289" i="9"/>
  <c r="H20289" i="9" s="1"/>
  <c r="F20290" i="9"/>
  <c r="H20290" i="9" s="1"/>
  <c r="F20291" i="9"/>
  <c r="H20291" i="9" s="1"/>
  <c r="F20292" i="9"/>
  <c r="H20292" i="9" s="1"/>
  <c r="F20293" i="9"/>
  <c r="H20293" i="9" s="1"/>
  <c r="F20294" i="9"/>
  <c r="H20294" i="9" s="1"/>
  <c r="F20295" i="9"/>
  <c r="H20295" i="9" s="1"/>
  <c r="F20296" i="9"/>
  <c r="H20296" i="9" s="1"/>
  <c r="F20297" i="9"/>
  <c r="H20297" i="9" s="1"/>
  <c r="F20298" i="9"/>
  <c r="H20298" i="9" s="1"/>
  <c r="F20299" i="9"/>
  <c r="H20299" i="9" s="1"/>
  <c r="F20300" i="9"/>
  <c r="H20300" i="9"/>
  <c r="F20301" i="9"/>
  <c r="H20301" i="9" s="1"/>
  <c r="F20302" i="9"/>
  <c r="H20302" i="9" s="1"/>
  <c r="F20303" i="9"/>
  <c r="H20303" i="9" s="1"/>
  <c r="F20304" i="9"/>
  <c r="H20304" i="9" s="1"/>
  <c r="F20305" i="9"/>
  <c r="H20305" i="9" s="1"/>
  <c r="F20306" i="9"/>
  <c r="H20306" i="9" s="1"/>
  <c r="F20307" i="9"/>
  <c r="H20307" i="9" s="1"/>
  <c r="F20308" i="9"/>
  <c r="H20308" i="9" s="1"/>
  <c r="F20309" i="9"/>
  <c r="H20309" i="9" s="1"/>
  <c r="F20310" i="9"/>
  <c r="H20310" i="9" s="1"/>
  <c r="F20311" i="9"/>
  <c r="H20311" i="9" s="1"/>
  <c r="F20312" i="9"/>
  <c r="H20312" i="9" s="1"/>
  <c r="F20313" i="9"/>
  <c r="H20313" i="9" s="1"/>
  <c r="F20314" i="9"/>
  <c r="H20314" i="9" s="1"/>
  <c r="F20315" i="9"/>
  <c r="H20315" i="9" s="1"/>
  <c r="F20316" i="9"/>
  <c r="H20316" i="9" s="1"/>
  <c r="F20317" i="9"/>
  <c r="H20317" i="9" s="1"/>
  <c r="F20318" i="9"/>
  <c r="H20318" i="9" s="1"/>
  <c r="F20319" i="9"/>
  <c r="H20319" i="9" s="1"/>
  <c r="F20320" i="9"/>
  <c r="H20320" i="9" s="1"/>
  <c r="F20321" i="9"/>
  <c r="H20321" i="9" s="1"/>
  <c r="F20322" i="9"/>
  <c r="H20322" i="9" s="1"/>
  <c r="F20323" i="9"/>
  <c r="H20323" i="9" s="1"/>
  <c r="F20324" i="9"/>
  <c r="H20324" i="9" s="1"/>
  <c r="F20325" i="9"/>
  <c r="H20325" i="9" s="1"/>
  <c r="F20326" i="9"/>
  <c r="H20326" i="9" s="1"/>
  <c r="F20327" i="9"/>
  <c r="H20327" i="9" s="1"/>
  <c r="F20328" i="9"/>
  <c r="H20328" i="9" s="1"/>
  <c r="F20329" i="9"/>
  <c r="H20329" i="9" s="1"/>
  <c r="F20330" i="9"/>
  <c r="H20330" i="9" s="1"/>
  <c r="F20331" i="9"/>
  <c r="H20331" i="9" s="1"/>
  <c r="F20332" i="9"/>
  <c r="H20332" i="9" s="1"/>
  <c r="F20333" i="9"/>
  <c r="H20333" i="9" s="1"/>
  <c r="F20334" i="9"/>
  <c r="H20334" i="9" s="1"/>
  <c r="F20335" i="9"/>
  <c r="H20335" i="9" s="1"/>
  <c r="F20336" i="9"/>
  <c r="H20336" i="9" s="1"/>
  <c r="F20337" i="9"/>
  <c r="H20337" i="9" s="1"/>
  <c r="F20338" i="9"/>
  <c r="H20338" i="9" s="1"/>
  <c r="F20339" i="9"/>
  <c r="H20339" i="9" s="1"/>
  <c r="F20340" i="9"/>
  <c r="H20340" i="9" s="1"/>
  <c r="F20341" i="9"/>
  <c r="H20341" i="9" s="1"/>
  <c r="F20342" i="9"/>
  <c r="H20342" i="9" s="1"/>
  <c r="F20343" i="9"/>
  <c r="H20343" i="9"/>
  <c r="F20344" i="9"/>
  <c r="H20344" i="9" s="1"/>
  <c r="F20345" i="9"/>
  <c r="H20345" i="9" s="1"/>
  <c r="F20346" i="9"/>
  <c r="H20346" i="9" s="1"/>
  <c r="F20347" i="9"/>
  <c r="H20347" i="9" s="1"/>
  <c r="F20348" i="9"/>
  <c r="H20348" i="9" s="1"/>
  <c r="F20349" i="9"/>
  <c r="H20349" i="9" s="1"/>
  <c r="F20350" i="9"/>
  <c r="H20350" i="9" s="1"/>
  <c r="F20351" i="9"/>
  <c r="H20351" i="9" s="1"/>
  <c r="F20352" i="9"/>
  <c r="H20352" i="9" s="1"/>
  <c r="F20353" i="9"/>
  <c r="H20353" i="9" s="1"/>
  <c r="F20354" i="9"/>
  <c r="H20354" i="9" s="1"/>
  <c r="F20355" i="9"/>
  <c r="H20355" i="9" s="1"/>
  <c r="F20356" i="9"/>
  <c r="H20356" i="9" s="1"/>
  <c r="F20357" i="9"/>
  <c r="H20357" i="9" s="1"/>
  <c r="F20358" i="9"/>
  <c r="H20358" i="9" s="1"/>
  <c r="F20359" i="9"/>
  <c r="H20359" i="9" s="1"/>
  <c r="F20360" i="9"/>
  <c r="H20360" i="9" s="1"/>
  <c r="F20361" i="9"/>
  <c r="H20361" i="9" s="1"/>
  <c r="F20362" i="9"/>
  <c r="H20362" i="9" s="1"/>
  <c r="F20363" i="9"/>
  <c r="H20363" i="9" s="1"/>
  <c r="F20364" i="9"/>
  <c r="H20364" i="9" s="1"/>
  <c r="F20365" i="9"/>
  <c r="H20365" i="9" s="1"/>
  <c r="F20366" i="9"/>
  <c r="H20366" i="9"/>
  <c r="F20367" i="9"/>
  <c r="H20367" i="9" s="1"/>
  <c r="F20368" i="9"/>
  <c r="H20368" i="9" s="1"/>
  <c r="F20369" i="9"/>
  <c r="H20369" i="9" s="1"/>
  <c r="F20370" i="9"/>
  <c r="H20370" i="9" s="1"/>
  <c r="F20371" i="9"/>
  <c r="H20371" i="9" s="1"/>
  <c r="F20372" i="9"/>
  <c r="H20372" i="9" s="1"/>
  <c r="F20373" i="9"/>
  <c r="H20373" i="9" s="1"/>
  <c r="F20374" i="9"/>
  <c r="H20374" i="9" s="1"/>
  <c r="F20375" i="9"/>
  <c r="H20375" i="9" s="1"/>
  <c r="F20376" i="9"/>
  <c r="H20376" i="9" s="1"/>
  <c r="F20377" i="9"/>
  <c r="H20377" i="9" s="1"/>
  <c r="F20378" i="9"/>
  <c r="H20378" i="9" s="1"/>
  <c r="F20379" i="9"/>
  <c r="H20379" i="9"/>
  <c r="F20380" i="9"/>
  <c r="H20380" i="9" s="1"/>
  <c r="F20381" i="9"/>
  <c r="H20381" i="9" s="1"/>
  <c r="F20382" i="9"/>
  <c r="H20382" i="9" s="1"/>
  <c r="F20383" i="9"/>
  <c r="H20383" i="9" s="1"/>
  <c r="F20384" i="9"/>
  <c r="H20384" i="9" s="1"/>
  <c r="F20385" i="9"/>
  <c r="H20385" i="9" s="1"/>
  <c r="F20386" i="9"/>
  <c r="H20386" i="9" s="1"/>
  <c r="F20387" i="9"/>
  <c r="H20387" i="9" s="1"/>
  <c r="F20388" i="9"/>
  <c r="H20388" i="9" s="1"/>
  <c r="F20389" i="9"/>
  <c r="H20389" i="9" s="1"/>
  <c r="F20390" i="9"/>
  <c r="H20390" i="9" s="1"/>
  <c r="F20391" i="9"/>
  <c r="H20391" i="9" s="1"/>
  <c r="F20392" i="9"/>
  <c r="H20392" i="9" s="1"/>
  <c r="F20393" i="9"/>
  <c r="H20393" i="9" s="1"/>
  <c r="F20394" i="9"/>
  <c r="H20394" i="9" s="1"/>
  <c r="F20395" i="9"/>
  <c r="H20395" i="9" s="1"/>
  <c r="F20396" i="9"/>
  <c r="H20396" i="9" s="1"/>
  <c r="F20397" i="9"/>
  <c r="H20397" i="9" s="1"/>
  <c r="F20398" i="9"/>
  <c r="H20398" i="9" s="1"/>
  <c r="F20399" i="9"/>
  <c r="H20399" i="9" s="1"/>
  <c r="F20400" i="9"/>
  <c r="H20400" i="9" s="1"/>
  <c r="F20401" i="9"/>
  <c r="H20401" i="9" s="1"/>
  <c r="F20402" i="9"/>
  <c r="H20402" i="9" s="1"/>
  <c r="F20403" i="9"/>
  <c r="H20403" i="9" s="1"/>
  <c r="F20404" i="9"/>
  <c r="H20404" i="9" s="1"/>
  <c r="F20405" i="9"/>
  <c r="H20405" i="9" s="1"/>
  <c r="F20406" i="9"/>
  <c r="H20406" i="9" s="1"/>
  <c r="F20407" i="9"/>
  <c r="H20407" i="9" s="1"/>
  <c r="F20408" i="9"/>
  <c r="H20408" i="9" s="1"/>
  <c r="F20409" i="9"/>
  <c r="H20409" i="9"/>
  <c r="F20410" i="9"/>
  <c r="H20410" i="9" s="1"/>
  <c r="F20411" i="9"/>
  <c r="H20411" i="9" s="1"/>
  <c r="F20412" i="9"/>
  <c r="H20412" i="9" s="1"/>
  <c r="F20413" i="9"/>
  <c r="H20413" i="9" s="1"/>
  <c r="F20414" i="9"/>
  <c r="H20414" i="9" s="1"/>
  <c r="F20415" i="9"/>
  <c r="H20415" i="9" s="1"/>
  <c r="F20416" i="9"/>
  <c r="H20416" i="9" s="1"/>
  <c r="F20417" i="9"/>
  <c r="H20417" i="9" s="1"/>
  <c r="F20418" i="9"/>
  <c r="H20418" i="9" s="1"/>
  <c r="F20419" i="9"/>
  <c r="H20419" i="9" s="1"/>
  <c r="F20420" i="9"/>
  <c r="H20420" i="9" s="1"/>
  <c r="F20421" i="9"/>
  <c r="H20421" i="9" s="1"/>
  <c r="F20422" i="9"/>
  <c r="H20422" i="9" s="1"/>
  <c r="F20423" i="9"/>
  <c r="H20423" i="9" s="1"/>
  <c r="F20424" i="9"/>
  <c r="H20424" i="9" s="1"/>
  <c r="F20425" i="9"/>
  <c r="H20425" i="9" s="1"/>
  <c r="F20426" i="9"/>
  <c r="H20426" i="9" s="1"/>
  <c r="F20427" i="9"/>
  <c r="H20427" i="9" s="1"/>
  <c r="F20428" i="9"/>
  <c r="H20428" i="9" s="1"/>
  <c r="F20429" i="9"/>
  <c r="H20429" i="9" s="1"/>
  <c r="F20430" i="9"/>
  <c r="H20430" i="9" s="1"/>
  <c r="F20431" i="9"/>
  <c r="H20431" i="9" s="1"/>
  <c r="F20432" i="9"/>
  <c r="H20432" i="9" s="1"/>
  <c r="F20433" i="9"/>
  <c r="H20433" i="9" s="1"/>
  <c r="F20434" i="9"/>
  <c r="H20434" i="9" s="1"/>
  <c r="F20435" i="9"/>
  <c r="H20435" i="9" s="1"/>
  <c r="F20436" i="9"/>
  <c r="H20436" i="9" s="1"/>
  <c r="F20437" i="9"/>
  <c r="H20437" i="9" s="1"/>
  <c r="F20438" i="9"/>
  <c r="H20438" i="9" s="1"/>
  <c r="F20439" i="9"/>
  <c r="H20439" i="9" s="1"/>
  <c r="F20440" i="9"/>
  <c r="H20440" i="9" s="1"/>
  <c r="F20441" i="9"/>
  <c r="H20441" i="9" s="1"/>
  <c r="F20442" i="9"/>
  <c r="H20442" i="9" s="1"/>
  <c r="F20443" i="9"/>
  <c r="H20443" i="9" s="1"/>
  <c r="F20444" i="9"/>
  <c r="H20444" i="9" s="1"/>
  <c r="F20445" i="9"/>
  <c r="H20445" i="9" s="1"/>
  <c r="F20446" i="9"/>
  <c r="H20446" i="9" s="1"/>
  <c r="F20447" i="9"/>
  <c r="H20447" i="9" s="1"/>
  <c r="F20448" i="9"/>
  <c r="H20448" i="9" s="1"/>
  <c r="F20449" i="9"/>
  <c r="H20449" i="9" s="1"/>
  <c r="F20450" i="9"/>
  <c r="H20450" i="9" s="1"/>
  <c r="F20451" i="9"/>
  <c r="H20451" i="9" s="1"/>
  <c r="F20452" i="9"/>
  <c r="H20452" i="9" s="1"/>
  <c r="F20453" i="9"/>
  <c r="H20453" i="9" s="1"/>
  <c r="F20454" i="9"/>
  <c r="H20454" i="9" s="1"/>
  <c r="F20455" i="9"/>
  <c r="H20455" i="9" s="1"/>
  <c r="F20456" i="9"/>
  <c r="H20456" i="9" s="1"/>
  <c r="F20457" i="9"/>
  <c r="H20457" i="9" s="1"/>
  <c r="F20458" i="9"/>
  <c r="H20458" i="9" s="1"/>
  <c r="F20459" i="9"/>
  <c r="H20459" i="9" s="1"/>
  <c r="F20460" i="9"/>
  <c r="H20460" i="9" s="1"/>
  <c r="F20461" i="9"/>
  <c r="H20461" i="9" s="1"/>
  <c r="F20462" i="9"/>
  <c r="H20462" i="9" s="1"/>
  <c r="F20463" i="9"/>
  <c r="H20463" i="9" s="1"/>
  <c r="F20464" i="9"/>
  <c r="H20464" i="9" s="1"/>
  <c r="F20465" i="9"/>
  <c r="H20465" i="9" s="1"/>
  <c r="F20466" i="9"/>
  <c r="H20466" i="9" s="1"/>
  <c r="F20467" i="9"/>
  <c r="H20467" i="9" s="1"/>
  <c r="F20468" i="9"/>
  <c r="H20468" i="9" s="1"/>
  <c r="F20469" i="9"/>
  <c r="H20469" i="9" s="1"/>
  <c r="F20470" i="9"/>
  <c r="H20470" i="9" s="1"/>
  <c r="F20471" i="9"/>
  <c r="H20471" i="9" s="1"/>
  <c r="F20472" i="9"/>
  <c r="H20472" i="9" s="1"/>
  <c r="F20473" i="9"/>
  <c r="H20473" i="9" s="1"/>
  <c r="F20474" i="9"/>
  <c r="H20474" i="9" s="1"/>
  <c r="F20475" i="9"/>
  <c r="H20475" i="9" s="1"/>
  <c r="F20476" i="9"/>
  <c r="H20476" i="9" s="1"/>
  <c r="F20477" i="9"/>
  <c r="H20477" i="9" s="1"/>
  <c r="F20478" i="9"/>
  <c r="H20478" i="9" s="1"/>
  <c r="F20479" i="9"/>
  <c r="H20479" i="9" s="1"/>
  <c r="F20480" i="9"/>
  <c r="H20480" i="9" s="1"/>
  <c r="F20481" i="9"/>
  <c r="H20481" i="9" s="1"/>
  <c r="F20482" i="9"/>
  <c r="H20482" i="9" s="1"/>
  <c r="F20483" i="9"/>
  <c r="H20483" i="9" s="1"/>
  <c r="F20484" i="9"/>
  <c r="H20484" i="9" s="1"/>
  <c r="F20485" i="9"/>
  <c r="H20485" i="9" s="1"/>
  <c r="F20486" i="9"/>
  <c r="H20486" i="9" s="1"/>
  <c r="F20487" i="9"/>
  <c r="H20487" i="9" s="1"/>
  <c r="F20488" i="9"/>
  <c r="H20488" i="9" s="1"/>
  <c r="F20489" i="9"/>
  <c r="H20489" i="9"/>
  <c r="F20490" i="9"/>
  <c r="H20490" i="9" s="1"/>
  <c r="F20491" i="9"/>
  <c r="H20491" i="9" s="1"/>
  <c r="F20492" i="9"/>
  <c r="H20492" i="9" s="1"/>
  <c r="F20493" i="9"/>
  <c r="H20493" i="9" s="1"/>
  <c r="F20494" i="9"/>
  <c r="H20494" i="9" s="1"/>
  <c r="F20495" i="9"/>
  <c r="H20495" i="9" s="1"/>
  <c r="F20496" i="9"/>
  <c r="H20496" i="9" s="1"/>
  <c r="F20497" i="9"/>
  <c r="H20497" i="9" s="1"/>
  <c r="F20498" i="9"/>
  <c r="H20498" i="9" s="1"/>
  <c r="F20499" i="9"/>
  <c r="H20499" i="9" s="1"/>
  <c r="F20500" i="9"/>
  <c r="H20500" i="9" s="1"/>
  <c r="F20501" i="9"/>
  <c r="H20501" i="9"/>
  <c r="F20502" i="9"/>
  <c r="H20502" i="9" s="1"/>
  <c r="F20503" i="9"/>
  <c r="H20503" i="9" s="1"/>
  <c r="F20504" i="9"/>
  <c r="H20504" i="9" s="1"/>
  <c r="F20505" i="9"/>
  <c r="H20505" i="9" s="1"/>
  <c r="F20506" i="9"/>
  <c r="H20506" i="9" s="1"/>
  <c r="F20507" i="9"/>
  <c r="H20507" i="9" s="1"/>
  <c r="F20508" i="9"/>
  <c r="H20508" i="9" s="1"/>
  <c r="F20509" i="9"/>
  <c r="H20509" i="9" s="1"/>
  <c r="F20510" i="9"/>
  <c r="H20510" i="9" s="1"/>
  <c r="F20511" i="9"/>
  <c r="H20511" i="9" s="1"/>
  <c r="F20512" i="9"/>
  <c r="H20512" i="9" s="1"/>
  <c r="F20513" i="9"/>
  <c r="H20513" i="9" s="1"/>
  <c r="F20514" i="9"/>
  <c r="H20514" i="9" s="1"/>
  <c r="F20515" i="9"/>
  <c r="H20515" i="9" s="1"/>
  <c r="F20516" i="9"/>
  <c r="H20516" i="9" s="1"/>
  <c r="F20517" i="9"/>
  <c r="H20517" i="9" s="1"/>
  <c r="F20518" i="9"/>
  <c r="H20518" i="9" s="1"/>
  <c r="F20519" i="9"/>
  <c r="H20519" i="9" s="1"/>
  <c r="F20520" i="9"/>
  <c r="H20520" i="9" s="1"/>
  <c r="F20521" i="9"/>
  <c r="H20521" i="9" s="1"/>
  <c r="F20522" i="9"/>
  <c r="H20522" i="9" s="1"/>
  <c r="F20523" i="9"/>
  <c r="H20523" i="9" s="1"/>
  <c r="F20524" i="9"/>
  <c r="H20524" i="9" s="1"/>
  <c r="F20525" i="9"/>
  <c r="H20525" i="9" s="1"/>
  <c r="F20526" i="9"/>
  <c r="H20526" i="9" s="1"/>
  <c r="F20527" i="9"/>
  <c r="H20527" i="9" s="1"/>
  <c r="F20528" i="9"/>
  <c r="H20528" i="9" s="1"/>
  <c r="F20529" i="9"/>
  <c r="H20529" i="9" s="1"/>
  <c r="F20530" i="9"/>
  <c r="H20530" i="9" s="1"/>
  <c r="F20531" i="9"/>
  <c r="H20531" i="9" s="1"/>
  <c r="F20532" i="9"/>
  <c r="H20532" i="9" s="1"/>
  <c r="F20533" i="9"/>
  <c r="H20533" i="9" s="1"/>
  <c r="F20534" i="9"/>
  <c r="H20534" i="9" s="1"/>
  <c r="F20535" i="9"/>
  <c r="H20535" i="9" s="1"/>
  <c r="F20536" i="9"/>
  <c r="H20536" i="9" s="1"/>
  <c r="F20537" i="9"/>
  <c r="H20537" i="9" s="1"/>
  <c r="F20538" i="9"/>
  <c r="H20538" i="9" s="1"/>
  <c r="F20539" i="9"/>
  <c r="H20539" i="9" s="1"/>
  <c r="F20540" i="9"/>
  <c r="H20540" i="9" s="1"/>
  <c r="F20541" i="9"/>
  <c r="H20541" i="9" s="1"/>
  <c r="F20542" i="9"/>
  <c r="H20542" i="9" s="1"/>
  <c r="F20543" i="9"/>
  <c r="H20543" i="9" s="1"/>
  <c r="F20544" i="9"/>
  <c r="H20544" i="9" s="1"/>
  <c r="F20545" i="9"/>
  <c r="H20545" i="9" s="1"/>
  <c r="F20546" i="9"/>
  <c r="H20546" i="9" s="1"/>
  <c r="F20547" i="9"/>
  <c r="H20547" i="9" s="1"/>
  <c r="F20548" i="9"/>
  <c r="H20548" i="9" s="1"/>
  <c r="F20549" i="9"/>
  <c r="H20549" i="9" s="1"/>
  <c r="F20550" i="9"/>
  <c r="H20550" i="9" s="1"/>
  <c r="F20551" i="9"/>
  <c r="H20551" i="9" s="1"/>
  <c r="F20552" i="9"/>
  <c r="H20552" i="9" s="1"/>
  <c r="F20553" i="9"/>
  <c r="H20553" i="9" s="1"/>
  <c r="F20554" i="9"/>
  <c r="H20554" i="9" s="1"/>
  <c r="F20555" i="9"/>
  <c r="H20555" i="9" s="1"/>
  <c r="F20556" i="9"/>
  <c r="H20556" i="9" s="1"/>
  <c r="F20557" i="9"/>
  <c r="H20557" i="9" s="1"/>
  <c r="F20558" i="9"/>
  <c r="H20558" i="9" s="1"/>
  <c r="F20559" i="9"/>
  <c r="H20559" i="9" s="1"/>
  <c r="F20560" i="9"/>
  <c r="H20560" i="9" s="1"/>
  <c r="F20561" i="9"/>
  <c r="H20561" i="9" s="1"/>
  <c r="F20562" i="9"/>
  <c r="H20562" i="9" s="1"/>
  <c r="F20563" i="9"/>
  <c r="H20563" i="9" s="1"/>
  <c r="F20564" i="9"/>
  <c r="H20564" i="9" s="1"/>
  <c r="F20565" i="9"/>
  <c r="H20565" i="9" s="1"/>
  <c r="F20566" i="9"/>
  <c r="H20566" i="9" s="1"/>
  <c r="F20567" i="9"/>
  <c r="H20567" i="9" s="1"/>
  <c r="F20568" i="9"/>
  <c r="H20568" i="9" s="1"/>
  <c r="F20569" i="9"/>
  <c r="H20569" i="9" s="1"/>
  <c r="F20570" i="9"/>
  <c r="H20570" i="9" s="1"/>
  <c r="F20571" i="9"/>
  <c r="H20571" i="9" s="1"/>
  <c r="F20572" i="9"/>
  <c r="H20572" i="9" s="1"/>
  <c r="F20573" i="9"/>
  <c r="H20573" i="9" s="1"/>
  <c r="F20574" i="9"/>
  <c r="H20574" i="9" s="1"/>
  <c r="F20575" i="9"/>
  <c r="H20575" i="9" s="1"/>
  <c r="F20576" i="9"/>
  <c r="H20576" i="9" s="1"/>
  <c r="F20577" i="9"/>
  <c r="H20577" i="9"/>
  <c r="F20578" i="9"/>
  <c r="H20578" i="9" s="1"/>
  <c r="F20579" i="9"/>
  <c r="H20579" i="9" s="1"/>
  <c r="F20580" i="9"/>
  <c r="H20580" i="9" s="1"/>
  <c r="F20581" i="9"/>
  <c r="H20581" i="9" s="1"/>
  <c r="F20582" i="9"/>
  <c r="H20582" i="9" s="1"/>
  <c r="F20583" i="9"/>
  <c r="H20583" i="9"/>
  <c r="F20584" i="9"/>
  <c r="H20584" i="9"/>
  <c r="F20585" i="9"/>
  <c r="H20585" i="9" s="1"/>
  <c r="F20586" i="9"/>
  <c r="H20586" i="9" s="1"/>
  <c r="F20587" i="9"/>
  <c r="H20587" i="9" s="1"/>
  <c r="F20588" i="9"/>
  <c r="H20588" i="9" s="1"/>
  <c r="F20589" i="9"/>
  <c r="H20589" i="9" s="1"/>
  <c r="F20590" i="9"/>
  <c r="H20590" i="9" s="1"/>
  <c r="F20591" i="9"/>
  <c r="H20591" i="9" s="1"/>
  <c r="F20592" i="9"/>
  <c r="H20592" i="9"/>
  <c r="F20593" i="9"/>
  <c r="H20593" i="9" s="1"/>
  <c r="F20594" i="9"/>
  <c r="H20594" i="9" s="1"/>
  <c r="F20595" i="9"/>
  <c r="H20595" i="9" s="1"/>
  <c r="F20596" i="9"/>
  <c r="H20596" i="9" s="1"/>
  <c r="F20597" i="9"/>
  <c r="H20597" i="9" s="1"/>
  <c r="F20598" i="9"/>
  <c r="H20598" i="9" s="1"/>
  <c r="F20599" i="9"/>
  <c r="H20599" i="9" s="1"/>
  <c r="F20600" i="9"/>
  <c r="H20600" i="9" s="1"/>
  <c r="F20601" i="9"/>
  <c r="H20601" i="9" s="1"/>
  <c r="F20602" i="9"/>
  <c r="H20602" i="9" s="1"/>
  <c r="F20603" i="9"/>
  <c r="H20603" i="9" s="1"/>
  <c r="F20604" i="9"/>
  <c r="H20604" i="9" s="1"/>
  <c r="F20605" i="9"/>
  <c r="H20605" i="9" s="1"/>
  <c r="F20606" i="9"/>
  <c r="H20606" i="9" s="1"/>
  <c r="F20607" i="9"/>
  <c r="H20607" i="9" s="1"/>
  <c r="F20608" i="9"/>
  <c r="H20608" i="9" s="1"/>
  <c r="F20609" i="9"/>
  <c r="H20609" i="9" s="1"/>
  <c r="F20610" i="9"/>
  <c r="H20610" i="9" s="1"/>
  <c r="F20611" i="9"/>
  <c r="H20611" i="9" s="1"/>
  <c r="F20612" i="9"/>
  <c r="H20612" i="9" s="1"/>
  <c r="F20613" i="9"/>
  <c r="H20613" i="9" s="1"/>
  <c r="F20614" i="9"/>
  <c r="H20614" i="9" s="1"/>
  <c r="F20615" i="9"/>
  <c r="H20615" i="9" s="1"/>
  <c r="F20616" i="9"/>
  <c r="H20616" i="9" s="1"/>
  <c r="F20617" i="9"/>
  <c r="H20617" i="9" s="1"/>
  <c r="F20618" i="9"/>
  <c r="H20618" i="9" s="1"/>
  <c r="F20619" i="9"/>
  <c r="H20619" i="9" s="1"/>
  <c r="F20620" i="9"/>
  <c r="H20620" i="9" s="1"/>
  <c r="F20621" i="9"/>
  <c r="H20621" i="9" s="1"/>
  <c r="F20622" i="9"/>
  <c r="H20622" i="9" s="1"/>
  <c r="F20623" i="9"/>
  <c r="H20623" i="9" s="1"/>
  <c r="F20624" i="9"/>
  <c r="H20624" i="9" s="1"/>
  <c r="F20625" i="9"/>
  <c r="H20625" i="9" s="1"/>
  <c r="F20626" i="9"/>
  <c r="H20626" i="9" s="1"/>
  <c r="F20627" i="9"/>
  <c r="H20627" i="9" s="1"/>
  <c r="F20628" i="9"/>
  <c r="H20628" i="9" s="1"/>
  <c r="F20629" i="9"/>
  <c r="H20629" i="9" s="1"/>
  <c r="F20630" i="9"/>
  <c r="H20630" i="9" s="1"/>
  <c r="F20631" i="9"/>
  <c r="H20631" i="9" s="1"/>
  <c r="F20632" i="9"/>
  <c r="H20632" i="9" s="1"/>
  <c r="F20633" i="9"/>
  <c r="H20633" i="9" s="1"/>
  <c r="F20634" i="9"/>
  <c r="H20634" i="9" s="1"/>
  <c r="F20635" i="9"/>
  <c r="H20635" i="9" s="1"/>
  <c r="F20636" i="9"/>
  <c r="H20636" i="9" s="1"/>
  <c r="F20637" i="9"/>
  <c r="H20637" i="9"/>
  <c r="F20638" i="9"/>
  <c r="H20638" i="9"/>
  <c r="F20639" i="9"/>
  <c r="H20639" i="9" s="1"/>
  <c r="F20640" i="9"/>
  <c r="H20640" i="9" s="1"/>
  <c r="F20641" i="9"/>
  <c r="H20641" i="9" s="1"/>
  <c r="F20642" i="9"/>
  <c r="H20642" i="9" s="1"/>
  <c r="F20643" i="9"/>
  <c r="H20643" i="9" s="1"/>
  <c r="F20644" i="9"/>
  <c r="H20644" i="9" s="1"/>
  <c r="F20645" i="9"/>
  <c r="H20645" i="9" s="1"/>
  <c r="F20646" i="9"/>
  <c r="H20646" i="9" s="1"/>
  <c r="F20647" i="9"/>
  <c r="H20647" i="9" s="1"/>
  <c r="F20648" i="9"/>
  <c r="H20648" i="9" s="1"/>
  <c r="F20649" i="9"/>
  <c r="H20649" i="9"/>
  <c r="F20650" i="9"/>
  <c r="H20650" i="9" s="1"/>
  <c r="F20651" i="9"/>
  <c r="H20651" i="9" s="1"/>
  <c r="F20652" i="9"/>
  <c r="H20652" i="9" s="1"/>
  <c r="F20653" i="9"/>
  <c r="H20653" i="9" s="1"/>
  <c r="F20654" i="9"/>
  <c r="H20654" i="9" s="1"/>
  <c r="F20655" i="9"/>
  <c r="H20655" i="9" s="1"/>
  <c r="F20656" i="9"/>
  <c r="H20656" i="9"/>
  <c r="F20657" i="9"/>
  <c r="H20657" i="9"/>
  <c r="F20658" i="9"/>
  <c r="H20658" i="9" s="1"/>
  <c r="F20659" i="9"/>
  <c r="H20659" i="9" s="1"/>
  <c r="F20660" i="9"/>
  <c r="H20660" i="9" s="1"/>
  <c r="F20661" i="9"/>
  <c r="H20661" i="9"/>
  <c r="F20662" i="9"/>
  <c r="H20662" i="9" s="1"/>
  <c r="F20663" i="9"/>
  <c r="H20663" i="9" s="1"/>
  <c r="F20664" i="9"/>
  <c r="H20664" i="9" s="1"/>
  <c r="F20665" i="9"/>
  <c r="H20665" i="9" s="1"/>
  <c r="F20666" i="9"/>
  <c r="H20666" i="9" s="1"/>
  <c r="F20667" i="9"/>
  <c r="H20667" i="9" s="1"/>
  <c r="F20668" i="9"/>
  <c r="H20668" i="9" s="1"/>
  <c r="F20669" i="9"/>
  <c r="H20669" i="9" s="1"/>
  <c r="F20670" i="9"/>
  <c r="H20670" i="9" s="1"/>
  <c r="F20671" i="9"/>
  <c r="H20671" i="9" s="1"/>
  <c r="F20672" i="9"/>
  <c r="H20672" i="9" s="1"/>
  <c r="F20673" i="9"/>
  <c r="H20673" i="9" s="1"/>
  <c r="F20674" i="9"/>
  <c r="H20674" i="9" s="1"/>
  <c r="F20675" i="9"/>
  <c r="H20675" i="9" s="1"/>
  <c r="F20676" i="9"/>
  <c r="H20676" i="9" s="1"/>
  <c r="F20677" i="9"/>
  <c r="H20677" i="9" s="1"/>
  <c r="F20678" i="9"/>
  <c r="H20678" i="9" s="1"/>
  <c r="F20679" i="9"/>
  <c r="H20679" i="9" s="1"/>
  <c r="F20680" i="9"/>
  <c r="H20680" i="9" s="1"/>
  <c r="F20681" i="9"/>
  <c r="H20681" i="9" s="1"/>
  <c r="F20682" i="9"/>
  <c r="H20682" i="9" s="1"/>
  <c r="F20683" i="9"/>
  <c r="H20683" i="9" s="1"/>
  <c r="F20684" i="9"/>
  <c r="H20684" i="9" s="1"/>
  <c r="F20685" i="9"/>
  <c r="H20685" i="9" s="1"/>
  <c r="F20686" i="9"/>
  <c r="H20686" i="9" s="1"/>
  <c r="F20687" i="9"/>
  <c r="H20687" i="9" s="1"/>
  <c r="F20688" i="9"/>
  <c r="H20688" i="9" s="1"/>
  <c r="F20689" i="9"/>
  <c r="H20689" i="9" s="1"/>
  <c r="F20690" i="9"/>
  <c r="H20690" i="9" s="1"/>
  <c r="F20691" i="9"/>
  <c r="H20691" i="9" s="1"/>
  <c r="F20692" i="9"/>
  <c r="H20692" i="9" s="1"/>
  <c r="F20693" i="9"/>
  <c r="H20693" i="9" s="1"/>
  <c r="F20694" i="9"/>
  <c r="H20694" i="9" s="1"/>
  <c r="F20695" i="9"/>
  <c r="H20695" i="9" s="1"/>
  <c r="F20696" i="9"/>
  <c r="H20696" i="9" s="1"/>
  <c r="F20697" i="9"/>
  <c r="H20697" i="9" s="1"/>
  <c r="F20698" i="9"/>
  <c r="H20698" i="9" s="1"/>
  <c r="F20699" i="9"/>
  <c r="H20699" i="9" s="1"/>
  <c r="F20700" i="9"/>
  <c r="H20700" i="9" s="1"/>
  <c r="F20701" i="9"/>
  <c r="H20701" i="9" s="1"/>
  <c r="F20702" i="9"/>
  <c r="H20702" i="9" s="1"/>
  <c r="F20703" i="9"/>
  <c r="H20703" i="9" s="1"/>
  <c r="F20704" i="9"/>
  <c r="H20704" i="9" s="1"/>
  <c r="F20705" i="9"/>
  <c r="H20705" i="9" s="1"/>
  <c r="F20706" i="9"/>
  <c r="H20706" i="9" s="1"/>
  <c r="F20707" i="9"/>
  <c r="H20707" i="9" s="1"/>
  <c r="F20708" i="9"/>
  <c r="H20708" i="9" s="1"/>
  <c r="F20709" i="9"/>
  <c r="H20709" i="9" s="1"/>
  <c r="F20710" i="9"/>
  <c r="H20710" i="9" s="1"/>
  <c r="F20711" i="9"/>
  <c r="H20711" i="9" s="1"/>
  <c r="F20712" i="9"/>
  <c r="H20712" i="9" s="1"/>
  <c r="F20713" i="9"/>
  <c r="H20713" i="9" s="1"/>
  <c r="F20714" i="9"/>
  <c r="H20714" i="9" s="1"/>
  <c r="F20715" i="9"/>
  <c r="H20715" i="9"/>
  <c r="F20716" i="9"/>
  <c r="H20716" i="9" s="1"/>
  <c r="F20717" i="9"/>
  <c r="H20717" i="9"/>
  <c r="F20718" i="9"/>
  <c r="H20718" i="9" s="1"/>
  <c r="F20719" i="9"/>
  <c r="H20719" i="9" s="1"/>
  <c r="F20720" i="9"/>
  <c r="H20720" i="9" s="1"/>
  <c r="F20721" i="9"/>
  <c r="H20721" i="9" s="1"/>
  <c r="F20722" i="9"/>
  <c r="H20722" i="9" s="1"/>
  <c r="F20723" i="9"/>
  <c r="H20723" i="9" s="1"/>
  <c r="F20724" i="9"/>
  <c r="H20724" i="9" s="1"/>
  <c r="F20725" i="9"/>
  <c r="H20725" i="9" s="1"/>
  <c r="F20726" i="9"/>
  <c r="H20726" i="9" s="1"/>
  <c r="F20727" i="9"/>
  <c r="H20727" i="9" s="1"/>
  <c r="F20728" i="9"/>
  <c r="H20728" i="9" s="1"/>
  <c r="F20729" i="9"/>
  <c r="H20729" i="9" s="1"/>
  <c r="F20730" i="9"/>
  <c r="H20730" i="9" s="1"/>
  <c r="F20731" i="9"/>
  <c r="H20731" i="9" s="1"/>
  <c r="F20732" i="9"/>
  <c r="H20732" i="9" s="1"/>
  <c r="F20733" i="9"/>
  <c r="H20733" i="9" s="1"/>
  <c r="F20734" i="9"/>
  <c r="H20734" i="9" s="1"/>
  <c r="F20735" i="9"/>
  <c r="H20735" i="9" s="1"/>
  <c r="F20736" i="9"/>
  <c r="H20736" i="9"/>
  <c r="F20737" i="9"/>
  <c r="H20737" i="9" s="1"/>
  <c r="F20738" i="9"/>
  <c r="H20738" i="9" s="1"/>
  <c r="F20739" i="9"/>
  <c r="H20739" i="9" s="1"/>
  <c r="F20740" i="9"/>
  <c r="H20740" i="9" s="1"/>
  <c r="F20741" i="9"/>
  <c r="H20741" i="9" s="1"/>
  <c r="F20742" i="9"/>
  <c r="H20742" i="9" s="1"/>
  <c r="F20743" i="9"/>
  <c r="H20743" i="9" s="1"/>
  <c r="F20744" i="9"/>
  <c r="H20744" i="9" s="1"/>
  <c r="F20745" i="9"/>
  <c r="H20745" i="9"/>
  <c r="F20746" i="9"/>
  <c r="H20746" i="9" s="1"/>
  <c r="F20747" i="9"/>
  <c r="H20747" i="9" s="1"/>
  <c r="F20748" i="9"/>
  <c r="H20748" i="9" s="1"/>
  <c r="F20749" i="9"/>
  <c r="H20749" i="9" s="1"/>
  <c r="F20750" i="9"/>
  <c r="H20750" i="9" s="1"/>
  <c r="F20751" i="9"/>
  <c r="H20751" i="9" s="1"/>
  <c r="F20752" i="9"/>
  <c r="H20752" i="9" s="1"/>
  <c r="F20753" i="9"/>
  <c r="H20753" i="9" s="1"/>
  <c r="F20754" i="9"/>
  <c r="H20754" i="9" s="1"/>
  <c r="F20755" i="9"/>
  <c r="H20755" i="9" s="1"/>
  <c r="F20756" i="9"/>
  <c r="H20756" i="9" s="1"/>
  <c r="F20757" i="9"/>
  <c r="H20757" i="9" s="1"/>
  <c r="F20758" i="9"/>
  <c r="H20758" i="9" s="1"/>
  <c r="F20759" i="9"/>
  <c r="H20759" i="9" s="1"/>
  <c r="F20760" i="9"/>
  <c r="H20760" i="9"/>
  <c r="F20761" i="9"/>
  <c r="H20761" i="9" s="1"/>
  <c r="F20762" i="9"/>
  <c r="H20762" i="9" s="1"/>
  <c r="F20763" i="9"/>
  <c r="H20763" i="9" s="1"/>
  <c r="F20764" i="9"/>
  <c r="H20764" i="9" s="1"/>
  <c r="F20765" i="9"/>
  <c r="H20765" i="9" s="1"/>
  <c r="F20766" i="9"/>
  <c r="H20766" i="9" s="1"/>
  <c r="F20767" i="9"/>
  <c r="H20767" i="9" s="1"/>
  <c r="F20768" i="9"/>
  <c r="H20768" i="9" s="1"/>
  <c r="F20769" i="9"/>
  <c r="H20769" i="9" s="1"/>
  <c r="F20770" i="9"/>
  <c r="H20770" i="9" s="1"/>
  <c r="F20771" i="9"/>
  <c r="H20771" i="9" s="1"/>
  <c r="F20772" i="9"/>
  <c r="H20772" i="9" s="1"/>
  <c r="F20773" i="9"/>
  <c r="H20773" i="9" s="1"/>
  <c r="F20774" i="9"/>
  <c r="H20774" i="9" s="1"/>
  <c r="F20775" i="9"/>
  <c r="H20775" i="9" s="1"/>
  <c r="F20776" i="9"/>
  <c r="H20776" i="9" s="1"/>
  <c r="F20777" i="9"/>
  <c r="H20777" i="9" s="1"/>
  <c r="F20778" i="9"/>
  <c r="H20778" i="9" s="1"/>
  <c r="F20779" i="9"/>
  <c r="H20779" i="9" s="1"/>
  <c r="F20780" i="9"/>
  <c r="H20780" i="9" s="1"/>
  <c r="F20781" i="9"/>
  <c r="H20781" i="9" s="1"/>
  <c r="F20782" i="9"/>
  <c r="H20782" i="9" s="1"/>
  <c r="F20783" i="9"/>
  <c r="H20783" i="9" s="1"/>
  <c r="F20784" i="9"/>
  <c r="H20784" i="9" s="1"/>
  <c r="F20785" i="9"/>
  <c r="H20785" i="9" s="1"/>
  <c r="F20786" i="9"/>
  <c r="H20786" i="9" s="1"/>
  <c r="F20787" i="9"/>
  <c r="H20787" i="9" s="1"/>
  <c r="F20788" i="9"/>
  <c r="H20788" i="9" s="1"/>
  <c r="F20789" i="9"/>
  <c r="H20789" i="9" s="1"/>
  <c r="F20790" i="9"/>
  <c r="H20790" i="9" s="1"/>
  <c r="F20791" i="9"/>
  <c r="H20791" i="9" s="1"/>
  <c r="F20792" i="9"/>
  <c r="H20792" i="9" s="1"/>
  <c r="F20793" i="9"/>
  <c r="H20793" i="9" s="1"/>
  <c r="F20794" i="9"/>
  <c r="H20794" i="9" s="1"/>
  <c r="F20795" i="9"/>
  <c r="H20795" i="9" s="1"/>
  <c r="F20796" i="9"/>
  <c r="H20796" i="9" s="1"/>
  <c r="F20797" i="9"/>
  <c r="H20797" i="9" s="1"/>
  <c r="F20798" i="9"/>
  <c r="H20798" i="9" s="1"/>
  <c r="F20799" i="9"/>
  <c r="H20799" i="9" s="1"/>
  <c r="F20800" i="9"/>
  <c r="H20800" i="9" s="1"/>
  <c r="F20801" i="9"/>
  <c r="H20801" i="9" s="1"/>
  <c r="F20802" i="9"/>
  <c r="H20802" i="9" s="1"/>
  <c r="F20803" i="9"/>
  <c r="H20803" i="9" s="1"/>
  <c r="F20804" i="9"/>
  <c r="H20804" i="9" s="1"/>
  <c r="F20805" i="9"/>
  <c r="H20805" i="9" s="1"/>
  <c r="F20806" i="9"/>
  <c r="H20806" i="9" s="1"/>
  <c r="F20807" i="9"/>
  <c r="H20807" i="9" s="1"/>
  <c r="F20808" i="9"/>
  <c r="H20808" i="9" s="1"/>
  <c r="F20809" i="9"/>
  <c r="H20809" i="9" s="1"/>
  <c r="F20810" i="9"/>
  <c r="H20810" i="9" s="1"/>
  <c r="F20811" i="9"/>
  <c r="H20811" i="9" s="1"/>
  <c r="F20812" i="9"/>
  <c r="H20812" i="9" s="1"/>
  <c r="F20813" i="9"/>
  <c r="H20813" i="9" s="1"/>
  <c r="F20814" i="9"/>
  <c r="H20814" i="9" s="1"/>
  <c r="F20815" i="9"/>
  <c r="H20815" i="9" s="1"/>
  <c r="F20816" i="9"/>
  <c r="H20816" i="9" s="1"/>
  <c r="F20817" i="9"/>
  <c r="H20817" i="9" s="1"/>
  <c r="F20818" i="9"/>
  <c r="H20818" i="9" s="1"/>
  <c r="F20819" i="9"/>
  <c r="H20819" i="9" s="1"/>
  <c r="F20820" i="9"/>
  <c r="H20820" i="9" s="1"/>
  <c r="F20821" i="9"/>
  <c r="H20821" i="9" s="1"/>
  <c r="F20822" i="9"/>
  <c r="H20822" i="9" s="1"/>
  <c r="F20823" i="9"/>
  <c r="H20823" i="9" s="1"/>
  <c r="F20824" i="9"/>
  <c r="H20824" i="9" s="1"/>
  <c r="F20825" i="9"/>
  <c r="H20825" i="9" s="1"/>
  <c r="F20826" i="9"/>
  <c r="H20826" i="9" s="1"/>
  <c r="F20827" i="9"/>
  <c r="H20827" i="9" s="1"/>
  <c r="F20828" i="9"/>
  <c r="H20828" i="9" s="1"/>
  <c r="F20829" i="9"/>
  <c r="H20829" i="9" s="1"/>
  <c r="F20830" i="9"/>
  <c r="H20830" i="9" s="1"/>
  <c r="F20831" i="9"/>
  <c r="H20831" i="9" s="1"/>
  <c r="F20832" i="9"/>
  <c r="H20832" i="9" s="1"/>
  <c r="F20833" i="9"/>
  <c r="H20833" i="9" s="1"/>
  <c r="F20834" i="9"/>
  <c r="H20834" i="9" s="1"/>
  <c r="F20835" i="9"/>
  <c r="H20835" i="9" s="1"/>
  <c r="F20836" i="9"/>
  <c r="H20836" i="9" s="1"/>
  <c r="F20837" i="9"/>
  <c r="H20837" i="9" s="1"/>
  <c r="F20838" i="9"/>
  <c r="H20838" i="9" s="1"/>
  <c r="F20839" i="9"/>
  <c r="H20839" i="9" s="1"/>
  <c r="F20840" i="9"/>
  <c r="H20840" i="9" s="1"/>
  <c r="F20841" i="9"/>
  <c r="H20841" i="9" s="1"/>
  <c r="F20842" i="9"/>
  <c r="H20842" i="9" s="1"/>
  <c r="F20843" i="9"/>
  <c r="H20843" i="9" s="1"/>
  <c r="F20844" i="9"/>
  <c r="H20844" i="9" s="1"/>
  <c r="F20845" i="9"/>
  <c r="H20845" i="9" s="1"/>
  <c r="F20846" i="9"/>
  <c r="H20846" i="9" s="1"/>
  <c r="F20847" i="9"/>
  <c r="H20847" i="9" s="1"/>
  <c r="F20848" i="9"/>
  <c r="H20848" i="9" s="1"/>
  <c r="F20849" i="9"/>
  <c r="H20849" i="9" s="1"/>
  <c r="F20850" i="9"/>
  <c r="H20850" i="9" s="1"/>
  <c r="F20851" i="9"/>
  <c r="H20851" i="9" s="1"/>
  <c r="F20852" i="9"/>
  <c r="H20852" i="9" s="1"/>
  <c r="F20853" i="9"/>
  <c r="H20853" i="9" s="1"/>
  <c r="F20854" i="9"/>
  <c r="H20854" i="9" s="1"/>
  <c r="F20855" i="9"/>
  <c r="H20855" i="9" s="1"/>
  <c r="F20856" i="9"/>
  <c r="H20856" i="9" s="1"/>
  <c r="F20857" i="9"/>
  <c r="H20857" i="9" s="1"/>
  <c r="F20858" i="9"/>
  <c r="H20858" i="9" s="1"/>
  <c r="F20859" i="9"/>
  <c r="H20859" i="9" s="1"/>
  <c r="F20860" i="9"/>
  <c r="H20860" i="9" s="1"/>
  <c r="F20861" i="9"/>
  <c r="H20861" i="9" s="1"/>
  <c r="F20862" i="9"/>
  <c r="H20862" i="9" s="1"/>
  <c r="F20863" i="9"/>
  <c r="H20863" i="9" s="1"/>
  <c r="F20864" i="9"/>
  <c r="H20864" i="9" s="1"/>
  <c r="F20865" i="9"/>
  <c r="H20865" i="9" s="1"/>
  <c r="F20866" i="9"/>
  <c r="H20866" i="9"/>
  <c r="F20867" i="9"/>
  <c r="H20867" i="9" s="1"/>
  <c r="F20868" i="9"/>
  <c r="H20868" i="9" s="1"/>
  <c r="F20869" i="9"/>
  <c r="H20869" i="9" s="1"/>
  <c r="F20870" i="9"/>
  <c r="H20870" i="9" s="1"/>
  <c r="F20871" i="9"/>
  <c r="H20871" i="9" s="1"/>
  <c r="F20872" i="9"/>
  <c r="H20872" i="9" s="1"/>
  <c r="F20873" i="9"/>
  <c r="H20873" i="9" s="1"/>
  <c r="F20874" i="9"/>
  <c r="H20874" i="9" s="1"/>
  <c r="F20875" i="9"/>
  <c r="H20875" i="9" s="1"/>
  <c r="F20876" i="9"/>
  <c r="H20876" i="9" s="1"/>
  <c r="F20877" i="9"/>
  <c r="H20877" i="9" s="1"/>
  <c r="F20878" i="9"/>
  <c r="H20878" i="9" s="1"/>
  <c r="F20879" i="9"/>
  <c r="H20879" i="9" s="1"/>
  <c r="F20880" i="9"/>
  <c r="H20880" i="9" s="1"/>
  <c r="F20881" i="9"/>
  <c r="H20881" i="9" s="1"/>
  <c r="F20882" i="9"/>
  <c r="H20882" i="9" s="1"/>
  <c r="F20883" i="9"/>
  <c r="H20883" i="9" s="1"/>
  <c r="F20884" i="9"/>
  <c r="H20884" i="9" s="1"/>
  <c r="F20885" i="9"/>
  <c r="H20885" i="9" s="1"/>
  <c r="F20886" i="9"/>
  <c r="H20886" i="9"/>
  <c r="F20887" i="9"/>
  <c r="H20887" i="9" s="1"/>
  <c r="F20888" i="9"/>
  <c r="H20888" i="9" s="1"/>
  <c r="F20889" i="9"/>
  <c r="H20889" i="9" s="1"/>
  <c r="F20890" i="9"/>
  <c r="H20890" i="9" s="1"/>
  <c r="F20891" i="9"/>
  <c r="H20891" i="9" s="1"/>
  <c r="F20892" i="9"/>
  <c r="H20892" i="9" s="1"/>
  <c r="F20893" i="9"/>
  <c r="H20893" i="9" s="1"/>
  <c r="F20894" i="9"/>
  <c r="H20894" i="9" s="1"/>
  <c r="F20895" i="9"/>
  <c r="H20895" i="9" s="1"/>
  <c r="F20896" i="9"/>
  <c r="H20896" i="9" s="1"/>
  <c r="F20897" i="9"/>
  <c r="H20897" i="9" s="1"/>
  <c r="F20898" i="9"/>
  <c r="H20898" i="9" s="1"/>
  <c r="F20899" i="9"/>
  <c r="H20899" i="9" s="1"/>
  <c r="F20900" i="9"/>
  <c r="H20900" i="9" s="1"/>
  <c r="F20901" i="9"/>
  <c r="H20901" i="9" s="1"/>
  <c r="F20902" i="9"/>
  <c r="H20902" i="9" s="1"/>
  <c r="F20903" i="9"/>
  <c r="H20903" i="9" s="1"/>
  <c r="F20904" i="9"/>
  <c r="H20904" i="9" s="1"/>
  <c r="F20905" i="9"/>
  <c r="H20905" i="9" s="1"/>
  <c r="F20906" i="9"/>
  <c r="H20906" i="9" s="1"/>
  <c r="F20907" i="9"/>
  <c r="H20907" i="9" s="1"/>
  <c r="F20908" i="9"/>
  <c r="H20908" i="9" s="1"/>
  <c r="F20909" i="9"/>
  <c r="H20909" i="9" s="1"/>
  <c r="F20910" i="9"/>
  <c r="H20910" i="9" s="1"/>
  <c r="F20911" i="9"/>
  <c r="H20911" i="9" s="1"/>
  <c r="F20912" i="9"/>
  <c r="H20912" i="9" s="1"/>
  <c r="F20913" i="9"/>
  <c r="H20913" i="9" s="1"/>
  <c r="F20914" i="9"/>
  <c r="H20914" i="9" s="1"/>
  <c r="F20915" i="9"/>
  <c r="H20915" i="9" s="1"/>
  <c r="F20916" i="9"/>
  <c r="H20916" i="9"/>
  <c r="F20917" i="9"/>
  <c r="H20917" i="9" s="1"/>
  <c r="F20918" i="9"/>
  <c r="H20918" i="9" s="1"/>
  <c r="F20919" i="9"/>
  <c r="H20919" i="9" s="1"/>
  <c r="F20920" i="9"/>
  <c r="H20920" i="9" s="1"/>
  <c r="F20921" i="9"/>
  <c r="H20921" i="9" s="1"/>
  <c r="F20922" i="9"/>
  <c r="H20922" i="9"/>
  <c r="F20923" i="9"/>
  <c r="H20923" i="9" s="1"/>
  <c r="F20924" i="9"/>
  <c r="H20924" i="9" s="1"/>
  <c r="F20925" i="9"/>
  <c r="H20925" i="9" s="1"/>
  <c r="F20926" i="9"/>
  <c r="H20926" i="9" s="1"/>
  <c r="F20927" i="9"/>
  <c r="H20927" i="9" s="1"/>
  <c r="F20928" i="9"/>
  <c r="H20928" i="9" s="1"/>
  <c r="F20929" i="9"/>
  <c r="H20929" i="9" s="1"/>
  <c r="F20930" i="9"/>
  <c r="H20930" i="9" s="1"/>
  <c r="F20931" i="9"/>
  <c r="H20931" i="9" s="1"/>
  <c r="F20932" i="9"/>
  <c r="H20932" i="9" s="1"/>
  <c r="F20933" i="9"/>
  <c r="H20933" i="9" s="1"/>
  <c r="F20934" i="9"/>
  <c r="H20934" i="9" s="1"/>
  <c r="F20935" i="9"/>
  <c r="H20935" i="9" s="1"/>
  <c r="F20936" i="9"/>
  <c r="H20936" i="9" s="1"/>
  <c r="F20937" i="9"/>
  <c r="H20937" i="9" s="1"/>
  <c r="F20938" i="9"/>
  <c r="H20938" i="9" s="1"/>
  <c r="F20939" i="9"/>
  <c r="H20939" i="9" s="1"/>
  <c r="F20940" i="9"/>
  <c r="H20940" i="9" s="1"/>
  <c r="F20941" i="9"/>
  <c r="H20941" i="9" s="1"/>
  <c r="F20942" i="9"/>
  <c r="H20942" i="9" s="1"/>
  <c r="F20943" i="9"/>
  <c r="H20943" i="9" s="1"/>
  <c r="F20944" i="9"/>
  <c r="H20944" i="9" s="1"/>
  <c r="F20945" i="9"/>
  <c r="H20945" i="9" s="1"/>
  <c r="F20946" i="9"/>
  <c r="H20946" i="9" s="1"/>
  <c r="F20947" i="9"/>
  <c r="H20947" i="9" s="1"/>
  <c r="F20948" i="9"/>
  <c r="H20948" i="9" s="1"/>
  <c r="F20949" i="9"/>
  <c r="H20949" i="9" s="1"/>
  <c r="F20950" i="9"/>
  <c r="H20950" i="9" s="1"/>
  <c r="F20951" i="9"/>
  <c r="H20951" i="9" s="1"/>
  <c r="F20952" i="9"/>
  <c r="H20952" i="9" s="1"/>
  <c r="F20953" i="9"/>
  <c r="H20953" i="9" s="1"/>
  <c r="F20954" i="9"/>
  <c r="H20954" i="9" s="1"/>
  <c r="F20955" i="9"/>
  <c r="H20955" i="9" s="1"/>
  <c r="F20956" i="9"/>
  <c r="H20956" i="9" s="1"/>
  <c r="F20957" i="9"/>
  <c r="H20957" i="9" s="1"/>
  <c r="F20958" i="9"/>
  <c r="H20958" i="9" s="1"/>
  <c r="F20959" i="9"/>
  <c r="H20959" i="9" s="1"/>
  <c r="F20960" i="9"/>
  <c r="H20960" i="9" s="1"/>
  <c r="F20961" i="9"/>
  <c r="H20961" i="9" s="1"/>
  <c r="F20962" i="9"/>
  <c r="H20962" i="9" s="1"/>
  <c r="F20963" i="9"/>
  <c r="H20963" i="9" s="1"/>
  <c r="F20964" i="9"/>
  <c r="H20964" i="9" s="1"/>
  <c r="F20965" i="9"/>
  <c r="H20965" i="9" s="1"/>
  <c r="F20966" i="9"/>
  <c r="H20966" i="9" s="1"/>
  <c r="F20967" i="9"/>
  <c r="H20967" i="9" s="1"/>
  <c r="F20968" i="9"/>
  <c r="H20968" i="9" s="1"/>
  <c r="F20969" i="9"/>
  <c r="H20969" i="9" s="1"/>
  <c r="F20970" i="9"/>
  <c r="H20970" i="9" s="1"/>
  <c r="F20971" i="9"/>
  <c r="H20971" i="9" s="1"/>
  <c r="F20972" i="9"/>
  <c r="H20972" i="9" s="1"/>
  <c r="F20973" i="9"/>
  <c r="H20973" i="9" s="1"/>
  <c r="F20974" i="9"/>
  <c r="H20974" i="9"/>
  <c r="F20975" i="9"/>
  <c r="H20975" i="9" s="1"/>
  <c r="F20976" i="9"/>
  <c r="H20976" i="9" s="1"/>
  <c r="F20977" i="9"/>
  <c r="H20977" i="9" s="1"/>
  <c r="F20978" i="9"/>
  <c r="H20978" i="9" s="1"/>
  <c r="F20979" i="9"/>
  <c r="H20979" i="9" s="1"/>
  <c r="F20980" i="9"/>
  <c r="H20980" i="9" s="1"/>
  <c r="F20981" i="9"/>
  <c r="H20981" i="9" s="1"/>
  <c r="F20982" i="9"/>
  <c r="H20982" i="9" s="1"/>
  <c r="F20983" i="9"/>
  <c r="H20983" i="9" s="1"/>
  <c r="F20984" i="9"/>
  <c r="H20984" i="9" s="1"/>
  <c r="F20985" i="9"/>
  <c r="H20985" i="9" s="1"/>
  <c r="F20986" i="9"/>
  <c r="H20986" i="9" s="1"/>
  <c r="F20987" i="9"/>
  <c r="H20987" i="9" s="1"/>
  <c r="F20988" i="9"/>
  <c r="H20988" i="9"/>
  <c r="F20989" i="9"/>
  <c r="H20989" i="9" s="1"/>
  <c r="F20990" i="9"/>
  <c r="H20990" i="9" s="1"/>
  <c r="F20991" i="9"/>
  <c r="H20991" i="9" s="1"/>
  <c r="F20992" i="9"/>
  <c r="H20992" i="9" s="1"/>
  <c r="F20993" i="9"/>
  <c r="H20993" i="9" s="1"/>
  <c r="F20994" i="9"/>
  <c r="H20994" i="9" s="1"/>
  <c r="F20995" i="9"/>
  <c r="H20995" i="9" s="1"/>
  <c r="F20996" i="9"/>
  <c r="H20996" i="9" s="1"/>
  <c r="F20997" i="9"/>
  <c r="H20997" i="9" s="1"/>
  <c r="F20998" i="9"/>
  <c r="H20998" i="9" s="1"/>
  <c r="F20999" i="9"/>
  <c r="H20999" i="9" s="1"/>
  <c r="F21000" i="9"/>
  <c r="H21000" i="9" s="1"/>
  <c r="F21001" i="9"/>
  <c r="H21001" i="9" s="1"/>
  <c r="F21002" i="9"/>
  <c r="H21002" i="9" s="1"/>
  <c r="F21003" i="9"/>
  <c r="H21003" i="9" s="1"/>
  <c r="F21004" i="9"/>
  <c r="H21004" i="9" s="1"/>
  <c r="F21005" i="9"/>
  <c r="H21005" i="9" s="1"/>
  <c r="F21006" i="9"/>
  <c r="H21006" i="9" s="1"/>
  <c r="F21007" i="9"/>
  <c r="H21007" i="9" s="1"/>
  <c r="F21008" i="9"/>
  <c r="H21008" i="9" s="1"/>
  <c r="F21009" i="9"/>
  <c r="H21009" i="9" s="1"/>
  <c r="F21010" i="9"/>
  <c r="H21010" i="9" s="1"/>
  <c r="F21011" i="9"/>
  <c r="H21011" i="9" s="1"/>
  <c r="F21012" i="9"/>
  <c r="H21012" i="9" s="1"/>
  <c r="F21013" i="9"/>
  <c r="H21013" i="9" s="1"/>
  <c r="F21014" i="9"/>
  <c r="H21014" i="9" s="1"/>
  <c r="F21015" i="9"/>
  <c r="H21015" i="9" s="1"/>
  <c r="F21016" i="9"/>
  <c r="H21016" i="9" s="1"/>
  <c r="F21017" i="9"/>
  <c r="H21017" i="9" s="1"/>
  <c r="F21018" i="9"/>
  <c r="H21018" i="9" s="1"/>
  <c r="F21019" i="9"/>
  <c r="H21019" i="9" s="1"/>
  <c r="F21020" i="9"/>
  <c r="H21020" i="9" s="1"/>
  <c r="F21021" i="9"/>
  <c r="H21021" i="9" s="1"/>
  <c r="F21022" i="9"/>
  <c r="H21022" i="9" s="1"/>
  <c r="F21023" i="9"/>
  <c r="H21023" i="9" s="1"/>
  <c r="F21024" i="9"/>
  <c r="H21024" i="9" s="1"/>
  <c r="F21025" i="9"/>
  <c r="H21025" i="9" s="1"/>
  <c r="F21026" i="9"/>
  <c r="H21026" i="9" s="1"/>
  <c r="F21027" i="9"/>
  <c r="H21027" i="9" s="1"/>
  <c r="F21028" i="9"/>
  <c r="H21028" i="9" s="1"/>
  <c r="F21029" i="9"/>
  <c r="H21029" i="9" s="1"/>
  <c r="F21030" i="9"/>
  <c r="H21030" i="9" s="1"/>
  <c r="F21031" i="9"/>
  <c r="H21031" i="9" s="1"/>
  <c r="F21032" i="9"/>
  <c r="H21032" i="9" s="1"/>
  <c r="F21033" i="9"/>
  <c r="H21033" i="9" s="1"/>
  <c r="F21034" i="9"/>
  <c r="H21034" i="9" s="1"/>
  <c r="F21035" i="9"/>
  <c r="H21035" i="9" s="1"/>
  <c r="F21036" i="9"/>
  <c r="H21036" i="9" s="1"/>
  <c r="F21037" i="9"/>
  <c r="H21037" i="9" s="1"/>
  <c r="F21038" i="9"/>
  <c r="H21038" i="9" s="1"/>
  <c r="F21039" i="9"/>
  <c r="H21039" i="9"/>
  <c r="F21040" i="9"/>
  <c r="H21040" i="9" s="1"/>
  <c r="F21041" i="9"/>
  <c r="H21041" i="9" s="1"/>
  <c r="F21042" i="9"/>
  <c r="H21042" i="9" s="1"/>
  <c r="F21043" i="9"/>
  <c r="H21043" i="9" s="1"/>
  <c r="F21044" i="9"/>
  <c r="H21044" i="9" s="1"/>
  <c r="F21045" i="9"/>
  <c r="H21045" i="9" s="1"/>
  <c r="F21046" i="9"/>
  <c r="H21046" i="9" s="1"/>
  <c r="F21047" i="9"/>
  <c r="H21047" i="9" s="1"/>
  <c r="F21048" i="9"/>
  <c r="H21048" i="9" s="1"/>
  <c r="F21049" i="9"/>
  <c r="H21049" i="9" s="1"/>
  <c r="F21050" i="9"/>
  <c r="H21050" i="9" s="1"/>
  <c r="F21051" i="9"/>
  <c r="H21051" i="9" s="1"/>
  <c r="F21052" i="9"/>
  <c r="H21052" i="9" s="1"/>
  <c r="F21053" i="9"/>
  <c r="H21053" i="9" s="1"/>
  <c r="F21054" i="9"/>
  <c r="H21054" i="9" s="1"/>
  <c r="F21055" i="9"/>
  <c r="H21055" i="9" s="1"/>
  <c r="F21056" i="9"/>
  <c r="H21056" i="9" s="1"/>
  <c r="F21057" i="9"/>
  <c r="H21057" i="9" s="1"/>
  <c r="F21058" i="9"/>
  <c r="H21058" i="9" s="1"/>
  <c r="F21059" i="9"/>
  <c r="H21059" i="9" s="1"/>
  <c r="F21060" i="9"/>
  <c r="H21060" i="9" s="1"/>
  <c r="F21061" i="9"/>
  <c r="H21061" i="9" s="1"/>
  <c r="F21062" i="9"/>
  <c r="H21062" i="9" s="1"/>
  <c r="F21063" i="9"/>
  <c r="H21063" i="9"/>
  <c r="F21064" i="9"/>
  <c r="H21064" i="9" s="1"/>
  <c r="F21065" i="9"/>
  <c r="H21065" i="9" s="1"/>
  <c r="F21066" i="9"/>
  <c r="H21066" i="9" s="1"/>
  <c r="F21067" i="9"/>
  <c r="H21067" i="9" s="1"/>
  <c r="F21068" i="9"/>
  <c r="H21068" i="9" s="1"/>
  <c r="F21069" i="9"/>
  <c r="H21069" i="9" s="1"/>
  <c r="F21070" i="9"/>
  <c r="H21070" i="9" s="1"/>
  <c r="F21071" i="9"/>
  <c r="H21071" i="9" s="1"/>
  <c r="F21072" i="9"/>
  <c r="H21072" i="9" s="1"/>
  <c r="F21073" i="9"/>
  <c r="H21073" i="9" s="1"/>
  <c r="F21074" i="9"/>
  <c r="H21074" i="9" s="1"/>
  <c r="F21075" i="9"/>
  <c r="H21075" i="9" s="1"/>
  <c r="F21076" i="9"/>
  <c r="H21076" i="9" s="1"/>
  <c r="F21077" i="9"/>
  <c r="H21077" i="9" s="1"/>
  <c r="F21078" i="9"/>
  <c r="H21078" i="9" s="1"/>
  <c r="F21079" i="9"/>
  <c r="H21079" i="9" s="1"/>
  <c r="F21080" i="9"/>
  <c r="H21080" i="9" s="1"/>
  <c r="F21081" i="9"/>
  <c r="H21081" i="9" s="1"/>
  <c r="F21082" i="9"/>
  <c r="H21082" i="9" s="1"/>
  <c r="F21083" i="9"/>
  <c r="H21083" i="9" s="1"/>
  <c r="F21084" i="9"/>
  <c r="H21084" i="9" s="1"/>
  <c r="F21085" i="9"/>
  <c r="H21085" i="9" s="1"/>
  <c r="F21086" i="9"/>
  <c r="H21086" i="9" s="1"/>
  <c r="F21087" i="9"/>
  <c r="H21087" i="9" s="1"/>
  <c r="F21088" i="9"/>
  <c r="H21088" i="9" s="1"/>
  <c r="F21089" i="9"/>
  <c r="H21089" i="9" s="1"/>
  <c r="F21090" i="9"/>
  <c r="H21090" i="9" s="1"/>
  <c r="F21091" i="9"/>
  <c r="H21091" i="9" s="1"/>
  <c r="F21092" i="9"/>
  <c r="H21092" i="9" s="1"/>
  <c r="F21093" i="9"/>
  <c r="H21093" i="9" s="1"/>
  <c r="F21094" i="9"/>
  <c r="H21094" i="9" s="1"/>
  <c r="F21095" i="9"/>
  <c r="H21095" i="9" s="1"/>
  <c r="F21096" i="9"/>
  <c r="H21096" i="9" s="1"/>
  <c r="F21097" i="9"/>
  <c r="H21097" i="9" s="1"/>
  <c r="F21098" i="9"/>
  <c r="H21098" i="9" s="1"/>
  <c r="F21099" i="9"/>
  <c r="H21099" i="9" s="1"/>
  <c r="F21100" i="9"/>
  <c r="H21100" i="9" s="1"/>
  <c r="F21101" i="9"/>
  <c r="H21101" i="9" s="1"/>
  <c r="F21102" i="9"/>
  <c r="H21102" i="9" s="1"/>
  <c r="F21103" i="9"/>
  <c r="H21103" i="9" s="1"/>
  <c r="F21104" i="9"/>
  <c r="H21104" i="9" s="1"/>
  <c r="F21105" i="9"/>
  <c r="H21105" i="9" s="1"/>
  <c r="F21106" i="9"/>
  <c r="H21106" i="9" s="1"/>
  <c r="F21107" i="9"/>
  <c r="H21107" i="9" s="1"/>
  <c r="F21108" i="9"/>
  <c r="H21108" i="9" s="1"/>
  <c r="F21109" i="9"/>
  <c r="H21109" i="9" s="1"/>
  <c r="F21110" i="9"/>
  <c r="H21110" i="9" s="1"/>
  <c r="F21111" i="9"/>
  <c r="H21111" i="9" s="1"/>
  <c r="F21112" i="9"/>
  <c r="H21112" i="9" s="1"/>
  <c r="F21113" i="9"/>
  <c r="H21113" i="9"/>
  <c r="F21114" i="9"/>
  <c r="H21114" i="9" s="1"/>
  <c r="F21115" i="9"/>
  <c r="H21115" i="9" s="1"/>
  <c r="F21116" i="9"/>
  <c r="H21116" i="9" s="1"/>
  <c r="F21117" i="9"/>
  <c r="H21117" i="9" s="1"/>
  <c r="F21118" i="9"/>
  <c r="H21118" i="9" s="1"/>
  <c r="F21119" i="9"/>
  <c r="H21119" i="9" s="1"/>
  <c r="F21120" i="9"/>
  <c r="H21120" i="9" s="1"/>
  <c r="F21121" i="9"/>
  <c r="H21121" i="9" s="1"/>
  <c r="F21122" i="9"/>
  <c r="H21122" i="9" s="1"/>
  <c r="F21123" i="9"/>
  <c r="H21123" i="9" s="1"/>
  <c r="F21124" i="9"/>
  <c r="H21124" i="9" s="1"/>
  <c r="F21125" i="9"/>
  <c r="H21125" i="9" s="1"/>
  <c r="F21126" i="9"/>
  <c r="H21126" i="9" s="1"/>
  <c r="F21127" i="9"/>
  <c r="H21127" i="9" s="1"/>
  <c r="F21128" i="9"/>
  <c r="H21128" i="9" s="1"/>
  <c r="F21129" i="9"/>
  <c r="H21129" i="9" s="1"/>
  <c r="F21130" i="9"/>
  <c r="H21130" i="9" s="1"/>
  <c r="F21131" i="9"/>
  <c r="H21131" i="9" s="1"/>
  <c r="F21132" i="9"/>
  <c r="H21132" i="9" s="1"/>
  <c r="F21133" i="9"/>
  <c r="H21133" i="9" s="1"/>
  <c r="F21134" i="9"/>
  <c r="H21134" i="9" s="1"/>
  <c r="F21135" i="9"/>
  <c r="H21135" i="9" s="1"/>
  <c r="F21136" i="9"/>
  <c r="H21136" i="9" s="1"/>
  <c r="F21137" i="9"/>
  <c r="H21137" i="9" s="1"/>
  <c r="F21138" i="9"/>
  <c r="H21138" i="9" s="1"/>
  <c r="F21139" i="9"/>
  <c r="H21139" i="9" s="1"/>
  <c r="F21140" i="9"/>
  <c r="H21140" i="9" s="1"/>
  <c r="F21141" i="9"/>
  <c r="H21141" i="9" s="1"/>
  <c r="F21142" i="9"/>
  <c r="H21142" i="9" s="1"/>
  <c r="F21143" i="9"/>
  <c r="H21143" i="9" s="1"/>
  <c r="F21144" i="9"/>
  <c r="H21144" i="9" s="1"/>
  <c r="F21145" i="9"/>
  <c r="H21145" i="9" s="1"/>
  <c r="F21146" i="9"/>
  <c r="H21146" i="9" s="1"/>
  <c r="F21147" i="9"/>
  <c r="H21147" i="9" s="1"/>
  <c r="F21148" i="9"/>
  <c r="H21148" i="9" s="1"/>
  <c r="F21149" i="9"/>
  <c r="H21149" i="9" s="1"/>
  <c r="F21150" i="9"/>
  <c r="H21150" i="9" s="1"/>
  <c r="F21151" i="9"/>
  <c r="H21151" i="9" s="1"/>
  <c r="F21152" i="9"/>
  <c r="H21152" i="9" s="1"/>
  <c r="F21153" i="9"/>
  <c r="H21153" i="9" s="1"/>
  <c r="F21154" i="9"/>
  <c r="H21154" i="9" s="1"/>
  <c r="F21155" i="9"/>
  <c r="H21155" i="9" s="1"/>
  <c r="F21156" i="9"/>
  <c r="H21156" i="9" s="1"/>
  <c r="F21157" i="9"/>
  <c r="H21157" i="9" s="1"/>
  <c r="F21158" i="9"/>
  <c r="H21158" i="9" s="1"/>
  <c r="F21159" i="9"/>
  <c r="H21159" i="9" s="1"/>
  <c r="F21160" i="9"/>
  <c r="H21160" i="9" s="1"/>
  <c r="F21161" i="9"/>
  <c r="H21161" i="9" s="1"/>
  <c r="F21162" i="9"/>
  <c r="H21162" i="9" s="1"/>
  <c r="F21163" i="9"/>
  <c r="H21163" i="9" s="1"/>
  <c r="F21164" i="9"/>
  <c r="H21164" i="9" s="1"/>
  <c r="F21165" i="9"/>
  <c r="H21165" i="9" s="1"/>
  <c r="F21166" i="9"/>
  <c r="H21166" i="9" s="1"/>
  <c r="F21167" i="9"/>
  <c r="H21167" i="9" s="1"/>
  <c r="F21168" i="9"/>
  <c r="H21168" i="9" s="1"/>
  <c r="F21169" i="9"/>
  <c r="H21169" i="9" s="1"/>
  <c r="F21170" i="9"/>
  <c r="H21170" i="9" s="1"/>
  <c r="F21171" i="9"/>
  <c r="H21171" i="9" s="1"/>
  <c r="F21172" i="9"/>
  <c r="H21172" i="9" s="1"/>
  <c r="F21173" i="9"/>
  <c r="H21173" i="9" s="1"/>
  <c r="F21174" i="9"/>
  <c r="H21174" i="9" s="1"/>
  <c r="F21175" i="9"/>
  <c r="H21175" i="9" s="1"/>
  <c r="F21176" i="9"/>
  <c r="H21176" i="9" s="1"/>
  <c r="F21177" i="9"/>
  <c r="H21177" i="9" s="1"/>
  <c r="F21178" i="9"/>
  <c r="H21178" i="9" s="1"/>
  <c r="F21179" i="9"/>
  <c r="H21179" i="9" s="1"/>
  <c r="F21180" i="9"/>
  <c r="H21180" i="9" s="1"/>
  <c r="F21181" i="9"/>
  <c r="H21181" i="9" s="1"/>
  <c r="F21182" i="9"/>
  <c r="H21182" i="9" s="1"/>
  <c r="F21183" i="9"/>
  <c r="H21183" i="9" s="1"/>
  <c r="F21184" i="9"/>
  <c r="H21184" i="9" s="1"/>
  <c r="F21185" i="9"/>
  <c r="H21185" i="9" s="1"/>
  <c r="F21186" i="9"/>
  <c r="H21186" i="9" s="1"/>
  <c r="F21187" i="9"/>
  <c r="H21187" i="9" s="1"/>
  <c r="F21188" i="9"/>
  <c r="H21188" i="9" s="1"/>
  <c r="F21189" i="9"/>
  <c r="H21189" i="9" s="1"/>
  <c r="F21190" i="9"/>
  <c r="H21190" i="9" s="1"/>
  <c r="F21191" i="9"/>
  <c r="H21191" i="9" s="1"/>
  <c r="F21192" i="9"/>
  <c r="H21192" i="9" s="1"/>
  <c r="F21193" i="9"/>
  <c r="H21193" i="9" s="1"/>
  <c r="F21194" i="9"/>
  <c r="H21194" i="9" s="1"/>
  <c r="F21195" i="9"/>
  <c r="H21195" i="9" s="1"/>
  <c r="F21196" i="9"/>
  <c r="H21196" i="9" s="1"/>
  <c r="F21197" i="9"/>
  <c r="H21197" i="9" s="1"/>
  <c r="F21198" i="9"/>
  <c r="H21198" i="9" s="1"/>
  <c r="F21199" i="9"/>
  <c r="H21199" i="9" s="1"/>
  <c r="F21200" i="9"/>
  <c r="H21200" i="9" s="1"/>
  <c r="F21201" i="9"/>
  <c r="H21201" i="9" s="1"/>
  <c r="F21202" i="9"/>
  <c r="H21202" i="9" s="1"/>
  <c r="F21203" i="9"/>
  <c r="H21203" i="9" s="1"/>
  <c r="F21204" i="9"/>
  <c r="H21204" i="9"/>
  <c r="F21205" i="9"/>
  <c r="H21205" i="9" s="1"/>
  <c r="F21206" i="9"/>
  <c r="H21206" i="9" s="1"/>
  <c r="F21207" i="9"/>
  <c r="H21207" i="9" s="1"/>
  <c r="F21208" i="9"/>
  <c r="H21208" i="9" s="1"/>
  <c r="F21209" i="9"/>
  <c r="H21209" i="9" s="1"/>
  <c r="F21210" i="9"/>
  <c r="H21210" i="9" s="1"/>
  <c r="F21211" i="9"/>
  <c r="H21211" i="9" s="1"/>
  <c r="F21212" i="9"/>
  <c r="H21212" i="9" s="1"/>
  <c r="F21213" i="9"/>
  <c r="H21213" i="9" s="1"/>
  <c r="F21214" i="9"/>
  <c r="H21214" i="9" s="1"/>
  <c r="F21215" i="9"/>
  <c r="H21215" i="9" s="1"/>
  <c r="F21216" i="9"/>
  <c r="H21216" i="9" s="1"/>
  <c r="F21217" i="9"/>
  <c r="H21217" i="9" s="1"/>
  <c r="F21218" i="9"/>
  <c r="H21218" i="9" s="1"/>
  <c r="F21219" i="9"/>
  <c r="H21219" i="9" s="1"/>
  <c r="F21220" i="9"/>
  <c r="H21220" i="9" s="1"/>
  <c r="F21221" i="9"/>
  <c r="H21221" i="9" s="1"/>
  <c r="F21222" i="9"/>
  <c r="H21222" i="9" s="1"/>
  <c r="F21223" i="9"/>
  <c r="H21223" i="9" s="1"/>
  <c r="F21224" i="9"/>
  <c r="H21224" i="9" s="1"/>
  <c r="F21225" i="9"/>
  <c r="H21225" i="9" s="1"/>
  <c r="F21226" i="9"/>
  <c r="H21226" i="9" s="1"/>
  <c r="F21227" i="9"/>
  <c r="H21227" i="9"/>
  <c r="F21228" i="9"/>
  <c r="H21228" i="9" s="1"/>
  <c r="F21229" i="9"/>
  <c r="H21229" i="9" s="1"/>
  <c r="F21230" i="9"/>
  <c r="H21230" i="9" s="1"/>
  <c r="F21231" i="9"/>
  <c r="H21231" i="9" s="1"/>
  <c r="F21232" i="9"/>
  <c r="H21232" i="9" s="1"/>
  <c r="F21233" i="9"/>
  <c r="H21233" i="9" s="1"/>
  <c r="F21234" i="9"/>
  <c r="H21234" i="9" s="1"/>
  <c r="F21235" i="9"/>
  <c r="H21235" i="9" s="1"/>
  <c r="F21236" i="9"/>
  <c r="H21236" i="9" s="1"/>
  <c r="F21237" i="9"/>
  <c r="H21237" i="9" s="1"/>
  <c r="F21238" i="9"/>
  <c r="H21238" i="9" s="1"/>
  <c r="F21239" i="9"/>
  <c r="H21239" i="9" s="1"/>
  <c r="F21240" i="9"/>
  <c r="H21240" i="9" s="1"/>
  <c r="F21241" i="9"/>
  <c r="H21241" i="9" s="1"/>
  <c r="F21242" i="9"/>
  <c r="H21242" i="9" s="1"/>
  <c r="F21243" i="9"/>
  <c r="H21243" i="9" s="1"/>
  <c r="F21244" i="9"/>
  <c r="H21244" i="9" s="1"/>
  <c r="F21245" i="9"/>
  <c r="H21245" i="9" s="1"/>
  <c r="F21246" i="9"/>
  <c r="H21246" i="9" s="1"/>
  <c r="F21247" i="9"/>
  <c r="H21247" i="9" s="1"/>
  <c r="F21248" i="9"/>
  <c r="H21248" i="9" s="1"/>
  <c r="F21249" i="9"/>
  <c r="H21249" i="9" s="1"/>
  <c r="F21250" i="9"/>
  <c r="H21250" i="9" s="1"/>
  <c r="F21251" i="9"/>
  <c r="H21251" i="9" s="1"/>
  <c r="F21252" i="9"/>
  <c r="H21252" i="9" s="1"/>
  <c r="F21253" i="9"/>
  <c r="H21253" i="9" s="1"/>
  <c r="F21254" i="9"/>
  <c r="H21254" i="9" s="1"/>
  <c r="F21255" i="9"/>
  <c r="H21255" i="9" s="1"/>
  <c r="F21256" i="9"/>
  <c r="H21256" i="9" s="1"/>
  <c r="F21257" i="9"/>
  <c r="H21257" i="9" s="1"/>
  <c r="F21258" i="9"/>
  <c r="H21258" i="9"/>
  <c r="F21259" i="9"/>
  <c r="H21259" i="9" s="1"/>
  <c r="F21260" i="9"/>
  <c r="H21260" i="9" s="1"/>
  <c r="F21261" i="9"/>
  <c r="H21261" i="9" s="1"/>
  <c r="F21262" i="9"/>
  <c r="H21262" i="9" s="1"/>
  <c r="F21263" i="9"/>
  <c r="H21263" i="9" s="1"/>
  <c r="F21264" i="9"/>
  <c r="H21264" i="9" s="1"/>
  <c r="F21265" i="9"/>
  <c r="H21265" i="9" s="1"/>
  <c r="F21266" i="9"/>
  <c r="H21266" i="9" s="1"/>
  <c r="F21267" i="9"/>
  <c r="H21267" i="9" s="1"/>
  <c r="F21268" i="9"/>
  <c r="H21268" i="9" s="1"/>
  <c r="F21269" i="9"/>
  <c r="H21269" i="9" s="1"/>
  <c r="F21270" i="9"/>
  <c r="H21270" i="9" s="1"/>
  <c r="F21271" i="9"/>
  <c r="H21271" i="9" s="1"/>
  <c r="F21272" i="9"/>
  <c r="H21272" i="9" s="1"/>
  <c r="F21273" i="9"/>
  <c r="H21273" i="9" s="1"/>
  <c r="F21274" i="9"/>
  <c r="H21274" i="9" s="1"/>
  <c r="F21275" i="9"/>
  <c r="H21275" i="9" s="1"/>
  <c r="F21276" i="9"/>
  <c r="H21276" i="9" s="1"/>
  <c r="F21277" i="9"/>
  <c r="H21277" i="9"/>
  <c r="F21278" i="9"/>
  <c r="H21278" i="9" s="1"/>
  <c r="F21279" i="9"/>
  <c r="H21279" i="9" s="1"/>
  <c r="F21280" i="9"/>
  <c r="H21280" i="9" s="1"/>
  <c r="F21281" i="9"/>
  <c r="H21281" i="9" s="1"/>
  <c r="F21282" i="9"/>
  <c r="H21282" i="9" s="1"/>
  <c r="F21283" i="9"/>
  <c r="H21283" i="9" s="1"/>
  <c r="F21284" i="9"/>
  <c r="H21284" i="9"/>
  <c r="F21285" i="9"/>
  <c r="H21285" i="9" s="1"/>
  <c r="F21286" i="9"/>
  <c r="H21286" i="9" s="1"/>
  <c r="F21287" i="9"/>
  <c r="H21287" i="9" s="1"/>
  <c r="F21288" i="9"/>
  <c r="H21288" i="9" s="1"/>
  <c r="F21289" i="9"/>
  <c r="H21289" i="9" s="1"/>
  <c r="F21290" i="9"/>
  <c r="H21290" i="9" s="1"/>
  <c r="F21291" i="9"/>
  <c r="H21291" i="9" s="1"/>
  <c r="F21292" i="9"/>
  <c r="H21292" i="9" s="1"/>
  <c r="F21293" i="9"/>
  <c r="H21293" i="9" s="1"/>
  <c r="F21294" i="9"/>
  <c r="H21294" i="9" s="1"/>
  <c r="F21295" i="9"/>
  <c r="H21295" i="9" s="1"/>
  <c r="F21296" i="9"/>
  <c r="H21296" i="9" s="1"/>
  <c r="F21297" i="9"/>
  <c r="H21297" i="9" s="1"/>
  <c r="F21298" i="9"/>
  <c r="H21298" i="9" s="1"/>
  <c r="F21299" i="9"/>
  <c r="H21299" i="9" s="1"/>
  <c r="F21300" i="9"/>
  <c r="H21300" i="9"/>
  <c r="F21301" i="9"/>
  <c r="H21301" i="9" s="1"/>
  <c r="F21302" i="9"/>
  <c r="H21302" i="9" s="1"/>
  <c r="F21303" i="9"/>
  <c r="H21303" i="9" s="1"/>
  <c r="F21304" i="9"/>
  <c r="H21304" i="9" s="1"/>
  <c r="F21305" i="9"/>
  <c r="H21305" i="9" s="1"/>
  <c r="F21306" i="9"/>
  <c r="H21306" i="9" s="1"/>
  <c r="F21307" i="9"/>
  <c r="H21307" i="9" s="1"/>
  <c r="F21308" i="9"/>
  <c r="H21308" i="9" s="1"/>
  <c r="F21309" i="9"/>
  <c r="H21309" i="9" s="1"/>
  <c r="F21310" i="9"/>
  <c r="H21310" i="9" s="1"/>
  <c r="F21311" i="9"/>
  <c r="H21311" i="9"/>
  <c r="F21312" i="9"/>
  <c r="H21312" i="9" s="1"/>
  <c r="F21313" i="9"/>
  <c r="H21313" i="9" s="1"/>
  <c r="F21314" i="9"/>
  <c r="H21314" i="9" s="1"/>
  <c r="F21315" i="9"/>
  <c r="H21315" i="9" s="1"/>
  <c r="F21316" i="9"/>
  <c r="H21316" i="9" s="1"/>
  <c r="F21317" i="9"/>
  <c r="H21317" i="9" s="1"/>
  <c r="F21318" i="9"/>
  <c r="H21318" i="9" s="1"/>
  <c r="F21319" i="9"/>
  <c r="H21319" i="9" s="1"/>
  <c r="F21320" i="9"/>
  <c r="H21320" i="9" s="1"/>
  <c r="F21321" i="9"/>
  <c r="H21321" i="9" s="1"/>
  <c r="F21322" i="9"/>
  <c r="H21322" i="9" s="1"/>
  <c r="F21323" i="9"/>
  <c r="H21323" i="9" s="1"/>
  <c r="F21324" i="9"/>
  <c r="H21324" i="9" s="1"/>
  <c r="F21325" i="9"/>
  <c r="H21325" i="9" s="1"/>
  <c r="F21326" i="9"/>
  <c r="H21326" i="9" s="1"/>
  <c r="F21327" i="9"/>
  <c r="H21327" i="9" s="1"/>
  <c r="F21328" i="9"/>
  <c r="H21328" i="9" s="1"/>
  <c r="F21329" i="9"/>
  <c r="H21329" i="9" s="1"/>
  <c r="F21330" i="9"/>
  <c r="H21330" i="9" s="1"/>
  <c r="F21331" i="9"/>
  <c r="H21331" i="9" s="1"/>
  <c r="F21332" i="9"/>
  <c r="H21332" i="9" s="1"/>
  <c r="F21333" i="9"/>
  <c r="H21333" i="9" s="1"/>
  <c r="F21334" i="9"/>
  <c r="H21334" i="9" s="1"/>
  <c r="F21335" i="9"/>
  <c r="H21335" i="9" s="1"/>
  <c r="F21336" i="9"/>
  <c r="H21336" i="9" s="1"/>
  <c r="F21337" i="9"/>
  <c r="H21337" i="9" s="1"/>
  <c r="F21338" i="9"/>
  <c r="H21338" i="9" s="1"/>
  <c r="F21339" i="9"/>
  <c r="H21339" i="9" s="1"/>
  <c r="F21340" i="9"/>
  <c r="H21340" i="9" s="1"/>
  <c r="F21341" i="9"/>
  <c r="H21341" i="9" s="1"/>
  <c r="F21342" i="9"/>
  <c r="H21342" i="9" s="1"/>
  <c r="F21343" i="9"/>
  <c r="H21343" i="9" s="1"/>
  <c r="F21344" i="9"/>
  <c r="H21344" i="9" s="1"/>
  <c r="F21345" i="9"/>
  <c r="H21345" i="9" s="1"/>
  <c r="F21346" i="9"/>
  <c r="H21346" i="9" s="1"/>
  <c r="F21347" i="9"/>
  <c r="H21347" i="9" s="1"/>
  <c r="F21348" i="9"/>
  <c r="H21348" i="9" s="1"/>
  <c r="F21349" i="9"/>
  <c r="H21349" i="9" s="1"/>
  <c r="F21350" i="9"/>
  <c r="H21350" i="9" s="1"/>
  <c r="F21351" i="9"/>
  <c r="H21351" i="9" s="1"/>
  <c r="F21352" i="9"/>
  <c r="H21352" i="9" s="1"/>
  <c r="F21353" i="9"/>
  <c r="H21353" i="9" s="1"/>
  <c r="F21354" i="9"/>
  <c r="H21354" i="9" s="1"/>
  <c r="F21355" i="9"/>
  <c r="H21355" i="9" s="1"/>
  <c r="F21356" i="9"/>
  <c r="H21356" i="9" s="1"/>
  <c r="F21357" i="9"/>
  <c r="H21357" i="9" s="1"/>
  <c r="F21358" i="9"/>
  <c r="H21358" i="9" s="1"/>
  <c r="F21359" i="9"/>
  <c r="H21359" i="9" s="1"/>
  <c r="F21360" i="9"/>
  <c r="H21360" i="9" s="1"/>
  <c r="F21361" i="9"/>
  <c r="H21361" i="9" s="1"/>
  <c r="F21362" i="9"/>
  <c r="H21362" i="9" s="1"/>
  <c r="F21363" i="9"/>
  <c r="H21363" i="9" s="1"/>
  <c r="F21364" i="9"/>
  <c r="H21364" i="9" s="1"/>
  <c r="F21365" i="9"/>
  <c r="H21365" i="9" s="1"/>
  <c r="F21366" i="9"/>
  <c r="H21366" i="9" s="1"/>
  <c r="F21367" i="9"/>
  <c r="H21367" i="9"/>
  <c r="F21368" i="9"/>
  <c r="H21368" i="9" s="1"/>
  <c r="F21369" i="9"/>
  <c r="H21369" i="9" s="1"/>
  <c r="F21370" i="9"/>
  <c r="H21370" i="9" s="1"/>
  <c r="F21371" i="9"/>
  <c r="H21371" i="9" s="1"/>
  <c r="F21372" i="9"/>
  <c r="H21372" i="9" s="1"/>
  <c r="F21373" i="9"/>
  <c r="H21373" i="9"/>
  <c r="F21374" i="9"/>
  <c r="H21374" i="9" s="1"/>
  <c r="F21375" i="9"/>
  <c r="H21375" i="9" s="1"/>
  <c r="F21376" i="9"/>
  <c r="H21376" i="9" s="1"/>
  <c r="F21377" i="9"/>
  <c r="H21377" i="9" s="1"/>
  <c r="F21378" i="9"/>
  <c r="H21378" i="9" s="1"/>
  <c r="F21379" i="9"/>
  <c r="H21379" i="9" s="1"/>
  <c r="F21380" i="9"/>
  <c r="H21380" i="9" s="1"/>
  <c r="F21381" i="9"/>
  <c r="H21381" i="9" s="1"/>
  <c r="F21382" i="9"/>
  <c r="H21382" i="9" s="1"/>
  <c r="F21383" i="9"/>
  <c r="H21383" i="9" s="1"/>
  <c r="F21384" i="9"/>
  <c r="H21384" i="9" s="1"/>
  <c r="F21385" i="9"/>
  <c r="H21385" i="9" s="1"/>
  <c r="F21386" i="9"/>
  <c r="H21386" i="9" s="1"/>
  <c r="F21387" i="9"/>
  <c r="H21387" i="9" s="1"/>
  <c r="F21388" i="9"/>
  <c r="H21388" i="9" s="1"/>
  <c r="F21389" i="9"/>
  <c r="H21389" i="9" s="1"/>
  <c r="F21390" i="9"/>
  <c r="H21390" i="9" s="1"/>
  <c r="F21391" i="9"/>
  <c r="H21391" i="9" s="1"/>
  <c r="F21392" i="9"/>
  <c r="H21392" i="9" s="1"/>
  <c r="F21393" i="9"/>
  <c r="H21393" i="9" s="1"/>
  <c r="F21394" i="9"/>
  <c r="H21394" i="9" s="1"/>
  <c r="F21395" i="9"/>
  <c r="H21395" i="9" s="1"/>
  <c r="F21396" i="9"/>
  <c r="H21396" i="9" s="1"/>
  <c r="F21397" i="9"/>
  <c r="H21397" i="9" s="1"/>
  <c r="F21398" i="9"/>
  <c r="H21398" i="9" s="1"/>
  <c r="F21399" i="9"/>
  <c r="H21399" i="9" s="1"/>
  <c r="F21400" i="9"/>
  <c r="H21400" i="9" s="1"/>
  <c r="F21401" i="9"/>
  <c r="H21401" i="9" s="1"/>
  <c r="F21402" i="9"/>
  <c r="H21402" i="9" s="1"/>
  <c r="F21403" i="9"/>
  <c r="H21403" i="9" s="1"/>
  <c r="F21404" i="9"/>
  <c r="H21404" i="9" s="1"/>
  <c r="F21405" i="9"/>
  <c r="H21405" i="9" s="1"/>
  <c r="F21406" i="9"/>
  <c r="H21406" i="9" s="1"/>
  <c r="F21407" i="9"/>
  <c r="H21407" i="9" s="1"/>
  <c r="F21408" i="9"/>
  <c r="H21408" i="9" s="1"/>
  <c r="F21409" i="9"/>
  <c r="H21409" i="9" s="1"/>
  <c r="F21410" i="9"/>
  <c r="H21410" i="9" s="1"/>
  <c r="F21411" i="9"/>
  <c r="H21411" i="9" s="1"/>
  <c r="F21412" i="9"/>
  <c r="H21412" i="9" s="1"/>
  <c r="F21413" i="9"/>
  <c r="H21413" i="9" s="1"/>
  <c r="F21414" i="9"/>
  <c r="H21414" i="9" s="1"/>
  <c r="F21415" i="9"/>
  <c r="H21415" i="9" s="1"/>
  <c r="F21416" i="9"/>
  <c r="H21416" i="9" s="1"/>
  <c r="F21417" i="9"/>
  <c r="H21417" i="9" s="1"/>
  <c r="F21418" i="9"/>
  <c r="H21418" i="9" s="1"/>
  <c r="F21419" i="9"/>
  <c r="H21419" i="9" s="1"/>
  <c r="F21420" i="9"/>
  <c r="H21420" i="9" s="1"/>
  <c r="F21421" i="9"/>
  <c r="H21421" i="9" s="1"/>
  <c r="F21422" i="9"/>
  <c r="H21422" i="9" s="1"/>
  <c r="F21423" i="9"/>
  <c r="H21423" i="9" s="1"/>
  <c r="F21424" i="9"/>
  <c r="H21424" i="9" s="1"/>
  <c r="F21425" i="9"/>
  <c r="H21425" i="9" s="1"/>
  <c r="F21426" i="9"/>
  <c r="H21426" i="9" s="1"/>
  <c r="F21427" i="9"/>
  <c r="H21427" i="9" s="1"/>
  <c r="F21428" i="9"/>
  <c r="H21428" i="9" s="1"/>
  <c r="F21429" i="9"/>
  <c r="H21429" i="9" s="1"/>
  <c r="F21430" i="9"/>
  <c r="H21430" i="9" s="1"/>
  <c r="F21431" i="9"/>
  <c r="H21431" i="9" s="1"/>
  <c r="F21432" i="9"/>
  <c r="H21432" i="9" s="1"/>
  <c r="F21433" i="9"/>
  <c r="H21433" i="9" s="1"/>
  <c r="F21434" i="9"/>
  <c r="H21434" i="9" s="1"/>
  <c r="F21435" i="9"/>
  <c r="H21435" i="9" s="1"/>
  <c r="F21436" i="9"/>
  <c r="H21436" i="9" s="1"/>
  <c r="F21437" i="9"/>
  <c r="H21437" i="9" s="1"/>
  <c r="F21438" i="9"/>
  <c r="H21438" i="9" s="1"/>
  <c r="F21439" i="9"/>
  <c r="H21439" i="9" s="1"/>
  <c r="F21440" i="9"/>
  <c r="H21440" i="9" s="1"/>
  <c r="F21441" i="9"/>
  <c r="H21441" i="9" s="1"/>
  <c r="F21442" i="9"/>
  <c r="H21442" i="9" s="1"/>
  <c r="F21443" i="9"/>
  <c r="H21443" i="9" s="1"/>
  <c r="F21444" i="9"/>
  <c r="H21444" i="9" s="1"/>
  <c r="F21445" i="9"/>
  <c r="H21445" i="9" s="1"/>
  <c r="F21446" i="9"/>
  <c r="H21446" i="9" s="1"/>
  <c r="F21447" i="9"/>
  <c r="H21447" i="9" s="1"/>
  <c r="F21448" i="9"/>
  <c r="H21448" i="9" s="1"/>
  <c r="F21449" i="9"/>
  <c r="H21449" i="9" s="1"/>
  <c r="F21450" i="9"/>
  <c r="H21450" i="9" s="1"/>
  <c r="F21451" i="9"/>
  <c r="H21451" i="9" s="1"/>
  <c r="F21452" i="9"/>
  <c r="H21452" i="9"/>
  <c r="F21453" i="9"/>
  <c r="H21453" i="9" s="1"/>
  <c r="F21454" i="9"/>
  <c r="H21454" i="9" s="1"/>
  <c r="F21455" i="9"/>
  <c r="H21455" i="9" s="1"/>
  <c r="F21456" i="9"/>
  <c r="H21456" i="9" s="1"/>
  <c r="F21457" i="9"/>
  <c r="H21457" i="9" s="1"/>
  <c r="F21458" i="9"/>
  <c r="H21458" i="9" s="1"/>
  <c r="F21459" i="9"/>
  <c r="H21459" i="9" s="1"/>
  <c r="F21460" i="9"/>
  <c r="H21460" i="9" s="1"/>
  <c r="F21461" i="9"/>
  <c r="H21461" i="9" s="1"/>
  <c r="F21462" i="9"/>
  <c r="H21462" i="9" s="1"/>
  <c r="F21463" i="9"/>
  <c r="H21463" i="9" s="1"/>
  <c r="F21464" i="9"/>
  <c r="H21464" i="9" s="1"/>
  <c r="F21465" i="9"/>
  <c r="H21465" i="9" s="1"/>
  <c r="F21466" i="9"/>
  <c r="H21466" i="9" s="1"/>
  <c r="F21467" i="9"/>
  <c r="H21467" i="9" s="1"/>
  <c r="F21468" i="9"/>
  <c r="H21468" i="9" s="1"/>
  <c r="F21469" i="9"/>
  <c r="H21469" i="9" s="1"/>
  <c r="F21470" i="9"/>
  <c r="H21470" i="9" s="1"/>
  <c r="F21471" i="9"/>
  <c r="H21471" i="9" s="1"/>
  <c r="F21472" i="9"/>
  <c r="H21472" i="9" s="1"/>
  <c r="F21473" i="9"/>
  <c r="H21473" i="9" s="1"/>
  <c r="F21474" i="9"/>
  <c r="H21474" i="9" s="1"/>
  <c r="F21475" i="9"/>
  <c r="H21475" i="9" s="1"/>
  <c r="F21476" i="9"/>
  <c r="H21476" i="9" s="1"/>
  <c r="F21477" i="9"/>
  <c r="H21477" i="9" s="1"/>
  <c r="F21478" i="9"/>
  <c r="H21478" i="9" s="1"/>
  <c r="F21479" i="9"/>
  <c r="H21479" i="9" s="1"/>
  <c r="F21480" i="9"/>
  <c r="H21480" i="9" s="1"/>
  <c r="F21481" i="9"/>
  <c r="H21481" i="9" s="1"/>
  <c r="F21482" i="9"/>
  <c r="H21482" i="9" s="1"/>
  <c r="F21483" i="9"/>
  <c r="H21483" i="9" s="1"/>
  <c r="F21484" i="9"/>
  <c r="H21484" i="9" s="1"/>
  <c r="F21485" i="9"/>
  <c r="H21485" i="9" s="1"/>
  <c r="F21486" i="9"/>
  <c r="H21486" i="9" s="1"/>
  <c r="F21487" i="9"/>
  <c r="H21487" i="9" s="1"/>
  <c r="F21488" i="9"/>
  <c r="H21488" i="9" s="1"/>
  <c r="F21489" i="9"/>
  <c r="H21489" i="9" s="1"/>
  <c r="F21490" i="9"/>
  <c r="H21490" i="9" s="1"/>
  <c r="F21491" i="9"/>
  <c r="H21491" i="9" s="1"/>
  <c r="F21492" i="9"/>
  <c r="H21492" i="9" s="1"/>
  <c r="F21493" i="9"/>
  <c r="H21493" i="9" s="1"/>
  <c r="F21494" i="9"/>
  <c r="H21494" i="9" s="1"/>
  <c r="F21495" i="9"/>
  <c r="H21495" i="9" s="1"/>
  <c r="F21496" i="9"/>
  <c r="H21496" i="9" s="1"/>
  <c r="F21497" i="9"/>
  <c r="H21497" i="9" s="1"/>
  <c r="F21498" i="9"/>
  <c r="H21498" i="9" s="1"/>
  <c r="F21499" i="9"/>
  <c r="H21499" i="9" s="1"/>
  <c r="F21500" i="9"/>
  <c r="H21500" i="9" s="1"/>
  <c r="F21501" i="9"/>
  <c r="H21501" i="9" s="1"/>
  <c r="F21502" i="9"/>
  <c r="H21502" i="9" s="1"/>
  <c r="F21503" i="9"/>
  <c r="H21503" i="9"/>
  <c r="F21504" i="9"/>
  <c r="H21504" i="9" s="1"/>
  <c r="F21505" i="9"/>
  <c r="H21505" i="9" s="1"/>
  <c r="F21506" i="9"/>
  <c r="H21506" i="9" s="1"/>
  <c r="F21507" i="9"/>
  <c r="H21507" i="9" s="1"/>
  <c r="F21508" i="9"/>
  <c r="H21508" i="9" s="1"/>
  <c r="F21509" i="9"/>
  <c r="H21509" i="9" s="1"/>
  <c r="F21510" i="9"/>
  <c r="H21510" i="9" s="1"/>
  <c r="F21511" i="9"/>
  <c r="H21511" i="9" s="1"/>
  <c r="F21512" i="9"/>
  <c r="H21512" i="9" s="1"/>
  <c r="F21513" i="9"/>
  <c r="H21513" i="9" s="1"/>
  <c r="F21514" i="9"/>
  <c r="H21514" i="9" s="1"/>
  <c r="F21515" i="9"/>
  <c r="H21515" i="9" s="1"/>
  <c r="F21516" i="9"/>
  <c r="H21516" i="9" s="1"/>
  <c r="F21517" i="9"/>
  <c r="H21517" i="9" s="1"/>
  <c r="F21518" i="9"/>
  <c r="H21518" i="9" s="1"/>
  <c r="F21519" i="9"/>
  <c r="H21519" i="9" s="1"/>
  <c r="F21520" i="9"/>
  <c r="H21520" i="9" s="1"/>
  <c r="F21521" i="9"/>
  <c r="H21521" i="9" s="1"/>
  <c r="F21522" i="9"/>
  <c r="H21522" i="9"/>
  <c r="F21523" i="9"/>
  <c r="H21523" i="9" s="1"/>
  <c r="F21524" i="9"/>
  <c r="H21524" i="9" s="1"/>
  <c r="F21525" i="9"/>
  <c r="H21525" i="9" s="1"/>
  <c r="F21526" i="9"/>
  <c r="H21526" i="9" s="1"/>
  <c r="F21527" i="9"/>
  <c r="H21527" i="9" s="1"/>
  <c r="F21528" i="9"/>
  <c r="H21528" i="9" s="1"/>
  <c r="F21529" i="9"/>
  <c r="H21529" i="9" s="1"/>
  <c r="F21530" i="9"/>
  <c r="H21530" i="9" s="1"/>
  <c r="F21531" i="9"/>
  <c r="H21531" i="9" s="1"/>
  <c r="F21532" i="9"/>
  <c r="H21532" i="9" s="1"/>
  <c r="F21533" i="9"/>
  <c r="H21533" i="9" s="1"/>
  <c r="F21534" i="9"/>
  <c r="H21534" i="9" s="1"/>
  <c r="F21535" i="9"/>
  <c r="H21535" i="9" s="1"/>
  <c r="F21536" i="9"/>
  <c r="H21536" i="9" s="1"/>
  <c r="F21537" i="9"/>
  <c r="H21537" i="9" s="1"/>
  <c r="F21538" i="9"/>
  <c r="H21538" i="9" s="1"/>
  <c r="F21539" i="9"/>
  <c r="H21539" i="9" s="1"/>
  <c r="F21540" i="9"/>
  <c r="H21540" i="9" s="1"/>
  <c r="F21541" i="9"/>
  <c r="H21541" i="9" s="1"/>
  <c r="F21542" i="9"/>
  <c r="H21542" i="9" s="1"/>
  <c r="F21543" i="9"/>
  <c r="H21543" i="9" s="1"/>
  <c r="F21544" i="9"/>
  <c r="H21544" i="9" s="1"/>
  <c r="F21545" i="9"/>
  <c r="H21545" i="9" s="1"/>
  <c r="F21546" i="9"/>
  <c r="H21546" i="9" s="1"/>
  <c r="F21547" i="9"/>
  <c r="H21547" i="9" s="1"/>
  <c r="F21548" i="9"/>
  <c r="H21548" i="9"/>
  <c r="F21549" i="9"/>
  <c r="H21549" i="9" s="1"/>
  <c r="F21550" i="9"/>
  <c r="H21550" i="9" s="1"/>
  <c r="F21551" i="9"/>
  <c r="H21551" i="9" s="1"/>
  <c r="F21552" i="9"/>
  <c r="H21552" i="9" s="1"/>
  <c r="F21553" i="9"/>
  <c r="H21553" i="9" s="1"/>
  <c r="F21554" i="9"/>
  <c r="H21554" i="9" s="1"/>
  <c r="F21555" i="9"/>
  <c r="H21555" i="9" s="1"/>
  <c r="F21556" i="9"/>
  <c r="H21556" i="9" s="1"/>
  <c r="F21557" i="9"/>
  <c r="H21557" i="9" s="1"/>
  <c r="F21558" i="9"/>
  <c r="H21558" i="9" s="1"/>
  <c r="F21559" i="9"/>
  <c r="H21559" i="9" s="1"/>
  <c r="F21560" i="9"/>
  <c r="H21560" i="9" s="1"/>
  <c r="F21561" i="9"/>
  <c r="H21561" i="9" s="1"/>
  <c r="F21562" i="9"/>
  <c r="H21562" i="9" s="1"/>
  <c r="F21563" i="9"/>
  <c r="H21563" i="9" s="1"/>
  <c r="F21564" i="9"/>
  <c r="H21564" i="9" s="1"/>
  <c r="F21565" i="9"/>
  <c r="H21565" i="9" s="1"/>
  <c r="F21566" i="9"/>
  <c r="H21566" i="9" s="1"/>
  <c r="F21567" i="9"/>
  <c r="H21567" i="9" s="1"/>
  <c r="F21568" i="9"/>
  <c r="H21568" i="9" s="1"/>
  <c r="F21569" i="9"/>
  <c r="H21569" i="9" s="1"/>
  <c r="F21570" i="9"/>
  <c r="H21570" i="9" s="1"/>
  <c r="F21571" i="9"/>
  <c r="H21571" i="9" s="1"/>
  <c r="F21572" i="9"/>
  <c r="H21572" i="9" s="1"/>
  <c r="F21573" i="9"/>
  <c r="H21573" i="9" s="1"/>
  <c r="F21574" i="9"/>
  <c r="H21574" i="9" s="1"/>
  <c r="F21575" i="9"/>
  <c r="H21575" i="9" s="1"/>
  <c r="F21576" i="9"/>
  <c r="H21576" i="9" s="1"/>
  <c r="F21577" i="9"/>
  <c r="H21577" i="9" s="1"/>
  <c r="F21578" i="9"/>
  <c r="H21578" i="9" s="1"/>
  <c r="F21579" i="9"/>
  <c r="H21579" i="9" s="1"/>
  <c r="F21580" i="9"/>
  <c r="H21580" i="9" s="1"/>
  <c r="F21581" i="9"/>
  <c r="H21581" i="9" s="1"/>
  <c r="F21582" i="9"/>
  <c r="H21582" i="9" s="1"/>
  <c r="F21583" i="9"/>
  <c r="H21583" i="9" s="1"/>
  <c r="F21584" i="9"/>
  <c r="H21584" i="9" s="1"/>
  <c r="F21585" i="9"/>
  <c r="H21585" i="9" s="1"/>
  <c r="F21586" i="9"/>
  <c r="H21586" i="9" s="1"/>
  <c r="F21587" i="9"/>
  <c r="H21587" i="9" s="1"/>
  <c r="F21588" i="9"/>
  <c r="H21588" i="9" s="1"/>
  <c r="F21589" i="9"/>
  <c r="H21589" i="9" s="1"/>
  <c r="F21590" i="9"/>
  <c r="H21590" i="9" s="1"/>
  <c r="F21591" i="9"/>
  <c r="H21591" i="9" s="1"/>
  <c r="F21592" i="9"/>
  <c r="H21592" i="9" s="1"/>
  <c r="F21593" i="9"/>
  <c r="H21593" i="9" s="1"/>
  <c r="F21594" i="9"/>
  <c r="H21594" i="9" s="1"/>
  <c r="F21595" i="9"/>
  <c r="H21595" i="9" s="1"/>
  <c r="F21596" i="9"/>
  <c r="H21596" i="9" s="1"/>
  <c r="F21597" i="9"/>
  <c r="H21597" i="9" s="1"/>
  <c r="F21598" i="9"/>
  <c r="H21598" i="9" s="1"/>
  <c r="F21599" i="9"/>
  <c r="H21599" i="9" s="1"/>
  <c r="F21600" i="9"/>
  <c r="H21600" i="9" s="1"/>
  <c r="F21601" i="9"/>
  <c r="H21601" i="9" s="1"/>
  <c r="F21602" i="9"/>
  <c r="H21602" i="9" s="1"/>
  <c r="F21603" i="9"/>
  <c r="H21603" i="9" s="1"/>
  <c r="F21604" i="9"/>
  <c r="H21604" i="9" s="1"/>
  <c r="F21605" i="9"/>
  <c r="H21605" i="9" s="1"/>
  <c r="F21606" i="9"/>
  <c r="H21606" i="9" s="1"/>
  <c r="F21607" i="9"/>
  <c r="H21607" i="9"/>
  <c r="F21608" i="9"/>
  <c r="H21608" i="9" s="1"/>
  <c r="F21609" i="9"/>
  <c r="H21609" i="9" s="1"/>
  <c r="F21610" i="9"/>
  <c r="H21610" i="9" s="1"/>
  <c r="F21611" i="9"/>
  <c r="H21611" i="9" s="1"/>
  <c r="F21612" i="9"/>
  <c r="H21612" i="9" s="1"/>
  <c r="F21613" i="9"/>
  <c r="H21613" i="9" s="1"/>
  <c r="F21614" i="9"/>
  <c r="H21614" i="9" s="1"/>
  <c r="F21615" i="9"/>
  <c r="H21615" i="9" s="1"/>
  <c r="F21616" i="9"/>
  <c r="H21616" i="9" s="1"/>
  <c r="F21617" i="9"/>
  <c r="H21617" i="9" s="1"/>
  <c r="F21618" i="9"/>
  <c r="H21618" i="9" s="1"/>
  <c r="F21619" i="9"/>
  <c r="H21619" i="9" s="1"/>
  <c r="F21620" i="9"/>
  <c r="H21620" i="9" s="1"/>
  <c r="F21621" i="9"/>
  <c r="H21621" i="9" s="1"/>
  <c r="F21622" i="9"/>
  <c r="H21622" i="9" s="1"/>
  <c r="F21623" i="9"/>
  <c r="H21623" i="9" s="1"/>
  <c r="F21624" i="9"/>
  <c r="H21624" i="9" s="1"/>
  <c r="F21625" i="9"/>
  <c r="H21625" i="9"/>
  <c r="F21626" i="9"/>
  <c r="H21626" i="9" s="1"/>
  <c r="F21627" i="9"/>
  <c r="H21627" i="9" s="1"/>
  <c r="F21628" i="9"/>
  <c r="H21628" i="9" s="1"/>
  <c r="F21629" i="9"/>
  <c r="H21629" i="9" s="1"/>
  <c r="F21630" i="9"/>
  <c r="H21630" i="9" s="1"/>
  <c r="F21631" i="9"/>
  <c r="H21631" i="9" s="1"/>
  <c r="F21632" i="9"/>
  <c r="H21632" i="9" s="1"/>
  <c r="F21633" i="9"/>
  <c r="H21633" i="9" s="1"/>
  <c r="F21634" i="9"/>
  <c r="H21634" i="9" s="1"/>
  <c r="F21635" i="9"/>
  <c r="H21635" i="9" s="1"/>
  <c r="F21636" i="9"/>
  <c r="H21636" i="9" s="1"/>
  <c r="F21637" i="9"/>
  <c r="H21637" i="9" s="1"/>
  <c r="F21638" i="9"/>
  <c r="H21638" i="9" s="1"/>
  <c r="F21639" i="9"/>
  <c r="H21639" i="9" s="1"/>
  <c r="F21640" i="9"/>
  <c r="H21640" i="9" s="1"/>
  <c r="F21641" i="9"/>
  <c r="H21641" i="9" s="1"/>
  <c r="F21642" i="9"/>
  <c r="H21642" i="9" s="1"/>
  <c r="F21643" i="9"/>
  <c r="H21643" i="9" s="1"/>
  <c r="F21644" i="9"/>
  <c r="H21644" i="9" s="1"/>
  <c r="F21645" i="9"/>
  <c r="H21645" i="9" s="1"/>
  <c r="F21646" i="9"/>
  <c r="H21646" i="9" s="1"/>
  <c r="F21647" i="9"/>
  <c r="H21647" i="9" s="1"/>
  <c r="F21648" i="9"/>
  <c r="H21648" i="9" s="1"/>
  <c r="F21649" i="9"/>
  <c r="H21649" i="9" s="1"/>
  <c r="F21650" i="9"/>
  <c r="H21650" i="9" s="1"/>
  <c r="F21651" i="9"/>
  <c r="H21651" i="9" s="1"/>
  <c r="F21652" i="9"/>
  <c r="H21652" i="9" s="1"/>
  <c r="F21653" i="9"/>
  <c r="H21653" i="9" s="1"/>
  <c r="F21654" i="9"/>
  <c r="H21654" i="9" s="1"/>
  <c r="F21655" i="9"/>
  <c r="H21655" i="9" s="1"/>
  <c r="F21656" i="9"/>
  <c r="H21656" i="9" s="1"/>
  <c r="F21657" i="9"/>
  <c r="H21657" i="9" s="1"/>
  <c r="F21658" i="9"/>
  <c r="H21658" i="9" s="1"/>
  <c r="F21659" i="9"/>
  <c r="H21659" i="9" s="1"/>
  <c r="F21660" i="9"/>
  <c r="H21660" i="9" s="1"/>
  <c r="F21661" i="9"/>
  <c r="H21661" i="9" s="1"/>
  <c r="F21662" i="9"/>
  <c r="H21662" i="9" s="1"/>
  <c r="F21663" i="9"/>
  <c r="H21663" i="9" s="1"/>
  <c r="F21664" i="9"/>
  <c r="H21664" i="9" s="1"/>
  <c r="F21665" i="9"/>
  <c r="H21665" i="9" s="1"/>
  <c r="F21666" i="9"/>
  <c r="H21666" i="9" s="1"/>
  <c r="F21667" i="9"/>
  <c r="H21667" i="9" s="1"/>
  <c r="F21668" i="9"/>
  <c r="H21668" i="9" s="1"/>
  <c r="F21669" i="9"/>
  <c r="H21669" i="9" s="1"/>
  <c r="F21670" i="9"/>
  <c r="H21670" i="9" s="1"/>
  <c r="F21671" i="9"/>
  <c r="H21671" i="9" s="1"/>
  <c r="F21672" i="9"/>
  <c r="H21672" i="9" s="1"/>
  <c r="F21673" i="9"/>
  <c r="H21673" i="9" s="1"/>
  <c r="F21674" i="9"/>
  <c r="H21674" i="9" s="1"/>
  <c r="F21675" i="9"/>
  <c r="H21675" i="9" s="1"/>
  <c r="F21676" i="9"/>
  <c r="H21676" i="9" s="1"/>
  <c r="F21677" i="9"/>
  <c r="H21677" i="9"/>
  <c r="F21678" i="9"/>
  <c r="H21678" i="9" s="1"/>
  <c r="F21679" i="9"/>
  <c r="H21679" i="9" s="1"/>
  <c r="F21680" i="9"/>
  <c r="H21680" i="9" s="1"/>
  <c r="F21681" i="9"/>
  <c r="H21681" i="9" s="1"/>
  <c r="F21682" i="9"/>
  <c r="H21682" i="9" s="1"/>
  <c r="F21683" i="9"/>
  <c r="H21683" i="9" s="1"/>
  <c r="F21684" i="9"/>
  <c r="H21684" i="9" s="1"/>
  <c r="F21685" i="9"/>
  <c r="H21685" i="9" s="1"/>
  <c r="F21686" i="9"/>
  <c r="H21686" i="9"/>
  <c r="F21687" i="9"/>
  <c r="H21687" i="9" s="1"/>
  <c r="F21688" i="9"/>
  <c r="H21688" i="9" s="1"/>
  <c r="F21689" i="9"/>
  <c r="H21689" i="9" s="1"/>
  <c r="F21690" i="9"/>
  <c r="H21690" i="9" s="1"/>
  <c r="F21691" i="9"/>
  <c r="H21691" i="9" s="1"/>
  <c r="F21692" i="9"/>
  <c r="H21692" i="9"/>
  <c r="F21693" i="9"/>
  <c r="H21693" i="9" s="1"/>
  <c r="F21694" i="9"/>
  <c r="H21694" i="9" s="1"/>
  <c r="F21695" i="9"/>
  <c r="H21695" i="9" s="1"/>
  <c r="F21696" i="9"/>
  <c r="H21696" i="9" s="1"/>
  <c r="F21697" i="9"/>
  <c r="H21697" i="9" s="1"/>
  <c r="F21698" i="9"/>
  <c r="H21698" i="9" s="1"/>
  <c r="F21699" i="9"/>
  <c r="H21699" i="9" s="1"/>
  <c r="F21700" i="9"/>
  <c r="H21700" i="9" s="1"/>
  <c r="F21701" i="9"/>
  <c r="H21701" i="9" s="1"/>
  <c r="F21702" i="9"/>
  <c r="H21702" i="9" s="1"/>
  <c r="F21703" i="9"/>
  <c r="H21703" i="9" s="1"/>
  <c r="F21704" i="9"/>
  <c r="H21704" i="9" s="1"/>
  <c r="F21705" i="9"/>
  <c r="H21705" i="9" s="1"/>
  <c r="F21706" i="9"/>
  <c r="H21706" i="9" s="1"/>
  <c r="F21707" i="9"/>
  <c r="H21707" i="9" s="1"/>
  <c r="F21708" i="9"/>
  <c r="H21708" i="9" s="1"/>
  <c r="F21709" i="9"/>
  <c r="H21709" i="9" s="1"/>
  <c r="F21710" i="9"/>
  <c r="H21710" i="9" s="1"/>
  <c r="F21711" i="9"/>
  <c r="H21711" i="9" s="1"/>
  <c r="F21712" i="9"/>
  <c r="H21712" i="9" s="1"/>
  <c r="F21713" i="9"/>
  <c r="H21713" i="9"/>
  <c r="F21714" i="9"/>
  <c r="H21714" i="9" s="1"/>
  <c r="F21715" i="9"/>
  <c r="H21715" i="9" s="1"/>
  <c r="F21716" i="9"/>
  <c r="H21716" i="9" s="1"/>
  <c r="F21717" i="9"/>
  <c r="H21717" i="9" s="1"/>
  <c r="F21718" i="9"/>
  <c r="H21718" i="9" s="1"/>
  <c r="F21719" i="9"/>
  <c r="H21719" i="9" s="1"/>
  <c r="F21720" i="9"/>
  <c r="H21720" i="9" s="1"/>
  <c r="F21721" i="9"/>
  <c r="H21721" i="9" s="1"/>
  <c r="F21722" i="9"/>
  <c r="H21722" i="9" s="1"/>
  <c r="F21723" i="9"/>
  <c r="H21723" i="9" s="1"/>
  <c r="F21724" i="9"/>
  <c r="H21724" i="9" s="1"/>
  <c r="F21725" i="9"/>
  <c r="H21725" i="9" s="1"/>
  <c r="F21726" i="9"/>
  <c r="H21726" i="9" s="1"/>
  <c r="F21727" i="9"/>
  <c r="H21727" i="9" s="1"/>
  <c r="F21728" i="9"/>
  <c r="H21728" i="9" s="1"/>
  <c r="F21729" i="9"/>
  <c r="H21729" i="9" s="1"/>
  <c r="F21730" i="9"/>
  <c r="H21730" i="9" s="1"/>
  <c r="F21731" i="9"/>
  <c r="H21731" i="9" s="1"/>
  <c r="F21732" i="9"/>
  <c r="H21732" i="9" s="1"/>
  <c r="F21733" i="9"/>
  <c r="H21733" i="9" s="1"/>
  <c r="F21734" i="9"/>
  <c r="H21734" i="9" s="1"/>
  <c r="F21735" i="9"/>
  <c r="H21735" i="9" s="1"/>
  <c r="F21736" i="9"/>
  <c r="H21736" i="9" s="1"/>
  <c r="F21737" i="9"/>
  <c r="H21737" i="9" s="1"/>
  <c r="F21738" i="9"/>
  <c r="H21738" i="9" s="1"/>
  <c r="F21739" i="9"/>
  <c r="H21739" i="9" s="1"/>
  <c r="F21740" i="9"/>
  <c r="H21740" i="9" s="1"/>
  <c r="F21741" i="9"/>
  <c r="H21741" i="9" s="1"/>
  <c r="F21742" i="9"/>
  <c r="H21742" i="9" s="1"/>
  <c r="F21743" i="9"/>
  <c r="H21743" i="9" s="1"/>
  <c r="F21744" i="9"/>
  <c r="H21744" i="9" s="1"/>
  <c r="F21745" i="9"/>
  <c r="H21745" i="9" s="1"/>
  <c r="F21746" i="9"/>
  <c r="H21746" i="9" s="1"/>
  <c r="F21747" i="9"/>
  <c r="H21747" i="9" s="1"/>
  <c r="F21748" i="9"/>
  <c r="H21748" i="9" s="1"/>
  <c r="F21749" i="9"/>
  <c r="H21749" i="9" s="1"/>
  <c r="F21750" i="9"/>
  <c r="H21750" i="9" s="1"/>
  <c r="F21751" i="9"/>
  <c r="H21751" i="9" s="1"/>
  <c r="F21752" i="9"/>
  <c r="H21752" i="9" s="1"/>
  <c r="F21753" i="9"/>
  <c r="H21753" i="9" s="1"/>
  <c r="F21754" i="9"/>
  <c r="H21754" i="9" s="1"/>
  <c r="F21755" i="9"/>
  <c r="H21755" i="9" s="1"/>
  <c r="F21756" i="9"/>
  <c r="H21756" i="9" s="1"/>
  <c r="F21757" i="9"/>
  <c r="H21757" i="9" s="1"/>
  <c r="F21758" i="9"/>
  <c r="H21758" i="9" s="1"/>
  <c r="F21759" i="9"/>
  <c r="H21759" i="9" s="1"/>
  <c r="F21760" i="9"/>
  <c r="H21760" i="9" s="1"/>
  <c r="F21761" i="9"/>
  <c r="H21761" i="9" s="1"/>
  <c r="F21762" i="9"/>
  <c r="H21762" i="9" s="1"/>
  <c r="F21763" i="9"/>
  <c r="H21763" i="9" s="1"/>
  <c r="F21764" i="9"/>
  <c r="H21764" i="9" s="1"/>
  <c r="F21765" i="9"/>
  <c r="H21765" i="9" s="1"/>
  <c r="F21766" i="9"/>
  <c r="H21766" i="9" s="1"/>
  <c r="F21767" i="9"/>
  <c r="H21767" i="9" s="1"/>
  <c r="F21768" i="9"/>
  <c r="H21768" i="9" s="1"/>
  <c r="F21769" i="9"/>
  <c r="H21769" i="9" s="1"/>
  <c r="F21770" i="9"/>
  <c r="H21770" i="9" s="1"/>
  <c r="F21771" i="9"/>
  <c r="H21771" i="9" s="1"/>
  <c r="F21772" i="9"/>
  <c r="H21772" i="9" s="1"/>
  <c r="F21773" i="9"/>
  <c r="H21773" i="9" s="1"/>
  <c r="F21774" i="9"/>
  <c r="H21774" i="9" s="1"/>
  <c r="F21775" i="9"/>
  <c r="H21775" i="9" s="1"/>
  <c r="F21776" i="9"/>
  <c r="H21776" i="9" s="1"/>
  <c r="F21777" i="9"/>
  <c r="H21777" i="9" s="1"/>
  <c r="F21778" i="9"/>
  <c r="H21778" i="9" s="1"/>
  <c r="F21779" i="9"/>
  <c r="H21779" i="9" s="1"/>
  <c r="F21780" i="9"/>
  <c r="H21780" i="9" s="1"/>
  <c r="F21781" i="9"/>
  <c r="H21781" i="9" s="1"/>
  <c r="F21782" i="9"/>
  <c r="H21782" i="9" s="1"/>
  <c r="F21783" i="9"/>
  <c r="H21783" i="9" s="1"/>
  <c r="F21784" i="9"/>
  <c r="H21784" i="9" s="1"/>
  <c r="F21785" i="9"/>
  <c r="H21785" i="9" s="1"/>
  <c r="F21786" i="9"/>
  <c r="H21786" i="9" s="1"/>
  <c r="F21787" i="9"/>
  <c r="H21787" i="9" s="1"/>
  <c r="F21788" i="9"/>
  <c r="H21788" i="9" s="1"/>
  <c r="F21789" i="9"/>
  <c r="H21789" i="9" s="1"/>
  <c r="F21790" i="9"/>
  <c r="H21790" i="9" s="1"/>
  <c r="F21791" i="9"/>
  <c r="H21791" i="9" s="1"/>
  <c r="F21792" i="9"/>
  <c r="H21792" i="9" s="1"/>
  <c r="F21793" i="9"/>
  <c r="H21793" i="9" s="1"/>
  <c r="F21794" i="9"/>
  <c r="H21794" i="9" s="1"/>
  <c r="F21795" i="9"/>
  <c r="H21795" i="9" s="1"/>
  <c r="F21796" i="9"/>
  <c r="H21796" i="9" s="1"/>
  <c r="F21797" i="9"/>
  <c r="H21797" i="9" s="1"/>
  <c r="F21798" i="9"/>
  <c r="H21798" i="9" s="1"/>
  <c r="F21799" i="9"/>
  <c r="H21799" i="9" s="1"/>
  <c r="F21800" i="9"/>
  <c r="H21800" i="9" s="1"/>
  <c r="F21801" i="9"/>
  <c r="H21801" i="9" s="1"/>
  <c r="F21802" i="9"/>
  <c r="H21802" i="9" s="1"/>
  <c r="F21803" i="9"/>
  <c r="H21803" i="9" s="1"/>
  <c r="F21804" i="9"/>
  <c r="H21804" i="9" s="1"/>
  <c r="F21805" i="9"/>
  <c r="H21805" i="9" s="1"/>
  <c r="F21806" i="9"/>
  <c r="H21806" i="9" s="1"/>
  <c r="F21807" i="9"/>
  <c r="H21807" i="9" s="1"/>
  <c r="F21808" i="9"/>
  <c r="H21808" i="9" s="1"/>
  <c r="F21809" i="9"/>
  <c r="H21809" i="9" s="1"/>
  <c r="F21810" i="9"/>
  <c r="H21810" i="9" s="1"/>
  <c r="F21811" i="9"/>
  <c r="H21811" i="9" s="1"/>
  <c r="F21812" i="9"/>
  <c r="H21812" i="9" s="1"/>
  <c r="F21813" i="9"/>
  <c r="H21813" i="9" s="1"/>
  <c r="F21814" i="9"/>
  <c r="H21814" i="9" s="1"/>
  <c r="F21815" i="9"/>
  <c r="H21815" i="9" s="1"/>
  <c r="F21816" i="9"/>
  <c r="H21816" i="9" s="1"/>
  <c r="F21817" i="9"/>
  <c r="H21817" i="9" s="1"/>
  <c r="F21818" i="9"/>
  <c r="H21818" i="9" s="1"/>
  <c r="F21819" i="9"/>
  <c r="H21819" i="9" s="1"/>
  <c r="F21820" i="9"/>
  <c r="H21820" i="9" s="1"/>
  <c r="F21821" i="9"/>
  <c r="H21821" i="9" s="1"/>
  <c r="F21822" i="9"/>
  <c r="H21822" i="9" s="1"/>
  <c r="F21823" i="9"/>
  <c r="H21823" i="9" s="1"/>
  <c r="F21824" i="9"/>
  <c r="H21824" i="9" s="1"/>
  <c r="F21825" i="9"/>
  <c r="H21825" i="9" s="1"/>
  <c r="F21826" i="9"/>
  <c r="H21826" i="9" s="1"/>
  <c r="F21827" i="9"/>
  <c r="H21827" i="9" s="1"/>
  <c r="F21828" i="9"/>
  <c r="H21828" i="9"/>
  <c r="F21829" i="9"/>
  <c r="H21829" i="9" s="1"/>
  <c r="F21830" i="9"/>
  <c r="H21830" i="9" s="1"/>
  <c r="F21831" i="9"/>
  <c r="H21831" i="9" s="1"/>
  <c r="F21832" i="9"/>
  <c r="H21832" i="9" s="1"/>
  <c r="F21833" i="9"/>
  <c r="H21833" i="9" s="1"/>
  <c r="F21834" i="9"/>
  <c r="H21834" i="9" s="1"/>
  <c r="F21835" i="9"/>
  <c r="H21835" i="9" s="1"/>
  <c r="F21836" i="9"/>
  <c r="H21836" i="9" s="1"/>
  <c r="F21837" i="9"/>
  <c r="H21837" i="9" s="1"/>
  <c r="F21838" i="9"/>
  <c r="H21838" i="9" s="1"/>
  <c r="F21839" i="9"/>
  <c r="H21839" i="9" s="1"/>
  <c r="F21840" i="9"/>
  <c r="H21840" i="9" s="1"/>
  <c r="F21841" i="9"/>
  <c r="H21841" i="9"/>
  <c r="F21842" i="9"/>
  <c r="H21842" i="9" s="1"/>
  <c r="F21843" i="9"/>
  <c r="H21843" i="9" s="1"/>
  <c r="F21844" i="9"/>
  <c r="H21844" i="9" s="1"/>
  <c r="F21845" i="9"/>
  <c r="H21845" i="9" s="1"/>
  <c r="F21846" i="9"/>
  <c r="H21846" i="9" s="1"/>
  <c r="F21847" i="9"/>
  <c r="H21847" i="9" s="1"/>
  <c r="F21848" i="9"/>
  <c r="H21848" i="9" s="1"/>
  <c r="F21849" i="9"/>
  <c r="H21849" i="9" s="1"/>
  <c r="F21850" i="9"/>
  <c r="H21850" i="9" s="1"/>
  <c r="F21851" i="9"/>
  <c r="H21851" i="9" s="1"/>
  <c r="F21852" i="9"/>
  <c r="H21852" i="9" s="1"/>
  <c r="F21853" i="9"/>
  <c r="H21853" i="9" s="1"/>
  <c r="F21854" i="9"/>
  <c r="H21854" i="9" s="1"/>
  <c r="F21855" i="9"/>
  <c r="H21855" i="9" s="1"/>
  <c r="F21856" i="9"/>
  <c r="H21856" i="9" s="1"/>
  <c r="F21857" i="9"/>
  <c r="H21857" i="9" s="1"/>
  <c r="F21858" i="9"/>
  <c r="H21858" i="9" s="1"/>
  <c r="F21859" i="9"/>
  <c r="H21859" i="9" s="1"/>
  <c r="F21860" i="9"/>
  <c r="H21860" i="9"/>
  <c r="F21861" i="9"/>
  <c r="H21861" i="9" s="1"/>
  <c r="F21862" i="9"/>
  <c r="H21862" i="9" s="1"/>
  <c r="F21863" i="9"/>
  <c r="H21863" i="9" s="1"/>
  <c r="F21864" i="9"/>
  <c r="H21864" i="9" s="1"/>
  <c r="F21865" i="9"/>
  <c r="H21865" i="9" s="1"/>
  <c r="F21866" i="9"/>
  <c r="H21866" i="9" s="1"/>
  <c r="F21867" i="9"/>
  <c r="H21867" i="9" s="1"/>
  <c r="F21868" i="9"/>
  <c r="H21868" i="9" s="1"/>
  <c r="F21869" i="9"/>
  <c r="H21869" i="9" s="1"/>
  <c r="F21870" i="9"/>
  <c r="H21870" i="9" s="1"/>
  <c r="F21871" i="9"/>
  <c r="H21871" i="9" s="1"/>
  <c r="F21872" i="9"/>
  <c r="H21872" i="9" s="1"/>
  <c r="F21873" i="9"/>
  <c r="H21873" i="9" s="1"/>
  <c r="F21874" i="9"/>
  <c r="H21874" i="9" s="1"/>
  <c r="F21875" i="9"/>
  <c r="H21875" i="9"/>
  <c r="F21876" i="9"/>
  <c r="H21876" i="9" s="1"/>
  <c r="F21877" i="9"/>
  <c r="H21877" i="9" s="1"/>
  <c r="F21878" i="9"/>
  <c r="H21878" i="9" s="1"/>
  <c r="F21879" i="9"/>
  <c r="H21879" i="9" s="1"/>
  <c r="F21880" i="9"/>
  <c r="H21880" i="9" s="1"/>
  <c r="F21881" i="9"/>
  <c r="H21881" i="9" s="1"/>
  <c r="F21882" i="9"/>
  <c r="H21882" i="9" s="1"/>
  <c r="F21883" i="9"/>
  <c r="H21883" i="9"/>
  <c r="F21884" i="9"/>
  <c r="H21884" i="9" s="1"/>
  <c r="F21885" i="9"/>
  <c r="H21885" i="9"/>
  <c r="F21886" i="9"/>
  <c r="H21886" i="9" s="1"/>
  <c r="F21887" i="9"/>
  <c r="H21887" i="9" s="1"/>
  <c r="F21888" i="9"/>
  <c r="H21888" i="9" s="1"/>
  <c r="F21889" i="9"/>
  <c r="H21889" i="9" s="1"/>
  <c r="F21890" i="9"/>
  <c r="H21890" i="9" s="1"/>
  <c r="F21891" i="9"/>
  <c r="H21891" i="9" s="1"/>
  <c r="F21892" i="9"/>
  <c r="H21892" i="9" s="1"/>
  <c r="F21893" i="9"/>
  <c r="H21893" i="9"/>
  <c r="F21894" i="9"/>
  <c r="H21894" i="9" s="1"/>
  <c r="F21895" i="9"/>
  <c r="H21895" i="9" s="1"/>
  <c r="F21896" i="9"/>
  <c r="H21896" i="9" s="1"/>
  <c r="F21897" i="9"/>
  <c r="H21897" i="9" s="1"/>
  <c r="F21898" i="9"/>
  <c r="H21898" i="9" s="1"/>
  <c r="F21899" i="9"/>
  <c r="H21899" i="9" s="1"/>
  <c r="F21900" i="9"/>
  <c r="H21900" i="9" s="1"/>
  <c r="F21901" i="9"/>
  <c r="H21901" i="9" s="1"/>
  <c r="F21902" i="9"/>
  <c r="H21902" i="9" s="1"/>
  <c r="F21903" i="9"/>
  <c r="H21903" i="9" s="1"/>
  <c r="F21904" i="9"/>
  <c r="H21904" i="9" s="1"/>
  <c r="F21905" i="9"/>
  <c r="H21905" i="9" s="1"/>
  <c r="F21906" i="9"/>
  <c r="H21906" i="9" s="1"/>
  <c r="F21907" i="9"/>
  <c r="H21907" i="9" s="1"/>
  <c r="F21908" i="9"/>
  <c r="H21908" i="9" s="1"/>
  <c r="F21909" i="9"/>
  <c r="H21909" i="9" s="1"/>
  <c r="F21910" i="9"/>
  <c r="H21910" i="9" s="1"/>
  <c r="F21911" i="9"/>
  <c r="H21911" i="9" s="1"/>
  <c r="F21912" i="9"/>
  <c r="H21912" i="9" s="1"/>
  <c r="F21913" i="9"/>
  <c r="H21913" i="9" s="1"/>
  <c r="F21914" i="9"/>
  <c r="H21914" i="9" s="1"/>
  <c r="F21915" i="9"/>
  <c r="H21915" i="9" s="1"/>
  <c r="F21916" i="9"/>
  <c r="H21916" i="9" s="1"/>
  <c r="F21917" i="9"/>
  <c r="H21917" i="9" s="1"/>
  <c r="F21918" i="9"/>
  <c r="H21918" i="9" s="1"/>
  <c r="F21919" i="9"/>
  <c r="H21919" i="9" s="1"/>
  <c r="F21920" i="9"/>
  <c r="H21920" i="9" s="1"/>
  <c r="F21921" i="9"/>
  <c r="H21921" i="9" s="1"/>
  <c r="F21922" i="9"/>
  <c r="H21922" i="9" s="1"/>
  <c r="F21923" i="9"/>
  <c r="H21923" i="9"/>
  <c r="F21924" i="9"/>
  <c r="H21924" i="9"/>
  <c r="F21925" i="9"/>
  <c r="H21925" i="9" s="1"/>
  <c r="F21926" i="9"/>
  <c r="H21926" i="9" s="1"/>
  <c r="F21927" i="9"/>
  <c r="H21927" i="9" s="1"/>
  <c r="F21928" i="9"/>
  <c r="H21928" i="9" s="1"/>
  <c r="F21929" i="9"/>
  <c r="H21929" i="9" s="1"/>
  <c r="F21930" i="9"/>
  <c r="H21930" i="9" s="1"/>
  <c r="F21931" i="9"/>
  <c r="H21931" i="9" s="1"/>
  <c r="F21932" i="9"/>
  <c r="H21932" i="9" s="1"/>
  <c r="F21933" i="9"/>
  <c r="H21933" i="9" s="1"/>
  <c r="F21934" i="9"/>
  <c r="H21934" i="9" s="1"/>
  <c r="F21935" i="9"/>
  <c r="H21935" i="9" s="1"/>
  <c r="F21936" i="9"/>
  <c r="H21936" i="9" s="1"/>
  <c r="F21937" i="9"/>
  <c r="H21937" i="9" s="1"/>
  <c r="F21938" i="9"/>
  <c r="H21938" i="9" s="1"/>
  <c r="F21939" i="9"/>
  <c r="H21939" i="9" s="1"/>
  <c r="F21940" i="9"/>
  <c r="H21940" i="9" s="1"/>
  <c r="F21941" i="9"/>
  <c r="H21941" i="9" s="1"/>
  <c r="F21942" i="9"/>
  <c r="H21942" i="9" s="1"/>
  <c r="F21943" i="9"/>
  <c r="H21943" i="9" s="1"/>
  <c r="F21944" i="9"/>
  <c r="H21944" i="9" s="1"/>
  <c r="F21945" i="9"/>
  <c r="H21945" i="9" s="1"/>
  <c r="F21946" i="9"/>
  <c r="H21946" i="9" s="1"/>
  <c r="F21947" i="9"/>
  <c r="H21947" i="9" s="1"/>
  <c r="F21948" i="9"/>
  <c r="H21948" i="9" s="1"/>
  <c r="F21949" i="9"/>
  <c r="H21949" i="9" s="1"/>
  <c r="F21950" i="9"/>
  <c r="H21950" i="9" s="1"/>
  <c r="F21951" i="9"/>
  <c r="H21951" i="9" s="1"/>
  <c r="F21952" i="9"/>
  <c r="H21952" i="9" s="1"/>
  <c r="F21953" i="9"/>
  <c r="H21953" i="9" s="1"/>
  <c r="F21954" i="9"/>
  <c r="H21954" i="9" s="1"/>
  <c r="F21955" i="9"/>
  <c r="H21955" i="9" s="1"/>
  <c r="F21956" i="9"/>
  <c r="H21956" i="9" s="1"/>
  <c r="F21957" i="9"/>
  <c r="H21957" i="9" s="1"/>
  <c r="F21958" i="9"/>
  <c r="H21958" i="9" s="1"/>
  <c r="F21959" i="9"/>
  <c r="H21959" i="9" s="1"/>
  <c r="F21960" i="9"/>
  <c r="H21960" i="9"/>
  <c r="F21961" i="9"/>
  <c r="H21961" i="9" s="1"/>
  <c r="F21962" i="9"/>
  <c r="H21962" i="9" s="1"/>
  <c r="F21963" i="9"/>
  <c r="H21963" i="9" s="1"/>
  <c r="F21964" i="9"/>
  <c r="H21964" i="9" s="1"/>
  <c r="F21965" i="9"/>
  <c r="H21965" i="9" s="1"/>
  <c r="F21966" i="9"/>
  <c r="H21966" i="9" s="1"/>
  <c r="F21967" i="9"/>
  <c r="H21967" i="9" s="1"/>
  <c r="F21968" i="9"/>
  <c r="H21968" i="9" s="1"/>
  <c r="F21969" i="9"/>
  <c r="H21969" i="9" s="1"/>
  <c r="F21970" i="9"/>
  <c r="H21970" i="9" s="1"/>
  <c r="F21971" i="9"/>
  <c r="H21971" i="9"/>
  <c r="F21972" i="9"/>
  <c r="H21972" i="9"/>
  <c r="F21973" i="9"/>
  <c r="H21973" i="9" s="1"/>
  <c r="F21974" i="9"/>
  <c r="H21974" i="9" s="1"/>
  <c r="F21975" i="9"/>
  <c r="H21975" i="9" s="1"/>
  <c r="F21976" i="9"/>
  <c r="H21976" i="9" s="1"/>
  <c r="F21977" i="9"/>
  <c r="H21977" i="9" s="1"/>
  <c r="F21978" i="9"/>
  <c r="H21978" i="9" s="1"/>
  <c r="F21979" i="9"/>
  <c r="H21979" i="9" s="1"/>
  <c r="F21980" i="9"/>
  <c r="H21980" i="9" s="1"/>
  <c r="F21981" i="9"/>
  <c r="H21981" i="9" s="1"/>
  <c r="F21982" i="9"/>
  <c r="H21982" i="9" s="1"/>
  <c r="F21983" i="9"/>
  <c r="H21983" i="9" s="1"/>
  <c r="F21984" i="9"/>
  <c r="H21984" i="9" s="1"/>
  <c r="F21985" i="9"/>
  <c r="H21985" i="9" s="1"/>
  <c r="F21986" i="9"/>
  <c r="H21986" i="9" s="1"/>
  <c r="F21987" i="9"/>
  <c r="H21987" i="9" s="1"/>
  <c r="F21988" i="9"/>
  <c r="H21988" i="9" s="1"/>
  <c r="F21989" i="9"/>
  <c r="H21989" i="9" s="1"/>
  <c r="F21990" i="9"/>
  <c r="H21990" i="9" s="1"/>
  <c r="F21991" i="9"/>
  <c r="H21991" i="9" s="1"/>
  <c r="F21992" i="9"/>
  <c r="H21992" i="9" s="1"/>
  <c r="F21993" i="9"/>
  <c r="H21993" i="9" s="1"/>
  <c r="F21994" i="9"/>
  <c r="H21994" i="9" s="1"/>
  <c r="F21995" i="9"/>
  <c r="H21995" i="9" s="1"/>
  <c r="F21996" i="9"/>
  <c r="H21996" i="9" s="1"/>
  <c r="F21997" i="9"/>
  <c r="H21997" i="9" s="1"/>
  <c r="F21998" i="9"/>
  <c r="H21998" i="9" s="1"/>
  <c r="F21999" i="9"/>
  <c r="H21999" i="9" s="1"/>
  <c r="F22000" i="9"/>
  <c r="H22000" i="9" s="1"/>
  <c r="F22001" i="9"/>
  <c r="H22001" i="9" s="1"/>
  <c r="F22002" i="9"/>
  <c r="H22002" i="9" s="1"/>
  <c r="F22003" i="9"/>
  <c r="H22003" i="9" s="1"/>
  <c r="F22004" i="9"/>
  <c r="H22004" i="9" s="1"/>
  <c r="F22005" i="9"/>
  <c r="H22005" i="9" s="1"/>
  <c r="F22006" i="9"/>
  <c r="H22006" i="9" s="1"/>
  <c r="F22007" i="9"/>
  <c r="H22007" i="9" s="1"/>
  <c r="F22008" i="9"/>
  <c r="H22008" i="9" s="1"/>
  <c r="F22009" i="9"/>
  <c r="H22009" i="9" s="1"/>
  <c r="F22010" i="9"/>
  <c r="H22010" i="9" s="1"/>
  <c r="F22011" i="9"/>
  <c r="H22011" i="9" s="1"/>
  <c r="F22012" i="9"/>
  <c r="H22012" i="9" s="1"/>
  <c r="F22013" i="9"/>
  <c r="H22013" i="9" s="1"/>
  <c r="F22014" i="9"/>
  <c r="H22014" i="9" s="1"/>
  <c r="F22015" i="9"/>
  <c r="H22015" i="9" s="1"/>
  <c r="F22016" i="9"/>
  <c r="H22016" i="9" s="1"/>
  <c r="F22017" i="9"/>
  <c r="H22017" i="9" s="1"/>
  <c r="F22018" i="9"/>
  <c r="H22018" i="9" s="1"/>
  <c r="F22019" i="9"/>
  <c r="H22019" i="9" s="1"/>
  <c r="F22020" i="9"/>
  <c r="H22020" i="9" s="1"/>
  <c r="F22021" i="9"/>
  <c r="H22021" i="9" s="1"/>
  <c r="F22022" i="9"/>
  <c r="H22022" i="9" s="1"/>
  <c r="F22023" i="9"/>
  <c r="H22023" i="9" s="1"/>
  <c r="F22024" i="9"/>
  <c r="H22024" i="9" s="1"/>
  <c r="F22025" i="9"/>
  <c r="H22025" i="9" s="1"/>
  <c r="F22026" i="9"/>
  <c r="H22026" i="9" s="1"/>
  <c r="F22027" i="9"/>
  <c r="H22027" i="9" s="1"/>
  <c r="F22028" i="9"/>
  <c r="H22028" i="9"/>
  <c r="F22029" i="9"/>
  <c r="H22029" i="9" s="1"/>
  <c r="F22030" i="9"/>
  <c r="H22030" i="9" s="1"/>
  <c r="F22031" i="9"/>
  <c r="H22031" i="9" s="1"/>
  <c r="F22032" i="9"/>
  <c r="H22032" i="9"/>
  <c r="F22033" i="9"/>
  <c r="H22033" i="9" s="1"/>
  <c r="F22034" i="9"/>
  <c r="H22034" i="9" s="1"/>
  <c r="F22035" i="9"/>
  <c r="H22035" i="9" s="1"/>
  <c r="F22036" i="9"/>
  <c r="H22036" i="9" s="1"/>
  <c r="F22037" i="9"/>
  <c r="H22037" i="9" s="1"/>
  <c r="F22038" i="9"/>
  <c r="H22038" i="9" s="1"/>
  <c r="F22039" i="9"/>
  <c r="H22039" i="9" s="1"/>
  <c r="F22040" i="9"/>
  <c r="H22040" i="9" s="1"/>
  <c r="F22041" i="9"/>
  <c r="H22041" i="9" s="1"/>
  <c r="F22042" i="9"/>
  <c r="H22042" i="9" s="1"/>
  <c r="F22043" i="9"/>
  <c r="H22043" i="9" s="1"/>
  <c r="F22044" i="9"/>
  <c r="H22044" i="9" s="1"/>
  <c r="F22045" i="9"/>
  <c r="H22045" i="9" s="1"/>
  <c r="F22046" i="9"/>
  <c r="H22046" i="9" s="1"/>
  <c r="F22047" i="9"/>
  <c r="H22047" i="9" s="1"/>
  <c r="F22048" i="9"/>
  <c r="H22048" i="9" s="1"/>
  <c r="F22049" i="9"/>
  <c r="H22049" i="9" s="1"/>
  <c r="F22050" i="9"/>
  <c r="H22050" i="9" s="1"/>
  <c r="F22051" i="9"/>
  <c r="H22051" i="9" s="1"/>
  <c r="F22052" i="9"/>
  <c r="H22052" i="9" s="1"/>
  <c r="F22053" i="9"/>
  <c r="H22053" i="9" s="1"/>
  <c r="F22054" i="9"/>
  <c r="H22054" i="9" s="1"/>
  <c r="F22055" i="9"/>
  <c r="H22055" i="9" s="1"/>
  <c r="F22056" i="9"/>
  <c r="H22056" i="9" s="1"/>
  <c r="F22057" i="9"/>
  <c r="H22057" i="9" s="1"/>
  <c r="F22058" i="9"/>
  <c r="H22058" i="9" s="1"/>
  <c r="F22059" i="9"/>
  <c r="H22059" i="9" s="1"/>
  <c r="F22060" i="9"/>
  <c r="H22060" i="9" s="1"/>
  <c r="F22061" i="9"/>
  <c r="H22061" i="9" s="1"/>
  <c r="F22062" i="9"/>
  <c r="H22062" i="9" s="1"/>
  <c r="F22063" i="9"/>
  <c r="H22063" i="9" s="1"/>
  <c r="F22064" i="9"/>
  <c r="H22064" i="9" s="1"/>
  <c r="F22065" i="9"/>
  <c r="H22065" i="9" s="1"/>
  <c r="F22066" i="9"/>
  <c r="H22066" i="9" s="1"/>
  <c r="F22067" i="9"/>
  <c r="H22067" i="9"/>
  <c r="F22068" i="9"/>
  <c r="H22068" i="9" s="1"/>
  <c r="F22069" i="9"/>
  <c r="H22069" i="9" s="1"/>
  <c r="F22070" i="9"/>
  <c r="H22070" i="9" s="1"/>
  <c r="F22071" i="9"/>
  <c r="H22071" i="9" s="1"/>
  <c r="F22072" i="9"/>
  <c r="H22072" i="9" s="1"/>
  <c r="F22073" i="9"/>
  <c r="H22073" i="9" s="1"/>
  <c r="F22074" i="9"/>
  <c r="H22074" i="9" s="1"/>
  <c r="F22075" i="9"/>
  <c r="H22075" i="9" s="1"/>
  <c r="F22076" i="9"/>
  <c r="H22076" i="9" s="1"/>
  <c r="F22077" i="9"/>
  <c r="H22077" i="9" s="1"/>
  <c r="F22078" i="9"/>
  <c r="H22078" i="9" s="1"/>
  <c r="F22079" i="9"/>
  <c r="H22079" i="9" s="1"/>
  <c r="F22080" i="9"/>
  <c r="H22080" i="9" s="1"/>
  <c r="F22081" i="9"/>
  <c r="H22081" i="9" s="1"/>
  <c r="F22082" i="9"/>
  <c r="H22082" i="9" s="1"/>
  <c r="F22083" i="9"/>
  <c r="H22083" i="9"/>
  <c r="F22084" i="9"/>
  <c r="H22084" i="9" s="1"/>
  <c r="F22085" i="9"/>
  <c r="H22085" i="9" s="1"/>
  <c r="F22086" i="9"/>
  <c r="H22086" i="9" s="1"/>
  <c r="F22087" i="9"/>
  <c r="H22087" i="9"/>
  <c r="F22088" i="9"/>
  <c r="H22088" i="9" s="1"/>
  <c r="F22089" i="9"/>
  <c r="H22089" i="9" s="1"/>
  <c r="F22090" i="9"/>
  <c r="H22090" i="9" s="1"/>
  <c r="F22091" i="9"/>
  <c r="H22091" i="9"/>
  <c r="F22092" i="9"/>
  <c r="H22092" i="9" s="1"/>
  <c r="F22093" i="9"/>
  <c r="H22093" i="9" s="1"/>
  <c r="F22094" i="9"/>
  <c r="H22094" i="9" s="1"/>
  <c r="F22095" i="9"/>
  <c r="H22095" i="9" s="1"/>
  <c r="F22096" i="9"/>
  <c r="H22096" i="9" s="1"/>
  <c r="F22097" i="9"/>
  <c r="H22097" i="9" s="1"/>
  <c r="F22098" i="9"/>
  <c r="H22098" i="9" s="1"/>
  <c r="F22099" i="9"/>
  <c r="H22099" i="9" s="1"/>
  <c r="F22100" i="9"/>
  <c r="H22100" i="9" s="1"/>
  <c r="F22101" i="9"/>
  <c r="H22101" i="9" s="1"/>
  <c r="F22102" i="9"/>
  <c r="H22102" i="9" s="1"/>
  <c r="F22103" i="9"/>
  <c r="H22103" i="9" s="1"/>
  <c r="F22104" i="9"/>
  <c r="H22104" i="9" s="1"/>
  <c r="F22105" i="9"/>
  <c r="H22105" i="9" s="1"/>
  <c r="F22106" i="9"/>
  <c r="H22106" i="9" s="1"/>
  <c r="F22107" i="9"/>
  <c r="H22107" i="9" s="1"/>
  <c r="F22108" i="9"/>
  <c r="H22108" i="9" s="1"/>
  <c r="F22109" i="9"/>
  <c r="H22109" i="9" s="1"/>
  <c r="F22110" i="9"/>
  <c r="H22110" i="9" s="1"/>
  <c r="F22111" i="9"/>
  <c r="H22111" i="9" s="1"/>
  <c r="F22112" i="9"/>
  <c r="H22112" i="9" s="1"/>
  <c r="F22113" i="9"/>
  <c r="H22113" i="9" s="1"/>
  <c r="F22114" i="9"/>
  <c r="H22114" i="9" s="1"/>
  <c r="F22115" i="9"/>
  <c r="H22115" i="9"/>
  <c r="F22116" i="9"/>
  <c r="H22116" i="9" s="1"/>
  <c r="F22117" i="9"/>
  <c r="H22117" i="9" s="1"/>
  <c r="F22118" i="9"/>
  <c r="H22118" i="9" s="1"/>
  <c r="F22119" i="9"/>
  <c r="H22119" i="9" s="1"/>
  <c r="F22120" i="9"/>
  <c r="H22120" i="9" s="1"/>
  <c r="F22121" i="9"/>
  <c r="H22121" i="9" s="1"/>
  <c r="F22122" i="9"/>
  <c r="H22122" i="9" s="1"/>
  <c r="F22123" i="9"/>
  <c r="H22123" i="9" s="1"/>
  <c r="F22124" i="9"/>
  <c r="H22124" i="9" s="1"/>
  <c r="F22125" i="9"/>
  <c r="H22125" i="9" s="1"/>
  <c r="F22126" i="9"/>
  <c r="H22126" i="9" s="1"/>
  <c r="F22127" i="9"/>
  <c r="H22127" i="9" s="1"/>
  <c r="F22128" i="9"/>
  <c r="H22128" i="9" s="1"/>
  <c r="F22129" i="9"/>
  <c r="H22129" i="9" s="1"/>
  <c r="F22130" i="9"/>
  <c r="H22130" i="9" s="1"/>
  <c r="F22131" i="9"/>
  <c r="H22131" i="9" s="1"/>
  <c r="F22132" i="9"/>
  <c r="H22132" i="9" s="1"/>
  <c r="F22133" i="9"/>
  <c r="H22133" i="9" s="1"/>
  <c r="F22134" i="9"/>
  <c r="H22134" i="9" s="1"/>
  <c r="F22135" i="9"/>
  <c r="H22135" i="9" s="1"/>
  <c r="F22136" i="9"/>
  <c r="H22136" i="9" s="1"/>
  <c r="F22137" i="9"/>
  <c r="H22137" i="9" s="1"/>
  <c r="F22138" i="9"/>
  <c r="H22138" i="9" s="1"/>
  <c r="F22139" i="9"/>
  <c r="H22139" i="9" s="1"/>
  <c r="F22140" i="9"/>
  <c r="H22140" i="9" s="1"/>
  <c r="F22141" i="9"/>
  <c r="H22141" i="9" s="1"/>
  <c r="F22142" i="9"/>
  <c r="H22142" i="9" s="1"/>
  <c r="F22143" i="9"/>
  <c r="H22143" i="9" s="1"/>
  <c r="F22144" i="9"/>
  <c r="H22144" i="9" s="1"/>
  <c r="F22145" i="9"/>
  <c r="H22145" i="9" s="1"/>
  <c r="F22146" i="9"/>
  <c r="H22146" i="9" s="1"/>
  <c r="F22147" i="9"/>
  <c r="H22147" i="9" s="1"/>
  <c r="F22148" i="9"/>
  <c r="H22148" i="9" s="1"/>
  <c r="F22149" i="9"/>
  <c r="H22149" i="9" s="1"/>
  <c r="F22150" i="9"/>
  <c r="H22150" i="9" s="1"/>
  <c r="F22151" i="9"/>
  <c r="H22151" i="9"/>
  <c r="F22152" i="9"/>
  <c r="H22152" i="9" s="1"/>
  <c r="F22153" i="9"/>
  <c r="H22153" i="9" s="1"/>
  <c r="F22154" i="9"/>
  <c r="H22154" i="9" s="1"/>
  <c r="F22155" i="9"/>
  <c r="H22155" i="9" s="1"/>
  <c r="F22156" i="9"/>
  <c r="H22156" i="9" s="1"/>
  <c r="F22157" i="9"/>
  <c r="H22157" i="9" s="1"/>
  <c r="F22158" i="9"/>
  <c r="H22158" i="9" s="1"/>
  <c r="F22159" i="9"/>
  <c r="H22159" i="9"/>
  <c r="F22160" i="9"/>
  <c r="H22160" i="9" s="1"/>
  <c r="F22161" i="9"/>
  <c r="H22161" i="9" s="1"/>
  <c r="F22162" i="9"/>
  <c r="H22162" i="9" s="1"/>
  <c r="F22163" i="9"/>
  <c r="H22163" i="9" s="1"/>
  <c r="F22164" i="9"/>
  <c r="H22164" i="9"/>
  <c r="F22165" i="9"/>
  <c r="H22165" i="9" s="1"/>
  <c r="F22166" i="9"/>
  <c r="H22166" i="9"/>
  <c r="F22167" i="9"/>
  <c r="H22167" i="9" s="1"/>
  <c r="F22168" i="9"/>
  <c r="H22168" i="9" s="1"/>
  <c r="F22169" i="9"/>
  <c r="H22169" i="9" s="1"/>
  <c r="F22170" i="9"/>
  <c r="H22170" i="9" s="1"/>
  <c r="F22171" i="9"/>
  <c r="H22171" i="9"/>
  <c r="F22172" i="9"/>
  <c r="H22172" i="9" s="1"/>
  <c r="F22173" i="9"/>
  <c r="H22173" i="9" s="1"/>
  <c r="F22174" i="9"/>
  <c r="H22174" i="9" s="1"/>
  <c r="F22175" i="9"/>
  <c r="H22175" i="9" s="1"/>
  <c r="F22176" i="9"/>
  <c r="H22176" i="9" s="1"/>
  <c r="F22177" i="9"/>
  <c r="H22177" i="9" s="1"/>
  <c r="F22178" i="9"/>
  <c r="H22178" i="9" s="1"/>
  <c r="F22179" i="9"/>
  <c r="H22179" i="9" s="1"/>
  <c r="F22180" i="9"/>
  <c r="H22180" i="9" s="1"/>
  <c r="F22181" i="9"/>
  <c r="H22181" i="9" s="1"/>
  <c r="F22182" i="9"/>
  <c r="H22182" i="9" s="1"/>
  <c r="F22183" i="9"/>
  <c r="H22183" i="9" s="1"/>
  <c r="F22184" i="9"/>
  <c r="H22184" i="9" s="1"/>
  <c r="F22185" i="9"/>
  <c r="H22185" i="9" s="1"/>
  <c r="F22186" i="9"/>
  <c r="H22186" i="9" s="1"/>
  <c r="F22187" i="9"/>
  <c r="H22187" i="9" s="1"/>
  <c r="F22188" i="9"/>
  <c r="H22188" i="9" s="1"/>
  <c r="F22189" i="9"/>
  <c r="H22189" i="9" s="1"/>
  <c r="F22190" i="9"/>
  <c r="H22190" i="9" s="1"/>
  <c r="F22191" i="9"/>
  <c r="H22191" i="9" s="1"/>
  <c r="F22192" i="9"/>
  <c r="H22192" i="9" s="1"/>
  <c r="F22193" i="9"/>
  <c r="H22193" i="9" s="1"/>
  <c r="F22194" i="9"/>
  <c r="H22194" i="9" s="1"/>
  <c r="F22195" i="9"/>
  <c r="H22195" i="9" s="1"/>
  <c r="F22196" i="9"/>
  <c r="H22196" i="9" s="1"/>
  <c r="F22197" i="9"/>
  <c r="H22197" i="9" s="1"/>
  <c r="F22198" i="9"/>
  <c r="H22198" i="9" s="1"/>
  <c r="F22199" i="9"/>
  <c r="H22199" i="9" s="1"/>
  <c r="F22200" i="9"/>
  <c r="H22200" i="9" s="1"/>
  <c r="F22201" i="9"/>
  <c r="H22201" i="9" s="1"/>
  <c r="F22202" i="9"/>
  <c r="H22202" i="9" s="1"/>
  <c r="F22203" i="9"/>
  <c r="H22203" i="9" s="1"/>
  <c r="F22204" i="9"/>
  <c r="H22204" i="9" s="1"/>
  <c r="F22205" i="9"/>
  <c r="H22205" i="9" s="1"/>
  <c r="F22206" i="9"/>
  <c r="H22206" i="9" s="1"/>
  <c r="F22207" i="9"/>
  <c r="H22207" i="9" s="1"/>
  <c r="F22208" i="9"/>
  <c r="H22208" i="9" s="1"/>
  <c r="F22209" i="9"/>
  <c r="H22209" i="9" s="1"/>
  <c r="F22210" i="9"/>
  <c r="H22210" i="9" s="1"/>
  <c r="F22211" i="9"/>
  <c r="H22211" i="9" s="1"/>
  <c r="F22212" i="9"/>
  <c r="H22212" i="9" s="1"/>
  <c r="F22213" i="9"/>
  <c r="H22213" i="9" s="1"/>
  <c r="F22214" i="9"/>
  <c r="H22214" i="9" s="1"/>
  <c r="F22215" i="9"/>
  <c r="H22215" i="9" s="1"/>
  <c r="F22216" i="9"/>
  <c r="H22216" i="9" s="1"/>
  <c r="F22217" i="9"/>
  <c r="H22217" i="9" s="1"/>
  <c r="F22218" i="9"/>
  <c r="H22218" i="9" s="1"/>
  <c r="F22219" i="9"/>
  <c r="H22219" i="9" s="1"/>
  <c r="F22220" i="9"/>
  <c r="H22220" i="9" s="1"/>
  <c r="F22221" i="9"/>
  <c r="H22221" i="9" s="1"/>
  <c r="F22222" i="9"/>
  <c r="H22222" i="9" s="1"/>
  <c r="F22223" i="9"/>
  <c r="H22223" i="9" s="1"/>
  <c r="F22224" i="9"/>
  <c r="H22224" i="9" s="1"/>
  <c r="F22225" i="9"/>
  <c r="H22225" i="9" s="1"/>
  <c r="F22226" i="9"/>
  <c r="H22226" i="9" s="1"/>
  <c r="F22227" i="9"/>
  <c r="H22227" i="9" s="1"/>
  <c r="F22228" i="9"/>
  <c r="H22228" i="9" s="1"/>
  <c r="F22229" i="9"/>
  <c r="H22229" i="9" s="1"/>
  <c r="F22230" i="9"/>
  <c r="H22230" i="9" s="1"/>
  <c r="F22231" i="9"/>
  <c r="H22231" i="9" s="1"/>
  <c r="F22232" i="9"/>
  <c r="H22232" i="9" s="1"/>
  <c r="F22233" i="9"/>
  <c r="H22233" i="9" s="1"/>
  <c r="F22234" i="9"/>
  <c r="H22234" i="9" s="1"/>
  <c r="F22235" i="9"/>
  <c r="H22235" i="9" s="1"/>
  <c r="F22236" i="9"/>
  <c r="H22236" i="9" s="1"/>
  <c r="F22237" i="9"/>
  <c r="H22237" i="9" s="1"/>
  <c r="F22238" i="9"/>
  <c r="H22238" i="9" s="1"/>
  <c r="F22239" i="9"/>
  <c r="H22239" i="9" s="1"/>
  <c r="F22240" i="9"/>
  <c r="H22240" i="9" s="1"/>
  <c r="F22241" i="9"/>
  <c r="H22241" i="9" s="1"/>
  <c r="F22242" i="9"/>
  <c r="H22242" i="9" s="1"/>
  <c r="F22243" i="9"/>
  <c r="H22243" i="9" s="1"/>
  <c r="F22244" i="9"/>
  <c r="H22244" i="9" s="1"/>
  <c r="F22245" i="9"/>
  <c r="H22245" i="9" s="1"/>
  <c r="F22246" i="9"/>
  <c r="H22246" i="9" s="1"/>
  <c r="F22247" i="9"/>
  <c r="H22247" i="9" s="1"/>
  <c r="F22248" i="9"/>
  <c r="H22248" i="9" s="1"/>
  <c r="F22249" i="9"/>
  <c r="H22249" i="9" s="1"/>
  <c r="F22250" i="9"/>
  <c r="H22250" i="9" s="1"/>
  <c r="F22251" i="9"/>
  <c r="H22251" i="9" s="1"/>
  <c r="F22252" i="9"/>
  <c r="H22252" i="9" s="1"/>
  <c r="F22253" i="9"/>
  <c r="H22253" i="9" s="1"/>
  <c r="F22254" i="9"/>
  <c r="H22254" i="9" s="1"/>
  <c r="F22255" i="9"/>
  <c r="H22255" i="9" s="1"/>
  <c r="F22256" i="9"/>
  <c r="H22256" i="9" s="1"/>
  <c r="F22257" i="9"/>
  <c r="H22257" i="9" s="1"/>
  <c r="F22258" i="9"/>
  <c r="H22258" i="9" s="1"/>
  <c r="F22259" i="9"/>
  <c r="H22259" i="9" s="1"/>
  <c r="F22260" i="9"/>
  <c r="H22260" i="9" s="1"/>
  <c r="F22261" i="9"/>
  <c r="H22261" i="9" s="1"/>
  <c r="F22262" i="9"/>
  <c r="H22262" i="9" s="1"/>
  <c r="F22263" i="9"/>
  <c r="H22263" i="9" s="1"/>
  <c r="F22264" i="9"/>
  <c r="H22264" i="9" s="1"/>
  <c r="F22265" i="9"/>
  <c r="H22265" i="9" s="1"/>
  <c r="F22266" i="9"/>
  <c r="H22266" i="9" s="1"/>
  <c r="F22267" i="9"/>
  <c r="H22267" i="9" s="1"/>
  <c r="F22268" i="9"/>
  <c r="H22268" i="9" s="1"/>
  <c r="F22269" i="9"/>
  <c r="H22269" i="9" s="1"/>
  <c r="F22270" i="9"/>
  <c r="H22270" i="9" s="1"/>
  <c r="F22271" i="9"/>
  <c r="H22271" i="9" s="1"/>
  <c r="F22272" i="9"/>
  <c r="H22272" i="9" s="1"/>
  <c r="F22273" i="9"/>
  <c r="H22273" i="9" s="1"/>
  <c r="F22274" i="9"/>
  <c r="H22274" i="9" s="1"/>
  <c r="F22275" i="9"/>
  <c r="H22275" i="9" s="1"/>
  <c r="F22276" i="9"/>
  <c r="H22276" i="9" s="1"/>
  <c r="F22277" i="9"/>
  <c r="H22277" i="9" s="1"/>
  <c r="F22278" i="9"/>
  <c r="H22278" i="9" s="1"/>
  <c r="F22279" i="9"/>
  <c r="H22279" i="9" s="1"/>
  <c r="F22280" i="9"/>
  <c r="H22280" i="9" s="1"/>
  <c r="F22281" i="9"/>
  <c r="H22281" i="9" s="1"/>
  <c r="F22282" i="9"/>
  <c r="H22282" i="9" s="1"/>
  <c r="F22283" i="9"/>
  <c r="H22283" i="9" s="1"/>
  <c r="F22284" i="9"/>
  <c r="H22284" i="9" s="1"/>
  <c r="F22285" i="9"/>
  <c r="H22285" i="9" s="1"/>
  <c r="F22286" i="9"/>
  <c r="H22286" i="9" s="1"/>
  <c r="F22287" i="9"/>
  <c r="H22287" i="9" s="1"/>
  <c r="F22288" i="9"/>
  <c r="H22288" i="9" s="1"/>
  <c r="F22289" i="9"/>
  <c r="H22289" i="9" s="1"/>
  <c r="F22290" i="9"/>
  <c r="H22290" i="9" s="1"/>
  <c r="F22291" i="9"/>
  <c r="H22291" i="9" s="1"/>
  <c r="F22292" i="9"/>
  <c r="H22292" i="9" s="1"/>
  <c r="F22293" i="9"/>
  <c r="H22293" i="9" s="1"/>
  <c r="F22294" i="9"/>
  <c r="H22294" i="9" s="1"/>
  <c r="F22295" i="9"/>
  <c r="H22295" i="9" s="1"/>
  <c r="F22296" i="9"/>
  <c r="H22296" i="9" s="1"/>
  <c r="F22297" i="9"/>
  <c r="H22297" i="9" s="1"/>
  <c r="F22298" i="9"/>
  <c r="H22298" i="9" s="1"/>
  <c r="F22299" i="9"/>
  <c r="H22299" i="9" s="1"/>
  <c r="F22300" i="9"/>
  <c r="H22300" i="9" s="1"/>
  <c r="F22301" i="9"/>
  <c r="H22301" i="9" s="1"/>
  <c r="F22302" i="9"/>
  <c r="H22302" i="9" s="1"/>
  <c r="F22303" i="9"/>
  <c r="H22303" i="9" s="1"/>
  <c r="F22304" i="9"/>
  <c r="H22304" i="9" s="1"/>
  <c r="F22305" i="9"/>
  <c r="H22305" i="9" s="1"/>
  <c r="F22306" i="9"/>
  <c r="H22306" i="9" s="1"/>
  <c r="F22307" i="9"/>
  <c r="H22307" i="9" s="1"/>
  <c r="F22308" i="9"/>
  <c r="H22308" i="9" s="1"/>
  <c r="F22309" i="9"/>
  <c r="H22309" i="9" s="1"/>
  <c r="F22310" i="9"/>
  <c r="H22310" i="9" s="1"/>
  <c r="F22311" i="9"/>
  <c r="H22311" i="9" s="1"/>
  <c r="F22312" i="9"/>
  <c r="H22312" i="9" s="1"/>
  <c r="F22313" i="9"/>
  <c r="H22313" i="9" s="1"/>
  <c r="F22314" i="9"/>
  <c r="H22314" i="9" s="1"/>
  <c r="F22315" i="9"/>
  <c r="H22315" i="9" s="1"/>
  <c r="F22316" i="9"/>
  <c r="H22316" i="9" s="1"/>
  <c r="F22317" i="9"/>
  <c r="H22317" i="9" s="1"/>
  <c r="F22318" i="9"/>
  <c r="H22318" i="9" s="1"/>
  <c r="F22319" i="9"/>
  <c r="H22319" i="9" s="1"/>
  <c r="F22320" i="9"/>
  <c r="H22320" i="9"/>
  <c r="F22321" i="9"/>
  <c r="H22321" i="9" s="1"/>
  <c r="F22322" i="9"/>
  <c r="H22322" i="9" s="1"/>
  <c r="F22323" i="9"/>
  <c r="H22323" i="9" s="1"/>
  <c r="F22324" i="9"/>
  <c r="H22324" i="9" s="1"/>
  <c r="F22325" i="9"/>
  <c r="H22325" i="9" s="1"/>
  <c r="F22326" i="9"/>
  <c r="H22326" i="9" s="1"/>
  <c r="F22327" i="9"/>
  <c r="H22327" i="9" s="1"/>
  <c r="F22328" i="9"/>
  <c r="H22328" i="9" s="1"/>
  <c r="F22329" i="9"/>
  <c r="H22329" i="9" s="1"/>
  <c r="F22330" i="9"/>
  <c r="H22330" i="9" s="1"/>
  <c r="F22331" i="9"/>
  <c r="H22331" i="9" s="1"/>
  <c r="F22332" i="9"/>
  <c r="H22332" i="9" s="1"/>
  <c r="F22333" i="9"/>
  <c r="H22333" i="9" s="1"/>
  <c r="F22334" i="9"/>
  <c r="H22334" i="9" s="1"/>
  <c r="F22335" i="9"/>
  <c r="H22335" i="9" s="1"/>
  <c r="F22336" i="9"/>
  <c r="H22336" i="9" s="1"/>
  <c r="F22337" i="9"/>
  <c r="H22337" i="9" s="1"/>
  <c r="F22338" i="9"/>
  <c r="H22338" i="9" s="1"/>
  <c r="F22339" i="9"/>
  <c r="H22339" i="9" s="1"/>
  <c r="F22340" i="9"/>
  <c r="H22340" i="9" s="1"/>
  <c r="F22341" i="9"/>
  <c r="H22341" i="9" s="1"/>
  <c r="F22342" i="9"/>
  <c r="H22342" i="9" s="1"/>
  <c r="F22343" i="9"/>
  <c r="H22343" i="9" s="1"/>
  <c r="F22344" i="9"/>
  <c r="H22344" i="9" s="1"/>
  <c r="F22345" i="9"/>
  <c r="H22345" i="9" s="1"/>
  <c r="F22346" i="9"/>
  <c r="H22346" i="9" s="1"/>
  <c r="F22347" i="9"/>
  <c r="H22347" i="9" s="1"/>
  <c r="F22348" i="9"/>
  <c r="H22348" i="9" s="1"/>
  <c r="F22349" i="9"/>
  <c r="H22349" i="9" s="1"/>
  <c r="F22350" i="9"/>
  <c r="H22350" i="9" s="1"/>
  <c r="F22351" i="9"/>
  <c r="H22351" i="9" s="1"/>
  <c r="F22352" i="9"/>
  <c r="H22352" i="9" s="1"/>
  <c r="F22353" i="9"/>
  <c r="H22353" i="9" s="1"/>
  <c r="F22354" i="9"/>
  <c r="H22354" i="9" s="1"/>
  <c r="F22355" i="9"/>
  <c r="H22355" i="9" s="1"/>
  <c r="F22356" i="9"/>
  <c r="H22356" i="9" s="1"/>
  <c r="F22357" i="9"/>
  <c r="H22357" i="9" s="1"/>
  <c r="F22358" i="9"/>
  <c r="H22358" i="9" s="1"/>
  <c r="F22359" i="9"/>
  <c r="H22359" i="9"/>
  <c r="F22360" i="9"/>
  <c r="H22360" i="9" s="1"/>
  <c r="F22361" i="9"/>
  <c r="H22361" i="9" s="1"/>
  <c r="F22362" i="9"/>
  <c r="H22362" i="9" s="1"/>
  <c r="F22363" i="9"/>
  <c r="H22363" i="9" s="1"/>
  <c r="F22364" i="9"/>
  <c r="H22364" i="9" s="1"/>
  <c r="F22365" i="9"/>
  <c r="H22365" i="9" s="1"/>
  <c r="F22366" i="9"/>
  <c r="H22366" i="9" s="1"/>
  <c r="F22367" i="9"/>
  <c r="H22367" i="9" s="1"/>
  <c r="F22368" i="9"/>
  <c r="H22368" i="9" s="1"/>
  <c r="F22369" i="9"/>
  <c r="H22369" i="9" s="1"/>
  <c r="F22370" i="9"/>
  <c r="H22370" i="9" s="1"/>
  <c r="F22371" i="9"/>
  <c r="H22371" i="9" s="1"/>
  <c r="F22372" i="9"/>
  <c r="H22372" i="9" s="1"/>
  <c r="F22373" i="9"/>
  <c r="H22373" i="9"/>
  <c r="F22374" i="9"/>
  <c r="H22374" i="9" s="1"/>
  <c r="F22375" i="9"/>
  <c r="H22375" i="9" s="1"/>
  <c r="F22376" i="9"/>
  <c r="H22376" i="9" s="1"/>
  <c r="F22377" i="9"/>
  <c r="H22377" i="9" s="1"/>
  <c r="F22378" i="9"/>
  <c r="H22378" i="9" s="1"/>
  <c r="F22379" i="9"/>
  <c r="H22379" i="9"/>
  <c r="F22380" i="9"/>
  <c r="H22380" i="9" s="1"/>
  <c r="F22381" i="9"/>
  <c r="H22381" i="9" s="1"/>
  <c r="F22382" i="9"/>
  <c r="H22382" i="9" s="1"/>
  <c r="F22383" i="9"/>
  <c r="H22383" i="9" s="1"/>
  <c r="F22384" i="9"/>
  <c r="H22384" i="9" s="1"/>
  <c r="F22385" i="9"/>
  <c r="H22385" i="9" s="1"/>
  <c r="F22386" i="9"/>
  <c r="H22386" i="9" s="1"/>
  <c r="F22387" i="9"/>
  <c r="H22387" i="9" s="1"/>
  <c r="F22388" i="9"/>
  <c r="H22388" i="9" s="1"/>
  <c r="F22389" i="9"/>
  <c r="H22389" i="9" s="1"/>
  <c r="F22390" i="9"/>
  <c r="H22390" i="9" s="1"/>
  <c r="F22391" i="9"/>
  <c r="H22391" i="9" s="1"/>
  <c r="F22392" i="9"/>
  <c r="H22392" i="9" s="1"/>
  <c r="F22393" i="9"/>
  <c r="H22393" i="9" s="1"/>
  <c r="F22394" i="9"/>
  <c r="H22394" i="9" s="1"/>
  <c r="F22395" i="9"/>
  <c r="H22395" i="9" s="1"/>
  <c r="F22396" i="9"/>
  <c r="H22396" i="9" s="1"/>
  <c r="F22397" i="9"/>
  <c r="H22397" i="9" s="1"/>
  <c r="F22398" i="9"/>
  <c r="H22398" i="9" s="1"/>
  <c r="F22399" i="9"/>
  <c r="H22399" i="9" s="1"/>
  <c r="F22400" i="9"/>
  <c r="H22400" i="9" s="1"/>
  <c r="F22401" i="9"/>
  <c r="H22401" i="9" s="1"/>
  <c r="F22402" i="9"/>
  <c r="H22402" i="9" s="1"/>
  <c r="F22403" i="9"/>
  <c r="H22403" i="9"/>
  <c r="F22404" i="9"/>
  <c r="H22404" i="9" s="1"/>
  <c r="F22405" i="9"/>
  <c r="H22405" i="9" s="1"/>
  <c r="F22406" i="9"/>
  <c r="H22406" i="9" s="1"/>
  <c r="F22407" i="9"/>
  <c r="H22407" i="9" s="1"/>
  <c r="F22408" i="9"/>
  <c r="H22408" i="9" s="1"/>
  <c r="F22409" i="9"/>
  <c r="H22409" i="9" s="1"/>
  <c r="F22410" i="9"/>
  <c r="H22410" i="9" s="1"/>
  <c r="F22411" i="9"/>
  <c r="H22411" i="9" s="1"/>
  <c r="F22412" i="9"/>
  <c r="H22412" i="9" s="1"/>
  <c r="F22413" i="9"/>
  <c r="H22413" i="9" s="1"/>
  <c r="F22414" i="9"/>
  <c r="H22414" i="9" s="1"/>
  <c r="F22415" i="9"/>
  <c r="H22415" i="9" s="1"/>
  <c r="F22416" i="9"/>
  <c r="H22416" i="9"/>
  <c r="F22417" i="9"/>
  <c r="H22417" i="9" s="1"/>
  <c r="F22418" i="9"/>
  <c r="H22418" i="9" s="1"/>
  <c r="F22419" i="9"/>
  <c r="H22419" i="9" s="1"/>
  <c r="F22420" i="9"/>
  <c r="H22420" i="9" s="1"/>
  <c r="F22421" i="9"/>
  <c r="H22421" i="9" s="1"/>
  <c r="F22422" i="9"/>
  <c r="H22422" i="9" s="1"/>
  <c r="F22423" i="9"/>
  <c r="H22423" i="9" s="1"/>
  <c r="F22424" i="9"/>
  <c r="H22424" i="9" s="1"/>
  <c r="F22425" i="9"/>
  <c r="H22425" i="9" s="1"/>
  <c r="F22426" i="9"/>
  <c r="H22426" i="9" s="1"/>
  <c r="F22427" i="9"/>
  <c r="H22427" i="9" s="1"/>
  <c r="F22428" i="9"/>
  <c r="H22428" i="9" s="1"/>
  <c r="F22429" i="9"/>
  <c r="H22429" i="9" s="1"/>
  <c r="F22430" i="9"/>
  <c r="H22430" i="9" s="1"/>
  <c r="F22431" i="9"/>
  <c r="H22431" i="9" s="1"/>
  <c r="F22432" i="9"/>
  <c r="H22432" i="9" s="1"/>
  <c r="F22433" i="9"/>
  <c r="H22433" i="9" s="1"/>
  <c r="F22434" i="9"/>
  <c r="H22434" i="9" s="1"/>
  <c r="F22435" i="9"/>
  <c r="H22435" i="9" s="1"/>
  <c r="F22436" i="9"/>
  <c r="H22436" i="9"/>
  <c r="F22437" i="9"/>
  <c r="H22437" i="9" s="1"/>
  <c r="F22438" i="9"/>
  <c r="H22438" i="9" s="1"/>
  <c r="F22439" i="9"/>
  <c r="H22439" i="9" s="1"/>
  <c r="F22440" i="9"/>
  <c r="H22440" i="9" s="1"/>
  <c r="F22441" i="9"/>
  <c r="H22441" i="9" s="1"/>
  <c r="F22442" i="9"/>
  <c r="H22442" i="9" s="1"/>
  <c r="F22443" i="9"/>
  <c r="H22443" i="9" s="1"/>
  <c r="F22444" i="9"/>
  <c r="H22444" i="9" s="1"/>
  <c r="F22445" i="9"/>
  <c r="H22445" i="9" s="1"/>
  <c r="F22446" i="9"/>
  <c r="H22446" i="9" s="1"/>
  <c r="F22447" i="9"/>
  <c r="H22447" i="9" s="1"/>
  <c r="F22448" i="9"/>
  <c r="H22448" i="9" s="1"/>
  <c r="F22449" i="9"/>
  <c r="H22449" i="9" s="1"/>
  <c r="F22450" i="9"/>
  <c r="H22450" i="9" s="1"/>
  <c r="F22451" i="9"/>
  <c r="H22451" i="9" s="1"/>
  <c r="F22452" i="9"/>
  <c r="H22452" i="9" s="1"/>
  <c r="F22453" i="9"/>
  <c r="H22453" i="9" s="1"/>
  <c r="F22454" i="9"/>
  <c r="H22454" i="9" s="1"/>
  <c r="F22455" i="9"/>
  <c r="H22455" i="9" s="1"/>
  <c r="F22456" i="9"/>
  <c r="H22456" i="9" s="1"/>
  <c r="F22457" i="9"/>
  <c r="H22457" i="9" s="1"/>
  <c r="F22458" i="9"/>
  <c r="H22458" i="9" s="1"/>
  <c r="F22459" i="9"/>
  <c r="H22459" i="9" s="1"/>
  <c r="F22460" i="9"/>
  <c r="H22460" i="9"/>
  <c r="F22461" i="9"/>
  <c r="H22461" i="9" s="1"/>
  <c r="F22462" i="9"/>
  <c r="H22462" i="9" s="1"/>
  <c r="F22463" i="9"/>
  <c r="H22463" i="9" s="1"/>
  <c r="F22464" i="9"/>
  <c r="H22464" i="9" s="1"/>
  <c r="F22465" i="9"/>
  <c r="H22465" i="9" s="1"/>
  <c r="F22466" i="9"/>
  <c r="H22466" i="9"/>
  <c r="F22467" i="9"/>
  <c r="H22467" i="9" s="1"/>
  <c r="F22468" i="9"/>
  <c r="H22468" i="9" s="1"/>
  <c r="F22469" i="9"/>
  <c r="H22469" i="9" s="1"/>
  <c r="F22470" i="9"/>
  <c r="H22470" i="9" s="1"/>
  <c r="F22471" i="9"/>
  <c r="H22471" i="9" s="1"/>
  <c r="F22472" i="9"/>
  <c r="H22472" i="9" s="1"/>
  <c r="F22473" i="9"/>
  <c r="H22473" i="9" s="1"/>
  <c r="F22474" i="9"/>
  <c r="H22474" i="9" s="1"/>
  <c r="F22475" i="9"/>
  <c r="H22475" i="9" s="1"/>
  <c r="F22476" i="9"/>
  <c r="H22476" i="9"/>
  <c r="F22477" i="9"/>
  <c r="H22477" i="9" s="1"/>
  <c r="F22478" i="9"/>
  <c r="H22478" i="9" s="1"/>
  <c r="F22479" i="9"/>
  <c r="H22479" i="9" s="1"/>
  <c r="F22480" i="9"/>
  <c r="H22480" i="9" s="1"/>
  <c r="F22481" i="9"/>
  <c r="H22481" i="9" s="1"/>
  <c r="F22482" i="9"/>
  <c r="H22482" i="9"/>
  <c r="F22483" i="9"/>
  <c r="H22483" i="9" s="1"/>
  <c r="F22484" i="9"/>
  <c r="H22484" i="9" s="1"/>
  <c r="F22485" i="9"/>
  <c r="H22485" i="9" s="1"/>
  <c r="F22486" i="9"/>
  <c r="H22486" i="9" s="1"/>
  <c r="F22487" i="9"/>
  <c r="H22487" i="9" s="1"/>
  <c r="F22488" i="9"/>
  <c r="H22488" i="9" s="1"/>
  <c r="F22489" i="9"/>
  <c r="H22489" i="9" s="1"/>
  <c r="F22490" i="9"/>
  <c r="H22490" i="9" s="1"/>
  <c r="F22491" i="9"/>
  <c r="H22491" i="9"/>
  <c r="F22492" i="9"/>
  <c r="H22492" i="9" s="1"/>
  <c r="F22493" i="9"/>
  <c r="H22493" i="9" s="1"/>
  <c r="F22494" i="9"/>
  <c r="H22494" i="9" s="1"/>
  <c r="F22495" i="9"/>
  <c r="H22495" i="9" s="1"/>
  <c r="F22496" i="9"/>
  <c r="H22496" i="9" s="1"/>
  <c r="F22497" i="9"/>
  <c r="H22497" i="9" s="1"/>
  <c r="F22498" i="9"/>
  <c r="H22498" i="9" s="1"/>
  <c r="F22499" i="9"/>
  <c r="H22499" i="9" s="1"/>
  <c r="F22500" i="9"/>
  <c r="H22500" i="9" s="1"/>
  <c r="F22501" i="9"/>
  <c r="H22501" i="9" s="1"/>
  <c r="F22502" i="9"/>
  <c r="H22502" i="9" s="1"/>
  <c r="F22503" i="9"/>
  <c r="H22503" i="9" s="1"/>
  <c r="F22504" i="9"/>
  <c r="H22504" i="9" s="1"/>
  <c r="F22505" i="9"/>
  <c r="H22505" i="9" s="1"/>
  <c r="F22506" i="9"/>
  <c r="H22506" i="9" s="1"/>
  <c r="F22507" i="9"/>
  <c r="H22507" i="9" s="1"/>
  <c r="F22508" i="9"/>
  <c r="H22508" i="9" s="1"/>
  <c r="F22509" i="9"/>
  <c r="H22509" i="9" s="1"/>
  <c r="F22510" i="9"/>
  <c r="H22510" i="9" s="1"/>
  <c r="F22511" i="9"/>
  <c r="H22511" i="9" s="1"/>
  <c r="F22512" i="9"/>
  <c r="H22512" i="9" s="1"/>
  <c r="F22513" i="9"/>
  <c r="H22513" i="9" s="1"/>
  <c r="F22514" i="9"/>
  <c r="H22514" i="9" s="1"/>
  <c r="F22515" i="9"/>
  <c r="H22515" i="9" s="1"/>
  <c r="F22516" i="9"/>
  <c r="H22516" i="9" s="1"/>
  <c r="F22517" i="9"/>
  <c r="H22517" i="9" s="1"/>
  <c r="F22518" i="9"/>
  <c r="H22518" i="9" s="1"/>
  <c r="F22519" i="9"/>
  <c r="H22519" i="9" s="1"/>
  <c r="F22520" i="9"/>
  <c r="H22520" i="9" s="1"/>
  <c r="F22521" i="9"/>
  <c r="H22521" i="9" s="1"/>
  <c r="F22522" i="9"/>
  <c r="H22522" i="9" s="1"/>
  <c r="F22523" i="9"/>
  <c r="H22523" i="9" s="1"/>
  <c r="F22524" i="9"/>
  <c r="H22524" i="9"/>
  <c r="F22525" i="9"/>
  <c r="H22525" i="9" s="1"/>
  <c r="F22526" i="9"/>
  <c r="H22526" i="9" s="1"/>
  <c r="F22527" i="9"/>
  <c r="H22527" i="9" s="1"/>
  <c r="F22528" i="9"/>
  <c r="H22528" i="9" s="1"/>
  <c r="F22529" i="9"/>
  <c r="H22529" i="9" s="1"/>
  <c r="F22530" i="9"/>
  <c r="H22530" i="9" s="1"/>
  <c r="F22531" i="9"/>
  <c r="H22531" i="9" s="1"/>
  <c r="F22532" i="9"/>
  <c r="H22532" i="9" s="1"/>
  <c r="F22533" i="9"/>
  <c r="H22533" i="9" s="1"/>
  <c r="F22534" i="9"/>
  <c r="H22534" i="9" s="1"/>
  <c r="F22535" i="9"/>
  <c r="H22535" i="9" s="1"/>
  <c r="F22536" i="9"/>
  <c r="H22536" i="9" s="1"/>
  <c r="F22537" i="9"/>
  <c r="H22537" i="9" s="1"/>
  <c r="F22538" i="9"/>
  <c r="H22538" i="9" s="1"/>
  <c r="F22539" i="9"/>
  <c r="H22539" i="9" s="1"/>
  <c r="F22540" i="9"/>
  <c r="H22540" i="9" s="1"/>
  <c r="F22541" i="9"/>
  <c r="H22541" i="9"/>
  <c r="F22542" i="9"/>
  <c r="H22542" i="9" s="1"/>
  <c r="F22543" i="9"/>
  <c r="H22543" i="9" s="1"/>
  <c r="F22544" i="9"/>
  <c r="H22544" i="9" s="1"/>
  <c r="F22545" i="9"/>
  <c r="H22545" i="9" s="1"/>
  <c r="F22546" i="9"/>
  <c r="H22546" i="9" s="1"/>
  <c r="F22547" i="9"/>
  <c r="H22547" i="9" s="1"/>
  <c r="F22548" i="9"/>
  <c r="H22548" i="9" s="1"/>
  <c r="F22549" i="9"/>
  <c r="H22549" i="9" s="1"/>
  <c r="F22550" i="9"/>
  <c r="H22550" i="9" s="1"/>
  <c r="F22551" i="9"/>
  <c r="H22551" i="9" s="1"/>
  <c r="F22552" i="9"/>
  <c r="H22552" i="9" s="1"/>
  <c r="F22553" i="9"/>
  <c r="H22553" i="9" s="1"/>
  <c r="F22554" i="9"/>
  <c r="H22554" i="9" s="1"/>
  <c r="F22555" i="9"/>
  <c r="H22555" i="9" s="1"/>
  <c r="F22556" i="9"/>
  <c r="H22556" i="9" s="1"/>
  <c r="F22557" i="9"/>
  <c r="H22557" i="9" s="1"/>
  <c r="F22558" i="9"/>
  <c r="H22558" i="9" s="1"/>
  <c r="F22559" i="9"/>
  <c r="H22559" i="9" s="1"/>
  <c r="F22560" i="9"/>
  <c r="H22560" i="9" s="1"/>
  <c r="F22561" i="9"/>
  <c r="H22561" i="9" s="1"/>
  <c r="F22562" i="9"/>
  <c r="H22562" i="9" s="1"/>
  <c r="F22563" i="9"/>
  <c r="H22563" i="9" s="1"/>
  <c r="F22564" i="9"/>
  <c r="H22564" i="9" s="1"/>
  <c r="F22565" i="9"/>
  <c r="H22565" i="9"/>
  <c r="F22566" i="9"/>
  <c r="H22566" i="9" s="1"/>
  <c r="F22567" i="9"/>
  <c r="H22567" i="9" s="1"/>
  <c r="F22568" i="9"/>
  <c r="H22568" i="9" s="1"/>
  <c r="F22569" i="9"/>
  <c r="H22569" i="9" s="1"/>
  <c r="F22570" i="9"/>
  <c r="H22570" i="9" s="1"/>
  <c r="F22571" i="9"/>
  <c r="H22571" i="9" s="1"/>
  <c r="F22572" i="9"/>
  <c r="H22572" i="9" s="1"/>
  <c r="F22573" i="9"/>
  <c r="H22573" i="9" s="1"/>
  <c r="F22574" i="9"/>
  <c r="H22574" i="9" s="1"/>
  <c r="F22575" i="9"/>
  <c r="H22575" i="9" s="1"/>
  <c r="F22576" i="9"/>
  <c r="H22576" i="9" s="1"/>
  <c r="F22577" i="9"/>
  <c r="H22577" i="9" s="1"/>
  <c r="F22578" i="9"/>
  <c r="H22578" i="9" s="1"/>
  <c r="F22579" i="9"/>
  <c r="H22579" i="9" s="1"/>
  <c r="F22580" i="9"/>
  <c r="H22580" i="9" s="1"/>
  <c r="F22581" i="9"/>
  <c r="H22581" i="9" s="1"/>
  <c r="F22582" i="9"/>
  <c r="H22582" i="9" s="1"/>
  <c r="F22583" i="9"/>
  <c r="H22583" i="9" s="1"/>
  <c r="F22584" i="9"/>
  <c r="H22584" i="9" s="1"/>
  <c r="F22585" i="9"/>
  <c r="H22585" i="9" s="1"/>
  <c r="F22586" i="9"/>
  <c r="H22586" i="9" s="1"/>
  <c r="F22587" i="9"/>
  <c r="H22587" i="9" s="1"/>
  <c r="F22588" i="9"/>
  <c r="H22588" i="9" s="1"/>
  <c r="F22589" i="9"/>
  <c r="H22589" i="9" s="1"/>
  <c r="F22590" i="9"/>
  <c r="H22590" i="9" s="1"/>
  <c r="F22591" i="9"/>
  <c r="H22591" i="9" s="1"/>
  <c r="F22592" i="9"/>
  <c r="H22592" i="9" s="1"/>
  <c r="F22593" i="9"/>
  <c r="H22593" i="9" s="1"/>
  <c r="F22594" i="9"/>
  <c r="H22594" i="9" s="1"/>
  <c r="F22595" i="9"/>
  <c r="H22595" i="9" s="1"/>
  <c r="F22596" i="9"/>
  <c r="H22596" i="9" s="1"/>
  <c r="F22597" i="9"/>
  <c r="H22597" i="9" s="1"/>
  <c r="F22598" i="9"/>
  <c r="H22598" i="9" s="1"/>
  <c r="F22599" i="9"/>
  <c r="H22599" i="9" s="1"/>
  <c r="F22600" i="9"/>
  <c r="H22600" i="9" s="1"/>
  <c r="F22601" i="9"/>
  <c r="H22601" i="9" s="1"/>
  <c r="F22602" i="9"/>
  <c r="H22602" i="9" s="1"/>
  <c r="F22603" i="9"/>
  <c r="H22603" i="9" s="1"/>
  <c r="F22604" i="9"/>
  <c r="H22604" i="9" s="1"/>
  <c r="F22605" i="9"/>
  <c r="H22605" i="9" s="1"/>
  <c r="F22606" i="9"/>
  <c r="H22606" i="9" s="1"/>
  <c r="F22607" i="9"/>
  <c r="H22607" i="9" s="1"/>
  <c r="F22608" i="9"/>
  <c r="H22608" i="9" s="1"/>
  <c r="F22609" i="9"/>
  <c r="H22609" i="9" s="1"/>
  <c r="F22610" i="9"/>
  <c r="H22610" i="9" s="1"/>
  <c r="F22611" i="9"/>
  <c r="H22611" i="9" s="1"/>
  <c r="F22612" i="9"/>
  <c r="H22612" i="9" s="1"/>
  <c r="F22613" i="9"/>
  <c r="H22613" i="9" s="1"/>
  <c r="F22614" i="9"/>
  <c r="H22614" i="9" s="1"/>
  <c r="F22615" i="9"/>
  <c r="H22615" i="9" s="1"/>
  <c r="F22616" i="9"/>
  <c r="H22616" i="9" s="1"/>
  <c r="F22617" i="9"/>
  <c r="H22617" i="9" s="1"/>
  <c r="F22618" i="9"/>
  <c r="H22618" i="9" s="1"/>
  <c r="F22619" i="9"/>
  <c r="H22619" i="9" s="1"/>
  <c r="F22620" i="9"/>
  <c r="H22620" i="9" s="1"/>
  <c r="F22621" i="9"/>
  <c r="H22621" i="9" s="1"/>
  <c r="F22622" i="9"/>
  <c r="H22622" i="9" s="1"/>
  <c r="F22623" i="9"/>
  <c r="H22623" i="9" s="1"/>
  <c r="F22624" i="9"/>
  <c r="H22624" i="9" s="1"/>
  <c r="F22625" i="9"/>
  <c r="H22625" i="9"/>
  <c r="F22626" i="9"/>
  <c r="H22626" i="9" s="1"/>
  <c r="F22627" i="9"/>
  <c r="H22627" i="9" s="1"/>
  <c r="F22628" i="9"/>
  <c r="H22628" i="9" s="1"/>
  <c r="F22629" i="9"/>
  <c r="H22629" i="9"/>
  <c r="F22630" i="9"/>
  <c r="H22630" i="9" s="1"/>
  <c r="F22631" i="9"/>
  <c r="H22631" i="9" s="1"/>
  <c r="F22632" i="9"/>
  <c r="H22632" i="9" s="1"/>
  <c r="F22633" i="9"/>
  <c r="H22633" i="9"/>
  <c r="F22634" i="9"/>
  <c r="H22634" i="9"/>
  <c r="F22635" i="9"/>
  <c r="H22635" i="9" s="1"/>
  <c r="F22636" i="9"/>
  <c r="H22636" i="9" s="1"/>
  <c r="F22637" i="9"/>
  <c r="H22637" i="9" s="1"/>
  <c r="F22638" i="9"/>
  <c r="H22638" i="9" s="1"/>
  <c r="F22639" i="9"/>
  <c r="H22639" i="9" s="1"/>
  <c r="F22640" i="9"/>
  <c r="H22640" i="9" s="1"/>
  <c r="F22641" i="9"/>
  <c r="H22641" i="9" s="1"/>
  <c r="F22642" i="9"/>
  <c r="H22642" i="9" s="1"/>
  <c r="F22643" i="9"/>
  <c r="H22643" i="9" s="1"/>
  <c r="F22644" i="9"/>
  <c r="H22644" i="9" s="1"/>
  <c r="F22645" i="9"/>
  <c r="H22645" i="9"/>
  <c r="F22646" i="9"/>
  <c r="H22646" i="9" s="1"/>
  <c r="F22647" i="9"/>
  <c r="H22647" i="9" s="1"/>
  <c r="F22648" i="9"/>
  <c r="H22648" i="9" s="1"/>
  <c r="F22649" i="9"/>
  <c r="H22649" i="9" s="1"/>
  <c r="F22650" i="9"/>
  <c r="H22650" i="9" s="1"/>
  <c r="F22651" i="9"/>
  <c r="H22651" i="9"/>
  <c r="F22652" i="9"/>
  <c r="H22652" i="9" s="1"/>
  <c r="F22653" i="9"/>
  <c r="H22653" i="9" s="1"/>
  <c r="F22654" i="9"/>
  <c r="H22654" i="9" s="1"/>
  <c r="F22655" i="9"/>
  <c r="H22655" i="9" s="1"/>
  <c r="F22656" i="9"/>
  <c r="H22656" i="9" s="1"/>
  <c r="F22657" i="9"/>
  <c r="H22657" i="9" s="1"/>
  <c r="F22658" i="9"/>
  <c r="H22658" i="9" s="1"/>
  <c r="F22659" i="9"/>
  <c r="H22659" i="9" s="1"/>
  <c r="F22660" i="9"/>
  <c r="H22660" i="9" s="1"/>
  <c r="F22661" i="9"/>
  <c r="H22661" i="9" s="1"/>
  <c r="F22662" i="9"/>
  <c r="H22662" i="9" s="1"/>
  <c r="F22663" i="9"/>
  <c r="H22663" i="9" s="1"/>
  <c r="F22664" i="9"/>
  <c r="H22664" i="9" s="1"/>
  <c r="F22665" i="9"/>
  <c r="H22665" i="9" s="1"/>
  <c r="F22666" i="9"/>
  <c r="H22666" i="9" s="1"/>
  <c r="F22667" i="9"/>
  <c r="H22667" i="9" s="1"/>
  <c r="F22668" i="9"/>
  <c r="H22668" i="9" s="1"/>
  <c r="F22669" i="9"/>
  <c r="H22669" i="9" s="1"/>
  <c r="F22670" i="9"/>
  <c r="H22670" i="9" s="1"/>
  <c r="F22671" i="9"/>
  <c r="H22671" i="9" s="1"/>
  <c r="F22672" i="9"/>
  <c r="H22672" i="9" s="1"/>
  <c r="F22673" i="9"/>
  <c r="H22673" i="9" s="1"/>
  <c r="F22674" i="9"/>
  <c r="H22674" i="9" s="1"/>
  <c r="F22675" i="9"/>
  <c r="H22675" i="9" s="1"/>
  <c r="F22676" i="9"/>
  <c r="H22676" i="9" s="1"/>
  <c r="F22677" i="9"/>
  <c r="H22677" i="9" s="1"/>
  <c r="F22678" i="9"/>
  <c r="H22678" i="9" s="1"/>
  <c r="F22679" i="9"/>
  <c r="H22679" i="9" s="1"/>
  <c r="F22680" i="9"/>
  <c r="H22680" i="9" s="1"/>
  <c r="F22681" i="9"/>
  <c r="H22681" i="9" s="1"/>
  <c r="F22682" i="9"/>
  <c r="H22682" i="9" s="1"/>
  <c r="F22683" i="9"/>
  <c r="H22683" i="9" s="1"/>
  <c r="F22684" i="9"/>
  <c r="H22684" i="9" s="1"/>
  <c r="F22685" i="9"/>
  <c r="H22685" i="9" s="1"/>
  <c r="F22686" i="9"/>
  <c r="H22686" i="9" s="1"/>
  <c r="F22687" i="9"/>
  <c r="H22687" i="9" s="1"/>
  <c r="F22688" i="9"/>
  <c r="H22688" i="9" s="1"/>
  <c r="F22689" i="9"/>
  <c r="H22689" i="9" s="1"/>
  <c r="F22690" i="9"/>
  <c r="H22690" i="9" s="1"/>
  <c r="F22691" i="9"/>
  <c r="H22691" i="9" s="1"/>
  <c r="F22692" i="9"/>
  <c r="H22692" i="9" s="1"/>
  <c r="F22693" i="9"/>
  <c r="H22693" i="9" s="1"/>
  <c r="F22694" i="9"/>
  <c r="H22694" i="9" s="1"/>
  <c r="F22695" i="9"/>
  <c r="H22695" i="9" s="1"/>
  <c r="F22696" i="9"/>
  <c r="H22696" i="9" s="1"/>
  <c r="F22697" i="9"/>
  <c r="H22697" i="9" s="1"/>
  <c r="F22698" i="9"/>
  <c r="H22698" i="9" s="1"/>
  <c r="F22699" i="9"/>
  <c r="H22699" i="9" s="1"/>
  <c r="F22700" i="9"/>
  <c r="H22700" i="9" s="1"/>
  <c r="F22701" i="9"/>
  <c r="H22701" i="9" s="1"/>
  <c r="F22702" i="9"/>
  <c r="H22702" i="9" s="1"/>
  <c r="F22703" i="9"/>
  <c r="H22703" i="9" s="1"/>
  <c r="F22704" i="9"/>
  <c r="H22704" i="9" s="1"/>
  <c r="F22705" i="9"/>
  <c r="H22705" i="9" s="1"/>
  <c r="F22706" i="9"/>
  <c r="H22706" i="9" s="1"/>
  <c r="F22707" i="9"/>
  <c r="H22707" i="9" s="1"/>
  <c r="F22708" i="9"/>
  <c r="H22708" i="9" s="1"/>
  <c r="F22709" i="9"/>
  <c r="H22709" i="9" s="1"/>
  <c r="F22710" i="9"/>
  <c r="H22710" i="9" s="1"/>
  <c r="F22711" i="9"/>
  <c r="H22711" i="9" s="1"/>
  <c r="F22712" i="9"/>
  <c r="H22712" i="9" s="1"/>
  <c r="F22713" i="9"/>
  <c r="H22713" i="9" s="1"/>
  <c r="F22714" i="9"/>
  <c r="H22714" i="9" s="1"/>
  <c r="F22715" i="9"/>
  <c r="H22715" i="9" s="1"/>
  <c r="F22716" i="9"/>
  <c r="H22716" i="9" s="1"/>
  <c r="F22717" i="9"/>
  <c r="H22717" i="9" s="1"/>
  <c r="F22718" i="9"/>
  <c r="H22718" i="9" s="1"/>
  <c r="F22719" i="9"/>
  <c r="H22719" i="9" s="1"/>
  <c r="F22720" i="9"/>
  <c r="H22720" i="9" s="1"/>
  <c r="F22721" i="9"/>
  <c r="H22721" i="9" s="1"/>
  <c r="F22722" i="9"/>
  <c r="H22722" i="9" s="1"/>
  <c r="F22723" i="9"/>
  <c r="H22723" i="9" s="1"/>
  <c r="F22724" i="9"/>
  <c r="H22724" i="9" s="1"/>
  <c r="F22725" i="9"/>
  <c r="H22725" i="9" s="1"/>
  <c r="F22726" i="9"/>
  <c r="H22726" i="9" s="1"/>
  <c r="F22727" i="9"/>
  <c r="H22727" i="9" s="1"/>
  <c r="F22728" i="9"/>
  <c r="H22728" i="9" s="1"/>
  <c r="F22729" i="9"/>
  <c r="H22729" i="9" s="1"/>
  <c r="F22730" i="9"/>
  <c r="H22730" i="9" s="1"/>
  <c r="F22731" i="9"/>
  <c r="H22731" i="9" s="1"/>
  <c r="F22732" i="9"/>
  <c r="H22732" i="9" s="1"/>
  <c r="F22733" i="9"/>
  <c r="H22733" i="9" s="1"/>
  <c r="F22734" i="9"/>
  <c r="H22734" i="9" s="1"/>
  <c r="F22735" i="9"/>
  <c r="H22735" i="9" s="1"/>
  <c r="F22736" i="9"/>
  <c r="H22736" i="9" s="1"/>
  <c r="F22737" i="9"/>
  <c r="H22737" i="9" s="1"/>
  <c r="F22738" i="9"/>
  <c r="H22738" i="9" s="1"/>
  <c r="F22739" i="9"/>
  <c r="H22739" i="9" s="1"/>
  <c r="F22740" i="9"/>
  <c r="H22740" i="9" s="1"/>
  <c r="F22741" i="9"/>
  <c r="H22741" i="9" s="1"/>
  <c r="F22742" i="9"/>
  <c r="H22742" i="9" s="1"/>
  <c r="F22743" i="9"/>
  <c r="H22743" i="9" s="1"/>
  <c r="F22744" i="9"/>
  <c r="H22744" i="9" s="1"/>
  <c r="F22745" i="9"/>
  <c r="H22745" i="9" s="1"/>
  <c r="F22746" i="9"/>
  <c r="H22746" i="9" s="1"/>
  <c r="F22747" i="9"/>
  <c r="H22747" i="9" s="1"/>
  <c r="F22748" i="9"/>
  <c r="H22748" i="9" s="1"/>
  <c r="F22749" i="9"/>
  <c r="H22749" i="9" s="1"/>
  <c r="F22750" i="9"/>
  <c r="H22750" i="9" s="1"/>
  <c r="F22751" i="9"/>
  <c r="H22751" i="9" s="1"/>
  <c r="F22752" i="9"/>
  <c r="H22752" i="9" s="1"/>
  <c r="F22753" i="9"/>
  <c r="H22753" i="9" s="1"/>
  <c r="F22754" i="9"/>
  <c r="H22754" i="9" s="1"/>
  <c r="F22755" i="9"/>
  <c r="H22755" i="9"/>
  <c r="F22756" i="9"/>
  <c r="H22756" i="9" s="1"/>
  <c r="F22757" i="9"/>
  <c r="H22757" i="9" s="1"/>
  <c r="F22758" i="9"/>
  <c r="H22758" i="9" s="1"/>
  <c r="F22759" i="9"/>
  <c r="H22759" i="9" s="1"/>
  <c r="F22760" i="9"/>
  <c r="H22760" i="9" s="1"/>
  <c r="F22761" i="9"/>
  <c r="H22761" i="9" s="1"/>
  <c r="F22762" i="9"/>
  <c r="H22762" i="9" s="1"/>
  <c r="F22763" i="9"/>
  <c r="H22763" i="9" s="1"/>
  <c r="F22764" i="9"/>
  <c r="H22764" i="9" s="1"/>
  <c r="F22765" i="9"/>
  <c r="H22765" i="9" s="1"/>
  <c r="F22766" i="9"/>
  <c r="H22766" i="9" s="1"/>
  <c r="F22767" i="9"/>
  <c r="H22767" i="9" s="1"/>
  <c r="F22768" i="9"/>
  <c r="H22768" i="9" s="1"/>
  <c r="F22769" i="9"/>
  <c r="H22769" i="9" s="1"/>
  <c r="F22770" i="9"/>
  <c r="H22770" i="9" s="1"/>
  <c r="F22771" i="9"/>
  <c r="H22771" i="9" s="1"/>
  <c r="F22772" i="9"/>
  <c r="H22772" i="9" s="1"/>
  <c r="F22773" i="9"/>
  <c r="H22773" i="9" s="1"/>
  <c r="F22774" i="9"/>
  <c r="H22774" i="9" s="1"/>
  <c r="F22775" i="9"/>
  <c r="H22775" i="9" s="1"/>
  <c r="F22776" i="9"/>
  <c r="H22776" i="9" s="1"/>
  <c r="F22777" i="9"/>
  <c r="H22777" i="9" s="1"/>
  <c r="F22778" i="9"/>
  <c r="H22778" i="9" s="1"/>
  <c r="F22779" i="9"/>
  <c r="H22779" i="9" s="1"/>
  <c r="F22780" i="9"/>
  <c r="H22780" i="9" s="1"/>
  <c r="F22781" i="9"/>
  <c r="H22781" i="9" s="1"/>
  <c r="F22782" i="9"/>
  <c r="H22782" i="9" s="1"/>
  <c r="F22783" i="9"/>
  <c r="H22783" i="9" s="1"/>
  <c r="F22784" i="9"/>
  <c r="H22784" i="9" s="1"/>
  <c r="F22785" i="9"/>
  <c r="H22785" i="9" s="1"/>
  <c r="F22786" i="9"/>
  <c r="H22786" i="9" s="1"/>
  <c r="F22787" i="9"/>
  <c r="H22787" i="9" s="1"/>
  <c r="F22788" i="9"/>
  <c r="H22788" i="9" s="1"/>
  <c r="F22789" i="9"/>
  <c r="H22789" i="9" s="1"/>
  <c r="F22790" i="9"/>
  <c r="H22790" i="9" s="1"/>
  <c r="F22791" i="9"/>
  <c r="H22791" i="9" s="1"/>
  <c r="F22792" i="9"/>
  <c r="H22792" i="9" s="1"/>
  <c r="F22793" i="9"/>
  <c r="H22793" i="9" s="1"/>
  <c r="F22794" i="9"/>
  <c r="H22794" i="9" s="1"/>
  <c r="F22795" i="9"/>
  <c r="H22795" i="9" s="1"/>
  <c r="F22796" i="9"/>
  <c r="H22796" i="9" s="1"/>
  <c r="F22797" i="9"/>
  <c r="H22797" i="9" s="1"/>
  <c r="F22798" i="9"/>
  <c r="H22798" i="9" s="1"/>
  <c r="F22799" i="9"/>
  <c r="H22799" i="9" s="1"/>
  <c r="F22800" i="9"/>
  <c r="H22800" i="9" s="1"/>
  <c r="F22801" i="9"/>
  <c r="H22801" i="9" s="1"/>
  <c r="F22802" i="9"/>
  <c r="H22802" i="9" s="1"/>
  <c r="F22803" i="9"/>
  <c r="H22803" i="9" s="1"/>
  <c r="F22804" i="9"/>
  <c r="H22804" i="9" s="1"/>
  <c r="F22805" i="9"/>
  <c r="H22805" i="9" s="1"/>
  <c r="F22806" i="9"/>
  <c r="H22806" i="9" s="1"/>
  <c r="F22807" i="9"/>
  <c r="H22807" i="9" s="1"/>
  <c r="F22808" i="9"/>
  <c r="H22808" i="9" s="1"/>
  <c r="F22809" i="9"/>
  <c r="H22809" i="9" s="1"/>
  <c r="F22810" i="9"/>
  <c r="H22810" i="9" s="1"/>
  <c r="F22811" i="9"/>
  <c r="H22811" i="9" s="1"/>
  <c r="F22812" i="9"/>
  <c r="H22812" i="9" s="1"/>
  <c r="F22813" i="9"/>
  <c r="H22813" i="9" s="1"/>
  <c r="F22814" i="9"/>
  <c r="H22814" i="9" s="1"/>
  <c r="F22815" i="9"/>
  <c r="H22815" i="9"/>
  <c r="F22816" i="9"/>
  <c r="H22816" i="9" s="1"/>
  <c r="F22817" i="9"/>
  <c r="H22817" i="9" s="1"/>
  <c r="F22818" i="9"/>
  <c r="H22818" i="9" s="1"/>
  <c r="F22819" i="9"/>
  <c r="H22819" i="9" s="1"/>
  <c r="F22820" i="9"/>
  <c r="H22820" i="9" s="1"/>
  <c r="F22821" i="9"/>
  <c r="H22821" i="9" s="1"/>
  <c r="F22822" i="9"/>
  <c r="H22822" i="9" s="1"/>
  <c r="F22823" i="9"/>
  <c r="H22823" i="9" s="1"/>
  <c r="F22824" i="9"/>
  <c r="H22824" i="9" s="1"/>
  <c r="F22825" i="9"/>
  <c r="H22825" i="9"/>
  <c r="F22826" i="9"/>
  <c r="H22826" i="9" s="1"/>
  <c r="F22827" i="9"/>
  <c r="H22827" i="9" s="1"/>
  <c r="F22828" i="9"/>
  <c r="H22828" i="9" s="1"/>
  <c r="F22829" i="9"/>
  <c r="H22829" i="9" s="1"/>
  <c r="F22830" i="9"/>
  <c r="H22830" i="9" s="1"/>
  <c r="F22831" i="9"/>
  <c r="H22831" i="9" s="1"/>
  <c r="F22832" i="9"/>
  <c r="H22832" i="9" s="1"/>
  <c r="F22833" i="9"/>
  <c r="H22833" i="9" s="1"/>
  <c r="F22834" i="9"/>
  <c r="H22834" i="9" s="1"/>
  <c r="F22835" i="9"/>
  <c r="H22835" i="9" s="1"/>
  <c r="F22836" i="9"/>
  <c r="H22836" i="9" s="1"/>
  <c r="F22837" i="9"/>
  <c r="H22837" i="9"/>
  <c r="F22838" i="9"/>
  <c r="H22838" i="9" s="1"/>
  <c r="F22839" i="9"/>
  <c r="H22839" i="9" s="1"/>
  <c r="F22840" i="9"/>
  <c r="H22840" i="9" s="1"/>
  <c r="F22841" i="9"/>
  <c r="H22841" i="9" s="1"/>
  <c r="F22842" i="9"/>
  <c r="H22842" i="9" s="1"/>
  <c r="F22843" i="9"/>
  <c r="H22843" i="9" s="1"/>
  <c r="F22844" i="9"/>
  <c r="H22844" i="9" s="1"/>
  <c r="F22845" i="9"/>
  <c r="H22845" i="9" s="1"/>
  <c r="F22846" i="9"/>
  <c r="H22846" i="9" s="1"/>
  <c r="F22847" i="9"/>
  <c r="H22847" i="9" s="1"/>
  <c r="F22848" i="9"/>
  <c r="H22848" i="9" s="1"/>
  <c r="F22849" i="9"/>
  <c r="H22849" i="9" s="1"/>
  <c r="F22850" i="9"/>
  <c r="H22850" i="9" s="1"/>
  <c r="F22851" i="9"/>
  <c r="H22851" i="9" s="1"/>
  <c r="F22852" i="9"/>
  <c r="H22852" i="9" s="1"/>
  <c r="F22853" i="9"/>
  <c r="H22853" i="9" s="1"/>
  <c r="F22854" i="9"/>
  <c r="H22854" i="9" s="1"/>
  <c r="F22855" i="9"/>
  <c r="H22855" i="9" s="1"/>
  <c r="F22856" i="9"/>
  <c r="H22856" i="9" s="1"/>
  <c r="F22857" i="9"/>
  <c r="H22857" i="9" s="1"/>
  <c r="F22858" i="9"/>
  <c r="H22858" i="9" s="1"/>
  <c r="F22859" i="9"/>
  <c r="H22859" i="9" s="1"/>
  <c r="F22860" i="9"/>
  <c r="H22860" i="9" s="1"/>
  <c r="F22861" i="9"/>
  <c r="H22861" i="9" s="1"/>
  <c r="F22862" i="9"/>
  <c r="H22862" i="9" s="1"/>
  <c r="F22863" i="9"/>
  <c r="H22863" i="9" s="1"/>
  <c r="F22864" i="9"/>
  <c r="H22864" i="9" s="1"/>
  <c r="F22865" i="9"/>
  <c r="H22865" i="9" s="1"/>
  <c r="F22866" i="9"/>
  <c r="H22866" i="9" s="1"/>
  <c r="F22867" i="9"/>
  <c r="H22867" i="9" s="1"/>
  <c r="F22868" i="9"/>
  <c r="H22868" i="9" s="1"/>
  <c r="F22869" i="9"/>
  <c r="H22869" i="9" s="1"/>
  <c r="F22870" i="9"/>
  <c r="H22870" i="9" s="1"/>
  <c r="F22871" i="9"/>
  <c r="H22871" i="9" s="1"/>
  <c r="F22872" i="9"/>
  <c r="H22872" i="9" s="1"/>
  <c r="F22873" i="9"/>
  <c r="H22873" i="9" s="1"/>
  <c r="F22874" i="9"/>
  <c r="H22874" i="9" s="1"/>
  <c r="F22875" i="9"/>
  <c r="H22875" i="9" s="1"/>
  <c r="F22876" i="9"/>
  <c r="H22876" i="9" s="1"/>
  <c r="F22877" i="9"/>
  <c r="H22877" i="9" s="1"/>
  <c r="F22878" i="9"/>
  <c r="H22878" i="9" s="1"/>
  <c r="F22879" i="9"/>
  <c r="H22879" i="9" s="1"/>
  <c r="F22880" i="9"/>
  <c r="H22880" i="9" s="1"/>
  <c r="F22881" i="9"/>
  <c r="H22881" i="9" s="1"/>
  <c r="F22882" i="9"/>
  <c r="H22882" i="9" s="1"/>
  <c r="F22883" i="9"/>
  <c r="H22883" i="9" s="1"/>
  <c r="F22884" i="9"/>
  <c r="H22884" i="9" s="1"/>
  <c r="F22885" i="9"/>
  <c r="H22885" i="9" s="1"/>
  <c r="F22886" i="9"/>
  <c r="H22886" i="9" s="1"/>
  <c r="F22887" i="9"/>
  <c r="H22887" i="9" s="1"/>
  <c r="F22888" i="9"/>
  <c r="H22888" i="9" s="1"/>
  <c r="F22889" i="9"/>
  <c r="H22889" i="9" s="1"/>
  <c r="F22890" i="9"/>
  <c r="H22890" i="9" s="1"/>
  <c r="F22891" i="9"/>
  <c r="H22891" i="9" s="1"/>
  <c r="F22892" i="9"/>
  <c r="H22892" i="9" s="1"/>
  <c r="F22893" i="9"/>
  <c r="H22893" i="9" s="1"/>
  <c r="F22894" i="9"/>
  <c r="H22894" i="9" s="1"/>
  <c r="F22895" i="9"/>
  <c r="H22895" i="9" s="1"/>
  <c r="F22896" i="9"/>
  <c r="H22896" i="9" s="1"/>
  <c r="F22897" i="9"/>
  <c r="H22897" i="9" s="1"/>
  <c r="F22898" i="9"/>
  <c r="H22898" i="9" s="1"/>
  <c r="F22899" i="9"/>
  <c r="H22899" i="9" s="1"/>
  <c r="F22900" i="9"/>
  <c r="H22900" i="9" s="1"/>
  <c r="F22901" i="9"/>
  <c r="H22901" i="9" s="1"/>
  <c r="F22902" i="9"/>
  <c r="H22902" i="9" s="1"/>
  <c r="F22903" i="9"/>
  <c r="H22903" i="9" s="1"/>
  <c r="F22904" i="9"/>
  <c r="H22904" i="9" s="1"/>
  <c r="F22905" i="9"/>
  <c r="H22905" i="9" s="1"/>
  <c r="F22906" i="9"/>
  <c r="H22906" i="9"/>
  <c r="F22907" i="9"/>
  <c r="H22907" i="9" s="1"/>
  <c r="F22908" i="9"/>
  <c r="H22908" i="9" s="1"/>
  <c r="F22909" i="9"/>
  <c r="H22909" i="9" s="1"/>
  <c r="F22910" i="9"/>
  <c r="H22910" i="9" s="1"/>
  <c r="F22911" i="9"/>
  <c r="H22911" i="9" s="1"/>
  <c r="F22912" i="9"/>
  <c r="H22912" i="9" s="1"/>
  <c r="F22913" i="9"/>
  <c r="H22913" i="9" s="1"/>
  <c r="F22914" i="9"/>
  <c r="H22914" i="9" s="1"/>
  <c r="F22915" i="9"/>
  <c r="H22915" i="9" s="1"/>
  <c r="F22916" i="9"/>
  <c r="H22916" i="9" s="1"/>
  <c r="F22917" i="9"/>
  <c r="H22917" i="9" s="1"/>
  <c r="F22918" i="9"/>
  <c r="H22918" i="9" s="1"/>
  <c r="F22919" i="9"/>
  <c r="H22919" i="9" s="1"/>
  <c r="F22920" i="9"/>
  <c r="H22920" i="9" s="1"/>
  <c r="F22921" i="9"/>
  <c r="H22921" i="9" s="1"/>
  <c r="F22922" i="9"/>
  <c r="H22922" i="9" s="1"/>
  <c r="F22923" i="9"/>
  <c r="H22923" i="9" s="1"/>
  <c r="F22924" i="9"/>
  <c r="H22924" i="9" s="1"/>
  <c r="F22925" i="9"/>
  <c r="H22925" i="9" s="1"/>
  <c r="F22926" i="9"/>
  <c r="H22926" i="9" s="1"/>
  <c r="F22927" i="9"/>
  <c r="H22927" i="9" s="1"/>
  <c r="F22928" i="9"/>
  <c r="H22928" i="9" s="1"/>
  <c r="F22929" i="9"/>
  <c r="H22929" i="9" s="1"/>
  <c r="F22930" i="9"/>
  <c r="H22930" i="9" s="1"/>
  <c r="F22931" i="9"/>
  <c r="H22931" i="9" s="1"/>
  <c r="F22932" i="9"/>
  <c r="H22932" i="9" s="1"/>
  <c r="F22933" i="9"/>
  <c r="H22933" i="9" s="1"/>
  <c r="F22934" i="9"/>
  <c r="H22934" i="9" s="1"/>
  <c r="F22935" i="9"/>
  <c r="H22935" i="9" s="1"/>
  <c r="F22936" i="9"/>
  <c r="H22936" i="9" s="1"/>
  <c r="F22937" i="9"/>
  <c r="H22937" i="9" s="1"/>
  <c r="F22938" i="9"/>
  <c r="H22938" i="9" s="1"/>
  <c r="F22939" i="9"/>
  <c r="H22939" i="9" s="1"/>
  <c r="F22940" i="9"/>
  <c r="H22940" i="9" s="1"/>
  <c r="F22941" i="9"/>
  <c r="H22941" i="9" s="1"/>
  <c r="F22942" i="9"/>
  <c r="H22942" i="9" s="1"/>
  <c r="F22943" i="9"/>
  <c r="H22943" i="9" s="1"/>
  <c r="F22944" i="9"/>
  <c r="H22944" i="9" s="1"/>
  <c r="F22945" i="9"/>
  <c r="H22945" i="9" s="1"/>
  <c r="F22946" i="9"/>
  <c r="H22946" i="9" s="1"/>
  <c r="F22947" i="9"/>
  <c r="H22947" i="9" s="1"/>
  <c r="F22948" i="9"/>
  <c r="H22948" i="9" s="1"/>
  <c r="F22949" i="9"/>
  <c r="H22949" i="9" s="1"/>
  <c r="F22950" i="9"/>
  <c r="H22950" i="9" s="1"/>
  <c r="F22951" i="9"/>
  <c r="H22951" i="9" s="1"/>
  <c r="F22952" i="9"/>
  <c r="H22952" i="9" s="1"/>
  <c r="F22953" i="9"/>
  <c r="H22953" i="9" s="1"/>
  <c r="F22954" i="9"/>
  <c r="H22954" i="9" s="1"/>
  <c r="F22955" i="9"/>
  <c r="H22955" i="9" s="1"/>
  <c r="F22956" i="9"/>
  <c r="H22956" i="9" s="1"/>
  <c r="F22957" i="9"/>
  <c r="H22957" i="9" s="1"/>
  <c r="F22958" i="9"/>
  <c r="H22958" i="9" s="1"/>
  <c r="F22959" i="9"/>
  <c r="H22959" i="9" s="1"/>
  <c r="F22960" i="9"/>
  <c r="H22960" i="9" s="1"/>
  <c r="F22961" i="9"/>
  <c r="H22961" i="9" s="1"/>
  <c r="F22962" i="9"/>
  <c r="H22962" i="9" s="1"/>
  <c r="F22963" i="9"/>
  <c r="H22963" i="9" s="1"/>
  <c r="F22964" i="9"/>
  <c r="H22964" i="9" s="1"/>
  <c r="F22965" i="9"/>
  <c r="H22965" i="9" s="1"/>
  <c r="F22966" i="9"/>
  <c r="H22966" i="9" s="1"/>
  <c r="F22967" i="9"/>
  <c r="H22967" i="9" s="1"/>
  <c r="F22968" i="9"/>
  <c r="H22968" i="9" s="1"/>
  <c r="F22969" i="9"/>
  <c r="H22969" i="9" s="1"/>
  <c r="F22970" i="9"/>
  <c r="H22970" i="9" s="1"/>
  <c r="F22971" i="9"/>
  <c r="H22971" i="9" s="1"/>
  <c r="F22972" i="9"/>
  <c r="H22972" i="9" s="1"/>
  <c r="F22973" i="9"/>
  <c r="H22973" i="9" s="1"/>
  <c r="F22974" i="9"/>
  <c r="H22974" i="9" s="1"/>
  <c r="F22975" i="9"/>
  <c r="H22975" i="9" s="1"/>
  <c r="F22976" i="9"/>
  <c r="H22976" i="9" s="1"/>
  <c r="F22977" i="9"/>
  <c r="H22977" i="9" s="1"/>
  <c r="F22978" i="9"/>
  <c r="H22978" i="9" s="1"/>
  <c r="F22979" i="9"/>
  <c r="H22979" i="9" s="1"/>
  <c r="F22980" i="9"/>
  <c r="H22980" i="9" s="1"/>
  <c r="F22981" i="9"/>
  <c r="H22981" i="9" s="1"/>
  <c r="F22982" i="9"/>
  <c r="H22982" i="9" s="1"/>
  <c r="F22983" i="9"/>
  <c r="H22983" i="9" s="1"/>
  <c r="F22984" i="9"/>
  <c r="H22984" i="9" s="1"/>
  <c r="F22985" i="9"/>
  <c r="H22985" i="9" s="1"/>
  <c r="F22986" i="9"/>
  <c r="H22986" i="9" s="1"/>
  <c r="F22987" i="9"/>
  <c r="H22987" i="9" s="1"/>
  <c r="F22988" i="9"/>
  <c r="H22988" i="9" s="1"/>
  <c r="F22989" i="9"/>
  <c r="H22989" i="9" s="1"/>
  <c r="F22990" i="9"/>
  <c r="H22990" i="9" s="1"/>
  <c r="F22991" i="9"/>
  <c r="H22991" i="9" s="1"/>
  <c r="F22992" i="9"/>
  <c r="H22992" i="9" s="1"/>
  <c r="F22993" i="9"/>
  <c r="H22993" i="9" s="1"/>
  <c r="F22994" i="9"/>
  <c r="H22994" i="9" s="1"/>
  <c r="F22995" i="9"/>
  <c r="H22995" i="9" s="1"/>
  <c r="F22996" i="9"/>
  <c r="H22996" i="9" s="1"/>
  <c r="F22997" i="9"/>
  <c r="H22997" i="9" s="1"/>
  <c r="F22998" i="9"/>
  <c r="H22998" i="9" s="1"/>
  <c r="F22999" i="9"/>
  <c r="H22999" i="9" s="1"/>
  <c r="F23000" i="9"/>
  <c r="H23000" i="9" s="1"/>
  <c r="F23001" i="9"/>
  <c r="H23001" i="9" s="1"/>
  <c r="F23002" i="9"/>
  <c r="H23002" i="9" s="1"/>
  <c r="F23003" i="9"/>
  <c r="H23003" i="9" s="1"/>
  <c r="F23004" i="9"/>
  <c r="H23004" i="9" s="1"/>
  <c r="F23005" i="9"/>
  <c r="H23005" i="9" s="1"/>
  <c r="F23006" i="9"/>
  <c r="H23006" i="9" s="1"/>
  <c r="F23007" i="9"/>
  <c r="H23007" i="9" s="1"/>
  <c r="F23008" i="9"/>
  <c r="H23008" i="9" s="1"/>
  <c r="F23009" i="9"/>
  <c r="H23009" i="9" s="1"/>
  <c r="F23010" i="9"/>
  <c r="H23010" i="9" s="1"/>
  <c r="F23011" i="9"/>
  <c r="H23011" i="9" s="1"/>
  <c r="F23012" i="9"/>
  <c r="H23012" i="9" s="1"/>
  <c r="F23013" i="9"/>
  <c r="H23013" i="9" s="1"/>
  <c r="F23014" i="9"/>
  <c r="H23014" i="9" s="1"/>
  <c r="F23015" i="9"/>
  <c r="H23015" i="9" s="1"/>
  <c r="F23016" i="9"/>
  <c r="H23016" i="9" s="1"/>
  <c r="F23017" i="9"/>
  <c r="H23017" i="9" s="1"/>
  <c r="F23018" i="9"/>
  <c r="H23018" i="9" s="1"/>
  <c r="F23019" i="9"/>
  <c r="H23019" i="9" s="1"/>
  <c r="F23020" i="9"/>
  <c r="H23020" i="9" s="1"/>
  <c r="F23021" i="9"/>
  <c r="H23021" i="9" s="1"/>
  <c r="F23022" i="9"/>
  <c r="H23022" i="9" s="1"/>
  <c r="F23023" i="9"/>
  <c r="H23023" i="9" s="1"/>
  <c r="F23024" i="9"/>
  <c r="H23024" i="9" s="1"/>
  <c r="F23025" i="9"/>
  <c r="H23025" i="9" s="1"/>
  <c r="F23026" i="9"/>
  <c r="H23026" i="9" s="1"/>
  <c r="F23027" i="9"/>
  <c r="H23027" i="9" s="1"/>
  <c r="F23028" i="9"/>
  <c r="H23028" i="9" s="1"/>
  <c r="F23029" i="9"/>
  <c r="H23029" i="9" s="1"/>
  <c r="F23030" i="9"/>
  <c r="H23030" i="9" s="1"/>
  <c r="F23031" i="9"/>
  <c r="H23031" i="9" s="1"/>
  <c r="F23032" i="9"/>
  <c r="H23032" i="9" s="1"/>
  <c r="F23033" i="9"/>
  <c r="H23033" i="9" s="1"/>
  <c r="F23034" i="9"/>
  <c r="H23034" i="9" s="1"/>
  <c r="F23035" i="9"/>
  <c r="H23035" i="9" s="1"/>
  <c r="F23036" i="9"/>
  <c r="H23036" i="9" s="1"/>
  <c r="F23037" i="9"/>
  <c r="H23037" i="9" s="1"/>
  <c r="F23038" i="9"/>
  <c r="H23038" i="9" s="1"/>
  <c r="F23039" i="9"/>
  <c r="H23039" i="9" s="1"/>
  <c r="F23040" i="9"/>
  <c r="H23040" i="9" s="1"/>
  <c r="F23041" i="9"/>
  <c r="H23041" i="9" s="1"/>
  <c r="F23042" i="9"/>
  <c r="H23042" i="9" s="1"/>
  <c r="F23043" i="9"/>
  <c r="H23043" i="9" s="1"/>
  <c r="F23044" i="9"/>
  <c r="H23044" i="9" s="1"/>
  <c r="F23045" i="9"/>
  <c r="H23045" i="9" s="1"/>
  <c r="F23046" i="9"/>
  <c r="H23046" i="9" s="1"/>
  <c r="F23047" i="9"/>
  <c r="H23047" i="9" s="1"/>
  <c r="F23048" i="9"/>
  <c r="H23048" i="9" s="1"/>
  <c r="F23049" i="9"/>
  <c r="H23049" i="9" s="1"/>
  <c r="F23050" i="9"/>
  <c r="H23050" i="9" s="1"/>
  <c r="F23051" i="9"/>
  <c r="H23051" i="9" s="1"/>
  <c r="F23052" i="9"/>
  <c r="H23052" i="9" s="1"/>
  <c r="F23053" i="9"/>
  <c r="H23053" i="9" s="1"/>
  <c r="F23054" i="9"/>
  <c r="H23054" i="9" s="1"/>
  <c r="F23055" i="9"/>
  <c r="H23055" i="9" s="1"/>
  <c r="F23056" i="9"/>
  <c r="H23056" i="9" s="1"/>
  <c r="F23057" i="9"/>
  <c r="H23057" i="9" s="1"/>
  <c r="F23058" i="9"/>
  <c r="H23058" i="9" s="1"/>
  <c r="F23059" i="9"/>
  <c r="H23059" i="9" s="1"/>
  <c r="F23060" i="9"/>
  <c r="H23060" i="9" s="1"/>
  <c r="F23061" i="9"/>
  <c r="H23061" i="9" s="1"/>
  <c r="F23062" i="9"/>
  <c r="H23062" i="9" s="1"/>
  <c r="F23063" i="9"/>
  <c r="H23063" i="9" s="1"/>
  <c r="F23064" i="9"/>
  <c r="H23064" i="9" s="1"/>
  <c r="F23065" i="9"/>
  <c r="H23065" i="9" s="1"/>
  <c r="F23066" i="9"/>
  <c r="H23066" i="9" s="1"/>
  <c r="F23067" i="9"/>
  <c r="H23067" i="9" s="1"/>
  <c r="F23068" i="9"/>
  <c r="H23068" i="9" s="1"/>
  <c r="F23069" i="9"/>
  <c r="H23069" i="9" s="1"/>
  <c r="F23070" i="9"/>
  <c r="H23070" i="9" s="1"/>
  <c r="F23071" i="9"/>
  <c r="H23071" i="9" s="1"/>
  <c r="F23072" i="9"/>
  <c r="H23072" i="9"/>
  <c r="F23073" i="9"/>
  <c r="H23073" i="9" s="1"/>
  <c r="F23074" i="9"/>
  <c r="H23074" i="9" s="1"/>
  <c r="F23075" i="9"/>
  <c r="H23075" i="9" s="1"/>
  <c r="F23076" i="9"/>
  <c r="H23076" i="9" s="1"/>
  <c r="F23077" i="9"/>
  <c r="H23077" i="9" s="1"/>
  <c r="F23078" i="9"/>
  <c r="H23078" i="9" s="1"/>
  <c r="F23079" i="9"/>
  <c r="H23079" i="9" s="1"/>
  <c r="F23080" i="9"/>
  <c r="H23080" i="9" s="1"/>
  <c r="F23081" i="9"/>
  <c r="H23081" i="9" s="1"/>
  <c r="F23082" i="9"/>
  <c r="H23082" i="9" s="1"/>
  <c r="F23083" i="9"/>
  <c r="H23083" i="9" s="1"/>
  <c r="F23084" i="9"/>
  <c r="H23084" i="9" s="1"/>
  <c r="F23085" i="9"/>
  <c r="H23085" i="9" s="1"/>
  <c r="F23086" i="9"/>
  <c r="H23086" i="9" s="1"/>
  <c r="F23087" i="9"/>
  <c r="H23087" i="9" s="1"/>
  <c r="F23088" i="9"/>
  <c r="H23088" i="9" s="1"/>
  <c r="F23089" i="9"/>
  <c r="H23089" i="9" s="1"/>
  <c r="F23090" i="9"/>
  <c r="H23090" i="9" s="1"/>
  <c r="F23091" i="9"/>
  <c r="H23091" i="9" s="1"/>
  <c r="F23092" i="9"/>
  <c r="H23092" i="9" s="1"/>
  <c r="F23093" i="9"/>
  <c r="H23093" i="9" s="1"/>
  <c r="F23094" i="9"/>
  <c r="H23094" i="9" s="1"/>
  <c r="F23095" i="9"/>
  <c r="H23095" i="9"/>
  <c r="F23096" i="9"/>
  <c r="H23096" i="9" s="1"/>
  <c r="F23097" i="9"/>
  <c r="H23097" i="9" s="1"/>
  <c r="F23098" i="9"/>
  <c r="H23098" i="9" s="1"/>
  <c r="F23099" i="9"/>
  <c r="H23099" i="9" s="1"/>
  <c r="F23100" i="9"/>
  <c r="H23100" i="9" s="1"/>
  <c r="F23101" i="9"/>
  <c r="H23101" i="9" s="1"/>
  <c r="F23102" i="9"/>
  <c r="H23102" i="9" s="1"/>
  <c r="F23103" i="9"/>
  <c r="H23103" i="9" s="1"/>
  <c r="F23104" i="9"/>
  <c r="H23104" i="9" s="1"/>
  <c r="F23105" i="9"/>
  <c r="H23105" i="9" s="1"/>
  <c r="F23106" i="9"/>
  <c r="H23106" i="9" s="1"/>
  <c r="F23107" i="9"/>
  <c r="H23107" i="9"/>
  <c r="F23108" i="9"/>
  <c r="H23108" i="9" s="1"/>
  <c r="F23109" i="9"/>
  <c r="H23109" i="9" s="1"/>
  <c r="F23110" i="9"/>
  <c r="H23110" i="9" s="1"/>
  <c r="F23111" i="9"/>
  <c r="H23111" i="9" s="1"/>
  <c r="F23112" i="9"/>
  <c r="H23112" i="9" s="1"/>
  <c r="F23113" i="9"/>
  <c r="H23113" i="9" s="1"/>
  <c r="F23114" i="9"/>
  <c r="H23114" i="9" s="1"/>
  <c r="F23115" i="9"/>
  <c r="H23115" i="9" s="1"/>
  <c r="F23116" i="9"/>
  <c r="H23116" i="9" s="1"/>
  <c r="F23117" i="9"/>
  <c r="H23117" i="9" s="1"/>
  <c r="F23118" i="9"/>
  <c r="H23118" i="9" s="1"/>
  <c r="F23119" i="9"/>
  <c r="H23119" i="9"/>
  <c r="F23120" i="9"/>
  <c r="H23120" i="9" s="1"/>
  <c r="F23121" i="9"/>
  <c r="H23121" i="9" s="1"/>
  <c r="F23122" i="9"/>
  <c r="H23122" i="9" s="1"/>
  <c r="F23123" i="9"/>
  <c r="H23123" i="9" s="1"/>
  <c r="F23124" i="9"/>
  <c r="H23124" i="9" s="1"/>
  <c r="F23125" i="9"/>
  <c r="H23125" i="9"/>
  <c r="F23126" i="9"/>
  <c r="H23126" i="9" s="1"/>
  <c r="F23127" i="9"/>
  <c r="H23127" i="9" s="1"/>
  <c r="F23128" i="9"/>
  <c r="H23128" i="9" s="1"/>
  <c r="F23129" i="9"/>
  <c r="H23129" i="9" s="1"/>
  <c r="F23130" i="9"/>
  <c r="H23130" i="9" s="1"/>
  <c r="F23131" i="9"/>
  <c r="H23131" i="9" s="1"/>
  <c r="F23132" i="9"/>
  <c r="H23132" i="9" s="1"/>
  <c r="F23133" i="9"/>
  <c r="H23133" i="9" s="1"/>
  <c r="F23134" i="9"/>
  <c r="H23134" i="9" s="1"/>
  <c r="F23135" i="9"/>
  <c r="H23135" i="9" s="1"/>
  <c r="F23136" i="9"/>
  <c r="H23136" i="9" s="1"/>
  <c r="F23137" i="9"/>
  <c r="H23137" i="9" s="1"/>
  <c r="F23138" i="9"/>
  <c r="H23138" i="9" s="1"/>
  <c r="F23139" i="9"/>
  <c r="H23139" i="9" s="1"/>
  <c r="F23140" i="9"/>
  <c r="H23140" i="9" s="1"/>
  <c r="F23141" i="9"/>
  <c r="H23141" i="9" s="1"/>
  <c r="F23142" i="9"/>
  <c r="H23142" i="9" s="1"/>
  <c r="F23143" i="9"/>
  <c r="H23143" i="9" s="1"/>
  <c r="F23144" i="9"/>
  <c r="H23144" i="9" s="1"/>
  <c r="F23145" i="9"/>
  <c r="H23145" i="9" s="1"/>
  <c r="F23146" i="9"/>
  <c r="H23146" i="9" s="1"/>
  <c r="F23147" i="9"/>
  <c r="H23147" i="9" s="1"/>
  <c r="F23148" i="9"/>
  <c r="H23148" i="9" s="1"/>
  <c r="F23149" i="9"/>
  <c r="H23149" i="9" s="1"/>
  <c r="F23150" i="9"/>
  <c r="H23150" i="9" s="1"/>
  <c r="F23151" i="9"/>
  <c r="H23151" i="9" s="1"/>
  <c r="F23152" i="9"/>
  <c r="H23152" i="9" s="1"/>
  <c r="F23153" i="9"/>
  <c r="H23153" i="9" s="1"/>
  <c r="F23154" i="9"/>
  <c r="H23154" i="9" s="1"/>
  <c r="F23155" i="9"/>
  <c r="H23155" i="9" s="1"/>
  <c r="F23156" i="9"/>
  <c r="H23156" i="9" s="1"/>
  <c r="F23157" i="9"/>
  <c r="H23157" i="9" s="1"/>
  <c r="F23158" i="9"/>
  <c r="H23158" i="9"/>
  <c r="F23159" i="9"/>
  <c r="H23159" i="9" s="1"/>
  <c r="F23160" i="9"/>
  <c r="H23160" i="9" s="1"/>
  <c r="F23161" i="9"/>
  <c r="H23161" i="9" s="1"/>
  <c r="F23162" i="9"/>
  <c r="H23162" i="9" s="1"/>
  <c r="F23163" i="9"/>
  <c r="H23163" i="9" s="1"/>
  <c r="F23164" i="9"/>
  <c r="H23164" i="9" s="1"/>
  <c r="F23165" i="9"/>
  <c r="H23165" i="9" s="1"/>
  <c r="F23166" i="9"/>
  <c r="H23166" i="9" s="1"/>
  <c r="F23167" i="9"/>
  <c r="H23167" i="9" s="1"/>
  <c r="F23168" i="9"/>
  <c r="H23168" i="9" s="1"/>
  <c r="F23169" i="9"/>
  <c r="H23169" i="9" s="1"/>
  <c r="F23170" i="9"/>
  <c r="H23170" i="9" s="1"/>
  <c r="F23171" i="9"/>
  <c r="H23171" i="9" s="1"/>
  <c r="F23172" i="9"/>
  <c r="H23172" i="9" s="1"/>
  <c r="F23173" i="9"/>
  <c r="H23173" i="9" s="1"/>
  <c r="F23174" i="9"/>
  <c r="H23174" i="9" s="1"/>
  <c r="F23175" i="9"/>
  <c r="H23175" i="9" s="1"/>
  <c r="F23176" i="9"/>
  <c r="H23176" i="9" s="1"/>
  <c r="F23177" i="9"/>
  <c r="H23177" i="9" s="1"/>
  <c r="F23178" i="9"/>
  <c r="H23178" i="9" s="1"/>
  <c r="F23179" i="9"/>
  <c r="H23179" i="9" s="1"/>
  <c r="F23180" i="9"/>
  <c r="H23180" i="9" s="1"/>
  <c r="F23181" i="9"/>
  <c r="H23181" i="9" s="1"/>
  <c r="F23182" i="9"/>
  <c r="H23182" i="9" s="1"/>
  <c r="F23183" i="9"/>
  <c r="H23183" i="9" s="1"/>
  <c r="F23184" i="9"/>
  <c r="H23184" i="9" s="1"/>
  <c r="F23185" i="9"/>
  <c r="H23185" i="9" s="1"/>
  <c r="F23186" i="9"/>
  <c r="H23186" i="9" s="1"/>
  <c r="F23187" i="9"/>
  <c r="H23187" i="9" s="1"/>
  <c r="F23188" i="9"/>
  <c r="H23188" i="9" s="1"/>
  <c r="F23189" i="9"/>
  <c r="H23189" i="9" s="1"/>
  <c r="F23190" i="9"/>
  <c r="H23190" i="9" s="1"/>
  <c r="F23191" i="9"/>
  <c r="H23191" i="9" s="1"/>
  <c r="F23192" i="9"/>
  <c r="H23192" i="9" s="1"/>
  <c r="F23193" i="9"/>
  <c r="H23193" i="9" s="1"/>
  <c r="F23194" i="9"/>
  <c r="H23194" i="9"/>
  <c r="F23195" i="9"/>
  <c r="H23195" i="9" s="1"/>
  <c r="F23196" i="9"/>
  <c r="H23196" i="9" s="1"/>
  <c r="F23197" i="9"/>
  <c r="H23197" i="9" s="1"/>
  <c r="F23198" i="9"/>
  <c r="H23198" i="9" s="1"/>
  <c r="F23199" i="9"/>
  <c r="H23199" i="9" s="1"/>
  <c r="F23200" i="9"/>
  <c r="H23200" i="9" s="1"/>
  <c r="F23201" i="9"/>
  <c r="H23201" i="9" s="1"/>
  <c r="F23202" i="9"/>
  <c r="H23202" i="9" s="1"/>
  <c r="F23203" i="9"/>
  <c r="H23203" i="9" s="1"/>
  <c r="F23204" i="9"/>
  <c r="H23204" i="9" s="1"/>
  <c r="F23205" i="9"/>
  <c r="H23205" i="9" s="1"/>
  <c r="F23206" i="9"/>
  <c r="H23206" i="9" s="1"/>
  <c r="F23207" i="9"/>
  <c r="H23207" i="9" s="1"/>
  <c r="F23208" i="9"/>
  <c r="H23208" i="9" s="1"/>
  <c r="F23209" i="9"/>
  <c r="H23209" i="9" s="1"/>
  <c r="F23210" i="9"/>
  <c r="H23210" i="9" s="1"/>
  <c r="F23211" i="9"/>
  <c r="H23211" i="9" s="1"/>
  <c r="F23212" i="9"/>
  <c r="H23212" i="9" s="1"/>
  <c r="F23213" i="9"/>
  <c r="H23213" i="9" s="1"/>
  <c r="F23214" i="9"/>
  <c r="H23214" i="9" s="1"/>
  <c r="F23215" i="9"/>
  <c r="H23215" i="9"/>
  <c r="F23216" i="9"/>
  <c r="H23216" i="9"/>
  <c r="F23217" i="9"/>
  <c r="H23217" i="9" s="1"/>
  <c r="F23218" i="9"/>
  <c r="H23218" i="9" s="1"/>
  <c r="F23219" i="9"/>
  <c r="H23219" i="9" s="1"/>
  <c r="F23220" i="9"/>
  <c r="H23220" i="9" s="1"/>
  <c r="F23221" i="9"/>
  <c r="H23221" i="9" s="1"/>
  <c r="F23222" i="9"/>
  <c r="H23222" i="9" s="1"/>
  <c r="F23223" i="9"/>
  <c r="H23223" i="9" s="1"/>
  <c r="F23224" i="9"/>
  <c r="H23224" i="9" s="1"/>
  <c r="F23225" i="9"/>
  <c r="H23225" i="9" s="1"/>
  <c r="F23226" i="9"/>
  <c r="H23226" i="9" s="1"/>
  <c r="F23227" i="9"/>
  <c r="H23227" i="9" s="1"/>
  <c r="F23228" i="9"/>
  <c r="H23228" i="9" s="1"/>
  <c r="F23229" i="9"/>
  <c r="H23229" i="9" s="1"/>
  <c r="F23230" i="9"/>
  <c r="H23230" i="9" s="1"/>
  <c r="F23231" i="9"/>
  <c r="H23231" i="9" s="1"/>
  <c r="F23232" i="9"/>
  <c r="H23232" i="9" s="1"/>
  <c r="F23233" i="9"/>
  <c r="H23233" i="9" s="1"/>
  <c r="F23234" i="9"/>
  <c r="H23234" i="9" s="1"/>
  <c r="F23235" i="9"/>
  <c r="H23235" i="9" s="1"/>
  <c r="F23236" i="9"/>
  <c r="H23236" i="9" s="1"/>
  <c r="F23237" i="9"/>
  <c r="H23237" i="9" s="1"/>
  <c r="F23238" i="9"/>
  <c r="H23238" i="9" s="1"/>
  <c r="F23239" i="9"/>
  <c r="H23239" i="9" s="1"/>
  <c r="F23240" i="9"/>
  <c r="H23240" i="9" s="1"/>
  <c r="F23241" i="9"/>
  <c r="H23241" i="9" s="1"/>
  <c r="F23242" i="9"/>
  <c r="H23242" i="9" s="1"/>
  <c r="F23243" i="9"/>
  <c r="H23243" i="9" s="1"/>
  <c r="F23244" i="9"/>
  <c r="H23244" i="9" s="1"/>
  <c r="F23245" i="9"/>
  <c r="H23245" i="9" s="1"/>
  <c r="F23246" i="9"/>
  <c r="H23246" i="9" s="1"/>
  <c r="F23247" i="9"/>
  <c r="H23247" i="9"/>
  <c r="F23248" i="9"/>
  <c r="H23248" i="9" s="1"/>
  <c r="F23249" i="9"/>
  <c r="H23249" i="9" s="1"/>
  <c r="F23250" i="9"/>
  <c r="H23250" i="9" s="1"/>
  <c r="F23251" i="9"/>
  <c r="H23251" i="9" s="1"/>
  <c r="F23252" i="9"/>
  <c r="H23252" i="9" s="1"/>
  <c r="F23253" i="9"/>
  <c r="H23253" i="9" s="1"/>
  <c r="F23254" i="9"/>
  <c r="H23254" i="9" s="1"/>
  <c r="F23255" i="9"/>
  <c r="H23255" i="9" s="1"/>
  <c r="F23256" i="9"/>
  <c r="H23256" i="9" s="1"/>
  <c r="F23257" i="9"/>
  <c r="H23257" i="9" s="1"/>
  <c r="F23258" i="9"/>
  <c r="H23258" i="9" s="1"/>
  <c r="F23259" i="9"/>
  <c r="H23259" i="9" s="1"/>
  <c r="F23260" i="9"/>
  <c r="H23260" i="9" s="1"/>
  <c r="F23261" i="9"/>
  <c r="H23261" i="9" s="1"/>
  <c r="F23262" i="9"/>
  <c r="H23262" i="9" s="1"/>
  <c r="F23263" i="9"/>
  <c r="H23263" i="9" s="1"/>
  <c r="F23264" i="9"/>
  <c r="H23264" i="9" s="1"/>
  <c r="F23265" i="9"/>
  <c r="H23265" i="9" s="1"/>
  <c r="F23266" i="9"/>
  <c r="H23266" i="9" s="1"/>
  <c r="F23267" i="9"/>
  <c r="H23267" i="9" s="1"/>
  <c r="F23268" i="9"/>
  <c r="H23268" i="9" s="1"/>
  <c r="F23269" i="9"/>
  <c r="H23269" i="9" s="1"/>
  <c r="F23270" i="9"/>
  <c r="H23270" i="9" s="1"/>
  <c r="F23271" i="9"/>
  <c r="H23271" i="9" s="1"/>
  <c r="F23272" i="9"/>
  <c r="H23272" i="9" s="1"/>
  <c r="F23273" i="9"/>
  <c r="H23273" i="9" s="1"/>
  <c r="F23274" i="9"/>
  <c r="H23274" i="9" s="1"/>
  <c r="F23275" i="9"/>
  <c r="H23275" i="9" s="1"/>
  <c r="F23276" i="9"/>
  <c r="H23276" i="9" s="1"/>
  <c r="F23277" i="9"/>
  <c r="H23277" i="9" s="1"/>
  <c r="F23278" i="9"/>
  <c r="H23278" i="9" s="1"/>
  <c r="F23279" i="9"/>
  <c r="H23279" i="9" s="1"/>
  <c r="F23280" i="9"/>
  <c r="H23280" i="9" s="1"/>
  <c r="F23281" i="9"/>
  <c r="H23281" i="9" s="1"/>
  <c r="F23282" i="9"/>
  <c r="H23282" i="9" s="1"/>
  <c r="F23283" i="9"/>
  <c r="H23283" i="9" s="1"/>
  <c r="F23284" i="9"/>
  <c r="H23284" i="9" s="1"/>
  <c r="F23285" i="9"/>
  <c r="H23285" i="9" s="1"/>
  <c r="F23286" i="9"/>
  <c r="H23286" i="9" s="1"/>
  <c r="F23287" i="9"/>
  <c r="H23287" i="9" s="1"/>
  <c r="F23288" i="9"/>
  <c r="H23288" i="9" s="1"/>
  <c r="F23289" i="9"/>
  <c r="H23289" i="9" s="1"/>
  <c r="F23290" i="9"/>
  <c r="H23290" i="9" s="1"/>
  <c r="F23291" i="9"/>
  <c r="H23291" i="9" s="1"/>
  <c r="F23292" i="9"/>
  <c r="H23292" i="9" s="1"/>
  <c r="F23293" i="9"/>
  <c r="H23293" i="9" s="1"/>
  <c r="F23294" i="9"/>
  <c r="H23294" i="9" s="1"/>
  <c r="F23295" i="9"/>
  <c r="H23295" i="9" s="1"/>
  <c r="F23296" i="9"/>
  <c r="H23296" i="9" s="1"/>
  <c r="F23297" i="9"/>
  <c r="H23297" i="9" s="1"/>
  <c r="F23298" i="9"/>
  <c r="H23298" i="9" s="1"/>
  <c r="F23299" i="9"/>
  <c r="H23299" i="9" s="1"/>
  <c r="F23300" i="9"/>
  <c r="H23300" i="9" s="1"/>
  <c r="F23301" i="9"/>
  <c r="H23301" i="9" s="1"/>
  <c r="F23302" i="9"/>
  <c r="H23302" i="9" s="1"/>
  <c r="F23303" i="9"/>
  <c r="H23303" i="9" s="1"/>
  <c r="F23304" i="9"/>
  <c r="H23304" i="9" s="1"/>
  <c r="F23305" i="9"/>
  <c r="H23305" i="9"/>
  <c r="F23306" i="9"/>
  <c r="H23306" i="9" s="1"/>
  <c r="F23307" i="9"/>
  <c r="H23307" i="9" s="1"/>
  <c r="F23308" i="9"/>
  <c r="H23308" i="9" s="1"/>
  <c r="F23309" i="9"/>
  <c r="H23309" i="9" s="1"/>
  <c r="F23310" i="9"/>
  <c r="H23310" i="9" s="1"/>
  <c r="F23311" i="9"/>
  <c r="H23311" i="9" s="1"/>
  <c r="F23312" i="9"/>
  <c r="H23312" i="9" s="1"/>
  <c r="F23313" i="9"/>
  <c r="H23313" i="9" s="1"/>
  <c r="F23314" i="9"/>
  <c r="H23314" i="9" s="1"/>
  <c r="F23315" i="9"/>
  <c r="H23315" i="9" s="1"/>
  <c r="F23316" i="9"/>
  <c r="H23316" i="9" s="1"/>
  <c r="F23317" i="9"/>
  <c r="H23317" i="9" s="1"/>
  <c r="F23318" i="9"/>
  <c r="H23318" i="9" s="1"/>
  <c r="F23319" i="9"/>
  <c r="H23319" i="9" s="1"/>
  <c r="F23320" i="9"/>
  <c r="H23320" i="9" s="1"/>
  <c r="F23321" i="9"/>
  <c r="H23321" i="9" s="1"/>
  <c r="F23322" i="9"/>
  <c r="H23322" i="9" s="1"/>
  <c r="F23323" i="9"/>
  <c r="H23323" i="9" s="1"/>
  <c r="F23324" i="9"/>
  <c r="H23324" i="9" s="1"/>
  <c r="F23325" i="9"/>
  <c r="H23325" i="9" s="1"/>
  <c r="F23326" i="9"/>
  <c r="H23326" i="9" s="1"/>
  <c r="F23327" i="9"/>
  <c r="H23327" i="9" s="1"/>
  <c r="F23328" i="9"/>
  <c r="H23328" i="9" s="1"/>
  <c r="F23329" i="9"/>
  <c r="H23329" i="9" s="1"/>
  <c r="F23330" i="9"/>
  <c r="H23330" i="9" s="1"/>
  <c r="F23331" i="9"/>
  <c r="H23331" i="9" s="1"/>
  <c r="F23332" i="9"/>
  <c r="H23332" i="9" s="1"/>
  <c r="F23333" i="9"/>
  <c r="H23333" i="9" s="1"/>
  <c r="F23334" i="9"/>
  <c r="H23334" i="9" s="1"/>
  <c r="F23335" i="9"/>
  <c r="H23335" i="9" s="1"/>
  <c r="F23336" i="9"/>
  <c r="H23336" i="9" s="1"/>
  <c r="F23337" i="9"/>
  <c r="H23337" i="9" s="1"/>
  <c r="F23338" i="9"/>
  <c r="H23338" i="9" s="1"/>
  <c r="F23339" i="9"/>
  <c r="H23339" i="9" s="1"/>
  <c r="F23340" i="9"/>
  <c r="H23340" i="9" s="1"/>
  <c r="F23341" i="9"/>
  <c r="H23341" i="9" s="1"/>
  <c r="F23342" i="9"/>
  <c r="H23342" i="9" s="1"/>
  <c r="F23343" i="9"/>
  <c r="H23343" i="9" s="1"/>
  <c r="F23344" i="9"/>
  <c r="H23344" i="9" s="1"/>
  <c r="F23345" i="9"/>
  <c r="H23345" i="9" s="1"/>
  <c r="F23346" i="9"/>
  <c r="H23346" i="9" s="1"/>
  <c r="F23347" i="9"/>
  <c r="H23347" i="9" s="1"/>
  <c r="F23348" i="9"/>
  <c r="H23348" i="9" s="1"/>
  <c r="F23349" i="9"/>
  <c r="H23349" i="9" s="1"/>
  <c r="F23350" i="9"/>
  <c r="H23350" i="9" s="1"/>
  <c r="F23351" i="9"/>
  <c r="H23351" i="9" s="1"/>
  <c r="F23352" i="9"/>
  <c r="H23352" i="9" s="1"/>
  <c r="F23353" i="9"/>
  <c r="H23353" i="9" s="1"/>
  <c r="F23354" i="9"/>
  <c r="H23354" i="9" s="1"/>
  <c r="F23355" i="9"/>
  <c r="H23355" i="9" s="1"/>
  <c r="F23356" i="9"/>
  <c r="H23356" i="9" s="1"/>
  <c r="F23357" i="9"/>
  <c r="H23357" i="9" s="1"/>
  <c r="F23358" i="9"/>
  <c r="H23358" i="9" s="1"/>
  <c r="F23359" i="9"/>
  <c r="H23359" i="9" s="1"/>
  <c r="F23360" i="9"/>
  <c r="H23360" i="9" s="1"/>
  <c r="F23361" i="9"/>
  <c r="H23361" i="9" s="1"/>
  <c r="F23362" i="9"/>
  <c r="H23362" i="9" s="1"/>
  <c r="F23363" i="9"/>
  <c r="H23363" i="9" s="1"/>
  <c r="F23364" i="9"/>
  <c r="H23364" i="9" s="1"/>
  <c r="F23365" i="9"/>
  <c r="H23365" i="9" s="1"/>
  <c r="F23366" i="9"/>
  <c r="H23366" i="9" s="1"/>
  <c r="F23367" i="9"/>
  <c r="H23367" i="9" s="1"/>
  <c r="F23368" i="9"/>
  <c r="H23368" i="9" s="1"/>
  <c r="F23369" i="9"/>
  <c r="H23369" i="9" s="1"/>
  <c r="F23370" i="9"/>
  <c r="H23370" i="9" s="1"/>
  <c r="F23371" i="9"/>
  <c r="H23371" i="9" s="1"/>
  <c r="F23372" i="9"/>
  <c r="H23372" i="9" s="1"/>
  <c r="F23373" i="9"/>
  <c r="H23373" i="9" s="1"/>
  <c r="F23374" i="9"/>
  <c r="H23374" i="9" s="1"/>
  <c r="F23375" i="9"/>
  <c r="H23375" i="9" s="1"/>
  <c r="F23376" i="9"/>
  <c r="H23376" i="9" s="1"/>
  <c r="F23377" i="9"/>
  <c r="H23377" i="9" s="1"/>
  <c r="F23378" i="9"/>
  <c r="H23378" i="9" s="1"/>
  <c r="F23379" i="9"/>
  <c r="H23379" i="9" s="1"/>
  <c r="F23380" i="9"/>
  <c r="H23380" i="9" s="1"/>
  <c r="F23381" i="9"/>
  <c r="H23381" i="9" s="1"/>
  <c r="F23382" i="9"/>
  <c r="H23382" i="9" s="1"/>
  <c r="F23383" i="9"/>
  <c r="H23383" i="9" s="1"/>
  <c r="F23384" i="9"/>
  <c r="H23384" i="9" s="1"/>
  <c r="F23385" i="9"/>
  <c r="H23385" i="9" s="1"/>
  <c r="F23386" i="9"/>
  <c r="H23386" i="9" s="1"/>
  <c r="F23387" i="9"/>
  <c r="H23387" i="9" s="1"/>
  <c r="F23388" i="9"/>
  <c r="H23388" i="9" s="1"/>
  <c r="F23389" i="9"/>
  <c r="H23389" i="9" s="1"/>
  <c r="F23390" i="9"/>
  <c r="H23390" i="9" s="1"/>
  <c r="F23391" i="9"/>
  <c r="H23391" i="9" s="1"/>
  <c r="F23392" i="9"/>
  <c r="H23392" i="9" s="1"/>
  <c r="F23393" i="9"/>
  <c r="H23393" i="9" s="1"/>
  <c r="F23394" i="9"/>
  <c r="H23394" i="9" s="1"/>
  <c r="F23395" i="9"/>
  <c r="H23395" i="9" s="1"/>
  <c r="F23396" i="9"/>
  <c r="H23396" i="9" s="1"/>
  <c r="F23397" i="9"/>
  <c r="H23397" i="9" s="1"/>
  <c r="F23398" i="9"/>
  <c r="H23398" i="9" s="1"/>
  <c r="F23399" i="9"/>
  <c r="H23399" i="9" s="1"/>
  <c r="F23400" i="9"/>
  <c r="H23400" i="9" s="1"/>
  <c r="F23401" i="9"/>
  <c r="H23401" i="9" s="1"/>
  <c r="F23402" i="9"/>
  <c r="H23402" i="9" s="1"/>
  <c r="F23403" i="9"/>
  <c r="H23403" i="9" s="1"/>
  <c r="F23404" i="9"/>
  <c r="H23404" i="9" s="1"/>
  <c r="F23405" i="9"/>
  <c r="H23405" i="9" s="1"/>
  <c r="F23406" i="9"/>
  <c r="H23406" i="9" s="1"/>
  <c r="F23407" i="9"/>
  <c r="H23407" i="9" s="1"/>
  <c r="F23408" i="9"/>
  <c r="H23408" i="9" s="1"/>
  <c r="F23409" i="9"/>
  <c r="H23409" i="9" s="1"/>
  <c r="F23410" i="9"/>
  <c r="H23410" i="9" s="1"/>
  <c r="F23411" i="9"/>
  <c r="H23411" i="9" s="1"/>
  <c r="F23412" i="9"/>
  <c r="H23412" i="9" s="1"/>
  <c r="F23413" i="9"/>
  <c r="H23413" i="9" s="1"/>
  <c r="F23414" i="9"/>
  <c r="H23414" i="9" s="1"/>
  <c r="F23415" i="9"/>
  <c r="H23415" i="9" s="1"/>
  <c r="F23416" i="9"/>
  <c r="H23416" i="9" s="1"/>
  <c r="F23417" i="9"/>
  <c r="H23417" i="9" s="1"/>
  <c r="F23418" i="9"/>
  <c r="H23418" i="9" s="1"/>
  <c r="F23419" i="9"/>
  <c r="H23419" i="9" s="1"/>
  <c r="F23420" i="9"/>
  <c r="H23420" i="9" s="1"/>
  <c r="F23421" i="9"/>
  <c r="H23421" i="9" s="1"/>
  <c r="F23422" i="9"/>
  <c r="H23422" i="9" s="1"/>
  <c r="F23423" i="9"/>
  <c r="H23423" i="9" s="1"/>
  <c r="F23424" i="9"/>
  <c r="H23424" i="9" s="1"/>
  <c r="F23425" i="9"/>
  <c r="H23425" i="9" s="1"/>
  <c r="F23426" i="9"/>
  <c r="H23426" i="9"/>
  <c r="F23427" i="9"/>
  <c r="H23427" i="9" s="1"/>
  <c r="F23428" i="9"/>
  <c r="H23428" i="9" s="1"/>
  <c r="F23429" i="9"/>
  <c r="H23429" i="9" s="1"/>
  <c r="F23430" i="9"/>
  <c r="H23430" i="9" s="1"/>
  <c r="F23431" i="9"/>
  <c r="H23431" i="9" s="1"/>
  <c r="F23432" i="9"/>
  <c r="H23432" i="9" s="1"/>
  <c r="F23433" i="9"/>
  <c r="H23433" i="9" s="1"/>
  <c r="F23434" i="9"/>
  <c r="H23434" i="9" s="1"/>
  <c r="F23435" i="9"/>
  <c r="H23435" i="9" s="1"/>
  <c r="F23436" i="9"/>
  <c r="H23436" i="9" s="1"/>
  <c r="F23437" i="9"/>
  <c r="H23437" i="9" s="1"/>
  <c r="F23438" i="9"/>
  <c r="H23438" i="9" s="1"/>
  <c r="F23439" i="9"/>
  <c r="H23439" i="9" s="1"/>
  <c r="F23440" i="9"/>
  <c r="H23440" i="9" s="1"/>
  <c r="F23441" i="9"/>
  <c r="H23441" i="9" s="1"/>
  <c r="F23442" i="9"/>
  <c r="H23442" i="9" s="1"/>
  <c r="F23443" i="9"/>
  <c r="H23443" i="9" s="1"/>
  <c r="F23444" i="9"/>
  <c r="H23444" i="9" s="1"/>
  <c r="F23445" i="9"/>
  <c r="H23445" i="9" s="1"/>
  <c r="F23446" i="9"/>
  <c r="H23446" i="9" s="1"/>
  <c r="F23447" i="9"/>
  <c r="H23447" i="9" s="1"/>
  <c r="F23448" i="9"/>
  <c r="H23448" i="9" s="1"/>
  <c r="F23449" i="9"/>
  <c r="H23449" i="9" s="1"/>
  <c r="F23450" i="9"/>
  <c r="H23450" i="9" s="1"/>
  <c r="F23451" i="9"/>
  <c r="H23451" i="9" s="1"/>
  <c r="F23452" i="9"/>
  <c r="H23452" i="9" s="1"/>
  <c r="F23453" i="9"/>
  <c r="H23453" i="9" s="1"/>
  <c r="F23454" i="9"/>
  <c r="H23454" i="9" s="1"/>
  <c r="F23455" i="9"/>
  <c r="H23455" i="9" s="1"/>
  <c r="F23456" i="9"/>
  <c r="H23456" i="9" s="1"/>
  <c r="F23457" i="9"/>
  <c r="H23457" i="9" s="1"/>
  <c r="F23458" i="9"/>
  <c r="H23458" i="9" s="1"/>
  <c r="F23459" i="9"/>
  <c r="H23459" i="9" s="1"/>
  <c r="F23460" i="9"/>
  <c r="H23460" i="9" s="1"/>
  <c r="F23461" i="9"/>
  <c r="H23461" i="9" s="1"/>
  <c r="F23462" i="9"/>
  <c r="H23462" i="9" s="1"/>
  <c r="F23463" i="9"/>
  <c r="H23463" i="9"/>
  <c r="F23464" i="9"/>
  <c r="H23464" i="9" s="1"/>
  <c r="F23465" i="9"/>
  <c r="H23465" i="9" s="1"/>
  <c r="F23466" i="9"/>
  <c r="H23466" i="9" s="1"/>
  <c r="F23467" i="9"/>
  <c r="H23467" i="9" s="1"/>
  <c r="F23468" i="9"/>
  <c r="H23468" i="9" s="1"/>
  <c r="F23469" i="9"/>
  <c r="H23469" i="9" s="1"/>
  <c r="F23470" i="9"/>
  <c r="H23470" i="9" s="1"/>
  <c r="F23471" i="9"/>
  <c r="H23471" i="9" s="1"/>
  <c r="F23472" i="9"/>
  <c r="H23472" i="9" s="1"/>
  <c r="F23473" i="9"/>
  <c r="H23473" i="9" s="1"/>
  <c r="F23474" i="9"/>
  <c r="H23474" i="9" s="1"/>
  <c r="F23475" i="9"/>
  <c r="H23475" i="9" s="1"/>
  <c r="F23476" i="9"/>
  <c r="H23476" i="9" s="1"/>
  <c r="F23477" i="9"/>
  <c r="H23477" i="9" s="1"/>
  <c r="F23478" i="9"/>
  <c r="H23478" i="9" s="1"/>
  <c r="F23479" i="9"/>
  <c r="H23479" i="9" s="1"/>
  <c r="F23480" i="9"/>
  <c r="H23480" i="9" s="1"/>
  <c r="F23481" i="9"/>
  <c r="H23481" i="9" s="1"/>
  <c r="F23482" i="9"/>
  <c r="H23482" i="9" s="1"/>
  <c r="F23483" i="9"/>
  <c r="H23483" i="9" s="1"/>
  <c r="F23484" i="9"/>
  <c r="H23484" i="9" s="1"/>
  <c r="F23485" i="9"/>
  <c r="H23485" i="9" s="1"/>
  <c r="F23486" i="9"/>
  <c r="H23486" i="9" s="1"/>
  <c r="F23487" i="9"/>
  <c r="H23487" i="9" s="1"/>
  <c r="F23488" i="9"/>
  <c r="H23488" i="9" s="1"/>
  <c r="F23489" i="9"/>
  <c r="H23489" i="9" s="1"/>
  <c r="F23490" i="9"/>
  <c r="H23490" i="9" s="1"/>
  <c r="F23491" i="9"/>
  <c r="H23491" i="9" s="1"/>
  <c r="F23492" i="9"/>
  <c r="H23492" i="9" s="1"/>
  <c r="F23493" i="9"/>
  <c r="H23493" i="9" s="1"/>
  <c r="F23494" i="9"/>
  <c r="H23494" i="9" s="1"/>
  <c r="F23495" i="9"/>
  <c r="H23495" i="9" s="1"/>
  <c r="F23496" i="9"/>
  <c r="H23496" i="9" s="1"/>
  <c r="F23497" i="9"/>
  <c r="H23497" i="9" s="1"/>
  <c r="F23498" i="9"/>
  <c r="H23498" i="9" s="1"/>
  <c r="F23499" i="9"/>
  <c r="H23499" i="9" s="1"/>
  <c r="F23500" i="9"/>
  <c r="H23500" i="9" s="1"/>
  <c r="F23501" i="9"/>
  <c r="H23501" i="9" s="1"/>
  <c r="F23502" i="9"/>
  <c r="H23502" i="9" s="1"/>
  <c r="F23503" i="9"/>
  <c r="H23503" i="9" s="1"/>
  <c r="F23504" i="9"/>
  <c r="H23504" i="9" s="1"/>
  <c r="F23505" i="9"/>
  <c r="H23505" i="9" s="1"/>
  <c r="F23506" i="9"/>
  <c r="H23506" i="9" s="1"/>
  <c r="F23507" i="9"/>
  <c r="H23507" i="9" s="1"/>
  <c r="F23508" i="9"/>
  <c r="H23508" i="9" s="1"/>
  <c r="F23509" i="9"/>
  <c r="H23509" i="9" s="1"/>
  <c r="F23510" i="9"/>
  <c r="H23510" i="9" s="1"/>
  <c r="F23511" i="9"/>
  <c r="H23511" i="9" s="1"/>
  <c r="F23512" i="9"/>
  <c r="H23512" i="9" s="1"/>
  <c r="F23513" i="9"/>
  <c r="H23513" i="9" s="1"/>
  <c r="F23514" i="9"/>
  <c r="H23514" i="9" s="1"/>
  <c r="F23515" i="9"/>
  <c r="H23515" i="9" s="1"/>
  <c r="F23516" i="9"/>
  <c r="H23516" i="9" s="1"/>
  <c r="F23517" i="9"/>
  <c r="H23517" i="9" s="1"/>
  <c r="F23518" i="9"/>
  <c r="H23518" i="9" s="1"/>
  <c r="F23519" i="9"/>
  <c r="H23519" i="9" s="1"/>
  <c r="F23520" i="9"/>
  <c r="H23520" i="9" s="1"/>
  <c r="F23521" i="9"/>
  <c r="H23521" i="9" s="1"/>
  <c r="F23522" i="9"/>
  <c r="H23522" i="9" s="1"/>
  <c r="F23523" i="9"/>
  <c r="H23523" i="9" s="1"/>
  <c r="F23524" i="9"/>
  <c r="H23524" i="9" s="1"/>
  <c r="F23525" i="9"/>
  <c r="H23525" i="9" s="1"/>
  <c r="F23526" i="9"/>
  <c r="H23526" i="9" s="1"/>
  <c r="F23527" i="9"/>
  <c r="H23527" i="9" s="1"/>
  <c r="F23528" i="9"/>
  <c r="H23528" i="9" s="1"/>
  <c r="F23529" i="9"/>
  <c r="H23529" i="9" s="1"/>
  <c r="F23530" i="9"/>
  <c r="H23530" i="9" s="1"/>
  <c r="F23531" i="9"/>
  <c r="H23531" i="9" s="1"/>
  <c r="F23532" i="9"/>
  <c r="H23532" i="9" s="1"/>
  <c r="F23533" i="9"/>
  <c r="H23533" i="9" s="1"/>
  <c r="F23534" i="9"/>
  <c r="H23534" i="9" s="1"/>
  <c r="F23535" i="9"/>
  <c r="H23535" i="9" s="1"/>
  <c r="F23536" i="9"/>
  <c r="H23536" i="9" s="1"/>
  <c r="F23537" i="9"/>
  <c r="H23537" i="9" s="1"/>
  <c r="F23538" i="9"/>
  <c r="H23538" i="9" s="1"/>
  <c r="F23539" i="9"/>
  <c r="H23539" i="9" s="1"/>
  <c r="F23540" i="9"/>
  <c r="H23540" i="9" s="1"/>
  <c r="F23541" i="9"/>
  <c r="H23541" i="9" s="1"/>
  <c r="F23542" i="9"/>
  <c r="H23542" i="9" s="1"/>
  <c r="F23543" i="9"/>
  <c r="H23543" i="9" s="1"/>
  <c r="F23544" i="9"/>
  <c r="H23544" i="9" s="1"/>
  <c r="F23545" i="9"/>
  <c r="H23545" i="9" s="1"/>
  <c r="F23546" i="9"/>
  <c r="H23546" i="9" s="1"/>
  <c r="F23547" i="9"/>
  <c r="H23547" i="9" s="1"/>
  <c r="F23548" i="9"/>
  <c r="H23548" i="9" s="1"/>
  <c r="F23549" i="9"/>
  <c r="H23549" i="9" s="1"/>
  <c r="F23550" i="9"/>
  <c r="H23550" i="9" s="1"/>
  <c r="F23551" i="9"/>
  <c r="H23551" i="9" s="1"/>
  <c r="F23552" i="9"/>
  <c r="H23552" i="9" s="1"/>
  <c r="F23553" i="9"/>
  <c r="H23553" i="9" s="1"/>
  <c r="F23554" i="9"/>
  <c r="H23554" i="9" s="1"/>
  <c r="F23555" i="9"/>
  <c r="H23555" i="9" s="1"/>
  <c r="F23556" i="9"/>
  <c r="H23556" i="9" s="1"/>
  <c r="F23557" i="9"/>
  <c r="H23557" i="9" s="1"/>
  <c r="F23558" i="9"/>
  <c r="H23558" i="9" s="1"/>
  <c r="F23559" i="9"/>
  <c r="H23559" i="9" s="1"/>
  <c r="F23560" i="9"/>
  <c r="H23560" i="9" s="1"/>
  <c r="F23561" i="9"/>
  <c r="H23561" i="9" s="1"/>
  <c r="F23562" i="9"/>
  <c r="H23562" i="9" s="1"/>
  <c r="F23563" i="9"/>
  <c r="H23563" i="9" s="1"/>
  <c r="F23564" i="9"/>
  <c r="H23564" i="9" s="1"/>
  <c r="F23565" i="9"/>
  <c r="H23565" i="9" s="1"/>
  <c r="F23566" i="9"/>
  <c r="H23566" i="9" s="1"/>
  <c r="F23567" i="9"/>
  <c r="H23567" i="9" s="1"/>
  <c r="F23568" i="9"/>
  <c r="H23568" i="9" s="1"/>
  <c r="F23569" i="9"/>
  <c r="H23569" i="9" s="1"/>
  <c r="F23570" i="9"/>
  <c r="H23570" i="9" s="1"/>
  <c r="F23571" i="9"/>
  <c r="H23571" i="9" s="1"/>
  <c r="F23572" i="9"/>
  <c r="H23572" i="9" s="1"/>
  <c r="F23573" i="9"/>
  <c r="H23573" i="9" s="1"/>
  <c r="F23574" i="9"/>
  <c r="H23574" i="9" s="1"/>
  <c r="F23575" i="9"/>
  <c r="H23575" i="9" s="1"/>
  <c r="F23576" i="9"/>
  <c r="H23576" i="9" s="1"/>
  <c r="F23577" i="9"/>
  <c r="H23577" i="9" s="1"/>
  <c r="F23578" i="9"/>
  <c r="H23578" i="9" s="1"/>
  <c r="F23579" i="9"/>
  <c r="H23579" i="9" s="1"/>
  <c r="F23580" i="9"/>
  <c r="H23580" i="9" s="1"/>
  <c r="F23581" i="9"/>
  <c r="H23581" i="9" s="1"/>
  <c r="F23582" i="9"/>
  <c r="H23582" i="9" s="1"/>
  <c r="F23583" i="9"/>
  <c r="H23583" i="9" s="1"/>
  <c r="F23584" i="9"/>
  <c r="H23584" i="9" s="1"/>
  <c r="F23585" i="9"/>
  <c r="H23585" i="9" s="1"/>
  <c r="F23586" i="9"/>
  <c r="H23586" i="9" s="1"/>
  <c r="F23587" i="9"/>
  <c r="H23587" i="9" s="1"/>
  <c r="F23588" i="9"/>
  <c r="H23588" i="9" s="1"/>
  <c r="F23589" i="9"/>
  <c r="H23589" i="9" s="1"/>
  <c r="F23590" i="9"/>
  <c r="H23590" i="9" s="1"/>
  <c r="F23591" i="9"/>
  <c r="H23591" i="9" s="1"/>
  <c r="F23592" i="9"/>
  <c r="H23592" i="9" s="1"/>
  <c r="F23593" i="9"/>
  <c r="H23593" i="9" s="1"/>
  <c r="F23594" i="9"/>
  <c r="H23594" i="9" s="1"/>
  <c r="F23595" i="9"/>
  <c r="H23595" i="9" s="1"/>
  <c r="F23596" i="9"/>
  <c r="H23596" i="9" s="1"/>
  <c r="F23597" i="9"/>
  <c r="H23597" i="9" s="1"/>
  <c r="F23598" i="9"/>
  <c r="H23598" i="9" s="1"/>
  <c r="F23599" i="9"/>
  <c r="H23599" i="9" s="1"/>
  <c r="F23600" i="9"/>
  <c r="H23600" i="9" s="1"/>
  <c r="F23601" i="9"/>
  <c r="H23601" i="9" s="1"/>
  <c r="F23602" i="9"/>
  <c r="H23602" i="9" s="1"/>
  <c r="F23603" i="9"/>
  <c r="H23603" i="9" s="1"/>
  <c r="F23604" i="9"/>
  <c r="H23604" i="9" s="1"/>
  <c r="F23605" i="9"/>
  <c r="H23605" i="9" s="1"/>
  <c r="F23606" i="9"/>
  <c r="H23606" i="9" s="1"/>
  <c r="F23607" i="9"/>
  <c r="H23607" i="9" s="1"/>
  <c r="F23608" i="9"/>
  <c r="H23608" i="9" s="1"/>
  <c r="F23609" i="9"/>
  <c r="H23609" i="9" s="1"/>
  <c r="F23610" i="9"/>
  <c r="H23610" i="9" s="1"/>
  <c r="F23611" i="9"/>
  <c r="H23611" i="9" s="1"/>
  <c r="F23612" i="9"/>
  <c r="H23612" i="9" s="1"/>
  <c r="F23613" i="9"/>
  <c r="H23613" i="9" s="1"/>
  <c r="F23614" i="9"/>
  <c r="H23614" i="9" s="1"/>
  <c r="F23615" i="9"/>
  <c r="H23615" i="9" s="1"/>
  <c r="F23616" i="9"/>
  <c r="H23616" i="9" s="1"/>
  <c r="F23617" i="9"/>
  <c r="H23617" i="9" s="1"/>
  <c r="F23618" i="9"/>
  <c r="H23618" i="9" s="1"/>
  <c r="F23619" i="9"/>
  <c r="H23619" i="9" s="1"/>
  <c r="F23620" i="9"/>
  <c r="H23620" i="9" s="1"/>
  <c r="F23621" i="9"/>
  <c r="H23621" i="9" s="1"/>
  <c r="F23622" i="9"/>
  <c r="H23622" i="9" s="1"/>
  <c r="F23623" i="9"/>
  <c r="H23623" i="9" s="1"/>
  <c r="F23624" i="9"/>
  <c r="H23624" i="9" s="1"/>
  <c r="F23625" i="9"/>
  <c r="H23625" i="9" s="1"/>
  <c r="F23626" i="9"/>
  <c r="H23626" i="9" s="1"/>
  <c r="F23627" i="9"/>
  <c r="H23627" i="9" s="1"/>
  <c r="F23628" i="9"/>
  <c r="H23628" i="9" s="1"/>
  <c r="F23629" i="9"/>
  <c r="H23629" i="9" s="1"/>
  <c r="F23630" i="9"/>
  <c r="H23630" i="9" s="1"/>
  <c r="F23631" i="9"/>
  <c r="H23631" i="9" s="1"/>
  <c r="F23632" i="9"/>
  <c r="H23632" i="9" s="1"/>
  <c r="F23633" i="9"/>
  <c r="H23633" i="9" s="1"/>
  <c r="F23634" i="9"/>
  <c r="H23634" i="9" s="1"/>
  <c r="F23635" i="9"/>
  <c r="H23635" i="9" s="1"/>
  <c r="F23636" i="9"/>
  <c r="H23636" i="9" s="1"/>
  <c r="F23637" i="9"/>
  <c r="H23637" i="9" s="1"/>
  <c r="F23638" i="9"/>
  <c r="H23638" i="9" s="1"/>
  <c r="F23639" i="9"/>
  <c r="H23639" i="9" s="1"/>
  <c r="F23640" i="9"/>
  <c r="H23640" i="9" s="1"/>
  <c r="F23641" i="9"/>
  <c r="H23641" i="9" s="1"/>
  <c r="F23642" i="9"/>
  <c r="H23642" i="9" s="1"/>
  <c r="F23643" i="9"/>
  <c r="H23643" i="9" s="1"/>
  <c r="F23644" i="9"/>
  <c r="H23644" i="9" s="1"/>
  <c r="F23645" i="9"/>
  <c r="H23645" i="9" s="1"/>
  <c r="F23646" i="9"/>
  <c r="H23646" i="9" s="1"/>
  <c r="F23647" i="9"/>
  <c r="H23647" i="9" s="1"/>
  <c r="F23648" i="9"/>
  <c r="H23648" i="9"/>
  <c r="F23649" i="9"/>
  <c r="H23649" i="9" s="1"/>
  <c r="F23650" i="9"/>
  <c r="H23650" i="9" s="1"/>
  <c r="F23651" i="9"/>
  <c r="H23651" i="9" s="1"/>
  <c r="F23652" i="9"/>
  <c r="H23652" i="9" s="1"/>
  <c r="F23653" i="9"/>
  <c r="H23653" i="9" s="1"/>
  <c r="F23654" i="9"/>
  <c r="H23654" i="9" s="1"/>
  <c r="F23655" i="9"/>
  <c r="H23655" i="9" s="1"/>
  <c r="F23656" i="9"/>
  <c r="H23656" i="9" s="1"/>
  <c r="F23657" i="9"/>
  <c r="H23657" i="9" s="1"/>
  <c r="F23658" i="9"/>
  <c r="H23658" i="9" s="1"/>
  <c r="F23659" i="9"/>
  <c r="H23659" i="9" s="1"/>
  <c r="F23660" i="9"/>
  <c r="H23660" i="9" s="1"/>
  <c r="F23661" i="9"/>
  <c r="H23661" i="9" s="1"/>
  <c r="F23662" i="9"/>
  <c r="H23662" i="9" s="1"/>
  <c r="F23663" i="9"/>
  <c r="H23663" i="9" s="1"/>
  <c r="F23664" i="9"/>
  <c r="H23664" i="9" s="1"/>
  <c r="F23665" i="9"/>
  <c r="H23665" i="9" s="1"/>
  <c r="F23666" i="9"/>
  <c r="H23666" i="9" s="1"/>
  <c r="F23667" i="9"/>
  <c r="H23667" i="9" s="1"/>
  <c r="F23668" i="9"/>
  <c r="H23668" i="9" s="1"/>
  <c r="F23669" i="9"/>
  <c r="H23669" i="9" s="1"/>
  <c r="F23670" i="9"/>
  <c r="H23670" i="9" s="1"/>
  <c r="F23671" i="9"/>
  <c r="H23671" i="9" s="1"/>
  <c r="F23672" i="9"/>
  <c r="H23672" i="9" s="1"/>
  <c r="F23673" i="9"/>
  <c r="H23673" i="9" s="1"/>
  <c r="F23674" i="9"/>
  <c r="H23674" i="9" s="1"/>
  <c r="F23675" i="9"/>
  <c r="H23675" i="9" s="1"/>
  <c r="F23676" i="9"/>
  <c r="H23676" i="9" s="1"/>
  <c r="F23677" i="9"/>
  <c r="H23677" i="9" s="1"/>
  <c r="F23678" i="9"/>
  <c r="H23678" i="9" s="1"/>
  <c r="F23679" i="9"/>
  <c r="H23679" i="9" s="1"/>
  <c r="F23680" i="9"/>
  <c r="H23680" i="9" s="1"/>
  <c r="F23681" i="9"/>
  <c r="H23681" i="9" s="1"/>
  <c r="F23682" i="9"/>
  <c r="H23682" i="9" s="1"/>
  <c r="F23683" i="9"/>
  <c r="H23683" i="9" s="1"/>
  <c r="F23684" i="9"/>
  <c r="H23684" i="9" s="1"/>
  <c r="F23685" i="9"/>
  <c r="H23685" i="9" s="1"/>
  <c r="F23686" i="9"/>
  <c r="H23686" i="9" s="1"/>
  <c r="F23687" i="9"/>
  <c r="H23687" i="9" s="1"/>
  <c r="F23688" i="9"/>
  <c r="H23688" i="9" s="1"/>
  <c r="F23689" i="9"/>
  <c r="H23689" i="9" s="1"/>
  <c r="F23690" i="9"/>
  <c r="H23690" i="9" s="1"/>
  <c r="F23691" i="9"/>
  <c r="H23691" i="9" s="1"/>
  <c r="F23692" i="9"/>
  <c r="H23692" i="9" s="1"/>
  <c r="F23693" i="9"/>
  <c r="H23693" i="9" s="1"/>
  <c r="F23694" i="9"/>
  <c r="H23694" i="9" s="1"/>
  <c r="F23695" i="9"/>
  <c r="H23695" i="9" s="1"/>
  <c r="F23696" i="9"/>
  <c r="H23696" i="9" s="1"/>
  <c r="F23697" i="9"/>
  <c r="H23697" i="9" s="1"/>
  <c r="F23698" i="9"/>
  <c r="H23698" i="9" s="1"/>
  <c r="F23699" i="9"/>
  <c r="H23699" i="9" s="1"/>
  <c r="F23700" i="9"/>
  <c r="H23700" i="9" s="1"/>
  <c r="F23701" i="9"/>
  <c r="H23701" i="9" s="1"/>
  <c r="F23702" i="9"/>
  <c r="H23702" i="9" s="1"/>
  <c r="F23703" i="9"/>
  <c r="H23703" i="9" s="1"/>
  <c r="F23704" i="9"/>
  <c r="H23704" i="9" s="1"/>
  <c r="F23705" i="9"/>
  <c r="H23705" i="9" s="1"/>
  <c r="F23706" i="9"/>
  <c r="H23706" i="9" s="1"/>
  <c r="F23707" i="9"/>
  <c r="H23707" i="9" s="1"/>
  <c r="F23708" i="9"/>
  <c r="H23708" i="9" s="1"/>
  <c r="F23709" i="9"/>
  <c r="H23709" i="9" s="1"/>
  <c r="F23710" i="9"/>
  <c r="H23710" i="9" s="1"/>
  <c r="F23711" i="9"/>
  <c r="H23711" i="9" s="1"/>
  <c r="F23712" i="9"/>
  <c r="H23712" i="9" s="1"/>
  <c r="F23713" i="9"/>
  <c r="H23713" i="9" s="1"/>
  <c r="F23714" i="9"/>
  <c r="H23714" i="9" s="1"/>
  <c r="F23715" i="9"/>
  <c r="H23715" i="9" s="1"/>
  <c r="F23716" i="9"/>
  <c r="H23716" i="9" s="1"/>
  <c r="F23717" i="9"/>
  <c r="H23717" i="9" s="1"/>
  <c r="F23718" i="9"/>
  <c r="H23718" i="9" s="1"/>
  <c r="F23719" i="9"/>
  <c r="H23719" i="9" s="1"/>
  <c r="F23720" i="9"/>
  <c r="H23720" i="9" s="1"/>
  <c r="F23721" i="9"/>
  <c r="H23721" i="9" s="1"/>
  <c r="F23722" i="9"/>
  <c r="H23722" i="9" s="1"/>
  <c r="F23723" i="9"/>
  <c r="H23723" i="9" s="1"/>
  <c r="F23724" i="9"/>
  <c r="H23724" i="9" s="1"/>
  <c r="F23725" i="9"/>
  <c r="H23725" i="9" s="1"/>
  <c r="F23726" i="9"/>
  <c r="H23726" i="9" s="1"/>
  <c r="F23727" i="9"/>
  <c r="H23727" i="9" s="1"/>
  <c r="F23728" i="9"/>
  <c r="H23728" i="9" s="1"/>
  <c r="F23729" i="9"/>
  <c r="H23729" i="9" s="1"/>
  <c r="F23730" i="9"/>
  <c r="H23730" i="9" s="1"/>
  <c r="F23731" i="9"/>
  <c r="H23731" i="9" s="1"/>
  <c r="F23732" i="9"/>
  <c r="H23732" i="9" s="1"/>
  <c r="F23733" i="9"/>
  <c r="H23733" i="9" s="1"/>
  <c r="F23734" i="9"/>
  <c r="H23734" i="9" s="1"/>
  <c r="F23735" i="9"/>
  <c r="H23735" i="9" s="1"/>
  <c r="F23736" i="9"/>
  <c r="H23736" i="9" s="1"/>
  <c r="F23737" i="9"/>
  <c r="H23737" i="9" s="1"/>
  <c r="F23738" i="9"/>
  <c r="H23738" i="9" s="1"/>
  <c r="F23739" i="9"/>
  <c r="H23739" i="9" s="1"/>
  <c r="F23740" i="9"/>
  <c r="H23740" i="9" s="1"/>
  <c r="F23741" i="9"/>
  <c r="H23741" i="9" s="1"/>
  <c r="F23742" i="9"/>
  <c r="H23742" i="9" s="1"/>
  <c r="F23743" i="9"/>
  <c r="H23743" i="9" s="1"/>
  <c r="F23744" i="9"/>
  <c r="H23744" i="9" s="1"/>
  <c r="F23745" i="9"/>
  <c r="H23745" i="9" s="1"/>
  <c r="F23746" i="9"/>
  <c r="H23746" i="9" s="1"/>
  <c r="F23747" i="9"/>
  <c r="H23747" i="9" s="1"/>
  <c r="F23748" i="9"/>
  <c r="H23748" i="9" s="1"/>
  <c r="F23749" i="9"/>
  <c r="H23749" i="9" s="1"/>
  <c r="F23750" i="9"/>
  <c r="H23750" i="9" s="1"/>
  <c r="F23751" i="9"/>
  <c r="H23751" i="9" s="1"/>
  <c r="F23752" i="9"/>
  <c r="H23752" i="9" s="1"/>
  <c r="F23753" i="9"/>
  <c r="H23753" i="9" s="1"/>
  <c r="F23754" i="9"/>
  <c r="H23754" i="9" s="1"/>
  <c r="F23755" i="9"/>
  <c r="H23755" i="9" s="1"/>
  <c r="F23756" i="9"/>
  <c r="H23756" i="9" s="1"/>
  <c r="F23757" i="9"/>
  <c r="H23757" i="9" s="1"/>
  <c r="F23758" i="9"/>
  <c r="H23758" i="9" s="1"/>
  <c r="F23759" i="9"/>
  <c r="H23759" i="9" s="1"/>
  <c r="F23760" i="9"/>
  <c r="H23760" i="9" s="1"/>
  <c r="F23761" i="9"/>
  <c r="H23761" i="9" s="1"/>
  <c r="F23762" i="9"/>
  <c r="H23762" i="9" s="1"/>
  <c r="F23763" i="9"/>
  <c r="H23763" i="9" s="1"/>
  <c r="F23764" i="9"/>
  <c r="H23764" i="9" s="1"/>
  <c r="F23765" i="9"/>
  <c r="H23765" i="9" s="1"/>
  <c r="F23766" i="9"/>
  <c r="H23766" i="9" s="1"/>
  <c r="F23767" i="9"/>
  <c r="H23767" i="9" s="1"/>
  <c r="F23768" i="9"/>
  <c r="H23768" i="9" s="1"/>
  <c r="F23769" i="9"/>
  <c r="H23769" i="9" s="1"/>
  <c r="F23770" i="9"/>
  <c r="H23770" i="9" s="1"/>
  <c r="F23771" i="9"/>
  <c r="H23771" i="9" s="1"/>
  <c r="F23772" i="9"/>
  <c r="H23772" i="9" s="1"/>
  <c r="F23773" i="9"/>
  <c r="H23773" i="9" s="1"/>
  <c r="F23774" i="9"/>
  <c r="H23774" i="9" s="1"/>
  <c r="F23775" i="9"/>
  <c r="H23775" i="9" s="1"/>
  <c r="F23776" i="9"/>
  <c r="H23776" i="9" s="1"/>
  <c r="F23777" i="9"/>
  <c r="H23777" i="9" s="1"/>
  <c r="F23778" i="9"/>
  <c r="H23778" i="9" s="1"/>
  <c r="F23779" i="9"/>
  <c r="H23779" i="9" s="1"/>
  <c r="F23780" i="9"/>
  <c r="H23780" i="9" s="1"/>
  <c r="F23781" i="9"/>
  <c r="H23781" i="9" s="1"/>
  <c r="F23782" i="9"/>
  <c r="H23782" i="9" s="1"/>
  <c r="F23783" i="9"/>
  <c r="H23783" i="9" s="1"/>
  <c r="F23784" i="9"/>
  <c r="H23784" i="9" s="1"/>
  <c r="F23785" i="9"/>
  <c r="H23785" i="9" s="1"/>
  <c r="F23786" i="9"/>
  <c r="H23786" i="9" s="1"/>
  <c r="F23787" i="9"/>
  <c r="H23787" i="9" s="1"/>
  <c r="F23788" i="9"/>
  <c r="H23788" i="9" s="1"/>
  <c r="F23789" i="9"/>
  <c r="H23789" i="9" s="1"/>
  <c r="F23790" i="9"/>
  <c r="H23790" i="9" s="1"/>
  <c r="F23791" i="9"/>
  <c r="H23791" i="9" s="1"/>
  <c r="F23792" i="9"/>
  <c r="H23792" i="9" s="1"/>
  <c r="F23793" i="9"/>
  <c r="H23793" i="9" s="1"/>
  <c r="F23794" i="9"/>
  <c r="H23794" i="9" s="1"/>
  <c r="F23795" i="9"/>
  <c r="H23795" i="9" s="1"/>
  <c r="F23796" i="9"/>
  <c r="H23796" i="9" s="1"/>
  <c r="F23797" i="9"/>
  <c r="H23797" i="9" s="1"/>
  <c r="F23798" i="9"/>
  <c r="H23798" i="9" s="1"/>
  <c r="F23799" i="9"/>
  <c r="H23799" i="9" s="1"/>
  <c r="F23800" i="9"/>
  <c r="H23800" i="9" s="1"/>
  <c r="F23801" i="9"/>
  <c r="H23801" i="9" s="1"/>
  <c r="F23802" i="9"/>
  <c r="H23802" i="9" s="1"/>
  <c r="F23803" i="9"/>
  <c r="H23803" i="9" s="1"/>
  <c r="F23804" i="9"/>
  <c r="H23804" i="9" s="1"/>
  <c r="F23805" i="9"/>
  <c r="H23805" i="9" s="1"/>
  <c r="F23806" i="9"/>
  <c r="H23806" i="9" s="1"/>
  <c r="F23807" i="9"/>
  <c r="H23807" i="9" s="1"/>
  <c r="F23808" i="9"/>
  <c r="H23808" i="9" s="1"/>
  <c r="F23809" i="9"/>
  <c r="H23809" i="9" s="1"/>
  <c r="F23810" i="9"/>
  <c r="H23810" i="9" s="1"/>
  <c r="F23811" i="9"/>
  <c r="H23811" i="9" s="1"/>
  <c r="F23812" i="9"/>
  <c r="H23812" i="9" s="1"/>
  <c r="F23813" i="9"/>
  <c r="H23813" i="9" s="1"/>
  <c r="F23814" i="9"/>
  <c r="H23814" i="9" s="1"/>
  <c r="F23815" i="9"/>
  <c r="H23815" i="9" s="1"/>
  <c r="F23816" i="9"/>
  <c r="H23816" i="9" s="1"/>
  <c r="F23817" i="9"/>
  <c r="H23817" i="9" s="1"/>
  <c r="F23818" i="9"/>
  <c r="H23818" i="9" s="1"/>
  <c r="F23819" i="9"/>
  <c r="H23819" i="9" s="1"/>
  <c r="F23820" i="9"/>
  <c r="H23820" i="9" s="1"/>
  <c r="F23821" i="9"/>
  <c r="H23821" i="9" s="1"/>
  <c r="F23822" i="9"/>
  <c r="H23822" i="9" s="1"/>
  <c r="F23823" i="9"/>
  <c r="H23823" i="9" s="1"/>
  <c r="F23824" i="9"/>
  <c r="H23824" i="9" s="1"/>
  <c r="F23825" i="9"/>
  <c r="H23825" i="9" s="1"/>
  <c r="F23826" i="9"/>
  <c r="H23826" i="9" s="1"/>
  <c r="F23827" i="9"/>
  <c r="H23827" i="9" s="1"/>
  <c r="F23828" i="9"/>
  <c r="H23828" i="9" s="1"/>
  <c r="F23829" i="9"/>
  <c r="H23829" i="9" s="1"/>
  <c r="F23830" i="9"/>
  <c r="H23830" i="9" s="1"/>
  <c r="F23831" i="9"/>
  <c r="H23831" i="9" s="1"/>
  <c r="F23832" i="9"/>
  <c r="H23832" i="9" s="1"/>
  <c r="F23833" i="9"/>
  <c r="H23833" i="9" s="1"/>
  <c r="F23834" i="9"/>
  <c r="H23834" i="9" s="1"/>
  <c r="F23835" i="9"/>
  <c r="H23835" i="9" s="1"/>
  <c r="F23836" i="9"/>
  <c r="H23836" i="9" s="1"/>
  <c r="F23837" i="9"/>
  <c r="H23837" i="9" s="1"/>
  <c r="F23838" i="9"/>
  <c r="H23838" i="9" s="1"/>
  <c r="F23839" i="9"/>
  <c r="H23839" i="9" s="1"/>
  <c r="F23840" i="9"/>
  <c r="H23840" i="9" s="1"/>
  <c r="F23841" i="9"/>
  <c r="H23841" i="9" s="1"/>
  <c r="F23842" i="9"/>
  <c r="H23842" i="9" s="1"/>
  <c r="F23843" i="9"/>
  <c r="H23843" i="9" s="1"/>
  <c r="F23844" i="9"/>
  <c r="H23844" i="9" s="1"/>
  <c r="F23845" i="9"/>
  <c r="H23845" i="9" s="1"/>
  <c r="F23846" i="9"/>
  <c r="H23846" i="9" s="1"/>
  <c r="F23847" i="9"/>
  <c r="H23847" i="9" s="1"/>
  <c r="F23848" i="9"/>
  <c r="H23848" i="9" s="1"/>
  <c r="F23849" i="9"/>
  <c r="H23849" i="9" s="1"/>
  <c r="F23850" i="9"/>
  <c r="H23850" i="9" s="1"/>
  <c r="F23851" i="9"/>
  <c r="H23851" i="9" s="1"/>
  <c r="F23852" i="9"/>
  <c r="H23852" i="9" s="1"/>
  <c r="F23853" i="9"/>
  <c r="H23853" i="9" s="1"/>
  <c r="F23854" i="9"/>
  <c r="H23854" i="9" s="1"/>
  <c r="F23855" i="9"/>
  <c r="H23855" i="9" s="1"/>
  <c r="F23856" i="9"/>
  <c r="H23856" i="9" s="1"/>
  <c r="F23857" i="9"/>
  <c r="H23857" i="9" s="1"/>
  <c r="F23858" i="9"/>
  <c r="H23858" i="9" s="1"/>
  <c r="F23859" i="9"/>
  <c r="H23859" i="9" s="1"/>
  <c r="F23860" i="9"/>
  <c r="H23860" i="9" s="1"/>
  <c r="F23861" i="9"/>
  <c r="H23861" i="9" s="1"/>
  <c r="F23862" i="9"/>
  <c r="H23862" i="9" s="1"/>
  <c r="F23863" i="9"/>
  <c r="H23863" i="9" s="1"/>
  <c r="F23864" i="9"/>
  <c r="H23864" i="9" s="1"/>
  <c r="F23865" i="9"/>
  <c r="H23865" i="9"/>
  <c r="F23866" i="9"/>
  <c r="H23866" i="9" s="1"/>
  <c r="F23867" i="9"/>
  <c r="H23867" i="9" s="1"/>
  <c r="F23868" i="9"/>
  <c r="H23868" i="9" s="1"/>
  <c r="F23869" i="9"/>
  <c r="H23869" i="9" s="1"/>
  <c r="F23870" i="9"/>
  <c r="H23870" i="9" s="1"/>
  <c r="F23871" i="9"/>
  <c r="H23871" i="9" s="1"/>
  <c r="F23872" i="9"/>
  <c r="H23872" i="9" s="1"/>
  <c r="F23873" i="9"/>
  <c r="H23873" i="9" s="1"/>
  <c r="F23874" i="9"/>
  <c r="H23874" i="9" s="1"/>
  <c r="F23875" i="9"/>
  <c r="H23875" i="9" s="1"/>
  <c r="F23876" i="9"/>
  <c r="H23876" i="9" s="1"/>
  <c r="F23877" i="9"/>
  <c r="H23877" i="9" s="1"/>
  <c r="F23878" i="9"/>
  <c r="H23878" i="9" s="1"/>
  <c r="F23879" i="9"/>
  <c r="H23879" i="9" s="1"/>
  <c r="F23880" i="9"/>
  <c r="H23880" i="9" s="1"/>
  <c r="F23881" i="9"/>
  <c r="H23881" i="9" s="1"/>
  <c r="F23882" i="9"/>
  <c r="H23882" i="9" s="1"/>
  <c r="F23883" i="9"/>
  <c r="H23883" i="9" s="1"/>
  <c r="F23884" i="9"/>
  <c r="H23884" i="9" s="1"/>
  <c r="F23885" i="9"/>
  <c r="H23885" i="9" s="1"/>
  <c r="F23886" i="9"/>
  <c r="H23886" i="9" s="1"/>
  <c r="F23887" i="9"/>
  <c r="H23887" i="9" s="1"/>
  <c r="F23888" i="9"/>
  <c r="H23888" i="9" s="1"/>
  <c r="F23889" i="9"/>
  <c r="H23889" i="9" s="1"/>
  <c r="F23890" i="9"/>
  <c r="H23890" i="9" s="1"/>
  <c r="F23891" i="9"/>
  <c r="H23891" i="9" s="1"/>
  <c r="F23892" i="9"/>
  <c r="H23892" i="9" s="1"/>
  <c r="F23893" i="9"/>
  <c r="H23893" i="9" s="1"/>
  <c r="F23894" i="9"/>
  <c r="H23894" i="9" s="1"/>
  <c r="F23895" i="9"/>
  <c r="H23895" i="9" s="1"/>
  <c r="F23896" i="9"/>
  <c r="H23896" i="9" s="1"/>
  <c r="F23897" i="9"/>
  <c r="H23897" i="9" s="1"/>
  <c r="F23898" i="9"/>
  <c r="H23898" i="9" s="1"/>
  <c r="F23899" i="9"/>
  <c r="H23899" i="9" s="1"/>
  <c r="F23900" i="9"/>
  <c r="H23900" i="9" s="1"/>
  <c r="F23901" i="9"/>
  <c r="H23901" i="9" s="1"/>
  <c r="F23902" i="9"/>
  <c r="H23902" i="9" s="1"/>
  <c r="F23903" i="9"/>
  <c r="H23903" i="9" s="1"/>
  <c r="F23904" i="9"/>
  <c r="H23904" i="9" s="1"/>
  <c r="F23905" i="9"/>
  <c r="H23905" i="9" s="1"/>
  <c r="F23906" i="9"/>
  <c r="H23906" i="9" s="1"/>
  <c r="F23907" i="9"/>
  <c r="H23907" i="9" s="1"/>
  <c r="F23908" i="9"/>
  <c r="H23908" i="9" s="1"/>
  <c r="F23909" i="9"/>
  <c r="H23909" i="9" s="1"/>
  <c r="F23910" i="9"/>
  <c r="H23910" i="9" s="1"/>
  <c r="F23911" i="9"/>
  <c r="H23911" i="9" s="1"/>
  <c r="F23912" i="9"/>
  <c r="H23912" i="9" s="1"/>
  <c r="F23913" i="9"/>
  <c r="H23913" i="9" s="1"/>
  <c r="F23914" i="9"/>
  <c r="H23914" i="9" s="1"/>
  <c r="F23915" i="9"/>
  <c r="H23915" i="9" s="1"/>
  <c r="F23916" i="9"/>
  <c r="H23916" i="9" s="1"/>
  <c r="F23917" i="9"/>
  <c r="H23917" i="9" s="1"/>
  <c r="F23918" i="9"/>
  <c r="H23918" i="9" s="1"/>
  <c r="F23919" i="9"/>
  <c r="H23919" i="9" s="1"/>
  <c r="F23920" i="9"/>
  <c r="H23920" i="9" s="1"/>
  <c r="F23921" i="9"/>
  <c r="H23921" i="9" s="1"/>
  <c r="F23922" i="9"/>
  <c r="H23922" i="9" s="1"/>
  <c r="F23923" i="9"/>
  <c r="H23923" i="9" s="1"/>
  <c r="F23924" i="9"/>
  <c r="H23924" i="9" s="1"/>
  <c r="F23925" i="9"/>
  <c r="H23925" i="9" s="1"/>
  <c r="F23926" i="9"/>
  <c r="H23926" i="9" s="1"/>
  <c r="F23927" i="9"/>
  <c r="H23927" i="9" s="1"/>
  <c r="F23928" i="9"/>
  <c r="H23928" i="9" s="1"/>
  <c r="F23929" i="9"/>
  <c r="H23929" i="9" s="1"/>
  <c r="F23930" i="9"/>
  <c r="H23930" i="9" s="1"/>
  <c r="F23931" i="9"/>
  <c r="H23931" i="9" s="1"/>
  <c r="F23932" i="9"/>
  <c r="H23932" i="9" s="1"/>
  <c r="F23933" i="9"/>
  <c r="H23933" i="9" s="1"/>
  <c r="F23934" i="9"/>
  <c r="H23934" i="9" s="1"/>
  <c r="F23935" i="9"/>
  <c r="H23935" i="9" s="1"/>
  <c r="F23936" i="9"/>
  <c r="H23936" i="9" s="1"/>
  <c r="F23937" i="9"/>
  <c r="H23937" i="9" s="1"/>
  <c r="F23938" i="9"/>
  <c r="H23938" i="9" s="1"/>
  <c r="F23939" i="9"/>
  <c r="H23939" i="9" s="1"/>
  <c r="F23940" i="9"/>
  <c r="H23940" i="9" s="1"/>
  <c r="F23941" i="9"/>
  <c r="H23941" i="9" s="1"/>
  <c r="F23942" i="9"/>
  <c r="H23942" i="9" s="1"/>
  <c r="F23943" i="9"/>
  <c r="H23943" i="9" s="1"/>
  <c r="F23944" i="9"/>
  <c r="H23944" i="9" s="1"/>
  <c r="F23945" i="9"/>
  <c r="H23945" i="9" s="1"/>
  <c r="F23946" i="9"/>
  <c r="H23946" i="9" s="1"/>
  <c r="F23947" i="9"/>
  <c r="H23947" i="9" s="1"/>
  <c r="F23948" i="9"/>
  <c r="H23948" i="9" s="1"/>
  <c r="F23949" i="9"/>
  <c r="H23949" i="9" s="1"/>
  <c r="F23950" i="9"/>
  <c r="H23950" i="9" s="1"/>
  <c r="F23951" i="9"/>
  <c r="H23951" i="9" s="1"/>
  <c r="F23952" i="9"/>
  <c r="H23952" i="9" s="1"/>
  <c r="F23953" i="9"/>
  <c r="H23953" i="9" s="1"/>
  <c r="F23954" i="9"/>
  <c r="H23954" i="9" s="1"/>
  <c r="F23955" i="9"/>
  <c r="H23955" i="9" s="1"/>
  <c r="F23956" i="9"/>
  <c r="H23956" i="9" s="1"/>
  <c r="F23957" i="9"/>
  <c r="H23957" i="9" s="1"/>
  <c r="F23958" i="9"/>
  <c r="H23958" i="9" s="1"/>
  <c r="F23959" i="9"/>
  <c r="H23959" i="9" s="1"/>
  <c r="F23960" i="9"/>
  <c r="H23960" i="9" s="1"/>
  <c r="F23961" i="9"/>
  <c r="H23961" i="9" s="1"/>
  <c r="F23962" i="9"/>
  <c r="H23962" i="9" s="1"/>
  <c r="F23963" i="9"/>
  <c r="H23963" i="9" s="1"/>
  <c r="F23964" i="9"/>
  <c r="H23964" i="9" s="1"/>
  <c r="F23965" i="9"/>
  <c r="H23965" i="9" s="1"/>
  <c r="F23966" i="9"/>
  <c r="H23966" i="9" s="1"/>
  <c r="F23967" i="9"/>
  <c r="H23967" i="9" s="1"/>
  <c r="F23968" i="9"/>
  <c r="H23968" i="9" s="1"/>
  <c r="F23969" i="9"/>
  <c r="H23969" i="9" s="1"/>
  <c r="F23970" i="9"/>
  <c r="H23970" i="9" s="1"/>
  <c r="F23971" i="9"/>
  <c r="H23971" i="9" s="1"/>
  <c r="F23972" i="9"/>
  <c r="H23972" i="9" s="1"/>
  <c r="F23973" i="9"/>
  <c r="H23973" i="9" s="1"/>
  <c r="F23974" i="9"/>
  <c r="H23974" i="9" s="1"/>
  <c r="F23975" i="9"/>
  <c r="H23975" i="9" s="1"/>
  <c r="F23976" i="9"/>
  <c r="H23976" i="9" s="1"/>
  <c r="F23977" i="9"/>
  <c r="H23977" i="9" s="1"/>
  <c r="F23978" i="9"/>
  <c r="H23978" i="9" s="1"/>
  <c r="F23979" i="9"/>
  <c r="H23979" i="9"/>
  <c r="F23980" i="9"/>
  <c r="H23980" i="9" s="1"/>
  <c r="F23981" i="9"/>
  <c r="H23981" i="9" s="1"/>
  <c r="F23982" i="9"/>
  <c r="H23982" i="9" s="1"/>
  <c r="F23983" i="9"/>
  <c r="H23983" i="9" s="1"/>
  <c r="F23984" i="9"/>
  <c r="H23984" i="9" s="1"/>
  <c r="F23985" i="9"/>
  <c r="H23985" i="9" s="1"/>
  <c r="F23986" i="9"/>
  <c r="H23986" i="9" s="1"/>
  <c r="F23987" i="9"/>
  <c r="H23987" i="9" s="1"/>
  <c r="F23988" i="9"/>
  <c r="H23988" i="9" s="1"/>
  <c r="F23989" i="9"/>
  <c r="H23989" i="9" s="1"/>
  <c r="F23990" i="9"/>
  <c r="H23990" i="9" s="1"/>
  <c r="F23991" i="9"/>
  <c r="H23991" i="9" s="1"/>
  <c r="F23992" i="9"/>
  <c r="H23992" i="9" s="1"/>
  <c r="F23993" i="9"/>
  <c r="H23993" i="9" s="1"/>
  <c r="F23994" i="9"/>
  <c r="H23994" i="9" s="1"/>
  <c r="F23995" i="9"/>
  <c r="H23995" i="9" s="1"/>
  <c r="F23996" i="9"/>
  <c r="H23996" i="9" s="1"/>
  <c r="F23997" i="9"/>
  <c r="H23997" i="9" s="1"/>
  <c r="F23998" i="9"/>
  <c r="H23998" i="9" s="1"/>
  <c r="F23999" i="9"/>
  <c r="H23999" i="9" s="1"/>
  <c r="F24000" i="9"/>
  <c r="H24000" i="9" s="1"/>
  <c r="F24001" i="9"/>
  <c r="H24001" i="9" s="1"/>
  <c r="F24002" i="9"/>
  <c r="H24002" i="9" s="1"/>
  <c r="F24003" i="9"/>
  <c r="H24003" i="9" s="1"/>
  <c r="F24004" i="9"/>
  <c r="H24004" i="9" s="1"/>
  <c r="F24005" i="9"/>
  <c r="H24005" i="9" s="1"/>
  <c r="F24006" i="9"/>
  <c r="H24006" i="9" s="1"/>
  <c r="F24007" i="9"/>
  <c r="H24007" i="9" s="1"/>
  <c r="F24008" i="9"/>
  <c r="H24008" i="9" s="1"/>
  <c r="F24009" i="9"/>
  <c r="H24009" i="9" s="1"/>
  <c r="F24010" i="9"/>
  <c r="H24010" i="9" s="1"/>
  <c r="F24011" i="9"/>
  <c r="H24011" i="9" s="1"/>
  <c r="F24012" i="9"/>
  <c r="H24012" i="9" s="1"/>
  <c r="F24013" i="9"/>
  <c r="H24013" i="9" s="1"/>
  <c r="F24014" i="9"/>
  <c r="H24014" i="9" s="1"/>
  <c r="F24015" i="9"/>
  <c r="H24015" i="9" s="1"/>
  <c r="F24016" i="9"/>
  <c r="H24016" i="9" s="1"/>
  <c r="F24017" i="9"/>
  <c r="H24017" i="9" s="1"/>
  <c r="F24018" i="9"/>
  <c r="H24018" i="9" s="1"/>
  <c r="F24019" i="9"/>
  <c r="H24019" i="9" s="1"/>
  <c r="F24020" i="9"/>
  <c r="H24020" i="9" s="1"/>
  <c r="F24021" i="9"/>
  <c r="H24021" i="9" s="1"/>
  <c r="F24022" i="9"/>
  <c r="H24022" i="9" s="1"/>
  <c r="F24023" i="9"/>
  <c r="H24023" i="9" s="1"/>
  <c r="F24024" i="9"/>
  <c r="H24024" i="9" s="1"/>
  <c r="F24025" i="9"/>
  <c r="H24025" i="9" s="1"/>
  <c r="F24026" i="9"/>
  <c r="H24026" i="9" s="1"/>
  <c r="F24027" i="9"/>
  <c r="H24027" i="9" s="1"/>
  <c r="F24028" i="9"/>
  <c r="H24028" i="9" s="1"/>
  <c r="F24029" i="9"/>
  <c r="H24029" i="9" s="1"/>
  <c r="F24030" i="9"/>
  <c r="H24030" i="9" s="1"/>
  <c r="F24031" i="9"/>
  <c r="H24031" i="9" s="1"/>
  <c r="F24032" i="9"/>
  <c r="H24032" i="9" s="1"/>
  <c r="F24033" i="9"/>
  <c r="H24033" i="9" s="1"/>
  <c r="F24034" i="9"/>
  <c r="H24034" i="9" s="1"/>
  <c r="F24035" i="9"/>
  <c r="H24035" i="9" s="1"/>
  <c r="F24036" i="9"/>
  <c r="H24036" i="9" s="1"/>
  <c r="F24037" i="9"/>
  <c r="H24037" i="9" s="1"/>
  <c r="F24038" i="9"/>
  <c r="H24038" i="9" s="1"/>
  <c r="F24039" i="9"/>
  <c r="H24039" i="9" s="1"/>
  <c r="F24040" i="9"/>
  <c r="H24040" i="9" s="1"/>
  <c r="F24041" i="9"/>
  <c r="H24041" i="9" s="1"/>
  <c r="F24042" i="9"/>
  <c r="H24042" i="9" s="1"/>
  <c r="F24043" i="9"/>
  <c r="H24043" i="9" s="1"/>
  <c r="F24044" i="9"/>
  <c r="H24044" i="9" s="1"/>
  <c r="F24045" i="9"/>
  <c r="H24045" i="9" s="1"/>
  <c r="F24046" i="9"/>
  <c r="H24046" i="9" s="1"/>
  <c r="F24047" i="9"/>
  <c r="H24047" i="9" s="1"/>
  <c r="F24048" i="9"/>
  <c r="H24048" i="9" s="1"/>
  <c r="F24049" i="9"/>
  <c r="H24049" i="9" s="1"/>
  <c r="F24050" i="9"/>
  <c r="H24050" i="9" s="1"/>
  <c r="F24051" i="9"/>
  <c r="H24051" i="9" s="1"/>
  <c r="F24052" i="9"/>
  <c r="H24052" i="9" s="1"/>
  <c r="F24053" i="9"/>
  <c r="H24053" i="9" s="1"/>
  <c r="F24054" i="9"/>
  <c r="H24054" i="9" s="1"/>
  <c r="F24055" i="9"/>
  <c r="H24055" i="9" s="1"/>
  <c r="F24056" i="9"/>
  <c r="H24056" i="9" s="1"/>
  <c r="F24057" i="9"/>
  <c r="H24057" i="9" s="1"/>
  <c r="F24058" i="9"/>
  <c r="H24058" i="9" s="1"/>
  <c r="F24059" i="9"/>
  <c r="H24059" i="9" s="1"/>
  <c r="F24060" i="9"/>
  <c r="H24060" i="9" s="1"/>
  <c r="F24061" i="9"/>
  <c r="H24061" i="9" s="1"/>
  <c r="F24062" i="9"/>
  <c r="H24062" i="9" s="1"/>
  <c r="F24063" i="9"/>
  <c r="H24063" i="9" s="1"/>
  <c r="F24064" i="9"/>
  <c r="H24064" i="9" s="1"/>
  <c r="F24065" i="9"/>
  <c r="H24065" i="9" s="1"/>
  <c r="F24066" i="9"/>
  <c r="H24066" i="9" s="1"/>
  <c r="F24067" i="9"/>
  <c r="H24067" i="9" s="1"/>
  <c r="F24068" i="9"/>
  <c r="H24068" i="9" s="1"/>
  <c r="F24069" i="9"/>
  <c r="H24069" i="9" s="1"/>
  <c r="F24070" i="9"/>
  <c r="H24070" i="9" s="1"/>
  <c r="F24071" i="9"/>
  <c r="H24071" i="9" s="1"/>
  <c r="F24072" i="9"/>
  <c r="H24072" i="9" s="1"/>
  <c r="F24073" i="9"/>
  <c r="H24073" i="9" s="1"/>
  <c r="F24074" i="9"/>
  <c r="H24074" i="9" s="1"/>
  <c r="F24075" i="9"/>
  <c r="H24075" i="9" s="1"/>
  <c r="F24076" i="9"/>
  <c r="H24076" i="9" s="1"/>
  <c r="F24077" i="9"/>
  <c r="H24077" i="9" s="1"/>
  <c r="F24078" i="9"/>
  <c r="H24078" i="9" s="1"/>
  <c r="F24079" i="9"/>
  <c r="H24079" i="9" s="1"/>
  <c r="F24080" i="9"/>
  <c r="H24080" i="9" s="1"/>
  <c r="F24081" i="9"/>
  <c r="H24081" i="9" s="1"/>
  <c r="F24082" i="9"/>
  <c r="H24082" i="9" s="1"/>
  <c r="F24083" i="9"/>
  <c r="H24083" i="9" s="1"/>
  <c r="F24084" i="9"/>
  <c r="H24084" i="9" s="1"/>
  <c r="F24085" i="9"/>
  <c r="H24085" i="9" s="1"/>
  <c r="F24086" i="9"/>
  <c r="H24086" i="9" s="1"/>
  <c r="F24087" i="9"/>
  <c r="H24087" i="9" s="1"/>
  <c r="F24088" i="9"/>
  <c r="H24088" i="9" s="1"/>
  <c r="F24089" i="9"/>
  <c r="H24089" i="9" s="1"/>
  <c r="F24090" i="9"/>
  <c r="H24090" i="9" s="1"/>
  <c r="F24091" i="9"/>
  <c r="H24091" i="9" s="1"/>
  <c r="F24092" i="9"/>
  <c r="H24092" i="9" s="1"/>
  <c r="F24093" i="9"/>
  <c r="H24093" i="9" s="1"/>
  <c r="F24094" i="9"/>
  <c r="H24094" i="9" s="1"/>
  <c r="F24095" i="9"/>
  <c r="H24095" i="9" s="1"/>
  <c r="F24096" i="9"/>
  <c r="H24096" i="9" s="1"/>
  <c r="F24097" i="9"/>
  <c r="H24097" i="9" s="1"/>
  <c r="F24098" i="9"/>
  <c r="H24098" i="9" s="1"/>
  <c r="F24099" i="9"/>
  <c r="H24099" i="9" s="1"/>
  <c r="F24100" i="9"/>
  <c r="H24100" i="9" s="1"/>
  <c r="F24101" i="9"/>
  <c r="H24101" i="9" s="1"/>
  <c r="F24102" i="9"/>
  <c r="H24102" i="9" s="1"/>
  <c r="F24103" i="9"/>
  <c r="H24103" i="9" s="1"/>
  <c r="F24104" i="9"/>
  <c r="H24104" i="9" s="1"/>
  <c r="F24105" i="9"/>
  <c r="H24105" i="9" s="1"/>
  <c r="F24106" i="9"/>
  <c r="H24106" i="9" s="1"/>
  <c r="F24107" i="9"/>
  <c r="H24107" i="9" s="1"/>
  <c r="F24108" i="9"/>
  <c r="H24108" i="9" s="1"/>
  <c r="F24109" i="9"/>
  <c r="H24109" i="9" s="1"/>
  <c r="F24110" i="9"/>
  <c r="H24110" i="9" s="1"/>
  <c r="F24111" i="9"/>
  <c r="H24111" i="9" s="1"/>
  <c r="F24112" i="9"/>
  <c r="H24112" i="9" s="1"/>
  <c r="F24113" i="9"/>
  <c r="H24113" i="9" s="1"/>
  <c r="F24114" i="9"/>
  <c r="H24114" i="9" s="1"/>
  <c r="F24115" i="9"/>
  <c r="H24115" i="9" s="1"/>
  <c r="F24116" i="9"/>
  <c r="H24116" i="9" s="1"/>
  <c r="F24117" i="9"/>
  <c r="H24117" i="9" s="1"/>
  <c r="F24118" i="9"/>
  <c r="H24118" i="9" s="1"/>
  <c r="F24119" i="9"/>
  <c r="H24119" i="9" s="1"/>
  <c r="F24120" i="9"/>
  <c r="H24120" i="9" s="1"/>
  <c r="F24121" i="9"/>
  <c r="H24121" i="9" s="1"/>
  <c r="F24122" i="9"/>
  <c r="H24122" i="9" s="1"/>
  <c r="F24123" i="9"/>
  <c r="H24123" i="9" s="1"/>
  <c r="F24124" i="9"/>
  <c r="H24124" i="9" s="1"/>
  <c r="F24125" i="9"/>
  <c r="H24125" i="9" s="1"/>
  <c r="F24126" i="9"/>
  <c r="H24126" i="9" s="1"/>
  <c r="F24127" i="9"/>
  <c r="H24127" i="9" s="1"/>
  <c r="F24128" i="9"/>
  <c r="H24128" i="9" s="1"/>
  <c r="F24129" i="9"/>
  <c r="H24129" i="9" s="1"/>
  <c r="F24130" i="9"/>
  <c r="H24130" i="9" s="1"/>
  <c r="F24131" i="9"/>
  <c r="H24131" i="9" s="1"/>
  <c r="F24132" i="9"/>
  <c r="H24132" i="9" s="1"/>
  <c r="F24133" i="9"/>
  <c r="H24133" i="9" s="1"/>
  <c r="F24134" i="9"/>
  <c r="H24134" i="9" s="1"/>
  <c r="F24135" i="9"/>
  <c r="H24135" i="9" s="1"/>
  <c r="F24136" i="9"/>
  <c r="H24136" i="9" s="1"/>
  <c r="F24137" i="9"/>
  <c r="H24137" i="9" s="1"/>
  <c r="F24138" i="9"/>
  <c r="H24138" i="9" s="1"/>
  <c r="F24139" i="9"/>
  <c r="H24139" i="9" s="1"/>
  <c r="F24140" i="9"/>
  <c r="H24140" i="9" s="1"/>
  <c r="F24141" i="9"/>
  <c r="H24141" i="9" s="1"/>
  <c r="F24142" i="9"/>
  <c r="H24142" i="9" s="1"/>
  <c r="F24143" i="9"/>
  <c r="H24143" i="9" s="1"/>
  <c r="F24144" i="9"/>
  <c r="H24144" i="9" s="1"/>
  <c r="F24145" i="9"/>
  <c r="H24145" i="9" s="1"/>
  <c r="F24146" i="9"/>
  <c r="H24146" i="9" s="1"/>
  <c r="F24147" i="9"/>
  <c r="H24147" i="9" s="1"/>
  <c r="F24148" i="9"/>
  <c r="H24148" i="9" s="1"/>
  <c r="F24149" i="9"/>
  <c r="H24149" i="9" s="1"/>
  <c r="F24150" i="9"/>
  <c r="H24150" i="9" s="1"/>
  <c r="F24151" i="9"/>
  <c r="H24151" i="9" s="1"/>
  <c r="F24152" i="9"/>
  <c r="H24152" i="9" s="1"/>
  <c r="F24153" i="9"/>
  <c r="H24153" i="9" s="1"/>
  <c r="F24154" i="9"/>
  <c r="H24154" i="9" s="1"/>
  <c r="F24155" i="9"/>
  <c r="H24155" i="9" s="1"/>
  <c r="F24156" i="9"/>
  <c r="H24156" i="9" s="1"/>
  <c r="F24157" i="9"/>
  <c r="H24157" i="9" s="1"/>
  <c r="F24158" i="9"/>
  <c r="H24158" i="9" s="1"/>
  <c r="F24159" i="9"/>
  <c r="H24159" i="9" s="1"/>
  <c r="F24160" i="9"/>
  <c r="H24160" i="9" s="1"/>
  <c r="F24161" i="9"/>
  <c r="H24161" i="9" s="1"/>
  <c r="F24162" i="9"/>
  <c r="H24162" i="9" s="1"/>
  <c r="F24163" i="9"/>
  <c r="H24163" i="9" s="1"/>
  <c r="F24164" i="9"/>
  <c r="H24164" i="9" s="1"/>
  <c r="F24165" i="9"/>
  <c r="H24165" i="9" s="1"/>
  <c r="F24166" i="9"/>
  <c r="H24166" i="9" s="1"/>
  <c r="F24167" i="9"/>
  <c r="H24167" i="9" s="1"/>
  <c r="F24168" i="9"/>
  <c r="H24168" i="9" s="1"/>
  <c r="F24169" i="9"/>
  <c r="H24169" i="9" s="1"/>
  <c r="F24170" i="9"/>
  <c r="H24170" i="9" s="1"/>
  <c r="F24171" i="9"/>
  <c r="H24171" i="9" s="1"/>
  <c r="F24172" i="9"/>
  <c r="H24172" i="9" s="1"/>
  <c r="F24173" i="9"/>
  <c r="H24173" i="9" s="1"/>
  <c r="F24174" i="9"/>
  <c r="H24174" i="9" s="1"/>
  <c r="F24175" i="9"/>
  <c r="H24175" i="9" s="1"/>
  <c r="F24176" i="9"/>
  <c r="H24176" i="9" s="1"/>
  <c r="F24177" i="9"/>
  <c r="H24177" i="9" s="1"/>
  <c r="F24178" i="9"/>
  <c r="H24178" i="9" s="1"/>
  <c r="F24179" i="9"/>
  <c r="H24179" i="9" s="1"/>
  <c r="F24180" i="9"/>
  <c r="H24180" i="9" s="1"/>
  <c r="F24181" i="9"/>
  <c r="H24181" i="9"/>
  <c r="F24182" i="9"/>
  <c r="H24182" i="9" s="1"/>
  <c r="F24183" i="9"/>
  <c r="H24183" i="9" s="1"/>
  <c r="F24184" i="9"/>
  <c r="H24184" i="9" s="1"/>
  <c r="F24185" i="9"/>
  <c r="H24185" i="9" s="1"/>
  <c r="F24186" i="9"/>
  <c r="H24186" i="9" s="1"/>
  <c r="F24187" i="9"/>
  <c r="H24187" i="9" s="1"/>
  <c r="F24188" i="9"/>
  <c r="H24188" i="9" s="1"/>
  <c r="F24189" i="9"/>
  <c r="H24189" i="9" s="1"/>
  <c r="F24190" i="9"/>
  <c r="H24190" i="9" s="1"/>
  <c r="F24191" i="9"/>
  <c r="H24191" i="9" s="1"/>
  <c r="F24192" i="9"/>
  <c r="H24192" i="9" s="1"/>
  <c r="F24193" i="9"/>
  <c r="H24193" i="9" s="1"/>
  <c r="F24194" i="9"/>
  <c r="H24194" i="9" s="1"/>
  <c r="F24195" i="9"/>
  <c r="H24195" i="9" s="1"/>
  <c r="F24196" i="9"/>
  <c r="H24196" i="9" s="1"/>
  <c r="F24197" i="9"/>
  <c r="H24197" i="9" s="1"/>
  <c r="F24198" i="9"/>
  <c r="H24198" i="9" s="1"/>
  <c r="F24199" i="9"/>
  <c r="H24199" i="9" s="1"/>
  <c r="F24200" i="9"/>
  <c r="H24200" i="9" s="1"/>
  <c r="F24201" i="9"/>
  <c r="H24201" i="9" s="1"/>
  <c r="F24202" i="9"/>
  <c r="H24202" i="9" s="1"/>
  <c r="F24203" i="9"/>
  <c r="H24203" i="9" s="1"/>
  <c r="F24204" i="9"/>
  <c r="H24204" i="9" s="1"/>
  <c r="F24205" i="9"/>
  <c r="H24205" i="9" s="1"/>
  <c r="F24206" i="9"/>
  <c r="H24206" i="9" s="1"/>
  <c r="F24207" i="9"/>
  <c r="H24207" i="9" s="1"/>
  <c r="F24208" i="9"/>
  <c r="H24208" i="9" s="1"/>
  <c r="F24209" i="9"/>
  <c r="H24209" i="9" s="1"/>
  <c r="F24210" i="9"/>
  <c r="H24210" i="9" s="1"/>
  <c r="F24211" i="9"/>
  <c r="H24211" i="9" s="1"/>
  <c r="F24212" i="9"/>
  <c r="H24212" i="9" s="1"/>
  <c r="F24213" i="9"/>
  <c r="H24213" i="9" s="1"/>
  <c r="F24214" i="9"/>
  <c r="H24214" i="9" s="1"/>
  <c r="F24215" i="9"/>
  <c r="H24215" i="9" s="1"/>
  <c r="F24216" i="9"/>
  <c r="H24216" i="9" s="1"/>
  <c r="F24217" i="9"/>
  <c r="H24217" i="9" s="1"/>
  <c r="F24218" i="9"/>
  <c r="H24218" i="9" s="1"/>
  <c r="F24219" i="9"/>
  <c r="H24219" i="9" s="1"/>
  <c r="F24220" i="9"/>
  <c r="H24220" i="9" s="1"/>
  <c r="F24221" i="9"/>
  <c r="H24221" i="9" s="1"/>
  <c r="F24222" i="9"/>
  <c r="H24222" i="9" s="1"/>
  <c r="F24223" i="9"/>
  <c r="H24223" i="9" s="1"/>
  <c r="F24224" i="9"/>
  <c r="H24224" i="9" s="1"/>
  <c r="F24225" i="9"/>
  <c r="H24225" i="9" s="1"/>
  <c r="F24226" i="9"/>
  <c r="H24226" i="9" s="1"/>
  <c r="F24227" i="9"/>
  <c r="H24227" i="9" s="1"/>
  <c r="F24228" i="9"/>
  <c r="H24228" i="9" s="1"/>
  <c r="F24229" i="9"/>
  <c r="H24229" i="9" s="1"/>
  <c r="F24230" i="9"/>
  <c r="H24230" i="9" s="1"/>
  <c r="F24231" i="9"/>
  <c r="H24231" i="9" s="1"/>
  <c r="F24232" i="9"/>
  <c r="H24232" i="9" s="1"/>
  <c r="F24233" i="9"/>
  <c r="H24233" i="9" s="1"/>
  <c r="F24234" i="9"/>
  <c r="H24234" i="9" s="1"/>
  <c r="F24235" i="9"/>
  <c r="H24235" i="9" s="1"/>
  <c r="F24236" i="9"/>
  <c r="H24236" i="9" s="1"/>
  <c r="F24237" i="9"/>
  <c r="H24237" i="9" s="1"/>
  <c r="F24238" i="9"/>
  <c r="H24238" i="9" s="1"/>
  <c r="F24239" i="9"/>
  <c r="H24239" i="9" s="1"/>
  <c r="F24240" i="9"/>
  <c r="H24240" i="9" s="1"/>
  <c r="F24241" i="9"/>
  <c r="H24241" i="9" s="1"/>
  <c r="F24242" i="9"/>
  <c r="H24242" i="9" s="1"/>
  <c r="F24243" i="9"/>
  <c r="H24243" i="9" s="1"/>
  <c r="F24244" i="9"/>
  <c r="H24244" i="9" s="1"/>
  <c r="F24245" i="9"/>
  <c r="H24245" i="9" s="1"/>
  <c r="F24246" i="9"/>
  <c r="H24246" i="9" s="1"/>
  <c r="F24247" i="9"/>
  <c r="H24247" i="9" s="1"/>
  <c r="F24248" i="9"/>
  <c r="H24248" i="9" s="1"/>
  <c r="F24249" i="9"/>
  <c r="H24249" i="9" s="1"/>
  <c r="F24250" i="9"/>
  <c r="H24250" i="9" s="1"/>
  <c r="F24251" i="9"/>
  <c r="H24251" i="9" s="1"/>
  <c r="F24252" i="9"/>
  <c r="H24252" i="9" s="1"/>
  <c r="F24253" i="9"/>
  <c r="H24253" i="9" s="1"/>
  <c r="F24254" i="9"/>
  <c r="H24254" i="9" s="1"/>
  <c r="F24255" i="9"/>
  <c r="H24255" i="9" s="1"/>
  <c r="F24256" i="9"/>
  <c r="H24256" i="9" s="1"/>
  <c r="F24257" i="9"/>
  <c r="H24257" i="9" s="1"/>
  <c r="F24258" i="9"/>
  <c r="H24258" i="9" s="1"/>
  <c r="F24259" i="9"/>
  <c r="H24259" i="9" s="1"/>
  <c r="F24260" i="9"/>
  <c r="H24260" i="9" s="1"/>
  <c r="F24261" i="9"/>
  <c r="H24261" i="9" s="1"/>
  <c r="F24262" i="9"/>
  <c r="H24262" i="9" s="1"/>
  <c r="F24263" i="9"/>
  <c r="H24263" i="9" s="1"/>
  <c r="F24264" i="9"/>
  <c r="H24264" i="9" s="1"/>
  <c r="F24265" i="9"/>
  <c r="H24265" i="9" s="1"/>
  <c r="F24266" i="9"/>
  <c r="H24266" i="9" s="1"/>
  <c r="F24267" i="9"/>
  <c r="H24267" i="9" s="1"/>
  <c r="F24268" i="9"/>
  <c r="H24268" i="9" s="1"/>
  <c r="F24269" i="9"/>
  <c r="H24269" i="9" s="1"/>
  <c r="F24270" i="9"/>
  <c r="H24270" i="9" s="1"/>
  <c r="F24271" i="9"/>
  <c r="H24271" i="9" s="1"/>
  <c r="F24272" i="9"/>
  <c r="H24272" i="9" s="1"/>
  <c r="F24273" i="9"/>
  <c r="H24273" i="9" s="1"/>
  <c r="F24274" i="9"/>
  <c r="H24274" i="9" s="1"/>
  <c r="F24275" i="9"/>
  <c r="H24275" i="9" s="1"/>
  <c r="F24276" i="9"/>
  <c r="H24276" i="9" s="1"/>
  <c r="F24277" i="9"/>
  <c r="H24277" i="9" s="1"/>
  <c r="F24278" i="9"/>
  <c r="H24278" i="9" s="1"/>
  <c r="F24279" i="9"/>
  <c r="H24279" i="9" s="1"/>
  <c r="F24280" i="9"/>
  <c r="H24280" i="9" s="1"/>
  <c r="F24281" i="9"/>
  <c r="H24281" i="9" s="1"/>
  <c r="F24282" i="9"/>
  <c r="H24282" i="9" s="1"/>
  <c r="F24283" i="9"/>
  <c r="H24283" i="9" s="1"/>
  <c r="F24284" i="9"/>
  <c r="H24284" i="9" s="1"/>
  <c r="F24285" i="9"/>
  <c r="H24285" i="9" s="1"/>
  <c r="F24286" i="9"/>
  <c r="H24286" i="9" s="1"/>
  <c r="F24287" i="9"/>
  <c r="H24287" i="9" s="1"/>
  <c r="F24288" i="9"/>
  <c r="H24288" i="9" s="1"/>
  <c r="F24289" i="9"/>
  <c r="H24289" i="9" s="1"/>
  <c r="F24290" i="9"/>
  <c r="H24290" i="9" s="1"/>
  <c r="F24291" i="9"/>
  <c r="H24291" i="9" s="1"/>
  <c r="F24292" i="9"/>
  <c r="H24292" i="9" s="1"/>
  <c r="F24293" i="9"/>
  <c r="H24293" i="9" s="1"/>
  <c r="F24294" i="9"/>
  <c r="H24294" i="9" s="1"/>
  <c r="F24295" i="9"/>
  <c r="H24295" i="9" s="1"/>
  <c r="F24296" i="9"/>
  <c r="H24296" i="9" s="1"/>
  <c r="F24297" i="9"/>
  <c r="H24297" i="9"/>
  <c r="F24298" i="9"/>
  <c r="H24298" i="9" s="1"/>
  <c r="F24299" i="9"/>
  <c r="H24299" i="9" s="1"/>
  <c r="F24300" i="9"/>
  <c r="H24300" i="9" s="1"/>
  <c r="F24301" i="9"/>
  <c r="H24301" i="9" s="1"/>
  <c r="F24302" i="9"/>
  <c r="H24302" i="9" s="1"/>
  <c r="F24303" i="9"/>
  <c r="H24303" i="9" s="1"/>
  <c r="F24304" i="9"/>
  <c r="H24304" i="9" s="1"/>
  <c r="F24305" i="9"/>
  <c r="H24305" i="9" s="1"/>
  <c r="F24306" i="9"/>
  <c r="H24306" i="9" s="1"/>
  <c r="F24307" i="9"/>
  <c r="H24307" i="9" s="1"/>
  <c r="F24308" i="9"/>
  <c r="H24308" i="9" s="1"/>
  <c r="F24309" i="9"/>
  <c r="H24309" i="9" s="1"/>
  <c r="F24310" i="9"/>
  <c r="H24310" i="9" s="1"/>
  <c r="F24311" i="9"/>
  <c r="H24311" i="9" s="1"/>
  <c r="F24312" i="9"/>
  <c r="H24312" i="9" s="1"/>
  <c r="F24313" i="9"/>
  <c r="H24313" i="9" s="1"/>
  <c r="F24314" i="9"/>
  <c r="H24314" i="9" s="1"/>
  <c r="F24315" i="9"/>
  <c r="H24315" i="9" s="1"/>
  <c r="F24316" i="9"/>
  <c r="H24316" i="9" s="1"/>
  <c r="F24317" i="9"/>
  <c r="H24317" i="9" s="1"/>
  <c r="F24318" i="9"/>
  <c r="H24318" i="9" s="1"/>
  <c r="F24319" i="9"/>
  <c r="H24319" i="9" s="1"/>
  <c r="F24320" i="9"/>
  <c r="H24320" i="9" s="1"/>
  <c r="F24321" i="9"/>
  <c r="H24321" i="9" s="1"/>
  <c r="F24322" i="9"/>
  <c r="H24322" i="9" s="1"/>
  <c r="F24323" i="9"/>
  <c r="H24323" i="9" s="1"/>
  <c r="F24324" i="9"/>
  <c r="H24324" i="9" s="1"/>
  <c r="F24325" i="9"/>
  <c r="H24325" i="9" s="1"/>
  <c r="F24326" i="9"/>
  <c r="H24326" i="9" s="1"/>
  <c r="F24327" i="9"/>
  <c r="H24327" i="9" s="1"/>
  <c r="F24328" i="9"/>
  <c r="H24328" i="9" s="1"/>
  <c r="F24329" i="9"/>
  <c r="H24329" i="9" s="1"/>
  <c r="F24330" i="9"/>
  <c r="H24330" i="9" s="1"/>
  <c r="F24331" i="9"/>
  <c r="H24331" i="9" s="1"/>
  <c r="F24332" i="9"/>
  <c r="H24332" i="9" s="1"/>
  <c r="F24333" i="9"/>
  <c r="H24333" i="9" s="1"/>
  <c r="F24334" i="9"/>
  <c r="H24334" i="9" s="1"/>
  <c r="F24335" i="9"/>
  <c r="H24335" i="9" s="1"/>
  <c r="F24336" i="9"/>
  <c r="H24336" i="9" s="1"/>
  <c r="F24337" i="9"/>
  <c r="H24337" i="9" s="1"/>
  <c r="F24338" i="9"/>
  <c r="H24338" i="9" s="1"/>
  <c r="F24339" i="9"/>
  <c r="H24339" i="9" s="1"/>
  <c r="F24340" i="9"/>
  <c r="H24340" i="9" s="1"/>
  <c r="F24341" i="9"/>
  <c r="H24341" i="9" s="1"/>
  <c r="F24342" i="9"/>
  <c r="H24342" i="9" s="1"/>
  <c r="F24343" i="9"/>
  <c r="H24343" i="9" s="1"/>
  <c r="F24344" i="9"/>
  <c r="H24344" i="9" s="1"/>
  <c r="F24345" i="9"/>
  <c r="H24345" i="9" s="1"/>
  <c r="F24346" i="9"/>
  <c r="H24346" i="9" s="1"/>
  <c r="F24347" i="9"/>
  <c r="H24347" i="9" s="1"/>
  <c r="F24348" i="9"/>
  <c r="H24348" i="9" s="1"/>
  <c r="F24349" i="9"/>
  <c r="H24349" i="9" s="1"/>
  <c r="F24350" i="9"/>
  <c r="H24350" i="9" s="1"/>
  <c r="F24351" i="9"/>
  <c r="H24351" i="9" s="1"/>
  <c r="F24352" i="9"/>
  <c r="H24352" i="9" s="1"/>
  <c r="F24353" i="9"/>
  <c r="H24353" i="9" s="1"/>
  <c r="F24354" i="9"/>
  <c r="H24354" i="9" s="1"/>
  <c r="F24355" i="9"/>
  <c r="H24355" i="9" s="1"/>
  <c r="F24356" i="9"/>
  <c r="H24356" i="9"/>
  <c r="F24357" i="9"/>
  <c r="H24357" i="9" s="1"/>
  <c r="F24358" i="9"/>
  <c r="H24358" i="9" s="1"/>
  <c r="F24359" i="9"/>
  <c r="H24359" i="9" s="1"/>
  <c r="F24360" i="9"/>
  <c r="H24360" i="9" s="1"/>
  <c r="F24361" i="9"/>
  <c r="H24361" i="9" s="1"/>
  <c r="F24362" i="9"/>
  <c r="H24362" i="9" s="1"/>
  <c r="F24363" i="9"/>
  <c r="H24363" i="9" s="1"/>
  <c r="F24364" i="9"/>
  <c r="H24364" i="9" s="1"/>
  <c r="F24365" i="9"/>
  <c r="H24365" i="9" s="1"/>
  <c r="F24366" i="9"/>
  <c r="H24366" i="9" s="1"/>
  <c r="F24367" i="9"/>
  <c r="H24367" i="9" s="1"/>
  <c r="F24368" i="9"/>
  <c r="H24368" i="9" s="1"/>
  <c r="F24369" i="9"/>
  <c r="H24369" i="9" s="1"/>
  <c r="F24370" i="9"/>
  <c r="H24370" i="9" s="1"/>
  <c r="F24371" i="9"/>
  <c r="H24371" i="9" s="1"/>
  <c r="F24372" i="9"/>
  <c r="H24372" i="9" s="1"/>
  <c r="F24373" i="9"/>
  <c r="H24373" i="9" s="1"/>
  <c r="F24374" i="9"/>
  <c r="H24374" i="9" s="1"/>
  <c r="F24375" i="9"/>
  <c r="H24375" i="9" s="1"/>
  <c r="F24376" i="9"/>
  <c r="H24376" i="9" s="1"/>
  <c r="F24377" i="9"/>
  <c r="H24377" i="9" s="1"/>
  <c r="F24378" i="9"/>
  <c r="H24378" i="9" s="1"/>
  <c r="F24379" i="9"/>
  <c r="H24379" i="9" s="1"/>
  <c r="F24380" i="9"/>
  <c r="H24380" i="9" s="1"/>
  <c r="F24381" i="9"/>
  <c r="H24381" i="9" s="1"/>
  <c r="F24382" i="9"/>
  <c r="H24382" i="9" s="1"/>
  <c r="F24383" i="9"/>
  <c r="H24383" i="9" s="1"/>
  <c r="F24384" i="9"/>
  <c r="H24384" i="9" s="1"/>
  <c r="F24385" i="9"/>
  <c r="H24385" i="9" s="1"/>
  <c r="F24386" i="9"/>
  <c r="H24386" i="9" s="1"/>
  <c r="F24387" i="9"/>
  <c r="H24387" i="9" s="1"/>
  <c r="F24388" i="9"/>
  <c r="H24388" i="9" s="1"/>
  <c r="F24389" i="9"/>
  <c r="H24389" i="9" s="1"/>
  <c r="F24390" i="9"/>
  <c r="H24390" i="9" s="1"/>
  <c r="F24391" i="9"/>
  <c r="H24391" i="9" s="1"/>
  <c r="F24392" i="9"/>
  <c r="H24392" i="9" s="1"/>
  <c r="F24393" i="9"/>
  <c r="H24393" i="9" s="1"/>
  <c r="F24394" i="9"/>
  <c r="H24394" i="9" s="1"/>
  <c r="F24395" i="9"/>
  <c r="H24395" i="9" s="1"/>
  <c r="F24396" i="9"/>
  <c r="H24396" i="9" s="1"/>
  <c r="F24397" i="9"/>
  <c r="H24397" i="9" s="1"/>
  <c r="F24398" i="9"/>
  <c r="H24398" i="9" s="1"/>
  <c r="F24399" i="9"/>
  <c r="H24399" i="9" s="1"/>
  <c r="F24400" i="9"/>
  <c r="H24400" i="9" s="1"/>
  <c r="F24401" i="9"/>
  <c r="H24401" i="9" s="1"/>
  <c r="F24402" i="9"/>
  <c r="H24402" i="9" s="1"/>
  <c r="F24403" i="9"/>
  <c r="H24403" i="9" s="1"/>
  <c r="F24404" i="9"/>
  <c r="H24404" i="9" s="1"/>
  <c r="F24405" i="9"/>
  <c r="H24405" i="9" s="1"/>
  <c r="F24406" i="9"/>
  <c r="H24406" i="9" s="1"/>
  <c r="F24407" i="9"/>
  <c r="H24407" i="9" s="1"/>
  <c r="F24408" i="9"/>
  <c r="H24408" i="9" s="1"/>
  <c r="F24409" i="9"/>
  <c r="H24409" i="9" s="1"/>
  <c r="F24410" i="9"/>
  <c r="H24410" i="9" s="1"/>
  <c r="F24411" i="9"/>
  <c r="H24411" i="9" s="1"/>
  <c r="F24412" i="9"/>
  <c r="H24412" i="9" s="1"/>
  <c r="F24413" i="9"/>
  <c r="H24413" i="9" s="1"/>
  <c r="F24414" i="9"/>
  <c r="H24414" i="9" s="1"/>
  <c r="F24415" i="9"/>
  <c r="H24415" i="9"/>
  <c r="F24416" i="9"/>
  <c r="H24416" i="9" s="1"/>
  <c r="F24417" i="9"/>
  <c r="H24417" i="9" s="1"/>
  <c r="F24418" i="9"/>
  <c r="H24418" i="9" s="1"/>
  <c r="F24419" i="9"/>
  <c r="H24419" i="9" s="1"/>
  <c r="F24420" i="9"/>
  <c r="H24420" i="9" s="1"/>
  <c r="F24421" i="9"/>
  <c r="H24421" i="9" s="1"/>
  <c r="F24422" i="9"/>
  <c r="H24422" i="9" s="1"/>
  <c r="F24423" i="9"/>
  <c r="H24423" i="9" s="1"/>
  <c r="F24424" i="9"/>
  <c r="H24424" i="9" s="1"/>
  <c r="F24425" i="9"/>
  <c r="H24425" i="9" s="1"/>
  <c r="F24426" i="9"/>
  <c r="H24426" i="9" s="1"/>
  <c r="F24427" i="9"/>
  <c r="H24427" i="9" s="1"/>
  <c r="F24428" i="9"/>
  <c r="H24428" i="9" s="1"/>
  <c r="F24429" i="9"/>
  <c r="H24429" i="9" s="1"/>
  <c r="F24430" i="9"/>
  <c r="H24430" i="9" s="1"/>
  <c r="F24431" i="9"/>
  <c r="H24431" i="9" s="1"/>
  <c r="F24432" i="9"/>
  <c r="H24432" i="9" s="1"/>
  <c r="F24433" i="9"/>
  <c r="H24433" i="9" s="1"/>
  <c r="F24434" i="9"/>
  <c r="H24434" i="9" s="1"/>
  <c r="F24435" i="9"/>
  <c r="H24435" i="9" s="1"/>
  <c r="F24436" i="9"/>
  <c r="H24436" i="9" s="1"/>
  <c r="F24437" i="9"/>
  <c r="H24437" i="9" s="1"/>
  <c r="F24438" i="9"/>
  <c r="H24438" i="9" s="1"/>
  <c r="F24439" i="9"/>
  <c r="H24439" i="9" s="1"/>
  <c r="F24440" i="9"/>
  <c r="H24440" i="9" s="1"/>
  <c r="F24441" i="9"/>
  <c r="H24441" i="9" s="1"/>
  <c r="F24442" i="9"/>
  <c r="H24442" i="9" s="1"/>
  <c r="F24443" i="9"/>
  <c r="H24443" i="9" s="1"/>
  <c r="F24444" i="9"/>
  <c r="H24444" i="9" s="1"/>
  <c r="F24445" i="9"/>
  <c r="H24445" i="9" s="1"/>
  <c r="F24446" i="9"/>
  <c r="H24446" i="9" s="1"/>
  <c r="F24447" i="9"/>
  <c r="H24447" i="9" s="1"/>
  <c r="F24448" i="9"/>
  <c r="H24448" i="9" s="1"/>
  <c r="F24449" i="9"/>
  <c r="H24449" i="9" s="1"/>
  <c r="F24450" i="9"/>
  <c r="H24450" i="9" s="1"/>
  <c r="F24451" i="9"/>
  <c r="H24451" i="9" s="1"/>
  <c r="F24452" i="9"/>
  <c r="H24452" i="9" s="1"/>
  <c r="F24453" i="9"/>
  <c r="H24453" i="9" s="1"/>
  <c r="F24454" i="9"/>
  <c r="H24454" i="9" s="1"/>
  <c r="F24455" i="9"/>
  <c r="H24455" i="9" s="1"/>
  <c r="F24456" i="9"/>
  <c r="H24456" i="9" s="1"/>
  <c r="F24457" i="9"/>
  <c r="H24457" i="9" s="1"/>
  <c r="F24458" i="9"/>
  <c r="H24458" i="9" s="1"/>
  <c r="F24459" i="9"/>
  <c r="H24459" i="9" s="1"/>
  <c r="F24460" i="9"/>
  <c r="H24460" i="9" s="1"/>
  <c r="F24461" i="9"/>
  <c r="H24461" i="9" s="1"/>
  <c r="F24462" i="9"/>
  <c r="H24462" i="9" s="1"/>
  <c r="F24463" i="9"/>
  <c r="H24463" i="9" s="1"/>
  <c r="F24464" i="9"/>
  <c r="H24464" i="9" s="1"/>
  <c r="F24465" i="9"/>
  <c r="H24465" i="9" s="1"/>
  <c r="F24466" i="9"/>
  <c r="H24466" i="9" s="1"/>
  <c r="F24467" i="9"/>
  <c r="H24467" i="9" s="1"/>
  <c r="F24468" i="9"/>
  <c r="H24468" i="9" s="1"/>
  <c r="F24469" i="9"/>
  <c r="H24469" i="9" s="1"/>
  <c r="F24470" i="9"/>
  <c r="H24470" i="9" s="1"/>
  <c r="F24471" i="9"/>
  <c r="H24471" i="9" s="1"/>
  <c r="F24472" i="9"/>
  <c r="H24472" i="9" s="1"/>
  <c r="F24473" i="9"/>
  <c r="H24473" i="9" s="1"/>
  <c r="F24474" i="9"/>
  <c r="H24474" i="9" s="1"/>
  <c r="F24475" i="9"/>
  <c r="H24475" i="9" s="1"/>
  <c r="F24476" i="9"/>
  <c r="H24476" i="9" s="1"/>
  <c r="F24477" i="9"/>
  <c r="H24477" i="9" s="1"/>
  <c r="F24478" i="9"/>
  <c r="H24478" i="9" s="1"/>
  <c r="F24479" i="9"/>
  <c r="H24479" i="9" s="1"/>
  <c r="F24480" i="9"/>
  <c r="H24480" i="9" s="1"/>
  <c r="F24481" i="9"/>
  <c r="H24481" i="9" s="1"/>
  <c r="F24482" i="9"/>
  <c r="H24482" i="9" s="1"/>
  <c r="F24483" i="9"/>
  <c r="H24483" i="9" s="1"/>
  <c r="F24484" i="9"/>
  <c r="H24484" i="9" s="1"/>
  <c r="F24485" i="9"/>
  <c r="H24485" i="9" s="1"/>
  <c r="F24486" i="9"/>
  <c r="H24486" i="9" s="1"/>
  <c r="F24487" i="9"/>
  <c r="H24487" i="9" s="1"/>
  <c r="F24488" i="9"/>
  <c r="H24488" i="9" s="1"/>
  <c r="F24489" i="9"/>
  <c r="H24489" i="9" s="1"/>
  <c r="F24490" i="9"/>
  <c r="H24490" i="9" s="1"/>
  <c r="F24491" i="9"/>
  <c r="H24491" i="9" s="1"/>
  <c r="F24492" i="9"/>
  <c r="H24492" i="9" s="1"/>
  <c r="F24493" i="9"/>
  <c r="H24493" i="9" s="1"/>
  <c r="F24494" i="9"/>
  <c r="H24494" i="9" s="1"/>
  <c r="F24495" i="9"/>
  <c r="H24495" i="9" s="1"/>
  <c r="F24496" i="9"/>
  <c r="H24496" i="9" s="1"/>
  <c r="F24497" i="9"/>
  <c r="H24497" i="9" s="1"/>
  <c r="F24498" i="9"/>
  <c r="H24498" i="9" s="1"/>
  <c r="F24499" i="9"/>
  <c r="H24499" i="9" s="1"/>
  <c r="F24500" i="9"/>
  <c r="H24500" i="9" s="1"/>
  <c r="F24501" i="9"/>
  <c r="H24501" i="9" s="1"/>
  <c r="F24502" i="9"/>
  <c r="H24502" i="9" s="1"/>
  <c r="F24503" i="9"/>
  <c r="H24503" i="9" s="1"/>
  <c r="F24504" i="9"/>
  <c r="H24504" i="9" s="1"/>
  <c r="F24505" i="9"/>
  <c r="H24505" i="9" s="1"/>
  <c r="F24506" i="9"/>
  <c r="H24506" i="9" s="1"/>
  <c r="F24507" i="9"/>
  <c r="H24507" i="9" s="1"/>
  <c r="F24508" i="9"/>
  <c r="H24508" i="9" s="1"/>
  <c r="F24509" i="9"/>
  <c r="H24509" i="9" s="1"/>
  <c r="F24510" i="9"/>
  <c r="H24510" i="9" s="1"/>
  <c r="F24511" i="9"/>
  <c r="H24511" i="9"/>
  <c r="F24512" i="9"/>
  <c r="H24512" i="9" s="1"/>
  <c r="F24513" i="9"/>
  <c r="H24513" i="9" s="1"/>
  <c r="F24514" i="9"/>
  <c r="H24514" i="9" s="1"/>
  <c r="F24515" i="9"/>
  <c r="H24515" i="9" s="1"/>
  <c r="F24516" i="9"/>
  <c r="H24516" i="9" s="1"/>
  <c r="F24517" i="9"/>
  <c r="H24517" i="9" s="1"/>
  <c r="F24518" i="9"/>
  <c r="H24518" i="9" s="1"/>
  <c r="F24519" i="9"/>
  <c r="H24519" i="9" s="1"/>
  <c r="F24520" i="9"/>
  <c r="H24520" i="9" s="1"/>
  <c r="F24521" i="9"/>
  <c r="H24521" i="9" s="1"/>
  <c r="F24522" i="9"/>
  <c r="H24522" i="9" s="1"/>
  <c r="F24523" i="9"/>
  <c r="H24523" i="9" s="1"/>
  <c r="F24524" i="9"/>
  <c r="H24524" i="9" s="1"/>
  <c r="F24525" i="9"/>
  <c r="H24525" i="9" s="1"/>
  <c r="F24526" i="9"/>
  <c r="H24526" i="9" s="1"/>
  <c r="F24527" i="9"/>
  <c r="H24527" i="9" s="1"/>
  <c r="F24528" i="9"/>
  <c r="H24528" i="9" s="1"/>
  <c r="F24529" i="9"/>
  <c r="H24529" i="9" s="1"/>
  <c r="F24530" i="9"/>
  <c r="H24530" i="9" s="1"/>
  <c r="F24531" i="9"/>
  <c r="H24531" i="9" s="1"/>
  <c r="F24532" i="9"/>
  <c r="H24532" i="9" s="1"/>
  <c r="F24533" i="9"/>
  <c r="H24533" i="9" s="1"/>
  <c r="F24534" i="9"/>
  <c r="H24534" i="9" s="1"/>
  <c r="F24535" i="9"/>
  <c r="H24535" i="9" s="1"/>
  <c r="F24536" i="9"/>
  <c r="H24536" i="9" s="1"/>
  <c r="F24537" i="9"/>
  <c r="H24537" i="9" s="1"/>
  <c r="F24538" i="9"/>
  <c r="H24538" i="9" s="1"/>
  <c r="F24539" i="9"/>
  <c r="H24539" i="9" s="1"/>
  <c r="F24540" i="9"/>
  <c r="H24540" i="9" s="1"/>
  <c r="F24541" i="9"/>
  <c r="H24541" i="9" s="1"/>
  <c r="F24542" i="9"/>
  <c r="H24542" i="9" s="1"/>
  <c r="F24543" i="9"/>
  <c r="H24543" i="9" s="1"/>
  <c r="F24544" i="9"/>
  <c r="H24544" i="9" s="1"/>
  <c r="F24545" i="9"/>
  <c r="H24545" i="9" s="1"/>
  <c r="F24546" i="9"/>
  <c r="H24546" i="9" s="1"/>
  <c r="F24547" i="9"/>
  <c r="H24547" i="9" s="1"/>
  <c r="F24548" i="9"/>
  <c r="H24548" i="9" s="1"/>
  <c r="F24549" i="9"/>
  <c r="H24549" i="9" s="1"/>
  <c r="F24550" i="9"/>
  <c r="H24550" i="9" s="1"/>
  <c r="F24551" i="9"/>
  <c r="H24551" i="9" s="1"/>
  <c r="F24552" i="9"/>
  <c r="H24552" i="9" s="1"/>
  <c r="F24553" i="9"/>
  <c r="H24553" i="9" s="1"/>
  <c r="F24554" i="9"/>
  <c r="H24554" i="9" s="1"/>
  <c r="F24555" i="9"/>
  <c r="H24555" i="9" s="1"/>
  <c r="F24556" i="9"/>
  <c r="H24556" i="9" s="1"/>
  <c r="F24557" i="9"/>
  <c r="H24557" i="9" s="1"/>
  <c r="F24558" i="9"/>
  <c r="H24558" i="9" s="1"/>
  <c r="F24559" i="9"/>
  <c r="H24559" i="9" s="1"/>
  <c r="F24560" i="9"/>
  <c r="H24560" i="9" s="1"/>
  <c r="F24561" i="9"/>
  <c r="H24561" i="9" s="1"/>
  <c r="F24562" i="9"/>
  <c r="H24562" i="9" s="1"/>
  <c r="F24563" i="9"/>
  <c r="H24563" i="9" s="1"/>
  <c r="F24564" i="9"/>
  <c r="H24564" i="9" s="1"/>
  <c r="F24565" i="9"/>
  <c r="H24565" i="9" s="1"/>
  <c r="F24566" i="9"/>
  <c r="H24566" i="9" s="1"/>
  <c r="F24567" i="9"/>
  <c r="H24567" i="9" s="1"/>
  <c r="F24568" i="9"/>
  <c r="H24568" i="9"/>
  <c r="F24569" i="9"/>
  <c r="H24569" i="9" s="1"/>
  <c r="F24570" i="9"/>
  <c r="H24570" i="9" s="1"/>
  <c r="F24571" i="9"/>
  <c r="H24571" i="9" s="1"/>
  <c r="F24572" i="9"/>
  <c r="H24572" i="9" s="1"/>
  <c r="F24573" i="9"/>
  <c r="H24573" i="9" s="1"/>
  <c r="F24574" i="9"/>
  <c r="H24574" i="9" s="1"/>
  <c r="F24575" i="9"/>
  <c r="H24575" i="9" s="1"/>
  <c r="F24576" i="9"/>
  <c r="H24576" i="9" s="1"/>
  <c r="F24577" i="9"/>
  <c r="H24577" i="9" s="1"/>
  <c r="F24578" i="9"/>
  <c r="H24578" i="9" s="1"/>
  <c r="F24579" i="9"/>
  <c r="H24579" i="9" s="1"/>
  <c r="F24580" i="9"/>
  <c r="H24580" i="9" s="1"/>
  <c r="F24581" i="9"/>
  <c r="H24581" i="9" s="1"/>
  <c r="F24582" i="9"/>
  <c r="H24582" i="9" s="1"/>
  <c r="F24583" i="9"/>
  <c r="H24583" i="9" s="1"/>
  <c r="F24584" i="9"/>
  <c r="H24584" i="9" s="1"/>
  <c r="F24585" i="9"/>
  <c r="H24585" i="9" s="1"/>
  <c r="F24586" i="9"/>
  <c r="H24586" i="9" s="1"/>
  <c r="F24587" i="9"/>
  <c r="H24587" i="9" s="1"/>
  <c r="F24588" i="9"/>
  <c r="H24588" i="9" s="1"/>
  <c r="F24589" i="9"/>
  <c r="H24589" i="9" s="1"/>
  <c r="F24590" i="9"/>
  <c r="H24590" i="9" s="1"/>
  <c r="F24591" i="9"/>
  <c r="H24591" i="9" s="1"/>
  <c r="F24592" i="9"/>
  <c r="H24592" i="9" s="1"/>
  <c r="F24593" i="9"/>
  <c r="H24593" i="9" s="1"/>
  <c r="F24594" i="9"/>
  <c r="H24594" i="9" s="1"/>
  <c r="F24595" i="9"/>
  <c r="H24595" i="9" s="1"/>
  <c r="F24596" i="9"/>
  <c r="H24596" i="9" s="1"/>
  <c r="F24597" i="9"/>
  <c r="H24597" i="9" s="1"/>
  <c r="F24598" i="9"/>
  <c r="H24598" i="9" s="1"/>
  <c r="F24599" i="9"/>
  <c r="H24599" i="9" s="1"/>
  <c r="F24600" i="9"/>
  <c r="H24600" i="9" s="1"/>
  <c r="F24601" i="9"/>
  <c r="H24601" i="9"/>
  <c r="F24602" i="9"/>
  <c r="H24602" i="9" s="1"/>
  <c r="F24603" i="9"/>
  <c r="H24603" i="9" s="1"/>
  <c r="F24604" i="9"/>
  <c r="H24604" i="9" s="1"/>
  <c r="F24605" i="9"/>
  <c r="H24605" i="9" s="1"/>
  <c r="F24606" i="9"/>
  <c r="H24606" i="9" s="1"/>
  <c r="F24607" i="9"/>
  <c r="H24607" i="9" s="1"/>
  <c r="F24608" i="9"/>
  <c r="H24608" i="9" s="1"/>
  <c r="F24609" i="9"/>
  <c r="H24609" i="9" s="1"/>
  <c r="F24610" i="9"/>
  <c r="H24610" i="9" s="1"/>
  <c r="F24611" i="9"/>
  <c r="H24611" i="9" s="1"/>
  <c r="F24612" i="9"/>
  <c r="H24612" i="9" s="1"/>
  <c r="F24613" i="9"/>
  <c r="H24613" i="9" s="1"/>
  <c r="F24614" i="9"/>
  <c r="H24614" i="9" s="1"/>
  <c r="F24615" i="9"/>
  <c r="H24615" i="9" s="1"/>
  <c r="F24616" i="9"/>
  <c r="H24616" i="9" s="1"/>
  <c r="F24617" i="9"/>
  <c r="H24617" i="9" s="1"/>
  <c r="F24618" i="9"/>
  <c r="H24618" i="9" s="1"/>
  <c r="F24619" i="9"/>
  <c r="H24619" i="9" s="1"/>
  <c r="F24620" i="9"/>
  <c r="H24620" i="9" s="1"/>
  <c r="F24621" i="9"/>
  <c r="H24621" i="9" s="1"/>
  <c r="F24622" i="9"/>
  <c r="H24622" i="9" s="1"/>
  <c r="F24623" i="9"/>
  <c r="H24623" i="9" s="1"/>
  <c r="F24624" i="9"/>
  <c r="H24624" i="9" s="1"/>
  <c r="F24625" i="9"/>
  <c r="H24625" i="9" s="1"/>
  <c r="F24626" i="9"/>
  <c r="H24626" i="9" s="1"/>
  <c r="F24627" i="9"/>
  <c r="H24627" i="9" s="1"/>
  <c r="F24628" i="9"/>
  <c r="H24628" i="9" s="1"/>
  <c r="F24629" i="9"/>
  <c r="H24629" i="9" s="1"/>
  <c r="F24630" i="9"/>
  <c r="H24630" i="9" s="1"/>
  <c r="F24631" i="9"/>
  <c r="H24631" i="9" s="1"/>
  <c r="F24632" i="9"/>
  <c r="H24632" i="9" s="1"/>
  <c r="F24633" i="9"/>
  <c r="H24633" i="9" s="1"/>
  <c r="F24634" i="9"/>
  <c r="H24634" i="9" s="1"/>
  <c r="F24635" i="9"/>
  <c r="H24635" i="9" s="1"/>
  <c r="F24636" i="9"/>
  <c r="H24636" i="9" s="1"/>
  <c r="F24637" i="9"/>
  <c r="H24637" i="9"/>
  <c r="F24638" i="9"/>
  <c r="H24638" i="9" s="1"/>
  <c r="F24639" i="9"/>
  <c r="H24639" i="9" s="1"/>
  <c r="F24640" i="9"/>
  <c r="H24640" i="9" s="1"/>
  <c r="F24641" i="9"/>
  <c r="H24641" i="9" s="1"/>
  <c r="F24642" i="9"/>
  <c r="H24642" i="9" s="1"/>
  <c r="F24643" i="9"/>
  <c r="H24643" i="9" s="1"/>
  <c r="F24644" i="9"/>
  <c r="H24644" i="9" s="1"/>
  <c r="F24645" i="9"/>
  <c r="H24645" i="9" s="1"/>
  <c r="F24646" i="9"/>
  <c r="H24646" i="9" s="1"/>
  <c r="F24647" i="9"/>
  <c r="H24647" i="9" s="1"/>
  <c r="F24648" i="9"/>
  <c r="H24648" i="9" s="1"/>
  <c r="F24649" i="9"/>
  <c r="H24649" i="9" s="1"/>
  <c r="F24650" i="9"/>
  <c r="H24650" i="9" s="1"/>
  <c r="F24651" i="9"/>
  <c r="H24651" i="9" s="1"/>
  <c r="F24652" i="9"/>
  <c r="H24652" i="9" s="1"/>
  <c r="F24653" i="9"/>
  <c r="H24653" i="9" s="1"/>
  <c r="F24654" i="9"/>
  <c r="H24654" i="9" s="1"/>
  <c r="F24655" i="9"/>
  <c r="H24655" i="9" s="1"/>
  <c r="F24656" i="9"/>
  <c r="H24656" i="9" s="1"/>
  <c r="F24657" i="9"/>
  <c r="H24657" i="9" s="1"/>
  <c r="F24658" i="9"/>
  <c r="H24658" i="9"/>
  <c r="F24659" i="9"/>
  <c r="H24659" i="9" s="1"/>
  <c r="F24660" i="9"/>
  <c r="H24660" i="9" s="1"/>
  <c r="F24661" i="9"/>
  <c r="H24661" i="9" s="1"/>
  <c r="F24662" i="9"/>
  <c r="H24662" i="9" s="1"/>
  <c r="F24663" i="9"/>
  <c r="H24663" i="9" s="1"/>
  <c r="F24664" i="9"/>
  <c r="H24664" i="9" s="1"/>
  <c r="F24665" i="9"/>
  <c r="H24665" i="9" s="1"/>
  <c r="F24666" i="9"/>
  <c r="H24666" i="9" s="1"/>
  <c r="F24667" i="9"/>
  <c r="H24667" i="9" s="1"/>
  <c r="F24668" i="9"/>
  <c r="H24668" i="9" s="1"/>
  <c r="F24669" i="9"/>
  <c r="H24669" i="9"/>
  <c r="F24670" i="9"/>
  <c r="H24670" i="9" s="1"/>
  <c r="F24671" i="9"/>
  <c r="H24671" i="9" s="1"/>
  <c r="F24672" i="9"/>
  <c r="H24672" i="9" s="1"/>
  <c r="F24673" i="9"/>
  <c r="H24673" i="9"/>
  <c r="F24674" i="9"/>
  <c r="H24674" i="9" s="1"/>
  <c r="F24675" i="9"/>
  <c r="H24675" i="9" s="1"/>
  <c r="F24676" i="9"/>
  <c r="H24676" i="9" s="1"/>
  <c r="F24677" i="9"/>
  <c r="H24677" i="9" s="1"/>
  <c r="F24678" i="9"/>
  <c r="H24678" i="9" s="1"/>
  <c r="F24679" i="9"/>
  <c r="H24679" i="9" s="1"/>
  <c r="F24680" i="9"/>
  <c r="H24680" i="9" s="1"/>
  <c r="F24681" i="9"/>
  <c r="H24681" i="9"/>
  <c r="F24682" i="9"/>
  <c r="H24682" i="9" s="1"/>
  <c r="F24683" i="9"/>
  <c r="H24683" i="9" s="1"/>
  <c r="F24684" i="9"/>
  <c r="H24684" i="9" s="1"/>
  <c r="F24685" i="9"/>
  <c r="H24685" i="9" s="1"/>
  <c r="F24686" i="9"/>
  <c r="H24686" i="9" s="1"/>
  <c r="F24687" i="9"/>
  <c r="H24687" i="9"/>
  <c r="F24688" i="9"/>
  <c r="H24688" i="9" s="1"/>
  <c r="F24689" i="9"/>
  <c r="H24689" i="9" s="1"/>
  <c r="F24690" i="9"/>
  <c r="H24690" i="9" s="1"/>
  <c r="F24691" i="9"/>
  <c r="H24691" i="9"/>
  <c r="F24692" i="9"/>
  <c r="H24692" i="9" s="1"/>
  <c r="F24693" i="9"/>
  <c r="H24693" i="9" s="1"/>
  <c r="F24694" i="9"/>
  <c r="H24694" i="9" s="1"/>
  <c r="F24695" i="9"/>
  <c r="H24695" i="9" s="1"/>
  <c r="F24696" i="9"/>
  <c r="H24696" i="9" s="1"/>
  <c r="F24697" i="9"/>
  <c r="H24697" i="9" s="1"/>
  <c r="F24698" i="9"/>
  <c r="H24698" i="9" s="1"/>
  <c r="F24699" i="9"/>
  <c r="H24699" i="9" s="1"/>
  <c r="F24700" i="9"/>
  <c r="H24700" i="9" s="1"/>
  <c r="F24701" i="9"/>
  <c r="H24701" i="9" s="1"/>
  <c r="F24702" i="9"/>
  <c r="H24702" i="9" s="1"/>
  <c r="F24703" i="9"/>
  <c r="H24703" i="9" s="1"/>
  <c r="F24704" i="9"/>
  <c r="H24704" i="9" s="1"/>
  <c r="F24705" i="9"/>
  <c r="H24705" i="9"/>
  <c r="F24706" i="9"/>
  <c r="H24706" i="9" s="1"/>
  <c r="F24707" i="9"/>
  <c r="H24707" i="9" s="1"/>
  <c r="F24708" i="9"/>
  <c r="H24708" i="9" s="1"/>
  <c r="F24709" i="9"/>
  <c r="H24709" i="9"/>
  <c r="F24710" i="9"/>
  <c r="H24710" i="9" s="1"/>
  <c r="F24711" i="9"/>
  <c r="H24711" i="9" s="1"/>
  <c r="F24712" i="9"/>
  <c r="H24712" i="9" s="1"/>
  <c r="F24713" i="9"/>
  <c r="H24713" i="9" s="1"/>
  <c r="F24714" i="9"/>
  <c r="H24714" i="9" s="1"/>
  <c r="F24715" i="9"/>
  <c r="H24715" i="9" s="1"/>
  <c r="F24716" i="9"/>
  <c r="H24716" i="9" s="1"/>
  <c r="F24717" i="9"/>
  <c r="H24717" i="9" s="1"/>
  <c r="F24718" i="9"/>
  <c r="H24718" i="9" s="1"/>
  <c r="F24719" i="9"/>
  <c r="H24719" i="9" s="1"/>
  <c r="F24720" i="9"/>
  <c r="H24720" i="9" s="1"/>
  <c r="F24721" i="9"/>
  <c r="H24721" i="9" s="1"/>
  <c r="F24722" i="9"/>
  <c r="H24722" i="9" s="1"/>
  <c r="F24723" i="9"/>
  <c r="H24723" i="9" s="1"/>
  <c r="F24724" i="9"/>
  <c r="H24724" i="9" s="1"/>
  <c r="F24725" i="9"/>
  <c r="H24725" i="9" s="1"/>
  <c r="F24726" i="9"/>
  <c r="H24726" i="9" s="1"/>
  <c r="F24727" i="9"/>
  <c r="H24727" i="9" s="1"/>
  <c r="F24728" i="9"/>
  <c r="H24728" i="9" s="1"/>
  <c r="F24729" i="9"/>
  <c r="H24729" i="9" s="1"/>
  <c r="F24730" i="9"/>
  <c r="H24730" i="9" s="1"/>
  <c r="F24731" i="9"/>
  <c r="H24731" i="9" s="1"/>
  <c r="F24732" i="9"/>
  <c r="H24732" i="9" s="1"/>
  <c r="F24733" i="9"/>
  <c r="H24733" i="9" s="1"/>
  <c r="F24734" i="9"/>
  <c r="H24734" i="9" s="1"/>
  <c r="F24735" i="9"/>
  <c r="H24735" i="9" s="1"/>
  <c r="F24736" i="9"/>
  <c r="H24736" i="9" s="1"/>
  <c r="F24737" i="9"/>
  <c r="H24737" i="9" s="1"/>
  <c r="F24738" i="9"/>
  <c r="H24738" i="9" s="1"/>
  <c r="F24739" i="9"/>
  <c r="H24739" i="9" s="1"/>
  <c r="F24740" i="9"/>
  <c r="H24740" i="9" s="1"/>
  <c r="F24741" i="9"/>
  <c r="H24741" i="9" s="1"/>
  <c r="F24742" i="9"/>
  <c r="H24742" i="9" s="1"/>
  <c r="F24743" i="9"/>
  <c r="H24743" i="9" s="1"/>
  <c r="F24744" i="9"/>
  <c r="H24744" i="9" s="1"/>
  <c r="F24745" i="9"/>
  <c r="H24745" i="9" s="1"/>
  <c r="F24746" i="9"/>
  <c r="H24746" i="9" s="1"/>
  <c r="F24747" i="9"/>
  <c r="H24747" i="9" s="1"/>
  <c r="F24748" i="9"/>
  <c r="H24748" i="9" s="1"/>
  <c r="F24749" i="9"/>
  <c r="H24749" i="9" s="1"/>
  <c r="F24750" i="9"/>
  <c r="H24750" i="9" s="1"/>
  <c r="F24751" i="9"/>
  <c r="H24751" i="9" s="1"/>
  <c r="F24752" i="9"/>
  <c r="H24752" i="9" s="1"/>
  <c r="F24753" i="9"/>
  <c r="H24753" i="9" s="1"/>
  <c r="F24754" i="9"/>
  <c r="H24754" i="9" s="1"/>
  <c r="F24755" i="9"/>
  <c r="H24755" i="9" s="1"/>
  <c r="F24756" i="9"/>
  <c r="H24756" i="9" s="1"/>
  <c r="F24757" i="9"/>
  <c r="H24757" i="9" s="1"/>
  <c r="F24758" i="9"/>
  <c r="H24758" i="9" s="1"/>
  <c r="F24759" i="9"/>
  <c r="H24759" i="9"/>
  <c r="F24760" i="9"/>
  <c r="H24760" i="9" s="1"/>
  <c r="F24761" i="9"/>
  <c r="H24761" i="9" s="1"/>
  <c r="F24762" i="9"/>
  <c r="H24762" i="9" s="1"/>
  <c r="F24763" i="9"/>
  <c r="H24763" i="9" s="1"/>
  <c r="F24764" i="9"/>
  <c r="H24764" i="9" s="1"/>
  <c r="F24765" i="9"/>
  <c r="H24765" i="9" s="1"/>
  <c r="F24766" i="9"/>
  <c r="H24766" i="9" s="1"/>
  <c r="F24767" i="9"/>
  <c r="H24767" i="9" s="1"/>
  <c r="F24768" i="9"/>
  <c r="H24768" i="9" s="1"/>
  <c r="F24769" i="9"/>
  <c r="H24769" i="9" s="1"/>
  <c r="F24770" i="9"/>
  <c r="H24770" i="9" s="1"/>
  <c r="F24771" i="9"/>
  <c r="H24771" i="9" s="1"/>
  <c r="F24772" i="9"/>
  <c r="H24772" i="9" s="1"/>
  <c r="F24773" i="9"/>
  <c r="H24773" i="9" s="1"/>
  <c r="F24774" i="9"/>
  <c r="H24774" i="9" s="1"/>
  <c r="F24775" i="9"/>
  <c r="H24775" i="9" s="1"/>
  <c r="F24776" i="9"/>
  <c r="H24776" i="9" s="1"/>
  <c r="F24777" i="9"/>
  <c r="H24777" i="9" s="1"/>
  <c r="F24778" i="9"/>
  <c r="H24778" i="9" s="1"/>
  <c r="F24779" i="9"/>
  <c r="H24779" i="9" s="1"/>
  <c r="F24780" i="9"/>
  <c r="H24780" i="9" s="1"/>
  <c r="F24781" i="9"/>
  <c r="H24781" i="9" s="1"/>
  <c r="F24782" i="9"/>
  <c r="H24782" i="9" s="1"/>
  <c r="F24783" i="9"/>
  <c r="H24783" i="9" s="1"/>
  <c r="F24784" i="9"/>
  <c r="H24784" i="9" s="1"/>
  <c r="F24785" i="9"/>
  <c r="H24785" i="9" s="1"/>
  <c r="F24786" i="9"/>
  <c r="H24786" i="9" s="1"/>
  <c r="F24787" i="9"/>
  <c r="H24787" i="9" s="1"/>
  <c r="F24788" i="9"/>
  <c r="H24788" i="9" s="1"/>
  <c r="F24789" i="9"/>
  <c r="H24789" i="9" s="1"/>
  <c r="F24790" i="9"/>
  <c r="H24790" i="9" s="1"/>
  <c r="F24791" i="9"/>
  <c r="H24791" i="9" s="1"/>
  <c r="F24792" i="9"/>
  <c r="H24792" i="9" s="1"/>
  <c r="F24793" i="9"/>
  <c r="H24793" i="9" s="1"/>
  <c r="F24794" i="9"/>
  <c r="H24794" i="9" s="1"/>
  <c r="F24795" i="9"/>
  <c r="H24795" i="9" s="1"/>
  <c r="F24796" i="9"/>
  <c r="H24796" i="9" s="1"/>
  <c r="F24797" i="9"/>
  <c r="H24797" i="9" s="1"/>
  <c r="F24798" i="9"/>
  <c r="H24798" i="9" s="1"/>
  <c r="F24799" i="9"/>
  <c r="H24799" i="9" s="1"/>
  <c r="F24800" i="9"/>
  <c r="H24800" i="9" s="1"/>
  <c r="F24801" i="9"/>
  <c r="H24801" i="9" s="1"/>
  <c r="F24802" i="9"/>
  <c r="H24802" i="9" s="1"/>
  <c r="F24803" i="9"/>
  <c r="H24803" i="9" s="1"/>
  <c r="F24804" i="9"/>
  <c r="H24804" i="9" s="1"/>
  <c r="F24805" i="9"/>
  <c r="H24805" i="9" s="1"/>
  <c r="F24806" i="9"/>
  <c r="H24806" i="9" s="1"/>
  <c r="F24807" i="9"/>
  <c r="H24807" i="9" s="1"/>
  <c r="F24808" i="9"/>
  <c r="H24808" i="9" s="1"/>
  <c r="F24809" i="9"/>
  <c r="H24809" i="9" s="1"/>
  <c r="F24810" i="9"/>
  <c r="H24810" i="9" s="1"/>
  <c r="F24811" i="9"/>
  <c r="H24811" i="9" s="1"/>
  <c r="F24812" i="9"/>
  <c r="H24812" i="9" s="1"/>
  <c r="F24813" i="9"/>
  <c r="H24813" i="9" s="1"/>
  <c r="F24814" i="9"/>
  <c r="H24814" i="9" s="1"/>
  <c r="F24815" i="9"/>
  <c r="H24815" i="9" s="1"/>
  <c r="F24816" i="9"/>
  <c r="H24816" i="9" s="1"/>
  <c r="F24817" i="9"/>
  <c r="H24817" i="9" s="1"/>
  <c r="F24818" i="9"/>
  <c r="H24818" i="9" s="1"/>
  <c r="F24819" i="9"/>
  <c r="H24819" i="9" s="1"/>
  <c r="F24820" i="9"/>
  <c r="H24820" i="9" s="1"/>
  <c r="F24821" i="9"/>
  <c r="H24821" i="9" s="1"/>
  <c r="F24822" i="9"/>
  <c r="H24822" i="9" s="1"/>
  <c r="F24823" i="9"/>
  <c r="H24823" i="9" s="1"/>
  <c r="F24824" i="9"/>
  <c r="H24824" i="9" s="1"/>
  <c r="F24825" i="9"/>
  <c r="H24825" i="9" s="1"/>
  <c r="F24826" i="9"/>
  <c r="H24826" i="9" s="1"/>
  <c r="F24827" i="9"/>
  <c r="H24827" i="9" s="1"/>
  <c r="F24828" i="9"/>
  <c r="H24828" i="9" s="1"/>
  <c r="F24829" i="9"/>
  <c r="H24829" i="9" s="1"/>
  <c r="F24830" i="9"/>
  <c r="H24830" i="9" s="1"/>
  <c r="F24831" i="9"/>
  <c r="H24831" i="9" s="1"/>
  <c r="F24832" i="9"/>
  <c r="H24832" i="9" s="1"/>
  <c r="F24833" i="9"/>
  <c r="H24833" i="9" s="1"/>
  <c r="F24834" i="9"/>
  <c r="H24834" i="9" s="1"/>
  <c r="F24835" i="9"/>
  <c r="H24835" i="9"/>
  <c r="F24836" i="9"/>
  <c r="H24836" i="9" s="1"/>
  <c r="F24837" i="9"/>
  <c r="H24837" i="9" s="1"/>
  <c r="F24838" i="9"/>
  <c r="H24838" i="9" s="1"/>
  <c r="F24839" i="9"/>
  <c r="H24839" i="9" s="1"/>
  <c r="F24840" i="9"/>
  <c r="H24840" i="9" s="1"/>
  <c r="F24841" i="9"/>
  <c r="H24841" i="9" s="1"/>
  <c r="F24842" i="9"/>
  <c r="H24842" i="9" s="1"/>
  <c r="F24843" i="9"/>
  <c r="H24843" i="9" s="1"/>
  <c r="F24844" i="9"/>
  <c r="H24844" i="9" s="1"/>
  <c r="F24845" i="9"/>
  <c r="H24845" i="9" s="1"/>
  <c r="F24846" i="9"/>
  <c r="H24846" i="9" s="1"/>
  <c r="F24847" i="9"/>
  <c r="H24847" i="9" s="1"/>
  <c r="F24848" i="9"/>
  <c r="H24848" i="9" s="1"/>
  <c r="F24849" i="9"/>
  <c r="H24849" i="9" s="1"/>
  <c r="F24850" i="9"/>
  <c r="H24850" i="9" s="1"/>
  <c r="F24851" i="9"/>
  <c r="H24851" i="9" s="1"/>
  <c r="F24852" i="9"/>
  <c r="H24852" i="9" s="1"/>
  <c r="F24853" i="9"/>
  <c r="H24853" i="9" s="1"/>
  <c r="F24854" i="9"/>
  <c r="H24854" i="9" s="1"/>
  <c r="F24855" i="9"/>
  <c r="H24855" i="9" s="1"/>
  <c r="F24856" i="9"/>
  <c r="H24856" i="9" s="1"/>
  <c r="F24857" i="9"/>
  <c r="H24857" i="9" s="1"/>
  <c r="F24858" i="9"/>
  <c r="H24858" i="9" s="1"/>
  <c r="F24859" i="9"/>
  <c r="H24859" i="9" s="1"/>
  <c r="F24860" i="9"/>
  <c r="H24860" i="9" s="1"/>
  <c r="F24861" i="9"/>
  <c r="H24861" i="9" s="1"/>
  <c r="F24862" i="9"/>
  <c r="H24862" i="9" s="1"/>
  <c r="F24863" i="9"/>
  <c r="H24863" i="9" s="1"/>
  <c r="F24864" i="9"/>
  <c r="H24864" i="9" s="1"/>
  <c r="F24865" i="9"/>
  <c r="H24865" i="9" s="1"/>
  <c r="F24866" i="9"/>
  <c r="H24866" i="9" s="1"/>
  <c r="F24867" i="9"/>
  <c r="H24867" i="9" s="1"/>
  <c r="F24868" i="9"/>
  <c r="H24868" i="9" s="1"/>
  <c r="F24869" i="9"/>
  <c r="H24869" i="9" s="1"/>
  <c r="F24870" i="9"/>
  <c r="H24870" i="9" s="1"/>
  <c r="F24871" i="9"/>
  <c r="H24871" i="9" s="1"/>
  <c r="F24872" i="9"/>
  <c r="H24872" i="9" s="1"/>
  <c r="F24873" i="9"/>
  <c r="H24873" i="9" s="1"/>
  <c r="F24874" i="9"/>
  <c r="H24874" i="9" s="1"/>
  <c r="F24875" i="9"/>
  <c r="H24875" i="9" s="1"/>
  <c r="F24876" i="9"/>
  <c r="H24876" i="9" s="1"/>
  <c r="F24877" i="9"/>
  <c r="H24877" i="9" s="1"/>
  <c r="F24878" i="9"/>
  <c r="H24878" i="9" s="1"/>
  <c r="F24879" i="9"/>
  <c r="H24879" i="9" s="1"/>
  <c r="F24880" i="9"/>
  <c r="H24880" i="9" s="1"/>
  <c r="F24881" i="9"/>
  <c r="H24881" i="9" s="1"/>
  <c r="F24882" i="9"/>
  <c r="H24882" i="9" s="1"/>
  <c r="F24883" i="9"/>
  <c r="H24883" i="9" s="1"/>
  <c r="F24884" i="9"/>
  <c r="H24884" i="9" s="1"/>
  <c r="F24885" i="9"/>
  <c r="H24885" i="9" s="1"/>
  <c r="F24886" i="9"/>
  <c r="H24886" i="9" s="1"/>
  <c r="F24887" i="9"/>
  <c r="H24887" i="9" s="1"/>
  <c r="F24888" i="9"/>
  <c r="H24888" i="9" s="1"/>
  <c r="F24889" i="9"/>
  <c r="H24889" i="9" s="1"/>
  <c r="F24890" i="9"/>
  <c r="H24890" i="9" s="1"/>
  <c r="F24891" i="9"/>
  <c r="H24891" i="9" s="1"/>
  <c r="F24892" i="9"/>
  <c r="H24892" i="9" s="1"/>
  <c r="F24893" i="9"/>
  <c r="H24893" i="9" s="1"/>
  <c r="F24894" i="9"/>
  <c r="H24894" i="9" s="1"/>
  <c r="F24895" i="9"/>
  <c r="H24895" i="9" s="1"/>
  <c r="F24896" i="9"/>
  <c r="H24896" i="9" s="1"/>
  <c r="F24897" i="9"/>
  <c r="H24897" i="9" s="1"/>
  <c r="F24898" i="9"/>
  <c r="H24898" i="9" s="1"/>
  <c r="F24899" i="9"/>
  <c r="H24899" i="9" s="1"/>
  <c r="F24900" i="9"/>
  <c r="H24900" i="9" s="1"/>
  <c r="F24901" i="9"/>
  <c r="H24901" i="9" s="1"/>
  <c r="F24902" i="9"/>
  <c r="H24902" i="9" s="1"/>
  <c r="F24903" i="9"/>
  <c r="H24903" i="9" s="1"/>
  <c r="F24904" i="9"/>
  <c r="H24904" i="9" s="1"/>
  <c r="F24905" i="9"/>
  <c r="H24905" i="9" s="1"/>
  <c r="F24906" i="9"/>
  <c r="H24906" i="9" s="1"/>
  <c r="F24907" i="9"/>
  <c r="H24907" i="9" s="1"/>
  <c r="F24908" i="9"/>
  <c r="H24908" i="9" s="1"/>
  <c r="F24909" i="9"/>
  <c r="H24909" i="9" s="1"/>
  <c r="F24910" i="9"/>
  <c r="H24910" i="9" s="1"/>
  <c r="F24911" i="9"/>
  <c r="H24911" i="9" s="1"/>
  <c r="F24912" i="9"/>
  <c r="H24912" i="9" s="1"/>
  <c r="F24913" i="9"/>
  <c r="H24913" i="9" s="1"/>
  <c r="F24914" i="9"/>
  <c r="H24914" i="9" s="1"/>
  <c r="F24915" i="9"/>
  <c r="H24915" i="9" s="1"/>
  <c r="F24916" i="9"/>
  <c r="H24916" i="9" s="1"/>
  <c r="F24917" i="9"/>
  <c r="H24917" i="9" s="1"/>
  <c r="F24918" i="9"/>
  <c r="H24918" i="9" s="1"/>
  <c r="F24919" i="9"/>
  <c r="H24919" i="9" s="1"/>
  <c r="F24920" i="9"/>
  <c r="H24920" i="9" s="1"/>
  <c r="F24921" i="9"/>
  <c r="H24921" i="9" s="1"/>
  <c r="F24922" i="9"/>
  <c r="H24922" i="9"/>
  <c r="F24923" i="9"/>
  <c r="H24923" i="9" s="1"/>
  <c r="F24924" i="9"/>
  <c r="H24924" i="9" s="1"/>
  <c r="F24925" i="9"/>
  <c r="H24925" i="9" s="1"/>
  <c r="F24926" i="9"/>
  <c r="H24926" i="9" s="1"/>
  <c r="F24927" i="9"/>
  <c r="H24927" i="9" s="1"/>
  <c r="F24928" i="9"/>
  <c r="H24928" i="9" s="1"/>
  <c r="F24929" i="9"/>
  <c r="H24929" i="9" s="1"/>
  <c r="F24930" i="9"/>
  <c r="H24930" i="9" s="1"/>
  <c r="F24931" i="9"/>
  <c r="H24931" i="9" s="1"/>
  <c r="F24932" i="9"/>
  <c r="H24932" i="9" s="1"/>
  <c r="F24933" i="9"/>
  <c r="H24933" i="9" s="1"/>
  <c r="F24934" i="9"/>
  <c r="H24934" i="9" s="1"/>
  <c r="F24935" i="9"/>
  <c r="H24935" i="9" s="1"/>
  <c r="F24936" i="9"/>
  <c r="H24936" i="9" s="1"/>
  <c r="F24937" i="9"/>
  <c r="H24937" i="9"/>
  <c r="F24938" i="9"/>
  <c r="H24938" i="9" s="1"/>
  <c r="F24939" i="9"/>
  <c r="H24939" i="9" s="1"/>
  <c r="F24940" i="9"/>
  <c r="H24940" i="9" s="1"/>
  <c r="F24941" i="9"/>
  <c r="H24941" i="9" s="1"/>
  <c r="F24942" i="9"/>
  <c r="H24942" i="9" s="1"/>
  <c r="F24943" i="9"/>
  <c r="H24943" i="9" s="1"/>
  <c r="F24944" i="9"/>
  <c r="H24944" i="9" s="1"/>
  <c r="F24945" i="9"/>
  <c r="H24945" i="9" s="1"/>
  <c r="F24946" i="9"/>
  <c r="H24946" i="9" s="1"/>
  <c r="F24947" i="9"/>
  <c r="H24947" i="9" s="1"/>
  <c r="F24948" i="9"/>
  <c r="H24948" i="9" s="1"/>
  <c r="F24949" i="9"/>
  <c r="H24949" i="9" s="1"/>
  <c r="F24950" i="9"/>
  <c r="H24950" i="9" s="1"/>
  <c r="F24951" i="9"/>
  <c r="H24951" i="9" s="1"/>
  <c r="F24952" i="9"/>
  <c r="H24952" i="9" s="1"/>
  <c r="F24953" i="9"/>
  <c r="H24953" i="9" s="1"/>
  <c r="F24954" i="9"/>
  <c r="H24954" i="9" s="1"/>
  <c r="F24955" i="9"/>
  <c r="H24955" i="9" s="1"/>
  <c r="F24956" i="9"/>
  <c r="H24956" i="9" s="1"/>
  <c r="F24957" i="9"/>
  <c r="H24957" i="9" s="1"/>
  <c r="F24958" i="9"/>
  <c r="H24958" i="9" s="1"/>
  <c r="F24959" i="9"/>
  <c r="H24959" i="9" s="1"/>
  <c r="F24960" i="9"/>
  <c r="H24960" i="9" s="1"/>
  <c r="F24961" i="9"/>
  <c r="H24961" i="9" s="1"/>
  <c r="F24962" i="9"/>
  <c r="H24962" i="9" s="1"/>
  <c r="F24963" i="9"/>
  <c r="H24963" i="9" s="1"/>
  <c r="F24964" i="9"/>
  <c r="H24964" i="9" s="1"/>
  <c r="F24965" i="9"/>
  <c r="H24965" i="9" s="1"/>
  <c r="F24966" i="9"/>
  <c r="H24966" i="9" s="1"/>
  <c r="F24967" i="9"/>
  <c r="H24967" i="9" s="1"/>
  <c r="F24968" i="9"/>
  <c r="H24968" i="9" s="1"/>
  <c r="F24969" i="9"/>
  <c r="H24969" i="9" s="1"/>
  <c r="F24970" i="9"/>
  <c r="H24970" i="9" s="1"/>
  <c r="F24971" i="9"/>
  <c r="H24971" i="9" s="1"/>
  <c r="F24972" i="9"/>
  <c r="H24972" i="9" s="1"/>
  <c r="F24973" i="9"/>
  <c r="H24973" i="9" s="1"/>
  <c r="F24974" i="9"/>
  <c r="H24974" i="9" s="1"/>
  <c r="F24975" i="9"/>
  <c r="H24975" i="9" s="1"/>
  <c r="F24976" i="9"/>
  <c r="H24976" i="9" s="1"/>
  <c r="F24977" i="9"/>
  <c r="H24977" i="9" s="1"/>
  <c r="F24978" i="9"/>
  <c r="H24978" i="9" s="1"/>
  <c r="F24979" i="9"/>
  <c r="H24979" i="9" s="1"/>
  <c r="F24980" i="9"/>
  <c r="H24980" i="9" s="1"/>
  <c r="F24981" i="9"/>
  <c r="H24981" i="9" s="1"/>
  <c r="F24982" i="9"/>
  <c r="H24982" i="9" s="1"/>
  <c r="F24983" i="9"/>
  <c r="H24983" i="9" s="1"/>
  <c r="F24984" i="9"/>
  <c r="H24984" i="9" s="1"/>
  <c r="F24985" i="9"/>
  <c r="H24985" i="9" s="1"/>
  <c r="F24986" i="9"/>
  <c r="H24986" i="9" s="1"/>
  <c r="F24987" i="9"/>
  <c r="H24987" i="9" s="1"/>
  <c r="F24988" i="9"/>
  <c r="H24988" i="9" s="1"/>
  <c r="F24989" i="9"/>
  <c r="H24989" i="9" s="1"/>
  <c r="F24990" i="9"/>
  <c r="H24990" i="9" s="1"/>
  <c r="F24991" i="9"/>
  <c r="H24991" i="9" s="1"/>
  <c r="F24992" i="9"/>
  <c r="H24992" i="9" s="1"/>
  <c r="F24993" i="9"/>
  <c r="H24993" i="9" s="1"/>
  <c r="F24994" i="9"/>
  <c r="H24994" i="9" s="1"/>
  <c r="F24995" i="9"/>
  <c r="H24995" i="9" s="1"/>
  <c r="F24996" i="9"/>
  <c r="H24996" i="9" s="1"/>
  <c r="F24997" i="9"/>
  <c r="H24997" i="9" s="1"/>
  <c r="F24998" i="9"/>
  <c r="H24998" i="9" s="1"/>
  <c r="F24999" i="9"/>
  <c r="H24999" i="9" s="1"/>
  <c r="F25000" i="9"/>
  <c r="H25000" i="9" s="1"/>
  <c r="F25001" i="9"/>
  <c r="H25001" i="9" s="1"/>
  <c r="F25002" i="9"/>
  <c r="H25002" i="9" s="1"/>
  <c r="F25003" i="9"/>
  <c r="H25003" i="9" s="1"/>
  <c r="F25004" i="9"/>
  <c r="H25004" i="9" s="1"/>
  <c r="F25005" i="9"/>
  <c r="H25005" i="9" s="1"/>
  <c r="F25006" i="9"/>
  <c r="H25006" i="9" s="1"/>
  <c r="F25007" i="9"/>
  <c r="H25007" i="9" s="1"/>
  <c r="F25008" i="9"/>
  <c r="H25008" i="9" s="1"/>
  <c r="F25009" i="9"/>
  <c r="H25009" i="9" s="1"/>
  <c r="F25010" i="9"/>
  <c r="H25010" i="9" s="1"/>
  <c r="F25011" i="9"/>
  <c r="H25011" i="9" s="1"/>
  <c r="F25012" i="9"/>
  <c r="H25012" i="9"/>
  <c r="H25013" i="9"/>
  <c r="F25014" i="9"/>
  <c r="H25014" i="9"/>
  <c r="F25015" i="9"/>
  <c r="H25015" i="9"/>
  <c r="F25016" i="9"/>
  <c r="H25016" i="9"/>
  <c r="F25017" i="9"/>
  <c r="H25017" i="9"/>
  <c r="F25018" i="9"/>
  <c r="H25018" i="9"/>
  <c r="H25019" i="9"/>
  <c r="F25020" i="9"/>
  <c r="H25020" i="9"/>
  <c r="F25021" i="9"/>
  <c r="H25021" i="9"/>
  <c r="F25022" i="9"/>
  <c r="H25022" i="9"/>
  <c r="F25023" i="9"/>
  <c r="H25023" i="9"/>
  <c r="F25024" i="9"/>
  <c r="H25024" i="9"/>
  <c r="H25025" i="9"/>
  <c r="F25026" i="9"/>
  <c r="H25026" i="9"/>
  <c r="F25027" i="9"/>
  <c r="H25027" i="9"/>
  <c r="F25028" i="9"/>
  <c r="H25028" i="9"/>
  <c r="F25029" i="9"/>
  <c r="H25029" i="9"/>
  <c r="F25030" i="9"/>
  <c r="H25030" i="9"/>
  <c r="H25031" i="9"/>
  <c r="F25032" i="9"/>
  <c r="H25032" i="9"/>
  <c r="F25033" i="9"/>
  <c r="H25033" i="9"/>
  <c r="F25034" i="9"/>
  <c r="H25034" i="9"/>
  <c r="F25035" i="9"/>
  <c r="H25035" i="9"/>
  <c r="F25036" i="9"/>
  <c r="H25036" i="9"/>
  <c r="H25037" i="9"/>
  <c r="F25038" i="9"/>
  <c r="H25038" i="9"/>
  <c r="F25039" i="9"/>
  <c r="H25039" i="9"/>
  <c r="F25040" i="9"/>
  <c r="H25040" i="9"/>
  <c r="F25041" i="9"/>
  <c r="H25041" i="9"/>
  <c r="F25042" i="9"/>
  <c r="H25042" i="9"/>
  <c r="F25043" i="9"/>
  <c r="H25043" i="9"/>
  <c r="F25044" i="9"/>
  <c r="H25044" i="9" s="1"/>
  <c r="F25045" i="9"/>
  <c r="H25045" i="9" s="1"/>
  <c r="F25046" i="9"/>
  <c r="H25046" i="9" s="1"/>
  <c r="F25047" i="9"/>
  <c r="H25047" i="9" s="1"/>
  <c r="F25048" i="9"/>
  <c r="H25048" i="9" s="1"/>
  <c r="F25049" i="9"/>
  <c r="H25049" i="9" s="1"/>
  <c r="F25050" i="9"/>
  <c r="H25050" i="9" s="1"/>
  <c r="F25051" i="9"/>
  <c r="H25051" i="9" s="1"/>
  <c r="F25052" i="9"/>
  <c r="H25052" i="9" s="1"/>
  <c r="F25053" i="9"/>
  <c r="H25053" i="9" s="1"/>
  <c r="F25054" i="9"/>
  <c r="H25054" i="9" s="1"/>
  <c r="F25055" i="9"/>
  <c r="H25055" i="9" s="1"/>
  <c r="F25056" i="9"/>
  <c r="H25056" i="9" s="1"/>
  <c r="F25057" i="9"/>
  <c r="H25057" i="9" s="1"/>
  <c r="F25058" i="9"/>
  <c r="H25058" i="9" s="1"/>
  <c r="F25059" i="9"/>
  <c r="H25059" i="9" s="1"/>
  <c r="F25060" i="9"/>
  <c r="H25060" i="9" s="1"/>
  <c r="F25061" i="9"/>
  <c r="H25061" i="9" s="1"/>
  <c r="F25062" i="9"/>
  <c r="H25062" i="9" s="1"/>
  <c r="F25063" i="9"/>
  <c r="H25063" i="9" s="1"/>
  <c r="F25064" i="9"/>
  <c r="H25064" i="9" s="1"/>
  <c r="F25065" i="9"/>
  <c r="H25065" i="9" s="1"/>
  <c r="F25066" i="9"/>
  <c r="H25066" i="9" s="1"/>
  <c r="F25067" i="9"/>
  <c r="H25067" i="9" s="1"/>
  <c r="F25068" i="9"/>
  <c r="H25068" i="9" s="1"/>
  <c r="F25069" i="9"/>
  <c r="H25069" i="9" s="1"/>
  <c r="F25070" i="9"/>
  <c r="H25070" i="9" s="1"/>
  <c r="F25071" i="9"/>
  <c r="H25071" i="9" s="1"/>
  <c r="F25072" i="9"/>
  <c r="H25072" i="9" s="1"/>
  <c r="F25073" i="9"/>
  <c r="H25073" i="9" s="1"/>
  <c r="F25074" i="9"/>
  <c r="H25074" i="9" s="1"/>
  <c r="F25075" i="9"/>
  <c r="H25075" i="9" s="1"/>
  <c r="F25076" i="9"/>
  <c r="H25076" i="9" s="1"/>
  <c r="F25077" i="9"/>
  <c r="H25077" i="9" s="1"/>
  <c r="F25078" i="9"/>
  <c r="H25078" i="9" s="1"/>
  <c r="F25079" i="9"/>
  <c r="H25079" i="9" s="1"/>
  <c r="F25080" i="9"/>
  <c r="H25080" i="9" s="1"/>
  <c r="F25081" i="9"/>
  <c r="H25081" i="9" s="1"/>
  <c r="F25082" i="9"/>
  <c r="H25082" i="9"/>
  <c r="F25083" i="9"/>
  <c r="H25083" i="9" s="1"/>
  <c r="F25084" i="9"/>
  <c r="H25084" i="9" s="1"/>
  <c r="F25085" i="9"/>
  <c r="H25085" i="9" s="1"/>
  <c r="F25086" i="9"/>
  <c r="H25086" i="9" s="1"/>
  <c r="F25087" i="9"/>
  <c r="H25087" i="9" s="1"/>
  <c r="F25088" i="9"/>
  <c r="H25088" i="9" s="1"/>
  <c r="F25089" i="9"/>
  <c r="H25089" i="9" s="1"/>
  <c r="F25090" i="9"/>
  <c r="H25090" i="9" s="1"/>
  <c r="F25091" i="9"/>
  <c r="H25091" i="9" s="1"/>
  <c r="F25092" i="9"/>
  <c r="H25092" i="9" s="1"/>
  <c r="F25093" i="9"/>
  <c r="H25093" i="9" s="1"/>
  <c r="F25094" i="9"/>
  <c r="H25094" i="9" s="1"/>
  <c r="F25095" i="9"/>
  <c r="H25095" i="9" s="1"/>
  <c r="F25096" i="9"/>
  <c r="H25096" i="9" s="1"/>
  <c r="F25097" i="9"/>
  <c r="H25097" i="9" s="1"/>
  <c r="F25098" i="9"/>
  <c r="H25098" i="9" s="1"/>
  <c r="F25099" i="9"/>
  <c r="H25099" i="9" s="1"/>
  <c r="F25100" i="9"/>
  <c r="H25100" i="9" s="1"/>
  <c r="F25101" i="9"/>
  <c r="H25101" i="9" s="1"/>
  <c r="F25102" i="9"/>
  <c r="H25102" i="9" s="1"/>
  <c r="F25103" i="9"/>
  <c r="H25103" i="9" s="1"/>
  <c r="F25104" i="9"/>
  <c r="H25104" i="9" s="1"/>
  <c r="F25105" i="9"/>
  <c r="H25105" i="9" s="1"/>
  <c r="F25106" i="9"/>
  <c r="H25106" i="9" s="1"/>
  <c r="F25107" i="9"/>
  <c r="H25107" i="9" s="1"/>
  <c r="F25108" i="9"/>
  <c r="H25108" i="9" s="1"/>
  <c r="F25109" i="9"/>
  <c r="H25109" i="9" s="1"/>
  <c r="F25110" i="9"/>
  <c r="H25110" i="9" s="1"/>
  <c r="F25111" i="9"/>
  <c r="H25111" i="9" s="1"/>
  <c r="F25112" i="9"/>
  <c r="H25112" i="9" s="1"/>
  <c r="F25113" i="9"/>
  <c r="H25113" i="9" s="1"/>
  <c r="F25114" i="9"/>
  <c r="H25114" i="9" s="1"/>
  <c r="F25115" i="9"/>
  <c r="H25115" i="9" s="1"/>
  <c r="F25116" i="9"/>
  <c r="H25116" i="9" s="1"/>
  <c r="F25117" i="9"/>
  <c r="H25117" i="9" s="1"/>
  <c r="F25118" i="9"/>
  <c r="H25118" i="9" s="1"/>
  <c r="F25119" i="9"/>
  <c r="H25119" i="9" s="1"/>
  <c r="F25120" i="9"/>
  <c r="H25120" i="9" s="1"/>
  <c r="F25121" i="9"/>
  <c r="H25121" i="9"/>
  <c r="F25122" i="9"/>
  <c r="H25122" i="9" s="1"/>
  <c r="F25123" i="9"/>
  <c r="H25123" i="9" s="1"/>
  <c r="F25124" i="9"/>
  <c r="H25124" i="9" s="1"/>
  <c r="F25125" i="9"/>
  <c r="H25125" i="9" s="1"/>
  <c r="F25126" i="9"/>
  <c r="H25126" i="9" s="1"/>
  <c r="F25127" i="9"/>
  <c r="H25127" i="9" s="1"/>
  <c r="F25128" i="9"/>
  <c r="H25128" i="9" s="1"/>
  <c r="F25129" i="9"/>
  <c r="H25129" i="9" s="1"/>
  <c r="F25130" i="9"/>
  <c r="H25130" i="9" s="1"/>
  <c r="F25131" i="9"/>
  <c r="H25131" i="9" s="1"/>
  <c r="F25132" i="9"/>
  <c r="H25132" i="9" s="1"/>
  <c r="F25133" i="9"/>
  <c r="H25133" i="9" s="1"/>
  <c r="F25134" i="9"/>
  <c r="H25134" i="9" s="1"/>
  <c r="F25135" i="9"/>
  <c r="H25135" i="9" s="1"/>
  <c r="F25136" i="9"/>
  <c r="H25136" i="9" s="1"/>
  <c r="F25137" i="9"/>
  <c r="H25137" i="9" s="1"/>
  <c r="F25138" i="9"/>
  <c r="H25138" i="9" s="1"/>
  <c r="F25139" i="9"/>
  <c r="H25139" i="9" s="1"/>
  <c r="F25140" i="9"/>
  <c r="H25140" i="9" s="1"/>
  <c r="F25141" i="9"/>
  <c r="H25141" i="9" s="1"/>
  <c r="F25142" i="9"/>
  <c r="H25142" i="9" s="1"/>
  <c r="F25143" i="9"/>
  <c r="H25143" i="9" s="1"/>
  <c r="F25144" i="9"/>
  <c r="H25144" i="9" s="1"/>
  <c r="F25145" i="9"/>
  <c r="H25145" i="9" s="1"/>
  <c r="F25146" i="9"/>
  <c r="H25146" i="9" s="1"/>
  <c r="F25147" i="9"/>
  <c r="H25147" i="9" s="1"/>
  <c r="F25148" i="9"/>
  <c r="H25148" i="9" s="1"/>
  <c r="F25149" i="9"/>
  <c r="H25149" i="9" s="1"/>
  <c r="F25150" i="9"/>
  <c r="H25150" i="9" s="1"/>
  <c r="F25151" i="9"/>
  <c r="H25151" i="9" s="1"/>
  <c r="F25152" i="9"/>
  <c r="H25152" i="9" s="1"/>
  <c r="F25153" i="9"/>
  <c r="H25153" i="9" s="1"/>
  <c r="F25154" i="9"/>
  <c r="H25154" i="9" s="1"/>
  <c r="F25155" i="9"/>
  <c r="H25155" i="9" s="1"/>
  <c r="F25156" i="9"/>
  <c r="H25156" i="9" s="1"/>
  <c r="F25157" i="9"/>
  <c r="H25157" i="9" s="1"/>
  <c r="F25158" i="9"/>
  <c r="H25158" i="9" s="1"/>
  <c r="F25159" i="9"/>
  <c r="H25159" i="9" s="1"/>
  <c r="F25160" i="9"/>
  <c r="H25160" i="9"/>
  <c r="F25161" i="9"/>
  <c r="H25161" i="9" s="1"/>
  <c r="F25162" i="9"/>
  <c r="H25162" i="9" s="1"/>
  <c r="F25163" i="9"/>
  <c r="H25163" i="9" s="1"/>
  <c r="F25164" i="9"/>
  <c r="H25164" i="9" s="1"/>
  <c r="F25165" i="9"/>
  <c r="H25165" i="9" s="1"/>
  <c r="F25166" i="9"/>
  <c r="H25166" i="9" s="1"/>
  <c r="F25167" i="9"/>
  <c r="H25167" i="9" s="1"/>
  <c r="F25168" i="9"/>
  <c r="H25168" i="9" s="1"/>
  <c r="F25169" i="9"/>
  <c r="H25169" i="9" s="1"/>
  <c r="F25170" i="9"/>
  <c r="H25170" i="9" s="1"/>
  <c r="F25171" i="9"/>
  <c r="H25171" i="9" s="1"/>
  <c r="F25172" i="9"/>
  <c r="H25172" i="9" s="1"/>
  <c r="F25173" i="9"/>
  <c r="H25173" i="9" s="1"/>
  <c r="F25174" i="9"/>
  <c r="H25174" i="9" s="1"/>
  <c r="F25175" i="9"/>
  <c r="H25175" i="9" s="1"/>
  <c r="F25176" i="9"/>
  <c r="H25176" i="9" s="1"/>
  <c r="F25177" i="9"/>
  <c r="H25177" i="9" s="1"/>
  <c r="F25178" i="9"/>
  <c r="H25178" i="9" s="1"/>
  <c r="F25179" i="9"/>
  <c r="H25179" i="9" s="1"/>
  <c r="F25180" i="9"/>
  <c r="H25180" i="9" s="1"/>
  <c r="F25181" i="9"/>
  <c r="H25181" i="9" s="1"/>
  <c r="F25182" i="9"/>
  <c r="H25182" i="9" s="1"/>
  <c r="F25183" i="9"/>
  <c r="H25183" i="9" s="1"/>
  <c r="F25184" i="9"/>
  <c r="H25184" i="9" s="1"/>
  <c r="F25185" i="9"/>
  <c r="H25185" i="9" s="1"/>
  <c r="F25186" i="9"/>
  <c r="H25186" i="9" s="1"/>
  <c r="F25187" i="9"/>
  <c r="H25187" i="9" s="1"/>
  <c r="F25188" i="9"/>
  <c r="H25188" i="9" s="1"/>
  <c r="F25189" i="9"/>
  <c r="H25189" i="9" s="1"/>
  <c r="F25190" i="9"/>
  <c r="H25190" i="9" s="1"/>
  <c r="F25191" i="9"/>
  <c r="H25191" i="9" s="1"/>
  <c r="F25192" i="9"/>
  <c r="H25192" i="9" s="1"/>
  <c r="F25193" i="9"/>
  <c r="H25193" i="9" s="1"/>
  <c r="F25194" i="9"/>
  <c r="H25194" i="9" s="1"/>
  <c r="F25195" i="9"/>
  <c r="H25195" i="9" s="1"/>
  <c r="F25196" i="9"/>
  <c r="H25196" i="9" s="1"/>
  <c r="F25197" i="9"/>
  <c r="H25197" i="9" s="1"/>
  <c r="F25198" i="9"/>
  <c r="H25198" i="9" s="1"/>
  <c r="F25199" i="9"/>
  <c r="H25199" i="9"/>
  <c r="F25200" i="9"/>
  <c r="H25200" i="9" s="1"/>
  <c r="F25201" i="9"/>
  <c r="H25201" i="9" s="1"/>
  <c r="F25202" i="9"/>
  <c r="H25202" i="9" s="1"/>
  <c r="F25203" i="9"/>
  <c r="H25203" i="9" s="1"/>
  <c r="F25204" i="9"/>
  <c r="H25204" i="9" s="1"/>
  <c r="F25205" i="9"/>
  <c r="H25205" i="9" s="1"/>
  <c r="F25206" i="9"/>
  <c r="H25206" i="9" s="1"/>
  <c r="F25207" i="9"/>
  <c r="H25207" i="9" s="1"/>
  <c r="F25208" i="9"/>
  <c r="H25208" i="9" s="1"/>
  <c r="F25209" i="9"/>
  <c r="H25209" i="9" s="1"/>
  <c r="F25210" i="9"/>
  <c r="H25210" i="9" s="1"/>
  <c r="F25211" i="9"/>
  <c r="H25211" i="9" s="1"/>
  <c r="F25212" i="9"/>
  <c r="H25212" i="9" s="1"/>
  <c r="F25213" i="9"/>
  <c r="H25213" i="9" s="1"/>
  <c r="F25214" i="9"/>
  <c r="H25214" i="9" s="1"/>
  <c r="F25215" i="9"/>
  <c r="H25215" i="9" s="1"/>
  <c r="F25216" i="9"/>
  <c r="H25216" i="9" s="1"/>
  <c r="F25217" i="9"/>
  <c r="H25217" i="9" s="1"/>
  <c r="F25218" i="9"/>
  <c r="H25218" i="9" s="1"/>
  <c r="F25219" i="9"/>
  <c r="H25219" i="9" s="1"/>
  <c r="F25220" i="9"/>
  <c r="H25220" i="9" s="1"/>
  <c r="F25221" i="9"/>
  <c r="H25221" i="9" s="1"/>
  <c r="F25222" i="9"/>
  <c r="H25222" i="9" s="1"/>
  <c r="F25223" i="9"/>
  <c r="H25223" i="9" s="1"/>
  <c r="F25224" i="9"/>
  <c r="H25224" i="9" s="1"/>
  <c r="F25225" i="9"/>
  <c r="H25225" i="9" s="1"/>
  <c r="F25226" i="9"/>
  <c r="H25226" i="9" s="1"/>
  <c r="F25227" i="9"/>
  <c r="H25227" i="9" s="1"/>
  <c r="F25228" i="9"/>
  <c r="H25228" i="9" s="1"/>
  <c r="F25229" i="9"/>
  <c r="H25229" i="9" s="1"/>
  <c r="F25230" i="9"/>
  <c r="H25230" i="9" s="1"/>
  <c r="F25231" i="9"/>
  <c r="H25231" i="9" s="1"/>
  <c r="F25232" i="9"/>
  <c r="H25232" i="9" s="1"/>
  <c r="F25233" i="9"/>
  <c r="H25233" i="9" s="1"/>
  <c r="F25234" i="9"/>
  <c r="H25234" i="9" s="1"/>
  <c r="F25235" i="9"/>
  <c r="H25235" i="9" s="1"/>
  <c r="F25236" i="9"/>
  <c r="H25236" i="9" s="1"/>
  <c r="F25237" i="9"/>
  <c r="H25237" i="9" s="1"/>
  <c r="F25238" i="9"/>
  <c r="H25238" i="9" s="1"/>
  <c r="F25239" i="9"/>
  <c r="H25239" i="9" s="1"/>
  <c r="F25240" i="9"/>
  <c r="H25240" i="9" s="1"/>
  <c r="F25241" i="9"/>
  <c r="H25241" i="9" s="1"/>
  <c r="F25242" i="9"/>
  <c r="H25242" i="9" s="1"/>
  <c r="F25243" i="9"/>
  <c r="H25243" i="9" s="1"/>
  <c r="F25244" i="9"/>
  <c r="H25244" i="9" s="1"/>
  <c r="F25245" i="9"/>
  <c r="H25245" i="9" s="1"/>
  <c r="F25246" i="9"/>
  <c r="H25246" i="9" s="1"/>
  <c r="F25247" i="9"/>
  <c r="H25247" i="9" s="1"/>
  <c r="F25248" i="9"/>
  <c r="H25248" i="9" s="1"/>
  <c r="F25249" i="9"/>
  <c r="H25249" i="9" s="1"/>
  <c r="F25250" i="9"/>
  <c r="H25250" i="9" s="1"/>
  <c r="F25251" i="9"/>
  <c r="H25251" i="9" s="1"/>
  <c r="F25252" i="9"/>
  <c r="H25252" i="9" s="1"/>
  <c r="F25253" i="9"/>
  <c r="H25253" i="9" s="1"/>
  <c r="F25254" i="9"/>
  <c r="H25254" i="9" s="1"/>
  <c r="F25255" i="9"/>
  <c r="H25255" i="9" s="1"/>
  <c r="F25256" i="9"/>
  <c r="H25256" i="9" s="1"/>
  <c r="F25257" i="9"/>
  <c r="H25257" i="9" s="1"/>
  <c r="F25258" i="9"/>
  <c r="H25258" i="9" s="1"/>
  <c r="F25259" i="9"/>
  <c r="H25259" i="9" s="1"/>
  <c r="F25260" i="9"/>
  <c r="H25260" i="9" s="1"/>
  <c r="F25261" i="9"/>
  <c r="H25261" i="9" s="1"/>
  <c r="F25262" i="9"/>
  <c r="H25262" i="9" s="1"/>
  <c r="F25263" i="9"/>
  <c r="H25263" i="9" s="1"/>
  <c r="F25264" i="9"/>
  <c r="H25264" i="9" s="1"/>
  <c r="F25265" i="9"/>
  <c r="H25265" i="9" s="1"/>
  <c r="F25266" i="9"/>
  <c r="H25266" i="9" s="1"/>
  <c r="F25267" i="9"/>
  <c r="H25267" i="9" s="1"/>
  <c r="F25268" i="9"/>
  <c r="H25268" i="9" s="1"/>
  <c r="F25269" i="9"/>
  <c r="H25269" i="9" s="1"/>
  <c r="F25270" i="9"/>
  <c r="H25270" i="9" s="1"/>
  <c r="F25271" i="9"/>
  <c r="H25271" i="9" s="1"/>
  <c r="F25272" i="9"/>
  <c r="H25272" i="9" s="1"/>
  <c r="F25273" i="9"/>
  <c r="H25273" i="9" s="1"/>
  <c r="F25274" i="9"/>
  <c r="H25274" i="9" s="1"/>
  <c r="F25275" i="9"/>
  <c r="H25275" i="9" s="1"/>
  <c r="F25276" i="9"/>
  <c r="H25276" i="9" s="1"/>
  <c r="F25277" i="9"/>
  <c r="H25277" i="9" s="1"/>
  <c r="F25278" i="9"/>
  <c r="H25278" i="9" s="1"/>
  <c r="F25279" i="9"/>
  <c r="H25279" i="9" s="1"/>
  <c r="F25280" i="9"/>
  <c r="H25280" i="9" s="1"/>
  <c r="F25281" i="9"/>
  <c r="H25281" i="9" s="1"/>
  <c r="F25282" i="9"/>
  <c r="H25282" i="9" s="1"/>
  <c r="F25283" i="9"/>
  <c r="H25283" i="9" s="1"/>
  <c r="F25284" i="9"/>
  <c r="H25284" i="9" s="1"/>
  <c r="F25285" i="9"/>
  <c r="H25285" i="9" s="1"/>
  <c r="F25286" i="9"/>
  <c r="H25286" i="9" s="1"/>
  <c r="F25287" i="9"/>
  <c r="H25287" i="9" s="1"/>
  <c r="F25288" i="9"/>
  <c r="H25288" i="9" s="1"/>
  <c r="F25289" i="9"/>
  <c r="H25289" i="9" s="1"/>
  <c r="F25290" i="9"/>
  <c r="H25290" i="9" s="1"/>
  <c r="F25291" i="9"/>
  <c r="H25291" i="9" s="1"/>
  <c r="F25292" i="9"/>
  <c r="H25292" i="9" s="1"/>
  <c r="F25293" i="9"/>
  <c r="H25293" i="9" s="1"/>
  <c r="F25294" i="9"/>
  <c r="H25294" i="9" s="1"/>
  <c r="F25295" i="9"/>
  <c r="H25295" i="9" s="1"/>
  <c r="F25296" i="9"/>
  <c r="H25296" i="9" s="1"/>
  <c r="F25297" i="9"/>
  <c r="H25297" i="9" s="1"/>
  <c r="F25298" i="9"/>
  <c r="H25298" i="9" s="1"/>
  <c r="F25299" i="9"/>
  <c r="H25299" i="9" s="1"/>
  <c r="F25300" i="9"/>
  <c r="H25300" i="9" s="1"/>
  <c r="F25301" i="9"/>
  <c r="H25301" i="9" s="1"/>
  <c r="F25302" i="9"/>
  <c r="H25302" i="9" s="1"/>
  <c r="F25303" i="9"/>
  <c r="H25303" i="9" s="1"/>
  <c r="F25304" i="9"/>
  <c r="H25304" i="9" s="1"/>
  <c r="F25305" i="9"/>
  <c r="H25305" i="9" s="1"/>
  <c r="F25306" i="9"/>
  <c r="H25306" i="9" s="1"/>
  <c r="F25307" i="9"/>
  <c r="H25307" i="9" s="1"/>
  <c r="F25308" i="9"/>
  <c r="H25308" i="9" s="1"/>
  <c r="F25309" i="9"/>
  <c r="H25309" i="9" s="1"/>
  <c r="F25310" i="9"/>
  <c r="H25310" i="9" s="1"/>
  <c r="F25311" i="9"/>
  <c r="H25311" i="9" s="1"/>
  <c r="F25312" i="9"/>
  <c r="H25312" i="9" s="1"/>
  <c r="F25313" i="9"/>
  <c r="H25313" i="9" s="1"/>
  <c r="F25314" i="9"/>
  <c r="H25314" i="9" s="1"/>
  <c r="F25315" i="9"/>
  <c r="H25315" i="9" s="1"/>
  <c r="F25316" i="9"/>
  <c r="H25316" i="9" s="1"/>
  <c r="F25317" i="9"/>
  <c r="H25317" i="9" s="1"/>
  <c r="F25318" i="9"/>
  <c r="H25318" i="9" s="1"/>
  <c r="F25319" i="9"/>
  <c r="H25319" i="9" s="1"/>
  <c r="F25320" i="9"/>
  <c r="H25320" i="9" s="1"/>
  <c r="F25321" i="9"/>
  <c r="H25321" i="9" s="1"/>
  <c r="F25322" i="9"/>
  <c r="H25322" i="9" s="1"/>
  <c r="F25323" i="9"/>
  <c r="H25323" i="9" s="1"/>
  <c r="F25324" i="9"/>
  <c r="H25324" i="9" s="1"/>
  <c r="F25325" i="9"/>
  <c r="H25325" i="9" s="1"/>
  <c r="F25326" i="9"/>
  <c r="H25326" i="9" s="1"/>
  <c r="F25327" i="9"/>
  <c r="H25327" i="9" s="1"/>
  <c r="F25328" i="9"/>
  <c r="H25328" i="9" s="1"/>
  <c r="F25329" i="9"/>
  <c r="H25329" i="9" s="1"/>
  <c r="F25330" i="9"/>
  <c r="H25330" i="9" s="1"/>
  <c r="F25331" i="9"/>
  <c r="H25331" i="9" s="1"/>
  <c r="F25332" i="9"/>
  <c r="H25332" i="9" s="1"/>
  <c r="F25333" i="9"/>
  <c r="H25333" i="9" s="1"/>
  <c r="F25334" i="9"/>
  <c r="H25334" i="9" s="1"/>
  <c r="F25335" i="9"/>
  <c r="H25335" i="9" s="1"/>
  <c r="F25336" i="9"/>
  <c r="H25336" i="9" s="1"/>
  <c r="F25337" i="9"/>
  <c r="H25337" i="9" s="1"/>
  <c r="F25338" i="9"/>
  <c r="H25338" i="9" s="1"/>
  <c r="F25339" i="9"/>
  <c r="H25339" i="9" s="1"/>
  <c r="F25340" i="9"/>
  <c r="H25340" i="9"/>
  <c r="F25341" i="9"/>
  <c r="H25341" i="9" s="1"/>
  <c r="F25342" i="9"/>
  <c r="H25342" i="9" s="1"/>
  <c r="F25343" i="9"/>
  <c r="H25343" i="9" s="1"/>
  <c r="F25344" i="9"/>
  <c r="H25344" i="9" s="1"/>
  <c r="F25345" i="9"/>
  <c r="H25345" i="9" s="1"/>
  <c r="F25346" i="9"/>
  <c r="H25346" i="9" s="1"/>
  <c r="F25347" i="9"/>
  <c r="H25347" i="9" s="1"/>
  <c r="F25348" i="9"/>
  <c r="H25348" i="9" s="1"/>
  <c r="F25349" i="9"/>
  <c r="H25349" i="9" s="1"/>
  <c r="F25350" i="9"/>
  <c r="H25350" i="9" s="1"/>
  <c r="F25351" i="9"/>
  <c r="H25351" i="9" s="1"/>
  <c r="F25352" i="9"/>
  <c r="H25352" i="9" s="1"/>
  <c r="F25353" i="9"/>
  <c r="H25353" i="9" s="1"/>
  <c r="F25354" i="9"/>
  <c r="H25354" i="9" s="1"/>
  <c r="F25355" i="9"/>
  <c r="H25355" i="9" s="1"/>
  <c r="F25356" i="9"/>
  <c r="H25356" i="9" s="1"/>
  <c r="F25357" i="9"/>
  <c r="H25357" i="9" s="1"/>
  <c r="F25358" i="9"/>
  <c r="H25358" i="9" s="1"/>
  <c r="F25359" i="9"/>
  <c r="H25359" i="9" s="1"/>
  <c r="F25360" i="9"/>
  <c r="H25360" i="9" s="1"/>
  <c r="F25361" i="9"/>
  <c r="H25361" i="9" s="1"/>
  <c r="F25362" i="9"/>
  <c r="H25362" i="9" s="1"/>
  <c r="F25363" i="9"/>
  <c r="H25363" i="9" s="1"/>
  <c r="F25364" i="9"/>
  <c r="H25364" i="9" s="1"/>
  <c r="F25365" i="9"/>
  <c r="H25365" i="9" s="1"/>
  <c r="F25366" i="9"/>
  <c r="H25366" i="9" s="1"/>
  <c r="F25367" i="9"/>
  <c r="H25367" i="9" s="1"/>
  <c r="F25368" i="9"/>
  <c r="H25368" i="9" s="1"/>
  <c r="F25369" i="9"/>
  <c r="H25369" i="9" s="1"/>
  <c r="F25370" i="9"/>
  <c r="H25370" i="9" s="1"/>
  <c r="F25371" i="9"/>
  <c r="H25371" i="9" s="1"/>
  <c r="F25372" i="9"/>
  <c r="H25372" i="9" s="1"/>
  <c r="F25373" i="9"/>
  <c r="H25373" i="9" s="1"/>
  <c r="F25374" i="9"/>
  <c r="H25374" i="9" s="1"/>
  <c r="F25375" i="9"/>
  <c r="H25375" i="9" s="1"/>
  <c r="F25376" i="9"/>
  <c r="H25376" i="9" s="1"/>
  <c r="F25377" i="9"/>
  <c r="H25377" i="9" s="1"/>
  <c r="F25378" i="9"/>
  <c r="H25378" i="9" s="1"/>
  <c r="F25379" i="9"/>
  <c r="H25379" i="9" s="1"/>
  <c r="F25380" i="9"/>
  <c r="H25380" i="9" s="1"/>
  <c r="F25381" i="9"/>
  <c r="H25381" i="9" s="1"/>
  <c r="F25382" i="9"/>
  <c r="H25382" i="9" s="1"/>
  <c r="F25383" i="9"/>
  <c r="H25383" i="9" s="1"/>
  <c r="F25384" i="9"/>
  <c r="H25384" i="9" s="1"/>
  <c r="F25385" i="9"/>
  <c r="H25385" i="9" s="1"/>
  <c r="F25386" i="9"/>
  <c r="H25386" i="9" s="1"/>
  <c r="F25387" i="9"/>
  <c r="H25387" i="9" s="1"/>
  <c r="F25388" i="9"/>
  <c r="H25388" i="9" s="1"/>
  <c r="F25389" i="9"/>
  <c r="H25389" i="9" s="1"/>
  <c r="F25390" i="9"/>
  <c r="H25390" i="9" s="1"/>
  <c r="F25391" i="9"/>
  <c r="H25391" i="9" s="1"/>
  <c r="F25392" i="9"/>
  <c r="H25392" i="9" s="1"/>
  <c r="F25393" i="9"/>
  <c r="H25393" i="9" s="1"/>
  <c r="F25394" i="9"/>
  <c r="H25394" i="9" s="1"/>
  <c r="F25395" i="9"/>
  <c r="H25395" i="9" s="1"/>
  <c r="F25396" i="9"/>
  <c r="H25396" i="9" s="1"/>
  <c r="F25397" i="9"/>
  <c r="H25397" i="9" s="1"/>
  <c r="F25398" i="9"/>
  <c r="H25398" i="9" s="1"/>
  <c r="F25399" i="9"/>
  <c r="H25399" i="9" s="1"/>
  <c r="F25400" i="9"/>
  <c r="H25400" i="9" s="1"/>
  <c r="F25401" i="9"/>
  <c r="H25401" i="9" s="1"/>
  <c r="F25402" i="9"/>
  <c r="H25402" i="9" s="1"/>
  <c r="F25403" i="9"/>
  <c r="H25403" i="9" s="1"/>
  <c r="F25404" i="9"/>
  <c r="H25404" i="9" s="1"/>
  <c r="F25405" i="9"/>
  <c r="H25405" i="9" s="1"/>
  <c r="F25406" i="9"/>
  <c r="H25406" i="9" s="1"/>
  <c r="F25407" i="9"/>
  <c r="H25407" i="9" s="1"/>
  <c r="F25408" i="9"/>
  <c r="H25408" i="9" s="1"/>
  <c r="F25409" i="9"/>
  <c r="H25409" i="9" s="1"/>
  <c r="F25410" i="9"/>
  <c r="H25410" i="9" s="1"/>
  <c r="F25411" i="9"/>
  <c r="H25411" i="9" s="1"/>
  <c r="F25412" i="9"/>
  <c r="H25412" i="9" s="1"/>
  <c r="F25413" i="9"/>
  <c r="H25413" i="9" s="1"/>
  <c r="F25414" i="9"/>
  <c r="H25414" i="9" s="1"/>
  <c r="F25415" i="9"/>
  <c r="H25415" i="9" s="1"/>
  <c r="F25416" i="9"/>
  <c r="H25416" i="9" s="1"/>
  <c r="F25417" i="9"/>
  <c r="H25417" i="9" s="1"/>
  <c r="F25418" i="9"/>
  <c r="H25418" i="9" s="1"/>
  <c r="F25419" i="9"/>
  <c r="H25419" i="9" s="1"/>
  <c r="F25420" i="9"/>
  <c r="H25420" i="9" s="1"/>
  <c r="F25421" i="9"/>
  <c r="H25421" i="9" s="1"/>
  <c r="F25422" i="9"/>
  <c r="H25422" i="9" s="1"/>
  <c r="F25423" i="9"/>
  <c r="H25423" i="9" s="1"/>
  <c r="F25424" i="9"/>
  <c r="H25424" i="9" s="1"/>
  <c r="F25425" i="9"/>
  <c r="H25425" i="9" s="1"/>
  <c r="F25426" i="9"/>
  <c r="H25426" i="9" s="1"/>
  <c r="F25427" i="9"/>
  <c r="H25427" i="9" s="1"/>
  <c r="F25428" i="9"/>
  <c r="H25428" i="9"/>
  <c r="F25429" i="9"/>
  <c r="H25429" i="9"/>
  <c r="F25430" i="9"/>
  <c r="H25430" i="9"/>
  <c r="F25431" i="9"/>
  <c r="H25431" i="9"/>
  <c r="F25432" i="9"/>
  <c r="H25432" i="9"/>
  <c r="F25433" i="9"/>
  <c r="H25433" i="9"/>
  <c r="F25434" i="9"/>
  <c r="H25434" i="9"/>
  <c r="F25435" i="9"/>
  <c r="H25435" i="9"/>
  <c r="F25436" i="9"/>
  <c r="H25436" i="9"/>
  <c r="F25437" i="9"/>
  <c r="H25437" i="9"/>
  <c r="F25438" i="9"/>
  <c r="H25438" i="9"/>
  <c r="F25439" i="9"/>
  <c r="H25439" i="9"/>
  <c r="F25440" i="9"/>
  <c r="H25440" i="9"/>
  <c r="F25441" i="9"/>
  <c r="H25441" i="9"/>
  <c r="F25442" i="9"/>
  <c r="H25442" i="9"/>
  <c r="F25443" i="9"/>
  <c r="H25443" i="9"/>
  <c r="F25444" i="9"/>
  <c r="H25444" i="9"/>
  <c r="F25445" i="9"/>
  <c r="H25445" i="9"/>
  <c r="F25446" i="9"/>
  <c r="H25446" i="9"/>
  <c r="F25447" i="9"/>
  <c r="H25447" i="9"/>
  <c r="F25448" i="9"/>
  <c r="H25448" i="9"/>
  <c r="F25449" i="9"/>
  <c r="H25449" i="9"/>
  <c r="F25450" i="9"/>
  <c r="H25450" i="9"/>
  <c r="F25451" i="9"/>
  <c r="H25451" i="9"/>
  <c r="F25452" i="9"/>
  <c r="H25452" i="9"/>
  <c r="F25453" i="9"/>
  <c r="H25453" i="9"/>
  <c r="F25454" i="9"/>
  <c r="H25454" i="9"/>
  <c r="F25455" i="9"/>
  <c r="H25455" i="9"/>
  <c r="F25456" i="9"/>
  <c r="H25456" i="9"/>
  <c r="F25457" i="9"/>
  <c r="H25457" i="9"/>
  <c r="F25458" i="9"/>
  <c r="H25458" i="9"/>
  <c r="F25459" i="9"/>
  <c r="H25459" i="9"/>
  <c r="F25460" i="9"/>
  <c r="H25460" i="9"/>
  <c r="F25461" i="9"/>
  <c r="H25461" i="9"/>
  <c r="F25462" i="9"/>
  <c r="H25462" i="9"/>
  <c r="F25463" i="9"/>
  <c r="H25463" i="9"/>
  <c r="F25464" i="9"/>
  <c r="H25464" i="9"/>
  <c r="F25465" i="9"/>
  <c r="H25465" i="9"/>
  <c r="F25466" i="9"/>
  <c r="H25466" i="9"/>
  <c r="F25467" i="9"/>
  <c r="H25467" i="9"/>
  <c r="F25468" i="9"/>
  <c r="H25468" i="9"/>
  <c r="F25469" i="9"/>
  <c r="H25469" i="9"/>
  <c r="F25470" i="9"/>
  <c r="H25470" i="9"/>
  <c r="F25471" i="9"/>
  <c r="H25471" i="9"/>
  <c r="F25472" i="9"/>
  <c r="H25472" i="9"/>
  <c r="F25473" i="9"/>
  <c r="H25473" i="9"/>
  <c r="F25474" i="9"/>
  <c r="H25474" i="9"/>
  <c r="F25475" i="9"/>
  <c r="H25475" i="9"/>
  <c r="F25476" i="9"/>
  <c r="H25476" i="9"/>
  <c r="F25477" i="9"/>
  <c r="H25477" i="9"/>
  <c r="F25478" i="9"/>
  <c r="H25478" i="9"/>
  <c r="F25479" i="9"/>
  <c r="H25479" i="9"/>
  <c r="F25480" i="9"/>
  <c r="H25480" i="9"/>
  <c r="F25481" i="9"/>
  <c r="H25481" i="9"/>
  <c r="F25482" i="9"/>
  <c r="H25482" i="9"/>
  <c r="F25483" i="9"/>
  <c r="H25483" i="9"/>
  <c r="F25484" i="9"/>
  <c r="H25484" i="9"/>
  <c r="F25485" i="9"/>
  <c r="H25485" i="9"/>
  <c r="F25486" i="9"/>
  <c r="H25486" i="9"/>
  <c r="F25487" i="9"/>
  <c r="H25487" i="9"/>
  <c r="F25488" i="9"/>
  <c r="H25488" i="9"/>
  <c r="F25489" i="9"/>
  <c r="H25489" i="9"/>
  <c r="F25490" i="9"/>
  <c r="H25490" i="9"/>
  <c r="F25491" i="9"/>
  <c r="H25491" i="9"/>
  <c r="F25492" i="9"/>
  <c r="H25492" i="9"/>
  <c r="F25493" i="9"/>
  <c r="H25493" i="9"/>
  <c r="F25494" i="9"/>
  <c r="H25494" i="9"/>
  <c r="F25495" i="9"/>
  <c r="H25495" i="9"/>
  <c r="F25496" i="9"/>
  <c r="H25496" i="9"/>
  <c r="F25497" i="9"/>
  <c r="H25497" i="9"/>
  <c r="F25498" i="9"/>
  <c r="H25498" i="9"/>
  <c r="F25499" i="9"/>
  <c r="H25499" i="9"/>
  <c r="F25500" i="9"/>
  <c r="H25500" i="9"/>
  <c r="F25501" i="9"/>
  <c r="H25501" i="9"/>
  <c r="F25502" i="9"/>
  <c r="H25502" i="9"/>
  <c r="F25503" i="9"/>
  <c r="H25503" i="9"/>
  <c r="F25504" i="9"/>
  <c r="H25504" i="9"/>
  <c r="F25505" i="9"/>
  <c r="H25505" i="9"/>
  <c r="F25506" i="9"/>
  <c r="H25506" i="9"/>
  <c r="F25507" i="9"/>
  <c r="H25507" i="9"/>
  <c r="F25508" i="9"/>
  <c r="H25508" i="9"/>
  <c r="F25509" i="9"/>
  <c r="H25509" i="9"/>
  <c r="F25510" i="9"/>
  <c r="H25510" i="9"/>
  <c r="F25511" i="9"/>
  <c r="H25511" i="9"/>
  <c r="F25512" i="9"/>
  <c r="H25512" i="9"/>
  <c r="F25513" i="9"/>
  <c r="H25513" i="9"/>
  <c r="F25514" i="9"/>
  <c r="H25514" i="9"/>
  <c r="F25515" i="9"/>
  <c r="H25515" i="9"/>
  <c r="F25516" i="9"/>
  <c r="H25516" i="9"/>
  <c r="F25517" i="9"/>
  <c r="H25517" i="9"/>
  <c r="F25518" i="9"/>
  <c r="H25518" i="9"/>
  <c r="F25519" i="9"/>
  <c r="H25519" i="9"/>
  <c r="F25520" i="9"/>
  <c r="H25520" i="9"/>
  <c r="F25521" i="9"/>
  <c r="H25521" i="9"/>
  <c r="F25522" i="9"/>
  <c r="H25522" i="9"/>
  <c r="F25523" i="9"/>
  <c r="H25523" i="9"/>
  <c r="F25524" i="9"/>
  <c r="H25524" i="9"/>
  <c r="F25525" i="9"/>
  <c r="H25525" i="9"/>
  <c r="F25526" i="9"/>
  <c r="H25526" i="9"/>
  <c r="F25527" i="9"/>
  <c r="H25527" i="9"/>
  <c r="F25528" i="9"/>
  <c r="H25528" i="9"/>
  <c r="F25529" i="9"/>
  <c r="H25529" i="9"/>
  <c r="F25530" i="9"/>
  <c r="H25530" i="9"/>
  <c r="F25531" i="9"/>
  <c r="H25531" i="9"/>
  <c r="F25532" i="9"/>
  <c r="H25532" i="9"/>
  <c r="F25533" i="9"/>
  <c r="H25533" i="9"/>
  <c r="F25534" i="9"/>
  <c r="H25534" i="9"/>
  <c r="F25535" i="9"/>
  <c r="H25535" i="9"/>
  <c r="F25536" i="9"/>
  <c r="H25536" i="9"/>
  <c r="F25537" i="9"/>
  <c r="H25537" i="9"/>
  <c r="F25538" i="9"/>
  <c r="H25538" i="9"/>
  <c r="F25539" i="9"/>
  <c r="H25539" i="9"/>
  <c r="F25540" i="9"/>
  <c r="H25540" i="9"/>
  <c r="F25541" i="9"/>
  <c r="H25541" i="9"/>
  <c r="F25542" i="9"/>
  <c r="H25542" i="9"/>
  <c r="F25543" i="9"/>
  <c r="H25543" i="9"/>
  <c r="F25544" i="9"/>
  <c r="H25544" i="9"/>
  <c r="F25545" i="9"/>
  <c r="H25545" i="9"/>
  <c r="F25546" i="9"/>
  <c r="H25546" i="9"/>
  <c r="F25547" i="9"/>
  <c r="H25547" i="9"/>
  <c r="F25548" i="9"/>
  <c r="H25548" i="9"/>
  <c r="F25549" i="9"/>
  <c r="H25549" i="9"/>
  <c r="F25550" i="9"/>
  <c r="H25550" i="9"/>
  <c r="F25551" i="9"/>
  <c r="H25551" i="9"/>
  <c r="F25552" i="9"/>
  <c r="H25552" i="9"/>
  <c r="F25553" i="9"/>
  <c r="H25553" i="9"/>
  <c r="F25554" i="9"/>
  <c r="H25554" i="9"/>
  <c r="F25555" i="9"/>
  <c r="H25555" i="9"/>
  <c r="F25556" i="9"/>
  <c r="H25556" i="9"/>
  <c r="F25557" i="9"/>
  <c r="H25557" i="9"/>
  <c r="F25558" i="9"/>
  <c r="H25558" i="9"/>
  <c r="F25559" i="9"/>
  <c r="H25559" i="9"/>
  <c r="F25560" i="9"/>
  <c r="H25560" i="9"/>
  <c r="F25561" i="9"/>
  <c r="H25561" i="9"/>
  <c r="F25562" i="9"/>
  <c r="H25562" i="9"/>
  <c r="F25563" i="9"/>
  <c r="H25563" i="9"/>
  <c r="F25564" i="9"/>
  <c r="H25564" i="9"/>
  <c r="F25565" i="9"/>
  <c r="H25565" i="9"/>
  <c r="F25566" i="9"/>
  <c r="H25566" i="9"/>
  <c r="F25567" i="9"/>
  <c r="H25567" i="9"/>
  <c r="F25568" i="9"/>
  <c r="H25568" i="9"/>
  <c r="F25569" i="9"/>
  <c r="H25569" i="9"/>
  <c r="F25570" i="9"/>
  <c r="H25570" i="9"/>
  <c r="F25571" i="9"/>
  <c r="H25571" i="9"/>
  <c r="F25572" i="9"/>
  <c r="H25572" i="9"/>
  <c r="F25573" i="9"/>
  <c r="H25573" i="9"/>
  <c r="F25574" i="9"/>
  <c r="H25574" i="9"/>
  <c r="F25575" i="9"/>
  <c r="H25575" i="9"/>
  <c r="F25576" i="9"/>
  <c r="H25576" i="9"/>
  <c r="F25577" i="9"/>
  <c r="H25577" i="9"/>
  <c r="F25578" i="9"/>
  <c r="H25578" i="9"/>
  <c r="F25579" i="9"/>
  <c r="H25579" i="9"/>
  <c r="F25580" i="9"/>
  <c r="H25580" i="9"/>
  <c r="F25581" i="9"/>
  <c r="H25581" i="9"/>
  <c r="F25582" i="9"/>
  <c r="H25582" i="9"/>
  <c r="F25583" i="9"/>
  <c r="H25583" i="9"/>
  <c r="F25584" i="9"/>
  <c r="H25584" i="9"/>
  <c r="F25585" i="9"/>
  <c r="H25585" i="9"/>
  <c r="F25586" i="9"/>
  <c r="H25586" i="9"/>
  <c r="F25587" i="9"/>
  <c r="H25587" i="9"/>
  <c r="F25588" i="9"/>
  <c r="H25588" i="9"/>
  <c r="F25589" i="9"/>
  <c r="H25589" i="9"/>
  <c r="F25590" i="9"/>
  <c r="H25590" i="9"/>
  <c r="F25591" i="9"/>
  <c r="H25591" i="9"/>
  <c r="F25592" i="9"/>
  <c r="H25592" i="9"/>
  <c r="F25593" i="9"/>
  <c r="H25593" i="9"/>
  <c r="F25594" i="9"/>
  <c r="H25594" i="9"/>
  <c r="F25595" i="9"/>
  <c r="H25595" i="9"/>
  <c r="F25596" i="9"/>
  <c r="H25596" i="9"/>
  <c r="F25597" i="9"/>
  <c r="H25597" i="9"/>
  <c r="F25598" i="9"/>
  <c r="H25598" i="9"/>
  <c r="F25599" i="9"/>
  <c r="H25599" i="9"/>
  <c r="F25600" i="9"/>
  <c r="H25600" i="9"/>
  <c r="F25601" i="9"/>
  <c r="H25601" i="9"/>
  <c r="F25602" i="9"/>
  <c r="H25602" i="9"/>
  <c r="F25603" i="9"/>
  <c r="H25603" i="9"/>
  <c r="F25604" i="9"/>
  <c r="H25604" i="9"/>
  <c r="F25605" i="9"/>
  <c r="H25605" i="9"/>
  <c r="F25606" i="9"/>
  <c r="H25606" i="9"/>
  <c r="F25607" i="9"/>
  <c r="H25607" i="9"/>
  <c r="F25608" i="9"/>
  <c r="H25608" i="9"/>
  <c r="F25609" i="9"/>
  <c r="H25609" i="9"/>
  <c r="F25610" i="9"/>
  <c r="H25610" i="9"/>
  <c r="F25611" i="9"/>
  <c r="H25611" i="9"/>
  <c r="F25612" i="9"/>
  <c r="H25612" i="9"/>
  <c r="F25613" i="9"/>
  <c r="H25613" i="9"/>
  <c r="F25614" i="9"/>
  <c r="H25614" i="9"/>
  <c r="F25615" i="9"/>
  <c r="H25615" i="9"/>
  <c r="F25616" i="9"/>
  <c r="H25616" i="9"/>
  <c r="F25617" i="9"/>
  <c r="H25617" i="9"/>
  <c r="F25618" i="9"/>
  <c r="H25618" i="9"/>
  <c r="F25619" i="9"/>
  <c r="H25619" i="9"/>
  <c r="F25620" i="9"/>
  <c r="H25620" i="9"/>
  <c r="F25621" i="9"/>
  <c r="H25621" i="9"/>
  <c r="F25622" i="9"/>
  <c r="H25622" i="9"/>
  <c r="F25623" i="9"/>
  <c r="H25623" i="9"/>
  <c r="F25624" i="9"/>
  <c r="H25624" i="9"/>
  <c r="F25625" i="9"/>
  <c r="H25625" i="9"/>
  <c r="F25626" i="9"/>
  <c r="H25626" i="9"/>
  <c r="F25627" i="9"/>
  <c r="H25627" i="9"/>
  <c r="F25628" i="9"/>
  <c r="H25628" i="9"/>
  <c r="F25629" i="9"/>
  <c r="H25629" i="9"/>
  <c r="F25630" i="9"/>
  <c r="H25630" i="9"/>
  <c r="F25631" i="9"/>
  <c r="H25631" i="9"/>
  <c r="F25632" i="9"/>
  <c r="H25632" i="9"/>
  <c r="F25633" i="9"/>
  <c r="H25633" i="9"/>
  <c r="F25634" i="9"/>
  <c r="H25634" i="9"/>
  <c r="F25635" i="9"/>
  <c r="H25635" i="9"/>
  <c r="F25636" i="9"/>
  <c r="H25636" i="9"/>
  <c r="F25637" i="9"/>
  <c r="H25637" i="9"/>
  <c r="F25638" i="9"/>
  <c r="H25638" i="9"/>
  <c r="F25639" i="9"/>
  <c r="H25639" i="9"/>
  <c r="F25640" i="9"/>
  <c r="H25640" i="9"/>
  <c r="F25641" i="9"/>
  <c r="H25641" i="9"/>
  <c r="F25642" i="9"/>
  <c r="H25642" i="9"/>
  <c r="F25643" i="9"/>
  <c r="H25643" i="9"/>
  <c r="F25644" i="9"/>
  <c r="H25644" i="9"/>
  <c r="F25645" i="9"/>
  <c r="H25645" i="9"/>
  <c r="F25646" i="9"/>
  <c r="H25646" i="9"/>
  <c r="F25647" i="9"/>
  <c r="H25647" i="9"/>
  <c r="F25648" i="9"/>
  <c r="H25648" i="9"/>
  <c r="F25649" i="9"/>
  <c r="H25649" i="9"/>
  <c r="F25650" i="9"/>
  <c r="H25650" i="9"/>
  <c r="F25651" i="9"/>
  <c r="H25651" i="9"/>
  <c r="F25652" i="9"/>
  <c r="H25652" i="9"/>
  <c r="F25653" i="9"/>
  <c r="H25653" i="9"/>
  <c r="F25654" i="9"/>
  <c r="H25654" i="9"/>
  <c r="F25655" i="9"/>
  <c r="H25655" i="9"/>
  <c r="F25656" i="9"/>
  <c r="H25656" i="9"/>
  <c r="F25657" i="9"/>
  <c r="H25657" i="9"/>
  <c r="F25658" i="9"/>
  <c r="H25658" i="9"/>
  <c r="F25659" i="9"/>
  <c r="H25659" i="9"/>
  <c r="F25660" i="9"/>
  <c r="H25660" i="9"/>
  <c r="F25661" i="9"/>
  <c r="H25661" i="9"/>
  <c r="F25662" i="9"/>
  <c r="H25662" i="9"/>
  <c r="F25663" i="9"/>
  <c r="H25663" i="9"/>
  <c r="F25664" i="9"/>
  <c r="H25664" i="9"/>
  <c r="F25665" i="9"/>
  <c r="H25665" i="9"/>
  <c r="F25666" i="9"/>
  <c r="H25666" i="9"/>
  <c r="F25667" i="9"/>
  <c r="H25667" i="9"/>
  <c r="F25668" i="9"/>
  <c r="H25668" i="9"/>
  <c r="F25669" i="9"/>
  <c r="H25669" i="9"/>
  <c r="F25670" i="9"/>
  <c r="H25670" i="9"/>
  <c r="F25671" i="9"/>
  <c r="H25671" i="9"/>
  <c r="F25672" i="9"/>
  <c r="H25672" i="9"/>
  <c r="F25673" i="9"/>
  <c r="H25673" i="9"/>
  <c r="F25674" i="9"/>
  <c r="H25674" i="9"/>
  <c r="F25675" i="9"/>
  <c r="H25675" i="9"/>
  <c r="F25676" i="9"/>
  <c r="H25676" i="9"/>
  <c r="F25677" i="9"/>
  <c r="H25677" i="9"/>
  <c r="F25678" i="9"/>
  <c r="H25678" i="9"/>
  <c r="F25679" i="9"/>
  <c r="H25679" i="9"/>
  <c r="F25680" i="9"/>
  <c r="H25680" i="9"/>
  <c r="F25681" i="9"/>
  <c r="H25681" i="9"/>
  <c r="F25682" i="9"/>
  <c r="H25682" i="9"/>
  <c r="F25683" i="9"/>
  <c r="H25683" i="9"/>
  <c r="F25684" i="9"/>
  <c r="H25684" i="9"/>
  <c r="F25685" i="9"/>
  <c r="H25685" i="9"/>
  <c r="F25686" i="9"/>
  <c r="H25686" i="9"/>
  <c r="F25687" i="9"/>
  <c r="H25687" i="9"/>
  <c r="F25688" i="9"/>
  <c r="H25688" i="9"/>
  <c r="F25689" i="9"/>
  <c r="H25689" i="9"/>
  <c r="F25690" i="9"/>
  <c r="H25690" i="9"/>
  <c r="F25691" i="9"/>
  <c r="H25691" i="9"/>
  <c r="F25692" i="9"/>
  <c r="H25692" i="9"/>
  <c r="F25693" i="9"/>
  <c r="H25693" i="9"/>
  <c r="F25694" i="9"/>
  <c r="H25694" i="9"/>
  <c r="F25695" i="9"/>
  <c r="H25695" i="9"/>
  <c r="F25696" i="9"/>
  <c r="H25696" i="9"/>
  <c r="F25697" i="9"/>
  <c r="H25697" i="9"/>
  <c r="F25698" i="9"/>
  <c r="H25698" i="9"/>
  <c r="F25699" i="9"/>
  <c r="H25699" i="9"/>
  <c r="F25700" i="9"/>
  <c r="H25700" i="9"/>
  <c r="F25701" i="9"/>
  <c r="H25701" i="9"/>
  <c r="F25702" i="9"/>
  <c r="H25702" i="9"/>
  <c r="F25703" i="9"/>
  <c r="H25703" i="9"/>
  <c r="F25704" i="9"/>
  <c r="H25704" i="9"/>
  <c r="F25705" i="9"/>
  <c r="H25705" i="9"/>
  <c r="F25706" i="9"/>
  <c r="H25706" i="9"/>
  <c r="F25707" i="9"/>
  <c r="H25707" i="9"/>
  <c r="F25708" i="9"/>
  <c r="H25708" i="9"/>
  <c r="F25709" i="9"/>
  <c r="H25709" i="9"/>
  <c r="F25710" i="9"/>
  <c r="H25710" i="9"/>
  <c r="F25711" i="9"/>
  <c r="H25711" i="9"/>
  <c r="F25712" i="9"/>
  <c r="H25712" i="9"/>
  <c r="F25713" i="9"/>
  <c r="H25713" i="9"/>
  <c r="F25714" i="9"/>
  <c r="H25714" i="9"/>
  <c r="F25715" i="9"/>
  <c r="H25715" i="9"/>
  <c r="F25716" i="9"/>
  <c r="H25716" i="9"/>
  <c r="F25717" i="9"/>
  <c r="H25717" i="9"/>
  <c r="F25718" i="9"/>
  <c r="H25718" i="9"/>
  <c r="F25719" i="9"/>
  <c r="H25719" i="9"/>
  <c r="F25720" i="9"/>
  <c r="H25720" i="9"/>
  <c r="F25721" i="9"/>
  <c r="H25721" i="9"/>
  <c r="F25722" i="9"/>
  <c r="H25722" i="9"/>
  <c r="F25723" i="9"/>
  <c r="H25723" i="9"/>
  <c r="F25724" i="9"/>
  <c r="H25724" i="9"/>
  <c r="F25725" i="9"/>
  <c r="H25725" i="9"/>
  <c r="F25726" i="9"/>
  <c r="H25726" i="9"/>
  <c r="F25727" i="9"/>
  <c r="H25727" i="9"/>
  <c r="F25728" i="9"/>
  <c r="H25728" i="9"/>
  <c r="F25729" i="9"/>
  <c r="H25729" i="9"/>
  <c r="F25730" i="9"/>
  <c r="H25730" i="9"/>
  <c r="F25731" i="9"/>
  <c r="H25731" i="9"/>
  <c r="F25732" i="9"/>
  <c r="H25732" i="9"/>
  <c r="F25733" i="9"/>
  <c r="H25733" i="9"/>
  <c r="F25734" i="9"/>
  <c r="H25734" i="9"/>
  <c r="F25735" i="9"/>
  <c r="H25735" i="9"/>
  <c r="F25736" i="9"/>
  <c r="H25736" i="9"/>
  <c r="F25737" i="9"/>
  <c r="H25737" i="9"/>
  <c r="F25738" i="9"/>
  <c r="H25738" i="9"/>
  <c r="F25739" i="9"/>
  <c r="H25739" i="9"/>
  <c r="F25740" i="9"/>
  <c r="H25740" i="9"/>
  <c r="F25741" i="9"/>
  <c r="H25741" i="9"/>
  <c r="F25742" i="9"/>
  <c r="H25742" i="9"/>
  <c r="F25743" i="9"/>
  <c r="H25743" i="9"/>
  <c r="F25744" i="9"/>
  <c r="H25744" i="9"/>
  <c r="F25745" i="9"/>
  <c r="H25745" i="9"/>
  <c r="F25746" i="9"/>
  <c r="H25746" i="9"/>
  <c r="F25747" i="9"/>
  <c r="H25747" i="9"/>
  <c r="F25748" i="9"/>
  <c r="H25748" i="9"/>
  <c r="F25749" i="9"/>
  <c r="H25749" i="9"/>
  <c r="F25750" i="9"/>
  <c r="H25750" i="9"/>
  <c r="F25751" i="9"/>
  <c r="H25751" i="9"/>
  <c r="F25752" i="9"/>
  <c r="H25752" i="9"/>
  <c r="F25753" i="9"/>
  <c r="H25753" i="9"/>
  <c r="F25754" i="9"/>
  <c r="H25754" i="9"/>
  <c r="F25755" i="9"/>
  <c r="H25755" i="9"/>
  <c r="F25756" i="9"/>
  <c r="H25756" i="9"/>
  <c r="F25757" i="9"/>
  <c r="H25757" i="9"/>
  <c r="F25758" i="9"/>
  <c r="H25758" i="9"/>
  <c r="F25759" i="9"/>
  <c r="H25759" i="9"/>
  <c r="F25760" i="9"/>
  <c r="H25760" i="9"/>
  <c r="F25761" i="9"/>
  <c r="H25761" i="9"/>
  <c r="F25762" i="9"/>
  <c r="H25762" i="9"/>
  <c r="F25763" i="9"/>
  <c r="H25763" i="9"/>
  <c r="F25764" i="9"/>
  <c r="H25764" i="9"/>
  <c r="F25765" i="9"/>
  <c r="H25765" i="9"/>
  <c r="F25766" i="9"/>
  <c r="H25766" i="9"/>
  <c r="F25767" i="9"/>
  <c r="H25767" i="9"/>
  <c r="F25768" i="9"/>
  <c r="H25768" i="9"/>
  <c r="F25769" i="9"/>
  <c r="H25769" i="9"/>
  <c r="F25770" i="9"/>
  <c r="H25770" i="9"/>
  <c r="F25771" i="9"/>
  <c r="H25771" i="9"/>
  <c r="F25772" i="9"/>
  <c r="H25772" i="9"/>
  <c r="F25773" i="9"/>
  <c r="H25773" i="9"/>
  <c r="F25774" i="9"/>
  <c r="H25774" i="9"/>
  <c r="F25775" i="9"/>
  <c r="H25775" i="9"/>
  <c r="F25776" i="9"/>
  <c r="H25776" i="9"/>
  <c r="F25777" i="9"/>
  <c r="H25777" i="9"/>
  <c r="F25778" i="9"/>
  <c r="H25778" i="9"/>
  <c r="F25779" i="9"/>
  <c r="H25779" i="9"/>
  <c r="F25780" i="9"/>
  <c r="H25780" i="9"/>
  <c r="F25781" i="9"/>
  <c r="H25781" i="9"/>
  <c r="F25782" i="9"/>
  <c r="H25782" i="9"/>
  <c r="F25783" i="9"/>
  <c r="H25783" i="9"/>
  <c r="F25784" i="9"/>
  <c r="H25784" i="9"/>
  <c r="F25785" i="9"/>
  <c r="H25785" i="9"/>
  <c r="F25786" i="9"/>
  <c r="H25786" i="9"/>
  <c r="F25787" i="9"/>
  <c r="H25787" i="9"/>
  <c r="F25788" i="9"/>
  <c r="H25788" i="9"/>
  <c r="F25789" i="9"/>
  <c r="H25789" i="9"/>
  <c r="F25790" i="9"/>
  <c r="H25790" i="9"/>
  <c r="F25791" i="9"/>
  <c r="H25791" i="9"/>
  <c r="F25792" i="9"/>
  <c r="H25792" i="9"/>
  <c r="F25793" i="9"/>
  <c r="H25793" i="9"/>
  <c r="F25794" i="9"/>
  <c r="H25794" i="9"/>
  <c r="F25795" i="9"/>
  <c r="H25795" i="9"/>
  <c r="F25796" i="9"/>
  <c r="H25796" i="9"/>
  <c r="F25797" i="9"/>
  <c r="H25797" i="9"/>
  <c r="F25798" i="9"/>
  <c r="H25798" i="9"/>
  <c r="F25799" i="9"/>
  <c r="H25799" i="9"/>
  <c r="F25800" i="9"/>
  <c r="H25800" i="9"/>
  <c r="F25801" i="9"/>
  <c r="H25801" i="9"/>
  <c r="F25802" i="9"/>
  <c r="H25802" i="9"/>
  <c r="F25803" i="9"/>
  <c r="H25803" i="9"/>
  <c r="F25804" i="9"/>
  <c r="H25804" i="9"/>
  <c r="F25805" i="9"/>
  <c r="H25805" i="9"/>
  <c r="F25806" i="9"/>
  <c r="H25806" i="9"/>
  <c r="F25807" i="9"/>
  <c r="H25807" i="9"/>
  <c r="F25808" i="9"/>
  <c r="H25808" i="9"/>
  <c r="F25809" i="9"/>
  <c r="H25809" i="9"/>
  <c r="F25810" i="9"/>
  <c r="H25810" i="9"/>
  <c r="F25811" i="9"/>
  <c r="H25811" i="9"/>
  <c r="F25812" i="9"/>
  <c r="H25812" i="9"/>
  <c r="F25813" i="9"/>
  <c r="H25813" i="9"/>
  <c r="F25814" i="9"/>
  <c r="H25814" i="9"/>
  <c r="F25815" i="9"/>
  <c r="H25815" i="9"/>
  <c r="F25816" i="9"/>
  <c r="H25816" i="9"/>
  <c r="F25817" i="9"/>
  <c r="H25817" i="9"/>
  <c r="F25818" i="9"/>
  <c r="H25818" i="9"/>
  <c r="F25819" i="9"/>
  <c r="H25819" i="9"/>
  <c r="F25820" i="9"/>
  <c r="H25820" i="9"/>
  <c r="F25821" i="9"/>
  <c r="H25821" i="9"/>
  <c r="F25822" i="9"/>
  <c r="H25822" i="9"/>
  <c r="F25823" i="9"/>
  <c r="H25823" i="9"/>
  <c r="F25824" i="9"/>
  <c r="H25824" i="9"/>
  <c r="F25825" i="9"/>
  <c r="H25825" i="9"/>
  <c r="F25826" i="9"/>
  <c r="H25826" i="9"/>
  <c r="F25827" i="9"/>
  <c r="H25827" i="9"/>
  <c r="F25828" i="9"/>
  <c r="H25828" i="9"/>
  <c r="F25829" i="9"/>
  <c r="H25829" i="9"/>
  <c r="F25830" i="9"/>
  <c r="H25830" i="9"/>
  <c r="F25831" i="9"/>
  <c r="H25831" i="9"/>
  <c r="F25832" i="9"/>
  <c r="H25832" i="9"/>
  <c r="F25833" i="9"/>
  <c r="H25833" i="9"/>
  <c r="F25834" i="9"/>
  <c r="H25834" i="9"/>
  <c r="F25835" i="9"/>
  <c r="H25835" i="9"/>
  <c r="F25836" i="9"/>
  <c r="H25836" i="9"/>
  <c r="F25837" i="9"/>
  <c r="H25837" i="9"/>
  <c r="F25838" i="9"/>
  <c r="H25838" i="9"/>
  <c r="F25839" i="9"/>
  <c r="H25839" i="9"/>
  <c r="F25840" i="9"/>
  <c r="H25840" i="9"/>
  <c r="F25841" i="9"/>
  <c r="H25841" i="9"/>
  <c r="F25842" i="9"/>
  <c r="H25842" i="9"/>
  <c r="F25843" i="9"/>
  <c r="H25843" i="9"/>
  <c r="F25844" i="9"/>
  <c r="H25844" i="9"/>
  <c r="F25845" i="9"/>
  <c r="H25845" i="9"/>
  <c r="F25846" i="9"/>
  <c r="H25846" i="9"/>
  <c r="F25847" i="9"/>
  <c r="H25847" i="9"/>
  <c r="F25848" i="9"/>
  <c r="H25848" i="9"/>
  <c r="F25849" i="9"/>
  <c r="H25849" i="9"/>
  <c r="F25850" i="9"/>
  <c r="H25850" i="9"/>
  <c r="F25851" i="9"/>
  <c r="H25851" i="9"/>
  <c r="F25852" i="9"/>
  <c r="H25852" i="9"/>
  <c r="F25853" i="9"/>
  <c r="H25853" i="9"/>
  <c r="F25854" i="9"/>
  <c r="H25854" i="9"/>
  <c r="F25855" i="9"/>
  <c r="H25855" i="9"/>
  <c r="F25856" i="9"/>
  <c r="H25856" i="9"/>
  <c r="F25857" i="9"/>
  <c r="H25857" i="9"/>
  <c r="F25858" i="9"/>
  <c r="H25858" i="9"/>
  <c r="F25859" i="9"/>
  <c r="H25859" i="9"/>
  <c r="F25860" i="9"/>
  <c r="H25860" i="9"/>
  <c r="F25861" i="9"/>
  <c r="H25861" i="9"/>
  <c r="F25862" i="9"/>
  <c r="H25862" i="9"/>
  <c r="F25863" i="9"/>
  <c r="H25863" i="9"/>
  <c r="F25864" i="9"/>
  <c r="H25864" i="9"/>
  <c r="F25865" i="9"/>
  <c r="H25865" i="9"/>
  <c r="F25866" i="9"/>
  <c r="H25866" i="9"/>
  <c r="F25867" i="9"/>
  <c r="H25867" i="9"/>
  <c r="F25868" i="9"/>
  <c r="H25868" i="9"/>
  <c r="F25869" i="9"/>
  <c r="H25869" i="9"/>
  <c r="F25870" i="9"/>
  <c r="H25870" i="9"/>
  <c r="F25871" i="9"/>
  <c r="H25871" i="9"/>
  <c r="F25872" i="9"/>
  <c r="H25872" i="9"/>
  <c r="F25873" i="9"/>
  <c r="H25873" i="9"/>
  <c r="F25874" i="9"/>
  <c r="H25874" i="9"/>
  <c r="F25875" i="9"/>
  <c r="H25875" i="9"/>
  <c r="F25876" i="9"/>
  <c r="H25876" i="9"/>
  <c r="F25877" i="9"/>
  <c r="H25877" i="9"/>
  <c r="F25878" i="9"/>
  <c r="H25878" i="9"/>
  <c r="F25879" i="9"/>
  <c r="H25879" i="9"/>
  <c r="F25880" i="9"/>
  <c r="H25880" i="9"/>
  <c r="F25881" i="9"/>
  <c r="H25881" i="9"/>
  <c r="F25882" i="9"/>
  <c r="H25882" i="9"/>
  <c r="F25883" i="9"/>
  <c r="H25883" i="9"/>
  <c r="F25884" i="9"/>
  <c r="H25884" i="9"/>
  <c r="F25885" i="9"/>
  <c r="H25885" i="9"/>
  <c r="F25886" i="9"/>
  <c r="H25886" i="9"/>
  <c r="F25887" i="9"/>
  <c r="H25887" i="9"/>
  <c r="F25888" i="9"/>
  <c r="H25888" i="9"/>
  <c r="F25889" i="9"/>
  <c r="H25889" i="9"/>
  <c r="F25890" i="9"/>
  <c r="H25890" i="9"/>
  <c r="F25891" i="9"/>
  <c r="H25891" i="9"/>
  <c r="F25892" i="9"/>
  <c r="H25892" i="9"/>
  <c r="F25893" i="9"/>
  <c r="H25893" i="9"/>
  <c r="F25894" i="9"/>
  <c r="H25894" i="9"/>
  <c r="F25895" i="9"/>
  <c r="H25895" i="9"/>
  <c r="F25896" i="9"/>
  <c r="H25896" i="9"/>
  <c r="F25897" i="9"/>
  <c r="H25897" i="9"/>
  <c r="F25898" i="9"/>
  <c r="H25898" i="9"/>
  <c r="F25899" i="9"/>
  <c r="H25899" i="9"/>
  <c r="F25900" i="9"/>
  <c r="H25900" i="9"/>
  <c r="F25901" i="9"/>
  <c r="H25901" i="9"/>
  <c r="F25902" i="9"/>
  <c r="H25902" i="9"/>
  <c r="F25903" i="9"/>
  <c r="H25903" i="9"/>
  <c r="F25904" i="9"/>
  <c r="H25904" i="9"/>
  <c r="F25905" i="9"/>
  <c r="H25905" i="9"/>
  <c r="F25906" i="9"/>
  <c r="H25906" i="9"/>
  <c r="F25907" i="9"/>
  <c r="H25907" i="9"/>
  <c r="F25908" i="9"/>
  <c r="H25908" i="9"/>
  <c r="F25909" i="9"/>
  <c r="H25909" i="9"/>
  <c r="F25910" i="9"/>
  <c r="H25910" i="9"/>
  <c r="F25911" i="9"/>
  <c r="H25911" i="9"/>
  <c r="F25912" i="9"/>
  <c r="H25912" i="9"/>
  <c r="F25913" i="9"/>
  <c r="H25913" i="9"/>
  <c r="F25914" i="9"/>
  <c r="H25914" i="9"/>
  <c r="F25915" i="9"/>
  <c r="H25915" i="9"/>
  <c r="F25916" i="9"/>
  <c r="H25916" i="9"/>
  <c r="F25917" i="9"/>
  <c r="H25917" i="9"/>
  <c r="F25918" i="9"/>
  <c r="H25918" i="9"/>
  <c r="F25919" i="9"/>
  <c r="H25919" i="9"/>
  <c r="F25920" i="9"/>
  <c r="H25920" i="9"/>
  <c r="F25921" i="9"/>
  <c r="H25921" i="9"/>
  <c r="F25922" i="9"/>
  <c r="H25922" i="9"/>
  <c r="F25923" i="9"/>
  <c r="H25923" i="9"/>
  <c r="F25924" i="9"/>
  <c r="H25924" i="9"/>
  <c r="F25925" i="9"/>
  <c r="H25925" i="9"/>
  <c r="F25926" i="9"/>
  <c r="H25926" i="9"/>
  <c r="F25927" i="9"/>
  <c r="H25927" i="9"/>
  <c r="F25928" i="9"/>
  <c r="H25928" i="9"/>
  <c r="F25929" i="9"/>
  <c r="H25929" i="9"/>
  <c r="F25930" i="9"/>
  <c r="H25930" i="9"/>
  <c r="F25931" i="9"/>
  <c r="H25931" i="9"/>
  <c r="F25932" i="9"/>
  <c r="H25932" i="9"/>
  <c r="F25933" i="9"/>
  <c r="H25933" i="9"/>
  <c r="F25934" i="9"/>
  <c r="H25934" i="9"/>
  <c r="F25935" i="9"/>
  <c r="H25935" i="9"/>
  <c r="F25936" i="9"/>
  <c r="H25936" i="9"/>
  <c r="F25937" i="9"/>
  <c r="H25937" i="9"/>
  <c r="F25938" i="9"/>
  <c r="H25938" i="9"/>
  <c r="F25939" i="9"/>
  <c r="H25939" i="9"/>
  <c r="F25940" i="9"/>
  <c r="H25940" i="9"/>
  <c r="F25941" i="9"/>
  <c r="H25941" i="9"/>
  <c r="F25942" i="9"/>
  <c r="H25942" i="9"/>
  <c r="F25943" i="9"/>
  <c r="H25943" i="9"/>
  <c r="F25944" i="9"/>
  <c r="H25944" i="9"/>
  <c r="F25945" i="9"/>
  <c r="H25945" i="9"/>
  <c r="F25946" i="9"/>
  <c r="H25946" i="9"/>
  <c r="F25947" i="9"/>
  <c r="H25947" i="9"/>
  <c r="F25948" i="9"/>
  <c r="H25948" i="9"/>
  <c r="F25949" i="9"/>
  <c r="H25949" i="9"/>
  <c r="F25950" i="9"/>
  <c r="H25950" i="9"/>
  <c r="F25951" i="9"/>
  <c r="H25951" i="9"/>
  <c r="F25952" i="9"/>
  <c r="H25952" i="9"/>
  <c r="F25953" i="9"/>
  <c r="H25953" i="9"/>
  <c r="F25954" i="9"/>
  <c r="H25954" i="9"/>
  <c r="F25955" i="9"/>
  <c r="H25955" i="9"/>
  <c r="F25956" i="9"/>
  <c r="H25956" i="9"/>
  <c r="F25957" i="9"/>
  <c r="H25957" i="9"/>
  <c r="F25958" i="9"/>
  <c r="H25958" i="9"/>
  <c r="F25959" i="9"/>
  <c r="H25959" i="9"/>
  <c r="F25960" i="9"/>
  <c r="H25960" i="9"/>
  <c r="F25961" i="9"/>
  <c r="H25961" i="9"/>
  <c r="F25962" i="9"/>
  <c r="H25962" i="9"/>
  <c r="F25963" i="9"/>
  <c r="H25963" i="9"/>
  <c r="F25964" i="9"/>
  <c r="H25964" i="9"/>
  <c r="F25965" i="9"/>
  <c r="H25965" i="9"/>
  <c r="F25966" i="9"/>
  <c r="H25966" i="9"/>
  <c r="F25967" i="9"/>
  <c r="H25967" i="9"/>
  <c r="F25968" i="9"/>
  <c r="H25968" i="9"/>
  <c r="F25969" i="9"/>
  <c r="H25969" i="9"/>
  <c r="F25970" i="9"/>
  <c r="H25970" i="9"/>
  <c r="F25971" i="9"/>
  <c r="H25971" i="9"/>
  <c r="F25972" i="9"/>
  <c r="H25972" i="9"/>
  <c r="F25973" i="9"/>
  <c r="H25973" i="9"/>
  <c r="F25974" i="9"/>
  <c r="H25974" i="9"/>
  <c r="F25975" i="9"/>
  <c r="H25975" i="9"/>
  <c r="F25976" i="9"/>
  <c r="H25976" i="9"/>
  <c r="F25977" i="9"/>
  <c r="H25977" i="9"/>
  <c r="F25978" i="9"/>
  <c r="H25978" i="9"/>
  <c r="F25979" i="9"/>
  <c r="H25979" i="9"/>
  <c r="F25980" i="9"/>
  <c r="H25980" i="9"/>
  <c r="F25981" i="9"/>
  <c r="H25981" i="9"/>
  <c r="F25982" i="9"/>
  <c r="H25982" i="9"/>
  <c r="F25983" i="9"/>
  <c r="H25983" i="9"/>
  <c r="F25984" i="9"/>
  <c r="H25984" i="9"/>
  <c r="F25985" i="9"/>
  <c r="H25985" i="9"/>
  <c r="F25986" i="9"/>
  <c r="H25986" i="9"/>
  <c r="F25987" i="9"/>
  <c r="H25987" i="9"/>
  <c r="F25988" i="9"/>
  <c r="H25988" i="9"/>
  <c r="F25989" i="9"/>
  <c r="H25989" i="9"/>
  <c r="F25990" i="9"/>
  <c r="H25990" i="9"/>
  <c r="F25991" i="9"/>
  <c r="H25991" i="9"/>
  <c r="F25992" i="9"/>
  <c r="H25992" i="9"/>
  <c r="F25993" i="9"/>
  <c r="H25993" i="9"/>
  <c r="F25994" i="9"/>
  <c r="H25994" i="9"/>
  <c r="F25995" i="9"/>
  <c r="H25995" i="9"/>
  <c r="F25996" i="9"/>
  <c r="H25996" i="9"/>
  <c r="F25997" i="9"/>
  <c r="H25997" i="9"/>
  <c r="F25998" i="9"/>
  <c r="H25998" i="9"/>
  <c r="F25999" i="9"/>
  <c r="H25999" i="9"/>
  <c r="F26000" i="9"/>
  <c r="H26000" i="9"/>
  <c r="F26001" i="9"/>
  <c r="H26001" i="9"/>
  <c r="F26002" i="9"/>
  <c r="H26002" i="9"/>
  <c r="F26003" i="9"/>
  <c r="H26003" i="9"/>
  <c r="F26004" i="9"/>
  <c r="H26004" i="9"/>
  <c r="F26005" i="9"/>
  <c r="H26005" i="9"/>
  <c r="F26006" i="9"/>
  <c r="H26006" i="9"/>
  <c r="F26007" i="9"/>
  <c r="H26007" i="9"/>
  <c r="F26008" i="9"/>
  <c r="H26008" i="9"/>
  <c r="F26009" i="9"/>
  <c r="H26009" i="9"/>
  <c r="F26010" i="9"/>
  <c r="H26010" i="9"/>
  <c r="F26011" i="9"/>
  <c r="H26011" i="9"/>
  <c r="F26012" i="9"/>
  <c r="H26012" i="9"/>
  <c r="F26013" i="9"/>
  <c r="H26013" i="9"/>
  <c r="F26014" i="9"/>
  <c r="H26014" i="9"/>
  <c r="F26015" i="9"/>
  <c r="H26015" i="9"/>
  <c r="F26016" i="9"/>
  <c r="H26016" i="9"/>
  <c r="F26017" i="9"/>
  <c r="H26017" i="9"/>
  <c r="F26018" i="9"/>
  <c r="H26018" i="9"/>
  <c r="F26019" i="9"/>
  <c r="H26019" i="9"/>
  <c r="F26020" i="9"/>
  <c r="H26020" i="9"/>
  <c r="F26021" i="9"/>
  <c r="H26021" i="9"/>
  <c r="F26022" i="9"/>
  <c r="H26022" i="9"/>
  <c r="F26023" i="9"/>
  <c r="H26023" i="9"/>
  <c r="F26024" i="9"/>
  <c r="H26024" i="9"/>
  <c r="F26025" i="9"/>
  <c r="H26025" i="9"/>
  <c r="F26026" i="9"/>
  <c r="H26026" i="9"/>
  <c r="F26027" i="9"/>
  <c r="H26027" i="9"/>
  <c r="F26028" i="9"/>
  <c r="H26028" i="9"/>
  <c r="F26029" i="9"/>
  <c r="H26029" i="9"/>
  <c r="F26030" i="9"/>
  <c r="H26030" i="9"/>
  <c r="F26031" i="9"/>
  <c r="H26031" i="9"/>
  <c r="F26032" i="9"/>
  <c r="H26032" i="9"/>
  <c r="F26033" i="9"/>
  <c r="H26033" i="9"/>
  <c r="F26034" i="9"/>
  <c r="H26034" i="9"/>
  <c r="F26035" i="9"/>
  <c r="H26035" i="9"/>
  <c r="F26036" i="9"/>
  <c r="H26036" i="9"/>
  <c r="F26037" i="9"/>
  <c r="H26037" i="9"/>
  <c r="F26038" i="9"/>
  <c r="H26038" i="9"/>
  <c r="F26039" i="9"/>
  <c r="H26039" i="9"/>
  <c r="F26040" i="9"/>
  <c r="H26040" i="9"/>
  <c r="F26041" i="9"/>
  <c r="H26041" i="9"/>
  <c r="F26042" i="9"/>
  <c r="H26042" i="9"/>
  <c r="F26043" i="9"/>
  <c r="H26043" i="9"/>
  <c r="F26044" i="9"/>
  <c r="H26044" i="9"/>
  <c r="F26045" i="9"/>
  <c r="H26045" i="9"/>
  <c r="F26046" i="9"/>
  <c r="H26046" i="9"/>
  <c r="F26047" i="9"/>
  <c r="H26047" i="9"/>
  <c r="F26048" i="9"/>
  <c r="H26048" i="9"/>
  <c r="F26049" i="9"/>
  <c r="H26049" i="9"/>
  <c r="F26050" i="9"/>
  <c r="H26050" i="9"/>
  <c r="F26051" i="9"/>
  <c r="H26051" i="9"/>
  <c r="F26052" i="9"/>
  <c r="H26052" i="9"/>
  <c r="F26053" i="9"/>
  <c r="H26053" i="9"/>
  <c r="F26054" i="9"/>
  <c r="H26054" i="9"/>
  <c r="F26055" i="9"/>
  <c r="H26055" i="9"/>
  <c r="F26056" i="9"/>
  <c r="H26056" i="9"/>
  <c r="F26057" i="9"/>
  <c r="H26057" i="9"/>
  <c r="F26058" i="9"/>
  <c r="H26058" i="9"/>
  <c r="F26059" i="9"/>
  <c r="H26059" i="9"/>
  <c r="F26060" i="9"/>
  <c r="H26060" i="9"/>
  <c r="F26061" i="9"/>
  <c r="H26061" i="9"/>
  <c r="F26062" i="9"/>
  <c r="H26062" i="9"/>
  <c r="F26063" i="9"/>
  <c r="H26063" i="9"/>
  <c r="F26064" i="9"/>
  <c r="H26064" i="9"/>
  <c r="F26065" i="9"/>
  <c r="H26065" i="9"/>
  <c r="F26066" i="9"/>
  <c r="H26066" i="9"/>
  <c r="F26067" i="9"/>
  <c r="H26067" i="9"/>
  <c r="F26068" i="9"/>
  <c r="H26068" i="9"/>
  <c r="F26069" i="9"/>
  <c r="H26069" i="9"/>
  <c r="F26070" i="9"/>
  <c r="H26070" i="9"/>
  <c r="F26071" i="9"/>
  <c r="H26071" i="9"/>
  <c r="F26072" i="9"/>
  <c r="H26072" i="9"/>
  <c r="F26073" i="9"/>
  <c r="H26073" i="9"/>
  <c r="F26074" i="9"/>
  <c r="H26074" i="9"/>
  <c r="F26075" i="9"/>
  <c r="H26075" i="9"/>
  <c r="F26076" i="9"/>
  <c r="H26076" i="9"/>
  <c r="F26077" i="9"/>
  <c r="H26077" i="9"/>
  <c r="F26078" i="9"/>
  <c r="H26078" i="9"/>
  <c r="F26079" i="9"/>
  <c r="H26079" i="9"/>
  <c r="F26080" i="9"/>
  <c r="H26080" i="9"/>
  <c r="F26081" i="9"/>
  <c r="H26081" i="9"/>
  <c r="F26082" i="9"/>
  <c r="H26082" i="9"/>
  <c r="F26083" i="9"/>
  <c r="H26083" i="9"/>
  <c r="F26084" i="9"/>
  <c r="H26084" i="9"/>
  <c r="F26085" i="9"/>
  <c r="H26085" i="9"/>
  <c r="F26086" i="9"/>
  <c r="H26086" i="9"/>
  <c r="F26087" i="9"/>
  <c r="H26087" i="9"/>
  <c r="F26088" i="9"/>
  <c r="H26088" i="9"/>
  <c r="F26089" i="9"/>
  <c r="H26089" i="9"/>
  <c r="F26090" i="9"/>
  <c r="H26090" i="9"/>
  <c r="F26091" i="9"/>
  <c r="H26091" i="9"/>
  <c r="F26092" i="9"/>
  <c r="H26092" i="9"/>
  <c r="F26093" i="9"/>
  <c r="H26093" i="9"/>
  <c r="F26094" i="9"/>
  <c r="H26094" i="9"/>
  <c r="F26095" i="9"/>
  <c r="H26095" i="9"/>
  <c r="F26096" i="9"/>
  <c r="H26096" i="9"/>
  <c r="F26097" i="9"/>
  <c r="H26097" i="9"/>
  <c r="F26098" i="9"/>
  <c r="H26098" i="9"/>
  <c r="F26099" i="9"/>
  <c r="H26099" i="9"/>
  <c r="F26100" i="9"/>
  <c r="H26100" i="9"/>
  <c r="F26101" i="9"/>
  <c r="H26101" i="9"/>
  <c r="F26102" i="9"/>
  <c r="H26102" i="9"/>
  <c r="F26103" i="9"/>
  <c r="H26103" i="9"/>
  <c r="F26104" i="9"/>
  <c r="H26104" i="9"/>
  <c r="F26105" i="9"/>
  <c r="H26105" i="9"/>
  <c r="F26106" i="9"/>
  <c r="H26106" i="9"/>
  <c r="F26107" i="9"/>
  <c r="H26107" i="9"/>
  <c r="F26108" i="9"/>
  <c r="H26108" i="9"/>
  <c r="F26109" i="9"/>
  <c r="H26109" i="9"/>
  <c r="F26110" i="9"/>
  <c r="H26110" i="9"/>
  <c r="F26111" i="9"/>
  <c r="H26111" i="9"/>
  <c r="F26112" i="9"/>
  <c r="H26112" i="9"/>
  <c r="F26113" i="9"/>
  <c r="H26113" i="9"/>
  <c r="F26114" i="9"/>
  <c r="H26114" i="9"/>
  <c r="F26115" i="9"/>
  <c r="H26115" i="9"/>
  <c r="F26116" i="9"/>
  <c r="H26116" i="9"/>
  <c r="F26117" i="9"/>
  <c r="H26117" i="9"/>
  <c r="F26118" i="9"/>
  <c r="H26118" i="9"/>
  <c r="F26119" i="9"/>
  <c r="H26119" i="9"/>
  <c r="F26120" i="9"/>
  <c r="H26120" i="9"/>
  <c r="F26121" i="9"/>
  <c r="H26121" i="9"/>
  <c r="F26122" i="9"/>
  <c r="H26122" i="9"/>
  <c r="F26123" i="9"/>
  <c r="H26123" i="9"/>
  <c r="F26124" i="9"/>
  <c r="H26124" i="9"/>
  <c r="F26125" i="9"/>
  <c r="H26125" i="9"/>
  <c r="F26126" i="9"/>
  <c r="H26126" i="9"/>
  <c r="F26127" i="9"/>
  <c r="H26127" i="9"/>
  <c r="F26128" i="9"/>
  <c r="H26128" i="9"/>
  <c r="F26129" i="9"/>
  <c r="H26129" i="9"/>
  <c r="F26130" i="9"/>
  <c r="H26130" i="9"/>
  <c r="F26131" i="9"/>
  <c r="H26131" i="9"/>
  <c r="F26132" i="9"/>
  <c r="H26132" i="9"/>
  <c r="F26133" i="9"/>
  <c r="H26133" i="9"/>
  <c r="F26134" i="9"/>
  <c r="H26134" i="9"/>
  <c r="F26135" i="9"/>
  <c r="H26135" i="9"/>
  <c r="F26136" i="9"/>
  <c r="H26136" i="9"/>
  <c r="F26137" i="9"/>
  <c r="H26137" i="9"/>
  <c r="F26138" i="9"/>
  <c r="H26138" i="9"/>
  <c r="F26139" i="9"/>
  <c r="H26139" i="9"/>
  <c r="F26140" i="9"/>
  <c r="H26140" i="9"/>
  <c r="F26141" i="9"/>
  <c r="H26141" i="9"/>
  <c r="F26142" i="9"/>
  <c r="H26142" i="9"/>
  <c r="F26143" i="9"/>
  <c r="H26143" i="9"/>
  <c r="F26144" i="9"/>
  <c r="H26144" i="9"/>
  <c r="F26145" i="9"/>
  <c r="H26145" i="9"/>
  <c r="F26146" i="9"/>
  <c r="H26146" i="9"/>
  <c r="F26147" i="9"/>
  <c r="H26147" i="9"/>
  <c r="F26148" i="9"/>
  <c r="H26148" i="9"/>
  <c r="F26149" i="9"/>
  <c r="H26149" i="9"/>
  <c r="F26150" i="9"/>
  <c r="H26150" i="9"/>
  <c r="F26151" i="9"/>
  <c r="H26151" i="9"/>
  <c r="F26152" i="9"/>
  <c r="H26152" i="9"/>
  <c r="F26153" i="9"/>
  <c r="H26153" i="9"/>
  <c r="F26154" i="9"/>
  <c r="H26154" i="9"/>
  <c r="F26155" i="9"/>
  <c r="H26155" i="9"/>
  <c r="F26156" i="9"/>
  <c r="H26156" i="9"/>
  <c r="F26157" i="9"/>
  <c r="H26157" i="9"/>
  <c r="F26158" i="9"/>
  <c r="H26158" i="9"/>
  <c r="F26159" i="9"/>
  <c r="H26159" i="9"/>
  <c r="F26160" i="9"/>
  <c r="H26160" i="9"/>
  <c r="F26161" i="9"/>
  <c r="H26161" i="9"/>
  <c r="F26162" i="9"/>
  <c r="H26162" i="9"/>
  <c r="F26163" i="9"/>
  <c r="H26163" i="9"/>
  <c r="F26164" i="9"/>
  <c r="H26164" i="9"/>
  <c r="F26165" i="9"/>
  <c r="H26165" i="9"/>
  <c r="F26166" i="9"/>
  <c r="H26166" i="9"/>
  <c r="F26167" i="9"/>
  <c r="H26167" i="9"/>
  <c r="F26168" i="9"/>
  <c r="H26168" i="9"/>
  <c r="F26169" i="9"/>
  <c r="H26169" i="9"/>
  <c r="F26170" i="9"/>
  <c r="H26170" i="9"/>
  <c r="F26171" i="9"/>
  <c r="H26171" i="9"/>
  <c r="F26172" i="9"/>
  <c r="H26172" i="9"/>
  <c r="F26173" i="9"/>
  <c r="H26173" i="9"/>
  <c r="F26174" i="9"/>
  <c r="H26174" i="9"/>
  <c r="F26175" i="9"/>
  <c r="H26175" i="9"/>
  <c r="F26176" i="9"/>
  <c r="H26176" i="9"/>
  <c r="F26177" i="9"/>
  <c r="H26177" i="9"/>
  <c r="F26178" i="9"/>
  <c r="H26178" i="9"/>
  <c r="F26179" i="9"/>
  <c r="H26179" i="9"/>
  <c r="F26180" i="9"/>
  <c r="H26180" i="9"/>
  <c r="F26181" i="9"/>
  <c r="H26181" i="9"/>
  <c r="F26182" i="9"/>
  <c r="H26182" i="9"/>
  <c r="F26183" i="9"/>
  <c r="H26183" i="9"/>
  <c r="F26184" i="9"/>
  <c r="H26184" i="9"/>
  <c r="F26185" i="9"/>
  <c r="H26185" i="9"/>
  <c r="F26186" i="9"/>
  <c r="H26186" i="9"/>
  <c r="F26187" i="9"/>
  <c r="H26187" i="9"/>
  <c r="F26188" i="9"/>
  <c r="H26188" i="9"/>
  <c r="F26189" i="9"/>
  <c r="H26189" i="9"/>
  <c r="F26190" i="9"/>
  <c r="H26190" i="9"/>
  <c r="F26191" i="9"/>
  <c r="H26191" i="9"/>
  <c r="F26192" i="9"/>
  <c r="H26192" i="9"/>
  <c r="F26193" i="9"/>
  <c r="H26193" i="9"/>
  <c r="F26194" i="9"/>
  <c r="H26194" i="9"/>
  <c r="F26195" i="9"/>
  <c r="H26195" i="9"/>
  <c r="F26196" i="9"/>
  <c r="H26196" i="9"/>
  <c r="F26197" i="9"/>
  <c r="H26197" i="9"/>
  <c r="F26198" i="9"/>
  <c r="H26198" i="9"/>
  <c r="F26199" i="9"/>
  <c r="H26199" i="9"/>
  <c r="F26200" i="9"/>
  <c r="H26200" i="9"/>
  <c r="F26201" i="9"/>
  <c r="H26201" i="9"/>
  <c r="F26202" i="9"/>
  <c r="H26202" i="9"/>
  <c r="F26203" i="9"/>
  <c r="H26203" i="9"/>
  <c r="F26204" i="9"/>
  <c r="H26204" i="9"/>
  <c r="F26205" i="9"/>
  <c r="H26205" i="9"/>
  <c r="F26206" i="9"/>
  <c r="H26206" i="9"/>
  <c r="F26207" i="9"/>
  <c r="H26207" i="9"/>
  <c r="F26208" i="9"/>
  <c r="H26208" i="9"/>
  <c r="F26209" i="9"/>
  <c r="H26209" i="9"/>
  <c r="F26210" i="9"/>
  <c r="H26210" i="9"/>
  <c r="F26211" i="9"/>
  <c r="H26211" i="9"/>
  <c r="F26212" i="9"/>
  <c r="H26212" i="9"/>
  <c r="F26213" i="9"/>
  <c r="H26213" i="9"/>
  <c r="F26214" i="9"/>
  <c r="H26214" i="9"/>
  <c r="F26215" i="9"/>
  <c r="H26215" i="9"/>
  <c r="F26216" i="9"/>
  <c r="H26216" i="9"/>
  <c r="F26217" i="9"/>
  <c r="H26217" i="9"/>
  <c r="F26218" i="9"/>
  <c r="H26218" i="9"/>
  <c r="F26219" i="9"/>
  <c r="H26219" i="9"/>
  <c r="F26220" i="9"/>
  <c r="H26220" i="9"/>
  <c r="F26221" i="9"/>
  <c r="H26221" i="9"/>
  <c r="F26222" i="9"/>
  <c r="H26222" i="9"/>
  <c r="F26223" i="9"/>
  <c r="H26223" i="9"/>
  <c r="F26224" i="9"/>
  <c r="H26224" i="9"/>
  <c r="F26225" i="9"/>
  <c r="H26225" i="9"/>
  <c r="F26226" i="9"/>
  <c r="H26226" i="9"/>
  <c r="F26227" i="9"/>
  <c r="H26227" i="9"/>
  <c r="F26228" i="9"/>
  <c r="H26228" i="9"/>
  <c r="F26229" i="9"/>
  <c r="H26229" i="9"/>
  <c r="F26230" i="9"/>
  <c r="H26230" i="9"/>
  <c r="F26231" i="9"/>
  <c r="H26231" i="9"/>
  <c r="F26232" i="9"/>
  <c r="H26232" i="9"/>
  <c r="F26233" i="9"/>
  <c r="H26233" i="9"/>
  <c r="F26234" i="9"/>
  <c r="H26234" i="9"/>
  <c r="F26235" i="9"/>
  <c r="H26235" i="9"/>
  <c r="F26236" i="9"/>
  <c r="H26236" i="9"/>
  <c r="F26237" i="9"/>
  <c r="H26237" i="9"/>
  <c r="F26238" i="9"/>
  <c r="H26238" i="9"/>
  <c r="F26239" i="9"/>
  <c r="H26239" i="9"/>
  <c r="F26240" i="9"/>
  <c r="H26240" i="9"/>
  <c r="F26241" i="9"/>
  <c r="H26241" i="9"/>
  <c r="F26242" i="9"/>
  <c r="H26242" i="9"/>
  <c r="F26243" i="9"/>
  <c r="H26243" i="9"/>
  <c r="F26244" i="9"/>
  <c r="H26244" i="9"/>
  <c r="F26245" i="9"/>
  <c r="H26245" i="9"/>
  <c r="F26246" i="9"/>
  <c r="H26246" i="9"/>
  <c r="F26247" i="9"/>
  <c r="H26247" i="9"/>
  <c r="F26248" i="9"/>
  <c r="H26248" i="9"/>
  <c r="F26249" i="9"/>
  <c r="H26249" i="9"/>
  <c r="F26250" i="9"/>
  <c r="H26250" i="9"/>
  <c r="F26251" i="9"/>
  <c r="H26251" i="9"/>
  <c r="F26252" i="9"/>
  <c r="H26252" i="9"/>
  <c r="F26253" i="9"/>
  <c r="H26253" i="9"/>
  <c r="F26254" i="9"/>
  <c r="H26254" i="9"/>
  <c r="F26255" i="9"/>
  <c r="H26255" i="9"/>
  <c r="F26256" i="9"/>
  <c r="H26256" i="9"/>
  <c r="F26257" i="9"/>
  <c r="H26257" i="9"/>
  <c r="F26258" i="9"/>
  <c r="H26258" i="9"/>
  <c r="F26259" i="9"/>
  <c r="H26259" i="9"/>
  <c r="F26260" i="9"/>
  <c r="H26260" i="9"/>
  <c r="F26261" i="9"/>
  <c r="H26261" i="9"/>
  <c r="F26262" i="9"/>
  <c r="H26262" i="9"/>
  <c r="F26263" i="9"/>
  <c r="H26263" i="9"/>
  <c r="F26264" i="9"/>
  <c r="H26264" i="9"/>
  <c r="F26265" i="9"/>
  <c r="H26265" i="9"/>
  <c r="F26266" i="9"/>
  <c r="H26266" i="9"/>
  <c r="F26267" i="9"/>
  <c r="H26267" i="9"/>
  <c r="F26268" i="9"/>
  <c r="H26268" i="9"/>
  <c r="F26269" i="9"/>
  <c r="H26269" i="9"/>
  <c r="F26270" i="9"/>
  <c r="H26270" i="9"/>
  <c r="F26271" i="9"/>
  <c r="H26271" i="9"/>
  <c r="F26272" i="9"/>
  <c r="H26272" i="9"/>
  <c r="F26273" i="9"/>
  <c r="H26273" i="9"/>
  <c r="F26274" i="9"/>
  <c r="H26274" i="9"/>
  <c r="F26275" i="9"/>
  <c r="H26275" i="9"/>
  <c r="F26276" i="9"/>
  <c r="H26276" i="9"/>
  <c r="F26277" i="9"/>
  <c r="H26277" i="9"/>
  <c r="F26278" i="9"/>
  <c r="H26278" i="9"/>
  <c r="F26279" i="9"/>
  <c r="H26279" i="9"/>
  <c r="F26280" i="9"/>
  <c r="H26280" i="9"/>
  <c r="F26281" i="9"/>
  <c r="H26281" i="9"/>
  <c r="F26282" i="9"/>
  <c r="H26282" i="9"/>
  <c r="F26283" i="9"/>
  <c r="H26283" i="9"/>
  <c r="F26284" i="9"/>
  <c r="H26284" i="9"/>
  <c r="F26285" i="9"/>
  <c r="H26285" i="9"/>
  <c r="F26286" i="9"/>
  <c r="H26286" i="9"/>
  <c r="F26287" i="9"/>
  <c r="H26287" i="9"/>
  <c r="F26288" i="9"/>
  <c r="H26288" i="9"/>
  <c r="F26289" i="9"/>
  <c r="H26289" i="9"/>
  <c r="F26290" i="9"/>
  <c r="H26290" i="9"/>
  <c r="F26291" i="9"/>
  <c r="H26291" i="9"/>
  <c r="F26292" i="9"/>
  <c r="H26292" i="9"/>
  <c r="F26293" i="9"/>
  <c r="H26293" i="9"/>
  <c r="F26294" i="9"/>
  <c r="H26294" i="9"/>
  <c r="F26295" i="9"/>
  <c r="H26295" i="9"/>
  <c r="F26296" i="9"/>
  <c r="H26296" i="9"/>
  <c r="F26297" i="9"/>
  <c r="H26297" i="9"/>
  <c r="F26298" i="9"/>
  <c r="H26298" i="9"/>
  <c r="F26299" i="9"/>
  <c r="H26299" i="9"/>
  <c r="F26300" i="9"/>
  <c r="H26300" i="9"/>
  <c r="F26301" i="9"/>
  <c r="H26301" i="9"/>
  <c r="F26302" i="9"/>
  <c r="H26302" i="9"/>
  <c r="F26303" i="9"/>
  <c r="H26303" i="9"/>
  <c r="F26304" i="9"/>
  <c r="H26304" i="9"/>
  <c r="F26305" i="9"/>
  <c r="H26305" i="9"/>
  <c r="F26306" i="9"/>
  <c r="H26306" i="9"/>
  <c r="F26307" i="9"/>
  <c r="H26307" i="9"/>
  <c r="F26308" i="9"/>
  <c r="H26308" i="9"/>
  <c r="F26309" i="9"/>
  <c r="H26309" i="9"/>
  <c r="F26310" i="9"/>
  <c r="H26310" i="9"/>
  <c r="F26311" i="9"/>
  <c r="H26311" i="9"/>
  <c r="F26312" i="9"/>
  <c r="H26312" i="9"/>
  <c r="F26313" i="9"/>
  <c r="H26313" i="9"/>
  <c r="F26314" i="9"/>
  <c r="H26314" i="9"/>
  <c r="F26315" i="9"/>
  <c r="H26315" i="9"/>
  <c r="F26316" i="9"/>
  <c r="H26316" i="9"/>
  <c r="F26317" i="9"/>
  <c r="H26317" i="9"/>
  <c r="F26318" i="9"/>
  <c r="H26318" i="9"/>
  <c r="F26319" i="9"/>
  <c r="H26319" i="9"/>
  <c r="F26320" i="9"/>
  <c r="H26320" i="9"/>
  <c r="F26321" i="9"/>
  <c r="H26321" i="9"/>
  <c r="F26322" i="9"/>
  <c r="H26322" i="9"/>
  <c r="F26323" i="9"/>
  <c r="H26323" i="9"/>
  <c r="F26324" i="9"/>
  <c r="H26324" i="9"/>
  <c r="F26325" i="9"/>
  <c r="H26325" i="9"/>
  <c r="F26326" i="9"/>
  <c r="H26326" i="9"/>
  <c r="F26327" i="9"/>
  <c r="H26327" i="9"/>
  <c r="F26328" i="9"/>
  <c r="H26328" i="9"/>
  <c r="F26329" i="9"/>
  <c r="H26329" i="9"/>
  <c r="F26330" i="9"/>
  <c r="H26330" i="9"/>
  <c r="F26331" i="9"/>
  <c r="H26331" i="9"/>
  <c r="F26332" i="9"/>
  <c r="H26332" i="9"/>
  <c r="F26333" i="9"/>
  <c r="H26333" i="9"/>
  <c r="F26334" i="9"/>
  <c r="H26334" i="9"/>
  <c r="F26335" i="9"/>
  <c r="H26335" i="9"/>
  <c r="F26336" i="9"/>
  <c r="H26336" i="9"/>
  <c r="F26337" i="9"/>
  <c r="H26337" i="9"/>
  <c r="F26338" i="9"/>
  <c r="H26338" i="9"/>
  <c r="F26339" i="9"/>
  <c r="H26339" i="9"/>
  <c r="F26340" i="9"/>
  <c r="H26340" i="9"/>
  <c r="F26341" i="9"/>
  <c r="H26341" i="9"/>
  <c r="F26342" i="9"/>
  <c r="H26342" i="9"/>
  <c r="F26343" i="9"/>
  <c r="H26343" i="9"/>
  <c r="F26344" i="9"/>
  <c r="H26344" i="9"/>
  <c r="F26345" i="9"/>
  <c r="H26345" i="9"/>
  <c r="F26346" i="9"/>
  <c r="H26346" i="9"/>
  <c r="F26347" i="9"/>
  <c r="H26347" i="9"/>
  <c r="F26348" i="9"/>
  <c r="H26348" i="9"/>
  <c r="F26349" i="9"/>
  <c r="H26349" i="9"/>
  <c r="F26350" i="9"/>
  <c r="H26350" i="9"/>
  <c r="F26351" i="9"/>
  <c r="H26351" i="9"/>
  <c r="F26352" i="9"/>
  <c r="H26352" i="9"/>
  <c r="F26353" i="9"/>
  <c r="H26353" i="9"/>
  <c r="F26354" i="9"/>
  <c r="H26354" i="9"/>
  <c r="F26355" i="9"/>
  <c r="H26355" i="9"/>
  <c r="F26356" i="9"/>
  <c r="H26356" i="9"/>
  <c r="F26357" i="9"/>
  <c r="H26357" i="9"/>
  <c r="F26358" i="9"/>
  <c r="H26358" i="9"/>
  <c r="F26359" i="9"/>
  <c r="H26359" i="9"/>
  <c r="F26360" i="9"/>
  <c r="H26360" i="9"/>
  <c r="F26361" i="9"/>
  <c r="H26361" i="9"/>
  <c r="F26362" i="9"/>
  <c r="H26362" i="9"/>
  <c r="F26363" i="9"/>
  <c r="H26363" i="9"/>
  <c r="F26364" i="9"/>
  <c r="H26364" i="9"/>
  <c r="F26365" i="9"/>
  <c r="H26365" i="9"/>
  <c r="F26366" i="9"/>
  <c r="H26366" i="9"/>
  <c r="F26367" i="9"/>
  <c r="H26367" i="9"/>
  <c r="F26368" i="9"/>
  <c r="H26368" i="9"/>
  <c r="F26369" i="9"/>
  <c r="H26369" i="9"/>
  <c r="F26370" i="9"/>
  <c r="H26370" i="9"/>
  <c r="F26371" i="9"/>
  <c r="H26371" i="9"/>
  <c r="F26372" i="9"/>
  <c r="H26372" i="9"/>
  <c r="F26373" i="9"/>
  <c r="H26373" i="9"/>
  <c r="F26374" i="9"/>
  <c r="H26374" i="9"/>
  <c r="F26375" i="9"/>
  <c r="H26375" i="9"/>
  <c r="F26376" i="9"/>
  <c r="H26376" i="9"/>
  <c r="F26377" i="9"/>
  <c r="H26377" i="9"/>
  <c r="F26378" i="9"/>
  <c r="H26378" i="9"/>
  <c r="F26379" i="9"/>
  <c r="H26379" i="9"/>
  <c r="F26380" i="9"/>
  <c r="H26380" i="9"/>
  <c r="F26381" i="9"/>
  <c r="H26381" i="9"/>
  <c r="F26382" i="9"/>
  <c r="H26382" i="9"/>
  <c r="F26383" i="9"/>
  <c r="H26383" i="9"/>
  <c r="F26384" i="9"/>
  <c r="H26384" i="9"/>
  <c r="F26385" i="9"/>
  <c r="H26385" i="9"/>
  <c r="F26386" i="9"/>
  <c r="H26386" i="9"/>
  <c r="F26387" i="9"/>
  <c r="H26387" i="9"/>
  <c r="F26388" i="9"/>
  <c r="H26388" i="9"/>
  <c r="F26389" i="9"/>
  <c r="H26389" i="9"/>
  <c r="F26390" i="9"/>
  <c r="H26390" i="9"/>
  <c r="F26391" i="9"/>
  <c r="H26391" i="9"/>
  <c r="F26392" i="9"/>
  <c r="H26392" i="9"/>
  <c r="F26393" i="9"/>
  <c r="H26393" i="9"/>
  <c r="F26394" i="9"/>
  <c r="H26394" i="9"/>
  <c r="F26395" i="9"/>
  <c r="H26395" i="9"/>
  <c r="F26396" i="9"/>
  <c r="H26396" i="9"/>
  <c r="F26397" i="9"/>
  <c r="H26397" i="9"/>
  <c r="F26398" i="9"/>
  <c r="H26398" i="9"/>
  <c r="F26399" i="9"/>
  <c r="H26399" i="9"/>
  <c r="F26400" i="9"/>
  <c r="H26400" i="9"/>
  <c r="F26401" i="9"/>
  <c r="H26401" i="9"/>
  <c r="F26402" i="9"/>
  <c r="H26402" i="9"/>
  <c r="F26403" i="9"/>
  <c r="H26403" i="9"/>
  <c r="F26404" i="9"/>
  <c r="H26404" i="9"/>
  <c r="F26405" i="9"/>
  <c r="H26405" i="9"/>
  <c r="F26406" i="9"/>
  <c r="H26406" i="9"/>
  <c r="F26407" i="9"/>
  <c r="H26407" i="9"/>
  <c r="F26408" i="9"/>
  <c r="H26408" i="9"/>
  <c r="F26409" i="9"/>
  <c r="H26409" i="9"/>
  <c r="F26410" i="9"/>
  <c r="H26410" i="9"/>
  <c r="F26411" i="9"/>
  <c r="H26411" i="9"/>
  <c r="F26412" i="9"/>
  <c r="H26412" i="9"/>
  <c r="F26413" i="9"/>
  <c r="H26413" i="9"/>
  <c r="F26414" i="9"/>
  <c r="H26414" i="9"/>
  <c r="F26415" i="9"/>
  <c r="H26415" i="9"/>
  <c r="F26416" i="9"/>
  <c r="H26416" i="9"/>
  <c r="F26417" i="9"/>
  <c r="H26417" i="9"/>
  <c r="F26418" i="9"/>
  <c r="H26418" i="9"/>
  <c r="F26419" i="9"/>
  <c r="H26419" i="9"/>
  <c r="F26420" i="9"/>
  <c r="H26420" i="9"/>
  <c r="F26421" i="9"/>
  <c r="H26421" i="9"/>
  <c r="F26422" i="9"/>
  <c r="H26422" i="9"/>
  <c r="F26423" i="9"/>
  <c r="H26423" i="9"/>
  <c r="F26424" i="9"/>
  <c r="H26424" i="9"/>
  <c r="F26425" i="9"/>
  <c r="H26425" i="9"/>
  <c r="F26426" i="9"/>
  <c r="H26426" i="9"/>
  <c r="F26427" i="9"/>
  <c r="H26427" i="9"/>
  <c r="F26428" i="9"/>
  <c r="H26428" i="9"/>
  <c r="F26429" i="9"/>
  <c r="H26429" i="9"/>
  <c r="F26430" i="9"/>
  <c r="H26430" i="9"/>
  <c r="F26431" i="9"/>
  <c r="H26431" i="9"/>
  <c r="F26432" i="9"/>
  <c r="H26432" i="9"/>
  <c r="F26433" i="9"/>
  <c r="H26433" i="9"/>
  <c r="F26434" i="9"/>
  <c r="H26434" i="9"/>
  <c r="F26435" i="9"/>
  <c r="H26435" i="9"/>
  <c r="F26436" i="9"/>
  <c r="H26436" i="9"/>
  <c r="F26437" i="9"/>
  <c r="H26437" i="9"/>
  <c r="F26438" i="9"/>
  <c r="H26438" i="9"/>
  <c r="F26439" i="9"/>
  <c r="H26439" i="9"/>
  <c r="F26440" i="9"/>
  <c r="H26440" i="9"/>
  <c r="F26441" i="9"/>
  <c r="H26441" i="9"/>
  <c r="F26442" i="9"/>
  <c r="H26442" i="9"/>
  <c r="F26443" i="9"/>
  <c r="H26443" i="9"/>
  <c r="F26444" i="9"/>
  <c r="H26444" i="9"/>
  <c r="F26445" i="9"/>
  <c r="H26445" i="9"/>
  <c r="F26446" i="9"/>
  <c r="H26446" i="9"/>
  <c r="F26447" i="9"/>
  <c r="H26447" i="9"/>
  <c r="F26448" i="9"/>
  <c r="H26448" i="9"/>
  <c r="F26449" i="9"/>
  <c r="H26449" i="9"/>
  <c r="F26450" i="9"/>
  <c r="H26450" i="9"/>
  <c r="F26451" i="9"/>
  <c r="H26451" i="9"/>
  <c r="F26452" i="9"/>
  <c r="H26452" i="9"/>
  <c r="F26453" i="9"/>
  <c r="H26453" i="9"/>
  <c r="F26454" i="9"/>
  <c r="H26454" i="9"/>
  <c r="F26455" i="9"/>
  <c r="H26455" i="9"/>
  <c r="F26456" i="9"/>
  <c r="H26456" i="9"/>
  <c r="F26457" i="9"/>
  <c r="H26457" i="9"/>
  <c r="F26458" i="9"/>
  <c r="H26458" i="9"/>
  <c r="F26459" i="9"/>
  <c r="H26459" i="9"/>
  <c r="F26460" i="9"/>
  <c r="H26460" i="9"/>
  <c r="F26461" i="9"/>
  <c r="H26461" i="9"/>
  <c r="F26462" i="9"/>
  <c r="H26462" i="9"/>
  <c r="F26463" i="9"/>
  <c r="H26463" i="9"/>
  <c r="F26464" i="9"/>
  <c r="H26464" i="9"/>
  <c r="F26465" i="9"/>
  <c r="H26465" i="9"/>
  <c r="F26466" i="9"/>
  <c r="H26466" i="9"/>
  <c r="F26467" i="9"/>
  <c r="H26467" i="9"/>
  <c r="F26468" i="9"/>
  <c r="H26468" i="9"/>
  <c r="F26469" i="9"/>
  <c r="H26469" i="9"/>
  <c r="F26470" i="9"/>
  <c r="H26470" i="9"/>
  <c r="F26471" i="9"/>
  <c r="H26471" i="9"/>
  <c r="F26472" i="9"/>
  <c r="H26472" i="9"/>
  <c r="F26473" i="9"/>
  <c r="H26473" i="9"/>
  <c r="F26474" i="9"/>
  <c r="H26474" i="9"/>
  <c r="F26475" i="9"/>
  <c r="H26475" i="9"/>
  <c r="F26476" i="9"/>
  <c r="H26476" i="9"/>
  <c r="F26477" i="9"/>
  <c r="H26477" i="9"/>
  <c r="F26478" i="9"/>
  <c r="H26478" i="9"/>
  <c r="F26479" i="9"/>
  <c r="H26479" i="9"/>
  <c r="F26480" i="9"/>
  <c r="H26480" i="9"/>
  <c r="F26481" i="9"/>
  <c r="H26481" i="9"/>
  <c r="F26482" i="9"/>
  <c r="H26482" i="9"/>
  <c r="F26483" i="9"/>
  <c r="H26483" i="9"/>
  <c r="F26484" i="9"/>
  <c r="H26484" i="9"/>
  <c r="F26485" i="9"/>
  <c r="H26485" i="9"/>
  <c r="F26486" i="9"/>
  <c r="H26486" i="9"/>
  <c r="F26487" i="9"/>
  <c r="H26487" i="9"/>
  <c r="F26488" i="9"/>
  <c r="H26488" i="9"/>
  <c r="F26489" i="9"/>
  <c r="H26489" i="9"/>
  <c r="F26490" i="9"/>
  <c r="H26490" i="9"/>
  <c r="F26491" i="9"/>
  <c r="H26491" i="9"/>
  <c r="F26492" i="9"/>
  <c r="H26492" i="9"/>
  <c r="F26493" i="9"/>
  <c r="H26493" i="9"/>
  <c r="F26494" i="9"/>
  <c r="H26494" i="9"/>
  <c r="F26495" i="9"/>
  <c r="H26495" i="9"/>
  <c r="F26496" i="9"/>
  <c r="H26496" i="9"/>
  <c r="F26497" i="9"/>
  <c r="H26497" i="9"/>
  <c r="F26498" i="9"/>
  <c r="H26498" i="9"/>
  <c r="F26499" i="9"/>
  <c r="H26499" i="9"/>
  <c r="F26500" i="9"/>
  <c r="H26500" i="9"/>
  <c r="F26501" i="9"/>
  <c r="H26501" i="9"/>
  <c r="F26502" i="9"/>
  <c r="H26502" i="9"/>
  <c r="F26503" i="9"/>
  <c r="H26503" i="9"/>
  <c r="F26504" i="9"/>
  <c r="H26504" i="9"/>
  <c r="F26505" i="9"/>
  <c r="H26505" i="9"/>
  <c r="F26506" i="9"/>
  <c r="H26506" i="9"/>
  <c r="F26507" i="9"/>
  <c r="H26507" i="9"/>
  <c r="F26508" i="9"/>
  <c r="H26508" i="9"/>
  <c r="F26509" i="9"/>
  <c r="H26509" i="9"/>
  <c r="F26510" i="9"/>
  <c r="H26510" i="9"/>
  <c r="F26511" i="9"/>
  <c r="H26511" i="9"/>
  <c r="F26512" i="9"/>
  <c r="H26512" i="9"/>
  <c r="F26513" i="9"/>
  <c r="H26513" i="9"/>
  <c r="F26514" i="9"/>
  <c r="H26514" i="9"/>
  <c r="F26515" i="9"/>
  <c r="H26515" i="9"/>
  <c r="F26516" i="9"/>
  <c r="H26516" i="9"/>
  <c r="F26517" i="9"/>
  <c r="H26517" i="9"/>
  <c r="F26518" i="9"/>
  <c r="H26518" i="9"/>
  <c r="F26519" i="9"/>
  <c r="H26519" i="9"/>
  <c r="F26520" i="9"/>
  <c r="H26520" i="9"/>
  <c r="F26521" i="9"/>
  <c r="H26521" i="9"/>
  <c r="F26522" i="9"/>
  <c r="H26522" i="9"/>
  <c r="F26523" i="9"/>
  <c r="H26523" i="9"/>
  <c r="F26524" i="9"/>
  <c r="H26524" i="9"/>
  <c r="F26525" i="9"/>
  <c r="H26525" i="9"/>
  <c r="F26526" i="9"/>
  <c r="H26526" i="9"/>
  <c r="F26527" i="9"/>
  <c r="H26527" i="9"/>
  <c r="F26528" i="9"/>
  <c r="H26528" i="9"/>
  <c r="F26529" i="9"/>
  <c r="H26529" i="9"/>
  <c r="F26530" i="9"/>
  <c r="H26530" i="9"/>
  <c r="F26531" i="9"/>
  <c r="H26531" i="9"/>
  <c r="F26532" i="9"/>
  <c r="H26532" i="9"/>
  <c r="F26533" i="9"/>
  <c r="H26533" i="9"/>
  <c r="F26534" i="9"/>
  <c r="H26534" i="9"/>
  <c r="F26535" i="9"/>
  <c r="H26535" i="9"/>
  <c r="F26536" i="9"/>
  <c r="H26536" i="9"/>
  <c r="F26537" i="9"/>
  <c r="H26537" i="9"/>
  <c r="F26538" i="9"/>
  <c r="H26538" i="9"/>
  <c r="F26539" i="9"/>
  <c r="H26539" i="9"/>
  <c r="F26540" i="9"/>
  <c r="H26540" i="9"/>
  <c r="F26541" i="9"/>
  <c r="H26541" i="9"/>
  <c r="F26542" i="9"/>
  <c r="H26542" i="9"/>
  <c r="F26543" i="9"/>
  <c r="H26543" i="9"/>
  <c r="F26544" i="9"/>
  <c r="H26544" i="9"/>
  <c r="F26545" i="9"/>
  <c r="H26545" i="9"/>
  <c r="F26546" i="9"/>
  <c r="H26546" i="9"/>
  <c r="F26547" i="9"/>
  <c r="H26547" i="9"/>
  <c r="F26548" i="9"/>
  <c r="H26548" i="9"/>
  <c r="F26549" i="9"/>
  <c r="H26549" i="9"/>
  <c r="F26550" i="9"/>
  <c r="H26550" i="9"/>
  <c r="F26551" i="9"/>
  <c r="H26551" i="9"/>
  <c r="F26552" i="9"/>
  <c r="H26552" i="9"/>
  <c r="F26553" i="9"/>
  <c r="H26553" i="9"/>
  <c r="F26554" i="9"/>
  <c r="H26554" i="9"/>
  <c r="F26555" i="9"/>
  <c r="H26555" i="9"/>
  <c r="F26556" i="9"/>
  <c r="H26556" i="9"/>
  <c r="F26557" i="9"/>
  <c r="H26557" i="9"/>
  <c r="F26558" i="9"/>
  <c r="H26558" i="9"/>
  <c r="F26559" i="9"/>
  <c r="H26559" i="9"/>
  <c r="F26560" i="9"/>
  <c r="H26560" i="9"/>
  <c r="F26561" i="9"/>
  <c r="H26561" i="9"/>
  <c r="F26562" i="9"/>
  <c r="H26562" i="9"/>
  <c r="F26563" i="9"/>
  <c r="H26563" i="9"/>
  <c r="F26564" i="9"/>
  <c r="H26564" i="9"/>
  <c r="F26565" i="9"/>
  <c r="H26565" i="9"/>
  <c r="F26566" i="9"/>
  <c r="H26566" i="9"/>
  <c r="F26567" i="9"/>
  <c r="H26567" i="9"/>
  <c r="F26568" i="9"/>
  <c r="H26568" i="9"/>
  <c r="F26569" i="9"/>
  <c r="H26569" i="9"/>
  <c r="F26570" i="9"/>
  <c r="H26570" i="9"/>
  <c r="F26571" i="9"/>
  <c r="H26571" i="9"/>
  <c r="F26572" i="9"/>
  <c r="H26572" i="9"/>
  <c r="F26573" i="9"/>
  <c r="H26573" i="9"/>
  <c r="F26574" i="9"/>
  <c r="H26574" i="9"/>
  <c r="F26575" i="9"/>
  <c r="H26575" i="9"/>
  <c r="F26576" i="9"/>
  <c r="H26576" i="9"/>
  <c r="F26577" i="9"/>
  <c r="H26577" i="9"/>
  <c r="F26578" i="9"/>
  <c r="H26578" i="9"/>
  <c r="F26579" i="9"/>
  <c r="H26579" i="9"/>
  <c r="F26580" i="9"/>
  <c r="H26580" i="9"/>
  <c r="F26581" i="9"/>
  <c r="H26581" i="9"/>
  <c r="F26582" i="9"/>
  <c r="H26582" i="9"/>
  <c r="F26583" i="9"/>
  <c r="H26583" i="9"/>
  <c r="F26584" i="9"/>
  <c r="H26584" i="9"/>
  <c r="F26585" i="9"/>
  <c r="H26585" i="9"/>
  <c r="F26586" i="9"/>
  <c r="H26586" i="9"/>
  <c r="F26587" i="9"/>
  <c r="H26587" i="9"/>
  <c r="F26588" i="9"/>
  <c r="H26588" i="9"/>
  <c r="F26589" i="9"/>
  <c r="H26589" i="9"/>
  <c r="F26590" i="9"/>
  <c r="H26590" i="9"/>
  <c r="F26591" i="9"/>
  <c r="H26591" i="9"/>
  <c r="F26592" i="9"/>
  <c r="H26592" i="9"/>
  <c r="F26593" i="9"/>
  <c r="H26593" i="9"/>
  <c r="F26594" i="9"/>
  <c r="H26594" i="9"/>
  <c r="F26595" i="9"/>
  <c r="H26595" i="9"/>
  <c r="F26596" i="9"/>
  <c r="H26596" i="9"/>
  <c r="F26597" i="9"/>
  <c r="H26597" i="9"/>
  <c r="F26598" i="9"/>
  <c r="H26598" i="9"/>
  <c r="F26599" i="9"/>
  <c r="H26599" i="9"/>
  <c r="F26600" i="9"/>
  <c r="H26600" i="9"/>
  <c r="F26601" i="9"/>
  <c r="H26601" i="9"/>
  <c r="F26602" i="9"/>
  <c r="H26602" i="9"/>
  <c r="F26603" i="9"/>
  <c r="H26603" i="9"/>
  <c r="F26604" i="9"/>
  <c r="H26604" i="9"/>
  <c r="F26605" i="9"/>
  <c r="H26605" i="9"/>
  <c r="F26606" i="9"/>
  <c r="H26606" i="9"/>
  <c r="F26607" i="9"/>
  <c r="H26607" i="9"/>
  <c r="F26608" i="9"/>
  <c r="H26608" i="9"/>
  <c r="F26609" i="9"/>
  <c r="H26609" i="9"/>
  <c r="F26610" i="9"/>
  <c r="H26610" i="9"/>
  <c r="F26611" i="9"/>
  <c r="H26611" i="9"/>
  <c r="F26612" i="9"/>
  <c r="H26612" i="9"/>
  <c r="F26613" i="9"/>
  <c r="H26613" i="9"/>
  <c r="F26614" i="9"/>
  <c r="H26614" i="9"/>
  <c r="F26615" i="9"/>
  <c r="H26615" i="9"/>
  <c r="F26616" i="9"/>
  <c r="H26616" i="9"/>
  <c r="F26617" i="9"/>
  <c r="H26617" i="9"/>
  <c r="F26618" i="9"/>
  <c r="H26618" i="9"/>
  <c r="F26619" i="9"/>
  <c r="H26619" i="9"/>
  <c r="F26620" i="9"/>
  <c r="H26620" i="9"/>
  <c r="F26621" i="9"/>
  <c r="H26621" i="9"/>
  <c r="F26622" i="9"/>
  <c r="H26622" i="9"/>
  <c r="F26623" i="9"/>
  <c r="H26623" i="9"/>
  <c r="F26624" i="9"/>
  <c r="H26624" i="9"/>
  <c r="F26625" i="9"/>
  <c r="H26625" i="9"/>
  <c r="F26626" i="9"/>
  <c r="H26626" i="9"/>
  <c r="F26627" i="9"/>
  <c r="H26627" i="9"/>
  <c r="F26628" i="9"/>
  <c r="H26628" i="9"/>
  <c r="F26629" i="9"/>
  <c r="H26629" i="9"/>
  <c r="F26630" i="9"/>
  <c r="H26630" i="9"/>
  <c r="F26631" i="9"/>
  <c r="H26631" i="9"/>
  <c r="F26632" i="9"/>
  <c r="H26632" i="9"/>
  <c r="F26633" i="9"/>
  <c r="H26633" i="9"/>
  <c r="F26634" i="9"/>
  <c r="H26634" i="9"/>
  <c r="F26635" i="9"/>
  <c r="H26635" i="9"/>
  <c r="F26636" i="9"/>
  <c r="H26636" i="9"/>
  <c r="F26637" i="9"/>
  <c r="H26637" i="9"/>
  <c r="F26638" i="9"/>
  <c r="H26638" i="9"/>
  <c r="F26639" i="9"/>
  <c r="H26639" i="9"/>
  <c r="F26640" i="9"/>
  <c r="H26640" i="9"/>
  <c r="F26641" i="9"/>
  <c r="H26641" i="9"/>
  <c r="F26642" i="9"/>
  <c r="H26642" i="9"/>
  <c r="F26643" i="9"/>
  <c r="H26643" i="9"/>
  <c r="F26644" i="9"/>
  <c r="H26644" i="9"/>
  <c r="F26645" i="9"/>
  <c r="H26645" i="9"/>
  <c r="F26646" i="9"/>
  <c r="H26646" i="9"/>
  <c r="F26647" i="9"/>
  <c r="H26647" i="9"/>
  <c r="F26648" i="9"/>
  <c r="H26648" i="9"/>
  <c r="F26649" i="9"/>
  <c r="H26649" i="9"/>
  <c r="F26650" i="9"/>
  <c r="H26650" i="9"/>
  <c r="F26651" i="9"/>
  <c r="H26651" i="9"/>
  <c r="F26652" i="9"/>
  <c r="H26652" i="9"/>
  <c r="F26653" i="9"/>
  <c r="H26653" i="9"/>
  <c r="F26654" i="9"/>
  <c r="H26654" i="9"/>
  <c r="F26655" i="9"/>
  <c r="H26655" i="9"/>
  <c r="F26656" i="9"/>
  <c r="H26656" i="9"/>
  <c r="F26657" i="9"/>
  <c r="H26657" i="9"/>
  <c r="F26658" i="9"/>
  <c r="H26658" i="9"/>
  <c r="F26659" i="9"/>
  <c r="H26659" i="9"/>
  <c r="F26660" i="9"/>
  <c r="H26660" i="9"/>
  <c r="F26661" i="9"/>
  <c r="H26661" i="9"/>
  <c r="F26662" i="9"/>
  <c r="H26662" i="9"/>
  <c r="F26663" i="9"/>
  <c r="H26663" i="9"/>
  <c r="F26664" i="9"/>
  <c r="H26664" i="9"/>
  <c r="F26665" i="9"/>
  <c r="H26665" i="9"/>
  <c r="F26666" i="9"/>
  <c r="H26666" i="9"/>
  <c r="F26667" i="9"/>
  <c r="H26667" i="9"/>
  <c r="F26668" i="9"/>
  <c r="H26668" i="9"/>
  <c r="F26669" i="9"/>
  <c r="H26669" i="9"/>
  <c r="F26670" i="9"/>
  <c r="H26670" i="9"/>
  <c r="F26671" i="9"/>
  <c r="H26671" i="9"/>
  <c r="F26672" i="9"/>
  <c r="H26672" i="9"/>
  <c r="F26673" i="9"/>
  <c r="H26673" i="9"/>
  <c r="F26674" i="9"/>
  <c r="H26674" i="9"/>
  <c r="F26675" i="9"/>
  <c r="H26675" i="9"/>
  <c r="F26676" i="9"/>
  <c r="H26676" i="9"/>
  <c r="F26677" i="9"/>
  <c r="H26677" i="9"/>
  <c r="F26678" i="9"/>
  <c r="H26678" i="9"/>
  <c r="F26679" i="9"/>
  <c r="H26679" i="9"/>
  <c r="F26680" i="9"/>
  <c r="H26680" i="9"/>
  <c r="F26681" i="9"/>
  <c r="H26681" i="9"/>
  <c r="F26682" i="9"/>
  <c r="H26682" i="9"/>
  <c r="F26683" i="9"/>
  <c r="H26683" i="9"/>
  <c r="F26684" i="9"/>
  <c r="H26684" i="9"/>
  <c r="F26685" i="9"/>
  <c r="H26685" i="9"/>
  <c r="F26686" i="9"/>
  <c r="H26686" i="9"/>
  <c r="F26687" i="9"/>
  <c r="H26687" i="9"/>
  <c r="F26688" i="9"/>
  <c r="H26688" i="9"/>
  <c r="F26689" i="9"/>
  <c r="H26689" i="9"/>
  <c r="F26690" i="9"/>
  <c r="H26690" i="9"/>
  <c r="F26691" i="9"/>
  <c r="H26691" i="9"/>
  <c r="F26692" i="9"/>
  <c r="H26692" i="9"/>
  <c r="F26693" i="9"/>
  <c r="H26693" i="9"/>
  <c r="F26694" i="9"/>
  <c r="H26694" i="9"/>
  <c r="F26695" i="9"/>
  <c r="H26695" i="9"/>
  <c r="F26696" i="9"/>
  <c r="H26696" i="9"/>
  <c r="F26697" i="9"/>
  <c r="H26697" i="9"/>
  <c r="F26698" i="9"/>
  <c r="H26698" i="9"/>
  <c r="F26699" i="9"/>
  <c r="H26699" i="9"/>
  <c r="F26700" i="9"/>
  <c r="H26700" i="9"/>
  <c r="F26701" i="9"/>
  <c r="H26701" i="9"/>
  <c r="F26702" i="9"/>
  <c r="H26702" i="9"/>
  <c r="F26703" i="9"/>
  <c r="H26703" i="9"/>
  <c r="F26704" i="9"/>
  <c r="H26704" i="9"/>
  <c r="F26705" i="9"/>
  <c r="H26705" i="9"/>
  <c r="F26706" i="9"/>
  <c r="H26706" i="9"/>
  <c r="F26707" i="9"/>
  <c r="H26707" i="9"/>
  <c r="F26708" i="9"/>
  <c r="H26708" i="9"/>
  <c r="F26709" i="9"/>
  <c r="H26709" i="9"/>
  <c r="F26710" i="9"/>
  <c r="H26710" i="9"/>
  <c r="F26711" i="9"/>
  <c r="H26711" i="9"/>
  <c r="F26712" i="9"/>
  <c r="H26712" i="9"/>
  <c r="F26713" i="9"/>
  <c r="H26713" i="9"/>
  <c r="F26714" i="9"/>
  <c r="H26714" i="9"/>
  <c r="F26715" i="9"/>
  <c r="H26715" i="9"/>
  <c r="F26716" i="9"/>
  <c r="H26716" i="9"/>
  <c r="F26717" i="9"/>
  <c r="H26717" i="9"/>
  <c r="F26718" i="9"/>
  <c r="H26718" i="9"/>
  <c r="F26719" i="9"/>
  <c r="H26719" i="9"/>
  <c r="F26720" i="9"/>
  <c r="H26720" i="9"/>
  <c r="F26721" i="9"/>
  <c r="H26721" i="9"/>
  <c r="F26722" i="9"/>
  <c r="H26722" i="9"/>
  <c r="F26723" i="9"/>
  <c r="H26723" i="9"/>
  <c r="F26724" i="9"/>
  <c r="H26724" i="9"/>
  <c r="F26725" i="9"/>
  <c r="H26725" i="9"/>
  <c r="F26726" i="9"/>
  <c r="H26726" i="9"/>
  <c r="F26727" i="9"/>
  <c r="H26727" i="9"/>
  <c r="F26728" i="9"/>
  <c r="H26728" i="9"/>
  <c r="F26729" i="9"/>
  <c r="H26729" i="9"/>
  <c r="F26730" i="9"/>
  <c r="H26730" i="9"/>
  <c r="F26731" i="9"/>
  <c r="H26731" i="9"/>
  <c r="F26732" i="9"/>
  <c r="H26732" i="9"/>
  <c r="F26733" i="9"/>
  <c r="H26733" i="9"/>
  <c r="F26734" i="9"/>
  <c r="H26734" i="9"/>
  <c r="F26735" i="9"/>
  <c r="H26735" i="9"/>
  <c r="F26736" i="9"/>
  <c r="H26736" i="9"/>
  <c r="F26737" i="9"/>
  <c r="H26737" i="9"/>
  <c r="F26738" i="9"/>
  <c r="H26738" i="9"/>
  <c r="F26739" i="9"/>
  <c r="H26739" i="9"/>
  <c r="F26740" i="9"/>
  <c r="H26740" i="9"/>
  <c r="F26741" i="9"/>
  <c r="H26741" i="9"/>
  <c r="F26742" i="9"/>
  <c r="H26742" i="9"/>
  <c r="F26743" i="9"/>
  <c r="H26743" i="9"/>
  <c r="F26744" i="9"/>
  <c r="H26744" i="9"/>
  <c r="F26745" i="9"/>
  <c r="H26745" i="9"/>
  <c r="F26746" i="9"/>
  <c r="H26746" i="9"/>
  <c r="F26747" i="9"/>
  <c r="H26747" i="9"/>
  <c r="F26748" i="9"/>
  <c r="H26748" i="9"/>
  <c r="F26749" i="9"/>
  <c r="H26749" i="9"/>
  <c r="F26750" i="9"/>
  <c r="H26750" i="9"/>
  <c r="F26751" i="9"/>
  <c r="H26751" i="9"/>
  <c r="F26752" i="9"/>
  <c r="H26752" i="9"/>
  <c r="F26753" i="9"/>
  <c r="H26753" i="9"/>
  <c r="F26754" i="9"/>
  <c r="H26754" i="9"/>
  <c r="F26755" i="9"/>
  <c r="H26755" i="9"/>
  <c r="F26756" i="9"/>
  <c r="H26756" i="9"/>
  <c r="F26757" i="9"/>
  <c r="H26757" i="9"/>
  <c r="F26758" i="9"/>
  <c r="H26758" i="9"/>
  <c r="F26759" i="9"/>
  <c r="H26759" i="9"/>
  <c r="F26760" i="9"/>
  <c r="H26760" i="9"/>
  <c r="F26761" i="9"/>
  <c r="H26761" i="9"/>
  <c r="F26762" i="9"/>
  <c r="H26762" i="9"/>
  <c r="F26763" i="9"/>
  <c r="H26763" i="9"/>
  <c r="F26764" i="9"/>
  <c r="H26764" i="9"/>
  <c r="F26765" i="9"/>
  <c r="H26765" i="9"/>
  <c r="F26766" i="9"/>
  <c r="H26766" i="9"/>
  <c r="F26767" i="9"/>
  <c r="H26767" i="9"/>
  <c r="F26768" i="9"/>
  <c r="H26768" i="9"/>
  <c r="F26769" i="9"/>
  <c r="H26769" i="9"/>
  <c r="F26770" i="9"/>
  <c r="H26770" i="9"/>
  <c r="F26771" i="9"/>
  <c r="H26771" i="9"/>
  <c r="F26772" i="9"/>
  <c r="H26772" i="9"/>
  <c r="F26773" i="9"/>
  <c r="H26773" i="9"/>
  <c r="F26774" i="9"/>
  <c r="H26774" i="9"/>
  <c r="F26775" i="9"/>
  <c r="H26775" i="9"/>
  <c r="F26776" i="9"/>
  <c r="H26776" i="9"/>
  <c r="F26777" i="9"/>
  <c r="H26777" i="9"/>
  <c r="F26778" i="9"/>
  <c r="H26778" i="9"/>
  <c r="F26779" i="9"/>
  <c r="H26779" i="9"/>
  <c r="F26780" i="9"/>
  <c r="H26780" i="9"/>
  <c r="F26781" i="9"/>
  <c r="H26781" i="9"/>
  <c r="F26782" i="9"/>
  <c r="H26782" i="9"/>
  <c r="F26783" i="9"/>
  <c r="H26783" i="9"/>
  <c r="F26784" i="9"/>
  <c r="H26784" i="9"/>
  <c r="F26785" i="9"/>
  <c r="H26785" i="9"/>
  <c r="F26786" i="9"/>
  <c r="H26786" i="9"/>
  <c r="F26787" i="9"/>
  <c r="H26787" i="9"/>
  <c r="F26788" i="9"/>
  <c r="H26788" i="9"/>
  <c r="F26789" i="9"/>
  <c r="H26789" i="9"/>
  <c r="F26790" i="9"/>
  <c r="H26790" i="9"/>
  <c r="F26791" i="9"/>
  <c r="H26791" i="9"/>
  <c r="F26792" i="9"/>
  <c r="H26792" i="9"/>
  <c r="F26793" i="9"/>
  <c r="H26793" i="9"/>
  <c r="F26794" i="9"/>
  <c r="H26794" i="9"/>
  <c r="F26795" i="9"/>
  <c r="H26795" i="9"/>
  <c r="F26796" i="9"/>
  <c r="H26796" i="9"/>
  <c r="F26797" i="9"/>
  <c r="H26797" i="9"/>
  <c r="F26798" i="9"/>
  <c r="H26798" i="9"/>
  <c r="F26799" i="9"/>
  <c r="H26799" i="9"/>
  <c r="F26800" i="9"/>
  <c r="H26800" i="9"/>
  <c r="F26801" i="9"/>
  <c r="H26801" i="9"/>
  <c r="F26802" i="9"/>
  <c r="H26802" i="9"/>
  <c r="F26803" i="9"/>
  <c r="H26803" i="9"/>
  <c r="F26804" i="9"/>
  <c r="H26804" i="9"/>
  <c r="F26805" i="9"/>
  <c r="H26805" i="9"/>
  <c r="F26806" i="9"/>
  <c r="H26806" i="9"/>
  <c r="F26807" i="9"/>
  <c r="H26807" i="9"/>
  <c r="F26808" i="9"/>
  <c r="H26808" i="9"/>
  <c r="F26809" i="9"/>
  <c r="H26809" i="9"/>
  <c r="F26810" i="9"/>
  <c r="H26810" i="9"/>
  <c r="F26811" i="9"/>
  <c r="H26811" i="9"/>
  <c r="F26812" i="9"/>
  <c r="H26812" i="9"/>
  <c r="F26813" i="9"/>
  <c r="H26813" i="9"/>
  <c r="F26814" i="9"/>
  <c r="H26814" i="9"/>
  <c r="F26815" i="9"/>
  <c r="H26815" i="9"/>
  <c r="F26816" i="9"/>
  <c r="H26816" i="9"/>
  <c r="F26817" i="9"/>
  <c r="H26817" i="9"/>
  <c r="F26818" i="9"/>
  <c r="H26818" i="9"/>
  <c r="F26819" i="9"/>
  <c r="H26819" i="9"/>
  <c r="F26820" i="9"/>
  <c r="H26820" i="9"/>
  <c r="F26821" i="9"/>
  <c r="H26821" i="9"/>
  <c r="F26822" i="9"/>
  <c r="H26822" i="9"/>
  <c r="F26823" i="9"/>
  <c r="H26823" i="9"/>
  <c r="F26824" i="9"/>
  <c r="H26824" i="9"/>
  <c r="F26825" i="9"/>
  <c r="H26825" i="9"/>
  <c r="F26826" i="9"/>
  <c r="H26826" i="9"/>
  <c r="F26827" i="9"/>
  <c r="H26827" i="9"/>
  <c r="F26828" i="9"/>
  <c r="H26828" i="9"/>
  <c r="F26829" i="9"/>
  <c r="H26829" i="9"/>
  <c r="F26830" i="9"/>
  <c r="H26830" i="9"/>
  <c r="F26831" i="9"/>
  <c r="H26831" i="9"/>
  <c r="F26832" i="9"/>
  <c r="H26832" i="9"/>
  <c r="F26833" i="9"/>
  <c r="H26833" i="9"/>
  <c r="F26834" i="9"/>
  <c r="H26834" i="9"/>
  <c r="F26835" i="9"/>
  <c r="H26835" i="9"/>
  <c r="F26836" i="9"/>
  <c r="H26836" i="9"/>
  <c r="F26837" i="9"/>
  <c r="H26837" i="9"/>
  <c r="F26838" i="9"/>
  <c r="H26838" i="9"/>
  <c r="F26839" i="9"/>
  <c r="H26839" i="9"/>
  <c r="F26840" i="9"/>
  <c r="H26840" i="9"/>
  <c r="F26841" i="9"/>
  <c r="H26841" i="9"/>
  <c r="F26842" i="9"/>
  <c r="H26842" i="9"/>
  <c r="F26843" i="9"/>
  <c r="H26843" i="9"/>
  <c r="F26844" i="9"/>
  <c r="H26844" i="9"/>
  <c r="F26845" i="9"/>
  <c r="H26845" i="9"/>
  <c r="F26846" i="9"/>
  <c r="H26846" i="9"/>
  <c r="F26847" i="9"/>
  <c r="H26847" i="9"/>
  <c r="F26848" i="9"/>
  <c r="H26848" i="9"/>
  <c r="F26849" i="9"/>
  <c r="H26849" i="9"/>
  <c r="F26850" i="9"/>
  <c r="H26850" i="9"/>
  <c r="F26851" i="9"/>
  <c r="H26851" i="9"/>
  <c r="F26852" i="9"/>
  <c r="H26852" i="9"/>
  <c r="F26853" i="9"/>
  <c r="H26853" i="9"/>
  <c r="F26854" i="9"/>
  <c r="H26854" i="9"/>
  <c r="F26855" i="9"/>
  <c r="H26855" i="9"/>
  <c r="F26856" i="9"/>
  <c r="H26856" i="9"/>
  <c r="F26857" i="9"/>
  <c r="H26857" i="9"/>
  <c r="F26858" i="9"/>
  <c r="H26858" i="9"/>
  <c r="F26859" i="9"/>
  <c r="H26859" i="9"/>
  <c r="F26860" i="9"/>
  <c r="H26860" i="9"/>
  <c r="F26861" i="9"/>
  <c r="H26861" i="9"/>
  <c r="F26862" i="9"/>
  <c r="H26862" i="9"/>
  <c r="F26863" i="9"/>
  <c r="H26863" i="9"/>
  <c r="F26864" i="9"/>
  <c r="H26864" i="9"/>
  <c r="F26865" i="9"/>
  <c r="H26865" i="9"/>
  <c r="F26866" i="9"/>
  <c r="H26866" i="9"/>
  <c r="F26867" i="9"/>
  <c r="H26867" i="9"/>
  <c r="F26868" i="9"/>
  <c r="H26868" i="9"/>
  <c r="F26869" i="9"/>
  <c r="H26869" i="9"/>
  <c r="F26870" i="9"/>
  <c r="H26870" i="9"/>
  <c r="F26871" i="9"/>
  <c r="H26871" i="9"/>
  <c r="F26872" i="9"/>
  <c r="H26872" i="9"/>
  <c r="F26873" i="9"/>
  <c r="H26873" i="9"/>
  <c r="F26874" i="9"/>
  <c r="H26874" i="9"/>
  <c r="F26875" i="9"/>
  <c r="H26875" i="9"/>
  <c r="F26876" i="9"/>
  <c r="H26876" i="9"/>
  <c r="F26877" i="9"/>
  <c r="H26877" i="9"/>
  <c r="F26878" i="9"/>
  <c r="H26878" i="9"/>
  <c r="F26879" i="9"/>
  <c r="H26879" i="9"/>
  <c r="F26880" i="9"/>
  <c r="H26880" i="9"/>
  <c r="F26881" i="9"/>
  <c r="H26881" i="9"/>
  <c r="F26882" i="9"/>
  <c r="H26882" i="9"/>
  <c r="F26883" i="9"/>
  <c r="H26883" i="9"/>
  <c r="F26884" i="9"/>
  <c r="H26884" i="9"/>
  <c r="F26885" i="9"/>
  <c r="H26885" i="9"/>
  <c r="F26886" i="9"/>
  <c r="H26886" i="9"/>
  <c r="F26887" i="9"/>
  <c r="H26887" i="9"/>
  <c r="F26888" i="9"/>
  <c r="H26888" i="9"/>
  <c r="F26889" i="9"/>
  <c r="H26889" i="9"/>
  <c r="F26890" i="9"/>
  <c r="H26890" i="9"/>
  <c r="F26891" i="9"/>
  <c r="H26891" i="9"/>
  <c r="F26892" i="9"/>
  <c r="H26892" i="9"/>
  <c r="F26893" i="9"/>
  <c r="H26893" i="9"/>
  <c r="F26894" i="9"/>
  <c r="H26894" i="9"/>
  <c r="F26895" i="9"/>
  <c r="H26895" i="9"/>
  <c r="F26896" i="9"/>
  <c r="H26896" i="9"/>
  <c r="F26897" i="9"/>
  <c r="H26897" i="9"/>
  <c r="F26898" i="9"/>
  <c r="H26898" i="9"/>
  <c r="F26899" i="9"/>
  <c r="H26899" i="9"/>
  <c r="F26900" i="9"/>
  <c r="H26900" i="9"/>
  <c r="F26901" i="9"/>
  <c r="H26901" i="9"/>
  <c r="F26902" i="9"/>
  <c r="H26902" i="9"/>
  <c r="F26903" i="9"/>
  <c r="H26903" i="9"/>
  <c r="F26904" i="9"/>
  <c r="H26904" i="9"/>
  <c r="F26905" i="9"/>
  <c r="H26905" i="9"/>
  <c r="F26906" i="9"/>
  <c r="H26906" i="9"/>
  <c r="F26907" i="9"/>
  <c r="H26907" i="9"/>
  <c r="F26908" i="9"/>
  <c r="H26908" i="9"/>
  <c r="F26909" i="9"/>
  <c r="H26909" i="9"/>
  <c r="F26910" i="9"/>
  <c r="H26910" i="9"/>
  <c r="F26911" i="9"/>
  <c r="H26911" i="9"/>
  <c r="F26912" i="9"/>
  <c r="H26912" i="9"/>
  <c r="F26913" i="9"/>
  <c r="H26913" i="9"/>
  <c r="F26914" i="9"/>
  <c r="H26914" i="9"/>
  <c r="F26915" i="9"/>
  <c r="H26915" i="9"/>
  <c r="F26916" i="9"/>
  <c r="H26916" i="9"/>
  <c r="F26917" i="9"/>
  <c r="H26917" i="9"/>
  <c r="F26918" i="9"/>
  <c r="H26918" i="9"/>
  <c r="F26919" i="9"/>
  <c r="H26919" i="9"/>
  <c r="F26920" i="9"/>
  <c r="H26920" i="9"/>
  <c r="F26921" i="9"/>
  <c r="H26921" i="9"/>
  <c r="F26922" i="9"/>
  <c r="H26922" i="9"/>
  <c r="F26923" i="9"/>
  <c r="H26923" i="9"/>
  <c r="F26924" i="9"/>
  <c r="H26924" i="9"/>
  <c r="F26925" i="9"/>
  <c r="H26925" i="9"/>
  <c r="F26926" i="9"/>
  <c r="H26926" i="9"/>
  <c r="F26927" i="9"/>
  <c r="H26927" i="9"/>
  <c r="F26928" i="9"/>
  <c r="H26928" i="9"/>
  <c r="F26929" i="9"/>
  <c r="H26929" i="9"/>
  <c r="F26930" i="9"/>
  <c r="H26930" i="9"/>
  <c r="F26931" i="9"/>
  <c r="H26931" i="9"/>
  <c r="F26932" i="9"/>
  <c r="H26932" i="9"/>
  <c r="F26933" i="9"/>
  <c r="H26933" i="9"/>
  <c r="F26934" i="9"/>
  <c r="H26934" i="9"/>
  <c r="F26935" i="9"/>
  <c r="H26935" i="9"/>
  <c r="F26936" i="9"/>
  <c r="H26936" i="9"/>
  <c r="F26937" i="9"/>
  <c r="H26937" i="9"/>
  <c r="F26938" i="9"/>
  <c r="H26938" i="9"/>
  <c r="F26939" i="9"/>
  <c r="H26939" i="9"/>
  <c r="F26940" i="9"/>
  <c r="H26940" i="9"/>
  <c r="F26941" i="9"/>
  <c r="H26941" i="9"/>
  <c r="F26942" i="9"/>
  <c r="H26942" i="9"/>
  <c r="F26943" i="9"/>
  <c r="H26943" i="9"/>
  <c r="F26944" i="9"/>
  <c r="H26944" i="9"/>
  <c r="F26945" i="9"/>
  <c r="H26945" i="9"/>
  <c r="F26946" i="9"/>
  <c r="H26946" i="9"/>
  <c r="F26947" i="9"/>
  <c r="H26947" i="9"/>
  <c r="F26948" i="9"/>
  <c r="H26948" i="9"/>
  <c r="F26949" i="9"/>
  <c r="H26949" i="9"/>
  <c r="F26950" i="9"/>
  <c r="H26950" i="9"/>
  <c r="F26951" i="9"/>
  <c r="H26951" i="9"/>
  <c r="F26952" i="9"/>
  <c r="H26952" i="9"/>
  <c r="F26953" i="9"/>
  <c r="H26953" i="9"/>
  <c r="F26954" i="9"/>
  <c r="H26954" i="9"/>
  <c r="F26955" i="9"/>
  <c r="H26955" i="9"/>
  <c r="F26956" i="9"/>
  <c r="H26956" i="9"/>
  <c r="F26957" i="9"/>
  <c r="H26957" i="9"/>
  <c r="F26958" i="9"/>
  <c r="H26958" i="9"/>
  <c r="F26959" i="9"/>
  <c r="H26959" i="9"/>
  <c r="F26960" i="9"/>
  <c r="H26960" i="9"/>
  <c r="F26961" i="9"/>
  <c r="H26961" i="9"/>
  <c r="F26962" i="9"/>
  <c r="H26962" i="9"/>
  <c r="F26963" i="9"/>
  <c r="H26963" i="9"/>
  <c r="F26964" i="9"/>
  <c r="H26964" i="9"/>
  <c r="F26965" i="9"/>
  <c r="H26965" i="9"/>
  <c r="F26966" i="9"/>
  <c r="H26966" i="9"/>
  <c r="F26967" i="9"/>
  <c r="H26967" i="9"/>
  <c r="F26968" i="9"/>
  <c r="H26968" i="9"/>
  <c r="F26969" i="9"/>
  <c r="H26969" i="9"/>
  <c r="F26970" i="9"/>
  <c r="H26970" i="9"/>
  <c r="F26971" i="9"/>
  <c r="H26971" i="9"/>
  <c r="F26972" i="9"/>
  <c r="H26972" i="9"/>
  <c r="F26973" i="9"/>
  <c r="H26973" i="9"/>
  <c r="F26974" i="9"/>
  <c r="H26974" i="9"/>
  <c r="F26975" i="9"/>
  <c r="H26975" i="9"/>
  <c r="F26976" i="9"/>
  <c r="H26976" i="9"/>
  <c r="F26977" i="9"/>
  <c r="H26977" i="9"/>
  <c r="F26978" i="9"/>
  <c r="H26978" i="9"/>
  <c r="F26979" i="9"/>
  <c r="H26979" i="9"/>
  <c r="F26980" i="9"/>
  <c r="H26980" i="9"/>
  <c r="F26981" i="9"/>
  <c r="H26981" i="9"/>
  <c r="F26982" i="9"/>
  <c r="H26982" i="9"/>
  <c r="F26983" i="9"/>
  <c r="H26983" i="9"/>
  <c r="F26984" i="9"/>
  <c r="H26984" i="9"/>
  <c r="F26985" i="9"/>
  <c r="H26985" i="9"/>
  <c r="F26986" i="9"/>
  <c r="H26986" i="9"/>
  <c r="F26987" i="9"/>
  <c r="H26987" i="9"/>
  <c r="F26988" i="9"/>
  <c r="H26988" i="9"/>
  <c r="F26989" i="9"/>
  <c r="H26989" i="9"/>
  <c r="F26990" i="9"/>
  <c r="H26990" i="9"/>
  <c r="F26991" i="9"/>
  <c r="H26991" i="9"/>
  <c r="F26992" i="9"/>
  <c r="H26992" i="9"/>
  <c r="F26993" i="9"/>
  <c r="H26993" i="9"/>
  <c r="F26994" i="9"/>
  <c r="H26994" i="9"/>
  <c r="F26995" i="9"/>
  <c r="H26995" i="9"/>
  <c r="F26996" i="9"/>
  <c r="H26996" i="9"/>
  <c r="F26997" i="9"/>
  <c r="H26997" i="9"/>
  <c r="F26998" i="9"/>
  <c r="H26998" i="9"/>
  <c r="F26999" i="9"/>
  <c r="H26999" i="9"/>
  <c r="F27000" i="9"/>
  <c r="H27000" i="9"/>
  <c r="F27001" i="9"/>
  <c r="H27001" i="9"/>
  <c r="F27002" i="9"/>
  <c r="H27002" i="9"/>
  <c r="F27003" i="9"/>
  <c r="H27003" i="9"/>
  <c r="F27004" i="9"/>
  <c r="H27004" i="9"/>
  <c r="F27005" i="9"/>
  <c r="H27005" i="9"/>
  <c r="F27006" i="9"/>
  <c r="H27006" i="9"/>
  <c r="F27007" i="9"/>
  <c r="H27007" i="9"/>
  <c r="F27008" i="9"/>
  <c r="H27008" i="9"/>
  <c r="F27009" i="9"/>
  <c r="H27009" i="9"/>
  <c r="F27010" i="9"/>
  <c r="H27010" i="9"/>
  <c r="F27011" i="9"/>
  <c r="H27011" i="9"/>
  <c r="F27012" i="9"/>
  <c r="H27012" i="9"/>
  <c r="F27013" i="9"/>
  <c r="H27013" i="9"/>
  <c r="F27014" i="9"/>
  <c r="H27014" i="9"/>
  <c r="F27015" i="9"/>
  <c r="H27015" i="9"/>
  <c r="F27016" i="9"/>
  <c r="H27016" i="9"/>
  <c r="F27017" i="9"/>
  <c r="H27017" i="9"/>
  <c r="F27018" i="9"/>
  <c r="H27018" i="9"/>
  <c r="F27019" i="9"/>
  <c r="H27019" i="9"/>
  <c r="F27020" i="9"/>
  <c r="H27020" i="9"/>
  <c r="F27021" i="9"/>
  <c r="H27021" i="9"/>
  <c r="F27022" i="9"/>
  <c r="H27022" i="9"/>
  <c r="F27023" i="9"/>
  <c r="H27023" i="9"/>
  <c r="F27024" i="9"/>
  <c r="H27024" i="9"/>
  <c r="F27025" i="9"/>
  <c r="H27025" i="9"/>
  <c r="F27026" i="9"/>
  <c r="H27026" i="9"/>
  <c r="F27027" i="9"/>
  <c r="H27027" i="9"/>
  <c r="F27028" i="9"/>
  <c r="H27028" i="9"/>
  <c r="F27029" i="9"/>
  <c r="H27029" i="9"/>
  <c r="F27030" i="9"/>
  <c r="H27030" i="9"/>
  <c r="F27031" i="9"/>
  <c r="H27031" i="9"/>
  <c r="F27032" i="9"/>
  <c r="H27032" i="9"/>
  <c r="F27033" i="9"/>
  <c r="H27033" i="9"/>
  <c r="F27034" i="9"/>
  <c r="H27034" i="9"/>
  <c r="F27035" i="9"/>
  <c r="H27035" i="9"/>
  <c r="F27036" i="9"/>
  <c r="H27036" i="9"/>
  <c r="F27037" i="9"/>
  <c r="H27037" i="9"/>
  <c r="F27038" i="9"/>
  <c r="H27038" i="9"/>
  <c r="F27039" i="9"/>
  <c r="H27039" i="9"/>
  <c r="F27040" i="9"/>
  <c r="H27040" i="9"/>
  <c r="F27041" i="9"/>
  <c r="H27041" i="9"/>
  <c r="F27042" i="9"/>
  <c r="H27042" i="9"/>
  <c r="F27043" i="9"/>
  <c r="H27043" i="9"/>
  <c r="F27044" i="9"/>
  <c r="H27044" i="9"/>
  <c r="F27045" i="9"/>
  <c r="H27045" i="9"/>
  <c r="F27046" i="9"/>
  <c r="H27046" i="9"/>
  <c r="F27047" i="9"/>
  <c r="H27047" i="9"/>
  <c r="F27048" i="9"/>
  <c r="H27048" i="9"/>
  <c r="F27049" i="9"/>
  <c r="H27049" i="9"/>
  <c r="F27050" i="9"/>
  <c r="H27050" i="9"/>
  <c r="F27051" i="9"/>
  <c r="H27051" i="9"/>
  <c r="F27052" i="9"/>
  <c r="H27052" i="9"/>
  <c r="F27053" i="9"/>
  <c r="H27053" i="9"/>
  <c r="F27054" i="9"/>
  <c r="H27054" i="9"/>
  <c r="F27055" i="9"/>
  <c r="H27055" i="9"/>
  <c r="F27056" i="9"/>
  <c r="H27056" i="9"/>
  <c r="F27057" i="9"/>
  <c r="H27057" i="9"/>
  <c r="F27058" i="9"/>
  <c r="H27058" i="9"/>
  <c r="F27059" i="9"/>
  <c r="H27059" i="9"/>
  <c r="F27060" i="9"/>
  <c r="H27060" i="9"/>
  <c r="F27061" i="9"/>
  <c r="H27061" i="9"/>
  <c r="F27062" i="9"/>
  <c r="H27062" i="9"/>
  <c r="F27063" i="9"/>
  <c r="H27063" i="9"/>
  <c r="F27064" i="9"/>
  <c r="H27064" i="9"/>
  <c r="F27065" i="9"/>
  <c r="H27065" i="9"/>
  <c r="F27066" i="9"/>
  <c r="H27066" i="9"/>
  <c r="F27067" i="9"/>
  <c r="H27067" i="9"/>
  <c r="F27068" i="9"/>
  <c r="H27068" i="9"/>
  <c r="F27069" i="9"/>
  <c r="H27069" i="9"/>
  <c r="F27070" i="9"/>
  <c r="H27070" i="9"/>
  <c r="F27071" i="9"/>
  <c r="H27071" i="9"/>
  <c r="F27072" i="9"/>
  <c r="H27072" i="9"/>
  <c r="F27073" i="9"/>
  <c r="H27073" i="9"/>
  <c r="F27074" i="9"/>
  <c r="H27074" i="9"/>
  <c r="F27075" i="9"/>
  <c r="H27075" i="9"/>
  <c r="F27076" i="9"/>
  <c r="H27076" i="9"/>
  <c r="F27077" i="9"/>
  <c r="H27077" i="9"/>
  <c r="F27078" i="9"/>
  <c r="H27078" i="9"/>
  <c r="F27079" i="9"/>
  <c r="H27079" i="9"/>
  <c r="F27080" i="9"/>
  <c r="H27080" i="9"/>
  <c r="F27081" i="9"/>
  <c r="H27081" i="9"/>
  <c r="F27082" i="9"/>
  <c r="H27082" i="9"/>
  <c r="F27083" i="9"/>
  <c r="H27083" i="9"/>
  <c r="F27084" i="9"/>
  <c r="H27084" i="9"/>
  <c r="F27085" i="9"/>
  <c r="H27085" i="9"/>
  <c r="F27086" i="9"/>
  <c r="H27086" i="9"/>
  <c r="F27087" i="9"/>
  <c r="H27087" i="9"/>
  <c r="F27088" i="9"/>
  <c r="H27088" i="9"/>
  <c r="F27089" i="9"/>
  <c r="H27089" i="9"/>
  <c r="F27090" i="9"/>
  <c r="H27090" i="9"/>
  <c r="F27091" i="9"/>
  <c r="H27091" i="9"/>
  <c r="F27092" i="9"/>
  <c r="H27092" i="9"/>
  <c r="F27093" i="9"/>
  <c r="H27093" i="9"/>
  <c r="F27094" i="9"/>
  <c r="H27094" i="9"/>
  <c r="F27095" i="9"/>
  <c r="H27095" i="9"/>
  <c r="F27096" i="9"/>
  <c r="H27096" i="9"/>
  <c r="F27097" i="9"/>
  <c r="H27097" i="9"/>
  <c r="F27098" i="9"/>
  <c r="H27098" i="9"/>
  <c r="F27099" i="9"/>
  <c r="H27099" i="9"/>
  <c r="F27100" i="9"/>
  <c r="H27100" i="9"/>
  <c r="F27101" i="9"/>
  <c r="H27101" i="9"/>
  <c r="F27102" i="9"/>
  <c r="H27102" i="9"/>
  <c r="F27103" i="9"/>
  <c r="H27103" i="9"/>
  <c r="F27104" i="9"/>
  <c r="H27104" i="9"/>
  <c r="F27105" i="9"/>
  <c r="H27105" i="9"/>
  <c r="F27106" i="9"/>
  <c r="H27106" i="9"/>
  <c r="F27107" i="9"/>
  <c r="H27107" i="9"/>
  <c r="F27108" i="9"/>
  <c r="H27108" i="9"/>
  <c r="F27109" i="9"/>
  <c r="H27109" i="9"/>
  <c r="F27110" i="9"/>
  <c r="H27110" i="9"/>
  <c r="F27111" i="9"/>
  <c r="H27111" i="9"/>
  <c r="F27112" i="9"/>
  <c r="H27112" i="9"/>
  <c r="F27113" i="9"/>
  <c r="H27113" i="9"/>
  <c r="F27114" i="9"/>
  <c r="H27114" i="9"/>
  <c r="F27115" i="9"/>
  <c r="H27115" i="9"/>
  <c r="F27116" i="9"/>
  <c r="H27116" i="9"/>
  <c r="F27117" i="9"/>
  <c r="H27117" i="9"/>
  <c r="F27118" i="9"/>
  <c r="H27118" i="9"/>
  <c r="F27119" i="9"/>
  <c r="H27119" i="9"/>
  <c r="F27120" i="9"/>
  <c r="H27120" i="9"/>
  <c r="F27121" i="9"/>
  <c r="H27121" i="9"/>
  <c r="F27122" i="9"/>
  <c r="H27122" i="9"/>
  <c r="F27123" i="9"/>
  <c r="H27123" i="9"/>
  <c r="F27124" i="9"/>
  <c r="H27124" i="9"/>
  <c r="F27125" i="9"/>
  <c r="H27125" i="9"/>
  <c r="F27126" i="9"/>
  <c r="H27126" i="9"/>
  <c r="F27127" i="9"/>
  <c r="H27127" i="9"/>
  <c r="F27128" i="9"/>
  <c r="H27128" i="9"/>
  <c r="F27129" i="9"/>
  <c r="H27129" i="9"/>
  <c r="F27130" i="9"/>
  <c r="H27130" i="9"/>
  <c r="F27131" i="9"/>
  <c r="H27131" i="9"/>
  <c r="F27132" i="9"/>
  <c r="H27132" i="9"/>
  <c r="F27133" i="9"/>
  <c r="H27133" i="9"/>
  <c r="F27134" i="9"/>
  <c r="H27134" i="9"/>
  <c r="F27135" i="9"/>
  <c r="H27135" i="9"/>
  <c r="F27136" i="9"/>
  <c r="H27136" i="9"/>
  <c r="F27137" i="9"/>
  <c r="H27137" i="9"/>
  <c r="F27138" i="9"/>
  <c r="H27138" i="9"/>
  <c r="F27139" i="9"/>
  <c r="H27139" i="9"/>
  <c r="F27140" i="9"/>
  <c r="H27140" i="9"/>
  <c r="F27141" i="9"/>
  <c r="H27141" i="9"/>
  <c r="F27142" i="9"/>
  <c r="H27142" i="9"/>
  <c r="F27143" i="9"/>
  <c r="H27143" i="9"/>
  <c r="F27144" i="9"/>
  <c r="H27144" i="9"/>
  <c r="F27145" i="9"/>
  <c r="H27145" i="9"/>
  <c r="F27146" i="9"/>
  <c r="H27146" i="9"/>
  <c r="F27147" i="9"/>
  <c r="H27147" i="9"/>
  <c r="F27148" i="9"/>
  <c r="H27148" i="9"/>
  <c r="F27149" i="9"/>
  <c r="H27149" i="9"/>
  <c r="F27150" i="9"/>
  <c r="H27150" i="9"/>
  <c r="F27151" i="9"/>
  <c r="H27151" i="9"/>
  <c r="F27152" i="9"/>
  <c r="H27152" i="9"/>
  <c r="F27153" i="9"/>
  <c r="H27153" i="9"/>
  <c r="F27154" i="9"/>
  <c r="H27154" i="9"/>
  <c r="F27155" i="9"/>
  <c r="H27155" i="9"/>
  <c r="F27156" i="9"/>
  <c r="H27156" i="9"/>
  <c r="F27157" i="9"/>
  <c r="H27157" i="9"/>
  <c r="F27158" i="9"/>
  <c r="H27158" i="9"/>
  <c r="F27159" i="9"/>
  <c r="H27159" i="9"/>
  <c r="F27160" i="9"/>
  <c r="H27160" i="9"/>
  <c r="F27161" i="9"/>
  <c r="H27161" i="9"/>
  <c r="F27162" i="9"/>
  <c r="H27162" i="9"/>
  <c r="F27163" i="9"/>
  <c r="H27163" i="9"/>
  <c r="F27164" i="9"/>
  <c r="H27164" i="9"/>
  <c r="F27165" i="9"/>
  <c r="H27165" i="9"/>
  <c r="F27166" i="9"/>
  <c r="H27166" i="9"/>
  <c r="F27167" i="9"/>
  <c r="H27167" i="9"/>
  <c r="F27168" i="9"/>
  <c r="H27168" i="9"/>
  <c r="F27169" i="9"/>
  <c r="H27169" i="9"/>
  <c r="F27170" i="9"/>
  <c r="H27170" i="9"/>
  <c r="F27171" i="9"/>
  <c r="H27171" i="9"/>
  <c r="F27172" i="9"/>
  <c r="H27172" i="9"/>
  <c r="F27173" i="9"/>
  <c r="H27173" i="9"/>
  <c r="F27174" i="9"/>
  <c r="H27174" i="9"/>
  <c r="F27175" i="9"/>
  <c r="H27175" i="9"/>
  <c r="F27176" i="9"/>
  <c r="H27176" i="9"/>
  <c r="F27177" i="9"/>
  <c r="H27177" i="9"/>
  <c r="F27178" i="9"/>
  <c r="H27178" i="9"/>
  <c r="F27179" i="9"/>
  <c r="H27179" i="9"/>
  <c r="F27180" i="9"/>
  <c r="H27180" i="9"/>
  <c r="F27181" i="9"/>
  <c r="H27181" i="9"/>
  <c r="F27182" i="9"/>
  <c r="H27182" i="9"/>
  <c r="F27183" i="9"/>
  <c r="H27183" i="9"/>
  <c r="F27184" i="9"/>
  <c r="H27184" i="9"/>
  <c r="F27185" i="9"/>
  <c r="H27185" i="9"/>
  <c r="F27186" i="9"/>
  <c r="H27186" i="9"/>
  <c r="F27187" i="9"/>
  <c r="H27187" i="9"/>
  <c r="F27188" i="9"/>
  <c r="H27188" i="9"/>
  <c r="F27189" i="9"/>
  <c r="H27189" i="9"/>
  <c r="F27190" i="9"/>
  <c r="H27190" i="9"/>
  <c r="F27191" i="9"/>
  <c r="H27191" i="9"/>
  <c r="F27192" i="9"/>
  <c r="H27192" i="9"/>
  <c r="F27193" i="9"/>
  <c r="H27193" i="9"/>
  <c r="F27194" i="9"/>
  <c r="H27194" i="9"/>
  <c r="F27195" i="9"/>
  <c r="H27195" i="9"/>
  <c r="F27196" i="9"/>
  <c r="H27196" i="9"/>
  <c r="F27197" i="9"/>
  <c r="H27197" i="9"/>
  <c r="F27198" i="9"/>
  <c r="H27198" i="9"/>
  <c r="F27199" i="9"/>
  <c r="H27199" i="9"/>
  <c r="F27200" i="9"/>
  <c r="H27200" i="9"/>
  <c r="F27201" i="9"/>
  <c r="H27201" i="9"/>
  <c r="F27202" i="9"/>
  <c r="H27202" i="9"/>
  <c r="F27203" i="9"/>
  <c r="H27203" i="9"/>
  <c r="F27204" i="9"/>
  <c r="H27204" i="9"/>
  <c r="F27205" i="9"/>
  <c r="H27205" i="9"/>
  <c r="F27206" i="9"/>
  <c r="H27206" i="9"/>
  <c r="F27207" i="9"/>
  <c r="H27207" i="9"/>
  <c r="F27208" i="9"/>
  <c r="H27208" i="9"/>
  <c r="F27209" i="9"/>
  <c r="H27209" i="9"/>
  <c r="F27210" i="9"/>
  <c r="H27210" i="9"/>
  <c r="F27211" i="9"/>
  <c r="H27211" i="9"/>
  <c r="F27212" i="9"/>
  <c r="H27212" i="9"/>
  <c r="F27213" i="9"/>
  <c r="H27213" i="9"/>
  <c r="F27214" i="9"/>
  <c r="H27214" i="9"/>
  <c r="F27215" i="9"/>
  <c r="H27215" i="9"/>
  <c r="F27216" i="9"/>
  <c r="H27216" i="9"/>
  <c r="F27217" i="9"/>
  <c r="H27217" i="9"/>
  <c r="F27218" i="9"/>
  <c r="H27218" i="9"/>
  <c r="F27219" i="9"/>
  <c r="H27219" i="9"/>
  <c r="F27220" i="9"/>
  <c r="H27220" i="9"/>
  <c r="F27221" i="9"/>
  <c r="H27221" i="9"/>
  <c r="F27222" i="9"/>
  <c r="H27222" i="9"/>
  <c r="F27223" i="9"/>
  <c r="H27223" i="9"/>
  <c r="F27224" i="9"/>
  <c r="H27224" i="9"/>
  <c r="F27225" i="9"/>
  <c r="H27225" i="9"/>
  <c r="F27226" i="9"/>
  <c r="H27226" i="9"/>
  <c r="F27227" i="9"/>
  <c r="H27227" i="9"/>
  <c r="F27228" i="9"/>
  <c r="H27228" i="9"/>
  <c r="F27229" i="9"/>
  <c r="H27229" i="9"/>
  <c r="F27230" i="9"/>
  <c r="H27230" i="9"/>
  <c r="F27231" i="9"/>
  <c r="H27231" i="9"/>
  <c r="F27232" i="9"/>
  <c r="H27232" i="9"/>
  <c r="F27233" i="9"/>
  <c r="H27233" i="9"/>
  <c r="F27234" i="9"/>
  <c r="H27234" i="9"/>
  <c r="F27235" i="9"/>
  <c r="H27235" i="9"/>
  <c r="F27236" i="9"/>
  <c r="H27236" i="9"/>
  <c r="F27237" i="9"/>
  <c r="H27237" i="9"/>
  <c r="F27238" i="9"/>
  <c r="H27238" i="9"/>
  <c r="F27239" i="9"/>
  <c r="H27239" i="9"/>
  <c r="F27240" i="9"/>
  <c r="H27240" i="9"/>
  <c r="F27241" i="9"/>
  <c r="H27241" i="9"/>
  <c r="F27242" i="9"/>
  <c r="H27242" i="9"/>
  <c r="F27243" i="9"/>
  <c r="H27243" i="9"/>
  <c r="F27244" i="9"/>
  <c r="H27244" i="9"/>
  <c r="F27245" i="9"/>
  <c r="H27245" i="9"/>
  <c r="F27246" i="9"/>
  <c r="H27246" i="9"/>
  <c r="F27247" i="9"/>
  <c r="H27247" i="9"/>
  <c r="F27248" i="9"/>
  <c r="H27248" i="9"/>
  <c r="F27249" i="9"/>
  <c r="H27249" i="9"/>
  <c r="F27250" i="9"/>
  <c r="H27250" i="9"/>
  <c r="F27251" i="9"/>
  <c r="H27251" i="9"/>
  <c r="F27252" i="9"/>
  <c r="H27252" i="9"/>
  <c r="F27253" i="9"/>
  <c r="H27253" i="9"/>
  <c r="F27254" i="9"/>
  <c r="H27254" i="9"/>
  <c r="F27255" i="9"/>
  <c r="H27255" i="9"/>
  <c r="F27256" i="9"/>
  <c r="H27256" i="9"/>
  <c r="F27257" i="9"/>
  <c r="H27257" i="9"/>
  <c r="F27258" i="9"/>
  <c r="H27258" i="9"/>
  <c r="F27259" i="9"/>
  <c r="H27259" i="9"/>
  <c r="F27260" i="9"/>
  <c r="H27260" i="9"/>
  <c r="F27261" i="9"/>
  <c r="H27261" i="9"/>
  <c r="F27262" i="9"/>
  <c r="H27262" i="9"/>
  <c r="F27263" i="9"/>
  <c r="H27263" i="9"/>
  <c r="F27264" i="9"/>
  <c r="H27264" i="9"/>
  <c r="F27265" i="9"/>
  <c r="H27265" i="9"/>
  <c r="F27266" i="9"/>
  <c r="H27266" i="9"/>
  <c r="F27267" i="9"/>
  <c r="H27267" i="9"/>
  <c r="F27268" i="9"/>
  <c r="H27268" i="9"/>
  <c r="F27269" i="9"/>
  <c r="H27269" i="9"/>
  <c r="F27270" i="9"/>
  <c r="H27270" i="9"/>
  <c r="F27271" i="9"/>
  <c r="H27271" i="9"/>
  <c r="F27272" i="9"/>
  <c r="H27272" i="9"/>
  <c r="F27273" i="9"/>
  <c r="H27273" i="9"/>
  <c r="F27274" i="9"/>
  <c r="H27274" i="9"/>
  <c r="F27275" i="9"/>
  <c r="H27275" i="9"/>
  <c r="F27276" i="9"/>
  <c r="H27276" i="9"/>
  <c r="F27277" i="9"/>
  <c r="H27277" i="9"/>
  <c r="F27278" i="9"/>
  <c r="H27278" i="9"/>
  <c r="F27279" i="9"/>
  <c r="H27279" i="9"/>
  <c r="F27280" i="9"/>
  <c r="H27280" i="9"/>
  <c r="F27281" i="9"/>
  <c r="H27281" i="9"/>
  <c r="F27282" i="9"/>
  <c r="H27282" i="9"/>
  <c r="F27283" i="9"/>
  <c r="H27283" i="9"/>
  <c r="F27284" i="9"/>
  <c r="H27284" i="9"/>
  <c r="F27285" i="9"/>
  <c r="H27285" i="9"/>
  <c r="F27286" i="9"/>
  <c r="H27286" i="9"/>
  <c r="F27287" i="9"/>
  <c r="H27287" i="9"/>
  <c r="F27288" i="9"/>
  <c r="H27288" i="9"/>
  <c r="F27289" i="9"/>
  <c r="H27289" i="9"/>
  <c r="F27290" i="9"/>
  <c r="H27290" i="9"/>
  <c r="F27291" i="9"/>
  <c r="H27291" i="9"/>
  <c r="F27292" i="9"/>
  <c r="H27292" i="9"/>
  <c r="F27293" i="9"/>
  <c r="H27293" i="9"/>
  <c r="F27294" i="9"/>
  <c r="H27294" i="9"/>
  <c r="F27295" i="9"/>
  <c r="H27295" i="9"/>
  <c r="F27296" i="9"/>
  <c r="H27296" i="9"/>
  <c r="F27297" i="9"/>
  <c r="H27297" i="9"/>
  <c r="F27298" i="9"/>
  <c r="H27298" i="9"/>
  <c r="F27299" i="9"/>
  <c r="H27299" i="9"/>
  <c r="F27300" i="9"/>
  <c r="H27300" i="9"/>
  <c r="F27301" i="9"/>
  <c r="H27301" i="9"/>
  <c r="F27302" i="9"/>
  <c r="H27302" i="9"/>
  <c r="F27303" i="9"/>
  <c r="H27303" i="9"/>
  <c r="F27304" i="9"/>
  <c r="H27304" i="9"/>
  <c r="F27305" i="9"/>
  <c r="H27305" i="9"/>
  <c r="F27306" i="9"/>
  <c r="H27306" i="9"/>
  <c r="F27307" i="9"/>
  <c r="H27307" i="9"/>
  <c r="F27308" i="9"/>
  <c r="H27308" i="9"/>
  <c r="F27309" i="9"/>
  <c r="H27309" i="9"/>
  <c r="F27310" i="9"/>
  <c r="H27310" i="9"/>
  <c r="F27311" i="9"/>
  <c r="H27311" i="9"/>
  <c r="F27312" i="9"/>
  <c r="H27312" i="9"/>
  <c r="F27313" i="9"/>
  <c r="H27313" i="9"/>
  <c r="F27314" i="9"/>
  <c r="H27314" i="9"/>
  <c r="F27315" i="9"/>
  <c r="H27315" i="9"/>
  <c r="F27316" i="9"/>
  <c r="H27316" i="9"/>
  <c r="F27317" i="9"/>
  <c r="H27317" i="9"/>
  <c r="F27318" i="9"/>
  <c r="H27318" i="9"/>
  <c r="F27319" i="9"/>
  <c r="H27319" i="9"/>
  <c r="F27320" i="9"/>
  <c r="H27320" i="9"/>
  <c r="F27321" i="9"/>
  <c r="H27321" i="9"/>
  <c r="F27322" i="9"/>
  <c r="H27322" i="9"/>
  <c r="F27323" i="9"/>
  <c r="H27323" i="9"/>
  <c r="F27324" i="9"/>
  <c r="H27324" i="9"/>
  <c r="F27325" i="9"/>
  <c r="H27325" i="9"/>
  <c r="F27326" i="9"/>
  <c r="H27326" i="9"/>
  <c r="F27327" i="9"/>
  <c r="H27327" i="9"/>
  <c r="F27328" i="9"/>
  <c r="H27328" i="9"/>
  <c r="F27329" i="9"/>
  <c r="H27329" i="9"/>
  <c r="F27330" i="9"/>
  <c r="H27330" i="9"/>
  <c r="F27331" i="9"/>
  <c r="H27331" i="9"/>
  <c r="F27332" i="9"/>
  <c r="H27332" i="9"/>
  <c r="F27333" i="9"/>
  <c r="H27333" i="9"/>
  <c r="F27334" i="9"/>
  <c r="H27334" i="9"/>
  <c r="F27335" i="9"/>
  <c r="H27335" i="9"/>
  <c r="F27336" i="9"/>
  <c r="H27336" i="9"/>
  <c r="F27337" i="9"/>
  <c r="H27337" i="9"/>
  <c r="F27338" i="9"/>
  <c r="H27338" i="9"/>
  <c r="F27339" i="9"/>
  <c r="H27339" i="9"/>
  <c r="F27340" i="9"/>
  <c r="H27340" i="9"/>
  <c r="F27341" i="9"/>
  <c r="H27341" i="9"/>
  <c r="F27342" i="9"/>
  <c r="H27342" i="9"/>
  <c r="F27343" i="9"/>
  <c r="H27343" i="9"/>
  <c r="F27344" i="9"/>
  <c r="H27344" i="9"/>
  <c r="F27345" i="9"/>
  <c r="H27345" i="9"/>
  <c r="F27346" i="9"/>
  <c r="H27346" i="9"/>
  <c r="F27347" i="9"/>
  <c r="H27347" i="9"/>
  <c r="F27348" i="9"/>
  <c r="H27348" i="9"/>
  <c r="F27349" i="9"/>
  <c r="H27349" i="9"/>
  <c r="F27350" i="9"/>
  <c r="H27350" i="9"/>
  <c r="F27351" i="9"/>
  <c r="H27351" i="9"/>
  <c r="F27352" i="9"/>
  <c r="H27352" i="9"/>
  <c r="F27353" i="9"/>
  <c r="H27353" i="9"/>
  <c r="F27354" i="9"/>
  <c r="H27354" i="9"/>
  <c r="F27355" i="9"/>
  <c r="H27355" i="9"/>
  <c r="F27356" i="9"/>
  <c r="H27356" i="9"/>
  <c r="F27357" i="9"/>
  <c r="H27357" i="9"/>
  <c r="F27358" i="9"/>
  <c r="H27358" i="9"/>
  <c r="F27359" i="9"/>
  <c r="H27359" i="9"/>
  <c r="F27360" i="9"/>
  <c r="H27360" i="9"/>
  <c r="F27361" i="9"/>
  <c r="H27361" i="9"/>
  <c r="F27362" i="9"/>
  <c r="H27362" i="9"/>
  <c r="F27363" i="9"/>
  <c r="H27363" i="9"/>
  <c r="F27364" i="9"/>
  <c r="H27364" i="9"/>
  <c r="F27365" i="9"/>
  <c r="H27365" i="9"/>
  <c r="F27366" i="9"/>
  <c r="H27366" i="9"/>
  <c r="F27367" i="9"/>
  <c r="H27367" i="9"/>
  <c r="F27368" i="9"/>
  <c r="H27368" i="9"/>
  <c r="F27369" i="9"/>
  <c r="H27369" i="9"/>
  <c r="F27370" i="9"/>
  <c r="H27370" i="9"/>
  <c r="F27371" i="9"/>
  <c r="H27371" i="9"/>
  <c r="F27372" i="9"/>
  <c r="H27372" i="9"/>
  <c r="F27373" i="9"/>
  <c r="H27373" i="9"/>
  <c r="F27374" i="9"/>
  <c r="H27374" i="9"/>
  <c r="F27375" i="9"/>
  <c r="H27375" i="9"/>
  <c r="F27376" i="9"/>
  <c r="H27376" i="9"/>
  <c r="F27377" i="9"/>
  <c r="H27377" i="9"/>
  <c r="F27378" i="9"/>
  <c r="H27378" i="9"/>
  <c r="F27379" i="9"/>
  <c r="H27379" i="9"/>
  <c r="F27380" i="9"/>
  <c r="H27380" i="9"/>
  <c r="F27381" i="9"/>
  <c r="H27381" i="9"/>
  <c r="F27382" i="9"/>
  <c r="H27382" i="9"/>
  <c r="F27383" i="9"/>
  <c r="H27383" i="9"/>
  <c r="F27384" i="9"/>
  <c r="H27384" i="9"/>
  <c r="F27385" i="9"/>
  <c r="H27385" i="9"/>
  <c r="F27386" i="9"/>
  <c r="H27386" i="9"/>
  <c r="F27387" i="9"/>
  <c r="H27387" i="9"/>
  <c r="F27388" i="9"/>
  <c r="H27388" i="9"/>
  <c r="F27389" i="9"/>
  <c r="H27389" i="9"/>
  <c r="F27390" i="9"/>
  <c r="H27390" i="9"/>
  <c r="F27391" i="9"/>
  <c r="H27391" i="9"/>
  <c r="F27392" i="9"/>
  <c r="H27392" i="9"/>
  <c r="F27393" i="9"/>
  <c r="H27393" i="9"/>
  <c r="F27394" i="9"/>
  <c r="H27394" i="9"/>
  <c r="F27395" i="9"/>
  <c r="H27395" i="9"/>
  <c r="F27396" i="9"/>
  <c r="H27396" i="9"/>
  <c r="F27397" i="9"/>
  <c r="H27397" i="9"/>
  <c r="F27398" i="9"/>
  <c r="H27398" i="9"/>
  <c r="F27399" i="9"/>
  <c r="H27399" i="9"/>
  <c r="F27400" i="9"/>
  <c r="H27400" i="9"/>
  <c r="F27401" i="9"/>
  <c r="H27401" i="9"/>
  <c r="F27402" i="9"/>
  <c r="H27402" i="9"/>
  <c r="F27403" i="9"/>
  <c r="H27403" i="9"/>
  <c r="F27404" i="9"/>
  <c r="H27404" i="9"/>
  <c r="F27405" i="9"/>
  <c r="H27405" i="9"/>
  <c r="F27406" i="9"/>
  <c r="H27406" i="9"/>
  <c r="F27407" i="9"/>
  <c r="H27407" i="9"/>
  <c r="F27408" i="9"/>
  <c r="H27408" i="9"/>
  <c r="F27409" i="9"/>
  <c r="H27409" i="9"/>
  <c r="F27410" i="9"/>
  <c r="H27410" i="9"/>
  <c r="F27411" i="9"/>
  <c r="H27411" i="9"/>
  <c r="F27412" i="9"/>
  <c r="H27412" i="9"/>
  <c r="F27413" i="9"/>
  <c r="H27413" i="9"/>
  <c r="F27414" i="9"/>
  <c r="H27414" i="9"/>
  <c r="F27415" i="9"/>
  <c r="H27415" i="9"/>
  <c r="F27416" i="9"/>
  <c r="H27416" i="9"/>
  <c r="F27417" i="9"/>
  <c r="H27417" i="9"/>
  <c r="F27418" i="9"/>
  <c r="H27418" i="9"/>
  <c r="F27419" i="9"/>
  <c r="H27419" i="9"/>
  <c r="F27420" i="9"/>
  <c r="H27420" i="9"/>
  <c r="F27421" i="9"/>
  <c r="H27421" i="9"/>
  <c r="F27422" i="9"/>
  <c r="H27422" i="9"/>
  <c r="F27423" i="9"/>
  <c r="H27423" i="9"/>
  <c r="F27424" i="9"/>
  <c r="H27424" i="9"/>
  <c r="F27425" i="9"/>
  <c r="H27425" i="9"/>
  <c r="F27426" i="9"/>
  <c r="H27426" i="9"/>
  <c r="F27427" i="9"/>
  <c r="H27427" i="9"/>
  <c r="F27428" i="9"/>
  <c r="H27428" i="9"/>
  <c r="F27429" i="9"/>
  <c r="H27429" i="9"/>
  <c r="F27430" i="9"/>
  <c r="H27430" i="9"/>
  <c r="F27431" i="9"/>
  <c r="H27431" i="9"/>
  <c r="F27432" i="9"/>
  <c r="H27432" i="9"/>
  <c r="F27433" i="9"/>
  <c r="H27433" i="9"/>
  <c r="F27434" i="9"/>
  <c r="H27434" i="9"/>
  <c r="F27435" i="9"/>
  <c r="H27435" i="9"/>
  <c r="F27436" i="9"/>
  <c r="H27436" i="9"/>
  <c r="F27437" i="9"/>
  <c r="H27437" i="9"/>
  <c r="F27438" i="9"/>
  <c r="H27438" i="9"/>
  <c r="F27439" i="9"/>
  <c r="H27439" i="9"/>
  <c r="F27440" i="9"/>
  <c r="H27440" i="9"/>
  <c r="F27441" i="9"/>
  <c r="H27441" i="9"/>
  <c r="F27442" i="9"/>
  <c r="H27442" i="9"/>
  <c r="F27443" i="9"/>
  <c r="H27443" i="9"/>
  <c r="F27444" i="9"/>
  <c r="H27444" i="9"/>
  <c r="F27445" i="9"/>
  <c r="H27445" i="9"/>
  <c r="F27446" i="9"/>
  <c r="H27446" i="9"/>
  <c r="F27447" i="9"/>
  <c r="H27447" i="9"/>
  <c r="F27448" i="9"/>
  <c r="H27448" i="9"/>
  <c r="F27449" i="9"/>
  <c r="H27449" i="9"/>
  <c r="F27450" i="9"/>
  <c r="H27450" i="9"/>
  <c r="F27451" i="9"/>
  <c r="H27451" i="9"/>
  <c r="F27452" i="9"/>
  <c r="H27452" i="9"/>
  <c r="F27453" i="9"/>
  <c r="H27453" i="9"/>
  <c r="F27454" i="9"/>
  <c r="H27454" i="9"/>
  <c r="F27455" i="9"/>
  <c r="H27455" i="9"/>
  <c r="F27456" i="9"/>
  <c r="H27456" i="9"/>
  <c r="F27457" i="9"/>
  <c r="H27457" i="9"/>
  <c r="F27458" i="9"/>
  <c r="H27458" i="9"/>
  <c r="F27459" i="9"/>
  <c r="H27459" i="9"/>
  <c r="F27460" i="9"/>
  <c r="H27460" i="9"/>
  <c r="F27461" i="9"/>
  <c r="H27461" i="9"/>
  <c r="F27462" i="9"/>
  <c r="H27462" i="9"/>
  <c r="F27463" i="9"/>
  <c r="H27463" i="9"/>
  <c r="F27464" i="9"/>
  <c r="H27464" i="9"/>
  <c r="F27465" i="9"/>
  <c r="H27465" i="9"/>
  <c r="F27466" i="9"/>
  <c r="H27466" i="9"/>
  <c r="F27467" i="9"/>
  <c r="H27467" i="9"/>
  <c r="F27468" i="9"/>
  <c r="H27468" i="9"/>
  <c r="F27469" i="9"/>
  <c r="H27469" i="9"/>
  <c r="F27470" i="9"/>
  <c r="H27470" i="9"/>
  <c r="F27471" i="9"/>
  <c r="H27471" i="9"/>
  <c r="F27472" i="9"/>
  <c r="H27472" i="9"/>
  <c r="F27473" i="9"/>
  <c r="H27473" i="9"/>
  <c r="F27474" i="9"/>
  <c r="H27474" i="9"/>
  <c r="F27475" i="9"/>
  <c r="H27475" i="9"/>
  <c r="F27476" i="9"/>
  <c r="H27476" i="9"/>
  <c r="F27477" i="9"/>
  <c r="H27477" i="9"/>
  <c r="F27478" i="9"/>
  <c r="H27478" i="9"/>
  <c r="F27479" i="9"/>
  <c r="H27479" i="9"/>
  <c r="F27480" i="9"/>
  <c r="H27480" i="9"/>
  <c r="F27481" i="9"/>
  <c r="H27481" i="9"/>
  <c r="F27482" i="9"/>
  <c r="H27482" i="9"/>
  <c r="F27483" i="9"/>
  <c r="H27483" i="9"/>
  <c r="F27484" i="9"/>
  <c r="H27484" i="9"/>
  <c r="F27485" i="9"/>
  <c r="H27485" i="9"/>
  <c r="F27486" i="9"/>
  <c r="H27486" i="9"/>
  <c r="F27487" i="9"/>
  <c r="H27487" i="9"/>
  <c r="F27488" i="9"/>
  <c r="H27488" i="9"/>
  <c r="F27489" i="9"/>
  <c r="H27489" i="9"/>
  <c r="F27490" i="9"/>
  <c r="H27490" i="9"/>
  <c r="F27491" i="9"/>
  <c r="H27491" i="9"/>
  <c r="F27492" i="9"/>
  <c r="H27492" i="9"/>
  <c r="F27493" i="9"/>
  <c r="H27493" i="9"/>
  <c r="F27494" i="9"/>
  <c r="H27494" i="9"/>
  <c r="F27495" i="9"/>
  <c r="H27495" i="9"/>
  <c r="F27496" i="9"/>
  <c r="H27496" i="9"/>
  <c r="F27497" i="9"/>
  <c r="H27497" i="9"/>
  <c r="F27498" i="9"/>
  <c r="H27498" i="9"/>
  <c r="F27499" i="9"/>
  <c r="H27499" i="9"/>
  <c r="F27500" i="9"/>
  <c r="H27500" i="9"/>
  <c r="F27501" i="9"/>
  <c r="H27501" i="9"/>
  <c r="F27502" i="9"/>
  <c r="H27502" i="9"/>
  <c r="F27503" i="9"/>
  <c r="H27503" i="9"/>
  <c r="F27504" i="9"/>
  <c r="H27504" i="9"/>
  <c r="F27505" i="9"/>
  <c r="H27505" i="9"/>
  <c r="F27506" i="9"/>
  <c r="H27506" i="9"/>
  <c r="F27507" i="9"/>
  <c r="H27507" i="9"/>
  <c r="F27508" i="9"/>
  <c r="H27508" i="9"/>
  <c r="F27509" i="9"/>
  <c r="H27509" i="9"/>
  <c r="F27510" i="9"/>
  <c r="H27510" i="9"/>
  <c r="F27511" i="9"/>
  <c r="H27511" i="9"/>
  <c r="F27512" i="9"/>
  <c r="H27512" i="9"/>
  <c r="F27513" i="9"/>
  <c r="H27513" i="9"/>
  <c r="F27514" i="9"/>
  <c r="H27514" i="9"/>
  <c r="F27515" i="9"/>
  <c r="H27515" i="9"/>
  <c r="F27516" i="9"/>
  <c r="H27516" i="9"/>
  <c r="F27517" i="9"/>
  <c r="H27517" i="9"/>
  <c r="F27518" i="9"/>
  <c r="H27518" i="9"/>
  <c r="F27519" i="9"/>
  <c r="H27519" i="9"/>
  <c r="F27520" i="9"/>
  <c r="H27520" i="9"/>
  <c r="F27521" i="9"/>
  <c r="H27521" i="9"/>
  <c r="F27522" i="9"/>
  <c r="H27522" i="9"/>
  <c r="F27523" i="9"/>
  <c r="H27523" i="9"/>
  <c r="F27524" i="9"/>
  <c r="H27524" i="9"/>
  <c r="F27525" i="9"/>
  <c r="H27525" i="9"/>
  <c r="F27526" i="9"/>
  <c r="H27526" i="9"/>
  <c r="F27527" i="9"/>
  <c r="H27527" i="9"/>
  <c r="F27528" i="9"/>
  <c r="H27528" i="9"/>
  <c r="F27529" i="9"/>
  <c r="H27529" i="9"/>
  <c r="F27530" i="9"/>
  <c r="H27530" i="9"/>
  <c r="F27531" i="9"/>
  <c r="H27531" i="9"/>
  <c r="F27532" i="9"/>
  <c r="H27532" i="9"/>
  <c r="F27533" i="9"/>
  <c r="H27533" i="9"/>
  <c r="F27534" i="9"/>
  <c r="H27534" i="9"/>
  <c r="F27535" i="9"/>
  <c r="H27535" i="9"/>
  <c r="F27536" i="9"/>
  <c r="H27536" i="9"/>
  <c r="F27537" i="9"/>
  <c r="H27537" i="9"/>
  <c r="F27538" i="9"/>
  <c r="H27538" i="9"/>
  <c r="F27539" i="9"/>
  <c r="H27539" i="9"/>
  <c r="F27540" i="9"/>
  <c r="H27540" i="9"/>
  <c r="F27541" i="9"/>
  <c r="H27541" i="9"/>
  <c r="F27542" i="9"/>
  <c r="H27542" i="9"/>
  <c r="F27543" i="9"/>
  <c r="H27543" i="9"/>
  <c r="F27544" i="9"/>
  <c r="H27544" i="9"/>
  <c r="F27545" i="9"/>
  <c r="H27545" i="9"/>
  <c r="F27546" i="9"/>
  <c r="H27546" i="9"/>
  <c r="F27547" i="9"/>
  <c r="H27547" i="9"/>
  <c r="F27548" i="9"/>
  <c r="H27548" i="9"/>
  <c r="F27549" i="9"/>
  <c r="H27549" i="9"/>
  <c r="F27550" i="9"/>
  <c r="H27550" i="9"/>
  <c r="F27551" i="9"/>
  <c r="H27551" i="9"/>
  <c r="F27552" i="9"/>
  <c r="H27552" i="9"/>
  <c r="F27553" i="9"/>
  <c r="H27553" i="9"/>
  <c r="F27554" i="9"/>
  <c r="H27554" i="9"/>
  <c r="F27555" i="9"/>
  <c r="H27555" i="9"/>
  <c r="F27556" i="9"/>
  <c r="H27556" i="9"/>
  <c r="F27557" i="9"/>
  <c r="H27557" i="9"/>
  <c r="F27558" i="9"/>
  <c r="H27558" i="9"/>
  <c r="F27559" i="9"/>
  <c r="H27559" i="9"/>
  <c r="F27560" i="9"/>
  <c r="H27560" i="9"/>
  <c r="F27561" i="9"/>
  <c r="H27561" i="9"/>
  <c r="F27562" i="9"/>
  <c r="H27562" i="9"/>
  <c r="F27563" i="9"/>
  <c r="H27563" i="9"/>
  <c r="F27564" i="9"/>
  <c r="H27564" i="9"/>
  <c r="F27565" i="9"/>
  <c r="H27565" i="9"/>
  <c r="F27566" i="9"/>
  <c r="H27566" i="9"/>
  <c r="F27567" i="9"/>
  <c r="H27567" i="9"/>
  <c r="F27568" i="9"/>
  <c r="H27568" i="9"/>
  <c r="F27569" i="9"/>
  <c r="H27569" i="9"/>
  <c r="F27570" i="9"/>
  <c r="H27570" i="9"/>
  <c r="F27571" i="9"/>
  <c r="H27571" i="9"/>
  <c r="F27572" i="9"/>
  <c r="H27572" i="9"/>
  <c r="F27573" i="9"/>
  <c r="H27573" i="9"/>
  <c r="F27574" i="9"/>
  <c r="H27574" i="9"/>
  <c r="F27575" i="9"/>
  <c r="H27575" i="9"/>
  <c r="F27576" i="9"/>
  <c r="H27576" i="9"/>
  <c r="F27577" i="9"/>
  <c r="H27577" i="9"/>
  <c r="F27578" i="9"/>
  <c r="H27578" i="9"/>
  <c r="F27579" i="9"/>
  <c r="H27579" i="9"/>
  <c r="F27580" i="9"/>
  <c r="H27580" i="9"/>
  <c r="F27581" i="9"/>
  <c r="H27581" i="9"/>
  <c r="F27582" i="9"/>
  <c r="H27582" i="9"/>
  <c r="F27583" i="9"/>
  <c r="H27583" i="9"/>
  <c r="F27584" i="9"/>
  <c r="H27584" i="9"/>
  <c r="F27585" i="9"/>
  <c r="H27585" i="9"/>
  <c r="F27586" i="9"/>
  <c r="H27586" i="9"/>
  <c r="F27587" i="9"/>
  <c r="H27587" i="9"/>
  <c r="F27588" i="9"/>
  <c r="H27588" i="9"/>
  <c r="F27589" i="9"/>
  <c r="H27589" i="9"/>
  <c r="F27590" i="9"/>
  <c r="H27590" i="9"/>
  <c r="F27591" i="9"/>
  <c r="H27591" i="9"/>
  <c r="F27592" i="9"/>
  <c r="H27592" i="9"/>
  <c r="F27593" i="9"/>
  <c r="H27593" i="9"/>
  <c r="F27594" i="9"/>
  <c r="H27594" i="9"/>
  <c r="F27595" i="9"/>
  <c r="H27595" i="9"/>
  <c r="F27596" i="9"/>
  <c r="H27596" i="9"/>
  <c r="F27597" i="9"/>
  <c r="H27597" i="9"/>
  <c r="F27598" i="9"/>
  <c r="H27598" i="9"/>
  <c r="F27599" i="9"/>
  <c r="H27599" i="9"/>
  <c r="F27600" i="9"/>
  <c r="H27600" i="9"/>
  <c r="F27601" i="9"/>
  <c r="H27601" i="9"/>
  <c r="F27602" i="9"/>
  <c r="H27602" i="9"/>
  <c r="F27603" i="9"/>
  <c r="H27603" i="9"/>
  <c r="F27604" i="9"/>
  <c r="H27604" i="9"/>
  <c r="F27605" i="9"/>
  <c r="H27605" i="9"/>
  <c r="F27606" i="9"/>
  <c r="H27606" i="9"/>
  <c r="F27607" i="9"/>
  <c r="H27607" i="9"/>
  <c r="F27608" i="9"/>
  <c r="H27608" i="9"/>
  <c r="F27609" i="9"/>
  <c r="H27609" i="9"/>
  <c r="F27610" i="9"/>
  <c r="H27610" i="9"/>
  <c r="F27611" i="9"/>
  <c r="H27611" i="9"/>
  <c r="F27612" i="9"/>
  <c r="H27612" i="9"/>
  <c r="F27613" i="9"/>
  <c r="H27613" i="9"/>
  <c r="F27614" i="9"/>
  <c r="H27614" i="9"/>
  <c r="F27615" i="9"/>
  <c r="H27615" i="9"/>
  <c r="F27616" i="9"/>
  <c r="H27616" i="9"/>
  <c r="F27617" i="9"/>
  <c r="H27617" i="9"/>
  <c r="F27618" i="9"/>
  <c r="H27618" i="9"/>
  <c r="F27619" i="9"/>
  <c r="H27619" i="9"/>
  <c r="F27620" i="9"/>
  <c r="H27620" i="9"/>
  <c r="F27621" i="9"/>
  <c r="H27621" i="9"/>
  <c r="F27622" i="9"/>
  <c r="H27622" i="9"/>
  <c r="F27623" i="9"/>
  <c r="H27623" i="9"/>
  <c r="F27624" i="9"/>
  <c r="H27624" i="9"/>
  <c r="F27625" i="9"/>
  <c r="H27625" i="9"/>
  <c r="F27626" i="9"/>
  <c r="H27626" i="9"/>
  <c r="F27627" i="9"/>
  <c r="H27627" i="9"/>
  <c r="F27628" i="9"/>
  <c r="H27628" i="9"/>
  <c r="F27629" i="9"/>
  <c r="H27629" i="9"/>
  <c r="F27630" i="9"/>
  <c r="H27630" i="9"/>
  <c r="F27631" i="9"/>
  <c r="H27631" i="9"/>
  <c r="F27632" i="9"/>
  <c r="H27632" i="9"/>
  <c r="F27633" i="9"/>
  <c r="H27633" i="9"/>
  <c r="F27634" i="9"/>
  <c r="H27634" i="9"/>
  <c r="F27635" i="9"/>
  <c r="H27635" i="9"/>
  <c r="F27636" i="9"/>
  <c r="H27636" i="9"/>
  <c r="F27637" i="9"/>
  <c r="H27637" i="9"/>
  <c r="F27638" i="9"/>
  <c r="H27638" i="9"/>
  <c r="F27639" i="9"/>
  <c r="H27639" i="9"/>
  <c r="F27640" i="9"/>
  <c r="H27640" i="9"/>
  <c r="F27641" i="9"/>
  <c r="H27641" i="9"/>
  <c r="F27642" i="9"/>
  <c r="H27642" i="9"/>
  <c r="F27643" i="9"/>
  <c r="H27643" i="9"/>
  <c r="F27644" i="9"/>
  <c r="H27644" i="9"/>
  <c r="F27645" i="9"/>
  <c r="H27645" i="9"/>
  <c r="F27646" i="9"/>
  <c r="H27646" i="9"/>
  <c r="F27647" i="9"/>
  <c r="H27647" i="9"/>
  <c r="F27648" i="9"/>
  <c r="H27648" i="9"/>
  <c r="F27649" i="9"/>
  <c r="H27649" i="9"/>
  <c r="F27650" i="9"/>
  <c r="H27650" i="9"/>
  <c r="F27651" i="9"/>
  <c r="H27651" i="9"/>
  <c r="F27652" i="9"/>
  <c r="H27652" i="9"/>
  <c r="F27653" i="9"/>
  <c r="H27653" i="9"/>
  <c r="F27654" i="9"/>
  <c r="H27654" i="9"/>
  <c r="F27655" i="9"/>
  <c r="H27655" i="9"/>
  <c r="F27656" i="9"/>
  <c r="H27656" i="9"/>
  <c r="F27657" i="9"/>
  <c r="H27657" i="9"/>
  <c r="F27658" i="9"/>
  <c r="H27658" i="9"/>
  <c r="F27659" i="9"/>
  <c r="H27659" i="9"/>
  <c r="F27660" i="9"/>
  <c r="H27660" i="9"/>
  <c r="F27661" i="9"/>
  <c r="H27661" i="9"/>
  <c r="F27662" i="9"/>
  <c r="H27662" i="9"/>
  <c r="F27663" i="9"/>
  <c r="H27663" i="9"/>
  <c r="F27664" i="9"/>
  <c r="H27664" i="9"/>
  <c r="F27665" i="9"/>
  <c r="H27665" i="9"/>
  <c r="F27666" i="9"/>
  <c r="H27666" i="9"/>
  <c r="F27667" i="9"/>
  <c r="H27667" i="9"/>
  <c r="F27668" i="9"/>
  <c r="H27668" i="9"/>
  <c r="F27669" i="9"/>
  <c r="H27669" i="9"/>
  <c r="F27670" i="9"/>
  <c r="H27670" i="9"/>
  <c r="F27671" i="9"/>
  <c r="H27671" i="9"/>
  <c r="F27672" i="9"/>
  <c r="H27672" i="9"/>
  <c r="F27673" i="9"/>
  <c r="H27673" i="9"/>
  <c r="F27674" i="9"/>
  <c r="H27674" i="9"/>
  <c r="F27675" i="9"/>
  <c r="H27675" i="9"/>
  <c r="F27676" i="9"/>
  <c r="H27676" i="9"/>
  <c r="F27677" i="9"/>
  <c r="H27677" i="9"/>
  <c r="F27678" i="9"/>
  <c r="H27678" i="9"/>
  <c r="F27679" i="9"/>
  <c r="H27679" i="9"/>
  <c r="F27680" i="9"/>
  <c r="H27680" i="9"/>
  <c r="F27681" i="9"/>
  <c r="H27681" i="9"/>
  <c r="F27682" i="9"/>
  <c r="H27682" i="9"/>
  <c r="F27683" i="9"/>
  <c r="H27683" i="9"/>
  <c r="F27684" i="9"/>
  <c r="H27684" i="9"/>
  <c r="F27685" i="9"/>
  <c r="H27685" i="9"/>
  <c r="F27686" i="9"/>
  <c r="H27686" i="9"/>
  <c r="F27687" i="9"/>
  <c r="H27687" i="9"/>
  <c r="F27688" i="9"/>
  <c r="H27688" i="9"/>
  <c r="F27689" i="9"/>
  <c r="H27689" i="9"/>
  <c r="F27690" i="9"/>
  <c r="H27690" i="9"/>
  <c r="F27691" i="9"/>
  <c r="H27691" i="9"/>
  <c r="F27692" i="9"/>
  <c r="H27692" i="9"/>
  <c r="F27693" i="9"/>
  <c r="H27693" i="9"/>
  <c r="F27694" i="9"/>
  <c r="H27694" i="9"/>
  <c r="F27695" i="9"/>
  <c r="H27695" i="9"/>
  <c r="F27696" i="9"/>
  <c r="H27696" i="9"/>
  <c r="F27697" i="9"/>
  <c r="H27697" i="9"/>
  <c r="F27698" i="9"/>
  <c r="H27698" i="9"/>
  <c r="F27699" i="9"/>
  <c r="H27699" i="9"/>
  <c r="F27700" i="9"/>
  <c r="H27700" i="9"/>
  <c r="F27701" i="9"/>
  <c r="H27701" i="9"/>
  <c r="F27702" i="9"/>
  <c r="H27702" i="9"/>
  <c r="F27703" i="9"/>
  <c r="H27703" i="9"/>
  <c r="F27704" i="9"/>
  <c r="H27704" i="9"/>
  <c r="F27705" i="9"/>
  <c r="H27705" i="9"/>
  <c r="F27706" i="9"/>
  <c r="H27706" i="9"/>
  <c r="F27707" i="9"/>
  <c r="H27707" i="9"/>
  <c r="F27708" i="9"/>
  <c r="H27708" i="9"/>
  <c r="F27709" i="9"/>
  <c r="H27709" i="9"/>
  <c r="F27710" i="9"/>
  <c r="H27710" i="9"/>
  <c r="F27711" i="9"/>
  <c r="H27711" i="9"/>
  <c r="F27712" i="9"/>
  <c r="H27712" i="9"/>
  <c r="F27713" i="9"/>
  <c r="H27713" i="9"/>
  <c r="F27714" i="9"/>
  <c r="H27714" i="9"/>
  <c r="F27715" i="9"/>
  <c r="H27715" i="9"/>
  <c r="F27716" i="9"/>
  <c r="H27716" i="9"/>
  <c r="F27717" i="9"/>
  <c r="H27717" i="9"/>
  <c r="F27718" i="9"/>
  <c r="H27718" i="9"/>
  <c r="F27719" i="9"/>
  <c r="H27719" i="9"/>
  <c r="F27720" i="9"/>
  <c r="H27720" i="9"/>
  <c r="F27721" i="9"/>
  <c r="H27721" i="9"/>
  <c r="F27722" i="9"/>
  <c r="H27722" i="9"/>
  <c r="F27723" i="9"/>
  <c r="H27723" i="9"/>
  <c r="F27724" i="9"/>
  <c r="H27724" i="9"/>
  <c r="F27725" i="9"/>
  <c r="H27725" i="9"/>
  <c r="F27726" i="9"/>
  <c r="H27726" i="9"/>
  <c r="F27727" i="9"/>
  <c r="H27727" i="9"/>
  <c r="F27728" i="9"/>
  <c r="H27728" i="9"/>
  <c r="F27729" i="9"/>
  <c r="H27729" i="9"/>
  <c r="F27730" i="9"/>
  <c r="H27730" i="9"/>
  <c r="F27731" i="9"/>
  <c r="H27731" i="9"/>
  <c r="F27732" i="9"/>
  <c r="H27732" i="9"/>
  <c r="F27733" i="9"/>
  <c r="H27733" i="9"/>
  <c r="F27734" i="9"/>
  <c r="H27734" i="9"/>
  <c r="F27735" i="9"/>
  <c r="H27735" i="9"/>
  <c r="F27736" i="9"/>
  <c r="H27736" i="9"/>
  <c r="F27737" i="9"/>
  <c r="H27737" i="9"/>
  <c r="F27738" i="9"/>
  <c r="H27738" i="9"/>
  <c r="F27739" i="9"/>
  <c r="H27739" i="9"/>
  <c r="F27740" i="9"/>
  <c r="H27740" i="9"/>
  <c r="F27741" i="9"/>
  <c r="H27741" i="9"/>
  <c r="F27742" i="9"/>
  <c r="H27742" i="9"/>
  <c r="F27743" i="9"/>
  <c r="H27743" i="9"/>
  <c r="F27744" i="9"/>
  <c r="H27744" i="9"/>
  <c r="F27745" i="9"/>
  <c r="H27745" i="9"/>
  <c r="F27746" i="9"/>
  <c r="H27746" i="9"/>
  <c r="F27747" i="9"/>
  <c r="H27747" i="9"/>
  <c r="F27748" i="9"/>
  <c r="H27748" i="9"/>
  <c r="F27749" i="9"/>
  <c r="H27749" i="9"/>
  <c r="F27750" i="9"/>
  <c r="H27750" i="9"/>
  <c r="F27751" i="9"/>
  <c r="H27751" i="9"/>
  <c r="F27752" i="9"/>
  <c r="H27752" i="9"/>
  <c r="F27753" i="9"/>
  <c r="H27753" i="9"/>
  <c r="F27754" i="9"/>
  <c r="H27754" i="9"/>
  <c r="F27755" i="9"/>
  <c r="H27755" i="9"/>
  <c r="F27756" i="9"/>
  <c r="H27756" i="9"/>
  <c r="F27757" i="9"/>
  <c r="H27757" i="9"/>
  <c r="F27758" i="9"/>
  <c r="H27758" i="9"/>
  <c r="F27759" i="9"/>
  <c r="H27759" i="9"/>
  <c r="F27760" i="9"/>
  <c r="H27760" i="9"/>
  <c r="F27761" i="9"/>
  <c r="H27761" i="9"/>
  <c r="F27762" i="9"/>
  <c r="H27762" i="9"/>
  <c r="F27763" i="9"/>
  <c r="H27763" i="9"/>
  <c r="F27764" i="9"/>
  <c r="H27764" i="9"/>
  <c r="F27765" i="9"/>
  <c r="H27765" i="9"/>
  <c r="F27766" i="9"/>
  <c r="H27766" i="9"/>
  <c r="F27767" i="9"/>
  <c r="H27767" i="9"/>
  <c r="F27768" i="9"/>
  <c r="H27768" i="9"/>
  <c r="F27769" i="9"/>
  <c r="H27769" i="9"/>
  <c r="F27770" i="9"/>
  <c r="H27770" i="9"/>
  <c r="F27771" i="9"/>
  <c r="H27771" i="9"/>
  <c r="F27772" i="9"/>
  <c r="H27772" i="9"/>
  <c r="F27773" i="9"/>
  <c r="H27773" i="9"/>
  <c r="F27774" i="9"/>
  <c r="H27774" i="9"/>
  <c r="F27775" i="9"/>
  <c r="H27775" i="9"/>
  <c r="F27776" i="9"/>
  <c r="H27776" i="9"/>
  <c r="F27777" i="9"/>
  <c r="H27777" i="9"/>
  <c r="F27778" i="9"/>
  <c r="H27778" i="9"/>
  <c r="F27779" i="9"/>
  <c r="H27779" i="9"/>
  <c r="F27780" i="9"/>
  <c r="H27780" i="9"/>
  <c r="F27781" i="9"/>
  <c r="H27781" i="9"/>
  <c r="F27782" i="9"/>
  <c r="H27782" i="9"/>
  <c r="F27783" i="9"/>
  <c r="H27783" i="9"/>
  <c r="F27784" i="9"/>
  <c r="H27784" i="9"/>
  <c r="F27785" i="9"/>
  <c r="H27785" i="9"/>
  <c r="F27786" i="9"/>
  <c r="H27786" i="9"/>
  <c r="F27787" i="9"/>
  <c r="H27787" i="9"/>
  <c r="F27788" i="9"/>
  <c r="H27788" i="9"/>
  <c r="F27789" i="9"/>
  <c r="H27789" i="9"/>
  <c r="F27790" i="9"/>
  <c r="H27790" i="9"/>
  <c r="F27791" i="9"/>
  <c r="H27791" i="9"/>
  <c r="F27792" i="9"/>
  <c r="H27792" i="9"/>
  <c r="F27793" i="9"/>
  <c r="H27793" i="9"/>
  <c r="F27794" i="9"/>
  <c r="H27794" i="9"/>
  <c r="F27795" i="9"/>
  <c r="H27795" i="9"/>
  <c r="F27796" i="9"/>
  <c r="H27796" i="9"/>
  <c r="F27797" i="9"/>
  <c r="H27797" i="9"/>
  <c r="F27798" i="9"/>
  <c r="H27798" i="9"/>
  <c r="F27799" i="9"/>
  <c r="H27799" i="9"/>
  <c r="F27800" i="9"/>
  <c r="H27800" i="9"/>
  <c r="F27801" i="9"/>
  <c r="H27801" i="9"/>
  <c r="F27802" i="9"/>
  <c r="H27802" i="9"/>
  <c r="F27803" i="9"/>
  <c r="H27803" i="9"/>
  <c r="F27804" i="9"/>
  <c r="H27804" i="9"/>
  <c r="F27805" i="9"/>
  <c r="H27805" i="9"/>
  <c r="F27806" i="9"/>
  <c r="H27806" i="9"/>
  <c r="F27807" i="9"/>
  <c r="H27807" i="9"/>
  <c r="F27808" i="9"/>
  <c r="H27808" i="9"/>
  <c r="F27809" i="9"/>
  <c r="H27809" i="9"/>
  <c r="F27810" i="9"/>
  <c r="H27810" i="9"/>
  <c r="F27811" i="9"/>
  <c r="H27811" i="9"/>
  <c r="F27812" i="9"/>
  <c r="H27812" i="9"/>
  <c r="F27813" i="9"/>
  <c r="H27813" i="9"/>
  <c r="F27814" i="9"/>
  <c r="H27814" i="9"/>
  <c r="F27815" i="9"/>
  <c r="H27815" i="9"/>
  <c r="F27816" i="9"/>
  <c r="H27816" i="9"/>
  <c r="F27817" i="9"/>
  <c r="H27817" i="9"/>
  <c r="F27818" i="9"/>
  <c r="H27818" i="9"/>
  <c r="F27819" i="9"/>
  <c r="H27819" i="9"/>
  <c r="F27820" i="9"/>
  <c r="H27820" i="9"/>
  <c r="F27821" i="9"/>
  <c r="H27821" i="9"/>
  <c r="F27822" i="9"/>
  <c r="H27822" i="9"/>
  <c r="F27823" i="9"/>
  <c r="H27823" i="9"/>
  <c r="F27824" i="9"/>
  <c r="H27824" i="9"/>
  <c r="F27825" i="9"/>
  <c r="H27825" i="9"/>
  <c r="F27826" i="9"/>
  <c r="H27826" i="9"/>
  <c r="F27827" i="9"/>
  <c r="H27827" i="9"/>
  <c r="F27828" i="9"/>
  <c r="H27828" i="9"/>
  <c r="F27829" i="9"/>
  <c r="H27829" i="9"/>
  <c r="F27830" i="9"/>
  <c r="H27830" i="9"/>
  <c r="F27831" i="9"/>
  <c r="H27831" i="9"/>
  <c r="F27832" i="9"/>
  <c r="H27832" i="9"/>
  <c r="F27833" i="9"/>
  <c r="H27833" i="9"/>
  <c r="F27834" i="9"/>
  <c r="H27834" i="9"/>
  <c r="F27835" i="9"/>
  <c r="H27835" i="9"/>
  <c r="F27836" i="9"/>
  <c r="H27836" i="9"/>
  <c r="F27837" i="9"/>
  <c r="H27837" i="9"/>
  <c r="F27838" i="9"/>
  <c r="H27838" i="9"/>
  <c r="F27839" i="9"/>
  <c r="H27839" i="9"/>
  <c r="F27840" i="9"/>
  <c r="H27840" i="9"/>
  <c r="F27841" i="9"/>
  <c r="H27841" i="9"/>
  <c r="F27842" i="9"/>
  <c r="H27842" i="9"/>
  <c r="F27843" i="9"/>
  <c r="H27843" i="9"/>
  <c r="F27844" i="9"/>
  <c r="H27844" i="9"/>
  <c r="F27845" i="9"/>
  <c r="H27845" i="9"/>
  <c r="F27846" i="9"/>
  <c r="H27846" i="9"/>
  <c r="F27847" i="9"/>
  <c r="H27847" i="9"/>
  <c r="F27848" i="9"/>
  <c r="H27848" i="9"/>
  <c r="F27849" i="9"/>
  <c r="H27849" i="9"/>
  <c r="F27850" i="9"/>
  <c r="H27850" i="9"/>
  <c r="F27851" i="9"/>
  <c r="H27851" i="9"/>
  <c r="F27852" i="9"/>
  <c r="H27852" i="9"/>
  <c r="F27853" i="9"/>
  <c r="H27853" i="9"/>
  <c r="F27854" i="9"/>
  <c r="H27854" i="9"/>
  <c r="F27855" i="9"/>
  <c r="H27855" i="9"/>
  <c r="F27856" i="9"/>
  <c r="H27856" i="9"/>
  <c r="F27857" i="9"/>
  <c r="H27857" i="9"/>
  <c r="F27858" i="9"/>
  <c r="H27858" i="9"/>
  <c r="F27859" i="9"/>
  <c r="H27859" i="9"/>
  <c r="F27860" i="9"/>
  <c r="H27860" i="9"/>
  <c r="F27861" i="9"/>
  <c r="H27861" i="9"/>
  <c r="F27862" i="9"/>
  <c r="H27862" i="9"/>
  <c r="F27863" i="9"/>
  <c r="H27863" i="9"/>
  <c r="F27864" i="9"/>
  <c r="H27864" i="9"/>
  <c r="F27865" i="9"/>
  <c r="H27865" i="9"/>
  <c r="F27866" i="9"/>
  <c r="H27866" i="9"/>
  <c r="F27867" i="9"/>
  <c r="H27867" i="9"/>
  <c r="F27868" i="9"/>
  <c r="H27868" i="9"/>
  <c r="F27869" i="9"/>
  <c r="H27869" i="9"/>
  <c r="F27870" i="9"/>
  <c r="H27870" i="9"/>
  <c r="F27871" i="9"/>
  <c r="H27871" i="9"/>
  <c r="F27872" i="9"/>
  <c r="H27872" i="9"/>
  <c r="F27873" i="9"/>
  <c r="H27873" i="9"/>
  <c r="F27874" i="9"/>
  <c r="H27874" i="9"/>
  <c r="F27875" i="9"/>
  <c r="H27875" i="9"/>
  <c r="F27876" i="9"/>
  <c r="H27876" i="9"/>
  <c r="F27877" i="9"/>
  <c r="H27877" i="9"/>
  <c r="F27878" i="9"/>
  <c r="H27878" i="9"/>
  <c r="F27879" i="9"/>
  <c r="H27879" i="9"/>
  <c r="F27880" i="9"/>
  <c r="H27880" i="9"/>
  <c r="F27881" i="9"/>
  <c r="H27881" i="9"/>
  <c r="F27882" i="9"/>
  <c r="H27882" i="9"/>
  <c r="F27883" i="9"/>
  <c r="H27883" i="9"/>
  <c r="F27884" i="9"/>
  <c r="H27884" i="9"/>
  <c r="F27885" i="9"/>
  <c r="H27885" i="9"/>
  <c r="F27886" i="9"/>
  <c r="H27886" i="9"/>
  <c r="F27887" i="9"/>
  <c r="H27887" i="9"/>
  <c r="F27888" i="9"/>
  <c r="H27888" i="9"/>
  <c r="F27889" i="9"/>
  <c r="H27889" i="9"/>
  <c r="F27890" i="9"/>
  <c r="H27890" i="9"/>
  <c r="F27891" i="9"/>
  <c r="H27891" i="9"/>
  <c r="F27892" i="9"/>
  <c r="H27892" i="9"/>
  <c r="F27893" i="9"/>
  <c r="H27893" i="9"/>
  <c r="F27894" i="9"/>
  <c r="H27894" i="9"/>
  <c r="F27895" i="9"/>
  <c r="H27895" i="9"/>
  <c r="F27896" i="9"/>
  <c r="H27896" i="9"/>
  <c r="F27897" i="9"/>
  <c r="H27897" i="9"/>
  <c r="F27898" i="9"/>
  <c r="H27898" i="9"/>
  <c r="F27899" i="9"/>
  <c r="H27899" i="9"/>
  <c r="F27900" i="9"/>
  <c r="H27900" i="9"/>
  <c r="F27901" i="9"/>
  <c r="H27901" i="9"/>
  <c r="F27902" i="9"/>
  <c r="H27902" i="9"/>
  <c r="F27903" i="9"/>
  <c r="H27903" i="9"/>
  <c r="F27904" i="9"/>
  <c r="H27904" i="9"/>
  <c r="F27905" i="9"/>
  <c r="H27905" i="9"/>
  <c r="F27906" i="9"/>
  <c r="H27906" i="9"/>
  <c r="F27907" i="9"/>
  <c r="H27907" i="9"/>
  <c r="F27908" i="9"/>
  <c r="H27908" i="9"/>
  <c r="F27909" i="9"/>
  <c r="H27909" i="9"/>
  <c r="F27910" i="9"/>
  <c r="H27910" i="9"/>
  <c r="F27911" i="9"/>
  <c r="H27911" i="9"/>
  <c r="F27912" i="9"/>
  <c r="H27912" i="9"/>
  <c r="F27913" i="9"/>
  <c r="H27913" i="9"/>
  <c r="F27914" i="9"/>
  <c r="H27914" i="9"/>
  <c r="F27915" i="9"/>
  <c r="H27915" i="9"/>
  <c r="F27916" i="9"/>
  <c r="H27916" i="9"/>
  <c r="F27917" i="9"/>
  <c r="H27917" i="9"/>
  <c r="F27918" i="9"/>
  <c r="H27918" i="9"/>
  <c r="F27919" i="9"/>
  <c r="H27919" i="9"/>
  <c r="F27920" i="9"/>
  <c r="H27920" i="9"/>
  <c r="F27921" i="9"/>
  <c r="H27921" i="9"/>
  <c r="F27922" i="9"/>
  <c r="H27922" i="9"/>
  <c r="F27923" i="9"/>
  <c r="H27923" i="9"/>
  <c r="F27924" i="9"/>
  <c r="H27924" i="9"/>
  <c r="F27925" i="9"/>
  <c r="H27925" i="9"/>
  <c r="F27926" i="9"/>
  <c r="H27926" i="9"/>
  <c r="F27927" i="9"/>
  <c r="H27927" i="9"/>
  <c r="F27928" i="9"/>
  <c r="H27928" i="9"/>
  <c r="F27929" i="9"/>
  <c r="H27929" i="9"/>
  <c r="F27930" i="9"/>
  <c r="H27930" i="9"/>
  <c r="F27931" i="9"/>
  <c r="H27931" i="9"/>
  <c r="F27932" i="9"/>
  <c r="H27932" i="9"/>
  <c r="F27933" i="9"/>
  <c r="H27933" i="9"/>
  <c r="F27934" i="9"/>
  <c r="H27934" i="9"/>
  <c r="F27935" i="9"/>
  <c r="H27935" i="9"/>
  <c r="F27936" i="9"/>
  <c r="H27936" i="9"/>
  <c r="F27937" i="9"/>
  <c r="H27937" i="9"/>
  <c r="F27938" i="9"/>
  <c r="H27938" i="9"/>
  <c r="F27939" i="9"/>
  <c r="H27939" i="9"/>
  <c r="F27940" i="9"/>
  <c r="H27940" i="9"/>
  <c r="F27941" i="9"/>
  <c r="H27941" i="9"/>
  <c r="F27942" i="9"/>
  <c r="H27942" i="9"/>
  <c r="F27943" i="9"/>
  <c r="H27943" i="9"/>
  <c r="F27944" i="9"/>
  <c r="H27944" i="9"/>
  <c r="F27945" i="9"/>
  <c r="H27945" i="9"/>
  <c r="F27946" i="9"/>
  <c r="H27946" i="9"/>
  <c r="F27947" i="9"/>
  <c r="H27947" i="9"/>
  <c r="F27948" i="9"/>
  <c r="H27948" i="9"/>
  <c r="F27949" i="9"/>
  <c r="H27949" i="9"/>
  <c r="F27950" i="9"/>
  <c r="H27950" i="9"/>
  <c r="F27951" i="9"/>
  <c r="H27951" i="9"/>
  <c r="F27952" i="9"/>
  <c r="H27952" i="9"/>
  <c r="F27953" i="9"/>
  <c r="H27953" i="9"/>
  <c r="F27954" i="9"/>
  <c r="H27954" i="9"/>
  <c r="F27955" i="9"/>
  <c r="H27955" i="9"/>
  <c r="F27956" i="9"/>
  <c r="H27956" i="9"/>
  <c r="F27957" i="9"/>
  <c r="H27957" i="9"/>
  <c r="F27958" i="9"/>
  <c r="H27958" i="9"/>
  <c r="F27959" i="9"/>
  <c r="H27959" i="9"/>
  <c r="F27960" i="9"/>
  <c r="H27960" i="9"/>
  <c r="F27961" i="9"/>
  <c r="H27961" i="9"/>
  <c r="F27962" i="9"/>
  <c r="H27962" i="9"/>
  <c r="F27963" i="9"/>
  <c r="H27963" i="9"/>
  <c r="F27964" i="9"/>
  <c r="H27964" i="9"/>
  <c r="F27965" i="9"/>
  <c r="H27965" i="9"/>
  <c r="F27966" i="9"/>
  <c r="H27966" i="9"/>
  <c r="F27967" i="9"/>
  <c r="H27967" i="9"/>
  <c r="F27968" i="9"/>
  <c r="H27968" i="9"/>
  <c r="F27969" i="9"/>
  <c r="H27969" i="9"/>
  <c r="F27970" i="9"/>
  <c r="H27970" i="9"/>
  <c r="F27971" i="9"/>
  <c r="H27971" i="9"/>
  <c r="F27972" i="9"/>
  <c r="H27972" i="9"/>
  <c r="F27973" i="9"/>
  <c r="H27973" i="9"/>
  <c r="F27974" i="9"/>
  <c r="H27974" i="9"/>
  <c r="F27975" i="9"/>
  <c r="H27975" i="9"/>
  <c r="F27976" i="9"/>
  <c r="H27976" i="9"/>
  <c r="F27977" i="9"/>
  <c r="H27977" i="9"/>
  <c r="F27978" i="9"/>
  <c r="H27978" i="9"/>
  <c r="F27979" i="9"/>
  <c r="H27979" i="9"/>
  <c r="F27980" i="9"/>
  <c r="H27980" i="9"/>
  <c r="F27981" i="9"/>
  <c r="H27981" i="9"/>
  <c r="F27982" i="9"/>
  <c r="H27982" i="9"/>
  <c r="F27983" i="9"/>
  <c r="H27983" i="9"/>
  <c r="F27984" i="9"/>
  <c r="H27984" i="9"/>
  <c r="F27985" i="9"/>
  <c r="H27985" i="9"/>
  <c r="F27986" i="9"/>
  <c r="H27986" i="9"/>
  <c r="F27987" i="9"/>
  <c r="H27987" i="9"/>
  <c r="F27988" i="9"/>
  <c r="H27988" i="9"/>
  <c r="F27989" i="9"/>
  <c r="H27989" i="9"/>
  <c r="F27990" i="9"/>
  <c r="H27990" i="9"/>
  <c r="F27991" i="9"/>
  <c r="H27991" i="9"/>
  <c r="F27992" i="9"/>
  <c r="H27992" i="9"/>
  <c r="F27993" i="9"/>
  <c r="H27993" i="9"/>
  <c r="F27994" i="9"/>
  <c r="H27994" i="9"/>
  <c r="F27995" i="9"/>
  <c r="H27995" i="9"/>
  <c r="F27996" i="9"/>
  <c r="H27996" i="9"/>
  <c r="F27997" i="9"/>
  <c r="H27997" i="9"/>
  <c r="F27998" i="9"/>
  <c r="H27998" i="9"/>
  <c r="F27999" i="9"/>
  <c r="H27999" i="9"/>
  <c r="F28000" i="9"/>
  <c r="H28000" i="9"/>
  <c r="F28001" i="9"/>
  <c r="H28001" i="9"/>
  <c r="F28002" i="9"/>
  <c r="H28002" i="9"/>
  <c r="F28003" i="9"/>
  <c r="H28003" i="9"/>
  <c r="F28004" i="9"/>
  <c r="H28004" i="9"/>
  <c r="F28005" i="9"/>
  <c r="H28005" i="9"/>
  <c r="F28006" i="9"/>
  <c r="H28006" i="9"/>
  <c r="F28007" i="9"/>
  <c r="H28007" i="9"/>
  <c r="F28008" i="9"/>
  <c r="H28008" i="9"/>
  <c r="F28009" i="9"/>
  <c r="H28009" i="9"/>
  <c r="F28010" i="9"/>
  <c r="H28010" i="9"/>
  <c r="F28011" i="9"/>
  <c r="H28011" i="9"/>
  <c r="F28012" i="9"/>
  <c r="H28012" i="9"/>
  <c r="F28013" i="9"/>
  <c r="H28013" i="9"/>
  <c r="F28014" i="9"/>
  <c r="H28014" i="9"/>
  <c r="F28015" i="9"/>
  <c r="H28015" i="9"/>
  <c r="F28016" i="9"/>
  <c r="H28016" i="9"/>
  <c r="F28017" i="9"/>
  <c r="H28017" i="9"/>
  <c r="F28018" i="9"/>
  <c r="H28018" i="9"/>
  <c r="F28019" i="9"/>
  <c r="H28019" i="9"/>
  <c r="F28020" i="9"/>
  <c r="H28020" i="9"/>
  <c r="F28021" i="9"/>
  <c r="H28021" i="9"/>
  <c r="F28022" i="9"/>
  <c r="H28022" i="9"/>
  <c r="F28023" i="9"/>
  <c r="H28023" i="9"/>
  <c r="F28024" i="9"/>
  <c r="H28024" i="9"/>
  <c r="F28025" i="9"/>
  <c r="H28025" i="9"/>
  <c r="F28026" i="9"/>
  <c r="H28026" i="9"/>
  <c r="F28027" i="9"/>
  <c r="H28027" i="9"/>
  <c r="F28028" i="9"/>
  <c r="H28028" i="9"/>
  <c r="F28029" i="9"/>
  <c r="H28029" i="9"/>
  <c r="F28030" i="9"/>
  <c r="H28030" i="9"/>
  <c r="F28031" i="9"/>
  <c r="H28031" i="9"/>
  <c r="F28032" i="9"/>
  <c r="H28032" i="9"/>
  <c r="F28033" i="9"/>
  <c r="H28033" i="9"/>
  <c r="F28034" i="9"/>
  <c r="H28034" i="9"/>
  <c r="F28035" i="9"/>
  <c r="H28035" i="9"/>
  <c r="F28036" i="9"/>
  <c r="H28036" i="9"/>
  <c r="F28037" i="9"/>
  <c r="H28037" i="9"/>
  <c r="F28038" i="9"/>
  <c r="H28038" i="9"/>
  <c r="F28039" i="9"/>
  <c r="H28039" i="9"/>
  <c r="F28040" i="9"/>
  <c r="H28040" i="9"/>
  <c r="F28041" i="9"/>
  <c r="H28041" i="9"/>
  <c r="F28042" i="9"/>
  <c r="H28042" i="9"/>
  <c r="F28043" i="9"/>
  <c r="H28043" i="9"/>
  <c r="F28044" i="9"/>
  <c r="H28044" i="9"/>
  <c r="F28045" i="9"/>
  <c r="H28045" i="9"/>
  <c r="F28046" i="9"/>
  <c r="H28046" i="9"/>
  <c r="F28047" i="9"/>
  <c r="H28047" i="9"/>
  <c r="F28048" i="9"/>
  <c r="H28048" i="9"/>
  <c r="F28049" i="9"/>
  <c r="H28049" i="9"/>
  <c r="F28050" i="9"/>
  <c r="H28050" i="9"/>
  <c r="F28051" i="9"/>
  <c r="H28051" i="9"/>
  <c r="F28052" i="9"/>
  <c r="H28052" i="9"/>
  <c r="F28053" i="9"/>
  <c r="H28053" i="9"/>
  <c r="F28054" i="9"/>
  <c r="H28054" i="9"/>
  <c r="F28055" i="9"/>
  <c r="H28055" i="9"/>
  <c r="F28056" i="9"/>
  <c r="H28056" i="9"/>
  <c r="F28057" i="9"/>
  <c r="H28057" i="9"/>
  <c r="F28058" i="9"/>
  <c r="H28058" i="9"/>
  <c r="F28059" i="9"/>
  <c r="H28059" i="9"/>
  <c r="F28060" i="9"/>
  <c r="H28060" i="9"/>
  <c r="F28061" i="9"/>
  <c r="H28061" i="9"/>
  <c r="F28062" i="9"/>
  <c r="H28062" i="9"/>
  <c r="F28063" i="9"/>
  <c r="H28063" i="9"/>
  <c r="F28064" i="9"/>
  <c r="H28064" i="9"/>
  <c r="F28065" i="9"/>
  <c r="H28065" i="9"/>
  <c r="F28066" i="9"/>
  <c r="H28066" i="9"/>
  <c r="F28067" i="9"/>
  <c r="H28067" i="9"/>
  <c r="F28068" i="9"/>
  <c r="H28068" i="9"/>
  <c r="F28069" i="9"/>
  <c r="H28069" i="9"/>
  <c r="F28070" i="9"/>
  <c r="H28070" i="9"/>
  <c r="F28071" i="9"/>
  <c r="H28071" i="9"/>
  <c r="F28072" i="9"/>
  <c r="H28072" i="9"/>
  <c r="F28073" i="9"/>
  <c r="H28073" i="9"/>
  <c r="F28074" i="9"/>
  <c r="H28074" i="9"/>
  <c r="F28075" i="9"/>
  <c r="H28075" i="9"/>
  <c r="F28076" i="9"/>
  <c r="H28076" i="9"/>
  <c r="F28077" i="9"/>
  <c r="H28077" i="9"/>
  <c r="F28078" i="9"/>
  <c r="H28078" i="9"/>
  <c r="F28079" i="9"/>
  <c r="H28079" i="9"/>
  <c r="F28080" i="9"/>
  <c r="H28080" i="9"/>
  <c r="F28081" i="9"/>
  <c r="H28081" i="9"/>
  <c r="F28082" i="9"/>
  <c r="H28082" i="9"/>
  <c r="F28083" i="9"/>
  <c r="H28083" i="9"/>
  <c r="F28084" i="9"/>
  <c r="H28084" i="9"/>
  <c r="F28085" i="9"/>
  <c r="H28085" i="9"/>
  <c r="F28086" i="9"/>
  <c r="H28086" i="9"/>
  <c r="F28087" i="9"/>
  <c r="H28087" i="9"/>
  <c r="F28088" i="9"/>
  <c r="H28088" i="9"/>
  <c r="F28089" i="9"/>
  <c r="H28089" i="9"/>
  <c r="F28090" i="9"/>
  <c r="H28090" i="9"/>
  <c r="F28091" i="9"/>
  <c r="H28091" i="9"/>
  <c r="F28092" i="9"/>
  <c r="H28092" i="9"/>
  <c r="F28093" i="9"/>
  <c r="H28093" i="9"/>
  <c r="F28094" i="9"/>
  <c r="H28094" i="9"/>
  <c r="F28095" i="9"/>
  <c r="H28095" i="9"/>
  <c r="F28096" i="9"/>
  <c r="H28096" i="9"/>
  <c r="F28097" i="9"/>
  <c r="H28097" i="9"/>
  <c r="F28098" i="9"/>
  <c r="H28098" i="9"/>
  <c r="F28099" i="9"/>
  <c r="H28099" i="9"/>
  <c r="F28100" i="9"/>
  <c r="H28100" i="9"/>
  <c r="F28101" i="9"/>
  <c r="H28101" i="9"/>
  <c r="F28102" i="9"/>
  <c r="H28102" i="9"/>
  <c r="F28103" i="9"/>
  <c r="H28103" i="9"/>
  <c r="F28104" i="9"/>
  <c r="H28104" i="9"/>
  <c r="F28105" i="9"/>
  <c r="H28105" i="9"/>
  <c r="F28106" i="9"/>
  <c r="H28106" i="9"/>
  <c r="F28107" i="9"/>
  <c r="H28107" i="9"/>
  <c r="F28108" i="9"/>
  <c r="H28108" i="9"/>
  <c r="F28109" i="9"/>
  <c r="H28109" i="9"/>
  <c r="F28110" i="9"/>
  <c r="H28110" i="9"/>
  <c r="F28111" i="9"/>
  <c r="H28111" i="9"/>
  <c r="F28112" i="9"/>
  <c r="H28112" i="9"/>
  <c r="F28113" i="9"/>
  <c r="H28113" i="9"/>
  <c r="F28114" i="9"/>
  <c r="H28114" i="9"/>
  <c r="F28115" i="9"/>
  <c r="H28115" i="9"/>
  <c r="F28116" i="9"/>
  <c r="H28116" i="9"/>
  <c r="F28117" i="9"/>
  <c r="H28117" i="9"/>
  <c r="F28118" i="9"/>
  <c r="H28118" i="9"/>
  <c r="F28119" i="9"/>
  <c r="H28119" i="9"/>
  <c r="F28120" i="9"/>
  <c r="H28120" i="9"/>
  <c r="F28121" i="9"/>
  <c r="H28121" i="9"/>
  <c r="F28122" i="9"/>
  <c r="H28122" i="9"/>
  <c r="F28123" i="9"/>
  <c r="H28123" i="9"/>
  <c r="F28124" i="9"/>
  <c r="H28124" i="9"/>
  <c r="F28125" i="9"/>
  <c r="H28125" i="9"/>
  <c r="F28126" i="9"/>
  <c r="H28126" i="9"/>
  <c r="F28127" i="9"/>
  <c r="H28127" i="9"/>
  <c r="F28128" i="9"/>
  <c r="H28128" i="9"/>
  <c r="F28129" i="9"/>
  <c r="H28129" i="9"/>
  <c r="F28130" i="9"/>
  <c r="H28130" i="9"/>
  <c r="F28131" i="9"/>
  <c r="H28131" i="9"/>
  <c r="F28132" i="9"/>
  <c r="H28132" i="9"/>
  <c r="F28133" i="9"/>
  <c r="H28133" i="9"/>
  <c r="F28134" i="9"/>
  <c r="H28134" i="9"/>
  <c r="F28135" i="9"/>
  <c r="H28135" i="9"/>
  <c r="F28136" i="9"/>
  <c r="H28136" i="9"/>
  <c r="F28137" i="9"/>
  <c r="H28137" i="9"/>
  <c r="F28138" i="9"/>
  <c r="H28138" i="9"/>
  <c r="F28139" i="9"/>
  <c r="H28139" i="9"/>
  <c r="F28140" i="9"/>
  <c r="H28140" i="9"/>
  <c r="F28141" i="9"/>
  <c r="H28141" i="9"/>
  <c r="F28142" i="9"/>
  <c r="H28142" i="9"/>
  <c r="F28143" i="9"/>
  <c r="H28143" i="9"/>
  <c r="F28144" i="9"/>
  <c r="H28144" i="9"/>
  <c r="F28145" i="9"/>
  <c r="H28145" i="9"/>
  <c r="F28146" i="9"/>
  <c r="H28146" i="9"/>
  <c r="F28147" i="9"/>
  <c r="H28147" i="9"/>
  <c r="F28148" i="9"/>
  <c r="H28148" i="9"/>
  <c r="F28149" i="9"/>
  <c r="H28149" i="9"/>
  <c r="F28150" i="9"/>
  <c r="H28150" i="9"/>
  <c r="F28151" i="9"/>
  <c r="H28151" i="9"/>
  <c r="F28152" i="9"/>
  <c r="H28152" i="9"/>
  <c r="F28153" i="9"/>
  <c r="H28153" i="9"/>
  <c r="F28154" i="9"/>
  <c r="H28154" i="9"/>
  <c r="F28155" i="9"/>
  <c r="H28155" i="9"/>
  <c r="F28156" i="9"/>
  <c r="H28156" i="9"/>
  <c r="F28157" i="9"/>
  <c r="H28157" i="9"/>
  <c r="F28158" i="9"/>
  <c r="H28158" i="9"/>
  <c r="F28159" i="9"/>
  <c r="H28159" i="9"/>
  <c r="F28160" i="9"/>
  <c r="H28160" i="9"/>
  <c r="F28161" i="9"/>
  <c r="H28161" i="9"/>
  <c r="F28162" i="9"/>
  <c r="H28162" i="9"/>
  <c r="F28163" i="9"/>
  <c r="H28163" i="9"/>
  <c r="F28164" i="9"/>
  <c r="H28164" i="9"/>
  <c r="F28165" i="9"/>
  <c r="H28165" i="9"/>
  <c r="F28166" i="9"/>
  <c r="H28166" i="9"/>
  <c r="F28167" i="9"/>
  <c r="H28167" i="9"/>
  <c r="F28168" i="9"/>
  <c r="H28168" i="9"/>
  <c r="F28169" i="9"/>
  <c r="H28169" i="9"/>
  <c r="F28170" i="9"/>
  <c r="H28170" i="9"/>
  <c r="F28171" i="9"/>
  <c r="H28171" i="9"/>
  <c r="F28172" i="9"/>
  <c r="H28172" i="9"/>
  <c r="F28173" i="9"/>
  <c r="H28173" i="9"/>
  <c r="F28174" i="9"/>
  <c r="H28174" i="9"/>
  <c r="F28175" i="9"/>
  <c r="H28175" i="9"/>
  <c r="F28176" i="9"/>
  <c r="H28176" i="9"/>
  <c r="F28177" i="9"/>
  <c r="H28177" i="9"/>
  <c r="F28178" i="9"/>
  <c r="H28178" i="9"/>
  <c r="F28179" i="9"/>
  <c r="H28179" i="9"/>
  <c r="F28180" i="9"/>
  <c r="H28180" i="9"/>
  <c r="F28181" i="9"/>
  <c r="H28181" i="9"/>
  <c r="F28182" i="9"/>
  <c r="H28182" i="9"/>
  <c r="F28183" i="9"/>
  <c r="H28183" i="9"/>
  <c r="F28184" i="9"/>
  <c r="H28184" i="9"/>
  <c r="F28185" i="9"/>
  <c r="H28185" i="9"/>
  <c r="F28186" i="9"/>
  <c r="H28186" i="9"/>
  <c r="F28187" i="9"/>
  <c r="H28187" i="9"/>
  <c r="F28188" i="9"/>
  <c r="H28188" i="9"/>
  <c r="F28189" i="9"/>
  <c r="H28189" i="9"/>
  <c r="F28190" i="9"/>
  <c r="H28190" i="9"/>
  <c r="F28191" i="9"/>
  <c r="H28191" i="9"/>
  <c r="F28192" i="9"/>
  <c r="H28192" i="9"/>
  <c r="F28193" i="9"/>
  <c r="H28193" i="9"/>
  <c r="F28194" i="9"/>
  <c r="H28194" i="9"/>
  <c r="F28195" i="9"/>
  <c r="H28195" i="9"/>
  <c r="F28196" i="9"/>
  <c r="H28196" i="9"/>
  <c r="F28197" i="9"/>
  <c r="H28197" i="9"/>
  <c r="F28198" i="9"/>
  <c r="H28198" i="9"/>
  <c r="F28199" i="9"/>
  <c r="H28199" i="9"/>
  <c r="F28200" i="9"/>
  <c r="H28200" i="9"/>
  <c r="F28201" i="9"/>
  <c r="H28201" i="9"/>
  <c r="F28202" i="9"/>
  <c r="H28202" i="9"/>
  <c r="F28203" i="9"/>
  <c r="H28203" i="9"/>
  <c r="F28204" i="9"/>
  <c r="H28204" i="9"/>
  <c r="F28205" i="9"/>
  <c r="H28205" i="9"/>
  <c r="F28206" i="9"/>
  <c r="H28206" i="9"/>
  <c r="F28207" i="9"/>
  <c r="H28207" i="9"/>
  <c r="F28208" i="9"/>
  <c r="H28208" i="9"/>
  <c r="F28209" i="9"/>
  <c r="H28209" i="9"/>
  <c r="F28210" i="9"/>
  <c r="H28210" i="9"/>
  <c r="F28211" i="9"/>
  <c r="H28211" i="9"/>
  <c r="F28212" i="9"/>
  <c r="H28212" i="9"/>
  <c r="F28213" i="9"/>
  <c r="H28213" i="9"/>
  <c r="F28214" i="9"/>
  <c r="H28214" i="9"/>
  <c r="F28215" i="9"/>
  <c r="H28215" i="9"/>
  <c r="F28216" i="9"/>
  <c r="H28216" i="9"/>
  <c r="F28217" i="9"/>
  <c r="H28217" i="9"/>
  <c r="F28218" i="9"/>
  <c r="H28218" i="9"/>
  <c r="F28219" i="9"/>
  <c r="H28219" i="9"/>
  <c r="F28220" i="9"/>
  <c r="H28220" i="9"/>
  <c r="F28221" i="9"/>
  <c r="H28221" i="9"/>
  <c r="F28222" i="9"/>
  <c r="H28222" i="9"/>
  <c r="F28223" i="9"/>
  <c r="H28223" i="9"/>
  <c r="F28224" i="9"/>
  <c r="H28224" i="9"/>
  <c r="F28225" i="9"/>
  <c r="H28225" i="9"/>
  <c r="F28226" i="9"/>
  <c r="H28226" i="9"/>
  <c r="F28227" i="9"/>
  <c r="H28227" i="9"/>
  <c r="F28228" i="9"/>
  <c r="H28228" i="9"/>
  <c r="F28229" i="9"/>
  <c r="H28229" i="9"/>
  <c r="F28230" i="9"/>
  <c r="H28230" i="9"/>
  <c r="F28231" i="9"/>
  <c r="H28231" i="9"/>
  <c r="F28232" i="9"/>
  <c r="H28232" i="9"/>
  <c r="F28233" i="9"/>
  <c r="H28233" i="9"/>
  <c r="F28234" i="9"/>
  <c r="H28234" i="9"/>
  <c r="F28235" i="9"/>
  <c r="H28235" i="9"/>
  <c r="F28236" i="9"/>
  <c r="H28236" i="9"/>
  <c r="F28237" i="9"/>
  <c r="H28237" i="9"/>
  <c r="F28238" i="9"/>
  <c r="H28238" i="9"/>
  <c r="F28239" i="9"/>
  <c r="H28239" i="9"/>
  <c r="F28240" i="9"/>
  <c r="H28240" i="9"/>
  <c r="F28241" i="9"/>
  <c r="H28241" i="9"/>
  <c r="F28242" i="9"/>
  <c r="H28242" i="9"/>
  <c r="F28243" i="9"/>
  <c r="H28243" i="9"/>
  <c r="F28244" i="9"/>
  <c r="H28244" i="9"/>
  <c r="F28245" i="9"/>
  <c r="H28245" i="9"/>
  <c r="F28246" i="9"/>
  <c r="H28246" i="9"/>
  <c r="F28247" i="9"/>
  <c r="H28247" i="9"/>
  <c r="F28248" i="9"/>
  <c r="H28248" i="9"/>
  <c r="F28249" i="9"/>
  <c r="H28249" i="9"/>
  <c r="F28250" i="9"/>
  <c r="H28250" i="9"/>
  <c r="F28251" i="9"/>
  <c r="H28251" i="9"/>
  <c r="F28252" i="9"/>
  <c r="H28252" i="9"/>
  <c r="F28253" i="9"/>
  <c r="H28253" i="9"/>
  <c r="F28254" i="9"/>
  <c r="H28254" i="9"/>
  <c r="F28255" i="9"/>
  <c r="H28255" i="9"/>
  <c r="F28256" i="9"/>
  <c r="H28256" i="9"/>
  <c r="F28257" i="9"/>
  <c r="H28257" i="9"/>
  <c r="F28258" i="9"/>
  <c r="H28258" i="9"/>
  <c r="F28259" i="9"/>
  <c r="H28259" i="9"/>
  <c r="F28260" i="9"/>
  <c r="H28260" i="9"/>
  <c r="F28261" i="9"/>
  <c r="H28261" i="9"/>
  <c r="F28262" i="9"/>
  <c r="H28262" i="9"/>
  <c r="F28263" i="9"/>
  <c r="H28263" i="9"/>
  <c r="F28264" i="9"/>
  <c r="H28264" i="9"/>
  <c r="F28265" i="9"/>
  <c r="H28265" i="9"/>
  <c r="F28266" i="9"/>
  <c r="H28266" i="9"/>
  <c r="F28267" i="9"/>
  <c r="H28267" i="9"/>
  <c r="F28268" i="9"/>
  <c r="H28268" i="9"/>
  <c r="F28269" i="9"/>
  <c r="H28269" i="9"/>
  <c r="F28270" i="9"/>
  <c r="H28270" i="9"/>
  <c r="F28271" i="9"/>
  <c r="H28271" i="9"/>
  <c r="F28272" i="9"/>
  <c r="H28272" i="9"/>
  <c r="F28273" i="9"/>
  <c r="H28273" i="9"/>
  <c r="F28274" i="9"/>
  <c r="H28274" i="9"/>
  <c r="F28275" i="9"/>
  <c r="H28275" i="9"/>
  <c r="F28276" i="9"/>
  <c r="H28276" i="9"/>
  <c r="F28277" i="9"/>
  <c r="H28277" i="9"/>
  <c r="F28278" i="9"/>
  <c r="H28278" i="9"/>
  <c r="F28279" i="9"/>
  <c r="H28279" i="9"/>
  <c r="F28280" i="9"/>
  <c r="H28280" i="9"/>
  <c r="F28281" i="9"/>
  <c r="H28281" i="9"/>
  <c r="F28282" i="9"/>
  <c r="H28282" i="9"/>
  <c r="F28283" i="9"/>
  <c r="H28283" i="9"/>
  <c r="F28284" i="9"/>
  <c r="H28284" i="9"/>
  <c r="F28285" i="9"/>
  <c r="H28285" i="9"/>
  <c r="F28286" i="9"/>
  <c r="H28286" i="9"/>
  <c r="F28287" i="9"/>
  <c r="H28287" i="9"/>
  <c r="F28288" i="9"/>
  <c r="H28288" i="9"/>
  <c r="F28289" i="9"/>
  <c r="H28289" i="9"/>
  <c r="F28290" i="9"/>
  <c r="H28290" i="9"/>
  <c r="F28291" i="9"/>
  <c r="H28291" i="9"/>
  <c r="F28292" i="9"/>
  <c r="H28292" i="9"/>
  <c r="F28293" i="9"/>
  <c r="H28293" i="9"/>
  <c r="F28294" i="9"/>
  <c r="H28294" i="9"/>
  <c r="F28295" i="9"/>
  <c r="H28295" i="9"/>
  <c r="F28296" i="9"/>
  <c r="H28296" i="9"/>
  <c r="F28297" i="9"/>
  <c r="H28297" i="9"/>
  <c r="F28298" i="9"/>
  <c r="H28298" i="9"/>
  <c r="F28299" i="9"/>
  <c r="H28299" i="9"/>
  <c r="F28300" i="9"/>
  <c r="H28300" i="9"/>
  <c r="F28301" i="9"/>
  <c r="H28301" i="9"/>
  <c r="F28302" i="9"/>
  <c r="H28302" i="9"/>
  <c r="F28303" i="9"/>
  <c r="H28303" i="9"/>
  <c r="F28304" i="9"/>
  <c r="H28304" i="9"/>
  <c r="F28305" i="9"/>
  <c r="H28305" i="9"/>
  <c r="F28306" i="9"/>
  <c r="H28306" i="9"/>
  <c r="F28307" i="9"/>
  <c r="H28307" i="9"/>
  <c r="F28308" i="9"/>
  <c r="H28308" i="9"/>
  <c r="F28309" i="9"/>
  <c r="H28309" i="9"/>
  <c r="F28310" i="9"/>
  <c r="H28310" i="9"/>
  <c r="F28311" i="9"/>
  <c r="H28311" i="9"/>
  <c r="F28312" i="9"/>
  <c r="H28312" i="9"/>
  <c r="F28313" i="9"/>
  <c r="H28313" i="9"/>
  <c r="F28314" i="9"/>
  <c r="H28314" i="9"/>
  <c r="F28315" i="9"/>
  <c r="H28315" i="9"/>
  <c r="F28316" i="9"/>
  <c r="H28316" i="9"/>
  <c r="F28317" i="9"/>
  <c r="H28317" i="9"/>
  <c r="F28318" i="9"/>
  <c r="H28318" i="9"/>
  <c r="F28319" i="9"/>
  <c r="H28319" i="9"/>
  <c r="F28320" i="9"/>
  <c r="H28320" i="9"/>
  <c r="F28321" i="9"/>
  <c r="H28321" i="9"/>
  <c r="F28322" i="9"/>
  <c r="H28322" i="9"/>
  <c r="F28323" i="9"/>
  <c r="H28323" i="9"/>
  <c r="F28324" i="9"/>
  <c r="H28324" i="9"/>
  <c r="F28325" i="9"/>
  <c r="H28325" i="9"/>
  <c r="F28326" i="9"/>
  <c r="H28326" i="9"/>
  <c r="F28327" i="9"/>
  <c r="H28327" i="9"/>
  <c r="F28328" i="9"/>
  <c r="H28328" i="9"/>
  <c r="F28329" i="9"/>
  <c r="H28329" i="9"/>
  <c r="F28330" i="9"/>
  <c r="H28330" i="9"/>
  <c r="F28331" i="9"/>
  <c r="H28331" i="9"/>
  <c r="F28332" i="9"/>
  <c r="H28332" i="9"/>
  <c r="F28333" i="9"/>
  <c r="H28333" i="9"/>
  <c r="F28334" i="9"/>
  <c r="H28334" i="9"/>
  <c r="F28335" i="9"/>
  <c r="H28335" i="9"/>
  <c r="F28336" i="9"/>
  <c r="H28336" i="9"/>
  <c r="F28337" i="9"/>
  <c r="H28337" i="9"/>
  <c r="F28338" i="9"/>
  <c r="H28338" i="9"/>
  <c r="F28339" i="9"/>
  <c r="H28339" i="9"/>
  <c r="F28340" i="9"/>
  <c r="H28340" i="9"/>
  <c r="F28341" i="9"/>
  <c r="H28341" i="9"/>
  <c r="F28342" i="9"/>
  <c r="H28342" i="9"/>
  <c r="F28343" i="9"/>
  <c r="H28343" i="9"/>
  <c r="F28344" i="9"/>
  <c r="H28344" i="9"/>
  <c r="F28345" i="9"/>
  <c r="H28345" i="9"/>
  <c r="F28346" i="9"/>
  <c r="H28346" i="9"/>
  <c r="F28347" i="9"/>
  <c r="H28347" i="9"/>
  <c r="F28348" i="9"/>
  <c r="H28348" i="9"/>
  <c r="F28349" i="9"/>
  <c r="H28349" i="9"/>
  <c r="F28350" i="9"/>
  <c r="H28350" i="9"/>
  <c r="F28351" i="9"/>
  <c r="H28351" i="9"/>
  <c r="F28352" i="9"/>
  <c r="H28352" i="9"/>
  <c r="F28353" i="9"/>
  <c r="H28353" i="9"/>
  <c r="F28354" i="9"/>
  <c r="H28354" i="9"/>
  <c r="F28355" i="9"/>
  <c r="H28355" i="9"/>
  <c r="F28356" i="9"/>
  <c r="H28356" i="9"/>
  <c r="F28357" i="9"/>
  <c r="H28357" i="9"/>
  <c r="F28358" i="9"/>
  <c r="H28358" i="9"/>
  <c r="F28359" i="9"/>
  <c r="H28359" i="9"/>
  <c r="F28360" i="9"/>
  <c r="H28360" i="9"/>
  <c r="F28361" i="9"/>
  <c r="H28361" i="9"/>
  <c r="F28362" i="9"/>
  <c r="H28362" i="9"/>
  <c r="F28363" i="9"/>
  <c r="H28363" i="9"/>
  <c r="F28364" i="9"/>
  <c r="H28364" i="9"/>
  <c r="F28365" i="9"/>
  <c r="H28365" i="9"/>
  <c r="F28366" i="9"/>
  <c r="H28366" i="9"/>
  <c r="F28367" i="9"/>
  <c r="H28367" i="9"/>
  <c r="F28368" i="9"/>
  <c r="H28368" i="9"/>
  <c r="F28369" i="9"/>
  <c r="H28369" i="9"/>
  <c r="F28370" i="9"/>
  <c r="H28370" i="9"/>
  <c r="F28371" i="9"/>
  <c r="H28371" i="9"/>
  <c r="F28372" i="9"/>
  <c r="H28372" i="9"/>
  <c r="F28373" i="9"/>
  <c r="H28373" i="9"/>
  <c r="F28374" i="9"/>
  <c r="H28374" i="9"/>
  <c r="F28375" i="9"/>
  <c r="H28375" i="9"/>
  <c r="F28376" i="9"/>
  <c r="H28376" i="9"/>
  <c r="F28377" i="9"/>
  <c r="H28377" i="9"/>
  <c r="F28378" i="9"/>
  <c r="H28378" i="9"/>
  <c r="F28379" i="9"/>
  <c r="H28379" i="9"/>
  <c r="F28380" i="9"/>
  <c r="H28380" i="9"/>
  <c r="F28381" i="9"/>
  <c r="H28381" i="9"/>
  <c r="F28382" i="9"/>
  <c r="H28382" i="9"/>
  <c r="F28383" i="9"/>
  <c r="H28383" i="9"/>
  <c r="F28384" i="9"/>
  <c r="H28384" i="9"/>
  <c r="F28385" i="9"/>
  <c r="H28385" i="9"/>
  <c r="F28386" i="9"/>
  <c r="H28386" i="9"/>
  <c r="F28387" i="9"/>
  <c r="H28387" i="9"/>
  <c r="F28388" i="9"/>
  <c r="H28388" i="9"/>
  <c r="F28389" i="9"/>
  <c r="H28389" i="9"/>
  <c r="F28390" i="9"/>
  <c r="H28390" i="9"/>
  <c r="F28391" i="9"/>
  <c r="H28391" i="9"/>
  <c r="F28392" i="9"/>
  <c r="H28392" i="9"/>
  <c r="F28393" i="9"/>
  <c r="H28393" i="9"/>
  <c r="F28394" i="9"/>
  <c r="H28394" i="9"/>
  <c r="F28395" i="9"/>
  <c r="H28395" i="9"/>
  <c r="F28396" i="9"/>
  <c r="H28396" i="9"/>
  <c r="F28397" i="9"/>
  <c r="H28397" i="9"/>
  <c r="F28398" i="9"/>
  <c r="H28398" i="9"/>
  <c r="F28399" i="9"/>
  <c r="H28399" i="9"/>
  <c r="F28400" i="9"/>
  <c r="H28400" i="9"/>
  <c r="F28401" i="9"/>
  <c r="H28401" i="9"/>
  <c r="F28402" i="9"/>
  <c r="H28402" i="9"/>
  <c r="F28403" i="9"/>
  <c r="H28403" i="9"/>
  <c r="F28404" i="9"/>
  <c r="H28404" i="9"/>
  <c r="F28405" i="9"/>
  <c r="H28405" i="9"/>
  <c r="F28406" i="9"/>
  <c r="H28406" i="9"/>
  <c r="F28407" i="9"/>
  <c r="H28407" i="9"/>
  <c r="F28408" i="9"/>
  <c r="H28408" i="9"/>
  <c r="F28409" i="9"/>
  <c r="H28409" i="9"/>
  <c r="F28410" i="9"/>
  <c r="H28410" i="9"/>
  <c r="F28411" i="9"/>
  <c r="H28411" i="9"/>
  <c r="F28412" i="9"/>
  <c r="H28412" i="9"/>
  <c r="F28413" i="9"/>
  <c r="H28413" i="9"/>
  <c r="F28414" i="9"/>
  <c r="H28414" i="9"/>
  <c r="F28415" i="9"/>
  <c r="H28415" i="9"/>
  <c r="F28416" i="9"/>
  <c r="H28416" i="9"/>
  <c r="F28417" i="9"/>
  <c r="H28417" i="9"/>
  <c r="F28418" i="9"/>
  <c r="H28418" i="9"/>
  <c r="F28419" i="9"/>
  <c r="H28419" i="9"/>
  <c r="F28420" i="9"/>
  <c r="H28420" i="9"/>
  <c r="F28421" i="9"/>
  <c r="H28421" i="9"/>
  <c r="F28422" i="9"/>
  <c r="H28422" i="9"/>
  <c r="F28423" i="9"/>
  <c r="H28423" i="9"/>
  <c r="F28424" i="9"/>
  <c r="H28424" i="9"/>
  <c r="F28425" i="9"/>
  <c r="H28425" i="9"/>
  <c r="F28426" i="9"/>
  <c r="H28426" i="9"/>
  <c r="F28427" i="9"/>
  <c r="H28427" i="9"/>
  <c r="F28428" i="9"/>
  <c r="H28428" i="9"/>
  <c r="F28429" i="9"/>
  <c r="H28429" i="9"/>
  <c r="F28430" i="9"/>
  <c r="H28430" i="9"/>
  <c r="F28431" i="9"/>
  <c r="H28431" i="9"/>
  <c r="F28432" i="9"/>
  <c r="H28432" i="9"/>
  <c r="F28433" i="9"/>
  <c r="H28433" i="9"/>
  <c r="F28434" i="9"/>
  <c r="H28434" i="9"/>
  <c r="F28435" i="9"/>
  <c r="H28435" i="9"/>
  <c r="F28436" i="9"/>
  <c r="H28436" i="9"/>
  <c r="F28437" i="9"/>
  <c r="H28437" i="9"/>
  <c r="F28438" i="9"/>
  <c r="H28438" i="9"/>
  <c r="F28439" i="9"/>
  <c r="H28439" i="9"/>
  <c r="F28440" i="9"/>
  <c r="H28440" i="9"/>
  <c r="F28441" i="9"/>
  <c r="H28441" i="9"/>
  <c r="F28442" i="9"/>
  <c r="H28442" i="9"/>
  <c r="F28443" i="9"/>
  <c r="H28443" i="9"/>
  <c r="F28444" i="9"/>
  <c r="H28444" i="9"/>
  <c r="F28445" i="9"/>
  <c r="H28445" i="9"/>
  <c r="F28446" i="9"/>
  <c r="H28446" i="9"/>
  <c r="F28447" i="9"/>
  <c r="H28447" i="9"/>
  <c r="F28448" i="9"/>
  <c r="H28448" i="9"/>
  <c r="F28449" i="9"/>
  <c r="H28449" i="9"/>
  <c r="F28450" i="9"/>
  <c r="H28450" i="9"/>
  <c r="F28451" i="9"/>
  <c r="H28451" i="9"/>
  <c r="F28452" i="9"/>
  <c r="H28452" i="9"/>
  <c r="F28453" i="9"/>
  <c r="H28453" i="9"/>
  <c r="F28454" i="9"/>
  <c r="H28454" i="9"/>
  <c r="F28455" i="9"/>
  <c r="H28455" i="9"/>
  <c r="F28456" i="9"/>
  <c r="H28456" i="9"/>
  <c r="F28457" i="9"/>
  <c r="H28457" i="9"/>
  <c r="F28458" i="9"/>
  <c r="H28458" i="9"/>
  <c r="F28459" i="9"/>
  <c r="H28459" i="9"/>
  <c r="F28460" i="9"/>
  <c r="H28460" i="9"/>
  <c r="F28461" i="9"/>
  <c r="H28461" i="9"/>
  <c r="F28462" i="9"/>
  <c r="H28462" i="9"/>
  <c r="F28463" i="9"/>
  <c r="H28463" i="9"/>
  <c r="F28464" i="9"/>
  <c r="H28464" i="9"/>
  <c r="F28465" i="9"/>
  <c r="H28465" i="9"/>
  <c r="F28466" i="9"/>
  <c r="H28466" i="9"/>
  <c r="F28467" i="9"/>
  <c r="H28467" i="9"/>
  <c r="F28468" i="9"/>
  <c r="H28468" i="9"/>
  <c r="F28469" i="9"/>
  <c r="H28469" i="9"/>
  <c r="F28470" i="9"/>
  <c r="H28470" i="9"/>
  <c r="F28471" i="9"/>
  <c r="H28471" i="9"/>
  <c r="F28472" i="9"/>
  <c r="H28472" i="9"/>
  <c r="F28473" i="9"/>
  <c r="H28473" i="9"/>
  <c r="F28474" i="9"/>
  <c r="H28474" i="9"/>
  <c r="F28475" i="9"/>
  <c r="H28475" i="9"/>
  <c r="F28476" i="9"/>
  <c r="H28476" i="9"/>
  <c r="F28477" i="9"/>
  <c r="H28477" i="9"/>
  <c r="F28478" i="9"/>
  <c r="H28478" i="9"/>
  <c r="F28479" i="9"/>
  <c r="H28479" i="9"/>
  <c r="F28480" i="9"/>
  <c r="H28480" i="9"/>
  <c r="F28481" i="9"/>
  <c r="H28481" i="9"/>
  <c r="F28482" i="9"/>
  <c r="H28482" i="9"/>
  <c r="F28483" i="9"/>
  <c r="H28483" i="9"/>
  <c r="F28484" i="9"/>
  <c r="H28484" i="9"/>
  <c r="F28485" i="9"/>
  <c r="H28485" i="9"/>
  <c r="F28486" i="9"/>
  <c r="H28486" i="9"/>
  <c r="F28487" i="9"/>
  <c r="H28487" i="9"/>
  <c r="F28488" i="9"/>
  <c r="H28488" i="9"/>
  <c r="F28489" i="9"/>
  <c r="H28489" i="9"/>
  <c r="F28490" i="9"/>
  <c r="H28490" i="9"/>
  <c r="F28491" i="9"/>
  <c r="H28491" i="9"/>
  <c r="F28492" i="9"/>
  <c r="H28492" i="9"/>
  <c r="F28493" i="9"/>
  <c r="H28493" i="9"/>
  <c r="F28494" i="9"/>
  <c r="H28494" i="9"/>
  <c r="F28495" i="9"/>
  <c r="H28495" i="9"/>
  <c r="F28496" i="9"/>
  <c r="H28496" i="9"/>
  <c r="F28497" i="9"/>
  <c r="H28497" i="9"/>
  <c r="F28498" i="9"/>
  <c r="H28498" i="9"/>
  <c r="F28499" i="9"/>
  <c r="H28499" i="9"/>
  <c r="F28500" i="9"/>
  <c r="H28500" i="9"/>
  <c r="F28501" i="9"/>
  <c r="H28501" i="9"/>
  <c r="F28502" i="9"/>
  <c r="H28502" i="9"/>
  <c r="F28503" i="9"/>
  <c r="H28503" i="9"/>
  <c r="F28504" i="9"/>
  <c r="H28504" i="9"/>
  <c r="F28505" i="9"/>
  <c r="H28505" i="9"/>
  <c r="F28506" i="9"/>
  <c r="H28506" i="9"/>
  <c r="F28507" i="9"/>
  <c r="H28507" i="9"/>
  <c r="F28508" i="9"/>
  <c r="H28508" i="9"/>
  <c r="F28509" i="9"/>
  <c r="H28509" i="9"/>
  <c r="F28510" i="9"/>
  <c r="H28510" i="9"/>
  <c r="F28511" i="9"/>
  <c r="H28511" i="9"/>
  <c r="F28512" i="9"/>
  <c r="H28512" i="9"/>
  <c r="F28513" i="9"/>
  <c r="H28513" i="9"/>
  <c r="F28514" i="9"/>
  <c r="H28514" i="9"/>
  <c r="F28515" i="9"/>
  <c r="H28515" i="9"/>
  <c r="F28516" i="9"/>
  <c r="H28516" i="9"/>
  <c r="F28517" i="9"/>
  <c r="H28517" i="9"/>
  <c r="F28518" i="9"/>
  <c r="H28518" i="9"/>
  <c r="F28519" i="9"/>
  <c r="H28519" i="9"/>
  <c r="F28520" i="9"/>
  <c r="H28520" i="9"/>
  <c r="F28521" i="9"/>
  <c r="H28521" i="9"/>
  <c r="F28522" i="9"/>
  <c r="H28522" i="9"/>
  <c r="F28523" i="9"/>
  <c r="H28523" i="9"/>
  <c r="F28524" i="9"/>
  <c r="H28524" i="9"/>
  <c r="F28525" i="9"/>
  <c r="H28525" i="9"/>
  <c r="F28526" i="9"/>
  <c r="H28526" i="9"/>
  <c r="F28527" i="9"/>
  <c r="H28527" i="9"/>
  <c r="F28528" i="9"/>
  <c r="H28528" i="9"/>
  <c r="F28529" i="9"/>
  <c r="H28529" i="9"/>
  <c r="F28530" i="9"/>
  <c r="H28530" i="9"/>
  <c r="F28531" i="9"/>
  <c r="H28531" i="9"/>
  <c r="F28532" i="9"/>
  <c r="H28532" i="9"/>
  <c r="F28533" i="9"/>
  <c r="H28533" i="9"/>
  <c r="F28534" i="9"/>
  <c r="H28534" i="9"/>
  <c r="F28535" i="9"/>
  <c r="H28535" i="9"/>
  <c r="F28536" i="9"/>
  <c r="H28536" i="9"/>
  <c r="F28537" i="9"/>
  <c r="H28537" i="9"/>
  <c r="F28538" i="9"/>
  <c r="H28538" i="9"/>
  <c r="F28539" i="9"/>
  <c r="H28539" i="9"/>
  <c r="F28540" i="9"/>
  <c r="H28540" i="9"/>
  <c r="F28541" i="9"/>
  <c r="H28541" i="9"/>
  <c r="F28542" i="9"/>
  <c r="H28542" i="9"/>
  <c r="F28543" i="9"/>
  <c r="H28543" i="9"/>
  <c r="F28544" i="9"/>
  <c r="H28544" i="9"/>
  <c r="F28545" i="9"/>
  <c r="H28545" i="9"/>
  <c r="F28546" i="9"/>
  <c r="H28546" i="9"/>
  <c r="F28547" i="9"/>
  <c r="H28547" i="9"/>
  <c r="F28548" i="9"/>
  <c r="H28548" i="9"/>
  <c r="F28549" i="9"/>
  <c r="H28549" i="9"/>
  <c r="F28550" i="9"/>
  <c r="H28550" i="9"/>
  <c r="F28551" i="9"/>
  <c r="H28551" i="9"/>
  <c r="F28552" i="9"/>
  <c r="H28552" i="9"/>
  <c r="F28553" i="9"/>
  <c r="H28553" i="9"/>
  <c r="F28554" i="9"/>
  <c r="H28554" i="9"/>
  <c r="F28555" i="9"/>
  <c r="H28555" i="9"/>
  <c r="F28556" i="9"/>
  <c r="H28556" i="9"/>
  <c r="F28557" i="9"/>
  <c r="H28557" i="9"/>
  <c r="F28558" i="9"/>
  <c r="H28558" i="9"/>
  <c r="F28559" i="9"/>
  <c r="H28559" i="9"/>
  <c r="F28560" i="9"/>
  <c r="H28560" i="9"/>
  <c r="F28561" i="9"/>
  <c r="H28561" i="9"/>
  <c r="F28562" i="9"/>
  <c r="H28562" i="9"/>
  <c r="F28563" i="9"/>
  <c r="H28563" i="9"/>
  <c r="F28564" i="9"/>
  <c r="H28564" i="9"/>
  <c r="F28565" i="9"/>
  <c r="H28565" i="9"/>
  <c r="F28566" i="9"/>
  <c r="H28566" i="9"/>
  <c r="F28567" i="9"/>
  <c r="H28567" i="9"/>
  <c r="F28568" i="9"/>
  <c r="H28568" i="9"/>
  <c r="F28569" i="9"/>
  <c r="H28569" i="9"/>
  <c r="F28570" i="9"/>
  <c r="H28570" i="9"/>
  <c r="F28571" i="9"/>
  <c r="H28571" i="9"/>
  <c r="F28572" i="9"/>
  <c r="H28572" i="9"/>
  <c r="F28573" i="9"/>
  <c r="H28573" i="9"/>
  <c r="F28574" i="9"/>
  <c r="H28574" i="9"/>
  <c r="F28575" i="9"/>
  <c r="H28575" i="9"/>
  <c r="F28576" i="9"/>
  <c r="H28576" i="9"/>
  <c r="F28577" i="9"/>
  <c r="H28577" i="9"/>
  <c r="F28578" i="9"/>
  <c r="H28578" i="9"/>
  <c r="F28579" i="9"/>
  <c r="H28579" i="9"/>
  <c r="F28580" i="9"/>
  <c r="H28580" i="9"/>
  <c r="F28581" i="9"/>
  <c r="H28581" i="9"/>
  <c r="F28582" i="9"/>
  <c r="H28582" i="9"/>
  <c r="F28583" i="9"/>
  <c r="H28583" i="9"/>
  <c r="F28584" i="9"/>
  <c r="H28584" i="9"/>
  <c r="F28585" i="9"/>
  <c r="H28585" i="9"/>
  <c r="F28586" i="9"/>
  <c r="H28586" i="9"/>
  <c r="F28587" i="9"/>
  <c r="H28587" i="9"/>
  <c r="F28588" i="9"/>
  <c r="H28588" i="9"/>
  <c r="F28589" i="9"/>
  <c r="H28589" i="9"/>
  <c r="F28590" i="9"/>
  <c r="H28590" i="9"/>
  <c r="F28591" i="9"/>
  <c r="H28591" i="9"/>
  <c r="F28592" i="9"/>
  <c r="H28592" i="9"/>
  <c r="F28593" i="9"/>
  <c r="H28593" i="9"/>
  <c r="F28594" i="9"/>
  <c r="H28594" i="9"/>
  <c r="F28595" i="9"/>
  <c r="H28595" i="9"/>
  <c r="F28596" i="9"/>
  <c r="H28596" i="9"/>
  <c r="F28597" i="9"/>
  <c r="H28597" i="9"/>
  <c r="F28598" i="9"/>
  <c r="H28598" i="9"/>
  <c r="F28599" i="9"/>
  <c r="H28599" i="9"/>
  <c r="F28600" i="9"/>
  <c r="H28600" i="9"/>
  <c r="F28601" i="9"/>
  <c r="H28601" i="9"/>
  <c r="F28602" i="9"/>
  <c r="H28602" i="9"/>
  <c r="F28603" i="9"/>
  <c r="H28603" i="9"/>
  <c r="F28604" i="9"/>
  <c r="H28604" i="9"/>
  <c r="F28605" i="9"/>
  <c r="H28605" i="9"/>
  <c r="F28606" i="9"/>
  <c r="H28606" i="9"/>
  <c r="F28607" i="9"/>
  <c r="H28607" i="9"/>
  <c r="F28608" i="9"/>
  <c r="H28608" i="9"/>
  <c r="F28609" i="9"/>
  <c r="H28609" i="9"/>
  <c r="F28610" i="9"/>
  <c r="H28610" i="9"/>
  <c r="F28611" i="9"/>
  <c r="H28611" i="9"/>
  <c r="F28612" i="9"/>
  <c r="H28612" i="9"/>
  <c r="F28613" i="9"/>
  <c r="H28613" i="9"/>
  <c r="F28614" i="9"/>
  <c r="H28614" i="9"/>
  <c r="F28615" i="9"/>
  <c r="H28615" i="9"/>
  <c r="F28616" i="9"/>
  <c r="H28616" i="9"/>
  <c r="F28617" i="9"/>
  <c r="H28617" i="9"/>
  <c r="F28618" i="9"/>
  <c r="H28618" i="9"/>
  <c r="F28619" i="9"/>
  <c r="H28619" i="9"/>
  <c r="F28620" i="9"/>
  <c r="H28620" i="9"/>
  <c r="F28621" i="9"/>
  <c r="H28621" i="9"/>
  <c r="F28622" i="9"/>
  <c r="H28622" i="9"/>
  <c r="F28623" i="9"/>
  <c r="H28623" i="9"/>
  <c r="F28624" i="9"/>
  <c r="H28624" i="9"/>
  <c r="F28625" i="9"/>
  <c r="H28625" i="9"/>
  <c r="F28626" i="9"/>
  <c r="H28626" i="9"/>
  <c r="F28627" i="9"/>
  <c r="H28627" i="9"/>
  <c r="F28628" i="9"/>
  <c r="H28628" i="9"/>
  <c r="F28629" i="9"/>
  <c r="H28629" i="9"/>
  <c r="F28630" i="9"/>
  <c r="H28630" i="9"/>
  <c r="F28631" i="9"/>
  <c r="H28631" i="9"/>
  <c r="F28632" i="9"/>
  <c r="H28632" i="9"/>
  <c r="F28633" i="9"/>
  <c r="H28633" i="9"/>
  <c r="F28634" i="9"/>
  <c r="H28634" i="9"/>
  <c r="F28635" i="9"/>
  <c r="H28635" i="9"/>
  <c r="F28636" i="9"/>
  <c r="H28636" i="9"/>
  <c r="F28637" i="9"/>
  <c r="H28637" i="9"/>
  <c r="F28638" i="9"/>
  <c r="H28638" i="9"/>
  <c r="F28639" i="9"/>
  <c r="H28639" i="9"/>
  <c r="F28640" i="9"/>
  <c r="H28640" i="9"/>
  <c r="F28641" i="9"/>
  <c r="H28641" i="9"/>
  <c r="F28642" i="9"/>
  <c r="H28642" i="9"/>
  <c r="F28643" i="9"/>
  <c r="H28643" i="9"/>
  <c r="F28644" i="9"/>
  <c r="H28644" i="9"/>
  <c r="F28645" i="9"/>
  <c r="H28645" i="9"/>
  <c r="F28646" i="9"/>
  <c r="H28646" i="9"/>
  <c r="F28647" i="9"/>
  <c r="H28647" i="9"/>
  <c r="F28648" i="9"/>
  <c r="H28648" i="9"/>
  <c r="F28649" i="9"/>
  <c r="H28649" i="9"/>
  <c r="F28650" i="9"/>
  <c r="H28650" i="9"/>
  <c r="F28651" i="9"/>
  <c r="H28651" i="9"/>
  <c r="F28652" i="9"/>
  <c r="H28652" i="9"/>
  <c r="F28653" i="9"/>
  <c r="H28653" i="9"/>
  <c r="F28654" i="9"/>
  <c r="H28654" i="9"/>
  <c r="F28655" i="9"/>
  <c r="H28655" i="9"/>
  <c r="F28656" i="9"/>
  <c r="H28656" i="9"/>
  <c r="F28657" i="9"/>
  <c r="H28657" i="9"/>
  <c r="F28658" i="9"/>
  <c r="H28658" i="9"/>
  <c r="F28659" i="9"/>
  <c r="H28659" i="9"/>
  <c r="F28660" i="9"/>
  <c r="H28660" i="9"/>
  <c r="F28661" i="9"/>
  <c r="H28661" i="9"/>
  <c r="F28662" i="9"/>
  <c r="H28662" i="9"/>
  <c r="F28663" i="9"/>
  <c r="H28663" i="9"/>
  <c r="F28664" i="9"/>
  <c r="H28664" i="9"/>
  <c r="F28665" i="9"/>
  <c r="H28665" i="9"/>
  <c r="F28666" i="9"/>
  <c r="H28666" i="9"/>
  <c r="F28667" i="9"/>
  <c r="H28667" i="9"/>
  <c r="F28668" i="9"/>
  <c r="H28668" i="9"/>
  <c r="F28669" i="9"/>
  <c r="H28669" i="9"/>
  <c r="F28670" i="9"/>
  <c r="H28670" i="9"/>
  <c r="F28671" i="9"/>
  <c r="H28671" i="9"/>
  <c r="F28672" i="9"/>
  <c r="H28672" i="9"/>
  <c r="F28673" i="9"/>
  <c r="H28673" i="9"/>
  <c r="F28674" i="9"/>
  <c r="H28674" i="9"/>
  <c r="F28675" i="9"/>
  <c r="H28675" i="9"/>
  <c r="F28676" i="9"/>
  <c r="H28676" i="9"/>
  <c r="F28677" i="9"/>
  <c r="H28677" i="9"/>
  <c r="F28678" i="9"/>
  <c r="H28678" i="9"/>
  <c r="F28679" i="9"/>
  <c r="H28679" i="9"/>
  <c r="F28680" i="9"/>
  <c r="H28680" i="9"/>
  <c r="F28681" i="9"/>
  <c r="H28681" i="9"/>
  <c r="F28682" i="9"/>
  <c r="H28682" i="9"/>
  <c r="F28683" i="9"/>
  <c r="H28683" i="9"/>
  <c r="F28684" i="9"/>
  <c r="H28684" i="9"/>
  <c r="F28685" i="9"/>
  <c r="H28685" i="9"/>
  <c r="F28686" i="9"/>
  <c r="H28686" i="9"/>
  <c r="F28687" i="9"/>
  <c r="H28687" i="9"/>
  <c r="F28688" i="9"/>
  <c r="H28688" i="9"/>
  <c r="F28689" i="9"/>
  <c r="H28689" i="9"/>
  <c r="F28690" i="9"/>
  <c r="H28690" i="9"/>
  <c r="F28691" i="9"/>
  <c r="H28691" i="9"/>
  <c r="F28692" i="9"/>
  <c r="H28692" i="9"/>
  <c r="F28693" i="9"/>
  <c r="H28693" i="9"/>
  <c r="F28694" i="9"/>
  <c r="H28694" i="9"/>
  <c r="F28695" i="9"/>
  <c r="H28695" i="9"/>
  <c r="F28696" i="9"/>
  <c r="H28696" i="9"/>
  <c r="F28697" i="9"/>
  <c r="H28697" i="9"/>
  <c r="F28698" i="9"/>
  <c r="H28698" i="9"/>
  <c r="F28699" i="9"/>
  <c r="H28699" i="9"/>
  <c r="F28700" i="9"/>
  <c r="H28700" i="9"/>
  <c r="F28701" i="9"/>
  <c r="H28701" i="9"/>
  <c r="F28702" i="9"/>
  <c r="H28702" i="9"/>
  <c r="F28703" i="9"/>
  <c r="H28703" i="9"/>
  <c r="F28704" i="9"/>
  <c r="H28704" i="9"/>
  <c r="F28705" i="9"/>
  <c r="H28705" i="9"/>
  <c r="F28706" i="9"/>
  <c r="H28706" i="9"/>
  <c r="F28707" i="9"/>
  <c r="H28707" i="9"/>
  <c r="F28708" i="9"/>
  <c r="H28708" i="9"/>
  <c r="F28709" i="9"/>
  <c r="H28709" i="9"/>
  <c r="F28710" i="9"/>
  <c r="H28710" i="9"/>
  <c r="F28711" i="9"/>
  <c r="H28711" i="9"/>
  <c r="F28712" i="9"/>
  <c r="H28712" i="9"/>
  <c r="F28713" i="9"/>
  <c r="H28713" i="9"/>
  <c r="F28714" i="9"/>
  <c r="H28714" i="9"/>
  <c r="F28715" i="9"/>
  <c r="H28715" i="9"/>
  <c r="F28716" i="9"/>
  <c r="H28716" i="9"/>
  <c r="F28717" i="9"/>
  <c r="H28717" i="9"/>
  <c r="F28718" i="9"/>
  <c r="H28718" i="9"/>
  <c r="F28719" i="9"/>
  <c r="H28719" i="9"/>
  <c r="F28720" i="9"/>
  <c r="H28720" i="9"/>
  <c r="F28721" i="9"/>
  <c r="H28721" i="9"/>
  <c r="F28722" i="9"/>
  <c r="H28722" i="9"/>
  <c r="F28723" i="9"/>
  <c r="H28723" i="9"/>
  <c r="F28724" i="9"/>
  <c r="H28724" i="9"/>
  <c r="F28725" i="9"/>
  <c r="H28725" i="9"/>
  <c r="F28726" i="9"/>
  <c r="H28726" i="9"/>
  <c r="F28727" i="9"/>
  <c r="H28727" i="9"/>
  <c r="F28728" i="9"/>
  <c r="H28728" i="9"/>
  <c r="F28729" i="9"/>
  <c r="H28729" i="9"/>
  <c r="F28730" i="9"/>
  <c r="H28730" i="9"/>
  <c r="F28731" i="9"/>
  <c r="H28731" i="9"/>
  <c r="F28732" i="9"/>
  <c r="H28732" i="9"/>
  <c r="F28733" i="9"/>
  <c r="H28733" i="9"/>
  <c r="F28734" i="9"/>
  <c r="H28734" i="9"/>
  <c r="F28735" i="9"/>
  <c r="H28735" i="9"/>
  <c r="F28736" i="9"/>
  <c r="H28736" i="9"/>
  <c r="F28737" i="9"/>
  <c r="H28737" i="9"/>
  <c r="F28738" i="9"/>
  <c r="H28738" i="9"/>
  <c r="F28739" i="9"/>
  <c r="H28739" i="9"/>
  <c r="F28740" i="9"/>
  <c r="H28740" i="9"/>
  <c r="F28741" i="9"/>
  <c r="H28741" i="9"/>
  <c r="F28742" i="9"/>
  <c r="H28742" i="9"/>
  <c r="F28743" i="9"/>
  <c r="H28743" i="9"/>
  <c r="F28744" i="9"/>
  <c r="H28744" i="9"/>
  <c r="F28745" i="9"/>
  <c r="H28745" i="9"/>
  <c r="F28746" i="9"/>
  <c r="H28746" i="9"/>
  <c r="F28747" i="9"/>
  <c r="H28747" i="9"/>
  <c r="F28748" i="9"/>
  <c r="H28748" i="9"/>
  <c r="F28749" i="9"/>
  <c r="H28749" i="9"/>
  <c r="F28750" i="9"/>
  <c r="H28750" i="9"/>
  <c r="F28751" i="9"/>
  <c r="H28751" i="9"/>
  <c r="F28752" i="9"/>
  <c r="H28752" i="9"/>
  <c r="F28753" i="9"/>
  <c r="H28753" i="9"/>
  <c r="F28754" i="9"/>
  <c r="H28754" i="9"/>
  <c r="F28755" i="9"/>
  <c r="H28755" i="9"/>
  <c r="F28756" i="9"/>
  <c r="H28756" i="9"/>
  <c r="F28757" i="9"/>
  <c r="H28757" i="9"/>
  <c r="F28758" i="9"/>
  <c r="H28758" i="9"/>
  <c r="F28759" i="9"/>
  <c r="H28759" i="9"/>
  <c r="F28760" i="9"/>
  <c r="H28760" i="9"/>
  <c r="F28761" i="9"/>
  <c r="H28761" i="9"/>
  <c r="F28762" i="9"/>
  <c r="H28762" i="9"/>
  <c r="F28763" i="9"/>
  <c r="H28763" i="9"/>
  <c r="F28764" i="9"/>
  <c r="H28764" i="9"/>
  <c r="F28765" i="9"/>
  <c r="H28765" i="9"/>
  <c r="F28766" i="9"/>
  <c r="H28766" i="9"/>
  <c r="F28767" i="9"/>
  <c r="H28767" i="9"/>
  <c r="F28768" i="9"/>
  <c r="H28768" i="9"/>
  <c r="F28769" i="9"/>
  <c r="H28769" i="9"/>
  <c r="F28770" i="9"/>
  <c r="H28770" i="9"/>
  <c r="F28771" i="9"/>
  <c r="H28771" i="9"/>
  <c r="F28772" i="9"/>
  <c r="H28772" i="9"/>
  <c r="F28773" i="9"/>
  <c r="H28773" i="9"/>
  <c r="F28774" i="9"/>
  <c r="H28774" i="9"/>
  <c r="F28775" i="9"/>
  <c r="H28775" i="9"/>
  <c r="F28776" i="9"/>
  <c r="H28776" i="9"/>
  <c r="F28777" i="9"/>
  <c r="H28777" i="9"/>
  <c r="F28778" i="9"/>
  <c r="H28778" i="9"/>
  <c r="F28779" i="9"/>
  <c r="H28779" i="9"/>
  <c r="F28780" i="9"/>
  <c r="H28780" i="9"/>
  <c r="F28781" i="9"/>
  <c r="H28781" i="9"/>
  <c r="F28782" i="9"/>
  <c r="H28782" i="9"/>
  <c r="F28783" i="9"/>
  <c r="H28783" i="9"/>
  <c r="F28784" i="9"/>
  <c r="H28784" i="9"/>
  <c r="F28785" i="9"/>
  <c r="H28785" i="9"/>
  <c r="F28786" i="9"/>
  <c r="H28786" i="9"/>
  <c r="F28787" i="9"/>
  <c r="H28787" i="9"/>
  <c r="F28788" i="9"/>
  <c r="H28788" i="9"/>
  <c r="F28789" i="9"/>
  <c r="H28789" i="9"/>
  <c r="F28790" i="9"/>
  <c r="H28790" i="9"/>
  <c r="F28791" i="9"/>
  <c r="H28791" i="9"/>
  <c r="F28792" i="9"/>
  <c r="H28792" i="9"/>
  <c r="F28793" i="9"/>
  <c r="H28793" i="9"/>
  <c r="F28794" i="9"/>
  <c r="H28794" i="9"/>
  <c r="F28795" i="9"/>
  <c r="H28795" i="9"/>
  <c r="F28796" i="9"/>
  <c r="H28796" i="9"/>
  <c r="F28797" i="9"/>
  <c r="H28797" i="9"/>
  <c r="F28798" i="9"/>
  <c r="H28798" i="9"/>
  <c r="F28799" i="9"/>
  <c r="H28799" i="9"/>
  <c r="F28800" i="9"/>
  <c r="H28800" i="9"/>
  <c r="F28801" i="9"/>
  <c r="H28801" i="9"/>
  <c r="F28802" i="9"/>
  <c r="H28802" i="9"/>
  <c r="F28803" i="9"/>
  <c r="H28803" i="9"/>
  <c r="F28804" i="9"/>
  <c r="H28804" i="9"/>
  <c r="F28805" i="9"/>
  <c r="H28805" i="9"/>
  <c r="F28806" i="9"/>
  <c r="H28806" i="9"/>
  <c r="F28807" i="9"/>
  <c r="H28807" i="9"/>
  <c r="F28808" i="9"/>
  <c r="H28808" i="9"/>
  <c r="F28809" i="9"/>
  <c r="H28809" i="9"/>
  <c r="F28810" i="9"/>
  <c r="H28810" i="9"/>
  <c r="F28811" i="9"/>
  <c r="H28811" i="9"/>
  <c r="F28812" i="9"/>
  <c r="H28812" i="9"/>
  <c r="F28813" i="9"/>
  <c r="H28813" i="9"/>
  <c r="F28814" i="9"/>
  <c r="H28814" i="9"/>
  <c r="F28815" i="9"/>
  <c r="H28815" i="9"/>
  <c r="F28816" i="9"/>
  <c r="H28816" i="9"/>
  <c r="F28817" i="9"/>
  <c r="H28817" i="9"/>
  <c r="F28818" i="9"/>
  <c r="H28818" i="9"/>
  <c r="F28819" i="9"/>
  <c r="H28819" i="9"/>
  <c r="F28820" i="9"/>
  <c r="H28820" i="9"/>
  <c r="F28821" i="9"/>
  <c r="H28821" i="9"/>
  <c r="F28822" i="9"/>
  <c r="H28822" i="9"/>
  <c r="F28823" i="9"/>
  <c r="H28823" i="9"/>
  <c r="F28824" i="9"/>
  <c r="H28824" i="9"/>
  <c r="F28825" i="9"/>
  <c r="H28825" i="9"/>
  <c r="F28826" i="9"/>
  <c r="H28826" i="9"/>
  <c r="F28827" i="9"/>
  <c r="H28827" i="9"/>
  <c r="F28828" i="9"/>
  <c r="H28828" i="9"/>
  <c r="F28829" i="9"/>
  <c r="H28829" i="9"/>
  <c r="F28830" i="9"/>
  <c r="H28830" i="9"/>
  <c r="F28831" i="9"/>
  <c r="H28831" i="9"/>
  <c r="F28832" i="9"/>
  <c r="H28832" i="9"/>
  <c r="F28833" i="9"/>
  <c r="H28833" i="9"/>
  <c r="F28834" i="9"/>
  <c r="H28834" i="9"/>
  <c r="F28835" i="9"/>
  <c r="H28835" i="9"/>
  <c r="F28836" i="9"/>
  <c r="H28836" i="9"/>
  <c r="F28837" i="9"/>
  <c r="H28837" i="9"/>
  <c r="F28838" i="9"/>
  <c r="H28838" i="9"/>
  <c r="F28839" i="9"/>
  <c r="H28839" i="9"/>
  <c r="F28840" i="9"/>
  <c r="H28840" i="9"/>
  <c r="F28841" i="9"/>
  <c r="H28841" i="9"/>
  <c r="F28842" i="9"/>
  <c r="H28842" i="9"/>
  <c r="F28843" i="9"/>
  <c r="H28843" i="9"/>
  <c r="F28844" i="9"/>
  <c r="H28844" i="9"/>
  <c r="F28845" i="9"/>
  <c r="H28845" i="9"/>
  <c r="F28846" i="9"/>
  <c r="H28846" i="9"/>
  <c r="F28847" i="9"/>
  <c r="H28847" i="9"/>
  <c r="F28848" i="9"/>
  <c r="H28848" i="9"/>
  <c r="F28849" i="9"/>
  <c r="H28849" i="9"/>
  <c r="F28850" i="9"/>
  <c r="H28850" i="9"/>
  <c r="F28851" i="9"/>
  <c r="H28851" i="9"/>
  <c r="F28852" i="9"/>
  <c r="H28852" i="9"/>
  <c r="F28853" i="9"/>
  <c r="H28853" i="9"/>
  <c r="F28854" i="9"/>
  <c r="H28854" i="9"/>
  <c r="F28855" i="9"/>
  <c r="H28855" i="9"/>
  <c r="F28856" i="9"/>
  <c r="H28856" i="9"/>
  <c r="F28857" i="9"/>
  <c r="H28857" i="9"/>
  <c r="F28858" i="9"/>
  <c r="H28858" i="9"/>
  <c r="F28859" i="9"/>
  <c r="H28859" i="9"/>
  <c r="F28860" i="9"/>
  <c r="H28860" i="9"/>
  <c r="F28861" i="9"/>
  <c r="H28861" i="9"/>
  <c r="F28862" i="9"/>
  <c r="H28862" i="9"/>
  <c r="F28863" i="9"/>
  <c r="H28863" i="9"/>
  <c r="F28864" i="9"/>
  <c r="H28864" i="9"/>
  <c r="F28865" i="9"/>
  <c r="H28865" i="9"/>
  <c r="F28866" i="9"/>
  <c r="H28866" i="9"/>
  <c r="F28867" i="9"/>
  <c r="H28867" i="9"/>
  <c r="F28868" i="9"/>
  <c r="H28868" i="9"/>
  <c r="F28869" i="9"/>
  <c r="H28869" i="9"/>
  <c r="F28870" i="9"/>
  <c r="H28870" i="9"/>
  <c r="F28871" i="9"/>
  <c r="H28871" i="9"/>
  <c r="F28872" i="9"/>
  <c r="H28872" i="9"/>
  <c r="F28873" i="9"/>
  <c r="H28873" i="9"/>
  <c r="F28874" i="9"/>
  <c r="H28874" i="9"/>
  <c r="F28875" i="9"/>
  <c r="H28875" i="9"/>
  <c r="F28876" i="9"/>
  <c r="H28876" i="9"/>
  <c r="F28877" i="9"/>
  <c r="H28877" i="9"/>
  <c r="F28878" i="9"/>
  <c r="H28878" i="9"/>
  <c r="F28879" i="9"/>
  <c r="H28879" i="9"/>
  <c r="F28880" i="9"/>
  <c r="H28880" i="9"/>
  <c r="F28881" i="9"/>
  <c r="H28881" i="9"/>
  <c r="F28882" i="9"/>
  <c r="H28882" i="9"/>
  <c r="F28883" i="9"/>
  <c r="H28883" i="9"/>
  <c r="F28884" i="9"/>
  <c r="H28884" i="9"/>
  <c r="F28885" i="9"/>
  <c r="H28885" i="9"/>
  <c r="F28886" i="9"/>
  <c r="H28886" i="9"/>
  <c r="F28887" i="9"/>
  <c r="H28887" i="9"/>
  <c r="F28888" i="9"/>
  <c r="H28888" i="9"/>
  <c r="F28889" i="9"/>
  <c r="H28889" i="9"/>
  <c r="F28890" i="9"/>
  <c r="H28890" i="9"/>
  <c r="F28891" i="9"/>
  <c r="H28891" i="9"/>
  <c r="F28892" i="9"/>
  <c r="H28892" i="9"/>
  <c r="F28893" i="9"/>
  <c r="H28893" i="9"/>
  <c r="F28894" i="9"/>
  <c r="H28894" i="9"/>
  <c r="F28895" i="9"/>
  <c r="H28895" i="9"/>
  <c r="F28896" i="9"/>
  <c r="H28896" i="9"/>
  <c r="F28897" i="9"/>
  <c r="H28897" i="9"/>
  <c r="F28898" i="9"/>
  <c r="H28898" i="9"/>
  <c r="F28899" i="9"/>
  <c r="H28899" i="9"/>
  <c r="F28900" i="9"/>
  <c r="H28900" i="9"/>
  <c r="F28901" i="9"/>
  <c r="H28901" i="9"/>
  <c r="F28902" i="9"/>
  <c r="H28902" i="9"/>
  <c r="F28903" i="9"/>
  <c r="H28903" i="9"/>
  <c r="F28904" i="9"/>
  <c r="H28904" i="9"/>
  <c r="F28905" i="9"/>
  <c r="H28905" i="9"/>
  <c r="F28906" i="9"/>
  <c r="H28906" i="9"/>
  <c r="F28907" i="9"/>
  <c r="H28907" i="9"/>
  <c r="F28908" i="9"/>
  <c r="H28908" i="9"/>
  <c r="F28909" i="9"/>
  <c r="H28909" i="9"/>
  <c r="F28910" i="9"/>
  <c r="H28910" i="9"/>
  <c r="F28911" i="9"/>
  <c r="H28911" i="9"/>
  <c r="F28912" i="9"/>
  <c r="H28912" i="9"/>
  <c r="F28913" i="9"/>
  <c r="H28913" i="9"/>
  <c r="F28914" i="9"/>
  <c r="H28914" i="9"/>
  <c r="F28915" i="9"/>
  <c r="H28915" i="9"/>
  <c r="F28916" i="9"/>
  <c r="H28916" i="9"/>
  <c r="F28917" i="9"/>
  <c r="H28917" i="9"/>
  <c r="F28918" i="9"/>
  <c r="H28918" i="9"/>
  <c r="F28919" i="9"/>
  <c r="H28919" i="9"/>
  <c r="F28920" i="9"/>
  <c r="H28920" i="9"/>
  <c r="F28921" i="9"/>
  <c r="H28921" i="9"/>
  <c r="F28922" i="9"/>
  <c r="H28922" i="9"/>
  <c r="F28923" i="9"/>
  <c r="H28923" i="9"/>
  <c r="F28924" i="9"/>
  <c r="H28924" i="9"/>
  <c r="F28925" i="9"/>
  <c r="H28925" i="9"/>
  <c r="F28926" i="9"/>
  <c r="H28926" i="9"/>
  <c r="F28927" i="9"/>
  <c r="H28927" i="9"/>
  <c r="F28928" i="9"/>
  <c r="H28928" i="9"/>
  <c r="F28929" i="9"/>
  <c r="H28929" i="9"/>
  <c r="F28930" i="9"/>
  <c r="H28930" i="9"/>
  <c r="F28931" i="9"/>
  <c r="H28931" i="9"/>
  <c r="F28932" i="9"/>
  <c r="H28932" i="9"/>
  <c r="F28933" i="9"/>
  <c r="H28933" i="9"/>
  <c r="F28934" i="9"/>
  <c r="H28934" i="9"/>
  <c r="F28935" i="9"/>
  <c r="H28935" i="9"/>
  <c r="F28936" i="9"/>
  <c r="H28936" i="9"/>
  <c r="F28937" i="9"/>
  <c r="H28937" i="9"/>
  <c r="F28938" i="9"/>
  <c r="H28938" i="9"/>
  <c r="F28939" i="9"/>
  <c r="H28939" i="9"/>
  <c r="D273" i="11"/>
  <c r="D263" i="11"/>
  <c r="D239" i="11"/>
  <c r="D227" i="11"/>
  <c r="D219" i="11"/>
  <c r="D209" i="11"/>
  <c r="D185" i="11"/>
  <c r="D173" i="11"/>
  <c r="D165" i="11"/>
  <c r="D155" i="11"/>
  <c r="D131" i="11"/>
  <c r="D119" i="11"/>
  <c r="D111" i="11"/>
  <c r="D101" i="11"/>
  <c r="D77" i="11"/>
  <c r="D65" i="11"/>
  <c r="D290" i="4"/>
  <c r="D280" i="4"/>
  <c r="D256" i="4"/>
  <c r="D244" i="4"/>
  <c r="D240" i="4"/>
  <c r="D232" i="4"/>
  <c r="D222" i="4"/>
  <c r="D198" i="4"/>
  <c r="D186" i="4"/>
  <c r="D182" i="4"/>
  <c r="D174" i="4"/>
  <c r="D164" i="4"/>
  <c r="D140" i="4"/>
  <c r="D128" i="4"/>
  <c r="D124" i="4"/>
  <c r="D116" i="4"/>
  <c r="D106" i="4"/>
  <c r="D82" i="4"/>
  <c r="D70" i="4"/>
  <c r="D66" i="4"/>
  <c r="D210" i="7" l="1"/>
  <c r="D197" i="7"/>
  <c r="D186" i="7"/>
  <c r="D188" i="7" s="1"/>
  <c r="D182" i="7"/>
  <c r="D159" i="7"/>
  <c r="D170" i="7"/>
  <c r="D172" i="7" s="1"/>
  <c r="D143" i="7"/>
  <c r="D148" i="7" s="1"/>
  <c r="D150" i="7" s="1"/>
  <c r="D144" i="7"/>
  <c r="D132" i="7"/>
  <c r="D134" i="7" s="1"/>
  <c r="D121" i="7"/>
  <c r="D110" i="7"/>
  <c r="D112" i="7" s="1"/>
  <c r="D106" i="7"/>
  <c r="D94" i="7"/>
  <c r="D96" i="7" s="1"/>
  <c r="D83" i="7"/>
  <c r="D72" i="7"/>
  <c r="D74" i="7" s="1"/>
  <c r="D68" i="7"/>
  <c r="D45" i="7"/>
  <c r="D56" i="7"/>
  <c r="D58" i="7" s="1"/>
  <c r="D29" i="7"/>
  <c r="D30" i="7" s="1"/>
  <c r="C199" i="7"/>
  <c r="C192" i="7"/>
  <c r="C176" i="7"/>
  <c r="C161" i="7"/>
  <c r="C154" i="7"/>
  <c r="C138" i="7"/>
  <c r="C123" i="7"/>
  <c r="C116" i="7"/>
  <c r="C100" i="7"/>
  <c r="C85" i="7"/>
  <c r="C78" i="7"/>
  <c r="C62" i="7"/>
  <c r="C47" i="7"/>
  <c r="C40" i="7"/>
  <c r="C24" i="7"/>
  <c r="D34" i="7" l="1"/>
  <c r="D36" i="7" s="1"/>
  <c r="C632" i="6"/>
  <c r="C33" i="8" l="1"/>
  <c r="C159" i="3" l="1"/>
  <c r="C299" i="4"/>
  <c r="C282" i="11"/>
  <c r="C5034" i="2" l="1"/>
  <c r="E280" i="11" l="1"/>
  <c r="C280" i="11"/>
  <c r="D57" i="11"/>
  <c r="D47" i="11"/>
  <c r="D23" i="11"/>
  <c r="D11" i="11"/>
  <c r="D58" i="4"/>
  <c r="D48" i="4"/>
  <c r="D24" i="4"/>
  <c r="D12" i="4"/>
  <c r="D8" i="4"/>
  <c r="J630" i="6" l="1"/>
  <c r="C568" i="6" l="1"/>
  <c r="C507" i="6"/>
  <c r="C444" i="6"/>
  <c r="C383" i="6"/>
  <c r="C320" i="6"/>
  <c r="C259" i="6"/>
  <c r="C196" i="6"/>
  <c r="C135" i="6"/>
  <c r="C72" i="6" l="1"/>
  <c r="C11" i="6"/>
  <c r="E297" i="4" l="1"/>
  <c r="E153" i="3" l="1"/>
  <c r="E123" i="3"/>
  <c r="E93" i="3"/>
  <c r="E63" i="3"/>
  <c r="E33" i="3"/>
  <c r="F7" i="8" l="1"/>
  <c r="C7" i="8"/>
  <c r="H5032" i="2" l="1"/>
  <c r="C5032" i="2" l="1"/>
  <c r="E157" i="3"/>
  <c r="C157" i="3"/>
  <c r="C297" i="4"/>
  <c r="C630" i="6"/>
  <c r="E212" i="7"/>
  <c r="C212" i="7"/>
  <c r="F31" i="8"/>
  <c r="C31" i="8"/>
  <c r="E25" i="10"/>
  <c r="C25" i="10"/>
</calcChain>
</file>

<file path=xl/sharedStrings.xml><?xml version="1.0" encoding="utf-8"?>
<sst xmlns="http://schemas.openxmlformats.org/spreadsheetml/2006/main" count="88715" uniqueCount="29731">
  <si>
    <t>Instructions</t>
  </si>
  <si>
    <t>Submission and Eligibility Requirements</t>
  </si>
  <si>
    <t>Request for Confidentiality</t>
  </si>
  <si>
    <t>Legal Authority</t>
  </si>
  <si>
    <r>
      <t xml:space="preserve">Baseline Form for Regulated Emitters Subject to
</t>
    </r>
    <r>
      <rPr>
        <b/>
        <i/>
        <sz val="18"/>
        <color rgb="FFFFFFFF"/>
        <rFont val="Calibri"/>
        <family val="2"/>
        <scheme val="minor"/>
      </rPr>
      <t>The Aggregate Facility Standard</t>
    </r>
  </si>
  <si>
    <r>
      <t xml:space="preserve">This form makes use of macros. </t>
    </r>
    <r>
      <rPr>
        <b/>
        <sz val="11"/>
        <color rgb="FF000000"/>
        <rFont val="Calibri"/>
        <family val="2"/>
        <scheme val="minor"/>
      </rPr>
      <t>Please enable macros.</t>
    </r>
  </si>
  <si>
    <t>Refer to the Appendix tab for additional guidance.</t>
  </si>
  <si>
    <t>Once each tab is complete, ensure the notification at the bottom reads "Sheet complete." If it does not, follow the instructions to complete the tab.</t>
  </si>
  <si>
    <t>After reviewing the information on each tab, the authorized signing officer must convert this form to a PDF by following the steps on the Declaration tab.</t>
  </si>
  <si>
    <t>The authorized signing officer must provide a digital or handwritten signature on the Declaration tab of the PDF.</t>
  </si>
  <si>
    <t>Both the Excel and PDF versions of this form must be submitted along with any other required documents.</t>
  </si>
  <si>
    <t>Any changes made to this form after it has been signed by the authorized signing officer will deem the submission void.</t>
  </si>
  <si>
    <r>
      <t xml:space="preserve">The completed form must be submitted electronically via email to </t>
    </r>
    <r>
      <rPr>
        <b/>
        <sz val="11"/>
        <color rgb="FF000000"/>
        <rFont val="Calibri"/>
        <family val="2"/>
        <scheme val="minor"/>
      </rPr>
      <t>OBPSENV@gov.sk.ca.</t>
    </r>
  </si>
  <si>
    <t>•</t>
  </si>
  <si>
    <t>It is the responsibility of the regulated emitter to contact all necessary agencies of the Government of Canada to meet any requirements pertaining to federal acts or regulations.</t>
  </si>
  <si>
    <t>Inputs</t>
  </si>
  <si>
    <t>Sections</t>
  </si>
  <si>
    <t>Ranges</t>
  </si>
  <si>
    <t>Lookups</t>
  </si>
  <si>
    <t>Input Name</t>
  </si>
  <si>
    <t>Index</t>
  </si>
  <si>
    <t>Last Valid Entry</t>
  </si>
  <si>
    <t>Current Value</t>
  </si>
  <si>
    <t>Last Printed Value</t>
  </si>
  <si>
    <t>Error Check</t>
  </si>
  <si>
    <t>Error Message</t>
  </si>
  <si>
    <t>Section Name</t>
  </si>
  <si>
    <t>Range Name</t>
  </si>
  <si>
    <t>Lookup</t>
  </si>
  <si>
    <t>Value</t>
  </si>
  <si>
    <t>Appendix</t>
  </si>
  <si>
    <t>Declaration</t>
  </si>
  <si>
    <t>Operator name</t>
  </si>
  <si>
    <t>OBPS registration number</t>
  </si>
  <si>
    <t xml:space="preserve">I, </t>
  </si>
  <si>
    <t xml:space="preserve">      (authorized signing officer) confirm that all the information</t>
  </si>
  <si>
    <t>provided in this form is accurate and that I am authorized to act on behalf of this facility. I understand that this form is subject to the provisions of the corresponding legislation and regulations, that any submission containing inaccurate information may be denied and require resubmission, and that there are penalties under the corresponding act and regulations for providing false or misleading information. I authorize the Ministry of Environment to verify any information contained in this form with any entity that holds such information.</t>
  </si>
  <si>
    <t>Both an Excel and PDF version of this form must be submitted along with any other required documents. After reviewing each tab, the authorized signing officer must enter the date and click the button below to convert this form to a PDF. The PDF must be signed by the authorized signing officer on the line below. A digital or handwritten signature is acceptable.</t>
  </si>
  <si>
    <t>Signature</t>
  </si>
  <si>
    <t>Date</t>
  </si>
  <si>
    <t>Summary</t>
  </si>
  <si>
    <r>
      <t xml:space="preserve">Refer to </t>
    </r>
    <r>
      <rPr>
        <b/>
        <i/>
        <sz val="11"/>
        <color rgb="FF000000"/>
        <rFont val="Calibri"/>
        <family val="2"/>
        <scheme val="minor"/>
      </rPr>
      <t>The Aggregate Facility Standard</t>
    </r>
    <r>
      <rPr>
        <b/>
        <sz val="11"/>
        <color rgb="FF000000"/>
        <rFont val="Calibri"/>
        <family val="2"/>
        <scheme val="minor"/>
      </rPr>
      <t xml:space="preserve"> for more information regarding the terms and calculations shown below.</t>
    </r>
  </si>
  <si>
    <t>Term</t>
  </si>
  <si>
    <t>Description</t>
  </si>
  <si>
    <t>i</t>
  </si>
  <si>
    <t>Baseline year</t>
  </si>
  <si>
    <t>a</t>
  </si>
  <si>
    <t>Production class</t>
  </si>
  <si>
    <t>Units</t>
  </si>
  <si>
    <t>Production Class 1: Lloydminster Heavy and Non-Heavy</t>
  </si>
  <si>
    <t>Production Class 2a: Kindersley Heavy</t>
  </si>
  <si>
    <t>Production Class 2b: Kindersley Non-Heavy</t>
  </si>
  <si>
    <t>Production Class 3: Swift Current Heavy and Non-Heavy</t>
  </si>
  <si>
    <t>Production Class 4: Estevan Heavy and Non-Heavy</t>
  </si>
  <si>
    <t>Gas-to-Power Data</t>
  </si>
  <si>
    <t>Electricity Data</t>
  </si>
  <si>
    <t>Production Data</t>
  </si>
  <si>
    <t>#</t>
  </si>
  <si>
    <t>Production</t>
  </si>
  <si>
    <t>Fuel gas</t>
  </si>
  <si>
    <t>Butane</t>
  </si>
  <si>
    <t>Diesel</t>
  </si>
  <si>
    <t>Ethane</t>
  </si>
  <si>
    <t>Gasoline</t>
  </si>
  <si>
    <t>Propane</t>
  </si>
  <si>
    <t>Carbon dioxide</t>
  </si>
  <si>
    <t>Methane</t>
  </si>
  <si>
    <t>Nitrous oxide</t>
  </si>
  <si>
    <t>Product Information</t>
  </si>
  <si>
    <t>Facility Information</t>
  </si>
  <si>
    <t>Industrial product use emissions</t>
  </si>
  <si>
    <t>Reported data</t>
  </si>
  <si>
    <t>Sulphur hexafluoride</t>
  </si>
  <si>
    <t>Perfluoromethane</t>
  </si>
  <si>
    <t>Perfluoroethane</t>
  </si>
  <si>
    <t>Perfluoropropane</t>
  </si>
  <si>
    <t>Perfluorobutane</t>
  </si>
  <si>
    <t>Perfluorocyclobutane</t>
  </si>
  <si>
    <t>Perfluoropentane</t>
  </si>
  <si>
    <t>Perfluorohexane</t>
  </si>
  <si>
    <t>HFC-23</t>
  </si>
  <si>
    <t>HFC-32</t>
  </si>
  <si>
    <t>HFC-41</t>
  </si>
  <si>
    <t>HFC-43-10mee</t>
  </si>
  <si>
    <t>HFC-125</t>
  </si>
  <si>
    <t>HFC-134</t>
  </si>
  <si>
    <t>HFC-134a</t>
  </si>
  <si>
    <t>HFC-143</t>
  </si>
  <si>
    <t>HFC-143a</t>
  </si>
  <si>
    <t>HFC-152a</t>
  </si>
  <si>
    <t>HFC-227ea</t>
  </si>
  <si>
    <t>HFC-236fa</t>
  </si>
  <si>
    <t>HFC-245ca</t>
  </si>
  <si>
    <t>On-site transportation emissions</t>
  </si>
  <si>
    <t>kL</t>
  </si>
  <si>
    <t>BOE</t>
  </si>
  <si>
    <r>
      <t>tonnes CO</t>
    </r>
    <r>
      <rPr>
        <vertAlign val="subscript"/>
        <sz val="11"/>
        <color rgb="FF000000"/>
        <rFont val="Calibri"/>
        <family val="2"/>
        <scheme val="minor"/>
      </rPr>
      <t>2</t>
    </r>
  </si>
  <si>
    <r>
      <t>tonnes CH</t>
    </r>
    <r>
      <rPr>
        <vertAlign val="subscript"/>
        <sz val="11"/>
        <color rgb="FF000000"/>
        <rFont val="Calibri"/>
        <family val="2"/>
        <scheme val="minor"/>
      </rPr>
      <t>4</t>
    </r>
  </si>
  <si>
    <r>
      <t>tonnes N</t>
    </r>
    <r>
      <rPr>
        <vertAlign val="subscript"/>
        <sz val="11"/>
        <color rgb="FF000000"/>
        <rFont val="Calibri"/>
        <family val="2"/>
        <scheme val="minor"/>
      </rPr>
      <t>2</t>
    </r>
    <r>
      <rPr>
        <sz val="11"/>
        <color rgb="FF000000"/>
        <rFont val="Calibri"/>
        <family val="2"/>
        <scheme val="minor"/>
      </rPr>
      <t>O</t>
    </r>
  </si>
  <si>
    <t>Stationary fuel combustion volumes and emissions</t>
  </si>
  <si>
    <t>Flaring volumes and emissions</t>
  </si>
  <si>
    <t>b</t>
  </si>
  <si>
    <r>
      <t>RI</t>
    </r>
    <r>
      <rPr>
        <vertAlign val="subscript"/>
        <sz val="11"/>
        <color rgb="FF000000"/>
        <rFont val="Calibri"/>
        <family val="2"/>
        <scheme val="minor"/>
      </rPr>
      <t>i-a-b</t>
    </r>
  </si>
  <si>
    <r>
      <t>RE</t>
    </r>
    <r>
      <rPr>
        <vertAlign val="subscript"/>
        <sz val="11"/>
        <color rgb="FF000000"/>
        <rFont val="Calibri"/>
        <family val="2"/>
        <scheme val="minor"/>
      </rPr>
      <t>i-a-b</t>
    </r>
  </si>
  <si>
    <r>
      <t>DE</t>
    </r>
    <r>
      <rPr>
        <vertAlign val="subscript"/>
        <sz val="11"/>
        <color rgb="FF000000"/>
        <rFont val="Calibri"/>
        <family val="2"/>
        <scheme val="minor"/>
      </rPr>
      <t>i-a-b</t>
    </r>
  </si>
  <si>
    <t>Regulated industrial emissions</t>
  </si>
  <si>
    <t>Regulated electricity emissions</t>
  </si>
  <si>
    <t>Direct emissions</t>
  </si>
  <si>
    <r>
      <t>BEL</t>
    </r>
    <r>
      <rPr>
        <vertAlign val="subscript"/>
        <sz val="11"/>
        <color rgb="FF000000"/>
        <rFont val="Calibri"/>
        <family val="2"/>
        <scheme val="minor"/>
      </rPr>
      <t>a-b</t>
    </r>
  </si>
  <si>
    <r>
      <t>BPL</t>
    </r>
    <r>
      <rPr>
        <vertAlign val="subscript"/>
        <sz val="11"/>
        <color rgb="FF000000"/>
        <rFont val="Calibri"/>
        <family val="2"/>
        <scheme val="minor"/>
      </rPr>
      <t>a-b</t>
    </r>
  </si>
  <si>
    <r>
      <t>BEI</t>
    </r>
    <r>
      <rPr>
        <vertAlign val="subscript"/>
        <sz val="11"/>
        <color rgb="FF000000"/>
        <rFont val="Calibri"/>
        <family val="2"/>
        <scheme val="minor"/>
      </rPr>
      <t>a-b</t>
    </r>
  </si>
  <si>
    <t>Baseline emissions level</t>
  </si>
  <si>
    <t>Baseline production level</t>
  </si>
  <si>
    <t>Baseline emissions intensity</t>
  </si>
  <si>
    <r>
      <t>P</t>
    </r>
    <r>
      <rPr>
        <vertAlign val="subscript"/>
        <sz val="11"/>
        <color rgb="FF000000"/>
        <rFont val="Calibri"/>
        <family val="2"/>
        <scheme val="minor"/>
      </rPr>
      <t>i-a-b</t>
    </r>
  </si>
  <si>
    <r>
      <t>tonnes CO</t>
    </r>
    <r>
      <rPr>
        <vertAlign val="subscript"/>
        <sz val="11"/>
        <color rgb="FF000000"/>
        <rFont val="Calibri"/>
        <family val="2"/>
        <scheme val="minor"/>
      </rPr>
      <t>2</t>
    </r>
    <r>
      <rPr>
        <sz val="11"/>
        <color rgb="FF000000"/>
        <rFont val="Calibri"/>
        <family val="2"/>
        <scheme val="minor"/>
      </rPr>
      <t>e</t>
    </r>
  </si>
  <si>
    <t>Baseline summary</t>
  </si>
  <si>
    <r>
      <t>BEL</t>
    </r>
    <r>
      <rPr>
        <vertAlign val="subscript"/>
        <sz val="11"/>
        <color rgb="FF000000"/>
        <rFont val="Calibri"/>
        <family val="2"/>
        <scheme val="minor"/>
      </rPr>
      <t>1-BOE</t>
    </r>
  </si>
  <si>
    <r>
      <t>BPL</t>
    </r>
    <r>
      <rPr>
        <vertAlign val="subscript"/>
        <sz val="11"/>
        <color rgb="FF000000"/>
        <rFont val="Calibri"/>
        <family val="2"/>
        <scheme val="minor"/>
      </rPr>
      <t>1-BOE</t>
    </r>
  </si>
  <si>
    <r>
      <t>BEI</t>
    </r>
    <r>
      <rPr>
        <vertAlign val="subscript"/>
        <sz val="11"/>
        <color rgb="FF000000"/>
        <rFont val="Calibri"/>
        <family val="2"/>
        <scheme val="minor"/>
      </rPr>
      <t>1-BOE</t>
    </r>
  </si>
  <si>
    <r>
      <t>P</t>
    </r>
    <r>
      <rPr>
        <vertAlign val="subscript"/>
        <sz val="11"/>
        <color rgb="FF000000"/>
        <rFont val="Calibri"/>
        <family val="2"/>
        <scheme val="minor"/>
      </rPr>
      <t>1-1-BOE</t>
    </r>
  </si>
  <si>
    <r>
      <t>RE</t>
    </r>
    <r>
      <rPr>
        <vertAlign val="subscript"/>
        <sz val="11"/>
        <color rgb="FF000000"/>
        <rFont val="Calibri"/>
        <family val="2"/>
        <scheme val="minor"/>
      </rPr>
      <t>1-1-BOE</t>
    </r>
  </si>
  <si>
    <r>
      <t>RI</t>
    </r>
    <r>
      <rPr>
        <vertAlign val="subscript"/>
        <sz val="11"/>
        <color rgb="FF000000"/>
        <rFont val="Calibri"/>
        <family val="2"/>
        <scheme val="minor"/>
      </rPr>
      <t>1-1-BOE</t>
    </r>
  </si>
  <si>
    <r>
      <t>DE</t>
    </r>
    <r>
      <rPr>
        <vertAlign val="subscript"/>
        <sz val="11"/>
        <color rgb="FF000000"/>
        <rFont val="Calibri"/>
        <family val="2"/>
        <scheme val="minor"/>
      </rPr>
      <t>1-1-BOE</t>
    </r>
  </si>
  <si>
    <r>
      <t>RI</t>
    </r>
    <r>
      <rPr>
        <vertAlign val="subscript"/>
        <sz val="11"/>
        <color rgb="FF000000"/>
        <rFont val="Calibri"/>
        <family val="2"/>
        <scheme val="minor"/>
      </rPr>
      <t>1-1-e</t>
    </r>
  </si>
  <si>
    <r>
      <t>DE</t>
    </r>
    <r>
      <rPr>
        <vertAlign val="subscript"/>
        <sz val="11"/>
        <color rgb="FF000000"/>
        <rFont val="Calibri"/>
        <family val="2"/>
        <scheme val="minor"/>
      </rPr>
      <t>1-1-e</t>
    </r>
  </si>
  <si>
    <r>
      <t>RI</t>
    </r>
    <r>
      <rPr>
        <vertAlign val="subscript"/>
        <sz val="11"/>
        <color rgb="FF000000"/>
        <rFont val="Calibri"/>
        <family val="2"/>
        <scheme val="minor"/>
      </rPr>
      <t>2-1-e</t>
    </r>
  </si>
  <si>
    <r>
      <t>DE</t>
    </r>
    <r>
      <rPr>
        <vertAlign val="subscript"/>
        <sz val="11"/>
        <color rgb="FF000000"/>
        <rFont val="Calibri"/>
        <family val="2"/>
        <scheme val="minor"/>
      </rPr>
      <t>2-1-e</t>
    </r>
  </si>
  <si>
    <r>
      <t>BEL</t>
    </r>
    <r>
      <rPr>
        <vertAlign val="subscript"/>
        <sz val="11"/>
        <color rgb="FF000000"/>
        <rFont val="Calibri"/>
        <family val="2"/>
        <scheme val="minor"/>
      </rPr>
      <t>1-e</t>
    </r>
  </si>
  <si>
    <r>
      <t>BPL</t>
    </r>
    <r>
      <rPr>
        <vertAlign val="subscript"/>
        <sz val="11"/>
        <color rgb="FF000000"/>
        <rFont val="Calibri"/>
        <family val="2"/>
        <scheme val="minor"/>
      </rPr>
      <t>1-e</t>
    </r>
  </si>
  <si>
    <r>
      <t>BEI</t>
    </r>
    <r>
      <rPr>
        <vertAlign val="subscript"/>
        <sz val="11"/>
        <color rgb="FF000000"/>
        <rFont val="Calibri"/>
        <family val="2"/>
        <scheme val="minor"/>
      </rPr>
      <t>1-e</t>
    </r>
  </si>
  <si>
    <r>
      <t>tonnes CO</t>
    </r>
    <r>
      <rPr>
        <vertAlign val="subscript"/>
        <sz val="11"/>
        <color rgb="FF000000"/>
        <rFont val="Calibri"/>
        <family val="2"/>
        <scheme val="minor"/>
      </rPr>
      <t>2</t>
    </r>
    <r>
      <rPr>
        <sz val="11"/>
        <color rgb="FF000000"/>
        <rFont val="Calibri"/>
        <family val="2"/>
        <scheme val="minor"/>
      </rPr>
      <t>e/BOE</t>
    </r>
  </si>
  <si>
    <t>GWh</t>
  </si>
  <si>
    <r>
      <t>tonnes CO</t>
    </r>
    <r>
      <rPr>
        <vertAlign val="subscript"/>
        <sz val="11"/>
        <color rgb="FF000000"/>
        <rFont val="Calibri"/>
        <family val="2"/>
        <scheme val="minor"/>
      </rPr>
      <t>2</t>
    </r>
    <r>
      <rPr>
        <sz val="11"/>
        <color rgb="FF000000"/>
        <rFont val="Calibri"/>
        <family val="2"/>
        <scheme val="minor"/>
      </rPr>
      <t>e/GWh</t>
    </r>
  </si>
  <si>
    <r>
      <t>P</t>
    </r>
    <r>
      <rPr>
        <vertAlign val="subscript"/>
        <sz val="11"/>
        <color rgb="FF000000"/>
        <rFont val="Calibri"/>
        <family val="2"/>
        <scheme val="minor"/>
      </rPr>
      <t>1-2a-BOE</t>
    </r>
  </si>
  <si>
    <r>
      <t>RI</t>
    </r>
    <r>
      <rPr>
        <vertAlign val="subscript"/>
        <sz val="11"/>
        <color rgb="FF000000"/>
        <rFont val="Calibri"/>
        <family val="2"/>
        <scheme val="minor"/>
      </rPr>
      <t>1-2a-BOE</t>
    </r>
  </si>
  <si>
    <r>
      <t>RE</t>
    </r>
    <r>
      <rPr>
        <vertAlign val="subscript"/>
        <sz val="11"/>
        <color rgb="FF000000"/>
        <rFont val="Calibri"/>
        <family val="2"/>
        <scheme val="minor"/>
      </rPr>
      <t>1-2a-BOE</t>
    </r>
  </si>
  <si>
    <r>
      <t>DE</t>
    </r>
    <r>
      <rPr>
        <vertAlign val="subscript"/>
        <sz val="11"/>
        <color rgb="FF000000"/>
        <rFont val="Calibri"/>
        <family val="2"/>
        <scheme val="minor"/>
      </rPr>
      <t>1-2a-BOE</t>
    </r>
  </si>
  <si>
    <r>
      <t>BEL</t>
    </r>
    <r>
      <rPr>
        <vertAlign val="subscript"/>
        <sz val="11"/>
        <color rgb="FF000000"/>
        <rFont val="Calibri"/>
        <family val="2"/>
        <scheme val="minor"/>
      </rPr>
      <t>2a-BOE</t>
    </r>
  </si>
  <si>
    <r>
      <t>BPL</t>
    </r>
    <r>
      <rPr>
        <vertAlign val="subscript"/>
        <sz val="11"/>
        <color rgb="FF000000"/>
        <rFont val="Calibri"/>
        <family val="2"/>
        <scheme val="minor"/>
      </rPr>
      <t>2a-BOE</t>
    </r>
  </si>
  <si>
    <r>
      <t>BEI</t>
    </r>
    <r>
      <rPr>
        <vertAlign val="subscript"/>
        <sz val="11"/>
        <color rgb="FF000000"/>
        <rFont val="Calibri"/>
        <family val="2"/>
        <scheme val="minor"/>
      </rPr>
      <t>2a-BOE</t>
    </r>
  </si>
  <si>
    <r>
      <t>RI</t>
    </r>
    <r>
      <rPr>
        <vertAlign val="subscript"/>
        <sz val="11"/>
        <color rgb="FF000000"/>
        <rFont val="Calibri"/>
        <family val="2"/>
        <scheme val="minor"/>
      </rPr>
      <t>1-2a-e</t>
    </r>
  </si>
  <si>
    <r>
      <t>DE</t>
    </r>
    <r>
      <rPr>
        <vertAlign val="subscript"/>
        <sz val="11"/>
        <color rgb="FF000000"/>
        <rFont val="Calibri"/>
        <family val="2"/>
        <scheme val="minor"/>
      </rPr>
      <t>1-2a-e</t>
    </r>
  </si>
  <si>
    <r>
      <t>RI</t>
    </r>
    <r>
      <rPr>
        <vertAlign val="subscript"/>
        <sz val="11"/>
        <color rgb="FF000000"/>
        <rFont val="Calibri"/>
        <family val="2"/>
        <scheme val="minor"/>
      </rPr>
      <t>2-2a-e</t>
    </r>
  </si>
  <si>
    <r>
      <t>DE</t>
    </r>
    <r>
      <rPr>
        <vertAlign val="subscript"/>
        <sz val="11"/>
        <color rgb="FF000000"/>
        <rFont val="Calibri"/>
        <family val="2"/>
        <scheme val="minor"/>
      </rPr>
      <t>2-2a-e</t>
    </r>
  </si>
  <si>
    <r>
      <t>BEL</t>
    </r>
    <r>
      <rPr>
        <vertAlign val="subscript"/>
        <sz val="11"/>
        <color rgb="FF000000"/>
        <rFont val="Calibri"/>
        <family val="2"/>
        <scheme val="minor"/>
      </rPr>
      <t>2a-e</t>
    </r>
  </si>
  <si>
    <r>
      <t>BPL</t>
    </r>
    <r>
      <rPr>
        <vertAlign val="subscript"/>
        <sz val="11"/>
        <color rgb="FF000000"/>
        <rFont val="Calibri"/>
        <family val="2"/>
        <scheme val="minor"/>
      </rPr>
      <t>2a-e</t>
    </r>
  </si>
  <si>
    <r>
      <t>BEI</t>
    </r>
    <r>
      <rPr>
        <vertAlign val="subscript"/>
        <sz val="11"/>
        <color rgb="FF000000"/>
        <rFont val="Calibri"/>
        <family val="2"/>
        <scheme val="minor"/>
      </rPr>
      <t>2a-e</t>
    </r>
  </si>
  <si>
    <r>
      <t>P</t>
    </r>
    <r>
      <rPr>
        <vertAlign val="subscript"/>
        <sz val="11"/>
        <color rgb="FF000000"/>
        <rFont val="Calibri"/>
        <family val="2"/>
        <scheme val="minor"/>
      </rPr>
      <t>1-2b-BOE</t>
    </r>
  </si>
  <si>
    <r>
      <t>RI</t>
    </r>
    <r>
      <rPr>
        <vertAlign val="subscript"/>
        <sz val="11"/>
        <color rgb="FF000000"/>
        <rFont val="Calibri"/>
        <family val="2"/>
        <scheme val="minor"/>
      </rPr>
      <t>1-2b-BOE</t>
    </r>
  </si>
  <si>
    <r>
      <t>RE</t>
    </r>
    <r>
      <rPr>
        <vertAlign val="subscript"/>
        <sz val="11"/>
        <color rgb="FF000000"/>
        <rFont val="Calibri"/>
        <family val="2"/>
        <scheme val="minor"/>
      </rPr>
      <t>1-2b-BOE</t>
    </r>
  </si>
  <si>
    <r>
      <t>DE</t>
    </r>
    <r>
      <rPr>
        <vertAlign val="subscript"/>
        <sz val="11"/>
        <color rgb="FF000000"/>
        <rFont val="Calibri"/>
        <family val="2"/>
        <scheme val="minor"/>
      </rPr>
      <t>1-2b-BOE</t>
    </r>
  </si>
  <si>
    <r>
      <t>BEL</t>
    </r>
    <r>
      <rPr>
        <vertAlign val="subscript"/>
        <sz val="11"/>
        <color rgb="FF000000"/>
        <rFont val="Calibri"/>
        <family val="2"/>
        <scheme val="minor"/>
      </rPr>
      <t>2b-BOE</t>
    </r>
  </si>
  <si>
    <r>
      <t>BPL</t>
    </r>
    <r>
      <rPr>
        <vertAlign val="subscript"/>
        <sz val="11"/>
        <color rgb="FF000000"/>
        <rFont val="Calibri"/>
        <family val="2"/>
        <scheme val="minor"/>
      </rPr>
      <t>2b-BOE</t>
    </r>
  </si>
  <si>
    <r>
      <t>BEI</t>
    </r>
    <r>
      <rPr>
        <vertAlign val="subscript"/>
        <sz val="11"/>
        <color rgb="FF000000"/>
        <rFont val="Calibri"/>
        <family val="2"/>
        <scheme val="minor"/>
      </rPr>
      <t>2b-BOE</t>
    </r>
  </si>
  <si>
    <r>
      <t>RI</t>
    </r>
    <r>
      <rPr>
        <vertAlign val="subscript"/>
        <sz val="11"/>
        <color rgb="FF000000"/>
        <rFont val="Calibri"/>
        <family val="2"/>
        <scheme val="minor"/>
      </rPr>
      <t>1-2b-e</t>
    </r>
  </si>
  <si>
    <r>
      <t>DE</t>
    </r>
    <r>
      <rPr>
        <vertAlign val="subscript"/>
        <sz val="11"/>
        <color rgb="FF000000"/>
        <rFont val="Calibri"/>
        <family val="2"/>
        <scheme val="minor"/>
      </rPr>
      <t>1-2b-e</t>
    </r>
  </si>
  <si>
    <r>
      <t>RI</t>
    </r>
    <r>
      <rPr>
        <vertAlign val="subscript"/>
        <sz val="11"/>
        <color rgb="FF000000"/>
        <rFont val="Calibri"/>
        <family val="2"/>
        <scheme val="minor"/>
      </rPr>
      <t>2-2b-e</t>
    </r>
  </si>
  <si>
    <r>
      <t>DE</t>
    </r>
    <r>
      <rPr>
        <vertAlign val="subscript"/>
        <sz val="11"/>
        <color rgb="FF000000"/>
        <rFont val="Calibri"/>
        <family val="2"/>
        <scheme val="minor"/>
      </rPr>
      <t>2-2b-e</t>
    </r>
  </si>
  <si>
    <r>
      <t>BEL</t>
    </r>
    <r>
      <rPr>
        <vertAlign val="subscript"/>
        <sz val="11"/>
        <color rgb="FF000000"/>
        <rFont val="Calibri"/>
        <family val="2"/>
        <scheme val="minor"/>
      </rPr>
      <t>2b-e</t>
    </r>
  </si>
  <si>
    <r>
      <t>BPL</t>
    </r>
    <r>
      <rPr>
        <vertAlign val="subscript"/>
        <sz val="11"/>
        <color rgb="FF000000"/>
        <rFont val="Calibri"/>
        <family val="2"/>
        <scheme val="minor"/>
      </rPr>
      <t>2b-e</t>
    </r>
  </si>
  <si>
    <r>
      <t>BEI</t>
    </r>
    <r>
      <rPr>
        <vertAlign val="subscript"/>
        <sz val="11"/>
        <color rgb="FF000000"/>
        <rFont val="Calibri"/>
        <family val="2"/>
        <scheme val="minor"/>
      </rPr>
      <t>2b-e</t>
    </r>
  </si>
  <si>
    <r>
      <t>P</t>
    </r>
    <r>
      <rPr>
        <vertAlign val="subscript"/>
        <sz val="11"/>
        <color rgb="FF000000"/>
        <rFont val="Calibri"/>
        <family val="2"/>
        <scheme val="minor"/>
      </rPr>
      <t>1-3-BOE</t>
    </r>
  </si>
  <si>
    <r>
      <t>RI</t>
    </r>
    <r>
      <rPr>
        <vertAlign val="subscript"/>
        <sz val="11"/>
        <color rgb="FF000000"/>
        <rFont val="Calibri"/>
        <family val="2"/>
        <scheme val="minor"/>
      </rPr>
      <t>1-3-BOE</t>
    </r>
  </si>
  <si>
    <r>
      <t>RE</t>
    </r>
    <r>
      <rPr>
        <vertAlign val="subscript"/>
        <sz val="11"/>
        <color rgb="FF000000"/>
        <rFont val="Calibri"/>
        <family val="2"/>
        <scheme val="minor"/>
      </rPr>
      <t>1-3-BOE</t>
    </r>
  </si>
  <si>
    <r>
      <t>DE</t>
    </r>
    <r>
      <rPr>
        <vertAlign val="subscript"/>
        <sz val="11"/>
        <color rgb="FF000000"/>
        <rFont val="Calibri"/>
        <family val="2"/>
        <scheme val="minor"/>
      </rPr>
      <t>1-3-BOE</t>
    </r>
  </si>
  <si>
    <r>
      <t>BEL</t>
    </r>
    <r>
      <rPr>
        <vertAlign val="subscript"/>
        <sz val="11"/>
        <color rgb="FF000000"/>
        <rFont val="Calibri"/>
        <family val="2"/>
        <scheme val="minor"/>
      </rPr>
      <t>3-BOE</t>
    </r>
  </si>
  <si>
    <r>
      <t>BPL</t>
    </r>
    <r>
      <rPr>
        <vertAlign val="subscript"/>
        <sz val="11"/>
        <color rgb="FF000000"/>
        <rFont val="Calibri"/>
        <family val="2"/>
        <scheme val="minor"/>
      </rPr>
      <t>3-BOE</t>
    </r>
  </si>
  <si>
    <r>
      <t>BEI</t>
    </r>
    <r>
      <rPr>
        <vertAlign val="subscript"/>
        <sz val="11"/>
        <color rgb="FF000000"/>
        <rFont val="Calibri"/>
        <family val="2"/>
        <scheme val="minor"/>
      </rPr>
      <t>3-BOE</t>
    </r>
  </si>
  <si>
    <r>
      <t>RI</t>
    </r>
    <r>
      <rPr>
        <vertAlign val="subscript"/>
        <sz val="11"/>
        <color rgb="FF000000"/>
        <rFont val="Calibri"/>
        <family val="2"/>
        <scheme val="minor"/>
      </rPr>
      <t>1-3-e</t>
    </r>
  </si>
  <si>
    <r>
      <t>DE</t>
    </r>
    <r>
      <rPr>
        <vertAlign val="subscript"/>
        <sz val="11"/>
        <color rgb="FF000000"/>
        <rFont val="Calibri"/>
        <family val="2"/>
        <scheme val="minor"/>
      </rPr>
      <t>1-3-e</t>
    </r>
  </si>
  <si>
    <r>
      <t>RI</t>
    </r>
    <r>
      <rPr>
        <vertAlign val="subscript"/>
        <sz val="11"/>
        <color rgb="FF000000"/>
        <rFont val="Calibri"/>
        <family val="2"/>
        <scheme val="minor"/>
      </rPr>
      <t>2-3-e</t>
    </r>
  </si>
  <si>
    <r>
      <t>DE</t>
    </r>
    <r>
      <rPr>
        <vertAlign val="subscript"/>
        <sz val="11"/>
        <color rgb="FF000000"/>
        <rFont val="Calibri"/>
        <family val="2"/>
        <scheme val="minor"/>
      </rPr>
      <t>2-3-e</t>
    </r>
  </si>
  <si>
    <r>
      <t>BEL</t>
    </r>
    <r>
      <rPr>
        <vertAlign val="subscript"/>
        <sz val="11"/>
        <color rgb="FF000000"/>
        <rFont val="Calibri"/>
        <family val="2"/>
        <scheme val="minor"/>
      </rPr>
      <t>3-e</t>
    </r>
  </si>
  <si>
    <r>
      <t>BPL</t>
    </r>
    <r>
      <rPr>
        <vertAlign val="subscript"/>
        <sz val="11"/>
        <color rgb="FF000000"/>
        <rFont val="Calibri"/>
        <family val="2"/>
        <scheme val="minor"/>
      </rPr>
      <t>3-e</t>
    </r>
  </si>
  <si>
    <r>
      <t>BEI</t>
    </r>
    <r>
      <rPr>
        <vertAlign val="subscript"/>
        <sz val="11"/>
        <color rgb="FF000000"/>
        <rFont val="Calibri"/>
        <family val="2"/>
        <scheme val="minor"/>
      </rPr>
      <t>3-e</t>
    </r>
  </si>
  <si>
    <r>
      <t>P</t>
    </r>
    <r>
      <rPr>
        <vertAlign val="subscript"/>
        <sz val="11"/>
        <color rgb="FF000000"/>
        <rFont val="Calibri"/>
        <family val="2"/>
        <scheme val="minor"/>
      </rPr>
      <t>1-4-BOE</t>
    </r>
  </si>
  <si>
    <r>
      <t>RI</t>
    </r>
    <r>
      <rPr>
        <vertAlign val="subscript"/>
        <sz val="11"/>
        <color rgb="FF000000"/>
        <rFont val="Calibri"/>
        <family val="2"/>
        <scheme val="minor"/>
      </rPr>
      <t>1-4-BOE</t>
    </r>
  </si>
  <si>
    <r>
      <t>RE</t>
    </r>
    <r>
      <rPr>
        <vertAlign val="subscript"/>
        <sz val="11"/>
        <color rgb="FF000000"/>
        <rFont val="Calibri"/>
        <family val="2"/>
        <scheme val="minor"/>
      </rPr>
      <t>1-4-BOE</t>
    </r>
  </si>
  <si>
    <r>
      <t>DE</t>
    </r>
    <r>
      <rPr>
        <vertAlign val="subscript"/>
        <sz val="11"/>
        <color rgb="FF000000"/>
        <rFont val="Calibri"/>
        <family val="2"/>
        <scheme val="minor"/>
      </rPr>
      <t>1-4-BOE</t>
    </r>
  </si>
  <si>
    <r>
      <t>BEL</t>
    </r>
    <r>
      <rPr>
        <vertAlign val="subscript"/>
        <sz val="11"/>
        <color rgb="FF000000"/>
        <rFont val="Calibri"/>
        <family val="2"/>
        <scheme val="minor"/>
      </rPr>
      <t>4-BOE</t>
    </r>
  </si>
  <si>
    <r>
      <t>BPL</t>
    </r>
    <r>
      <rPr>
        <vertAlign val="subscript"/>
        <sz val="11"/>
        <color rgb="FF000000"/>
        <rFont val="Calibri"/>
        <family val="2"/>
        <scheme val="minor"/>
      </rPr>
      <t>4-BOE</t>
    </r>
  </si>
  <si>
    <r>
      <t>BEI</t>
    </r>
    <r>
      <rPr>
        <vertAlign val="subscript"/>
        <sz val="11"/>
        <color rgb="FF000000"/>
        <rFont val="Calibri"/>
        <family val="2"/>
        <scheme val="minor"/>
      </rPr>
      <t>4-BOE</t>
    </r>
  </si>
  <si>
    <r>
      <t>RI</t>
    </r>
    <r>
      <rPr>
        <vertAlign val="subscript"/>
        <sz val="11"/>
        <color rgb="FF000000"/>
        <rFont val="Calibri"/>
        <family val="2"/>
        <scheme val="minor"/>
      </rPr>
      <t>1-4-e</t>
    </r>
  </si>
  <si>
    <r>
      <t>DE</t>
    </r>
    <r>
      <rPr>
        <vertAlign val="subscript"/>
        <sz val="11"/>
        <color rgb="FF000000"/>
        <rFont val="Calibri"/>
        <family val="2"/>
        <scheme val="minor"/>
      </rPr>
      <t>1-4-e</t>
    </r>
  </si>
  <si>
    <r>
      <t>RI</t>
    </r>
    <r>
      <rPr>
        <vertAlign val="subscript"/>
        <sz val="11"/>
        <color rgb="FF000000"/>
        <rFont val="Calibri"/>
        <family val="2"/>
        <scheme val="minor"/>
      </rPr>
      <t>2-4-e</t>
    </r>
  </si>
  <si>
    <r>
      <t>DE</t>
    </r>
    <r>
      <rPr>
        <vertAlign val="subscript"/>
        <sz val="11"/>
        <color rgb="FF000000"/>
        <rFont val="Calibri"/>
        <family val="2"/>
        <scheme val="minor"/>
      </rPr>
      <t>2-4-e</t>
    </r>
  </si>
  <si>
    <r>
      <t>BEL</t>
    </r>
    <r>
      <rPr>
        <vertAlign val="subscript"/>
        <sz val="11"/>
        <color rgb="FF000000"/>
        <rFont val="Calibri"/>
        <family val="2"/>
        <scheme val="minor"/>
      </rPr>
      <t>4-e</t>
    </r>
  </si>
  <si>
    <r>
      <t>BPL</t>
    </r>
    <r>
      <rPr>
        <vertAlign val="subscript"/>
        <sz val="11"/>
        <color rgb="FF000000"/>
        <rFont val="Calibri"/>
        <family val="2"/>
        <scheme val="minor"/>
      </rPr>
      <t>4-e</t>
    </r>
  </si>
  <si>
    <r>
      <t>BEI</t>
    </r>
    <r>
      <rPr>
        <vertAlign val="subscript"/>
        <sz val="11"/>
        <color rgb="FF000000"/>
        <rFont val="Calibri"/>
        <family val="2"/>
        <scheme val="minor"/>
      </rPr>
      <t>4-e</t>
    </r>
  </si>
  <si>
    <r>
      <t>BE</t>
    </r>
    <r>
      <rPr>
        <vertAlign val="subscript"/>
        <sz val="11"/>
        <color rgb="FF000000"/>
        <rFont val="Calibri"/>
        <family val="2"/>
        <scheme val="minor"/>
      </rPr>
      <t>i-a-b</t>
    </r>
  </si>
  <si>
    <t>Baseline emissions</t>
  </si>
  <si>
    <r>
      <t>BE</t>
    </r>
    <r>
      <rPr>
        <vertAlign val="subscript"/>
        <sz val="11"/>
        <color rgb="FF000000"/>
        <rFont val="Calibri"/>
        <family val="2"/>
        <scheme val="minor"/>
      </rPr>
      <t>1-1-BOE</t>
    </r>
  </si>
  <si>
    <r>
      <t>BE</t>
    </r>
    <r>
      <rPr>
        <vertAlign val="subscript"/>
        <sz val="11"/>
        <color rgb="FF000000"/>
        <rFont val="Calibri"/>
        <family val="2"/>
        <scheme val="minor"/>
      </rPr>
      <t>1-1-e</t>
    </r>
  </si>
  <si>
    <r>
      <t>BE</t>
    </r>
    <r>
      <rPr>
        <vertAlign val="subscript"/>
        <sz val="11"/>
        <color rgb="FF000000"/>
        <rFont val="Calibri"/>
        <family val="2"/>
        <scheme val="minor"/>
      </rPr>
      <t>2-1-e</t>
    </r>
  </si>
  <si>
    <r>
      <t>BE</t>
    </r>
    <r>
      <rPr>
        <vertAlign val="subscript"/>
        <sz val="11"/>
        <color rgb="FF000000"/>
        <rFont val="Calibri"/>
        <family val="2"/>
        <scheme val="minor"/>
      </rPr>
      <t>2-4-e</t>
    </r>
  </si>
  <si>
    <r>
      <t>BE</t>
    </r>
    <r>
      <rPr>
        <vertAlign val="subscript"/>
        <sz val="11"/>
        <color rgb="FF000000"/>
        <rFont val="Calibri"/>
        <family val="2"/>
        <scheme val="minor"/>
      </rPr>
      <t>1-4-e</t>
    </r>
  </si>
  <si>
    <r>
      <t>BE</t>
    </r>
    <r>
      <rPr>
        <vertAlign val="subscript"/>
        <sz val="11"/>
        <color rgb="FF000000"/>
        <rFont val="Calibri"/>
        <family val="2"/>
        <scheme val="minor"/>
      </rPr>
      <t>1-4-BOE</t>
    </r>
  </si>
  <si>
    <r>
      <t>BE</t>
    </r>
    <r>
      <rPr>
        <vertAlign val="subscript"/>
        <sz val="11"/>
        <color rgb="FF000000"/>
        <rFont val="Calibri"/>
        <family val="2"/>
        <scheme val="minor"/>
      </rPr>
      <t>2-3-e</t>
    </r>
  </si>
  <si>
    <r>
      <t>BE</t>
    </r>
    <r>
      <rPr>
        <vertAlign val="subscript"/>
        <sz val="11"/>
        <color rgb="FF000000"/>
        <rFont val="Calibri"/>
        <family val="2"/>
        <scheme val="minor"/>
      </rPr>
      <t>1-3-e</t>
    </r>
  </si>
  <si>
    <r>
      <t>BE</t>
    </r>
    <r>
      <rPr>
        <vertAlign val="subscript"/>
        <sz val="11"/>
        <color rgb="FF000000"/>
        <rFont val="Calibri"/>
        <family val="2"/>
        <scheme val="minor"/>
      </rPr>
      <t>1-3-BOE</t>
    </r>
  </si>
  <si>
    <r>
      <t>BE</t>
    </r>
    <r>
      <rPr>
        <vertAlign val="subscript"/>
        <sz val="11"/>
        <color rgb="FF000000"/>
        <rFont val="Calibri"/>
        <family val="2"/>
        <scheme val="minor"/>
      </rPr>
      <t>2-2b-e</t>
    </r>
  </si>
  <si>
    <r>
      <t>BE</t>
    </r>
    <r>
      <rPr>
        <vertAlign val="subscript"/>
        <sz val="11"/>
        <color rgb="FF000000"/>
        <rFont val="Calibri"/>
        <family val="2"/>
        <scheme val="minor"/>
      </rPr>
      <t>1-2b-e</t>
    </r>
  </si>
  <si>
    <r>
      <t>BE</t>
    </r>
    <r>
      <rPr>
        <vertAlign val="subscript"/>
        <sz val="11"/>
        <color rgb="FF000000"/>
        <rFont val="Calibri"/>
        <family val="2"/>
        <scheme val="minor"/>
      </rPr>
      <t>1-2b-BOE</t>
    </r>
  </si>
  <si>
    <r>
      <t>BE</t>
    </r>
    <r>
      <rPr>
        <vertAlign val="subscript"/>
        <sz val="11"/>
        <color rgb="FF000000"/>
        <rFont val="Calibri"/>
        <family val="2"/>
        <scheme val="minor"/>
      </rPr>
      <t>2-2a-e</t>
    </r>
  </si>
  <si>
    <r>
      <t>BE</t>
    </r>
    <r>
      <rPr>
        <vertAlign val="subscript"/>
        <sz val="11"/>
        <color rgb="FF000000"/>
        <rFont val="Calibri"/>
        <family val="2"/>
        <scheme val="minor"/>
      </rPr>
      <t>1-2a-e</t>
    </r>
  </si>
  <si>
    <r>
      <t>BE</t>
    </r>
    <r>
      <rPr>
        <vertAlign val="subscript"/>
        <sz val="11"/>
        <color rgb="FF000000"/>
        <rFont val="Calibri"/>
        <family val="2"/>
        <scheme val="minor"/>
      </rPr>
      <t>1-2a-BOE</t>
    </r>
  </si>
  <si>
    <t>Production class 1</t>
  </si>
  <si>
    <t>Production class 2a</t>
  </si>
  <si>
    <t>Production class 2b</t>
  </si>
  <si>
    <t>Production class 3</t>
  </si>
  <si>
    <t>Production class 4</t>
  </si>
  <si>
    <r>
      <t>1000 m</t>
    </r>
    <r>
      <rPr>
        <vertAlign val="superscript"/>
        <sz val="11"/>
        <color rgb="FF000000"/>
        <rFont val="Calibri"/>
        <family val="2"/>
        <scheme val="minor"/>
      </rPr>
      <t>3</t>
    </r>
  </si>
  <si>
    <t>(GJ)</t>
  </si>
  <si>
    <t>(GWh)</t>
  </si>
  <si>
    <t>Energy in combusted associated gas</t>
  </si>
  <si>
    <t>Total energy in all combusted fuel</t>
  </si>
  <si>
    <t>Carbon dioxide from associated gas</t>
  </si>
  <si>
    <t>Methane from associated gas</t>
  </si>
  <si>
    <t>Nitrous oxide from associated gas</t>
  </si>
  <si>
    <t>Total electricity generation from all combusted fuel</t>
  </si>
  <si>
    <t>If the regulated facility contains electricity generating units, a simplified process flow diagram of each distinct unit must be included with this submission. The diagrams must be in PDF format.</t>
  </si>
  <si>
    <t>R.Instructions.PrintArea</t>
  </si>
  <si>
    <t>R.Instructions.VersionNumber</t>
  </si>
  <si>
    <t>R.Instructions.VersionDate</t>
  </si>
  <si>
    <t>R.Facility.PrintArea</t>
  </si>
  <si>
    <t>R.Facility.Timestamp</t>
  </si>
  <si>
    <t>R.Product.PrintArea</t>
  </si>
  <si>
    <t>R.Product.Timestamp</t>
  </si>
  <si>
    <t>R.Production.PrintArea</t>
  </si>
  <si>
    <t>R.Production.Timestamp</t>
  </si>
  <si>
    <t>R.Electricity.PrintArea</t>
  </si>
  <si>
    <t>R.Electricity.Timestamp</t>
  </si>
  <si>
    <t>R.Gas.PrintArea</t>
  </si>
  <si>
    <t>R.Gas.Timestamp</t>
  </si>
  <si>
    <t>R.Summary.PrintArea</t>
  </si>
  <si>
    <t>R.Declaration.PrintArea</t>
  </si>
  <si>
    <t>R.Declaration.Timestamp</t>
  </si>
  <si>
    <t>R.Appendix.PrintArea</t>
  </si>
  <si>
    <r>
      <t xml:space="preserve">This form is for industrial facilities registered under </t>
    </r>
    <r>
      <rPr>
        <i/>
        <sz val="11"/>
        <color rgb="FF000000"/>
        <rFont val="Calibri"/>
        <family val="2"/>
        <scheme val="minor"/>
      </rPr>
      <t>The Aggregate Facility Standard.</t>
    </r>
  </si>
  <si>
    <r>
      <t xml:space="preserve">Under </t>
    </r>
    <r>
      <rPr>
        <i/>
        <sz val="11"/>
        <color rgb="FF000000"/>
        <rFont val="Calibri"/>
        <family val="2"/>
        <scheme val="minor"/>
      </rPr>
      <t>The Aggregate Facility Standard,</t>
    </r>
    <r>
      <rPr>
        <sz val="11"/>
        <color rgb="FF000000"/>
        <rFont val="Calibri"/>
        <family val="2"/>
        <scheme val="minor"/>
      </rPr>
      <t xml:space="preserve"> is this facility reporting emissions using the quantification methodology established under:</t>
    </r>
  </si>
  <si>
    <t>Select the source categories that produced direct emissions.</t>
  </si>
  <si>
    <t>Select any additional fuel types that were used for stationary fuel combustion.</t>
  </si>
  <si>
    <t>Does this production class have a gas-to-power operation?</t>
  </si>
  <si>
    <t>Has the gas-to-power operation been in production for at least two years?</t>
  </si>
  <si>
    <t>Volume of associated gas</t>
  </si>
  <si>
    <t>Biomass</t>
  </si>
  <si>
    <t>Carbon dioxide emissions from the combustion of biomass must be excluded from the emissions reported on the Production Data tab. Methane and nitrous oxide emissions associated with the waste heat from the combustion of biomass must be included in the stationary fuel combustion emissions reported on the Production Data tab.</t>
  </si>
  <si>
    <t>Electricity</t>
  </si>
  <si>
    <r>
      <t xml:space="preserve">Any electricity emissions produced during the baseline periods of the barrel of oil equivalent (BOE) product that are not subject to </t>
    </r>
    <r>
      <rPr>
        <i/>
        <sz val="11"/>
        <color rgb="FF000000"/>
        <rFont val="Calibri"/>
        <family val="2"/>
        <scheme val="minor"/>
      </rPr>
      <t>The Electricity Facility Standard,</t>
    </r>
    <r>
      <rPr>
        <sz val="11"/>
        <color rgb="FF000000"/>
        <rFont val="Calibri"/>
        <family val="2"/>
        <scheme val="minor"/>
      </rPr>
      <t xml:space="preserve"> and not resulting from the combustion of associated gas in a gas-to-power operation, must be reported on the Electricity Data tab and excluded from the Production Data tab.</t>
    </r>
  </si>
  <si>
    <t>Gas-to-power</t>
  </si>
  <si>
    <t>*Flare gas &gt;= 99% efficiency</t>
  </si>
  <si>
    <t>**Flare gas &lt; 99% efficiency</t>
  </si>
  <si>
    <t>*Volume to flaring or incinerator sources with conversion efficiency of greater than or equal to 99%.</t>
  </si>
  <si>
    <t>**Volume to flaring or incinerator sources with conversion efficiency of less than 99%.</t>
  </si>
  <si>
    <r>
      <t>Part 2 – aggregate facilities with annual emissions below 15,000 tonnes CO</t>
    </r>
    <r>
      <rPr>
        <vertAlign val="subscript"/>
        <sz val="11"/>
        <color rgb="FF000000"/>
        <rFont val="Calibri"/>
        <family val="2"/>
        <scheme val="minor"/>
      </rPr>
      <t>2</t>
    </r>
    <r>
      <rPr>
        <sz val="11"/>
        <color rgb="FF000000"/>
        <rFont val="Calibri"/>
        <family val="2"/>
        <scheme val="minor"/>
      </rPr>
      <t>e; or</t>
    </r>
  </si>
  <si>
    <t>Select the production classes that have one or more individual active or suspended facilities. Enter the number of individual facilities in the registry in each production class, including both active and suspended facilities.</t>
  </si>
  <si>
    <r>
      <t>Part 3 – aggregate facilities with annual emissions of 15,000 tonnes or more CO</t>
    </r>
    <r>
      <rPr>
        <vertAlign val="subscript"/>
        <sz val="11"/>
        <color rgb="FF000000"/>
        <rFont val="Calibri"/>
        <family val="2"/>
        <scheme val="minor"/>
      </rPr>
      <t>2</t>
    </r>
    <r>
      <rPr>
        <sz val="11"/>
        <color rgb="FF000000"/>
        <rFont val="Calibri"/>
        <family val="2"/>
        <scheme val="minor"/>
      </rPr>
      <t>e?</t>
    </r>
  </si>
  <si>
    <t>Commercial product</t>
  </si>
  <si>
    <r>
      <t>EP</t>
    </r>
    <r>
      <rPr>
        <vertAlign val="subscript"/>
        <sz val="11"/>
        <color rgb="FF000000"/>
        <rFont val="Calibri"/>
        <family val="2"/>
        <scheme val="minor"/>
      </rPr>
      <t>i-a</t>
    </r>
  </si>
  <si>
    <t>Electricity generated from combustion of associated gas</t>
  </si>
  <si>
    <r>
      <t>EP</t>
    </r>
    <r>
      <rPr>
        <vertAlign val="subscript"/>
        <sz val="11"/>
        <color rgb="FF000000"/>
        <rFont val="Calibri"/>
        <family val="2"/>
        <scheme val="minor"/>
      </rPr>
      <t>1-1-e</t>
    </r>
  </si>
  <si>
    <r>
      <t>EP</t>
    </r>
    <r>
      <rPr>
        <vertAlign val="subscript"/>
        <sz val="11"/>
        <color rgb="FF000000"/>
        <rFont val="Calibri"/>
        <family val="2"/>
        <scheme val="minor"/>
      </rPr>
      <t>2-1-e</t>
    </r>
  </si>
  <si>
    <r>
      <t>EP</t>
    </r>
    <r>
      <rPr>
        <vertAlign val="subscript"/>
        <sz val="11"/>
        <color rgb="FF000000"/>
        <rFont val="Calibri"/>
        <family val="2"/>
        <scheme val="minor"/>
      </rPr>
      <t>1-2a-e</t>
    </r>
  </si>
  <si>
    <r>
      <t>EP</t>
    </r>
    <r>
      <rPr>
        <vertAlign val="subscript"/>
        <sz val="11"/>
        <color rgb="FF000000"/>
        <rFont val="Calibri"/>
        <family val="2"/>
        <scheme val="minor"/>
      </rPr>
      <t>2-2a-e</t>
    </r>
  </si>
  <si>
    <r>
      <t>EP</t>
    </r>
    <r>
      <rPr>
        <vertAlign val="subscript"/>
        <sz val="11"/>
        <color rgb="FF000000"/>
        <rFont val="Calibri"/>
        <family val="2"/>
        <scheme val="minor"/>
      </rPr>
      <t>1-2b-e</t>
    </r>
  </si>
  <si>
    <r>
      <t>EP</t>
    </r>
    <r>
      <rPr>
        <vertAlign val="subscript"/>
        <sz val="11"/>
        <color rgb="FF000000"/>
        <rFont val="Calibri"/>
        <family val="2"/>
        <scheme val="minor"/>
      </rPr>
      <t>2-2b-e</t>
    </r>
  </si>
  <si>
    <r>
      <t>EP</t>
    </r>
    <r>
      <rPr>
        <vertAlign val="subscript"/>
        <sz val="11"/>
        <color rgb="FF000000"/>
        <rFont val="Calibri"/>
        <family val="2"/>
        <scheme val="minor"/>
      </rPr>
      <t>1-3-e</t>
    </r>
  </si>
  <si>
    <r>
      <t>EP</t>
    </r>
    <r>
      <rPr>
        <vertAlign val="subscript"/>
        <sz val="11"/>
        <color rgb="FF000000"/>
        <rFont val="Calibri"/>
        <family val="2"/>
        <scheme val="minor"/>
      </rPr>
      <t>2-3-e</t>
    </r>
  </si>
  <si>
    <r>
      <t>EP</t>
    </r>
    <r>
      <rPr>
        <vertAlign val="subscript"/>
        <sz val="11"/>
        <color rgb="FF000000"/>
        <rFont val="Calibri"/>
        <family val="2"/>
        <scheme val="minor"/>
      </rPr>
      <t>1-4-e</t>
    </r>
  </si>
  <si>
    <r>
      <t>EP</t>
    </r>
    <r>
      <rPr>
        <vertAlign val="subscript"/>
        <sz val="11"/>
        <color rgb="FF000000"/>
        <rFont val="Calibri"/>
        <family val="2"/>
        <scheme val="minor"/>
      </rPr>
      <t>2-4-e</t>
    </r>
  </si>
  <si>
    <t>I.Facility.Operator</t>
  </si>
  <si>
    <t>I.Facility.OBPSNumber</t>
  </si>
  <si>
    <t>I.Facility.StandardPart</t>
  </si>
  <si>
    <t>I.Facility.P1FacilityCount</t>
  </si>
  <si>
    <t>I.Facility.P2aFacilityCount</t>
  </si>
  <si>
    <t>I.Facility.P2bFacilityCount</t>
  </si>
  <si>
    <t>I.Facility.P3FacilityCount</t>
  </si>
  <si>
    <t>I.Facility.P4FacilityCount</t>
  </si>
  <si>
    <t>I.Facility.P1IDNumber</t>
  </si>
  <si>
    <t>I.Facility.P2aIDNumber</t>
  </si>
  <si>
    <t>I.Facility.P2bIDNumber</t>
  </si>
  <si>
    <t>I.Facility.P3IDNumber</t>
  </si>
  <si>
    <t>I.Facility.P4IDNumber</t>
  </si>
  <si>
    <t>I.Product.P1BaselineYear</t>
  </si>
  <si>
    <t>I.Product.P1Electricity</t>
  </si>
  <si>
    <t>I.Product.P1GasToPower</t>
  </si>
  <si>
    <t>I.Product.P1GasToPowerStatus</t>
  </si>
  <si>
    <t>I.Product.P1GasToPowerBaselineYear</t>
  </si>
  <si>
    <t>I.Product.P2aBaselineYear</t>
  </si>
  <si>
    <t>I.Product.P2aElectricity</t>
  </si>
  <si>
    <t>I.Product.P2aGasToPower</t>
  </si>
  <si>
    <t>I.Product.P2aGasToPowerStatus</t>
  </si>
  <si>
    <t>I.Product.P2aGasToPowerBaselineYear</t>
  </si>
  <si>
    <t>I.Product.P2bBaselineYear</t>
  </si>
  <si>
    <t>I.Product.P2bElectricity</t>
  </si>
  <si>
    <t>I.Product.P2bGasToPower</t>
  </si>
  <si>
    <t>I.Product.P2bGasToPowerStatus</t>
  </si>
  <si>
    <t>I.Product.P2bGasToPowerBaselineYear</t>
  </si>
  <si>
    <t>I.Product.P3BaselineYear</t>
  </si>
  <si>
    <t>I.Product.P3Electricity</t>
  </si>
  <si>
    <t>I.Product.P3GasToPower</t>
  </si>
  <si>
    <t>I.Product.P3GasToPowerStatus</t>
  </si>
  <si>
    <t>I.Product.P3GasToPowerBaselineYear</t>
  </si>
  <si>
    <t>I.Product.P4BaselineYear</t>
  </si>
  <si>
    <t>I.Product.P4Electricity</t>
  </si>
  <si>
    <t>I.Product.P4GasToPower</t>
  </si>
  <si>
    <t>I.Product.P4GasToPowerStatus</t>
  </si>
  <si>
    <t>I.Product.P4GasToPowerBaselineYear</t>
  </si>
  <si>
    <t>I.Production.P1Quantity</t>
  </si>
  <si>
    <t>I.Production.P1C1</t>
  </si>
  <si>
    <t>I.Production.P1C2</t>
  </si>
  <si>
    <t>I.Production.P1C3</t>
  </si>
  <si>
    <t>I.Production.P1C4</t>
  </si>
  <si>
    <t>I.Production.P2aQuantity</t>
  </si>
  <si>
    <t>I.Production.P2aC1</t>
  </si>
  <si>
    <t>I.Production.P2aC2</t>
  </si>
  <si>
    <t>I.Production.P2aC3</t>
  </si>
  <si>
    <t>I.Production.P2aC4</t>
  </si>
  <si>
    <t>I.Production.P2bQuantity</t>
  </si>
  <si>
    <t>I.Production.P2bC1</t>
  </si>
  <si>
    <t>I.Production.P2bC2</t>
  </si>
  <si>
    <t>I.Production.P2bC3</t>
  </si>
  <si>
    <t>I.Production.P2bC4</t>
  </si>
  <si>
    <t>I.Production.P3Quantity</t>
  </si>
  <si>
    <t>I.Production.P3C1</t>
  </si>
  <si>
    <t>I.Production.P3C2</t>
  </si>
  <si>
    <t>I.Production.P3C3</t>
  </si>
  <si>
    <t>I.Production.P3C4</t>
  </si>
  <si>
    <t>I.Production.P4Quantity</t>
  </si>
  <si>
    <t>I.Production.P4C1</t>
  </si>
  <si>
    <t>I.Production.P4C2</t>
  </si>
  <si>
    <t>I.Production.P4C3</t>
  </si>
  <si>
    <t>I.Production.P4C4</t>
  </si>
  <si>
    <t>I.Electricity.P1C1</t>
  </si>
  <si>
    <t>I.Electricity.P1C2</t>
  </si>
  <si>
    <t>I.Electricity.P1C3</t>
  </si>
  <si>
    <t>I.Electricity.P1C4</t>
  </si>
  <si>
    <t>I.Electricity.P2aC1</t>
  </si>
  <si>
    <t>I.Electricity.P2aC2</t>
  </si>
  <si>
    <t>I.Electricity.P2aC3</t>
  </si>
  <si>
    <t>I.Electricity.P2aC4</t>
  </si>
  <si>
    <t>I.Electricity.P2bC1</t>
  </si>
  <si>
    <t>I.Electricity.P2bC2</t>
  </si>
  <si>
    <t>I.Electricity.P2bC3</t>
  </si>
  <si>
    <t>I.Electricity.P2bC4</t>
  </si>
  <si>
    <t>I.Electricity.P3C1</t>
  </si>
  <si>
    <t>I.Electricity.P3C2</t>
  </si>
  <si>
    <t>I.Electricity.P3C3</t>
  </si>
  <si>
    <t>I.Electricity.P3C4</t>
  </si>
  <si>
    <t>I.Electricity.P4C1</t>
  </si>
  <si>
    <t>I.Electricity.P4C2</t>
  </si>
  <si>
    <t>I.Electricity.P4C3</t>
  </si>
  <si>
    <t>I.Electricity.P4C4</t>
  </si>
  <si>
    <t>I.Gas.P1Y1Count</t>
  </si>
  <si>
    <t>I.Gas.P1Y1AssociatedGasEnergy</t>
  </si>
  <si>
    <t>I.Gas.P1Y1TotalGasEnergy</t>
  </si>
  <si>
    <t>I.Gas.P1Y1ElectricityGeneration</t>
  </si>
  <si>
    <t>I.Gas.P1Y1C1V1</t>
  </si>
  <si>
    <t>I.Gas.P1Y1C1E1</t>
  </si>
  <si>
    <t>I.Gas.P1Y1C1E2</t>
  </si>
  <si>
    <t>I.Gas.P1Y1C1E3</t>
  </si>
  <si>
    <t>I.Gas.P1Y2Count</t>
  </si>
  <si>
    <t>I.Gas.P1Y2AssociatedGasEnergy</t>
  </si>
  <si>
    <t>I.Gas.P1Y2TotalGasEnergy</t>
  </si>
  <si>
    <t>I.Gas.P1Y2ElectricityGeneration</t>
  </si>
  <si>
    <t>I.Gas.P1Y2C1V1</t>
  </si>
  <si>
    <t>I.Gas.P1Y2C1E1</t>
  </si>
  <si>
    <t>I.Gas.P1Y2C1E2</t>
  </si>
  <si>
    <t>I.Gas.P1Y2C1E3</t>
  </si>
  <si>
    <t>I.Gas.P2aY1Count</t>
  </si>
  <si>
    <t>I.Gas.P2aY1AssociatedGasEnergy</t>
  </si>
  <si>
    <t>I.Gas.P2aY1TotalGasEnergy</t>
  </si>
  <si>
    <t>I.Gas.P2aY1ElectricityGeneration</t>
  </si>
  <si>
    <t>I.Gas.P2aY1C1V1</t>
  </si>
  <si>
    <t>I.Gas.P2aY1C1E1</t>
  </si>
  <si>
    <t>I.Gas.P2aY1C1E2</t>
  </si>
  <si>
    <t>I.Gas.P2aY1C1E3</t>
  </si>
  <si>
    <t>I.Gas.P2aY2Count</t>
  </si>
  <si>
    <t>I.Gas.P2aY2AssociatedGasEnergy</t>
  </si>
  <si>
    <t>I.Gas.P2aY2TotalGasEnergy</t>
  </si>
  <si>
    <t>I.Gas.P2aY2ElectricityGeneration</t>
  </si>
  <si>
    <t>I.Gas.P2aY2C1V1</t>
  </si>
  <si>
    <t>I.Gas.P2aY2C1E1</t>
  </si>
  <si>
    <t>I.Gas.P2aY2C1E2</t>
  </si>
  <si>
    <t>I.Gas.P2aY2C1E3</t>
  </si>
  <si>
    <t>I.Gas.P2bY1Count</t>
  </si>
  <si>
    <t>I.Gas.P2bY1AssociatedGasEnergy</t>
  </si>
  <si>
    <t>I.Gas.P2bY1TotalGasEnergy</t>
  </si>
  <si>
    <t>I.Gas.P2bY1ElectricityGeneration</t>
  </si>
  <si>
    <t>I.Gas.P2bY1C1V1</t>
  </si>
  <si>
    <t>I.Gas.P2bY1C1E1</t>
  </si>
  <si>
    <t>I.Gas.P2bY1C1E2</t>
  </si>
  <si>
    <t>I.Gas.P2bY1C1E3</t>
  </si>
  <si>
    <t>I.Gas.P2bY2Count</t>
  </si>
  <si>
    <t>I.Gas.P2bY2AssociatedGasEnergy</t>
  </si>
  <si>
    <t>I.Gas.P2bY2TotalGasEnergy</t>
  </si>
  <si>
    <t>I.Gas.P2bY2ElectricityGeneration</t>
  </si>
  <si>
    <t>I.Gas.P2bY2C1V1</t>
  </si>
  <si>
    <t>I.Gas.P2bY2C1E1</t>
  </si>
  <si>
    <t>I.Gas.P2bY2C1E2</t>
  </si>
  <si>
    <t>I.Gas.P2bY2C1E3</t>
  </si>
  <si>
    <t>I.Gas.P3Y1Count</t>
  </si>
  <si>
    <t>I.Gas.P3Y1AssociatedGasEnergy</t>
  </si>
  <si>
    <t>I.Gas.P3Y1TotalGasEnergy</t>
  </si>
  <si>
    <t>I.Gas.P3Y1ElectricityGeneration</t>
  </si>
  <si>
    <t>I.Gas.P3Y1C1V1</t>
  </si>
  <si>
    <t>I.Gas.P3Y1C1E1</t>
  </si>
  <si>
    <t>I.Gas.P3Y1C1E2</t>
  </si>
  <si>
    <t>I.Gas.P3Y1C1E3</t>
  </si>
  <si>
    <t>I.Gas.P3Y2Count</t>
  </si>
  <si>
    <t>I.Gas.P3Y2AssociatedGasEnergy</t>
  </si>
  <si>
    <t>I.Gas.P3Y2TotalGasEnergy</t>
  </si>
  <si>
    <t>I.Gas.P3Y2ElectricityGeneration</t>
  </si>
  <si>
    <t>I.Gas.P3Y2C1V1</t>
  </si>
  <si>
    <t>I.Gas.P3Y2C1E1</t>
  </si>
  <si>
    <t>I.Gas.P3Y2C1E2</t>
  </si>
  <si>
    <t>I.Gas.P3Y2C1E3</t>
  </si>
  <si>
    <t>I.Gas.P4Y1Count</t>
  </si>
  <si>
    <t>I.Gas.P4Y1AssociatedGasEnergy</t>
  </si>
  <si>
    <t>I.Gas.P4Y1TotalGasEnergy</t>
  </si>
  <si>
    <t>I.Gas.P4Y1ElectricityGeneration</t>
  </si>
  <si>
    <t>I.Gas.P4Y1C1V1</t>
  </si>
  <si>
    <t>I.Gas.P4Y1C1E1</t>
  </si>
  <si>
    <t>I.Gas.P4Y1C1E2</t>
  </si>
  <si>
    <t>I.Gas.P4Y1C1E3</t>
  </si>
  <si>
    <t>I.Gas.P4Y2Count</t>
  </si>
  <si>
    <t>I.Gas.P4Y2AssociatedGasEnergy</t>
  </si>
  <si>
    <t>I.Gas.P4Y2TotalGasEnergy</t>
  </si>
  <si>
    <t>I.Gas.P4Y2ElectricityGeneration</t>
  </si>
  <si>
    <t>I.Gas.P4Y2C1V1</t>
  </si>
  <si>
    <t>I.Gas.P4Y2C1E1</t>
  </si>
  <si>
    <t>I.Gas.P4Y2C1E2</t>
  </si>
  <si>
    <t>I.Gas.P4Y2C1E3</t>
  </si>
  <si>
    <t>I.Declaration.Name</t>
  </si>
  <si>
    <t>I.Declaration.Date</t>
  </si>
  <si>
    <t>I.Developer.P1C1</t>
  </si>
  <si>
    <t>I.Developer.P1C2</t>
  </si>
  <si>
    <t>I.Developer.P1C3</t>
  </si>
  <si>
    <t>I.Developer.P1C4</t>
  </si>
  <si>
    <t>I.Developer.P1</t>
  </si>
  <si>
    <t>I.Developer.P2a</t>
  </si>
  <si>
    <t>I.Developer.P2b</t>
  </si>
  <si>
    <t>I.Developer.P3</t>
  </si>
  <si>
    <t>I.Developer.P4</t>
  </si>
  <si>
    <t>I.Developer.P1C1V2</t>
  </si>
  <si>
    <t>I.Developer.P1C1V3</t>
  </si>
  <si>
    <t>I.Developer.P1C1V4</t>
  </si>
  <si>
    <t>I.Developer.P1C1V5</t>
  </si>
  <si>
    <t>I.Developer.P1C1V6</t>
  </si>
  <si>
    <t>I.Developer.P2aC1</t>
  </si>
  <si>
    <t>I.Developer.P2aC2</t>
  </si>
  <si>
    <t>I.Developer.P2aC3</t>
  </si>
  <si>
    <t>I.Developer.P2aC4</t>
  </si>
  <si>
    <t>I.Developer.P2aC1V2</t>
  </si>
  <si>
    <t>I.Developer.P2aC1V3</t>
  </si>
  <si>
    <t>I.Developer.P2aC1V4</t>
  </si>
  <si>
    <t>I.Developer.P2aC1V5</t>
  </si>
  <si>
    <t>I.Developer.P2aC1V6</t>
  </si>
  <si>
    <t>I.Developer.P2bC1</t>
  </si>
  <si>
    <t>I.Developer.P2bC2</t>
  </si>
  <si>
    <t>I.Developer.P2bC3</t>
  </si>
  <si>
    <t>I.Developer.P2bC4</t>
  </si>
  <si>
    <t>I.Developer.P2bC1V2</t>
  </si>
  <si>
    <t>I.Developer.P2bC1V3</t>
  </si>
  <si>
    <t>I.Developer.P2bC1V4</t>
  </si>
  <si>
    <t>I.Developer.P2bC1V5</t>
  </si>
  <si>
    <t>I.Developer.P2bC1V6</t>
  </si>
  <si>
    <t>I.Developer.P3C1</t>
  </si>
  <si>
    <t>I.Developer.P3C2</t>
  </si>
  <si>
    <t>I.Developer.P3C3</t>
  </si>
  <si>
    <t>I.Developer.P3C4</t>
  </si>
  <si>
    <t>I.Developer.P3C1V2</t>
  </si>
  <si>
    <t>I.Developer.P3C1V3</t>
  </si>
  <si>
    <t>I.Developer.P3C1V4</t>
  </si>
  <si>
    <t>I.Developer.P3C1V5</t>
  </si>
  <si>
    <t>I.Developer.P3C1V6</t>
  </si>
  <si>
    <t>I.Developer.P4C1</t>
  </si>
  <si>
    <t>I.Developer.P4C2</t>
  </si>
  <si>
    <t>I.Developer.P4C3</t>
  </si>
  <si>
    <t>I.Developer.P4C4</t>
  </si>
  <si>
    <t>I.Developer.P4C1V2</t>
  </si>
  <si>
    <t>I.Developer.P4C1V3</t>
  </si>
  <si>
    <t>I.Developer.P4C1V4</t>
  </si>
  <si>
    <t>I.Developer.P4C1V5</t>
  </si>
  <si>
    <t>I.Developer.P4C1V6</t>
  </si>
  <si>
    <t>CO2</t>
  </si>
  <si>
    <t>CH4</t>
  </si>
  <si>
    <t>N2O</t>
  </si>
  <si>
    <t>SF6</t>
  </si>
  <si>
    <t>CF4</t>
  </si>
  <si>
    <t>C2F6</t>
  </si>
  <si>
    <t>C3F8</t>
  </si>
  <si>
    <t>C4F10</t>
  </si>
  <si>
    <t>c-C4F8</t>
  </si>
  <si>
    <t>C5F12</t>
  </si>
  <si>
    <t>C6F14</t>
  </si>
  <si>
    <t>CHF3</t>
  </si>
  <si>
    <t>CH2F2</t>
  </si>
  <si>
    <t>CH3F</t>
  </si>
  <si>
    <t>CF3CHFCHFCF2CF3</t>
  </si>
  <si>
    <t>CHF2CF3</t>
  </si>
  <si>
    <t>CHF2CHF2</t>
  </si>
  <si>
    <t>CH2FCF3</t>
  </si>
  <si>
    <t>CH2FCHF2</t>
  </si>
  <si>
    <t>CH3CF3</t>
  </si>
  <si>
    <t>CH3CHF2</t>
  </si>
  <si>
    <t>CF3CHFCF3</t>
  </si>
  <si>
    <t>CF3CH2CF3</t>
  </si>
  <si>
    <t>CH2FCF2CHF2</t>
  </si>
  <si>
    <t>P1C1</t>
  </si>
  <si>
    <t>P2aC1</t>
  </si>
  <si>
    <t>P2bC1</t>
  </si>
  <si>
    <t>P3C1</t>
  </si>
  <si>
    <t>P4C1</t>
  </si>
  <si>
    <t>C1V2</t>
  </si>
  <si>
    <t>C1V3</t>
  </si>
  <si>
    <t>C1V4</t>
  </si>
  <si>
    <t>C1V5</t>
  </si>
  <si>
    <t>C1V6</t>
  </si>
  <si>
    <t>P1C3</t>
  </si>
  <si>
    <t>P2aC3</t>
  </si>
  <si>
    <t>P2bC3</t>
  </si>
  <si>
    <t>P3C3</t>
  </si>
  <si>
    <t>P4C3</t>
  </si>
  <si>
    <t>S.Product.P1</t>
  </si>
  <si>
    <t>S.Product.P2a</t>
  </si>
  <si>
    <t>S.Product.P2b</t>
  </si>
  <si>
    <t>S.Product.P3</t>
  </si>
  <si>
    <t>S.Product.P4</t>
  </si>
  <si>
    <t>S.Production.P1</t>
  </si>
  <si>
    <t>S.Production.P1C1</t>
  </si>
  <si>
    <t>S.Production.P1C2</t>
  </si>
  <si>
    <t>S.Production.P1C3</t>
  </si>
  <si>
    <t>S.Production.P1C4</t>
  </si>
  <si>
    <t>S.Production.P2a</t>
  </si>
  <si>
    <t>S.Production.P2aC1</t>
  </si>
  <si>
    <t>S.Production.P2aC2</t>
  </si>
  <si>
    <t>S.Production.P2aC3</t>
  </si>
  <si>
    <t>S.Production.P2aC4</t>
  </si>
  <si>
    <t>S.Production.P2b</t>
  </si>
  <si>
    <t>S.Production.P2bC1</t>
  </si>
  <si>
    <t>S.Production.P2bC2</t>
  </si>
  <si>
    <t>S.Production.P2bC3</t>
  </si>
  <si>
    <t>S.Production.P2bC4</t>
  </si>
  <si>
    <t>S.Production.P3</t>
  </si>
  <si>
    <t>S.Production.P3C1</t>
  </si>
  <si>
    <t>S.Production.P3C2</t>
  </si>
  <si>
    <t>S.Production.P3C3</t>
  </si>
  <si>
    <t>S.Production.P3C4</t>
  </si>
  <si>
    <t>S.Production.P4</t>
  </si>
  <si>
    <t>S.Production.P4C1</t>
  </si>
  <si>
    <t>S.Production.P4C2</t>
  </si>
  <si>
    <t>S.Production.P4C3</t>
  </si>
  <si>
    <t>S.Production.P4C4</t>
  </si>
  <si>
    <t>S.Electricity.P1</t>
  </si>
  <si>
    <t>S.Electricity.P1C1</t>
  </si>
  <si>
    <t>S.Electricity.P1C2</t>
  </si>
  <si>
    <t>S.Electricity.P1C3</t>
  </si>
  <si>
    <t>S.Electricity.P1C4</t>
  </si>
  <si>
    <t>S.Electricity.P2a</t>
  </si>
  <si>
    <t>S.Electricity.P2aC1</t>
  </si>
  <si>
    <t>S.Electricity.P2aC2</t>
  </si>
  <si>
    <t>S.Electricity.P2aC3</t>
  </si>
  <si>
    <t>S.Electricity.P2aC4</t>
  </si>
  <si>
    <t>S.Electricity.P2b</t>
  </si>
  <si>
    <t>S.Electricity.P2bC1</t>
  </si>
  <si>
    <t>S.Electricity.P2bC2</t>
  </si>
  <si>
    <t>S.Electricity.P2bC3</t>
  </si>
  <si>
    <t>S.Electricity.P2bC4</t>
  </si>
  <si>
    <t>S.Electricity.P3</t>
  </si>
  <si>
    <t>S.Electricity.P3C1</t>
  </si>
  <si>
    <t>S.Electricity.P3C2</t>
  </si>
  <si>
    <t>S.Electricity.P3C3</t>
  </si>
  <si>
    <t>S.Electricity.P3C4</t>
  </si>
  <si>
    <t>S.Electricity.P4</t>
  </si>
  <si>
    <t>S.Electricity.P4C1</t>
  </si>
  <si>
    <t>S.Electricity.P4C2</t>
  </si>
  <si>
    <t>S.Electricity.P4C3</t>
  </si>
  <si>
    <t>S.Electricity.P4C4</t>
  </si>
  <si>
    <t>S.Gas.P1</t>
  </si>
  <si>
    <t>S.Gas.P2a</t>
  </si>
  <si>
    <t>S.Gas.P2b</t>
  </si>
  <si>
    <t>S.Gas.P3</t>
  </si>
  <si>
    <t>S.Gas.P4</t>
  </si>
  <si>
    <t>S.Summary.P1</t>
  </si>
  <si>
    <t>S.Summary.P1GasToPower</t>
  </si>
  <si>
    <t>S.Summary.P2a</t>
  </si>
  <si>
    <t>S.Summary.P2aGasToPower</t>
  </si>
  <si>
    <t>S.Summary.P2b</t>
  </si>
  <si>
    <t>S.Summary.P2bGasToPower</t>
  </si>
  <si>
    <t>S.Summary.P3</t>
  </si>
  <si>
    <t>S.Summary.P3GasToPower</t>
  </si>
  <si>
    <t>S.Summary.P4</t>
  </si>
  <si>
    <t>S.Summary.P4GasToPower</t>
  </si>
  <si>
    <t>S.Developer.Inputs</t>
  </si>
  <si>
    <t>S.Developer.Sections</t>
  </si>
  <si>
    <t>S.Developer.Ranges</t>
  </si>
  <si>
    <t>Enter the operator name.</t>
  </si>
  <si>
    <t>Enter the OBPS registration number.</t>
  </si>
  <si>
    <t>Indicate if the facility is subject to part 2 or part 3 of the standard.</t>
  </si>
  <si>
    <t>Select the production classes that apply to the facility.</t>
  </si>
  <si>
    <t>Enter the number of facilities in production class 1.</t>
  </si>
  <si>
    <t>Enter the number of facilities in production class 2a.</t>
  </si>
  <si>
    <t>Enter the number of facilities in production class 2b.</t>
  </si>
  <si>
    <t>Enter the number of facilities in production class 3.</t>
  </si>
  <si>
    <t>Enter the number of facilities in production class 4.</t>
  </si>
  <si>
    <t>Enter the number of units within the gas-to-power operation for production class 1 in baseline year 1.</t>
  </si>
  <si>
    <t>Enter the energy in the combusted associated gas on row 1 of the table for production class 1 in baseline year 1.</t>
  </si>
  <si>
    <t>Enter the energy in the combusted associated gas on row 2 of the table for production class 1 in baseline year 1.</t>
  </si>
  <si>
    <t>Enter the energy in the combusted associated gas on row 3 of the table for production class 1 in baseline year 1.</t>
  </si>
  <si>
    <t>Enter the energy in the combusted associated gas on row 4 of the table for production class 1 in baseline year 1.</t>
  </si>
  <si>
    <t>Enter the energy in the combusted associated gas on row 5 of the table for production class 1 in baseline year 1.</t>
  </si>
  <si>
    <t>Enter the energy in the combusted associated gas on row 6 of the table for production class 1 in baseline year 1.</t>
  </si>
  <si>
    <t>Enter the energy in the combusted associated gas on row 7 of the table for production class 1 in baseline year 1.</t>
  </si>
  <si>
    <t>Enter the energy in the combusted associated gas on row 8 of the table for production class 1 in baseline year 1.</t>
  </si>
  <si>
    <t>Enter the energy in the combusted associated gas on row 9 of the table for production class 1 in baseline year 1.</t>
  </si>
  <si>
    <t>Enter the energy in the combusted associated gas on row 10 of the table for production class 1 in baseline year 1.</t>
  </si>
  <si>
    <t>Enter the energy in the combusted associated gas on row 11 of the table for production class 1 in baseline year 1.</t>
  </si>
  <si>
    <t>Enter the energy in the combusted associated gas on row 12 of the table for production class 1 in baseline year 1.</t>
  </si>
  <si>
    <t>Enter the energy in the combusted associated gas on row 13 of the table for production class 1 in baseline year 1.</t>
  </si>
  <si>
    <t>Enter the energy in the combusted associated gas on row 14 of the table for production class 1 in baseline year 1.</t>
  </si>
  <si>
    <t>Enter the energy in the combusted associated gas on row 15 of the table for production class 1 in baseline year 1.</t>
  </si>
  <si>
    <t>Enter the energy in the combusted associated gas on row 16 of the table for production class 1 in baseline year 1.</t>
  </si>
  <si>
    <t>Enter the energy in the combusted associated gas on row 17 of the table for production class 1 in baseline year 1.</t>
  </si>
  <si>
    <t>Enter the energy in the combusted associated gas on row 18 of the table for production class 1 in baseline year 1.</t>
  </si>
  <si>
    <t>Enter the energy in the combusted associated gas on row 19 of the table for production class 1 in baseline year 1.</t>
  </si>
  <si>
    <t>Enter the energy in the combusted associated gas on row 20 of the table for production class 1 in baseline year 1.</t>
  </si>
  <si>
    <t>Enter the energy in the combusted associated gas on row 21 of the table for production class 1 in baseline year 1.</t>
  </si>
  <si>
    <t>Enter the energy in the combusted associated gas on row 22 of the table for production class 1 in baseline year 1.</t>
  </si>
  <si>
    <t>Enter the energy in the combusted associated gas on row 23 of the table for production class 1 in baseline year 1.</t>
  </si>
  <si>
    <t>Enter the energy in the combusted associated gas on row 24 of the table for production class 1 in baseline year 1.</t>
  </si>
  <si>
    <t>Enter the energy in the combusted associated gas on row 25 of the table for production class 1 in baseline year 1.</t>
  </si>
  <si>
    <t>Enter the energy in the combusted associated gas on row 26 of the table for production class 1 in baseline year 1.</t>
  </si>
  <si>
    <t>Enter the energy in the combusted associated gas on row 27 of the table for production class 1 in baseline year 1.</t>
  </si>
  <si>
    <t>Enter the energy in the combusted associated gas on row 28 of the table for production class 1 in baseline year 1.</t>
  </si>
  <si>
    <t>Enter the energy in the combusted associated gas on row 29 of the table for production class 1 in baseline year 1.</t>
  </si>
  <si>
    <t>Enter the energy in the combusted associated gas on row 30 of the table for production class 1 in baseline year 1.</t>
  </si>
  <si>
    <t>Enter the energy in the combusted associated gas on row 31 of the table for production class 1 in baseline year 1.</t>
  </si>
  <si>
    <t>Enter the energy in the combusted associated gas on row 32 of the table for production class 1 in baseline year 1.</t>
  </si>
  <si>
    <t>Enter the energy in the combusted associated gas on row 33 of the table for production class 1 in baseline year 1.</t>
  </si>
  <si>
    <t>Enter the energy in the combusted associated gas on row 34 of the table for production class 1 in baseline year 1.</t>
  </si>
  <si>
    <t>Enter the energy in the combusted associated gas on row 35 of the table for production class 1 in baseline year 1.</t>
  </si>
  <si>
    <t>Enter the energy in the combusted associated gas on row 36 of the table for production class 1 in baseline year 1.</t>
  </si>
  <si>
    <t>Enter the energy in the combusted associated gas on row 37 of the table for production class 1 in baseline year 1.</t>
  </si>
  <si>
    <t>Enter the energy in the combusted associated gas on row 38 of the table for production class 1 in baseline year 1.</t>
  </si>
  <si>
    <t>Enter the energy in the combusted associated gas on row 39 of the table for production class 1 in baseline year 1.</t>
  </si>
  <si>
    <t>Enter the energy in the combusted associated gas on row 40 of the table for production class 1 in baseline year 1.</t>
  </si>
  <si>
    <t>Enter the energy in the combusted associated gas on row 41 of the table for production class 1 in baseline year 1.</t>
  </si>
  <si>
    <t>Enter the energy in the combusted associated gas on row 42 of the table for production class 1 in baseline year 1.</t>
  </si>
  <si>
    <t>Enter the energy in the combusted associated gas on row 43 of the table for production class 1 in baseline year 1.</t>
  </si>
  <si>
    <t>Enter the energy in the combusted associated gas on row 44 of the table for production class 1 in baseline year 1.</t>
  </si>
  <si>
    <t>Enter the energy in the combusted associated gas on row 45 of the table for production class 1 in baseline year 1.</t>
  </si>
  <si>
    <t>Enter the energy in the combusted associated gas on row 46 of the table for production class 1 in baseline year 1.</t>
  </si>
  <si>
    <t>Enter the energy in the combusted associated gas on row 47 of the table for production class 1 in baseline year 1.</t>
  </si>
  <si>
    <t>Enter the energy in the combusted associated gas on row 48 of the table for production class 1 in baseline year 1.</t>
  </si>
  <si>
    <t>Enter the energy in the combusted associated gas on row 49 of the table for production class 1 in baseline year 1.</t>
  </si>
  <si>
    <t>Enter the energy in the combusted associated gas on row 50 of the table for production class 1 in baseline year 1.</t>
  </si>
  <si>
    <t>Enter the total energy in all combusted fuel on row 1 of the table for production class 1 in baseline year 1.</t>
  </si>
  <si>
    <t>Enter the total energy in all combusted fuel on row 2 of the table for production class 1 in baseline year 1.</t>
  </si>
  <si>
    <t>Enter the total energy in all combusted fuel on row 3 of the table for production class 1 in baseline year 1.</t>
  </si>
  <si>
    <t>Enter the total energy in all combusted fuel on row 4 of the table for production class 1 in baseline year 1.</t>
  </si>
  <si>
    <t>Enter the total energy in all combusted fuel on row 5 of the table for production class 1 in baseline year 1.</t>
  </si>
  <si>
    <t>Enter the total energy in all combusted fuel on row 6 of the table for production class 1 in baseline year 1.</t>
  </si>
  <si>
    <t>Enter the total energy in all combusted fuel on row 7 of the table for production class 1 in baseline year 1.</t>
  </si>
  <si>
    <t>Enter the total energy in all combusted fuel on row 8 of the table for production class 1 in baseline year 1.</t>
  </si>
  <si>
    <t>Enter the total energy in all combusted fuel on row 9 of the table for production class 1 in baseline year 1.</t>
  </si>
  <si>
    <t>Enter the total energy in all combusted fuel on row 10 of the table for production class 1 in baseline year 1.</t>
  </si>
  <si>
    <t>Enter the total energy in all combusted fuel on row 11 of the table for production class 1 in baseline year 1.</t>
  </si>
  <si>
    <t>Enter the total energy in all combusted fuel on row 12 of the table for production class 1 in baseline year 1.</t>
  </si>
  <si>
    <t>Enter the total energy in all combusted fuel on row 13 of the table for production class 1 in baseline year 1.</t>
  </si>
  <si>
    <t>Enter the total energy in all combusted fuel on row 14 of the table for production class 1 in baseline year 1.</t>
  </si>
  <si>
    <t>Enter the total energy in all combusted fuel on row 15 of the table for production class 1 in baseline year 1.</t>
  </si>
  <si>
    <t>Enter the total energy in all combusted fuel on row 16 of the table for production class 1 in baseline year 1.</t>
  </si>
  <si>
    <t>Enter the total energy in all combusted fuel on row 17 of the table for production class 1 in baseline year 1.</t>
  </si>
  <si>
    <t>Enter the total energy in all combusted fuel on row 18 of the table for production class 1 in baseline year 1.</t>
  </si>
  <si>
    <t>Enter the total energy in all combusted fuel on row 19 of the table for production class 1 in baseline year 1.</t>
  </si>
  <si>
    <t>Enter the total energy in all combusted fuel on row 20 of the table for production class 1 in baseline year 1.</t>
  </si>
  <si>
    <t>Enter the total energy in all combusted fuel on row 21 of the table for production class 1 in baseline year 1.</t>
  </si>
  <si>
    <t>Enter the total energy in all combusted fuel on row 22 of the table for production class 1 in baseline year 1.</t>
  </si>
  <si>
    <t>Enter the total energy in all combusted fuel on row 23 of the table for production class 1 in baseline year 1.</t>
  </si>
  <si>
    <t>Enter the total energy in all combusted fuel on row 24 of the table for production class 1 in baseline year 1.</t>
  </si>
  <si>
    <t>Enter the total energy in all combusted fuel on row 25 of the table for production class 1 in baseline year 1.</t>
  </si>
  <si>
    <t>Enter the total energy in all combusted fuel on row 26 of the table for production class 1 in baseline year 1.</t>
  </si>
  <si>
    <t>Enter the total energy in all combusted fuel on row 27 of the table for production class 1 in baseline year 1.</t>
  </si>
  <si>
    <t>Enter the total energy in all combusted fuel on row 28 of the table for production class 1 in baseline year 1.</t>
  </si>
  <si>
    <t>Enter the total energy in all combusted fuel on row 29 of the table for production class 1 in baseline year 1.</t>
  </si>
  <si>
    <t>Enter the total energy in all combusted fuel on row 30 of the table for production class 1 in baseline year 1.</t>
  </si>
  <si>
    <t>Enter the total energy in all combusted fuel on row 31 of the table for production class 1 in baseline year 1.</t>
  </si>
  <si>
    <t>Enter the total energy in all combusted fuel on row 32 of the table for production class 1 in baseline year 1.</t>
  </si>
  <si>
    <t>Enter the total energy in all combusted fuel on row 33 of the table for production class 1 in baseline year 1.</t>
  </si>
  <si>
    <t>Enter the total energy in all combusted fuel on row 34 of the table for production class 1 in baseline year 1.</t>
  </si>
  <si>
    <t>Enter the total energy in all combusted fuel on row 35 of the table for production class 1 in baseline year 1.</t>
  </si>
  <si>
    <t>Enter the total energy in all combusted fuel on row 36 of the table for production class 1 in baseline year 1.</t>
  </si>
  <si>
    <t>Enter the total energy in all combusted fuel on row 37 of the table for production class 1 in baseline year 1.</t>
  </si>
  <si>
    <t>Enter the total energy in all combusted fuel on row 38 of the table for production class 1 in baseline year 1.</t>
  </si>
  <si>
    <t>Enter the total energy in all combusted fuel on row 39 of the table for production class 1 in baseline year 1.</t>
  </si>
  <si>
    <t>Enter the total energy in all combusted fuel on row 40 of the table for production class 1 in baseline year 1.</t>
  </si>
  <si>
    <t>Enter the total energy in all combusted fuel on row 41 of the table for production class 1 in baseline year 1.</t>
  </si>
  <si>
    <t>Enter the total energy in all combusted fuel on row 42 of the table for production class 1 in baseline year 1.</t>
  </si>
  <si>
    <t>Enter the total energy in all combusted fuel on row 43 of the table for production class 1 in baseline year 1.</t>
  </si>
  <si>
    <t>Enter the total energy in all combusted fuel on row 44 of the table for production class 1 in baseline year 1.</t>
  </si>
  <si>
    <t>Enter the total energy in all combusted fuel on row 45 of the table for production class 1 in baseline year 1.</t>
  </si>
  <si>
    <t>Enter the total energy in all combusted fuel on row 46 of the table for production class 1 in baseline year 1.</t>
  </si>
  <si>
    <t>Enter the total energy in all combusted fuel on row 47 of the table for production class 1 in baseline year 1.</t>
  </si>
  <si>
    <t>Enter the total energy in all combusted fuel on row 48 of the table for production class 1 in baseline year 1.</t>
  </si>
  <si>
    <t>Enter the total energy in all combusted fuel on row 49 of the table for production class 1 in baseline year 1.</t>
  </si>
  <si>
    <t>Enter the total energy in all combusted fuel on row 50 of the table for production class 1 in baseline year 1.</t>
  </si>
  <si>
    <t>Enter the total electricity generation from all combusted fuel on row 1 of the table for production class 1 in baseline year 1.</t>
  </si>
  <si>
    <t>Enter the total electricity generation from all combusted fuel on row 2 of the table for production class 1 in baseline year 1.</t>
  </si>
  <si>
    <t>Enter the total electricity generation from all combusted fuel on row 3 of the table for production class 1 in baseline year 1.</t>
  </si>
  <si>
    <t>Enter the total electricity generation from all combusted fuel on row 4 of the table for production class 1 in baseline year 1.</t>
  </si>
  <si>
    <t>Enter the total electricity generation from all combusted fuel on row 5 of the table for production class 1 in baseline year 1.</t>
  </si>
  <si>
    <t>Enter the total electricity generation from all combusted fuel on row 6 of the table for production class 1 in baseline year 1.</t>
  </si>
  <si>
    <t>Enter the total electricity generation from all combusted fuel on row 7 of the table for production class 1 in baseline year 1.</t>
  </si>
  <si>
    <t>Enter the total electricity generation from all combusted fuel on row 8 of the table for production class 1 in baseline year 1.</t>
  </si>
  <si>
    <t>Enter the total electricity generation from all combusted fuel on row 9 of the table for production class 1 in baseline year 1.</t>
  </si>
  <si>
    <t>Enter the total electricity generation from all combusted fuel on row 10 of the table for production class 1 in baseline year 1.</t>
  </si>
  <si>
    <t>Enter the total electricity generation from all combusted fuel on row 11 of the table for production class 1 in baseline year 1.</t>
  </si>
  <si>
    <t>Enter the total electricity generation from all combusted fuel on row 12 of the table for production class 1 in baseline year 1.</t>
  </si>
  <si>
    <t>Enter the total electricity generation from all combusted fuel on row 13 of the table for production class 1 in baseline year 1.</t>
  </si>
  <si>
    <t>Enter the total electricity generation from all combusted fuel on row 14 of the table for production class 1 in baseline year 1.</t>
  </si>
  <si>
    <t>Enter the total electricity generation from all combusted fuel on row 15 of the table for production class 1 in baseline year 1.</t>
  </si>
  <si>
    <t>Enter the total electricity generation from all combusted fuel on row 16 of the table for production class 1 in baseline year 1.</t>
  </si>
  <si>
    <t>Enter the total electricity generation from all combusted fuel on row 17 of the table for production class 1 in baseline year 1.</t>
  </si>
  <si>
    <t>Enter the total electricity generation from all combusted fuel on row 18 of the table for production class 1 in baseline year 1.</t>
  </si>
  <si>
    <t>Enter the total electricity generation from all combusted fuel on row 19 of the table for production class 1 in baseline year 1.</t>
  </si>
  <si>
    <t>Enter the total electricity generation from all combusted fuel on row 20 of the table for production class 1 in baseline year 1.</t>
  </si>
  <si>
    <t>Enter the total electricity generation from all combusted fuel on row 21 of the table for production class 1 in baseline year 1.</t>
  </si>
  <si>
    <t>Enter the total electricity generation from all combusted fuel on row 22 of the table for production class 1 in baseline year 1.</t>
  </si>
  <si>
    <t>Enter the total electricity generation from all combusted fuel on row 23 of the table for production class 1 in baseline year 1.</t>
  </si>
  <si>
    <t>Enter the total electricity generation from all combusted fuel on row 24 of the table for production class 1 in baseline year 1.</t>
  </si>
  <si>
    <t>Enter the total electricity generation from all combusted fuel on row 25 of the table for production class 1 in baseline year 1.</t>
  </si>
  <si>
    <t>Enter the total electricity generation from all combusted fuel on row 26 of the table for production class 1 in baseline year 1.</t>
  </si>
  <si>
    <t>Enter the total electricity generation from all combusted fuel on row 27 of the table for production class 1 in baseline year 1.</t>
  </si>
  <si>
    <t>Enter the total electricity generation from all combusted fuel on row 28 of the table for production class 1 in baseline year 1.</t>
  </si>
  <si>
    <t>Enter the total electricity generation from all combusted fuel on row 29 of the table for production class 1 in baseline year 1.</t>
  </si>
  <si>
    <t>Enter the total electricity generation from all combusted fuel on row 30 of the table for production class 1 in baseline year 1.</t>
  </si>
  <si>
    <t>Enter the total electricity generation from all combusted fuel on row 31 of the table for production class 1 in baseline year 1.</t>
  </si>
  <si>
    <t>Enter the total electricity generation from all combusted fuel on row 32 of the table for production class 1 in baseline year 1.</t>
  </si>
  <si>
    <t>Enter the total electricity generation from all combusted fuel on row 33 of the table for production class 1 in baseline year 1.</t>
  </si>
  <si>
    <t>Enter the total electricity generation from all combusted fuel on row 34 of the table for production class 1 in baseline year 1.</t>
  </si>
  <si>
    <t>Enter the total electricity generation from all combusted fuel on row 35 of the table for production class 1 in baseline year 1.</t>
  </si>
  <si>
    <t>Enter the total electricity generation from all combusted fuel on row 36 of the table for production class 1 in baseline year 1.</t>
  </si>
  <si>
    <t>Enter the total electricity generation from all combusted fuel on row 37 of the table for production class 1 in baseline year 1.</t>
  </si>
  <si>
    <t>Enter the total electricity generation from all combusted fuel on row 38 of the table for production class 1 in baseline year 1.</t>
  </si>
  <si>
    <t>Enter the total electricity generation from all combusted fuel on row 39 of the table for production class 1 in baseline year 1.</t>
  </si>
  <si>
    <t>Enter the total electricity generation from all combusted fuel on row 40 of the table for production class 1 in baseline year 1.</t>
  </si>
  <si>
    <t>Enter the total electricity generation from all combusted fuel on row 41 of the table for production class 1 in baseline year 1.</t>
  </si>
  <si>
    <t>Enter the total electricity generation from all combusted fuel on row 42 of the table for production class 1 in baseline year 1.</t>
  </si>
  <si>
    <t>Enter the total electricity generation from all combusted fuel on row 43 of the table for production class 1 in baseline year 1.</t>
  </si>
  <si>
    <t>Enter the total electricity generation from all combusted fuel on row 44 of the table for production class 1 in baseline year 1.</t>
  </si>
  <si>
    <t>Enter the total electricity generation from all combusted fuel on row 45 of the table for production class 1 in baseline year 1.</t>
  </si>
  <si>
    <t>Enter the total electricity generation from all combusted fuel on row 46 of the table for production class 1 in baseline year 1.</t>
  </si>
  <si>
    <t>Enter the total electricity generation from all combusted fuel on row 47 of the table for production class 1 in baseline year 1.</t>
  </si>
  <si>
    <t>Enter the total electricity generation from all combusted fuel on row 48 of the table for production class 1 in baseline year 1.</t>
  </si>
  <si>
    <t>Enter the total electricity generation from all combusted fuel on row 49 of the table for production class 1 in baseline year 1.</t>
  </si>
  <si>
    <t>Enter the total electricity generation from all combusted fuel on row 50 of the table for production class 1 in baseline year 1.</t>
  </si>
  <si>
    <t>Enter the volume of associated gas on row 1 of the table for production class 1 in baseline year 1.</t>
  </si>
  <si>
    <t>Enter the volume of associated gas on row 2 of the table for production class 1 in baseline year 1.</t>
  </si>
  <si>
    <t>Enter the volume of associated gas on row 3 of the table for production class 1 in baseline year 1.</t>
  </si>
  <si>
    <t>Enter the volume of associated gas on row 4 of the table for production class 1 in baseline year 1.</t>
  </si>
  <si>
    <t>Enter the volume of associated gas on row 5 of the table for production class 1 in baseline year 1.</t>
  </si>
  <si>
    <t>Enter the volume of associated gas on row 6 of the table for production class 1 in baseline year 1.</t>
  </si>
  <si>
    <t>Enter the volume of associated gas on row 7 of the table for production class 1 in baseline year 1.</t>
  </si>
  <si>
    <t>Enter the volume of associated gas on row 8 of the table for production class 1 in baseline year 1.</t>
  </si>
  <si>
    <t>Enter the volume of associated gas on row 9 of the table for production class 1 in baseline year 1.</t>
  </si>
  <si>
    <t>Enter the volume of associated gas on row 10 of the table for production class 1 in baseline year 1.</t>
  </si>
  <si>
    <t>Enter the volume of associated gas on row 11 of the table for production class 1 in baseline year 1.</t>
  </si>
  <si>
    <t>Enter the volume of associated gas on row 12 of the table for production class 1 in baseline year 1.</t>
  </si>
  <si>
    <t>Enter the volume of associated gas on row 13 of the table for production class 1 in baseline year 1.</t>
  </si>
  <si>
    <t>Enter the volume of associated gas on row 14 of the table for production class 1 in baseline year 1.</t>
  </si>
  <si>
    <t>Enter the volume of associated gas on row 15 of the table for production class 1 in baseline year 1.</t>
  </si>
  <si>
    <t>Enter the volume of associated gas on row 16 of the table for production class 1 in baseline year 1.</t>
  </si>
  <si>
    <t>Enter the volume of associated gas on row 17 of the table for production class 1 in baseline year 1.</t>
  </si>
  <si>
    <t>Enter the volume of associated gas on row 18 of the table for production class 1 in baseline year 1.</t>
  </si>
  <si>
    <t>Enter the volume of associated gas on row 19 of the table for production class 1 in baseline year 1.</t>
  </si>
  <si>
    <t>Enter the volume of associated gas on row 20 of the table for production class 1 in baseline year 1.</t>
  </si>
  <si>
    <t>Enter the volume of associated gas on row 21 of the table for production class 1 in baseline year 1.</t>
  </si>
  <si>
    <t>Enter the volume of associated gas on row 22 of the table for production class 1 in baseline year 1.</t>
  </si>
  <si>
    <t>Enter the volume of associated gas on row 23 of the table for production class 1 in baseline year 1.</t>
  </si>
  <si>
    <t>Enter the volume of associated gas on row 24 of the table for production class 1 in baseline year 1.</t>
  </si>
  <si>
    <t>Enter the volume of associated gas on row 25 of the table for production class 1 in baseline year 1.</t>
  </si>
  <si>
    <t>Enter the volume of associated gas on row 26 of the table for production class 1 in baseline year 1.</t>
  </si>
  <si>
    <t>Enter the volume of associated gas on row 27 of the table for production class 1 in baseline year 1.</t>
  </si>
  <si>
    <t>Enter the volume of associated gas on row 28 of the table for production class 1 in baseline year 1.</t>
  </si>
  <si>
    <t>Enter the volume of associated gas on row 29 of the table for production class 1 in baseline year 1.</t>
  </si>
  <si>
    <t>Enter the volume of associated gas on row 30 of the table for production class 1 in baseline year 1.</t>
  </si>
  <si>
    <t>Enter the volume of associated gas on row 31 of the table for production class 1 in baseline year 1.</t>
  </si>
  <si>
    <t>Enter the volume of associated gas on row 32 of the table for production class 1 in baseline year 1.</t>
  </si>
  <si>
    <t>Enter the volume of associated gas on row 33 of the table for production class 1 in baseline year 1.</t>
  </si>
  <si>
    <t>Enter the volume of associated gas on row 34 of the table for production class 1 in baseline year 1.</t>
  </si>
  <si>
    <t>Enter the volume of associated gas on row 35 of the table for production class 1 in baseline year 1.</t>
  </si>
  <si>
    <t>Enter the volume of associated gas on row 36 of the table for production class 1 in baseline year 1.</t>
  </si>
  <si>
    <t>Enter the volume of associated gas on row 37 of the table for production class 1 in baseline year 1.</t>
  </si>
  <si>
    <t>Enter the volume of associated gas on row 38 of the table for production class 1 in baseline year 1.</t>
  </si>
  <si>
    <t>Enter the volume of associated gas on row 39 of the table for production class 1 in baseline year 1.</t>
  </si>
  <si>
    <t>Enter the volume of associated gas on row 40 of the table for production class 1 in baseline year 1.</t>
  </si>
  <si>
    <t>Enter the volume of associated gas on row 41 of the table for production class 1 in baseline year 1.</t>
  </si>
  <si>
    <t>Enter the volume of associated gas on row 42 of the table for production class 1 in baseline year 1.</t>
  </si>
  <si>
    <t>Enter the volume of associated gas on row 43 of the table for production class 1 in baseline year 1.</t>
  </si>
  <si>
    <t>Enter the volume of associated gas on row 44 of the table for production class 1 in baseline year 1.</t>
  </si>
  <si>
    <t>Enter the volume of associated gas on row 45 of the table for production class 1 in baseline year 1.</t>
  </si>
  <si>
    <t>Enter the volume of associated gas on row 46 of the table for production class 1 in baseline year 1.</t>
  </si>
  <si>
    <t>Enter the volume of associated gas on row 47 of the table for production class 1 in baseline year 1.</t>
  </si>
  <si>
    <t>Enter the volume of associated gas on row 48 of the table for production class 1 in baseline year 1.</t>
  </si>
  <si>
    <t>Enter the volume of associated gas on row 49 of the table for production class 1 in baseline year 1.</t>
  </si>
  <si>
    <t>Enter the volume of associated gas on row 50 of the table for production class 1 in baseline year 1.</t>
  </si>
  <si>
    <t>Enter the carbon dioxide emissions from associated gas on row 1 of the table for production class 1 in baseline year 1.</t>
  </si>
  <si>
    <t>Enter the carbon dioxide emissions from associated gas on row 2 of the table for production class 1 in baseline year 1.</t>
  </si>
  <si>
    <t>Enter the carbon dioxide emissions from associated gas on row 3 of the table for production class 1 in baseline year 1.</t>
  </si>
  <si>
    <t>Enter the carbon dioxide emissions from associated gas on row 4 of the table for production class 1 in baseline year 1.</t>
  </si>
  <si>
    <t>Enter the carbon dioxide emissions from associated gas on row 5 of the table for production class 1 in baseline year 1.</t>
  </si>
  <si>
    <t>Enter the carbon dioxide emissions from associated gas on row 6 of the table for production class 1 in baseline year 1.</t>
  </si>
  <si>
    <t>Enter the carbon dioxide emissions from associated gas on row 7 of the table for production class 1 in baseline year 1.</t>
  </si>
  <si>
    <t>Enter the carbon dioxide emissions from associated gas on row 8 of the table for production class 1 in baseline year 1.</t>
  </si>
  <si>
    <t>Enter the carbon dioxide emissions from associated gas on row 9 of the table for production class 1 in baseline year 1.</t>
  </si>
  <si>
    <t>Enter the carbon dioxide emissions from associated gas on row 10 of the table for production class 1 in baseline year 1.</t>
  </si>
  <si>
    <t>Enter the carbon dioxide emissions from associated gas on row 11 of the table for production class 1 in baseline year 1.</t>
  </si>
  <si>
    <t>Enter the carbon dioxide emissions from associated gas on row 12 of the table for production class 1 in baseline year 1.</t>
  </si>
  <si>
    <t>Enter the carbon dioxide emissions from associated gas on row 13 of the table for production class 1 in baseline year 1.</t>
  </si>
  <si>
    <t>Enter the carbon dioxide emissions from associated gas on row 14 of the table for production class 1 in baseline year 1.</t>
  </si>
  <si>
    <t>Enter the carbon dioxide emissions from associated gas on row 15 of the table for production class 1 in baseline year 1.</t>
  </si>
  <si>
    <t>Enter the carbon dioxide emissions from associated gas on row 16 of the table for production class 1 in baseline year 1.</t>
  </si>
  <si>
    <t>Enter the carbon dioxide emissions from associated gas on row 17 of the table for production class 1 in baseline year 1.</t>
  </si>
  <si>
    <t>Enter the carbon dioxide emissions from associated gas on row 18 of the table for production class 1 in baseline year 1.</t>
  </si>
  <si>
    <t>Enter the carbon dioxide emissions from associated gas on row 19 of the table for production class 1 in baseline year 1.</t>
  </si>
  <si>
    <t>Enter the carbon dioxide emissions from associated gas on row 20 of the table for production class 1 in baseline year 1.</t>
  </si>
  <si>
    <t>Enter the carbon dioxide emissions from associated gas on row 21 of the table for production class 1 in baseline year 1.</t>
  </si>
  <si>
    <t>Enter the carbon dioxide emissions from associated gas on row 22 of the table for production class 1 in baseline year 1.</t>
  </si>
  <si>
    <t>Enter the carbon dioxide emissions from associated gas on row 23 of the table for production class 1 in baseline year 1.</t>
  </si>
  <si>
    <t>Enter the carbon dioxide emissions from associated gas on row 24 of the table for production class 1 in baseline year 1.</t>
  </si>
  <si>
    <t>Enter the carbon dioxide emissions from associated gas on row 25 of the table for production class 1 in baseline year 1.</t>
  </si>
  <si>
    <t>Enter the carbon dioxide emissions from associated gas on row 26 of the table for production class 1 in baseline year 1.</t>
  </si>
  <si>
    <t>Enter the carbon dioxide emissions from associated gas on row 27 of the table for production class 1 in baseline year 1.</t>
  </si>
  <si>
    <t>Enter the carbon dioxide emissions from associated gas on row 28 of the table for production class 1 in baseline year 1.</t>
  </si>
  <si>
    <t>Enter the carbon dioxide emissions from associated gas on row 29 of the table for production class 1 in baseline year 1.</t>
  </si>
  <si>
    <t>Enter the carbon dioxide emissions from associated gas on row 30 of the table for production class 1 in baseline year 1.</t>
  </si>
  <si>
    <t>Enter the carbon dioxide emissions from associated gas on row 31 of the table for production class 1 in baseline year 1.</t>
  </si>
  <si>
    <t>Enter the carbon dioxide emissions from associated gas on row 32 of the table for production class 1 in baseline year 1.</t>
  </si>
  <si>
    <t>Enter the carbon dioxide emissions from associated gas on row 33 of the table for production class 1 in baseline year 1.</t>
  </si>
  <si>
    <t>Enter the carbon dioxide emissions from associated gas on row 34 of the table for production class 1 in baseline year 1.</t>
  </si>
  <si>
    <t>Enter the carbon dioxide emissions from associated gas on row 35 of the table for production class 1 in baseline year 1.</t>
  </si>
  <si>
    <t>Enter the carbon dioxide emissions from associated gas on row 36 of the table for production class 1 in baseline year 1.</t>
  </si>
  <si>
    <t>Enter the carbon dioxide emissions from associated gas on row 37 of the table for production class 1 in baseline year 1.</t>
  </si>
  <si>
    <t>Enter the carbon dioxide emissions from associated gas on row 38 of the table for production class 1 in baseline year 1.</t>
  </si>
  <si>
    <t>Enter the carbon dioxide emissions from associated gas on row 39 of the table for production class 1 in baseline year 1.</t>
  </si>
  <si>
    <t>Enter the carbon dioxide emissions from associated gas on row 40 of the table for production class 1 in baseline year 1.</t>
  </si>
  <si>
    <t>Enter the carbon dioxide emissions from associated gas on row 41 of the table for production class 1 in baseline year 1.</t>
  </si>
  <si>
    <t>Enter the carbon dioxide emissions from associated gas on row 42 of the table for production class 1 in baseline year 1.</t>
  </si>
  <si>
    <t>Enter the carbon dioxide emissions from associated gas on row 43 of the table for production class 1 in baseline year 1.</t>
  </si>
  <si>
    <t>Enter the carbon dioxide emissions from associated gas on row 44 of the table for production class 1 in baseline year 1.</t>
  </si>
  <si>
    <t>Enter the carbon dioxide emissions from associated gas on row 45 of the table for production class 1 in baseline year 1.</t>
  </si>
  <si>
    <t>Enter the carbon dioxide emissions from associated gas on row 46 of the table for production class 1 in baseline year 1.</t>
  </si>
  <si>
    <t>Enter the carbon dioxide emissions from associated gas on row 47 of the table for production class 1 in baseline year 1.</t>
  </si>
  <si>
    <t>Enter the carbon dioxide emissions from associated gas on row 48 of the table for production class 1 in baseline year 1.</t>
  </si>
  <si>
    <t>Enter the carbon dioxide emissions from associated gas on row 49 of the table for production class 1 in baseline year 1.</t>
  </si>
  <si>
    <t>Enter the carbon dioxide emissions from associated gas on row 50 of the table for production class 1 in baseline year 1.</t>
  </si>
  <si>
    <t>Enter the methane emissions from associated gas on row 1 of the table for production class 1 in baseline year 1.</t>
  </si>
  <si>
    <t>Enter the methane emissions from associated gas on row 2 of the table for production class 1 in baseline year 1.</t>
  </si>
  <si>
    <t>Enter the methane emissions from associated gas on row 3 of the table for production class 1 in baseline year 1.</t>
  </si>
  <si>
    <t>Enter the methane emissions from associated gas on row 4 of the table for production class 1 in baseline year 1.</t>
  </si>
  <si>
    <t>Enter the methane emissions from associated gas on row 5 of the table for production class 1 in baseline year 1.</t>
  </si>
  <si>
    <t>Enter the methane emissions from associated gas on row 6 of the table for production class 1 in baseline year 1.</t>
  </si>
  <si>
    <t>Enter the methane emissions from associated gas on row 7 of the table for production class 1 in baseline year 1.</t>
  </si>
  <si>
    <t>Enter the methane emissions from associated gas on row 8 of the table for production class 1 in baseline year 1.</t>
  </si>
  <si>
    <t>Enter the methane emissions from associated gas on row 9 of the table for production class 1 in baseline year 1.</t>
  </si>
  <si>
    <t>Enter the methane emissions from associated gas on row 10 of the table for production class 1 in baseline year 1.</t>
  </si>
  <si>
    <t>Enter the methane emissions from associated gas on row 11 of the table for production class 1 in baseline year 1.</t>
  </si>
  <si>
    <t>Enter the methane emissions from associated gas on row 12 of the table for production class 1 in baseline year 1.</t>
  </si>
  <si>
    <t>Enter the methane emissions from associated gas on row 13 of the table for production class 1 in baseline year 1.</t>
  </si>
  <si>
    <t>Enter the methane emissions from associated gas on row 14 of the table for production class 1 in baseline year 1.</t>
  </si>
  <si>
    <t>Enter the methane emissions from associated gas on row 15 of the table for production class 1 in baseline year 1.</t>
  </si>
  <si>
    <t>Enter the methane emissions from associated gas on row 16 of the table for production class 1 in baseline year 1.</t>
  </si>
  <si>
    <t>Enter the methane emissions from associated gas on row 17 of the table for production class 1 in baseline year 1.</t>
  </si>
  <si>
    <t>Enter the methane emissions from associated gas on row 18 of the table for production class 1 in baseline year 1.</t>
  </si>
  <si>
    <t>Enter the methane emissions from associated gas on row 19 of the table for production class 1 in baseline year 1.</t>
  </si>
  <si>
    <t>Enter the methane emissions from associated gas on row 20 of the table for production class 1 in baseline year 1.</t>
  </si>
  <si>
    <t>Enter the methane emissions from associated gas on row 21 of the table for production class 1 in baseline year 1.</t>
  </si>
  <si>
    <t>Enter the methane emissions from associated gas on row 22 of the table for production class 1 in baseline year 1.</t>
  </si>
  <si>
    <t>Enter the methane emissions from associated gas on row 23 of the table for production class 1 in baseline year 1.</t>
  </si>
  <si>
    <t>Enter the methane emissions from associated gas on row 24 of the table for production class 1 in baseline year 1.</t>
  </si>
  <si>
    <t>Enter the methane emissions from associated gas on row 25 of the table for production class 1 in baseline year 1.</t>
  </si>
  <si>
    <t>Enter the methane emissions from associated gas on row 26 of the table for production class 1 in baseline year 1.</t>
  </si>
  <si>
    <t>Enter the methane emissions from associated gas on row 27 of the table for production class 1 in baseline year 1.</t>
  </si>
  <si>
    <t>Enter the methane emissions from associated gas on row 28 of the table for production class 1 in baseline year 1.</t>
  </si>
  <si>
    <t>Enter the methane emissions from associated gas on row 29 of the table for production class 1 in baseline year 1.</t>
  </si>
  <si>
    <t>Enter the methane emissions from associated gas on row 30 of the table for production class 1 in baseline year 1.</t>
  </si>
  <si>
    <t>Enter the methane emissions from associated gas on row 31 of the table for production class 1 in baseline year 1.</t>
  </si>
  <si>
    <t>Enter the methane emissions from associated gas on row 32 of the table for production class 1 in baseline year 1.</t>
  </si>
  <si>
    <t>Enter the methane emissions from associated gas on row 33 of the table for production class 1 in baseline year 1.</t>
  </si>
  <si>
    <t>Enter the methane emissions from associated gas on row 34 of the table for production class 1 in baseline year 1.</t>
  </si>
  <si>
    <t>Enter the methane emissions from associated gas on row 35 of the table for production class 1 in baseline year 1.</t>
  </si>
  <si>
    <t>Enter the methane emissions from associated gas on row 36 of the table for production class 1 in baseline year 1.</t>
  </si>
  <si>
    <t>Enter the methane emissions from associated gas on row 37 of the table for production class 1 in baseline year 1.</t>
  </si>
  <si>
    <t>Enter the methane emissions from associated gas on row 38 of the table for production class 1 in baseline year 1.</t>
  </si>
  <si>
    <t>Enter the methane emissions from associated gas on row 39 of the table for production class 1 in baseline year 1.</t>
  </si>
  <si>
    <t>Enter the methane emissions from associated gas on row 40 of the table for production class 1 in baseline year 1.</t>
  </si>
  <si>
    <t>Enter the methane emissions from associated gas on row 41 of the table for production class 1 in baseline year 1.</t>
  </si>
  <si>
    <t>Enter the methane emissions from associated gas on row 42 of the table for production class 1 in baseline year 1.</t>
  </si>
  <si>
    <t>Enter the methane emissions from associated gas on row 43 of the table for production class 1 in baseline year 1.</t>
  </si>
  <si>
    <t>Enter the methane emissions from associated gas on row 44 of the table for production class 1 in baseline year 1.</t>
  </si>
  <si>
    <t>Enter the methane emissions from associated gas on row 45 of the table for production class 1 in baseline year 1.</t>
  </si>
  <si>
    <t>Enter the methane emissions from associated gas on row 46 of the table for production class 1 in baseline year 1.</t>
  </si>
  <si>
    <t>Enter the methane emissions from associated gas on row 47 of the table for production class 1 in baseline year 1.</t>
  </si>
  <si>
    <t>Enter the methane emissions from associated gas on row 48 of the table for production class 1 in baseline year 1.</t>
  </si>
  <si>
    <t>Enter the methane emissions from associated gas on row 49 of the table for production class 1 in baseline year 1.</t>
  </si>
  <si>
    <t>Enter the methane emissions from associated gas on row 50 of the table for production class 1 in baseline year 1.</t>
  </si>
  <si>
    <t>Enter the nitrous oxide emissions from associated gas on row 1 of the table for production class 1 in baseline year 1.</t>
  </si>
  <si>
    <t>Enter the nitrous oxide emissions from associated gas on row 2 of the table for production class 1 in baseline year 1.</t>
  </si>
  <si>
    <t>Enter the nitrous oxide emissions from associated gas on row 3 of the table for production class 1 in baseline year 1.</t>
  </si>
  <si>
    <t>Enter the nitrous oxide emissions from associated gas on row 4 of the table for production class 1 in baseline year 1.</t>
  </si>
  <si>
    <t>Enter the nitrous oxide emissions from associated gas on row 5 of the table for production class 1 in baseline year 1.</t>
  </si>
  <si>
    <t>Enter the nitrous oxide emissions from associated gas on row 6 of the table for production class 1 in baseline year 1.</t>
  </si>
  <si>
    <t>Enter the nitrous oxide emissions from associated gas on row 7 of the table for production class 1 in baseline year 1.</t>
  </si>
  <si>
    <t>Enter the nitrous oxide emissions from associated gas on row 8 of the table for production class 1 in baseline year 1.</t>
  </si>
  <si>
    <t>Enter the nitrous oxide emissions from associated gas on row 9 of the table for production class 1 in baseline year 1.</t>
  </si>
  <si>
    <t>Enter the nitrous oxide emissions from associated gas on row 10 of the table for production class 1 in baseline year 1.</t>
  </si>
  <si>
    <t>Enter the nitrous oxide emissions from associated gas on row 11 of the table for production class 1 in baseline year 1.</t>
  </si>
  <si>
    <t>Enter the nitrous oxide emissions from associated gas on row 12 of the table for production class 1 in baseline year 1.</t>
  </si>
  <si>
    <t>Enter the nitrous oxide emissions from associated gas on row 13 of the table for production class 1 in baseline year 1.</t>
  </si>
  <si>
    <t>Enter the nitrous oxide emissions from associated gas on row 14 of the table for production class 1 in baseline year 1.</t>
  </si>
  <si>
    <t>Enter the nitrous oxide emissions from associated gas on row 15 of the table for production class 1 in baseline year 1.</t>
  </si>
  <si>
    <t>Enter the nitrous oxide emissions from associated gas on row 16 of the table for production class 1 in baseline year 1.</t>
  </si>
  <si>
    <t>Enter the nitrous oxide emissions from associated gas on row 17 of the table for production class 1 in baseline year 1.</t>
  </si>
  <si>
    <t>Enter the nitrous oxide emissions from associated gas on row 18 of the table for production class 1 in baseline year 1.</t>
  </si>
  <si>
    <t>Enter the nitrous oxide emissions from associated gas on row 19 of the table for production class 1 in baseline year 1.</t>
  </si>
  <si>
    <t>Enter the nitrous oxide emissions from associated gas on row 20 of the table for production class 1 in baseline year 1.</t>
  </si>
  <si>
    <t>Enter the nitrous oxide emissions from associated gas on row 21 of the table for production class 1 in baseline year 1.</t>
  </si>
  <si>
    <t>Enter the nitrous oxide emissions from associated gas on row 22 of the table for production class 1 in baseline year 1.</t>
  </si>
  <si>
    <t>Enter the nitrous oxide emissions from associated gas on row 23 of the table for production class 1 in baseline year 1.</t>
  </si>
  <si>
    <t>Enter the nitrous oxide emissions from associated gas on row 24 of the table for production class 1 in baseline year 1.</t>
  </si>
  <si>
    <t>Enter the nitrous oxide emissions from associated gas on row 25 of the table for production class 1 in baseline year 1.</t>
  </si>
  <si>
    <t>Enter the nitrous oxide emissions from associated gas on row 26 of the table for production class 1 in baseline year 1.</t>
  </si>
  <si>
    <t>Enter the nitrous oxide emissions from associated gas on row 27 of the table for production class 1 in baseline year 1.</t>
  </si>
  <si>
    <t>Enter the nitrous oxide emissions from associated gas on row 28 of the table for production class 1 in baseline year 1.</t>
  </si>
  <si>
    <t>Enter the nitrous oxide emissions from associated gas on row 29 of the table for production class 1 in baseline year 1.</t>
  </si>
  <si>
    <t>Enter the nitrous oxide emissions from associated gas on row 30 of the table for production class 1 in baseline year 1.</t>
  </si>
  <si>
    <t>Enter the nitrous oxide emissions from associated gas on row 31 of the table for production class 1 in baseline year 1.</t>
  </si>
  <si>
    <t>Enter the nitrous oxide emissions from associated gas on row 32 of the table for production class 1 in baseline year 1.</t>
  </si>
  <si>
    <t>Enter the nitrous oxide emissions from associated gas on row 33 of the table for production class 1 in baseline year 1.</t>
  </si>
  <si>
    <t>Enter the nitrous oxide emissions from associated gas on row 34 of the table for production class 1 in baseline year 1.</t>
  </si>
  <si>
    <t>Enter the nitrous oxide emissions from associated gas on row 35 of the table for production class 1 in baseline year 1.</t>
  </si>
  <si>
    <t>Enter the nitrous oxide emissions from associated gas on row 36 of the table for production class 1 in baseline year 1.</t>
  </si>
  <si>
    <t>Enter the nitrous oxide emissions from associated gas on row 37 of the table for production class 1 in baseline year 1.</t>
  </si>
  <si>
    <t>Enter the nitrous oxide emissions from associated gas on row 38 of the table for production class 1 in baseline year 1.</t>
  </si>
  <si>
    <t>Enter the nitrous oxide emissions from associated gas on row 39 of the table for production class 1 in baseline year 1.</t>
  </si>
  <si>
    <t>Enter the nitrous oxide emissions from associated gas on row 40 of the table for production class 1 in baseline year 1.</t>
  </si>
  <si>
    <t>Enter the nitrous oxide emissions from associated gas on row 41 of the table for production class 1 in baseline year 1.</t>
  </si>
  <si>
    <t>Enter the nitrous oxide emissions from associated gas on row 42 of the table for production class 1 in baseline year 1.</t>
  </si>
  <si>
    <t>Enter the nitrous oxide emissions from associated gas on row 43 of the table for production class 1 in baseline year 1.</t>
  </si>
  <si>
    <t>Enter the nitrous oxide emissions from associated gas on row 44 of the table for production class 1 in baseline year 1.</t>
  </si>
  <si>
    <t>Enter the nitrous oxide emissions from associated gas on row 45 of the table for production class 1 in baseline year 1.</t>
  </si>
  <si>
    <t>Enter the nitrous oxide emissions from associated gas on row 46 of the table for production class 1 in baseline year 1.</t>
  </si>
  <si>
    <t>Enter the nitrous oxide emissions from associated gas on row 47 of the table for production class 1 in baseline year 1.</t>
  </si>
  <si>
    <t>Enter the nitrous oxide emissions from associated gas on row 48 of the table for production class 1 in baseline year 1.</t>
  </si>
  <si>
    <t>Enter the nitrous oxide emissions from associated gas on row 49 of the table for production class 1 in baseline year 1.</t>
  </si>
  <si>
    <t>Enter the nitrous oxide emissions from associated gas on row 50 of the table for production class 1 in baseline year 1.</t>
  </si>
  <si>
    <t>Enter the number of units within the gas-to-power operation for production class 1 in baseline year 2.</t>
  </si>
  <si>
    <t>Enter the energy in the combusted associated gas on row 1 of the table for production class 1 in baseline year 2.</t>
  </si>
  <si>
    <t>Enter the energy in the combusted associated gas on row 2 of the table for production class 1 in baseline year 2.</t>
  </si>
  <si>
    <t>Enter the energy in the combusted associated gas on row 3 of the table for production class 1 in baseline year 2.</t>
  </si>
  <si>
    <t>Enter the energy in the combusted associated gas on row 4 of the table for production class 1 in baseline year 2.</t>
  </si>
  <si>
    <t>Enter the energy in the combusted associated gas on row 5 of the table for production class 1 in baseline year 2.</t>
  </si>
  <si>
    <t>Enter the energy in the combusted associated gas on row 6 of the table for production class 1 in baseline year 2.</t>
  </si>
  <si>
    <t>Enter the energy in the combusted associated gas on row 7 of the table for production class 1 in baseline year 2.</t>
  </si>
  <si>
    <t>Enter the energy in the combusted associated gas on row 8 of the table for production class 1 in baseline year 2.</t>
  </si>
  <si>
    <t>Enter the energy in the combusted associated gas on row 9 of the table for production class 1 in baseline year 2.</t>
  </si>
  <si>
    <t>Enter the energy in the combusted associated gas on row 10 of the table for production class 1 in baseline year 2.</t>
  </si>
  <si>
    <t>Enter the energy in the combusted associated gas on row 11 of the table for production class 1 in baseline year 2.</t>
  </si>
  <si>
    <t>Enter the energy in the combusted associated gas on row 12 of the table for production class 1 in baseline year 2.</t>
  </si>
  <si>
    <t>Enter the energy in the combusted associated gas on row 13 of the table for production class 1 in baseline year 2.</t>
  </si>
  <si>
    <t>Enter the energy in the combusted associated gas on row 14 of the table for production class 1 in baseline year 2.</t>
  </si>
  <si>
    <t>Enter the energy in the combusted associated gas on row 15 of the table for production class 1 in baseline year 2.</t>
  </si>
  <si>
    <t>Enter the energy in the combusted associated gas on row 16 of the table for production class 1 in baseline year 2.</t>
  </si>
  <si>
    <t>Enter the energy in the combusted associated gas on row 17 of the table for production class 1 in baseline year 2.</t>
  </si>
  <si>
    <t>Enter the energy in the combusted associated gas on row 18 of the table for production class 1 in baseline year 2.</t>
  </si>
  <si>
    <t>Enter the energy in the combusted associated gas on row 19 of the table for production class 1 in baseline year 2.</t>
  </si>
  <si>
    <t>Enter the energy in the combusted associated gas on row 20 of the table for production class 1 in baseline year 2.</t>
  </si>
  <si>
    <t>Enter the energy in the combusted associated gas on row 21 of the table for production class 1 in baseline year 2.</t>
  </si>
  <si>
    <t>Enter the energy in the combusted associated gas on row 22 of the table for production class 1 in baseline year 2.</t>
  </si>
  <si>
    <t>Enter the energy in the combusted associated gas on row 23 of the table for production class 1 in baseline year 2.</t>
  </si>
  <si>
    <t>Enter the energy in the combusted associated gas on row 24 of the table for production class 1 in baseline year 2.</t>
  </si>
  <si>
    <t>Enter the energy in the combusted associated gas on row 25 of the table for production class 1 in baseline year 2.</t>
  </si>
  <si>
    <t>Enter the energy in the combusted associated gas on row 26 of the table for production class 1 in baseline year 2.</t>
  </si>
  <si>
    <t>Enter the energy in the combusted associated gas on row 27 of the table for production class 1 in baseline year 2.</t>
  </si>
  <si>
    <t>Enter the energy in the combusted associated gas on row 28 of the table for production class 1 in baseline year 2.</t>
  </si>
  <si>
    <t>Enter the energy in the combusted associated gas on row 29 of the table for production class 1 in baseline year 2.</t>
  </si>
  <si>
    <t>Enter the energy in the combusted associated gas on row 30 of the table for production class 1 in baseline year 2.</t>
  </si>
  <si>
    <t>Enter the energy in the combusted associated gas on row 31 of the table for production class 1 in baseline year 2.</t>
  </si>
  <si>
    <t>Enter the energy in the combusted associated gas on row 32 of the table for production class 1 in baseline year 2.</t>
  </si>
  <si>
    <t>Enter the energy in the combusted associated gas on row 33 of the table for production class 1 in baseline year 2.</t>
  </si>
  <si>
    <t>Enter the energy in the combusted associated gas on row 34 of the table for production class 1 in baseline year 2.</t>
  </si>
  <si>
    <t>Enter the energy in the combusted associated gas on row 35 of the table for production class 1 in baseline year 2.</t>
  </si>
  <si>
    <t>Enter the energy in the combusted associated gas on row 36 of the table for production class 1 in baseline year 2.</t>
  </si>
  <si>
    <t>Enter the energy in the combusted associated gas on row 37 of the table for production class 1 in baseline year 2.</t>
  </si>
  <si>
    <t>Enter the energy in the combusted associated gas on row 38 of the table for production class 1 in baseline year 2.</t>
  </si>
  <si>
    <t>Enter the energy in the combusted associated gas on row 39 of the table for production class 1 in baseline year 2.</t>
  </si>
  <si>
    <t>Enter the energy in the combusted associated gas on row 40 of the table for production class 1 in baseline year 2.</t>
  </si>
  <si>
    <t>Enter the energy in the combusted associated gas on row 41 of the table for production class 1 in baseline year 2.</t>
  </si>
  <si>
    <t>Enter the energy in the combusted associated gas on row 42 of the table for production class 1 in baseline year 2.</t>
  </si>
  <si>
    <t>Enter the energy in the combusted associated gas on row 43 of the table for production class 1 in baseline year 2.</t>
  </si>
  <si>
    <t>Enter the energy in the combusted associated gas on row 44 of the table for production class 1 in baseline year 2.</t>
  </si>
  <si>
    <t>Enter the energy in the combusted associated gas on row 45 of the table for production class 1 in baseline year 2.</t>
  </si>
  <si>
    <t>Enter the energy in the combusted associated gas on row 46 of the table for production class 1 in baseline year 2.</t>
  </si>
  <si>
    <t>Enter the energy in the combusted associated gas on row 47 of the table for production class 1 in baseline year 2.</t>
  </si>
  <si>
    <t>Enter the energy in the combusted associated gas on row 48 of the table for production class 1 in baseline year 2.</t>
  </si>
  <si>
    <t>Enter the energy in the combusted associated gas on row 49 of the table for production class 1 in baseline year 2.</t>
  </si>
  <si>
    <t>Enter the energy in the combusted associated gas on row 50 of the table for production class 1 in baseline year 2.</t>
  </si>
  <si>
    <t>Enter the total energy in all combusted fuel on row 1 of the table for production class 1 in baseline year 2.</t>
  </si>
  <si>
    <t>Enter the total energy in all combusted fuel on row 2 of the table for production class 1 in baseline year 2.</t>
  </si>
  <si>
    <t>Enter the total energy in all combusted fuel on row 3 of the table for production class 1 in baseline year 2.</t>
  </si>
  <si>
    <t>Enter the total energy in all combusted fuel on row 4 of the table for production class 1 in baseline year 2.</t>
  </si>
  <si>
    <t>Enter the total energy in all combusted fuel on row 5 of the table for production class 1 in baseline year 2.</t>
  </si>
  <si>
    <t>Enter the total energy in all combusted fuel on row 6 of the table for production class 1 in baseline year 2.</t>
  </si>
  <si>
    <t>Enter the total energy in all combusted fuel on row 7 of the table for production class 1 in baseline year 2.</t>
  </si>
  <si>
    <t>Enter the total energy in all combusted fuel on row 8 of the table for production class 1 in baseline year 2.</t>
  </si>
  <si>
    <t>Enter the total energy in all combusted fuel on row 9 of the table for production class 1 in baseline year 2.</t>
  </si>
  <si>
    <t>Enter the total energy in all combusted fuel on row 10 of the table for production class 1 in baseline year 2.</t>
  </si>
  <si>
    <t>Enter the total energy in all combusted fuel on row 11 of the table for production class 1 in baseline year 2.</t>
  </si>
  <si>
    <t>Enter the total energy in all combusted fuel on row 12 of the table for production class 1 in baseline year 2.</t>
  </si>
  <si>
    <t>Enter the total energy in all combusted fuel on row 13 of the table for production class 1 in baseline year 2.</t>
  </si>
  <si>
    <t>Enter the total energy in all combusted fuel on row 14 of the table for production class 1 in baseline year 2.</t>
  </si>
  <si>
    <t>Enter the total energy in all combusted fuel on row 15 of the table for production class 1 in baseline year 2.</t>
  </si>
  <si>
    <t>Enter the total energy in all combusted fuel on row 16 of the table for production class 1 in baseline year 2.</t>
  </si>
  <si>
    <t>Enter the total energy in all combusted fuel on row 17 of the table for production class 1 in baseline year 2.</t>
  </si>
  <si>
    <t>Enter the total energy in all combusted fuel on row 18 of the table for production class 1 in baseline year 2.</t>
  </si>
  <si>
    <t>Enter the total energy in all combusted fuel on row 19 of the table for production class 1 in baseline year 2.</t>
  </si>
  <si>
    <t>Enter the total energy in all combusted fuel on row 20 of the table for production class 1 in baseline year 2.</t>
  </si>
  <si>
    <t>Enter the total energy in all combusted fuel on row 21 of the table for production class 1 in baseline year 2.</t>
  </si>
  <si>
    <t>Enter the total energy in all combusted fuel on row 22 of the table for production class 1 in baseline year 2.</t>
  </si>
  <si>
    <t>Enter the total energy in all combusted fuel on row 23 of the table for production class 1 in baseline year 2.</t>
  </si>
  <si>
    <t>Enter the total energy in all combusted fuel on row 24 of the table for production class 1 in baseline year 2.</t>
  </si>
  <si>
    <t>Enter the total energy in all combusted fuel on row 25 of the table for production class 1 in baseline year 2.</t>
  </si>
  <si>
    <t>Enter the total energy in all combusted fuel on row 26 of the table for production class 1 in baseline year 2.</t>
  </si>
  <si>
    <t>Enter the total energy in all combusted fuel on row 27 of the table for production class 1 in baseline year 2.</t>
  </si>
  <si>
    <t>Enter the total energy in all combusted fuel on row 28 of the table for production class 1 in baseline year 2.</t>
  </si>
  <si>
    <t>Enter the total energy in all combusted fuel on row 29 of the table for production class 1 in baseline year 2.</t>
  </si>
  <si>
    <t>Enter the total energy in all combusted fuel on row 30 of the table for production class 1 in baseline year 2.</t>
  </si>
  <si>
    <t>Enter the total energy in all combusted fuel on row 31 of the table for production class 1 in baseline year 2.</t>
  </si>
  <si>
    <t>Enter the total energy in all combusted fuel on row 32 of the table for production class 1 in baseline year 2.</t>
  </si>
  <si>
    <t>Enter the total energy in all combusted fuel on row 33 of the table for production class 1 in baseline year 2.</t>
  </si>
  <si>
    <t>Enter the total energy in all combusted fuel on row 34 of the table for production class 1 in baseline year 2.</t>
  </si>
  <si>
    <t>Enter the total energy in all combusted fuel on row 35 of the table for production class 1 in baseline year 2.</t>
  </si>
  <si>
    <t>Enter the total energy in all combusted fuel on row 36 of the table for production class 1 in baseline year 2.</t>
  </si>
  <si>
    <t>Enter the total energy in all combusted fuel on row 37 of the table for production class 1 in baseline year 2.</t>
  </si>
  <si>
    <t>Enter the total energy in all combusted fuel on row 38 of the table for production class 1 in baseline year 2.</t>
  </si>
  <si>
    <t>Enter the total energy in all combusted fuel on row 39 of the table for production class 1 in baseline year 2.</t>
  </si>
  <si>
    <t>Enter the total energy in all combusted fuel on row 40 of the table for production class 1 in baseline year 2.</t>
  </si>
  <si>
    <t>Enter the total energy in all combusted fuel on row 41 of the table for production class 1 in baseline year 2.</t>
  </si>
  <si>
    <t>Enter the total energy in all combusted fuel on row 42 of the table for production class 1 in baseline year 2.</t>
  </si>
  <si>
    <t>Enter the total energy in all combusted fuel on row 43 of the table for production class 1 in baseline year 2.</t>
  </si>
  <si>
    <t>Enter the total energy in all combusted fuel on row 44 of the table for production class 1 in baseline year 2.</t>
  </si>
  <si>
    <t>Enter the total energy in all combusted fuel on row 45 of the table for production class 1 in baseline year 2.</t>
  </si>
  <si>
    <t>Enter the total energy in all combusted fuel on row 46 of the table for production class 1 in baseline year 2.</t>
  </si>
  <si>
    <t>Enter the total energy in all combusted fuel on row 47 of the table for production class 1 in baseline year 2.</t>
  </si>
  <si>
    <t>Enter the total energy in all combusted fuel on row 48 of the table for production class 1 in baseline year 2.</t>
  </si>
  <si>
    <t>Enter the total energy in all combusted fuel on row 49 of the table for production class 1 in baseline year 2.</t>
  </si>
  <si>
    <t>Enter the total energy in all combusted fuel on row 50 of the table for production class 1 in baseline year 2.</t>
  </si>
  <si>
    <t>Enter the total electricity generation from all combusted fuel on row 1 of the table for production class 1 in baseline year 2.</t>
  </si>
  <si>
    <t>Enter the total electricity generation from all combusted fuel on row 2 of the table for production class 1 in baseline year 2.</t>
  </si>
  <si>
    <t>Enter the total electricity generation from all combusted fuel on row 3 of the table for production class 1 in baseline year 2.</t>
  </si>
  <si>
    <t>Enter the total electricity generation from all combusted fuel on row 4 of the table for production class 1 in baseline year 2.</t>
  </si>
  <si>
    <t>Enter the total electricity generation from all combusted fuel on row 5 of the table for production class 1 in baseline year 2.</t>
  </si>
  <si>
    <t>Enter the total electricity generation from all combusted fuel on row 6 of the table for production class 1 in baseline year 2.</t>
  </si>
  <si>
    <t>Enter the total electricity generation from all combusted fuel on row 7 of the table for production class 1 in baseline year 2.</t>
  </si>
  <si>
    <t>Enter the total electricity generation from all combusted fuel on row 8 of the table for production class 1 in baseline year 2.</t>
  </si>
  <si>
    <t>Enter the total electricity generation from all combusted fuel on row 9 of the table for production class 1 in baseline year 2.</t>
  </si>
  <si>
    <t>Enter the total electricity generation from all combusted fuel on row 10 of the table for production class 1 in baseline year 2.</t>
  </si>
  <si>
    <t>Enter the total electricity generation from all combusted fuel on row 11 of the table for production class 1 in baseline year 2.</t>
  </si>
  <si>
    <t>Enter the total electricity generation from all combusted fuel on row 12 of the table for production class 1 in baseline year 2.</t>
  </si>
  <si>
    <t>Enter the total electricity generation from all combusted fuel on row 13 of the table for production class 1 in baseline year 2.</t>
  </si>
  <si>
    <t>Enter the total electricity generation from all combusted fuel on row 14 of the table for production class 1 in baseline year 2.</t>
  </si>
  <si>
    <t>Enter the total electricity generation from all combusted fuel on row 15 of the table for production class 1 in baseline year 2.</t>
  </si>
  <si>
    <t>Enter the total electricity generation from all combusted fuel on row 16 of the table for production class 1 in baseline year 2.</t>
  </si>
  <si>
    <t>Enter the total electricity generation from all combusted fuel on row 17 of the table for production class 1 in baseline year 2.</t>
  </si>
  <si>
    <t>Enter the total electricity generation from all combusted fuel on row 18 of the table for production class 1 in baseline year 2.</t>
  </si>
  <si>
    <t>Enter the total electricity generation from all combusted fuel on row 19 of the table for production class 1 in baseline year 2.</t>
  </si>
  <si>
    <t>Enter the total electricity generation from all combusted fuel on row 20 of the table for production class 1 in baseline year 2.</t>
  </si>
  <si>
    <t>Enter the total electricity generation from all combusted fuel on row 21 of the table for production class 1 in baseline year 2.</t>
  </si>
  <si>
    <t>Enter the total electricity generation from all combusted fuel on row 22 of the table for production class 1 in baseline year 2.</t>
  </si>
  <si>
    <t>Enter the total electricity generation from all combusted fuel on row 23 of the table for production class 1 in baseline year 2.</t>
  </si>
  <si>
    <t>Enter the total electricity generation from all combusted fuel on row 24 of the table for production class 1 in baseline year 2.</t>
  </si>
  <si>
    <t>Enter the total electricity generation from all combusted fuel on row 25 of the table for production class 1 in baseline year 2.</t>
  </si>
  <si>
    <t>Enter the total electricity generation from all combusted fuel on row 26 of the table for production class 1 in baseline year 2.</t>
  </si>
  <si>
    <t>Enter the total electricity generation from all combusted fuel on row 27 of the table for production class 1 in baseline year 2.</t>
  </si>
  <si>
    <t>Enter the total electricity generation from all combusted fuel on row 28 of the table for production class 1 in baseline year 2.</t>
  </si>
  <si>
    <t>Enter the total electricity generation from all combusted fuel on row 29 of the table for production class 1 in baseline year 2.</t>
  </si>
  <si>
    <t>Enter the total electricity generation from all combusted fuel on row 30 of the table for production class 1 in baseline year 2.</t>
  </si>
  <si>
    <t>Enter the total electricity generation from all combusted fuel on row 31 of the table for production class 1 in baseline year 2.</t>
  </si>
  <si>
    <t>Enter the total electricity generation from all combusted fuel on row 32 of the table for production class 1 in baseline year 2.</t>
  </si>
  <si>
    <t>Enter the total electricity generation from all combusted fuel on row 33 of the table for production class 1 in baseline year 2.</t>
  </si>
  <si>
    <t>Enter the total electricity generation from all combusted fuel on row 34 of the table for production class 1 in baseline year 2.</t>
  </si>
  <si>
    <t>Enter the total electricity generation from all combusted fuel on row 35 of the table for production class 1 in baseline year 2.</t>
  </si>
  <si>
    <t>Enter the total electricity generation from all combusted fuel on row 36 of the table for production class 1 in baseline year 2.</t>
  </si>
  <si>
    <t>Enter the total electricity generation from all combusted fuel on row 37 of the table for production class 1 in baseline year 2.</t>
  </si>
  <si>
    <t>Enter the total electricity generation from all combusted fuel on row 38 of the table for production class 1 in baseline year 2.</t>
  </si>
  <si>
    <t>Enter the total electricity generation from all combusted fuel on row 39 of the table for production class 1 in baseline year 2.</t>
  </si>
  <si>
    <t>Enter the total electricity generation from all combusted fuel on row 40 of the table for production class 1 in baseline year 2.</t>
  </si>
  <si>
    <t>Enter the total electricity generation from all combusted fuel on row 41 of the table for production class 1 in baseline year 2.</t>
  </si>
  <si>
    <t>Enter the total electricity generation from all combusted fuel on row 42 of the table for production class 1 in baseline year 2.</t>
  </si>
  <si>
    <t>Enter the total electricity generation from all combusted fuel on row 43 of the table for production class 1 in baseline year 2.</t>
  </si>
  <si>
    <t>Enter the total electricity generation from all combusted fuel on row 44 of the table for production class 1 in baseline year 2.</t>
  </si>
  <si>
    <t>Enter the total electricity generation from all combusted fuel on row 45 of the table for production class 1 in baseline year 2.</t>
  </si>
  <si>
    <t>Enter the total electricity generation from all combusted fuel on row 46 of the table for production class 1 in baseline year 2.</t>
  </si>
  <si>
    <t>Enter the total electricity generation from all combusted fuel on row 47 of the table for production class 1 in baseline year 2.</t>
  </si>
  <si>
    <t>Enter the total electricity generation from all combusted fuel on row 48 of the table for production class 1 in baseline year 2.</t>
  </si>
  <si>
    <t>Enter the total electricity generation from all combusted fuel on row 49 of the table for production class 1 in baseline year 2.</t>
  </si>
  <si>
    <t>Enter the total electricity generation from all combusted fuel on row 50 of the table for production class 1 in baseline year 2.</t>
  </si>
  <si>
    <t>Enter the volume of associated gas on row 1 of the table for production class 1 in baseline year 2.</t>
  </si>
  <si>
    <t>Enter the volume of associated gas on row 2 of the table for production class 1 in baseline year 2.</t>
  </si>
  <si>
    <t>Enter the volume of associated gas on row 3 of the table for production class 1 in baseline year 2.</t>
  </si>
  <si>
    <t>Enter the volume of associated gas on row 4 of the table for production class 1 in baseline year 2.</t>
  </si>
  <si>
    <t>Enter the volume of associated gas on row 5 of the table for production class 1 in baseline year 2.</t>
  </si>
  <si>
    <t>Enter the volume of associated gas on row 6 of the table for production class 1 in baseline year 2.</t>
  </si>
  <si>
    <t>Enter the volume of associated gas on row 7 of the table for production class 1 in baseline year 2.</t>
  </si>
  <si>
    <t>Enter the volume of associated gas on row 8 of the table for production class 1 in baseline year 2.</t>
  </si>
  <si>
    <t>Enter the volume of associated gas on row 9 of the table for production class 1 in baseline year 2.</t>
  </si>
  <si>
    <t>Enter the volume of associated gas on row 10 of the table for production class 1 in baseline year 2.</t>
  </si>
  <si>
    <t>Enter the volume of associated gas on row 11 of the table for production class 1 in baseline year 2.</t>
  </si>
  <si>
    <t>Enter the volume of associated gas on row 12 of the table for production class 1 in baseline year 2.</t>
  </si>
  <si>
    <t>Enter the volume of associated gas on row 13 of the table for production class 1 in baseline year 2.</t>
  </si>
  <si>
    <t>Enter the volume of associated gas on row 14 of the table for production class 1 in baseline year 2.</t>
  </si>
  <si>
    <t>Enter the volume of associated gas on row 15 of the table for production class 1 in baseline year 2.</t>
  </si>
  <si>
    <t>Enter the volume of associated gas on row 16 of the table for production class 1 in baseline year 2.</t>
  </si>
  <si>
    <t>Enter the volume of associated gas on row 17 of the table for production class 1 in baseline year 2.</t>
  </si>
  <si>
    <t>Enter the volume of associated gas on row 18 of the table for production class 1 in baseline year 2.</t>
  </si>
  <si>
    <t>Enter the volume of associated gas on row 19 of the table for production class 1 in baseline year 2.</t>
  </si>
  <si>
    <t>Enter the volume of associated gas on row 20 of the table for production class 1 in baseline year 2.</t>
  </si>
  <si>
    <t>Enter the volume of associated gas on row 21 of the table for production class 1 in baseline year 2.</t>
  </si>
  <si>
    <t>Enter the volume of associated gas on row 22 of the table for production class 1 in baseline year 2.</t>
  </si>
  <si>
    <t>Enter the volume of associated gas on row 23 of the table for production class 1 in baseline year 2.</t>
  </si>
  <si>
    <t>Enter the volume of associated gas on row 24 of the table for production class 1 in baseline year 2.</t>
  </si>
  <si>
    <t>Enter the volume of associated gas on row 25 of the table for production class 1 in baseline year 2.</t>
  </si>
  <si>
    <t>Enter the volume of associated gas on row 26 of the table for production class 1 in baseline year 2.</t>
  </si>
  <si>
    <t>Enter the volume of associated gas on row 27 of the table for production class 1 in baseline year 2.</t>
  </si>
  <si>
    <t>Enter the volume of associated gas on row 28 of the table for production class 1 in baseline year 2.</t>
  </si>
  <si>
    <t>Enter the volume of associated gas on row 29 of the table for production class 1 in baseline year 2.</t>
  </si>
  <si>
    <t>Enter the volume of associated gas on row 30 of the table for production class 1 in baseline year 2.</t>
  </si>
  <si>
    <t>Enter the volume of associated gas on row 31 of the table for production class 1 in baseline year 2.</t>
  </si>
  <si>
    <t>Enter the volume of associated gas on row 32 of the table for production class 1 in baseline year 2.</t>
  </si>
  <si>
    <t>Enter the volume of associated gas on row 33 of the table for production class 1 in baseline year 2.</t>
  </si>
  <si>
    <t>Enter the volume of associated gas on row 34 of the table for production class 1 in baseline year 2.</t>
  </si>
  <si>
    <t>Enter the volume of associated gas on row 35 of the table for production class 1 in baseline year 2.</t>
  </si>
  <si>
    <t>Enter the volume of associated gas on row 36 of the table for production class 1 in baseline year 2.</t>
  </si>
  <si>
    <t>Enter the volume of associated gas on row 37 of the table for production class 1 in baseline year 2.</t>
  </si>
  <si>
    <t>Enter the volume of associated gas on row 38 of the table for production class 1 in baseline year 2.</t>
  </si>
  <si>
    <t>Enter the volume of associated gas on row 39 of the table for production class 1 in baseline year 2.</t>
  </si>
  <si>
    <t>Enter the volume of associated gas on row 40 of the table for production class 1 in baseline year 2.</t>
  </si>
  <si>
    <t>Enter the volume of associated gas on row 41 of the table for production class 1 in baseline year 2.</t>
  </si>
  <si>
    <t>Enter the volume of associated gas on row 42 of the table for production class 1 in baseline year 2.</t>
  </si>
  <si>
    <t>Enter the volume of associated gas on row 43 of the table for production class 1 in baseline year 2.</t>
  </si>
  <si>
    <t>Enter the volume of associated gas on row 44 of the table for production class 1 in baseline year 2.</t>
  </si>
  <si>
    <t>Enter the volume of associated gas on row 45 of the table for production class 1 in baseline year 2.</t>
  </si>
  <si>
    <t>Enter the volume of associated gas on row 46 of the table for production class 1 in baseline year 2.</t>
  </si>
  <si>
    <t>Enter the volume of associated gas on row 47 of the table for production class 1 in baseline year 2.</t>
  </si>
  <si>
    <t>Enter the volume of associated gas on row 48 of the table for production class 1 in baseline year 2.</t>
  </si>
  <si>
    <t>Enter the volume of associated gas on row 49 of the table for production class 1 in baseline year 2.</t>
  </si>
  <si>
    <t>Enter the volume of associated gas on row 50 of the table for production class 1 in baseline year 2.</t>
  </si>
  <si>
    <t>Enter the carbon dioxide emissions from associated gas on row 1 of the table for production class 1 in baseline year 2.</t>
  </si>
  <si>
    <t>Enter the carbon dioxide emissions from associated gas on row 2 of the table for production class 1 in baseline year 2.</t>
  </si>
  <si>
    <t>Enter the carbon dioxide emissions from associated gas on row 3 of the table for production class 1 in baseline year 2.</t>
  </si>
  <si>
    <t>Enter the carbon dioxide emissions from associated gas on row 4 of the table for production class 1 in baseline year 2.</t>
  </si>
  <si>
    <t>Enter the carbon dioxide emissions from associated gas on row 5 of the table for production class 1 in baseline year 2.</t>
  </si>
  <si>
    <t>Enter the carbon dioxide emissions from associated gas on row 6 of the table for production class 1 in baseline year 2.</t>
  </si>
  <si>
    <t>Enter the carbon dioxide emissions from associated gas on row 7 of the table for production class 1 in baseline year 2.</t>
  </si>
  <si>
    <t>Enter the carbon dioxide emissions from associated gas on row 8 of the table for production class 1 in baseline year 2.</t>
  </si>
  <si>
    <t>Enter the carbon dioxide emissions from associated gas on row 9 of the table for production class 1 in baseline year 2.</t>
  </si>
  <si>
    <t>Enter the carbon dioxide emissions from associated gas on row 10 of the table for production class 1 in baseline year 2.</t>
  </si>
  <si>
    <t>Enter the carbon dioxide emissions from associated gas on row 11 of the table for production class 1 in baseline year 2.</t>
  </si>
  <si>
    <t>Enter the carbon dioxide emissions from associated gas on row 12 of the table for production class 1 in baseline year 2.</t>
  </si>
  <si>
    <t>Enter the carbon dioxide emissions from associated gas on row 13 of the table for production class 1 in baseline year 2.</t>
  </si>
  <si>
    <t>Enter the carbon dioxide emissions from associated gas on row 14 of the table for production class 1 in baseline year 2.</t>
  </si>
  <si>
    <t>Enter the carbon dioxide emissions from associated gas on row 15 of the table for production class 1 in baseline year 2.</t>
  </si>
  <si>
    <t>Enter the carbon dioxide emissions from associated gas on row 16 of the table for production class 1 in baseline year 2.</t>
  </si>
  <si>
    <t>Enter the carbon dioxide emissions from associated gas on row 17 of the table for production class 1 in baseline year 2.</t>
  </si>
  <si>
    <t>Enter the carbon dioxide emissions from associated gas on row 18 of the table for production class 1 in baseline year 2.</t>
  </si>
  <si>
    <t>Enter the carbon dioxide emissions from associated gas on row 19 of the table for production class 1 in baseline year 2.</t>
  </si>
  <si>
    <t>Enter the carbon dioxide emissions from associated gas on row 20 of the table for production class 1 in baseline year 2.</t>
  </si>
  <si>
    <t>Enter the carbon dioxide emissions from associated gas on row 21 of the table for production class 1 in baseline year 2.</t>
  </si>
  <si>
    <t>Enter the carbon dioxide emissions from associated gas on row 22 of the table for production class 1 in baseline year 2.</t>
  </si>
  <si>
    <t>Enter the carbon dioxide emissions from associated gas on row 23 of the table for production class 1 in baseline year 2.</t>
  </si>
  <si>
    <t>Enter the carbon dioxide emissions from associated gas on row 24 of the table for production class 1 in baseline year 2.</t>
  </si>
  <si>
    <t>Enter the carbon dioxide emissions from associated gas on row 25 of the table for production class 1 in baseline year 2.</t>
  </si>
  <si>
    <t>Enter the carbon dioxide emissions from associated gas on row 26 of the table for production class 1 in baseline year 2.</t>
  </si>
  <si>
    <t>Enter the carbon dioxide emissions from associated gas on row 27 of the table for production class 1 in baseline year 2.</t>
  </si>
  <si>
    <t>Enter the carbon dioxide emissions from associated gas on row 28 of the table for production class 1 in baseline year 2.</t>
  </si>
  <si>
    <t>Enter the carbon dioxide emissions from associated gas on row 29 of the table for production class 1 in baseline year 2.</t>
  </si>
  <si>
    <t>Enter the carbon dioxide emissions from associated gas on row 30 of the table for production class 1 in baseline year 2.</t>
  </si>
  <si>
    <t>Enter the carbon dioxide emissions from associated gas on row 31 of the table for production class 1 in baseline year 2.</t>
  </si>
  <si>
    <t>Enter the carbon dioxide emissions from associated gas on row 32 of the table for production class 1 in baseline year 2.</t>
  </si>
  <si>
    <t>Enter the carbon dioxide emissions from associated gas on row 33 of the table for production class 1 in baseline year 2.</t>
  </si>
  <si>
    <t>Enter the carbon dioxide emissions from associated gas on row 34 of the table for production class 1 in baseline year 2.</t>
  </si>
  <si>
    <t>Enter the carbon dioxide emissions from associated gas on row 35 of the table for production class 1 in baseline year 2.</t>
  </si>
  <si>
    <t>Enter the carbon dioxide emissions from associated gas on row 36 of the table for production class 1 in baseline year 2.</t>
  </si>
  <si>
    <t>Enter the carbon dioxide emissions from associated gas on row 37 of the table for production class 1 in baseline year 2.</t>
  </si>
  <si>
    <t>Enter the carbon dioxide emissions from associated gas on row 38 of the table for production class 1 in baseline year 2.</t>
  </si>
  <si>
    <t>Enter the carbon dioxide emissions from associated gas on row 39 of the table for production class 1 in baseline year 2.</t>
  </si>
  <si>
    <t>Enter the carbon dioxide emissions from associated gas on row 40 of the table for production class 1 in baseline year 2.</t>
  </si>
  <si>
    <t>Enter the carbon dioxide emissions from associated gas on row 41 of the table for production class 1 in baseline year 2.</t>
  </si>
  <si>
    <t>Enter the carbon dioxide emissions from associated gas on row 42 of the table for production class 1 in baseline year 2.</t>
  </si>
  <si>
    <t>Enter the carbon dioxide emissions from associated gas on row 43 of the table for production class 1 in baseline year 2.</t>
  </si>
  <si>
    <t>Enter the carbon dioxide emissions from associated gas on row 44 of the table for production class 1 in baseline year 2.</t>
  </si>
  <si>
    <t>Enter the carbon dioxide emissions from associated gas on row 45 of the table for production class 1 in baseline year 2.</t>
  </si>
  <si>
    <t>Enter the carbon dioxide emissions from associated gas on row 46 of the table for production class 1 in baseline year 2.</t>
  </si>
  <si>
    <t>Enter the carbon dioxide emissions from associated gas on row 47 of the table for production class 1 in baseline year 2.</t>
  </si>
  <si>
    <t>Enter the carbon dioxide emissions from associated gas on row 48 of the table for production class 1 in baseline year 2.</t>
  </si>
  <si>
    <t>Enter the carbon dioxide emissions from associated gas on row 49 of the table for production class 1 in baseline year 2.</t>
  </si>
  <si>
    <t>Enter the carbon dioxide emissions from associated gas on row 50 of the table for production class 1 in baseline year 2.</t>
  </si>
  <si>
    <t>Enter the methane emissions from associated gas on row 1 of the table for production class 1 in baseline year 2.</t>
  </si>
  <si>
    <t>Enter the methane emissions from associated gas on row 2 of the table for production class 1 in baseline year 2.</t>
  </si>
  <si>
    <t>Enter the methane emissions from associated gas on row 3 of the table for production class 1 in baseline year 2.</t>
  </si>
  <si>
    <t>Enter the methane emissions from associated gas on row 4 of the table for production class 1 in baseline year 2.</t>
  </si>
  <si>
    <t>Enter the methane emissions from associated gas on row 5 of the table for production class 1 in baseline year 2.</t>
  </si>
  <si>
    <t>Enter the methane emissions from associated gas on row 6 of the table for production class 1 in baseline year 2.</t>
  </si>
  <si>
    <t>Enter the methane emissions from associated gas on row 7 of the table for production class 1 in baseline year 2.</t>
  </si>
  <si>
    <t>Enter the methane emissions from associated gas on row 8 of the table for production class 1 in baseline year 2.</t>
  </si>
  <si>
    <t>Enter the methane emissions from associated gas on row 9 of the table for production class 1 in baseline year 2.</t>
  </si>
  <si>
    <t>Enter the methane emissions from associated gas on row 10 of the table for production class 1 in baseline year 2.</t>
  </si>
  <si>
    <t>Enter the methane emissions from associated gas on row 11 of the table for production class 1 in baseline year 2.</t>
  </si>
  <si>
    <t>Enter the methane emissions from associated gas on row 12 of the table for production class 1 in baseline year 2.</t>
  </si>
  <si>
    <t>Enter the methane emissions from associated gas on row 13 of the table for production class 1 in baseline year 2.</t>
  </si>
  <si>
    <t>Enter the methane emissions from associated gas on row 14 of the table for production class 1 in baseline year 2.</t>
  </si>
  <si>
    <t>Enter the methane emissions from associated gas on row 15 of the table for production class 1 in baseline year 2.</t>
  </si>
  <si>
    <t>Enter the methane emissions from associated gas on row 16 of the table for production class 1 in baseline year 2.</t>
  </si>
  <si>
    <t>Enter the methane emissions from associated gas on row 17 of the table for production class 1 in baseline year 2.</t>
  </si>
  <si>
    <t>Enter the methane emissions from associated gas on row 18 of the table for production class 1 in baseline year 2.</t>
  </si>
  <si>
    <t>Enter the methane emissions from associated gas on row 19 of the table for production class 1 in baseline year 2.</t>
  </si>
  <si>
    <t>Enter the methane emissions from associated gas on row 20 of the table for production class 1 in baseline year 2.</t>
  </si>
  <si>
    <t>Enter the methane emissions from associated gas on row 21 of the table for production class 1 in baseline year 2.</t>
  </si>
  <si>
    <t>Enter the methane emissions from associated gas on row 22 of the table for production class 1 in baseline year 2.</t>
  </si>
  <si>
    <t>Enter the methane emissions from associated gas on row 23 of the table for production class 1 in baseline year 2.</t>
  </si>
  <si>
    <t>Enter the methane emissions from associated gas on row 24 of the table for production class 1 in baseline year 2.</t>
  </si>
  <si>
    <t>Enter the methane emissions from associated gas on row 25 of the table for production class 1 in baseline year 2.</t>
  </si>
  <si>
    <t>Enter the methane emissions from associated gas on row 26 of the table for production class 1 in baseline year 2.</t>
  </si>
  <si>
    <t>Enter the methane emissions from associated gas on row 27 of the table for production class 1 in baseline year 2.</t>
  </si>
  <si>
    <t>Enter the methane emissions from associated gas on row 28 of the table for production class 1 in baseline year 2.</t>
  </si>
  <si>
    <t>Enter the methane emissions from associated gas on row 29 of the table for production class 1 in baseline year 2.</t>
  </si>
  <si>
    <t>Enter the methane emissions from associated gas on row 30 of the table for production class 1 in baseline year 2.</t>
  </si>
  <si>
    <t>Enter the methane emissions from associated gas on row 31 of the table for production class 1 in baseline year 2.</t>
  </si>
  <si>
    <t>Enter the methane emissions from associated gas on row 32 of the table for production class 1 in baseline year 2.</t>
  </si>
  <si>
    <t>Enter the methane emissions from associated gas on row 33 of the table for production class 1 in baseline year 2.</t>
  </si>
  <si>
    <t>Enter the methane emissions from associated gas on row 34 of the table for production class 1 in baseline year 2.</t>
  </si>
  <si>
    <t>Enter the methane emissions from associated gas on row 35 of the table for production class 1 in baseline year 2.</t>
  </si>
  <si>
    <t>Enter the methane emissions from associated gas on row 36 of the table for production class 1 in baseline year 2.</t>
  </si>
  <si>
    <t>Enter the methane emissions from associated gas on row 37 of the table for production class 1 in baseline year 2.</t>
  </si>
  <si>
    <t>Enter the methane emissions from associated gas on row 38 of the table for production class 1 in baseline year 2.</t>
  </si>
  <si>
    <t>Enter the methane emissions from associated gas on row 39 of the table for production class 1 in baseline year 2.</t>
  </si>
  <si>
    <t>Enter the methane emissions from associated gas on row 40 of the table for production class 1 in baseline year 2.</t>
  </si>
  <si>
    <t>Enter the methane emissions from associated gas on row 41 of the table for production class 1 in baseline year 2.</t>
  </si>
  <si>
    <t>Enter the methane emissions from associated gas on row 42 of the table for production class 1 in baseline year 2.</t>
  </si>
  <si>
    <t>Enter the methane emissions from associated gas on row 43 of the table for production class 1 in baseline year 2.</t>
  </si>
  <si>
    <t>Enter the methane emissions from associated gas on row 44 of the table for production class 1 in baseline year 2.</t>
  </si>
  <si>
    <t>Enter the methane emissions from associated gas on row 45 of the table for production class 1 in baseline year 2.</t>
  </si>
  <si>
    <t>Enter the methane emissions from associated gas on row 46 of the table for production class 1 in baseline year 2.</t>
  </si>
  <si>
    <t>Enter the methane emissions from associated gas on row 47 of the table for production class 1 in baseline year 2.</t>
  </si>
  <si>
    <t>Enter the methane emissions from associated gas on row 48 of the table for production class 1 in baseline year 2.</t>
  </si>
  <si>
    <t>Enter the methane emissions from associated gas on row 49 of the table for production class 1 in baseline year 2.</t>
  </si>
  <si>
    <t>Enter the methane emissions from associated gas on row 50 of the table for production class 1 in baseline year 2.</t>
  </si>
  <si>
    <t>Enter the nitrous oxide emissions from associated gas on row 1 of the table for production class 1 in baseline year 2.</t>
  </si>
  <si>
    <t>Enter the nitrous oxide emissions from associated gas on row 2 of the table for production class 1 in baseline year 2.</t>
  </si>
  <si>
    <t>Enter the nitrous oxide emissions from associated gas on row 3 of the table for production class 1 in baseline year 2.</t>
  </si>
  <si>
    <t>Enter the nitrous oxide emissions from associated gas on row 4 of the table for production class 1 in baseline year 2.</t>
  </si>
  <si>
    <t>Enter the nitrous oxide emissions from associated gas on row 5 of the table for production class 1 in baseline year 2.</t>
  </si>
  <si>
    <t>Enter the nitrous oxide emissions from associated gas on row 6 of the table for production class 1 in baseline year 2.</t>
  </si>
  <si>
    <t>Enter the nitrous oxide emissions from associated gas on row 7 of the table for production class 1 in baseline year 2.</t>
  </si>
  <si>
    <t>Enter the nitrous oxide emissions from associated gas on row 8 of the table for production class 1 in baseline year 2.</t>
  </si>
  <si>
    <t>Enter the nitrous oxide emissions from associated gas on row 9 of the table for production class 1 in baseline year 2.</t>
  </si>
  <si>
    <t>Enter the nitrous oxide emissions from associated gas on row 10 of the table for production class 1 in baseline year 2.</t>
  </si>
  <si>
    <t>Enter the nitrous oxide emissions from associated gas on row 11 of the table for production class 1 in baseline year 2.</t>
  </si>
  <si>
    <t>Enter the nitrous oxide emissions from associated gas on row 12 of the table for production class 1 in baseline year 2.</t>
  </si>
  <si>
    <t>Enter the nitrous oxide emissions from associated gas on row 13 of the table for production class 1 in baseline year 2.</t>
  </si>
  <si>
    <t>Enter the nitrous oxide emissions from associated gas on row 14 of the table for production class 1 in baseline year 2.</t>
  </si>
  <si>
    <t>Enter the nitrous oxide emissions from associated gas on row 15 of the table for production class 1 in baseline year 2.</t>
  </si>
  <si>
    <t>Enter the nitrous oxide emissions from associated gas on row 16 of the table for production class 1 in baseline year 2.</t>
  </si>
  <si>
    <t>Enter the nitrous oxide emissions from associated gas on row 17 of the table for production class 1 in baseline year 2.</t>
  </si>
  <si>
    <t>Enter the nitrous oxide emissions from associated gas on row 18 of the table for production class 1 in baseline year 2.</t>
  </si>
  <si>
    <t>Enter the nitrous oxide emissions from associated gas on row 19 of the table for production class 1 in baseline year 2.</t>
  </si>
  <si>
    <t>Enter the nitrous oxide emissions from associated gas on row 20 of the table for production class 1 in baseline year 2.</t>
  </si>
  <si>
    <t>Enter the nitrous oxide emissions from associated gas on row 21 of the table for production class 1 in baseline year 2.</t>
  </si>
  <si>
    <t>Enter the nitrous oxide emissions from associated gas on row 22 of the table for production class 1 in baseline year 2.</t>
  </si>
  <si>
    <t>Enter the nitrous oxide emissions from associated gas on row 23 of the table for production class 1 in baseline year 2.</t>
  </si>
  <si>
    <t>Enter the nitrous oxide emissions from associated gas on row 24 of the table for production class 1 in baseline year 2.</t>
  </si>
  <si>
    <t>Enter the nitrous oxide emissions from associated gas on row 25 of the table for production class 1 in baseline year 2.</t>
  </si>
  <si>
    <t>Enter the nitrous oxide emissions from associated gas on row 26 of the table for production class 1 in baseline year 2.</t>
  </si>
  <si>
    <t>Enter the nitrous oxide emissions from associated gas on row 27 of the table for production class 1 in baseline year 2.</t>
  </si>
  <si>
    <t>Enter the nitrous oxide emissions from associated gas on row 28 of the table for production class 1 in baseline year 2.</t>
  </si>
  <si>
    <t>Enter the nitrous oxide emissions from associated gas on row 29 of the table for production class 1 in baseline year 2.</t>
  </si>
  <si>
    <t>Enter the nitrous oxide emissions from associated gas on row 30 of the table for production class 1 in baseline year 2.</t>
  </si>
  <si>
    <t>Enter the nitrous oxide emissions from associated gas on row 31 of the table for production class 1 in baseline year 2.</t>
  </si>
  <si>
    <t>Enter the nitrous oxide emissions from associated gas on row 32 of the table for production class 1 in baseline year 2.</t>
  </si>
  <si>
    <t>Enter the nitrous oxide emissions from associated gas on row 33 of the table for production class 1 in baseline year 2.</t>
  </si>
  <si>
    <t>Enter the nitrous oxide emissions from associated gas on row 34 of the table for production class 1 in baseline year 2.</t>
  </si>
  <si>
    <t>Enter the nitrous oxide emissions from associated gas on row 35 of the table for production class 1 in baseline year 2.</t>
  </si>
  <si>
    <t>Enter the nitrous oxide emissions from associated gas on row 36 of the table for production class 1 in baseline year 2.</t>
  </si>
  <si>
    <t>Enter the nitrous oxide emissions from associated gas on row 37 of the table for production class 1 in baseline year 2.</t>
  </si>
  <si>
    <t>Enter the nitrous oxide emissions from associated gas on row 38 of the table for production class 1 in baseline year 2.</t>
  </si>
  <si>
    <t>Enter the nitrous oxide emissions from associated gas on row 39 of the table for production class 1 in baseline year 2.</t>
  </si>
  <si>
    <t>Enter the nitrous oxide emissions from associated gas on row 40 of the table for production class 1 in baseline year 2.</t>
  </si>
  <si>
    <t>Enter the nitrous oxide emissions from associated gas on row 41 of the table for production class 1 in baseline year 2.</t>
  </si>
  <si>
    <t>Enter the nitrous oxide emissions from associated gas on row 42 of the table for production class 1 in baseline year 2.</t>
  </si>
  <si>
    <t>Enter the nitrous oxide emissions from associated gas on row 43 of the table for production class 1 in baseline year 2.</t>
  </si>
  <si>
    <t>Enter the nitrous oxide emissions from associated gas on row 44 of the table for production class 1 in baseline year 2.</t>
  </si>
  <si>
    <t>Enter the nitrous oxide emissions from associated gas on row 45 of the table for production class 1 in baseline year 2.</t>
  </si>
  <si>
    <t>Enter the nitrous oxide emissions from associated gas on row 46 of the table for production class 1 in baseline year 2.</t>
  </si>
  <si>
    <t>Enter the nitrous oxide emissions from associated gas on row 47 of the table for production class 1 in baseline year 2.</t>
  </si>
  <si>
    <t>Enter the nitrous oxide emissions from associated gas on row 48 of the table for production class 1 in baseline year 2.</t>
  </si>
  <si>
    <t>Enter the nitrous oxide emissions from associated gas on row 49 of the table for production class 1 in baseline year 2.</t>
  </si>
  <si>
    <t>Enter the nitrous oxide emissions from associated gas on row 50 of the table for production class 1 in baseline year 2.</t>
  </si>
  <si>
    <t>Enter the number of units within the gas-to-power operation for production class 2a in baseline year 1.</t>
  </si>
  <si>
    <t>Enter the energy in the combusted associated gas on row 1 of the table for production class 2a in baseline year 1.</t>
  </si>
  <si>
    <t>Enter the energy in the combusted associated gas on row 2 of the table for production class 2a in baseline year 1.</t>
  </si>
  <si>
    <t>Enter the energy in the combusted associated gas on row 3 of the table for production class 2a in baseline year 1.</t>
  </si>
  <si>
    <t>Enter the energy in the combusted associated gas on row 4 of the table for production class 2a in baseline year 1.</t>
  </si>
  <si>
    <t>Enter the energy in the combusted associated gas on row 5 of the table for production class 2a in baseline year 1.</t>
  </si>
  <si>
    <t>Enter the energy in the combusted associated gas on row 6 of the table for production class 2a in baseline year 1.</t>
  </si>
  <si>
    <t>Enter the energy in the combusted associated gas on row 7 of the table for production class 2a in baseline year 1.</t>
  </si>
  <si>
    <t>Enter the energy in the combusted associated gas on row 8 of the table for production class 2a in baseline year 1.</t>
  </si>
  <si>
    <t>Enter the energy in the combusted associated gas on row 9 of the table for production class 2a in baseline year 1.</t>
  </si>
  <si>
    <t>Enter the energy in the combusted associated gas on row 10 of the table for production class 2a in baseline year 1.</t>
  </si>
  <si>
    <t>Enter the energy in the combusted associated gas on row 11 of the table for production class 2a in baseline year 1.</t>
  </si>
  <si>
    <t>Enter the energy in the combusted associated gas on row 12 of the table for production class 2a in baseline year 1.</t>
  </si>
  <si>
    <t>Enter the energy in the combusted associated gas on row 13 of the table for production class 2a in baseline year 1.</t>
  </si>
  <si>
    <t>Enter the energy in the combusted associated gas on row 14 of the table for production class 2a in baseline year 1.</t>
  </si>
  <si>
    <t>Enter the energy in the combusted associated gas on row 15 of the table for production class 2a in baseline year 1.</t>
  </si>
  <si>
    <t>Enter the energy in the combusted associated gas on row 16 of the table for production class 2a in baseline year 1.</t>
  </si>
  <si>
    <t>Enter the energy in the combusted associated gas on row 17 of the table for production class 2a in baseline year 1.</t>
  </si>
  <si>
    <t>Enter the energy in the combusted associated gas on row 18 of the table for production class 2a in baseline year 1.</t>
  </si>
  <si>
    <t>Enter the energy in the combusted associated gas on row 19 of the table for production class 2a in baseline year 1.</t>
  </si>
  <si>
    <t>Enter the energy in the combusted associated gas on row 20 of the table for production class 2a in baseline year 1.</t>
  </si>
  <si>
    <t>Enter the energy in the combusted associated gas on row 21 of the table for production class 2a in baseline year 1.</t>
  </si>
  <si>
    <t>Enter the energy in the combusted associated gas on row 22 of the table for production class 2a in baseline year 1.</t>
  </si>
  <si>
    <t>Enter the energy in the combusted associated gas on row 23 of the table for production class 2a in baseline year 1.</t>
  </si>
  <si>
    <t>Enter the energy in the combusted associated gas on row 24 of the table for production class 2a in baseline year 1.</t>
  </si>
  <si>
    <t>Enter the energy in the combusted associated gas on row 25 of the table for production class 2a in baseline year 1.</t>
  </si>
  <si>
    <t>Enter the energy in the combusted associated gas on row 26 of the table for production class 2a in baseline year 1.</t>
  </si>
  <si>
    <t>Enter the energy in the combusted associated gas on row 27 of the table for production class 2a in baseline year 1.</t>
  </si>
  <si>
    <t>Enter the energy in the combusted associated gas on row 28 of the table for production class 2a in baseline year 1.</t>
  </si>
  <si>
    <t>Enter the energy in the combusted associated gas on row 29 of the table for production class 2a in baseline year 1.</t>
  </si>
  <si>
    <t>Enter the energy in the combusted associated gas on row 30 of the table for production class 2a in baseline year 1.</t>
  </si>
  <si>
    <t>Enter the energy in the combusted associated gas on row 31 of the table for production class 2a in baseline year 1.</t>
  </si>
  <si>
    <t>Enter the energy in the combusted associated gas on row 32 of the table for production class 2a in baseline year 1.</t>
  </si>
  <si>
    <t>Enter the energy in the combusted associated gas on row 33 of the table for production class 2a in baseline year 1.</t>
  </si>
  <si>
    <t>Enter the energy in the combusted associated gas on row 34 of the table for production class 2a in baseline year 1.</t>
  </si>
  <si>
    <t>Enter the energy in the combusted associated gas on row 35 of the table for production class 2a in baseline year 1.</t>
  </si>
  <si>
    <t>Enter the energy in the combusted associated gas on row 36 of the table for production class 2a in baseline year 1.</t>
  </si>
  <si>
    <t>Enter the energy in the combusted associated gas on row 37 of the table for production class 2a in baseline year 1.</t>
  </si>
  <si>
    <t>Enter the energy in the combusted associated gas on row 38 of the table for production class 2a in baseline year 1.</t>
  </si>
  <si>
    <t>Enter the energy in the combusted associated gas on row 39 of the table for production class 2a in baseline year 1.</t>
  </si>
  <si>
    <t>Enter the energy in the combusted associated gas on row 40 of the table for production class 2a in baseline year 1.</t>
  </si>
  <si>
    <t>Enter the energy in the combusted associated gas on row 41 of the table for production class 2a in baseline year 1.</t>
  </si>
  <si>
    <t>Enter the energy in the combusted associated gas on row 42 of the table for production class 2a in baseline year 1.</t>
  </si>
  <si>
    <t>Enter the energy in the combusted associated gas on row 43 of the table for production class 2a in baseline year 1.</t>
  </si>
  <si>
    <t>Enter the energy in the combusted associated gas on row 44 of the table for production class 2a in baseline year 1.</t>
  </si>
  <si>
    <t>Enter the energy in the combusted associated gas on row 45 of the table for production class 2a in baseline year 1.</t>
  </si>
  <si>
    <t>Enter the energy in the combusted associated gas on row 46 of the table for production class 2a in baseline year 1.</t>
  </si>
  <si>
    <t>Enter the energy in the combusted associated gas on row 47 of the table for production class 2a in baseline year 1.</t>
  </si>
  <si>
    <t>Enter the energy in the combusted associated gas on row 48 of the table for production class 2a in baseline year 1.</t>
  </si>
  <si>
    <t>Enter the energy in the combusted associated gas on row 49 of the table for production class 2a in baseline year 1.</t>
  </si>
  <si>
    <t>Enter the energy in the combusted associated gas on row 50 of the table for production class 2a in baseline year 1.</t>
  </si>
  <si>
    <t>Enter the total energy in all combusted fuel on row 1 of the table for production class 2a in baseline year 1.</t>
  </si>
  <si>
    <t>Enter the total energy in all combusted fuel on row 2 of the table for production class 2a in baseline year 1.</t>
  </si>
  <si>
    <t>Enter the total energy in all combusted fuel on row 3 of the table for production class 2a in baseline year 1.</t>
  </si>
  <si>
    <t>Enter the total energy in all combusted fuel on row 4 of the table for production class 2a in baseline year 1.</t>
  </si>
  <si>
    <t>Enter the total energy in all combusted fuel on row 5 of the table for production class 2a in baseline year 1.</t>
  </si>
  <si>
    <t>Enter the total energy in all combusted fuel on row 6 of the table for production class 2a in baseline year 1.</t>
  </si>
  <si>
    <t>Enter the total energy in all combusted fuel on row 7 of the table for production class 2a in baseline year 1.</t>
  </si>
  <si>
    <t>Enter the total energy in all combusted fuel on row 8 of the table for production class 2a in baseline year 1.</t>
  </si>
  <si>
    <t>Enter the total energy in all combusted fuel on row 9 of the table for production class 2a in baseline year 1.</t>
  </si>
  <si>
    <t>Enter the total energy in all combusted fuel on row 10 of the table for production class 2a in baseline year 1.</t>
  </si>
  <si>
    <t>Enter the total energy in all combusted fuel on row 11 of the table for production class 2a in baseline year 1.</t>
  </si>
  <si>
    <t>Enter the total energy in all combusted fuel on row 12 of the table for production class 2a in baseline year 1.</t>
  </si>
  <si>
    <t>Enter the total energy in all combusted fuel on row 13 of the table for production class 2a in baseline year 1.</t>
  </si>
  <si>
    <t>Enter the total energy in all combusted fuel on row 14 of the table for production class 2a in baseline year 1.</t>
  </si>
  <si>
    <t>Enter the total energy in all combusted fuel on row 15 of the table for production class 2a in baseline year 1.</t>
  </si>
  <si>
    <t>Enter the total energy in all combusted fuel on row 16 of the table for production class 2a in baseline year 1.</t>
  </si>
  <si>
    <t>Enter the total energy in all combusted fuel on row 17 of the table for production class 2a in baseline year 1.</t>
  </si>
  <si>
    <t>Enter the total energy in all combusted fuel on row 18 of the table for production class 2a in baseline year 1.</t>
  </si>
  <si>
    <t>Enter the total energy in all combusted fuel on row 19 of the table for production class 2a in baseline year 1.</t>
  </si>
  <si>
    <t>Enter the total energy in all combusted fuel on row 20 of the table for production class 2a in baseline year 1.</t>
  </si>
  <si>
    <t>Enter the total energy in all combusted fuel on row 21 of the table for production class 2a in baseline year 1.</t>
  </si>
  <si>
    <t>Enter the total energy in all combusted fuel on row 22 of the table for production class 2a in baseline year 1.</t>
  </si>
  <si>
    <t>Enter the total energy in all combusted fuel on row 23 of the table for production class 2a in baseline year 1.</t>
  </si>
  <si>
    <t>Enter the total energy in all combusted fuel on row 24 of the table for production class 2a in baseline year 1.</t>
  </si>
  <si>
    <t>Enter the total energy in all combusted fuel on row 25 of the table for production class 2a in baseline year 1.</t>
  </si>
  <si>
    <t>Enter the total energy in all combusted fuel on row 26 of the table for production class 2a in baseline year 1.</t>
  </si>
  <si>
    <t>Enter the total energy in all combusted fuel on row 27 of the table for production class 2a in baseline year 1.</t>
  </si>
  <si>
    <t>Enter the total energy in all combusted fuel on row 28 of the table for production class 2a in baseline year 1.</t>
  </si>
  <si>
    <t>Enter the total energy in all combusted fuel on row 29 of the table for production class 2a in baseline year 1.</t>
  </si>
  <si>
    <t>Enter the total energy in all combusted fuel on row 30 of the table for production class 2a in baseline year 1.</t>
  </si>
  <si>
    <t>Enter the total energy in all combusted fuel on row 31 of the table for production class 2a in baseline year 1.</t>
  </si>
  <si>
    <t>Enter the total energy in all combusted fuel on row 32 of the table for production class 2a in baseline year 1.</t>
  </si>
  <si>
    <t>Enter the total energy in all combusted fuel on row 33 of the table for production class 2a in baseline year 1.</t>
  </si>
  <si>
    <t>Enter the total energy in all combusted fuel on row 34 of the table for production class 2a in baseline year 1.</t>
  </si>
  <si>
    <t>Enter the total energy in all combusted fuel on row 35 of the table for production class 2a in baseline year 1.</t>
  </si>
  <si>
    <t>Enter the total energy in all combusted fuel on row 36 of the table for production class 2a in baseline year 1.</t>
  </si>
  <si>
    <t>Enter the total energy in all combusted fuel on row 37 of the table for production class 2a in baseline year 1.</t>
  </si>
  <si>
    <t>Enter the total energy in all combusted fuel on row 38 of the table for production class 2a in baseline year 1.</t>
  </si>
  <si>
    <t>Enter the total energy in all combusted fuel on row 39 of the table for production class 2a in baseline year 1.</t>
  </si>
  <si>
    <t>Enter the total energy in all combusted fuel on row 40 of the table for production class 2a in baseline year 1.</t>
  </si>
  <si>
    <t>Enter the total energy in all combusted fuel on row 41 of the table for production class 2a in baseline year 1.</t>
  </si>
  <si>
    <t>Enter the total energy in all combusted fuel on row 42 of the table for production class 2a in baseline year 1.</t>
  </si>
  <si>
    <t>Enter the total energy in all combusted fuel on row 43 of the table for production class 2a in baseline year 1.</t>
  </si>
  <si>
    <t>Enter the total energy in all combusted fuel on row 44 of the table for production class 2a in baseline year 1.</t>
  </si>
  <si>
    <t>Enter the total energy in all combusted fuel on row 45 of the table for production class 2a in baseline year 1.</t>
  </si>
  <si>
    <t>Enter the total energy in all combusted fuel on row 46 of the table for production class 2a in baseline year 1.</t>
  </si>
  <si>
    <t>Enter the total energy in all combusted fuel on row 47 of the table for production class 2a in baseline year 1.</t>
  </si>
  <si>
    <t>Enter the total energy in all combusted fuel on row 48 of the table for production class 2a in baseline year 1.</t>
  </si>
  <si>
    <t>Enter the total energy in all combusted fuel on row 49 of the table for production class 2a in baseline year 1.</t>
  </si>
  <si>
    <t>Enter the total energy in all combusted fuel on row 50 of the table for production class 2a in baseline year 1.</t>
  </si>
  <si>
    <t>Enter the total electricity generation from all combusted fuel on row 1 of the table for production class 2a in baseline year 1.</t>
  </si>
  <si>
    <t>Enter the total electricity generation from all combusted fuel on row 2 of the table for production class 2a in baseline year 1.</t>
  </si>
  <si>
    <t>Enter the total electricity generation from all combusted fuel on row 3 of the table for production class 2a in baseline year 1.</t>
  </si>
  <si>
    <t>Enter the total electricity generation from all combusted fuel on row 4 of the table for production class 2a in baseline year 1.</t>
  </si>
  <si>
    <t>Enter the total electricity generation from all combusted fuel on row 5 of the table for production class 2a in baseline year 1.</t>
  </si>
  <si>
    <t>Enter the total electricity generation from all combusted fuel on row 6 of the table for production class 2a in baseline year 1.</t>
  </si>
  <si>
    <t>Enter the total electricity generation from all combusted fuel on row 7 of the table for production class 2a in baseline year 1.</t>
  </si>
  <si>
    <t>Enter the total electricity generation from all combusted fuel on row 8 of the table for production class 2a in baseline year 1.</t>
  </si>
  <si>
    <t>Enter the total electricity generation from all combusted fuel on row 9 of the table for production class 2a in baseline year 1.</t>
  </si>
  <si>
    <t>Enter the total electricity generation from all combusted fuel on row 10 of the table for production class 2a in baseline year 1.</t>
  </si>
  <si>
    <t>Enter the total electricity generation from all combusted fuel on row 11 of the table for production class 2a in baseline year 1.</t>
  </si>
  <si>
    <t>Enter the total electricity generation from all combusted fuel on row 12 of the table for production class 2a in baseline year 1.</t>
  </si>
  <si>
    <t>Enter the total electricity generation from all combusted fuel on row 13 of the table for production class 2a in baseline year 1.</t>
  </si>
  <si>
    <t>Enter the total electricity generation from all combusted fuel on row 14 of the table for production class 2a in baseline year 1.</t>
  </si>
  <si>
    <t>Enter the total electricity generation from all combusted fuel on row 15 of the table for production class 2a in baseline year 1.</t>
  </si>
  <si>
    <t>Enter the total electricity generation from all combusted fuel on row 16 of the table for production class 2a in baseline year 1.</t>
  </si>
  <si>
    <t>Enter the total electricity generation from all combusted fuel on row 17 of the table for production class 2a in baseline year 1.</t>
  </si>
  <si>
    <t>Enter the total electricity generation from all combusted fuel on row 18 of the table for production class 2a in baseline year 1.</t>
  </si>
  <si>
    <t>Enter the total electricity generation from all combusted fuel on row 19 of the table for production class 2a in baseline year 1.</t>
  </si>
  <si>
    <t>Enter the total electricity generation from all combusted fuel on row 20 of the table for production class 2a in baseline year 1.</t>
  </si>
  <si>
    <t>Enter the total electricity generation from all combusted fuel on row 21 of the table for production class 2a in baseline year 1.</t>
  </si>
  <si>
    <t>Enter the total electricity generation from all combusted fuel on row 22 of the table for production class 2a in baseline year 1.</t>
  </si>
  <si>
    <t>Enter the total electricity generation from all combusted fuel on row 23 of the table for production class 2a in baseline year 1.</t>
  </si>
  <si>
    <t>Enter the total electricity generation from all combusted fuel on row 24 of the table for production class 2a in baseline year 1.</t>
  </si>
  <si>
    <t>Enter the total electricity generation from all combusted fuel on row 25 of the table for production class 2a in baseline year 1.</t>
  </si>
  <si>
    <t>Enter the total electricity generation from all combusted fuel on row 26 of the table for production class 2a in baseline year 1.</t>
  </si>
  <si>
    <t>Enter the total electricity generation from all combusted fuel on row 27 of the table for production class 2a in baseline year 1.</t>
  </si>
  <si>
    <t>Enter the total electricity generation from all combusted fuel on row 28 of the table for production class 2a in baseline year 1.</t>
  </si>
  <si>
    <t>Enter the total electricity generation from all combusted fuel on row 29 of the table for production class 2a in baseline year 1.</t>
  </si>
  <si>
    <t>Enter the total electricity generation from all combusted fuel on row 30 of the table for production class 2a in baseline year 1.</t>
  </si>
  <si>
    <t>Enter the total electricity generation from all combusted fuel on row 31 of the table for production class 2a in baseline year 1.</t>
  </si>
  <si>
    <t>Enter the total electricity generation from all combusted fuel on row 32 of the table for production class 2a in baseline year 1.</t>
  </si>
  <si>
    <t>Enter the total electricity generation from all combusted fuel on row 33 of the table for production class 2a in baseline year 1.</t>
  </si>
  <si>
    <t>Enter the total electricity generation from all combusted fuel on row 34 of the table for production class 2a in baseline year 1.</t>
  </si>
  <si>
    <t>Enter the total electricity generation from all combusted fuel on row 35 of the table for production class 2a in baseline year 1.</t>
  </si>
  <si>
    <t>Enter the total electricity generation from all combusted fuel on row 36 of the table for production class 2a in baseline year 1.</t>
  </si>
  <si>
    <t>Enter the total electricity generation from all combusted fuel on row 37 of the table for production class 2a in baseline year 1.</t>
  </si>
  <si>
    <t>Enter the total electricity generation from all combusted fuel on row 38 of the table for production class 2a in baseline year 1.</t>
  </si>
  <si>
    <t>Enter the total electricity generation from all combusted fuel on row 39 of the table for production class 2a in baseline year 1.</t>
  </si>
  <si>
    <t>Enter the total electricity generation from all combusted fuel on row 40 of the table for production class 2a in baseline year 1.</t>
  </si>
  <si>
    <t>Enter the total electricity generation from all combusted fuel on row 41 of the table for production class 2a in baseline year 1.</t>
  </si>
  <si>
    <t>Enter the total electricity generation from all combusted fuel on row 42 of the table for production class 2a in baseline year 1.</t>
  </si>
  <si>
    <t>Enter the total electricity generation from all combusted fuel on row 43 of the table for production class 2a in baseline year 1.</t>
  </si>
  <si>
    <t>Enter the total electricity generation from all combusted fuel on row 44 of the table for production class 2a in baseline year 1.</t>
  </si>
  <si>
    <t>Enter the total electricity generation from all combusted fuel on row 45 of the table for production class 2a in baseline year 1.</t>
  </si>
  <si>
    <t>Enter the total electricity generation from all combusted fuel on row 46 of the table for production class 2a in baseline year 1.</t>
  </si>
  <si>
    <t>Enter the total electricity generation from all combusted fuel on row 47 of the table for production class 2a in baseline year 1.</t>
  </si>
  <si>
    <t>Enter the total electricity generation from all combusted fuel on row 48 of the table for production class 2a in baseline year 1.</t>
  </si>
  <si>
    <t>Enter the total electricity generation from all combusted fuel on row 49 of the table for production class 2a in baseline year 1.</t>
  </si>
  <si>
    <t>Enter the total electricity generation from all combusted fuel on row 50 of the table for production class 2a in baseline year 1.</t>
  </si>
  <si>
    <t>Enter the volume of associated gas on row 1 of the table for production class 2a in baseline year 1.</t>
  </si>
  <si>
    <t>Enter the volume of associated gas on row 2 of the table for production class 2a in baseline year 1.</t>
  </si>
  <si>
    <t>Enter the volume of associated gas on row 3 of the table for production class 2a in baseline year 1.</t>
  </si>
  <si>
    <t>Enter the volume of associated gas on row 4 of the table for production class 2a in baseline year 1.</t>
  </si>
  <si>
    <t>Enter the volume of associated gas on row 5 of the table for production class 2a in baseline year 1.</t>
  </si>
  <si>
    <t>Enter the volume of associated gas on row 6 of the table for production class 2a in baseline year 1.</t>
  </si>
  <si>
    <t>Enter the volume of associated gas on row 7 of the table for production class 2a in baseline year 1.</t>
  </si>
  <si>
    <t>Enter the volume of associated gas on row 8 of the table for production class 2a in baseline year 1.</t>
  </si>
  <si>
    <t>Enter the volume of associated gas on row 9 of the table for production class 2a in baseline year 1.</t>
  </si>
  <si>
    <t>Enter the volume of associated gas on row 10 of the table for production class 2a in baseline year 1.</t>
  </si>
  <si>
    <t>Enter the volume of associated gas on row 11 of the table for production class 2a in baseline year 1.</t>
  </si>
  <si>
    <t>Enter the volume of associated gas on row 12 of the table for production class 2a in baseline year 1.</t>
  </si>
  <si>
    <t>Enter the volume of associated gas on row 13 of the table for production class 2a in baseline year 1.</t>
  </si>
  <si>
    <t>Enter the volume of associated gas on row 14 of the table for production class 2a in baseline year 1.</t>
  </si>
  <si>
    <t>Enter the volume of associated gas on row 15 of the table for production class 2a in baseline year 1.</t>
  </si>
  <si>
    <t>Enter the volume of associated gas on row 16 of the table for production class 2a in baseline year 1.</t>
  </si>
  <si>
    <t>Enter the volume of associated gas on row 17 of the table for production class 2a in baseline year 1.</t>
  </si>
  <si>
    <t>Enter the volume of associated gas on row 18 of the table for production class 2a in baseline year 1.</t>
  </si>
  <si>
    <t>Enter the volume of associated gas on row 19 of the table for production class 2a in baseline year 1.</t>
  </si>
  <si>
    <t>Enter the volume of associated gas on row 20 of the table for production class 2a in baseline year 1.</t>
  </si>
  <si>
    <t>Enter the volume of associated gas on row 21 of the table for production class 2a in baseline year 1.</t>
  </si>
  <si>
    <t>Enter the volume of associated gas on row 22 of the table for production class 2a in baseline year 1.</t>
  </si>
  <si>
    <t>Enter the volume of associated gas on row 23 of the table for production class 2a in baseline year 1.</t>
  </si>
  <si>
    <t>Enter the volume of associated gas on row 24 of the table for production class 2a in baseline year 1.</t>
  </si>
  <si>
    <t>Enter the volume of associated gas on row 25 of the table for production class 2a in baseline year 1.</t>
  </si>
  <si>
    <t>Enter the volume of associated gas on row 26 of the table for production class 2a in baseline year 1.</t>
  </si>
  <si>
    <t>Enter the volume of associated gas on row 27 of the table for production class 2a in baseline year 1.</t>
  </si>
  <si>
    <t>Enter the volume of associated gas on row 28 of the table for production class 2a in baseline year 1.</t>
  </si>
  <si>
    <t>Enter the volume of associated gas on row 29 of the table for production class 2a in baseline year 1.</t>
  </si>
  <si>
    <t>Enter the volume of associated gas on row 30 of the table for production class 2a in baseline year 1.</t>
  </si>
  <si>
    <t>Enter the volume of associated gas on row 31 of the table for production class 2a in baseline year 1.</t>
  </si>
  <si>
    <t>Enter the volume of associated gas on row 32 of the table for production class 2a in baseline year 1.</t>
  </si>
  <si>
    <t>Enter the volume of associated gas on row 33 of the table for production class 2a in baseline year 1.</t>
  </si>
  <si>
    <t>Enter the volume of associated gas on row 34 of the table for production class 2a in baseline year 1.</t>
  </si>
  <si>
    <t>Enter the volume of associated gas on row 35 of the table for production class 2a in baseline year 1.</t>
  </si>
  <si>
    <t>Enter the volume of associated gas on row 36 of the table for production class 2a in baseline year 1.</t>
  </si>
  <si>
    <t>Enter the volume of associated gas on row 37 of the table for production class 2a in baseline year 1.</t>
  </si>
  <si>
    <t>Enter the volume of associated gas on row 38 of the table for production class 2a in baseline year 1.</t>
  </si>
  <si>
    <t>Enter the volume of associated gas on row 39 of the table for production class 2a in baseline year 1.</t>
  </si>
  <si>
    <t>Enter the volume of associated gas on row 40 of the table for production class 2a in baseline year 1.</t>
  </si>
  <si>
    <t>Enter the volume of associated gas on row 41 of the table for production class 2a in baseline year 1.</t>
  </si>
  <si>
    <t>Enter the volume of associated gas on row 42 of the table for production class 2a in baseline year 1.</t>
  </si>
  <si>
    <t>Enter the volume of associated gas on row 43 of the table for production class 2a in baseline year 1.</t>
  </si>
  <si>
    <t>Enter the volume of associated gas on row 44 of the table for production class 2a in baseline year 1.</t>
  </si>
  <si>
    <t>Enter the volume of associated gas on row 45 of the table for production class 2a in baseline year 1.</t>
  </si>
  <si>
    <t>Enter the volume of associated gas on row 46 of the table for production class 2a in baseline year 1.</t>
  </si>
  <si>
    <t>Enter the volume of associated gas on row 47 of the table for production class 2a in baseline year 1.</t>
  </si>
  <si>
    <t>Enter the volume of associated gas on row 48 of the table for production class 2a in baseline year 1.</t>
  </si>
  <si>
    <t>Enter the volume of associated gas on row 49 of the table for production class 2a in baseline year 1.</t>
  </si>
  <si>
    <t>Enter the volume of associated gas on row 50 of the table for production class 2a in baseline year 1.</t>
  </si>
  <si>
    <t>Enter the carbon dioxide emissions from associated gas on row 1 of the table for production class 2a in baseline year 1.</t>
  </si>
  <si>
    <t>Enter the carbon dioxide emissions from associated gas on row 2 of the table for production class 2a in baseline year 1.</t>
  </si>
  <si>
    <t>Enter the carbon dioxide emissions from associated gas on row 3 of the table for production class 2a in baseline year 1.</t>
  </si>
  <si>
    <t>Enter the carbon dioxide emissions from associated gas on row 4 of the table for production class 2a in baseline year 1.</t>
  </si>
  <si>
    <t>Enter the carbon dioxide emissions from associated gas on row 5 of the table for production class 2a in baseline year 1.</t>
  </si>
  <si>
    <t>Enter the carbon dioxide emissions from associated gas on row 6 of the table for production class 2a in baseline year 1.</t>
  </si>
  <si>
    <t>Enter the carbon dioxide emissions from associated gas on row 7 of the table for production class 2a in baseline year 1.</t>
  </si>
  <si>
    <t>Enter the carbon dioxide emissions from associated gas on row 8 of the table for production class 2a in baseline year 1.</t>
  </si>
  <si>
    <t>Enter the carbon dioxide emissions from associated gas on row 9 of the table for production class 2a in baseline year 1.</t>
  </si>
  <si>
    <t>Enter the carbon dioxide emissions from associated gas on row 10 of the table for production class 2a in baseline year 1.</t>
  </si>
  <si>
    <t>Enter the carbon dioxide emissions from associated gas on row 11 of the table for production class 2a in baseline year 1.</t>
  </si>
  <si>
    <t>Enter the carbon dioxide emissions from associated gas on row 12 of the table for production class 2a in baseline year 1.</t>
  </si>
  <si>
    <t>Enter the carbon dioxide emissions from associated gas on row 13 of the table for production class 2a in baseline year 1.</t>
  </si>
  <si>
    <t>Enter the carbon dioxide emissions from associated gas on row 14 of the table for production class 2a in baseline year 1.</t>
  </si>
  <si>
    <t>Enter the carbon dioxide emissions from associated gas on row 15 of the table for production class 2a in baseline year 1.</t>
  </si>
  <si>
    <t>Enter the carbon dioxide emissions from associated gas on row 16 of the table for production class 2a in baseline year 1.</t>
  </si>
  <si>
    <t>Enter the carbon dioxide emissions from associated gas on row 17 of the table for production class 2a in baseline year 1.</t>
  </si>
  <si>
    <t>Enter the carbon dioxide emissions from associated gas on row 18 of the table for production class 2a in baseline year 1.</t>
  </si>
  <si>
    <t>Enter the carbon dioxide emissions from associated gas on row 19 of the table for production class 2a in baseline year 1.</t>
  </si>
  <si>
    <t>Enter the carbon dioxide emissions from associated gas on row 20 of the table for production class 2a in baseline year 1.</t>
  </si>
  <si>
    <t>Enter the carbon dioxide emissions from associated gas on row 21 of the table for production class 2a in baseline year 1.</t>
  </si>
  <si>
    <t>Enter the carbon dioxide emissions from associated gas on row 22 of the table for production class 2a in baseline year 1.</t>
  </si>
  <si>
    <t>Enter the carbon dioxide emissions from associated gas on row 23 of the table for production class 2a in baseline year 1.</t>
  </si>
  <si>
    <t>Enter the carbon dioxide emissions from associated gas on row 24 of the table for production class 2a in baseline year 1.</t>
  </si>
  <si>
    <t>Enter the carbon dioxide emissions from associated gas on row 25 of the table for production class 2a in baseline year 1.</t>
  </si>
  <si>
    <t>Enter the carbon dioxide emissions from associated gas on row 26 of the table for production class 2a in baseline year 1.</t>
  </si>
  <si>
    <t>Enter the carbon dioxide emissions from associated gas on row 27 of the table for production class 2a in baseline year 1.</t>
  </si>
  <si>
    <t>Enter the carbon dioxide emissions from associated gas on row 28 of the table for production class 2a in baseline year 1.</t>
  </si>
  <si>
    <t>Enter the carbon dioxide emissions from associated gas on row 29 of the table for production class 2a in baseline year 1.</t>
  </si>
  <si>
    <t>Enter the carbon dioxide emissions from associated gas on row 30 of the table for production class 2a in baseline year 1.</t>
  </si>
  <si>
    <t>Enter the carbon dioxide emissions from associated gas on row 31 of the table for production class 2a in baseline year 1.</t>
  </si>
  <si>
    <t>Enter the carbon dioxide emissions from associated gas on row 32 of the table for production class 2a in baseline year 1.</t>
  </si>
  <si>
    <t>Enter the carbon dioxide emissions from associated gas on row 33 of the table for production class 2a in baseline year 1.</t>
  </si>
  <si>
    <t>Enter the carbon dioxide emissions from associated gas on row 34 of the table for production class 2a in baseline year 1.</t>
  </si>
  <si>
    <t>Enter the carbon dioxide emissions from associated gas on row 35 of the table for production class 2a in baseline year 1.</t>
  </si>
  <si>
    <t>Enter the carbon dioxide emissions from associated gas on row 36 of the table for production class 2a in baseline year 1.</t>
  </si>
  <si>
    <t>Enter the carbon dioxide emissions from associated gas on row 37 of the table for production class 2a in baseline year 1.</t>
  </si>
  <si>
    <t>Enter the carbon dioxide emissions from associated gas on row 38 of the table for production class 2a in baseline year 1.</t>
  </si>
  <si>
    <t>Enter the carbon dioxide emissions from associated gas on row 39 of the table for production class 2a in baseline year 1.</t>
  </si>
  <si>
    <t>Enter the carbon dioxide emissions from associated gas on row 40 of the table for production class 2a in baseline year 1.</t>
  </si>
  <si>
    <t>Enter the carbon dioxide emissions from associated gas on row 41 of the table for production class 2a in baseline year 1.</t>
  </si>
  <si>
    <t>Enter the carbon dioxide emissions from associated gas on row 42 of the table for production class 2a in baseline year 1.</t>
  </si>
  <si>
    <t>Enter the carbon dioxide emissions from associated gas on row 43 of the table for production class 2a in baseline year 1.</t>
  </si>
  <si>
    <t>Enter the carbon dioxide emissions from associated gas on row 44 of the table for production class 2a in baseline year 1.</t>
  </si>
  <si>
    <t>Enter the carbon dioxide emissions from associated gas on row 45 of the table for production class 2a in baseline year 1.</t>
  </si>
  <si>
    <t>Enter the carbon dioxide emissions from associated gas on row 46 of the table for production class 2a in baseline year 1.</t>
  </si>
  <si>
    <t>Enter the carbon dioxide emissions from associated gas on row 47 of the table for production class 2a in baseline year 1.</t>
  </si>
  <si>
    <t>Enter the carbon dioxide emissions from associated gas on row 48 of the table for production class 2a in baseline year 1.</t>
  </si>
  <si>
    <t>Enter the carbon dioxide emissions from associated gas on row 49 of the table for production class 2a in baseline year 1.</t>
  </si>
  <si>
    <t>Enter the carbon dioxide emissions from associated gas on row 50 of the table for production class 2a in baseline year 1.</t>
  </si>
  <si>
    <t>Enter the methane emissions from associated gas on row 1 of the table for production class 2a in baseline year 1.</t>
  </si>
  <si>
    <t>Enter the methane emissions from associated gas on row 2 of the table for production class 2a in baseline year 1.</t>
  </si>
  <si>
    <t>Enter the methane emissions from associated gas on row 3 of the table for production class 2a in baseline year 1.</t>
  </si>
  <si>
    <t>Enter the methane emissions from associated gas on row 4 of the table for production class 2a in baseline year 1.</t>
  </si>
  <si>
    <t>Enter the methane emissions from associated gas on row 5 of the table for production class 2a in baseline year 1.</t>
  </si>
  <si>
    <t>Enter the methane emissions from associated gas on row 6 of the table for production class 2a in baseline year 1.</t>
  </si>
  <si>
    <t>Enter the methane emissions from associated gas on row 7 of the table for production class 2a in baseline year 1.</t>
  </si>
  <si>
    <t>Enter the methane emissions from associated gas on row 8 of the table for production class 2a in baseline year 1.</t>
  </si>
  <si>
    <t>Enter the methane emissions from associated gas on row 9 of the table for production class 2a in baseline year 1.</t>
  </si>
  <si>
    <t>Enter the methane emissions from associated gas on row 10 of the table for production class 2a in baseline year 1.</t>
  </si>
  <si>
    <t>Enter the methane emissions from associated gas on row 11 of the table for production class 2a in baseline year 1.</t>
  </si>
  <si>
    <t>Enter the methane emissions from associated gas on row 12 of the table for production class 2a in baseline year 1.</t>
  </si>
  <si>
    <t>Enter the methane emissions from associated gas on row 13 of the table for production class 2a in baseline year 1.</t>
  </si>
  <si>
    <t>Enter the methane emissions from associated gas on row 14 of the table for production class 2a in baseline year 1.</t>
  </si>
  <si>
    <t>Enter the methane emissions from associated gas on row 15 of the table for production class 2a in baseline year 1.</t>
  </si>
  <si>
    <t>Enter the methane emissions from associated gas on row 16 of the table for production class 2a in baseline year 1.</t>
  </si>
  <si>
    <t>Enter the methane emissions from associated gas on row 17 of the table for production class 2a in baseline year 1.</t>
  </si>
  <si>
    <t>Enter the methane emissions from associated gas on row 18 of the table for production class 2a in baseline year 1.</t>
  </si>
  <si>
    <t>Enter the methane emissions from associated gas on row 19 of the table for production class 2a in baseline year 1.</t>
  </si>
  <si>
    <t>Enter the methane emissions from associated gas on row 20 of the table for production class 2a in baseline year 1.</t>
  </si>
  <si>
    <t>Enter the methane emissions from associated gas on row 21 of the table for production class 2a in baseline year 1.</t>
  </si>
  <si>
    <t>Enter the methane emissions from associated gas on row 22 of the table for production class 2a in baseline year 1.</t>
  </si>
  <si>
    <t>Enter the methane emissions from associated gas on row 23 of the table for production class 2a in baseline year 1.</t>
  </si>
  <si>
    <t>Enter the methane emissions from associated gas on row 24 of the table for production class 2a in baseline year 1.</t>
  </si>
  <si>
    <t>Enter the methane emissions from associated gas on row 25 of the table for production class 2a in baseline year 1.</t>
  </si>
  <si>
    <t>Enter the methane emissions from associated gas on row 26 of the table for production class 2a in baseline year 1.</t>
  </si>
  <si>
    <t>Enter the methane emissions from associated gas on row 27 of the table for production class 2a in baseline year 1.</t>
  </si>
  <si>
    <t>Enter the methane emissions from associated gas on row 28 of the table for production class 2a in baseline year 1.</t>
  </si>
  <si>
    <t>Enter the methane emissions from associated gas on row 29 of the table for production class 2a in baseline year 1.</t>
  </si>
  <si>
    <t>Enter the methane emissions from associated gas on row 30 of the table for production class 2a in baseline year 1.</t>
  </si>
  <si>
    <t>Enter the methane emissions from associated gas on row 31 of the table for production class 2a in baseline year 1.</t>
  </si>
  <si>
    <t>Enter the methane emissions from associated gas on row 32 of the table for production class 2a in baseline year 1.</t>
  </si>
  <si>
    <t>Enter the methane emissions from associated gas on row 33 of the table for production class 2a in baseline year 1.</t>
  </si>
  <si>
    <t>Enter the methane emissions from associated gas on row 34 of the table for production class 2a in baseline year 1.</t>
  </si>
  <si>
    <t>Enter the methane emissions from associated gas on row 35 of the table for production class 2a in baseline year 1.</t>
  </si>
  <si>
    <t>Enter the methane emissions from associated gas on row 36 of the table for production class 2a in baseline year 1.</t>
  </si>
  <si>
    <t>Enter the methane emissions from associated gas on row 37 of the table for production class 2a in baseline year 1.</t>
  </si>
  <si>
    <t>Enter the methane emissions from associated gas on row 38 of the table for production class 2a in baseline year 1.</t>
  </si>
  <si>
    <t>Enter the methane emissions from associated gas on row 39 of the table for production class 2a in baseline year 1.</t>
  </si>
  <si>
    <t>Enter the methane emissions from associated gas on row 40 of the table for production class 2a in baseline year 1.</t>
  </si>
  <si>
    <t>Enter the methane emissions from associated gas on row 41 of the table for production class 2a in baseline year 1.</t>
  </si>
  <si>
    <t>Enter the methane emissions from associated gas on row 42 of the table for production class 2a in baseline year 1.</t>
  </si>
  <si>
    <t>Enter the methane emissions from associated gas on row 43 of the table for production class 2a in baseline year 1.</t>
  </si>
  <si>
    <t>Enter the methane emissions from associated gas on row 44 of the table for production class 2a in baseline year 1.</t>
  </si>
  <si>
    <t>Enter the methane emissions from associated gas on row 45 of the table for production class 2a in baseline year 1.</t>
  </si>
  <si>
    <t>Enter the methane emissions from associated gas on row 46 of the table for production class 2a in baseline year 1.</t>
  </si>
  <si>
    <t>Enter the methane emissions from associated gas on row 47 of the table for production class 2a in baseline year 1.</t>
  </si>
  <si>
    <t>Enter the methane emissions from associated gas on row 48 of the table for production class 2a in baseline year 1.</t>
  </si>
  <si>
    <t>Enter the methane emissions from associated gas on row 49 of the table for production class 2a in baseline year 1.</t>
  </si>
  <si>
    <t>Enter the methane emissions from associated gas on row 50 of the table for production class 2a in baseline year 1.</t>
  </si>
  <si>
    <t>Enter the nitrous oxide emissions from associated gas on row 1 of the table for production class 2a in baseline year 1.</t>
  </si>
  <si>
    <t>Enter the nitrous oxide emissions from associated gas on row 2 of the table for production class 2a in baseline year 1.</t>
  </si>
  <si>
    <t>Enter the nitrous oxide emissions from associated gas on row 3 of the table for production class 2a in baseline year 1.</t>
  </si>
  <si>
    <t>Enter the nitrous oxide emissions from associated gas on row 4 of the table for production class 2a in baseline year 1.</t>
  </si>
  <si>
    <t>Enter the nitrous oxide emissions from associated gas on row 5 of the table for production class 2a in baseline year 1.</t>
  </si>
  <si>
    <t>Enter the nitrous oxide emissions from associated gas on row 6 of the table for production class 2a in baseline year 1.</t>
  </si>
  <si>
    <t>Enter the nitrous oxide emissions from associated gas on row 7 of the table for production class 2a in baseline year 1.</t>
  </si>
  <si>
    <t>Enter the nitrous oxide emissions from associated gas on row 8 of the table for production class 2a in baseline year 1.</t>
  </si>
  <si>
    <t>Enter the nitrous oxide emissions from associated gas on row 9 of the table for production class 2a in baseline year 1.</t>
  </si>
  <si>
    <t>Enter the nitrous oxide emissions from associated gas on row 10 of the table for production class 2a in baseline year 1.</t>
  </si>
  <si>
    <t>Enter the nitrous oxide emissions from associated gas on row 11 of the table for production class 2a in baseline year 1.</t>
  </si>
  <si>
    <t>Enter the nitrous oxide emissions from associated gas on row 12 of the table for production class 2a in baseline year 1.</t>
  </si>
  <si>
    <t>Enter the nitrous oxide emissions from associated gas on row 13 of the table for production class 2a in baseline year 1.</t>
  </si>
  <si>
    <t>Enter the nitrous oxide emissions from associated gas on row 14 of the table for production class 2a in baseline year 1.</t>
  </si>
  <si>
    <t>Enter the nitrous oxide emissions from associated gas on row 15 of the table for production class 2a in baseline year 1.</t>
  </si>
  <si>
    <t>Enter the nitrous oxide emissions from associated gas on row 16 of the table for production class 2a in baseline year 1.</t>
  </si>
  <si>
    <t>Enter the nitrous oxide emissions from associated gas on row 17 of the table for production class 2a in baseline year 1.</t>
  </si>
  <si>
    <t>Enter the nitrous oxide emissions from associated gas on row 18 of the table for production class 2a in baseline year 1.</t>
  </si>
  <si>
    <t>Enter the nitrous oxide emissions from associated gas on row 19 of the table for production class 2a in baseline year 1.</t>
  </si>
  <si>
    <t>Enter the nitrous oxide emissions from associated gas on row 20 of the table for production class 2a in baseline year 1.</t>
  </si>
  <si>
    <t>Enter the nitrous oxide emissions from associated gas on row 21 of the table for production class 2a in baseline year 1.</t>
  </si>
  <si>
    <t>Enter the nitrous oxide emissions from associated gas on row 22 of the table for production class 2a in baseline year 1.</t>
  </si>
  <si>
    <t>Enter the nitrous oxide emissions from associated gas on row 23 of the table for production class 2a in baseline year 1.</t>
  </si>
  <si>
    <t>Enter the nitrous oxide emissions from associated gas on row 24 of the table for production class 2a in baseline year 1.</t>
  </si>
  <si>
    <t>Enter the nitrous oxide emissions from associated gas on row 25 of the table for production class 2a in baseline year 1.</t>
  </si>
  <si>
    <t>Enter the nitrous oxide emissions from associated gas on row 26 of the table for production class 2a in baseline year 1.</t>
  </si>
  <si>
    <t>Enter the nitrous oxide emissions from associated gas on row 27 of the table for production class 2a in baseline year 1.</t>
  </si>
  <si>
    <t>Enter the nitrous oxide emissions from associated gas on row 28 of the table for production class 2a in baseline year 1.</t>
  </si>
  <si>
    <t>Enter the nitrous oxide emissions from associated gas on row 29 of the table for production class 2a in baseline year 1.</t>
  </si>
  <si>
    <t>Enter the nitrous oxide emissions from associated gas on row 30 of the table for production class 2a in baseline year 1.</t>
  </si>
  <si>
    <t>Enter the nitrous oxide emissions from associated gas on row 31 of the table for production class 2a in baseline year 1.</t>
  </si>
  <si>
    <t>Enter the nitrous oxide emissions from associated gas on row 32 of the table for production class 2a in baseline year 1.</t>
  </si>
  <si>
    <t>Enter the nitrous oxide emissions from associated gas on row 33 of the table for production class 2a in baseline year 1.</t>
  </si>
  <si>
    <t>Enter the nitrous oxide emissions from associated gas on row 34 of the table for production class 2a in baseline year 1.</t>
  </si>
  <si>
    <t>Enter the nitrous oxide emissions from associated gas on row 35 of the table for production class 2a in baseline year 1.</t>
  </si>
  <si>
    <t>Enter the nitrous oxide emissions from associated gas on row 36 of the table for production class 2a in baseline year 1.</t>
  </si>
  <si>
    <t>Enter the nitrous oxide emissions from associated gas on row 37 of the table for production class 2a in baseline year 1.</t>
  </si>
  <si>
    <t>Enter the nitrous oxide emissions from associated gas on row 38 of the table for production class 2a in baseline year 1.</t>
  </si>
  <si>
    <t>Enter the nitrous oxide emissions from associated gas on row 39 of the table for production class 2a in baseline year 1.</t>
  </si>
  <si>
    <t>Enter the nitrous oxide emissions from associated gas on row 40 of the table for production class 2a in baseline year 1.</t>
  </si>
  <si>
    <t>Enter the nitrous oxide emissions from associated gas on row 41 of the table for production class 2a in baseline year 1.</t>
  </si>
  <si>
    <t>Enter the nitrous oxide emissions from associated gas on row 42 of the table for production class 2a in baseline year 1.</t>
  </si>
  <si>
    <t>Enter the nitrous oxide emissions from associated gas on row 43 of the table for production class 2a in baseline year 1.</t>
  </si>
  <si>
    <t>Enter the nitrous oxide emissions from associated gas on row 44 of the table for production class 2a in baseline year 1.</t>
  </si>
  <si>
    <t>Enter the nitrous oxide emissions from associated gas on row 45 of the table for production class 2a in baseline year 1.</t>
  </si>
  <si>
    <t>Enter the nitrous oxide emissions from associated gas on row 46 of the table for production class 2a in baseline year 1.</t>
  </si>
  <si>
    <t>Enter the nitrous oxide emissions from associated gas on row 47 of the table for production class 2a in baseline year 1.</t>
  </si>
  <si>
    <t>Enter the nitrous oxide emissions from associated gas on row 48 of the table for production class 2a in baseline year 1.</t>
  </si>
  <si>
    <t>Enter the nitrous oxide emissions from associated gas on row 49 of the table for production class 2a in baseline year 1.</t>
  </si>
  <si>
    <t>Enter the nitrous oxide emissions from associated gas on row 50 of the table for production class 2a in baseline year 1.</t>
  </si>
  <si>
    <t>Enter the number of units within the gas-to-power operation for production class 2a in baseline year 2.</t>
  </si>
  <si>
    <t>Enter the energy in the combusted associated gas on row 1 of the table for production class 2a in baseline year 2.</t>
  </si>
  <si>
    <t>Enter the energy in the combusted associated gas on row 2 of the table for production class 2a in baseline year 2.</t>
  </si>
  <si>
    <t>Enter the energy in the combusted associated gas on row 3 of the table for production class 2a in baseline year 2.</t>
  </si>
  <si>
    <t>Enter the energy in the combusted associated gas on row 4 of the table for production class 2a in baseline year 2.</t>
  </si>
  <si>
    <t>Enter the energy in the combusted associated gas on row 5 of the table for production class 2a in baseline year 2.</t>
  </si>
  <si>
    <t>Enter the energy in the combusted associated gas on row 6 of the table for production class 2a in baseline year 2.</t>
  </si>
  <si>
    <t>Enter the energy in the combusted associated gas on row 7 of the table for production class 2a in baseline year 2.</t>
  </si>
  <si>
    <t>Enter the energy in the combusted associated gas on row 8 of the table for production class 2a in baseline year 2.</t>
  </si>
  <si>
    <t>Enter the energy in the combusted associated gas on row 9 of the table for production class 2a in baseline year 2.</t>
  </si>
  <si>
    <t>Enter the energy in the combusted associated gas on row 10 of the table for production class 2a in baseline year 2.</t>
  </si>
  <si>
    <t>Enter the energy in the combusted associated gas on row 11 of the table for production class 2a in baseline year 2.</t>
  </si>
  <si>
    <t>Enter the energy in the combusted associated gas on row 12 of the table for production class 2a in baseline year 2.</t>
  </si>
  <si>
    <t>Enter the energy in the combusted associated gas on row 13 of the table for production class 2a in baseline year 2.</t>
  </si>
  <si>
    <t>Enter the energy in the combusted associated gas on row 14 of the table for production class 2a in baseline year 2.</t>
  </si>
  <si>
    <t>Enter the energy in the combusted associated gas on row 15 of the table for production class 2a in baseline year 2.</t>
  </si>
  <si>
    <t>Enter the energy in the combusted associated gas on row 16 of the table for production class 2a in baseline year 2.</t>
  </si>
  <si>
    <t>Enter the energy in the combusted associated gas on row 17 of the table for production class 2a in baseline year 2.</t>
  </si>
  <si>
    <t>Enter the energy in the combusted associated gas on row 18 of the table for production class 2a in baseline year 2.</t>
  </si>
  <si>
    <t>Enter the energy in the combusted associated gas on row 19 of the table for production class 2a in baseline year 2.</t>
  </si>
  <si>
    <t>Enter the energy in the combusted associated gas on row 20 of the table for production class 2a in baseline year 2.</t>
  </si>
  <si>
    <t>Enter the energy in the combusted associated gas on row 21 of the table for production class 2a in baseline year 2.</t>
  </si>
  <si>
    <t>Enter the energy in the combusted associated gas on row 22 of the table for production class 2a in baseline year 2.</t>
  </si>
  <si>
    <t>Enter the energy in the combusted associated gas on row 23 of the table for production class 2a in baseline year 2.</t>
  </si>
  <si>
    <t>Enter the energy in the combusted associated gas on row 24 of the table for production class 2a in baseline year 2.</t>
  </si>
  <si>
    <t>Enter the energy in the combusted associated gas on row 25 of the table for production class 2a in baseline year 2.</t>
  </si>
  <si>
    <t>Enter the energy in the combusted associated gas on row 26 of the table for production class 2a in baseline year 2.</t>
  </si>
  <si>
    <t>Enter the energy in the combusted associated gas on row 27 of the table for production class 2a in baseline year 2.</t>
  </si>
  <si>
    <t>Enter the energy in the combusted associated gas on row 28 of the table for production class 2a in baseline year 2.</t>
  </si>
  <si>
    <t>Enter the energy in the combusted associated gas on row 29 of the table for production class 2a in baseline year 2.</t>
  </si>
  <si>
    <t>Enter the energy in the combusted associated gas on row 30 of the table for production class 2a in baseline year 2.</t>
  </si>
  <si>
    <t>Enter the energy in the combusted associated gas on row 31 of the table for production class 2a in baseline year 2.</t>
  </si>
  <si>
    <t>Enter the energy in the combusted associated gas on row 32 of the table for production class 2a in baseline year 2.</t>
  </si>
  <si>
    <t>Enter the energy in the combusted associated gas on row 33 of the table for production class 2a in baseline year 2.</t>
  </si>
  <si>
    <t>Enter the energy in the combusted associated gas on row 34 of the table for production class 2a in baseline year 2.</t>
  </si>
  <si>
    <t>Enter the energy in the combusted associated gas on row 35 of the table for production class 2a in baseline year 2.</t>
  </si>
  <si>
    <t>Enter the energy in the combusted associated gas on row 36 of the table for production class 2a in baseline year 2.</t>
  </si>
  <si>
    <t>Enter the energy in the combusted associated gas on row 37 of the table for production class 2a in baseline year 2.</t>
  </si>
  <si>
    <t>Enter the energy in the combusted associated gas on row 38 of the table for production class 2a in baseline year 2.</t>
  </si>
  <si>
    <t>Enter the energy in the combusted associated gas on row 39 of the table for production class 2a in baseline year 2.</t>
  </si>
  <si>
    <t>Enter the energy in the combusted associated gas on row 40 of the table for production class 2a in baseline year 2.</t>
  </si>
  <si>
    <t>Enter the energy in the combusted associated gas on row 41 of the table for production class 2a in baseline year 2.</t>
  </si>
  <si>
    <t>Enter the energy in the combusted associated gas on row 42 of the table for production class 2a in baseline year 2.</t>
  </si>
  <si>
    <t>Enter the energy in the combusted associated gas on row 43 of the table for production class 2a in baseline year 2.</t>
  </si>
  <si>
    <t>Enter the energy in the combusted associated gas on row 44 of the table for production class 2a in baseline year 2.</t>
  </si>
  <si>
    <t>Enter the energy in the combusted associated gas on row 45 of the table for production class 2a in baseline year 2.</t>
  </si>
  <si>
    <t>Enter the energy in the combusted associated gas on row 46 of the table for production class 2a in baseline year 2.</t>
  </si>
  <si>
    <t>Enter the energy in the combusted associated gas on row 47 of the table for production class 2a in baseline year 2.</t>
  </si>
  <si>
    <t>Enter the energy in the combusted associated gas on row 48 of the table for production class 2a in baseline year 2.</t>
  </si>
  <si>
    <t>Enter the energy in the combusted associated gas on row 49 of the table for production class 2a in baseline year 2.</t>
  </si>
  <si>
    <t>Enter the energy in the combusted associated gas on row 50 of the table for production class 2a in baseline year 2.</t>
  </si>
  <si>
    <t>Enter the total energy in all combusted fuel on row 1 of the table for production class 2a in baseline year 2.</t>
  </si>
  <si>
    <t>Enter the total energy in all combusted fuel on row 2 of the table for production class 2a in baseline year 2.</t>
  </si>
  <si>
    <t>Enter the total energy in all combusted fuel on row 3 of the table for production class 2a in baseline year 2.</t>
  </si>
  <si>
    <t>Enter the total energy in all combusted fuel on row 4 of the table for production class 2a in baseline year 2.</t>
  </si>
  <si>
    <t>Enter the total energy in all combusted fuel on row 5 of the table for production class 2a in baseline year 2.</t>
  </si>
  <si>
    <t>Enter the total energy in all combusted fuel on row 6 of the table for production class 2a in baseline year 2.</t>
  </si>
  <si>
    <t>Enter the total energy in all combusted fuel on row 7 of the table for production class 2a in baseline year 2.</t>
  </si>
  <si>
    <t>Enter the total energy in all combusted fuel on row 8 of the table for production class 2a in baseline year 2.</t>
  </si>
  <si>
    <t>Enter the total energy in all combusted fuel on row 9 of the table for production class 2a in baseline year 2.</t>
  </si>
  <si>
    <t>Enter the total energy in all combusted fuel on row 10 of the table for production class 2a in baseline year 2.</t>
  </si>
  <si>
    <t>Enter the total energy in all combusted fuel on row 11 of the table for production class 2a in baseline year 2.</t>
  </si>
  <si>
    <t>Enter the total energy in all combusted fuel on row 12 of the table for production class 2a in baseline year 2.</t>
  </si>
  <si>
    <t>Enter the total energy in all combusted fuel on row 13 of the table for production class 2a in baseline year 2.</t>
  </si>
  <si>
    <t>Enter the total energy in all combusted fuel on row 14 of the table for production class 2a in baseline year 2.</t>
  </si>
  <si>
    <t>Enter the total energy in all combusted fuel on row 15 of the table for production class 2a in baseline year 2.</t>
  </si>
  <si>
    <t>Enter the total energy in all combusted fuel on row 16 of the table for production class 2a in baseline year 2.</t>
  </si>
  <si>
    <t>Enter the total energy in all combusted fuel on row 17 of the table for production class 2a in baseline year 2.</t>
  </si>
  <si>
    <t>Enter the total energy in all combusted fuel on row 18 of the table for production class 2a in baseline year 2.</t>
  </si>
  <si>
    <t>Enter the total energy in all combusted fuel on row 19 of the table for production class 2a in baseline year 2.</t>
  </si>
  <si>
    <t>Enter the total energy in all combusted fuel on row 20 of the table for production class 2a in baseline year 2.</t>
  </si>
  <si>
    <t>Enter the total energy in all combusted fuel on row 21 of the table for production class 2a in baseline year 2.</t>
  </si>
  <si>
    <t>Enter the total energy in all combusted fuel on row 22 of the table for production class 2a in baseline year 2.</t>
  </si>
  <si>
    <t>Enter the total energy in all combusted fuel on row 23 of the table for production class 2a in baseline year 2.</t>
  </si>
  <si>
    <t>Enter the total energy in all combusted fuel on row 24 of the table for production class 2a in baseline year 2.</t>
  </si>
  <si>
    <t>Enter the total energy in all combusted fuel on row 25 of the table for production class 2a in baseline year 2.</t>
  </si>
  <si>
    <t>Enter the total energy in all combusted fuel on row 26 of the table for production class 2a in baseline year 2.</t>
  </si>
  <si>
    <t>Enter the total energy in all combusted fuel on row 27 of the table for production class 2a in baseline year 2.</t>
  </si>
  <si>
    <t>Enter the total energy in all combusted fuel on row 28 of the table for production class 2a in baseline year 2.</t>
  </si>
  <si>
    <t>Enter the total energy in all combusted fuel on row 29 of the table for production class 2a in baseline year 2.</t>
  </si>
  <si>
    <t>Enter the total energy in all combusted fuel on row 30 of the table for production class 2a in baseline year 2.</t>
  </si>
  <si>
    <t>Enter the total energy in all combusted fuel on row 31 of the table for production class 2a in baseline year 2.</t>
  </si>
  <si>
    <t>Enter the total energy in all combusted fuel on row 32 of the table for production class 2a in baseline year 2.</t>
  </si>
  <si>
    <t>Enter the total energy in all combusted fuel on row 33 of the table for production class 2a in baseline year 2.</t>
  </si>
  <si>
    <t>Enter the total energy in all combusted fuel on row 34 of the table for production class 2a in baseline year 2.</t>
  </si>
  <si>
    <t>Enter the total energy in all combusted fuel on row 35 of the table for production class 2a in baseline year 2.</t>
  </si>
  <si>
    <t>Enter the total energy in all combusted fuel on row 36 of the table for production class 2a in baseline year 2.</t>
  </si>
  <si>
    <t>Enter the total energy in all combusted fuel on row 37 of the table for production class 2a in baseline year 2.</t>
  </si>
  <si>
    <t>Enter the total energy in all combusted fuel on row 38 of the table for production class 2a in baseline year 2.</t>
  </si>
  <si>
    <t>Enter the total energy in all combusted fuel on row 39 of the table for production class 2a in baseline year 2.</t>
  </si>
  <si>
    <t>Enter the total energy in all combusted fuel on row 40 of the table for production class 2a in baseline year 2.</t>
  </si>
  <si>
    <t>Enter the total energy in all combusted fuel on row 41 of the table for production class 2a in baseline year 2.</t>
  </si>
  <si>
    <t>Enter the total energy in all combusted fuel on row 42 of the table for production class 2a in baseline year 2.</t>
  </si>
  <si>
    <t>Enter the total energy in all combusted fuel on row 43 of the table for production class 2a in baseline year 2.</t>
  </si>
  <si>
    <t>Enter the total energy in all combusted fuel on row 44 of the table for production class 2a in baseline year 2.</t>
  </si>
  <si>
    <t>Enter the total energy in all combusted fuel on row 45 of the table for production class 2a in baseline year 2.</t>
  </si>
  <si>
    <t>Enter the total energy in all combusted fuel on row 46 of the table for production class 2a in baseline year 2.</t>
  </si>
  <si>
    <t>Enter the total energy in all combusted fuel on row 47 of the table for production class 2a in baseline year 2.</t>
  </si>
  <si>
    <t>Enter the total energy in all combusted fuel on row 48 of the table for production class 2a in baseline year 2.</t>
  </si>
  <si>
    <t>Enter the total energy in all combusted fuel on row 49 of the table for production class 2a in baseline year 2.</t>
  </si>
  <si>
    <t>Enter the total energy in all combusted fuel on row 50 of the table for production class 2a in baseline year 2.</t>
  </si>
  <si>
    <t>Enter the total electricity generation from all combusted fuel on row 1 of the table for production class 2a in baseline year 2.</t>
  </si>
  <si>
    <t>Enter the total electricity generation from all combusted fuel on row 2 of the table for production class 2a in baseline year 2.</t>
  </si>
  <si>
    <t>Enter the total electricity generation from all combusted fuel on row 3 of the table for production class 2a in baseline year 2.</t>
  </si>
  <si>
    <t>Enter the total electricity generation from all combusted fuel on row 4 of the table for production class 2a in baseline year 2.</t>
  </si>
  <si>
    <t>Enter the total electricity generation from all combusted fuel on row 5 of the table for production class 2a in baseline year 2.</t>
  </si>
  <si>
    <t>Enter the total electricity generation from all combusted fuel on row 6 of the table for production class 2a in baseline year 2.</t>
  </si>
  <si>
    <t>Enter the total electricity generation from all combusted fuel on row 7 of the table for production class 2a in baseline year 2.</t>
  </si>
  <si>
    <t>Enter the total electricity generation from all combusted fuel on row 8 of the table for production class 2a in baseline year 2.</t>
  </si>
  <si>
    <t>Enter the total electricity generation from all combusted fuel on row 9 of the table for production class 2a in baseline year 2.</t>
  </si>
  <si>
    <t>Enter the total electricity generation from all combusted fuel on row 10 of the table for production class 2a in baseline year 2.</t>
  </si>
  <si>
    <t>Enter the total electricity generation from all combusted fuel on row 11 of the table for production class 2a in baseline year 2.</t>
  </si>
  <si>
    <t>Enter the total electricity generation from all combusted fuel on row 12 of the table for production class 2a in baseline year 2.</t>
  </si>
  <si>
    <t>Enter the total electricity generation from all combusted fuel on row 13 of the table for production class 2a in baseline year 2.</t>
  </si>
  <si>
    <t>Enter the total electricity generation from all combusted fuel on row 14 of the table for production class 2a in baseline year 2.</t>
  </si>
  <si>
    <t>Enter the total electricity generation from all combusted fuel on row 15 of the table for production class 2a in baseline year 2.</t>
  </si>
  <si>
    <t>Enter the total electricity generation from all combusted fuel on row 16 of the table for production class 2a in baseline year 2.</t>
  </si>
  <si>
    <t>Enter the total electricity generation from all combusted fuel on row 17 of the table for production class 2a in baseline year 2.</t>
  </si>
  <si>
    <t>Enter the total electricity generation from all combusted fuel on row 18 of the table for production class 2a in baseline year 2.</t>
  </si>
  <si>
    <t>Enter the total electricity generation from all combusted fuel on row 19 of the table for production class 2a in baseline year 2.</t>
  </si>
  <si>
    <t>Enter the total electricity generation from all combusted fuel on row 20 of the table for production class 2a in baseline year 2.</t>
  </si>
  <si>
    <t>Enter the total electricity generation from all combusted fuel on row 21 of the table for production class 2a in baseline year 2.</t>
  </si>
  <si>
    <t>Enter the total electricity generation from all combusted fuel on row 22 of the table for production class 2a in baseline year 2.</t>
  </si>
  <si>
    <t>Enter the total electricity generation from all combusted fuel on row 23 of the table for production class 2a in baseline year 2.</t>
  </si>
  <si>
    <t>Enter the total electricity generation from all combusted fuel on row 24 of the table for production class 2a in baseline year 2.</t>
  </si>
  <si>
    <t>Enter the total electricity generation from all combusted fuel on row 25 of the table for production class 2a in baseline year 2.</t>
  </si>
  <si>
    <t>Enter the total electricity generation from all combusted fuel on row 26 of the table for production class 2a in baseline year 2.</t>
  </si>
  <si>
    <t>Enter the total electricity generation from all combusted fuel on row 27 of the table for production class 2a in baseline year 2.</t>
  </si>
  <si>
    <t>Enter the total electricity generation from all combusted fuel on row 28 of the table for production class 2a in baseline year 2.</t>
  </si>
  <si>
    <t>Enter the total electricity generation from all combusted fuel on row 29 of the table for production class 2a in baseline year 2.</t>
  </si>
  <si>
    <t>Enter the total electricity generation from all combusted fuel on row 30 of the table for production class 2a in baseline year 2.</t>
  </si>
  <si>
    <t>Enter the total electricity generation from all combusted fuel on row 31 of the table for production class 2a in baseline year 2.</t>
  </si>
  <si>
    <t>Enter the total electricity generation from all combusted fuel on row 32 of the table for production class 2a in baseline year 2.</t>
  </si>
  <si>
    <t>Enter the total electricity generation from all combusted fuel on row 33 of the table for production class 2a in baseline year 2.</t>
  </si>
  <si>
    <t>Enter the total electricity generation from all combusted fuel on row 34 of the table for production class 2a in baseline year 2.</t>
  </si>
  <si>
    <t>Enter the total electricity generation from all combusted fuel on row 35 of the table for production class 2a in baseline year 2.</t>
  </si>
  <si>
    <t>Enter the total electricity generation from all combusted fuel on row 36 of the table for production class 2a in baseline year 2.</t>
  </si>
  <si>
    <t>Enter the total electricity generation from all combusted fuel on row 37 of the table for production class 2a in baseline year 2.</t>
  </si>
  <si>
    <t>Enter the total electricity generation from all combusted fuel on row 38 of the table for production class 2a in baseline year 2.</t>
  </si>
  <si>
    <t>Enter the total electricity generation from all combusted fuel on row 39 of the table for production class 2a in baseline year 2.</t>
  </si>
  <si>
    <t>Enter the total electricity generation from all combusted fuel on row 40 of the table for production class 2a in baseline year 2.</t>
  </si>
  <si>
    <t>Enter the total electricity generation from all combusted fuel on row 41 of the table for production class 2a in baseline year 2.</t>
  </si>
  <si>
    <t>Enter the total electricity generation from all combusted fuel on row 42 of the table for production class 2a in baseline year 2.</t>
  </si>
  <si>
    <t>Enter the total electricity generation from all combusted fuel on row 43 of the table for production class 2a in baseline year 2.</t>
  </si>
  <si>
    <t>Enter the total electricity generation from all combusted fuel on row 44 of the table for production class 2a in baseline year 2.</t>
  </si>
  <si>
    <t>Enter the total electricity generation from all combusted fuel on row 45 of the table for production class 2a in baseline year 2.</t>
  </si>
  <si>
    <t>Enter the total electricity generation from all combusted fuel on row 46 of the table for production class 2a in baseline year 2.</t>
  </si>
  <si>
    <t>Enter the total electricity generation from all combusted fuel on row 47 of the table for production class 2a in baseline year 2.</t>
  </si>
  <si>
    <t>Enter the total electricity generation from all combusted fuel on row 48 of the table for production class 2a in baseline year 2.</t>
  </si>
  <si>
    <t>Enter the total electricity generation from all combusted fuel on row 49 of the table for production class 2a in baseline year 2.</t>
  </si>
  <si>
    <t>Enter the total electricity generation from all combusted fuel on row 50 of the table for production class 2a in baseline year 2.</t>
  </si>
  <si>
    <t>Enter the volume of associated gas on row 1 of the table for production class 2a in baseline year 2.</t>
  </si>
  <si>
    <t>Enter the volume of associated gas on row 2 of the table for production class 2a in baseline year 2.</t>
  </si>
  <si>
    <t>Enter the volume of associated gas on row 3 of the table for production class 2a in baseline year 2.</t>
  </si>
  <si>
    <t>Enter the volume of associated gas on row 4 of the table for production class 2a in baseline year 2.</t>
  </si>
  <si>
    <t>Enter the volume of associated gas on row 5 of the table for production class 2a in baseline year 2.</t>
  </si>
  <si>
    <t>Enter the volume of associated gas on row 6 of the table for production class 2a in baseline year 2.</t>
  </si>
  <si>
    <t>Enter the volume of associated gas on row 7 of the table for production class 2a in baseline year 2.</t>
  </si>
  <si>
    <t>Enter the volume of associated gas on row 8 of the table for production class 2a in baseline year 2.</t>
  </si>
  <si>
    <t>Enter the volume of associated gas on row 9 of the table for production class 2a in baseline year 2.</t>
  </si>
  <si>
    <t>Enter the volume of associated gas on row 10 of the table for production class 2a in baseline year 2.</t>
  </si>
  <si>
    <t>Enter the volume of associated gas on row 11 of the table for production class 2a in baseline year 2.</t>
  </si>
  <si>
    <t>Enter the volume of associated gas on row 12 of the table for production class 2a in baseline year 2.</t>
  </si>
  <si>
    <t>Enter the volume of associated gas on row 13 of the table for production class 2a in baseline year 2.</t>
  </si>
  <si>
    <t>Enter the volume of associated gas on row 14 of the table for production class 2a in baseline year 2.</t>
  </si>
  <si>
    <t>Enter the volume of associated gas on row 15 of the table for production class 2a in baseline year 2.</t>
  </si>
  <si>
    <t>Enter the volume of associated gas on row 16 of the table for production class 2a in baseline year 2.</t>
  </si>
  <si>
    <t>Enter the volume of associated gas on row 17 of the table for production class 2a in baseline year 2.</t>
  </si>
  <si>
    <t>Enter the volume of associated gas on row 18 of the table for production class 2a in baseline year 2.</t>
  </si>
  <si>
    <t>Enter the volume of associated gas on row 19 of the table for production class 2a in baseline year 2.</t>
  </si>
  <si>
    <t>Enter the volume of associated gas on row 20 of the table for production class 2a in baseline year 2.</t>
  </si>
  <si>
    <t>Enter the volume of associated gas on row 21 of the table for production class 2a in baseline year 2.</t>
  </si>
  <si>
    <t>Enter the volume of associated gas on row 22 of the table for production class 2a in baseline year 2.</t>
  </si>
  <si>
    <t>Enter the volume of associated gas on row 23 of the table for production class 2a in baseline year 2.</t>
  </si>
  <si>
    <t>Enter the volume of associated gas on row 24 of the table for production class 2a in baseline year 2.</t>
  </si>
  <si>
    <t>Enter the volume of associated gas on row 25 of the table for production class 2a in baseline year 2.</t>
  </si>
  <si>
    <t>Enter the volume of associated gas on row 26 of the table for production class 2a in baseline year 2.</t>
  </si>
  <si>
    <t>Enter the volume of associated gas on row 27 of the table for production class 2a in baseline year 2.</t>
  </si>
  <si>
    <t>Enter the volume of associated gas on row 28 of the table for production class 2a in baseline year 2.</t>
  </si>
  <si>
    <t>Enter the volume of associated gas on row 29 of the table for production class 2a in baseline year 2.</t>
  </si>
  <si>
    <t>Enter the volume of associated gas on row 30 of the table for production class 2a in baseline year 2.</t>
  </si>
  <si>
    <t>Enter the volume of associated gas on row 31 of the table for production class 2a in baseline year 2.</t>
  </si>
  <si>
    <t>Enter the volume of associated gas on row 32 of the table for production class 2a in baseline year 2.</t>
  </si>
  <si>
    <t>Enter the volume of associated gas on row 33 of the table for production class 2a in baseline year 2.</t>
  </si>
  <si>
    <t>Enter the volume of associated gas on row 34 of the table for production class 2a in baseline year 2.</t>
  </si>
  <si>
    <t>Enter the volume of associated gas on row 35 of the table for production class 2a in baseline year 2.</t>
  </si>
  <si>
    <t>Enter the volume of associated gas on row 36 of the table for production class 2a in baseline year 2.</t>
  </si>
  <si>
    <t>Enter the volume of associated gas on row 37 of the table for production class 2a in baseline year 2.</t>
  </si>
  <si>
    <t>Enter the volume of associated gas on row 38 of the table for production class 2a in baseline year 2.</t>
  </si>
  <si>
    <t>Enter the volume of associated gas on row 39 of the table for production class 2a in baseline year 2.</t>
  </si>
  <si>
    <t>Enter the volume of associated gas on row 40 of the table for production class 2a in baseline year 2.</t>
  </si>
  <si>
    <t>Enter the volume of associated gas on row 41 of the table for production class 2a in baseline year 2.</t>
  </si>
  <si>
    <t>Enter the volume of associated gas on row 42 of the table for production class 2a in baseline year 2.</t>
  </si>
  <si>
    <t>Enter the volume of associated gas on row 43 of the table for production class 2a in baseline year 2.</t>
  </si>
  <si>
    <t>Enter the volume of associated gas on row 44 of the table for production class 2a in baseline year 2.</t>
  </si>
  <si>
    <t>Enter the volume of associated gas on row 45 of the table for production class 2a in baseline year 2.</t>
  </si>
  <si>
    <t>Enter the volume of associated gas on row 46 of the table for production class 2a in baseline year 2.</t>
  </si>
  <si>
    <t>Enter the volume of associated gas on row 47 of the table for production class 2a in baseline year 2.</t>
  </si>
  <si>
    <t>Enter the volume of associated gas on row 48 of the table for production class 2a in baseline year 2.</t>
  </si>
  <si>
    <t>Enter the volume of associated gas on row 49 of the table for production class 2a in baseline year 2.</t>
  </si>
  <si>
    <t>Enter the volume of associated gas on row 50 of the table for production class 2a in baseline year 2.</t>
  </si>
  <si>
    <t>Enter the carbon dioxide emissions from associated gas on row 1 of the table for production class 2a in baseline year 2.</t>
  </si>
  <si>
    <t>Enter the carbon dioxide emissions from associated gas on row 2 of the table for production class 2a in baseline year 2.</t>
  </si>
  <si>
    <t>Enter the carbon dioxide emissions from associated gas on row 3 of the table for production class 2a in baseline year 2.</t>
  </si>
  <si>
    <t>Enter the carbon dioxide emissions from associated gas on row 4 of the table for production class 2a in baseline year 2.</t>
  </si>
  <si>
    <t>Enter the carbon dioxide emissions from associated gas on row 5 of the table for production class 2a in baseline year 2.</t>
  </si>
  <si>
    <t>Enter the carbon dioxide emissions from associated gas on row 6 of the table for production class 2a in baseline year 2.</t>
  </si>
  <si>
    <t>Enter the carbon dioxide emissions from associated gas on row 7 of the table for production class 2a in baseline year 2.</t>
  </si>
  <si>
    <t>Enter the carbon dioxide emissions from associated gas on row 8 of the table for production class 2a in baseline year 2.</t>
  </si>
  <si>
    <t>Enter the carbon dioxide emissions from associated gas on row 9 of the table for production class 2a in baseline year 2.</t>
  </si>
  <si>
    <t>Enter the carbon dioxide emissions from associated gas on row 10 of the table for production class 2a in baseline year 2.</t>
  </si>
  <si>
    <t>Enter the carbon dioxide emissions from associated gas on row 11 of the table for production class 2a in baseline year 2.</t>
  </si>
  <si>
    <t>Enter the carbon dioxide emissions from associated gas on row 12 of the table for production class 2a in baseline year 2.</t>
  </si>
  <si>
    <t>Enter the carbon dioxide emissions from associated gas on row 13 of the table for production class 2a in baseline year 2.</t>
  </si>
  <si>
    <t>Enter the carbon dioxide emissions from associated gas on row 14 of the table for production class 2a in baseline year 2.</t>
  </si>
  <si>
    <t>Enter the carbon dioxide emissions from associated gas on row 15 of the table for production class 2a in baseline year 2.</t>
  </si>
  <si>
    <t>Enter the carbon dioxide emissions from associated gas on row 16 of the table for production class 2a in baseline year 2.</t>
  </si>
  <si>
    <t>Enter the carbon dioxide emissions from associated gas on row 17 of the table for production class 2a in baseline year 2.</t>
  </si>
  <si>
    <t>Enter the carbon dioxide emissions from associated gas on row 18 of the table for production class 2a in baseline year 2.</t>
  </si>
  <si>
    <t>Enter the carbon dioxide emissions from associated gas on row 19 of the table for production class 2a in baseline year 2.</t>
  </si>
  <si>
    <t>Enter the carbon dioxide emissions from associated gas on row 20 of the table for production class 2a in baseline year 2.</t>
  </si>
  <si>
    <t>Enter the carbon dioxide emissions from associated gas on row 21 of the table for production class 2a in baseline year 2.</t>
  </si>
  <si>
    <t>Enter the carbon dioxide emissions from associated gas on row 22 of the table for production class 2a in baseline year 2.</t>
  </si>
  <si>
    <t>Enter the carbon dioxide emissions from associated gas on row 23 of the table for production class 2a in baseline year 2.</t>
  </si>
  <si>
    <t>Enter the carbon dioxide emissions from associated gas on row 24 of the table for production class 2a in baseline year 2.</t>
  </si>
  <si>
    <t>Enter the carbon dioxide emissions from associated gas on row 25 of the table for production class 2a in baseline year 2.</t>
  </si>
  <si>
    <t>Enter the carbon dioxide emissions from associated gas on row 26 of the table for production class 2a in baseline year 2.</t>
  </si>
  <si>
    <t>Enter the carbon dioxide emissions from associated gas on row 27 of the table for production class 2a in baseline year 2.</t>
  </si>
  <si>
    <t>Enter the carbon dioxide emissions from associated gas on row 28 of the table for production class 2a in baseline year 2.</t>
  </si>
  <si>
    <t>Enter the carbon dioxide emissions from associated gas on row 29 of the table for production class 2a in baseline year 2.</t>
  </si>
  <si>
    <t>Enter the carbon dioxide emissions from associated gas on row 30 of the table for production class 2a in baseline year 2.</t>
  </si>
  <si>
    <t>Enter the carbon dioxide emissions from associated gas on row 31 of the table for production class 2a in baseline year 2.</t>
  </si>
  <si>
    <t>Enter the carbon dioxide emissions from associated gas on row 32 of the table for production class 2a in baseline year 2.</t>
  </si>
  <si>
    <t>Enter the carbon dioxide emissions from associated gas on row 33 of the table for production class 2a in baseline year 2.</t>
  </si>
  <si>
    <t>Enter the carbon dioxide emissions from associated gas on row 34 of the table for production class 2a in baseline year 2.</t>
  </si>
  <si>
    <t>Enter the carbon dioxide emissions from associated gas on row 35 of the table for production class 2a in baseline year 2.</t>
  </si>
  <si>
    <t>Enter the carbon dioxide emissions from associated gas on row 36 of the table for production class 2a in baseline year 2.</t>
  </si>
  <si>
    <t>Enter the carbon dioxide emissions from associated gas on row 37 of the table for production class 2a in baseline year 2.</t>
  </si>
  <si>
    <t>Enter the carbon dioxide emissions from associated gas on row 38 of the table for production class 2a in baseline year 2.</t>
  </si>
  <si>
    <t>Enter the carbon dioxide emissions from associated gas on row 39 of the table for production class 2a in baseline year 2.</t>
  </si>
  <si>
    <t>Enter the carbon dioxide emissions from associated gas on row 40 of the table for production class 2a in baseline year 2.</t>
  </si>
  <si>
    <t>Enter the carbon dioxide emissions from associated gas on row 41 of the table for production class 2a in baseline year 2.</t>
  </si>
  <si>
    <t>Enter the carbon dioxide emissions from associated gas on row 42 of the table for production class 2a in baseline year 2.</t>
  </si>
  <si>
    <t>Enter the carbon dioxide emissions from associated gas on row 43 of the table for production class 2a in baseline year 2.</t>
  </si>
  <si>
    <t>Enter the carbon dioxide emissions from associated gas on row 44 of the table for production class 2a in baseline year 2.</t>
  </si>
  <si>
    <t>Enter the carbon dioxide emissions from associated gas on row 45 of the table for production class 2a in baseline year 2.</t>
  </si>
  <si>
    <t>Enter the carbon dioxide emissions from associated gas on row 46 of the table for production class 2a in baseline year 2.</t>
  </si>
  <si>
    <t>Enter the carbon dioxide emissions from associated gas on row 47 of the table for production class 2a in baseline year 2.</t>
  </si>
  <si>
    <t>Enter the carbon dioxide emissions from associated gas on row 48 of the table for production class 2a in baseline year 2.</t>
  </si>
  <si>
    <t>Enter the carbon dioxide emissions from associated gas on row 49 of the table for production class 2a in baseline year 2.</t>
  </si>
  <si>
    <t>Enter the carbon dioxide emissions from associated gas on row 50 of the table for production class 2a in baseline year 2.</t>
  </si>
  <si>
    <t>Enter the methane emissions from associated gas on row 1 of the table for production class 2a in baseline year 2.</t>
  </si>
  <si>
    <t>Enter the methane emissions from associated gas on row 2 of the table for production class 2a in baseline year 2.</t>
  </si>
  <si>
    <t>Enter the methane emissions from associated gas on row 3 of the table for production class 2a in baseline year 2.</t>
  </si>
  <si>
    <t>Enter the methane emissions from associated gas on row 4 of the table for production class 2a in baseline year 2.</t>
  </si>
  <si>
    <t>Enter the methane emissions from associated gas on row 5 of the table for production class 2a in baseline year 2.</t>
  </si>
  <si>
    <t>Enter the methane emissions from associated gas on row 6 of the table for production class 2a in baseline year 2.</t>
  </si>
  <si>
    <t>Enter the methane emissions from associated gas on row 7 of the table for production class 2a in baseline year 2.</t>
  </si>
  <si>
    <t>Enter the methane emissions from associated gas on row 8 of the table for production class 2a in baseline year 2.</t>
  </si>
  <si>
    <t>Enter the methane emissions from associated gas on row 9 of the table for production class 2a in baseline year 2.</t>
  </si>
  <si>
    <t>Enter the methane emissions from associated gas on row 10 of the table for production class 2a in baseline year 2.</t>
  </si>
  <si>
    <t>Enter the methane emissions from associated gas on row 11 of the table for production class 2a in baseline year 2.</t>
  </si>
  <si>
    <t>Enter the methane emissions from associated gas on row 12 of the table for production class 2a in baseline year 2.</t>
  </si>
  <si>
    <t>Enter the methane emissions from associated gas on row 13 of the table for production class 2a in baseline year 2.</t>
  </si>
  <si>
    <t>Enter the methane emissions from associated gas on row 14 of the table for production class 2a in baseline year 2.</t>
  </si>
  <si>
    <t>Enter the methane emissions from associated gas on row 15 of the table for production class 2a in baseline year 2.</t>
  </si>
  <si>
    <t>Enter the methane emissions from associated gas on row 16 of the table for production class 2a in baseline year 2.</t>
  </si>
  <si>
    <t>Enter the methane emissions from associated gas on row 17 of the table for production class 2a in baseline year 2.</t>
  </si>
  <si>
    <t>Enter the methane emissions from associated gas on row 18 of the table for production class 2a in baseline year 2.</t>
  </si>
  <si>
    <t>Enter the methane emissions from associated gas on row 19 of the table for production class 2a in baseline year 2.</t>
  </si>
  <si>
    <t>Enter the methane emissions from associated gas on row 20 of the table for production class 2a in baseline year 2.</t>
  </si>
  <si>
    <t>Enter the methane emissions from associated gas on row 21 of the table for production class 2a in baseline year 2.</t>
  </si>
  <si>
    <t>Enter the methane emissions from associated gas on row 22 of the table for production class 2a in baseline year 2.</t>
  </si>
  <si>
    <t>Enter the methane emissions from associated gas on row 23 of the table for production class 2a in baseline year 2.</t>
  </si>
  <si>
    <t>Enter the methane emissions from associated gas on row 24 of the table for production class 2a in baseline year 2.</t>
  </si>
  <si>
    <t>Enter the methane emissions from associated gas on row 25 of the table for production class 2a in baseline year 2.</t>
  </si>
  <si>
    <t>Enter the methane emissions from associated gas on row 26 of the table for production class 2a in baseline year 2.</t>
  </si>
  <si>
    <t>Enter the methane emissions from associated gas on row 27 of the table for production class 2a in baseline year 2.</t>
  </si>
  <si>
    <t>Enter the methane emissions from associated gas on row 28 of the table for production class 2a in baseline year 2.</t>
  </si>
  <si>
    <t>Enter the methane emissions from associated gas on row 29 of the table for production class 2a in baseline year 2.</t>
  </si>
  <si>
    <t>Enter the methane emissions from associated gas on row 30 of the table for production class 2a in baseline year 2.</t>
  </si>
  <si>
    <t>Enter the methane emissions from associated gas on row 31 of the table for production class 2a in baseline year 2.</t>
  </si>
  <si>
    <t>Enter the methane emissions from associated gas on row 32 of the table for production class 2a in baseline year 2.</t>
  </si>
  <si>
    <t>Enter the methane emissions from associated gas on row 33 of the table for production class 2a in baseline year 2.</t>
  </si>
  <si>
    <t>Enter the methane emissions from associated gas on row 34 of the table for production class 2a in baseline year 2.</t>
  </si>
  <si>
    <t>Enter the methane emissions from associated gas on row 35 of the table for production class 2a in baseline year 2.</t>
  </si>
  <si>
    <t>Enter the methane emissions from associated gas on row 36 of the table for production class 2a in baseline year 2.</t>
  </si>
  <si>
    <t>Enter the methane emissions from associated gas on row 37 of the table for production class 2a in baseline year 2.</t>
  </si>
  <si>
    <t>Enter the methane emissions from associated gas on row 38 of the table for production class 2a in baseline year 2.</t>
  </si>
  <si>
    <t>Enter the methane emissions from associated gas on row 39 of the table for production class 2a in baseline year 2.</t>
  </si>
  <si>
    <t>Enter the methane emissions from associated gas on row 40 of the table for production class 2a in baseline year 2.</t>
  </si>
  <si>
    <t>Enter the methane emissions from associated gas on row 41 of the table for production class 2a in baseline year 2.</t>
  </si>
  <si>
    <t>Enter the methane emissions from associated gas on row 42 of the table for production class 2a in baseline year 2.</t>
  </si>
  <si>
    <t>Enter the methane emissions from associated gas on row 43 of the table for production class 2a in baseline year 2.</t>
  </si>
  <si>
    <t>Enter the methane emissions from associated gas on row 44 of the table for production class 2a in baseline year 2.</t>
  </si>
  <si>
    <t>Enter the methane emissions from associated gas on row 45 of the table for production class 2a in baseline year 2.</t>
  </si>
  <si>
    <t>Enter the methane emissions from associated gas on row 46 of the table for production class 2a in baseline year 2.</t>
  </si>
  <si>
    <t>Enter the methane emissions from associated gas on row 47 of the table for production class 2a in baseline year 2.</t>
  </si>
  <si>
    <t>Enter the methane emissions from associated gas on row 48 of the table for production class 2a in baseline year 2.</t>
  </si>
  <si>
    <t>Enter the methane emissions from associated gas on row 49 of the table for production class 2a in baseline year 2.</t>
  </si>
  <si>
    <t>Enter the methane emissions from associated gas on row 50 of the table for production class 2a in baseline year 2.</t>
  </si>
  <si>
    <t>Enter the nitrous oxide emissions from associated gas on row 1 of the table for production class 2a in baseline year 2.</t>
  </si>
  <si>
    <t>Enter the nitrous oxide emissions from associated gas on row 2 of the table for production class 2a in baseline year 2.</t>
  </si>
  <si>
    <t>Enter the nitrous oxide emissions from associated gas on row 3 of the table for production class 2a in baseline year 2.</t>
  </si>
  <si>
    <t>Enter the nitrous oxide emissions from associated gas on row 4 of the table for production class 2a in baseline year 2.</t>
  </si>
  <si>
    <t>Enter the nitrous oxide emissions from associated gas on row 5 of the table for production class 2a in baseline year 2.</t>
  </si>
  <si>
    <t>Enter the nitrous oxide emissions from associated gas on row 6 of the table for production class 2a in baseline year 2.</t>
  </si>
  <si>
    <t>Enter the nitrous oxide emissions from associated gas on row 7 of the table for production class 2a in baseline year 2.</t>
  </si>
  <si>
    <t>Enter the nitrous oxide emissions from associated gas on row 8 of the table for production class 2a in baseline year 2.</t>
  </si>
  <si>
    <t>Enter the nitrous oxide emissions from associated gas on row 9 of the table for production class 2a in baseline year 2.</t>
  </si>
  <si>
    <t>Enter the nitrous oxide emissions from associated gas on row 10 of the table for production class 2a in baseline year 2.</t>
  </si>
  <si>
    <t>Enter the nitrous oxide emissions from associated gas on row 11 of the table for production class 2a in baseline year 2.</t>
  </si>
  <si>
    <t>Enter the nitrous oxide emissions from associated gas on row 12 of the table for production class 2a in baseline year 2.</t>
  </si>
  <si>
    <t>Enter the nitrous oxide emissions from associated gas on row 13 of the table for production class 2a in baseline year 2.</t>
  </si>
  <si>
    <t>Enter the nitrous oxide emissions from associated gas on row 14 of the table for production class 2a in baseline year 2.</t>
  </si>
  <si>
    <t>Enter the nitrous oxide emissions from associated gas on row 15 of the table for production class 2a in baseline year 2.</t>
  </si>
  <si>
    <t>Enter the nitrous oxide emissions from associated gas on row 16 of the table for production class 2a in baseline year 2.</t>
  </si>
  <si>
    <t>Enter the nitrous oxide emissions from associated gas on row 17 of the table for production class 2a in baseline year 2.</t>
  </si>
  <si>
    <t>Enter the nitrous oxide emissions from associated gas on row 18 of the table for production class 2a in baseline year 2.</t>
  </si>
  <si>
    <t>Enter the nitrous oxide emissions from associated gas on row 19 of the table for production class 2a in baseline year 2.</t>
  </si>
  <si>
    <t>Enter the nitrous oxide emissions from associated gas on row 20 of the table for production class 2a in baseline year 2.</t>
  </si>
  <si>
    <t>Enter the nitrous oxide emissions from associated gas on row 21 of the table for production class 2a in baseline year 2.</t>
  </si>
  <si>
    <t>Enter the nitrous oxide emissions from associated gas on row 22 of the table for production class 2a in baseline year 2.</t>
  </si>
  <si>
    <t>Enter the nitrous oxide emissions from associated gas on row 23 of the table for production class 2a in baseline year 2.</t>
  </si>
  <si>
    <t>Enter the nitrous oxide emissions from associated gas on row 24 of the table for production class 2a in baseline year 2.</t>
  </si>
  <si>
    <t>Enter the nitrous oxide emissions from associated gas on row 25 of the table for production class 2a in baseline year 2.</t>
  </si>
  <si>
    <t>Enter the nitrous oxide emissions from associated gas on row 26 of the table for production class 2a in baseline year 2.</t>
  </si>
  <si>
    <t>Enter the nitrous oxide emissions from associated gas on row 27 of the table for production class 2a in baseline year 2.</t>
  </si>
  <si>
    <t>Enter the nitrous oxide emissions from associated gas on row 28 of the table for production class 2a in baseline year 2.</t>
  </si>
  <si>
    <t>Enter the nitrous oxide emissions from associated gas on row 29 of the table for production class 2a in baseline year 2.</t>
  </si>
  <si>
    <t>Enter the nitrous oxide emissions from associated gas on row 30 of the table for production class 2a in baseline year 2.</t>
  </si>
  <si>
    <t>Enter the nitrous oxide emissions from associated gas on row 31 of the table for production class 2a in baseline year 2.</t>
  </si>
  <si>
    <t>Enter the nitrous oxide emissions from associated gas on row 32 of the table for production class 2a in baseline year 2.</t>
  </si>
  <si>
    <t>Enter the nitrous oxide emissions from associated gas on row 33 of the table for production class 2a in baseline year 2.</t>
  </si>
  <si>
    <t>Enter the nitrous oxide emissions from associated gas on row 34 of the table for production class 2a in baseline year 2.</t>
  </si>
  <si>
    <t>Enter the nitrous oxide emissions from associated gas on row 35 of the table for production class 2a in baseline year 2.</t>
  </si>
  <si>
    <t>Enter the nitrous oxide emissions from associated gas on row 36 of the table for production class 2a in baseline year 2.</t>
  </si>
  <si>
    <t>Enter the nitrous oxide emissions from associated gas on row 37 of the table for production class 2a in baseline year 2.</t>
  </si>
  <si>
    <t>Enter the nitrous oxide emissions from associated gas on row 38 of the table for production class 2a in baseline year 2.</t>
  </si>
  <si>
    <t>Enter the nitrous oxide emissions from associated gas on row 39 of the table for production class 2a in baseline year 2.</t>
  </si>
  <si>
    <t>Enter the nitrous oxide emissions from associated gas on row 40 of the table for production class 2a in baseline year 2.</t>
  </si>
  <si>
    <t>Enter the nitrous oxide emissions from associated gas on row 41 of the table for production class 2a in baseline year 2.</t>
  </si>
  <si>
    <t>Enter the nitrous oxide emissions from associated gas on row 42 of the table for production class 2a in baseline year 2.</t>
  </si>
  <si>
    <t>Enter the nitrous oxide emissions from associated gas on row 43 of the table for production class 2a in baseline year 2.</t>
  </si>
  <si>
    <t>Enter the nitrous oxide emissions from associated gas on row 44 of the table for production class 2a in baseline year 2.</t>
  </si>
  <si>
    <t>Enter the nitrous oxide emissions from associated gas on row 45 of the table for production class 2a in baseline year 2.</t>
  </si>
  <si>
    <t>Enter the nitrous oxide emissions from associated gas on row 46 of the table for production class 2a in baseline year 2.</t>
  </si>
  <si>
    <t>Enter the nitrous oxide emissions from associated gas on row 47 of the table for production class 2a in baseline year 2.</t>
  </si>
  <si>
    <t>Enter the nitrous oxide emissions from associated gas on row 48 of the table for production class 2a in baseline year 2.</t>
  </si>
  <si>
    <t>Enter the nitrous oxide emissions from associated gas on row 49 of the table for production class 2a in baseline year 2.</t>
  </si>
  <si>
    <t>Enter the nitrous oxide emissions from associated gas on row 50 of the table for production class 2a in baseline year 2.</t>
  </si>
  <si>
    <t>Enter the number of units within the gas-to-power operation for production class 2b in baseline year 1.</t>
  </si>
  <si>
    <t>Enter the energy in the combusted associated gas on row 1 of the table for production class 2b in baseline year 1.</t>
  </si>
  <si>
    <t>Enter the energy in the combusted associated gas on row 2 of the table for production class 2b in baseline year 1.</t>
  </si>
  <si>
    <t>Enter the energy in the combusted associated gas on row 3 of the table for production class 2b in baseline year 1.</t>
  </si>
  <si>
    <t>Enter the energy in the combusted associated gas on row 4 of the table for production class 2b in baseline year 1.</t>
  </si>
  <si>
    <t>Enter the energy in the combusted associated gas on row 5 of the table for production class 2b in baseline year 1.</t>
  </si>
  <si>
    <t>Enter the energy in the combusted associated gas on row 6 of the table for production class 2b in baseline year 1.</t>
  </si>
  <si>
    <t>Enter the energy in the combusted associated gas on row 7 of the table for production class 2b in baseline year 1.</t>
  </si>
  <si>
    <t>Enter the energy in the combusted associated gas on row 8 of the table for production class 2b in baseline year 1.</t>
  </si>
  <si>
    <t>Enter the energy in the combusted associated gas on row 9 of the table for production class 2b in baseline year 1.</t>
  </si>
  <si>
    <t>Enter the energy in the combusted associated gas on row 10 of the table for production class 2b in baseline year 1.</t>
  </si>
  <si>
    <t>Enter the energy in the combusted associated gas on row 11 of the table for production class 2b in baseline year 1.</t>
  </si>
  <si>
    <t>Enter the energy in the combusted associated gas on row 12 of the table for production class 2b in baseline year 1.</t>
  </si>
  <si>
    <t>Enter the energy in the combusted associated gas on row 13 of the table for production class 2b in baseline year 1.</t>
  </si>
  <si>
    <t>Enter the energy in the combusted associated gas on row 14 of the table for production class 2b in baseline year 1.</t>
  </si>
  <si>
    <t>Enter the energy in the combusted associated gas on row 15 of the table for production class 2b in baseline year 1.</t>
  </si>
  <si>
    <t>Enter the energy in the combusted associated gas on row 16 of the table for production class 2b in baseline year 1.</t>
  </si>
  <si>
    <t>Enter the energy in the combusted associated gas on row 17 of the table for production class 2b in baseline year 1.</t>
  </si>
  <si>
    <t>Enter the energy in the combusted associated gas on row 18 of the table for production class 2b in baseline year 1.</t>
  </si>
  <si>
    <t>Enter the energy in the combusted associated gas on row 19 of the table for production class 2b in baseline year 1.</t>
  </si>
  <si>
    <t>Enter the energy in the combusted associated gas on row 20 of the table for production class 2b in baseline year 1.</t>
  </si>
  <si>
    <t>Enter the energy in the combusted associated gas on row 21 of the table for production class 2b in baseline year 1.</t>
  </si>
  <si>
    <t>Enter the energy in the combusted associated gas on row 22 of the table for production class 2b in baseline year 1.</t>
  </si>
  <si>
    <t>Enter the energy in the combusted associated gas on row 23 of the table for production class 2b in baseline year 1.</t>
  </si>
  <si>
    <t>Enter the energy in the combusted associated gas on row 24 of the table for production class 2b in baseline year 1.</t>
  </si>
  <si>
    <t>Enter the energy in the combusted associated gas on row 25 of the table for production class 2b in baseline year 1.</t>
  </si>
  <si>
    <t>Enter the energy in the combusted associated gas on row 26 of the table for production class 2b in baseline year 1.</t>
  </si>
  <si>
    <t>Enter the energy in the combusted associated gas on row 27 of the table for production class 2b in baseline year 1.</t>
  </si>
  <si>
    <t>Enter the energy in the combusted associated gas on row 28 of the table for production class 2b in baseline year 1.</t>
  </si>
  <si>
    <t>Enter the energy in the combusted associated gas on row 29 of the table for production class 2b in baseline year 1.</t>
  </si>
  <si>
    <t>Enter the energy in the combusted associated gas on row 30 of the table for production class 2b in baseline year 1.</t>
  </si>
  <si>
    <t>Enter the energy in the combusted associated gas on row 31 of the table for production class 2b in baseline year 1.</t>
  </si>
  <si>
    <t>Enter the energy in the combusted associated gas on row 32 of the table for production class 2b in baseline year 1.</t>
  </si>
  <si>
    <t>Enter the energy in the combusted associated gas on row 33 of the table for production class 2b in baseline year 1.</t>
  </si>
  <si>
    <t>Enter the energy in the combusted associated gas on row 34 of the table for production class 2b in baseline year 1.</t>
  </si>
  <si>
    <t>Enter the energy in the combusted associated gas on row 35 of the table for production class 2b in baseline year 1.</t>
  </si>
  <si>
    <t>Enter the energy in the combusted associated gas on row 36 of the table for production class 2b in baseline year 1.</t>
  </si>
  <si>
    <t>Enter the energy in the combusted associated gas on row 37 of the table for production class 2b in baseline year 1.</t>
  </si>
  <si>
    <t>Enter the energy in the combusted associated gas on row 38 of the table for production class 2b in baseline year 1.</t>
  </si>
  <si>
    <t>Enter the energy in the combusted associated gas on row 39 of the table for production class 2b in baseline year 1.</t>
  </si>
  <si>
    <t>Enter the energy in the combusted associated gas on row 40 of the table for production class 2b in baseline year 1.</t>
  </si>
  <si>
    <t>Enter the energy in the combusted associated gas on row 41 of the table for production class 2b in baseline year 1.</t>
  </si>
  <si>
    <t>Enter the energy in the combusted associated gas on row 42 of the table for production class 2b in baseline year 1.</t>
  </si>
  <si>
    <t>Enter the energy in the combusted associated gas on row 43 of the table for production class 2b in baseline year 1.</t>
  </si>
  <si>
    <t>Enter the energy in the combusted associated gas on row 44 of the table for production class 2b in baseline year 1.</t>
  </si>
  <si>
    <t>Enter the energy in the combusted associated gas on row 45 of the table for production class 2b in baseline year 1.</t>
  </si>
  <si>
    <t>Enter the energy in the combusted associated gas on row 46 of the table for production class 2b in baseline year 1.</t>
  </si>
  <si>
    <t>Enter the energy in the combusted associated gas on row 47 of the table for production class 2b in baseline year 1.</t>
  </si>
  <si>
    <t>Enter the energy in the combusted associated gas on row 48 of the table for production class 2b in baseline year 1.</t>
  </si>
  <si>
    <t>Enter the energy in the combusted associated gas on row 49 of the table for production class 2b in baseline year 1.</t>
  </si>
  <si>
    <t>Enter the energy in the combusted associated gas on row 50 of the table for production class 2b in baseline year 1.</t>
  </si>
  <si>
    <t>Enter the total energy in all combusted fuel on row 1 of the table for production class 2b in baseline year 1.</t>
  </si>
  <si>
    <t>Enter the total energy in all combusted fuel on row 2 of the table for production class 2b in baseline year 1.</t>
  </si>
  <si>
    <t>Enter the total energy in all combusted fuel on row 3 of the table for production class 2b in baseline year 1.</t>
  </si>
  <si>
    <t>Enter the total energy in all combusted fuel on row 4 of the table for production class 2b in baseline year 1.</t>
  </si>
  <si>
    <t>Enter the total energy in all combusted fuel on row 5 of the table for production class 2b in baseline year 1.</t>
  </si>
  <si>
    <t>Enter the total energy in all combusted fuel on row 6 of the table for production class 2b in baseline year 1.</t>
  </si>
  <si>
    <t>Enter the total energy in all combusted fuel on row 7 of the table for production class 2b in baseline year 1.</t>
  </si>
  <si>
    <t>Enter the total energy in all combusted fuel on row 8 of the table for production class 2b in baseline year 1.</t>
  </si>
  <si>
    <t>Enter the total energy in all combusted fuel on row 9 of the table for production class 2b in baseline year 1.</t>
  </si>
  <si>
    <t>Enter the total energy in all combusted fuel on row 10 of the table for production class 2b in baseline year 1.</t>
  </si>
  <si>
    <t>Enter the total energy in all combusted fuel on row 11 of the table for production class 2b in baseline year 1.</t>
  </si>
  <si>
    <t>Enter the total energy in all combusted fuel on row 12 of the table for production class 2b in baseline year 1.</t>
  </si>
  <si>
    <t>Enter the total energy in all combusted fuel on row 13 of the table for production class 2b in baseline year 1.</t>
  </si>
  <si>
    <t>Enter the total energy in all combusted fuel on row 14 of the table for production class 2b in baseline year 1.</t>
  </si>
  <si>
    <t>Enter the total energy in all combusted fuel on row 15 of the table for production class 2b in baseline year 1.</t>
  </si>
  <si>
    <t>Enter the total energy in all combusted fuel on row 16 of the table for production class 2b in baseline year 1.</t>
  </si>
  <si>
    <t>Enter the total energy in all combusted fuel on row 17 of the table for production class 2b in baseline year 1.</t>
  </si>
  <si>
    <t>Enter the total energy in all combusted fuel on row 18 of the table for production class 2b in baseline year 1.</t>
  </si>
  <si>
    <t>Enter the total energy in all combusted fuel on row 19 of the table for production class 2b in baseline year 1.</t>
  </si>
  <si>
    <t>Enter the total energy in all combusted fuel on row 20 of the table for production class 2b in baseline year 1.</t>
  </si>
  <si>
    <t>Enter the total energy in all combusted fuel on row 21 of the table for production class 2b in baseline year 1.</t>
  </si>
  <si>
    <t>Enter the total energy in all combusted fuel on row 22 of the table for production class 2b in baseline year 1.</t>
  </si>
  <si>
    <t>Enter the total energy in all combusted fuel on row 23 of the table for production class 2b in baseline year 1.</t>
  </si>
  <si>
    <t>Enter the total energy in all combusted fuel on row 24 of the table for production class 2b in baseline year 1.</t>
  </si>
  <si>
    <t>Enter the total energy in all combusted fuel on row 25 of the table for production class 2b in baseline year 1.</t>
  </si>
  <si>
    <t>Enter the total energy in all combusted fuel on row 26 of the table for production class 2b in baseline year 1.</t>
  </si>
  <si>
    <t>Enter the total energy in all combusted fuel on row 27 of the table for production class 2b in baseline year 1.</t>
  </si>
  <si>
    <t>Enter the total energy in all combusted fuel on row 28 of the table for production class 2b in baseline year 1.</t>
  </si>
  <si>
    <t>Enter the total energy in all combusted fuel on row 29 of the table for production class 2b in baseline year 1.</t>
  </si>
  <si>
    <t>Enter the total energy in all combusted fuel on row 30 of the table for production class 2b in baseline year 1.</t>
  </si>
  <si>
    <t>Enter the total energy in all combusted fuel on row 31 of the table for production class 2b in baseline year 1.</t>
  </si>
  <si>
    <t>Enter the total energy in all combusted fuel on row 32 of the table for production class 2b in baseline year 1.</t>
  </si>
  <si>
    <t>Enter the total energy in all combusted fuel on row 33 of the table for production class 2b in baseline year 1.</t>
  </si>
  <si>
    <t>Enter the total energy in all combusted fuel on row 34 of the table for production class 2b in baseline year 1.</t>
  </si>
  <si>
    <t>Enter the total energy in all combusted fuel on row 35 of the table for production class 2b in baseline year 1.</t>
  </si>
  <si>
    <t>Enter the total energy in all combusted fuel on row 36 of the table for production class 2b in baseline year 1.</t>
  </si>
  <si>
    <t>Enter the total energy in all combusted fuel on row 37 of the table for production class 2b in baseline year 1.</t>
  </si>
  <si>
    <t>Enter the total energy in all combusted fuel on row 38 of the table for production class 2b in baseline year 1.</t>
  </si>
  <si>
    <t>Enter the total energy in all combusted fuel on row 39 of the table for production class 2b in baseline year 1.</t>
  </si>
  <si>
    <t>Enter the total energy in all combusted fuel on row 40 of the table for production class 2b in baseline year 1.</t>
  </si>
  <si>
    <t>Enter the total energy in all combusted fuel on row 41 of the table for production class 2b in baseline year 1.</t>
  </si>
  <si>
    <t>Enter the total energy in all combusted fuel on row 42 of the table for production class 2b in baseline year 1.</t>
  </si>
  <si>
    <t>Enter the total energy in all combusted fuel on row 43 of the table for production class 2b in baseline year 1.</t>
  </si>
  <si>
    <t>Enter the total energy in all combusted fuel on row 44 of the table for production class 2b in baseline year 1.</t>
  </si>
  <si>
    <t>Enter the total energy in all combusted fuel on row 45 of the table for production class 2b in baseline year 1.</t>
  </si>
  <si>
    <t>Enter the total energy in all combusted fuel on row 46 of the table for production class 2b in baseline year 1.</t>
  </si>
  <si>
    <t>Enter the total energy in all combusted fuel on row 47 of the table for production class 2b in baseline year 1.</t>
  </si>
  <si>
    <t>Enter the total energy in all combusted fuel on row 48 of the table for production class 2b in baseline year 1.</t>
  </si>
  <si>
    <t>Enter the total energy in all combusted fuel on row 49 of the table for production class 2b in baseline year 1.</t>
  </si>
  <si>
    <t>Enter the total energy in all combusted fuel on row 50 of the table for production class 2b in baseline year 1.</t>
  </si>
  <si>
    <t>Enter the total electricity generation from all combusted fuel on row 1 of the table for production class 2b in baseline year 1.</t>
  </si>
  <si>
    <t>Enter the total electricity generation from all combusted fuel on row 2 of the table for production class 2b in baseline year 1.</t>
  </si>
  <si>
    <t>Enter the total electricity generation from all combusted fuel on row 3 of the table for production class 2b in baseline year 1.</t>
  </si>
  <si>
    <t>Enter the total electricity generation from all combusted fuel on row 4 of the table for production class 2b in baseline year 1.</t>
  </si>
  <si>
    <t>Enter the total electricity generation from all combusted fuel on row 5 of the table for production class 2b in baseline year 1.</t>
  </si>
  <si>
    <t>Enter the total electricity generation from all combusted fuel on row 6 of the table for production class 2b in baseline year 1.</t>
  </si>
  <si>
    <t>Enter the total electricity generation from all combusted fuel on row 7 of the table for production class 2b in baseline year 1.</t>
  </si>
  <si>
    <t>Enter the total electricity generation from all combusted fuel on row 8 of the table for production class 2b in baseline year 1.</t>
  </si>
  <si>
    <t>Enter the total electricity generation from all combusted fuel on row 9 of the table for production class 2b in baseline year 1.</t>
  </si>
  <si>
    <t>Enter the total electricity generation from all combusted fuel on row 10 of the table for production class 2b in baseline year 1.</t>
  </si>
  <si>
    <t>Enter the total electricity generation from all combusted fuel on row 11 of the table for production class 2b in baseline year 1.</t>
  </si>
  <si>
    <t>Enter the total electricity generation from all combusted fuel on row 12 of the table for production class 2b in baseline year 1.</t>
  </si>
  <si>
    <t>Enter the total electricity generation from all combusted fuel on row 13 of the table for production class 2b in baseline year 1.</t>
  </si>
  <si>
    <t>Enter the total electricity generation from all combusted fuel on row 14 of the table for production class 2b in baseline year 1.</t>
  </si>
  <si>
    <t>Enter the total electricity generation from all combusted fuel on row 15 of the table for production class 2b in baseline year 1.</t>
  </si>
  <si>
    <t>Enter the total electricity generation from all combusted fuel on row 16 of the table for production class 2b in baseline year 1.</t>
  </si>
  <si>
    <t>Enter the total electricity generation from all combusted fuel on row 17 of the table for production class 2b in baseline year 1.</t>
  </si>
  <si>
    <t>Enter the total electricity generation from all combusted fuel on row 18 of the table for production class 2b in baseline year 1.</t>
  </si>
  <si>
    <t>Enter the total electricity generation from all combusted fuel on row 19 of the table for production class 2b in baseline year 1.</t>
  </si>
  <si>
    <t>Enter the total electricity generation from all combusted fuel on row 20 of the table for production class 2b in baseline year 1.</t>
  </si>
  <si>
    <t>Enter the total electricity generation from all combusted fuel on row 21 of the table for production class 2b in baseline year 1.</t>
  </si>
  <si>
    <t>Enter the total electricity generation from all combusted fuel on row 22 of the table for production class 2b in baseline year 1.</t>
  </si>
  <si>
    <t>Enter the total electricity generation from all combusted fuel on row 23 of the table for production class 2b in baseline year 1.</t>
  </si>
  <si>
    <t>Enter the total electricity generation from all combusted fuel on row 24 of the table for production class 2b in baseline year 1.</t>
  </si>
  <si>
    <t>Enter the total electricity generation from all combusted fuel on row 25 of the table for production class 2b in baseline year 1.</t>
  </si>
  <si>
    <t>Enter the total electricity generation from all combusted fuel on row 26 of the table for production class 2b in baseline year 1.</t>
  </si>
  <si>
    <t>Enter the total electricity generation from all combusted fuel on row 27 of the table for production class 2b in baseline year 1.</t>
  </si>
  <si>
    <t>Enter the total electricity generation from all combusted fuel on row 28 of the table for production class 2b in baseline year 1.</t>
  </si>
  <si>
    <t>Enter the total electricity generation from all combusted fuel on row 29 of the table for production class 2b in baseline year 1.</t>
  </si>
  <si>
    <t>Enter the total electricity generation from all combusted fuel on row 30 of the table for production class 2b in baseline year 1.</t>
  </si>
  <si>
    <t>Enter the total electricity generation from all combusted fuel on row 31 of the table for production class 2b in baseline year 1.</t>
  </si>
  <si>
    <t>Enter the total electricity generation from all combusted fuel on row 32 of the table for production class 2b in baseline year 1.</t>
  </si>
  <si>
    <t>Enter the total electricity generation from all combusted fuel on row 33 of the table for production class 2b in baseline year 1.</t>
  </si>
  <si>
    <t>Enter the total electricity generation from all combusted fuel on row 34 of the table for production class 2b in baseline year 1.</t>
  </si>
  <si>
    <t>Enter the total electricity generation from all combusted fuel on row 35 of the table for production class 2b in baseline year 1.</t>
  </si>
  <si>
    <t>Enter the total electricity generation from all combusted fuel on row 36 of the table for production class 2b in baseline year 1.</t>
  </si>
  <si>
    <t>Enter the total electricity generation from all combusted fuel on row 37 of the table for production class 2b in baseline year 1.</t>
  </si>
  <si>
    <t>Enter the total electricity generation from all combusted fuel on row 38 of the table for production class 2b in baseline year 1.</t>
  </si>
  <si>
    <t>Enter the total electricity generation from all combusted fuel on row 39 of the table for production class 2b in baseline year 1.</t>
  </si>
  <si>
    <t>Enter the total electricity generation from all combusted fuel on row 40 of the table for production class 2b in baseline year 1.</t>
  </si>
  <si>
    <t>Enter the total electricity generation from all combusted fuel on row 41 of the table for production class 2b in baseline year 1.</t>
  </si>
  <si>
    <t>Enter the total electricity generation from all combusted fuel on row 42 of the table for production class 2b in baseline year 1.</t>
  </si>
  <si>
    <t>Enter the total electricity generation from all combusted fuel on row 43 of the table for production class 2b in baseline year 1.</t>
  </si>
  <si>
    <t>Enter the total electricity generation from all combusted fuel on row 44 of the table for production class 2b in baseline year 1.</t>
  </si>
  <si>
    <t>Enter the total electricity generation from all combusted fuel on row 45 of the table for production class 2b in baseline year 1.</t>
  </si>
  <si>
    <t>Enter the total electricity generation from all combusted fuel on row 46 of the table for production class 2b in baseline year 1.</t>
  </si>
  <si>
    <t>Enter the total electricity generation from all combusted fuel on row 47 of the table for production class 2b in baseline year 1.</t>
  </si>
  <si>
    <t>Enter the total electricity generation from all combusted fuel on row 48 of the table for production class 2b in baseline year 1.</t>
  </si>
  <si>
    <t>Enter the total electricity generation from all combusted fuel on row 49 of the table for production class 2b in baseline year 1.</t>
  </si>
  <si>
    <t>Enter the total electricity generation from all combusted fuel on row 50 of the table for production class 2b in baseline year 1.</t>
  </si>
  <si>
    <t>Enter the volume of associated gas on row 1 of the table for production class 2b in baseline year 1.</t>
  </si>
  <si>
    <t>Enter the volume of associated gas on row 2 of the table for production class 2b in baseline year 1.</t>
  </si>
  <si>
    <t>Enter the volume of associated gas on row 3 of the table for production class 2b in baseline year 1.</t>
  </si>
  <si>
    <t>Enter the volume of associated gas on row 4 of the table for production class 2b in baseline year 1.</t>
  </si>
  <si>
    <t>Enter the volume of associated gas on row 5 of the table for production class 2b in baseline year 1.</t>
  </si>
  <si>
    <t>Enter the volume of associated gas on row 6 of the table for production class 2b in baseline year 1.</t>
  </si>
  <si>
    <t>Enter the volume of associated gas on row 7 of the table for production class 2b in baseline year 1.</t>
  </si>
  <si>
    <t>Enter the volume of associated gas on row 8 of the table for production class 2b in baseline year 1.</t>
  </si>
  <si>
    <t>Enter the volume of associated gas on row 9 of the table for production class 2b in baseline year 1.</t>
  </si>
  <si>
    <t>Enter the volume of associated gas on row 10 of the table for production class 2b in baseline year 1.</t>
  </si>
  <si>
    <t>Enter the volume of associated gas on row 11 of the table for production class 2b in baseline year 1.</t>
  </si>
  <si>
    <t>Enter the volume of associated gas on row 12 of the table for production class 2b in baseline year 1.</t>
  </si>
  <si>
    <t>Enter the volume of associated gas on row 13 of the table for production class 2b in baseline year 1.</t>
  </si>
  <si>
    <t>Enter the volume of associated gas on row 14 of the table for production class 2b in baseline year 1.</t>
  </si>
  <si>
    <t>Enter the volume of associated gas on row 15 of the table for production class 2b in baseline year 1.</t>
  </si>
  <si>
    <t>Enter the volume of associated gas on row 16 of the table for production class 2b in baseline year 1.</t>
  </si>
  <si>
    <t>Enter the volume of associated gas on row 17 of the table for production class 2b in baseline year 1.</t>
  </si>
  <si>
    <t>Enter the volume of associated gas on row 18 of the table for production class 2b in baseline year 1.</t>
  </si>
  <si>
    <t>Enter the volume of associated gas on row 19 of the table for production class 2b in baseline year 1.</t>
  </si>
  <si>
    <t>Enter the volume of associated gas on row 20 of the table for production class 2b in baseline year 1.</t>
  </si>
  <si>
    <t>Enter the volume of associated gas on row 21 of the table for production class 2b in baseline year 1.</t>
  </si>
  <si>
    <t>Enter the volume of associated gas on row 22 of the table for production class 2b in baseline year 1.</t>
  </si>
  <si>
    <t>Enter the volume of associated gas on row 23 of the table for production class 2b in baseline year 1.</t>
  </si>
  <si>
    <t>Enter the volume of associated gas on row 24 of the table for production class 2b in baseline year 1.</t>
  </si>
  <si>
    <t>Enter the volume of associated gas on row 25 of the table for production class 2b in baseline year 1.</t>
  </si>
  <si>
    <t>Enter the volume of associated gas on row 26 of the table for production class 2b in baseline year 1.</t>
  </si>
  <si>
    <t>Enter the volume of associated gas on row 27 of the table for production class 2b in baseline year 1.</t>
  </si>
  <si>
    <t>Enter the volume of associated gas on row 28 of the table for production class 2b in baseline year 1.</t>
  </si>
  <si>
    <t>Enter the volume of associated gas on row 29 of the table for production class 2b in baseline year 1.</t>
  </si>
  <si>
    <t>Enter the volume of associated gas on row 30 of the table for production class 2b in baseline year 1.</t>
  </si>
  <si>
    <t>Enter the volume of associated gas on row 31 of the table for production class 2b in baseline year 1.</t>
  </si>
  <si>
    <t>Enter the volume of associated gas on row 32 of the table for production class 2b in baseline year 1.</t>
  </si>
  <si>
    <t>Enter the volume of associated gas on row 33 of the table for production class 2b in baseline year 1.</t>
  </si>
  <si>
    <t>Enter the volume of associated gas on row 34 of the table for production class 2b in baseline year 1.</t>
  </si>
  <si>
    <t>Enter the volume of associated gas on row 35 of the table for production class 2b in baseline year 1.</t>
  </si>
  <si>
    <t>Enter the volume of associated gas on row 36 of the table for production class 2b in baseline year 1.</t>
  </si>
  <si>
    <t>Enter the volume of associated gas on row 37 of the table for production class 2b in baseline year 1.</t>
  </si>
  <si>
    <t>Enter the volume of associated gas on row 38 of the table for production class 2b in baseline year 1.</t>
  </si>
  <si>
    <t>Enter the volume of associated gas on row 39 of the table for production class 2b in baseline year 1.</t>
  </si>
  <si>
    <t>Enter the volume of associated gas on row 40 of the table for production class 2b in baseline year 1.</t>
  </si>
  <si>
    <t>Enter the volume of associated gas on row 41 of the table for production class 2b in baseline year 1.</t>
  </si>
  <si>
    <t>Enter the volume of associated gas on row 42 of the table for production class 2b in baseline year 1.</t>
  </si>
  <si>
    <t>Enter the volume of associated gas on row 43 of the table for production class 2b in baseline year 1.</t>
  </si>
  <si>
    <t>Enter the volume of associated gas on row 44 of the table for production class 2b in baseline year 1.</t>
  </si>
  <si>
    <t>Enter the volume of associated gas on row 45 of the table for production class 2b in baseline year 1.</t>
  </si>
  <si>
    <t>Enter the volume of associated gas on row 46 of the table for production class 2b in baseline year 1.</t>
  </si>
  <si>
    <t>Enter the volume of associated gas on row 47 of the table for production class 2b in baseline year 1.</t>
  </si>
  <si>
    <t>Enter the volume of associated gas on row 48 of the table for production class 2b in baseline year 1.</t>
  </si>
  <si>
    <t>Enter the volume of associated gas on row 49 of the table for production class 2b in baseline year 1.</t>
  </si>
  <si>
    <t>Enter the volume of associated gas on row 50 of the table for production class 2b in baseline year 1.</t>
  </si>
  <si>
    <t>Enter the carbon dioxide emissions from associated gas on row 1 of the table for production class 2b in baseline year 1.</t>
  </si>
  <si>
    <t>Enter the carbon dioxide emissions from associated gas on row 2 of the table for production class 2b in baseline year 1.</t>
  </si>
  <si>
    <t>Enter the carbon dioxide emissions from associated gas on row 3 of the table for production class 2b in baseline year 1.</t>
  </si>
  <si>
    <t>Enter the carbon dioxide emissions from associated gas on row 4 of the table for production class 2b in baseline year 1.</t>
  </si>
  <si>
    <t>Enter the carbon dioxide emissions from associated gas on row 5 of the table for production class 2b in baseline year 1.</t>
  </si>
  <si>
    <t>Enter the carbon dioxide emissions from associated gas on row 6 of the table for production class 2b in baseline year 1.</t>
  </si>
  <si>
    <t>Enter the carbon dioxide emissions from associated gas on row 7 of the table for production class 2b in baseline year 1.</t>
  </si>
  <si>
    <t>Enter the carbon dioxide emissions from associated gas on row 8 of the table for production class 2b in baseline year 1.</t>
  </si>
  <si>
    <t>Enter the carbon dioxide emissions from associated gas on row 9 of the table for production class 2b in baseline year 1.</t>
  </si>
  <si>
    <t>Enter the carbon dioxide emissions from associated gas on row 10 of the table for production class 2b in baseline year 1.</t>
  </si>
  <si>
    <t>Enter the carbon dioxide emissions from associated gas on row 11 of the table for production class 2b in baseline year 1.</t>
  </si>
  <si>
    <t>Enter the carbon dioxide emissions from associated gas on row 12 of the table for production class 2b in baseline year 1.</t>
  </si>
  <si>
    <t>Enter the carbon dioxide emissions from associated gas on row 13 of the table for production class 2b in baseline year 1.</t>
  </si>
  <si>
    <t>Enter the carbon dioxide emissions from associated gas on row 14 of the table for production class 2b in baseline year 1.</t>
  </si>
  <si>
    <t>Enter the carbon dioxide emissions from associated gas on row 15 of the table for production class 2b in baseline year 1.</t>
  </si>
  <si>
    <t>Enter the carbon dioxide emissions from associated gas on row 16 of the table for production class 2b in baseline year 1.</t>
  </si>
  <si>
    <t>Enter the carbon dioxide emissions from associated gas on row 17 of the table for production class 2b in baseline year 1.</t>
  </si>
  <si>
    <t>Enter the carbon dioxide emissions from associated gas on row 18 of the table for production class 2b in baseline year 1.</t>
  </si>
  <si>
    <t>Enter the carbon dioxide emissions from associated gas on row 19 of the table for production class 2b in baseline year 1.</t>
  </si>
  <si>
    <t>Enter the carbon dioxide emissions from associated gas on row 20 of the table for production class 2b in baseline year 1.</t>
  </si>
  <si>
    <t>Enter the carbon dioxide emissions from associated gas on row 21 of the table for production class 2b in baseline year 1.</t>
  </si>
  <si>
    <t>Enter the carbon dioxide emissions from associated gas on row 22 of the table for production class 2b in baseline year 1.</t>
  </si>
  <si>
    <t>Enter the carbon dioxide emissions from associated gas on row 23 of the table for production class 2b in baseline year 1.</t>
  </si>
  <si>
    <t>Enter the carbon dioxide emissions from associated gas on row 24 of the table for production class 2b in baseline year 1.</t>
  </si>
  <si>
    <t>Enter the carbon dioxide emissions from associated gas on row 25 of the table for production class 2b in baseline year 1.</t>
  </si>
  <si>
    <t>Enter the carbon dioxide emissions from associated gas on row 26 of the table for production class 2b in baseline year 1.</t>
  </si>
  <si>
    <t>Enter the carbon dioxide emissions from associated gas on row 27 of the table for production class 2b in baseline year 1.</t>
  </si>
  <si>
    <t>Enter the carbon dioxide emissions from associated gas on row 28 of the table for production class 2b in baseline year 1.</t>
  </si>
  <si>
    <t>Enter the carbon dioxide emissions from associated gas on row 29 of the table for production class 2b in baseline year 1.</t>
  </si>
  <si>
    <t>Enter the carbon dioxide emissions from associated gas on row 30 of the table for production class 2b in baseline year 1.</t>
  </si>
  <si>
    <t>Enter the carbon dioxide emissions from associated gas on row 31 of the table for production class 2b in baseline year 1.</t>
  </si>
  <si>
    <t>Enter the carbon dioxide emissions from associated gas on row 32 of the table for production class 2b in baseline year 1.</t>
  </si>
  <si>
    <t>Enter the carbon dioxide emissions from associated gas on row 33 of the table for production class 2b in baseline year 1.</t>
  </si>
  <si>
    <t>Enter the carbon dioxide emissions from associated gas on row 34 of the table for production class 2b in baseline year 1.</t>
  </si>
  <si>
    <t>Enter the carbon dioxide emissions from associated gas on row 35 of the table for production class 2b in baseline year 1.</t>
  </si>
  <si>
    <t>Enter the carbon dioxide emissions from associated gas on row 36 of the table for production class 2b in baseline year 1.</t>
  </si>
  <si>
    <t>Enter the carbon dioxide emissions from associated gas on row 37 of the table for production class 2b in baseline year 1.</t>
  </si>
  <si>
    <t>Enter the carbon dioxide emissions from associated gas on row 38 of the table for production class 2b in baseline year 1.</t>
  </si>
  <si>
    <t>Enter the carbon dioxide emissions from associated gas on row 39 of the table for production class 2b in baseline year 1.</t>
  </si>
  <si>
    <t>Enter the carbon dioxide emissions from associated gas on row 40 of the table for production class 2b in baseline year 1.</t>
  </si>
  <si>
    <t>Enter the carbon dioxide emissions from associated gas on row 41 of the table for production class 2b in baseline year 1.</t>
  </si>
  <si>
    <t>Enter the carbon dioxide emissions from associated gas on row 42 of the table for production class 2b in baseline year 1.</t>
  </si>
  <si>
    <t>Enter the carbon dioxide emissions from associated gas on row 43 of the table for production class 2b in baseline year 1.</t>
  </si>
  <si>
    <t>Enter the carbon dioxide emissions from associated gas on row 44 of the table for production class 2b in baseline year 1.</t>
  </si>
  <si>
    <t>Enter the carbon dioxide emissions from associated gas on row 45 of the table for production class 2b in baseline year 1.</t>
  </si>
  <si>
    <t>Enter the carbon dioxide emissions from associated gas on row 46 of the table for production class 2b in baseline year 1.</t>
  </si>
  <si>
    <t>Enter the carbon dioxide emissions from associated gas on row 47 of the table for production class 2b in baseline year 1.</t>
  </si>
  <si>
    <t>Enter the carbon dioxide emissions from associated gas on row 48 of the table for production class 2b in baseline year 1.</t>
  </si>
  <si>
    <t>Enter the carbon dioxide emissions from associated gas on row 49 of the table for production class 2b in baseline year 1.</t>
  </si>
  <si>
    <t>Enter the carbon dioxide emissions from associated gas on row 50 of the table for production class 2b in baseline year 1.</t>
  </si>
  <si>
    <t>Enter the methane emissions from associated gas on row 1 of the table for production class 2b in baseline year 1.</t>
  </si>
  <si>
    <t>Enter the methane emissions from associated gas on row 2 of the table for production class 2b in baseline year 1.</t>
  </si>
  <si>
    <t>Enter the methane emissions from associated gas on row 3 of the table for production class 2b in baseline year 1.</t>
  </si>
  <si>
    <t>Enter the methane emissions from associated gas on row 4 of the table for production class 2b in baseline year 1.</t>
  </si>
  <si>
    <t>Enter the methane emissions from associated gas on row 5 of the table for production class 2b in baseline year 1.</t>
  </si>
  <si>
    <t>Enter the methane emissions from associated gas on row 6 of the table for production class 2b in baseline year 1.</t>
  </si>
  <si>
    <t>Enter the methane emissions from associated gas on row 7 of the table for production class 2b in baseline year 1.</t>
  </si>
  <si>
    <t>Enter the methane emissions from associated gas on row 8 of the table for production class 2b in baseline year 1.</t>
  </si>
  <si>
    <t>Enter the methane emissions from associated gas on row 9 of the table for production class 2b in baseline year 1.</t>
  </si>
  <si>
    <t>Enter the methane emissions from associated gas on row 10 of the table for production class 2b in baseline year 1.</t>
  </si>
  <si>
    <t>Enter the methane emissions from associated gas on row 11 of the table for production class 2b in baseline year 1.</t>
  </si>
  <si>
    <t>Enter the methane emissions from associated gas on row 12 of the table for production class 2b in baseline year 1.</t>
  </si>
  <si>
    <t>Enter the methane emissions from associated gas on row 13 of the table for production class 2b in baseline year 1.</t>
  </si>
  <si>
    <t>Enter the methane emissions from associated gas on row 14 of the table for production class 2b in baseline year 1.</t>
  </si>
  <si>
    <t>Enter the methane emissions from associated gas on row 15 of the table for production class 2b in baseline year 1.</t>
  </si>
  <si>
    <t>Enter the methane emissions from associated gas on row 16 of the table for production class 2b in baseline year 1.</t>
  </si>
  <si>
    <t>Enter the methane emissions from associated gas on row 17 of the table for production class 2b in baseline year 1.</t>
  </si>
  <si>
    <t>Enter the methane emissions from associated gas on row 18 of the table for production class 2b in baseline year 1.</t>
  </si>
  <si>
    <t>Enter the methane emissions from associated gas on row 19 of the table for production class 2b in baseline year 1.</t>
  </si>
  <si>
    <t>Enter the methane emissions from associated gas on row 20 of the table for production class 2b in baseline year 1.</t>
  </si>
  <si>
    <t>Enter the methane emissions from associated gas on row 21 of the table for production class 2b in baseline year 1.</t>
  </si>
  <si>
    <t>Enter the methane emissions from associated gas on row 22 of the table for production class 2b in baseline year 1.</t>
  </si>
  <si>
    <t>Enter the methane emissions from associated gas on row 23 of the table for production class 2b in baseline year 1.</t>
  </si>
  <si>
    <t>Enter the methane emissions from associated gas on row 24 of the table for production class 2b in baseline year 1.</t>
  </si>
  <si>
    <t>Enter the methane emissions from associated gas on row 25 of the table for production class 2b in baseline year 1.</t>
  </si>
  <si>
    <t>Enter the methane emissions from associated gas on row 26 of the table for production class 2b in baseline year 1.</t>
  </si>
  <si>
    <t>Enter the methane emissions from associated gas on row 27 of the table for production class 2b in baseline year 1.</t>
  </si>
  <si>
    <t>Enter the methane emissions from associated gas on row 28 of the table for production class 2b in baseline year 1.</t>
  </si>
  <si>
    <t>Enter the methane emissions from associated gas on row 29 of the table for production class 2b in baseline year 1.</t>
  </si>
  <si>
    <t>Enter the methane emissions from associated gas on row 30 of the table for production class 2b in baseline year 1.</t>
  </si>
  <si>
    <t>Enter the methane emissions from associated gas on row 31 of the table for production class 2b in baseline year 1.</t>
  </si>
  <si>
    <t>Enter the methane emissions from associated gas on row 32 of the table for production class 2b in baseline year 1.</t>
  </si>
  <si>
    <t>Enter the methane emissions from associated gas on row 33 of the table for production class 2b in baseline year 1.</t>
  </si>
  <si>
    <t>Enter the methane emissions from associated gas on row 34 of the table for production class 2b in baseline year 1.</t>
  </si>
  <si>
    <t>Enter the methane emissions from associated gas on row 35 of the table for production class 2b in baseline year 1.</t>
  </si>
  <si>
    <t>Enter the methane emissions from associated gas on row 36 of the table for production class 2b in baseline year 1.</t>
  </si>
  <si>
    <t>Enter the methane emissions from associated gas on row 37 of the table for production class 2b in baseline year 1.</t>
  </si>
  <si>
    <t>Enter the methane emissions from associated gas on row 38 of the table for production class 2b in baseline year 1.</t>
  </si>
  <si>
    <t>Enter the methane emissions from associated gas on row 39 of the table for production class 2b in baseline year 1.</t>
  </si>
  <si>
    <t>Enter the methane emissions from associated gas on row 40 of the table for production class 2b in baseline year 1.</t>
  </si>
  <si>
    <t>Enter the methane emissions from associated gas on row 41 of the table for production class 2b in baseline year 1.</t>
  </si>
  <si>
    <t>Enter the methane emissions from associated gas on row 42 of the table for production class 2b in baseline year 1.</t>
  </si>
  <si>
    <t>Enter the methane emissions from associated gas on row 43 of the table for production class 2b in baseline year 1.</t>
  </si>
  <si>
    <t>Enter the methane emissions from associated gas on row 44 of the table for production class 2b in baseline year 1.</t>
  </si>
  <si>
    <t>Enter the methane emissions from associated gas on row 45 of the table for production class 2b in baseline year 1.</t>
  </si>
  <si>
    <t>Enter the methane emissions from associated gas on row 46 of the table for production class 2b in baseline year 1.</t>
  </si>
  <si>
    <t>Enter the methane emissions from associated gas on row 47 of the table for production class 2b in baseline year 1.</t>
  </si>
  <si>
    <t>Enter the methane emissions from associated gas on row 48 of the table for production class 2b in baseline year 1.</t>
  </si>
  <si>
    <t>Enter the methane emissions from associated gas on row 49 of the table for production class 2b in baseline year 1.</t>
  </si>
  <si>
    <t>Enter the methane emissions from associated gas on row 50 of the table for production class 2b in baseline year 1.</t>
  </si>
  <si>
    <t>Enter the nitrous oxide emissions from associated gas on row 1 of the table for production class 2b in baseline year 1.</t>
  </si>
  <si>
    <t>Enter the nitrous oxide emissions from associated gas on row 2 of the table for production class 2b in baseline year 1.</t>
  </si>
  <si>
    <t>Enter the nitrous oxide emissions from associated gas on row 3 of the table for production class 2b in baseline year 1.</t>
  </si>
  <si>
    <t>Enter the nitrous oxide emissions from associated gas on row 4 of the table for production class 2b in baseline year 1.</t>
  </si>
  <si>
    <t>Enter the nitrous oxide emissions from associated gas on row 5 of the table for production class 2b in baseline year 1.</t>
  </si>
  <si>
    <t>Enter the nitrous oxide emissions from associated gas on row 6 of the table for production class 2b in baseline year 1.</t>
  </si>
  <si>
    <t>Enter the nitrous oxide emissions from associated gas on row 7 of the table for production class 2b in baseline year 1.</t>
  </si>
  <si>
    <t>Enter the nitrous oxide emissions from associated gas on row 8 of the table for production class 2b in baseline year 1.</t>
  </si>
  <si>
    <t>Enter the nitrous oxide emissions from associated gas on row 9 of the table for production class 2b in baseline year 1.</t>
  </si>
  <si>
    <t>Enter the nitrous oxide emissions from associated gas on row 10 of the table for production class 2b in baseline year 1.</t>
  </si>
  <si>
    <t>Enter the nitrous oxide emissions from associated gas on row 11 of the table for production class 2b in baseline year 1.</t>
  </si>
  <si>
    <t>Enter the nitrous oxide emissions from associated gas on row 12 of the table for production class 2b in baseline year 1.</t>
  </si>
  <si>
    <t>Enter the nitrous oxide emissions from associated gas on row 13 of the table for production class 2b in baseline year 1.</t>
  </si>
  <si>
    <t>Enter the nitrous oxide emissions from associated gas on row 14 of the table for production class 2b in baseline year 1.</t>
  </si>
  <si>
    <t>Enter the nitrous oxide emissions from associated gas on row 15 of the table for production class 2b in baseline year 1.</t>
  </si>
  <si>
    <t>Enter the nitrous oxide emissions from associated gas on row 16 of the table for production class 2b in baseline year 1.</t>
  </si>
  <si>
    <t>Enter the nitrous oxide emissions from associated gas on row 17 of the table for production class 2b in baseline year 1.</t>
  </si>
  <si>
    <t>Enter the nitrous oxide emissions from associated gas on row 18 of the table for production class 2b in baseline year 1.</t>
  </si>
  <si>
    <t>Enter the nitrous oxide emissions from associated gas on row 19 of the table for production class 2b in baseline year 1.</t>
  </si>
  <si>
    <t>Enter the nitrous oxide emissions from associated gas on row 20 of the table for production class 2b in baseline year 1.</t>
  </si>
  <si>
    <t>Enter the nitrous oxide emissions from associated gas on row 21 of the table for production class 2b in baseline year 1.</t>
  </si>
  <si>
    <t>Enter the nitrous oxide emissions from associated gas on row 22 of the table for production class 2b in baseline year 1.</t>
  </si>
  <si>
    <t>Enter the nitrous oxide emissions from associated gas on row 23 of the table for production class 2b in baseline year 1.</t>
  </si>
  <si>
    <t>Enter the nitrous oxide emissions from associated gas on row 24 of the table for production class 2b in baseline year 1.</t>
  </si>
  <si>
    <t>Enter the nitrous oxide emissions from associated gas on row 25 of the table for production class 2b in baseline year 1.</t>
  </si>
  <si>
    <t>Enter the nitrous oxide emissions from associated gas on row 26 of the table for production class 2b in baseline year 1.</t>
  </si>
  <si>
    <t>Enter the nitrous oxide emissions from associated gas on row 27 of the table for production class 2b in baseline year 1.</t>
  </si>
  <si>
    <t>Enter the nitrous oxide emissions from associated gas on row 28 of the table for production class 2b in baseline year 1.</t>
  </si>
  <si>
    <t>Enter the nitrous oxide emissions from associated gas on row 29 of the table for production class 2b in baseline year 1.</t>
  </si>
  <si>
    <t>Enter the nitrous oxide emissions from associated gas on row 30 of the table for production class 2b in baseline year 1.</t>
  </si>
  <si>
    <t>Enter the nitrous oxide emissions from associated gas on row 31 of the table for production class 2b in baseline year 1.</t>
  </si>
  <si>
    <t>Enter the nitrous oxide emissions from associated gas on row 32 of the table for production class 2b in baseline year 1.</t>
  </si>
  <si>
    <t>Enter the nitrous oxide emissions from associated gas on row 33 of the table for production class 2b in baseline year 1.</t>
  </si>
  <si>
    <t>Enter the nitrous oxide emissions from associated gas on row 34 of the table for production class 2b in baseline year 1.</t>
  </si>
  <si>
    <t>Enter the nitrous oxide emissions from associated gas on row 35 of the table for production class 2b in baseline year 1.</t>
  </si>
  <si>
    <t>Enter the nitrous oxide emissions from associated gas on row 36 of the table for production class 2b in baseline year 1.</t>
  </si>
  <si>
    <t>Enter the nitrous oxide emissions from associated gas on row 37 of the table for production class 2b in baseline year 1.</t>
  </si>
  <si>
    <t>Enter the nitrous oxide emissions from associated gas on row 38 of the table for production class 2b in baseline year 1.</t>
  </si>
  <si>
    <t>Enter the nitrous oxide emissions from associated gas on row 39 of the table for production class 2b in baseline year 1.</t>
  </si>
  <si>
    <t>Enter the nitrous oxide emissions from associated gas on row 40 of the table for production class 2b in baseline year 1.</t>
  </si>
  <si>
    <t>Enter the nitrous oxide emissions from associated gas on row 41 of the table for production class 2b in baseline year 1.</t>
  </si>
  <si>
    <t>Enter the nitrous oxide emissions from associated gas on row 42 of the table for production class 2b in baseline year 1.</t>
  </si>
  <si>
    <t>Enter the nitrous oxide emissions from associated gas on row 43 of the table for production class 2b in baseline year 1.</t>
  </si>
  <si>
    <t>Enter the nitrous oxide emissions from associated gas on row 44 of the table for production class 2b in baseline year 1.</t>
  </si>
  <si>
    <t>Enter the nitrous oxide emissions from associated gas on row 45 of the table for production class 2b in baseline year 1.</t>
  </si>
  <si>
    <t>Enter the nitrous oxide emissions from associated gas on row 46 of the table for production class 2b in baseline year 1.</t>
  </si>
  <si>
    <t>Enter the nitrous oxide emissions from associated gas on row 47 of the table for production class 2b in baseline year 1.</t>
  </si>
  <si>
    <t>Enter the nitrous oxide emissions from associated gas on row 48 of the table for production class 2b in baseline year 1.</t>
  </si>
  <si>
    <t>Enter the nitrous oxide emissions from associated gas on row 49 of the table for production class 2b in baseline year 1.</t>
  </si>
  <si>
    <t>Enter the nitrous oxide emissions from associated gas on row 50 of the table for production class 2b in baseline year 1.</t>
  </si>
  <si>
    <t>Enter the number of units within the gas-to-power operation for production class 2b in baseline year 2.</t>
  </si>
  <si>
    <t>Enter the energy in the combusted associated gas on row 1 of the table for production class 2b in baseline year 2.</t>
  </si>
  <si>
    <t>Enter the energy in the combusted associated gas on row 2 of the table for production class 2b in baseline year 2.</t>
  </si>
  <si>
    <t>Enter the energy in the combusted associated gas on row 3 of the table for production class 2b in baseline year 2.</t>
  </si>
  <si>
    <t>Enter the energy in the combusted associated gas on row 4 of the table for production class 2b in baseline year 2.</t>
  </si>
  <si>
    <t>Enter the energy in the combusted associated gas on row 5 of the table for production class 2b in baseline year 2.</t>
  </si>
  <si>
    <t>Enter the energy in the combusted associated gas on row 6 of the table for production class 2b in baseline year 2.</t>
  </si>
  <si>
    <t>Enter the energy in the combusted associated gas on row 7 of the table for production class 2b in baseline year 2.</t>
  </si>
  <si>
    <t>Enter the energy in the combusted associated gas on row 8 of the table for production class 2b in baseline year 2.</t>
  </si>
  <si>
    <t>Enter the energy in the combusted associated gas on row 9 of the table for production class 2b in baseline year 2.</t>
  </si>
  <si>
    <t>Enter the energy in the combusted associated gas on row 10 of the table for production class 2b in baseline year 2.</t>
  </si>
  <si>
    <t>Enter the energy in the combusted associated gas on row 11 of the table for production class 2b in baseline year 2.</t>
  </si>
  <si>
    <t>Enter the energy in the combusted associated gas on row 12 of the table for production class 2b in baseline year 2.</t>
  </si>
  <si>
    <t>Enter the energy in the combusted associated gas on row 13 of the table for production class 2b in baseline year 2.</t>
  </si>
  <si>
    <t>Enter the energy in the combusted associated gas on row 14 of the table for production class 2b in baseline year 2.</t>
  </si>
  <si>
    <t>Enter the energy in the combusted associated gas on row 15 of the table for production class 2b in baseline year 2.</t>
  </si>
  <si>
    <t>Enter the energy in the combusted associated gas on row 16 of the table for production class 2b in baseline year 2.</t>
  </si>
  <si>
    <t>Enter the energy in the combusted associated gas on row 17 of the table for production class 2b in baseline year 2.</t>
  </si>
  <si>
    <t>Enter the energy in the combusted associated gas on row 18 of the table for production class 2b in baseline year 2.</t>
  </si>
  <si>
    <t>Enter the energy in the combusted associated gas on row 19 of the table for production class 2b in baseline year 2.</t>
  </si>
  <si>
    <t>Enter the energy in the combusted associated gas on row 20 of the table for production class 2b in baseline year 2.</t>
  </si>
  <si>
    <t>Enter the energy in the combusted associated gas on row 21 of the table for production class 2b in baseline year 2.</t>
  </si>
  <si>
    <t>Enter the energy in the combusted associated gas on row 22 of the table for production class 2b in baseline year 2.</t>
  </si>
  <si>
    <t>Enter the energy in the combusted associated gas on row 23 of the table for production class 2b in baseline year 2.</t>
  </si>
  <si>
    <t>Enter the energy in the combusted associated gas on row 24 of the table for production class 2b in baseline year 2.</t>
  </si>
  <si>
    <t>Enter the energy in the combusted associated gas on row 25 of the table for production class 2b in baseline year 2.</t>
  </si>
  <si>
    <t>Enter the energy in the combusted associated gas on row 26 of the table for production class 2b in baseline year 2.</t>
  </si>
  <si>
    <t>Enter the energy in the combusted associated gas on row 27 of the table for production class 2b in baseline year 2.</t>
  </si>
  <si>
    <t>Enter the energy in the combusted associated gas on row 28 of the table for production class 2b in baseline year 2.</t>
  </si>
  <si>
    <t>Enter the energy in the combusted associated gas on row 29 of the table for production class 2b in baseline year 2.</t>
  </si>
  <si>
    <t>Enter the energy in the combusted associated gas on row 30 of the table for production class 2b in baseline year 2.</t>
  </si>
  <si>
    <t>Enter the energy in the combusted associated gas on row 31 of the table for production class 2b in baseline year 2.</t>
  </si>
  <si>
    <t>Enter the energy in the combusted associated gas on row 32 of the table for production class 2b in baseline year 2.</t>
  </si>
  <si>
    <t>Enter the energy in the combusted associated gas on row 33 of the table for production class 2b in baseline year 2.</t>
  </si>
  <si>
    <t>Enter the energy in the combusted associated gas on row 34 of the table for production class 2b in baseline year 2.</t>
  </si>
  <si>
    <t>Enter the energy in the combusted associated gas on row 35 of the table for production class 2b in baseline year 2.</t>
  </si>
  <si>
    <t>Enter the energy in the combusted associated gas on row 36 of the table for production class 2b in baseline year 2.</t>
  </si>
  <si>
    <t>Enter the energy in the combusted associated gas on row 37 of the table for production class 2b in baseline year 2.</t>
  </si>
  <si>
    <t>Enter the energy in the combusted associated gas on row 38 of the table for production class 2b in baseline year 2.</t>
  </si>
  <si>
    <t>Enter the energy in the combusted associated gas on row 39 of the table for production class 2b in baseline year 2.</t>
  </si>
  <si>
    <t>Enter the energy in the combusted associated gas on row 40 of the table for production class 2b in baseline year 2.</t>
  </si>
  <si>
    <t>Enter the energy in the combusted associated gas on row 41 of the table for production class 2b in baseline year 2.</t>
  </si>
  <si>
    <t>Enter the energy in the combusted associated gas on row 42 of the table for production class 2b in baseline year 2.</t>
  </si>
  <si>
    <t>Enter the energy in the combusted associated gas on row 43 of the table for production class 2b in baseline year 2.</t>
  </si>
  <si>
    <t>Enter the energy in the combusted associated gas on row 44 of the table for production class 2b in baseline year 2.</t>
  </si>
  <si>
    <t>Enter the energy in the combusted associated gas on row 45 of the table for production class 2b in baseline year 2.</t>
  </si>
  <si>
    <t>Enter the energy in the combusted associated gas on row 46 of the table for production class 2b in baseline year 2.</t>
  </si>
  <si>
    <t>Enter the energy in the combusted associated gas on row 47 of the table for production class 2b in baseline year 2.</t>
  </si>
  <si>
    <t>Enter the energy in the combusted associated gas on row 48 of the table for production class 2b in baseline year 2.</t>
  </si>
  <si>
    <t>Enter the energy in the combusted associated gas on row 49 of the table for production class 2b in baseline year 2.</t>
  </si>
  <si>
    <t>Enter the energy in the combusted associated gas on row 50 of the table for production class 2b in baseline year 2.</t>
  </si>
  <si>
    <t>Enter the total energy in all combusted fuel on row 1 of the table for production class 2b in baseline year 2.</t>
  </si>
  <si>
    <t>Enter the total energy in all combusted fuel on row 2 of the table for production class 2b in baseline year 2.</t>
  </si>
  <si>
    <t>Enter the total energy in all combusted fuel on row 3 of the table for production class 2b in baseline year 2.</t>
  </si>
  <si>
    <t>Enter the total energy in all combusted fuel on row 4 of the table for production class 2b in baseline year 2.</t>
  </si>
  <si>
    <t>Enter the total energy in all combusted fuel on row 5 of the table for production class 2b in baseline year 2.</t>
  </si>
  <si>
    <t>Enter the total energy in all combusted fuel on row 6 of the table for production class 2b in baseline year 2.</t>
  </si>
  <si>
    <t>Enter the total energy in all combusted fuel on row 7 of the table for production class 2b in baseline year 2.</t>
  </si>
  <si>
    <t>Enter the total energy in all combusted fuel on row 8 of the table for production class 2b in baseline year 2.</t>
  </si>
  <si>
    <t>Enter the total energy in all combusted fuel on row 9 of the table for production class 2b in baseline year 2.</t>
  </si>
  <si>
    <t>Enter the total energy in all combusted fuel on row 10 of the table for production class 2b in baseline year 2.</t>
  </si>
  <si>
    <t>Enter the total energy in all combusted fuel on row 11 of the table for production class 2b in baseline year 2.</t>
  </si>
  <si>
    <t>Enter the total energy in all combusted fuel on row 12 of the table for production class 2b in baseline year 2.</t>
  </si>
  <si>
    <t>Enter the total energy in all combusted fuel on row 13 of the table for production class 2b in baseline year 2.</t>
  </si>
  <si>
    <t>Enter the total energy in all combusted fuel on row 14 of the table for production class 2b in baseline year 2.</t>
  </si>
  <si>
    <t>Enter the total energy in all combusted fuel on row 15 of the table for production class 2b in baseline year 2.</t>
  </si>
  <si>
    <t>Enter the total energy in all combusted fuel on row 16 of the table for production class 2b in baseline year 2.</t>
  </si>
  <si>
    <t>Enter the total energy in all combusted fuel on row 17 of the table for production class 2b in baseline year 2.</t>
  </si>
  <si>
    <t>Enter the total energy in all combusted fuel on row 18 of the table for production class 2b in baseline year 2.</t>
  </si>
  <si>
    <t>Enter the total energy in all combusted fuel on row 19 of the table for production class 2b in baseline year 2.</t>
  </si>
  <si>
    <t>Enter the total energy in all combusted fuel on row 20 of the table for production class 2b in baseline year 2.</t>
  </si>
  <si>
    <t>Enter the total energy in all combusted fuel on row 21 of the table for production class 2b in baseline year 2.</t>
  </si>
  <si>
    <t>Enter the total energy in all combusted fuel on row 22 of the table for production class 2b in baseline year 2.</t>
  </si>
  <si>
    <t>Enter the total energy in all combusted fuel on row 23 of the table for production class 2b in baseline year 2.</t>
  </si>
  <si>
    <t>Enter the total energy in all combusted fuel on row 24 of the table for production class 2b in baseline year 2.</t>
  </si>
  <si>
    <t>Enter the total energy in all combusted fuel on row 25 of the table for production class 2b in baseline year 2.</t>
  </si>
  <si>
    <t>Enter the total energy in all combusted fuel on row 26 of the table for production class 2b in baseline year 2.</t>
  </si>
  <si>
    <t>Enter the total energy in all combusted fuel on row 27 of the table for production class 2b in baseline year 2.</t>
  </si>
  <si>
    <t>Enter the total energy in all combusted fuel on row 28 of the table for production class 2b in baseline year 2.</t>
  </si>
  <si>
    <t>Enter the total energy in all combusted fuel on row 29 of the table for production class 2b in baseline year 2.</t>
  </si>
  <si>
    <t>Enter the total energy in all combusted fuel on row 30 of the table for production class 2b in baseline year 2.</t>
  </si>
  <si>
    <t>Enter the total energy in all combusted fuel on row 31 of the table for production class 2b in baseline year 2.</t>
  </si>
  <si>
    <t>Enter the total energy in all combusted fuel on row 32 of the table for production class 2b in baseline year 2.</t>
  </si>
  <si>
    <t>Enter the total energy in all combusted fuel on row 33 of the table for production class 2b in baseline year 2.</t>
  </si>
  <si>
    <t>Enter the total energy in all combusted fuel on row 34 of the table for production class 2b in baseline year 2.</t>
  </si>
  <si>
    <t>Enter the total energy in all combusted fuel on row 35 of the table for production class 2b in baseline year 2.</t>
  </si>
  <si>
    <t>Enter the total energy in all combusted fuel on row 36 of the table for production class 2b in baseline year 2.</t>
  </si>
  <si>
    <t>Enter the total energy in all combusted fuel on row 37 of the table for production class 2b in baseline year 2.</t>
  </si>
  <si>
    <t>Enter the total energy in all combusted fuel on row 38 of the table for production class 2b in baseline year 2.</t>
  </si>
  <si>
    <t>Enter the total energy in all combusted fuel on row 39 of the table for production class 2b in baseline year 2.</t>
  </si>
  <si>
    <t>Enter the total energy in all combusted fuel on row 40 of the table for production class 2b in baseline year 2.</t>
  </si>
  <si>
    <t>Enter the total energy in all combusted fuel on row 41 of the table for production class 2b in baseline year 2.</t>
  </si>
  <si>
    <t>Enter the total energy in all combusted fuel on row 42 of the table for production class 2b in baseline year 2.</t>
  </si>
  <si>
    <t>Enter the total energy in all combusted fuel on row 43 of the table for production class 2b in baseline year 2.</t>
  </si>
  <si>
    <t>Enter the total energy in all combusted fuel on row 44 of the table for production class 2b in baseline year 2.</t>
  </si>
  <si>
    <t>Enter the total energy in all combusted fuel on row 45 of the table for production class 2b in baseline year 2.</t>
  </si>
  <si>
    <t>Enter the total energy in all combusted fuel on row 46 of the table for production class 2b in baseline year 2.</t>
  </si>
  <si>
    <t>Enter the total energy in all combusted fuel on row 47 of the table for production class 2b in baseline year 2.</t>
  </si>
  <si>
    <t>Enter the total energy in all combusted fuel on row 48 of the table for production class 2b in baseline year 2.</t>
  </si>
  <si>
    <t>Enter the total energy in all combusted fuel on row 49 of the table for production class 2b in baseline year 2.</t>
  </si>
  <si>
    <t>Enter the total energy in all combusted fuel on row 50 of the table for production class 2b in baseline year 2.</t>
  </si>
  <si>
    <t>Enter the total electricity generation from all combusted fuel on row 1 of the table for production class 2b in baseline year 2.</t>
  </si>
  <si>
    <t>Enter the total electricity generation from all combusted fuel on row 2 of the table for production class 2b in baseline year 2.</t>
  </si>
  <si>
    <t>Enter the total electricity generation from all combusted fuel on row 3 of the table for production class 2b in baseline year 2.</t>
  </si>
  <si>
    <t>Enter the total electricity generation from all combusted fuel on row 4 of the table for production class 2b in baseline year 2.</t>
  </si>
  <si>
    <t>Enter the total electricity generation from all combusted fuel on row 5 of the table for production class 2b in baseline year 2.</t>
  </si>
  <si>
    <t>Enter the total electricity generation from all combusted fuel on row 6 of the table for production class 2b in baseline year 2.</t>
  </si>
  <si>
    <t>Enter the total electricity generation from all combusted fuel on row 7 of the table for production class 2b in baseline year 2.</t>
  </si>
  <si>
    <t>Enter the total electricity generation from all combusted fuel on row 8 of the table for production class 2b in baseline year 2.</t>
  </si>
  <si>
    <t>Enter the total electricity generation from all combusted fuel on row 9 of the table for production class 2b in baseline year 2.</t>
  </si>
  <si>
    <t>Enter the total electricity generation from all combusted fuel on row 10 of the table for production class 2b in baseline year 2.</t>
  </si>
  <si>
    <t>Enter the total electricity generation from all combusted fuel on row 11 of the table for production class 2b in baseline year 2.</t>
  </si>
  <si>
    <t>Enter the total electricity generation from all combusted fuel on row 12 of the table for production class 2b in baseline year 2.</t>
  </si>
  <si>
    <t>Enter the total electricity generation from all combusted fuel on row 13 of the table for production class 2b in baseline year 2.</t>
  </si>
  <si>
    <t>Enter the total electricity generation from all combusted fuel on row 14 of the table for production class 2b in baseline year 2.</t>
  </si>
  <si>
    <t>Enter the total electricity generation from all combusted fuel on row 15 of the table for production class 2b in baseline year 2.</t>
  </si>
  <si>
    <t>Enter the total electricity generation from all combusted fuel on row 16 of the table for production class 2b in baseline year 2.</t>
  </si>
  <si>
    <t>Enter the total electricity generation from all combusted fuel on row 17 of the table for production class 2b in baseline year 2.</t>
  </si>
  <si>
    <t>Enter the total electricity generation from all combusted fuel on row 18 of the table for production class 2b in baseline year 2.</t>
  </si>
  <si>
    <t>Enter the total electricity generation from all combusted fuel on row 19 of the table for production class 2b in baseline year 2.</t>
  </si>
  <si>
    <t>Enter the total electricity generation from all combusted fuel on row 20 of the table for production class 2b in baseline year 2.</t>
  </si>
  <si>
    <t>Enter the total electricity generation from all combusted fuel on row 21 of the table for production class 2b in baseline year 2.</t>
  </si>
  <si>
    <t>Enter the total electricity generation from all combusted fuel on row 22 of the table for production class 2b in baseline year 2.</t>
  </si>
  <si>
    <t>Enter the total electricity generation from all combusted fuel on row 23 of the table for production class 2b in baseline year 2.</t>
  </si>
  <si>
    <t>Enter the total electricity generation from all combusted fuel on row 24 of the table for production class 2b in baseline year 2.</t>
  </si>
  <si>
    <t>Enter the total electricity generation from all combusted fuel on row 25 of the table for production class 2b in baseline year 2.</t>
  </si>
  <si>
    <t>Enter the total electricity generation from all combusted fuel on row 26 of the table for production class 2b in baseline year 2.</t>
  </si>
  <si>
    <t>Enter the total electricity generation from all combusted fuel on row 27 of the table for production class 2b in baseline year 2.</t>
  </si>
  <si>
    <t>Enter the total electricity generation from all combusted fuel on row 28 of the table for production class 2b in baseline year 2.</t>
  </si>
  <si>
    <t>Enter the total electricity generation from all combusted fuel on row 29 of the table for production class 2b in baseline year 2.</t>
  </si>
  <si>
    <t>Enter the total electricity generation from all combusted fuel on row 30 of the table for production class 2b in baseline year 2.</t>
  </si>
  <si>
    <t>Enter the total electricity generation from all combusted fuel on row 31 of the table for production class 2b in baseline year 2.</t>
  </si>
  <si>
    <t>Enter the total electricity generation from all combusted fuel on row 32 of the table for production class 2b in baseline year 2.</t>
  </si>
  <si>
    <t>Enter the total electricity generation from all combusted fuel on row 33 of the table for production class 2b in baseline year 2.</t>
  </si>
  <si>
    <t>Enter the total electricity generation from all combusted fuel on row 34 of the table for production class 2b in baseline year 2.</t>
  </si>
  <si>
    <t>Enter the total electricity generation from all combusted fuel on row 35 of the table for production class 2b in baseline year 2.</t>
  </si>
  <si>
    <t>Enter the total electricity generation from all combusted fuel on row 36 of the table for production class 2b in baseline year 2.</t>
  </si>
  <si>
    <t>Enter the total electricity generation from all combusted fuel on row 37 of the table for production class 2b in baseline year 2.</t>
  </si>
  <si>
    <t>Enter the total electricity generation from all combusted fuel on row 38 of the table for production class 2b in baseline year 2.</t>
  </si>
  <si>
    <t>Enter the total electricity generation from all combusted fuel on row 39 of the table for production class 2b in baseline year 2.</t>
  </si>
  <si>
    <t>Enter the total electricity generation from all combusted fuel on row 40 of the table for production class 2b in baseline year 2.</t>
  </si>
  <si>
    <t>Enter the total electricity generation from all combusted fuel on row 41 of the table for production class 2b in baseline year 2.</t>
  </si>
  <si>
    <t>Enter the total electricity generation from all combusted fuel on row 42 of the table for production class 2b in baseline year 2.</t>
  </si>
  <si>
    <t>Enter the total electricity generation from all combusted fuel on row 43 of the table for production class 2b in baseline year 2.</t>
  </si>
  <si>
    <t>Enter the total electricity generation from all combusted fuel on row 44 of the table for production class 2b in baseline year 2.</t>
  </si>
  <si>
    <t>Enter the total electricity generation from all combusted fuel on row 45 of the table for production class 2b in baseline year 2.</t>
  </si>
  <si>
    <t>Enter the total electricity generation from all combusted fuel on row 46 of the table for production class 2b in baseline year 2.</t>
  </si>
  <si>
    <t>Enter the total electricity generation from all combusted fuel on row 47 of the table for production class 2b in baseline year 2.</t>
  </si>
  <si>
    <t>Enter the total electricity generation from all combusted fuel on row 48 of the table for production class 2b in baseline year 2.</t>
  </si>
  <si>
    <t>Enter the total electricity generation from all combusted fuel on row 49 of the table for production class 2b in baseline year 2.</t>
  </si>
  <si>
    <t>Enter the total electricity generation from all combusted fuel on row 50 of the table for production class 2b in baseline year 2.</t>
  </si>
  <si>
    <t>Enter the volume of associated gas on row 1 of the table for production class 2b in baseline year 2.</t>
  </si>
  <si>
    <t>Enter the volume of associated gas on row 2 of the table for production class 2b in baseline year 2.</t>
  </si>
  <si>
    <t>Enter the volume of associated gas on row 3 of the table for production class 2b in baseline year 2.</t>
  </si>
  <si>
    <t>Enter the volume of associated gas on row 4 of the table for production class 2b in baseline year 2.</t>
  </si>
  <si>
    <t>Enter the volume of associated gas on row 5 of the table for production class 2b in baseline year 2.</t>
  </si>
  <si>
    <t>Enter the volume of associated gas on row 6 of the table for production class 2b in baseline year 2.</t>
  </si>
  <si>
    <t>Enter the volume of associated gas on row 7 of the table for production class 2b in baseline year 2.</t>
  </si>
  <si>
    <t>Enter the volume of associated gas on row 8 of the table for production class 2b in baseline year 2.</t>
  </si>
  <si>
    <t>Enter the volume of associated gas on row 9 of the table for production class 2b in baseline year 2.</t>
  </si>
  <si>
    <t>Enter the volume of associated gas on row 10 of the table for production class 2b in baseline year 2.</t>
  </si>
  <si>
    <t>Enter the volume of associated gas on row 11 of the table for production class 2b in baseline year 2.</t>
  </si>
  <si>
    <t>Enter the volume of associated gas on row 12 of the table for production class 2b in baseline year 2.</t>
  </si>
  <si>
    <t>Enter the volume of associated gas on row 13 of the table for production class 2b in baseline year 2.</t>
  </si>
  <si>
    <t>Enter the volume of associated gas on row 14 of the table for production class 2b in baseline year 2.</t>
  </si>
  <si>
    <t>Enter the volume of associated gas on row 15 of the table for production class 2b in baseline year 2.</t>
  </si>
  <si>
    <t>Enter the volume of associated gas on row 16 of the table for production class 2b in baseline year 2.</t>
  </si>
  <si>
    <t>Enter the volume of associated gas on row 17 of the table for production class 2b in baseline year 2.</t>
  </si>
  <si>
    <t>Enter the volume of associated gas on row 18 of the table for production class 2b in baseline year 2.</t>
  </si>
  <si>
    <t>Enter the volume of associated gas on row 19 of the table for production class 2b in baseline year 2.</t>
  </si>
  <si>
    <t>Enter the volume of associated gas on row 20 of the table for production class 2b in baseline year 2.</t>
  </si>
  <si>
    <t>Enter the volume of associated gas on row 21 of the table for production class 2b in baseline year 2.</t>
  </si>
  <si>
    <t>Enter the volume of associated gas on row 22 of the table for production class 2b in baseline year 2.</t>
  </si>
  <si>
    <t>Enter the volume of associated gas on row 23 of the table for production class 2b in baseline year 2.</t>
  </si>
  <si>
    <t>Enter the volume of associated gas on row 24 of the table for production class 2b in baseline year 2.</t>
  </si>
  <si>
    <t>Enter the volume of associated gas on row 25 of the table for production class 2b in baseline year 2.</t>
  </si>
  <si>
    <t>Enter the volume of associated gas on row 26 of the table for production class 2b in baseline year 2.</t>
  </si>
  <si>
    <t>Enter the volume of associated gas on row 27 of the table for production class 2b in baseline year 2.</t>
  </si>
  <si>
    <t>Enter the volume of associated gas on row 28 of the table for production class 2b in baseline year 2.</t>
  </si>
  <si>
    <t>Enter the volume of associated gas on row 29 of the table for production class 2b in baseline year 2.</t>
  </si>
  <si>
    <t>Enter the volume of associated gas on row 30 of the table for production class 2b in baseline year 2.</t>
  </si>
  <si>
    <t>Enter the volume of associated gas on row 31 of the table for production class 2b in baseline year 2.</t>
  </si>
  <si>
    <t>Enter the volume of associated gas on row 32 of the table for production class 2b in baseline year 2.</t>
  </si>
  <si>
    <t>Enter the volume of associated gas on row 33 of the table for production class 2b in baseline year 2.</t>
  </si>
  <si>
    <t>Enter the volume of associated gas on row 34 of the table for production class 2b in baseline year 2.</t>
  </si>
  <si>
    <t>Enter the volume of associated gas on row 35 of the table for production class 2b in baseline year 2.</t>
  </si>
  <si>
    <t>Enter the volume of associated gas on row 36 of the table for production class 2b in baseline year 2.</t>
  </si>
  <si>
    <t>Enter the volume of associated gas on row 37 of the table for production class 2b in baseline year 2.</t>
  </si>
  <si>
    <t>Enter the volume of associated gas on row 38 of the table for production class 2b in baseline year 2.</t>
  </si>
  <si>
    <t>Enter the volume of associated gas on row 39 of the table for production class 2b in baseline year 2.</t>
  </si>
  <si>
    <t>Enter the volume of associated gas on row 40 of the table for production class 2b in baseline year 2.</t>
  </si>
  <si>
    <t>Enter the volume of associated gas on row 41 of the table for production class 2b in baseline year 2.</t>
  </si>
  <si>
    <t>Enter the volume of associated gas on row 42 of the table for production class 2b in baseline year 2.</t>
  </si>
  <si>
    <t>Enter the volume of associated gas on row 43 of the table for production class 2b in baseline year 2.</t>
  </si>
  <si>
    <t>Enter the volume of associated gas on row 44 of the table for production class 2b in baseline year 2.</t>
  </si>
  <si>
    <t>Enter the volume of associated gas on row 45 of the table for production class 2b in baseline year 2.</t>
  </si>
  <si>
    <t>Enter the volume of associated gas on row 46 of the table for production class 2b in baseline year 2.</t>
  </si>
  <si>
    <t>Enter the volume of associated gas on row 47 of the table for production class 2b in baseline year 2.</t>
  </si>
  <si>
    <t>Enter the volume of associated gas on row 48 of the table for production class 2b in baseline year 2.</t>
  </si>
  <si>
    <t>Enter the volume of associated gas on row 49 of the table for production class 2b in baseline year 2.</t>
  </si>
  <si>
    <t>Enter the volume of associated gas on row 50 of the table for production class 2b in baseline year 2.</t>
  </si>
  <si>
    <t>Enter the carbon dioxide emissions from associated gas on row 1 of the table for production class 2b in baseline year 2.</t>
  </si>
  <si>
    <t>Enter the carbon dioxide emissions from associated gas on row 2 of the table for production class 2b in baseline year 2.</t>
  </si>
  <si>
    <t>Enter the carbon dioxide emissions from associated gas on row 3 of the table for production class 2b in baseline year 2.</t>
  </si>
  <si>
    <t>Enter the carbon dioxide emissions from associated gas on row 4 of the table for production class 2b in baseline year 2.</t>
  </si>
  <si>
    <t>Enter the carbon dioxide emissions from associated gas on row 5 of the table for production class 2b in baseline year 2.</t>
  </si>
  <si>
    <t>Enter the carbon dioxide emissions from associated gas on row 6 of the table for production class 2b in baseline year 2.</t>
  </si>
  <si>
    <t>Enter the carbon dioxide emissions from associated gas on row 7 of the table for production class 2b in baseline year 2.</t>
  </si>
  <si>
    <t>Enter the carbon dioxide emissions from associated gas on row 8 of the table for production class 2b in baseline year 2.</t>
  </si>
  <si>
    <t>Enter the carbon dioxide emissions from associated gas on row 9 of the table for production class 2b in baseline year 2.</t>
  </si>
  <si>
    <t>Enter the carbon dioxide emissions from associated gas on row 10 of the table for production class 2b in baseline year 2.</t>
  </si>
  <si>
    <t>Enter the carbon dioxide emissions from associated gas on row 11 of the table for production class 2b in baseline year 2.</t>
  </si>
  <si>
    <t>Enter the carbon dioxide emissions from associated gas on row 12 of the table for production class 2b in baseline year 2.</t>
  </si>
  <si>
    <t>Enter the carbon dioxide emissions from associated gas on row 13 of the table for production class 2b in baseline year 2.</t>
  </si>
  <si>
    <t>Enter the carbon dioxide emissions from associated gas on row 14 of the table for production class 2b in baseline year 2.</t>
  </si>
  <si>
    <t>Enter the carbon dioxide emissions from associated gas on row 15 of the table for production class 2b in baseline year 2.</t>
  </si>
  <si>
    <t>Enter the carbon dioxide emissions from associated gas on row 16 of the table for production class 2b in baseline year 2.</t>
  </si>
  <si>
    <t>Enter the carbon dioxide emissions from associated gas on row 17 of the table for production class 2b in baseline year 2.</t>
  </si>
  <si>
    <t>Enter the carbon dioxide emissions from associated gas on row 18 of the table for production class 2b in baseline year 2.</t>
  </si>
  <si>
    <t>Enter the carbon dioxide emissions from associated gas on row 19 of the table for production class 2b in baseline year 2.</t>
  </si>
  <si>
    <t>Enter the carbon dioxide emissions from associated gas on row 20 of the table for production class 2b in baseline year 2.</t>
  </si>
  <si>
    <t>Enter the carbon dioxide emissions from associated gas on row 21 of the table for production class 2b in baseline year 2.</t>
  </si>
  <si>
    <t>Enter the carbon dioxide emissions from associated gas on row 22 of the table for production class 2b in baseline year 2.</t>
  </si>
  <si>
    <t>Enter the carbon dioxide emissions from associated gas on row 23 of the table for production class 2b in baseline year 2.</t>
  </si>
  <si>
    <t>Enter the carbon dioxide emissions from associated gas on row 24 of the table for production class 2b in baseline year 2.</t>
  </si>
  <si>
    <t>Enter the carbon dioxide emissions from associated gas on row 25 of the table for production class 2b in baseline year 2.</t>
  </si>
  <si>
    <t>Enter the carbon dioxide emissions from associated gas on row 26 of the table for production class 2b in baseline year 2.</t>
  </si>
  <si>
    <t>Enter the carbon dioxide emissions from associated gas on row 27 of the table for production class 2b in baseline year 2.</t>
  </si>
  <si>
    <t>Enter the carbon dioxide emissions from associated gas on row 28 of the table for production class 2b in baseline year 2.</t>
  </si>
  <si>
    <t>Enter the carbon dioxide emissions from associated gas on row 29 of the table for production class 2b in baseline year 2.</t>
  </si>
  <si>
    <t>Enter the carbon dioxide emissions from associated gas on row 30 of the table for production class 2b in baseline year 2.</t>
  </si>
  <si>
    <t>Enter the carbon dioxide emissions from associated gas on row 31 of the table for production class 2b in baseline year 2.</t>
  </si>
  <si>
    <t>Enter the carbon dioxide emissions from associated gas on row 32 of the table for production class 2b in baseline year 2.</t>
  </si>
  <si>
    <t>Enter the carbon dioxide emissions from associated gas on row 33 of the table for production class 2b in baseline year 2.</t>
  </si>
  <si>
    <t>Enter the carbon dioxide emissions from associated gas on row 34 of the table for production class 2b in baseline year 2.</t>
  </si>
  <si>
    <t>Enter the carbon dioxide emissions from associated gas on row 35 of the table for production class 2b in baseline year 2.</t>
  </si>
  <si>
    <t>Enter the carbon dioxide emissions from associated gas on row 36 of the table for production class 2b in baseline year 2.</t>
  </si>
  <si>
    <t>Enter the carbon dioxide emissions from associated gas on row 37 of the table for production class 2b in baseline year 2.</t>
  </si>
  <si>
    <t>Enter the carbon dioxide emissions from associated gas on row 38 of the table for production class 2b in baseline year 2.</t>
  </si>
  <si>
    <t>Enter the carbon dioxide emissions from associated gas on row 39 of the table for production class 2b in baseline year 2.</t>
  </si>
  <si>
    <t>Enter the carbon dioxide emissions from associated gas on row 40 of the table for production class 2b in baseline year 2.</t>
  </si>
  <si>
    <t>Enter the carbon dioxide emissions from associated gas on row 41 of the table for production class 2b in baseline year 2.</t>
  </si>
  <si>
    <t>Enter the carbon dioxide emissions from associated gas on row 42 of the table for production class 2b in baseline year 2.</t>
  </si>
  <si>
    <t>Enter the carbon dioxide emissions from associated gas on row 43 of the table for production class 2b in baseline year 2.</t>
  </si>
  <si>
    <t>Enter the carbon dioxide emissions from associated gas on row 44 of the table for production class 2b in baseline year 2.</t>
  </si>
  <si>
    <t>Enter the carbon dioxide emissions from associated gas on row 45 of the table for production class 2b in baseline year 2.</t>
  </si>
  <si>
    <t>Enter the carbon dioxide emissions from associated gas on row 46 of the table for production class 2b in baseline year 2.</t>
  </si>
  <si>
    <t>Enter the carbon dioxide emissions from associated gas on row 47 of the table for production class 2b in baseline year 2.</t>
  </si>
  <si>
    <t>Enter the carbon dioxide emissions from associated gas on row 48 of the table for production class 2b in baseline year 2.</t>
  </si>
  <si>
    <t>Enter the carbon dioxide emissions from associated gas on row 49 of the table for production class 2b in baseline year 2.</t>
  </si>
  <si>
    <t>Enter the carbon dioxide emissions from associated gas on row 50 of the table for production class 2b in baseline year 2.</t>
  </si>
  <si>
    <t>Enter the methane emissions from associated gas on row 1 of the table for production class 2b in baseline year 2.</t>
  </si>
  <si>
    <t>Enter the methane emissions from associated gas on row 2 of the table for production class 2b in baseline year 2.</t>
  </si>
  <si>
    <t>Enter the methane emissions from associated gas on row 3 of the table for production class 2b in baseline year 2.</t>
  </si>
  <si>
    <t>Enter the methane emissions from associated gas on row 4 of the table for production class 2b in baseline year 2.</t>
  </si>
  <si>
    <t>Enter the methane emissions from associated gas on row 5 of the table for production class 2b in baseline year 2.</t>
  </si>
  <si>
    <t>Enter the methane emissions from associated gas on row 6 of the table for production class 2b in baseline year 2.</t>
  </si>
  <si>
    <t>Enter the methane emissions from associated gas on row 7 of the table for production class 2b in baseline year 2.</t>
  </si>
  <si>
    <t>Enter the methane emissions from associated gas on row 8 of the table for production class 2b in baseline year 2.</t>
  </si>
  <si>
    <t>Enter the methane emissions from associated gas on row 9 of the table for production class 2b in baseline year 2.</t>
  </si>
  <si>
    <t>Enter the methane emissions from associated gas on row 10 of the table for production class 2b in baseline year 2.</t>
  </si>
  <si>
    <t>Enter the methane emissions from associated gas on row 11 of the table for production class 2b in baseline year 2.</t>
  </si>
  <si>
    <t>Enter the methane emissions from associated gas on row 12 of the table for production class 2b in baseline year 2.</t>
  </si>
  <si>
    <t>Enter the methane emissions from associated gas on row 13 of the table for production class 2b in baseline year 2.</t>
  </si>
  <si>
    <t>Enter the methane emissions from associated gas on row 14 of the table for production class 2b in baseline year 2.</t>
  </si>
  <si>
    <t>Enter the methane emissions from associated gas on row 15 of the table for production class 2b in baseline year 2.</t>
  </si>
  <si>
    <t>Enter the methane emissions from associated gas on row 16 of the table for production class 2b in baseline year 2.</t>
  </si>
  <si>
    <t>Enter the methane emissions from associated gas on row 17 of the table for production class 2b in baseline year 2.</t>
  </si>
  <si>
    <t>Enter the methane emissions from associated gas on row 18 of the table for production class 2b in baseline year 2.</t>
  </si>
  <si>
    <t>Enter the methane emissions from associated gas on row 19 of the table for production class 2b in baseline year 2.</t>
  </si>
  <si>
    <t>Enter the methane emissions from associated gas on row 20 of the table for production class 2b in baseline year 2.</t>
  </si>
  <si>
    <t>Enter the methane emissions from associated gas on row 21 of the table for production class 2b in baseline year 2.</t>
  </si>
  <si>
    <t>Enter the methane emissions from associated gas on row 22 of the table for production class 2b in baseline year 2.</t>
  </si>
  <si>
    <t>Enter the methane emissions from associated gas on row 23 of the table for production class 2b in baseline year 2.</t>
  </si>
  <si>
    <t>Enter the methane emissions from associated gas on row 24 of the table for production class 2b in baseline year 2.</t>
  </si>
  <si>
    <t>Enter the methane emissions from associated gas on row 25 of the table for production class 2b in baseline year 2.</t>
  </si>
  <si>
    <t>Enter the methane emissions from associated gas on row 26 of the table for production class 2b in baseline year 2.</t>
  </si>
  <si>
    <t>Enter the methane emissions from associated gas on row 27 of the table for production class 2b in baseline year 2.</t>
  </si>
  <si>
    <t>Enter the methane emissions from associated gas on row 28 of the table for production class 2b in baseline year 2.</t>
  </si>
  <si>
    <t>Enter the methane emissions from associated gas on row 29 of the table for production class 2b in baseline year 2.</t>
  </si>
  <si>
    <t>Enter the methane emissions from associated gas on row 30 of the table for production class 2b in baseline year 2.</t>
  </si>
  <si>
    <t>Enter the methane emissions from associated gas on row 31 of the table for production class 2b in baseline year 2.</t>
  </si>
  <si>
    <t>Enter the methane emissions from associated gas on row 32 of the table for production class 2b in baseline year 2.</t>
  </si>
  <si>
    <t>Enter the methane emissions from associated gas on row 33 of the table for production class 2b in baseline year 2.</t>
  </si>
  <si>
    <t>Enter the methane emissions from associated gas on row 34 of the table for production class 2b in baseline year 2.</t>
  </si>
  <si>
    <t>Enter the methane emissions from associated gas on row 35 of the table for production class 2b in baseline year 2.</t>
  </si>
  <si>
    <t>Enter the methane emissions from associated gas on row 36 of the table for production class 2b in baseline year 2.</t>
  </si>
  <si>
    <t>Enter the methane emissions from associated gas on row 37 of the table for production class 2b in baseline year 2.</t>
  </si>
  <si>
    <t>Enter the methane emissions from associated gas on row 38 of the table for production class 2b in baseline year 2.</t>
  </si>
  <si>
    <t>Enter the methane emissions from associated gas on row 39 of the table for production class 2b in baseline year 2.</t>
  </si>
  <si>
    <t>Enter the methane emissions from associated gas on row 40 of the table for production class 2b in baseline year 2.</t>
  </si>
  <si>
    <t>Enter the methane emissions from associated gas on row 41 of the table for production class 2b in baseline year 2.</t>
  </si>
  <si>
    <t>Enter the methane emissions from associated gas on row 42 of the table for production class 2b in baseline year 2.</t>
  </si>
  <si>
    <t>Enter the methane emissions from associated gas on row 43 of the table for production class 2b in baseline year 2.</t>
  </si>
  <si>
    <t>Enter the methane emissions from associated gas on row 44 of the table for production class 2b in baseline year 2.</t>
  </si>
  <si>
    <t>Enter the methane emissions from associated gas on row 45 of the table for production class 2b in baseline year 2.</t>
  </si>
  <si>
    <t>Enter the methane emissions from associated gas on row 46 of the table for production class 2b in baseline year 2.</t>
  </si>
  <si>
    <t>Enter the methane emissions from associated gas on row 47 of the table for production class 2b in baseline year 2.</t>
  </si>
  <si>
    <t>Enter the methane emissions from associated gas on row 48 of the table for production class 2b in baseline year 2.</t>
  </si>
  <si>
    <t>Enter the methane emissions from associated gas on row 49 of the table for production class 2b in baseline year 2.</t>
  </si>
  <si>
    <t>Enter the methane emissions from associated gas on row 50 of the table for production class 2b in baseline year 2.</t>
  </si>
  <si>
    <t>Enter the nitrous oxide emissions from associated gas on row 1 of the table for production class 2b in baseline year 2.</t>
  </si>
  <si>
    <t>Enter the nitrous oxide emissions from associated gas on row 2 of the table for production class 2b in baseline year 2.</t>
  </si>
  <si>
    <t>Enter the nitrous oxide emissions from associated gas on row 3 of the table for production class 2b in baseline year 2.</t>
  </si>
  <si>
    <t>Enter the nitrous oxide emissions from associated gas on row 4 of the table for production class 2b in baseline year 2.</t>
  </si>
  <si>
    <t>Enter the nitrous oxide emissions from associated gas on row 5 of the table for production class 2b in baseline year 2.</t>
  </si>
  <si>
    <t>Enter the nitrous oxide emissions from associated gas on row 6 of the table for production class 2b in baseline year 2.</t>
  </si>
  <si>
    <t>Enter the nitrous oxide emissions from associated gas on row 7 of the table for production class 2b in baseline year 2.</t>
  </si>
  <si>
    <t>Enter the nitrous oxide emissions from associated gas on row 8 of the table for production class 2b in baseline year 2.</t>
  </si>
  <si>
    <t>Enter the nitrous oxide emissions from associated gas on row 9 of the table for production class 2b in baseline year 2.</t>
  </si>
  <si>
    <t>Enter the nitrous oxide emissions from associated gas on row 10 of the table for production class 2b in baseline year 2.</t>
  </si>
  <si>
    <t>Enter the nitrous oxide emissions from associated gas on row 11 of the table for production class 2b in baseline year 2.</t>
  </si>
  <si>
    <t>Enter the nitrous oxide emissions from associated gas on row 12 of the table for production class 2b in baseline year 2.</t>
  </si>
  <si>
    <t>Enter the nitrous oxide emissions from associated gas on row 13 of the table for production class 2b in baseline year 2.</t>
  </si>
  <si>
    <t>Enter the nitrous oxide emissions from associated gas on row 14 of the table for production class 2b in baseline year 2.</t>
  </si>
  <si>
    <t>Enter the nitrous oxide emissions from associated gas on row 15 of the table for production class 2b in baseline year 2.</t>
  </si>
  <si>
    <t>Enter the nitrous oxide emissions from associated gas on row 16 of the table for production class 2b in baseline year 2.</t>
  </si>
  <si>
    <t>Enter the nitrous oxide emissions from associated gas on row 17 of the table for production class 2b in baseline year 2.</t>
  </si>
  <si>
    <t>Enter the nitrous oxide emissions from associated gas on row 18 of the table for production class 2b in baseline year 2.</t>
  </si>
  <si>
    <t>Enter the nitrous oxide emissions from associated gas on row 19 of the table for production class 2b in baseline year 2.</t>
  </si>
  <si>
    <t>Enter the nitrous oxide emissions from associated gas on row 20 of the table for production class 2b in baseline year 2.</t>
  </si>
  <si>
    <t>Enter the nitrous oxide emissions from associated gas on row 21 of the table for production class 2b in baseline year 2.</t>
  </si>
  <si>
    <t>Enter the nitrous oxide emissions from associated gas on row 22 of the table for production class 2b in baseline year 2.</t>
  </si>
  <si>
    <t>Enter the nitrous oxide emissions from associated gas on row 23 of the table for production class 2b in baseline year 2.</t>
  </si>
  <si>
    <t>Enter the nitrous oxide emissions from associated gas on row 24 of the table for production class 2b in baseline year 2.</t>
  </si>
  <si>
    <t>Enter the nitrous oxide emissions from associated gas on row 25 of the table for production class 2b in baseline year 2.</t>
  </si>
  <si>
    <t>Enter the nitrous oxide emissions from associated gas on row 26 of the table for production class 2b in baseline year 2.</t>
  </si>
  <si>
    <t>Enter the nitrous oxide emissions from associated gas on row 27 of the table for production class 2b in baseline year 2.</t>
  </si>
  <si>
    <t>Enter the nitrous oxide emissions from associated gas on row 28 of the table for production class 2b in baseline year 2.</t>
  </si>
  <si>
    <t>Enter the nitrous oxide emissions from associated gas on row 29 of the table for production class 2b in baseline year 2.</t>
  </si>
  <si>
    <t>Enter the nitrous oxide emissions from associated gas on row 30 of the table for production class 2b in baseline year 2.</t>
  </si>
  <si>
    <t>Enter the nitrous oxide emissions from associated gas on row 31 of the table for production class 2b in baseline year 2.</t>
  </si>
  <si>
    <t>Enter the nitrous oxide emissions from associated gas on row 32 of the table for production class 2b in baseline year 2.</t>
  </si>
  <si>
    <t>Enter the nitrous oxide emissions from associated gas on row 33 of the table for production class 2b in baseline year 2.</t>
  </si>
  <si>
    <t>Enter the nitrous oxide emissions from associated gas on row 34 of the table for production class 2b in baseline year 2.</t>
  </si>
  <si>
    <t>Enter the nitrous oxide emissions from associated gas on row 35 of the table for production class 2b in baseline year 2.</t>
  </si>
  <si>
    <t>Enter the nitrous oxide emissions from associated gas on row 36 of the table for production class 2b in baseline year 2.</t>
  </si>
  <si>
    <t>Enter the nitrous oxide emissions from associated gas on row 37 of the table for production class 2b in baseline year 2.</t>
  </si>
  <si>
    <t>Enter the nitrous oxide emissions from associated gas on row 38 of the table for production class 2b in baseline year 2.</t>
  </si>
  <si>
    <t>Enter the nitrous oxide emissions from associated gas on row 39 of the table for production class 2b in baseline year 2.</t>
  </si>
  <si>
    <t>Enter the nitrous oxide emissions from associated gas on row 40 of the table for production class 2b in baseline year 2.</t>
  </si>
  <si>
    <t>Enter the nitrous oxide emissions from associated gas on row 41 of the table for production class 2b in baseline year 2.</t>
  </si>
  <si>
    <t>Enter the nitrous oxide emissions from associated gas on row 42 of the table for production class 2b in baseline year 2.</t>
  </si>
  <si>
    <t>Enter the nitrous oxide emissions from associated gas on row 43 of the table for production class 2b in baseline year 2.</t>
  </si>
  <si>
    <t>Enter the nitrous oxide emissions from associated gas on row 44 of the table for production class 2b in baseline year 2.</t>
  </si>
  <si>
    <t>Enter the nitrous oxide emissions from associated gas on row 45 of the table for production class 2b in baseline year 2.</t>
  </si>
  <si>
    <t>Enter the nitrous oxide emissions from associated gas on row 46 of the table for production class 2b in baseline year 2.</t>
  </si>
  <si>
    <t>Enter the nitrous oxide emissions from associated gas on row 47 of the table for production class 2b in baseline year 2.</t>
  </si>
  <si>
    <t>Enter the nitrous oxide emissions from associated gas on row 48 of the table for production class 2b in baseline year 2.</t>
  </si>
  <si>
    <t>Enter the nitrous oxide emissions from associated gas on row 49 of the table for production class 2b in baseline year 2.</t>
  </si>
  <si>
    <t>Enter the nitrous oxide emissions from associated gas on row 50 of the table for production class 2b in baseline year 2.</t>
  </si>
  <si>
    <t>Enter the number of units within the gas-to-power operation for production class 3 in baseline year 1.</t>
  </si>
  <si>
    <t>Enter the energy in the combusted associated gas on row 1 of the table for production class 3 in baseline year 1.</t>
  </si>
  <si>
    <t>Enter the energy in the combusted associated gas on row 2 of the table for production class 3 in baseline year 1.</t>
  </si>
  <si>
    <t>Enter the energy in the combusted associated gas on row 3 of the table for production class 3 in baseline year 1.</t>
  </si>
  <si>
    <t>Enter the energy in the combusted associated gas on row 4 of the table for production class 3 in baseline year 1.</t>
  </si>
  <si>
    <t>Enter the energy in the combusted associated gas on row 5 of the table for production class 3 in baseline year 1.</t>
  </si>
  <si>
    <t>Enter the energy in the combusted associated gas on row 6 of the table for production class 3 in baseline year 1.</t>
  </si>
  <si>
    <t>Enter the energy in the combusted associated gas on row 7 of the table for production class 3 in baseline year 1.</t>
  </si>
  <si>
    <t>Enter the energy in the combusted associated gas on row 8 of the table for production class 3 in baseline year 1.</t>
  </si>
  <si>
    <t>Enter the energy in the combusted associated gas on row 9 of the table for production class 3 in baseline year 1.</t>
  </si>
  <si>
    <t>Enter the energy in the combusted associated gas on row 10 of the table for production class 3 in baseline year 1.</t>
  </si>
  <si>
    <t>Enter the energy in the combusted associated gas on row 11 of the table for production class 3 in baseline year 1.</t>
  </si>
  <si>
    <t>Enter the energy in the combusted associated gas on row 12 of the table for production class 3 in baseline year 1.</t>
  </si>
  <si>
    <t>Enter the energy in the combusted associated gas on row 13 of the table for production class 3 in baseline year 1.</t>
  </si>
  <si>
    <t>Enter the energy in the combusted associated gas on row 14 of the table for production class 3 in baseline year 1.</t>
  </si>
  <si>
    <t>Enter the energy in the combusted associated gas on row 15 of the table for production class 3 in baseline year 1.</t>
  </si>
  <si>
    <t>Enter the energy in the combusted associated gas on row 16 of the table for production class 3 in baseline year 1.</t>
  </si>
  <si>
    <t>Enter the energy in the combusted associated gas on row 17 of the table for production class 3 in baseline year 1.</t>
  </si>
  <si>
    <t>Enter the energy in the combusted associated gas on row 18 of the table for production class 3 in baseline year 1.</t>
  </si>
  <si>
    <t>Enter the energy in the combusted associated gas on row 19 of the table for production class 3 in baseline year 1.</t>
  </si>
  <si>
    <t>Enter the energy in the combusted associated gas on row 20 of the table for production class 3 in baseline year 1.</t>
  </si>
  <si>
    <t>Enter the energy in the combusted associated gas on row 21 of the table for production class 3 in baseline year 1.</t>
  </si>
  <si>
    <t>Enter the energy in the combusted associated gas on row 22 of the table for production class 3 in baseline year 1.</t>
  </si>
  <si>
    <t>Enter the energy in the combusted associated gas on row 23 of the table for production class 3 in baseline year 1.</t>
  </si>
  <si>
    <t>Enter the energy in the combusted associated gas on row 24 of the table for production class 3 in baseline year 1.</t>
  </si>
  <si>
    <t>Enter the energy in the combusted associated gas on row 25 of the table for production class 3 in baseline year 1.</t>
  </si>
  <si>
    <t>Enter the energy in the combusted associated gas on row 26 of the table for production class 3 in baseline year 1.</t>
  </si>
  <si>
    <t>Enter the energy in the combusted associated gas on row 27 of the table for production class 3 in baseline year 1.</t>
  </si>
  <si>
    <t>Enter the energy in the combusted associated gas on row 28 of the table for production class 3 in baseline year 1.</t>
  </si>
  <si>
    <t>Enter the energy in the combusted associated gas on row 29 of the table for production class 3 in baseline year 1.</t>
  </si>
  <si>
    <t>Enter the energy in the combusted associated gas on row 30 of the table for production class 3 in baseline year 1.</t>
  </si>
  <si>
    <t>Enter the energy in the combusted associated gas on row 31 of the table for production class 3 in baseline year 1.</t>
  </si>
  <si>
    <t>Enter the energy in the combusted associated gas on row 32 of the table for production class 3 in baseline year 1.</t>
  </si>
  <si>
    <t>Enter the energy in the combusted associated gas on row 33 of the table for production class 3 in baseline year 1.</t>
  </si>
  <si>
    <t>Enter the energy in the combusted associated gas on row 34 of the table for production class 3 in baseline year 1.</t>
  </si>
  <si>
    <t>Enter the energy in the combusted associated gas on row 35 of the table for production class 3 in baseline year 1.</t>
  </si>
  <si>
    <t>Enter the energy in the combusted associated gas on row 36 of the table for production class 3 in baseline year 1.</t>
  </si>
  <si>
    <t>Enter the energy in the combusted associated gas on row 37 of the table for production class 3 in baseline year 1.</t>
  </si>
  <si>
    <t>Enter the energy in the combusted associated gas on row 38 of the table for production class 3 in baseline year 1.</t>
  </si>
  <si>
    <t>Enter the energy in the combusted associated gas on row 39 of the table for production class 3 in baseline year 1.</t>
  </si>
  <si>
    <t>Enter the energy in the combusted associated gas on row 40 of the table for production class 3 in baseline year 1.</t>
  </si>
  <si>
    <t>Enter the energy in the combusted associated gas on row 41 of the table for production class 3 in baseline year 1.</t>
  </si>
  <si>
    <t>Enter the energy in the combusted associated gas on row 42 of the table for production class 3 in baseline year 1.</t>
  </si>
  <si>
    <t>Enter the energy in the combusted associated gas on row 43 of the table for production class 3 in baseline year 1.</t>
  </si>
  <si>
    <t>Enter the energy in the combusted associated gas on row 44 of the table for production class 3 in baseline year 1.</t>
  </si>
  <si>
    <t>Enter the energy in the combusted associated gas on row 45 of the table for production class 3 in baseline year 1.</t>
  </si>
  <si>
    <t>Enter the energy in the combusted associated gas on row 46 of the table for production class 3 in baseline year 1.</t>
  </si>
  <si>
    <t>Enter the energy in the combusted associated gas on row 47 of the table for production class 3 in baseline year 1.</t>
  </si>
  <si>
    <t>Enter the energy in the combusted associated gas on row 48 of the table for production class 3 in baseline year 1.</t>
  </si>
  <si>
    <t>Enter the energy in the combusted associated gas on row 49 of the table for production class 3 in baseline year 1.</t>
  </si>
  <si>
    <t>Enter the energy in the combusted associated gas on row 50 of the table for production class 3 in baseline year 1.</t>
  </si>
  <si>
    <t>Enter the total energy in all combusted fuel on row 1 of the table for production class 3 in baseline year 1.</t>
  </si>
  <si>
    <t>Enter the total energy in all combusted fuel on row 2 of the table for production class 3 in baseline year 1.</t>
  </si>
  <si>
    <t>Enter the total energy in all combusted fuel on row 3 of the table for production class 3 in baseline year 1.</t>
  </si>
  <si>
    <t>Enter the total energy in all combusted fuel on row 4 of the table for production class 3 in baseline year 1.</t>
  </si>
  <si>
    <t>Enter the total energy in all combusted fuel on row 5 of the table for production class 3 in baseline year 1.</t>
  </si>
  <si>
    <t>Enter the total energy in all combusted fuel on row 6 of the table for production class 3 in baseline year 1.</t>
  </si>
  <si>
    <t>Enter the total energy in all combusted fuel on row 7 of the table for production class 3 in baseline year 1.</t>
  </si>
  <si>
    <t>Enter the total energy in all combusted fuel on row 8 of the table for production class 3 in baseline year 1.</t>
  </si>
  <si>
    <t>Enter the total energy in all combusted fuel on row 9 of the table for production class 3 in baseline year 1.</t>
  </si>
  <si>
    <t>Enter the total energy in all combusted fuel on row 10 of the table for production class 3 in baseline year 1.</t>
  </si>
  <si>
    <t>Enter the total energy in all combusted fuel on row 11 of the table for production class 3 in baseline year 1.</t>
  </si>
  <si>
    <t>Enter the total energy in all combusted fuel on row 12 of the table for production class 3 in baseline year 1.</t>
  </si>
  <si>
    <t>Enter the total energy in all combusted fuel on row 13 of the table for production class 3 in baseline year 1.</t>
  </si>
  <si>
    <t>Enter the total energy in all combusted fuel on row 14 of the table for production class 3 in baseline year 1.</t>
  </si>
  <si>
    <t>Enter the total energy in all combusted fuel on row 15 of the table for production class 3 in baseline year 1.</t>
  </si>
  <si>
    <t>Enter the total energy in all combusted fuel on row 16 of the table for production class 3 in baseline year 1.</t>
  </si>
  <si>
    <t>Enter the total energy in all combusted fuel on row 17 of the table for production class 3 in baseline year 1.</t>
  </si>
  <si>
    <t>Enter the total energy in all combusted fuel on row 18 of the table for production class 3 in baseline year 1.</t>
  </si>
  <si>
    <t>Enter the total energy in all combusted fuel on row 19 of the table for production class 3 in baseline year 1.</t>
  </si>
  <si>
    <t>Enter the total energy in all combusted fuel on row 20 of the table for production class 3 in baseline year 1.</t>
  </si>
  <si>
    <t>Enter the total energy in all combusted fuel on row 21 of the table for production class 3 in baseline year 1.</t>
  </si>
  <si>
    <t>Enter the total energy in all combusted fuel on row 22 of the table for production class 3 in baseline year 1.</t>
  </si>
  <si>
    <t>Enter the total energy in all combusted fuel on row 23 of the table for production class 3 in baseline year 1.</t>
  </si>
  <si>
    <t>Enter the total energy in all combusted fuel on row 24 of the table for production class 3 in baseline year 1.</t>
  </si>
  <si>
    <t>Enter the total energy in all combusted fuel on row 25 of the table for production class 3 in baseline year 1.</t>
  </si>
  <si>
    <t>Enter the total energy in all combusted fuel on row 26 of the table for production class 3 in baseline year 1.</t>
  </si>
  <si>
    <t>Enter the total energy in all combusted fuel on row 27 of the table for production class 3 in baseline year 1.</t>
  </si>
  <si>
    <t>Enter the total energy in all combusted fuel on row 28 of the table for production class 3 in baseline year 1.</t>
  </si>
  <si>
    <t>Enter the total energy in all combusted fuel on row 29 of the table for production class 3 in baseline year 1.</t>
  </si>
  <si>
    <t>Enter the total energy in all combusted fuel on row 30 of the table for production class 3 in baseline year 1.</t>
  </si>
  <si>
    <t>Enter the total energy in all combusted fuel on row 31 of the table for production class 3 in baseline year 1.</t>
  </si>
  <si>
    <t>Enter the total energy in all combusted fuel on row 32 of the table for production class 3 in baseline year 1.</t>
  </si>
  <si>
    <t>Enter the total energy in all combusted fuel on row 33 of the table for production class 3 in baseline year 1.</t>
  </si>
  <si>
    <t>Enter the total energy in all combusted fuel on row 34 of the table for production class 3 in baseline year 1.</t>
  </si>
  <si>
    <t>Enter the total energy in all combusted fuel on row 35 of the table for production class 3 in baseline year 1.</t>
  </si>
  <si>
    <t>Enter the total energy in all combusted fuel on row 36 of the table for production class 3 in baseline year 1.</t>
  </si>
  <si>
    <t>Enter the total energy in all combusted fuel on row 37 of the table for production class 3 in baseline year 1.</t>
  </si>
  <si>
    <t>Enter the total energy in all combusted fuel on row 38 of the table for production class 3 in baseline year 1.</t>
  </si>
  <si>
    <t>Enter the total energy in all combusted fuel on row 39 of the table for production class 3 in baseline year 1.</t>
  </si>
  <si>
    <t>Enter the total energy in all combusted fuel on row 40 of the table for production class 3 in baseline year 1.</t>
  </si>
  <si>
    <t>Enter the total energy in all combusted fuel on row 41 of the table for production class 3 in baseline year 1.</t>
  </si>
  <si>
    <t>Enter the total energy in all combusted fuel on row 42 of the table for production class 3 in baseline year 1.</t>
  </si>
  <si>
    <t>Enter the total energy in all combusted fuel on row 43 of the table for production class 3 in baseline year 1.</t>
  </si>
  <si>
    <t>Enter the total energy in all combusted fuel on row 44 of the table for production class 3 in baseline year 1.</t>
  </si>
  <si>
    <t>Enter the total energy in all combusted fuel on row 45 of the table for production class 3 in baseline year 1.</t>
  </si>
  <si>
    <t>Enter the total energy in all combusted fuel on row 46 of the table for production class 3 in baseline year 1.</t>
  </si>
  <si>
    <t>Enter the total energy in all combusted fuel on row 47 of the table for production class 3 in baseline year 1.</t>
  </si>
  <si>
    <t>Enter the total energy in all combusted fuel on row 48 of the table for production class 3 in baseline year 1.</t>
  </si>
  <si>
    <t>Enter the total energy in all combusted fuel on row 49 of the table for production class 3 in baseline year 1.</t>
  </si>
  <si>
    <t>Enter the total energy in all combusted fuel on row 50 of the table for production class 3 in baseline year 1.</t>
  </si>
  <si>
    <t>Enter the total electricity generation from all combusted fuel on row 1 of the table for production class 3 in baseline year 1.</t>
  </si>
  <si>
    <t>Enter the total electricity generation from all combusted fuel on row 2 of the table for production class 3 in baseline year 1.</t>
  </si>
  <si>
    <t>Enter the total electricity generation from all combusted fuel on row 3 of the table for production class 3 in baseline year 1.</t>
  </si>
  <si>
    <t>Enter the total electricity generation from all combusted fuel on row 4 of the table for production class 3 in baseline year 1.</t>
  </si>
  <si>
    <t>Enter the total electricity generation from all combusted fuel on row 5 of the table for production class 3 in baseline year 1.</t>
  </si>
  <si>
    <t>Enter the total electricity generation from all combusted fuel on row 6 of the table for production class 3 in baseline year 1.</t>
  </si>
  <si>
    <t>Enter the total electricity generation from all combusted fuel on row 7 of the table for production class 3 in baseline year 1.</t>
  </si>
  <si>
    <t>Enter the total electricity generation from all combusted fuel on row 8 of the table for production class 3 in baseline year 1.</t>
  </si>
  <si>
    <t>Enter the total electricity generation from all combusted fuel on row 9 of the table for production class 3 in baseline year 1.</t>
  </si>
  <si>
    <t>Enter the total electricity generation from all combusted fuel on row 10 of the table for production class 3 in baseline year 1.</t>
  </si>
  <si>
    <t>Enter the total electricity generation from all combusted fuel on row 11 of the table for production class 3 in baseline year 1.</t>
  </si>
  <si>
    <t>Enter the total electricity generation from all combusted fuel on row 12 of the table for production class 3 in baseline year 1.</t>
  </si>
  <si>
    <t>Enter the total electricity generation from all combusted fuel on row 13 of the table for production class 3 in baseline year 1.</t>
  </si>
  <si>
    <t>Enter the total electricity generation from all combusted fuel on row 14 of the table for production class 3 in baseline year 1.</t>
  </si>
  <si>
    <t>Enter the total electricity generation from all combusted fuel on row 15 of the table for production class 3 in baseline year 1.</t>
  </si>
  <si>
    <t>Enter the total electricity generation from all combusted fuel on row 16 of the table for production class 3 in baseline year 1.</t>
  </si>
  <si>
    <t>Enter the total electricity generation from all combusted fuel on row 17 of the table for production class 3 in baseline year 1.</t>
  </si>
  <si>
    <t>Enter the total electricity generation from all combusted fuel on row 18 of the table for production class 3 in baseline year 1.</t>
  </si>
  <si>
    <t>Enter the total electricity generation from all combusted fuel on row 19 of the table for production class 3 in baseline year 1.</t>
  </si>
  <si>
    <t>Enter the total electricity generation from all combusted fuel on row 20 of the table for production class 3 in baseline year 1.</t>
  </si>
  <si>
    <t>Enter the total electricity generation from all combusted fuel on row 21 of the table for production class 3 in baseline year 1.</t>
  </si>
  <si>
    <t>Enter the total electricity generation from all combusted fuel on row 22 of the table for production class 3 in baseline year 1.</t>
  </si>
  <si>
    <t>Enter the total electricity generation from all combusted fuel on row 23 of the table for production class 3 in baseline year 1.</t>
  </si>
  <si>
    <t>Enter the total electricity generation from all combusted fuel on row 24 of the table for production class 3 in baseline year 1.</t>
  </si>
  <si>
    <t>Enter the total electricity generation from all combusted fuel on row 25 of the table for production class 3 in baseline year 1.</t>
  </si>
  <si>
    <t>Enter the total electricity generation from all combusted fuel on row 26 of the table for production class 3 in baseline year 1.</t>
  </si>
  <si>
    <t>Enter the total electricity generation from all combusted fuel on row 27 of the table for production class 3 in baseline year 1.</t>
  </si>
  <si>
    <t>Enter the total electricity generation from all combusted fuel on row 28 of the table for production class 3 in baseline year 1.</t>
  </si>
  <si>
    <t>Enter the total electricity generation from all combusted fuel on row 29 of the table for production class 3 in baseline year 1.</t>
  </si>
  <si>
    <t>Enter the total electricity generation from all combusted fuel on row 30 of the table for production class 3 in baseline year 1.</t>
  </si>
  <si>
    <t>Enter the total electricity generation from all combusted fuel on row 31 of the table for production class 3 in baseline year 1.</t>
  </si>
  <si>
    <t>Enter the total electricity generation from all combusted fuel on row 32 of the table for production class 3 in baseline year 1.</t>
  </si>
  <si>
    <t>Enter the total electricity generation from all combusted fuel on row 33 of the table for production class 3 in baseline year 1.</t>
  </si>
  <si>
    <t>Enter the total electricity generation from all combusted fuel on row 34 of the table for production class 3 in baseline year 1.</t>
  </si>
  <si>
    <t>Enter the total electricity generation from all combusted fuel on row 35 of the table for production class 3 in baseline year 1.</t>
  </si>
  <si>
    <t>Enter the total electricity generation from all combusted fuel on row 36 of the table for production class 3 in baseline year 1.</t>
  </si>
  <si>
    <t>Enter the total electricity generation from all combusted fuel on row 37 of the table for production class 3 in baseline year 1.</t>
  </si>
  <si>
    <t>Enter the total electricity generation from all combusted fuel on row 38 of the table for production class 3 in baseline year 1.</t>
  </si>
  <si>
    <t>Enter the total electricity generation from all combusted fuel on row 39 of the table for production class 3 in baseline year 1.</t>
  </si>
  <si>
    <t>Enter the total electricity generation from all combusted fuel on row 40 of the table for production class 3 in baseline year 1.</t>
  </si>
  <si>
    <t>Enter the total electricity generation from all combusted fuel on row 41 of the table for production class 3 in baseline year 1.</t>
  </si>
  <si>
    <t>Enter the total electricity generation from all combusted fuel on row 42 of the table for production class 3 in baseline year 1.</t>
  </si>
  <si>
    <t>Enter the total electricity generation from all combusted fuel on row 43 of the table for production class 3 in baseline year 1.</t>
  </si>
  <si>
    <t>Enter the total electricity generation from all combusted fuel on row 44 of the table for production class 3 in baseline year 1.</t>
  </si>
  <si>
    <t>Enter the total electricity generation from all combusted fuel on row 45 of the table for production class 3 in baseline year 1.</t>
  </si>
  <si>
    <t>Enter the total electricity generation from all combusted fuel on row 46 of the table for production class 3 in baseline year 1.</t>
  </si>
  <si>
    <t>Enter the total electricity generation from all combusted fuel on row 47 of the table for production class 3 in baseline year 1.</t>
  </si>
  <si>
    <t>Enter the total electricity generation from all combusted fuel on row 48 of the table for production class 3 in baseline year 1.</t>
  </si>
  <si>
    <t>Enter the total electricity generation from all combusted fuel on row 49 of the table for production class 3 in baseline year 1.</t>
  </si>
  <si>
    <t>Enter the total electricity generation from all combusted fuel on row 50 of the table for production class 3 in baseline year 1.</t>
  </si>
  <si>
    <t>Enter the volume of associated gas on row 1 of the table for production class 3 in baseline year 1.</t>
  </si>
  <si>
    <t>Enter the volume of associated gas on row 2 of the table for production class 3 in baseline year 1.</t>
  </si>
  <si>
    <t>Enter the volume of associated gas on row 3 of the table for production class 3 in baseline year 1.</t>
  </si>
  <si>
    <t>Enter the volume of associated gas on row 4 of the table for production class 3 in baseline year 1.</t>
  </si>
  <si>
    <t>Enter the volume of associated gas on row 5 of the table for production class 3 in baseline year 1.</t>
  </si>
  <si>
    <t>Enter the volume of associated gas on row 6 of the table for production class 3 in baseline year 1.</t>
  </si>
  <si>
    <t>Enter the volume of associated gas on row 7 of the table for production class 3 in baseline year 1.</t>
  </si>
  <si>
    <t>Enter the volume of associated gas on row 8 of the table for production class 3 in baseline year 1.</t>
  </si>
  <si>
    <t>Enter the volume of associated gas on row 9 of the table for production class 3 in baseline year 1.</t>
  </si>
  <si>
    <t>Enter the volume of associated gas on row 10 of the table for production class 3 in baseline year 1.</t>
  </si>
  <si>
    <t>Enter the volume of associated gas on row 11 of the table for production class 3 in baseline year 1.</t>
  </si>
  <si>
    <t>Enter the volume of associated gas on row 12 of the table for production class 3 in baseline year 1.</t>
  </si>
  <si>
    <t>Enter the volume of associated gas on row 13 of the table for production class 3 in baseline year 1.</t>
  </si>
  <si>
    <t>Enter the volume of associated gas on row 14 of the table for production class 3 in baseline year 1.</t>
  </si>
  <si>
    <t>Enter the volume of associated gas on row 15 of the table for production class 3 in baseline year 1.</t>
  </si>
  <si>
    <t>Enter the volume of associated gas on row 16 of the table for production class 3 in baseline year 1.</t>
  </si>
  <si>
    <t>Enter the volume of associated gas on row 17 of the table for production class 3 in baseline year 1.</t>
  </si>
  <si>
    <t>Enter the volume of associated gas on row 18 of the table for production class 3 in baseline year 1.</t>
  </si>
  <si>
    <t>Enter the volume of associated gas on row 19 of the table for production class 3 in baseline year 1.</t>
  </si>
  <si>
    <t>Enter the volume of associated gas on row 20 of the table for production class 3 in baseline year 1.</t>
  </si>
  <si>
    <t>Enter the volume of associated gas on row 21 of the table for production class 3 in baseline year 1.</t>
  </si>
  <si>
    <t>Enter the volume of associated gas on row 22 of the table for production class 3 in baseline year 1.</t>
  </si>
  <si>
    <t>Enter the volume of associated gas on row 23 of the table for production class 3 in baseline year 1.</t>
  </si>
  <si>
    <t>Enter the volume of associated gas on row 24 of the table for production class 3 in baseline year 1.</t>
  </si>
  <si>
    <t>Enter the volume of associated gas on row 25 of the table for production class 3 in baseline year 1.</t>
  </si>
  <si>
    <t>Enter the volume of associated gas on row 26 of the table for production class 3 in baseline year 1.</t>
  </si>
  <si>
    <t>Enter the volume of associated gas on row 27 of the table for production class 3 in baseline year 1.</t>
  </si>
  <si>
    <t>Enter the volume of associated gas on row 28 of the table for production class 3 in baseline year 1.</t>
  </si>
  <si>
    <t>Enter the volume of associated gas on row 29 of the table for production class 3 in baseline year 1.</t>
  </si>
  <si>
    <t>Enter the volume of associated gas on row 30 of the table for production class 3 in baseline year 1.</t>
  </si>
  <si>
    <t>Enter the volume of associated gas on row 31 of the table for production class 3 in baseline year 1.</t>
  </si>
  <si>
    <t>Enter the volume of associated gas on row 32 of the table for production class 3 in baseline year 1.</t>
  </si>
  <si>
    <t>Enter the volume of associated gas on row 33 of the table for production class 3 in baseline year 1.</t>
  </si>
  <si>
    <t>Enter the volume of associated gas on row 34 of the table for production class 3 in baseline year 1.</t>
  </si>
  <si>
    <t>Enter the volume of associated gas on row 35 of the table for production class 3 in baseline year 1.</t>
  </si>
  <si>
    <t>Enter the volume of associated gas on row 36 of the table for production class 3 in baseline year 1.</t>
  </si>
  <si>
    <t>Enter the volume of associated gas on row 37 of the table for production class 3 in baseline year 1.</t>
  </si>
  <si>
    <t>Enter the volume of associated gas on row 38 of the table for production class 3 in baseline year 1.</t>
  </si>
  <si>
    <t>Enter the volume of associated gas on row 39 of the table for production class 3 in baseline year 1.</t>
  </si>
  <si>
    <t>Enter the volume of associated gas on row 40 of the table for production class 3 in baseline year 1.</t>
  </si>
  <si>
    <t>Enter the volume of associated gas on row 41 of the table for production class 3 in baseline year 1.</t>
  </si>
  <si>
    <t>Enter the volume of associated gas on row 42 of the table for production class 3 in baseline year 1.</t>
  </si>
  <si>
    <t>Enter the volume of associated gas on row 43 of the table for production class 3 in baseline year 1.</t>
  </si>
  <si>
    <t>Enter the volume of associated gas on row 44 of the table for production class 3 in baseline year 1.</t>
  </si>
  <si>
    <t>Enter the volume of associated gas on row 45 of the table for production class 3 in baseline year 1.</t>
  </si>
  <si>
    <t>Enter the volume of associated gas on row 46 of the table for production class 3 in baseline year 1.</t>
  </si>
  <si>
    <t>Enter the volume of associated gas on row 47 of the table for production class 3 in baseline year 1.</t>
  </si>
  <si>
    <t>Enter the volume of associated gas on row 48 of the table for production class 3 in baseline year 1.</t>
  </si>
  <si>
    <t>Enter the volume of associated gas on row 49 of the table for production class 3 in baseline year 1.</t>
  </si>
  <si>
    <t>Enter the volume of associated gas on row 50 of the table for production class 3 in baseline year 1.</t>
  </si>
  <si>
    <t>Enter the carbon dioxide emissions from associated gas on row 1 of the table for production class 3 in baseline year 1.</t>
  </si>
  <si>
    <t>Enter the carbon dioxide emissions from associated gas on row 2 of the table for production class 3 in baseline year 1.</t>
  </si>
  <si>
    <t>Enter the carbon dioxide emissions from associated gas on row 3 of the table for production class 3 in baseline year 1.</t>
  </si>
  <si>
    <t>Enter the carbon dioxide emissions from associated gas on row 4 of the table for production class 3 in baseline year 1.</t>
  </si>
  <si>
    <t>Enter the carbon dioxide emissions from associated gas on row 5 of the table for production class 3 in baseline year 1.</t>
  </si>
  <si>
    <t>Enter the carbon dioxide emissions from associated gas on row 6 of the table for production class 3 in baseline year 1.</t>
  </si>
  <si>
    <t>Enter the carbon dioxide emissions from associated gas on row 7 of the table for production class 3 in baseline year 1.</t>
  </si>
  <si>
    <t>Enter the carbon dioxide emissions from associated gas on row 8 of the table for production class 3 in baseline year 1.</t>
  </si>
  <si>
    <t>Enter the carbon dioxide emissions from associated gas on row 9 of the table for production class 3 in baseline year 1.</t>
  </si>
  <si>
    <t>Enter the carbon dioxide emissions from associated gas on row 10 of the table for production class 3 in baseline year 1.</t>
  </si>
  <si>
    <t>Enter the carbon dioxide emissions from associated gas on row 11 of the table for production class 3 in baseline year 1.</t>
  </si>
  <si>
    <t>Enter the carbon dioxide emissions from associated gas on row 12 of the table for production class 3 in baseline year 1.</t>
  </si>
  <si>
    <t>Enter the carbon dioxide emissions from associated gas on row 13 of the table for production class 3 in baseline year 1.</t>
  </si>
  <si>
    <t>Enter the carbon dioxide emissions from associated gas on row 14 of the table for production class 3 in baseline year 1.</t>
  </si>
  <si>
    <t>Enter the carbon dioxide emissions from associated gas on row 15 of the table for production class 3 in baseline year 1.</t>
  </si>
  <si>
    <t>Enter the carbon dioxide emissions from associated gas on row 16 of the table for production class 3 in baseline year 1.</t>
  </si>
  <si>
    <t>Enter the carbon dioxide emissions from associated gas on row 17 of the table for production class 3 in baseline year 1.</t>
  </si>
  <si>
    <t>Enter the carbon dioxide emissions from associated gas on row 18 of the table for production class 3 in baseline year 1.</t>
  </si>
  <si>
    <t>Enter the carbon dioxide emissions from associated gas on row 19 of the table for production class 3 in baseline year 1.</t>
  </si>
  <si>
    <t>Enter the carbon dioxide emissions from associated gas on row 20 of the table for production class 3 in baseline year 1.</t>
  </si>
  <si>
    <t>Enter the carbon dioxide emissions from associated gas on row 21 of the table for production class 3 in baseline year 1.</t>
  </si>
  <si>
    <t>Enter the carbon dioxide emissions from associated gas on row 22 of the table for production class 3 in baseline year 1.</t>
  </si>
  <si>
    <t>Enter the carbon dioxide emissions from associated gas on row 23 of the table for production class 3 in baseline year 1.</t>
  </si>
  <si>
    <t>Enter the carbon dioxide emissions from associated gas on row 24 of the table for production class 3 in baseline year 1.</t>
  </si>
  <si>
    <t>Enter the carbon dioxide emissions from associated gas on row 25 of the table for production class 3 in baseline year 1.</t>
  </si>
  <si>
    <t>Enter the carbon dioxide emissions from associated gas on row 26 of the table for production class 3 in baseline year 1.</t>
  </si>
  <si>
    <t>Enter the carbon dioxide emissions from associated gas on row 27 of the table for production class 3 in baseline year 1.</t>
  </si>
  <si>
    <t>Enter the carbon dioxide emissions from associated gas on row 28 of the table for production class 3 in baseline year 1.</t>
  </si>
  <si>
    <t>Enter the carbon dioxide emissions from associated gas on row 29 of the table for production class 3 in baseline year 1.</t>
  </si>
  <si>
    <t>Enter the carbon dioxide emissions from associated gas on row 30 of the table for production class 3 in baseline year 1.</t>
  </si>
  <si>
    <t>Enter the carbon dioxide emissions from associated gas on row 31 of the table for production class 3 in baseline year 1.</t>
  </si>
  <si>
    <t>Enter the carbon dioxide emissions from associated gas on row 32 of the table for production class 3 in baseline year 1.</t>
  </si>
  <si>
    <t>Enter the carbon dioxide emissions from associated gas on row 33 of the table for production class 3 in baseline year 1.</t>
  </si>
  <si>
    <t>Enter the carbon dioxide emissions from associated gas on row 34 of the table for production class 3 in baseline year 1.</t>
  </si>
  <si>
    <t>Enter the carbon dioxide emissions from associated gas on row 35 of the table for production class 3 in baseline year 1.</t>
  </si>
  <si>
    <t>Enter the carbon dioxide emissions from associated gas on row 36 of the table for production class 3 in baseline year 1.</t>
  </si>
  <si>
    <t>Enter the carbon dioxide emissions from associated gas on row 37 of the table for production class 3 in baseline year 1.</t>
  </si>
  <si>
    <t>Enter the carbon dioxide emissions from associated gas on row 38 of the table for production class 3 in baseline year 1.</t>
  </si>
  <si>
    <t>Enter the carbon dioxide emissions from associated gas on row 39 of the table for production class 3 in baseline year 1.</t>
  </si>
  <si>
    <t>Enter the carbon dioxide emissions from associated gas on row 40 of the table for production class 3 in baseline year 1.</t>
  </si>
  <si>
    <t>Enter the carbon dioxide emissions from associated gas on row 41 of the table for production class 3 in baseline year 1.</t>
  </si>
  <si>
    <t>Enter the carbon dioxide emissions from associated gas on row 42 of the table for production class 3 in baseline year 1.</t>
  </si>
  <si>
    <t>Enter the carbon dioxide emissions from associated gas on row 43 of the table for production class 3 in baseline year 1.</t>
  </si>
  <si>
    <t>Enter the carbon dioxide emissions from associated gas on row 44 of the table for production class 3 in baseline year 1.</t>
  </si>
  <si>
    <t>Enter the carbon dioxide emissions from associated gas on row 45 of the table for production class 3 in baseline year 1.</t>
  </si>
  <si>
    <t>Enter the carbon dioxide emissions from associated gas on row 46 of the table for production class 3 in baseline year 1.</t>
  </si>
  <si>
    <t>Enter the carbon dioxide emissions from associated gas on row 47 of the table for production class 3 in baseline year 1.</t>
  </si>
  <si>
    <t>Enter the carbon dioxide emissions from associated gas on row 48 of the table for production class 3 in baseline year 1.</t>
  </si>
  <si>
    <t>Enter the carbon dioxide emissions from associated gas on row 49 of the table for production class 3 in baseline year 1.</t>
  </si>
  <si>
    <t>Enter the carbon dioxide emissions from associated gas on row 50 of the table for production class 3 in baseline year 1.</t>
  </si>
  <si>
    <t>Enter the methane emissions from associated gas on row 1 of the table for production class 3 in baseline year 1.</t>
  </si>
  <si>
    <t>Enter the methane emissions from associated gas on row 2 of the table for production class 3 in baseline year 1.</t>
  </si>
  <si>
    <t>Enter the methane emissions from associated gas on row 3 of the table for production class 3 in baseline year 1.</t>
  </si>
  <si>
    <t>Enter the methane emissions from associated gas on row 4 of the table for production class 3 in baseline year 1.</t>
  </si>
  <si>
    <t>Enter the methane emissions from associated gas on row 5 of the table for production class 3 in baseline year 1.</t>
  </si>
  <si>
    <t>Enter the methane emissions from associated gas on row 6 of the table for production class 3 in baseline year 1.</t>
  </si>
  <si>
    <t>Enter the methane emissions from associated gas on row 7 of the table for production class 3 in baseline year 1.</t>
  </si>
  <si>
    <t>Enter the methane emissions from associated gas on row 8 of the table for production class 3 in baseline year 1.</t>
  </si>
  <si>
    <t>Enter the methane emissions from associated gas on row 9 of the table for production class 3 in baseline year 1.</t>
  </si>
  <si>
    <t>Enter the methane emissions from associated gas on row 10 of the table for production class 3 in baseline year 1.</t>
  </si>
  <si>
    <t>Enter the methane emissions from associated gas on row 11 of the table for production class 3 in baseline year 1.</t>
  </si>
  <si>
    <t>Enter the methane emissions from associated gas on row 12 of the table for production class 3 in baseline year 1.</t>
  </si>
  <si>
    <t>Enter the methane emissions from associated gas on row 13 of the table for production class 3 in baseline year 1.</t>
  </si>
  <si>
    <t>Enter the methane emissions from associated gas on row 14 of the table for production class 3 in baseline year 1.</t>
  </si>
  <si>
    <t>Enter the methane emissions from associated gas on row 15 of the table for production class 3 in baseline year 1.</t>
  </si>
  <si>
    <t>Enter the methane emissions from associated gas on row 16 of the table for production class 3 in baseline year 1.</t>
  </si>
  <si>
    <t>Enter the methane emissions from associated gas on row 17 of the table for production class 3 in baseline year 1.</t>
  </si>
  <si>
    <t>Enter the methane emissions from associated gas on row 18 of the table for production class 3 in baseline year 1.</t>
  </si>
  <si>
    <t>Enter the methane emissions from associated gas on row 19 of the table for production class 3 in baseline year 1.</t>
  </si>
  <si>
    <t>Enter the methane emissions from associated gas on row 20 of the table for production class 3 in baseline year 1.</t>
  </si>
  <si>
    <t>Enter the methane emissions from associated gas on row 21 of the table for production class 3 in baseline year 1.</t>
  </si>
  <si>
    <t>Enter the methane emissions from associated gas on row 22 of the table for production class 3 in baseline year 1.</t>
  </si>
  <si>
    <t>Enter the methane emissions from associated gas on row 23 of the table for production class 3 in baseline year 1.</t>
  </si>
  <si>
    <t>Enter the methane emissions from associated gas on row 24 of the table for production class 3 in baseline year 1.</t>
  </si>
  <si>
    <t>Enter the methane emissions from associated gas on row 25 of the table for production class 3 in baseline year 1.</t>
  </si>
  <si>
    <t>Enter the methane emissions from associated gas on row 26 of the table for production class 3 in baseline year 1.</t>
  </si>
  <si>
    <t>Enter the methane emissions from associated gas on row 27 of the table for production class 3 in baseline year 1.</t>
  </si>
  <si>
    <t>Enter the methane emissions from associated gas on row 28 of the table for production class 3 in baseline year 1.</t>
  </si>
  <si>
    <t>Enter the methane emissions from associated gas on row 29 of the table for production class 3 in baseline year 1.</t>
  </si>
  <si>
    <t>Enter the methane emissions from associated gas on row 30 of the table for production class 3 in baseline year 1.</t>
  </si>
  <si>
    <t>Enter the methane emissions from associated gas on row 31 of the table for production class 3 in baseline year 1.</t>
  </si>
  <si>
    <t>Enter the methane emissions from associated gas on row 32 of the table for production class 3 in baseline year 1.</t>
  </si>
  <si>
    <t>Enter the methane emissions from associated gas on row 33 of the table for production class 3 in baseline year 1.</t>
  </si>
  <si>
    <t>Enter the methane emissions from associated gas on row 34 of the table for production class 3 in baseline year 1.</t>
  </si>
  <si>
    <t>Enter the methane emissions from associated gas on row 35 of the table for production class 3 in baseline year 1.</t>
  </si>
  <si>
    <t>Enter the methane emissions from associated gas on row 36 of the table for production class 3 in baseline year 1.</t>
  </si>
  <si>
    <t>Enter the methane emissions from associated gas on row 37 of the table for production class 3 in baseline year 1.</t>
  </si>
  <si>
    <t>Enter the methane emissions from associated gas on row 38 of the table for production class 3 in baseline year 1.</t>
  </si>
  <si>
    <t>Enter the methane emissions from associated gas on row 39 of the table for production class 3 in baseline year 1.</t>
  </si>
  <si>
    <t>Enter the methane emissions from associated gas on row 40 of the table for production class 3 in baseline year 1.</t>
  </si>
  <si>
    <t>Enter the methane emissions from associated gas on row 41 of the table for production class 3 in baseline year 1.</t>
  </si>
  <si>
    <t>Enter the methane emissions from associated gas on row 42 of the table for production class 3 in baseline year 1.</t>
  </si>
  <si>
    <t>Enter the methane emissions from associated gas on row 43 of the table for production class 3 in baseline year 1.</t>
  </si>
  <si>
    <t>Enter the methane emissions from associated gas on row 44 of the table for production class 3 in baseline year 1.</t>
  </si>
  <si>
    <t>Enter the methane emissions from associated gas on row 45 of the table for production class 3 in baseline year 1.</t>
  </si>
  <si>
    <t>Enter the methane emissions from associated gas on row 46 of the table for production class 3 in baseline year 1.</t>
  </si>
  <si>
    <t>Enter the methane emissions from associated gas on row 47 of the table for production class 3 in baseline year 1.</t>
  </si>
  <si>
    <t>Enter the methane emissions from associated gas on row 48 of the table for production class 3 in baseline year 1.</t>
  </si>
  <si>
    <t>Enter the methane emissions from associated gas on row 49 of the table for production class 3 in baseline year 1.</t>
  </si>
  <si>
    <t>Enter the methane emissions from associated gas on row 50 of the table for production class 3 in baseline year 1.</t>
  </si>
  <si>
    <t>Enter the nitrous oxide emissions from associated gas on row 1 of the table for production class 3 in baseline year 1.</t>
  </si>
  <si>
    <t>Enter the nitrous oxide emissions from associated gas on row 2 of the table for production class 3 in baseline year 1.</t>
  </si>
  <si>
    <t>Enter the nitrous oxide emissions from associated gas on row 3 of the table for production class 3 in baseline year 1.</t>
  </si>
  <si>
    <t>Enter the nitrous oxide emissions from associated gas on row 4 of the table for production class 3 in baseline year 1.</t>
  </si>
  <si>
    <t>Enter the nitrous oxide emissions from associated gas on row 5 of the table for production class 3 in baseline year 1.</t>
  </si>
  <si>
    <t>Enter the nitrous oxide emissions from associated gas on row 6 of the table for production class 3 in baseline year 1.</t>
  </si>
  <si>
    <t>Enter the nitrous oxide emissions from associated gas on row 7 of the table for production class 3 in baseline year 1.</t>
  </si>
  <si>
    <t>Enter the nitrous oxide emissions from associated gas on row 8 of the table for production class 3 in baseline year 1.</t>
  </si>
  <si>
    <t>Enter the nitrous oxide emissions from associated gas on row 9 of the table for production class 3 in baseline year 1.</t>
  </si>
  <si>
    <t>Enter the nitrous oxide emissions from associated gas on row 10 of the table for production class 3 in baseline year 1.</t>
  </si>
  <si>
    <t>Enter the nitrous oxide emissions from associated gas on row 11 of the table for production class 3 in baseline year 1.</t>
  </si>
  <si>
    <t>Enter the nitrous oxide emissions from associated gas on row 12 of the table for production class 3 in baseline year 1.</t>
  </si>
  <si>
    <t>Enter the nitrous oxide emissions from associated gas on row 13 of the table for production class 3 in baseline year 1.</t>
  </si>
  <si>
    <t>Enter the nitrous oxide emissions from associated gas on row 14 of the table for production class 3 in baseline year 1.</t>
  </si>
  <si>
    <t>Enter the nitrous oxide emissions from associated gas on row 15 of the table for production class 3 in baseline year 1.</t>
  </si>
  <si>
    <t>Enter the nitrous oxide emissions from associated gas on row 16 of the table for production class 3 in baseline year 1.</t>
  </si>
  <si>
    <t>Enter the nitrous oxide emissions from associated gas on row 17 of the table for production class 3 in baseline year 1.</t>
  </si>
  <si>
    <t>Enter the nitrous oxide emissions from associated gas on row 18 of the table for production class 3 in baseline year 1.</t>
  </si>
  <si>
    <t>Enter the nitrous oxide emissions from associated gas on row 19 of the table for production class 3 in baseline year 1.</t>
  </si>
  <si>
    <t>Enter the nitrous oxide emissions from associated gas on row 20 of the table for production class 3 in baseline year 1.</t>
  </si>
  <si>
    <t>Enter the nitrous oxide emissions from associated gas on row 21 of the table for production class 3 in baseline year 1.</t>
  </si>
  <si>
    <t>Enter the nitrous oxide emissions from associated gas on row 22 of the table for production class 3 in baseline year 1.</t>
  </si>
  <si>
    <t>Enter the nitrous oxide emissions from associated gas on row 23 of the table for production class 3 in baseline year 1.</t>
  </si>
  <si>
    <t>Enter the nitrous oxide emissions from associated gas on row 24 of the table for production class 3 in baseline year 1.</t>
  </si>
  <si>
    <t>Enter the nitrous oxide emissions from associated gas on row 25 of the table for production class 3 in baseline year 1.</t>
  </si>
  <si>
    <t>Enter the nitrous oxide emissions from associated gas on row 26 of the table for production class 3 in baseline year 1.</t>
  </si>
  <si>
    <t>Enter the nitrous oxide emissions from associated gas on row 27 of the table for production class 3 in baseline year 1.</t>
  </si>
  <si>
    <t>Enter the nitrous oxide emissions from associated gas on row 28 of the table for production class 3 in baseline year 1.</t>
  </si>
  <si>
    <t>Enter the nitrous oxide emissions from associated gas on row 29 of the table for production class 3 in baseline year 1.</t>
  </si>
  <si>
    <t>Enter the nitrous oxide emissions from associated gas on row 30 of the table for production class 3 in baseline year 1.</t>
  </si>
  <si>
    <t>Enter the nitrous oxide emissions from associated gas on row 31 of the table for production class 3 in baseline year 1.</t>
  </si>
  <si>
    <t>Enter the nitrous oxide emissions from associated gas on row 32 of the table for production class 3 in baseline year 1.</t>
  </si>
  <si>
    <t>Enter the nitrous oxide emissions from associated gas on row 33 of the table for production class 3 in baseline year 1.</t>
  </si>
  <si>
    <t>Enter the nitrous oxide emissions from associated gas on row 34 of the table for production class 3 in baseline year 1.</t>
  </si>
  <si>
    <t>Enter the nitrous oxide emissions from associated gas on row 35 of the table for production class 3 in baseline year 1.</t>
  </si>
  <si>
    <t>Enter the nitrous oxide emissions from associated gas on row 36 of the table for production class 3 in baseline year 1.</t>
  </si>
  <si>
    <t>Enter the nitrous oxide emissions from associated gas on row 37 of the table for production class 3 in baseline year 1.</t>
  </si>
  <si>
    <t>Enter the nitrous oxide emissions from associated gas on row 38 of the table for production class 3 in baseline year 1.</t>
  </si>
  <si>
    <t>Enter the nitrous oxide emissions from associated gas on row 39 of the table for production class 3 in baseline year 1.</t>
  </si>
  <si>
    <t>Enter the nitrous oxide emissions from associated gas on row 40 of the table for production class 3 in baseline year 1.</t>
  </si>
  <si>
    <t>Enter the nitrous oxide emissions from associated gas on row 41 of the table for production class 3 in baseline year 1.</t>
  </si>
  <si>
    <t>Enter the nitrous oxide emissions from associated gas on row 42 of the table for production class 3 in baseline year 1.</t>
  </si>
  <si>
    <t>Enter the nitrous oxide emissions from associated gas on row 43 of the table for production class 3 in baseline year 1.</t>
  </si>
  <si>
    <t>Enter the nitrous oxide emissions from associated gas on row 44 of the table for production class 3 in baseline year 1.</t>
  </si>
  <si>
    <t>Enter the nitrous oxide emissions from associated gas on row 45 of the table for production class 3 in baseline year 1.</t>
  </si>
  <si>
    <t>Enter the nitrous oxide emissions from associated gas on row 46 of the table for production class 3 in baseline year 1.</t>
  </si>
  <si>
    <t>Enter the nitrous oxide emissions from associated gas on row 47 of the table for production class 3 in baseline year 1.</t>
  </si>
  <si>
    <t>Enter the nitrous oxide emissions from associated gas on row 48 of the table for production class 3 in baseline year 1.</t>
  </si>
  <si>
    <t>Enter the nitrous oxide emissions from associated gas on row 49 of the table for production class 3 in baseline year 1.</t>
  </si>
  <si>
    <t>Enter the nitrous oxide emissions from associated gas on row 50 of the table for production class 3 in baseline year 1.</t>
  </si>
  <si>
    <t>Enter the number of units within the gas-to-power operation for production class 3 in baseline year 2.</t>
  </si>
  <si>
    <t>Enter the energy in the combusted associated gas on row 1 of the table for production class 3 in baseline year 2.</t>
  </si>
  <si>
    <t>Enter the energy in the combusted associated gas on row 2 of the table for production class 3 in baseline year 2.</t>
  </si>
  <si>
    <t>Enter the energy in the combusted associated gas on row 3 of the table for production class 3 in baseline year 2.</t>
  </si>
  <si>
    <t>Enter the energy in the combusted associated gas on row 4 of the table for production class 3 in baseline year 2.</t>
  </si>
  <si>
    <t>Enter the energy in the combusted associated gas on row 5 of the table for production class 3 in baseline year 2.</t>
  </si>
  <si>
    <t>Enter the energy in the combusted associated gas on row 6 of the table for production class 3 in baseline year 2.</t>
  </si>
  <si>
    <t>Enter the energy in the combusted associated gas on row 7 of the table for production class 3 in baseline year 2.</t>
  </si>
  <si>
    <t>Enter the energy in the combusted associated gas on row 8 of the table for production class 3 in baseline year 2.</t>
  </si>
  <si>
    <t>Enter the energy in the combusted associated gas on row 9 of the table for production class 3 in baseline year 2.</t>
  </si>
  <si>
    <t>Enter the energy in the combusted associated gas on row 10 of the table for production class 3 in baseline year 2.</t>
  </si>
  <si>
    <t>Enter the energy in the combusted associated gas on row 11 of the table for production class 3 in baseline year 2.</t>
  </si>
  <si>
    <t>Enter the energy in the combusted associated gas on row 12 of the table for production class 3 in baseline year 2.</t>
  </si>
  <si>
    <t>Enter the energy in the combusted associated gas on row 13 of the table for production class 3 in baseline year 2.</t>
  </si>
  <si>
    <t>Enter the energy in the combusted associated gas on row 14 of the table for production class 3 in baseline year 2.</t>
  </si>
  <si>
    <t>Enter the energy in the combusted associated gas on row 15 of the table for production class 3 in baseline year 2.</t>
  </si>
  <si>
    <t>Enter the energy in the combusted associated gas on row 16 of the table for production class 3 in baseline year 2.</t>
  </si>
  <si>
    <t>Enter the energy in the combusted associated gas on row 17 of the table for production class 3 in baseline year 2.</t>
  </si>
  <si>
    <t>Enter the energy in the combusted associated gas on row 18 of the table for production class 3 in baseline year 2.</t>
  </si>
  <si>
    <t>Enter the energy in the combusted associated gas on row 19 of the table for production class 3 in baseline year 2.</t>
  </si>
  <si>
    <t>Enter the energy in the combusted associated gas on row 20 of the table for production class 3 in baseline year 2.</t>
  </si>
  <si>
    <t>Enter the energy in the combusted associated gas on row 21 of the table for production class 3 in baseline year 2.</t>
  </si>
  <si>
    <t>Enter the energy in the combusted associated gas on row 22 of the table for production class 3 in baseline year 2.</t>
  </si>
  <si>
    <t>Enter the energy in the combusted associated gas on row 23 of the table for production class 3 in baseline year 2.</t>
  </si>
  <si>
    <t>Enter the energy in the combusted associated gas on row 24 of the table for production class 3 in baseline year 2.</t>
  </si>
  <si>
    <t>Enter the energy in the combusted associated gas on row 25 of the table for production class 3 in baseline year 2.</t>
  </si>
  <si>
    <t>Enter the energy in the combusted associated gas on row 26 of the table for production class 3 in baseline year 2.</t>
  </si>
  <si>
    <t>Enter the energy in the combusted associated gas on row 27 of the table for production class 3 in baseline year 2.</t>
  </si>
  <si>
    <t>Enter the energy in the combusted associated gas on row 28 of the table for production class 3 in baseline year 2.</t>
  </si>
  <si>
    <t>Enter the energy in the combusted associated gas on row 29 of the table for production class 3 in baseline year 2.</t>
  </si>
  <si>
    <t>Enter the energy in the combusted associated gas on row 30 of the table for production class 3 in baseline year 2.</t>
  </si>
  <si>
    <t>Enter the energy in the combusted associated gas on row 31 of the table for production class 3 in baseline year 2.</t>
  </si>
  <si>
    <t>Enter the energy in the combusted associated gas on row 32 of the table for production class 3 in baseline year 2.</t>
  </si>
  <si>
    <t>Enter the energy in the combusted associated gas on row 33 of the table for production class 3 in baseline year 2.</t>
  </si>
  <si>
    <t>Enter the energy in the combusted associated gas on row 34 of the table for production class 3 in baseline year 2.</t>
  </si>
  <si>
    <t>Enter the energy in the combusted associated gas on row 35 of the table for production class 3 in baseline year 2.</t>
  </si>
  <si>
    <t>Enter the energy in the combusted associated gas on row 36 of the table for production class 3 in baseline year 2.</t>
  </si>
  <si>
    <t>Enter the energy in the combusted associated gas on row 37 of the table for production class 3 in baseline year 2.</t>
  </si>
  <si>
    <t>Enter the energy in the combusted associated gas on row 38 of the table for production class 3 in baseline year 2.</t>
  </si>
  <si>
    <t>Enter the energy in the combusted associated gas on row 39 of the table for production class 3 in baseline year 2.</t>
  </si>
  <si>
    <t>Enter the energy in the combusted associated gas on row 40 of the table for production class 3 in baseline year 2.</t>
  </si>
  <si>
    <t>Enter the energy in the combusted associated gas on row 41 of the table for production class 3 in baseline year 2.</t>
  </si>
  <si>
    <t>Enter the energy in the combusted associated gas on row 42 of the table for production class 3 in baseline year 2.</t>
  </si>
  <si>
    <t>Enter the energy in the combusted associated gas on row 43 of the table for production class 3 in baseline year 2.</t>
  </si>
  <si>
    <t>Enter the energy in the combusted associated gas on row 44 of the table for production class 3 in baseline year 2.</t>
  </si>
  <si>
    <t>Enter the energy in the combusted associated gas on row 45 of the table for production class 3 in baseline year 2.</t>
  </si>
  <si>
    <t>Enter the energy in the combusted associated gas on row 46 of the table for production class 3 in baseline year 2.</t>
  </si>
  <si>
    <t>Enter the energy in the combusted associated gas on row 47 of the table for production class 3 in baseline year 2.</t>
  </si>
  <si>
    <t>Enter the energy in the combusted associated gas on row 48 of the table for production class 3 in baseline year 2.</t>
  </si>
  <si>
    <t>Enter the energy in the combusted associated gas on row 49 of the table for production class 3 in baseline year 2.</t>
  </si>
  <si>
    <t>Enter the energy in the combusted associated gas on row 50 of the table for production class 3 in baseline year 2.</t>
  </si>
  <si>
    <t>Enter the total energy in all combusted fuel on row 1 of the table for production class 3 in baseline year 2.</t>
  </si>
  <si>
    <t>Enter the total energy in all combusted fuel on row 2 of the table for production class 3 in baseline year 2.</t>
  </si>
  <si>
    <t>Enter the total energy in all combusted fuel on row 3 of the table for production class 3 in baseline year 2.</t>
  </si>
  <si>
    <t>Enter the total energy in all combusted fuel on row 4 of the table for production class 3 in baseline year 2.</t>
  </si>
  <si>
    <t>Enter the total energy in all combusted fuel on row 5 of the table for production class 3 in baseline year 2.</t>
  </si>
  <si>
    <t>Enter the total energy in all combusted fuel on row 6 of the table for production class 3 in baseline year 2.</t>
  </si>
  <si>
    <t>Enter the total energy in all combusted fuel on row 7 of the table for production class 3 in baseline year 2.</t>
  </si>
  <si>
    <t>Enter the total energy in all combusted fuel on row 8 of the table for production class 3 in baseline year 2.</t>
  </si>
  <si>
    <t>Enter the total energy in all combusted fuel on row 9 of the table for production class 3 in baseline year 2.</t>
  </si>
  <si>
    <t>Enter the total energy in all combusted fuel on row 10 of the table for production class 3 in baseline year 2.</t>
  </si>
  <si>
    <t>Enter the total energy in all combusted fuel on row 11 of the table for production class 3 in baseline year 2.</t>
  </si>
  <si>
    <t>Enter the total energy in all combusted fuel on row 12 of the table for production class 3 in baseline year 2.</t>
  </si>
  <si>
    <t>Enter the total energy in all combusted fuel on row 13 of the table for production class 3 in baseline year 2.</t>
  </si>
  <si>
    <t>Enter the total energy in all combusted fuel on row 14 of the table for production class 3 in baseline year 2.</t>
  </si>
  <si>
    <t>Enter the total energy in all combusted fuel on row 15 of the table for production class 3 in baseline year 2.</t>
  </si>
  <si>
    <t>Enter the total energy in all combusted fuel on row 16 of the table for production class 3 in baseline year 2.</t>
  </si>
  <si>
    <t>Enter the total energy in all combusted fuel on row 17 of the table for production class 3 in baseline year 2.</t>
  </si>
  <si>
    <t>Enter the total energy in all combusted fuel on row 18 of the table for production class 3 in baseline year 2.</t>
  </si>
  <si>
    <t>Enter the total energy in all combusted fuel on row 19 of the table for production class 3 in baseline year 2.</t>
  </si>
  <si>
    <t>Enter the total energy in all combusted fuel on row 20 of the table for production class 3 in baseline year 2.</t>
  </si>
  <si>
    <t>Enter the total energy in all combusted fuel on row 21 of the table for production class 3 in baseline year 2.</t>
  </si>
  <si>
    <t>Enter the total energy in all combusted fuel on row 22 of the table for production class 3 in baseline year 2.</t>
  </si>
  <si>
    <t>Enter the total energy in all combusted fuel on row 23 of the table for production class 3 in baseline year 2.</t>
  </si>
  <si>
    <t>Enter the total energy in all combusted fuel on row 24 of the table for production class 3 in baseline year 2.</t>
  </si>
  <si>
    <t>Enter the total energy in all combusted fuel on row 25 of the table for production class 3 in baseline year 2.</t>
  </si>
  <si>
    <t>Enter the total energy in all combusted fuel on row 26 of the table for production class 3 in baseline year 2.</t>
  </si>
  <si>
    <t>Enter the total energy in all combusted fuel on row 27 of the table for production class 3 in baseline year 2.</t>
  </si>
  <si>
    <t>Enter the total energy in all combusted fuel on row 28 of the table for production class 3 in baseline year 2.</t>
  </si>
  <si>
    <t>Enter the total energy in all combusted fuel on row 29 of the table for production class 3 in baseline year 2.</t>
  </si>
  <si>
    <t>Enter the total energy in all combusted fuel on row 30 of the table for production class 3 in baseline year 2.</t>
  </si>
  <si>
    <t>Enter the total energy in all combusted fuel on row 31 of the table for production class 3 in baseline year 2.</t>
  </si>
  <si>
    <t>Enter the total energy in all combusted fuel on row 32 of the table for production class 3 in baseline year 2.</t>
  </si>
  <si>
    <t>Enter the total energy in all combusted fuel on row 33 of the table for production class 3 in baseline year 2.</t>
  </si>
  <si>
    <t>Enter the total energy in all combusted fuel on row 34 of the table for production class 3 in baseline year 2.</t>
  </si>
  <si>
    <t>Enter the total energy in all combusted fuel on row 35 of the table for production class 3 in baseline year 2.</t>
  </si>
  <si>
    <t>Enter the total energy in all combusted fuel on row 36 of the table for production class 3 in baseline year 2.</t>
  </si>
  <si>
    <t>Enter the total energy in all combusted fuel on row 37 of the table for production class 3 in baseline year 2.</t>
  </si>
  <si>
    <t>Enter the total energy in all combusted fuel on row 38 of the table for production class 3 in baseline year 2.</t>
  </si>
  <si>
    <t>Enter the total energy in all combusted fuel on row 39 of the table for production class 3 in baseline year 2.</t>
  </si>
  <si>
    <t>Enter the total energy in all combusted fuel on row 40 of the table for production class 3 in baseline year 2.</t>
  </si>
  <si>
    <t>Enter the total energy in all combusted fuel on row 41 of the table for production class 3 in baseline year 2.</t>
  </si>
  <si>
    <t>Enter the total energy in all combusted fuel on row 42 of the table for production class 3 in baseline year 2.</t>
  </si>
  <si>
    <t>Enter the total energy in all combusted fuel on row 43 of the table for production class 3 in baseline year 2.</t>
  </si>
  <si>
    <t>Enter the total energy in all combusted fuel on row 44 of the table for production class 3 in baseline year 2.</t>
  </si>
  <si>
    <t>Enter the total energy in all combusted fuel on row 45 of the table for production class 3 in baseline year 2.</t>
  </si>
  <si>
    <t>Enter the total energy in all combusted fuel on row 46 of the table for production class 3 in baseline year 2.</t>
  </si>
  <si>
    <t>Enter the total energy in all combusted fuel on row 47 of the table for production class 3 in baseline year 2.</t>
  </si>
  <si>
    <t>Enter the total energy in all combusted fuel on row 48 of the table for production class 3 in baseline year 2.</t>
  </si>
  <si>
    <t>Enter the total energy in all combusted fuel on row 49 of the table for production class 3 in baseline year 2.</t>
  </si>
  <si>
    <t>Enter the total energy in all combusted fuel on row 50 of the table for production class 3 in baseline year 2.</t>
  </si>
  <si>
    <t>Enter the total electricity generation from all combusted fuel on row 1 of the table for production class 3 in baseline year 2.</t>
  </si>
  <si>
    <t>Enter the total electricity generation from all combusted fuel on row 2 of the table for production class 3 in baseline year 2.</t>
  </si>
  <si>
    <t>Enter the total electricity generation from all combusted fuel on row 3 of the table for production class 3 in baseline year 2.</t>
  </si>
  <si>
    <t>Enter the total electricity generation from all combusted fuel on row 4 of the table for production class 3 in baseline year 2.</t>
  </si>
  <si>
    <t>Enter the total electricity generation from all combusted fuel on row 5 of the table for production class 3 in baseline year 2.</t>
  </si>
  <si>
    <t>Enter the total electricity generation from all combusted fuel on row 6 of the table for production class 3 in baseline year 2.</t>
  </si>
  <si>
    <t>Enter the total electricity generation from all combusted fuel on row 7 of the table for production class 3 in baseline year 2.</t>
  </si>
  <si>
    <t>Enter the total electricity generation from all combusted fuel on row 8 of the table for production class 3 in baseline year 2.</t>
  </si>
  <si>
    <t>Enter the total electricity generation from all combusted fuel on row 9 of the table for production class 3 in baseline year 2.</t>
  </si>
  <si>
    <t>Enter the total electricity generation from all combusted fuel on row 10 of the table for production class 3 in baseline year 2.</t>
  </si>
  <si>
    <t>Enter the total electricity generation from all combusted fuel on row 11 of the table for production class 3 in baseline year 2.</t>
  </si>
  <si>
    <t>Enter the total electricity generation from all combusted fuel on row 12 of the table for production class 3 in baseline year 2.</t>
  </si>
  <si>
    <t>Enter the total electricity generation from all combusted fuel on row 13 of the table for production class 3 in baseline year 2.</t>
  </si>
  <si>
    <t>Enter the total electricity generation from all combusted fuel on row 14 of the table for production class 3 in baseline year 2.</t>
  </si>
  <si>
    <t>Enter the total electricity generation from all combusted fuel on row 15 of the table for production class 3 in baseline year 2.</t>
  </si>
  <si>
    <t>Enter the total electricity generation from all combusted fuel on row 16 of the table for production class 3 in baseline year 2.</t>
  </si>
  <si>
    <t>Enter the total electricity generation from all combusted fuel on row 17 of the table for production class 3 in baseline year 2.</t>
  </si>
  <si>
    <t>Enter the total electricity generation from all combusted fuel on row 18 of the table for production class 3 in baseline year 2.</t>
  </si>
  <si>
    <t>Enter the total electricity generation from all combusted fuel on row 19 of the table for production class 3 in baseline year 2.</t>
  </si>
  <si>
    <t>Enter the total electricity generation from all combusted fuel on row 20 of the table for production class 3 in baseline year 2.</t>
  </si>
  <si>
    <t>Enter the total electricity generation from all combusted fuel on row 21 of the table for production class 3 in baseline year 2.</t>
  </si>
  <si>
    <t>Enter the total electricity generation from all combusted fuel on row 22 of the table for production class 3 in baseline year 2.</t>
  </si>
  <si>
    <t>Enter the total electricity generation from all combusted fuel on row 23 of the table for production class 3 in baseline year 2.</t>
  </si>
  <si>
    <t>Enter the total electricity generation from all combusted fuel on row 24 of the table for production class 3 in baseline year 2.</t>
  </si>
  <si>
    <t>Enter the total electricity generation from all combusted fuel on row 25 of the table for production class 3 in baseline year 2.</t>
  </si>
  <si>
    <t>Enter the total electricity generation from all combusted fuel on row 26 of the table for production class 3 in baseline year 2.</t>
  </si>
  <si>
    <t>Enter the total electricity generation from all combusted fuel on row 27 of the table for production class 3 in baseline year 2.</t>
  </si>
  <si>
    <t>Enter the total electricity generation from all combusted fuel on row 28 of the table for production class 3 in baseline year 2.</t>
  </si>
  <si>
    <t>Enter the total electricity generation from all combusted fuel on row 29 of the table for production class 3 in baseline year 2.</t>
  </si>
  <si>
    <t>Enter the total electricity generation from all combusted fuel on row 30 of the table for production class 3 in baseline year 2.</t>
  </si>
  <si>
    <t>Enter the total electricity generation from all combusted fuel on row 31 of the table for production class 3 in baseline year 2.</t>
  </si>
  <si>
    <t>Enter the total electricity generation from all combusted fuel on row 32 of the table for production class 3 in baseline year 2.</t>
  </si>
  <si>
    <t>Enter the total electricity generation from all combusted fuel on row 33 of the table for production class 3 in baseline year 2.</t>
  </si>
  <si>
    <t>Enter the total electricity generation from all combusted fuel on row 34 of the table for production class 3 in baseline year 2.</t>
  </si>
  <si>
    <t>Enter the total electricity generation from all combusted fuel on row 35 of the table for production class 3 in baseline year 2.</t>
  </si>
  <si>
    <t>Enter the total electricity generation from all combusted fuel on row 36 of the table for production class 3 in baseline year 2.</t>
  </si>
  <si>
    <t>Enter the total electricity generation from all combusted fuel on row 37 of the table for production class 3 in baseline year 2.</t>
  </si>
  <si>
    <t>Enter the total electricity generation from all combusted fuel on row 38 of the table for production class 3 in baseline year 2.</t>
  </si>
  <si>
    <t>Enter the total electricity generation from all combusted fuel on row 39 of the table for production class 3 in baseline year 2.</t>
  </si>
  <si>
    <t>Enter the total electricity generation from all combusted fuel on row 40 of the table for production class 3 in baseline year 2.</t>
  </si>
  <si>
    <t>Enter the total electricity generation from all combusted fuel on row 41 of the table for production class 3 in baseline year 2.</t>
  </si>
  <si>
    <t>Enter the total electricity generation from all combusted fuel on row 42 of the table for production class 3 in baseline year 2.</t>
  </si>
  <si>
    <t>Enter the total electricity generation from all combusted fuel on row 43 of the table for production class 3 in baseline year 2.</t>
  </si>
  <si>
    <t>Enter the total electricity generation from all combusted fuel on row 44 of the table for production class 3 in baseline year 2.</t>
  </si>
  <si>
    <t>Enter the total electricity generation from all combusted fuel on row 45 of the table for production class 3 in baseline year 2.</t>
  </si>
  <si>
    <t>Enter the total electricity generation from all combusted fuel on row 46 of the table for production class 3 in baseline year 2.</t>
  </si>
  <si>
    <t>Enter the total electricity generation from all combusted fuel on row 47 of the table for production class 3 in baseline year 2.</t>
  </si>
  <si>
    <t>Enter the total electricity generation from all combusted fuel on row 48 of the table for production class 3 in baseline year 2.</t>
  </si>
  <si>
    <t>Enter the total electricity generation from all combusted fuel on row 49 of the table for production class 3 in baseline year 2.</t>
  </si>
  <si>
    <t>Enter the total electricity generation from all combusted fuel on row 50 of the table for production class 3 in baseline year 2.</t>
  </si>
  <si>
    <t>Enter the volume of associated gas on row 1 of the table for production class 3 in baseline year 2.</t>
  </si>
  <si>
    <t>Enter the volume of associated gas on row 2 of the table for production class 3 in baseline year 2.</t>
  </si>
  <si>
    <t>Enter the volume of associated gas on row 3 of the table for production class 3 in baseline year 2.</t>
  </si>
  <si>
    <t>Enter the volume of associated gas on row 4 of the table for production class 3 in baseline year 2.</t>
  </si>
  <si>
    <t>Enter the volume of associated gas on row 5 of the table for production class 3 in baseline year 2.</t>
  </si>
  <si>
    <t>Enter the volume of associated gas on row 6 of the table for production class 3 in baseline year 2.</t>
  </si>
  <si>
    <t>Enter the volume of associated gas on row 7 of the table for production class 3 in baseline year 2.</t>
  </si>
  <si>
    <t>Enter the volume of associated gas on row 8 of the table for production class 3 in baseline year 2.</t>
  </si>
  <si>
    <t>Enter the volume of associated gas on row 9 of the table for production class 3 in baseline year 2.</t>
  </si>
  <si>
    <t>Enter the volume of associated gas on row 10 of the table for production class 3 in baseline year 2.</t>
  </si>
  <si>
    <t>Enter the volume of associated gas on row 11 of the table for production class 3 in baseline year 2.</t>
  </si>
  <si>
    <t>Enter the volume of associated gas on row 12 of the table for production class 3 in baseline year 2.</t>
  </si>
  <si>
    <t>Enter the volume of associated gas on row 13 of the table for production class 3 in baseline year 2.</t>
  </si>
  <si>
    <t>Enter the volume of associated gas on row 14 of the table for production class 3 in baseline year 2.</t>
  </si>
  <si>
    <t>Enter the volume of associated gas on row 15 of the table for production class 3 in baseline year 2.</t>
  </si>
  <si>
    <t>Enter the volume of associated gas on row 16 of the table for production class 3 in baseline year 2.</t>
  </si>
  <si>
    <t>Enter the volume of associated gas on row 17 of the table for production class 3 in baseline year 2.</t>
  </si>
  <si>
    <t>Enter the volume of associated gas on row 18 of the table for production class 3 in baseline year 2.</t>
  </si>
  <si>
    <t>Enter the volume of associated gas on row 19 of the table for production class 3 in baseline year 2.</t>
  </si>
  <si>
    <t>Enter the volume of associated gas on row 20 of the table for production class 3 in baseline year 2.</t>
  </si>
  <si>
    <t>Enter the volume of associated gas on row 21 of the table for production class 3 in baseline year 2.</t>
  </si>
  <si>
    <t>Enter the volume of associated gas on row 22 of the table for production class 3 in baseline year 2.</t>
  </si>
  <si>
    <t>Enter the volume of associated gas on row 23 of the table for production class 3 in baseline year 2.</t>
  </si>
  <si>
    <t>Enter the volume of associated gas on row 24 of the table for production class 3 in baseline year 2.</t>
  </si>
  <si>
    <t>Enter the volume of associated gas on row 25 of the table for production class 3 in baseline year 2.</t>
  </si>
  <si>
    <t>Enter the volume of associated gas on row 26 of the table for production class 3 in baseline year 2.</t>
  </si>
  <si>
    <t>Enter the volume of associated gas on row 27 of the table for production class 3 in baseline year 2.</t>
  </si>
  <si>
    <t>Enter the volume of associated gas on row 28 of the table for production class 3 in baseline year 2.</t>
  </si>
  <si>
    <t>Enter the volume of associated gas on row 29 of the table for production class 3 in baseline year 2.</t>
  </si>
  <si>
    <t>Enter the volume of associated gas on row 30 of the table for production class 3 in baseline year 2.</t>
  </si>
  <si>
    <t>Enter the volume of associated gas on row 31 of the table for production class 3 in baseline year 2.</t>
  </si>
  <si>
    <t>Enter the volume of associated gas on row 32 of the table for production class 3 in baseline year 2.</t>
  </si>
  <si>
    <t>Enter the volume of associated gas on row 33 of the table for production class 3 in baseline year 2.</t>
  </si>
  <si>
    <t>Enter the volume of associated gas on row 34 of the table for production class 3 in baseline year 2.</t>
  </si>
  <si>
    <t>Enter the volume of associated gas on row 35 of the table for production class 3 in baseline year 2.</t>
  </si>
  <si>
    <t>Enter the volume of associated gas on row 36 of the table for production class 3 in baseline year 2.</t>
  </si>
  <si>
    <t>Enter the volume of associated gas on row 37 of the table for production class 3 in baseline year 2.</t>
  </si>
  <si>
    <t>Enter the volume of associated gas on row 38 of the table for production class 3 in baseline year 2.</t>
  </si>
  <si>
    <t>Enter the volume of associated gas on row 39 of the table for production class 3 in baseline year 2.</t>
  </si>
  <si>
    <t>Enter the volume of associated gas on row 40 of the table for production class 3 in baseline year 2.</t>
  </si>
  <si>
    <t>Enter the volume of associated gas on row 41 of the table for production class 3 in baseline year 2.</t>
  </si>
  <si>
    <t>Enter the volume of associated gas on row 42 of the table for production class 3 in baseline year 2.</t>
  </si>
  <si>
    <t>Enter the volume of associated gas on row 43 of the table for production class 3 in baseline year 2.</t>
  </si>
  <si>
    <t>Enter the volume of associated gas on row 44 of the table for production class 3 in baseline year 2.</t>
  </si>
  <si>
    <t>Enter the volume of associated gas on row 45 of the table for production class 3 in baseline year 2.</t>
  </si>
  <si>
    <t>Enter the volume of associated gas on row 46 of the table for production class 3 in baseline year 2.</t>
  </si>
  <si>
    <t>Enter the volume of associated gas on row 47 of the table for production class 3 in baseline year 2.</t>
  </si>
  <si>
    <t>Enter the volume of associated gas on row 48 of the table for production class 3 in baseline year 2.</t>
  </si>
  <si>
    <t>Enter the volume of associated gas on row 49 of the table for production class 3 in baseline year 2.</t>
  </si>
  <si>
    <t>Enter the volume of associated gas on row 50 of the table for production class 3 in baseline year 2.</t>
  </si>
  <si>
    <t>Enter the carbon dioxide emissions from associated gas on row 1 of the table for production class 3 in baseline year 2.</t>
  </si>
  <si>
    <t>Enter the carbon dioxide emissions from associated gas on row 2 of the table for production class 3 in baseline year 2.</t>
  </si>
  <si>
    <t>Enter the carbon dioxide emissions from associated gas on row 3 of the table for production class 3 in baseline year 2.</t>
  </si>
  <si>
    <t>Enter the carbon dioxide emissions from associated gas on row 4 of the table for production class 3 in baseline year 2.</t>
  </si>
  <si>
    <t>Enter the carbon dioxide emissions from associated gas on row 5 of the table for production class 3 in baseline year 2.</t>
  </si>
  <si>
    <t>Enter the carbon dioxide emissions from associated gas on row 6 of the table for production class 3 in baseline year 2.</t>
  </si>
  <si>
    <t>Enter the carbon dioxide emissions from associated gas on row 7 of the table for production class 3 in baseline year 2.</t>
  </si>
  <si>
    <t>Enter the carbon dioxide emissions from associated gas on row 8 of the table for production class 3 in baseline year 2.</t>
  </si>
  <si>
    <t>Enter the carbon dioxide emissions from associated gas on row 9 of the table for production class 3 in baseline year 2.</t>
  </si>
  <si>
    <t>Enter the carbon dioxide emissions from associated gas on row 10 of the table for production class 3 in baseline year 2.</t>
  </si>
  <si>
    <t>Enter the carbon dioxide emissions from associated gas on row 11 of the table for production class 3 in baseline year 2.</t>
  </si>
  <si>
    <t>Enter the carbon dioxide emissions from associated gas on row 12 of the table for production class 3 in baseline year 2.</t>
  </si>
  <si>
    <t>Enter the carbon dioxide emissions from associated gas on row 13 of the table for production class 3 in baseline year 2.</t>
  </si>
  <si>
    <t>Enter the carbon dioxide emissions from associated gas on row 14 of the table for production class 3 in baseline year 2.</t>
  </si>
  <si>
    <t>Enter the carbon dioxide emissions from associated gas on row 15 of the table for production class 3 in baseline year 2.</t>
  </si>
  <si>
    <t>Enter the carbon dioxide emissions from associated gas on row 16 of the table for production class 3 in baseline year 2.</t>
  </si>
  <si>
    <t>Enter the carbon dioxide emissions from associated gas on row 17 of the table for production class 3 in baseline year 2.</t>
  </si>
  <si>
    <t>Enter the carbon dioxide emissions from associated gas on row 18 of the table for production class 3 in baseline year 2.</t>
  </si>
  <si>
    <t>Enter the carbon dioxide emissions from associated gas on row 19 of the table for production class 3 in baseline year 2.</t>
  </si>
  <si>
    <t>Enter the carbon dioxide emissions from associated gas on row 20 of the table for production class 3 in baseline year 2.</t>
  </si>
  <si>
    <t>Enter the carbon dioxide emissions from associated gas on row 21 of the table for production class 3 in baseline year 2.</t>
  </si>
  <si>
    <t>Enter the carbon dioxide emissions from associated gas on row 22 of the table for production class 3 in baseline year 2.</t>
  </si>
  <si>
    <t>Enter the carbon dioxide emissions from associated gas on row 23 of the table for production class 3 in baseline year 2.</t>
  </si>
  <si>
    <t>Enter the carbon dioxide emissions from associated gas on row 24 of the table for production class 3 in baseline year 2.</t>
  </si>
  <si>
    <t>Enter the carbon dioxide emissions from associated gas on row 25 of the table for production class 3 in baseline year 2.</t>
  </si>
  <si>
    <t>Enter the carbon dioxide emissions from associated gas on row 26 of the table for production class 3 in baseline year 2.</t>
  </si>
  <si>
    <t>Enter the carbon dioxide emissions from associated gas on row 27 of the table for production class 3 in baseline year 2.</t>
  </si>
  <si>
    <t>Enter the carbon dioxide emissions from associated gas on row 28 of the table for production class 3 in baseline year 2.</t>
  </si>
  <si>
    <t>Enter the carbon dioxide emissions from associated gas on row 29 of the table for production class 3 in baseline year 2.</t>
  </si>
  <si>
    <t>Enter the carbon dioxide emissions from associated gas on row 30 of the table for production class 3 in baseline year 2.</t>
  </si>
  <si>
    <t>Enter the carbon dioxide emissions from associated gas on row 31 of the table for production class 3 in baseline year 2.</t>
  </si>
  <si>
    <t>Enter the carbon dioxide emissions from associated gas on row 32 of the table for production class 3 in baseline year 2.</t>
  </si>
  <si>
    <t>Enter the carbon dioxide emissions from associated gas on row 33 of the table for production class 3 in baseline year 2.</t>
  </si>
  <si>
    <t>Enter the carbon dioxide emissions from associated gas on row 34 of the table for production class 3 in baseline year 2.</t>
  </si>
  <si>
    <t>Enter the carbon dioxide emissions from associated gas on row 35 of the table for production class 3 in baseline year 2.</t>
  </si>
  <si>
    <t>Enter the carbon dioxide emissions from associated gas on row 36 of the table for production class 3 in baseline year 2.</t>
  </si>
  <si>
    <t>Enter the carbon dioxide emissions from associated gas on row 37 of the table for production class 3 in baseline year 2.</t>
  </si>
  <si>
    <t>Enter the carbon dioxide emissions from associated gas on row 38 of the table for production class 3 in baseline year 2.</t>
  </si>
  <si>
    <t>Enter the carbon dioxide emissions from associated gas on row 39 of the table for production class 3 in baseline year 2.</t>
  </si>
  <si>
    <t>Enter the carbon dioxide emissions from associated gas on row 40 of the table for production class 3 in baseline year 2.</t>
  </si>
  <si>
    <t>Enter the carbon dioxide emissions from associated gas on row 41 of the table for production class 3 in baseline year 2.</t>
  </si>
  <si>
    <t>Enter the carbon dioxide emissions from associated gas on row 42 of the table for production class 3 in baseline year 2.</t>
  </si>
  <si>
    <t>Enter the carbon dioxide emissions from associated gas on row 43 of the table for production class 3 in baseline year 2.</t>
  </si>
  <si>
    <t>Enter the carbon dioxide emissions from associated gas on row 44 of the table for production class 3 in baseline year 2.</t>
  </si>
  <si>
    <t>Enter the carbon dioxide emissions from associated gas on row 45 of the table for production class 3 in baseline year 2.</t>
  </si>
  <si>
    <t>Enter the carbon dioxide emissions from associated gas on row 46 of the table for production class 3 in baseline year 2.</t>
  </si>
  <si>
    <t>Enter the carbon dioxide emissions from associated gas on row 47 of the table for production class 3 in baseline year 2.</t>
  </si>
  <si>
    <t>Enter the carbon dioxide emissions from associated gas on row 48 of the table for production class 3 in baseline year 2.</t>
  </si>
  <si>
    <t>Enter the carbon dioxide emissions from associated gas on row 49 of the table for production class 3 in baseline year 2.</t>
  </si>
  <si>
    <t>Enter the carbon dioxide emissions from associated gas on row 50 of the table for production class 3 in baseline year 2.</t>
  </si>
  <si>
    <t>Enter the methane emissions from associated gas on row 1 of the table for production class 3 in baseline year 2.</t>
  </si>
  <si>
    <t>Enter the methane emissions from associated gas on row 2 of the table for production class 3 in baseline year 2.</t>
  </si>
  <si>
    <t>Enter the methane emissions from associated gas on row 3 of the table for production class 3 in baseline year 2.</t>
  </si>
  <si>
    <t>Enter the methane emissions from associated gas on row 4 of the table for production class 3 in baseline year 2.</t>
  </si>
  <si>
    <t>Enter the methane emissions from associated gas on row 5 of the table for production class 3 in baseline year 2.</t>
  </si>
  <si>
    <t>Enter the methane emissions from associated gas on row 6 of the table for production class 3 in baseline year 2.</t>
  </si>
  <si>
    <t>Enter the methane emissions from associated gas on row 7 of the table for production class 3 in baseline year 2.</t>
  </si>
  <si>
    <t>Enter the methane emissions from associated gas on row 8 of the table for production class 3 in baseline year 2.</t>
  </si>
  <si>
    <t>Enter the methane emissions from associated gas on row 9 of the table for production class 3 in baseline year 2.</t>
  </si>
  <si>
    <t>Enter the methane emissions from associated gas on row 10 of the table for production class 3 in baseline year 2.</t>
  </si>
  <si>
    <t>Enter the methane emissions from associated gas on row 11 of the table for production class 3 in baseline year 2.</t>
  </si>
  <si>
    <t>Enter the methane emissions from associated gas on row 12 of the table for production class 3 in baseline year 2.</t>
  </si>
  <si>
    <t>Enter the methane emissions from associated gas on row 13 of the table for production class 3 in baseline year 2.</t>
  </si>
  <si>
    <t>Enter the methane emissions from associated gas on row 14 of the table for production class 3 in baseline year 2.</t>
  </si>
  <si>
    <t>Enter the methane emissions from associated gas on row 15 of the table for production class 3 in baseline year 2.</t>
  </si>
  <si>
    <t>Enter the methane emissions from associated gas on row 16 of the table for production class 3 in baseline year 2.</t>
  </si>
  <si>
    <t>Enter the methane emissions from associated gas on row 17 of the table for production class 3 in baseline year 2.</t>
  </si>
  <si>
    <t>Enter the methane emissions from associated gas on row 18 of the table for production class 3 in baseline year 2.</t>
  </si>
  <si>
    <t>Enter the methane emissions from associated gas on row 19 of the table for production class 3 in baseline year 2.</t>
  </si>
  <si>
    <t>Enter the methane emissions from associated gas on row 20 of the table for production class 3 in baseline year 2.</t>
  </si>
  <si>
    <t>Enter the methane emissions from associated gas on row 21 of the table for production class 3 in baseline year 2.</t>
  </si>
  <si>
    <t>Enter the methane emissions from associated gas on row 22 of the table for production class 3 in baseline year 2.</t>
  </si>
  <si>
    <t>Enter the methane emissions from associated gas on row 23 of the table for production class 3 in baseline year 2.</t>
  </si>
  <si>
    <t>Enter the methane emissions from associated gas on row 24 of the table for production class 3 in baseline year 2.</t>
  </si>
  <si>
    <t>Enter the methane emissions from associated gas on row 25 of the table for production class 3 in baseline year 2.</t>
  </si>
  <si>
    <t>Enter the methane emissions from associated gas on row 26 of the table for production class 3 in baseline year 2.</t>
  </si>
  <si>
    <t>Enter the methane emissions from associated gas on row 27 of the table for production class 3 in baseline year 2.</t>
  </si>
  <si>
    <t>Enter the methane emissions from associated gas on row 28 of the table for production class 3 in baseline year 2.</t>
  </si>
  <si>
    <t>Enter the methane emissions from associated gas on row 29 of the table for production class 3 in baseline year 2.</t>
  </si>
  <si>
    <t>Enter the methane emissions from associated gas on row 30 of the table for production class 3 in baseline year 2.</t>
  </si>
  <si>
    <t>Enter the methane emissions from associated gas on row 31 of the table for production class 3 in baseline year 2.</t>
  </si>
  <si>
    <t>Enter the methane emissions from associated gas on row 32 of the table for production class 3 in baseline year 2.</t>
  </si>
  <si>
    <t>Enter the methane emissions from associated gas on row 33 of the table for production class 3 in baseline year 2.</t>
  </si>
  <si>
    <t>Enter the methane emissions from associated gas on row 34 of the table for production class 3 in baseline year 2.</t>
  </si>
  <si>
    <t>Enter the methane emissions from associated gas on row 35 of the table for production class 3 in baseline year 2.</t>
  </si>
  <si>
    <t>Enter the methane emissions from associated gas on row 36 of the table for production class 3 in baseline year 2.</t>
  </si>
  <si>
    <t>Enter the methane emissions from associated gas on row 37 of the table for production class 3 in baseline year 2.</t>
  </si>
  <si>
    <t>Enter the methane emissions from associated gas on row 38 of the table for production class 3 in baseline year 2.</t>
  </si>
  <si>
    <t>Enter the methane emissions from associated gas on row 39 of the table for production class 3 in baseline year 2.</t>
  </si>
  <si>
    <t>Enter the methane emissions from associated gas on row 40 of the table for production class 3 in baseline year 2.</t>
  </si>
  <si>
    <t>Enter the methane emissions from associated gas on row 41 of the table for production class 3 in baseline year 2.</t>
  </si>
  <si>
    <t>Enter the methane emissions from associated gas on row 42 of the table for production class 3 in baseline year 2.</t>
  </si>
  <si>
    <t>Enter the methane emissions from associated gas on row 43 of the table for production class 3 in baseline year 2.</t>
  </si>
  <si>
    <t>Enter the methane emissions from associated gas on row 44 of the table for production class 3 in baseline year 2.</t>
  </si>
  <si>
    <t>Enter the methane emissions from associated gas on row 45 of the table for production class 3 in baseline year 2.</t>
  </si>
  <si>
    <t>Enter the methane emissions from associated gas on row 46 of the table for production class 3 in baseline year 2.</t>
  </si>
  <si>
    <t>Enter the methane emissions from associated gas on row 47 of the table for production class 3 in baseline year 2.</t>
  </si>
  <si>
    <t>Enter the methane emissions from associated gas on row 48 of the table for production class 3 in baseline year 2.</t>
  </si>
  <si>
    <t>Enter the methane emissions from associated gas on row 49 of the table for production class 3 in baseline year 2.</t>
  </si>
  <si>
    <t>Enter the methane emissions from associated gas on row 50 of the table for production class 3 in baseline year 2.</t>
  </si>
  <si>
    <t>Enter the nitrous oxide emissions from associated gas on row 1 of the table for production class 3 in baseline year 2.</t>
  </si>
  <si>
    <t>Enter the nitrous oxide emissions from associated gas on row 2 of the table for production class 3 in baseline year 2.</t>
  </si>
  <si>
    <t>Enter the nitrous oxide emissions from associated gas on row 3 of the table for production class 3 in baseline year 2.</t>
  </si>
  <si>
    <t>Enter the nitrous oxide emissions from associated gas on row 4 of the table for production class 3 in baseline year 2.</t>
  </si>
  <si>
    <t>Enter the nitrous oxide emissions from associated gas on row 5 of the table for production class 3 in baseline year 2.</t>
  </si>
  <si>
    <t>Enter the nitrous oxide emissions from associated gas on row 6 of the table for production class 3 in baseline year 2.</t>
  </si>
  <si>
    <t>Enter the nitrous oxide emissions from associated gas on row 7 of the table for production class 3 in baseline year 2.</t>
  </si>
  <si>
    <t>Enter the nitrous oxide emissions from associated gas on row 8 of the table for production class 3 in baseline year 2.</t>
  </si>
  <si>
    <t>Enter the nitrous oxide emissions from associated gas on row 9 of the table for production class 3 in baseline year 2.</t>
  </si>
  <si>
    <t>Enter the nitrous oxide emissions from associated gas on row 10 of the table for production class 3 in baseline year 2.</t>
  </si>
  <si>
    <t>Enter the nitrous oxide emissions from associated gas on row 11 of the table for production class 3 in baseline year 2.</t>
  </si>
  <si>
    <t>Enter the nitrous oxide emissions from associated gas on row 12 of the table for production class 3 in baseline year 2.</t>
  </si>
  <si>
    <t>Enter the nitrous oxide emissions from associated gas on row 13 of the table for production class 3 in baseline year 2.</t>
  </si>
  <si>
    <t>Enter the nitrous oxide emissions from associated gas on row 14 of the table for production class 3 in baseline year 2.</t>
  </si>
  <si>
    <t>Enter the nitrous oxide emissions from associated gas on row 15 of the table for production class 3 in baseline year 2.</t>
  </si>
  <si>
    <t>Enter the nitrous oxide emissions from associated gas on row 16 of the table for production class 3 in baseline year 2.</t>
  </si>
  <si>
    <t>Enter the nitrous oxide emissions from associated gas on row 17 of the table for production class 3 in baseline year 2.</t>
  </si>
  <si>
    <t>Enter the nitrous oxide emissions from associated gas on row 18 of the table for production class 3 in baseline year 2.</t>
  </si>
  <si>
    <t>Enter the nitrous oxide emissions from associated gas on row 19 of the table for production class 3 in baseline year 2.</t>
  </si>
  <si>
    <t>Enter the nitrous oxide emissions from associated gas on row 20 of the table for production class 3 in baseline year 2.</t>
  </si>
  <si>
    <t>Enter the nitrous oxide emissions from associated gas on row 21 of the table for production class 3 in baseline year 2.</t>
  </si>
  <si>
    <t>Enter the nitrous oxide emissions from associated gas on row 22 of the table for production class 3 in baseline year 2.</t>
  </si>
  <si>
    <t>Enter the nitrous oxide emissions from associated gas on row 23 of the table for production class 3 in baseline year 2.</t>
  </si>
  <si>
    <t>Enter the nitrous oxide emissions from associated gas on row 24 of the table for production class 3 in baseline year 2.</t>
  </si>
  <si>
    <t>Enter the nitrous oxide emissions from associated gas on row 25 of the table for production class 3 in baseline year 2.</t>
  </si>
  <si>
    <t>Enter the nitrous oxide emissions from associated gas on row 26 of the table for production class 3 in baseline year 2.</t>
  </si>
  <si>
    <t>Enter the nitrous oxide emissions from associated gas on row 27 of the table for production class 3 in baseline year 2.</t>
  </si>
  <si>
    <t>Enter the nitrous oxide emissions from associated gas on row 28 of the table for production class 3 in baseline year 2.</t>
  </si>
  <si>
    <t>Enter the nitrous oxide emissions from associated gas on row 29 of the table for production class 3 in baseline year 2.</t>
  </si>
  <si>
    <t>Enter the nitrous oxide emissions from associated gas on row 30 of the table for production class 3 in baseline year 2.</t>
  </si>
  <si>
    <t>Enter the nitrous oxide emissions from associated gas on row 31 of the table for production class 3 in baseline year 2.</t>
  </si>
  <si>
    <t>Enter the nitrous oxide emissions from associated gas on row 32 of the table for production class 3 in baseline year 2.</t>
  </si>
  <si>
    <t>Enter the nitrous oxide emissions from associated gas on row 33 of the table for production class 3 in baseline year 2.</t>
  </si>
  <si>
    <t>Enter the nitrous oxide emissions from associated gas on row 34 of the table for production class 3 in baseline year 2.</t>
  </si>
  <si>
    <t>Enter the nitrous oxide emissions from associated gas on row 35 of the table for production class 3 in baseline year 2.</t>
  </si>
  <si>
    <t>Enter the nitrous oxide emissions from associated gas on row 36 of the table for production class 3 in baseline year 2.</t>
  </si>
  <si>
    <t>Enter the nitrous oxide emissions from associated gas on row 37 of the table for production class 3 in baseline year 2.</t>
  </si>
  <si>
    <t>Enter the nitrous oxide emissions from associated gas on row 38 of the table for production class 3 in baseline year 2.</t>
  </si>
  <si>
    <t>Enter the nitrous oxide emissions from associated gas on row 39 of the table for production class 3 in baseline year 2.</t>
  </si>
  <si>
    <t>Enter the nitrous oxide emissions from associated gas on row 40 of the table for production class 3 in baseline year 2.</t>
  </si>
  <si>
    <t>Enter the nitrous oxide emissions from associated gas on row 41 of the table for production class 3 in baseline year 2.</t>
  </si>
  <si>
    <t>Enter the nitrous oxide emissions from associated gas on row 42 of the table for production class 3 in baseline year 2.</t>
  </si>
  <si>
    <t>Enter the nitrous oxide emissions from associated gas on row 43 of the table for production class 3 in baseline year 2.</t>
  </si>
  <si>
    <t>Enter the nitrous oxide emissions from associated gas on row 44 of the table for production class 3 in baseline year 2.</t>
  </si>
  <si>
    <t>Enter the nitrous oxide emissions from associated gas on row 45 of the table for production class 3 in baseline year 2.</t>
  </si>
  <si>
    <t>Enter the nitrous oxide emissions from associated gas on row 46 of the table for production class 3 in baseline year 2.</t>
  </si>
  <si>
    <t>Enter the nitrous oxide emissions from associated gas on row 47 of the table for production class 3 in baseline year 2.</t>
  </si>
  <si>
    <t>Enter the nitrous oxide emissions from associated gas on row 48 of the table for production class 3 in baseline year 2.</t>
  </si>
  <si>
    <t>Enter the nitrous oxide emissions from associated gas on row 49 of the table for production class 3 in baseline year 2.</t>
  </si>
  <si>
    <t>Enter the nitrous oxide emissions from associated gas on row 50 of the table for production class 3 in baseline year 2.</t>
  </si>
  <si>
    <t>Enter the number of units within the gas-to-power operation for production class 4 in baseline year 1.</t>
  </si>
  <si>
    <t>Enter the energy in the combusted associated gas on row 1 of the table for production class 4 in baseline year 1.</t>
  </si>
  <si>
    <t>Enter the energy in the combusted associated gas on row 2 of the table for production class 4 in baseline year 1.</t>
  </si>
  <si>
    <t>Enter the energy in the combusted associated gas on row 3 of the table for production class 4 in baseline year 1.</t>
  </si>
  <si>
    <t>Enter the energy in the combusted associated gas on row 4 of the table for production class 4 in baseline year 1.</t>
  </si>
  <si>
    <t>Enter the energy in the combusted associated gas on row 5 of the table for production class 4 in baseline year 1.</t>
  </si>
  <si>
    <t>Enter the energy in the combusted associated gas on row 6 of the table for production class 4 in baseline year 1.</t>
  </si>
  <si>
    <t>Enter the energy in the combusted associated gas on row 7 of the table for production class 4 in baseline year 1.</t>
  </si>
  <si>
    <t>Enter the energy in the combusted associated gas on row 8 of the table for production class 4 in baseline year 1.</t>
  </si>
  <si>
    <t>Enter the energy in the combusted associated gas on row 9 of the table for production class 4 in baseline year 1.</t>
  </si>
  <si>
    <t>Enter the energy in the combusted associated gas on row 10 of the table for production class 4 in baseline year 1.</t>
  </si>
  <si>
    <t>Enter the energy in the combusted associated gas on row 11 of the table for production class 4 in baseline year 1.</t>
  </si>
  <si>
    <t>Enter the energy in the combusted associated gas on row 12 of the table for production class 4 in baseline year 1.</t>
  </si>
  <si>
    <t>Enter the energy in the combusted associated gas on row 13 of the table for production class 4 in baseline year 1.</t>
  </si>
  <si>
    <t>Enter the energy in the combusted associated gas on row 14 of the table for production class 4 in baseline year 1.</t>
  </si>
  <si>
    <t>Enter the energy in the combusted associated gas on row 15 of the table for production class 4 in baseline year 1.</t>
  </si>
  <si>
    <t>Enter the energy in the combusted associated gas on row 16 of the table for production class 4 in baseline year 1.</t>
  </si>
  <si>
    <t>Enter the energy in the combusted associated gas on row 17 of the table for production class 4 in baseline year 1.</t>
  </si>
  <si>
    <t>Enter the energy in the combusted associated gas on row 18 of the table for production class 4 in baseline year 1.</t>
  </si>
  <si>
    <t>Enter the energy in the combusted associated gas on row 19 of the table for production class 4 in baseline year 1.</t>
  </si>
  <si>
    <t>Enter the energy in the combusted associated gas on row 20 of the table for production class 4 in baseline year 1.</t>
  </si>
  <si>
    <t>Enter the energy in the combusted associated gas on row 21 of the table for production class 4 in baseline year 1.</t>
  </si>
  <si>
    <t>Enter the energy in the combusted associated gas on row 22 of the table for production class 4 in baseline year 1.</t>
  </si>
  <si>
    <t>Enter the energy in the combusted associated gas on row 23 of the table for production class 4 in baseline year 1.</t>
  </si>
  <si>
    <t>Enter the energy in the combusted associated gas on row 24 of the table for production class 4 in baseline year 1.</t>
  </si>
  <si>
    <t>Enter the energy in the combusted associated gas on row 25 of the table for production class 4 in baseline year 1.</t>
  </si>
  <si>
    <t>Enter the energy in the combusted associated gas on row 26 of the table for production class 4 in baseline year 1.</t>
  </si>
  <si>
    <t>Enter the energy in the combusted associated gas on row 27 of the table for production class 4 in baseline year 1.</t>
  </si>
  <si>
    <t>Enter the energy in the combusted associated gas on row 28 of the table for production class 4 in baseline year 1.</t>
  </si>
  <si>
    <t>Enter the energy in the combusted associated gas on row 29 of the table for production class 4 in baseline year 1.</t>
  </si>
  <si>
    <t>Enter the energy in the combusted associated gas on row 30 of the table for production class 4 in baseline year 1.</t>
  </si>
  <si>
    <t>Enter the energy in the combusted associated gas on row 31 of the table for production class 4 in baseline year 1.</t>
  </si>
  <si>
    <t>Enter the energy in the combusted associated gas on row 32 of the table for production class 4 in baseline year 1.</t>
  </si>
  <si>
    <t>Enter the energy in the combusted associated gas on row 33 of the table for production class 4 in baseline year 1.</t>
  </si>
  <si>
    <t>Enter the energy in the combusted associated gas on row 34 of the table for production class 4 in baseline year 1.</t>
  </si>
  <si>
    <t>Enter the energy in the combusted associated gas on row 35 of the table for production class 4 in baseline year 1.</t>
  </si>
  <si>
    <t>Enter the energy in the combusted associated gas on row 36 of the table for production class 4 in baseline year 1.</t>
  </si>
  <si>
    <t>Enter the energy in the combusted associated gas on row 37 of the table for production class 4 in baseline year 1.</t>
  </si>
  <si>
    <t>Enter the energy in the combusted associated gas on row 38 of the table for production class 4 in baseline year 1.</t>
  </si>
  <si>
    <t>Enter the energy in the combusted associated gas on row 39 of the table for production class 4 in baseline year 1.</t>
  </si>
  <si>
    <t>Enter the energy in the combusted associated gas on row 40 of the table for production class 4 in baseline year 1.</t>
  </si>
  <si>
    <t>Enter the energy in the combusted associated gas on row 41 of the table for production class 4 in baseline year 1.</t>
  </si>
  <si>
    <t>Enter the energy in the combusted associated gas on row 42 of the table for production class 4 in baseline year 1.</t>
  </si>
  <si>
    <t>Enter the energy in the combusted associated gas on row 43 of the table for production class 4 in baseline year 1.</t>
  </si>
  <si>
    <t>Enter the energy in the combusted associated gas on row 44 of the table for production class 4 in baseline year 1.</t>
  </si>
  <si>
    <t>Enter the energy in the combusted associated gas on row 45 of the table for production class 4 in baseline year 1.</t>
  </si>
  <si>
    <t>Enter the energy in the combusted associated gas on row 46 of the table for production class 4 in baseline year 1.</t>
  </si>
  <si>
    <t>Enter the energy in the combusted associated gas on row 47 of the table for production class 4 in baseline year 1.</t>
  </si>
  <si>
    <t>Enter the energy in the combusted associated gas on row 48 of the table for production class 4 in baseline year 1.</t>
  </si>
  <si>
    <t>Enter the energy in the combusted associated gas on row 49 of the table for production class 4 in baseline year 1.</t>
  </si>
  <si>
    <t>Enter the energy in the combusted associated gas on row 50 of the table for production class 4 in baseline year 1.</t>
  </si>
  <si>
    <t>Enter the total energy in all combusted fuel on row 1 of the table for production class 4 in baseline year 1.</t>
  </si>
  <si>
    <t>Enter the total energy in all combusted fuel on row 2 of the table for production class 4 in baseline year 1.</t>
  </si>
  <si>
    <t>Enter the total energy in all combusted fuel on row 3 of the table for production class 4 in baseline year 1.</t>
  </si>
  <si>
    <t>Enter the total energy in all combusted fuel on row 4 of the table for production class 4 in baseline year 1.</t>
  </si>
  <si>
    <t>Enter the total energy in all combusted fuel on row 5 of the table for production class 4 in baseline year 1.</t>
  </si>
  <si>
    <t>Enter the total energy in all combusted fuel on row 6 of the table for production class 4 in baseline year 1.</t>
  </si>
  <si>
    <t>Enter the total energy in all combusted fuel on row 7 of the table for production class 4 in baseline year 1.</t>
  </si>
  <si>
    <t>Enter the total energy in all combusted fuel on row 8 of the table for production class 4 in baseline year 1.</t>
  </si>
  <si>
    <t>Enter the total energy in all combusted fuel on row 9 of the table for production class 4 in baseline year 1.</t>
  </si>
  <si>
    <t>Enter the total energy in all combusted fuel on row 10 of the table for production class 4 in baseline year 1.</t>
  </si>
  <si>
    <t>Enter the total energy in all combusted fuel on row 11 of the table for production class 4 in baseline year 1.</t>
  </si>
  <si>
    <t>Enter the total energy in all combusted fuel on row 12 of the table for production class 4 in baseline year 1.</t>
  </si>
  <si>
    <t>Enter the total energy in all combusted fuel on row 13 of the table for production class 4 in baseline year 1.</t>
  </si>
  <si>
    <t>Enter the total energy in all combusted fuel on row 14 of the table for production class 4 in baseline year 1.</t>
  </si>
  <si>
    <t>Enter the total energy in all combusted fuel on row 15 of the table for production class 4 in baseline year 1.</t>
  </si>
  <si>
    <t>Enter the total energy in all combusted fuel on row 16 of the table for production class 4 in baseline year 1.</t>
  </si>
  <si>
    <t>Enter the total energy in all combusted fuel on row 17 of the table for production class 4 in baseline year 1.</t>
  </si>
  <si>
    <t>Enter the total energy in all combusted fuel on row 18 of the table for production class 4 in baseline year 1.</t>
  </si>
  <si>
    <t>Enter the total energy in all combusted fuel on row 19 of the table for production class 4 in baseline year 1.</t>
  </si>
  <si>
    <t>Enter the total energy in all combusted fuel on row 20 of the table for production class 4 in baseline year 1.</t>
  </si>
  <si>
    <t>Enter the total energy in all combusted fuel on row 21 of the table for production class 4 in baseline year 1.</t>
  </si>
  <si>
    <t>Enter the total energy in all combusted fuel on row 22 of the table for production class 4 in baseline year 1.</t>
  </si>
  <si>
    <t>Enter the total energy in all combusted fuel on row 23 of the table for production class 4 in baseline year 1.</t>
  </si>
  <si>
    <t>Enter the total energy in all combusted fuel on row 24 of the table for production class 4 in baseline year 1.</t>
  </si>
  <si>
    <t>Enter the total energy in all combusted fuel on row 25 of the table for production class 4 in baseline year 1.</t>
  </si>
  <si>
    <t>Enter the total energy in all combusted fuel on row 26 of the table for production class 4 in baseline year 1.</t>
  </si>
  <si>
    <t>Enter the total energy in all combusted fuel on row 27 of the table for production class 4 in baseline year 1.</t>
  </si>
  <si>
    <t>Enter the total energy in all combusted fuel on row 28 of the table for production class 4 in baseline year 1.</t>
  </si>
  <si>
    <t>Enter the total energy in all combusted fuel on row 29 of the table for production class 4 in baseline year 1.</t>
  </si>
  <si>
    <t>Enter the total energy in all combusted fuel on row 30 of the table for production class 4 in baseline year 1.</t>
  </si>
  <si>
    <t>Enter the total energy in all combusted fuel on row 31 of the table for production class 4 in baseline year 1.</t>
  </si>
  <si>
    <t>Enter the total energy in all combusted fuel on row 32 of the table for production class 4 in baseline year 1.</t>
  </si>
  <si>
    <t>Enter the total energy in all combusted fuel on row 33 of the table for production class 4 in baseline year 1.</t>
  </si>
  <si>
    <t>Enter the total energy in all combusted fuel on row 34 of the table for production class 4 in baseline year 1.</t>
  </si>
  <si>
    <t>Enter the total energy in all combusted fuel on row 35 of the table for production class 4 in baseline year 1.</t>
  </si>
  <si>
    <t>Enter the total energy in all combusted fuel on row 36 of the table for production class 4 in baseline year 1.</t>
  </si>
  <si>
    <t>Enter the total energy in all combusted fuel on row 37 of the table for production class 4 in baseline year 1.</t>
  </si>
  <si>
    <t>Enter the total energy in all combusted fuel on row 38 of the table for production class 4 in baseline year 1.</t>
  </si>
  <si>
    <t>Enter the total energy in all combusted fuel on row 39 of the table for production class 4 in baseline year 1.</t>
  </si>
  <si>
    <t>Enter the total energy in all combusted fuel on row 40 of the table for production class 4 in baseline year 1.</t>
  </si>
  <si>
    <t>Enter the total energy in all combusted fuel on row 41 of the table for production class 4 in baseline year 1.</t>
  </si>
  <si>
    <t>Enter the total energy in all combusted fuel on row 42 of the table for production class 4 in baseline year 1.</t>
  </si>
  <si>
    <t>Enter the total energy in all combusted fuel on row 43 of the table for production class 4 in baseline year 1.</t>
  </si>
  <si>
    <t>Enter the total energy in all combusted fuel on row 44 of the table for production class 4 in baseline year 1.</t>
  </si>
  <si>
    <t>Enter the total energy in all combusted fuel on row 45 of the table for production class 4 in baseline year 1.</t>
  </si>
  <si>
    <t>Enter the total energy in all combusted fuel on row 46 of the table for production class 4 in baseline year 1.</t>
  </si>
  <si>
    <t>Enter the total energy in all combusted fuel on row 47 of the table for production class 4 in baseline year 1.</t>
  </si>
  <si>
    <t>Enter the total energy in all combusted fuel on row 48 of the table for production class 4 in baseline year 1.</t>
  </si>
  <si>
    <t>Enter the total energy in all combusted fuel on row 49 of the table for production class 4 in baseline year 1.</t>
  </si>
  <si>
    <t>Enter the total energy in all combusted fuel on row 50 of the table for production class 4 in baseline year 1.</t>
  </si>
  <si>
    <t>Enter the total electricity generation from all combusted fuel on row 1 of the table for production class 4 in baseline year 1.</t>
  </si>
  <si>
    <t>Enter the total electricity generation from all combusted fuel on row 2 of the table for production class 4 in baseline year 1.</t>
  </si>
  <si>
    <t>Enter the total electricity generation from all combusted fuel on row 3 of the table for production class 4 in baseline year 1.</t>
  </si>
  <si>
    <t>Enter the total electricity generation from all combusted fuel on row 4 of the table for production class 4 in baseline year 1.</t>
  </si>
  <si>
    <t>Enter the total electricity generation from all combusted fuel on row 5 of the table for production class 4 in baseline year 1.</t>
  </si>
  <si>
    <t>Enter the total electricity generation from all combusted fuel on row 6 of the table for production class 4 in baseline year 1.</t>
  </si>
  <si>
    <t>Enter the total electricity generation from all combusted fuel on row 7 of the table for production class 4 in baseline year 1.</t>
  </si>
  <si>
    <t>Enter the total electricity generation from all combusted fuel on row 8 of the table for production class 4 in baseline year 1.</t>
  </si>
  <si>
    <t>Enter the total electricity generation from all combusted fuel on row 9 of the table for production class 4 in baseline year 1.</t>
  </si>
  <si>
    <t>Enter the total electricity generation from all combusted fuel on row 10 of the table for production class 4 in baseline year 1.</t>
  </si>
  <si>
    <t>Enter the total electricity generation from all combusted fuel on row 11 of the table for production class 4 in baseline year 1.</t>
  </si>
  <si>
    <t>Enter the total electricity generation from all combusted fuel on row 12 of the table for production class 4 in baseline year 1.</t>
  </si>
  <si>
    <t>Enter the total electricity generation from all combusted fuel on row 13 of the table for production class 4 in baseline year 1.</t>
  </si>
  <si>
    <t>Enter the total electricity generation from all combusted fuel on row 14 of the table for production class 4 in baseline year 1.</t>
  </si>
  <si>
    <t>Enter the total electricity generation from all combusted fuel on row 15 of the table for production class 4 in baseline year 1.</t>
  </si>
  <si>
    <t>Enter the total electricity generation from all combusted fuel on row 16 of the table for production class 4 in baseline year 1.</t>
  </si>
  <si>
    <t>Enter the total electricity generation from all combusted fuel on row 17 of the table for production class 4 in baseline year 1.</t>
  </si>
  <si>
    <t>Enter the total electricity generation from all combusted fuel on row 18 of the table for production class 4 in baseline year 1.</t>
  </si>
  <si>
    <t>Enter the total electricity generation from all combusted fuel on row 19 of the table for production class 4 in baseline year 1.</t>
  </si>
  <si>
    <t>Enter the total electricity generation from all combusted fuel on row 20 of the table for production class 4 in baseline year 1.</t>
  </si>
  <si>
    <t>Enter the total electricity generation from all combusted fuel on row 21 of the table for production class 4 in baseline year 1.</t>
  </si>
  <si>
    <t>Enter the total electricity generation from all combusted fuel on row 22 of the table for production class 4 in baseline year 1.</t>
  </si>
  <si>
    <t>Enter the total electricity generation from all combusted fuel on row 23 of the table for production class 4 in baseline year 1.</t>
  </si>
  <si>
    <t>Enter the total electricity generation from all combusted fuel on row 24 of the table for production class 4 in baseline year 1.</t>
  </si>
  <si>
    <t>Enter the total electricity generation from all combusted fuel on row 25 of the table for production class 4 in baseline year 1.</t>
  </si>
  <si>
    <t>Enter the total electricity generation from all combusted fuel on row 26 of the table for production class 4 in baseline year 1.</t>
  </si>
  <si>
    <t>Enter the total electricity generation from all combusted fuel on row 27 of the table for production class 4 in baseline year 1.</t>
  </si>
  <si>
    <t>Enter the total electricity generation from all combusted fuel on row 28 of the table for production class 4 in baseline year 1.</t>
  </si>
  <si>
    <t>Enter the total electricity generation from all combusted fuel on row 29 of the table for production class 4 in baseline year 1.</t>
  </si>
  <si>
    <t>Enter the total electricity generation from all combusted fuel on row 30 of the table for production class 4 in baseline year 1.</t>
  </si>
  <si>
    <t>Enter the total electricity generation from all combusted fuel on row 31 of the table for production class 4 in baseline year 1.</t>
  </si>
  <si>
    <t>Enter the total electricity generation from all combusted fuel on row 32 of the table for production class 4 in baseline year 1.</t>
  </si>
  <si>
    <t>Enter the total electricity generation from all combusted fuel on row 33 of the table for production class 4 in baseline year 1.</t>
  </si>
  <si>
    <t>Enter the total electricity generation from all combusted fuel on row 34 of the table for production class 4 in baseline year 1.</t>
  </si>
  <si>
    <t>Enter the total electricity generation from all combusted fuel on row 35 of the table for production class 4 in baseline year 1.</t>
  </si>
  <si>
    <t>Enter the total electricity generation from all combusted fuel on row 36 of the table for production class 4 in baseline year 1.</t>
  </si>
  <si>
    <t>Enter the total electricity generation from all combusted fuel on row 37 of the table for production class 4 in baseline year 1.</t>
  </si>
  <si>
    <t>Enter the total electricity generation from all combusted fuel on row 38 of the table for production class 4 in baseline year 1.</t>
  </si>
  <si>
    <t>Enter the total electricity generation from all combusted fuel on row 39 of the table for production class 4 in baseline year 1.</t>
  </si>
  <si>
    <t>Enter the total electricity generation from all combusted fuel on row 40 of the table for production class 4 in baseline year 1.</t>
  </si>
  <si>
    <t>Enter the total electricity generation from all combusted fuel on row 41 of the table for production class 4 in baseline year 1.</t>
  </si>
  <si>
    <t>Enter the total electricity generation from all combusted fuel on row 42 of the table for production class 4 in baseline year 1.</t>
  </si>
  <si>
    <t>Enter the total electricity generation from all combusted fuel on row 43 of the table for production class 4 in baseline year 1.</t>
  </si>
  <si>
    <t>Enter the total electricity generation from all combusted fuel on row 44 of the table for production class 4 in baseline year 1.</t>
  </si>
  <si>
    <t>Enter the total electricity generation from all combusted fuel on row 45 of the table for production class 4 in baseline year 1.</t>
  </si>
  <si>
    <t>Enter the total electricity generation from all combusted fuel on row 46 of the table for production class 4 in baseline year 1.</t>
  </si>
  <si>
    <t>Enter the total electricity generation from all combusted fuel on row 47 of the table for production class 4 in baseline year 1.</t>
  </si>
  <si>
    <t>Enter the total electricity generation from all combusted fuel on row 48 of the table for production class 4 in baseline year 1.</t>
  </si>
  <si>
    <t>Enter the total electricity generation from all combusted fuel on row 49 of the table for production class 4 in baseline year 1.</t>
  </si>
  <si>
    <t>Enter the total electricity generation from all combusted fuel on row 50 of the table for production class 4 in baseline year 1.</t>
  </si>
  <si>
    <t>Enter the volume of associated gas on row 1 of the table for production class 4 in baseline year 1.</t>
  </si>
  <si>
    <t>Enter the volume of associated gas on row 2 of the table for production class 4 in baseline year 1.</t>
  </si>
  <si>
    <t>Enter the volume of associated gas on row 3 of the table for production class 4 in baseline year 1.</t>
  </si>
  <si>
    <t>Enter the volume of associated gas on row 4 of the table for production class 4 in baseline year 1.</t>
  </si>
  <si>
    <t>Enter the volume of associated gas on row 5 of the table for production class 4 in baseline year 1.</t>
  </si>
  <si>
    <t>Enter the volume of associated gas on row 6 of the table for production class 4 in baseline year 1.</t>
  </si>
  <si>
    <t>Enter the volume of associated gas on row 7 of the table for production class 4 in baseline year 1.</t>
  </si>
  <si>
    <t>Enter the volume of associated gas on row 8 of the table for production class 4 in baseline year 1.</t>
  </si>
  <si>
    <t>Enter the volume of associated gas on row 9 of the table for production class 4 in baseline year 1.</t>
  </si>
  <si>
    <t>Enter the volume of associated gas on row 10 of the table for production class 4 in baseline year 1.</t>
  </si>
  <si>
    <t>Enter the volume of associated gas on row 11 of the table for production class 4 in baseline year 1.</t>
  </si>
  <si>
    <t>Enter the volume of associated gas on row 12 of the table for production class 4 in baseline year 1.</t>
  </si>
  <si>
    <t>Enter the volume of associated gas on row 13 of the table for production class 4 in baseline year 1.</t>
  </si>
  <si>
    <t>Enter the volume of associated gas on row 14 of the table for production class 4 in baseline year 1.</t>
  </si>
  <si>
    <t>Enter the volume of associated gas on row 15 of the table for production class 4 in baseline year 1.</t>
  </si>
  <si>
    <t>Enter the volume of associated gas on row 16 of the table for production class 4 in baseline year 1.</t>
  </si>
  <si>
    <t>Enter the volume of associated gas on row 17 of the table for production class 4 in baseline year 1.</t>
  </si>
  <si>
    <t>Enter the volume of associated gas on row 18 of the table for production class 4 in baseline year 1.</t>
  </si>
  <si>
    <t>Enter the volume of associated gas on row 19 of the table for production class 4 in baseline year 1.</t>
  </si>
  <si>
    <t>Enter the volume of associated gas on row 20 of the table for production class 4 in baseline year 1.</t>
  </si>
  <si>
    <t>Enter the volume of associated gas on row 21 of the table for production class 4 in baseline year 1.</t>
  </si>
  <si>
    <t>Enter the volume of associated gas on row 22 of the table for production class 4 in baseline year 1.</t>
  </si>
  <si>
    <t>Enter the volume of associated gas on row 23 of the table for production class 4 in baseline year 1.</t>
  </si>
  <si>
    <t>Enter the volume of associated gas on row 24 of the table for production class 4 in baseline year 1.</t>
  </si>
  <si>
    <t>Enter the volume of associated gas on row 25 of the table for production class 4 in baseline year 1.</t>
  </si>
  <si>
    <t>Enter the volume of associated gas on row 26 of the table for production class 4 in baseline year 1.</t>
  </si>
  <si>
    <t>Enter the volume of associated gas on row 27 of the table for production class 4 in baseline year 1.</t>
  </si>
  <si>
    <t>Enter the volume of associated gas on row 28 of the table for production class 4 in baseline year 1.</t>
  </si>
  <si>
    <t>Enter the volume of associated gas on row 29 of the table for production class 4 in baseline year 1.</t>
  </si>
  <si>
    <t>Enter the volume of associated gas on row 30 of the table for production class 4 in baseline year 1.</t>
  </si>
  <si>
    <t>Enter the volume of associated gas on row 31 of the table for production class 4 in baseline year 1.</t>
  </si>
  <si>
    <t>Enter the volume of associated gas on row 32 of the table for production class 4 in baseline year 1.</t>
  </si>
  <si>
    <t>Enter the volume of associated gas on row 33 of the table for production class 4 in baseline year 1.</t>
  </si>
  <si>
    <t>Enter the volume of associated gas on row 34 of the table for production class 4 in baseline year 1.</t>
  </si>
  <si>
    <t>Enter the volume of associated gas on row 35 of the table for production class 4 in baseline year 1.</t>
  </si>
  <si>
    <t>Enter the volume of associated gas on row 36 of the table for production class 4 in baseline year 1.</t>
  </si>
  <si>
    <t>Enter the volume of associated gas on row 37 of the table for production class 4 in baseline year 1.</t>
  </si>
  <si>
    <t>Enter the volume of associated gas on row 38 of the table for production class 4 in baseline year 1.</t>
  </si>
  <si>
    <t>Enter the volume of associated gas on row 39 of the table for production class 4 in baseline year 1.</t>
  </si>
  <si>
    <t>Enter the volume of associated gas on row 40 of the table for production class 4 in baseline year 1.</t>
  </si>
  <si>
    <t>Enter the volume of associated gas on row 41 of the table for production class 4 in baseline year 1.</t>
  </si>
  <si>
    <t>Enter the volume of associated gas on row 42 of the table for production class 4 in baseline year 1.</t>
  </si>
  <si>
    <t>Enter the volume of associated gas on row 43 of the table for production class 4 in baseline year 1.</t>
  </si>
  <si>
    <t>Enter the volume of associated gas on row 44 of the table for production class 4 in baseline year 1.</t>
  </si>
  <si>
    <t>Enter the volume of associated gas on row 45 of the table for production class 4 in baseline year 1.</t>
  </si>
  <si>
    <t>Enter the volume of associated gas on row 46 of the table for production class 4 in baseline year 1.</t>
  </si>
  <si>
    <t>Enter the volume of associated gas on row 47 of the table for production class 4 in baseline year 1.</t>
  </si>
  <si>
    <t>Enter the volume of associated gas on row 48 of the table for production class 4 in baseline year 1.</t>
  </si>
  <si>
    <t>Enter the volume of associated gas on row 49 of the table for production class 4 in baseline year 1.</t>
  </si>
  <si>
    <t>Enter the volume of associated gas on row 50 of the table for production class 4 in baseline year 1.</t>
  </si>
  <si>
    <t>Enter the carbon dioxide emissions from associated gas on row 1 of the table for production class 4 in baseline year 1.</t>
  </si>
  <si>
    <t>Enter the carbon dioxide emissions from associated gas on row 2 of the table for production class 4 in baseline year 1.</t>
  </si>
  <si>
    <t>Enter the carbon dioxide emissions from associated gas on row 3 of the table for production class 4 in baseline year 1.</t>
  </si>
  <si>
    <t>Enter the carbon dioxide emissions from associated gas on row 4 of the table for production class 4 in baseline year 1.</t>
  </si>
  <si>
    <t>Enter the carbon dioxide emissions from associated gas on row 5 of the table for production class 4 in baseline year 1.</t>
  </si>
  <si>
    <t>Enter the carbon dioxide emissions from associated gas on row 6 of the table for production class 4 in baseline year 1.</t>
  </si>
  <si>
    <t>Enter the carbon dioxide emissions from associated gas on row 7 of the table for production class 4 in baseline year 1.</t>
  </si>
  <si>
    <t>Enter the carbon dioxide emissions from associated gas on row 8 of the table for production class 4 in baseline year 1.</t>
  </si>
  <si>
    <t>Enter the carbon dioxide emissions from associated gas on row 9 of the table for production class 4 in baseline year 1.</t>
  </si>
  <si>
    <t>Enter the carbon dioxide emissions from associated gas on row 10 of the table for production class 4 in baseline year 1.</t>
  </si>
  <si>
    <t>Enter the carbon dioxide emissions from associated gas on row 11 of the table for production class 4 in baseline year 1.</t>
  </si>
  <si>
    <t>Enter the carbon dioxide emissions from associated gas on row 12 of the table for production class 4 in baseline year 1.</t>
  </si>
  <si>
    <t>Enter the carbon dioxide emissions from associated gas on row 13 of the table for production class 4 in baseline year 1.</t>
  </si>
  <si>
    <t>Enter the carbon dioxide emissions from associated gas on row 14 of the table for production class 4 in baseline year 1.</t>
  </si>
  <si>
    <t>Enter the carbon dioxide emissions from associated gas on row 15 of the table for production class 4 in baseline year 1.</t>
  </si>
  <si>
    <t>Enter the carbon dioxide emissions from associated gas on row 16 of the table for production class 4 in baseline year 1.</t>
  </si>
  <si>
    <t>Enter the carbon dioxide emissions from associated gas on row 17 of the table for production class 4 in baseline year 1.</t>
  </si>
  <si>
    <t>Enter the carbon dioxide emissions from associated gas on row 18 of the table for production class 4 in baseline year 1.</t>
  </si>
  <si>
    <t>Enter the carbon dioxide emissions from associated gas on row 19 of the table for production class 4 in baseline year 1.</t>
  </si>
  <si>
    <t>Enter the carbon dioxide emissions from associated gas on row 20 of the table for production class 4 in baseline year 1.</t>
  </si>
  <si>
    <t>Enter the carbon dioxide emissions from associated gas on row 21 of the table for production class 4 in baseline year 1.</t>
  </si>
  <si>
    <t>Enter the carbon dioxide emissions from associated gas on row 22 of the table for production class 4 in baseline year 1.</t>
  </si>
  <si>
    <t>Enter the carbon dioxide emissions from associated gas on row 23 of the table for production class 4 in baseline year 1.</t>
  </si>
  <si>
    <t>Enter the carbon dioxide emissions from associated gas on row 24 of the table for production class 4 in baseline year 1.</t>
  </si>
  <si>
    <t>Enter the carbon dioxide emissions from associated gas on row 25 of the table for production class 4 in baseline year 1.</t>
  </si>
  <si>
    <t>Enter the carbon dioxide emissions from associated gas on row 26 of the table for production class 4 in baseline year 1.</t>
  </si>
  <si>
    <t>Enter the carbon dioxide emissions from associated gas on row 27 of the table for production class 4 in baseline year 1.</t>
  </si>
  <si>
    <t>Enter the carbon dioxide emissions from associated gas on row 28 of the table for production class 4 in baseline year 1.</t>
  </si>
  <si>
    <t>Enter the carbon dioxide emissions from associated gas on row 29 of the table for production class 4 in baseline year 1.</t>
  </si>
  <si>
    <t>Enter the carbon dioxide emissions from associated gas on row 30 of the table for production class 4 in baseline year 1.</t>
  </si>
  <si>
    <t>Enter the carbon dioxide emissions from associated gas on row 31 of the table for production class 4 in baseline year 1.</t>
  </si>
  <si>
    <t>Enter the carbon dioxide emissions from associated gas on row 32 of the table for production class 4 in baseline year 1.</t>
  </si>
  <si>
    <t>Enter the carbon dioxide emissions from associated gas on row 33 of the table for production class 4 in baseline year 1.</t>
  </si>
  <si>
    <t>Enter the carbon dioxide emissions from associated gas on row 34 of the table for production class 4 in baseline year 1.</t>
  </si>
  <si>
    <t>Enter the carbon dioxide emissions from associated gas on row 35 of the table for production class 4 in baseline year 1.</t>
  </si>
  <si>
    <t>Enter the carbon dioxide emissions from associated gas on row 36 of the table for production class 4 in baseline year 1.</t>
  </si>
  <si>
    <t>Enter the carbon dioxide emissions from associated gas on row 37 of the table for production class 4 in baseline year 1.</t>
  </si>
  <si>
    <t>Enter the carbon dioxide emissions from associated gas on row 38 of the table for production class 4 in baseline year 1.</t>
  </si>
  <si>
    <t>Enter the carbon dioxide emissions from associated gas on row 39 of the table for production class 4 in baseline year 1.</t>
  </si>
  <si>
    <t>Enter the carbon dioxide emissions from associated gas on row 40 of the table for production class 4 in baseline year 1.</t>
  </si>
  <si>
    <t>Enter the carbon dioxide emissions from associated gas on row 41 of the table for production class 4 in baseline year 1.</t>
  </si>
  <si>
    <t>Enter the carbon dioxide emissions from associated gas on row 42 of the table for production class 4 in baseline year 1.</t>
  </si>
  <si>
    <t>Enter the carbon dioxide emissions from associated gas on row 43 of the table for production class 4 in baseline year 1.</t>
  </si>
  <si>
    <t>Enter the carbon dioxide emissions from associated gas on row 44 of the table for production class 4 in baseline year 1.</t>
  </si>
  <si>
    <t>Enter the carbon dioxide emissions from associated gas on row 45 of the table for production class 4 in baseline year 1.</t>
  </si>
  <si>
    <t>Enter the carbon dioxide emissions from associated gas on row 46 of the table for production class 4 in baseline year 1.</t>
  </si>
  <si>
    <t>Enter the carbon dioxide emissions from associated gas on row 47 of the table for production class 4 in baseline year 1.</t>
  </si>
  <si>
    <t>Enter the carbon dioxide emissions from associated gas on row 48 of the table for production class 4 in baseline year 1.</t>
  </si>
  <si>
    <t>Enter the carbon dioxide emissions from associated gas on row 49 of the table for production class 4 in baseline year 1.</t>
  </si>
  <si>
    <t>Enter the carbon dioxide emissions from associated gas on row 50 of the table for production class 4 in baseline year 1.</t>
  </si>
  <si>
    <t>Enter the methane emissions from associated gas on row 1 of the table for production class 4 in baseline year 1.</t>
  </si>
  <si>
    <t>Enter the methane emissions from associated gas on row 2 of the table for production class 4 in baseline year 1.</t>
  </si>
  <si>
    <t>Enter the methane emissions from associated gas on row 3 of the table for production class 4 in baseline year 1.</t>
  </si>
  <si>
    <t>Enter the methane emissions from associated gas on row 4 of the table for production class 4 in baseline year 1.</t>
  </si>
  <si>
    <t>Enter the methane emissions from associated gas on row 5 of the table for production class 4 in baseline year 1.</t>
  </si>
  <si>
    <t>Enter the methane emissions from associated gas on row 6 of the table for production class 4 in baseline year 1.</t>
  </si>
  <si>
    <t>Enter the methane emissions from associated gas on row 7 of the table for production class 4 in baseline year 1.</t>
  </si>
  <si>
    <t>Enter the methane emissions from associated gas on row 8 of the table for production class 4 in baseline year 1.</t>
  </si>
  <si>
    <t>Enter the methane emissions from associated gas on row 9 of the table for production class 4 in baseline year 1.</t>
  </si>
  <si>
    <t>Enter the methane emissions from associated gas on row 10 of the table for production class 4 in baseline year 1.</t>
  </si>
  <si>
    <t>Enter the methane emissions from associated gas on row 11 of the table for production class 4 in baseline year 1.</t>
  </si>
  <si>
    <t>Enter the methane emissions from associated gas on row 12 of the table for production class 4 in baseline year 1.</t>
  </si>
  <si>
    <t>Enter the methane emissions from associated gas on row 13 of the table for production class 4 in baseline year 1.</t>
  </si>
  <si>
    <t>Enter the methane emissions from associated gas on row 14 of the table for production class 4 in baseline year 1.</t>
  </si>
  <si>
    <t>Enter the methane emissions from associated gas on row 15 of the table for production class 4 in baseline year 1.</t>
  </si>
  <si>
    <t>Enter the methane emissions from associated gas on row 16 of the table for production class 4 in baseline year 1.</t>
  </si>
  <si>
    <t>Enter the methane emissions from associated gas on row 17 of the table for production class 4 in baseline year 1.</t>
  </si>
  <si>
    <t>Enter the methane emissions from associated gas on row 18 of the table for production class 4 in baseline year 1.</t>
  </si>
  <si>
    <t>Enter the methane emissions from associated gas on row 19 of the table for production class 4 in baseline year 1.</t>
  </si>
  <si>
    <t>Enter the methane emissions from associated gas on row 20 of the table for production class 4 in baseline year 1.</t>
  </si>
  <si>
    <t>Enter the methane emissions from associated gas on row 21 of the table for production class 4 in baseline year 1.</t>
  </si>
  <si>
    <t>Enter the methane emissions from associated gas on row 22 of the table for production class 4 in baseline year 1.</t>
  </si>
  <si>
    <t>Enter the methane emissions from associated gas on row 23 of the table for production class 4 in baseline year 1.</t>
  </si>
  <si>
    <t>Enter the methane emissions from associated gas on row 24 of the table for production class 4 in baseline year 1.</t>
  </si>
  <si>
    <t>Enter the methane emissions from associated gas on row 25 of the table for production class 4 in baseline year 1.</t>
  </si>
  <si>
    <t>Enter the methane emissions from associated gas on row 26 of the table for production class 4 in baseline year 1.</t>
  </si>
  <si>
    <t>Enter the methane emissions from associated gas on row 27 of the table for production class 4 in baseline year 1.</t>
  </si>
  <si>
    <t>Enter the methane emissions from associated gas on row 28 of the table for production class 4 in baseline year 1.</t>
  </si>
  <si>
    <t>Enter the methane emissions from associated gas on row 29 of the table for production class 4 in baseline year 1.</t>
  </si>
  <si>
    <t>Enter the methane emissions from associated gas on row 30 of the table for production class 4 in baseline year 1.</t>
  </si>
  <si>
    <t>Enter the methane emissions from associated gas on row 31 of the table for production class 4 in baseline year 1.</t>
  </si>
  <si>
    <t>Enter the methane emissions from associated gas on row 32 of the table for production class 4 in baseline year 1.</t>
  </si>
  <si>
    <t>Enter the methane emissions from associated gas on row 33 of the table for production class 4 in baseline year 1.</t>
  </si>
  <si>
    <t>Enter the methane emissions from associated gas on row 34 of the table for production class 4 in baseline year 1.</t>
  </si>
  <si>
    <t>Enter the methane emissions from associated gas on row 35 of the table for production class 4 in baseline year 1.</t>
  </si>
  <si>
    <t>Enter the methane emissions from associated gas on row 36 of the table for production class 4 in baseline year 1.</t>
  </si>
  <si>
    <t>Enter the methane emissions from associated gas on row 37 of the table for production class 4 in baseline year 1.</t>
  </si>
  <si>
    <t>Enter the methane emissions from associated gas on row 38 of the table for production class 4 in baseline year 1.</t>
  </si>
  <si>
    <t>Enter the methane emissions from associated gas on row 39 of the table for production class 4 in baseline year 1.</t>
  </si>
  <si>
    <t>Enter the methane emissions from associated gas on row 40 of the table for production class 4 in baseline year 1.</t>
  </si>
  <si>
    <t>Enter the methane emissions from associated gas on row 41 of the table for production class 4 in baseline year 1.</t>
  </si>
  <si>
    <t>Enter the methane emissions from associated gas on row 42 of the table for production class 4 in baseline year 1.</t>
  </si>
  <si>
    <t>Enter the methane emissions from associated gas on row 43 of the table for production class 4 in baseline year 1.</t>
  </si>
  <si>
    <t>Enter the methane emissions from associated gas on row 44 of the table for production class 4 in baseline year 1.</t>
  </si>
  <si>
    <t>Enter the methane emissions from associated gas on row 45 of the table for production class 4 in baseline year 1.</t>
  </si>
  <si>
    <t>Enter the methane emissions from associated gas on row 46 of the table for production class 4 in baseline year 1.</t>
  </si>
  <si>
    <t>Enter the methane emissions from associated gas on row 47 of the table for production class 4 in baseline year 1.</t>
  </si>
  <si>
    <t>Enter the methane emissions from associated gas on row 48 of the table for production class 4 in baseline year 1.</t>
  </si>
  <si>
    <t>Enter the methane emissions from associated gas on row 49 of the table for production class 4 in baseline year 1.</t>
  </si>
  <si>
    <t>Enter the methane emissions from associated gas on row 50 of the table for production class 4 in baseline year 1.</t>
  </si>
  <si>
    <t>Enter the nitrous oxide emissions from associated gas on row 1 of the table for production class 4 in baseline year 1.</t>
  </si>
  <si>
    <t>Enter the nitrous oxide emissions from associated gas on row 2 of the table for production class 4 in baseline year 1.</t>
  </si>
  <si>
    <t>Enter the nitrous oxide emissions from associated gas on row 3 of the table for production class 4 in baseline year 1.</t>
  </si>
  <si>
    <t>Enter the nitrous oxide emissions from associated gas on row 4 of the table for production class 4 in baseline year 1.</t>
  </si>
  <si>
    <t>Enter the nitrous oxide emissions from associated gas on row 5 of the table for production class 4 in baseline year 1.</t>
  </si>
  <si>
    <t>Enter the nitrous oxide emissions from associated gas on row 6 of the table for production class 4 in baseline year 1.</t>
  </si>
  <si>
    <t>Enter the nitrous oxide emissions from associated gas on row 7 of the table for production class 4 in baseline year 1.</t>
  </si>
  <si>
    <t>Enter the nitrous oxide emissions from associated gas on row 8 of the table for production class 4 in baseline year 1.</t>
  </si>
  <si>
    <t>Enter the nitrous oxide emissions from associated gas on row 9 of the table for production class 4 in baseline year 1.</t>
  </si>
  <si>
    <t>Enter the nitrous oxide emissions from associated gas on row 10 of the table for production class 4 in baseline year 1.</t>
  </si>
  <si>
    <t>Enter the nitrous oxide emissions from associated gas on row 11 of the table for production class 4 in baseline year 1.</t>
  </si>
  <si>
    <t>Enter the nitrous oxide emissions from associated gas on row 12 of the table for production class 4 in baseline year 1.</t>
  </si>
  <si>
    <t>Enter the nitrous oxide emissions from associated gas on row 13 of the table for production class 4 in baseline year 1.</t>
  </si>
  <si>
    <t>Enter the nitrous oxide emissions from associated gas on row 14 of the table for production class 4 in baseline year 1.</t>
  </si>
  <si>
    <t>Enter the nitrous oxide emissions from associated gas on row 15 of the table for production class 4 in baseline year 1.</t>
  </si>
  <si>
    <t>Enter the nitrous oxide emissions from associated gas on row 16 of the table for production class 4 in baseline year 1.</t>
  </si>
  <si>
    <t>Enter the nitrous oxide emissions from associated gas on row 17 of the table for production class 4 in baseline year 1.</t>
  </si>
  <si>
    <t>Enter the nitrous oxide emissions from associated gas on row 18 of the table for production class 4 in baseline year 1.</t>
  </si>
  <si>
    <t>Enter the nitrous oxide emissions from associated gas on row 19 of the table for production class 4 in baseline year 1.</t>
  </si>
  <si>
    <t>Enter the nitrous oxide emissions from associated gas on row 20 of the table for production class 4 in baseline year 1.</t>
  </si>
  <si>
    <t>Enter the nitrous oxide emissions from associated gas on row 21 of the table for production class 4 in baseline year 1.</t>
  </si>
  <si>
    <t>Enter the nitrous oxide emissions from associated gas on row 22 of the table for production class 4 in baseline year 1.</t>
  </si>
  <si>
    <t>Enter the nitrous oxide emissions from associated gas on row 23 of the table for production class 4 in baseline year 1.</t>
  </si>
  <si>
    <t>Enter the nitrous oxide emissions from associated gas on row 24 of the table for production class 4 in baseline year 1.</t>
  </si>
  <si>
    <t>Enter the nitrous oxide emissions from associated gas on row 25 of the table for production class 4 in baseline year 1.</t>
  </si>
  <si>
    <t>Enter the nitrous oxide emissions from associated gas on row 26 of the table for production class 4 in baseline year 1.</t>
  </si>
  <si>
    <t>Enter the nitrous oxide emissions from associated gas on row 27 of the table for production class 4 in baseline year 1.</t>
  </si>
  <si>
    <t>Enter the nitrous oxide emissions from associated gas on row 28 of the table for production class 4 in baseline year 1.</t>
  </si>
  <si>
    <t>Enter the nitrous oxide emissions from associated gas on row 29 of the table for production class 4 in baseline year 1.</t>
  </si>
  <si>
    <t>Enter the nitrous oxide emissions from associated gas on row 30 of the table for production class 4 in baseline year 1.</t>
  </si>
  <si>
    <t>Enter the nitrous oxide emissions from associated gas on row 31 of the table for production class 4 in baseline year 1.</t>
  </si>
  <si>
    <t>Enter the nitrous oxide emissions from associated gas on row 32 of the table for production class 4 in baseline year 1.</t>
  </si>
  <si>
    <t>Enter the nitrous oxide emissions from associated gas on row 33 of the table for production class 4 in baseline year 1.</t>
  </si>
  <si>
    <t>Enter the nitrous oxide emissions from associated gas on row 34 of the table for production class 4 in baseline year 1.</t>
  </si>
  <si>
    <t>Enter the nitrous oxide emissions from associated gas on row 35 of the table for production class 4 in baseline year 1.</t>
  </si>
  <si>
    <t>Enter the nitrous oxide emissions from associated gas on row 36 of the table for production class 4 in baseline year 1.</t>
  </si>
  <si>
    <t>Enter the nitrous oxide emissions from associated gas on row 37 of the table for production class 4 in baseline year 1.</t>
  </si>
  <si>
    <t>Enter the nitrous oxide emissions from associated gas on row 38 of the table for production class 4 in baseline year 1.</t>
  </si>
  <si>
    <t>Enter the nitrous oxide emissions from associated gas on row 39 of the table for production class 4 in baseline year 1.</t>
  </si>
  <si>
    <t>Enter the nitrous oxide emissions from associated gas on row 40 of the table for production class 4 in baseline year 1.</t>
  </si>
  <si>
    <t>Enter the nitrous oxide emissions from associated gas on row 41 of the table for production class 4 in baseline year 1.</t>
  </si>
  <si>
    <t>Enter the nitrous oxide emissions from associated gas on row 42 of the table for production class 4 in baseline year 1.</t>
  </si>
  <si>
    <t>Enter the nitrous oxide emissions from associated gas on row 43 of the table for production class 4 in baseline year 1.</t>
  </si>
  <si>
    <t>Enter the nitrous oxide emissions from associated gas on row 44 of the table for production class 4 in baseline year 1.</t>
  </si>
  <si>
    <t>Enter the nitrous oxide emissions from associated gas on row 45 of the table for production class 4 in baseline year 1.</t>
  </si>
  <si>
    <t>Enter the nitrous oxide emissions from associated gas on row 46 of the table for production class 4 in baseline year 1.</t>
  </si>
  <si>
    <t>Enter the nitrous oxide emissions from associated gas on row 47 of the table for production class 4 in baseline year 1.</t>
  </si>
  <si>
    <t>Enter the nitrous oxide emissions from associated gas on row 48 of the table for production class 4 in baseline year 1.</t>
  </si>
  <si>
    <t>Enter the nitrous oxide emissions from associated gas on row 49 of the table for production class 4 in baseline year 1.</t>
  </si>
  <si>
    <t>Enter the nitrous oxide emissions from associated gas on row 50 of the table for production class 4 in baseline year 1.</t>
  </si>
  <si>
    <t>Enter the number of units within the gas-to-power operation for production class 4 in baseline year 2.</t>
  </si>
  <si>
    <t>Enter the energy in the combusted associated gas on row 1 of the table for production class 4 in baseline year 2.</t>
  </si>
  <si>
    <t>Enter the energy in the combusted associated gas on row 2 of the table for production class 4 in baseline year 2.</t>
  </si>
  <si>
    <t>Enter the energy in the combusted associated gas on row 3 of the table for production class 4 in baseline year 2.</t>
  </si>
  <si>
    <t>Enter the energy in the combusted associated gas on row 4 of the table for production class 4 in baseline year 2.</t>
  </si>
  <si>
    <t>Enter the energy in the combusted associated gas on row 5 of the table for production class 4 in baseline year 2.</t>
  </si>
  <si>
    <t>Enter the energy in the combusted associated gas on row 6 of the table for production class 4 in baseline year 2.</t>
  </si>
  <si>
    <t>Enter the energy in the combusted associated gas on row 7 of the table for production class 4 in baseline year 2.</t>
  </si>
  <si>
    <t>Enter the energy in the combusted associated gas on row 8 of the table for production class 4 in baseline year 2.</t>
  </si>
  <si>
    <t>Enter the energy in the combusted associated gas on row 9 of the table for production class 4 in baseline year 2.</t>
  </si>
  <si>
    <t>Enter the energy in the combusted associated gas on row 10 of the table for production class 4 in baseline year 2.</t>
  </si>
  <si>
    <t>Enter the energy in the combusted associated gas on row 11 of the table for production class 4 in baseline year 2.</t>
  </si>
  <si>
    <t>Enter the energy in the combusted associated gas on row 12 of the table for production class 4 in baseline year 2.</t>
  </si>
  <si>
    <t>Enter the energy in the combusted associated gas on row 13 of the table for production class 4 in baseline year 2.</t>
  </si>
  <si>
    <t>Enter the energy in the combusted associated gas on row 14 of the table for production class 4 in baseline year 2.</t>
  </si>
  <si>
    <t>Enter the energy in the combusted associated gas on row 15 of the table for production class 4 in baseline year 2.</t>
  </si>
  <si>
    <t>Enter the energy in the combusted associated gas on row 16 of the table for production class 4 in baseline year 2.</t>
  </si>
  <si>
    <t>Enter the energy in the combusted associated gas on row 17 of the table for production class 4 in baseline year 2.</t>
  </si>
  <si>
    <t>Enter the energy in the combusted associated gas on row 18 of the table for production class 4 in baseline year 2.</t>
  </si>
  <si>
    <t>Enter the energy in the combusted associated gas on row 19 of the table for production class 4 in baseline year 2.</t>
  </si>
  <si>
    <t>Enter the energy in the combusted associated gas on row 20 of the table for production class 4 in baseline year 2.</t>
  </si>
  <si>
    <t>Enter the energy in the combusted associated gas on row 21 of the table for production class 4 in baseline year 2.</t>
  </si>
  <si>
    <t>Enter the energy in the combusted associated gas on row 22 of the table for production class 4 in baseline year 2.</t>
  </si>
  <si>
    <t>Enter the energy in the combusted associated gas on row 23 of the table for production class 4 in baseline year 2.</t>
  </si>
  <si>
    <t>Enter the energy in the combusted associated gas on row 24 of the table for production class 4 in baseline year 2.</t>
  </si>
  <si>
    <t>Enter the energy in the combusted associated gas on row 25 of the table for production class 4 in baseline year 2.</t>
  </si>
  <si>
    <t>Enter the energy in the combusted associated gas on row 26 of the table for production class 4 in baseline year 2.</t>
  </si>
  <si>
    <t>Enter the energy in the combusted associated gas on row 27 of the table for production class 4 in baseline year 2.</t>
  </si>
  <si>
    <t>Enter the energy in the combusted associated gas on row 28 of the table for production class 4 in baseline year 2.</t>
  </si>
  <si>
    <t>Enter the energy in the combusted associated gas on row 29 of the table for production class 4 in baseline year 2.</t>
  </si>
  <si>
    <t>Enter the energy in the combusted associated gas on row 30 of the table for production class 4 in baseline year 2.</t>
  </si>
  <si>
    <t>Enter the energy in the combusted associated gas on row 31 of the table for production class 4 in baseline year 2.</t>
  </si>
  <si>
    <t>Enter the energy in the combusted associated gas on row 32 of the table for production class 4 in baseline year 2.</t>
  </si>
  <si>
    <t>Enter the energy in the combusted associated gas on row 33 of the table for production class 4 in baseline year 2.</t>
  </si>
  <si>
    <t>Enter the energy in the combusted associated gas on row 34 of the table for production class 4 in baseline year 2.</t>
  </si>
  <si>
    <t>Enter the energy in the combusted associated gas on row 35 of the table for production class 4 in baseline year 2.</t>
  </si>
  <si>
    <t>Enter the energy in the combusted associated gas on row 36 of the table for production class 4 in baseline year 2.</t>
  </si>
  <si>
    <t>Enter the energy in the combusted associated gas on row 37 of the table for production class 4 in baseline year 2.</t>
  </si>
  <si>
    <t>Enter the energy in the combusted associated gas on row 38 of the table for production class 4 in baseline year 2.</t>
  </si>
  <si>
    <t>Enter the energy in the combusted associated gas on row 39 of the table for production class 4 in baseline year 2.</t>
  </si>
  <si>
    <t>Enter the energy in the combusted associated gas on row 40 of the table for production class 4 in baseline year 2.</t>
  </si>
  <si>
    <t>Enter the energy in the combusted associated gas on row 41 of the table for production class 4 in baseline year 2.</t>
  </si>
  <si>
    <t>Enter the energy in the combusted associated gas on row 42 of the table for production class 4 in baseline year 2.</t>
  </si>
  <si>
    <t>Enter the energy in the combusted associated gas on row 43 of the table for production class 4 in baseline year 2.</t>
  </si>
  <si>
    <t>Enter the energy in the combusted associated gas on row 44 of the table for production class 4 in baseline year 2.</t>
  </si>
  <si>
    <t>Enter the energy in the combusted associated gas on row 45 of the table for production class 4 in baseline year 2.</t>
  </si>
  <si>
    <t>Enter the energy in the combusted associated gas on row 46 of the table for production class 4 in baseline year 2.</t>
  </si>
  <si>
    <t>Enter the energy in the combusted associated gas on row 47 of the table for production class 4 in baseline year 2.</t>
  </si>
  <si>
    <t>Enter the energy in the combusted associated gas on row 48 of the table for production class 4 in baseline year 2.</t>
  </si>
  <si>
    <t>Enter the energy in the combusted associated gas on row 49 of the table for production class 4 in baseline year 2.</t>
  </si>
  <si>
    <t>Enter the energy in the combusted associated gas on row 50 of the table for production class 4 in baseline year 2.</t>
  </si>
  <si>
    <t>Enter the total energy in all combusted fuel on row 1 of the table for production class 4 in baseline year 2.</t>
  </si>
  <si>
    <t>Enter the total energy in all combusted fuel on row 2 of the table for production class 4 in baseline year 2.</t>
  </si>
  <si>
    <t>Enter the total energy in all combusted fuel on row 3 of the table for production class 4 in baseline year 2.</t>
  </si>
  <si>
    <t>Enter the total energy in all combusted fuel on row 4 of the table for production class 4 in baseline year 2.</t>
  </si>
  <si>
    <t>Enter the total energy in all combusted fuel on row 5 of the table for production class 4 in baseline year 2.</t>
  </si>
  <si>
    <t>Enter the total energy in all combusted fuel on row 6 of the table for production class 4 in baseline year 2.</t>
  </si>
  <si>
    <t>Enter the total energy in all combusted fuel on row 7 of the table for production class 4 in baseline year 2.</t>
  </si>
  <si>
    <t>Enter the total energy in all combusted fuel on row 8 of the table for production class 4 in baseline year 2.</t>
  </si>
  <si>
    <t>Enter the total energy in all combusted fuel on row 9 of the table for production class 4 in baseline year 2.</t>
  </si>
  <si>
    <t>Enter the total energy in all combusted fuel on row 10 of the table for production class 4 in baseline year 2.</t>
  </si>
  <si>
    <t>Enter the total energy in all combusted fuel on row 11 of the table for production class 4 in baseline year 2.</t>
  </si>
  <si>
    <t>Enter the total energy in all combusted fuel on row 12 of the table for production class 4 in baseline year 2.</t>
  </si>
  <si>
    <t>Enter the total energy in all combusted fuel on row 13 of the table for production class 4 in baseline year 2.</t>
  </si>
  <si>
    <t>Enter the total energy in all combusted fuel on row 14 of the table for production class 4 in baseline year 2.</t>
  </si>
  <si>
    <t>Enter the total energy in all combusted fuel on row 15 of the table for production class 4 in baseline year 2.</t>
  </si>
  <si>
    <t>Enter the total energy in all combusted fuel on row 16 of the table for production class 4 in baseline year 2.</t>
  </si>
  <si>
    <t>Enter the total energy in all combusted fuel on row 17 of the table for production class 4 in baseline year 2.</t>
  </si>
  <si>
    <t>Enter the total energy in all combusted fuel on row 18 of the table for production class 4 in baseline year 2.</t>
  </si>
  <si>
    <t>Enter the total energy in all combusted fuel on row 19 of the table for production class 4 in baseline year 2.</t>
  </si>
  <si>
    <t>Enter the total energy in all combusted fuel on row 20 of the table for production class 4 in baseline year 2.</t>
  </si>
  <si>
    <t>Enter the total energy in all combusted fuel on row 21 of the table for production class 4 in baseline year 2.</t>
  </si>
  <si>
    <t>Enter the total energy in all combusted fuel on row 22 of the table for production class 4 in baseline year 2.</t>
  </si>
  <si>
    <t>Enter the total energy in all combusted fuel on row 23 of the table for production class 4 in baseline year 2.</t>
  </si>
  <si>
    <t>Enter the total energy in all combusted fuel on row 24 of the table for production class 4 in baseline year 2.</t>
  </si>
  <si>
    <t>Enter the total energy in all combusted fuel on row 25 of the table for production class 4 in baseline year 2.</t>
  </si>
  <si>
    <t>Enter the total energy in all combusted fuel on row 26 of the table for production class 4 in baseline year 2.</t>
  </si>
  <si>
    <t>Enter the total energy in all combusted fuel on row 27 of the table for production class 4 in baseline year 2.</t>
  </si>
  <si>
    <t>Enter the total energy in all combusted fuel on row 28 of the table for production class 4 in baseline year 2.</t>
  </si>
  <si>
    <t>Enter the total energy in all combusted fuel on row 29 of the table for production class 4 in baseline year 2.</t>
  </si>
  <si>
    <t>Enter the total energy in all combusted fuel on row 30 of the table for production class 4 in baseline year 2.</t>
  </si>
  <si>
    <t>Enter the total energy in all combusted fuel on row 31 of the table for production class 4 in baseline year 2.</t>
  </si>
  <si>
    <t>Enter the total energy in all combusted fuel on row 32 of the table for production class 4 in baseline year 2.</t>
  </si>
  <si>
    <t>Enter the total energy in all combusted fuel on row 33 of the table for production class 4 in baseline year 2.</t>
  </si>
  <si>
    <t>Enter the total energy in all combusted fuel on row 34 of the table for production class 4 in baseline year 2.</t>
  </si>
  <si>
    <t>Enter the total energy in all combusted fuel on row 35 of the table for production class 4 in baseline year 2.</t>
  </si>
  <si>
    <t>Enter the total energy in all combusted fuel on row 36 of the table for production class 4 in baseline year 2.</t>
  </si>
  <si>
    <t>Enter the total energy in all combusted fuel on row 37 of the table for production class 4 in baseline year 2.</t>
  </si>
  <si>
    <t>Enter the total energy in all combusted fuel on row 38 of the table for production class 4 in baseline year 2.</t>
  </si>
  <si>
    <t>Enter the total energy in all combusted fuel on row 39 of the table for production class 4 in baseline year 2.</t>
  </si>
  <si>
    <t>Enter the total energy in all combusted fuel on row 40 of the table for production class 4 in baseline year 2.</t>
  </si>
  <si>
    <t>Enter the total energy in all combusted fuel on row 41 of the table for production class 4 in baseline year 2.</t>
  </si>
  <si>
    <t>Enter the total energy in all combusted fuel on row 42 of the table for production class 4 in baseline year 2.</t>
  </si>
  <si>
    <t>Enter the total energy in all combusted fuel on row 43 of the table for production class 4 in baseline year 2.</t>
  </si>
  <si>
    <t>Enter the total energy in all combusted fuel on row 44 of the table for production class 4 in baseline year 2.</t>
  </si>
  <si>
    <t>Enter the total energy in all combusted fuel on row 45 of the table for production class 4 in baseline year 2.</t>
  </si>
  <si>
    <t>Enter the total energy in all combusted fuel on row 46 of the table for production class 4 in baseline year 2.</t>
  </si>
  <si>
    <t>Enter the total energy in all combusted fuel on row 47 of the table for production class 4 in baseline year 2.</t>
  </si>
  <si>
    <t>Enter the total energy in all combusted fuel on row 48 of the table for production class 4 in baseline year 2.</t>
  </si>
  <si>
    <t>Enter the total energy in all combusted fuel on row 49 of the table for production class 4 in baseline year 2.</t>
  </si>
  <si>
    <t>Enter the total energy in all combusted fuel on row 50 of the table for production class 4 in baseline year 2.</t>
  </si>
  <si>
    <t>Enter the total electricity generation from all combusted fuel on row 1 of the table for production class 4 in baseline year 2.</t>
  </si>
  <si>
    <t>Enter the total electricity generation from all combusted fuel on row 2 of the table for production class 4 in baseline year 2.</t>
  </si>
  <si>
    <t>Enter the total electricity generation from all combusted fuel on row 3 of the table for production class 4 in baseline year 2.</t>
  </si>
  <si>
    <t>Enter the total electricity generation from all combusted fuel on row 4 of the table for production class 4 in baseline year 2.</t>
  </si>
  <si>
    <t>Enter the total electricity generation from all combusted fuel on row 5 of the table for production class 4 in baseline year 2.</t>
  </si>
  <si>
    <t>Enter the total electricity generation from all combusted fuel on row 6 of the table for production class 4 in baseline year 2.</t>
  </si>
  <si>
    <t>Enter the total electricity generation from all combusted fuel on row 7 of the table for production class 4 in baseline year 2.</t>
  </si>
  <si>
    <t>Enter the total electricity generation from all combusted fuel on row 8 of the table for production class 4 in baseline year 2.</t>
  </si>
  <si>
    <t>Enter the total electricity generation from all combusted fuel on row 9 of the table for production class 4 in baseline year 2.</t>
  </si>
  <si>
    <t>Enter the total electricity generation from all combusted fuel on row 10 of the table for production class 4 in baseline year 2.</t>
  </si>
  <si>
    <t>Enter the total electricity generation from all combusted fuel on row 11 of the table for production class 4 in baseline year 2.</t>
  </si>
  <si>
    <t>Enter the total electricity generation from all combusted fuel on row 12 of the table for production class 4 in baseline year 2.</t>
  </si>
  <si>
    <t>Enter the total electricity generation from all combusted fuel on row 13 of the table for production class 4 in baseline year 2.</t>
  </si>
  <si>
    <t>Enter the total electricity generation from all combusted fuel on row 14 of the table for production class 4 in baseline year 2.</t>
  </si>
  <si>
    <t>Enter the total electricity generation from all combusted fuel on row 15 of the table for production class 4 in baseline year 2.</t>
  </si>
  <si>
    <t>Enter the total electricity generation from all combusted fuel on row 16 of the table for production class 4 in baseline year 2.</t>
  </si>
  <si>
    <t>Enter the total electricity generation from all combusted fuel on row 17 of the table for production class 4 in baseline year 2.</t>
  </si>
  <si>
    <t>Enter the total electricity generation from all combusted fuel on row 18 of the table for production class 4 in baseline year 2.</t>
  </si>
  <si>
    <t>Enter the total electricity generation from all combusted fuel on row 19 of the table for production class 4 in baseline year 2.</t>
  </si>
  <si>
    <t>Enter the total electricity generation from all combusted fuel on row 20 of the table for production class 4 in baseline year 2.</t>
  </si>
  <si>
    <t>Enter the total electricity generation from all combusted fuel on row 21 of the table for production class 4 in baseline year 2.</t>
  </si>
  <si>
    <t>Enter the total electricity generation from all combusted fuel on row 22 of the table for production class 4 in baseline year 2.</t>
  </si>
  <si>
    <t>Enter the total electricity generation from all combusted fuel on row 23 of the table for production class 4 in baseline year 2.</t>
  </si>
  <si>
    <t>Enter the total electricity generation from all combusted fuel on row 24 of the table for production class 4 in baseline year 2.</t>
  </si>
  <si>
    <t>Enter the total electricity generation from all combusted fuel on row 25 of the table for production class 4 in baseline year 2.</t>
  </si>
  <si>
    <t>Enter the total electricity generation from all combusted fuel on row 26 of the table for production class 4 in baseline year 2.</t>
  </si>
  <si>
    <t>Enter the total electricity generation from all combusted fuel on row 27 of the table for production class 4 in baseline year 2.</t>
  </si>
  <si>
    <t>Enter the total electricity generation from all combusted fuel on row 28 of the table for production class 4 in baseline year 2.</t>
  </si>
  <si>
    <t>Enter the total electricity generation from all combusted fuel on row 29 of the table for production class 4 in baseline year 2.</t>
  </si>
  <si>
    <t>Enter the total electricity generation from all combusted fuel on row 30 of the table for production class 4 in baseline year 2.</t>
  </si>
  <si>
    <t>Enter the total electricity generation from all combusted fuel on row 31 of the table for production class 4 in baseline year 2.</t>
  </si>
  <si>
    <t>Enter the total electricity generation from all combusted fuel on row 32 of the table for production class 4 in baseline year 2.</t>
  </si>
  <si>
    <t>Enter the total electricity generation from all combusted fuel on row 33 of the table for production class 4 in baseline year 2.</t>
  </si>
  <si>
    <t>Enter the total electricity generation from all combusted fuel on row 34 of the table for production class 4 in baseline year 2.</t>
  </si>
  <si>
    <t>Enter the total electricity generation from all combusted fuel on row 35 of the table for production class 4 in baseline year 2.</t>
  </si>
  <si>
    <t>Enter the total electricity generation from all combusted fuel on row 36 of the table for production class 4 in baseline year 2.</t>
  </si>
  <si>
    <t>Enter the total electricity generation from all combusted fuel on row 37 of the table for production class 4 in baseline year 2.</t>
  </si>
  <si>
    <t>Enter the total electricity generation from all combusted fuel on row 38 of the table for production class 4 in baseline year 2.</t>
  </si>
  <si>
    <t>Enter the total electricity generation from all combusted fuel on row 39 of the table for production class 4 in baseline year 2.</t>
  </si>
  <si>
    <t>Enter the total electricity generation from all combusted fuel on row 40 of the table for production class 4 in baseline year 2.</t>
  </si>
  <si>
    <t>Enter the total electricity generation from all combusted fuel on row 41 of the table for production class 4 in baseline year 2.</t>
  </si>
  <si>
    <t>Enter the total electricity generation from all combusted fuel on row 42 of the table for production class 4 in baseline year 2.</t>
  </si>
  <si>
    <t>Enter the total electricity generation from all combusted fuel on row 43 of the table for production class 4 in baseline year 2.</t>
  </si>
  <si>
    <t>Enter the total electricity generation from all combusted fuel on row 44 of the table for production class 4 in baseline year 2.</t>
  </si>
  <si>
    <t>Enter the total electricity generation from all combusted fuel on row 45 of the table for production class 4 in baseline year 2.</t>
  </si>
  <si>
    <t>Enter the total electricity generation from all combusted fuel on row 46 of the table for production class 4 in baseline year 2.</t>
  </si>
  <si>
    <t>Enter the total electricity generation from all combusted fuel on row 47 of the table for production class 4 in baseline year 2.</t>
  </si>
  <si>
    <t>Enter the total electricity generation from all combusted fuel on row 48 of the table for production class 4 in baseline year 2.</t>
  </si>
  <si>
    <t>Enter the total electricity generation from all combusted fuel on row 49 of the table for production class 4 in baseline year 2.</t>
  </si>
  <si>
    <t>Enter the total electricity generation from all combusted fuel on row 50 of the table for production class 4 in baseline year 2.</t>
  </si>
  <si>
    <t>Enter the volume of associated gas on row 1 of the table for production class 4 in baseline year 2.</t>
  </si>
  <si>
    <t>Enter the volume of associated gas on row 2 of the table for production class 4 in baseline year 2.</t>
  </si>
  <si>
    <t>Enter the volume of associated gas on row 3 of the table for production class 4 in baseline year 2.</t>
  </si>
  <si>
    <t>Enter the volume of associated gas on row 4 of the table for production class 4 in baseline year 2.</t>
  </si>
  <si>
    <t>Enter the volume of associated gas on row 5 of the table for production class 4 in baseline year 2.</t>
  </si>
  <si>
    <t>Enter the volume of associated gas on row 6 of the table for production class 4 in baseline year 2.</t>
  </si>
  <si>
    <t>Enter the volume of associated gas on row 7 of the table for production class 4 in baseline year 2.</t>
  </si>
  <si>
    <t>Enter the volume of associated gas on row 8 of the table for production class 4 in baseline year 2.</t>
  </si>
  <si>
    <t>Enter the volume of associated gas on row 9 of the table for production class 4 in baseline year 2.</t>
  </si>
  <si>
    <t>Enter the volume of associated gas on row 10 of the table for production class 4 in baseline year 2.</t>
  </si>
  <si>
    <t>Enter the volume of associated gas on row 11 of the table for production class 4 in baseline year 2.</t>
  </si>
  <si>
    <t>Enter the volume of associated gas on row 12 of the table for production class 4 in baseline year 2.</t>
  </si>
  <si>
    <t>Enter the volume of associated gas on row 13 of the table for production class 4 in baseline year 2.</t>
  </si>
  <si>
    <t>Enter the volume of associated gas on row 14 of the table for production class 4 in baseline year 2.</t>
  </si>
  <si>
    <t>Enter the volume of associated gas on row 15 of the table for production class 4 in baseline year 2.</t>
  </si>
  <si>
    <t>Enter the volume of associated gas on row 16 of the table for production class 4 in baseline year 2.</t>
  </si>
  <si>
    <t>Enter the volume of associated gas on row 17 of the table for production class 4 in baseline year 2.</t>
  </si>
  <si>
    <t>Enter the volume of associated gas on row 18 of the table for production class 4 in baseline year 2.</t>
  </si>
  <si>
    <t>Enter the volume of associated gas on row 19 of the table for production class 4 in baseline year 2.</t>
  </si>
  <si>
    <t>Enter the volume of associated gas on row 20 of the table for production class 4 in baseline year 2.</t>
  </si>
  <si>
    <t>Enter the volume of associated gas on row 21 of the table for production class 4 in baseline year 2.</t>
  </si>
  <si>
    <t>Enter the volume of associated gas on row 22 of the table for production class 4 in baseline year 2.</t>
  </si>
  <si>
    <t>Enter the volume of associated gas on row 23 of the table for production class 4 in baseline year 2.</t>
  </si>
  <si>
    <t>Enter the volume of associated gas on row 24 of the table for production class 4 in baseline year 2.</t>
  </si>
  <si>
    <t>Enter the volume of associated gas on row 25 of the table for production class 4 in baseline year 2.</t>
  </si>
  <si>
    <t>Enter the volume of associated gas on row 26 of the table for production class 4 in baseline year 2.</t>
  </si>
  <si>
    <t>Enter the volume of associated gas on row 27 of the table for production class 4 in baseline year 2.</t>
  </si>
  <si>
    <t>Enter the volume of associated gas on row 28 of the table for production class 4 in baseline year 2.</t>
  </si>
  <si>
    <t>Enter the volume of associated gas on row 29 of the table for production class 4 in baseline year 2.</t>
  </si>
  <si>
    <t>Enter the volume of associated gas on row 30 of the table for production class 4 in baseline year 2.</t>
  </si>
  <si>
    <t>Enter the volume of associated gas on row 31 of the table for production class 4 in baseline year 2.</t>
  </si>
  <si>
    <t>Enter the volume of associated gas on row 32 of the table for production class 4 in baseline year 2.</t>
  </si>
  <si>
    <t>Enter the volume of associated gas on row 33 of the table for production class 4 in baseline year 2.</t>
  </si>
  <si>
    <t>Enter the volume of associated gas on row 34 of the table for production class 4 in baseline year 2.</t>
  </si>
  <si>
    <t>Enter the volume of associated gas on row 35 of the table for production class 4 in baseline year 2.</t>
  </si>
  <si>
    <t>Enter the volume of associated gas on row 36 of the table for production class 4 in baseline year 2.</t>
  </si>
  <si>
    <t>Enter the volume of associated gas on row 37 of the table for production class 4 in baseline year 2.</t>
  </si>
  <si>
    <t>Enter the volume of associated gas on row 38 of the table for production class 4 in baseline year 2.</t>
  </si>
  <si>
    <t>Enter the volume of associated gas on row 39 of the table for production class 4 in baseline year 2.</t>
  </si>
  <si>
    <t>Enter the volume of associated gas on row 40 of the table for production class 4 in baseline year 2.</t>
  </si>
  <si>
    <t>Enter the volume of associated gas on row 41 of the table for production class 4 in baseline year 2.</t>
  </si>
  <si>
    <t>Enter the volume of associated gas on row 42 of the table for production class 4 in baseline year 2.</t>
  </si>
  <si>
    <t>Enter the volume of associated gas on row 43 of the table for production class 4 in baseline year 2.</t>
  </si>
  <si>
    <t>Enter the volume of associated gas on row 44 of the table for production class 4 in baseline year 2.</t>
  </si>
  <si>
    <t>Enter the volume of associated gas on row 45 of the table for production class 4 in baseline year 2.</t>
  </si>
  <si>
    <t>Enter the volume of associated gas on row 46 of the table for production class 4 in baseline year 2.</t>
  </si>
  <si>
    <t>Enter the volume of associated gas on row 47 of the table for production class 4 in baseline year 2.</t>
  </si>
  <si>
    <t>Enter the volume of associated gas on row 48 of the table for production class 4 in baseline year 2.</t>
  </si>
  <si>
    <t>Enter the volume of associated gas on row 49 of the table for production class 4 in baseline year 2.</t>
  </si>
  <si>
    <t>Enter the volume of associated gas on row 50 of the table for production class 4 in baseline year 2.</t>
  </si>
  <si>
    <t>Enter the carbon dioxide emissions from associated gas on row 1 of the table for production class 4 in baseline year 2.</t>
  </si>
  <si>
    <t>Enter the carbon dioxide emissions from associated gas on row 2 of the table for production class 4 in baseline year 2.</t>
  </si>
  <si>
    <t>Enter the carbon dioxide emissions from associated gas on row 3 of the table for production class 4 in baseline year 2.</t>
  </si>
  <si>
    <t>Enter the carbon dioxide emissions from associated gas on row 4 of the table for production class 4 in baseline year 2.</t>
  </si>
  <si>
    <t>Enter the carbon dioxide emissions from associated gas on row 5 of the table for production class 4 in baseline year 2.</t>
  </si>
  <si>
    <t>Enter the carbon dioxide emissions from associated gas on row 6 of the table for production class 4 in baseline year 2.</t>
  </si>
  <si>
    <t>Enter the carbon dioxide emissions from associated gas on row 7 of the table for production class 4 in baseline year 2.</t>
  </si>
  <si>
    <t>Enter the carbon dioxide emissions from associated gas on row 8 of the table for production class 4 in baseline year 2.</t>
  </si>
  <si>
    <t>Enter the carbon dioxide emissions from associated gas on row 9 of the table for production class 4 in baseline year 2.</t>
  </si>
  <si>
    <t>Enter the carbon dioxide emissions from associated gas on row 10 of the table for production class 4 in baseline year 2.</t>
  </si>
  <si>
    <t>Enter the carbon dioxide emissions from associated gas on row 11 of the table for production class 4 in baseline year 2.</t>
  </si>
  <si>
    <t>Enter the carbon dioxide emissions from associated gas on row 12 of the table for production class 4 in baseline year 2.</t>
  </si>
  <si>
    <t>Enter the carbon dioxide emissions from associated gas on row 13 of the table for production class 4 in baseline year 2.</t>
  </si>
  <si>
    <t>Enter the carbon dioxide emissions from associated gas on row 14 of the table for production class 4 in baseline year 2.</t>
  </si>
  <si>
    <t>Enter the carbon dioxide emissions from associated gas on row 15 of the table for production class 4 in baseline year 2.</t>
  </si>
  <si>
    <t>Enter the carbon dioxide emissions from associated gas on row 16 of the table for production class 4 in baseline year 2.</t>
  </si>
  <si>
    <t>Enter the carbon dioxide emissions from associated gas on row 17 of the table for production class 4 in baseline year 2.</t>
  </si>
  <si>
    <t>Enter the carbon dioxide emissions from associated gas on row 18 of the table for production class 4 in baseline year 2.</t>
  </si>
  <si>
    <t>Enter the carbon dioxide emissions from associated gas on row 19 of the table for production class 4 in baseline year 2.</t>
  </si>
  <si>
    <t>Enter the carbon dioxide emissions from associated gas on row 20 of the table for production class 4 in baseline year 2.</t>
  </si>
  <si>
    <t>Enter the carbon dioxide emissions from associated gas on row 21 of the table for production class 4 in baseline year 2.</t>
  </si>
  <si>
    <t>Enter the carbon dioxide emissions from associated gas on row 22 of the table for production class 4 in baseline year 2.</t>
  </si>
  <si>
    <t>Enter the carbon dioxide emissions from associated gas on row 23 of the table for production class 4 in baseline year 2.</t>
  </si>
  <si>
    <t>Enter the carbon dioxide emissions from associated gas on row 24 of the table for production class 4 in baseline year 2.</t>
  </si>
  <si>
    <t>Enter the carbon dioxide emissions from associated gas on row 25 of the table for production class 4 in baseline year 2.</t>
  </si>
  <si>
    <t>Enter the carbon dioxide emissions from associated gas on row 26 of the table for production class 4 in baseline year 2.</t>
  </si>
  <si>
    <t>Enter the carbon dioxide emissions from associated gas on row 27 of the table for production class 4 in baseline year 2.</t>
  </si>
  <si>
    <t>Enter the carbon dioxide emissions from associated gas on row 28 of the table for production class 4 in baseline year 2.</t>
  </si>
  <si>
    <t>Enter the carbon dioxide emissions from associated gas on row 29 of the table for production class 4 in baseline year 2.</t>
  </si>
  <si>
    <t>Enter the carbon dioxide emissions from associated gas on row 30 of the table for production class 4 in baseline year 2.</t>
  </si>
  <si>
    <t>Enter the carbon dioxide emissions from associated gas on row 31 of the table for production class 4 in baseline year 2.</t>
  </si>
  <si>
    <t>Enter the carbon dioxide emissions from associated gas on row 32 of the table for production class 4 in baseline year 2.</t>
  </si>
  <si>
    <t>Enter the carbon dioxide emissions from associated gas on row 33 of the table for production class 4 in baseline year 2.</t>
  </si>
  <si>
    <t>Enter the carbon dioxide emissions from associated gas on row 34 of the table for production class 4 in baseline year 2.</t>
  </si>
  <si>
    <t>Enter the carbon dioxide emissions from associated gas on row 35 of the table for production class 4 in baseline year 2.</t>
  </si>
  <si>
    <t>Enter the carbon dioxide emissions from associated gas on row 36 of the table for production class 4 in baseline year 2.</t>
  </si>
  <si>
    <t>Enter the carbon dioxide emissions from associated gas on row 37 of the table for production class 4 in baseline year 2.</t>
  </si>
  <si>
    <t>Enter the carbon dioxide emissions from associated gas on row 38 of the table for production class 4 in baseline year 2.</t>
  </si>
  <si>
    <t>Enter the carbon dioxide emissions from associated gas on row 39 of the table for production class 4 in baseline year 2.</t>
  </si>
  <si>
    <t>Enter the carbon dioxide emissions from associated gas on row 40 of the table for production class 4 in baseline year 2.</t>
  </si>
  <si>
    <t>Enter the carbon dioxide emissions from associated gas on row 41 of the table for production class 4 in baseline year 2.</t>
  </si>
  <si>
    <t>Enter the carbon dioxide emissions from associated gas on row 42 of the table for production class 4 in baseline year 2.</t>
  </si>
  <si>
    <t>Enter the carbon dioxide emissions from associated gas on row 43 of the table for production class 4 in baseline year 2.</t>
  </si>
  <si>
    <t>Enter the carbon dioxide emissions from associated gas on row 44 of the table for production class 4 in baseline year 2.</t>
  </si>
  <si>
    <t>Enter the carbon dioxide emissions from associated gas on row 45 of the table for production class 4 in baseline year 2.</t>
  </si>
  <si>
    <t>Enter the carbon dioxide emissions from associated gas on row 46 of the table for production class 4 in baseline year 2.</t>
  </si>
  <si>
    <t>Enter the carbon dioxide emissions from associated gas on row 47 of the table for production class 4 in baseline year 2.</t>
  </si>
  <si>
    <t>Enter the carbon dioxide emissions from associated gas on row 48 of the table for production class 4 in baseline year 2.</t>
  </si>
  <si>
    <t>Enter the carbon dioxide emissions from associated gas on row 49 of the table for production class 4 in baseline year 2.</t>
  </si>
  <si>
    <t>Enter the carbon dioxide emissions from associated gas on row 50 of the table for production class 4 in baseline year 2.</t>
  </si>
  <si>
    <t>Enter the methane emissions from associated gas on row 1 of the table for production class 4 in baseline year 2.</t>
  </si>
  <si>
    <t>Enter the methane emissions from associated gas on row 2 of the table for production class 4 in baseline year 2.</t>
  </si>
  <si>
    <t>Enter the methane emissions from associated gas on row 3 of the table for production class 4 in baseline year 2.</t>
  </si>
  <si>
    <t>Enter the methane emissions from associated gas on row 4 of the table for production class 4 in baseline year 2.</t>
  </si>
  <si>
    <t>Enter the methane emissions from associated gas on row 5 of the table for production class 4 in baseline year 2.</t>
  </si>
  <si>
    <t>Enter the methane emissions from associated gas on row 6 of the table for production class 4 in baseline year 2.</t>
  </si>
  <si>
    <t>Enter the methane emissions from associated gas on row 7 of the table for production class 4 in baseline year 2.</t>
  </si>
  <si>
    <t>Enter the methane emissions from associated gas on row 8 of the table for production class 4 in baseline year 2.</t>
  </si>
  <si>
    <t>Enter the methane emissions from associated gas on row 9 of the table for production class 4 in baseline year 2.</t>
  </si>
  <si>
    <t>Enter the methane emissions from associated gas on row 10 of the table for production class 4 in baseline year 2.</t>
  </si>
  <si>
    <t>Enter the methane emissions from associated gas on row 11 of the table for production class 4 in baseline year 2.</t>
  </si>
  <si>
    <t>Enter the methane emissions from associated gas on row 12 of the table for production class 4 in baseline year 2.</t>
  </si>
  <si>
    <t>Enter the methane emissions from associated gas on row 13 of the table for production class 4 in baseline year 2.</t>
  </si>
  <si>
    <t>Enter the methane emissions from associated gas on row 14 of the table for production class 4 in baseline year 2.</t>
  </si>
  <si>
    <t>Enter the methane emissions from associated gas on row 15 of the table for production class 4 in baseline year 2.</t>
  </si>
  <si>
    <t>Enter the methane emissions from associated gas on row 16 of the table for production class 4 in baseline year 2.</t>
  </si>
  <si>
    <t>Enter the methane emissions from associated gas on row 17 of the table for production class 4 in baseline year 2.</t>
  </si>
  <si>
    <t>Enter the methane emissions from associated gas on row 18 of the table for production class 4 in baseline year 2.</t>
  </si>
  <si>
    <t>Enter the methane emissions from associated gas on row 19 of the table for production class 4 in baseline year 2.</t>
  </si>
  <si>
    <t>Enter the methane emissions from associated gas on row 20 of the table for production class 4 in baseline year 2.</t>
  </si>
  <si>
    <t>Enter the methane emissions from associated gas on row 21 of the table for production class 4 in baseline year 2.</t>
  </si>
  <si>
    <t>Enter the methane emissions from associated gas on row 22 of the table for production class 4 in baseline year 2.</t>
  </si>
  <si>
    <t>Enter the methane emissions from associated gas on row 23 of the table for production class 4 in baseline year 2.</t>
  </si>
  <si>
    <t>Enter the methane emissions from associated gas on row 24 of the table for production class 4 in baseline year 2.</t>
  </si>
  <si>
    <t>Enter the methane emissions from associated gas on row 25 of the table for production class 4 in baseline year 2.</t>
  </si>
  <si>
    <t>Enter the methane emissions from associated gas on row 26 of the table for production class 4 in baseline year 2.</t>
  </si>
  <si>
    <t>Enter the methane emissions from associated gas on row 27 of the table for production class 4 in baseline year 2.</t>
  </si>
  <si>
    <t>Enter the methane emissions from associated gas on row 28 of the table for production class 4 in baseline year 2.</t>
  </si>
  <si>
    <t>Enter the methane emissions from associated gas on row 29 of the table for production class 4 in baseline year 2.</t>
  </si>
  <si>
    <t>Enter the methane emissions from associated gas on row 30 of the table for production class 4 in baseline year 2.</t>
  </si>
  <si>
    <t>Enter the methane emissions from associated gas on row 31 of the table for production class 4 in baseline year 2.</t>
  </si>
  <si>
    <t>Enter the methane emissions from associated gas on row 32 of the table for production class 4 in baseline year 2.</t>
  </si>
  <si>
    <t>Enter the methane emissions from associated gas on row 33 of the table for production class 4 in baseline year 2.</t>
  </si>
  <si>
    <t>Enter the methane emissions from associated gas on row 34 of the table for production class 4 in baseline year 2.</t>
  </si>
  <si>
    <t>Enter the methane emissions from associated gas on row 35 of the table for production class 4 in baseline year 2.</t>
  </si>
  <si>
    <t>Enter the methane emissions from associated gas on row 36 of the table for production class 4 in baseline year 2.</t>
  </si>
  <si>
    <t>Enter the methane emissions from associated gas on row 37 of the table for production class 4 in baseline year 2.</t>
  </si>
  <si>
    <t>Enter the methane emissions from associated gas on row 38 of the table for production class 4 in baseline year 2.</t>
  </si>
  <si>
    <t>Enter the methane emissions from associated gas on row 39 of the table for production class 4 in baseline year 2.</t>
  </si>
  <si>
    <t>Enter the methane emissions from associated gas on row 40 of the table for production class 4 in baseline year 2.</t>
  </si>
  <si>
    <t>Enter the methane emissions from associated gas on row 41 of the table for production class 4 in baseline year 2.</t>
  </si>
  <si>
    <t>Enter the methane emissions from associated gas on row 42 of the table for production class 4 in baseline year 2.</t>
  </si>
  <si>
    <t>Enter the methane emissions from associated gas on row 43 of the table for production class 4 in baseline year 2.</t>
  </si>
  <si>
    <t>Enter the methane emissions from associated gas on row 44 of the table for production class 4 in baseline year 2.</t>
  </si>
  <si>
    <t>Enter the methane emissions from associated gas on row 45 of the table for production class 4 in baseline year 2.</t>
  </si>
  <si>
    <t>Enter the methane emissions from associated gas on row 46 of the table for production class 4 in baseline year 2.</t>
  </si>
  <si>
    <t>Enter the methane emissions from associated gas on row 47 of the table for production class 4 in baseline year 2.</t>
  </si>
  <si>
    <t>Enter the methane emissions from associated gas on row 48 of the table for production class 4 in baseline year 2.</t>
  </si>
  <si>
    <t>Enter the methane emissions from associated gas on row 49 of the table for production class 4 in baseline year 2.</t>
  </si>
  <si>
    <t>Enter the methane emissions from associated gas on row 50 of the table for production class 4 in baseline year 2.</t>
  </si>
  <si>
    <t>Enter the nitrous oxide emissions from associated gas on row 1 of the table for production class 4 in baseline year 2.</t>
  </si>
  <si>
    <t>Enter the nitrous oxide emissions from associated gas on row 2 of the table for production class 4 in baseline year 2.</t>
  </si>
  <si>
    <t>Enter the nitrous oxide emissions from associated gas on row 3 of the table for production class 4 in baseline year 2.</t>
  </si>
  <si>
    <t>Enter the nitrous oxide emissions from associated gas on row 4 of the table for production class 4 in baseline year 2.</t>
  </si>
  <si>
    <t>Enter the nitrous oxide emissions from associated gas on row 5 of the table for production class 4 in baseline year 2.</t>
  </si>
  <si>
    <t>Enter the nitrous oxide emissions from associated gas on row 6 of the table for production class 4 in baseline year 2.</t>
  </si>
  <si>
    <t>Enter the nitrous oxide emissions from associated gas on row 7 of the table for production class 4 in baseline year 2.</t>
  </si>
  <si>
    <t>Enter the nitrous oxide emissions from associated gas on row 8 of the table for production class 4 in baseline year 2.</t>
  </si>
  <si>
    <t>Enter the nitrous oxide emissions from associated gas on row 9 of the table for production class 4 in baseline year 2.</t>
  </si>
  <si>
    <t>Enter the nitrous oxide emissions from associated gas on row 10 of the table for production class 4 in baseline year 2.</t>
  </si>
  <si>
    <t>Enter the nitrous oxide emissions from associated gas on row 11 of the table for production class 4 in baseline year 2.</t>
  </si>
  <si>
    <t>Enter the nitrous oxide emissions from associated gas on row 12 of the table for production class 4 in baseline year 2.</t>
  </si>
  <si>
    <t>Enter the nitrous oxide emissions from associated gas on row 13 of the table for production class 4 in baseline year 2.</t>
  </si>
  <si>
    <t>Enter the nitrous oxide emissions from associated gas on row 14 of the table for production class 4 in baseline year 2.</t>
  </si>
  <si>
    <t>Enter the nitrous oxide emissions from associated gas on row 15 of the table for production class 4 in baseline year 2.</t>
  </si>
  <si>
    <t>Enter the nitrous oxide emissions from associated gas on row 16 of the table for production class 4 in baseline year 2.</t>
  </si>
  <si>
    <t>Enter the nitrous oxide emissions from associated gas on row 17 of the table for production class 4 in baseline year 2.</t>
  </si>
  <si>
    <t>Enter the nitrous oxide emissions from associated gas on row 18 of the table for production class 4 in baseline year 2.</t>
  </si>
  <si>
    <t>Enter the nitrous oxide emissions from associated gas on row 19 of the table for production class 4 in baseline year 2.</t>
  </si>
  <si>
    <t>Enter the nitrous oxide emissions from associated gas on row 20 of the table for production class 4 in baseline year 2.</t>
  </si>
  <si>
    <t>Enter the nitrous oxide emissions from associated gas on row 21 of the table for production class 4 in baseline year 2.</t>
  </si>
  <si>
    <t>Enter the nitrous oxide emissions from associated gas on row 22 of the table for production class 4 in baseline year 2.</t>
  </si>
  <si>
    <t>Enter the nitrous oxide emissions from associated gas on row 23 of the table for production class 4 in baseline year 2.</t>
  </si>
  <si>
    <t>Enter the nitrous oxide emissions from associated gas on row 24 of the table for production class 4 in baseline year 2.</t>
  </si>
  <si>
    <t>Enter the nitrous oxide emissions from associated gas on row 25 of the table for production class 4 in baseline year 2.</t>
  </si>
  <si>
    <t>Enter the nitrous oxide emissions from associated gas on row 26 of the table for production class 4 in baseline year 2.</t>
  </si>
  <si>
    <t>Enter the nitrous oxide emissions from associated gas on row 27 of the table for production class 4 in baseline year 2.</t>
  </si>
  <si>
    <t>Enter the nitrous oxide emissions from associated gas on row 28 of the table for production class 4 in baseline year 2.</t>
  </si>
  <si>
    <t>Enter the nitrous oxide emissions from associated gas on row 29 of the table for production class 4 in baseline year 2.</t>
  </si>
  <si>
    <t>Enter the nitrous oxide emissions from associated gas on row 30 of the table for production class 4 in baseline year 2.</t>
  </si>
  <si>
    <t>Enter the nitrous oxide emissions from associated gas on row 31 of the table for production class 4 in baseline year 2.</t>
  </si>
  <si>
    <t>Enter the nitrous oxide emissions from associated gas on row 32 of the table for production class 4 in baseline year 2.</t>
  </si>
  <si>
    <t>Enter the nitrous oxide emissions from associated gas on row 33 of the table for production class 4 in baseline year 2.</t>
  </si>
  <si>
    <t>Enter the nitrous oxide emissions from associated gas on row 34 of the table for production class 4 in baseline year 2.</t>
  </si>
  <si>
    <t>Enter the nitrous oxide emissions from associated gas on row 35 of the table for production class 4 in baseline year 2.</t>
  </si>
  <si>
    <t>Enter the nitrous oxide emissions from associated gas on row 36 of the table for production class 4 in baseline year 2.</t>
  </si>
  <si>
    <t>Enter the nitrous oxide emissions from associated gas on row 37 of the table for production class 4 in baseline year 2.</t>
  </si>
  <si>
    <t>Enter the nitrous oxide emissions from associated gas on row 38 of the table for production class 4 in baseline year 2.</t>
  </si>
  <si>
    <t>Enter the nitrous oxide emissions from associated gas on row 39 of the table for production class 4 in baseline year 2.</t>
  </si>
  <si>
    <t>Enter the nitrous oxide emissions from associated gas on row 40 of the table for production class 4 in baseline year 2.</t>
  </si>
  <si>
    <t>Enter the nitrous oxide emissions from associated gas on row 41 of the table for production class 4 in baseline year 2.</t>
  </si>
  <si>
    <t>Enter the nitrous oxide emissions from associated gas on row 42 of the table for production class 4 in baseline year 2.</t>
  </si>
  <si>
    <t>Enter the nitrous oxide emissions from associated gas on row 43 of the table for production class 4 in baseline year 2.</t>
  </si>
  <si>
    <t>Enter the nitrous oxide emissions from associated gas on row 44 of the table for production class 4 in baseline year 2.</t>
  </si>
  <si>
    <t>Enter the nitrous oxide emissions from associated gas on row 45 of the table for production class 4 in baseline year 2.</t>
  </si>
  <si>
    <t>Enter the nitrous oxide emissions from associated gas on row 46 of the table for production class 4 in baseline year 2.</t>
  </si>
  <si>
    <t>Enter the nitrous oxide emissions from associated gas on row 47 of the table for production class 4 in baseline year 2.</t>
  </si>
  <si>
    <t>Enter the nitrous oxide emissions from associated gas on row 48 of the table for production class 4 in baseline year 2.</t>
  </si>
  <si>
    <t>Enter the nitrous oxide emissions from associated gas on row 49 of the table for production class 4 in baseline year 2.</t>
  </si>
  <si>
    <t>Enter the nitrous oxide emissions from associated gas on row 50 of the table for production class 4 in baseline year 2.</t>
  </si>
  <si>
    <t>Enter the name of the authorized signing officer.</t>
  </si>
  <si>
    <t>Enter the date of signature.</t>
  </si>
  <si>
    <t>Enter the fuel gas volume for production class 1 in the stationary fuel combustion source category.</t>
  </si>
  <si>
    <t>Enter the butane volume for production class 1 in the stationary fuel combustion source category.</t>
  </si>
  <si>
    <t>Enter the diesel volume for production class 1 in the stationary fuel combustion source category.</t>
  </si>
  <si>
    <t>Enter the ethane volume for production class 1 in the stationary fuel combustion source category.</t>
  </si>
  <si>
    <t>Enter the gasoline volume for production class 1 in the stationary fuel combustion source category.</t>
  </si>
  <si>
    <t>Enter the propane volume for production class 1 in the stationary fuel combustion source category.</t>
  </si>
  <si>
    <t>Enter the carbon dioxide emissions for production class 1 in the stationary fuel combustion source category.</t>
  </si>
  <si>
    <t>Enter the methane emissions for production class 1 in the stationary fuel combustion source category.</t>
  </si>
  <si>
    <t>Enter the nitrous oxide emissions for production class 1 in the stationary fuel combustion source category.</t>
  </si>
  <si>
    <t>Enter the sulphur hexafluoride emissions for production class 1 in the industrial product use source category.</t>
  </si>
  <si>
    <t>Enter the perfluoromethane emissions for production class 1 in the industrial product use source category.</t>
  </si>
  <si>
    <t>Enter the perfluoroethane emissions for production class 1 in the industrial product use source category.</t>
  </si>
  <si>
    <t>Enter the perfluoropropane emissions for production class 1 in the industrial product use source category.</t>
  </si>
  <si>
    <t>Enter the perfluorobutane emissions for production class 1 in the industrial product use source category.</t>
  </si>
  <si>
    <t>Enter the perfluorocyclobutane emissions for production class 1 in the industrial product use source category.</t>
  </si>
  <si>
    <t>Enter the perfluoropentane emissions for production class 1 in the industrial product use source category.</t>
  </si>
  <si>
    <t>Enter the perfluorohexane emissions for production class 1 in the industrial product use source category.</t>
  </si>
  <si>
    <t>Enter the HFC-23 emissions for production class 1 in the industrial product use source category.</t>
  </si>
  <si>
    <t>Enter the HFC-32 emissions for production class 1 in the industrial product use source category.</t>
  </si>
  <si>
    <t>Enter the HFC-41 emissions for production class 1 in the industrial product use source category.</t>
  </si>
  <si>
    <t>Enter the HFC-43-10mee emissions for production class 1 in the industrial product use source category.</t>
  </si>
  <si>
    <t>Enter the HFC-125 emissions for production class 1 in the industrial product use source category.</t>
  </si>
  <si>
    <t>Enter the HFC-134 emissions for production class 1 in the industrial product use source category.</t>
  </si>
  <si>
    <t>Enter the HFC-134a emissions for production class 1 in the industrial product use source category.</t>
  </si>
  <si>
    <t>Enter the HFC-143 emissions for production class 1 in the industrial product use source category.</t>
  </si>
  <si>
    <t>Enter the HFC-143a emissions for production class 1 in the industrial product use source category.</t>
  </si>
  <si>
    <t>Enter the HFC-152a emissions for production class 1 in the industrial product use source category.</t>
  </si>
  <si>
    <t>Enter the HFC-227ea emissions for production class 1 in the industrial product use source category.</t>
  </si>
  <si>
    <t>Enter the HFC-236fa emissions for production class 1 in the industrial product use source category.</t>
  </si>
  <si>
    <t>Enter the HFC-245ca emissions for production class 1 in the industrial product use source category.</t>
  </si>
  <si>
    <t>Enter the flare gas volume to flaring or incinerator sources with conversion efficiency of greater than or equal to 99% for production class 1 in the flaring source category.</t>
  </si>
  <si>
    <t>Enter the flare gas volume to flaring or incinerator sources with conversion efficiency of less than 99% for production class 1 in the flaring source category.</t>
  </si>
  <si>
    <t>Enter the carbon dioxide emissions for production class 1 in the flaring source category.</t>
  </si>
  <si>
    <t>Enter the methane emissions for production class 1 in the flaring source category.</t>
  </si>
  <si>
    <t>Enter the nitrous oxide emissions for production class 1 in the flaring source category.</t>
  </si>
  <si>
    <t>Enter the carbon dioxide emissions for production class 1 in the on-site transportation source category.</t>
  </si>
  <si>
    <t>Enter the methane emissions for production class 1 in the on-site transportation source category.</t>
  </si>
  <si>
    <t>Enter the nitrous oxide emissions for production class 1 in the on-site transportation source category.</t>
  </si>
  <si>
    <t>Enter the fuel gas volume for production class 2a in the stationary fuel combustion source category.</t>
  </si>
  <si>
    <t>Enter the butane volume for production class 2a in the stationary fuel combustion source category.</t>
  </si>
  <si>
    <t>Enter the diesel volume for production class 2a in the stationary fuel combustion source category.</t>
  </si>
  <si>
    <t>Enter the ethane volume for production class 2a in the stationary fuel combustion source category.</t>
  </si>
  <si>
    <t>Enter the gasoline volume for production class 2a in the stationary fuel combustion source category.</t>
  </si>
  <si>
    <t>Enter the propane volume for production class 2a in the stationary fuel combustion source category.</t>
  </si>
  <si>
    <t>Enter the carbon dioxide emissions for production class 2a in the stationary fuel combustion source category.</t>
  </si>
  <si>
    <t>Enter the methane emissions for production class 2a in the stationary fuel combustion source category.</t>
  </si>
  <si>
    <t>Enter the nitrous oxide emissions for production class 2a in the stationary fuel combustion source category.</t>
  </si>
  <si>
    <t>Enter the sulphur hexafluoride emissions for production class 2a in the industrial product use source category.</t>
  </si>
  <si>
    <t>Enter the perfluoromethane emissions for production class 2a in the industrial product use source category.</t>
  </si>
  <si>
    <t>Enter the perfluoroethane emissions for production class 2a in the industrial product use source category.</t>
  </si>
  <si>
    <t>Enter the perfluoropropane emissions for production class 2a in the industrial product use source category.</t>
  </si>
  <si>
    <t>Enter the perfluorobutane emissions for production class 2a in the industrial product use source category.</t>
  </si>
  <si>
    <t>Enter the perfluorocyclobutane emissions for production class 2a in the industrial product use source category.</t>
  </si>
  <si>
    <t>Enter the perfluoropentane emissions for production class 2a in the industrial product use source category.</t>
  </si>
  <si>
    <t>Enter the perfluorohexane emissions for production class 2a in the industrial product use source category.</t>
  </si>
  <si>
    <t>Enter the HFC-23 emissions for production class 2a in the industrial product use source category.</t>
  </si>
  <si>
    <t>Enter the HFC-32 emissions for production class 2a in the industrial product use source category.</t>
  </si>
  <si>
    <t>Enter the HFC-41 emissions for production class 2a in the industrial product use source category.</t>
  </si>
  <si>
    <t>Enter the HFC-43-10mee emissions for production class 2a in the industrial product use source category.</t>
  </si>
  <si>
    <t>Enter the HFC-125 emissions for production class 2a in the industrial product use source category.</t>
  </si>
  <si>
    <t>Enter the HFC-134 emissions for production class 2a in the industrial product use source category.</t>
  </si>
  <si>
    <t>Enter the HFC-134a emissions for production class 2a in the industrial product use source category.</t>
  </si>
  <si>
    <t>Enter the HFC-143 emissions for production class 2a in the industrial product use source category.</t>
  </si>
  <si>
    <t>Enter the HFC-143a emissions for production class 2a in the industrial product use source category.</t>
  </si>
  <si>
    <t>Enter the HFC-152a emissions for production class 2a in the industrial product use source category.</t>
  </si>
  <si>
    <t>Enter the HFC-227ea emissions for production class 2a in the industrial product use source category.</t>
  </si>
  <si>
    <t>Enter the HFC-236fa emissions for production class 2a in the industrial product use source category.</t>
  </si>
  <si>
    <t>Enter the HFC-245ca emissions for production class 2a in the industrial product use source category.</t>
  </si>
  <si>
    <t>Enter the flare gas volume to flaring or incinerator sources with conversion efficiency of greater than or equal to 99% for production class 2a in the flaring source category.</t>
  </si>
  <si>
    <t>Enter the flare gas volume to flaring or incinerator sources with conversion efficiency of less than 99% for production class 2a in the flaring source category.</t>
  </si>
  <si>
    <t>Enter the carbon dioxide emissions for production class 2a in the flaring source category.</t>
  </si>
  <si>
    <t>Enter the methane emissions for production class 2a in the flaring source category.</t>
  </si>
  <si>
    <t>Enter the nitrous oxide emissions for production class 2a in the flaring source category.</t>
  </si>
  <si>
    <t>Enter the carbon dioxide emissions for production class 2a in the on-site transportation source category.</t>
  </si>
  <si>
    <t>Enter the methane emissions for production class 2a in the on-site transportation source category.</t>
  </si>
  <si>
    <t>Enter the nitrous oxide emissions for production class 2a in the on-site transportation source category.</t>
  </si>
  <si>
    <t>Enter the fuel gas volume for production class 2b in the stationary fuel combustion source category.</t>
  </si>
  <si>
    <t>Enter the butane volume for production class 2b in the stationary fuel combustion source category.</t>
  </si>
  <si>
    <t>Enter the diesel volume for production class 2b in the stationary fuel combustion source category.</t>
  </si>
  <si>
    <t>Enter the ethane volume for production class 2b in the stationary fuel combustion source category.</t>
  </si>
  <si>
    <t>Enter the gasoline volume for production class 2b in the stationary fuel combustion source category.</t>
  </si>
  <si>
    <t>Enter the propane volume for production class 2b in the stationary fuel combustion source category.</t>
  </si>
  <si>
    <t>Enter the carbon dioxide emissions for production class 2b in the stationary fuel combustion source category.</t>
  </si>
  <si>
    <t>Enter the methane emissions for production class 2b in the stationary fuel combustion source category.</t>
  </si>
  <si>
    <t>Enter the nitrous oxide emissions for production class 2b in the stationary fuel combustion source category.</t>
  </si>
  <si>
    <t>Enter the sulphur hexafluoride emissions for production class 2b in the industrial product use source category.</t>
  </si>
  <si>
    <t>Enter the perfluoromethane emissions for production class 2b in the industrial product use source category.</t>
  </si>
  <si>
    <t>Enter the perfluoroethane emissions for production class 2b in the industrial product use source category.</t>
  </si>
  <si>
    <t>Enter the perfluoropropane emissions for production class 2b in the industrial product use source category.</t>
  </si>
  <si>
    <t>Enter the perfluorobutane emissions for production class 2b in the industrial product use source category.</t>
  </si>
  <si>
    <t>Enter the perfluorocyclobutane emissions for production class 2b in the industrial product use source category.</t>
  </si>
  <si>
    <t>Enter the perfluoropentane emissions for production class 2b in the industrial product use source category.</t>
  </si>
  <si>
    <t>Enter the perfluorohexane emissions for production class 2b in the industrial product use source category.</t>
  </si>
  <si>
    <t>Enter the HFC-23 emissions for production class 2b in the industrial product use source category.</t>
  </si>
  <si>
    <t>Enter the HFC-32 emissions for production class 2b in the industrial product use source category.</t>
  </si>
  <si>
    <t>Enter the HFC-41 emissions for production class 2b in the industrial product use source category.</t>
  </si>
  <si>
    <t>Enter the HFC-43-10mee emissions for production class 2b in the industrial product use source category.</t>
  </si>
  <si>
    <t>Enter the HFC-125 emissions for production class 2b in the industrial product use source category.</t>
  </si>
  <si>
    <t>Enter the HFC-134 emissions for production class 2b in the industrial product use source category.</t>
  </si>
  <si>
    <t>Enter the HFC-134a emissions for production class 2b in the industrial product use source category.</t>
  </si>
  <si>
    <t>Enter the HFC-143 emissions for production class 2b in the industrial product use source category.</t>
  </si>
  <si>
    <t>Enter the HFC-143a emissions for production class 2b in the industrial product use source category.</t>
  </si>
  <si>
    <t>Enter the HFC-152a emissions for production class 2b in the industrial product use source category.</t>
  </si>
  <si>
    <t>Enter the HFC-227ea emissions for production class 2b in the industrial product use source category.</t>
  </si>
  <si>
    <t>Enter the HFC-236fa emissions for production class 2b in the industrial product use source category.</t>
  </si>
  <si>
    <t>Enter the HFC-245ca emissions for production class 2b in the industrial product use source category.</t>
  </si>
  <si>
    <t>Enter the flare gas volume to flaring or incinerator sources with conversion efficiency of greater than or equal to 99% for production class 2b in the flaring source category.</t>
  </si>
  <si>
    <t>Enter the flare gas volume to flaring or incinerator sources with conversion efficiency of less than 99% for production class 2b in the flaring source category.</t>
  </si>
  <si>
    <t>Enter the carbon dioxide emissions for production class 2b in the flaring source category.</t>
  </si>
  <si>
    <t>Enter the methane emissions for production class 2b in the flaring source category.</t>
  </si>
  <si>
    <t>Enter the nitrous oxide emissions for production class 2b in the flaring source category.</t>
  </si>
  <si>
    <t>Enter the carbon dioxide emissions for production class 2b in the on-site transportation source category.</t>
  </si>
  <si>
    <t>Enter the methane emissions for production class 2b in the on-site transportation source category.</t>
  </si>
  <si>
    <t>Enter the nitrous oxide emissions for production class 2b in the on-site transportation source category.</t>
  </si>
  <si>
    <t>Enter the fuel gas volume for production class 3 in the stationary fuel combustion source category.</t>
  </si>
  <si>
    <t>Enter the butane volume for production class 3 in the stationary fuel combustion source category.</t>
  </si>
  <si>
    <t>Enter the diesel volume for production class 3 in the stationary fuel combustion source category.</t>
  </si>
  <si>
    <t>Enter the ethane volume for production class 3 in the stationary fuel combustion source category.</t>
  </si>
  <si>
    <t>Enter the gasoline volume for production class 3 in the stationary fuel combustion source category.</t>
  </si>
  <si>
    <t>Enter the propane volume for production class 3 in the stationary fuel combustion source category.</t>
  </si>
  <si>
    <t>Enter the carbon dioxide emissions for production class 3 in the stationary fuel combustion source category.</t>
  </si>
  <si>
    <t>Enter the methane emissions for production class 3 in the stationary fuel combustion source category.</t>
  </si>
  <si>
    <t>Enter the nitrous oxide emissions for production class 3 in the stationary fuel combustion source category.</t>
  </si>
  <si>
    <t>Enter the sulphur hexafluoride emissions for production class 3 in the industrial product use source category.</t>
  </si>
  <si>
    <t>Enter the perfluoromethane emissions for production class 3 in the industrial product use source category.</t>
  </si>
  <si>
    <t>Enter the perfluoroethane emissions for production class 3 in the industrial product use source category.</t>
  </si>
  <si>
    <t>Enter the perfluoropropane emissions for production class 3 in the industrial product use source category.</t>
  </si>
  <si>
    <t>Enter the perfluorobutane emissions for production class 3 in the industrial product use source category.</t>
  </si>
  <si>
    <t>Enter the perfluorocyclobutane emissions for production class 3 in the industrial product use source category.</t>
  </si>
  <si>
    <t>Enter the perfluoropentane emissions for production class 3 in the industrial product use source category.</t>
  </si>
  <si>
    <t>Enter the perfluorohexane emissions for production class 3 in the industrial product use source category.</t>
  </si>
  <si>
    <t>Enter the HFC-23 emissions for production class 3 in the industrial product use source category.</t>
  </si>
  <si>
    <t>Enter the HFC-32 emissions for production class 3 in the industrial product use source category.</t>
  </si>
  <si>
    <t>Enter the HFC-41 emissions for production class 3 in the industrial product use source category.</t>
  </si>
  <si>
    <t>Enter the HFC-43-10mee emissions for production class 3 in the industrial product use source category.</t>
  </si>
  <si>
    <t>Enter the HFC-125 emissions for production class 3 in the industrial product use source category.</t>
  </si>
  <si>
    <t>Enter the HFC-134 emissions for production class 3 in the industrial product use source category.</t>
  </si>
  <si>
    <t>Enter the HFC-134a emissions for production class 3 in the industrial product use source category.</t>
  </si>
  <si>
    <t>Enter the HFC-143 emissions for production class 3 in the industrial product use source category.</t>
  </si>
  <si>
    <t>Enter the HFC-143a emissions for production class 3 in the industrial product use source category.</t>
  </si>
  <si>
    <t>Enter the HFC-152a emissions for production class 3 in the industrial product use source category.</t>
  </si>
  <si>
    <t>Enter the HFC-227ea emissions for production class 3 in the industrial product use source category.</t>
  </si>
  <si>
    <t>Enter the HFC-236fa emissions for production class 3 in the industrial product use source category.</t>
  </si>
  <si>
    <t>Enter the HFC-245ca emissions for production class 3 in the industrial product use source category.</t>
  </si>
  <si>
    <t>Enter the flare gas volume to flaring or incinerator sources with conversion efficiency of greater than or equal to 99% for production class 3 in the flaring source category.</t>
  </si>
  <si>
    <t>Enter the flare gas volume to flaring or incinerator sources with conversion efficiency of less than 99% for production class 3 in the flaring source category.</t>
  </si>
  <si>
    <t>Enter the carbon dioxide emissions for production class 3 in the flaring source category.</t>
  </si>
  <si>
    <t>Enter the methane emissions for production class 3 in the flaring source category.</t>
  </si>
  <si>
    <t>Enter the nitrous oxide emissions for production class 3 in the flaring source category.</t>
  </si>
  <si>
    <t>Enter the carbon dioxide emissions for production class 3 in the on-site transportation source category.</t>
  </si>
  <si>
    <t>Enter the methane emissions for production class 3 in the on-site transportation source category.</t>
  </si>
  <si>
    <t>Enter the nitrous oxide emissions for production class 3 in the on-site transportation source category.</t>
  </si>
  <si>
    <t>Enter the fuel gas volume for production class 4 in the stationary fuel combustion source category.</t>
  </si>
  <si>
    <t>Enter the butane volume for production class 4 in the stationary fuel combustion source category.</t>
  </si>
  <si>
    <t>Enter the diesel volume for production class 4 in the stationary fuel combustion source category.</t>
  </si>
  <si>
    <t>Enter the ethane volume for production class 4 in the stationary fuel combustion source category.</t>
  </si>
  <si>
    <t>Enter the gasoline volume for production class 4 in the stationary fuel combustion source category.</t>
  </si>
  <si>
    <t>Enter the propane volume for production class 4 in the stationary fuel combustion source category.</t>
  </si>
  <si>
    <t>Enter the carbon dioxide emissions for production class 4 in the stationary fuel combustion source category.</t>
  </si>
  <si>
    <t>Enter the methane emissions for production class 4 in the stationary fuel combustion source category.</t>
  </si>
  <si>
    <t>Enter the nitrous oxide emissions for production class 4 in the stationary fuel combustion source category.</t>
  </si>
  <si>
    <t>Enter the sulphur hexafluoride emissions for production class 4 in the industrial product use source category.</t>
  </si>
  <si>
    <t>Enter the perfluoromethane emissions for production class 4 in the industrial product use source category.</t>
  </si>
  <si>
    <t>Enter the perfluoroethane emissions for production class 4 in the industrial product use source category.</t>
  </si>
  <si>
    <t>Enter the perfluoropropane emissions for production class 4 in the industrial product use source category.</t>
  </si>
  <si>
    <t>Enter the perfluorobutane emissions for production class 4 in the industrial product use source category.</t>
  </si>
  <si>
    <t>Enter the perfluorocyclobutane emissions for production class 4 in the industrial product use source category.</t>
  </si>
  <si>
    <t>Enter the perfluoropentane emissions for production class 4 in the industrial product use source category.</t>
  </si>
  <si>
    <t>Enter the perfluorohexane emissions for production class 4 in the industrial product use source category.</t>
  </si>
  <si>
    <t>Enter the HFC-23 emissions for production class 4 in the industrial product use source category.</t>
  </si>
  <si>
    <t>Enter the HFC-32 emissions for production class 4 in the industrial product use source category.</t>
  </si>
  <si>
    <t>Enter the HFC-41 emissions for production class 4 in the industrial product use source category.</t>
  </si>
  <si>
    <t>Enter the HFC-43-10mee emissions for production class 4 in the industrial product use source category.</t>
  </si>
  <si>
    <t>Enter the HFC-125 emissions for production class 4 in the industrial product use source category.</t>
  </si>
  <si>
    <t>Enter the HFC-134 emissions for production class 4 in the industrial product use source category.</t>
  </si>
  <si>
    <t>Enter the HFC-134a emissions for production class 4 in the industrial product use source category.</t>
  </si>
  <si>
    <t>Enter the HFC-143 emissions for production class 4 in the industrial product use source category.</t>
  </si>
  <si>
    <t>Enter the HFC-143a emissions for production class 4 in the industrial product use source category.</t>
  </si>
  <si>
    <t>Enter the HFC-152a emissions for production class 4 in the industrial product use source category.</t>
  </si>
  <si>
    <t>Enter the HFC-227ea emissions for production class 4 in the industrial product use source category.</t>
  </si>
  <si>
    <t>Enter the HFC-236fa emissions for production class 4 in the industrial product use source category.</t>
  </si>
  <si>
    <t>Enter the HFC-245ca emissions for production class 4 in the industrial product use source category.</t>
  </si>
  <si>
    <t>Enter the flare gas volume to flaring or incinerator sources with conversion efficiency of greater than or equal to 99% for production class 4 in the flaring source category.</t>
  </si>
  <si>
    <t>Enter the flare gas volume to flaring or incinerator sources with conversion efficiency of less than 99% for production class 4 in the flaring source category.</t>
  </si>
  <si>
    <t>Enter the carbon dioxide emissions for production class 4 in the flaring source category.</t>
  </si>
  <si>
    <t>Enter the methane emissions for production class 4 in the flaring source category.</t>
  </si>
  <si>
    <t>Enter the nitrous oxide emissions for production class 4 in the flaring source category.</t>
  </si>
  <si>
    <t>Enter the carbon dioxide emissions for production class 4 in the on-site transportation source category.</t>
  </si>
  <si>
    <t>Enter the methane emissions for production class 4 in the on-site transportation source category.</t>
  </si>
  <si>
    <t>Enter the nitrous oxide emissions for production class 4 in the on-site transportation source category.</t>
  </si>
  <si>
    <t>S.Developer.LastEntry</t>
  </si>
  <si>
    <t>S.Product.P1FuelTypes</t>
  </si>
  <si>
    <t>S.Product.P2aFuelTypes</t>
  </si>
  <si>
    <t>S.Product.P2bFuelTypes</t>
  </si>
  <si>
    <t>S.Product.P3FuelTypes</t>
  </si>
  <si>
    <t>S.Product.P4FuelTypes</t>
  </si>
  <si>
    <t>S.Gas.TableP1Y1</t>
  </si>
  <si>
    <t>S.Gas.TableP1Y2</t>
  </si>
  <si>
    <t>S.Gas.TableP2aY1</t>
  </si>
  <si>
    <t>S.Gas.TableP2aY2</t>
  </si>
  <si>
    <t>S.Gas.TableP2bY1</t>
  </si>
  <si>
    <t>S.Gas.TableP2bY2</t>
  </si>
  <si>
    <t>S.Gas.TableP3Y1</t>
  </si>
  <si>
    <t>S.Gas.TableP3Y2</t>
  </si>
  <si>
    <t>S.Gas.TableP4Y1</t>
  </si>
  <si>
    <t>S.Gas.TableP4Y2</t>
  </si>
  <si>
    <r>
      <t>(1000 m</t>
    </r>
    <r>
      <rPr>
        <b/>
        <vertAlign val="superscript"/>
        <sz val="11"/>
        <color rgb="FF000000"/>
        <rFont val="Calibri"/>
        <family val="2"/>
        <scheme val="minor"/>
      </rPr>
      <t>3</t>
    </r>
    <r>
      <rPr>
        <b/>
        <sz val="11"/>
        <color rgb="FF000000"/>
        <rFont val="Calibri"/>
        <family val="2"/>
        <scheme val="minor"/>
      </rPr>
      <t>)</t>
    </r>
  </si>
  <si>
    <r>
      <t>(tonnes CO</t>
    </r>
    <r>
      <rPr>
        <b/>
        <vertAlign val="subscript"/>
        <sz val="11"/>
        <color rgb="FF000000"/>
        <rFont val="Calibri"/>
        <family val="2"/>
        <scheme val="minor"/>
      </rPr>
      <t>2</t>
    </r>
    <r>
      <rPr>
        <b/>
        <sz val="11"/>
        <color rgb="FF000000"/>
        <rFont val="Calibri"/>
        <family val="2"/>
        <scheme val="minor"/>
      </rPr>
      <t>)</t>
    </r>
  </si>
  <si>
    <r>
      <t>(tonnes CH</t>
    </r>
    <r>
      <rPr>
        <b/>
        <vertAlign val="subscript"/>
        <sz val="11"/>
        <color rgb="FF000000"/>
        <rFont val="Calibri"/>
        <family val="2"/>
        <scheme val="minor"/>
      </rPr>
      <t>4</t>
    </r>
    <r>
      <rPr>
        <b/>
        <sz val="11"/>
        <color rgb="FF000000"/>
        <rFont val="Calibri"/>
        <family val="2"/>
        <scheme val="minor"/>
      </rPr>
      <t>)</t>
    </r>
  </si>
  <si>
    <r>
      <t>(tonnes N</t>
    </r>
    <r>
      <rPr>
        <b/>
        <vertAlign val="subscript"/>
        <sz val="11"/>
        <color rgb="FF000000"/>
        <rFont val="Calibri"/>
        <family val="2"/>
        <scheme val="minor"/>
      </rPr>
      <t>2</t>
    </r>
    <r>
      <rPr>
        <b/>
        <sz val="11"/>
        <color rgb="FF000000"/>
        <rFont val="Calibri"/>
        <family val="2"/>
        <scheme val="minor"/>
      </rPr>
      <t>O)</t>
    </r>
  </si>
  <si>
    <r>
      <t>tonnes SF</t>
    </r>
    <r>
      <rPr>
        <vertAlign val="subscript"/>
        <sz val="11"/>
        <color rgb="FF000000"/>
        <rFont val="Calibri"/>
        <family val="2"/>
        <scheme val="minor"/>
      </rPr>
      <t>6</t>
    </r>
  </si>
  <si>
    <r>
      <t>tonnes CF</t>
    </r>
    <r>
      <rPr>
        <vertAlign val="subscript"/>
        <sz val="11"/>
        <color rgb="FF000000"/>
        <rFont val="Calibri"/>
        <family val="2"/>
        <scheme val="minor"/>
      </rPr>
      <t>4</t>
    </r>
  </si>
  <si>
    <r>
      <t>tonnes C</t>
    </r>
    <r>
      <rPr>
        <vertAlign val="subscript"/>
        <sz val="11"/>
        <color rgb="FF000000"/>
        <rFont val="Calibri"/>
        <family val="2"/>
        <scheme val="minor"/>
      </rPr>
      <t>2</t>
    </r>
    <r>
      <rPr>
        <sz val="11"/>
        <color rgb="FF000000"/>
        <rFont val="Calibri"/>
        <family val="2"/>
        <scheme val="minor"/>
      </rPr>
      <t>F</t>
    </r>
    <r>
      <rPr>
        <vertAlign val="subscript"/>
        <sz val="11"/>
        <color rgb="FF000000"/>
        <rFont val="Calibri"/>
        <family val="2"/>
        <scheme val="minor"/>
      </rPr>
      <t>6</t>
    </r>
  </si>
  <si>
    <r>
      <t>tonnes C</t>
    </r>
    <r>
      <rPr>
        <vertAlign val="subscript"/>
        <sz val="11"/>
        <color rgb="FF000000"/>
        <rFont val="Calibri"/>
        <family val="2"/>
        <scheme val="minor"/>
      </rPr>
      <t>3</t>
    </r>
    <r>
      <rPr>
        <sz val="11"/>
        <color rgb="FF000000"/>
        <rFont val="Calibri"/>
        <family val="2"/>
        <scheme val="minor"/>
      </rPr>
      <t>F</t>
    </r>
    <r>
      <rPr>
        <vertAlign val="subscript"/>
        <sz val="11"/>
        <color rgb="FF000000"/>
        <rFont val="Calibri"/>
        <family val="2"/>
        <scheme val="minor"/>
      </rPr>
      <t>8</t>
    </r>
  </si>
  <si>
    <r>
      <t>tonnes C</t>
    </r>
    <r>
      <rPr>
        <vertAlign val="subscript"/>
        <sz val="11"/>
        <color rgb="FF000000"/>
        <rFont val="Calibri"/>
        <family val="2"/>
        <scheme val="minor"/>
      </rPr>
      <t>4</t>
    </r>
    <r>
      <rPr>
        <sz val="11"/>
        <color rgb="FF000000"/>
        <rFont val="Calibri"/>
        <family val="2"/>
        <scheme val="minor"/>
      </rPr>
      <t>F</t>
    </r>
    <r>
      <rPr>
        <vertAlign val="subscript"/>
        <sz val="11"/>
        <color rgb="FF000000"/>
        <rFont val="Calibri"/>
        <family val="2"/>
        <scheme val="minor"/>
      </rPr>
      <t>10</t>
    </r>
  </si>
  <si>
    <r>
      <t>tonnes c-C</t>
    </r>
    <r>
      <rPr>
        <vertAlign val="subscript"/>
        <sz val="11"/>
        <color rgb="FF000000"/>
        <rFont val="Calibri"/>
        <family val="2"/>
        <scheme val="minor"/>
      </rPr>
      <t>4</t>
    </r>
    <r>
      <rPr>
        <sz val="11"/>
        <color rgb="FF000000"/>
        <rFont val="Calibri"/>
        <family val="2"/>
        <scheme val="minor"/>
      </rPr>
      <t>F</t>
    </r>
    <r>
      <rPr>
        <vertAlign val="subscript"/>
        <sz val="11"/>
        <color rgb="FF000000"/>
        <rFont val="Calibri"/>
        <family val="2"/>
        <scheme val="minor"/>
      </rPr>
      <t>8</t>
    </r>
  </si>
  <si>
    <r>
      <t>tonnes C</t>
    </r>
    <r>
      <rPr>
        <vertAlign val="subscript"/>
        <sz val="11"/>
        <color rgb="FF000000"/>
        <rFont val="Calibri"/>
        <family val="2"/>
        <scheme val="minor"/>
      </rPr>
      <t>5</t>
    </r>
    <r>
      <rPr>
        <sz val="11"/>
        <color rgb="FF000000"/>
        <rFont val="Calibri"/>
        <family val="2"/>
        <scheme val="minor"/>
      </rPr>
      <t>F</t>
    </r>
    <r>
      <rPr>
        <vertAlign val="subscript"/>
        <sz val="11"/>
        <color rgb="FF000000"/>
        <rFont val="Calibri"/>
        <family val="2"/>
        <scheme val="minor"/>
      </rPr>
      <t>12</t>
    </r>
  </si>
  <si>
    <r>
      <t>tonnes C</t>
    </r>
    <r>
      <rPr>
        <vertAlign val="subscript"/>
        <sz val="11"/>
        <color rgb="FF000000"/>
        <rFont val="Calibri"/>
        <family val="2"/>
        <scheme val="minor"/>
      </rPr>
      <t>6</t>
    </r>
    <r>
      <rPr>
        <sz val="11"/>
        <color rgb="FF000000"/>
        <rFont val="Calibri"/>
        <family val="2"/>
        <scheme val="minor"/>
      </rPr>
      <t>F</t>
    </r>
    <r>
      <rPr>
        <vertAlign val="subscript"/>
        <sz val="11"/>
        <color rgb="FF000000"/>
        <rFont val="Calibri"/>
        <family val="2"/>
        <scheme val="minor"/>
      </rPr>
      <t>14</t>
    </r>
  </si>
  <si>
    <r>
      <t>tonnes CHF</t>
    </r>
    <r>
      <rPr>
        <vertAlign val="subscript"/>
        <sz val="11"/>
        <color rgb="FF000000"/>
        <rFont val="Calibri"/>
        <family val="2"/>
        <scheme val="minor"/>
      </rPr>
      <t>3</t>
    </r>
  </si>
  <si>
    <r>
      <t>tonnes CH</t>
    </r>
    <r>
      <rPr>
        <vertAlign val="subscript"/>
        <sz val="11"/>
        <color rgb="FF000000"/>
        <rFont val="Calibri"/>
        <family val="2"/>
        <scheme val="minor"/>
      </rPr>
      <t>2</t>
    </r>
    <r>
      <rPr>
        <sz val="11"/>
        <color rgb="FF000000"/>
        <rFont val="Calibri"/>
        <family val="2"/>
        <scheme val="minor"/>
      </rPr>
      <t>F</t>
    </r>
    <r>
      <rPr>
        <vertAlign val="subscript"/>
        <sz val="11"/>
        <color rgb="FF000000"/>
        <rFont val="Calibri"/>
        <family val="2"/>
        <scheme val="minor"/>
      </rPr>
      <t>2</t>
    </r>
  </si>
  <si>
    <r>
      <t>tonnes CH</t>
    </r>
    <r>
      <rPr>
        <vertAlign val="subscript"/>
        <sz val="11"/>
        <color rgb="FF000000"/>
        <rFont val="Calibri"/>
        <family val="2"/>
        <scheme val="minor"/>
      </rPr>
      <t>3</t>
    </r>
    <r>
      <rPr>
        <sz val="11"/>
        <color rgb="FF000000"/>
        <rFont val="Calibri"/>
        <family val="2"/>
        <scheme val="minor"/>
      </rPr>
      <t>F</t>
    </r>
  </si>
  <si>
    <r>
      <t>tonnes CF</t>
    </r>
    <r>
      <rPr>
        <vertAlign val="subscript"/>
        <sz val="11"/>
        <color rgb="FF000000"/>
        <rFont val="Calibri"/>
        <family val="2"/>
        <scheme val="minor"/>
      </rPr>
      <t>3</t>
    </r>
    <r>
      <rPr>
        <sz val="11"/>
        <color rgb="FF000000"/>
        <rFont val="Calibri"/>
        <family val="2"/>
        <scheme val="minor"/>
      </rPr>
      <t>CHFCHFCF</t>
    </r>
    <r>
      <rPr>
        <vertAlign val="subscript"/>
        <sz val="11"/>
        <color rgb="FF000000"/>
        <rFont val="Calibri"/>
        <family val="2"/>
        <scheme val="minor"/>
      </rPr>
      <t>2</t>
    </r>
    <r>
      <rPr>
        <sz val="11"/>
        <color rgb="FF000000"/>
        <rFont val="Calibri"/>
        <family val="2"/>
        <scheme val="minor"/>
      </rPr>
      <t>CF</t>
    </r>
    <r>
      <rPr>
        <vertAlign val="subscript"/>
        <sz val="11"/>
        <color rgb="FF000000"/>
        <rFont val="Calibri"/>
        <family val="2"/>
        <scheme val="minor"/>
      </rPr>
      <t>3</t>
    </r>
  </si>
  <si>
    <r>
      <t>tonnes CHF</t>
    </r>
    <r>
      <rPr>
        <vertAlign val="subscript"/>
        <sz val="11"/>
        <color rgb="FF000000"/>
        <rFont val="Calibri"/>
        <family val="2"/>
        <scheme val="minor"/>
      </rPr>
      <t>2</t>
    </r>
    <r>
      <rPr>
        <sz val="11"/>
        <color rgb="FF000000"/>
        <rFont val="Calibri"/>
        <family val="2"/>
        <scheme val="minor"/>
      </rPr>
      <t>CF</t>
    </r>
    <r>
      <rPr>
        <vertAlign val="subscript"/>
        <sz val="11"/>
        <color rgb="FF000000"/>
        <rFont val="Calibri"/>
        <family val="2"/>
        <scheme val="minor"/>
      </rPr>
      <t>3</t>
    </r>
  </si>
  <si>
    <r>
      <t>tonnes CHF</t>
    </r>
    <r>
      <rPr>
        <vertAlign val="subscript"/>
        <sz val="11"/>
        <color rgb="FF000000"/>
        <rFont val="Calibri"/>
        <family val="2"/>
        <scheme val="minor"/>
      </rPr>
      <t>2</t>
    </r>
    <r>
      <rPr>
        <sz val="11"/>
        <color rgb="FF000000"/>
        <rFont val="Calibri"/>
        <family val="2"/>
        <scheme val="minor"/>
      </rPr>
      <t>CHF</t>
    </r>
    <r>
      <rPr>
        <vertAlign val="subscript"/>
        <sz val="11"/>
        <color rgb="FF000000"/>
        <rFont val="Calibri"/>
        <family val="2"/>
        <scheme val="minor"/>
      </rPr>
      <t>2</t>
    </r>
  </si>
  <si>
    <r>
      <t>tonnes CH</t>
    </r>
    <r>
      <rPr>
        <vertAlign val="subscript"/>
        <sz val="11"/>
        <color rgb="FF000000"/>
        <rFont val="Calibri"/>
        <family val="2"/>
        <scheme val="minor"/>
      </rPr>
      <t>2</t>
    </r>
    <r>
      <rPr>
        <sz val="11"/>
        <color rgb="FF000000"/>
        <rFont val="Calibri"/>
        <family val="2"/>
        <scheme val="minor"/>
      </rPr>
      <t>FCF</t>
    </r>
    <r>
      <rPr>
        <vertAlign val="subscript"/>
        <sz val="11"/>
        <color rgb="FF000000"/>
        <rFont val="Calibri"/>
        <family val="2"/>
        <scheme val="minor"/>
      </rPr>
      <t>3</t>
    </r>
  </si>
  <si>
    <r>
      <t>tonnes CH</t>
    </r>
    <r>
      <rPr>
        <vertAlign val="subscript"/>
        <sz val="11"/>
        <color rgb="FF000000"/>
        <rFont val="Calibri"/>
        <family val="2"/>
        <scheme val="minor"/>
      </rPr>
      <t>2</t>
    </r>
    <r>
      <rPr>
        <sz val="11"/>
        <color rgb="FF000000"/>
        <rFont val="Calibri"/>
        <family val="2"/>
        <scheme val="minor"/>
      </rPr>
      <t>FCHF</t>
    </r>
    <r>
      <rPr>
        <vertAlign val="subscript"/>
        <sz val="11"/>
        <color rgb="FF000000"/>
        <rFont val="Calibri"/>
        <family val="2"/>
        <scheme val="minor"/>
      </rPr>
      <t>2</t>
    </r>
  </si>
  <si>
    <r>
      <t>tonnes CH</t>
    </r>
    <r>
      <rPr>
        <vertAlign val="subscript"/>
        <sz val="11"/>
        <color rgb="FF000000"/>
        <rFont val="Calibri"/>
        <family val="2"/>
        <scheme val="minor"/>
      </rPr>
      <t>3</t>
    </r>
    <r>
      <rPr>
        <sz val="11"/>
        <color rgb="FF000000"/>
        <rFont val="Calibri"/>
        <family val="2"/>
        <scheme val="minor"/>
      </rPr>
      <t>CF</t>
    </r>
    <r>
      <rPr>
        <vertAlign val="subscript"/>
        <sz val="11"/>
        <color rgb="FF000000"/>
        <rFont val="Calibri"/>
        <family val="2"/>
        <scheme val="minor"/>
      </rPr>
      <t>3</t>
    </r>
  </si>
  <si>
    <r>
      <t>tonnes CH</t>
    </r>
    <r>
      <rPr>
        <vertAlign val="subscript"/>
        <sz val="11"/>
        <color rgb="FF000000"/>
        <rFont val="Calibri"/>
        <family val="2"/>
        <scheme val="minor"/>
      </rPr>
      <t>3</t>
    </r>
    <r>
      <rPr>
        <sz val="11"/>
        <color rgb="FF000000"/>
        <rFont val="Calibri"/>
        <family val="2"/>
        <scheme val="minor"/>
      </rPr>
      <t>CHF</t>
    </r>
    <r>
      <rPr>
        <vertAlign val="subscript"/>
        <sz val="11"/>
        <color rgb="FF000000"/>
        <rFont val="Calibri"/>
        <family val="2"/>
        <scheme val="minor"/>
      </rPr>
      <t>2</t>
    </r>
  </si>
  <si>
    <r>
      <t>tonnes CF</t>
    </r>
    <r>
      <rPr>
        <vertAlign val="subscript"/>
        <sz val="11"/>
        <color rgb="FF000000"/>
        <rFont val="Calibri"/>
        <family val="2"/>
        <scheme val="minor"/>
      </rPr>
      <t>3</t>
    </r>
    <r>
      <rPr>
        <sz val="11"/>
        <color rgb="FF000000"/>
        <rFont val="Calibri"/>
        <family val="2"/>
        <scheme val="minor"/>
      </rPr>
      <t>CHFCF</t>
    </r>
    <r>
      <rPr>
        <vertAlign val="subscript"/>
        <sz val="11"/>
        <color rgb="FF000000"/>
        <rFont val="Calibri"/>
        <family val="2"/>
        <scheme val="minor"/>
      </rPr>
      <t>3</t>
    </r>
  </si>
  <si>
    <r>
      <t>tonnes CF</t>
    </r>
    <r>
      <rPr>
        <vertAlign val="subscript"/>
        <sz val="11"/>
        <color rgb="FF000000"/>
        <rFont val="Calibri"/>
        <family val="2"/>
        <scheme val="minor"/>
      </rPr>
      <t>3</t>
    </r>
    <r>
      <rPr>
        <sz val="11"/>
        <color rgb="FF000000"/>
        <rFont val="Calibri"/>
        <family val="2"/>
        <scheme val="minor"/>
      </rPr>
      <t>CH</t>
    </r>
    <r>
      <rPr>
        <vertAlign val="subscript"/>
        <sz val="11"/>
        <color rgb="FF000000"/>
        <rFont val="Calibri"/>
        <family val="2"/>
        <scheme val="minor"/>
      </rPr>
      <t>2</t>
    </r>
    <r>
      <rPr>
        <sz val="11"/>
        <color rgb="FF000000"/>
        <rFont val="Calibri"/>
        <family val="2"/>
        <scheme val="minor"/>
      </rPr>
      <t>CF</t>
    </r>
    <r>
      <rPr>
        <vertAlign val="subscript"/>
        <sz val="11"/>
        <color rgb="FF000000"/>
        <rFont val="Calibri"/>
        <family val="2"/>
        <scheme val="minor"/>
      </rPr>
      <t>3</t>
    </r>
  </si>
  <si>
    <r>
      <t>tonnes CH</t>
    </r>
    <r>
      <rPr>
        <vertAlign val="subscript"/>
        <sz val="11"/>
        <color rgb="FF000000"/>
        <rFont val="Calibri"/>
        <family val="2"/>
        <scheme val="minor"/>
      </rPr>
      <t>2</t>
    </r>
    <r>
      <rPr>
        <sz val="11"/>
        <color rgb="FF000000"/>
        <rFont val="Calibri"/>
        <family val="2"/>
        <scheme val="minor"/>
      </rPr>
      <t>FCF</t>
    </r>
    <r>
      <rPr>
        <vertAlign val="subscript"/>
        <sz val="11"/>
        <color rgb="FF000000"/>
        <rFont val="Calibri"/>
        <family val="2"/>
        <scheme val="minor"/>
      </rPr>
      <t>2</t>
    </r>
    <r>
      <rPr>
        <sz val="11"/>
        <color rgb="FF000000"/>
        <rFont val="Calibri"/>
        <family val="2"/>
        <scheme val="minor"/>
      </rPr>
      <t>CHF</t>
    </r>
    <r>
      <rPr>
        <vertAlign val="subscript"/>
        <sz val="11"/>
        <color rgb="FF000000"/>
        <rFont val="Calibri"/>
        <family val="2"/>
        <scheme val="minor"/>
      </rPr>
      <t>2</t>
    </r>
  </si>
  <si>
    <t>Does this production class have regulated electricity emissions?</t>
  </si>
  <si>
    <t>Product amount</t>
  </si>
  <si>
    <t>Amount of commercial product</t>
  </si>
  <si>
    <t>Indicate if production class 1 has regulated electricity emissions.</t>
  </si>
  <si>
    <t>Indicate if the gas-to-power operation in production class 1 has been in production for at least two years.</t>
  </si>
  <si>
    <t>Indicate if production class 2a has regulated electricity emissions.</t>
  </si>
  <si>
    <t>Indicate if the gas-to-power operation in production class 2a has been in production for at least two years.</t>
  </si>
  <si>
    <t>Indicate if production class 2b has regulated electricity emissions.</t>
  </si>
  <si>
    <t>Indicate if the gas-to-power operation in production class 2b has been in production for at least two years.</t>
  </si>
  <si>
    <t>Indicate if production class 3 has regulated electricity emissions.</t>
  </si>
  <si>
    <t>Indicate if the gas-to-power operation in production class 3 has been in production for at least two years.</t>
  </si>
  <si>
    <t>Indicate if production class 4 has regulated electricity emissions.</t>
  </si>
  <si>
    <t>Indicate if the gas-to-power operation in production class 4 has been in production for at least two years.</t>
  </si>
  <si>
    <t>A baseline emissions intensity must be established for each product produced in each production class at the facility.</t>
  </si>
  <si>
    <t>Baseline submissions are due six months from the date of the registration approval letter for the facility.</t>
  </si>
  <si>
    <r>
      <t xml:space="preserve">All information included in support of this submission is considered public in accordance with section 61(1) of </t>
    </r>
    <r>
      <rPr>
        <i/>
        <sz val="11"/>
        <color rgb="FF000000"/>
        <rFont val="Calibri"/>
        <family val="2"/>
        <scheme val="minor"/>
      </rPr>
      <t>The Management and Reduction of Greenhouse Gases Act.</t>
    </r>
    <r>
      <rPr>
        <sz val="11"/>
        <color rgb="FF000000"/>
        <rFont val="Calibri"/>
        <family val="2"/>
        <scheme val="minor"/>
      </rPr>
      <t xml:space="preserve"> A request to keep confidential all or any part of this submission for a period of five years must be made in writing and included with this submission per section 61(3) of </t>
    </r>
    <r>
      <rPr>
        <i/>
        <sz val="11"/>
        <color rgb="FF000000"/>
        <rFont val="Calibri"/>
        <family val="2"/>
        <scheme val="minor"/>
      </rPr>
      <t>The Management and Reduction of Greenhouse Gases Act</t>
    </r>
    <r>
      <rPr>
        <sz val="11"/>
        <color rgb="FF000000"/>
        <rFont val="Calibri"/>
        <family val="2"/>
        <scheme val="minor"/>
      </rPr>
      <t xml:space="preserve"> and section 32 of </t>
    </r>
    <r>
      <rPr>
        <i/>
        <sz val="11"/>
        <color rgb="FF000000"/>
        <rFont val="Calibri"/>
        <family val="2"/>
        <scheme val="minor"/>
      </rPr>
      <t>The Management and Reduction of Greenhouse Gases (Standards and Compliance) Regulations, 2023.</t>
    </r>
    <r>
      <rPr>
        <sz val="11"/>
        <color rgb="FF000000"/>
        <rFont val="Calibri"/>
        <family val="2"/>
        <scheme val="minor"/>
      </rPr>
      <t xml:space="preserve"> Subsequent requests may be made prior to the expiry period to extend confidentiality of all or any part of this submission on five-year intervals per section 61(4) of </t>
    </r>
    <r>
      <rPr>
        <i/>
        <sz val="11"/>
        <color rgb="FF000000"/>
        <rFont val="Calibri"/>
        <family val="2"/>
        <scheme val="minor"/>
      </rPr>
      <t>The Management and Reduction of Greenhouse Gases Act.</t>
    </r>
  </si>
  <si>
    <r>
      <t xml:space="preserve">The requirements in this form are administered under the authority of </t>
    </r>
    <r>
      <rPr>
        <i/>
        <sz val="11"/>
        <color rgb="FF000000"/>
        <rFont val="Calibri"/>
        <family val="2"/>
        <scheme val="minor"/>
      </rPr>
      <t>The Management and Reduction of Greenhouse Gases Act, The Management and Reduction of Greenhouse Gases (Standards and Compliance) Regulations, 2023</t>
    </r>
    <r>
      <rPr>
        <sz val="11"/>
        <color rgb="FF000000"/>
        <rFont val="Calibri"/>
        <family val="2"/>
        <scheme val="minor"/>
      </rPr>
      <t xml:space="preserve"> and </t>
    </r>
    <r>
      <rPr>
        <i/>
        <sz val="11"/>
        <color rgb="FF000000"/>
        <rFont val="Calibri"/>
        <family val="2"/>
        <scheme val="minor"/>
      </rPr>
      <t>The Aggregate Facility Standard.</t>
    </r>
  </si>
  <si>
    <t>This form can be used to establish or re-establish a baseline emissions intensity for products produced at the facility.</t>
  </si>
  <si>
    <r>
      <t>Baseline submissions must be verified by a certified third-party verifier if the baseline emissions level for all commercial products in all production classes is more than 1,000 tonnes CO</t>
    </r>
    <r>
      <rPr>
        <vertAlign val="subscript"/>
        <sz val="11"/>
        <color rgb="FF000000"/>
        <rFont val="Calibri"/>
        <family val="2"/>
        <scheme val="minor"/>
      </rPr>
      <t>2</t>
    </r>
    <r>
      <rPr>
        <sz val="11"/>
        <color rgb="FF000000"/>
        <rFont val="Calibri"/>
        <family val="2"/>
        <scheme val="minor"/>
      </rPr>
      <t>e in the baseline year. The verification report must be included with this submission.</t>
    </r>
  </si>
  <si>
    <t>Registry ID number for each individual facility in the registry in each production class</t>
  </si>
  <si>
    <t>First gas-to-power baseline year</t>
  </si>
  <si>
    <t>Second gas-to-power baseline year</t>
  </si>
  <si>
    <t>First baseline year</t>
  </si>
  <si>
    <t>Second baseline year</t>
  </si>
  <si>
    <t>Number of units within the gas-to-power operation in the first baseline year</t>
  </si>
  <si>
    <t>Number of units within the gas-to-power operation in the second baseline year</t>
  </si>
  <si>
    <t>Refer to the Appendix tab for instructions on reporting gas-to-power data.</t>
  </si>
  <si>
    <t>Refer to the Appendix tab for instructions on reporting electricity data.</t>
  </si>
  <si>
    <t>Enter the registry ID number in row 1 of the table for production class 1.</t>
  </si>
  <si>
    <t>Enter the registry ID number in row 2 of the table for production class 1.</t>
  </si>
  <si>
    <t>Enter the registry ID number in row 3 of the table for production class 1.</t>
  </si>
  <si>
    <t>Enter the registry ID number in row 4 of the table for production class 1.</t>
  </si>
  <si>
    <t>Enter the registry ID number in row 5 of the table for production class 1.</t>
  </si>
  <si>
    <t>Enter the registry ID number in row 6 of the table for production class 1.</t>
  </si>
  <si>
    <t>Enter the registry ID number in row 7 of the table for production class 1.</t>
  </si>
  <si>
    <t>Enter the registry ID number in row 8 of the table for production class 1.</t>
  </si>
  <si>
    <t>Enter the registry ID number in row 9 of the table for production class 1.</t>
  </si>
  <si>
    <t>Enter the registry ID number in row 10 of the table for production class 1.</t>
  </si>
  <si>
    <t>Enter the registry ID number in row 11 of the table for production class 1.</t>
  </si>
  <si>
    <t>Enter the registry ID number in row 12 of the table for production class 1.</t>
  </si>
  <si>
    <t>Enter the registry ID number in row 13 of the table for production class 1.</t>
  </si>
  <si>
    <t>Enter the registry ID number in row 14 of the table for production class 1.</t>
  </si>
  <si>
    <t>Enter the registry ID number in row 15 of the table for production class 1.</t>
  </si>
  <si>
    <t>Enter the registry ID number in row 16 of the table for production class 1.</t>
  </si>
  <si>
    <t>Enter the registry ID number in row 17 of the table for production class 1.</t>
  </si>
  <si>
    <t>Enter the registry ID number in row 18 of the table for production class 1.</t>
  </si>
  <si>
    <t>Enter the registry ID number in row 19 of the table for production class 1.</t>
  </si>
  <si>
    <t>Enter the registry ID number in row 20 of the table for production class 1.</t>
  </si>
  <si>
    <t>Enter the registry ID number in row 21 of the table for production class 1.</t>
  </si>
  <si>
    <t>Enter the registry ID number in row 22 of the table for production class 1.</t>
  </si>
  <si>
    <t>Enter the registry ID number in row 23 of the table for production class 1.</t>
  </si>
  <si>
    <t>Enter the registry ID number in row 24 of the table for production class 1.</t>
  </si>
  <si>
    <t>Enter the registry ID number in row 25 of the table for production class 1.</t>
  </si>
  <si>
    <t>Enter the registry ID number in row 26 of the table for production class 1.</t>
  </si>
  <si>
    <t>Enter the registry ID number in row 27 of the table for production class 1.</t>
  </si>
  <si>
    <t>Enter the registry ID number in row 28 of the table for production class 1.</t>
  </si>
  <si>
    <t>Enter the registry ID number in row 29 of the table for production class 1.</t>
  </si>
  <si>
    <t>Enter the registry ID number in row 30 of the table for production class 1.</t>
  </si>
  <si>
    <t>Enter the registry ID number in row 31 of the table for production class 1.</t>
  </si>
  <si>
    <t>Enter the registry ID number in row 32 of the table for production class 1.</t>
  </si>
  <si>
    <t>Enter the registry ID number in row 33 of the table for production class 1.</t>
  </si>
  <si>
    <t>Enter the registry ID number in row 34 of the table for production class 1.</t>
  </si>
  <si>
    <t>Enter the registry ID number in row 35 of the table for production class 1.</t>
  </si>
  <si>
    <t>Enter the registry ID number in row 36 of the table for production class 1.</t>
  </si>
  <si>
    <t>Enter the registry ID number in row 37 of the table for production class 1.</t>
  </si>
  <si>
    <t>Enter the registry ID number in row 38 of the table for production class 1.</t>
  </si>
  <si>
    <t>Enter the registry ID number in row 39 of the table for production class 1.</t>
  </si>
  <si>
    <t>Enter the registry ID number in row 40 of the table for production class 1.</t>
  </si>
  <si>
    <t>Enter the registry ID number in row 41 of the table for production class 1.</t>
  </si>
  <si>
    <t>Enter the registry ID number in row 42 of the table for production class 1.</t>
  </si>
  <si>
    <t>Enter the registry ID number in row 43 of the table for production class 1.</t>
  </si>
  <si>
    <t>Enter the registry ID number in row 44 of the table for production class 1.</t>
  </si>
  <si>
    <t>Enter the registry ID number in row 45 of the table for production class 1.</t>
  </si>
  <si>
    <t>Enter the registry ID number in row 46 of the table for production class 1.</t>
  </si>
  <si>
    <t>Enter the registry ID number in row 47 of the table for production class 1.</t>
  </si>
  <si>
    <t>Enter the registry ID number in row 48 of the table for production class 1.</t>
  </si>
  <si>
    <t>Enter the registry ID number in row 49 of the table for production class 1.</t>
  </si>
  <si>
    <t>Enter the registry ID number in row 50 of the table for production class 1.</t>
  </si>
  <si>
    <t>Enter the registry ID number in row 51 of the table for production class 1.</t>
  </si>
  <si>
    <t>Enter the registry ID number in row 52 of the table for production class 1.</t>
  </si>
  <si>
    <t>Enter the registry ID number in row 53 of the table for production class 1.</t>
  </si>
  <si>
    <t>Enter the registry ID number in row 54 of the table for production class 1.</t>
  </si>
  <si>
    <t>Enter the registry ID number in row 55 of the table for production class 1.</t>
  </si>
  <si>
    <t>Enter the registry ID number in row 56 of the table for production class 1.</t>
  </si>
  <si>
    <t>Enter the registry ID number in row 57 of the table for production class 1.</t>
  </si>
  <si>
    <t>Enter the registry ID number in row 58 of the table for production class 1.</t>
  </si>
  <si>
    <t>Enter the registry ID number in row 59 of the table for production class 1.</t>
  </si>
  <si>
    <t>Enter the registry ID number in row 60 of the table for production class 1.</t>
  </si>
  <si>
    <t>Enter the registry ID number in row 61 of the table for production class 1.</t>
  </si>
  <si>
    <t>Enter the registry ID number in row 62 of the table for production class 1.</t>
  </si>
  <si>
    <t>Enter the registry ID number in row 63 of the table for production class 1.</t>
  </si>
  <si>
    <t>Enter the registry ID number in row 64 of the table for production class 1.</t>
  </si>
  <si>
    <t>Enter the registry ID number in row 65 of the table for production class 1.</t>
  </si>
  <si>
    <t>Enter the registry ID number in row 66 of the table for production class 1.</t>
  </si>
  <si>
    <t>Enter the registry ID number in row 67 of the table for production class 1.</t>
  </si>
  <si>
    <t>Enter the registry ID number in row 68 of the table for production class 1.</t>
  </si>
  <si>
    <t>Enter the registry ID number in row 69 of the table for production class 1.</t>
  </si>
  <si>
    <t>Enter the registry ID number in row 70 of the table for production class 1.</t>
  </si>
  <si>
    <t>Enter the registry ID number in row 71 of the table for production class 1.</t>
  </si>
  <si>
    <t>Enter the registry ID number in row 72 of the table for production class 1.</t>
  </si>
  <si>
    <t>Enter the registry ID number in row 73 of the table for production class 1.</t>
  </si>
  <si>
    <t>Enter the registry ID number in row 74 of the table for production class 1.</t>
  </si>
  <si>
    <t>Enter the registry ID number in row 75 of the table for production class 1.</t>
  </si>
  <si>
    <t>Enter the registry ID number in row 76 of the table for production class 1.</t>
  </si>
  <si>
    <t>Enter the registry ID number in row 77 of the table for production class 1.</t>
  </si>
  <si>
    <t>Enter the registry ID number in row 78 of the table for production class 1.</t>
  </si>
  <si>
    <t>Enter the registry ID number in row 79 of the table for production class 1.</t>
  </si>
  <si>
    <t>Enter the registry ID number in row 80 of the table for production class 1.</t>
  </si>
  <si>
    <t>Enter the registry ID number in row 81 of the table for production class 1.</t>
  </si>
  <si>
    <t>Enter the registry ID number in row 82 of the table for production class 1.</t>
  </si>
  <si>
    <t>Enter the registry ID number in row 83 of the table for production class 1.</t>
  </si>
  <si>
    <t>Enter the registry ID number in row 84 of the table for production class 1.</t>
  </si>
  <si>
    <t>Enter the registry ID number in row 85 of the table for production class 1.</t>
  </si>
  <si>
    <t>Enter the registry ID number in row 86 of the table for production class 1.</t>
  </si>
  <si>
    <t>Enter the registry ID number in row 87 of the table for production class 1.</t>
  </si>
  <si>
    <t>Enter the registry ID number in row 88 of the table for production class 1.</t>
  </si>
  <si>
    <t>Enter the registry ID number in row 89 of the table for production class 1.</t>
  </si>
  <si>
    <t>Enter the registry ID number in row 90 of the table for production class 1.</t>
  </si>
  <si>
    <t>Enter the registry ID number in row 91 of the table for production class 1.</t>
  </si>
  <si>
    <t>Enter the registry ID number in row 92 of the table for production class 1.</t>
  </si>
  <si>
    <t>Enter the registry ID number in row 93 of the table for production class 1.</t>
  </si>
  <si>
    <t>Enter the registry ID number in row 94 of the table for production class 1.</t>
  </si>
  <si>
    <t>Enter the registry ID number in row 95 of the table for production class 1.</t>
  </si>
  <si>
    <t>Enter the registry ID number in row 96 of the table for production class 1.</t>
  </si>
  <si>
    <t>Enter the registry ID number in row 97 of the table for production class 1.</t>
  </si>
  <si>
    <t>Enter the registry ID number in row 98 of the table for production class 1.</t>
  </si>
  <si>
    <t>Enter the registry ID number in row 99 of the table for production class 1.</t>
  </si>
  <si>
    <t>Enter the registry ID number in row 100 of the table for production class 1.</t>
  </si>
  <si>
    <t>Enter the registry ID number in row 101 of the table for production class 1.</t>
  </si>
  <si>
    <t>Enter the registry ID number in row 102 of the table for production class 1.</t>
  </si>
  <si>
    <t>Enter the registry ID number in row 103 of the table for production class 1.</t>
  </si>
  <si>
    <t>Enter the registry ID number in row 104 of the table for production class 1.</t>
  </si>
  <si>
    <t>Enter the registry ID number in row 105 of the table for production class 1.</t>
  </si>
  <si>
    <t>Enter the registry ID number in row 106 of the table for production class 1.</t>
  </si>
  <si>
    <t>Enter the registry ID number in row 107 of the table for production class 1.</t>
  </si>
  <si>
    <t>Enter the registry ID number in row 108 of the table for production class 1.</t>
  </si>
  <si>
    <t>Enter the registry ID number in row 109 of the table for production class 1.</t>
  </si>
  <si>
    <t>Enter the registry ID number in row 110 of the table for production class 1.</t>
  </si>
  <si>
    <t>Enter the registry ID number in row 111 of the table for production class 1.</t>
  </si>
  <si>
    <t>Enter the registry ID number in row 112 of the table for production class 1.</t>
  </si>
  <si>
    <t>Enter the registry ID number in row 113 of the table for production class 1.</t>
  </si>
  <si>
    <t>Enter the registry ID number in row 114 of the table for production class 1.</t>
  </si>
  <si>
    <t>Enter the registry ID number in row 115 of the table for production class 1.</t>
  </si>
  <si>
    <t>Enter the registry ID number in row 116 of the table for production class 1.</t>
  </si>
  <si>
    <t>Enter the registry ID number in row 117 of the table for production class 1.</t>
  </si>
  <si>
    <t>Enter the registry ID number in row 118 of the table for production class 1.</t>
  </si>
  <si>
    <t>Enter the registry ID number in row 119 of the table for production class 1.</t>
  </si>
  <si>
    <t>Enter the registry ID number in row 120 of the table for production class 1.</t>
  </si>
  <si>
    <t>Enter the registry ID number in row 121 of the table for production class 1.</t>
  </si>
  <si>
    <t>Enter the registry ID number in row 122 of the table for production class 1.</t>
  </si>
  <si>
    <t>Enter the registry ID number in row 123 of the table for production class 1.</t>
  </si>
  <si>
    <t>Enter the registry ID number in row 124 of the table for production class 1.</t>
  </si>
  <si>
    <t>Enter the registry ID number in row 125 of the table for production class 1.</t>
  </si>
  <si>
    <t>Enter the registry ID number in row 126 of the table for production class 1.</t>
  </si>
  <si>
    <t>Enter the registry ID number in row 127 of the table for production class 1.</t>
  </si>
  <si>
    <t>Enter the registry ID number in row 128 of the table for production class 1.</t>
  </si>
  <si>
    <t>Enter the registry ID number in row 129 of the table for production class 1.</t>
  </si>
  <si>
    <t>Enter the registry ID number in row 130 of the table for production class 1.</t>
  </si>
  <si>
    <t>Enter the registry ID number in row 131 of the table for production class 1.</t>
  </si>
  <si>
    <t>Enter the registry ID number in row 132 of the table for production class 1.</t>
  </si>
  <si>
    <t>Enter the registry ID number in row 133 of the table for production class 1.</t>
  </si>
  <si>
    <t>Enter the registry ID number in row 134 of the table for production class 1.</t>
  </si>
  <si>
    <t>Enter the registry ID number in row 135 of the table for production class 1.</t>
  </si>
  <si>
    <t>Enter the registry ID number in row 136 of the table for production class 1.</t>
  </si>
  <si>
    <t>Enter the registry ID number in row 137 of the table for production class 1.</t>
  </si>
  <si>
    <t>Enter the registry ID number in row 138 of the table for production class 1.</t>
  </si>
  <si>
    <t>Enter the registry ID number in row 139 of the table for production class 1.</t>
  </si>
  <si>
    <t>Enter the registry ID number in row 140 of the table for production class 1.</t>
  </si>
  <si>
    <t>Enter the registry ID number in row 141 of the table for production class 1.</t>
  </si>
  <si>
    <t>Enter the registry ID number in row 142 of the table for production class 1.</t>
  </si>
  <si>
    <t>Enter the registry ID number in row 143 of the table for production class 1.</t>
  </si>
  <si>
    <t>Enter the registry ID number in row 144 of the table for production class 1.</t>
  </si>
  <si>
    <t>Enter the registry ID number in row 145 of the table for production class 1.</t>
  </si>
  <si>
    <t>Enter the registry ID number in row 146 of the table for production class 1.</t>
  </si>
  <si>
    <t>Enter the registry ID number in row 147 of the table for production class 1.</t>
  </si>
  <si>
    <t>Enter the registry ID number in row 148 of the table for production class 1.</t>
  </si>
  <si>
    <t>Enter the registry ID number in row 149 of the table for production class 1.</t>
  </si>
  <si>
    <t>Enter the registry ID number in row 150 of the table for production class 1.</t>
  </si>
  <si>
    <t>Enter the registry ID number in row 151 of the table for production class 1.</t>
  </si>
  <si>
    <t>Enter the registry ID number in row 152 of the table for production class 1.</t>
  </si>
  <si>
    <t>Enter the registry ID number in row 153 of the table for production class 1.</t>
  </si>
  <si>
    <t>Enter the registry ID number in row 154 of the table for production class 1.</t>
  </si>
  <si>
    <t>Enter the registry ID number in row 155 of the table for production class 1.</t>
  </si>
  <si>
    <t>Enter the registry ID number in row 156 of the table for production class 1.</t>
  </si>
  <si>
    <t>Enter the registry ID number in row 157 of the table for production class 1.</t>
  </si>
  <si>
    <t>Enter the registry ID number in row 158 of the table for production class 1.</t>
  </si>
  <si>
    <t>Enter the registry ID number in row 159 of the table for production class 1.</t>
  </si>
  <si>
    <t>Enter the registry ID number in row 160 of the table for production class 1.</t>
  </si>
  <si>
    <t>Enter the registry ID number in row 161 of the table for production class 1.</t>
  </si>
  <si>
    <t>Enter the registry ID number in row 162 of the table for production class 1.</t>
  </si>
  <si>
    <t>Enter the registry ID number in row 163 of the table for production class 1.</t>
  </si>
  <si>
    <t>Enter the registry ID number in row 164 of the table for production class 1.</t>
  </si>
  <si>
    <t>Enter the registry ID number in row 165 of the table for production class 1.</t>
  </si>
  <si>
    <t>Enter the registry ID number in row 166 of the table for production class 1.</t>
  </si>
  <si>
    <t>Enter the registry ID number in row 167 of the table for production class 1.</t>
  </si>
  <si>
    <t>Enter the registry ID number in row 168 of the table for production class 1.</t>
  </si>
  <si>
    <t>Enter the registry ID number in row 169 of the table for production class 1.</t>
  </si>
  <si>
    <t>Enter the registry ID number in row 170 of the table for production class 1.</t>
  </si>
  <si>
    <t>Enter the registry ID number in row 171 of the table for production class 1.</t>
  </si>
  <si>
    <t>Enter the registry ID number in row 172 of the table for production class 1.</t>
  </si>
  <si>
    <t>Enter the registry ID number in row 173 of the table for production class 1.</t>
  </si>
  <si>
    <t>Enter the registry ID number in row 174 of the table for production class 1.</t>
  </si>
  <si>
    <t>Enter the registry ID number in row 175 of the table for production class 1.</t>
  </si>
  <si>
    <t>Enter the registry ID number in row 176 of the table for production class 1.</t>
  </si>
  <si>
    <t>Enter the registry ID number in row 177 of the table for production class 1.</t>
  </si>
  <si>
    <t>Enter the registry ID number in row 178 of the table for production class 1.</t>
  </si>
  <si>
    <t>Enter the registry ID number in row 179 of the table for production class 1.</t>
  </si>
  <si>
    <t>Enter the registry ID number in row 180 of the table for production class 1.</t>
  </si>
  <si>
    <t>Enter the registry ID number in row 181 of the table for production class 1.</t>
  </si>
  <si>
    <t>Enter the registry ID number in row 182 of the table for production class 1.</t>
  </si>
  <si>
    <t>Enter the registry ID number in row 183 of the table for production class 1.</t>
  </si>
  <si>
    <t>Enter the registry ID number in row 184 of the table for production class 1.</t>
  </si>
  <si>
    <t>Enter the registry ID number in row 185 of the table for production class 1.</t>
  </si>
  <si>
    <t>Enter the registry ID number in row 186 of the table for production class 1.</t>
  </si>
  <si>
    <t>Enter the registry ID number in row 187 of the table for production class 1.</t>
  </si>
  <si>
    <t>Enter the registry ID number in row 188 of the table for production class 1.</t>
  </si>
  <si>
    <t>Enter the registry ID number in row 189 of the table for production class 1.</t>
  </si>
  <si>
    <t>Enter the registry ID number in row 190 of the table for production class 1.</t>
  </si>
  <si>
    <t>Enter the registry ID number in row 191 of the table for production class 1.</t>
  </si>
  <si>
    <t>Enter the registry ID number in row 192 of the table for production class 1.</t>
  </si>
  <si>
    <t>Enter the registry ID number in row 193 of the table for production class 1.</t>
  </si>
  <si>
    <t>Enter the registry ID number in row 194 of the table for production class 1.</t>
  </si>
  <si>
    <t>Enter the registry ID number in row 195 of the table for production class 1.</t>
  </si>
  <si>
    <t>Enter the registry ID number in row 196 of the table for production class 1.</t>
  </si>
  <si>
    <t>Enter the registry ID number in row 197 of the table for production class 1.</t>
  </si>
  <si>
    <t>Enter the registry ID number in row 198 of the table for production class 1.</t>
  </si>
  <si>
    <t>Enter the registry ID number in row 199 of the table for production class 1.</t>
  </si>
  <si>
    <t>Enter the registry ID number in row 200 of the table for production class 1.</t>
  </si>
  <si>
    <t>Enter the registry ID number in row 201 of the table for production class 1.</t>
  </si>
  <si>
    <t>Enter the registry ID number in row 202 of the table for production class 1.</t>
  </si>
  <si>
    <t>Enter the registry ID number in row 203 of the table for production class 1.</t>
  </si>
  <si>
    <t>Enter the registry ID number in row 204 of the table for production class 1.</t>
  </si>
  <si>
    <t>Enter the registry ID number in row 205 of the table for production class 1.</t>
  </si>
  <si>
    <t>Enter the registry ID number in row 206 of the table for production class 1.</t>
  </si>
  <si>
    <t>Enter the registry ID number in row 207 of the table for production class 1.</t>
  </si>
  <si>
    <t>Enter the registry ID number in row 208 of the table for production class 1.</t>
  </si>
  <si>
    <t>Enter the registry ID number in row 209 of the table for production class 1.</t>
  </si>
  <si>
    <t>Enter the registry ID number in row 210 of the table for production class 1.</t>
  </si>
  <si>
    <t>Enter the registry ID number in row 211 of the table for production class 1.</t>
  </si>
  <si>
    <t>Enter the registry ID number in row 212 of the table for production class 1.</t>
  </si>
  <si>
    <t>Enter the registry ID number in row 213 of the table for production class 1.</t>
  </si>
  <si>
    <t>Enter the registry ID number in row 214 of the table for production class 1.</t>
  </si>
  <si>
    <t>Enter the registry ID number in row 215 of the table for production class 1.</t>
  </si>
  <si>
    <t>Enter the registry ID number in row 216 of the table for production class 1.</t>
  </si>
  <si>
    <t>Enter the registry ID number in row 217 of the table for production class 1.</t>
  </si>
  <si>
    <t>Enter the registry ID number in row 218 of the table for production class 1.</t>
  </si>
  <si>
    <t>Enter the registry ID number in row 219 of the table for production class 1.</t>
  </si>
  <si>
    <t>Enter the registry ID number in row 220 of the table for production class 1.</t>
  </si>
  <si>
    <t>Enter the registry ID number in row 221 of the table for production class 1.</t>
  </si>
  <si>
    <t>Enter the registry ID number in row 222 of the table for production class 1.</t>
  </si>
  <si>
    <t>Enter the registry ID number in row 223 of the table for production class 1.</t>
  </si>
  <si>
    <t>Enter the registry ID number in row 224 of the table for production class 1.</t>
  </si>
  <si>
    <t>Enter the registry ID number in row 225 of the table for production class 1.</t>
  </si>
  <si>
    <t>Enter the registry ID number in row 226 of the table for production class 1.</t>
  </si>
  <si>
    <t>Enter the registry ID number in row 227 of the table for production class 1.</t>
  </si>
  <si>
    <t>Enter the registry ID number in row 228 of the table for production class 1.</t>
  </si>
  <si>
    <t>Enter the registry ID number in row 229 of the table for production class 1.</t>
  </si>
  <si>
    <t>Enter the registry ID number in row 230 of the table for production class 1.</t>
  </si>
  <si>
    <t>Enter the registry ID number in row 231 of the table for production class 1.</t>
  </si>
  <si>
    <t>Enter the registry ID number in row 232 of the table for production class 1.</t>
  </si>
  <si>
    <t>Enter the registry ID number in row 233 of the table for production class 1.</t>
  </si>
  <si>
    <t>Enter the registry ID number in row 234 of the table for production class 1.</t>
  </si>
  <si>
    <t>Enter the registry ID number in row 235 of the table for production class 1.</t>
  </si>
  <si>
    <t>Enter the registry ID number in row 236 of the table for production class 1.</t>
  </si>
  <si>
    <t>Enter the registry ID number in row 237 of the table for production class 1.</t>
  </si>
  <si>
    <t>Enter the registry ID number in row 238 of the table for production class 1.</t>
  </si>
  <si>
    <t>Enter the registry ID number in row 239 of the table for production class 1.</t>
  </si>
  <si>
    <t>Enter the registry ID number in row 240 of the table for production class 1.</t>
  </si>
  <si>
    <t>Enter the registry ID number in row 241 of the table for production class 1.</t>
  </si>
  <si>
    <t>Enter the registry ID number in row 242 of the table for production class 1.</t>
  </si>
  <si>
    <t>Enter the registry ID number in row 243 of the table for production class 1.</t>
  </si>
  <si>
    <t>Enter the registry ID number in row 244 of the table for production class 1.</t>
  </si>
  <si>
    <t>Enter the registry ID number in row 245 of the table for production class 1.</t>
  </si>
  <si>
    <t>Enter the registry ID number in row 246 of the table for production class 1.</t>
  </si>
  <si>
    <t>Enter the registry ID number in row 247 of the table for production class 1.</t>
  </si>
  <si>
    <t>Enter the registry ID number in row 248 of the table for production class 1.</t>
  </si>
  <si>
    <t>Enter the registry ID number in row 249 of the table for production class 1.</t>
  </si>
  <si>
    <t>Enter the registry ID number in row 250 of the table for production class 1.</t>
  </si>
  <si>
    <t>Enter the registry ID number in row 251 of the table for production class 1.</t>
  </si>
  <si>
    <t>Enter the registry ID number in row 252 of the table for production class 1.</t>
  </si>
  <si>
    <t>Enter the registry ID number in row 253 of the table for production class 1.</t>
  </si>
  <si>
    <t>Enter the registry ID number in row 254 of the table for production class 1.</t>
  </si>
  <si>
    <t>Enter the registry ID number in row 255 of the table for production class 1.</t>
  </si>
  <si>
    <t>Enter the registry ID number in row 256 of the table for production class 1.</t>
  </si>
  <si>
    <t>Enter the registry ID number in row 257 of the table for production class 1.</t>
  </si>
  <si>
    <t>Enter the registry ID number in row 258 of the table for production class 1.</t>
  </si>
  <si>
    <t>Enter the registry ID number in row 259 of the table for production class 1.</t>
  </si>
  <si>
    <t>Enter the registry ID number in row 260 of the table for production class 1.</t>
  </si>
  <si>
    <t>Enter the registry ID number in row 261 of the table for production class 1.</t>
  </si>
  <si>
    <t>Enter the registry ID number in row 262 of the table for production class 1.</t>
  </si>
  <si>
    <t>Enter the registry ID number in row 263 of the table for production class 1.</t>
  </si>
  <si>
    <t>Enter the registry ID number in row 264 of the table for production class 1.</t>
  </si>
  <si>
    <t>Enter the registry ID number in row 265 of the table for production class 1.</t>
  </si>
  <si>
    <t>Enter the registry ID number in row 266 of the table for production class 1.</t>
  </si>
  <si>
    <t>Enter the registry ID number in row 267 of the table for production class 1.</t>
  </si>
  <si>
    <t>Enter the registry ID number in row 268 of the table for production class 1.</t>
  </si>
  <si>
    <t>Enter the registry ID number in row 269 of the table for production class 1.</t>
  </si>
  <si>
    <t>Enter the registry ID number in row 270 of the table for production class 1.</t>
  </si>
  <si>
    <t>Enter the registry ID number in row 271 of the table for production class 1.</t>
  </si>
  <si>
    <t>Enter the registry ID number in row 272 of the table for production class 1.</t>
  </si>
  <si>
    <t>Enter the registry ID number in row 273 of the table for production class 1.</t>
  </si>
  <si>
    <t>Enter the registry ID number in row 274 of the table for production class 1.</t>
  </si>
  <si>
    <t>Enter the registry ID number in row 275 of the table for production class 1.</t>
  </si>
  <si>
    <t>Enter the registry ID number in row 276 of the table for production class 1.</t>
  </si>
  <si>
    <t>Enter the registry ID number in row 277 of the table for production class 1.</t>
  </si>
  <si>
    <t>Enter the registry ID number in row 278 of the table for production class 1.</t>
  </si>
  <si>
    <t>Enter the registry ID number in row 279 of the table for production class 1.</t>
  </si>
  <si>
    <t>Enter the registry ID number in row 280 of the table for production class 1.</t>
  </si>
  <si>
    <t>Enter the registry ID number in row 281 of the table for production class 1.</t>
  </si>
  <si>
    <t>Enter the registry ID number in row 282 of the table for production class 1.</t>
  </si>
  <si>
    <t>Enter the registry ID number in row 283 of the table for production class 1.</t>
  </si>
  <si>
    <t>Enter the registry ID number in row 284 of the table for production class 1.</t>
  </si>
  <si>
    <t>Enter the registry ID number in row 285 of the table for production class 1.</t>
  </si>
  <si>
    <t>Enter the registry ID number in row 286 of the table for production class 1.</t>
  </si>
  <si>
    <t>Enter the registry ID number in row 287 of the table for production class 1.</t>
  </si>
  <si>
    <t>Enter the registry ID number in row 288 of the table for production class 1.</t>
  </si>
  <si>
    <t>Enter the registry ID number in row 289 of the table for production class 1.</t>
  </si>
  <si>
    <t>Enter the registry ID number in row 290 of the table for production class 1.</t>
  </si>
  <si>
    <t>Enter the registry ID number in row 291 of the table for production class 1.</t>
  </si>
  <si>
    <t>Enter the registry ID number in row 292 of the table for production class 1.</t>
  </si>
  <si>
    <t>Enter the registry ID number in row 293 of the table for production class 1.</t>
  </si>
  <si>
    <t>Enter the registry ID number in row 294 of the table for production class 1.</t>
  </si>
  <si>
    <t>Enter the registry ID number in row 295 of the table for production class 1.</t>
  </si>
  <si>
    <t>Enter the registry ID number in row 296 of the table for production class 1.</t>
  </si>
  <si>
    <t>Enter the registry ID number in row 297 of the table for production class 1.</t>
  </si>
  <si>
    <t>Enter the registry ID number in row 298 of the table for production class 1.</t>
  </si>
  <si>
    <t>Enter the registry ID number in row 299 of the table for production class 1.</t>
  </si>
  <si>
    <t>Enter the registry ID number in row 300 of the table for production class 1.</t>
  </si>
  <si>
    <t>Enter the registry ID number in row 301 of the table for production class 1.</t>
  </si>
  <si>
    <t>Enter the registry ID number in row 302 of the table for production class 1.</t>
  </si>
  <si>
    <t>Enter the registry ID number in row 303 of the table for production class 1.</t>
  </si>
  <si>
    <t>Enter the registry ID number in row 304 of the table for production class 1.</t>
  </si>
  <si>
    <t>Enter the registry ID number in row 305 of the table for production class 1.</t>
  </si>
  <si>
    <t>Enter the registry ID number in row 306 of the table for production class 1.</t>
  </si>
  <si>
    <t>Enter the registry ID number in row 307 of the table for production class 1.</t>
  </si>
  <si>
    <t>Enter the registry ID number in row 308 of the table for production class 1.</t>
  </si>
  <si>
    <t>Enter the registry ID number in row 309 of the table for production class 1.</t>
  </si>
  <si>
    <t>Enter the registry ID number in row 310 of the table for production class 1.</t>
  </si>
  <si>
    <t>Enter the registry ID number in row 311 of the table for production class 1.</t>
  </si>
  <si>
    <t>Enter the registry ID number in row 312 of the table for production class 1.</t>
  </si>
  <si>
    <t>Enter the registry ID number in row 313 of the table for production class 1.</t>
  </si>
  <si>
    <t>Enter the registry ID number in row 314 of the table for production class 1.</t>
  </si>
  <si>
    <t>Enter the registry ID number in row 315 of the table for production class 1.</t>
  </si>
  <si>
    <t>Enter the registry ID number in row 316 of the table for production class 1.</t>
  </si>
  <si>
    <t>Enter the registry ID number in row 317 of the table for production class 1.</t>
  </si>
  <si>
    <t>Enter the registry ID number in row 318 of the table for production class 1.</t>
  </si>
  <si>
    <t>Enter the registry ID number in row 319 of the table for production class 1.</t>
  </si>
  <si>
    <t>Enter the registry ID number in row 320 of the table for production class 1.</t>
  </si>
  <si>
    <t>Enter the registry ID number in row 321 of the table for production class 1.</t>
  </si>
  <si>
    <t>Enter the registry ID number in row 322 of the table for production class 1.</t>
  </si>
  <si>
    <t>Enter the registry ID number in row 323 of the table for production class 1.</t>
  </si>
  <si>
    <t>Enter the registry ID number in row 324 of the table for production class 1.</t>
  </si>
  <si>
    <t>Enter the registry ID number in row 325 of the table for production class 1.</t>
  </si>
  <si>
    <t>Enter the registry ID number in row 326 of the table for production class 1.</t>
  </si>
  <si>
    <t>Enter the registry ID number in row 327 of the table for production class 1.</t>
  </si>
  <si>
    <t>Enter the registry ID number in row 328 of the table for production class 1.</t>
  </si>
  <si>
    <t>Enter the registry ID number in row 329 of the table for production class 1.</t>
  </si>
  <si>
    <t>Enter the registry ID number in row 330 of the table for production class 1.</t>
  </si>
  <si>
    <t>Enter the registry ID number in row 331 of the table for production class 1.</t>
  </si>
  <si>
    <t>Enter the registry ID number in row 332 of the table for production class 1.</t>
  </si>
  <si>
    <t>Enter the registry ID number in row 333 of the table for production class 1.</t>
  </si>
  <si>
    <t>Enter the registry ID number in row 334 of the table for production class 1.</t>
  </si>
  <si>
    <t>Enter the registry ID number in row 335 of the table for production class 1.</t>
  </si>
  <si>
    <t>Enter the registry ID number in row 336 of the table for production class 1.</t>
  </si>
  <si>
    <t>Enter the registry ID number in row 337 of the table for production class 1.</t>
  </si>
  <si>
    <t>Enter the registry ID number in row 338 of the table for production class 1.</t>
  </si>
  <si>
    <t>Enter the registry ID number in row 339 of the table for production class 1.</t>
  </si>
  <si>
    <t>Enter the registry ID number in row 340 of the table for production class 1.</t>
  </si>
  <si>
    <t>Enter the registry ID number in row 341 of the table for production class 1.</t>
  </si>
  <si>
    <t>Enter the registry ID number in row 342 of the table for production class 1.</t>
  </si>
  <si>
    <t>Enter the registry ID number in row 343 of the table for production class 1.</t>
  </si>
  <si>
    <t>Enter the registry ID number in row 344 of the table for production class 1.</t>
  </si>
  <si>
    <t>Enter the registry ID number in row 345 of the table for production class 1.</t>
  </si>
  <si>
    <t>Enter the registry ID number in row 346 of the table for production class 1.</t>
  </si>
  <si>
    <t>Enter the registry ID number in row 347 of the table for production class 1.</t>
  </si>
  <si>
    <t>Enter the registry ID number in row 348 of the table for production class 1.</t>
  </si>
  <si>
    <t>Enter the registry ID number in row 349 of the table for production class 1.</t>
  </si>
  <si>
    <t>Enter the registry ID number in row 350 of the table for production class 1.</t>
  </si>
  <si>
    <t>Enter the registry ID number in row 351 of the table for production class 1.</t>
  </si>
  <si>
    <t>Enter the registry ID number in row 352 of the table for production class 1.</t>
  </si>
  <si>
    <t>Enter the registry ID number in row 353 of the table for production class 1.</t>
  </si>
  <si>
    <t>Enter the registry ID number in row 354 of the table for production class 1.</t>
  </si>
  <si>
    <t>Enter the registry ID number in row 355 of the table for production class 1.</t>
  </si>
  <si>
    <t>Enter the registry ID number in row 356 of the table for production class 1.</t>
  </si>
  <si>
    <t>Enter the registry ID number in row 357 of the table for production class 1.</t>
  </si>
  <si>
    <t>Enter the registry ID number in row 358 of the table for production class 1.</t>
  </si>
  <si>
    <t>Enter the registry ID number in row 359 of the table for production class 1.</t>
  </si>
  <si>
    <t>Enter the registry ID number in row 360 of the table for production class 1.</t>
  </si>
  <si>
    <t>Enter the registry ID number in row 361 of the table for production class 1.</t>
  </si>
  <si>
    <t>Enter the registry ID number in row 362 of the table for production class 1.</t>
  </si>
  <si>
    <t>Enter the registry ID number in row 363 of the table for production class 1.</t>
  </si>
  <si>
    <t>Enter the registry ID number in row 364 of the table for production class 1.</t>
  </si>
  <si>
    <t>Enter the registry ID number in row 365 of the table for production class 1.</t>
  </si>
  <si>
    <t>Enter the registry ID number in row 366 of the table for production class 1.</t>
  </si>
  <si>
    <t>Enter the registry ID number in row 367 of the table for production class 1.</t>
  </si>
  <si>
    <t>Enter the registry ID number in row 368 of the table for production class 1.</t>
  </si>
  <si>
    <t>Enter the registry ID number in row 369 of the table for production class 1.</t>
  </si>
  <si>
    <t>Enter the registry ID number in row 370 of the table for production class 1.</t>
  </si>
  <si>
    <t>Enter the registry ID number in row 371 of the table for production class 1.</t>
  </si>
  <si>
    <t>Enter the registry ID number in row 372 of the table for production class 1.</t>
  </si>
  <si>
    <t>Enter the registry ID number in row 373 of the table for production class 1.</t>
  </si>
  <si>
    <t>Enter the registry ID number in row 374 of the table for production class 1.</t>
  </si>
  <si>
    <t>Enter the registry ID number in row 375 of the table for production class 1.</t>
  </si>
  <si>
    <t>Enter the registry ID number in row 376 of the table for production class 1.</t>
  </si>
  <si>
    <t>Enter the registry ID number in row 377 of the table for production class 1.</t>
  </si>
  <si>
    <t>Enter the registry ID number in row 378 of the table for production class 1.</t>
  </si>
  <si>
    <t>Enter the registry ID number in row 379 of the table for production class 1.</t>
  </si>
  <si>
    <t>Enter the registry ID number in row 380 of the table for production class 1.</t>
  </si>
  <si>
    <t>Enter the registry ID number in row 381 of the table for production class 1.</t>
  </si>
  <si>
    <t>Enter the registry ID number in row 382 of the table for production class 1.</t>
  </si>
  <si>
    <t>Enter the registry ID number in row 383 of the table for production class 1.</t>
  </si>
  <si>
    <t>Enter the registry ID number in row 384 of the table for production class 1.</t>
  </si>
  <si>
    <t>Enter the registry ID number in row 385 of the table for production class 1.</t>
  </si>
  <si>
    <t>Enter the registry ID number in row 386 of the table for production class 1.</t>
  </si>
  <si>
    <t>Enter the registry ID number in row 387 of the table for production class 1.</t>
  </si>
  <si>
    <t>Enter the registry ID number in row 388 of the table for production class 1.</t>
  </si>
  <si>
    <t>Enter the registry ID number in row 389 of the table for production class 1.</t>
  </si>
  <si>
    <t>Enter the registry ID number in row 390 of the table for production class 1.</t>
  </si>
  <si>
    <t>Enter the registry ID number in row 391 of the table for production class 1.</t>
  </si>
  <si>
    <t>Enter the registry ID number in row 392 of the table for production class 1.</t>
  </si>
  <si>
    <t>Enter the registry ID number in row 393 of the table for production class 1.</t>
  </si>
  <si>
    <t>Enter the registry ID number in row 394 of the table for production class 1.</t>
  </si>
  <si>
    <t>Enter the registry ID number in row 395 of the table for production class 1.</t>
  </si>
  <si>
    <t>Enter the registry ID number in row 396 of the table for production class 1.</t>
  </si>
  <si>
    <t>Enter the registry ID number in row 397 of the table for production class 1.</t>
  </si>
  <si>
    <t>Enter the registry ID number in row 398 of the table for production class 1.</t>
  </si>
  <si>
    <t>Enter the registry ID number in row 399 of the table for production class 1.</t>
  </si>
  <si>
    <t>Enter the registry ID number in row 400 of the table for production class 1.</t>
  </si>
  <si>
    <t>Enter the registry ID number in row 401 of the table for production class 1.</t>
  </si>
  <si>
    <t>Enter the registry ID number in row 402 of the table for production class 1.</t>
  </si>
  <si>
    <t>Enter the registry ID number in row 403 of the table for production class 1.</t>
  </si>
  <si>
    <t>Enter the registry ID number in row 404 of the table for production class 1.</t>
  </si>
  <si>
    <t>Enter the registry ID number in row 405 of the table for production class 1.</t>
  </si>
  <si>
    <t>Enter the registry ID number in row 406 of the table for production class 1.</t>
  </si>
  <si>
    <t>Enter the registry ID number in row 407 of the table for production class 1.</t>
  </si>
  <si>
    <t>Enter the registry ID number in row 408 of the table for production class 1.</t>
  </si>
  <si>
    <t>Enter the registry ID number in row 409 of the table for production class 1.</t>
  </si>
  <si>
    <t>Enter the registry ID number in row 410 of the table for production class 1.</t>
  </si>
  <si>
    <t>Enter the registry ID number in row 411 of the table for production class 1.</t>
  </si>
  <si>
    <t>Enter the registry ID number in row 412 of the table for production class 1.</t>
  </si>
  <si>
    <t>Enter the registry ID number in row 413 of the table for production class 1.</t>
  </si>
  <si>
    <t>Enter the registry ID number in row 414 of the table for production class 1.</t>
  </si>
  <si>
    <t>Enter the registry ID number in row 415 of the table for production class 1.</t>
  </si>
  <si>
    <t>Enter the registry ID number in row 416 of the table for production class 1.</t>
  </si>
  <si>
    <t>Enter the registry ID number in row 417 of the table for production class 1.</t>
  </si>
  <si>
    <t>Enter the registry ID number in row 418 of the table for production class 1.</t>
  </si>
  <si>
    <t>Enter the registry ID number in row 419 of the table for production class 1.</t>
  </si>
  <si>
    <t>Enter the registry ID number in row 420 of the table for production class 1.</t>
  </si>
  <si>
    <t>Enter the registry ID number in row 421 of the table for production class 1.</t>
  </si>
  <si>
    <t>Enter the registry ID number in row 422 of the table for production class 1.</t>
  </si>
  <si>
    <t>Enter the registry ID number in row 423 of the table for production class 1.</t>
  </si>
  <si>
    <t>Enter the registry ID number in row 424 of the table for production class 1.</t>
  </si>
  <si>
    <t>Enter the registry ID number in row 425 of the table for production class 1.</t>
  </si>
  <si>
    <t>Enter the registry ID number in row 426 of the table for production class 1.</t>
  </si>
  <si>
    <t>Enter the registry ID number in row 427 of the table for production class 1.</t>
  </si>
  <si>
    <t>Enter the registry ID number in row 428 of the table for production class 1.</t>
  </si>
  <si>
    <t>Enter the registry ID number in row 429 of the table for production class 1.</t>
  </si>
  <si>
    <t>Enter the registry ID number in row 430 of the table for production class 1.</t>
  </si>
  <si>
    <t>Enter the registry ID number in row 431 of the table for production class 1.</t>
  </si>
  <si>
    <t>Enter the registry ID number in row 432 of the table for production class 1.</t>
  </si>
  <si>
    <t>Enter the registry ID number in row 433 of the table for production class 1.</t>
  </si>
  <si>
    <t>Enter the registry ID number in row 434 of the table for production class 1.</t>
  </si>
  <si>
    <t>Enter the registry ID number in row 435 of the table for production class 1.</t>
  </si>
  <si>
    <t>Enter the registry ID number in row 436 of the table for production class 1.</t>
  </si>
  <si>
    <t>Enter the registry ID number in row 437 of the table for production class 1.</t>
  </si>
  <si>
    <t>Enter the registry ID number in row 438 of the table for production class 1.</t>
  </si>
  <si>
    <t>Enter the registry ID number in row 439 of the table for production class 1.</t>
  </si>
  <si>
    <t>Enter the registry ID number in row 440 of the table for production class 1.</t>
  </si>
  <si>
    <t>Enter the registry ID number in row 441 of the table for production class 1.</t>
  </si>
  <si>
    <t>Enter the registry ID number in row 442 of the table for production class 1.</t>
  </si>
  <si>
    <t>Enter the registry ID number in row 443 of the table for production class 1.</t>
  </si>
  <si>
    <t>Enter the registry ID number in row 444 of the table for production class 1.</t>
  </si>
  <si>
    <t>Enter the registry ID number in row 445 of the table for production class 1.</t>
  </si>
  <si>
    <t>Enter the registry ID number in row 446 of the table for production class 1.</t>
  </si>
  <si>
    <t>Enter the registry ID number in row 447 of the table for production class 1.</t>
  </si>
  <si>
    <t>Enter the registry ID number in row 448 of the table for production class 1.</t>
  </si>
  <si>
    <t>Enter the registry ID number in row 449 of the table for production class 1.</t>
  </si>
  <si>
    <t>Enter the registry ID number in row 450 of the table for production class 1.</t>
  </si>
  <si>
    <t>Enter the registry ID number in row 451 of the table for production class 1.</t>
  </si>
  <si>
    <t>Enter the registry ID number in row 452 of the table for production class 1.</t>
  </si>
  <si>
    <t>Enter the registry ID number in row 453 of the table for production class 1.</t>
  </si>
  <si>
    <t>Enter the registry ID number in row 454 of the table for production class 1.</t>
  </si>
  <si>
    <t>Enter the registry ID number in row 455 of the table for production class 1.</t>
  </si>
  <si>
    <t>Enter the registry ID number in row 456 of the table for production class 1.</t>
  </si>
  <si>
    <t>Enter the registry ID number in row 457 of the table for production class 1.</t>
  </si>
  <si>
    <t>Enter the registry ID number in row 458 of the table for production class 1.</t>
  </si>
  <si>
    <t>Enter the registry ID number in row 459 of the table for production class 1.</t>
  </si>
  <si>
    <t>Enter the registry ID number in row 460 of the table for production class 1.</t>
  </si>
  <si>
    <t>Enter the registry ID number in row 461 of the table for production class 1.</t>
  </si>
  <si>
    <t>Enter the registry ID number in row 462 of the table for production class 1.</t>
  </si>
  <si>
    <t>Enter the registry ID number in row 463 of the table for production class 1.</t>
  </si>
  <si>
    <t>Enter the registry ID number in row 464 of the table for production class 1.</t>
  </si>
  <si>
    <t>Enter the registry ID number in row 465 of the table for production class 1.</t>
  </si>
  <si>
    <t>Enter the registry ID number in row 466 of the table for production class 1.</t>
  </si>
  <si>
    <t>Enter the registry ID number in row 467 of the table for production class 1.</t>
  </si>
  <si>
    <t>Enter the registry ID number in row 468 of the table for production class 1.</t>
  </si>
  <si>
    <t>Enter the registry ID number in row 469 of the table for production class 1.</t>
  </si>
  <si>
    <t>Enter the registry ID number in row 470 of the table for production class 1.</t>
  </si>
  <si>
    <t>Enter the registry ID number in row 471 of the table for production class 1.</t>
  </si>
  <si>
    <t>Enter the registry ID number in row 472 of the table for production class 1.</t>
  </si>
  <si>
    <t>Enter the registry ID number in row 473 of the table for production class 1.</t>
  </si>
  <si>
    <t>Enter the registry ID number in row 474 of the table for production class 1.</t>
  </si>
  <si>
    <t>Enter the registry ID number in row 475 of the table for production class 1.</t>
  </si>
  <si>
    <t>Enter the registry ID number in row 476 of the table for production class 1.</t>
  </si>
  <si>
    <t>Enter the registry ID number in row 477 of the table for production class 1.</t>
  </si>
  <si>
    <t>Enter the registry ID number in row 478 of the table for production class 1.</t>
  </si>
  <si>
    <t>Enter the registry ID number in row 479 of the table for production class 1.</t>
  </si>
  <si>
    <t>Enter the registry ID number in row 480 of the table for production class 1.</t>
  </si>
  <si>
    <t>Enter the registry ID number in row 481 of the table for production class 1.</t>
  </si>
  <si>
    <t>Enter the registry ID number in row 482 of the table for production class 1.</t>
  </si>
  <si>
    <t>Enter the registry ID number in row 483 of the table for production class 1.</t>
  </si>
  <si>
    <t>Enter the registry ID number in row 484 of the table for production class 1.</t>
  </si>
  <si>
    <t>Enter the registry ID number in row 485 of the table for production class 1.</t>
  </si>
  <si>
    <t>Enter the registry ID number in row 486 of the table for production class 1.</t>
  </si>
  <si>
    <t>Enter the registry ID number in row 487 of the table for production class 1.</t>
  </si>
  <si>
    <t>Enter the registry ID number in row 488 of the table for production class 1.</t>
  </si>
  <si>
    <t>Enter the registry ID number in row 489 of the table for production class 1.</t>
  </si>
  <si>
    <t>Enter the registry ID number in row 490 of the table for production class 1.</t>
  </si>
  <si>
    <t>Enter the registry ID number in row 491 of the table for production class 1.</t>
  </si>
  <si>
    <t>Enter the registry ID number in row 492 of the table for production class 1.</t>
  </si>
  <si>
    <t>Enter the registry ID number in row 493 of the table for production class 1.</t>
  </si>
  <si>
    <t>Enter the registry ID number in row 494 of the table for production class 1.</t>
  </si>
  <si>
    <t>Enter the registry ID number in row 495 of the table for production class 1.</t>
  </si>
  <si>
    <t>Enter the registry ID number in row 496 of the table for production class 1.</t>
  </si>
  <si>
    <t>Enter the registry ID number in row 497 of the table for production class 1.</t>
  </si>
  <si>
    <t>Enter the registry ID number in row 498 of the table for production class 1.</t>
  </si>
  <si>
    <t>Enter the registry ID number in row 499 of the table for production class 1.</t>
  </si>
  <si>
    <t>Enter the registry ID number in row 500 of the table for production class 1.</t>
  </si>
  <si>
    <t>Enter the registry ID number in row 501 of the table for production class 1.</t>
  </si>
  <si>
    <t>Enter the registry ID number in row 502 of the table for production class 1.</t>
  </si>
  <si>
    <t>Enter the registry ID number in row 503 of the table for production class 1.</t>
  </si>
  <si>
    <t>Enter the registry ID number in row 504 of the table for production class 1.</t>
  </si>
  <si>
    <t>Enter the registry ID number in row 505 of the table for production class 1.</t>
  </si>
  <si>
    <t>Enter the registry ID number in row 506 of the table for production class 1.</t>
  </si>
  <si>
    <t>Enter the registry ID number in row 507 of the table for production class 1.</t>
  </si>
  <si>
    <t>Enter the registry ID number in row 508 of the table for production class 1.</t>
  </si>
  <si>
    <t>Enter the registry ID number in row 509 of the table for production class 1.</t>
  </si>
  <si>
    <t>Enter the registry ID number in row 510 of the table for production class 1.</t>
  </si>
  <si>
    <t>Enter the registry ID number in row 511 of the table for production class 1.</t>
  </si>
  <si>
    <t>Enter the registry ID number in row 512 of the table for production class 1.</t>
  </si>
  <si>
    <t>Enter the registry ID number in row 513 of the table for production class 1.</t>
  </si>
  <si>
    <t>Enter the registry ID number in row 514 of the table for production class 1.</t>
  </si>
  <si>
    <t>Enter the registry ID number in row 515 of the table for production class 1.</t>
  </si>
  <si>
    <t>Enter the registry ID number in row 516 of the table for production class 1.</t>
  </si>
  <si>
    <t>Enter the registry ID number in row 517 of the table for production class 1.</t>
  </si>
  <si>
    <t>Enter the registry ID number in row 518 of the table for production class 1.</t>
  </si>
  <si>
    <t>Enter the registry ID number in row 519 of the table for production class 1.</t>
  </si>
  <si>
    <t>Enter the registry ID number in row 520 of the table for production class 1.</t>
  </si>
  <si>
    <t>Enter the registry ID number in row 521 of the table for production class 1.</t>
  </si>
  <si>
    <t>Enter the registry ID number in row 522 of the table for production class 1.</t>
  </si>
  <si>
    <t>Enter the registry ID number in row 523 of the table for production class 1.</t>
  </si>
  <si>
    <t>Enter the registry ID number in row 524 of the table for production class 1.</t>
  </si>
  <si>
    <t>Enter the registry ID number in row 525 of the table for production class 1.</t>
  </si>
  <si>
    <t>Enter the registry ID number in row 526 of the table for production class 1.</t>
  </si>
  <si>
    <t>Enter the registry ID number in row 527 of the table for production class 1.</t>
  </si>
  <si>
    <t>Enter the registry ID number in row 528 of the table for production class 1.</t>
  </si>
  <si>
    <t>Enter the registry ID number in row 529 of the table for production class 1.</t>
  </si>
  <si>
    <t>Enter the registry ID number in row 530 of the table for production class 1.</t>
  </si>
  <si>
    <t>Enter the registry ID number in row 531 of the table for production class 1.</t>
  </si>
  <si>
    <t>Enter the registry ID number in row 532 of the table for production class 1.</t>
  </si>
  <si>
    <t>Enter the registry ID number in row 533 of the table for production class 1.</t>
  </si>
  <si>
    <t>Enter the registry ID number in row 534 of the table for production class 1.</t>
  </si>
  <si>
    <t>Enter the registry ID number in row 535 of the table for production class 1.</t>
  </si>
  <si>
    <t>Enter the registry ID number in row 536 of the table for production class 1.</t>
  </si>
  <si>
    <t>Enter the registry ID number in row 537 of the table for production class 1.</t>
  </si>
  <si>
    <t>Enter the registry ID number in row 538 of the table for production class 1.</t>
  </si>
  <si>
    <t>Enter the registry ID number in row 539 of the table for production class 1.</t>
  </si>
  <si>
    <t>Enter the registry ID number in row 540 of the table for production class 1.</t>
  </si>
  <si>
    <t>Enter the registry ID number in row 541 of the table for production class 1.</t>
  </si>
  <si>
    <t>Enter the registry ID number in row 542 of the table for production class 1.</t>
  </si>
  <si>
    <t>Enter the registry ID number in row 543 of the table for production class 1.</t>
  </si>
  <si>
    <t>Enter the registry ID number in row 544 of the table for production class 1.</t>
  </si>
  <si>
    <t>Enter the registry ID number in row 545 of the table for production class 1.</t>
  </si>
  <si>
    <t>Enter the registry ID number in row 546 of the table for production class 1.</t>
  </si>
  <si>
    <t>Enter the registry ID number in row 547 of the table for production class 1.</t>
  </si>
  <si>
    <t>Enter the registry ID number in row 548 of the table for production class 1.</t>
  </si>
  <si>
    <t>Enter the registry ID number in row 549 of the table for production class 1.</t>
  </si>
  <si>
    <t>Enter the registry ID number in row 550 of the table for production class 1.</t>
  </si>
  <si>
    <t>Enter the registry ID number in row 551 of the table for production class 1.</t>
  </si>
  <si>
    <t>Enter the registry ID number in row 552 of the table for production class 1.</t>
  </si>
  <si>
    <t>Enter the registry ID number in row 553 of the table for production class 1.</t>
  </si>
  <si>
    <t>Enter the registry ID number in row 554 of the table for production class 1.</t>
  </si>
  <si>
    <t>Enter the registry ID number in row 555 of the table for production class 1.</t>
  </si>
  <si>
    <t>Enter the registry ID number in row 556 of the table for production class 1.</t>
  </si>
  <si>
    <t>Enter the registry ID number in row 557 of the table for production class 1.</t>
  </si>
  <si>
    <t>Enter the registry ID number in row 558 of the table for production class 1.</t>
  </si>
  <si>
    <t>Enter the registry ID number in row 559 of the table for production class 1.</t>
  </si>
  <si>
    <t>Enter the registry ID number in row 560 of the table for production class 1.</t>
  </si>
  <si>
    <t>Enter the registry ID number in row 561 of the table for production class 1.</t>
  </si>
  <si>
    <t>Enter the registry ID number in row 562 of the table for production class 1.</t>
  </si>
  <si>
    <t>Enter the registry ID number in row 563 of the table for production class 1.</t>
  </si>
  <si>
    <t>Enter the registry ID number in row 564 of the table for production class 1.</t>
  </si>
  <si>
    <t>Enter the registry ID number in row 565 of the table for production class 1.</t>
  </si>
  <si>
    <t>Enter the registry ID number in row 566 of the table for production class 1.</t>
  </si>
  <si>
    <t>Enter the registry ID number in row 567 of the table for production class 1.</t>
  </si>
  <si>
    <t>Enter the registry ID number in row 568 of the table for production class 1.</t>
  </si>
  <si>
    <t>Enter the registry ID number in row 569 of the table for production class 1.</t>
  </si>
  <si>
    <t>Enter the registry ID number in row 570 of the table for production class 1.</t>
  </si>
  <si>
    <t>Enter the registry ID number in row 571 of the table for production class 1.</t>
  </si>
  <si>
    <t>Enter the registry ID number in row 572 of the table for production class 1.</t>
  </si>
  <si>
    <t>Enter the registry ID number in row 573 of the table for production class 1.</t>
  </si>
  <si>
    <t>Enter the registry ID number in row 574 of the table for production class 1.</t>
  </si>
  <si>
    <t>Enter the registry ID number in row 575 of the table for production class 1.</t>
  </si>
  <si>
    <t>Enter the registry ID number in row 576 of the table for production class 1.</t>
  </si>
  <si>
    <t>Enter the registry ID number in row 577 of the table for production class 1.</t>
  </si>
  <si>
    <t>Enter the registry ID number in row 578 of the table for production class 1.</t>
  </si>
  <si>
    <t>Enter the registry ID number in row 579 of the table for production class 1.</t>
  </si>
  <si>
    <t>Enter the registry ID number in row 580 of the table for production class 1.</t>
  </si>
  <si>
    <t>Enter the registry ID number in row 581 of the table for production class 1.</t>
  </si>
  <si>
    <t>Enter the registry ID number in row 582 of the table for production class 1.</t>
  </si>
  <si>
    <t>Enter the registry ID number in row 583 of the table for production class 1.</t>
  </si>
  <si>
    <t>Enter the registry ID number in row 584 of the table for production class 1.</t>
  </si>
  <si>
    <t>Enter the registry ID number in row 585 of the table for production class 1.</t>
  </si>
  <si>
    <t>Enter the registry ID number in row 586 of the table for production class 1.</t>
  </si>
  <si>
    <t>Enter the registry ID number in row 587 of the table for production class 1.</t>
  </si>
  <si>
    <t>Enter the registry ID number in row 588 of the table for production class 1.</t>
  </si>
  <si>
    <t>Enter the registry ID number in row 589 of the table for production class 1.</t>
  </si>
  <si>
    <t>Enter the registry ID number in row 590 of the table for production class 1.</t>
  </si>
  <si>
    <t>Enter the registry ID number in row 591 of the table for production class 1.</t>
  </si>
  <si>
    <t>Enter the registry ID number in row 592 of the table for production class 1.</t>
  </si>
  <si>
    <t>Enter the registry ID number in row 593 of the table for production class 1.</t>
  </si>
  <si>
    <t>Enter the registry ID number in row 594 of the table for production class 1.</t>
  </si>
  <si>
    <t>Enter the registry ID number in row 595 of the table for production class 1.</t>
  </si>
  <si>
    <t>Enter the registry ID number in row 596 of the table for production class 1.</t>
  </si>
  <si>
    <t>Enter the registry ID number in row 597 of the table for production class 1.</t>
  </si>
  <si>
    <t>Enter the registry ID number in row 598 of the table for production class 1.</t>
  </si>
  <si>
    <t>Enter the registry ID number in row 599 of the table for production class 1.</t>
  </si>
  <si>
    <t>Enter the registry ID number in row 600 of the table for production class 1.</t>
  </si>
  <si>
    <t>Enter the registry ID number in row 601 of the table for production class 1.</t>
  </si>
  <si>
    <t>Enter the registry ID number in row 602 of the table for production class 1.</t>
  </si>
  <si>
    <t>Enter the registry ID number in row 603 of the table for production class 1.</t>
  </si>
  <si>
    <t>Enter the registry ID number in row 604 of the table for production class 1.</t>
  </si>
  <si>
    <t>Enter the registry ID number in row 605 of the table for production class 1.</t>
  </si>
  <si>
    <t>Enter the registry ID number in row 606 of the table for production class 1.</t>
  </si>
  <si>
    <t>Enter the registry ID number in row 607 of the table for production class 1.</t>
  </si>
  <si>
    <t>Enter the registry ID number in row 608 of the table for production class 1.</t>
  </si>
  <si>
    <t>Enter the registry ID number in row 609 of the table for production class 1.</t>
  </si>
  <si>
    <t>Enter the registry ID number in row 610 of the table for production class 1.</t>
  </si>
  <si>
    <t>Enter the registry ID number in row 611 of the table for production class 1.</t>
  </si>
  <si>
    <t>Enter the registry ID number in row 612 of the table for production class 1.</t>
  </si>
  <si>
    <t>Enter the registry ID number in row 613 of the table for production class 1.</t>
  </si>
  <si>
    <t>Enter the registry ID number in row 614 of the table for production class 1.</t>
  </si>
  <si>
    <t>Enter the registry ID number in row 615 of the table for production class 1.</t>
  </si>
  <si>
    <t>Enter the registry ID number in row 616 of the table for production class 1.</t>
  </si>
  <si>
    <t>Enter the registry ID number in row 617 of the table for production class 1.</t>
  </si>
  <si>
    <t>Enter the registry ID number in row 618 of the table for production class 1.</t>
  </si>
  <si>
    <t>Enter the registry ID number in row 619 of the table for production class 1.</t>
  </si>
  <si>
    <t>Enter the registry ID number in row 620 of the table for production class 1.</t>
  </si>
  <si>
    <t>Enter the registry ID number in row 621 of the table for production class 1.</t>
  </si>
  <si>
    <t>Enter the registry ID number in row 622 of the table for production class 1.</t>
  </si>
  <si>
    <t>Enter the registry ID number in row 623 of the table for production class 1.</t>
  </si>
  <si>
    <t>Enter the registry ID number in row 624 of the table for production class 1.</t>
  </si>
  <si>
    <t>Enter the registry ID number in row 625 of the table for production class 1.</t>
  </si>
  <si>
    <t>Enter the registry ID number in row 626 of the table for production class 1.</t>
  </si>
  <si>
    <t>Enter the registry ID number in row 627 of the table for production class 1.</t>
  </si>
  <si>
    <t>Enter the registry ID number in row 628 of the table for production class 1.</t>
  </si>
  <si>
    <t>Enter the registry ID number in row 629 of the table for production class 1.</t>
  </si>
  <si>
    <t>Enter the registry ID number in row 630 of the table for production class 1.</t>
  </si>
  <si>
    <t>Enter the registry ID number in row 631 of the table for production class 1.</t>
  </si>
  <si>
    <t>Enter the registry ID number in row 632 of the table for production class 1.</t>
  </si>
  <si>
    <t>Enter the registry ID number in row 633 of the table for production class 1.</t>
  </si>
  <si>
    <t>Enter the registry ID number in row 634 of the table for production class 1.</t>
  </si>
  <si>
    <t>Enter the registry ID number in row 635 of the table for production class 1.</t>
  </si>
  <si>
    <t>Enter the registry ID number in row 636 of the table for production class 1.</t>
  </si>
  <si>
    <t>Enter the registry ID number in row 637 of the table for production class 1.</t>
  </si>
  <si>
    <t>Enter the registry ID number in row 638 of the table for production class 1.</t>
  </si>
  <si>
    <t>Enter the registry ID number in row 639 of the table for production class 1.</t>
  </si>
  <si>
    <t>Enter the registry ID number in row 640 of the table for production class 1.</t>
  </si>
  <si>
    <t>Enter the registry ID number in row 641 of the table for production class 1.</t>
  </si>
  <si>
    <t>Enter the registry ID number in row 642 of the table for production class 1.</t>
  </si>
  <si>
    <t>Enter the registry ID number in row 643 of the table for production class 1.</t>
  </si>
  <si>
    <t>Enter the registry ID number in row 644 of the table for production class 1.</t>
  </si>
  <si>
    <t>Enter the registry ID number in row 645 of the table for production class 1.</t>
  </si>
  <si>
    <t>Enter the registry ID number in row 646 of the table for production class 1.</t>
  </si>
  <si>
    <t>Enter the registry ID number in row 647 of the table for production class 1.</t>
  </si>
  <si>
    <t>Enter the registry ID number in row 648 of the table for production class 1.</t>
  </si>
  <si>
    <t>Enter the registry ID number in row 649 of the table for production class 1.</t>
  </si>
  <si>
    <t>Enter the registry ID number in row 650 of the table for production class 1.</t>
  </si>
  <si>
    <t>Enter the registry ID number in row 651 of the table for production class 1.</t>
  </si>
  <si>
    <t>Enter the registry ID number in row 652 of the table for production class 1.</t>
  </si>
  <si>
    <t>Enter the registry ID number in row 653 of the table for production class 1.</t>
  </si>
  <si>
    <t>Enter the registry ID number in row 654 of the table for production class 1.</t>
  </si>
  <si>
    <t>Enter the registry ID number in row 655 of the table for production class 1.</t>
  </si>
  <si>
    <t>Enter the registry ID number in row 656 of the table for production class 1.</t>
  </si>
  <si>
    <t>Enter the registry ID number in row 657 of the table for production class 1.</t>
  </si>
  <si>
    <t>Enter the registry ID number in row 658 of the table for production class 1.</t>
  </si>
  <si>
    <t>Enter the registry ID number in row 659 of the table for production class 1.</t>
  </si>
  <si>
    <t>Enter the registry ID number in row 660 of the table for production class 1.</t>
  </si>
  <si>
    <t>Enter the registry ID number in row 661 of the table for production class 1.</t>
  </si>
  <si>
    <t>Enter the registry ID number in row 662 of the table for production class 1.</t>
  </si>
  <si>
    <t>Enter the registry ID number in row 663 of the table for production class 1.</t>
  </si>
  <si>
    <t>Enter the registry ID number in row 664 of the table for production class 1.</t>
  </si>
  <si>
    <t>Enter the registry ID number in row 665 of the table for production class 1.</t>
  </si>
  <si>
    <t>Enter the registry ID number in row 666 of the table for production class 1.</t>
  </si>
  <si>
    <t>Enter the registry ID number in row 667 of the table for production class 1.</t>
  </si>
  <si>
    <t>Enter the registry ID number in row 668 of the table for production class 1.</t>
  </si>
  <si>
    <t>Enter the registry ID number in row 669 of the table for production class 1.</t>
  </si>
  <si>
    <t>Enter the registry ID number in row 670 of the table for production class 1.</t>
  </si>
  <si>
    <t>Enter the registry ID number in row 671 of the table for production class 1.</t>
  </si>
  <si>
    <t>Enter the registry ID number in row 672 of the table for production class 1.</t>
  </si>
  <si>
    <t>Enter the registry ID number in row 673 of the table for production class 1.</t>
  </si>
  <si>
    <t>Enter the registry ID number in row 674 of the table for production class 1.</t>
  </si>
  <si>
    <t>Enter the registry ID number in row 675 of the table for production class 1.</t>
  </si>
  <si>
    <t>Enter the registry ID number in row 676 of the table for production class 1.</t>
  </si>
  <si>
    <t>Enter the registry ID number in row 677 of the table for production class 1.</t>
  </si>
  <si>
    <t>Enter the registry ID number in row 678 of the table for production class 1.</t>
  </si>
  <si>
    <t>Enter the registry ID number in row 679 of the table for production class 1.</t>
  </si>
  <si>
    <t>Enter the registry ID number in row 680 of the table for production class 1.</t>
  </si>
  <si>
    <t>Enter the registry ID number in row 681 of the table for production class 1.</t>
  </si>
  <si>
    <t>Enter the registry ID number in row 682 of the table for production class 1.</t>
  </si>
  <si>
    <t>Enter the registry ID number in row 683 of the table for production class 1.</t>
  </si>
  <si>
    <t>Enter the registry ID number in row 684 of the table for production class 1.</t>
  </si>
  <si>
    <t>Enter the registry ID number in row 685 of the table for production class 1.</t>
  </si>
  <si>
    <t>Enter the registry ID number in row 686 of the table for production class 1.</t>
  </si>
  <si>
    <t>Enter the registry ID number in row 687 of the table for production class 1.</t>
  </si>
  <si>
    <t>Enter the registry ID number in row 688 of the table for production class 1.</t>
  </si>
  <si>
    <t>Enter the registry ID number in row 689 of the table for production class 1.</t>
  </si>
  <si>
    <t>Enter the registry ID number in row 690 of the table for production class 1.</t>
  </si>
  <si>
    <t>Enter the registry ID number in row 691 of the table for production class 1.</t>
  </si>
  <si>
    <t>Enter the registry ID number in row 692 of the table for production class 1.</t>
  </si>
  <si>
    <t>Enter the registry ID number in row 693 of the table for production class 1.</t>
  </si>
  <si>
    <t>Enter the registry ID number in row 694 of the table for production class 1.</t>
  </si>
  <si>
    <t>Enter the registry ID number in row 695 of the table for production class 1.</t>
  </si>
  <si>
    <t>Enter the registry ID number in row 696 of the table for production class 1.</t>
  </si>
  <si>
    <t>Enter the registry ID number in row 697 of the table for production class 1.</t>
  </si>
  <si>
    <t>Enter the registry ID number in row 698 of the table for production class 1.</t>
  </si>
  <si>
    <t>Enter the registry ID number in row 699 of the table for production class 1.</t>
  </si>
  <si>
    <t>Enter the registry ID number in row 700 of the table for production class 1.</t>
  </si>
  <si>
    <t>Enter the registry ID number in row 701 of the table for production class 1.</t>
  </si>
  <si>
    <t>Enter the registry ID number in row 702 of the table for production class 1.</t>
  </si>
  <si>
    <t>Enter the registry ID number in row 703 of the table for production class 1.</t>
  </si>
  <si>
    <t>Enter the registry ID number in row 704 of the table for production class 1.</t>
  </si>
  <si>
    <t>Enter the registry ID number in row 705 of the table for production class 1.</t>
  </si>
  <si>
    <t>Enter the registry ID number in row 706 of the table for production class 1.</t>
  </si>
  <si>
    <t>Enter the registry ID number in row 707 of the table for production class 1.</t>
  </si>
  <si>
    <t>Enter the registry ID number in row 708 of the table for production class 1.</t>
  </si>
  <si>
    <t>Enter the registry ID number in row 709 of the table for production class 1.</t>
  </si>
  <si>
    <t>Enter the registry ID number in row 710 of the table for production class 1.</t>
  </si>
  <si>
    <t>Enter the registry ID number in row 711 of the table for production class 1.</t>
  </si>
  <si>
    <t>Enter the registry ID number in row 712 of the table for production class 1.</t>
  </si>
  <si>
    <t>Enter the registry ID number in row 713 of the table for production class 1.</t>
  </si>
  <si>
    <t>Enter the registry ID number in row 714 of the table for production class 1.</t>
  </si>
  <si>
    <t>Enter the registry ID number in row 715 of the table for production class 1.</t>
  </si>
  <si>
    <t>Enter the registry ID number in row 716 of the table for production class 1.</t>
  </si>
  <si>
    <t>Enter the registry ID number in row 717 of the table for production class 1.</t>
  </si>
  <si>
    <t>Enter the registry ID number in row 718 of the table for production class 1.</t>
  </si>
  <si>
    <t>Enter the registry ID number in row 719 of the table for production class 1.</t>
  </si>
  <si>
    <t>Enter the registry ID number in row 720 of the table for production class 1.</t>
  </si>
  <si>
    <t>Enter the registry ID number in row 721 of the table for production class 1.</t>
  </si>
  <si>
    <t>Enter the registry ID number in row 722 of the table for production class 1.</t>
  </si>
  <si>
    <t>Enter the registry ID number in row 723 of the table for production class 1.</t>
  </si>
  <si>
    <t>Enter the registry ID number in row 724 of the table for production class 1.</t>
  </si>
  <si>
    <t>Enter the registry ID number in row 725 of the table for production class 1.</t>
  </si>
  <si>
    <t>Enter the registry ID number in row 726 of the table for production class 1.</t>
  </si>
  <si>
    <t>Enter the registry ID number in row 727 of the table for production class 1.</t>
  </si>
  <si>
    <t>Enter the registry ID number in row 728 of the table for production class 1.</t>
  </si>
  <si>
    <t>Enter the registry ID number in row 729 of the table for production class 1.</t>
  </si>
  <si>
    <t>Enter the registry ID number in row 730 of the table for production class 1.</t>
  </si>
  <si>
    <t>Enter the registry ID number in row 731 of the table for production class 1.</t>
  </si>
  <si>
    <t>Enter the registry ID number in row 732 of the table for production class 1.</t>
  </si>
  <si>
    <t>Enter the registry ID number in row 733 of the table for production class 1.</t>
  </si>
  <si>
    <t>Enter the registry ID number in row 734 of the table for production class 1.</t>
  </si>
  <si>
    <t>Enter the registry ID number in row 735 of the table for production class 1.</t>
  </si>
  <si>
    <t>Enter the registry ID number in row 736 of the table for production class 1.</t>
  </si>
  <si>
    <t>Enter the registry ID number in row 737 of the table for production class 1.</t>
  </si>
  <si>
    <t>Enter the registry ID number in row 738 of the table for production class 1.</t>
  </si>
  <si>
    <t>Enter the registry ID number in row 739 of the table for production class 1.</t>
  </si>
  <si>
    <t>Enter the registry ID number in row 740 of the table for production class 1.</t>
  </si>
  <si>
    <t>Enter the registry ID number in row 741 of the table for production class 1.</t>
  </si>
  <si>
    <t>Enter the registry ID number in row 742 of the table for production class 1.</t>
  </si>
  <si>
    <t>Enter the registry ID number in row 743 of the table for production class 1.</t>
  </si>
  <si>
    <t>Enter the registry ID number in row 744 of the table for production class 1.</t>
  </si>
  <si>
    <t>Enter the registry ID number in row 745 of the table for production class 1.</t>
  </si>
  <si>
    <t>Enter the registry ID number in row 746 of the table for production class 1.</t>
  </si>
  <si>
    <t>Enter the registry ID number in row 747 of the table for production class 1.</t>
  </si>
  <si>
    <t>Enter the registry ID number in row 748 of the table for production class 1.</t>
  </si>
  <si>
    <t>Enter the registry ID number in row 749 of the table for production class 1.</t>
  </si>
  <si>
    <t>Enter the registry ID number in row 750 of the table for production class 1.</t>
  </si>
  <si>
    <t>Enter the registry ID number in row 751 of the table for production class 1.</t>
  </si>
  <si>
    <t>Enter the registry ID number in row 752 of the table for production class 1.</t>
  </si>
  <si>
    <t>Enter the registry ID number in row 753 of the table for production class 1.</t>
  </si>
  <si>
    <t>Enter the registry ID number in row 754 of the table for production class 1.</t>
  </si>
  <si>
    <t>Enter the registry ID number in row 755 of the table for production class 1.</t>
  </si>
  <si>
    <t>Enter the registry ID number in row 756 of the table for production class 1.</t>
  </si>
  <si>
    <t>Enter the registry ID number in row 757 of the table for production class 1.</t>
  </si>
  <si>
    <t>Enter the registry ID number in row 758 of the table for production class 1.</t>
  </si>
  <si>
    <t>Enter the registry ID number in row 759 of the table for production class 1.</t>
  </si>
  <si>
    <t>Enter the registry ID number in row 760 of the table for production class 1.</t>
  </si>
  <si>
    <t>Enter the registry ID number in row 761 of the table for production class 1.</t>
  </si>
  <si>
    <t>Enter the registry ID number in row 762 of the table for production class 1.</t>
  </si>
  <si>
    <t>Enter the registry ID number in row 763 of the table for production class 1.</t>
  </si>
  <si>
    <t>Enter the registry ID number in row 764 of the table for production class 1.</t>
  </si>
  <si>
    <t>Enter the registry ID number in row 765 of the table for production class 1.</t>
  </si>
  <si>
    <t>Enter the registry ID number in row 766 of the table for production class 1.</t>
  </si>
  <si>
    <t>Enter the registry ID number in row 767 of the table for production class 1.</t>
  </si>
  <si>
    <t>Enter the registry ID number in row 768 of the table for production class 1.</t>
  </si>
  <si>
    <t>Enter the registry ID number in row 769 of the table for production class 1.</t>
  </si>
  <si>
    <t>Enter the registry ID number in row 770 of the table for production class 1.</t>
  </si>
  <si>
    <t>Enter the registry ID number in row 771 of the table for production class 1.</t>
  </si>
  <si>
    <t>Enter the registry ID number in row 772 of the table for production class 1.</t>
  </si>
  <si>
    <t>Enter the registry ID number in row 773 of the table for production class 1.</t>
  </si>
  <si>
    <t>Enter the registry ID number in row 774 of the table for production class 1.</t>
  </si>
  <si>
    <t>Enter the registry ID number in row 775 of the table for production class 1.</t>
  </si>
  <si>
    <t>Enter the registry ID number in row 776 of the table for production class 1.</t>
  </si>
  <si>
    <t>Enter the registry ID number in row 777 of the table for production class 1.</t>
  </si>
  <si>
    <t>Enter the registry ID number in row 778 of the table for production class 1.</t>
  </si>
  <si>
    <t>Enter the registry ID number in row 779 of the table for production class 1.</t>
  </si>
  <si>
    <t>Enter the registry ID number in row 780 of the table for production class 1.</t>
  </si>
  <si>
    <t>Enter the registry ID number in row 781 of the table for production class 1.</t>
  </si>
  <si>
    <t>Enter the registry ID number in row 782 of the table for production class 1.</t>
  </si>
  <si>
    <t>Enter the registry ID number in row 783 of the table for production class 1.</t>
  </si>
  <si>
    <t>Enter the registry ID number in row 784 of the table for production class 1.</t>
  </si>
  <si>
    <t>Enter the registry ID number in row 785 of the table for production class 1.</t>
  </si>
  <si>
    <t>Enter the registry ID number in row 786 of the table for production class 1.</t>
  </si>
  <si>
    <t>Enter the registry ID number in row 787 of the table for production class 1.</t>
  </si>
  <si>
    <t>Enter the registry ID number in row 788 of the table for production class 1.</t>
  </si>
  <si>
    <t>Enter the registry ID number in row 789 of the table for production class 1.</t>
  </si>
  <si>
    <t>Enter the registry ID number in row 790 of the table for production class 1.</t>
  </si>
  <si>
    <t>Enter the registry ID number in row 791 of the table for production class 1.</t>
  </si>
  <si>
    <t>Enter the registry ID number in row 792 of the table for production class 1.</t>
  </si>
  <si>
    <t>Enter the registry ID number in row 793 of the table for production class 1.</t>
  </si>
  <si>
    <t>Enter the registry ID number in row 794 of the table for production class 1.</t>
  </si>
  <si>
    <t>Enter the registry ID number in row 795 of the table for production class 1.</t>
  </si>
  <si>
    <t>Enter the registry ID number in row 796 of the table for production class 1.</t>
  </si>
  <si>
    <t>Enter the registry ID number in row 797 of the table for production class 1.</t>
  </si>
  <si>
    <t>Enter the registry ID number in row 798 of the table for production class 1.</t>
  </si>
  <si>
    <t>Enter the registry ID number in row 799 of the table for production class 1.</t>
  </si>
  <si>
    <t>Enter the registry ID number in row 800 of the table for production class 1.</t>
  </si>
  <si>
    <t>Enter the registry ID number in row 801 of the table for production class 1.</t>
  </si>
  <si>
    <t>Enter the registry ID number in row 802 of the table for production class 1.</t>
  </si>
  <si>
    <t>Enter the registry ID number in row 803 of the table for production class 1.</t>
  </si>
  <si>
    <t>Enter the registry ID number in row 804 of the table for production class 1.</t>
  </si>
  <si>
    <t>Enter the registry ID number in row 805 of the table for production class 1.</t>
  </si>
  <si>
    <t>Enter the registry ID number in row 806 of the table for production class 1.</t>
  </si>
  <si>
    <t>Enter the registry ID number in row 807 of the table for production class 1.</t>
  </si>
  <si>
    <t>Enter the registry ID number in row 808 of the table for production class 1.</t>
  </si>
  <si>
    <t>Enter the registry ID number in row 809 of the table for production class 1.</t>
  </si>
  <si>
    <t>Enter the registry ID number in row 810 of the table for production class 1.</t>
  </si>
  <si>
    <t>Enter the registry ID number in row 811 of the table for production class 1.</t>
  </si>
  <si>
    <t>Enter the registry ID number in row 812 of the table for production class 1.</t>
  </si>
  <si>
    <t>Enter the registry ID number in row 813 of the table for production class 1.</t>
  </si>
  <si>
    <t>Enter the registry ID number in row 814 of the table for production class 1.</t>
  </si>
  <si>
    <t>Enter the registry ID number in row 815 of the table for production class 1.</t>
  </si>
  <si>
    <t>Enter the registry ID number in row 816 of the table for production class 1.</t>
  </si>
  <si>
    <t>Enter the registry ID number in row 817 of the table for production class 1.</t>
  </si>
  <si>
    <t>Enter the registry ID number in row 818 of the table for production class 1.</t>
  </si>
  <si>
    <t>Enter the registry ID number in row 819 of the table for production class 1.</t>
  </si>
  <si>
    <t>Enter the registry ID number in row 820 of the table for production class 1.</t>
  </si>
  <si>
    <t>Enter the registry ID number in row 821 of the table for production class 1.</t>
  </si>
  <si>
    <t>Enter the registry ID number in row 822 of the table for production class 1.</t>
  </si>
  <si>
    <t>Enter the registry ID number in row 823 of the table for production class 1.</t>
  </si>
  <si>
    <t>Enter the registry ID number in row 824 of the table for production class 1.</t>
  </si>
  <si>
    <t>Enter the registry ID number in row 825 of the table for production class 1.</t>
  </si>
  <si>
    <t>Enter the registry ID number in row 826 of the table for production class 1.</t>
  </si>
  <si>
    <t>Enter the registry ID number in row 827 of the table for production class 1.</t>
  </si>
  <si>
    <t>Enter the registry ID number in row 828 of the table for production class 1.</t>
  </si>
  <si>
    <t>Enter the registry ID number in row 829 of the table for production class 1.</t>
  </si>
  <si>
    <t>Enter the registry ID number in row 830 of the table for production class 1.</t>
  </si>
  <si>
    <t>Enter the registry ID number in row 831 of the table for production class 1.</t>
  </si>
  <si>
    <t>Enter the registry ID number in row 832 of the table for production class 1.</t>
  </si>
  <si>
    <t>Enter the registry ID number in row 833 of the table for production class 1.</t>
  </si>
  <si>
    <t>Enter the registry ID number in row 834 of the table for production class 1.</t>
  </si>
  <si>
    <t>Enter the registry ID number in row 835 of the table for production class 1.</t>
  </si>
  <si>
    <t>Enter the registry ID number in row 836 of the table for production class 1.</t>
  </si>
  <si>
    <t>Enter the registry ID number in row 837 of the table for production class 1.</t>
  </si>
  <si>
    <t>Enter the registry ID number in row 838 of the table for production class 1.</t>
  </si>
  <si>
    <t>Enter the registry ID number in row 839 of the table for production class 1.</t>
  </si>
  <si>
    <t>Enter the registry ID number in row 840 of the table for production class 1.</t>
  </si>
  <si>
    <t>Enter the registry ID number in row 841 of the table for production class 1.</t>
  </si>
  <si>
    <t>Enter the registry ID number in row 842 of the table for production class 1.</t>
  </si>
  <si>
    <t>Enter the registry ID number in row 843 of the table for production class 1.</t>
  </si>
  <si>
    <t>Enter the registry ID number in row 844 of the table for production class 1.</t>
  </si>
  <si>
    <t>Enter the registry ID number in row 845 of the table for production class 1.</t>
  </si>
  <si>
    <t>Enter the registry ID number in row 846 of the table for production class 1.</t>
  </si>
  <si>
    <t>Enter the registry ID number in row 847 of the table for production class 1.</t>
  </si>
  <si>
    <t>Enter the registry ID number in row 848 of the table for production class 1.</t>
  </si>
  <si>
    <t>Enter the registry ID number in row 849 of the table for production class 1.</t>
  </si>
  <si>
    <t>Enter the registry ID number in row 850 of the table for production class 1.</t>
  </si>
  <si>
    <t>Enter the registry ID number in row 851 of the table for production class 1.</t>
  </si>
  <si>
    <t>Enter the registry ID number in row 852 of the table for production class 1.</t>
  </si>
  <si>
    <t>Enter the registry ID number in row 853 of the table for production class 1.</t>
  </si>
  <si>
    <t>Enter the registry ID number in row 854 of the table for production class 1.</t>
  </si>
  <si>
    <t>Enter the registry ID number in row 855 of the table for production class 1.</t>
  </si>
  <si>
    <t>Enter the registry ID number in row 856 of the table for production class 1.</t>
  </si>
  <si>
    <t>Enter the registry ID number in row 857 of the table for production class 1.</t>
  </si>
  <si>
    <t>Enter the registry ID number in row 858 of the table for production class 1.</t>
  </si>
  <si>
    <t>Enter the registry ID number in row 859 of the table for production class 1.</t>
  </si>
  <si>
    <t>Enter the registry ID number in row 860 of the table for production class 1.</t>
  </si>
  <si>
    <t>Enter the registry ID number in row 861 of the table for production class 1.</t>
  </si>
  <si>
    <t>Enter the registry ID number in row 862 of the table for production class 1.</t>
  </si>
  <si>
    <t>Enter the registry ID number in row 863 of the table for production class 1.</t>
  </si>
  <si>
    <t>Enter the registry ID number in row 864 of the table for production class 1.</t>
  </si>
  <si>
    <t>Enter the registry ID number in row 865 of the table for production class 1.</t>
  </si>
  <si>
    <t>Enter the registry ID number in row 866 of the table for production class 1.</t>
  </si>
  <si>
    <t>Enter the registry ID number in row 867 of the table for production class 1.</t>
  </si>
  <si>
    <t>Enter the registry ID number in row 868 of the table for production class 1.</t>
  </si>
  <si>
    <t>Enter the registry ID number in row 869 of the table for production class 1.</t>
  </si>
  <si>
    <t>Enter the registry ID number in row 870 of the table for production class 1.</t>
  </si>
  <si>
    <t>Enter the registry ID number in row 871 of the table for production class 1.</t>
  </si>
  <si>
    <t>Enter the registry ID number in row 872 of the table for production class 1.</t>
  </si>
  <si>
    <t>Enter the registry ID number in row 873 of the table for production class 1.</t>
  </si>
  <si>
    <t>Enter the registry ID number in row 874 of the table for production class 1.</t>
  </si>
  <si>
    <t>Enter the registry ID number in row 875 of the table for production class 1.</t>
  </si>
  <si>
    <t>Enter the registry ID number in row 876 of the table for production class 1.</t>
  </si>
  <si>
    <t>Enter the registry ID number in row 877 of the table for production class 1.</t>
  </si>
  <si>
    <t>Enter the registry ID number in row 878 of the table for production class 1.</t>
  </si>
  <si>
    <t>Enter the registry ID number in row 879 of the table for production class 1.</t>
  </si>
  <si>
    <t>Enter the registry ID number in row 880 of the table for production class 1.</t>
  </si>
  <si>
    <t>Enter the registry ID number in row 881 of the table for production class 1.</t>
  </si>
  <si>
    <t>Enter the registry ID number in row 882 of the table for production class 1.</t>
  </si>
  <si>
    <t>Enter the registry ID number in row 883 of the table for production class 1.</t>
  </si>
  <si>
    <t>Enter the registry ID number in row 884 of the table for production class 1.</t>
  </si>
  <si>
    <t>Enter the registry ID number in row 885 of the table for production class 1.</t>
  </si>
  <si>
    <t>Enter the registry ID number in row 886 of the table for production class 1.</t>
  </si>
  <si>
    <t>Enter the registry ID number in row 887 of the table for production class 1.</t>
  </si>
  <si>
    <t>Enter the registry ID number in row 888 of the table for production class 1.</t>
  </si>
  <si>
    <t>Enter the registry ID number in row 889 of the table for production class 1.</t>
  </si>
  <si>
    <t>Enter the registry ID number in row 890 of the table for production class 1.</t>
  </si>
  <si>
    <t>Enter the registry ID number in row 891 of the table for production class 1.</t>
  </si>
  <si>
    <t>Enter the registry ID number in row 892 of the table for production class 1.</t>
  </si>
  <si>
    <t>Enter the registry ID number in row 893 of the table for production class 1.</t>
  </si>
  <si>
    <t>Enter the registry ID number in row 894 of the table for production class 1.</t>
  </si>
  <si>
    <t>Enter the registry ID number in row 895 of the table for production class 1.</t>
  </si>
  <si>
    <t>Enter the registry ID number in row 896 of the table for production class 1.</t>
  </si>
  <si>
    <t>Enter the registry ID number in row 897 of the table for production class 1.</t>
  </si>
  <si>
    <t>Enter the registry ID number in row 898 of the table for production class 1.</t>
  </si>
  <si>
    <t>Enter the registry ID number in row 899 of the table for production class 1.</t>
  </si>
  <si>
    <t>Enter the registry ID number in row 900 of the table for production class 1.</t>
  </si>
  <si>
    <t>Enter the registry ID number in row 901 of the table for production class 1.</t>
  </si>
  <si>
    <t>Enter the registry ID number in row 902 of the table for production class 1.</t>
  </si>
  <si>
    <t>Enter the registry ID number in row 903 of the table for production class 1.</t>
  </si>
  <si>
    <t>Enter the registry ID number in row 904 of the table for production class 1.</t>
  </si>
  <si>
    <t>Enter the registry ID number in row 905 of the table for production class 1.</t>
  </si>
  <si>
    <t>Enter the registry ID number in row 906 of the table for production class 1.</t>
  </si>
  <si>
    <t>Enter the registry ID number in row 907 of the table for production class 1.</t>
  </si>
  <si>
    <t>Enter the registry ID number in row 908 of the table for production class 1.</t>
  </si>
  <si>
    <t>Enter the registry ID number in row 909 of the table for production class 1.</t>
  </si>
  <si>
    <t>Enter the registry ID number in row 910 of the table for production class 1.</t>
  </si>
  <si>
    <t>Enter the registry ID number in row 911 of the table for production class 1.</t>
  </si>
  <si>
    <t>Enter the registry ID number in row 912 of the table for production class 1.</t>
  </si>
  <si>
    <t>Enter the registry ID number in row 913 of the table for production class 1.</t>
  </si>
  <si>
    <t>Enter the registry ID number in row 914 of the table for production class 1.</t>
  </si>
  <si>
    <t>Enter the registry ID number in row 915 of the table for production class 1.</t>
  </si>
  <si>
    <t>Enter the registry ID number in row 916 of the table for production class 1.</t>
  </si>
  <si>
    <t>Enter the registry ID number in row 917 of the table for production class 1.</t>
  </si>
  <si>
    <t>Enter the registry ID number in row 918 of the table for production class 1.</t>
  </si>
  <si>
    <t>Enter the registry ID number in row 919 of the table for production class 1.</t>
  </si>
  <si>
    <t>Enter the registry ID number in row 920 of the table for production class 1.</t>
  </si>
  <si>
    <t>Enter the registry ID number in row 921 of the table for production class 1.</t>
  </si>
  <si>
    <t>Enter the registry ID number in row 922 of the table for production class 1.</t>
  </si>
  <si>
    <t>Enter the registry ID number in row 923 of the table for production class 1.</t>
  </si>
  <si>
    <t>Enter the registry ID number in row 924 of the table for production class 1.</t>
  </si>
  <si>
    <t>Enter the registry ID number in row 925 of the table for production class 1.</t>
  </si>
  <si>
    <t>Enter the registry ID number in row 926 of the table for production class 1.</t>
  </si>
  <si>
    <t>Enter the registry ID number in row 927 of the table for production class 1.</t>
  </si>
  <si>
    <t>Enter the registry ID number in row 928 of the table for production class 1.</t>
  </si>
  <si>
    <t>Enter the registry ID number in row 929 of the table for production class 1.</t>
  </si>
  <si>
    <t>Enter the registry ID number in row 930 of the table for production class 1.</t>
  </si>
  <si>
    <t>Enter the registry ID number in row 931 of the table for production class 1.</t>
  </si>
  <si>
    <t>Enter the registry ID number in row 932 of the table for production class 1.</t>
  </si>
  <si>
    <t>Enter the registry ID number in row 933 of the table for production class 1.</t>
  </si>
  <si>
    <t>Enter the registry ID number in row 934 of the table for production class 1.</t>
  </si>
  <si>
    <t>Enter the registry ID number in row 935 of the table for production class 1.</t>
  </si>
  <si>
    <t>Enter the registry ID number in row 936 of the table for production class 1.</t>
  </si>
  <si>
    <t>Enter the registry ID number in row 937 of the table for production class 1.</t>
  </si>
  <si>
    <t>Enter the registry ID number in row 938 of the table for production class 1.</t>
  </si>
  <si>
    <t>Enter the registry ID number in row 939 of the table for production class 1.</t>
  </si>
  <si>
    <t>Enter the registry ID number in row 940 of the table for production class 1.</t>
  </si>
  <si>
    <t>Enter the registry ID number in row 941 of the table for production class 1.</t>
  </si>
  <si>
    <t>Enter the registry ID number in row 942 of the table for production class 1.</t>
  </si>
  <si>
    <t>Enter the registry ID number in row 943 of the table for production class 1.</t>
  </si>
  <si>
    <t>Enter the registry ID number in row 944 of the table for production class 1.</t>
  </si>
  <si>
    <t>Enter the registry ID number in row 945 of the table for production class 1.</t>
  </si>
  <si>
    <t>Enter the registry ID number in row 946 of the table for production class 1.</t>
  </si>
  <si>
    <t>Enter the registry ID number in row 947 of the table for production class 1.</t>
  </si>
  <si>
    <t>Enter the registry ID number in row 948 of the table for production class 1.</t>
  </si>
  <si>
    <t>Enter the registry ID number in row 949 of the table for production class 1.</t>
  </si>
  <si>
    <t>Enter the registry ID number in row 950 of the table for production class 1.</t>
  </si>
  <si>
    <t>Enter the registry ID number in row 951 of the table for production class 1.</t>
  </si>
  <si>
    <t>Enter the registry ID number in row 952 of the table for production class 1.</t>
  </si>
  <si>
    <t>Enter the registry ID number in row 953 of the table for production class 1.</t>
  </si>
  <si>
    <t>Enter the registry ID number in row 954 of the table for production class 1.</t>
  </si>
  <si>
    <t>Enter the registry ID number in row 955 of the table for production class 1.</t>
  </si>
  <si>
    <t>Enter the registry ID number in row 956 of the table for production class 1.</t>
  </si>
  <si>
    <t>Enter the registry ID number in row 957 of the table for production class 1.</t>
  </si>
  <si>
    <t>Enter the registry ID number in row 958 of the table for production class 1.</t>
  </si>
  <si>
    <t>Enter the registry ID number in row 959 of the table for production class 1.</t>
  </si>
  <si>
    <t>Enter the registry ID number in row 960 of the table for production class 1.</t>
  </si>
  <si>
    <t>Enter the registry ID number in row 961 of the table for production class 1.</t>
  </si>
  <si>
    <t>Enter the registry ID number in row 962 of the table for production class 1.</t>
  </si>
  <si>
    <t>Enter the registry ID number in row 963 of the table for production class 1.</t>
  </si>
  <si>
    <t>Enter the registry ID number in row 964 of the table for production class 1.</t>
  </si>
  <si>
    <t>Enter the registry ID number in row 965 of the table for production class 1.</t>
  </si>
  <si>
    <t>Enter the registry ID number in row 966 of the table for production class 1.</t>
  </si>
  <si>
    <t>Enter the registry ID number in row 967 of the table for production class 1.</t>
  </si>
  <si>
    <t>Enter the registry ID number in row 968 of the table for production class 1.</t>
  </si>
  <si>
    <t>Enter the registry ID number in row 969 of the table for production class 1.</t>
  </si>
  <si>
    <t>Enter the registry ID number in row 970 of the table for production class 1.</t>
  </si>
  <si>
    <t>Enter the registry ID number in row 971 of the table for production class 1.</t>
  </si>
  <si>
    <t>Enter the registry ID number in row 972 of the table for production class 1.</t>
  </si>
  <si>
    <t>Enter the registry ID number in row 973 of the table for production class 1.</t>
  </si>
  <si>
    <t>Enter the registry ID number in row 974 of the table for production class 1.</t>
  </si>
  <si>
    <t>Enter the registry ID number in row 975 of the table for production class 1.</t>
  </si>
  <si>
    <t>Enter the registry ID number in row 976 of the table for production class 1.</t>
  </si>
  <si>
    <t>Enter the registry ID number in row 977 of the table for production class 1.</t>
  </si>
  <si>
    <t>Enter the registry ID number in row 978 of the table for production class 1.</t>
  </si>
  <si>
    <t>Enter the registry ID number in row 979 of the table for production class 1.</t>
  </si>
  <si>
    <t>Enter the registry ID number in row 980 of the table for production class 1.</t>
  </si>
  <si>
    <t>Enter the registry ID number in row 981 of the table for production class 1.</t>
  </si>
  <si>
    <t>Enter the registry ID number in row 982 of the table for production class 1.</t>
  </si>
  <si>
    <t>Enter the registry ID number in row 983 of the table for production class 1.</t>
  </si>
  <si>
    <t>Enter the registry ID number in row 984 of the table for production class 1.</t>
  </si>
  <si>
    <t>Enter the registry ID number in row 985 of the table for production class 1.</t>
  </si>
  <si>
    <t>Enter the registry ID number in row 986 of the table for production class 1.</t>
  </si>
  <si>
    <t>Enter the registry ID number in row 987 of the table for production class 1.</t>
  </si>
  <si>
    <t>Enter the registry ID number in row 988 of the table for production class 1.</t>
  </si>
  <si>
    <t>Enter the registry ID number in row 989 of the table for production class 1.</t>
  </si>
  <si>
    <t>Enter the registry ID number in row 990 of the table for production class 1.</t>
  </si>
  <si>
    <t>Enter the registry ID number in row 991 of the table for production class 1.</t>
  </si>
  <si>
    <t>Enter the registry ID number in row 992 of the table for production class 1.</t>
  </si>
  <si>
    <t>Enter the registry ID number in row 993 of the table for production class 1.</t>
  </si>
  <si>
    <t>Enter the registry ID number in row 994 of the table for production class 1.</t>
  </si>
  <si>
    <t>Enter the registry ID number in row 995 of the table for production class 1.</t>
  </si>
  <si>
    <t>Enter the registry ID number in row 996 of the table for production class 1.</t>
  </si>
  <si>
    <t>Enter the registry ID number in row 997 of the table for production class 1.</t>
  </si>
  <si>
    <t>Enter the registry ID number in row 998 of the table for production class 1.</t>
  </si>
  <si>
    <t>Enter the registry ID number in row 999 of the table for production class 1.</t>
  </si>
  <si>
    <t>Enter the registry ID number in row 1000 of the table for production class 1.</t>
  </si>
  <si>
    <t>Enter the registry ID number in row 1001 of the table for production class 1.</t>
  </si>
  <si>
    <t>Enter the registry ID number in row 1002 of the table for production class 1.</t>
  </si>
  <si>
    <t>Enter the registry ID number in row 1003 of the table for production class 1.</t>
  </si>
  <si>
    <t>Enter the registry ID number in row 1004 of the table for production class 1.</t>
  </si>
  <si>
    <t>Enter the registry ID number in row 1005 of the table for production class 1.</t>
  </si>
  <si>
    <t>Enter the registry ID number in row 1006 of the table for production class 1.</t>
  </si>
  <si>
    <t>Enter the registry ID number in row 1007 of the table for production class 1.</t>
  </si>
  <si>
    <t>Enter the registry ID number in row 1008 of the table for production class 1.</t>
  </si>
  <si>
    <t>Enter the registry ID number in row 1009 of the table for production class 1.</t>
  </si>
  <si>
    <t>Enter the registry ID number in row 1010 of the table for production class 1.</t>
  </si>
  <si>
    <t>Enter the registry ID number in row 1011 of the table for production class 1.</t>
  </si>
  <si>
    <t>Enter the registry ID number in row 1012 of the table for production class 1.</t>
  </si>
  <si>
    <t>Enter the registry ID number in row 1013 of the table for production class 1.</t>
  </si>
  <si>
    <t>Enter the registry ID number in row 1014 of the table for production class 1.</t>
  </si>
  <si>
    <t>Enter the registry ID number in row 1015 of the table for production class 1.</t>
  </si>
  <si>
    <t>Enter the registry ID number in row 1016 of the table for production class 1.</t>
  </si>
  <si>
    <t>Enter the registry ID number in row 1017 of the table for production class 1.</t>
  </si>
  <si>
    <t>Enter the registry ID number in row 1018 of the table for production class 1.</t>
  </si>
  <si>
    <t>Enter the registry ID number in row 1019 of the table for production class 1.</t>
  </si>
  <si>
    <t>Enter the registry ID number in row 1020 of the table for production class 1.</t>
  </si>
  <si>
    <t>Enter the registry ID number in row 1021 of the table for production class 1.</t>
  </si>
  <si>
    <t>Enter the registry ID number in row 1022 of the table for production class 1.</t>
  </si>
  <si>
    <t>Enter the registry ID number in row 1023 of the table for production class 1.</t>
  </si>
  <si>
    <t>Enter the registry ID number in row 1024 of the table for production class 1.</t>
  </si>
  <si>
    <t>Enter the registry ID number in row 1025 of the table for production class 1.</t>
  </si>
  <si>
    <t>Enter the registry ID number in row 1026 of the table for production class 1.</t>
  </si>
  <si>
    <t>Enter the registry ID number in row 1027 of the table for production class 1.</t>
  </si>
  <si>
    <t>Enter the registry ID number in row 1028 of the table for production class 1.</t>
  </si>
  <si>
    <t>Enter the registry ID number in row 1029 of the table for production class 1.</t>
  </si>
  <si>
    <t>Enter the registry ID number in row 1030 of the table for production class 1.</t>
  </si>
  <si>
    <t>Enter the registry ID number in row 1031 of the table for production class 1.</t>
  </si>
  <si>
    <t>Enter the registry ID number in row 1032 of the table for production class 1.</t>
  </si>
  <si>
    <t>Enter the registry ID number in row 1033 of the table for production class 1.</t>
  </si>
  <si>
    <t>Enter the registry ID number in row 1034 of the table for production class 1.</t>
  </si>
  <si>
    <t>Enter the registry ID number in row 1035 of the table for production class 1.</t>
  </si>
  <si>
    <t>Enter the registry ID number in row 1036 of the table for production class 1.</t>
  </si>
  <si>
    <t>Enter the registry ID number in row 1037 of the table for production class 1.</t>
  </si>
  <si>
    <t>Enter the registry ID number in row 1038 of the table for production class 1.</t>
  </si>
  <si>
    <t>Enter the registry ID number in row 1039 of the table for production class 1.</t>
  </si>
  <si>
    <t>Enter the registry ID number in row 1040 of the table for production class 1.</t>
  </si>
  <si>
    <t>Enter the registry ID number in row 1041 of the table for production class 1.</t>
  </si>
  <si>
    <t>Enter the registry ID number in row 1042 of the table for production class 1.</t>
  </si>
  <si>
    <t>Enter the registry ID number in row 1043 of the table for production class 1.</t>
  </si>
  <si>
    <t>Enter the registry ID number in row 1044 of the table for production class 1.</t>
  </si>
  <si>
    <t>Enter the registry ID number in row 1045 of the table for production class 1.</t>
  </si>
  <si>
    <t>Enter the registry ID number in row 1046 of the table for production class 1.</t>
  </si>
  <si>
    <t>Enter the registry ID number in row 1047 of the table for production class 1.</t>
  </si>
  <si>
    <t>Enter the registry ID number in row 1048 of the table for production class 1.</t>
  </si>
  <si>
    <t>Enter the registry ID number in row 1049 of the table for production class 1.</t>
  </si>
  <si>
    <t>Enter the registry ID number in row 1050 of the table for production class 1.</t>
  </si>
  <si>
    <t>Enter the registry ID number in row 1051 of the table for production class 1.</t>
  </si>
  <si>
    <t>Enter the registry ID number in row 1052 of the table for production class 1.</t>
  </si>
  <si>
    <t>Enter the registry ID number in row 1053 of the table for production class 1.</t>
  </si>
  <si>
    <t>Enter the registry ID number in row 1054 of the table for production class 1.</t>
  </si>
  <si>
    <t>Enter the registry ID number in row 1055 of the table for production class 1.</t>
  </si>
  <si>
    <t>Enter the registry ID number in row 1056 of the table for production class 1.</t>
  </si>
  <si>
    <t>Enter the registry ID number in row 1057 of the table for production class 1.</t>
  </si>
  <si>
    <t>Enter the registry ID number in row 1058 of the table for production class 1.</t>
  </si>
  <si>
    <t>Enter the registry ID number in row 1059 of the table for production class 1.</t>
  </si>
  <si>
    <t>Enter the registry ID number in row 1060 of the table for production class 1.</t>
  </si>
  <si>
    <t>Enter the registry ID number in row 1061 of the table for production class 1.</t>
  </si>
  <si>
    <t>Enter the registry ID number in row 1062 of the table for production class 1.</t>
  </si>
  <si>
    <t>Enter the registry ID number in row 1063 of the table for production class 1.</t>
  </si>
  <si>
    <t>Enter the registry ID number in row 1064 of the table for production class 1.</t>
  </si>
  <si>
    <t>Enter the registry ID number in row 1065 of the table for production class 1.</t>
  </si>
  <si>
    <t>Enter the registry ID number in row 1066 of the table for production class 1.</t>
  </si>
  <si>
    <t>Enter the registry ID number in row 1067 of the table for production class 1.</t>
  </si>
  <si>
    <t>Enter the registry ID number in row 1068 of the table for production class 1.</t>
  </si>
  <si>
    <t>Enter the registry ID number in row 1069 of the table for production class 1.</t>
  </si>
  <si>
    <t>Enter the registry ID number in row 1070 of the table for production class 1.</t>
  </si>
  <si>
    <t>Enter the registry ID number in row 1071 of the table for production class 1.</t>
  </si>
  <si>
    <t>Enter the registry ID number in row 1072 of the table for production class 1.</t>
  </si>
  <si>
    <t>Enter the registry ID number in row 1073 of the table for production class 1.</t>
  </si>
  <si>
    <t>Enter the registry ID number in row 1074 of the table for production class 1.</t>
  </si>
  <si>
    <t>Enter the registry ID number in row 1075 of the table for production class 1.</t>
  </si>
  <si>
    <t>Enter the registry ID number in row 1076 of the table for production class 1.</t>
  </si>
  <si>
    <t>Enter the registry ID number in row 1077 of the table for production class 1.</t>
  </si>
  <si>
    <t>Enter the registry ID number in row 1078 of the table for production class 1.</t>
  </si>
  <si>
    <t>Enter the registry ID number in row 1079 of the table for production class 1.</t>
  </si>
  <si>
    <t>Enter the registry ID number in row 1080 of the table for production class 1.</t>
  </si>
  <si>
    <t>Enter the registry ID number in row 1081 of the table for production class 1.</t>
  </si>
  <si>
    <t>Enter the registry ID number in row 1082 of the table for production class 1.</t>
  </si>
  <si>
    <t>Enter the registry ID number in row 1083 of the table for production class 1.</t>
  </si>
  <si>
    <t>Enter the registry ID number in row 1084 of the table for production class 1.</t>
  </si>
  <si>
    <t>Enter the registry ID number in row 1085 of the table for production class 1.</t>
  </si>
  <si>
    <t>Enter the registry ID number in row 1086 of the table for production class 1.</t>
  </si>
  <si>
    <t>Enter the registry ID number in row 1087 of the table for production class 1.</t>
  </si>
  <si>
    <t>Enter the registry ID number in row 1088 of the table for production class 1.</t>
  </si>
  <si>
    <t>Enter the registry ID number in row 1089 of the table for production class 1.</t>
  </si>
  <si>
    <t>Enter the registry ID number in row 1090 of the table for production class 1.</t>
  </si>
  <si>
    <t>Enter the registry ID number in row 1091 of the table for production class 1.</t>
  </si>
  <si>
    <t>Enter the registry ID number in row 1092 of the table for production class 1.</t>
  </si>
  <si>
    <t>Enter the registry ID number in row 1093 of the table for production class 1.</t>
  </si>
  <si>
    <t>Enter the registry ID number in row 1094 of the table for production class 1.</t>
  </si>
  <si>
    <t>Enter the registry ID number in row 1095 of the table for production class 1.</t>
  </si>
  <si>
    <t>Enter the registry ID number in row 1096 of the table for production class 1.</t>
  </si>
  <si>
    <t>Enter the registry ID number in row 1097 of the table for production class 1.</t>
  </si>
  <si>
    <t>Enter the registry ID number in row 1098 of the table for production class 1.</t>
  </si>
  <si>
    <t>Enter the registry ID number in row 1099 of the table for production class 1.</t>
  </si>
  <si>
    <t>Enter the registry ID number in row 1100 of the table for production class 1.</t>
  </si>
  <si>
    <t>Enter the registry ID number in row 1101 of the table for production class 1.</t>
  </si>
  <si>
    <t>Enter the registry ID number in row 1102 of the table for production class 1.</t>
  </si>
  <si>
    <t>Enter the registry ID number in row 1103 of the table for production class 1.</t>
  </si>
  <si>
    <t>Enter the registry ID number in row 1104 of the table for production class 1.</t>
  </si>
  <si>
    <t>Enter the registry ID number in row 1105 of the table for production class 1.</t>
  </si>
  <si>
    <t>Enter the registry ID number in row 1106 of the table for production class 1.</t>
  </si>
  <si>
    <t>Enter the registry ID number in row 1107 of the table for production class 1.</t>
  </si>
  <si>
    <t>Enter the registry ID number in row 1108 of the table for production class 1.</t>
  </si>
  <si>
    <t>Enter the registry ID number in row 1109 of the table for production class 1.</t>
  </si>
  <si>
    <t>Enter the registry ID number in row 1110 of the table for production class 1.</t>
  </si>
  <si>
    <t>Enter the registry ID number in row 1111 of the table for production class 1.</t>
  </si>
  <si>
    <t>Enter the registry ID number in row 1112 of the table for production class 1.</t>
  </si>
  <si>
    <t>Enter the registry ID number in row 1113 of the table for production class 1.</t>
  </si>
  <si>
    <t>Enter the registry ID number in row 1114 of the table for production class 1.</t>
  </si>
  <si>
    <t>Enter the registry ID number in row 1115 of the table for production class 1.</t>
  </si>
  <si>
    <t>Enter the registry ID number in row 1116 of the table for production class 1.</t>
  </si>
  <si>
    <t>Enter the registry ID number in row 1117 of the table for production class 1.</t>
  </si>
  <si>
    <t>Enter the registry ID number in row 1118 of the table for production class 1.</t>
  </si>
  <si>
    <t>Enter the registry ID number in row 1119 of the table for production class 1.</t>
  </si>
  <si>
    <t>Enter the registry ID number in row 1120 of the table for production class 1.</t>
  </si>
  <si>
    <t>Enter the registry ID number in row 1121 of the table for production class 1.</t>
  </si>
  <si>
    <t>Enter the registry ID number in row 1122 of the table for production class 1.</t>
  </si>
  <si>
    <t>Enter the registry ID number in row 1123 of the table for production class 1.</t>
  </si>
  <si>
    <t>Enter the registry ID number in row 1124 of the table for production class 1.</t>
  </si>
  <si>
    <t>Enter the registry ID number in row 1125 of the table for production class 1.</t>
  </si>
  <si>
    <t>Enter the registry ID number in row 1126 of the table for production class 1.</t>
  </si>
  <si>
    <t>Enter the registry ID number in row 1127 of the table for production class 1.</t>
  </si>
  <si>
    <t>Enter the registry ID number in row 1128 of the table for production class 1.</t>
  </si>
  <si>
    <t>Enter the registry ID number in row 1129 of the table for production class 1.</t>
  </si>
  <si>
    <t>Enter the registry ID number in row 1130 of the table for production class 1.</t>
  </si>
  <si>
    <t>Enter the registry ID number in row 1131 of the table for production class 1.</t>
  </si>
  <si>
    <t>Enter the registry ID number in row 1132 of the table for production class 1.</t>
  </si>
  <si>
    <t>Enter the registry ID number in row 1133 of the table for production class 1.</t>
  </si>
  <si>
    <t>Enter the registry ID number in row 1134 of the table for production class 1.</t>
  </si>
  <si>
    <t>Enter the registry ID number in row 1135 of the table for production class 1.</t>
  </si>
  <si>
    <t>Enter the registry ID number in row 1136 of the table for production class 1.</t>
  </si>
  <si>
    <t>Enter the registry ID number in row 1137 of the table for production class 1.</t>
  </si>
  <si>
    <t>Enter the registry ID number in row 1138 of the table for production class 1.</t>
  </si>
  <si>
    <t>Enter the registry ID number in row 1139 of the table for production class 1.</t>
  </si>
  <si>
    <t>Enter the registry ID number in row 1140 of the table for production class 1.</t>
  </si>
  <si>
    <t>Enter the registry ID number in row 1141 of the table for production class 1.</t>
  </si>
  <si>
    <t>Enter the registry ID number in row 1142 of the table for production class 1.</t>
  </si>
  <si>
    <t>Enter the registry ID number in row 1143 of the table for production class 1.</t>
  </si>
  <si>
    <t>Enter the registry ID number in row 1144 of the table for production class 1.</t>
  </si>
  <si>
    <t>Enter the registry ID number in row 1145 of the table for production class 1.</t>
  </si>
  <si>
    <t>Enter the registry ID number in row 1146 of the table for production class 1.</t>
  </si>
  <si>
    <t>Enter the registry ID number in row 1147 of the table for production class 1.</t>
  </si>
  <si>
    <t>Enter the registry ID number in row 1148 of the table for production class 1.</t>
  </si>
  <si>
    <t>Enter the registry ID number in row 1149 of the table for production class 1.</t>
  </si>
  <si>
    <t>Enter the registry ID number in row 1150 of the table for production class 1.</t>
  </si>
  <si>
    <t>Enter the registry ID number in row 1151 of the table for production class 1.</t>
  </si>
  <si>
    <t>Enter the registry ID number in row 1152 of the table for production class 1.</t>
  </si>
  <si>
    <t>Enter the registry ID number in row 1153 of the table for production class 1.</t>
  </si>
  <si>
    <t>Enter the registry ID number in row 1154 of the table for production class 1.</t>
  </si>
  <si>
    <t>Enter the registry ID number in row 1155 of the table for production class 1.</t>
  </si>
  <si>
    <t>Enter the registry ID number in row 1156 of the table for production class 1.</t>
  </si>
  <si>
    <t>Enter the registry ID number in row 1157 of the table for production class 1.</t>
  </si>
  <si>
    <t>Enter the registry ID number in row 1158 of the table for production class 1.</t>
  </si>
  <si>
    <t>Enter the registry ID number in row 1159 of the table for production class 1.</t>
  </si>
  <si>
    <t>Enter the registry ID number in row 1160 of the table for production class 1.</t>
  </si>
  <si>
    <t>Enter the registry ID number in row 1161 of the table for production class 1.</t>
  </si>
  <si>
    <t>Enter the registry ID number in row 1162 of the table for production class 1.</t>
  </si>
  <si>
    <t>Enter the registry ID number in row 1163 of the table for production class 1.</t>
  </si>
  <si>
    <t>Enter the registry ID number in row 1164 of the table for production class 1.</t>
  </si>
  <si>
    <t>Enter the registry ID number in row 1165 of the table for production class 1.</t>
  </si>
  <si>
    <t>Enter the registry ID number in row 1166 of the table for production class 1.</t>
  </si>
  <si>
    <t>Enter the registry ID number in row 1167 of the table for production class 1.</t>
  </si>
  <si>
    <t>Enter the registry ID number in row 1168 of the table for production class 1.</t>
  </si>
  <si>
    <t>Enter the registry ID number in row 1169 of the table for production class 1.</t>
  </si>
  <si>
    <t>Enter the registry ID number in row 1170 of the table for production class 1.</t>
  </si>
  <si>
    <t>Enter the registry ID number in row 1171 of the table for production class 1.</t>
  </si>
  <si>
    <t>Enter the registry ID number in row 1172 of the table for production class 1.</t>
  </si>
  <si>
    <t>Enter the registry ID number in row 1173 of the table for production class 1.</t>
  </si>
  <si>
    <t>Enter the registry ID number in row 1174 of the table for production class 1.</t>
  </si>
  <si>
    <t>Enter the registry ID number in row 1175 of the table for production class 1.</t>
  </si>
  <si>
    <t>Enter the registry ID number in row 1176 of the table for production class 1.</t>
  </si>
  <si>
    <t>Enter the registry ID number in row 1177 of the table for production class 1.</t>
  </si>
  <si>
    <t>Enter the registry ID number in row 1178 of the table for production class 1.</t>
  </si>
  <si>
    <t>Enter the registry ID number in row 1179 of the table for production class 1.</t>
  </si>
  <si>
    <t>Enter the registry ID number in row 1180 of the table for production class 1.</t>
  </si>
  <si>
    <t>Enter the registry ID number in row 1181 of the table for production class 1.</t>
  </si>
  <si>
    <t>Enter the registry ID number in row 1182 of the table for production class 1.</t>
  </si>
  <si>
    <t>Enter the registry ID number in row 1183 of the table for production class 1.</t>
  </si>
  <si>
    <t>Enter the registry ID number in row 1184 of the table for production class 1.</t>
  </si>
  <si>
    <t>Enter the registry ID number in row 1185 of the table for production class 1.</t>
  </si>
  <si>
    <t>Enter the registry ID number in row 1186 of the table for production class 1.</t>
  </si>
  <si>
    <t>Enter the registry ID number in row 1187 of the table for production class 1.</t>
  </si>
  <si>
    <t>Enter the registry ID number in row 1188 of the table for production class 1.</t>
  </si>
  <si>
    <t>Enter the registry ID number in row 1189 of the table for production class 1.</t>
  </si>
  <si>
    <t>Enter the registry ID number in row 1190 of the table for production class 1.</t>
  </si>
  <si>
    <t>Enter the registry ID number in row 1191 of the table for production class 1.</t>
  </si>
  <si>
    <t>Enter the registry ID number in row 1192 of the table for production class 1.</t>
  </si>
  <si>
    <t>Enter the registry ID number in row 1193 of the table for production class 1.</t>
  </si>
  <si>
    <t>Enter the registry ID number in row 1194 of the table for production class 1.</t>
  </si>
  <si>
    <t>Enter the registry ID number in row 1195 of the table for production class 1.</t>
  </si>
  <si>
    <t>Enter the registry ID number in row 1196 of the table for production class 1.</t>
  </si>
  <si>
    <t>Enter the registry ID number in row 1197 of the table for production class 1.</t>
  </si>
  <si>
    <t>Enter the registry ID number in row 1198 of the table for production class 1.</t>
  </si>
  <si>
    <t>Enter the registry ID number in row 1199 of the table for production class 1.</t>
  </si>
  <si>
    <t>Enter the registry ID number in row 1200 of the table for production class 1.</t>
  </si>
  <si>
    <t>Enter the registry ID number in row 1201 of the table for production class 1.</t>
  </si>
  <si>
    <t>Enter the registry ID number in row 1202 of the table for production class 1.</t>
  </si>
  <si>
    <t>Enter the registry ID number in row 1203 of the table for production class 1.</t>
  </si>
  <si>
    <t>Enter the registry ID number in row 1204 of the table for production class 1.</t>
  </si>
  <si>
    <t>Enter the registry ID number in row 1205 of the table for production class 1.</t>
  </si>
  <si>
    <t>Enter the registry ID number in row 1206 of the table for production class 1.</t>
  </si>
  <si>
    <t>Enter the registry ID number in row 1207 of the table for production class 1.</t>
  </si>
  <si>
    <t>Enter the registry ID number in row 1208 of the table for production class 1.</t>
  </si>
  <si>
    <t>Enter the registry ID number in row 1209 of the table for production class 1.</t>
  </si>
  <si>
    <t>Enter the registry ID number in row 1210 of the table for production class 1.</t>
  </si>
  <si>
    <t>Enter the registry ID number in row 1211 of the table for production class 1.</t>
  </si>
  <si>
    <t>Enter the registry ID number in row 1212 of the table for production class 1.</t>
  </si>
  <si>
    <t>Enter the registry ID number in row 1213 of the table for production class 1.</t>
  </si>
  <si>
    <t>Enter the registry ID number in row 1214 of the table for production class 1.</t>
  </si>
  <si>
    <t>Enter the registry ID number in row 1215 of the table for production class 1.</t>
  </si>
  <si>
    <t>Enter the registry ID number in row 1216 of the table for production class 1.</t>
  </si>
  <si>
    <t>Enter the registry ID number in row 1217 of the table for production class 1.</t>
  </si>
  <si>
    <t>Enter the registry ID number in row 1218 of the table for production class 1.</t>
  </si>
  <si>
    <t>Enter the registry ID number in row 1219 of the table for production class 1.</t>
  </si>
  <si>
    <t>Enter the registry ID number in row 1220 of the table for production class 1.</t>
  </si>
  <si>
    <t>Enter the registry ID number in row 1221 of the table for production class 1.</t>
  </si>
  <si>
    <t>Enter the registry ID number in row 1222 of the table for production class 1.</t>
  </si>
  <si>
    <t>Enter the registry ID number in row 1223 of the table for production class 1.</t>
  </si>
  <si>
    <t>Enter the registry ID number in row 1224 of the table for production class 1.</t>
  </si>
  <si>
    <t>Enter the registry ID number in row 1225 of the table for production class 1.</t>
  </si>
  <si>
    <t>Enter the registry ID number in row 1226 of the table for production class 1.</t>
  </si>
  <si>
    <t>Enter the registry ID number in row 1227 of the table for production class 1.</t>
  </si>
  <si>
    <t>Enter the registry ID number in row 1228 of the table for production class 1.</t>
  </si>
  <si>
    <t>Enter the registry ID number in row 1229 of the table for production class 1.</t>
  </si>
  <si>
    <t>Enter the registry ID number in row 1230 of the table for production class 1.</t>
  </si>
  <si>
    <t>Enter the registry ID number in row 1231 of the table for production class 1.</t>
  </si>
  <si>
    <t>Enter the registry ID number in row 1232 of the table for production class 1.</t>
  </si>
  <si>
    <t>Enter the registry ID number in row 1233 of the table for production class 1.</t>
  </si>
  <si>
    <t>Enter the registry ID number in row 1234 of the table for production class 1.</t>
  </si>
  <si>
    <t>Enter the registry ID number in row 1235 of the table for production class 1.</t>
  </si>
  <si>
    <t>Enter the registry ID number in row 1236 of the table for production class 1.</t>
  </si>
  <si>
    <t>Enter the registry ID number in row 1237 of the table for production class 1.</t>
  </si>
  <si>
    <t>Enter the registry ID number in row 1238 of the table for production class 1.</t>
  </si>
  <si>
    <t>Enter the registry ID number in row 1239 of the table for production class 1.</t>
  </si>
  <si>
    <t>Enter the registry ID number in row 1240 of the table for production class 1.</t>
  </si>
  <si>
    <t>Enter the registry ID number in row 1241 of the table for production class 1.</t>
  </si>
  <si>
    <t>Enter the registry ID number in row 1242 of the table for production class 1.</t>
  </si>
  <si>
    <t>Enter the registry ID number in row 1243 of the table for production class 1.</t>
  </si>
  <si>
    <t>Enter the registry ID number in row 1244 of the table for production class 1.</t>
  </si>
  <si>
    <t>Enter the registry ID number in row 1245 of the table for production class 1.</t>
  </si>
  <si>
    <t>Enter the registry ID number in row 1246 of the table for production class 1.</t>
  </si>
  <si>
    <t>Enter the registry ID number in row 1247 of the table for production class 1.</t>
  </si>
  <si>
    <t>Enter the registry ID number in row 1248 of the table for production class 1.</t>
  </si>
  <si>
    <t>Enter the registry ID number in row 1249 of the table for production class 1.</t>
  </si>
  <si>
    <t>Enter the registry ID number in row 1250 of the table for production class 1.</t>
  </si>
  <si>
    <t>Enter the registry ID number in row 1251 of the table for production class 1.</t>
  </si>
  <si>
    <t>Enter the registry ID number in row 1252 of the table for production class 1.</t>
  </si>
  <si>
    <t>Enter the registry ID number in row 1253 of the table for production class 1.</t>
  </si>
  <si>
    <t>Enter the registry ID number in row 1254 of the table for production class 1.</t>
  </si>
  <si>
    <t>Enter the registry ID number in row 1255 of the table for production class 1.</t>
  </si>
  <si>
    <t>Enter the registry ID number in row 1256 of the table for production class 1.</t>
  </si>
  <si>
    <t>Enter the registry ID number in row 1257 of the table for production class 1.</t>
  </si>
  <si>
    <t>Enter the registry ID number in row 1258 of the table for production class 1.</t>
  </si>
  <si>
    <t>Enter the registry ID number in row 1259 of the table for production class 1.</t>
  </si>
  <si>
    <t>Enter the registry ID number in row 1260 of the table for production class 1.</t>
  </si>
  <si>
    <t>Enter the registry ID number in row 1261 of the table for production class 1.</t>
  </si>
  <si>
    <t>Enter the registry ID number in row 1262 of the table for production class 1.</t>
  </si>
  <si>
    <t>Enter the registry ID number in row 1263 of the table for production class 1.</t>
  </si>
  <si>
    <t>Enter the registry ID number in row 1264 of the table for production class 1.</t>
  </si>
  <si>
    <t>Enter the registry ID number in row 1265 of the table for production class 1.</t>
  </si>
  <si>
    <t>Enter the registry ID number in row 1266 of the table for production class 1.</t>
  </si>
  <si>
    <t>Enter the registry ID number in row 1267 of the table for production class 1.</t>
  </si>
  <si>
    <t>Enter the registry ID number in row 1268 of the table for production class 1.</t>
  </si>
  <si>
    <t>Enter the registry ID number in row 1269 of the table for production class 1.</t>
  </si>
  <si>
    <t>Enter the registry ID number in row 1270 of the table for production class 1.</t>
  </si>
  <si>
    <t>Enter the registry ID number in row 1271 of the table for production class 1.</t>
  </si>
  <si>
    <t>Enter the registry ID number in row 1272 of the table for production class 1.</t>
  </si>
  <si>
    <t>Enter the registry ID number in row 1273 of the table for production class 1.</t>
  </si>
  <si>
    <t>Enter the registry ID number in row 1274 of the table for production class 1.</t>
  </si>
  <si>
    <t>Enter the registry ID number in row 1275 of the table for production class 1.</t>
  </si>
  <si>
    <t>Enter the registry ID number in row 1276 of the table for production class 1.</t>
  </si>
  <si>
    <t>Enter the registry ID number in row 1277 of the table for production class 1.</t>
  </si>
  <si>
    <t>Enter the registry ID number in row 1278 of the table for production class 1.</t>
  </si>
  <si>
    <t>Enter the registry ID number in row 1279 of the table for production class 1.</t>
  </si>
  <si>
    <t>Enter the registry ID number in row 1280 of the table for production class 1.</t>
  </si>
  <si>
    <t>Enter the registry ID number in row 1281 of the table for production class 1.</t>
  </si>
  <si>
    <t>Enter the registry ID number in row 1282 of the table for production class 1.</t>
  </si>
  <si>
    <t>Enter the registry ID number in row 1283 of the table for production class 1.</t>
  </si>
  <si>
    <t>Enter the registry ID number in row 1284 of the table for production class 1.</t>
  </si>
  <si>
    <t>Enter the registry ID number in row 1285 of the table for production class 1.</t>
  </si>
  <si>
    <t>Enter the registry ID number in row 1286 of the table for production class 1.</t>
  </si>
  <si>
    <t>Enter the registry ID number in row 1287 of the table for production class 1.</t>
  </si>
  <si>
    <t>Enter the registry ID number in row 1288 of the table for production class 1.</t>
  </si>
  <si>
    <t>Enter the registry ID number in row 1289 of the table for production class 1.</t>
  </si>
  <si>
    <t>Enter the registry ID number in row 1290 of the table for production class 1.</t>
  </si>
  <si>
    <t>Enter the registry ID number in row 1291 of the table for production class 1.</t>
  </si>
  <si>
    <t>Enter the registry ID number in row 1292 of the table for production class 1.</t>
  </si>
  <si>
    <t>Enter the registry ID number in row 1293 of the table for production class 1.</t>
  </si>
  <si>
    <t>Enter the registry ID number in row 1294 of the table for production class 1.</t>
  </si>
  <si>
    <t>Enter the registry ID number in row 1295 of the table for production class 1.</t>
  </si>
  <si>
    <t>Enter the registry ID number in row 1296 of the table for production class 1.</t>
  </si>
  <si>
    <t>Enter the registry ID number in row 1297 of the table for production class 1.</t>
  </si>
  <si>
    <t>Enter the registry ID number in row 1298 of the table for production class 1.</t>
  </si>
  <si>
    <t>Enter the registry ID number in row 1299 of the table for production class 1.</t>
  </si>
  <si>
    <t>Enter the registry ID number in row 1300 of the table for production class 1.</t>
  </si>
  <si>
    <t>Enter the registry ID number in row 1301 of the table for production class 1.</t>
  </si>
  <si>
    <t>Enter the registry ID number in row 1302 of the table for production class 1.</t>
  </si>
  <si>
    <t>Enter the registry ID number in row 1303 of the table for production class 1.</t>
  </si>
  <si>
    <t>Enter the registry ID number in row 1304 of the table for production class 1.</t>
  </si>
  <si>
    <t>Enter the registry ID number in row 1305 of the table for production class 1.</t>
  </si>
  <si>
    <t>Enter the registry ID number in row 1306 of the table for production class 1.</t>
  </si>
  <si>
    <t>Enter the registry ID number in row 1307 of the table for production class 1.</t>
  </si>
  <si>
    <t>Enter the registry ID number in row 1308 of the table for production class 1.</t>
  </si>
  <si>
    <t>Enter the registry ID number in row 1309 of the table for production class 1.</t>
  </si>
  <si>
    <t>Enter the registry ID number in row 1310 of the table for production class 1.</t>
  </si>
  <si>
    <t>Enter the registry ID number in row 1311 of the table for production class 1.</t>
  </si>
  <si>
    <t>Enter the registry ID number in row 1312 of the table for production class 1.</t>
  </si>
  <si>
    <t>Enter the registry ID number in row 1313 of the table for production class 1.</t>
  </si>
  <si>
    <t>Enter the registry ID number in row 1314 of the table for production class 1.</t>
  </si>
  <si>
    <t>Enter the registry ID number in row 1315 of the table for production class 1.</t>
  </si>
  <si>
    <t>Enter the registry ID number in row 1316 of the table for production class 1.</t>
  </si>
  <si>
    <t>Enter the registry ID number in row 1317 of the table for production class 1.</t>
  </si>
  <si>
    <t>Enter the registry ID number in row 1318 of the table for production class 1.</t>
  </si>
  <si>
    <t>Enter the registry ID number in row 1319 of the table for production class 1.</t>
  </si>
  <si>
    <t>Enter the registry ID number in row 1320 of the table for production class 1.</t>
  </si>
  <si>
    <t>Enter the registry ID number in row 1321 of the table for production class 1.</t>
  </si>
  <si>
    <t>Enter the registry ID number in row 1322 of the table for production class 1.</t>
  </si>
  <si>
    <t>Enter the registry ID number in row 1323 of the table for production class 1.</t>
  </si>
  <si>
    <t>Enter the registry ID number in row 1324 of the table for production class 1.</t>
  </si>
  <si>
    <t>Enter the registry ID number in row 1325 of the table for production class 1.</t>
  </si>
  <si>
    <t>Enter the registry ID number in row 1326 of the table for production class 1.</t>
  </si>
  <si>
    <t>Enter the registry ID number in row 1327 of the table for production class 1.</t>
  </si>
  <si>
    <t>Enter the registry ID number in row 1328 of the table for production class 1.</t>
  </si>
  <si>
    <t>Enter the registry ID number in row 1329 of the table for production class 1.</t>
  </si>
  <si>
    <t>Enter the registry ID number in row 1330 of the table for production class 1.</t>
  </si>
  <si>
    <t>Enter the registry ID number in row 1331 of the table for production class 1.</t>
  </si>
  <si>
    <t>Enter the registry ID number in row 1332 of the table for production class 1.</t>
  </si>
  <si>
    <t>Enter the registry ID number in row 1333 of the table for production class 1.</t>
  </si>
  <si>
    <t>Enter the registry ID number in row 1334 of the table for production class 1.</t>
  </si>
  <si>
    <t>Enter the registry ID number in row 1335 of the table for production class 1.</t>
  </si>
  <si>
    <t>Enter the registry ID number in row 1336 of the table for production class 1.</t>
  </si>
  <si>
    <t>Enter the registry ID number in row 1337 of the table for production class 1.</t>
  </si>
  <si>
    <t>Enter the registry ID number in row 1338 of the table for production class 1.</t>
  </si>
  <si>
    <t>Enter the registry ID number in row 1339 of the table for production class 1.</t>
  </si>
  <si>
    <t>Enter the registry ID number in row 1340 of the table for production class 1.</t>
  </si>
  <si>
    <t>Enter the registry ID number in row 1341 of the table for production class 1.</t>
  </si>
  <si>
    <t>Enter the registry ID number in row 1342 of the table for production class 1.</t>
  </si>
  <si>
    <t>Enter the registry ID number in row 1343 of the table for production class 1.</t>
  </si>
  <si>
    <t>Enter the registry ID number in row 1344 of the table for production class 1.</t>
  </si>
  <si>
    <t>Enter the registry ID number in row 1345 of the table for production class 1.</t>
  </si>
  <si>
    <t>Enter the registry ID number in row 1346 of the table for production class 1.</t>
  </si>
  <si>
    <t>Enter the registry ID number in row 1347 of the table for production class 1.</t>
  </si>
  <si>
    <t>Enter the registry ID number in row 1348 of the table for production class 1.</t>
  </si>
  <si>
    <t>Enter the registry ID number in row 1349 of the table for production class 1.</t>
  </si>
  <si>
    <t>Enter the registry ID number in row 1350 of the table for production class 1.</t>
  </si>
  <si>
    <t>Enter the registry ID number in row 1351 of the table for production class 1.</t>
  </si>
  <si>
    <t>Enter the registry ID number in row 1352 of the table for production class 1.</t>
  </si>
  <si>
    <t>Enter the registry ID number in row 1353 of the table for production class 1.</t>
  </si>
  <si>
    <t>Enter the registry ID number in row 1354 of the table for production class 1.</t>
  </si>
  <si>
    <t>Enter the registry ID number in row 1355 of the table for production class 1.</t>
  </si>
  <si>
    <t>Enter the registry ID number in row 1356 of the table for production class 1.</t>
  </si>
  <si>
    <t>Enter the registry ID number in row 1357 of the table for production class 1.</t>
  </si>
  <si>
    <t>Enter the registry ID number in row 1358 of the table for production class 1.</t>
  </si>
  <si>
    <t>Enter the registry ID number in row 1359 of the table for production class 1.</t>
  </si>
  <si>
    <t>Enter the registry ID number in row 1360 of the table for production class 1.</t>
  </si>
  <si>
    <t>Enter the registry ID number in row 1361 of the table for production class 1.</t>
  </si>
  <si>
    <t>Enter the registry ID number in row 1362 of the table for production class 1.</t>
  </si>
  <si>
    <t>Enter the registry ID number in row 1363 of the table for production class 1.</t>
  </si>
  <si>
    <t>Enter the registry ID number in row 1364 of the table for production class 1.</t>
  </si>
  <si>
    <t>Enter the registry ID number in row 1365 of the table for production class 1.</t>
  </si>
  <si>
    <t>Enter the registry ID number in row 1366 of the table for production class 1.</t>
  </si>
  <si>
    <t>Enter the registry ID number in row 1367 of the table for production class 1.</t>
  </si>
  <si>
    <t>Enter the registry ID number in row 1368 of the table for production class 1.</t>
  </si>
  <si>
    <t>Enter the registry ID number in row 1369 of the table for production class 1.</t>
  </si>
  <si>
    <t>Enter the registry ID number in row 1370 of the table for production class 1.</t>
  </si>
  <si>
    <t>Enter the registry ID number in row 1371 of the table for production class 1.</t>
  </si>
  <si>
    <t>Enter the registry ID number in row 1372 of the table for production class 1.</t>
  </si>
  <si>
    <t>Enter the registry ID number in row 1373 of the table for production class 1.</t>
  </si>
  <si>
    <t>Enter the registry ID number in row 1374 of the table for production class 1.</t>
  </si>
  <si>
    <t>Enter the registry ID number in row 1375 of the table for production class 1.</t>
  </si>
  <si>
    <t>Enter the registry ID number in row 1376 of the table for production class 1.</t>
  </si>
  <si>
    <t>Enter the registry ID number in row 1377 of the table for production class 1.</t>
  </si>
  <si>
    <t>Enter the registry ID number in row 1378 of the table for production class 1.</t>
  </si>
  <si>
    <t>Enter the registry ID number in row 1379 of the table for production class 1.</t>
  </si>
  <si>
    <t>Enter the registry ID number in row 1380 of the table for production class 1.</t>
  </si>
  <si>
    <t>Enter the registry ID number in row 1381 of the table for production class 1.</t>
  </si>
  <si>
    <t>Enter the registry ID number in row 1382 of the table for production class 1.</t>
  </si>
  <si>
    <t>Enter the registry ID number in row 1383 of the table for production class 1.</t>
  </si>
  <si>
    <t>Enter the registry ID number in row 1384 of the table for production class 1.</t>
  </si>
  <si>
    <t>Enter the registry ID number in row 1385 of the table for production class 1.</t>
  </si>
  <si>
    <t>Enter the registry ID number in row 1386 of the table for production class 1.</t>
  </si>
  <si>
    <t>Enter the registry ID number in row 1387 of the table for production class 1.</t>
  </si>
  <si>
    <t>Enter the registry ID number in row 1388 of the table for production class 1.</t>
  </si>
  <si>
    <t>Enter the registry ID number in row 1389 of the table for production class 1.</t>
  </si>
  <si>
    <t>Enter the registry ID number in row 1390 of the table for production class 1.</t>
  </si>
  <si>
    <t>Enter the registry ID number in row 1391 of the table for production class 1.</t>
  </si>
  <si>
    <t>Enter the registry ID number in row 1392 of the table for production class 1.</t>
  </si>
  <si>
    <t>Enter the registry ID number in row 1393 of the table for production class 1.</t>
  </si>
  <si>
    <t>Enter the registry ID number in row 1394 of the table for production class 1.</t>
  </si>
  <si>
    <t>Enter the registry ID number in row 1395 of the table for production class 1.</t>
  </si>
  <si>
    <t>Enter the registry ID number in row 1396 of the table for production class 1.</t>
  </si>
  <si>
    <t>Enter the registry ID number in row 1397 of the table for production class 1.</t>
  </si>
  <si>
    <t>Enter the registry ID number in row 1398 of the table for production class 1.</t>
  </si>
  <si>
    <t>Enter the registry ID number in row 1399 of the table for production class 1.</t>
  </si>
  <si>
    <t>Enter the registry ID number in row 1400 of the table for production class 1.</t>
  </si>
  <si>
    <t>Enter the registry ID number in row 1401 of the table for production class 1.</t>
  </si>
  <si>
    <t>Enter the registry ID number in row 1402 of the table for production class 1.</t>
  </si>
  <si>
    <t>Enter the registry ID number in row 1403 of the table for production class 1.</t>
  </si>
  <si>
    <t>Enter the registry ID number in row 1404 of the table for production class 1.</t>
  </si>
  <si>
    <t>Enter the registry ID number in row 1405 of the table for production class 1.</t>
  </si>
  <si>
    <t>Enter the registry ID number in row 1406 of the table for production class 1.</t>
  </si>
  <si>
    <t>Enter the registry ID number in row 1407 of the table for production class 1.</t>
  </si>
  <si>
    <t>Enter the registry ID number in row 1408 of the table for production class 1.</t>
  </si>
  <si>
    <t>Enter the registry ID number in row 1409 of the table for production class 1.</t>
  </si>
  <si>
    <t>Enter the registry ID number in row 1410 of the table for production class 1.</t>
  </si>
  <si>
    <t>Enter the registry ID number in row 1411 of the table for production class 1.</t>
  </si>
  <si>
    <t>Enter the registry ID number in row 1412 of the table for production class 1.</t>
  </si>
  <si>
    <t>Enter the registry ID number in row 1413 of the table for production class 1.</t>
  </si>
  <si>
    <t>Enter the registry ID number in row 1414 of the table for production class 1.</t>
  </si>
  <si>
    <t>Enter the registry ID number in row 1415 of the table for production class 1.</t>
  </si>
  <si>
    <t>Enter the registry ID number in row 1416 of the table for production class 1.</t>
  </si>
  <si>
    <t>Enter the registry ID number in row 1417 of the table for production class 1.</t>
  </si>
  <si>
    <t>Enter the registry ID number in row 1418 of the table for production class 1.</t>
  </si>
  <si>
    <t>Enter the registry ID number in row 1419 of the table for production class 1.</t>
  </si>
  <si>
    <t>Enter the registry ID number in row 1420 of the table for production class 1.</t>
  </si>
  <si>
    <t>Enter the registry ID number in row 1421 of the table for production class 1.</t>
  </si>
  <si>
    <t>Enter the registry ID number in row 1422 of the table for production class 1.</t>
  </si>
  <si>
    <t>Enter the registry ID number in row 1423 of the table for production class 1.</t>
  </si>
  <si>
    <t>Enter the registry ID number in row 1424 of the table for production class 1.</t>
  </si>
  <si>
    <t>Enter the registry ID number in row 1425 of the table for production class 1.</t>
  </si>
  <si>
    <t>Enter the registry ID number in row 1426 of the table for production class 1.</t>
  </si>
  <si>
    <t>Enter the registry ID number in row 1427 of the table for production class 1.</t>
  </si>
  <si>
    <t>Enter the registry ID number in row 1428 of the table for production class 1.</t>
  </si>
  <si>
    <t>Enter the registry ID number in row 1429 of the table for production class 1.</t>
  </si>
  <si>
    <t>Enter the registry ID number in row 1430 of the table for production class 1.</t>
  </si>
  <si>
    <t>Enter the registry ID number in row 1431 of the table for production class 1.</t>
  </si>
  <si>
    <t>Enter the registry ID number in row 1432 of the table for production class 1.</t>
  </si>
  <si>
    <t>Enter the registry ID number in row 1433 of the table for production class 1.</t>
  </si>
  <si>
    <t>Enter the registry ID number in row 1434 of the table for production class 1.</t>
  </si>
  <si>
    <t>Enter the registry ID number in row 1435 of the table for production class 1.</t>
  </si>
  <si>
    <t>Enter the registry ID number in row 1436 of the table for production class 1.</t>
  </si>
  <si>
    <t>Enter the registry ID number in row 1437 of the table for production class 1.</t>
  </si>
  <si>
    <t>Enter the registry ID number in row 1438 of the table for production class 1.</t>
  </si>
  <si>
    <t>Enter the registry ID number in row 1439 of the table for production class 1.</t>
  </si>
  <si>
    <t>Enter the registry ID number in row 1440 of the table for production class 1.</t>
  </si>
  <si>
    <t>Enter the registry ID number in row 1441 of the table for production class 1.</t>
  </si>
  <si>
    <t>Enter the registry ID number in row 1442 of the table for production class 1.</t>
  </si>
  <si>
    <t>Enter the registry ID number in row 1443 of the table for production class 1.</t>
  </si>
  <si>
    <t>Enter the registry ID number in row 1444 of the table for production class 1.</t>
  </si>
  <si>
    <t>Enter the registry ID number in row 1445 of the table for production class 1.</t>
  </si>
  <si>
    <t>Enter the registry ID number in row 1446 of the table for production class 1.</t>
  </si>
  <si>
    <t>Enter the registry ID number in row 1447 of the table for production class 1.</t>
  </si>
  <si>
    <t>Enter the registry ID number in row 1448 of the table for production class 1.</t>
  </si>
  <si>
    <t>Enter the registry ID number in row 1449 of the table for production class 1.</t>
  </si>
  <si>
    <t>Enter the registry ID number in row 1450 of the table for production class 1.</t>
  </si>
  <si>
    <t>Enter the registry ID number in row 1451 of the table for production class 1.</t>
  </si>
  <si>
    <t>Enter the registry ID number in row 1452 of the table for production class 1.</t>
  </si>
  <si>
    <t>Enter the registry ID number in row 1453 of the table for production class 1.</t>
  </si>
  <si>
    <t>Enter the registry ID number in row 1454 of the table for production class 1.</t>
  </si>
  <si>
    <t>Enter the registry ID number in row 1455 of the table for production class 1.</t>
  </si>
  <si>
    <t>Enter the registry ID number in row 1456 of the table for production class 1.</t>
  </si>
  <si>
    <t>Enter the registry ID number in row 1457 of the table for production class 1.</t>
  </si>
  <si>
    <t>Enter the registry ID number in row 1458 of the table for production class 1.</t>
  </si>
  <si>
    <t>Enter the registry ID number in row 1459 of the table for production class 1.</t>
  </si>
  <si>
    <t>Enter the registry ID number in row 1460 of the table for production class 1.</t>
  </si>
  <si>
    <t>Enter the registry ID number in row 1461 of the table for production class 1.</t>
  </si>
  <si>
    <t>Enter the registry ID number in row 1462 of the table for production class 1.</t>
  </si>
  <si>
    <t>Enter the registry ID number in row 1463 of the table for production class 1.</t>
  </si>
  <si>
    <t>Enter the registry ID number in row 1464 of the table for production class 1.</t>
  </si>
  <si>
    <t>Enter the registry ID number in row 1465 of the table for production class 1.</t>
  </si>
  <si>
    <t>Enter the registry ID number in row 1466 of the table for production class 1.</t>
  </si>
  <si>
    <t>Enter the registry ID number in row 1467 of the table for production class 1.</t>
  </si>
  <si>
    <t>Enter the registry ID number in row 1468 of the table for production class 1.</t>
  </si>
  <si>
    <t>Enter the registry ID number in row 1469 of the table for production class 1.</t>
  </si>
  <si>
    <t>Enter the registry ID number in row 1470 of the table for production class 1.</t>
  </si>
  <si>
    <t>Enter the registry ID number in row 1471 of the table for production class 1.</t>
  </si>
  <si>
    <t>Enter the registry ID number in row 1472 of the table for production class 1.</t>
  </si>
  <si>
    <t>Enter the registry ID number in row 1473 of the table for production class 1.</t>
  </si>
  <si>
    <t>Enter the registry ID number in row 1474 of the table for production class 1.</t>
  </si>
  <si>
    <t>Enter the registry ID number in row 1475 of the table for production class 1.</t>
  </si>
  <si>
    <t>Enter the registry ID number in row 1476 of the table for production class 1.</t>
  </si>
  <si>
    <t>Enter the registry ID number in row 1477 of the table for production class 1.</t>
  </si>
  <si>
    <t>Enter the registry ID number in row 1478 of the table for production class 1.</t>
  </si>
  <si>
    <t>Enter the registry ID number in row 1479 of the table for production class 1.</t>
  </si>
  <si>
    <t>Enter the registry ID number in row 1480 of the table for production class 1.</t>
  </si>
  <si>
    <t>Enter the registry ID number in row 1481 of the table for production class 1.</t>
  </si>
  <si>
    <t>Enter the registry ID number in row 1482 of the table for production class 1.</t>
  </si>
  <si>
    <t>Enter the registry ID number in row 1483 of the table for production class 1.</t>
  </si>
  <si>
    <t>Enter the registry ID number in row 1484 of the table for production class 1.</t>
  </si>
  <si>
    <t>Enter the registry ID number in row 1485 of the table for production class 1.</t>
  </si>
  <si>
    <t>Enter the registry ID number in row 1486 of the table for production class 1.</t>
  </si>
  <si>
    <t>Enter the registry ID number in row 1487 of the table for production class 1.</t>
  </si>
  <si>
    <t>Enter the registry ID number in row 1488 of the table for production class 1.</t>
  </si>
  <si>
    <t>Enter the registry ID number in row 1489 of the table for production class 1.</t>
  </si>
  <si>
    <t>Enter the registry ID number in row 1490 of the table for production class 1.</t>
  </si>
  <si>
    <t>Enter the registry ID number in row 1491 of the table for production class 1.</t>
  </si>
  <si>
    <t>Enter the registry ID number in row 1492 of the table for production class 1.</t>
  </si>
  <si>
    <t>Enter the registry ID number in row 1493 of the table for production class 1.</t>
  </si>
  <si>
    <t>Enter the registry ID number in row 1494 of the table for production class 1.</t>
  </si>
  <si>
    <t>Enter the registry ID number in row 1495 of the table for production class 1.</t>
  </si>
  <si>
    <t>Enter the registry ID number in row 1496 of the table for production class 1.</t>
  </si>
  <si>
    <t>Enter the registry ID number in row 1497 of the table for production class 1.</t>
  </si>
  <si>
    <t>Enter the registry ID number in row 1498 of the table for production class 1.</t>
  </si>
  <si>
    <t>Enter the registry ID number in row 1499 of the table for production class 1.</t>
  </si>
  <si>
    <t>Enter the registry ID number in row 1500 of the table for production class 1.</t>
  </si>
  <si>
    <t>Enter the registry ID number in row 1501 of the table for production class 1.</t>
  </si>
  <si>
    <t>Enter the registry ID number in row 1502 of the table for production class 1.</t>
  </si>
  <si>
    <t>Enter the registry ID number in row 1503 of the table for production class 1.</t>
  </si>
  <si>
    <t>Enter the registry ID number in row 1504 of the table for production class 1.</t>
  </si>
  <si>
    <t>Enter the registry ID number in row 1505 of the table for production class 1.</t>
  </si>
  <si>
    <t>Enter the registry ID number in row 1506 of the table for production class 1.</t>
  </si>
  <si>
    <t>Enter the registry ID number in row 1507 of the table for production class 1.</t>
  </si>
  <si>
    <t>Enter the registry ID number in row 1508 of the table for production class 1.</t>
  </si>
  <si>
    <t>Enter the registry ID number in row 1509 of the table for production class 1.</t>
  </si>
  <si>
    <t>Enter the registry ID number in row 1510 of the table for production class 1.</t>
  </si>
  <si>
    <t>Enter the registry ID number in row 1511 of the table for production class 1.</t>
  </si>
  <si>
    <t>Enter the registry ID number in row 1512 of the table for production class 1.</t>
  </si>
  <si>
    <t>Enter the registry ID number in row 1513 of the table for production class 1.</t>
  </si>
  <si>
    <t>Enter the registry ID number in row 1514 of the table for production class 1.</t>
  </si>
  <si>
    <t>Enter the registry ID number in row 1515 of the table for production class 1.</t>
  </si>
  <si>
    <t>Enter the registry ID number in row 1516 of the table for production class 1.</t>
  </si>
  <si>
    <t>Enter the registry ID number in row 1517 of the table for production class 1.</t>
  </si>
  <si>
    <t>Enter the registry ID number in row 1518 of the table for production class 1.</t>
  </si>
  <si>
    <t>Enter the registry ID number in row 1519 of the table for production class 1.</t>
  </si>
  <si>
    <t>Enter the registry ID number in row 1520 of the table for production class 1.</t>
  </si>
  <si>
    <t>Enter the registry ID number in row 1521 of the table for production class 1.</t>
  </si>
  <si>
    <t>Enter the registry ID number in row 1522 of the table for production class 1.</t>
  </si>
  <si>
    <t>Enter the registry ID number in row 1523 of the table for production class 1.</t>
  </si>
  <si>
    <t>Enter the registry ID number in row 1524 of the table for production class 1.</t>
  </si>
  <si>
    <t>Enter the registry ID number in row 1525 of the table for production class 1.</t>
  </si>
  <si>
    <t>Enter the registry ID number in row 1526 of the table for production class 1.</t>
  </si>
  <si>
    <t>Enter the registry ID number in row 1527 of the table for production class 1.</t>
  </si>
  <si>
    <t>Enter the registry ID number in row 1528 of the table for production class 1.</t>
  </si>
  <si>
    <t>Enter the registry ID number in row 1529 of the table for production class 1.</t>
  </si>
  <si>
    <t>Enter the registry ID number in row 1530 of the table for production class 1.</t>
  </si>
  <si>
    <t>Enter the registry ID number in row 1531 of the table for production class 1.</t>
  </si>
  <si>
    <t>Enter the registry ID number in row 1532 of the table for production class 1.</t>
  </si>
  <si>
    <t>Enter the registry ID number in row 1533 of the table for production class 1.</t>
  </si>
  <si>
    <t>Enter the registry ID number in row 1534 of the table for production class 1.</t>
  </si>
  <si>
    <t>Enter the registry ID number in row 1535 of the table for production class 1.</t>
  </si>
  <si>
    <t>Enter the registry ID number in row 1536 of the table for production class 1.</t>
  </si>
  <si>
    <t>Enter the registry ID number in row 1537 of the table for production class 1.</t>
  </si>
  <si>
    <t>Enter the registry ID number in row 1538 of the table for production class 1.</t>
  </si>
  <si>
    <t>Enter the registry ID number in row 1539 of the table for production class 1.</t>
  </si>
  <si>
    <t>Enter the registry ID number in row 1540 of the table for production class 1.</t>
  </si>
  <si>
    <t>Enter the registry ID number in row 1541 of the table for production class 1.</t>
  </si>
  <si>
    <t>Enter the registry ID number in row 1542 of the table for production class 1.</t>
  </si>
  <si>
    <t>Enter the registry ID number in row 1543 of the table for production class 1.</t>
  </si>
  <si>
    <t>Enter the registry ID number in row 1544 of the table for production class 1.</t>
  </si>
  <si>
    <t>Enter the registry ID number in row 1545 of the table for production class 1.</t>
  </si>
  <si>
    <t>Enter the registry ID number in row 1546 of the table for production class 1.</t>
  </si>
  <si>
    <t>Enter the registry ID number in row 1547 of the table for production class 1.</t>
  </si>
  <si>
    <t>Enter the registry ID number in row 1548 of the table for production class 1.</t>
  </si>
  <si>
    <t>Enter the registry ID number in row 1549 of the table for production class 1.</t>
  </si>
  <si>
    <t>Enter the registry ID number in row 1550 of the table for production class 1.</t>
  </si>
  <si>
    <t>Enter the registry ID number in row 1551 of the table for production class 1.</t>
  </si>
  <si>
    <t>Enter the registry ID number in row 1552 of the table for production class 1.</t>
  </si>
  <si>
    <t>Enter the registry ID number in row 1553 of the table for production class 1.</t>
  </si>
  <si>
    <t>Enter the registry ID number in row 1554 of the table for production class 1.</t>
  </si>
  <si>
    <t>Enter the registry ID number in row 1555 of the table for production class 1.</t>
  </si>
  <si>
    <t>Enter the registry ID number in row 1556 of the table for production class 1.</t>
  </si>
  <si>
    <t>Enter the registry ID number in row 1557 of the table for production class 1.</t>
  </si>
  <si>
    <t>Enter the registry ID number in row 1558 of the table for production class 1.</t>
  </si>
  <si>
    <t>Enter the registry ID number in row 1559 of the table for production class 1.</t>
  </si>
  <si>
    <t>Enter the registry ID number in row 1560 of the table for production class 1.</t>
  </si>
  <si>
    <t>Enter the registry ID number in row 1561 of the table for production class 1.</t>
  </si>
  <si>
    <t>Enter the registry ID number in row 1562 of the table for production class 1.</t>
  </si>
  <si>
    <t>Enter the registry ID number in row 1563 of the table for production class 1.</t>
  </si>
  <si>
    <t>Enter the registry ID number in row 1564 of the table for production class 1.</t>
  </si>
  <si>
    <t>Enter the registry ID number in row 1565 of the table for production class 1.</t>
  </si>
  <si>
    <t>Enter the registry ID number in row 1566 of the table for production class 1.</t>
  </si>
  <si>
    <t>Enter the registry ID number in row 1567 of the table for production class 1.</t>
  </si>
  <si>
    <t>Enter the registry ID number in row 1568 of the table for production class 1.</t>
  </si>
  <si>
    <t>Enter the registry ID number in row 1569 of the table for production class 1.</t>
  </si>
  <si>
    <t>Enter the registry ID number in row 1570 of the table for production class 1.</t>
  </si>
  <si>
    <t>Enter the registry ID number in row 1571 of the table for production class 1.</t>
  </si>
  <si>
    <t>Enter the registry ID number in row 1572 of the table for production class 1.</t>
  </si>
  <si>
    <t>Enter the registry ID number in row 1573 of the table for production class 1.</t>
  </si>
  <si>
    <t>Enter the registry ID number in row 1574 of the table for production class 1.</t>
  </si>
  <si>
    <t>Enter the registry ID number in row 1575 of the table for production class 1.</t>
  </si>
  <si>
    <t>Enter the registry ID number in row 1576 of the table for production class 1.</t>
  </si>
  <si>
    <t>Enter the registry ID number in row 1577 of the table for production class 1.</t>
  </si>
  <si>
    <t>Enter the registry ID number in row 1578 of the table for production class 1.</t>
  </si>
  <si>
    <t>Enter the registry ID number in row 1579 of the table for production class 1.</t>
  </si>
  <si>
    <t>Enter the registry ID number in row 1580 of the table for production class 1.</t>
  </si>
  <si>
    <t>Enter the registry ID number in row 1581 of the table for production class 1.</t>
  </si>
  <si>
    <t>Enter the registry ID number in row 1582 of the table for production class 1.</t>
  </si>
  <si>
    <t>Enter the registry ID number in row 1583 of the table for production class 1.</t>
  </si>
  <si>
    <t>Enter the registry ID number in row 1584 of the table for production class 1.</t>
  </si>
  <si>
    <t>Enter the registry ID number in row 1585 of the table for production class 1.</t>
  </si>
  <si>
    <t>Enter the registry ID number in row 1586 of the table for production class 1.</t>
  </si>
  <si>
    <t>Enter the registry ID number in row 1587 of the table for production class 1.</t>
  </si>
  <si>
    <t>Enter the registry ID number in row 1588 of the table for production class 1.</t>
  </si>
  <si>
    <t>Enter the registry ID number in row 1589 of the table for production class 1.</t>
  </si>
  <si>
    <t>Enter the registry ID number in row 1590 of the table for production class 1.</t>
  </si>
  <si>
    <t>Enter the registry ID number in row 1591 of the table for production class 1.</t>
  </si>
  <si>
    <t>Enter the registry ID number in row 1592 of the table for production class 1.</t>
  </si>
  <si>
    <t>Enter the registry ID number in row 1593 of the table for production class 1.</t>
  </si>
  <si>
    <t>Enter the registry ID number in row 1594 of the table for production class 1.</t>
  </si>
  <si>
    <t>Enter the registry ID number in row 1595 of the table for production class 1.</t>
  </si>
  <si>
    <t>Enter the registry ID number in row 1596 of the table for production class 1.</t>
  </si>
  <si>
    <t>Enter the registry ID number in row 1597 of the table for production class 1.</t>
  </si>
  <si>
    <t>Enter the registry ID number in row 1598 of the table for production class 1.</t>
  </si>
  <si>
    <t>Enter the registry ID number in row 1599 of the table for production class 1.</t>
  </si>
  <si>
    <t>Enter the registry ID number in row 1600 of the table for production class 1.</t>
  </si>
  <si>
    <t>Enter the registry ID number in row 1601 of the table for production class 1.</t>
  </si>
  <si>
    <t>Enter the registry ID number in row 1602 of the table for production class 1.</t>
  </si>
  <si>
    <t>Enter the registry ID number in row 1603 of the table for production class 1.</t>
  </si>
  <si>
    <t>Enter the registry ID number in row 1604 of the table for production class 1.</t>
  </si>
  <si>
    <t>Enter the registry ID number in row 1605 of the table for production class 1.</t>
  </si>
  <si>
    <t>Enter the registry ID number in row 1606 of the table for production class 1.</t>
  </si>
  <si>
    <t>Enter the registry ID number in row 1607 of the table for production class 1.</t>
  </si>
  <si>
    <t>Enter the registry ID number in row 1608 of the table for production class 1.</t>
  </si>
  <si>
    <t>Enter the registry ID number in row 1609 of the table for production class 1.</t>
  </si>
  <si>
    <t>Enter the registry ID number in row 1610 of the table for production class 1.</t>
  </si>
  <si>
    <t>Enter the registry ID number in row 1611 of the table for production class 1.</t>
  </si>
  <si>
    <t>Enter the registry ID number in row 1612 of the table for production class 1.</t>
  </si>
  <si>
    <t>Enter the registry ID number in row 1613 of the table for production class 1.</t>
  </si>
  <si>
    <t>Enter the registry ID number in row 1614 of the table for production class 1.</t>
  </si>
  <si>
    <t>Enter the registry ID number in row 1615 of the table for production class 1.</t>
  </si>
  <si>
    <t>Enter the registry ID number in row 1616 of the table for production class 1.</t>
  </si>
  <si>
    <t>Enter the registry ID number in row 1617 of the table for production class 1.</t>
  </si>
  <si>
    <t>Enter the registry ID number in row 1618 of the table for production class 1.</t>
  </si>
  <si>
    <t>Enter the registry ID number in row 1619 of the table for production class 1.</t>
  </si>
  <si>
    <t>Enter the registry ID number in row 1620 of the table for production class 1.</t>
  </si>
  <si>
    <t>Enter the registry ID number in row 1621 of the table for production class 1.</t>
  </si>
  <si>
    <t>Enter the registry ID number in row 1622 of the table for production class 1.</t>
  </si>
  <si>
    <t>Enter the registry ID number in row 1623 of the table for production class 1.</t>
  </si>
  <si>
    <t>Enter the registry ID number in row 1624 of the table for production class 1.</t>
  </si>
  <si>
    <t>Enter the registry ID number in row 1625 of the table for production class 1.</t>
  </si>
  <si>
    <t>Enter the registry ID number in row 1626 of the table for production class 1.</t>
  </si>
  <si>
    <t>Enter the registry ID number in row 1627 of the table for production class 1.</t>
  </si>
  <si>
    <t>Enter the registry ID number in row 1628 of the table for production class 1.</t>
  </si>
  <si>
    <t>Enter the registry ID number in row 1629 of the table for production class 1.</t>
  </si>
  <si>
    <t>Enter the registry ID number in row 1630 of the table for production class 1.</t>
  </si>
  <si>
    <t>Enter the registry ID number in row 1631 of the table for production class 1.</t>
  </si>
  <si>
    <t>Enter the registry ID number in row 1632 of the table for production class 1.</t>
  </si>
  <si>
    <t>Enter the registry ID number in row 1633 of the table for production class 1.</t>
  </si>
  <si>
    <t>Enter the registry ID number in row 1634 of the table for production class 1.</t>
  </si>
  <si>
    <t>Enter the registry ID number in row 1635 of the table for production class 1.</t>
  </si>
  <si>
    <t>Enter the registry ID number in row 1636 of the table for production class 1.</t>
  </si>
  <si>
    <t>Enter the registry ID number in row 1637 of the table for production class 1.</t>
  </si>
  <si>
    <t>Enter the registry ID number in row 1638 of the table for production class 1.</t>
  </si>
  <si>
    <t>Enter the registry ID number in row 1639 of the table for production class 1.</t>
  </si>
  <si>
    <t>Enter the registry ID number in row 1640 of the table for production class 1.</t>
  </si>
  <si>
    <t>Enter the registry ID number in row 1641 of the table for production class 1.</t>
  </si>
  <si>
    <t>Enter the registry ID number in row 1642 of the table for production class 1.</t>
  </si>
  <si>
    <t>Enter the registry ID number in row 1643 of the table for production class 1.</t>
  </si>
  <si>
    <t>Enter the registry ID number in row 1644 of the table for production class 1.</t>
  </si>
  <si>
    <t>Enter the registry ID number in row 1645 of the table for production class 1.</t>
  </si>
  <si>
    <t>Enter the registry ID number in row 1646 of the table for production class 1.</t>
  </si>
  <si>
    <t>Enter the registry ID number in row 1647 of the table for production class 1.</t>
  </si>
  <si>
    <t>Enter the registry ID number in row 1648 of the table for production class 1.</t>
  </si>
  <si>
    <t>Enter the registry ID number in row 1649 of the table for production class 1.</t>
  </si>
  <si>
    <t>Enter the registry ID number in row 1650 of the table for production class 1.</t>
  </si>
  <si>
    <t>Enter the registry ID number in row 1651 of the table for production class 1.</t>
  </si>
  <si>
    <t>Enter the registry ID number in row 1652 of the table for production class 1.</t>
  </si>
  <si>
    <t>Enter the registry ID number in row 1653 of the table for production class 1.</t>
  </si>
  <si>
    <t>Enter the registry ID number in row 1654 of the table for production class 1.</t>
  </si>
  <si>
    <t>Enter the registry ID number in row 1655 of the table for production class 1.</t>
  </si>
  <si>
    <t>Enter the registry ID number in row 1656 of the table for production class 1.</t>
  </si>
  <si>
    <t>Enter the registry ID number in row 1657 of the table for production class 1.</t>
  </si>
  <si>
    <t>Enter the registry ID number in row 1658 of the table for production class 1.</t>
  </si>
  <si>
    <t>Enter the registry ID number in row 1659 of the table for production class 1.</t>
  </si>
  <si>
    <t>Enter the registry ID number in row 1660 of the table for production class 1.</t>
  </si>
  <si>
    <t>Enter the registry ID number in row 1661 of the table for production class 1.</t>
  </si>
  <si>
    <t>Enter the registry ID number in row 1662 of the table for production class 1.</t>
  </si>
  <si>
    <t>Enter the registry ID number in row 1663 of the table for production class 1.</t>
  </si>
  <si>
    <t>Enter the registry ID number in row 1664 of the table for production class 1.</t>
  </si>
  <si>
    <t>Enter the registry ID number in row 1665 of the table for production class 1.</t>
  </si>
  <si>
    <t>Enter the registry ID number in row 1666 of the table for production class 1.</t>
  </si>
  <si>
    <t>Enter the registry ID number in row 1667 of the table for production class 1.</t>
  </si>
  <si>
    <t>Enter the registry ID number in row 1668 of the table for production class 1.</t>
  </si>
  <si>
    <t>Enter the registry ID number in row 1669 of the table for production class 1.</t>
  </si>
  <si>
    <t>Enter the registry ID number in row 1670 of the table for production class 1.</t>
  </si>
  <si>
    <t>Enter the registry ID number in row 1671 of the table for production class 1.</t>
  </si>
  <si>
    <t>Enter the registry ID number in row 1672 of the table for production class 1.</t>
  </si>
  <si>
    <t>Enter the registry ID number in row 1673 of the table for production class 1.</t>
  </si>
  <si>
    <t>Enter the registry ID number in row 1674 of the table for production class 1.</t>
  </si>
  <si>
    <t>Enter the registry ID number in row 1675 of the table for production class 1.</t>
  </si>
  <si>
    <t>Enter the registry ID number in row 1676 of the table for production class 1.</t>
  </si>
  <si>
    <t>Enter the registry ID number in row 1677 of the table for production class 1.</t>
  </si>
  <si>
    <t>Enter the registry ID number in row 1678 of the table for production class 1.</t>
  </si>
  <si>
    <t>Enter the registry ID number in row 1679 of the table for production class 1.</t>
  </si>
  <si>
    <t>Enter the registry ID number in row 1680 of the table for production class 1.</t>
  </si>
  <si>
    <t>Enter the registry ID number in row 1681 of the table for production class 1.</t>
  </si>
  <si>
    <t>Enter the registry ID number in row 1682 of the table for production class 1.</t>
  </si>
  <si>
    <t>Enter the registry ID number in row 1683 of the table for production class 1.</t>
  </si>
  <si>
    <t>Enter the registry ID number in row 1684 of the table for production class 1.</t>
  </si>
  <si>
    <t>Enter the registry ID number in row 1685 of the table for production class 1.</t>
  </si>
  <si>
    <t>Enter the registry ID number in row 1686 of the table for production class 1.</t>
  </si>
  <si>
    <t>Enter the registry ID number in row 1687 of the table for production class 1.</t>
  </si>
  <si>
    <t>Enter the registry ID number in row 1688 of the table for production class 1.</t>
  </si>
  <si>
    <t>Enter the registry ID number in row 1689 of the table for production class 1.</t>
  </si>
  <si>
    <t>Enter the registry ID number in row 1690 of the table for production class 1.</t>
  </si>
  <si>
    <t>Enter the registry ID number in row 1691 of the table for production class 1.</t>
  </si>
  <si>
    <t>Enter the registry ID number in row 1692 of the table for production class 1.</t>
  </si>
  <si>
    <t>Enter the registry ID number in row 1693 of the table for production class 1.</t>
  </si>
  <si>
    <t>Enter the registry ID number in row 1694 of the table for production class 1.</t>
  </si>
  <si>
    <t>Enter the registry ID number in row 1695 of the table for production class 1.</t>
  </si>
  <si>
    <t>Enter the registry ID number in row 1696 of the table for production class 1.</t>
  </si>
  <si>
    <t>Enter the registry ID number in row 1697 of the table for production class 1.</t>
  </si>
  <si>
    <t>Enter the registry ID number in row 1698 of the table for production class 1.</t>
  </si>
  <si>
    <t>Enter the registry ID number in row 1699 of the table for production class 1.</t>
  </si>
  <si>
    <t>Enter the registry ID number in row 1700 of the table for production class 1.</t>
  </si>
  <si>
    <t>Enter the registry ID number in row 1701 of the table for production class 1.</t>
  </si>
  <si>
    <t>Enter the registry ID number in row 1702 of the table for production class 1.</t>
  </si>
  <si>
    <t>Enter the registry ID number in row 1703 of the table for production class 1.</t>
  </si>
  <si>
    <t>Enter the registry ID number in row 1704 of the table for production class 1.</t>
  </si>
  <si>
    <t>Enter the registry ID number in row 1705 of the table for production class 1.</t>
  </si>
  <si>
    <t>Enter the registry ID number in row 1706 of the table for production class 1.</t>
  </si>
  <si>
    <t>Enter the registry ID number in row 1707 of the table for production class 1.</t>
  </si>
  <si>
    <t>Enter the registry ID number in row 1708 of the table for production class 1.</t>
  </si>
  <si>
    <t>Enter the registry ID number in row 1709 of the table for production class 1.</t>
  </si>
  <si>
    <t>Enter the registry ID number in row 1710 of the table for production class 1.</t>
  </si>
  <si>
    <t>Enter the registry ID number in row 1711 of the table for production class 1.</t>
  </si>
  <si>
    <t>Enter the registry ID number in row 1712 of the table for production class 1.</t>
  </si>
  <si>
    <t>Enter the registry ID number in row 1713 of the table for production class 1.</t>
  </si>
  <si>
    <t>Enter the registry ID number in row 1714 of the table for production class 1.</t>
  </si>
  <si>
    <t>Enter the registry ID number in row 1715 of the table for production class 1.</t>
  </si>
  <si>
    <t>Enter the registry ID number in row 1716 of the table for production class 1.</t>
  </si>
  <si>
    <t>Enter the registry ID number in row 1717 of the table for production class 1.</t>
  </si>
  <si>
    <t>Enter the registry ID number in row 1718 of the table for production class 1.</t>
  </si>
  <si>
    <t>Enter the registry ID number in row 1719 of the table for production class 1.</t>
  </si>
  <si>
    <t>Enter the registry ID number in row 1720 of the table for production class 1.</t>
  </si>
  <si>
    <t>Enter the registry ID number in row 1721 of the table for production class 1.</t>
  </si>
  <si>
    <t>Enter the registry ID number in row 1722 of the table for production class 1.</t>
  </si>
  <si>
    <t>Enter the registry ID number in row 1723 of the table for production class 1.</t>
  </si>
  <si>
    <t>Enter the registry ID number in row 1724 of the table for production class 1.</t>
  </si>
  <si>
    <t>Enter the registry ID number in row 1725 of the table for production class 1.</t>
  </si>
  <si>
    <t>Enter the registry ID number in row 1726 of the table for production class 1.</t>
  </si>
  <si>
    <t>Enter the registry ID number in row 1727 of the table for production class 1.</t>
  </si>
  <si>
    <t>Enter the registry ID number in row 1728 of the table for production class 1.</t>
  </si>
  <si>
    <t>Enter the registry ID number in row 1729 of the table for production class 1.</t>
  </si>
  <si>
    <t>Enter the registry ID number in row 1730 of the table for production class 1.</t>
  </si>
  <si>
    <t>Enter the registry ID number in row 1731 of the table for production class 1.</t>
  </si>
  <si>
    <t>Enter the registry ID number in row 1732 of the table for production class 1.</t>
  </si>
  <si>
    <t>Enter the registry ID number in row 1733 of the table for production class 1.</t>
  </si>
  <si>
    <t>Enter the registry ID number in row 1734 of the table for production class 1.</t>
  </si>
  <si>
    <t>Enter the registry ID number in row 1735 of the table for production class 1.</t>
  </si>
  <si>
    <t>Enter the registry ID number in row 1736 of the table for production class 1.</t>
  </si>
  <si>
    <t>Enter the registry ID number in row 1737 of the table for production class 1.</t>
  </si>
  <si>
    <t>Enter the registry ID number in row 1738 of the table for production class 1.</t>
  </si>
  <si>
    <t>Enter the registry ID number in row 1739 of the table for production class 1.</t>
  </si>
  <si>
    <t>Enter the registry ID number in row 1740 of the table for production class 1.</t>
  </si>
  <si>
    <t>Enter the registry ID number in row 1741 of the table for production class 1.</t>
  </si>
  <si>
    <t>Enter the registry ID number in row 1742 of the table for production class 1.</t>
  </si>
  <si>
    <t>Enter the registry ID number in row 1743 of the table for production class 1.</t>
  </si>
  <si>
    <t>Enter the registry ID number in row 1744 of the table for production class 1.</t>
  </si>
  <si>
    <t>Enter the registry ID number in row 1745 of the table for production class 1.</t>
  </si>
  <si>
    <t>Enter the registry ID number in row 1746 of the table for production class 1.</t>
  </si>
  <si>
    <t>Enter the registry ID number in row 1747 of the table for production class 1.</t>
  </si>
  <si>
    <t>Enter the registry ID number in row 1748 of the table for production class 1.</t>
  </si>
  <si>
    <t>Enter the registry ID number in row 1749 of the table for production class 1.</t>
  </si>
  <si>
    <t>Enter the registry ID number in row 1750 of the table for production class 1.</t>
  </si>
  <si>
    <t>Enter the registry ID number in row 1751 of the table for production class 1.</t>
  </si>
  <si>
    <t>Enter the registry ID number in row 1752 of the table for production class 1.</t>
  </si>
  <si>
    <t>Enter the registry ID number in row 1753 of the table for production class 1.</t>
  </si>
  <si>
    <t>Enter the registry ID number in row 1754 of the table for production class 1.</t>
  </si>
  <si>
    <t>Enter the registry ID number in row 1755 of the table for production class 1.</t>
  </si>
  <si>
    <t>Enter the registry ID number in row 1756 of the table for production class 1.</t>
  </si>
  <si>
    <t>Enter the registry ID number in row 1757 of the table for production class 1.</t>
  </si>
  <si>
    <t>Enter the registry ID number in row 1758 of the table for production class 1.</t>
  </si>
  <si>
    <t>Enter the registry ID number in row 1759 of the table for production class 1.</t>
  </si>
  <si>
    <t>Enter the registry ID number in row 1760 of the table for production class 1.</t>
  </si>
  <si>
    <t>Enter the registry ID number in row 1761 of the table for production class 1.</t>
  </si>
  <si>
    <t>Enter the registry ID number in row 1762 of the table for production class 1.</t>
  </si>
  <si>
    <t>Enter the registry ID number in row 1763 of the table for production class 1.</t>
  </si>
  <si>
    <t>Enter the registry ID number in row 1764 of the table for production class 1.</t>
  </si>
  <si>
    <t>Enter the registry ID number in row 1765 of the table for production class 1.</t>
  </si>
  <si>
    <t>Enter the registry ID number in row 1766 of the table for production class 1.</t>
  </si>
  <si>
    <t>Enter the registry ID number in row 1767 of the table for production class 1.</t>
  </si>
  <si>
    <t>Enter the registry ID number in row 1768 of the table for production class 1.</t>
  </si>
  <si>
    <t>Enter the registry ID number in row 1769 of the table for production class 1.</t>
  </si>
  <si>
    <t>Enter the registry ID number in row 1770 of the table for production class 1.</t>
  </si>
  <si>
    <t>Enter the registry ID number in row 1771 of the table for production class 1.</t>
  </si>
  <si>
    <t>Enter the registry ID number in row 1772 of the table for production class 1.</t>
  </si>
  <si>
    <t>Enter the registry ID number in row 1773 of the table for production class 1.</t>
  </si>
  <si>
    <t>Enter the registry ID number in row 1774 of the table for production class 1.</t>
  </si>
  <si>
    <t>Enter the registry ID number in row 1775 of the table for production class 1.</t>
  </si>
  <si>
    <t>Enter the registry ID number in row 1776 of the table for production class 1.</t>
  </si>
  <si>
    <t>Enter the registry ID number in row 1777 of the table for production class 1.</t>
  </si>
  <si>
    <t>Enter the registry ID number in row 1778 of the table for production class 1.</t>
  </si>
  <si>
    <t>Enter the registry ID number in row 1779 of the table for production class 1.</t>
  </si>
  <si>
    <t>Enter the registry ID number in row 1780 of the table for production class 1.</t>
  </si>
  <si>
    <t>Enter the registry ID number in row 1781 of the table for production class 1.</t>
  </si>
  <si>
    <t>Enter the registry ID number in row 1782 of the table for production class 1.</t>
  </si>
  <si>
    <t>Enter the registry ID number in row 1783 of the table for production class 1.</t>
  </si>
  <si>
    <t>Enter the registry ID number in row 1784 of the table for production class 1.</t>
  </si>
  <si>
    <t>Enter the registry ID number in row 1785 of the table for production class 1.</t>
  </si>
  <si>
    <t>Enter the registry ID number in row 1786 of the table for production class 1.</t>
  </si>
  <si>
    <t>Enter the registry ID number in row 1787 of the table for production class 1.</t>
  </si>
  <si>
    <t>Enter the registry ID number in row 1788 of the table for production class 1.</t>
  </si>
  <si>
    <t>Enter the registry ID number in row 1789 of the table for production class 1.</t>
  </si>
  <si>
    <t>Enter the registry ID number in row 1790 of the table for production class 1.</t>
  </si>
  <si>
    <t>Enter the registry ID number in row 1791 of the table for production class 1.</t>
  </si>
  <si>
    <t>Enter the registry ID number in row 1792 of the table for production class 1.</t>
  </si>
  <si>
    <t>Enter the registry ID number in row 1793 of the table for production class 1.</t>
  </si>
  <si>
    <t>Enter the registry ID number in row 1794 of the table for production class 1.</t>
  </si>
  <si>
    <t>Enter the registry ID number in row 1795 of the table for production class 1.</t>
  </si>
  <si>
    <t>Enter the registry ID number in row 1796 of the table for production class 1.</t>
  </si>
  <si>
    <t>Enter the registry ID number in row 1797 of the table for production class 1.</t>
  </si>
  <si>
    <t>Enter the registry ID number in row 1798 of the table for production class 1.</t>
  </si>
  <si>
    <t>Enter the registry ID number in row 1799 of the table for production class 1.</t>
  </si>
  <si>
    <t>Enter the registry ID number in row 1800 of the table for production class 1.</t>
  </si>
  <si>
    <t>Enter the registry ID number in row 1801 of the table for production class 1.</t>
  </si>
  <si>
    <t>Enter the registry ID number in row 1802 of the table for production class 1.</t>
  </si>
  <si>
    <t>Enter the registry ID number in row 1803 of the table for production class 1.</t>
  </si>
  <si>
    <t>Enter the registry ID number in row 1804 of the table for production class 1.</t>
  </si>
  <si>
    <t>Enter the registry ID number in row 1805 of the table for production class 1.</t>
  </si>
  <si>
    <t>Enter the registry ID number in row 1806 of the table for production class 1.</t>
  </si>
  <si>
    <t>Enter the registry ID number in row 1807 of the table for production class 1.</t>
  </si>
  <si>
    <t>Enter the registry ID number in row 1808 of the table for production class 1.</t>
  </si>
  <si>
    <t>Enter the registry ID number in row 1809 of the table for production class 1.</t>
  </si>
  <si>
    <t>Enter the registry ID number in row 1810 of the table for production class 1.</t>
  </si>
  <si>
    <t>Enter the registry ID number in row 1811 of the table for production class 1.</t>
  </si>
  <si>
    <t>Enter the registry ID number in row 1812 of the table for production class 1.</t>
  </si>
  <si>
    <t>Enter the registry ID number in row 1813 of the table for production class 1.</t>
  </si>
  <si>
    <t>Enter the registry ID number in row 1814 of the table for production class 1.</t>
  </si>
  <si>
    <t>Enter the registry ID number in row 1815 of the table for production class 1.</t>
  </si>
  <si>
    <t>Enter the registry ID number in row 1816 of the table for production class 1.</t>
  </si>
  <si>
    <t>Enter the registry ID number in row 1817 of the table for production class 1.</t>
  </si>
  <si>
    <t>Enter the registry ID number in row 1818 of the table for production class 1.</t>
  </si>
  <si>
    <t>Enter the registry ID number in row 1819 of the table for production class 1.</t>
  </si>
  <si>
    <t>Enter the registry ID number in row 1820 of the table for production class 1.</t>
  </si>
  <si>
    <t>Enter the registry ID number in row 1821 of the table for production class 1.</t>
  </si>
  <si>
    <t>Enter the registry ID number in row 1822 of the table for production class 1.</t>
  </si>
  <si>
    <t>Enter the registry ID number in row 1823 of the table for production class 1.</t>
  </si>
  <si>
    <t>Enter the registry ID number in row 1824 of the table for production class 1.</t>
  </si>
  <si>
    <t>Enter the registry ID number in row 1825 of the table for production class 1.</t>
  </si>
  <si>
    <t>Enter the registry ID number in row 1826 of the table for production class 1.</t>
  </si>
  <si>
    <t>Enter the registry ID number in row 1827 of the table for production class 1.</t>
  </si>
  <si>
    <t>Enter the registry ID number in row 1828 of the table for production class 1.</t>
  </si>
  <si>
    <t>Enter the registry ID number in row 1829 of the table for production class 1.</t>
  </si>
  <si>
    <t>Enter the registry ID number in row 1830 of the table for production class 1.</t>
  </si>
  <si>
    <t>Enter the registry ID number in row 1831 of the table for production class 1.</t>
  </si>
  <si>
    <t>Enter the registry ID number in row 1832 of the table for production class 1.</t>
  </si>
  <si>
    <t>Enter the registry ID number in row 1833 of the table for production class 1.</t>
  </si>
  <si>
    <t>Enter the registry ID number in row 1834 of the table for production class 1.</t>
  </si>
  <si>
    <t>Enter the registry ID number in row 1835 of the table for production class 1.</t>
  </si>
  <si>
    <t>Enter the registry ID number in row 1836 of the table for production class 1.</t>
  </si>
  <si>
    <t>Enter the registry ID number in row 1837 of the table for production class 1.</t>
  </si>
  <si>
    <t>Enter the registry ID number in row 1838 of the table for production class 1.</t>
  </si>
  <si>
    <t>Enter the registry ID number in row 1839 of the table for production class 1.</t>
  </si>
  <si>
    <t>Enter the registry ID number in row 1840 of the table for production class 1.</t>
  </si>
  <si>
    <t>Enter the registry ID number in row 1841 of the table for production class 1.</t>
  </si>
  <si>
    <t>Enter the registry ID number in row 1842 of the table for production class 1.</t>
  </si>
  <si>
    <t>Enter the registry ID number in row 1843 of the table for production class 1.</t>
  </si>
  <si>
    <t>Enter the registry ID number in row 1844 of the table for production class 1.</t>
  </si>
  <si>
    <t>Enter the registry ID number in row 1845 of the table for production class 1.</t>
  </si>
  <si>
    <t>Enter the registry ID number in row 1846 of the table for production class 1.</t>
  </si>
  <si>
    <t>Enter the registry ID number in row 1847 of the table for production class 1.</t>
  </si>
  <si>
    <t>Enter the registry ID number in row 1848 of the table for production class 1.</t>
  </si>
  <si>
    <t>Enter the registry ID number in row 1849 of the table for production class 1.</t>
  </si>
  <si>
    <t>Enter the registry ID number in row 1850 of the table for production class 1.</t>
  </si>
  <si>
    <t>Enter the registry ID number in row 1851 of the table for production class 1.</t>
  </si>
  <si>
    <t>Enter the registry ID number in row 1852 of the table for production class 1.</t>
  </si>
  <si>
    <t>Enter the registry ID number in row 1853 of the table for production class 1.</t>
  </si>
  <si>
    <t>Enter the registry ID number in row 1854 of the table for production class 1.</t>
  </si>
  <si>
    <t>Enter the registry ID number in row 1855 of the table for production class 1.</t>
  </si>
  <si>
    <t>Enter the registry ID number in row 1856 of the table for production class 1.</t>
  </si>
  <si>
    <t>Enter the registry ID number in row 1857 of the table for production class 1.</t>
  </si>
  <si>
    <t>Enter the registry ID number in row 1858 of the table for production class 1.</t>
  </si>
  <si>
    <t>Enter the registry ID number in row 1859 of the table for production class 1.</t>
  </si>
  <si>
    <t>Enter the registry ID number in row 1860 of the table for production class 1.</t>
  </si>
  <si>
    <t>Enter the registry ID number in row 1861 of the table for production class 1.</t>
  </si>
  <si>
    <t>Enter the registry ID number in row 1862 of the table for production class 1.</t>
  </si>
  <si>
    <t>Enter the registry ID number in row 1863 of the table for production class 1.</t>
  </si>
  <si>
    <t>Enter the registry ID number in row 1864 of the table for production class 1.</t>
  </si>
  <si>
    <t>Enter the registry ID number in row 1865 of the table for production class 1.</t>
  </si>
  <si>
    <t>Enter the registry ID number in row 1866 of the table for production class 1.</t>
  </si>
  <si>
    <t>Enter the registry ID number in row 1867 of the table for production class 1.</t>
  </si>
  <si>
    <t>Enter the registry ID number in row 1868 of the table for production class 1.</t>
  </si>
  <si>
    <t>Enter the registry ID number in row 1869 of the table for production class 1.</t>
  </si>
  <si>
    <t>Enter the registry ID number in row 1870 of the table for production class 1.</t>
  </si>
  <si>
    <t>Enter the registry ID number in row 1871 of the table for production class 1.</t>
  </si>
  <si>
    <t>Enter the registry ID number in row 1872 of the table for production class 1.</t>
  </si>
  <si>
    <t>Enter the registry ID number in row 1873 of the table for production class 1.</t>
  </si>
  <si>
    <t>Enter the registry ID number in row 1874 of the table for production class 1.</t>
  </si>
  <si>
    <t>Enter the registry ID number in row 1875 of the table for production class 1.</t>
  </si>
  <si>
    <t>Enter the registry ID number in row 1876 of the table for production class 1.</t>
  </si>
  <si>
    <t>Enter the registry ID number in row 1877 of the table for production class 1.</t>
  </si>
  <si>
    <t>Enter the registry ID number in row 1878 of the table for production class 1.</t>
  </si>
  <si>
    <t>Enter the registry ID number in row 1879 of the table for production class 1.</t>
  </si>
  <si>
    <t>Enter the registry ID number in row 1880 of the table for production class 1.</t>
  </si>
  <si>
    <t>Enter the registry ID number in row 1881 of the table for production class 1.</t>
  </si>
  <si>
    <t>Enter the registry ID number in row 1882 of the table for production class 1.</t>
  </si>
  <si>
    <t>Enter the registry ID number in row 1883 of the table for production class 1.</t>
  </si>
  <si>
    <t>Enter the registry ID number in row 1884 of the table for production class 1.</t>
  </si>
  <si>
    <t>Enter the registry ID number in row 1885 of the table for production class 1.</t>
  </si>
  <si>
    <t>Enter the registry ID number in row 1886 of the table for production class 1.</t>
  </si>
  <si>
    <t>Enter the registry ID number in row 1887 of the table for production class 1.</t>
  </si>
  <si>
    <t>Enter the registry ID number in row 1888 of the table for production class 1.</t>
  </si>
  <si>
    <t>Enter the registry ID number in row 1889 of the table for production class 1.</t>
  </si>
  <si>
    <t>Enter the registry ID number in row 1890 of the table for production class 1.</t>
  </si>
  <si>
    <t>Enter the registry ID number in row 1891 of the table for production class 1.</t>
  </si>
  <si>
    <t>Enter the registry ID number in row 1892 of the table for production class 1.</t>
  </si>
  <si>
    <t>Enter the registry ID number in row 1893 of the table for production class 1.</t>
  </si>
  <si>
    <t>Enter the registry ID number in row 1894 of the table for production class 1.</t>
  </si>
  <si>
    <t>Enter the registry ID number in row 1895 of the table for production class 1.</t>
  </si>
  <si>
    <t>Enter the registry ID number in row 1896 of the table for production class 1.</t>
  </si>
  <si>
    <t>Enter the registry ID number in row 1897 of the table for production class 1.</t>
  </si>
  <si>
    <t>Enter the registry ID number in row 1898 of the table for production class 1.</t>
  </si>
  <si>
    <t>Enter the registry ID number in row 1899 of the table for production class 1.</t>
  </si>
  <si>
    <t>Enter the registry ID number in row 1900 of the table for production class 1.</t>
  </si>
  <si>
    <t>Enter the registry ID number in row 1901 of the table for production class 1.</t>
  </si>
  <si>
    <t>Enter the registry ID number in row 1902 of the table for production class 1.</t>
  </si>
  <si>
    <t>Enter the registry ID number in row 1903 of the table for production class 1.</t>
  </si>
  <si>
    <t>Enter the registry ID number in row 1904 of the table for production class 1.</t>
  </si>
  <si>
    <t>Enter the registry ID number in row 1905 of the table for production class 1.</t>
  </si>
  <si>
    <t>Enter the registry ID number in row 1906 of the table for production class 1.</t>
  </si>
  <si>
    <t>Enter the registry ID number in row 1907 of the table for production class 1.</t>
  </si>
  <si>
    <t>Enter the registry ID number in row 1908 of the table for production class 1.</t>
  </si>
  <si>
    <t>Enter the registry ID number in row 1909 of the table for production class 1.</t>
  </si>
  <si>
    <t>Enter the registry ID number in row 1910 of the table for production class 1.</t>
  </si>
  <si>
    <t>Enter the registry ID number in row 1911 of the table for production class 1.</t>
  </si>
  <si>
    <t>Enter the registry ID number in row 1912 of the table for production class 1.</t>
  </si>
  <si>
    <t>Enter the registry ID number in row 1913 of the table for production class 1.</t>
  </si>
  <si>
    <t>Enter the registry ID number in row 1914 of the table for production class 1.</t>
  </si>
  <si>
    <t>Enter the registry ID number in row 1915 of the table for production class 1.</t>
  </si>
  <si>
    <t>Enter the registry ID number in row 1916 of the table for production class 1.</t>
  </si>
  <si>
    <t>Enter the registry ID number in row 1917 of the table for production class 1.</t>
  </si>
  <si>
    <t>Enter the registry ID number in row 1918 of the table for production class 1.</t>
  </si>
  <si>
    <t>Enter the registry ID number in row 1919 of the table for production class 1.</t>
  </si>
  <si>
    <t>Enter the registry ID number in row 1920 of the table for production class 1.</t>
  </si>
  <si>
    <t>Enter the registry ID number in row 1921 of the table for production class 1.</t>
  </si>
  <si>
    <t>Enter the registry ID number in row 1922 of the table for production class 1.</t>
  </si>
  <si>
    <t>Enter the registry ID number in row 1923 of the table for production class 1.</t>
  </si>
  <si>
    <t>Enter the registry ID number in row 1924 of the table for production class 1.</t>
  </si>
  <si>
    <t>Enter the registry ID number in row 1925 of the table for production class 1.</t>
  </si>
  <si>
    <t>Enter the registry ID number in row 1926 of the table for production class 1.</t>
  </si>
  <si>
    <t>Enter the registry ID number in row 1927 of the table for production class 1.</t>
  </si>
  <si>
    <t>Enter the registry ID number in row 1928 of the table for production class 1.</t>
  </si>
  <si>
    <t>Enter the registry ID number in row 1929 of the table for production class 1.</t>
  </si>
  <si>
    <t>Enter the registry ID number in row 1930 of the table for production class 1.</t>
  </si>
  <si>
    <t>Enter the registry ID number in row 1931 of the table for production class 1.</t>
  </si>
  <si>
    <t>Enter the registry ID number in row 1932 of the table for production class 1.</t>
  </si>
  <si>
    <t>Enter the registry ID number in row 1933 of the table for production class 1.</t>
  </si>
  <si>
    <t>Enter the registry ID number in row 1934 of the table for production class 1.</t>
  </si>
  <si>
    <t>Enter the registry ID number in row 1935 of the table for production class 1.</t>
  </si>
  <si>
    <t>Enter the registry ID number in row 1936 of the table for production class 1.</t>
  </si>
  <si>
    <t>Enter the registry ID number in row 1937 of the table for production class 1.</t>
  </si>
  <si>
    <t>Enter the registry ID number in row 1938 of the table for production class 1.</t>
  </si>
  <si>
    <t>Enter the registry ID number in row 1939 of the table for production class 1.</t>
  </si>
  <si>
    <t>Enter the registry ID number in row 1940 of the table for production class 1.</t>
  </si>
  <si>
    <t>Enter the registry ID number in row 1941 of the table for production class 1.</t>
  </si>
  <si>
    <t>Enter the registry ID number in row 1942 of the table for production class 1.</t>
  </si>
  <si>
    <t>Enter the registry ID number in row 1943 of the table for production class 1.</t>
  </si>
  <si>
    <t>Enter the registry ID number in row 1944 of the table for production class 1.</t>
  </si>
  <si>
    <t>Enter the registry ID number in row 1945 of the table for production class 1.</t>
  </si>
  <si>
    <t>Enter the registry ID number in row 1946 of the table for production class 1.</t>
  </si>
  <si>
    <t>Enter the registry ID number in row 1947 of the table for production class 1.</t>
  </si>
  <si>
    <t>Enter the registry ID number in row 1948 of the table for production class 1.</t>
  </si>
  <si>
    <t>Enter the registry ID number in row 1949 of the table for production class 1.</t>
  </si>
  <si>
    <t>Enter the registry ID number in row 1950 of the table for production class 1.</t>
  </si>
  <si>
    <t>Enter the registry ID number in row 1951 of the table for production class 1.</t>
  </si>
  <si>
    <t>Enter the registry ID number in row 1952 of the table for production class 1.</t>
  </si>
  <si>
    <t>Enter the registry ID number in row 1953 of the table for production class 1.</t>
  </si>
  <si>
    <t>Enter the registry ID number in row 1954 of the table for production class 1.</t>
  </si>
  <si>
    <t>Enter the registry ID number in row 1955 of the table for production class 1.</t>
  </si>
  <si>
    <t>Enter the registry ID number in row 1956 of the table for production class 1.</t>
  </si>
  <si>
    <t>Enter the registry ID number in row 1957 of the table for production class 1.</t>
  </si>
  <si>
    <t>Enter the registry ID number in row 1958 of the table for production class 1.</t>
  </si>
  <si>
    <t>Enter the registry ID number in row 1959 of the table for production class 1.</t>
  </si>
  <si>
    <t>Enter the registry ID number in row 1960 of the table for production class 1.</t>
  </si>
  <si>
    <t>Enter the registry ID number in row 1961 of the table for production class 1.</t>
  </si>
  <si>
    <t>Enter the registry ID number in row 1962 of the table for production class 1.</t>
  </si>
  <si>
    <t>Enter the registry ID number in row 1963 of the table for production class 1.</t>
  </si>
  <si>
    <t>Enter the registry ID number in row 1964 of the table for production class 1.</t>
  </si>
  <si>
    <t>Enter the registry ID number in row 1965 of the table for production class 1.</t>
  </si>
  <si>
    <t>Enter the registry ID number in row 1966 of the table for production class 1.</t>
  </si>
  <si>
    <t>Enter the registry ID number in row 1967 of the table for production class 1.</t>
  </si>
  <si>
    <t>Enter the registry ID number in row 1968 of the table for production class 1.</t>
  </si>
  <si>
    <t>Enter the registry ID number in row 1969 of the table for production class 1.</t>
  </si>
  <si>
    <t>Enter the registry ID number in row 1970 of the table for production class 1.</t>
  </si>
  <si>
    <t>Enter the registry ID number in row 1971 of the table for production class 1.</t>
  </si>
  <si>
    <t>Enter the registry ID number in row 1972 of the table for production class 1.</t>
  </si>
  <si>
    <t>Enter the registry ID number in row 1973 of the table for production class 1.</t>
  </si>
  <si>
    <t>Enter the registry ID number in row 1974 of the table for production class 1.</t>
  </si>
  <si>
    <t>Enter the registry ID number in row 1975 of the table for production class 1.</t>
  </si>
  <si>
    <t>Enter the registry ID number in row 1976 of the table for production class 1.</t>
  </si>
  <si>
    <t>Enter the registry ID number in row 1977 of the table for production class 1.</t>
  </si>
  <si>
    <t>Enter the registry ID number in row 1978 of the table for production class 1.</t>
  </si>
  <si>
    <t>Enter the registry ID number in row 1979 of the table for production class 1.</t>
  </si>
  <si>
    <t>Enter the registry ID number in row 1980 of the table for production class 1.</t>
  </si>
  <si>
    <t>Enter the registry ID number in row 1981 of the table for production class 1.</t>
  </si>
  <si>
    <t>Enter the registry ID number in row 1982 of the table for production class 1.</t>
  </si>
  <si>
    <t>Enter the registry ID number in row 1983 of the table for production class 1.</t>
  </si>
  <si>
    <t>Enter the registry ID number in row 1984 of the table for production class 1.</t>
  </si>
  <si>
    <t>Enter the registry ID number in row 1985 of the table for production class 1.</t>
  </si>
  <si>
    <t>Enter the registry ID number in row 1986 of the table for production class 1.</t>
  </si>
  <si>
    <t>Enter the registry ID number in row 1987 of the table for production class 1.</t>
  </si>
  <si>
    <t>Enter the registry ID number in row 1988 of the table for production class 1.</t>
  </si>
  <si>
    <t>Enter the registry ID number in row 1989 of the table for production class 1.</t>
  </si>
  <si>
    <t>Enter the registry ID number in row 1990 of the table for production class 1.</t>
  </si>
  <si>
    <t>Enter the registry ID number in row 1991 of the table for production class 1.</t>
  </si>
  <si>
    <t>Enter the registry ID number in row 1992 of the table for production class 1.</t>
  </si>
  <si>
    <t>Enter the registry ID number in row 1993 of the table for production class 1.</t>
  </si>
  <si>
    <t>Enter the registry ID number in row 1994 of the table for production class 1.</t>
  </si>
  <si>
    <t>Enter the registry ID number in row 1995 of the table for production class 1.</t>
  </si>
  <si>
    <t>Enter the registry ID number in row 1996 of the table for production class 1.</t>
  </si>
  <si>
    <t>Enter the registry ID number in row 1997 of the table for production class 1.</t>
  </si>
  <si>
    <t>Enter the registry ID number in row 1998 of the table for production class 1.</t>
  </si>
  <si>
    <t>Enter the registry ID number in row 1999 of the table for production class 1.</t>
  </si>
  <si>
    <t>Enter the registry ID number in row 2000 of the table for production class 1.</t>
  </si>
  <si>
    <t>Enter the registry ID number in row 2001 of the table for production class 1.</t>
  </si>
  <si>
    <t>Enter the registry ID number in row 2002 of the table for production class 1.</t>
  </si>
  <si>
    <t>Enter the registry ID number in row 2003 of the table for production class 1.</t>
  </si>
  <si>
    <t>Enter the registry ID number in row 2004 of the table for production class 1.</t>
  </si>
  <si>
    <t>Enter the registry ID number in row 2005 of the table for production class 1.</t>
  </si>
  <si>
    <t>Enter the registry ID number in row 2006 of the table for production class 1.</t>
  </si>
  <si>
    <t>Enter the registry ID number in row 2007 of the table for production class 1.</t>
  </si>
  <si>
    <t>Enter the registry ID number in row 2008 of the table for production class 1.</t>
  </si>
  <si>
    <t>Enter the registry ID number in row 2009 of the table for production class 1.</t>
  </si>
  <si>
    <t>Enter the registry ID number in row 2010 of the table for production class 1.</t>
  </si>
  <si>
    <t>Enter the registry ID number in row 2011 of the table for production class 1.</t>
  </si>
  <si>
    <t>Enter the registry ID number in row 2012 of the table for production class 1.</t>
  </si>
  <si>
    <t>Enter the registry ID number in row 2013 of the table for production class 1.</t>
  </si>
  <si>
    <t>Enter the registry ID number in row 2014 of the table for production class 1.</t>
  </si>
  <si>
    <t>Enter the registry ID number in row 2015 of the table for production class 1.</t>
  </si>
  <si>
    <t>Enter the registry ID number in row 2016 of the table for production class 1.</t>
  </si>
  <si>
    <t>Enter the registry ID number in row 2017 of the table for production class 1.</t>
  </si>
  <si>
    <t>Enter the registry ID number in row 2018 of the table for production class 1.</t>
  </si>
  <si>
    <t>Enter the registry ID number in row 2019 of the table for production class 1.</t>
  </si>
  <si>
    <t>Enter the registry ID number in row 2020 of the table for production class 1.</t>
  </si>
  <si>
    <t>Enter the registry ID number in row 2021 of the table for production class 1.</t>
  </si>
  <si>
    <t>Enter the registry ID number in row 2022 of the table for production class 1.</t>
  </si>
  <si>
    <t>Enter the registry ID number in row 2023 of the table for production class 1.</t>
  </si>
  <si>
    <t>Enter the registry ID number in row 2024 of the table for production class 1.</t>
  </si>
  <si>
    <t>Enter the registry ID number in row 2025 of the table for production class 1.</t>
  </si>
  <si>
    <t>Enter the registry ID number in row 2026 of the table for production class 1.</t>
  </si>
  <si>
    <t>Enter the registry ID number in row 2027 of the table for production class 1.</t>
  </si>
  <si>
    <t>Enter the registry ID number in row 2028 of the table for production class 1.</t>
  </si>
  <si>
    <t>Enter the registry ID number in row 2029 of the table for production class 1.</t>
  </si>
  <si>
    <t>Enter the registry ID number in row 2030 of the table for production class 1.</t>
  </si>
  <si>
    <t>Enter the registry ID number in row 2031 of the table for production class 1.</t>
  </si>
  <si>
    <t>Enter the registry ID number in row 2032 of the table for production class 1.</t>
  </si>
  <si>
    <t>Enter the registry ID number in row 2033 of the table for production class 1.</t>
  </si>
  <si>
    <t>Enter the registry ID number in row 2034 of the table for production class 1.</t>
  </si>
  <si>
    <t>Enter the registry ID number in row 2035 of the table for production class 1.</t>
  </si>
  <si>
    <t>Enter the registry ID number in row 2036 of the table for production class 1.</t>
  </si>
  <si>
    <t>Enter the registry ID number in row 2037 of the table for production class 1.</t>
  </si>
  <si>
    <t>Enter the registry ID number in row 2038 of the table for production class 1.</t>
  </si>
  <si>
    <t>Enter the registry ID number in row 2039 of the table for production class 1.</t>
  </si>
  <si>
    <t>Enter the registry ID number in row 2040 of the table for production class 1.</t>
  </si>
  <si>
    <t>Enter the registry ID number in row 2041 of the table for production class 1.</t>
  </si>
  <si>
    <t>Enter the registry ID number in row 2042 of the table for production class 1.</t>
  </si>
  <si>
    <t>Enter the registry ID number in row 2043 of the table for production class 1.</t>
  </si>
  <si>
    <t>Enter the registry ID number in row 2044 of the table for production class 1.</t>
  </si>
  <si>
    <t>Enter the registry ID number in row 2045 of the table for production class 1.</t>
  </si>
  <si>
    <t>Enter the registry ID number in row 2046 of the table for production class 1.</t>
  </si>
  <si>
    <t>Enter the registry ID number in row 2047 of the table for production class 1.</t>
  </si>
  <si>
    <t>Enter the registry ID number in row 2048 of the table for production class 1.</t>
  </si>
  <si>
    <t>Enter the registry ID number in row 2049 of the table for production class 1.</t>
  </si>
  <si>
    <t>Enter the registry ID number in row 2050 of the table for production class 1.</t>
  </si>
  <si>
    <t>Enter the registry ID number in row 2051 of the table for production class 1.</t>
  </si>
  <si>
    <t>Enter the registry ID number in row 2052 of the table for production class 1.</t>
  </si>
  <si>
    <t>Enter the registry ID number in row 2053 of the table for production class 1.</t>
  </si>
  <si>
    <t>Enter the registry ID number in row 2054 of the table for production class 1.</t>
  </si>
  <si>
    <t>Enter the registry ID number in row 2055 of the table for production class 1.</t>
  </si>
  <si>
    <t>Enter the registry ID number in row 2056 of the table for production class 1.</t>
  </si>
  <si>
    <t>Enter the registry ID number in row 2057 of the table for production class 1.</t>
  </si>
  <si>
    <t>Enter the registry ID number in row 2058 of the table for production class 1.</t>
  </si>
  <si>
    <t>Enter the registry ID number in row 2059 of the table for production class 1.</t>
  </si>
  <si>
    <t>Enter the registry ID number in row 2060 of the table for production class 1.</t>
  </si>
  <si>
    <t>Enter the registry ID number in row 2061 of the table for production class 1.</t>
  </si>
  <si>
    <t>Enter the registry ID number in row 2062 of the table for production class 1.</t>
  </si>
  <si>
    <t>Enter the registry ID number in row 2063 of the table for production class 1.</t>
  </si>
  <si>
    <t>Enter the registry ID number in row 2064 of the table for production class 1.</t>
  </si>
  <si>
    <t>Enter the registry ID number in row 2065 of the table for production class 1.</t>
  </si>
  <si>
    <t>Enter the registry ID number in row 2066 of the table for production class 1.</t>
  </si>
  <si>
    <t>Enter the registry ID number in row 2067 of the table for production class 1.</t>
  </si>
  <si>
    <t>Enter the registry ID number in row 2068 of the table for production class 1.</t>
  </si>
  <si>
    <t>Enter the registry ID number in row 2069 of the table for production class 1.</t>
  </si>
  <si>
    <t>Enter the registry ID number in row 2070 of the table for production class 1.</t>
  </si>
  <si>
    <t>Enter the registry ID number in row 2071 of the table for production class 1.</t>
  </si>
  <si>
    <t>Enter the registry ID number in row 2072 of the table for production class 1.</t>
  </si>
  <si>
    <t>Enter the registry ID number in row 2073 of the table for production class 1.</t>
  </si>
  <si>
    <t>Enter the registry ID number in row 2074 of the table for production class 1.</t>
  </si>
  <si>
    <t>Enter the registry ID number in row 2075 of the table for production class 1.</t>
  </si>
  <si>
    <t>Enter the registry ID number in row 2076 of the table for production class 1.</t>
  </si>
  <si>
    <t>Enter the registry ID number in row 2077 of the table for production class 1.</t>
  </si>
  <si>
    <t>Enter the registry ID number in row 2078 of the table for production class 1.</t>
  </si>
  <si>
    <t>Enter the registry ID number in row 2079 of the table for production class 1.</t>
  </si>
  <si>
    <t>Enter the registry ID number in row 2080 of the table for production class 1.</t>
  </si>
  <si>
    <t>Enter the registry ID number in row 2081 of the table for production class 1.</t>
  </si>
  <si>
    <t>Enter the registry ID number in row 2082 of the table for production class 1.</t>
  </si>
  <si>
    <t>Enter the registry ID number in row 2083 of the table for production class 1.</t>
  </si>
  <si>
    <t>Enter the registry ID number in row 2084 of the table for production class 1.</t>
  </si>
  <si>
    <t>Enter the registry ID number in row 2085 of the table for production class 1.</t>
  </si>
  <si>
    <t>Enter the registry ID number in row 2086 of the table for production class 1.</t>
  </si>
  <si>
    <t>Enter the registry ID number in row 2087 of the table for production class 1.</t>
  </si>
  <si>
    <t>Enter the registry ID number in row 2088 of the table for production class 1.</t>
  </si>
  <si>
    <t>Enter the registry ID number in row 2089 of the table for production class 1.</t>
  </si>
  <si>
    <t>Enter the registry ID number in row 2090 of the table for production class 1.</t>
  </si>
  <si>
    <t>Enter the registry ID number in row 2091 of the table for production class 1.</t>
  </si>
  <si>
    <t>Enter the registry ID number in row 2092 of the table for production class 1.</t>
  </si>
  <si>
    <t>Enter the registry ID number in row 2093 of the table for production class 1.</t>
  </si>
  <si>
    <t>Enter the registry ID number in row 2094 of the table for production class 1.</t>
  </si>
  <si>
    <t>Enter the registry ID number in row 2095 of the table for production class 1.</t>
  </si>
  <si>
    <t>Enter the registry ID number in row 2096 of the table for production class 1.</t>
  </si>
  <si>
    <t>Enter the registry ID number in row 2097 of the table for production class 1.</t>
  </si>
  <si>
    <t>Enter the registry ID number in row 2098 of the table for production class 1.</t>
  </si>
  <si>
    <t>Enter the registry ID number in row 2099 of the table for production class 1.</t>
  </si>
  <si>
    <t>Enter the registry ID number in row 2100 of the table for production class 1.</t>
  </si>
  <si>
    <t>Enter the registry ID number in row 2101 of the table for production class 1.</t>
  </si>
  <si>
    <t>Enter the registry ID number in row 2102 of the table for production class 1.</t>
  </si>
  <si>
    <t>Enter the registry ID number in row 2103 of the table for production class 1.</t>
  </si>
  <si>
    <t>Enter the registry ID number in row 2104 of the table for production class 1.</t>
  </si>
  <si>
    <t>Enter the registry ID number in row 2105 of the table for production class 1.</t>
  </si>
  <si>
    <t>Enter the registry ID number in row 2106 of the table for production class 1.</t>
  </si>
  <si>
    <t>Enter the registry ID number in row 2107 of the table for production class 1.</t>
  </si>
  <si>
    <t>Enter the registry ID number in row 2108 of the table for production class 1.</t>
  </si>
  <si>
    <t>Enter the registry ID number in row 2109 of the table for production class 1.</t>
  </si>
  <si>
    <t>Enter the registry ID number in row 2110 of the table for production class 1.</t>
  </si>
  <si>
    <t>Enter the registry ID number in row 2111 of the table for production class 1.</t>
  </si>
  <si>
    <t>Enter the registry ID number in row 2112 of the table for production class 1.</t>
  </si>
  <si>
    <t>Enter the registry ID number in row 2113 of the table for production class 1.</t>
  </si>
  <si>
    <t>Enter the registry ID number in row 2114 of the table for production class 1.</t>
  </si>
  <si>
    <t>Enter the registry ID number in row 2115 of the table for production class 1.</t>
  </si>
  <si>
    <t>Enter the registry ID number in row 2116 of the table for production class 1.</t>
  </si>
  <si>
    <t>Enter the registry ID number in row 2117 of the table for production class 1.</t>
  </si>
  <si>
    <t>Enter the registry ID number in row 2118 of the table for production class 1.</t>
  </si>
  <si>
    <t>Enter the registry ID number in row 2119 of the table for production class 1.</t>
  </si>
  <si>
    <t>Enter the registry ID number in row 2120 of the table for production class 1.</t>
  </si>
  <si>
    <t>Enter the registry ID number in row 2121 of the table for production class 1.</t>
  </si>
  <si>
    <t>Enter the registry ID number in row 2122 of the table for production class 1.</t>
  </si>
  <si>
    <t>Enter the registry ID number in row 2123 of the table for production class 1.</t>
  </si>
  <si>
    <t>Enter the registry ID number in row 2124 of the table for production class 1.</t>
  </si>
  <si>
    <t>Enter the registry ID number in row 2125 of the table for production class 1.</t>
  </si>
  <si>
    <t>Enter the registry ID number in row 2126 of the table for production class 1.</t>
  </si>
  <si>
    <t>Enter the registry ID number in row 2127 of the table for production class 1.</t>
  </si>
  <si>
    <t>Enter the registry ID number in row 2128 of the table for production class 1.</t>
  </si>
  <si>
    <t>Enter the registry ID number in row 2129 of the table for production class 1.</t>
  </si>
  <si>
    <t>Enter the registry ID number in row 2130 of the table for production class 1.</t>
  </si>
  <si>
    <t>Enter the registry ID number in row 2131 of the table for production class 1.</t>
  </si>
  <si>
    <t>Enter the registry ID number in row 2132 of the table for production class 1.</t>
  </si>
  <si>
    <t>Enter the registry ID number in row 2133 of the table for production class 1.</t>
  </si>
  <si>
    <t>Enter the registry ID number in row 2134 of the table for production class 1.</t>
  </si>
  <si>
    <t>Enter the registry ID number in row 2135 of the table for production class 1.</t>
  </si>
  <si>
    <t>Enter the registry ID number in row 2136 of the table for production class 1.</t>
  </si>
  <si>
    <t>Enter the registry ID number in row 2137 of the table for production class 1.</t>
  </si>
  <si>
    <t>Enter the registry ID number in row 2138 of the table for production class 1.</t>
  </si>
  <si>
    <t>Enter the registry ID number in row 2139 of the table for production class 1.</t>
  </si>
  <si>
    <t>Enter the registry ID number in row 2140 of the table for production class 1.</t>
  </si>
  <si>
    <t>Enter the registry ID number in row 2141 of the table for production class 1.</t>
  </si>
  <si>
    <t>Enter the registry ID number in row 2142 of the table for production class 1.</t>
  </si>
  <si>
    <t>Enter the registry ID number in row 2143 of the table for production class 1.</t>
  </si>
  <si>
    <t>Enter the registry ID number in row 2144 of the table for production class 1.</t>
  </si>
  <si>
    <t>Enter the registry ID number in row 2145 of the table for production class 1.</t>
  </si>
  <si>
    <t>Enter the registry ID number in row 2146 of the table for production class 1.</t>
  </si>
  <si>
    <t>Enter the registry ID number in row 2147 of the table for production class 1.</t>
  </si>
  <si>
    <t>Enter the registry ID number in row 2148 of the table for production class 1.</t>
  </si>
  <si>
    <t>Enter the registry ID number in row 2149 of the table for production class 1.</t>
  </si>
  <si>
    <t>Enter the registry ID number in row 2150 of the table for production class 1.</t>
  </si>
  <si>
    <t>Enter the registry ID number in row 2151 of the table for production class 1.</t>
  </si>
  <si>
    <t>Enter the registry ID number in row 2152 of the table for production class 1.</t>
  </si>
  <si>
    <t>Enter the registry ID number in row 2153 of the table for production class 1.</t>
  </si>
  <si>
    <t>Enter the registry ID number in row 2154 of the table for production class 1.</t>
  </si>
  <si>
    <t>Enter the registry ID number in row 2155 of the table for production class 1.</t>
  </si>
  <si>
    <t>Enter the registry ID number in row 2156 of the table for production class 1.</t>
  </si>
  <si>
    <t>Enter the registry ID number in row 2157 of the table for production class 1.</t>
  </si>
  <si>
    <t>Enter the registry ID number in row 2158 of the table for production class 1.</t>
  </si>
  <si>
    <t>Enter the registry ID number in row 2159 of the table for production class 1.</t>
  </si>
  <si>
    <t>Enter the registry ID number in row 2160 of the table for production class 1.</t>
  </si>
  <si>
    <t>Enter the registry ID number in row 2161 of the table for production class 1.</t>
  </si>
  <si>
    <t>Enter the registry ID number in row 2162 of the table for production class 1.</t>
  </si>
  <si>
    <t>Enter the registry ID number in row 2163 of the table for production class 1.</t>
  </si>
  <si>
    <t>Enter the registry ID number in row 2164 of the table for production class 1.</t>
  </si>
  <si>
    <t>Enter the registry ID number in row 2165 of the table for production class 1.</t>
  </si>
  <si>
    <t>Enter the registry ID number in row 2166 of the table for production class 1.</t>
  </si>
  <si>
    <t>Enter the registry ID number in row 2167 of the table for production class 1.</t>
  </si>
  <si>
    <t>Enter the registry ID number in row 2168 of the table for production class 1.</t>
  </si>
  <si>
    <t>Enter the registry ID number in row 2169 of the table for production class 1.</t>
  </si>
  <si>
    <t>Enter the registry ID number in row 2170 of the table for production class 1.</t>
  </si>
  <si>
    <t>Enter the registry ID number in row 2171 of the table for production class 1.</t>
  </si>
  <si>
    <t>Enter the registry ID number in row 2172 of the table for production class 1.</t>
  </si>
  <si>
    <t>Enter the registry ID number in row 2173 of the table for production class 1.</t>
  </si>
  <si>
    <t>Enter the registry ID number in row 2174 of the table for production class 1.</t>
  </si>
  <si>
    <t>Enter the registry ID number in row 2175 of the table for production class 1.</t>
  </si>
  <si>
    <t>Enter the registry ID number in row 2176 of the table for production class 1.</t>
  </si>
  <si>
    <t>Enter the registry ID number in row 2177 of the table for production class 1.</t>
  </si>
  <si>
    <t>Enter the registry ID number in row 2178 of the table for production class 1.</t>
  </si>
  <si>
    <t>Enter the registry ID number in row 2179 of the table for production class 1.</t>
  </si>
  <si>
    <t>Enter the registry ID number in row 2180 of the table for production class 1.</t>
  </si>
  <si>
    <t>Enter the registry ID number in row 2181 of the table for production class 1.</t>
  </si>
  <si>
    <t>Enter the registry ID number in row 2182 of the table for production class 1.</t>
  </si>
  <si>
    <t>Enter the registry ID number in row 2183 of the table for production class 1.</t>
  </si>
  <si>
    <t>Enter the registry ID number in row 2184 of the table for production class 1.</t>
  </si>
  <si>
    <t>Enter the registry ID number in row 2185 of the table for production class 1.</t>
  </si>
  <si>
    <t>Enter the registry ID number in row 2186 of the table for production class 1.</t>
  </si>
  <si>
    <t>Enter the registry ID number in row 2187 of the table for production class 1.</t>
  </si>
  <si>
    <t>Enter the registry ID number in row 2188 of the table for production class 1.</t>
  </si>
  <si>
    <t>Enter the registry ID number in row 2189 of the table for production class 1.</t>
  </si>
  <si>
    <t>Enter the registry ID number in row 2190 of the table for production class 1.</t>
  </si>
  <si>
    <t>Enter the registry ID number in row 2191 of the table for production class 1.</t>
  </si>
  <si>
    <t>Enter the registry ID number in row 2192 of the table for production class 1.</t>
  </si>
  <si>
    <t>Enter the registry ID number in row 2193 of the table for production class 1.</t>
  </si>
  <si>
    <t>Enter the registry ID number in row 2194 of the table for production class 1.</t>
  </si>
  <si>
    <t>Enter the registry ID number in row 2195 of the table for production class 1.</t>
  </si>
  <si>
    <t>Enter the registry ID number in row 2196 of the table for production class 1.</t>
  </si>
  <si>
    <t>Enter the registry ID number in row 2197 of the table for production class 1.</t>
  </si>
  <si>
    <t>Enter the registry ID number in row 2198 of the table for production class 1.</t>
  </si>
  <si>
    <t>Enter the registry ID number in row 2199 of the table for production class 1.</t>
  </si>
  <si>
    <t>Enter the registry ID number in row 2200 of the table for production class 1.</t>
  </si>
  <si>
    <t>Enter the registry ID number in row 2201 of the table for production class 1.</t>
  </si>
  <si>
    <t>Enter the registry ID number in row 2202 of the table for production class 1.</t>
  </si>
  <si>
    <t>Enter the registry ID number in row 2203 of the table for production class 1.</t>
  </si>
  <si>
    <t>Enter the registry ID number in row 2204 of the table for production class 1.</t>
  </si>
  <si>
    <t>Enter the registry ID number in row 2205 of the table for production class 1.</t>
  </si>
  <si>
    <t>Enter the registry ID number in row 2206 of the table for production class 1.</t>
  </si>
  <si>
    <t>Enter the registry ID number in row 2207 of the table for production class 1.</t>
  </si>
  <si>
    <t>Enter the registry ID number in row 2208 of the table for production class 1.</t>
  </si>
  <si>
    <t>Enter the registry ID number in row 2209 of the table for production class 1.</t>
  </si>
  <si>
    <t>Enter the registry ID number in row 2210 of the table for production class 1.</t>
  </si>
  <si>
    <t>Enter the registry ID number in row 2211 of the table for production class 1.</t>
  </si>
  <si>
    <t>Enter the registry ID number in row 2212 of the table for production class 1.</t>
  </si>
  <si>
    <t>Enter the registry ID number in row 2213 of the table for production class 1.</t>
  </si>
  <si>
    <t>Enter the registry ID number in row 2214 of the table for production class 1.</t>
  </si>
  <si>
    <t>Enter the registry ID number in row 2215 of the table for production class 1.</t>
  </si>
  <si>
    <t>Enter the registry ID number in row 2216 of the table for production class 1.</t>
  </si>
  <si>
    <t>Enter the registry ID number in row 2217 of the table for production class 1.</t>
  </si>
  <si>
    <t>Enter the registry ID number in row 2218 of the table for production class 1.</t>
  </si>
  <si>
    <t>Enter the registry ID number in row 2219 of the table for production class 1.</t>
  </si>
  <si>
    <t>Enter the registry ID number in row 2220 of the table for production class 1.</t>
  </si>
  <si>
    <t>Enter the registry ID number in row 2221 of the table for production class 1.</t>
  </si>
  <si>
    <t>Enter the registry ID number in row 2222 of the table for production class 1.</t>
  </si>
  <si>
    <t>Enter the registry ID number in row 2223 of the table for production class 1.</t>
  </si>
  <si>
    <t>Enter the registry ID number in row 2224 of the table for production class 1.</t>
  </si>
  <si>
    <t>Enter the registry ID number in row 2225 of the table for production class 1.</t>
  </si>
  <si>
    <t>Enter the registry ID number in row 2226 of the table for production class 1.</t>
  </si>
  <si>
    <t>Enter the registry ID number in row 2227 of the table for production class 1.</t>
  </si>
  <si>
    <t>Enter the registry ID number in row 2228 of the table for production class 1.</t>
  </si>
  <si>
    <t>Enter the registry ID number in row 2229 of the table for production class 1.</t>
  </si>
  <si>
    <t>Enter the registry ID number in row 2230 of the table for production class 1.</t>
  </si>
  <si>
    <t>Enter the registry ID number in row 2231 of the table for production class 1.</t>
  </si>
  <si>
    <t>Enter the registry ID number in row 2232 of the table for production class 1.</t>
  </si>
  <si>
    <t>Enter the registry ID number in row 2233 of the table for production class 1.</t>
  </si>
  <si>
    <t>Enter the registry ID number in row 2234 of the table for production class 1.</t>
  </si>
  <si>
    <t>Enter the registry ID number in row 2235 of the table for production class 1.</t>
  </si>
  <si>
    <t>Enter the registry ID number in row 2236 of the table for production class 1.</t>
  </si>
  <si>
    <t>Enter the registry ID number in row 2237 of the table for production class 1.</t>
  </si>
  <si>
    <t>Enter the registry ID number in row 2238 of the table for production class 1.</t>
  </si>
  <si>
    <t>Enter the registry ID number in row 2239 of the table for production class 1.</t>
  </si>
  <si>
    <t>Enter the registry ID number in row 2240 of the table for production class 1.</t>
  </si>
  <si>
    <t>Enter the registry ID number in row 2241 of the table for production class 1.</t>
  </si>
  <si>
    <t>Enter the registry ID number in row 2242 of the table for production class 1.</t>
  </si>
  <si>
    <t>Enter the registry ID number in row 2243 of the table for production class 1.</t>
  </si>
  <si>
    <t>Enter the registry ID number in row 2244 of the table for production class 1.</t>
  </si>
  <si>
    <t>Enter the registry ID number in row 2245 of the table for production class 1.</t>
  </si>
  <si>
    <t>Enter the registry ID number in row 2246 of the table for production class 1.</t>
  </si>
  <si>
    <t>Enter the registry ID number in row 2247 of the table for production class 1.</t>
  </si>
  <si>
    <t>Enter the registry ID number in row 2248 of the table for production class 1.</t>
  </si>
  <si>
    <t>Enter the registry ID number in row 2249 of the table for production class 1.</t>
  </si>
  <si>
    <t>Enter the registry ID number in row 2250 of the table for production class 1.</t>
  </si>
  <si>
    <t>Enter the registry ID number in row 2251 of the table for production class 1.</t>
  </si>
  <si>
    <t>Enter the registry ID number in row 2252 of the table for production class 1.</t>
  </si>
  <si>
    <t>Enter the registry ID number in row 2253 of the table for production class 1.</t>
  </si>
  <si>
    <t>Enter the registry ID number in row 2254 of the table for production class 1.</t>
  </si>
  <si>
    <t>Enter the registry ID number in row 2255 of the table for production class 1.</t>
  </si>
  <si>
    <t>Enter the registry ID number in row 2256 of the table for production class 1.</t>
  </si>
  <si>
    <t>Enter the registry ID number in row 2257 of the table for production class 1.</t>
  </si>
  <si>
    <t>Enter the registry ID number in row 2258 of the table for production class 1.</t>
  </si>
  <si>
    <t>Enter the registry ID number in row 2259 of the table for production class 1.</t>
  </si>
  <si>
    <t>Enter the registry ID number in row 2260 of the table for production class 1.</t>
  </si>
  <si>
    <t>Enter the registry ID number in row 2261 of the table for production class 1.</t>
  </si>
  <si>
    <t>Enter the registry ID number in row 2262 of the table for production class 1.</t>
  </si>
  <si>
    <t>Enter the registry ID number in row 2263 of the table for production class 1.</t>
  </si>
  <si>
    <t>Enter the registry ID number in row 2264 of the table for production class 1.</t>
  </si>
  <si>
    <t>Enter the registry ID number in row 2265 of the table for production class 1.</t>
  </si>
  <si>
    <t>Enter the registry ID number in row 2266 of the table for production class 1.</t>
  </si>
  <si>
    <t>Enter the registry ID number in row 2267 of the table for production class 1.</t>
  </si>
  <si>
    <t>Enter the registry ID number in row 2268 of the table for production class 1.</t>
  </si>
  <si>
    <t>Enter the registry ID number in row 2269 of the table for production class 1.</t>
  </si>
  <si>
    <t>Enter the registry ID number in row 2270 of the table for production class 1.</t>
  </si>
  <si>
    <t>Enter the registry ID number in row 2271 of the table for production class 1.</t>
  </si>
  <si>
    <t>Enter the registry ID number in row 2272 of the table for production class 1.</t>
  </si>
  <si>
    <t>Enter the registry ID number in row 2273 of the table for production class 1.</t>
  </si>
  <si>
    <t>Enter the registry ID number in row 2274 of the table for production class 1.</t>
  </si>
  <si>
    <t>Enter the registry ID number in row 2275 of the table for production class 1.</t>
  </si>
  <si>
    <t>Enter the registry ID number in row 2276 of the table for production class 1.</t>
  </si>
  <si>
    <t>Enter the registry ID number in row 2277 of the table for production class 1.</t>
  </si>
  <si>
    <t>Enter the registry ID number in row 2278 of the table for production class 1.</t>
  </si>
  <si>
    <t>Enter the registry ID number in row 2279 of the table for production class 1.</t>
  </si>
  <si>
    <t>Enter the registry ID number in row 2280 of the table for production class 1.</t>
  </si>
  <si>
    <t>Enter the registry ID number in row 2281 of the table for production class 1.</t>
  </si>
  <si>
    <t>Enter the registry ID number in row 2282 of the table for production class 1.</t>
  </si>
  <si>
    <t>Enter the registry ID number in row 2283 of the table for production class 1.</t>
  </si>
  <si>
    <t>Enter the registry ID number in row 2284 of the table for production class 1.</t>
  </si>
  <si>
    <t>Enter the registry ID number in row 2285 of the table for production class 1.</t>
  </si>
  <si>
    <t>Enter the registry ID number in row 2286 of the table for production class 1.</t>
  </si>
  <si>
    <t>Enter the registry ID number in row 2287 of the table for production class 1.</t>
  </si>
  <si>
    <t>Enter the registry ID number in row 2288 of the table for production class 1.</t>
  </si>
  <si>
    <t>Enter the registry ID number in row 2289 of the table for production class 1.</t>
  </si>
  <si>
    <t>Enter the registry ID number in row 2290 of the table for production class 1.</t>
  </si>
  <si>
    <t>Enter the registry ID number in row 2291 of the table for production class 1.</t>
  </si>
  <si>
    <t>Enter the registry ID number in row 2292 of the table for production class 1.</t>
  </si>
  <si>
    <t>Enter the registry ID number in row 2293 of the table for production class 1.</t>
  </si>
  <si>
    <t>Enter the registry ID number in row 2294 of the table for production class 1.</t>
  </si>
  <si>
    <t>Enter the registry ID number in row 2295 of the table for production class 1.</t>
  </si>
  <si>
    <t>Enter the registry ID number in row 2296 of the table for production class 1.</t>
  </si>
  <si>
    <t>Enter the registry ID number in row 2297 of the table for production class 1.</t>
  </si>
  <si>
    <t>Enter the registry ID number in row 2298 of the table for production class 1.</t>
  </si>
  <si>
    <t>Enter the registry ID number in row 2299 of the table for production class 1.</t>
  </si>
  <si>
    <t>Enter the registry ID number in row 2300 of the table for production class 1.</t>
  </si>
  <si>
    <t>Enter the registry ID number in row 2301 of the table for production class 1.</t>
  </si>
  <si>
    <t>Enter the registry ID number in row 2302 of the table for production class 1.</t>
  </si>
  <si>
    <t>Enter the registry ID number in row 2303 of the table for production class 1.</t>
  </si>
  <si>
    <t>Enter the registry ID number in row 2304 of the table for production class 1.</t>
  </si>
  <si>
    <t>Enter the registry ID number in row 2305 of the table for production class 1.</t>
  </si>
  <si>
    <t>Enter the registry ID number in row 2306 of the table for production class 1.</t>
  </si>
  <si>
    <t>Enter the registry ID number in row 2307 of the table for production class 1.</t>
  </si>
  <si>
    <t>Enter the registry ID number in row 2308 of the table for production class 1.</t>
  </si>
  <si>
    <t>Enter the registry ID number in row 2309 of the table for production class 1.</t>
  </si>
  <si>
    <t>Enter the registry ID number in row 2310 of the table for production class 1.</t>
  </si>
  <si>
    <t>Enter the registry ID number in row 2311 of the table for production class 1.</t>
  </si>
  <si>
    <t>Enter the registry ID number in row 2312 of the table for production class 1.</t>
  </si>
  <si>
    <t>Enter the registry ID number in row 2313 of the table for production class 1.</t>
  </si>
  <si>
    <t>Enter the registry ID number in row 2314 of the table for production class 1.</t>
  </si>
  <si>
    <t>Enter the registry ID number in row 2315 of the table for production class 1.</t>
  </si>
  <si>
    <t>Enter the registry ID number in row 2316 of the table for production class 1.</t>
  </si>
  <si>
    <t>Enter the registry ID number in row 2317 of the table for production class 1.</t>
  </si>
  <si>
    <t>Enter the registry ID number in row 2318 of the table for production class 1.</t>
  </si>
  <si>
    <t>Enter the registry ID number in row 2319 of the table for production class 1.</t>
  </si>
  <si>
    <t>Enter the registry ID number in row 2320 of the table for production class 1.</t>
  </si>
  <si>
    <t>Enter the registry ID number in row 2321 of the table for production class 1.</t>
  </si>
  <si>
    <t>Enter the registry ID number in row 2322 of the table for production class 1.</t>
  </si>
  <si>
    <t>Enter the registry ID number in row 2323 of the table for production class 1.</t>
  </si>
  <si>
    <t>Enter the registry ID number in row 2324 of the table for production class 1.</t>
  </si>
  <si>
    <t>Enter the registry ID number in row 2325 of the table for production class 1.</t>
  </si>
  <si>
    <t>Enter the registry ID number in row 2326 of the table for production class 1.</t>
  </si>
  <si>
    <t>Enter the registry ID number in row 2327 of the table for production class 1.</t>
  </si>
  <si>
    <t>Enter the registry ID number in row 2328 of the table for production class 1.</t>
  </si>
  <si>
    <t>Enter the registry ID number in row 2329 of the table for production class 1.</t>
  </si>
  <si>
    <t>Enter the registry ID number in row 2330 of the table for production class 1.</t>
  </si>
  <si>
    <t>Enter the registry ID number in row 2331 of the table for production class 1.</t>
  </si>
  <si>
    <t>Enter the registry ID number in row 2332 of the table for production class 1.</t>
  </si>
  <si>
    <t>Enter the registry ID number in row 2333 of the table for production class 1.</t>
  </si>
  <si>
    <t>Enter the registry ID number in row 2334 of the table for production class 1.</t>
  </si>
  <si>
    <t>Enter the registry ID number in row 2335 of the table for production class 1.</t>
  </si>
  <si>
    <t>Enter the registry ID number in row 2336 of the table for production class 1.</t>
  </si>
  <si>
    <t>Enter the registry ID number in row 2337 of the table for production class 1.</t>
  </si>
  <si>
    <t>Enter the registry ID number in row 2338 of the table for production class 1.</t>
  </si>
  <si>
    <t>Enter the registry ID number in row 2339 of the table for production class 1.</t>
  </si>
  <si>
    <t>Enter the registry ID number in row 2340 of the table for production class 1.</t>
  </si>
  <si>
    <t>Enter the registry ID number in row 2341 of the table for production class 1.</t>
  </si>
  <si>
    <t>Enter the registry ID number in row 2342 of the table for production class 1.</t>
  </si>
  <si>
    <t>Enter the registry ID number in row 2343 of the table for production class 1.</t>
  </si>
  <si>
    <t>Enter the registry ID number in row 2344 of the table for production class 1.</t>
  </si>
  <si>
    <t>Enter the registry ID number in row 2345 of the table for production class 1.</t>
  </si>
  <si>
    <t>Enter the registry ID number in row 2346 of the table for production class 1.</t>
  </si>
  <si>
    <t>Enter the registry ID number in row 2347 of the table for production class 1.</t>
  </si>
  <si>
    <t>Enter the registry ID number in row 2348 of the table for production class 1.</t>
  </si>
  <si>
    <t>Enter the registry ID number in row 2349 of the table for production class 1.</t>
  </si>
  <si>
    <t>Enter the registry ID number in row 2350 of the table for production class 1.</t>
  </si>
  <si>
    <t>Enter the registry ID number in row 2351 of the table for production class 1.</t>
  </si>
  <si>
    <t>Enter the registry ID number in row 2352 of the table for production class 1.</t>
  </si>
  <si>
    <t>Enter the registry ID number in row 2353 of the table for production class 1.</t>
  </si>
  <si>
    <t>Enter the registry ID number in row 2354 of the table for production class 1.</t>
  </si>
  <si>
    <t>Enter the registry ID number in row 2355 of the table for production class 1.</t>
  </si>
  <si>
    <t>Enter the registry ID number in row 2356 of the table for production class 1.</t>
  </si>
  <si>
    <t>Enter the registry ID number in row 2357 of the table for production class 1.</t>
  </si>
  <si>
    <t>Enter the registry ID number in row 2358 of the table for production class 1.</t>
  </si>
  <si>
    <t>Enter the registry ID number in row 2359 of the table for production class 1.</t>
  </si>
  <si>
    <t>Enter the registry ID number in row 2360 of the table for production class 1.</t>
  </si>
  <si>
    <t>Enter the registry ID number in row 2361 of the table for production class 1.</t>
  </si>
  <si>
    <t>Enter the registry ID number in row 2362 of the table for production class 1.</t>
  </si>
  <si>
    <t>Enter the registry ID number in row 2363 of the table for production class 1.</t>
  </si>
  <si>
    <t>Enter the registry ID number in row 2364 of the table for production class 1.</t>
  </si>
  <si>
    <t>Enter the registry ID number in row 2365 of the table for production class 1.</t>
  </si>
  <si>
    <t>Enter the registry ID number in row 2366 of the table for production class 1.</t>
  </si>
  <si>
    <t>Enter the registry ID number in row 2367 of the table for production class 1.</t>
  </si>
  <si>
    <t>Enter the registry ID number in row 2368 of the table for production class 1.</t>
  </si>
  <si>
    <t>Enter the registry ID number in row 2369 of the table for production class 1.</t>
  </si>
  <si>
    <t>Enter the registry ID number in row 2370 of the table for production class 1.</t>
  </si>
  <si>
    <t>Enter the registry ID number in row 2371 of the table for production class 1.</t>
  </si>
  <si>
    <t>Enter the registry ID number in row 2372 of the table for production class 1.</t>
  </si>
  <si>
    <t>Enter the registry ID number in row 2373 of the table for production class 1.</t>
  </si>
  <si>
    <t>Enter the registry ID number in row 2374 of the table for production class 1.</t>
  </si>
  <si>
    <t>Enter the registry ID number in row 2375 of the table for production class 1.</t>
  </si>
  <si>
    <t>Enter the registry ID number in row 2376 of the table for production class 1.</t>
  </si>
  <si>
    <t>Enter the registry ID number in row 2377 of the table for production class 1.</t>
  </si>
  <si>
    <t>Enter the registry ID number in row 2378 of the table for production class 1.</t>
  </si>
  <si>
    <t>Enter the registry ID number in row 2379 of the table for production class 1.</t>
  </si>
  <si>
    <t>Enter the registry ID number in row 2380 of the table for production class 1.</t>
  </si>
  <si>
    <t>Enter the registry ID number in row 2381 of the table for production class 1.</t>
  </si>
  <si>
    <t>Enter the registry ID number in row 2382 of the table for production class 1.</t>
  </si>
  <si>
    <t>Enter the registry ID number in row 2383 of the table for production class 1.</t>
  </si>
  <si>
    <t>Enter the registry ID number in row 2384 of the table for production class 1.</t>
  </si>
  <si>
    <t>Enter the registry ID number in row 2385 of the table for production class 1.</t>
  </si>
  <si>
    <t>Enter the registry ID number in row 2386 of the table for production class 1.</t>
  </si>
  <si>
    <t>Enter the registry ID number in row 2387 of the table for production class 1.</t>
  </si>
  <si>
    <t>Enter the registry ID number in row 2388 of the table for production class 1.</t>
  </si>
  <si>
    <t>Enter the registry ID number in row 2389 of the table for production class 1.</t>
  </si>
  <si>
    <t>Enter the registry ID number in row 2390 of the table for production class 1.</t>
  </si>
  <si>
    <t>Enter the registry ID number in row 2391 of the table for production class 1.</t>
  </si>
  <si>
    <t>Enter the registry ID number in row 2392 of the table for production class 1.</t>
  </si>
  <si>
    <t>Enter the registry ID number in row 2393 of the table for production class 1.</t>
  </si>
  <si>
    <t>Enter the registry ID number in row 2394 of the table for production class 1.</t>
  </si>
  <si>
    <t>Enter the registry ID number in row 2395 of the table for production class 1.</t>
  </si>
  <si>
    <t>Enter the registry ID number in row 2396 of the table for production class 1.</t>
  </si>
  <si>
    <t>Enter the registry ID number in row 2397 of the table for production class 1.</t>
  </si>
  <si>
    <t>Enter the registry ID number in row 2398 of the table for production class 1.</t>
  </si>
  <si>
    <t>Enter the registry ID number in row 2399 of the table for production class 1.</t>
  </si>
  <si>
    <t>Enter the registry ID number in row 2400 of the table for production class 1.</t>
  </si>
  <si>
    <t>Enter the registry ID number in row 2401 of the table for production class 1.</t>
  </si>
  <si>
    <t>Enter the registry ID number in row 2402 of the table for production class 1.</t>
  </si>
  <si>
    <t>Enter the registry ID number in row 2403 of the table for production class 1.</t>
  </si>
  <si>
    <t>Enter the registry ID number in row 2404 of the table for production class 1.</t>
  </si>
  <si>
    <t>Enter the registry ID number in row 2405 of the table for production class 1.</t>
  </si>
  <si>
    <t>Enter the registry ID number in row 2406 of the table for production class 1.</t>
  </si>
  <si>
    <t>Enter the registry ID number in row 2407 of the table for production class 1.</t>
  </si>
  <si>
    <t>Enter the registry ID number in row 2408 of the table for production class 1.</t>
  </si>
  <si>
    <t>Enter the registry ID number in row 2409 of the table for production class 1.</t>
  </si>
  <si>
    <t>Enter the registry ID number in row 2410 of the table for production class 1.</t>
  </si>
  <si>
    <t>Enter the registry ID number in row 2411 of the table for production class 1.</t>
  </si>
  <si>
    <t>Enter the registry ID number in row 2412 of the table for production class 1.</t>
  </si>
  <si>
    <t>Enter the registry ID number in row 2413 of the table for production class 1.</t>
  </si>
  <si>
    <t>Enter the registry ID number in row 2414 of the table for production class 1.</t>
  </si>
  <si>
    <t>Enter the registry ID number in row 2415 of the table for production class 1.</t>
  </si>
  <si>
    <t>Enter the registry ID number in row 2416 of the table for production class 1.</t>
  </si>
  <si>
    <t>Enter the registry ID number in row 2417 of the table for production class 1.</t>
  </si>
  <si>
    <t>Enter the registry ID number in row 2418 of the table for production class 1.</t>
  </si>
  <si>
    <t>Enter the registry ID number in row 2419 of the table for production class 1.</t>
  </si>
  <si>
    <t>Enter the registry ID number in row 2420 of the table for production class 1.</t>
  </si>
  <si>
    <t>Enter the registry ID number in row 2421 of the table for production class 1.</t>
  </si>
  <si>
    <t>Enter the registry ID number in row 2422 of the table for production class 1.</t>
  </si>
  <si>
    <t>Enter the registry ID number in row 2423 of the table for production class 1.</t>
  </si>
  <si>
    <t>Enter the registry ID number in row 2424 of the table for production class 1.</t>
  </si>
  <si>
    <t>Enter the registry ID number in row 2425 of the table for production class 1.</t>
  </si>
  <si>
    <t>Enter the registry ID number in row 2426 of the table for production class 1.</t>
  </si>
  <si>
    <t>Enter the registry ID number in row 2427 of the table for production class 1.</t>
  </si>
  <si>
    <t>Enter the registry ID number in row 2428 of the table for production class 1.</t>
  </si>
  <si>
    <t>Enter the registry ID number in row 2429 of the table for production class 1.</t>
  </si>
  <si>
    <t>Enter the registry ID number in row 2430 of the table for production class 1.</t>
  </si>
  <si>
    <t>Enter the registry ID number in row 2431 of the table for production class 1.</t>
  </si>
  <si>
    <t>Enter the registry ID number in row 2432 of the table for production class 1.</t>
  </si>
  <si>
    <t>Enter the registry ID number in row 2433 of the table for production class 1.</t>
  </si>
  <si>
    <t>Enter the registry ID number in row 2434 of the table for production class 1.</t>
  </si>
  <si>
    <t>Enter the registry ID number in row 2435 of the table for production class 1.</t>
  </si>
  <si>
    <t>Enter the registry ID number in row 2436 of the table for production class 1.</t>
  </si>
  <si>
    <t>Enter the registry ID number in row 2437 of the table for production class 1.</t>
  </si>
  <si>
    <t>Enter the registry ID number in row 2438 of the table for production class 1.</t>
  </si>
  <si>
    <t>Enter the registry ID number in row 2439 of the table for production class 1.</t>
  </si>
  <si>
    <t>Enter the registry ID number in row 2440 of the table for production class 1.</t>
  </si>
  <si>
    <t>Enter the registry ID number in row 2441 of the table for production class 1.</t>
  </si>
  <si>
    <t>Enter the registry ID number in row 2442 of the table for production class 1.</t>
  </si>
  <si>
    <t>Enter the registry ID number in row 2443 of the table for production class 1.</t>
  </si>
  <si>
    <t>Enter the registry ID number in row 2444 of the table for production class 1.</t>
  </si>
  <si>
    <t>Enter the registry ID number in row 2445 of the table for production class 1.</t>
  </si>
  <si>
    <t>Enter the registry ID number in row 2446 of the table for production class 1.</t>
  </si>
  <si>
    <t>Enter the registry ID number in row 2447 of the table for production class 1.</t>
  </si>
  <si>
    <t>Enter the registry ID number in row 2448 of the table for production class 1.</t>
  </si>
  <si>
    <t>Enter the registry ID number in row 2449 of the table for production class 1.</t>
  </si>
  <si>
    <t>Enter the registry ID number in row 2450 of the table for production class 1.</t>
  </si>
  <si>
    <t>Enter the registry ID number in row 2451 of the table for production class 1.</t>
  </si>
  <si>
    <t>Enter the registry ID number in row 2452 of the table for production class 1.</t>
  </si>
  <si>
    <t>Enter the registry ID number in row 2453 of the table for production class 1.</t>
  </si>
  <si>
    <t>Enter the registry ID number in row 2454 of the table for production class 1.</t>
  </si>
  <si>
    <t>Enter the registry ID number in row 2455 of the table for production class 1.</t>
  </si>
  <si>
    <t>Enter the registry ID number in row 2456 of the table for production class 1.</t>
  </si>
  <si>
    <t>Enter the registry ID number in row 2457 of the table for production class 1.</t>
  </si>
  <si>
    <t>Enter the registry ID number in row 2458 of the table for production class 1.</t>
  </si>
  <si>
    <t>Enter the registry ID number in row 2459 of the table for production class 1.</t>
  </si>
  <si>
    <t>Enter the registry ID number in row 2460 of the table for production class 1.</t>
  </si>
  <si>
    <t>Enter the registry ID number in row 2461 of the table for production class 1.</t>
  </si>
  <si>
    <t>Enter the registry ID number in row 2462 of the table for production class 1.</t>
  </si>
  <si>
    <t>Enter the registry ID number in row 2463 of the table for production class 1.</t>
  </si>
  <si>
    <t>Enter the registry ID number in row 2464 of the table for production class 1.</t>
  </si>
  <si>
    <t>Enter the registry ID number in row 2465 of the table for production class 1.</t>
  </si>
  <si>
    <t>Enter the registry ID number in row 2466 of the table for production class 1.</t>
  </si>
  <si>
    <t>Enter the registry ID number in row 2467 of the table for production class 1.</t>
  </si>
  <si>
    <t>Enter the registry ID number in row 2468 of the table for production class 1.</t>
  </si>
  <si>
    <t>Enter the registry ID number in row 2469 of the table for production class 1.</t>
  </si>
  <si>
    <t>Enter the registry ID number in row 2470 of the table for production class 1.</t>
  </si>
  <si>
    <t>Enter the registry ID number in row 2471 of the table for production class 1.</t>
  </si>
  <si>
    <t>Enter the registry ID number in row 2472 of the table for production class 1.</t>
  </si>
  <si>
    <t>Enter the registry ID number in row 2473 of the table for production class 1.</t>
  </si>
  <si>
    <t>Enter the registry ID number in row 2474 of the table for production class 1.</t>
  </si>
  <si>
    <t>Enter the registry ID number in row 2475 of the table for production class 1.</t>
  </si>
  <si>
    <t>Enter the registry ID number in row 2476 of the table for production class 1.</t>
  </si>
  <si>
    <t>Enter the registry ID number in row 2477 of the table for production class 1.</t>
  </si>
  <si>
    <t>Enter the registry ID number in row 2478 of the table for production class 1.</t>
  </si>
  <si>
    <t>Enter the registry ID number in row 2479 of the table for production class 1.</t>
  </si>
  <si>
    <t>Enter the registry ID number in row 2480 of the table for production class 1.</t>
  </si>
  <si>
    <t>Enter the registry ID number in row 2481 of the table for production class 1.</t>
  </si>
  <si>
    <t>Enter the registry ID number in row 2482 of the table for production class 1.</t>
  </si>
  <si>
    <t>Enter the registry ID number in row 2483 of the table for production class 1.</t>
  </si>
  <si>
    <t>Enter the registry ID number in row 2484 of the table for production class 1.</t>
  </si>
  <si>
    <t>Enter the registry ID number in row 2485 of the table for production class 1.</t>
  </si>
  <si>
    <t>Enter the registry ID number in row 2486 of the table for production class 1.</t>
  </si>
  <si>
    <t>Enter the registry ID number in row 2487 of the table for production class 1.</t>
  </si>
  <si>
    <t>Enter the registry ID number in row 2488 of the table for production class 1.</t>
  </si>
  <si>
    <t>Enter the registry ID number in row 2489 of the table for production class 1.</t>
  </si>
  <si>
    <t>Enter the registry ID number in row 2490 of the table for production class 1.</t>
  </si>
  <si>
    <t>Enter the registry ID number in row 2491 of the table for production class 1.</t>
  </si>
  <si>
    <t>Enter the registry ID number in row 2492 of the table for production class 1.</t>
  </si>
  <si>
    <t>Enter the registry ID number in row 2493 of the table for production class 1.</t>
  </si>
  <si>
    <t>Enter the registry ID number in row 2494 of the table for production class 1.</t>
  </si>
  <si>
    <t>Enter the registry ID number in row 2495 of the table for production class 1.</t>
  </si>
  <si>
    <t>Enter the registry ID number in row 2496 of the table for production class 1.</t>
  </si>
  <si>
    <t>Enter the registry ID number in row 2497 of the table for production class 1.</t>
  </si>
  <si>
    <t>Enter the registry ID number in row 2498 of the table for production class 1.</t>
  </si>
  <si>
    <t>Enter the registry ID number in row 2499 of the table for production class 1.</t>
  </si>
  <si>
    <t>Enter the registry ID number in row 2500 of the table for production class 1.</t>
  </si>
  <si>
    <t>Enter the registry ID number in row 2501 of the table for production class 1.</t>
  </si>
  <si>
    <t>Enter the registry ID number in row 2502 of the table for production class 1.</t>
  </si>
  <si>
    <t>Enter the registry ID number in row 2503 of the table for production class 1.</t>
  </si>
  <si>
    <t>Enter the registry ID number in row 2504 of the table for production class 1.</t>
  </si>
  <si>
    <t>Enter the registry ID number in row 2505 of the table for production class 1.</t>
  </si>
  <si>
    <t>Enter the registry ID number in row 2506 of the table for production class 1.</t>
  </si>
  <si>
    <t>Enter the registry ID number in row 2507 of the table for production class 1.</t>
  </si>
  <si>
    <t>Enter the registry ID number in row 2508 of the table for production class 1.</t>
  </si>
  <si>
    <t>Enter the registry ID number in row 2509 of the table for production class 1.</t>
  </si>
  <si>
    <t>Enter the registry ID number in row 2510 of the table for production class 1.</t>
  </si>
  <si>
    <t>Enter the registry ID number in row 2511 of the table for production class 1.</t>
  </si>
  <si>
    <t>Enter the registry ID number in row 2512 of the table for production class 1.</t>
  </si>
  <si>
    <t>Enter the registry ID number in row 2513 of the table for production class 1.</t>
  </si>
  <si>
    <t>Enter the registry ID number in row 2514 of the table for production class 1.</t>
  </si>
  <si>
    <t>Enter the registry ID number in row 2515 of the table for production class 1.</t>
  </si>
  <si>
    <t>Enter the registry ID number in row 2516 of the table for production class 1.</t>
  </si>
  <si>
    <t>Enter the registry ID number in row 2517 of the table for production class 1.</t>
  </si>
  <si>
    <t>Enter the registry ID number in row 2518 of the table for production class 1.</t>
  </si>
  <si>
    <t>Enter the registry ID number in row 2519 of the table for production class 1.</t>
  </si>
  <si>
    <t>Enter the registry ID number in row 2520 of the table for production class 1.</t>
  </si>
  <si>
    <t>Enter the registry ID number in row 2521 of the table for production class 1.</t>
  </si>
  <si>
    <t>Enter the registry ID number in row 2522 of the table for production class 1.</t>
  </si>
  <si>
    <t>Enter the registry ID number in row 2523 of the table for production class 1.</t>
  </si>
  <si>
    <t>Enter the registry ID number in row 2524 of the table for production class 1.</t>
  </si>
  <si>
    <t>Enter the registry ID number in row 2525 of the table for production class 1.</t>
  </si>
  <si>
    <t>Enter the registry ID number in row 2526 of the table for production class 1.</t>
  </si>
  <si>
    <t>Enter the registry ID number in row 2527 of the table for production class 1.</t>
  </si>
  <si>
    <t>Enter the registry ID number in row 2528 of the table for production class 1.</t>
  </si>
  <si>
    <t>Enter the registry ID number in row 2529 of the table for production class 1.</t>
  </si>
  <si>
    <t>Enter the registry ID number in row 2530 of the table for production class 1.</t>
  </si>
  <si>
    <t>Enter the registry ID number in row 2531 of the table for production class 1.</t>
  </si>
  <si>
    <t>Enter the registry ID number in row 2532 of the table for production class 1.</t>
  </si>
  <si>
    <t>Enter the registry ID number in row 2533 of the table for production class 1.</t>
  </si>
  <si>
    <t>Enter the registry ID number in row 2534 of the table for production class 1.</t>
  </si>
  <si>
    <t>Enter the registry ID number in row 2535 of the table for production class 1.</t>
  </si>
  <si>
    <t>Enter the registry ID number in row 2536 of the table for production class 1.</t>
  </si>
  <si>
    <t>Enter the registry ID number in row 2537 of the table for production class 1.</t>
  </si>
  <si>
    <t>Enter the registry ID number in row 2538 of the table for production class 1.</t>
  </si>
  <si>
    <t>Enter the registry ID number in row 2539 of the table for production class 1.</t>
  </si>
  <si>
    <t>Enter the registry ID number in row 2540 of the table for production class 1.</t>
  </si>
  <si>
    <t>Enter the registry ID number in row 2541 of the table for production class 1.</t>
  </si>
  <si>
    <t>Enter the registry ID number in row 2542 of the table for production class 1.</t>
  </si>
  <si>
    <t>Enter the registry ID number in row 2543 of the table for production class 1.</t>
  </si>
  <si>
    <t>Enter the registry ID number in row 2544 of the table for production class 1.</t>
  </si>
  <si>
    <t>Enter the registry ID number in row 2545 of the table for production class 1.</t>
  </si>
  <si>
    <t>Enter the registry ID number in row 2546 of the table for production class 1.</t>
  </si>
  <si>
    <t>Enter the registry ID number in row 2547 of the table for production class 1.</t>
  </si>
  <si>
    <t>Enter the registry ID number in row 2548 of the table for production class 1.</t>
  </si>
  <si>
    <t>Enter the registry ID number in row 2549 of the table for production class 1.</t>
  </si>
  <si>
    <t>Enter the registry ID number in row 2550 of the table for production class 1.</t>
  </si>
  <si>
    <t>Enter the registry ID number in row 2551 of the table for production class 1.</t>
  </si>
  <si>
    <t>Enter the registry ID number in row 2552 of the table for production class 1.</t>
  </si>
  <si>
    <t>Enter the registry ID number in row 2553 of the table for production class 1.</t>
  </si>
  <si>
    <t>Enter the registry ID number in row 2554 of the table for production class 1.</t>
  </si>
  <si>
    <t>Enter the registry ID number in row 2555 of the table for production class 1.</t>
  </si>
  <si>
    <t>Enter the registry ID number in row 2556 of the table for production class 1.</t>
  </si>
  <si>
    <t>Enter the registry ID number in row 2557 of the table for production class 1.</t>
  </si>
  <si>
    <t>Enter the registry ID number in row 2558 of the table for production class 1.</t>
  </si>
  <si>
    <t>Enter the registry ID number in row 2559 of the table for production class 1.</t>
  </si>
  <si>
    <t>Enter the registry ID number in row 2560 of the table for production class 1.</t>
  </si>
  <si>
    <t>Enter the registry ID number in row 2561 of the table for production class 1.</t>
  </si>
  <si>
    <t>Enter the registry ID number in row 2562 of the table for production class 1.</t>
  </si>
  <si>
    <t>Enter the registry ID number in row 2563 of the table for production class 1.</t>
  </si>
  <si>
    <t>Enter the registry ID number in row 2564 of the table for production class 1.</t>
  </si>
  <si>
    <t>Enter the registry ID number in row 2565 of the table for production class 1.</t>
  </si>
  <si>
    <t>Enter the registry ID number in row 2566 of the table for production class 1.</t>
  </si>
  <si>
    <t>Enter the registry ID number in row 2567 of the table for production class 1.</t>
  </si>
  <si>
    <t>Enter the registry ID number in row 2568 of the table for production class 1.</t>
  </si>
  <si>
    <t>Enter the registry ID number in row 2569 of the table for production class 1.</t>
  </si>
  <si>
    <t>Enter the registry ID number in row 2570 of the table for production class 1.</t>
  </si>
  <si>
    <t>Enter the registry ID number in row 2571 of the table for production class 1.</t>
  </si>
  <si>
    <t>Enter the registry ID number in row 2572 of the table for production class 1.</t>
  </si>
  <si>
    <t>Enter the registry ID number in row 2573 of the table for production class 1.</t>
  </si>
  <si>
    <t>Enter the registry ID number in row 2574 of the table for production class 1.</t>
  </si>
  <si>
    <t>Enter the registry ID number in row 2575 of the table for production class 1.</t>
  </si>
  <si>
    <t>Enter the registry ID number in row 2576 of the table for production class 1.</t>
  </si>
  <si>
    <t>Enter the registry ID number in row 2577 of the table for production class 1.</t>
  </si>
  <si>
    <t>Enter the registry ID number in row 2578 of the table for production class 1.</t>
  </si>
  <si>
    <t>Enter the registry ID number in row 2579 of the table for production class 1.</t>
  </si>
  <si>
    <t>Enter the registry ID number in row 2580 of the table for production class 1.</t>
  </si>
  <si>
    <t>Enter the registry ID number in row 2581 of the table for production class 1.</t>
  </si>
  <si>
    <t>Enter the registry ID number in row 2582 of the table for production class 1.</t>
  </si>
  <si>
    <t>Enter the registry ID number in row 2583 of the table for production class 1.</t>
  </si>
  <si>
    <t>Enter the registry ID number in row 2584 of the table for production class 1.</t>
  </si>
  <si>
    <t>Enter the registry ID number in row 2585 of the table for production class 1.</t>
  </si>
  <si>
    <t>Enter the registry ID number in row 2586 of the table for production class 1.</t>
  </si>
  <si>
    <t>Enter the registry ID number in row 2587 of the table for production class 1.</t>
  </si>
  <si>
    <t>Enter the registry ID number in row 2588 of the table for production class 1.</t>
  </si>
  <si>
    <t>Enter the registry ID number in row 2589 of the table for production class 1.</t>
  </si>
  <si>
    <t>Enter the registry ID number in row 2590 of the table for production class 1.</t>
  </si>
  <si>
    <t>Enter the registry ID number in row 2591 of the table for production class 1.</t>
  </si>
  <si>
    <t>Enter the registry ID number in row 2592 of the table for production class 1.</t>
  </si>
  <si>
    <t>Enter the registry ID number in row 2593 of the table for production class 1.</t>
  </si>
  <si>
    <t>Enter the registry ID number in row 2594 of the table for production class 1.</t>
  </si>
  <si>
    <t>Enter the registry ID number in row 2595 of the table for production class 1.</t>
  </si>
  <si>
    <t>Enter the registry ID number in row 2596 of the table for production class 1.</t>
  </si>
  <si>
    <t>Enter the registry ID number in row 2597 of the table for production class 1.</t>
  </si>
  <si>
    <t>Enter the registry ID number in row 2598 of the table for production class 1.</t>
  </si>
  <si>
    <t>Enter the registry ID number in row 2599 of the table for production class 1.</t>
  </si>
  <si>
    <t>Enter the registry ID number in row 2600 of the table for production class 1.</t>
  </si>
  <si>
    <t>Enter the registry ID number in row 2601 of the table for production class 1.</t>
  </si>
  <si>
    <t>Enter the registry ID number in row 2602 of the table for production class 1.</t>
  </si>
  <si>
    <t>Enter the registry ID number in row 2603 of the table for production class 1.</t>
  </si>
  <si>
    <t>Enter the registry ID number in row 2604 of the table for production class 1.</t>
  </si>
  <si>
    <t>Enter the registry ID number in row 2605 of the table for production class 1.</t>
  </si>
  <si>
    <t>Enter the registry ID number in row 2606 of the table for production class 1.</t>
  </si>
  <si>
    <t>Enter the registry ID number in row 2607 of the table for production class 1.</t>
  </si>
  <si>
    <t>Enter the registry ID number in row 2608 of the table for production class 1.</t>
  </si>
  <si>
    <t>Enter the registry ID number in row 2609 of the table for production class 1.</t>
  </si>
  <si>
    <t>Enter the registry ID number in row 2610 of the table for production class 1.</t>
  </si>
  <si>
    <t>Enter the registry ID number in row 2611 of the table for production class 1.</t>
  </si>
  <si>
    <t>Enter the registry ID number in row 2612 of the table for production class 1.</t>
  </si>
  <si>
    <t>Enter the registry ID number in row 2613 of the table for production class 1.</t>
  </si>
  <si>
    <t>Enter the registry ID number in row 2614 of the table for production class 1.</t>
  </si>
  <si>
    <t>Enter the registry ID number in row 2615 of the table for production class 1.</t>
  </si>
  <si>
    <t>Enter the registry ID number in row 2616 of the table for production class 1.</t>
  </si>
  <si>
    <t>Enter the registry ID number in row 2617 of the table for production class 1.</t>
  </si>
  <si>
    <t>Enter the registry ID number in row 2618 of the table for production class 1.</t>
  </si>
  <si>
    <t>Enter the registry ID number in row 2619 of the table for production class 1.</t>
  </si>
  <si>
    <t>Enter the registry ID number in row 2620 of the table for production class 1.</t>
  </si>
  <si>
    <t>Enter the registry ID number in row 2621 of the table for production class 1.</t>
  </si>
  <si>
    <t>Enter the registry ID number in row 2622 of the table for production class 1.</t>
  </si>
  <si>
    <t>Enter the registry ID number in row 2623 of the table for production class 1.</t>
  </si>
  <si>
    <t>Enter the registry ID number in row 2624 of the table for production class 1.</t>
  </si>
  <si>
    <t>Enter the registry ID number in row 2625 of the table for production class 1.</t>
  </si>
  <si>
    <t>Enter the registry ID number in row 2626 of the table for production class 1.</t>
  </si>
  <si>
    <t>Enter the registry ID number in row 2627 of the table for production class 1.</t>
  </si>
  <si>
    <t>Enter the registry ID number in row 2628 of the table for production class 1.</t>
  </si>
  <si>
    <t>Enter the registry ID number in row 2629 of the table for production class 1.</t>
  </si>
  <si>
    <t>Enter the registry ID number in row 2630 of the table for production class 1.</t>
  </si>
  <si>
    <t>Enter the registry ID number in row 2631 of the table for production class 1.</t>
  </si>
  <si>
    <t>Enter the registry ID number in row 2632 of the table for production class 1.</t>
  </si>
  <si>
    <t>Enter the registry ID number in row 2633 of the table for production class 1.</t>
  </si>
  <si>
    <t>Enter the registry ID number in row 2634 of the table for production class 1.</t>
  </si>
  <si>
    <t>Enter the registry ID number in row 2635 of the table for production class 1.</t>
  </si>
  <si>
    <t>Enter the registry ID number in row 2636 of the table for production class 1.</t>
  </si>
  <si>
    <t>Enter the registry ID number in row 2637 of the table for production class 1.</t>
  </si>
  <si>
    <t>Enter the registry ID number in row 2638 of the table for production class 1.</t>
  </si>
  <si>
    <t>Enter the registry ID number in row 2639 of the table for production class 1.</t>
  </si>
  <si>
    <t>Enter the registry ID number in row 2640 of the table for production class 1.</t>
  </si>
  <si>
    <t>Enter the registry ID number in row 2641 of the table for production class 1.</t>
  </si>
  <si>
    <t>Enter the registry ID number in row 2642 of the table for production class 1.</t>
  </si>
  <si>
    <t>Enter the registry ID number in row 2643 of the table for production class 1.</t>
  </si>
  <si>
    <t>Enter the registry ID number in row 2644 of the table for production class 1.</t>
  </si>
  <si>
    <t>Enter the registry ID number in row 2645 of the table for production class 1.</t>
  </si>
  <si>
    <t>Enter the registry ID number in row 2646 of the table for production class 1.</t>
  </si>
  <si>
    <t>Enter the registry ID number in row 2647 of the table for production class 1.</t>
  </si>
  <si>
    <t>Enter the registry ID number in row 2648 of the table for production class 1.</t>
  </si>
  <si>
    <t>Enter the registry ID number in row 2649 of the table for production class 1.</t>
  </si>
  <si>
    <t>Enter the registry ID number in row 2650 of the table for production class 1.</t>
  </si>
  <si>
    <t>Enter the registry ID number in row 2651 of the table for production class 1.</t>
  </si>
  <si>
    <t>Enter the registry ID number in row 2652 of the table for production class 1.</t>
  </si>
  <si>
    <t>Enter the registry ID number in row 2653 of the table for production class 1.</t>
  </si>
  <si>
    <t>Enter the registry ID number in row 2654 of the table for production class 1.</t>
  </si>
  <si>
    <t>Enter the registry ID number in row 2655 of the table for production class 1.</t>
  </si>
  <si>
    <t>Enter the registry ID number in row 2656 of the table for production class 1.</t>
  </si>
  <si>
    <t>Enter the registry ID number in row 2657 of the table for production class 1.</t>
  </si>
  <si>
    <t>Enter the registry ID number in row 2658 of the table for production class 1.</t>
  </si>
  <si>
    <t>Enter the registry ID number in row 2659 of the table for production class 1.</t>
  </si>
  <si>
    <t>Enter the registry ID number in row 2660 of the table for production class 1.</t>
  </si>
  <si>
    <t>Enter the registry ID number in row 2661 of the table for production class 1.</t>
  </si>
  <si>
    <t>Enter the registry ID number in row 2662 of the table for production class 1.</t>
  </si>
  <si>
    <t>Enter the registry ID number in row 2663 of the table for production class 1.</t>
  </si>
  <si>
    <t>Enter the registry ID number in row 2664 of the table for production class 1.</t>
  </si>
  <si>
    <t>Enter the registry ID number in row 2665 of the table for production class 1.</t>
  </si>
  <si>
    <t>Enter the registry ID number in row 2666 of the table for production class 1.</t>
  </si>
  <si>
    <t>Enter the registry ID number in row 2667 of the table for production class 1.</t>
  </si>
  <si>
    <t>Enter the registry ID number in row 2668 of the table for production class 1.</t>
  </si>
  <si>
    <t>Enter the registry ID number in row 2669 of the table for production class 1.</t>
  </si>
  <si>
    <t>Enter the registry ID number in row 2670 of the table for production class 1.</t>
  </si>
  <si>
    <t>Enter the registry ID number in row 2671 of the table for production class 1.</t>
  </si>
  <si>
    <t>Enter the registry ID number in row 2672 of the table for production class 1.</t>
  </si>
  <si>
    <t>Enter the registry ID number in row 2673 of the table for production class 1.</t>
  </si>
  <si>
    <t>Enter the registry ID number in row 2674 of the table for production class 1.</t>
  </si>
  <si>
    <t>Enter the registry ID number in row 2675 of the table for production class 1.</t>
  </si>
  <si>
    <t>Enter the registry ID number in row 2676 of the table for production class 1.</t>
  </si>
  <si>
    <t>Enter the registry ID number in row 2677 of the table for production class 1.</t>
  </si>
  <si>
    <t>Enter the registry ID number in row 2678 of the table for production class 1.</t>
  </si>
  <si>
    <t>Enter the registry ID number in row 2679 of the table for production class 1.</t>
  </si>
  <si>
    <t>Enter the registry ID number in row 2680 of the table for production class 1.</t>
  </si>
  <si>
    <t>Enter the registry ID number in row 2681 of the table for production class 1.</t>
  </si>
  <si>
    <t>Enter the registry ID number in row 2682 of the table for production class 1.</t>
  </si>
  <si>
    <t>Enter the registry ID number in row 2683 of the table for production class 1.</t>
  </si>
  <si>
    <t>Enter the registry ID number in row 2684 of the table for production class 1.</t>
  </si>
  <si>
    <t>Enter the registry ID number in row 2685 of the table for production class 1.</t>
  </si>
  <si>
    <t>Enter the registry ID number in row 2686 of the table for production class 1.</t>
  </si>
  <si>
    <t>Enter the registry ID number in row 2687 of the table for production class 1.</t>
  </si>
  <si>
    <t>Enter the registry ID number in row 2688 of the table for production class 1.</t>
  </si>
  <si>
    <t>Enter the registry ID number in row 2689 of the table for production class 1.</t>
  </si>
  <si>
    <t>Enter the registry ID number in row 2690 of the table for production class 1.</t>
  </si>
  <si>
    <t>Enter the registry ID number in row 2691 of the table for production class 1.</t>
  </si>
  <si>
    <t>Enter the registry ID number in row 2692 of the table for production class 1.</t>
  </si>
  <si>
    <t>Enter the registry ID number in row 2693 of the table for production class 1.</t>
  </si>
  <si>
    <t>Enter the registry ID number in row 2694 of the table for production class 1.</t>
  </si>
  <si>
    <t>Enter the registry ID number in row 2695 of the table for production class 1.</t>
  </si>
  <si>
    <t>Enter the registry ID number in row 2696 of the table for production class 1.</t>
  </si>
  <si>
    <t>Enter the registry ID number in row 2697 of the table for production class 1.</t>
  </si>
  <si>
    <t>Enter the registry ID number in row 2698 of the table for production class 1.</t>
  </si>
  <si>
    <t>Enter the registry ID number in row 2699 of the table for production class 1.</t>
  </si>
  <si>
    <t>Enter the registry ID number in row 2700 of the table for production class 1.</t>
  </si>
  <si>
    <t>Enter the registry ID number in row 2701 of the table for production class 1.</t>
  </si>
  <si>
    <t>Enter the registry ID number in row 2702 of the table for production class 1.</t>
  </si>
  <si>
    <t>Enter the registry ID number in row 2703 of the table for production class 1.</t>
  </si>
  <si>
    <t>Enter the registry ID number in row 2704 of the table for production class 1.</t>
  </si>
  <si>
    <t>Enter the registry ID number in row 2705 of the table for production class 1.</t>
  </si>
  <si>
    <t>Enter the registry ID number in row 2706 of the table for production class 1.</t>
  </si>
  <si>
    <t>Enter the registry ID number in row 2707 of the table for production class 1.</t>
  </si>
  <si>
    <t>Enter the registry ID number in row 2708 of the table for production class 1.</t>
  </si>
  <si>
    <t>Enter the registry ID number in row 2709 of the table for production class 1.</t>
  </si>
  <si>
    <t>Enter the registry ID number in row 2710 of the table for production class 1.</t>
  </si>
  <si>
    <t>Enter the registry ID number in row 2711 of the table for production class 1.</t>
  </si>
  <si>
    <t>Enter the registry ID number in row 2712 of the table for production class 1.</t>
  </si>
  <si>
    <t>Enter the registry ID number in row 2713 of the table for production class 1.</t>
  </si>
  <si>
    <t>Enter the registry ID number in row 2714 of the table for production class 1.</t>
  </si>
  <si>
    <t>Enter the registry ID number in row 2715 of the table for production class 1.</t>
  </si>
  <si>
    <t>Enter the registry ID number in row 2716 of the table for production class 1.</t>
  </si>
  <si>
    <t>Enter the registry ID number in row 2717 of the table for production class 1.</t>
  </si>
  <si>
    <t>Enter the registry ID number in row 2718 of the table for production class 1.</t>
  </si>
  <si>
    <t>Enter the registry ID number in row 2719 of the table for production class 1.</t>
  </si>
  <si>
    <t>Enter the registry ID number in row 2720 of the table for production class 1.</t>
  </si>
  <si>
    <t>Enter the registry ID number in row 2721 of the table for production class 1.</t>
  </si>
  <si>
    <t>Enter the registry ID number in row 2722 of the table for production class 1.</t>
  </si>
  <si>
    <t>Enter the registry ID number in row 2723 of the table for production class 1.</t>
  </si>
  <si>
    <t>Enter the registry ID number in row 2724 of the table for production class 1.</t>
  </si>
  <si>
    <t>Enter the registry ID number in row 2725 of the table for production class 1.</t>
  </si>
  <si>
    <t>Enter the registry ID number in row 2726 of the table for production class 1.</t>
  </si>
  <si>
    <t>Enter the registry ID number in row 2727 of the table for production class 1.</t>
  </si>
  <si>
    <t>Enter the registry ID number in row 2728 of the table for production class 1.</t>
  </si>
  <si>
    <t>Enter the registry ID number in row 2729 of the table for production class 1.</t>
  </si>
  <si>
    <t>Enter the registry ID number in row 2730 of the table for production class 1.</t>
  </si>
  <si>
    <t>Enter the registry ID number in row 2731 of the table for production class 1.</t>
  </si>
  <si>
    <t>Enter the registry ID number in row 2732 of the table for production class 1.</t>
  </si>
  <si>
    <t>Enter the registry ID number in row 2733 of the table for production class 1.</t>
  </si>
  <si>
    <t>Enter the registry ID number in row 2734 of the table for production class 1.</t>
  </si>
  <si>
    <t>Enter the registry ID number in row 2735 of the table for production class 1.</t>
  </si>
  <si>
    <t>Enter the registry ID number in row 2736 of the table for production class 1.</t>
  </si>
  <si>
    <t>Enter the registry ID number in row 2737 of the table for production class 1.</t>
  </si>
  <si>
    <t>Enter the registry ID number in row 2738 of the table for production class 1.</t>
  </si>
  <si>
    <t>Enter the registry ID number in row 2739 of the table for production class 1.</t>
  </si>
  <si>
    <t>Enter the registry ID number in row 2740 of the table for production class 1.</t>
  </si>
  <si>
    <t>Enter the registry ID number in row 2741 of the table for production class 1.</t>
  </si>
  <si>
    <t>Enter the registry ID number in row 2742 of the table for production class 1.</t>
  </si>
  <si>
    <t>Enter the registry ID number in row 2743 of the table for production class 1.</t>
  </si>
  <si>
    <t>Enter the registry ID number in row 2744 of the table for production class 1.</t>
  </si>
  <si>
    <t>Enter the registry ID number in row 2745 of the table for production class 1.</t>
  </si>
  <si>
    <t>Enter the registry ID number in row 2746 of the table for production class 1.</t>
  </si>
  <si>
    <t>Enter the registry ID number in row 2747 of the table for production class 1.</t>
  </si>
  <si>
    <t>Enter the registry ID number in row 2748 of the table for production class 1.</t>
  </si>
  <si>
    <t>Enter the registry ID number in row 2749 of the table for production class 1.</t>
  </si>
  <si>
    <t>Enter the registry ID number in row 2750 of the table for production class 1.</t>
  </si>
  <si>
    <t>Enter the registry ID number in row 2751 of the table for production class 1.</t>
  </si>
  <si>
    <t>Enter the registry ID number in row 2752 of the table for production class 1.</t>
  </si>
  <si>
    <t>Enter the registry ID number in row 2753 of the table for production class 1.</t>
  </si>
  <si>
    <t>Enter the registry ID number in row 2754 of the table for production class 1.</t>
  </si>
  <si>
    <t>Enter the registry ID number in row 2755 of the table for production class 1.</t>
  </si>
  <si>
    <t>Enter the registry ID number in row 2756 of the table for production class 1.</t>
  </si>
  <si>
    <t>Enter the registry ID number in row 2757 of the table for production class 1.</t>
  </si>
  <si>
    <t>Enter the registry ID number in row 2758 of the table for production class 1.</t>
  </si>
  <si>
    <t>Enter the registry ID number in row 2759 of the table for production class 1.</t>
  </si>
  <si>
    <t>Enter the registry ID number in row 2760 of the table for production class 1.</t>
  </si>
  <si>
    <t>Enter the registry ID number in row 2761 of the table for production class 1.</t>
  </si>
  <si>
    <t>Enter the registry ID number in row 2762 of the table for production class 1.</t>
  </si>
  <si>
    <t>Enter the registry ID number in row 2763 of the table for production class 1.</t>
  </si>
  <si>
    <t>Enter the registry ID number in row 2764 of the table for production class 1.</t>
  </si>
  <si>
    <t>Enter the registry ID number in row 2765 of the table for production class 1.</t>
  </si>
  <si>
    <t>Enter the registry ID number in row 2766 of the table for production class 1.</t>
  </si>
  <si>
    <t>Enter the registry ID number in row 2767 of the table for production class 1.</t>
  </si>
  <si>
    <t>Enter the registry ID number in row 2768 of the table for production class 1.</t>
  </si>
  <si>
    <t>Enter the registry ID number in row 2769 of the table for production class 1.</t>
  </si>
  <si>
    <t>Enter the registry ID number in row 2770 of the table for production class 1.</t>
  </si>
  <si>
    <t>Enter the registry ID number in row 2771 of the table for production class 1.</t>
  </si>
  <si>
    <t>Enter the registry ID number in row 2772 of the table for production class 1.</t>
  </si>
  <si>
    <t>Enter the registry ID number in row 2773 of the table for production class 1.</t>
  </si>
  <si>
    <t>Enter the registry ID number in row 2774 of the table for production class 1.</t>
  </si>
  <si>
    <t>Enter the registry ID number in row 2775 of the table for production class 1.</t>
  </si>
  <si>
    <t>Enter the registry ID number in row 2776 of the table for production class 1.</t>
  </si>
  <si>
    <t>Enter the registry ID number in row 2777 of the table for production class 1.</t>
  </si>
  <si>
    <t>Enter the registry ID number in row 2778 of the table for production class 1.</t>
  </si>
  <si>
    <t>Enter the registry ID number in row 2779 of the table for production class 1.</t>
  </si>
  <si>
    <t>Enter the registry ID number in row 2780 of the table for production class 1.</t>
  </si>
  <si>
    <t>Enter the registry ID number in row 2781 of the table for production class 1.</t>
  </si>
  <si>
    <t>Enter the registry ID number in row 2782 of the table for production class 1.</t>
  </si>
  <si>
    <t>Enter the registry ID number in row 2783 of the table for production class 1.</t>
  </si>
  <si>
    <t>Enter the registry ID number in row 2784 of the table for production class 1.</t>
  </si>
  <si>
    <t>Enter the registry ID number in row 2785 of the table for production class 1.</t>
  </si>
  <si>
    <t>Enter the registry ID number in row 2786 of the table for production class 1.</t>
  </si>
  <si>
    <t>Enter the registry ID number in row 2787 of the table for production class 1.</t>
  </si>
  <si>
    <t>Enter the registry ID number in row 2788 of the table for production class 1.</t>
  </si>
  <si>
    <t>Enter the registry ID number in row 2789 of the table for production class 1.</t>
  </si>
  <si>
    <t>Enter the registry ID number in row 2790 of the table for production class 1.</t>
  </si>
  <si>
    <t>Enter the registry ID number in row 2791 of the table for production class 1.</t>
  </si>
  <si>
    <t>Enter the registry ID number in row 2792 of the table for production class 1.</t>
  </si>
  <si>
    <t>Enter the registry ID number in row 2793 of the table for production class 1.</t>
  </si>
  <si>
    <t>Enter the registry ID number in row 2794 of the table for production class 1.</t>
  </si>
  <si>
    <t>Enter the registry ID number in row 2795 of the table for production class 1.</t>
  </si>
  <si>
    <t>Enter the registry ID number in row 2796 of the table for production class 1.</t>
  </si>
  <si>
    <t>Enter the registry ID number in row 2797 of the table for production class 1.</t>
  </si>
  <si>
    <t>Enter the registry ID number in row 2798 of the table for production class 1.</t>
  </si>
  <si>
    <t>Enter the registry ID number in row 2799 of the table for production class 1.</t>
  </si>
  <si>
    <t>Enter the registry ID number in row 2800 of the table for production class 1.</t>
  </si>
  <si>
    <t>Enter the registry ID number in row 2801 of the table for production class 1.</t>
  </si>
  <si>
    <t>Enter the registry ID number in row 2802 of the table for production class 1.</t>
  </si>
  <si>
    <t>Enter the registry ID number in row 2803 of the table for production class 1.</t>
  </si>
  <si>
    <t>Enter the registry ID number in row 2804 of the table for production class 1.</t>
  </si>
  <si>
    <t>Enter the registry ID number in row 2805 of the table for production class 1.</t>
  </si>
  <si>
    <t>Enter the registry ID number in row 2806 of the table for production class 1.</t>
  </si>
  <si>
    <t>Enter the registry ID number in row 2807 of the table for production class 1.</t>
  </si>
  <si>
    <t>Enter the registry ID number in row 2808 of the table for production class 1.</t>
  </si>
  <si>
    <t>Enter the registry ID number in row 2809 of the table for production class 1.</t>
  </si>
  <si>
    <t>Enter the registry ID number in row 2810 of the table for production class 1.</t>
  </si>
  <si>
    <t>Enter the registry ID number in row 2811 of the table for production class 1.</t>
  </si>
  <si>
    <t>Enter the registry ID number in row 2812 of the table for production class 1.</t>
  </si>
  <si>
    <t>Enter the registry ID number in row 2813 of the table for production class 1.</t>
  </si>
  <si>
    <t>Enter the registry ID number in row 2814 of the table for production class 1.</t>
  </si>
  <si>
    <t>Enter the registry ID number in row 2815 of the table for production class 1.</t>
  </si>
  <si>
    <t>Enter the registry ID number in row 2816 of the table for production class 1.</t>
  </si>
  <si>
    <t>Enter the registry ID number in row 2817 of the table for production class 1.</t>
  </si>
  <si>
    <t>Enter the registry ID number in row 2818 of the table for production class 1.</t>
  </si>
  <si>
    <t>Enter the registry ID number in row 2819 of the table for production class 1.</t>
  </si>
  <si>
    <t>Enter the registry ID number in row 2820 of the table for production class 1.</t>
  </si>
  <si>
    <t>Enter the registry ID number in row 2821 of the table for production class 1.</t>
  </si>
  <si>
    <t>Enter the registry ID number in row 2822 of the table for production class 1.</t>
  </si>
  <si>
    <t>Enter the registry ID number in row 2823 of the table for production class 1.</t>
  </si>
  <si>
    <t>Enter the registry ID number in row 2824 of the table for production class 1.</t>
  </si>
  <si>
    <t>Enter the registry ID number in row 2825 of the table for production class 1.</t>
  </si>
  <si>
    <t>Enter the registry ID number in row 2826 of the table for production class 1.</t>
  </si>
  <si>
    <t>Enter the registry ID number in row 2827 of the table for production class 1.</t>
  </si>
  <si>
    <t>Enter the registry ID number in row 2828 of the table for production class 1.</t>
  </si>
  <si>
    <t>Enter the registry ID number in row 2829 of the table for production class 1.</t>
  </si>
  <si>
    <t>Enter the registry ID number in row 2830 of the table for production class 1.</t>
  </si>
  <si>
    <t>Enter the registry ID number in row 2831 of the table for production class 1.</t>
  </si>
  <si>
    <t>Enter the registry ID number in row 2832 of the table for production class 1.</t>
  </si>
  <si>
    <t>Enter the registry ID number in row 2833 of the table for production class 1.</t>
  </si>
  <si>
    <t>Enter the registry ID number in row 2834 of the table for production class 1.</t>
  </si>
  <si>
    <t>Enter the registry ID number in row 2835 of the table for production class 1.</t>
  </si>
  <si>
    <t>Enter the registry ID number in row 2836 of the table for production class 1.</t>
  </si>
  <si>
    <t>Enter the registry ID number in row 2837 of the table for production class 1.</t>
  </si>
  <si>
    <t>Enter the registry ID number in row 2838 of the table for production class 1.</t>
  </si>
  <si>
    <t>Enter the registry ID number in row 2839 of the table for production class 1.</t>
  </si>
  <si>
    <t>Enter the registry ID number in row 2840 of the table for production class 1.</t>
  </si>
  <si>
    <t>Enter the registry ID number in row 2841 of the table for production class 1.</t>
  </si>
  <si>
    <t>Enter the registry ID number in row 2842 of the table for production class 1.</t>
  </si>
  <si>
    <t>Enter the registry ID number in row 2843 of the table for production class 1.</t>
  </si>
  <si>
    <t>Enter the registry ID number in row 2844 of the table for production class 1.</t>
  </si>
  <si>
    <t>Enter the registry ID number in row 2845 of the table for production class 1.</t>
  </si>
  <si>
    <t>Enter the registry ID number in row 2846 of the table for production class 1.</t>
  </si>
  <si>
    <t>Enter the registry ID number in row 2847 of the table for production class 1.</t>
  </si>
  <si>
    <t>Enter the registry ID number in row 2848 of the table for production class 1.</t>
  </si>
  <si>
    <t>Enter the registry ID number in row 2849 of the table for production class 1.</t>
  </si>
  <si>
    <t>Enter the registry ID number in row 2850 of the table for production class 1.</t>
  </si>
  <si>
    <t>Enter the registry ID number in row 2851 of the table for production class 1.</t>
  </si>
  <si>
    <t>Enter the registry ID number in row 2852 of the table for production class 1.</t>
  </si>
  <si>
    <t>Enter the registry ID number in row 2853 of the table for production class 1.</t>
  </si>
  <si>
    <t>Enter the registry ID number in row 2854 of the table for production class 1.</t>
  </si>
  <si>
    <t>Enter the registry ID number in row 2855 of the table for production class 1.</t>
  </si>
  <si>
    <t>Enter the registry ID number in row 2856 of the table for production class 1.</t>
  </si>
  <si>
    <t>Enter the registry ID number in row 2857 of the table for production class 1.</t>
  </si>
  <si>
    <t>Enter the registry ID number in row 2858 of the table for production class 1.</t>
  </si>
  <si>
    <t>Enter the registry ID number in row 2859 of the table for production class 1.</t>
  </si>
  <si>
    <t>Enter the registry ID number in row 2860 of the table for production class 1.</t>
  </si>
  <si>
    <t>Enter the registry ID number in row 2861 of the table for production class 1.</t>
  </si>
  <si>
    <t>Enter the registry ID number in row 2862 of the table for production class 1.</t>
  </si>
  <si>
    <t>Enter the registry ID number in row 2863 of the table for production class 1.</t>
  </si>
  <si>
    <t>Enter the registry ID number in row 2864 of the table for production class 1.</t>
  </si>
  <si>
    <t>Enter the registry ID number in row 2865 of the table for production class 1.</t>
  </si>
  <si>
    <t>Enter the registry ID number in row 2866 of the table for production class 1.</t>
  </si>
  <si>
    <t>Enter the registry ID number in row 2867 of the table for production class 1.</t>
  </si>
  <si>
    <t>Enter the registry ID number in row 2868 of the table for production class 1.</t>
  </si>
  <si>
    <t>Enter the registry ID number in row 2869 of the table for production class 1.</t>
  </si>
  <si>
    <t>Enter the registry ID number in row 2870 of the table for production class 1.</t>
  </si>
  <si>
    <t>Enter the registry ID number in row 2871 of the table for production class 1.</t>
  </si>
  <si>
    <t>Enter the registry ID number in row 2872 of the table for production class 1.</t>
  </si>
  <si>
    <t>Enter the registry ID number in row 2873 of the table for production class 1.</t>
  </si>
  <si>
    <t>Enter the registry ID number in row 2874 of the table for production class 1.</t>
  </si>
  <si>
    <t>Enter the registry ID number in row 2875 of the table for production class 1.</t>
  </si>
  <si>
    <t>Enter the registry ID number in row 2876 of the table for production class 1.</t>
  </si>
  <si>
    <t>Enter the registry ID number in row 2877 of the table for production class 1.</t>
  </si>
  <si>
    <t>Enter the registry ID number in row 2878 of the table for production class 1.</t>
  </si>
  <si>
    <t>Enter the registry ID number in row 2879 of the table for production class 1.</t>
  </si>
  <si>
    <t>Enter the registry ID number in row 2880 of the table for production class 1.</t>
  </si>
  <si>
    <t>Enter the registry ID number in row 2881 of the table for production class 1.</t>
  </si>
  <si>
    <t>Enter the registry ID number in row 2882 of the table for production class 1.</t>
  </si>
  <si>
    <t>Enter the registry ID number in row 2883 of the table for production class 1.</t>
  </si>
  <si>
    <t>Enter the registry ID number in row 2884 of the table for production class 1.</t>
  </si>
  <si>
    <t>Enter the registry ID number in row 2885 of the table for production class 1.</t>
  </si>
  <si>
    <t>Enter the registry ID number in row 2886 of the table for production class 1.</t>
  </si>
  <si>
    <t>Enter the registry ID number in row 2887 of the table for production class 1.</t>
  </si>
  <si>
    <t>Enter the registry ID number in row 2888 of the table for production class 1.</t>
  </si>
  <si>
    <t>Enter the registry ID number in row 2889 of the table for production class 1.</t>
  </si>
  <si>
    <t>Enter the registry ID number in row 2890 of the table for production class 1.</t>
  </si>
  <si>
    <t>Enter the registry ID number in row 2891 of the table for production class 1.</t>
  </si>
  <si>
    <t>Enter the registry ID number in row 2892 of the table for production class 1.</t>
  </si>
  <si>
    <t>Enter the registry ID number in row 2893 of the table for production class 1.</t>
  </si>
  <si>
    <t>Enter the registry ID number in row 2894 of the table for production class 1.</t>
  </si>
  <si>
    <t>Enter the registry ID number in row 2895 of the table for production class 1.</t>
  </si>
  <si>
    <t>Enter the registry ID number in row 2896 of the table for production class 1.</t>
  </si>
  <si>
    <t>Enter the registry ID number in row 2897 of the table for production class 1.</t>
  </si>
  <si>
    <t>Enter the registry ID number in row 2898 of the table for production class 1.</t>
  </si>
  <si>
    <t>Enter the registry ID number in row 2899 of the table for production class 1.</t>
  </si>
  <si>
    <t>Enter the registry ID number in row 2900 of the table for production class 1.</t>
  </si>
  <si>
    <t>Enter the registry ID number in row 2901 of the table for production class 1.</t>
  </si>
  <si>
    <t>Enter the registry ID number in row 2902 of the table for production class 1.</t>
  </si>
  <si>
    <t>Enter the registry ID number in row 2903 of the table for production class 1.</t>
  </si>
  <si>
    <t>Enter the registry ID number in row 2904 of the table for production class 1.</t>
  </si>
  <si>
    <t>Enter the registry ID number in row 2905 of the table for production class 1.</t>
  </si>
  <si>
    <t>Enter the registry ID number in row 2906 of the table for production class 1.</t>
  </si>
  <si>
    <t>Enter the registry ID number in row 2907 of the table for production class 1.</t>
  </si>
  <si>
    <t>Enter the registry ID number in row 2908 of the table for production class 1.</t>
  </si>
  <si>
    <t>Enter the registry ID number in row 2909 of the table for production class 1.</t>
  </si>
  <si>
    <t>Enter the registry ID number in row 2910 of the table for production class 1.</t>
  </si>
  <si>
    <t>Enter the registry ID number in row 2911 of the table for production class 1.</t>
  </si>
  <si>
    <t>Enter the registry ID number in row 2912 of the table for production class 1.</t>
  </si>
  <si>
    <t>Enter the registry ID number in row 2913 of the table for production class 1.</t>
  </si>
  <si>
    <t>Enter the registry ID number in row 2914 of the table for production class 1.</t>
  </si>
  <si>
    <t>Enter the registry ID number in row 2915 of the table for production class 1.</t>
  </si>
  <si>
    <t>Enter the registry ID number in row 2916 of the table for production class 1.</t>
  </si>
  <si>
    <t>Enter the registry ID number in row 2917 of the table for production class 1.</t>
  </si>
  <si>
    <t>Enter the registry ID number in row 2918 of the table for production class 1.</t>
  </si>
  <si>
    <t>Enter the registry ID number in row 2919 of the table for production class 1.</t>
  </si>
  <si>
    <t>Enter the registry ID number in row 2920 of the table for production class 1.</t>
  </si>
  <si>
    <t>Enter the registry ID number in row 2921 of the table for production class 1.</t>
  </si>
  <si>
    <t>Enter the registry ID number in row 2922 of the table for production class 1.</t>
  </si>
  <si>
    <t>Enter the registry ID number in row 2923 of the table for production class 1.</t>
  </si>
  <si>
    <t>Enter the registry ID number in row 2924 of the table for production class 1.</t>
  </si>
  <si>
    <t>Enter the registry ID number in row 2925 of the table for production class 1.</t>
  </si>
  <si>
    <t>Enter the registry ID number in row 2926 of the table for production class 1.</t>
  </si>
  <si>
    <t>Enter the registry ID number in row 2927 of the table for production class 1.</t>
  </si>
  <si>
    <t>Enter the registry ID number in row 2928 of the table for production class 1.</t>
  </si>
  <si>
    <t>Enter the registry ID number in row 2929 of the table for production class 1.</t>
  </si>
  <si>
    <t>Enter the registry ID number in row 2930 of the table for production class 1.</t>
  </si>
  <si>
    <t>Enter the registry ID number in row 2931 of the table for production class 1.</t>
  </si>
  <si>
    <t>Enter the registry ID number in row 2932 of the table for production class 1.</t>
  </si>
  <si>
    <t>Enter the registry ID number in row 2933 of the table for production class 1.</t>
  </si>
  <si>
    <t>Enter the registry ID number in row 2934 of the table for production class 1.</t>
  </si>
  <si>
    <t>Enter the registry ID number in row 2935 of the table for production class 1.</t>
  </si>
  <si>
    <t>Enter the registry ID number in row 2936 of the table for production class 1.</t>
  </si>
  <si>
    <t>Enter the registry ID number in row 2937 of the table for production class 1.</t>
  </si>
  <si>
    <t>Enter the registry ID number in row 2938 of the table for production class 1.</t>
  </si>
  <si>
    <t>Enter the registry ID number in row 2939 of the table for production class 1.</t>
  </si>
  <si>
    <t>Enter the registry ID number in row 2940 of the table for production class 1.</t>
  </si>
  <si>
    <t>Enter the registry ID number in row 2941 of the table for production class 1.</t>
  </si>
  <si>
    <t>Enter the registry ID number in row 2942 of the table for production class 1.</t>
  </si>
  <si>
    <t>Enter the registry ID number in row 2943 of the table for production class 1.</t>
  </si>
  <si>
    <t>Enter the registry ID number in row 2944 of the table for production class 1.</t>
  </si>
  <si>
    <t>Enter the registry ID number in row 2945 of the table for production class 1.</t>
  </si>
  <si>
    <t>Enter the registry ID number in row 2946 of the table for production class 1.</t>
  </si>
  <si>
    <t>Enter the registry ID number in row 2947 of the table for production class 1.</t>
  </si>
  <si>
    <t>Enter the registry ID number in row 2948 of the table for production class 1.</t>
  </si>
  <si>
    <t>Enter the registry ID number in row 2949 of the table for production class 1.</t>
  </si>
  <si>
    <t>Enter the registry ID number in row 2950 of the table for production class 1.</t>
  </si>
  <si>
    <t>Enter the registry ID number in row 2951 of the table for production class 1.</t>
  </si>
  <si>
    <t>Enter the registry ID number in row 2952 of the table for production class 1.</t>
  </si>
  <si>
    <t>Enter the registry ID number in row 2953 of the table for production class 1.</t>
  </si>
  <si>
    <t>Enter the registry ID number in row 2954 of the table for production class 1.</t>
  </si>
  <si>
    <t>Enter the registry ID number in row 2955 of the table for production class 1.</t>
  </si>
  <si>
    <t>Enter the registry ID number in row 2956 of the table for production class 1.</t>
  </si>
  <si>
    <t>Enter the registry ID number in row 2957 of the table for production class 1.</t>
  </si>
  <si>
    <t>Enter the registry ID number in row 2958 of the table for production class 1.</t>
  </si>
  <si>
    <t>Enter the registry ID number in row 2959 of the table for production class 1.</t>
  </si>
  <si>
    <t>Enter the registry ID number in row 2960 of the table for production class 1.</t>
  </si>
  <si>
    <t>Enter the registry ID number in row 2961 of the table for production class 1.</t>
  </si>
  <si>
    <t>Enter the registry ID number in row 2962 of the table for production class 1.</t>
  </si>
  <si>
    <t>Enter the registry ID number in row 2963 of the table for production class 1.</t>
  </si>
  <si>
    <t>Enter the registry ID number in row 2964 of the table for production class 1.</t>
  </si>
  <si>
    <t>Enter the registry ID number in row 2965 of the table for production class 1.</t>
  </si>
  <si>
    <t>Enter the registry ID number in row 2966 of the table for production class 1.</t>
  </si>
  <si>
    <t>Enter the registry ID number in row 2967 of the table for production class 1.</t>
  </si>
  <si>
    <t>Enter the registry ID number in row 2968 of the table for production class 1.</t>
  </si>
  <si>
    <t>Enter the registry ID number in row 2969 of the table for production class 1.</t>
  </si>
  <si>
    <t>Enter the registry ID number in row 2970 of the table for production class 1.</t>
  </si>
  <si>
    <t>Enter the registry ID number in row 2971 of the table for production class 1.</t>
  </si>
  <si>
    <t>Enter the registry ID number in row 2972 of the table for production class 1.</t>
  </si>
  <si>
    <t>Enter the registry ID number in row 2973 of the table for production class 1.</t>
  </si>
  <si>
    <t>Enter the registry ID number in row 2974 of the table for production class 1.</t>
  </si>
  <si>
    <t>Enter the registry ID number in row 2975 of the table for production class 1.</t>
  </si>
  <si>
    <t>Enter the registry ID number in row 2976 of the table for production class 1.</t>
  </si>
  <si>
    <t>Enter the registry ID number in row 2977 of the table for production class 1.</t>
  </si>
  <si>
    <t>Enter the registry ID number in row 2978 of the table for production class 1.</t>
  </si>
  <si>
    <t>Enter the registry ID number in row 2979 of the table for production class 1.</t>
  </si>
  <si>
    <t>Enter the registry ID number in row 2980 of the table for production class 1.</t>
  </si>
  <si>
    <t>Enter the registry ID number in row 2981 of the table for production class 1.</t>
  </si>
  <si>
    <t>Enter the registry ID number in row 2982 of the table for production class 1.</t>
  </si>
  <si>
    <t>Enter the registry ID number in row 2983 of the table for production class 1.</t>
  </si>
  <si>
    <t>Enter the registry ID number in row 2984 of the table for production class 1.</t>
  </si>
  <si>
    <t>Enter the registry ID number in row 2985 of the table for production class 1.</t>
  </si>
  <si>
    <t>Enter the registry ID number in row 2986 of the table for production class 1.</t>
  </si>
  <si>
    <t>Enter the registry ID number in row 2987 of the table for production class 1.</t>
  </si>
  <si>
    <t>Enter the registry ID number in row 2988 of the table for production class 1.</t>
  </si>
  <si>
    <t>Enter the registry ID number in row 2989 of the table for production class 1.</t>
  </si>
  <si>
    <t>Enter the registry ID number in row 2990 of the table for production class 1.</t>
  </si>
  <si>
    <t>Enter the registry ID number in row 2991 of the table for production class 1.</t>
  </si>
  <si>
    <t>Enter the registry ID number in row 2992 of the table for production class 1.</t>
  </si>
  <si>
    <t>Enter the registry ID number in row 2993 of the table for production class 1.</t>
  </si>
  <si>
    <t>Enter the registry ID number in row 2994 of the table for production class 1.</t>
  </si>
  <si>
    <t>Enter the registry ID number in row 2995 of the table for production class 1.</t>
  </si>
  <si>
    <t>Enter the registry ID number in row 2996 of the table for production class 1.</t>
  </si>
  <si>
    <t>Enter the registry ID number in row 2997 of the table for production class 1.</t>
  </si>
  <si>
    <t>Enter the registry ID number in row 2998 of the table for production class 1.</t>
  </si>
  <si>
    <t>Enter the registry ID number in row 2999 of the table for production class 1.</t>
  </si>
  <si>
    <t>Enter the registry ID number in row 3000 of the table for production class 1.</t>
  </si>
  <si>
    <t>Enter the registry ID number in row 3001 of the table for production class 1.</t>
  </si>
  <si>
    <t>Enter the registry ID number in row 3002 of the table for production class 1.</t>
  </si>
  <si>
    <t>Enter the registry ID number in row 3003 of the table for production class 1.</t>
  </si>
  <si>
    <t>Enter the registry ID number in row 3004 of the table for production class 1.</t>
  </si>
  <si>
    <t>Enter the registry ID number in row 3005 of the table for production class 1.</t>
  </si>
  <si>
    <t>Enter the registry ID number in row 3006 of the table for production class 1.</t>
  </si>
  <si>
    <t>Enter the registry ID number in row 3007 of the table for production class 1.</t>
  </si>
  <si>
    <t>Enter the registry ID number in row 3008 of the table for production class 1.</t>
  </si>
  <si>
    <t>Enter the registry ID number in row 3009 of the table for production class 1.</t>
  </si>
  <si>
    <t>Enter the registry ID number in row 3010 of the table for production class 1.</t>
  </si>
  <si>
    <t>Enter the registry ID number in row 3011 of the table for production class 1.</t>
  </si>
  <si>
    <t>Enter the registry ID number in row 3012 of the table for production class 1.</t>
  </si>
  <si>
    <t>Enter the registry ID number in row 3013 of the table for production class 1.</t>
  </si>
  <si>
    <t>Enter the registry ID number in row 3014 of the table for production class 1.</t>
  </si>
  <si>
    <t>Enter the registry ID number in row 3015 of the table for production class 1.</t>
  </si>
  <si>
    <t>Enter the registry ID number in row 3016 of the table for production class 1.</t>
  </si>
  <si>
    <t>Enter the registry ID number in row 3017 of the table for production class 1.</t>
  </si>
  <si>
    <t>Enter the registry ID number in row 3018 of the table for production class 1.</t>
  </si>
  <si>
    <t>Enter the registry ID number in row 3019 of the table for production class 1.</t>
  </si>
  <si>
    <t>Enter the registry ID number in row 3020 of the table for production class 1.</t>
  </si>
  <si>
    <t>Enter the registry ID number in row 3021 of the table for production class 1.</t>
  </si>
  <si>
    <t>Enter the registry ID number in row 3022 of the table for production class 1.</t>
  </si>
  <si>
    <t>Enter the registry ID number in row 3023 of the table for production class 1.</t>
  </si>
  <si>
    <t>Enter the registry ID number in row 3024 of the table for production class 1.</t>
  </si>
  <si>
    <t>Enter the registry ID number in row 3025 of the table for production class 1.</t>
  </si>
  <si>
    <t>Enter the registry ID number in row 3026 of the table for production class 1.</t>
  </si>
  <si>
    <t>Enter the registry ID number in row 3027 of the table for production class 1.</t>
  </si>
  <si>
    <t>Enter the registry ID number in row 3028 of the table for production class 1.</t>
  </si>
  <si>
    <t>Enter the registry ID number in row 3029 of the table for production class 1.</t>
  </si>
  <si>
    <t>Enter the registry ID number in row 3030 of the table for production class 1.</t>
  </si>
  <si>
    <t>Enter the registry ID number in row 3031 of the table for production class 1.</t>
  </si>
  <si>
    <t>Enter the registry ID number in row 3032 of the table for production class 1.</t>
  </si>
  <si>
    <t>Enter the registry ID number in row 3033 of the table for production class 1.</t>
  </si>
  <si>
    <t>Enter the registry ID number in row 3034 of the table for production class 1.</t>
  </si>
  <si>
    <t>Enter the registry ID number in row 3035 of the table for production class 1.</t>
  </si>
  <si>
    <t>Enter the registry ID number in row 3036 of the table for production class 1.</t>
  </si>
  <si>
    <t>Enter the registry ID number in row 3037 of the table for production class 1.</t>
  </si>
  <si>
    <t>Enter the registry ID number in row 3038 of the table for production class 1.</t>
  </si>
  <si>
    <t>Enter the registry ID number in row 3039 of the table for production class 1.</t>
  </si>
  <si>
    <t>Enter the registry ID number in row 3040 of the table for production class 1.</t>
  </si>
  <si>
    <t>Enter the registry ID number in row 3041 of the table for production class 1.</t>
  </si>
  <si>
    <t>Enter the registry ID number in row 3042 of the table for production class 1.</t>
  </si>
  <si>
    <t>Enter the registry ID number in row 3043 of the table for production class 1.</t>
  </si>
  <si>
    <t>Enter the registry ID number in row 3044 of the table for production class 1.</t>
  </si>
  <si>
    <t>Enter the registry ID number in row 3045 of the table for production class 1.</t>
  </si>
  <si>
    <t>Enter the registry ID number in row 3046 of the table for production class 1.</t>
  </si>
  <si>
    <t>Enter the registry ID number in row 3047 of the table for production class 1.</t>
  </si>
  <si>
    <t>Enter the registry ID number in row 3048 of the table for production class 1.</t>
  </si>
  <si>
    <t>Enter the registry ID number in row 3049 of the table for production class 1.</t>
  </si>
  <si>
    <t>Enter the registry ID number in row 3050 of the table for production class 1.</t>
  </si>
  <si>
    <t>Enter the registry ID number in row 3051 of the table for production class 1.</t>
  </si>
  <si>
    <t>Enter the registry ID number in row 3052 of the table for production class 1.</t>
  </si>
  <si>
    <t>Enter the registry ID number in row 3053 of the table for production class 1.</t>
  </si>
  <si>
    <t>Enter the registry ID number in row 3054 of the table for production class 1.</t>
  </si>
  <si>
    <t>Enter the registry ID number in row 3055 of the table for production class 1.</t>
  </si>
  <si>
    <t>Enter the registry ID number in row 3056 of the table for production class 1.</t>
  </si>
  <si>
    <t>Enter the registry ID number in row 3057 of the table for production class 1.</t>
  </si>
  <si>
    <t>Enter the registry ID number in row 3058 of the table for production class 1.</t>
  </si>
  <si>
    <t>Enter the registry ID number in row 3059 of the table for production class 1.</t>
  </si>
  <si>
    <t>Enter the registry ID number in row 3060 of the table for production class 1.</t>
  </si>
  <si>
    <t>Enter the registry ID number in row 3061 of the table for production class 1.</t>
  </si>
  <si>
    <t>Enter the registry ID number in row 3062 of the table for production class 1.</t>
  </si>
  <si>
    <t>Enter the registry ID number in row 3063 of the table for production class 1.</t>
  </si>
  <si>
    <t>Enter the registry ID number in row 3064 of the table for production class 1.</t>
  </si>
  <si>
    <t>Enter the registry ID number in row 3065 of the table for production class 1.</t>
  </si>
  <si>
    <t>Enter the registry ID number in row 3066 of the table for production class 1.</t>
  </si>
  <si>
    <t>Enter the registry ID number in row 3067 of the table for production class 1.</t>
  </si>
  <si>
    <t>Enter the registry ID number in row 3068 of the table for production class 1.</t>
  </si>
  <si>
    <t>Enter the registry ID number in row 3069 of the table for production class 1.</t>
  </si>
  <si>
    <t>Enter the registry ID number in row 3070 of the table for production class 1.</t>
  </si>
  <si>
    <t>Enter the registry ID number in row 3071 of the table for production class 1.</t>
  </si>
  <si>
    <t>Enter the registry ID number in row 3072 of the table for production class 1.</t>
  </si>
  <si>
    <t>Enter the registry ID number in row 3073 of the table for production class 1.</t>
  </si>
  <si>
    <t>Enter the registry ID number in row 3074 of the table for production class 1.</t>
  </si>
  <si>
    <t>Enter the registry ID number in row 3075 of the table for production class 1.</t>
  </si>
  <si>
    <t>Enter the registry ID number in row 3076 of the table for production class 1.</t>
  </si>
  <si>
    <t>Enter the registry ID number in row 3077 of the table for production class 1.</t>
  </si>
  <si>
    <t>Enter the registry ID number in row 3078 of the table for production class 1.</t>
  </si>
  <si>
    <t>Enter the registry ID number in row 3079 of the table for production class 1.</t>
  </si>
  <si>
    <t>Enter the registry ID number in row 3080 of the table for production class 1.</t>
  </si>
  <si>
    <t>Enter the registry ID number in row 3081 of the table for production class 1.</t>
  </si>
  <si>
    <t>Enter the registry ID number in row 3082 of the table for production class 1.</t>
  </si>
  <si>
    <t>Enter the registry ID number in row 3083 of the table for production class 1.</t>
  </si>
  <si>
    <t>Enter the registry ID number in row 3084 of the table for production class 1.</t>
  </si>
  <si>
    <t>Enter the registry ID number in row 3085 of the table for production class 1.</t>
  </si>
  <si>
    <t>Enter the registry ID number in row 3086 of the table for production class 1.</t>
  </si>
  <si>
    <t>Enter the registry ID number in row 3087 of the table for production class 1.</t>
  </si>
  <si>
    <t>Enter the registry ID number in row 3088 of the table for production class 1.</t>
  </si>
  <si>
    <t>Enter the registry ID number in row 3089 of the table for production class 1.</t>
  </si>
  <si>
    <t>Enter the registry ID number in row 3090 of the table for production class 1.</t>
  </si>
  <si>
    <t>Enter the registry ID number in row 3091 of the table for production class 1.</t>
  </si>
  <si>
    <t>Enter the registry ID number in row 3092 of the table for production class 1.</t>
  </si>
  <si>
    <t>Enter the registry ID number in row 3093 of the table for production class 1.</t>
  </si>
  <si>
    <t>Enter the registry ID number in row 3094 of the table for production class 1.</t>
  </si>
  <si>
    <t>Enter the registry ID number in row 3095 of the table for production class 1.</t>
  </si>
  <si>
    <t>Enter the registry ID number in row 3096 of the table for production class 1.</t>
  </si>
  <si>
    <t>Enter the registry ID number in row 3097 of the table for production class 1.</t>
  </si>
  <si>
    <t>Enter the registry ID number in row 3098 of the table for production class 1.</t>
  </si>
  <si>
    <t>Enter the registry ID number in row 3099 of the table for production class 1.</t>
  </si>
  <si>
    <t>Enter the registry ID number in row 3100 of the table for production class 1.</t>
  </si>
  <si>
    <t>Enter the registry ID number in row 3101 of the table for production class 1.</t>
  </si>
  <si>
    <t>Enter the registry ID number in row 3102 of the table for production class 1.</t>
  </si>
  <si>
    <t>Enter the registry ID number in row 3103 of the table for production class 1.</t>
  </si>
  <si>
    <t>Enter the registry ID number in row 3104 of the table for production class 1.</t>
  </si>
  <si>
    <t>Enter the registry ID number in row 3105 of the table for production class 1.</t>
  </si>
  <si>
    <t>Enter the registry ID number in row 3106 of the table for production class 1.</t>
  </si>
  <si>
    <t>Enter the registry ID number in row 3107 of the table for production class 1.</t>
  </si>
  <si>
    <t>Enter the registry ID number in row 3108 of the table for production class 1.</t>
  </si>
  <si>
    <t>Enter the registry ID number in row 3109 of the table for production class 1.</t>
  </si>
  <si>
    <t>Enter the registry ID number in row 3110 of the table for production class 1.</t>
  </si>
  <si>
    <t>Enter the registry ID number in row 3111 of the table for production class 1.</t>
  </si>
  <si>
    <t>Enter the registry ID number in row 3112 of the table for production class 1.</t>
  </si>
  <si>
    <t>Enter the registry ID number in row 3113 of the table for production class 1.</t>
  </si>
  <si>
    <t>Enter the registry ID number in row 3114 of the table for production class 1.</t>
  </si>
  <si>
    <t>Enter the registry ID number in row 3115 of the table for production class 1.</t>
  </si>
  <si>
    <t>Enter the registry ID number in row 3116 of the table for production class 1.</t>
  </si>
  <si>
    <t>Enter the registry ID number in row 3117 of the table for production class 1.</t>
  </si>
  <si>
    <t>Enter the registry ID number in row 3118 of the table for production class 1.</t>
  </si>
  <si>
    <t>Enter the registry ID number in row 3119 of the table for production class 1.</t>
  </si>
  <si>
    <t>Enter the registry ID number in row 3120 of the table for production class 1.</t>
  </si>
  <si>
    <t>Enter the registry ID number in row 3121 of the table for production class 1.</t>
  </si>
  <si>
    <t>Enter the registry ID number in row 3122 of the table for production class 1.</t>
  </si>
  <si>
    <t>Enter the registry ID number in row 3123 of the table for production class 1.</t>
  </si>
  <si>
    <t>Enter the registry ID number in row 3124 of the table for production class 1.</t>
  </si>
  <si>
    <t>Enter the registry ID number in row 3125 of the table for production class 1.</t>
  </si>
  <si>
    <t>Enter the registry ID number in row 3126 of the table for production class 1.</t>
  </si>
  <si>
    <t>Enter the registry ID number in row 3127 of the table for production class 1.</t>
  </si>
  <si>
    <t>Enter the registry ID number in row 3128 of the table for production class 1.</t>
  </si>
  <si>
    <t>Enter the registry ID number in row 3129 of the table for production class 1.</t>
  </si>
  <si>
    <t>Enter the registry ID number in row 3130 of the table for production class 1.</t>
  </si>
  <si>
    <t>Enter the registry ID number in row 3131 of the table for production class 1.</t>
  </si>
  <si>
    <t>Enter the registry ID number in row 3132 of the table for production class 1.</t>
  </si>
  <si>
    <t>Enter the registry ID number in row 3133 of the table for production class 1.</t>
  </si>
  <si>
    <t>Enter the registry ID number in row 3134 of the table for production class 1.</t>
  </si>
  <si>
    <t>Enter the registry ID number in row 3135 of the table for production class 1.</t>
  </si>
  <si>
    <t>Enter the registry ID number in row 3136 of the table for production class 1.</t>
  </si>
  <si>
    <t>Enter the registry ID number in row 3137 of the table for production class 1.</t>
  </si>
  <si>
    <t>Enter the registry ID number in row 3138 of the table for production class 1.</t>
  </si>
  <si>
    <t>Enter the registry ID number in row 3139 of the table for production class 1.</t>
  </si>
  <si>
    <t>Enter the registry ID number in row 3140 of the table for production class 1.</t>
  </si>
  <si>
    <t>Enter the registry ID number in row 3141 of the table for production class 1.</t>
  </si>
  <si>
    <t>Enter the registry ID number in row 3142 of the table for production class 1.</t>
  </si>
  <si>
    <t>Enter the registry ID number in row 3143 of the table for production class 1.</t>
  </si>
  <si>
    <t>Enter the registry ID number in row 3144 of the table for production class 1.</t>
  </si>
  <si>
    <t>Enter the registry ID number in row 3145 of the table for production class 1.</t>
  </si>
  <si>
    <t>Enter the registry ID number in row 3146 of the table for production class 1.</t>
  </si>
  <si>
    <t>Enter the registry ID number in row 3147 of the table for production class 1.</t>
  </si>
  <si>
    <t>Enter the registry ID number in row 3148 of the table for production class 1.</t>
  </si>
  <si>
    <t>Enter the registry ID number in row 3149 of the table for production class 1.</t>
  </si>
  <si>
    <t>Enter the registry ID number in row 3150 of the table for production class 1.</t>
  </si>
  <si>
    <t>Enter the registry ID number in row 3151 of the table for production class 1.</t>
  </si>
  <si>
    <t>Enter the registry ID number in row 3152 of the table for production class 1.</t>
  </si>
  <si>
    <t>Enter the registry ID number in row 3153 of the table for production class 1.</t>
  </si>
  <si>
    <t>Enter the registry ID number in row 3154 of the table for production class 1.</t>
  </si>
  <si>
    <t>Enter the registry ID number in row 3155 of the table for production class 1.</t>
  </si>
  <si>
    <t>Enter the registry ID number in row 3156 of the table for production class 1.</t>
  </si>
  <si>
    <t>Enter the registry ID number in row 3157 of the table for production class 1.</t>
  </si>
  <si>
    <t>Enter the registry ID number in row 3158 of the table for production class 1.</t>
  </si>
  <si>
    <t>Enter the registry ID number in row 3159 of the table for production class 1.</t>
  </si>
  <si>
    <t>Enter the registry ID number in row 3160 of the table for production class 1.</t>
  </si>
  <si>
    <t>Enter the registry ID number in row 3161 of the table for production class 1.</t>
  </si>
  <si>
    <t>Enter the registry ID number in row 3162 of the table for production class 1.</t>
  </si>
  <si>
    <t>Enter the registry ID number in row 3163 of the table for production class 1.</t>
  </si>
  <si>
    <t>Enter the registry ID number in row 3164 of the table for production class 1.</t>
  </si>
  <si>
    <t>Enter the registry ID number in row 3165 of the table for production class 1.</t>
  </si>
  <si>
    <t>Enter the registry ID number in row 3166 of the table for production class 1.</t>
  </si>
  <si>
    <t>Enter the registry ID number in row 3167 of the table for production class 1.</t>
  </si>
  <si>
    <t>Enter the registry ID number in row 3168 of the table for production class 1.</t>
  </si>
  <si>
    <t>Enter the registry ID number in row 3169 of the table for production class 1.</t>
  </si>
  <si>
    <t>Enter the registry ID number in row 3170 of the table for production class 1.</t>
  </si>
  <si>
    <t>Enter the registry ID number in row 3171 of the table for production class 1.</t>
  </si>
  <si>
    <t>Enter the registry ID number in row 3172 of the table for production class 1.</t>
  </si>
  <si>
    <t>Enter the registry ID number in row 3173 of the table for production class 1.</t>
  </si>
  <si>
    <t>Enter the registry ID number in row 3174 of the table for production class 1.</t>
  </si>
  <si>
    <t>Enter the registry ID number in row 3175 of the table for production class 1.</t>
  </si>
  <si>
    <t>Enter the registry ID number in row 3176 of the table for production class 1.</t>
  </si>
  <si>
    <t>Enter the registry ID number in row 3177 of the table for production class 1.</t>
  </si>
  <si>
    <t>Enter the registry ID number in row 3178 of the table for production class 1.</t>
  </si>
  <si>
    <t>Enter the registry ID number in row 3179 of the table for production class 1.</t>
  </si>
  <si>
    <t>Enter the registry ID number in row 3180 of the table for production class 1.</t>
  </si>
  <si>
    <t>Enter the registry ID number in row 3181 of the table for production class 1.</t>
  </si>
  <si>
    <t>Enter the registry ID number in row 3182 of the table for production class 1.</t>
  </si>
  <si>
    <t>Enter the registry ID number in row 3183 of the table for production class 1.</t>
  </si>
  <si>
    <t>Enter the registry ID number in row 3184 of the table for production class 1.</t>
  </si>
  <si>
    <t>Enter the registry ID number in row 3185 of the table for production class 1.</t>
  </si>
  <si>
    <t>Enter the registry ID number in row 3186 of the table for production class 1.</t>
  </si>
  <si>
    <t>Enter the registry ID number in row 3187 of the table for production class 1.</t>
  </si>
  <si>
    <t>Enter the registry ID number in row 3188 of the table for production class 1.</t>
  </si>
  <si>
    <t>Enter the registry ID number in row 3189 of the table for production class 1.</t>
  </si>
  <si>
    <t>Enter the registry ID number in row 3190 of the table for production class 1.</t>
  </si>
  <si>
    <t>Enter the registry ID number in row 3191 of the table for production class 1.</t>
  </si>
  <si>
    <t>Enter the registry ID number in row 3192 of the table for production class 1.</t>
  </si>
  <si>
    <t>Enter the registry ID number in row 3193 of the table for production class 1.</t>
  </si>
  <si>
    <t>Enter the registry ID number in row 3194 of the table for production class 1.</t>
  </si>
  <si>
    <t>Enter the registry ID number in row 3195 of the table for production class 1.</t>
  </si>
  <si>
    <t>Enter the registry ID number in row 3196 of the table for production class 1.</t>
  </si>
  <si>
    <t>Enter the registry ID number in row 3197 of the table for production class 1.</t>
  </si>
  <si>
    <t>Enter the registry ID number in row 3198 of the table for production class 1.</t>
  </si>
  <si>
    <t>Enter the registry ID number in row 3199 of the table for production class 1.</t>
  </si>
  <si>
    <t>Enter the registry ID number in row 3200 of the table for production class 1.</t>
  </si>
  <si>
    <t>Enter the registry ID number in row 3201 of the table for production class 1.</t>
  </si>
  <si>
    <t>Enter the registry ID number in row 3202 of the table for production class 1.</t>
  </si>
  <si>
    <t>Enter the registry ID number in row 3203 of the table for production class 1.</t>
  </si>
  <si>
    <t>Enter the registry ID number in row 3204 of the table for production class 1.</t>
  </si>
  <si>
    <t>Enter the registry ID number in row 3205 of the table for production class 1.</t>
  </si>
  <si>
    <t>Enter the registry ID number in row 3206 of the table for production class 1.</t>
  </si>
  <si>
    <t>Enter the registry ID number in row 3207 of the table for production class 1.</t>
  </si>
  <si>
    <t>Enter the registry ID number in row 3208 of the table for production class 1.</t>
  </si>
  <si>
    <t>Enter the registry ID number in row 3209 of the table for production class 1.</t>
  </si>
  <si>
    <t>Enter the registry ID number in row 3210 of the table for production class 1.</t>
  </si>
  <si>
    <t>Enter the registry ID number in row 3211 of the table for production class 1.</t>
  </si>
  <si>
    <t>Enter the registry ID number in row 3212 of the table for production class 1.</t>
  </si>
  <si>
    <t>Enter the registry ID number in row 3213 of the table for production class 1.</t>
  </si>
  <si>
    <t>Enter the registry ID number in row 3214 of the table for production class 1.</t>
  </si>
  <si>
    <t>Enter the registry ID number in row 3215 of the table for production class 1.</t>
  </si>
  <si>
    <t>Enter the registry ID number in row 3216 of the table for production class 1.</t>
  </si>
  <si>
    <t>Enter the registry ID number in row 3217 of the table for production class 1.</t>
  </si>
  <si>
    <t>Enter the registry ID number in row 3218 of the table for production class 1.</t>
  </si>
  <si>
    <t>Enter the registry ID number in row 3219 of the table for production class 1.</t>
  </si>
  <si>
    <t>Enter the registry ID number in row 3220 of the table for production class 1.</t>
  </si>
  <si>
    <t>Enter the registry ID number in row 3221 of the table for production class 1.</t>
  </si>
  <si>
    <t>Enter the registry ID number in row 3222 of the table for production class 1.</t>
  </si>
  <si>
    <t>Enter the registry ID number in row 3223 of the table for production class 1.</t>
  </si>
  <si>
    <t>Enter the registry ID number in row 3224 of the table for production class 1.</t>
  </si>
  <si>
    <t>Enter the registry ID number in row 3225 of the table for production class 1.</t>
  </si>
  <si>
    <t>Enter the registry ID number in row 3226 of the table for production class 1.</t>
  </si>
  <si>
    <t>Enter the registry ID number in row 3227 of the table for production class 1.</t>
  </si>
  <si>
    <t>Enter the registry ID number in row 3228 of the table for production class 1.</t>
  </si>
  <si>
    <t>Enter the registry ID number in row 3229 of the table for production class 1.</t>
  </si>
  <si>
    <t>Enter the registry ID number in row 3230 of the table for production class 1.</t>
  </si>
  <si>
    <t>Enter the registry ID number in row 3231 of the table for production class 1.</t>
  </si>
  <si>
    <t>Enter the registry ID number in row 3232 of the table for production class 1.</t>
  </si>
  <si>
    <t>Enter the registry ID number in row 3233 of the table for production class 1.</t>
  </si>
  <si>
    <t>Enter the registry ID number in row 3234 of the table for production class 1.</t>
  </si>
  <si>
    <t>Enter the registry ID number in row 3235 of the table for production class 1.</t>
  </si>
  <si>
    <t>Enter the registry ID number in row 3236 of the table for production class 1.</t>
  </si>
  <si>
    <t>Enter the registry ID number in row 3237 of the table for production class 1.</t>
  </si>
  <si>
    <t>Enter the registry ID number in row 3238 of the table for production class 1.</t>
  </si>
  <si>
    <t>Enter the registry ID number in row 3239 of the table for production class 1.</t>
  </si>
  <si>
    <t>Enter the registry ID number in row 3240 of the table for production class 1.</t>
  </si>
  <si>
    <t>Enter the registry ID number in row 3241 of the table for production class 1.</t>
  </si>
  <si>
    <t>Enter the registry ID number in row 3242 of the table for production class 1.</t>
  </si>
  <si>
    <t>Enter the registry ID number in row 3243 of the table for production class 1.</t>
  </si>
  <si>
    <t>Enter the registry ID number in row 3244 of the table for production class 1.</t>
  </si>
  <si>
    <t>Enter the registry ID number in row 3245 of the table for production class 1.</t>
  </si>
  <si>
    <t>Enter the registry ID number in row 3246 of the table for production class 1.</t>
  </si>
  <si>
    <t>Enter the registry ID number in row 3247 of the table for production class 1.</t>
  </si>
  <si>
    <t>Enter the registry ID number in row 3248 of the table for production class 1.</t>
  </si>
  <si>
    <t>Enter the registry ID number in row 3249 of the table for production class 1.</t>
  </si>
  <si>
    <t>Enter the registry ID number in row 3250 of the table for production class 1.</t>
  </si>
  <si>
    <t>Enter the registry ID number in row 3251 of the table for production class 1.</t>
  </si>
  <si>
    <t>Enter the registry ID number in row 3252 of the table for production class 1.</t>
  </si>
  <si>
    <t>Enter the registry ID number in row 3253 of the table for production class 1.</t>
  </si>
  <si>
    <t>Enter the registry ID number in row 3254 of the table for production class 1.</t>
  </si>
  <si>
    <t>Enter the registry ID number in row 3255 of the table for production class 1.</t>
  </si>
  <si>
    <t>Enter the registry ID number in row 3256 of the table for production class 1.</t>
  </si>
  <si>
    <t>Enter the registry ID number in row 3257 of the table for production class 1.</t>
  </si>
  <si>
    <t>Enter the registry ID number in row 3258 of the table for production class 1.</t>
  </si>
  <si>
    <t>Enter the registry ID number in row 3259 of the table for production class 1.</t>
  </si>
  <si>
    <t>Enter the registry ID number in row 3260 of the table for production class 1.</t>
  </si>
  <si>
    <t>Enter the registry ID number in row 3261 of the table for production class 1.</t>
  </si>
  <si>
    <t>Enter the registry ID number in row 3262 of the table for production class 1.</t>
  </si>
  <si>
    <t>Enter the registry ID number in row 3263 of the table for production class 1.</t>
  </si>
  <si>
    <t>Enter the registry ID number in row 3264 of the table for production class 1.</t>
  </si>
  <si>
    <t>Enter the registry ID number in row 3265 of the table for production class 1.</t>
  </si>
  <si>
    <t>Enter the registry ID number in row 3266 of the table for production class 1.</t>
  </si>
  <si>
    <t>Enter the registry ID number in row 3267 of the table for production class 1.</t>
  </si>
  <si>
    <t>Enter the registry ID number in row 3268 of the table for production class 1.</t>
  </si>
  <si>
    <t>Enter the registry ID number in row 3269 of the table for production class 1.</t>
  </si>
  <si>
    <t>Enter the registry ID number in row 3270 of the table for production class 1.</t>
  </si>
  <si>
    <t>Enter the registry ID number in row 3271 of the table for production class 1.</t>
  </si>
  <si>
    <t>Enter the registry ID number in row 3272 of the table for production class 1.</t>
  </si>
  <si>
    <t>Enter the registry ID number in row 3273 of the table for production class 1.</t>
  </si>
  <si>
    <t>Enter the registry ID number in row 3274 of the table for production class 1.</t>
  </si>
  <si>
    <t>Enter the registry ID number in row 3275 of the table for production class 1.</t>
  </si>
  <si>
    <t>Enter the registry ID number in row 3276 of the table for production class 1.</t>
  </si>
  <si>
    <t>Enter the registry ID number in row 3277 of the table for production class 1.</t>
  </si>
  <si>
    <t>Enter the registry ID number in row 3278 of the table for production class 1.</t>
  </si>
  <si>
    <t>Enter the registry ID number in row 3279 of the table for production class 1.</t>
  </si>
  <si>
    <t>Enter the registry ID number in row 3280 of the table for production class 1.</t>
  </si>
  <si>
    <t>Enter the registry ID number in row 3281 of the table for production class 1.</t>
  </si>
  <si>
    <t>Enter the registry ID number in row 3282 of the table for production class 1.</t>
  </si>
  <si>
    <t>Enter the registry ID number in row 3283 of the table for production class 1.</t>
  </si>
  <si>
    <t>Enter the registry ID number in row 3284 of the table for production class 1.</t>
  </si>
  <si>
    <t>Enter the registry ID number in row 3285 of the table for production class 1.</t>
  </si>
  <si>
    <t>Enter the registry ID number in row 3286 of the table for production class 1.</t>
  </si>
  <si>
    <t>Enter the registry ID number in row 3287 of the table for production class 1.</t>
  </si>
  <si>
    <t>Enter the registry ID number in row 3288 of the table for production class 1.</t>
  </si>
  <si>
    <t>Enter the registry ID number in row 3289 of the table for production class 1.</t>
  </si>
  <si>
    <t>Enter the registry ID number in row 3290 of the table for production class 1.</t>
  </si>
  <si>
    <t>Enter the registry ID number in row 3291 of the table for production class 1.</t>
  </si>
  <si>
    <t>Enter the registry ID number in row 3292 of the table for production class 1.</t>
  </si>
  <si>
    <t>Enter the registry ID number in row 3293 of the table for production class 1.</t>
  </si>
  <si>
    <t>Enter the registry ID number in row 3294 of the table for production class 1.</t>
  </si>
  <si>
    <t>Enter the registry ID number in row 3295 of the table for production class 1.</t>
  </si>
  <si>
    <t>Enter the registry ID number in row 3296 of the table for production class 1.</t>
  </si>
  <si>
    <t>Enter the registry ID number in row 3297 of the table for production class 1.</t>
  </si>
  <si>
    <t>Enter the registry ID number in row 3298 of the table for production class 1.</t>
  </si>
  <si>
    <t>Enter the registry ID number in row 3299 of the table for production class 1.</t>
  </si>
  <si>
    <t>Enter the registry ID number in row 3300 of the table for production class 1.</t>
  </si>
  <si>
    <t>Enter the registry ID number in row 3301 of the table for production class 1.</t>
  </si>
  <si>
    <t>Enter the registry ID number in row 3302 of the table for production class 1.</t>
  </si>
  <si>
    <t>Enter the registry ID number in row 3303 of the table for production class 1.</t>
  </si>
  <si>
    <t>Enter the registry ID number in row 3304 of the table for production class 1.</t>
  </si>
  <si>
    <t>Enter the registry ID number in row 3305 of the table for production class 1.</t>
  </si>
  <si>
    <t>Enter the registry ID number in row 3306 of the table for production class 1.</t>
  </si>
  <si>
    <t>Enter the registry ID number in row 3307 of the table for production class 1.</t>
  </si>
  <si>
    <t>Enter the registry ID number in row 3308 of the table for production class 1.</t>
  </si>
  <si>
    <t>Enter the registry ID number in row 3309 of the table for production class 1.</t>
  </si>
  <si>
    <t>Enter the registry ID number in row 3310 of the table for production class 1.</t>
  </si>
  <si>
    <t>Enter the registry ID number in row 3311 of the table for production class 1.</t>
  </si>
  <si>
    <t>Enter the registry ID number in row 3312 of the table for production class 1.</t>
  </si>
  <si>
    <t>Enter the registry ID number in row 3313 of the table for production class 1.</t>
  </si>
  <si>
    <t>Enter the registry ID number in row 3314 of the table for production class 1.</t>
  </si>
  <si>
    <t>Enter the registry ID number in row 3315 of the table for production class 1.</t>
  </si>
  <si>
    <t>Enter the registry ID number in row 3316 of the table for production class 1.</t>
  </si>
  <si>
    <t>Enter the registry ID number in row 3317 of the table for production class 1.</t>
  </si>
  <si>
    <t>Enter the registry ID number in row 3318 of the table for production class 1.</t>
  </si>
  <si>
    <t>Enter the registry ID number in row 3319 of the table for production class 1.</t>
  </si>
  <si>
    <t>Enter the registry ID number in row 3320 of the table for production class 1.</t>
  </si>
  <si>
    <t>Enter the registry ID number in row 3321 of the table for production class 1.</t>
  </si>
  <si>
    <t>Enter the registry ID number in row 3322 of the table for production class 1.</t>
  </si>
  <si>
    <t>Enter the registry ID number in row 3323 of the table for production class 1.</t>
  </si>
  <si>
    <t>Enter the registry ID number in row 3324 of the table for production class 1.</t>
  </si>
  <si>
    <t>Enter the registry ID number in row 3325 of the table for production class 1.</t>
  </si>
  <si>
    <t>Enter the registry ID number in row 3326 of the table for production class 1.</t>
  </si>
  <si>
    <t>Enter the registry ID number in row 3327 of the table for production class 1.</t>
  </si>
  <si>
    <t>Enter the registry ID number in row 3328 of the table for production class 1.</t>
  </si>
  <si>
    <t>Enter the registry ID number in row 3329 of the table for production class 1.</t>
  </si>
  <si>
    <t>Enter the registry ID number in row 3330 of the table for production class 1.</t>
  </si>
  <si>
    <t>Enter the registry ID number in row 3331 of the table for production class 1.</t>
  </si>
  <si>
    <t>Enter the registry ID number in row 3332 of the table for production class 1.</t>
  </si>
  <si>
    <t>Enter the registry ID number in row 3333 of the table for production class 1.</t>
  </si>
  <si>
    <t>Enter the registry ID number in row 3334 of the table for production class 1.</t>
  </si>
  <si>
    <t>Enter the registry ID number in row 3335 of the table for production class 1.</t>
  </si>
  <si>
    <t>Enter the registry ID number in row 3336 of the table for production class 1.</t>
  </si>
  <si>
    <t>Enter the registry ID number in row 3337 of the table for production class 1.</t>
  </si>
  <si>
    <t>Enter the registry ID number in row 3338 of the table for production class 1.</t>
  </si>
  <si>
    <t>Enter the registry ID number in row 3339 of the table for production class 1.</t>
  </si>
  <si>
    <t>Enter the registry ID number in row 3340 of the table for production class 1.</t>
  </si>
  <si>
    <t>Enter the registry ID number in row 3341 of the table for production class 1.</t>
  </si>
  <si>
    <t>Enter the registry ID number in row 3342 of the table for production class 1.</t>
  </si>
  <si>
    <t>Enter the registry ID number in row 3343 of the table for production class 1.</t>
  </si>
  <si>
    <t>Enter the registry ID number in row 3344 of the table for production class 1.</t>
  </si>
  <si>
    <t>Enter the registry ID number in row 3345 of the table for production class 1.</t>
  </si>
  <si>
    <t>Enter the registry ID number in row 3346 of the table for production class 1.</t>
  </si>
  <si>
    <t>Enter the registry ID number in row 3347 of the table for production class 1.</t>
  </si>
  <si>
    <t>Enter the registry ID number in row 3348 of the table for production class 1.</t>
  </si>
  <si>
    <t>Enter the registry ID number in row 3349 of the table for production class 1.</t>
  </si>
  <si>
    <t>Enter the registry ID number in row 3350 of the table for production class 1.</t>
  </si>
  <si>
    <t>Enter the registry ID number in row 3351 of the table for production class 1.</t>
  </si>
  <si>
    <t>Enter the registry ID number in row 3352 of the table for production class 1.</t>
  </si>
  <si>
    <t>Enter the registry ID number in row 3353 of the table for production class 1.</t>
  </si>
  <si>
    <t>Enter the registry ID number in row 3354 of the table for production class 1.</t>
  </si>
  <si>
    <t>Enter the registry ID number in row 3355 of the table for production class 1.</t>
  </si>
  <si>
    <t>Enter the registry ID number in row 3356 of the table for production class 1.</t>
  </si>
  <si>
    <t>Enter the registry ID number in row 3357 of the table for production class 1.</t>
  </si>
  <si>
    <t>Enter the registry ID number in row 3358 of the table for production class 1.</t>
  </si>
  <si>
    <t>Enter the registry ID number in row 3359 of the table for production class 1.</t>
  </si>
  <si>
    <t>Enter the registry ID number in row 3360 of the table for production class 1.</t>
  </si>
  <si>
    <t>Enter the registry ID number in row 3361 of the table for production class 1.</t>
  </si>
  <si>
    <t>Enter the registry ID number in row 3362 of the table for production class 1.</t>
  </si>
  <si>
    <t>Enter the registry ID number in row 3363 of the table for production class 1.</t>
  </si>
  <si>
    <t>Enter the registry ID number in row 3364 of the table for production class 1.</t>
  </si>
  <si>
    <t>Enter the registry ID number in row 3365 of the table for production class 1.</t>
  </si>
  <si>
    <t>Enter the registry ID number in row 3366 of the table for production class 1.</t>
  </si>
  <si>
    <t>Enter the registry ID number in row 3367 of the table for production class 1.</t>
  </si>
  <si>
    <t>Enter the registry ID number in row 3368 of the table for production class 1.</t>
  </si>
  <si>
    <t>Enter the registry ID number in row 3369 of the table for production class 1.</t>
  </si>
  <si>
    <t>Enter the registry ID number in row 3370 of the table for production class 1.</t>
  </si>
  <si>
    <t>Enter the registry ID number in row 3371 of the table for production class 1.</t>
  </si>
  <si>
    <t>Enter the registry ID number in row 3372 of the table for production class 1.</t>
  </si>
  <si>
    <t>Enter the registry ID number in row 3373 of the table for production class 1.</t>
  </si>
  <si>
    <t>Enter the registry ID number in row 3374 of the table for production class 1.</t>
  </si>
  <si>
    <t>Enter the registry ID number in row 3375 of the table for production class 1.</t>
  </si>
  <si>
    <t>Enter the registry ID number in row 3376 of the table for production class 1.</t>
  </si>
  <si>
    <t>Enter the registry ID number in row 3377 of the table for production class 1.</t>
  </si>
  <si>
    <t>Enter the registry ID number in row 3378 of the table for production class 1.</t>
  </si>
  <si>
    <t>Enter the registry ID number in row 3379 of the table for production class 1.</t>
  </si>
  <si>
    <t>Enter the registry ID number in row 3380 of the table for production class 1.</t>
  </si>
  <si>
    <t>Enter the registry ID number in row 3381 of the table for production class 1.</t>
  </si>
  <si>
    <t>Enter the registry ID number in row 3382 of the table for production class 1.</t>
  </si>
  <si>
    <t>Enter the registry ID number in row 3383 of the table for production class 1.</t>
  </si>
  <si>
    <t>Enter the registry ID number in row 3384 of the table for production class 1.</t>
  </si>
  <si>
    <t>Enter the registry ID number in row 3385 of the table for production class 1.</t>
  </si>
  <si>
    <t>Enter the registry ID number in row 3386 of the table for production class 1.</t>
  </si>
  <si>
    <t>Enter the registry ID number in row 3387 of the table for production class 1.</t>
  </si>
  <si>
    <t>Enter the registry ID number in row 3388 of the table for production class 1.</t>
  </si>
  <si>
    <t>Enter the registry ID number in row 3389 of the table for production class 1.</t>
  </si>
  <si>
    <t>Enter the registry ID number in row 3390 of the table for production class 1.</t>
  </si>
  <si>
    <t>Enter the registry ID number in row 3391 of the table for production class 1.</t>
  </si>
  <si>
    <t>Enter the registry ID number in row 3392 of the table for production class 1.</t>
  </si>
  <si>
    <t>Enter the registry ID number in row 3393 of the table for production class 1.</t>
  </si>
  <si>
    <t>Enter the registry ID number in row 3394 of the table for production class 1.</t>
  </si>
  <si>
    <t>Enter the registry ID number in row 3395 of the table for production class 1.</t>
  </si>
  <si>
    <t>Enter the registry ID number in row 3396 of the table for production class 1.</t>
  </si>
  <si>
    <t>Enter the registry ID number in row 3397 of the table for production class 1.</t>
  </si>
  <si>
    <t>Enter the registry ID number in row 3398 of the table for production class 1.</t>
  </si>
  <si>
    <t>Enter the registry ID number in row 3399 of the table for production class 1.</t>
  </si>
  <si>
    <t>Enter the registry ID number in row 3400 of the table for production class 1.</t>
  </si>
  <si>
    <t>Enter the registry ID number in row 3401 of the table for production class 1.</t>
  </si>
  <si>
    <t>Enter the registry ID number in row 3402 of the table for production class 1.</t>
  </si>
  <si>
    <t>Enter the registry ID number in row 3403 of the table for production class 1.</t>
  </si>
  <si>
    <t>Enter the registry ID number in row 3404 of the table for production class 1.</t>
  </si>
  <si>
    <t>Enter the registry ID number in row 3405 of the table for production class 1.</t>
  </si>
  <si>
    <t>Enter the registry ID number in row 3406 of the table for production class 1.</t>
  </si>
  <si>
    <t>Enter the registry ID number in row 3407 of the table for production class 1.</t>
  </si>
  <si>
    <t>Enter the registry ID number in row 3408 of the table for production class 1.</t>
  </si>
  <si>
    <t>Enter the registry ID number in row 3409 of the table for production class 1.</t>
  </si>
  <si>
    <t>Enter the registry ID number in row 3410 of the table for production class 1.</t>
  </si>
  <si>
    <t>Enter the registry ID number in row 3411 of the table for production class 1.</t>
  </si>
  <si>
    <t>Enter the registry ID number in row 3412 of the table for production class 1.</t>
  </si>
  <si>
    <t>Enter the registry ID number in row 3413 of the table for production class 1.</t>
  </si>
  <si>
    <t>Enter the registry ID number in row 3414 of the table for production class 1.</t>
  </si>
  <si>
    <t>Enter the registry ID number in row 3415 of the table for production class 1.</t>
  </si>
  <si>
    <t>Enter the registry ID number in row 3416 of the table for production class 1.</t>
  </si>
  <si>
    <t>Enter the registry ID number in row 3417 of the table for production class 1.</t>
  </si>
  <si>
    <t>Enter the registry ID number in row 3418 of the table for production class 1.</t>
  </si>
  <si>
    <t>Enter the registry ID number in row 3419 of the table for production class 1.</t>
  </si>
  <si>
    <t>Enter the registry ID number in row 3420 of the table for production class 1.</t>
  </si>
  <si>
    <t>Enter the registry ID number in row 3421 of the table for production class 1.</t>
  </si>
  <si>
    <t>Enter the registry ID number in row 3422 of the table for production class 1.</t>
  </si>
  <si>
    <t>Enter the registry ID number in row 3423 of the table for production class 1.</t>
  </si>
  <si>
    <t>Enter the registry ID number in row 3424 of the table for production class 1.</t>
  </si>
  <si>
    <t>Enter the registry ID number in row 3425 of the table for production class 1.</t>
  </si>
  <si>
    <t>Enter the registry ID number in row 3426 of the table for production class 1.</t>
  </si>
  <si>
    <t>Enter the registry ID number in row 3427 of the table for production class 1.</t>
  </si>
  <si>
    <t>Enter the registry ID number in row 3428 of the table for production class 1.</t>
  </si>
  <si>
    <t>Enter the registry ID number in row 3429 of the table for production class 1.</t>
  </si>
  <si>
    <t>Enter the registry ID number in row 3430 of the table for production class 1.</t>
  </si>
  <si>
    <t>Enter the registry ID number in row 3431 of the table for production class 1.</t>
  </si>
  <si>
    <t>Enter the registry ID number in row 3432 of the table for production class 1.</t>
  </si>
  <si>
    <t>Enter the registry ID number in row 3433 of the table for production class 1.</t>
  </si>
  <si>
    <t>Enter the registry ID number in row 3434 of the table for production class 1.</t>
  </si>
  <si>
    <t>Enter the registry ID number in row 3435 of the table for production class 1.</t>
  </si>
  <si>
    <t>Enter the registry ID number in row 3436 of the table for production class 1.</t>
  </si>
  <si>
    <t>Enter the registry ID number in row 3437 of the table for production class 1.</t>
  </si>
  <si>
    <t>Enter the registry ID number in row 3438 of the table for production class 1.</t>
  </si>
  <si>
    <t>Enter the registry ID number in row 3439 of the table for production class 1.</t>
  </si>
  <si>
    <t>Enter the registry ID number in row 3440 of the table for production class 1.</t>
  </si>
  <si>
    <t>Enter the registry ID number in row 3441 of the table for production class 1.</t>
  </si>
  <si>
    <t>Enter the registry ID number in row 3442 of the table for production class 1.</t>
  </si>
  <si>
    <t>Enter the registry ID number in row 3443 of the table for production class 1.</t>
  </si>
  <si>
    <t>Enter the registry ID number in row 3444 of the table for production class 1.</t>
  </si>
  <si>
    <t>Enter the registry ID number in row 3445 of the table for production class 1.</t>
  </si>
  <si>
    <t>Enter the registry ID number in row 3446 of the table for production class 1.</t>
  </si>
  <si>
    <t>Enter the registry ID number in row 3447 of the table for production class 1.</t>
  </si>
  <si>
    <t>Enter the registry ID number in row 3448 of the table for production class 1.</t>
  </si>
  <si>
    <t>Enter the registry ID number in row 3449 of the table for production class 1.</t>
  </si>
  <si>
    <t>Enter the registry ID number in row 3450 of the table for production class 1.</t>
  </si>
  <si>
    <t>Enter the registry ID number in row 3451 of the table for production class 1.</t>
  </si>
  <si>
    <t>Enter the registry ID number in row 3452 of the table for production class 1.</t>
  </si>
  <si>
    <t>Enter the registry ID number in row 3453 of the table for production class 1.</t>
  </si>
  <si>
    <t>Enter the registry ID number in row 3454 of the table for production class 1.</t>
  </si>
  <si>
    <t>Enter the registry ID number in row 3455 of the table for production class 1.</t>
  </si>
  <si>
    <t>Enter the registry ID number in row 3456 of the table for production class 1.</t>
  </si>
  <si>
    <t>Enter the registry ID number in row 3457 of the table for production class 1.</t>
  </si>
  <si>
    <t>Enter the registry ID number in row 3458 of the table for production class 1.</t>
  </si>
  <si>
    <t>Enter the registry ID number in row 3459 of the table for production class 1.</t>
  </si>
  <si>
    <t>Enter the registry ID number in row 3460 of the table for production class 1.</t>
  </si>
  <si>
    <t>Enter the registry ID number in row 3461 of the table for production class 1.</t>
  </si>
  <si>
    <t>Enter the registry ID number in row 3462 of the table for production class 1.</t>
  </si>
  <si>
    <t>Enter the registry ID number in row 3463 of the table for production class 1.</t>
  </si>
  <si>
    <t>Enter the registry ID number in row 3464 of the table for production class 1.</t>
  </si>
  <si>
    <t>Enter the registry ID number in row 3465 of the table for production class 1.</t>
  </si>
  <si>
    <t>Enter the registry ID number in row 3466 of the table for production class 1.</t>
  </si>
  <si>
    <t>Enter the registry ID number in row 3467 of the table for production class 1.</t>
  </si>
  <si>
    <t>Enter the registry ID number in row 3468 of the table for production class 1.</t>
  </si>
  <si>
    <t>Enter the registry ID number in row 3469 of the table for production class 1.</t>
  </si>
  <si>
    <t>Enter the registry ID number in row 3470 of the table for production class 1.</t>
  </si>
  <si>
    <t>Enter the registry ID number in row 3471 of the table for production class 1.</t>
  </si>
  <si>
    <t>Enter the registry ID number in row 3472 of the table for production class 1.</t>
  </si>
  <si>
    <t>Enter the registry ID number in row 3473 of the table for production class 1.</t>
  </si>
  <si>
    <t>Enter the registry ID number in row 3474 of the table for production class 1.</t>
  </si>
  <si>
    <t>Enter the registry ID number in row 3475 of the table for production class 1.</t>
  </si>
  <si>
    <t>Enter the registry ID number in row 3476 of the table for production class 1.</t>
  </si>
  <si>
    <t>Enter the registry ID number in row 3477 of the table for production class 1.</t>
  </si>
  <si>
    <t>Enter the registry ID number in row 3478 of the table for production class 1.</t>
  </si>
  <si>
    <t>Enter the registry ID number in row 3479 of the table for production class 1.</t>
  </si>
  <si>
    <t>Enter the registry ID number in row 3480 of the table for production class 1.</t>
  </si>
  <si>
    <t>Enter the registry ID number in row 3481 of the table for production class 1.</t>
  </si>
  <si>
    <t>Enter the registry ID number in row 3482 of the table for production class 1.</t>
  </si>
  <si>
    <t>Enter the registry ID number in row 3483 of the table for production class 1.</t>
  </si>
  <si>
    <t>Enter the registry ID number in row 3484 of the table for production class 1.</t>
  </si>
  <si>
    <t>Enter the registry ID number in row 3485 of the table for production class 1.</t>
  </si>
  <si>
    <t>Enter the registry ID number in row 3486 of the table for production class 1.</t>
  </si>
  <si>
    <t>Enter the registry ID number in row 3487 of the table for production class 1.</t>
  </si>
  <si>
    <t>Enter the registry ID number in row 3488 of the table for production class 1.</t>
  </si>
  <si>
    <t>Enter the registry ID number in row 3489 of the table for production class 1.</t>
  </si>
  <si>
    <t>Enter the registry ID number in row 3490 of the table for production class 1.</t>
  </si>
  <si>
    <t>Enter the registry ID number in row 3491 of the table for production class 1.</t>
  </si>
  <si>
    <t>Enter the registry ID number in row 3492 of the table for production class 1.</t>
  </si>
  <si>
    <t>Enter the registry ID number in row 3493 of the table for production class 1.</t>
  </si>
  <si>
    <t>Enter the registry ID number in row 3494 of the table for production class 1.</t>
  </si>
  <si>
    <t>Enter the registry ID number in row 3495 of the table for production class 1.</t>
  </si>
  <si>
    <t>Enter the registry ID number in row 3496 of the table for production class 1.</t>
  </si>
  <si>
    <t>Enter the registry ID number in row 3497 of the table for production class 1.</t>
  </si>
  <si>
    <t>Enter the registry ID number in row 3498 of the table for production class 1.</t>
  </si>
  <si>
    <t>Enter the registry ID number in row 3499 of the table for production class 1.</t>
  </si>
  <si>
    <t>Enter the registry ID number in row 3500 of the table for production class 1.</t>
  </si>
  <si>
    <t>Enter the registry ID number in row 3501 of the table for production class 1.</t>
  </si>
  <si>
    <t>Enter the registry ID number in row 3502 of the table for production class 1.</t>
  </si>
  <si>
    <t>Enter the registry ID number in row 3503 of the table for production class 1.</t>
  </si>
  <si>
    <t>Enter the registry ID number in row 3504 of the table for production class 1.</t>
  </si>
  <si>
    <t>Enter the registry ID number in row 3505 of the table for production class 1.</t>
  </si>
  <si>
    <t>Enter the registry ID number in row 3506 of the table for production class 1.</t>
  </si>
  <si>
    <t>Enter the registry ID number in row 3507 of the table for production class 1.</t>
  </si>
  <si>
    <t>Enter the registry ID number in row 3508 of the table for production class 1.</t>
  </si>
  <si>
    <t>Enter the registry ID number in row 3509 of the table for production class 1.</t>
  </si>
  <si>
    <t>Enter the registry ID number in row 3510 of the table for production class 1.</t>
  </si>
  <si>
    <t>Enter the registry ID number in row 3511 of the table for production class 1.</t>
  </si>
  <si>
    <t>Enter the registry ID number in row 3512 of the table for production class 1.</t>
  </si>
  <si>
    <t>Enter the registry ID number in row 3513 of the table for production class 1.</t>
  </si>
  <si>
    <t>Enter the registry ID number in row 3514 of the table for production class 1.</t>
  </si>
  <si>
    <t>Enter the registry ID number in row 3515 of the table for production class 1.</t>
  </si>
  <si>
    <t>Enter the registry ID number in row 3516 of the table for production class 1.</t>
  </si>
  <si>
    <t>Enter the registry ID number in row 3517 of the table for production class 1.</t>
  </si>
  <si>
    <t>Enter the registry ID number in row 3518 of the table for production class 1.</t>
  </si>
  <si>
    <t>Enter the registry ID number in row 3519 of the table for production class 1.</t>
  </si>
  <si>
    <t>Enter the registry ID number in row 3520 of the table for production class 1.</t>
  </si>
  <si>
    <t>Enter the registry ID number in row 3521 of the table for production class 1.</t>
  </si>
  <si>
    <t>Enter the registry ID number in row 3522 of the table for production class 1.</t>
  </si>
  <si>
    <t>Enter the registry ID number in row 3523 of the table for production class 1.</t>
  </si>
  <si>
    <t>Enter the registry ID number in row 3524 of the table for production class 1.</t>
  </si>
  <si>
    <t>Enter the registry ID number in row 3525 of the table for production class 1.</t>
  </si>
  <si>
    <t>Enter the registry ID number in row 3526 of the table for production class 1.</t>
  </si>
  <si>
    <t>Enter the registry ID number in row 3527 of the table for production class 1.</t>
  </si>
  <si>
    <t>Enter the registry ID number in row 3528 of the table for production class 1.</t>
  </si>
  <si>
    <t>Enter the registry ID number in row 3529 of the table for production class 1.</t>
  </si>
  <si>
    <t>Enter the registry ID number in row 3530 of the table for production class 1.</t>
  </si>
  <si>
    <t>Enter the registry ID number in row 3531 of the table for production class 1.</t>
  </si>
  <si>
    <t>Enter the registry ID number in row 3532 of the table for production class 1.</t>
  </si>
  <si>
    <t>Enter the registry ID number in row 3533 of the table for production class 1.</t>
  </si>
  <si>
    <t>Enter the registry ID number in row 3534 of the table for production class 1.</t>
  </si>
  <si>
    <t>Enter the registry ID number in row 3535 of the table for production class 1.</t>
  </si>
  <si>
    <t>Enter the registry ID number in row 3536 of the table for production class 1.</t>
  </si>
  <si>
    <t>Enter the registry ID number in row 3537 of the table for production class 1.</t>
  </si>
  <si>
    <t>Enter the registry ID number in row 3538 of the table for production class 1.</t>
  </si>
  <si>
    <t>Enter the registry ID number in row 3539 of the table for production class 1.</t>
  </si>
  <si>
    <t>Enter the registry ID number in row 3540 of the table for production class 1.</t>
  </si>
  <si>
    <t>Enter the registry ID number in row 3541 of the table for production class 1.</t>
  </si>
  <si>
    <t>Enter the registry ID number in row 3542 of the table for production class 1.</t>
  </si>
  <si>
    <t>Enter the registry ID number in row 3543 of the table for production class 1.</t>
  </si>
  <si>
    <t>Enter the registry ID number in row 3544 of the table for production class 1.</t>
  </si>
  <si>
    <t>Enter the registry ID number in row 3545 of the table for production class 1.</t>
  </si>
  <si>
    <t>Enter the registry ID number in row 3546 of the table for production class 1.</t>
  </si>
  <si>
    <t>Enter the registry ID number in row 3547 of the table for production class 1.</t>
  </si>
  <si>
    <t>Enter the registry ID number in row 3548 of the table for production class 1.</t>
  </si>
  <si>
    <t>Enter the registry ID number in row 3549 of the table for production class 1.</t>
  </si>
  <si>
    <t>Enter the registry ID number in row 3550 of the table for production class 1.</t>
  </si>
  <si>
    <t>Enter the registry ID number in row 3551 of the table for production class 1.</t>
  </si>
  <si>
    <t>Enter the registry ID number in row 3552 of the table for production class 1.</t>
  </si>
  <si>
    <t>Enter the registry ID number in row 3553 of the table for production class 1.</t>
  </si>
  <si>
    <t>Enter the registry ID number in row 3554 of the table for production class 1.</t>
  </si>
  <si>
    <t>Enter the registry ID number in row 3555 of the table for production class 1.</t>
  </si>
  <si>
    <t>Enter the registry ID number in row 3556 of the table for production class 1.</t>
  </si>
  <si>
    <t>Enter the registry ID number in row 3557 of the table for production class 1.</t>
  </si>
  <si>
    <t>Enter the registry ID number in row 3558 of the table for production class 1.</t>
  </si>
  <si>
    <t>Enter the registry ID number in row 3559 of the table for production class 1.</t>
  </si>
  <si>
    <t>Enter the registry ID number in row 3560 of the table for production class 1.</t>
  </si>
  <si>
    <t>Enter the registry ID number in row 3561 of the table for production class 1.</t>
  </si>
  <si>
    <t>Enter the registry ID number in row 3562 of the table for production class 1.</t>
  </si>
  <si>
    <t>Enter the registry ID number in row 3563 of the table for production class 1.</t>
  </si>
  <si>
    <t>Enter the registry ID number in row 3564 of the table for production class 1.</t>
  </si>
  <si>
    <t>Enter the registry ID number in row 3565 of the table for production class 1.</t>
  </si>
  <si>
    <t>Enter the registry ID number in row 3566 of the table for production class 1.</t>
  </si>
  <si>
    <t>Enter the registry ID number in row 3567 of the table for production class 1.</t>
  </si>
  <si>
    <t>Enter the registry ID number in row 3568 of the table for production class 1.</t>
  </si>
  <si>
    <t>Enter the registry ID number in row 3569 of the table for production class 1.</t>
  </si>
  <si>
    <t>Enter the registry ID number in row 3570 of the table for production class 1.</t>
  </si>
  <si>
    <t>Enter the registry ID number in row 3571 of the table for production class 1.</t>
  </si>
  <si>
    <t>Enter the registry ID number in row 3572 of the table for production class 1.</t>
  </si>
  <si>
    <t>Enter the registry ID number in row 3573 of the table for production class 1.</t>
  </si>
  <si>
    <t>Enter the registry ID number in row 3574 of the table for production class 1.</t>
  </si>
  <si>
    <t>Enter the registry ID number in row 3575 of the table for production class 1.</t>
  </si>
  <si>
    <t>Enter the registry ID number in row 3576 of the table for production class 1.</t>
  </si>
  <si>
    <t>Enter the registry ID number in row 3577 of the table for production class 1.</t>
  </si>
  <si>
    <t>Enter the registry ID number in row 3578 of the table for production class 1.</t>
  </si>
  <si>
    <t>Enter the registry ID number in row 3579 of the table for production class 1.</t>
  </si>
  <si>
    <t>Enter the registry ID number in row 3580 of the table for production class 1.</t>
  </si>
  <si>
    <t>Enter the registry ID number in row 3581 of the table for production class 1.</t>
  </si>
  <si>
    <t>Enter the registry ID number in row 3582 of the table for production class 1.</t>
  </si>
  <si>
    <t>Enter the registry ID number in row 3583 of the table for production class 1.</t>
  </si>
  <si>
    <t>Enter the registry ID number in row 3584 of the table for production class 1.</t>
  </si>
  <si>
    <t>Enter the registry ID number in row 3585 of the table for production class 1.</t>
  </si>
  <si>
    <t>Enter the registry ID number in row 3586 of the table for production class 1.</t>
  </si>
  <si>
    <t>Enter the registry ID number in row 3587 of the table for production class 1.</t>
  </si>
  <si>
    <t>Enter the registry ID number in row 3588 of the table for production class 1.</t>
  </si>
  <si>
    <t>Enter the registry ID number in row 3589 of the table for production class 1.</t>
  </si>
  <si>
    <t>Enter the registry ID number in row 3590 of the table for production class 1.</t>
  </si>
  <si>
    <t>Enter the registry ID number in row 3591 of the table for production class 1.</t>
  </si>
  <si>
    <t>Enter the registry ID number in row 3592 of the table for production class 1.</t>
  </si>
  <si>
    <t>Enter the registry ID number in row 3593 of the table for production class 1.</t>
  </si>
  <si>
    <t>Enter the registry ID number in row 3594 of the table for production class 1.</t>
  </si>
  <si>
    <t>Enter the registry ID number in row 3595 of the table for production class 1.</t>
  </si>
  <si>
    <t>Enter the registry ID number in row 3596 of the table for production class 1.</t>
  </si>
  <si>
    <t>Enter the registry ID number in row 3597 of the table for production class 1.</t>
  </si>
  <si>
    <t>Enter the registry ID number in row 3598 of the table for production class 1.</t>
  </si>
  <si>
    <t>Enter the registry ID number in row 3599 of the table for production class 1.</t>
  </si>
  <si>
    <t>Enter the registry ID number in row 3600 of the table for production class 1.</t>
  </si>
  <si>
    <t>Enter the registry ID number in row 3601 of the table for production class 1.</t>
  </si>
  <si>
    <t>Enter the registry ID number in row 3602 of the table for production class 1.</t>
  </si>
  <si>
    <t>Enter the registry ID number in row 3603 of the table for production class 1.</t>
  </si>
  <si>
    <t>Enter the registry ID number in row 3604 of the table for production class 1.</t>
  </si>
  <si>
    <t>Enter the registry ID number in row 3605 of the table for production class 1.</t>
  </si>
  <si>
    <t>Enter the registry ID number in row 3606 of the table for production class 1.</t>
  </si>
  <si>
    <t>Enter the registry ID number in row 3607 of the table for production class 1.</t>
  </si>
  <si>
    <t>Enter the registry ID number in row 3608 of the table for production class 1.</t>
  </si>
  <si>
    <t>Enter the registry ID number in row 3609 of the table for production class 1.</t>
  </si>
  <si>
    <t>Enter the registry ID number in row 3610 of the table for production class 1.</t>
  </si>
  <si>
    <t>Enter the registry ID number in row 3611 of the table for production class 1.</t>
  </si>
  <si>
    <t>Enter the registry ID number in row 3612 of the table for production class 1.</t>
  </si>
  <si>
    <t>Enter the registry ID number in row 3613 of the table for production class 1.</t>
  </si>
  <si>
    <t>Enter the registry ID number in row 3614 of the table for production class 1.</t>
  </si>
  <si>
    <t>Enter the registry ID number in row 3615 of the table for production class 1.</t>
  </si>
  <si>
    <t>Enter the registry ID number in row 3616 of the table for production class 1.</t>
  </si>
  <si>
    <t>Enter the registry ID number in row 3617 of the table for production class 1.</t>
  </si>
  <si>
    <t>Enter the registry ID number in row 3618 of the table for production class 1.</t>
  </si>
  <si>
    <t>Enter the registry ID number in row 3619 of the table for production class 1.</t>
  </si>
  <si>
    <t>Enter the registry ID number in row 3620 of the table for production class 1.</t>
  </si>
  <si>
    <t>Enter the registry ID number in row 3621 of the table for production class 1.</t>
  </si>
  <si>
    <t>Enter the registry ID number in row 3622 of the table for production class 1.</t>
  </si>
  <si>
    <t>Enter the registry ID number in row 3623 of the table for production class 1.</t>
  </si>
  <si>
    <t>Enter the registry ID number in row 3624 of the table for production class 1.</t>
  </si>
  <si>
    <t>Enter the registry ID number in row 3625 of the table for production class 1.</t>
  </si>
  <si>
    <t>Enter the registry ID number in row 3626 of the table for production class 1.</t>
  </si>
  <si>
    <t>Enter the registry ID number in row 3627 of the table for production class 1.</t>
  </si>
  <si>
    <t>Enter the registry ID number in row 3628 of the table for production class 1.</t>
  </si>
  <si>
    <t>Enter the registry ID number in row 3629 of the table for production class 1.</t>
  </si>
  <si>
    <t>Enter the registry ID number in row 3630 of the table for production class 1.</t>
  </si>
  <si>
    <t>Enter the registry ID number in row 3631 of the table for production class 1.</t>
  </si>
  <si>
    <t>Enter the registry ID number in row 3632 of the table for production class 1.</t>
  </si>
  <si>
    <t>Enter the registry ID number in row 3633 of the table for production class 1.</t>
  </si>
  <si>
    <t>Enter the registry ID number in row 3634 of the table for production class 1.</t>
  </si>
  <si>
    <t>Enter the registry ID number in row 3635 of the table for production class 1.</t>
  </si>
  <si>
    <t>Enter the registry ID number in row 3636 of the table for production class 1.</t>
  </si>
  <si>
    <t>Enter the registry ID number in row 3637 of the table for production class 1.</t>
  </si>
  <si>
    <t>Enter the registry ID number in row 3638 of the table for production class 1.</t>
  </si>
  <si>
    <t>Enter the registry ID number in row 3639 of the table for production class 1.</t>
  </si>
  <si>
    <t>Enter the registry ID number in row 3640 of the table for production class 1.</t>
  </si>
  <si>
    <t>Enter the registry ID number in row 3641 of the table for production class 1.</t>
  </si>
  <si>
    <t>Enter the registry ID number in row 3642 of the table for production class 1.</t>
  </si>
  <si>
    <t>Enter the registry ID number in row 3643 of the table for production class 1.</t>
  </si>
  <si>
    <t>Enter the registry ID number in row 3644 of the table for production class 1.</t>
  </si>
  <si>
    <t>Enter the registry ID number in row 3645 of the table for production class 1.</t>
  </si>
  <si>
    <t>Enter the registry ID number in row 3646 of the table for production class 1.</t>
  </si>
  <si>
    <t>Enter the registry ID number in row 3647 of the table for production class 1.</t>
  </si>
  <si>
    <t>Enter the registry ID number in row 3648 of the table for production class 1.</t>
  </si>
  <si>
    <t>Enter the registry ID number in row 3649 of the table for production class 1.</t>
  </si>
  <si>
    <t>Enter the registry ID number in row 3650 of the table for production class 1.</t>
  </si>
  <si>
    <t>Enter the registry ID number in row 3651 of the table for production class 1.</t>
  </si>
  <si>
    <t>Enter the registry ID number in row 3652 of the table for production class 1.</t>
  </si>
  <si>
    <t>Enter the registry ID number in row 3653 of the table for production class 1.</t>
  </si>
  <si>
    <t>Enter the registry ID number in row 3654 of the table for production class 1.</t>
  </si>
  <si>
    <t>Enter the registry ID number in row 3655 of the table for production class 1.</t>
  </si>
  <si>
    <t>Enter the registry ID number in row 3656 of the table for production class 1.</t>
  </si>
  <si>
    <t>Enter the registry ID number in row 3657 of the table for production class 1.</t>
  </si>
  <si>
    <t>Enter the registry ID number in row 3658 of the table for production class 1.</t>
  </si>
  <si>
    <t>Enter the registry ID number in row 3659 of the table for production class 1.</t>
  </si>
  <si>
    <t>Enter the registry ID number in row 3660 of the table for production class 1.</t>
  </si>
  <si>
    <t>Enter the registry ID number in row 3661 of the table for production class 1.</t>
  </si>
  <si>
    <t>Enter the registry ID number in row 3662 of the table for production class 1.</t>
  </si>
  <si>
    <t>Enter the registry ID number in row 3663 of the table for production class 1.</t>
  </si>
  <si>
    <t>Enter the registry ID number in row 3664 of the table for production class 1.</t>
  </si>
  <si>
    <t>Enter the registry ID number in row 3665 of the table for production class 1.</t>
  </si>
  <si>
    <t>Enter the registry ID number in row 3666 of the table for production class 1.</t>
  </si>
  <si>
    <t>Enter the registry ID number in row 3667 of the table for production class 1.</t>
  </si>
  <si>
    <t>Enter the registry ID number in row 3668 of the table for production class 1.</t>
  </si>
  <si>
    <t>Enter the registry ID number in row 3669 of the table for production class 1.</t>
  </si>
  <si>
    <t>Enter the registry ID number in row 3670 of the table for production class 1.</t>
  </si>
  <si>
    <t>Enter the registry ID number in row 3671 of the table for production class 1.</t>
  </si>
  <si>
    <t>Enter the registry ID number in row 3672 of the table for production class 1.</t>
  </si>
  <si>
    <t>Enter the registry ID number in row 3673 of the table for production class 1.</t>
  </si>
  <si>
    <t>Enter the registry ID number in row 3674 of the table for production class 1.</t>
  </si>
  <si>
    <t>Enter the registry ID number in row 3675 of the table for production class 1.</t>
  </si>
  <si>
    <t>Enter the registry ID number in row 3676 of the table for production class 1.</t>
  </si>
  <si>
    <t>Enter the registry ID number in row 3677 of the table for production class 1.</t>
  </si>
  <si>
    <t>Enter the registry ID number in row 3678 of the table for production class 1.</t>
  </si>
  <si>
    <t>Enter the registry ID number in row 3679 of the table for production class 1.</t>
  </si>
  <si>
    <t>Enter the registry ID number in row 3680 of the table for production class 1.</t>
  </si>
  <si>
    <t>Enter the registry ID number in row 3681 of the table for production class 1.</t>
  </si>
  <si>
    <t>Enter the registry ID number in row 3682 of the table for production class 1.</t>
  </si>
  <si>
    <t>Enter the registry ID number in row 3683 of the table for production class 1.</t>
  </si>
  <si>
    <t>Enter the registry ID number in row 3684 of the table for production class 1.</t>
  </si>
  <si>
    <t>Enter the registry ID number in row 3685 of the table for production class 1.</t>
  </si>
  <si>
    <t>Enter the registry ID number in row 3686 of the table for production class 1.</t>
  </si>
  <si>
    <t>Enter the registry ID number in row 3687 of the table for production class 1.</t>
  </si>
  <si>
    <t>Enter the registry ID number in row 3688 of the table for production class 1.</t>
  </si>
  <si>
    <t>Enter the registry ID number in row 3689 of the table for production class 1.</t>
  </si>
  <si>
    <t>Enter the registry ID number in row 3690 of the table for production class 1.</t>
  </si>
  <si>
    <t>Enter the registry ID number in row 3691 of the table for production class 1.</t>
  </si>
  <si>
    <t>Enter the registry ID number in row 3692 of the table for production class 1.</t>
  </si>
  <si>
    <t>Enter the registry ID number in row 3693 of the table for production class 1.</t>
  </si>
  <si>
    <t>Enter the registry ID number in row 3694 of the table for production class 1.</t>
  </si>
  <si>
    <t>Enter the registry ID number in row 3695 of the table for production class 1.</t>
  </si>
  <si>
    <t>Enter the registry ID number in row 3696 of the table for production class 1.</t>
  </si>
  <si>
    <t>Enter the registry ID number in row 3697 of the table for production class 1.</t>
  </si>
  <si>
    <t>Enter the registry ID number in row 3698 of the table for production class 1.</t>
  </si>
  <si>
    <t>Enter the registry ID number in row 3699 of the table for production class 1.</t>
  </si>
  <si>
    <t>Enter the registry ID number in row 3700 of the table for production class 1.</t>
  </si>
  <si>
    <t>Enter the registry ID number in row 3701 of the table for production class 1.</t>
  </si>
  <si>
    <t>Enter the registry ID number in row 3702 of the table for production class 1.</t>
  </si>
  <si>
    <t>Enter the registry ID number in row 3703 of the table for production class 1.</t>
  </si>
  <si>
    <t>Enter the registry ID number in row 3704 of the table for production class 1.</t>
  </si>
  <si>
    <t>Enter the registry ID number in row 3705 of the table for production class 1.</t>
  </si>
  <si>
    <t>Enter the registry ID number in row 3706 of the table for production class 1.</t>
  </si>
  <si>
    <t>Enter the registry ID number in row 3707 of the table for production class 1.</t>
  </si>
  <si>
    <t>Enter the registry ID number in row 3708 of the table for production class 1.</t>
  </si>
  <si>
    <t>Enter the registry ID number in row 3709 of the table for production class 1.</t>
  </si>
  <si>
    <t>Enter the registry ID number in row 3710 of the table for production class 1.</t>
  </si>
  <si>
    <t>Enter the registry ID number in row 3711 of the table for production class 1.</t>
  </si>
  <si>
    <t>Enter the registry ID number in row 3712 of the table for production class 1.</t>
  </si>
  <si>
    <t>Enter the registry ID number in row 3713 of the table for production class 1.</t>
  </si>
  <si>
    <t>Enter the registry ID number in row 3714 of the table for production class 1.</t>
  </si>
  <si>
    <t>Enter the registry ID number in row 3715 of the table for production class 1.</t>
  </si>
  <si>
    <t>Enter the registry ID number in row 3716 of the table for production class 1.</t>
  </si>
  <si>
    <t>Enter the registry ID number in row 3717 of the table for production class 1.</t>
  </si>
  <si>
    <t>Enter the registry ID number in row 3718 of the table for production class 1.</t>
  </si>
  <si>
    <t>Enter the registry ID number in row 3719 of the table for production class 1.</t>
  </si>
  <si>
    <t>Enter the registry ID number in row 3720 of the table for production class 1.</t>
  </si>
  <si>
    <t>Enter the registry ID number in row 3721 of the table for production class 1.</t>
  </si>
  <si>
    <t>Enter the registry ID number in row 3722 of the table for production class 1.</t>
  </si>
  <si>
    <t>Enter the registry ID number in row 3723 of the table for production class 1.</t>
  </si>
  <si>
    <t>Enter the registry ID number in row 3724 of the table for production class 1.</t>
  </si>
  <si>
    <t>Enter the registry ID number in row 3725 of the table for production class 1.</t>
  </si>
  <si>
    <t>Enter the registry ID number in row 3726 of the table for production class 1.</t>
  </si>
  <si>
    <t>Enter the registry ID number in row 3727 of the table for production class 1.</t>
  </si>
  <si>
    <t>Enter the registry ID number in row 3728 of the table for production class 1.</t>
  </si>
  <si>
    <t>Enter the registry ID number in row 3729 of the table for production class 1.</t>
  </si>
  <si>
    <t>Enter the registry ID number in row 3730 of the table for production class 1.</t>
  </si>
  <si>
    <t>Enter the registry ID number in row 3731 of the table for production class 1.</t>
  </si>
  <si>
    <t>Enter the registry ID number in row 3732 of the table for production class 1.</t>
  </si>
  <si>
    <t>Enter the registry ID number in row 3733 of the table for production class 1.</t>
  </si>
  <si>
    <t>Enter the registry ID number in row 3734 of the table for production class 1.</t>
  </si>
  <si>
    <t>Enter the registry ID number in row 3735 of the table for production class 1.</t>
  </si>
  <si>
    <t>Enter the registry ID number in row 3736 of the table for production class 1.</t>
  </si>
  <si>
    <t>Enter the registry ID number in row 3737 of the table for production class 1.</t>
  </si>
  <si>
    <t>Enter the registry ID number in row 3738 of the table for production class 1.</t>
  </si>
  <si>
    <t>Enter the registry ID number in row 3739 of the table for production class 1.</t>
  </si>
  <si>
    <t>Enter the registry ID number in row 3740 of the table for production class 1.</t>
  </si>
  <si>
    <t>Enter the registry ID number in row 3741 of the table for production class 1.</t>
  </si>
  <si>
    <t>Enter the registry ID number in row 3742 of the table for production class 1.</t>
  </si>
  <si>
    <t>Enter the registry ID number in row 3743 of the table for production class 1.</t>
  </si>
  <si>
    <t>Enter the registry ID number in row 3744 of the table for production class 1.</t>
  </si>
  <si>
    <t>Enter the registry ID number in row 3745 of the table for production class 1.</t>
  </si>
  <si>
    <t>Enter the registry ID number in row 3746 of the table for production class 1.</t>
  </si>
  <si>
    <t>Enter the registry ID number in row 3747 of the table for production class 1.</t>
  </si>
  <si>
    <t>Enter the registry ID number in row 3748 of the table for production class 1.</t>
  </si>
  <si>
    <t>Enter the registry ID number in row 3749 of the table for production class 1.</t>
  </si>
  <si>
    <t>Enter the registry ID number in row 3750 of the table for production class 1.</t>
  </si>
  <si>
    <t>Enter the registry ID number in row 3751 of the table for production class 1.</t>
  </si>
  <si>
    <t>Enter the registry ID number in row 3752 of the table for production class 1.</t>
  </si>
  <si>
    <t>Enter the registry ID number in row 3753 of the table for production class 1.</t>
  </si>
  <si>
    <t>Enter the registry ID number in row 3754 of the table for production class 1.</t>
  </si>
  <si>
    <t>Enter the registry ID number in row 3755 of the table for production class 1.</t>
  </si>
  <si>
    <t>Enter the registry ID number in row 3756 of the table for production class 1.</t>
  </si>
  <si>
    <t>Enter the registry ID number in row 3757 of the table for production class 1.</t>
  </si>
  <si>
    <t>Enter the registry ID number in row 3758 of the table for production class 1.</t>
  </si>
  <si>
    <t>Enter the registry ID number in row 3759 of the table for production class 1.</t>
  </si>
  <si>
    <t>Enter the registry ID number in row 3760 of the table for production class 1.</t>
  </si>
  <si>
    <t>Enter the registry ID number in row 3761 of the table for production class 1.</t>
  </si>
  <si>
    <t>Enter the registry ID number in row 3762 of the table for production class 1.</t>
  </si>
  <si>
    <t>Enter the registry ID number in row 3763 of the table for production class 1.</t>
  </si>
  <si>
    <t>Enter the registry ID number in row 3764 of the table for production class 1.</t>
  </si>
  <si>
    <t>Enter the registry ID number in row 3765 of the table for production class 1.</t>
  </si>
  <si>
    <t>Enter the registry ID number in row 3766 of the table for production class 1.</t>
  </si>
  <si>
    <t>Enter the registry ID number in row 3767 of the table for production class 1.</t>
  </si>
  <si>
    <t>Enter the registry ID number in row 3768 of the table for production class 1.</t>
  </si>
  <si>
    <t>Enter the registry ID number in row 3769 of the table for production class 1.</t>
  </si>
  <si>
    <t>Enter the registry ID number in row 3770 of the table for production class 1.</t>
  </si>
  <si>
    <t>Enter the registry ID number in row 3771 of the table for production class 1.</t>
  </si>
  <si>
    <t>Enter the registry ID number in row 3772 of the table for production class 1.</t>
  </si>
  <si>
    <t>Enter the registry ID number in row 3773 of the table for production class 1.</t>
  </si>
  <si>
    <t>Enter the registry ID number in row 3774 of the table for production class 1.</t>
  </si>
  <si>
    <t>Enter the registry ID number in row 3775 of the table for production class 1.</t>
  </si>
  <si>
    <t>Enter the registry ID number in row 3776 of the table for production class 1.</t>
  </si>
  <si>
    <t>Enter the registry ID number in row 3777 of the table for production class 1.</t>
  </si>
  <si>
    <t>Enter the registry ID number in row 3778 of the table for production class 1.</t>
  </si>
  <si>
    <t>Enter the registry ID number in row 3779 of the table for production class 1.</t>
  </si>
  <si>
    <t>Enter the registry ID number in row 3780 of the table for production class 1.</t>
  </si>
  <si>
    <t>Enter the registry ID number in row 3781 of the table for production class 1.</t>
  </si>
  <si>
    <t>Enter the registry ID number in row 3782 of the table for production class 1.</t>
  </si>
  <si>
    <t>Enter the registry ID number in row 3783 of the table for production class 1.</t>
  </si>
  <si>
    <t>Enter the registry ID number in row 3784 of the table for production class 1.</t>
  </si>
  <si>
    <t>Enter the registry ID number in row 3785 of the table for production class 1.</t>
  </si>
  <si>
    <t>Enter the registry ID number in row 3786 of the table for production class 1.</t>
  </si>
  <si>
    <t>Enter the registry ID number in row 3787 of the table for production class 1.</t>
  </si>
  <si>
    <t>Enter the registry ID number in row 3788 of the table for production class 1.</t>
  </si>
  <si>
    <t>Enter the registry ID number in row 3789 of the table for production class 1.</t>
  </si>
  <si>
    <t>Enter the registry ID number in row 3790 of the table for production class 1.</t>
  </si>
  <si>
    <t>Enter the registry ID number in row 3791 of the table for production class 1.</t>
  </si>
  <si>
    <t>Enter the registry ID number in row 3792 of the table for production class 1.</t>
  </si>
  <si>
    <t>Enter the registry ID number in row 3793 of the table for production class 1.</t>
  </si>
  <si>
    <t>Enter the registry ID number in row 3794 of the table for production class 1.</t>
  </si>
  <si>
    <t>Enter the registry ID number in row 3795 of the table for production class 1.</t>
  </si>
  <si>
    <t>Enter the registry ID number in row 3796 of the table for production class 1.</t>
  </si>
  <si>
    <t>Enter the registry ID number in row 3797 of the table for production class 1.</t>
  </si>
  <si>
    <t>Enter the registry ID number in row 3798 of the table for production class 1.</t>
  </si>
  <si>
    <t>Enter the registry ID number in row 3799 of the table for production class 1.</t>
  </si>
  <si>
    <t>Enter the registry ID number in row 3800 of the table for production class 1.</t>
  </si>
  <si>
    <t>Enter the registry ID number in row 3801 of the table for production class 1.</t>
  </si>
  <si>
    <t>Enter the registry ID number in row 3802 of the table for production class 1.</t>
  </si>
  <si>
    <t>Enter the registry ID number in row 3803 of the table for production class 1.</t>
  </si>
  <si>
    <t>Enter the registry ID number in row 3804 of the table for production class 1.</t>
  </si>
  <si>
    <t>Enter the registry ID number in row 3805 of the table for production class 1.</t>
  </si>
  <si>
    <t>Enter the registry ID number in row 3806 of the table for production class 1.</t>
  </si>
  <si>
    <t>Enter the registry ID number in row 3807 of the table for production class 1.</t>
  </si>
  <si>
    <t>Enter the registry ID number in row 3808 of the table for production class 1.</t>
  </si>
  <si>
    <t>Enter the registry ID number in row 3809 of the table for production class 1.</t>
  </si>
  <si>
    <t>Enter the registry ID number in row 3810 of the table for production class 1.</t>
  </si>
  <si>
    <t>Enter the registry ID number in row 3811 of the table for production class 1.</t>
  </si>
  <si>
    <t>Enter the registry ID number in row 3812 of the table for production class 1.</t>
  </si>
  <si>
    <t>Enter the registry ID number in row 3813 of the table for production class 1.</t>
  </si>
  <si>
    <t>Enter the registry ID number in row 3814 of the table for production class 1.</t>
  </si>
  <si>
    <t>Enter the registry ID number in row 3815 of the table for production class 1.</t>
  </si>
  <si>
    <t>Enter the registry ID number in row 3816 of the table for production class 1.</t>
  </si>
  <si>
    <t>Enter the registry ID number in row 3817 of the table for production class 1.</t>
  </si>
  <si>
    <t>Enter the registry ID number in row 3818 of the table for production class 1.</t>
  </si>
  <si>
    <t>Enter the registry ID number in row 3819 of the table for production class 1.</t>
  </si>
  <si>
    <t>Enter the registry ID number in row 3820 of the table for production class 1.</t>
  </si>
  <si>
    <t>Enter the registry ID number in row 3821 of the table for production class 1.</t>
  </si>
  <si>
    <t>Enter the registry ID number in row 3822 of the table for production class 1.</t>
  </si>
  <si>
    <t>Enter the registry ID number in row 3823 of the table for production class 1.</t>
  </si>
  <si>
    <t>Enter the registry ID number in row 3824 of the table for production class 1.</t>
  </si>
  <si>
    <t>Enter the registry ID number in row 3825 of the table for production class 1.</t>
  </si>
  <si>
    <t>Enter the registry ID number in row 3826 of the table for production class 1.</t>
  </si>
  <si>
    <t>Enter the registry ID number in row 3827 of the table for production class 1.</t>
  </si>
  <si>
    <t>Enter the registry ID number in row 3828 of the table for production class 1.</t>
  </si>
  <si>
    <t>Enter the registry ID number in row 3829 of the table for production class 1.</t>
  </si>
  <si>
    <t>Enter the registry ID number in row 3830 of the table for production class 1.</t>
  </si>
  <si>
    <t>Enter the registry ID number in row 3831 of the table for production class 1.</t>
  </si>
  <si>
    <t>Enter the registry ID number in row 3832 of the table for production class 1.</t>
  </si>
  <si>
    <t>Enter the registry ID number in row 3833 of the table for production class 1.</t>
  </si>
  <si>
    <t>Enter the registry ID number in row 3834 of the table for production class 1.</t>
  </si>
  <si>
    <t>Enter the registry ID number in row 3835 of the table for production class 1.</t>
  </si>
  <si>
    <t>Enter the registry ID number in row 3836 of the table for production class 1.</t>
  </si>
  <si>
    <t>Enter the registry ID number in row 3837 of the table for production class 1.</t>
  </si>
  <si>
    <t>Enter the registry ID number in row 3838 of the table for production class 1.</t>
  </si>
  <si>
    <t>Enter the registry ID number in row 3839 of the table for production class 1.</t>
  </si>
  <si>
    <t>Enter the registry ID number in row 3840 of the table for production class 1.</t>
  </si>
  <si>
    <t>Enter the registry ID number in row 3841 of the table for production class 1.</t>
  </si>
  <si>
    <t>Enter the registry ID number in row 3842 of the table for production class 1.</t>
  </si>
  <si>
    <t>Enter the registry ID number in row 3843 of the table for production class 1.</t>
  </si>
  <si>
    <t>Enter the registry ID number in row 3844 of the table for production class 1.</t>
  </si>
  <si>
    <t>Enter the registry ID number in row 3845 of the table for production class 1.</t>
  </si>
  <si>
    <t>Enter the registry ID number in row 3846 of the table for production class 1.</t>
  </si>
  <si>
    <t>Enter the registry ID number in row 3847 of the table for production class 1.</t>
  </si>
  <si>
    <t>Enter the registry ID number in row 3848 of the table for production class 1.</t>
  </si>
  <si>
    <t>Enter the registry ID number in row 3849 of the table for production class 1.</t>
  </si>
  <si>
    <t>Enter the registry ID number in row 3850 of the table for production class 1.</t>
  </si>
  <si>
    <t>Enter the registry ID number in row 3851 of the table for production class 1.</t>
  </si>
  <si>
    <t>Enter the registry ID number in row 3852 of the table for production class 1.</t>
  </si>
  <si>
    <t>Enter the registry ID number in row 3853 of the table for production class 1.</t>
  </si>
  <si>
    <t>Enter the registry ID number in row 3854 of the table for production class 1.</t>
  </si>
  <si>
    <t>Enter the registry ID number in row 3855 of the table for production class 1.</t>
  </si>
  <si>
    <t>Enter the registry ID number in row 3856 of the table for production class 1.</t>
  </si>
  <si>
    <t>Enter the registry ID number in row 3857 of the table for production class 1.</t>
  </si>
  <si>
    <t>Enter the registry ID number in row 3858 of the table for production class 1.</t>
  </si>
  <si>
    <t>Enter the registry ID number in row 3859 of the table for production class 1.</t>
  </si>
  <si>
    <t>Enter the registry ID number in row 3860 of the table for production class 1.</t>
  </si>
  <si>
    <t>Enter the registry ID number in row 3861 of the table for production class 1.</t>
  </si>
  <si>
    <t>Enter the registry ID number in row 3862 of the table for production class 1.</t>
  </si>
  <si>
    <t>Enter the registry ID number in row 3863 of the table for production class 1.</t>
  </si>
  <si>
    <t>Enter the registry ID number in row 3864 of the table for production class 1.</t>
  </si>
  <si>
    <t>Enter the registry ID number in row 3865 of the table for production class 1.</t>
  </si>
  <si>
    <t>Enter the registry ID number in row 3866 of the table for production class 1.</t>
  </si>
  <si>
    <t>Enter the registry ID number in row 3867 of the table for production class 1.</t>
  </si>
  <si>
    <t>Enter the registry ID number in row 3868 of the table for production class 1.</t>
  </si>
  <si>
    <t>Enter the registry ID number in row 3869 of the table for production class 1.</t>
  </si>
  <si>
    <t>Enter the registry ID number in row 3870 of the table for production class 1.</t>
  </si>
  <si>
    <t>Enter the registry ID number in row 3871 of the table for production class 1.</t>
  </si>
  <si>
    <t>Enter the registry ID number in row 3872 of the table for production class 1.</t>
  </si>
  <si>
    <t>Enter the registry ID number in row 3873 of the table for production class 1.</t>
  </si>
  <si>
    <t>Enter the registry ID number in row 3874 of the table for production class 1.</t>
  </si>
  <si>
    <t>Enter the registry ID number in row 3875 of the table for production class 1.</t>
  </si>
  <si>
    <t>Enter the registry ID number in row 3876 of the table for production class 1.</t>
  </si>
  <si>
    <t>Enter the registry ID number in row 3877 of the table for production class 1.</t>
  </si>
  <si>
    <t>Enter the registry ID number in row 3878 of the table for production class 1.</t>
  </si>
  <si>
    <t>Enter the registry ID number in row 3879 of the table for production class 1.</t>
  </si>
  <si>
    <t>Enter the registry ID number in row 3880 of the table for production class 1.</t>
  </si>
  <si>
    <t>Enter the registry ID number in row 3881 of the table for production class 1.</t>
  </si>
  <si>
    <t>Enter the registry ID number in row 3882 of the table for production class 1.</t>
  </si>
  <si>
    <t>Enter the registry ID number in row 3883 of the table for production class 1.</t>
  </si>
  <si>
    <t>Enter the registry ID number in row 3884 of the table for production class 1.</t>
  </si>
  <si>
    <t>Enter the registry ID number in row 3885 of the table for production class 1.</t>
  </si>
  <si>
    <t>Enter the registry ID number in row 3886 of the table for production class 1.</t>
  </si>
  <si>
    <t>Enter the registry ID number in row 3887 of the table for production class 1.</t>
  </si>
  <si>
    <t>Enter the registry ID number in row 3888 of the table for production class 1.</t>
  </si>
  <si>
    <t>Enter the registry ID number in row 3889 of the table for production class 1.</t>
  </si>
  <si>
    <t>Enter the registry ID number in row 3890 of the table for production class 1.</t>
  </si>
  <si>
    <t>Enter the registry ID number in row 3891 of the table for production class 1.</t>
  </si>
  <si>
    <t>Enter the registry ID number in row 3892 of the table for production class 1.</t>
  </si>
  <si>
    <t>Enter the registry ID number in row 3893 of the table for production class 1.</t>
  </si>
  <si>
    <t>Enter the registry ID number in row 3894 of the table for production class 1.</t>
  </si>
  <si>
    <t>Enter the registry ID number in row 3895 of the table for production class 1.</t>
  </si>
  <si>
    <t>Enter the registry ID number in row 3896 of the table for production class 1.</t>
  </si>
  <si>
    <t>Enter the registry ID number in row 3897 of the table for production class 1.</t>
  </si>
  <si>
    <t>Enter the registry ID number in row 3898 of the table for production class 1.</t>
  </si>
  <si>
    <t>Enter the registry ID number in row 3899 of the table for production class 1.</t>
  </si>
  <si>
    <t>Enter the registry ID number in row 3900 of the table for production class 1.</t>
  </si>
  <si>
    <t>Enter the registry ID number in row 3901 of the table for production class 1.</t>
  </si>
  <si>
    <t>Enter the registry ID number in row 3902 of the table for production class 1.</t>
  </si>
  <si>
    <t>Enter the registry ID number in row 3903 of the table for production class 1.</t>
  </si>
  <si>
    <t>Enter the registry ID number in row 3904 of the table for production class 1.</t>
  </si>
  <si>
    <t>Enter the registry ID number in row 3905 of the table for production class 1.</t>
  </si>
  <si>
    <t>Enter the registry ID number in row 3906 of the table for production class 1.</t>
  </si>
  <si>
    <t>Enter the registry ID number in row 3907 of the table for production class 1.</t>
  </si>
  <si>
    <t>Enter the registry ID number in row 3908 of the table for production class 1.</t>
  </si>
  <si>
    <t>Enter the registry ID number in row 3909 of the table for production class 1.</t>
  </si>
  <si>
    <t>Enter the registry ID number in row 3910 of the table for production class 1.</t>
  </si>
  <si>
    <t>Enter the registry ID number in row 3911 of the table for production class 1.</t>
  </si>
  <si>
    <t>Enter the registry ID number in row 3912 of the table for production class 1.</t>
  </si>
  <si>
    <t>Enter the registry ID number in row 3913 of the table for production class 1.</t>
  </si>
  <si>
    <t>Enter the registry ID number in row 3914 of the table for production class 1.</t>
  </si>
  <si>
    <t>Enter the registry ID number in row 3915 of the table for production class 1.</t>
  </si>
  <si>
    <t>Enter the registry ID number in row 3916 of the table for production class 1.</t>
  </si>
  <si>
    <t>Enter the registry ID number in row 3917 of the table for production class 1.</t>
  </si>
  <si>
    <t>Enter the registry ID number in row 3918 of the table for production class 1.</t>
  </si>
  <si>
    <t>Enter the registry ID number in row 3919 of the table for production class 1.</t>
  </si>
  <si>
    <t>Enter the registry ID number in row 3920 of the table for production class 1.</t>
  </si>
  <si>
    <t>Enter the registry ID number in row 3921 of the table for production class 1.</t>
  </si>
  <si>
    <t>Enter the registry ID number in row 3922 of the table for production class 1.</t>
  </si>
  <si>
    <t>Enter the registry ID number in row 3923 of the table for production class 1.</t>
  </si>
  <si>
    <t>Enter the registry ID number in row 3924 of the table for production class 1.</t>
  </si>
  <si>
    <t>Enter the registry ID number in row 3925 of the table for production class 1.</t>
  </si>
  <si>
    <t>Enter the registry ID number in row 3926 of the table for production class 1.</t>
  </si>
  <si>
    <t>Enter the registry ID number in row 3927 of the table for production class 1.</t>
  </si>
  <si>
    <t>Enter the registry ID number in row 3928 of the table for production class 1.</t>
  </si>
  <si>
    <t>Enter the registry ID number in row 3929 of the table for production class 1.</t>
  </si>
  <si>
    <t>Enter the registry ID number in row 3930 of the table for production class 1.</t>
  </si>
  <si>
    <t>Enter the registry ID number in row 3931 of the table for production class 1.</t>
  </si>
  <si>
    <t>Enter the registry ID number in row 3932 of the table for production class 1.</t>
  </si>
  <si>
    <t>Enter the registry ID number in row 3933 of the table for production class 1.</t>
  </si>
  <si>
    <t>Enter the registry ID number in row 3934 of the table for production class 1.</t>
  </si>
  <si>
    <t>Enter the registry ID number in row 3935 of the table for production class 1.</t>
  </si>
  <si>
    <t>Enter the registry ID number in row 3936 of the table for production class 1.</t>
  </si>
  <si>
    <t>Enter the registry ID number in row 3937 of the table for production class 1.</t>
  </si>
  <si>
    <t>Enter the registry ID number in row 3938 of the table for production class 1.</t>
  </si>
  <si>
    <t>Enter the registry ID number in row 3939 of the table for production class 1.</t>
  </si>
  <si>
    <t>Enter the registry ID number in row 3940 of the table for production class 1.</t>
  </si>
  <si>
    <t>Enter the registry ID number in row 3941 of the table for production class 1.</t>
  </si>
  <si>
    <t>Enter the registry ID number in row 3942 of the table for production class 1.</t>
  </si>
  <si>
    <t>Enter the registry ID number in row 3943 of the table for production class 1.</t>
  </si>
  <si>
    <t>Enter the registry ID number in row 3944 of the table for production class 1.</t>
  </si>
  <si>
    <t>Enter the registry ID number in row 3945 of the table for production class 1.</t>
  </si>
  <si>
    <t>Enter the registry ID number in row 3946 of the table for production class 1.</t>
  </si>
  <si>
    <t>Enter the registry ID number in row 3947 of the table for production class 1.</t>
  </si>
  <si>
    <t>Enter the registry ID number in row 3948 of the table for production class 1.</t>
  </si>
  <si>
    <t>Enter the registry ID number in row 3949 of the table for production class 1.</t>
  </si>
  <si>
    <t>Enter the registry ID number in row 3950 of the table for production class 1.</t>
  </si>
  <si>
    <t>Enter the registry ID number in row 3951 of the table for production class 1.</t>
  </si>
  <si>
    <t>Enter the registry ID number in row 3952 of the table for production class 1.</t>
  </si>
  <si>
    <t>Enter the registry ID number in row 3953 of the table for production class 1.</t>
  </si>
  <si>
    <t>Enter the registry ID number in row 3954 of the table for production class 1.</t>
  </si>
  <si>
    <t>Enter the registry ID number in row 3955 of the table for production class 1.</t>
  </si>
  <si>
    <t>Enter the registry ID number in row 3956 of the table for production class 1.</t>
  </si>
  <si>
    <t>Enter the registry ID number in row 3957 of the table for production class 1.</t>
  </si>
  <si>
    <t>Enter the registry ID number in row 3958 of the table for production class 1.</t>
  </si>
  <si>
    <t>Enter the registry ID number in row 3959 of the table for production class 1.</t>
  </si>
  <si>
    <t>Enter the registry ID number in row 3960 of the table for production class 1.</t>
  </si>
  <si>
    <t>Enter the registry ID number in row 3961 of the table for production class 1.</t>
  </si>
  <si>
    <t>Enter the registry ID number in row 3962 of the table for production class 1.</t>
  </si>
  <si>
    <t>Enter the registry ID number in row 3963 of the table for production class 1.</t>
  </si>
  <si>
    <t>Enter the registry ID number in row 3964 of the table for production class 1.</t>
  </si>
  <si>
    <t>Enter the registry ID number in row 3965 of the table for production class 1.</t>
  </si>
  <si>
    <t>Enter the registry ID number in row 3966 of the table for production class 1.</t>
  </si>
  <si>
    <t>Enter the registry ID number in row 3967 of the table for production class 1.</t>
  </si>
  <si>
    <t>Enter the registry ID number in row 3968 of the table for production class 1.</t>
  </si>
  <si>
    <t>Enter the registry ID number in row 3969 of the table for production class 1.</t>
  </si>
  <si>
    <t>Enter the registry ID number in row 3970 of the table for production class 1.</t>
  </si>
  <si>
    <t>Enter the registry ID number in row 3971 of the table for production class 1.</t>
  </si>
  <si>
    <t>Enter the registry ID number in row 3972 of the table for production class 1.</t>
  </si>
  <si>
    <t>Enter the registry ID number in row 3973 of the table for production class 1.</t>
  </si>
  <si>
    <t>Enter the registry ID number in row 3974 of the table for production class 1.</t>
  </si>
  <si>
    <t>Enter the registry ID number in row 3975 of the table for production class 1.</t>
  </si>
  <si>
    <t>Enter the registry ID number in row 3976 of the table for production class 1.</t>
  </si>
  <si>
    <t>Enter the registry ID number in row 3977 of the table for production class 1.</t>
  </si>
  <si>
    <t>Enter the registry ID number in row 3978 of the table for production class 1.</t>
  </si>
  <si>
    <t>Enter the registry ID number in row 3979 of the table for production class 1.</t>
  </si>
  <si>
    <t>Enter the registry ID number in row 3980 of the table for production class 1.</t>
  </si>
  <si>
    <t>Enter the registry ID number in row 3981 of the table for production class 1.</t>
  </si>
  <si>
    <t>Enter the registry ID number in row 3982 of the table for production class 1.</t>
  </si>
  <si>
    <t>Enter the registry ID number in row 3983 of the table for production class 1.</t>
  </si>
  <si>
    <t>Enter the registry ID number in row 3984 of the table for production class 1.</t>
  </si>
  <si>
    <t>Enter the registry ID number in row 3985 of the table for production class 1.</t>
  </si>
  <si>
    <t>Enter the registry ID number in row 3986 of the table for production class 1.</t>
  </si>
  <si>
    <t>Enter the registry ID number in row 3987 of the table for production class 1.</t>
  </si>
  <si>
    <t>Enter the registry ID number in row 3988 of the table for production class 1.</t>
  </si>
  <si>
    <t>Enter the registry ID number in row 3989 of the table for production class 1.</t>
  </si>
  <si>
    <t>Enter the registry ID number in row 3990 of the table for production class 1.</t>
  </si>
  <si>
    <t>Enter the registry ID number in row 3991 of the table for production class 1.</t>
  </si>
  <si>
    <t>Enter the registry ID number in row 3992 of the table for production class 1.</t>
  </si>
  <si>
    <t>Enter the registry ID number in row 3993 of the table for production class 1.</t>
  </si>
  <si>
    <t>Enter the registry ID number in row 3994 of the table for production class 1.</t>
  </si>
  <si>
    <t>Enter the registry ID number in row 3995 of the table for production class 1.</t>
  </si>
  <si>
    <t>Enter the registry ID number in row 3996 of the table for production class 1.</t>
  </si>
  <si>
    <t>Enter the registry ID number in row 3997 of the table for production class 1.</t>
  </si>
  <si>
    <t>Enter the registry ID number in row 3998 of the table for production class 1.</t>
  </si>
  <si>
    <t>Enter the registry ID number in row 3999 of the table for production class 1.</t>
  </si>
  <si>
    <t>Enter the registry ID number in row 4000 of the table for production class 1.</t>
  </si>
  <si>
    <t>Enter the registry ID number in row 4001 of the table for production class 1.</t>
  </si>
  <si>
    <t>Enter the registry ID number in row 4002 of the table for production class 1.</t>
  </si>
  <si>
    <t>Enter the registry ID number in row 4003 of the table for production class 1.</t>
  </si>
  <si>
    <t>Enter the registry ID number in row 4004 of the table for production class 1.</t>
  </si>
  <si>
    <t>Enter the registry ID number in row 4005 of the table for production class 1.</t>
  </si>
  <si>
    <t>Enter the registry ID number in row 4006 of the table for production class 1.</t>
  </si>
  <si>
    <t>Enter the registry ID number in row 4007 of the table for production class 1.</t>
  </si>
  <si>
    <t>Enter the registry ID number in row 4008 of the table for production class 1.</t>
  </si>
  <si>
    <t>Enter the registry ID number in row 4009 of the table for production class 1.</t>
  </si>
  <si>
    <t>Enter the registry ID number in row 4010 of the table for production class 1.</t>
  </si>
  <si>
    <t>Enter the registry ID number in row 4011 of the table for production class 1.</t>
  </si>
  <si>
    <t>Enter the registry ID number in row 4012 of the table for production class 1.</t>
  </si>
  <si>
    <t>Enter the registry ID number in row 4013 of the table for production class 1.</t>
  </si>
  <si>
    <t>Enter the registry ID number in row 4014 of the table for production class 1.</t>
  </si>
  <si>
    <t>Enter the registry ID number in row 4015 of the table for production class 1.</t>
  </si>
  <si>
    <t>Enter the registry ID number in row 4016 of the table for production class 1.</t>
  </si>
  <si>
    <t>Enter the registry ID number in row 4017 of the table for production class 1.</t>
  </si>
  <si>
    <t>Enter the registry ID number in row 4018 of the table for production class 1.</t>
  </si>
  <si>
    <t>Enter the registry ID number in row 4019 of the table for production class 1.</t>
  </si>
  <si>
    <t>Enter the registry ID number in row 4020 of the table for production class 1.</t>
  </si>
  <si>
    <t>Enter the registry ID number in row 4021 of the table for production class 1.</t>
  </si>
  <si>
    <t>Enter the registry ID number in row 4022 of the table for production class 1.</t>
  </si>
  <si>
    <t>Enter the registry ID number in row 4023 of the table for production class 1.</t>
  </si>
  <si>
    <t>Enter the registry ID number in row 4024 of the table for production class 1.</t>
  </si>
  <si>
    <t>Enter the registry ID number in row 4025 of the table for production class 1.</t>
  </si>
  <si>
    <t>Enter the registry ID number in row 4026 of the table for production class 1.</t>
  </si>
  <si>
    <t>Enter the registry ID number in row 4027 of the table for production class 1.</t>
  </si>
  <si>
    <t>Enter the registry ID number in row 4028 of the table for production class 1.</t>
  </si>
  <si>
    <t>Enter the registry ID number in row 4029 of the table for production class 1.</t>
  </si>
  <si>
    <t>Enter the registry ID number in row 4030 of the table for production class 1.</t>
  </si>
  <si>
    <t>Enter the registry ID number in row 4031 of the table for production class 1.</t>
  </si>
  <si>
    <t>Enter the registry ID number in row 4032 of the table for production class 1.</t>
  </si>
  <si>
    <t>Enter the registry ID number in row 4033 of the table for production class 1.</t>
  </si>
  <si>
    <t>Enter the registry ID number in row 4034 of the table for production class 1.</t>
  </si>
  <si>
    <t>Enter the registry ID number in row 4035 of the table for production class 1.</t>
  </si>
  <si>
    <t>Enter the registry ID number in row 4036 of the table for production class 1.</t>
  </si>
  <si>
    <t>Enter the registry ID number in row 4037 of the table for production class 1.</t>
  </si>
  <si>
    <t>Enter the registry ID number in row 4038 of the table for production class 1.</t>
  </si>
  <si>
    <t>Enter the registry ID number in row 4039 of the table for production class 1.</t>
  </si>
  <si>
    <t>Enter the registry ID number in row 4040 of the table for production class 1.</t>
  </si>
  <si>
    <t>Enter the registry ID number in row 4041 of the table for production class 1.</t>
  </si>
  <si>
    <t>Enter the registry ID number in row 4042 of the table for production class 1.</t>
  </si>
  <si>
    <t>Enter the registry ID number in row 4043 of the table for production class 1.</t>
  </si>
  <si>
    <t>Enter the registry ID number in row 4044 of the table for production class 1.</t>
  </si>
  <si>
    <t>Enter the registry ID number in row 4045 of the table for production class 1.</t>
  </si>
  <si>
    <t>Enter the registry ID number in row 4046 of the table for production class 1.</t>
  </si>
  <si>
    <t>Enter the registry ID number in row 4047 of the table for production class 1.</t>
  </si>
  <si>
    <t>Enter the registry ID number in row 4048 of the table for production class 1.</t>
  </si>
  <si>
    <t>Enter the registry ID number in row 4049 of the table for production class 1.</t>
  </si>
  <si>
    <t>Enter the registry ID number in row 4050 of the table for production class 1.</t>
  </si>
  <si>
    <t>Enter the registry ID number in row 4051 of the table for production class 1.</t>
  </si>
  <si>
    <t>Enter the registry ID number in row 4052 of the table for production class 1.</t>
  </si>
  <si>
    <t>Enter the registry ID number in row 4053 of the table for production class 1.</t>
  </si>
  <si>
    <t>Enter the registry ID number in row 4054 of the table for production class 1.</t>
  </si>
  <si>
    <t>Enter the registry ID number in row 4055 of the table for production class 1.</t>
  </si>
  <si>
    <t>Enter the registry ID number in row 4056 of the table for production class 1.</t>
  </si>
  <si>
    <t>Enter the registry ID number in row 4057 of the table for production class 1.</t>
  </si>
  <si>
    <t>Enter the registry ID number in row 4058 of the table for production class 1.</t>
  </si>
  <si>
    <t>Enter the registry ID number in row 4059 of the table for production class 1.</t>
  </si>
  <si>
    <t>Enter the registry ID number in row 4060 of the table for production class 1.</t>
  </si>
  <si>
    <t>Enter the registry ID number in row 4061 of the table for production class 1.</t>
  </si>
  <si>
    <t>Enter the registry ID number in row 4062 of the table for production class 1.</t>
  </si>
  <si>
    <t>Enter the registry ID number in row 4063 of the table for production class 1.</t>
  </si>
  <si>
    <t>Enter the registry ID number in row 4064 of the table for production class 1.</t>
  </si>
  <si>
    <t>Enter the registry ID number in row 4065 of the table for production class 1.</t>
  </si>
  <si>
    <t>Enter the registry ID number in row 4066 of the table for production class 1.</t>
  </si>
  <si>
    <t>Enter the registry ID number in row 4067 of the table for production class 1.</t>
  </si>
  <si>
    <t>Enter the registry ID number in row 4068 of the table for production class 1.</t>
  </si>
  <si>
    <t>Enter the registry ID number in row 4069 of the table for production class 1.</t>
  </si>
  <si>
    <t>Enter the registry ID number in row 4070 of the table for production class 1.</t>
  </si>
  <si>
    <t>Enter the registry ID number in row 4071 of the table for production class 1.</t>
  </si>
  <si>
    <t>Enter the registry ID number in row 4072 of the table for production class 1.</t>
  </si>
  <si>
    <t>Enter the registry ID number in row 4073 of the table for production class 1.</t>
  </si>
  <si>
    <t>Enter the registry ID number in row 4074 of the table for production class 1.</t>
  </si>
  <si>
    <t>Enter the registry ID number in row 4075 of the table for production class 1.</t>
  </si>
  <si>
    <t>Enter the registry ID number in row 4076 of the table for production class 1.</t>
  </si>
  <si>
    <t>Enter the registry ID number in row 4077 of the table for production class 1.</t>
  </si>
  <si>
    <t>Enter the registry ID number in row 4078 of the table for production class 1.</t>
  </si>
  <si>
    <t>Enter the registry ID number in row 4079 of the table for production class 1.</t>
  </si>
  <si>
    <t>Enter the registry ID number in row 4080 of the table for production class 1.</t>
  </si>
  <si>
    <t>Enter the registry ID number in row 4081 of the table for production class 1.</t>
  </si>
  <si>
    <t>Enter the registry ID number in row 4082 of the table for production class 1.</t>
  </si>
  <si>
    <t>Enter the registry ID number in row 4083 of the table for production class 1.</t>
  </si>
  <si>
    <t>Enter the registry ID number in row 4084 of the table for production class 1.</t>
  </si>
  <si>
    <t>Enter the registry ID number in row 4085 of the table for production class 1.</t>
  </si>
  <si>
    <t>Enter the registry ID number in row 4086 of the table for production class 1.</t>
  </si>
  <si>
    <t>Enter the registry ID number in row 4087 of the table for production class 1.</t>
  </si>
  <si>
    <t>Enter the registry ID number in row 4088 of the table for production class 1.</t>
  </si>
  <si>
    <t>Enter the registry ID number in row 4089 of the table for production class 1.</t>
  </si>
  <si>
    <t>Enter the registry ID number in row 4090 of the table for production class 1.</t>
  </si>
  <si>
    <t>Enter the registry ID number in row 4091 of the table for production class 1.</t>
  </si>
  <si>
    <t>Enter the registry ID number in row 4092 of the table for production class 1.</t>
  </si>
  <si>
    <t>Enter the registry ID number in row 4093 of the table for production class 1.</t>
  </si>
  <si>
    <t>Enter the registry ID number in row 4094 of the table for production class 1.</t>
  </si>
  <si>
    <t>Enter the registry ID number in row 4095 of the table for production class 1.</t>
  </si>
  <si>
    <t>Enter the registry ID number in row 4096 of the table for production class 1.</t>
  </si>
  <si>
    <t>Enter the registry ID number in row 4097 of the table for production class 1.</t>
  </si>
  <si>
    <t>Enter the registry ID number in row 4098 of the table for production class 1.</t>
  </si>
  <si>
    <t>Enter the registry ID number in row 4099 of the table for production class 1.</t>
  </si>
  <si>
    <t>Enter the registry ID number in row 4100 of the table for production class 1.</t>
  </si>
  <si>
    <t>Enter the registry ID number in row 4101 of the table for production class 1.</t>
  </si>
  <si>
    <t>Enter the registry ID number in row 4102 of the table for production class 1.</t>
  </si>
  <si>
    <t>Enter the registry ID number in row 4103 of the table for production class 1.</t>
  </si>
  <si>
    <t>Enter the registry ID number in row 4104 of the table for production class 1.</t>
  </si>
  <si>
    <t>Enter the registry ID number in row 4105 of the table for production class 1.</t>
  </si>
  <si>
    <t>Enter the registry ID number in row 4106 of the table for production class 1.</t>
  </si>
  <si>
    <t>Enter the registry ID number in row 4107 of the table for production class 1.</t>
  </si>
  <si>
    <t>Enter the registry ID number in row 4108 of the table for production class 1.</t>
  </si>
  <si>
    <t>Enter the registry ID number in row 4109 of the table for production class 1.</t>
  </si>
  <si>
    <t>Enter the registry ID number in row 4110 of the table for production class 1.</t>
  </si>
  <si>
    <t>Enter the registry ID number in row 4111 of the table for production class 1.</t>
  </si>
  <si>
    <t>Enter the registry ID number in row 4112 of the table for production class 1.</t>
  </si>
  <si>
    <t>Enter the registry ID number in row 4113 of the table for production class 1.</t>
  </si>
  <si>
    <t>Enter the registry ID number in row 4114 of the table for production class 1.</t>
  </si>
  <si>
    <t>Enter the registry ID number in row 4115 of the table for production class 1.</t>
  </si>
  <si>
    <t>Enter the registry ID number in row 4116 of the table for production class 1.</t>
  </si>
  <si>
    <t>Enter the registry ID number in row 4117 of the table for production class 1.</t>
  </si>
  <si>
    <t>Enter the registry ID number in row 4118 of the table for production class 1.</t>
  </si>
  <si>
    <t>Enter the registry ID number in row 4119 of the table for production class 1.</t>
  </si>
  <si>
    <t>Enter the registry ID number in row 4120 of the table for production class 1.</t>
  </si>
  <si>
    <t>Enter the registry ID number in row 4121 of the table for production class 1.</t>
  </si>
  <si>
    <t>Enter the registry ID number in row 4122 of the table for production class 1.</t>
  </si>
  <si>
    <t>Enter the registry ID number in row 4123 of the table for production class 1.</t>
  </si>
  <si>
    <t>Enter the registry ID number in row 4124 of the table for production class 1.</t>
  </si>
  <si>
    <t>Enter the registry ID number in row 4125 of the table for production class 1.</t>
  </si>
  <si>
    <t>Enter the registry ID number in row 4126 of the table for production class 1.</t>
  </si>
  <si>
    <t>Enter the registry ID number in row 4127 of the table for production class 1.</t>
  </si>
  <si>
    <t>Enter the registry ID number in row 4128 of the table for production class 1.</t>
  </si>
  <si>
    <t>Enter the registry ID number in row 4129 of the table for production class 1.</t>
  </si>
  <si>
    <t>Enter the registry ID number in row 4130 of the table for production class 1.</t>
  </si>
  <si>
    <t>Enter the registry ID number in row 4131 of the table for production class 1.</t>
  </si>
  <si>
    <t>Enter the registry ID number in row 4132 of the table for production class 1.</t>
  </si>
  <si>
    <t>Enter the registry ID number in row 4133 of the table for production class 1.</t>
  </si>
  <si>
    <t>Enter the registry ID number in row 4134 of the table for production class 1.</t>
  </si>
  <si>
    <t>Enter the registry ID number in row 4135 of the table for production class 1.</t>
  </si>
  <si>
    <t>Enter the registry ID number in row 4136 of the table for production class 1.</t>
  </si>
  <si>
    <t>Enter the registry ID number in row 4137 of the table for production class 1.</t>
  </si>
  <si>
    <t>Enter the registry ID number in row 4138 of the table for production class 1.</t>
  </si>
  <si>
    <t>Enter the registry ID number in row 4139 of the table for production class 1.</t>
  </si>
  <si>
    <t>Enter the registry ID number in row 4140 of the table for production class 1.</t>
  </si>
  <si>
    <t>Enter the registry ID number in row 4141 of the table for production class 1.</t>
  </si>
  <si>
    <t>Enter the registry ID number in row 4142 of the table for production class 1.</t>
  </si>
  <si>
    <t>Enter the registry ID number in row 4143 of the table for production class 1.</t>
  </si>
  <si>
    <t>Enter the registry ID number in row 4144 of the table for production class 1.</t>
  </si>
  <si>
    <t>Enter the registry ID number in row 4145 of the table for production class 1.</t>
  </si>
  <si>
    <t>Enter the registry ID number in row 4146 of the table for production class 1.</t>
  </si>
  <si>
    <t>Enter the registry ID number in row 4147 of the table for production class 1.</t>
  </si>
  <si>
    <t>Enter the registry ID number in row 4148 of the table for production class 1.</t>
  </si>
  <si>
    <t>Enter the registry ID number in row 4149 of the table for production class 1.</t>
  </si>
  <si>
    <t>Enter the registry ID number in row 4150 of the table for production class 1.</t>
  </si>
  <si>
    <t>Enter the registry ID number in row 4151 of the table for production class 1.</t>
  </si>
  <si>
    <t>Enter the registry ID number in row 4152 of the table for production class 1.</t>
  </si>
  <si>
    <t>Enter the registry ID number in row 4153 of the table for production class 1.</t>
  </si>
  <si>
    <t>Enter the registry ID number in row 4154 of the table for production class 1.</t>
  </si>
  <si>
    <t>Enter the registry ID number in row 4155 of the table for production class 1.</t>
  </si>
  <si>
    <t>Enter the registry ID number in row 4156 of the table for production class 1.</t>
  </si>
  <si>
    <t>Enter the registry ID number in row 4157 of the table for production class 1.</t>
  </si>
  <si>
    <t>Enter the registry ID number in row 4158 of the table for production class 1.</t>
  </si>
  <si>
    <t>Enter the registry ID number in row 4159 of the table for production class 1.</t>
  </si>
  <si>
    <t>Enter the registry ID number in row 4160 of the table for production class 1.</t>
  </si>
  <si>
    <t>Enter the registry ID number in row 4161 of the table for production class 1.</t>
  </si>
  <si>
    <t>Enter the registry ID number in row 4162 of the table for production class 1.</t>
  </si>
  <si>
    <t>Enter the registry ID number in row 4163 of the table for production class 1.</t>
  </si>
  <si>
    <t>Enter the registry ID number in row 4164 of the table for production class 1.</t>
  </si>
  <si>
    <t>Enter the registry ID number in row 4165 of the table for production class 1.</t>
  </si>
  <si>
    <t>Enter the registry ID number in row 4166 of the table for production class 1.</t>
  </si>
  <si>
    <t>Enter the registry ID number in row 4167 of the table for production class 1.</t>
  </si>
  <si>
    <t>Enter the registry ID number in row 4168 of the table for production class 1.</t>
  </si>
  <si>
    <t>Enter the registry ID number in row 4169 of the table for production class 1.</t>
  </si>
  <si>
    <t>Enter the registry ID number in row 4170 of the table for production class 1.</t>
  </si>
  <si>
    <t>Enter the registry ID number in row 4171 of the table for production class 1.</t>
  </si>
  <si>
    <t>Enter the registry ID number in row 4172 of the table for production class 1.</t>
  </si>
  <si>
    <t>Enter the registry ID number in row 4173 of the table for production class 1.</t>
  </si>
  <si>
    <t>Enter the registry ID number in row 4174 of the table for production class 1.</t>
  </si>
  <si>
    <t>Enter the registry ID number in row 4175 of the table for production class 1.</t>
  </si>
  <si>
    <t>Enter the registry ID number in row 4176 of the table for production class 1.</t>
  </si>
  <si>
    <t>Enter the registry ID number in row 4177 of the table for production class 1.</t>
  </si>
  <si>
    <t>Enter the registry ID number in row 4178 of the table for production class 1.</t>
  </si>
  <si>
    <t>Enter the registry ID number in row 4179 of the table for production class 1.</t>
  </si>
  <si>
    <t>Enter the registry ID number in row 4180 of the table for production class 1.</t>
  </si>
  <si>
    <t>Enter the registry ID number in row 4181 of the table for production class 1.</t>
  </si>
  <si>
    <t>Enter the registry ID number in row 4182 of the table for production class 1.</t>
  </si>
  <si>
    <t>Enter the registry ID number in row 4183 of the table for production class 1.</t>
  </si>
  <si>
    <t>Enter the registry ID number in row 4184 of the table for production class 1.</t>
  </si>
  <si>
    <t>Enter the registry ID number in row 4185 of the table for production class 1.</t>
  </si>
  <si>
    <t>Enter the registry ID number in row 4186 of the table for production class 1.</t>
  </si>
  <si>
    <t>Enter the registry ID number in row 4187 of the table for production class 1.</t>
  </si>
  <si>
    <t>Enter the registry ID number in row 4188 of the table for production class 1.</t>
  </si>
  <si>
    <t>Enter the registry ID number in row 4189 of the table for production class 1.</t>
  </si>
  <si>
    <t>Enter the registry ID number in row 4190 of the table for production class 1.</t>
  </si>
  <si>
    <t>Enter the registry ID number in row 4191 of the table for production class 1.</t>
  </si>
  <si>
    <t>Enter the registry ID number in row 4192 of the table for production class 1.</t>
  </si>
  <si>
    <t>Enter the registry ID number in row 4193 of the table for production class 1.</t>
  </si>
  <si>
    <t>Enter the registry ID number in row 4194 of the table for production class 1.</t>
  </si>
  <si>
    <t>Enter the registry ID number in row 4195 of the table for production class 1.</t>
  </si>
  <si>
    <t>Enter the registry ID number in row 4196 of the table for production class 1.</t>
  </si>
  <si>
    <t>Enter the registry ID number in row 4197 of the table for production class 1.</t>
  </si>
  <si>
    <t>Enter the registry ID number in row 4198 of the table for production class 1.</t>
  </si>
  <si>
    <t>Enter the registry ID number in row 4199 of the table for production class 1.</t>
  </si>
  <si>
    <t>Enter the registry ID number in row 4200 of the table for production class 1.</t>
  </si>
  <si>
    <t>Enter the registry ID number in row 4201 of the table for production class 1.</t>
  </si>
  <si>
    <t>Enter the registry ID number in row 4202 of the table for production class 1.</t>
  </si>
  <si>
    <t>Enter the registry ID number in row 4203 of the table for production class 1.</t>
  </si>
  <si>
    <t>Enter the registry ID number in row 4204 of the table for production class 1.</t>
  </si>
  <si>
    <t>Enter the registry ID number in row 4205 of the table for production class 1.</t>
  </si>
  <si>
    <t>Enter the registry ID number in row 4206 of the table for production class 1.</t>
  </si>
  <si>
    <t>Enter the registry ID number in row 4207 of the table for production class 1.</t>
  </si>
  <si>
    <t>Enter the registry ID number in row 4208 of the table for production class 1.</t>
  </si>
  <si>
    <t>Enter the registry ID number in row 4209 of the table for production class 1.</t>
  </si>
  <si>
    <t>Enter the registry ID number in row 4210 of the table for production class 1.</t>
  </si>
  <si>
    <t>Enter the registry ID number in row 4211 of the table for production class 1.</t>
  </si>
  <si>
    <t>Enter the registry ID number in row 4212 of the table for production class 1.</t>
  </si>
  <si>
    <t>Enter the registry ID number in row 4213 of the table for production class 1.</t>
  </si>
  <si>
    <t>Enter the registry ID number in row 4214 of the table for production class 1.</t>
  </si>
  <si>
    <t>Enter the registry ID number in row 4215 of the table for production class 1.</t>
  </si>
  <si>
    <t>Enter the registry ID number in row 4216 of the table for production class 1.</t>
  </si>
  <si>
    <t>Enter the registry ID number in row 4217 of the table for production class 1.</t>
  </si>
  <si>
    <t>Enter the registry ID number in row 4218 of the table for production class 1.</t>
  </si>
  <si>
    <t>Enter the registry ID number in row 4219 of the table for production class 1.</t>
  </si>
  <si>
    <t>Enter the registry ID number in row 4220 of the table for production class 1.</t>
  </si>
  <si>
    <t>Enter the registry ID number in row 4221 of the table for production class 1.</t>
  </si>
  <si>
    <t>Enter the registry ID number in row 4222 of the table for production class 1.</t>
  </si>
  <si>
    <t>Enter the registry ID number in row 4223 of the table for production class 1.</t>
  </si>
  <si>
    <t>Enter the registry ID number in row 4224 of the table for production class 1.</t>
  </si>
  <si>
    <t>Enter the registry ID number in row 4225 of the table for production class 1.</t>
  </si>
  <si>
    <t>Enter the registry ID number in row 4226 of the table for production class 1.</t>
  </si>
  <si>
    <t>Enter the registry ID number in row 4227 of the table for production class 1.</t>
  </si>
  <si>
    <t>Enter the registry ID number in row 4228 of the table for production class 1.</t>
  </si>
  <si>
    <t>Enter the registry ID number in row 4229 of the table for production class 1.</t>
  </si>
  <si>
    <t>Enter the registry ID number in row 4230 of the table for production class 1.</t>
  </si>
  <si>
    <t>Enter the registry ID number in row 4231 of the table for production class 1.</t>
  </si>
  <si>
    <t>Enter the registry ID number in row 4232 of the table for production class 1.</t>
  </si>
  <si>
    <t>Enter the registry ID number in row 4233 of the table for production class 1.</t>
  </si>
  <si>
    <t>Enter the registry ID number in row 4234 of the table for production class 1.</t>
  </si>
  <si>
    <t>Enter the registry ID number in row 4235 of the table for production class 1.</t>
  </si>
  <si>
    <t>Enter the registry ID number in row 4236 of the table for production class 1.</t>
  </si>
  <si>
    <t>Enter the registry ID number in row 4237 of the table for production class 1.</t>
  </si>
  <si>
    <t>Enter the registry ID number in row 4238 of the table for production class 1.</t>
  </si>
  <si>
    <t>Enter the registry ID number in row 4239 of the table for production class 1.</t>
  </si>
  <si>
    <t>Enter the registry ID number in row 4240 of the table for production class 1.</t>
  </si>
  <si>
    <t>Enter the registry ID number in row 4241 of the table for production class 1.</t>
  </si>
  <si>
    <t>Enter the registry ID number in row 4242 of the table for production class 1.</t>
  </si>
  <si>
    <t>Enter the registry ID number in row 4243 of the table for production class 1.</t>
  </si>
  <si>
    <t>Enter the registry ID number in row 4244 of the table for production class 1.</t>
  </si>
  <si>
    <t>Enter the registry ID number in row 4245 of the table for production class 1.</t>
  </si>
  <si>
    <t>Enter the registry ID number in row 4246 of the table for production class 1.</t>
  </si>
  <si>
    <t>Enter the registry ID number in row 4247 of the table for production class 1.</t>
  </si>
  <si>
    <t>Enter the registry ID number in row 4248 of the table for production class 1.</t>
  </si>
  <si>
    <t>Enter the registry ID number in row 4249 of the table for production class 1.</t>
  </si>
  <si>
    <t>Enter the registry ID number in row 4250 of the table for production class 1.</t>
  </si>
  <si>
    <t>Enter the registry ID number in row 4251 of the table for production class 1.</t>
  </si>
  <si>
    <t>Enter the registry ID number in row 4252 of the table for production class 1.</t>
  </si>
  <si>
    <t>Enter the registry ID number in row 4253 of the table for production class 1.</t>
  </si>
  <si>
    <t>Enter the registry ID number in row 4254 of the table for production class 1.</t>
  </si>
  <si>
    <t>Enter the registry ID number in row 4255 of the table for production class 1.</t>
  </si>
  <si>
    <t>Enter the registry ID number in row 4256 of the table for production class 1.</t>
  </si>
  <si>
    <t>Enter the registry ID number in row 4257 of the table for production class 1.</t>
  </si>
  <si>
    <t>Enter the registry ID number in row 4258 of the table for production class 1.</t>
  </si>
  <si>
    <t>Enter the registry ID number in row 4259 of the table for production class 1.</t>
  </si>
  <si>
    <t>Enter the registry ID number in row 4260 of the table for production class 1.</t>
  </si>
  <si>
    <t>Enter the registry ID number in row 4261 of the table for production class 1.</t>
  </si>
  <si>
    <t>Enter the registry ID number in row 4262 of the table for production class 1.</t>
  </si>
  <si>
    <t>Enter the registry ID number in row 4263 of the table for production class 1.</t>
  </si>
  <si>
    <t>Enter the registry ID number in row 4264 of the table for production class 1.</t>
  </si>
  <si>
    <t>Enter the registry ID number in row 4265 of the table for production class 1.</t>
  </si>
  <si>
    <t>Enter the registry ID number in row 4266 of the table for production class 1.</t>
  </si>
  <si>
    <t>Enter the registry ID number in row 4267 of the table for production class 1.</t>
  </si>
  <si>
    <t>Enter the registry ID number in row 4268 of the table for production class 1.</t>
  </si>
  <si>
    <t>Enter the registry ID number in row 4269 of the table for production class 1.</t>
  </si>
  <si>
    <t>Enter the registry ID number in row 4270 of the table for production class 1.</t>
  </si>
  <si>
    <t>Enter the registry ID number in row 4271 of the table for production class 1.</t>
  </si>
  <si>
    <t>Enter the registry ID number in row 4272 of the table for production class 1.</t>
  </si>
  <si>
    <t>Enter the registry ID number in row 4273 of the table for production class 1.</t>
  </si>
  <si>
    <t>Enter the registry ID number in row 4274 of the table for production class 1.</t>
  </si>
  <si>
    <t>Enter the registry ID number in row 4275 of the table for production class 1.</t>
  </si>
  <si>
    <t>Enter the registry ID number in row 4276 of the table for production class 1.</t>
  </si>
  <si>
    <t>Enter the registry ID number in row 4277 of the table for production class 1.</t>
  </si>
  <si>
    <t>Enter the registry ID number in row 4278 of the table for production class 1.</t>
  </si>
  <si>
    <t>Enter the registry ID number in row 4279 of the table for production class 1.</t>
  </si>
  <si>
    <t>Enter the registry ID number in row 4280 of the table for production class 1.</t>
  </si>
  <si>
    <t>Enter the registry ID number in row 4281 of the table for production class 1.</t>
  </si>
  <si>
    <t>Enter the registry ID number in row 4282 of the table for production class 1.</t>
  </si>
  <si>
    <t>Enter the registry ID number in row 4283 of the table for production class 1.</t>
  </si>
  <si>
    <t>Enter the registry ID number in row 4284 of the table for production class 1.</t>
  </si>
  <si>
    <t>Enter the registry ID number in row 4285 of the table for production class 1.</t>
  </si>
  <si>
    <t>Enter the registry ID number in row 4286 of the table for production class 1.</t>
  </si>
  <si>
    <t>Enter the registry ID number in row 4287 of the table for production class 1.</t>
  </si>
  <si>
    <t>Enter the registry ID number in row 4288 of the table for production class 1.</t>
  </si>
  <si>
    <t>Enter the registry ID number in row 4289 of the table for production class 1.</t>
  </si>
  <si>
    <t>Enter the registry ID number in row 4290 of the table for production class 1.</t>
  </si>
  <si>
    <t>Enter the registry ID number in row 4291 of the table for production class 1.</t>
  </si>
  <si>
    <t>Enter the registry ID number in row 4292 of the table for production class 1.</t>
  </si>
  <si>
    <t>Enter the registry ID number in row 4293 of the table for production class 1.</t>
  </si>
  <si>
    <t>Enter the registry ID number in row 4294 of the table for production class 1.</t>
  </si>
  <si>
    <t>Enter the registry ID number in row 4295 of the table for production class 1.</t>
  </si>
  <si>
    <t>Enter the registry ID number in row 4296 of the table for production class 1.</t>
  </si>
  <si>
    <t>Enter the registry ID number in row 4297 of the table for production class 1.</t>
  </si>
  <si>
    <t>Enter the registry ID number in row 4298 of the table for production class 1.</t>
  </si>
  <si>
    <t>Enter the registry ID number in row 4299 of the table for production class 1.</t>
  </si>
  <si>
    <t>Enter the registry ID number in row 4300 of the table for production class 1.</t>
  </si>
  <si>
    <t>Enter the registry ID number in row 4301 of the table for production class 1.</t>
  </si>
  <si>
    <t>Enter the registry ID number in row 4302 of the table for production class 1.</t>
  </si>
  <si>
    <t>Enter the registry ID number in row 4303 of the table for production class 1.</t>
  </si>
  <si>
    <t>Enter the registry ID number in row 4304 of the table for production class 1.</t>
  </si>
  <si>
    <t>Enter the registry ID number in row 4305 of the table for production class 1.</t>
  </si>
  <si>
    <t>Enter the registry ID number in row 4306 of the table for production class 1.</t>
  </si>
  <si>
    <t>Enter the registry ID number in row 4307 of the table for production class 1.</t>
  </si>
  <si>
    <t>Enter the registry ID number in row 4308 of the table for production class 1.</t>
  </si>
  <si>
    <t>Enter the registry ID number in row 4309 of the table for production class 1.</t>
  </si>
  <si>
    <t>Enter the registry ID number in row 4310 of the table for production class 1.</t>
  </si>
  <si>
    <t>Enter the registry ID number in row 4311 of the table for production class 1.</t>
  </si>
  <si>
    <t>Enter the registry ID number in row 4312 of the table for production class 1.</t>
  </si>
  <si>
    <t>Enter the registry ID number in row 4313 of the table for production class 1.</t>
  </si>
  <si>
    <t>Enter the registry ID number in row 4314 of the table for production class 1.</t>
  </si>
  <si>
    <t>Enter the registry ID number in row 4315 of the table for production class 1.</t>
  </si>
  <si>
    <t>Enter the registry ID number in row 4316 of the table for production class 1.</t>
  </si>
  <si>
    <t>Enter the registry ID number in row 4317 of the table for production class 1.</t>
  </si>
  <si>
    <t>Enter the registry ID number in row 4318 of the table for production class 1.</t>
  </si>
  <si>
    <t>Enter the registry ID number in row 4319 of the table for production class 1.</t>
  </si>
  <si>
    <t>Enter the registry ID number in row 4320 of the table for production class 1.</t>
  </si>
  <si>
    <t>Enter the registry ID number in row 4321 of the table for production class 1.</t>
  </si>
  <si>
    <t>Enter the registry ID number in row 4322 of the table for production class 1.</t>
  </si>
  <si>
    <t>Enter the registry ID number in row 4323 of the table for production class 1.</t>
  </si>
  <si>
    <t>Enter the registry ID number in row 4324 of the table for production class 1.</t>
  </si>
  <si>
    <t>Enter the registry ID number in row 4325 of the table for production class 1.</t>
  </si>
  <si>
    <t>Enter the registry ID number in row 4326 of the table for production class 1.</t>
  </si>
  <si>
    <t>Enter the registry ID number in row 4327 of the table for production class 1.</t>
  </si>
  <si>
    <t>Enter the registry ID number in row 4328 of the table for production class 1.</t>
  </si>
  <si>
    <t>Enter the registry ID number in row 4329 of the table for production class 1.</t>
  </si>
  <si>
    <t>Enter the registry ID number in row 4330 of the table for production class 1.</t>
  </si>
  <si>
    <t>Enter the registry ID number in row 4331 of the table for production class 1.</t>
  </si>
  <si>
    <t>Enter the registry ID number in row 4332 of the table for production class 1.</t>
  </si>
  <si>
    <t>Enter the registry ID number in row 4333 of the table for production class 1.</t>
  </si>
  <si>
    <t>Enter the registry ID number in row 4334 of the table for production class 1.</t>
  </si>
  <si>
    <t>Enter the registry ID number in row 4335 of the table for production class 1.</t>
  </si>
  <si>
    <t>Enter the registry ID number in row 4336 of the table for production class 1.</t>
  </si>
  <si>
    <t>Enter the registry ID number in row 4337 of the table for production class 1.</t>
  </si>
  <si>
    <t>Enter the registry ID number in row 4338 of the table for production class 1.</t>
  </si>
  <si>
    <t>Enter the registry ID number in row 4339 of the table for production class 1.</t>
  </si>
  <si>
    <t>Enter the registry ID number in row 4340 of the table for production class 1.</t>
  </si>
  <si>
    <t>Enter the registry ID number in row 4341 of the table for production class 1.</t>
  </si>
  <si>
    <t>Enter the registry ID number in row 4342 of the table for production class 1.</t>
  </si>
  <si>
    <t>Enter the registry ID number in row 4343 of the table for production class 1.</t>
  </si>
  <si>
    <t>Enter the registry ID number in row 4344 of the table for production class 1.</t>
  </si>
  <si>
    <t>Enter the registry ID number in row 4345 of the table for production class 1.</t>
  </si>
  <si>
    <t>Enter the registry ID number in row 4346 of the table for production class 1.</t>
  </si>
  <si>
    <t>Enter the registry ID number in row 4347 of the table for production class 1.</t>
  </si>
  <si>
    <t>Enter the registry ID number in row 4348 of the table for production class 1.</t>
  </si>
  <si>
    <t>Enter the registry ID number in row 4349 of the table for production class 1.</t>
  </si>
  <si>
    <t>Enter the registry ID number in row 4350 of the table for production class 1.</t>
  </si>
  <si>
    <t>Enter the registry ID number in row 4351 of the table for production class 1.</t>
  </si>
  <si>
    <t>Enter the registry ID number in row 4352 of the table for production class 1.</t>
  </si>
  <si>
    <t>Enter the registry ID number in row 4353 of the table for production class 1.</t>
  </si>
  <si>
    <t>Enter the registry ID number in row 4354 of the table for production class 1.</t>
  </si>
  <si>
    <t>Enter the registry ID number in row 4355 of the table for production class 1.</t>
  </si>
  <si>
    <t>Enter the registry ID number in row 4356 of the table for production class 1.</t>
  </si>
  <si>
    <t>Enter the registry ID number in row 4357 of the table for production class 1.</t>
  </si>
  <si>
    <t>Enter the registry ID number in row 4358 of the table for production class 1.</t>
  </si>
  <si>
    <t>Enter the registry ID number in row 4359 of the table for production class 1.</t>
  </si>
  <si>
    <t>Enter the registry ID number in row 4360 of the table for production class 1.</t>
  </si>
  <si>
    <t>Enter the registry ID number in row 4361 of the table for production class 1.</t>
  </si>
  <si>
    <t>Enter the registry ID number in row 4362 of the table for production class 1.</t>
  </si>
  <si>
    <t>Enter the registry ID number in row 4363 of the table for production class 1.</t>
  </si>
  <si>
    <t>Enter the registry ID number in row 4364 of the table for production class 1.</t>
  </si>
  <si>
    <t>Enter the registry ID number in row 4365 of the table for production class 1.</t>
  </si>
  <si>
    <t>Enter the registry ID number in row 4366 of the table for production class 1.</t>
  </si>
  <si>
    <t>Enter the registry ID number in row 4367 of the table for production class 1.</t>
  </si>
  <si>
    <t>Enter the registry ID number in row 4368 of the table for production class 1.</t>
  </si>
  <si>
    <t>Enter the registry ID number in row 4369 of the table for production class 1.</t>
  </si>
  <si>
    <t>Enter the registry ID number in row 4370 of the table for production class 1.</t>
  </si>
  <si>
    <t>Enter the registry ID number in row 4371 of the table for production class 1.</t>
  </si>
  <si>
    <t>Enter the registry ID number in row 4372 of the table for production class 1.</t>
  </si>
  <si>
    <t>Enter the registry ID number in row 4373 of the table for production class 1.</t>
  </si>
  <si>
    <t>Enter the registry ID number in row 4374 of the table for production class 1.</t>
  </si>
  <si>
    <t>Enter the registry ID number in row 4375 of the table for production class 1.</t>
  </si>
  <si>
    <t>Enter the registry ID number in row 4376 of the table for production class 1.</t>
  </si>
  <si>
    <t>Enter the registry ID number in row 4377 of the table for production class 1.</t>
  </si>
  <si>
    <t>Enter the registry ID number in row 4378 of the table for production class 1.</t>
  </si>
  <si>
    <t>Enter the registry ID number in row 4379 of the table for production class 1.</t>
  </si>
  <si>
    <t>Enter the registry ID number in row 4380 of the table for production class 1.</t>
  </si>
  <si>
    <t>Enter the registry ID number in row 4381 of the table for production class 1.</t>
  </si>
  <si>
    <t>Enter the registry ID number in row 4382 of the table for production class 1.</t>
  </si>
  <si>
    <t>Enter the registry ID number in row 4383 of the table for production class 1.</t>
  </si>
  <si>
    <t>Enter the registry ID number in row 4384 of the table for production class 1.</t>
  </si>
  <si>
    <t>Enter the registry ID number in row 4385 of the table for production class 1.</t>
  </si>
  <si>
    <t>Enter the registry ID number in row 4386 of the table for production class 1.</t>
  </si>
  <si>
    <t>Enter the registry ID number in row 4387 of the table for production class 1.</t>
  </si>
  <si>
    <t>Enter the registry ID number in row 4388 of the table for production class 1.</t>
  </si>
  <si>
    <t>Enter the registry ID number in row 4389 of the table for production class 1.</t>
  </si>
  <si>
    <t>Enter the registry ID number in row 4390 of the table for production class 1.</t>
  </si>
  <si>
    <t>Enter the registry ID number in row 4391 of the table for production class 1.</t>
  </si>
  <si>
    <t>Enter the registry ID number in row 4392 of the table for production class 1.</t>
  </si>
  <si>
    <t>Enter the registry ID number in row 4393 of the table for production class 1.</t>
  </si>
  <si>
    <t>Enter the registry ID number in row 4394 of the table for production class 1.</t>
  </si>
  <si>
    <t>Enter the registry ID number in row 4395 of the table for production class 1.</t>
  </si>
  <si>
    <t>Enter the registry ID number in row 4396 of the table for production class 1.</t>
  </si>
  <si>
    <t>Enter the registry ID number in row 4397 of the table for production class 1.</t>
  </si>
  <si>
    <t>Enter the registry ID number in row 4398 of the table for production class 1.</t>
  </si>
  <si>
    <t>Enter the registry ID number in row 4399 of the table for production class 1.</t>
  </si>
  <si>
    <t>Enter the registry ID number in row 4400 of the table for production class 1.</t>
  </si>
  <si>
    <t>Enter the registry ID number in row 4401 of the table for production class 1.</t>
  </si>
  <si>
    <t>Enter the registry ID number in row 4402 of the table for production class 1.</t>
  </si>
  <si>
    <t>Enter the registry ID number in row 4403 of the table for production class 1.</t>
  </si>
  <si>
    <t>Enter the registry ID number in row 4404 of the table for production class 1.</t>
  </si>
  <si>
    <t>Enter the registry ID number in row 4405 of the table for production class 1.</t>
  </si>
  <si>
    <t>Enter the registry ID number in row 4406 of the table for production class 1.</t>
  </si>
  <si>
    <t>Enter the registry ID number in row 4407 of the table for production class 1.</t>
  </si>
  <si>
    <t>Enter the registry ID number in row 4408 of the table for production class 1.</t>
  </si>
  <si>
    <t>Enter the registry ID number in row 4409 of the table for production class 1.</t>
  </si>
  <si>
    <t>Enter the registry ID number in row 4410 of the table for production class 1.</t>
  </si>
  <si>
    <t>Enter the registry ID number in row 4411 of the table for production class 1.</t>
  </si>
  <si>
    <t>Enter the registry ID number in row 4412 of the table for production class 1.</t>
  </si>
  <si>
    <t>Enter the registry ID number in row 4413 of the table for production class 1.</t>
  </si>
  <si>
    <t>Enter the registry ID number in row 4414 of the table for production class 1.</t>
  </si>
  <si>
    <t>Enter the registry ID number in row 4415 of the table for production class 1.</t>
  </si>
  <si>
    <t>Enter the registry ID number in row 4416 of the table for production class 1.</t>
  </si>
  <si>
    <t>Enter the registry ID number in row 4417 of the table for production class 1.</t>
  </si>
  <si>
    <t>Enter the registry ID number in row 4418 of the table for production class 1.</t>
  </si>
  <si>
    <t>Enter the registry ID number in row 4419 of the table for production class 1.</t>
  </si>
  <si>
    <t>Enter the registry ID number in row 4420 of the table for production class 1.</t>
  </si>
  <si>
    <t>Enter the registry ID number in row 4421 of the table for production class 1.</t>
  </si>
  <si>
    <t>Enter the registry ID number in row 4422 of the table for production class 1.</t>
  </si>
  <si>
    <t>Enter the registry ID number in row 4423 of the table for production class 1.</t>
  </si>
  <si>
    <t>Enter the registry ID number in row 4424 of the table for production class 1.</t>
  </si>
  <si>
    <t>Enter the registry ID number in row 4425 of the table for production class 1.</t>
  </si>
  <si>
    <t>Enter the registry ID number in row 4426 of the table for production class 1.</t>
  </si>
  <si>
    <t>Enter the registry ID number in row 4427 of the table for production class 1.</t>
  </si>
  <si>
    <t>Enter the registry ID number in row 4428 of the table for production class 1.</t>
  </si>
  <si>
    <t>Enter the registry ID number in row 4429 of the table for production class 1.</t>
  </si>
  <si>
    <t>Enter the registry ID number in row 4430 of the table for production class 1.</t>
  </si>
  <si>
    <t>Enter the registry ID number in row 4431 of the table for production class 1.</t>
  </si>
  <si>
    <t>Enter the registry ID number in row 4432 of the table for production class 1.</t>
  </si>
  <si>
    <t>Enter the registry ID number in row 4433 of the table for production class 1.</t>
  </si>
  <si>
    <t>Enter the registry ID number in row 4434 of the table for production class 1.</t>
  </si>
  <si>
    <t>Enter the registry ID number in row 4435 of the table for production class 1.</t>
  </si>
  <si>
    <t>Enter the registry ID number in row 4436 of the table for production class 1.</t>
  </si>
  <si>
    <t>Enter the registry ID number in row 4437 of the table for production class 1.</t>
  </si>
  <si>
    <t>Enter the registry ID number in row 4438 of the table for production class 1.</t>
  </si>
  <si>
    <t>Enter the registry ID number in row 4439 of the table for production class 1.</t>
  </si>
  <si>
    <t>Enter the registry ID number in row 4440 of the table for production class 1.</t>
  </si>
  <si>
    <t>Enter the registry ID number in row 4441 of the table for production class 1.</t>
  </si>
  <si>
    <t>Enter the registry ID number in row 4442 of the table for production class 1.</t>
  </si>
  <si>
    <t>Enter the registry ID number in row 4443 of the table for production class 1.</t>
  </si>
  <si>
    <t>Enter the registry ID number in row 4444 of the table for production class 1.</t>
  </si>
  <si>
    <t>Enter the registry ID number in row 4445 of the table for production class 1.</t>
  </si>
  <si>
    <t>Enter the registry ID number in row 4446 of the table for production class 1.</t>
  </si>
  <si>
    <t>Enter the registry ID number in row 4447 of the table for production class 1.</t>
  </si>
  <si>
    <t>Enter the registry ID number in row 4448 of the table for production class 1.</t>
  </si>
  <si>
    <t>Enter the registry ID number in row 4449 of the table for production class 1.</t>
  </si>
  <si>
    <t>Enter the registry ID number in row 4450 of the table for production class 1.</t>
  </si>
  <si>
    <t>Enter the registry ID number in row 4451 of the table for production class 1.</t>
  </si>
  <si>
    <t>Enter the registry ID number in row 4452 of the table for production class 1.</t>
  </si>
  <si>
    <t>Enter the registry ID number in row 4453 of the table for production class 1.</t>
  </si>
  <si>
    <t>Enter the registry ID number in row 4454 of the table for production class 1.</t>
  </si>
  <si>
    <t>Enter the registry ID number in row 4455 of the table for production class 1.</t>
  </si>
  <si>
    <t>Enter the registry ID number in row 4456 of the table for production class 1.</t>
  </si>
  <si>
    <t>Enter the registry ID number in row 4457 of the table for production class 1.</t>
  </si>
  <si>
    <t>Enter the registry ID number in row 4458 of the table for production class 1.</t>
  </si>
  <si>
    <t>Enter the registry ID number in row 4459 of the table for production class 1.</t>
  </si>
  <si>
    <t>Enter the registry ID number in row 4460 of the table for production class 1.</t>
  </si>
  <si>
    <t>Enter the registry ID number in row 4461 of the table for production class 1.</t>
  </si>
  <si>
    <t>Enter the registry ID number in row 4462 of the table for production class 1.</t>
  </si>
  <si>
    <t>Enter the registry ID number in row 4463 of the table for production class 1.</t>
  </si>
  <si>
    <t>Enter the registry ID number in row 4464 of the table for production class 1.</t>
  </si>
  <si>
    <t>Enter the registry ID number in row 4465 of the table for production class 1.</t>
  </si>
  <si>
    <t>Enter the registry ID number in row 4466 of the table for production class 1.</t>
  </si>
  <si>
    <t>Enter the registry ID number in row 4467 of the table for production class 1.</t>
  </si>
  <si>
    <t>Enter the registry ID number in row 4468 of the table for production class 1.</t>
  </si>
  <si>
    <t>Enter the registry ID number in row 4469 of the table for production class 1.</t>
  </si>
  <si>
    <t>Enter the registry ID number in row 4470 of the table for production class 1.</t>
  </si>
  <si>
    <t>Enter the registry ID number in row 4471 of the table for production class 1.</t>
  </si>
  <si>
    <t>Enter the registry ID number in row 4472 of the table for production class 1.</t>
  </si>
  <si>
    <t>Enter the registry ID number in row 4473 of the table for production class 1.</t>
  </si>
  <si>
    <t>Enter the registry ID number in row 4474 of the table for production class 1.</t>
  </si>
  <si>
    <t>Enter the registry ID number in row 4475 of the table for production class 1.</t>
  </si>
  <si>
    <t>Enter the registry ID number in row 4476 of the table for production class 1.</t>
  </si>
  <si>
    <t>Enter the registry ID number in row 4477 of the table for production class 1.</t>
  </si>
  <si>
    <t>Enter the registry ID number in row 4478 of the table for production class 1.</t>
  </si>
  <si>
    <t>Enter the registry ID number in row 4479 of the table for production class 1.</t>
  </si>
  <si>
    <t>Enter the registry ID number in row 4480 of the table for production class 1.</t>
  </si>
  <si>
    <t>Enter the registry ID number in row 4481 of the table for production class 1.</t>
  </si>
  <si>
    <t>Enter the registry ID number in row 4482 of the table for production class 1.</t>
  </si>
  <si>
    <t>Enter the registry ID number in row 4483 of the table for production class 1.</t>
  </si>
  <si>
    <t>Enter the registry ID number in row 4484 of the table for production class 1.</t>
  </si>
  <si>
    <t>Enter the registry ID number in row 4485 of the table for production class 1.</t>
  </si>
  <si>
    <t>Enter the registry ID number in row 4486 of the table for production class 1.</t>
  </si>
  <si>
    <t>Enter the registry ID number in row 4487 of the table for production class 1.</t>
  </si>
  <si>
    <t>Enter the registry ID number in row 4488 of the table for production class 1.</t>
  </si>
  <si>
    <t>Enter the registry ID number in row 4489 of the table for production class 1.</t>
  </si>
  <si>
    <t>Enter the registry ID number in row 4490 of the table for production class 1.</t>
  </si>
  <si>
    <t>Enter the registry ID number in row 4491 of the table for production class 1.</t>
  </si>
  <si>
    <t>Enter the registry ID number in row 4492 of the table for production class 1.</t>
  </si>
  <si>
    <t>Enter the registry ID number in row 4493 of the table for production class 1.</t>
  </si>
  <si>
    <t>Enter the registry ID number in row 4494 of the table for production class 1.</t>
  </si>
  <si>
    <t>Enter the registry ID number in row 4495 of the table for production class 1.</t>
  </si>
  <si>
    <t>Enter the registry ID number in row 4496 of the table for production class 1.</t>
  </si>
  <si>
    <t>Enter the registry ID number in row 4497 of the table for production class 1.</t>
  </si>
  <si>
    <t>Enter the registry ID number in row 4498 of the table for production class 1.</t>
  </si>
  <si>
    <t>Enter the registry ID number in row 4499 of the table for production class 1.</t>
  </si>
  <si>
    <t>Enter the registry ID number in row 4500 of the table for production class 1.</t>
  </si>
  <si>
    <t>Enter the registry ID number in row 4501 of the table for production class 1.</t>
  </si>
  <si>
    <t>Enter the registry ID number in row 4502 of the table for production class 1.</t>
  </si>
  <si>
    <t>Enter the registry ID number in row 4503 of the table for production class 1.</t>
  </si>
  <si>
    <t>Enter the registry ID number in row 4504 of the table for production class 1.</t>
  </si>
  <si>
    <t>Enter the registry ID number in row 4505 of the table for production class 1.</t>
  </si>
  <si>
    <t>Enter the registry ID number in row 4506 of the table for production class 1.</t>
  </si>
  <si>
    <t>Enter the registry ID number in row 4507 of the table for production class 1.</t>
  </si>
  <si>
    <t>Enter the registry ID number in row 4508 of the table for production class 1.</t>
  </si>
  <si>
    <t>Enter the registry ID number in row 4509 of the table for production class 1.</t>
  </si>
  <si>
    <t>Enter the registry ID number in row 4510 of the table for production class 1.</t>
  </si>
  <si>
    <t>Enter the registry ID number in row 4511 of the table for production class 1.</t>
  </si>
  <si>
    <t>Enter the registry ID number in row 4512 of the table for production class 1.</t>
  </si>
  <si>
    <t>Enter the registry ID number in row 4513 of the table for production class 1.</t>
  </si>
  <si>
    <t>Enter the registry ID number in row 4514 of the table for production class 1.</t>
  </si>
  <si>
    <t>Enter the registry ID number in row 4515 of the table for production class 1.</t>
  </si>
  <si>
    <t>Enter the registry ID number in row 4516 of the table for production class 1.</t>
  </si>
  <si>
    <t>Enter the registry ID number in row 4517 of the table for production class 1.</t>
  </si>
  <si>
    <t>Enter the registry ID number in row 4518 of the table for production class 1.</t>
  </si>
  <si>
    <t>Enter the registry ID number in row 4519 of the table for production class 1.</t>
  </si>
  <si>
    <t>Enter the registry ID number in row 4520 of the table for production class 1.</t>
  </si>
  <si>
    <t>Enter the registry ID number in row 4521 of the table for production class 1.</t>
  </si>
  <si>
    <t>Enter the registry ID number in row 4522 of the table for production class 1.</t>
  </si>
  <si>
    <t>Enter the registry ID number in row 4523 of the table for production class 1.</t>
  </si>
  <si>
    <t>Enter the registry ID number in row 4524 of the table for production class 1.</t>
  </si>
  <si>
    <t>Enter the registry ID number in row 4525 of the table for production class 1.</t>
  </si>
  <si>
    <t>Enter the registry ID number in row 4526 of the table for production class 1.</t>
  </si>
  <si>
    <t>Enter the registry ID number in row 4527 of the table for production class 1.</t>
  </si>
  <si>
    <t>Enter the registry ID number in row 4528 of the table for production class 1.</t>
  </si>
  <si>
    <t>Enter the registry ID number in row 4529 of the table for production class 1.</t>
  </si>
  <si>
    <t>Enter the registry ID number in row 4530 of the table for production class 1.</t>
  </si>
  <si>
    <t>Enter the registry ID number in row 4531 of the table for production class 1.</t>
  </si>
  <si>
    <t>Enter the registry ID number in row 4532 of the table for production class 1.</t>
  </si>
  <si>
    <t>Enter the registry ID number in row 4533 of the table for production class 1.</t>
  </si>
  <si>
    <t>Enter the registry ID number in row 4534 of the table for production class 1.</t>
  </si>
  <si>
    <t>Enter the registry ID number in row 4535 of the table for production class 1.</t>
  </si>
  <si>
    <t>Enter the registry ID number in row 4536 of the table for production class 1.</t>
  </si>
  <si>
    <t>Enter the registry ID number in row 4537 of the table for production class 1.</t>
  </si>
  <si>
    <t>Enter the registry ID number in row 4538 of the table for production class 1.</t>
  </si>
  <si>
    <t>Enter the registry ID number in row 4539 of the table for production class 1.</t>
  </si>
  <si>
    <t>Enter the registry ID number in row 4540 of the table for production class 1.</t>
  </si>
  <si>
    <t>Enter the registry ID number in row 4541 of the table for production class 1.</t>
  </si>
  <si>
    <t>Enter the registry ID number in row 4542 of the table for production class 1.</t>
  </si>
  <si>
    <t>Enter the registry ID number in row 4543 of the table for production class 1.</t>
  </si>
  <si>
    <t>Enter the registry ID number in row 4544 of the table for production class 1.</t>
  </si>
  <si>
    <t>Enter the registry ID number in row 4545 of the table for production class 1.</t>
  </si>
  <si>
    <t>Enter the registry ID number in row 4546 of the table for production class 1.</t>
  </si>
  <si>
    <t>Enter the registry ID number in row 4547 of the table for production class 1.</t>
  </si>
  <si>
    <t>Enter the registry ID number in row 4548 of the table for production class 1.</t>
  </si>
  <si>
    <t>Enter the registry ID number in row 4549 of the table for production class 1.</t>
  </si>
  <si>
    <t>Enter the registry ID number in row 4550 of the table for production class 1.</t>
  </si>
  <si>
    <t>Enter the registry ID number in row 4551 of the table for production class 1.</t>
  </si>
  <si>
    <t>Enter the registry ID number in row 4552 of the table for production class 1.</t>
  </si>
  <si>
    <t>Enter the registry ID number in row 4553 of the table for production class 1.</t>
  </si>
  <si>
    <t>Enter the registry ID number in row 4554 of the table for production class 1.</t>
  </si>
  <si>
    <t>Enter the registry ID number in row 4555 of the table for production class 1.</t>
  </si>
  <si>
    <t>Enter the registry ID number in row 4556 of the table for production class 1.</t>
  </si>
  <si>
    <t>Enter the registry ID number in row 4557 of the table for production class 1.</t>
  </si>
  <si>
    <t>Enter the registry ID number in row 4558 of the table for production class 1.</t>
  </si>
  <si>
    <t>Enter the registry ID number in row 4559 of the table for production class 1.</t>
  </si>
  <si>
    <t>Enter the registry ID number in row 4560 of the table for production class 1.</t>
  </si>
  <si>
    <t>Enter the registry ID number in row 4561 of the table for production class 1.</t>
  </si>
  <si>
    <t>Enter the registry ID number in row 4562 of the table for production class 1.</t>
  </si>
  <si>
    <t>Enter the registry ID number in row 4563 of the table for production class 1.</t>
  </si>
  <si>
    <t>Enter the registry ID number in row 4564 of the table for production class 1.</t>
  </si>
  <si>
    <t>Enter the registry ID number in row 4565 of the table for production class 1.</t>
  </si>
  <si>
    <t>Enter the registry ID number in row 4566 of the table for production class 1.</t>
  </si>
  <si>
    <t>Enter the registry ID number in row 4567 of the table for production class 1.</t>
  </si>
  <si>
    <t>Enter the registry ID number in row 4568 of the table for production class 1.</t>
  </si>
  <si>
    <t>Enter the registry ID number in row 4569 of the table for production class 1.</t>
  </si>
  <si>
    <t>Enter the registry ID number in row 4570 of the table for production class 1.</t>
  </si>
  <si>
    <t>Enter the registry ID number in row 4571 of the table for production class 1.</t>
  </si>
  <si>
    <t>Enter the registry ID number in row 4572 of the table for production class 1.</t>
  </si>
  <si>
    <t>Enter the registry ID number in row 4573 of the table for production class 1.</t>
  </si>
  <si>
    <t>Enter the registry ID number in row 4574 of the table for production class 1.</t>
  </si>
  <si>
    <t>Enter the registry ID number in row 4575 of the table for production class 1.</t>
  </si>
  <si>
    <t>Enter the registry ID number in row 4576 of the table for production class 1.</t>
  </si>
  <si>
    <t>Enter the registry ID number in row 4577 of the table for production class 1.</t>
  </si>
  <si>
    <t>Enter the registry ID number in row 4578 of the table for production class 1.</t>
  </si>
  <si>
    <t>Enter the registry ID number in row 4579 of the table for production class 1.</t>
  </si>
  <si>
    <t>Enter the registry ID number in row 4580 of the table for production class 1.</t>
  </si>
  <si>
    <t>Enter the registry ID number in row 4581 of the table for production class 1.</t>
  </si>
  <si>
    <t>Enter the registry ID number in row 4582 of the table for production class 1.</t>
  </si>
  <si>
    <t>Enter the registry ID number in row 4583 of the table for production class 1.</t>
  </si>
  <si>
    <t>Enter the registry ID number in row 4584 of the table for production class 1.</t>
  </si>
  <si>
    <t>Enter the registry ID number in row 4585 of the table for production class 1.</t>
  </si>
  <si>
    <t>Enter the registry ID number in row 4586 of the table for production class 1.</t>
  </si>
  <si>
    <t>Enter the registry ID number in row 4587 of the table for production class 1.</t>
  </si>
  <si>
    <t>Enter the registry ID number in row 4588 of the table for production class 1.</t>
  </si>
  <si>
    <t>Enter the registry ID number in row 4589 of the table for production class 1.</t>
  </si>
  <si>
    <t>Enter the registry ID number in row 4590 of the table for production class 1.</t>
  </si>
  <si>
    <t>Enter the registry ID number in row 4591 of the table for production class 1.</t>
  </si>
  <si>
    <t>Enter the registry ID number in row 4592 of the table for production class 1.</t>
  </si>
  <si>
    <t>Enter the registry ID number in row 4593 of the table for production class 1.</t>
  </si>
  <si>
    <t>Enter the registry ID number in row 4594 of the table for production class 1.</t>
  </si>
  <si>
    <t>Enter the registry ID number in row 4595 of the table for production class 1.</t>
  </si>
  <si>
    <t>Enter the registry ID number in row 4596 of the table for production class 1.</t>
  </si>
  <si>
    <t>Enter the registry ID number in row 4597 of the table for production class 1.</t>
  </si>
  <si>
    <t>Enter the registry ID number in row 4598 of the table for production class 1.</t>
  </si>
  <si>
    <t>Enter the registry ID number in row 4599 of the table for production class 1.</t>
  </si>
  <si>
    <t>Enter the registry ID number in row 4600 of the table for production class 1.</t>
  </si>
  <si>
    <t>Enter the registry ID number in row 4601 of the table for production class 1.</t>
  </si>
  <si>
    <t>Enter the registry ID number in row 4602 of the table for production class 1.</t>
  </si>
  <si>
    <t>Enter the registry ID number in row 4603 of the table for production class 1.</t>
  </si>
  <si>
    <t>Enter the registry ID number in row 4604 of the table for production class 1.</t>
  </si>
  <si>
    <t>Enter the registry ID number in row 4605 of the table for production class 1.</t>
  </si>
  <si>
    <t>Enter the registry ID number in row 4606 of the table for production class 1.</t>
  </si>
  <si>
    <t>Enter the registry ID number in row 4607 of the table for production class 1.</t>
  </si>
  <si>
    <t>Enter the registry ID number in row 4608 of the table for production class 1.</t>
  </si>
  <si>
    <t>Enter the registry ID number in row 4609 of the table for production class 1.</t>
  </si>
  <si>
    <t>Enter the registry ID number in row 4610 of the table for production class 1.</t>
  </si>
  <si>
    <t>Enter the registry ID number in row 4611 of the table for production class 1.</t>
  </si>
  <si>
    <t>Enter the registry ID number in row 4612 of the table for production class 1.</t>
  </si>
  <si>
    <t>Enter the registry ID number in row 4613 of the table for production class 1.</t>
  </si>
  <si>
    <t>Enter the registry ID number in row 4614 of the table for production class 1.</t>
  </si>
  <si>
    <t>Enter the registry ID number in row 4615 of the table for production class 1.</t>
  </si>
  <si>
    <t>Enter the registry ID number in row 4616 of the table for production class 1.</t>
  </si>
  <si>
    <t>Enter the registry ID number in row 4617 of the table for production class 1.</t>
  </si>
  <si>
    <t>Enter the registry ID number in row 4618 of the table for production class 1.</t>
  </si>
  <si>
    <t>Enter the registry ID number in row 4619 of the table for production class 1.</t>
  </si>
  <si>
    <t>Enter the registry ID number in row 4620 of the table for production class 1.</t>
  </si>
  <si>
    <t>Enter the registry ID number in row 4621 of the table for production class 1.</t>
  </si>
  <si>
    <t>Enter the registry ID number in row 4622 of the table for production class 1.</t>
  </si>
  <si>
    <t>Enter the registry ID number in row 4623 of the table for production class 1.</t>
  </si>
  <si>
    <t>Enter the registry ID number in row 4624 of the table for production class 1.</t>
  </si>
  <si>
    <t>Enter the registry ID number in row 4625 of the table for production class 1.</t>
  </si>
  <si>
    <t>Enter the registry ID number in row 4626 of the table for production class 1.</t>
  </si>
  <si>
    <t>Enter the registry ID number in row 4627 of the table for production class 1.</t>
  </si>
  <si>
    <t>Enter the registry ID number in row 4628 of the table for production class 1.</t>
  </si>
  <si>
    <t>Enter the registry ID number in row 4629 of the table for production class 1.</t>
  </si>
  <si>
    <t>Enter the registry ID number in row 4630 of the table for production class 1.</t>
  </si>
  <si>
    <t>Enter the registry ID number in row 4631 of the table for production class 1.</t>
  </si>
  <si>
    <t>Enter the registry ID number in row 4632 of the table for production class 1.</t>
  </si>
  <si>
    <t>Enter the registry ID number in row 4633 of the table for production class 1.</t>
  </si>
  <si>
    <t>Enter the registry ID number in row 4634 of the table for production class 1.</t>
  </si>
  <si>
    <t>Enter the registry ID number in row 4635 of the table for production class 1.</t>
  </si>
  <si>
    <t>Enter the registry ID number in row 4636 of the table for production class 1.</t>
  </si>
  <si>
    <t>Enter the registry ID number in row 4637 of the table for production class 1.</t>
  </si>
  <si>
    <t>Enter the registry ID number in row 4638 of the table for production class 1.</t>
  </si>
  <si>
    <t>Enter the registry ID number in row 4639 of the table for production class 1.</t>
  </si>
  <si>
    <t>Enter the registry ID number in row 4640 of the table for production class 1.</t>
  </si>
  <si>
    <t>Enter the registry ID number in row 4641 of the table for production class 1.</t>
  </si>
  <si>
    <t>Enter the registry ID number in row 4642 of the table for production class 1.</t>
  </si>
  <si>
    <t>Enter the registry ID number in row 4643 of the table for production class 1.</t>
  </si>
  <si>
    <t>Enter the registry ID number in row 4644 of the table for production class 1.</t>
  </si>
  <si>
    <t>Enter the registry ID number in row 4645 of the table for production class 1.</t>
  </si>
  <si>
    <t>Enter the registry ID number in row 4646 of the table for production class 1.</t>
  </si>
  <si>
    <t>Enter the registry ID number in row 4647 of the table for production class 1.</t>
  </si>
  <si>
    <t>Enter the registry ID number in row 4648 of the table for production class 1.</t>
  </si>
  <si>
    <t>Enter the registry ID number in row 4649 of the table for production class 1.</t>
  </si>
  <si>
    <t>Enter the registry ID number in row 4650 of the table for production class 1.</t>
  </si>
  <si>
    <t>Enter the registry ID number in row 4651 of the table for production class 1.</t>
  </si>
  <si>
    <t>Enter the registry ID number in row 4652 of the table for production class 1.</t>
  </si>
  <si>
    <t>Enter the registry ID number in row 4653 of the table for production class 1.</t>
  </si>
  <si>
    <t>Enter the registry ID number in row 4654 of the table for production class 1.</t>
  </si>
  <si>
    <t>Enter the registry ID number in row 4655 of the table for production class 1.</t>
  </si>
  <si>
    <t>Enter the registry ID number in row 4656 of the table for production class 1.</t>
  </si>
  <si>
    <t>Enter the registry ID number in row 4657 of the table for production class 1.</t>
  </si>
  <si>
    <t>Enter the registry ID number in row 4658 of the table for production class 1.</t>
  </si>
  <si>
    <t>Enter the registry ID number in row 4659 of the table for production class 1.</t>
  </si>
  <si>
    <t>Enter the registry ID number in row 4660 of the table for production class 1.</t>
  </si>
  <si>
    <t>Enter the registry ID number in row 4661 of the table for production class 1.</t>
  </si>
  <si>
    <t>Enter the registry ID number in row 4662 of the table for production class 1.</t>
  </si>
  <si>
    <t>Enter the registry ID number in row 4663 of the table for production class 1.</t>
  </si>
  <si>
    <t>Enter the registry ID number in row 4664 of the table for production class 1.</t>
  </si>
  <si>
    <t>Enter the registry ID number in row 4665 of the table for production class 1.</t>
  </si>
  <si>
    <t>Enter the registry ID number in row 4666 of the table for production class 1.</t>
  </si>
  <si>
    <t>Enter the registry ID number in row 4667 of the table for production class 1.</t>
  </si>
  <si>
    <t>Enter the registry ID number in row 4668 of the table for production class 1.</t>
  </si>
  <si>
    <t>Enter the registry ID number in row 4669 of the table for production class 1.</t>
  </si>
  <si>
    <t>Enter the registry ID number in row 4670 of the table for production class 1.</t>
  </si>
  <si>
    <t>Enter the registry ID number in row 4671 of the table for production class 1.</t>
  </si>
  <si>
    <t>Enter the registry ID number in row 4672 of the table for production class 1.</t>
  </si>
  <si>
    <t>Enter the registry ID number in row 4673 of the table for production class 1.</t>
  </si>
  <si>
    <t>Enter the registry ID number in row 4674 of the table for production class 1.</t>
  </si>
  <si>
    <t>Enter the registry ID number in row 4675 of the table for production class 1.</t>
  </si>
  <si>
    <t>Enter the registry ID number in row 4676 of the table for production class 1.</t>
  </si>
  <si>
    <t>Enter the registry ID number in row 4677 of the table for production class 1.</t>
  </si>
  <si>
    <t>Enter the registry ID number in row 4678 of the table for production class 1.</t>
  </si>
  <si>
    <t>Enter the registry ID number in row 4679 of the table for production class 1.</t>
  </si>
  <si>
    <t>Enter the registry ID number in row 4680 of the table for production class 1.</t>
  </si>
  <si>
    <t>Enter the registry ID number in row 4681 of the table for production class 1.</t>
  </si>
  <si>
    <t>Enter the registry ID number in row 4682 of the table for production class 1.</t>
  </si>
  <si>
    <t>Enter the registry ID number in row 4683 of the table for production class 1.</t>
  </si>
  <si>
    <t>Enter the registry ID number in row 4684 of the table for production class 1.</t>
  </si>
  <si>
    <t>Enter the registry ID number in row 4685 of the table for production class 1.</t>
  </si>
  <si>
    <t>Enter the registry ID number in row 4686 of the table for production class 1.</t>
  </si>
  <si>
    <t>Enter the registry ID number in row 4687 of the table for production class 1.</t>
  </si>
  <si>
    <t>Enter the registry ID number in row 4688 of the table for production class 1.</t>
  </si>
  <si>
    <t>Enter the registry ID number in row 4689 of the table for production class 1.</t>
  </si>
  <si>
    <t>Enter the registry ID number in row 4690 of the table for production class 1.</t>
  </si>
  <si>
    <t>Enter the registry ID number in row 4691 of the table for production class 1.</t>
  </si>
  <si>
    <t>Enter the registry ID number in row 4692 of the table for production class 1.</t>
  </si>
  <si>
    <t>Enter the registry ID number in row 4693 of the table for production class 1.</t>
  </si>
  <si>
    <t>Enter the registry ID number in row 4694 of the table for production class 1.</t>
  </si>
  <si>
    <t>Enter the registry ID number in row 4695 of the table for production class 1.</t>
  </si>
  <si>
    <t>Enter the registry ID number in row 4696 of the table for production class 1.</t>
  </si>
  <si>
    <t>Enter the registry ID number in row 4697 of the table for production class 1.</t>
  </si>
  <si>
    <t>Enter the registry ID number in row 4698 of the table for production class 1.</t>
  </si>
  <si>
    <t>Enter the registry ID number in row 4699 of the table for production class 1.</t>
  </si>
  <si>
    <t>Enter the registry ID number in row 4700 of the table for production class 1.</t>
  </si>
  <si>
    <t>Enter the registry ID number in row 4701 of the table for production class 1.</t>
  </si>
  <si>
    <t>Enter the registry ID number in row 4702 of the table for production class 1.</t>
  </si>
  <si>
    <t>Enter the registry ID number in row 4703 of the table for production class 1.</t>
  </si>
  <si>
    <t>Enter the registry ID number in row 4704 of the table for production class 1.</t>
  </si>
  <si>
    <t>Enter the registry ID number in row 4705 of the table for production class 1.</t>
  </si>
  <si>
    <t>Enter the registry ID number in row 4706 of the table for production class 1.</t>
  </si>
  <si>
    <t>Enter the registry ID number in row 4707 of the table for production class 1.</t>
  </si>
  <si>
    <t>Enter the registry ID number in row 4708 of the table for production class 1.</t>
  </si>
  <si>
    <t>Enter the registry ID number in row 4709 of the table for production class 1.</t>
  </si>
  <si>
    <t>Enter the registry ID number in row 4710 of the table for production class 1.</t>
  </si>
  <si>
    <t>Enter the registry ID number in row 4711 of the table for production class 1.</t>
  </si>
  <si>
    <t>Enter the registry ID number in row 4712 of the table for production class 1.</t>
  </si>
  <si>
    <t>Enter the registry ID number in row 4713 of the table for production class 1.</t>
  </si>
  <si>
    <t>Enter the registry ID number in row 4714 of the table for production class 1.</t>
  </si>
  <si>
    <t>Enter the registry ID number in row 4715 of the table for production class 1.</t>
  </si>
  <si>
    <t>Enter the registry ID number in row 4716 of the table for production class 1.</t>
  </si>
  <si>
    <t>Enter the registry ID number in row 4717 of the table for production class 1.</t>
  </si>
  <si>
    <t>Enter the registry ID number in row 4718 of the table for production class 1.</t>
  </si>
  <si>
    <t>Enter the registry ID number in row 4719 of the table for production class 1.</t>
  </si>
  <si>
    <t>Enter the registry ID number in row 4720 of the table for production class 1.</t>
  </si>
  <si>
    <t>Enter the registry ID number in row 4721 of the table for production class 1.</t>
  </si>
  <si>
    <t>Enter the registry ID number in row 4722 of the table for production class 1.</t>
  </si>
  <si>
    <t>Enter the registry ID number in row 4723 of the table for production class 1.</t>
  </si>
  <si>
    <t>Enter the registry ID number in row 4724 of the table for production class 1.</t>
  </si>
  <si>
    <t>Enter the registry ID number in row 4725 of the table for production class 1.</t>
  </si>
  <si>
    <t>Enter the registry ID number in row 4726 of the table for production class 1.</t>
  </si>
  <si>
    <t>Enter the registry ID number in row 4727 of the table for production class 1.</t>
  </si>
  <si>
    <t>Enter the registry ID number in row 4728 of the table for production class 1.</t>
  </si>
  <si>
    <t>Enter the registry ID number in row 4729 of the table for production class 1.</t>
  </si>
  <si>
    <t>Enter the registry ID number in row 4730 of the table for production class 1.</t>
  </si>
  <si>
    <t>Enter the registry ID number in row 4731 of the table for production class 1.</t>
  </si>
  <si>
    <t>Enter the registry ID number in row 4732 of the table for production class 1.</t>
  </si>
  <si>
    <t>Enter the registry ID number in row 4733 of the table for production class 1.</t>
  </si>
  <si>
    <t>Enter the registry ID number in row 4734 of the table for production class 1.</t>
  </si>
  <si>
    <t>Enter the registry ID number in row 4735 of the table for production class 1.</t>
  </si>
  <si>
    <t>Enter the registry ID number in row 4736 of the table for production class 1.</t>
  </si>
  <si>
    <t>Enter the registry ID number in row 4737 of the table for production class 1.</t>
  </si>
  <si>
    <t>Enter the registry ID number in row 4738 of the table for production class 1.</t>
  </si>
  <si>
    <t>Enter the registry ID number in row 4739 of the table for production class 1.</t>
  </si>
  <si>
    <t>Enter the registry ID number in row 4740 of the table for production class 1.</t>
  </si>
  <si>
    <t>Enter the registry ID number in row 4741 of the table for production class 1.</t>
  </si>
  <si>
    <t>Enter the registry ID number in row 4742 of the table for production class 1.</t>
  </si>
  <si>
    <t>Enter the registry ID number in row 4743 of the table for production class 1.</t>
  </si>
  <si>
    <t>Enter the registry ID number in row 4744 of the table for production class 1.</t>
  </si>
  <si>
    <t>Enter the registry ID number in row 4745 of the table for production class 1.</t>
  </si>
  <si>
    <t>Enter the registry ID number in row 4746 of the table for production class 1.</t>
  </si>
  <si>
    <t>Enter the registry ID number in row 4747 of the table for production class 1.</t>
  </si>
  <si>
    <t>Enter the registry ID number in row 4748 of the table for production class 1.</t>
  </si>
  <si>
    <t>Enter the registry ID number in row 4749 of the table for production class 1.</t>
  </si>
  <si>
    <t>Enter the registry ID number in row 4750 of the table for production class 1.</t>
  </si>
  <si>
    <t>Enter the registry ID number in row 4751 of the table for production class 1.</t>
  </si>
  <si>
    <t>Enter the registry ID number in row 4752 of the table for production class 1.</t>
  </si>
  <si>
    <t>Enter the registry ID number in row 4753 of the table for production class 1.</t>
  </si>
  <si>
    <t>Enter the registry ID number in row 4754 of the table for production class 1.</t>
  </si>
  <si>
    <t>Enter the registry ID number in row 4755 of the table for production class 1.</t>
  </si>
  <si>
    <t>Enter the registry ID number in row 4756 of the table for production class 1.</t>
  </si>
  <si>
    <t>Enter the registry ID number in row 4757 of the table for production class 1.</t>
  </si>
  <si>
    <t>Enter the registry ID number in row 4758 of the table for production class 1.</t>
  </si>
  <si>
    <t>Enter the registry ID number in row 4759 of the table for production class 1.</t>
  </si>
  <si>
    <t>Enter the registry ID number in row 4760 of the table for production class 1.</t>
  </si>
  <si>
    <t>Enter the registry ID number in row 4761 of the table for production class 1.</t>
  </si>
  <si>
    <t>Enter the registry ID number in row 4762 of the table for production class 1.</t>
  </si>
  <si>
    <t>Enter the registry ID number in row 4763 of the table for production class 1.</t>
  </si>
  <si>
    <t>Enter the registry ID number in row 4764 of the table for production class 1.</t>
  </si>
  <si>
    <t>Enter the registry ID number in row 4765 of the table for production class 1.</t>
  </si>
  <si>
    <t>Enter the registry ID number in row 4766 of the table for production class 1.</t>
  </si>
  <si>
    <t>Enter the registry ID number in row 4767 of the table for production class 1.</t>
  </si>
  <si>
    <t>Enter the registry ID number in row 4768 of the table for production class 1.</t>
  </si>
  <si>
    <t>Enter the registry ID number in row 4769 of the table for production class 1.</t>
  </si>
  <si>
    <t>Enter the registry ID number in row 4770 of the table for production class 1.</t>
  </si>
  <si>
    <t>Enter the registry ID number in row 4771 of the table for production class 1.</t>
  </si>
  <si>
    <t>Enter the registry ID number in row 4772 of the table for production class 1.</t>
  </si>
  <si>
    <t>Enter the registry ID number in row 4773 of the table for production class 1.</t>
  </si>
  <si>
    <t>Enter the registry ID number in row 4774 of the table for production class 1.</t>
  </si>
  <si>
    <t>Enter the registry ID number in row 4775 of the table for production class 1.</t>
  </si>
  <si>
    <t>Enter the registry ID number in row 4776 of the table for production class 1.</t>
  </si>
  <si>
    <t>Enter the registry ID number in row 4777 of the table for production class 1.</t>
  </si>
  <si>
    <t>Enter the registry ID number in row 4778 of the table for production class 1.</t>
  </si>
  <si>
    <t>Enter the registry ID number in row 4779 of the table for production class 1.</t>
  </si>
  <si>
    <t>Enter the registry ID number in row 4780 of the table for production class 1.</t>
  </si>
  <si>
    <t>Enter the registry ID number in row 4781 of the table for production class 1.</t>
  </si>
  <si>
    <t>Enter the registry ID number in row 4782 of the table for production class 1.</t>
  </si>
  <si>
    <t>Enter the registry ID number in row 4783 of the table for production class 1.</t>
  </si>
  <si>
    <t>Enter the registry ID number in row 4784 of the table for production class 1.</t>
  </si>
  <si>
    <t>Enter the registry ID number in row 4785 of the table for production class 1.</t>
  </si>
  <si>
    <t>Enter the registry ID number in row 4786 of the table for production class 1.</t>
  </si>
  <si>
    <t>Enter the registry ID number in row 4787 of the table for production class 1.</t>
  </si>
  <si>
    <t>Enter the registry ID number in row 4788 of the table for production class 1.</t>
  </si>
  <si>
    <t>Enter the registry ID number in row 4789 of the table for production class 1.</t>
  </si>
  <si>
    <t>Enter the registry ID number in row 4790 of the table for production class 1.</t>
  </si>
  <si>
    <t>Enter the registry ID number in row 4791 of the table for production class 1.</t>
  </si>
  <si>
    <t>Enter the registry ID number in row 4792 of the table for production class 1.</t>
  </si>
  <si>
    <t>Enter the registry ID number in row 4793 of the table for production class 1.</t>
  </si>
  <si>
    <t>Enter the registry ID number in row 4794 of the table for production class 1.</t>
  </si>
  <si>
    <t>Enter the registry ID number in row 4795 of the table for production class 1.</t>
  </si>
  <si>
    <t>Enter the registry ID number in row 4796 of the table for production class 1.</t>
  </si>
  <si>
    <t>Enter the registry ID number in row 4797 of the table for production class 1.</t>
  </si>
  <si>
    <t>Enter the registry ID number in row 4798 of the table for production class 1.</t>
  </si>
  <si>
    <t>Enter the registry ID number in row 4799 of the table for production class 1.</t>
  </si>
  <si>
    <t>Enter the registry ID number in row 4800 of the table for production class 1.</t>
  </si>
  <si>
    <t>Enter the registry ID number in row 4801 of the table for production class 1.</t>
  </si>
  <si>
    <t>Enter the registry ID number in row 4802 of the table for production class 1.</t>
  </si>
  <si>
    <t>Enter the registry ID number in row 4803 of the table for production class 1.</t>
  </si>
  <si>
    <t>Enter the registry ID number in row 4804 of the table for production class 1.</t>
  </si>
  <si>
    <t>Enter the registry ID number in row 4805 of the table for production class 1.</t>
  </si>
  <si>
    <t>Enter the registry ID number in row 4806 of the table for production class 1.</t>
  </si>
  <si>
    <t>Enter the registry ID number in row 4807 of the table for production class 1.</t>
  </si>
  <si>
    <t>Enter the registry ID number in row 4808 of the table for production class 1.</t>
  </si>
  <si>
    <t>Enter the registry ID number in row 4809 of the table for production class 1.</t>
  </si>
  <si>
    <t>Enter the registry ID number in row 4810 of the table for production class 1.</t>
  </si>
  <si>
    <t>Enter the registry ID number in row 4811 of the table for production class 1.</t>
  </si>
  <si>
    <t>Enter the registry ID number in row 4812 of the table for production class 1.</t>
  </si>
  <si>
    <t>Enter the registry ID number in row 4813 of the table for production class 1.</t>
  </si>
  <si>
    <t>Enter the registry ID number in row 4814 of the table for production class 1.</t>
  </si>
  <si>
    <t>Enter the registry ID number in row 4815 of the table for production class 1.</t>
  </si>
  <si>
    <t>Enter the registry ID number in row 4816 of the table for production class 1.</t>
  </si>
  <si>
    <t>Enter the registry ID number in row 4817 of the table for production class 1.</t>
  </si>
  <si>
    <t>Enter the registry ID number in row 4818 of the table for production class 1.</t>
  </si>
  <si>
    <t>Enter the registry ID number in row 4819 of the table for production class 1.</t>
  </si>
  <si>
    <t>Enter the registry ID number in row 4820 of the table for production class 1.</t>
  </si>
  <si>
    <t>Enter the registry ID number in row 4821 of the table for production class 1.</t>
  </si>
  <si>
    <t>Enter the registry ID number in row 4822 of the table for production class 1.</t>
  </si>
  <si>
    <t>Enter the registry ID number in row 4823 of the table for production class 1.</t>
  </si>
  <si>
    <t>Enter the registry ID number in row 4824 of the table for production class 1.</t>
  </si>
  <si>
    <t>Enter the registry ID number in row 4825 of the table for production class 1.</t>
  </si>
  <si>
    <t>Enter the registry ID number in row 4826 of the table for production class 1.</t>
  </si>
  <si>
    <t>Enter the registry ID number in row 4827 of the table for production class 1.</t>
  </si>
  <si>
    <t>Enter the registry ID number in row 4828 of the table for production class 1.</t>
  </si>
  <si>
    <t>Enter the registry ID number in row 4829 of the table for production class 1.</t>
  </si>
  <si>
    <t>Enter the registry ID number in row 4830 of the table for production class 1.</t>
  </si>
  <si>
    <t>Enter the registry ID number in row 4831 of the table for production class 1.</t>
  </si>
  <si>
    <t>Enter the registry ID number in row 4832 of the table for production class 1.</t>
  </si>
  <si>
    <t>Enter the registry ID number in row 4833 of the table for production class 1.</t>
  </si>
  <si>
    <t>Enter the registry ID number in row 4834 of the table for production class 1.</t>
  </si>
  <si>
    <t>Enter the registry ID number in row 4835 of the table for production class 1.</t>
  </si>
  <si>
    <t>Enter the registry ID number in row 4836 of the table for production class 1.</t>
  </si>
  <si>
    <t>Enter the registry ID number in row 4837 of the table for production class 1.</t>
  </si>
  <si>
    <t>Enter the registry ID number in row 4838 of the table for production class 1.</t>
  </si>
  <si>
    <t>Enter the registry ID number in row 4839 of the table for production class 1.</t>
  </si>
  <si>
    <t>Enter the registry ID number in row 4840 of the table for production class 1.</t>
  </si>
  <si>
    <t>Enter the registry ID number in row 4841 of the table for production class 1.</t>
  </si>
  <si>
    <t>Enter the registry ID number in row 4842 of the table for production class 1.</t>
  </si>
  <si>
    <t>Enter the registry ID number in row 4843 of the table for production class 1.</t>
  </si>
  <si>
    <t>Enter the registry ID number in row 4844 of the table for production class 1.</t>
  </si>
  <si>
    <t>Enter the registry ID number in row 4845 of the table for production class 1.</t>
  </si>
  <si>
    <t>Enter the registry ID number in row 4846 of the table for production class 1.</t>
  </si>
  <si>
    <t>Enter the registry ID number in row 4847 of the table for production class 1.</t>
  </si>
  <si>
    <t>Enter the registry ID number in row 4848 of the table for production class 1.</t>
  </si>
  <si>
    <t>Enter the registry ID number in row 4849 of the table for production class 1.</t>
  </si>
  <si>
    <t>Enter the registry ID number in row 4850 of the table for production class 1.</t>
  </si>
  <si>
    <t>Enter the registry ID number in row 4851 of the table for production class 1.</t>
  </si>
  <si>
    <t>Enter the registry ID number in row 4852 of the table for production class 1.</t>
  </si>
  <si>
    <t>Enter the registry ID number in row 4853 of the table for production class 1.</t>
  </si>
  <si>
    <t>Enter the registry ID number in row 4854 of the table for production class 1.</t>
  </si>
  <si>
    <t>Enter the registry ID number in row 4855 of the table for production class 1.</t>
  </si>
  <si>
    <t>Enter the registry ID number in row 4856 of the table for production class 1.</t>
  </si>
  <si>
    <t>Enter the registry ID number in row 4857 of the table for production class 1.</t>
  </si>
  <si>
    <t>Enter the registry ID number in row 4858 of the table for production class 1.</t>
  </si>
  <si>
    <t>Enter the registry ID number in row 4859 of the table for production class 1.</t>
  </si>
  <si>
    <t>Enter the registry ID number in row 4860 of the table for production class 1.</t>
  </si>
  <si>
    <t>Enter the registry ID number in row 4861 of the table for production class 1.</t>
  </si>
  <si>
    <t>Enter the registry ID number in row 4862 of the table for production class 1.</t>
  </si>
  <si>
    <t>Enter the registry ID number in row 4863 of the table for production class 1.</t>
  </si>
  <si>
    <t>Enter the registry ID number in row 4864 of the table for production class 1.</t>
  </si>
  <si>
    <t>Enter the registry ID number in row 4865 of the table for production class 1.</t>
  </si>
  <si>
    <t>Enter the registry ID number in row 4866 of the table for production class 1.</t>
  </si>
  <si>
    <t>Enter the registry ID number in row 4867 of the table for production class 1.</t>
  </si>
  <si>
    <t>Enter the registry ID number in row 4868 of the table for production class 1.</t>
  </si>
  <si>
    <t>Enter the registry ID number in row 4869 of the table for production class 1.</t>
  </si>
  <si>
    <t>Enter the registry ID number in row 4870 of the table for production class 1.</t>
  </si>
  <si>
    <t>Enter the registry ID number in row 4871 of the table for production class 1.</t>
  </si>
  <si>
    <t>Enter the registry ID number in row 4872 of the table for production class 1.</t>
  </si>
  <si>
    <t>Enter the registry ID number in row 4873 of the table for production class 1.</t>
  </si>
  <si>
    <t>Enter the registry ID number in row 4874 of the table for production class 1.</t>
  </si>
  <si>
    <t>Enter the registry ID number in row 4875 of the table for production class 1.</t>
  </si>
  <si>
    <t>Enter the registry ID number in row 4876 of the table for production class 1.</t>
  </si>
  <si>
    <t>Enter the registry ID number in row 4877 of the table for production class 1.</t>
  </si>
  <si>
    <t>Enter the registry ID number in row 4878 of the table for production class 1.</t>
  </si>
  <si>
    <t>Enter the registry ID number in row 4879 of the table for production class 1.</t>
  </si>
  <si>
    <t>Enter the registry ID number in row 4880 of the table for production class 1.</t>
  </si>
  <si>
    <t>Enter the registry ID number in row 4881 of the table for production class 1.</t>
  </si>
  <si>
    <t>Enter the registry ID number in row 4882 of the table for production class 1.</t>
  </si>
  <si>
    <t>Enter the registry ID number in row 4883 of the table for production class 1.</t>
  </si>
  <si>
    <t>Enter the registry ID number in row 4884 of the table for production class 1.</t>
  </si>
  <si>
    <t>Enter the registry ID number in row 4885 of the table for production class 1.</t>
  </si>
  <si>
    <t>Enter the registry ID number in row 4886 of the table for production class 1.</t>
  </si>
  <si>
    <t>Enter the registry ID number in row 4887 of the table for production class 1.</t>
  </si>
  <si>
    <t>Enter the registry ID number in row 4888 of the table for production class 1.</t>
  </si>
  <si>
    <t>Enter the registry ID number in row 4889 of the table for production class 1.</t>
  </si>
  <si>
    <t>Enter the registry ID number in row 4890 of the table for production class 1.</t>
  </si>
  <si>
    <t>Enter the registry ID number in row 4891 of the table for production class 1.</t>
  </si>
  <si>
    <t>Enter the registry ID number in row 4892 of the table for production class 1.</t>
  </si>
  <si>
    <t>Enter the registry ID number in row 4893 of the table for production class 1.</t>
  </si>
  <si>
    <t>Enter the registry ID number in row 4894 of the table for production class 1.</t>
  </si>
  <si>
    <t>Enter the registry ID number in row 4895 of the table for production class 1.</t>
  </si>
  <si>
    <t>Enter the registry ID number in row 4896 of the table for production class 1.</t>
  </si>
  <si>
    <t>Enter the registry ID number in row 4897 of the table for production class 1.</t>
  </si>
  <si>
    <t>Enter the registry ID number in row 4898 of the table for production class 1.</t>
  </si>
  <si>
    <t>Enter the registry ID number in row 4899 of the table for production class 1.</t>
  </si>
  <si>
    <t>Enter the registry ID number in row 4900 of the table for production class 1.</t>
  </si>
  <si>
    <t>Enter the registry ID number in row 4901 of the table for production class 1.</t>
  </si>
  <si>
    <t>Enter the registry ID number in row 4902 of the table for production class 1.</t>
  </si>
  <si>
    <t>Enter the registry ID number in row 4903 of the table for production class 1.</t>
  </si>
  <si>
    <t>Enter the registry ID number in row 4904 of the table for production class 1.</t>
  </si>
  <si>
    <t>Enter the registry ID number in row 4905 of the table for production class 1.</t>
  </si>
  <si>
    <t>Enter the registry ID number in row 4906 of the table for production class 1.</t>
  </si>
  <si>
    <t>Enter the registry ID number in row 4907 of the table for production class 1.</t>
  </si>
  <si>
    <t>Enter the registry ID number in row 4908 of the table for production class 1.</t>
  </si>
  <si>
    <t>Enter the registry ID number in row 4909 of the table for production class 1.</t>
  </si>
  <si>
    <t>Enter the registry ID number in row 4910 of the table for production class 1.</t>
  </si>
  <si>
    <t>Enter the registry ID number in row 4911 of the table for production class 1.</t>
  </si>
  <si>
    <t>Enter the registry ID number in row 4912 of the table for production class 1.</t>
  </si>
  <si>
    <t>Enter the registry ID number in row 4913 of the table for production class 1.</t>
  </si>
  <si>
    <t>Enter the registry ID number in row 4914 of the table for production class 1.</t>
  </si>
  <si>
    <t>Enter the registry ID number in row 4915 of the table for production class 1.</t>
  </si>
  <si>
    <t>Enter the registry ID number in row 4916 of the table for production class 1.</t>
  </si>
  <si>
    <t>Enter the registry ID number in row 4917 of the table for production class 1.</t>
  </si>
  <si>
    <t>Enter the registry ID number in row 4918 of the table for production class 1.</t>
  </si>
  <si>
    <t>Enter the registry ID number in row 4919 of the table for production class 1.</t>
  </si>
  <si>
    <t>Enter the registry ID number in row 4920 of the table for production class 1.</t>
  </si>
  <si>
    <t>Enter the registry ID number in row 4921 of the table for production class 1.</t>
  </si>
  <si>
    <t>Enter the registry ID number in row 4922 of the table for production class 1.</t>
  </si>
  <si>
    <t>Enter the registry ID number in row 4923 of the table for production class 1.</t>
  </si>
  <si>
    <t>Enter the registry ID number in row 4924 of the table for production class 1.</t>
  </si>
  <si>
    <t>Enter the registry ID number in row 4925 of the table for production class 1.</t>
  </si>
  <si>
    <t>Enter the registry ID number in row 4926 of the table for production class 1.</t>
  </si>
  <si>
    <t>Enter the registry ID number in row 4927 of the table for production class 1.</t>
  </si>
  <si>
    <t>Enter the registry ID number in row 4928 of the table for production class 1.</t>
  </si>
  <si>
    <t>Enter the registry ID number in row 4929 of the table for production class 1.</t>
  </si>
  <si>
    <t>Enter the registry ID number in row 4930 of the table for production class 1.</t>
  </si>
  <si>
    <t>Enter the registry ID number in row 4931 of the table for production class 1.</t>
  </si>
  <si>
    <t>Enter the registry ID number in row 4932 of the table for production class 1.</t>
  </si>
  <si>
    <t>Enter the registry ID number in row 4933 of the table for production class 1.</t>
  </si>
  <si>
    <t>Enter the registry ID number in row 4934 of the table for production class 1.</t>
  </si>
  <si>
    <t>Enter the registry ID number in row 4935 of the table for production class 1.</t>
  </si>
  <si>
    <t>Enter the registry ID number in row 4936 of the table for production class 1.</t>
  </si>
  <si>
    <t>Enter the registry ID number in row 4937 of the table for production class 1.</t>
  </si>
  <si>
    <t>Enter the registry ID number in row 4938 of the table for production class 1.</t>
  </si>
  <si>
    <t>Enter the registry ID number in row 4939 of the table for production class 1.</t>
  </si>
  <si>
    <t>Enter the registry ID number in row 4940 of the table for production class 1.</t>
  </si>
  <si>
    <t>Enter the registry ID number in row 4941 of the table for production class 1.</t>
  </si>
  <si>
    <t>Enter the registry ID number in row 4942 of the table for production class 1.</t>
  </si>
  <si>
    <t>Enter the registry ID number in row 4943 of the table for production class 1.</t>
  </si>
  <si>
    <t>Enter the registry ID number in row 4944 of the table for production class 1.</t>
  </si>
  <si>
    <t>Enter the registry ID number in row 4945 of the table for production class 1.</t>
  </si>
  <si>
    <t>Enter the registry ID number in row 4946 of the table for production class 1.</t>
  </si>
  <si>
    <t>Enter the registry ID number in row 4947 of the table for production class 1.</t>
  </si>
  <si>
    <t>Enter the registry ID number in row 4948 of the table for production class 1.</t>
  </si>
  <si>
    <t>Enter the registry ID number in row 4949 of the table for production class 1.</t>
  </si>
  <si>
    <t>Enter the registry ID number in row 4950 of the table for production class 1.</t>
  </si>
  <si>
    <t>Enter the registry ID number in row 4951 of the table for production class 1.</t>
  </si>
  <si>
    <t>Enter the registry ID number in row 4952 of the table for production class 1.</t>
  </si>
  <si>
    <t>Enter the registry ID number in row 4953 of the table for production class 1.</t>
  </si>
  <si>
    <t>Enter the registry ID number in row 4954 of the table for production class 1.</t>
  </si>
  <si>
    <t>Enter the registry ID number in row 4955 of the table for production class 1.</t>
  </si>
  <si>
    <t>Enter the registry ID number in row 4956 of the table for production class 1.</t>
  </si>
  <si>
    <t>Enter the registry ID number in row 4957 of the table for production class 1.</t>
  </si>
  <si>
    <t>Enter the registry ID number in row 4958 of the table for production class 1.</t>
  </si>
  <si>
    <t>Enter the registry ID number in row 4959 of the table for production class 1.</t>
  </si>
  <si>
    <t>Enter the registry ID number in row 4960 of the table for production class 1.</t>
  </si>
  <si>
    <t>Enter the registry ID number in row 4961 of the table for production class 1.</t>
  </si>
  <si>
    <t>Enter the registry ID number in row 4962 of the table for production class 1.</t>
  </si>
  <si>
    <t>Enter the registry ID number in row 4963 of the table for production class 1.</t>
  </si>
  <si>
    <t>Enter the registry ID number in row 4964 of the table for production class 1.</t>
  </si>
  <si>
    <t>Enter the registry ID number in row 4965 of the table for production class 1.</t>
  </si>
  <si>
    <t>Enter the registry ID number in row 4966 of the table for production class 1.</t>
  </si>
  <si>
    <t>Enter the registry ID number in row 4967 of the table for production class 1.</t>
  </si>
  <si>
    <t>Enter the registry ID number in row 4968 of the table for production class 1.</t>
  </si>
  <si>
    <t>Enter the registry ID number in row 4969 of the table for production class 1.</t>
  </si>
  <si>
    <t>Enter the registry ID number in row 4970 of the table for production class 1.</t>
  </si>
  <si>
    <t>Enter the registry ID number in row 4971 of the table for production class 1.</t>
  </si>
  <si>
    <t>Enter the registry ID number in row 4972 of the table for production class 1.</t>
  </si>
  <si>
    <t>Enter the registry ID number in row 4973 of the table for production class 1.</t>
  </si>
  <si>
    <t>Enter the registry ID number in row 4974 of the table for production class 1.</t>
  </si>
  <si>
    <t>Enter the registry ID number in row 4975 of the table for production class 1.</t>
  </si>
  <si>
    <t>Enter the registry ID number in row 4976 of the table for production class 1.</t>
  </si>
  <si>
    <t>Enter the registry ID number in row 4977 of the table for production class 1.</t>
  </si>
  <si>
    <t>Enter the registry ID number in row 4978 of the table for production class 1.</t>
  </si>
  <si>
    <t>Enter the registry ID number in row 4979 of the table for production class 1.</t>
  </si>
  <si>
    <t>Enter the registry ID number in row 4980 of the table for production class 1.</t>
  </si>
  <si>
    <t>Enter the registry ID number in row 4981 of the table for production class 1.</t>
  </si>
  <si>
    <t>Enter the registry ID number in row 4982 of the table for production class 1.</t>
  </si>
  <si>
    <t>Enter the registry ID number in row 4983 of the table for production class 1.</t>
  </si>
  <si>
    <t>Enter the registry ID number in row 4984 of the table for production class 1.</t>
  </si>
  <si>
    <t>Enter the registry ID number in row 4985 of the table for production class 1.</t>
  </si>
  <si>
    <t>Enter the registry ID number in row 4986 of the table for production class 1.</t>
  </si>
  <si>
    <t>Enter the registry ID number in row 4987 of the table for production class 1.</t>
  </si>
  <si>
    <t>Enter the registry ID number in row 4988 of the table for production class 1.</t>
  </si>
  <si>
    <t>Enter the registry ID number in row 4989 of the table for production class 1.</t>
  </si>
  <si>
    <t>Enter the registry ID number in row 4990 of the table for production class 1.</t>
  </si>
  <si>
    <t>Enter the registry ID number in row 4991 of the table for production class 1.</t>
  </si>
  <si>
    <t>Enter the registry ID number in row 4992 of the table for production class 1.</t>
  </si>
  <si>
    <t>Enter the registry ID number in row 4993 of the table for production class 1.</t>
  </si>
  <si>
    <t>Enter the registry ID number in row 4994 of the table for production class 1.</t>
  </si>
  <si>
    <t>Enter the registry ID number in row 4995 of the table for production class 1.</t>
  </si>
  <si>
    <t>Enter the registry ID number in row 4996 of the table for production class 1.</t>
  </si>
  <si>
    <t>Enter the registry ID number in row 4997 of the table for production class 1.</t>
  </si>
  <si>
    <t>Enter the registry ID number in row 4998 of the table for production class 1.</t>
  </si>
  <si>
    <t>Enter the registry ID number in row 4999 of the table for production class 1.</t>
  </si>
  <si>
    <t>Enter the registry ID number in row 5000 of the table for production class 1.</t>
  </si>
  <si>
    <t>Enter the registry ID number in row 1 of the table for production class 2a.</t>
  </si>
  <si>
    <t>Enter the registry ID number in row 2 of the table for production class 2a.</t>
  </si>
  <si>
    <t>Enter the registry ID number in row 3 of the table for production class 2a.</t>
  </si>
  <si>
    <t>Enter the registry ID number in row 4 of the table for production class 2a.</t>
  </si>
  <si>
    <t>Enter the registry ID number in row 5 of the table for production class 2a.</t>
  </si>
  <si>
    <t>Enter the registry ID number in row 6 of the table for production class 2a.</t>
  </si>
  <si>
    <t>Enter the registry ID number in row 7 of the table for production class 2a.</t>
  </si>
  <si>
    <t>Enter the registry ID number in row 8 of the table for production class 2a.</t>
  </si>
  <si>
    <t>Enter the registry ID number in row 9 of the table for production class 2a.</t>
  </si>
  <si>
    <t>Enter the registry ID number in row 10 of the table for production class 2a.</t>
  </si>
  <si>
    <t>Enter the registry ID number in row 11 of the table for production class 2a.</t>
  </si>
  <si>
    <t>Enter the registry ID number in row 12 of the table for production class 2a.</t>
  </si>
  <si>
    <t>Enter the registry ID number in row 13 of the table for production class 2a.</t>
  </si>
  <si>
    <t>Enter the registry ID number in row 14 of the table for production class 2a.</t>
  </si>
  <si>
    <t>Enter the registry ID number in row 15 of the table for production class 2a.</t>
  </si>
  <si>
    <t>Enter the registry ID number in row 16 of the table for production class 2a.</t>
  </si>
  <si>
    <t>Enter the registry ID number in row 17 of the table for production class 2a.</t>
  </si>
  <si>
    <t>Enter the registry ID number in row 18 of the table for production class 2a.</t>
  </si>
  <si>
    <t>Enter the registry ID number in row 19 of the table for production class 2a.</t>
  </si>
  <si>
    <t>Enter the registry ID number in row 20 of the table for production class 2a.</t>
  </si>
  <si>
    <t>Enter the registry ID number in row 21 of the table for production class 2a.</t>
  </si>
  <si>
    <t>Enter the registry ID number in row 22 of the table for production class 2a.</t>
  </si>
  <si>
    <t>Enter the registry ID number in row 23 of the table for production class 2a.</t>
  </si>
  <si>
    <t>Enter the registry ID number in row 24 of the table for production class 2a.</t>
  </si>
  <si>
    <t>Enter the registry ID number in row 25 of the table for production class 2a.</t>
  </si>
  <si>
    <t>Enter the registry ID number in row 26 of the table for production class 2a.</t>
  </si>
  <si>
    <t>Enter the registry ID number in row 27 of the table for production class 2a.</t>
  </si>
  <si>
    <t>Enter the registry ID number in row 28 of the table for production class 2a.</t>
  </si>
  <si>
    <t>Enter the registry ID number in row 29 of the table for production class 2a.</t>
  </si>
  <si>
    <t>Enter the registry ID number in row 30 of the table for production class 2a.</t>
  </si>
  <si>
    <t>Enter the registry ID number in row 31 of the table for production class 2a.</t>
  </si>
  <si>
    <t>Enter the registry ID number in row 32 of the table for production class 2a.</t>
  </si>
  <si>
    <t>Enter the registry ID number in row 33 of the table for production class 2a.</t>
  </si>
  <si>
    <t>Enter the registry ID number in row 34 of the table for production class 2a.</t>
  </si>
  <si>
    <t>Enter the registry ID number in row 35 of the table for production class 2a.</t>
  </si>
  <si>
    <t>Enter the registry ID number in row 36 of the table for production class 2a.</t>
  </si>
  <si>
    <t>Enter the registry ID number in row 37 of the table for production class 2a.</t>
  </si>
  <si>
    <t>Enter the registry ID number in row 38 of the table for production class 2a.</t>
  </si>
  <si>
    <t>Enter the registry ID number in row 39 of the table for production class 2a.</t>
  </si>
  <si>
    <t>Enter the registry ID number in row 40 of the table for production class 2a.</t>
  </si>
  <si>
    <t>Enter the registry ID number in row 41 of the table for production class 2a.</t>
  </si>
  <si>
    <t>Enter the registry ID number in row 42 of the table for production class 2a.</t>
  </si>
  <si>
    <t>Enter the registry ID number in row 43 of the table for production class 2a.</t>
  </si>
  <si>
    <t>Enter the registry ID number in row 44 of the table for production class 2a.</t>
  </si>
  <si>
    <t>Enter the registry ID number in row 45 of the table for production class 2a.</t>
  </si>
  <si>
    <t>Enter the registry ID number in row 46 of the table for production class 2a.</t>
  </si>
  <si>
    <t>Enter the registry ID number in row 47 of the table for production class 2a.</t>
  </si>
  <si>
    <t>Enter the registry ID number in row 48 of the table for production class 2a.</t>
  </si>
  <si>
    <t>Enter the registry ID number in row 49 of the table for production class 2a.</t>
  </si>
  <si>
    <t>Enter the registry ID number in row 50 of the table for production class 2a.</t>
  </si>
  <si>
    <t>Enter the registry ID number in row 51 of the table for production class 2a.</t>
  </si>
  <si>
    <t>Enter the registry ID number in row 52 of the table for production class 2a.</t>
  </si>
  <si>
    <t>Enter the registry ID number in row 53 of the table for production class 2a.</t>
  </si>
  <si>
    <t>Enter the registry ID number in row 54 of the table for production class 2a.</t>
  </si>
  <si>
    <t>Enter the registry ID number in row 55 of the table for production class 2a.</t>
  </si>
  <si>
    <t>Enter the registry ID number in row 56 of the table for production class 2a.</t>
  </si>
  <si>
    <t>Enter the registry ID number in row 57 of the table for production class 2a.</t>
  </si>
  <si>
    <t>Enter the registry ID number in row 58 of the table for production class 2a.</t>
  </si>
  <si>
    <t>Enter the registry ID number in row 59 of the table for production class 2a.</t>
  </si>
  <si>
    <t>Enter the registry ID number in row 60 of the table for production class 2a.</t>
  </si>
  <si>
    <t>Enter the registry ID number in row 61 of the table for production class 2a.</t>
  </si>
  <si>
    <t>Enter the registry ID number in row 62 of the table for production class 2a.</t>
  </si>
  <si>
    <t>Enter the registry ID number in row 63 of the table for production class 2a.</t>
  </si>
  <si>
    <t>Enter the registry ID number in row 64 of the table for production class 2a.</t>
  </si>
  <si>
    <t>Enter the registry ID number in row 65 of the table for production class 2a.</t>
  </si>
  <si>
    <t>Enter the registry ID number in row 66 of the table for production class 2a.</t>
  </si>
  <si>
    <t>Enter the registry ID number in row 67 of the table for production class 2a.</t>
  </si>
  <si>
    <t>Enter the registry ID number in row 68 of the table for production class 2a.</t>
  </si>
  <si>
    <t>Enter the registry ID number in row 69 of the table for production class 2a.</t>
  </si>
  <si>
    <t>Enter the registry ID number in row 70 of the table for production class 2a.</t>
  </si>
  <si>
    <t>Enter the registry ID number in row 71 of the table for production class 2a.</t>
  </si>
  <si>
    <t>Enter the registry ID number in row 72 of the table for production class 2a.</t>
  </si>
  <si>
    <t>Enter the registry ID number in row 73 of the table for production class 2a.</t>
  </si>
  <si>
    <t>Enter the registry ID number in row 74 of the table for production class 2a.</t>
  </si>
  <si>
    <t>Enter the registry ID number in row 75 of the table for production class 2a.</t>
  </si>
  <si>
    <t>Enter the registry ID number in row 76 of the table for production class 2a.</t>
  </si>
  <si>
    <t>Enter the registry ID number in row 77 of the table for production class 2a.</t>
  </si>
  <si>
    <t>Enter the registry ID number in row 78 of the table for production class 2a.</t>
  </si>
  <si>
    <t>Enter the registry ID number in row 79 of the table for production class 2a.</t>
  </si>
  <si>
    <t>Enter the registry ID number in row 80 of the table for production class 2a.</t>
  </si>
  <si>
    <t>Enter the registry ID number in row 81 of the table for production class 2a.</t>
  </si>
  <si>
    <t>Enter the registry ID number in row 82 of the table for production class 2a.</t>
  </si>
  <si>
    <t>Enter the registry ID number in row 83 of the table for production class 2a.</t>
  </si>
  <si>
    <t>Enter the registry ID number in row 84 of the table for production class 2a.</t>
  </si>
  <si>
    <t>Enter the registry ID number in row 85 of the table for production class 2a.</t>
  </si>
  <si>
    <t>Enter the registry ID number in row 86 of the table for production class 2a.</t>
  </si>
  <si>
    <t>Enter the registry ID number in row 87 of the table for production class 2a.</t>
  </si>
  <si>
    <t>Enter the registry ID number in row 88 of the table for production class 2a.</t>
  </si>
  <si>
    <t>Enter the registry ID number in row 89 of the table for production class 2a.</t>
  </si>
  <si>
    <t>Enter the registry ID number in row 90 of the table for production class 2a.</t>
  </si>
  <si>
    <t>Enter the registry ID number in row 91 of the table for production class 2a.</t>
  </si>
  <si>
    <t>Enter the registry ID number in row 92 of the table for production class 2a.</t>
  </si>
  <si>
    <t>Enter the registry ID number in row 93 of the table for production class 2a.</t>
  </si>
  <si>
    <t>Enter the registry ID number in row 94 of the table for production class 2a.</t>
  </si>
  <si>
    <t>Enter the registry ID number in row 95 of the table for production class 2a.</t>
  </si>
  <si>
    <t>Enter the registry ID number in row 96 of the table for production class 2a.</t>
  </si>
  <si>
    <t>Enter the registry ID number in row 97 of the table for production class 2a.</t>
  </si>
  <si>
    <t>Enter the registry ID number in row 98 of the table for production class 2a.</t>
  </si>
  <si>
    <t>Enter the registry ID number in row 99 of the table for production class 2a.</t>
  </si>
  <si>
    <t>Enter the registry ID number in row 100 of the table for production class 2a.</t>
  </si>
  <si>
    <t>Enter the registry ID number in row 101 of the table for production class 2a.</t>
  </si>
  <si>
    <t>Enter the registry ID number in row 102 of the table for production class 2a.</t>
  </si>
  <si>
    <t>Enter the registry ID number in row 103 of the table for production class 2a.</t>
  </si>
  <si>
    <t>Enter the registry ID number in row 104 of the table for production class 2a.</t>
  </si>
  <si>
    <t>Enter the registry ID number in row 105 of the table for production class 2a.</t>
  </si>
  <si>
    <t>Enter the registry ID number in row 106 of the table for production class 2a.</t>
  </si>
  <si>
    <t>Enter the registry ID number in row 107 of the table for production class 2a.</t>
  </si>
  <si>
    <t>Enter the registry ID number in row 108 of the table for production class 2a.</t>
  </si>
  <si>
    <t>Enter the registry ID number in row 109 of the table for production class 2a.</t>
  </si>
  <si>
    <t>Enter the registry ID number in row 110 of the table for production class 2a.</t>
  </si>
  <si>
    <t>Enter the registry ID number in row 111 of the table for production class 2a.</t>
  </si>
  <si>
    <t>Enter the registry ID number in row 112 of the table for production class 2a.</t>
  </si>
  <si>
    <t>Enter the registry ID number in row 113 of the table for production class 2a.</t>
  </si>
  <si>
    <t>Enter the registry ID number in row 114 of the table for production class 2a.</t>
  </si>
  <si>
    <t>Enter the registry ID number in row 115 of the table for production class 2a.</t>
  </si>
  <si>
    <t>Enter the registry ID number in row 116 of the table for production class 2a.</t>
  </si>
  <si>
    <t>Enter the registry ID number in row 117 of the table for production class 2a.</t>
  </si>
  <si>
    <t>Enter the registry ID number in row 118 of the table for production class 2a.</t>
  </si>
  <si>
    <t>Enter the registry ID number in row 119 of the table for production class 2a.</t>
  </si>
  <si>
    <t>Enter the registry ID number in row 120 of the table for production class 2a.</t>
  </si>
  <si>
    <t>Enter the registry ID number in row 121 of the table for production class 2a.</t>
  </si>
  <si>
    <t>Enter the registry ID number in row 122 of the table for production class 2a.</t>
  </si>
  <si>
    <t>Enter the registry ID number in row 123 of the table for production class 2a.</t>
  </si>
  <si>
    <t>Enter the registry ID number in row 124 of the table for production class 2a.</t>
  </si>
  <si>
    <t>Enter the registry ID number in row 125 of the table for production class 2a.</t>
  </si>
  <si>
    <t>Enter the registry ID number in row 126 of the table for production class 2a.</t>
  </si>
  <si>
    <t>Enter the registry ID number in row 127 of the table for production class 2a.</t>
  </si>
  <si>
    <t>Enter the registry ID number in row 128 of the table for production class 2a.</t>
  </si>
  <si>
    <t>Enter the registry ID number in row 129 of the table for production class 2a.</t>
  </si>
  <si>
    <t>Enter the registry ID number in row 130 of the table for production class 2a.</t>
  </si>
  <si>
    <t>Enter the registry ID number in row 131 of the table for production class 2a.</t>
  </si>
  <si>
    <t>Enter the registry ID number in row 132 of the table for production class 2a.</t>
  </si>
  <si>
    <t>Enter the registry ID number in row 133 of the table for production class 2a.</t>
  </si>
  <si>
    <t>Enter the registry ID number in row 134 of the table for production class 2a.</t>
  </si>
  <si>
    <t>Enter the registry ID number in row 135 of the table for production class 2a.</t>
  </si>
  <si>
    <t>Enter the registry ID number in row 136 of the table for production class 2a.</t>
  </si>
  <si>
    <t>Enter the registry ID number in row 137 of the table for production class 2a.</t>
  </si>
  <si>
    <t>Enter the registry ID number in row 138 of the table for production class 2a.</t>
  </si>
  <si>
    <t>Enter the registry ID number in row 139 of the table for production class 2a.</t>
  </si>
  <si>
    <t>Enter the registry ID number in row 140 of the table for production class 2a.</t>
  </si>
  <si>
    <t>Enter the registry ID number in row 141 of the table for production class 2a.</t>
  </si>
  <si>
    <t>Enter the registry ID number in row 142 of the table for production class 2a.</t>
  </si>
  <si>
    <t>Enter the registry ID number in row 143 of the table for production class 2a.</t>
  </si>
  <si>
    <t>Enter the registry ID number in row 144 of the table for production class 2a.</t>
  </si>
  <si>
    <t>Enter the registry ID number in row 145 of the table for production class 2a.</t>
  </si>
  <si>
    <t>Enter the registry ID number in row 146 of the table for production class 2a.</t>
  </si>
  <si>
    <t>Enter the registry ID number in row 147 of the table for production class 2a.</t>
  </si>
  <si>
    <t>Enter the registry ID number in row 148 of the table for production class 2a.</t>
  </si>
  <si>
    <t>Enter the registry ID number in row 149 of the table for production class 2a.</t>
  </si>
  <si>
    <t>Enter the registry ID number in row 150 of the table for production class 2a.</t>
  </si>
  <si>
    <t>Enter the registry ID number in row 151 of the table for production class 2a.</t>
  </si>
  <si>
    <t>Enter the registry ID number in row 152 of the table for production class 2a.</t>
  </si>
  <si>
    <t>Enter the registry ID number in row 153 of the table for production class 2a.</t>
  </si>
  <si>
    <t>Enter the registry ID number in row 154 of the table for production class 2a.</t>
  </si>
  <si>
    <t>Enter the registry ID number in row 155 of the table for production class 2a.</t>
  </si>
  <si>
    <t>Enter the registry ID number in row 156 of the table for production class 2a.</t>
  </si>
  <si>
    <t>Enter the registry ID number in row 157 of the table for production class 2a.</t>
  </si>
  <si>
    <t>Enter the registry ID number in row 158 of the table for production class 2a.</t>
  </si>
  <si>
    <t>Enter the registry ID number in row 159 of the table for production class 2a.</t>
  </si>
  <si>
    <t>Enter the registry ID number in row 160 of the table for production class 2a.</t>
  </si>
  <si>
    <t>Enter the registry ID number in row 161 of the table for production class 2a.</t>
  </si>
  <si>
    <t>Enter the registry ID number in row 162 of the table for production class 2a.</t>
  </si>
  <si>
    <t>Enter the registry ID number in row 163 of the table for production class 2a.</t>
  </si>
  <si>
    <t>Enter the registry ID number in row 164 of the table for production class 2a.</t>
  </si>
  <si>
    <t>Enter the registry ID number in row 165 of the table for production class 2a.</t>
  </si>
  <si>
    <t>Enter the registry ID number in row 166 of the table for production class 2a.</t>
  </si>
  <si>
    <t>Enter the registry ID number in row 167 of the table for production class 2a.</t>
  </si>
  <si>
    <t>Enter the registry ID number in row 168 of the table for production class 2a.</t>
  </si>
  <si>
    <t>Enter the registry ID number in row 169 of the table for production class 2a.</t>
  </si>
  <si>
    <t>Enter the registry ID number in row 170 of the table for production class 2a.</t>
  </si>
  <si>
    <t>Enter the registry ID number in row 171 of the table for production class 2a.</t>
  </si>
  <si>
    <t>Enter the registry ID number in row 172 of the table for production class 2a.</t>
  </si>
  <si>
    <t>Enter the registry ID number in row 173 of the table for production class 2a.</t>
  </si>
  <si>
    <t>Enter the registry ID number in row 174 of the table for production class 2a.</t>
  </si>
  <si>
    <t>Enter the registry ID number in row 175 of the table for production class 2a.</t>
  </si>
  <si>
    <t>Enter the registry ID number in row 176 of the table for production class 2a.</t>
  </si>
  <si>
    <t>Enter the registry ID number in row 177 of the table for production class 2a.</t>
  </si>
  <si>
    <t>Enter the registry ID number in row 178 of the table for production class 2a.</t>
  </si>
  <si>
    <t>Enter the registry ID number in row 179 of the table for production class 2a.</t>
  </si>
  <si>
    <t>Enter the registry ID number in row 180 of the table for production class 2a.</t>
  </si>
  <si>
    <t>Enter the registry ID number in row 181 of the table for production class 2a.</t>
  </si>
  <si>
    <t>Enter the registry ID number in row 182 of the table for production class 2a.</t>
  </si>
  <si>
    <t>Enter the registry ID number in row 183 of the table for production class 2a.</t>
  </si>
  <si>
    <t>Enter the registry ID number in row 184 of the table for production class 2a.</t>
  </si>
  <si>
    <t>Enter the registry ID number in row 185 of the table for production class 2a.</t>
  </si>
  <si>
    <t>Enter the registry ID number in row 186 of the table for production class 2a.</t>
  </si>
  <si>
    <t>Enter the registry ID number in row 187 of the table for production class 2a.</t>
  </si>
  <si>
    <t>Enter the registry ID number in row 188 of the table for production class 2a.</t>
  </si>
  <si>
    <t>Enter the registry ID number in row 189 of the table for production class 2a.</t>
  </si>
  <si>
    <t>Enter the registry ID number in row 190 of the table for production class 2a.</t>
  </si>
  <si>
    <t>Enter the registry ID number in row 191 of the table for production class 2a.</t>
  </si>
  <si>
    <t>Enter the registry ID number in row 192 of the table for production class 2a.</t>
  </si>
  <si>
    <t>Enter the registry ID number in row 193 of the table for production class 2a.</t>
  </si>
  <si>
    <t>Enter the registry ID number in row 194 of the table for production class 2a.</t>
  </si>
  <si>
    <t>Enter the registry ID number in row 195 of the table for production class 2a.</t>
  </si>
  <si>
    <t>Enter the registry ID number in row 196 of the table for production class 2a.</t>
  </si>
  <si>
    <t>Enter the registry ID number in row 197 of the table for production class 2a.</t>
  </si>
  <si>
    <t>Enter the registry ID number in row 198 of the table for production class 2a.</t>
  </si>
  <si>
    <t>Enter the registry ID number in row 199 of the table for production class 2a.</t>
  </si>
  <si>
    <t>Enter the registry ID number in row 200 of the table for production class 2a.</t>
  </si>
  <si>
    <t>Enter the registry ID number in row 201 of the table for production class 2a.</t>
  </si>
  <si>
    <t>Enter the registry ID number in row 202 of the table for production class 2a.</t>
  </si>
  <si>
    <t>Enter the registry ID number in row 203 of the table for production class 2a.</t>
  </si>
  <si>
    <t>Enter the registry ID number in row 204 of the table for production class 2a.</t>
  </si>
  <si>
    <t>Enter the registry ID number in row 205 of the table for production class 2a.</t>
  </si>
  <si>
    <t>Enter the registry ID number in row 206 of the table for production class 2a.</t>
  </si>
  <si>
    <t>Enter the registry ID number in row 207 of the table for production class 2a.</t>
  </si>
  <si>
    <t>Enter the registry ID number in row 208 of the table for production class 2a.</t>
  </si>
  <si>
    <t>Enter the registry ID number in row 209 of the table for production class 2a.</t>
  </si>
  <si>
    <t>Enter the registry ID number in row 210 of the table for production class 2a.</t>
  </si>
  <si>
    <t>Enter the registry ID number in row 211 of the table for production class 2a.</t>
  </si>
  <si>
    <t>Enter the registry ID number in row 212 of the table for production class 2a.</t>
  </si>
  <si>
    <t>Enter the registry ID number in row 213 of the table for production class 2a.</t>
  </si>
  <si>
    <t>Enter the registry ID number in row 214 of the table for production class 2a.</t>
  </si>
  <si>
    <t>Enter the registry ID number in row 215 of the table for production class 2a.</t>
  </si>
  <si>
    <t>Enter the registry ID number in row 216 of the table for production class 2a.</t>
  </si>
  <si>
    <t>Enter the registry ID number in row 217 of the table for production class 2a.</t>
  </si>
  <si>
    <t>Enter the registry ID number in row 218 of the table for production class 2a.</t>
  </si>
  <si>
    <t>Enter the registry ID number in row 219 of the table for production class 2a.</t>
  </si>
  <si>
    <t>Enter the registry ID number in row 220 of the table for production class 2a.</t>
  </si>
  <si>
    <t>Enter the registry ID number in row 221 of the table for production class 2a.</t>
  </si>
  <si>
    <t>Enter the registry ID number in row 222 of the table for production class 2a.</t>
  </si>
  <si>
    <t>Enter the registry ID number in row 223 of the table for production class 2a.</t>
  </si>
  <si>
    <t>Enter the registry ID number in row 224 of the table for production class 2a.</t>
  </si>
  <si>
    <t>Enter the registry ID number in row 225 of the table for production class 2a.</t>
  </si>
  <si>
    <t>Enter the registry ID number in row 226 of the table for production class 2a.</t>
  </si>
  <si>
    <t>Enter the registry ID number in row 227 of the table for production class 2a.</t>
  </si>
  <si>
    <t>Enter the registry ID number in row 228 of the table for production class 2a.</t>
  </si>
  <si>
    <t>Enter the registry ID number in row 229 of the table for production class 2a.</t>
  </si>
  <si>
    <t>Enter the registry ID number in row 230 of the table for production class 2a.</t>
  </si>
  <si>
    <t>Enter the registry ID number in row 231 of the table for production class 2a.</t>
  </si>
  <si>
    <t>Enter the registry ID number in row 232 of the table for production class 2a.</t>
  </si>
  <si>
    <t>Enter the registry ID number in row 233 of the table for production class 2a.</t>
  </si>
  <si>
    <t>Enter the registry ID number in row 234 of the table for production class 2a.</t>
  </si>
  <si>
    <t>Enter the registry ID number in row 235 of the table for production class 2a.</t>
  </si>
  <si>
    <t>Enter the registry ID number in row 236 of the table for production class 2a.</t>
  </si>
  <si>
    <t>Enter the registry ID number in row 237 of the table for production class 2a.</t>
  </si>
  <si>
    <t>Enter the registry ID number in row 238 of the table for production class 2a.</t>
  </si>
  <si>
    <t>Enter the registry ID number in row 239 of the table for production class 2a.</t>
  </si>
  <si>
    <t>Enter the registry ID number in row 240 of the table for production class 2a.</t>
  </si>
  <si>
    <t>Enter the registry ID number in row 241 of the table for production class 2a.</t>
  </si>
  <si>
    <t>Enter the registry ID number in row 242 of the table for production class 2a.</t>
  </si>
  <si>
    <t>Enter the registry ID number in row 243 of the table for production class 2a.</t>
  </si>
  <si>
    <t>Enter the registry ID number in row 244 of the table for production class 2a.</t>
  </si>
  <si>
    <t>Enter the registry ID number in row 245 of the table for production class 2a.</t>
  </si>
  <si>
    <t>Enter the registry ID number in row 246 of the table for production class 2a.</t>
  </si>
  <si>
    <t>Enter the registry ID number in row 247 of the table for production class 2a.</t>
  </si>
  <si>
    <t>Enter the registry ID number in row 248 of the table for production class 2a.</t>
  </si>
  <si>
    <t>Enter the registry ID number in row 249 of the table for production class 2a.</t>
  </si>
  <si>
    <t>Enter the registry ID number in row 250 of the table for production class 2a.</t>
  </si>
  <si>
    <t>Enter the registry ID number in row 251 of the table for production class 2a.</t>
  </si>
  <si>
    <t>Enter the registry ID number in row 252 of the table for production class 2a.</t>
  </si>
  <si>
    <t>Enter the registry ID number in row 253 of the table for production class 2a.</t>
  </si>
  <si>
    <t>Enter the registry ID number in row 254 of the table for production class 2a.</t>
  </si>
  <si>
    <t>Enter the registry ID number in row 255 of the table for production class 2a.</t>
  </si>
  <si>
    <t>Enter the registry ID number in row 256 of the table for production class 2a.</t>
  </si>
  <si>
    <t>Enter the registry ID number in row 257 of the table for production class 2a.</t>
  </si>
  <si>
    <t>Enter the registry ID number in row 258 of the table for production class 2a.</t>
  </si>
  <si>
    <t>Enter the registry ID number in row 259 of the table for production class 2a.</t>
  </si>
  <si>
    <t>Enter the registry ID number in row 260 of the table for production class 2a.</t>
  </si>
  <si>
    <t>Enter the registry ID number in row 261 of the table for production class 2a.</t>
  </si>
  <si>
    <t>Enter the registry ID number in row 262 of the table for production class 2a.</t>
  </si>
  <si>
    <t>Enter the registry ID number in row 263 of the table for production class 2a.</t>
  </si>
  <si>
    <t>Enter the registry ID number in row 264 of the table for production class 2a.</t>
  </si>
  <si>
    <t>Enter the registry ID number in row 265 of the table for production class 2a.</t>
  </si>
  <si>
    <t>Enter the registry ID number in row 266 of the table for production class 2a.</t>
  </si>
  <si>
    <t>Enter the registry ID number in row 267 of the table for production class 2a.</t>
  </si>
  <si>
    <t>Enter the registry ID number in row 268 of the table for production class 2a.</t>
  </si>
  <si>
    <t>Enter the registry ID number in row 269 of the table for production class 2a.</t>
  </si>
  <si>
    <t>Enter the registry ID number in row 270 of the table for production class 2a.</t>
  </si>
  <si>
    <t>Enter the registry ID number in row 271 of the table for production class 2a.</t>
  </si>
  <si>
    <t>Enter the registry ID number in row 272 of the table for production class 2a.</t>
  </si>
  <si>
    <t>Enter the registry ID number in row 273 of the table for production class 2a.</t>
  </si>
  <si>
    <t>Enter the registry ID number in row 274 of the table for production class 2a.</t>
  </si>
  <si>
    <t>Enter the registry ID number in row 275 of the table for production class 2a.</t>
  </si>
  <si>
    <t>Enter the registry ID number in row 276 of the table for production class 2a.</t>
  </si>
  <si>
    <t>Enter the registry ID number in row 277 of the table for production class 2a.</t>
  </si>
  <si>
    <t>Enter the registry ID number in row 278 of the table for production class 2a.</t>
  </si>
  <si>
    <t>Enter the registry ID number in row 279 of the table for production class 2a.</t>
  </si>
  <si>
    <t>Enter the registry ID number in row 280 of the table for production class 2a.</t>
  </si>
  <si>
    <t>Enter the registry ID number in row 281 of the table for production class 2a.</t>
  </si>
  <si>
    <t>Enter the registry ID number in row 282 of the table for production class 2a.</t>
  </si>
  <si>
    <t>Enter the registry ID number in row 283 of the table for production class 2a.</t>
  </si>
  <si>
    <t>Enter the registry ID number in row 284 of the table for production class 2a.</t>
  </si>
  <si>
    <t>Enter the registry ID number in row 285 of the table for production class 2a.</t>
  </si>
  <si>
    <t>Enter the registry ID number in row 286 of the table for production class 2a.</t>
  </si>
  <si>
    <t>Enter the registry ID number in row 287 of the table for production class 2a.</t>
  </si>
  <si>
    <t>Enter the registry ID number in row 288 of the table for production class 2a.</t>
  </si>
  <si>
    <t>Enter the registry ID number in row 289 of the table for production class 2a.</t>
  </si>
  <si>
    <t>Enter the registry ID number in row 290 of the table for production class 2a.</t>
  </si>
  <si>
    <t>Enter the registry ID number in row 291 of the table for production class 2a.</t>
  </si>
  <si>
    <t>Enter the registry ID number in row 292 of the table for production class 2a.</t>
  </si>
  <si>
    <t>Enter the registry ID number in row 293 of the table for production class 2a.</t>
  </si>
  <si>
    <t>Enter the registry ID number in row 294 of the table for production class 2a.</t>
  </si>
  <si>
    <t>Enter the registry ID number in row 295 of the table for production class 2a.</t>
  </si>
  <si>
    <t>Enter the registry ID number in row 296 of the table for production class 2a.</t>
  </si>
  <si>
    <t>Enter the registry ID number in row 297 of the table for production class 2a.</t>
  </si>
  <si>
    <t>Enter the registry ID number in row 298 of the table for production class 2a.</t>
  </si>
  <si>
    <t>Enter the registry ID number in row 299 of the table for production class 2a.</t>
  </si>
  <si>
    <t>Enter the registry ID number in row 300 of the table for production class 2a.</t>
  </si>
  <si>
    <t>Enter the registry ID number in row 301 of the table for production class 2a.</t>
  </si>
  <si>
    <t>Enter the registry ID number in row 302 of the table for production class 2a.</t>
  </si>
  <si>
    <t>Enter the registry ID number in row 303 of the table for production class 2a.</t>
  </si>
  <si>
    <t>Enter the registry ID number in row 304 of the table for production class 2a.</t>
  </si>
  <si>
    <t>Enter the registry ID number in row 305 of the table for production class 2a.</t>
  </si>
  <si>
    <t>Enter the registry ID number in row 306 of the table for production class 2a.</t>
  </si>
  <si>
    <t>Enter the registry ID number in row 307 of the table for production class 2a.</t>
  </si>
  <si>
    <t>Enter the registry ID number in row 308 of the table for production class 2a.</t>
  </si>
  <si>
    <t>Enter the registry ID number in row 309 of the table for production class 2a.</t>
  </si>
  <si>
    <t>Enter the registry ID number in row 310 of the table for production class 2a.</t>
  </si>
  <si>
    <t>Enter the registry ID number in row 311 of the table for production class 2a.</t>
  </si>
  <si>
    <t>Enter the registry ID number in row 312 of the table for production class 2a.</t>
  </si>
  <si>
    <t>Enter the registry ID number in row 313 of the table for production class 2a.</t>
  </si>
  <si>
    <t>Enter the registry ID number in row 314 of the table for production class 2a.</t>
  </si>
  <si>
    <t>Enter the registry ID number in row 315 of the table for production class 2a.</t>
  </si>
  <si>
    <t>Enter the registry ID number in row 316 of the table for production class 2a.</t>
  </si>
  <si>
    <t>Enter the registry ID number in row 317 of the table for production class 2a.</t>
  </si>
  <si>
    <t>Enter the registry ID number in row 318 of the table for production class 2a.</t>
  </si>
  <si>
    <t>Enter the registry ID number in row 319 of the table for production class 2a.</t>
  </si>
  <si>
    <t>Enter the registry ID number in row 320 of the table for production class 2a.</t>
  </si>
  <si>
    <t>Enter the registry ID number in row 321 of the table for production class 2a.</t>
  </si>
  <si>
    <t>Enter the registry ID number in row 322 of the table for production class 2a.</t>
  </si>
  <si>
    <t>Enter the registry ID number in row 323 of the table for production class 2a.</t>
  </si>
  <si>
    <t>Enter the registry ID number in row 324 of the table for production class 2a.</t>
  </si>
  <si>
    <t>Enter the registry ID number in row 325 of the table for production class 2a.</t>
  </si>
  <si>
    <t>Enter the registry ID number in row 326 of the table for production class 2a.</t>
  </si>
  <si>
    <t>Enter the registry ID number in row 327 of the table for production class 2a.</t>
  </si>
  <si>
    <t>Enter the registry ID number in row 328 of the table for production class 2a.</t>
  </si>
  <si>
    <t>Enter the registry ID number in row 329 of the table for production class 2a.</t>
  </si>
  <si>
    <t>Enter the registry ID number in row 330 of the table for production class 2a.</t>
  </si>
  <si>
    <t>Enter the registry ID number in row 331 of the table for production class 2a.</t>
  </si>
  <si>
    <t>Enter the registry ID number in row 332 of the table for production class 2a.</t>
  </si>
  <si>
    <t>Enter the registry ID number in row 333 of the table for production class 2a.</t>
  </si>
  <si>
    <t>Enter the registry ID number in row 334 of the table for production class 2a.</t>
  </si>
  <si>
    <t>Enter the registry ID number in row 335 of the table for production class 2a.</t>
  </si>
  <si>
    <t>Enter the registry ID number in row 336 of the table for production class 2a.</t>
  </si>
  <si>
    <t>Enter the registry ID number in row 337 of the table for production class 2a.</t>
  </si>
  <si>
    <t>Enter the registry ID number in row 338 of the table for production class 2a.</t>
  </si>
  <si>
    <t>Enter the registry ID number in row 339 of the table for production class 2a.</t>
  </si>
  <si>
    <t>Enter the registry ID number in row 340 of the table for production class 2a.</t>
  </si>
  <si>
    <t>Enter the registry ID number in row 341 of the table for production class 2a.</t>
  </si>
  <si>
    <t>Enter the registry ID number in row 342 of the table for production class 2a.</t>
  </si>
  <si>
    <t>Enter the registry ID number in row 343 of the table for production class 2a.</t>
  </si>
  <si>
    <t>Enter the registry ID number in row 344 of the table for production class 2a.</t>
  </si>
  <si>
    <t>Enter the registry ID number in row 345 of the table for production class 2a.</t>
  </si>
  <si>
    <t>Enter the registry ID number in row 346 of the table for production class 2a.</t>
  </si>
  <si>
    <t>Enter the registry ID number in row 347 of the table for production class 2a.</t>
  </si>
  <si>
    <t>Enter the registry ID number in row 348 of the table for production class 2a.</t>
  </si>
  <si>
    <t>Enter the registry ID number in row 349 of the table for production class 2a.</t>
  </si>
  <si>
    <t>Enter the registry ID number in row 350 of the table for production class 2a.</t>
  </si>
  <si>
    <t>Enter the registry ID number in row 351 of the table for production class 2a.</t>
  </si>
  <si>
    <t>Enter the registry ID number in row 352 of the table for production class 2a.</t>
  </si>
  <si>
    <t>Enter the registry ID number in row 353 of the table for production class 2a.</t>
  </si>
  <si>
    <t>Enter the registry ID number in row 354 of the table for production class 2a.</t>
  </si>
  <si>
    <t>Enter the registry ID number in row 355 of the table for production class 2a.</t>
  </si>
  <si>
    <t>Enter the registry ID number in row 356 of the table for production class 2a.</t>
  </si>
  <si>
    <t>Enter the registry ID number in row 357 of the table for production class 2a.</t>
  </si>
  <si>
    <t>Enter the registry ID number in row 358 of the table for production class 2a.</t>
  </si>
  <si>
    <t>Enter the registry ID number in row 359 of the table for production class 2a.</t>
  </si>
  <si>
    <t>Enter the registry ID number in row 360 of the table for production class 2a.</t>
  </si>
  <si>
    <t>Enter the registry ID number in row 361 of the table for production class 2a.</t>
  </si>
  <si>
    <t>Enter the registry ID number in row 362 of the table for production class 2a.</t>
  </si>
  <si>
    <t>Enter the registry ID number in row 363 of the table for production class 2a.</t>
  </si>
  <si>
    <t>Enter the registry ID number in row 364 of the table for production class 2a.</t>
  </si>
  <si>
    <t>Enter the registry ID number in row 365 of the table for production class 2a.</t>
  </si>
  <si>
    <t>Enter the registry ID number in row 366 of the table for production class 2a.</t>
  </si>
  <si>
    <t>Enter the registry ID number in row 367 of the table for production class 2a.</t>
  </si>
  <si>
    <t>Enter the registry ID number in row 368 of the table for production class 2a.</t>
  </si>
  <si>
    <t>Enter the registry ID number in row 369 of the table for production class 2a.</t>
  </si>
  <si>
    <t>Enter the registry ID number in row 370 of the table for production class 2a.</t>
  </si>
  <si>
    <t>Enter the registry ID number in row 371 of the table for production class 2a.</t>
  </si>
  <si>
    <t>Enter the registry ID number in row 372 of the table for production class 2a.</t>
  </si>
  <si>
    <t>Enter the registry ID number in row 373 of the table for production class 2a.</t>
  </si>
  <si>
    <t>Enter the registry ID number in row 374 of the table for production class 2a.</t>
  </si>
  <si>
    <t>Enter the registry ID number in row 375 of the table for production class 2a.</t>
  </si>
  <si>
    <t>Enter the registry ID number in row 376 of the table for production class 2a.</t>
  </si>
  <si>
    <t>Enter the registry ID number in row 377 of the table for production class 2a.</t>
  </si>
  <si>
    <t>Enter the registry ID number in row 378 of the table for production class 2a.</t>
  </si>
  <si>
    <t>Enter the registry ID number in row 379 of the table for production class 2a.</t>
  </si>
  <si>
    <t>Enter the registry ID number in row 380 of the table for production class 2a.</t>
  </si>
  <si>
    <t>Enter the registry ID number in row 381 of the table for production class 2a.</t>
  </si>
  <si>
    <t>Enter the registry ID number in row 382 of the table for production class 2a.</t>
  </si>
  <si>
    <t>Enter the registry ID number in row 383 of the table for production class 2a.</t>
  </si>
  <si>
    <t>Enter the registry ID number in row 384 of the table for production class 2a.</t>
  </si>
  <si>
    <t>Enter the registry ID number in row 385 of the table for production class 2a.</t>
  </si>
  <si>
    <t>Enter the registry ID number in row 386 of the table for production class 2a.</t>
  </si>
  <si>
    <t>Enter the registry ID number in row 387 of the table for production class 2a.</t>
  </si>
  <si>
    <t>Enter the registry ID number in row 388 of the table for production class 2a.</t>
  </si>
  <si>
    <t>Enter the registry ID number in row 389 of the table for production class 2a.</t>
  </si>
  <si>
    <t>Enter the registry ID number in row 390 of the table for production class 2a.</t>
  </si>
  <si>
    <t>Enter the registry ID number in row 391 of the table for production class 2a.</t>
  </si>
  <si>
    <t>Enter the registry ID number in row 392 of the table for production class 2a.</t>
  </si>
  <si>
    <t>Enter the registry ID number in row 393 of the table for production class 2a.</t>
  </si>
  <si>
    <t>Enter the registry ID number in row 394 of the table for production class 2a.</t>
  </si>
  <si>
    <t>Enter the registry ID number in row 395 of the table for production class 2a.</t>
  </si>
  <si>
    <t>Enter the registry ID number in row 396 of the table for production class 2a.</t>
  </si>
  <si>
    <t>Enter the registry ID number in row 397 of the table for production class 2a.</t>
  </si>
  <si>
    <t>Enter the registry ID number in row 398 of the table for production class 2a.</t>
  </si>
  <si>
    <t>Enter the registry ID number in row 399 of the table for production class 2a.</t>
  </si>
  <si>
    <t>Enter the registry ID number in row 400 of the table for production class 2a.</t>
  </si>
  <si>
    <t>Enter the registry ID number in row 401 of the table for production class 2a.</t>
  </si>
  <si>
    <t>Enter the registry ID number in row 402 of the table for production class 2a.</t>
  </si>
  <si>
    <t>Enter the registry ID number in row 403 of the table for production class 2a.</t>
  </si>
  <si>
    <t>Enter the registry ID number in row 404 of the table for production class 2a.</t>
  </si>
  <si>
    <t>Enter the registry ID number in row 405 of the table for production class 2a.</t>
  </si>
  <si>
    <t>Enter the registry ID number in row 406 of the table for production class 2a.</t>
  </si>
  <si>
    <t>Enter the registry ID number in row 407 of the table for production class 2a.</t>
  </si>
  <si>
    <t>Enter the registry ID number in row 408 of the table for production class 2a.</t>
  </si>
  <si>
    <t>Enter the registry ID number in row 409 of the table for production class 2a.</t>
  </si>
  <si>
    <t>Enter the registry ID number in row 410 of the table for production class 2a.</t>
  </si>
  <si>
    <t>Enter the registry ID number in row 411 of the table for production class 2a.</t>
  </si>
  <si>
    <t>Enter the registry ID number in row 412 of the table for production class 2a.</t>
  </si>
  <si>
    <t>Enter the registry ID number in row 413 of the table for production class 2a.</t>
  </si>
  <si>
    <t>Enter the registry ID number in row 414 of the table for production class 2a.</t>
  </si>
  <si>
    <t>Enter the registry ID number in row 415 of the table for production class 2a.</t>
  </si>
  <si>
    <t>Enter the registry ID number in row 416 of the table for production class 2a.</t>
  </si>
  <si>
    <t>Enter the registry ID number in row 417 of the table for production class 2a.</t>
  </si>
  <si>
    <t>Enter the registry ID number in row 418 of the table for production class 2a.</t>
  </si>
  <si>
    <t>Enter the registry ID number in row 419 of the table for production class 2a.</t>
  </si>
  <si>
    <t>Enter the registry ID number in row 420 of the table for production class 2a.</t>
  </si>
  <si>
    <t>Enter the registry ID number in row 421 of the table for production class 2a.</t>
  </si>
  <si>
    <t>Enter the registry ID number in row 422 of the table for production class 2a.</t>
  </si>
  <si>
    <t>Enter the registry ID number in row 423 of the table for production class 2a.</t>
  </si>
  <si>
    <t>Enter the registry ID number in row 424 of the table for production class 2a.</t>
  </si>
  <si>
    <t>Enter the registry ID number in row 425 of the table for production class 2a.</t>
  </si>
  <si>
    <t>Enter the registry ID number in row 426 of the table for production class 2a.</t>
  </si>
  <si>
    <t>Enter the registry ID number in row 427 of the table for production class 2a.</t>
  </si>
  <si>
    <t>Enter the registry ID number in row 428 of the table for production class 2a.</t>
  </si>
  <si>
    <t>Enter the registry ID number in row 429 of the table for production class 2a.</t>
  </si>
  <si>
    <t>Enter the registry ID number in row 430 of the table for production class 2a.</t>
  </si>
  <si>
    <t>Enter the registry ID number in row 431 of the table for production class 2a.</t>
  </si>
  <si>
    <t>Enter the registry ID number in row 432 of the table for production class 2a.</t>
  </si>
  <si>
    <t>Enter the registry ID number in row 433 of the table for production class 2a.</t>
  </si>
  <si>
    <t>Enter the registry ID number in row 434 of the table for production class 2a.</t>
  </si>
  <si>
    <t>Enter the registry ID number in row 435 of the table for production class 2a.</t>
  </si>
  <si>
    <t>Enter the registry ID number in row 436 of the table for production class 2a.</t>
  </si>
  <si>
    <t>Enter the registry ID number in row 437 of the table for production class 2a.</t>
  </si>
  <si>
    <t>Enter the registry ID number in row 438 of the table for production class 2a.</t>
  </si>
  <si>
    <t>Enter the registry ID number in row 439 of the table for production class 2a.</t>
  </si>
  <si>
    <t>Enter the registry ID number in row 440 of the table for production class 2a.</t>
  </si>
  <si>
    <t>Enter the registry ID number in row 441 of the table for production class 2a.</t>
  </si>
  <si>
    <t>Enter the registry ID number in row 442 of the table for production class 2a.</t>
  </si>
  <si>
    <t>Enter the registry ID number in row 443 of the table for production class 2a.</t>
  </si>
  <si>
    <t>Enter the registry ID number in row 444 of the table for production class 2a.</t>
  </si>
  <si>
    <t>Enter the registry ID number in row 445 of the table for production class 2a.</t>
  </si>
  <si>
    <t>Enter the registry ID number in row 446 of the table for production class 2a.</t>
  </si>
  <si>
    <t>Enter the registry ID number in row 447 of the table for production class 2a.</t>
  </si>
  <si>
    <t>Enter the registry ID number in row 448 of the table for production class 2a.</t>
  </si>
  <si>
    <t>Enter the registry ID number in row 449 of the table for production class 2a.</t>
  </si>
  <si>
    <t>Enter the registry ID number in row 450 of the table for production class 2a.</t>
  </si>
  <si>
    <t>Enter the registry ID number in row 451 of the table for production class 2a.</t>
  </si>
  <si>
    <t>Enter the registry ID number in row 452 of the table for production class 2a.</t>
  </si>
  <si>
    <t>Enter the registry ID number in row 453 of the table for production class 2a.</t>
  </si>
  <si>
    <t>Enter the registry ID number in row 454 of the table for production class 2a.</t>
  </si>
  <si>
    <t>Enter the registry ID number in row 455 of the table for production class 2a.</t>
  </si>
  <si>
    <t>Enter the registry ID number in row 456 of the table for production class 2a.</t>
  </si>
  <si>
    <t>Enter the registry ID number in row 457 of the table for production class 2a.</t>
  </si>
  <si>
    <t>Enter the registry ID number in row 458 of the table for production class 2a.</t>
  </si>
  <si>
    <t>Enter the registry ID number in row 459 of the table for production class 2a.</t>
  </si>
  <si>
    <t>Enter the registry ID number in row 460 of the table for production class 2a.</t>
  </si>
  <si>
    <t>Enter the registry ID number in row 461 of the table for production class 2a.</t>
  </si>
  <si>
    <t>Enter the registry ID number in row 462 of the table for production class 2a.</t>
  </si>
  <si>
    <t>Enter the registry ID number in row 463 of the table for production class 2a.</t>
  </si>
  <si>
    <t>Enter the registry ID number in row 464 of the table for production class 2a.</t>
  </si>
  <si>
    <t>Enter the registry ID number in row 465 of the table for production class 2a.</t>
  </si>
  <si>
    <t>Enter the registry ID number in row 466 of the table for production class 2a.</t>
  </si>
  <si>
    <t>Enter the registry ID number in row 467 of the table for production class 2a.</t>
  </si>
  <si>
    <t>Enter the registry ID number in row 468 of the table for production class 2a.</t>
  </si>
  <si>
    <t>Enter the registry ID number in row 469 of the table for production class 2a.</t>
  </si>
  <si>
    <t>Enter the registry ID number in row 470 of the table for production class 2a.</t>
  </si>
  <si>
    <t>Enter the registry ID number in row 471 of the table for production class 2a.</t>
  </si>
  <si>
    <t>Enter the registry ID number in row 472 of the table for production class 2a.</t>
  </si>
  <si>
    <t>Enter the registry ID number in row 473 of the table for production class 2a.</t>
  </si>
  <si>
    <t>Enter the registry ID number in row 474 of the table for production class 2a.</t>
  </si>
  <si>
    <t>Enter the registry ID number in row 475 of the table for production class 2a.</t>
  </si>
  <si>
    <t>Enter the registry ID number in row 476 of the table for production class 2a.</t>
  </si>
  <si>
    <t>Enter the registry ID number in row 477 of the table for production class 2a.</t>
  </si>
  <si>
    <t>Enter the registry ID number in row 478 of the table for production class 2a.</t>
  </si>
  <si>
    <t>Enter the registry ID number in row 479 of the table for production class 2a.</t>
  </si>
  <si>
    <t>Enter the registry ID number in row 480 of the table for production class 2a.</t>
  </si>
  <si>
    <t>Enter the registry ID number in row 481 of the table for production class 2a.</t>
  </si>
  <si>
    <t>Enter the registry ID number in row 482 of the table for production class 2a.</t>
  </si>
  <si>
    <t>Enter the registry ID number in row 483 of the table for production class 2a.</t>
  </si>
  <si>
    <t>Enter the registry ID number in row 484 of the table for production class 2a.</t>
  </si>
  <si>
    <t>Enter the registry ID number in row 485 of the table for production class 2a.</t>
  </si>
  <si>
    <t>Enter the registry ID number in row 486 of the table for production class 2a.</t>
  </si>
  <si>
    <t>Enter the registry ID number in row 487 of the table for production class 2a.</t>
  </si>
  <si>
    <t>Enter the registry ID number in row 488 of the table for production class 2a.</t>
  </si>
  <si>
    <t>Enter the registry ID number in row 489 of the table for production class 2a.</t>
  </si>
  <si>
    <t>Enter the registry ID number in row 490 of the table for production class 2a.</t>
  </si>
  <si>
    <t>Enter the registry ID number in row 491 of the table for production class 2a.</t>
  </si>
  <si>
    <t>Enter the registry ID number in row 492 of the table for production class 2a.</t>
  </si>
  <si>
    <t>Enter the registry ID number in row 493 of the table for production class 2a.</t>
  </si>
  <si>
    <t>Enter the registry ID number in row 494 of the table for production class 2a.</t>
  </si>
  <si>
    <t>Enter the registry ID number in row 495 of the table for production class 2a.</t>
  </si>
  <si>
    <t>Enter the registry ID number in row 496 of the table for production class 2a.</t>
  </si>
  <si>
    <t>Enter the registry ID number in row 497 of the table for production class 2a.</t>
  </si>
  <si>
    <t>Enter the registry ID number in row 498 of the table for production class 2a.</t>
  </si>
  <si>
    <t>Enter the registry ID number in row 499 of the table for production class 2a.</t>
  </si>
  <si>
    <t>Enter the registry ID number in row 500 of the table for production class 2a.</t>
  </si>
  <si>
    <t>Enter the registry ID number in row 501 of the table for production class 2a.</t>
  </si>
  <si>
    <t>Enter the registry ID number in row 502 of the table for production class 2a.</t>
  </si>
  <si>
    <t>Enter the registry ID number in row 503 of the table for production class 2a.</t>
  </si>
  <si>
    <t>Enter the registry ID number in row 504 of the table for production class 2a.</t>
  </si>
  <si>
    <t>Enter the registry ID number in row 505 of the table for production class 2a.</t>
  </si>
  <si>
    <t>Enter the registry ID number in row 506 of the table for production class 2a.</t>
  </si>
  <si>
    <t>Enter the registry ID number in row 507 of the table for production class 2a.</t>
  </si>
  <si>
    <t>Enter the registry ID number in row 508 of the table for production class 2a.</t>
  </si>
  <si>
    <t>Enter the registry ID number in row 509 of the table for production class 2a.</t>
  </si>
  <si>
    <t>Enter the registry ID number in row 510 of the table for production class 2a.</t>
  </si>
  <si>
    <t>Enter the registry ID number in row 511 of the table for production class 2a.</t>
  </si>
  <si>
    <t>Enter the registry ID number in row 512 of the table for production class 2a.</t>
  </si>
  <si>
    <t>Enter the registry ID number in row 513 of the table for production class 2a.</t>
  </si>
  <si>
    <t>Enter the registry ID number in row 514 of the table for production class 2a.</t>
  </si>
  <si>
    <t>Enter the registry ID number in row 515 of the table for production class 2a.</t>
  </si>
  <si>
    <t>Enter the registry ID number in row 516 of the table for production class 2a.</t>
  </si>
  <si>
    <t>Enter the registry ID number in row 517 of the table for production class 2a.</t>
  </si>
  <si>
    <t>Enter the registry ID number in row 518 of the table for production class 2a.</t>
  </si>
  <si>
    <t>Enter the registry ID number in row 519 of the table for production class 2a.</t>
  </si>
  <si>
    <t>Enter the registry ID number in row 520 of the table for production class 2a.</t>
  </si>
  <si>
    <t>Enter the registry ID number in row 521 of the table for production class 2a.</t>
  </si>
  <si>
    <t>Enter the registry ID number in row 522 of the table for production class 2a.</t>
  </si>
  <si>
    <t>Enter the registry ID number in row 523 of the table for production class 2a.</t>
  </si>
  <si>
    <t>Enter the registry ID number in row 524 of the table for production class 2a.</t>
  </si>
  <si>
    <t>Enter the registry ID number in row 525 of the table for production class 2a.</t>
  </si>
  <si>
    <t>Enter the registry ID number in row 526 of the table for production class 2a.</t>
  </si>
  <si>
    <t>Enter the registry ID number in row 527 of the table for production class 2a.</t>
  </si>
  <si>
    <t>Enter the registry ID number in row 528 of the table for production class 2a.</t>
  </si>
  <si>
    <t>Enter the registry ID number in row 529 of the table for production class 2a.</t>
  </si>
  <si>
    <t>Enter the registry ID number in row 530 of the table for production class 2a.</t>
  </si>
  <si>
    <t>Enter the registry ID number in row 531 of the table for production class 2a.</t>
  </si>
  <si>
    <t>Enter the registry ID number in row 532 of the table for production class 2a.</t>
  </si>
  <si>
    <t>Enter the registry ID number in row 533 of the table for production class 2a.</t>
  </si>
  <si>
    <t>Enter the registry ID number in row 534 of the table for production class 2a.</t>
  </si>
  <si>
    <t>Enter the registry ID number in row 535 of the table for production class 2a.</t>
  </si>
  <si>
    <t>Enter the registry ID number in row 536 of the table for production class 2a.</t>
  </si>
  <si>
    <t>Enter the registry ID number in row 537 of the table for production class 2a.</t>
  </si>
  <si>
    <t>Enter the registry ID number in row 538 of the table for production class 2a.</t>
  </si>
  <si>
    <t>Enter the registry ID number in row 539 of the table for production class 2a.</t>
  </si>
  <si>
    <t>Enter the registry ID number in row 540 of the table for production class 2a.</t>
  </si>
  <si>
    <t>Enter the registry ID number in row 541 of the table for production class 2a.</t>
  </si>
  <si>
    <t>Enter the registry ID number in row 542 of the table for production class 2a.</t>
  </si>
  <si>
    <t>Enter the registry ID number in row 543 of the table for production class 2a.</t>
  </si>
  <si>
    <t>Enter the registry ID number in row 544 of the table for production class 2a.</t>
  </si>
  <si>
    <t>Enter the registry ID number in row 545 of the table for production class 2a.</t>
  </si>
  <si>
    <t>Enter the registry ID number in row 546 of the table for production class 2a.</t>
  </si>
  <si>
    <t>Enter the registry ID number in row 547 of the table for production class 2a.</t>
  </si>
  <si>
    <t>Enter the registry ID number in row 548 of the table for production class 2a.</t>
  </si>
  <si>
    <t>Enter the registry ID number in row 549 of the table for production class 2a.</t>
  </si>
  <si>
    <t>Enter the registry ID number in row 550 of the table for production class 2a.</t>
  </si>
  <si>
    <t>Enter the registry ID number in row 551 of the table for production class 2a.</t>
  </si>
  <si>
    <t>Enter the registry ID number in row 552 of the table for production class 2a.</t>
  </si>
  <si>
    <t>Enter the registry ID number in row 553 of the table for production class 2a.</t>
  </si>
  <si>
    <t>Enter the registry ID number in row 554 of the table for production class 2a.</t>
  </si>
  <si>
    <t>Enter the registry ID number in row 555 of the table for production class 2a.</t>
  </si>
  <si>
    <t>Enter the registry ID number in row 556 of the table for production class 2a.</t>
  </si>
  <si>
    <t>Enter the registry ID number in row 557 of the table for production class 2a.</t>
  </si>
  <si>
    <t>Enter the registry ID number in row 558 of the table for production class 2a.</t>
  </si>
  <si>
    <t>Enter the registry ID number in row 559 of the table for production class 2a.</t>
  </si>
  <si>
    <t>Enter the registry ID number in row 560 of the table for production class 2a.</t>
  </si>
  <si>
    <t>Enter the registry ID number in row 561 of the table for production class 2a.</t>
  </si>
  <si>
    <t>Enter the registry ID number in row 562 of the table for production class 2a.</t>
  </si>
  <si>
    <t>Enter the registry ID number in row 563 of the table for production class 2a.</t>
  </si>
  <si>
    <t>Enter the registry ID number in row 564 of the table for production class 2a.</t>
  </si>
  <si>
    <t>Enter the registry ID number in row 565 of the table for production class 2a.</t>
  </si>
  <si>
    <t>Enter the registry ID number in row 566 of the table for production class 2a.</t>
  </si>
  <si>
    <t>Enter the registry ID number in row 567 of the table for production class 2a.</t>
  </si>
  <si>
    <t>Enter the registry ID number in row 568 of the table for production class 2a.</t>
  </si>
  <si>
    <t>Enter the registry ID number in row 569 of the table for production class 2a.</t>
  </si>
  <si>
    <t>Enter the registry ID number in row 570 of the table for production class 2a.</t>
  </si>
  <si>
    <t>Enter the registry ID number in row 571 of the table for production class 2a.</t>
  </si>
  <si>
    <t>Enter the registry ID number in row 572 of the table for production class 2a.</t>
  </si>
  <si>
    <t>Enter the registry ID number in row 573 of the table for production class 2a.</t>
  </si>
  <si>
    <t>Enter the registry ID number in row 574 of the table for production class 2a.</t>
  </si>
  <si>
    <t>Enter the registry ID number in row 575 of the table for production class 2a.</t>
  </si>
  <si>
    <t>Enter the registry ID number in row 576 of the table for production class 2a.</t>
  </si>
  <si>
    <t>Enter the registry ID number in row 577 of the table for production class 2a.</t>
  </si>
  <si>
    <t>Enter the registry ID number in row 578 of the table for production class 2a.</t>
  </si>
  <si>
    <t>Enter the registry ID number in row 579 of the table for production class 2a.</t>
  </si>
  <si>
    <t>Enter the registry ID number in row 580 of the table for production class 2a.</t>
  </si>
  <si>
    <t>Enter the registry ID number in row 581 of the table for production class 2a.</t>
  </si>
  <si>
    <t>Enter the registry ID number in row 582 of the table for production class 2a.</t>
  </si>
  <si>
    <t>Enter the registry ID number in row 583 of the table for production class 2a.</t>
  </si>
  <si>
    <t>Enter the registry ID number in row 584 of the table for production class 2a.</t>
  </si>
  <si>
    <t>Enter the registry ID number in row 585 of the table for production class 2a.</t>
  </si>
  <si>
    <t>Enter the registry ID number in row 586 of the table for production class 2a.</t>
  </si>
  <si>
    <t>Enter the registry ID number in row 587 of the table for production class 2a.</t>
  </si>
  <si>
    <t>Enter the registry ID number in row 588 of the table for production class 2a.</t>
  </si>
  <si>
    <t>Enter the registry ID number in row 589 of the table for production class 2a.</t>
  </si>
  <si>
    <t>Enter the registry ID number in row 590 of the table for production class 2a.</t>
  </si>
  <si>
    <t>Enter the registry ID number in row 591 of the table for production class 2a.</t>
  </si>
  <si>
    <t>Enter the registry ID number in row 592 of the table for production class 2a.</t>
  </si>
  <si>
    <t>Enter the registry ID number in row 593 of the table for production class 2a.</t>
  </si>
  <si>
    <t>Enter the registry ID number in row 594 of the table for production class 2a.</t>
  </si>
  <si>
    <t>Enter the registry ID number in row 595 of the table for production class 2a.</t>
  </si>
  <si>
    <t>Enter the registry ID number in row 596 of the table for production class 2a.</t>
  </si>
  <si>
    <t>Enter the registry ID number in row 597 of the table for production class 2a.</t>
  </si>
  <si>
    <t>Enter the registry ID number in row 598 of the table for production class 2a.</t>
  </si>
  <si>
    <t>Enter the registry ID number in row 599 of the table for production class 2a.</t>
  </si>
  <si>
    <t>Enter the registry ID number in row 600 of the table for production class 2a.</t>
  </si>
  <si>
    <t>Enter the registry ID number in row 601 of the table for production class 2a.</t>
  </si>
  <si>
    <t>Enter the registry ID number in row 602 of the table for production class 2a.</t>
  </si>
  <si>
    <t>Enter the registry ID number in row 603 of the table for production class 2a.</t>
  </si>
  <si>
    <t>Enter the registry ID number in row 604 of the table for production class 2a.</t>
  </si>
  <si>
    <t>Enter the registry ID number in row 605 of the table for production class 2a.</t>
  </si>
  <si>
    <t>Enter the registry ID number in row 606 of the table for production class 2a.</t>
  </si>
  <si>
    <t>Enter the registry ID number in row 607 of the table for production class 2a.</t>
  </si>
  <si>
    <t>Enter the registry ID number in row 608 of the table for production class 2a.</t>
  </si>
  <si>
    <t>Enter the registry ID number in row 609 of the table for production class 2a.</t>
  </si>
  <si>
    <t>Enter the registry ID number in row 610 of the table for production class 2a.</t>
  </si>
  <si>
    <t>Enter the registry ID number in row 611 of the table for production class 2a.</t>
  </si>
  <si>
    <t>Enter the registry ID number in row 612 of the table for production class 2a.</t>
  </si>
  <si>
    <t>Enter the registry ID number in row 613 of the table for production class 2a.</t>
  </si>
  <si>
    <t>Enter the registry ID number in row 614 of the table for production class 2a.</t>
  </si>
  <si>
    <t>Enter the registry ID number in row 615 of the table for production class 2a.</t>
  </si>
  <si>
    <t>Enter the registry ID number in row 616 of the table for production class 2a.</t>
  </si>
  <si>
    <t>Enter the registry ID number in row 617 of the table for production class 2a.</t>
  </si>
  <si>
    <t>Enter the registry ID number in row 618 of the table for production class 2a.</t>
  </si>
  <si>
    <t>Enter the registry ID number in row 619 of the table for production class 2a.</t>
  </si>
  <si>
    <t>Enter the registry ID number in row 620 of the table for production class 2a.</t>
  </si>
  <si>
    <t>Enter the registry ID number in row 621 of the table for production class 2a.</t>
  </si>
  <si>
    <t>Enter the registry ID number in row 622 of the table for production class 2a.</t>
  </si>
  <si>
    <t>Enter the registry ID number in row 623 of the table for production class 2a.</t>
  </si>
  <si>
    <t>Enter the registry ID number in row 624 of the table for production class 2a.</t>
  </si>
  <si>
    <t>Enter the registry ID number in row 625 of the table for production class 2a.</t>
  </si>
  <si>
    <t>Enter the registry ID number in row 626 of the table for production class 2a.</t>
  </si>
  <si>
    <t>Enter the registry ID number in row 627 of the table for production class 2a.</t>
  </si>
  <si>
    <t>Enter the registry ID number in row 628 of the table for production class 2a.</t>
  </si>
  <si>
    <t>Enter the registry ID number in row 629 of the table for production class 2a.</t>
  </si>
  <si>
    <t>Enter the registry ID number in row 630 of the table for production class 2a.</t>
  </si>
  <si>
    <t>Enter the registry ID number in row 631 of the table for production class 2a.</t>
  </si>
  <si>
    <t>Enter the registry ID number in row 632 of the table for production class 2a.</t>
  </si>
  <si>
    <t>Enter the registry ID number in row 633 of the table for production class 2a.</t>
  </si>
  <si>
    <t>Enter the registry ID number in row 634 of the table for production class 2a.</t>
  </si>
  <si>
    <t>Enter the registry ID number in row 635 of the table for production class 2a.</t>
  </si>
  <si>
    <t>Enter the registry ID number in row 636 of the table for production class 2a.</t>
  </si>
  <si>
    <t>Enter the registry ID number in row 637 of the table for production class 2a.</t>
  </si>
  <si>
    <t>Enter the registry ID number in row 638 of the table for production class 2a.</t>
  </si>
  <si>
    <t>Enter the registry ID number in row 639 of the table for production class 2a.</t>
  </si>
  <si>
    <t>Enter the registry ID number in row 640 of the table for production class 2a.</t>
  </si>
  <si>
    <t>Enter the registry ID number in row 641 of the table for production class 2a.</t>
  </si>
  <si>
    <t>Enter the registry ID number in row 642 of the table for production class 2a.</t>
  </si>
  <si>
    <t>Enter the registry ID number in row 643 of the table for production class 2a.</t>
  </si>
  <si>
    <t>Enter the registry ID number in row 644 of the table for production class 2a.</t>
  </si>
  <si>
    <t>Enter the registry ID number in row 645 of the table for production class 2a.</t>
  </si>
  <si>
    <t>Enter the registry ID number in row 646 of the table for production class 2a.</t>
  </si>
  <si>
    <t>Enter the registry ID number in row 647 of the table for production class 2a.</t>
  </si>
  <si>
    <t>Enter the registry ID number in row 648 of the table for production class 2a.</t>
  </si>
  <si>
    <t>Enter the registry ID number in row 649 of the table for production class 2a.</t>
  </si>
  <si>
    <t>Enter the registry ID number in row 650 of the table for production class 2a.</t>
  </si>
  <si>
    <t>Enter the registry ID number in row 651 of the table for production class 2a.</t>
  </si>
  <si>
    <t>Enter the registry ID number in row 652 of the table for production class 2a.</t>
  </si>
  <si>
    <t>Enter the registry ID number in row 653 of the table for production class 2a.</t>
  </si>
  <si>
    <t>Enter the registry ID number in row 654 of the table for production class 2a.</t>
  </si>
  <si>
    <t>Enter the registry ID number in row 655 of the table for production class 2a.</t>
  </si>
  <si>
    <t>Enter the registry ID number in row 656 of the table for production class 2a.</t>
  </si>
  <si>
    <t>Enter the registry ID number in row 657 of the table for production class 2a.</t>
  </si>
  <si>
    <t>Enter the registry ID number in row 658 of the table for production class 2a.</t>
  </si>
  <si>
    <t>Enter the registry ID number in row 659 of the table for production class 2a.</t>
  </si>
  <si>
    <t>Enter the registry ID number in row 660 of the table for production class 2a.</t>
  </si>
  <si>
    <t>Enter the registry ID number in row 661 of the table for production class 2a.</t>
  </si>
  <si>
    <t>Enter the registry ID number in row 662 of the table for production class 2a.</t>
  </si>
  <si>
    <t>Enter the registry ID number in row 663 of the table for production class 2a.</t>
  </si>
  <si>
    <t>Enter the registry ID number in row 664 of the table for production class 2a.</t>
  </si>
  <si>
    <t>Enter the registry ID number in row 665 of the table for production class 2a.</t>
  </si>
  <si>
    <t>Enter the registry ID number in row 666 of the table for production class 2a.</t>
  </si>
  <si>
    <t>Enter the registry ID number in row 667 of the table for production class 2a.</t>
  </si>
  <si>
    <t>Enter the registry ID number in row 668 of the table for production class 2a.</t>
  </si>
  <si>
    <t>Enter the registry ID number in row 669 of the table for production class 2a.</t>
  </si>
  <si>
    <t>Enter the registry ID number in row 670 of the table for production class 2a.</t>
  </si>
  <si>
    <t>Enter the registry ID number in row 671 of the table for production class 2a.</t>
  </si>
  <si>
    <t>Enter the registry ID number in row 672 of the table for production class 2a.</t>
  </si>
  <si>
    <t>Enter the registry ID number in row 673 of the table for production class 2a.</t>
  </si>
  <si>
    <t>Enter the registry ID number in row 674 of the table for production class 2a.</t>
  </si>
  <si>
    <t>Enter the registry ID number in row 675 of the table for production class 2a.</t>
  </si>
  <si>
    <t>Enter the registry ID number in row 676 of the table for production class 2a.</t>
  </si>
  <si>
    <t>Enter the registry ID number in row 677 of the table for production class 2a.</t>
  </si>
  <si>
    <t>Enter the registry ID number in row 678 of the table for production class 2a.</t>
  </si>
  <si>
    <t>Enter the registry ID number in row 679 of the table for production class 2a.</t>
  </si>
  <si>
    <t>Enter the registry ID number in row 680 of the table for production class 2a.</t>
  </si>
  <si>
    <t>Enter the registry ID number in row 681 of the table for production class 2a.</t>
  </si>
  <si>
    <t>Enter the registry ID number in row 682 of the table for production class 2a.</t>
  </si>
  <si>
    <t>Enter the registry ID number in row 683 of the table for production class 2a.</t>
  </si>
  <si>
    <t>Enter the registry ID number in row 684 of the table for production class 2a.</t>
  </si>
  <si>
    <t>Enter the registry ID number in row 685 of the table for production class 2a.</t>
  </si>
  <si>
    <t>Enter the registry ID number in row 686 of the table for production class 2a.</t>
  </si>
  <si>
    <t>Enter the registry ID number in row 687 of the table for production class 2a.</t>
  </si>
  <si>
    <t>Enter the registry ID number in row 688 of the table for production class 2a.</t>
  </si>
  <si>
    <t>Enter the registry ID number in row 689 of the table for production class 2a.</t>
  </si>
  <si>
    <t>Enter the registry ID number in row 690 of the table for production class 2a.</t>
  </si>
  <si>
    <t>Enter the registry ID number in row 691 of the table for production class 2a.</t>
  </si>
  <si>
    <t>Enter the registry ID number in row 692 of the table for production class 2a.</t>
  </si>
  <si>
    <t>Enter the registry ID number in row 693 of the table for production class 2a.</t>
  </si>
  <si>
    <t>Enter the registry ID number in row 694 of the table for production class 2a.</t>
  </si>
  <si>
    <t>Enter the registry ID number in row 695 of the table for production class 2a.</t>
  </si>
  <si>
    <t>Enter the registry ID number in row 696 of the table for production class 2a.</t>
  </si>
  <si>
    <t>Enter the registry ID number in row 697 of the table for production class 2a.</t>
  </si>
  <si>
    <t>Enter the registry ID number in row 698 of the table for production class 2a.</t>
  </si>
  <si>
    <t>Enter the registry ID number in row 699 of the table for production class 2a.</t>
  </si>
  <si>
    <t>Enter the registry ID number in row 700 of the table for production class 2a.</t>
  </si>
  <si>
    <t>Enter the registry ID number in row 701 of the table for production class 2a.</t>
  </si>
  <si>
    <t>Enter the registry ID number in row 702 of the table for production class 2a.</t>
  </si>
  <si>
    <t>Enter the registry ID number in row 703 of the table for production class 2a.</t>
  </si>
  <si>
    <t>Enter the registry ID number in row 704 of the table for production class 2a.</t>
  </si>
  <si>
    <t>Enter the registry ID number in row 705 of the table for production class 2a.</t>
  </si>
  <si>
    <t>Enter the registry ID number in row 706 of the table for production class 2a.</t>
  </si>
  <si>
    <t>Enter the registry ID number in row 707 of the table for production class 2a.</t>
  </si>
  <si>
    <t>Enter the registry ID number in row 708 of the table for production class 2a.</t>
  </si>
  <si>
    <t>Enter the registry ID number in row 709 of the table for production class 2a.</t>
  </si>
  <si>
    <t>Enter the registry ID number in row 710 of the table for production class 2a.</t>
  </si>
  <si>
    <t>Enter the registry ID number in row 711 of the table for production class 2a.</t>
  </si>
  <si>
    <t>Enter the registry ID number in row 712 of the table for production class 2a.</t>
  </si>
  <si>
    <t>Enter the registry ID number in row 713 of the table for production class 2a.</t>
  </si>
  <si>
    <t>Enter the registry ID number in row 714 of the table for production class 2a.</t>
  </si>
  <si>
    <t>Enter the registry ID number in row 715 of the table for production class 2a.</t>
  </si>
  <si>
    <t>Enter the registry ID number in row 716 of the table for production class 2a.</t>
  </si>
  <si>
    <t>Enter the registry ID number in row 717 of the table for production class 2a.</t>
  </si>
  <si>
    <t>Enter the registry ID number in row 718 of the table for production class 2a.</t>
  </si>
  <si>
    <t>Enter the registry ID number in row 719 of the table for production class 2a.</t>
  </si>
  <si>
    <t>Enter the registry ID number in row 720 of the table for production class 2a.</t>
  </si>
  <si>
    <t>Enter the registry ID number in row 721 of the table for production class 2a.</t>
  </si>
  <si>
    <t>Enter the registry ID number in row 722 of the table for production class 2a.</t>
  </si>
  <si>
    <t>Enter the registry ID number in row 723 of the table for production class 2a.</t>
  </si>
  <si>
    <t>Enter the registry ID number in row 724 of the table for production class 2a.</t>
  </si>
  <si>
    <t>Enter the registry ID number in row 725 of the table for production class 2a.</t>
  </si>
  <si>
    <t>Enter the registry ID number in row 726 of the table for production class 2a.</t>
  </si>
  <si>
    <t>Enter the registry ID number in row 727 of the table for production class 2a.</t>
  </si>
  <si>
    <t>Enter the registry ID number in row 728 of the table for production class 2a.</t>
  </si>
  <si>
    <t>Enter the registry ID number in row 729 of the table for production class 2a.</t>
  </si>
  <si>
    <t>Enter the registry ID number in row 730 of the table for production class 2a.</t>
  </si>
  <si>
    <t>Enter the registry ID number in row 731 of the table for production class 2a.</t>
  </si>
  <si>
    <t>Enter the registry ID number in row 732 of the table for production class 2a.</t>
  </si>
  <si>
    <t>Enter the registry ID number in row 733 of the table for production class 2a.</t>
  </si>
  <si>
    <t>Enter the registry ID number in row 734 of the table for production class 2a.</t>
  </si>
  <si>
    <t>Enter the registry ID number in row 735 of the table for production class 2a.</t>
  </si>
  <si>
    <t>Enter the registry ID number in row 736 of the table for production class 2a.</t>
  </si>
  <si>
    <t>Enter the registry ID number in row 737 of the table for production class 2a.</t>
  </si>
  <si>
    <t>Enter the registry ID number in row 738 of the table for production class 2a.</t>
  </si>
  <si>
    <t>Enter the registry ID number in row 739 of the table for production class 2a.</t>
  </si>
  <si>
    <t>Enter the registry ID number in row 740 of the table for production class 2a.</t>
  </si>
  <si>
    <t>Enter the registry ID number in row 741 of the table for production class 2a.</t>
  </si>
  <si>
    <t>Enter the registry ID number in row 742 of the table for production class 2a.</t>
  </si>
  <si>
    <t>Enter the registry ID number in row 743 of the table for production class 2a.</t>
  </si>
  <si>
    <t>Enter the registry ID number in row 744 of the table for production class 2a.</t>
  </si>
  <si>
    <t>Enter the registry ID number in row 745 of the table for production class 2a.</t>
  </si>
  <si>
    <t>Enter the registry ID number in row 746 of the table for production class 2a.</t>
  </si>
  <si>
    <t>Enter the registry ID number in row 747 of the table for production class 2a.</t>
  </si>
  <si>
    <t>Enter the registry ID number in row 748 of the table for production class 2a.</t>
  </si>
  <si>
    <t>Enter the registry ID number in row 749 of the table for production class 2a.</t>
  </si>
  <si>
    <t>Enter the registry ID number in row 750 of the table for production class 2a.</t>
  </si>
  <si>
    <t>Enter the registry ID number in row 751 of the table for production class 2a.</t>
  </si>
  <si>
    <t>Enter the registry ID number in row 752 of the table for production class 2a.</t>
  </si>
  <si>
    <t>Enter the registry ID number in row 753 of the table for production class 2a.</t>
  </si>
  <si>
    <t>Enter the registry ID number in row 754 of the table for production class 2a.</t>
  </si>
  <si>
    <t>Enter the registry ID number in row 755 of the table for production class 2a.</t>
  </si>
  <si>
    <t>Enter the registry ID number in row 756 of the table for production class 2a.</t>
  </si>
  <si>
    <t>Enter the registry ID number in row 757 of the table for production class 2a.</t>
  </si>
  <si>
    <t>Enter the registry ID number in row 758 of the table for production class 2a.</t>
  </si>
  <si>
    <t>Enter the registry ID number in row 759 of the table for production class 2a.</t>
  </si>
  <si>
    <t>Enter the registry ID number in row 760 of the table for production class 2a.</t>
  </si>
  <si>
    <t>Enter the registry ID number in row 761 of the table for production class 2a.</t>
  </si>
  <si>
    <t>Enter the registry ID number in row 762 of the table for production class 2a.</t>
  </si>
  <si>
    <t>Enter the registry ID number in row 763 of the table for production class 2a.</t>
  </si>
  <si>
    <t>Enter the registry ID number in row 764 of the table for production class 2a.</t>
  </si>
  <si>
    <t>Enter the registry ID number in row 765 of the table for production class 2a.</t>
  </si>
  <si>
    <t>Enter the registry ID number in row 766 of the table for production class 2a.</t>
  </si>
  <si>
    <t>Enter the registry ID number in row 767 of the table for production class 2a.</t>
  </si>
  <si>
    <t>Enter the registry ID number in row 768 of the table for production class 2a.</t>
  </si>
  <si>
    <t>Enter the registry ID number in row 769 of the table for production class 2a.</t>
  </si>
  <si>
    <t>Enter the registry ID number in row 770 of the table for production class 2a.</t>
  </si>
  <si>
    <t>Enter the registry ID number in row 771 of the table for production class 2a.</t>
  </si>
  <si>
    <t>Enter the registry ID number in row 772 of the table for production class 2a.</t>
  </si>
  <si>
    <t>Enter the registry ID number in row 773 of the table for production class 2a.</t>
  </si>
  <si>
    <t>Enter the registry ID number in row 774 of the table for production class 2a.</t>
  </si>
  <si>
    <t>Enter the registry ID number in row 775 of the table for production class 2a.</t>
  </si>
  <si>
    <t>Enter the registry ID number in row 776 of the table for production class 2a.</t>
  </si>
  <si>
    <t>Enter the registry ID number in row 777 of the table for production class 2a.</t>
  </si>
  <si>
    <t>Enter the registry ID number in row 778 of the table for production class 2a.</t>
  </si>
  <si>
    <t>Enter the registry ID number in row 779 of the table for production class 2a.</t>
  </si>
  <si>
    <t>Enter the registry ID number in row 780 of the table for production class 2a.</t>
  </si>
  <si>
    <t>Enter the registry ID number in row 781 of the table for production class 2a.</t>
  </si>
  <si>
    <t>Enter the registry ID number in row 782 of the table for production class 2a.</t>
  </si>
  <si>
    <t>Enter the registry ID number in row 783 of the table for production class 2a.</t>
  </si>
  <si>
    <t>Enter the registry ID number in row 784 of the table for production class 2a.</t>
  </si>
  <si>
    <t>Enter the registry ID number in row 785 of the table for production class 2a.</t>
  </si>
  <si>
    <t>Enter the registry ID number in row 786 of the table for production class 2a.</t>
  </si>
  <si>
    <t>Enter the registry ID number in row 787 of the table for production class 2a.</t>
  </si>
  <si>
    <t>Enter the registry ID number in row 788 of the table for production class 2a.</t>
  </si>
  <si>
    <t>Enter the registry ID number in row 789 of the table for production class 2a.</t>
  </si>
  <si>
    <t>Enter the registry ID number in row 790 of the table for production class 2a.</t>
  </si>
  <si>
    <t>Enter the registry ID number in row 791 of the table for production class 2a.</t>
  </si>
  <si>
    <t>Enter the registry ID number in row 792 of the table for production class 2a.</t>
  </si>
  <si>
    <t>Enter the registry ID number in row 793 of the table for production class 2a.</t>
  </si>
  <si>
    <t>Enter the registry ID number in row 794 of the table for production class 2a.</t>
  </si>
  <si>
    <t>Enter the registry ID number in row 795 of the table for production class 2a.</t>
  </si>
  <si>
    <t>Enter the registry ID number in row 796 of the table for production class 2a.</t>
  </si>
  <si>
    <t>Enter the registry ID number in row 797 of the table for production class 2a.</t>
  </si>
  <si>
    <t>Enter the registry ID number in row 798 of the table for production class 2a.</t>
  </si>
  <si>
    <t>Enter the registry ID number in row 799 of the table for production class 2a.</t>
  </si>
  <si>
    <t>Enter the registry ID number in row 800 of the table for production class 2a.</t>
  </si>
  <si>
    <t>Enter the registry ID number in row 801 of the table for production class 2a.</t>
  </si>
  <si>
    <t>Enter the registry ID number in row 802 of the table for production class 2a.</t>
  </si>
  <si>
    <t>Enter the registry ID number in row 803 of the table for production class 2a.</t>
  </si>
  <si>
    <t>Enter the registry ID number in row 804 of the table for production class 2a.</t>
  </si>
  <si>
    <t>Enter the registry ID number in row 805 of the table for production class 2a.</t>
  </si>
  <si>
    <t>Enter the registry ID number in row 806 of the table for production class 2a.</t>
  </si>
  <si>
    <t>Enter the registry ID number in row 807 of the table for production class 2a.</t>
  </si>
  <si>
    <t>Enter the registry ID number in row 808 of the table for production class 2a.</t>
  </si>
  <si>
    <t>Enter the registry ID number in row 809 of the table for production class 2a.</t>
  </si>
  <si>
    <t>Enter the registry ID number in row 810 of the table for production class 2a.</t>
  </si>
  <si>
    <t>Enter the registry ID number in row 811 of the table for production class 2a.</t>
  </si>
  <si>
    <t>Enter the registry ID number in row 812 of the table for production class 2a.</t>
  </si>
  <si>
    <t>Enter the registry ID number in row 813 of the table for production class 2a.</t>
  </si>
  <si>
    <t>Enter the registry ID number in row 814 of the table for production class 2a.</t>
  </si>
  <si>
    <t>Enter the registry ID number in row 815 of the table for production class 2a.</t>
  </si>
  <si>
    <t>Enter the registry ID number in row 816 of the table for production class 2a.</t>
  </si>
  <si>
    <t>Enter the registry ID number in row 817 of the table for production class 2a.</t>
  </si>
  <si>
    <t>Enter the registry ID number in row 818 of the table for production class 2a.</t>
  </si>
  <si>
    <t>Enter the registry ID number in row 819 of the table for production class 2a.</t>
  </si>
  <si>
    <t>Enter the registry ID number in row 820 of the table for production class 2a.</t>
  </si>
  <si>
    <t>Enter the registry ID number in row 821 of the table for production class 2a.</t>
  </si>
  <si>
    <t>Enter the registry ID number in row 822 of the table for production class 2a.</t>
  </si>
  <si>
    <t>Enter the registry ID number in row 823 of the table for production class 2a.</t>
  </si>
  <si>
    <t>Enter the registry ID number in row 824 of the table for production class 2a.</t>
  </si>
  <si>
    <t>Enter the registry ID number in row 825 of the table for production class 2a.</t>
  </si>
  <si>
    <t>Enter the registry ID number in row 826 of the table for production class 2a.</t>
  </si>
  <si>
    <t>Enter the registry ID number in row 827 of the table for production class 2a.</t>
  </si>
  <si>
    <t>Enter the registry ID number in row 828 of the table for production class 2a.</t>
  </si>
  <si>
    <t>Enter the registry ID number in row 829 of the table for production class 2a.</t>
  </si>
  <si>
    <t>Enter the registry ID number in row 830 of the table for production class 2a.</t>
  </si>
  <si>
    <t>Enter the registry ID number in row 831 of the table for production class 2a.</t>
  </si>
  <si>
    <t>Enter the registry ID number in row 832 of the table for production class 2a.</t>
  </si>
  <si>
    <t>Enter the registry ID number in row 833 of the table for production class 2a.</t>
  </si>
  <si>
    <t>Enter the registry ID number in row 834 of the table for production class 2a.</t>
  </si>
  <si>
    <t>Enter the registry ID number in row 835 of the table for production class 2a.</t>
  </si>
  <si>
    <t>Enter the registry ID number in row 836 of the table for production class 2a.</t>
  </si>
  <si>
    <t>Enter the registry ID number in row 837 of the table for production class 2a.</t>
  </si>
  <si>
    <t>Enter the registry ID number in row 838 of the table for production class 2a.</t>
  </si>
  <si>
    <t>Enter the registry ID number in row 839 of the table for production class 2a.</t>
  </si>
  <si>
    <t>Enter the registry ID number in row 840 of the table for production class 2a.</t>
  </si>
  <si>
    <t>Enter the registry ID number in row 841 of the table for production class 2a.</t>
  </si>
  <si>
    <t>Enter the registry ID number in row 842 of the table for production class 2a.</t>
  </si>
  <si>
    <t>Enter the registry ID number in row 843 of the table for production class 2a.</t>
  </si>
  <si>
    <t>Enter the registry ID number in row 844 of the table for production class 2a.</t>
  </si>
  <si>
    <t>Enter the registry ID number in row 845 of the table for production class 2a.</t>
  </si>
  <si>
    <t>Enter the registry ID number in row 846 of the table for production class 2a.</t>
  </si>
  <si>
    <t>Enter the registry ID number in row 847 of the table for production class 2a.</t>
  </si>
  <si>
    <t>Enter the registry ID number in row 848 of the table for production class 2a.</t>
  </si>
  <si>
    <t>Enter the registry ID number in row 849 of the table for production class 2a.</t>
  </si>
  <si>
    <t>Enter the registry ID number in row 850 of the table for production class 2a.</t>
  </si>
  <si>
    <t>Enter the registry ID number in row 851 of the table for production class 2a.</t>
  </si>
  <si>
    <t>Enter the registry ID number in row 852 of the table for production class 2a.</t>
  </si>
  <si>
    <t>Enter the registry ID number in row 853 of the table for production class 2a.</t>
  </si>
  <si>
    <t>Enter the registry ID number in row 854 of the table for production class 2a.</t>
  </si>
  <si>
    <t>Enter the registry ID number in row 855 of the table for production class 2a.</t>
  </si>
  <si>
    <t>Enter the registry ID number in row 856 of the table for production class 2a.</t>
  </si>
  <si>
    <t>Enter the registry ID number in row 857 of the table for production class 2a.</t>
  </si>
  <si>
    <t>Enter the registry ID number in row 858 of the table for production class 2a.</t>
  </si>
  <si>
    <t>Enter the registry ID number in row 859 of the table for production class 2a.</t>
  </si>
  <si>
    <t>Enter the registry ID number in row 860 of the table for production class 2a.</t>
  </si>
  <si>
    <t>Enter the registry ID number in row 861 of the table for production class 2a.</t>
  </si>
  <si>
    <t>Enter the registry ID number in row 862 of the table for production class 2a.</t>
  </si>
  <si>
    <t>Enter the registry ID number in row 863 of the table for production class 2a.</t>
  </si>
  <si>
    <t>Enter the registry ID number in row 864 of the table for production class 2a.</t>
  </si>
  <si>
    <t>Enter the registry ID number in row 865 of the table for production class 2a.</t>
  </si>
  <si>
    <t>Enter the registry ID number in row 866 of the table for production class 2a.</t>
  </si>
  <si>
    <t>Enter the registry ID number in row 867 of the table for production class 2a.</t>
  </si>
  <si>
    <t>Enter the registry ID number in row 868 of the table for production class 2a.</t>
  </si>
  <si>
    <t>Enter the registry ID number in row 869 of the table for production class 2a.</t>
  </si>
  <si>
    <t>Enter the registry ID number in row 870 of the table for production class 2a.</t>
  </si>
  <si>
    <t>Enter the registry ID number in row 871 of the table for production class 2a.</t>
  </si>
  <si>
    <t>Enter the registry ID number in row 872 of the table for production class 2a.</t>
  </si>
  <si>
    <t>Enter the registry ID number in row 873 of the table for production class 2a.</t>
  </si>
  <si>
    <t>Enter the registry ID number in row 874 of the table for production class 2a.</t>
  </si>
  <si>
    <t>Enter the registry ID number in row 875 of the table for production class 2a.</t>
  </si>
  <si>
    <t>Enter the registry ID number in row 876 of the table for production class 2a.</t>
  </si>
  <si>
    <t>Enter the registry ID number in row 877 of the table for production class 2a.</t>
  </si>
  <si>
    <t>Enter the registry ID number in row 878 of the table for production class 2a.</t>
  </si>
  <si>
    <t>Enter the registry ID number in row 879 of the table for production class 2a.</t>
  </si>
  <si>
    <t>Enter the registry ID number in row 880 of the table for production class 2a.</t>
  </si>
  <si>
    <t>Enter the registry ID number in row 881 of the table for production class 2a.</t>
  </si>
  <si>
    <t>Enter the registry ID number in row 882 of the table for production class 2a.</t>
  </si>
  <si>
    <t>Enter the registry ID number in row 883 of the table for production class 2a.</t>
  </si>
  <si>
    <t>Enter the registry ID number in row 884 of the table for production class 2a.</t>
  </si>
  <si>
    <t>Enter the registry ID number in row 885 of the table for production class 2a.</t>
  </si>
  <si>
    <t>Enter the registry ID number in row 886 of the table for production class 2a.</t>
  </si>
  <si>
    <t>Enter the registry ID number in row 887 of the table for production class 2a.</t>
  </si>
  <si>
    <t>Enter the registry ID number in row 888 of the table for production class 2a.</t>
  </si>
  <si>
    <t>Enter the registry ID number in row 889 of the table for production class 2a.</t>
  </si>
  <si>
    <t>Enter the registry ID number in row 890 of the table for production class 2a.</t>
  </si>
  <si>
    <t>Enter the registry ID number in row 891 of the table for production class 2a.</t>
  </si>
  <si>
    <t>Enter the registry ID number in row 892 of the table for production class 2a.</t>
  </si>
  <si>
    <t>Enter the registry ID number in row 893 of the table for production class 2a.</t>
  </si>
  <si>
    <t>Enter the registry ID number in row 894 of the table for production class 2a.</t>
  </si>
  <si>
    <t>Enter the registry ID number in row 895 of the table for production class 2a.</t>
  </si>
  <si>
    <t>Enter the registry ID number in row 896 of the table for production class 2a.</t>
  </si>
  <si>
    <t>Enter the registry ID number in row 897 of the table for production class 2a.</t>
  </si>
  <si>
    <t>Enter the registry ID number in row 898 of the table for production class 2a.</t>
  </si>
  <si>
    <t>Enter the registry ID number in row 899 of the table for production class 2a.</t>
  </si>
  <si>
    <t>Enter the registry ID number in row 900 of the table for production class 2a.</t>
  </si>
  <si>
    <t>Enter the registry ID number in row 901 of the table for production class 2a.</t>
  </si>
  <si>
    <t>Enter the registry ID number in row 902 of the table for production class 2a.</t>
  </si>
  <si>
    <t>Enter the registry ID number in row 903 of the table for production class 2a.</t>
  </si>
  <si>
    <t>Enter the registry ID number in row 904 of the table for production class 2a.</t>
  </si>
  <si>
    <t>Enter the registry ID number in row 905 of the table for production class 2a.</t>
  </si>
  <si>
    <t>Enter the registry ID number in row 906 of the table for production class 2a.</t>
  </si>
  <si>
    <t>Enter the registry ID number in row 907 of the table for production class 2a.</t>
  </si>
  <si>
    <t>Enter the registry ID number in row 908 of the table for production class 2a.</t>
  </si>
  <si>
    <t>Enter the registry ID number in row 909 of the table for production class 2a.</t>
  </si>
  <si>
    <t>Enter the registry ID number in row 910 of the table for production class 2a.</t>
  </si>
  <si>
    <t>Enter the registry ID number in row 911 of the table for production class 2a.</t>
  </si>
  <si>
    <t>Enter the registry ID number in row 912 of the table for production class 2a.</t>
  </si>
  <si>
    <t>Enter the registry ID number in row 913 of the table for production class 2a.</t>
  </si>
  <si>
    <t>Enter the registry ID number in row 914 of the table for production class 2a.</t>
  </si>
  <si>
    <t>Enter the registry ID number in row 915 of the table for production class 2a.</t>
  </si>
  <si>
    <t>Enter the registry ID number in row 916 of the table for production class 2a.</t>
  </si>
  <si>
    <t>Enter the registry ID number in row 917 of the table for production class 2a.</t>
  </si>
  <si>
    <t>Enter the registry ID number in row 918 of the table for production class 2a.</t>
  </si>
  <si>
    <t>Enter the registry ID number in row 919 of the table for production class 2a.</t>
  </si>
  <si>
    <t>Enter the registry ID number in row 920 of the table for production class 2a.</t>
  </si>
  <si>
    <t>Enter the registry ID number in row 921 of the table for production class 2a.</t>
  </si>
  <si>
    <t>Enter the registry ID number in row 922 of the table for production class 2a.</t>
  </si>
  <si>
    <t>Enter the registry ID number in row 923 of the table for production class 2a.</t>
  </si>
  <si>
    <t>Enter the registry ID number in row 924 of the table for production class 2a.</t>
  </si>
  <si>
    <t>Enter the registry ID number in row 925 of the table for production class 2a.</t>
  </si>
  <si>
    <t>Enter the registry ID number in row 926 of the table for production class 2a.</t>
  </si>
  <si>
    <t>Enter the registry ID number in row 927 of the table for production class 2a.</t>
  </si>
  <si>
    <t>Enter the registry ID number in row 928 of the table for production class 2a.</t>
  </si>
  <si>
    <t>Enter the registry ID number in row 929 of the table for production class 2a.</t>
  </si>
  <si>
    <t>Enter the registry ID number in row 930 of the table for production class 2a.</t>
  </si>
  <si>
    <t>Enter the registry ID number in row 931 of the table for production class 2a.</t>
  </si>
  <si>
    <t>Enter the registry ID number in row 932 of the table for production class 2a.</t>
  </si>
  <si>
    <t>Enter the registry ID number in row 933 of the table for production class 2a.</t>
  </si>
  <si>
    <t>Enter the registry ID number in row 934 of the table for production class 2a.</t>
  </si>
  <si>
    <t>Enter the registry ID number in row 935 of the table for production class 2a.</t>
  </si>
  <si>
    <t>Enter the registry ID number in row 936 of the table for production class 2a.</t>
  </si>
  <si>
    <t>Enter the registry ID number in row 937 of the table for production class 2a.</t>
  </si>
  <si>
    <t>Enter the registry ID number in row 938 of the table for production class 2a.</t>
  </si>
  <si>
    <t>Enter the registry ID number in row 939 of the table for production class 2a.</t>
  </si>
  <si>
    <t>Enter the registry ID number in row 940 of the table for production class 2a.</t>
  </si>
  <si>
    <t>Enter the registry ID number in row 941 of the table for production class 2a.</t>
  </si>
  <si>
    <t>Enter the registry ID number in row 942 of the table for production class 2a.</t>
  </si>
  <si>
    <t>Enter the registry ID number in row 943 of the table for production class 2a.</t>
  </si>
  <si>
    <t>Enter the registry ID number in row 944 of the table for production class 2a.</t>
  </si>
  <si>
    <t>Enter the registry ID number in row 945 of the table for production class 2a.</t>
  </si>
  <si>
    <t>Enter the registry ID number in row 946 of the table for production class 2a.</t>
  </si>
  <si>
    <t>Enter the registry ID number in row 947 of the table for production class 2a.</t>
  </si>
  <si>
    <t>Enter the registry ID number in row 948 of the table for production class 2a.</t>
  </si>
  <si>
    <t>Enter the registry ID number in row 949 of the table for production class 2a.</t>
  </si>
  <si>
    <t>Enter the registry ID number in row 950 of the table for production class 2a.</t>
  </si>
  <si>
    <t>Enter the registry ID number in row 951 of the table for production class 2a.</t>
  </si>
  <si>
    <t>Enter the registry ID number in row 952 of the table for production class 2a.</t>
  </si>
  <si>
    <t>Enter the registry ID number in row 953 of the table for production class 2a.</t>
  </si>
  <si>
    <t>Enter the registry ID number in row 954 of the table for production class 2a.</t>
  </si>
  <si>
    <t>Enter the registry ID number in row 955 of the table for production class 2a.</t>
  </si>
  <si>
    <t>Enter the registry ID number in row 956 of the table for production class 2a.</t>
  </si>
  <si>
    <t>Enter the registry ID number in row 957 of the table for production class 2a.</t>
  </si>
  <si>
    <t>Enter the registry ID number in row 958 of the table for production class 2a.</t>
  </si>
  <si>
    <t>Enter the registry ID number in row 959 of the table for production class 2a.</t>
  </si>
  <si>
    <t>Enter the registry ID number in row 960 of the table for production class 2a.</t>
  </si>
  <si>
    <t>Enter the registry ID number in row 961 of the table for production class 2a.</t>
  </si>
  <si>
    <t>Enter the registry ID number in row 962 of the table for production class 2a.</t>
  </si>
  <si>
    <t>Enter the registry ID number in row 963 of the table for production class 2a.</t>
  </si>
  <si>
    <t>Enter the registry ID number in row 964 of the table for production class 2a.</t>
  </si>
  <si>
    <t>Enter the registry ID number in row 965 of the table for production class 2a.</t>
  </si>
  <si>
    <t>Enter the registry ID number in row 966 of the table for production class 2a.</t>
  </si>
  <si>
    <t>Enter the registry ID number in row 967 of the table for production class 2a.</t>
  </si>
  <si>
    <t>Enter the registry ID number in row 968 of the table for production class 2a.</t>
  </si>
  <si>
    <t>Enter the registry ID number in row 969 of the table for production class 2a.</t>
  </si>
  <si>
    <t>Enter the registry ID number in row 970 of the table for production class 2a.</t>
  </si>
  <si>
    <t>Enter the registry ID number in row 971 of the table for production class 2a.</t>
  </si>
  <si>
    <t>Enter the registry ID number in row 972 of the table for production class 2a.</t>
  </si>
  <si>
    <t>Enter the registry ID number in row 973 of the table for production class 2a.</t>
  </si>
  <si>
    <t>Enter the registry ID number in row 974 of the table for production class 2a.</t>
  </si>
  <si>
    <t>Enter the registry ID number in row 975 of the table for production class 2a.</t>
  </si>
  <si>
    <t>Enter the registry ID number in row 976 of the table for production class 2a.</t>
  </si>
  <si>
    <t>Enter the registry ID number in row 977 of the table for production class 2a.</t>
  </si>
  <si>
    <t>Enter the registry ID number in row 978 of the table for production class 2a.</t>
  </si>
  <si>
    <t>Enter the registry ID number in row 979 of the table for production class 2a.</t>
  </si>
  <si>
    <t>Enter the registry ID number in row 980 of the table for production class 2a.</t>
  </si>
  <si>
    <t>Enter the registry ID number in row 981 of the table for production class 2a.</t>
  </si>
  <si>
    <t>Enter the registry ID number in row 982 of the table for production class 2a.</t>
  </si>
  <si>
    <t>Enter the registry ID number in row 983 of the table for production class 2a.</t>
  </si>
  <si>
    <t>Enter the registry ID number in row 984 of the table for production class 2a.</t>
  </si>
  <si>
    <t>Enter the registry ID number in row 985 of the table for production class 2a.</t>
  </si>
  <si>
    <t>Enter the registry ID number in row 986 of the table for production class 2a.</t>
  </si>
  <si>
    <t>Enter the registry ID number in row 987 of the table for production class 2a.</t>
  </si>
  <si>
    <t>Enter the registry ID number in row 988 of the table for production class 2a.</t>
  </si>
  <si>
    <t>Enter the registry ID number in row 989 of the table for production class 2a.</t>
  </si>
  <si>
    <t>Enter the registry ID number in row 990 of the table for production class 2a.</t>
  </si>
  <si>
    <t>Enter the registry ID number in row 991 of the table for production class 2a.</t>
  </si>
  <si>
    <t>Enter the registry ID number in row 992 of the table for production class 2a.</t>
  </si>
  <si>
    <t>Enter the registry ID number in row 993 of the table for production class 2a.</t>
  </si>
  <si>
    <t>Enter the registry ID number in row 994 of the table for production class 2a.</t>
  </si>
  <si>
    <t>Enter the registry ID number in row 995 of the table for production class 2a.</t>
  </si>
  <si>
    <t>Enter the registry ID number in row 996 of the table for production class 2a.</t>
  </si>
  <si>
    <t>Enter the registry ID number in row 997 of the table for production class 2a.</t>
  </si>
  <si>
    <t>Enter the registry ID number in row 998 of the table for production class 2a.</t>
  </si>
  <si>
    <t>Enter the registry ID number in row 999 of the table for production class 2a.</t>
  </si>
  <si>
    <t>Enter the registry ID number in row 1000 of the table for production class 2a.</t>
  </si>
  <si>
    <t>Enter the registry ID number in row 1001 of the table for production class 2a.</t>
  </si>
  <si>
    <t>Enter the registry ID number in row 1002 of the table for production class 2a.</t>
  </si>
  <si>
    <t>Enter the registry ID number in row 1003 of the table for production class 2a.</t>
  </si>
  <si>
    <t>Enter the registry ID number in row 1004 of the table for production class 2a.</t>
  </si>
  <si>
    <t>Enter the registry ID number in row 1005 of the table for production class 2a.</t>
  </si>
  <si>
    <t>Enter the registry ID number in row 1006 of the table for production class 2a.</t>
  </si>
  <si>
    <t>Enter the registry ID number in row 1007 of the table for production class 2a.</t>
  </si>
  <si>
    <t>Enter the registry ID number in row 1008 of the table for production class 2a.</t>
  </si>
  <si>
    <t>Enter the registry ID number in row 1009 of the table for production class 2a.</t>
  </si>
  <si>
    <t>Enter the registry ID number in row 1010 of the table for production class 2a.</t>
  </si>
  <si>
    <t>Enter the registry ID number in row 1011 of the table for production class 2a.</t>
  </si>
  <si>
    <t>Enter the registry ID number in row 1012 of the table for production class 2a.</t>
  </si>
  <si>
    <t>Enter the registry ID number in row 1013 of the table for production class 2a.</t>
  </si>
  <si>
    <t>Enter the registry ID number in row 1014 of the table for production class 2a.</t>
  </si>
  <si>
    <t>Enter the registry ID number in row 1015 of the table for production class 2a.</t>
  </si>
  <si>
    <t>Enter the registry ID number in row 1016 of the table for production class 2a.</t>
  </si>
  <si>
    <t>Enter the registry ID number in row 1017 of the table for production class 2a.</t>
  </si>
  <si>
    <t>Enter the registry ID number in row 1018 of the table for production class 2a.</t>
  </si>
  <si>
    <t>Enter the registry ID number in row 1019 of the table for production class 2a.</t>
  </si>
  <si>
    <t>Enter the registry ID number in row 1020 of the table for production class 2a.</t>
  </si>
  <si>
    <t>Enter the registry ID number in row 1021 of the table for production class 2a.</t>
  </si>
  <si>
    <t>Enter the registry ID number in row 1022 of the table for production class 2a.</t>
  </si>
  <si>
    <t>Enter the registry ID number in row 1023 of the table for production class 2a.</t>
  </si>
  <si>
    <t>Enter the registry ID number in row 1024 of the table for production class 2a.</t>
  </si>
  <si>
    <t>Enter the registry ID number in row 1025 of the table for production class 2a.</t>
  </si>
  <si>
    <t>Enter the registry ID number in row 1026 of the table for production class 2a.</t>
  </si>
  <si>
    <t>Enter the registry ID number in row 1027 of the table for production class 2a.</t>
  </si>
  <si>
    <t>Enter the registry ID number in row 1028 of the table for production class 2a.</t>
  </si>
  <si>
    <t>Enter the registry ID number in row 1029 of the table for production class 2a.</t>
  </si>
  <si>
    <t>Enter the registry ID number in row 1030 of the table for production class 2a.</t>
  </si>
  <si>
    <t>Enter the registry ID number in row 1031 of the table for production class 2a.</t>
  </si>
  <si>
    <t>Enter the registry ID number in row 1032 of the table for production class 2a.</t>
  </si>
  <si>
    <t>Enter the registry ID number in row 1033 of the table for production class 2a.</t>
  </si>
  <si>
    <t>Enter the registry ID number in row 1034 of the table for production class 2a.</t>
  </si>
  <si>
    <t>Enter the registry ID number in row 1035 of the table for production class 2a.</t>
  </si>
  <si>
    <t>Enter the registry ID number in row 1036 of the table for production class 2a.</t>
  </si>
  <si>
    <t>Enter the registry ID number in row 1037 of the table for production class 2a.</t>
  </si>
  <si>
    <t>Enter the registry ID number in row 1038 of the table for production class 2a.</t>
  </si>
  <si>
    <t>Enter the registry ID number in row 1039 of the table for production class 2a.</t>
  </si>
  <si>
    <t>Enter the registry ID number in row 1040 of the table for production class 2a.</t>
  </si>
  <si>
    <t>Enter the registry ID number in row 1041 of the table for production class 2a.</t>
  </si>
  <si>
    <t>Enter the registry ID number in row 1042 of the table for production class 2a.</t>
  </si>
  <si>
    <t>Enter the registry ID number in row 1043 of the table for production class 2a.</t>
  </si>
  <si>
    <t>Enter the registry ID number in row 1044 of the table for production class 2a.</t>
  </si>
  <si>
    <t>Enter the registry ID number in row 1045 of the table for production class 2a.</t>
  </si>
  <si>
    <t>Enter the registry ID number in row 1046 of the table for production class 2a.</t>
  </si>
  <si>
    <t>Enter the registry ID number in row 1047 of the table for production class 2a.</t>
  </si>
  <si>
    <t>Enter the registry ID number in row 1048 of the table for production class 2a.</t>
  </si>
  <si>
    <t>Enter the registry ID number in row 1049 of the table for production class 2a.</t>
  </si>
  <si>
    <t>Enter the registry ID number in row 1050 of the table for production class 2a.</t>
  </si>
  <si>
    <t>Enter the registry ID number in row 1051 of the table for production class 2a.</t>
  </si>
  <si>
    <t>Enter the registry ID number in row 1052 of the table for production class 2a.</t>
  </si>
  <si>
    <t>Enter the registry ID number in row 1053 of the table for production class 2a.</t>
  </si>
  <si>
    <t>Enter the registry ID number in row 1054 of the table for production class 2a.</t>
  </si>
  <si>
    <t>Enter the registry ID number in row 1055 of the table for production class 2a.</t>
  </si>
  <si>
    <t>Enter the registry ID number in row 1056 of the table for production class 2a.</t>
  </si>
  <si>
    <t>Enter the registry ID number in row 1057 of the table for production class 2a.</t>
  </si>
  <si>
    <t>Enter the registry ID number in row 1058 of the table for production class 2a.</t>
  </si>
  <si>
    <t>Enter the registry ID number in row 1059 of the table for production class 2a.</t>
  </si>
  <si>
    <t>Enter the registry ID number in row 1060 of the table for production class 2a.</t>
  </si>
  <si>
    <t>Enter the registry ID number in row 1061 of the table for production class 2a.</t>
  </si>
  <si>
    <t>Enter the registry ID number in row 1062 of the table for production class 2a.</t>
  </si>
  <si>
    <t>Enter the registry ID number in row 1063 of the table for production class 2a.</t>
  </si>
  <si>
    <t>Enter the registry ID number in row 1064 of the table for production class 2a.</t>
  </si>
  <si>
    <t>Enter the registry ID number in row 1065 of the table for production class 2a.</t>
  </si>
  <si>
    <t>Enter the registry ID number in row 1066 of the table for production class 2a.</t>
  </si>
  <si>
    <t>Enter the registry ID number in row 1067 of the table for production class 2a.</t>
  </si>
  <si>
    <t>Enter the registry ID number in row 1068 of the table for production class 2a.</t>
  </si>
  <si>
    <t>Enter the registry ID number in row 1069 of the table for production class 2a.</t>
  </si>
  <si>
    <t>Enter the registry ID number in row 1070 of the table for production class 2a.</t>
  </si>
  <si>
    <t>Enter the registry ID number in row 1071 of the table for production class 2a.</t>
  </si>
  <si>
    <t>Enter the registry ID number in row 1072 of the table for production class 2a.</t>
  </si>
  <si>
    <t>Enter the registry ID number in row 1073 of the table for production class 2a.</t>
  </si>
  <si>
    <t>Enter the registry ID number in row 1074 of the table for production class 2a.</t>
  </si>
  <si>
    <t>Enter the registry ID number in row 1075 of the table for production class 2a.</t>
  </si>
  <si>
    <t>Enter the registry ID number in row 1076 of the table for production class 2a.</t>
  </si>
  <si>
    <t>Enter the registry ID number in row 1077 of the table for production class 2a.</t>
  </si>
  <si>
    <t>Enter the registry ID number in row 1078 of the table for production class 2a.</t>
  </si>
  <si>
    <t>Enter the registry ID number in row 1079 of the table for production class 2a.</t>
  </si>
  <si>
    <t>Enter the registry ID number in row 1080 of the table for production class 2a.</t>
  </si>
  <si>
    <t>Enter the registry ID number in row 1081 of the table for production class 2a.</t>
  </si>
  <si>
    <t>Enter the registry ID number in row 1082 of the table for production class 2a.</t>
  </si>
  <si>
    <t>Enter the registry ID number in row 1083 of the table for production class 2a.</t>
  </si>
  <si>
    <t>Enter the registry ID number in row 1084 of the table for production class 2a.</t>
  </si>
  <si>
    <t>Enter the registry ID number in row 1085 of the table for production class 2a.</t>
  </si>
  <si>
    <t>Enter the registry ID number in row 1086 of the table for production class 2a.</t>
  </si>
  <si>
    <t>Enter the registry ID number in row 1087 of the table for production class 2a.</t>
  </si>
  <si>
    <t>Enter the registry ID number in row 1088 of the table for production class 2a.</t>
  </si>
  <si>
    <t>Enter the registry ID number in row 1089 of the table for production class 2a.</t>
  </si>
  <si>
    <t>Enter the registry ID number in row 1090 of the table for production class 2a.</t>
  </si>
  <si>
    <t>Enter the registry ID number in row 1091 of the table for production class 2a.</t>
  </si>
  <si>
    <t>Enter the registry ID number in row 1092 of the table for production class 2a.</t>
  </si>
  <si>
    <t>Enter the registry ID number in row 1093 of the table for production class 2a.</t>
  </si>
  <si>
    <t>Enter the registry ID number in row 1094 of the table for production class 2a.</t>
  </si>
  <si>
    <t>Enter the registry ID number in row 1095 of the table for production class 2a.</t>
  </si>
  <si>
    <t>Enter the registry ID number in row 1096 of the table for production class 2a.</t>
  </si>
  <si>
    <t>Enter the registry ID number in row 1097 of the table for production class 2a.</t>
  </si>
  <si>
    <t>Enter the registry ID number in row 1098 of the table for production class 2a.</t>
  </si>
  <si>
    <t>Enter the registry ID number in row 1099 of the table for production class 2a.</t>
  </si>
  <si>
    <t>Enter the registry ID number in row 1100 of the table for production class 2a.</t>
  </si>
  <si>
    <t>Enter the registry ID number in row 1101 of the table for production class 2a.</t>
  </si>
  <si>
    <t>Enter the registry ID number in row 1102 of the table for production class 2a.</t>
  </si>
  <si>
    <t>Enter the registry ID number in row 1103 of the table for production class 2a.</t>
  </si>
  <si>
    <t>Enter the registry ID number in row 1104 of the table for production class 2a.</t>
  </si>
  <si>
    <t>Enter the registry ID number in row 1105 of the table for production class 2a.</t>
  </si>
  <si>
    <t>Enter the registry ID number in row 1106 of the table for production class 2a.</t>
  </si>
  <si>
    <t>Enter the registry ID number in row 1107 of the table for production class 2a.</t>
  </si>
  <si>
    <t>Enter the registry ID number in row 1108 of the table for production class 2a.</t>
  </si>
  <si>
    <t>Enter the registry ID number in row 1109 of the table for production class 2a.</t>
  </si>
  <si>
    <t>Enter the registry ID number in row 1110 of the table for production class 2a.</t>
  </si>
  <si>
    <t>Enter the registry ID number in row 1111 of the table for production class 2a.</t>
  </si>
  <si>
    <t>Enter the registry ID number in row 1112 of the table for production class 2a.</t>
  </si>
  <si>
    <t>Enter the registry ID number in row 1113 of the table for production class 2a.</t>
  </si>
  <si>
    <t>Enter the registry ID number in row 1114 of the table for production class 2a.</t>
  </si>
  <si>
    <t>Enter the registry ID number in row 1115 of the table for production class 2a.</t>
  </si>
  <si>
    <t>Enter the registry ID number in row 1116 of the table for production class 2a.</t>
  </si>
  <si>
    <t>Enter the registry ID number in row 1117 of the table for production class 2a.</t>
  </si>
  <si>
    <t>Enter the registry ID number in row 1118 of the table for production class 2a.</t>
  </si>
  <si>
    <t>Enter the registry ID number in row 1119 of the table for production class 2a.</t>
  </si>
  <si>
    <t>Enter the registry ID number in row 1120 of the table for production class 2a.</t>
  </si>
  <si>
    <t>Enter the registry ID number in row 1121 of the table for production class 2a.</t>
  </si>
  <si>
    <t>Enter the registry ID number in row 1122 of the table for production class 2a.</t>
  </si>
  <si>
    <t>Enter the registry ID number in row 1123 of the table for production class 2a.</t>
  </si>
  <si>
    <t>Enter the registry ID number in row 1124 of the table for production class 2a.</t>
  </si>
  <si>
    <t>Enter the registry ID number in row 1125 of the table for production class 2a.</t>
  </si>
  <si>
    <t>Enter the registry ID number in row 1126 of the table for production class 2a.</t>
  </si>
  <si>
    <t>Enter the registry ID number in row 1127 of the table for production class 2a.</t>
  </si>
  <si>
    <t>Enter the registry ID number in row 1128 of the table for production class 2a.</t>
  </si>
  <si>
    <t>Enter the registry ID number in row 1129 of the table for production class 2a.</t>
  </si>
  <si>
    <t>Enter the registry ID number in row 1130 of the table for production class 2a.</t>
  </si>
  <si>
    <t>Enter the registry ID number in row 1131 of the table for production class 2a.</t>
  </si>
  <si>
    <t>Enter the registry ID number in row 1132 of the table for production class 2a.</t>
  </si>
  <si>
    <t>Enter the registry ID number in row 1133 of the table for production class 2a.</t>
  </si>
  <si>
    <t>Enter the registry ID number in row 1134 of the table for production class 2a.</t>
  </si>
  <si>
    <t>Enter the registry ID number in row 1135 of the table for production class 2a.</t>
  </si>
  <si>
    <t>Enter the registry ID number in row 1136 of the table for production class 2a.</t>
  </si>
  <si>
    <t>Enter the registry ID number in row 1137 of the table for production class 2a.</t>
  </si>
  <si>
    <t>Enter the registry ID number in row 1138 of the table for production class 2a.</t>
  </si>
  <si>
    <t>Enter the registry ID number in row 1139 of the table for production class 2a.</t>
  </si>
  <si>
    <t>Enter the registry ID number in row 1140 of the table for production class 2a.</t>
  </si>
  <si>
    <t>Enter the registry ID number in row 1141 of the table for production class 2a.</t>
  </si>
  <si>
    <t>Enter the registry ID number in row 1142 of the table for production class 2a.</t>
  </si>
  <si>
    <t>Enter the registry ID number in row 1143 of the table for production class 2a.</t>
  </si>
  <si>
    <t>Enter the registry ID number in row 1144 of the table for production class 2a.</t>
  </si>
  <si>
    <t>Enter the registry ID number in row 1145 of the table for production class 2a.</t>
  </si>
  <si>
    <t>Enter the registry ID number in row 1146 of the table for production class 2a.</t>
  </si>
  <si>
    <t>Enter the registry ID number in row 1147 of the table for production class 2a.</t>
  </si>
  <si>
    <t>Enter the registry ID number in row 1148 of the table for production class 2a.</t>
  </si>
  <si>
    <t>Enter the registry ID number in row 1149 of the table for production class 2a.</t>
  </si>
  <si>
    <t>Enter the registry ID number in row 1150 of the table for production class 2a.</t>
  </si>
  <si>
    <t>Enter the registry ID number in row 1151 of the table for production class 2a.</t>
  </si>
  <si>
    <t>Enter the registry ID number in row 1152 of the table for production class 2a.</t>
  </si>
  <si>
    <t>Enter the registry ID number in row 1153 of the table for production class 2a.</t>
  </si>
  <si>
    <t>Enter the registry ID number in row 1154 of the table for production class 2a.</t>
  </si>
  <si>
    <t>Enter the registry ID number in row 1155 of the table for production class 2a.</t>
  </si>
  <si>
    <t>Enter the registry ID number in row 1156 of the table for production class 2a.</t>
  </si>
  <si>
    <t>Enter the registry ID number in row 1157 of the table for production class 2a.</t>
  </si>
  <si>
    <t>Enter the registry ID number in row 1158 of the table for production class 2a.</t>
  </si>
  <si>
    <t>Enter the registry ID number in row 1159 of the table for production class 2a.</t>
  </si>
  <si>
    <t>Enter the registry ID number in row 1160 of the table for production class 2a.</t>
  </si>
  <si>
    <t>Enter the registry ID number in row 1161 of the table for production class 2a.</t>
  </si>
  <si>
    <t>Enter the registry ID number in row 1162 of the table for production class 2a.</t>
  </si>
  <si>
    <t>Enter the registry ID number in row 1163 of the table for production class 2a.</t>
  </si>
  <si>
    <t>Enter the registry ID number in row 1164 of the table for production class 2a.</t>
  </si>
  <si>
    <t>Enter the registry ID number in row 1165 of the table for production class 2a.</t>
  </si>
  <si>
    <t>Enter the registry ID number in row 1166 of the table for production class 2a.</t>
  </si>
  <si>
    <t>Enter the registry ID number in row 1167 of the table for production class 2a.</t>
  </si>
  <si>
    <t>Enter the registry ID number in row 1168 of the table for production class 2a.</t>
  </si>
  <si>
    <t>Enter the registry ID number in row 1169 of the table for production class 2a.</t>
  </si>
  <si>
    <t>Enter the registry ID number in row 1170 of the table for production class 2a.</t>
  </si>
  <si>
    <t>Enter the registry ID number in row 1171 of the table for production class 2a.</t>
  </si>
  <si>
    <t>Enter the registry ID number in row 1172 of the table for production class 2a.</t>
  </si>
  <si>
    <t>Enter the registry ID number in row 1173 of the table for production class 2a.</t>
  </si>
  <si>
    <t>Enter the registry ID number in row 1174 of the table for production class 2a.</t>
  </si>
  <si>
    <t>Enter the registry ID number in row 1175 of the table for production class 2a.</t>
  </si>
  <si>
    <t>Enter the registry ID number in row 1176 of the table for production class 2a.</t>
  </si>
  <si>
    <t>Enter the registry ID number in row 1177 of the table for production class 2a.</t>
  </si>
  <si>
    <t>Enter the registry ID number in row 1178 of the table for production class 2a.</t>
  </si>
  <si>
    <t>Enter the registry ID number in row 1179 of the table for production class 2a.</t>
  </si>
  <si>
    <t>Enter the registry ID number in row 1180 of the table for production class 2a.</t>
  </si>
  <si>
    <t>Enter the registry ID number in row 1181 of the table for production class 2a.</t>
  </si>
  <si>
    <t>Enter the registry ID number in row 1182 of the table for production class 2a.</t>
  </si>
  <si>
    <t>Enter the registry ID number in row 1183 of the table for production class 2a.</t>
  </si>
  <si>
    <t>Enter the registry ID number in row 1184 of the table for production class 2a.</t>
  </si>
  <si>
    <t>Enter the registry ID number in row 1185 of the table for production class 2a.</t>
  </si>
  <si>
    <t>Enter the registry ID number in row 1186 of the table for production class 2a.</t>
  </si>
  <si>
    <t>Enter the registry ID number in row 1187 of the table for production class 2a.</t>
  </si>
  <si>
    <t>Enter the registry ID number in row 1188 of the table for production class 2a.</t>
  </si>
  <si>
    <t>Enter the registry ID number in row 1189 of the table for production class 2a.</t>
  </si>
  <si>
    <t>Enter the registry ID number in row 1190 of the table for production class 2a.</t>
  </si>
  <si>
    <t>Enter the registry ID number in row 1191 of the table for production class 2a.</t>
  </si>
  <si>
    <t>Enter the registry ID number in row 1192 of the table for production class 2a.</t>
  </si>
  <si>
    <t>Enter the registry ID number in row 1193 of the table for production class 2a.</t>
  </si>
  <si>
    <t>Enter the registry ID number in row 1194 of the table for production class 2a.</t>
  </si>
  <si>
    <t>Enter the registry ID number in row 1195 of the table for production class 2a.</t>
  </si>
  <si>
    <t>Enter the registry ID number in row 1196 of the table for production class 2a.</t>
  </si>
  <si>
    <t>Enter the registry ID number in row 1197 of the table for production class 2a.</t>
  </si>
  <si>
    <t>Enter the registry ID number in row 1198 of the table for production class 2a.</t>
  </si>
  <si>
    <t>Enter the registry ID number in row 1199 of the table for production class 2a.</t>
  </si>
  <si>
    <t>Enter the registry ID number in row 1200 of the table for production class 2a.</t>
  </si>
  <si>
    <t>Enter the registry ID number in row 1201 of the table for production class 2a.</t>
  </si>
  <si>
    <t>Enter the registry ID number in row 1202 of the table for production class 2a.</t>
  </si>
  <si>
    <t>Enter the registry ID number in row 1203 of the table for production class 2a.</t>
  </si>
  <si>
    <t>Enter the registry ID number in row 1204 of the table for production class 2a.</t>
  </si>
  <si>
    <t>Enter the registry ID number in row 1205 of the table for production class 2a.</t>
  </si>
  <si>
    <t>Enter the registry ID number in row 1206 of the table for production class 2a.</t>
  </si>
  <si>
    <t>Enter the registry ID number in row 1207 of the table for production class 2a.</t>
  </si>
  <si>
    <t>Enter the registry ID number in row 1208 of the table for production class 2a.</t>
  </si>
  <si>
    <t>Enter the registry ID number in row 1209 of the table for production class 2a.</t>
  </si>
  <si>
    <t>Enter the registry ID number in row 1210 of the table for production class 2a.</t>
  </si>
  <si>
    <t>Enter the registry ID number in row 1211 of the table for production class 2a.</t>
  </si>
  <si>
    <t>Enter the registry ID number in row 1212 of the table for production class 2a.</t>
  </si>
  <si>
    <t>Enter the registry ID number in row 1213 of the table for production class 2a.</t>
  </si>
  <si>
    <t>Enter the registry ID number in row 1214 of the table for production class 2a.</t>
  </si>
  <si>
    <t>Enter the registry ID number in row 1215 of the table for production class 2a.</t>
  </si>
  <si>
    <t>Enter the registry ID number in row 1216 of the table for production class 2a.</t>
  </si>
  <si>
    <t>Enter the registry ID number in row 1217 of the table for production class 2a.</t>
  </si>
  <si>
    <t>Enter the registry ID number in row 1218 of the table for production class 2a.</t>
  </si>
  <si>
    <t>Enter the registry ID number in row 1219 of the table for production class 2a.</t>
  </si>
  <si>
    <t>Enter the registry ID number in row 1220 of the table for production class 2a.</t>
  </si>
  <si>
    <t>Enter the registry ID number in row 1221 of the table for production class 2a.</t>
  </si>
  <si>
    <t>Enter the registry ID number in row 1222 of the table for production class 2a.</t>
  </si>
  <si>
    <t>Enter the registry ID number in row 1223 of the table for production class 2a.</t>
  </si>
  <si>
    <t>Enter the registry ID number in row 1224 of the table for production class 2a.</t>
  </si>
  <si>
    <t>Enter the registry ID number in row 1225 of the table for production class 2a.</t>
  </si>
  <si>
    <t>Enter the registry ID number in row 1226 of the table for production class 2a.</t>
  </si>
  <si>
    <t>Enter the registry ID number in row 1227 of the table for production class 2a.</t>
  </si>
  <si>
    <t>Enter the registry ID number in row 1228 of the table for production class 2a.</t>
  </si>
  <si>
    <t>Enter the registry ID number in row 1229 of the table for production class 2a.</t>
  </si>
  <si>
    <t>Enter the registry ID number in row 1230 of the table for production class 2a.</t>
  </si>
  <si>
    <t>Enter the registry ID number in row 1231 of the table for production class 2a.</t>
  </si>
  <si>
    <t>Enter the registry ID number in row 1232 of the table for production class 2a.</t>
  </si>
  <si>
    <t>Enter the registry ID number in row 1233 of the table for production class 2a.</t>
  </si>
  <si>
    <t>Enter the registry ID number in row 1234 of the table for production class 2a.</t>
  </si>
  <si>
    <t>Enter the registry ID number in row 1235 of the table for production class 2a.</t>
  </si>
  <si>
    <t>Enter the registry ID number in row 1236 of the table for production class 2a.</t>
  </si>
  <si>
    <t>Enter the registry ID number in row 1237 of the table for production class 2a.</t>
  </si>
  <si>
    <t>Enter the registry ID number in row 1238 of the table for production class 2a.</t>
  </si>
  <si>
    <t>Enter the registry ID number in row 1239 of the table for production class 2a.</t>
  </si>
  <si>
    <t>Enter the registry ID number in row 1240 of the table for production class 2a.</t>
  </si>
  <si>
    <t>Enter the registry ID number in row 1241 of the table for production class 2a.</t>
  </si>
  <si>
    <t>Enter the registry ID number in row 1242 of the table for production class 2a.</t>
  </si>
  <si>
    <t>Enter the registry ID number in row 1243 of the table for production class 2a.</t>
  </si>
  <si>
    <t>Enter the registry ID number in row 1244 of the table for production class 2a.</t>
  </si>
  <si>
    <t>Enter the registry ID number in row 1245 of the table for production class 2a.</t>
  </si>
  <si>
    <t>Enter the registry ID number in row 1246 of the table for production class 2a.</t>
  </si>
  <si>
    <t>Enter the registry ID number in row 1247 of the table for production class 2a.</t>
  </si>
  <si>
    <t>Enter the registry ID number in row 1248 of the table for production class 2a.</t>
  </si>
  <si>
    <t>Enter the registry ID number in row 1249 of the table for production class 2a.</t>
  </si>
  <si>
    <t>Enter the registry ID number in row 1250 of the table for production class 2a.</t>
  </si>
  <si>
    <t>Enter the registry ID number in row 1251 of the table for production class 2a.</t>
  </si>
  <si>
    <t>Enter the registry ID number in row 1252 of the table for production class 2a.</t>
  </si>
  <si>
    <t>Enter the registry ID number in row 1253 of the table for production class 2a.</t>
  </si>
  <si>
    <t>Enter the registry ID number in row 1254 of the table for production class 2a.</t>
  </si>
  <si>
    <t>Enter the registry ID number in row 1255 of the table for production class 2a.</t>
  </si>
  <si>
    <t>Enter the registry ID number in row 1256 of the table for production class 2a.</t>
  </si>
  <si>
    <t>Enter the registry ID number in row 1257 of the table for production class 2a.</t>
  </si>
  <si>
    <t>Enter the registry ID number in row 1258 of the table for production class 2a.</t>
  </si>
  <si>
    <t>Enter the registry ID number in row 1259 of the table for production class 2a.</t>
  </si>
  <si>
    <t>Enter the registry ID number in row 1260 of the table for production class 2a.</t>
  </si>
  <si>
    <t>Enter the registry ID number in row 1261 of the table for production class 2a.</t>
  </si>
  <si>
    <t>Enter the registry ID number in row 1262 of the table for production class 2a.</t>
  </si>
  <si>
    <t>Enter the registry ID number in row 1263 of the table for production class 2a.</t>
  </si>
  <si>
    <t>Enter the registry ID number in row 1264 of the table for production class 2a.</t>
  </si>
  <si>
    <t>Enter the registry ID number in row 1265 of the table for production class 2a.</t>
  </si>
  <si>
    <t>Enter the registry ID number in row 1266 of the table for production class 2a.</t>
  </si>
  <si>
    <t>Enter the registry ID number in row 1267 of the table for production class 2a.</t>
  </si>
  <si>
    <t>Enter the registry ID number in row 1268 of the table for production class 2a.</t>
  </si>
  <si>
    <t>Enter the registry ID number in row 1269 of the table for production class 2a.</t>
  </si>
  <si>
    <t>Enter the registry ID number in row 1270 of the table for production class 2a.</t>
  </si>
  <si>
    <t>Enter the registry ID number in row 1271 of the table for production class 2a.</t>
  </si>
  <si>
    <t>Enter the registry ID number in row 1272 of the table for production class 2a.</t>
  </si>
  <si>
    <t>Enter the registry ID number in row 1273 of the table for production class 2a.</t>
  </si>
  <si>
    <t>Enter the registry ID number in row 1274 of the table for production class 2a.</t>
  </si>
  <si>
    <t>Enter the registry ID number in row 1275 of the table for production class 2a.</t>
  </si>
  <si>
    <t>Enter the registry ID number in row 1276 of the table for production class 2a.</t>
  </si>
  <si>
    <t>Enter the registry ID number in row 1277 of the table for production class 2a.</t>
  </si>
  <si>
    <t>Enter the registry ID number in row 1278 of the table for production class 2a.</t>
  </si>
  <si>
    <t>Enter the registry ID number in row 1279 of the table for production class 2a.</t>
  </si>
  <si>
    <t>Enter the registry ID number in row 1280 of the table for production class 2a.</t>
  </si>
  <si>
    <t>Enter the registry ID number in row 1281 of the table for production class 2a.</t>
  </si>
  <si>
    <t>Enter the registry ID number in row 1282 of the table for production class 2a.</t>
  </si>
  <si>
    <t>Enter the registry ID number in row 1283 of the table for production class 2a.</t>
  </si>
  <si>
    <t>Enter the registry ID number in row 1284 of the table for production class 2a.</t>
  </si>
  <si>
    <t>Enter the registry ID number in row 1285 of the table for production class 2a.</t>
  </si>
  <si>
    <t>Enter the registry ID number in row 1286 of the table for production class 2a.</t>
  </si>
  <si>
    <t>Enter the registry ID number in row 1287 of the table for production class 2a.</t>
  </si>
  <si>
    <t>Enter the registry ID number in row 1288 of the table for production class 2a.</t>
  </si>
  <si>
    <t>Enter the registry ID number in row 1289 of the table for production class 2a.</t>
  </si>
  <si>
    <t>Enter the registry ID number in row 1290 of the table for production class 2a.</t>
  </si>
  <si>
    <t>Enter the registry ID number in row 1291 of the table for production class 2a.</t>
  </si>
  <si>
    <t>Enter the registry ID number in row 1292 of the table for production class 2a.</t>
  </si>
  <si>
    <t>Enter the registry ID number in row 1293 of the table for production class 2a.</t>
  </si>
  <si>
    <t>Enter the registry ID number in row 1294 of the table for production class 2a.</t>
  </si>
  <si>
    <t>Enter the registry ID number in row 1295 of the table for production class 2a.</t>
  </si>
  <si>
    <t>Enter the registry ID number in row 1296 of the table for production class 2a.</t>
  </si>
  <si>
    <t>Enter the registry ID number in row 1297 of the table for production class 2a.</t>
  </si>
  <si>
    <t>Enter the registry ID number in row 1298 of the table for production class 2a.</t>
  </si>
  <si>
    <t>Enter the registry ID number in row 1299 of the table for production class 2a.</t>
  </si>
  <si>
    <t>Enter the registry ID number in row 1300 of the table for production class 2a.</t>
  </si>
  <si>
    <t>Enter the registry ID number in row 1301 of the table for production class 2a.</t>
  </si>
  <si>
    <t>Enter the registry ID number in row 1302 of the table for production class 2a.</t>
  </si>
  <si>
    <t>Enter the registry ID number in row 1303 of the table for production class 2a.</t>
  </si>
  <si>
    <t>Enter the registry ID number in row 1304 of the table for production class 2a.</t>
  </si>
  <si>
    <t>Enter the registry ID number in row 1305 of the table for production class 2a.</t>
  </si>
  <si>
    <t>Enter the registry ID number in row 1306 of the table for production class 2a.</t>
  </si>
  <si>
    <t>Enter the registry ID number in row 1307 of the table for production class 2a.</t>
  </si>
  <si>
    <t>Enter the registry ID number in row 1308 of the table for production class 2a.</t>
  </si>
  <si>
    <t>Enter the registry ID number in row 1309 of the table for production class 2a.</t>
  </si>
  <si>
    <t>Enter the registry ID number in row 1310 of the table for production class 2a.</t>
  </si>
  <si>
    <t>Enter the registry ID number in row 1311 of the table for production class 2a.</t>
  </si>
  <si>
    <t>Enter the registry ID number in row 1312 of the table for production class 2a.</t>
  </si>
  <si>
    <t>Enter the registry ID number in row 1313 of the table for production class 2a.</t>
  </si>
  <si>
    <t>Enter the registry ID number in row 1314 of the table for production class 2a.</t>
  </si>
  <si>
    <t>Enter the registry ID number in row 1315 of the table for production class 2a.</t>
  </si>
  <si>
    <t>Enter the registry ID number in row 1316 of the table for production class 2a.</t>
  </si>
  <si>
    <t>Enter the registry ID number in row 1317 of the table for production class 2a.</t>
  </si>
  <si>
    <t>Enter the registry ID number in row 1318 of the table for production class 2a.</t>
  </si>
  <si>
    <t>Enter the registry ID number in row 1319 of the table for production class 2a.</t>
  </si>
  <si>
    <t>Enter the registry ID number in row 1320 of the table for production class 2a.</t>
  </si>
  <si>
    <t>Enter the registry ID number in row 1321 of the table for production class 2a.</t>
  </si>
  <si>
    <t>Enter the registry ID number in row 1322 of the table for production class 2a.</t>
  </si>
  <si>
    <t>Enter the registry ID number in row 1323 of the table for production class 2a.</t>
  </si>
  <si>
    <t>Enter the registry ID number in row 1324 of the table for production class 2a.</t>
  </si>
  <si>
    <t>Enter the registry ID number in row 1325 of the table for production class 2a.</t>
  </si>
  <si>
    <t>Enter the registry ID number in row 1326 of the table for production class 2a.</t>
  </si>
  <si>
    <t>Enter the registry ID number in row 1327 of the table for production class 2a.</t>
  </si>
  <si>
    <t>Enter the registry ID number in row 1328 of the table for production class 2a.</t>
  </si>
  <si>
    <t>Enter the registry ID number in row 1329 of the table for production class 2a.</t>
  </si>
  <si>
    <t>Enter the registry ID number in row 1330 of the table for production class 2a.</t>
  </si>
  <si>
    <t>Enter the registry ID number in row 1331 of the table for production class 2a.</t>
  </si>
  <si>
    <t>Enter the registry ID number in row 1332 of the table for production class 2a.</t>
  </si>
  <si>
    <t>Enter the registry ID number in row 1333 of the table for production class 2a.</t>
  </si>
  <si>
    <t>Enter the registry ID number in row 1334 of the table for production class 2a.</t>
  </si>
  <si>
    <t>Enter the registry ID number in row 1335 of the table for production class 2a.</t>
  </si>
  <si>
    <t>Enter the registry ID number in row 1336 of the table for production class 2a.</t>
  </si>
  <si>
    <t>Enter the registry ID number in row 1337 of the table for production class 2a.</t>
  </si>
  <si>
    <t>Enter the registry ID number in row 1338 of the table for production class 2a.</t>
  </si>
  <si>
    <t>Enter the registry ID number in row 1339 of the table for production class 2a.</t>
  </si>
  <si>
    <t>Enter the registry ID number in row 1340 of the table for production class 2a.</t>
  </si>
  <si>
    <t>Enter the registry ID number in row 1341 of the table for production class 2a.</t>
  </si>
  <si>
    <t>Enter the registry ID number in row 1342 of the table for production class 2a.</t>
  </si>
  <si>
    <t>Enter the registry ID number in row 1343 of the table for production class 2a.</t>
  </si>
  <si>
    <t>Enter the registry ID number in row 1344 of the table for production class 2a.</t>
  </si>
  <si>
    <t>Enter the registry ID number in row 1345 of the table for production class 2a.</t>
  </si>
  <si>
    <t>Enter the registry ID number in row 1346 of the table for production class 2a.</t>
  </si>
  <si>
    <t>Enter the registry ID number in row 1347 of the table for production class 2a.</t>
  </si>
  <si>
    <t>Enter the registry ID number in row 1348 of the table for production class 2a.</t>
  </si>
  <si>
    <t>Enter the registry ID number in row 1349 of the table for production class 2a.</t>
  </si>
  <si>
    <t>Enter the registry ID number in row 1350 of the table for production class 2a.</t>
  </si>
  <si>
    <t>Enter the registry ID number in row 1351 of the table for production class 2a.</t>
  </si>
  <si>
    <t>Enter the registry ID number in row 1352 of the table for production class 2a.</t>
  </si>
  <si>
    <t>Enter the registry ID number in row 1353 of the table for production class 2a.</t>
  </si>
  <si>
    <t>Enter the registry ID number in row 1354 of the table for production class 2a.</t>
  </si>
  <si>
    <t>Enter the registry ID number in row 1355 of the table for production class 2a.</t>
  </si>
  <si>
    <t>Enter the registry ID number in row 1356 of the table for production class 2a.</t>
  </si>
  <si>
    <t>Enter the registry ID number in row 1357 of the table for production class 2a.</t>
  </si>
  <si>
    <t>Enter the registry ID number in row 1358 of the table for production class 2a.</t>
  </si>
  <si>
    <t>Enter the registry ID number in row 1359 of the table for production class 2a.</t>
  </si>
  <si>
    <t>Enter the registry ID number in row 1360 of the table for production class 2a.</t>
  </si>
  <si>
    <t>Enter the registry ID number in row 1361 of the table for production class 2a.</t>
  </si>
  <si>
    <t>Enter the registry ID number in row 1362 of the table for production class 2a.</t>
  </si>
  <si>
    <t>Enter the registry ID number in row 1363 of the table for production class 2a.</t>
  </si>
  <si>
    <t>Enter the registry ID number in row 1364 of the table for production class 2a.</t>
  </si>
  <si>
    <t>Enter the registry ID number in row 1365 of the table for production class 2a.</t>
  </si>
  <si>
    <t>Enter the registry ID number in row 1366 of the table for production class 2a.</t>
  </si>
  <si>
    <t>Enter the registry ID number in row 1367 of the table for production class 2a.</t>
  </si>
  <si>
    <t>Enter the registry ID number in row 1368 of the table for production class 2a.</t>
  </si>
  <si>
    <t>Enter the registry ID number in row 1369 of the table for production class 2a.</t>
  </si>
  <si>
    <t>Enter the registry ID number in row 1370 of the table for production class 2a.</t>
  </si>
  <si>
    <t>Enter the registry ID number in row 1371 of the table for production class 2a.</t>
  </si>
  <si>
    <t>Enter the registry ID number in row 1372 of the table for production class 2a.</t>
  </si>
  <si>
    <t>Enter the registry ID number in row 1373 of the table for production class 2a.</t>
  </si>
  <si>
    <t>Enter the registry ID number in row 1374 of the table for production class 2a.</t>
  </si>
  <si>
    <t>Enter the registry ID number in row 1375 of the table for production class 2a.</t>
  </si>
  <si>
    <t>Enter the registry ID number in row 1376 of the table for production class 2a.</t>
  </si>
  <si>
    <t>Enter the registry ID number in row 1377 of the table for production class 2a.</t>
  </si>
  <si>
    <t>Enter the registry ID number in row 1378 of the table for production class 2a.</t>
  </si>
  <si>
    <t>Enter the registry ID number in row 1379 of the table for production class 2a.</t>
  </si>
  <si>
    <t>Enter the registry ID number in row 1380 of the table for production class 2a.</t>
  </si>
  <si>
    <t>Enter the registry ID number in row 1381 of the table for production class 2a.</t>
  </si>
  <si>
    <t>Enter the registry ID number in row 1382 of the table for production class 2a.</t>
  </si>
  <si>
    <t>Enter the registry ID number in row 1383 of the table for production class 2a.</t>
  </si>
  <si>
    <t>Enter the registry ID number in row 1384 of the table for production class 2a.</t>
  </si>
  <si>
    <t>Enter the registry ID number in row 1385 of the table for production class 2a.</t>
  </si>
  <si>
    <t>Enter the registry ID number in row 1386 of the table for production class 2a.</t>
  </si>
  <si>
    <t>Enter the registry ID number in row 1387 of the table for production class 2a.</t>
  </si>
  <si>
    <t>Enter the registry ID number in row 1388 of the table for production class 2a.</t>
  </si>
  <si>
    <t>Enter the registry ID number in row 1389 of the table for production class 2a.</t>
  </si>
  <si>
    <t>Enter the registry ID number in row 1390 of the table for production class 2a.</t>
  </si>
  <si>
    <t>Enter the registry ID number in row 1391 of the table for production class 2a.</t>
  </si>
  <si>
    <t>Enter the registry ID number in row 1392 of the table for production class 2a.</t>
  </si>
  <si>
    <t>Enter the registry ID number in row 1393 of the table for production class 2a.</t>
  </si>
  <si>
    <t>Enter the registry ID number in row 1394 of the table for production class 2a.</t>
  </si>
  <si>
    <t>Enter the registry ID number in row 1395 of the table for production class 2a.</t>
  </si>
  <si>
    <t>Enter the registry ID number in row 1396 of the table for production class 2a.</t>
  </si>
  <si>
    <t>Enter the registry ID number in row 1397 of the table for production class 2a.</t>
  </si>
  <si>
    <t>Enter the registry ID number in row 1398 of the table for production class 2a.</t>
  </si>
  <si>
    <t>Enter the registry ID number in row 1399 of the table for production class 2a.</t>
  </si>
  <si>
    <t>Enter the registry ID number in row 1400 of the table for production class 2a.</t>
  </si>
  <si>
    <t>Enter the registry ID number in row 1401 of the table for production class 2a.</t>
  </si>
  <si>
    <t>Enter the registry ID number in row 1402 of the table for production class 2a.</t>
  </si>
  <si>
    <t>Enter the registry ID number in row 1403 of the table for production class 2a.</t>
  </si>
  <si>
    <t>Enter the registry ID number in row 1404 of the table for production class 2a.</t>
  </si>
  <si>
    <t>Enter the registry ID number in row 1405 of the table for production class 2a.</t>
  </si>
  <si>
    <t>Enter the registry ID number in row 1406 of the table for production class 2a.</t>
  </si>
  <si>
    <t>Enter the registry ID number in row 1407 of the table for production class 2a.</t>
  </si>
  <si>
    <t>Enter the registry ID number in row 1408 of the table for production class 2a.</t>
  </si>
  <si>
    <t>Enter the registry ID number in row 1409 of the table for production class 2a.</t>
  </si>
  <si>
    <t>Enter the registry ID number in row 1410 of the table for production class 2a.</t>
  </si>
  <si>
    <t>Enter the registry ID number in row 1411 of the table for production class 2a.</t>
  </si>
  <si>
    <t>Enter the registry ID number in row 1412 of the table for production class 2a.</t>
  </si>
  <si>
    <t>Enter the registry ID number in row 1413 of the table for production class 2a.</t>
  </si>
  <si>
    <t>Enter the registry ID number in row 1414 of the table for production class 2a.</t>
  </si>
  <si>
    <t>Enter the registry ID number in row 1415 of the table for production class 2a.</t>
  </si>
  <si>
    <t>Enter the registry ID number in row 1416 of the table for production class 2a.</t>
  </si>
  <si>
    <t>Enter the registry ID number in row 1417 of the table for production class 2a.</t>
  </si>
  <si>
    <t>Enter the registry ID number in row 1418 of the table for production class 2a.</t>
  </si>
  <si>
    <t>Enter the registry ID number in row 1419 of the table for production class 2a.</t>
  </si>
  <si>
    <t>Enter the registry ID number in row 1420 of the table for production class 2a.</t>
  </si>
  <si>
    <t>Enter the registry ID number in row 1421 of the table for production class 2a.</t>
  </si>
  <si>
    <t>Enter the registry ID number in row 1422 of the table for production class 2a.</t>
  </si>
  <si>
    <t>Enter the registry ID number in row 1423 of the table for production class 2a.</t>
  </si>
  <si>
    <t>Enter the registry ID number in row 1424 of the table for production class 2a.</t>
  </si>
  <si>
    <t>Enter the registry ID number in row 1425 of the table for production class 2a.</t>
  </si>
  <si>
    <t>Enter the registry ID number in row 1426 of the table for production class 2a.</t>
  </si>
  <si>
    <t>Enter the registry ID number in row 1427 of the table for production class 2a.</t>
  </si>
  <si>
    <t>Enter the registry ID number in row 1428 of the table for production class 2a.</t>
  </si>
  <si>
    <t>Enter the registry ID number in row 1429 of the table for production class 2a.</t>
  </si>
  <si>
    <t>Enter the registry ID number in row 1430 of the table for production class 2a.</t>
  </si>
  <si>
    <t>Enter the registry ID number in row 1431 of the table for production class 2a.</t>
  </si>
  <si>
    <t>Enter the registry ID number in row 1432 of the table for production class 2a.</t>
  </si>
  <si>
    <t>Enter the registry ID number in row 1433 of the table for production class 2a.</t>
  </si>
  <si>
    <t>Enter the registry ID number in row 1434 of the table for production class 2a.</t>
  </si>
  <si>
    <t>Enter the registry ID number in row 1435 of the table for production class 2a.</t>
  </si>
  <si>
    <t>Enter the registry ID number in row 1436 of the table for production class 2a.</t>
  </si>
  <si>
    <t>Enter the registry ID number in row 1437 of the table for production class 2a.</t>
  </si>
  <si>
    <t>Enter the registry ID number in row 1438 of the table for production class 2a.</t>
  </si>
  <si>
    <t>Enter the registry ID number in row 1439 of the table for production class 2a.</t>
  </si>
  <si>
    <t>Enter the registry ID number in row 1440 of the table for production class 2a.</t>
  </si>
  <si>
    <t>Enter the registry ID number in row 1441 of the table for production class 2a.</t>
  </si>
  <si>
    <t>Enter the registry ID number in row 1442 of the table for production class 2a.</t>
  </si>
  <si>
    <t>Enter the registry ID number in row 1443 of the table for production class 2a.</t>
  </si>
  <si>
    <t>Enter the registry ID number in row 1444 of the table for production class 2a.</t>
  </si>
  <si>
    <t>Enter the registry ID number in row 1445 of the table for production class 2a.</t>
  </si>
  <si>
    <t>Enter the registry ID number in row 1446 of the table for production class 2a.</t>
  </si>
  <si>
    <t>Enter the registry ID number in row 1447 of the table for production class 2a.</t>
  </si>
  <si>
    <t>Enter the registry ID number in row 1448 of the table for production class 2a.</t>
  </si>
  <si>
    <t>Enter the registry ID number in row 1449 of the table for production class 2a.</t>
  </si>
  <si>
    <t>Enter the registry ID number in row 1450 of the table for production class 2a.</t>
  </si>
  <si>
    <t>Enter the registry ID number in row 1451 of the table for production class 2a.</t>
  </si>
  <si>
    <t>Enter the registry ID number in row 1452 of the table for production class 2a.</t>
  </si>
  <si>
    <t>Enter the registry ID number in row 1453 of the table for production class 2a.</t>
  </si>
  <si>
    <t>Enter the registry ID number in row 1454 of the table for production class 2a.</t>
  </si>
  <si>
    <t>Enter the registry ID number in row 1455 of the table for production class 2a.</t>
  </si>
  <si>
    <t>Enter the registry ID number in row 1456 of the table for production class 2a.</t>
  </si>
  <si>
    <t>Enter the registry ID number in row 1457 of the table for production class 2a.</t>
  </si>
  <si>
    <t>Enter the registry ID number in row 1458 of the table for production class 2a.</t>
  </si>
  <si>
    <t>Enter the registry ID number in row 1459 of the table for production class 2a.</t>
  </si>
  <si>
    <t>Enter the registry ID number in row 1460 of the table for production class 2a.</t>
  </si>
  <si>
    <t>Enter the registry ID number in row 1461 of the table for production class 2a.</t>
  </si>
  <si>
    <t>Enter the registry ID number in row 1462 of the table for production class 2a.</t>
  </si>
  <si>
    <t>Enter the registry ID number in row 1463 of the table for production class 2a.</t>
  </si>
  <si>
    <t>Enter the registry ID number in row 1464 of the table for production class 2a.</t>
  </si>
  <si>
    <t>Enter the registry ID number in row 1465 of the table for production class 2a.</t>
  </si>
  <si>
    <t>Enter the registry ID number in row 1466 of the table for production class 2a.</t>
  </si>
  <si>
    <t>Enter the registry ID number in row 1467 of the table for production class 2a.</t>
  </si>
  <si>
    <t>Enter the registry ID number in row 1468 of the table for production class 2a.</t>
  </si>
  <si>
    <t>Enter the registry ID number in row 1469 of the table for production class 2a.</t>
  </si>
  <si>
    <t>Enter the registry ID number in row 1470 of the table for production class 2a.</t>
  </si>
  <si>
    <t>Enter the registry ID number in row 1471 of the table for production class 2a.</t>
  </si>
  <si>
    <t>Enter the registry ID number in row 1472 of the table for production class 2a.</t>
  </si>
  <si>
    <t>Enter the registry ID number in row 1473 of the table for production class 2a.</t>
  </si>
  <si>
    <t>Enter the registry ID number in row 1474 of the table for production class 2a.</t>
  </si>
  <si>
    <t>Enter the registry ID number in row 1475 of the table for production class 2a.</t>
  </si>
  <si>
    <t>Enter the registry ID number in row 1476 of the table for production class 2a.</t>
  </si>
  <si>
    <t>Enter the registry ID number in row 1477 of the table for production class 2a.</t>
  </si>
  <si>
    <t>Enter the registry ID number in row 1478 of the table for production class 2a.</t>
  </si>
  <si>
    <t>Enter the registry ID number in row 1479 of the table for production class 2a.</t>
  </si>
  <si>
    <t>Enter the registry ID number in row 1480 of the table for production class 2a.</t>
  </si>
  <si>
    <t>Enter the registry ID number in row 1481 of the table for production class 2a.</t>
  </si>
  <si>
    <t>Enter the registry ID number in row 1482 of the table for production class 2a.</t>
  </si>
  <si>
    <t>Enter the registry ID number in row 1483 of the table for production class 2a.</t>
  </si>
  <si>
    <t>Enter the registry ID number in row 1484 of the table for production class 2a.</t>
  </si>
  <si>
    <t>Enter the registry ID number in row 1485 of the table for production class 2a.</t>
  </si>
  <si>
    <t>Enter the registry ID number in row 1486 of the table for production class 2a.</t>
  </si>
  <si>
    <t>Enter the registry ID number in row 1487 of the table for production class 2a.</t>
  </si>
  <si>
    <t>Enter the registry ID number in row 1488 of the table for production class 2a.</t>
  </si>
  <si>
    <t>Enter the registry ID number in row 1489 of the table for production class 2a.</t>
  </si>
  <si>
    <t>Enter the registry ID number in row 1490 of the table for production class 2a.</t>
  </si>
  <si>
    <t>Enter the registry ID number in row 1491 of the table for production class 2a.</t>
  </si>
  <si>
    <t>Enter the registry ID number in row 1492 of the table for production class 2a.</t>
  </si>
  <si>
    <t>Enter the registry ID number in row 1493 of the table for production class 2a.</t>
  </si>
  <si>
    <t>Enter the registry ID number in row 1494 of the table for production class 2a.</t>
  </si>
  <si>
    <t>Enter the registry ID number in row 1495 of the table for production class 2a.</t>
  </si>
  <si>
    <t>Enter the registry ID number in row 1496 of the table for production class 2a.</t>
  </si>
  <si>
    <t>Enter the registry ID number in row 1497 of the table for production class 2a.</t>
  </si>
  <si>
    <t>Enter the registry ID number in row 1498 of the table for production class 2a.</t>
  </si>
  <si>
    <t>Enter the registry ID number in row 1499 of the table for production class 2a.</t>
  </si>
  <si>
    <t>Enter the registry ID number in row 1500 of the table for production class 2a.</t>
  </si>
  <si>
    <t>Enter the registry ID number in row 1501 of the table for production class 2a.</t>
  </si>
  <si>
    <t>Enter the registry ID number in row 1502 of the table for production class 2a.</t>
  </si>
  <si>
    <t>Enter the registry ID number in row 1503 of the table for production class 2a.</t>
  </si>
  <si>
    <t>Enter the registry ID number in row 1504 of the table for production class 2a.</t>
  </si>
  <si>
    <t>Enter the registry ID number in row 1505 of the table for production class 2a.</t>
  </si>
  <si>
    <t>Enter the registry ID number in row 1506 of the table for production class 2a.</t>
  </si>
  <si>
    <t>Enter the registry ID number in row 1507 of the table for production class 2a.</t>
  </si>
  <si>
    <t>Enter the registry ID number in row 1508 of the table for production class 2a.</t>
  </si>
  <si>
    <t>Enter the registry ID number in row 1509 of the table for production class 2a.</t>
  </si>
  <si>
    <t>Enter the registry ID number in row 1510 of the table for production class 2a.</t>
  </si>
  <si>
    <t>Enter the registry ID number in row 1511 of the table for production class 2a.</t>
  </si>
  <si>
    <t>Enter the registry ID number in row 1512 of the table for production class 2a.</t>
  </si>
  <si>
    <t>Enter the registry ID number in row 1513 of the table for production class 2a.</t>
  </si>
  <si>
    <t>Enter the registry ID number in row 1514 of the table for production class 2a.</t>
  </si>
  <si>
    <t>Enter the registry ID number in row 1515 of the table for production class 2a.</t>
  </si>
  <si>
    <t>Enter the registry ID number in row 1516 of the table for production class 2a.</t>
  </si>
  <si>
    <t>Enter the registry ID number in row 1517 of the table for production class 2a.</t>
  </si>
  <si>
    <t>Enter the registry ID number in row 1518 of the table for production class 2a.</t>
  </si>
  <si>
    <t>Enter the registry ID number in row 1519 of the table for production class 2a.</t>
  </si>
  <si>
    <t>Enter the registry ID number in row 1520 of the table for production class 2a.</t>
  </si>
  <si>
    <t>Enter the registry ID number in row 1521 of the table for production class 2a.</t>
  </si>
  <si>
    <t>Enter the registry ID number in row 1522 of the table for production class 2a.</t>
  </si>
  <si>
    <t>Enter the registry ID number in row 1523 of the table for production class 2a.</t>
  </si>
  <si>
    <t>Enter the registry ID number in row 1524 of the table for production class 2a.</t>
  </si>
  <si>
    <t>Enter the registry ID number in row 1525 of the table for production class 2a.</t>
  </si>
  <si>
    <t>Enter the registry ID number in row 1526 of the table for production class 2a.</t>
  </si>
  <si>
    <t>Enter the registry ID number in row 1527 of the table for production class 2a.</t>
  </si>
  <si>
    <t>Enter the registry ID number in row 1528 of the table for production class 2a.</t>
  </si>
  <si>
    <t>Enter the registry ID number in row 1529 of the table for production class 2a.</t>
  </si>
  <si>
    <t>Enter the registry ID number in row 1530 of the table for production class 2a.</t>
  </si>
  <si>
    <t>Enter the registry ID number in row 1531 of the table for production class 2a.</t>
  </si>
  <si>
    <t>Enter the registry ID number in row 1532 of the table for production class 2a.</t>
  </si>
  <si>
    <t>Enter the registry ID number in row 1533 of the table for production class 2a.</t>
  </si>
  <si>
    <t>Enter the registry ID number in row 1534 of the table for production class 2a.</t>
  </si>
  <si>
    <t>Enter the registry ID number in row 1535 of the table for production class 2a.</t>
  </si>
  <si>
    <t>Enter the registry ID number in row 1536 of the table for production class 2a.</t>
  </si>
  <si>
    <t>Enter the registry ID number in row 1537 of the table for production class 2a.</t>
  </si>
  <si>
    <t>Enter the registry ID number in row 1538 of the table for production class 2a.</t>
  </si>
  <si>
    <t>Enter the registry ID number in row 1539 of the table for production class 2a.</t>
  </si>
  <si>
    <t>Enter the registry ID number in row 1540 of the table for production class 2a.</t>
  </si>
  <si>
    <t>Enter the registry ID number in row 1541 of the table for production class 2a.</t>
  </si>
  <si>
    <t>Enter the registry ID number in row 1542 of the table for production class 2a.</t>
  </si>
  <si>
    <t>Enter the registry ID number in row 1543 of the table for production class 2a.</t>
  </si>
  <si>
    <t>Enter the registry ID number in row 1544 of the table for production class 2a.</t>
  </si>
  <si>
    <t>Enter the registry ID number in row 1545 of the table for production class 2a.</t>
  </si>
  <si>
    <t>Enter the registry ID number in row 1546 of the table for production class 2a.</t>
  </si>
  <si>
    <t>Enter the registry ID number in row 1547 of the table for production class 2a.</t>
  </si>
  <si>
    <t>Enter the registry ID number in row 1548 of the table for production class 2a.</t>
  </si>
  <si>
    <t>Enter the registry ID number in row 1549 of the table for production class 2a.</t>
  </si>
  <si>
    <t>Enter the registry ID number in row 1550 of the table for production class 2a.</t>
  </si>
  <si>
    <t>Enter the registry ID number in row 1551 of the table for production class 2a.</t>
  </si>
  <si>
    <t>Enter the registry ID number in row 1552 of the table for production class 2a.</t>
  </si>
  <si>
    <t>Enter the registry ID number in row 1553 of the table for production class 2a.</t>
  </si>
  <si>
    <t>Enter the registry ID number in row 1554 of the table for production class 2a.</t>
  </si>
  <si>
    <t>Enter the registry ID number in row 1555 of the table for production class 2a.</t>
  </si>
  <si>
    <t>Enter the registry ID number in row 1556 of the table for production class 2a.</t>
  </si>
  <si>
    <t>Enter the registry ID number in row 1557 of the table for production class 2a.</t>
  </si>
  <si>
    <t>Enter the registry ID number in row 1558 of the table for production class 2a.</t>
  </si>
  <si>
    <t>Enter the registry ID number in row 1559 of the table for production class 2a.</t>
  </si>
  <si>
    <t>Enter the registry ID number in row 1560 of the table for production class 2a.</t>
  </si>
  <si>
    <t>Enter the registry ID number in row 1561 of the table for production class 2a.</t>
  </si>
  <si>
    <t>Enter the registry ID number in row 1562 of the table for production class 2a.</t>
  </si>
  <si>
    <t>Enter the registry ID number in row 1563 of the table for production class 2a.</t>
  </si>
  <si>
    <t>Enter the registry ID number in row 1564 of the table for production class 2a.</t>
  </si>
  <si>
    <t>Enter the registry ID number in row 1565 of the table for production class 2a.</t>
  </si>
  <si>
    <t>Enter the registry ID number in row 1566 of the table for production class 2a.</t>
  </si>
  <si>
    <t>Enter the registry ID number in row 1567 of the table for production class 2a.</t>
  </si>
  <si>
    <t>Enter the registry ID number in row 1568 of the table for production class 2a.</t>
  </si>
  <si>
    <t>Enter the registry ID number in row 1569 of the table for production class 2a.</t>
  </si>
  <si>
    <t>Enter the registry ID number in row 1570 of the table for production class 2a.</t>
  </si>
  <si>
    <t>Enter the registry ID number in row 1571 of the table for production class 2a.</t>
  </si>
  <si>
    <t>Enter the registry ID number in row 1572 of the table for production class 2a.</t>
  </si>
  <si>
    <t>Enter the registry ID number in row 1573 of the table for production class 2a.</t>
  </si>
  <si>
    <t>Enter the registry ID number in row 1574 of the table for production class 2a.</t>
  </si>
  <si>
    <t>Enter the registry ID number in row 1575 of the table for production class 2a.</t>
  </si>
  <si>
    <t>Enter the registry ID number in row 1576 of the table for production class 2a.</t>
  </si>
  <si>
    <t>Enter the registry ID number in row 1577 of the table for production class 2a.</t>
  </si>
  <si>
    <t>Enter the registry ID number in row 1578 of the table for production class 2a.</t>
  </si>
  <si>
    <t>Enter the registry ID number in row 1579 of the table for production class 2a.</t>
  </si>
  <si>
    <t>Enter the registry ID number in row 1580 of the table for production class 2a.</t>
  </si>
  <si>
    <t>Enter the registry ID number in row 1581 of the table for production class 2a.</t>
  </si>
  <si>
    <t>Enter the registry ID number in row 1582 of the table for production class 2a.</t>
  </si>
  <si>
    <t>Enter the registry ID number in row 1583 of the table for production class 2a.</t>
  </si>
  <si>
    <t>Enter the registry ID number in row 1584 of the table for production class 2a.</t>
  </si>
  <si>
    <t>Enter the registry ID number in row 1585 of the table for production class 2a.</t>
  </si>
  <si>
    <t>Enter the registry ID number in row 1586 of the table for production class 2a.</t>
  </si>
  <si>
    <t>Enter the registry ID number in row 1587 of the table for production class 2a.</t>
  </si>
  <si>
    <t>Enter the registry ID number in row 1588 of the table for production class 2a.</t>
  </si>
  <si>
    <t>Enter the registry ID number in row 1589 of the table for production class 2a.</t>
  </si>
  <si>
    <t>Enter the registry ID number in row 1590 of the table for production class 2a.</t>
  </si>
  <si>
    <t>Enter the registry ID number in row 1591 of the table for production class 2a.</t>
  </si>
  <si>
    <t>Enter the registry ID number in row 1592 of the table for production class 2a.</t>
  </si>
  <si>
    <t>Enter the registry ID number in row 1593 of the table for production class 2a.</t>
  </si>
  <si>
    <t>Enter the registry ID number in row 1594 of the table for production class 2a.</t>
  </si>
  <si>
    <t>Enter the registry ID number in row 1595 of the table for production class 2a.</t>
  </si>
  <si>
    <t>Enter the registry ID number in row 1596 of the table for production class 2a.</t>
  </si>
  <si>
    <t>Enter the registry ID number in row 1597 of the table for production class 2a.</t>
  </si>
  <si>
    <t>Enter the registry ID number in row 1598 of the table for production class 2a.</t>
  </si>
  <si>
    <t>Enter the registry ID number in row 1599 of the table for production class 2a.</t>
  </si>
  <si>
    <t>Enter the registry ID number in row 1600 of the table for production class 2a.</t>
  </si>
  <si>
    <t>Enter the registry ID number in row 1601 of the table for production class 2a.</t>
  </si>
  <si>
    <t>Enter the registry ID number in row 1602 of the table for production class 2a.</t>
  </si>
  <si>
    <t>Enter the registry ID number in row 1603 of the table for production class 2a.</t>
  </si>
  <si>
    <t>Enter the registry ID number in row 1604 of the table for production class 2a.</t>
  </si>
  <si>
    <t>Enter the registry ID number in row 1605 of the table for production class 2a.</t>
  </si>
  <si>
    <t>Enter the registry ID number in row 1606 of the table for production class 2a.</t>
  </si>
  <si>
    <t>Enter the registry ID number in row 1607 of the table for production class 2a.</t>
  </si>
  <si>
    <t>Enter the registry ID number in row 1608 of the table for production class 2a.</t>
  </si>
  <si>
    <t>Enter the registry ID number in row 1609 of the table for production class 2a.</t>
  </si>
  <si>
    <t>Enter the registry ID number in row 1610 of the table for production class 2a.</t>
  </si>
  <si>
    <t>Enter the registry ID number in row 1611 of the table for production class 2a.</t>
  </si>
  <si>
    <t>Enter the registry ID number in row 1612 of the table for production class 2a.</t>
  </si>
  <si>
    <t>Enter the registry ID number in row 1613 of the table for production class 2a.</t>
  </si>
  <si>
    <t>Enter the registry ID number in row 1614 of the table for production class 2a.</t>
  </si>
  <si>
    <t>Enter the registry ID number in row 1615 of the table for production class 2a.</t>
  </si>
  <si>
    <t>Enter the registry ID number in row 1616 of the table for production class 2a.</t>
  </si>
  <si>
    <t>Enter the registry ID number in row 1617 of the table for production class 2a.</t>
  </si>
  <si>
    <t>Enter the registry ID number in row 1618 of the table for production class 2a.</t>
  </si>
  <si>
    <t>Enter the registry ID number in row 1619 of the table for production class 2a.</t>
  </si>
  <si>
    <t>Enter the registry ID number in row 1620 of the table for production class 2a.</t>
  </si>
  <si>
    <t>Enter the registry ID number in row 1621 of the table for production class 2a.</t>
  </si>
  <si>
    <t>Enter the registry ID number in row 1622 of the table for production class 2a.</t>
  </si>
  <si>
    <t>Enter the registry ID number in row 1623 of the table for production class 2a.</t>
  </si>
  <si>
    <t>Enter the registry ID number in row 1624 of the table for production class 2a.</t>
  </si>
  <si>
    <t>Enter the registry ID number in row 1625 of the table for production class 2a.</t>
  </si>
  <si>
    <t>Enter the registry ID number in row 1626 of the table for production class 2a.</t>
  </si>
  <si>
    <t>Enter the registry ID number in row 1627 of the table for production class 2a.</t>
  </si>
  <si>
    <t>Enter the registry ID number in row 1628 of the table for production class 2a.</t>
  </si>
  <si>
    <t>Enter the registry ID number in row 1629 of the table for production class 2a.</t>
  </si>
  <si>
    <t>Enter the registry ID number in row 1630 of the table for production class 2a.</t>
  </si>
  <si>
    <t>Enter the registry ID number in row 1631 of the table for production class 2a.</t>
  </si>
  <si>
    <t>Enter the registry ID number in row 1632 of the table for production class 2a.</t>
  </si>
  <si>
    <t>Enter the registry ID number in row 1633 of the table for production class 2a.</t>
  </si>
  <si>
    <t>Enter the registry ID number in row 1634 of the table for production class 2a.</t>
  </si>
  <si>
    <t>Enter the registry ID number in row 1635 of the table for production class 2a.</t>
  </si>
  <si>
    <t>Enter the registry ID number in row 1636 of the table for production class 2a.</t>
  </si>
  <si>
    <t>Enter the registry ID number in row 1637 of the table for production class 2a.</t>
  </si>
  <si>
    <t>Enter the registry ID number in row 1638 of the table for production class 2a.</t>
  </si>
  <si>
    <t>Enter the registry ID number in row 1639 of the table for production class 2a.</t>
  </si>
  <si>
    <t>Enter the registry ID number in row 1640 of the table for production class 2a.</t>
  </si>
  <si>
    <t>Enter the registry ID number in row 1641 of the table for production class 2a.</t>
  </si>
  <si>
    <t>Enter the registry ID number in row 1642 of the table for production class 2a.</t>
  </si>
  <si>
    <t>Enter the registry ID number in row 1643 of the table for production class 2a.</t>
  </si>
  <si>
    <t>Enter the registry ID number in row 1644 of the table for production class 2a.</t>
  </si>
  <si>
    <t>Enter the registry ID number in row 1645 of the table for production class 2a.</t>
  </si>
  <si>
    <t>Enter the registry ID number in row 1646 of the table for production class 2a.</t>
  </si>
  <si>
    <t>Enter the registry ID number in row 1647 of the table for production class 2a.</t>
  </si>
  <si>
    <t>Enter the registry ID number in row 1648 of the table for production class 2a.</t>
  </si>
  <si>
    <t>Enter the registry ID number in row 1649 of the table for production class 2a.</t>
  </si>
  <si>
    <t>Enter the registry ID number in row 1650 of the table for production class 2a.</t>
  </si>
  <si>
    <t>Enter the registry ID number in row 1651 of the table for production class 2a.</t>
  </si>
  <si>
    <t>Enter the registry ID number in row 1652 of the table for production class 2a.</t>
  </si>
  <si>
    <t>Enter the registry ID number in row 1653 of the table for production class 2a.</t>
  </si>
  <si>
    <t>Enter the registry ID number in row 1654 of the table for production class 2a.</t>
  </si>
  <si>
    <t>Enter the registry ID number in row 1655 of the table for production class 2a.</t>
  </si>
  <si>
    <t>Enter the registry ID number in row 1656 of the table for production class 2a.</t>
  </si>
  <si>
    <t>Enter the registry ID number in row 1657 of the table for production class 2a.</t>
  </si>
  <si>
    <t>Enter the registry ID number in row 1658 of the table for production class 2a.</t>
  </si>
  <si>
    <t>Enter the registry ID number in row 1659 of the table for production class 2a.</t>
  </si>
  <si>
    <t>Enter the registry ID number in row 1660 of the table for production class 2a.</t>
  </si>
  <si>
    <t>Enter the registry ID number in row 1661 of the table for production class 2a.</t>
  </si>
  <si>
    <t>Enter the registry ID number in row 1662 of the table for production class 2a.</t>
  </si>
  <si>
    <t>Enter the registry ID number in row 1663 of the table for production class 2a.</t>
  </si>
  <si>
    <t>Enter the registry ID number in row 1664 of the table for production class 2a.</t>
  </si>
  <si>
    <t>Enter the registry ID number in row 1665 of the table for production class 2a.</t>
  </si>
  <si>
    <t>Enter the registry ID number in row 1666 of the table for production class 2a.</t>
  </si>
  <si>
    <t>Enter the registry ID number in row 1667 of the table for production class 2a.</t>
  </si>
  <si>
    <t>Enter the registry ID number in row 1668 of the table for production class 2a.</t>
  </si>
  <si>
    <t>Enter the registry ID number in row 1669 of the table for production class 2a.</t>
  </si>
  <si>
    <t>Enter the registry ID number in row 1670 of the table for production class 2a.</t>
  </si>
  <si>
    <t>Enter the registry ID number in row 1671 of the table for production class 2a.</t>
  </si>
  <si>
    <t>Enter the registry ID number in row 1672 of the table for production class 2a.</t>
  </si>
  <si>
    <t>Enter the registry ID number in row 1673 of the table for production class 2a.</t>
  </si>
  <si>
    <t>Enter the registry ID number in row 1674 of the table for production class 2a.</t>
  </si>
  <si>
    <t>Enter the registry ID number in row 1675 of the table for production class 2a.</t>
  </si>
  <si>
    <t>Enter the registry ID number in row 1676 of the table for production class 2a.</t>
  </si>
  <si>
    <t>Enter the registry ID number in row 1677 of the table for production class 2a.</t>
  </si>
  <si>
    <t>Enter the registry ID number in row 1678 of the table for production class 2a.</t>
  </si>
  <si>
    <t>Enter the registry ID number in row 1679 of the table for production class 2a.</t>
  </si>
  <si>
    <t>Enter the registry ID number in row 1680 of the table for production class 2a.</t>
  </si>
  <si>
    <t>Enter the registry ID number in row 1681 of the table for production class 2a.</t>
  </si>
  <si>
    <t>Enter the registry ID number in row 1682 of the table for production class 2a.</t>
  </si>
  <si>
    <t>Enter the registry ID number in row 1683 of the table for production class 2a.</t>
  </si>
  <si>
    <t>Enter the registry ID number in row 1684 of the table for production class 2a.</t>
  </si>
  <si>
    <t>Enter the registry ID number in row 1685 of the table for production class 2a.</t>
  </si>
  <si>
    <t>Enter the registry ID number in row 1686 of the table for production class 2a.</t>
  </si>
  <si>
    <t>Enter the registry ID number in row 1687 of the table for production class 2a.</t>
  </si>
  <si>
    <t>Enter the registry ID number in row 1688 of the table for production class 2a.</t>
  </si>
  <si>
    <t>Enter the registry ID number in row 1689 of the table for production class 2a.</t>
  </si>
  <si>
    <t>Enter the registry ID number in row 1690 of the table for production class 2a.</t>
  </si>
  <si>
    <t>Enter the registry ID number in row 1691 of the table for production class 2a.</t>
  </si>
  <si>
    <t>Enter the registry ID number in row 1692 of the table for production class 2a.</t>
  </si>
  <si>
    <t>Enter the registry ID number in row 1693 of the table for production class 2a.</t>
  </si>
  <si>
    <t>Enter the registry ID number in row 1694 of the table for production class 2a.</t>
  </si>
  <si>
    <t>Enter the registry ID number in row 1695 of the table for production class 2a.</t>
  </si>
  <si>
    <t>Enter the registry ID number in row 1696 of the table for production class 2a.</t>
  </si>
  <si>
    <t>Enter the registry ID number in row 1697 of the table for production class 2a.</t>
  </si>
  <si>
    <t>Enter the registry ID number in row 1698 of the table for production class 2a.</t>
  </si>
  <si>
    <t>Enter the registry ID number in row 1699 of the table for production class 2a.</t>
  </si>
  <si>
    <t>Enter the registry ID number in row 1700 of the table for production class 2a.</t>
  </si>
  <si>
    <t>Enter the registry ID number in row 1701 of the table for production class 2a.</t>
  </si>
  <si>
    <t>Enter the registry ID number in row 1702 of the table for production class 2a.</t>
  </si>
  <si>
    <t>Enter the registry ID number in row 1703 of the table for production class 2a.</t>
  </si>
  <si>
    <t>Enter the registry ID number in row 1704 of the table for production class 2a.</t>
  </si>
  <si>
    <t>Enter the registry ID number in row 1705 of the table for production class 2a.</t>
  </si>
  <si>
    <t>Enter the registry ID number in row 1706 of the table for production class 2a.</t>
  </si>
  <si>
    <t>Enter the registry ID number in row 1707 of the table for production class 2a.</t>
  </si>
  <si>
    <t>Enter the registry ID number in row 1708 of the table for production class 2a.</t>
  </si>
  <si>
    <t>Enter the registry ID number in row 1709 of the table for production class 2a.</t>
  </si>
  <si>
    <t>Enter the registry ID number in row 1710 of the table for production class 2a.</t>
  </si>
  <si>
    <t>Enter the registry ID number in row 1711 of the table for production class 2a.</t>
  </si>
  <si>
    <t>Enter the registry ID number in row 1712 of the table for production class 2a.</t>
  </si>
  <si>
    <t>Enter the registry ID number in row 1713 of the table for production class 2a.</t>
  </si>
  <si>
    <t>Enter the registry ID number in row 1714 of the table for production class 2a.</t>
  </si>
  <si>
    <t>Enter the registry ID number in row 1715 of the table for production class 2a.</t>
  </si>
  <si>
    <t>Enter the registry ID number in row 1716 of the table for production class 2a.</t>
  </si>
  <si>
    <t>Enter the registry ID number in row 1717 of the table for production class 2a.</t>
  </si>
  <si>
    <t>Enter the registry ID number in row 1718 of the table for production class 2a.</t>
  </si>
  <si>
    <t>Enter the registry ID number in row 1719 of the table for production class 2a.</t>
  </si>
  <si>
    <t>Enter the registry ID number in row 1720 of the table for production class 2a.</t>
  </si>
  <si>
    <t>Enter the registry ID number in row 1721 of the table for production class 2a.</t>
  </si>
  <si>
    <t>Enter the registry ID number in row 1722 of the table for production class 2a.</t>
  </si>
  <si>
    <t>Enter the registry ID number in row 1723 of the table for production class 2a.</t>
  </si>
  <si>
    <t>Enter the registry ID number in row 1724 of the table for production class 2a.</t>
  </si>
  <si>
    <t>Enter the registry ID number in row 1725 of the table for production class 2a.</t>
  </si>
  <si>
    <t>Enter the registry ID number in row 1726 of the table for production class 2a.</t>
  </si>
  <si>
    <t>Enter the registry ID number in row 1727 of the table for production class 2a.</t>
  </si>
  <si>
    <t>Enter the registry ID number in row 1728 of the table for production class 2a.</t>
  </si>
  <si>
    <t>Enter the registry ID number in row 1729 of the table for production class 2a.</t>
  </si>
  <si>
    <t>Enter the registry ID number in row 1730 of the table for production class 2a.</t>
  </si>
  <si>
    <t>Enter the registry ID number in row 1731 of the table for production class 2a.</t>
  </si>
  <si>
    <t>Enter the registry ID number in row 1732 of the table for production class 2a.</t>
  </si>
  <si>
    <t>Enter the registry ID number in row 1733 of the table for production class 2a.</t>
  </si>
  <si>
    <t>Enter the registry ID number in row 1734 of the table for production class 2a.</t>
  </si>
  <si>
    <t>Enter the registry ID number in row 1735 of the table for production class 2a.</t>
  </si>
  <si>
    <t>Enter the registry ID number in row 1736 of the table for production class 2a.</t>
  </si>
  <si>
    <t>Enter the registry ID number in row 1737 of the table for production class 2a.</t>
  </si>
  <si>
    <t>Enter the registry ID number in row 1738 of the table for production class 2a.</t>
  </si>
  <si>
    <t>Enter the registry ID number in row 1739 of the table for production class 2a.</t>
  </si>
  <si>
    <t>Enter the registry ID number in row 1740 of the table for production class 2a.</t>
  </si>
  <si>
    <t>Enter the registry ID number in row 1741 of the table for production class 2a.</t>
  </si>
  <si>
    <t>Enter the registry ID number in row 1742 of the table for production class 2a.</t>
  </si>
  <si>
    <t>Enter the registry ID number in row 1743 of the table for production class 2a.</t>
  </si>
  <si>
    <t>Enter the registry ID number in row 1744 of the table for production class 2a.</t>
  </si>
  <si>
    <t>Enter the registry ID number in row 1745 of the table for production class 2a.</t>
  </si>
  <si>
    <t>Enter the registry ID number in row 1746 of the table for production class 2a.</t>
  </si>
  <si>
    <t>Enter the registry ID number in row 1747 of the table for production class 2a.</t>
  </si>
  <si>
    <t>Enter the registry ID number in row 1748 of the table for production class 2a.</t>
  </si>
  <si>
    <t>Enter the registry ID number in row 1749 of the table for production class 2a.</t>
  </si>
  <si>
    <t>Enter the registry ID number in row 1750 of the table for production class 2a.</t>
  </si>
  <si>
    <t>Enter the registry ID number in row 1751 of the table for production class 2a.</t>
  </si>
  <si>
    <t>Enter the registry ID number in row 1752 of the table for production class 2a.</t>
  </si>
  <si>
    <t>Enter the registry ID number in row 1753 of the table for production class 2a.</t>
  </si>
  <si>
    <t>Enter the registry ID number in row 1754 of the table for production class 2a.</t>
  </si>
  <si>
    <t>Enter the registry ID number in row 1755 of the table for production class 2a.</t>
  </si>
  <si>
    <t>Enter the registry ID number in row 1756 of the table for production class 2a.</t>
  </si>
  <si>
    <t>Enter the registry ID number in row 1757 of the table for production class 2a.</t>
  </si>
  <si>
    <t>Enter the registry ID number in row 1758 of the table for production class 2a.</t>
  </si>
  <si>
    <t>Enter the registry ID number in row 1759 of the table for production class 2a.</t>
  </si>
  <si>
    <t>Enter the registry ID number in row 1760 of the table for production class 2a.</t>
  </si>
  <si>
    <t>Enter the registry ID number in row 1761 of the table for production class 2a.</t>
  </si>
  <si>
    <t>Enter the registry ID number in row 1762 of the table for production class 2a.</t>
  </si>
  <si>
    <t>Enter the registry ID number in row 1763 of the table for production class 2a.</t>
  </si>
  <si>
    <t>Enter the registry ID number in row 1764 of the table for production class 2a.</t>
  </si>
  <si>
    <t>Enter the registry ID number in row 1765 of the table for production class 2a.</t>
  </si>
  <si>
    <t>Enter the registry ID number in row 1766 of the table for production class 2a.</t>
  </si>
  <si>
    <t>Enter the registry ID number in row 1767 of the table for production class 2a.</t>
  </si>
  <si>
    <t>Enter the registry ID number in row 1768 of the table for production class 2a.</t>
  </si>
  <si>
    <t>Enter the registry ID number in row 1769 of the table for production class 2a.</t>
  </si>
  <si>
    <t>Enter the registry ID number in row 1770 of the table for production class 2a.</t>
  </si>
  <si>
    <t>Enter the registry ID number in row 1771 of the table for production class 2a.</t>
  </si>
  <si>
    <t>Enter the registry ID number in row 1772 of the table for production class 2a.</t>
  </si>
  <si>
    <t>Enter the registry ID number in row 1773 of the table for production class 2a.</t>
  </si>
  <si>
    <t>Enter the registry ID number in row 1774 of the table for production class 2a.</t>
  </si>
  <si>
    <t>Enter the registry ID number in row 1775 of the table for production class 2a.</t>
  </si>
  <si>
    <t>Enter the registry ID number in row 1776 of the table for production class 2a.</t>
  </si>
  <si>
    <t>Enter the registry ID number in row 1777 of the table for production class 2a.</t>
  </si>
  <si>
    <t>Enter the registry ID number in row 1778 of the table for production class 2a.</t>
  </si>
  <si>
    <t>Enter the registry ID number in row 1779 of the table for production class 2a.</t>
  </si>
  <si>
    <t>Enter the registry ID number in row 1780 of the table for production class 2a.</t>
  </si>
  <si>
    <t>Enter the registry ID number in row 1781 of the table for production class 2a.</t>
  </si>
  <si>
    <t>Enter the registry ID number in row 1782 of the table for production class 2a.</t>
  </si>
  <si>
    <t>Enter the registry ID number in row 1783 of the table for production class 2a.</t>
  </si>
  <si>
    <t>Enter the registry ID number in row 1784 of the table for production class 2a.</t>
  </si>
  <si>
    <t>Enter the registry ID number in row 1785 of the table for production class 2a.</t>
  </si>
  <si>
    <t>Enter the registry ID number in row 1786 of the table for production class 2a.</t>
  </si>
  <si>
    <t>Enter the registry ID number in row 1787 of the table for production class 2a.</t>
  </si>
  <si>
    <t>Enter the registry ID number in row 1788 of the table for production class 2a.</t>
  </si>
  <si>
    <t>Enter the registry ID number in row 1789 of the table for production class 2a.</t>
  </si>
  <si>
    <t>Enter the registry ID number in row 1790 of the table for production class 2a.</t>
  </si>
  <si>
    <t>Enter the registry ID number in row 1791 of the table for production class 2a.</t>
  </si>
  <si>
    <t>Enter the registry ID number in row 1792 of the table for production class 2a.</t>
  </si>
  <si>
    <t>Enter the registry ID number in row 1793 of the table for production class 2a.</t>
  </si>
  <si>
    <t>Enter the registry ID number in row 1794 of the table for production class 2a.</t>
  </si>
  <si>
    <t>Enter the registry ID number in row 1795 of the table for production class 2a.</t>
  </si>
  <si>
    <t>Enter the registry ID number in row 1796 of the table for production class 2a.</t>
  </si>
  <si>
    <t>Enter the registry ID number in row 1797 of the table for production class 2a.</t>
  </si>
  <si>
    <t>Enter the registry ID number in row 1798 of the table for production class 2a.</t>
  </si>
  <si>
    <t>Enter the registry ID number in row 1799 of the table for production class 2a.</t>
  </si>
  <si>
    <t>Enter the registry ID number in row 1800 of the table for production class 2a.</t>
  </si>
  <si>
    <t>Enter the registry ID number in row 1801 of the table for production class 2a.</t>
  </si>
  <si>
    <t>Enter the registry ID number in row 1802 of the table for production class 2a.</t>
  </si>
  <si>
    <t>Enter the registry ID number in row 1803 of the table for production class 2a.</t>
  </si>
  <si>
    <t>Enter the registry ID number in row 1804 of the table for production class 2a.</t>
  </si>
  <si>
    <t>Enter the registry ID number in row 1805 of the table for production class 2a.</t>
  </si>
  <si>
    <t>Enter the registry ID number in row 1806 of the table for production class 2a.</t>
  </si>
  <si>
    <t>Enter the registry ID number in row 1807 of the table for production class 2a.</t>
  </si>
  <si>
    <t>Enter the registry ID number in row 1808 of the table for production class 2a.</t>
  </si>
  <si>
    <t>Enter the registry ID number in row 1809 of the table for production class 2a.</t>
  </si>
  <si>
    <t>Enter the registry ID number in row 1810 of the table for production class 2a.</t>
  </si>
  <si>
    <t>Enter the registry ID number in row 1811 of the table for production class 2a.</t>
  </si>
  <si>
    <t>Enter the registry ID number in row 1812 of the table for production class 2a.</t>
  </si>
  <si>
    <t>Enter the registry ID number in row 1813 of the table for production class 2a.</t>
  </si>
  <si>
    <t>Enter the registry ID number in row 1814 of the table for production class 2a.</t>
  </si>
  <si>
    <t>Enter the registry ID number in row 1815 of the table for production class 2a.</t>
  </si>
  <si>
    <t>Enter the registry ID number in row 1816 of the table for production class 2a.</t>
  </si>
  <si>
    <t>Enter the registry ID number in row 1817 of the table for production class 2a.</t>
  </si>
  <si>
    <t>Enter the registry ID number in row 1818 of the table for production class 2a.</t>
  </si>
  <si>
    <t>Enter the registry ID number in row 1819 of the table for production class 2a.</t>
  </si>
  <si>
    <t>Enter the registry ID number in row 1820 of the table for production class 2a.</t>
  </si>
  <si>
    <t>Enter the registry ID number in row 1821 of the table for production class 2a.</t>
  </si>
  <si>
    <t>Enter the registry ID number in row 1822 of the table for production class 2a.</t>
  </si>
  <si>
    <t>Enter the registry ID number in row 1823 of the table for production class 2a.</t>
  </si>
  <si>
    <t>Enter the registry ID number in row 1824 of the table for production class 2a.</t>
  </si>
  <si>
    <t>Enter the registry ID number in row 1825 of the table for production class 2a.</t>
  </si>
  <si>
    <t>Enter the registry ID number in row 1826 of the table for production class 2a.</t>
  </si>
  <si>
    <t>Enter the registry ID number in row 1827 of the table for production class 2a.</t>
  </si>
  <si>
    <t>Enter the registry ID number in row 1828 of the table for production class 2a.</t>
  </si>
  <si>
    <t>Enter the registry ID number in row 1829 of the table for production class 2a.</t>
  </si>
  <si>
    <t>Enter the registry ID number in row 1830 of the table for production class 2a.</t>
  </si>
  <si>
    <t>Enter the registry ID number in row 1831 of the table for production class 2a.</t>
  </si>
  <si>
    <t>Enter the registry ID number in row 1832 of the table for production class 2a.</t>
  </si>
  <si>
    <t>Enter the registry ID number in row 1833 of the table for production class 2a.</t>
  </si>
  <si>
    <t>Enter the registry ID number in row 1834 of the table for production class 2a.</t>
  </si>
  <si>
    <t>Enter the registry ID number in row 1835 of the table for production class 2a.</t>
  </si>
  <si>
    <t>Enter the registry ID number in row 1836 of the table for production class 2a.</t>
  </si>
  <si>
    <t>Enter the registry ID number in row 1837 of the table for production class 2a.</t>
  </si>
  <si>
    <t>Enter the registry ID number in row 1838 of the table for production class 2a.</t>
  </si>
  <si>
    <t>Enter the registry ID number in row 1839 of the table for production class 2a.</t>
  </si>
  <si>
    <t>Enter the registry ID number in row 1840 of the table for production class 2a.</t>
  </si>
  <si>
    <t>Enter the registry ID number in row 1841 of the table for production class 2a.</t>
  </si>
  <si>
    <t>Enter the registry ID number in row 1842 of the table for production class 2a.</t>
  </si>
  <si>
    <t>Enter the registry ID number in row 1843 of the table for production class 2a.</t>
  </si>
  <si>
    <t>Enter the registry ID number in row 1844 of the table for production class 2a.</t>
  </si>
  <si>
    <t>Enter the registry ID number in row 1845 of the table for production class 2a.</t>
  </si>
  <si>
    <t>Enter the registry ID number in row 1846 of the table for production class 2a.</t>
  </si>
  <si>
    <t>Enter the registry ID number in row 1847 of the table for production class 2a.</t>
  </si>
  <si>
    <t>Enter the registry ID number in row 1848 of the table for production class 2a.</t>
  </si>
  <si>
    <t>Enter the registry ID number in row 1849 of the table for production class 2a.</t>
  </si>
  <si>
    <t>Enter the registry ID number in row 1850 of the table for production class 2a.</t>
  </si>
  <si>
    <t>Enter the registry ID number in row 1851 of the table for production class 2a.</t>
  </si>
  <si>
    <t>Enter the registry ID number in row 1852 of the table for production class 2a.</t>
  </si>
  <si>
    <t>Enter the registry ID number in row 1853 of the table for production class 2a.</t>
  </si>
  <si>
    <t>Enter the registry ID number in row 1854 of the table for production class 2a.</t>
  </si>
  <si>
    <t>Enter the registry ID number in row 1855 of the table for production class 2a.</t>
  </si>
  <si>
    <t>Enter the registry ID number in row 1856 of the table for production class 2a.</t>
  </si>
  <si>
    <t>Enter the registry ID number in row 1857 of the table for production class 2a.</t>
  </si>
  <si>
    <t>Enter the registry ID number in row 1858 of the table for production class 2a.</t>
  </si>
  <si>
    <t>Enter the registry ID number in row 1859 of the table for production class 2a.</t>
  </si>
  <si>
    <t>Enter the registry ID number in row 1860 of the table for production class 2a.</t>
  </si>
  <si>
    <t>Enter the registry ID number in row 1861 of the table for production class 2a.</t>
  </si>
  <si>
    <t>Enter the registry ID number in row 1862 of the table for production class 2a.</t>
  </si>
  <si>
    <t>Enter the registry ID number in row 1863 of the table for production class 2a.</t>
  </si>
  <si>
    <t>Enter the registry ID number in row 1864 of the table for production class 2a.</t>
  </si>
  <si>
    <t>Enter the registry ID number in row 1865 of the table for production class 2a.</t>
  </si>
  <si>
    <t>Enter the registry ID number in row 1866 of the table for production class 2a.</t>
  </si>
  <si>
    <t>Enter the registry ID number in row 1867 of the table for production class 2a.</t>
  </si>
  <si>
    <t>Enter the registry ID number in row 1868 of the table for production class 2a.</t>
  </si>
  <si>
    <t>Enter the registry ID number in row 1869 of the table for production class 2a.</t>
  </si>
  <si>
    <t>Enter the registry ID number in row 1870 of the table for production class 2a.</t>
  </si>
  <si>
    <t>Enter the registry ID number in row 1871 of the table for production class 2a.</t>
  </si>
  <si>
    <t>Enter the registry ID number in row 1872 of the table for production class 2a.</t>
  </si>
  <si>
    <t>Enter the registry ID number in row 1873 of the table for production class 2a.</t>
  </si>
  <si>
    <t>Enter the registry ID number in row 1874 of the table for production class 2a.</t>
  </si>
  <si>
    <t>Enter the registry ID number in row 1875 of the table for production class 2a.</t>
  </si>
  <si>
    <t>Enter the registry ID number in row 1876 of the table for production class 2a.</t>
  </si>
  <si>
    <t>Enter the registry ID number in row 1877 of the table for production class 2a.</t>
  </si>
  <si>
    <t>Enter the registry ID number in row 1878 of the table for production class 2a.</t>
  </si>
  <si>
    <t>Enter the registry ID number in row 1879 of the table for production class 2a.</t>
  </si>
  <si>
    <t>Enter the registry ID number in row 1880 of the table for production class 2a.</t>
  </si>
  <si>
    <t>Enter the registry ID number in row 1881 of the table for production class 2a.</t>
  </si>
  <si>
    <t>Enter the registry ID number in row 1882 of the table for production class 2a.</t>
  </si>
  <si>
    <t>Enter the registry ID number in row 1883 of the table for production class 2a.</t>
  </si>
  <si>
    <t>Enter the registry ID number in row 1884 of the table for production class 2a.</t>
  </si>
  <si>
    <t>Enter the registry ID number in row 1885 of the table for production class 2a.</t>
  </si>
  <si>
    <t>Enter the registry ID number in row 1886 of the table for production class 2a.</t>
  </si>
  <si>
    <t>Enter the registry ID number in row 1887 of the table for production class 2a.</t>
  </si>
  <si>
    <t>Enter the registry ID number in row 1888 of the table for production class 2a.</t>
  </si>
  <si>
    <t>Enter the registry ID number in row 1889 of the table for production class 2a.</t>
  </si>
  <si>
    <t>Enter the registry ID number in row 1890 of the table for production class 2a.</t>
  </si>
  <si>
    <t>Enter the registry ID number in row 1891 of the table for production class 2a.</t>
  </si>
  <si>
    <t>Enter the registry ID number in row 1892 of the table for production class 2a.</t>
  </si>
  <si>
    <t>Enter the registry ID number in row 1893 of the table for production class 2a.</t>
  </si>
  <si>
    <t>Enter the registry ID number in row 1894 of the table for production class 2a.</t>
  </si>
  <si>
    <t>Enter the registry ID number in row 1895 of the table for production class 2a.</t>
  </si>
  <si>
    <t>Enter the registry ID number in row 1896 of the table for production class 2a.</t>
  </si>
  <si>
    <t>Enter the registry ID number in row 1897 of the table for production class 2a.</t>
  </si>
  <si>
    <t>Enter the registry ID number in row 1898 of the table for production class 2a.</t>
  </si>
  <si>
    <t>Enter the registry ID number in row 1899 of the table for production class 2a.</t>
  </si>
  <si>
    <t>Enter the registry ID number in row 1900 of the table for production class 2a.</t>
  </si>
  <si>
    <t>Enter the registry ID number in row 1901 of the table for production class 2a.</t>
  </si>
  <si>
    <t>Enter the registry ID number in row 1902 of the table for production class 2a.</t>
  </si>
  <si>
    <t>Enter the registry ID number in row 1903 of the table for production class 2a.</t>
  </si>
  <si>
    <t>Enter the registry ID number in row 1904 of the table for production class 2a.</t>
  </si>
  <si>
    <t>Enter the registry ID number in row 1905 of the table for production class 2a.</t>
  </si>
  <si>
    <t>Enter the registry ID number in row 1906 of the table for production class 2a.</t>
  </si>
  <si>
    <t>Enter the registry ID number in row 1907 of the table for production class 2a.</t>
  </si>
  <si>
    <t>Enter the registry ID number in row 1908 of the table for production class 2a.</t>
  </si>
  <si>
    <t>Enter the registry ID number in row 1909 of the table for production class 2a.</t>
  </si>
  <si>
    <t>Enter the registry ID number in row 1910 of the table for production class 2a.</t>
  </si>
  <si>
    <t>Enter the registry ID number in row 1911 of the table for production class 2a.</t>
  </si>
  <si>
    <t>Enter the registry ID number in row 1912 of the table for production class 2a.</t>
  </si>
  <si>
    <t>Enter the registry ID number in row 1913 of the table for production class 2a.</t>
  </si>
  <si>
    <t>Enter the registry ID number in row 1914 of the table for production class 2a.</t>
  </si>
  <si>
    <t>Enter the registry ID number in row 1915 of the table for production class 2a.</t>
  </si>
  <si>
    <t>Enter the registry ID number in row 1916 of the table for production class 2a.</t>
  </si>
  <si>
    <t>Enter the registry ID number in row 1917 of the table for production class 2a.</t>
  </si>
  <si>
    <t>Enter the registry ID number in row 1918 of the table for production class 2a.</t>
  </si>
  <si>
    <t>Enter the registry ID number in row 1919 of the table for production class 2a.</t>
  </si>
  <si>
    <t>Enter the registry ID number in row 1920 of the table for production class 2a.</t>
  </si>
  <si>
    <t>Enter the registry ID number in row 1921 of the table for production class 2a.</t>
  </si>
  <si>
    <t>Enter the registry ID number in row 1922 of the table for production class 2a.</t>
  </si>
  <si>
    <t>Enter the registry ID number in row 1923 of the table for production class 2a.</t>
  </si>
  <si>
    <t>Enter the registry ID number in row 1924 of the table for production class 2a.</t>
  </si>
  <si>
    <t>Enter the registry ID number in row 1925 of the table for production class 2a.</t>
  </si>
  <si>
    <t>Enter the registry ID number in row 1926 of the table for production class 2a.</t>
  </si>
  <si>
    <t>Enter the registry ID number in row 1927 of the table for production class 2a.</t>
  </si>
  <si>
    <t>Enter the registry ID number in row 1928 of the table for production class 2a.</t>
  </si>
  <si>
    <t>Enter the registry ID number in row 1929 of the table for production class 2a.</t>
  </si>
  <si>
    <t>Enter the registry ID number in row 1930 of the table for production class 2a.</t>
  </si>
  <si>
    <t>Enter the registry ID number in row 1931 of the table for production class 2a.</t>
  </si>
  <si>
    <t>Enter the registry ID number in row 1932 of the table for production class 2a.</t>
  </si>
  <si>
    <t>Enter the registry ID number in row 1933 of the table for production class 2a.</t>
  </si>
  <si>
    <t>Enter the registry ID number in row 1934 of the table for production class 2a.</t>
  </si>
  <si>
    <t>Enter the registry ID number in row 1935 of the table for production class 2a.</t>
  </si>
  <si>
    <t>Enter the registry ID number in row 1936 of the table for production class 2a.</t>
  </si>
  <si>
    <t>Enter the registry ID number in row 1937 of the table for production class 2a.</t>
  </si>
  <si>
    <t>Enter the registry ID number in row 1938 of the table for production class 2a.</t>
  </si>
  <si>
    <t>Enter the registry ID number in row 1939 of the table for production class 2a.</t>
  </si>
  <si>
    <t>Enter the registry ID number in row 1940 of the table for production class 2a.</t>
  </si>
  <si>
    <t>Enter the registry ID number in row 1941 of the table for production class 2a.</t>
  </si>
  <si>
    <t>Enter the registry ID number in row 1942 of the table for production class 2a.</t>
  </si>
  <si>
    <t>Enter the registry ID number in row 1943 of the table for production class 2a.</t>
  </si>
  <si>
    <t>Enter the registry ID number in row 1944 of the table for production class 2a.</t>
  </si>
  <si>
    <t>Enter the registry ID number in row 1945 of the table for production class 2a.</t>
  </si>
  <si>
    <t>Enter the registry ID number in row 1946 of the table for production class 2a.</t>
  </si>
  <si>
    <t>Enter the registry ID number in row 1947 of the table for production class 2a.</t>
  </si>
  <si>
    <t>Enter the registry ID number in row 1948 of the table for production class 2a.</t>
  </si>
  <si>
    <t>Enter the registry ID number in row 1949 of the table for production class 2a.</t>
  </si>
  <si>
    <t>Enter the registry ID number in row 1950 of the table for production class 2a.</t>
  </si>
  <si>
    <t>Enter the registry ID number in row 1951 of the table for production class 2a.</t>
  </si>
  <si>
    <t>Enter the registry ID number in row 1952 of the table for production class 2a.</t>
  </si>
  <si>
    <t>Enter the registry ID number in row 1953 of the table for production class 2a.</t>
  </si>
  <si>
    <t>Enter the registry ID number in row 1954 of the table for production class 2a.</t>
  </si>
  <si>
    <t>Enter the registry ID number in row 1955 of the table for production class 2a.</t>
  </si>
  <si>
    <t>Enter the registry ID number in row 1956 of the table for production class 2a.</t>
  </si>
  <si>
    <t>Enter the registry ID number in row 1957 of the table for production class 2a.</t>
  </si>
  <si>
    <t>Enter the registry ID number in row 1958 of the table for production class 2a.</t>
  </si>
  <si>
    <t>Enter the registry ID number in row 1959 of the table for production class 2a.</t>
  </si>
  <si>
    <t>Enter the registry ID number in row 1960 of the table for production class 2a.</t>
  </si>
  <si>
    <t>Enter the registry ID number in row 1961 of the table for production class 2a.</t>
  </si>
  <si>
    <t>Enter the registry ID number in row 1962 of the table for production class 2a.</t>
  </si>
  <si>
    <t>Enter the registry ID number in row 1963 of the table for production class 2a.</t>
  </si>
  <si>
    <t>Enter the registry ID number in row 1964 of the table for production class 2a.</t>
  </si>
  <si>
    <t>Enter the registry ID number in row 1965 of the table for production class 2a.</t>
  </si>
  <si>
    <t>Enter the registry ID number in row 1966 of the table for production class 2a.</t>
  </si>
  <si>
    <t>Enter the registry ID number in row 1967 of the table for production class 2a.</t>
  </si>
  <si>
    <t>Enter the registry ID number in row 1968 of the table for production class 2a.</t>
  </si>
  <si>
    <t>Enter the registry ID number in row 1969 of the table for production class 2a.</t>
  </si>
  <si>
    <t>Enter the registry ID number in row 1970 of the table for production class 2a.</t>
  </si>
  <si>
    <t>Enter the registry ID number in row 1971 of the table for production class 2a.</t>
  </si>
  <si>
    <t>Enter the registry ID number in row 1972 of the table for production class 2a.</t>
  </si>
  <si>
    <t>Enter the registry ID number in row 1973 of the table for production class 2a.</t>
  </si>
  <si>
    <t>Enter the registry ID number in row 1974 of the table for production class 2a.</t>
  </si>
  <si>
    <t>Enter the registry ID number in row 1975 of the table for production class 2a.</t>
  </si>
  <si>
    <t>Enter the registry ID number in row 1976 of the table for production class 2a.</t>
  </si>
  <si>
    <t>Enter the registry ID number in row 1977 of the table for production class 2a.</t>
  </si>
  <si>
    <t>Enter the registry ID number in row 1978 of the table for production class 2a.</t>
  </si>
  <si>
    <t>Enter the registry ID number in row 1979 of the table for production class 2a.</t>
  </si>
  <si>
    <t>Enter the registry ID number in row 1980 of the table for production class 2a.</t>
  </si>
  <si>
    <t>Enter the registry ID number in row 1981 of the table for production class 2a.</t>
  </si>
  <si>
    <t>Enter the registry ID number in row 1982 of the table for production class 2a.</t>
  </si>
  <si>
    <t>Enter the registry ID number in row 1983 of the table for production class 2a.</t>
  </si>
  <si>
    <t>Enter the registry ID number in row 1984 of the table for production class 2a.</t>
  </si>
  <si>
    <t>Enter the registry ID number in row 1985 of the table for production class 2a.</t>
  </si>
  <si>
    <t>Enter the registry ID number in row 1986 of the table for production class 2a.</t>
  </si>
  <si>
    <t>Enter the registry ID number in row 1987 of the table for production class 2a.</t>
  </si>
  <si>
    <t>Enter the registry ID number in row 1988 of the table for production class 2a.</t>
  </si>
  <si>
    <t>Enter the registry ID number in row 1989 of the table for production class 2a.</t>
  </si>
  <si>
    <t>Enter the registry ID number in row 1990 of the table for production class 2a.</t>
  </si>
  <si>
    <t>Enter the registry ID number in row 1991 of the table for production class 2a.</t>
  </si>
  <si>
    <t>Enter the registry ID number in row 1992 of the table for production class 2a.</t>
  </si>
  <si>
    <t>Enter the registry ID number in row 1993 of the table for production class 2a.</t>
  </si>
  <si>
    <t>Enter the registry ID number in row 1994 of the table for production class 2a.</t>
  </si>
  <si>
    <t>Enter the registry ID number in row 1995 of the table for production class 2a.</t>
  </si>
  <si>
    <t>Enter the registry ID number in row 1996 of the table for production class 2a.</t>
  </si>
  <si>
    <t>Enter the registry ID number in row 1997 of the table for production class 2a.</t>
  </si>
  <si>
    <t>Enter the registry ID number in row 1998 of the table for production class 2a.</t>
  </si>
  <si>
    <t>Enter the registry ID number in row 1999 of the table for production class 2a.</t>
  </si>
  <si>
    <t>Enter the registry ID number in row 2000 of the table for production class 2a.</t>
  </si>
  <si>
    <t>Enter the registry ID number in row 2001 of the table for production class 2a.</t>
  </si>
  <si>
    <t>Enter the registry ID number in row 2002 of the table for production class 2a.</t>
  </si>
  <si>
    <t>Enter the registry ID number in row 2003 of the table for production class 2a.</t>
  </si>
  <si>
    <t>Enter the registry ID number in row 2004 of the table for production class 2a.</t>
  </si>
  <si>
    <t>Enter the registry ID number in row 2005 of the table for production class 2a.</t>
  </si>
  <si>
    <t>Enter the registry ID number in row 2006 of the table for production class 2a.</t>
  </si>
  <si>
    <t>Enter the registry ID number in row 2007 of the table for production class 2a.</t>
  </si>
  <si>
    <t>Enter the registry ID number in row 2008 of the table for production class 2a.</t>
  </si>
  <si>
    <t>Enter the registry ID number in row 2009 of the table for production class 2a.</t>
  </si>
  <si>
    <t>Enter the registry ID number in row 2010 of the table for production class 2a.</t>
  </si>
  <si>
    <t>Enter the registry ID number in row 2011 of the table for production class 2a.</t>
  </si>
  <si>
    <t>Enter the registry ID number in row 2012 of the table for production class 2a.</t>
  </si>
  <si>
    <t>Enter the registry ID number in row 2013 of the table for production class 2a.</t>
  </si>
  <si>
    <t>Enter the registry ID number in row 2014 of the table for production class 2a.</t>
  </si>
  <si>
    <t>Enter the registry ID number in row 2015 of the table for production class 2a.</t>
  </si>
  <si>
    <t>Enter the registry ID number in row 2016 of the table for production class 2a.</t>
  </si>
  <si>
    <t>Enter the registry ID number in row 2017 of the table for production class 2a.</t>
  </si>
  <si>
    <t>Enter the registry ID number in row 2018 of the table for production class 2a.</t>
  </si>
  <si>
    <t>Enter the registry ID number in row 2019 of the table for production class 2a.</t>
  </si>
  <si>
    <t>Enter the registry ID number in row 2020 of the table for production class 2a.</t>
  </si>
  <si>
    <t>Enter the registry ID number in row 2021 of the table for production class 2a.</t>
  </si>
  <si>
    <t>Enter the registry ID number in row 2022 of the table for production class 2a.</t>
  </si>
  <si>
    <t>Enter the registry ID number in row 2023 of the table for production class 2a.</t>
  </si>
  <si>
    <t>Enter the registry ID number in row 2024 of the table for production class 2a.</t>
  </si>
  <si>
    <t>Enter the registry ID number in row 2025 of the table for production class 2a.</t>
  </si>
  <si>
    <t>Enter the registry ID number in row 2026 of the table for production class 2a.</t>
  </si>
  <si>
    <t>Enter the registry ID number in row 2027 of the table for production class 2a.</t>
  </si>
  <si>
    <t>Enter the registry ID number in row 2028 of the table for production class 2a.</t>
  </si>
  <si>
    <t>Enter the registry ID number in row 2029 of the table for production class 2a.</t>
  </si>
  <si>
    <t>Enter the registry ID number in row 2030 of the table for production class 2a.</t>
  </si>
  <si>
    <t>Enter the registry ID number in row 2031 of the table for production class 2a.</t>
  </si>
  <si>
    <t>Enter the registry ID number in row 2032 of the table for production class 2a.</t>
  </si>
  <si>
    <t>Enter the registry ID number in row 2033 of the table for production class 2a.</t>
  </si>
  <si>
    <t>Enter the registry ID number in row 2034 of the table for production class 2a.</t>
  </si>
  <si>
    <t>Enter the registry ID number in row 2035 of the table for production class 2a.</t>
  </si>
  <si>
    <t>Enter the registry ID number in row 2036 of the table for production class 2a.</t>
  </si>
  <si>
    <t>Enter the registry ID number in row 2037 of the table for production class 2a.</t>
  </si>
  <si>
    <t>Enter the registry ID number in row 2038 of the table for production class 2a.</t>
  </si>
  <si>
    <t>Enter the registry ID number in row 2039 of the table for production class 2a.</t>
  </si>
  <si>
    <t>Enter the registry ID number in row 2040 of the table for production class 2a.</t>
  </si>
  <si>
    <t>Enter the registry ID number in row 2041 of the table for production class 2a.</t>
  </si>
  <si>
    <t>Enter the registry ID number in row 2042 of the table for production class 2a.</t>
  </si>
  <si>
    <t>Enter the registry ID number in row 2043 of the table for production class 2a.</t>
  </si>
  <si>
    <t>Enter the registry ID number in row 2044 of the table for production class 2a.</t>
  </si>
  <si>
    <t>Enter the registry ID number in row 2045 of the table for production class 2a.</t>
  </si>
  <si>
    <t>Enter the registry ID number in row 2046 of the table for production class 2a.</t>
  </si>
  <si>
    <t>Enter the registry ID number in row 2047 of the table for production class 2a.</t>
  </si>
  <si>
    <t>Enter the registry ID number in row 2048 of the table for production class 2a.</t>
  </si>
  <si>
    <t>Enter the registry ID number in row 2049 of the table for production class 2a.</t>
  </si>
  <si>
    <t>Enter the registry ID number in row 2050 of the table for production class 2a.</t>
  </si>
  <si>
    <t>Enter the registry ID number in row 2051 of the table for production class 2a.</t>
  </si>
  <si>
    <t>Enter the registry ID number in row 2052 of the table for production class 2a.</t>
  </si>
  <si>
    <t>Enter the registry ID number in row 2053 of the table for production class 2a.</t>
  </si>
  <si>
    <t>Enter the registry ID number in row 2054 of the table for production class 2a.</t>
  </si>
  <si>
    <t>Enter the registry ID number in row 2055 of the table for production class 2a.</t>
  </si>
  <si>
    <t>Enter the registry ID number in row 2056 of the table for production class 2a.</t>
  </si>
  <si>
    <t>Enter the registry ID number in row 2057 of the table for production class 2a.</t>
  </si>
  <si>
    <t>Enter the registry ID number in row 2058 of the table for production class 2a.</t>
  </si>
  <si>
    <t>Enter the registry ID number in row 2059 of the table for production class 2a.</t>
  </si>
  <si>
    <t>Enter the registry ID number in row 2060 of the table for production class 2a.</t>
  </si>
  <si>
    <t>Enter the registry ID number in row 2061 of the table for production class 2a.</t>
  </si>
  <si>
    <t>Enter the registry ID number in row 2062 of the table for production class 2a.</t>
  </si>
  <si>
    <t>Enter the registry ID number in row 2063 of the table for production class 2a.</t>
  </si>
  <si>
    <t>Enter the registry ID number in row 2064 of the table for production class 2a.</t>
  </si>
  <si>
    <t>Enter the registry ID number in row 2065 of the table for production class 2a.</t>
  </si>
  <si>
    <t>Enter the registry ID number in row 2066 of the table for production class 2a.</t>
  </si>
  <si>
    <t>Enter the registry ID number in row 2067 of the table for production class 2a.</t>
  </si>
  <si>
    <t>Enter the registry ID number in row 2068 of the table for production class 2a.</t>
  </si>
  <si>
    <t>Enter the registry ID number in row 2069 of the table for production class 2a.</t>
  </si>
  <si>
    <t>Enter the registry ID number in row 2070 of the table for production class 2a.</t>
  </si>
  <si>
    <t>Enter the registry ID number in row 2071 of the table for production class 2a.</t>
  </si>
  <si>
    <t>Enter the registry ID number in row 2072 of the table for production class 2a.</t>
  </si>
  <si>
    <t>Enter the registry ID number in row 2073 of the table for production class 2a.</t>
  </si>
  <si>
    <t>Enter the registry ID number in row 2074 of the table for production class 2a.</t>
  </si>
  <si>
    <t>Enter the registry ID number in row 2075 of the table for production class 2a.</t>
  </si>
  <si>
    <t>Enter the registry ID number in row 2076 of the table for production class 2a.</t>
  </si>
  <si>
    <t>Enter the registry ID number in row 2077 of the table for production class 2a.</t>
  </si>
  <si>
    <t>Enter the registry ID number in row 2078 of the table for production class 2a.</t>
  </si>
  <si>
    <t>Enter the registry ID number in row 2079 of the table for production class 2a.</t>
  </si>
  <si>
    <t>Enter the registry ID number in row 2080 of the table for production class 2a.</t>
  </si>
  <si>
    <t>Enter the registry ID number in row 2081 of the table for production class 2a.</t>
  </si>
  <si>
    <t>Enter the registry ID number in row 2082 of the table for production class 2a.</t>
  </si>
  <si>
    <t>Enter the registry ID number in row 2083 of the table for production class 2a.</t>
  </si>
  <si>
    <t>Enter the registry ID number in row 2084 of the table for production class 2a.</t>
  </si>
  <si>
    <t>Enter the registry ID number in row 2085 of the table for production class 2a.</t>
  </si>
  <si>
    <t>Enter the registry ID number in row 2086 of the table for production class 2a.</t>
  </si>
  <si>
    <t>Enter the registry ID number in row 2087 of the table for production class 2a.</t>
  </si>
  <si>
    <t>Enter the registry ID number in row 2088 of the table for production class 2a.</t>
  </si>
  <si>
    <t>Enter the registry ID number in row 2089 of the table for production class 2a.</t>
  </si>
  <si>
    <t>Enter the registry ID number in row 2090 of the table for production class 2a.</t>
  </si>
  <si>
    <t>Enter the registry ID number in row 2091 of the table for production class 2a.</t>
  </si>
  <si>
    <t>Enter the registry ID number in row 2092 of the table for production class 2a.</t>
  </si>
  <si>
    <t>Enter the registry ID number in row 2093 of the table for production class 2a.</t>
  </si>
  <si>
    <t>Enter the registry ID number in row 2094 of the table for production class 2a.</t>
  </si>
  <si>
    <t>Enter the registry ID number in row 2095 of the table for production class 2a.</t>
  </si>
  <si>
    <t>Enter the registry ID number in row 2096 of the table for production class 2a.</t>
  </si>
  <si>
    <t>Enter the registry ID number in row 2097 of the table for production class 2a.</t>
  </si>
  <si>
    <t>Enter the registry ID number in row 2098 of the table for production class 2a.</t>
  </si>
  <si>
    <t>Enter the registry ID number in row 2099 of the table for production class 2a.</t>
  </si>
  <si>
    <t>Enter the registry ID number in row 2100 of the table for production class 2a.</t>
  </si>
  <si>
    <t>Enter the registry ID number in row 2101 of the table for production class 2a.</t>
  </si>
  <si>
    <t>Enter the registry ID number in row 2102 of the table for production class 2a.</t>
  </si>
  <si>
    <t>Enter the registry ID number in row 2103 of the table for production class 2a.</t>
  </si>
  <si>
    <t>Enter the registry ID number in row 2104 of the table for production class 2a.</t>
  </si>
  <si>
    <t>Enter the registry ID number in row 2105 of the table for production class 2a.</t>
  </si>
  <si>
    <t>Enter the registry ID number in row 2106 of the table for production class 2a.</t>
  </si>
  <si>
    <t>Enter the registry ID number in row 2107 of the table for production class 2a.</t>
  </si>
  <si>
    <t>Enter the registry ID number in row 2108 of the table for production class 2a.</t>
  </si>
  <si>
    <t>Enter the registry ID number in row 2109 of the table for production class 2a.</t>
  </si>
  <si>
    <t>Enter the registry ID number in row 2110 of the table for production class 2a.</t>
  </si>
  <si>
    <t>Enter the registry ID number in row 2111 of the table for production class 2a.</t>
  </si>
  <si>
    <t>Enter the registry ID number in row 2112 of the table for production class 2a.</t>
  </si>
  <si>
    <t>Enter the registry ID number in row 2113 of the table for production class 2a.</t>
  </si>
  <si>
    <t>Enter the registry ID number in row 2114 of the table for production class 2a.</t>
  </si>
  <si>
    <t>Enter the registry ID number in row 2115 of the table for production class 2a.</t>
  </si>
  <si>
    <t>Enter the registry ID number in row 2116 of the table for production class 2a.</t>
  </si>
  <si>
    <t>Enter the registry ID number in row 2117 of the table for production class 2a.</t>
  </si>
  <si>
    <t>Enter the registry ID number in row 2118 of the table for production class 2a.</t>
  </si>
  <si>
    <t>Enter the registry ID number in row 2119 of the table for production class 2a.</t>
  </si>
  <si>
    <t>Enter the registry ID number in row 2120 of the table for production class 2a.</t>
  </si>
  <si>
    <t>Enter the registry ID number in row 2121 of the table for production class 2a.</t>
  </si>
  <si>
    <t>Enter the registry ID number in row 2122 of the table for production class 2a.</t>
  </si>
  <si>
    <t>Enter the registry ID number in row 2123 of the table for production class 2a.</t>
  </si>
  <si>
    <t>Enter the registry ID number in row 2124 of the table for production class 2a.</t>
  </si>
  <si>
    <t>Enter the registry ID number in row 2125 of the table for production class 2a.</t>
  </si>
  <si>
    <t>Enter the registry ID number in row 2126 of the table for production class 2a.</t>
  </si>
  <si>
    <t>Enter the registry ID number in row 2127 of the table for production class 2a.</t>
  </si>
  <si>
    <t>Enter the registry ID number in row 2128 of the table for production class 2a.</t>
  </si>
  <si>
    <t>Enter the registry ID number in row 2129 of the table for production class 2a.</t>
  </si>
  <si>
    <t>Enter the registry ID number in row 2130 of the table for production class 2a.</t>
  </si>
  <si>
    <t>Enter the registry ID number in row 2131 of the table for production class 2a.</t>
  </si>
  <si>
    <t>Enter the registry ID number in row 2132 of the table for production class 2a.</t>
  </si>
  <si>
    <t>Enter the registry ID number in row 2133 of the table for production class 2a.</t>
  </si>
  <si>
    <t>Enter the registry ID number in row 2134 of the table for production class 2a.</t>
  </si>
  <si>
    <t>Enter the registry ID number in row 2135 of the table for production class 2a.</t>
  </si>
  <si>
    <t>Enter the registry ID number in row 2136 of the table for production class 2a.</t>
  </si>
  <si>
    <t>Enter the registry ID number in row 2137 of the table for production class 2a.</t>
  </si>
  <si>
    <t>Enter the registry ID number in row 2138 of the table for production class 2a.</t>
  </si>
  <si>
    <t>Enter the registry ID number in row 2139 of the table for production class 2a.</t>
  </si>
  <si>
    <t>Enter the registry ID number in row 2140 of the table for production class 2a.</t>
  </si>
  <si>
    <t>Enter the registry ID number in row 2141 of the table for production class 2a.</t>
  </si>
  <si>
    <t>Enter the registry ID number in row 2142 of the table for production class 2a.</t>
  </si>
  <si>
    <t>Enter the registry ID number in row 2143 of the table for production class 2a.</t>
  </si>
  <si>
    <t>Enter the registry ID number in row 2144 of the table for production class 2a.</t>
  </si>
  <si>
    <t>Enter the registry ID number in row 2145 of the table for production class 2a.</t>
  </si>
  <si>
    <t>Enter the registry ID number in row 2146 of the table for production class 2a.</t>
  </si>
  <si>
    <t>Enter the registry ID number in row 2147 of the table for production class 2a.</t>
  </si>
  <si>
    <t>Enter the registry ID number in row 2148 of the table for production class 2a.</t>
  </si>
  <si>
    <t>Enter the registry ID number in row 2149 of the table for production class 2a.</t>
  </si>
  <si>
    <t>Enter the registry ID number in row 2150 of the table for production class 2a.</t>
  </si>
  <si>
    <t>Enter the registry ID number in row 2151 of the table for production class 2a.</t>
  </si>
  <si>
    <t>Enter the registry ID number in row 2152 of the table for production class 2a.</t>
  </si>
  <si>
    <t>Enter the registry ID number in row 2153 of the table for production class 2a.</t>
  </si>
  <si>
    <t>Enter the registry ID number in row 2154 of the table for production class 2a.</t>
  </si>
  <si>
    <t>Enter the registry ID number in row 2155 of the table for production class 2a.</t>
  </si>
  <si>
    <t>Enter the registry ID number in row 2156 of the table for production class 2a.</t>
  </si>
  <si>
    <t>Enter the registry ID number in row 2157 of the table for production class 2a.</t>
  </si>
  <si>
    <t>Enter the registry ID number in row 2158 of the table for production class 2a.</t>
  </si>
  <si>
    <t>Enter the registry ID number in row 2159 of the table for production class 2a.</t>
  </si>
  <si>
    <t>Enter the registry ID number in row 2160 of the table for production class 2a.</t>
  </si>
  <si>
    <t>Enter the registry ID number in row 2161 of the table for production class 2a.</t>
  </si>
  <si>
    <t>Enter the registry ID number in row 2162 of the table for production class 2a.</t>
  </si>
  <si>
    <t>Enter the registry ID number in row 2163 of the table for production class 2a.</t>
  </si>
  <si>
    <t>Enter the registry ID number in row 2164 of the table for production class 2a.</t>
  </si>
  <si>
    <t>Enter the registry ID number in row 2165 of the table for production class 2a.</t>
  </si>
  <si>
    <t>Enter the registry ID number in row 2166 of the table for production class 2a.</t>
  </si>
  <si>
    <t>Enter the registry ID number in row 2167 of the table for production class 2a.</t>
  </si>
  <si>
    <t>Enter the registry ID number in row 2168 of the table for production class 2a.</t>
  </si>
  <si>
    <t>Enter the registry ID number in row 2169 of the table for production class 2a.</t>
  </si>
  <si>
    <t>Enter the registry ID number in row 2170 of the table for production class 2a.</t>
  </si>
  <si>
    <t>Enter the registry ID number in row 2171 of the table for production class 2a.</t>
  </si>
  <si>
    <t>Enter the registry ID number in row 2172 of the table for production class 2a.</t>
  </si>
  <si>
    <t>Enter the registry ID number in row 2173 of the table for production class 2a.</t>
  </si>
  <si>
    <t>Enter the registry ID number in row 2174 of the table for production class 2a.</t>
  </si>
  <si>
    <t>Enter the registry ID number in row 2175 of the table for production class 2a.</t>
  </si>
  <si>
    <t>Enter the registry ID number in row 2176 of the table for production class 2a.</t>
  </si>
  <si>
    <t>Enter the registry ID number in row 2177 of the table for production class 2a.</t>
  </si>
  <si>
    <t>Enter the registry ID number in row 2178 of the table for production class 2a.</t>
  </si>
  <si>
    <t>Enter the registry ID number in row 2179 of the table for production class 2a.</t>
  </si>
  <si>
    <t>Enter the registry ID number in row 2180 of the table for production class 2a.</t>
  </si>
  <si>
    <t>Enter the registry ID number in row 2181 of the table for production class 2a.</t>
  </si>
  <si>
    <t>Enter the registry ID number in row 2182 of the table for production class 2a.</t>
  </si>
  <si>
    <t>Enter the registry ID number in row 2183 of the table for production class 2a.</t>
  </si>
  <si>
    <t>Enter the registry ID number in row 2184 of the table for production class 2a.</t>
  </si>
  <si>
    <t>Enter the registry ID number in row 2185 of the table for production class 2a.</t>
  </si>
  <si>
    <t>Enter the registry ID number in row 2186 of the table for production class 2a.</t>
  </si>
  <si>
    <t>Enter the registry ID number in row 2187 of the table for production class 2a.</t>
  </si>
  <si>
    <t>Enter the registry ID number in row 2188 of the table for production class 2a.</t>
  </si>
  <si>
    <t>Enter the registry ID number in row 2189 of the table for production class 2a.</t>
  </si>
  <si>
    <t>Enter the registry ID number in row 2190 of the table for production class 2a.</t>
  </si>
  <si>
    <t>Enter the registry ID number in row 2191 of the table for production class 2a.</t>
  </si>
  <si>
    <t>Enter the registry ID number in row 2192 of the table for production class 2a.</t>
  </si>
  <si>
    <t>Enter the registry ID number in row 2193 of the table for production class 2a.</t>
  </si>
  <si>
    <t>Enter the registry ID number in row 2194 of the table for production class 2a.</t>
  </si>
  <si>
    <t>Enter the registry ID number in row 2195 of the table for production class 2a.</t>
  </si>
  <si>
    <t>Enter the registry ID number in row 2196 of the table for production class 2a.</t>
  </si>
  <si>
    <t>Enter the registry ID number in row 2197 of the table for production class 2a.</t>
  </si>
  <si>
    <t>Enter the registry ID number in row 2198 of the table for production class 2a.</t>
  </si>
  <si>
    <t>Enter the registry ID number in row 2199 of the table for production class 2a.</t>
  </si>
  <si>
    <t>Enter the registry ID number in row 2200 of the table for production class 2a.</t>
  </si>
  <si>
    <t>Enter the registry ID number in row 2201 of the table for production class 2a.</t>
  </si>
  <si>
    <t>Enter the registry ID number in row 2202 of the table for production class 2a.</t>
  </si>
  <si>
    <t>Enter the registry ID number in row 2203 of the table for production class 2a.</t>
  </si>
  <si>
    <t>Enter the registry ID number in row 2204 of the table for production class 2a.</t>
  </si>
  <si>
    <t>Enter the registry ID number in row 2205 of the table for production class 2a.</t>
  </si>
  <si>
    <t>Enter the registry ID number in row 2206 of the table for production class 2a.</t>
  </si>
  <si>
    <t>Enter the registry ID number in row 2207 of the table for production class 2a.</t>
  </si>
  <si>
    <t>Enter the registry ID number in row 2208 of the table for production class 2a.</t>
  </si>
  <si>
    <t>Enter the registry ID number in row 2209 of the table for production class 2a.</t>
  </si>
  <si>
    <t>Enter the registry ID number in row 2210 of the table for production class 2a.</t>
  </si>
  <si>
    <t>Enter the registry ID number in row 2211 of the table for production class 2a.</t>
  </si>
  <si>
    <t>Enter the registry ID number in row 2212 of the table for production class 2a.</t>
  </si>
  <si>
    <t>Enter the registry ID number in row 2213 of the table for production class 2a.</t>
  </si>
  <si>
    <t>Enter the registry ID number in row 2214 of the table for production class 2a.</t>
  </si>
  <si>
    <t>Enter the registry ID number in row 2215 of the table for production class 2a.</t>
  </si>
  <si>
    <t>Enter the registry ID number in row 2216 of the table for production class 2a.</t>
  </si>
  <si>
    <t>Enter the registry ID number in row 2217 of the table for production class 2a.</t>
  </si>
  <si>
    <t>Enter the registry ID number in row 2218 of the table for production class 2a.</t>
  </si>
  <si>
    <t>Enter the registry ID number in row 2219 of the table for production class 2a.</t>
  </si>
  <si>
    <t>Enter the registry ID number in row 2220 of the table for production class 2a.</t>
  </si>
  <si>
    <t>Enter the registry ID number in row 2221 of the table for production class 2a.</t>
  </si>
  <si>
    <t>Enter the registry ID number in row 2222 of the table for production class 2a.</t>
  </si>
  <si>
    <t>Enter the registry ID number in row 2223 of the table for production class 2a.</t>
  </si>
  <si>
    <t>Enter the registry ID number in row 2224 of the table for production class 2a.</t>
  </si>
  <si>
    <t>Enter the registry ID number in row 2225 of the table for production class 2a.</t>
  </si>
  <si>
    <t>Enter the registry ID number in row 2226 of the table for production class 2a.</t>
  </si>
  <si>
    <t>Enter the registry ID number in row 2227 of the table for production class 2a.</t>
  </si>
  <si>
    <t>Enter the registry ID number in row 2228 of the table for production class 2a.</t>
  </si>
  <si>
    <t>Enter the registry ID number in row 2229 of the table for production class 2a.</t>
  </si>
  <si>
    <t>Enter the registry ID number in row 2230 of the table for production class 2a.</t>
  </si>
  <si>
    <t>Enter the registry ID number in row 2231 of the table for production class 2a.</t>
  </si>
  <si>
    <t>Enter the registry ID number in row 2232 of the table for production class 2a.</t>
  </si>
  <si>
    <t>Enter the registry ID number in row 2233 of the table for production class 2a.</t>
  </si>
  <si>
    <t>Enter the registry ID number in row 2234 of the table for production class 2a.</t>
  </si>
  <si>
    <t>Enter the registry ID number in row 2235 of the table for production class 2a.</t>
  </si>
  <si>
    <t>Enter the registry ID number in row 2236 of the table for production class 2a.</t>
  </si>
  <si>
    <t>Enter the registry ID number in row 2237 of the table for production class 2a.</t>
  </si>
  <si>
    <t>Enter the registry ID number in row 2238 of the table for production class 2a.</t>
  </si>
  <si>
    <t>Enter the registry ID number in row 2239 of the table for production class 2a.</t>
  </si>
  <si>
    <t>Enter the registry ID number in row 2240 of the table for production class 2a.</t>
  </si>
  <si>
    <t>Enter the registry ID number in row 2241 of the table for production class 2a.</t>
  </si>
  <si>
    <t>Enter the registry ID number in row 2242 of the table for production class 2a.</t>
  </si>
  <si>
    <t>Enter the registry ID number in row 2243 of the table for production class 2a.</t>
  </si>
  <si>
    <t>Enter the registry ID number in row 2244 of the table for production class 2a.</t>
  </si>
  <si>
    <t>Enter the registry ID number in row 2245 of the table for production class 2a.</t>
  </si>
  <si>
    <t>Enter the registry ID number in row 2246 of the table for production class 2a.</t>
  </si>
  <si>
    <t>Enter the registry ID number in row 2247 of the table for production class 2a.</t>
  </si>
  <si>
    <t>Enter the registry ID number in row 2248 of the table for production class 2a.</t>
  </si>
  <si>
    <t>Enter the registry ID number in row 2249 of the table for production class 2a.</t>
  </si>
  <si>
    <t>Enter the registry ID number in row 2250 of the table for production class 2a.</t>
  </si>
  <si>
    <t>Enter the registry ID number in row 2251 of the table for production class 2a.</t>
  </si>
  <si>
    <t>Enter the registry ID number in row 2252 of the table for production class 2a.</t>
  </si>
  <si>
    <t>Enter the registry ID number in row 2253 of the table for production class 2a.</t>
  </si>
  <si>
    <t>Enter the registry ID number in row 2254 of the table for production class 2a.</t>
  </si>
  <si>
    <t>Enter the registry ID number in row 2255 of the table for production class 2a.</t>
  </si>
  <si>
    <t>Enter the registry ID number in row 2256 of the table for production class 2a.</t>
  </si>
  <si>
    <t>Enter the registry ID number in row 2257 of the table for production class 2a.</t>
  </si>
  <si>
    <t>Enter the registry ID number in row 2258 of the table for production class 2a.</t>
  </si>
  <si>
    <t>Enter the registry ID number in row 2259 of the table for production class 2a.</t>
  </si>
  <si>
    <t>Enter the registry ID number in row 2260 of the table for production class 2a.</t>
  </si>
  <si>
    <t>Enter the registry ID number in row 2261 of the table for production class 2a.</t>
  </si>
  <si>
    <t>Enter the registry ID number in row 2262 of the table for production class 2a.</t>
  </si>
  <si>
    <t>Enter the registry ID number in row 2263 of the table for production class 2a.</t>
  </si>
  <si>
    <t>Enter the registry ID number in row 2264 of the table for production class 2a.</t>
  </si>
  <si>
    <t>Enter the registry ID number in row 2265 of the table for production class 2a.</t>
  </si>
  <si>
    <t>Enter the registry ID number in row 2266 of the table for production class 2a.</t>
  </si>
  <si>
    <t>Enter the registry ID number in row 2267 of the table for production class 2a.</t>
  </si>
  <si>
    <t>Enter the registry ID number in row 2268 of the table for production class 2a.</t>
  </si>
  <si>
    <t>Enter the registry ID number in row 2269 of the table for production class 2a.</t>
  </si>
  <si>
    <t>Enter the registry ID number in row 2270 of the table for production class 2a.</t>
  </si>
  <si>
    <t>Enter the registry ID number in row 2271 of the table for production class 2a.</t>
  </si>
  <si>
    <t>Enter the registry ID number in row 2272 of the table for production class 2a.</t>
  </si>
  <si>
    <t>Enter the registry ID number in row 2273 of the table for production class 2a.</t>
  </si>
  <si>
    <t>Enter the registry ID number in row 2274 of the table for production class 2a.</t>
  </si>
  <si>
    <t>Enter the registry ID number in row 2275 of the table for production class 2a.</t>
  </si>
  <si>
    <t>Enter the registry ID number in row 2276 of the table for production class 2a.</t>
  </si>
  <si>
    <t>Enter the registry ID number in row 2277 of the table for production class 2a.</t>
  </si>
  <si>
    <t>Enter the registry ID number in row 2278 of the table for production class 2a.</t>
  </si>
  <si>
    <t>Enter the registry ID number in row 2279 of the table for production class 2a.</t>
  </si>
  <si>
    <t>Enter the registry ID number in row 2280 of the table for production class 2a.</t>
  </si>
  <si>
    <t>Enter the registry ID number in row 2281 of the table for production class 2a.</t>
  </si>
  <si>
    <t>Enter the registry ID number in row 2282 of the table for production class 2a.</t>
  </si>
  <si>
    <t>Enter the registry ID number in row 2283 of the table for production class 2a.</t>
  </si>
  <si>
    <t>Enter the registry ID number in row 2284 of the table for production class 2a.</t>
  </si>
  <si>
    <t>Enter the registry ID number in row 2285 of the table for production class 2a.</t>
  </si>
  <si>
    <t>Enter the registry ID number in row 2286 of the table for production class 2a.</t>
  </si>
  <si>
    <t>Enter the registry ID number in row 2287 of the table for production class 2a.</t>
  </si>
  <si>
    <t>Enter the registry ID number in row 2288 of the table for production class 2a.</t>
  </si>
  <si>
    <t>Enter the registry ID number in row 2289 of the table for production class 2a.</t>
  </si>
  <si>
    <t>Enter the registry ID number in row 2290 of the table for production class 2a.</t>
  </si>
  <si>
    <t>Enter the registry ID number in row 2291 of the table for production class 2a.</t>
  </si>
  <si>
    <t>Enter the registry ID number in row 2292 of the table for production class 2a.</t>
  </si>
  <si>
    <t>Enter the registry ID number in row 2293 of the table for production class 2a.</t>
  </si>
  <si>
    <t>Enter the registry ID number in row 2294 of the table for production class 2a.</t>
  </si>
  <si>
    <t>Enter the registry ID number in row 2295 of the table for production class 2a.</t>
  </si>
  <si>
    <t>Enter the registry ID number in row 2296 of the table for production class 2a.</t>
  </si>
  <si>
    <t>Enter the registry ID number in row 2297 of the table for production class 2a.</t>
  </si>
  <si>
    <t>Enter the registry ID number in row 2298 of the table for production class 2a.</t>
  </si>
  <si>
    <t>Enter the registry ID number in row 2299 of the table for production class 2a.</t>
  </si>
  <si>
    <t>Enter the registry ID number in row 2300 of the table for production class 2a.</t>
  </si>
  <si>
    <t>Enter the registry ID number in row 2301 of the table for production class 2a.</t>
  </si>
  <si>
    <t>Enter the registry ID number in row 2302 of the table for production class 2a.</t>
  </si>
  <si>
    <t>Enter the registry ID number in row 2303 of the table for production class 2a.</t>
  </si>
  <si>
    <t>Enter the registry ID number in row 2304 of the table for production class 2a.</t>
  </si>
  <si>
    <t>Enter the registry ID number in row 2305 of the table for production class 2a.</t>
  </si>
  <si>
    <t>Enter the registry ID number in row 2306 of the table for production class 2a.</t>
  </si>
  <si>
    <t>Enter the registry ID number in row 2307 of the table for production class 2a.</t>
  </si>
  <si>
    <t>Enter the registry ID number in row 2308 of the table for production class 2a.</t>
  </si>
  <si>
    <t>Enter the registry ID number in row 2309 of the table for production class 2a.</t>
  </si>
  <si>
    <t>Enter the registry ID number in row 2310 of the table for production class 2a.</t>
  </si>
  <si>
    <t>Enter the registry ID number in row 2311 of the table for production class 2a.</t>
  </si>
  <si>
    <t>Enter the registry ID number in row 2312 of the table for production class 2a.</t>
  </si>
  <si>
    <t>Enter the registry ID number in row 2313 of the table for production class 2a.</t>
  </si>
  <si>
    <t>Enter the registry ID number in row 2314 of the table for production class 2a.</t>
  </si>
  <si>
    <t>Enter the registry ID number in row 2315 of the table for production class 2a.</t>
  </si>
  <si>
    <t>Enter the registry ID number in row 2316 of the table for production class 2a.</t>
  </si>
  <si>
    <t>Enter the registry ID number in row 2317 of the table for production class 2a.</t>
  </si>
  <si>
    <t>Enter the registry ID number in row 2318 of the table for production class 2a.</t>
  </si>
  <si>
    <t>Enter the registry ID number in row 2319 of the table for production class 2a.</t>
  </si>
  <si>
    <t>Enter the registry ID number in row 2320 of the table for production class 2a.</t>
  </si>
  <si>
    <t>Enter the registry ID number in row 2321 of the table for production class 2a.</t>
  </si>
  <si>
    <t>Enter the registry ID number in row 2322 of the table for production class 2a.</t>
  </si>
  <si>
    <t>Enter the registry ID number in row 2323 of the table for production class 2a.</t>
  </si>
  <si>
    <t>Enter the registry ID number in row 2324 of the table for production class 2a.</t>
  </si>
  <si>
    <t>Enter the registry ID number in row 2325 of the table for production class 2a.</t>
  </si>
  <si>
    <t>Enter the registry ID number in row 2326 of the table for production class 2a.</t>
  </si>
  <si>
    <t>Enter the registry ID number in row 2327 of the table for production class 2a.</t>
  </si>
  <si>
    <t>Enter the registry ID number in row 2328 of the table for production class 2a.</t>
  </si>
  <si>
    <t>Enter the registry ID number in row 2329 of the table for production class 2a.</t>
  </si>
  <si>
    <t>Enter the registry ID number in row 2330 of the table for production class 2a.</t>
  </si>
  <si>
    <t>Enter the registry ID number in row 2331 of the table for production class 2a.</t>
  </si>
  <si>
    <t>Enter the registry ID number in row 2332 of the table for production class 2a.</t>
  </si>
  <si>
    <t>Enter the registry ID number in row 2333 of the table for production class 2a.</t>
  </si>
  <si>
    <t>Enter the registry ID number in row 2334 of the table for production class 2a.</t>
  </si>
  <si>
    <t>Enter the registry ID number in row 2335 of the table for production class 2a.</t>
  </si>
  <si>
    <t>Enter the registry ID number in row 2336 of the table for production class 2a.</t>
  </si>
  <si>
    <t>Enter the registry ID number in row 2337 of the table for production class 2a.</t>
  </si>
  <si>
    <t>Enter the registry ID number in row 2338 of the table for production class 2a.</t>
  </si>
  <si>
    <t>Enter the registry ID number in row 2339 of the table for production class 2a.</t>
  </si>
  <si>
    <t>Enter the registry ID number in row 2340 of the table for production class 2a.</t>
  </si>
  <si>
    <t>Enter the registry ID number in row 2341 of the table for production class 2a.</t>
  </si>
  <si>
    <t>Enter the registry ID number in row 2342 of the table for production class 2a.</t>
  </si>
  <si>
    <t>Enter the registry ID number in row 2343 of the table for production class 2a.</t>
  </si>
  <si>
    <t>Enter the registry ID number in row 2344 of the table for production class 2a.</t>
  </si>
  <si>
    <t>Enter the registry ID number in row 2345 of the table for production class 2a.</t>
  </si>
  <si>
    <t>Enter the registry ID number in row 2346 of the table for production class 2a.</t>
  </si>
  <si>
    <t>Enter the registry ID number in row 2347 of the table for production class 2a.</t>
  </si>
  <si>
    <t>Enter the registry ID number in row 2348 of the table for production class 2a.</t>
  </si>
  <si>
    <t>Enter the registry ID number in row 2349 of the table for production class 2a.</t>
  </si>
  <si>
    <t>Enter the registry ID number in row 2350 of the table for production class 2a.</t>
  </si>
  <si>
    <t>Enter the registry ID number in row 2351 of the table for production class 2a.</t>
  </si>
  <si>
    <t>Enter the registry ID number in row 2352 of the table for production class 2a.</t>
  </si>
  <si>
    <t>Enter the registry ID number in row 2353 of the table for production class 2a.</t>
  </si>
  <si>
    <t>Enter the registry ID number in row 2354 of the table for production class 2a.</t>
  </si>
  <si>
    <t>Enter the registry ID number in row 2355 of the table for production class 2a.</t>
  </si>
  <si>
    <t>Enter the registry ID number in row 2356 of the table for production class 2a.</t>
  </si>
  <si>
    <t>Enter the registry ID number in row 2357 of the table for production class 2a.</t>
  </si>
  <si>
    <t>Enter the registry ID number in row 2358 of the table for production class 2a.</t>
  </si>
  <si>
    <t>Enter the registry ID number in row 2359 of the table for production class 2a.</t>
  </si>
  <si>
    <t>Enter the registry ID number in row 2360 of the table for production class 2a.</t>
  </si>
  <si>
    <t>Enter the registry ID number in row 2361 of the table for production class 2a.</t>
  </si>
  <si>
    <t>Enter the registry ID number in row 2362 of the table for production class 2a.</t>
  </si>
  <si>
    <t>Enter the registry ID number in row 2363 of the table for production class 2a.</t>
  </si>
  <si>
    <t>Enter the registry ID number in row 2364 of the table for production class 2a.</t>
  </si>
  <si>
    <t>Enter the registry ID number in row 2365 of the table for production class 2a.</t>
  </si>
  <si>
    <t>Enter the registry ID number in row 2366 of the table for production class 2a.</t>
  </si>
  <si>
    <t>Enter the registry ID number in row 2367 of the table for production class 2a.</t>
  </si>
  <si>
    <t>Enter the registry ID number in row 2368 of the table for production class 2a.</t>
  </si>
  <si>
    <t>Enter the registry ID number in row 2369 of the table for production class 2a.</t>
  </si>
  <si>
    <t>Enter the registry ID number in row 2370 of the table for production class 2a.</t>
  </si>
  <si>
    <t>Enter the registry ID number in row 2371 of the table for production class 2a.</t>
  </si>
  <si>
    <t>Enter the registry ID number in row 2372 of the table for production class 2a.</t>
  </si>
  <si>
    <t>Enter the registry ID number in row 2373 of the table for production class 2a.</t>
  </si>
  <si>
    <t>Enter the registry ID number in row 2374 of the table for production class 2a.</t>
  </si>
  <si>
    <t>Enter the registry ID number in row 2375 of the table for production class 2a.</t>
  </si>
  <si>
    <t>Enter the registry ID number in row 2376 of the table for production class 2a.</t>
  </si>
  <si>
    <t>Enter the registry ID number in row 2377 of the table for production class 2a.</t>
  </si>
  <si>
    <t>Enter the registry ID number in row 2378 of the table for production class 2a.</t>
  </si>
  <si>
    <t>Enter the registry ID number in row 2379 of the table for production class 2a.</t>
  </si>
  <si>
    <t>Enter the registry ID number in row 2380 of the table for production class 2a.</t>
  </si>
  <si>
    <t>Enter the registry ID number in row 2381 of the table for production class 2a.</t>
  </si>
  <si>
    <t>Enter the registry ID number in row 2382 of the table for production class 2a.</t>
  </si>
  <si>
    <t>Enter the registry ID number in row 2383 of the table for production class 2a.</t>
  </si>
  <si>
    <t>Enter the registry ID number in row 2384 of the table for production class 2a.</t>
  </si>
  <si>
    <t>Enter the registry ID number in row 2385 of the table for production class 2a.</t>
  </si>
  <si>
    <t>Enter the registry ID number in row 2386 of the table for production class 2a.</t>
  </si>
  <si>
    <t>Enter the registry ID number in row 2387 of the table for production class 2a.</t>
  </si>
  <si>
    <t>Enter the registry ID number in row 2388 of the table for production class 2a.</t>
  </si>
  <si>
    <t>Enter the registry ID number in row 2389 of the table for production class 2a.</t>
  </si>
  <si>
    <t>Enter the registry ID number in row 2390 of the table for production class 2a.</t>
  </si>
  <si>
    <t>Enter the registry ID number in row 2391 of the table for production class 2a.</t>
  </si>
  <si>
    <t>Enter the registry ID number in row 2392 of the table for production class 2a.</t>
  </si>
  <si>
    <t>Enter the registry ID number in row 2393 of the table for production class 2a.</t>
  </si>
  <si>
    <t>Enter the registry ID number in row 2394 of the table for production class 2a.</t>
  </si>
  <si>
    <t>Enter the registry ID number in row 2395 of the table for production class 2a.</t>
  </si>
  <si>
    <t>Enter the registry ID number in row 2396 of the table for production class 2a.</t>
  </si>
  <si>
    <t>Enter the registry ID number in row 2397 of the table for production class 2a.</t>
  </si>
  <si>
    <t>Enter the registry ID number in row 2398 of the table for production class 2a.</t>
  </si>
  <si>
    <t>Enter the registry ID number in row 2399 of the table for production class 2a.</t>
  </si>
  <si>
    <t>Enter the registry ID number in row 2400 of the table for production class 2a.</t>
  </si>
  <si>
    <t>Enter the registry ID number in row 2401 of the table for production class 2a.</t>
  </si>
  <si>
    <t>Enter the registry ID number in row 2402 of the table for production class 2a.</t>
  </si>
  <si>
    <t>Enter the registry ID number in row 2403 of the table for production class 2a.</t>
  </si>
  <si>
    <t>Enter the registry ID number in row 2404 of the table for production class 2a.</t>
  </si>
  <si>
    <t>Enter the registry ID number in row 2405 of the table for production class 2a.</t>
  </si>
  <si>
    <t>Enter the registry ID number in row 2406 of the table for production class 2a.</t>
  </si>
  <si>
    <t>Enter the registry ID number in row 2407 of the table for production class 2a.</t>
  </si>
  <si>
    <t>Enter the registry ID number in row 2408 of the table for production class 2a.</t>
  </si>
  <si>
    <t>Enter the registry ID number in row 2409 of the table for production class 2a.</t>
  </si>
  <si>
    <t>Enter the registry ID number in row 2410 of the table for production class 2a.</t>
  </si>
  <si>
    <t>Enter the registry ID number in row 2411 of the table for production class 2a.</t>
  </si>
  <si>
    <t>Enter the registry ID number in row 2412 of the table for production class 2a.</t>
  </si>
  <si>
    <t>Enter the registry ID number in row 2413 of the table for production class 2a.</t>
  </si>
  <si>
    <t>Enter the registry ID number in row 2414 of the table for production class 2a.</t>
  </si>
  <si>
    <t>Enter the registry ID number in row 2415 of the table for production class 2a.</t>
  </si>
  <si>
    <t>Enter the registry ID number in row 2416 of the table for production class 2a.</t>
  </si>
  <si>
    <t>Enter the registry ID number in row 2417 of the table for production class 2a.</t>
  </si>
  <si>
    <t>Enter the registry ID number in row 2418 of the table for production class 2a.</t>
  </si>
  <si>
    <t>Enter the registry ID number in row 2419 of the table for production class 2a.</t>
  </si>
  <si>
    <t>Enter the registry ID number in row 2420 of the table for production class 2a.</t>
  </si>
  <si>
    <t>Enter the registry ID number in row 2421 of the table for production class 2a.</t>
  </si>
  <si>
    <t>Enter the registry ID number in row 2422 of the table for production class 2a.</t>
  </si>
  <si>
    <t>Enter the registry ID number in row 2423 of the table for production class 2a.</t>
  </si>
  <si>
    <t>Enter the registry ID number in row 2424 of the table for production class 2a.</t>
  </si>
  <si>
    <t>Enter the registry ID number in row 2425 of the table for production class 2a.</t>
  </si>
  <si>
    <t>Enter the registry ID number in row 2426 of the table for production class 2a.</t>
  </si>
  <si>
    <t>Enter the registry ID number in row 2427 of the table for production class 2a.</t>
  </si>
  <si>
    <t>Enter the registry ID number in row 2428 of the table for production class 2a.</t>
  </si>
  <si>
    <t>Enter the registry ID number in row 2429 of the table for production class 2a.</t>
  </si>
  <si>
    <t>Enter the registry ID number in row 2430 of the table for production class 2a.</t>
  </si>
  <si>
    <t>Enter the registry ID number in row 2431 of the table for production class 2a.</t>
  </si>
  <si>
    <t>Enter the registry ID number in row 2432 of the table for production class 2a.</t>
  </si>
  <si>
    <t>Enter the registry ID number in row 2433 of the table for production class 2a.</t>
  </si>
  <si>
    <t>Enter the registry ID number in row 2434 of the table for production class 2a.</t>
  </si>
  <si>
    <t>Enter the registry ID number in row 2435 of the table for production class 2a.</t>
  </si>
  <si>
    <t>Enter the registry ID number in row 2436 of the table for production class 2a.</t>
  </si>
  <si>
    <t>Enter the registry ID number in row 2437 of the table for production class 2a.</t>
  </si>
  <si>
    <t>Enter the registry ID number in row 2438 of the table for production class 2a.</t>
  </si>
  <si>
    <t>Enter the registry ID number in row 2439 of the table for production class 2a.</t>
  </si>
  <si>
    <t>Enter the registry ID number in row 2440 of the table for production class 2a.</t>
  </si>
  <si>
    <t>Enter the registry ID number in row 2441 of the table for production class 2a.</t>
  </si>
  <si>
    <t>Enter the registry ID number in row 2442 of the table for production class 2a.</t>
  </si>
  <si>
    <t>Enter the registry ID number in row 2443 of the table for production class 2a.</t>
  </si>
  <si>
    <t>Enter the registry ID number in row 2444 of the table for production class 2a.</t>
  </si>
  <si>
    <t>Enter the registry ID number in row 2445 of the table for production class 2a.</t>
  </si>
  <si>
    <t>Enter the registry ID number in row 2446 of the table for production class 2a.</t>
  </si>
  <si>
    <t>Enter the registry ID number in row 2447 of the table for production class 2a.</t>
  </si>
  <si>
    <t>Enter the registry ID number in row 2448 of the table for production class 2a.</t>
  </si>
  <si>
    <t>Enter the registry ID number in row 2449 of the table for production class 2a.</t>
  </si>
  <si>
    <t>Enter the registry ID number in row 2450 of the table for production class 2a.</t>
  </si>
  <si>
    <t>Enter the registry ID number in row 2451 of the table for production class 2a.</t>
  </si>
  <si>
    <t>Enter the registry ID number in row 2452 of the table for production class 2a.</t>
  </si>
  <si>
    <t>Enter the registry ID number in row 2453 of the table for production class 2a.</t>
  </si>
  <si>
    <t>Enter the registry ID number in row 2454 of the table for production class 2a.</t>
  </si>
  <si>
    <t>Enter the registry ID number in row 2455 of the table for production class 2a.</t>
  </si>
  <si>
    <t>Enter the registry ID number in row 2456 of the table for production class 2a.</t>
  </si>
  <si>
    <t>Enter the registry ID number in row 2457 of the table for production class 2a.</t>
  </si>
  <si>
    <t>Enter the registry ID number in row 2458 of the table for production class 2a.</t>
  </si>
  <si>
    <t>Enter the registry ID number in row 2459 of the table for production class 2a.</t>
  </si>
  <si>
    <t>Enter the registry ID number in row 2460 of the table for production class 2a.</t>
  </si>
  <si>
    <t>Enter the registry ID number in row 2461 of the table for production class 2a.</t>
  </si>
  <si>
    <t>Enter the registry ID number in row 2462 of the table for production class 2a.</t>
  </si>
  <si>
    <t>Enter the registry ID number in row 2463 of the table for production class 2a.</t>
  </si>
  <si>
    <t>Enter the registry ID number in row 2464 of the table for production class 2a.</t>
  </si>
  <si>
    <t>Enter the registry ID number in row 2465 of the table for production class 2a.</t>
  </si>
  <si>
    <t>Enter the registry ID number in row 2466 of the table for production class 2a.</t>
  </si>
  <si>
    <t>Enter the registry ID number in row 2467 of the table for production class 2a.</t>
  </si>
  <si>
    <t>Enter the registry ID number in row 2468 of the table for production class 2a.</t>
  </si>
  <si>
    <t>Enter the registry ID number in row 2469 of the table for production class 2a.</t>
  </si>
  <si>
    <t>Enter the registry ID number in row 2470 of the table for production class 2a.</t>
  </si>
  <si>
    <t>Enter the registry ID number in row 2471 of the table for production class 2a.</t>
  </si>
  <si>
    <t>Enter the registry ID number in row 2472 of the table for production class 2a.</t>
  </si>
  <si>
    <t>Enter the registry ID number in row 2473 of the table for production class 2a.</t>
  </si>
  <si>
    <t>Enter the registry ID number in row 2474 of the table for production class 2a.</t>
  </si>
  <si>
    <t>Enter the registry ID number in row 2475 of the table for production class 2a.</t>
  </si>
  <si>
    <t>Enter the registry ID number in row 2476 of the table for production class 2a.</t>
  </si>
  <si>
    <t>Enter the registry ID number in row 2477 of the table for production class 2a.</t>
  </si>
  <si>
    <t>Enter the registry ID number in row 2478 of the table for production class 2a.</t>
  </si>
  <si>
    <t>Enter the registry ID number in row 2479 of the table for production class 2a.</t>
  </si>
  <si>
    <t>Enter the registry ID number in row 2480 of the table for production class 2a.</t>
  </si>
  <si>
    <t>Enter the registry ID number in row 2481 of the table for production class 2a.</t>
  </si>
  <si>
    <t>Enter the registry ID number in row 2482 of the table for production class 2a.</t>
  </si>
  <si>
    <t>Enter the registry ID number in row 2483 of the table for production class 2a.</t>
  </si>
  <si>
    <t>Enter the registry ID number in row 2484 of the table for production class 2a.</t>
  </si>
  <si>
    <t>Enter the registry ID number in row 2485 of the table for production class 2a.</t>
  </si>
  <si>
    <t>Enter the registry ID number in row 2486 of the table for production class 2a.</t>
  </si>
  <si>
    <t>Enter the registry ID number in row 2487 of the table for production class 2a.</t>
  </si>
  <si>
    <t>Enter the registry ID number in row 2488 of the table for production class 2a.</t>
  </si>
  <si>
    <t>Enter the registry ID number in row 2489 of the table for production class 2a.</t>
  </si>
  <si>
    <t>Enter the registry ID number in row 2490 of the table for production class 2a.</t>
  </si>
  <si>
    <t>Enter the registry ID number in row 2491 of the table for production class 2a.</t>
  </si>
  <si>
    <t>Enter the registry ID number in row 2492 of the table for production class 2a.</t>
  </si>
  <si>
    <t>Enter the registry ID number in row 2493 of the table for production class 2a.</t>
  </si>
  <si>
    <t>Enter the registry ID number in row 2494 of the table for production class 2a.</t>
  </si>
  <si>
    <t>Enter the registry ID number in row 2495 of the table for production class 2a.</t>
  </si>
  <si>
    <t>Enter the registry ID number in row 2496 of the table for production class 2a.</t>
  </si>
  <si>
    <t>Enter the registry ID number in row 2497 of the table for production class 2a.</t>
  </si>
  <si>
    <t>Enter the registry ID number in row 2498 of the table for production class 2a.</t>
  </si>
  <si>
    <t>Enter the registry ID number in row 2499 of the table for production class 2a.</t>
  </si>
  <si>
    <t>Enter the registry ID number in row 2500 of the table for production class 2a.</t>
  </si>
  <si>
    <t>Enter the registry ID number in row 2501 of the table for production class 2a.</t>
  </si>
  <si>
    <t>Enter the registry ID number in row 2502 of the table for production class 2a.</t>
  </si>
  <si>
    <t>Enter the registry ID number in row 2503 of the table for production class 2a.</t>
  </si>
  <si>
    <t>Enter the registry ID number in row 2504 of the table for production class 2a.</t>
  </si>
  <si>
    <t>Enter the registry ID number in row 2505 of the table for production class 2a.</t>
  </si>
  <si>
    <t>Enter the registry ID number in row 2506 of the table for production class 2a.</t>
  </si>
  <si>
    <t>Enter the registry ID number in row 2507 of the table for production class 2a.</t>
  </si>
  <si>
    <t>Enter the registry ID number in row 2508 of the table for production class 2a.</t>
  </si>
  <si>
    <t>Enter the registry ID number in row 2509 of the table for production class 2a.</t>
  </si>
  <si>
    <t>Enter the registry ID number in row 2510 of the table for production class 2a.</t>
  </si>
  <si>
    <t>Enter the registry ID number in row 2511 of the table for production class 2a.</t>
  </si>
  <si>
    <t>Enter the registry ID number in row 2512 of the table for production class 2a.</t>
  </si>
  <si>
    <t>Enter the registry ID number in row 2513 of the table for production class 2a.</t>
  </si>
  <si>
    <t>Enter the registry ID number in row 2514 of the table for production class 2a.</t>
  </si>
  <si>
    <t>Enter the registry ID number in row 2515 of the table for production class 2a.</t>
  </si>
  <si>
    <t>Enter the registry ID number in row 2516 of the table for production class 2a.</t>
  </si>
  <si>
    <t>Enter the registry ID number in row 2517 of the table for production class 2a.</t>
  </si>
  <si>
    <t>Enter the registry ID number in row 2518 of the table for production class 2a.</t>
  </si>
  <si>
    <t>Enter the registry ID number in row 2519 of the table for production class 2a.</t>
  </si>
  <si>
    <t>Enter the registry ID number in row 2520 of the table for production class 2a.</t>
  </si>
  <si>
    <t>Enter the registry ID number in row 2521 of the table for production class 2a.</t>
  </si>
  <si>
    <t>Enter the registry ID number in row 2522 of the table for production class 2a.</t>
  </si>
  <si>
    <t>Enter the registry ID number in row 2523 of the table for production class 2a.</t>
  </si>
  <si>
    <t>Enter the registry ID number in row 2524 of the table for production class 2a.</t>
  </si>
  <si>
    <t>Enter the registry ID number in row 2525 of the table for production class 2a.</t>
  </si>
  <si>
    <t>Enter the registry ID number in row 2526 of the table for production class 2a.</t>
  </si>
  <si>
    <t>Enter the registry ID number in row 2527 of the table for production class 2a.</t>
  </si>
  <si>
    <t>Enter the registry ID number in row 2528 of the table for production class 2a.</t>
  </si>
  <si>
    <t>Enter the registry ID number in row 2529 of the table for production class 2a.</t>
  </si>
  <si>
    <t>Enter the registry ID number in row 2530 of the table for production class 2a.</t>
  </si>
  <si>
    <t>Enter the registry ID number in row 2531 of the table for production class 2a.</t>
  </si>
  <si>
    <t>Enter the registry ID number in row 2532 of the table for production class 2a.</t>
  </si>
  <si>
    <t>Enter the registry ID number in row 2533 of the table for production class 2a.</t>
  </si>
  <si>
    <t>Enter the registry ID number in row 2534 of the table for production class 2a.</t>
  </si>
  <si>
    <t>Enter the registry ID number in row 2535 of the table for production class 2a.</t>
  </si>
  <si>
    <t>Enter the registry ID number in row 2536 of the table for production class 2a.</t>
  </si>
  <si>
    <t>Enter the registry ID number in row 2537 of the table for production class 2a.</t>
  </si>
  <si>
    <t>Enter the registry ID number in row 2538 of the table for production class 2a.</t>
  </si>
  <si>
    <t>Enter the registry ID number in row 2539 of the table for production class 2a.</t>
  </si>
  <si>
    <t>Enter the registry ID number in row 2540 of the table for production class 2a.</t>
  </si>
  <si>
    <t>Enter the registry ID number in row 2541 of the table for production class 2a.</t>
  </si>
  <si>
    <t>Enter the registry ID number in row 2542 of the table for production class 2a.</t>
  </si>
  <si>
    <t>Enter the registry ID number in row 2543 of the table for production class 2a.</t>
  </si>
  <si>
    <t>Enter the registry ID number in row 2544 of the table for production class 2a.</t>
  </si>
  <si>
    <t>Enter the registry ID number in row 2545 of the table for production class 2a.</t>
  </si>
  <si>
    <t>Enter the registry ID number in row 2546 of the table for production class 2a.</t>
  </si>
  <si>
    <t>Enter the registry ID number in row 2547 of the table for production class 2a.</t>
  </si>
  <si>
    <t>Enter the registry ID number in row 2548 of the table for production class 2a.</t>
  </si>
  <si>
    <t>Enter the registry ID number in row 2549 of the table for production class 2a.</t>
  </si>
  <si>
    <t>Enter the registry ID number in row 2550 of the table for production class 2a.</t>
  </si>
  <si>
    <t>Enter the registry ID number in row 2551 of the table for production class 2a.</t>
  </si>
  <si>
    <t>Enter the registry ID number in row 2552 of the table for production class 2a.</t>
  </si>
  <si>
    <t>Enter the registry ID number in row 2553 of the table for production class 2a.</t>
  </si>
  <si>
    <t>Enter the registry ID number in row 2554 of the table for production class 2a.</t>
  </si>
  <si>
    <t>Enter the registry ID number in row 2555 of the table for production class 2a.</t>
  </si>
  <si>
    <t>Enter the registry ID number in row 2556 of the table for production class 2a.</t>
  </si>
  <si>
    <t>Enter the registry ID number in row 2557 of the table for production class 2a.</t>
  </si>
  <si>
    <t>Enter the registry ID number in row 2558 of the table for production class 2a.</t>
  </si>
  <si>
    <t>Enter the registry ID number in row 2559 of the table for production class 2a.</t>
  </si>
  <si>
    <t>Enter the registry ID number in row 2560 of the table for production class 2a.</t>
  </si>
  <si>
    <t>Enter the registry ID number in row 2561 of the table for production class 2a.</t>
  </si>
  <si>
    <t>Enter the registry ID number in row 2562 of the table for production class 2a.</t>
  </si>
  <si>
    <t>Enter the registry ID number in row 2563 of the table for production class 2a.</t>
  </si>
  <si>
    <t>Enter the registry ID number in row 2564 of the table for production class 2a.</t>
  </si>
  <si>
    <t>Enter the registry ID number in row 2565 of the table for production class 2a.</t>
  </si>
  <si>
    <t>Enter the registry ID number in row 2566 of the table for production class 2a.</t>
  </si>
  <si>
    <t>Enter the registry ID number in row 2567 of the table for production class 2a.</t>
  </si>
  <si>
    <t>Enter the registry ID number in row 2568 of the table for production class 2a.</t>
  </si>
  <si>
    <t>Enter the registry ID number in row 2569 of the table for production class 2a.</t>
  </si>
  <si>
    <t>Enter the registry ID number in row 2570 of the table for production class 2a.</t>
  </si>
  <si>
    <t>Enter the registry ID number in row 2571 of the table for production class 2a.</t>
  </si>
  <si>
    <t>Enter the registry ID number in row 2572 of the table for production class 2a.</t>
  </si>
  <si>
    <t>Enter the registry ID number in row 2573 of the table for production class 2a.</t>
  </si>
  <si>
    <t>Enter the registry ID number in row 2574 of the table for production class 2a.</t>
  </si>
  <si>
    <t>Enter the registry ID number in row 2575 of the table for production class 2a.</t>
  </si>
  <si>
    <t>Enter the registry ID number in row 2576 of the table for production class 2a.</t>
  </si>
  <si>
    <t>Enter the registry ID number in row 2577 of the table for production class 2a.</t>
  </si>
  <si>
    <t>Enter the registry ID number in row 2578 of the table for production class 2a.</t>
  </si>
  <si>
    <t>Enter the registry ID number in row 2579 of the table for production class 2a.</t>
  </si>
  <si>
    <t>Enter the registry ID number in row 2580 of the table for production class 2a.</t>
  </si>
  <si>
    <t>Enter the registry ID number in row 2581 of the table for production class 2a.</t>
  </si>
  <si>
    <t>Enter the registry ID number in row 2582 of the table for production class 2a.</t>
  </si>
  <si>
    <t>Enter the registry ID number in row 2583 of the table for production class 2a.</t>
  </si>
  <si>
    <t>Enter the registry ID number in row 2584 of the table for production class 2a.</t>
  </si>
  <si>
    <t>Enter the registry ID number in row 2585 of the table for production class 2a.</t>
  </si>
  <si>
    <t>Enter the registry ID number in row 2586 of the table for production class 2a.</t>
  </si>
  <si>
    <t>Enter the registry ID number in row 2587 of the table for production class 2a.</t>
  </si>
  <si>
    <t>Enter the registry ID number in row 2588 of the table for production class 2a.</t>
  </si>
  <si>
    <t>Enter the registry ID number in row 2589 of the table for production class 2a.</t>
  </si>
  <si>
    <t>Enter the registry ID number in row 2590 of the table for production class 2a.</t>
  </si>
  <si>
    <t>Enter the registry ID number in row 2591 of the table for production class 2a.</t>
  </si>
  <si>
    <t>Enter the registry ID number in row 2592 of the table for production class 2a.</t>
  </si>
  <si>
    <t>Enter the registry ID number in row 2593 of the table for production class 2a.</t>
  </si>
  <si>
    <t>Enter the registry ID number in row 2594 of the table for production class 2a.</t>
  </si>
  <si>
    <t>Enter the registry ID number in row 2595 of the table for production class 2a.</t>
  </si>
  <si>
    <t>Enter the registry ID number in row 2596 of the table for production class 2a.</t>
  </si>
  <si>
    <t>Enter the registry ID number in row 2597 of the table for production class 2a.</t>
  </si>
  <si>
    <t>Enter the registry ID number in row 2598 of the table for production class 2a.</t>
  </si>
  <si>
    <t>Enter the registry ID number in row 2599 of the table for production class 2a.</t>
  </si>
  <si>
    <t>Enter the registry ID number in row 2600 of the table for production class 2a.</t>
  </si>
  <si>
    <t>Enter the registry ID number in row 2601 of the table for production class 2a.</t>
  </si>
  <si>
    <t>Enter the registry ID number in row 2602 of the table for production class 2a.</t>
  </si>
  <si>
    <t>Enter the registry ID number in row 2603 of the table for production class 2a.</t>
  </si>
  <si>
    <t>Enter the registry ID number in row 2604 of the table for production class 2a.</t>
  </si>
  <si>
    <t>Enter the registry ID number in row 2605 of the table for production class 2a.</t>
  </si>
  <si>
    <t>Enter the registry ID number in row 2606 of the table for production class 2a.</t>
  </si>
  <si>
    <t>Enter the registry ID number in row 2607 of the table for production class 2a.</t>
  </si>
  <si>
    <t>Enter the registry ID number in row 2608 of the table for production class 2a.</t>
  </si>
  <si>
    <t>Enter the registry ID number in row 2609 of the table for production class 2a.</t>
  </si>
  <si>
    <t>Enter the registry ID number in row 2610 of the table for production class 2a.</t>
  </si>
  <si>
    <t>Enter the registry ID number in row 2611 of the table for production class 2a.</t>
  </si>
  <si>
    <t>Enter the registry ID number in row 2612 of the table for production class 2a.</t>
  </si>
  <si>
    <t>Enter the registry ID number in row 2613 of the table for production class 2a.</t>
  </si>
  <si>
    <t>Enter the registry ID number in row 2614 of the table for production class 2a.</t>
  </si>
  <si>
    <t>Enter the registry ID number in row 2615 of the table for production class 2a.</t>
  </si>
  <si>
    <t>Enter the registry ID number in row 2616 of the table for production class 2a.</t>
  </si>
  <si>
    <t>Enter the registry ID number in row 2617 of the table for production class 2a.</t>
  </si>
  <si>
    <t>Enter the registry ID number in row 2618 of the table for production class 2a.</t>
  </si>
  <si>
    <t>Enter the registry ID number in row 2619 of the table for production class 2a.</t>
  </si>
  <si>
    <t>Enter the registry ID number in row 2620 of the table for production class 2a.</t>
  </si>
  <si>
    <t>Enter the registry ID number in row 2621 of the table for production class 2a.</t>
  </si>
  <si>
    <t>Enter the registry ID number in row 2622 of the table for production class 2a.</t>
  </si>
  <si>
    <t>Enter the registry ID number in row 2623 of the table for production class 2a.</t>
  </si>
  <si>
    <t>Enter the registry ID number in row 2624 of the table for production class 2a.</t>
  </si>
  <si>
    <t>Enter the registry ID number in row 2625 of the table for production class 2a.</t>
  </si>
  <si>
    <t>Enter the registry ID number in row 2626 of the table for production class 2a.</t>
  </si>
  <si>
    <t>Enter the registry ID number in row 2627 of the table for production class 2a.</t>
  </si>
  <si>
    <t>Enter the registry ID number in row 2628 of the table for production class 2a.</t>
  </si>
  <si>
    <t>Enter the registry ID number in row 2629 of the table for production class 2a.</t>
  </si>
  <si>
    <t>Enter the registry ID number in row 2630 of the table for production class 2a.</t>
  </si>
  <si>
    <t>Enter the registry ID number in row 2631 of the table for production class 2a.</t>
  </si>
  <si>
    <t>Enter the registry ID number in row 2632 of the table for production class 2a.</t>
  </si>
  <si>
    <t>Enter the registry ID number in row 2633 of the table for production class 2a.</t>
  </si>
  <si>
    <t>Enter the registry ID number in row 2634 of the table for production class 2a.</t>
  </si>
  <si>
    <t>Enter the registry ID number in row 2635 of the table for production class 2a.</t>
  </si>
  <si>
    <t>Enter the registry ID number in row 2636 of the table for production class 2a.</t>
  </si>
  <si>
    <t>Enter the registry ID number in row 2637 of the table for production class 2a.</t>
  </si>
  <si>
    <t>Enter the registry ID number in row 2638 of the table for production class 2a.</t>
  </si>
  <si>
    <t>Enter the registry ID number in row 2639 of the table for production class 2a.</t>
  </si>
  <si>
    <t>Enter the registry ID number in row 2640 of the table for production class 2a.</t>
  </si>
  <si>
    <t>Enter the registry ID number in row 2641 of the table for production class 2a.</t>
  </si>
  <si>
    <t>Enter the registry ID number in row 2642 of the table for production class 2a.</t>
  </si>
  <si>
    <t>Enter the registry ID number in row 2643 of the table for production class 2a.</t>
  </si>
  <si>
    <t>Enter the registry ID number in row 2644 of the table for production class 2a.</t>
  </si>
  <si>
    <t>Enter the registry ID number in row 2645 of the table for production class 2a.</t>
  </si>
  <si>
    <t>Enter the registry ID number in row 2646 of the table for production class 2a.</t>
  </si>
  <si>
    <t>Enter the registry ID number in row 2647 of the table for production class 2a.</t>
  </si>
  <si>
    <t>Enter the registry ID number in row 2648 of the table for production class 2a.</t>
  </si>
  <si>
    <t>Enter the registry ID number in row 2649 of the table for production class 2a.</t>
  </si>
  <si>
    <t>Enter the registry ID number in row 2650 of the table for production class 2a.</t>
  </si>
  <si>
    <t>Enter the registry ID number in row 2651 of the table for production class 2a.</t>
  </si>
  <si>
    <t>Enter the registry ID number in row 2652 of the table for production class 2a.</t>
  </si>
  <si>
    <t>Enter the registry ID number in row 2653 of the table for production class 2a.</t>
  </si>
  <si>
    <t>Enter the registry ID number in row 2654 of the table for production class 2a.</t>
  </si>
  <si>
    <t>Enter the registry ID number in row 2655 of the table for production class 2a.</t>
  </si>
  <si>
    <t>Enter the registry ID number in row 2656 of the table for production class 2a.</t>
  </si>
  <si>
    <t>Enter the registry ID number in row 2657 of the table for production class 2a.</t>
  </si>
  <si>
    <t>Enter the registry ID number in row 2658 of the table for production class 2a.</t>
  </si>
  <si>
    <t>Enter the registry ID number in row 2659 of the table for production class 2a.</t>
  </si>
  <si>
    <t>Enter the registry ID number in row 2660 of the table for production class 2a.</t>
  </si>
  <si>
    <t>Enter the registry ID number in row 2661 of the table for production class 2a.</t>
  </si>
  <si>
    <t>Enter the registry ID number in row 2662 of the table for production class 2a.</t>
  </si>
  <si>
    <t>Enter the registry ID number in row 2663 of the table for production class 2a.</t>
  </si>
  <si>
    <t>Enter the registry ID number in row 2664 of the table for production class 2a.</t>
  </si>
  <si>
    <t>Enter the registry ID number in row 2665 of the table for production class 2a.</t>
  </si>
  <si>
    <t>Enter the registry ID number in row 2666 of the table for production class 2a.</t>
  </si>
  <si>
    <t>Enter the registry ID number in row 2667 of the table for production class 2a.</t>
  </si>
  <si>
    <t>Enter the registry ID number in row 2668 of the table for production class 2a.</t>
  </si>
  <si>
    <t>Enter the registry ID number in row 2669 of the table for production class 2a.</t>
  </si>
  <si>
    <t>Enter the registry ID number in row 2670 of the table for production class 2a.</t>
  </si>
  <si>
    <t>Enter the registry ID number in row 2671 of the table for production class 2a.</t>
  </si>
  <si>
    <t>Enter the registry ID number in row 2672 of the table for production class 2a.</t>
  </si>
  <si>
    <t>Enter the registry ID number in row 2673 of the table for production class 2a.</t>
  </si>
  <si>
    <t>Enter the registry ID number in row 2674 of the table for production class 2a.</t>
  </si>
  <si>
    <t>Enter the registry ID number in row 2675 of the table for production class 2a.</t>
  </si>
  <si>
    <t>Enter the registry ID number in row 2676 of the table for production class 2a.</t>
  </si>
  <si>
    <t>Enter the registry ID number in row 2677 of the table for production class 2a.</t>
  </si>
  <si>
    <t>Enter the registry ID number in row 2678 of the table for production class 2a.</t>
  </si>
  <si>
    <t>Enter the registry ID number in row 2679 of the table for production class 2a.</t>
  </si>
  <si>
    <t>Enter the registry ID number in row 2680 of the table for production class 2a.</t>
  </si>
  <si>
    <t>Enter the registry ID number in row 2681 of the table for production class 2a.</t>
  </si>
  <si>
    <t>Enter the registry ID number in row 2682 of the table for production class 2a.</t>
  </si>
  <si>
    <t>Enter the registry ID number in row 2683 of the table for production class 2a.</t>
  </si>
  <si>
    <t>Enter the registry ID number in row 2684 of the table for production class 2a.</t>
  </si>
  <si>
    <t>Enter the registry ID number in row 2685 of the table for production class 2a.</t>
  </si>
  <si>
    <t>Enter the registry ID number in row 2686 of the table for production class 2a.</t>
  </si>
  <si>
    <t>Enter the registry ID number in row 2687 of the table for production class 2a.</t>
  </si>
  <si>
    <t>Enter the registry ID number in row 2688 of the table for production class 2a.</t>
  </si>
  <si>
    <t>Enter the registry ID number in row 2689 of the table for production class 2a.</t>
  </si>
  <si>
    <t>Enter the registry ID number in row 2690 of the table for production class 2a.</t>
  </si>
  <si>
    <t>Enter the registry ID number in row 2691 of the table for production class 2a.</t>
  </si>
  <si>
    <t>Enter the registry ID number in row 2692 of the table for production class 2a.</t>
  </si>
  <si>
    <t>Enter the registry ID number in row 2693 of the table for production class 2a.</t>
  </si>
  <si>
    <t>Enter the registry ID number in row 2694 of the table for production class 2a.</t>
  </si>
  <si>
    <t>Enter the registry ID number in row 2695 of the table for production class 2a.</t>
  </si>
  <si>
    <t>Enter the registry ID number in row 2696 of the table for production class 2a.</t>
  </si>
  <si>
    <t>Enter the registry ID number in row 2697 of the table for production class 2a.</t>
  </si>
  <si>
    <t>Enter the registry ID number in row 2698 of the table for production class 2a.</t>
  </si>
  <si>
    <t>Enter the registry ID number in row 2699 of the table for production class 2a.</t>
  </si>
  <si>
    <t>Enter the registry ID number in row 2700 of the table for production class 2a.</t>
  </si>
  <si>
    <t>Enter the registry ID number in row 2701 of the table for production class 2a.</t>
  </si>
  <si>
    <t>Enter the registry ID number in row 2702 of the table for production class 2a.</t>
  </si>
  <si>
    <t>Enter the registry ID number in row 2703 of the table for production class 2a.</t>
  </si>
  <si>
    <t>Enter the registry ID number in row 2704 of the table for production class 2a.</t>
  </si>
  <si>
    <t>Enter the registry ID number in row 2705 of the table for production class 2a.</t>
  </si>
  <si>
    <t>Enter the registry ID number in row 2706 of the table for production class 2a.</t>
  </si>
  <si>
    <t>Enter the registry ID number in row 2707 of the table for production class 2a.</t>
  </si>
  <si>
    <t>Enter the registry ID number in row 2708 of the table for production class 2a.</t>
  </si>
  <si>
    <t>Enter the registry ID number in row 2709 of the table for production class 2a.</t>
  </si>
  <si>
    <t>Enter the registry ID number in row 2710 of the table for production class 2a.</t>
  </si>
  <si>
    <t>Enter the registry ID number in row 2711 of the table for production class 2a.</t>
  </si>
  <si>
    <t>Enter the registry ID number in row 2712 of the table for production class 2a.</t>
  </si>
  <si>
    <t>Enter the registry ID number in row 2713 of the table for production class 2a.</t>
  </si>
  <si>
    <t>Enter the registry ID number in row 2714 of the table for production class 2a.</t>
  </si>
  <si>
    <t>Enter the registry ID number in row 2715 of the table for production class 2a.</t>
  </si>
  <si>
    <t>Enter the registry ID number in row 2716 of the table for production class 2a.</t>
  </si>
  <si>
    <t>Enter the registry ID number in row 2717 of the table for production class 2a.</t>
  </si>
  <si>
    <t>Enter the registry ID number in row 2718 of the table for production class 2a.</t>
  </si>
  <si>
    <t>Enter the registry ID number in row 2719 of the table for production class 2a.</t>
  </si>
  <si>
    <t>Enter the registry ID number in row 2720 of the table for production class 2a.</t>
  </si>
  <si>
    <t>Enter the registry ID number in row 2721 of the table for production class 2a.</t>
  </si>
  <si>
    <t>Enter the registry ID number in row 2722 of the table for production class 2a.</t>
  </si>
  <si>
    <t>Enter the registry ID number in row 2723 of the table for production class 2a.</t>
  </si>
  <si>
    <t>Enter the registry ID number in row 2724 of the table for production class 2a.</t>
  </si>
  <si>
    <t>Enter the registry ID number in row 2725 of the table for production class 2a.</t>
  </si>
  <si>
    <t>Enter the registry ID number in row 2726 of the table for production class 2a.</t>
  </si>
  <si>
    <t>Enter the registry ID number in row 2727 of the table for production class 2a.</t>
  </si>
  <si>
    <t>Enter the registry ID number in row 2728 of the table for production class 2a.</t>
  </si>
  <si>
    <t>Enter the registry ID number in row 2729 of the table for production class 2a.</t>
  </si>
  <si>
    <t>Enter the registry ID number in row 2730 of the table for production class 2a.</t>
  </si>
  <si>
    <t>Enter the registry ID number in row 2731 of the table for production class 2a.</t>
  </si>
  <si>
    <t>Enter the registry ID number in row 2732 of the table for production class 2a.</t>
  </si>
  <si>
    <t>Enter the registry ID number in row 2733 of the table for production class 2a.</t>
  </si>
  <si>
    <t>Enter the registry ID number in row 2734 of the table for production class 2a.</t>
  </si>
  <si>
    <t>Enter the registry ID number in row 2735 of the table for production class 2a.</t>
  </si>
  <si>
    <t>Enter the registry ID number in row 2736 of the table for production class 2a.</t>
  </si>
  <si>
    <t>Enter the registry ID number in row 2737 of the table for production class 2a.</t>
  </si>
  <si>
    <t>Enter the registry ID number in row 2738 of the table for production class 2a.</t>
  </si>
  <si>
    <t>Enter the registry ID number in row 2739 of the table for production class 2a.</t>
  </si>
  <si>
    <t>Enter the registry ID number in row 2740 of the table for production class 2a.</t>
  </si>
  <si>
    <t>Enter the registry ID number in row 2741 of the table for production class 2a.</t>
  </si>
  <si>
    <t>Enter the registry ID number in row 2742 of the table for production class 2a.</t>
  </si>
  <si>
    <t>Enter the registry ID number in row 2743 of the table for production class 2a.</t>
  </si>
  <si>
    <t>Enter the registry ID number in row 2744 of the table for production class 2a.</t>
  </si>
  <si>
    <t>Enter the registry ID number in row 2745 of the table for production class 2a.</t>
  </si>
  <si>
    <t>Enter the registry ID number in row 2746 of the table for production class 2a.</t>
  </si>
  <si>
    <t>Enter the registry ID number in row 2747 of the table for production class 2a.</t>
  </si>
  <si>
    <t>Enter the registry ID number in row 2748 of the table for production class 2a.</t>
  </si>
  <si>
    <t>Enter the registry ID number in row 2749 of the table for production class 2a.</t>
  </si>
  <si>
    <t>Enter the registry ID number in row 2750 of the table for production class 2a.</t>
  </si>
  <si>
    <t>Enter the registry ID number in row 2751 of the table for production class 2a.</t>
  </si>
  <si>
    <t>Enter the registry ID number in row 2752 of the table for production class 2a.</t>
  </si>
  <si>
    <t>Enter the registry ID number in row 2753 of the table for production class 2a.</t>
  </si>
  <si>
    <t>Enter the registry ID number in row 2754 of the table for production class 2a.</t>
  </si>
  <si>
    <t>Enter the registry ID number in row 2755 of the table for production class 2a.</t>
  </si>
  <si>
    <t>Enter the registry ID number in row 2756 of the table for production class 2a.</t>
  </si>
  <si>
    <t>Enter the registry ID number in row 2757 of the table for production class 2a.</t>
  </si>
  <si>
    <t>Enter the registry ID number in row 2758 of the table for production class 2a.</t>
  </si>
  <si>
    <t>Enter the registry ID number in row 2759 of the table for production class 2a.</t>
  </si>
  <si>
    <t>Enter the registry ID number in row 2760 of the table for production class 2a.</t>
  </si>
  <si>
    <t>Enter the registry ID number in row 2761 of the table for production class 2a.</t>
  </si>
  <si>
    <t>Enter the registry ID number in row 2762 of the table for production class 2a.</t>
  </si>
  <si>
    <t>Enter the registry ID number in row 2763 of the table for production class 2a.</t>
  </si>
  <si>
    <t>Enter the registry ID number in row 2764 of the table for production class 2a.</t>
  </si>
  <si>
    <t>Enter the registry ID number in row 2765 of the table for production class 2a.</t>
  </si>
  <si>
    <t>Enter the registry ID number in row 2766 of the table for production class 2a.</t>
  </si>
  <si>
    <t>Enter the registry ID number in row 2767 of the table for production class 2a.</t>
  </si>
  <si>
    <t>Enter the registry ID number in row 2768 of the table for production class 2a.</t>
  </si>
  <si>
    <t>Enter the registry ID number in row 2769 of the table for production class 2a.</t>
  </si>
  <si>
    <t>Enter the registry ID number in row 2770 of the table for production class 2a.</t>
  </si>
  <si>
    <t>Enter the registry ID number in row 2771 of the table for production class 2a.</t>
  </si>
  <si>
    <t>Enter the registry ID number in row 2772 of the table for production class 2a.</t>
  </si>
  <si>
    <t>Enter the registry ID number in row 2773 of the table for production class 2a.</t>
  </si>
  <si>
    <t>Enter the registry ID number in row 2774 of the table for production class 2a.</t>
  </si>
  <si>
    <t>Enter the registry ID number in row 2775 of the table for production class 2a.</t>
  </si>
  <si>
    <t>Enter the registry ID number in row 2776 of the table for production class 2a.</t>
  </si>
  <si>
    <t>Enter the registry ID number in row 2777 of the table for production class 2a.</t>
  </si>
  <si>
    <t>Enter the registry ID number in row 2778 of the table for production class 2a.</t>
  </si>
  <si>
    <t>Enter the registry ID number in row 2779 of the table for production class 2a.</t>
  </si>
  <si>
    <t>Enter the registry ID number in row 2780 of the table for production class 2a.</t>
  </si>
  <si>
    <t>Enter the registry ID number in row 2781 of the table for production class 2a.</t>
  </si>
  <si>
    <t>Enter the registry ID number in row 2782 of the table for production class 2a.</t>
  </si>
  <si>
    <t>Enter the registry ID number in row 2783 of the table for production class 2a.</t>
  </si>
  <si>
    <t>Enter the registry ID number in row 2784 of the table for production class 2a.</t>
  </si>
  <si>
    <t>Enter the registry ID number in row 2785 of the table for production class 2a.</t>
  </si>
  <si>
    <t>Enter the registry ID number in row 2786 of the table for production class 2a.</t>
  </si>
  <si>
    <t>Enter the registry ID number in row 2787 of the table for production class 2a.</t>
  </si>
  <si>
    <t>Enter the registry ID number in row 2788 of the table for production class 2a.</t>
  </si>
  <si>
    <t>Enter the registry ID number in row 2789 of the table for production class 2a.</t>
  </si>
  <si>
    <t>Enter the registry ID number in row 2790 of the table for production class 2a.</t>
  </si>
  <si>
    <t>Enter the registry ID number in row 2791 of the table for production class 2a.</t>
  </si>
  <si>
    <t>Enter the registry ID number in row 2792 of the table for production class 2a.</t>
  </si>
  <si>
    <t>Enter the registry ID number in row 2793 of the table for production class 2a.</t>
  </si>
  <si>
    <t>Enter the registry ID number in row 2794 of the table for production class 2a.</t>
  </si>
  <si>
    <t>Enter the registry ID number in row 2795 of the table for production class 2a.</t>
  </si>
  <si>
    <t>Enter the registry ID number in row 2796 of the table for production class 2a.</t>
  </si>
  <si>
    <t>Enter the registry ID number in row 2797 of the table for production class 2a.</t>
  </si>
  <si>
    <t>Enter the registry ID number in row 2798 of the table for production class 2a.</t>
  </si>
  <si>
    <t>Enter the registry ID number in row 2799 of the table for production class 2a.</t>
  </si>
  <si>
    <t>Enter the registry ID number in row 2800 of the table for production class 2a.</t>
  </si>
  <si>
    <t>Enter the registry ID number in row 2801 of the table for production class 2a.</t>
  </si>
  <si>
    <t>Enter the registry ID number in row 2802 of the table for production class 2a.</t>
  </si>
  <si>
    <t>Enter the registry ID number in row 2803 of the table for production class 2a.</t>
  </si>
  <si>
    <t>Enter the registry ID number in row 2804 of the table for production class 2a.</t>
  </si>
  <si>
    <t>Enter the registry ID number in row 2805 of the table for production class 2a.</t>
  </si>
  <si>
    <t>Enter the registry ID number in row 2806 of the table for production class 2a.</t>
  </si>
  <si>
    <t>Enter the registry ID number in row 2807 of the table for production class 2a.</t>
  </si>
  <si>
    <t>Enter the registry ID number in row 2808 of the table for production class 2a.</t>
  </si>
  <si>
    <t>Enter the registry ID number in row 2809 of the table for production class 2a.</t>
  </si>
  <si>
    <t>Enter the registry ID number in row 2810 of the table for production class 2a.</t>
  </si>
  <si>
    <t>Enter the registry ID number in row 2811 of the table for production class 2a.</t>
  </si>
  <si>
    <t>Enter the registry ID number in row 2812 of the table for production class 2a.</t>
  </si>
  <si>
    <t>Enter the registry ID number in row 2813 of the table for production class 2a.</t>
  </si>
  <si>
    <t>Enter the registry ID number in row 2814 of the table for production class 2a.</t>
  </si>
  <si>
    <t>Enter the registry ID number in row 2815 of the table for production class 2a.</t>
  </si>
  <si>
    <t>Enter the registry ID number in row 2816 of the table for production class 2a.</t>
  </si>
  <si>
    <t>Enter the registry ID number in row 2817 of the table for production class 2a.</t>
  </si>
  <si>
    <t>Enter the registry ID number in row 2818 of the table for production class 2a.</t>
  </si>
  <si>
    <t>Enter the registry ID number in row 2819 of the table for production class 2a.</t>
  </si>
  <si>
    <t>Enter the registry ID number in row 2820 of the table for production class 2a.</t>
  </si>
  <si>
    <t>Enter the registry ID number in row 2821 of the table for production class 2a.</t>
  </si>
  <si>
    <t>Enter the registry ID number in row 2822 of the table for production class 2a.</t>
  </si>
  <si>
    <t>Enter the registry ID number in row 2823 of the table for production class 2a.</t>
  </si>
  <si>
    <t>Enter the registry ID number in row 2824 of the table for production class 2a.</t>
  </si>
  <si>
    <t>Enter the registry ID number in row 2825 of the table for production class 2a.</t>
  </si>
  <si>
    <t>Enter the registry ID number in row 2826 of the table for production class 2a.</t>
  </si>
  <si>
    <t>Enter the registry ID number in row 2827 of the table for production class 2a.</t>
  </si>
  <si>
    <t>Enter the registry ID number in row 2828 of the table for production class 2a.</t>
  </si>
  <si>
    <t>Enter the registry ID number in row 2829 of the table for production class 2a.</t>
  </si>
  <si>
    <t>Enter the registry ID number in row 2830 of the table for production class 2a.</t>
  </si>
  <si>
    <t>Enter the registry ID number in row 2831 of the table for production class 2a.</t>
  </si>
  <si>
    <t>Enter the registry ID number in row 2832 of the table for production class 2a.</t>
  </si>
  <si>
    <t>Enter the registry ID number in row 2833 of the table for production class 2a.</t>
  </si>
  <si>
    <t>Enter the registry ID number in row 2834 of the table for production class 2a.</t>
  </si>
  <si>
    <t>Enter the registry ID number in row 2835 of the table for production class 2a.</t>
  </si>
  <si>
    <t>Enter the registry ID number in row 2836 of the table for production class 2a.</t>
  </si>
  <si>
    <t>Enter the registry ID number in row 2837 of the table for production class 2a.</t>
  </si>
  <si>
    <t>Enter the registry ID number in row 2838 of the table for production class 2a.</t>
  </si>
  <si>
    <t>Enter the registry ID number in row 2839 of the table for production class 2a.</t>
  </si>
  <si>
    <t>Enter the registry ID number in row 2840 of the table for production class 2a.</t>
  </si>
  <si>
    <t>Enter the registry ID number in row 2841 of the table for production class 2a.</t>
  </si>
  <si>
    <t>Enter the registry ID number in row 2842 of the table for production class 2a.</t>
  </si>
  <si>
    <t>Enter the registry ID number in row 2843 of the table for production class 2a.</t>
  </si>
  <si>
    <t>Enter the registry ID number in row 2844 of the table for production class 2a.</t>
  </si>
  <si>
    <t>Enter the registry ID number in row 2845 of the table for production class 2a.</t>
  </si>
  <si>
    <t>Enter the registry ID number in row 2846 of the table for production class 2a.</t>
  </si>
  <si>
    <t>Enter the registry ID number in row 2847 of the table for production class 2a.</t>
  </si>
  <si>
    <t>Enter the registry ID number in row 2848 of the table for production class 2a.</t>
  </si>
  <si>
    <t>Enter the registry ID number in row 2849 of the table for production class 2a.</t>
  </si>
  <si>
    <t>Enter the registry ID number in row 2850 of the table for production class 2a.</t>
  </si>
  <si>
    <t>Enter the registry ID number in row 2851 of the table for production class 2a.</t>
  </si>
  <si>
    <t>Enter the registry ID number in row 2852 of the table for production class 2a.</t>
  </si>
  <si>
    <t>Enter the registry ID number in row 2853 of the table for production class 2a.</t>
  </si>
  <si>
    <t>Enter the registry ID number in row 2854 of the table for production class 2a.</t>
  </si>
  <si>
    <t>Enter the registry ID number in row 2855 of the table for production class 2a.</t>
  </si>
  <si>
    <t>Enter the registry ID number in row 2856 of the table for production class 2a.</t>
  </si>
  <si>
    <t>Enter the registry ID number in row 2857 of the table for production class 2a.</t>
  </si>
  <si>
    <t>Enter the registry ID number in row 2858 of the table for production class 2a.</t>
  </si>
  <si>
    <t>Enter the registry ID number in row 2859 of the table for production class 2a.</t>
  </si>
  <si>
    <t>Enter the registry ID number in row 2860 of the table for production class 2a.</t>
  </si>
  <si>
    <t>Enter the registry ID number in row 2861 of the table for production class 2a.</t>
  </si>
  <si>
    <t>Enter the registry ID number in row 2862 of the table for production class 2a.</t>
  </si>
  <si>
    <t>Enter the registry ID number in row 2863 of the table for production class 2a.</t>
  </si>
  <si>
    <t>Enter the registry ID number in row 2864 of the table for production class 2a.</t>
  </si>
  <si>
    <t>Enter the registry ID number in row 2865 of the table for production class 2a.</t>
  </si>
  <si>
    <t>Enter the registry ID number in row 2866 of the table for production class 2a.</t>
  </si>
  <si>
    <t>Enter the registry ID number in row 2867 of the table for production class 2a.</t>
  </si>
  <si>
    <t>Enter the registry ID number in row 2868 of the table for production class 2a.</t>
  </si>
  <si>
    <t>Enter the registry ID number in row 2869 of the table for production class 2a.</t>
  </si>
  <si>
    <t>Enter the registry ID number in row 2870 of the table for production class 2a.</t>
  </si>
  <si>
    <t>Enter the registry ID number in row 2871 of the table for production class 2a.</t>
  </si>
  <si>
    <t>Enter the registry ID number in row 2872 of the table for production class 2a.</t>
  </si>
  <si>
    <t>Enter the registry ID number in row 2873 of the table for production class 2a.</t>
  </si>
  <si>
    <t>Enter the registry ID number in row 2874 of the table for production class 2a.</t>
  </si>
  <si>
    <t>Enter the registry ID number in row 2875 of the table for production class 2a.</t>
  </si>
  <si>
    <t>Enter the registry ID number in row 2876 of the table for production class 2a.</t>
  </si>
  <si>
    <t>Enter the registry ID number in row 2877 of the table for production class 2a.</t>
  </si>
  <si>
    <t>Enter the registry ID number in row 2878 of the table for production class 2a.</t>
  </si>
  <si>
    <t>Enter the registry ID number in row 2879 of the table for production class 2a.</t>
  </si>
  <si>
    <t>Enter the registry ID number in row 2880 of the table for production class 2a.</t>
  </si>
  <si>
    <t>Enter the registry ID number in row 2881 of the table for production class 2a.</t>
  </si>
  <si>
    <t>Enter the registry ID number in row 2882 of the table for production class 2a.</t>
  </si>
  <si>
    <t>Enter the registry ID number in row 2883 of the table for production class 2a.</t>
  </si>
  <si>
    <t>Enter the registry ID number in row 2884 of the table for production class 2a.</t>
  </si>
  <si>
    <t>Enter the registry ID number in row 2885 of the table for production class 2a.</t>
  </si>
  <si>
    <t>Enter the registry ID number in row 2886 of the table for production class 2a.</t>
  </si>
  <si>
    <t>Enter the registry ID number in row 2887 of the table for production class 2a.</t>
  </si>
  <si>
    <t>Enter the registry ID number in row 2888 of the table for production class 2a.</t>
  </si>
  <si>
    <t>Enter the registry ID number in row 2889 of the table for production class 2a.</t>
  </si>
  <si>
    <t>Enter the registry ID number in row 2890 of the table for production class 2a.</t>
  </si>
  <si>
    <t>Enter the registry ID number in row 2891 of the table for production class 2a.</t>
  </si>
  <si>
    <t>Enter the registry ID number in row 2892 of the table for production class 2a.</t>
  </si>
  <si>
    <t>Enter the registry ID number in row 2893 of the table for production class 2a.</t>
  </si>
  <si>
    <t>Enter the registry ID number in row 2894 of the table for production class 2a.</t>
  </si>
  <si>
    <t>Enter the registry ID number in row 2895 of the table for production class 2a.</t>
  </si>
  <si>
    <t>Enter the registry ID number in row 2896 of the table for production class 2a.</t>
  </si>
  <si>
    <t>Enter the registry ID number in row 2897 of the table for production class 2a.</t>
  </si>
  <si>
    <t>Enter the registry ID number in row 2898 of the table for production class 2a.</t>
  </si>
  <si>
    <t>Enter the registry ID number in row 2899 of the table for production class 2a.</t>
  </si>
  <si>
    <t>Enter the registry ID number in row 2900 of the table for production class 2a.</t>
  </si>
  <si>
    <t>Enter the registry ID number in row 2901 of the table for production class 2a.</t>
  </si>
  <si>
    <t>Enter the registry ID number in row 2902 of the table for production class 2a.</t>
  </si>
  <si>
    <t>Enter the registry ID number in row 2903 of the table for production class 2a.</t>
  </si>
  <si>
    <t>Enter the registry ID number in row 2904 of the table for production class 2a.</t>
  </si>
  <si>
    <t>Enter the registry ID number in row 2905 of the table for production class 2a.</t>
  </si>
  <si>
    <t>Enter the registry ID number in row 2906 of the table for production class 2a.</t>
  </si>
  <si>
    <t>Enter the registry ID number in row 2907 of the table for production class 2a.</t>
  </si>
  <si>
    <t>Enter the registry ID number in row 2908 of the table for production class 2a.</t>
  </si>
  <si>
    <t>Enter the registry ID number in row 2909 of the table for production class 2a.</t>
  </si>
  <si>
    <t>Enter the registry ID number in row 2910 of the table for production class 2a.</t>
  </si>
  <si>
    <t>Enter the registry ID number in row 2911 of the table for production class 2a.</t>
  </si>
  <si>
    <t>Enter the registry ID number in row 2912 of the table for production class 2a.</t>
  </si>
  <si>
    <t>Enter the registry ID number in row 2913 of the table for production class 2a.</t>
  </si>
  <si>
    <t>Enter the registry ID number in row 2914 of the table for production class 2a.</t>
  </si>
  <si>
    <t>Enter the registry ID number in row 2915 of the table for production class 2a.</t>
  </si>
  <si>
    <t>Enter the registry ID number in row 2916 of the table for production class 2a.</t>
  </si>
  <si>
    <t>Enter the registry ID number in row 2917 of the table for production class 2a.</t>
  </si>
  <si>
    <t>Enter the registry ID number in row 2918 of the table for production class 2a.</t>
  </si>
  <si>
    <t>Enter the registry ID number in row 2919 of the table for production class 2a.</t>
  </si>
  <si>
    <t>Enter the registry ID number in row 2920 of the table for production class 2a.</t>
  </si>
  <si>
    <t>Enter the registry ID number in row 2921 of the table for production class 2a.</t>
  </si>
  <si>
    <t>Enter the registry ID number in row 2922 of the table for production class 2a.</t>
  </si>
  <si>
    <t>Enter the registry ID number in row 2923 of the table for production class 2a.</t>
  </si>
  <si>
    <t>Enter the registry ID number in row 2924 of the table for production class 2a.</t>
  </si>
  <si>
    <t>Enter the registry ID number in row 2925 of the table for production class 2a.</t>
  </si>
  <si>
    <t>Enter the registry ID number in row 2926 of the table for production class 2a.</t>
  </si>
  <si>
    <t>Enter the registry ID number in row 2927 of the table for production class 2a.</t>
  </si>
  <si>
    <t>Enter the registry ID number in row 2928 of the table for production class 2a.</t>
  </si>
  <si>
    <t>Enter the registry ID number in row 2929 of the table for production class 2a.</t>
  </si>
  <si>
    <t>Enter the registry ID number in row 2930 of the table for production class 2a.</t>
  </si>
  <si>
    <t>Enter the registry ID number in row 2931 of the table for production class 2a.</t>
  </si>
  <si>
    <t>Enter the registry ID number in row 2932 of the table for production class 2a.</t>
  </si>
  <si>
    <t>Enter the registry ID number in row 2933 of the table for production class 2a.</t>
  </si>
  <si>
    <t>Enter the registry ID number in row 2934 of the table for production class 2a.</t>
  </si>
  <si>
    <t>Enter the registry ID number in row 2935 of the table for production class 2a.</t>
  </si>
  <si>
    <t>Enter the registry ID number in row 2936 of the table for production class 2a.</t>
  </si>
  <si>
    <t>Enter the registry ID number in row 2937 of the table for production class 2a.</t>
  </si>
  <si>
    <t>Enter the registry ID number in row 2938 of the table for production class 2a.</t>
  </si>
  <si>
    <t>Enter the registry ID number in row 2939 of the table for production class 2a.</t>
  </si>
  <si>
    <t>Enter the registry ID number in row 2940 of the table for production class 2a.</t>
  </si>
  <si>
    <t>Enter the registry ID number in row 2941 of the table for production class 2a.</t>
  </si>
  <si>
    <t>Enter the registry ID number in row 2942 of the table for production class 2a.</t>
  </si>
  <si>
    <t>Enter the registry ID number in row 2943 of the table for production class 2a.</t>
  </si>
  <si>
    <t>Enter the registry ID number in row 2944 of the table for production class 2a.</t>
  </si>
  <si>
    <t>Enter the registry ID number in row 2945 of the table for production class 2a.</t>
  </si>
  <si>
    <t>Enter the registry ID number in row 2946 of the table for production class 2a.</t>
  </si>
  <si>
    <t>Enter the registry ID number in row 2947 of the table for production class 2a.</t>
  </si>
  <si>
    <t>Enter the registry ID number in row 2948 of the table for production class 2a.</t>
  </si>
  <si>
    <t>Enter the registry ID number in row 2949 of the table for production class 2a.</t>
  </si>
  <si>
    <t>Enter the registry ID number in row 2950 of the table for production class 2a.</t>
  </si>
  <si>
    <t>Enter the registry ID number in row 2951 of the table for production class 2a.</t>
  </si>
  <si>
    <t>Enter the registry ID number in row 2952 of the table for production class 2a.</t>
  </si>
  <si>
    <t>Enter the registry ID number in row 2953 of the table for production class 2a.</t>
  </si>
  <si>
    <t>Enter the registry ID number in row 2954 of the table for production class 2a.</t>
  </si>
  <si>
    <t>Enter the registry ID number in row 2955 of the table for production class 2a.</t>
  </si>
  <si>
    <t>Enter the registry ID number in row 2956 of the table for production class 2a.</t>
  </si>
  <si>
    <t>Enter the registry ID number in row 2957 of the table for production class 2a.</t>
  </si>
  <si>
    <t>Enter the registry ID number in row 2958 of the table for production class 2a.</t>
  </si>
  <si>
    <t>Enter the registry ID number in row 2959 of the table for production class 2a.</t>
  </si>
  <si>
    <t>Enter the registry ID number in row 2960 of the table for production class 2a.</t>
  </si>
  <si>
    <t>Enter the registry ID number in row 2961 of the table for production class 2a.</t>
  </si>
  <si>
    <t>Enter the registry ID number in row 2962 of the table for production class 2a.</t>
  </si>
  <si>
    <t>Enter the registry ID number in row 2963 of the table for production class 2a.</t>
  </si>
  <si>
    <t>Enter the registry ID number in row 2964 of the table for production class 2a.</t>
  </si>
  <si>
    <t>Enter the registry ID number in row 2965 of the table for production class 2a.</t>
  </si>
  <si>
    <t>Enter the registry ID number in row 2966 of the table for production class 2a.</t>
  </si>
  <si>
    <t>Enter the registry ID number in row 2967 of the table for production class 2a.</t>
  </si>
  <si>
    <t>Enter the registry ID number in row 2968 of the table for production class 2a.</t>
  </si>
  <si>
    <t>Enter the registry ID number in row 2969 of the table for production class 2a.</t>
  </si>
  <si>
    <t>Enter the registry ID number in row 2970 of the table for production class 2a.</t>
  </si>
  <si>
    <t>Enter the registry ID number in row 2971 of the table for production class 2a.</t>
  </si>
  <si>
    <t>Enter the registry ID number in row 2972 of the table for production class 2a.</t>
  </si>
  <si>
    <t>Enter the registry ID number in row 2973 of the table for production class 2a.</t>
  </si>
  <si>
    <t>Enter the registry ID number in row 2974 of the table for production class 2a.</t>
  </si>
  <si>
    <t>Enter the registry ID number in row 2975 of the table for production class 2a.</t>
  </si>
  <si>
    <t>Enter the registry ID number in row 2976 of the table for production class 2a.</t>
  </si>
  <si>
    <t>Enter the registry ID number in row 2977 of the table for production class 2a.</t>
  </si>
  <si>
    <t>Enter the registry ID number in row 2978 of the table for production class 2a.</t>
  </si>
  <si>
    <t>Enter the registry ID number in row 2979 of the table for production class 2a.</t>
  </si>
  <si>
    <t>Enter the registry ID number in row 2980 of the table for production class 2a.</t>
  </si>
  <si>
    <t>Enter the registry ID number in row 2981 of the table for production class 2a.</t>
  </si>
  <si>
    <t>Enter the registry ID number in row 2982 of the table for production class 2a.</t>
  </si>
  <si>
    <t>Enter the registry ID number in row 2983 of the table for production class 2a.</t>
  </si>
  <si>
    <t>Enter the registry ID number in row 2984 of the table for production class 2a.</t>
  </si>
  <si>
    <t>Enter the registry ID number in row 2985 of the table for production class 2a.</t>
  </si>
  <si>
    <t>Enter the registry ID number in row 2986 of the table for production class 2a.</t>
  </si>
  <si>
    <t>Enter the registry ID number in row 2987 of the table for production class 2a.</t>
  </si>
  <si>
    <t>Enter the registry ID number in row 2988 of the table for production class 2a.</t>
  </si>
  <si>
    <t>Enter the registry ID number in row 2989 of the table for production class 2a.</t>
  </si>
  <si>
    <t>Enter the registry ID number in row 2990 of the table for production class 2a.</t>
  </si>
  <si>
    <t>Enter the registry ID number in row 2991 of the table for production class 2a.</t>
  </si>
  <si>
    <t>Enter the registry ID number in row 2992 of the table for production class 2a.</t>
  </si>
  <si>
    <t>Enter the registry ID number in row 2993 of the table for production class 2a.</t>
  </si>
  <si>
    <t>Enter the registry ID number in row 2994 of the table for production class 2a.</t>
  </si>
  <si>
    <t>Enter the registry ID number in row 2995 of the table for production class 2a.</t>
  </si>
  <si>
    <t>Enter the registry ID number in row 2996 of the table for production class 2a.</t>
  </si>
  <si>
    <t>Enter the registry ID number in row 2997 of the table for production class 2a.</t>
  </si>
  <si>
    <t>Enter the registry ID number in row 2998 of the table for production class 2a.</t>
  </si>
  <si>
    <t>Enter the registry ID number in row 2999 of the table for production class 2a.</t>
  </si>
  <si>
    <t>Enter the registry ID number in row 3000 of the table for production class 2a.</t>
  </si>
  <si>
    <t>Enter the registry ID number in row 3001 of the table for production class 2a.</t>
  </si>
  <si>
    <t>Enter the registry ID number in row 3002 of the table for production class 2a.</t>
  </si>
  <si>
    <t>Enter the registry ID number in row 3003 of the table for production class 2a.</t>
  </si>
  <si>
    <t>Enter the registry ID number in row 3004 of the table for production class 2a.</t>
  </si>
  <si>
    <t>Enter the registry ID number in row 3005 of the table for production class 2a.</t>
  </si>
  <si>
    <t>Enter the registry ID number in row 3006 of the table for production class 2a.</t>
  </si>
  <si>
    <t>Enter the registry ID number in row 3007 of the table for production class 2a.</t>
  </si>
  <si>
    <t>Enter the registry ID number in row 3008 of the table for production class 2a.</t>
  </si>
  <si>
    <t>Enter the registry ID number in row 3009 of the table for production class 2a.</t>
  </si>
  <si>
    <t>Enter the registry ID number in row 3010 of the table for production class 2a.</t>
  </si>
  <si>
    <t>Enter the registry ID number in row 3011 of the table for production class 2a.</t>
  </si>
  <si>
    <t>Enter the registry ID number in row 3012 of the table for production class 2a.</t>
  </si>
  <si>
    <t>Enter the registry ID number in row 3013 of the table for production class 2a.</t>
  </si>
  <si>
    <t>Enter the registry ID number in row 3014 of the table for production class 2a.</t>
  </si>
  <si>
    <t>Enter the registry ID number in row 3015 of the table for production class 2a.</t>
  </si>
  <si>
    <t>Enter the registry ID number in row 3016 of the table for production class 2a.</t>
  </si>
  <si>
    <t>Enter the registry ID number in row 3017 of the table for production class 2a.</t>
  </si>
  <si>
    <t>Enter the registry ID number in row 3018 of the table for production class 2a.</t>
  </si>
  <si>
    <t>Enter the registry ID number in row 3019 of the table for production class 2a.</t>
  </si>
  <si>
    <t>Enter the registry ID number in row 3020 of the table for production class 2a.</t>
  </si>
  <si>
    <t>Enter the registry ID number in row 3021 of the table for production class 2a.</t>
  </si>
  <si>
    <t>Enter the registry ID number in row 3022 of the table for production class 2a.</t>
  </si>
  <si>
    <t>Enter the registry ID number in row 3023 of the table for production class 2a.</t>
  </si>
  <si>
    <t>Enter the registry ID number in row 3024 of the table for production class 2a.</t>
  </si>
  <si>
    <t>Enter the registry ID number in row 3025 of the table for production class 2a.</t>
  </si>
  <si>
    <t>Enter the registry ID number in row 3026 of the table for production class 2a.</t>
  </si>
  <si>
    <t>Enter the registry ID number in row 3027 of the table for production class 2a.</t>
  </si>
  <si>
    <t>Enter the registry ID number in row 3028 of the table for production class 2a.</t>
  </si>
  <si>
    <t>Enter the registry ID number in row 3029 of the table for production class 2a.</t>
  </si>
  <si>
    <t>Enter the registry ID number in row 3030 of the table for production class 2a.</t>
  </si>
  <si>
    <t>Enter the registry ID number in row 3031 of the table for production class 2a.</t>
  </si>
  <si>
    <t>Enter the registry ID number in row 3032 of the table for production class 2a.</t>
  </si>
  <si>
    <t>Enter the registry ID number in row 3033 of the table for production class 2a.</t>
  </si>
  <si>
    <t>Enter the registry ID number in row 3034 of the table for production class 2a.</t>
  </si>
  <si>
    <t>Enter the registry ID number in row 3035 of the table for production class 2a.</t>
  </si>
  <si>
    <t>Enter the registry ID number in row 3036 of the table for production class 2a.</t>
  </si>
  <si>
    <t>Enter the registry ID number in row 3037 of the table for production class 2a.</t>
  </si>
  <si>
    <t>Enter the registry ID number in row 3038 of the table for production class 2a.</t>
  </si>
  <si>
    <t>Enter the registry ID number in row 3039 of the table for production class 2a.</t>
  </si>
  <si>
    <t>Enter the registry ID number in row 3040 of the table for production class 2a.</t>
  </si>
  <si>
    <t>Enter the registry ID number in row 3041 of the table for production class 2a.</t>
  </si>
  <si>
    <t>Enter the registry ID number in row 3042 of the table for production class 2a.</t>
  </si>
  <si>
    <t>Enter the registry ID number in row 3043 of the table for production class 2a.</t>
  </si>
  <si>
    <t>Enter the registry ID number in row 3044 of the table for production class 2a.</t>
  </si>
  <si>
    <t>Enter the registry ID number in row 3045 of the table for production class 2a.</t>
  </si>
  <si>
    <t>Enter the registry ID number in row 3046 of the table for production class 2a.</t>
  </si>
  <si>
    <t>Enter the registry ID number in row 3047 of the table for production class 2a.</t>
  </si>
  <si>
    <t>Enter the registry ID number in row 3048 of the table for production class 2a.</t>
  </si>
  <si>
    <t>Enter the registry ID number in row 3049 of the table for production class 2a.</t>
  </si>
  <si>
    <t>Enter the registry ID number in row 3050 of the table for production class 2a.</t>
  </si>
  <si>
    <t>Enter the registry ID number in row 3051 of the table for production class 2a.</t>
  </si>
  <si>
    <t>Enter the registry ID number in row 3052 of the table for production class 2a.</t>
  </si>
  <si>
    <t>Enter the registry ID number in row 3053 of the table for production class 2a.</t>
  </si>
  <si>
    <t>Enter the registry ID number in row 3054 of the table for production class 2a.</t>
  </si>
  <si>
    <t>Enter the registry ID number in row 3055 of the table for production class 2a.</t>
  </si>
  <si>
    <t>Enter the registry ID number in row 3056 of the table for production class 2a.</t>
  </si>
  <si>
    <t>Enter the registry ID number in row 3057 of the table for production class 2a.</t>
  </si>
  <si>
    <t>Enter the registry ID number in row 3058 of the table for production class 2a.</t>
  </si>
  <si>
    <t>Enter the registry ID number in row 3059 of the table for production class 2a.</t>
  </si>
  <si>
    <t>Enter the registry ID number in row 3060 of the table for production class 2a.</t>
  </si>
  <si>
    <t>Enter the registry ID number in row 3061 of the table for production class 2a.</t>
  </si>
  <si>
    <t>Enter the registry ID number in row 3062 of the table for production class 2a.</t>
  </si>
  <si>
    <t>Enter the registry ID number in row 3063 of the table for production class 2a.</t>
  </si>
  <si>
    <t>Enter the registry ID number in row 3064 of the table for production class 2a.</t>
  </si>
  <si>
    <t>Enter the registry ID number in row 3065 of the table for production class 2a.</t>
  </si>
  <si>
    <t>Enter the registry ID number in row 3066 of the table for production class 2a.</t>
  </si>
  <si>
    <t>Enter the registry ID number in row 3067 of the table for production class 2a.</t>
  </si>
  <si>
    <t>Enter the registry ID number in row 3068 of the table for production class 2a.</t>
  </si>
  <si>
    <t>Enter the registry ID number in row 3069 of the table for production class 2a.</t>
  </si>
  <si>
    <t>Enter the registry ID number in row 3070 of the table for production class 2a.</t>
  </si>
  <si>
    <t>Enter the registry ID number in row 3071 of the table for production class 2a.</t>
  </si>
  <si>
    <t>Enter the registry ID number in row 3072 of the table for production class 2a.</t>
  </si>
  <si>
    <t>Enter the registry ID number in row 3073 of the table for production class 2a.</t>
  </si>
  <si>
    <t>Enter the registry ID number in row 3074 of the table for production class 2a.</t>
  </si>
  <si>
    <t>Enter the registry ID number in row 3075 of the table for production class 2a.</t>
  </si>
  <si>
    <t>Enter the registry ID number in row 3076 of the table for production class 2a.</t>
  </si>
  <si>
    <t>Enter the registry ID number in row 3077 of the table for production class 2a.</t>
  </si>
  <si>
    <t>Enter the registry ID number in row 3078 of the table for production class 2a.</t>
  </si>
  <si>
    <t>Enter the registry ID number in row 3079 of the table for production class 2a.</t>
  </si>
  <si>
    <t>Enter the registry ID number in row 3080 of the table for production class 2a.</t>
  </si>
  <si>
    <t>Enter the registry ID number in row 3081 of the table for production class 2a.</t>
  </si>
  <si>
    <t>Enter the registry ID number in row 3082 of the table for production class 2a.</t>
  </si>
  <si>
    <t>Enter the registry ID number in row 3083 of the table for production class 2a.</t>
  </si>
  <si>
    <t>Enter the registry ID number in row 3084 of the table for production class 2a.</t>
  </si>
  <si>
    <t>Enter the registry ID number in row 3085 of the table for production class 2a.</t>
  </si>
  <si>
    <t>Enter the registry ID number in row 3086 of the table for production class 2a.</t>
  </si>
  <si>
    <t>Enter the registry ID number in row 3087 of the table for production class 2a.</t>
  </si>
  <si>
    <t>Enter the registry ID number in row 3088 of the table for production class 2a.</t>
  </si>
  <si>
    <t>Enter the registry ID number in row 3089 of the table for production class 2a.</t>
  </si>
  <si>
    <t>Enter the registry ID number in row 3090 of the table for production class 2a.</t>
  </si>
  <si>
    <t>Enter the registry ID number in row 3091 of the table for production class 2a.</t>
  </si>
  <si>
    <t>Enter the registry ID number in row 3092 of the table for production class 2a.</t>
  </si>
  <si>
    <t>Enter the registry ID number in row 3093 of the table for production class 2a.</t>
  </si>
  <si>
    <t>Enter the registry ID number in row 3094 of the table for production class 2a.</t>
  </si>
  <si>
    <t>Enter the registry ID number in row 3095 of the table for production class 2a.</t>
  </si>
  <si>
    <t>Enter the registry ID number in row 3096 of the table for production class 2a.</t>
  </si>
  <si>
    <t>Enter the registry ID number in row 3097 of the table for production class 2a.</t>
  </si>
  <si>
    <t>Enter the registry ID number in row 3098 of the table for production class 2a.</t>
  </si>
  <si>
    <t>Enter the registry ID number in row 3099 of the table for production class 2a.</t>
  </si>
  <si>
    <t>Enter the registry ID number in row 3100 of the table for production class 2a.</t>
  </si>
  <si>
    <t>Enter the registry ID number in row 3101 of the table for production class 2a.</t>
  </si>
  <si>
    <t>Enter the registry ID number in row 3102 of the table for production class 2a.</t>
  </si>
  <si>
    <t>Enter the registry ID number in row 3103 of the table for production class 2a.</t>
  </si>
  <si>
    <t>Enter the registry ID number in row 3104 of the table for production class 2a.</t>
  </si>
  <si>
    <t>Enter the registry ID number in row 3105 of the table for production class 2a.</t>
  </si>
  <si>
    <t>Enter the registry ID number in row 3106 of the table for production class 2a.</t>
  </si>
  <si>
    <t>Enter the registry ID number in row 3107 of the table for production class 2a.</t>
  </si>
  <si>
    <t>Enter the registry ID number in row 3108 of the table for production class 2a.</t>
  </si>
  <si>
    <t>Enter the registry ID number in row 3109 of the table for production class 2a.</t>
  </si>
  <si>
    <t>Enter the registry ID number in row 3110 of the table for production class 2a.</t>
  </si>
  <si>
    <t>Enter the registry ID number in row 3111 of the table for production class 2a.</t>
  </si>
  <si>
    <t>Enter the registry ID number in row 3112 of the table for production class 2a.</t>
  </si>
  <si>
    <t>Enter the registry ID number in row 3113 of the table for production class 2a.</t>
  </si>
  <si>
    <t>Enter the registry ID number in row 3114 of the table for production class 2a.</t>
  </si>
  <si>
    <t>Enter the registry ID number in row 3115 of the table for production class 2a.</t>
  </si>
  <si>
    <t>Enter the registry ID number in row 3116 of the table for production class 2a.</t>
  </si>
  <si>
    <t>Enter the registry ID number in row 3117 of the table for production class 2a.</t>
  </si>
  <si>
    <t>Enter the registry ID number in row 3118 of the table for production class 2a.</t>
  </si>
  <si>
    <t>Enter the registry ID number in row 3119 of the table for production class 2a.</t>
  </si>
  <si>
    <t>Enter the registry ID number in row 3120 of the table for production class 2a.</t>
  </si>
  <si>
    <t>Enter the registry ID number in row 3121 of the table for production class 2a.</t>
  </si>
  <si>
    <t>Enter the registry ID number in row 3122 of the table for production class 2a.</t>
  </si>
  <si>
    <t>Enter the registry ID number in row 3123 of the table for production class 2a.</t>
  </si>
  <si>
    <t>Enter the registry ID number in row 3124 of the table for production class 2a.</t>
  </si>
  <si>
    <t>Enter the registry ID number in row 3125 of the table for production class 2a.</t>
  </si>
  <si>
    <t>Enter the registry ID number in row 3126 of the table for production class 2a.</t>
  </si>
  <si>
    <t>Enter the registry ID number in row 3127 of the table for production class 2a.</t>
  </si>
  <si>
    <t>Enter the registry ID number in row 3128 of the table for production class 2a.</t>
  </si>
  <si>
    <t>Enter the registry ID number in row 3129 of the table for production class 2a.</t>
  </si>
  <si>
    <t>Enter the registry ID number in row 3130 of the table for production class 2a.</t>
  </si>
  <si>
    <t>Enter the registry ID number in row 3131 of the table for production class 2a.</t>
  </si>
  <si>
    <t>Enter the registry ID number in row 3132 of the table for production class 2a.</t>
  </si>
  <si>
    <t>Enter the registry ID number in row 3133 of the table for production class 2a.</t>
  </si>
  <si>
    <t>Enter the registry ID number in row 3134 of the table for production class 2a.</t>
  </si>
  <si>
    <t>Enter the registry ID number in row 3135 of the table for production class 2a.</t>
  </si>
  <si>
    <t>Enter the registry ID number in row 3136 of the table for production class 2a.</t>
  </si>
  <si>
    <t>Enter the registry ID number in row 3137 of the table for production class 2a.</t>
  </si>
  <si>
    <t>Enter the registry ID number in row 3138 of the table for production class 2a.</t>
  </si>
  <si>
    <t>Enter the registry ID number in row 3139 of the table for production class 2a.</t>
  </si>
  <si>
    <t>Enter the registry ID number in row 3140 of the table for production class 2a.</t>
  </si>
  <si>
    <t>Enter the registry ID number in row 3141 of the table for production class 2a.</t>
  </si>
  <si>
    <t>Enter the registry ID number in row 3142 of the table for production class 2a.</t>
  </si>
  <si>
    <t>Enter the registry ID number in row 3143 of the table for production class 2a.</t>
  </si>
  <si>
    <t>Enter the registry ID number in row 3144 of the table for production class 2a.</t>
  </si>
  <si>
    <t>Enter the registry ID number in row 3145 of the table for production class 2a.</t>
  </si>
  <si>
    <t>Enter the registry ID number in row 3146 of the table for production class 2a.</t>
  </si>
  <si>
    <t>Enter the registry ID number in row 3147 of the table for production class 2a.</t>
  </si>
  <si>
    <t>Enter the registry ID number in row 3148 of the table for production class 2a.</t>
  </si>
  <si>
    <t>Enter the registry ID number in row 3149 of the table for production class 2a.</t>
  </si>
  <si>
    <t>Enter the registry ID number in row 3150 of the table for production class 2a.</t>
  </si>
  <si>
    <t>Enter the registry ID number in row 3151 of the table for production class 2a.</t>
  </si>
  <si>
    <t>Enter the registry ID number in row 3152 of the table for production class 2a.</t>
  </si>
  <si>
    <t>Enter the registry ID number in row 3153 of the table for production class 2a.</t>
  </si>
  <si>
    <t>Enter the registry ID number in row 3154 of the table for production class 2a.</t>
  </si>
  <si>
    <t>Enter the registry ID number in row 3155 of the table for production class 2a.</t>
  </si>
  <si>
    <t>Enter the registry ID number in row 3156 of the table for production class 2a.</t>
  </si>
  <si>
    <t>Enter the registry ID number in row 3157 of the table for production class 2a.</t>
  </si>
  <si>
    <t>Enter the registry ID number in row 3158 of the table for production class 2a.</t>
  </si>
  <si>
    <t>Enter the registry ID number in row 3159 of the table for production class 2a.</t>
  </si>
  <si>
    <t>Enter the registry ID number in row 3160 of the table for production class 2a.</t>
  </si>
  <si>
    <t>Enter the registry ID number in row 3161 of the table for production class 2a.</t>
  </si>
  <si>
    <t>Enter the registry ID number in row 3162 of the table for production class 2a.</t>
  </si>
  <si>
    <t>Enter the registry ID number in row 3163 of the table for production class 2a.</t>
  </si>
  <si>
    <t>Enter the registry ID number in row 3164 of the table for production class 2a.</t>
  </si>
  <si>
    <t>Enter the registry ID number in row 3165 of the table for production class 2a.</t>
  </si>
  <si>
    <t>Enter the registry ID number in row 3166 of the table for production class 2a.</t>
  </si>
  <si>
    <t>Enter the registry ID number in row 3167 of the table for production class 2a.</t>
  </si>
  <si>
    <t>Enter the registry ID number in row 3168 of the table for production class 2a.</t>
  </si>
  <si>
    <t>Enter the registry ID number in row 3169 of the table for production class 2a.</t>
  </si>
  <si>
    <t>Enter the registry ID number in row 3170 of the table for production class 2a.</t>
  </si>
  <si>
    <t>Enter the registry ID number in row 3171 of the table for production class 2a.</t>
  </si>
  <si>
    <t>Enter the registry ID number in row 3172 of the table for production class 2a.</t>
  </si>
  <si>
    <t>Enter the registry ID number in row 3173 of the table for production class 2a.</t>
  </si>
  <si>
    <t>Enter the registry ID number in row 3174 of the table for production class 2a.</t>
  </si>
  <si>
    <t>Enter the registry ID number in row 3175 of the table for production class 2a.</t>
  </si>
  <si>
    <t>Enter the registry ID number in row 3176 of the table for production class 2a.</t>
  </si>
  <si>
    <t>Enter the registry ID number in row 3177 of the table for production class 2a.</t>
  </si>
  <si>
    <t>Enter the registry ID number in row 3178 of the table for production class 2a.</t>
  </si>
  <si>
    <t>Enter the registry ID number in row 3179 of the table for production class 2a.</t>
  </si>
  <si>
    <t>Enter the registry ID number in row 3180 of the table for production class 2a.</t>
  </si>
  <si>
    <t>Enter the registry ID number in row 3181 of the table for production class 2a.</t>
  </si>
  <si>
    <t>Enter the registry ID number in row 3182 of the table for production class 2a.</t>
  </si>
  <si>
    <t>Enter the registry ID number in row 3183 of the table for production class 2a.</t>
  </si>
  <si>
    <t>Enter the registry ID number in row 3184 of the table for production class 2a.</t>
  </si>
  <si>
    <t>Enter the registry ID number in row 3185 of the table for production class 2a.</t>
  </si>
  <si>
    <t>Enter the registry ID number in row 3186 of the table for production class 2a.</t>
  </si>
  <si>
    <t>Enter the registry ID number in row 3187 of the table for production class 2a.</t>
  </si>
  <si>
    <t>Enter the registry ID number in row 3188 of the table for production class 2a.</t>
  </si>
  <si>
    <t>Enter the registry ID number in row 3189 of the table for production class 2a.</t>
  </si>
  <si>
    <t>Enter the registry ID number in row 3190 of the table for production class 2a.</t>
  </si>
  <si>
    <t>Enter the registry ID number in row 3191 of the table for production class 2a.</t>
  </si>
  <si>
    <t>Enter the registry ID number in row 3192 of the table for production class 2a.</t>
  </si>
  <si>
    <t>Enter the registry ID number in row 3193 of the table for production class 2a.</t>
  </si>
  <si>
    <t>Enter the registry ID number in row 3194 of the table for production class 2a.</t>
  </si>
  <si>
    <t>Enter the registry ID number in row 3195 of the table for production class 2a.</t>
  </si>
  <si>
    <t>Enter the registry ID number in row 3196 of the table for production class 2a.</t>
  </si>
  <si>
    <t>Enter the registry ID number in row 3197 of the table for production class 2a.</t>
  </si>
  <si>
    <t>Enter the registry ID number in row 3198 of the table for production class 2a.</t>
  </si>
  <si>
    <t>Enter the registry ID number in row 3199 of the table for production class 2a.</t>
  </si>
  <si>
    <t>Enter the registry ID number in row 3200 of the table for production class 2a.</t>
  </si>
  <si>
    <t>Enter the registry ID number in row 3201 of the table for production class 2a.</t>
  </si>
  <si>
    <t>Enter the registry ID number in row 3202 of the table for production class 2a.</t>
  </si>
  <si>
    <t>Enter the registry ID number in row 3203 of the table for production class 2a.</t>
  </si>
  <si>
    <t>Enter the registry ID number in row 3204 of the table for production class 2a.</t>
  </si>
  <si>
    <t>Enter the registry ID number in row 3205 of the table for production class 2a.</t>
  </si>
  <si>
    <t>Enter the registry ID number in row 3206 of the table for production class 2a.</t>
  </si>
  <si>
    <t>Enter the registry ID number in row 3207 of the table for production class 2a.</t>
  </si>
  <si>
    <t>Enter the registry ID number in row 3208 of the table for production class 2a.</t>
  </si>
  <si>
    <t>Enter the registry ID number in row 3209 of the table for production class 2a.</t>
  </si>
  <si>
    <t>Enter the registry ID number in row 3210 of the table for production class 2a.</t>
  </si>
  <si>
    <t>Enter the registry ID number in row 3211 of the table for production class 2a.</t>
  </si>
  <si>
    <t>Enter the registry ID number in row 3212 of the table for production class 2a.</t>
  </si>
  <si>
    <t>Enter the registry ID number in row 3213 of the table for production class 2a.</t>
  </si>
  <si>
    <t>Enter the registry ID number in row 3214 of the table for production class 2a.</t>
  </si>
  <si>
    <t>Enter the registry ID number in row 3215 of the table for production class 2a.</t>
  </si>
  <si>
    <t>Enter the registry ID number in row 3216 of the table for production class 2a.</t>
  </si>
  <si>
    <t>Enter the registry ID number in row 3217 of the table for production class 2a.</t>
  </si>
  <si>
    <t>Enter the registry ID number in row 3218 of the table for production class 2a.</t>
  </si>
  <si>
    <t>Enter the registry ID number in row 3219 of the table for production class 2a.</t>
  </si>
  <si>
    <t>Enter the registry ID number in row 3220 of the table for production class 2a.</t>
  </si>
  <si>
    <t>Enter the registry ID number in row 3221 of the table for production class 2a.</t>
  </si>
  <si>
    <t>Enter the registry ID number in row 3222 of the table for production class 2a.</t>
  </si>
  <si>
    <t>Enter the registry ID number in row 3223 of the table for production class 2a.</t>
  </si>
  <si>
    <t>Enter the registry ID number in row 3224 of the table for production class 2a.</t>
  </si>
  <si>
    <t>Enter the registry ID number in row 3225 of the table for production class 2a.</t>
  </si>
  <si>
    <t>Enter the registry ID number in row 3226 of the table for production class 2a.</t>
  </si>
  <si>
    <t>Enter the registry ID number in row 3227 of the table for production class 2a.</t>
  </si>
  <si>
    <t>Enter the registry ID number in row 3228 of the table for production class 2a.</t>
  </si>
  <si>
    <t>Enter the registry ID number in row 3229 of the table for production class 2a.</t>
  </si>
  <si>
    <t>Enter the registry ID number in row 3230 of the table for production class 2a.</t>
  </si>
  <si>
    <t>Enter the registry ID number in row 3231 of the table for production class 2a.</t>
  </si>
  <si>
    <t>Enter the registry ID number in row 3232 of the table for production class 2a.</t>
  </si>
  <si>
    <t>Enter the registry ID number in row 3233 of the table for production class 2a.</t>
  </si>
  <si>
    <t>Enter the registry ID number in row 3234 of the table for production class 2a.</t>
  </si>
  <si>
    <t>Enter the registry ID number in row 3235 of the table for production class 2a.</t>
  </si>
  <si>
    <t>Enter the registry ID number in row 3236 of the table for production class 2a.</t>
  </si>
  <si>
    <t>Enter the registry ID number in row 3237 of the table for production class 2a.</t>
  </si>
  <si>
    <t>Enter the registry ID number in row 3238 of the table for production class 2a.</t>
  </si>
  <si>
    <t>Enter the registry ID number in row 3239 of the table for production class 2a.</t>
  </si>
  <si>
    <t>Enter the registry ID number in row 3240 of the table for production class 2a.</t>
  </si>
  <si>
    <t>Enter the registry ID number in row 3241 of the table for production class 2a.</t>
  </si>
  <si>
    <t>Enter the registry ID number in row 3242 of the table for production class 2a.</t>
  </si>
  <si>
    <t>Enter the registry ID number in row 3243 of the table for production class 2a.</t>
  </si>
  <si>
    <t>Enter the registry ID number in row 3244 of the table for production class 2a.</t>
  </si>
  <si>
    <t>Enter the registry ID number in row 3245 of the table for production class 2a.</t>
  </si>
  <si>
    <t>Enter the registry ID number in row 3246 of the table for production class 2a.</t>
  </si>
  <si>
    <t>Enter the registry ID number in row 3247 of the table for production class 2a.</t>
  </si>
  <si>
    <t>Enter the registry ID number in row 3248 of the table for production class 2a.</t>
  </si>
  <si>
    <t>Enter the registry ID number in row 3249 of the table for production class 2a.</t>
  </si>
  <si>
    <t>Enter the registry ID number in row 3250 of the table for production class 2a.</t>
  </si>
  <si>
    <t>Enter the registry ID number in row 3251 of the table for production class 2a.</t>
  </si>
  <si>
    <t>Enter the registry ID number in row 3252 of the table for production class 2a.</t>
  </si>
  <si>
    <t>Enter the registry ID number in row 3253 of the table for production class 2a.</t>
  </si>
  <si>
    <t>Enter the registry ID number in row 3254 of the table for production class 2a.</t>
  </si>
  <si>
    <t>Enter the registry ID number in row 3255 of the table for production class 2a.</t>
  </si>
  <si>
    <t>Enter the registry ID number in row 3256 of the table for production class 2a.</t>
  </si>
  <si>
    <t>Enter the registry ID number in row 3257 of the table for production class 2a.</t>
  </si>
  <si>
    <t>Enter the registry ID number in row 3258 of the table for production class 2a.</t>
  </si>
  <si>
    <t>Enter the registry ID number in row 3259 of the table for production class 2a.</t>
  </si>
  <si>
    <t>Enter the registry ID number in row 3260 of the table for production class 2a.</t>
  </si>
  <si>
    <t>Enter the registry ID number in row 3261 of the table for production class 2a.</t>
  </si>
  <si>
    <t>Enter the registry ID number in row 3262 of the table for production class 2a.</t>
  </si>
  <si>
    <t>Enter the registry ID number in row 3263 of the table for production class 2a.</t>
  </si>
  <si>
    <t>Enter the registry ID number in row 3264 of the table for production class 2a.</t>
  </si>
  <si>
    <t>Enter the registry ID number in row 3265 of the table for production class 2a.</t>
  </si>
  <si>
    <t>Enter the registry ID number in row 3266 of the table for production class 2a.</t>
  </si>
  <si>
    <t>Enter the registry ID number in row 3267 of the table for production class 2a.</t>
  </si>
  <si>
    <t>Enter the registry ID number in row 3268 of the table for production class 2a.</t>
  </si>
  <si>
    <t>Enter the registry ID number in row 3269 of the table for production class 2a.</t>
  </si>
  <si>
    <t>Enter the registry ID number in row 3270 of the table for production class 2a.</t>
  </si>
  <si>
    <t>Enter the registry ID number in row 3271 of the table for production class 2a.</t>
  </si>
  <si>
    <t>Enter the registry ID number in row 3272 of the table for production class 2a.</t>
  </si>
  <si>
    <t>Enter the registry ID number in row 3273 of the table for production class 2a.</t>
  </si>
  <si>
    <t>Enter the registry ID number in row 3274 of the table for production class 2a.</t>
  </si>
  <si>
    <t>Enter the registry ID number in row 3275 of the table for production class 2a.</t>
  </si>
  <si>
    <t>Enter the registry ID number in row 3276 of the table for production class 2a.</t>
  </si>
  <si>
    <t>Enter the registry ID number in row 3277 of the table for production class 2a.</t>
  </si>
  <si>
    <t>Enter the registry ID number in row 3278 of the table for production class 2a.</t>
  </si>
  <si>
    <t>Enter the registry ID number in row 3279 of the table for production class 2a.</t>
  </si>
  <si>
    <t>Enter the registry ID number in row 3280 of the table for production class 2a.</t>
  </si>
  <si>
    <t>Enter the registry ID number in row 3281 of the table for production class 2a.</t>
  </si>
  <si>
    <t>Enter the registry ID number in row 3282 of the table for production class 2a.</t>
  </si>
  <si>
    <t>Enter the registry ID number in row 3283 of the table for production class 2a.</t>
  </si>
  <si>
    <t>Enter the registry ID number in row 3284 of the table for production class 2a.</t>
  </si>
  <si>
    <t>Enter the registry ID number in row 3285 of the table for production class 2a.</t>
  </si>
  <si>
    <t>Enter the registry ID number in row 3286 of the table for production class 2a.</t>
  </si>
  <si>
    <t>Enter the registry ID number in row 3287 of the table for production class 2a.</t>
  </si>
  <si>
    <t>Enter the registry ID number in row 3288 of the table for production class 2a.</t>
  </si>
  <si>
    <t>Enter the registry ID number in row 3289 of the table for production class 2a.</t>
  </si>
  <si>
    <t>Enter the registry ID number in row 3290 of the table for production class 2a.</t>
  </si>
  <si>
    <t>Enter the registry ID number in row 3291 of the table for production class 2a.</t>
  </si>
  <si>
    <t>Enter the registry ID number in row 3292 of the table for production class 2a.</t>
  </si>
  <si>
    <t>Enter the registry ID number in row 3293 of the table for production class 2a.</t>
  </si>
  <si>
    <t>Enter the registry ID number in row 3294 of the table for production class 2a.</t>
  </si>
  <si>
    <t>Enter the registry ID number in row 3295 of the table for production class 2a.</t>
  </si>
  <si>
    <t>Enter the registry ID number in row 3296 of the table for production class 2a.</t>
  </si>
  <si>
    <t>Enter the registry ID number in row 3297 of the table for production class 2a.</t>
  </si>
  <si>
    <t>Enter the registry ID number in row 3298 of the table for production class 2a.</t>
  </si>
  <si>
    <t>Enter the registry ID number in row 3299 of the table for production class 2a.</t>
  </si>
  <si>
    <t>Enter the registry ID number in row 3300 of the table for production class 2a.</t>
  </si>
  <si>
    <t>Enter the registry ID number in row 3301 of the table for production class 2a.</t>
  </si>
  <si>
    <t>Enter the registry ID number in row 3302 of the table for production class 2a.</t>
  </si>
  <si>
    <t>Enter the registry ID number in row 3303 of the table for production class 2a.</t>
  </si>
  <si>
    <t>Enter the registry ID number in row 3304 of the table for production class 2a.</t>
  </si>
  <si>
    <t>Enter the registry ID number in row 3305 of the table for production class 2a.</t>
  </si>
  <si>
    <t>Enter the registry ID number in row 3306 of the table for production class 2a.</t>
  </si>
  <si>
    <t>Enter the registry ID number in row 3307 of the table for production class 2a.</t>
  </si>
  <si>
    <t>Enter the registry ID number in row 3308 of the table for production class 2a.</t>
  </si>
  <si>
    <t>Enter the registry ID number in row 3309 of the table for production class 2a.</t>
  </si>
  <si>
    <t>Enter the registry ID number in row 3310 of the table for production class 2a.</t>
  </si>
  <si>
    <t>Enter the registry ID number in row 3311 of the table for production class 2a.</t>
  </si>
  <si>
    <t>Enter the registry ID number in row 3312 of the table for production class 2a.</t>
  </si>
  <si>
    <t>Enter the registry ID number in row 3313 of the table for production class 2a.</t>
  </si>
  <si>
    <t>Enter the registry ID number in row 3314 of the table for production class 2a.</t>
  </si>
  <si>
    <t>Enter the registry ID number in row 3315 of the table for production class 2a.</t>
  </si>
  <si>
    <t>Enter the registry ID number in row 3316 of the table for production class 2a.</t>
  </si>
  <si>
    <t>Enter the registry ID number in row 3317 of the table for production class 2a.</t>
  </si>
  <si>
    <t>Enter the registry ID number in row 3318 of the table for production class 2a.</t>
  </si>
  <si>
    <t>Enter the registry ID number in row 3319 of the table for production class 2a.</t>
  </si>
  <si>
    <t>Enter the registry ID number in row 3320 of the table for production class 2a.</t>
  </si>
  <si>
    <t>Enter the registry ID number in row 3321 of the table for production class 2a.</t>
  </si>
  <si>
    <t>Enter the registry ID number in row 3322 of the table for production class 2a.</t>
  </si>
  <si>
    <t>Enter the registry ID number in row 3323 of the table for production class 2a.</t>
  </si>
  <si>
    <t>Enter the registry ID number in row 3324 of the table for production class 2a.</t>
  </si>
  <si>
    <t>Enter the registry ID number in row 3325 of the table for production class 2a.</t>
  </si>
  <si>
    <t>Enter the registry ID number in row 3326 of the table for production class 2a.</t>
  </si>
  <si>
    <t>Enter the registry ID number in row 3327 of the table for production class 2a.</t>
  </si>
  <si>
    <t>Enter the registry ID number in row 3328 of the table for production class 2a.</t>
  </si>
  <si>
    <t>Enter the registry ID number in row 3329 of the table for production class 2a.</t>
  </si>
  <si>
    <t>Enter the registry ID number in row 3330 of the table for production class 2a.</t>
  </si>
  <si>
    <t>Enter the registry ID number in row 3331 of the table for production class 2a.</t>
  </si>
  <si>
    <t>Enter the registry ID number in row 3332 of the table for production class 2a.</t>
  </si>
  <si>
    <t>Enter the registry ID number in row 3333 of the table for production class 2a.</t>
  </si>
  <si>
    <t>Enter the registry ID number in row 3334 of the table for production class 2a.</t>
  </si>
  <si>
    <t>Enter the registry ID number in row 3335 of the table for production class 2a.</t>
  </si>
  <si>
    <t>Enter the registry ID number in row 3336 of the table for production class 2a.</t>
  </si>
  <si>
    <t>Enter the registry ID number in row 3337 of the table for production class 2a.</t>
  </si>
  <si>
    <t>Enter the registry ID number in row 3338 of the table for production class 2a.</t>
  </si>
  <si>
    <t>Enter the registry ID number in row 3339 of the table for production class 2a.</t>
  </si>
  <si>
    <t>Enter the registry ID number in row 3340 of the table for production class 2a.</t>
  </si>
  <si>
    <t>Enter the registry ID number in row 3341 of the table for production class 2a.</t>
  </si>
  <si>
    <t>Enter the registry ID number in row 3342 of the table for production class 2a.</t>
  </si>
  <si>
    <t>Enter the registry ID number in row 3343 of the table for production class 2a.</t>
  </si>
  <si>
    <t>Enter the registry ID number in row 3344 of the table for production class 2a.</t>
  </si>
  <si>
    <t>Enter the registry ID number in row 3345 of the table for production class 2a.</t>
  </si>
  <si>
    <t>Enter the registry ID number in row 3346 of the table for production class 2a.</t>
  </si>
  <si>
    <t>Enter the registry ID number in row 3347 of the table for production class 2a.</t>
  </si>
  <si>
    <t>Enter the registry ID number in row 3348 of the table for production class 2a.</t>
  </si>
  <si>
    <t>Enter the registry ID number in row 3349 of the table for production class 2a.</t>
  </si>
  <si>
    <t>Enter the registry ID number in row 3350 of the table for production class 2a.</t>
  </si>
  <si>
    <t>Enter the registry ID number in row 3351 of the table for production class 2a.</t>
  </si>
  <si>
    <t>Enter the registry ID number in row 3352 of the table for production class 2a.</t>
  </si>
  <si>
    <t>Enter the registry ID number in row 3353 of the table for production class 2a.</t>
  </si>
  <si>
    <t>Enter the registry ID number in row 3354 of the table for production class 2a.</t>
  </si>
  <si>
    <t>Enter the registry ID number in row 3355 of the table for production class 2a.</t>
  </si>
  <si>
    <t>Enter the registry ID number in row 3356 of the table for production class 2a.</t>
  </si>
  <si>
    <t>Enter the registry ID number in row 3357 of the table for production class 2a.</t>
  </si>
  <si>
    <t>Enter the registry ID number in row 3358 of the table for production class 2a.</t>
  </si>
  <si>
    <t>Enter the registry ID number in row 3359 of the table for production class 2a.</t>
  </si>
  <si>
    <t>Enter the registry ID number in row 3360 of the table for production class 2a.</t>
  </si>
  <si>
    <t>Enter the registry ID number in row 3361 of the table for production class 2a.</t>
  </si>
  <si>
    <t>Enter the registry ID number in row 3362 of the table for production class 2a.</t>
  </si>
  <si>
    <t>Enter the registry ID number in row 3363 of the table for production class 2a.</t>
  </si>
  <si>
    <t>Enter the registry ID number in row 3364 of the table for production class 2a.</t>
  </si>
  <si>
    <t>Enter the registry ID number in row 3365 of the table for production class 2a.</t>
  </si>
  <si>
    <t>Enter the registry ID number in row 3366 of the table for production class 2a.</t>
  </si>
  <si>
    <t>Enter the registry ID number in row 3367 of the table for production class 2a.</t>
  </si>
  <si>
    <t>Enter the registry ID number in row 3368 of the table for production class 2a.</t>
  </si>
  <si>
    <t>Enter the registry ID number in row 3369 of the table for production class 2a.</t>
  </si>
  <si>
    <t>Enter the registry ID number in row 3370 of the table for production class 2a.</t>
  </si>
  <si>
    <t>Enter the registry ID number in row 3371 of the table for production class 2a.</t>
  </si>
  <si>
    <t>Enter the registry ID number in row 3372 of the table for production class 2a.</t>
  </si>
  <si>
    <t>Enter the registry ID number in row 3373 of the table for production class 2a.</t>
  </si>
  <si>
    <t>Enter the registry ID number in row 3374 of the table for production class 2a.</t>
  </si>
  <si>
    <t>Enter the registry ID number in row 3375 of the table for production class 2a.</t>
  </si>
  <si>
    <t>Enter the registry ID number in row 3376 of the table for production class 2a.</t>
  </si>
  <si>
    <t>Enter the registry ID number in row 3377 of the table for production class 2a.</t>
  </si>
  <si>
    <t>Enter the registry ID number in row 3378 of the table for production class 2a.</t>
  </si>
  <si>
    <t>Enter the registry ID number in row 3379 of the table for production class 2a.</t>
  </si>
  <si>
    <t>Enter the registry ID number in row 3380 of the table for production class 2a.</t>
  </si>
  <si>
    <t>Enter the registry ID number in row 3381 of the table for production class 2a.</t>
  </si>
  <si>
    <t>Enter the registry ID number in row 3382 of the table for production class 2a.</t>
  </si>
  <si>
    <t>Enter the registry ID number in row 3383 of the table for production class 2a.</t>
  </si>
  <si>
    <t>Enter the registry ID number in row 3384 of the table for production class 2a.</t>
  </si>
  <si>
    <t>Enter the registry ID number in row 3385 of the table for production class 2a.</t>
  </si>
  <si>
    <t>Enter the registry ID number in row 3386 of the table for production class 2a.</t>
  </si>
  <si>
    <t>Enter the registry ID number in row 3387 of the table for production class 2a.</t>
  </si>
  <si>
    <t>Enter the registry ID number in row 3388 of the table for production class 2a.</t>
  </si>
  <si>
    <t>Enter the registry ID number in row 3389 of the table for production class 2a.</t>
  </si>
  <si>
    <t>Enter the registry ID number in row 3390 of the table for production class 2a.</t>
  </si>
  <si>
    <t>Enter the registry ID number in row 3391 of the table for production class 2a.</t>
  </si>
  <si>
    <t>Enter the registry ID number in row 3392 of the table for production class 2a.</t>
  </si>
  <si>
    <t>Enter the registry ID number in row 3393 of the table for production class 2a.</t>
  </si>
  <si>
    <t>Enter the registry ID number in row 3394 of the table for production class 2a.</t>
  </si>
  <si>
    <t>Enter the registry ID number in row 3395 of the table for production class 2a.</t>
  </si>
  <si>
    <t>Enter the registry ID number in row 3396 of the table for production class 2a.</t>
  </si>
  <si>
    <t>Enter the registry ID number in row 3397 of the table for production class 2a.</t>
  </si>
  <si>
    <t>Enter the registry ID number in row 3398 of the table for production class 2a.</t>
  </si>
  <si>
    <t>Enter the registry ID number in row 3399 of the table for production class 2a.</t>
  </si>
  <si>
    <t>Enter the registry ID number in row 3400 of the table for production class 2a.</t>
  </si>
  <si>
    <t>Enter the registry ID number in row 3401 of the table for production class 2a.</t>
  </si>
  <si>
    <t>Enter the registry ID number in row 3402 of the table for production class 2a.</t>
  </si>
  <si>
    <t>Enter the registry ID number in row 3403 of the table for production class 2a.</t>
  </si>
  <si>
    <t>Enter the registry ID number in row 3404 of the table for production class 2a.</t>
  </si>
  <si>
    <t>Enter the registry ID number in row 3405 of the table for production class 2a.</t>
  </si>
  <si>
    <t>Enter the registry ID number in row 3406 of the table for production class 2a.</t>
  </si>
  <si>
    <t>Enter the registry ID number in row 3407 of the table for production class 2a.</t>
  </si>
  <si>
    <t>Enter the registry ID number in row 3408 of the table for production class 2a.</t>
  </si>
  <si>
    <t>Enter the registry ID number in row 3409 of the table for production class 2a.</t>
  </si>
  <si>
    <t>Enter the registry ID number in row 3410 of the table for production class 2a.</t>
  </si>
  <si>
    <t>Enter the registry ID number in row 3411 of the table for production class 2a.</t>
  </si>
  <si>
    <t>Enter the registry ID number in row 3412 of the table for production class 2a.</t>
  </si>
  <si>
    <t>Enter the registry ID number in row 3413 of the table for production class 2a.</t>
  </si>
  <si>
    <t>Enter the registry ID number in row 3414 of the table for production class 2a.</t>
  </si>
  <si>
    <t>Enter the registry ID number in row 3415 of the table for production class 2a.</t>
  </si>
  <si>
    <t>Enter the registry ID number in row 3416 of the table for production class 2a.</t>
  </si>
  <si>
    <t>Enter the registry ID number in row 3417 of the table for production class 2a.</t>
  </si>
  <si>
    <t>Enter the registry ID number in row 3418 of the table for production class 2a.</t>
  </si>
  <si>
    <t>Enter the registry ID number in row 3419 of the table for production class 2a.</t>
  </si>
  <si>
    <t>Enter the registry ID number in row 3420 of the table for production class 2a.</t>
  </si>
  <si>
    <t>Enter the registry ID number in row 3421 of the table for production class 2a.</t>
  </si>
  <si>
    <t>Enter the registry ID number in row 3422 of the table for production class 2a.</t>
  </si>
  <si>
    <t>Enter the registry ID number in row 3423 of the table for production class 2a.</t>
  </si>
  <si>
    <t>Enter the registry ID number in row 3424 of the table for production class 2a.</t>
  </si>
  <si>
    <t>Enter the registry ID number in row 3425 of the table for production class 2a.</t>
  </si>
  <si>
    <t>Enter the registry ID number in row 3426 of the table for production class 2a.</t>
  </si>
  <si>
    <t>Enter the registry ID number in row 3427 of the table for production class 2a.</t>
  </si>
  <si>
    <t>Enter the registry ID number in row 3428 of the table for production class 2a.</t>
  </si>
  <si>
    <t>Enter the registry ID number in row 3429 of the table for production class 2a.</t>
  </si>
  <si>
    <t>Enter the registry ID number in row 3430 of the table for production class 2a.</t>
  </si>
  <si>
    <t>Enter the registry ID number in row 3431 of the table for production class 2a.</t>
  </si>
  <si>
    <t>Enter the registry ID number in row 3432 of the table for production class 2a.</t>
  </si>
  <si>
    <t>Enter the registry ID number in row 3433 of the table for production class 2a.</t>
  </si>
  <si>
    <t>Enter the registry ID number in row 3434 of the table for production class 2a.</t>
  </si>
  <si>
    <t>Enter the registry ID number in row 3435 of the table for production class 2a.</t>
  </si>
  <si>
    <t>Enter the registry ID number in row 3436 of the table for production class 2a.</t>
  </si>
  <si>
    <t>Enter the registry ID number in row 3437 of the table for production class 2a.</t>
  </si>
  <si>
    <t>Enter the registry ID number in row 3438 of the table for production class 2a.</t>
  </si>
  <si>
    <t>Enter the registry ID number in row 3439 of the table for production class 2a.</t>
  </si>
  <si>
    <t>Enter the registry ID number in row 3440 of the table for production class 2a.</t>
  </si>
  <si>
    <t>Enter the registry ID number in row 3441 of the table for production class 2a.</t>
  </si>
  <si>
    <t>Enter the registry ID number in row 3442 of the table for production class 2a.</t>
  </si>
  <si>
    <t>Enter the registry ID number in row 3443 of the table for production class 2a.</t>
  </si>
  <si>
    <t>Enter the registry ID number in row 3444 of the table for production class 2a.</t>
  </si>
  <si>
    <t>Enter the registry ID number in row 3445 of the table for production class 2a.</t>
  </si>
  <si>
    <t>Enter the registry ID number in row 3446 of the table for production class 2a.</t>
  </si>
  <si>
    <t>Enter the registry ID number in row 3447 of the table for production class 2a.</t>
  </si>
  <si>
    <t>Enter the registry ID number in row 3448 of the table for production class 2a.</t>
  </si>
  <si>
    <t>Enter the registry ID number in row 3449 of the table for production class 2a.</t>
  </si>
  <si>
    <t>Enter the registry ID number in row 3450 of the table for production class 2a.</t>
  </si>
  <si>
    <t>Enter the registry ID number in row 3451 of the table for production class 2a.</t>
  </si>
  <si>
    <t>Enter the registry ID number in row 3452 of the table for production class 2a.</t>
  </si>
  <si>
    <t>Enter the registry ID number in row 3453 of the table for production class 2a.</t>
  </si>
  <si>
    <t>Enter the registry ID number in row 3454 of the table for production class 2a.</t>
  </si>
  <si>
    <t>Enter the registry ID number in row 3455 of the table for production class 2a.</t>
  </si>
  <si>
    <t>Enter the registry ID number in row 3456 of the table for production class 2a.</t>
  </si>
  <si>
    <t>Enter the registry ID number in row 3457 of the table for production class 2a.</t>
  </si>
  <si>
    <t>Enter the registry ID number in row 3458 of the table for production class 2a.</t>
  </si>
  <si>
    <t>Enter the registry ID number in row 3459 of the table for production class 2a.</t>
  </si>
  <si>
    <t>Enter the registry ID number in row 3460 of the table for production class 2a.</t>
  </si>
  <si>
    <t>Enter the registry ID number in row 3461 of the table for production class 2a.</t>
  </si>
  <si>
    <t>Enter the registry ID number in row 3462 of the table for production class 2a.</t>
  </si>
  <si>
    <t>Enter the registry ID number in row 3463 of the table for production class 2a.</t>
  </si>
  <si>
    <t>Enter the registry ID number in row 3464 of the table for production class 2a.</t>
  </si>
  <si>
    <t>Enter the registry ID number in row 3465 of the table for production class 2a.</t>
  </si>
  <si>
    <t>Enter the registry ID number in row 3466 of the table for production class 2a.</t>
  </si>
  <si>
    <t>Enter the registry ID number in row 3467 of the table for production class 2a.</t>
  </si>
  <si>
    <t>Enter the registry ID number in row 3468 of the table for production class 2a.</t>
  </si>
  <si>
    <t>Enter the registry ID number in row 3469 of the table for production class 2a.</t>
  </si>
  <si>
    <t>Enter the registry ID number in row 3470 of the table for production class 2a.</t>
  </si>
  <si>
    <t>Enter the registry ID number in row 3471 of the table for production class 2a.</t>
  </si>
  <si>
    <t>Enter the registry ID number in row 3472 of the table for production class 2a.</t>
  </si>
  <si>
    <t>Enter the registry ID number in row 3473 of the table for production class 2a.</t>
  </si>
  <si>
    <t>Enter the registry ID number in row 3474 of the table for production class 2a.</t>
  </si>
  <si>
    <t>Enter the registry ID number in row 3475 of the table for production class 2a.</t>
  </si>
  <si>
    <t>Enter the registry ID number in row 3476 of the table for production class 2a.</t>
  </si>
  <si>
    <t>Enter the registry ID number in row 3477 of the table for production class 2a.</t>
  </si>
  <si>
    <t>Enter the registry ID number in row 3478 of the table for production class 2a.</t>
  </si>
  <si>
    <t>Enter the registry ID number in row 3479 of the table for production class 2a.</t>
  </si>
  <si>
    <t>Enter the registry ID number in row 3480 of the table for production class 2a.</t>
  </si>
  <si>
    <t>Enter the registry ID number in row 3481 of the table for production class 2a.</t>
  </si>
  <si>
    <t>Enter the registry ID number in row 3482 of the table for production class 2a.</t>
  </si>
  <si>
    <t>Enter the registry ID number in row 3483 of the table for production class 2a.</t>
  </si>
  <si>
    <t>Enter the registry ID number in row 3484 of the table for production class 2a.</t>
  </si>
  <si>
    <t>Enter the registry ID number in row 3485 of the table for production class 2a.</t>
  </si>
  <si>
    <t>Enter the registry ID number in row 3486 of the table for production class 2a.</t>
  </si>
  <si>
    <t>Enter the registry ID number in row 3487 of the table for production class 2a.</t>
  </si>
  <si>
    <t>Enter the registry ID number in row 3488 of the table for production class 2a.</t>
  </si>
  <si>
    <t>Enter the registry ID number in row 3489 of the table for production class 2a.</t>
  </si>
  <si>
    <t>Enter the registry ID number in row 3490 of the table for production class 2a.</t>
  </si>
  <si>
    <t>Enter the registry ID number in row 3491 of the table for production class 2a.</t>
  </si>
  <si>
    <t>Enter the registry ID number in row 3492 of the table for production class 2a.</t>
  </si>
  <si>
    <t>Enter the registry ID number in row 3493 of the table for production class 2a.</t>
  </si>
  <si>
    <t>Enter the registry ID number in row 3494 of the table for production class 2a.</t>
  </si>
  <si>
    <t>Enter the registry ID number in row 3495 of the table for production class 2a.</t>
  </si>
  <si>
    <t>Enter the registry ID number in row 3496 of the table for production class 2a.</t>
  </si>
  <si>
    <t>Enter the registry ID number in row 3497 of the table for production class 2a.</t>
  </si>
  <si>
    <t>Enter the registry ID number in row 3498 of the table for production class 2a.</t>
  </si>
  <si>
    <t>Enter the registry ID number in row 3499 of the table for production class 2a.</t>
  </si>
  <si>
    <t>Enter the registry ID number in row 3500 of the table for production class 2a.</t>
  </si>
  <si>
    <t>Enter the registry ID number in row 3501 of the table for production class 2a.</t>
  </si>
  <si>
    <t>Enter the registry ID number in row 3502 of the table for production class 2a.</t>
  </si>
  <si>
    <t>Enter the registry ID number in row 3503 of the table for production class 2a.</t>
  </si>
  <si>
    <t>Enter the registry ID number in row 3504 of the table for production class 2a.</t>
  </si>
  <si>
    <t>Enter the registry ID number in row 3505 of the table for production class 2a.</t>
  </si>
  <si>
    <t>Enter the registry ID number in row 3506 of the table for production class 2a.</t>
  </si>
  <si>
    <t>Enter the registry ID number in row 3507 of the table for production class 2a.</t>
  </si>
  <si>
    <t>Enter the registry ID number in row 3508 of the table for production class 2a.</t>
  </si>
  <si>
    <t>Enter the registry ID number in row 3509 of the table for production class 2a.</t>
  </si>
  <si>
    <t>Enter the registry ID number in row 3510 of the table for production class 2a.</t>
  </si>
  <si>
    <t>Enter the registry ID number in row 3511 of the table for production class 2a.</t>
  </si>
  <si>
    <t>Enter the registry ID number in row 3512 of the table for production class 2a.</t>
  </si>
  <si>
    <t>Enter the registry ID number in row 3513 of the table for production class 2a.</t>
  </si>
  <si>
    <t>Enter the registry ID number in row 3514 of the table for production class 2a.</t>
  </si>
  <si>
    <t>Enter the registry ID number in row 3515 of the table for production class 2a.</t>
  </si>
  <si>
    <t>Enter the registry ID number in row 3516 of the table for production class 2a.</t>
  </si>
  <si>
    <t>Enter the registry ID number in row 3517 of the table for production class 2a.</t>
  </si>
  <si>
    <t>Enter the registry ID number in row 3518 of the table for production class 2a.</t>
  </si>
  <si>
    <t>Enter the registry ID number in row 3519 of the table for production class 2a.</t>
  </si>
  <si>
    <t>Enter the registry ID number in row 3520 of the table for production class 2a.</t>
  </si>
  <si>
    <t>Enter the registry ID number in row 3521 of the table for production class 2a.</t>
  </si>
  <si>
    <t>Enter the registry ID number in row 3522 of the table for production class 2a.</t>
  </si>
  <si>
    <t>Enter the registry ID number in row 3523 of the table for production class 2a.</t>
  </si>
  <si>
    <t>Enter the registry ID number in row 3524 of the table for production class 2a.</t>
  </si>
  <si>
    <t>Enter the registry ID number in row 3525 of the table for production class 2a.</t>
  </si>
  <si>
    <t>Enter the registry ID number in row 3526 of the table for production class 2a.</t>
  </si>
  <si>
    <t>Enter the registry ID number in row 3527 of the table for production class 2a.</t>
  </si>
  <si>
    <t>Enter the registry ID number in row 3528 of the table for production class 2a.</t>
  </si>
  <si>
    <t>Enter the registry ID number in row 3529 of the table for production class 2a.</t>
  </si>
  <si>
    <t>Enter the registry ID number in row 3530 of the table for production class 2a.</t>
  </si>
  <si>
    <t>Enter the registry ID number in row 3531 of the table for production class 2a.</t>
  </si>
  <si>
    <t>Enter the registry ID number in row 3532 of the table for production class 2a.</t>
  </si>
  <si>
    <t>Enter the registry ID number in row 3533 of the table for production class 2a.</t>
  </si>
  <si>
    <t>Enter the registry ID number in row 3534 of the table for production class 2a.</t>
  </si>
  <si>
    <t>Enter the registry ID number in row 3535 of the table for production class 2a.</t>
  </si>
  <si>
    <t>Enter the registry ID number in row 3536 of the table for production class 2a.</t>
  </si>
  <si>
    <t>Enter the registry ID number in row 3537 of the table for production class 2a.</t>
  </si>
  <si>
    <t>Enter the registry ID number in row 3538 of the table for production class 2a.</t>
  </si>
  <si>
    <t>Enter the registry ID number in row 3539 of the table for production class 2a.</t>
  </si>
  <si>
    <t>Enter the registry ID number in row 3540 of the table for production class 2a.</t>
  </si>
  <si>
    <t>Enter the registry ID number in row 3541 of the table for production class 2a.</t>
  </si>
  <si>
    <t>Enter the registry ID number in row 3542 of the table for production class 2a.</t>
  </si>
  <si>
    <t>Enter the registry ID number in row 3543 of the table for production class 2a.</t>
  </si>
  <si>
    <t>Enter the registry ID number in row 3544 of the table for production class 2a.</t>
  </si>
  <si>
    <t>Enter the registry ID number in row 3545 of the table for production class 2a.</t>
  </si>
  <si>
    <t>Enter the registry ID number in row 3546 of the table for production class 2a.</t>
  </si>
  <si>
    <t>Enter the registry ID number in row 3547 of the table for production class 2a.</t>
  </si>
  <si>
    <t>Enter the registry ID number in row 3548 of the table for production class 2a.</t>
  </si>
  <si>
    <t>Enter the registry ID number in row 3549 of the table for production class 2a.</t>
  </si>
  <si>
    <t>Enter the registry ID number in row 3550 of the table for production class 2a.</t>
  </si>
  <si>
    <t>Enter the registry ID number in row 3551 of the table for production class 2a.</t>
  </si>
  <si>
    <t>Enter the registry ID number in row 3552 of the table for production class 2a.</t>
  </si>
  <si>
    <t>Enter the registry ID number in row 3553 of the table for production class 2a.</t>
  </si>
  <si>
    <t>Enter the registry ID number in row 3554 of the table for production class 2a.</t>
  </si>
  <si>
    <t>Enter the registry ID number in row 3555 of the table for production class 2a.</t>
  </si>
  <si>
    <t>Enter the registry ID number in row 3556 of the table for production class 2a.</t>
  </si>
  <si>
    <t>Enter the registry ID number in row 3557 of the table for production class 2a.</t>
  </si>
  <si>
    <t>Enter the registry ID number in row 3558 of the table for production class 2a.</t>
  </si>
  <si>
    <t>Enter the registry ID number in row 3559 of the table for production class 2a.</t>
  </si>
  <si>
    <t>Enter the registry ID number in row 3560 of the table for production class 2a.</t>
  </si>
  <si>
    <t>Enter the registry ID number in row 3561 of the table for production class 2a.</t>
  </si>
  <si>
    <t>Enter the registry ID number in row 3562 of the table for production class 2a.</t>
  </si>
  <si>
    <t>Enter the registry ID number in row 3563 of the table for production class 2a.</t>
  </si>
  <si>
    <t>Enter the registry ID number in row 3564 of the table for production class 2a.</t>
  </si>
  <si>
    <t>Enter the registry ID number in row 3565 of the table for production class 2a.</t>
  </si>
  <si>
    <t>Enter the registry ID number in row 3566 of the table for production class 2a.</t>
  </si>
  <si>
    <t>Enter the registry ID number in row 3567 of the table for production class 2a.</t>
  </si>
  <si>
    <t>Enter the registry ID number in row 3568 of the table for production class 2a.</t>
  </si>
  <si>
    <t>Enter the registry ID number in row 3569 of the table for production class 2a.</t>
  </si>
  <si>
    <t>Enter the registry ID number in row 3570 of the table for production class 2a.</t>
  </si>
  <si>
    <t>Enter the registry ID number in row 3571 of the table for production class 2a.</t>
  </si>
  <si>
    <t>Enter the registry ID number in row 3572 of the table for production class 2a.</t>
  </si>
  <si>
    <t>Enter the registry ID number in row 3573 of the table for production class 2a.</t>
  </si>
  <si>
    <t>Enter the registry ID number in row 3574 of the table for production class 2a.</t>
  </si>
  <si>
    <t>Enter the registry ID number in row 3575 of the table for production class 2a.</t>
  </si>
  <si>
    <t>Enter the registry ID number in row 3576 of the table for production class 2a.</t>
  </si>
  <si>
    <t>Enter the registry ID number in row 3577 of the table for production class 2a.</t>
  </si>
  <si>
    <t>Enter the registry ID number in row 3578 of the table for production class 2a.</t>
  </si>
  <si>
    <t>Enter the registry ID number in row 3579 of the table for production class 2a.</t>
  </si>
  <si>
    <t>Enter the registry ID number in row 3580 of the table for production class 2a.</t>
  </si>
  <si>
    <t>Enter the registry ID number in row 3581 of the table for production class 2a.</t>
  </si>
  <si>
    <t>Enter the registry ID number in row 3582 of the table for production class 2a.</t>
  </si>
  <si>
    <t>Enter the registry ID number in row 3583 of the table for production class 2a.</t>
  </si>
  <si>
    <t>Enter the registry ID number in row 3584 of the table for production class 2a.</t>
  </si>
  <si>
    <t>Enter the registry ID number in row 3585 of the table for production class 2a.</t>
  </si>
  <si>
    <t>Enter the registry ID number in row 3586 of the table for production class 2a.</t>
  </si>
  <si>
    <t>Enter the registry ID number in row 3587 of the table for production class 2a.</t>
  </si>
  <si>
    <t>Enter the registry ID number in row 3588 of the table for production class 2a.</t>
  </si>
  <si>
    <t>Enter the registry ID number in row 3589 of the table for production class 2a.</t>
  </si>
  <si>
    <t>Enter the registry ID number in row 3590 of the table for production class 2a.</t>
  </si>
  <si>
    <t>Enter the registry ID number in row 3591 of the table for production class 2a.</t>
  </si>
  <si>
    <t>Enter the registry ID number in row 3592 of the table for production class 2a.</t>
  </si>
  <si>
    <t>Enter the registry ID number in row 3593 of the table for production class 2a.</t>
  </si>
  <si>
    <t>Enter the registry ID number in row 3594 of the table for production class 2a.</t>
  </si>
  <si>
    <t>Enter the registry ID number in row 3595 of the table for production class 2a.</t>
  </si>
  <si>
    <t>Enter the registry ID number in row 3596 of the table for production class 2a.</t>
  </si>
  <si>
    <t>Enter the registry ID number in row 3597 of the table for production class 2a.</t>
  </si>
  <si>
    <t>Enter the registry ID number in row 3598 of the table for production class 2a.</t>
  </si>
  <si>
    <t>Enter the registry ID number in row 3599 of the table for production class 2a.</t>
  </si>
  <si>
    <t>Enter the registry ID number in row 3600 of the table for production class 2a.</t>
  </si>
  <si>
    <t>Enter the registry ID number in row 3601 of the table for production class 2a.</t>
  </si>
  <si>
    <t>Enter the registry ID number in row 3602 of the table for production class 2a.</t>
  </si>
  <si>
    <t>Enter the registry ID number in row 3603 of the table for production class 2a.</t>
  </si>
  <si>
    <t>Enter the registry ID number in row 3604 of the table for production class 2a.</t>
  </si>
  <si>
    <t>Enter the registry ID number in row 3605 of the table for production class 2a.</t>
  </si>
  <si>
    <t>Enter the registry ID number in row 3606 of the table for production class 2a.</t>
  </si>
  <si>
    <t>Enter the registry ID number in row 3607 of the table for production class 2a.</t>
  </si>
  <si>
    <t>Enter the registry ID number in row 3608 of the table for production class 2a.</t>
  </si>
  <si>
    <t>Enter the registry ID number in row 3609 of the table for production class 2a.</t>
  </si>
  <si>
    <t>Enter the registry ID number in row 3610 of the table for production class 2a.</t>
  </si>
  <si>
    <t>Enter the registry ID number in row 3611 of the table for production class 2a.</t>
  </si>
  <si>
    <t>Enter the registry ID number in row 3612 of the table for production class 2a.</t>
  </si>
  <si>
    <t>Enter the registry ID number in row 3613 of the table for production class 2a.</t>
  </si>
  <si>
    <t>Enter the registry ID number in row 3614 of the table for production class 2a.</t>
  </si>
  <si>
    <t>Enter the registry ID number in row 3615 of the table for production class 2a.</t>
  </si>
  <si>
    <t>Enter the registry ID number in row 3616 of the table for production class 2a.</t>
  </si>
  <si>
    <t>Enter the registry ID number in row 3617 of the table for production class 2a.</t>
  </si>
  <si>
    <t>Enter the registry ID number in row 3618 of the table for production class 2a.</t>
  </si>
  <si>
    <t>Enter the registry ID number in row 3619 of the table for production class 2a.</t>
  </si>
  <si>
    <t>Enter the registry ID number in row 3620 of the table for production class 2a.</t>
  </si>
  <si>
    <t>Enter the registry ID number in row 3621 of the table for production class 2a.</t>
  </si>
  <si>
    <t>Enter the registry ID number in row 3622 of the table for production class 2a.</t>
  </si>
  <si>
    <t>Enter the registry ID number in row 3623 of the table for production class 2a.</t>
  </si>
  <si>
    <t>Enter the registry ID number in row 3624 of the table for production class 2a.</t>
  </si>
  <si>
    <t>Enter the registry ID number in row 3625 of the table for production class 2a.</t>
  </si>
  <si>
    <t>Enter the registry ID number in row 3626 of the table for production class 2a.</t>
  </si>
  <si>
    <t>Enter the registry ID number in row 3627 of the table for production class 2a.</t>
  </si>
  <si>
    <t>Enter the registry ID number in row 3628 of the table for production class 2a.</t>
  </si>
  <si>
    <t>Enter the registry ID number in row 3629 of the table for production class 2a.</t>
  </si>
  <si>
    <t>Enter the registry ID number in row 3630 of the table for production class 2a.</t>
  </si>
  <si>
    <t>Enter the registry ID number in row 3631 of the table for production class 2a.</t>
  </si>
  <si>
    <t>Enter the registry ID number in row 3632 of the table for production class 2a.</t>
  </si>
  <si>
    <t>Enter the registry ID number in row 3633 of the table for production class 2a.</t>
  </si>
  <si>
    <t>Enter the registry ID number in row 3634 of the table for production class 2a.</t>
  </si>
  <si>
    <t>Enter the registry ID number in row 3635 of the table for production class 2a.</t>
  </si>
  <si>
    <t>Enter the registry ID number in row 3636 of the table for production class 2a.</t>
  </si>
  <si>
    <t>Enter the registry ID number in row 3637 of the table for production class 2a.</t>
  </si>
  <si>
    <t>Enter the registry ID number in row 3638 of the table for production class 2a.</t>
  </si>
  <si>
    <t>Enter the registry ID number in row 3639 of the table for production class 2a.</t>
  </si>
  <si>
    <t>Enter the registry ID number in row 3640 of the table for production class 2a.</t>
  </si>
  <si>
    <t>Enter the registry ID number in row 3641 of the table for production class 2a.</t>
  </si>
  <si>
    <t>Enter the registry ID number in row 3642 of the table for production class 2a.</t>
  </si>
  <si>
    <t>Enter the registry ID number in row 3643 of the table for production class 2a.</t>
  </si>
  <si>
    <t>Enter the registry ID number in row 3644 of the table for production class 2a.</t>
  </si>
  <si>
    <t>Enter the registry ID number in row 3645 of the table for production class 2a.</t>
  </si>
  <si>
    <t>Enter the registry ID number in row 3646 of the table for production class 2a.</t>
  </si>
  <si>
    <t>Enter the registry ID number in row 3647 of the table for production class 2a.</t>
  </si>
  <si>
    <t>Enter the registry ID number in row 3648 of the table for production class 2a.</t>
  </si>
  <si>
    <t>Enter the registry ID number in row 3649 of the table for production class 2a.</t>
  </si>
  <si>
    <t>Enter the registry ID number in row 3650 of the table for production class 2a.</t>
  </si>
  <si>
    <t>Enter the registry ID number in row 3651 of the table for production class 2a.</t>
  </si>
  <si>
    <t>Enter the registry ID number in row 3652 of the table for production class 2a.</t>
  </si>
  <si>
    <t>Enter the registry ID number in row 3653 of the table for production class 2a.</t>
  </si>
  <si>
    <t>Enter the registry ID number in row 3654 of the table for production class 2a.</t>
  </si>
  <si>
    <t>Enter the registry ID number in row 3655 of the table for production class 2a.</t>
  </si>
  <si>
    <t>Enter the registry ID number in row 3656 of the table for production class 2a.</t>
  </si>
  <si>
    <t>Enter the registry ID number in row 3657 of the table for production class 2a.</t>
  </si>
  <si>
    <t>Enter the registry ID number in row 3658 of the table for production class 2a.</t>
  </si>
  <si>
    <t>Enter the registry ID number in row 3659 of the table for production class 2a.</t>
  </si>
  <si>
    <t>Enter the registry ID number in row 3660 of the table for production class 2a.</t>
  </si>
  <si>
    <t>Enter the registry ID number in row 3661 of the table for production class 2a.</t>
  </si>
  <si>
    <t>Enter the registry ID number in row 3662 of the table for production class 2a.</t>
  </si>
  <si>
    <t>Enter the registry ID number in row 3663 of the table for production class 2a.</t>
  </si>
  <si>
    <t>Enter the registry ID number in row 3664 of the table for production class 2a.</t>
  </si>
  <si>
    <t>Enter the registry ID number in row 3665 of the table for production class 2a.</t>
  </si>
  <si>
    <t>Enter the registry ID number in row 3666 of the table for production class 2a.</t>
  </si>
  <si>
    <t>Enter the registry ID number in row 3667 of the table for production class 2a.</t>
  </si>
  <si>
    <t>Enter the registry ID number in row 3668 of the table for production class 2a.</t>
  </si>
  <si>
    <t>Enter the registry ID number in row 3669 of the table for production class 2a.</t>
  </si>
  <si>
    <t>Enter the registry ID number in row 3670 of the table for production class 2a.</t>
  </si>
  <si>
    <t>Enter the registry ID number in row 3671 of the table for production class 2a.</t>
  </si>
  <si>
    <t>Enter the registry ID number in row 3672 of the table for production class 2a.</t>
  </si>
  <si>
    <t>Enter the registry ID number in row 3673 of the table for production class 2a.</t>
  </si>
  <si>
    <t>Enter the registry ID number in row 3674 of the table for production class 2a.</t>
  </si>
  <si>
    <t>Enter the registry ID number in row 3675 of the table for production class 2a.</t>
  </si>
  <si>
    <t>Enter the registry ID number in row 3676 of the table for production class 2a.</t>
  </si>
  <si>
    <t>Enter the registry ID number in row 3677 of the table for production class 2a.</t>
  </si>
  <si>
    <t>Enter the registry ID number in row 3678 of the table for production class 2a.</t>
  </si>
  <si>
    <t>Enter the registry ID number in row 3679 of the table for production class 2a.</t>
  </si>
  <si>
    <t>Enter the registry ID number in row 3680 of the table for production class 2a.</t>
  </si>
  <si>
    <t>Enter the registry ID number in row 3681 of the table for production class 2a.</t>
  </si>
  <si>
    <t>Enter the registry ID number in row 3682 of the table for production class 2a.</t>
  </si>
  <si>
    <t>Enter the registry ID number in row 3683 of the table for production class 2a.</t>
  </si>
  <si>
    <t>Enter the registry ID number in row 3684 of the table for production class 2a.</t>
  </si>
  <si>
    <t>Enter the registry ID number in row 3685 of the table for production class 2a.</t>
  </si>
  <si>
    <t>Enter the registry ID number in row 3686 of the table for production class 2a.</t>
  </si>
  <si>
    <t>Enter the registry ID number in row 3687 of the table for production class 2a.</t>
  </si>
  <si>
    <t>Enter the registry ID number in row 3688 of the table for production class 2a.</t>
  </si>
  <si>
    <t>Enter the registry ID number in row 3689 of the table for production class 2a.</t>
  </si>
  <si>
    <t>Enter the registry ID number in row 3690 of the table for production class 2a.</t>
  </si>
  <si>
    <t>Enter the registry ID number in row 3691 of the table for production class 2a.</t>
  </si>
  <si>
    <t>Enter the registry ID number in row 3692 of the table for production class 2a.</t>
  </si>
  <si>
    <t>Enter the registry ID number in row 3693 of the table for production class 2a.</t>
  </si>
  <si>
    <t>Enter the registry ID number in row 3694 of the table for production class 2a.</t>
  </si>
  <si>
    <t>Enter the registry ID number in row 3695 of the table for production class 2a.</t>
  </si>
  <si>
    <t>Enter the registry ID number in row 3696 of the table for production class 2a.</t>
  </si>
  <si>
    <t>Enter the registry ID number in row 3697 of the table for production class 2a.</t>
  </si>
  <si>
    <t>Enter the registry ID number in row 3698 of the table for production class 2a.</t>
  </si>
  <si>
    <t>Enter the registry ID number in row 3699 of the table for production class 2a.</t>
  </si>
  <si>
    <t>Enter the registry ID number in row 3700 of the table for production class 2a.</t>
  </si>
  <si>
    <t>Enter the registry ID number in row 3701 of the table for production class 2a.</t>
  </si>
  <si>
    <t>Enter the registry ID number in row 3702 of the table for production class 2a.</t>
  </si>
  <si>
    <t>Enter the registry ID number in row 3703 of the table for production class 2a.</t>
  </si>
  <si>
    <t>Enter the registry ID number in row 3704 of the table for production class 2a.</t>
  </si>
  <si>
    <t>Enter the registry ID number in row 3705 of the table for production class 2a.</t>
  </si>
  <si>
    <t>Enter the registry ID number in row 3706 of the table for production class 2a.</t>
  </si>
  <si>
    <t>Enter the registry ID number in row 3707 of the table for production class 2a.</t>
  </si>
  <si>
    <t>Enter the registry ID number in row 3708 of the table for production class 2a.</t>
  </si>
  <si>
    <t>Enter the registry ID number in row 3709 of the table for production class 2a.</t>
  </si>
  <si>
    <t>Enter the registry ID number in row 3710 of the table for production class 2a.</t>
  </si>
  <si>
    <t>Enter the registry ID number in row 3711 of the table for production class 2a.</t>
  </si>
  <si>
    <t>Enter the registry ID number in row 3712 of the table for production class 2a.</t>
  </si>
  <si>
    <t>Enter the registry ID number in row 3713 of the table for production class 2a.</t>
  </si>
  <si>
    <t>Enter the registry ID number in row 3714 of the table for production class 2a.</t>
  </si>
  <si>
    <t>Enter the registry ID number in row 3715 of the table for production class 2a.</t>
  </si>
  <si>
    <t>Enter the registry ID number in row 3716 of the table for production class 2a.</t>
  </si>
  <si>
    <t>Enter the registry ID number in row 3717 of the table for production class 2a.</t>
  </si>
  <si>
    <t>Enter the registry ID number in row 3718 of the table for production class 2a.</t>
  </si>
  <si>
    <t>Enter the registry ID number in row 3719 of the table for production class 2a.</t>
  </si>
  <si>
    <t>Enter the registry ID number in row 3720 of the table for production class 2a.</t>
  </si>
  <si>
    <t>Enter the registry ID number in row 3721 of the table for production class 2a.</t>
  </si>
  <si>
    <t>Enter the registry ID number in row 3722 of the table for production class 2a.</t>
  </si>
  <si>
    <t>Enter the registry ID number in row 3723 of the table for production class 2a.</t>
  </si>
  <si>
    <t>Enter the registry ID number in row 3724 of the table for production class 2a.</t>
  </si>
  <si>
    <t>Enter the registry ID number in row 3725 of the table for production class 2a.</t>
  </si>
  <si>
    <t>Enter the registry ID number in row 3726 of the table for production class 2a.</t>
  </si>
  <si>
    <t>Enter the registry ID number in row 3727 of the table for production class 2a.</t>
  </si>
  <si>
    <t>Enter the registry ID number in row 3728 of the table for production class 2a.</t>
  </si>
  <si>
    <t>Enter the registry ID number in row 3729 of the table for production class 2a.</t>
  </si>
  <si>
    <t>Enter the registry ID number in row 3730 of the table for production class 2a.</t>
  </si>
  <si>
    <t>Enter the registry ID number in row 3731 of the table for production class 2a.</t>
  </si>
  <si>
    <t>Enter the registry ID number in row 3732 of the table for production class 2a.</t>
  </si>
  <si>
    <t>Enter the registry ID number in row 3733 of the table for production class 2a.</t>
  </si>
  <si>
    <t>Enter the registry ID number in row 3734 of the table for production class 2a.</t>
  </si>
  <si>
    <t>Enter the registry ID number in row 3735 of the table for production class 2a.</t>
  </si>
  <si>
    <t>Enter the registry ID number in row 3736 of the table for production class 2a.</t>
  </si>
  <si>
    <t>Enter the registry ID number in row 3737 of the table for production class 2a.</t>
  </si>
  <si>
    <t>Enter the registry ID number in row 3738 of the table for production class 2a.</t>
  </si>
  <si>
    <t>Enter the registry ID number in row 3739 of the table for production class 2a.</t>
  </si>
  <si>
    <t>Enter the registry ID number in row 3740 of the table for production class 2a.</t>
  </si>
  <si>
    <t>Enter the registry ID number in row 3741 of the table for production class 2a.</t>
  </si>
  <si>
    <t>Enter the registry ID number in row 3742 of the table for production class 2a.</t>
  </si>
  <si>
    <t>Enter the registry ID number in row 3743 of the table for production class 2a.</t>
  </si>
  <si>
    <t>Enter the registry ID number in row 3744 of the table for production class 2a.</t>
  </si>
  <si>
    <t>Enter the registry ID number in row 3745 of the table for production class 2a.</t>
  </si>
  <si>
    <t>Enter the registry ID number in row 3746 of the table for production class 2a.</t>
  </si>
  <si>
    <t>Enter the registry ID number in row 3747 of the table for production class 2a.</t>
  </si>
  <si>
    <t>Enter the registry ID number in row 3748 of the table for production class 2a.</t>
  </si>
  <si>
    <t>Enter the registry ID number in row 3749 of the table for production class 2a.</t>
  </si>
  <si>
    <t>Enter the registry ID number in row 3750 of the table for production class 2a.</t>
  </si>
  <si>
    <t>Enter the registry ID number in row 3751 of the table for production class 2a.</t>
  </si>
  <si>
    <t>Enter the registry ID number in row 3752 of the table for production class 2a.</t>
  </si>
  <si>
    <t>Enter the registry ID number in row 3753 of the table for production class 2a.</t>
  </si>
  <si>
    <t>Enter the registry ID number in row 3754 of the table for production class 2a.</t>
  </si>
  <si>
    <t>Enter the registry ID number in row 3755 of the table for production class 2a.</t>
  </si>
  <si>
    <t>Enter the registry ID number in row 3756 of the table for production class 2a.</t>
  </si>
  <si>
    <t>Enter the registry ID number in row 3757 of the table for production class 2a.</t>
  </si>
  <si>
    <t>Enter the registry ID number in row 3758 of the table for production class 2a.</t>
  </si>
  <si>
    <t>Enter the registry ID number in row 3759 of the table for production class 2a.</t>
  </si>
  <si>
    <t>Enter the registry ID number in row 3760 of the table for production class 2a.</t>
  </si>
  <si>
    <t>Enter the registry ID number in row 3761 of the table for production class 2a.</t>
  </si>
  <si>
    <t>Enter the registry ID number in row 3762 of the table for production class 2a.</t>
  </si>
  <si>
    <t>Enter the registry ID number in row 3763 of the table for production class 2a.</t>
  </si>
  <si>
    <t>Enter the registry ID number in row 3764 of the table for production class 2a.</t>
  </si>
  <si>
    <t>Enter the registry ID number in row 3765 of the table for production class 2a.</t>
  </si>
  <si>
    <t>Enter the registry ID number in row 3766 of the table for production class 2a.</t>
  </si>
  <si>
    <t>Enter the registry ID number in row 3767 of the table for production class 2a.</t>
  </si>
  <si>
    <t>Enter the registry ID number in row 3768 of the table for production class 2a.</t>
  </si>
  <si>
    <t>Enter the registry ID number in row 3769 of the table for production class 2a.</t>
  </si>
  <si>
    <t>Enter the registry ID number in row 3770 of the table for production class 2a.</t>
  </si>
  <si>
    <t>Enter the registry ID number in row 3771 of the table for production class 2a.</t>
  </si>
  <si>
    <t>Enter the registry ID number in row 3772 of the table for production class 2a.</t>
  </si>
  <si>
    <t>Enter the registry ID number in row 3773 of the table for production class 2a.</t>
  </si>
  <si>
    <t>Enter the registry ID number in row 3774 of the table for production class 2a.</t>
  </si>
  <si>
    <t>Enter the registry ID number in row 3775 of the table for production class 2a.</t>
  </si>
  <si>
    <t>Enter the registry ID number in row 3776 of the table for production class 2a.</t>
  </si>
  <si>
    <t>Enter the registry ID number in row 3777 of the table for production class 2a.</t>
  </si>
  <si>
    <t>Enter the registry ID number in row 3778 of the table for production class 2a.</t>
  </si>
  <si>
    <t>Enter the registry ID number in row 3779 of the table for production class 2a.</t>
  </si>
  <si>
    <t>Enter the registry ID number in row 3780 of the table for production class 2a.</t>
  </si>
  <si>
    <t>Enter the registry ID number in row 3781 of the table for production class 2a.</t>
  </si>
  <si>
    <t>Enter the registry ID number in row 3782 of the table for production class 2a.</t>
  </si>
  <si>
    <t>Enter the registry ID number in row 3783 of the table for production class 2a.</t>
  </si>
  <si>
    <t>Enter the registry ID number in row 3784 of the table for production class 2a.</t>
  </si>
  <si>
    <t>Enter the registry ID number in row 3785 of the table for production class 2a.</t>
  </si>
  <si>
    <t>Enter the registry ID number in row 3786 of the table for production class 2a.</t>
  </si>
  <si>
    <t>Enter the registry ID number in row 3787 of the table for production class 2a.</t>
  </si>
  <si>
    <t>Enter the registry ID number in row 3788 of the table for production class 2a.</t>
  </si>
  <si>
    <t>Enter the registry ID number in row 3789 of the table for production class 2a.</t>
  </si>
  <si>
    <t>Enter the registry ID number in row 3790 of the table for production class 2a.</t>
  </si>
  <si>
    <t>Enter the registry ID number in row 3791 of the table for production class 2a.</t>
  </si>
  <si>
    <t>Enter the registry ID number in row 3792 of the table for production class 2a.</t>
  </si>
  <si>
    <t>Enter the registry ID number in row 3793 of the table for production class 2a.</t>
  </si>
  <si>
    <t>Enter the registry ID number in row 3794 of the table for production class 2a.</t>
  </si>
  <si>
    <t>Enter the registry ID number in row 3795 of the table for production class 2a.</t>
  </si>
  <si>
    <t>Enter the registry ID number in row 3796 of the table for production class 2a.</t>
  </si>
  <si>
    <t>Enter the registry ID number in row 3797 of the table for production class 2a.</t>
  </si>
  <si>
    <t>Enter the registry ID number in row 3798 of the table for production class 2a.</t>
  </si>
  <si>
    <t>Enter the registry ID number in row 3799 of the table for production class 2a.</t>
  </si>
  <si>
    <t>Enter the registry ID number in row 3800 of the table for production class 2a.</t>
  </si>
  <si>
    <t>Enter the registry ID number in row 3801 of the table for production class 2a.</t>
  </si>
  <si>
    <t>Enter the registry ID number in row 3802 of the table for production class 2a.</t>
  </si>
  <si>
    <t>Enter the registry ID number in row 3803 of the table for production class 2a.</t>
  </si>
  <si>
    <t>Enter the registry ID number in row 3804 of the table for production class 2a.</t>
  </si>
  <si>
    <t>Enter the registry ID number in row 3805 of the table for production class 2a.</t>
  </si>
  <si>
    <t>Enter the registry ID number in row 3806 of the table for production class 2a.</t>
  </si>
  <si>
    <t>Enter the registry ID number in row 3807 of the table for production class 2a.</t>
  </si>
  <si>
    <t>Enter the registry ID number in row 3808 of the table for production class 2a.</t>
  </si>
  <si>
    <t>Enter the registry ID number in row 3809 of the table for production class 2a.</t>
  </si>
  <si>
    <t>Enter the registry ID number in row 3810 of the table for production class 2a.</t>
  </si>
  <si>
    <t>Enter the registry ID number in row 3811 of the table for production class 2a.</t>
  </si>
  <si>
    <t>Enter the registry ID number in row 3812 of the table for production class 2a.</t>
  </si>
  <si>
    <t>Enter the registry ID number in row 3813 of the table for production class 2a.</t>
  </si>
  <si>
    <t>Enter the registry ID number in row 3814 of the table for production class 2a.</t>
  </si>
  <si>
    <t>Enter the registry ID number in row 3815 of the table for production class 2a.</t>
  </si>
  <si>
    <t>Enter the registry ID number in row 3816 of the table for production class 2a.</t>
  </si>
  <si>
    <t>Enter the registry ID number in row 3817 of the table for production class 2a.</t>
  </si>
  <si>
    <t>Enter the registry ID number in row 3818 of the table for production class 2a.</t>
  </si>
  <si>
    <t>Enter the registry ID number in row 3819 of the table for production class 2a.</t>
  </si>
  <si>
    <t>Enter the registry ID number in row 3820 of the table for production class 2a.</t>
  </si>
  <si>
    <t>Enter the registry ID number in row 3821 of the table for production class 2a.</t>
  </si>
  <si>
    <t>Enter the registry ID number in row 3822 of the table for production class 2a.</t>
  </si>
  <si>
    <t>Enter the registry ID number in row 3823 of the table for production class 2a.</t>
  </si>
  <si>
    <t>Enter the registry ID number in row 3824 of the table for production class 2a.</t>
  </si>
  <si>
    <t>Enter the registry ID number in row 3825 of the table for production class 2a.</t>
  </si>
  <si>
    <t>Enter the registry ID number in row 3826 of the table for production class 2a.</t>
  </si>
  <si>
    <t>Enter the registry ID number in row 3827 of the table for production class 2a.</t>
  </si>
  <si>
    <t>Enter the registry ID number in row 3828 of the table for production class 2a.</t>
  </si>
  <si>
    <t>Enter the registry ID number in row 3829 of the table for production class 2a.</t>
  </si>
  <si>
    <t>Enter the registry ID number in row 3830 of the table for production class 2a.</t>
  </si>
  <si>
    <t>Enter the registry ID number in row 3831 of the table for production class 2a.</t>
  </si>
  <si>
    <t>Enter the registry ID number in row 3832 of the table for production class 2a.</t>
  </si>
  <si>
    <t>Enter the registry ID number in row 3833 of the table for production class 2a.</t>
  </si>
  <si>
    <t>Enter the registry ID number in row 3834 of the table for production class 2a.</t>
  </si>
  <si>
    <t>Enter the registry ID number in row 3835 of the table for production class 2a.</t>
  </si>
  <si>
    <t>Enter the registry ID number in row 3836 of the table for production class 2a.</t>
  </si>
  <si>
    <t>Enter the registry ID number in row 3837 of the table for production class 2a.</t>
  </si>
  <si>
    <t>Enter the registry ID number in row 3838 of the table for production class 2a.</t>
  </si>
  <si>
    <t>Enter the registry ID number in row 3839 of the table for production class 2a.</t>
  </si>
  <si>
    <t>Enter the registry ID number in row 3840 of the table for production class 2a.</t>
  </si>
  <si>
    <t>Enter the registry ID number in row 3841 of the table for production class 2a.</t>
  </si>
  <si>
    <t>Enter the registry ID number in row 3842 of the table for production class 2a.</t>
  </si>
  <si>
    <t>Enter the registry ID number in row 3843 of the table for production class 2a.</t>
  </si>
  <si>
    <t>Enter the registry ID number in row 3844 of the table for production class 2a.</t>
  </si>
  <si>
    <t>Enter the registry ID number in row 3845 of the table for production class 2a.</t>
  </si>
  <si>
    <t>Enter the registry ID number in row 3846 of the table for production class 2a.</t>
  </si>
  <si>
    <t>Enter the registry ID number in row 3847 of the table for production class 2a.</t>
  </si>
  <si>
    <t>Enter the registry ID number in row 3848 of the table for production class 2a.</t>
  </si>
  <si>
    <t>Enter the registry ID number in row 3849 of the table for production class 2a.</t>
  </si>
  <si>
    <t>Enter the registry ID number in row 3850 of the table for production class 2a.</t>
  </si>
  <si>
    <t>Enter the registry ID number in row 3851 of the table for production class 2a.</t>
  </si>
  <si>
    <t>Enter the registry ID number in row 3852 of the table for production class 2a.</t>
  </si>
  <si>
    <t>Enter the registry ID number in row 3853 of the table for production class 2a.</t>
  </si>
  <si>
    <t>Enter the registry ID number in row 3854 of the table for production class 2a.</t>
  </si>
  <si>
    <t>Enter the registry ID number in row 3855 of the table for production class 2a.</t>
  </si>
  <si>
    <t>Enter the registry ID number in row 3856 of the table for production class 2a.</t>
  </si>
  <si>
    <t>Enter the registry ID number in row 3857 of the table for production class 2a.</t>
  </si>
  <si>
    <t>Enter the registry ID number in row 3858 of the table for production class 2a.</t>
  </si>
  <si>
    <t>Enter the registry ID number in row 3859 of the table for production class 2a.</t>
  </si>
  <si>
    <t>Enter the registry ID number in row 3860 of the table for production class 2a.</t>
  </si>
  <si>
    <t>Enter the registry ID number in row 3861 of the table for production class 2a.</t>
  </si>
  <si>
    <t>Enter the registry ID number in row 3862 of the table for production class 2a.</t>
  </si>
  <si>
    <t>Enter the registry ID number in row 3863 of the table for production class 2a.</t>
  </si>
  <si>
    <t>Enter the registry ID number in row 3864 of the table for production class 2a.</t>
  </si>
  <si>
    <t>Enter the registry ID number in row 3865 of the table for production class 2a.</t>
  </si>
  <si>
    <t>Enter the registry ID number in row 3866 of the table for production class 2a.</t>
  </si>
  <si>
    <t>Enter the registry ID number in row 3867 of the table for production class 2a.</t>
  </si>
  <si>
    <t>Enter the registry ID number in row 3868 of the table for production class 2a.</t>
  </si>
  <si>
    <t>Enter the registry ID number in row 3869 of the table for production class 2a.</t>
  </si>
  <si>
    <t>Enter the registry ID number in row 3870 of the table for production class 2a.</t>
  </si>
  <si>
    <t>Enter the registry ID number in row 3871 of the table for production class 2a.</t>
  </si>
  <si>
    <t>Enter the registry ID number in row 3872 of the table for production class 2a.</t>
  </si>
  <si>
    <t>Enter the registry ID number in row 3873 of the table for production class 2a.</t>
  </si>
  <si>
    <t>Enter the registry ID number in row 3874 of the table for production class 2a.</t>
  </si>
  <si>
    <t>Enter the registry ID number in row 3875 of the table for production class 2a.</t>
  </si>
  <si>
    <t>Enter the registry ID number in row 3876 of the table for production class 2a.</t>
  </si>
  <si>
    <t>Enter the registry ID number in row 3877 of the table for production class 2a.</t>
  </si>
  <si>
    <t>Enter the registry ID number in row 3878 of the table for production class 2a.</t>
  </si>
  <si>
    <t>Enter the registry ID number in row 3879 of the table for production class 2a.</t>
  </si>
  <si>
    <t>Enter the registry ID number in row 3880 of the table for production class 2a.</t>
  </si>
  <si>
    <t>Enter the registry ID number in row 3881 of the table for production class 2a.</t>
  </si>
  <si>
    <t>Enter the registry ID number in row 3882 of the table for production class 2a.</t>
  </si>
  <si>
    <t>Enter the registry ID number in row 3883 of the table for production class 2a.</t>
  </si>
  <si>
    <t>Enter the registry ID number in row 3884 of the table for production class 2a.</t>
  </si>
  <si>
    <t>Enter the registry ID number in row 3885 of the table for production class 2a.</t>
  </si>
  <si>
    <t>Enter the registry ID number in row 3886 of the table for production class 2a.</t>
  </si>
  <si>
    <t>Enter the registry ID number in row 3887 of the table for production class 2a.</t>
  </si>
  <si>
    <t>Enter the registry ID number in row 3888 of the table for production class 2a.</t>
  </si>
  <si>
    <t>Enter the registry ID number in row 3889 of the table for production class 2a.</t>
  </si>
  <si>
    <t>Enter the registry ID number in row 3890 of the table for production class 2a.</t>
  </si>
  <si>
    <t>Enter the registry ID number in row 3891 of the table for production class 2a.</t>
  </si>
  <si>
    <t>Enter the registry ID number in row 3892 of the table for production class 2a.</t>
  </si>
  <si>
    <t>Enter the registry ID number in row 3893 of the table for production class 2a.</t>
  </si>
  <si>
    <t>Enter the registry ID number in row 3894 of the table for production class 2a.</t>
  </si>
  <si>
    <t>Enter the registry ID number in row 3895 of the table for production class 2a.</t>
  </si>
  <si>
    <t>Enter the registry ID number in row 3896 of the table for production class 2a.</t>
  </si>
  <si>
    <t>Enter the registry ID number in row 3897 of the table for production class 2a.</t>
  </si>
  <si>
    <t>Enter the registry ID number in row 3898 of the table for production class 2a.</t>
  </si>
  <si>
    <t>Enter the registry ID number in row 3899 of the table for production class 2a.</t>
  </si>
  <si>
    <t>Enter the registry ID number in row 3900 of the table for production class 2a.</t>
  </si>
  <si>
    <t>Enter the registry ID number in row 3901 of the table for production class 2a.</t>
  </si>
  <si>
    <t>Enter the registry ID number in row 3902 of the table for production class 2a.</t>
  </si>
  <si>
    <t>Enter the registry ID number in row 3903 of the table for production class 2a.</t>
  </si>
  <si>
    <t>Enter the registry ID number in row 3904 of the table for production class 2a.</t>
  </si>
  <si>
    <t>Enter the registry ID number in row 3905 of the table for production class 2a.</t>
  </si>
  <si>
    <t>Enter the registry ID number in row 3906 of the table for production class 2a.</t>
  </si>
  <si>
    <t>Enter the registry ID number in row 3907 of the table for production class 2a.</t>
  </si>
  <si>
    <t>Enter the registry ID number in row 3908 of the table for production class 2a.</t>
  </si>
  <si>
    <t>Enter the registry ID number in row 3909 of the table for production class 2a.</t>
  </si>
  <si>
    <t>Enter the registry ID number in row 3910 of the table for production class 2a.</t>
  </si>
  <si>
    <t>Enter the registry ID number in row 3911 of the table for production class 2a.</t>
  </si>
  <si>
    <t>Enter the registry ID number in row 3912 of the table for production class 2a.</t>
  </si>
  <si>
    <t>Enter the registry ID number in row 3913 of the table for production class 2a.</t>
  </si>
  <si>
    <t>Enter the registry ID number in row 3914 of the table for production class 2a.</t>
  </si>
  <si>
    <t>Enter the registry ID number in row 3915 of the table for production class 2a.</t>
  </si>
  <si>
    <t>Enter the registry ID number in row 3916 of the table for production class 2a.</t>
  </si>
  <si>
    <t>Enter the registry ID number in row 3917 of the table for production class 2a.</t>
  </si>
  <si>
    <t>Enter the registry ID number in row 3918 of the table for production class 2a.</t>
  </si>
  <si>
    <t>Enter the registry ID number in row 3919 of the table for production class 2a.</t>
  </si>
  <si>
    <t>Enter the registry ID number in row 3920 of the table for production class 2a.</t>
  </si>
  <si>
    <t>Enter the registry ID number in row 3921 of the table for production class 2a.</t>
  </si>
  <si>
    <t>Enter the registry ID number in row 3922 of the table for production class 2a.</t>
  </si>
  <si>
    <t>Enter the registry ID number in row 3923 of the table for production class 2a.</t>
  </si>
  <si>
    <t>Enter the registry ID number in row 3924 of the table for production class 2a.</t>
  </si>
  <si>
    <t>Enter the registry ID number in row 3925 of the table for production class 2a.</t>
  </si>
  <si>
    <t>Enter the registry ID number in row 3926 of the table for production class 2a.</t>
  </si>
  <si>
    <t>Enter the registry ID number in row 3927 of the table for production class 2a.</t>
  </si>
  <si>
    <t>Enter the registry ID number in row 3928 of the table for production class 2a.</t>
  </si>
  <si>
    <t>Enter the registry ID number in row 3929 of the table for production class 2a.</t>
  </si>
  <si>
    <t>Enter the registry ID number in row 3930 of the table for production class 2a.</t>
  </si>
  <si>
    <t>Enter the registry ID number in row 3931 of the table for production class 2a.</t>
  </si>
  <si>
    <t>Enter the registry ID number in row 3932 of the table for production class 2a.</t>
  </si>
  <si>
    <t>Enter the registry ID number in row 3933 of the table for production class 2a.</t>
  </si>
  <si>
    <t>Enter the registry ID number in row 3934 of the table for production class 2a.</t>
  </si>
  <si>
    <t>Enter the registry ID number in row 3935 of the table for production class 2a.</t>
  </si>
  <si>
    <t>Enter the registry ID number in row 3936 of the table for production class 2a.</t>
  </si>
  <si>
    <t>Enter the registry ID number in row 3937 of the table for production class 2a.</t>
  </si>
  <si>
    <t>Enter the registry ID number in row 3938 of the table for production class 2a.</t>
  </si>
  <si>
    <t>Enter the registry ID number in row 3939 of the table for production class 2a.</t>
  </si>
  <si>
    <t>Enter the registry ID number in row 3940 of the table for production class 2a.</t>
  </si>
  <si>
    <t>Enter the registry ID number in row 3941 of the table for production class 2a.</t>
  </si>
  <si>
    <t>Enter the registry ID number in row 3942 of the table for production class 2a.</t>
  </si>
  <si>
    <t>Enter the registry ID number in row 3943 of the table for production class 2a.</t>
  </si>
  <si>
    <t>Enter the registry ID number in row 3944 of the table for production class 2a.</t>
  </si>
  <si>
    <t>Enter the registry ID number in row 3945 of the table for production class 2a.</t>
  </si>
  <si>
    <t>Enter the registry ID number in row 3946 of the table for production class 2a.</t>
  </si>
  <si>
    <t>Enter the registry ID number in row 3947 of the table for production class 2a.</t>
  </si>
  <si>
    <t>Enter the registry ID number in row 3948 of the table for production class 2a.</t>
  </si>
  <si>
    <t>Enter the registry ID number in row 3949 of the table for production class 2a.</t>
  </si>
  <si>
    <t>Enter the registry ID number in row 3950 of the table for production class 2a.</t>
  </si>
  <si>
    <t>Enter the registry ID number in row 3951 of the table for production class 2a.</t>
  </si>
  <si>
    <t>Enter the registry ID number in row 3952 of the table for production class 2a.</t>
  </si>
  <si>
    <t>Enter the registry ID number in row 3953 of the table for production class 2a.</t>
  </si>
  <si>
    <t>Enter the registry ID number in row 3954 of the table for production class 2a.</t>
  </si>
  <si>
    <t>Enter the registry ID number in row 3955 of the table for production class 2a.</t>
  </si>
  <si>
    <t>Enter the registry ID number in row 3956 of the table for production class 2a.</t>
  </si>
  <si>
    <t>Enter the registry ID number in row 3957 of the table for production class 2a.</t>
  </si>
  <si>
    <t>Enter the registry ID number in row 3958 of the table for production class 2a.</t>
  </si>
  <si>
    <t>Enter the registry ID number in row 3959 of the table for production class 2a.</t>
  </si>
  <si>
    <t>Enter the registry ID number in row 3960 of the table for production class 2a.</t>
  </si>
  <si>
    <t>Enter the registry ID number in row 3961 of the table for production class 2a.</t>
  </si>
  <si>
    <t>Enter the registry ID number in row 3962 of the table for production class 2a.</t>
  </si>
  <si>
    <t>Enter the registry ID number in row 3963 of the table for production class 2a.</t>
  </si>
  <si>
    <t>Enter the registry ID number in row 3964 of the table for production class 2a.</t>
  </si>
  <si>
    <t>Enter the registry ID number in row 3965 of the table for production class 2a.</t>
  </si>
  <si>
    <t>Enter the registry ID number in row 3966 of the table for production class 2a.</t>
  </si>
  <si>
    <t>Enter the registry ID number in row 3967 of the table for production class 2a.</t>
  </si>
  <si>
    <t>Enter the registry ID number in row 3968 of the table for production class 2a.</t>
  </si>
  <si>
    <t>Enter the registry ID number in row 3969 of the table for production class 2a.</t>
  </si>
  <si>
    <t>Enter the registry ID number in row 3970 of the table for production class 2a.</t>
  </si>
  <si>
    <t>Enter the registry ID number in row 3971 of the table for production class 2a.</t>
  </si>
  <si>
    <t>Enter the registry ID number in row 3972 of the table for production class 2a.</t>
  </si>
  <si>
    <t>Enter the registry ID number in row 3973 of the table for production class 2a.</t>
  </si>
  <si>
    <t>Enter the registry ID number in row 3974 of the table for production class 2a.</t>
  </si>
  <si>
    <t>Enter the registry ID number in row 3975 of the table for production class 2a.</t>
  </si>
  <si>
    <t>Enter the registry ID number in row 3976 of the table for production class 2a.</t>
  </si>
  <si>
    <t>Enter the registry ID number in row 3977 of the table for production class 2a.</t>
  </si>
  <si>
    <t>Enter the registry ID number in row 3978 of the table for production class 2a.</t>
  </si>
  <si>
    <t>Enter the registry ID number in row 3979 of the table for production class 2a.</t>
  </si>
  <si>
    <t>Enter the registry ID number in row 3980 of the table for production class 2a.</t>
  </si>
  <si>
    <t>Enter the registry ID number in row 3981 of the table for production class 2a.</t>
  </si>
  <si>
    <t>Enter the registry ID number in row 3982 of the table for production class 2a.</t>
  </si>
  <si>
    <t>Enter the registry ID number in row 3983 of the table for production class 2a.</t>
  </si>
  <si>
    <t>Enter the registry ID number in row 3984 of the table for production class 2a.</t>
  </si>
  <si>
    <t>Enter the registry ID number in row 3985 of the table for production class 2a.</t>
  </si>
  <si>
    <t>Enter the registry ID number in row 3986 of the table for production class 2a.</t>
  </si>
  <si>
    <t>Enter the registry ID number in row 3987 of the table for production class 2a.</t>
  </si>
  <si>
    <t>Enter the registry ID number in row 3988 of the table for production class 2a.</t>
  </si>
  <si>
    <t>Enter the registry ID number in row 3989 of the table for production class 2a.</t>
  </si>
  <si>
    <t>Enter the registry ID number in row 3990 of the table for production class 2a.</t>
  </si>
  <si>
    <t>Enter the registry ID number in row 3991 of the table for production class 2a.</t>
  </si>
  <si>
    <t>Enter the registry ID number in row 3992 of the table for production class 2a.</t>
  </si>
  <si>
    <t>Enter the registry ID number in row 3993 of the table for production class 2a.</t>
  </si>
  <si>
    <t>Enter the registry ID number in row 3994 of the table for production class 2a.</t>
  </si>
  <si>
    <t>Enter the registry ID number in row 3995 of the table for production class 2a.</t>
  </si>
  <si>
    <t>Enter the registry ID number in row 3996 of the table for production class 2a.</t>
  </si>
  <si>
    <t>Enter the registry ID number in row 3997 of the table for production class 2a.</t>
  </si>
  <si>
    <t>Enter the registry ID number in row 3998 of the table for production class 2a.</t>
  </si>
  <si>
    <t>Enter the registry ID number in row 3999 of the table for production class 2a.</t>
  </si>
  <si>
    <t>Enter the registry ID number in row 4000 of the table for production class 2a.</t>
  </si>
  <si>
    <t>Enter the registry ID number in row 4001 of the table for production class 2a.</t>
  </si>
  <si>
    <t>Enter the registry ID number in row 4002 of the table for production class 2a.</t>
  </si>
  <si>
    <t>Enter the registry ID number in row 4003 of the table for production class 2a.</t>
  </si>
  <si>
    <t>Enter the registry ID number in row 4004 of the table for production class 2a.</t>
  </si>
  <si>
    <t>Enter the registry ID number in row 4005 of the table for production class 2a.</t>
  </si>
  <si>
    <t>Enter the registry ID number in row 4006 of the table for production class 2a.</t>
  </si>
  <si>
    <t>Enter the registry ID number in row 4007 of the table for production class 2a.</t>
  </si>
  <si>
    <t>Enter the registry ID number in row 4008 of the table for production class 2a.</t>
  </si>
  <si>
    <t>Enter the registry ID number in row 4009 of the table for production class 2a.</t>
  </si>
  <si>
    <t>Enter the registry ID number in row 4010 of the table for production class 2a.</t>
  </si>
  <si>
    <t>Enter the registry ID number in row 4011 of the table for production class 2a.</t>
  </si>
  <si>
    <t>Enter the registry ID number in row 4012 of the table for production class 2a.</t>
  </si>
  <si>
    <t>Enter the registry ID number in row 4013 of the table for production class 2a.</t>
  </si>
  <si>
    <t>Enter the registry ID number in row 4014 of the table for production class 2a.</t>
  </si>
  <si>
    <t>Enter the registry ID number in row 4015 of the table for production class 2a.</t>
  </si>
  <si>
    <t>Enter the registry ID number in row 4016 of the table for production class 2a.</t>
  </si>
  <si>
    <t>Enter the registry ID number in row 4017 of the table for production class 2a.</t>
  </si>
  <si>
    <t>Enter the registry ID number in row 4018 of the table for production class 2a.</t>
  </si>
  <si>
    <t>Enter the registry ID number in row 4019 of the table for production class 2a.</t>
  </si>
  <si>
    <t>Enter the registry ID number in row 4020 of the table for production class 2a.</t>
  </si>
  <si>
    <t>Enter the registry ID number in row 4021 of the table for production class 2a.</t>
  </si>
  <si>
    <t>Enter the registry ID number in row 4022 of the table for production class 2a.</t>
  </si>
  <si>
    <t>Enter the registry ID number in row 4023 of the table for production class 2a.</t>
  </si>
  <si>
    <t>Enter the registry ID number in row 4024 of the table for production class 2a.</t>
  </si>
  <si>
    <t>Enter the registry ID number in row 4025 of the table for production class 2a.</t>
  </si>
  <si>
    <t>Enter the registry ID number in row 4026 of the table for production class 2a.</t>
  </si>
  <si>
    <t>Enter the registry ID number in row 4027 of the table for production class 2a.</t>
  </si>
  <si>
    <t>Enter the registry ID number in row 4028 of the table for production class 2a.</t>
  </si>
  <si>
    <t>Enter the registry ID number in row 4029 of the table for production class 2a.</t>
  </si>
  <si>
    <t>Enter the registry ID number in row 4030 of the table for production class 2a.</t>
  </si>
  <si>
    <t>Enter the registry ID number in row 4031 of the table for production class 2a.</t>
  </si>
  <si>
    <t>Enter the registry ID number in row 4032 of the table for production class 2a.</t>
  </si>
  <si>
    <t>Enter the registry ID number in row 4033 of the table for production class 2a.</t>
  </si>
  <si>
    <t>Enter the registry ID number in row 4034 of the table for production class 2a.</t>
  </si>
  <si>
    <t>Enter the registry ID number in row 4035 of the table for production class 2a.</t>
  </si>
  <si>
    <t>Enter the registry ID number in row 4036 of the table for production class 2a.</t>
  </si>
  <si>
    <t>Enter the registry ID number in row 4037 of the table for production class 2a.</t>
  </si>
  <si>
    <t>Enter the registry ID number in row 4038 of the table for production class 2a.</t>
  </si>
  <si>
    <t>Enter the registry ID number in row 4039 of the table for production class 2a.</t>
  </si>
  <si>
    <t>Enter the registry ID number in row 4040 of the table for production class 2a.</t>
  </si>
  <si>
    <t>Enter the registry ID number in row 4041 of the table for production class 2a.</t>
  </si>
  <si>
    <t>Enter the registry ID number in row 4042 of the table for production class 2a.</t>
  </si>
  <si>
    <t>Enter the registry ID number in row 4043 of the table for production class 2a.</t>
  </si>
  <si>
    <t>Enter the registry ID number in row 4044 of the table for production class 2a.</t>
  </si>
  <si>
    <t>Enter the registry ID number in row 4045 of the table for production class 2a.</t>
  </si>
  <si>
    <t>Enter the registry ID number in row 4046 of the table for production class 2a.</t>
  </si>
  <si>
    <t>Enter the registry ID number in row 4047 of the table for production class 2a.</t>
  </si>
  <si>
    <t>Enter the registry ID number in row 4048 of the table for production class 2a.</t>
  </si>
  <si>
    <t>Enter the registry ID number in row 4049 of the table for production class 2a.</t>
  </si>
  <si>
    <t>Enter the registry ID number in row 4050 of the table for production class 2a.</t>
  </si>
  <si>
    <t>Enter the registry ID number in row 4051 of the table for production class 2a.</t>
  </si>
  <si>
    <t>Enter the registry ID number in row 4052 of the table for production class 2a.</t>
  </si>
  <si>
    <t>Enter the registry ID number in row 4053 of the table for production class 2a.</t>
  </si>
  <si>
    <t>Enter the registry ID number in row 4054 of the table for production class 2a.</t>
  </si>
  <si>
    <t>Enter the registry ID number in row 4055 of the table for production class 2a.</t>
  </si>
  <si>
    <t>Enter the registry ID number in row 4056 of the table for production class 2a.</t>
  </si>
  <si>
    <t>Enter the registry ID number in row 4057 of the table for production class 2a.</t>
  </si>
  <si>
    <t>Enter the registry ID number in row 4058 of the table for production class 2a.</t>
  </si>
  <si>
    <t>Enter the registry ID number in row 4059 of the table for production class 2a.</t>
  </si>
  <si>
    <t>Enter the registry ID number in row 4060 of the table for production class 2a.</t>
  </si>
  <si>
    <t>Enter the registry ID number in row 4061 of the table for production class 2a.</t>
  </si>
  <si>
    <t>Enter the registry ID number in row 4062 of the table for production class 2a.</t>
  </si>
  <si>
    <t>Enter the registry ID number in row 4063 of the table for production class 2a.</t>
  </si>
  <si>
    <t>Enter the registry ID number in row 4064 of the table for production class 2a.</t>
  </si>
  <si>
    <t>Enter the registry ID number in row 4065 of the table for production class 2a.</t>
  </si>
  <si>
    <t>Enter the registry ID number in row 4066 of the table for production class 2a.</t>
  </si>
  <si>
    <t>Enter the registry ID number in row 4067 of the table for production class 2a.</t>
  </si>
  <si>
    <t>Enter the registry ID number in row 4068 of the table for production class 2a.</t>
  </si>
  <si>
    <t>Enter the registry ID number in row 4069 of the table for production class 2a.</t>
  </si>
  <si>
    <t>Enter the registry ID number in row 4070 of the table for production class 2a.</t>
  </si>
  <si>
    <t>Enter the registry ID number in row 4071 of the table for production class 2a.</t>
  </si>
  <si>
    <t>Enter the registry ID number in row 4072 of the table for production class 2a.</t>
  </si>
  <si>
    <t>Enter the registry ID number in row 4073 of the table for production class 2a.</t>
  </si>
  <si>
    <t>Enter the registry ID number in row 4074 of the table for production class 2a.</t>
  </si>
  <si>
    <t>Enter the registry ID number in row 4075 of the table for production class 2a.</t>
  </si>
  <si>
    <t>Enter the registry ID number in row 4076 of the table for production class 2a.</t>
  </si>
  <si>
    <t>Enter the registry ID number in row 4077 of the table for production class 2a.</t>
  </si>
  <si>
    <t>Enter the registry ID number in row 4078 of the table for production class 2a.</t>
  </si>
  <si>
    <t>Enter the registry ID number in row 4079 of the table for production class 2a.</t>
  </si>
  <si>
    <t>Enter the registry ID number in row 4080 of the table for production class 2a.</t>
  </si>
  <si>
    <t>Enter the registry ID number in row 4081 of the table for production class 2a.</t>
  </si>
  <si>
    <t>Enter the registry ID number in row 4082 of the table for production class 2a.</t>
  </si>
  <si>
    <t>Enter the registry ID number in row 4083 of the table for production class 2a.</t>
  </si>
  <si>
    <t>Enter the registry ID number in row 4084 of the table for production class 2a.</t>
  </si>
  <si>
    <t>Enter the registry ID number in row 4085 of the table for production class 2a.</t>
  </si>
  <si>
    <t>Enter the registry ID number in row 4086 of the table for production class 2a.</t>
  </si>
  <si>
    <t>Enter the registry ID number in row 4087 of the table for production class 2a.</t>
  </si>
  <si>
    <t>Enter the registry ID number in row 4088 of the table for production class 2a.</t>
  </si>
  <si>
    <t>Enter the registry ID number in row 4089 of the table for production class 2a.</t>
  </si>
  <si>
    <t>Enter the registry ID number in row 4090 of the table for production class 2a.</t>
  </si>
  <si>
    <t>Enter the registry ID number in row 4091 of the table for production class 2a.</t>
  </si>
  <si>
    <t>Enter the registry ID number in row 4092 of the table for production class 2a.</t>
  </si>
  <si>
    <t>Enter the registry ID number in row 4093 of the table for production class 2a.</t>
  </si>
  <si>
    <t>Enter the registry ID number in row 4094 of the table for production class 2a.</t>
  </si>
  <si>
    <t>Enter the registry ID number in row 4095 of the table for production class 2a.</t>
  </si>
  <si>
    <t>Enter the registry ID number in row 4096 of the table for production class 2a.</t>
  </si>
  <si>
    <t>Enter the registry ID number in row 4097 of the table for production class 2a.</t>
  </si>
  <si>
    <t>Enter the registry ID number in row 4098 of the table for production class 2a.</t>
  </si>
  <si>
    <t>Enter the registry ID number in row 4099 of the table for production class 2a.</t>
  </si>
  <si>
    <t>Enter the registry ID number in row 4100 of the table for production class 2a.</t>
  </si>
  <si>
    <t>Enter the registry ID number in row 4101 of the table for production class 2a.</t>
  </si>
  <si>
    <t>Enter the registry ID number in row 4102 of the table for production class 2a.</t>
  </si>
  <si>
    <t>Enter the registry ID number in row 4103 of the table for production class 2a.</t>
  </si>
  <si>
    <t>Enter the registry ID number in row 4104 of the table for production class 2a.</t>
  </si>
  <si>
    <t>Enter the registry ID number in row 4105 of the table for production class 2a.</t>
  </si>
  <si>
    <t>Enter the registry ID number in row 4106 of the table for production class 2a.</t>
  </si>
  <si>
    <t>Enter the registry ID number in row 4107 of the table for production class 2a.</t>
  </si>
  <si>
    <t>Enter the registry ID number in row 4108 of the table for production class 2a.</t>
  </si>
  <si>
    <t>Enter the registry ID number in row 4109 of the table for production class 2a.</t>
  </si>
  <si>
    <t>Enter the registry ID number in row 4110 of the table for production class 2a.</t>
  </si>
  <si>
    <t>Enter the registry ID number in row 4111 of the table for production class 2a.</t>
  </si>
  <si>
    <t>Enter the registry ID number in row 4112 of the table for production class 2a.</t>
  </si>
  <si>
    <t>Enter the registry ID number in row 4113 of the table for production class 2a.</t>
  </si>
  <si>
    <t>Enter the registry ID number in row 4114 of the table for production class 2a.</t>
  </si>
  <si>
    <t>Enter the registry ID number in row 4115 of the table for production class 2a.</t>
  </si>
  <si>
    <t>Enter the registry ID number in row 4116 of the table for production class 2a.</t>
  </si>
  <si>
    <t>Enter the registry ID number in row 4117 of the table for production class 2a.</t>
  </si>
  <si>
    <t>Enter the registry ID number in row 4118 of the table for production class 2a.</t>
  </si>
  <si>
    <t>Enter the registry ID number in row 4119 of the table for production class 2a.</t>
  </si>
  <si>
    <t>Enter the registry ID number in row 4120 of the table for production class 2a.</t>
  </si>
  <si>
    <t>Enter the registry ID number in row 4121 of the table for production class 2a.</t>
  </si>
  <si>
    <t>Enter the registry ID number in row 4122 of the table for production class 2a.</t>
  </si>
  <si>
    <t>Enter the registry ID number in row 4123 of the table for production class 2a.</t>
  </si>
  <si>
    <t>Enter the registry ID number in row 4124 of the table for production class 2a.</t>
  </si>
  <si>
    <t>Enter the registry ID number in row 4125 of the table for production class 2a.</t>
  </si>
  <si>
    <t>Enter the registry ID number in row 4126 of the table for production class 2a.</t>
  </si>
  <si>
    <t>Enter the registry ID number in row 4127 of the table for production class 2a.</t>
  </si>
  <si>
    <t>Enter the registry ID number in row 4128 of the table for production class 2a.</t>
  </si>
  <si>
    <t>Enter the registry ID number in row 4129 of the table for production class 2a.</t>
  </si>
  <si>
    <t>Enter the registry ID number in row 4130 of the table for production class 2a.</t>
  </si>
  <si>
    <t>Enter the registry ID number in row 4131 of the table for production class 2a.</t>
  </si>
  <si>
    <t>Enter the registry ID number in row 4132 of the table for production class 2a.</t>
  </si>
  <si>
    <t>Enter the registry ID number in row 4133 of the table for production class 2a.</t>
  </si>
  <si>
    <t>Enter the registry ID number in row 4134 of the table for production class 2a.</t>
  </si>
  <si>
    <t>Enter the registry ID number in row 4135 of the table for production class 2a.</t>
  </si>
  <si>
    <t>Enter the registry ID number in row 4136 of the table for production class 2a.</t>
  </si>
  <si>
    <t>Enter the registry ID number in row 4137 of the table for production class 2a.</t>
  </si>
  <si>
    <t>Enter the registry ID number in row 4138 of the table for production class 2a.</t>
  </si>
  <si>
    <t>Enter the registry ID number in row 4139 of the table for production class 2a.</t>
  </si>
  <si>
    <t>Enter the registry ID number in row 4140 of the table for production class 2a.</t>
  </si>
  <si>
    <t>Enter the registry ID number in row 4141 of the table for production class 2a.</t>
  </si>
  <si>
    <t>Enter the registry ID number in row 4142 of the table for production class 2a.</t>
  </si>
  <si>
    <t>Enter the registry ID number in row 4143 of the table for production class 2a.</t>
  </si>
  <si>
    <t>Enter the registry ID number in row 4144 of the table for production class 2a.</t>
  </si>
  <si>
    <t>Enter the registry ID number in row 4145 of the table for production class 2a.</t>
  </si>
  <si>
    <t>Enter the registry ID number in row 4146 of the table for production class 2a.</t>
  </si>
  <si>
    <t>Enter the registry ID number in row 4147 of the table for production class 2a.</t>
  </si>
  <si>
    <t>Enter the registry ID number in row 4148 of the table for production class 2a.</t>
  </si>
  <si>
    <t>Enter the registry ID number in row 4149 of the table for production class 2a.</t>
  </si>
  <si>
    <t>Enter the registry ID number in row 4150 of the table for production class 2a.</t>
  </si>
  <si>
    <t>Enter the registry ID number in row 4151 of the table for production class 2a.</t>
  </si>
  <si>
    <t>Enter the registry ID number in row 4152 of the table for production class 2a.</t>
  </si>
  <si>
    <t>Enter the registry ID number in row 4153 of the table for production class 2a.</t>
  </si>
  <si>
    <t>Enter the registry ID number in row 4154 of the table for production class 2a.</t>
  </si>
  <si>
    <t>Enter the registry ID number in row 4155 of the table for production class 2a.</t>
  </si>
  <si>
    <t>Enter the registry ID number in row 4156 of the table for production class 2a.</t>
  </si>
  <si>
    <t>Enter the registry ID number in row 4157 of the table for production class 2a.</t>
  </si>
  <si>
    <t>Enter the registry ID number in row 4158 of the table for production class 2a.</t>
  </si>
  <si>
    <t>Enter the registry ID number in row 4159 of the table for production class 2a.</t>
  </si>
  <si>
    <t>Enter the registry ID number in row 4160 of the table for production class 2a.</t>
  </si>
  <si>
    <t>Enter the registry ID number in row 4161 of the table for production class 2a.</t>
  </si>
  <si>
    <t>Enter the registry ID number in row 4162 of the table for production class 2a.</t>
  </si>
  <si>
    <t>Enter the registry ID number in row 4163 of the table for production class 2a.</t>
  </si>
  <si>
    <t>Enter the registry ID number in row 4164 of the table for production class 2a.</t>
  </si>
  <si>
    <t>Enter the registry ID number in row 4165 of the table for production class 2a.</t>
  </si>
  <si>
    <t>Enter the registry ID number in row 4166 of the table for production class 2a.</t>
  </si>
  <si>
    <t>Enter the registry ID number in row 4167 of the table for production class 2a.</t>
  </si>
  <si>
    <t>Enter the registry ID number in row 4168 of the table for production class 2a.</t>
  </si>
  <si>
    <t>Enter the registry ID number in row 4169 of the table for production class 2a.</t>
  </si>
  <si>
    <t>Enter the registry ID number in row 4170 of the table for production class 2a.</t>
  </si>
  <si>
    <t>Enter the registry ID number in row 4171 of the table for production class 2a.</t>
  </si>
  <si>
    <t>Enter the registry ID number in row 4172 of the table for production class 2a.</t>
  </si>
  <si>
    <t>Enter the registry ID number in row 4173 of the table for production class 2a.</t>
  </si>
  <si>
    <t>Enter the registry ID number in row 4174 of the table for production class 2a.</t>
  </si>
  <si>
    <t>Enter the registry ID number in row 4175 of the table for production class 2a.</t>
  </si>
  <si>
    <t>Enter the registry ID number in row 4176 of the table for production class 2a.</t>
  </si>
  <si>
    <t>Enter the registry ID number in row 4177 of the table for production class 2a.</t>
  </si>
  <si>
    <t>Enter the registry ID number in row 4178 of the table for production class 2a.</t>
  </si>
  <si>
    <t>Enter the registry ID number in row 4179 of the table for production class 2a.</t>
  </si>
  <si>
    <t>Enter the registry ID number in row 4180 of the table for production class 2a.</t>
  </si>
  <si>
    <t>Enter the registry ID number in row 4181 of the table for production class 2a.</t>
  </si>
  <si>
    <t>Enter the registry ID number in row 4182 of the table for production class 2a.</t>
  </si>
  <si>
    <t>Enter the registry ID number in row 4183 of the table for production class 2a.</t>
  </si>
  <si>
    <t>Enter the registry ID number in row 4184 of the table for production class 2a.</t>
  </si>
  <si>
    <t>Enter the registry ID number in row 4185 of the table for production class 2a.</t>
  </si>
  <si>
    <t>Enter the registry ID number in row 4186 of the table for production class 2a.</t>
  </si>
  <si>
    <t>Enter the registry ID number in row 4187 of the table for production class 2a.</t>
  </si>
  <si>
    <t>Enter the registry ID number in row 4188 of the table for production class 2a.</t>
  </si>
  <si>
    <t>Enter the registry ID number in row 4189 of the table for production class 2a.</t>
  </si>
  <si>
    <t>Enter the registry ID number in row 4190 of the table for production class 2a.</t>
  </si>
  <si>
    <t>Enter the registry ID number in row 4191 of the table for production class 2a.</t>
  </si>
  <si>
    <t>Enter the registry ID number in row 4192 of the table for production class 2a.</t>
  </si>
  <si>
    <t>Enter the registry ID number in row 4193 of the table for production class 2a.</t>
  </si>
  <si>
    <t>Enter the registry ID number in row 4194 of the table for production class 2a.</t>
  </si>
  <si>
    <t>Enter the registry ID number in row 4195 of the table for production class 2a.</t>
  </si>
  <si>
    <t>Enter the registry ID number in row 4196 of the table for production class 2a.</t>
  </si>
  <si>
    <t>Enter the registry ID number in row 4197 of the table for production class 2a.</t>
  </si>
  <si>
    <t>Enter the registry ID number in row 4198 of the table for production class 2a.</t>
  </si>
  <si>
    <t>Enter the registry ID number in row 4199 of the table for production class 2a.</t>
  </si>
  <si>
    <t>Enter the registry ID number in row 4200 of the table for production class 2a.</t>
  </si>
  <si>
    <t>Enter the registry ID number in row 4201 of the table for production class 2a.</t>
  </si>
  <si>
    <t>Enter the registry ID number in row 4202 of the table for production class 2a.</t>
  </si>
  <si>
    <t>Enter the registry ID number in row 4203 of the table for production class 2a.</t>
  </si>
  <si>
    <t>Enter the registry ID number in row 4204 of the table for production class 2a.</t>
  </si>
  <si>
    <t>Enter the registry ID number in row 4205 of the table for production class 2a.</t>
  </si>
  <si>
    <t>Enter the registry ID number in row 4206 of the table for production class 2a.</t>
  </si>
  <si>
    <t>Enter the registry ID number in row 4207 of the table for production class 2a.</t>
  </si>
  <si>
    <t>Enter the registry ID number in row 4208 of the table for production class 2a.</t>
  </si>
  <si>
    <t>Enter the registry ID number in row 4209 of the table for production class 2a.</t>
  </si>
  <si>
    <t>Enter the registry ID number in row 4210 of the table for production class 2a.</t>
  </si>
  <si>
    <t>Enter the registry ID number in row 4211 of the table for production class 2a.</t>
  </si>
  <si>
    <t>Enter the registry ID number in row 4212 of the table for production class 2a.</t>
  </si>
  <si>
    <t>Enter the registry ID number in row 4213 of the table for production class 2a.</t>
  </si>
  <si>
    <t>Enter the registry ID number in row 4214 of the table for production class 2a.</t>
  </si>
  <si>
    <t>Enter the registry ID number in row 4215 of the table for production class 2a.</t>
  </si>
  <si>
    <t>Enter the registry ID number in row 4216 of the table for production class 2a.</t>
  </si>
  <si>
    <t>Enter the registry ID number in row 4217 of the table for production class 2a.</t>
  </si>
  <si>
    <t>Enter the registry ID number in row 4218 of the table for production class 2a.</t>
  </si>
  <si>
    <t>Enter the registry ID number in row 4219 of the table for production class 2a.</t>
  </si>
  <si>
    <t>Enter the registry ID number in row 4220 of the table for production class 2a.</t>
  </si>
  <si>
    <t>Enter the registry ID number in row 4221 of the table for production class 2a.</t>
  </si>
  <si>
    <t>Enter the registry ID number in row 4222 of the table for production class 2a.</t>
  </si>
  <si>
    <t>Enter the registry ID number in row 4223 of the table for production class 2a.</t>
  </si>
  <si>
    <t>Enter the registry ID number in row 4224 of the table for production class 2a.</t>
  </si>
  <si>
    <t>Enter the registry ID number in row 4225 of the table for production class 2a.</t>
  </si>
  <si>
    <t>Enter the registry ID number in row 4226 of the table for production class 2a.</t>
  </si>
  <si>
    <t>Enter the registry ID number in row 4227 of the table for production class 2a.</t>
  </si>
  <si>
    <t>Enter the registry ID number in row 4228 of the table for production class 2a.</t>
  </si>
  <si>
    <t>Enter the registry ID number in row 4229 of the table for production class 2a.</t>
  </si>
  <si>
    <t>Enter the registry ID number in row 4230 of the table for production class 2a.</t>
  </si>
  <si>
    <t>Enter the registry ID number in row 4231 of the table for production class 2a.</t>
  </si>
  <si>
    <t>Enter the registry ID number in row 4232 of the table for production class 2a.</t>
  </si>
  <si>
    <t>Enter the registry ID number in row 4233 of the table for production class 2a.</t>
  </si>
  <si>
    <t>Enter the registry ID number in row 4234 of the table for production class 2a.</t>
  </si>
  <si>
    <t>Enter the registry ID number in row 4235 of the table for production class 2a.</t>
  </si>
  <si>
    <t>Enter the registry ID number in row 4236 of the table for production class 2a.</t>
  </si>
  <si>
    <t>Enter the registry ID number in row 4237 of the table for production class 2a.</t>
  </si>
  <si>
    <t>Enter the registry ID number in row 4238 of the table for production class 2a.</t>
  </si>
  <si>
    <t>Enter the registry ID number in row 4239 of the table for production class 2a.</t>
  </si>
  <si>
    <t>Enter the registry ID number in row 4240 of the table for production class 2a.</t>
  </si>
  <si>
    <t>Enter the registry ID number in row 4241 of the table for production class 2a.</t>
  </si>
  <si>
    <t>Enter the registry ID number in row 4242 of the table for production class 2a.</t>
  </si>
  <si>
    <t>Enter the registry ID number in row 4243 of the table for production class 2a.</t>
  </si>
  <si>
    <t>Enter the registry ID number in row 4244 of the table for production class 2a.</t>
  </si>
  <si>
    <t>Enter the registry ID number in row 4245 of the table for production class 2a.</t>
  </si>
  <si>
    <t>Enter the registry ID number in row 4246 of the table for production class 2a.</t>
  </si>
  <si>
    <t>Enter the registry ID number in row 4247 of the table for production class 2a.</t>
  </si>
  <si>
    <t>Enter the registry ID number in row 4248 of the table for production class 2a.</t>
  </si>
  <si>
    <t>Enter the registry ID number in row 4249 of the table for production class 2a.</t>
  </si>
  <si>
    <t>Enter the registry ID number in row 4250 of the table for production class 2a.</t>
  </si>
  <si>
    <t>Enter the registry ID number in row 4251 of the table for production class 2a.</t>
  </si>
  <si>
    <t>Enter the registry ID number in row 4252 of the table for production class 2a.</t>
  </si>
  <si>
    <t>Enter the registry ID number in row 4253 of the table for production class 2a.</t>
  </si>
  <si>
    <t>Enter the registry ID number in row 4254 of the table for production class 2a.</t>
  </si>
  <si>
    <t>Enter the registry ID number in row 4255 of the table for production class 2a.</t>
  </si>
  <si>
    <t>Enter the registry ID number in row 4256 of the table for production class 2a.</t>
  </si>
  <si>
    <t>Enter the registry ID number in row 4257 of the table for production class 2a.</t>
  </si>
  <si>
    <t>Enter the registry ID number in row 4258 of the table for production class 2a.</t>
  </si>
  <si>
    <t>Enter the registry ID number in row 4259 of the table for production class 2a.</t>
  </si>
  <si>
    <t>Enter the registry ID number in row 4260 of the table for production class 2a.</t>
  </si>
  <si>
    <t>Enter the registry ID number in row 4261 of the table for production class 2a.</t>
  </si>
  <si>
    <t>Enter the registry ID number in row 4262 of the table for production class 2a.</t>
  </si>
  <si>
    <t>Enter the registry ID number in row 4263 of the table for production class 2a.</t>
  </si>
  <si>
    <t>Enter the registry ID number in row 4264 of the table for production class 2a.</t>
  </si>
  <si>
    <t>Enter the registry ID number in row 4265 of the table for production class 2a.</t>
  </si>
  <si>
    <t>Enter the registry ID number in row 4266 of the table for production class 2a.</t>
  </si>
  <si>
    <t>Enter the registry ID number in row 4267 of the table for production class 2a.</t>
  </si>
  <si>
    <t>Enter the registry ID number in row 4268 of the table for production class 2a.</t>
  </si>
  <si>
    <t>Enter the registry ID number in row 4269 of the table for production class 2a.</t>
  </si>
  <si>
    <t>Enter the registry ID number in row 4270 of the table for production class 2a.</t>
  </si>
  <si>
    <t>Enter the registry ID number in row 4271 of the table for production class 2a.</t>
  </si>
  <si>
    <t>Enter the registry ID number in row 4272 of the table for production class 2a.</t>
  </si>
  <si>
    <t>Enter the registry ID number in row 4273 of the table for production class 2a.</t>
  </si>
  <si>
    <t>Enter the registry ID number in row 4274 of the table for production class 2a.</t>
  </si>
  <si>
    <t>Enter the registry ID number in row 4275 of the table for production class 2a.</t>
  </si>
  <si>
    <t>Enter the registry ID number in row 4276 of the table for production class 2a.</t>
  </si>
  <si>
    <t>Enter the registry ID number in row 4277 of the table for production class 2a.</t>
  </si>
  <si>
    <t>Enter the registry ID number in row 4278 of the table for production class 2a.</t>
  </si>
  <si>
    <t>Enter the registry ID number in row 4279 of the table for production class 2a.</t>
  </si>
  <si>
    <t>Enter the registry ID number in row 4280 of the table for production class 2a.</t>
  </si>
  <si>
    <t>Enter the registry ID number in row 4281 of the table for production class 2a.</t>
  </si>
  <si>
    <t>Enter the registry ID number in row 4282 of the table for production class 2a.</t>
  </si>
  <si>
    <t>Enter the registry ID number in row 4283 of the table for production class 2a.</t>
  </si>
  <si>
    <t>Enter the registry ID number in row 4284 of the table for production class 2a.</t>
  </si>
  <si>
    <t>Enter the registry ID number in row 4285 of the table for production class 2a.</t>
  </si>
  <si>
    <t>Enter the registry ID number in row 4286 of the table for production class 2a.</t>
  </si>
  <si>
    <t>Enter the registry ID number in row 4287 of the table for production class 2a.</t>
  </si>
  <si>
    <t>Enter the registry ID number in row 4288 of the table for production class 2a.</t>
  </si>
  <si>
    <t>Enter the registry ID number in row 4289 of the table for production class 2a.</t>
  </si>
  <si>
    <t>Enter the registry ID number in row 4290 of the table for production class 2a.</t>
  </si>
  <si>
    <t>Enter the registry ID number in row 4291 of the table for production class 2a.</t>
  </si>
  <si>
    <t>Enter the registry ID number in row 4292 of the table for production class 2a.</t>
  </si>
  <si>
    <t>Enter the registry ID number in row 4293 of the table for production class 2a.</t>
  </si>
  <si>
    <t>Enter the registry ID number in row 4294 of the table for production class 2a.</t>
  </si>
  <si>
    <t>Enter the registry ID number in row 4295 of the table for production class 2a.</t>
  </si>
  <si>
    <t>Enter the registry ID number in row 4296 of the table for production class 2a.</t>
  </si>
  <si>
    <t>Enter the registry ID number in row 4297 of the table for production class 2a.</t>
  </si>
  <si>
    <t>Enter the registry ID number in row 4298 of the table for production class 2a.</t>
  </si>
  <si>
    <t>Enter the registry ID number in row 4299 of the table for production class 2a.</t>
  </si>
  <si>
    <t>Enter the registry ID number in row 4300 of the table for production class 2a.</t>
  </si>
  <si>
    <t>Enter the registry ID number in row 4301 of the table for production class 2a.</t>
  </si>
  <si>
    <t>Enter the registry ID number in row 4302 of the table for production class 2a.</t>
  </si>
  <si>
    <t>Enter the registry ID number in row 4303 of the table for production class 2a.</t>
  </si>
  <si>
    <t>Enter the registry ID number in row 4304 of the table for production class 2a.</t>
  </si>
  <si>
    <t>Enter the registry ID number in row 4305 of the table for production class 2a.</t>
  </si>
  <si>
    <t>Enter the registry ID number in row 4306 of the table for production class 2a.</t>
  </si>
  <si>
    <t>Enter the registry ID number in row 4307 of the table for production class 2a.</t>
  </si>
  <si>
    <t>Enter the registry ID number in row 4308 of the table for production class 2a.</t>
  </si>
  <si>
    <t>Enter the registry ID number in row 4309 of the table for production class 2a.</t>
  </si>
  <si>
    <t>Enter the registry ID number in row 4310 of the table for production class 2a.</t>
  </si>
  <si>
    <t>Enter the registry ID number in row 4311 of the table for production class 2a.</t>
  </si>
  <si>
    <t>Enter the registry ID number in row 4312 of the table for production class 2a.</t>
  </si>
  <si>
    <t>Enter the registry ID number in row 4313 of the table for production class 2a.</t>
  </si>
  <si>
    <t>Enter the registry ID number in row 4314 of the table for production class 2a.</t>
  </si>
  <si>
    <t>Enter the registry ID number in row 4315 of the table for production class 2a.</t>
  </si>
  <si>
    <t>Enter the registry ID number in row 4316 of the table for production class 2a.</t>
  </si>
  <si>
    <t>Enter the registry ID number in row 4317 of the table for production class 2a.</t>
  </si>
  <si>
    <t>Enter the registry ID number in row 4318 of the table for production class 2a.</t>
  </si>
  <si>
    <t>Enter the registry ID number in row 4319 of the table for production class 2a.</t>
  </si>
  <si>
    <t>Enter the registry ID number in row 4320 of the table for production class 2a.</t>
  </si>
  <si>
    <t>Enter the registry ID number in row 4321 of the table for production class 2a.</t>
  </si>
  <si>
    <t>Enter the registry ID number in row 4322 of the table for production class 2a.</t>
  </si>
  <si>
    <t>Enter the registry ID number in row 4323 of the table for production class 2a.</t>
  </si>
  <si>
    <t>Enter the registry ID number in row 4324 of the table for production class 2a.</t>
  </si>
  <si>
    <t>Enter the registry ID number in row 4325 of the table for production class 2a.</t>
  </si>
  <si>
    <t>Enter the registry ID number in row 4326 of the table for production class 2a.</t>
  </si>
  <si>
    <t>Enter the registry ID number in row 4327 of the table for production class 2a.</t>
  </si>
  <si>
    <t>Enter the registry ID number in row 4328 of the table for production class 2a.</t>
  </si>
  <si>
    <t>Enter the registry ID number in row 4329 of the table for production class 2a.</t>
  </si>
  <si>
    <t>Enter the registry ID number in row 4330 of the table for production class 2a.</t>
  </si>
  <si>
    <t>Enter the registry ID number in row 4331 of the table for production class 2a.</t>
  </si>
  <si>
    <t>Enter the registry ID number in row 4332 of the table for production class 2a.</t>
  </si>
  <si>
    <t>Enter the registry ID number in row 4333 of the table for production class 2a.</t>
  </si>
  <si>
    <t>Enter the registry ID number in row 4334 of the table for production class 2a.</t>
  </si>
  <si>
    <t>Enter the registry ID number in row 4335 of the table for production class 2a.</t>
  </si>
  <si>
    <t>Enter the registry ID number in row 4336 of the table for production class 2a.</t>
  </si>
  <si>
    <t>Enter the registry ID number in row 4337 of the table for production class 2a.</t>
  </si>
  <si>
    <t>Enter the registry ID number in row 4338 of the table for production class 2a.</t>
  </si>
  <si>
    <t>Enter the registry ID number in row 4339 of the table for production class 2a.</t>
  </si>
  <si>
    <t>Enter the registry ID number in row 4340 of the table for production class 2a.</t>
  </si>
  <si>
    <t>Enter the registry ID number in row 4341 of the table for production class 2a.</t>
  </si>
  <si>
    <t>Enter the registry ID number in row 4342 of the table for production class 2a.</t>
  </si>
  <si>
    <t>Enter the registry ID number in row 4343 of the table for production class 2a.</t>
  </si>
  <si>
    <t>Enter the registry ID number in row 4344 of the table for production class 2a.</t>
  </si>
  <si>
    <t>Enter the registry ID number in row 4345 of the table for production class 2a.</t>
  </si>
  <si>
    <t>Enter the registry ID number in row 4346 of the table for production class 2a.</t>
  </si>
  <si>
    <t>Enter the registry ID number in row 4347 of the table for production class 2a.</t>
  </si>
  <si>
    <t>Enter the registry ID number in row 4348 of the table for production class 2a.</t>
  </si>
  <si>
    <t>Enter the registry ID number in row 4349 of the table for production class 2a.</t>
  </si>
  <si>
    <t>Enter the registry ID number in row 4350 of the table for production class 2a.</t>
  </si>
  <si>
    <t>Enter the registry ID number in row 4351 of the table for production class 2a.</t>
  </si>
  <si>
    <t>Enter the registry ID number in row 4352 of the table for production class 2a.</t>
  </si>
  <si>
    <t>Enter the registry ID number in row 4353 of the table for production class 2a.</t>
  </si>
  <si>
    <t>Enter the registry ID number in row 4354 of the table for production class 2a.</t>
  </si>
  <si>
    <t>Enter the registry ID number in row 4355 of the table for production class 2a.</t>
  </si>
  <si>
    <t>Enter the registry ID number in row 4356 of the table for production class 2a.</t>
  </si>
  <si>
    <t>Enter the registry ID number in row 4357 of the table for production class 2a.</t>
  </si>
  <si>
    <t>Enter the registry ID number in row 4358 of the table for production class 2a.</t>
  </si>
  <si>
    <t>Enter the registry ID number in row 4359 of the table for production class 2a.</t>
  </si>
  <si>
    <t>Enter the registry ID number in row 4360 of the table for production class 2a.</t>
  </si>
  <si>
    <t>Enter the registry ID number in row 4361 of the table for production class 2a.</t>
  </si>
  <si>
    <t>Enter the registry ID number in row 4362 of the table for production class 2a.</t>
  </si>
  <si>
    <t>Enter the registry ID number in row 4363 of the table for production class 2a.</t>
  </si>
  <si>
    <t>Enter the registry ID number in row 4364 of the table for production class 2a.</t>
  </si>
  <si>
    <t>Enter the registry ID number in row 4365 of the table for production class 2a.</t>
  </si>
  <si>
    <t>Enter the registry ID number in row 4366 of the table for production class 2a.</t>
  </si>
  <si>
    <t>Enter the registry ID number in row 4367 of the table for production class 2a.</t>
  </si>
  <si>
    <t>Enter the registry ID number in row 4368 of the table for production class 2a.</t>
  </si>
  <si>
    <t>Enter the registry ID number in row 4369 of the table for production class 2a.</t>
  </si>
  <si>
    <t>Enter the registry ID number in row 4370 of the table for production class 2a.</t>
  </si>
  <si>
    <t>Enter the registry ID number in row 4371 of the table for production class 2a.</t>
  </si>
  <si>
    <t>Enter the registry ID number in row 4372 of the table for production class 2a.</t>
  </si>
  <si>
    <t>Enter the registry ID number in row 4373 of the table for production class 2a.</t>
  </si>
  <si>
    <t>Enter the registry ID number in row 4374 of the table for production class 2a.</t>
  </si>
  <si>
    <t>Enter the registry ID number in row 4375 of the table for production class 2a.</t>
  </si>
  <si>
    <t>Enter the registry ID number in row 4376 of the table for production class 2a.</t>
  </si>
  <si>
    <t>Enter the registry ID number in row 4377 of the table for production class 2a.</t>
  </si>
  <si>
    <t>Enter the registry ID number in row 4378 of the table for production class 2a.</t>
  </si>
  <si>
    <t>Enter the registry ID number in row 4379 of the table for production class 2a.</t>
  </si>
  <si>
    <t>Enter the registry ID number in row 4380 of the table for production class 2a.</t>
  </si>
  <si>
    <t>Enter the registry ID number in row 4381 of the table for production class 2a.</t>
  </si>
  <si>
    <t>Enter the registry ID number in row 4382 of the table for production class 2a.</t>
  </si>
  <si>
    <t>Enter the registry ID number in row 4383 of the table for production class 2a.</t>
  </si>
  <si>
    <t>Enter the registry ID number in row 4384 of the table for production class 2a.</t>
  </si>
  <si>
    <t>Enter the registry ID number in row 4385 of the table for production class 2a.</t>
  </si>
  <si>
    <t>Enter the registry ID number in row 4386 of the table for production class 2a.</t>
  </si>
  <si>
    <t>Enter the registry ID number in row 4387 of the table for production class 2a.</t>
  </si>
  <si>
    <t>Enter the registry ID number in row 4388 of the table for production class 2a.</t>
  </si>
  <si>
    <t>Enter the registry ID number in row 4389 of the table for production class 2a.</t>
  </si>
  <si>
    <t>Enter the registry ID number in row 4390 of the table for production class 2a.</t>
  </si>
  <si>
    <t>Enter the registry ID number in row 4391 of the table for production class 2a.</t>
  </si>
  <si>
    <t>Enter the registry ID number in row 4392 of the table for production class 2a.</t>
  </si>
  <si>
    <t>Enter the registry ID number in row 4393 of the table for production class 2a.</t>
  </si>
  <si>
    <t>Enter the registry ID number in row 4394 of the table for production class 2a.</t>
  </si>
  <si>
    <t>Enter the registry ID number in row 4395 of the table for production class 2a.</t>
  </si>
  <si>
    <t>Enter the registry ID number in row 4396 of the table for production class 2a.</t>
  </si>
  <si>
    <t>Enter the registry ID number in row 4397 of the table for production class 2a.</t>
  </si>
  <si>
    <t>Enter the registry ID number in row 4398 of the table for production class 2a.</t>
  </si>
  <si>
    <t>Enter the registry ID number in row 4399 of the table for production class 2a.</t>
  </si>
  <si>
    <t>Enter the registry ID number in row 4400 of the table for production class 2a.</t>
  </si>
  <si>
    <t>Enter the registry ID number in row 4401 of the table for production class 2a.</t>
  </si>
  <si>
    <t>Enter the registry ID number in row 4402 of the table for production class 2a.</t>
  </si>
  <si>
    <t>Enter the registry ID number in row 4403 of the table for production class 2a.</t>
  </si>
  <si>
    <t>Enter the registry ID number in row 4404 of the table for production class 2a.</t>
  </si>
  <si>
    <t>Enter the registry ID number in row 4405 of the table for production class 2a.</t>
  </si>
  <si>
    <t>Enter the registry ID number in row 4406 of the table for production class 2a.</t>
  </si>
  <si>
    <t>Enter the registry ID number in row 4407 of the table for production class 2a.</t>
  </si>
  <si>
    <t>Enter the registry ID number in row 4408 of the table for production class 2a.</t>
  </si>
  <si>
    <t>Enter the registry ID number in row 4409 of the table for production class 2a.</t>
  </si>
  <si>
    <t>Enter the registry ID number in row 4410 of the table for production class 2a.</t>
  </si>
  <si>
    <t>Enter the registry ID number in row 4411 of the table for production class 2a.</t>
  </si>
  <si>
    <t>Enter the registry ID number in row 4412 of the table for production class 2a.</t>
  </si>
  <si>
    <t>Enter the registry ID number in row 4413 of the table for production class 2a.</t>
  </si>
  <si>
    <t>Enter the registry ID number in row 4414 of the table for production class 2a.</t>
  </si>
  <si>
    <t>Enter the registry ID number in row 4415 of the table for production class 2a.</t>
  </si>
  <si>
    <t>Enter the registry ID number in row 4416 of the table for production class 2a.</t>
  </si>
  <si>
    <t>Enter the registry ID number in row 4417 of the table for production class 2a.</t>
  </si>
  <si>
    <t>Enter the registry ID number in row 4418 of the table for production class 2a.</t>
  </si>
  <si>
    <t>Enter the registry ID number in row 4419 of the table for production class 2a.</t>
  </si>
  <si>
    <t>Enter the registry ID number in row 4420 of the table for production class 2a.</t>
  </si>
  <si>
    <t>Enter the registry ID number in row 4421 of the table for production class 2a.</t>
  </si>
  <si>
    <t>Enter the registry ID number in row 4422 of the table for production class 2a.</t>
  </si>
  <si>
    <t>Enter the registry ID number in row 4423 of the table for production class 2a.</t>
  </si>
  <si>
    <t>Enter the registry ID number in row 4424 of the table for production class 2a.</t>
  </si>
  <si>
    <t>Enter the registry ID number in row 4425 of the table for production class 2a.</t>
  </si>
  <si>
    <t>Enter the registry ID number in row 4426 of the table for production class 2a.</t>
  </si>
  <si>
    <t>Enter the registry ID number in row 4427 of the table for production class 2a.</t>
  </si>
  <si>
    <t>Enter the registry ID number in row 4428 of the table for production class 2a.</t>
  </si>
  <si>
    <t>Enter the registry ID number in row 4429 of the table for production class 2a.</t>
  </si>
  <si>
    <t>Enter the registry ID number in row 4430 of the table for production class 2a.</t>
  </si>
  <si>
    <t>Enter the registry ID number in row 4431 of the table for production class 2a.</t>
  </si>
  <si>
    <t>Enter the registry ID number in row 4432 of the table for production class 2a.</t>
  </si>
  <si>
    <t>Enter the registry ID number in row 4433 of the table for production class 2a.</t>
  </si>
  <si>
    <t>Enter the registry ID number in row 4434 of the table for production class 2a.</t>
  </si>
  <si>
    <t>Enter the registry ID number in row 4435 of the table for production class 2a.</t>
  </si>
  <si>
    <t>Enter the registry ID number in row 4436 of the table for production class 2a.</t>
  </si>
  <si>
    <t>Enter the registry ID number in row 4437 of the table for production class 2a.</t>
  </si>
  <si>
    <t>Enter the registry ID number in row 4438 of the table for production class 2a.</t>
  </si>
  <si>
    <t>Enter the registry ID number in row 4439 of the table for production class 2a.</t>
  </si>
  <si>
    <t>Enter the registry ID number in row 4440 of the table for production class 2a.</t>
  </si>
  <si>
    <t>Enter the registry ID number in row 4441 of the table for production class 2a.</t>
  </si>
  <si>
    <t>Enter the registry ID number in row 4442 of the table for production class 2a.</t>
  </si>
  <si>
    <t>Enter the registry ID number in row 4443 of the table for production class 2a.</t>
  </si>
  <si>
    <t>Enter the registry ID number in row 4444 of the table for production class 2a.</t>
  </si>
  <si>
    <t>Enter the registry ID number in row 4445 of the table for production class 2a.</t>
  </si>
  <si>
    <t>Enter the registry ID number in row 4446 of the table for production class 2a.</t>
  </si>
  <si>
    <t>Enter the registry ID number in row 4447 of the table for production class 2a.</t>
  </si>
  <si>
    <t>Enter the registry ID number in row 4448 of the table for production class 2a.</t>
  </si>
  <si>
    <t>Enter the registry ID number in row 4449 of the table for production class 2a.</t>
  </si>
  <si>
    <t>Enter the registry ID number in row 4450 of the table for production class 2a.</t>
  </si>
  <si>
    <t>Enter the registry ID number in row 4451 of the table for production class 2a.</t>
  </si>
  <si>
    <t>Enter the registry ID number in row 4452 of the table for production class 2a.</t>
  </si>
  <si>
    <t>Enter the registry ID number in row 4453 of the table for production class 2a.</t>
  </si>
  <si>
    <t>Enter the registry ID number in row 4454 of the table for production class 2a.</t>
  </si>
  <si>
    <t>Enter the registry ID number in row 4455 of the table for production class 2a.</t>
  </si>
  <si>
    <t>Enter the registry ID number in row 4456 of the table for production class 2a.</t>
  </si>
  <si>
    <t>Enter the registry ID number in row 4457 of the table for production class 2a.</t>
  </si>
  <si>
    <t>Enter the registry ID number in row 4458 of the table for production class 2a.</t>
  </si>
  <si>
    <t>Enter the registry ID number in row 4459 of the table for production class 2a.</t>
  </si>
  <si>
    <t>Enter the registry ID number in row 4460 of the table for production class 2a.</t>
  </si>
  <si>
    <t>Enter the registry ID number in row 4461 of the table for production class 2a.</t>
  </si>
  <si>
    <t>Enter the registry ID number in row 4462 of the table for production class 2a.</t>
  </si>
  <si>
    <t>Enter the registry ID number in row 4463 of the table for production class 2a.</t>
  </si>
  <si>
    <t>Enter the registry ID number in row 4464 of the table for production class 2a.</t>
  </si>
  <si>
    <t>Enter the registry ID number in row 4465 of the table for production class 2a.</t>
  </si>
  <si>
    <t>Enter the registry ID number in row 4466 of the table for production class 2a.</t>
  </si>
  <si>
    <t>Enter the registry ID number in row 4467 of the table for production class 2a.</t>
  </si>
  <si>
    <t>Enter the registry ID number in row 4468 of the table for production class 2a.</t>
  </si>
  <si>
    <t>Enter the registry ID number in row 4469 of the table for production class 2a.</t>
  </si>
  <si>
    <t>Enter the registry ID number in row 4470 of the table for production class 2a.</t>
  </si>
  <si>
    <t>Enter the registry ID number in row 4471 of the table for production class 2a.</t>
  </si>
  <si>
    <t>Enter the registry ID number in row 4472 of the table for production class 2a.</t>
  </si>
  <si>
    <t>Enter the registry ID number in row 4473 of the table for production class 2a.</t>
  </si>
  <si>
    <t>Enter the registry ID number in row 4474 of the table for production class 2a.</t>
  </si>
  <si>
    <t>Enter the registry ID number in row 4475 of the table for production class 2a.</t>
  </si>
  <si>
    <t>Enter the registry ID number in row 4476 of the table for production class 2a.</t>
  </si>
  <si>
    <t>Enter the registry ID number in row 4477 of the table for production class 2a.</t>
  </si>
  <si>
    <t>Enter the registry ID number in row 4478 of the table for production class 2a.</t>
  </si>
  <si>
    <t>Enter the registry ID number in row 4479 of the table for production class 2a.</t>
  </si>
  <si>
    <t>Enter the registry ID number in row 4480 of the table for production class 2a.</t>
  </si>
  <si>
    <t>Enter the registry ID number in row 4481 of the table for production class 2a.</t>
  </si>
  <si>
    <t>Enter the registry ID number in row 4482 of the table for production class 2a.</t>
  </si>
  <si>
    <t>Enter the registry ID number in row 4483 of the table for production class 2a.</t>
  </si>
  <si>
    <t>Enter the registry ID number in row 4484 of the table for production class 2a.</t>
  </si>
  <si>
    <t>Enter the registry ID number in row 4485 of the table for production class 2a.</t>
  </si>
  <si>
    <t>Enter the registry ID number in row 4486 of the table for production class 2a.</t>
  </si>
  <si>
    <t>Enter the registry ID number in row 4487 of the table for production class 2a.</t>
  </si>
  <si>
    <t>Enter the registry ID number in row 4488 of the table for production class 2a.</t>
  </si>
  <si>
    <t>Enter the registry ID number in row 4489 of the table for production class 2a.</t>
  </si>
  <si>
    <t>Enter the registry ID number in row 4490 of the table for production class 2a.</t>
  </si>
  <si>
    <t>Enter the registry ID number in row 4491 of the table for production class 2a.</t>
  </si>
  <si>
    <t>Enter the registry ID number in row 4492 of the table for production class 2a.</t>
  </si>
  <si>
    <t>Enter the registry ID number in row 4493 of the table for production class 2a.</t>
  </si>
  <si>
    <t>Enter the registry ID number in row 4494 of the table for production class 2a.</t>
  </si>
  <si>
    <t>Enter the registry ID number in row 4495 of the table for production class 2a.</t>
  </si>
  <si>
    <t>Enter the registry ID number in row 4496 of the table for production class 2a.</t>
  </si>
  <si>
    <t>Enter the registry ID number in row 4497 of the table for production class 2a.</t>
  </si>
  <si>
    <t>Enter the registry ID number in row 4498 of the table for production class 2a.</t>
  </si>
  <si>
    <t>Enter the registry ID number in row 4499 of the table for production class 2a.</t>
  </si>
  <si>
    <t>Enter the registry ID number in row 4500 of the table for production class 2a.</t>
  </si>
  <si>
    <t>Enter the registry ID number in row 4501 of the table for production class 2a.</t>
  </si>
  <si>
    <t>Enter the registry ID number in row 4502 of the table for production class 2a.</t>
  </si>
  <si>
    <t>Enter the registry ID number in row 4503 of the table for production class 2a.</t>
  </si>
  <si>
    <t>Enter the registry ID number in row 4504 of the table for production class 2a.</t>
  </si>
  <si>
    <t>Enter the registry ID number in row 4505 of the table for production class 2a.</t>
  </si>
  <si>
    <t>Enter the registry ID number in row 4506 of the table for production class 2a.</t>
  </si>
  <si>
    <t>Enter the registry ID number in row 4507 of the table for production class 2a.</t>
  </si>
  <si>
    <t>Enter the registry ID number in row 4508 of the table for production class 2a.</t>
  </si>
  <si>
    <t>Enter the registry ID number in row 4509 of the table for production class 2a.</t>
  </si>
  <si>
    <t>Enter the registry ID number in row 4510 of the table for production class 2a.</t>
  </si>
  <si>
    <t>Enter the registry ID number in row 4511 of the table for production class 2a.</t>
  </si>
  <si>
    <t>Enter the registry ID number in row 4512 of the table for production class 2a.</t>
  </si>
  <si>
    <t>Enter the registry ID number in row 4513 of the table for production class 2a.</t>
  </si>
  <si>
    <t>Enter the registry ID number in row 4514 of the table for production class 2a.</t>
  </si>
  <si>
    <t>Enter the registry ID number in row 4515 of the table for production class 2a.</t>
  </si>
  <si>
    <t>Enter the registry ID number in row 4516 of the table for production class 2a.</t>
  </si>
  <si>
    <t>Enter the registry ID number in row 4517 of the table for production class 2a.</t>
  </si>
  <si>
    <t>Enter the registry ID number in row 4518 of the table for production class 2a.</t>
  </si>
  <si>
    <t>Enter the registry ID number in row 4519 of the table for production class 2a.</t>
  </si>
  <si>
    <t>Enter the registry ID number in row 4520 of the table for production class 2a.</t>
  </si>
  <si>
    <t>Enter the registry ID number in row 4521 of the table for production class 2a.</t>
  </si>
  <si>
    <t>Enter the registry ID number in row 4522 of the table for production class 2a.</t>
  </si>
  <si>
    <t>Enter the registry ID number in row 4523 of the table for production class 2a.</t>
  </si>
  <si>
    <t>Enter the registry ID number in row 4524 of the table for production class 2a.</t>
  </si>
  <si>
    <t>Enter the registry ID number in row 4525 of the table for production class 2a.</t>
  </si>
  <si>
    <t>Enter the registry ID number in row 4526 of the table for production class 2a.</t>
  </si>
  <si>
    <t>Enter the registry ID number in row 4527 of the table for production class 2a.</t>
  </si>
  <si>
    <t>Enter the registry ID number in row 4528 of the table for production class 2a.</t>
  </si>
  <si>
    <t>Enter the registry ID number in row 4529 of the table for production class 2a.</t>
  </si>
  <si>
    <t>Enter the registry ID number in row 4530 of the table for production class 2a.</t>
  </si>
  <si>
    <t>Enter the registry ID number in row 4531 of the table for production class 2a.</t>
  </si>
  <si>
    <t>Enter the registry ID number in row 4532 of the table for production class 2a.</t>
  </si>
  <si>
    <t>Enter the registry ID number in row 4533 of the table for production class 2a.</t>
  </si>
  <si>
    <t>Enter the registry ID number in row 4534 of the table for production class 2a.</t>
  </si>
  <si>
    <t>Enter the registry ID number in row 4535 of the table for production class 2a.</t>
  </si>
  <si>
    <t>Enter the registry ID number in row 4536 of the table for production class 2a.</t>
  </si>
  <si>
    <t>Enter the registry ID number in row 4537 of the table for production class 2a.</t>
  </si>
  <si>
    <t>Enter the registry ID number in row 4538 of the table for production class 2a.</t>
  </si>
  <si>
    <t>Enter the registry ID number in row 4539 of the table for production class 2a.</t>
  </si>
  <si>
    <t>Enter the registry ID number in row 4540 of the table for production class 2a.</t>
  </si>
  <si>
    <t>Enter the registry ID number in row 4541 of the table for production class 2a.</t>
  </si>
  <si>
    <t>Enter the registry ID number in row 4542 of the table for production class 2a.</t>
  </si>
  <si>
    <t>Enter the registry ID number in row 4543 of the table for production class 2a.</t>
  </si>
  <si>
    <t>Enter the registry ID number in row 4544 of the table for production class 2a.</t>
  </si>
  <si>
    <t>Enter the registry ID number in row 4545 of the table for production class 2a.</t>
  </si>
  <si>
    <t>Enter the registry ID number in row 4546 of the table for production class 2a.</t>
  </si>
  <si>
    <t>Enter the registry ID number in row 4547 of the table for production class 2a.</t>
  </si>
  <si>
    <t>Enter the registry ID number in row 4548 of the table for production class 2a.</t>
  </si>
  <si>
    <t>Enter the registry ID number in row 4549 of the table for production class 2a.</t>
  </si>
  <si>
    <t>Enter the registry ID number in row 4550 of the table for production class 2a.</t>
  </si>
  <si>
    <t>Enter the registry ID number in row 4551 of the table for production class 2a.</t>
  </si>
  <si>
    <t>Enter the registry ID number in row 4552 of the table for production class 2a.</t>
  </si>
  <si>
    <t>Enter the registry ID number in row 4553 of the table for production class 2a.</t>
  </si>
  <si>
    <t>Enter the registry ID number in row 4554 of the table for production class 2a.</t>
  </si>
  <si>
    <t>Enter the registry ID number in row 4555 of the table for production class 2a.</t>
  </si>
  <si>
    <t>Enter the registry ID number in row 4556 of the table for production class 2a.</t>
  </si>
  <si>
    <t>Enter the registry ID number in row 4557 of the table for production class 2a.</t>
  </si>
  <si>
    <t>Enter the registry ID number in row 4558 of the table for production class 2a.</t>
  </si>
  <si>
    <t>Enter the registry ID number in row 4559 of the table for production class 2a.</t>
  </si>
  <si>
    <t>Enter the registry ID number in row 4560 of the table for production class 2a.</t>
  </si>
  <si>
    <t>Enter the registry ID number in row 4561 of the table for production class 2a.</t>
  </si>
  <si>
    <t>Enter the registry ID number in row 4562 of the table for production class 2a.</t>
  </si>
  <si>
    <t>Enter the registry ID number in row 4563 of the table for production class 2a.</t>
  </si>
  <si>
    <t>Enter the registry ID number in row 4564 of the table for production class 2a.</t>
  </si>
  <si>
    <t>Enter the registry ID number in row 4565 of the table for production class 2a.</t>
  </si>
  <si>
    <t>Enter the registry ID number in row 4566 of the table for production class 2a.</t>
  </si>
  <si>
    <t>Enter the registry ID number in row 4567 of the table for production class 2a.</t>
  </si>
  <si>
    <t>Enter the registry ID number in row 4568 of the table for production class 2a.</t>
  </si>
  <si>
    <t>Enter the registry ID number in row 4569 of the table for production class 2a.</t>
  </si>
  <si>
    <t>Enter the registry ID number in row 4570 of the table for production class 2a.</t>
  </si>
  <si>
    <t>Enter the registry ID number in row 4571 of the table for production class 2a.</t>
  </si>
  <si>
    <t>Enter the registry ID number in row 4572 of the table for production class 2a.</t>
  </si>
  <si>
    <t>Enter the registry ID number in row 4573 of the table for production class 2a.</t>
  </si>
  <si>
    <t>Enter the registry ID number in row 4574 of the table for production class 2a.</t>
  </si>
  <si>
    <t>Enter the registry ID number in row 4575 of the table for production class 2a.</t>
  </si>
  <si>
    <t>Enter the registry ID number in row 4576 of the table for production class 2a.</t>
  </si>
  <si>
    <t>Enter the registry ID number in row 4577 of the table for production class 2a.</t>
  </si>
  <si>
    <t>Enter the registry ID number in row 4578 of the table for production class 2a.</t>
  </si>
  <si>
    <t>Enter the registry ID number in row 4579 of the table for production class 2a.</t>
  </si>
  <si>
    <t>Enter the registry ID number in row 4580 of the table for production class 2a.</t>
  </si>
  <si>
    <t>Enter the registry ID number in row 4581 of the table for production class 2a.</t>
  </si>
  <si>
    <t>Enter the registry ID number in row 4582 of the table for production class 2a.</t>
  </si>
  <si>
    <t>Enter the registry ID number in row 4583 of the table for production class 2a.</t>
  </si>
  <si>
    <t>Enter the registry ID number in row 4584 of the table for production class 2a.</t>
  </si>
  <si>
    <t>Enter the registry ID number in row 4585 of the table for production class 2a.</t>
  </si>
  <si>
    <t>Enter the registry ID number in row 4586 of the table for production class 2a.</t>
  </si>
  <si>
    <t>Enter the registry ID number in row 4587 of the table for production class 2a.</t>
  </si>
  <si>
    <t>Enter the registry ID number in row 4588 of the table for production class 2a.</t>
  </si>
  <si>
    <t>Enter the registry ID number in row 4589 of the table for production class 2a.</t>
  </si>
  <si>
    <t>Enter the registry ID number in row 4590 of the table for production class 2a.</t>
  </si>
  <si>
    <t>Enter the registry ID number in row 4591 of the table for production class 2a.</t>
  </si>
  <si>
    <t>Enter the registry ID number in row 4592 of the table for production class 2a.</t>
  </si>
  <si>
    <t>Enter the registry ID number in row 4593 of the table for production class 2a.</t>
  </si>
  <si>
    <t>Enter the registry ID number in row 4594 of the table for production class 2a.</t>
  </si>
  <si>
    <t>Enter the registry ID number in row 4595 of the table for production class 2a.</t>
  </si>
  <si>
    <t>Enter the registry ID number in row 4596 of the table for production class 2a.</t>
  </si>
  <si>
    <t>Enter the registry ID number in row 4597 of the table for production class 2a.</t>
  </si>
  <si>
    <t>Enter the registry ID number in row 4598 of the table for production class 2a.</t>
  </si>
  <si>
    <t>Enter the registry ID number in row 4599 of the table for production class 2a.</t>
  </si>
  <si>
    <t>Enter the registry ID number in row 4600 of the table for production class 2a.</t>
  </si>
  <si>
    <t>Enter the registry ID number in row 4601 of the table for production class 2a.</t>
  </si>
  <si>
    <t>Enter the registry ID number in row 4602 of the table for production class 2a.</t>
  </si>
  <si>
    <t>Enter the registry ID number in row 4603 of the table for production class 2a.</t>
  </si>
  <si>
    <t>Enter the registry ID number in row 4604 of the table for production class 2a.</t>
  </si>
  <si>
    <t>Enter the registry ID number in row 4605 of the table for production class 2a.</t>
  </si>
  <si>
    <t>Enter the registry ID number in row 4606 of the table for production class 2a.</t>
  </si>
  <si>
    <t>Enter the registry ID number in row 4607 of the table for production class 2a.</t>
  </si>
  <si>
    <t>Enter the registry ID number in row 4608 of the table for production class 2a.</t>
  </si>
  <si>
    <t>Enter the registry ID number in row 4609 of the table for production class 2a.</t>
  </si>
  <si>
    <t>Enter the registry ID number in row 4610 of the table for production class 2a.</t>
  </si>
  <si>
    <t>Enter the registry ID number in row 4611 of the table for production class 2a.</t>
  </si>
  <si>
    <t>Enter the registry ID number in row 4612 of the table for production class 2a.</t>
  </si>
  <si>
    <t>Enter the registry ID number in row 4613 of the table for production class 2a.</t>
  </si>
  <si>
    <t>Enter the registry ID number in row 4614 of the table for production class 2a.</t>
  </si>
  <si>
    <t>Enter the registry ID number in row 4615 of the table for production class 2a.</t>
  </si>
  <si>
    <t>Enter the registry ID number in row 4616 of the table for production class 2a.</t>
  </si>
  <si>
    <t>Enter the registry ID number in row 4617 of the table for production class 2a.</t>
  </si>
  <si>
    <t>Enter the registry ID number in row 4618 of the table for production class 2a.</t>
  </si>
  <si>
    <t>Enter the registry ID number in row 4619 of the table for production class 2a.</t>
  </si>
  <si>
    <t>Enter the registry ID number in row 4620 of the table for production class 2a.</t>
  </si>
  <si>
    <t>Enter the registry ID number in row 4621 of the table for production class 2a.</t>
  </si>
  <si>
    <t>Enter the registry ID number in row 4622 of the table for production class 2a.</t>
  </si>
  <si>
    <t>Enter the registry ID number in row 4623 of the table for production class 2a.</t>
  </si>
  <si>
    <t>Enter the registry ID number in row 4624 of the table for production class 2a.</t>
  </si>
  <si>
    <t>Enter the registry ID number in row 4625 of the table for production class 2a.</t>
  </si>
  <si>
    <t>Enter the registry ID number in row 4626 of the table for production class 2a.</t>
  </si>
  <si>
    <t>Enter the registry ID number in row 4627 of the table for production class 2a.</t>
  </si>
  <si>
    <t>Enter the registry ID number in row 4628 of the table for production class 2a.</t>
  </si>
  <si>
    <t>Enter the registry ID number in row 4629 of the table for production class 2a.</t>
  </si>
  <si>
    <t>Enter the registry ID number in row 4630 of the table for production class 2a.</t>
  </si>
  <si>
    <t>Enter the registry ID number in row 4631 of the table for production class 2a.</t>
  </si>
  <si>
    <t>Enter the registry ID number in row 4632 of the table for production class 2a.</t>
  </si>
  <si>
    <t>Enter the registry ID number in row 4633 of the table for production class 2a.</t>
  </si>
  <si>
    <t>Enter the registry ID number in row 4634 of the table for production class 2a.</t>
  </si>
  <si>
    <t>Enter the registry ID number in row 4635 of the table for production class 2a.</t>
  </si>
  <si>
    <t>Enter the registry ID number in row 4636 of the table for production class 2a.</t>
  </si>
  <si>
    <t>Enter the registry ID number in row 4637 of the table for production class 2a.</t>
  </si>
  <si>
    <t>Enter the registry ID number in row 4638 of the table for production class 2a.</t>
  </si>
  <si>
    <t>Enter the registry ID number in row 4639 of the table for production class 2a.</t>
  </si>
  <si>
    <t>Enter the registry ID number in row 4640 of the table for production class 2a.</t>
  </si>
  <si>
    <t>Enter the registry ID number in row 4641 of the table for production class 2a.</t>
  </si>
  <si>
    <t>Enter the registry ID number in row 4642 of the table for production class 2a.</t>
  </si>
  <si>
    <t>Enter the registry ID number in row 4643 of the table for production class 2a.</t>
  </si>
  <si>
    <t>Enter the registry ID number in row 4644 of the table for production class 2a.</t>
  </si>
  <si>
    <t>Enter the registry ID number in row 4645 of the table for production class 2a.</t>
  </si>
  <si>
    <t>Enter the registry ID number in row 4646 of the table for production class 2a.</t>
  </si>
  <si>
    <t>Enter the registry ID number in row 4647 of the table for production class 2a.</t>
  </si>
  <si>
    <t>Enter the registry ID number in row 4648 of the table for production class 2a.</t>
  </si>
  <si>
    <t>Enter the registry ID number in row 4649 of the table for production class 2a.</t>
  </si>
  <si>
    <t>Enter the registry ID number in row 4650 of the table for production class 2a.</t>
  </si>
  <si>
    <t>Enter the registry ID number in row 4651 of the table for production class 2a.</t>
  </si>
  <si>
    <t>Enter the registry ID number in row 4652 of the table for production class 2a.</t>
  </si>
  <si>
    <t>Enter the registry ID number in row 4653 of the table for production class 2a.</t>
  </si>
  <si>
    <t>Enter the registry ID number in row 4654 of the table for production class 2a.</t>
  </si>
  <si>
    <t>Enter the registry ID number in row 4655 of the table for production class 2a.</t>
  </si>
  <si>
    <t>Enter the registry ID number in row 4656 of the table for production class 2a.</t>
  </si>
  <si>
    <t>Enter the registry ID number in row 4657 of the table for production class 2a.</t>
  </si>
  <si>
    <t>Enter the registry ID number in row 4658 of the table for production class 2a.</t>
  </si>
  <si>
    <t>Enter the registry ID number in row 4659 of the table for production class 2a.</t>
  </si>
  <si>
    <t>Enter the registry ID number in row 4660 of the table for production class 2a.</t>
  </si>
  <si>
    <t>Enter the registry ID number in row 4661 of the table for production class 2a.</t>
  </si>
  <si>
    <t>Enter the registry ID number in row 4662 of the table for production class 2a.</t>
  </si>
  <si>
    <t>Enter the registry ID number in row 4663 of the table for production class 2a.</t>
  </si>
  <si>
    <t>Enter the registry ID number in row 4664 of the table for production class 2a.</t>
  </si>
  <si>
    <t>Enter the registry ID number in row 4665 of the table for production class 2a.</t>
  </si>
  <si>
    <t>Enter the registry ID number in row 4666 of the table for production class 2a.</t>
  </si>
  <si>
    <t>Enter the registry ID number in row 4667 of the table for production class 2a.</t>
  </si>
  <si>
    <t>Enter the registry ID number in row 4668 of the table for production class 2a.</t>
  </si>
  <si>
    <t>Enter the registry ID number in row 4669 of the table for production class 2a.</t>
  </si>
  <si>
    <t>Enter the registry ID number in row 4670 of the table for production class 2a.</t>
  </si>
  <si>
    <t>Enter the registry ID number in row 4671 of the table for production class 2a.</t>
  </si>
  <si>
    <t>Enter the registry ID number in row 4672 of the table for production class 2a.</t>
  </si>
  <si>
    <t>Enter the registry ID number in row 4673 of the table for production class 2a.</t>
  </si>
  <si>
    <t>Enter the registry ID number in row 4674 of the table for production class 2a.</t>
  </si>
  <si>
    <t>Enter the registry ID number in row 4675 of the table for production class 2a.</t>
  </si>
  <si>
    <t>Enter the registry ID number in row 4676 of the table for production class 2a.</t>
  </si>
  <si>
    <t>Enter the registry ID number in row 4677 of the table for production class 2a.</t>
  </si>
  <si>
    <t>Enter the registry ID number in row 4678 of the table for production class 2a.</t>
  </si>
  <si>
    <t>Enter the registry ID number in row 4679 of the table for production class 2a.</t>
  </si>
  <si>
    <t>Enter the registry ID number in row 4680 of the table for production class 2a.</t>
  </si>
  <si>
    <t>Enter the registry ID number in row 4681 of the table for production class 2a.</t>
  </si>
  <si>
    <t>Enter the registry ID number in row 4682 of the table for production class 2a.</t>
  </si>
  <si>
    <t>Enter the registry ID number in row 4683 of the table for production class 2a.</t>
  </si>
  <si>
    <t>Enter the registry ID number in row 4684 of the table for production class 2a.</t>
  </si>
  <si>
    <t>Enter the registry ID number in row 4685 of the table for production class 2a.</t>
  </si>
  <si>
    <t>Enter the registry ID number in row 4686 of the table for production class 2a.</t>
  </si>
  <si>
    <t>Enter the registry ID number in row 4687 of the table for production class 2a.</t>
  </si>
  <si>
    <t>Enter the registry ID number in row 4688 of the table for production class 2a.</t>
  </si>
  <si>
    <t>Enter the registry ID number in row 4689 of the table for production class 2a.</t>
  </si>
  <si>
    <t>Enter the registry ID number in row 4690 of the table for production class 2a.</t>
  </si>
  <si>
    <t>Enter the registry ID number in row 4691 of the table for production class 2a.</t>
  </si>
  <si>
    <t>Enter the registry ID number in row 4692 of the table for production class 2a.</t>
  </si>
  <si>
    <t>Enter the registry ID number in row 4693 of the table for production class 2a.</t>
  </si>
  <si>
    <t>Enter the registry ID number in row 4694 of the table for production class 2a.</t>
  </si>
  <si>
    <t>Enter the registry ID number in row 4695 of the table for production class 2a.</t>
  </si>
  <si>
    <t>Enter the registry ID number in row 4696 of the table for production class 2a.</t>
  </si>
  <si>
    <t>Enter the registry ID number in row 4697 of the table for production class 2a.</t>
  </si>
  <si>
    <t>Enter the registry ID number in row 4698 of the table for production class 2a.</t>
  </si>
  <si>
    <t>Enter the registry ID number in row 4699 of the table for production class 2a.</t>
  </si>
  <si>
    <t>Enter the registry ID number in row 4700 of the table for production class 2a.</t>
  </si>
  <si>
    <t>Enter the registry ID number in row 4701 of the table for production class 2a.</t>
  </si>
  <si>
    <t>Enter the registry ID number in row 4702 of the table for production class 2a.</t>
  </si>
  <si>
    <t>Enter the registry ID number in row 4703 of the table for production class 2a.</t>
  </si>
  <si>
    <t>Enter the registry ID number in row 4704 of the table for production class 2a.</t>
  </si>
  <si>
    <t>Enter the registry ID number in row 4705 of the table for production class 2a.</t>
  </si>
  <si>
    <t>Enter the registry ID number in row 4706 of the table for production class 2a.</t>
  </si>
  <si>
    <t>Enter the registry ID number in row 4707 of the table for production class 2a.</t>
  </si>
  <si>
    <t>Enter the registry ID number in row 4708 of the table for production class 2a.</t>
  </si>
  <si>
    <t>Enter the registry ID number in row 4709 of the table for production class 2a.</t>
  </si>
  <si>
    <t>Enter the registry ID number in row 4710 of the table for production class 2a.</t>
  </si>
  <si>
    <t>Enter the registry ID number in row 4711 of the table for production class 2a.</t>
  </si>
  <si>
    <t>Enter the registry ID number in row 4712 of the table for production class 2a.</t>
  </si>
  <si>
    <t>Enter the registry ID number in row 4713 of the table for production class 2a.</t>
  </si>
  <si>
    <t>Enter the registry ID number in row 4714 of the table for production class 2a.</t>
  </si>
  <si>
    <t>Enter the registry ID number in row 4715 of the table for production class 2a.</t>
  </si>
  <si>
    <t>Enter the registry ID number in row 4716 of the table for production class 2a.</t>
  </si>
  <si>
    <t>Enter the registry ID number in row 4717 of the table for production class 2a.</t>
  </si>
  <si>
    <t>Enter the registry ID number in row 4718 of the table for production class 2a.</t>
  </si>
  <si>
    <t>Enter the registry ID number in row 4719 of the table for production class 2a.</t>
  </si>
  <si>
    <t>Enter the registry ID number in row 4720 of the table for production class 2a.</t>
  </si>
  <si>
    <t>Enter the registry ID number in row 4721 of the table for production class 2a.</t>
  </si>
  <si>
    <t>Enter the registry ID number in row 4722 of the table for production class 2a.</t>
  </si>
  <si>
    <t>Enter the registry ID number in row 4723 of the table for production class 2a.</t>
  </si>
  <si>
    <t>Enter the registry ID number in row 4724 of the table for production class 2a.</t>
  </si>
  <si>
    <t>Enter the registry ID number in row 4725 of the table for production class 2a.</t>
  </si>
  <si>
    <t>Enter the registry ID number in row 4726 of the table for production class 2a.</t>
  </si>
  <si>
    <t>Enter the registry ID number in row 4727 of the table for production class 2a.</t>
  </si>
  <si>
    <t>Enter the registry ID number in row 4728 of the table for production class 2a.</t>
  </si>
  <si>
    <t>Enter the registry ID number in row 4729 of the table for production class 2a.</t>
  </si>
  <si>
    <t>Enter the registry ID number in row 4730 of the table for production class 2a.</t>
  </si>
  <si>
    <t>Enter the registry ID number in row 4731 of the table for production class 2a.</t>
  </si>
  <si>
    <t>Enter the registry ID number in row 4732 of the table for production class 2a.</t>
  </si>
  <si>
    <t>Enter the registry ID number in row 4733 of the table for production class 2a.</t>
  </si>
  <si>
    <t>Enter the registry ID number in row 4734 of the table for production class 2a.</t>
  </si>
  <si>
    <t>Enter the registry ID number in row 4735 of the table for production class 2a.</t>
  </si>
  <si>
    <t>Enter the registry ID number in row 4736 of the table for production class 2a.</t>
  </si>
  <si>
    <t>Enter the registry ID number in row 4737 of the table for production class 2a.</t>
  </si>
  <si>
    <t>Enter the registry ID number in row 4738 of the table for production class 2a.</t>
  </si>
  <si>
    <t>Enter the registry ID number in row 4739 of the table for production class 2a.</t>
  </si>
  <si>
    <t>Enter the registry ID number in row 4740 of the table for production class 2a.</t>
  </si>
  <si>
    <t>Enter the registry ID number in row 4741 of the table for production class 2a.</t>
  </si>
  <si>
    <t>Enter the registry ID number in row 4742 of the table for production class 2a.</t>
  </si>
  <si>
    <t>Enter the registry ID number in row 4743 of the table for production class 2a.</t>
  </si>
  <si>
    <t>Enter the registry ID number in row 4744 of the table for production class 2a.</t>
  </si>
  <si>
    <t>Enter the registry ID number in row 4745 of the table for production class 2a.</t>
  </si>
  <si>
    <t>Enter the registry ID number in row 4746 of the table for production class 2a.</t>
  </si>
  <si>
    <t>Enter the registry ID number in row 4747 of the table for production class 2a.</t>
  </si>
  <si>
    <t>Enter the registry ID number in row 4748 of the table for production class 2a.</t>
  </si>
  <si>
    <t>Enter the registry ID number in row 4749 of the table for production class 2a.</t>
  </si>
  <si>
    <t>Enter the registry ID number in row 4750 of the table for production class 2a.</t>
  </si>
  <si>
    <t>Enter the registry ID number in row 4751 of the table for production class 2a.</t>
  </si>
  <si>
    <t>Enter the registry ID number in row 4752 of the table for production class 2a.</t>
  </si>
  <si>
    <t>Enter the registry ID number in row 4753 of the table for production class 2a.</t>
  </si>
  <si>
    <t>Enter the registry ID number in row 4754 of the table for production class 2a.</t>
  </si>
  <si>
    <t>Enter the registry ID number in row 4755 of the table for production class 2a.</t>
  </si>
  <si>
    <t>Enter the registry ID number in row 4756 of the table for production class 2a.</t>
  </si>
  <si>
    <t>Enter the registry ID number in row 4757 of the table for production class 2a.</t>
  </si>
  <si>
    <t>Enter the registry ID number in row 4758 of the table for production class 2a.</t>
  </si>
  <si>
    <t>Enter the registry ID number in row 4759 of the table for production class 2a.</t>
  </si>
  <si>
    <t>Enter the registry ID number in row 4760 of the table for production class 2a.</t>
  </si>
  <si>
    <t>Enter the registry ID number in row 4761 of the table for production class 2a.</t>
  </si>
  <si>
    <t>Enter the registry ID number in row 4762 of the table for production class 2a.</t>
  </si>
  <si>
    <t>Enter the registry ID number in row 4763 of the table for production class 2a.</t>
  </si>
  <si>
    <t>Enter the registry ID number in row 4764 of the table for production class 2a.</t>
  </si>
  <si>
    <t>Enter the registry ID number in row 4765 of the table for production class 2a.</t>
  </si>
  <si>
    <t>Enter the registry ID number in row 4766 of the table for production class 2a.</t>
  </si>
  <si>
    <t>Enter the registry ID number in row 4767 of the table for production class 2a.</t>
  </si>
  <si>
    <t>Enter the registry ID number in row 4768 of the table for production class 2a.</t>
  </si>
  <si>
    <t>Enter the registry ID number in row 4769 of the table for production class 2a.</t>
  </si>
  <si>
    <t>Enter the registry ID number in row 4770 of the table for production class 2a.</t>
  </si>
  <si>
    <t>Enter the registry ID number in row 4771 of the table for production class 2a.</t>
  </si>
  <si>
    <t>Enter the registry ID number in row 4772 of the table for production class 2a.</t>
  </si>
  <si>
    <t>Enter the registry ID number in row 4773 of the table for production class 2a.</t>
  </si>
  <si>
    <t>Enter the registry ID number in row 4774 of the table for production class 2a.</t>
  </si>
  <si>
    <t>Enter the registry ID number in row 4775 of the table for production class 2a.</t>
  </si>
  <si>
    <t>Enter the registry ID number in row 4776 of the table for production class 2a.</t>
  </si>
  <si>
    <t>Enter the registry ID number in row 4777 of the table for production class 2a.</t>
  </si>
  <si>
    <t>Enter the registry ID number in row 4778 of the table for production class 2a.</t>
  </si>
  <si>
    <t>Enter the registry ID number in row 4779 of the table for production class 2a.</t>
  </si>
  <si>
    <t>Enter the registry ID number in row 4780 of the table for production class 2a.</t>
  </si>
  <si>
    <t>Enter the registry ID number in row 4781 of the table for production class 2a.</t>
  </si>
  <si>
    <t>Enter the registry ID number in row 4782 of the table for production class 2a.</t>
  </si>
  <si>
    <t>Enter the registry ID number in row 4783 of the table for production class 2a.</t>
  </si>
  <si>
    <t>Enter the registry ID number in row 4784 of the table for production class 2a.</t>
  </si>
  <si>
    <t>Enter the registry ID number in row 4785 of the table for production class 2a.</t>
  </si>
  <si>
    <t>Enter the registry ID number in row 4786 of the table for production class 2a.</t>
  </si>
  <si>
    <t>Enter the registry ID number in row 4787 of the table for production class 2a.</t>
  </si>
  <si>
    <t>Enter the registry ID number in row 4788 of the table for production class 2a.</t>
  </si>
  <si>
    <t>Enter the registry ID number in row 4789 of the table for production class 2a.</t>
  </si>
  <si>
    <t>Enter the registry ID number in row 4790 of the table for production class 2a.</t>
  </si>
  <si>
    <t>Enter the registry ID number in row 4791 of the table for production class 2a.</t>
  </si>
  <si>
    <t>Enter the registry ID number in row 4792 of the table for production class 2a.</t>
  </si>
  <si>
    <t>Enter the registry ID number in row 4793 of the table for production class 2a.</t>
  </si>
  <si>
    <t>Enter the registry ID number in row 4794 of the table for production class 2a.</t>
  </si>
  <si>
    <t>Enter the registry ID number in row 4795 of the table for production class 2a.</t>
  </si>
  <si>
    <t>Enter the registry ID number in row 4796 of the table for production class 2a.</t>
  </si>
  <si>
    <t>Enter the registry ID number in row 4797 of the table for production class 2a.</t>
  </si>
  <si>
    <t>Enter the registry ID number in row 4798 of the table for production class 2a.</t>
  </si>
  <si>
    <t>Enter the registry ID number in row 4799 of the table for production class 2a.</t>
  </si>
  <si>
    <t>Enter the registry ID number in row 4800 of the table for production class 2a.</t>
  </si>
  <si>
    <t>Enter the registry ID number in row 4801 of the table for production class 2a.</t>
  </si>
  <si>
    <t>Enter the registry ID number in row 4802 of the table for production class 2a.</t>
  </si>
  <si>
    <t>Enter the registry ID number in row 4803 of the table for production class 2a.</t>
  </si>
  <si>
    <t>Enter the registry ID number in row 4804 of the table for production class 2a.</t>
  </si>
  <si>
    <t>Enter the registry ID number in row 4805 of the table for production class 2a.</t>
  </si>
  <si>
    <t>Enter the registry ID number in row 4806 of the table for production class 2a.</t>
  </si>
  <si>
    <t>Enter the registry ID number in row 4807 of the table for production class 2a.</t>
  </si>
  <si>
    <t>Enter the registry ID number in row 4808 of the table for production class 2a.</t>
  </si>
  <si>
    <t>Enter the registry ID number in row 4809 of the table for production class 2a.</t>
  </si>
  <si>
    <t>Enter the registry ID number in row 4810 of the table for production class 2a.</t>
  </si>
  <si>
    <t>Enter the registry ID number in row 4811 of the table for production class 2a.</t>
  </si>
  <si>
    <t>Enter the registry ID number in row 4812 of the table for production class 2a.</t>
  </si>
  <si>
    <t>Enter the registry ID number in row 4813 of the table for production class 2a.</t>
  </si>
  <si>
    <t>Enter the registry ID number in row 4814 of the table for production class 2a.</t>
  </si>
  <si>
    <t>Enter the registry ID number in row 4815 of the table for production class 2a.</t>
  </si>
  <si>
    <t>Enter the registry ID number in row 4816 of the table for production class 2a.</t>
  </si>
  <si>
    <t>Enter the registry ID number in row 4817 of the table for production class 2a.</t>
  </si>
  <si>
    <t>Enter the registry ID number in row 4818 of the table for production class 2a.</t>
  </si>
  <si>
    <t>Enter the registry ID number in row 4819 of the table for production class 2a.</t>
  </si>
  <si>
    <t>Enter the registry ID number in row 4820 of the table for production class 2a.</t>
  </si>
  <si>
    <t>Enter the registry ID number in row 4821 of the table for production class 2a.</t>
  </si>
  <si>
    <t>Enter the registry ID number in row 4822 of the table for production class 2a.</t>
  </si>
  <si>
    <t>Enter the registry ID number in row 4823 of the table for production class 2a.</t>
  </si>
  <si>
    <t>Enter the registry ID number in row 4824 of the table for production class 2a.</t>
  </si>
  <si>
    <t>Enter the registry ID number in row 4825 of the table for production class 2a.</t>
  </si>
  <si>
    <t>Enter the registry ID number in row 4826 of the table for production class 2a.</t>
  </si>
  <si>
    <t>Enter the registry ID number in row 4827 of the table for production class 2a.</t>
  </si>
  <si>
    <t>Enter the registry ID number in row 4828 of the table for production class 2a.</t>
  </si>
  <si>
    <t>Enter the registry ID number in row 4829 of the table for production class 2a.</t>
  </si>
  <si>
    <t>Enter the registry ID number in row 4830 of the table for production class 2a.</t>
  </si>
  <si>
    <t>Enter the registry ID number in row 4831 of the table for production class 2a.</t>
  </si>
  <si>
    <t>Enter the registry ID number in row 4832 of the table for production class 2a.</t>
  </si>
  <si>
    <t>Enter the registry ID number in row 4833 of the table for production class 2a.</t>
  </si>
  <si>
    <t>Enter the registry ID number in row 4834 of the table for production class 2a.</t>
  </si>
  <si>
    <t>Enter the registry ID number in row 4835 of the table for production class 2a.</t>
  </si>
  <si>
    <t>Enter the registry ID number in row 4836 of the table for production class 2a.</t>
  </si>
  <si>
    <t>Enter the registry ID number in row 4837 of the table for production class 2a.</t>
  </si>
  <si>
    <t>Enter the registry ID number in row 4838 of the table for production class 2a.</t>
  </si>
  <si>
    <t>Enter the registry ID number in row 4839 of the table for production class 2a.</t>
  </si>
  <si>
    <t>Enter the registry ID number in row 4840 of the table for production class 2a.</t>
  </si>
  <si>
    <t>Enter the registry ID number in row 4841 of the table for production class 2a.</t>
  </si>
  <si>
    <t>Enter the registry ID number in row 4842 of the table for production class 2a.</t>
  </si>
  <si>
    <t>Enter the registry ID number in row 4843 of the table for production class 2a.</t>
  </si>
  <si>
    <t>Enter the registry ID number in row 4844 of the table for production class 2a.</t>
  </si>
  <si>
    <t>Enter the registry ID number in row 4845 of the table for production class 2a.</t>
  </si>
  <si>
    <t>Enter the registry ID number in row 4846 of the table for production class 2a.</t>
  </si>
  <si>
    <t>Enter the registry ID number in row 4847 of the table for production class 2a.</t>
  </si>
  <si>
    <t>Enter the registry ID number in row 4848 of the table for production class 2a.</t>
  </si>
  <si>
    <t>Enter the registry ID number in row 4849 of the table for production class 2a.</t>
  </si>
  <si>
    <t>Enter the registry ID number in row 4850 of the table for production class 2a.</t>
  </si>
  <si>
    <t>Enter the registry ID number in row 4851 of the table for production class 2a.</t>
  </si>
  <si>
    <t>Enter the registry ID number in row 4852 of the table for production class 2a.</t>
  </si>
  <si>
    <t>Enter the registry ID number in row 4853 of the table for production class 2a.</t>
  </si>
  <si>
    <t>Enter the registry ID number in row 4854 of the table for production class 2a.</t>
  </si>
  <si>
    <t>Enter the registry ID number in row 4855 of the table for production class 2a.</t>
  </si>
  <si>
    <t>Enter the registry ID number in row 4856 of the table for production class 2a.</t>
  </si>
  <si>
    <t>Enter the registry ID number in row 4857 of the table for production class 2a.</t>
  </si>
  <si>
    <t>Enter the registry ID number in row 4858 of the table for production class 2a.</t>
  </si>
  <si>
    <t>Enter the registry ID number in row 4859 of the table for production class 2a.</t>
  </si>
  <si>
    <t>Enter the registry ID number in row 4860 of the table for production class 2a.</t>
  </si>
  <si>
    <t>Enter the registry ID number in row 4861 of the table for production class 2a.</t>
  </si>
  <si>
    <t>Enter the registry ID number in row 4862 of the table for production class 2a.</t>
  </si>
  <si>
    <t>Enter the registry ID number in row 4863 of the table for production class 2a.</t>
  </si>
  <si>
    <t>Enter the registry ID number in row 4864 of the table for production class 2a.</t>
  </si>
  <si>
    <t>Enter the registry ID number in row 4865 of the table for production class 2a.</t>
  </si>
  <si>
    <t>Enter the registry ID number in row 4866 of the table for production class 2a.</t>
  </si>
  <si>
    <t>Enter the registry ID number in row 4867 of the table for production class 2a.</t>
  </si>
  <si>
    <t>Enter the registry ID number in row 4868 of the table for production class 2a.</t>
  </si>
  <si>
    <t>Enter the registry ID number in row 4869 of the table for production class 2a.</t>
  </si>
  <si>
    <t>Enter the registry ID number in row 4870 of the table for production class 2a.</t>
  </si>
  <si>
    <t>Enter the registry ID number in row 4871 of the table for production class 2a.</t>
  </si>
  <si>
    <t>Enter the registry ID number in row 4872 of the table for production class 2a.</t>
  </si>
  <si>
    <t>Enter the registry ID number in row 4873 of the table for production class 2a.</t>
  </si>
  <si>
    <t>Enter the registry ID number in row 4874 of the table for production class 2a.</t>
  </si>
  <si>
    <t>Enter the registry ID number in row 4875 of the table for production class 2a.</t>
  </si>
  <si>
    <t>Enter the registry ID number in row 4876 of the table for production class 2a.</t>
  </si>
  <si>
    <t>Enter the registry ID number in row 4877 of the table for production class 2a.</t>
  </si>
  <si>
    <t>Enter the registry ID number in row 4878 of the table for production class 2a.</t>
  </si>
  <si>
    <t>Enter the registry ID number in row 4879 of the table for production class 2a.</t>
  </si>
  <si>
    <t>Enter the registry ID number in row 4880 of the table for production class 2a.</t>
  </si>
  <si>
    <t>Enter the registry ID number in row 4881 of the table for production class 2a.</t>
  </si>
  <si>
    <t>Enter the registry ID number in row 4882 of the table for production class 2a.</t>
  </si>
  <si>
    <t>Enter the registry ID number in row 4883 of the table for production class 2a.</t>
  </si>
  <si>
    <t>Enter the registry ID number in row 4884 of the table for production class 2a.</t>
  </si>
  <si>
    <t>Enter the registry ID number in row 4885 of the table for production class 2a.</t>
  </si>
  <si>
    <t>Enter the registry ID number in row 4886 of the table for production class 2a.</t>
  </si>
  <si>
    <t>Enter the registry ID number in row 4887 of the table for production class 2a.</t>
  </si>
  <si>
    <t>Enter the registry ID number in row 4888 of the table for production class 2a.</t>
  </si>
  <si>
    <t>Enter the registry ID number in row 4889 of the table for production class 2a.</t>
  </si>
  <si>
    <t>Enter the registry ID number in row 4890 of the table for production class 2a.</t>
  </si>
  <si>
    <t>Enter the registry ID number in row 4891 of the table for production class 2a.</t>
  </si>
  <si>
    <t>Enter the registry ID number in row 4892 of the table for production class 2a.</t>
  </si>
  <si>
    <t>Enter the registry ID number in row 4893 of the table for production class 2a.</t>
  </si>
  <si>
    <t>Enter the registry ID number in row 4894 of the table for production class 2a.</t>
  </si>
  <si>
    <t>Enter the registry ID number in row 4895 of the table for production class 2a.</t>
  </si>
  <si>
    <t>Enter the registry ID number in row 4896 of the table for production class 2a.</t>
  </si>
  <si>
    <t>Enter the registry ID number in row 4897 of the table for production class 2a.</t>
  </si>
  <si>
    <t>Enter the registry ID number in row 4898 of the table for production class 2a.</t>
  </si>
  <si>
    <t>Enter the registry ID number in row 4899 of the table for production class 2a.</t>
  </si>
  <si>
    <t>Enter the registry ID number in row 4900 of the table for production class 2a.</t>
  </si>
  <si>
    <t>Enter the registry ID number in row 4901 of the table for production class 2a.</t>
  </si>
  <si>
    <t>Enter the registry ID number in row 4902 of the table for production class 2a.</t>
  </si>
  <si>
    <t>Enter the registry ID number in row 4903 of the table for production class 2a.</t>
  </si>
  <si>
    <t>Enter the registry ID number in row 4904 of the table for production class 2a.</t>
  </si>
  <si>
    <t>Enter the registry ID number in row 4905 of the table for production class 2a.</t>
  </si>
  <si>
    <t>Enter the registry ID number in row 4906 of the table for production class 2a.</t>
  </si>
  <si>
    <t>Enter the registry ID number in row 4907 of the table for production class 2a.</t>
  </si>
  <si>
    <t>Enter the registry ID number in row 4908 of the table for production class 2a.</t>
  </si>
  <si>
    <t>Enter the registry ID number in row 4909 of the table for production class 2a.</t>
  </si>
  <si>
    <t>Enter the registry ID number in row 4910 of the table for production class 2a.</t>
  </si>
  <si>
    <t>Enter the registry ID number in row 4911 of the table for production class 2a.</t>
  </si>
  <si>
    <t>Enter the registry ID number in row 4912 of the table for production class 2a.</t>
  </si>
  <si>
    <t>Enter the registry ID number in row 4913 of the table for production class 2a.</t>
  </si>
  <si>
    <t>Enter the registry ID number in row 4914 of the table for production class 2a.</t>
  </si>
  <si>
    <t>Enter the registry ID number in row 4915 of the table for production class 2a.</t>
  </si>
  <si>
    <t>Enter the registry ID number in row 4916 of the table for production class 2a.</t>
  </si>
  <si>
    <t>Enter the registry ID number in row 4917 of the table for production class 2a.</t>
  </si>
  <si>
    <t>Enter the registry ID number in row 4918 of the table for production class 2a.</t>
  </si>
  <si>
    <t>Enter the registry ID number in row 4919 of the table for production class 2a.</t>
  </si>
  <si>
    <t>Enter the registry ID number in row 4920 of the table for production class 2a.</t>
  </si>
  <si>
    <t>Enter the registry ID number in row 4921 of the table for production class 2a.</t>
  </si>
  <si>
    <t>Enter the registry ID number in row 4922 of the table for production class 2a.</t>
  </si>
  <si>
    <t>Enter the registry ID number in row 4923 of the table for production class 2a.</t>
  </si>
  <si>
    <t>Enter the registry ID number in row 4924 of the table for production class 2a.</t>
  </si>
  <si>
    <t>Enter the registry ID number in row 4925 of the table for production class 2a.</t>
  </si>
  <si>
    <t>Enter the registry ID number in row 4926 of the table for production class 2a.</t>
  </si>
  <si>
    <t>Enter the registry ID number in row 4927 of the table for production class 2a.</t>
  </si>
  <si>
    <t>Enter the registry ID number in row 4928 of the table for production class 2a.</t>
  </si>
  <si>
    <t>Enter the registry ID number in row 4929 of the table for production class 2a.</t>
  </si>
  <si>
    <t>Enter the registry ID number in row 4930 of the table for production class 2a.</t>
  </si>
  <si>
    <t>Enter the registry ID number in row 4931 of the table for production class 2a.</t>
  </si>
  <si>
    <t>Enter the registry ID number in row 4932 of the table for production class 2a.</t>
  </si>
  <si>
    <t>Enter the registry ID number in row 4933 of the table for production class 2a.</t>
  </si>
  <si>
    <t>Enter the registry ID number in row 4934 of the table for production class 2a.</t>
  </si>
  <si>
    <t>Enter the registry ID number in row 4935 of the table for production class 2a.</t>
  </si>
  <si>
    <t>Enter the registry ID number in row 4936 of the table for production class 2a.</t>
  </si>
  <si>
    <t>Enter the registry ID number in row 4937 of the table for production class 2a.</t>
  </si>
  <si>
    <t>Enter the registry ID number in row 4938 of the table for production class 2a.</t>
  </si>
  <si>
    <t>Enter the registry ID number in row 4939 of the table for production class 2a.</t>
  </si>
  <si>
    <t>Enter the registry ID number in row 4940 of the table for production class 2a.</t>
  </si>
  <si>
    <t>Enter the registry ID number in row 4941 of the table for production class 2a.</t>
  </si>
  <si>
    <t>Enter the registry ID number in row 4942 of the table for production class 2a.</t>
  </si>
  <si>
    <t>Enter the registry ID number in row 4943 of the table for production class 2a.</t>
  </si>
  <si>
    <t>Enter the registry ID number in row 4944 of the table for production class 2a.</t>
  </si>
  <si>
    <t>Enter the registry ID number in row 4945 of the table for production class 2a.</t>
  </si>
  <si>
    <t>Enter the registry ID number in row 4946 of the table for production class 2a.</t>
  </si>
  <si>
    <t>Enter the registry ID number in row 4947 of the table for production class 2a.</t>
  </si>
  <si>
    <t>Enter the registry ID number in row 4948 of the table for production class 2a.</t>
  </si>
  <si>
    <t>Enter the registry ID number in row 4949 of the table for production class 2a.</t>
  </si>
  <si>
    <t>Enter the registry ID number in row 4950 of the table for production class 2a.</t>
  </si>
  <si>
    <t>Enter the registry ID number in row 4951 of the table for production class 2a.</t>
  </si>
  <si>
    <t>Enter the registry ID number in row 4952 of the table for production class 2a.</t>
  </si>
  <si>
    <t>Enter the registry ID number in row 4953 of the table for production class 2a.</t>
  </si>
  <si>
    <t>Enter the registry ID number in row 4954 of the table for production class 2a.</t>
  </si>
  <si>
    <t>Enter the registry ID number in row 4955 of the table for production class 2a.</t>
  </si>
  <si>
    <t>Enter the registry ID number in row 4956 of the table for production class 2a.</t>
  </si>
  <si>
    <t>Enter the registry ID number in row 4957 of the table for production class 2a.</t>
  </si>
  <si>
    <t>Enter the registry ID number in row 4958 of the table for production class 2a.</t>
  </si>
  <si>
    <t>Enter the registry ID number in row 4959 of the table for production class 2a.</t>
  </si>
  <si>
    <t>Enter the registry ID number in row 4960 of the table for production class 2a.</t>
  </si>
  <si>
    <t>Enter the registry ID number in row 4961 of the table for production class 2a.</t>
  </si>
  <si>
    <t>Enter the registry ID number in row 4962 of the table for production class 2a.</t>
  </si>
  <si>
    <t>Enter the registry ID number in row 4963 of the table for production class 2a.</t>
  </si>
  <si>
    <t>Enter the registry ID number in row 4964 of the table for production class 2a.</t>
  </si>
  <si>
    <t>Enter the registry ID number in row 4965 of the table for production class 2a.</t>
  </si>
  <si>
    <t>Enter the registry ID number in row 4966 of the table for production class 2a.</t>
  </si>
  <si>
    <t>Enter the registry ID number in row 4967 of the table for production class 2a.</t>
  </si>
  <si>
    <t>Enter the registry ID number in row 4968 of the table for production class 2a.</t>
  </si>
  <si>
    <t>Enter the registry ID number in row 4969 of the table for production class 2a.</t>
  </si>
  <si>
    <t>Enter the registry ID number in row 4970 of the table for production class 2a.</t>
  </si>
  <si>
    <t>Enter the registry ID number in row 4971 of the table for production class 2a.</t>
  </si>
  <si>
    <t>Enter the registry ID number in row 4972 of the table for production class 2a.</t>
  </si>
  <si>
    <t>Enter the registry ID number in row 4973 of the table for production class 2a.</t>
  </si>
  <si>
    <t>Enter the registry ID number in row 4974 of the table for production class 2a.</t>
  </si>
  <si>
    <t>Enter the registry ID number in row 4975 of the table for production class 2a.</t>
  </si>
  <si>
    <t>Enter the registry ID number in row 4976 of the table for production class 2a.</t>
  </si>
  <si>
    <t>Enter the registry ID number in row 4977 of the table for production class 2a.</t>
  </si>
  <si>
    <t>Enter the registry ID number in row 4978 of the table for production class 2a.</t>
  </si>
  <si>
    <t>Enter the registry ID number in row 4979 of the table for production class 2a.</t>
  </si>
  <si>
    <t>Enter the registry ID number in row 4980 of the table for production class 2a.</t>
  </si>
  <si>
    <t>Enter the registry ID number in row 4981 of the table for production class 2a.</t>
  </si>
  <si>
    <t>Enter the registry ID number in row 4982 of the table for production class 2a.</t>
  </si>
  <si>
    <t>Enter the registry ID number in row 4983 of the table for production class 2a.</t>
  </si>
  <si>
    <t>Enter the registry ID number in row 4984 of the table for production class 2a.</t>
  </si>
  <si>
    <t>Enter the registry ID number in row 4985 of the table for production class 2a.</t>
  </si>
  <si>
    <t>Enter the registry ID number in row 4986 of the table for production class 2a.</t>
  </si>
  <si>
    <t>Enter the registry ID number in row 4987 of the table for production class 2a.</t>
  </si>
  <si>
    <t>Enter the registry ID number in row 4988 of the table for production class 2a.</t>
  </si>
  <si>
    <t>Enter the registry ID number in row 4989 of the table for production class 2a.</t>
  </si>
  <si>
    <t>Enter the registry ID number in row 4990 of the table for production class 2a.</t>
  </si>
  <si>
    <t>Enter the registry ID number in row 4991 of the table for production class 2a.</t>
  </si>
  <si>
    <t>Enter the registry ID number in row 4992 of the table for production class 2a.</t>
  </si>
  <si>
    <t>Enter the registry ID number in row 4993 of the table for production class 2a.</t>
  </si>
  <si>
    <t>Enter the registry ID number in row 4994 of the table for production class 2a.</t>
  </si>
  <si>
    <t>Enter the registry ID number in row 4995 of the table for production class 2a.</t>
  </si>
  <si>
    <t>Enter the registry ID number in row 4996 of the table for production class 2a.</t>
  </si>
  <si>
    <t>Enter the registry ID number in row 4997 of the table for production class 2a.</t>
  </si>
  <si>
    <t>Enter the registry ID number in row 4998 of the table for production class 2a.</t>
  </si>
  <si>
    <t>Enter the registry ID number in row 4999 of the table for production class 2a.</t>
  </si>
  <si>
    <t>Enter the registry ID number in row 5000 of the table for production class 2a.</t>
  </si>
  <si>
    <t>Enter the registry ID number in row 1 of the table for production class 2b.</t>
  </si>
  <si>
    <t>Enter the registry ID number in row 2 of the table for production class 2b.</t>
  </si>
  <si>
    <t>Enter the registry ID number in row 3 of the table for production class 2b.</t>
  </si>
  <si>
    <t>Enter the registry ID number in row 4 of the table for production class 2b.</t>
  </si>
  <si>
    <t>Enter the registry ID number in row 5 of the table for production class 2b.</t>
  </si>
  <si>
    <t>Enter the registry ID number in row 6 of the table for production class 2b.</t>
  </si>
  <si>
    <t>Enter the registry ID number in row 7 of the table for production class 2b.</t>
  </si>
  <si>
    <t>Enter the registry ID number in row 8 of the table for production class 2b.</t>
  </si>
  <si>
    <t>Enter the registry ID number in row 9 of the table for production class 2b.</t>
  </si>
  <si>
    <t>Enter the registry ID number in row 10 of the table for production class 2b.</t>
  </si>
  <si>
    <t>Enter the registry ID number in row 11 of the table for production class 2b.</t>
  </si>
  <si>
    <t>Enter the registry ID number in row 12 of the table for production class 2b.</t>
  </si>
  <si>
    <t>Enter the registry ID number in row 13 of the table for production class 2b.</t>
  </si>
  <si>
    <t>Enter the registry ID number in row 14 of the table for production class 2b.</t>
  </si>
  <si>
    <t>Enter the registry ID number in row 15 of the table for production class 2b.</t>
  </si>
  <si>
    <t>Enter the registry ID number in row 16 of the table for production class 2b.</t>
  </si>
  <si>
    <t>Enter the registry ID number in row 17 of the table for production class 2b.</t>
  </si>
  <si>
    <t>Enter the registry ID number in row 18 of the table for production class 2b.</t>
  </si>
  <si>
    <t>Enter the registry ID number in row 19 of the table for production class 2b.</t>
  </si>
  <si>
    <t>Enter the registry ID number in row 20 of the table for production class 2b.</t>
  </si>
  <si>
    <t>Enter the registry ID number in row 21 of the table for production class 2b.</t>
  </si>
  <si>
    <t>Enter the registry ID number in row 22 of the table for production class 2b.</t>
  </si>
  <si>
    <t>Enter the registry ID number in row 23 of the table for production class 2b.</t>
  </si>
  <si>
    <t>Enter the registry ID number in row 24 of the table for production class 2b.</t>
  </si>
  <si>
    <t>Enter the registry ID number in row 25 of the table for production class 2b.</t>
  </si>
  <si>
    <t>Enter the registry ID number in row 26 of the table for production class 2b.</t>
  </si>
  <si>
    <t>Enter the registry ID number in row 27 of the table for production class 2b.</t>
  </si>
  <si>
    <t>Enter the registry ID number in row 28 of the table for production class 2b.</t>
  </si>
  <si>
    <t>Enter the registry ID number in row 29 of the table for production class 2b.</t>
  </si>
  <si>
    <t>Enter the registry ID number in row 30 of the table for production class 2b.</t>
  </si>
  <si>
    <t>Enter the registry ID number in row 31 of the table for production class 2b.</t>
  </si>
  <si>
    <t>Enter the registry ID number in row 32 of the table for production class 2b.</t>
  </si>
  <si>
    <t>Enter the registry ID number in row 33 of the table for production class 2b.</t>
  </si>
  <si>
    <t>Enter the registry ID number in row 34 of the table for production class 2b.</t>
  </si>
  <si>
    <t>Enter the registry ID number in row 35 of the table for production class 2b.</t>
  </si>
  <si>
    <t>Enter the registry ID number in row 36 of the table for production class 2b.</t>
  </si>
  <si>
    <t>Enter the registry ID number in row 37 of the table for production class 2b.</t>
  </si>
  <si>
    <t>Enter the registry ID number in row 38 of the table for production class 2b.</t>
  </si>
  <si>
    <t>Enter the registry ID number in row 39 of the table for production class 2b.</t>
  </si>
  <si>
    <t>Enter the registry ID number in row 40 of the table for production class 2b.</t>
  </si>
  <si>
    <t>Enter the registry ID number in row 41 of the table for production class 2b.</t>
  </si>
  <si>
    <t>Enter the registry ID number in row 42 of the table for production class 2b.</t>
  </si>
  <si>
    <t>Enter the registry ID number in row 43 of the table for production class 2b.</t>
  </si>
  <si>
    <t>Enter the registry ID number in row 44 of the table for production class 2b.</t>
  </si>
  <si>
    <t>Enter the registry ID number in row 45 of the table for production class 2b.</t>
  </si>
  <si>
    <t>Enter the registry ID number in row 46 of the table for production class 2b.</t>
  </si>
  <si>
    <t>Enter the registry ID number in row 47 of the table for production class 2b.</t>
  </si>
  <si>
    <t>Enter the registry ID number in row 48 of the table for production class 2b.</t>
  </si>
  <si>
    <t>Enter the registry ID number in row 49 of the table for production class 2b.</t>
  </si>
  <si>
    <t>Enter the registry ID number in row 50 of the table for production class 2b.</t>
  </si>
  <si>
    <t>Enter the registry ID number in row 51 of the table for production class 2b.</t>
  </si>
  <si>
    <t>Enter the registry ID number in row 52 of the table for production class 2b.</t>
  </si>
  <si>
    <t>Enter the registry ID number in row 53 of the table for production class 2b.</t>
  </si>
  <si>
    <t>Enter the registry ID number in row 54 of the table for production class 2b.</t>
  </si>
  <si>
    <t>Enter the registry ID number in row 55 of the table for production class 2b.</t>
  </si>
  <si>
    <t>Enter the registry ID number in row 56 of the table for production class 2b.</t>
  </si>
  <si>
    <t>Enter the registry ID number in row 57 of the table for production class 2b.</t>
  </si>
  <si>
    <t>Enter the registry ID number in row 58 of the table for production class 2b.</t>
  </si>
  <si>
    <t>Enter the registry ID number in row 59 of the table for production class 2b.</t>
  </si>
  <si>
    <t>Enter the registry ID number in row 60 of the table for production class 2b.</t>
  </si>
  <si>
    <t>Enter the registry ID number in row 61 of the table for production class 2b.</t>
  </si>
  <si>
    <t>Enter the registry ID number in row 62 of the table for production class 2b.</t>
  </si>
  <si>
    <t>Enter the registry ID number in row 63 of the table for production class 2b.</t>
  </si>
  <si>
    <t>Enter the registry ID number in row 64 of the table for production class 2b.</t>
  </si>
  <si>
    <t>Enter the registry ID number in row 65 of the table for production class 2b.</t>
  </si>
  <si>
    <t>Enter the registry ID number in row 66 of the table for production class 2b.</t>
  </si>
  <si>
    <t>Enter the registry ID number in row 67 of the table for production class 2b.</t>
  </si>
  <si>
    <t>Enter the registry ID number in row 68 of the table for production class 2b.</t>
  </si>
  <si>
    <t>Enter the registry ID number in row 69 of the table for production class 2b.</t>
  </si>
  <si>
    <t>Enter the registry ID number in row 70 of the table for production class 2b.</t>
  </si>
  <si>
    <t>Enter the registry ID number in row 71 of the table for production class 2b.</t>
  </si>
  <si>
    <t>Enter the registry ID number in row 72 of the table for production class 2b.</t>
  </si>
  <si>
    <t>Enter the registry ID number in row 73 of the table for production class 2b.</t>
  </si>
  <si>
    <t>Enter the registry ID number in row 74 of the table for production class 2b.</t>
  </si>
  <si>
    <t>Enter the registry ID number in row 75 of the table for production class 2b.</t>
  </si>
  <si>
    <t>Enter the registry ID number in row 76 of the table for production class 2b.</t>
  </si>
  <si>
    <t>Enter the registry ID number in row 77 of the table for production class 2b.</t>
  </si>
  <si>
    <t>Enter the registry ID number in row 78 of the table for production class 2b.</t>
  </si>
  <si>
    <t>Enter the registry ID number in row 79 of the table for production class 2b.</t>
  </si>
  <si>
    <t>Enter the registry ID number in row 80 of the table for production class 2b.</t>
  </si>
  <si>
    <t>Enter the registry ID number in row 81 of the table for production class 2b.</t>
  </si>
  <si>
    <t>Enter the registry ID number in row 82 of the table for production class 2b.</t>
  </si>
  <si>
    <t>Enter the registry ID number in row 83 of the table for production class 2b.</t>
  </si>
  <si>
    <t>Enter the registry ID number in row 84 of the table for production class 2b.</t>
  </si>
  <si>
    <t>Enter the registry ID number in row 85 of the table for production class 2b.</t>
  </si>
  <si>
    <t>Enter the registry ID number in row 86 of the table for production class 2b.</t>
  </si>
  <si>
    <t>Enter the registry ID number in row 87 of the table for production class 2b.</t>
  </si>
  <si>
    <t>Enter the registry ID number in row 88 of the table for production class 2b.</t>
  </si>
  <si>
    <t>Enter the registry ID number in row 89 of the table for production class 2b.</t>
  </si>
  <si>
    <t>Enter the registry ID number in row 90 of the table for production class 2b.</t>
  </si>
  <si>
    <t>Enter the registry ID number in row 91 of the table for production class 2b.</t>
  </si>
  <si>
    <t>Enter the registry ID number in row 92 of the table for production class 2b.</t>
  </si>
  <si>
    <t>Enter the registry ID number in row 93 of the table for production class 2b.</t>
  </si>
  <si>
    <t>Enter the registry ID number in row 94 of the table for production class 2b.</t>
  </si>
  <si>
    <t>Enter the registry ID number in row 95 of the table for production class 2b.</t>
  </si>
  <si>
    <t>Enter the registry ID number in row 96 of the table for production class 2b.</t>
  </si>
  <si>
    <t>Enter the registry ID number in row 97 of the table for production class 2b.</t>
  </si>
  <si>
    <t>Enter the registry ID number in row 98 of the table for production class 2b.</t>
  </si>
  <si>
    <t>Enter the registry ID number in row 99 of the table for production class 2b.</t>
  </si>
  <si>
    <t>Enter the registry ID number in row 100 of the table for production class 2b.</t>
  </si>
  <si>
    <t>Enter the registry ID number in row 101 of the table for production class 2b.</t>
  </si>
  <si>
    <t>Enter the registry ID number in row 102 of the table for production class 2b.</t>
  </si>
  <si>
    <t>Enter the registry ID number in row 103 of the table for production class 2b.</t>
  </si>
  <si>
    <t>Enter the registry ID number in row 104 of the table for production class 2b.</t>
  </si>
  <si>
    <t>Enter the registry ID number in row 105 of the table for production class 2b.</t>
  </si>
  <si>
    <t>Enter the registry ID number in row 106 of the table for production class 2b.</t>
  </si>
  <si>
    <t>Enter the registry ID number in row 107 of the table for production class 2b.</t>
  </si>
  <si>
    <t>Enter the registry ID number in row 108 of the table for production class 2b.</t>
  </si>
  <si>
    <t>Enter the registry ID number in row 109 of the table for production class 2b.</t>
  </si>
  <si>
    <t>Enter the registry ID number in row 110 of the table for production class 2b.</t>
  </si>
  <si>
    <t>Enter the registry ID number in row 111 of the table for production class 2b.</t>
  </si>
  <si>
    <t>Enter the registry ID number in row 112 of the table for production class 2b.</t>
  </si>
  <si>
    <t>Enter the registry ID number in row 113 of the table for production class 2b.</t>
  </si>
  <si>
    <t>Enter the registry ID number in row 114 of the table for production class 2b.</t>
  </si>
  <si>
    <t>Enter the registry ID number in row 115 of the table for production class 2b.</t>
  </si>
  <si>
    <t>Enter the registry ID number in row 116 of the table for production class 2b.</t>
  </si>
  <si>
    <t>Enter the registry ID number in row 117 of the table for production class 2b.</t>
  </si>
  <si>
    <t>Enter the registry ID number in row 118 of the table for production class 2b.</t>
  </si>
  <si>
    <t>Enter the registry ID number in row 119 of the table for production class 2b.</t>
  </si>
  <si>
    <t>Enter the registry ID number in row 120 of the table for production class 2b.</t>
  </si>
  <si>
    <t>Enter the registry ID number in row 121 of the table for production class 2b.</t>
  </si>
  <si>
    <t>Enter the registry ID number in row 122 of the table for production class 2b.</t>
  </si>
  <si>
    <t>Enter the registry ID number in row 123 of the table for production class 2b.</t>
  </si>
  <si>
    <t>Enter the registry ID number in row 124 of the table for production class 2b.</t>
  </si>
  <si>
    <t>Enter the registry ID number in row 125 of the table for production class 2b.</t>
  </si>
  <si>
    <t>Enter the registry ID number in row 126 of the table for production class 2b.</t>
  </si>
  <si>
    <t>Enter the registry ID number in row 127 of the table for production class 2b.</t>
  </si>
  <si>
    <t>Enter the registry ID number in row 128 of the table for production class 2b.</t>
  </si>
  <si>
    <t>Enter the registry ID number in row 129 of the table for production class 2b.</t>
  </si>
  <si>
    <t>Enter the registry ID number in row 130 of the table for production class 2b.</t>
  </si>
  <si>
    <t>Enter the registry ID number in row 131 of the table for production class 2b.</t>
  </si>
  <si>
    <t>Enter the registry ID number in row 132 of the table for production class 2b.</t>
  </si>
  <si>
    <t>Enter the registry ID number in row 133 of the table for production class 2b.</t>
  </si>
  <si>
    <t>Enter the registry ID number in row 134 of the table for production class 2b.</t>
  </si>
  <si>
    <t>Enter the registry ID number in row 135 of the table for production class 2b.</t>
  </si>
  <si>
    <t>Enter the registry ID number in row 136 of the table for production class 2b.</t>
  </si>
  <si>
    <t>Enter the registry ID number in row 137 of the table for production class 2b.</t>
  </si>
  <si>
    <t>Enter the registry ID number in row 138 of the table for production class 2b.</t>
  </si>
  <si>
    <t>Enter the registry ID number in row 139 of the table for production class 2b.</t>
  </si>
  <si>
    <t>Enter the registry ID number in row 140 of the table for production class 2b.</t>
  </si>
  <si>
    <t>Enter the registry ID number in row 141 of the table for production class 2b.</t>
  </si>
  <si>
    <t>Enter the registry ID number in row 142 of the table for production class 2b.</t>
  </si>
  <si>
    <t>Enter the registry ID number in row 143 of the table for production class 2b.</t>
  </si>
  <si>
    <t>Enter the registry ID number in row 144 of the table for production class 2b.</t>
  </si>
  <si>
    <t>Enter the registry ID number in row 145 of the table for production class 2b.</t>
  </si>
  <si>
    <t>Enter the registry ID number in row 146 of the table for production class 2b.</t>
  </si>
  <si>
    <t>Enter the registry ID number in row 147 of the table for production class 2b.</t>
  </si>
  <si>
    <t>Enter the registry ID number in row 148 of the table for production class 2b.</t>
  </si>
  <si>
    <t>Enter the registry ID number in row 149 of the table for production class 2b.</t>
  </si>
  <si>
    <t>Enter the registry ID number in row 150 of the table for production class 2b.</t>
  </si>
  <si>
    <t>Enter the registry ID number in row 151 of the table for production class 2b.</t>
  </si>
  <si>
    <t>Enter the registry ID number in row 152 of the table for production class 2b.</t>
  </si>
  <si>
    <t>Enter the registry ID number in row 153 of the table for production class 2b.</t>
  </si>
  <si>
    <t>Enter the registry ID number in row 154 of the table for production class 2b.</t>
  </si>
  <si>
    <t>Enter the registry ID number in row 155 of the table for production class 2b.</t>
  </si>
  <si>
    <t>Enter the registry ID number in row 156 of the table for production class 2b.</t>
  </si>
  <si>
    <t>Enter the registry ID number in row 157 of the table for production class 2b.</t>
  </si>
  <si>
    <t>Enter the registry ID number in row 158 of the table for production class 2b.</t>
  </si>
  <si>
    <t>Enter the registry ID number in row 159 of the table for production class 2b.</t>
  </si>
  <si>
    <t>Enter the registry ID number in row 160 of the table for production class 2b.</t>
  </si>
  <si>
    <t>Enter the registry ID number in row 161 of the table for production class 2b.</t>
  </si>
  <si>
    <t>Enter the registry ID number in row 162 of the table for production class 2b.</t>
  </si>
  <si>
    <t>Enter the registry ID number in row 163 of the table for production class 2b.</t>
  </si>
  <si>
    <t>Enter the registry ID number in row 164 of the table for production class 2b.</t>
  </si>
  <si>
    <t>Enter the registry ID number in row 165 of the table for production class 2b.</t>
  </si>
  <si>
    <t>Enter the registry ID number in row 166 of the table for production class 2b.</t>
  </si>
  <si>
    <t>Enter the registry ID number in row 167 of the table for production class 2b.</t>
  </si>
  <si>
    <t>Enter the registry ID number in row 168 of the table for production class 2b.</t>
  </si>
  <si>
    <t>Enter the registry ID number in row 169 of the table for production class 2b.</t>
  </si>
  <si>
    <t>Enter the registry ID number in row 170 of the table for production class 2b.</t>
  </si>
  <si>
    <t>Enter the registry ID number in row 171 of the table for production class 2b.</t>
  </si>
  <si>
    <t>Enter the registry ID number in row 172 of the table for production class 2b.</t>
  </si>
  <si>
    <t>Enter the registry ID number in row 173 of the table for production class 2b.</t>
  </si>
  <si>
    <t>Enter the registry ID number in row 174 of the table for production class 2b.</t>
  </si>
  <si>
    <t>Enter the registry ID number in row 175 of the table for production class 2b.</t>
  </si>
  <si>
    <t>Enter the registry ID number in row 176 of the table for production class 2b.</t>
  </si>
  <si>
    <t>Enter the registry ID number in row 177 of the table for production class 2b.</t>
  </si>
  <si>
    <t>Enter the registry ID number in row 178 of the table for production class 2b.</t>
  </si>
  <si>
    <t>Enter the registry ID number in row 179 of the table for production class 2b.</t>
  </si>
  <si>
    <t>Enter the registry ID number in row 180 of the table for production class 2b.</t>
  </si>
  <si>
    <t>Enter the registry ID number in row 181 of the table for production class 2b.</t>
  </si>
  <si>
    <t>Enter the registry ID number in row 182 of the table for production class 2b.</t>
  </si>
  <si>
    <t>Enter the registry ID number in row 183 of the table for production class 2b.</t>
  </si>
  <si>
    <t>Enter the registry ID number in row 184 of the table for production class 2b.</t>
  </si>
  <si>
    <t>Enter the registry ID number in row 185 of the table for production class 2b.</t>
  </si>
  <si>
    <t>Enter the registry ID number in row 186 of the table for production class 2b.</t>
  </si>
  <si>
    <t>Enter the registry ID number in row 187 of the table for production class 2b.</t>
  </si>
  <si>
    <t>Enter the registry ID number in row 188 of the table for production class 2b.</t>
  </si>
  <si>
    <t>Enter the registry ID number in row 189 of the table for production class 2b.</t>
  </si>
  <si>
    <t>Enter the registry ID number in row 190 of the table for production class 2b.</t>
  </si>
  <si>
    <t>Enter the registry ID number in row 191 of the table for production class 2b.</t>
  </si>
  <si>
    <t>Enter the registry ID number in row 192 of the table for production class 2b.</t>
  </si>
  <si>
    <t>Enter the registry ID number in row 193 of the table for production class 2b.</t>
  </si>
  <si>
    <t>Enter the registry ID number in row 194 of the table for production class 2b.</t>
  </si>
  <si>
    <t>Enter the registry ID number in row 195 of the table for production class 2b.</t>
  </si>
  <si>
    <t>Enter the registry ID number in row 196 of the table for production class 2b.</t>
  </si>
  <si>
    <t>Enter the registry ID number in row 197 of the table for production class 2b.</t>
  </si>
  <si>
    <t>Enter the registry ID number in row 198 of the table for production class 2b.</t>
  </si>
  <si>
    <t>Enter the registry ID number in row 199 of the table for production class 2b.</t>
  </si>
  <si>
    <t>Enter the registry ID number in row 200 of the table for production class 2b.</t>
  </si>
  <si>
    <t>Enter the registry ID number in row 201 of the table for production class 2b.</t>
  </si>
  <si>
    <t>Enter the registry ID number in row 202 of the table for production class 2b.</t>
  </si>
  <si>
    <t>Enter the registry ID number in row 203 of the table for production class 2b.</t>
  </si>
  <si>
    <t>Enter the registry ID number in row 204 of the table for production class 2b.</t>
  </si>
  <si>
    <t>Enter the registry ID number in row 205 of the table for production class 2b.</t>
  </si>
  <si>
    <t>Enter the registry ID number in row 206 of the table for production class 2b.</t>
  </si>
  <si>
    <t>Enter the registry ID number in row 207 of the table for production class 2b.</t>
  </si>
  <si>
    <t>Enter the registry ID number in row 208 of the table for production class 2b.</t>
  </si>
  <si>
    <t>Enter the registry ID number in row 209 of the table for production class 2b.</t>
  </si>
  <si>
    <t>Enter the registry ID number in row 210 of the table for production class 2b.</t>
  </si>
  <si>
    <t>Enter the registry ID number in row 211 of the table for production class 2b.</t>
  </si>
  <si>
    <t>Enter the registry ID number in row 212 of the table for production class 2b.</t>
  </si>
  <si>
    <t>Enter the registry ID number in row 213 of the table for production class 2b.</t>
  </si>
  <si>
    <t>Enter the registry ID number in row 214 of the table for production class 2b.</t>
  </si>
  <si>
    <t>Enter the registry ID number in row 215 of the table for production class 2b.</t>
  </si>
  <si>
    <t>Enter the registry ID number in row 216 of the table for production class 2b.</t>
  </si>
  <si>
    <t>Enter the registry ID number in row 217 of the table for production class 2b.</t>
  </si>
  <si>
    <t>Enter the registry ID number in row 218 of the table for production class 2b.</t>
  </si>
  <si>
    <t>Enter the registry ID number in row 219 of the table for production class 2b.</t>
  </si>
  <si>
    <t>Enter the registry ID number in row 220 of the table for production class 2b.</t>
  </si>
  <si>
    <t>Enter the registry ID number in row 221 of the table for production class 2b.</t>
  </si>
  <si>
    <t>Enter the registry ID number in row 222 of the table for production class 2b.</t>
  </si>
  <si>
    <t>Enter the registry ID number in row 223 of the table for production class 2b.</t>
  </si>
  <si>
    <t>Enter the registry ID number in row 224 of the table for production class 2b.</t>
  </si>
  <si>
    <t>Enter the registry ID number in row 225 of the table for production class 2b.</t>
  </si>
  <si>
    <t>Enter the registry ID number in row 226 of the table for production class 2b.</t>
  </si>
  <si>
    <t>Enter the registry ID number in row 227 of the table for production class 2b.</t>
  </si>
  <si>
    <t>Enter the registry ID number in row 228 of the table for production class 2b.</t>
  </si>
  <si>
    <t>Enter the registry ID number in row 229 of the table for production class 2b.</t>
  </si>
  <si>
    <t>Enter the registry ID number in row 230 of the table for production class 2b.</t>
  </si>
  <si>
    <t>Enter the registry ID number in row 231 of the table for production class 2b.</t>
  </si>
  <si>
    <t>Enter the registry ID number in row 232 of the table for production class 2b.</t>
  </si>
  <si>
    <t>Enter the registry ID number in row 233 of the table for production class 2b.</t>
  </si>
  <si>
    <t>Enter the registry ID number in row 234 of the table for production class 2b.</t>
  </si>
  <si>
    <t>Enter the registry ID number in row 235 of the table for production class 2b.</t>
  </si>
  <si>
    <t>Enter the registry ID number in row 236 of the table for production class 2b.</t>
  </si>
  <si>
    <t>Enter the registry ID number in row 237 of the table for production class 2b.</t>
  </si>
  <si>
    <t>Enter the registry ID number in row 238 of the table for production class 2b.</t>
  </si>
  <si>
    <t>Enter the registry ID number in row 239 of the table for production class 2b.</t>
  </si>
  <si>
    <t>Enter the registry ID number in row 240 of the table for production class 2b.</t>
  </si>
  <si>
    <t>Enter the registry ID number in row 241 of the table for production class 2b.</t>
  </si>
  <si>
    <t>Enter the registry ID number in row 242 of the table for production class 2b.</t>
  </si>
  <si>
    <t>Enter the registry ID number in row 243 of the table for production class 2b.</t>
  </si>
  <si>
    <t>Enter the registry ID number in row 244 of the table for production class 2b.</t>
  </si>
  <si>
    <t>Enter the registry ID number in row 245 of the table for production class 2b.</t>
  </si>
  <si>
    <t>Enter the registry ID number in row 246 of the table for production class 2b.</t>
  </si>
  <si>
    <t>Enter the registry ID number in row 247 of the table for production class 2b.</t>
  </si>
  <si>
    <t>Enter the registry ID number in row 248 of the table for production class 2b.</t>
  </si>
  <si>
    <t>Enter the registry ID number in row 249 of the table for production class 2b.</t>
  </si>
  <si>
    <t>Enter the registry ID number in row 250 of the table for production class 2b.</t>
  </si>
  <si>
    <t>Enter the registry ID number in row 251 of the table for production class 2b.</t>
  </si>
  <si>
    <t>Enter the registry ID number in row 252 of the table for production class 2b.</t>
  </si>
  <si>
    <t>Enter the registry ID number in row 253 of the table for production class 2b.</t>
  </si>
  <si>
    <t>Enter the registry ID number in row 254 of the table for production class 2b.</t>
  </si>
  <si>
    <t>Enter the registry ID number in row 255 of the table for production class 2b.</t>
  </si>
  <si>
    <t>Enter the registry ID number in row 256 of the table for production class 2b.</t>
  </si>
  <si>
    <t>Enter the registry ID number in row 257 of the table for production class 2b.</t>
  </si>
  <si>
    <t>Enter the registry ID number in row 258 of the table for production class 2b.</t>
  </si>
  <si>
    <t>Enter the registry ID number in row 259 of the table for production class 2b.</t>
  </si>
  <si>
    <t>Enter the registry ID number in row 260 of the table for production class 2b.</t>
  </si>
  <si>
    <t>Enter the registry ID number in row 261 of the table for production class 2b.</t>
  </si>
  <si>
    <t>Enter the registry ID number in row 262 of the table for production class 2b.</t>
  </si>
  <si>
    <t>Enter the registry ID number in row 263 of the table for production class 2b.</t>
  </si>
  <si>
    <t>Enter the registry ID number in row 264 of the table for production class 2b.</t>
  </si>
  <si>
    <t>Enter the registry ID number in row 265 of the table for production class 2b.</t>
  </si>
  <si>
    <t>Enter the registry ID number in row 266 of the table for production class 2b.</t>
  </si>
  <si>
    <t>Enter the registry ID number in row 267 of the table for production class 2b.</t>
  </si>
  <si>
    <t>Enter the registry ID number in row 268 of the table for production class 2b.</t>
  </si>
  <si>
    <t>Enter the registry ID number in row 269 of the table for production class 2b.</t>
  </si>
  <si>
    <t>Enter the registry ID number in row 270 of the table for production class 2b.</t>
  </si>
  <si>
    <t>Enter the registry ID number in row 271 of the table for production class 2b.</t>
  </si>
  <si>
    <t>Enter the registry ID number in row 272 of the table for production class 2b.</t>
  </si>
  <si>
    <t>Enter the registry ID number in row 273 of the table for production class 2b.</t>
  </si>
  <si>
    <t>Enter the registry ID number in row 274 of the table for production class 2b.</t>
  </si>
  <si>
    <t>Enter the registry ID number in row 275 of the table for production class 2b.</t>
  </si>
  <si>
    <t>Enter the registry ID number in row 276 of the table for production class 2b.</t>
  </si>
  <si>
    <t>Enter the registry ID number in row 277 of the table for production class 2b.</t>
  </si>
  <si>
    <t>Enter the registry ID number in row 278 of the table for production class 2b.</t>
  </si>
  <si>
    <t>Enter the registry ID number in row 279 of the table for production class 2b.</t>
  </si>
  <si>
    <t>Enter the registry ID number in row 280 of the table for production class 2b.</t>
  </si>
  <si>
    <t>Enter the registry ID number in row 281 of the table for production class 2b.</t>
  </si>
  <si>
    <t>Enter the registry ID number in row 282 of the table for production class 2b.</t>
  </si>
  <si>
    <t>Enter the registry ID number in row 283 of the table for production class 2b.</t>
  </si>
  <si>
    <t>Enter the registry ID number in row 284 of the table for production class 2b.</t>
  </si>
  <si>
    <t>Enter the registry ID number in row 285 of the table for production class 2b.</t>
  </si>
  <si>
    <t>Enter the registry ID number in row 286 of the table for production class 2b.</t>
  </si>
  <si>
    <t>Enter the registry ID number in row 287 of the table for production class 2b.</t>
  </si>
  <si>
    <t>Enter the registry ID number in row 288 of the table for production class 2b.</t>
  </si>
  <si>
    <t>Enter the registry ID number in row 289 of the table for production class 2b.</t>
  </si>
  <si>
    <t>Enter the registry ID number in row 290 of the table for production class 2b.</t>
  </si>
  <si>
    <t>Enter the registry ID number in row 291 of the table for production class 2b.</t>
  </si>
  <si>
    <t>Enter the registry ID number in row 292 of the table for production class 2b.</t>
  </si>
  <si>
    <t>Enter the registry ID number in row 293 of the table for production class 2b.</t>
  </si>
  <si>
    <t>Enter the registry ID number in row 294 of the table for production class 2b.</t>
  </si>
  <si>
    <t>Enter the registry ID number in row 295 of the table for production class 2b.</t>
  </si>
  <si>
    <t>Enter the registry ID number in row 296 of the table for production class 2b.</t>
  </si>
  <si>
    <t>Enter the registry ID number in row 297 of the table for production class 2b.</t>
  </si>
  <si>
    <t>Enter the registry ID number in row 298 of the table for production class 2b.</t>
  </si>
  <si>
    <t>Enter the registry ID number in row 299 of the table for production class 2b.</t>
  </si>
  <si>
    <t>Enter the registry ID number in row 300 of the table for production class 2b.</t>
  </si>
  <si>
    <t>Enter the registry ID number in row 301 of the table for production class 2b.</t>
  </si>
  <si>
    <t>Enter the registry ID number in row 302 of the table for production class 2b.</t>
  </si>
  <si>
    <t>Enter the registry ID number in row 303 of the table for production class 2b.</t>
  </si>
  <si>
    <t>Enter the registry ID number in row 304 of the table for production class 2b.</t>
  </si>
  <si>
    <t>Enter the registry ID number in row 305 of the table for production class 2b.</t>
  </si>
  <si>
    <t>Enter the registry ID number in row 306 of the table for production class 2b.</t>
  </si>
  <si>
    <t>Enter the registry ID number in row 307 of the table for production class 2b.</t>
  </si>
  <si>
    <t>Enter the registry ID number in row 308 of the table for production class 2b.</t>
  </si>
  <si>
    <t>Enter the registry ID number in row 309 of the table for production class 2b.</t>
  </si>
  <si>
    <t>Enter the registry ID number in row 310 of the table for production class 2b.</t>
  </si>
  <si>
    <t>Enter the registry ID number in row 311 of the table for production class 2b.</t>
  </si>
  <si>
    <t>Enter the registry ID number in row 312 of the table for production class 2b.</t>
  </si>
  <si>
    <t>Enter the registry ID number in row 313 of the table for production class 2b.</t>
  </si>
  <si>
    <t>Enter the registry ID number in row 314 of the table for production class 2b.</t>
  </si>
  <si>
    <t>Enter the registry ID number in row 315 of the table for production class 2b.</t>
  </si>
  <si>
    <t>Enter the registry ID number in row 316 of the table for production class 2b.</t>
  </si>
  <si>
    <t>Enter the registry ID number in row 317 of the table for production class 2b.</t>
  </si>
  <si>
    <t>Enter the registry ID number in row 318 of the table for production class 2b.</t>
  </si>
  <si>
    <t>Enter the registry ID number in row 319 of the table for production class 2b.</t>
  </si>
  <si>
    <t>Enter the registry ID number in row 320 of the table for production class 2b.</t>
  </si>
  <si>
    <t>Enter the registry ID number in row 321 of the table for production class 2b.</t>
  </si>
  <si>
    <t>Enter the registry ID number in row 322 of the table for production class 2b.</t>
  </si>
  <si>
    <t>Enter the registry ID number in row 323 of the table for production class 2b.</t>
  </si>
  <si>
    <t>Enter the registry ID number in row 324 of the table for production class 2b.</t>
  </si>
  <si>
    <t>Enter the registry ID number in row 325 of the table for production class 2b.</t>
  </si>
  <si>
    <t>Enter the registry ID number in row 326 of the table for production class 2b.</t>
  </si>
  <si>
    <t>Enter the registry ID number in row 327 of the table for production class 2b.</t>
  </si>
  <si>
    <t>Enter the registry ID number in row 328 of the table for production class 2b.</t>
  </si>
  <si>
    <t>Enter the registry ID number in row 329 of the table for production class 2b.</t>
  </si>
  <si>
    <t>Enter the registry ID number in row 330 of the table for production class 2b.</t>
  </si>
  <si>
    <t>Enter the registry ID number in row 331 of the table for production class 2b.</t>
  </si>
  <si>
    <t>Enter the registry ID number in row 332 of the table for production class 2b.</t>
  </si>
  <si>
    <t>Enter the registry ID number in row 333 of the table for production class 2b.</t>
  </si>
  <si>
    <t>Enter the registry ID number in row 334 of the table for production class 2b.</t>
  </si>
  <si>
    <t>Enter the registry ID number in row 335 of the table for production class 2b.</t>
  </si>
  <si>
    <t>Enter the registry ID number in row 336 of the table for production class 2b.</t>
  </si>
  <si>
    <t>Enter the registry ID number in row 337 of the table for production class 2b.</t>
  </si>
  <si>
    <t>Enter the registry ID number in row 338 of the table for production class 2b.</t>
  </si>
  <si>
    <t>Enter the registry ID number in row 339 of the table for production class 2b.</t>
  </si>
  <si>
    <t>Enter the registry ID number in row 340 of the table for production class 2b.</t>
  </si>
  <si>
    <t>Enter the registry ID number in row 341 of the table for production class 2b.</t>
  </si>
  <si>
    <t>Enter the registry ID number in row 342 of the table for production class 2b.</t>
  </si>
  <si>
    <t>Enter the registry ID number in row 343 of the table for production class 2b.</t>
  </si>
  <si>
    <t>Enter the registry ID number in row 344 of the table for production class 2b.</t>
  </si>
  <si>
    <t>Enter the registry ID number in row 345 of the table for production class 2b.</t>
  </si>
  <si>
    <t>Enter the registry ID number in row 346 of the table for production class 2b.</t>
  </si>
  <si>
    <t>Enter the registry ID number in row 347 of the table for production class 2b.</t>
  </si>
  <si>
    <t>Enter the registry ID number in row 348 of the table for production class 2b.</t>
  </si>
  <si>
    <t>Enter the registry ID number in row 349 of the table for production class 2b.</t>
  </si>
  <si>
    <t>Enter the registry ID number in row 350 of the table for production class 2b.</t>
  </si>
  <si>
    <t>Enter the registry ID number in row 351 of the table for production class 2b.</t>
  </si>
  <si>
    <t>Enter the registry ID number in row 352 of the table for production class 2b.</t>
  </si>
  <si>
    <t>Enter the registry ID number in row 353 of the table for production class 2b.</t>
  </si>
  <si>
    <t>Enter the registry ID number in row 354 of the table for production class 2b.</t>
  </si>
  <si>
    <t>Enter the registry ID number in row 355 of the table for production class 2b.</t>
  </si>
  <si>
    <t>Enter the registry ID number in row 356 of the table for production class 2b.</t>
  </si>
  <si>
    <t>Enter the registry ID number in row 357 of the table for production class 2b.</t>
  </si>
  <si>
    <t>Enter the registry ID number in row 358 of the table for production class 2b.</t>
  </si>
  <si>
    <t>Enter the registry ID number in row 359 of the table for production class 2b.</t>
  </si>
  <si>
    <t>Enter the registry ID number in row 360 of the table for production class 2b.</t>
  </si>
  <si>
    <t>Enter the registry ID number in row 361 of the table for production class 2b.</t>
  </si>
  <si>
    <t>Enter the registry ID number in row 362 of the table for production class 2b.</t>
  </si>
  <si>
    <t>Enter the registry ID number in row 363 of the table for production class 2b.</t>
  </si>
  <si>
    <t>Enter the registry ID number in row 364 of the table for production class 2b.</t>
  </si>
  <si>
    <t>Enter the registry ID number in row 365 of the table for production class 2b.</t>
  </si>
  <si>
    <t>Enter the registry ID number in row 366 of the table for production class 2b.</t>
  </si>
  <si>
    <t>Enter the registry ID number in row 367 of the table for production class 2b.</t>
  </si>
  <si>
    <t>Enter the registry ID number in row 368 of the table for production class 2b.</t>
  </si>
  <si>
    <t>Enter the registry ID number in row 369 of the table for production class 2b.</t>
  </si>
  <si>
    <t>Enter the registry ID number in row 370 of the table for production class 2b.</t>
  </si>
  <si>
    <t>Enter the registry ID number in row 371 of the table for production class 2b.</t>
  </si>
  <si>
    <t>Enter the registry ID number in row 372 of the table for production class 2b.</t>
  </si>
  <si>
    <t>Enter the registry ID number in row 373 of the table for production class 2b.</t>
  </si>
  <si>
    <t>Enter the registry ID number in row 374 of the table for production class 2b.</t>
  </si>
  <si>
    <t>Enter the registry ID number in row 375 of the table for production class 2b.</t>
  </si>
  <si>
    <t>Enter the registry ID number in row 376 of the table for production class 2b.</t>
  </si>
  <si>
    <t>Enter the registry ID number in row 377 of the table for production class 2b.</t>
  </si>
  <si>
    <t>Enter the registry ID number in row 378 of the table for production class 2b.</t>
  </si>
  <si>
    <t>Enter the registry ID number in row 379 of the table for production class 2b.</t>
  </si>
  <si>
    <t>Enter the registry ID number in row 380 of the table for production class 2b.</t>
  </si>
  <si>
    <t>Enter the registry ID number in row 381 of the table for production class 2b.</t>
  </si>
  <si>
    <t>Enter the registry ID number in row 382 of the table for production class 2b.</t>
  </si>
  <si>
    <t>Enter the registry ID number in row 383 of the table for production class 2b.</t>
  </si>
  <si>
    <t>Enter the registry ID number in row 384 of the table for production class 2b.</t>
  </si>
  <si>
    <t>Enter the registry ID number in row 385 of the table for production class 2b.</t>
  </si>
  <si>
    <t>Enter the registry ID number in row 386 of the table for production class 2b.</t>
  </si>
  <si>
    <t>Enter the registry ID number in row 387 of the table for production class 2b.</t>
  </si>
  <si>
    <t>Enter the registry ID number in row 388 of the table for production class 2b.</t>
  </si>
  <si>
    <t>Enter the registry ID number in row 389 of the table for production class 2b.</t>
  </si>
  <si>
    <t>Enter the registry ID number in row 390 of the table for production class 2b.</t>
  </si>
  <si>
    <t>Enter the registry ID number in row 391 of the table for production class 2b.</t>
  </si>
  <si>
    <t>Enter the registry ID number in row 392 of the table for production class 2b.</t>
  </si>
  <si>
    <t>Enter the registry ID number in row 393 of the table for production class 2b.</t>
  </si>
  <si>
    <t>Enter the registry ID number in row 394 of the table for production class 2b.</t>
  </si>
  <si>
    <t>Enter the registry ID number in row 395 of the table for production class 2b.</t>
  </si>
  <si>
    <t>Enter the registry ID number in row 396 of the table for production class 2b.</t>
  </si>
  <si>
    <t>Enter the registry ID number in row 397 of the table for production class 2b.</t>
  </si>
  <si>
    <t>Enter the registry ID number in row 398 of the table for production class 2b.</t>
  </si>
  <si>
    <t>Enter the registry ID number in row 399 of the table for production class 2b.</t>
  </si>
  <si>
    <t>Enter the registry ID number in row 400 of the table for production class 2b.</t>
  </si>
  <si>
    <t>Enter the registry ID number in row 401 of the table for production class 2b.</t>
  </si>
  <si>
    <t>Enter the registry ID number in row 402 of the table for production class 2b.</t>
  </si>
  <si>
    <t>Enter the registry ID number in row 403 of the table for production class 2b.</t>
  </si>
  <si>
    <t>Enter the registry ID number in row 404 of the table for production class 2b.</t>
  </si>
  <si>
    <t>Enter the registry ID number in row 405 of the table for production class 2b.</t>
  </si>
  <si>
    <t>Enter the registry ID number in row 406 of the table for production class 2b.</t>
  </si>
  <si>
    <t>Enter the registry ID number in row 407 of the table for production class 2b.</t>
  </si>
  <si>
    <t>Enter the registry ID number in row 408 of the table for production class 2b.</t>
  </si>
  <si>
    <t>Enter the registry ID number in row 409 of the table for production class 2b.</t>
  </si>
  <si>
    <t>Enter the registry ID number in row 410 of the table for production class 2b.</t>
  </si>
  <si>
    <t>Enter the registry ID number in row 411 of the table for production class 2b.</t>
  </si>
  <si>
    <t>Enter the registry ID number in row 412 of the table for production class 2b.</t>
  </si>
  <si>
    <t>Enter the registry ID number in row 413 of the table for production class 2b.</t>
  </si>
  <si>
    <t>Enter the registry ID number in row 414 of the table for production class 2b.</t>
  </si>
  <si>
    <t>Enter the registry ID number in row 415 of the table for production class 2b.</t>
  </si>
  <si>
    <t>Enter the registry ID number in row 416 of the table for production class 2b.</t>
  </si>
  <si>
    <t>Enter the registry ID number in row 417 of the table for production class 2b.</t>
  </si>
  <si>
    <t>Enter the registry ID number in row 418 of the table for production class 2b.</t>
  </si>
  <si>
    <t>Enter the registry ID number in row 419 of the table for production class 2b.</t>
  </si>
  <si>
    <t>Enter the registry ID number in row 420 of the table for production class 2b.</t>
  </si>
  <si>
    <t>Enter the registry ID number in row 421 of the table for production class 2b.</t>
  </si>
  <si>
    <t>Enter the registry ID number in row 422 of the table for production class 2b.</t>
  </si>
  <si>
    <t>Enter the registry ID number in row 423 of the table for production class 2b.</t>
  </si>
  <si>
    <t>Enter the registry ID number in row 424 of the table for production class 2b.</t>
  </si>
  <si>
    <t>Enter the registry ID number in row 425 of the table for production class 2b.</t>
  </si>
  <si>
    <t>Enter the registry ID number in row 426 of the table for production class 2b.</t>
  </si>
  <si>
    <t>Enter the registry ID number in row 427 of the table for production class 2b.</t>
  </si>
  <si>
    <t>Enter the registry ID number in row 428 of the table for production class 2b.</t>
  </si>
  <si>
    <t>Enter the registry ID number in row 429 of the table for production class 2b.</t>
  </si>
  <si>
    <t>Enter the registry ID number in row 430 of the table for production class 2b.</t>
  </si>
  <si>
    <t>Enter the registry ID number in row 431 of the table for production class 2b.</t>
  </si>
  <si>
    <t>Enter the registry ID number in row 432 of the table for production class 2b.</t>
  </si>
  <si>
    <t>Enter the registry ID number in row 433 of the table for production class 2b.</t>
  </si>
  <si>
    <t>Enter the registry ID number in row 434 of the table for production class 2b.</t>
  </si>
  <si>
    <t>Enter the registry ID number in row 435 of the table for production class 2b.</t>
  </si>
  <si>
    <t>Enter the registry ID number in row 436 of the table for production class 2b.</t>
  </si>
  <si>
    <t>Enter the registry ID number in row 437 of the table for production class 2b.</t>
  </si>
  <si>
    <t>Enter the registry ID number in row 438 of the table for production class 2b.</t>
  </si>
  <si>
    <t>Enter the registry ID number in row 439 of the table for production class 2b.</t>
  </si>
  <si>
    <t>Enter the registry ID number in row 440 of the table for production class 2b.</t>
  </si>
  <si>
    <t>Enter the registry ID number in row 441 of the table for production class 2b.</t>
  </si>
  <si>
    <t>Enter the registry ID number in row 442 of the table for production class 2b.</t>
  </si>
  <si>
    <t>Enter the registry ID number in row 443 of the table for production class 2b.</t>
  </si>
  <si>
    <t>Enter the registry ID number in row 444 of the table for production class 2b.</t>
  </si>
  <si>
    <t>Enter the registry ID number in row 445 of the table for production class 2b.</t>
  </si>
  <si>
    <t>Enter the registry ID number in row 446 of the table for production class 2b.</t>
  </si>
  <si>
    <t>Enter the registry ID number in row 447 of the table for production class 2b.</t>
  </si>
  <si>
    <t>Enter the registry ID number in row 448 of the table for production class 2b.</t>
  </si>
  <si>
    <t>Enter the registry ID number in row 449 of the table for production class 2b.</t>
  </si>
  <si>
    <t>Enter the registry ID number in row 450 of the table for production class 2b.</t>
  </si>
  <si>
    <t>Enter the registry ID number in row 451 of the table for production class 2b.</t>
  </si>
  <si>
    <t>Enter the registry ID number in row 452 of the table for production class 2b.</t>
  </si>
  <si>
    <t>Enter the registry ID number in row 453 of the table for production class 2b.</t>
  </si>
  <si>
    <t>Enter the registry ID number in row 454 of the table for production class 2b.</t>
  </si>
  <si>
    <t>Enter the registry ID number in row 455 of the table for production class 2b.</t>
  </si>
  <si>
    <t>Enter the registry ID number in row 456 of the table for production class 2b.</t>
  </si>
  <si>
    <t>Enter the registry ID number in row 457 of the table for production class 2b.</t>
  </si>
  <si>
    <t>Enter the registry ID number in row 458 of the table for production class 2b.</t>
  </si>
  <si>
    <t>Enter the registry ID number in row 459 of the table for production class 2b.</t>
  </si>
  <si>
    <t>Enter the registry ID number in row 460 of the table for production class 2b.</t>
  </si>
  <si>
    <t>Enter the registry ID number in row 461 of the table for production class 2b.</t>
  </si>
  <si>
    <t>Enter the registry ID number in row 462 of the table for production class 2b.</t>
  </si>
  <si>
    <t>Enter the registry ID number in row 463 of the table for production class 2b.</t>
  </si>
  <si>
    <t>Enter the registry ID number in row 464 of the table for production class 2b.</t>
  </si>
  <si>
    <t>Enter the registry ID number in row 465 of the table for production class 2b.</t>
  </si>
  <si>
    <t>Enter the registry ID number in row 466 of the table for production class 2b.</t>
  </si>
  <si>
    <t>Enter the registry ID number in row 467 of the table for production class 2b.</t>
  </si>
  <si>
    <t>Enter the registry ID number in row 468 of the table for production class 2b.</t>
  </si>
  <si>
    <t>Enter the registry ID number in row 469 of the table for production class 2b.</t>
  </si>
  <si>
    <t>Enter the registry ID number in row 470 of the table for production class 2b.</t>
  </si>
  <si>
    <t>Enter the registry ID number in row 471 of the table for production class 2b.</t>
  </si>
  <si>
    <t>Enter the registry ID number in row 472 of the table for production class 2b.</t>
  </si>
  <si>
    <t>Enter the registry ID number in row 473 of the table for production class 2b.</t>
  </si>
  <si>
    <t>Enter the registry ID number in row 474 of the table for production class 2b.</t>
  </si>
  <si>
    <t>Enter the registry ID number in row 475 of the table for production class 2b.</t>
  </si>
  <si>
    <t>Enter the registry ID number in row 476 of the table for production class 2b.</t>
  </si>
  <si>
    <t>Enter the registry ID number in row 477 of the table for production class 2b.</t>
  </si>
  <si>
    <t>Enter the registry ID number in row 478 of the table for production class 2b.</t>
  </si>
  <si>
    <t>Enter the registry ID number in row 479 of the table for production class 2b.</t>
  </si>
  <si>
    <t>Enter the registry ID number in row 480 of the table for production class 2b.</t>
  </si>
  <si>
    <t>Enter the registry ID number in row 481 of the table for production class 2b.</t>
  </si>
  <si>
    <t>Enter the registry ID number in row 482 of the table for production class 2b.</t>
  </si>
  <si>
    <t>Enter the registry ID number in row 483 of the table for production class 2b.</t>
  </si>
  <si>
    <t>Enter the registry ID number in row 484 of the table for production class 2b.</t>
  </si>
  <si>
    <t>Enter the registry ID number in row 485 of the table for production class 2b.</t>
  </si>
  <si>
    <t>Enter the registry ID number in row 486 of the table for production class 2b.</t>
  </si>
  <si>
    <t>Enter the registry ID number in row 487 of the table for production class 2b.</t>
  </si>
  <si>
    <t>Enter the registry ID number in row 488 of the table for production class 2b.</t>
  </si>
  <si>
    <t>Enter the registry ID number in row 489 of the table for production class 2b.</t>
  </si>
  <si>
    <t>Enter the registry ID number in row 490 of the table for production class 2b.</t>
  </si>
  <si>
    <t>Enter the registry ID number in row 491 of the table for production class 2b.</t>
  </si>
  <si>
    <t>Enter the registry ID number in row 492 of the table for production class 2b.</t>
  </si>
  <si>
    <t>Enter the registry ID number in row 493 of the table for production class 2b.</t>
  </si>
  <si>
    <t>Enter the registry ID number in row 494 of the table for production class 2b.</t>
  </si>
  <si>
    <t>Enter the registry ID number in row 495 of the table for production class 2b.</t>
  </si>
  <si>
    <t>Enter the registry ID number in row 496 of the table for production class 2b.</t>
  </si>
  <si>
    <t>Enter the registry ID number in row 497 of the table for production class 2b.</t>
  </si>
  <si>
    <t>Enter the registry ID number in row 498 of the table for production class 2b.</t>
  </si>
  <si>
    <t>Enter the registry ID number in row 499 of the table for production class 2b.</t>
  </si>
  <si>
    <t>Enter the registry ID number in row 500 of the table for production class 2b.</t>
  </si>
  <si>
    <t>Enter the registry ID number in row 501 of the table for production class 2b.</t>
  </si>
  <si>
    <t>Enter the registry ID number in row 502 of the table for production class 2b.</t>
  </si>
  <si>
    <t>Enter the registry ID number in row 503 of the table for production class 2b.</t>
  </si>
  <si>
    <t>Enter the registry ID number in row 504 of the table for production class 2b.</t>
  </si>
  <si>
    <t>Enter the registry ID number in row 505 of the table for production class 2b.</t>
  </si>
  <si>
    <t>Enter the registry ID number in row 506 of the table for production class 2b.</t>
  </si>
  <si>
    <t>Enter the registry ID number in row 507 of the table for production class 2b.</t>
  </si>
  <si>
    <t>Enter the registry ID number in row 508 of the table for production class 2b.</t>
  </si>
  <si>
    <t>Enter the registry ID number in row 509 of the table for production class 2b.</t>
  </si>
  <si>
    <t>Enter the registry ID number in row 510 of the table for production class 2b.</t>
  </si>
  <si>
    <t>Enter the registry ID number in row 511 of the table for production class 2b.</t>
  </si>
  <si>
    <t>Enter the registry ID number in row 512 of the table for production class 2b.</t>
  </si>
  <si>
    <t>Enter the registry ID number in row 513 of the table for production class 2b.</t>
  </si>
  <si>
    <t>Enter the registry ID number in row 514 of the table for production class 2b.</t>
  </si>
  <si>
    <t>Enter the registry ID number in row 515 of the table for production class 2b.</t>
  </si>
  <si>
    <t>Enter the registry ID number in row 516 of the table for production class 2b.</t>
  </si>
  <si>
    <t>Enter the registry ID number in row 517 of the table for production class 2b.</t>
  </si>
  <si>
    <t>Enter the registry ID number in row 518 of the table for production class 2b.</t>
  </si>
  <si>
    <t>Enter the registry ID number in row 519 of the table for production class 2b.</t>
  </si>
  <si>
    <t>Enter the registry ID number in row 520 of the table for production class 2b.</t>
  </si>
  <si>
    <t>Enter the registry ID number in row 521 of the table for production class 2b.</t>
  </si>
  <si>
    <t>Enter the registry ID number in row 522 of the table for production class 2b.</t>
  </si>
  <si>
    <t>Enter the registry ID number in row 523 of the table for production class 2b.</t>
  </si>
  <si>
    <t>Enter the registry ID number in row 524 of the table for production class 2b.</t>
  </si>
  <si>
    <t>Enter the registry ID number in row 525 of the table for production class 2b.</t>
  </si>
  <si>
    <t>Enter the registry ID number in row 526 of the table for production class 2b.</t>
  </si>
  <si>
    <t>Enter the registry ID number in row 527 of the table for production class 2b.</t>
  </si>
  <si>
    <t>Enter the registry ID number in row 528 of the table for production class 2b.</t>
  </si>
  <si>
    <t>Enter the registry ID number in row 529 of the table for production class 2b.</t>
  </si>
  <si>
    <t>Enter the registry ID number in row 530 of the table for production class 2b.</t>
  </si>
  <si>
    <t>Enter the registry ID number in row 531 of the table for production class 2b.</t>
  </si>
  <si>
    <t>Enter the registry ID number in row 532 of the table for production class 2b.</t>
  </si>
  <si>
    <t>Enter the registry ID number in row 533 of the table for production class 2b.</t>
  </si>
  <si>
    <t>Enter the registry ID number in row 534 of the table for production class 2b.</t>
  </si>
  <si>
    <t>Enter the registry ID number in row 535 of the table for production class 2b.</t>
  </si>
  <si>
    <t>Enter the registry ID number in row 536 of the table for production class 2b.</t>
  </si>
  <si>
    <t>Enter the registry ID number in row 537 of the table for production class 2b.</t>
  </si>
  <si>
    <t>Enter the registry ID number in row 538 of the table for production class 2b.</t>
  </si>
  <si>
    <t>Enter the registry ID number in row 539 of the table for production class 2b.</t>
  </si>
  <si>
    <t>Enter the registry ID number in row 540 of the table for production class 2b.</t>
  </si>
  <si>
    <t>Enter the registry ID number in row 541 of the table for production class 2b.</t>
  </si>
  <si>
    <t>Enter the registry ID number in row 542 of the table for production class 2b.</t>
  </si>
  <si>
    <t>Enter the registry ID number in row 543 of the table for production class 2b.</t>
  </si>
  <si>
    <t>Enter the registry ID number in row 544 of the table for production class 2b.</t>
  </si>
  <si>
    <t>Enter the registry ID number in row 545 of the table for production class 2b.</t>
  </si>
  <si>
    <t>Enter the registry ID number in row 546 of the table for production class 2b.</t>
  </si>
  <si>
    <t>Enter the registry ID number in row 547 of the table for production class 2b.</t>
  </si>
  <si>
    <t>Enter the registry ID number in row 548 of the table for production class 2b.</t>
  </si>
  <si>
    <t>Enter the registry ID number in row 549 of the table for production class 2b.</t>
  </si>
  <si>
    <t>Enter the registry ID number in row 550 of the table for production class 2b.</t>
  </si>
  <si>
    <t>Enter the registry ID number in row 551 of the table for production class 2b.</t>
  </si>
  <si>
    <t>Enter the registry ID number in row 552 of the table for production class 2b.</t>
  </si>
  <si>
    <t>Enter the registry ID number in row 553 of the table for production class 2b.</t>
  </si>
  <si>
    <t>Enter the registry ID number in row 554 of the table for production class 2b.</t>
  </si>
  <si>
    <t>Enter the registry ID number in row 555 of the table for production class 2b.</t>
  </si>
  <si>
    <t>Enter the registry ID number in row 556 of the table for production class 2b.</t>
  </si>
  <si>
    <t>Enter the registry ID number in row 557 of the table for production class 2b.</t>
  </si>
  <si>
    <t>Enter the registry ID number in row 558 of the table for production class 2b.</t>
  </si>
  <si>
    <t>Enter the registry ID number in row 559 of the table for production class 2b.</t>
  </si>
  <si>
    <t>Enter the registry ID number in row 560 of the table for production class 2b.</t>
  </si>
  <si>
    <t>Enter the registry ID number in row 561 of the table for production class 2b.</t>
  </si>
  <si>
    <t>Enter the registry ID number in row 562 of the table for production class 2b.</t>
  </si>
  <si>
    <t>Enter the registry ID number in row 563 of the table for production class 2b.</t>
  </si>
  <si>
    <t>Enter the registry ID number in row 564 of the table for production class 2b.</t>
  </si>
  <si>
    <t>Enter the registry ID number in row 565 of the table for production class 2b.</t>
  </si>
  <si>
    <t>Enter the registry ID number in row 566 of the table for production class 2b.</t>
  </si>
  <si>
    <t>Enter the registry ID number in row 567 of the table for production class 2b.</t>
  </si>
  <si>
    <t>Enter the registry ID number in row 568 of the table for production class 2b.</t>
  </si>
  <si>
    <t>Enter the registry ID number in row 569 of the table for production class 2b.</t>
  </si>
  <si>
    <t>Enter the registry ID number in row 570 of the table for production class 2b.</t>
  </si>
  <si>
    <t>Enter the registry ID number in row 571 of the table for production class 2b.</t>
  </si>
  <si>
    <t>Enter the registry ID number in row 572 of the table for production class 2b.</t>
  </si>
  <si>
    <t>Enter the registry ID number in row 573 of the table for production class 2b.</t>
  </si>
  <si>
    <t>Enter the registry ID number in row 574 of the table for production class 2b.</t>
  </si>
  <si>
    <t>Enter the registry ID number in row 575 of the table for production class 2b.</t>
  </si>
  <si>
    <t>Enter the registry ID number in row 576 of the table for production class 2b.</t>
  </si>
  <si>
    <t>Enter the registry ID number in row 577 of the table for production class 2b.</t>
  </si>
  <si>
    <t>Enter the registry ID number in row 578 of the table for production class 2b.</t>
  </si>
  <si>
    <t>Enter the registry ID number in row 579 of the table for production class 2b.</t>
  </si>
  <si>
    <t>Enter the registry ID number in row 580 of the table for production class 2b.</t>
  </si>
  <si>
    <t>Enter the registry ID number in row 581 of the table for production class 2b.</t>
  </si>
  <si>
    <t>Enter the registry ID number in row 582 of the table for production class 2b.</t>
  </si>
  <si>
    <t>Enter the registry ID number in row 583 of the table for production class 2b.</t>
  </si>
  <si>
    <t>Enter the registry ID number in row 584 of the table for production class 2b.</t>
  </si>
  <si>
    <t>Enter the registry ID number in row 585 of the table for production class 2b.</t>
  </si>
  <si>
    <t>Enter the registry ID number in row 586 of the table for production class 2b.</t>
  </si>
  <si>
    <t>Enter the registry ID number in row 587 of the table for production class 2b.</t>
  </si>
  <si>
    <t>Enter the registry ID number in row 588 of the table for production class 2b.</t>
  </si>
  <si>
    <t>Enter the registry ID number in row 589 of the table for production class 2b.</t>
  </si>
  <si>
    <t>Enter the registry ID number in row 590 of the table for production class 2b.</t>
  </si>
  <si>
    <t>Enter the registry ID number in row 591 of the table for production class 2b.</t>
  </si>
  <si>
    <t>Enter the registry ID number in row 592 of the table for production class 2b.</t>
  </si>
  <si>
    <t>Enter the registry ID number in row 593 of the table for production class 2b.</t>
  </si>
  <si>
    <t>Enter the registry ID number in row 594 of the table for production class 2b.</t>
  </si>
  <si>
    <t>Enter the registry ID number in row 595 of the table for production class 2b.</t>
  </si>
  <si>
    <t>Enter the registry ID number in row 596 of the table for production class 2b.</t>
  </si>
  <si>
    <t>Enter the registry ID number in row 597 of the table for production class 2b.</t>
  </si>
  <si>
    <t>Enter the registry ID number in row 598 of the table for production class 2b.</t>
  </si>
  <si>
    <t>Enter the registry ID number in row 599 of the table for production class 2b.</t>
  </si>
  <si>
    <t>Enter the registry ID number in row 600 of the table for production class 2b.</t>
  </si>
  <si>
    <t>Enter the registry ID number in row 601 of the table for production class 2b.</t>
  </si>
  <si>
    <t>Enter the registry ID number in row 602 of the table for production class 2b.</t>
  </si>
  <si>
    <t>Enter the registry ID number in row 603 of the table for production class 2b.</t>
  </si>
  <si>
    <t>Enter the registry ID number in row 604 of the table for production class 2b.</t>
  </si>
  <si>
    <t>Enter the registry ID number in row 605 of the table for production class 2b.</t>
  </si>
  <si>
    <t>Enter the registry ID number in row 606 of the table for production class 2b.</t>
  </si>
  <si>
    <t>Enter the registry ID number in row 607 of the table for production class 2b.</t>
  </si>
  <si>
    <t>Enter the registry ID number in row 608 of the table for production class 2b.</t>
  </si>
  <si>
    <t>Enter the registry ID number in row 609 of the table for production class 2b.</t>
  </si>
  <si>
    <t>Enter the registry ID number in row 610 of the table for production class 2b.</t>
  </si>
  <si>
    <t>Enter the registry ID number in row 611 of the table for production class 2b.</t>
  </si>
  <si>
    <t>Enter the registry ID number in row 612 of the table for production class 2b.</t>
  </si>
  <si>
    <t>Enter the registry ID number in row 613 of the table for production class 2b.</t>
  </si>
  <si>
    <t>Enter the registry ID number in row 614 of the table for production class 2b.</t>
  </si>
  <si>
    <t>Enter the registry ID number in row 615 of the table for production class 2b.</t>
  </si>
  <si>
    <t>Enter the registry ID number in row 616 of the table for production class 2b.</t>
  </si>
  <si>
    <t>Enter the registry ID number in row 617 of the table for production class 2b.</t>
  </si>
  <si>
    <t>Enter the registry ID number in row 618 of the table for production class 2b.</t>
  </si>
  <si>
    <t>Enter the registry ID number in row 619 of the table for production class 2b.</t>
  </si>
  <si>
    <t>Enter the registry ID number in row 620 of the table for production class 2b.</t>
  </si>
  <si>
    <t>Enter the registry ID number in row 621 of the table for production class 2b.</t>
  </si>
  <si>
    <t>Enter the registry ID number in row 622 of the table for production class 2b.</t>
  </si>
  <si>
    <t>Enter the registry ID number in row 623 of the table for production class 2b.</t>
  </si>
  <si>
    <t>Enter the registry ID number in row 624 of the table for production class 2b.</t>
  </si>
  <si>
    <t>Enter the registry ID number in row 625 of the table for production class 2b.</t>
  </si>
  <si>
    <t>Enter the registry ID number in row 626 of the table for production class 2b.</t>
  </si>
  <si>
    <t>Enter the registry ID number in row 627 of the table for production class 2b.</t>
  </si>
  <si>
    <t>Enter the registry ID number in row 628 of the table for production class 2b.</t>
  </si>
  <si>
    <t>Enter the registry ID number in row 629 of the table for production class 2b.</t>
  </si>
  <si>
    <t>Enter the registry ID number in row 630 of the table for production class 2b.</t>
  </si>
  <si>
    <t>Enter the registry ID number in row 631 of the table for production class 2b.</t>
  </si>
  <si>
    <t>Enter the registry ID number in row 632 of the table for production class 2b.</t>
  </si>
  <si>
    <t>Enter the registry ID number in row 633 of the table for production class 2b.</t>
  </si>
  <si>
    <t>Enter the registry ID number in row 634 of the table for production class 2b.</t>
  </si>
  <si>
    <t>Enter the registry ID number in row 635 of the table for production class 2b.</t>
  </si>
  <si>
    <t>Enter the registry ID number in row 636 of the table for production class 2b.</t>
  </si>
  <si>
    <t>Enter the registry ID number in row 637 of the table for production class 2b.</t>
  </si>
  <si>
    <t>Enter the registry ID number in row 638 of the table for production class 2b.</t>
  </si>
  <si>
    <t>Enter the registry ID number in row 639 of the table for production class 2b.</t>
  </si>
  <si>
    <t>Enter the registry ID number in row 640 of the table for production class 2b.</t>
  </si>
  <si>
    <t>Enter the registry ID number in row 641 of the table for production class 2b.</t>
  </si>
  <si>
    <t>Enter the registry ID number in row 642 of the table for production class 2b.</t>
  </si>
  <si>
    <t>Enter the registry ID number in row 643 of the table for production class 2b.</t>
  </si>
  <si>
    <t>Enter the registry ID number in row 644 of the table for production class 2b.</t>
  </si>
  <si>
    <t>Enter the registry ID number in row 645 of the table for production class 2b.</t>
  </si>
  <si>
    <t>Enter the registry ID number in row 646 of the table for production class 2b.</t>
  </si>
  <si>
    <t>Enter the registry ID number in row 647 of the table for production class 2b.</t>
  </si>
  <si>
    <t>Enter the registry ID number in row 648 of the table for production class 2b.</t>
  </si>
  <si>
    <t>Enter the registry ID number in row 649 of the table for production class 2b.</t>
  </si>
  <si>
    <t>Enter the registry ID number in row 650 of the table for production class 2b.</t>
  </si>
  <si>
    <t>Enter the registry ID number in row 651 of the table for production class 2b.</t>
  </si>
  <si>
    <t>Enter the registry ID number in row 652 of the table for production class 2b.</t>
  </si>
  <si>
    <t>Enter the registry ID number in row 653 of the table for production class 2b.</t>
  </si>
  <si>
    <t>Enter the registry ID number in row 654 of the table for production class 2b.</t>
  </si>
  <si>
    <t>Enter the registry ID number in row 655 of the table for production class 2b.</t>
  </si>
  <si>
    <t>Enter the registry ID number in row 656 of the table for production class 2b.</t>
  </si>
  <si>
    <t>Enter the registry ID number in row 657 of the table for production class 2b.</t>
  </si>
  <si>
    <t>Enter the registry ID number in row 658 of the table for production class 2b.</t>
  </si>
  <si>
    <t>Enter the registry ID number in row 659 of the table for production class 2b.</t>
  </si>
  <si>
    <t>Enter the registry ID number in row 660 of the table for production class 2b.</t>
  </si>
  <si>
    <t>Enter the registry ID number in row 661 of the table for production class 2b.</t>
  </si>
  <si>
    <t>Enter the registry ID number in row 662 of the table for production class 2b.</t>
  </si>
  <si>
    <t>Enter the registry ID number in row 663 of the table for production class 2b.</t>
  </si>
  <si>
    <t>Enter the registry ID number in row 664 of the table for production class 2b.</t>
  </si>
  <si>
    <t>Enter the registry ID number in row 665 of the table for production class 2b.</t>
  </si>
  <si>
    <t>Enter the registry ID number in row 666 of the table for production class 2b.</t>
  </si>
  <si>
    <t>Enter the registry ID number in row 667 of the table for production class 2b.</t>
  </si>
  <si>
    <t>Enter the registry ID number in row 668 of the table for production class 2b.</t>
  </si>
  <si>
    <t>Enter the registry ID number in row 669 of the table for production class 2b.</t>
  </si>
  <si>
    <t>Enter the registry ID number in row 670 of the table for production class 2b.</t>
  </si>
  <si>
    <t>Enter the registry ID number in row 671 of the table for production class 2b.</t>
  </si>
  <si>
    <t>Enter the registry ID number in row 672 of the table for production class 2b.</t>
  </si>
  <si>
    <t>Enter the registry ID number in row 673 of the table for production class 2b.</t>
  </si>
  <si>
    <t>Enter the registry ID number in row 674 of the table for production class 2b.</t>
  </si>
  <si>
    <t>Enter the registry ID number in row 675 of the table for production class 2b.</t>
  </si>
  <si>
    <t>Enter the registry ID number in row 676 of the table for production class 2b.</t>
  </si>
  <si>
    <t>Enter the registry ID number in row 677 of the table for production class 2b.</t>
  </si>
  <si>
    <t>Enter the registry ID number in row 678 of the table for production class 2b.</t>
  </si>
  <si>
    <t>Enter the registry ID number in row 679 of the table for production class 2b.</t>
  </si>
  <si>
    <t>Enter the registry ID number in row 680 of the table for production class 2b.</t>
  </si>
  <si>
    <t>Enter the registry ID number in row 681 of the table for production class 2b.</t>
  </si>
  <si>
    <t>Enter the registry ID number in row 682 of the table for production class 2b.</t>
  </si>
  <si>
    <t>Enter the registry ID number in row 683 of the table for production class 2b.</t>
  </si>
  <si>
    <t>Enter the registry ID number in row 684 of the table for production class 2b.</t>
  </si>
  <si>
    <t>Enter the registry ID number in row 685 of the table for production class 2b.</t>
  </si>
  <si>
    <t>Enter the registry ID number in row 686 of the table for production class 2b.</t>
  </si>
  <si>
    <t>Enter the registry ID number in row 687 of the table for production class 2b.</t>
  </si>
  <si>
    <t>Enter the registry ID number in row 688 of the table for production class 2b.</t>
  </si>
  <si>
    <t>Enter the registry ID number in row 689 of the table for production class 2b.</t>
  </si>
  <si>
    <t>Enter the registry ID number in row 690 of the table for production class 2b.</t>
  </si>
  <si>
    <t>Enter the registry ID number in row 691 of the table for production class 2b.</t>
  </si>
  <si>
    <t>Enter the registry ID number in row 692 of the table for production class 2b.</t>
  </si>
  <si>
    <t>Enter the registry ID number in row 693 of the table for production class 2b.</t>
  </si>
  <si>
    <t>Enter the registry ID number in row 694 of the table for production class 2b.</t>
  </si>
  <si>
    <t>Enter the registry ID number in row 695 of the table for production class 2b.</t>
  </si>
  <si>
    <t>Enter the registry ID number in row 696 of the table for production class 2b.</t>
  </si>
  <si>
    <t>Enter the registry ID number in row 697 of the table for production class 2b.</t>
  </si>
  <si>
    <t>Enter the registry ID number in row 698 of the table for production class 2b.</t>
  </si>
  <si>
    <t>Enter the registry ID number in row 699 of the table for production class 2b.</t>
  </si>
  <si>
    <t>Enter the registry ID number in row 700 of the table for production class 2b.</t>
  </si>
  <si>
    <t>Enter the registry ID number in row 701 of the table for production class 2b.</t>
  </si>
  <si>
    <t>Enter the registry ID number in row 702 of the table for production class 2b.</t>
  </si>
  <si>
    <t>Enter the registry ID number in row 703 of the table for production class 2b.</t>
  </si>
  <si>
    <t>Enter the registry ID number in row 704 of the table for production class 2b.</t>
  </si>
  <si>
    <t>Enter the registry ID number in row 705 of the table for production class 2b.</t>
  </si>
  <si>
    <t>Enter the registry ID number in row 706 of the table for production class 2b.</t>
  </si>
  <si>
    <t>Enter the registry ID number in row 707 of the table for production class 2b.</t>
  </si>
  <si>
    <t>Enter the registry ID number in row 708 of the table for production class 2b.</t>
  </si>
  <si>
    <t>Enter the registry ID number in row 709 of the table for production class 2b.</t>
  </si>
  <si>
    <t>Enter the registry ID number in row 710 of the table for production class 2b.</t>
  </si>
  <si>
    <t>Enter the registry ID number in row 711 of the table for production class 2b.</t>
  </si>
  <si>
    <t>Enter the registry ID number in row 712 of the table for production class 2b.</t>
  </si>
  <si>
    <t>Enter the registry ID number in row 713 of the table for production class 2b.</t>
  </si>
  <si>
    <t>Enter the registry ID number in row 714 of the table for production class 2b.</t>
  </si>
  <si>
    <t>Enter the registry ID number in row 715 of the table for production class 2b.</t>
  </si>
  <si>
    <t>Enter the registry ID number in row 716 of the table for production class 2b.</t>
  </si>
  <si>
    <t>Enter the registry ID number in row 717 of the table for production class 2b.</t>
  </si>
  <si>
    <t>Enter the registry ID number in row 718 of the table for production class 2b.</t>
  </si>
  <si>
    <t>Enter the registry ID number in row 719 of the table for production class 2b.</t>
  </si>
  <si>
    <t>Enter the registry ID number in row 720 of the table for production class 2b.</t>
  </si>
  <si>
    <t>Enter the registry ID number in row 721 of the table for production class 2b.</t>
  </si>
  <si>
    <t>Enter the registry ID number in row 722 of the table for production class 2b.</t>
  </si>
  <si>
    <t>Enter the registry ID number in row 723 of the table for production class 2b.</t>
  </si>
  <si>
    <t>Enter the registry ID number in row 724 of the table for production class 2b.</t>
  </si>
  <si>
    <t>Enter the registry ID number in row 725 of the table for production class 2b.</t>
  </si>
  <si>
    <t>Enter the registry ID number in row 726 of the table for production class 2b.</t>
  </si>
  <si>
    <t>Enter the registry ID number in row 727 of the table for production class 2b.</t>
  </si>
  <si>
    <t>Enter the registry ID number in row 728 of the table for production class 2b.</t>
  </si>
  <si>
    <t>Enter the registry ID number in row 729 of the table for production class 2b.</t>
  </si>
  <si>
    <t>Enter the registry ID number in row 730 of the table for production class 2b.</t>
  </si>
  <si>
    <t>Enter the registry ID number in row 731 of the table for production class 2b.</t>
  </si>
  <si>
    <t>Enter the registry ID number in row 732 of the table for production class 2b.</t>
  </si>
  <si>
    <t>Enter the registry ID number in row 733 of the table for production class 2b.</t>
  </si>
  <si>
    <t>Enter the registry ID number in row 734 of the table for production class 2b.</t>
  </si>
  <si>
    <t>Enter the registry ID number in row 735 of the table for production class 2b.</t>
  </si>
  <si>
    <t>Enter the registry ID number in row 736 of the table for production class 2b.</t>
  </si>
  <si>
    <t>Enter the registry ID number in row 737 of the table for production class 2b.</t>
  </si>
  <si>
    <t>Enter the registry ID number in row 738 of the table for production class 2b.</t>
  </si>
  <si>
    <t>Enter the registry ID number in row 739 of the table for production class 2b.</t>
  </si>
  <si>
    <t>Enter the registry ID number in row 740 of the table for production class 2b.</t>
  </si>
  <si>
    <t>Enter the registry ID number in row 741 of the table for production class 2b.</t>
  </si>
  <si>
    <t>Enter the registry ID number in row 742 of the table for production class 2b.</t>
  </si>
  <si>
    <t>Enter the registry ID number in row 743 of the table for production class 2b.</t>
  </si>
  <si>
    <t>Enter the registry ID number in row 744 of the table for production class 2b.</t>
  </si>
  <si>
    <t>Enter the registry ID number in row 745 of the table for production class 2b.</t>
  </si>
  <si>
    <t>Enter the registry ID number in row 746 of the table for production class 2b.</t>
  </si>
  <si>
    <t>Enter the registry ID number in row 747 of the table for production class 2b.</t>
  </si>
  <si>
    <t>Enter the registry ID number in row 748 of the table for production class 2b.</t>
  </si>
  <si>
    <t>Enter the registry ID number in row 749 of the table for production class 2b.</t>
  </si>
  <si>
    <t>Enter the registry ID number in row 750 of the table for production class 2b.</t>
  </si>
  <si>
    <t>Enter the registry ID number in row 751 of the table for production class 2b.</t>
  </si>
  <si>
    <t>Enter the registry ID number in row 752 of the table for production class 2b.</t>
  </si>
  <si>
    <t>Enter the registry ID number in row 753 of the table for production class 2b.</t>
  </si>
  <si>
    <t>Enter the registry ID number in row 754 of the table for production class 2b.</t>
  </si>
  <si>
    <t>Enter the registry ID number in row 755 of the table for production class 2b.</t>
  </si>
  <si>
    <t>Enter the registry ID number in row 756 of the table for production class 2b.</t>
  </si>
  <si>
    <t>Enter the registry ID number in row 757 of the table for production class 2b.</t>
  </si>
  <si>
    <t>Enter the registry ID number in row 758 of the table for production class 2b.</t>
  </si>
  <si>
    <t>Enter the registry ID number in row 759 of the table for production class 2b.</t>
  </si>
  <si>
    <t>Enter the registry ID number in row 760 of the table for production class 2b.</t>
  </si>
  <si>
    <t>Enter the registry ID number in row 761 of the table for production class 2b.</t>
  </si>
  <si>
    <t>Enter the registry ID number in row 762 of the table for production class 2b.</t>
  </si>
  <si>
    <t>Enter the registry ID number in row 763 of the table for production class 2b.</t>
  </si>
  <si>
    <t>Enter the registry ID number in row 764 of the table for production class 2b.</t>
  </si>
  <si>
    <t>Enter the registry ID number in row 765 of the table for production class 2b.</t>
  </si>
  <si>
    <t>Enter the registry ID number in row 766 of the table for production class 2b.</t>
  </si>
  <si>
    <t>Enter the registry ID number in row 767 of the table for production class 2b.</t>
  </si>
  <si>
    <t>Enter the registry ID number in row 768 of the table for production class 2b.</t>
  </si>
  <si>
    <t>Enter the registry ID number in row 769 of the table for production class 2b.</t>
  </si>
  <si>
    <t>Enter the registry ID number in row 770 of the table for production class 2b.</t>
  </si>
  <si>
    <t>Enter the registry ID number in row 771 of the table for production class 2b.</t>
  </si>
  <si>
    <t>Enter the registry ID number in row 772 of the table for production class 2b.</t>
  </si>
  <si>
    <t>Enter the registry ID number in row 773 of the table for production class 2b.</t>
  </si>
  <si>
    <t>Enter the registry ID number in row 774 of the table for production class 2b.</t>
  </si>
  <si>
    <t>Enter the registry ID number in row 775 of the table for production class 2b.</t>
  </si>
  <si>
    <t>Enter the registry ID number in row 776 of the table for production class 2b.</t>
  </si>
  <si>
    <t>Enter the registry ID number in row 777 of the table for production class 2b.</t>
  </si>
  <si>
    <t>Enter the registry ID number in row 778 of the table for production class 2b.</t>
  </si>
  <si>
    <t>Enter the registry ID number in row 779 of the table for production class 2b.</t>
  </si>
  <si>
    <t>Enter the registry ID number in row 780 of the table for production class 2b.</t>
  </si>
  <si>
    <t>Enter the registry ID number in row 781 of the table for production class 2b.</t>
  </si>
  <si>
    <t>Enter the registry ID number in row 782 of the table for production class 2b.</t>
  </si>
  <si>
    <t>Enter the registry ID number in row 783 of the table for production class 2b.</t>
  </si>
  <si>
    <t>Enter the registry ID number in row 784 of the table for production class 2b.</t>
  </si>
  <si>
    <t>Enter the registry ID number in row 785 of the table for production class 2b.</t>
  </si>
  <si>
    <t>Enter the registry ID number in row 786 of the table for production class 2b.</t>
  </si>
  <si>
    <t>Enter the registry ID number in row 787 of the table for production class 2b.</t>
  </si>
  <si>
    <t>Enter the registry ID number in row 788 of the table for production class 2b.</t>
  </si>
  <si>
    <t>Enter the registry ID number in row 789 of the table for production class 2b.</t>
  </si>
  <si>
    <t>Enter the registry ID number in row 790 of the table for production class 2b.</t>
  </si>
  <si>
    <t>Enter the registry ID number in row 791 of the table for production class 2b.</t>
  </si>
  <si>
    <t>Enter the registry ID number in row 792 of the table for production class 2b.</t>
  </si>
  <si>
    <t>Enter the registry ID number in row 793 of the table for production class 2b.</t>
  </si>
  <si>
    <t>Enter the registry ID number in row 794 of the table for production class 2b.</t>
  </si>
  <si>
    <t>Enter the registry ID number in row 795 of the table for production class 2b.</t>
  </si>
  <si>
    <t>Enter the registry ID number in row 796 of the table for production class 2b.</t>
  </si>
  <si>
    <t>Enter the registry ID number in row 797 of the table for production class 2b.</t>
  </si>
  <si>
    <t>Enter the registry ID number in row 798 of the table for production class 2b.</t>
  </si>
  <si>
    <t>Enter the registry ID number in row 799 of the table for production class 2b.</t>
  </si>
  <si>
    <t>Enter the registry ID number in row 800 of the table for production class 2b.</t>
  </si>
  <si>
    <t>Enter the registry ID number in row 801 of the table for production class 2b.</t>
  </si>
  <si>
    <t>Enter the registry ID number in row 802 of the table for production class 2b.</t>
  </si>
  <si>
    <t>Enter the registry ID number in row 803 of the table for production class 2b.</t>
  </si>
  <si>
    <t>Enter the registry ID number in row 804 of the table for production class 2b.</t>
  </si>
  <si>
    <t>Enter the registry ID number in row 805 of the table for production class 2b.</t>
  </si>
  <si>
    <t>Enter the registry ID number in row 806 of the table for production class 2b.</t>
  </si>
  <si>
    <t>Enter the registry ID number in row 807 of the table for production class 2b.</t>
  </si>
  <si>
    <t>Enter the registry ID number in row 808 of the table for production class 2b.</t>
  </si>
  <si>
    <t>Enter the registry ID number in row 809 of the table for production class 2b.</t>
  </si>
  <si>
    <t>Enter the registry ID number in row 810 of the table for production class 2b.</t>
  </si>
  <si>
    <t>Enter the registry ID number in row 811 of the table for production class 2b.</t>
  </si>
  <si>
    <t>Enter the registry ID number in row 812 of the table for production class 2b.</t>
  </si>
  <si>
    <t>Enter the registry ID number in row 813 of the table for production class 2b.</t>
  </si>
  <si>
    <t>Enter the registry ID number in row 814 of the table for production class 2b.</t>
  </si>
  <si>
    <t>Enter the registry ID number in row 815 of the table for production class 2b.</t>
  </si>
  <si>
    <t>Enter the registry ID number in row 816 of the table for production class 2b.</t>
  </si>
  <si>
    <t>Enter the registry ID number in row 817 of the table for production class 2b.</t>
  </si>
  <si>
    <t>Enter the registry ID number in row 818 of the table for production class 2b.</t>
  </si>
  <si>
    <t>Enter the registry ID number in row 819 of the table for production class 2b.</t>
  </si>
  <si>
    <t>Enter the registry ID number in row 820 of the table for production class 2b.</t>
  </si>
  <si>
    <t>Enter the registry ID number in row 821 of the table for production class 2b.</t>
  </si>
  <si>
    <t>Enter the registry ID number in row 822 of the table for production class 2b.</t>
  </si>
  <si>
    <t>Enter the registry ID number in row 823 of the table for production class 2b.</t>
  </si>
  <si>
    <t>Enter the registry ID number in row 824 of the table for production class 2b.</t>
  </si>
  <si>
    <t>Enter the registry ID number in row 825 of the table for production class 2b.</t>
  </si>
  <si>
    <t>Enter the registry ID number in row 826 of the table for production class 2b.</t>
  </si>
  <si>
    <t>Enter the registry ID number in row 827 of the table for production class 2b.</t>
  </si>
  <si>
    <t>Enter the registry ID number in row 828 of the table for production class 2b.</t>
  </si>
  <si>
    <t>Enter the registry ID number in row 829 of the table for production class 2b.</t>
  </si>
  <si>
    <t>Enter the registry ID number in row 830 of the table for production class 2b.</t>
  </si>
  <si>
    <t>Enter the registry ID number in row 831 of the table for production class 2b.</t>
  </si>
  <si>
    <t>Enter the registry ID number in row 832 of the table for production class 2b.</t>
  </si>
  <si>
    <t>Enter the registry ID number in row 833 of the table for production class 2b.</t>
  </si>
  <si>
    <t>Enter the registry ID number in row 834 of the table for production class 2b.</t>
  </si>
  <si>
    <t>Enter the registry ID number in row 835 of the table for production class 2b.</t>
  </si>
  <si>
    <t>Enter the registry ID number in row 836 of the table for production class 2b.</t>
  </si>
  <si>
    <t>Enter the registry ID number in row 837 of the table for production class 2b.</t>
  </si>
  <si>
    <t>Enter the registry ID number in row 838 of the table for production class 2b.</t>
  </si>
  <si>
    <t>Enter the registry ID number in row 839 of the table for production class 2b.</t>
  </si>
  <si>
    <t>Enter the registry ID number in row 840 of the table for production class 2b.</t>
  </si>
  <si>
    <t>Enter the registry ID number in row 841 of the table for production class 2b.</t>
  </si>
  <si>
    <t>Enter the registry ID number in row 842 of the table for production class 2b.</t>
  </si>
  <si>
    <t>Enter the registry ID number in row 843 of the table for production class 2b.</t>
  </si>
  <si>
    <t>Enter the registry ID number in row 844 of the table for production class 2b.</t>
  </si>
  <si>
    <t>Enter the registry ID number in row 845 of the table for production class 2b.</t>
  </si>
  <si>
    <t>Enter the registry ID number in row 846 of the table for production class 2b.</t>
  </si>
  <si>
    <t>Enter the registry ID number in row 847 of the table for production class 2b.</t>
  </si>
  <si>
    <t>Enter the registry ID number in row 848 of the table for production class 2b.</t>
  </si>
  <si>
    <t>Enter the registry ID number in row 849 of the table for production class 2b.</t>
  </si>
  <si>
    <t>Enter the registry ID number in row 850 of the table for production class 2b.</t>
  </si>
  <si>
    <t>Enter the registry ID number in row 851 of the table for production class 2b.</t>
  </si>
  <si>
    <t>Enter the registry ID number in row 852 of the table for production class 2b.</t>
  </si>
  <si>
    <t>Enter the registry ID number in row 853 of the table for production class 2b.</t>
  </si>
  <si>
    <t>Enter the registry ID number in row 854 of the table for production class 2b.</t>
  </si>
  <si>
    <t>Enter the registry ID number in row 855 of the table for production class 2b.</t>
  </si>
  <si>
    <t>Enter the registry ID number in row 856 of the table for production class 2b.</t>
  </si>
  <si>
    <t>Enter the registry ID number in row 857 of the table for production class 2b.</t>
  </si>
  <si>
    <t>Enter the registry ID number in row 858 of the table for production class 2b.</t>
  </si>
  <si>
    <t>Enter the registry ID number in row 859 of the table for production class 2b.</t>
  </si>
  <si>
    <t>Enter the registry ID number in row 860 of the table for production class 2b.</t>
  </si>
  <si>
    <t>Enter the registry ID number in row 861 of the table for production class 2b.</t>
  </si>
  <si>
    <t>Enter the registry ID number in row 862 of the table for production class 2b.</t>
  </si>
  <si>
    <t>Enter the registry ID number in row 863 of the table for production class 2b.</t>
  </si>
  <si>
    <t>Enter the registry ID number in row 864 of the table for production class 2b.</t>
  </si>
  <si>
    <t>Enter the registry ID number in row 865 of the table for production class 2b.</t>
  </si>
  <si>
    <t>Enter the registry ID number in row 866 of the table for production class 2b.</t>
  </si>
  <si>
    <t>Enter the registry ID number in row 867 of the table for production class 2b.</t>
  </si>
  <si>
    <t>Enter the registry ID number in row 868 of the table for production class 2b.</t>
  </si>
  <si>
    <t>Enter the registry ID number in row 869 of the table for production class 2b.</t>
  </si>
  <si>
    <t>Enter the registry ID number in row 870 of the table for production class 2b.</t>
  </si>
  <si>
    <t>Enter the registry ID number in row 871 of the table for production class 2b.</t>
  </si>
  <si>
    <t>Enter the registry ID number in row 872 of the table for production class 2b.</t>
  </si>
  <si>
    <t>Enter the registry ID number in row 873 of the table for production class 2b.</t>
  </si>
  <si>
    <t>Enter the registry ID number in row 874 of the table for production class 2b.</t>
  </si>
  <si>
    <t>Enter the registry ID number in row 875 of the table for production class 2b.</t>
  </si>
  <si>
    <t>Enter the registry ID number in row 876 of the table for production class 2b.</t>
  </si>
  <si>
    <t>Enter the registry ID number in row 877 of the table for production class 2b.</t>
  </si>
  <si>
    <t>Enter the registry ID number in row 878 of the table for production class 2b.</t>
  </si>
  <si>
    <t>Enter the registry ID number in row 879 of the table for production class 2b.</t>
  </si>
  <si>
    <t>Enter the registry ID number in row 880 of the table for production class 2b.</t>
  </si>
  <si>
    <t>Enter the registry ID number in row 881 of the table for production class 2b.</t>
  </si>
  <si>
    <t>Enter the registry ID number in row 882 of the table for production class 2b.</t>
  </si>
  <si>
    <t>Enter the registry ID number in row 883 of the table for production class 2b.</t>
  </si>
  <si>
    <t>Enter the registry ID number in row 884 of the table for production class 2b.</t>
  </si>
  <si>
    <t>Enter the registry ID number in row 885 of the table for production class 2b.</t>
  </si>
  <si>
    <t>Enter the registry ID number in row 886 of the table for production class 2b.</t>
  </si>
  <si>
    <t>Enter the registry ID number in row 887 of the table for production class 2b.</t>
  </si>
  <si>
    <t>Enter the registry ID number in row 888 of the table for production class 2b.</t>
  </si>
  <si>
    <t>Enter the registry ID number in row 889 of the table for production class 2b.</t>
  </si>
  <si>
    <t>Enter the registry ID number in row 890 of the table for production class 2b.</t>
  </si>
  <si>
    <t>Enter the registry ID number in row 891 of the table for production class 2b.</t>
  </si>
  <si>
    <t>Enter the registry ID number in row 892 of the table for production class 2b.</t>
  </si>
  <si>
    <t>Enter the registry ID number in row 893 of the table for production class 2b.</t>
  </si>
  <si>
    <t>Enter the registry ID number in row 894 of the table for production class 2b.</t>
  </si>
  <si>
    <t>Enter the registry ID number in row 895 of the table for production class 2b.</t>
  </si>
  <si>
    <t>Enter the registry ID number in row 896 of the table for production class 2b.</t>
  </si>
  <si>
    <t>Enter the registry ID number in row 897 of the table for production class 2b.</t>
  </si>
  <si>
    <t>Enter the registry ID number in row 898 of the table for production class 2b.</t>
  </si>
  <si>
    <t>Enter the registry ID number in row 899 of the table for production class 2b.</t>
  </si>
  <si>
    <t>Enter the registry ID number in row 900 of the table for production class 2b.</t>
  </si>
  <si>
    <t>Enter the registry ID number in row 901 of the table for production class 2b.</t>
  </si>
  <si>
    <t>Enter the registry ID number in row 902 of the table for production class 2b.</t>
  </si>
  <si>
    <t>Enter the registry ID number in row 903 of the table for production class 2b.</t>
  </si>
  <si>
    <t>Enter the registry ID number in row 904 of the table for production class 2b.</t>
  </si>
  <si>
    <t>Enter the registry ID number in row 905 of the table for production class 2b.</t>
  </si>
  <si>
    <t>Enter the registry ID number in row 906 of the table for production class 2b.</t>
  </si>
  <si>
    <t>Enter the registry ID number in row 907 of the table for production class 2b.</t>
  </si>
  <si>
    <t>Enter the registry ID number in row 908 of the table for production class 2b.</t>
  </si>
  <si>
    <t>Enter the registry ID number in row 909 of the table for production class 2b.</t>
  </si>
  <si>
    <t>Enter the registry ID number in row 910 of the table for production class 2b.</t>
  </si>
  <si>
    <t>Enter the registry ID number in row 911 of the table for production class 2b.</t>
  </si>
  <si>
    <t>Enter the registry ID number in row 912 of the table for production class 2b.</t>
  </si>
  <si>
    <t>Enter the registry ID number in row 913 of the table for production class 2b.</t>
  </si>
  <si>
    <t>Enter the registry ID number in row 914 of the table for production class 2b.</t>
  </si>
  <si>
    <t>Enter the registry ID number in row 915 of the table for production class 2b.</t>
  </si>
  <si>
    <t>Enter the registry ID number in row 916 of the table for production class 2b.</t>
  </si>
  <si>
    <t>Enter the registry ID number in row 917 of the table for production class 2b.</t>
  </si>
  <si>
    <t>Enter the registry ID number in row 918 of the table for production class 2b.</t>
  </si>
  <si>
    <t>Enter the registry ID number in row 919 of the table for production class 2b.</t>
  </si>
  <si>
    <t>Enter the registry ID number in row 920 of the table for production class 2b.</t>
  </si>
  <si>
    <t>Enter the registry ID number in row 921 of the table for production class 2b.</t>
  </si>
  <si>
    <t>Enter the registry ID number in row 922 of the table for production class 2b.</t>
  </si>
  <si>
    <t>Enter the registry ID number in row 923 of the table for production class 2b.</t>
  </si>
  <si>
    <t>Enter the registry ID number in row 924 of the table for production class 2b.</t>
  </si>
  <si>
    <t>Enter the registry ID number in row 925 of the table for production class 2b.</t>
  </si>
  <si>
    <t>Enter the registry ID number in row 926 of the table for production class 2b.</t>
  </si>
  <si>
    <t>Enter the registry ID number in row 927 of the table for production class 2b.</t>
  </si>
  <si>
    <t>Enter the registry ID number in row 928 of the table for production class 2b.</t>
  </si>
  <si>
    <t>Enter the registry ID number in row 929 of the table for production class 2b.</t>
  </si>
  <si>
    <t>Enter the registry ID number in row 930 of the table for production class 2b.</t>
  </si>
  <si>
    <t>Enter the registry ID number in row 931 of the table for production class 2b.</t>
  </si>
  <si>
    <t>Enter the registry ID number in row 932 of the table for production class 2b.</t>
  </si>
  <si>
    <t>Enter the registry ID number in row 933 of the table for production class 2b.</t>
  </si>
  <si>
    <t>Enter the registry ID number in row 934 of the table for production class 2b.</t>
  </si>
  <si>
    <t>Enter the registry ID number in row 935 of the table for production class 2b.</t>
  </si>
  <si>
    <t>Enter the registry ID number in row 936 of the table for production class 2b.</t>
  </si>
  <si>
    <t>Enter the registry ID number in row 937 of the table for production class 2b.</t>
  </si>
  <si>
    <t>Enter the registry ID number in row 938 of the table for production class 2b.</t>
  </si>
  <si>
    <t>Enter the registry ID number in row 939 of the table for production class 2b.</t>
  </si>
  <si>
    <t>Enter the registry ID number in row 940 of the table for production class 2b.</t>
  </si>
  <si>
    <t>Enter the registry ID number in row 941 of the table for production class 2b.</t>
  </si>
  <si>
    <t>Enter the registry ID number in row 942 of the table for production class 2b.</t>
  </si>
  <si>
    <t>Enter the registry ID number in row 943 of the table for production class 2b.</t>
  </si>
  <si>
    <t>Enter the registry ID number in row 944 of the table for production class 2b.</t>
  </si>
  <si>
    <t>Enter the registry ID number in row 945 of the table for production class 2b.</t>
  </si>
  <si>
    <t>Enter the registry ID number in row 946 of the table for production class 2b.</t>
  </si>
  <si>
    <t>Enter the registry ID number in row 947 of the table for production class 2b.</t>
  </si>
  <si>
    <t>Enter the registry ID number in row 948 of the table for production class 2b.</t>
  </si>
  <si>
    <t>Enter the registry ID number in row 949 of the table for production class 2b.</t>
  </si>
  <si>
    <t>Enter the registry ID number in row 950 of the table for production class 2b.</t>
  </si>
  <si>
    <t>Enter the registry ID number in row 951 of the table for production class 2b.</t>
  </si>
  <si>
    <t>Enter the registry ID number in row 952 of the table for production class 2b.</t>
  </si>
  <si>
    <t>Enter the registry ID number in row 953 of the table for production class 2b.</t>
  </si>
  <si>
    <t>Enter the registry ID number in row 954 of the table for production class 2b.</t>
  </si>
  <si>
    <t>Enter the registry ID number in row 955 of the table for production class 2b.</t>
  </si>
  <si>
    <t>Enter the registry ID number in row 956 of the table for production class 2b.</t>
  </si>
  <si>
    <t>Enter the registry ID number in row 957 of the table for production class 2b.</t>
  </si>
  <si>
    <t>Enter the registry ID number in row 958 of the table for production class 2b.</t>
  </si>
  <si>
    <t>Enter the registry ID number in row 959 of the table for production class 2b.</t>
  </si>
  <si>
    <t>Enter the registry ID number in row 960 of the table for production class 2b.</t>
  </si>
  <si>
    <t>Enter the registry ID number in row 961 of the table for production class 2b.</t>
  </si>
  <si>
    <t>Enter the registry ID number in row 962 of the table for production class 2b.</t>
  </si>
  <si>
    <t>Enter the registry ID number in row 963 of the table for production class 2b.</t>
  </si>
  <si>
    <t>Enter the registry ID number in row 964 of the table for production class 2b.</t>
  </si>
  <si>
    <t>Enter the registry ID number in row 965 of the table for production class 2b.</t>
  </si>
  <si>
    <t>Enter the registry ID number in row 966 of the table for production class 2b.</t>
  </si>
  <si>
    <t>Enter the registry ID number in row 967 of the table for production class 2b.</t>
  </si>
  <si>
    <t>Enter the registry ID number in row 968 of the table for production class 2b.</t>
  </si>
  <si>
    <t>Enter the registry ID number in row 969 of the table for production class 2b.</t>
  </si>
  <si>
    <t>Enter the registry ID number in row 970 of the table for production class 2b.</t>
  </si>
  <si>
    <t>Enter the registry ID number in row 971 of the table for production class 2b.</t>
  </si>
  <si>
    <t>Enter the registry ID number in row 972 of the table for production class 2b.</t>
  </si>
  <si>
    <t>Enter the registry ID number in row 973 of the table for production class 2b.</t>
  </si>
  <si>
    <t>Enter the registry ID number in row 974 of the table for production class 2b.</t>
  </si>
  <si>
    <t>Enter the registry ID number in row 975 of the table for production class 2b.</t>
  </si>
  <si>
    <t>Enter the registry ID number in row 976 of the table for production class 2b.</t>
  </si>
  <si>
    <t>Enter the registry ID number in row 977 of the table for production class 2b.</t>
  </si>
  <si>
    <t>Enter the registry ID number in row 978 of the table for production class 2b.</t>
  </si>
  <si>
    <t>Enter the registry ID number in row 979 of the table for production class 2b.</t>
  </si>
  <si>
    <t>Enter the registry ID number in row 980 of the table for production class 2b.</t>
  </si>
  <si>
    <t>Enter the registry ID number in row 981 of the table for production class 2b.</t>
  </si>
  <si>
    <t>Enter the registry ID number in row 982 of the table for production class 2b.</t>
  </si>
  <si>
    <t>Enter the registry ID number in row 983 of the table for production class 2b.</t>
  </si>
  <si>
    <t>Enter the registry ID number in row 984 of the table for production class 2b.</t>
  </si>
  <si>
    <t>Enter the registry ID number in row 985 of the table for production class 2b.</t>
  </si>
  <si>
    <t>Enter the registry ID number in row 986 of the table for production class 2b.</t>
  </si>
  <si>
    <t>Enter the registry ID number in row 987 of the table for production class 2b.</t>
  </si>
  <si>
    <t>Enter the registry ID number in row 988 of the table for production class 2b.</t>
  </si>
  <si>
    <t>Enter the registry ID number in row 989 of the table for production class 2b.</t>
  </si>
  <si>
    <t>Enter the registry ID number in row 990 of the table for production class 2b.</t>
  </si>
  <si>
    <t>Enter the registry ID number in row 991 of the table for production class 2b.</t>
  </si>
  <si>
    <t>Enter the registry ID number in row 992 of the table for production class 2b.</t>
  </si>
  <si>
    <t>Enter the registry ID number in row 993 of the table for production class 2b.</t>
  </si>
  <si>
    <t>Enter the registry ID number in row 994 of the table for production class 2b.</t>
  </si>
  <si>
    <t>Enter the registry ID number in row 995 of the table for production class 2b.</t>
  </si>
  <si>
    <t>Enter the registry ID number in row 996 of the table for production class 2b.</t>
  </si>
  <si>
    <t>Enter the registry ID number in row 997 of the table for production class 2b.</t>
  </si>
  <si>
    <t>Enter the registry ID number in row 998 of the table for production class 2b.</t>
  </si>
  <si>
    <t>Enter the registry ID number in row 999 of the table for production class 2b.</t>
  </si>
  <si>
    <t>Enter the registry ID number in row 1000 of the table for production class 2b.</t>
  </si>
  <si>
    <t>Enter the registry ID number in row 1001 of the table for production class 2b.</t>
  </si>
  <si>
    <t>Enter the registry ID number in row 1002 of the table for production class 2b.</t>
  </si>
  <si>
    <t>Enter the registry ID number in row 1003 of the table for production class 2b.</t>
  </si>
  <si>
    <t>Enter the registry ID number in row 1004 of the table for production class 2b.</t>
  </si>
  <si>
    <t>Enter the registry ID number in row 1005 of the table for production class 2b.</t>
  </si>
  <si>
    <t>Enter the registry ID number in row 1006 of the table for production class 2b.</t>
  </si>
  <si>
    <t>Enter the registry ID number in row 1007 of the table for production class 2b.</t>
  </si>
  <si>
    <t>Enter the registry ID number in row 1008 of the table for production class 2b.</t>
  </si>
  <si>
    <t>Enter the registry ID number in row 1009 of the table for production class 2b.</t>
  </si>
  <si>
    <t>Enter the registry ID number in row 1010 of the table for production class 2b.</t>
  </si>
  <si>
    <t>Enter the registry ID number in row 1011 of the table for production class 2b.</t>
  </si>
  <si>
    <t>Enter the registry ID number in row 1012 of the table for production class 2b.</t>
  </si>
  <si>
    <t>Enter the registry ID number in row 1013 of the table for production class 2b.</t>
  </si>
  <si>
    <t>Enter the registry ID number in row 1014 of the table for production class 2b.</t>
  </si>
  <si>
    <t>Enter the registry ID number in row 1015 of the table for production class 2b.</t>
  </si>
  <si>
    <t>Enter the registry ID number in row 1016 of the table for production class 2b.</t>
  </si>
  <si>
    <t>Enter the registry ID number in row 1017 of the table for production class 2b.</t>
  </si>
  <si>
    <t>Enter the registry ID number in row 1018 of the table for production class 2b.</t>
  </si>
  <si>
    <t>Enter the registry ID number in row 1019 of the table for production class 2b.</t>
  </si>
  <si>
    <t>Enter the registry ID number in row 1020 of the table for production class 2b.</t>
  </si>
  <si>
    <t>Enter the registry ID number in row 1021 of the table for production class 2b.</t>
  </si>
  <si>
    <t>Enter the registry ID number in row 1022 of the table for production class 2b.</t>
  </si>
  <si>
    <t>Enter the registry ID number in row 1023 of the table for production class 2b.</t>
  </si>
  <si>
    <t>Enter the registry ID number in row 1024 of the table for production class 2b.</t>
  </si>
  <si>
    <t>Enter the registry ID number in row 1025 of the table for production class 2b.</t>
  </si>
  <si>
    <t>Enter the registry ID number in row 1026 of the table for production class 2b.</t>
  </si>
  <si>
    <t>Enter the registry ID number in row 1027 of the table for production class 2b.</t>
  </si>
  <si>
    <t>Enter the registry ID number in row 1028 of the table for production class 2b.</t>
  </si>
  <si>
    <t>Enter the registry ID number in row 1029 of the table for production class 2b.</t>
  </si>
  <si>
    <t>Enter the registry ID number in row 1030 of the table for production class 2b.</t>
  </si>
  <si>
    <t>Enter the registry ID number in row 1031 of the table for production class 2b.</t>
  </si>
  <si>
    <t>Enter the registry ID number in row 1032 of the table for production class 2b.</t>
  </si>
  <si>
    <t>Enter the registry ID number in row 1033 of the table for production class 2b.</t>
  </si>
  <si>
    <t>Enter the registry ID number in row 1034 of the table for production class 2b.</t>
  </si>
  <si>
    <t>Enter the registry ID number in row 1035 of the table for production class 2b.</t>
  </si>
  <si>
    <t>Enter the registry ID number in row 1036 of the table for production class 2b.</t>
  </si>
  <si>
    <t>Enter the registry ID number in row 1037 of the table for production class 2b.</t>
  </si>
  <si>
    <t>Enter the registry ID number in row 1038 of the table for production class 2b.</t>
  </si>
  <si>
    <t>Enter the registry ID number in row 1039 of the table for production class 2b.</t>
  </si>
  <si>
    <t>Enter the registry ID number in row 1040 of the table for production class 2b.</t>
  </si>
  <si>
    <t>Enter the registry ID number in row 1041 of the table for production class 2b.</t>
  </si>
  <si>
    <t>Enter the registry ID number in row 1042 of the table for production class 2b.</t>
  </si>
  <si>
    <t>Enter the registry ID number in row 1043 of the table for production class 2b.</t>
  </si>
  <si>
    <t>Enter the registry ID number in row 1044 of the table for production class 2b.</t>
  </si>
  <si>
    <t>Enter the registry ID number in row 1045 of the table for production class 2b.</t>
  </si>
  <si>
    <t>Enter the registry ID number in row 1046 of the table for production class 2b.</t>
  </si>
  <si>
    <t>Enter the registry ID number in row 1047 of the table for production class 2b.</t>
  </si>
  <si>
    <t>Enter the registry ID number in row 1048 of the table for production class 2b.</t>
  </si>
  <si>
    <t>Enter the registry ID number in row 1049 of the table for production class 2b.</t>
  </si>
  <si>
    <t>Enter the registry ID number in row 1050 of the table for production class 2b.</t>
  </si>
  <si>
    <t>Enter the registry ID number in row 1051 of the table for production class 2b.</t>
  </si>
  <si>
    <t>Enter the registry ID number in row 1052 of the table for production class 2b.</t>
  </si>
  <si>
    <t>Enter the registry ID number in row 1053 of the table for production class 2b.</t>
  </si>
  <si>
    <t>Enter the registry ID number in row 1054 of the table for production class 2b.</t>
  </si>
  <si>
    <t>Enter the registry ID number in row 1055 of the table for production class 2b.</t>
  </si>
  <si>
    <t>Enter the registry ID number in row 1056 of the table for production class 2b.</t>
  </si>
  <si>
    <t>Enter the registry ID number in row 1057 of the table for production class 2b.</t>
  </si>
  <si>
    <t>Enter the registry ID number in row 1058 of the table for production class 2b.</t>
  </si>
  <si>
    <t>Enter the registry ID number in row 1059 of the table for production class 2b.</t>
  </si>
  <si>
    <t>Enter the registry ID number in row 1060 of the table for production class 2b.</t>
  </si>
  <si>
    <t>Enter the registry ID number in row 1061 of the table for production class 2b.</t>
  </si>
  <si>
    <t>Enter the registry ID number in row 1062 of the table for production class 2b.</t>
  </si>
  <si>
    <t>Enter the registry ID number in row 1063 of the table for production class 2b.</t>
  </si>
  <si>
    <t>Enter the registry ID number in row 1064 of the table for production class 2b.</t>
  </si>
  <si>
    <t>Enter the registry ID number in row 1065 of the table for production class 2b.</t>
  </si>
  <si>
    <t>Enter the registry ID number in row 1066 of the table for production class 2b.</t>
  </si>
  <si>
    <t>Enter the registry ID number in row 1067 of the table for production class 2b.</t>
  </si>
  <si>
    <t>Enter the registry ID number in row 1068 of the table for production class 2b.</t>
  </si>
  <si>
    <t>Enter the registry ID number in row 1069 of the table for production class 2b.</t>
  </si>
  <si>
    <t>Enter the registry ID number in row 1070 of the table for production class 2b.</t>
  </si>
  <si>
    <t>Enter the registry ID number in row 1071 of the table for production class 2b.</t>
  </si>
  <si>
    <t>Enter the registry ID number in row 1072 of the table for production class 2b.</t>
  </si>
  <si>
    <t>Enter the registry ID number in row 1073 of the table for production class 2b.</t>
  </si>
  <si>
    <t>Enter the registry ID number in row 1074 of the table for production class 2b.</t>
  </si>
  <si>
    <t>Enter the registry ID number in row 1075 of the table for production class 2b.</t>
  </si>
  <si>
    <t>Enter the registry ID number in row 1076 of the table for production class 2b.</t>
  </si>
  <si>
    <t>Enter the registry ID number in row 1077 of the table for production class 2b.</t>
  </si>
  <si>
    <t>Enter the registry ID number in row 1078 of the table for production class 2b.</t>
  </si>
  <si>
    <t>Enter the registry ID number in row 1079 of the table for production class 2b.</t>
  </si>
  <si>
    <t>Enter the registry ID number in row 1080 of the table for production class 2b.</t>
  </si>
  <si>
    <t>Enter the registry ID number in row 1081 of the table for production class 2b.</t>
  </si>
  <si>
    <t>Enter the registry ID number in row 1082 of the table for production class 2b.</t>
  </si>
  <si>
    <t>Enter the registry ID number in row 1083 of the table for production class 2b.</t>
  </si>
  <si>
    <t>Enter the registry ID number in row 1084 of the table for production class 2b.</t>
  </si>
  <si>
    <t>Enter the registry ID number in row 1085 of the table for production class 2b.</t>
  </si>
  <si>
    <t>Enter the registry ID number in row 1086 of the table for production class 2b.</t>
  </si>
  <si>
    <t>Enter the registry ID number in row 1087 of the table for production class 2b.</t>
  </si>
  <si>
    <t>Enter the registry ID number in row 1088 of the table for production class 2b.</t>
  </si>
  <si>
    <t>Enter the registry ID number in row 1089 of the table for production class 2b.</t>
  </si>
  <si>
    <t>Enter the registry ID number in row 1090 of the table for production class 2b.</t>
  </si>
  <si>
    <t>Enter the registry ID number in row 1091 of the table for production class 2b.</t>
  </si>
  <si>
    <t>Enter the registry ID number in row 1092 of the table for production class 2b.</t>
  </si>
  <si>
    <t>Enter the registry ID number in row 1093 of the table for production class 2b.</t>
  </si>
  <si>
    <t>Enter the registry ID number in row 1094 of the table for production class 2b.</t>
  </si>
  <si>
    <t>Enter the registry ID number in row 1095 of the table for production class 2b.</t>
  </si>
  <si>
    <t>Enter the registry ID number in row 1096 of the table for production class 2b.</t>
  </si>
  <si>
    <t>Enter the registry ID number in row 1097 of the table for production class 2b.</t>
  </si>
  <si>
    <t>Enter the registry ID number in row 1098 of the table for production class 2b.</t>
  </si>
  <si>
    <t>Enter the registry ID number in row 1099 of the table for production class 2b.</t>
  </si>
  <si>
    <t>Enter the registry ID number in row 1100 of the table for production class 2b.</t>
  </si>
  <si>
    <t>Enter the registry ID number in row 1101 of the table for production class 2b.</t>
  </si>
  <si>
    <t>Enter the registry ID number in row 1102 of the table for production class 2b.</t>
  </si>
  <si>
    <t>Enter the registry ID number in row 1103 of the table for production class 2b.</t>
  </si>
  <si>
    <t>Enter the registry ID number in row 1104 of the table for production class 2b.</t>
  </si>
  <si>
    <t>Enter the registry ID number in row 1105 of the table for production class 2b.</t>
  </si>
  <si>
    <t>Enter the registry ID number in row 1106 of the table for production class 2b.</t>
  </si>
  <si>
    <t>Enter the registry ID number in row 1107 of the table for production class 2b.</t>
  </si>
  <si>
    <t>Enter the registry ID number in row 1108 of the table for production class 2b.</t>
  </si>
  <si>
    <t>Enter the registry ID number in row 1109 of the table for production class 2b.</t>
  </si>
  <si>
    <t>Enter the registry ID number in row 1110 of the table for production class 2b.</t>
  </si>
  <si>
    <t>Enter the registry ID number in row 1111 of the table for production class 2b.</t>
  </si>
  <si>
    <t>Enter the registry ID number in row 1112 of the table for production class 2b.</t>
  </si>
  <si>
    <t>Enter the registry ID number in row 1113 of the table for production class 2b.</t>
  </si>
  <si>
    <t>Enter the registry ID number in row 1114 of the table for production class 2b.</t>
  </si>
  <si>
    <t>Enter the registry ID number in row 1115 of the table for production class 2b.</t>
  </si>
  <si>
    <t>Enter the registry ID number in row 1116 of the table for production class 2b.</t>
  </si>
  <si>
    <t>Enter the registry ID number in row 1117 of the table for production class 2b.</t>
  </si>
  <si>
    <t>Enter the registry ID number in row 1118 of the table for production class 2b.</t>
  </si>
  <si>
    <t>Enter the registry ID number in row 1119 of the table for production class 2b.</t>
  </si>
  <si>
    <t>Enter the registry ID number in row 1120 of the table for production class 2b.</t>
  </si>
  <si>
    <t>Enter the registry ID number in row 1121 of the table for production class 2b.</t>
  </si>
  <si>
    <t>Enter the registry ID number in row 1122 of the table for production class 2b.</t>
  </si>
  <si>
    <t>Enter the registry ID number in row 1123 of the table for production class 2b.</t>
  </si>
  <si>
    <t>Enter the registry ID number in row 1124 of the table for production class 2b.</t>
  </si>
  <si>
    <t>Enter the registry ID number in row 1125 of the table for production class 2b.</t>
  </si>
  <si>
    <t>Enter the registry ID number in row 1126 of the table for production class 2b.</t>
  </si>
  <si>
    <t>Enter the registry ID number in row 1127 of the table for production class 2b.</t>
  </si>
  <si>
    <t>Enter the registry ID number in row 1128 of the table for production class 2b.</t>
  </si>
  <si>
    <t>Enter the registry ID number in row 1129 of the table for production class 2b.</t>
  </si>
  <si>
    <t>Enter the registry ID number in row 1130 of the table for production class 2b.</t>
  </si>
  <si>
    <t>Enter the registry ID number in row 1131 of the table for production class 2b.</t>
  </si>
  <si>
    <t>Enter the registry ID number in row 1132 of the table for production class 2b.</t>
  </si>
  <si>
    <t>Enter the registry ID number in row 1133 of the table for production class 2b.</t>
  </si>
  <si>
    <t>Enter the registry ID number in row 1134 of the table for production class 2b.</t>
  </si>
  <si>
    <t>Enter the registry ID number in row 1135 of the table for production class 2b.</t>
  </si>
  <si>
    <t>Enter the registry ID number in row 1136 of the table for production class 2b.</t>
  </si>
  <si>
    <t>Enter the registry ID number in row 1137 of the table for production class 2b.</t>
  </si>
  <si>
    <t>Enter the registry ID number in row 1138 of the table for production class 2b.</t>
  </si>
  <si>
    <t>Enter the registry ID number in row 1139 of the table for production class 2b.</t>
  </si>
  <si>
    <t>Enter the registry ID number in row 1140 of the table for production class 2b.</t>
  </si>
  <si>
    <t>Enter the registry ID number in row 1141 of the table for production class 2b.</t>
  </si>
  <si>
    <t>Enter the registry ID number in row 1142 of the table for production class 2b.</t>
  </si>
  <si>
    <t>Enter the registry ID number in row 1143 of the table for production class 2b.</t>
  </si>
  <si>
    <t>Enter the registry ID number in row 1144 of the table for production class 2b.</t>
  </si>
  <si>
    <t>Enter the registry ID number in row 1145 of the table for production class 2b.</t>
  </si>
  <si>
    <t>Enter the registry ID number in row 1146 of the table for production class 2b.</t>
  </si>
  <si>
    <t>Enter the registry ID number in row 1147 of the table for production class 2b.</t>
  </si>
  <si>
    <t>Enter the registry ID number in row 1148 of the table for production class 2b.</t>
  </si>
  <si>
    <t>Enter the registry ID number in row 1149 of the table for production class 2b.</t>
  </si>
  <si>
    <t>Enter the registry ID number in row 1150 of the table for production class 2b.</t>
  </si>
  <si>
    <t>Enter the registry ID number in row 1151 of the table for production class 2b.</t>
  </si>
  <si>
    <t>Enter the registry ID number in row 1152 of the table for production class 2b.</t>
  </si>
  <si>
    <t>Enter the registry ID number in row 1153 of the table for production class 2b.</t>
  </si>
  <si>
    <t>Enter the registry ID number in row 1154 of the table for production class 2b.</t>
  </si>
  <si>
    <t>Enter the registry ID number in row 1155 of the table for production class 2b.</t>
  </si>
  <si>
    <t>Enter the registry ID number in row 1156 of the table for production class 2b.</t>
  </si>
  <si>
    <t>Enter the registry ID number in row 1157 of the table for production class 2b.</t>
  </si>
  <si>
    <t>Enter the registry ID number in row 1158 of the table for production class 2b.</t>
  </si>
  <si>
    <t>Enter the registry ID number in row 1159 of the table for production class 2b.</t>
  </si>
  <si>
    <t>Enter the registry ID number in row 1160 of the table for production class 2b.</t>
  </si>
  <si>
    <t>Enter the registry ID number in row 1161 of the table for production class 2b.</t>
  </si>
  <si>
    <t>Enter the registry ID number in row 1162 of the table for production class 2b.</t>
  </si>
  <si>
    <t>Enter the registry ID number in row 1163 of the table for production class 2b.</t>
  </si>
  <si>
    <t>Enter the registry ID number in row 1164 of the table for production class 2b.</t>
  </si>
  <si>
    <t>Enter the registry ID number in row 1165 of the table for production class 2b.</t>
  </si>
  <si>
    <t>Enter the registry ID number in row 1166 of the table for production class 2b.</t>
  </si>
  <si>
    <t>Enter the registry ID number in row 1167 of the table for production class 2b.</t>
  </si>
  <si>
    <t>Enter the registry ID number in row 1168 of the table for production class 2b.</t>
  </si>
  <si>
    <t>Enter the registry ID number in row 1169 of the table for production class 2b.</t>
  </si>
  <si>
    <t>Enter the registry ID number in row 1170 of the table for production class 2b.</t>
  </si>
  <si>
    <t>Enter the registry ID number in row 1171 of the table for production class 2b.</t>
  </si>
  <si>
    <t>Enter the registry ID number in row 1172 of the table for production class 2b.</t>
  </si>
  <si>
    <t>Enter the registry ID number in row 1173 of the table for production class 2b.</t>
  </si>
  <si>
    <t>Enter the registry ID number in row 1174 of the table for production class 2b.</t>
  </si>
  <si>
    <t>Enter the registry ID number in row 1175 of the table for production class 2b.</t>
  </si>
  <si>
    <t>Enter the registry ID number in row 1176 of the table for production class 2b.</t>
  </si>
  <si>
    <t>Enter the registry ID number in row 1177 of the table for production class 2b.</t>
  </si>
  <si>
    <t>Enter the registry ID number in row 1178 of the table for production class 2b.</t>
  </si>
  <si>
    <t>Enter the registry ID number in row 1179 of the table for production class 2b.</t>
  </si>
  <si>
    <t>Enter the registry ID number in row 1180 of the table for production class 2b.</t>
  </si>
  <si>
    <t>Enter the registry ID number in row 1181 of the table for production class 2b.</t>
  </si>
  <si>
    <t>Enter the registry ID number in row 1182 of the table for production class 2b.</t>
  </si>
  <si>
    <t>Enter the registry ID number in row 1183 of the table for production class 2b.</t>
  </si>
  <si>
    <t>Enter the registry ID number in row 1184 of the table for production class 2b.</t>
  </si>
  <si>
    <t>Enter the registry ID number in row 1185 of the table for production class 2b.</t>
  </si>
  <si>
    <t>Enter the registry ID number in row 1186 of the table for production class 2b.</t>
  </si>
  <si>
    <t>Enter the registry ID number in row 1187 of the table for production class 2b.</t>
  </si>
  <si>
    <t>Enter the registry ID number in row 1188 of the table for production class 2b.</t>
  </si>
  <si>
    <t>Enter the registry ID number in row 1189 of the table for production class 2b.</t>
  </si>
  <si>
    <t>Enter the registry ID number in row 1190 of the table for production class 2b.</t>
  </si>
  <si>
    <t>Enter the registry ID number in row 1191 of the table for production class 2b.</t>
  </si>
  <si>
    <t>Enter the registry ID number in row 1192 of the table for production class 2b.</t>
  </si>
  <si>
    <t>Enter the registry ID number in row 1193 of the table for production class 2b.</t>
  </si>
  <si>
    <t>Enter the registry ID number in row 1194 of the table for production class 2b.</t>
  </si>
  <si>
    <t>Enter the registry ID number in row 1195 of the table for production class 2b.</t>
  </si>
  <si>
    <t>Enter the registry ID number in row 1196 of the table for production class 2b.</t>
  </si>
  <si>
    <t>Enter the registry ID number in row 1197 of the table for production class 2b.</t>
  </si>
  <si>
    <t>Enter the registry ID number in row 1198 of the table for production class 2b.</t>
  </si>
  <si>
    <t>Enter the registry ID number in row 1199 of the table for production class 2b.</t>
  </si>
  <si>
    <t>Enter the registry ID number in row 1200 of the table for production class 2b.</t>
  </si>
  <si>
    <t>Enter the registry ID number in row 1201 of the table for production class 2b.</t>
  </si>
  <si>
    <t>Enter the registry ID number in row 1202 of the table for production class 2b.</t>
  </si>
  <si>
    <t>Enter the registry ID number in row 1203 of the table for production class 2b.</t>
  </si>
  <si>
    <t>Enter the registry ID number in row 1204 of the table for production class 2b.</t>
  </si>
  <si>
    <t>Enter the registry ID number in row 1205 of the table for production class 2b.</t>
  </si>
  <si>
    <t>Enter the registry ID number in row 1206 of the table for production class 2b.</t>
  </si>
  <si>
    <t>Enter the registry ID number in row 1207 of the table for production class 2b.</t>
  </si>
  <si>
    <t>Enter the registry ID number in row 1208 of the table for production class 2b.</t>
  </si>
  <si>
    <t>Enter the registry ID number in row 1209 of the table for production class 2b.</t>
  </si>
  <si>
    <t>Enter the registry ID number in row 1210 of the table for production class 2b.</t>
  </si>
  <si>
    <t>Enter the registry ID number in row 1211 of the table for production class 2b.</t>
  </si>
  <si>
    <t>Enter the registry ID number in row 1212 of the table for production class 2b.</t>
  </si>
  <si>
    <t>Enter the registry ID number in row 1213 of the table for production class 2b.</t>
  </si>
  <si>
    <t>Enter the registry ID number in row 1214 of the table for production class 2b.</t>
  </si>
  <si>
    <t>Enter the registry ID number in row 1215 of the table for production class 2b.</t>
  </si>
  <si>
    <t>Enter the registry ID number in row 1216 of the table for production class 2b.</t>
  </si>
  <si>
    <t>Enter the registry ID number in row 1217 of the table for production class 2b.</t>
  </si>
  <si>
    <t>Enter the registry ID number in row 1218 of the table for production class 2b.</t>
  </si>
  <si>
    <t>Enter the registry ID number in row 1219 of the table for production class 2b.</t>
  </si>
  <si>
    <t>Enter the registry ID number in row 1220 of the table for production class 2b.</t>
  </si>
  <si>
    <t>Enter the registry ID number in row 1221 of the table for production class 2b.</t>
  </si>
  <si>
    <t>Enter the registry ID number in row 1222 of the table for production class 2b.</t>
  </si>
  <si>
    <t>Enter the registry ID number in row 1223 of the table for production class 2b.</t>
  </si>
  <si>
    <t>Enter the registry ID number in row 1224 of the table for production class 2b.</t>
  </si>
  <si>
    <t>Enter the registry ID number in row 1225 of the table for production class 2b.</t>
  </si>
  <si>
    <t>Enter the registry ID number in row 1226 of the table for production class 2b.</t>
  </si>
  <si>
    <t>Enter the registry ID number in row 1227 of the table for production class 2b.</t>
  </si>
  <si>
    <t>Enter the registry ID number in row 1228 of the table for production class 2b.</t>
  </si>
  <si>
    <t>Enter the registry ID number in row 1229 of the table for production class 2b.</t>
  </si>
  <si>
    <t>Enter the registry ID number in row 1230 of the table for production class 2b.</t>
  </si>
  <si>
    <t>Enter the registry ID number in row 1231 of the table for production class 2b.</t>
  </si>
  <si>
    <t>Enter the registry ID number in row 1232 of the table for production class 2b.</t>
  </si>
  <si>
    <t>Enter the registry ID number in row 1233 of the table for production class 2b.</t>
  </si>
  <si>
    <t>Enter the registry ID number in row 1234 of the table for production class 2b.</t>
  </si>
  <si>
    <t>Enter the registry ID number in row 1235 of the table for production class 2b.</t>
  </si>
  <si>
    <t>Enter the registry ID number in row 1236 of the table for production class 2b.</t>
  </si>
  <si>
    <t>Enter the registry ID number in row 1237 of the table for production class 2b.</t>
  </si>
  <si>
    <t>Enter the registry ID number in row 1238 of the table for production class 2b.</t>
  </si>
  <si>
    <t>Enter the registry ID number in row 1239 of the table for production class 2b.</t>
  </si>
  <si>
    <t>Enter the registry ID number in row 1240 of the table for production class 2b.</t>
  </si>
  <si>
    <t>Enter the registry ID number in row 1241 of the table for production class 2b.</t>
  </si>
  <si>
    <t>Enter the registry ID number in row 1242 of the table for production class 2b.</t>
  </si>
  <si>
    <t>Enter the registry ID number in row 1243 of the table for production class 2b.</t>
  </si>
  <si>
    <t>Enter the registry ID number in row 1244 of the table for production class 2b.</t>
  </si>
  <si>
    <t>Enter the registry ID number in row 1245 of the table for production class 2b.</t>
  </si>
  <si>
    <t>Enter the registry ID number in row 1246 of the table for production class 2b.</t>
  </si>
  <si>
    <t>Enter the registry ID number in row 1247 of the table for production class 2b.</t>
  </si>
  <si>
    <t>Enter the registry ID number in row 1248 of the table for production class 2b.</t>
  </si>
  <si>
    <t>Enter the registry ID number in row 1249 of the table for production class 2b.</t>
  </si>
  <si>
    <t>Enter the registry ID number in row 1250 of the table for production class 2b.</t>
  </si>
  <si>
    <t>Enter the registry ID number in row 1251 of the table for production class 2b.</t>
  </si>
  <si>
    <t>Enter the registry ID number in row 1252 of the table for production class 2b.</t>
  </si>
  <si>
    <t>Enter the registry ID number in row 1253 of the table for production class 2b.</t>
  </si>
  <si>
    <t>Enter the registry ID number in row 1254 of the table for production class 2b.</t>
  </si>
  <si>
    <t>Enter the registry ID number in row 1255 of the table for production class 2b.</t>
  </si>
  <si>
    <t>Enter the registry ID number in row 1256 of the table for production class 2b.</t>
  </si>
  <si>
    <t>Enter the registry ID number in row 1257 of the table for production class 2b.</t>
  </si>
  <si>
    <t>Enter the registry ID number in row 1258 of the table for production class 2b.</t>
  </si>
  <si>
    <t>Enter the registry ID number in row 1259 of the table for production class 2b.</t>
  </si>
  <si>
    <t>Enter the registry ID number in row 1260 of the table for production class 2b.</t>
  </si>
  <si>
    <t>Enter the registry ID number in row 1261 of the table for production class 2b.</t>
  </si>
  <si>
    <t>Enter the registry ID number in row 1262 of the table for production class 2b.</t>
  </si>
  <si>
    <t>Enter the registry ID number in row 1263 of the table for production class 2b.</t>
  </si>
  <si>
    <t>Enter the registry ID number in row 1264 of the table for production class 2b.</t>
  </si>
  <si>
    <t>Enter the registry ID number in row 1265 of the table for production class 2b.</t>
  </si>
  <si>
    <t>Enter the registry ID number in row 1266 of the table for production class 2b.</t>
  </si>
  <si>
    <t>Enter the registry ID number in row 1267 of the table for production class 2b.</t>
  </si>
  <si>
    <t>Enter the registry ID number in row 1268 of the table for production class 2b.</t>
  </si>
  <si>
    <t>Enter the registry ID number in row 1269 of the table for production class 2b.</t>
  </si>
  <si>
    <t>Enter the registry ID number in row 1270 of the table for production class 2b.</t>
  </si>
  <si>
    <t>Enter the registry ID number in row 1271 of the table for production class 2b.</t>
  </si>
  <si>
    <t>Enter the registry ID number in row 1272 of the table for production class 2b.</t>
  </si>
  <si>
    <t>Enter the registry ID number in row 1273 of the table for production class 2b.</t>
  </si>
  <si>
    <t>Enter the registry ID number in row 1274 of the table for production class 2b.</t>
  </si>
  <si>
    <t>Enter the registry ID number in row 1275 of the table for production class 2b.</t>
  </si>
  <si>
    <t>Enter the registry ID number in row 1276 of the table for production class 2b.</t>
  </si>
  <si>
    <t>Enter the registry ID number in row 1277 of the table for production class 2b.</t>
  </si>
  <si>
    <t>Enter the registry ID number in row 1278 of the table for production class 2b.</t>
  </si>
  <si>
    <t>Enter the registry ID number in row 1279 of the table for production class 2b.</t>
  </si>
  <si>
    <t>Enter the registry ID number in row 1280 of the table for production class 2b.</t>
  </si>
  <si>
    <t>Enter the registry ID number in row 1281 of the table for production class 2b.</t>
  </si>
  <si>
    <t>Enter the registry ID number in row 1282 of the table for production class 2b.</t>
  </si>
  <si>
    <t>Enter the registry ID number in row 1283 of the table for production class 2b.</t>
  </si>
  <si>
    <t>Enter the registry ID number in row 1284 of the table for production class 2b.</t>
  </si>
  <si>
    <t>Enter the registry ID number in row 1285 of the table for production class 2b.</t>
  </si>
  <si>
    <t>Enter the registry ID number in row 1286 of the table for production class 2b.</t>
  </si>
  <si>
    <t>Enter the registry ID number in row 1287 of the table for production class 2b.</t>
  </si>
  <si>
    <t>Enter the registry ID number in row 1288 of the table for production class 2b.</t>
  </si>
  <si>
    <t>Enter the registry ID number in row 1289 of the table for production class 2b.</t>
  </si>
  <si>
    <t>Enter the registry ID number in row 1290 of the table for production class 2b.</t>
  </si>
  <si>
    <t>Enter the registry ID number in row 1291 of the table for production class 2b.</t>
  </si>
  <si>
    <t>Enter the registry ID number in row 1292 of the table for production class 2b.</t>
  </si>
  <si>
    <t>Enter the registry ID number in row 1293 of the table for production class 2b.</t>
  </si>
  <si>
    <t>Enter the registry ID number in row 1294 of the table for production class 2b.</t>
  </si>
  <si>
    <t>Enter the registry ID number in row 1295 of the table for production class 2b.</t>
  </si>
  <si>
    <t>Enter the registry ID number in row 1296 of the table for production class 2b.</t>
  </si>
  <si>
    <t>Enter the registry ID number in row 1297 of the table for production class 2b.</t>
  </si>
  <si>
    <t>Enter the registry ID number in row 1298 of the table for production class 2b.</t>
  </si>
  <si>
    <t>Enter the registry ID number in row 1299 of the table for production class 2b.</t>
  </si>
  <si>
    <t>Enter the registry ID number in row 1300 of the table for production class 2b.</t>
  </si>
  <si>
    <t>Enter the registry ID number in row 1301 of the table for production class 2b.</t>
  </si>
  <si>
    <t>Enter the registry ID number in row 1302 of the table for production class 2b.</t>
  </si>
  <si>
    <t>Enter the registry ID number in row 1303 of the table for production class 2b.</t>
  </si>
  <si>
    <t>Enter the registry ID number in row 1304 of the table for production class 2b.</t>
  </si>
  <si>
    <t>Enter the registry ID number in row 1305 of the table for production class 2b.</t>
  </si>
  <si>
    <t>Enter the registry ID number in row 1306 of the table for production class 2b.</t>
  </si>
  <si>
    <t>Enter the registry ID number in row 1307 of the table for production class 2b.</t>
  </si>
  <si>
    <t>Enter the registry ID number in row 1308 of the table for production class 2b.</t>
  </si>
  <si>
    <t>Enter the registry ID number in row 1309 of the table for production class 2b.</t>
  </si>
  <si>
    <t>Enter the registry ID number in row 1310 of the table for production class 2b.</t>
  </si>
  <si>
    <t>Enter the registry ID number in row 1311 of the table for production class 2b.</t>
  </si>
  <si>
    <t>Enter the registry ID number in row 1312 of the table for production class 2b.</t>
  </si>
  <si>
    <t>Enter the registry ID number in row 1313 of the table for production class 2b.</t>
  </si>
  <si>
    <t>Enter the registry ID number in row 1314 of the table for production class 2b.</t>
  </si>
  <si>
    <t>Enter the registry ID number in row 1315 of the table for production class 2b.</t>
  </si>
  <si>
    <t>Enter the registry ID number in row 1316 of the table for production class 2b.</t>
  </si>
  <si>
    <t>Enter the registry ID number in row 1317 of the table for production class 2b.</t>
  </si>
  <si>
    <t>Enter the registry ID number in row 1318 of the table for production class 2b.</t>
  </si>
  <si>
    <t>Enter the registry ID number in row 1319 of the table for production class 2b.</t>
  </si>
  <si>
    <t>Enter the registry ID number in row 1320 of the table for production class 2b.</t>
  </si>
  <si>
    <t>Enter the registry ID number in row 1321 of the table for production class 2b.</t>
  </si>
  <si>
    <t>Enter the registry ID number in row 1322 of the table for production class 2b.</t>
  </si>
  <si>
    <t>Enter the registry ID number in row 1323 of the table for production class 2b.</t>
  </si>
  <si>
    <t>Enter the registry ID number in row 1324 of the table for production class 2b.</t>
  </si>
  <si>
    <t>Enter the registry ID number in row 1325 of the table for production class 2b.</t>
  </si>
  <si>
    <t>Enter the registry ID number in row 1326 of the table for production class 2b.</t>
  </si>
  <si>
    <t>Enter the registry ID number in row 1327 of the table for production class 2b.</t>
  </si>
  <si>
    <t>Enter the registry ID number in row 1328 of the table for production class 2b.</t>
  </si>
  <si>
    <t>Enter the registry ID number in row 1329 of the table for production class 2b.</t>
  </si>
  <si>
    <t>Enter the registry ID number in row 1330 of the table for production class 2b.</t>
  </si>
  <si>
    <t>Enter the registry ID number in row 1331 of the table for production class 2b.</t>
  </si>
  <si>
    <t>Enter the registry ID number in row 1332 of the table for production class 2b.</t>
  </si>
  <si>
    <t>Enter the registry ID number in row 1333 of the table for production class 2b.</t>
  </si>
  <si>
    <t>Enter the registry ID number in row 1334 of the table for production class 2b.</t>
  </si>
  <si>
    <t>Enter the registry ID number in row 1335 of the table for production class 2b.</t>
  </si>
  <si>
    <t>Enter the registry ID number in row 1336 of the table for production class 2b.</t>
  </si>
  <si>
    <t>Enter the registry ID number in row 1337 of the table for production class 2b.</t>
  </si>
  <si>
    <t>Enter the registry ID number in row 1338 of the table for production class 2b.</t>
  </si>
  <si>
    <t>Enter the registry ID number in row 1339 of the table for production class 2b.</t>
  </si>
  <si>
    <t>Enter the registry ID number in row 1340 of the table for production class 2b.</t>
  </si>
  <si>
    <t>Enter the registry ID number in row 1341 of the table for production class 2b.</t>
  </si>
  <si>
    <t>Enter the registry ID number in row 1342 of the table for production class 2b.</t>
  </si>
  <si>
    <t>Enter the registry ID number in row 1343 of the table for production class 2b.</t>
  </si>
  <si>
    <t>Enter the registry ID number in row 1344 of the table for production class 2b.</t>
  </si>
  <si>
    <t>Enter the registry ID number in row 1345 of the table for production class 2b.</t>
  </si>
  <si>
    <t>Enter the registry ID number in row 1346 of the table for production class 2b.</t>
  </si>
  <si>
    <t>Enter the registry ID number in row 1347 of the table for production class 2b.</t>
  </si>
  <si>
    <t>Enter the registry ID number in row 1348 of the table for production class 2b.</t>
  </si>
  <si>
    <t>Enter the registry ID number in row 1349 of the table for production class 2b.</t>
  </si>
  <si>
    <t>Enter the registry ID number in row 1350 of the table for production class 2b.</t>
  </si>
  <si>
    <t>Enter the registry ID number in row 1351 of the table for production class 2b.</t>
  </si>
  <si>
    <t>Enter the registry ID number in row 1352 of the table for production class 2b.</t>
  </si>
  <si>
    <t>Enter the registry ID number in row 1353 of the table for production class 2b.</t>
  </si>
  <si>
    <t>Enter the registry ID number in row 1354 of the table for production class 2b.</t>
  </si>
  <si>
    <t>Enter the registry ID number in row 1355 of the table for production class 2b.</t>
  </si>
  <si>
    <t>Enter the registry ID number in row 1356 of the table for production class 2b.</t>
  </si>
  <si>
    <t>Enter the registry ID number in row 1357 of the table for production class 2b.</t>
  </si>
  <si>
    <t>Enter the registry ID number in row 1358 of the table for production class 2b.</t>
  </si>
  <si>
    <t>Enter the registry ID number in row 1359 of the table for production class 2b.</t>
  </si>
  <si>
    <t>Enter the registry ID number in row 1360 of the table for production class 2b.</t>
  </si>
  <si>
    <t>Enter the registry ID number in row 1361 of the table for production class 2b.</t>
  </si>
  <si>
    <t>Enter the registry ID number in row 1362 of the table for production class 2b.</t>
  </si>
  <si>
    <t>Enter the registry ID number in row 1363 of the table for production class 2b.</t>
  </si>
  <si>
    <t>Enter the registry ID number in row 1364 of the table for production class 2b.</t>
  </si>
  <si>
    <t>Enter the registry ID number in row 1365 of the table for production class 2b.</t>
  </si>
  <si>
    <t>Enter the registry ID number in row 1366 of the table for production class 2b.</t>
  </si>
  <si>
    <t>Enter the registry ID number in row 1367 of the table for production class 2b.</t>
  </si>
  <si>
    <t>Enter the registry ID number in row 1368 of the table for production class 2b.</t>
  </si>
  <si>
    <t>Enter the registry ID number in row 1369 of the table for production class 2b.</t>
  </si>
  <si>
    <t>Enter the registry ID number in row 1370 of the table for production class 2b.</t>
  </si>
  <si>
    <t>Enter the registry ID number in row 1371 of the table for production class 2b.</t>
  </si>
  <si>
    <t>Enter the registry ID number in row 1372 of the table for production class 2b.</t>
  </si>
  <si>
    <t>Enter the registry ID number in row 1373 of the table for production class 2b.</t>
  </si>
  <si>
    <t>Enter the registry ID number in row 1374 of the table for production class 2b.</t>
  </si>
  <si>
    <t>Enter the registry ID number in row 1375 of the table for production class 2b.</t>
  </si>
  <si>
    <t>Enter the registry ID number in row 1376 of the table for production class 2b.</t>
  </si>
  <si>
    <t>Enter the registry ID number in row 1377 of the table for production class 2b.</t>
  </si>
  <si>
    <t>Enter the registry ID number in row 1378 of the table for production class 2b.</t>
  </si>
  <si>
    <t>Enter the registry ID number in row 1379 of the table for production class 2b.</t>
  </si>
  <si>
    <t>Enter the registry ID number in row 1380 of the table for production class 2b.</t>
  </si>
  <si>
    <t>Enter the registry ID number in row 1381 of the table for production class 2b.</t>
  </si>
  <si>
    <t>Enter the registry ID number in row 1382 of the table for production class 2b.</t>
  </si>
  <si>
    <t>Enter the registry ID number in row 1383 of the table for production class 2b.</t>
  </si>
  <si>
    <t>Enter the registry ID number in row 1384 of the table for production class 2b.</t>
  </si>
  <si>
    <t>Enter the registry ID number in row 1385 of the table for production class 2b.</t>
  </si>
  <si>
    <t>Enter the registry ID number in row 1386 of the table for production class 2b.</t>
  </si>
  <si>
    <t>Enter the registry ID number in row 1387 of the table for production class 2b.</t>
  </si>
  <si>
    <t>Enter the registry ID number in row 1388 of the table for production class 2b.</t>
  </si>
  <si>
    <t>Enter the registry ID number in row 1389 of the table for production class 2b.</t>
  </si>
  <si>
    <t>Enter the registry ID number in row 1390 of the table for production class 2b.</t>
  </si>
  <si>
    <t>Enter the registry ID number in row 1391 of the table for production class 2b.</t>
  </si>
  <si>
    <t>Enter the registry ID number in row 1392 of the table for production class 2b.</t>
  </si>
  <si>
    <t>Enter the registry ID number in row 1393 of the table for production class 2b.</t>
  </si>
  <si>
    <t>Enter the registry ID number in row 1394 of the table for production class 2b.</t>
  </si>
  <si>
    <t>Enter the registry ID number in row 1395 of the table for production class 2b.</t>
  </si>
  <si>
    <t>Enter the registry ID number in row 1396 of the table for production class 2b.</t>
  </si>
  <si>
    <t>Enter the registry ID number in row 1397 of the table for production class 2b.</t>
  </si>
  <si>
    <t>Enter the registry ID number in row 1398 of the table for production class 2b.</t>
  </si>
  <si>
    <t>Enter the registry ID number in row 1399 of the table for production class 2b.</t>
  </si>
  <si>
    <t>Enter the registry ID number in row 1400 of the table for production class 2b.</t>
  </si>
  <si>
    <t>Enter the registry ID number in row 1401 of the table for production class 2b.</t>
  </si>
  <si>
    <t>Enter the registry ID number in row 1402 of the table for production class 2b.</t>
  </si>
  <si>
    <t>Enter the registry ID number in row 1403 of the table for production class 2b.</t>
  </si>
  <si>
    <t>Enter the registry ID number in row 1404 of the table for production class 2b.</t>
  </si>
  <si>
    <t>Enter the registry ID number in row 1405 of the table for production class 2b.</t>
  </si>
  <si>
    <t>Enter the registry ID number in row 1406 of the table for production class 2b.</t>
  </si>
  <si>
    <t>Enter the registry ID number in row 1407 of the table for production class 2b.</t>
  </si>
  <si>
    <t>Enter the registry ID number in row 1408 of the table for production class 2b.</t>
  </si>
  <si>
    <t>Enter the registry ID number in row 1409 of the table for production class 2b.</t>
  </si>
  <si>
    <t>Enter the registry ID number in row 1410 of the table for production class 2b.</t>
  </si>
  <si>
    <t>Enter the registry ID number in row 1411 of the table for production class 2b.</t>
  </si>
  <si>
    <t>Enter the registry ID number in row 1412 of the table for production class 2b.</t>
  </si>
  <si>
    <t>Enter the registry ID number in row 1413 of the table for production class 2b.</t>
  </si>
  <si>
    <t>Enter the registry ID number in row 1414 of the table for production class 2b.</t>
  </si>
  <si>
    <t>Enter the registry ID number in row 1415 of the table for production class 2b.</t>
  </si>
  <si>
    <t>Enter the registry ID number in row 1416 of the table for production class 2b.</t>
  </si>
  <si>
    <t>Enter the registry ID number in row 1417 of the table for production class 2b.</t>
  </si>
  <si>
    <t>Enter the registry ID number in row 1418 of the table for production class 2b.</t>
  </si>
  <si>
    <t>Enter the registry ID number in row 1419 of the table for production class 2b.</t>
  </si>
  <si>
    <t>Enter the registry ID number in row 1420 of the table for production class 2b.</t>
  </si>
  <si>
    <t>Enter the registry ID number in row 1421 of the table for production class 2b.</t>
  </si>
  <si>
    <t>Enter the registry ID number in row 1422 of the table for production class 2b.</t>
  </si>
  <si>
    <t>Enter the registry ID number in row 1423 of the table for production class 2b.</t>
  </si>
  <si>
    <t>Enter the registry ID number in row 1424 of the table for production class 2b.</t>
  </si>
  <si>
    <t>Enter the registry ID number in row 1425 of the table for production class 2b.</t>
  </si>
  <si>
    <t>Enter the registry ID number in row 1426 of the table for production class 2b.</t>
  </si>
  <si>
    <t>Enter the registry ID number in row 1427 of the table for production class 2b.</t>
  </si>
  <si>
    <t>Enter the registry ID number in row 1428 of the table for production class 2b.</t>
  </si>
  <si>
    <t>Enter the registry ID number in row 1429 of the table for production class 2b.</t>
  </si>
  <si>
    <t>Enter the registry ID number in row 1430 of the table for production class 2b.</t>
  </si>
  <si>
    <t>Enter the registry ID number in row 1431 of the table for production class 2b.</t>
  </si>
  <si>
    <t>Enter the registry ID number in row 1432 of the table for production class 2b.</t>
  </si>
  <si>
    <t>Enter the registry ID number in row 1433 of the table for production class 2b.</t>
  </si>
  <si>
    <t>Enter the registry ID number in row 1434 of the table for production class 2b.</t>
  </si>
  <si>
    <t>Enter the registry ID number in row 1435 of the table for production class 2b.</t>
  </si>
  <si>
    <t>Enter the registry ID number in row 1436 of the table for production class 2b.</t>
  </si>
  <si>
    <t>Enter the registry ID number in row 1437 of the table for production class 2b.</t>
  </si>
  <si>
    <t>Enter the registry ID number in row 1438 of the table for production class 2b.</t>
  </si>
  <si>
    <t>Enter the registry ID number in row 1439 of the table for production class 2b.</t>
  </si>
  <si>
    <t>Enter the registry ID number in row 1440 of the table for production class 2b.</t>
  </si>
  <si>
    <t>Enter the registry ID number in row 1441 of the table for production class 2b.</t>
  </si>
  <si>
    <t>Enter the registry ID number in row 1442 of the table for production class 2b.</t>
  </si>
  <si>
    <t>Enter the registry ID number in row 1443 of the table for production class 2b.</t>
  </si>
  <si>
    <t>Enter the registry ID number in row 1444 of the table for production class 2b.</t>
  </si>
  <si>
    <t>Enter the registry ID number in row 1445 of the table for production class 2b.</t>
  </si>
  <si>
    <t>Enter the registry ID number in row 1446 of the table for production class 2b.</t>
  </si>
  <si>
    <t>Enter the registry ID number in row 1447 of the table for production class 2b.</t>
  </si>
  <si>
    <t>Enter the registry ID number in row 1448 of the table for production class 2b.</t>
  </si>
  <si>
    <t>Enter the registry ID number in row 1449 of the table for production class 2b.</t>
  </si>
  <si>
    <t>Enter the registry ID number in row 1450 of the table for production class 2b.</t>
  </si>
  <si>
    <t>Enter the registry ID number in row 1451 of the table for production class 2b.</t>
  </si>
  <si>
    <t>Enter the registry ID number in row 1452 of the table for production class 2b.</t>
  </si>
  <si>
    <t>Enter the registry ID number in row 1453 of the table for production class 2b.</t>
  </si>
  <si>
    <t>Enter the registry ID number in row 1454 of the table for production class 2b.</t>
  </si>
  <si>
    <t>Enter the registry ID number in row 1455 of the table for production class 2b.</t>
  </si>
  <si>
    <t>Enter the registry ID number in row 1456 of the table for production class 2b.</t>
  </si>
  <si>
    <t>Enter the registry ID number in row 1457 of the table for production class 2b.</t>
  </si>
  <si>
    <t>Enter the registry ID number in row 1458 of the table for production class 2b.</t>
  </si>
  <si>
    <t>Enter the registry ID number in row 1459 of the table for production class 2b.</t>
  </si>
  <si>
    <t>Enter the registry ID number in row 1460 of the table for production class 2b.</t>
  </si>
  <si>
    <t>Enter the registry ID number in row 1461 of the table for production class 2b.</t>
  </si>
  <si>
    <t>Enter the registry ID number in row 1462 of the table for production class 2b.</t>
  </si>
  <si>
    <t>Enter the registry ID number in row 1463 of the table for production class 2b.</t>
  </si>
  <si>
    <t>Enter the registry ID number in row 1464 of the table for production class 2b.</t>
  </si>
  <si>
    <t>Enter the registry ID number in row 1465 of the table for production class 2b.</t>
  </si>
  <si>
    <t>Enter the registry ID number in row 1466 of the table for production class 2b.</t>
  </si>
  <si>
    <t>Enter the registry ID number in row 1467 of the table for production class 2b.</t>
  </si>
  <si>
    <t>Enter the registry ID number in row 1468 of the table for production class 2b.</t>
  </si>
  <si>
    <t>Enter the registry ID number in row 1469 of the table for production class 2b.</t>
  </si>
  <si>
    <t>Enter the registry ID number in row 1470 of the table for production class 2b.</t>
  </si>
  <si>
    <t>Enter the registry ID number in row 1471 of the table for production class 2b.</t>
  </si>
  <si>
    <t>Enter the registry ID number in row 1472 of the table for production class 2b.</t>
  </si>
  <si>
    <t>Enter the registry ID number in row 1473 of the table for production class 2b.</t>
  </si>
  <si>
    <t>Enter the registry ID number in row 1474 of the table for production class 2b.</t>
  </si>
  <si>
    <t>Enter the registry ID number in row 1475 of the table for production class 2b.</t>
  </si>
  <si>
    <t>Enter the registry ID number in row 1476 of the table for production class 2b.</t>
  </si>
  <si>
    <t>Enter the registry ID number in row 1477 of the table for production class 2b.</t>
  </si>
  <si>
    <t>Enter the registry ID number in row 1478 of the table for production class 2b.</t>
  </si>
  <si>
    <t>Enter the registry ID number in row 1479 of the table for production class 2b.</t>
  </si>
  <si>
    <t>Enter the registry ID number in row 1480 of the table for production class 2b.</t>
  </si>
  <si>
    <t>Enter the registry ID number in row 1481 of the table for production class 2b.</t>
  </si>
  <si>
    <t>Enter the registry ID number in row 1482 of the table for production class 2b.</t>
  </si>
  <si>
    <t>Enter the registry ID number in row 1483 of the table for production class 2b.</t>
  </si>
  <si>
    <t>Enter the registry ID number in row 1484 of the table for production class 2b.</t>
  </si>
  <si>
    <t>Enter the registry ID number in row 1485 of the table for production class 2b.</t>
  </si>
  <si>
    <t>Enter the registry ID number in row 1486 of the table for production class 2b.</t>
  </si>
  <si>
    <t>Enter the registry ID number in row 1487 of the table for production class 2b.</t>
  </si>
  <si>
    <t>Enter the registry ID number in row 1488 of the table for production class 2b.</t>
  </si>
  <si>
    <t>Enter the registry ID number in row 1489 of the table for production class 2b.</t>
  </si>
  <si>
    <t>Enter the registry ID number in row 1490 of the table for production class 2b.</t>
  </si>
  <si>
    <t>Enter the registry ID number in row 1491 of the table for production class 2b.</t>
  </si>
  <si>
    <t>Enter the registry ID number in row 1492 of the table for production class 2b.</t>
  </si>
  <si>
    <t>Enter the registry ID number in row 1493 of the table for production class 2b.</t>
  </si>
  <si>
    <t>Enter the registry ID number in row 1494 of the table for production class 2b.</t>
  </si>
  <si>
    <t>Enter the registry ID number in row 1495 of the table for production class 2b.</t>
  </si>
  <si>
    <t>Enter the registry ID number in row 1496 of the table for production class 2b.</t>
  </si>
  <si>
    <t>Enter the registry ID number in row 1497 of the table for production class 2b.</t>
  </si>
  <si>
    <t>Enter the registry ID number in row 1498 of the table for production class 2b.</t>
  </si>
  <si>
    <t>Enter the registry ID number in row 1499 of the table for production class 2b.</t>
  </si>
  <si>
    <t>Enter the registry ID number in row 1500 of the table for production class 2b.</t>
  </si>
  <si>
    <t>Enter the registry ID number in row 1501 of the table for production class 2b.</t>
  </si>
  <si>
    <t>Enter the registry ID number in row 1502 of the table for production class 2b.</t>
  </si>
  <si>
    <t>Enter the registry ID number in row 1503 of the table for production class 2b.</t>
  </si>
  <si>
    <t>Enter the registry ID number in row 1504 of the table for production class 2b.</t>
  </si>
  <si>
    <t>Enter the registry ID number in row 1505 of the table for production class 2b.</t>
  </si>
  <si>
    <t>Enter the registry ID number in row 1506 of the table for production class 2b.</t>
  </si>
  <si>
    <t>Enter the registry ID number in row 1507 of the table for production class 2b.</t>
  </si>
  <si>
    <t>Enter the registry ID number in row 1508 of the table for production class 2b.</t>
  </si>
  <si>
    <t>Enter the registry ID number in row 1509 of the table for production class 2b.</t>
  </si>
  <si>
    <t>Enter the registry ID number in row 1510 of the table for production class 2b.</t>
  </si>
  <si>
    <t>Enter the registry ID number in row 1511 of the table for production class 2b.</t>
  </si>
  <si>
    <t>Enter the registry ID number in row 1512 of the table for production class 2b.</t>
  </si>
  <si>
    <t>Enter the registry ID number in row 1513 of the table for production class 2b.</t>
  </si>
  <si>
    <t>Enter the registry ID number in row 1514 of the table for production class 2b.</t>
  </si>
  <si>
    <t>Enter the registry ID number in row 1515 of the table for production class 2b.</t>
  </si>
  <si>
    <t>Enter the registry ID number in row 1516 of the table for production class 2b.</t>
  </si>
  <si>
    <t>Enter the registry ID number in row 1517 of the table for production class 2b.</t>
  </si>
  <si>
    <t>Enter the registry ID number in row 1518 of the table for production class 2b.</t>
  </si>
  <si>
    <t>Enter the registry ID number in row 1519 of the table for production class 2b.</t>
  </si>
  <si>
    <t>Enter the registry ID number in row 1520 of the table for production class 2b.</t>
  </si>
  <si>
    <t>Enter the registry ID number in row 1521 of the table for production class 2b.</t>
  </si>
  <si>
    <t>Enter the registry ID number in row 1522 of the table for production class 2b.</t>
  </si>
  <si>
    <t>Enter the registry ID number in row 1523 of the table for production class 2b.</t>
  </si>
  <si>
    <t>Enter the registry ID number in row 1524 of the table for production class 2b.</t>
  </si>
  <si>
    <t>Enter the registry ID number in row 1525 of the table for production class 2b.</t>
  </si>
  <si>
    <t>Enter the registry ID number in row 1526 of the table for production class 2b.</t>
  </si>
  <si>
    <t>Enter the registry ID number in row 1527 of the table for production class 2b.</t>
  </si>
  <si>
    <t>Enter the registry ID number in row 1528 of the table for production class 2b.</t>
  </si>
  <si>
    <t>Enter the registry ID number in row 1529 of the table for production class 2b.</t>
  </si>
  <si>
    <t>Enter the registry ID number in row 1530 of the table for production class 2b.</t>
  </si>
  <si>
    <t>Enter the registry ID number in row 1531 of the table for production class 2b.</t>
  </si>
  <si>
    <t>Enter the registry ID number in row 1532 of the table for production class 2b.</t>
  </si>
  <si>
    <t>Enter the registry ID number in row 1533 of the table for production class 2b.</t>
  </si>
  <si>
    <t>Enter the registry ID number in row 1534 of the table for production class 2b.</t>
  </si>
  <si>
    <t>Enter the registry ID number in row 1535 of the table for production class 2b.</t>
  </si>
  <si>
    <t>Enter the registry ID number in row 1536 of the table for production class 2b.</t>
  </si>
  <si>
    <t>Enter the registry ID number in row 1537 of the table for production class 2b.</t>
  </si>
  <si>
    <t>Enter the registry ID number in row 1538 of the table for production class 2b.</t>
  </si>
  <si>
    <t>Enter the registry ID number in row 1539 of the table for production class 2b.</t>
  </si>
  <si>
    <t>Enter the registry ID number in row 1540 of the table for production class 2b.</t>
  </si>
  <si>
    <t>Enter the registry ID number in row 1541 of the table for production class 2b.</t>
  </si>
  <si>
    <t>Enter the registry ID number in row 1542 of the table for production class 2b.</t>
  </si>
  <si>
    <t>Enter the registry ID number in row 1543 of the table for production class 2b.</t>
  </si>
  <si>
    <t>Enter the registry ID number in row 1544 of the table for production class 2b.</t>
  </si>
  <si>
    <t>Enter the registry ID number in row 1545 of the table for production class 2b.</t>
  </si>
  <si>
    <t>Enter the registry ID number in row 1546 of the table for production class 2b.</t>
  </si>
  <si>
    <t>Enter the registry ID number in row 1547 of the table for production class 2b.</t>
  </si>
  <si>
    <t>Enter the registry ID number in row 1548 of the table for production class 2b.</t>
  </si>
  <si>
    <t>Enter the registry ID number in row 1549 of the table for production class 2b.</t>
  </si>
  <si>
    <t>Enter the registry ID number in row 1550 of the table for production class 2b.</t>
  </si>
  <si>
    <t>Enter the registry ID number in row 1551 of the table for production class 2b.</t>
  </si>
  <si>
    <t>Enter the registry ID number in row 1552 of the table for production class 2b.</t>
  </si>
  <si>
    <t>Enter the registry ID number in row 1553 of the table for production class 2b.</t>
  </si>
  <si>
    <t>Enter the registry ID number in row 1554 of the table for production class 2b.</t>
  </si>
  <si>
    <t>Enter the registry ID number in row 1555 of the table for production class 2b.</t>
  </si>
  <si>
    <t>Enter the registry ID number in row 1556 of the table for production class 2b.</t>
  </si>
  <si>
    <t>Enter the registry ID number in row 1557 of the table for production class 2b.</t>
  </si>
  <si>
    <t>Enter the registry ID number in row 1558 of the table for production class 2b.</t>
  </si>
  <si>
    <t>Enter the registry ID number in row 1559 of the table for production class 2b.</t>
  </si>
  <si>
    <t>Enter the registry ID number in row 1560 of the table for production class 2b.</t>
  </si>
  <si>
    <t>Enter the registry ID number in row 1561 of the table for production class 2b.</t>
  </si>
  <si>
    <t>Enter the registry ID number in row 1562 of the table for production class 2b.</t>
  </si>
  <si>
    <t>Enter the registry ID number in row 1563 of the table for production class 2b.</t>
  </si>
  <si>
    <t>Enter the registry ID number in row 1564 of the table for production class 2b.</t>
  </si>
  <si>
    <t>Enter the registry ID number in row 1565 of the table for production class 2b.</t>
  </si>
  <si>
    <t>Enter the registry ID number in row 1566 of the table for production class 2b.</t>
  </si>
  <si>
    <t>Enter the registry ID number in row 1567 of the table for production class 2b.</t>
  </si>
  <si>
    <t>Enter the registry ID number in row 1568 of the table for production class 2b.</t>
  </si>
  <si>
    <t>Enter the registry ID number in row 1569 of the table for production class 2b.</t>
  </si>
  <si>
    <t>Enter the registry ID number in row 1570 of the table for production class 2b.</t>
  </si>
  <si>
    <t>Enter the registry ID number in row 1571 of the table for production class 2b.</t>
  </si>
  <si>
    <t>Enter the registry ID number in row 1572 of the table for production class 2b.</t>
  </si>
  <si>
    <t>Enter the registry ID number in row 1573 of the table for production class 2b.</t>
  </si>
  <si>
    <t>Enter the registry ID number in row 1574 of the table for production class 2b.</t>
  </si>
  <si>
    <t>Enter the registry ID number in row 1575 of the table for production class 2b.</t>
  </si>
  <si>
    <t>Enter the registry ID number in row 1576 of the table for production class 2b.</t>
  </si>
  <si>
    <t>Enter the registry ID number in row 1577 of the table for production class 2b.</t>
  </si>
  <si>
    <t>Enter the registry ID number in row 1578 of the table for production class 2b.</t>
  </si>
  <si>
    <t>Enter the registry ID number in row 1579 of the table for production class 2b.</t>
  </si>
  <si>
    <t>Enter the registry ID number in row 1580 of the table for production class 2b.</t>
  </si>
  <si>
    <t>Enter the registry ID number in row 1581 of the table for production class 2b.</t>
  </si>
  <si>
    <t>Enter the registry ID number in row 1582 of the table for production class 2b.</t>
  </si>
  <si>
    <t>Enter the registry ID number in row 1583 of the table for production class 2b.</t>
  </si>
  <si>
    <t>Enter the registry ID number in row 1584 of the table for production class 2b.</t>
  </si>
  <si>
    <t>Enter the registry ID number in row 1585 of the table for production class 2b.</t>
  </si>
  <si>
    <t>Enter the registry ID number in row 1586 of the table for production class 2b.</t>
  </si>
  <si>
    <t>Enter the registry ID number in row 1587 of the table for production class 2b.</t>
  </si>
  <si>
    <t>Enter the registry ID number in row 1588 of the table for production class 2b.</t>
  </si>
  <si>
    <t>Enter the registry ID number in row 1589 of the table for production class 2b.</t>
  </si>
  <si>
    <t>Enter the registry ID number in row 1590 of the table for production class 2b.</t>
  </si>
  <si>
    <t>Enter the registry ID number in row 1591 of the table for production class 2b.</t>
  </si>
  <si>
    <t>Enter the registry ID number in row 1592 of the table for production class 2b.</t>
  </si>
  <si>
    <t>Enter the registry ID number in row 1593 of the table for production class 2b.</t>
  </si>
  <si>
    <t>Enter the registry ID number in row 1594 of the table for production class 2b.</t>
  </si>
  <si>
    <t>Enter the registry ID number in row 1595 of the table for production class 2b.</t>
  </si>
  <si>
    <t>Enter the registry ID number in row 1596 of the table for production class 2b.</t>
  </si>
  <si>
    <t>Enter the registry ID number in row 1597 of the table for production class 2b.</t>
  </si>
  <si>
    <t>Enter the registry ID number in row 1598 of the table for production class 2b.</t>
  </si>
  <si>
    <t>Enter the registry ID number in row 1599 of the table for production class 2b.</t>
  </si>
  <si>
    <t>Enter the registry ID number in row 1600 of the table for production class 2b.</t>
  </si>
  <si>
    <t>Enter the registry ID number in row 1601 of the table for production class 2b.</t>
  </si>
  <si>
    <t>Enter the registry ID number in row 1602 of the table for production class 2b.</t>
  </si>
  <si>
    <t>Enter the registry ID number in row 1603 of the table for production class 2b.</t>
  </si>
  <si>
    <t>Enter the registry ID number in row 1604 of the table for production class 2b.</t>
  </si>
  <si>
    <t>Enter the registry ID number in row 1605 of the table for production class 2b.</t>
  </si>
  <si>
    <t>Enter the registry ID number in row 1606 of the table for production class 2b.</t>
  </si>
  <si>
    <t>Enter the registry ID number in row 1607 of the table for production class 2b.</t>
  </si>
  <si>
    <t>Enter the registry ID number in row 1608 of the table for production class 2b.</t>
  </si>
  <si>
    <t>Enter the registry ID number in row 1609 of the table for production class 2b.</t>
  </si>
  <si>
    <t>Enter the registry ID number in row 1610 of the table for production class 2b.</t>
  </si>
  <si>
    <t>Enter the registry ID number in row 1611 of the table for production class 2b.</t>
  </si>
  <si>
    <t>Enter the registry ID number in row 1612 of the table for production class 2b.</t>
  </si>
  <si>
    <t>Enter the registry ID number in row 1613 of the table for production class 2b.</t>
  </si>
  <si>
    <t>Enter the registry ID number in row 1614 of the table for production class 2b.</t>
  </si>
  <si>
    <t>Enter the registry ID number in row 1615 of the table for production class 2b.</t>
  </si>
  <si>
    <t>Enter the registry ID number in row 1616 of the table for production class 2b.</t>
  </si>
  <si>
    <t>Enter the registry ID number in row 1617 of the table for production class 2b.</t>
  </si>
  <si>
    <t>Enter the registry ID number in row 1618 of the table for production class 2b.</t>
  </si>
  <si>
    <t>Enter the registry ID number in row 1619 of the table for production class 2b.</t>
  </si>
  <si>
    <t>Enter the registry ID number in row 1620 of the table for production class 2b.</t>
  </si>
  <si>
    <t>Enter the registry ID number in row 1621 of the table for production class 2b.</t>
  </si>
  <si>
    <t>Enter the registry ID number in row 1622 of the table for production class 2b.</t>
  </si>
  <si>
    <t>Enter the registry ID number in row 1623 of the table for production class 2b.</t>
  </si>
  <si>
    <t>Enter the registry ID number in row 1624 of the table for production class 2b.</t>
  </si>
  <si>
    <t>Enter the registry ID number in row 1625 of the table for production class 2b.</t>
  </si>
  <si>
    <t>Enter the registry ID number in row 1626 of the table for production class 2b.</t>
  </si>
  <si>
    <t>Enter the registry ID number in row 1627 of the table for production class 2b.</t>
  </si>
  <si>
    <t>Enter the registry ID number in row 1628 of the table for production class 2b.</t>
  </si>
  <si>
    <t>Enter the registry ID number in row 1629 of the table for production class 2b.</t>
  </si>
  <si>
    <t>Enter the registry ID number in row 1630 of the table for production class 2b.</t>
  </si>
  <si>
    <t>Enter the registry ID number in row 1631 of the table for production class 2b.</t>
  </si>
  <si>
    <t>Enter the registry ID number in row 1632 of the table for production class 2b.</t>
  </si>
  <si>
    <t>Enter the registry ID number in row 1633 of the table for production class 2b.</t>
  </si>
  <si>
    <t>Enter the registry ID number in row 1634 of the table for production class 2b.</t>
  </si>
  <si>
    <t>Enter the registry ID number in row 1635 of the table for production class 2b.</t>
  </si>
  <si>
    <t>Enter the registry ID number in row 1636 of the table for production class 2b.</t>
  </si>
  <si>
    <t>Enter the registry ID number in row 1637 of the table for production class 2b.</t>
  </si>
  <si>
    <t>Enter the registry ID number in row 1638 of the table for production class 2b.</t>
  </si>
  <si>
    <t>Enter the registry ID number in row 1639 of the table for production class 2b.</t>
  </si>
  <si>
    <t>Enter the registry ID number in row 1640 of the table for production class 2b.</t>
  </si>
  <si>
    <t>Enter the registry ID number in row 1641 of the table for production class 2b.</t>
  </si>
  <si>
    <t>Enter the registry ID number in row 1642 of the table for production class 2b.</t>
  </si>
  <si>
    <t>Enter the registry ID number in row 1643 of the table for production class 2b.</t>
  </si>
  <si>
    <t>Enter the registry ID number in row 1644 of the table for production class 2b.</t>
  </si>
  <si>
    <t>Enter the registry ID number in row 1645 of the table for production class 2b.</t>
  </si>
  <si>
    <t>Enter the registry ID number in row 1646 of the table for production class 2b.</t>
  </si>
  <si>
    <t>Enter the registry ID number in row 1647 of the table for production class 2b.</t>
  </si>
  <si>
    <t>Enter the registry ID number in row 1648 of the table for production class 2b.</t>
  </si>
  <si>
    <t>Enter the registry ID number in row 1649 of the table for production class 2b.</t>
  </si>
  <si>
    <t>Enter the registry ID number in row 1650 of the table for production class 2b.</t>
  </si>
  <si>
    <t>Enter the registry ID number in row 1651 of the table for production class 2b.</t>
  </si>
  <si>
    <t>Enter the registry ID number in row 1652 of the table for production class 2b.</t>
  </si>
  <si>
    <t>Enter the registry ID number in row 1653 of the table for production class 2b.</t>
  </si>
  <si>
    <t>Enter the registry ID number in row 1654 of the table for production class 2b.</t>
  </si>
  <si>
    <t>Enter the registry ID number in row 1655 of the table for production class 2b.</t>
  </si>
  <si>
    <t>Enter the registry ID number in row 1656 of the table for production class 2b.</t>
  </si>
  <si>
    <t>Enter the registry ID number in row 1657 of the table for production class 2b.</t>
  </si>
  <si>
    <t>Enter the registry ID number in row 1658 of the table for production class 2b.</t>
  </si>
  <si>
    <t>Enter the registry ID number in row 1659 of the table for production class 2b.</t>
  </si>
  <si>
    <t>Enter the registry ID number in row 1660 of the table for production class 2b.</t>
  </si>
  <si>
    <t>Enter the registry ID number in row 1661 of the table for production class 2b.</t>
  </si>
  <si>
    <t>Enter the registry ID number in row 1662 of the table for production class 2b.</t>
  </si>
  <si>
    <t>Enter the registry ID number in row 1663 of the table for production class 2b.</t>
  </si>
  <si>
    <t>Enter the registry ID number in row 1664 of the table for production class 2b.</t>
  </si>
  <si>
    <t>Enter the registry ID number in row 1665 of the table for production class 2b.</t>
  </si>
  <si>
    <t>Enter the registry ID number in row 1666 of the table for production class 2b.</t>
  </si>
  <si>
    <t>Enter the registry ID number in row 1667 of the table for production class 2b.</t>
  </si>
  <si>
    <t>Enter the registry ID number in row 1668 of the table for production class 2b.</t>
  </si>
  <si>
    <t>Enter the registry ID number in row 1669 of the table for production class 2b.</t>
  </si>
  <si>
    <t>Enter the registry ID number in row 1670 of the table for production class 2b.</t>
  </si>
  <si>
    <t>Enter the registry ID number in row 1671 of the table for production class 2b.</t>
  </si>
  <si>
    <t>Enter the registry ID number in row 1672 of the table for production class 2b.</t>
  </si>
  <si>
    <t>Enter the registry ID number in row 1673 of the table for production class 2b.</t>
  </si>
  <si>
    <t>Enter the registry ID number in row 1674 of the table for production class 2b.</t>
  </si>
  <si>
    <t>Enter the registry ID number in row 1675 of the table for production class 2b.</t>
  </si>
  <si>
    <t>Enter the registry ID number in row 1676 of the table for production class 2b.</t>
  </si>
  <si>
    <t>Enter the registry ID number in row 1677 of the table for production class 2b.</t>
  </si>
  <si>
    <t>Enter the registry ID number in row 1678 of the table for production class 2b.</t>
  </si>
  <si>
    <t>Enter the registry ID number in row 1679 of the table for production class 2b.</t>
  </si>
  <si>
    <t>Enter the registry ID number in row 1680 of the table for production class 2b.</t>
  </si>
  <si>
    <t>Enter the registry ID number in row 1681 of the table for production class 2b.</t>
  </si>
  <si>
    <t>Enter the registry ID number in row 1682 of the table for production class 2b.</t>
  </si>
  <si>
    <t>Enter the registry ID number in row 1683 of the table for production class 2b.</t>
  </si>
  <si>
    <t>Enter the registry ID number in row 1684 of the table for production class 2b.</t>
  </si>
  <si>
    <t>Enter the registry ID number in row 1685 of the table for production class 2b.</t>
  </si>
  <si>
    <t>Enter the registry ID number in row 1686 of the table for production class 2b.</t>
  </si>
  <si>
    <t>Enter the registry ID number in row 1687 of the table for production class 2b.</t>
  </si>
  <si>
    <t>Enter the registry ID number in row 1688 of the table for production class 2b.</t>
  </si>
  <si>
    <t>Enter the registry ID number in row 1689 of the table for production class 2b.</t>
  </si>
  <si>
    <t>Enter the registry ID number in row 1690 of the table for production class 2b.</t>
  </si>
  <si>
    <t>Enter the registry ID number in row 1691 of the table for production class 2b.</t>
  </si>
  <si>
    <t>Enter the registry ID number in row 1692 of the table for production class 2b.</t>
  </si>
  <si>
    <t>Enter the registry ID number in row 1693 of the table for production class 2b.</t>
  </si>
  <si>
    <t>Enter the registry ID number in row 1694 of the table for production class 2b.</t>
  </si>
  <si>
    <t>Enter the registry ID number in row 1695 of the table for production class 2b.</t>
  </si>
  <si>
    <t>Enter the registry ID number in row 1696 of the table for production class 2b.</t>
  </si>
  <si>
    <t>Enter the registry ID number in row 1697 of the table for production class 2b.</t>
  </si>
  <si>
    <t>Enter the registry ID number in row 1698 of the table for production class 2b.</t>
  </si>
  <si>
    <t>Enter the registry ID number in row 1699 of the table for production class 2b.</t>
  </si>
  <si>
    <t>Enter the registry ID number in row 1700 of the table for production class 2b.</t>
  </si>
  <si>
    <t>Enter the registry ID number in row 1701 of the table for production class 2b.</t>
  </si>
  <si>
    <t>Enter the registry ID number in row 1702 of the table for production class 2b.</t>
  </si>
  <si>
    <t>Enter the registry ID number in row 1703 of the table for production class 2b.</t>
  </si>
  <si>
    <t>Enter the registry ID number in row 1704 of the table for production class 2b.</t>
  </si>
  <si>
    <t>Enter the registry ID number in row 1705 of the table for production class 2b.</t>
  </si>
  <si>
    <t>Enter the registry ID number in row 1706 of the table for production class 2b.</t>
  </si>
  <si>
    <t>Enter the registry ID number in row 1707 of the table for production class 2b.</t>
  </si>
  <si>
    <t>Enter the registry ID number in row 1708 of the table for production class 2b.</t>
  </si>
  <si>
    <t>Enter the registry ID number in row 1709 of the table for production class 2b.</t>
  </si>
  <si>
    <t>Enter the registry ID number in row 1710 of the table for production class 2b.</t>
  </si>
  <si>
    <t>Enter the registry ID number in row 1711 of the table for production class 2b.</t>
  </si>
  <si>
    <t>Enter the registry ID number in row 1712 of the table for production class 2b.</t>
  </si>
  <si>
    <t>Enter the registry ID number in row 1713 of the table for production class 2b.</t>
  </si>
  <si>
    <t>Enter the registry ID number in row 1714 of the table for production class 2b.</t>
  </si>
  <si>
    <t>Enter the registry ID number in row 1715 of the table for production class 2b.</t>
  </si>
  <si>
    <t>Enter the registry ID number in row 1716 of the table for production class 2b.</t>
  </si>
  <si>
    <t>Enter the registry ID number in row 1717 of the table for production class 2b.</t>
  </si>
  <si>
    <t>Enter the registry ID number in row 1718 of the table for production class 2b.</t>
  </si>
  <si>
    <t>Enter the registry ID number in row 1719 of the table for production class 2b.</t>
  </si>
  <si>
    <t>Enter the registry ID number in row 1720 of the table for production class 2b.</t>
  </si>
  <si>
    <t>Enter the registry ID number in row 1721 of the table for production class 2b.</t>
  </si>
  <si>
    <t>Enter the registry ID number in row 1722 of the table for production class 2b.</t>
  </si>
  <si>
    <t>Enter the registry ID number in row 1723 of the table for production class 2b.</t>
  </si>
  <si>
    <t>Enter the registry ID number in row 1724 of the table for production class 2b.</t>
  </si>
  <si>
    <t>Enter the registry ID number in row 1725 of the table for production class 2b.</t>
  </si>
  <si>
    <t>Enter the registry ID number in row 1726 of the table for production class 2b.</t>
  </si>
  <si>
    <t>Enter the registry ID number in row 1727 of the table for production class 2b.</t>
  </si>
  <si>
    <t>Enter the registry ID number in row 1728 of the table for production class 2b.</t>
  </si>
  <si>
    <t>Enter the registry ID number in row 1729 of the table for production class 2b.</t>
  </si>
  <si>
    <t>Enter the registry ID number in row 1730 of the table for production class 2b.</t>
  </si>
  <si>
    <t>Enter the registry ID number in row 1731 of the table for production class 2b.</t>
  </si>
  <si>
    <t>Enter the registry ID number in row 1732 of the table for production class 2b.</t>
  </si>
  <si>
    <t>Enter the registry ID number in row 1733 of the table for production class 2b.</t>
  </si>
  <si>
    <t>Enter the registry ID number in row 1734 of the table for production class 2b.</t>
  </si>
  <si>
    <t>Enter the registry ID number in row 1735 of the table for production class 2b.</t>
  </si>
  <si>
    <t>Enter the registry ID number in row 1736 of the table for production class 2b.</t>
  </si>
  <si>
    <t>Enter the registry ID number in row 1737 of the table for production class 2b.</t>
  </si>
  <si>
    <t>Enter the registry ID number in row 1738 of the table for production class 2b.</t>
  </si>
  <si>
    <t>Enter the registry ID number in row 1739 of the table for production class 2b.</t>
  </si>
  <si>
    <t>Enter the registry ID number in row 1740 of the table for production class 2b.</t>
  </si>
  <si>
    <t>Enter the registry ID number in row 1741 of the table for production class 2b.</t>
  </si>
  <si>
    <t>Enter the registry ID number in row 1742 of the table for production class 2b.</t>
  </si>
  <si>
    <t>Enter the registry ID number in row 1743 of the table for production class 2b.</t>
  </si>
  <si>
    <t>Enter the registry ID number in row 1744 of the table for production class 2b.</t>
  </si>
  <si>
    <t>Enter the registry ID number in row 1745 of the table for production class 2b.</t>
  </si>
  <si>
    <t>Enter the registry ID number in row 1746 of the table for production class 2b.</t>
  </si>
  <si>
    <t>Enter the registry ID number in row 1747 of the table for production class 2b.</t>
  </si>
  <si>
    <t>Enter the registry ID number in row 1748 of the table for production class 2b.</t>
  </si>
  <si>
    <t>Enter the registry ID number in row 1749 of the table for production class 2b.</t>
  </si>
  <si>
    <t>Enter the registry ID number in row 1750 of the table for production class 2b.</t>
  </si>
  <si>
    <t>Enter the registry ID number in row 1751 of the table for production class 2b.</t>
  </si>
  <si>
    <t>Enter the registry ID number in row 1752 of the table for production class 2b.</t>
  </si>
  <si>
    <t>Enter the registry ID number in row 1753 of the table for production class 2b.</t>
  </si>
  <si>
    <t>Enter the registry ID number in row 1754 of the table for production class 2b.</t>
  </si>
  <si>
    <t>Enter the registry ID number in row 1755 of the table for production class 2b.</t>
  </si>
  <si>
    <t>Enter the registry ID number in row 1756 of the table for production class 2b.</t>
  </si>
  <si>
    <t>Enter the registry ID number in row 1757 of the table for production class 2b.</t>
  </si>
  <si>
    <t>Enter the registry ID number in row 1758 of the table for production class 2b.</t>
  </si>
  <si>
    <t>Enter the registry ID number in row 1759 of the table for production class 2b.</t>
  </si>
  <si>
    <t>Enter the registry ID number in row 1760 of the table for production class 2b.</t>
  </si>
  <si>
    <t>Enter the registry ID number in row 1761 of the table for production class 2b.</t>
  </si>
  <si>
    <t>Enter the registry ID number in row 1762 of the table for production class 2b.</t>
  </si>
  <si>
    <t>Enter the registry ID number in row 1763 of the table for production class 2b.</t>
  </si>
  <si>
    <t>Enter the registry ID number in row 1764 of the table for production class 2b.</t>
  </si>
  <si>
    <t>Enter the registry ID number in row 1765 of the table for production class 2b.</t>
  </si>
  <si>
    <t>Enter the registry ID number in row 1766 of the table for production class 2b.</t>
  </si>
  <si>
    <t>Enter the registry ID number in row 1767 of the table for production class 2b.</t>
  </si>
  <si>
    <t>Enter the registry ID number in row 1768 of the table for production class 2b.</t>
  </si>
  <si>
    <t>Enter the registry ID number in row 1769 of the table for production class 2b.</t>
  </si>
  <si>
    <t>Enter the registry ID number in row 1770 of the table for production class 2b.</t>
  </si>
  <si>
    <t>Enter the registry ID number in row 1771 of the table for production class 2b.</t>
  </si>
  <si>
    <t>Enter the registry ID number in row 1772 of the table for production class 2b.</t>
  </si>
  <si>
    <t>Enter the registry ID number in row 1773 of the table for production class 2b.</t>
  </si>
  <si>
    <t>Enter the registry ID number in row 1774 of the table for production class 2b.</t>
  </si>
  <si>
    <t>Enter the registry ID number in row 1775 of the table for production class 2b.</t>
  </si>
  <si>
    <t>Enter the registry ID number in row 1776 of the table for production class 2b.</t>
  </si>
  <si>
    <t>Enter the registry ID number in row 1777 of the table for production class 2b.</t>
  </si>
  <si>
    <t>Enter the registry ID number in row 1778 of the table for production class 2b.</t>
  </si>
  <si>
    <t>Enter the registry ID number in row 1779 of the table for production class 2b.</t>
  </si>
  <si>
    <t>Enter the registry ID number in row 1780 of the table for production class 2b.</t>
  </si>
  <si>
    <t>Enter the registry ID number in row 1781 of the table for production class 2b.</t>
  </si>
  <si>
    <t>Enter the registry ID number in row 1782 of the table for production class 2b.</t>
  </si>
  <si>
    <t>Enter the registry ID number in row 1783 of the table for production class 2b.</t>
  </si>
  <si>
    <t>Enter the registry ID number in row 1784 of the table for production class 2b.</t>
  </si>
  <si>
    <t>Enter the registry ID number in row 1785 of the table for production class 2b.</t>
  </si>
  <si>
    <t>Enter the registry ID number in row 1786 of the table for production class 2b.</t>
  </si>
  <si>
    <t>Enter the registry ID number in row 1787 of the table for production class 2b.</t>
  </si>
  <si>
    <t>Enter the registry ID number in row 1788 of the table for production class 2b.</t>
  </si>
  <si>
    <t>Enter the registry ID number in row 1789 of the table for production class 2b.</t>
  </si>
  <si>
    <t>Enter the registry ID number in row 1790 of the table for production class 2b.</t>
  </si>
  <si>
    <t>Enter the registry ID number in row 1791 of the table for production class 2b.</t>
  </si>
  <si>
    <t>Enter the registry ID number in row 1792 of the table for production class 2b.</t>
  </si>
  <si>
    <t>Enter the registry ID number in row 1793 of the table for production class 2b.</t>
  </si>
  <si>
    <t>Enter the registry ID number in row 1794 of the table for production class 2b.</t>
  </si>
  <si>
    <t>Enter the registry ID number in row 1795 of the table for production class 2b.</t>
  </si>
  <si>
    <t>Enter the registry ID number in row 1796 of the table for production class 2b.</t>
  </si>
  <si>
    <t>Enter the registry ID number in row 1797 of the table for production class 2b.</t>
  </si>
  <si>
    <t>Enter the registry ID number in row 1798 of the table for production class 2b.</t>
  </si>
  <si>
    <t>Enter the registry ID number in row 1799 of the table for production class 2b.</t>
  </si>
  <si>
    <t>Enter the registry ID number in row 1800 of the table for production class 2b.</t>
  </si>
  <si>
    <t>Enter the registry ID number in row 1801 of the table for production class 2b.</t>
  </si>
  <si>
    <t>Enter the registry ID number in row 1802 of the table for production class 2b.</t>
  </si>
  <si>
    <t>Enter the registry ID number in row 1803 of the table for production class 2b.</t>
  </si>
  <si>
    <t>Enter the registry ID number in row 1804 of the table for production class 2b.</t>
  </si>
  <si>
    <t>Enter the registry ID number in row 1805 of the table for production class 2b.</t>
  </si>
  <si>
    <t>Enter the registry ID number in row 1806 of the table for production class 2b.</t>
  </si>
  <si>
    <t>Enter the registry ID number in row 1807 of the table for production class 2b.</t>
  </si>
  <si>
    <t>Enter the registry ID number in row 1808 of the table for production class 2b.</t>
  </si>
  <si>
    <t>Enter the registry ID number in row 1809 of the table for production class 2b.</t>
  </si>
  <si>
    <t>Enter the registry ID number in row 1810 of the table for production class 2b.</t>
  </si>
  <si>
    <t>Enter the registry ID number in row 1811 of the table for production class 2b.</t>
  </si>
  <si>
    <t>Enter the registry ID number in row 1812 of the table for production class 2b.</t>
  </si>
  <si>
    <t>Enter the registry ID number in row 1813 of the table for production class 2b.</t>
  </si>
  <si>
    <t>Enter the registry ID number in row 1814 of the table for production class 2b.</t>
  </si>
  <si>
    <t>Enter the registry ID number in row 1815 of the table for production class 2b.</t>
  </si>
  <si>
    <t>Enter the registry ID number in row 1816 of the table for production class 2b.</t>
  </si>
  <si>
    <t>Enter the registry ID number in row 1817 of the table for production class 2b.</t>
  </si>
  <si>
    <t>Enter the registry ID number in row 1818 of the table for production class 2b.</t>
  </si>
  <si>
    <t>Enter the registry ID number in row 1819 of the table for production class 2b.</t>
  </si>
  <si>
    <t>Enter the registry ID number in row 1820 of the table for production class 2b.</t>
  </si>
  <si>
    <t>Enter the registry ID number in row 1821 of the table for production class 2b.</t>
  </si>
  <si>
    <t>Enter the registry ID number in row 1822 of the table for production class 2b.</t>
  </si>
  <si>
    <t>Enter the registry ID number in row 1823 of the table for production class 2b.</t>
  </si>
  <si>
    <t>Enter the registry ID number in row 1824 of the table for production class 2b.</t>
  </si>
  <si>
    <t>Enter the registry ID number in row 1825 of the table for production class 2b.</t>
  </si>
  <si>
    <t>Enter the registry ID number in row 1826 of the table for production class 2b.</t>
  </si>
  <si>
    <t>Enter the registry ID number in row 1827 of the table for production class 2b.</t>
  </si>
  <si>
    <t>Enter the registry ID number in row 1828 of the table for production class 2b.</t>
  </si>
  <si>
    <t>Enter the registry ID number in row 1829 of the table for production class 2b.</t>
  </si>
  <si>
    <t>Enter the registry ID number in row 1830 of the table for production class 2b.</t>
  </si>
  <si>
    <t>Enter the registry ID number in row 1831 of the table for production class 2b.</t>
  </si>
  <si>
    <t>Enter the registry ID number in row 1832 of the table for production class 2b.</t>
  </si>
  <si>
    <t>Enter the registry ID number in row 1833 of the table for production class 2b.</t>
  </si>
  <si>
    <t>Enter the registry ID number in row 1834 of the table for production class 2b.</t>
  </si>
  <si>
    <t>Enter the registry ID number in row 1835 of the table for production class 2b.</t>
  </si>
  <si>
    <t>Enter the registry ID number in row 1836 of the table for production class 2b.</t>
  </si>
  <si>
    <t>Enter the registry ID number in row 1837 of the table for production class 2b.</t>
  </si>
  <si>
    <t>Enter the registry ID number in row 1838 of the table for production class 2b.</t>
  </si>
  <si>
    <t>Enter the registry ID number in row 1839 of the table for production class 2b.</t>
  </si>
  <si>
    <t>Enter the registry ID number in row 1840 of the table for production class 2b.</t>
  </si>
  <si>
    <t>Enter the registry ID number in row 1841 of the table for production class 2b.</t>
  </si>
  <si>
    <t>Enter the registry ID number in row 1842 of the table for production class 2b.</t>
  </si>
  <si>
    <t>Enter the registry ID number in row 1843 of the table for production class 2b.</t>
  </si>
  <si>
    <t>Enter the registry ID number in row 1844 of the table for production class 2b.</t>
  </si>
  <si>
    <t>Enter the registry ID number in row 1845 of the table for production class 2b.</t>
  </si>
  <si>
    <t>Enter the registry ID number in row 1846 of the table for production class 2b.</t>
  </si>
  <si>
    <t>Enter the registry ID number in row 1847 of the table for production class 2b.</t>
  </si>
  <si>
    <t>Enter the registry ID number in row 1848 of the table for production class 2b.</t>
  </si>
  <si>
    <t>Enter the registry ID number in row 1849 of the table for production class 2b.</t>
  </si>
  <si>
    <t>Enter the registry ID number in row 1850 of the table for production class 2b.</t>
  </si>
  <si>
    <t>Enter the registry ID number in row 1851 of the table for production class 2b.</t>
  </si>
  <si>
    <t>Enter the registry ID number in row 1852 of the table for production class 2b.</t>
  </si>
  <si>
    <t>Enter the registry ID number in row 1853 of the table for production class 2b.</t>
  </si>
  <si>
    <t>Enter the registry ID number in row 1854 of the table for production class 2b.</t>
  </si>
  <si>
    <t>Enter the registry ID number in row 1855 of the table for production class 2b.</t>
  </si>
  <si>
    <t>Enter the registry ID number in row 1856 of the table for production class 2b.</t>
  </si>
  <si>
    <t>Enter the registry ID number in row 1857 of the table for production class 2b.</t>
  </si>
  <si>
    <t>Enter the registry ID number in row 1858 of the table for production class 2b.</t>
  </si>
  <si>
    <t>Enter the registry ID number in row 1859 of the table for production class 2b.</t>
  </si>
  <si>
    <t>Enter the registry ID number in row 1860 of the table for production class 2b.</t>
  </si>
  <si>
    <t>Enter the registry ID number in row 1861 of the table for production class 2b.</t>
  </si>
  <si>
    <t>Enter the registry ID number in row 1862 of the table for production class 2b.</t>
  </si>
  <si>
    <t>Enter the registry ID number in row 1863 of the table for production class 2b.</t>
  </si>
  <si>
    <t>Enter the registry ID number in row 1864 of the table for production class 2b.</t>
  </si>
  <si>
    <t>Enter the registry ID number in row 1865 of the table for production class 2b.</t>
  </si>
  <si>
    <t>Enter the registry ID number in row 1866 of the table for production class 2b.</t>
  </si>
  <si>
    <t>Enter the registry ID number in row 1867 of the table for production class 2b.</t>
  </si>
  <si>
    <t>Enter the registry ID number in row 1868 of the table for production class 2b.</t>
  </si>
  <si>
    <t>Enter the registry ID number in row 1869 of the table for production class 2b.</t>
  </si>
  <si>
    <t>Enter the registry ID number in row 1870 of the table for production class 2b.</t>
  </si>
  <si>
    <t>Enter the registry ID number in row 1871 of the table for production class 2b.</t>
  </si>
  <si>
    <t>Enter the registry ID number in row 1872 of the table for production class 2b.</t>
  </si>
  <si>
    <t>Enter the registry ID number in row 1873 of the table for production class 2b.</t>
  </si>
  <si>
    <t>Enter the registry ID number in row 1874 of the table for production class 2b.</t>
  </si>
  <si>
    <t>Enter the registry ID number in row 1875 of the table for production class 2b.</t>
  </si>
  <si>
    <t>Enter the registry ID number in row 1876 of the table for production class 2b.</t>
  </si>
  <si>
    <t>Enter the registry ID number in row 1877 of the table for production class 2b.</t>
  </si>
  <si>
    <t>Enter the registry ID number in row 1878 of the table for production class 2b.</t>
  </si>
  <si>
    <t>Enter the registry ID number in row 1879 of the table for production class 2b.</t>
  </si>
  <si>
    <t>Enter the registry ID number in row 1880 of the table for production class 2b.</t>
  </si>
  <si>
    <t>Enter the registry ID number in row 1881 of the table for production class 2b.</t>
  </si>
  <si>
    <t>Enter the registry ID number in row 1882 of the table for production class 2b.</t>
  </si>
  <si>
    <t>Enter the registry ID number in row 1883 of the table for production class 2b.</t>
  </si>
  <si>
    <t>Enter the registry ID number in row 1884 of the table for production class 2b.</t>
  </si>
  <si>
    <t>Enter the registry ID number in row 1885 of the table for production class 2b.</t>
  </si>
  <si>
    <t>Enter the registry ID number in row 1886 of the table for production class 2b.</t>
  </si>
  <si>
    <t>Enter the registry ID number in row 1887 of the table for production class 2b.</t>
  </si>
  <si>
    <t>Enter the registry ID number in row 1888 of the table for production class 2b.</t>
  </si>
  <si>
    <t>Enter the registry ID number in row 1889 of the table for production class 2b.</t>
  </si>
  <si>
    <t>Enter the registry ID number in row 1890 of the table for production class 2b.</t>
  </si>
  <si>
    <t>Enter the registry ID number in row 1891 of the table for production class 2b.</t>
  </si>
  <si>
    <t>Enter the registry ID number in row 1892 of the table for production class 2b.</t>
  </si>
  <si>
    <t>Enter the registry ID number in row 1893 of the table for production class 2b.</t>
  </si>
  <si>
    <t>Enter the registry ID number in row 1894 of the table for production class 2b.</t>
  </si>
  <si>
    <t>Enter the registry ID number in row 1895 of the table for production class 2b.</t>
  </si>
  <si>
    <t>Enter the registry ID number in row 1896 of the table for production class 2b.</t>
  </si>
  <si>
    <t>Enter the registry ID number in row 1897 of the table for production class 2b.</t>
  </si>
  <si>
    <t>Enter the registry ID number in row 1898 of the table for production class 2b.</t>
  </si>
  <si>
    <t>Enter the registry ID number in row 1899 of the table for production class 2b.</t>
  </si>
  <si>
    <t>Enter the registry ID number in row 1900 of the table for production class 2b.</t>
  </si>
  <si>
    <t>Enter the registry ID number in row 1901 of the table for production class 2b.</t>
  </si>
  <si>
    <t>Enter the registry ID number in row 1902 of the table for production class 2b.</t>
  </si>
  <si>
    <t>Enter the registry ID number in row 1903 of the table for production class 2b.</t>
  </si>
  <si>
    <t>Enter the registry ID number in row 1904 of the table for production class 2b.</t>
  </si>
  <si>
    <t>Enter the registry ID number in row 1905 of the table for production class 2b.</t>
  </si>
  <si>
    <t>Enter the registry ID number in row 1906 of the table for production class 2b.</t>
  </si>
  <si>
    <t>Enter the registry ID number in row 1907 of the table for production class 2b.</t>
  </si>
  <si>
    <t>Enter the registry ID number in row 1908 of the table for production class 2b.</t>
  </si>
  <si>
    <t>Enter the registry ID number in row 1909 of the table for production class 2b.</t>
  </si>
  <si>
    <t>Enter the registry ID number in row 1910 of the table for production class 2b.</t>
  </si>
  <si>
    <t>Enter the registry ID number in row 1911 of the table for production class 2b.</t>
  </si>
  <si>
    <t>Enter the registry ID number in row 1912 of the table for production class 2b.</t>
  </si>
  <si>
    <t>Enter the registry ID number in row 1913 of the table for production class 2b.</t>
  </si>
  <si>
    <t>Enter the registry ID number in row 1914 of the table for production class 2b.</t>
  </si>
  <si>
    <t>Enter the registry ID number in row 1915 of the table for production class 2b.</t>
  </si>
  <si>
    <t>Enter the registry ID number in row 1916 of the table for production class 2b.</t>
  </si>
  <si>
    <t>Enter the registry ID number in row 1917 of the table for production class 2b.</t>
  </si>
  <si>
    <t>Enter the registry ID number in row 1918 of the table for production class 2b.</t>
  </si>
  <si>
    <t>Enter the registry ID number in row 1919 of the table for production class 2b.</t>
  </si>
  <si>
    <t>Enter the registry ID number in row 1920 of the table for production class 2b.</t>
  </si>
  <si>
    <t>Enter the registry ID number in row 1921 of the table for production class 2b.</t>
  </si>
  <si>
    <t>Enter the registry ID number in row 1922 of the table for production class 2b.</t>
  </si>
  <si>
    <t>Enter the registry ID number in row 1923 of the table for production class 2b.</t>
  </si>
  <si>
    <t>Enter the registry ID number in row 1924 of the table for production class 2b.</t>
  </si>
  <si>
    <t>Enter the registry ID number in row 1925 of the table for production class 2b.</t>
  </si>
  <si>
    <t>Enter the registry ID number in row 1926 of the table for production class 2b.</t>
  </si>
  <si>
    <t>Enter the registry ID number in row 1927 of the table for production class 2b.</t>
  </si>
  <si>
    <t>Enter the registry ID number in row 1928 of the table for production class 2b.</t>
  </si>
  <si>
    <t>Enter the registry ID number in row 1929 of the table for production class 2b.</t>
  </si>
  <si>
    <t>Enter the registry ID number in row 1930 of the table for production class 2b.</t>
  </si>
  <si>
    <t>Enter the registry ID number in row 1931 of the table for production class 2b.</t>
  </si>
  <si>
    <t>Enter the registry ID number in row 1932 of the table for production class 2b.</t>
  </si>
  <si>
    <t>Enter the registry ID number in row 1933 of the table for production class 2b.</t>
  </si>
  <si>
    <t>Enter the registry ID number in row 1934 of the table for production class 2b.</t>
  </si>
  <si>
    <t>Enter the registry ID number in row 1935 of the table for production class 2b.</t>
  </si>
  <si>
    <t>Enter the registry ID number in row 1936 of the table for production class 2b.</t>
  </si>
  <si>
    <t>Enter the registry ID number in row 1937 of the table for production class 2b.</t>
  </si>
  <si>
    <t>Enter the registry ID number in row 1938 of the table for production class 2b.</t>
  </si>
  <si>
    <t>Enter the registry ID number in row 1939 of the table for production class 2b.</t>
  </si>
  <si>
    <t>Enter the registry ID number in row 1940 of the table for production class 2b.</t>
  </si>
  <si>
    <t>Enter the registry ID number in row 1941 of the table for production class 2b.</t>
  </si>
  <si>
    <t>Enter the registry ID number in row 1942 of the table for production class 2b.</t>
  </si>
  <si>
    <t>Enter the registry ID number in row 1943 of the table for production class 2b.</t>
  </si>
  <si>
    <t>Enter the registry ID number in row 1944 of the table for production class 2b.</t>
  </si>
  <si>
    <t>Enter the registry ID number in row 1945 of the table for production class 2b.</t>
  </si>
  <si>
    <t>Enter the registry ID number in row 1946 of the table for production class 2b.</t>
  </si>
  <si>
    <t>Enter the registry ID number in row 1947 of the table for production class 2b.</t>
  </si>
  <si>
    <t>Enter the registry ID number in row 1948 of the table for production class 2b.</t>
  </si>
  <si>
    <t>Enter the registry ID number in row 1949 of the table for production class 2b.</t>
  </si>
  <si>
    <t>Enter the registry ID number in row 1950 of the table for production class 2b.</t>
  </si>
  <si>
    <t>Enter the registry ID number in row 1951 of the table for production class 2b.</t>
  </si>
  <si>
    <t>Enter the registry ID number in row 1952 of the table for production class 2b.</t>
  </si>
  <si>
    <t>Enter the registry ID number in row 1953 of the table for production class 2b.</t>
  </si>
  <si>
    <t>Enter the registry ID number in row 1954 of the table for production class 2b.</t>
  </si>
  <si>
    <t>Enter the registry ID number in row 1955 of the table for production class 2b.</t>
  </si>
  <si>
    <t>Enter the registry ID number in row 1956 of the table for production class 2b.</t>
  </si>
  <si>
    <t>Enter the registry ID number in row 1957 of the table for production class 2b.</t>
  </si>
  <si>
    <t>Enter the registry ID number in row 1958 of the table for production class 2b.</t>
  </si>
  <si>
    <t>Enter the registry ID number in row 1959 of the table for production class 2b.</t>
  </si>
  <si>
    <t>Enter the registry ID number in row 1960 of the table for production class 2b.</t>
  </si>
  <si>
    <t>Enter the registry ID number in row 1961 of the table for production class 2b.</t>
  </si>
  <si>
    <t>Enter the registry ID number in row 1962 of the table for production class 2b.</t>
  </si>
  <si>
    <t>Enter the registry ID number in row 1963 of the table for production class 2b.</t>
  </si>
  <si>
    <t>Enter the registry ID number in row 1964 of the table for production class 2b.</t>
  </si>
  <si>
    <t>Enter the registry ID number in row 1965 of the table for production class 2b.</t>
  </si>
  <si>
    <t>Enter the registry ID number in row 1966 of the table for production class 2b.</t>
  </si>
  <si>
    <t>Enter the registry ID number in row 1967 of the table for production class 2b.</t>
  </si>
  <si>
    <t>Enter the registry ID number in row 1968 of the table for production class 2b.</t>
  </si>
  <si>
    <t>Enter the registry ID number in row 1969 of the table for production class 2b.</t>
  </si>
  <si>
    <t>Enter the registry ID number in row 1970 of the table for production class 2b.</t>
  </si>
  <si>
    <t>Enter the registry ID number in row 1971 of the table for production class 2b.</t>
  </si>
  <si>
    <t>Enter the registry ID number in row 1972 of the table for production class 2b.</t>
  </si>
  <si>
    <t>Enter the registry ID number in row 1973 of the table for production class 2b.</t>
  </si>
  <si>
    <t>Enter the registry ID number in row 1974 of the table for production class 2b.</t>
  </si>
  <si>
    <t>Enter the registry ID number in row 1975 of the table for production class 2b.</t>
  </si>
  <si>
    <t>Enter the registry ID number in row 1976 of the table for production class 2b.</t>
  </si>
  <si>
    <t>Enter the registry ID number in row 1977 of the table for production class 2b.</t>
  </si>
  <si>
    <t>Enter the registry ID number in row 1978 of the table for production class 2b.</t>
  </si>
  <si>
    <t>Enter the registry ID number in row 1979 of the table for production class 2b.</t>
  </si>
  <si>
    <t>Enter the registry ID number in row 1980 of the table for production class 2b.</t>
  </si>
  <si>
    <t>Enter the registry ID number in row 1981 of the table for production class 2b.</t>
  </si>
  <si>
    <t>Enter the registry ID number in row 1982 of the table for production class 2b.</t>
  </si>
  <si>
    <t>Enter the registry ID number in row 1983 of the table for production class 2b.</t>
  </si>
  <si>
    <t>Enter the registry ID number in row 1984 of the table for production class 2b.</t>
  </si>
  <si>
    <t>Enter the registry ID number in row 1985 of the table for production class 2b.</t>
  </si>
  <si>
    <t>Enter the registry ID number in row 1986 of the table for production class 2b.</t>
  </si>
  <si>
    <t>Enter the registry ID number in row 1987 of the table for production class 2b.</t>
  </si>
  <si>
    <t>Enter the registry ID number in row 1988 of the table for production class 2b.</t>
  </si>
  <si>
    <t>Enter the registry ID number in row 1989 of the table for production class 2b.</t>
  </si>
  <si>
    <t>Enter the registry ID number in row 1990 of the table for production class 2b.</t>
  </si>
  <si>
    <t>Enter the registry ID number in row 1991 of the table for production class 2b.</t>
  </si>
  <si>
    <t>Enter the registry ID number in row 1992 of the table for production class 2b.</t>
  </si>
  <si>
    <t>Enter the registry ID number in row 1993 of the table for production class 2b.</t>
  </si>
  <si>
    <t>Enter the registry ID number in row 1994 of the table for production class 2b.</t>
  </si>
  <si>
    <t>Enter the registry ID number in row 1995 of the table for production class 2b.</t>
  </si>
  <si>
    <t>Enter the registry ID number in row 1996 of the table for production class 2b.</t>
  </si>
  <si>
    <t>Enter the registry ID number in row 1997 of the table for production class 2b.</t>
  </si>
  <si>
    <t>Enter the registry ID number in row 1998 of the table for production class 2b.</t>
  </si>
  <si>
    <t>Enter the registry ID number in row 1999 of the table for production class 2b.</t>
  </si>
  <si>
    <t>Enter the registry ID number in row 2000 of the table for production class 2b.</t>
  </si>
  <si>
    <t>Enter the registry ID number in row 2001 of the table for production class 2b.</t>
  </si>
  <si>
    <t>Enter the registry ID number in row 2002 of the table for production class 2b.</t>
  </si>
  <si>
    <t>Enter the registry ID number in row 2003 of the table for production class 2b.</t>
  </si>
  <si>
    <t>Enter the registry ID number in row 2004 of the table for production class 2b.</t>
  </si>
  <si>
    <t>Enter the registry ID number in row 2005 of the table for production class 2b.</t>
  </si>
  <si>
    <t>Enter the registry ID number in row 2006 of the table for production class 2b.</t>
  </si>
  <si>
    <t>Enter the registry ID number in row 2007 of the table for production class 2b.</t>
  </si>
  <si>
    <t>Enter the registry ID number in row 2008 of the table for production class 2b.</t>
  </si>
  <si>
    <t>Enter the registry ID number in row 2009 of the table for production class 2b.</t>
  </si>
  <si>
    <t>Enter the registry ID number in row 2010 of the table for production class 2b.</t>
  </si>
  <si>
    <t>Enter the registry ID number in row 2011 of the table for production class 2b.</t>
  </si>
  <si>
    <t>Enter the registry ID number in row 2012 of the table for production class 2b.</t>
  </si>
  <si>
    <t>Enter the registry ID number in row 2013 of the table for production class 2b.</t>
  </si>
  <si>
    <t>Enter the registry ID number in row 2014 of the table for production class 2b.</t>
  </si>
  <si>
    <t>Enter the registry ID number in row 2015 of the table for production class 2b.</t>
  </si>
  <si>
    <t>Enter the registry ID number in row 2016 of the table for production class 2b.</t>
  </si>
  <si>
    <t>Enter the registry ID number in row 2017 of the table for production class 2b.</t>
  </si>
  <si>
    <t>Enter the registry ID number in row 2018 of the table for production class 2b.</t>
  </si>
  <si>
    <t>Enter the registry ID number in row 2019 of the table for production class 2b.</t>
  </si>
  <si>
    <t>Enter the registry ID number in row 2020 of the table for production class 2b.</t>
  </si>
  <si>
    <t>Enter the registry ID number in row 2021 of the table for production class 2b.</t>
  </si>
  <si>
    <t>Enter the registry ID number in row 2022 of the table for production class 2b.</t>
  </si>
  <si>
    <t>Enter the registry ID number in row 2023 of the table for production class 2b.</t>
  </si>
  <si>
    <t>Enter the registry ID number in row 2024 of the table for production class 2b.</t>
  </si>
  <si>
    <t>Enter the registry ID number in row 2025 of the table for production class 2b.</t>
  </si>
  <si>
    <t>Enter the registry ID number in row 2026 of the table for production class 2b.</t>
  </si>
  <si>
    <t>Enter the registry ID number in row 2027 of the table for production class 2b.</t>
  </si>
  <si>
    <t>Enter the registry ID number in row 2028 of the table for production class 2b.</t>
  </si>
  <si>
    <t>Enter the registry ID number in row 2029 of the table for production class 2b.</t>
  </si>
  <si>
    <t>Enter the registry ID number in row 2030 of the table for production class 2b.</t>
  </si>
  <si>
    <t>Enter the registry ID number in row 2031 of the table for production class 2b.</t>
  </si>
  <si>
    <t>Enter the registry ID number in row 2032 of the table for production class 2b.</t>
  </si>
  <si>
    <t>Enter the registry ID number in row 2033 of the table for production class 2b.</t>
  </si>
  <si>
    <t>Enter the registry ID number in row 2034 of the table for production class 2b.</t>
  </si>
  <si>
    <t>Enter the registry ID number in row 2035 of the table for production class 2b.</t>
  </si>
  <si>
    <t>Enter the registry ID number in row 2036 of the table for production class 2b.</t>
  </si>
  <si>
    <t>Enter the registry ID number in row 2037 of the table for production class 2b.</t>
  </si>
  <si>
    <t>Enter the registry ID number in row 2038 of the table for production class 2b.</t>
  </si>
  <si>
    <t>Enter the registry ID number in row 2039 of the table for production class 2b.</t>
  </si>
  <si>
    <t>Enter the registry ID number in row 2040 of the table for production class 2b.</t>
  </si>
  <si>
    <t>Enter the registry ID number in row 2041 of the table for production class 2b.</t>
  </si>
  <si>
    <t>Enter the registry ID number in row 2042 of the table for production class 2b.</t>
  </si>
  <si>
    <t>Enter the registry ID number in row 2043 of the table for production class 2b.</t>
  </si>
  <si>
    <t>Enter the registry ID number in row 2044 of the table for production class 2b.</t>
  </si>
  <si>
    <t>Enter the registry ID number in row 2045 of the table for production class 2b.</t>
  </si>
  <si>
    <t>Enter the registry ID number in row 2046 of the table for production class 2b.</t>
  </si>
  <si>
    <t>Enter the registry ID number in row 2047 of the table for production class 2b.</t>
  </si>
  <si>
    <t>Enter the registry ID number in row 2048 of the table for production class 2b.</t>
  </si>
  <si>
    <t>Enter the registry ID number in row 2049 of the table for production class 2b.</t>
  </si>
  <si>
    <t>Enter the registry ID number in row 2050 of the table for production class 2b.</t>
  </si>
  <si>
    <t>Enter the registry ID number in row 2051 of the table for production class 2b.</t>
  </si>
  <si>
    <t>Enter the registry ID number in row 2052 of the table for production class 2b.</t>
  </si>
  <si>
    <t>Enter the registry ID number in row 2053 of the table for production class 2b.</t>
  </si>
  <si>
    <t>Enter the registry ID number in row 2054 of the table for production class 2b.</t>
  </si>
  <si>
    <t>Enter the registry ID number in row 2055 of the table for production class 2b.</t>
  </si>
  <si>
    <t>Enter the registry ID number in row 2056 of the table for production class 2b.</t>
  </si>
  <si>
    <t>Enter the registry ID number in row 2057 of the table for production class 2b.</t>
  </si>
  <si>
    <t>Enter the registry ID number in row 2058 of the table for production class 2b.</t>
  </si>
  <si>
    <t>Enter the registry ID number in row 2059 of the table for production class 2b.</t>
  </si>
  <si>
    <t>Enter the registry ID number in row 2060 of the table for production class 2b.</t>
  </si>
  <si>
    <t>Enter the registry ID number in row 2061 of the table for production class 2b.</t>
  </si>
  <si>
    <t>Enter the registry ID number in row 2062 of the table for production class 2b.</t>
  </si>
  <si>
    <t>Enter the registry ID number in row 2063 of the table for production class 2b.</t>
  </si>
  <si>
    <t>Enter the registry ID number in row 2064 of the table for production class 2b.</t>
  </si>
  <si>
    <t>Enter the registry ID number in row 2065 of the table for production class 2b.</t>
  </si>
  <si>
    <t>Enter the registry ID number in row 2066 of the table for production class 2b.</t>
  </si>
  <si>
    <t>Enter the registry ID number in row 2067 of the table for production class 2b.</t>
  </si>
  <si>
    <t>Enter the registry ID number in row 2068 of the table for production class 2b.</t>
  </si>
  <si>
    <t>Enter the registry ID number in row 2069 of the table for production class 2b.</t>
  </si>
  <si>
    <t>Enter the registry ID number in row 2070 of the table for production class 2b.</t>
  </si>
  <si>
    <t>Enter the registry ID number in row 2071 of the table for production class 2b.</t>
  </si>
  <si>
    <t>Enter the registry ID number in row 2072 of the table for production class 2b.</t>
  </si>
  <si>
    <t>Enter the registry ID number in row 2073 of the table for production class 2b.</t>
  </si>
  <si>
    <t>Enter the registry ID number in row 2074 of the table for production class 2b.</t>
  </si>
  <si>
    <t>Enter the registry ID number in row 2075 of the table for production class 2b.</t>
  </si>
  <si>
    <t>Enter the registry ID number in row 2076 of the table for production class 2b.</t>
  </si>
  <si>
    <t>Enter the registry ID number in row 2077 of the table for production class 2b.</t>
  </si>
  <si>
    <t>Enter the registry ID number in row 2078 of the table for production class 2b.</t>
  </si>
  <si>
    <t>Enter the registry ID number in row 2079 of the table for production class 2b.</t>
  </si>
  <si>
    <t>Enter the registry ID number in row 2080 of the table for production class 2b.</t>
  </si>
  <si>
    <t>Enter the registry ID number in row 2081 of the table for production class 2b.</t>
  </si>
  <si>
    <t>Enter the registry ID number in row 2082 of the table for production class 2b.</t>
  </si>
  <si>
    <t>Enter the registry ID number in row 2083 of the table for production class 2b.</t>
  </si>
  <si>
    <t>Enter the registry ID number in row 2084 of the table for production class 2b.</t>
  </si>
  <si>
    <t>Enter the registry ID number in row 2085 of the table for production class 2b.</t>
  </si>
  <si>
    <t>Enter the registry ID number in row 2086 of the table for production class 2b.</t>
  </si>
  <si>
    <t>Enter the registry ID number in row 2087 of the table for production class 2b.</t>
  </si>
  <si>
    <t>Enter the registry ID number in row 2088 of the table for production class 2b.</t>
  </si>
  <si>
    <t>Enter the registry ID number in row 2089 of the table for production class 2b.</t>
  </si>
  <si>
    <t>Enter the registry ID number in row 2090 of the table for production class 2b.</t>
  </si>
  <si>
    <t>Enter the registry ID number in row 2091 of the table for production class 2b.</t>
  </si>
  <si>
    <t>Enter the registry ID number in row 2092 of the table for production class 2b.</t>
  </si>
  <si>
    <t>Enter the registry ID number in row 2093 of the table for production class 2b.</t>
  </si>
  <si>
    <t>Enter the registry ID number in row 2094 of the table for production class 2b.</t>
  </si>
  <si>
    <t>Enter the registry ID number in row 2095 of the table for production class 2b.</t>
  </si>
  <si>
    <t>Enter the registry ID number in row 2096 of the table for production class 2b.</t>
  </si>
  <si>
    <t>Enter the registry ID number in row 2097 of the table for production class 2b.</t>
  </si>
  <si>
    <t>Enter the registry ID number in row 2098 of the table for production class 2b.</t>
  </si>
  <si>
    <t>Enter the registry ID number in row 2099 of the table for production class 2b.</t>
  </si>
  <si>
    <t>Enter the registry ID number in row 2100 of the table for production class 2b.</t>
  </si>
  <si>
    <t>Enter the registry ID number in row 2101 of the table for production class 2b.</t>
  </si>
  <si>
    <t>Enter the registry ID number in row 2102 of the table for production class 2b.</t>
  </si>
  <si>
    <t>Enter the registry ID number in row 2103 of the table for production class 2b.</t>
  </si>
  <si>
    <t>Enter the registry ID number in row 2104 of the table for production class 2b.</t>
  </si>
  <si>
    <t>Enter the registry ID number in row 2105 of the table for production class 2b.</t>
  </si>
  <si>
    <t>Enter the registry ID number in row 2106 of the table for production class 2b.</t>
  </si>
  <si>
    <t>Enter the registry ID number in row 2107 of the table for production class 2b.</t>
  </si>
  <si>
    <t>Enter the registry ID number in row 2108 of the table for production class 2b.</t>
  </si>
  <si>
    <t>Enter the registry ID number in row 2109 of the table for production class 2b.</t>
  </si>
  <si>
    <t>Enter the registry ID number in row 2110 of the table for production class 2b.</t>
  </si>
  <si>
    <t>Enter the registry ID number in row 2111 of the table for production class 2b.</t>
  </si>
  <si>
    <t>Enter the registry ID number in row 2112 of the table for production class 2b.</t>
  </si>
  <si>
    <t>Enter the registry ID number in row 2113 of the table for production class 2b.</t>
  </si>
  <si>
    <t>Enter the registry ID number in row 2114 of the table for production class 2b.</t>
  </si>
  <si>
    <t>Enter the registry ID number in row 2115 of the table for production class 2b.</t>
  </si>
  <si>
    <t>Enter the registry ID number in row 2116 of the table for production class 2b.</t>
  </si>
  <si>
    <t>Enter the registry ID number in row 2117 of the table for production class 2b.</t>
  </si>
  <si>
    <t>Enter the registry ID number in row 2118 of the table for production class 2b.</t>
  </si>
  <si>
    <t>Enter the registry ID number in row 2119 of the table for production class 2b.</t>
  </si>
  <si>
    <t>Enter the registry ID number in row 2120 of the table for production class 2b.</t>
  </si>
  <si>
    <t>Enter the registry ID number in row 2121 of the table for production class 2b.</t>
  </si>
  <si>
    <t>Enter the registry ID number in row 2122 of the table for production class 2b.</t>
  </si>
  <si>
    <t>Enter the registry ID number in row 2123 of the table for production class 2b.</t>
  </si>
  <si>
    <t>Enter the registry ID number in row 2124 of the table for production class 2b.</t>
  </si>
  <si>
    <t>Enter the registry ID number in row 2125 of the table for production class 2b.</t>
  </si>
  <si>
    <t>Enter the registry ID number in row 2126 of the table for production class 2b.</t>
  </si>
  <si>
    <t>Enter the registry ID number in row 2127 of the table for production class 2b.</t>
  </si>
  <si>
    <t>Enter the registry ID number in row 2128 of the table for production class 2b.</t>
  </si>
  <si>
    <t>Enter the registry ID number in row 2129 of the table for production class 2b.</t>
  </si>
  <si>
    <t>Enter the registry ID number in row 2130 of the table for production class 2b.</t>
  </si>
  <si>
    <t>Enter the registry ID number in row 2131 of the table for production class 2b.</t>
  </si>
  <si>
    <t>Enter the registry ID number in row 2132 of the table for production class 2b.</t>
  </si>
  <si>
    <t>Enter the registry ID number in row 2133 of the table for production class 2b.</t>
  </si>
  <si>
    <t>Enter the registry ID number in row 2134 of the table for production class 2b.</t>
  </si>
  <si>
    <t>Enter the registry ID number in row 2135 of the table for production class 2b.</t>
  </si>
  <si>
    <t>Enter the registry ID number in row 2136 of the table for production class 2b.</t>
  </si>
  <si>
    <t>Enter the registry ID number in row 2137 of the table for production class 2b.</t>
  </si>
  <si>
    <t>Enter the registry ID number in row 2138 of the table for production class 2b.</t>
  </si>
  <si>
    <t>Enter the registry ID number in row 2139 of the table for production class 2b.</t>
  </si>
  <si>
    <t>Enter the registry ID number in row 2140 of the table for production class 2b.</t>
  </si>
  <si>
    <t>Enter the registry ID number in row 2141 of the table for production class 2b.</t>
  </si>
  <si>
    <t>Enter the registry ID number in row 2142 of the table for production class 2b.</t>
  </si>
  <si>
    <t>Enter the registry ID number in row 2143 of the table for production class 2b.</t>
  </si>
  <si>
    <t>Enter the registry ID number in row 2144 of the table for production class 2b.</t>
  </si>
  <si>
    <t>Enter the registry ID number in row 2145 of the table for production class 2b.</t>
  </si>
  <si>
    <t>Enter the registry ID number in row 2146 of the table for production class 2b.</t>
  </si>
  <si>
    <t>Enter the registry ID number in row 2147 of the table for production class 2b.</t>
  </si>
  <si>
    <t>Enter the registry ID number in row 2148 of the table for production class 2b.</t>
  </si>
  <si>
    <t>Enter the registry ID number in row 2149 of the table for production class 2b.</t>
  </si>
  <si>
    <t>Enter the registry ID number in row 2150 of the table for production class 2b.</t>
  </si>
  <si>
    <t>Enter the registry ID number in row 2151 of the table for production class 2b.</t>
  </si>
  <si>
    <t>Enter the registry ID number in row 2152 of the table for production class 2b.</t>
  </si>
  <si>
    <t>Enter the registry ID number in row 2153 of the table for production class 2b.</t>
  </si>
  <si>
    <t>Enter the registry ID number in row 2154 of the table for production class 2b.</t>
  </si>
  <si>
    <t>Enter the registry ID number in row 2155 of the table for production class 2b.</t>
  </si>
  <si>
    <t>Enter the registry ID number in row 2156 of the table for production class 2b.</t>
  </si>
  <si>
    <t>Enter the registry ID number in row 2157 of the table for production class 2b.</t>
  </si>
  <si>
    <t>Enter the registry ID number in row 2158 of the table for production class 2b.</t>
  </si>
  <si>
    <t>Enter the registry ID number in row 2159 of the table for production class 2b.</t>
  </si>
  <si>
    <t>Enter the registry ID number in row 2160 of the table for production class 2b.</t>
  </si>
  <si>
    <t>Enter the registry ID number in row 2161 of the table for production class 2b.</t>
  </si>
  <si>
    <t>Enter the registry ID number in row 2162 of the table for production class 2b.</t>
  </si>
  <si>
    <t>Enter the registry ID number in row 2163 of the table for production class 2b.</t>
  </si>
  <si>
    <t>Enter the registry ID number in row 2164 of the table for production class 2b.</t>
  </si>
  <si>
    <t>Enter the registry ID number in row 2165 of the table for production class 2b.</t>
  </si>
  <si>
    <t>Enter the registry ID number in row 2166 of the table for production class 2b.</t>
  </si>
  <si>
    <t>Enter the registry ID number in row 2167 of the table for production class 2b.</t>
  </si>
  <si>
    <t>Enter the registry ID number in row 2168 of the table for production class 2b.</t>
  </si>
  <si>
    <t>Enter the registry ID number in row 2169 of the table for production class 2b.</t>
  </si>
  <si>
    <t>Enter the registry ID number in row 2170 of the table for production class 2b.</t>
  </si>
  <si>
    <t>Enter the registry ID number in row 2171 of the table for production class 2b.</t>
  </si>
  <si>
    <t>Enter the registry ID number in row 2172 of the table for production class 2b.</t>
  </si>
  <si>
    <t>Enter the registry ID number in row 2173 of the table for production class 2b.</t>
  </si>
  <si>
    <t>Enter the registry ID number in row 2174 of the table for production class 2b.</t>
  </si>
  <si>
    <t>Enter the registry ID number in row 2175 of the table for production class 2b.</t>
  </si>
  <si>
    <t>Enter the registry ID number in row 2176 of the table for production class 2b.</t>
  </si>
  <si>
    <t>Enter the registry ID number in row 2177 of the table for production class 2b.</t>
  </si>
  <si>
    <t>Enter the registry ID number in row 2178 of the table for production class 2b.</t>
  </si>
  <si>
    <t>Enter the registry ID number in row 2179 of the table for production class 2b.</t>
  </si>
  <si>
    <t>Enter the registry ID number in row 2180 of the table for production class 2b.</t>
  </si>
  <si>
    <t>Enter the registry ID number in row 2181 of the table for production class 2b.</t>
  </si>
  <si>
    <t>Enter the registry ID number in row 2182 of the table for production class 2b.</t>
  </si>
  <si>
    <t>Enter the registry ID number in row 2183 of the table for production class 2b.</t>
  </si>
  <si>
    <t>Enter the registry ID number in row 2184 of the table for production class 2b.</t>
  </si>
  <si>
    <t>Enter the registry ID number in row 2185 of the table for production class 2b.</t>
  </si>
  <si>
    <t>Enter the registry ID number in row 2186 of the table for production class 2b.</t>
  </si>
  <si>
    <t>Enter the registry ID number in row 2187 of the table for production class 2b.</t>
  </si>
  <si>
    <t>Enter the registry ID number in row 2188 of the table for production class 2b.</t>
  </si>
  <si>
    <t>Enter the registry ID number in row 2189 of the table for production class 2b.</t>
  </si>
  <si>
    <t>Enter the registry ID number in row 2190 of the table for production class 2b.</t>
  </si>
  <si>
    <t>Enter the registry ID number in row 2191 of the table for production class 2b.</t>
  </si>
  <si>
    <t>Enter the registry ID number in row 2192 of the table for production class 2b.</t>
  </si>
  <si>
    <t>Enter the registry ID number in row 2193 of the table for production class 2b.</t>
  </si>
  <si>
    <t>Enter the registry ID number in row 2194 of the table for production class 2b.</t>
  </si>
  <si>
    <t>Enter the registry ID number in row 2195 of the table for production class 2b.</t>
  </si>
  <si>
    <t>Enter the registry ID number in row 2196 of the table for production class 2b.</t>
  </si>
  <si>
    <t>Enter the registry ID number in row 2197 of the table for production class 2b.</t>
  </si>
  <si>
    <t>Enter the registry ID number in row 2198 of the table for production class 2b.</t>
  </si>
  <si>
    <t>Enter the registry ID number in row 2199 of the table for production class 2b.</t>
  </si>
  <si>
    <t>Enter the registry ID number in row 2200 of the table for production class 2b.</t>
  </si>
  <si>
    <t>Enter the registry ID number in row 2201 of the table for production class 2b.</t>
  </si>
  <si>
    <t>Enter the registry ID number in row 2202 of the table for production class 2b.</t>
  </si>
  <si>
    <t>Enter the registry ID number in row 2203 of the table for production class 2b.</t>
  </si>
  <si>
    <t>Enter the registry ID number in row 2204 of the table for production class 2b.</t>
  </si>
  <si>
    <t>Enter the registry ID number in row 2205 of the table for production class 2b.</t>
  </si>
  <si>
    <t>Enter the registry ID number in row 2206 of the table for production class 2b.</t>
  </si>
  <si>
    <t>Enter the registry ID number in row 2207 of the table for production class 2b.</t>
  </si>
  <si>
    <t>Enter the registry ID number in row 2208 of the table for production class 2b.</t>
  </si>
  <si>
    <t>Enter the registry ID number in row 2209 of the table for production class 2b.</t>
  </si>
  <si>
    <t>Enter the registry ID number in row 2210 of the table for production class 2b.</t>
  </si>
  <si>
    <t>Enter the registry ID number in row 2211 of the table for production class 2b.</t>
  </si>
  <si>
    <t>Enter the registry ID number in row 2212 of the table for production class 2b.</t>
  </si>
  <si>
    <t>Enter the registry ID number in row 2213 of the table for production class 2b.</t>
  </si>
  <si>
    <t>Enter the registry ID number in row 2214 of the table for production class 2b.</t>
  </si>
  <si>
    <t>Enter the registry ID number in row 2215 of the table for production class 2b.</t>
  </si>
  <si>
    <t>Enter the registry ID number in row 2216 of the table for production class 2b.</t>
  </si>
  <si>
    <t>Enter the registry ID number in row 2217 of the table for production class 2b.</t>
  </si>
  <si>
    <t>Enter the registry ID number in row 2218 of the table for production class 2b.</t>
  </si>
  <si>
    <t>Enter the registry ID number in row 2219 of the table for production class 2b.</t>
  </si>
  <si>
    <t>Enter the registry ID number in row 2220 of the table for production class 2b.</t>
  </si>
  <si>
    <t>Enter the registry ID number in row 2221 of the table for production class 2b.</t>
  </si>
  <si>
    <t>Enter the registry ID number in row 2222 of the table for production class 2b.</t>
  </si>
  <si>
    <t>Enter the registry ID number in row 2223 of the table for production class 2b.</t>
  </si>
  <si>
    <t>Enter the registry ID number in row 2224 of the table for production class 2b.</t>
  </si>
  <si>
    <t>Enter the registry ID number in row 2225 of the table for production class 2b.</t>
  </si>
  <si>
    <t>Enter the registry ID number in row 2226 of the table for production class 2b.</t>
  </si>
  <si>
    <t>Enter the registry ID number in row 2227 of the table for production class 2b.</t>
  </si>
  <si>
    <t>Enter the registry ID number in row 2228 of the table for production class 2b.</t>
  </si>
  <si>
    <t>Enter the registry ID number in row 2229 of the table for production class 2b.</t>
  </si>
  <si>
    <t>Enter the registry ID number in row 2230 of the table for production class 2b.</t>
  </si>
  <si>
    <t>Enter the registry ID number in row 2231 of the table for production class 2b.</t>
  </si>
  <si>
    <t>Enter the registry ID number in row 2232 of the table for production class 2b.</t>
  </si>
  <si>
    <t>Enter the registry ID number in row 2233 of the table for production class 2b.</t>
  </si>
  <si>
    <t>Enter the registry ID number in row 2234 of the table for production class 2b.</t>
  </si>
  <si>
    <t>Enter the registry ID number in row 2235 of the table for production class 2b.</t>
  </si>
  <si>
    <t>Enter the registry ID number in row 2236 of the table for production class 2b.</t>
  </si>
  <si>
    <t>Enter the registry ID number in row 2237 of the table for production class 2b.</t>
  </si>
  <si>
    <t>Enter the registry ID number in row 2238 of the table for production class 2b.</t>
  </si>
  <si>
    <t>Enter the registry ID number in row 2239 of the table for production class 2b.</t>
  </si>
  <si>
    <t>Enter the registry ID number in row 2240 of the table for production class 2b.</t>
  </si>
  <si>
    <t>Enter the registry ID number in row 2241 of the table for production class 2b.</t>
  </si>
  <si>
    <t>Enter the registry ID number in row 2242 of the table for production class 2b.</t>
  </si>
  <si>
    <t>Enter the registry ID number in row 2243 of the table for production class 2b.</t>
  </si>
  <si>
    <t>Enter the registry ID number in row 2244 of the table for production class 2b.</t>
  </si>
  <si>
    <t>Enter the registry ID number in row 2245 of the table for production class 2b.</t>
  </si>
  <si>
    <t>Enter the registry ID number in row 2246 of the table for production class 2b.</t>
  </si>
  <si>
    <t>Enter the registry ID number in row 2247 of the table for production class 2b.</t>
  </si>
  <si>
    <t>Enter the registry ID number in row 2248 of the table for production class 2b.</t>
  </si>
  <si>
    <t>Enter the registry ID number in row 2249 of the table for production class 2b.</t>
  </si>
  <si>
    <t>Enter the registry ID number in row 2250 of the table for production class 2b.</t>
  </si>
  <si>
    <t>Enter the registry ID number in row 2251 of the table for production class 2b.</t>
  </si>
  <si>
    <t>Enter the registry ID number in row 2252 of the table for production class 2b.</t>
  </si>
  <si>
    <t>Enter the registry ID number in row 2253 of the table for production class 2b.</t>
  </si>
  <si>
    <t>Enter the registry ID number in row 2254 of the table for production class 2b.</t>
  </si>
  <si>
    <t>Enter the registry ID number in row 2255 of the table for production class 2b.</t>
  </si>
  <si>
    <t>Enter the registry ID number in row 2256 of the table for production class 2b.</t>
  </si>
  <si>
    <t>Enter the registry ID number in row 2257 of the table for production class 2b.</t>
  </si>
  <si>
    <t>Enter the registry ID number in row 2258 of the table for production class 2b.</t>
  </si>
  <si>
    <t>Enter the registry ID number in row 2259 of the table for production class 2b.</t>
  </si>
  <si>
    <t>Enter the registry ID number in row 2260 of the table for production class 2b.</t>
  </si>
  <si>
    <t>Enter the registry ID number in row 2261 of the table for production class 2b.</t>
  </si>
  <si>
    <t>Enter the registry ID number in row 2262 of the table for production class 2b.</t>
  </si>
  <si>
    <t>Enter the registry ID number in row 2263 of the table for production class 2b.</t>
  </si>
  <si>
    <t>Enter the registry ID number in row 2264 of the table for production class 2b.</t>
  </si>
  <si>
    <t>Enter the registry ID number in row 2265 of the table for production class 2b.</t>
  </si>
  <si>
    <t>Enter the registry ID number in row 2266 of the table for production class 2b.</t>
  </si>
  <si>
    <t>Enter the registry ID number in row 2267 of the table for production class 2b.</t>
  </si>
  <si>
    <t>Enter the registry ID number in row 2268 of the table for production class 2b.</t>
  </si>
  <si>
    <t>Enter the registry ID number in row 2269 of the table for production class 2b.</t>
  </si>
  <si>
    <t>Enter the registry ID number in row 2270 of the table for production class 2b.</t>
  </si>
  <si>
    <t>Enter the registry ID number in row 2271 of the table for production class 2b.</t>
  </si>
  <si>
    <t>Enter the registry ID number in row 2272 of the table for production class 2b.</t>
  </si>
  <si>
    <t>Enter the registry ID number in row 2273 of the table for production class 2b.</t>
  </si>
  <si>
    <t>Enter the registry ID number in row 2274 of the table for production class 2b.</t>
  </si>
  <si>
    <t>Enter the registry ID number in row 2275 of the table for production class 2b.</t>
  </si>
  <si>
    <t>Enter the registry ID number in row 2276 of the table for production class 2b.</t>
  </si>
  <si>
    <t>Enter the registry ID number in row 2277 of the table for production class 2b.</t>
  </si>
  <si>
    <t>Enter the registry ID number in row 2278 of the table for production class 2b.</t>
  </si>
  <si>
    <t>Enter the registry ID number in row 2279 of the table for production class 2b.</t>
  </si>
  <si>
    <t>Enter the registry ID number in row 2280 of the table for production class 2b.</t>
  </si>
  <si>
    <t>Enter the registry ID number in row 2281 of the table for production class 2b.</t>
  </si>
  <si>
    <t>Enter the registry ID number in row 2282 of the table for production class 2b.</t>
  </si>
  <si>
    <t>Enter the registry ID number in row 2283 of the table for production class 2b.</t>
  </si>
  <si>
    <t>Enter the registry ID number in row 2284 of the table for production class 2b.</t>
  </si>
  <si>
    <t>Enter the registry ID number in row 2285 of the table for production class 2b.</t>
  </si>
  <si>
    <t>Enter the registry ID number in row 2286 of the table for production class 2b.</t>
  </si>
  <si>
    <t>Enter the registry ID number in row 2287 of the table for production class 2b.</t>
  </si>
  <si>
    <t>Enter the registry ID number in row 2288 of the table for production class 2b.</t>
  </si>
  <si>
    <t>Enter the registry ID number in row 2289 of the table for production class 2b.</t>
  </si>
  <si>
    <t>Enter the registry ID number in row 2290 of the table for production class 2b.</t>
  </si>
  <si>
    <t>Enter the registry ID number in row 2291 of the table for production class 2b.</t>
  </si>
  <si>
    <t>Enter the registry ID number in row 2292 of the table for production class 2b.</t>
  </si>
  <si>
    <t>Enter the registry ID number in row 2293 of the table for production class 2b.</t>
  </si>
  <si>
    <t>Enter the registry ID number in row 2294 of the table for production class 2b.</t>
  </si>
  <si>
    <t>Enter the registry ID number in row 2295 of the table for production class 2b.</t>
  </si>
  <si>
    <t>Enter the registry ID number in row 2296 of the table for production class 2b.</t>
  </si>
  <si>
    <t>Enter the registry ID number in row 2297 of the table for production class 2b.</t>
  </si>
  <si>
    <t>Enter the registry ID number in row 2298 of the table for production class 2b.</t>
  </si>
  <si>
    <t>Enter the registry ID number in row 2299 of the table for production class 2b.</t>
  </si>
  <si>
    <t>Enter the registry ID number in row 2300 of the table for production class 2b.</t>
  </si>
  <si>
    <t>Enter the registry ID number in row 2301 of the table for production class 2b.</t>
  </si>
  <si>
    <t>Enter the registry ID number in row 2302 of the table for production class 2b.</t>
  </si>
  <si>
    <t>Enter the registry ID number in row 2303 of the table for production class 2b.</t>
  </si>
  <si>
    <t>Enter the registry ID number in row 2304 of the table for production class 2b.</t>
  </si>
  <si>
    <t>Enter the registry ID number in row 2305 of the table for production class 2b.</t>
  </si>
  <si>
    <t>Enter the registry ID number in row 2306 of the table for production class 2b.</t>
  </si>
  <si>
    <t>Enter the registry ID number in row 2307 of the table for production class 2b.</t>
  </si>
  <si>
    <t>Enter the registry ID number in row 2308 of the table for production class 2b.</t>
  </si>
  <si>
    <t>Enter the registry ID number in row 2309 of the table for production class 2b.</t>
  </si>
  <si>
    <t>Enter the registry ID number in row 2310 of the table for production class 2b.</t>
  </si>
  <si>
    <t>Enter the registry ID number in row 2311 of the table for production class 2b.</t>
  </si>
  <si>
    <t>Enter the registry ID number in row 2312 of the table for production class 2b.</t>
  </si>
  <si>
    <t>Enter the registry ID number in row 2313 of the table for production class 2b.</t>
  </si>
  <si>
    <t>Enter the registry ID number in row 2314 of the table for production class 2b.</t>
  </si>
  <si>
    <t>Enter the registry ID number in row 2315 of the table for production class 2b.</t>
  </si>
  <si>
    <t>Enter the registry ID number in row 2316 of the table for production class 2b.</t>
  </si>
  <si>
    <t>Enter the registry ID number in row 2317 of the table for production class 2b.</t>
  </si>
  <si>
    <t>Enter the registry ID number in row 2318 of the table for production class 2b.</t>
  </si>
  <si>
    <t>Enter the registry ID number in row 2319 of the table for production class 2b.</t>
  </si>
  <si>
    <t>Enter the registry ID number in row 2320 of the table for production class 2b.</t>
  </si>
  <si>
    <t>Enter the registry ID number in row 2321 of the table for production class 2b.</t>
  </si>
  <si>
    <t>Enter the registry ID number in row 2322 of the table for production class 2b.</t>
  </si>
  <si>
    <t>Enter the registry ID number in row 2323 of the table for production class 2b.</t>
  </si>
  <si>
    <t>Enter the registry ID number in row 2324 of the table for production class 2b.</t>
  </si>
  <si>
    <t>Enter the registry ID number in row 2325 of the table for production class 2b.</t>
  </si>
  <si>
    <t>Enter the registry ID number in row 2326 of the table for production class 2b.</t>
  </si>
  <si>
    <t>Enter the registry ID number in row 2327 of the table for production class 2b.</t>
  </si>
  <si>
    <t>Enter the registry ID number in row 2328 of the table for production class 2b.</t>
  </si>
  <si>
    <t>Enter the registry ID number in row 2329 of the table for production class 2b.</t>
  </si>
  <si>
    <t>Enter the registry ID number in row 2330 of the table for production class 2b.</t>
  </si>
  <si>
    <t>Enter the registry ID number in row 2331 of the table for production class 2b.</t>
  </si>
  <si>
    <t>Enter the registry ID number in row 2332 of the table for production class 2b.</t>
  </si>
  <si>
    <t>Enter the registry ID number in row 2333 of the table for production class 2b.</t>
  </si>
  <si>
    <t>Enter the registry ID number in row 2334 of the table for production class 2b.</t>
  </si>
  <si>
    <t>Enter the registry ID number in row 2335 of the table for production class 2b.</t>
  </si>
  <si>
    <t>Enter the registry ID number in row 2336 of the table for production class 2b.</t>
  </si>
  <si>
    <t>Enter the registry ID number in row 2337 of the table for production class 2b.</t>
  </si>
  <si>
    <t>Enter the registry ID number in row 2338 of the table for production class 2b.</t>
  </si>
  <si>
    <t>Enter the registry ID number in row 2339 of the table for production class 2b.</t>
  </si>
  <si>
    <t>Enter the registry ID number in row 2340 of the table for production class 2b.</t>
  </si>
  <si>
    <t>Enter the registry ID number in row 2341 of the table for production class 2b.</t>
  </si>
  <si>
    <t>Enter the registry ID number in row 2342 of the table for production class 2b.</t>
  </si>
  <si>
    <t>Enter the registry ID number in row 2343 of the table for production class 2b.</t>
  </si>
  <si>
    <t>Enter the registry ID number in row 2344 of the table for production class 2b.</t>
  </si>
  <si>
    <t>Enter the registry ID number in row 2345 of the table for production class 2b.</t>
  </si>
  <si>
    <t>Enter the registry ID number in row 2346 of the table for production class 2b.</t>
  </si>
  <si>
    <t>Enter the registry ID number in row 2347 of the table for production class 2b.</t>
  </si>
  <si>
    <t>Enter the registry ID number in row 2348 of the table for production class 2b.</t>
  </si>
  <si>
    <t>Enter the registry ID number in row 2349 of the table for production class 2b.</t>
  </si>
  <si>
    <t>Enter the registry ID number in row 2350 of the table for production class 2b.</t>
  </si>
  <si>
    <t>Enter the registry ID number in row 2351 of the table for production class 2b.</t>
  </si>
  <si>
    <t>Enter the registry ID number in row 2352 of the table for production class 2b.</t>
  </si>
  <si>
    <t>Enter the registry ID number in row 2353 of the table for production class 2b.</t>
  </si>
  <si>
    <t>Enter the registry ID number in row 2354 of the table for production class 2b.</t>
  </si>
  <si>
    <t>Enter the registry ID number in row 2355 of the table for production class 2b.</t>
  </si>
  <si>
    <t>Enter the registry ID number in row 2356 of the table for production class 2b.</t>
  </si>
  <si>
    <t>Enter the registry ID number in row 2357 of the table for production class 2b.</t>
  </si>
  <si>
    <t>Enter the registry ID number in row 2358 of the table for production class 2b.</t>
  </si>
  <si>
    <t>Enter the registry ID number in row 2359 of the table for production class 2b.</t>
  </si>
  <si>
    <t>Enter the registry ID number in row 2360 of the table for production class 2b.</t>
  </si>
  <si>
    <t>Enter the registry ID number in row 2361 of the table for production class 2b.</t>
  </si>
  <si>
    <t>Enter the registry ID number in row 2362 of the table for production class 2b.</t>
  </si>
  <si>
    <t>Enter the registry ID number in row 2363 of the table for production class 2b.</t>
  </si>
  <si>
    <t>Enter the registry ID number in row 2364 of the table for production class 2b.</t>
  </si>
  <si>
    <t>Enter the registry ID number in row 2365 of the table for production class 2b.</t>
  </si>
  <si>
    <t>Enter the registry ID number in row 2366 of the table for production class 2b.</t>
  </si>
  <si>
    <t>Enter the registry ID number in row 2367 of the table for production class 2b.</t>
  </si>
  <si>
    <t>Enter the registry ID number in row 2368 of the table for production class 2b.</t>
  </si>
  <si>
    <t>Enter the registry ID number in row 2369 of the table for production class 2b.</t>
  </si>
  <si>
    <t>Enter the registry ID number in row 2370 of the table for production class 2b.</t>
  </si>
  <si>
    <t>Enter the registry ID number in row 2371 of the table for production class 2b.</t>
  </si>
  <si>
    <t>Enter the registry ID number in row 2372 of the table for production class 2b.</t>
  </si>
  <si>
    <t>Enter the registry ID number in row 2373 of the table for production class 2b.</t>
  </si>
  <si>
    <t>Enter the registry ID number in row 2374 of the table for production class 2b.</t>
  </si>
  <si>
    <t>Enter the registry ID number in row 2375 of the table for production class 2b.</t>
  </si>
  <si>
    <t>Enter the registry ID number in row 2376 of the table for production class 2b.</t>
  </si>
  <si>
    <t>Enter the registry ID number in row 2377 of the table for production class 2b.</t>
  </si>
  <si>
    <t>Enter the registry ID number in row 2378 of the table for production class 2b.</t>
  </si>
  <si>
    <t>Enter the registry ID number in row 2379 of the table for production class 2b.</t>
  </si>
  <si>
    <t>Enter the registry ID number in row 2380 of the table for production class 2b.</t>
  </si>
  <si>
    <t>Enter the registry ID number in row 2381 of the table for production class 2b.</t>
  </si>
  <si>
    <t>Enter the registry ID number in row 2382 of the table for production class 2b.</t>
  </si>
  <si>
    <t>Enter the registry ID number in row 2383 of the table for production class 2b.</t>
  </si>
  <si>
    <t>Enter the registry ID number in row 2384 of the table for production class 2b.</t>
  </si>
  <si>
    <t>Enter the registry ID number in row 2385 of the table for production class 2b.</t>
  </si>
  <si>
    <t>Enter the registry ID number in row 2386 of the table for production class 2b.</t>
  </si>
  <si>
    <t>Enter the registry ID number in row 2387 of the table for production class 2b.</t>
  </si>
  <si>
    <t>Enter the registry ID number in row 2388 of the table for production class 2b.</t>
  </si>
  <si>
    <t>Enter the registry ID number in row 2389 of the table for production class 2b.</t>
  </si>
  <si>
    <t>Enter the registry ID number in row 2390 of the table for production class 2b.</t>
  </si>
  <si>
    <t>Enter the registry ID number in row 2391 of the table for production class 2b.</t>
  </si>
  <si>
    <t>Enter the registry ID number in row 2392 of the table for production class 2b.</t>
  </si>
  <si>
    <t>Enter the registry ID number in row 2393 of the table for production class 2b.</t>
  </si>
  <si>
    <t>Enter the registry ID number in row 2394 of the table for production class 2b.</t>
  </si>
  <si>
    <t>Enter the registry ID number in row 2395 of the table for production class 2b.</t>
  </si>
  <si>
    <t>Enter the registry ID number in row 2396 of the table for production class 2b.</t>
  </si>
  <si>
    <t>Enter the registry ID number in row 2397 of the table for production class 2b.</t>
  </si>
  <si>
    <t>Enter the registry ID number in row 2398 of the table for production class 2b.</t>
  </si>
  <si>
    <t>Enter the registry ID number in row 2399 of the table for production class 2b.</t>
  </si>
  <si>
    <t>Enter the registry ID number in row 2400 of the table for production class 2b.</t>
  </si>
  <si>
    <t>Enter the registry ID number in row 2401 of the table for production class 2b.</t>
  </si>
  <si>
    <t>Enter the registry ID number in row 2402 of the table for production class 2b.</t>
  </si>
  <si>
    <t>Enter the registry ID number in row 2403 of the table for production class 2b.</t>
  </si>
  <si>
    <t>Enter the registry ID number in row 2404 of the table for production class 2b.</t>
  </si>
  <si>
    <t>Enter the registry ID number in row 2405 of the table for production class 2b.</t>
  </si>
  <si>
    <t>Enter the registry ID number in row 2406 of the table for production class 2b.</t>
  </si>
  <si>
    <t>Enter the registry ID number in row 2407 of the table for production class 2b.</t>
  </si>
  <si>
    <t>Enter the registry ID number in row 2408 of the table for production class 2b.</t>
  </si>
  <si>
    <t>Enter the registry ID number in row 2409 of the table for production class 2b.</t>
  </si>
  <si>
    <t>Enter the registry ID number in row 2410 of the table for production class 2b.</t>
  </si>
  <si>
    <t>Enter the registry ID number in row 2411 of the table for production class 2b.</t>
  </si>
  <si>
    <t>Enter the registry ID number in row 2412 of the table for production class 2b.</t>
  </si>
  <si>
    <t>Enter the registry ID number in row 2413 of the table for production class 2b.</t>
  </si>
  <si>
    <t>Enter the registry ID number in row 2414 of the table for production class 2b.</t>
  </si>
  <si>
    <t>Enter the registry ID number in row 2415 of the table for production class 2b.</t>
  </si>
  <si>
    <t>Enter the registry ID number in row 2416 of the table for production class 2b.</t>
  </si>
  <si>
    <t>Enter the registry ID number in row 2417 of the table for production class 2b.</t>
  </si>
  <si>
    <t>Enter the registry ID number in row 2418 of the table for production class 2b.</t>
  </si>
  <si>
    <t>Enter the registry ID number in row 2419 of the table for production class 2b.</t>
  </si>
  <si>
    <t>Enter the registry ID number in row 2420 of the table for production class 2b.</t>
  </si>
  <si>
    <t>Enter the registry ID number in row 2421 of the table for production class 2b.</t>
  </si>
  <si>
    <t>Enter the registry ID number in row 2422 of the table for production class 2b.</t>
  </si>
  <si>
    <t>Enter the registry ID number in row 2423 of the table for production class 2b.</t>
  </si>
  <si>
    <t>Enter the registry ID number in row 2424 of the table for production class 2b.</t>
  </si>
  <si>
    <t>Enter the registry ID number in row 2425 of the table for production class 2b.</t>
  </si>
  <si>
    <t>Enter the registry ID number in row 2426 of the table for production class 2b.</t>
  </si>
  <si>
    <t>Enter the registry ID number in row 2427 of the table for production class 2b.</t>
  </si>
  <si>
    <t>Enter the registry ID number in row 2428 of the table for production class 2b.</t>
  </si>
  <si>
    <t>Enter the registry ID number in row 2429 of the table for production class 2b.</t>
  </si>
  <si>
    <t>Enter the registry ID number in row 2430 of the table for production class 2b.</t>
  </si>
  <si>
    <t>Enter the registry ID number in row 2431 of the table for production class 2b.</t>
  </si>
  <si>
    <t>Enter the registry ID number in row 2432 of the table for production class 2b.</t>
  </si>
  <si>
    <t>Enter the registry ID number in row 2433 of the table for production class 2b.</t>
  </si>
  <si>
    <t>Enter the registry ID number in row 2434 of the table for production class 2b.</t>
  </si>
  <si>
    <t>Enter the registry ID number in row 2435 of the table for production class 2b.</t>
  </si>
  <si>
    <t>Enter the registry ID number in row 2436 of the table for production class 2b.</t>
  </si>
  <si>
    <t>Enter the registry ID number in row 2437 of the table for production class 2b.</t>
  </si>
  <si>
    <t>Enter the registry ID number in row 2438 of the table for production class 2b.</t>
  </si>
  <si>
    <t>Enter the registry ID number in row 2439 of the table for production class 2b.</t>
  </si>
  <si>
    <t>Enter the registry ID number in row 2440 of the table for production class 2b.</t>
  </si>
  <si>
    <t>Enter the registry ID number in row 2441 of the table for production class 2b.</t>
  </si>
  <si>
    <t>Enter the registry ID number in row 2442 of the table for production class 2b.</t>
  </si>
  <si>
    <t>Enter the registry ID number in row 2443 of the table for production class 2b.</t>
  </si>
  <si>
    <t>Enter the registry ID number in row 2444 of the table for production class 2b.</t>
  </si>
  <si>
    <t>Enter the registry ID number in row 2445 of the table for production class 2b.</t>
  </si>
  <si>
    <t>Enter the registry ID number in row 2446 of the table for production class 2b.</t>
  </si>
  <si>
    <t>Enter the registry ID number in row 2447 of the table for production class 2b.</t>
  </si>
  <si>
    <t>Enter the registry ID number in row 2448 of the table for production class 2b.</t>
  </si>
  <si>
    <t>Enter the registry ID number in row 2449 of the table for production class 2b.</t>
  </si>
  <si>
    <t>Enter the registry ID number in row 2450 of the table for production class 2b.</t>
  </si>
  <si>
    <t>Enter the registry ID number in row 2451 of the table for production class 2b.</t>
  </si>
  <si>
    <t>Enter the registry ID number in row 2452 of the table for production class 2b.</t>
  </si>
  <si>
    <t>Enter the registry ID number in row 2453 of the table for production class 2b.</t>
  </si>
  <si>
    <t>Enter the registry ID number in row 2454 of the table for production class 2b.</t>
  </si>
  <si>
    <t>Enter the registry ID number in row 2455 of the table for production class 2b.</t>
  </si>
  <si>
    <t>Enter the registry ID number in row 2456 of the table for production class 2b.</t>
  </si>
  <si>
    <t>Enter the registry ID number in row 2457 of the table for production class 2b.</t>
  </si>
  <si>
    <t>Enter the registry ID number in row 2458 of the table for production class 2b.</t>
  </si>
  <si>
    <t>Enter the registry ID number in row 2459 of the table for production class 2b.</t>
  </si>
  <si>
    <t>Enter the registry ID number in row 2460 of the table for production class 2b.</t>
  </si>
  <si>
    <t>Enter the registry ID number in row 2461 of the table for production class 2b.</t>
  </si>
  <si>
    <t>Enter the registry ID number in row 2462 of the table for production class 2b.</t>
  </si>
  <si>
    <t>Enter the registry ID number in row 2463 of the table for production class 2b.</t>
  </si>
  <si>
    <t>Enter the registry ID number in row 2464 of the table for production class 2b.</t>
  </si>
  <si>
    <t>Enter the registry ID number in row 2465 of the table for production class 2b.</t>
  </si>
  <si>
    <t>Enter the registry ID number in row 2466 of the table for production class 2b.</t>
  </si>
  <si>
    <t>Enter the registry ID number in row 2467 of the table for production class 2b.</t>
  </si>
  <si>
    <t>Enter the registry ID number in row 2468 of the table for production class 2b.</t>
  </si>
  <si>
    <t>Enter the registry ID number in row 2469 of the table for production class 2b.</t>
  </si>
  <si>
    <t>Enter the registry ID number in row 2470 of the table for production class 2b.</t>
  </si>
  <si>
    <t>Enter the registry ID number in row 2471 of the table for production class 2b.</t>
  </si>
  <si>
    <t>Enter the registry ID number in row 2472 of the table for production class 2b.</t>
  </si>
  <si>
    <t>Enter the registry ID number in row 2473 of the table for production class 2b.</t>
  </si>
  <si>
    <t>Enter the registry ID number in row 2474 of the table for production class 2b.</t>
  </si>
  <si>
    <t>Enter the registry ID number in row 2475 of the table for production class 2b.</t>
  </si>
  <si>
    <t>Enter the registry ID number in row 2476 of the table for production class 2b.</t>
  </si>
  <si>
    <t>Enter the registry ID number in row 2477 of the table for production class 2b.</t>
  </si>
  <si>
    <t>Enter the registry ID number in row 2478 of the table for production class 2b.</t>
  </si>
  <si>
    <t>Enter the registry ID number in row 2479 of the table for production class 2b.</t>
  </si>
  <si>
    <t>Enter the registry ID number in row 2480 of the table for production class 2b.</t>
  </si>
  <si>
    <t>Enter the registry ID number in row 2481 of the table for production class 2b.</t>
  </si>
  <si>
    <t>Enter the registry ID number in row 2482 of the table for production class 2b.</t>
  </si>
  <si>
    <t>Enter the registry ID number in row 2483 of the table for production class 2b.</t>
  </si>
  <si>
    <t>Enter the registry ID number in row 2484 of the table for production class 2b.</t>
  </si>
  <si>
    <t>Enter the registry ID number in row 2485 of the table for production class 2b.</t>
  </si>
  <si>
    <t>Enter the registry ID number in row 2486 of the table for production class 2b.</t>
  </si>
  <si>
    <t>Enter the registry ID number in row 2487 of the table for production class 2b.</t>
  </si>
  <si>
    <t>Enter the registry ID number in row 2488 of the table for production class 2b.</t>
  </si>
  <si>
    <t>Enter the registry ID number in row 2489 of the table for production class 2b.</t>
  </si>
  <si>
    <t>Enter the registry ID number in row 2490 of the table for production class 2b.</t>
  </si>
  <si>
    <t>Enter the registry ID number in row 2491 of the table for production class 2b.</t>
  </si>
  <si>
    <t>Enter the registry ID number in row 2492 of the table for production class 2b.</t>
  </si>
  <si>
    <t>Enter the registry ID number in row 2493 of the table for production class 2b.</t>
  </si>
  <si>
    <t>Enter the registry ID number in row 2494 of the table for production class 2b.</t>
  </si>
  <si>
    <t>Enter the registry ID number in row 2495 of the table for production class 2b.</t>
  </si>
  <si>
    <t>Enter the registry ID number in row 2496 of the table for production class 2b.</t>
  </si>
  <si>
    <t>Enter the registry ID number in row 2497 of the table for production class 2b.</t>
  </si>
  <si>
    <t>Enter the registry ID number in row 2498 of the table for production class 2b.</t>
  </si>
  <si>
    <t>Enter the registry ID number in row 2499 of the table for production class 2b.</t>
  </si>
  <si>
    <t>Enter the registry ID number in row 2500 of the table for production class 2b.</t>
  </si>
  <si>
    <t>Enter the registry ID number in row 2501 of the table for production class 2b.</t>
  </si>
  <si>
    <t>Enter the registry ID number in row 2502 of the table for production class 2b.</t>
  </si>
  <si>
    <t>Enter the registry ID number in row 2503 of the table for production class 2b.</t>
  </si>
  <si>
    <t>Enter the registry ID number in row 2504 of the table for production class 2b.</t>
  </si>
  <si>
    <t>Enter the registry ID number in row 2505 of the table for production class 2b.</t>
  </si>
  <si>
    <t>Enter the registry ID number in row 2506 of the table for production class 2b.</t>
  </si>
  <si>
    <t>Enter the registry ID number in row 2507 of the table for production class 2b.</t>
  </si>
  <si>
    <t>Enter the registry ID number in row 2508 of the table for production class 2b.</t>
  </si>
  <si>
    <t>Enter the registry ID number in row 2509 of the table for production class 2b.</t>
  </si>
  <si>
    <t>Enter the registry ID number in row 2510 of the table for production class 2b.</t>
  </si>
  <si>
    <t>Enter the registry ID number in row 2511 of the table for production class 2b.</t>
  </si>
  <si>
    <t>Enter the registry ID number in row 2512 of the table for production class 2b.</t>
  </si>
  <si>
    <t>Enter the registry ID number in row 2513 of the table for production class 2b.</t>
  </si>
  <si>
    <t>Enter the registry ID number in row 2514 of the table for production class 2b.</t>
  </si>
  <si>
    <t>Enter the registry ID number in row 2515 of the table for production class 2b.</t>
  </si>
  <si>
    <t>Enter the registry ID number in row 2516 of the table for production class 2b.</t>
  </si>
  <si>
    <t>Enter the registry ID number in row 2517 of the table for production class 2b.</t>
  </si>
  <si>
    <t>Enter the registry ID number in row 2518 of the table for production class 2b.</t>
  </si>
  <si>
    <t>Enter the registry ID number in row 2519 of the table for production class 2b.</t>
  </si>
  <si>
    <t>Enter the registry ID number in row 2520 of the table for production class 2b.</t>
  </si>
  <si>
    <t>Enter the registry ID number in row 2521 of the table for production class 2b.</t>
  </si>
  <si>
    <t>Enter the registry ID number in row 2522 of the table for production class 2b.</t>
  </si>
  <si>
    <t>Enter the registry ID number in row 2523 of the table for production class 2b.</t>
  </si>
  <si>
    <t>Enter the registry ID number in row 2524 of the table for production class 2b.</t>
  </si>
  <si>
    <t>Enter the registry ID number in row 2525 of the table for production class 2b.</t>
  </si>
  <si>
    <t>Enter the registry ID number in row 2526 of the table for production class 2b.</t>
  </si>
  <si>
    <t>Enter the registry ID number in row 2527 of the table for production class 2b.</t>
  </si>
  <si>
    <t>Enter the registry ID number in row 2528 of the table for production class 2b.</t>
  </si>
  <si>
    <t>Enter the registry ID number in row 2529 of the table for production class 2b.</t>
  </si>
  <si>
    <t>Enter the registry ID number in row 2530 of the table for production class 2b.</t>
  </si>
  <si>
    <t>Enter the registry ID number in row 2531 of the table for production class 2b.</t>
  </si>
  <si>
    <t>Enter the registry ID number in row 2532 of the table for production class 2b.</t>
  </si>
  <si>
    <t>Enter the registry ID number in row 2533 of the table for production class 2b.</t>
  </si>
  <si>
    <t>Enter the registry ID number in row 2534 of the table for production class 2b.</t>
  </si>
  <si>
    <t>Enter the registry ID number in row 2535 of the table for production class 2b.</t>
  </si>
  <si>
    <t>Enter the registry ID number in row 2536 of the table for production class 2b.</t>
  </si>
  <si>
    <t>Enter the registry ID number in row 2537 of the table for production class 2b.</t>
  </si>
  <si>
    <t>Enter the registry ID number in row 2538 of the table for production class 2b.</t>
  </si>
  <si>
    <t>Enter the registry ID number in row 2539 of the table for production class 2b.</t>
  </si>
  <si>
    <t>Enter the registry ID number in row 2540 of the table for production class 2b.</t>
  </si>
  <si>
    <t>Enter the registry ID number in row 2541 of the table for production class 2b.</t>
  </si>
  <si>
    <t>Enter the registry ID number in row 2542 of the table for production class 2b.</t>
  </si>
  <si>
    <t>Enter the registry ID number in row 2543 of the table for production class 2b.</t>
  </si>
  <si>
    <t>Enter the registry ID number in row 2544 of the table for production class 2b.</t>
  </si>
  <si>
    <t>Enter the registry ID number in row 2545 of the table for production class 2b.</t>
  </si>
  <si>
    <t>Enter the registry ID number in row 2546 of the table for production class 2b.</t>
  </si>
  <si>
    <t>Enter the registry ID number in row 2547 of the table for production class 2b.</t>
  </si>
  <si>
    <t>Enter the registry ID number in row 2548 of the table for production class 2b.</t>
  </si>
  <si>
    <t>Enter the registry ID number in row 2549 of the table for production class 2b.</t>
  </si>
  <si>
    <t>Enter the registry ID number in row 2550 of the table for production class 2b.</t>
  </si>
  <si>
    <t>Enter the registry ID number in row 2551 of the table for production class 2b.</t>
  </si>
  <si>
    <t>Enter the registry ID number in row 2552 of the table for production class 2b.</t>
  </si>
  <si>
    <t>Enter the registry ID number in row 2553 of the table for production class 2b.</t>
  </si>
  <si>
    <t>Enter the registry ID number in row 2554 of the table for production class 2b.</t>
  </si>
  <si>
    <t>Enter the registry ID number in row 2555 of the table for production class 2b.</t>
  </si>
  <si>
    <t>Enter the registry ID number in row 2556 of the table for production class 2b.</t>
  </si>
  <si>
    <t>Enter the registry ID number in row 2557 of the table for production class 2b.</t>
  </si>
  <si>
    <t>Enter the registry ID number in row 2558 of the table for production class 2b.</t>
  </si>
  <si>
    <t>Enter the registry ID number in row 2559 of the table for production class 2b.</t>
  </si>
  <si>
    <t>Enter the registry ID number in row 2560 of the table for production class 2b.</t>
  </si>
  <si>
    <t>Enter the registry ID number in row 2561 of the table for production class 2b.</t>
  </si>
  <si>
    <t>Enter the registry ID number in row 2562 of the table for production class 2b.</t>
  </si>
  <si>
    <t>Enter the registry ID number in row 2563 of the table for production class 2b.</t>
  </si>
  <si>
    <t>Enter the registry ID number in row 2564 of the table for production class 2b.</t>
  </si>
  <si>
    <t>Enter the registry ID number in row 2565 of the table for production class 2b.</t>
  </si>
  <si>
    <t>Enter the registry ID number in row 2566 of the table for production class 2b.</t>
  </si>
  <si>
    <t>Enter the registry ID number in row 2567 of the table for production class 2b.</t>
  </si>
  <si>
    <t>Enter the registry ID number in row 2568 of the table for production class 2b.</t>
  </si>
  <si>
    <t>Enter the registry ID number in row 2569 of the table for production class 2b.</t>
  </si>
  <si>
    <t>Enter the registry ID number in row 2570 of the table for production class 2b.</t>
  </si>
  <si>
    <t>Enter the registry ID number in row 2571 of the table for production class 2b.</t>
  </si>
  <si>
    <t>Enter the registry ID number in row 2572 of the table for production class 2b.</t>
  </si>
  <si>
    <t>Enter the registry ID number in row 2573 of the table for production class 2b.</t>
  </si>
  <si>
    <t>Enter the registry ID number in row 2574 of the table for production class 2b.</t>
  </si>
  <si>
    <t>Enter the registry ID number in row 2575 of the table for production class 2b.</t>
  </si>
  <si>
    <t>Enter the registry ID number in row 2576 of the table for production class 2b.</t>
  </si>
  <si>
    <t>Enter the registry ID number in row 2577 of the table for production class 2b.</t>
  </si>
  <si>
    <t>Enter the registry ID number in row 2578 of the table for production class 2b.</t>
  </si>
  <si>
    <t>Enter the registry ID number in row 2579 of the table for production class 2b.</t>
  </si>
  <si>
    <t>Enter the registry ID number in row 2580 of the table for production class 2b.</t>
  </si>
  <si>
    <t>Enter the registry ID number in row 2581 of the table for production class 2b.</t>
  </si>
  <si>
    <t>Enter the registry ID number in row 2582 of the table for production class 2b.</t>
  </si>
  <si>
    <t>Enter the registry ID number in row 2583 of the table for production class 2b.</t>
  </si>
  <si>
    <t>Enter the registry ID number in row 2584 of the table for production class 2b.</t>
  </si>
  <si>
    <t>Enter the registry ID number in row 2585 of the table for production class 2b.</t>
  </si>
  <si>
    <t>Enter the registry ID number in row 2586 of the table for production class 2b.</t>
  </si>
  <si>
    <t>Enter the registry ID number in row 2587 of the table for production class 2b.</t>
  </si>
  <si>
    <t>Enter the registry ID number in row 2588 of the table for production class 2b.</t>
  </si>
  <si>
    <t>Enter the registry ID number in row 2589 of the table for production class 2b.</t>
  </si>
  <si>
    <t>Enter the registry ID number in row 2590 of the table for production class 2b.</t>
  </si>
  <si>
    <t>Enter the registry ID number in row 2591 of the table for production class 2b.</t>
  </si>
  <si>
    <t>Enter the registry ID number in row 2592 of the table for production class 2b.</t>
  </si>
  <si>
    <t>Enter the registry ID number in row 2593 of the table for production class 2b.</t>
  </si>
  <si>
    <t>Enter the registry ID number in row 2594 of the table for production class 2b.</t>
  </si>
  <si>
    <t>Enter the registry ID number in row 2595 of the table for production class 2b.</t>
  </si>
  <si>
    <t>Enter the registry ID number in row 2596 of the table for production class 2b.</t>
  </si>
  <si>
    <t>Enter the registry ID number in row 2597 of the table for production class 2b.</t>
  </si>
  <si>
    <t>Enter the registry ID number in row 2598 of the table for production class 2b.</t>
  </si>
  <si>
    <t>Enter the registry ID number in row 2599 of the table for production class 2b.</t>
  </si>
  <si>
    <t>Enter the registry ID number in row 2600 of the table for production class 2b.</t>
  </si>
  <si>
    <t>Enter the registry ID number in row 2601 of the table for production class 2b.</t>
  </si>
  <si>
    <t>Enter the registry ID number in row 2602 of the table for production class 2b.</t>
  </si>
  <si>
    <t>Enter the registry ID number in row 2603 of the table for production class 2b.</t>
  </si>
  <si>
    <t>Enter the registry ID number in row 2604 of the table for production class 2b.</t>
  </si>
  <si>
    <t>Enter the registry ID number in row 2605 of the table for production class 2b.</t>
  </si>
  <si>
    <t>Enter the registry ID number in row 2606 of the table for production class 2b.</t>
  </si>
  <si>
    <t>Enter the registry ID number in row 2607 of the table for production class 2b.</t>
  </si>
  <si>
    <t>Enter the registry ID number in row 2608 of the table for production class 2b.</t>
  </si>
  <si>
    <t>Enter the registry ID number in row 2609 of the table for production class 2b.</t>
  </si>
  <si>
    <t>Enter the registry ID number in row 2610 of the table for production class 2b.</t>
  </si>
  <si>
    <t>Enter the registry ID number in row 2611 of the table for production class 2b.</t>
  </si>
  <si>
    <t>Enter the registry ID number in row 2612 of the table for production class 2b.</t>
  </si>
  <si>
    <t>Enter the registry ID number in row 2613 of the table for production class 2b.</t>
  </si>
  <si>
    <t>Enter the registry ID number in row 2614 of the table for production class 2b.</t>
  </si>
  <si>
    <t>Enter the registry ID number in row 2615 of the table for production class 2b.</t>
  </si>
  <si>
    <t>Enter the registry ID number in row 2616 of the table for production class 2b.</t>
  </si>
  <si>
    <t>Enter the registry ID number in row 2617 of the table for production class 2b.</t>
  </si>
  <si>
    <t>Enter the registry ID number in row 2618 of the table for production class 2b.</t>
  </si>
  <si>
    <t>Enter the registry ID number in row 2619 of the table for production class 2b.</t>
  </si>
  <si>
    <t>Enter the registry ID number in row 2620 of the table for production class 2b.</t>
  </si>
  <si>
    <t>Enter the registry ID number in row 2621 of the table for production class 2b.</t>
  </si>
  <si>
    <t>Enter the registry ID number in row 2622 of the table for production class 2b.</t>
  </si>
  <si>
    <t>Enter the registry ID number in row 2623 of the table for production class 2b.</t>
  </si>
  <si>
    <t>Enter the registry ID number in row 2624 of the table for production class 2b.</t>
  </si>
  <si>
    <t>Enter the registry ID number in row 2625 of the table for production class 2b.</t>
  </si>
  <si>
    <t>Enter the registry ID number in row 2626 of the table for production class 2b.</t>
  </si>
  <si>
    <t>Enter the registry ID number in row 2627 of the table for production class 2b.</t>
  </si>
  <si>
    <t>Enter the registry ID number in row 2628 of the table for production class 2b.</t>
  </si>
  <si>
    <t>Enter the registry ID number in row 2629 of the table for production class 2b.</t>
  </si>
  <si>
    <t>Enter the registry ID number in row 2630 of the table for production class 2b.</t>
  </si>
  <si>
    <t>Enter the registry ID number in row 2631 of the table for production class 2b.</t>
  </si>
  <si>
    <t>Enter the registry ID number in row 2632 of the table for production class 2b.</t>
  </si>
  <si>
    <t>Enter the registry ID number in row 2633 of the table for production class 2b.</t>
  </si>
  <si>
    <t>Enter the registry ID number in row 2634 of the table for production class 2b.</t>
  </si>
  <si>
    <t>Enter the registry ID number in row 2635 of the table for production class 2b.</t>
  </si>
  <si>
    <t>Enter the registry ID number in row 2636 of the table for production class 2b.</t>
  </si>
  <si>
    <t>Enter the registry ID number in row 2637 of the table for production class 2b.</t>
  </si>
  <si>
    <t>Enter the registry ID number in row 2638 of the table for production class 2b.</t>
  </si>
  <si>
    <t>Enter the registry ID number in row 2639 of the table for production class 2b.</t>
  </si>
  <si>
    <t>Enter the registry ID number in row 2640 of the table for production class 2b.</t>
  </si>
  <si>
    <t>Enter the registry ID number in row 2641 of the table for production class 2b.</t>
  </si>
  <si>
    <t>Enter the registry ID number in row 2642 of the table for production class 2b.</t>
  </si>
  <si>
    <t>Enter the registry ID number in row 2643 of the table for production class 2b.</t>
  </si>
  <si>
    <t>Enter the registry ID number in row 2644 of the table for production class 2b.</t>
  </si>
  <si>
    <t>Enter the registry ID number in row 2645 of the table for production class 2b.</t>
  </si>
  <si>
    <t>Enter the registry ID number in row 2646 of the table for production class 2b.</t>
  </si>
  <si>
    <t>Enter the registry ID number in row 2647 of the table for production class 2b.</t>
  </si>
  <si>
    <t>Enter the registry ID number in row 2648 of the table for production class 2b.</t>
  </si>
  <si>
    <t>Enter the registry ID number in row 2649 of the table for production class 2b.</t>
  </si>
  <si>
    <t>Enter the registry ID number in row 2650 of the table for production class 2b.</t>
  </si>
  <si>
    <t>Enter the registry ID number in row 2651 of the table for production class 2b.</t>
  </si>
  <si>
    <t>Enter the registry ID number in row 2652 of the table for production class 2b.</t>
  </si>
  <si>
    <t>Enter the registry ID number in row 2653 of the table for production class 2b.</t>
  </si>
  <si>
    <t>Enter the registry ID number in row 2654 of the table for production class 2b.</t>
  </si>
  <si>
    <t>Enter the registry ID number in row 2655 of the table for production class 2b.</t>
  </si>
  <si>
    <t>Enter the registry ID number in row 2656 of the table for production class 2b.</t>
  </si>
  <si>
    <t>Enter the registry ID number in row 2657 of the table for production class 2b.</t>
  </si>
  <si>
    <t>Enter the registry ID number in row 2658 of the table for production class 2b.</t>
  </si>
  <si>
    <t>Enter the registry ID number in row 2659 of the table for production class 2b.</t>
  </si>
  <si>
    <t>Enter the registry ID number in row 2660 of the table for production class 2b.</t>
  </si>
  <si>
    <t>Enter the registry ID number in row 2661 of the table for production class 2b.</t>
  </si>
  <si>
    <t>Enter the registry ID number in row 2662 of the table for production class 2b.</t>
  </si>
  <si>
    <t>Enter the registry ID number in row 2663 of the table for production class 2b.</t>
  </si>
  <si>
    <t>Enter the registry ID number in row 2664 of the table for production class 2b.</t>
  </si>
  <si>
    <t>Enter the registry ID number in row 2665 of the table for production class 2b.</t>
  </si>
  <si>
    <t>Enter the registry ID number in row 2666 of the table for production class 2b.</t>
  </si>
  <si>
    <t>Enter the registry ID number in row 2667 of the table for production class 2b.</t>
  </si>
  <si>
    <t>Enter the registry ID number in row 2668 of the table for production class 2b.</t>
  </si>
  <si>
    <t>Enter the registry ID number in row 2669 of the table for production class 2b.</t>
  </si>
  <si>
    <t>Enter the registry ID number in row 2670 of the table for production class 2b.</t>
  </si>
  <si>
    <t>Enter the registry ID number in row 2671 of the table for production class 2b.</t>
  </si>
  <si>
    <t>Enter the registry ID number in row 2672 of the table for production class 2b.</t>
  </si>
  <si>
    <t>Enter the registry ID number in row 2673 of the table for production class 2b.</t>
  </si>
  <si>
    <t>Enter the registry ID number in row 2674 of the table for production class 2b.</t>
  </si>
  <si>
    <t>Enter the registry ID number in row 2675 of the table for production class 2b.</t>
  </si>
  <si>
    <t>Enter the registry ID number in row 2676 of the table for production class 2b.</t>
  </si>
  <si>
    <t>Enter the registry ID number in row 2677 of the table for production class 2b.</t>
  </si>
  <si>
    <t>Enter the registry ID number in row 2678 of the table for production class 2b.</t>
  </si>
  <si>
    <t>Enter the registry ID number in row 2679 of the table for production class 2b.</t>
  </si>
  <si>
    <t>Enter the registry ID number in row 2680 of the table for production class 2b.</t>
  </si>
  <si>
    <t>Enter the registry ID number in row 2681 of the table for production class 2b.</t>
  </si>
  <si>
    <t>Enter the registry ID number in row 2682 of the table for production class 2b.</t>
  </si>
  <si>
    <t>Enter the registry ID number in row 2683 of the table for production class 2b.</t>
  </si>
  <si>
    <t>Enter the registry ID number in row 2684 of the table for production class 2b.</t>
  </si>
  <si>
    <t>Enter the registry ID number in row 2685 of the table for production class 2b.</t>
  </si>
  <si>
    <t>Enter the registry ID number in row 2686 of the table for production class 2b.</t>
  </si>
  <si>
    <t>Enter the registry ID number in row 2687 of the table for production class 2b.</t>
  </si>
  <si>
    <t>Enter the registry ID number in row 2688 of the table for production class 2b.</t>
  </si>
  <si>
    <t>Enter the registry ID number in row 2689 of the table for production class 2b.</t>
  </si>
  <si>
    <t>Enter the registry ID number in row 2690 of the table for production class 2b.</t>
  </si>
  <si>
    <t>Enter the registry ID number in row 2691 of the table for production class 2b.</t>
  </si>
  <si>
    <t>Enter the registry ID number in row 2692 of the table for production class 2b.</t>
  </si>
  <si>
    <t>Enter the registry ID number in row 2693 of the table for production class 2b.</t>
  </si>
  <si>
    <t>Enter the registry ID number in row 2694 of the table for production class 2b.</t>
  </si>
  <si>
    <t>Enter the registry ID number in row 2695 of the table for production class 2b.</t>
  </si>
  <si>
    <t>Enter the registry ID number in row 2696 of the table for production class 2b.</t>
  </si>
  <si>
    <t>Enter the registry ID number in row 2697 of the table for production class 2b.</t>
  </si>
  <si>
    <t>Enter the registry ID number in row 2698 of the table for production class 2b.</t>
  </si>
  <si>
    <t>Enter the registry ID number in row 2699 of the table for production class 2b.</t>
  </si>
  <si>
    <t>Enter the registry ID number in row 2700 of the table for production class 2b.</t>
  </si>
  <si>
    <t>Enter the registry ID number in row 2701 of the table for production class 2b.</t>
  </si>
  <si>
    <t>Enter the registry ID number in row 2702 of the table for production class 2b.</t>
  </si>
  <si>
    <t>Enter the registry ID number in row 2703 of the table for production class 2b.</t>
  </si>
  <si>
    <t>Enter the registry ID number in row 2704 of the table for production class 2b.</t>
  </si>
  <si>
    <t>Enter the registry ID number in row 2705 of the table for production class 2b.</t>
  </si>
  <si>
    <t>Enter the registry ID number in row 2706 of the table for production class 2b.</t>
  </si>
  <si>
    <t>Enter the registry ID number in row 2707 of the table for production class 2b.</t>
  </si>
  <si>
    <t>Enter the registry ID number in row 2708 of the table for production class 2b.</t>
  </si>
  <si>
    <t>Enter the registry ID number in row 2709 of the table for production class 2b.</t>
  </si>
  <si>
    <t>Enter the registry ID number in row 2710 of the table for production class 2b.</t>
  </si>
  <si>
    <t>Enter the registry ID number in row 2711 of the table for production class 2b.</t>
  </si>
  <si>
    <t>Enter the registry ID number in row 2712 of the table for production class 2b.</t>
  </si>
  <si>
    <t>Enter the registry ID number in row 2713 of the table for production class 2b.</t>
  </si>
  <si>
    <t>Enter the registry ID number in row 2714 of the table for production class 2b.</t>
  </si>
  <si>
    <t>Enter the registry ID number in row 2715 of the table for production class 2b.</t>
  </si>
  <si>
    <t>Enter the registry ID number in row 2716 of the table for production class 2b.</t>
  </si>
  <si>
    <t>Enter the registry ID number in row 2717 of the table for production class 2b.</t>
  </si>
  <si>
    <t>Enter the registry ID number in row 2718 of the table for production class 2b.</t>
  </si>
  <si>
    <t>Enter the registry ID number in row 2719 of the table for production class 2b.</t>
  </si>
  <si>
    <t>Enter the registry ID number in row 2720 of the table for production class 2b.</t>
  </si>
  <si>
    <t>Enter the registry ID number in row 2721 of the table for production class 2b.</t>
  </si>
  <si>
    <t>Enter the registry ID number in row 2722 of the table for production class 2b.</t>
  </si>
  <si>
    <t>Enter the registry ID number in row 2723 of the table for production class 2b.</t>
  </si>
  <si>
    <t>Enter the registry ID number in row 2724 of the table for production class 2b.</t>
  </si>
  <si>
    <t>Enter the registry ID number in row 2725 of the table for production class 2b.</t>
  </si>
  <si>
    <t>Enter the registry ID number in row 2726 of the table for production class 2b.</t>
  </si>
  <si>
    <t>Enter the registry ID number in row 2727 of the table for production class 2b.</t>
  </si>
  <si>
    <t>Enter the registry ID number in row 2728 of the table for production class 2b.</t>
  </si>
  <si>
    <t>Enter the registry ID number in row 2729 of the table for production class 2b.</t>
  </si>
  <si>
    <t>Enter the registry ID number in row 2730 of the table for production class 2b.</t>
  </si>
  <si>
    <t>Enter the registry ID number in row 2731 of the table for production class 2b.</t>
  </si>
  <si>
    <t>Enter the registry ID number in row 2732 of the table for production class 2b.</t>
  </si>
  <si>
    <t>Enter the registry ID number in row 2733 of the table for production class 2b.</t>
  </si>
  <si>
    <t>Enter the registry ID number in row 2734 of the table for production class 2b.</t>
  </si>
  <si>
    <t>Enter the registry ID number in row 2735 of the table for production class 2b.</t>
  </si>
  <si>
    <t>Enter the registry ID number in row 2736 of the table for production class 2b.</t>
  </si>
  <si>
    <t>Enter the registry ID number in row 2737 of the table for production class 2b.</t>
  </si>
  <si>
    <t>Enter the registry ID number in row 2738 of the table for production class 2b.</t>
  </si>
  <si>
    <t>Enter the registry ID number in row 2739 of the table for production class 2b.</t>
  </si>
  <si>
    <t>Enter the registry ID number in row 2740 of the table for production class 2b.</t>
  </si>
  <si>
    <t>Enter the registry ID number in row 2741 of the table for production class 2b.</t>
  </si>
  <si>
    <t>Enter the registry ID number in row 2742 of the table for production class 2b.</t>
  </si>
  <si>
    <t>Enter the registry ID number in row 2743 of the table for production class 2b.</t>
  </si>
  <si>
    <t>Enter the registry ID number in row 2744 of the table for production class 2b.</t>
  </si>
  <si>
    <t>Enter the registry ID number in row 2745 of the table for production class 2b.</t>
  </si>
  <si>
    <t>Enter the registry ID number in row 2746 of the table for production class 2b.</t>
  </si>
  <si>
    <t>Enter the registry ID number in row 2747 of the table for production class 2b.</t>
  </si>
  <si>
    <t>Enter the registry ID number in row 2748 of the table for production class 2b.</t>
  </si>
  <si>
    <t>Enter the registry ID number in row 2749 of the table for production class 2b.</t>
  </si>
  <si>
    <t>Enter the registry ID number in row 2750 of the table for production class 2b.</t>
  </si>
  <si>
    <t>Enter the registry ID number in row 2751 of the table for production class 2b.</t>
  </si>
  <si>
    <t>Enter the registry ID number in row 2752 of the table for production class 2b.</t>
  </si>
  <si>
    <t>Enter the registry ID number in row 2753 of the table for production class 2b.</t>
  </si>
  <si>
    <t>Enter the registry ID number in row 2754 of the table for production class 2b.</t>
  </si>
  <si>
    <t>Enter the registry ID number in row 2755 of the table for production class 2b.</t>
  </si>
  <si>
    <t>Enter the registry ID number in row 2756 of the table for production class 2b.</t>
  </si>
  <si>
    <t>Enter the registry ID number in row 2757 of the table for production class 2b.</t>
  </si>
  <si>
    <t>Enter the registry ID number in row 2758 of the table for production class 2b.</t>
  </si>
  <si>
    <t>Enter the registry ID number in row 2759 of the table for production class 2b.</t>
  </si>
  <si>
    <t>Enter the registry ID number in row 2760 of the table for production class 2b.</t>
  </si>
  <si>
    <t>Enter the registry ID number in row 2761 of the table for production class 2b.</t>
  </si>
  <si>
    <t>Enter the registry ID number in row 2762 of the table for production class 2b.</t>
  </si>
  <si>
    <t>Enter the registry ID number in row 2763 of the table for production class 2b.</t>
  </si>
  <si>
    <t>Enter the registry ID number in row 2764 of the table for production class 2b.</t>
  </si>
  <si>
    <t>Enter the registry ID number in row 2765 of the table for production class 2b.</t>
  </si>
  <si>
    <t>Enter the registry ID number in row 2766 of the table for production class 2b.</t>
  </si>
  <si>
    <t>Enter the registry ID number in row 2767 of the table for production class 2b.</t>
  </si>
  <si>
    <t>Enter the registry ID number in row 2768 of the table for production class 2b.</t>
  </si>
  <si>
    <t>Enter the registry ID number in row 2769 of the table for production class 2b.</t>
  </si>
  <si>
    <t>Enter the registry ID number in row 2770 of the table for production class 2b.</t>
  </si>
  <si>
    <t>Enter the registry ID number in row 2771 of the table for production class 2b.</t>
  </si>
  <si>
    <t>Enter the registry ID number in row 2772 of the table for production class 2b.</t>
  </si>
  <si>
    <t>Enter the registry ID number in row 2773 of the table for production class 2b.</t>
  </si>
  <si>
    <t>Enter the registry ID number in row 2774 of the table for production class 2b.</t>
  </si>
  <si>
    <t>Enter the registry ID number in row 2775 of the table for production class 2b.</t>
  </si>
  <si>
    <t>Enter the registry ID number in row 2776 of the table for production class 2b.</t>
  </si>
  <si>
    <t>Enter the registry ID number in row 2777 of the table for production class 2b.</t>
  </si>
  <si>
    <t>Enter the registry ID number in row 2778 of the table for production class 2b.</t>
  </si>
  <si>
    <t>Enter the registry ID number in row 2779 of the table for production class 2b.</t>
  </si>
  <si>
    <t>Enter the registry ID number in row 2780 of the table for production class 2b.</t>
  </si>
  <si>
    <t>Enter the registry ID number in row 2781 of the table for production class 2b.</t>
  </si>
  <si>
    <t>Enter the registry ID number in row 2782 of the table for production class 2b.</t>
  </si>
  <si>
    <t>Enter the registry ID number in row 2783 of the table for production class 2b.</t>
  </si>
  <si>
    <t>Enter the registry ID number in row 2784 of the table for production class 2b.</t>
  </si>
  <si>
    <t>Enter the registry ID number in row 2785 of the table for production class 2b.</t>
  </si>
  <si>
    <t>Enter the registry ID number in row 2786 of the table for production class 2b.</t>
  </si>
  <si>
    <t>Enter the registry ID number in row 2787 of the table for production class 2b.</t>
  </si>
  <si>
    <t>Enter the registry ID number in row 2788 of the table for production class 2b.</t>
  </si>
  <si>
    <t>Enter the registry ID number in row 2789 of the table for production class 2b.</t>
  </si>
  <si>
    <t>Enter the registry ID number in row 2790 of the table for production class 2b.</t>
  </si>
  <si>
    <t>Enter the registry ID number in row 2791 of the table for production class 2b.</t>
  </si>
  <si>
    <t>Enter the registry ID number in row 2792 of the table for production class 2b.</t>
  </si>
  <si>
    <t>Enter the registry ID number in row 2793 of the table for production class 2b.</t>
  </si>
  <si>
    <t>Enter the registry ID number in row 2794 of the table for production class 2b.</t>
  </si>
  <si>
    <t>Enter the registry ID number in row 2795 of the table for production class 2b.</t>
  </si>
  <si>
    <t>Enter the registry ID number in row 2796 of the table for production class 2b.</t>
  </si>
  <si>
    <t>Enter the registry ID number in row 2797 of the table for production class 2b.</t>
  </si>
  <si>
    <t>Enter the registry ID number in row 2798 of the table for production class 2b.</t>
  </si>
  <si>
    <t>Enter the registry ID number in row 2799 of the table for production class 2b.</t>
  </si>
  <si>
    <t>Enter the registry ID number in row 2800 of the table for production class 2b.</t>
  </si>
  <si>
    <t>Enter the registry ID number in row 2801 of the table for production class 2b.</t>
  </si>
  <si>
    <t>Enter the registry ID number in row 2802 of the table for production class 2b.</t>
  </si>
  <si>
    <t>Enter the registry ID number in row 2803 of the table for production class 2b.</t>
  </si>
  <si>
    <t>Enter the registry ID number in row 2804 of the table for production class 2b.</t>
  </si>
  <si>
    <t>Enter the registry ID number in row 2805 of the table for production class 2b.</t>
  </si>
  <si>
    <t>Enter the registry ID number in row 2806 of the table for production class 2b.</t>
  </si>
  <si>
    <t>Enter the registry ID number in row 2807 of the table for production class 2b.</t>
  </si>
  <si>
    <t>Enter the registry ID number in row 2808 of the table for production class 2b.</t>
  </si>
  <si>
    <t>Enter the registry ID number in row 2809 of the table for production class 2b.</t>
  </si>
  <si>
    <t>Enter the registry ID number in row 2810 of the table for production class 2b.</t>
  </si>
  <si>
    <t>Enter the registry ID number in row 2811 of the table for production class 2b.</t>
  </si>
  <si>
    <t>Enter the registry ID number in row 2812 of the table for production class 2b.</t>
  </si>
  <si>
    <t>Enter the registry ID number in row 2813 of the table for production class 2b.</t>
  </si>
  <si>
    <t>Enter the registry ID number in row 2814 of the table for production class 2b.</t>
  </si>
  <si>
    <t>Enter the registry ID number in row 2815 of the table for production class 2b.</t>
  </si>
  <si>
    <t>Enter the registry ID number in row 2816 of the table for production class 2b.</t>
  </si>
  <si>
    <t>Enter the registry ID number in row 2817 of the table for production class 2b.</t>
  </si>
  <si>
    <t>Enter the registry ID number in row 2818 of the table for production class 2b.</t>
  </si>
  <si>
    <t>Enter the registry ID number in row 2819 of the table for production class 2b.</t>
  </si>
  <si>
    <t>Enter the registry ID number in row 2820 of the table for production class 2b.</t>
  </si>
  <si>
    <t>Enter the registry ID number in row 2821 of the table for production class 2b.</t>
  </si>
  <si>
    <t>Enter the registry ID number in row 2822 of the table for production class 2b.</t>
  </si>
  <si>
    <t>Enter the registry ID number in row 2823 of the table for production class 2b.</t>
  </si>
  <si>
    <t>Enter the registry ID number in row 2824 of the table for production class 2b.</t>
  </si>
  <si>
    <t>Enter the registry ID number in row 2825 of the table for production class 2b.</t>
  </si>
  <si>
    <t>Enter the registry ID number in row 2826 of the table for production class 2b.</t>
  </si>
  <si>
    <t>Enter the registry ID number in row 2827 of the table for production class 2b.</t>
  </si>
  <si>
    <t>Enter the registry ID number in row 2828 of the table for production class 2b.</t>
  </si>
  <si>
    <t>Enter the registry ID number in row 2829 of the table for production class 2b.</t>
  </si>
  <si>
    <t>Enter the registry ID number in row 2830 of the table for production class 2b.</t>
  </si>
  <si>
    <t>Enter the registry ID number in row 2831 of the table for production class 2b.</t>
  </si>
  <si>
    <t>Enter the registry ID number in row 2832 of the table for production class 2b.</t>
  </si>
  <si>
    <t>Enter the registry ID number in row 2833 of the table for production class 2b.</t>
  </si>
  <si>
    <t>Enter the registry ID number in row 2834 of the table for production class 2b.</t>
  </si>
  <si>
    <t>Enter the registry ID number in row 2835 of the table for production class 2b.</t>
  </si>
  <si>
    <t>Enter the registry ID number in row 2836 of the table for production class 2b.</t>
  </si>
  <si>
    <t>Enter the registry ID number in row 2837 of the table for production class 2b.</t>
  </si>
  <si>
    <t>Enter the registry ID number in row 2838 of the table for production class 2b.</t>
  </si>
  <si>
    <t>Enter the registry ID number in row 2839 of the table for production class 2b.</t>
  </si>
  <si>
    <t>Enter the registry ID number in row 2840 of the table for production class 2b.</t>
  </si>
  <si>
    <t>Enter the registry ID number in row 2841 of the table for production class 2b.</t>
  </si>
  <si>
    <t>Enter the registry ID number in row 2842 of the table for production class 2b.</t>
  </si>
  <si>
    <t>Enter the registry ID number in row 2843 of the table for production class 2b.</t>
  </si>
  <si>
    <t>Enter the registry ID number in row 2844 of the table for production class 2b.</t>
  </si>
  <si>
    <t>Enter the registry ID number in row 2845 of the table for production class 2b.</t>
  </si>
  <si>
    <t>Enter the registry ID number in row 2846 of the table for production class 2b.</t>
  </si>
  <si>
    <t>Enter the registry ID number in row 2847 of the table for production class 2b.</t>
  </si>
  <si>
    <t>Enter the registry ID number in row 2848 of the table for production class 2b.</t>
  </si>
  <si>
    <t>Enter the registry ID number in row 2849 of the table for production class 2b.</t>
  </si>
  <si>
    <t>Enter the registry ID number in row 2850 of the table for production class 2b.</t>
  </si>
  <si>
    <t>Enter the registry ID number in row 2851 of the table for production class 2b.</t>
  </si>
  <si>
    <t>Enter the registry ID number in row 2852 of the table for production class 2b.</t>
  </si>
  <si>
    <t>Enter the registry ID number in row 2853 of the table for production class 2b.</t>
  </si>
  <si>
    <t>Enter the registry ID number in row 2854 of the table for production class 2b.</t>
  </si>
  <si>
    <t>Enter the registry ID number in row 2855 of the table for production class 2b.</t>
  </si>
  <si>
    <t>Enter the registry ID number in row 2856 of the table for production class 2b.</t>
  </si>
  <si>
    <t>Enter the registry ID number in row 2857 of the table for production class 2b.</t>
  </si>
  <si>
    <t>Enter the registry ID number in row 2858 of the table for production class 2b.</t>
  </si>
  <si>
    <t>Enter the registry ID number in row 2859 of the table for production class 2b.</t>
  </si>
  <si>
    <t>Enter the registry ID number in row 2860 of the table for production class 2b.</t>
  </si>
  <si>
    <t>Enter the registry ID number in row 2861 of the table for production class 2b.</t>
  </si>
  <si>
    <t>Enter the registry ID number in row 2862 of the table for production class 2b.</t>
  </si>
  <si>
    <t>Enter the registry ID number in row 2863 of the table for production class 2b.</t>
  </si>
  <si>
    <t>Enter the registry ID number in row 2864 of the table for production class 2b.</t>
  </si>
  <si>
    <t>Enter the registry ID number in row 2865 of the table for production class 2b.</t>
  </si>
  <si>
    <t>Enter the registry ID number in row 2866 of the table for production class 2b.</t>
  </si>
  <si>
    <t>Enter the registry ID number in row 2867 of the table for production class 2b.</t>
  </si>
  <si>
    <t>Enter the registry ID number in row 2868 of the table for production class 2b.</t>
  </si>
  <si>
    <t>Enter the registry ID number in row 2869 of the table for production class 2b.</t>
  </si>
  <si>
    <t>Enter the registry ID number in row 2870 of the table for production class 2b.</t>
  </si>
  <si>
    <t>Enter the registry ID number in row 2871 of the table for production class 2b.</t>
  </si>
  <si>
    <t>Enter the registry ID number in row 2872 of the table for production class 2b.</t>
  </si>
  <si>
    <t>Enter the registry ID number in row 2873 of the table for production class 2b.</t>
  </si>
  <si>
    <t>Enter the registry ID number in row 2874 of the table for production class 2b.</t>
  </si>
  <si>
    <t>Enter the registry ID number in row 2875 of the table for production class 2b.</t>
  </si>
  <si>
    <t>Enter the registry ID number in row 2876 of the table for production class 2b.</t>
  </si>
  <si>
    <t>Enter the registry ID number in row 2877 of the table for production class 2b.</t>
  </si>
  <si>
    <t>Enter the registry ID number in row 2878 of the table for production class 2b.</t>
  </si>
  <si>
    <t>Enter the registry ID number in row 2879 of the table for production class 2b.</t>
  </si>
  <si>
    <t>Enter the registry ID number in row 2880 of the table for production class 2b.</t>
  </si>
  <si>
    <t>Enter the registry ID number in row 2881 of the table for production class 2b.</t>
  </si>
  <si>
    <t>Enter the registry ID number in row 2882 of the table for production class 2b.</t>
  </si>
  <si>
    <t>Enter the registry ID number in row 2883 of the table for production class 2b.</t>
  </si>
  <si>
    <t>Enter the registry ID number in row 2884 of the table for production class 2b.</t>
  </si>
  <si>
    <t>Enter the registry ID number in row 2885 of the table for production class 2b.</t>
  </si>
  <si>
    <t>Enter the registry ID number in row 2886 of the table for production class 2b.</t>
  </si>
  <si>
    <t>Enter the registry ID number in row 2887 of the table for production class 2b.</t>
  </si>
  <si>
    <t>Enter the registry ID number in row 2888 of the table for production class 2b.</t>
  </si>
  <si>
    <t>Enter the registry ID number in row 2889 of the table for production class 2b.</t>
  </si>
  <si>
    <t>Enter the registry ID number in row 2890 of the table for production class 2b.</t>
  </si>
  <si>
    <t>Enter the registry ID number in row 2891 of the table for production class 2b.</t>
  </si>
  <si>
    <t>Enter the registry ID number in row 2892 of the table for production class 2b.</t>
  </si>
  <si>
    <t>Enter the registry ID number in row 2893 of the table for production class 2b.</t>
  </si>
  <si>
    <t>Enter the registry ID number in row 2894 of the table for production class 2b.</t>
  </si>
  <si>
    <t>Enter the registry ID number in row 2895 of the table for production class 2b.</t>
  </si>
  <si>
    <t>Enter the registry ID number in row 2896 of the table for production class 2b.</t>
  </si>
  <si>
    <t>Enter the registry ID number in row 2897 of the table for production class 2b.</t>
  </si>
  <si>
    <t>Enter the registry ID number in row 2898 of the table for production class 2b.</t>
  </si>
  <si>
    <t>Enter the registry ID number in row 2899 of the table for production class 2b.</t>
  </si>
  <si>
    <t>Enter the registry ID number in row 2900 of the table for production class 2b.</t>
  </si>
  <si>
    <t>Enter the registry ID number in row 2901 of the table for production class 2b.</t>
  </si>
  <si>
    <t>Enter the registry ID number in row 2902 of the table for production class 2b.</t>
  </si>
  <si>
    <t>Enter the registry ID number in row 2903 of the table for production class 2b.</t>
  </si>
  <si>
    <t>Enter the registry ID number in row 2904 of the table for production class 2b.</t>
  </si>
  <si>
    <t>Enter the registry ID number in row 2905 of the table for production class 2b.</t>
  </si>
  <si>
    <t>Enter the registry ID number in row 2906 of the table for production class 2b.</t>
  </si>
  <si>
    <t>Enter the registry ID number in row 2907 of the table for production class 2b.</t>
  </si>
  <si>
    <t>Enter the registry ID number in row 2908 of the table for production class 2b.</t>
  </si>
  <si>
    <t>Enter the registry ID number in row 2909 of the table for production class 2b.</t>
  </si>
  <si>
    <t>Enter the registry ID number in row 2910 of the table for production class 2b.</t>
  </si>
  <si>
    <t>Enter the registry ID number in row 2911 of the table for production class 2b.</t>
  </si>
  <si>
    <t>Enter the registry ID number in row 2912 of the table for production class 2b.</t>
  </si>
  <si>
    <t>Enter the registry ID number in row 2913 of the table for production class 2b.</t>
  </si>
  <si>
    <t>Enter the registry ID number in row 2914 of the table for production class 2b.</t>
  </si>
  <si>
    <t>Enter the registry ID number in row 2915 of the table for production class 2b.</t>
  </si>
  <si>
    <t>Enter the registry ID number in row 2916 of the table for production class 2b.</t>
  </si>
  <si>
    <t>Enter the registry ID number in row 2917 of the table for production class 2b.</t>
  </si>
  <si>
    <t>Enter the registry ID number in row 2918 of the table for production class 2b.</t>
  </si>
  <si>
    <t>Enter the registry ID number in row 2919 of the table for production class 2b.</t>
  </si>
  <si>
    <t>Enter the registry ID number in row 2920 of the table for production class 2b.</t>
  </si>
  <si>
    <t>Enter the registry ID number in row 2921 of the table for production class 2b.</t>
  </si>
  <si>
    <t>Enter the registry ID number in row 2922 of the table for production class 2b.</t>
  </si>
  <si>
    <t>Enter the registry ID number in row 2923 of the table for production class 2b.</t>
  </si>
  <si>
    <t>Enter the registry ID number in row 2924 of the table for production class 2b.</t>
  </si>
  <si>
    <t>Enter the registry ID number in row 2925 of the table for production class 2b.</t>
  </si>
  <si>
    <t>Enter the registry ID number in row 2926 of the table for production class 2b.</t>
  </si>
  <si>
    <t>Enter the registry ID number in row 2927 of the table for production class 2b.</t>
  </si>
  <si>
    <t>Enter the registry ID number in row 2928 of the table for production class 2b.</t>
  </si>
  <si>
    <t>Enter the registry ID number in row 2929 of the table for production class 2b.</t>
  </si>
  <si>
    <t>Enter the registry ID number in row 2930 of the table for production class 2b.</t>
  </si>
  <si>
    <t>Enter the registry ID number in row 2931 of the table for production class 2b.</t>
  </si>
  <si>
    <t>Enter the registry ID number in row 2932 of the table for production class 2b.</t>
  </si>
  <si>
    <t>Enter the registry ID number in row 2933 of the table for production class 2b.</t>
  </si>
  <si>
    <t>Enter the registry ID number in row 2934 of the table for production class 2b.</t>
  </si>
  <si>
    <t>Enter the registry ID number in row 2935 of the table for production class 2b.</t>
  </si>
  <si>
    <t>Enter the registry ID number in row 2936 of the table for production class 2b.</t>
  </si>
  <si>
    <t>Enter the registry ID number in row 2937 of the table for production class 2b.</t>
  </si>
  <si>
    <t>Enter the registry ID number in row 2938 of the table for production class 2b.</t>
  </si>
  <si>
    <t>Enter the registry ID number in row 2939 of the table for production class 2b.</t>
  </si>
  <si>
    <t>Enter the registry ID number in row 2940 of the table for production class 2b.</t>
  </si>
  <si>
    <t>Enter the registry ID number in row 2941 of the table for production class 2b.</t>
  </si>
  <si>
    <t>Enter the registry ID number in row 2942 of the table for production class 2b.</t>
  </si>
  <si>
    <t>Enter the registry ID number in row 2943 of the table for production class 2b.</t>
  </si>
  <si>
    <t>Enter the registry ID number in row 2944 of the table for production class 2b.</t>
  </si>
  <si>
    <t>Enter the registry ID number in row 2945 of the table for production class 2b.</t>
  </si>
  <si>
    <t>Enter the registry ID number in row 2946 of the table for production class 2b.</t>
  </si>
  <si>
    <t>Enter the registry ID number in row 2947 of the table for production class 2b.</t>
  </si>
  <si>
    <t>Enter the registry ID number in row 2948 of the table for production class 2b.</t>
  </si>
  <si>
    <t>Enter the registry ID number in row 2949 of the table for production class 2b.</t>
  </si>
  <si>
    <t>Enter the registry ID number in row 2950 of the table for production class 2b.</t>
  </si>
  <si>
    <t>Enter the registry ID number in row 2951 of the table for production class 2b.</t>
  </si>
  <si>
    <t>Enter the registry ID number in row 2952 of the table for production class 2b.</t>
  </si>
  <si>
    <t>Enter the registry ID number in row 2953 of the table for production class 2b.</t>
  </si>
  <si>
    <t>Enter the registry ID number in row 2954 of the table for production class 2b.</t>
  </si>
  <si>
    <t>Enter the registry ID number in row 2955 of the table for production class 2b.</t>
  </si>
  <si>
    <t>Enter the registry ID number in row 2956 of the table for production class 2b.</t>
  </si>
  <si>
    <t>Enter the registry ID number in row 2957 of the table for production class 2b.</t>
  </si>
  <si>
    <t>Enter the registry ID number in row 2958 of the table for production class 2b.</t>
  </si>
  <si>
    <t>Enter the registry ID number in row 2959 of the table for production class 2b.</t>
  </si>
  <si>
    <t>Enter the registry ID number in row 2960 of the table for production class 2b.</t>
  </si>
  <si>
    <t>Enter the registry ID number in row 2961 of the table for production class 2b.</t>
  </si>
  <si>
    <t>Enter the registry ID number in row 2962 of the table for production class 2b.</t>
  </si>
  <si>
    <t>Enter the registry ID number in row 2963 of the table for production class 2b.</t>
  </si>
  <si>
    <t>Enter the registry ID number in row 2964 of the table for production class 2b.</t>
  </si>
  <si>
    <t>Enter the registry ID number in row 2965 of the table for production class 2b.</t>
  </si>
  <si>
    <t>Enter the registry ID number in row 2966 of the table for production class 2b.</t>
  </si>
  <si>
    <t>Enter the registry ID number in row 2967 of the table for production class 2b.</t>
  </si>
  <si>
    <t>Enter the registry ID number in row 2968 of the table for production class 2b.</t>
  </si>
  <si>
    <t>Enter the registry ID number in row 2969 of the table for production class 2b.</t>
  </si>
  <si>
    <t>Enter the registry ID number in row 2970 of the table for production class 2b.</t>
  </si>
  <si>
    <t>Enter the registry ID number in row 2971 of the table for production class 2b.</t>
  </si>
  <si>
    <t>Enter the registry ID number in row 2972 of the table for production class 2b.</t>
  </si>
  <si>
    <t>Enter the registry ID number in row 2973 of the table for production class 2b.</t>
  </si>
  <si>
    <t>Enter the registry ID number in row 2974 of the table for production class 2b.</t>
  </si>
  <si>
    <t>Enter the registry ID number in row 2975 of the table for production class 2b.</t>
  </si>
  <si>
    <t>Enter the registry ID number in row 2976 of the table for production class 2b.</t>
  </si>
  <si>
    <t>Enter the registry ID number in row 2977 of the table for production class 2b.</t>
  </si>
  <si>
    <t>Enter the registry ID number in row 2978 of the table for production class 2b.</t>
  </si>
  <si>
    <t>Enter the registry ID number in row 2979 of the table for production class 2b.</t>
  </si>
  <si>
    <t>Enter the registry ID number in row 2980 of the table for production class 2b.</t>
  </si>
  <si>
    <t>Enter the registry ID number in row 2981 of the table for production class 2b.</t>
  </si>
  <si>
    <t>Enter the registry ID number in row 2982 of the table for production class 2b.</t>
  </si>
  <si>
    <t>Enter the registry ID number in row 2983 of the table for production class 2b.</t>
  </si>
  <si>
    <t>Enter the registry ID number in row 2984 of the table for production class 2b.</t>
  </si>
  <si>
    <t>Enter the registry ID number in row 2985 of the table for production class 2b.</t>
  </si>
  <si>
    <t>Enter the registry ID number in row 2986 of the table for production class 2b.</t>
  </si>
  <si>
    <t>Enter the registry ID number in row 2987 of the table for production class 2b.</t>
  </si>
  <si>
    <t>Enter the registry ID number in row 2988 of the table for production class 2b.</t>
  </si>
  <si>
    <t>Enter the registry ID number in row 2989 of the table for production class 2b.</t>
  </si>
  <si>
    <t>Enter the registry ID number in row 2990 of the table for production class 2b.</t>
  </si>
  <si>
    <t>Enter the registry ID number in row 2991 of the table for production class 2b.</t>
  </si>
  <si>
    <t>Enter the registry ID number in row 2992 of the table for production class 2b.</t>
  </si>
  <si>
    <t>Enter the registry ID number in row 2993 of the table for production class 2b.</t>
  </si>
  <si>
    <t>Enter the registry ID number in row 2994 of the table for production class 2b.</t>
  </si>
  <si>
    <t>Enter the registry ID number in row 2995 of the table for production class 2b.</t>
  </si>
  <si>
    <t>Enter the registry ID number in row 2996 of the table for production class 2b.</t>
  </si>
  <si>
    <t>Enter the registry ID number in row 2997 of the table for production class 2b.</t>
  </si>
  <si>
    <t>Enter the registry ID number in row 2998 of the table for production class 2b.</t>
  </si>
  <si>
    <t>Enter the registry ID number in row 2999 of the table for production class 2b.</t>
  </si>
  <si>
    <t>Enter the registry ID number in row 3000 of the table for production class 2b.</t>
  </si>
  <si>
    <t>Enter the registry ID number in row 3001 of the table for production class 2b.</t>
  </si>
  <si>
    <t>Enter the registry ID number in row 3002 of the table for production class 2b.</t>
  </si>
  <si>
    <t>Enter the registry ID number in row 3003 of the table for production class 2b.</t>
  </si>
  <si>
    <t>Enter the registry ID number in row 3004 of the table for production class 2b.</t>
  </si>
  <si>
    <t>Enter the registry ID number in row 3005 of the table for production class 2b.</t>
  </si>
  <si>
    <t>Enter the registry ID number in row 3006 of the table for production class 2b.</t>
  </si>
  <si>
    <t>Enter the registry ID number in row 3007 of the table for production class 2b.</t>
  </si>
  <si>
    <t>Enter the registry ID number in row 3008 of the table for production class 2b.</t>
  </si>
  <si>
    <t>Enter the registry ID number in row 3009 of the table for production class 2b.</t>
  </si>
  <si>
    <t>Enter the registry ID number in row 3010 of the table for production class 2b.</t>
  </si>
  <si>
    <t>Enter the registry ID number in row 3011 of the table for production class 2b.</t>
  </si>
  <si>
    <t>Enter the registry ID number in row 3012 of the table for production class 2b.</t>
  </si>
  <si>
    <t>Enter the registry ID number in row 3013 of the table for production class 2b.</t>
  </si>
  <si>
    <t>Enter the registry ID number in row 3014 of the table for production class 2b.</t>
  </si>
  <si>
    <t>Enter the registry ID number in row 3015 of the table for production class 2b.</t>
  </si>
  <si>
    <t>Enter the registry ID number in row 3016 of the table for production class 2b.</t>
  </si>
  <si>
    <t>Enter the registry ID number in row 3017 of the table for production class 2b.</t>
  </si>
  <si>
    <t>Enter the registry ID number in row 3018 of the table for production class 2b.</t>
  </si>
  <si>
    <t>Enter the registry ID number in row 3019 of the table for production class 2b.</t>
  </si>
  <si>
    <t>Enter the registry ID number in row 3020 of the table for production class 2b.</t>
  </si>
  <si>
    <t>Enter the registry ID number in row 3021 of the table for production class 2b.</t>
  </si>
  <si>
    <t>Enter the registry ID number in row 3022 of the table for production class 2b.</t>
  </si>
  <si>
    <t>Enter the registry ID number in row 3023 of the table for production class 2b.</t>
  </si>
  <si>
    <t>Enter the registry ID number in row 3024 of the table for production class 2b.</t>
  </si>
  <si>
    <t>Enter the registry ID number in row 3025 of the table for production class 2b.</t>
  </si>
  <si>
    <t>Enter the registry ID number in row 3026 of the table for production class 2b.</t>
  </si>
  <si>
    <t>Enter the registry ID number in row 3027 of the table for production class 2b.</t>
  </si>
  <si>
    <t>Enter the registry ID number in row 3028 of the table for production class 2b.</t>
  </si>
  <si>
    <t>Enter the registry ID number in row 3029 of the table for production class 2b.</t>
  </si>
  <si>
    <t>Enter the registry ID number in row 3030 of the table for production class 2b.</t>
  </si>
  <si>
    <t>Enter the registry ID number in row 3031 of the table for production class 2b.</t>
  </si>
  <si>
    <t>Enter the registry ID number in row 3032 of the table for production class 2b.</t>
  </si>
  <si>
    <t>Enter the registry ID number in row 3033 of the table for production class 2b.</t>
  </si>
  <si>
    <t>Enter the registry ID number in row 3034 of the table for production class 2b.</t>
  </si>
  <si>
    <t>Enter the registry ID number in row 3035 of the table for production class 2b.</t>
  </si>
  <si>
    <t>Enter the registry ID number in row 3036 of the table for production class 2b.</t>
  </si>
  <si>
    <t>Enter the registry ID number in row 3037 of the table for production class 2b.</t>
  </si>
  <si>
    <t>Enter the registry ID number in row 3038 of the table for production class 2b.</t>
  </si>
  <si>
    <t>Enter the registry ID number in row 3039 of the table for production class 2b.</t>
  </si>
  <si>
    <t>Enter the registry ID number in row 3040 of the table for production class 2b.</t>
  </si>
  <si>
    <t>Enter the registry ID number in row 3041 of the table for production class 2b.</t>
  </si>
  <si>
    <t>Enter the registry ID number in row 3042 of the table for production class 2b.</t>
  </si>
  <si>
    <t>Enter the registry ID number in row 3043 of the table for production class 2b.</t>
  </si>
  <si>
    <t>Enter the registry ID number in row 3044 of the table for production class 2b.</t>
  </si>
  <si>
    <t>Enter the registry ID number in row 3045 of the table for production class 2b.</t>
  </si>
  <si>
    <t>Enter the registry ID number in row 3046 of the table for production class 2b.</t>
  </si>
  <si>
    <t>Enter the registry ID number in row 3047 of the table for production class 2b.</t>
  </si>
  <si>
    <t>Enter the registry ID number in row 3048 of the table for production class 2b.</t>
  </si>
  <si>
    <t>Enter the registry ID number in row 3049 of the table for production class 2b.</t>
  </si>
  <si>
    <t>Enter the registry ID number in row 3050 of the table for production class 2b.</t>
  </si>
  <si>
    <t>Enter the registry ID number in row 3051 of the table for production class 2b.</t>
  </si>
  <si>
    <t>Enter the registry ID number in row 3052 of the table for production class 2b.</t>
  </si>
  <si>
    <t>Enter the registry ID number in row 3053 of the table for production class 2b.</t>
  </si>
  <si>
    <t>Enter the registry ID number in row 3054 of the table for production class 2b.</t>
  </si>
  <si>
    <t>Enter the registry ID number in row 3055 of the table for production class 2b.</t>
  </si>
  <si>
    <t>Enter the registry ID number in row 3056 of the table for production class 2b.</t>
  </si>
  <si>
    <t>Enter the registry ID number in row 3057 of the table for production class 2b.</t>
  </si>
  <si>
    <t>Enter the registry ID number in row 3058 of the table for production class 2b.</t>
  </si>
  <si>
    <t>Enter the registry ID number in row 3059 of the table for production class 2b.</t>
  </si>
  <si>
    <t>Enter the registry ID number in row 3060 of the table for production class 2b.</t>
  </si>
  <si>
    <t>Enter the registry ID number in row 3061 of the table for production class 2b.</t>
  </si>
  <si>
    <t>Enter the registry ID number in row 3062 of the table for production class 2b.</t>
  </si>
  <si>
    <t>Enter the registry ID number in row 3063 of the table for production class 2b.</t>
  </si>
  <si>
    <t>Enter the registry ID number in row 3064 of the table for production class 2b.</t>
  </si>
  <si>
    <t>Enter the registry ID number in row 3065 of the table for production class 2b.</t>
  </si>
  <si>
    <t>Enter the registry ID number in row 3066 of the table for production class 2b.</t>
  </si>
  <si>
    <t>Enter the registry ID number in row 3067 of the table for production class 2b.</t>
  </si>
  <si>
    <t>Enter the registry ID number in row 3068 of the table for production class 2b.</t>
  </si>
  <si>
    <t>Enter the registry ID number in row 3069 of the table for production class 2b.</t>
  </si>
  <si>
    <t>Enter the registry ID number in row 3070 of the table for production class 2b.</t>
  </si>
  <si>
    <t>Enter the registry ID number in row 3071 of the table for production class 2b.</t>
  </si>
  <si>
    <t>Enter the registry ID number in row 3072 of the table for production class 2b.</t>
  </si>
  <si>
    <t>Enter the registry ID number in row 3073 of the table for production class 2b.</t>
  </si>
  <si>
    <t>Enter the registry ID number in row 3074 of the table for production class 2b.</t>
  </si>
  <si>
    <t>Enter the registry ID number in row 3075 of the table for production class 2b.</t>
  </si>
  <si>
    <t>Enter the registry ID number in row 3076 of the table for production class 2b.</t>
  </si>
  <si>
    <t>Enter the registry ID number in row 3077 of the table for production class 2b.</t>
  </si>
  <si>
    <t>Enter the registry ID number in row 3078 of the table for production class 2b.</t>
  </si>
  <si>
    <t>Enter the registry ID number in row 3079 of the table for production class 2b.</t>
  </si>
  <si>
    <t>Enter the registry ID number in row 3080 of the table for production class 2b.</t>
  </si>
  <si>
    <t>Enter the registry ID number in row 3081 of the table for production class 2b.</t>
  </si>
  <si>
    <t>Enter the registry ID number in row 3082 of the table for production class 2b.</t>
  </si>
  <si>
    <t>Enter the registry ID number in row 3083 of the table for production class 2b.</t>
  </si>
  <si>
    <t>Enter the registry ID number in row 3084 of the table for production class 2b.</t>
  </si>
  <si>
    <t>Enter the registry ID number in row 3085 of the table for production class 2b.</t>
  </si>
  <si>
    <t>Enter the registry ID number in row 3086 of the table for production class 2b.</t>
  </si>
  <si>
    <t>Enter the registry ID number in row 3087 of the table for production class 2b.</t>
  </si>
  <si>
    <t>Enter the registry ID number in row 3088 of the table for production class 2b.</t>
  </si>
  <si>
    <t>Enter the registry ID number in row 3089 of the table for production class 2b.</t>
  </si>
  <si>
    <t>Enter the registry ID number in row 3090 of the table for production class 2b.</t>
  </si>
  <si>
    <t>Enter the registry ID number in row 3091 of the table for production class 2b.</t>
  </si>
  <si>
    <t>Enter the registry ID number in row 3092 of the table for production class 2b.</t>
  </si>
  <si>
    <t>Enter the registry ID number in row 3093 of the table for production class 2b.</t>
  </si>
  <si>
    <t>Enter the registry ID number in row 3094 of the table for production class 2b.</t>
  </si>
  <si>
    <t>Enter the registry ID number in row 3095 of the table for production class 2b.</t>
  </si>
  <si>
    <t>Enter the registry ID number in row 3096 of the table for production class 2b.</t>
  </si>
  <si>
    <t>Enter the registry ID number in row 3097 of the table for production class 2b.</t>
  </si>
  <si>
    <t>Enter the registry ID number in row 3098 of the table for production class 2b.</t>
  </si>
  <si>
    <t>Enter the registry ID number in row 3099 of the table for production class 2b.</t>
  </si>
  <si>
    <t>Enter the registry ID number in row 3100 of the table for production class 2b.</t>
  </si>
  <si>
    <t>Enter the registry ID number in row 3101 of the table for production class 2b.</t>
  </si>
  <si>
    <t>Enter the registry ID number in row 3102 of the table for production class 2b.</t>
  </si>
  <si>
    <t>Enter the registry ID number in row 3103 of the table for production class 2b.</t>
  </si>
  <si>
    <t>Enter the registry ID number in row 3104 of the table for production class 2b.</t>
  </si>
  <si>
    <t>Enter the registry ID number in row 3105 of the table for production class 2b.</t>
  </si>
  <si>
    <t>Enter the registry ID number in row 3106 of the table for production class 2b.</t>
  </si>
  <si>
    <t>Enter the registry ID number in row 3107 of the table for production class 2b.</t>
  </si>
  <si>
    <t>Enter the registry ID number in row 3108 of the table for production class 2b.</t>
  </si>
  <si>
    <t>Enter the registry ID number in row 3109 of the table for production class 2b.</t>
  </si>
  <si>
    <t>Enter the registry ID number in row 3110 of the table for production class 2b.</t>
  </si>
  <si>
    <t>Enter the registry ID number in row 3111 of the table for production class 2b.</t>
  </si>
  <si>
    <t>Enter the registry ID number in row 3112 of the table for production class 2b.</t>
  </si>
  <si>
    <t>Enter the registry ID number in row 3113 of the table for production class 2b.</t>
  </si>
  <si>
    <t>Enter the registry ID number in row 3114 of the table for production class 2b.</t>
  </si>
  <si>
    <t>Enter the registry ID number in row 3115 of the table for production class 2b.</t>
  </si>
  <si>
    <t>Enter the registry ID number in row 3116 of the table for production class 2b.</t>
  </si>
  <si>
    <t>Enter the registry ID number in row 3117 of the table for production class 2b.</t>
  </si>
  <si>
    <t>Enter the registry ID number in row 3118 of the table for production class 2b.</t>
  </si>
  <si>
    <t>Enter the registry ID number in row 3119 of the table for production class 2b.</t>
  </si>
  <si>
    <t>Enter the registry ID number in row 3120 of the table for production class 2b.</t>
  </si>
  <si>
    <t>Enter the registry ID number in row 3121 of the table for production class 2b.</t>
  </si>
  <si>
    <t>Enter the registry ID number in row 3122 of the table for production class 2b.</t>
  </si>
  <si>
    <t>Enter the registry ID number in row 3123 of the table for production class 2b.</t>
  </si>
  <si>
    <t>Enter the registry ID number in row 3124 of the table for production class 2b.</t>
  </si>
  <si>
    <t>Enter the registry ID number in row 3125 of the table for production class 2b.</t>
  </si>
  <si>
    <t>Enter the registry ID number in row 3126 of the table for production class 2b.</t>
  </si>
  <si>
    <t>Enter the registry ID number in row 3127 of the table for production class 2b.</t>
  </si>
  <si>
    <t>Enter the registry ID number in row 3128 of the table for production class 2b.</t>
  </si>
  <si>
    <t>Enter the registry ID number in row 3129 of the table for production class 2b.</t>
  </si>
  <si>
    <t>Enter the registry ID number in row 3130 of the table for production class 2b.</t>
  </si>
  <si>
    <t>Enter the registry ID number in row 3131 of the table for production class 2b.</t>
  </si>
  <si>
    <t>Enter the registry ID number in row 3132 of the table for production class 2b.</t>
  </si>
  <si>
    <t>Enter the registry ID number in row 3133 of the table for production class 2b.</t>
  </si>
  <si>
    <t>Enter the registry ID number in row 3134 of the table for production class 2b.</t>
  </si>
  <si>
    <t>Enter the registry ID number in row 3135 of the table for production class 2b.</t>
  </si>
  <si>
    <t>Enter the registry ID number in row 3136 of the table for production class 2b.</t>
  </si>
  <si>
    <t>Enter the registry ID number in row 3137 of the table for production class 2b.</t>
  </si>
  <si>
    <t>Enter the registry ID number in row 3138 of the table for production class 2b.</t>
  </si>
  <si>
    <t>Enter the registry ID number in row 3139 of the table for production class 2b.</t>
  </si>
  <si>
    <t>Enter the registry ID number in row 3140 of the table for production class 2b.</t>
  </si>
  <si>
    <t>Enter the registry ID number in row 3141 of the table for production class 2b.</t>
  </si>
  <si>
    <t>Enter the registry ID number in row 3142 of the table for production class 2b.</t>
  </si>
  <si>
    <t>Enter the registry ID number in row 3143 of the table for production class 2b.</t>
  </si>
  <si>
    <t>Enter the registry ID number in row 3144 of the table for production class 2b.</t>
  </si>
  <si>
    <t>Enter the registry ID number in row 3145 of the table for production class 2b.</t>
  </si>
  <si>
    <t>Enter the registry ID number in row 3146 of the table for production class 2b.</t>
  </si>
  <si>
    <t>Enter the registry ID number in row 3147 of the table for production class 2b.</t>
  </si>
  <si>
    <t>Enter the registry ID number in row 3148 of the table for production class 2b.</t>
  </si>
  <si>
    <t>Enter the registry ID number in row 3149 of the table for production class 2b.</t>
  </si>
  <si>
    <t>Enter the registry ID number in row 3150 of the table for production class 2b.</t>
  </si>
  <si>
    <t>Enter the registry ID number in row 3151 of the table for production class 2b.</t>
  </si>
  <si>
    <t>Enter the registry ID number in row 3152 of the table for production class 2b.</t>
  </si>
  <si>
    <t>Enter the registry ID number in row 3153 of the table for production class 2b.</t>
  </si>
  <si>
    <t>Enter the registry ID number in row 3154 of the table for production class 2b.</t>
  </si>
  <si>
    <t>Enter the registry ID number in row 3155 of the table for production class 2b.</t>
  </si>
  <si>
    <t>Enter the registry ID number in row 3156 of the table for production class 2b.</t>
  </si>
  <si>
    <t>Enter the registry ID number in row 3157 of the table for production class 2b.</t>
  </si>
  <si>
    <t>Enter the registry ID number in row 3158 of the table for production class 2b.</t>
  </si>
  <si>
    <t>Enter the registry ID number in row 3159 of the table for production class 2b.</t>
  </si>
  <si>
    <t>Enter the registry ID number in row 3160 of the table for production class 2b.</t>
  </si>
  <si>
    <t>Enter the registry ID number in row 3161 of the table for production class 2b.</t>
  </si>
  <si>
    <t>Enter the registry ID number in row 3162 of the table for production class 2b.</t>
  </si>
  <si>
    <t>Enter the registry ID number in row 3163 of the table for production class 2b.</t>
  </si>
  <si>
    <t>Enter the registry ID number in row 3164 of the table for production class 2b.</t>
  </si>
  <si>
    <t>Enter the registry ID number in row 3165 of the table for production class 2b.</t>
  </si>
  <si>
    <t>Enter the registry ID number in row 3166 of the table for production class 2b.</t>
  </si>
  <si>
    <t>Enter the registry ID number in row 3167 of the table for production class 2b.</t>
  </si>
  <si>
    <t>Enter the registry ID number in row 3168 of the table for production class 2b.</t>
  </si>
  <si>
    <t>Enter the registry ID number in row 3169 of the table for production class 2b.</t>
  </si>
  <si>
    <t>Enter the registry ID number in row 3170 of the table for production class 2b.</t>
  </si>
  <si>
    <t>Enter the registry ID number in row 3171 of the table for production class 2b.</t>
  </si>
  <si>
    <t>Enter the registry ID number in row 3172 of the table for production class 2b.</t>
  </si>
  <si>
    <t>Enter the registry ID number in row 3173 of the table for production class 2b.</t>
  </si>
  <si>
    <t>Enter the registry ID number in row 3174 of the table for production class 2b.</t>
  </si>
  <si>
    <t>Enter the registry ID number in row 3175 of the table for production class 2b.</t>
  </si>
  <si>
    <t>Enter the registry ID number in row 3176 of the table for production class 2b.</t>
  </si>
  <si>
    <t>Enter the registry ID number in row 3177 of the table for production class 2b.</t>
  </si>
  <si>
    <t>Enter the registry ID number in row 3178 of the table for production class 2b.</t>
  </si>
  <si>
    <t>Enter the registry ID number in row 3179 of the table for production class 2b.</t>
  </si>
  <si>
    <t>Enter the registry ID number in row 3180 of the table for production class 2b.</t>
  </si>
  <si>
    <t>Enter the registry ID number in row 3181 of the table for production class 2b.</t>
  </si>
  <si>
    <t>Enter the registry ID number in row 3182 of the table for production class 2b.</t>
  </si>
  <si>
    <t>Enter the registry ID number in row 3183 of the table for production class 2b.</t>
  </si>
  <si>
    <t>Enter the registry ID number in row 3184 of the table for production class 2b.</t>
  </si>
  <si>
    <t>Enter the registry ID number in row 3185 of the table for production class 2b.</t>
  </si>
  <si>
    <t>Enter the registry ID number in row 3186 of the table for production class 2b.</t>
  </si>
  <si>
    <t>Enter the registry ID number in row 3187 of the table for production class 2b.</t>
  </si>
  <si>
    <t>Enter the registry ID number in row 3188 of the table for production class 2b.</t>
  </si>
  <si>
    <t>Enter the registry ID number in row 3189 of the table for production class 2b.</t>
  </si>
  <si>
    <t>Enter the registry ID number in row 3190 of the table for production class 2b.</t>
  </si>
  <si>
    <t>Enter the registry ID number in row 3191 of the table for production class 2b.</t>
  </si>
  <si>
    <t>Enter the registry ID number in row 3192 of the table for production class 2b.</t>
  </si>
  <si>
    <t>Enter the registry ID number in row 3193 of the table for production class 2b.</t>
  </si>
  <si>
    <t>Enter the registry ID number in row 3194 of the table for production class 2b.</t>
  </si>
  <si>
    <t>Enter the registry ID number in row 3195 of the table for production class 2b.</t>
  </si>
  <si>
    <t>Enter the registry ID number in row 3196 of the table for production class 2b.</t>
  </si>
  <si>
    <t>Enter the registry ID number in row 3197 of the table for production class 2b.</t>
  </si>
  <si>
    <t>Enter the registry ID number in row 3198 of the table for production class 2b.</t>
  </si>
  <si>
    <t>Enter the registry ID number in row 3199 of the table for production class 2b.</t>
  </si>
  <si>
    <t>Enter the registry ID number in row 3200 of the table for production class 2b.</t>
  </si>
  <si>
    <t>Enter the registry ID number in row 3201 of the table for production class 2b.</t>
  </si>
  <si>
    <t>Enter the registry ID number in row 3202 of the table for production class 2b.</t>
  </si>
  <si>
    <t>Enter the registry ID number in row 3203 of the table for production class 2b.</t>
  </si>
  <si>
    <t>Enter the registry ID number in row 3204 of the table for production class 2b.</t>
  </si>
  <si>
    <t>Enter the registry ID number in row 3205 of the table for production class 2b.</t>
  </si>
  <si>
    <t>Enter the registry ID number in row 3206 of the table for production class 2b.</t>
  </si>
  <si>
    <t>Enter the registry ID number in row 3207 of the table for production class 2b.</t>
  </si>
  <si>
    <t>Enter the registry ID number in row 3208 of the table for production class 2b.</t>
  </si>
  <si>
    <t>Enter the registry ID number in row 3209 of the table for production class 2b.</t>
  </si>
  <si>
    <t>Enter the registry ID number in row 3210 of the table for production class 2b.</t>
  </si>
  <si>
    <t>Enter the registry ID number in row 3211 of the table for production class 2b.</t>
  </si>
  <si>
    <t>Enter the registry ID number in row 3212 of the table for production class 2b.</t>
  </si>
  <si>
    <t>Enter the registry ID number in row 3213 of the table for production class 2b.</t>
  </si>
  <si>
    <t>Enter the registry ID number in row 3214 of the table for production class 2b.</t>
  </si>
  <si>
    <t>Enter the registry ID number in row 3215 of the table for production class 2b.</t>
  </si>
  <si>
    <t>Enter the registry ID number in row 3216 of the table for production class 2b.</t>
  </si>
  <si>
    <t>Enter the registry ID number in row 3217 of the table for production class 2b.</t>
  </si>
  <si>
    <t>Enter the registry ID number in row 3218 of the table for production class 2b.</t>
  </si>
  <si>
    <t>Enter the registry ID number in row 3219 of the table for production class 2b.</t>
  </si>
  <si>
    <t>Enter the registry ID number in row 3220 of the table for production class 2b.</t>
  </si>
  <si>
    <t>Enter the registry ID number in row 3221 of the table for production class 2b.</t>
  </si>
  <si>
    <t>Enter the registry ID number in row 3222 of the table for production class 2b.</t>
  </si>
  <si>
    <t>Enter the registry ID number in row 3223 of the table for production class 2b.</t>
  </si>
  <si>
    <t>Enter the registry ID number in row 3224 of the table for production class 2b.</t>
  </si>
  <si>
    <t>Enter the registry ID number in row 3225 of the table for production class 2b.</t>
  </si>
  <si>
    <t>Enter the registry ID number in row 3226 of the table for production class 2b.</t>
  </si>
  <si>
    <t>Enter the registry ID number in row 3227 of the table for production class 2b.</t>
  </si>
  <si>
    <t>Enter the registry ID number in row 3228 of the table for production class 2b.</t>
  </si>
  <si>
    <t>Enter the registry ID number in row 3229 of the table for production class 2b.</t>
  </si>
  <si>
    <t>Enter the registry ID number in row 3230 of the table for production class 2b.</t>
  </si>
  <si>
    <t>Enter the registry ID number in row 3231 of the table for production class 2b.</t>
  </si>
  <si>
    <t>Enter the registry ID number in row 3232 of the table for production class 2b.</t>
  </si>
  <si>
    <t>Enter the registry ID number in row 3233 of the table for production class 2b.</t>
  </si>
  <si>
    <t>Enter the registry ID number in row 3234 of the table for production class 2b.</t>
  </si>
  <si>
    <t>Enter the registry ID number in row 3235 of the table for production class 2b.</t>
  </si>
  <si>
    <t>Enter the registry ID number in row 3236 of the table for production class 2b.</t>
  </si>
  <si>
    <t>Enter the registry ID number in row 3237 of the table for production class 2b.</t>
  </si>
  <si>
    <t>Enter the registry ID number in row 3238 of the table for production class 2b.</t>
  </si>
  <si>
    <t>Enter the registry ID number in row 3239 of the table for production class 2b.</t>
  </si>
  <si>
    <t>Enter the registry ID number in row 3240 of the table for production class 2b.</t>
  </si>
  <si>
    <t>Enter the registry ID number in row 3241 of the table for production class 2b.</t>
  </si>
  <si>
    <t>Enter the registry ID number in row 3242 of the table for production class 2b.</t>
  </si>
  <si>
    <t>Enter the registry ID number in row 3243 of the table for production class 2b.</t>
  </si>
  <si>
    <t>Enter the registry ID number in row 3244 of the table for production class 2b.</t>
  </si>
  <si>
    <t>Enter the registry ID number in row 3245 of the table for production class 2b.</t>
  </si>
  <si>
    <t>Enter the registry ID number in row 3246 of the table for production class 2b.</t>
  </si>
  <si>
    <t>Enter the registry ID number in row 3247 of the table for production class 2b.</t>
  </si>
  <si>
    <t>Enter the registry ID number in row 3248 of the table for production class 2b.</t>
  </si>
  <si>
    <t>Enter the registry ID number in row 3249 of the table for production class 2b.</t>
  </si>
  <si>
    <t>Enter the registry ID number in row 3250 of the table for production class 2b.</t>
  </si>
  <si>
    <t>Enter the registry ID number in row 3251 of the table for production class 2b.</t>
  </si>
  <si>
    <t>Enter the registry ID number in row 3252 of the table for production class 2b.</t>
  </si>
  <si>
    <t>Enter the registry ID number in row 3253 of the table for production class 2b.</t>
  </si>
  <si>
    <t>Enter the registry ID number in row 3254 of the table for production class 2b.</t>
  </si>
  <si>
    <t>Enter the registry ID number in row 3255 of the table for production class 2b.</t>
  </si>
  <si>
    <t>Enter the registry ID number in row 3256 of the table for production class 2b.</t>
  </si>
  <si>
    <t>Enter the registry ID number in row 3257 of the table for production class 2b.</t>
  </si>
  <si>
    <t>Enter the registry ID number in row 3258 of the table for production class 2b.</t>
  </si>
  <si>
    <t>Enter the registry ID number in row 3259 of the table for production class 2b.</t>
  </si>
  <si>
    <t>Enter the registry ID number in row 3260 of the table for production class 2b.</t>
  </si>
  <si>
    <t>Enter the registry ID number in row 3261 of the table for production class 2b.</t>
  </si>
  <si>
    <t>Enter the registry ID number in row 3262 of the table for production class 2b.</t>
  </si>
  <si>
    <t>Enter the registry ID number in row 3263 of the table for production class 2b.</t>
  </si>
  <si>
    <t>Enter the registry ID number in row 3264 of the table for production class 2b.</t>
  </si>
  <si>
    <t>Enter the registry ID number in row 3265 of the table for production class 2b.</t>
  </si>
  <si>
    <t>Enter the registry ID number in row 3266 of the table for production class 2b.</t>
  </si>
  <si>
    <t>Enter the registry ID number in row 3267 of the table for production class 2b.</t>
  </si>
  <si>
    <t>Enter the registry ID number in row 3268 of the table for production class 2b.</t>
  </si>
  <si>
    <t>Enter the registry ID number in row 3269 of the table for production class 2b.</t>
  </si>
  <si>
    <t>Enter the registry ID number in row 3270 of the table for production class 2b.</t>
  </si>
  <si>
    <t>Enter the registry ID number in row 3271 of the table for production class 2b.</t>
  </si>
  <si>
    <t>Enter the registry ID number in row 3272 of the table for production class 2b.</t>
  </si>
  <si>
    <t>Enter the registry ID number in row 3273 of the table for production class 2b.</t>
  </si>
  <si>
    <t>Enter the registry ID number in row 3274 of the table for production class 2b.</t>
  </si>
  <si>
    <t>Enter the registry ID number in row 3275 of the table for production class 2b.</t>
  </si>
  <si>
    <t>Enter the registry ID number in row 3276 of the table for production class 2b.</t>
  </si>
  <si>
    <t>Enter the registry ID number in row 3277 of the table for production class 2b.</t>
  </si>
  <si>
    <t>Enter the registry ID number in row 3278 of the table for production class 2b.</t>
  </si>
  <si>
    <t>Enter the registry ID number in row 3279 of the table for production class 2b.</t>
  </si>
  <si>
    <t>Enter the registry ID number in row 3280 of the table for production class 2b.</t>
  </si>
  <si>
    <t>Enter the registry ID number in row 3281 of the table for production class 2b.</t>
  </si>
  <si>
    <t>Enter the registry ID number in row 3282 of the table for production class 2b.</t>
  </si>
  <si>
    <t>Enter the registry ID number in row 3283 of the table for production class 2b.</t>
  </si>
  <si>
    <t>Enter the registry ID number in row 3284 of the table for production class 2b.</t>
  </si>
  <si>
    <t>Enter the registry ID number in row 3285 of the table for production class 2b.</t>
  </si>
  <si>
    <t>Enter the registry ID number in row 3286 of the table for production class 2b.</t>
  </si>
  <si>
    <t>Enter the registry ID number in row 3287 of the table for production class 2b.</t>
  </si>
  <si>
    <t>Enter the registry ID number in row 3288 of the table for production class 2b.</t>
  </si>
  <si>
    <t>Enter the registry ID number in row 3289 of the table for production class 2b.</t>
  </si>
  <si>
    <t>Enter the registry ID number in row 3290 of the table for production class 2b.</t>
  </si>
  <si>
    <t>Enter the registry ID number in row 3291 of the table for production class 2b.</t>
  </si>
  <si>
    <t>Enter the registry ID number in row 3292 of the table for production class 2b.</t>
  </si>
  <si>
    <t>Enter the registry ID number in row 3293 of the table for production class 2b.</t>
  </si>
  <si>
    <t>Enter the registry ID number in row 3294 of the table for production class 2b.</t>
  </si>
  <si>
    <t>Enter the registry ID number in row 3295 of the table for production class 2b.</t>
  </si>
  <si>
    <t>Enter the registry ID number in row 3296 of the table for production class 2b.</t>
  </si>
  <si>
    <t>Enter the registry ID number in row 3297 of the table for production class 2b.</t>
  </si>
  <si>
    <t>Enter the registry ID number in row 3298 of the table for production class 2b.</t>
  </si>
  <si>
    <t>Enter the registry ID number in row 3299 of the table for production class 2b.</t>
  </si>
  <si>
    <t>Enter the registry ID number in row 3300 of the table for production class 2b.</t>
  </si>
  <si>
    <t>Enter the registry ID number in row 3301 of the table for production class 2b.</t>
  </si>
  <si>
    <t>Enter the registry ID number in row 3302 of the table for production class 2b.</t>
  </si>
  <si>
    <t>Enter the registry ID number in row 3303 of the table for production class 2b.</t>
  </si>
  <si>
    <t>Enter the registry ID number in row 3304 of the table for production class 2b.</t>
  </si>
  <si>
    <t>Enter the registry ID number in row 3305 of the table for production class 2b.</t>
  </si>
  <si>
    <t>Enter the registry ID number in row 3306 of the table for production class 2b.</t>
  </si>
  <si>
    <t>Enter the registry ID number in row 3307 of the table for production class 2b.</t>
  </si>
  <si>
    <t>Enter the registry ID number in row 3308 of the table for production class 2b.</t>
  </si>
  <si>
    <t>Enter the registry ID number in row 3309 of the table for production class 2b.</t>
  </si>
  <si>
    <t>Enter the registry ID number in row 3310 of the table for production class 2b.</t>
  </si>
  <si>
    <t>Enter the registry ID number in row 3311 of the table for production class 2b.</t>
  </si>
  <si>
    <t>Enter the registry ID number in row 3312 of the table for production class 2b.</t>
  </si>
  <si>
    <t>Enter the registry ID number in row 3313 of the table for production class 2b.</t>
  </si>
  <si>
    <t>Enter the registry ID number in row 3314 of the table for production class 2b.</t>
  </si>
  <si>
    <t>Enter the registry ID number in row 3315 of the table for production class 2b.</t>
  </si>
  <si>
    <t>Enter the registry ID number in row 3316 of the table for production class 2b.</t>
  </si>
  <si>
    <t>Enter the registry ID number in row 3317 of the table for production class 2b.</t>
  </si>
  <si>
    <t>Enter the registry ID number in row 3318 of the table for production class 2b.</t>
  </si>
  <si>
    <t>Enter the registry ID number in row 3319 of the table for production class 2b.</t>
  </si>
  <si>
    <t>Enter the registry ID number in row 3320 of the table for production class 2b.</t>
  </si>
  <si>
    <t>Enter the registry ID number in row 3321 of the table for production class 2b.</t>
  </si>
  <si>
    <t>Enter the registry ID number in row 3322 of the table for production class 2b.</t>
  </si>
  <si>
    <t>Enter the registry ID number in row 3323 of the table for production class 2b.</t>
  </si>
  <si>
    <t>Enter the registry ID number in row 3324 of the table for production class 2b.</t>
  </si>
  <si>
    <t>Enter the registry ID number in row 3325 of the table for production class 2b.</t>
  </si>
  <si>
    <t>Enter the registry ID number in row 3326 of the table for production class 2b.</t>
  </si>
  <si>
    <t>Enter the registry ID number in row 3327 of the table for production class 2b.</t>
  </si>
  <si>
    <t>Enter the registry ID number in row 3328 of the table for production class 2b.</t>
  </si>
  <si>
    <t>Enter the registry ID number in row 3329 of the table for production class 2b.</t>
  </si>
  <si>
    <t>Enter the registry ID number in row 3330 of the table for production class 2b.</t>
  </si>
  <si>
    <t>Enter the registry ID number in row 3331 of the table for production class 2b.</t>
  </si>
  <si>
    <t>Enter the registry ID number in row 3332 of the table for production class 2b.</t>
  </si>
  <si>
    <t>Enter the registry ID number in row 3333 of the table for production class 2b.</t>
  </si>
  <si>
    <t>Enter the registry ID number in row 3334 of the table for production class 2b.</t>
  </si>
  <si>
    <t>Enter the registry ID number in row 3335 of the table for production class 2b.</t>
  </si>
  <si>
    <t>Enter the registry ID number in row 3336 of the table for production class 2b.</t>
  </si>
  <si>
    <t>Enter the registry ID number in row 3337 of the table for production class 2b.</t>
  </si>
  <si>
    <t>Enter the registry ID number in row 3338 of the table for production class 2b.</t>
  </si>
  <si>
    <t>Enter the registry ID number in row 3339 of the table for production class 2b.</t>
  </si>
  <si>
    <t>Enter the registry ID number in row 3340 of the table for production class 2b.</t>
  </si>
  <si>
    <t>Enter the registry ID number in row 3341 of the table for production class 2b.</t>
  </si>
  <si>
    <t>Enter the registry ID number in row 3342 of the table for production class 2b.</t>
  </si>
  <si>
    <t>Enter the registry ID number in row 3343 of the table for production class 2b.</t>
  </si>
  <si>
    <t>Enter the registry ID number in row 3344 of the table for production class 2b.</t>
  </si>
  <si>
    <t>Enter the registry ID number in row 3345 of the table for production class 2b.</t>
  </si>
  <si>
    <t>Enter the registry ID number in row 3346 of the table for production class 2b.</t>
  </si>
  <si>
    <t>Enter the registry ID number in row 3347 of the table for production class 2b.</t>
  </si>
  <si>
    <t>Enter the registry ID number in row 3348 of the table for production class 2b.</t>
  </si>
  <si>
    <t>Enter the registry ID number in row 3349 of the table for production class 2b.</t>
  </si>
  <si>
    <t>Enter the registry ID number in row 3350 of the table for production class 2b.</t>
  </si>
  <si>
    <t>Enter the registry ID number in row 3351 of the table for production class 2b.</t>
  </si>
  <si>
    <t>Enter the registry ID number in row 3352 of the table for production class 2b.</t>
  </si>
  <si>
    <t>Enter the registry ID number in row 3353 of the table for production class 2b.</t>
  </si>
  <si>
    <t>Enter the registry ID number in row 3354 of the table for production class 2b.</t>
  </si>
  <si>
    <t>Enter the registry ID number in row 3355 of the table for production class 2b.</t>
  </si>
  <si>
    <t>Enter the registry ID number in row 3356 of the table for production class 2b.</t>
  </si>
  <si>
    <t>Enter the registry ID number in row 3357 of the table for production class 2b.</t>
  </si>
  <si>
    <t>Enter the registry ID number in row 3358 of the table for production class 2b.</t>
  </si>
  <si>
    <t>Enter the registry ID number in row 3359 of the table for production class 2b.</t>
  </si>
  <si>
    <t>Enter the registry ID number in row 3360 of the table for production class 2b.</t>
  </si>
  <si>
    <t>Enter the registry ID number in row 3361 of the table for production class 2b.</t>
  </si>
  <si>
    <t>Enter the registry ID number in row 3362 of the table for production class 2b.</t>
  </si>
  <si>
    <t>Enter the registry ID number in row 3363 of the table for production class 2b.</t>
  </si>
  <si>
    <t>Enter the registry ID number in row 3364 of the table for production class 2b.</t>
  </si>
  <si>
    <t>Enter the registry ID number in row 3365 of the table for production class 2b.</t>
  </si>
  <si>
    <t>Enter the registry ID number in row 3366 of the table for production class 2b.</t>
  </si>
  <si>
    <t>Enter the registry ID number in row 3367 of the table for production class 2b.</t>
  </si>
  <si>
    <t>Enter the registry ID number in row 3368 of the table for production class 2b.</t>
  </si>
  <si>
    <t>Enter the registry ID number in row 3369 of the table for production class 2b.</t>
  </si>
  <si>
    <t>Enter the registry ID number in row 3370 of the table for production class 2b.</t>
  </si>
  <si>
    <t>Enter the registry ID number in row 3371 of the table for production class 2b.</t>
  </si>
  <si>
    <t>Enter the registry ID number in row 3372 of the table for production class 2b.</t>
  </si>
  <si>
    <t>Enter the registry ID number in row 3373 of the table for production class 2b.</t>
  </si>
  <si>
    <t>Enter the registry ID number in row 3374 of the table for production class 2b.</t>
  </si>
  <si>
    <t>Enter the registry ID number in row 3375 of the table for production class 2b.</t>
  </si>
  <si>
    <t>Enter the registry ID number in row 3376 of the table for production class 2b.</t>
  </si>
  <si>
    <t>Enter the registry ID number in row 3377 of the table for production class 2b.</t>
  </si>
  <si>
    <t>Enter the registry ID number in row 3378 of the table for production class 2b.</t>
  </si>
  <si>
    <t>Enter the registry ID number in row 3379 of the table for production class 2b.</t>
  </si>
  <si>
    <t>Enter the registry ID number in row 3380 of the table for production class 2b.</t>
  </si>
  <si>
    <t>Enter the registry ID number in row 3381 of the table for production class 2b.</t>
  </si>
  <si>
    <t>Enter the registry ID number in row 3382 of the table for production class 2b.</t>
  </si>
  <si>
    <t>Enter the registry ID number in row 3383 of the table for production class 2b.</t>
  </si>
  <si>
    <t>Enter the registry ID number in row 3384 of the table for production class 2b.</t>
  </si>
  <si>
    <t>Enter the registry ID number in row 3385 of the table for production class 2b.</t>
  </si>
  <si>
    <t>Enter the registry ID number in row 3386 of the table for production class 2b.</t>
  </si>
  <si>
    <t>Enter the registry ID number in row 3387 of the table for production class 2b.</t>
  </si>
  <si>
    <t>Enter the registry ID number in row 3388 of the table for production class 2b.</t>
  </si>
  <si>
    <t>Enter the registry ID number in row 3389 of the table for production class 2b.</t>
  </si>
  <si>
    <t>Enter the registry ID number in row 3390 of the table for production class 2b.</t>
  </si>
  <si>
    <t>Enter the registry ID number in row 3391 of the table for production class 2b.</t>
  </si>
  <si>
    <t>Enter the registry ID number in row 3392 of the table for production class 2b.</t>
  </si>
  <si>
    <t>Enter the registry ID number in row 3393 of the table for production class 2b.</t>
  </si>
  <si>
    <t>Enter the registry ID number in row 3394 of the table for production class 2b.</t>
  </si>
  <si>
    <t>Enter the registry ID number in row 3395 of the table for production class 2b.</t>
  </si>
  <si>
    <t>Enter the registry ID number in row 3396 of the table for production class 2b.</t>
  </si>
  <si>
    <t>Enter the registry ID number in row 3397 of the table for production class 2b.</t>
  </si>
  <si>
    <t>Enter the registry ID number in row 3398 of the table for production class 2b.</t>
  </si>
  <si>
    <t>Enter the registry ID number in row 3399 of the table for production class 2b.</t>
  </si>
  <si>
    <t>Enter the registry ID number in row 3400 of the table for production class 2b.</t>
  </si>
  <si>
    <t>Enter the registry ID number in row 3401 of the table for production class 2b.</t>
  </si>
  <si>
    <t>Enter the registry ID number in row 3402 of the table for production class 2b.</t>
  </si>
  <si>
    <t>Enter the registry ID number in row 3403 of the table for production class 2b.</t>
  </si>
  <si>
    <t>Enter the registry ID number in row 3404 of the table for production class 2b.</t>
  </si>
  <si>
    <t>Enter the registry ID number in row 3405 of the table for production class 2b.</t>
  </si>
  <si>
    <t>Enter the registry ID number in row 3406 of the table for production class 2b.</t>
  </si>
  <si>
    <t>Enter the registry ID number in row 3407 of the table for production class 2b.</t>
  </si>
  <si>
    <t>Enter the registry ID number in row 3408 of the table for production class 2b.</t>
  </si>
  <si>
    <t>Enter the registry ID number in row 3409 of the table for production class 2b.</t>
  </si>
  <si>
    <t>Enter the registry ID number in row 3410 of the table for production class 2b.</t>
  </si>
  <si>
    <t>Enter the registry ID number in row 3411 of the table for production class 2b.</t>
  </si>
  <si>
    <t>Enter the registry ID number in row 3412 of the table for production class 2b.</t>
  </si>
  <si>
    <t>Enter the registry ID number in row 3413 of the table for production class 2b.</t>
  </si>
  <si>
    <t>Enter the registry ID number in row 3414 of the table for production class 2b.</t>
  </si>
  <si>
    <t>Enter the registry ID number in row 3415 of the table for production class 2b.</t>
  </si>
  <si>
    <t>Enter the registry ID number in row 3416 of the table for production class 2b.</t>
  </si>
  <si>
    <t>Enter the registry ID number in row 3417 of the table for production class 2b.</t>
  </si>
  <si>
    <t>Enter the registry ID number in row 3418 of the table for production class 2b.</t>
  </si>
  <si>
    <t>Enter the registry ID number in row 3419 of the table for production class 2b.</t>
  </si>
  <si>
    <t>Enter the registry ID number in row 3420 of the table for production class 2b.</t>
  </si>
  <si>
    <t>Enter the registry ID number in row 3421 of the table for production class 2b.</t>
  </si>
  <si>
    <t>Enter the registry ID number in row 3422 of the table for production class 2b.</t>
  </si>
  <si>
    <t>Enter the registry ID number in row 3423 of the table for production class 2b.</t>
  </si>
  <si>
    <t>Enter the registry ID number in row 3424 of the table for production class 2b.</t>
  </si>
  <si>
    <t>Enter the registry ID number in row 3425 of the table for production class 2b.</t>
  </si>
  <si>
    <t>Enter the registry ID number in row 3426 of the table for production class 2b.</t>
  </si>
  <si>
    <t>Enter the registry ID number in row 3427 of the table for production class 2b.</t>
  </si>
  <si>
    <t>Enter the registry ID number in row 3428 of the table for production class 2b.</t>
  </si>
  <si>
    <t>Enter the registry ID number in row 3429 of the table for production class 2b.</t>
  </si>
  <si>
    <t>Enter the registry ID number in row 3430 of the table for production class 2b.</t>
  </si>
  <si>
    <t>Enter the registry ID number in row 3431 of the table for production class 2b.</t>
  </si>
  <si>
    <t>Enter the registry ID number in row 3432 of the table for production class 2b.</t>
  </si>
  <si>
    <t>Enter the registry ID number in row 3433 of the table for production class 2b.</t>
  </si>
  <si>
    <t>Enter the registry ID number in row 3434 of the table for production class 2b.</t>
  </si>
  <si>
    <t>Enter the registry ID number in row 3435 of the table for production class 2b.</t>
  </si>
  <si>
    <t>Enter the registry ID number in row 3436 of the table for production class 2b.</t>
  </si>
  <si>
    <t>Enter the registry ID number in row 3437 of the table for production class 2b.</t>
  </si>
  <si>
    <t>Enter the registry ID number in row 3438 of the table for production class 2b.</t>
  </si>
  <si>
    <t>Enter the registry ID number in row 3439 of the table for production class 2b.</t>
  </si>
  <si>
    <t>Enter the registry ID number in row 3440 of the table for production class 2b.</t>
  </si>
  <si>
    <t>Enter the registry ID number in row 3441 of the table for production class 2b.</t>
  </si>
  <si>
    <t>Enter the registry ID number in row 3442 of the table for production class 2b.</t>
  </si>
  <si>
    <t>Enter the registry ID number in row 3443 of the table for production class 2b.</t>
  </si>
  <si>
    <t>Enter the registry ID number in row 3444 of the table for production class 2b.</t>
  </si>
  <si>
    <t>Enter the registry ID number in row 3445 of the table for production class 2b.</t>
  </si>
  <si>
    <t>Enter the registry ID number in row 3446 of the table for production class 2b.</t>
  </si>
  <si>
    <t>Enter the registry ID number in row 3447 of the table for production class 2b.</t>
  </si>
  <si>
    <t>Enter the registry ID number in row 3448 of the table for production class 2b.</t>
  </si>
  <si>
    <t>Enter the registry ID number in row 3449 of the table for production class 2b.</t>
  </si>
  <si>
    <t>Enter the registry ID number in row 3450 of the table for production class 2b.</t>
  </si>
  <si>
    <t>Enter the registry ID number in row 3451 of the table for production class 2b.</t>
  </si>
  <si>
    <t>Enter the registry ID number in row 3452 of the table for production class 2b.</t>
  </si>
  <si>
    <t>Enter the registry ID number in row 3453 of the table for production class 2b.</t>
  </si>
  <si>
    <t>Enter the registry ID number in row 3454 of the table for production class 2b.</t>
  </si>
  <si>
    <t>Enter the registry ID number in row 3455 of the table for production class 2b.</t>
  </si>
  <si>
    <t>Enter the registry ID number in row 3456 of the table for production class 2b.</t>
  </si>
  <si>
    <t>Enter the registry ID number in row 3457 of the table for production class 2b.</t>
  </si>
  <si>
    <t>Enter the registry ID number in row 3458 of the table for production class 2b.</t>
  </si>
  <si>
    <t>Enter the registry ID number in row 3459 of the table for production class 2b.</t>
  </si>
  <si>
    <t>Enter the registry ID number in row 3460 of the table for production class 2b.</t>
  </si>
  <si>
    <t>Enter the registry ID number in row 3461 of the table for production class 2b.</t>
  </si>
  <si>
    <t>Enter the registry ID number in row 3462 of the table for production class 2b.</t>
  </si>
  <si>
    <t>Enter the registry ID number in row 3463 of the table for production class 2b.</t>
  </si>
  <si>
    <t>Enter the registry ID number in row 3464 of the table for production class 2b.</t>
  </si>
  <si>
    <t>Enter the registry ID number in row 3465 of the table for production class 2b.</t>
  </si>
  <si>
    <t>Enter the registry ID number in row 3466 of the table for production class 2b.</t>
  </si>
  <si>
    <t>Enter the registry ID number in row 3467 of the table for production class 2b.</t>
  </si>
  <si>
    <t>Enter the registry ID number in row 3468 of the table for production class 2b.</t>
  </si>
  <si>
    <t>Enter the registry ID number in row 3469 of the table for production class 2b.</t>
  </si>
  <si>
    <t>Enter the registry ID number in row 3470 of the table for production class 2b.</t>
  </si>
  <si>
    <t>Enter the registry ID number in row 3471 of the table for production class 2b.</t>
  </si>
  <si>
    <t>Enter the registry ID number in row 3472 of the table for production class 2b.</t>
  </si>
  <si>
    <t>Enter the registry ID number in row 3473 of the table for production class 2b.</t>
  </si>
  <si>
    <t>Enter the registry ID number in row 3474 of the table for production class 2b.</t>
  </si>
  <si>
    <t>Enter the registry ID number in row 3475 of the table for production class 2b.</t>
  </si>
  <si>
    <t>Enter the registry ID number in row 3476 of the table for production class 2b.</t>
  </si>
  <si>
    <t>Enter the registry ID number in row 3477 of the table for production class 2b.</t>
  </si>
  <si>
    <t>Enter the registry ID number in row 3478 of the table for production class 2b.</t>
  </si>
  <si>
    <t>Enter the registry ID number in row 3479 of the table for production class 2b.</t>
  </si>
  <si>
    <t>Enter the registry ID number in row 3480 of the table for production class 2b.</t>
  </si>
  <si>
    <t>Enter the registry ID number in row 3481 of the table for production class 2b.</t>
  </si>
  <si>
    <t>Enter the registry ID number in row 3482 of the table for production class 2b.</t>
  </si>
  <si>
    <t>Enter the registry ID number in row 3483 of the table for production class 2b.</t>
  </si>
  <si>
    <t>Enter the registry ID number in row 3484 of the table for production class 2b.</t>
  </si>
  <si>
    <t>Enter the registry ID number in row 3485 of the table for production class 2b.</t>
  </si>
  <si>
    <t>Enter the registry ID number in row 3486 of the table for production class 2b.</t>
  </si>
  <si>
    <t>Enter the registry ID number in row 3487 of the table for production class 2b.</t>
  </si>
  <si>
    <t>Enter the registry ID number in row 3488 of the table for production class 2b.</t>
  </si>
  <si>
    <t>Enter the registry ID number in row 3489 of the table for production class 2b.</t>
  </si>
  <si>
    <t>Enter the registry ID number in row 3490 of the table for production class 2b.</t>
  </si>
  <si>
    <t>Enter the registry ID number in row 3491 of the table for production class 2b.</t>
  </si>
  <si>
    <t>Enter the registry ID number in row 3492 of the table for production class 2b.</t>
  </si>
  <si>
    <t>Enter the registry ID number in row 3493 of the table for production class 2b.</t>
  </si>
  <si>
    <t>Enter the registry ID number in row 3494 of the table for production class 2b.</t>
  </si>
  <si>
    <t>Enter the registry ID number in row 3495 of the table for production class 2b.</t>
  </si>
  <si>
    <t>Enter the registry ID number in row 3496 of the table for production class 2b.</t>
  </si>
  <si>
    <t>Enter the registry ID number in row 3497 of the table for production class 2b.</t>
  </si>
  <si>
    <t>Enter the registry ID number in row 3498 of the table for production class 2b.</t>
  </si>
  <si>
    <t>Enter the registry ID number in row 3499 of the table for production class 2b.</t>
  </si>
  <si>
    <t>Enter the registry ID number in row 3500 of the table for production class 2b.</t>
  </si>
  <si>
    <t>Enter the registry ID number in row 3501 of the table for production class 2b.</t>
  </si>
  <si>
    <t>Enter the registry ID number in row 3502 of the table for production class 2b.</t>
  </si>
  <si>
    <t>Enter the registry ID number in row 3503 of the table for production class 2b.</t>
  </si>
  <si>
    <t>Enter the registry ID number in row 3504 of the table for production class 2b.</t>
  </si>
  <si>
    <t>Enter the registry ID number in row 3505 of the table for production class 2b.</t>
  </si>
  <si>
    <t>Enter the registry ID number in row 3506 of the table for production class 2b.</t>
  </si>
  <si>
    <t>Enter the registry ID number in row 3507 of the table for production class 2b.</t>
  </si>
  <si>
    <t>Enter the registry ID number in row 3508 of the table for production class 2b.</t>
  </si>
  <si>
    <t>Enter the registry ID number in row 3509 of the table for production class 2b.</t>
  </si>
  <si>
    <t>Enter the registry ID number in row 3510 of the table for production class 2b.</t>
  </si>
  <si>
    <t>Enter the registry ID number in row 3511 of the table for production class 2b.</t>
  </si>
  <si>
    <t>Enter the registry ID number in row 3512 of the table for production class 2b.</t>
  </si>
  <si>
    <t>Enter the registry ID number in row 3513 of the table for production class 2b.</t>
  </si>
  <si>
    <t>Enter the registry ID number in row 3514 of the table for production class 2b.</t>
  </si>
  <si>
    <t>Enter the registry ID number in row 3515 of the table for production class 2b.</t>
  </si>
  <si>
    <t>Enter the registry ID number in row 3516 of the table for production class 2b.</t>
  </si>
  <si>
    <t>Enter the registry ID number in row 3517 of the table for production class 2b.</t>
  </si>
  <si>
    <t>Enter the registry ID number in row 3518 of the table for production class 2b.</t>
  </si>
  <si>
    <t>Enter the registry ID number in row 3519 of the table for production class 2b.</t>
  </si>
  <si>
    <t>Enter the registry ID number in row 3520 of the table for production class 2b.</t>
  </si>
  <si>
    <t>Enter the registry ID number in row 3521 of the table for production class 2b.</t>
  </si>
  <si>
    <t>Enter the registry ID number in row 3522 of the table for production class 2b.</t>
  </si>
  <si>
    <t>Enter the registry ID number in row 3523 of the table for production class 2b.</t>
  </si>
  <si>
    <t>Enter the registry ID number in row 3524 of the table for production class 2b.</t>
  </si>
  <si>
    <t>Enter the registry ID number in row 3525 of the table for production class 2b.</t>
  </si>
  <si>
    <t>Enter the registry ID number in row 3526 of the table for production class 2b.</t>
  </si>
  <si>
    <t>Enter the registry ID number in row 3527 of the table for production class 2b.</t>
  </si>
  <si>
    <t>Enter the registry ID number in row 3528 of the table for production class 2b.</t>
  </si>
  <si>
    <t>Enter the registry ID number in row 3529 of the table for production class 2b.</t>
  </si>
  <si>
    <t>Enter the registry ID number in row 3530 of the table for production class 2b.</t>
  </si>
  <si>
    <t>Enter the registry ID number in row 3531 of the table for production class 2b.</t>
  </si>
  <si>
    <t>Enter the registry ID number in row 3532 of the table for production class 2b.</t>
  </si>
  <si>
    <t>Enter the registry ID number in row 3533 of the table for production class 2b.</t>
  </si>
  <si>
    <t>Enter the registry ID number in row 3534 of the table for production class 2b.</t>
  </si>
  <si>
    <t>Enter the registry ID number in row 3535 of the table for production class 2b.</t>
  </si>
  <si>
    <t>Enter the registry ID number in row 3536 of the table for production class 2b.</t>
  </si>
  <si>
    <t>Enter the registry ID number in row 3537 of the table for production class 2b.</t>
  </si>
  <si>
    <t>Enter the registry ID number in row 3538 of the table for production class 2b.</t>
  </si>
  <si>
    <t>Enter the registry ID number in row 3539 of the table for production class 2b.</t>
  </si>
  <si>
    <t>Enter the registry ID number in row 3540 of the table for production class 2b.</t>
  </si>
  <si>
    <t>Enter the registry ID number in row 3541 of the table for production class 2b.</t>
  </si>
  <si>
    <t>Enter the registry ID number in row 3542 of the table for production class 2b.</t>
  </si>
  <si>
    <t>Enter the registry ID number in row 3543 of the table for production class 2b.</t>
  </si>
  <si>
    <t>Enter the registry ID number in row 3544 of the table for production class 2b.</t>
  </si>
  <si>
    <t>Enter the registry ID number in row 3545 of the table for production class 2b.</t>
  </si>
  <si>
    <t>Enter the registry ID number in row 3546 of the table for production class 2b.</t>
  </si>
  <si>
    <t>Enter the registry ID number in row 3547 of the table for production class 2b.</t>
  </si>
  <si>
    <t>Enter the registry ID number in row 3548 of the table for production class 2b.</t>
  </si>
  <si>
    <t>Enter the registry ID number in row 3549 of the table for production class 2b.</t>
  </si>
  <si>
    <t>Enter the registry ID number in row 3550 of the table for production class 2b.</t>
  </si>
  <si>
    <t>Enter the registry ID number in row 3551 of the table for production class 2b.</t>
  </si>
  <si>
    <t>Enter the registry ID number in row 3552 of the table for production class 2b.</t>
  </si>
  <si>
    <t>Enter the registry ID number in row 3553 of the table for production class 2b.</t>
  </si>
  <si>
    <t>Enter the registry ID number in row 3554 of the table for production class 2b.</t>
  </si>
  <si>
    <t>Enter the registry ID number in row 3555 of the table for production class 2b.</t>
  </si>
  <si>
    <t>Enter the registry ID number in row 3556 of the table for production class 2b.</t>
  </si>
  <si>
    <t>Enter the registry ID number in row 3557 of the table for production class 2b.</t>
  </si>
  <si>
    <t>Enter the registry ID number in row 3558 of the table for production class 2b.</t>
  </si>
  <si>
    <t>Enter the registry ID number in row 3559 of the table for production class 2b.</t>
  </si>
  <si>
    <t>Enter the registry ID number in row 3560 of the table for production class 2b.</t>
  </si>
  <si>
    <t>Enter the registry ID number in row 3561 of the table for production class 2b.</t>
  </si>
  <si>
    <t>Enter the registry ID number in row 3562 of the table for production class 2b.</t>
  </si>
  <si>
    <t>Enter the registry ID number in row 3563 of the table for production class 2b.</t>
  </si>
  <si>
    <t>Enter the registry ID number in row 3564 of the table for production class 2b.</t>
  </si>
  <si>
    <t>Enter the registry ID number in row 3565 of the table for production class 2b.</t>
  </si>
  <si>
    <t>Enter the registry ID number in row 3566 of the table for production class 2b.</t>
  </si>
  <si>
    <t>Enter the registry ID number in row 3567 of the table for production class 2b.</t>
  </si>
  <si>
    <t>Enter the registry ID number in row 3568 of the table for production class 2b.</t>
  </si>
  <si>
    <t>Enter the registry ID number in row 3569 of the table for production class 2b.</t>
  </si>
  <si>
    <t>Enter the registry ID number in row 3570 of the table for production class 2b.</t>
  </si>
  <si>
    <t>Enter the registry ID number in row 3571 of the table for production class 2b.</t>
  </si>
  <si>
    <t>Enter the registry ID number in row 3572 of the table for production class 2b.</t>
  </si>
  <si>
    <t>Enter the registry ID number in row 3573 of the table for production class 2b.</t>
  </si>
  <si>
    <t>Enter the registry ID number in row 3574 of the table for production class 2b.</t>
  </si>
  <si>
    <t>Enter the registry ID number in row 3575 of the table for production class 2b.</t>
  </si>
  <si>
    <t>Enter the registry ID number in row 3576 of the table for production class 2b.</t>
  </si>
  <si>
    <t>Enter the registry ID number in row 3577 of the table for production class 2b.</t>
  </si>
  <si>
    <t>Enter the registry ID number in row 3578 of the table for production class 2b.</t>
  </si>
  <si>
    <t>Enter the registry ID number in row 3579 of the table for production class 2b.</t>
  </si>
  <si>
    <t>Enter the registry ID number in row 3580 of the table for production class 2b.</t>
  </si>
  <si>
    <t>Enter the registry ID number in row 3581 of the table for production class 2b.</t>
  </si>
  <si>
    <t>Enter the registry ID number in row 3582 of the table for production class 2b.</t>
  </si>
  <si>
    <t>Enter the registry ID number in row 3583 of the table for production class 2b.</t>
  </si>
  <si>
    <t>Enter the registry ID number in row 3584 of the table for production class 2b.</t>
  </si>
  <si>
    <t>Enter the registry ID number in row 3585 of the table for production class 2b.</t>
  </si>
  <si>
    <t>Enter the registry ID number in row 3586 of the table for production class 2b.</t>
  </si>
  <si>
    <t>Enter the registry ID number in row 3587 of the table for production class 2b.</t>
  </si>
  <si>
    <t>Enter the registry ID number in row 3588 of the table for production class 2b.</t>
  </si>
  <si>
    <t>Enter the registry ID number in row 3589 of the table for production class 2b.</t>
  </si>
  <si>
    <t>Enter the registry ID number in row 3590 of the table for production class 2b.</t>
  </si>
  <si>
    <t>Enter the registry ID number in row 3591 of the table for production class 2b.</t>
  </si>
  <si>
    <t>Enter the registry ID number in row 3592 of the table for production class 2b.</t>
  </si>
  <si>
    <t>Enter the registry ID number in row 3593 of the table for production class 2b.</t>
  </si>
  <si>
    <t>Enter the registry ID number in row 3594 of the table for production class 2b.</t>
  </si>
  <si>
    <t>Enter the registry ID number in row 3595 of the table for production class 2b.</t>
  </si>
  <si>
    <t>Enter the registry ID number in row 3596 of the table for production class 2b.</t>
  </si>
  <si>
    <t>Enter the registry ID number in row 3597 of the table for production class 2b.</t>
  </si>
  <si>
    <t>Enter the registry ID number in row 3598 of the table for production class 2b.</t>
  </si>
  <si>
    <t>Enter the registry ID number in row 3599 of the table for production class 2b.</t>
  </si>
  <si>
    <t>Enter the registry ID number in row 3600 of the table for production class 2b.</t>
  </si>
  <si>
    <t>Enter the registry ID number in row 3601 of the table for production class 2b.</t>
  </si>
  <si>
    <t>Enter the registry ID number in row 3602 of the table for production class 2b.</t>
  </si>
  <si>
    <t>Enter the registry ID number in row 3603 of the table for production class 2b.</t>
  </si>
  <si>
    <t>Enter the registry ID number in row 3604 of the table for production class 2b.</t>
  </si>
  <si>
    <t>Enter the registry ID number in row 3605 of the table for production class 2b.</t>
  </si>
  <si>
    <t>Enter the registry ID number in row 3606 of the table for production class 2b.</t>
  </si>
  <si>
    <t>Enter the registry ID number in row 3607 of the table for production class 2b.</t>
  </si>
  <si>
    <t>Enter the registry ID number in row 3608 of the table for production class 2b.</t>
  </si>
  <si>
    <t>Enter the registry ID number in row 3609 of the table for production class 2b.</t>
  </si>
  <si>
    <t>Enter the registry ID number in row 3610 of the table for production class 2b.</t>
  </si>
  <si>
    <t>Enter the registry ID number in row 3611 of the table for production class 2b.</t>
  </si>
  <si>
    <t>Enter the registry ID number in row 3612 of the table for production class 2b.</t>
  </si>
  <si>
    <t>Enter the registry ID number in row 3613 of the table for production class 2b.</t>
  </si>
  <si>
    <t>Enter the registry ID number in row 3614 of the table for production class 2b.</t>
  </si>
  <si>
    <t>Enter the registry ID number in row 3615 of the table for production class 2b.</t>
  </si>
  <si>
    <t>Enter the registry ID number in row 3616 of the table for production class 2b.</t>
  </si>
  <si>
    <t>Enter the registry ID number in row 3617 of the table for production class 2b.</t>
  </si>
  <si>
    <t>Enter the registry ID number in row 3618 of the table for production class 2b.</t>
  </si>
  <si>
    <t>Enter the registry ID number in row 3619 of the table for production class 2b.</t>
  </si>
  <si>
    <t>Enter the registry ID number in row 3620 of the table for production class 2b.</t>
  </si>
  <si>
    <t>Enter the registry ID number in row 3621 of the table for production class 2b.</t>
  </si>
  <si>
    <t>Enter the registry ID number in row 3622 of the table for production class 2b.</t>
  </si>
  <si>
    <t>Enter the registry ID number in row 3623 of the table for production class 2b.</t>
  </si>
  <si>
    <t>Enter the registry ID number in row 3624 of the table for production class 2b.</t>
  </si>
  <si>
    <t>Enter the registry ID number in row 3625 of the table for production class 2b.</t>
  </si>
  <si>
    <t>Enter the registry ID number in row 3626 of the table for production class 2b.</t>
  </si>
  <si>
    <t>Enter the registry ID number in row 3627 of the table for production class 2b.</t>
  </si>
  <si>
    <t>Enter the registry ID number in row 3628 of the table for production class 2b.</t>
  </si>
  <si>
    <t>Enter the registry ID number in row 3629 of the table for production class 2b.</t>
  </si>
  <si>
    <t>Enter the registry ID number in row 3630 of the table for production class 2b.</t>
  </si>
  <si>
    <t>Enter the registry ID number in row 3631 of the table for production class 2b.</t>
  </si>
  <si>
    <t>Enter the registry ID number in row 3632 of the table for production class 2b.</t>
  </si>
  <si>
    <t>Enter the registry ID number in row 3633 of the table for production class 2b.</t>
  </si>
  <si>
    <t>Enter the registry ID number in row 3634 of the table for production class 2b.</t>
  </si>
  <si>
    <t>Enter the registry ID number in row 3635 of the table for production class 2b.</t>
  </si>
  <si>
    <t>Enter the registry ID number in row 3636 of the table for production class 2b.</t>
  </si>
  <si>
    <t>Enter the registry ID number in row 3637 of the table for production class 2b.</t>
  </si>
  <si>
    <t>Enter the registry ID number in row 3638 of the table for production class 2b.</t>
  </si>
  <si>
    <t>Enter the registry ID number in row 3639 of the table for production class 2b.</t>
  </si>
  <si>
    <t>Enter the registry ID number in row 3640 of the table for production class 2b.</t>
  </si>
  <si>
    <t>Enter the registry ID number in row 3641 of the table for production class 2b.</t>
  </si>
  <si>
    <t>Enter the registry ID number in row 3642 of the table for production class 2b.</t>
  </si>
  <si>
    <t>Enter the registry ID number in row 3643 of the table for production class 2b.</t>
  </si>
  <si>
    <t>Enter the registry ID number in row 3644 of the table for production class 2b.</t>
  </si>
  <si>
    <t>Enter the registry ID number in row 3645 of the table for production class 2b.</t>
  </si>
  <si>
    <t>Enter the registry ID number in row 3646 of the table for production class 2b.</t>
  </si>
  <si>
    <t>Enter the registry ID number in row 3647 of the table for production class 2b.</t>
  </si>
  <si>
    <t>Enter the registry ID number in row 3648 of the table for production class 2b.</t>
  </si>
  <si>
    <t>Enter the registry ID number in row 3649 of the table for production class 2b.</t>
  </si>
  <si>
    <t>Enter the registry ID number in row 3650 of the table for production class 2b.</t>
  </si>
  <si>
    <t>Enter the registry ID number in row 3651 of the table for production class 2b.</t>
  </si>
  <si>
    <t>Enter the registry ID number in row 3652 of the table for production class 2b.</t>
  </si>
  <si>
    <t>Enter the registry ID number in row 3653 of the table for production class 2b.</t>
  </si>
  <si>
    <t>Enter the registry ID number in row 3654 of the table for production class 2b.</t>
  </si>
  <si>
    <t>Enter the registry ID number in row 3655 of the table for production class 2b.</t>
  </si>
  <si>
    <t>Enter the registry ID number in row 3656 of the table for production class 2b.</t>
  </si>
  <si>
    <t>Enter the registry ID number in row 3657 of the table for production class 2b.</t>
  </si>
  <si>
    <t>Enter the registry ID number in row 3658 of the table for production class 2b.</t>
  </si>
  <si>
    <t>Enter the registry ID number in row 3659 of the table for production class 2b.</t>
  </si>
  <si>
    <t>Enter the registry ID number in row 3660 of the table for production class 2b.</t>
  </si>
  <si>
    <t>Enter the registry ID number in row 3661 of the table for production class 2b.</t>
  </si>
  <si>
    <t>Enter the registry ID number in row 3662 of the table for production class 2b.</t>
  </si>
  <si>
    <t>Enter the registry ID number in row 3663 of the table for production class 2b.</t>
  </si>
  <si>
    <t>Enter the registry ID number in row 3664 of the table for production class 2b.</t>
  </si>
  <si>
    <t>Enter the registry ID number in row 3665 of the table for production class 2b.</t>
  </si>
  <si>
    <t>Enter the registry ID number in row 3666 of the table for production class 2b.</t>
  </si>
  <si>
    <t>Enter the registry ID number in row 3667 of the table for production class 2b.</t>
  </si>
  <si>
    <t>Enter the registry ID number in row 3668 of the table for production class 2b.</t>
  </si>
  <si>
    <t>Enter the registry ID number in row 3669 of the table for production class 2b.</t>
  </si>
  <si>
    <t>Enter the registry ID number in row 3670 of the table for production class 2b.</t>
  </si>
  <si>
    <t>Enter the registry ID number in row 3671 of the table for production class 2b.</t>
  </si>
  <si>
    <t>Enter the registry ID number in row 3672 of the table for production class 2b.</t>
  </si>
  <si>
    <t>Enter the registry ID number in row 3673 of the table for production class 2b.</t>
  </si>
  <si>
    <t>Enter the registry ID number in row 3674 of the table for production class 2b.</t>
  </si>
  <si>
    <t>Enter the registry ID number in row 3675 of the table for production class 2b.</t>
  </si>
  <si>
    <t>Enter the registry ID number in row 3676 of the table for production class 2b.</t>
  </si>
  <si>
    <t>Enter the registry ID number in row 3677 of the table for production class 2b.</t>
  </si>
  <si>
    <t>Enter the registry ID number in row 3678 of the table for production class 2b.</t>
  </si>
  <si>
    <t>Enter the registry ID number in row 3679 of the table for production class 2b.</t>
  </si>
  <si>
    <t>Enter the registry ID number in row 3680 of the table for production class 2b.</t>
  </si>
  <si>
    <t>Enter the registry ID number in row 3681 of the table for production class 2b.</t>
  </si>
  <si>
    <t>Enter the registry ID number in row 3682 of the table for production class 2b.</t>
  </si>
  <si>
    <t>Enter the registry ID number in row 3683 of the table for production class 2b.</t>
  </si>
  <si>
    <t>Enter the registry ID number in row 3684 of the table for production class 2b.</t>
  </si>
  <si>
    <t>Enter the registry ID number in row 3685 of the table for production class 2b.</t>
  </si>
  <si>
    <t>Enter the registry ID number in row 3686 of the table for production class 2b.</t>
  </si>
  <si>
    <t>Enter the registry ID number in row 3687 of the table for production class 2b.</t>
  </si>
  <si>
    <t>Enter the registry ID number in row 3688 of the table for production class 2b.</t>
  </si>
  <si>
    <t>Enter the registry ID number in row 3689 of the table for production class 2b.</t>
  </si>
  <si>
    <t>Enter the registry ID number in row 3690 of the table for production class 2b.</t>
  </si>
  <si>
    <t>Enter the registry ID number in row 3691 of the table for production class 2b.</t>
  </si>
  <si>
    <t>Enter the registry ID number in row 3692 of the table for production class 2b.</t>
  </si>
  <si>
    <t>Enter the registry ID number in row 3693 of the table for production class 2b.</t>
  </si>
  <si>
    <t>Enter the registry ID number in row 3694 of the table for production class 2b.</t>
  </si>
  <si>
    <t>Enter the registry ID number in row 3695 of the table for production class 2b.</t>
  </si>
  <si>
    <t>Enter the registry ID number in row 3696 of the table for production class 2b.</t>
  </si>
  <si>
    <t>Enter the registry ID number in row 3697 of the table for production class 2b.</t>
  </si>
  <si>
    <t>Enter the registry ID number in row 3698 of the table for production class 2b.</t>
  </si>
  <si>
    <t>Enter the registry ID number in row 3699 of the table for production class 2b.</t>
  </si>
  <si>
    <t>Enter the registry ID number in row 3700 of the table for production class 2b.</t>
  </si>
  <si>
    <t>Enter the registry ID number in row 3701 of the table for production class 2b.</t>
  </si>
  <si>
    <t>Enter the registry ID number in row 3702 of the table for production class 2b.</t>
  </si>
  <si>
    <t>Enter the registry ID number in row 3703 of the table for production class 2b.</t>
  </si>
  <si>
    <t>Enter the registry ID number in row 3704 of the table for production class 2b.</t>
  </si>
  <si>
    <t>Enter the registry ID number in row 3705 of the table for production class 2b.</t>
  </si>
  <si>
    <t>Enter the registry ID number in row 3706 of the table for production class 2b.</t>
  </si>
  <si>
    <t>Enter the registry ID number in row 3707 of the table for production class 2b.</t>
  </si>
  <si>
    <t>Enter the registry ID number in row 3708 of the table for production class 2b.</t>
  </si>
  <si>
    <t>Enter the registry ID number in row 3709 of the table for production class 2b.</t>
  </si>
  <si>
    <t>Enter the registry ID number in row 3710 of the table for production class 2b.</t>
  </si>
  <si>
    <t>Enter the registry ID number in row 3711 of the table for production class 2b.</t>
  </si>
  <si>
    <t>Enter the registry ID number in row 3712 of the table for production class 2b.</t>
  </si>
  <si>
    <t>Enter the registry ID number in row 3713 of the table for production class 2b.</t>
  </si>
  <si>
    <t>Enter the registry ID number in row 3714 of the table for production class 2b.</t>
  </si>
  <si>
    <t>Enter the registry ID number in row 3715 of the table for production class 2b.</t>
  </si>
  <si>
    <t>Enter the registry ID number in row 3716 of the table for production class 2b.</t>
  </si>
  <si>
    <t>Enter the registry ID number in row 3717 of the table for production class 2b.</t>
  </si>
  <si>
    <t>Enter the registry ID number in row 3718 of the table for production class 2b.</t>
  </si>
  <si>
    <t>Enter the registry ID number in row 3719 of the table for production class 2b.</t>
  </si>
  <si>
    <t>Enter the registry ID number in row 3720 of the table for production class 2b.</t>
  </si>
  <si>
    <t>Enter the registry ID number in row 3721 of the table for production class 2b.</t>
  </si>
  <si>
    <t>Enter the registry ID number in row 3722 of the table for production class 2b.</t>
  </si>
  <si>
    <t>Enter the registry ID number in row 3723 of the table for production class 2b.</t>
  </si>
  <si>
    <t>Enter the registry ID number in row 3724 of the table for production class 2b.</t>
  </si>
  <si>
    <t>Enter the registry ID number in row 3725 of the table for production class 2b.</t>
  </si>
  <si>
    <t>Enter the registry ID number in row 3726 of the table for production class 2b.</t>
  </si>
  <si>
    <t>Enter the registry ID number in row 3727 of the table for production class 2b.</t>
  </si>
  <si>
    <t>Enter the registry ID number in row 3728 of the table for production class 2b.</t>
  </si>
  <si>
    <t>Enter the registry ID number in row 3729 of the table for production class 2b.</t>
  </si>
  <si>
    <t>Enter the registry ID number in row 3730 of the table for production class 2b.</t>
  </si>
  <si>
    <t>Enter the registry ID number in row 3731 of the table for production class 2b.</t>
  </si>
  <si>
    <t>Enter the registry ID number in row 3732 of the table for production class 2b.</t>
  </si>
  <si>
    <t>Enter the registry ID number in row 3733 of the table for production class 2b.</t>
  </si>
  <si>
    <t>Enter the registry ID number in row 3734 of the table for production class 2b.</t>
  </si>
  <si>
    <t>Enter the registry ID number in row 3735 of the table for production class 2b.</t>
  </si>
  <si>
    <t>Enter the registry ID number in row 3736 of the table for production class 2b.</t>
  </si>
  <si>
    <t>Enter the registry ID number in row 3737 of the table for production class 2b.</t>
  </si>
  <si>
    <t>Enter the registry ID number in row 3738 of the table for production class 2b.</t>
  </si>
  <si>
    <t>Enter the registry ID number in row 3739 of the table for production class 2b.</t>
  </si>
  <si>
    <t>Enter the registry ID number in row 3740 of the table for production class 2b.</t>
  </si>
  <si>
    <t>Enter the registry ID number in row 3741 of the table for production class 2b.</t>
  </si>
  <si>
    <t>Enter the registry ID number in row 3742 of the table for production class 2b.</t>
  </si>
  <si>
    <t>Enter the registry ID number in row 3743 of the table for production class 2b.</t>
  </si>
  <si>
    <t>Enter the registry ID number in row 3744 of the table for production class 2b.</t>
  </si>
  <si>
    <t>Enter the registry ID number in row 3745 of the table for production class 2b.</t>
  </si>
  <si>
    <t>Enter the registry ID number in row 3746 of the table for production class 2b.</t>
  </si>
  <si>
    <t>Enter the registry ID number in row 3747 of the table for production class 2b.</t>
  </si>
  <si>
    <t>Enter the registry ID number in row 3748 of the table for production class 2b.</t>
  </si>
  <si>
    <t>Enter the registry ID number in row 3749 of the table for production class 2b.</t>
  </si>
  <si>
    <t>Enter the registry ID number in row 3750 of the table for production class 2b.</t>
  </si>
  <si>
    <t>Enter the registry ID number in row 3751 of the table for production class 2b.</t>
  </si>
  <si>
    <t>Enter the registry ID number in row 3752 of the table for production class 2b.</t>
  </si>
  <si>
    <t>Enter the registry ID number in row 3753 of the table for production class 2b.</t>
  </si>
  <si>
    <t>Enter the registry ID number in row 3754 of the table for production class 2b.</t>
  </si>
  <si>
    <t>Enter the registry ID number in row 3755 of the table for production class 2b.</t>
  </si>
  <si>
    <t>Enter the registry ID number in row 3756 of the table for production class 2b.</t>
  </si>
  <si>
    <t>Enter the registry ID number in row 3757 of the table for production class 2b.</t>
  </si>
  <si>
    <t>Enter the registry ID number in row 3758 of the table for production class 2b.</t>
  </si>
  <si>
    <t>Enter the registry ID number in row 3759 of the table for production class 2b.</t>
  </si>
  <si>
    <t>Enter the registry ID number in row 3760 of the table for production class 2b.</t>
  </si>
  <si>
    <t>Enter the registry ID number in row 3761 of the table for production class 2b.</t>
  </si>
  <si>
    <t>Enter the registry ID number in row 3762 of the table for production class 2b.</t>
  </si>
  <si>
    <t>Enter the registry ID number in row 3763 of the table for production class 2b.</t>
  </si>
  <si>
    <t>Enter the registry ID number in row 3764 of the table for production class 2b.</t>
  </si>
  <si>
    <t>Enter the registry ID number in row 3765 of the table for production class 2b.</t>
  </si>
  <si>
    <t>Enter the registry ID number in row 3766 of the table for production class 2b.</t>
  </si>
  <si>
    <t>Enter the registry ID number in row 3767 of the table for production class 2b.</t>
  </si>
  <si>
    <t>Enter the registry ID number in row 3768 of the table for production class 2b.</t>
  </si>
  <si>
    <t>Enter the registry ID number in row 3769 of the table for production class 2b.</t>
  </si>
  <si>
    <t>Enter the registry ID number in row 3770 of the table for production class 2b.</t>
  </si>
  <si>
    <t>Enter the registry ID number in row 3771 of the table for production class 2b.</t>
  </si>
  <si>
    <t>Enter the registry ID number in row 3772 of the table for production class 2b.</t>
  </si>
  <si>
    <t>Enter the registry ID number in row 3773 of the table for production class 2b.</t>
  </si>
  <si>
    <t>Enter the registry ID number in row 3774 of the table for production class 2b.</t>
  </si>
  <si>
    <t>Enter the registry ID number in row 3775 of the table for production class 2b.</t>
  </si>
  <si>
    <t>Enter the registry ID number in row 3776 of the table for production class 2b.</t>
  </si>
  <si>
    <t>Enter the registry ID number in row 3777 of the table for production class 2b.</t>
  </si>
  <si>
    <t>Enter the registry ID number in row 3778 of the table for production class 2b.</t>
  </si>
  <si>
    <t>Enter the registry ID number in row 3779 of the table for production class 2b.</t>
  </si>
  <si>
    <t>Enter the registry ID number in row 3780 of the table for production class 2b.</t>
  </si>
  <si>
    <t>Enter the registry ID number in row 3781 of the table for production class 2b.</t>
  </si>
  <si>
    <t>Enter the registry ID number in row 3782 of the table for production class 2b.</t>
  </si>
  <si>
    <t>Enter the registry ID number in row 3783 of the table for production class 2b.</t>
  </si>
  <si>
    <t>Enter the registry ID number in row 3784 of the table for production class 2b.</t>
  </si>
  <si>
    <t>Enter the registry ID number in row 3785 of the table for production class 2b.</t>
  </si>
  <si>
    <t>Enter the registry ID number in row 3786 of the table for production class 2b.</t>
  </si>
  <si>
    <t>Enter the registry ID number in row 3787 of the table for production class 2b.</t>
  </si>
  <si>
    <t>Enter the registry ID number in row 3788 of the table for production class 2b.</t>
  </si>
  <si>
    <t>Enter the registry ID number in row 3789 of the table for production class 2b.</t>
  </si>
  <si>
    <t>Enter the registry ID number in row 3790 of the table for production class 2b.</t>
  </si>
  <si>
    <t>Enter the registry ID number in row 3791 of the table for production class 2b.</t>
  </si>
  <si>
    <t>Enter the registry ID number in row 3792 of the table for production class 2b.</t>
  </si>
  <si>
    <t>Enter the registry ID number in row 3793 of the table for production class 2b.</t>
  </si>
  <si>
    <t>Enter the registry ID number in row 3794 of the table for production class 2b.</t>
  </si>
  <si>
    <t>Enter the registry ID number in row 3795 of the table for production class 2b.</t>
  </si>
  <si>
    <t>Enter the registry ID number in row 3796 of the table for production class 2b.</t>
  </si>
  <si>
    <t>Enter the registry ID number in row 3797 of the table for production class 2b.</t>
  </si>
  <si>
    <t>Enter the registry ID number in row 3798 of the table for production class 2b.</t>
  </si>
  <si>
    <t>Enter the registry ID number in row 3799 of the table for production class 2b.</t>
  </si>
  <si>
    <t>Enter the registry ID number in row 3800 of the table for production class 2b.</t>
  </si>
  <si>
    <t>Enter the registry ID number in row 3801 of the table for production class 2b.</t>
  </si>
  <si>
    <t>Enter the registry ID number in row 3802 of the table for production class 2b.</t>
  </si>
  <si>
    <t>Enter the registry ID number in row 3803 of the table for production class 2b.</t>
  </si>
  <si>
    <t>Enter the registry ID number in row 3804 of the table for production class 2b.</t>
  </si>
  <si>
    <t>Enter the registry ID number in row 3805 of the table for production class 2b.</t>
  </si>
  <si>
    <t>Enter the registry ID number in row 3806 of the table for production class 2b.</t>
  </si>
  <si>
    <t>Enter the registry ID number in row 3807 of the table for production class 2b.</t>
  </si>
  <si>
    <t>Enter the registry ID number in row 3808 of the table for production class 2b.</t>
  </si>
  <si>
    <t>Enter the registry ID number in row 3809 of the table for production class 2b.</t>
  </si>
  <si>
    <t>Enter the registry ID number in row 3810 of the table for production class 2b.</t>
  </si>
  <si>
    <t>Enter the registry ID number in row 3811 of the table for production class 2b.</t>
  </si>
  <si>
    <t>Enter the registry ID number in row 3812 of the table for production class 2b.</t>
  </si>
  <si>
    <t>Enter the registry ID number in row 3813 of the table for production class 2b.</t>
  </si>
  <si>
    <t>Enter the registry ID number in row 3814 of the table for production class 2b.</t>
  </si>
  <si>
    <t>Enter the registry ID number in row 3815 of the table for production class 2b.</t>
  </si>
  <si>
    <t>Enter the registry ID number in row 3816 of the table for production class 2b.</t>
  </si>
  <si>
    <t>Enter the registry ID number in row 3817 of the table for production class 2b.</t>
  </si>
  <si>
    <t>Enter the registry ID number in row 3818 of the table for production class 2b.</t>
  </si>
  <si>
    <t>Enter the registry ID number in row 3819 of the table for production class 2b.</t>
  </si>
  <si>
    <t>Enter the registry ID number in row 3820 of the table for production class 2b.</t>
  </si>
  <si>
    <t>Enter the registry ID number in row 3821 of the table for production class 2b.</t>
  </si>
  <si>
    <t>Enter the registry ID number in row 3822 of the table for production class 2b.</t>
  </si>
  <si>
    <t>Enter the registry ID number in row 3823 of the table for production class 2b.</t>
  </si>
  <si>
    <t>Enter the registry ID number in row 3824 of the table for production class 2b.</t>
  </si>
  <si>
    <t>Enter the registry ID number in row 3825 of the table for production class 2b.</t>
  </si>
  <si>
    <t>Enter the registry ID number in row 3826 of the table for production class 2b.</t>
  </si>
  <si>
    <t>Enter the registry ID number in row 3827 of the table for production class 2b.</t>
  </si>
  <si>
    <t>Enter the registry ID number in row 3828 of the table for production class 2b.</t>
  </si>
  <si>
    <t>Enter the registry ID number in row 3829 of the table for production class 2b.</t>
  </si>
  <si>
    <t>Enter the registry ID number in row 3830 of the table for production class 2b.</t>
  </si>
  <si>
    <t>Enter the registry ID number in row 3831 of the table for production class 2b.</t>
  </si>
  <si>
    <t>Enter the registry ID number in row 3832 of the table for production class 2b.</t>
  </si>
  <si>
    <t>Enter the registry ID number in row 3833 of the table for production class 2b.</t>
  </si>
  <si>
    <t>Enter the registry ID number in row 3834 of the table for production class 2b.</t>
  </si>
  <si>
    <t>Enter the registry ID number in row 3835 of the table for production class 2b.</t>
  </si>
  <si>
    <t>Enter the registry ID number in row 3836 of the table for production class 2b.</t>
  </si>
  <si>
    <t>Enter the registry ID number in row 3837 of the table for production class 2b.</t>
  </si>
  <si>
    <t>Enter the registry ID number in row 3838 of the table for production class 2b.</t>
  </si>
  <si>
    <t>Enter the registry ID number in row 3839 of the table for production class 2b.</t>
  </si>
  <si>
    <t>Enter the registry ID number in row 3840 of the table for production class 2b.</t>
  </si>
  <si>
    <t>Enter the registry ID number in row 3841 of the table for production class 2b.</t>
  </si>
  <si>
    <t>Enter the registry ID number in row 3842 of the table for production class 2b.</t>
  </si>
  <si>
    <t>Enter the registry ID number in row 3843 of the table for production class 2b.</t>
  </si>
  <si>
    <t>Enter the registry ID number in row 3844 of the table for production class 2b.</t>
  </si>
  <si>
    <t>Enter the registry ID number in row 3845 of the table for production class 2b.</t>
  </si>
  <si>
    <t>Enter the registry ID number in row 3846 of the table for production class 2b.</t>
  </si>
  <si>
    <t>Enter the registry ID number in row 3847 of the table for production class 2b.</t>
  </si>
  <si>
    <t>Enter the registry ID number in row 3848 of the table for production class 2b.</t>
  </si>
  <si>
    <t>Enter the registry ID number in row 3849 of the table for production class 2b.</t>
  </si>
  <si>
    <t>Enter the registry ID number in row 3850 of the table for production class 2b.</t>
  </si>
  <si>
    <t>Enter the registry ID number in row 3851 of the table for production class 2b.</t>
  </si>
  <si>
    <t>Enter the registry ID number in row 3852 of the table for production class 2b.</t>
  </si>
  <si>
    <t>Enter the registry ID number in row 3853 of the table for production class 2b.</t>
  </si>
  <si>
    <t>Enter the registry ID number in row 3854 of the table for production class 2b.</t>
  </si>
  <si>
    <t>Enter the registry ID number in row 3855 of the table for production class 2b.</t>
  </si>
  <si>
    <t>Enter the registry ID number in row 3856 of the table for production class 2b.</t>
  </si>
  <si>
    <t>Enter the registry ID number in row 3857 of the table for production class 2b.</t>
  </si>
  <si>
    <t>Enter the registry ID number in row 3858 of the table for production class 2b.</t>
  </si>
  <si>
    <t>Enter the registry ID number in row 3859 of the table for production class 2b.</t>
  </si>
  <si>
    <t>Enter the registry ID number in row 3860 of the table for production class 2b.</t>
  </si>
  <si>
    <t>Enter the registry ID number in row 3861 of the table for production class 2b.</t>
  </si>
  <si>
    <t>Enter the registry ID number in row 3862 of the table for production class 2b.</t>
  </si>
  <si>
    <t>Enter the registry ID number in row 3863 of the table for production class 2b.</t>
  </si>
  <si>
    <t>Enter the registry ID number in row 3864 of the table for production class 2b.</t>
  </si>
  <si>
    <t>Enter the registry ID number in row 3865 of the table for production class 2b.</t>
  </si>
  <si>
    <t>Enter the registry ID number in row 3866 of the table for production class 2b.</t>
  </si>
  <si>
    <t>Enter the registry ID number in row 3867 of the table for production class 2b.</t>
  </si>
  <si>
    <t>Enter the registry ID number in row 3868 of the table for production class 2b.</t>
  </si>
  <si>
    <t>Enter the registry ID number in row 3869 of the table for production class 2b.</t>
  </si>
  <si>
    <t>Enter the registry ID number in row 3870 of the table for production class 2b.</t>
  </si>
  <si>
    <t>Enter the registry ID number in row 3871 of the table for production class 2b.</t>
  </si>
  <si>
    <t>Enter the registry ID number in row 3872 of the table for production class 2b.</t>
  </si>
  <si>
    <t>Enter the registry ID number in row 3873 of the table for production class 2b.</t>
  </si>
  <si>
    <t>Enter the registry ID number in row 3874 of the table for production class 2b.</t>
  </si>
  <si>
    <t>Enter the registry ID number in row 3875 of the table for production class 2b.</t>
  </si>
  <si>
    <t>Enter the registry ID number in row 3876 of the table for production class 2b.</t>
  </si>
  <si>
    <t>Enter the registry ID number in row 3877 of the table for production class 2b.</t>
  </si>
  <si>
    <t>Enter the registry ID number in row 3878 of the table for production class 2b.</t>
  </si>
  <si>
    <t>Enter the registry ID number in row 3879 of the table for production class 2b.</t>
  </si>
  <si>
    <t>Enter the registry ID number in row 3880 of the table for production class 2b.</t>
  </si>
  <si>
    <t>Enter the registry ID number in row 3881 of the table for production class 2b.</t>
  </si>
  <si>
    <t>Enter the registry ID number in row 3882 of the table for production class 2b.</t>
  </si>
  <si>
    <t>Enter the registry ID number in row 3883 of the table for production class 2b.</t>
  </si>
  <si>
    <t>Enter the registry ID number in row 3884 of the table for production class 2b.</t>
  </si>
  <si>
    <t>Enter the registry ID number in row 3885 of the table for production class 2b.</t>
  </si>
  <si>
    <t>Enter the registry ID number in row 3886 of the table for production class 2b.</t>
  </si>
  <si>
    <t>Enter the registry ID number in row 3887 of the table for production class 2b.</t>
  </si>
  <si>
    <t>Enter the registry ID number in row 3888 of the table for production class 2b.</t>
  </si>
  <si>
    <t>Enter the registry ID number in row 3889 of the table for production class 2b.</t>
  </si>
  <si>
    <t>Enter the registry ID number in row 3890 of the table for production class 2b.</t>
  </si>
  <si>
    <t>Enter the registry ID number in row 3891 of the table for production class 2b.</t>
  </si>
  <si>
    <t>Enter the registry ID number in row 3892 of the table for production class 2b.</t>
  </si>
  <si>
    <t>Enter the registry ID number in row 3893 of the table for production class 2b.</t>
  </si>
  <si>
    <t>Enter the registry ID number in row 3894 of the table for production class 2b.</t>
  </si>
  <si>
    <t>Enter the registry ID number in row 3895 of the table for production class 2b.</t>
  </si>
  <si>
    <t>Enter the registry ID number in row 3896 of the table for production class 2b.</t>
  </si>
  <si>
    <t>Enter the registry ID number in row 3897 of the table for production class 2b.</t>
  </si>
  <si>
    <t>Enter the registry ID number in row 3898 of the table for production class 2b.</t>
  </si>
  <si>
    <t>Enter the registry ID number in row 3899 of the table for production class 2b.</t>
  </si>
  <si>
    <t>Enter the registry ID number in row 3900 of the table for production class 2b.</t>
  </si>
  <si>
    <t>Enter the registry ID number in row 3901 of the table for production class 2b.</t>
  </si>
  <si>
    <t>Enter the registry ID number in row 3902 of the table for production class 2b.</t>
  </si>
  <si>
    <t>Enter the registry ID number in row 3903 of the table for production class 2b.</t>
  </si>
  <si>
    <t>Enter the registry ID number in row 3904 of the table for production class 2b.</t>
  </si>
  <si>
    <t>Enter the registry ID number in row 3905 of the table for production class 2b.</t>
  </si>
  <si>
    <t>Enter the registry ID number in row 3906 of the table for production class 2b.</t>
  </si>
  <si>
    <t>Enter the registry ID number in row 3907 of the table for production class 2b.</t>
  </si>
  <si>
    <t>Enter the registry ID number in row 3908 of the table for production class 2b.</t>
  </si>
  <si>
    <t>Enter the registry ID number in row 3909 of the table for production class 2b.</t>
  </si>
  <si>
    <t>Enter the registry ID number in row 3910 of the table for production class 2b.</t>
  </si>
  <si>
    <t>Enter the registry ID number in row 3911 of the table for production class 2b.</t>
  </si>
  <si>
    <t>Enter the registry ID number in row 3912 of the table for production class 2b.</t>
  </si>
  <si>
    <t>Enter the registry ID number in row 3913 of the table for production class 2b.</t>
  </si>
  <si>
    <t>Enter the registry ID number in row 3914 of the table for production class 2b.</t>
  </si>
  <si>
    <t>Enter the registry ID number in row 3915 of the table for production class 2b.</t>
  </si>
  <si>
    <t>Enter the registry ID number in row 3916 of the table for production class 2b.</t>
  </si>
  <si>
    <t>Enter the registry ID number in row 3917 of the table for production class 2b.</t>
  </si>
  <si>
    <t>Enter the registry ID number in row 3918 of the table for production class 2b.</t>
  </si>
  <si>
    <t>Enter the registry ID number in row 3919 of the table for production class 2b.</t>
  </si>
  <si>
    <t>Enter the registry ID number in row 3920 of the table for production class 2b.</t>
  </si>
  <si>
    <t>Enter the registry ID number in row 3921 of the table for production class 2b.</t>
  </si>
  <si>
    <t>Enter the registry ID number in row 3922 of the table for production class 2b.</t>
  </si>
  <si>
    <t>Enter the registry ID number in row 3923 of the table for production class 2b.</t>
  </si>
  <si>
    <t>Enter the registry ID number in row 3924 of the table for production class 2b.</t>
  </si>
  <si>
    <t>Enter the registry ID number in row 3925 of the table for production class 2b.</t>
  </si>
  <si>
    <t>Enter the registry ID number in row 3926 of the table for production class 2b.</t>
  </si>
  <si>
    <t>Enter the registry ID number in row 3927 of the table for production class 2b.</t>
  </si>
  <si>
    <t>Enter the registry ID number in row 3928 of the table for production class 2b.</t>
  </si>
  <si>
    <t>Enter the registry ID number in row 3929 of the table for production class 2b.</t>
  </si>
  <si>
    <t>Enter the registry ID number in row 3930 of the table for production class 2b.</t>
  </si>
  <si>
    <t>Enter the registry ID number in row 3931 of the table for production class 2b.</t>
  </si>
  <si>
    <t>Enter the registry ID number in row 3932 of the table for production class 2b.</t>
  </si>
  <si>
    <t>Enter the registry ID number in row 3933 of the table for production class 2b.</t>
  </si>
  <si>
    <t>Enter the registry ID number in row 3934 of the table for production class 2b.</t>
  </si>
  <si>
    <t>Enter the registry ID number in row 3935 of the table for production class 2b.</t>
  </si>
  <si>
    <t>Enter the registry ID number in row 3936 of the table for production class 2b.</t>
  </si>
  <si>
    <t>Enter the registry ID number in row 3937 of the table for production class 2b.</t>
  </si>
  <si>
    <t>Enter the registry ID number in row 3938 of the table for production class 2b.</t>
  </si>
  <si>
    <t>Enter the registry ID number in row 3939 of the table for production class 2b.</t>
  </si>
  <si>
    <t>Enter the registry ID number in row 3940 of the table for production class 2b.</t>
  </si>
  <si>
    <t>Enter the registry ID number in row 3941 of the table for production class 2b.</t>
  </si>
  <si>
    <t>Enter the registry ID number in row 3942 of the table for production class 2b.</t>
  </si>
  <si>
    <t>Enter the registry ID number in row 3943 of the table for production class 2b.</t>
  </si>
  <si>
    <t>Enter the registry ID number in row 3944 of the table for production class 2b.</t>
  </si>
  <si>
    <t>Enter the registry ID number in row 3945 of the table for production class 2b.</t>
  </si>
  <si>
    <t>Enter the registry ID number in row 3946 of the table for production class 2b.</t>
  </si>
  <si>
    <t>Enter the registry ID number in row 3947 of the table for production class 2b.</t>
  </si>
  <si>
    <t>Enter the registry ID number in row 3948 of the table for production class 2b.</t>
  </si>
  <si>
    <t>Enter the registry ID number in row 3949 of the table for production class 2b.</t>
  </si>
  <si>
    <t>Enter the registry ID number in row 3950 of the table for production class 2b.</t>
  </si>
  <si>
    <t>Enter the registry ID number in row 3951 of the table for production class 2b.</t>
  </si>
  <si>
    <t>Enter the registry ID number in row 3952 of the table for production class 2b.</t>
  </si>
  <si>
    <t>Enter the registry ID number in row 3953 of the table for production class 2b.</t>
  </si>
  <si>
    <t>Enter the registry ID number in row 3954 of the table for production class 2b.</t>
  </si>
  <si>
    <t>Enter the registry ID number in row 3955 of the table for production class 2b.</t>
  </si>
  <si>
    <t>Enter the registry ID number in row 3956 of the table for production class 2b.</t>
  </si>
  <si>
    <t>Enter the registry ID number in row 3957 of the table for production class 2b.</t>
  </si>
  <si>
    <t>Enter the registry ID number in row 3958 of the table for production class 2b.</t>
  </si>
  <si>
    <t>Enter the registry ID number in row 3959 of the table for production class 2b.</t>
  </si>
  <si>
    <t>Enter the registry ID number in row 3960 of the table for production class 2b.</t>
  </si>
  <si>
    <t>Enter the registry ID number in row 3961 of the table for production class 2b.</t>
  </si>
  <si>
    <t>Enter the registry ID number in row 3962 of the table for production class 2b.</t>
  </si>
  <si>
    <t>Enter the registry ID number in row 3963 of the table for production class 2b.</t>
  </si>
  <si>
    <t>Enter the registry ID number in row 3964 of the table for production class 2b.</t>
  </si>
  <si>
    <t>Enter the registry ID number in row 3965 of the table for production class 2b.</t>
  </si>
  <si>
    <t>Enter the registry ID number in row 3966 of the table for production class 2b.</t>
  </si>
  <si>
    <t>Enter the registry ID number in row 3967 of the table for production class 2b.</t>
  </si>
  <si>
    <t>Enter the registry ID number in row 3968 of the table for production class 2b.</t>
  </si>
  <si>
    <t>Enter the registry ID number in row 3969 of the table for production class 2b.</t>
  </si>
  <si>
    <t>Enter the registry ID number in row 3970 of the table for production class 2b.</t>
  </si>
  <si>
    <t>Enter the registry ID number in row 3971 of the table for production class 2b.</t>
  </si>
  <si>
    <t>Enter the registry ID number in row 3972 of the table for production class 2b.</t>
  </si>
  <si>
    <t>Enter the registry ID number in row 3973 of the table for production class 2b.</t>
  </si>
  <si>
    <t>Enter the registry ID number in row 3974 of the table for production class 2b.</t>
  </si>
  <si>
    <t>Enter the registry ID number in row 3975 of the table for production class 2b.</t>
  </si>
  <si>
    <t>Enter the registry ID number in row 3976 of the table for production class 2b.</t>
  </si>
  <si>
    <t>Enter the registry ID number in row 3977 of the table for production class 2b.</t>
  </si>
  <si>
    <t>Enter the registry ID number in row 3978 of the table for production class 2b.</t>
  </si>
  <si>
    <t>Enter the registry ID number in row 3979 of the table for production class 2b.</t>
  </si>
  <si>
    <t>Enter the registry ID number in row 3980 of the table for production class 2b.</t>
  </si>
  <si>
    <t>Enter the registry ID number in row 3981 of the table for production class 2b.</t>
  </si>
  <si>
    <t>Enter the registry ID number in row 3982 of the table for production class 2b.</t>
  </si>
  <si>
    <t>Enter the registry ID number in row 3983 of the table for production class 2b.</t>
  </si>
  <si>
    <t>Enter the registry ID number in row 3984 of the table for production class 2b.</t>
  </si>
  <si>
    <t>Enter the registry ID number in row 3985 of the table for production class 2b.</t>
  </si>
  <si>
    <t>Enter the registry ID number in row 3986 of the table for production class 2b.</t>
  </si>
  <si>
    <t>Enter the registry ID number in row 3987 of the table for production class 2b.</t>
  </si>
  <si>
    <t>Enter the registry ID number in row 3988 of the table for production class 2b.</t>
  </si>
  <si>
    <t>Enter the registry ID number in row 3989 of the table for production class 2b.</t>
  </si>
  <si>
    <t>Enter the registry ID number in row 3990 of the table for production class 2b.</t>
  </si>
  <si>
    <t>Enter the registry ID number in row 3991 of the table for production class 2b.</t>
  </si>
  <si>
    <t>Enter the registry ID number in row 3992 of the table for production class 2b.</t>
  </si>
  <si>
    <t>Enter the registry ID number in row 3993 of the table for production class 2b.</t>
  </si>
  <si>
    <t>Enter the registry ID number in row 3994 of the table for production class 2b.</t>
  </si>
  <si>
    <t>Enter the registry ID number in row 3995 of the table for production class 2b.</t>
  </si>
  <si>
    <t>Enter the registry ID number in row 3996 of the table for production class 2b.</t>
  </si>
  <si>
    <t>Enter the registry ID number in row 3997 of the table for production class 2b.</t>
  </si>
  <si>
    <t>Enter the registry ID number in row 3998 of the table for production class 2b.</t>
  </si>
  <si>
    <t>Enter the registry ID number in row 3999 of the table for production class 2b.</t>
  </si>
  <si>
    <t>Enter the registry ID number in row 4000 of the table for production class 2b.</t>
  </si>
  <si>
    <t>Enter the registry ID number in row 4001 of the table for production class 2b.</t>
  </si>
  <si>
    <t>Enter the registry ID number in row 4002 of the table for production class 2b.</t>
  </si>
  <si>
    <t>Enter the registry ID number in row 4003 of the table for production class 2b.</t>
  </si>
  <si>
    <t>Enter the registry ID number in row 4004 of the table for production class 2b.</t>
  </si>
  <si>
    <t>Enter the registry ID number in row 4005 of the table for production class 2b.</t>
  </si>
  <si>
    <t>Enter the registry ID number in row 4006 of the table for production class 2b.</t>
  </si>
  <si>
    <t>Enter the registry ID number in row 4007 of the table for production class 2b.</t>
  </si>
  <si>
    <t>Enter the registry ID number in row 4008 of the table for production class 2b.</t>
  </si>
  <si>
    <t>Enter the registry ID number in row 4009 of the table for production class 2b.</t>
  </si>
  <si>
    <t>Enter the registry ID number in row 4010 of the table for production class 2b.</t>
  </si>
  <si>
    <t>Enter the registry ID number in row 4011 of the table for production class 2b.</t>
  </si>
  <si>
    <t>Enter the registry ID number in row 4012 of the table for production class 2b.</t>
  </si>
  <si>
    <t>Enter the registry ID number in row 4013 of the table for production class 2b.</t>
  </si>
  <si>
    <t>Enter the registry ID number in row 4014 of the table for production class 2b.</t>
  </si>
  <si>
    <t>Enter the registry ID number in row 4015 of the table for production class 2b.</t>
  </si>
  <si>
    <t>Enter the registry ID number in row 4016 of the table for production class 2b.</t>
  </si>
  <si>
    <t>Enter the registry ID number in row 4017 of the table for production class 2b.</t>
  </si>
  <si>
    <t>Enter the registry ID number in row 4018 of the table for production class 2b.</t>
  </si>
  <si>
    <t>Enter the registry ID number in row 4019 of the table for production class 2b.</t>
  </si>
  <si>
    <t>Enter the registry ID number in row 4020 of the table for production class 2b.</t>
  </si>
  <si>
    <t>Enter the registry ID number in row 4021 of the table for production class 2b.</t>
  </si>
  <si>
    <t>Enter the registry ID number in row 4022 of the table for production class 2b.</t>
  </si>
  <si>
    <t>Enter the registry ID number in row 4023 of the table for production class 2b.</t>
  </si>
  <si>
    <t>Enter the registry ID number in row 4024 of the table for production class 2b.</t>
  </si>
  <si>
    <t>Enter the registry ID number in row 4025 of the table for production class 2b.</t>
  </si>
  <si>
    <t>Enter the registry ID number in row 4026 of the table for production class 2b.</t>
  </si>
  <si>
    <t>Enter the registry ID number in row 4027 of the table for production class 2b.</t>
  </si>
  <si>
    <t>Enter the registry ID number in row 4028 of the table for production class 2b.</t>
  </si>
  <si>
    <t>Enter the registry ID number in row 4029 of the table for production class 2b.</t>
  </si>
  <si>
    <t>Enter the registry ID number in row 4030 of the table for production class 2b.</t>
  </si>
  <si>
    <t>Enter the registry ID number in row 4031 of the table for production class 2b.</t>
  </si>
  <si>
    <t>Enter the registry ID number in row 4032 of the table for production class 2b.</t>
  </si>
  <si>
    <t>Enter the registry ID number in row 4033 of the table for production class 2b.</t>
  </si>
  <si>
    <t>Enter the registry ID number in row 4034 of the table for production class 2b.</t>
  </si>
  <si>
    <t>Enter the registry ID number in row 4035 of the table for production class 2b.</t>
  </si>
  <si>
    <t>Enter the registry ID number in row 4036 of the table for production class 2b.</t>
  </si>
  <si>
    <t>Enter the registry ID number in row 4037 of the table for production class 2b.</t>
  </si>
  <si>
    <t>Enter the registry ID number in row 4038 of the table for production class 2b.</t>
  </si>
  <si>
    <t>Enter the registry ID number in row 4039 of the table for production class 2b.</t>
  </si>
  <si>
    <t>Enter the registry ID number in row 4040 of the table for production class 2b.</t>
  </si>
  <si>
    <t>Enter the registry ID number in row 4041 of the table for production class 2b.</t>
  </si>
  <si>
    <t>Enter the registry ID number in row 4042 of the table for production class 2b.</t>
  </si>
  <si>
    <t>Enter the registry ID number in row 4043 of the table for production class 2b.</t>
  </si>
  <si>
    <t>Enter the registry ID number in row 4044 of the table for production class 2b.</t>
  </si>
  <si>
    <t>Enter the registry ID number in row 4045 of the table for production class 2b.</t>
  </si>
  <si>
    <t>Enter the registry ID number in row 4046 of the table for production class 2b.</t>
  </si>
  <si>
    <t>Enter the registry ID number in row 4047 of the table for production class 2b.</t>
  </si>
  <si>
    <t>Enter the registry ID number in row 4048 of the table for production class 2b.</t>
  </si>
  <si>
    <t>Enter the registry ID number in row 4049 of the table for production class 2b.</t>
  </si>
  <si>
    <t>Enter the registry ID number in row 4050 of the table for production class 2b.</t>
  </si>
  <si>
    <t>Enter the registry ID number in row 4051 of the table for production class 2b.</t>
  </si>
  <si>
    <t>Enter the registry ID number in row 4052 of the table for production class 2b.</t>
  </si>
  <si>
    <t>Enter the registry ID number in row 4053 of the table for production class 2b.</t>
  </si>
  <si>
    <t>Enter the registry ID number in row 4054 of the table for production class 2b.</t>
  </si>
  <si>
    <t>Enter the registry ID number in row 4055 of the table for production class 2b.</t>
  </si>
  <si>
    <t>Enter the registry ID number in row 4056 of the table for production class 2b.</t>
  </si>
  <si>
    <t>Enter the registry ID number in row 4057 of the table for production class 2b.</t>
  </si>
  <si>
    <t>Enter the registry ID number in row 4058 of the table for production class 2b.</t>
  </si>
  <si>
    <t>Enter the registry ID number in row 4059 of the table for production class 2b.</t>
  </si>
  <si>
    <t>Enter the registry ID number in row 4060 of the table for production class 2b.</t>
  </si>
  <si>
    <t>Enter the registry ID number in row 4061 of the table for production class 2b.</t>
  </si>
  <si>
    <t>Enter the registry ID number in row 4062 of the table for production class 2b.</t>
  </si>
  <si>
    <t>Enter the registry ID number in row 4063 of the table for production class 2b.</t>
  </si>
  <si>
    <t>Enter the registry ID number in row 4064 of the table for production class 2b.</t>
  </si>
  <si>
    <t>Enter the registry ID number in row 4065 of the table for production class 2b.</t>
  </si>
  <si>
    <t>Enter the registry ID number in row 4066 of the table for production class 2b.</t>
  </si>
  <si>
    <t>Enter the registry ID number in row 4067 of the table for production class 2b.</t>
  </si>
  <si>
    <t>Enter the registry ID number in row 4068 of the table for production class 2b.</t>
  </si>
  <si>
    <t>Enter the registry ID number in row 4069 of the table for production class 2b.</t>
  </si>
  <si>
    <t>Enter the registry ID number in row 4070 of the table for production class 2b.</t>
  </si>
  <si>
    <t>Enter the registry ID number in row 4071 of the table for production class 2b.</t>
  </si>
  <si>
    <t>Enter the registry ID number in row 4072 of the table for production class 2b.</t>
  </si>
  <si>
    <t>Enter the registry ID number in row 4073 of the table for production class 2b.</t>
  </si>
  <si>
    <t>Enter the registry ID number in row 4074 of the table for production class 2b.</t>
  </si>
  <si>
    <t>Enter the registry ID number in row 4075 of the table for production class 2b.</t>
  </si>
  <si>
    <t>Enter the registry ID number in row 4076 of the table for production class 2b.</t>
  </si>
  <si>
    <t>Enter the registry ID number in row 4077 of the table for production class 2b.</t>
  </si>
  <si>
    <t>Enter the registry ID number in row 4078 of the table for production class 2b.</t>
  </si>
  <si>
    <t>Enter the registry ID number in row 4079 of the table for production class 2b.</t>
  </si>
  <si>
    <t>Enter the registry ID number in row 4080 of the table for production class 2b.</t>
  </si>
  <si>
    <t>Enter the registry ID number in row 4081 of the table for production class 2b.</t>
  </si>
  <si>
    <t>Enter the registry ID number in row 4082 of the table for production class 2b.</t>
  </si>
  <si>
    <t>Enter the registry ID number in row 4083 of the table for production class 2b.</t>
  </si>
  <si>
    <t>Enter the registry ID number in row 4084 of the table for production class 2b.</t>
  </si>
  <si>
    <t>Enter the registry ID number in row 4085 of the table for production class 2b.</t>
  </si>
  <si>
    <t>Enter the registry ID number in row 4086 of the table for production class 2b.</t>
  </si>
  <si>
    <t>Enter the registry ID number in row 4087 of the table for production class 2b.</t>
  </si>
  <si>
    <t>Enter the registry ID number in row 4088 of the table for production class 2b.</t>
  </si>
  <si>
    <t>Enter the registry ID number in row 4089 of the table for production class 2b.</t>
  </si>
  <si>
    <t>Enter the registry ID number in row 4090 of the table for production class 2b.</t>
  </si>
  <si>
    <t>Enter the registry ID number in row 4091 of the table for production class 2b.</t>
  </si>
  <si>
    <t>Enter the registry ID number in row 4092 of the table for production class 2b.</t>
  </si>
  <si>
    <t>Enter the registry ID number in row 4093 of the table for production class 2b.</t>
  </si>
  <si>
    <t>Enter the registry ID number in row 4094 of the table for production class 2b.</t>
  </si>
  <si>
    <t>Enter the registry ID number in row 4095 of the table for production class 2b.</t>
  </si>
  <si>
    <t>Enter the registry ID number in row 4096 of the table for production class 2b.</t>
  </si>
  <si>
    <t>Enter the registry ID number in row 4097 of the table for production class 2b.</t>
  </si>
  <si>
    <t>Enter the registry ID number in row 4098 of the table for production class 2b.</t>
  </si>
  <si>
    <t>Enter the registry ID number in row 4099 of the table for production class 2b.</t>
  </si>
  <si>
    <t>Enter the registry ID number in row 4100 of the table for production class 2b.</t>
  </si>
  <si>
    <t>Enter the registry ID number in row 4101 of the table for production class 2b.</t>
  </si>
  <si>
    <t>Enter the registry ID number in row 4102 of the table for production class 2b.</t>
  </si>
  <si>
    <t>Enter the registry ID number in row 4103 of the table for production class 2b.</t>
  </si>
  <si>
    <t>Enter the registry ID number in row 4104 of the table for production class 2b.</t>
  </si>
  <si>
    <t>Enter the registry ID number in row 4105 of the table for production class 2b.</t>
  </si>
  <si>
    <t>Enter the registry ID number in row 4106 of the table for production class 2b.</t>
  </si>
  <si>
    <t>Enter the registry ID number in row 4107 of the table for production class 2b.</t>
  </si>
  <si>
    <t>Enter the registry ID number in row 4108 of the table for production class 2b.</t>
  </si>
  <si>
    <t>Enter the registry ID number in row 4109 of the table for production class 2b.</t>
  </si>
  <si>
    <t>Enter the registry ID number in row 4110 of the table for production class 2b.</t>
  </si>
  <si>
    <t>Enter the registry ID number in row 4111 of the table for production class 2b.</t>
  </si>
  <si>
    <t>Enter the registry ID number in row 4112 of the table for production class 2b.</t>
  </si>
  <si>
    <t>Enter the registry ID number in row 4113 of the table for production class 2b.</t>
  </si>
  <si>
    <t>Enter the registry ID number in row 4114 of the table for production class 2b.</t>
  </si>
  <si>
    <t>Enter the registry ID number in row 4115 of the table for production class 2b.</t>
  </si>
  <si>
    <t>Enter the registry ID number in row 4116 of the table for production class 2b.</t>
  </si>
  <si>
    <t>Enter the registry ID number in row 4117 of the table for production class 2b.</t>
  </si>
  <si>
    <t>Enter the registry ID number in row 4118 of the table for production class 2b.</t>
  </si>
  <si>
    <t>Enter the registry ID number in row 4119 of the table for production class 2b.</t>
  </si>
  <si>
    <t>Enter the registry ID number in row 4120 of the table for production class 2b.</t>
  </si>
  <si>
    <t>Enter the registry ID number in row 4121 of the table for production class 2b.</t>
  </si>
  <si>
    <t>Enter the registry ID number in row 4122 of the table for production class 2b.</t>
  </si>
  <si>
    <t>Enter the registry ID number in row 4123 of the table for production class 2b.</t>
  </si>
  <si>
    <t>Enter the registry ID number in row 4124 of the table for production class 2b.</t>
  </si>
  <si>
    <t>Enter the registry ID number in row 4125 of the table for production class 2b.</t>
  </si>
  <si>
    <t>Enter the registry ID number in row 4126 of the table for production class 2b.</t>
  </si>
  <si>
    <t>Enter the registry ID number in row 4127 of the table for production class 2b.</t>
  </si>
  <si>
    <t>Enter the registry ID number in row 4128 of the table for production class 2b.</t>
  </si>
  <si>
    <t>Enter the registry ID number in row 4129 of the table for production class 2b.</t>
  </si>
  <si>
    <t>Enter the registry ID number in row 4130 of the table for production class 2b.</t>
  </si>
  <si>
    <t>Enter the registry ID number in row 4131 of the table for production class 2b.</t>
  </si>
  <si>
    <t>Enter the registry ID number in row 4132 of the table for production class 2b.</t>
  </si>
  <si>
    <t>Enter the registry ID number in row 4133 of the table for production class 2b.</t>
  </si>
  <si>
    <t>Enter the registry ID number in row 4134 of the table for production class 2b.</t>
  </si>
  <si>
    <t>Enter the registry ID number in row 4135 of the table for production class 2b.</t>
  </si>
  <si>
    <t>Enter the registry ID number in row 4136 of the table for production class 2b.</t>
  </si>
  <si>
    <t>Enter the registry ID number in row 4137 of the table for production class 2b.</t>
  </si>
  <si>
    <t>Enter the registry ID number in row 4138 of the table for production class 2b.</t>
  </si>
  <si>
    <t>Enter the registry ID number in row 4139 of the table for production class 2b.</t>
  </si>
  <si>
    <t>Enter the registry ID number in row 4140 of the table for production class 2b.</t>
  </si>
  <si>
    <t>Enter the registry ID number in row 4141 of the table for production class 2b.</t>
  </si>
  <si>
    <t>Enter the registry ID number in row 4142 of the table for production class 2b.</t>
  </si>
  <si>
    <t>Enter the registry ID number in row 4143 of the table for production class 2b.</t>
  </si>
  <si>
    <t>Enter the registry ID number in row 4144 of the table for production class 2b.</t>
  </si>
  <si>
    <t>Enter the registry ID number in row 4145 of the table for production class 2b.</t>
  </si>
  <si>
    <t>Enter the registry ID number in row 4146 of the table for production class 2b.</t>
  </si>
  <si>
    <t>Enter the registry ID number in row 4147 of the table for production class 2b.</t>
  </si>
  <si>
    <t>Enter the registry ID number in row 4148 of the table for production class 2b.</t>
  </si>
  <si>
    <t>Enter the registry ID number in row 4149 of the table for production class 2b.</t>
  </si>
  <si>
    <t>Enter the registry ID number in row 4150 of the table for production class 2b.</t>
  </si>
  <si>
    <t>Enter the registry ID number in row 4151 of the table for production class 2b.</t>
  </si>
  <si>
    <t>Enter the registry ID number in row 4152 of the table for production class 2b.</t>
  </si>
  <si>
    <t>Enter the registry ID number in row 4153 of the table for production class 2b.</t>
  </si>
  <si>
    <t>Enter the registry ID number in row 4154 of the table for production class 2b.</t>
  </si>
  <si>
    <t>Enter the registry ID number in row 4155 of the table for production class 2b.</t>
  </si>
  <si>
    <t>Enter the registry ID number in row 4156 of the table for production class 2b.</t>
  </si>
  <si>
    <t>Enter the registry ID number in row 4157 of the table for production class 2b.</t>
  </si>
  <si>
    <t>Enter the registry ID number in row 4158 of the table for production class 2b.</t>
  </si>
  <si>
    <t>Enter the registry ID number in row 4159 of the table for production class 2b.</t>
  </si>
  <si>
    <t>Enter the registry ID number in row 4160 of the table for production class 2b.</t>
  </si>
  <si>
    <t>Enter the registry ID number in row 4161 of the table for production class 2b.</t>
  </si>
  <si>
    <t>Enter the registry ID number in row 4162 of the table for production class 2b.</t>
  </si>
  <si>
    <t>Enter the registry ID number in row 4163 of the table for production class 2b.</t>
  </si>
  <si>
    <t>Enter the registry ID number in row 4164 of the table for production class 2b.</t>
  </si>
  <si>
    <t>Enter the registry ID number in row 4165 of the table for production class 2b.</t>
  </si>
  <si>
    <t>Enter the registry ID number in row 4166 of the table for production class 2b.</t>
  </si>
  <si>
    <t>Enter the registry ID number in row 4167 of the table for production class 2b.</t>
  </si>
  <si>
    <t>Enter the registry ID number in row 4168 of the table for production class 2b.</t>
  </si>
  <si>
    <t>Enter the registry ID number in row 4169 of the table for production class 2b.</t>
  </si>
  <si>
    <t>Enter the registry ID number in row 4170 of the table for production class 2b.</t>
  </si>
  <si>
    <t>Enter the registry ID number in row 4171 of the table for production class 2b.</t>
  </si>
  <si>
    <t>Enter the registry ID number in row 4172 of the table for production class 2b.</t>
  </si>
  <si>
    <t>Enter the registry ID number in row 4173 of the table for production class 2b.</t>
  </si>
  <si>
    <t>Enter the registry ID number in row 4174 of the table for production class 2b.</t>
  </si>
  <si>
    <t>Enter the registry ID number in row 4175 of the table for production class 2b.</t>
  </si>
  <si>
    <t>Enter the registry ID number in row 4176 of the table for production class 2b.</t>
  </si>
  <si>
    <t>Enter the registry ID number in row 4177 of the table for production class 2b.</t>
  </si>
  <si>
    <t>Enter the registry ID number in row 4178 of the table for production class 2b.</t>
  </si>
  <si>
    <t>Enter the registry ID number in row 4179 of the table for production class 2b.</t>
  </si>
  <si>
    <t>Enter the registry ID number in row 4180 of the table for production class 2b.</t>
  </si>
  <si>
    <t>Enter the registry ID number in row 4181 of the table for production class 2b.</t>
  </si>
  <si>
    <t>Enter the registry ID number in row 4182 of the table for production class 2b.</t>
  </si>
  <si>
    <t>Enter the registry ID number in row 4183 of the table for production class 2b.</t>
  </si>
  <si>
    <t>Enter the registry ID number in row 4184 of the table for production class 2b.</t>
  </si>
  <si>
    <t>Enter the registry ID number in row 4185 of the table for production class 2b.</t>
  </si>
  <si>
    <t>Enter the registry ID number in row 4186 of the table for production class 2b.</t>
  </si>
  <si>
    <t>Enter the registry ID number in row 4187 of the table for production class 2b.</t>
  </si>
  <si>
    <t>Enter the registry ID number in row 4188 of the table for production class 2b.</t>
  </si>
  <si>
    <t>Enter the registry ID number in row 4189 of the table for production class 2b.</t>
  </si>
  <si>
    <t>Enter the registry ID number in row 4190 of the table for production class 2b.</t>
  </si>
  <si>
    <t>Enter the registry ID number in row 4191 of the table for production class 2b.</t>
  </si>
  <si>
    <t>Enter the registry ID number in row 4192 of the table for production class 2b.</t>
  </si>
  <si>
    <t>Enter the registry ID number in row 4193 of the table for production class 2b.</t>
  </si>
  <si>
    <t>Enter the registry ID number in row 4194 of the table for production class 2b.</t>
  </si>
  <si>
    <t>Enter the registry ID number in row 4195 of the table for production class 2b.</t>
  </si>
  <si>
    <t>Enter the registry ID number in row 4196 of the table for production class 2b.</t>
  </si>
  <si>
    <t>Enter the registry ID number in row 4197 of the table for production class 2b.</t>
  </si>
  <si>
    <t>Enter the registry ID number in row 4198 of the table for production class 2b.</t>
  </si>
  <si>
    <t>Enter the registry ID number in row 4199 of the table for production class 2b.</t>
  </si>
  <si>
    <t>Enter the registry ID number in row 4200 of the table for production class 2b.</t>
  </si>
  <si>
    <t>Enter the registry ID number in row 4201 of the table for production class 2b.</t>
  </si>
  <si>
    <t>Enter the registry ID number in row 4202 of the table for production class 2b.</t>
  </si>
  <si>
    <t>Enter the registry ID number in row 4203 of the table for production class 2b.</t>
  </si>
  <si>
    <t>Enter the registry ID number in row 4204 of the table for production class 2b.</t>
  </si>
  <si>
    <t>Enter the registry ID number in row 4205 of the table for production class 2b.</t>
  </si>
  <si>
    <t>Enter the registry ID number in row 4206 of the table for production class 2b.</t>
  </si>
  <si>
    <t>Enter the registry ID number in row 4207 of the table for production class 2b.</t>
  </si>
  <si>
    <t>Enter the registry ID number in row 4208 of the table for production class 2b.</t>
  </si>
  <si>
    <t>Enter the registry ID number in row 4209 of the table for production class 2b.</t>
  </si>
  <si>
    <t>Enter the registry ID number in row 4210 of the table for production class 2b.</t>
  </si>
  <si>
    <t>Enter the registry ID number in row 4211 of the table for production class 2b.</t>
  </si>
  <si>
    <t>Enter the registry ID number in row 4212 of the table for production class 2b.</t>
  </si>
  <si>
    <t>Enter the registry ID number in row 4213 of the table for production class 2b.</t>
  </si>
  <si>
    <t>Enter the registry ID number in row 4214 of the table for production class 2b.</t>
  </si>
  <si>
    <t>Enter the registry ID number in row 4215 of the table for production class 2b.</t>
  </si>
  <si>
    <t>Enter the registry ID number in row 4216 of the table for production class 2b.</t>
  </si>
  <si>
    <t>Enter the registry ID number in row 4217 of the table for production class 2b.</t>
  </si>
  <si>
    <t>Enter the registry ID number in row 4218 of the table for production class 2b.</t>
  </si>
  <si>
    <t>Enter the registry ID number in row 4219 of the table for production class 2b.</t>
  </si>
  <si>
    <t>Enter the registry ID number in row 4220 of the table for production class 2b.</t>
  </si>
  <si>
    <t>Enter the registry ID number in row 4221 of the table for production class 2b.</t>
  </si>
  <si>
    <t>Enter the registry ID number in row 4222 of the table for production class 2b.</t>
  </si>
  <si>
    <t>Enter the registry ID number in row 4223 of the table for production class 2b.</t>
  </si>
  <si>
    <t>Enter the registry ID number in row 4224 of the table for production class 2b.</t>
  </si>
  <si>
    <t>Enter the registry ID number in row 4225 of the table for production class 2b.</t>
  </si>
  <si>
    <t>Enter the registry ID number in row 4226 of the table for production class 2b.</t>
  </si>
  <si>
    <t>Enter the registry ID number in row 4227 of the table for production class 2b.</t>
  </si>
  <si>
    <t>Enter the registry ID number in row 4228 of the table for production class 2b.</t>
  </si>
  <si>
    <t>Enter the registry ID number in row 4229 of the table for production class 2b.</t>
  </si>
  <si>
    <t>Enter the registry ID number in row 4230 of the table for production class 2b.</t>
  </si>
  <si>
    <t>Enter the registry ID number in row 4231 of the table for production class 2b.</t>
  </si>
  <si>
    <t>Enter the registry ID number in row 4232 of the table for production class 2b.</t>
  </si>
  <si>
    <t>Enter the registry ID number in row 4233 of the table for production class 2b.</t>
  </si>
  <si>
    <t>Enter the registry ID number in row 4234 of the table for production class 2b.</t>
  </si>
  <si>
    <t>Enter the registry ID number in row 4235 of the table for production class 2b.</t>
  </si>
  <si>
    <t>Enter the registry ID number in row 4236 of the table for production class 2b.</t>
  </si>
  <si>
    <t>Enter the registry ID number in row 4237 of the table for production class 2b.</t>
  </si>
  <si>
    <t>Enter the registry ID number in row 4238 of the table for production class 2b.</t>
  </si>
  <si>
    <t>Enter the registry ID number in row 4239 of the table for production class 2b.</t>
  </si>
  <si>
    <t>Enter the registry ID number in row 4240 of the table for production class 2b.</t>
  </si>
  <si>
    <t>Enter the registry ID number in row 4241 of the table for production class 2b.</t>
  </si>
  <si>
    <t>Enter the registry ID number in row 4242 of the table for production class 2b.</t>
  </si>
  <si>
    <t>Enter the registry ID number in row 4243 of the table for production class 2b.</t>
  </si>
  <si>
    <t>Enter the registry ID number in row 4244 of the table for production class 2b.</t>
  </si>
  <si>
    <t>Enter the registry ID number in row 4245 of the table for production class 2b.</t>
  </si>
  <si>
    <t>Enter the registry ID number in row 4246 of the table for production class 2b.</t>
  </si>
  <si>
    <t>Enter the registry ID number in row 4247 of the table for production class 2b.</t>
  </si>
  <si>
    <t>Enter the registry ID number in row 4248 of the table for production class 2b.</t>
  </si>
  <si>
    <t>Enter the registry ID number in row 4249 of the table for production class 2b.</t>
  </si>
  <si>
    <t>Enter the registry ID number in row 4250 of the table for production class 2b.</t>
  </si>
  <si>
    <t>Enter the registry ID number in row 4251 of the table for production class 2b.</t>
  </si>
  <si>
    <t>Enter the registry ID number in row 4252 of the table for production class 2b.</t>
  </si>
  <si>
    <t>Enter the registry ID number in row 4253 of the table for production class 2b.</t>
  </si>
  <si>
    <t>Enter the registry ID number in row 4254 of the table for production class 2b.</t>
  </si>
  <si>
    <t>Enter the registry ID number in row 4255 of the table for production class 2b.</t>
  </si>
  <si>
    <t>Enter the registry ID number in row 4256 of the table for production class 2b.</t>
  </si>
  <si>
    <t>Enter the registry ID number in row 4257 of the table for production class 2b.</t>
  </si>
  <si>
    <t>Enter the registry ID number in row 4258 of the table for production class 2b.</t>
  </si>
  <si>
    <t>Enter the registry ID number in row 4259 of the table for production class 2b.</t>
  </si>
  <si>
    <t>Enter the registry ID number in row 4260 of the table for production class 2b.</t>
  </si>
  <si>
    <t>Enter the registry ID number in row 4261 of the table for production class 2b.</t>
  </si>
  <si>
    <t>Enter the registry ID number in row 4262 of the table for production class 2b.</t>
  </si>
  <si>
    <t>Enter the registry ID number in row 4263 of the table for production class 2b.</t>
  </si>
  <si>
    <t>Enter the registry ID number in row 4264 of the table for production class 2b.</t>
  </si>
  <si>
    <t>Enter the registry ID number in row 4265 of the table for production class 2b.</t>
  </si>
  <si>
    <t>Enter the registry ID number in row 4266 of the table for production class 2b.</t>
  </si>
  <si>
    <t>Enter the registry ID number in row 4267 of the table for production class 2b.</t>
  </si>
  <si>
    <t>Enter the registry ID number in row 4268 of the table for production class 2b.</t>
  </si>
  <si>
    <t>Enter the registry ID number in row 4269 of the table for production class 2b.</t>
  </si>
  <si>
    <t>Enter the registry ID number in row 4270 of the table for production class 2b.</t>
  </si>
  <si>
    <t>Enter the registry ID number in row 4271 of the table for production class 2b.</t>
  </si>
  <si>
    <t>Enter the registry ID number in row 4272 of the table for production class 2b.</t>
  </si>
  <si>
    <t>Enter the registry ID number in row 4273 of the table for production class 2b.</t>
  </si>
  <si>
    <t>Enter the registry ID number in row 4274 of the table for production class 2b.</t>
  </si>
  <si>
    <t>Enter the registry ID number in row 4275 of the table for production class 2b.</t>
  </si>
  <si>
    <t>Enter the registry ID number in row 4276 of the table for production class 2b.</t>
  </si>
  <si>
    <t>Enter the registry ID number in row 4277 of the table for production class 2b.</t>
  </si>
  <si>
    <t>Enter the registry ID number in row 4278 of the table for production class 2b.</t>
  </si>
  <si>
    <t>Enter the registry ID number in row 4279 of the table for production class 2b.</t>
  </si>
  <si>
    <t>Enter the registry ID number in row 4280 of the table for production class 2b.</t>
  </si>
  <si>
    <t>Enter the registry ID number in row 4281 of the table for production class 2b.</t>
  </si>
  <si>
    <t>Enter the registry ID number in row 4282 of the table for production class 2b.</t>
  </si>
  <si>
    <t>Enter the registry ID number in row 4283 of the table for production class 2b.</t>
  </si>
  <si>
    <t>Enter the registry ID number in row 4284 of the table for production class 2b.</t>
  </si>
  <si>
    <t>Enter the registry ID number in row 4285 of the table for production class 2b.</t>
  </si>
  <si>
    <t>Enter the registry ID number in row 4286 of the table for production class 2b.</t>
  </si>
  <si>
    <t>Enter the registry ID number in row 4287 of the table for production class 2b.</t>
  </si>
  <si>
    <t>Enter the registry ID number in row 4288 of the table for production class 2b.</t>
  </si>
  <si>
    <t>Enter the registry ID number in row 4289 of the table for production class 2b.</t>
  </si>
  <si>
    <t>Enter the registry ID number in row 4290 of the table for production class 2b.</t>
  </si>
  <si>
    <t>Enter the registry ID number in row 4291 of the table for production class 2b.</t>
  </si>
  <si>
    <t>Enter the registry ID number in row 4292 of the table for production class 2b.</t>
  </si>
  <si>
    <t>Enter the registry ID number in row 4293 of the table for production class 2b.</t>
  </si>
  <si>
    <t>Enter the registry ID number in row 4294 of the table for production class 2b.</t>
  </si>
  <si>
    <t>Enter the registry ID number in row 4295 of the table for production class 2b.</t>
  </si>
  <si>
    <t>Enter the registry ID number in row 4296 of the table for production class 2b.</t>
  </si>
  <si>
    <t>Enter the registry ID number in row 4297 of the table for production class 2b.</t>
  </si>
  <si>
    <t>Enter the registry ID number in row 4298 of the table for production class 2b.</t>
  </si>
  <si>
    <t>Enter the registry ID number in row 4299 of the table for production class 2b.</t>
  </si>
  <si>
    <t>Enter the registry ID number in row 4300 of the table for production class 2b.</t>
  </si>
  <si>
    <t>Enter the registry ID number in row 4301 of the table for production class 2b.</t>
  </si>
  <si>
    <t>Enter the registry ID number in row 4302 of the table for production class 2b.</t>
  </si>
  <si>
    <t>Enter the registry ID number in row 4303 of the table for production class 2b.</t>
  </si>
  <si>
    <t>Enter the registry ID number in row 4304 of the table for production class 2b.</t>
  </si>
  <si>
    <t>Enter the registry ID number in row 4305 of the table for production class 2b.</t>
  </si>
  <si>
    <t>Enter the registry ID number in row 4306 of the table for production class 2b.</t>
  </si>
  <si>
    <t>Enter the registry ID number in row 4307 of the table for production class 2b.</t>
  </si>
  <si>
    <t>Enter the registry ID number in row 4308 of the table for production class 2b.</t>
  </si>
  <si>
    <t>Enter the registry ID number in row 4309 of the table for production class 2b.</t>
  </si>
  <si>
    <t>Enter the registry ID number in row 4310 of the table for production class 2b.</t>
  </si>
  <si>
    <t>Enter the registry ID number in row 4311 of the table for production class 2b.</t>
  </si>
  <si>
    <t>Enter the registry ID number in row 4312 of the table for production class 2b.</t>
  </si>
  <si>
    <t>Enter the registry ID number in row 4313 of the table for production class 2b.</t>
  </si>
  <si>
    <t>Enter the registry ID number in row 4314 of the table for production class 2b.</t>
  </si>
  <si>
    <t>Enter the registry ID number in row 4315 of the table for production class 2b.</t>
  </si>
  <si>
    <t>Enter the registry ID number in row 4316 of the table for production class 2b.</t>
  </si>
  <si>
    <t>Enter the registry ID number in row 4317 of the table for production class 2b.</t>
  </si>
  <si>
    <t>Enter the registry ID number in row 4318 of the table for production class 2b.</t>
  </si>
  <si>
    <t>Enter the registry ID number in row 4319 of the table for production class 2b.</t>
  </si>
  <si>
    <t>Enter the registry ID number in row 4320 of the table for production class 2b.</t>
  </si>
  <si>
    <t>Enter the registry ID number in row 4321 of the table for production class 2b.</t>
  </si>
  <si>
    <t>Enter the registry ID number in row 4322 of the table for production class 2b.</t>
  </si>
  <si>
    <t>Enter the registry ID number in row 4323 of the table for production class 2b.</t>
  </si>
  <si>
    <t>Enter the registry ID number in row 4324 of the table for production class 2b.</t>
  </si>
  <si>
    <t>Enter the registry ID number in row 4325 of the table for production class 2b.</t>
  </si>
  <si>
    <t>Enter the registry ID number in row 4326 of the table for production class 2b.</t>
  </si>
  <si>
    <t>Enter the registry ID number in row 4327 of the table for production class 2b.</t>
  </si>
  <si>
    <t>Enter the registry ID number in row 4328 of the table for production class 2b.</t>
  </si>
  <si>
    <t>Enter the registry ID number in row 4329 of the table for production class 2b.</t>
  </si>
  <si>
    <t>Enter the registry ID number in row 4330 of the table for production class 2b.</t>
  </si>
  <si>
    <t>Enter the registry ID number in row 4331 of the table for production class 2b.</t>
  </si>
  <si>
    <t>Enter the registry ID number in row 4332 of the table for production class 2b.</t>
  </si>
  <si>
    <t>Enter the registry ID number in row 4333 of the table for production class 2b.</t>
  </si>
  <si>
    <t>Enter the registry ID number in row 4334 of the table for production class 2b.</t>
  </si>
  <si>
    <t>Enter the registry ID number in row 4335 of the table for production class 2b.</t>
  </si>
  <si>
    <t>Enter the registry ID number in row 4336 of the table for production class 2b.</t>
  </si>
  <si>
    <t>Enter the registry ID number in row 4337 of the table for production class 2b.</t>
  </si>
  <si>
    <t>Enter the registry ID number in row 4338 of the table for production class 2b.</t>
  </si>
  <si>
    <t>Enter the registry ID number in row 4339 of the table for production class 2b.</t>
  </si>
  <si>
    <t>Enter the registry ID number in row 4340 of the table for production class 2b.</t>
  </si>
  <si>
    <t>Enter the registry ID number in row 4341 of the table for production class 2b.</t>
  </si>
  <si>
    <t>Enter the registry ID number in row 4342 of the table for production class 2b.</t>
  </si>
  <si>
    <t>Enter the registry ID number in row 4343 of the table for production class 2b.</t>
  </si>
  <si>
    <t>Enter the registry ID number in row 4344 of the table for production class 2b.</t>
  </si>
  <si>
    <t>Enter the registry ID number in row 4345 of the table for production class 2b.</t>
  </si>
  <si>
    <t>Enter the registry ID number in row 4346 of the table for production class 2b.</t>
  </si>
  <si>
    <t>Enter the registry ID number in row 4347 of the table for production class 2b.</t>
  </si>
  <si>
    <t>Enter the registry ID number in row 4348 of the table for production class 2b.</t>
  </si>
  <si>
    <t>Enter the registry ID number in row 4349 of the table for production class 2b.</t>
  </si>
  <si>
    <t>Enter the registry ID number in row 4350 of the table for production class 2b.</t>
  </si>
  <si>
    <t>Enter the registry ID number in row 4351 of the table for production class 2b.</t>
  </si>
  <si>
    <t>Enter the registry ID number in row 4352 of the table for production class 2b.</t>
  </si>
  <si>
    <t>Enter the registry ID number in row 4353 of the table for production class 2b.</t>
  </si>
  <si>
    <t>Enter the registry ID number in row 4354 of the table for production class 2b.</t>
  </si>
  <si>
    <t>Enter the registry ID number in row 4355 of the table for production class 2b.</t>
  </si>
  <si>
    <t>Enter the registry ID number in row 4356 of the table for production class 2b.</t>
  </si>
  <si>
    <t>Enter the registry ID number in row 4357 of the table for production class 2b.</t>
  </si>
  <si>
    <t>Enter the registry ID number in row 4358 of the table for production class 2b.</t>
  </si>
  <si>
    <t>Enter the registry ID number in row 4359 of the table for production class 2b.</t>
  </si>
  <si>
    <t>Enter the registry ID number in row 4360 of the table for production class 2b.</t>
  </si>
  <si>
    <t>Enter the registry ID number in row 4361 of the table for production class 2b.</t>
  </si>
  <si>
    <t>Enter the registry ID number in row 4362 of the table for production class 2b.</t>
  </si>
  <si>
    <t>Enter the registry ID number in row 4363 of the table for production class 2b.</t>
  </si>
  <si>
    <t>Enter the registry ID number in row 4364 of the table for production class 2b.</t>
  </si>
  <si>
    <t>Enter the registry ID number in row 4365 of the table for production class 2b.</t>
  </si>
  <si>
    <t>Enter the registry ID number in row 4366 of the table for production class 2b.</t>
  </si>
  <si>
    <t>Enter the registry ID number in row 4367 of the table for production class 2b.</t>
  </si>
  <si>
    <t>Enter the registry ID number in row 4368 of the table for production class 2b.</t>
  </si>
  <si>
    <t>Enter the registry ID number in row 4369 of the table for production class 2b.</t>
  </si>
  <si>
    <t>Enter the registry ID number in row 4370 of the table for production class 2b.</t>
  </si>
  <si>
    <t>Enter the registry ID number in row 4371 of the table for production class 2b.</t>
  </si>
  <si>
    <t>Enter the registry ID number in row 4372 of the table for production class 2b.</t>
  </si>
  <si>
    <t>Enter the registry ID number in row 4373 of the table for production class 2b.</t>
  </si>
  <si>
    <t>Enter the registry ID number in row 4374 of the table for production class 2b.</t>
  </si>
  <si>
    <t>Enter the registry ID number in row 4375 of the table for production class 2b.</t>
  </si>
  <si>
    <t>Enter the registry ID number in row 4376 of the table for production class 2b.</t>
  </si>
  <si>
    <t>Enter the registry ID number in row 4377 of the table for production class 2b.</t>
  </si>
  <si>
    <t>Enter the registry ID number in row 4378 of the table for production class 2b.</t>
  </si>
  <si>
    <t>Enter the registry ID number in row 4379 of the table for production class 2b.</t>
  </si>
  <si>
    <t>Enter the registry ID number in row 4380 of the table for production class 2b.</t>
  </si>
  <si>
    <t>Enter the registry ID number in row 4381 of the table for production class 2b.</t>
  </si>
  <si>
    <t>Enter the registry ID number in row 4382 of the table for production class 2b.</t>
  </si>
  <si>
    <t>Enter the registry ID number in row 4383 of the table for production class 2b.</t>
  </si>
  <si>
    <t>Enter the registry ID number in row 4384 of the table for production class 2b.</t>
  </si>
  <si>
    <t>Enter the registry ID number in row 4385 of the table for production class 2b.</t>
  </si>
  <si>
    <t>Enter the registry ID number in row 4386 of the table for production class 2b.</t>
  </si>
  <si>
    <t>Enter the registry ID number in row 4387 of the table for production class 2b.</t>
  </si>
  <si>
    <t>Enter the registry ID number in row 4388 of the table for production class 2b.</t>
  </si>
  <si>
    <t>Enter the registry ID number in row 4389 of the table for production class 2b.</t>
  </si>
  <si>
    <t>Enter the registry ID number in row 4390 of the table for production class 2b.</t>
  </si>
  <si>
    <t>Enter the registry ID number in row 4391 of the table for production class 2b.</t>
  </si>
  <si>
    <t>Enter the registry ID number in row 4392 of the table for production class 2b.</t>
  </si>
  <si>
    <t>Enter the registry ID number in row 4393 of the table for production class 2b.</t>
  </si>
  <si>
    <t>Enter the registry ID number in row 4394 of the table for production class 2b.</t>
  </si>
  <si>
    <t>Enter the registry ID number in row 4395 of the table for production class 2b.</t>
  </si>
  <si>
    <t>Enter the registry ID number in row 4396 of the table for production class 2b.</t>
  </si>
  <si>
    <t>Enter the registry ID number in row 4397 of the table for production class 2b.</t>
  </si>
  <si>
    <t>Enter the registry ID number in row 4398 of the table for production class 2b.</t>
  </si>
  <si>
    <t>Enter the registry ID number in row 4399 of the table for production class 2b.</t>
  </si>
  <si>
    <t>Enter the registry ID number in row 4400 of the table for production class 2b.</t>
  </si>
  <si>
    <t>Enter the registry ID number in row 4401 of the table for production class 2b.</t>
  </si>
  <si>
    <t>Enter the registry ID number in row 4402 of the table for production class 2b.</t>
  </si>
  <si>
    <t>Enter the registry ID number in row 4403 of the table for production class 2b.</t>
  </si>
  <si>
    <t>Enter the registry ID number in row 4404 of the table for production class 2b.</t>
  </si>
  <si>
    <t>Enter the registry ID number in row 4405 of the table for production class 2b.</t>
  </si>
  <si>
    <t>Enter the registry ID number in row 4406 of the table for production class 2b.</t>
  </si>
  <si>
    <t>Enter the registry ID number in row 4407 of the table for production class 2b.</t>
  </si>
  <si>
    <t>Enter the registry ID number in row 4408 of the table for production class 2b.</t>
  </si>
  <si>
    <t>Enter the registry ID number in row 4409 of the table for production class 2b.</t>
  </si>
  <si>
    <t>Enter the registry ID number in row 4410 of the table for production class 2b.</t>
  </si>
  <si>
    <t>Enter the registry ID number in row 4411 of the table for production class 2b.</t>
  </si>
  <si>
    <t>Enter the registry ID number in row 4412 of the table for production class 2b.</t>
  </si>
  <si>
    <t>Enter the registry ID number in row 4413 of the table for production class 2b.</t>
  </si>
  <si>
    <t>Enter the registry ID number in row 4414 of the table for production class 2b.</t>
  </si>
  <si>
    <t>Enter the registry ID number in row 4415 of the table for production class 2b.</t>
  </si>
  <si>
    <t>Enter the registry ID number in row 4416 of the table for production class 2b.</t>
  </si>
  <si>
    <t>Enter the registry ID number in row 4417 of the table for production class 2b.</t>
  </si>
  <si>
    <t>Enter the registry ID number in row 4418 of the table for production class 2b.</t>
  </si>
  <si>
    <t>Enter the registry ID number in row 4419 of the table for production class 2b.</t>
  </si>
  <si>
    <t>Enter the registry ID number in row 4420 of the table for production class 2b.</t>
  </si>
  <si>
    <t>Enter the registry ID number in row 4421 of the table for production class 2b.</t>
  </si>
  <si>
    <t>Enter the registry ID number in row 4422 of the table for production class 2b.</t>
  </si>
  <si>
    <t>Enter the registry ID number in row 4423 of the table for production class 2b.</t>
  </si>
  <si>
    <t>Enter the registry ID number in row 4424 of the table for production class 2b.</t>
  </si>
  <si>
    <t>Enter the registry ID number in row 4425 of the table for production class 2b.</t>
  </si>
  <si>
    <t>Enter the registry ID number in row 4426 of the table for production class 2b.</t>
  </si>
  <si>
    <t>Enter the registry ID number in row 4427 of the table for production class 2b.</t>
  </si>
  <si>
    <t>Enter the registry ID number in row 4428 of the table for production class 2b.</t>
  </si>
  <si>
    <t>Enter the registry ID number in row 4429 of the table for production class 2b.</t>
  </si>
  <si>
    <t>Enter the registry ID number in row 4430 of the table for production class 2b.</t>
  </si>
  <si>
    <t>Enter the registry ID number in row 4431 of the table for production class 2b.</t>
  </si>
  <si>
    <t>Enter the registry ID number in row 4432 of the table for production class 2b.</t>
  </si>
  <si>
    <t>Enter the registry ID number in row 4433 of the table for production class 2b.</t>
  </si>
  <si>
    <t>Enter the registry ID number in row 4434 of the table for production class 2b.</t>
  </si>
  <si>
    <t>Enter the registry ID number in row 4435 of the table for production class 2b.</t>
  </si>
  <si>
    <t>Enter the registry ID number in row 4436 of the table for production class 2b.</t>
  </si>
  <si>
    <t>Enter the registry ID number in row 4437 of the table for production class 2b.</t>
  </si>
  <si>
    <t>Enter the registry ID number in row 4438 of the table for production class 2b.</t>
  </si>
  <si>
    <t>Enter the registry ID number in row 4439 of the table for production class 2b.</t>
  </si>
  <si>
    <t>Enter the registry ID number in row 4440 of the table for production class 2b.</t>
  </si>
  <si>
    <t>Enter the registry ID number in row 4441 of the table for production class 2b.</t>
  </si>
  <si>
    <t>Enter the registry ID number in row 4442 of the table for production class 2b.</t>
  </si>
  <si>
    <t>Enter the registry ID number in row 4443 of the table for production class 2b.</t>
  </si>
  <si>
    <t>Enter the registry ID number in row 4444 of the table for production class 2b.</t>
  </si>
  <si>
    <t>Enter the registry ID number in row 4445 of the table for production class 2b.</t>
  </si>
  <si>
    <t>Enter the registry ID number in row 4446 of the table for production class 2b.</t>
  </si>
  <si>
    <t>Enter the registry ID number in row 4447 of the table for production class 2b.</t>
  </si>
  <si>
    <t>Enter the registry ID number in row 4448 of the table for production class 2b.</t>
  </si>
  <si>
    <t>Enter the registry ID number in row 4449 of the table for production class 2b.</t>
  </si>
  <si>
    <t>Enter the registry ID number in row 4450 of the table for production class 2b.</t>
  </si>
  <si>
    <t>Enter the registry ID number in row 4451 of the table for production class 2b.</t>
  </si>
  <si>
    <t>Enter the registry ID number in row 4452 of the table for production class 2b.</t>
  </si>
  <si>
    <t>Enter the registry ID number in row 4453 of the table for production class 2b.</t>
  </si>
  <si>
    <t>Enter the registry ID number in row 4454 of the table for production class 2b.</t>
  </si>
  <si>
    <t>Enter the registry ID number in row 4455 of the table for production class 2b.</t>
  </si>
  <si>
    <t>Enter the registry ID number in row 4456 of the table for production class 2b.</t>
  </si>
  <si>
    <t>Enter the registry ID number in row 4457 of the table for production class 2b.</t>
  </si>
  <si>
    <t>Enter the registry ID number in row 4458 of the table for production class 2b.</t>
  </si>
  <si>
    <t>Enter the registry ID number in row 4459 of the table for production class 2b.</t>
  </si>
  <si>
    <t>Enter the registry ID number in row 4460 of the table for production class 2b.</t>
  </si>
  <si>
    <t>Enter the registry ID number in row 4461 of the table for production class 2b.</t>
  </si>
  <si>
    <t>Enter the registry ID number in row 4462 of the table for production class 2b.</t>
  </si>
  <si>
    <t>Enter the registry ID number in row 4463 of the table for production class 2b.</t>
  </si>
  <si>
    <t>Enter the registry ID number in row 4464 of the table for production class 2b.</t>
  </si>
  <si>
    <t>Enter the registry ID number in row 4465 of the table for production class 2b.</t>
  </si>
  <si>
    <t>Enter the registry ID number in row 4466 of the table for production class 2b.</t>
  </si>
  <si>
    <t>Enter the registry ID number in row 4467 of the table for production class 2b.</t>
  </si>
  <si>
    <t>Enter the registry ID number in row 4468 of the table for production class 2b.</t>
  </si>
  <si>
    <t>Enter the registry ID number in row 4469 of the table for production class 2b.</t>
  </si>
  <si>
    <t>Enter the registry ID number in row 4470 of the table for production class 2b.</t>
  </si>
  <si>
    <t>Enter the registry ID number in row 4471 of the table for production class 2b.</t>
  </si>
  <si>
    <t>Enter the registry ID number in row 4472 of the table for production class 2b.</t>
  </si>
  <si>
    <t>Enter the registry ID number in row 4473 of the table for production class 2b.</t>
  </si>
  <si>
    <t>Enter the registry ID number in row 4474 of the table for production class 2b.</t>
  </si>
  <si>
    <t>Enter the registry ID number in row 4475 of the table for production class 2b.</t>
  </si>
  <si>
    <t>Enter the registry ID number in row 4476 of the table for production class 2b.</t>
  </si>
  <si>
    <t>Enter the registry ID number in row 4477 of the table for production class 2b.</t>
  </si>
  <si>
    <t>Enter the registry ID number in row 4478 of the table for production class 2b.</t>
  </si>
  <si>
    <t>Enter the registry ID number in row 4479 of the table for production class 2b.</t>
  </si>
  <si>
    <t>Enter the registry ID number in row 4480 of the table for production class 2b.</t>
  </si>
  <si>
    <t>Enter the registry ID number in row 4481 of the table for production class 2b.</t>
  </si>
  <si>
    <t>Enter the registry ID number in row 4482 of the table for production class 2b.</t>
  </si>
  <si>
    <t>Enter the registry ID number in row 4483 of the table for production class 2b.</t>
  </si>
  <si>
    <t>Enter the registry ID number in row 4484 of the table for production class 2b.</t>
  </si>
  <si>
    <t>Enter the registry ID number in row 4485 of the table for production class 2b.</t>
  </si>
  <si>
    <t>Enter the registry ID number in row 4486 of the table for production class 2b.</t>
  </si>
  <si>
    <t>Enter the registry ID number in row 4487 of the table for production class 2b.</t>
  </si>
  <si>
    <t>Enter the registry ID number in row 4488 of the table for production class 2b.</t>
  </si>
  <si>
    <t>Enter the registry ID number in row 4489 of the table for production class 2b.</t>
  </si>
  <si>
    <t>Enter the registry ID number in row 4490 of the table for production class 2b.</t>
  </si>
  <si>
    <t>Enter the registry ID number in row 4491 of the table for production class 2b.</t>
  </si>
  <si>
    <t>Enter the registry ID number in row 4492 of the table for production class 2b.</t>
  </si>
  <si>
    <t>Enter the registry ID number in row 4493 of the table for production class 2b.</t>
  </si>
  <si>
    <t>Enter the registry ID number in row 4494 of the table for production class 2b.</t>
  </si>
  <si>
    <t>Enter the registry ID number in row 4495 of the table for production class 2b.</t>
  </si>
  <si>
    <t>Enter the registry ID number in row 4496 of the table for production class 2b.</t>
  </si>
  <si>
    <t>Enter the registry ID number in row 4497 of the table for production class 2b.</t>
  </si>
  <si>
    <t>Enter the registry ID number in row 4498 of the table for production class 2b.</t>
  </si>
  <si>
    <t>Enter the registry ID number in row 4499 of the table for production class 2b.</t>
  </si>
  <si>
    <t>Enter the registry ID number in row 4500 of the table for production class 2b.</t>
  </si>
  <si>
    <t>Enter the registry ID number in row 4501 of the table for production class 2b.</t>
  </si>
  <si>
    <t>Enter the registry ID number in row 4502 of the table for production class 2b.</t>
  </si>
  <si>
    <t>Enter the registry ID number in row 4503 of the table for production class 2b.</t>
  </si>
  <si>
    <t>Enter the registry ID number in row 4504 of the table for production class 2b.</t>
  </si>
  <si>
    <t>Enter the registry ID number in row 4505 of the table for production class 2b.</t>
  </si>
  <si>
    <t>Enter the registry ID number in row 4506 of the table for production class 2b.</t>
  </si>
  <si>
    <t>Enter the registry ID number in row 4507 of the table for production class 2b.</t>
  </si>
  <si>
    <t>Enter the registry ID number in row 4508 of the table for production class 2b.</t>
  </si>
  <si>
    <t>Enter the registry ID number in row 4509 of the table for production class 2b.</t>
  </si>
  <si>
    <t>Enter the registry ID number in row 4510 of the table for production class 2b.</t>
  </si>
  <si>
    <t>Enter the registry ID number in row 4511 of the table for production class 2b.</t>
  </si>
  <si>
    <t>Enter the registry ID number in row 4512 of the table for production class 2b.</t>
  </si>
  <si>
    <t>Enter the registry ID number in row 4513 of the table for production class 2b.</t>
  </si>
  <si>
    <t>Enter the registry ID number in row 4514 of the table for production class 2b.</t>
  </si>
  <si>
    <t>Enter the registry ID number in row 4515 of the table for production class 2b.</t>
  </si>
  <si>
    <t>Enter the registry ID number in row 4516 of the table for production class 2b.</t>
  </si>
  <si>
    <t>Enter the registry ID number in row 4517 of the table for production class 2b.</t>
  </si>
  <si>
    <t>Enter the registry ID number in row 4518 of the table for production class 2b.</t>
  </si>
  <si>
    <t>Enter the registry ID number in row 4519 of the table for production class 2b.</t>
  </si>
  <si>
    <t>Enter the registry ID number in row 4520 of the table for production class 2b.</t>
  </si>
  <si>
    <t>Enter the registry ID number in row 4521 of the table for production class 2b.</t>
  </si>
  <si>
    <t>Enter the registry ID number in row 4522 of the table for production class 2b.</t>
  </si>
  <si>
    <t>Enter the registry ID number in row 4523 of the table for production class 2b.</t>
  </si>
  <si>
    <t>Enter the registry ID number in row 4524 of the table for production class 2b.</t>
  </si>
  <si>
    <t>Enter the registry ID number in row 4525 of the table for production class 2b.</t>
  </si>
  <si>
    <t>Enter the registry ID number in row 4526 of the table for production class 2b.</t>
  </si>
  <si>
    <t>Enter the registry ID number in row 4527 of the table for production class 2b.</t>
  </si>
  <si>
    <t>Enter the registry ID number in row 4528 of the table for production class 2b.</t>
  </si>
  <si>
    <t>Enter the registry ID number in row 4529 of the table for production class 2b.</t>
  </si>
  <si>
    <t>Enter the registry ID number in row 4530 of the table for production class 2b.</t>
  </si>
  <si>
    <t>Enter the registry ID number in row 4531 of the table for production class 2b.</t>
  </si>
  <si>
    <t>Enter the registry ID number in row 4532 of the table for production class 2b.</t>
  </si>
  <si>
    <t>Enter the registry ID number in row 4533 of the table for production class 2b.</t>
  </si>
  <si>
    <t>Enter the registry ID number in row 4534 of the table for production class 2b.</t>
  </si>
  <si>
    <t>Enter the registry ID number in row 4535 of the table for production class 2b.</t>
  </si>
  <si>
    <t>Enter the registry ID number in row 4536 of the table for production class 2b.</t>
  </si>
  <si>
    <t>Enter the registry ID number in row 4537 of the table for production class 2b.</t>
  </si>
  <si>
    <t>Enter the registry ID number in row 4538 of the table for production class 2b.</t>
  </si>
  <si>
    <t>Enter the registry ID number in row 4539 of the table for production class 2b.</t>
  </si>
  <si>
    <t>Enter the registry ID number in row 4540 of the table for production class 2b.</t>
  </si>
  <si>
    <t>Enter the registry ID number in row 4541 of the table for production class 2b.</t>
  </si>
  <si>
    <t>Enter the registry ID number in row 4542 of the table for production class 2b.</t>
  </si>
  <si>
    <t>Enter the registry ID number in row 4543 of the table for production class 2b.</t>
  </si>
  <si>
    <t>Enter the registry ID number in row 4544 of the table for production class 2b.</t>
  </si>
  <si>
    <t>Enter the registry ID number in row 4545 of the table for production class 2b.</t>
  </si>
  <si>
    <t>Enter the registry ID number in row 4546 of the table for production class 2b.</t>
  </si>
  <si>
    <t>Enter the registry ID number in row 4547 of the table for production class 2b.</t>
  </si>
  <si>
    <t>Enter the registry ID number in row 4548 of the table for production class 2b.</t>
  </si>
  <si>
    <t>Enter the registry ID number in row 4549 of the table for production class 2b.</t>
  </si>
  <si>
    <t>Enter the registry ID number in row 4550 of the table for production class 2b.</t>
  </si>
  <si>
    <t>Enter the registry ID number in row 4551 of the table for production class 2b.</t>
  </si>
  <si>
    <t>Enter the registry ID number in row 4552 of the table for production class 2b.</t>
  </si>
  <si>
    <t>Enter the registry ID number in row 4553 of the table for production class 2b.</t>
  </si>
  <si>
    <t>Enter the registry ID number in row 4554 of the table for production class 2b.</t>
  </si>
  <si>
    <t>Enter the registry ID number in row 4555 of the table for production class 2b.</t>
  </si>
  <si>
    <t>Enter the registry ID number in row 4556 of the table for production class 2b.</t>
  </si>
  <si>
    <t>Enter the registry ID number in row 4557 of the table for production class 2b.</t>
  </si>
  <si>
    <t>Enter the registry ID number in row 4558 of the table for production class 2b.</t>
  </si>
  <si>
    <t>Enter the registry ID number in row 4559 of the table for production class 2b.</t>
  </si>
  <si>
    <t>Enter the registry ID number in row 4560 of the table for production class 2b.</t>
  </si>
  <si>
    <t>Enter the registry ID number in row 4561 of the table for production class 2b.</t>
  </si>
  <si>
    <t>Enter the registry ID number in row 4562 of the table for production class 2b.</t>
  </si>
  <si>
    <t>Enter the registry ID number in row 4563 of the table for production class 2b.</t>
  </si>
  <si>
    <t>Enter the registry ID number in row 4564 of the table for production class 2b.</t>
  </si>
  <si>
    <t>Enter the registry ID number in row 4565 of the table for production class 2b.</t>
  </si>
  <si>
    <t>Enter the registry ID number in row 4566 of the table for production class 2b.</t>
  </si>
  <si>
    <t>Enter the registry ID number in row 4567 of the table for production class 2b.</t>
  </si>
  <si>
    <t>Enter the registry ID number in row 4568 of the table for production class 2b.</t>
  </si>
  <si>
    <t>Enter the registry ID number in row 4569 of the table for production class 2b.</t>
  </si>
  <si>
    <t>Enter the registry ID number in row 4570 of the table for production class 2b.</t>
  </si>
  <si>
    <t>Enter the registry ID number in row 4571 of the table for production class 2b.</t>
  </si>
  <si>
    <t>Enter the registry ID number in row 4572 of the table for production class 2b.</t>
  </si>
  <si>
    <t>Enter the registry ID number in row 4573 of the table for production class 2b.</t>
  </si>
  <si>
    <t>Enter the registry ID number in row 4574 of the table for production class 2b.</t>
  </si>
  <si>
    <t>Enter the registry ID number in row 4575 of the table for production class 2b.</t>
  </si>
  <si>
    <t>Enter the registry ID number in row 4576 of the table for production class 2b.</t>
  </si>
  <si>
    <t>Enter the registry ID number in row 4577 of the table for production class 2b.</t>
  </si>
  <si>
    <t>Enter the registry ID number in row 4578 of the table for production class 2b.</t>
  </si>
  <si>
    <t>Enter the registry ID number in row 4579 of the table for production class 2b.</t>
  </si>
  <si>
    <t>Enter the registry ID number in row 4580 of the table for production class 2b.</t>
  </si>
  <si>
    <t>Enter the registry ID number in row 4581 of the table for production class 2b.</t>
  </si>
  <si>
    <t>Enter the registry ID number in row 4582 of the table for production class 2b.</t>
  </si>
  <si>
    <t>Enter the registry ID number in row 4583 of the table for production class 2b.</t>
  </si>
  <si>
    <t>Enter the registry ID number in row 4584 of the table for production class 2b.</t>
  </si>
  <si>
    <t>Enter the registry ID number in row 4585 of the table for production class 2b.</t>
  </si>
  <si>
    <t>Enter the registry ID number in row 4586 of the table for production class 2b.</t>
  </si>
  <si>
    <t>Enter the registry ID number in row 4587 of the table for production class 2b.</t>
  </si>
  <si>
    <t>Enter the registry ID number in row 4588 of the table for production class 2b.</t>
  </si>
  <si>
    <t>Enter the registry ID number in row 4589 of the table for production class 2b.</t>
  </si>
  <si>
    <t>Enter the registry ID number in row 4590 of the table for production class 2b.</t>
  </si>
  <si>
    <t>Enter the registry ID number in row 4591 of the table for production class 2b.</t>
  </si>
  <si>
    <t>Enter the registry ID number in row 4592 of the table for production class 2b.</t>
  </si>
  <si>
    <t>Enter the registry ID number in row 4593 of the table for production class 2b.</t>
  </si>
  <si>
    <t>Enter the registry ID number in row 4594 of the table for production class 2b.</t>
  </si>
  <si>
    <t>Enter the registry ID number in row 4595 of the table for production class 2b.</t>
  </si>
  <si>
    <t>Enter the registry ID number in row 4596 of the table for production class 2b.</t>
  </si>
  <si>
    <t>Enter the registry ID number in row 4597 of the table for production class 2b.</t>
  </si>
  <si>
    <t>Enter the registry ID number in row 4598 of the table for production class 2b.</t>
  </si>
  <si>
    <t>Enter the registry ID number in row 4599 of the table for production class 2b.</t>
  </si>
  <si>
    <t>Enter the registry ID number in row 4600 of the table for production class 2b.</t>
  </si>
  <si>
    <t>Enter the registry ID number in row 4601 of the table for production class 2b.</t>
  </si>
  <si>
    <t>Enter the registry ID number in row 4602 of the table for production class 2b.</t>
  </si>
  <si>
    <t>Enter the registry ID number in row 4603 of the table for production class 2b.</t>
  </si>
  <si>
    <t>Enter the registry ID number in row 4604 of the table for production class 2b.</t>
  </si>
  <si>
    <t>Enter the registry ID number in row 4605 of the table for production class 2b.</t>
  </si>
  <si>
    <t>Enter the registry ID number in row 4606 of the table for production class 2b.</t>
  </si>
  <si>
    <t>Enter the registry ID number in row 4607 of the table for production class 2b.</t>
  </si>
  <si>
    <t>Enter the registry ID number in row 4608 of the table for production class 2b.</t>
  </si>
  <si>
    <t>Enter the registry ID number in row 4609 of the table for production class 2b.</t>
  </si>
  <si>
    <t>Enter the registry ID number in row 4610 of the table for production class 2b.</t>
  </si>
  <si>
    <t>Enter the registry ID number in row 4611 of the table for production class 2b.</t>
  </si>
  <si>
    <t>Enter the registry ID number in row 4612 of the table for production class 2b.</t>
  </si>
  <si>
    <t>Enter the registry ID number in row 4613 of the table for production class 2b.</t>
  </si>
  <si>
    <t>Enter the registry ID number in row 4614 of the table for production class 2b.</t>
  </si>
  <si>
    <t>Enter the registry ID number in row 4615 of the table for production class 2b.</t>
  </si>
  <si>
    <t>Enter the registry ID number in row 4616 of the table for production class 2b.</t>
  </si>
  <si>
    <t>Enter the registry ID number in row 4617 of the table for production class 2b.</t>
  </si>
  <si>
    <t>Enter the registry ID number in row 4618 of the table for production class 2b.</t>
  </si>
  <si>
    <t>Enter the registry ID number in row 4619 of the table for production class 2b.</t>
  </si>
  <si>
    <t>Enter the registry ID number in row 4620 of the table for production class 2b.</t>
  </si>
  <si>
    <t>Enter the registry ID number in row 4621 of the table for production class 2b.</t>
  </si>
  <si>
    <t>Enter the registry ID number in row 4622 of the table for production class 2b.</t>
  </si>
  <si>
    <t>Enter the registry ID number in row 4623 of the table for production class 2b.</t>
  </si>
  <si>
    <t>Enter the registry ID number in row 4624 of the table for production class 2b.</t>
  </si>
  <si>
    <t>Enter the registry ID number in row 4625 of the table for production class 2b.</t>
  </si>
  <si>
    <t>Enter the registry ID number in row 4626 of the table for production class 2b.</t>
  </si>
  <si>
    <t>Enter the registry ID number in row 4627 of the table for production class 2b.</t>
  </si>
  <si>
    <t>Enter the registry ID number in row 4628 of the table for production class 2b.</t>
  </si>
  <si>
    <t>Enter the registry ID number in row 4629 of the table for production class 2b.</t>
  </si>
  <si>
    <t>Enter the registry ID number in row 4630 of the table for production class 2b.</t>
  </si>
  <si>
    <t>Enter the registry ID number in row 4631 of the table for production class 2b.</t>
  </si>
  <si>
    <t>Enter the registry ID number in row 4632 of the table for production class 2b.</t>
  </si>
  <si>
    <t>Enter the registry ID number in row 4633 of the table for production class 2b.</t>
  </si>
  <si>
    <t>Enter the registry ID number in row 4634 of the table for production class 2b.</t>
  </si>
  <si>
    <t>Enter the registry ID number in row 4635 of the table for production class 2b.</t>
  </si>
  <si>
    <t>Enter the registry ID number in row 4636 of the table for production class 2b.</t>
  </si>
  <si>
    <t>Enter the registry ID number in row 4637 of the table for production class 2b.</t>
  </si>
  <si>
    <t>Enter the registry ID number in row 4638 of the table for production class 2b.</t>
  </si>
  <si>
    <t>Enter the registry ID number in row 4639 of the table for production class 2b.</t>
  </si>
  <si>
    <t>Enter the registry ID number in row 4640 of the table for production class 2b.</t>
  </si>
  <si>
    <t>Enter the registry ID number in row 4641 of the table for production class 2b.</t>
  </si>
  <si>
    <t>Enter the registry ID number in row 4642 of the table for production class 2b.</t>
  </si>
  <si>
    <t>Enter the registry ID number in row 4643 of the table for production class 2b.</t>
  </si>
  <si>
    <t>Enter the registry ID number in row 4644 of the table for production class 2b.</t>
  </si>
  <si>
    <t>Enter the registry ID number in row 4645 of the table for production class 2b.</t>
  </si>
  <si>
    <t>Enter the registry ID number in row 4646 of the table for production class 2b.</t>
  </si>
  <si>
    <t>Enter the registry ID number in row 4647 of the table for production class 2b.</t>
  </si>
  <si>
    <t>Enter the registry ID number in row 4648 of the table for production class 2b.</t>
  </si>
  <si>
    <t>Enter the registry ID number in row 4649 of the table for production class 2b.</t>
  </si>
  <si>
    <t>Enter the registry ID number in row 4650 of the table for production class 2b.</t>
  </si>
  <si>
    <t>Enter the registry ID number in row 4651 of the table for production class 2b.</t>
  </si>
  <si>
    <t>Enter the registry ID number in row 4652 of the table for production class 2b.</t>
  </si>
  <si>
    <t>Enter the registry ID number in row 4653 of the table for production class 2b.</t>
  </si>
  <si>
    <t>Enter the registry ID number in row 4654 of the table for production class 2b.</t>
  </si>
  <si>
    <t>Enter the registry ID number in row 4655 of the table for production class 2b.</t>
  </si>
  <si>
    <t>Enter the registry ID number in row 4656 of the table for production class 2b.</t>
  </si>
  <si>
    <t>Enter the registry ID number in row 4657 of the table for production class 2b.</t>
  </si>
  <si>
    <t>Enter the registry ID number in row 4658 of the table for production class 2b.</t>
  </si>
  <si>
    <t>Enter the registry ID number in row 4659 of the table for production class 2b.</t>
  </si>
  <si>
    <t>Enter the registry ID number in row 4660 of the table for production class 2b.</t>
  </si>
  <si>
    <t>Enter the registry ID number in row 4661 of the table for production class 2b.</t>
  </si>
  <si>
    <t>Enter the registry ID number in row 4662 of the table for production class 2b.</t>
  </si>
  <si>
    <t>Enter the registry ID number in row 4663 of the table for production class 2b.</t>
  </si>
  <si>
    <t>Enter the registry ID number in row 4664 of the table for production class 2b.</t>
  </si>
  <si>
    <t>Enter the registry ID number in row 4665 of the table for production class 2b.</t>
  </si>
  <si>
    <t>Enter the registry ID number in row 4666 of the table for production class 2b.</t>
  </si>
  <si>
    <t>Enter the registry ID number in row 4667 of the table for production class 2b.</t>
  </si>
  <si>
    <t>Enter the registry ID number in row 4668 of the table for production class 2b.</t>
  </si>
  <si>
    <t>Enter the registry ID number in row 4669 of the table for production class 2b.</t>
  </si>
  <si>
    <t>Enter the registry ID number in row 4670 of the table for production class 2b.</t>
  </si>
  <si>
    <t>Enter the registry ID number in row 4671 of the table for production class 2b.</t>
  </si>
  <si>
    <t>Enter the registry ID number in row 4672 of the table for production class 2b.</t>
  </si>
  <si>
    <t>Enter the registry ID number in row 4673 of the table for production class 2b.</t>
  </si>
  <si>
    <t>Enter the registry ID number in row 4674 of the table for production class 2b.</t>
  </si>
  <si>
    <t>Enter the registry ID number in row 4675 of the table for production class 2b.</t>
  </si>
  <si>
    <t>Enter the registry ID number in row 4676 of the table for production class 2b.</t>
  </si>
  <si>
    <t>Enter the registry ID number in row 4677 of the table for production class 2b.</t>
  </si>
  <si>
    <t>Enter the registry ID number in row 4678 of the table for production class 2b.</t>
  </si>
  <si>
    <t>Enter the registry ID number in row 4679 of the table for production class 2b.</t>
  </si>
  <si>
    <t>Enter the registry ID number in row 4680 of the table for production class 2b.</t>
  </si>
  <si>
    <t>Enter the registry ID number in row 4681 of the table for production class 2b.</t>
  </si>
  <si>
    <t>Enter the registry ID number in row 4682 of the table for production class 2b.</t>
  </si>
  <si>
    <t>Enter the registry ID number in row 4683 of the table for production class 2b.</t>
  </si>
  <si>
    <t>Enter the registry ID number in row 4684 of the table for production class 2b.</t>
  </si>
  <si>
    <t>Enter the registry ID number in row 4685 of the table for production class 2b.</t>
  </si>
  <si>
    <t>Enter the registry ID number in row 4686 of the table for production class 2b.</t>
  </si>
  <si>
    <t>Enter the registry ID number in row 4687 of the table for production class 2b.</t>
  </si>
  <si>
    <t>Enter the registry ID number in row 4688 of the table for production class 2b.</t>
  </si>
  <si>
    <t>Enter the registry ID number in row 4689 of the table for production class 2b.</t>
  </si>
  <si>
    <t>Enter the registry ID number in row 4690 of the table for production class 2b.</t>
  </si>
  <si>
    <t>Enter the registry ID number in row 4691 of the table for production class 2b.</t>
  </si>
  <si>
    <t>Enter the registry ID number in row 4692 of the table for production class 2b.</t>
  </si>
  <si>
    <t>Enter the registry ID number in row 4693 of the table for production class 2b.</t>
  </si>
  <si>
    <t>Enter the registry ID number in row 4694 of the table for production class 2b.</t>
  </si>
  <si>
    <t>Enter the registry ID number in row 4695 of the table for production class 2b.</t>
  </si>
  <si>
    <t>Enter the registry ID number in row 4696 of the table for production class 2b.</t>
  </si>
  <si>
    <t>Enter the registry ID number in row 4697 of the table for production class 2b.</t>
  </si>
  <si>
    <t>Enter the registry ID number in row 4698 of the table for production class 2b.</t>
  </si>
  <si>
    <t>Enter the registry ID number in row 4699 of the table for production class 2b.</t>
  </si>
  <si>
    <t>Enter the registry ID number in row 4700 of the table for production class 2b.</t>
  </si>
  <si>
    <t>Enter the registry ID number in row 4701 of the table for production class 2b.</t>
  </si>
  <si>
    <t>Enter the registry ID number in row 4702 of the table for production class 2b.</t>
  </si>
  <si>
    <t>Enter the registry ID number in row 4703 of the table for production class 2b.</t>
  </si>
  <si>
    <t>Enter the registry ID number in row 4704 of the table for production class 2b.</t>
  </si>
  <si>
    <t>Enter the registry ID number in row 4705 of the table for production class 2b.</t>
  </si>
  <si>
    <t>Enter the registry ID number in row 4706 of the table for production class 2b.</t>
  </si>
  <si>
    <t>Enter the registry ID number in row 4707 of the table for production class 2b.</t>
  </si>
  <si>
    <t>Enter the registry ID number in row 4708 of the table for production class 2b.</t>
  </si>
  <si>
    <t>Enter the registry ID number in row 4709 of the table for production class 2b.</t>
  </si>
  <si>
    <t>Enter the registry ID number in row 4710 of the table for production class 2b.</t>
  </si>
  <si>
    <t>Enter the registry ID number in row 4711 of the table for production class 2b.</t>
  </si>
  <si>
    <t>Enter the registry ID number in row 4712 of the table for production class 2b.</t>
  </si>
  <si>
    <t>Enter the registry ID number in row 4713 of the table for production class 2b.</t>
  </si>
  <si>
    <t>Enter the registry ID number in row 4714 of the table for production class 2b.</t>
  </si>
  <si>
    <t>Enter the registry ID number in row 4715 of the table for production class 2b.</t>
  </si>
  <si>
    <t>Enter the registry ID number in row 4716 of the table for production class 2b.</t>
  </si>
  <si>
    <t>Enter the registry ID number in row 4717 of the table for production class 2b.</t>
  </si>
  <si>
    <t>Enter the registry ID number in row 4718 of the table for production class 2b.</t>
  </si>
  <si>
    <t>Enter the registry ID number in row 4719 of the table for production class 2b.</t>
  </si>
  <si>
    <t>Enter the registry ID number in row 4720 of the table for production class 2b.</t>
  </si>
  <si>
    <t>Enter the registry ID number in row 4721 of the table for production class 2b.</t>
  </si>
  <si>
    <t>Enter the registry ID number in row 4722 of the table for production class 2b.</t>
  </si>
  <si>
    <t>Enter the registry ID number in row 4723 of the table for production class 2b.</t>
  </si>
  <si>
    <t>Enter the registry ID number in row 4724 of the table for production class 2b.</t>
  </si>
  <si>
    <t>Enter the registry ID number in row 4725 of the table for production class 2b.</t>
  </si>
  <si>
    <t>Enter the registry ID number in row 4726 of the table for production class 2b.</t>
  </si>
  <si>
    <t>Enter the registry ID number in row 4727 of the table for production class 2b.</t>
  </si>
  <si>
    <t>Enter the registry ID number in row 4728 of the table for production class 2b.</t>
  </si>
  <si>
    <t>Enter the registry ID number in row 4729 of the table for production class 2b.</t>
  </si>
  <si>
    <t>Enter the registry ID number in row 4730 of the table for production class 2b.</t>
  </si>
  <si>
    <t>Enter the registry ID number in row 4731 of the table for production class 2b.</t>
  </si>
  <si>
    <t>Enter the registry ID number in row 4732 of the table for production class 2b.</t>
  </si>
  <si>
    <t>Enter the registry ID number in row 4733 of the table for production class 2b.</t>
  </si>
  <si>
    <t>Enter the registry ID number in row 4734 of the table for production class 2b.</t>
  </si>
  <si>
    <t>Enter the registry ID number in row 4735 of the table for production class 2b.</t>
  </si>
  <si>
    <t>Enter the registry ID number in row 4736 of the table for production class 2b.</t>
  </si>
  <si>
    <t>Enter the registry ID number in row 4737 of the table for production class 2b.</t>
  </si>
  <si>
    <t>Enter the registry ID number in row 4738 of the table for production class 2b.</t>
  </si>
  <si>
    <t>Enter the registry ID number in row 4739 of the table for production class 2b.</t>
  </si>
  <si>
    <t>Enter the registry ID number in row 4740 of the table for production class 2b.</t>
  </si>
  <si>
    <t>Enter the registry ID number in row 4741 of the table for production class 2b.</t>
  </si>
  <si>
    <t>Enter the registry ID number in row 4742 of the table for production class 2b.</t>
  </si>
  <si>
    <t>Enter the registry ID number in row 4743 of the table for production class 2b.</t>
  </si>
  <si>
    <t>Enter the registry ID number in row 4744 of the table for production class 2b.</t>
  </si>
  <si>
    <t>Enter the registry ID number in row 4745 of the table for production class 2b.</t>
  </si>
  <si>
    <t>Enter the registry ID number in row 4746 of the table for production class 2b.</t>
  </si>
  <si>
    <t>Enter the registry ID number in row 4747 of the table for production class 2b.</t>
  </si>
  <si>
    <t>Enter the registry ID number in row 4748 of the table for production class 2b.</t>
  </si>
  <si>
    <t>Enter the registry ID number in row 4749 of the table for production class 2b.</t>
  </si>
  <si>
    <t>Enter the registry ID number in row 4750 of the table for production class 2b.</t>
  </si>
  <si>
    <t>Enter the registry ID number in row 4751 of the table for production class 2b.</t>
  </si>
  <si>
    <t>Enter the registry ID number in row 4752 of the table for production class 2b.</t>
  </si>
  <si>
    <t>Enter the registry ID number in row 4753 of the table for production class 2b.</t>
  </si>
  <si>
    <t>Enter the registry ID number in row 4754 of the table for production class 2b.</t>
  </si>
  <si>
    <t>Enter the registry ID number in row 4755 of the table for production class 2b.</t>
  </si>
  <si>
    <t>Enter the registry ID number in row 4756 of the table for production class 2b.</t>
  </si>
  <si>
    <t>Enter the registry ID number in row 4757 of the table for production class 2b.</t>
  </si>
  <si>
    <t>Enter the registry ID number in row 4758 of the table for production class 2b.</t>
  </si>
  <si>
    <t>Enter the registry ID number in row 4759 of the table for production class 2b.</t>
  </si>
  <si>
    <t>Enter the registry ID number in row 4760 of the table for production class 2b.</t>
  </si>
  <si>
    <t>Enter the registry ID number in row 4761 of the table for production class 2b.</t>
  </si>
  <si>
    <t>Enter the registry ID number in row 4762 of the table for production class 2b.</t>
  </si>
  <si>
    <t>Enter the registry ID number in row 4763 of the table for production class 2b.</t>
  </si>
  <si>
    <t>Enter the registry ID number in row 4764 of the table for production class 2b.</t>
  </si>
  <si>
    <t>Enter the registry ID number in row 4765 of the table for production class 2b.</t>
  </si>
  <si>
    <t>Enter the registry ID number in row 4766 of the table for production class 2b.</t>
  </si>
  <si>
    <t>Enter the registry ID number in row 4767 of the table for production class 2b.</t>
  </si>
  <si>
    <t>Enter the registry ID number in row 4768 of the table for production class 2b.</t>
  </si>
  <si>
    <t>Enter the registry ID number in row 4769 of the table for production class 2b.</t>
  </si>
  <si>
    <t>Enter the registry ID number in row 4770 of the table for production class 2b.</t>
  </si>
  <si>
    <t>Enter the registry ID number in row 4771 of the table for production class 2b.</t>
  </si>
  <si>
    <t>Enter the registry ID number in row 4772 of the table for production class 2b.</t>
  </si>
  <si>
    <t>Enter the registry ID number in row 4773 of the table for production class 2b.</t>
  </si>
  <si>
    <t>Enter the registry ID number in row 4774 of the table for production class 2b.</t>
  </si>
  <si>
    <t>Enter the registry ID number in row 4775 of the table for production class 2b.</t>
  </si>
  <si>
    <t>Enter the registry ID number in row 4776 of the table for production class 2b.</t>
  </si>
  <si>
    <t>Enter the registry ID number in row 4777 of the table for production class 2b.</t>
  </si>
  <si>
    <t>Enter the registry ID number in row 4778 of the table for production class 2b.</t>
  </si>
  <si>
    <t>Enter the registry ID number in row 4779 of the table for production class 2b.</t>
  </si>
  <si>
    <t>Enter the registry ID number in row 4780 of the table for production class 2b.</t>
  </si>
  <si>
    <t>Enter the registry ID number in row 4781 of the table for production class 2b.</t>
  </si>
  <si>
    <t>Enter the registry ID number in row 4782 of the table for production class 2b.</t>
  </si>
  <si>
    <t>Enter the registry ID number in row 4783 of the table for production class 2b.</t>
  </si>
  <si>
    <t>Enter the registry ID number in row 4784 of the table for production class 2b.</t>
  </si>
  <si>
    <t>Enter the registry ID number in row 4785 of the table for production class 2b.</t>
  </si>
  <si>
    <t>Enter the registry ID number in row 4786 of the table for production class 2b.</t>
  </si>
  <si>
    <t>Enter the registry ID number in row 4787 of the table for production class 2b.</t>
  </si>
  <si>
    <t>Enter the registry ID number in row 4788 of the table for production class 2b.</t>
  </si>
  <si>
    <t>Enter the registry ID number in row 4789 of the table for production class 2b.</t>
  </si>
  <si>
    <t>Enter the registry ID number in row 4790 of the table for production class 2b.</t>
  </si>
  <si>
    <t>Enter the registry ID number in row 4791 of the table for production class 2b.</t>
  </si>
  <si>
    <t>Enter the registry ID number in row 4792 of the table for production class 2b.</t>
  </si>
  <si>
    <t>Enter the registry ID number in row 4793 of the table for production class 2b.</t>
  </si>
  <si>
    <t>Enter the registry ID number in row 4794 of the table for production class 2b.</t>
  </si>
  <si>
    <t>Enter the registry ID number in row 4795 of the table for production class 2b.</t>
  </si>
  <si>
    <t>Enter the registry ID number in row 4796 of the table for production class 2b.</t>
  </si>
  <si>
    <t>Enter the registry ID number in row 4797 of the table for production class 2b.</t>
  </si>
  <si>
    <t>Enter the registry ID number in row 4798 of the table for production class 2b.</t>
  </si>
  <si>
    <t>Enter the registry ID number in row 4799 of the table for production class 2b.</t>
  </si>
  <si>
    <t>Enter the registry ID number in row 4800 of the table for production class 2b.</t>
  </si>
  <si>
    <t>Enter the registry ID number in row 4801 of the table for production class 2b.</t>
  </si>
  <si>
    <t>Enter the registry ID number in row 4802 of the table for production class 2b.</t>
  </si>
  <si>
    <t>Enter the registry ID number in row 4803 of the table for production class 2b.</t>
  </si>
  <si>
    <t>Enter the registry ID number in row 4804 of the table for production class 2b.</t>
  </si>
  <si>
    <t>Enter the registry ID number in row 4805 of the table for production class 2b.</t>
  </si>
  <si>
    <t>Enter the registry ID number in row 4806 of the table for production class 2b.</t>
  </si>
  <si>
    <t>Enter the registry ID number in row 4807 of the table for production class 2b.</t>
  </si>
  <si>
    <t>Enter the registry ID number in row 4808 of the table for production class 2b.</t>
  </si>
  <si>
    <t>Enter the registry ID number in row 4809 of the table for production class 2b.</t>
  </si>
  <si>
    <t>Enter the registry ID number in row 4810 of the table for production class 2b.</t>
  </si>
  <si>
    <t>Enter the registry ID number in row 4811 of the table for production class 2b.</t>
  </si>
  <si>
    <t>Enter the registry ID number in row 4812 of the table for production class 2b.</t>
  </si>
  <si>
    <t>Enter the registry ID number in row 4813 of the table for production class 2b.</t>
  </si>
  <si>
    <t>Enter the registry ID number in row 4814 of the table for production class 2b.</t>
  </si>
  <si>
    <t>Enter the registry ID number in row 4815 of the table for production class 2b.</t>
  </si>
  <si>
    <t>Enter the registry ID number in row 4816 of the table for production class 2b.</t>
  </si>
  <si>
    <t>Enter the registry ID number in row 4817 of the table for production class 2b.</t>
  </si>
  <si>
    <t>Enter the registry ID number in row 4818 of the table for production class 2b.</t>
  </si>
  <si>
    <t>Enter the registry ID number in row 4819 of the table for production class 2b.</t>
  </si>
  <si>
    <t>Enter the registry ID number in row 4820 of the table for production class 2b.</t>
  </si>
  <si>
    <t>Enter the registry ID number in row 4821 of the table for production class 2b.</t>
  </si>
  <si>
    <t>Enter the registry ID number in row 4822 of the table for production class 2b.</t>
  </si>
  <si>
    <t>Enter the registry ID number in row 4823 of the table for production class 2b.</t>
  </si>
  <si>
    <t>Enter the registry ID number in row 4824 of the table for production class 2b.</t>
  </si>
  <si>
    <t>Enter the registry ID number in row 4825 of the table for production class 2b.</t>
  </si>
  <si>
    <t>Enter the registry ID number in row 4826 of the table for production class 2b.</t>
  </si>
  <si>
    <t>Enter the registry ID number in row 4827 of the table for production class 2b.</t>
  </si>
  <si>
    <t>Enter the registry ID number in row 4828 of the table for production class 2b.</t>
  </si>
  <si>
    <t>Enter the registry ID number in row 4829 of the table for production class 2b.</t>
  </si>
  <si>
    <t>Enter the registry ID number in row 4830 of the table for production class 2b.</t>
  </si>
  <si>
    <t>Enter the registry ID number in row 4831 of the table for production class 2b.</t>
  </si>
  <si>
    <t>Enter the registry ID number in row 4832 of the table for production class 2b.</t>
  </si>
  <si>
    <t>Enter the registry ID number in row 4833 of the table for production class 2b.</t>
  </si>
  <si>
    <t>Enter the registry ID number in row 4834 of the table for production class 2b.</t>
  </si>
  <si>
    <t>Enter the registry ID number in row 4835 of the table for production class 2b.</t>
  </si>
  <si>
    <t>Enter the registry ID number in row 4836 of the table for production class 2b.</t>
  </si>
  <si>
    <t>Enter the registry ID number in row 4837 of the table for production class 2b.</t>
  </si>
  <si>
    <t>Enter the registry ID number in row 4838 of the table for production class 2b.</t>
  </si>
  <si>
    <t>Enter the registry ID number in row 4839 of the table for production class 2b.</t>
  </si>
  <si>
    <t>Enter the registry ID number in row 4840 of the table for production class 2b.</t>
  </si>
  <si>
    <t>Enter the registry ID number in row 4841 of the table for production class 2b.</t>
  </si>
  <si>
    <t>Enter the registry ID number in row 4842 of the table for production class 2b.</t>
  </si>
  <si>
    <t>Enter the registry ID number in row 4843 of the table for production class 2b.</t>
  </si>
  <si>
    <t>Enter the registry ID number in row 4844 of the table for production class 2b.</t>
  </si>
  <si>
    <t>Enter the registry ID number in row 4845 of the table for production class 2b.</t>
  </si>
  <si>
    <t>Enter the registry ID number in row 4846 of the table for production class 2b.</t>
  </si>
  <si>
    <t>Enter the registry ID number in row 4847 of the table for production class 2b.</t>
  </si>
  <si>
    <t>Enter the registry ID number in row 4848 of the table for production class 2b.</t>
  </si>
  <si>
    <t>Enter the registry ID number in row 4849 of the table for production class 2b.</t>
  </si>
  <si>
    <t>Enter the registry ID number in row 4850 of the table for production class 2b.</t>
  </si>
  <si>
    <t>Enter the registry ID number in row 4851 of the table for production class 2b.</t>
  </si>
  <si>
    <t>Enter the registry ID number in row 4852 of the table for production class 2b.</t>
  </si>
  <si>
    <t>Enter the registry ID number in row 4853 of the table for production class 2b.</t>
  </si>
  <si>
    <t>Enter the registry ID number in row 4854 of the table for production class 2b.</t>
  </si>
  <si>
    <t>Enter the registry ID number in row 4855 of the table for production class 2b.</t>
  </si>
  <si>
    <t>Enter the registry ID number in row 4856 of the table for production class 2b.</t>
  </si>
  <si>
    <t>Enter the registry ID number in row 4857 of the table for production class 2b.</t>
  </si>
  <si>
    <t>Enter the registry ID number in row 4858 of the table for production class 2b.</t>
  </si>
  <si>
    <t>Enter the registry ID number in row 4859 of the table for production class 2b.</t>
  </si>
  <si>
    <t>Enter the registry ID number in row 4860 of the table for production class 2b.</t>
  </si>
  <si>
    <t>Enter the registry ID number in row 4861 of the table for production class 2b.</t>
  </si>
  <si>
    <t>Enter the registry ID number in row 4862 of the table for production class 2b.</t>
  </si>
  <si>
    <t>Enter the registry ID number in row 4863 of the table for production class 2b.</t>
  </si>
  <si>
    <t>Enter the registry ID number in row 4864 of the table for production class 2b.</t>
  </si>
  <si>
    <t>Enter the registry ID number in row 4865 of the table for production class 2b.</t>
  </si>
  <si>
    <t>Enter the registry ID number in row 4866 of the table for production class 2b.</t>
  </si>
  <si>
    <t>Enter the registry ID number in row 4867 of the table for production class 2b.</t>
  </si>
  <si>
    <t>Enter the registry ID number in row 4868 of the table for production class 2b.</t>
  </si>
  <si>
    <t>Enter the registry ID number in row 4869 of the table for production class 2b.</t>
  </si>
  <si>
    <t>Enter the registry ID number in row 4870 of the table for production class 2b.</t>
  </si>
  <si>
    <t>Enter the registry ID number in row 4871 of the table for production class 2b.</t>
  </si>
  <si>
    <t>Enter the registry ID number in row 4872 of the table for production class 2b.</t>
  </si>
  <si>
    <t>Enter the registry ID number in row 4873 of the table for production class 2b.</t>
  </si>
  <si>
    <t>Enter the registry ID number in row 4874 of the table for production class 2b.</t>
  </si>
  <si>
    <t>Enter the registry ID number in row 4875 of the table for production class 2b.</t>
  </si>
  <si>
    <t>Enter the registry ID number in row 4876 of the table for production class 2b.</t>
  </si>
  <si>
    <t>Enter the registry ID number in row 4877 of the table for production class 2b.</t>
  </si>
  <si>
    <t>Enter the registry ID number in row 4878 of the table for production class 2b.</t>
  </si>
  <si>
    <t>Enter the registry ID number in row 4879 of the table for production class 2b.</t>
  </si>
  <si>
    <t>Enter the registry ID number in row 4880 of the table for production class 2b.</t>
  </si>
  <si>
    <t>Enter the registry ID number in row 4881 of the table for production class 2b.</t>
  </si>
  <si>
    <t>Enter the registry ID number in row 4882 of the table for production class 2b.</t>
  </si>
  <si>
    <t>Enter the registry ID number in row 4883 of the table for production class 2b.</t>
  </si>
  <si>
    <t>Enter the registry ID number in row 4884 of the table for production class 2b.</t>
  </si>
  <si>
    <t>Enter the registry ID number in row 4885 of the table for production class 2b.</t>
  </si>
  <si>
    <t>Enter the registry ID number in row 4886 of the table for production class 2b.</t>
  </si>
  <si>
    <t>Enter the registry ID number in row 4887 of the table for production class 2b.</t>
  </si>
  <si>
    <t>Enter the registry ID number in row 4888 of the table for production class 2b.</t>
  </si>
  <si>
    <t>Enter the registry ID number in row 4889 of the table for production class 2b.</t>
  </si>
  <si>
    <t>Enter the registry ID number in row 4890 of the table for production class 2b.</t>
  </si>
  <si>
    <t>Enter the registry ID number in row 4891 of the table for production class 2b.</t>
  </si>
  <si>
    <t>Enter the registry ID number in row 4892 of the table for production class 2b.</t>
  </si>
  <si>
    <t>Enter the registry ID number in row 4893 of the table for production class 2b.</t>
  </si>
  <si>
    <t>Enter the registry ID number in row 4894 of the table for production class 2b.</t>
  </si>
  <si>
    <t>Enter the registry ID number in row 4895 of the table for production class 2b.</t>
  </si>
  <si>
    <t>Enter the registry ID number in row 4896 of the table for production class 2b.</t>
  </si>
  <si>
    <t>Enter the registry ID number in row 4897 of the table for production class 2b.</t>
  </si>
  <si>
    <t>Enter the registry ID number in row 4898 of the table for production class 2b.</t>
  </si>
  <si>
    <t>Enter the registry ID number in row 4899 of the table for production class 2b.</t>
  </si>
  <si>
    <t>Enter the registry ID number in row 4900 of the table for production class 2b.</t>
  </si>
  <si>
    <t>Enter the registry ID number in row 4901 of the table for production class 2b.</t>
  </si>
  <si>
    <t>Enter the registry ID number in row 4902 of the table for production class 2b.</t>
  </si>
  <si>
    <t>Enter the registry ID number in row 4903 of the table for production class 2b.</t>
  </si>
  <si>
    <t>Enter the registry ID number in row 4904 of the table for production class 2b.</t>
  </si>
  <si>
    <t>Enter the registry ID number in row 4905 of the table for production class 2b.</t>
  </si>
  <si>
    <t>Enter the registry ID number in row 4906 of the table for production class 2b.</t>
  </si>
  <si>
    <t>Enter the registry ID number in row 4907 of the table for production class 2b.</t>
  </si>
  <si>
    <t>Enter the registry ID number in row 4908 of the table for production class 2b.</t>
  </si>
  <si>
    <t>Enter the registry ID number in row 4909 of the table for production class 2b.</t>
  </si>
  <si>
    <t>Enter the registry ID number in row 4910 of the table for production class 2b.</t>
  </si>
  <si>
    <t>Enter the registry ID number in row 4911 of the table for production class 2b.</t>
  </si>
  <si>
    <t>Enter the registry ID number in row 4912 of the table for production class 2b.</t>
  </si>
  <si>
    <t>Enter the registry ID number in row 4913 of the table for production class 2b.</t>
  </si>
  <si>
    <t>Enter the registry ID number in row 4914 of the table for production class 2b.</t>
  </si>
  <si>
    <t>Enter the registry ID number in row 4915 of the table for production class 2b.</t>
  </si>
  <si>
    <t>Enter the registry ID number in row 4916 of the table for production class 2b.</t>
  </si>
  <si>
    <t>Enter the registry ID number in row 4917 of the table for production class 2b.</t>
  </si>
  <si>
    <t>Enter the registry ID number in row 4918 of the table for production class 2b.</t>
  </si>
  <si>
    <t>Enter the registry ID number in row 4919 of the table for production class 2b.</t>
  </si>
  <si>
    <t>Enter the registry ID number in row 4920 of the table for production class 2b.</t>
  </si>
  <si>
    <t>Enter the registry ID number in row 4921 of the table for production class 2b.</t>
  </si>
  <si>
    <t>Enter the registry ID number in row 4922 of the table for production class 2b.</t>
  </si>
  <si>
    <t>Enter the registry ID number in row 4923 of the table for production class 2b.</t>
  </si>
  <si>
    <t>Enter the registry ID number in row 4924 of the table for production class 2b.</t>
  </si>
  <si>
    <t>Enter the registry ID number in row 4925 of the table for production class 2b.</t>
  </si>
  <si>
    <t>Enter the registry ID number in row 4926 of the table for production class 2b.</t>
  </si>
  <si>
    <t>Enter the registry ID number in row 4927 of the table for production class 2b.</t>
  </si>
  <si>
    <t>Enter the registry ID number in row 4928 of the table for production class 2b.</t>
  </si>
  <si>
    <t>Enter the registry ID number in row 4929 of the table for production class 2b.</t>
  </si>
  <si>
    <t>Enter the registry ID number in row 4930 of the table for production class 2b.</t>
  </si>
  <si>
    <t>Enter the registry ID number in row 4931 of the table for production class 2b.</t>
  </si>
  <si>
    <t>Enter the registry ID number in row 4932 of the table for production class 2b.</t>
  </si>
  <si>
    <t>Enter the registry ID number in row 4933 of the table for production class 2b.</t>
  </si>
  <si>
    <t>Enter the registry ID number in row 4934 of the table for production class 2b.</t>
  </si>
  <si>
    <t>Enter the registry ID number in row 4935 of the table for production class 2b.</t>
  </si>
  <si>
    <t>Enter the registry ID number in row 4936 of the table for production class 2b.</t>
  </si>
  <si>
    <t>Enter the registry ID number in row 4937 of the table for production class 2b.</t>
  </si>
  <si>
    <t>Enter the registry ID number in row 4938 of the table for production class 2b.</t>
  </si>
  <si>
    <t>Enter the registry ID number in row 4939 of the table for production class 2b.</t>
  </si>
  <si>
    <t>Enter the registry ID number in row 4940 of the table for production class 2b.</t>
  </si>
  <si>
    <t>Enter the registry ID number in row 4941 of the table for production class 2b.</t>
  </si>
  <si>
    <t>Enter the registry ID number in row 4942 of the table for production class 2b.</t>
  </si>
  <si>
    <t>Enter the registry ID number in row 4943 of the table for production class 2b.</t>
  </si>
  <si>
    <t>Enter the registry ID number in row 4944 of the table for production class 2b.</t>
  </si>
  <si>
    <t>Enter the registry ID number in row 4945 of the table for production class 2b.</t>
  </si>
  <si>
    <t>Enter the registry ID number in row 4946 of the table for production class 2b.</t>
  </si>
  <si>
    <t>Enter the registry ID number in row 4947 of the table for production class 2b.</t>
  </si>
  <si>
    <t>Enter the registry ID number in row 4948 of the table for production class 2b.</t>
  </si>
  <si>
    <t>Enter the registry ID number in row 4949 of the table for production class 2b.</t>
  </si>
  <si>
    <t>Enter the registry ID number in row 4950 of the table for production class 2b.</t>
  </si>
  <si>
    <t>Enter the registry ID number in row 4951 of the table for production class 2b.</t>
  </si>
  <si>
    <t>Enter the registry ID number in row 4952 of the table for production class 2b.</t>
  </si>
  <si>
    <t>Enter the registry ID number in row 4953 of the table for production class 2b.</t>
  </si>
  <si>
    <t>Enter the registry ID number in row 4954 of the table for production class 2b.</t>
  </si>
  <si>
    <t>Enter the registry ID number in row 4955 of the table for production class 2b.</t>
  </si>
  <si>
    <t>Enter the registry ID number in row 4956 of the table for production class 2b.</t>
  </si>
  <si>
    <t>Enter the registry ID number in row 4957 of the table for production class 2b.</t>
  </si>
  <si>
    <t>Enter the registry ID number in row 4958 of the table for production class 2b.</t>
  </si>
  <si>
    <t>Enter the registry ID number in row 4959 of the table for production class 2b.</t>
  </si>
  <si>
    <t>Enter the registry ID number in row 4960 of the table for production class 2b.</t>
  </si>
  <si>
    <t>Enter the registry ID number in row 4961 of the table for production class 2b.</t>
  </si>
  <si>
    <t>Enter the registry ID number in row 4962 of the table for production class 2b.</t>
  </si>
  <si>
    <t>Enter the registry ID number in row 4963 of the table for production class 2b.</t>
  </si>
  <si>
    <t>Enter the registry ID number in row 4964 of the table for production class 2b.</t>
  </si>
  <si>
    <t>Enter the registry ID number in row 4965 of the table for production class 2b.</t>
  </si>
  <si>
    <t>Enter the registry ID number in row 4966 of the table for production class 2b.</t>
  </si>
  <si>
    <t>Enter the registry ID number in row 4967 of the table for production class 2b.</t>
  </si>
  <si>
    <t>Enter the registry ID number in row 4968 of the table for production class 2b.</t>
  </si>
  <si>
    <t>Enter the registry ID number in row 4969 of the table for production class 2b.</t>
  </si>
  <si>
    <t>Enter the registry ID number in row 4970 of the table for production class 2b.</t>
  </si>
  <si>
    <t>Enter the registry ID number in row 4971 of the table for production class 2b.</t>
  </si>
  <si>
    <t>Enter the registry ID number in row 4972 of the table for production class 2b.</t>
  </si>
  <si>
    <t>Enter the registry ID number in row 4973 of the table for production class 2b.</t>
  </si>
  <si>
    <t>Enter the registry ID number in row 4974 of the table for production class 2b.</t>
  </si>
  <si>
    <t>Enter the registry ID number in row 4975 of the table for production class 2b.</t>
  </si>
  <si>
    <t>Enter the registry ID number in row 4976 of the table for production class 2b.</t>
  </si>
  <si>
    <t>Enter the registry ID number in row 4977 of the table for production class 2b.</t>
  </si>
  <si>
    <t>Enter the registry ID number in row 4978 of the table for production class 2b.</t>
  </si>
  <si>
    <t>Enter the registry ID number in row 4979 of the table for production class 2b.</t>
  </si>
  <si>
    <t>Enter the registry ID number in row 4980 of the table for production class 2b.</t>
  </si>
  <si>
    <t>Enter the registry ID number in row 4981 of the table for production class 2b.</t>
  </si>
  <si>
    <t>Enter the registry ID number in row 4982 of the table for production class 2b.</t>
  </si>
  <si>
    <t>Enter the registry ID number in row 4983 of the table for production class 2b.</t>
  </si>
  <si>
    <t>Enter the registry ID number in row 4984 of the table for production class 2b.</t>
  </si>
  <si>
    <t>Enter the registry ID number in row 4985 of the table for production class 2b.</t>
  </si>
  <si>
    <t>Enter the registry ID number in row 4986 of the table for production class 2b.</t>
  </si>
  <si>
    <t>Enter the registry ID number in row 4987 of the table for production class 2b.</t>
  </si>
  <si>
    <t>Enter the registry ID number in row 4988 of the table for production class 2b.</t>
  </si>
  <si>
    <t>Enter the registry ID number in row 4989 of the table for production class 2b.</t>
  </si>
  <si>
    <t>Enter the registry ID number in row 4990 of the table for production class 2b.</t>
  </si>
  <si>
    <t>Enter the registry ID number in row 4991 of the table for production class 2b.</t>
  </si>
  <si>
    <t>Enter the registry ID number in row 4992 of the table for production class 2b.</t>
  </si>
  <si>
    <t>Enter the registry ID number in row 4993 of the table for production class 2b.</t>
  </si>
  <si>
    <t>Enter the registry ID number in row 4994 of the table for production class 2b.</t>
  </si>
  <si>
    <t>Enter the registry ID number in row 4995 of the table for production class 2b.</t>
  </si>
  <si>
    <t>Enter the registry ID number in row 4996 of the table for production class 2b.</t>
  </si>
  <si>
    <t>Enter the registry ID number in row 4997 of the table for production class 2b.</t>
  </si>
  <si>
    <t>Enter the registry ID number in row 4998 of the table for production class 2b.</t>
  </si>
  <si>
    <t>Enter the registry ID number in row 4999 of the table for production class 2b.</t>
  </si>
  <si>
    <t>Enter the registry ID number in row 5000 of the table for production class 2b.</t>
  </si>
  <si>
    <t>Enter the registry ID number in row 1 of the table for production class 3.</t>
  </si>
  <si>
    <t>Enter the registry ID number in row 2 of the table for production class 3.</t>
  </si>
  <si>
    <t>Enter the registry ID number in row 3 of the table for production class 3.</t>
  </si>
  <si>
    <t>Enter the registry ID number in row 4 of the table for production class 3.</t>
  </si>
  <si>
    <t>Enter the registry ID number in row 5 of the table for production class 3.</t>
  </si>
  <si>
    <t>Enter the registry ID number in row 6 of the table for production class 3.</t>
  </si>
  <si>
    <t>Enter the registry ID number in row 7 of the table for production class 3.</t>
  </si>
  <si>
    <t>Enter the registry ID number in row 8 of the table for production class 3.</t>
  </si>
  <si>
    <t>Enter the registry ID number in row 9 of the table for production class 3.</t>
  </si>
  <si>
    <t>Enter the registry ID number in row 10 of the table for production class 3.</t>
  </si>
  <si>
    <t>Enter the registry ID number in row 11 of the table for production class 3.</t>
  </si>
  <si>
    <t>Enter the registry ID number in row 12 of the table for production class 3.</t>
  </si>
  <si>
    <t>Enter the registry ID number in row 13 of the table for production class 3.</t>
  </si>
  <si>
    <t>Enter the registry ID number in row 14 of the table for production class 3.</t>
  </si>
  <si>
    <t>Enter the registry ID number in row 15 of the table for production class 3.</t>
  </si>
  <si>
    <t>Enter the registry ID number in row 16 of the table for production class 3.</t>
  </si>
  <si>
    <t>Enter the registry ID number in row 17 of the table for production class 3.</t>
  </si>
  <si>
    <t>Enter the registry ID number in row 18 of the table for production class 3.</t>
  </si>
  <si>
    <t>Enter the registry ID number in row 19 of the table for production class 3.</t>
  </si>
  <si>
    <t>Enter the registry ID number in row 20 of the table for production class 3.</t>
  </si>
  <si>
    <t>Enter the registry ID number in row 21 of the table for production class 3.</t>
  </si>
  <si>
    <t>Enter the registry ID number in row 22 of the table for production class 3.</t>
  </si>
  <si>
    <t>Enter the registry ID number in row 23 of the table for production class 3.</t>
  </si>
  <si>
    <t>Enter the registry ID number in row 24 of the table for production class 3.</t>
  </si>
  <si>
    <t>Enter the registry ID number in row 25 of the table for production class 3.</t>
  </si>
  <si>
    <t>Enter the registry ID number in row 26 of the table for production class 3.</t>
  </si>
  <si>
    <t>Enter the registry ID number in row 27 of the table for production class 3.</t>
  </si>
  <si>
    <t>Enter the registry ID number in row 28 of the table for production class 3.</t>
  </si>
  <si>
    <t>Enter the registry ID number in row 29 of the table for production class 3.</t>
  </si>
  <si>
    <t>Enter the registry ID number in row 30 of the table for production class 3.</t>
  </si>
  <si>
    <t>Enter the registry ID number in row 31 of the table for production class 3.</t>
  </si>
  <si>
    <t>Enter the registry ID number in row 32 of the table for production class 3.</t>
  </si>
  <si>
    <t>Enter the registry ID number in row 33 of the table for production class 3.</t>
  </si>
  <si>
    <t>Enter the registry ID number in row 34 of the table for production class 3.</t>
  </si>
  <si>
    <t>Enter the registry ID number in row 35 of the table for production class 3.</t>
  </si>
  <si>
    <t>Enter the registry ID number in row 36 of the table for production class 3.</t>
  </si>
  <si>
    <t>Enter the registry ID number in row 37 of the table for production class 3.</t>
  </si>
  <si>
    <t>Enter the registry ID number in row 38 of the table for production class 3.</t>
  </si>
  <si>
    <t>Enter the registry ID number in row 39 of the table for production class 3.</t>
  </si>
  <si>
    <t>Enter the registry ID number in row 40 of the table for production class 3.</t>
  </si>
  <si>
    <t>Enter the registry ID number in row 41 of the table for production class 3.</t>
  </si>
  <si>
    <t>Enter the registry ID number in row 42 of the table for production class 3.</t>
  </si>
  <si>
    <t>Enter the registry ID number in row 43 of the table for production class 3.</t>
  </si>
  <si>
    <t>Enter the registry ID number in row 44 of the table for production class 3.</t>
  </si>
  <si>
    <t>Enter the registry ID number in row 45 of the table for production class 3.</t>
  </si>
  <si>
    <t>Enter the registry ID number in row 46 of the table for production class 3.</t>
  </si>
  <si>
    <t>Enter the registry ID number in row 47 of the table for production class 3.</t>
  </si>
  <si>
    <t>Enter the registry ID number in row 48 of the table for production class 3.</t>
  </si>
  <si>
    <t>Enter the registry ID number in row 49 of the table for production class 3.</t>
  </si>
  <si>
    <t>Enter the registry ID number in row 50 of the table for production class 3.</t>
  </si>
  <si>
    <t>Enter the registry ID number in row 51 of the table for production class 3.</t>
  </si>
  <si>
    <t>Enter the registry ID number in row 52 of the table for production class 3.</t>
  </si>
  <si>
    <t>Enter the registry ID number in row 53 of the table for production class 3.</t>
  </si>
  <si>
    <t>Enter the registry ID number in row 54 of the table for production class 3.</t>
  </si>
  <si>
    <t>Enter the registry ID number in row 55 of the table for production class 3.</t>
  </si>
  <si>
    <t>Enter the registry ID number in row 56 of the table for production class 3.</t>
  </si>
  <si>
    <t>Enter the registry ID number in row 57 of the table for production class 3.</t>
  </si>
  <si>
    <t>Enter the registry ID number in row 58 of the table for production class 3.</t>
  </si>
  <si>
    <t>Enter the registry ID number in row 59 of the table for production class 3.</t>
  </si>
  <si>
    <t>Enter the registry ID number in row 60 of the table for production class 3.</t>
  </si>
  <si>
    <t>Enter the registry ID number in row 61 of the table for production class 3.</t>
  </si>
  <si>
    <t>Enter the registry ID number in row 62 of the table for production class 3.</t>
  </si>
  <si>
    <t>Enter the registry ID number in row 63 of the table for production class 3.</t>
  </si>
  <si>
    <t>Enter the registry ID number in row 64 of the table for production class 3.</t>
  </si>
  <si>
    <t>Enter the registry ID number in row 65 of the table for production class 3.</t>
  </si>
  <si>
    <t>Enter the registry ID number in row 66 of the table for production class 3.</t>
  </si>
  <si>
    <t>Enter the registry ID number in row 67 of the table for production class 3.</t>
  </si>
  <si>
    <t>Enter the registry ID number in row 68 of the table for production class 3.</t>
  </si>
  <si>
    <t>Enter the registry ID number in row 69 of the table for production class 3.</t>
  </si>
  <si>
    <t>Enter the registry ID number in row 70 of the table for production class 3.</t>
  </si>
  <si>
    <t>Enter the registry ID number in row 71 of the table for production class 3.</t>
  </si>
  <si>
    <t>Enter the registry ID number in row 72 of the table for production class 3.</t>
  </si>
  <si>
    <t>Enter the registry ID number in row 73 of the table for production class 3.</t>
  </si>
  <si>
    <t>Enter the registry ID number in row 74 of the table for production class 3.</t>
  </si>
  <si>
    <t>Enter the registry ID number in row 75 of the table for production class 3.</t>
  </si>
  <si>
    <t>Enter the registry ID number in row 76 of the table for production class 3.</t>
  </si>
  <si>
    <t>Enter the registry ID number in row 77 of the table for production class 3.</t>
  </si>
  <si>
    <t>Enter the registry ID number in row 78 of the table for production class 3.</t>
  </si>
  <si>
    <t>Enter the registry ID number in row 79 of the table for production class 3.</t>
  </si>
  <si>
    <t>Enter the registry ID number in row 80 of the table for production class 3.</t>
  </si>
  <si>
    <t>Enter the registry ID number in row 81 of the table for production class 3.</t>
  </si>
  <si>
    <t>Enter the registry ID number in row 82 of the table for production class 3.</t>
  </si>
  <si>
    <t>Enter the registry ID number in row 83 of the table for production class 3.</t>
  </si>
  <si>
    <t>Enter the registry ID number in row 84 of the table for production class 3.</t>
  </si>
  <si>
    <t>Enter the registry ID number in row 85 of the table for production class 3.</t>
  </si>
  <si>
    <t>Enter the registry ID number in row 86 of the table for production class 3.</t>
  </si>
  <si>
    <t>Enter the registry ID number in row 87 of the table for production class 3.</t>
  </si>
  <si>
    <t>Enter the registry ID number in row 88 of the table for production class 3.</t>
  </si>
  <si>
    <t>Enter the registry ID number in row 89 of the table for production class 3.</t>
  </si>
  <si>
    <t>Enter the registry ID number in row 90 of the table for production class 3.</t>
  </si>
  <si>
    <t>Enter the registry ID number in row 91 of the table for production class 3.</t>
  </si>
  <si>
    <t>Enter the registry ID number in row 92 of the table for production class 3.</t>
  </si>
  <si>
    <t>Enter the registry ID number in row 93 of the table for production class 3.</t>
  </si>
  <si>
    <t>Enter the registry ID number in row 94 of the table for production class 3.</t>
  </si>
  <si>
    <t>Enter the registry ID number in row 95 of the table for production class 3.</t>
  </si>
  <si>
    <t>Enter the registry ID number in row 96 of the table for production class 3.</t>
  </si>
  <si>
    <t>Enter the registry ID number in row 97 of the table for production class 3.</t>
  </si>
  <si>
    <t>Enter the registry ID number in row 98 of the table for production class 3.</t>
  </si>
  <si>
    <t>Enter the registry ID number in row 99 of the table for production class 3.</t>
  </si>
  <si>
    <t>Enter the registry ID number in row 100 of the table for production class 3.</t>
  </si>
  <si>
    <t>Enter the registry ID number in row 101 of the table for production class 3.</t>
  </si>
  <si>
    <t>Enter the registry ID number in row 102 of the table for production class 3.</t>
  </si>
  <si>
    <t>Enter the registry ID number in row 103 of the table for production class 3.</t>
  </si>
  <si>
    <t>Enter the registry ID number in row 104 of the table for production class 3.</t>
  </si>
  <si>
    <t>Enter the registry ID number in row 105 of the table for production class 3.</t>
  </si>
  <si>
    <t>Enter the registry ID number in row 106 of the table for production class 3.</t>
  </si>
  <si>
    <t>Enter the registry ID number in row 107 of the table for production class 3.</t>
  </si>
  <si>
    <t>Enter the registry ID number in row 108 of the table for production class 3.</t>
  </si>
  <si>
    <t>Enter the registry ID number in row 109 of the table for production class 3.</t>
  </si>
  <si>
    <t>Enter the registry ID number in row 110 of the table for production class 3.</t>
  </si>
  <si>
    <t>Enter the registry ID number in row 111 of the table for production class 3.</t>
  </si>
  <si>
    <t>Enter the registry ID number in row 112 of the table for production class 3.</t>
  </si>
  <si>
    <t>Enter the registry ID number in row 113 of the table for production class 3.</t>
  </si>
  <si>
    <t>Enter the registry ID number in row 114 of the table for production class 3.</t>
  </si>
  <si>
    <t>Enter the registry ID number in row 115 of the table for production class 3.</t>
  </si>
  <si>
    <t>Enter the registry ID number in row 116 of the table for production class 3.</t>
  </si>
  <si>
    <t>Enter the registry ID number in row 117 of the table for production class 3.</t>
  </si>
  <si>
    <t>Enter the registry ID number in row 118 of the table for production class 3.</t>
  </si>
  <si>
    <t>Enter the registry ID number in row 119 of the table for production class 3.</t>
  </si>
  <si>
    <t>Enter the registry ID number in row 120 of the table for production class 3.</t>
  </si>
  <si>
    <t>Enter the registry ID number in row 121 of the table for production class 3.</t>
  </si>
  <si>
    <t>Enter the registry ID number in row 122 of the table for production class 3.</t>
  </si>
  <si>
    <t>Enter the registry ID number in row 123 of the table for production class 3.</t>
  </si>
  <si>
    <t>Enter the registry ID number in row 124 of the table for production class 3.</t>
  </si>
  <si>
    <t>Enter the registry ID number in row 125 of the table for production class 3.</t>
  </si>
  <si>
    <t>Enter the registry ID number in row 126 of the table for production class 3.</t>
  </si>
  <si>
    <t>Enter the registry ID number in row 127 of the table for production class 3.</t>
  </si>
  <si>
    <t>Enter the registry ID number in row 128 of the table for production class 3.</t>
  </si>
  <si>
    <t>Enter the registry ID number in row 129 of the table for production class 3.</t>
  </si>
  <si>
    <t>Enter the registry ID number in row 130 of the table for production class 3.</t>
  </si>
  <si>
    <t>Enter the registry ID number in row 131 of the table for production class 3.</t>
  </si>
  <si>
    <t>Enter the registry ID number in row 132 of the table for production class 3.</t>
  </si>
  <si>
    <t>Enter the registry ID number in row 133 of the table for production class 3.</t>
  </si>
  <si>
    <t>Enter the registry ID number in row 134 of the table for production class 3.</t>
  </si>
  <si>
    <t>Enter the registry ID number in row 135 of the table for production class 3.</t>
  </si>
  <si>
    <t>Enter the registry ID number in row 136 of the table for production class 3.</t>
  </si>
  <si>
    <t>Enter the registry ID number in row 137 of the table for production class 3.</t>
  </si>
  <si>
    <t>Enter the registry ID number in row 138 of the table for production class 3.</t>
  </si>
  <si>
    <t>Enter the registry ID number in row 139 of the table for production class 3.</t>
  </si>
  <si>
    <t>Enter the registry ID number in row 140 of the table for production class 3.</t>
  </si>
  <si>
    <t>Enter the registry ID number in row 141 of the table for production class 3.</t>
  </si>
  <si>
    <t>Enter the registry ID number in row 142 of the table for production class 3.</t>
  </si>
  <si>
    <t>Enter the registry ID number in row 143 of the table for production class 3.</t>
  </si>
  <si>
    <t>Enter the registry ID number in row 144 of the table for production class 3.</t>
  </si>
  <si>
    <t>Enter the registry ID number in row 145 of the table for production class 3.</t>
  </si>
  <si>
    <t>Enter the registry ID number in row 146 of the table for production class 3.</t>
  </si>
  <si>
    <t>Enter the registry ID number in row 147 of the table for production class 3.</t>
  </si>
  <si>
    <t>Enter the registry ID number in row 148 of the table for production class 3.</t>
  </si>
  <si>
    <t>Enter the registry ID number in row 149 of the table for production class 3.</t>
  </si>
  <si>
    <t>Enter the registry ID number in row 150 of the table for production class 3.</t>
  </si>
  <si>
    <t>Enter the registry ID number in row 151 of the table for production class 3.</t>
  </si>
  <si>
    <t>Enter the registry ID number in row 152 of the table for production class 3.</t>
  </si>
  <si>
    <t>Enter the registry ID number in row 153 of the table for production class 3.</t>
  </si>
  <si>
    <t>Enter the registry ID number in row 154 of the table for production class 3.</t>
  </si>
  <si>
    <t>Enter the registry ID number in row 155 of the table for production class 3.</t>
  </si>
  <si>
    <t>Enter the registry ID number in row 156 of the table for production class 3.</t>
  </si>
  <si>
    <t>Enter the registry ID number in row 157 of the table for production class 3.</t>
  </si>
  <si>
    <t>Enter the registry ID number in row 158 of the table for production class 3.</t>
  </si>
  <si>
    <t>Enter the registry ID number in row 159 of the table for production class 3.</t>
  </si>
  <si>
    <t>Enter the registry ID number in row 160 of the table for production class 3.</t>
  </si>
  <si>
    <t>Enter the registry ID number in row 161 of the table for production class 3.</t>
  </si>
  <si>
    <t>Enter the registry ID number in row 162 of the table for production class 3.</t>
  </si>
  <si>
    <t>Enter the registry ID number in row 163 of the table for production class 3.</t>
  </si>
  <si>
    <t>Enter the registry ID number in row 164 of the table for production class 3.</t>
  </si>
  <si>
    <t>Enter the registry ID number in row 165 of the table for production class 3.</t>
  </si>
  <si>
    <t>Enter the registry ID number in row 166 of the table for production class 3.</t>
  </si>
  <si>
    <t>Enter the registry ID number in row 167 of the table for production class 3.</t>
  </si>
  <si>
    <t>Enter the registry ID number in row 168 of the table for production class 3.</t>
  </si>
  <si>
    <t>Enter the registry ID number in row 169 of the table for production class 3.</t>
  </si>
  <si>
    <t>Enter the registry ID number in row 170 of the table for production class 3.</t>
  </si>
  <si>
    <t>Enter the registry ID number in row 171 of the table for production class 3.</t>
  </si>
  <si>
    <t>Enter the registry ID number in row 172 of the table for production class 3.</t>
  </si>
  <si>
    <t>Enter the registry ID number in row 173 of the table for production class 3.</t>
  </si>
  <si>
    <t>Enter the registry ID number in row 174 of the table for production class 3.</t>
  </si>
  <si>
    <t>Enter the registry ID number in row 175 of the table for production class 3.</t>
  </si>
  <si>
    <t>Enter the registry ID number in row 176 of the table for production class 3.</t>
  </si>
  <si>
    <t>Enter the registry ID number in row 177 of the table for production class 3.</t>
  </si>
  <si>
    <t>Enter the registry ID number in row 178 of the table for production class 3.</t>
  </si>
  <si>
    <t>Enter the registry ID number in row 179 of the table for production class 3.</t>
  </si>
  <si>
    <t>Enter the registry ID number in row 180 of the table for production class 3.</t>
  </si>
  <si>
    <t>Enter the registry ID number in row 181 of the table for production class 3.</t>
  </si>
  <si>
    <t>Enter the registry ID number in row 182 of the table for production class 3.</t>
  </si>
  <si>
    <t>Enter the registry ID number in row 183 of the table for production class 3.</t>
  </si>
  <si>
    <t>Enter the registry ID number in row 184 of the table for production class 3.</t>
  </si>
  <si>
    <t>Enter the registry ID number in row 185 of the table for production class 3.</t>
  </si>
  <si>
    <t>Enter the registry ID number in row 186 of the table for production class 3.</t>
  </si>
  <si>
    <t>Enter the registry ID number in row 187 of the table for production class 3.</t>
  </si>
  <si>
    <t>Enter the registry ID number in row 188 of the table for production class 3.</t>
  </si>
  <si>
    <t>Enter the registry ID number in row 189 of the table for production class 3.</t>
  </si>
  <si>
    <t>Enter the registry ID number in row 190 of the table for production class 3.</t>
  </si>
  <si>
    <t>Enter the registry ID number in row 191 of the table for production class 3.</t>
  </si>
  <si>
    <t>Enter the registry ID number in row 192 of the table for production class 3.</t>
  </si>
  <si>
    <t>Enter the registry ID number in row 193 of the table for production class 3.</t>
  </si>
  <si>
    <t>Enter the registry ID number in row 194 of the table for production class 3.</t>
  </si>
  <si>
    <t>Enter the registry ID number in row 195 of the table for production class 3.</t>
  </si>
  <si>
    <t>Enter the registry ID number in row 196 of the table for production class 3.</t>
  </si>
  <si>
    <t>Enter the registry ID number in row 197 of the table for production class 3.</t>
  </si>
  <si>
    <t>Enter the registry ID number in row 198 of the table for production class 3.</t>
  </si>
  <si>
    <t>Enter the registry ID number in row 199 of the table for production class 3.</t>
  </si>
  <si>
    <t>Enter the registry ID number in row 200 of the table for production class 3.</t>
  </si>
  <si>
    <t>Enter the registry ID number in row 201 of the table for production class 3.</t>
  </si>
  <si>
    <t>Enter the registry ID number in row 202 of the table for production class 3.</t>
  </si>
  <si>
    <t>Enter the registry ID number in row 203 of the table for production class 3.</t>
  </si>
  <si>
    <t>Enter the registry ID number in row 204 of the table for production class 3.</t>
  </si>
  <si>
    <t>Enter the registry ID number in row 205 of the table for production class 3.</t>
  </si>
  <si>
    <t>Enter the registry ID number in row 206 of the table for production class 3.</t>
  </si>
  <si>
    <t>Enter the registry ID number in row 207 of the table for production class 3.</t>
  </si>
  <si>
    <t>Enter the registry ID number in row 208 of the table for production class 3.</t>
  </si>
  <si>
    <t>Enter the registry ID number in row 209 of the table for production class 3.</t>
  </si>
  <si>
    <t>Enter the registry ID number in row 210 of the table for production class 3.</t>
  </si>
  <si>
    <t>Enter the registry ID number in row 211 of the table for production class 3.</t>
  </si>
  <si>
    <t>Enter the registry ID number in row 212 of the table for production class 3.</t>
  </si>
  <si>
    <t>Enter the registry ID number in row 213 of the table for production class 3.</t>
  </si>
  <si>
    <t>Enter the registry ID number in row 214 of the table for production class 3.</t>
  </si>
  <si>
    <t>Enter the registry ID number in row 215 of the table for production class 3.</t>
  </si>
  <si>
    <t>Enter the registry ID number in row 216 of the table for production class 3.</t>
  </si>
  <si>
    <t>Enter the registry ID number in row 217 of the table for production class 3.</t>
  </si>
  <si>
    <t>Enter the registry ID number in row 218 of the table for production class 3.</t>
  </si>
  <si>
    <t>Enter the registry ID number in row 219 of the table for production class 3.</t>
  </si>
  <si>
    <t>Enter the registry ID number in row 220 of the table for production class 3.</t>
  </si>
  <si>
    <t>Enter the registry ID number in row 221 of the table for production class 3.</t>
  </si>
  <si>
    <t>Enter the registry ID number in row 222 of the table for production class 3.</t>
  </si>
  <si>
    <t>Enter the registry ID number in row 223 of the table for production class 3.</t>
  </si>
  <si>
    <t>Enter the registry ID number in row 224 of the table for production class 3.</t>
  </si>
  <si>
    <t>Enter the registry ID number in row 225 of the table for production class 3.</t>
  </si>
  <si>
    <t>Enter the registry ID number in row 226 of the table for production class 3.</t>
  </si>
  <si>
    <t>Enter the registry ID number in row 227 of the table for production class 3.</t>
  </si>
  <si>
    <t>Enter the registry ID number in row 228 of the table for production class 3.</t>
  </si>
  <si>
    <t>Enter the registry ID number in row 229 of the table for production class 3.</t>
  </si>
  <si>
    <t>Enter the registry ID number in row 230 of the table for production class 3.</t>
  </si>
  <si>
    <t>Enter the registry ID number in row 231 of the table for production class 3.</t>
  </si>
  <si>
    <t>Enter the registry ID number in row 232 of the table for production class 3.</t>
  </si>
  <si>
    <t>Enter the registry ID number in row 233 of the table for production class 3.</t>
  </si>
  <si>
    <t>Enter the registry ID number in row 234 of the table for production class 3.</t>
  </si>
  <si>
    <t>Enter the registry ID number in row 235 of the table for production class 3.</t>
  </si>
  <si>
    <t>Enter the registry ID number in row 236 of the table for production class 3.</t>
  </si>
  <si>
    <t>Enter the registry ID number in row 237 of the table for production class 3.</t>
  </si>
  <si>
    <t>Enter the registry ID number in row 238 of the table for production class 3.</t>
  </si>
  <si>
    <t>Enter the registry ID number in row 239 of the table for production class 3.</t>
  </si>
  <si>
    <t>Enter the registry ID number in row 240 of the table for production class 3.</t>
  </si>
  <si>
    <t>Enter the registry ID number in row 241 of the table for production class 3.</t>
  </si>
  <si>
    <t>Enter the registry ID number in row 242 of the table for production class 3.</t>
  </si>
  <si>
    <t>Enter the registry ID number in row 243 of the table for production class 3.</t>
  </si>
  <si>
    <t>Enter the registry ID number in row 244 of the table for production class 3.</t>
  </si>
  <si>
    <t>Enter the registry ID number in row 245 of the table for production class 3.</t>
  </si>
  <si>
    <t>Enter the registry ID number in row 246 of the table for production class 3.</t>
  </si>
  <si>
    <t>Enter the registry ID number in row 247 of the table for production class 3.</t>
  </si>
  <si>
    <t>Enter the registry ID number in row 248 of the table for production class 3.</t>
  </si>
  <si>
    <t>Enter the registry ID number in row 249 of the table for production class 3.</t>
  </si>
  <si>
    <t>Enter the registry ID number in row 250 of the table for production class 3.</t>
  </si>
  <si>
    <t>Enter the registry ID number in row 251 of the table for production class 3.</t>
  </si>
  <si>
    <t>Enter the registry ID number in row 252 of the table for production class 3.</t>
  </si>
  <si>
    <t>Enter the registry ID number in row 253 of the table for production class 3.</t>
  </si>
  <si>
    <t>Enter the registry ID number in row 254 of the table for production class 3.</t>
  </si>
  <si>
    <t>Enter the registry ID number in row 255 of the table for production class 3.</t>
  </si>
  <si>
    <t>Enter the registry ID number in row 256 of the table for production class 3.</t>
  </si>
  <si>
    <t>Enter the registry ID number in row 257 of the table for production class 3.</t>
  </si>
  <si>
    <t>Enter the registry ID number in row 258 of the table for production class 3.</t>
  </si>
  <si>
    <t>Enter the registry ID number in row 259 of the table for production class 3.</t>
  </si>
  <si>
    <t>Enter the registry ID number in row 260 of the table for production class 3.</t>
  </si>
  <si>
    <t>Enter the registry ID number in row 261 of the table for production class 3.</t>
  </si>
  <si>
    <t>Enter the registry ID number in row 262 of the table for production class 3.</t>
  </si>
  <si>
    <t>Enter the registry ID number in row 263 of the table for production class 3.</t>
  </si>
  <si>
    <t>Enter the registry ID number in row 264 of the table for production class 3.</t>
  </si>
  <si>
    <t>Enter the registry ID number in row 265 of the table for production class 3.</t>
  </si>
  <si>
    <t>Enter the registry ID number in row 266 of the table for production class 3.</t>
  </si>
  <si>
    <t>Enter the registry ID number in row 267 of the table for production class 3.</t>
  </si>
  <si>
    <t>Enter the registry ID number in row 268 of the table for production class 3.</t>
  </si>
  <si>
    <t>Enter the registry ID number in row 269 of the table for production class 3.</t>
  </si>
  <si>
    <t>Enter the registry ID number in row 270 of the table for production class 3.</t>
  </si>
  <si>
    <t>Enter the registry ID number in row 271 of the table for production class 3.</t>
  </si>
  <si>
    <t>Enter the registry ID number in row 272 of the table for production class 3.</t>
  </si>
  <si>
    <t>Enter the registry ID number in row 273 of the table for production class 3.</t>
  </si>
  <si>
    <t>Enter the registry ID number in row 274 of the table for production class 3.</t>
  </si>
  <si>
    <t>Enter the registry ID number in row 275 of the table for production class 3.</t>
  </si>
  <si>
    <t>Enter the registry ID number in row 276 of the table for production class 3.</t>
  </si>
  <si>
    <t>Enter the registry ID number in row 277 of the table for production class 3.</t>
  </si>
  <si>
    <t>Enter the registry ID number in row 278 of the table for production class 3.</t>
  </si>
  <si>
    <t>Enter the registry ID number in row 279 of the table for production class 3.</t>
  </si>
  <si>
    <t>Enter the registry ID number in row 280 of the table for production class 3.</t>
  </si>
  <si>
    <t>Enter the registry ID number in row 281 of the table for production class 3.</t>
  </si>
  <si>
    <t>Enter the registry ID number in row 282 of the table for production class 3.</t>
  </si>
  <si>
    <t>Enter the registry ID number in row 283 of the table for production class 3.</t>
  </si>
  <si>
    <t>Enter the registry ID number in row 284 of the table for production class 3.</t>
  </si>
  <si>
    <t>Enter the registry ID number in row 285 of the table for production class 3.</t>
  </si>
  <si>
    <t>Enter the registry ID number in row 286 of the table for production class 3.</t>
  </si>
  <si>
    <t>Enter the registry ID number in row 287 of the table for production class 3.</t>
  </si>
  <si>
    <t>Enter the registry ID number in row 288 of the table for production class 3.</t>
  </si>
  <si>
    <t>Enter the registry ID number in row 289 of the table for production class 3.</t>
  </si>
  <si>
    <t>Enter the registry ID number in row 290 of the table for production class 3.</t>
  </si>
  <si>
    <t>Enter the registry ID number in row 291 of the table for production class 3.</t>
  </si>
  <si>
    <t>Enter the registry ID number in row 292 of the table for production class 3.</t>
  </si>
  <si>
    <t>Enter the registry ID number in row 293 of the table for production class 3.</t>
  </si>
  <si>
    <t>Enter the registry ID number in row 294 of the table for production class 3.</t>
  </si>
  <si>
    <t>Enter the registry ID number in row 295 of the table for production class 3.</t>
  </si>
  <si>
    <t>Enter the registry ID number in row 296 of the table for production class 3.</t>
  </si>
  <si>
    <t>Enter the registry ID number in row 297 of the table for production class 3.</t>
  </si>
  <si>
    <t>Enter the registry ID number in row 298 of the table for production class 3.</t>
  </si>
  <si>
    <t>Enter the registry ID number in row 299 of the table for production class 3.</t>
  </si>
  <si>
    <t>Enter the registry ID number in row 300 of the table for production class 3.</t>
  </si>
  <si>
    <t>Enter the registry ID number in row 301 of the table for production class 3.</t>
  </si>
  <si>
    <t>Enter the registry ID number in row 302 of the table for production class 3.</t>
  </si>
  <si>
    <t>Enter the registry ID number in row 303 of the table for production class 3.</t>
  </si>
  <si>
    <t>Enter the registry ID number in row 304 of the table for production class 3.</t>
  </si>
  <si>
    <t>Enter the registry ID number in row 305 of the table for production class 3.</t>
  </si>
  <si>
    <t>Enter the registry ID number in row 306 of the table for production class 3.</t>
  </si>
  <si>
    <t>Enter the registry ID number in row 307 of the table for production class 3.</t>
  </si>
  <si>
    <t>Enter the registry ID number in row 308 of the table for production class 3.</t>
  </si>
  <si>
    <t>Enter the registry ID number in row 309 of the table for production class 3.</t>
  </si>
  <si>
    <t>Enter the registry ID number in row 310 of the table for production class 3.</t>
  </si>
  <si>
    <t>Enter the registry ID number in row 311 of the table for production class 3.</t>
  </si>
  <si>
    <t>Enter the registry ID number in row 312 of the table for production class 3.</t>
  </si>
  <si>
    <t>Enter the registry ID number in row 313 of the table for production class 3.</t>
  </si>
  <si>
    <t>Enter the registry ID number in row 314 of the table for production class 3.</t>
  </si>
  <si>
    <t>Enter the registry ID number in row 315 of the table for production class 3.</t>
  </si>
  <si>
    <t>Enter the registry ID number in row 316 of the table for production class 3.</t>
  </si>
  <si>
    <t>Enter the registry ID number in row 317 of the table for production class 3.</t>
  </si>
  <si>
    <t>Enter the registry ID number in row 318 of the table for production class 3.</t>
  </si>
  <si>
    <t>Enter the registry ID number in row 319 of the table for production class 3.</t>
  </si>
  <si>
    <t>Enter the registry ID number in row 320 of the table for production class 3.</t>
  </si>
  <si>
    <t>Enter the registry ID number in row 321 of the table for production class 3.</t>
  </si>
  <si>
    <t>Enter the registry ID number in row 322 of the table for production class 3.</t>
  </si>
  <si>
    <t>Enter the registry ID number in row 323 of the table for production class 3.</t>
  </si>
  <si>
    <t>Enter the registry ID number in row 324 of the table for production class 3.</t>
  </si>
  <si>
    <t>Enter the registry ID number in row 325 of the table for production class 3.</t>
  </si>
  <si>
    <t>Enter the registry ID number in row 326 of the table for production class 3.</t>
  </si>
  <si>
    <t>Enter the registry ID number in row 327 of the table for production class 3.</t>
  </si>
  <si>
    <t>Enter the registry ID number in row 328 of the table for production class 3.</t>
  </si>
  <si>
    <t>Enter the registry ID number in row 329 of the table for production class 3.</t>
  </si>
  <si>
    <t>Enter the registry ID number in row 330 of the table for production class 3.</t>
  </si>
  <si>
    <t>Enter the registry ID number in row 331 of the table for production class 3.</t>
  </si>
  <si>
    <t>Enter the registry ID number in row 332 of the table for production class 3.</t>
  </si>
  <si>
    <t>Enter the registry ID number in row 333 of the table for production class 3.</t>
  </si>
  <si>
    <t>Enter the registry ID number in row 334 of the table for production class 3.</t>
  </si>
  <si>
    <t>Enter the registry ID number in row 335 of the table for production class 3.</t>
  </si>
  <si>
    <t>Enter the registry ID number in row 336 of the table for production class 3.</t>
  </si>
  <si>
    <t>Enter the registry ID number in row 337 of the table for production class 3.</t>
  </si>
  <si>
    <t>Enter the registry ID number in row 338 of the table for production class 3.</t>
  </si>
  <si>
    <t>Enter the registry ID number in row 339 of the table for production class 3.</t>
  </si>
  <si>
    <t>Enter the registry ID number in row 340 of the table for production class 3.</t>
  </si>
  <si>
    <t>Enter the registry ID number in row 341 of the table for production class 3.</t>
  </si>
  <si>
    <t>Enter the registry ID number in row 342 of the table for production class 3.</t>
  </si>
  <si>
    <t>Enter the registry ID number in row 343 of the table for production class 3.</t>
  </si>
  <si>
    <t>Enter the registry ID number in row 344 of the table for production class 3.</t>
  </si>
  <si>
    <t>Enter the registry ID number in row 345 of the table for production class 3.</t>
  </si>
  <si>
    <t>Enter the registry ID number in row 346 of the table for production class 3.</t>
  </si>
  <si>
    <t>Enter the registry ID number in row 347 of the table for production class 3.</t>
  </si>
  <si>
    <t>Enter the registry ID number in row 348 of the table for production class 3.</t>
  </si>
  <si>
    <t>Enter the registry ID number in row 349 of the table for production class 3.</t>
  </si>
  <si>
    <t>Enter the registry ID number in row 350 of the table for production class 3.</t>
  </si>
  <si>
    <t>Enter the registry ID number in row 351 of the table for production class 3.</t>
  </si>
  <si>
    <t>Enter the registry ID number in row 352 of the table for production class 3.</t>
  </si>
  <si>
    <t>Enter the registry ID number in row 353 of the table for production class 3.</t>
  </si>
  <si>
    <t>Enter the registry ID number in row 354 of the table for production class 3.</t>
  </si>
  <si>
    <t>Enter the registry ID number in row 355 of the table for production class 3.</t>
  </si>
  <si>
    <t>Enter the registry ID number in row 356 of the table for production class 3.</t>
  </si>
  <si>
    <t>Enter the registry ID number in row 357 of the table for production class 3.</t>
  </si>
  <si>
    <t>Enter the registry ID number in row 358 of the table for production class 3.</t>
  </si>
  <si>
    <t>Enter the registry ID number in row 359 of the table for production class 3.</t>
  </si>
  <si>
    <t>Enter the registry ID number in row 360 of the table for production class 3.</t>
  </si>
  <si>
    <t>Enter the registry ID number in row 361 of the table for production class 3.</t>
  </si>
  <si>
    <t>Enter the registry ID number in row 362 of the table for production class 3.</t>
  </si>
  <si>
    <t>Enter the registry ID number in row 363 of the table for production class 3.</t>
  </si>
  <si>
    <t>Enter the registry ID number in row 364 of the table for production class 3.</t>
  </si>
  <si>
    <t>Enter the registry ID number in row 365 of the table for production class 3.</t>
  </si>
  <si>
    <t>Enter the registry ID number in row 366 of the table for production class 3.</t>
  </si>
  <si>
    <t>Enter the registry ID number in row 367 of the table for production class 3.</t>
  </si>
  <si>
    <t>Enter the registry ID number in row 368 of the table for production class 3.</t>
  </si>
  <si>
    <t>Enter the registry ID number in row 369 of the table for production class 3.</t>
  </si>
  <si>
    <t>Enter the registry ID number in row 370 of the table for production class 3.</t>
  </si>
  <si>
    <t>Enter the registry ID number in row 371 of the table for production class 3.</t>
  </si>
  <si>
    <t>Enter the registry ID number in row 372 of the table for production class 3.</t>
  </si>
  <si>
    <t>Enter the registry ID number in row 373 of the table for production class 3.</t>
  </si>
  <si>
    <t>Enter the registry ID number in row 374 of the table for production class 3.</t>
  </si>
  <si>
    <t>Enter the registry ID number in row 375 of the table for production class 3.</t>
  </si>
  <si>
    <t>Enter the registry ID number in row 376 of the table for production class 3.</t>
  </si>
  <si>
    <t>Enter the registry ID number in row 377 of the table for production class 3.</t>
  </si>
  <si>
    <t>Enter the registry ID number in row 378 of the table for production class 3.</t>
  </si>
  <si>
    <t>Enter the registry ID number in row 379 of the table for production class 3.</t>
  </si>
  <si>
    <t>Enter the registry ID number in row 380 of the table for production class 3.</t>
  </si>
  <si>
    <t>Enter the registry ID number in row 381 of the table for production class 3.</t>
  </si>
  <si>
    <t>Enter the registry ID number in row 382 of the table for production class 3.</t>
  </si>
  <si>
    <t>Enter the registry ID number in row 383 of the table for production class 3.</t>
  </si>
  <si>
    <t>Enter the registry ID number in row 384 of the table for production class 3.</t>
  </si>
  <si>
    <t>Enter the registry ID number in row 385 of the table for production class 3.</t>
  </si>
  <si>
    <t>Enter the registry ID number in row 386 of the table for production class 3.</t>
  </si>
  <si>
    <t>Enter the registry ID number in row 387 of the table for production class 3.</t>
  </si>
  <si>
    <t>Enter the registry ID number in row 388 of the table for production class 3.</t>
  </si>
  <si>
    <t>Enter the registry ID number in row 389 of the table for production class 3.</t>
  </si>
  <si>
    <t>Enter the registry ID number in row 390 of the table for production class 3.</t>
  </si>
  <si>
    <t>Enter the registry ID number in row 391 of the table for production class 3.</t>
  </si>
  <si>
    <t>Enter the registry ID number in row 392 of the table for production class 3.</t>
  </si>
  <si>
    <t>Enter the registry ID number in row 393 of the table for production class 3.</t>
  </si>
  <si>
    <t>Enter the registry ID number in row 394 of the table for production class 3.</t>
  </si>
  <si>
    <t>Enter the registry ID number in row 395 of the table for production class 3.</t>
  </si>
  <si>
    <t>Enter the registry ID number in row 396 of the table for production class 3.</t>
  </si>
  <si>
    <t>Enter the registry ID number in row 397 of the table for production class 3.</t>
  </si>
  <si>
    <t>Enter the registry ID number in row 398 of the table for production class 3.</t>
  </si>
  <si>
    <t>Enter the registry ID number in row 399 of the table for production class 3.</t>
  </si>
  <si>
    <t>Enter the registry ID number in row 400 of the table for production class 3.</t>
  </si>
  <si>
    <t>Enter the registry ID number in row 401 of the table for production class 3.</t>
  </si>
  <si>
    <t>Enter the registry ID number in row 402 of the table for production class 3.</t>
  </si>
  <si>
    <t>Enter the registry ID number in row 403 of the table for production class 3.</t>
  </si>
  <si>
    <t>Enter the registry ID number in row 404 of the table for production class 3.</t>
  </si>
  <si>
    <t>Enter the registry ID number in row 405 of the table for production class 3.</t>
  </si>
  <si>
    <t>Enter the registry ID number in row 406 of the table for production class 3.</t>
  </si>
  <si>
    <t>Enter the registry ID number in row 407 of the table for production class 3.</t>
  </si>
  <si>
    <t>Enter the registry ID number in row 408 of the table for production class 3.</t>
  </si>
  <si>
    <t>Enter the registry ID number in row 409 of the table for production class 3.</t>
  </si>
  <si>
    <t>Enter the registry ID number in row 410 of the table for production class 3.</t>
  </si>
  <si>
    <t>Enter the registry ID number in row 411 of the table for production class 3.</t>
  </si>
  <si>
    <t>Enter the registry ID number in row 412 of the table for production class 3.</t>
  </si>
  <si>
    <t>Enter the registry ID number in row 413 of the table for production class 3.</t>
  </si>
  <si>
    <t>Enter the registry ID number in row 414 of the table for production class 3.</t>
  </si>
  <si>
    <t>Enter the registry ID number in row 415 of the table for production class 3.</t>
  </si>
  <si>
    <t>Enter the registry ID number in row 416 of the table for production class 3.</t>
  </si>
  <si>
    <t>Enter the registry ID number in row 417 of the table for production class 3.</t>
  </si>
  <si>
    <t>Enter the registry ID number in row 418 of the table for production class 3.</t>
  </si>
  <si>
    <t>Enter the registry ID number in row 419 of the table for production class 3.</t>
  </si>
  <si>
    <t>Enter the registry ID number in row 420 of the table for production class 3.</t>
  </si>
  <si>
    <t>Enter the registry ID number in row 421 of the table for production class 3.</t>
  </si>
  <si>
    <t>Enter the registry ID number in row 422 of the table for production class 3.</t>
  </si>
  <si>
    <t>Enter the registry ID number in row 423 of the table for production class 3.</t>
  </si>
  <si>
    <t>Enter the registry ID number in row 424 of the table for production class 3.</t>
  </si>
  <si>
    <t>Enter the registry ID number in row 425 of the table for production class 3.</t>
  </si>
  <si>
    <t>Enter the registry ID number in row 426 of the table for production class 3.</t>
  </si>
  <si>
    <t>Enter the registry ID number in row 427 of the table for production class 3.</t>
  </si>
  <si>
    <t>Enter the registry ID number in row 428 of the table for production class 3.</t>
  </si>
  <si>
    <t>Enter the registry ID number in row 429 of the table for production class 3.</t>
  </si>
  <si>
    <t>Enter the registry ID number in row 430 of the table for production class 3.</t>
  </si>
  <si>
    <t>Enter the registry ID number in row 431 of the table for production class 3.</t>
  </si>
  <si>
    <t>Enter the registry ID number in row 432 of the table for production class 3.</t>
  </si>
  <si>
    <t>Enter the registry ID number in row 433 of the table for production class 3.</t>
  </si>
  <si>
    <t>Enter the registry ID number in row 434 of the table for production class 3.</t>
  </si>
  <si>
    <t>Enter the registry ID number in row 435 of the table for production class 3.</t>
  </si>
  <si>
    <t>Enter the registry ID number in row 436 of the table for production class 3.</t>
  </si>
  <si>
    <t>Enter the registry ID number in row 437 of the table for production class 3.</t>
  </si>
  <si>
    <t>Enter the registry ID number in row 438 of the table for production class 3.</t>
  </si>
  <si>
    <t>Enter the registry ID number in row 439 of the table for production class 3.</t>
  </si>
  <si>
    <t>Enter the registry ID number in row 440 of the table for production class 3.</t>
  </si>
  <si>
    <t>Enter the registry ID number in row 441 of the table for production class 3.</t>
  </si>
  <si>
    <t>Enter the registry ID number in row 442 of the table for production class 3.</t>
  </si>
  <si>
    <t>Enter the registry ID number in row 443 of the table for production class 3.</t>
  </si>
  <si>
    <t>Enter the registry ID number in row 444 of the table for production class 3.</t>
  </si>
  <si>
    <t>Enter the registry ID number in row 445 of the table for production class 3.</t>
  </si>
  <si>
    <t>Enter the registry ID number in row 446 of the table for production class 3.</t>
  </si>
  <si>
    <t>Enter the registry ID number in row 447 of the table for production class 3.</t>
  </si>
  <si>
    <t>Enter the registry ID number in row 448 of the table for production class 3.</t>
  </si>
  <si>
    <t>Enter the registry ID number in row 449 of the table for production class 3.</t>
  </si>
  <si>
    <t>Enter the registry ID number in row 450 of the table for production class 3.</t>
  </si>
  <si>
    <t>Enter the registry ID number in row 451 of the table for production class 3.</t>
  </si>
  <si>
    <t>Enter the registry ID number in row 452 of the table for production class 3.</t>
  </si>
  <si>
    <t>Enter the registry ID number in row 453 of the table for production class 3.</t>
  </si>
  <si>
    <t>Enter the registry ID number in row 454 of the table for production class 3.</t>
  </si>
  <si>
    <t>Enter the registry ID number in row 455 of the table for production class 3.</t>
  </si>
  <si>
    <t>Enter the registry ID number in row 456 of the table for production class 3.</t>
  </si>
  <si>
    <t>Enter the registry ID number in row 457 of the table for production class 3.</t>
  </si>
  <si>
    <t>Enter the registry ID number in row 458 of the table for production class 3.</t>
  </si>
  <si>
    <t>Enter the registry ID number in row 459 of the table for production class 3.</t>
  </si>
  <si>
    <t>Enter the registry ID number in row 460 of the table for production class 3.</t>
  </si>
  <si>
    <t>Enter the registry ID number in row 461 of the table for production class 3.</t>
  </si>
  <si>
    <t>Enter the registry ID number in row 462 of the table for production class 3.</t>
  </si>
  <si>
    <t>Enter the registry ID number in row 463 of the table for production class 3.</t>
  </si>
  <si>
    <t>Enter the registry ID number in row 464 of the table for production class 3.</t>
  </si>
  <si>
    <t>Enter the registry ID number in row 465 of the table for production class 3.</t>
  </si>
  <si>
    <t>Enter the registry ID number in row 466 of the table for production class 3.</t>
  </si>
  <si>
    <t>Enter the registry ID number in row 467 of the table for production class 3.</t>
  </si>
  <si>
    <t>Enter the registry ID number in row 468 of the table for production class 3.</t>
  </si>
  <si>
    <t>Enter the registry ID number in row 469 of the table for production class 3.</t>
  </si>
  <si>
    <t>Enter the registry ID number in row 470 of the table for production class 3.</t>
  </si>
  <si>
    <t>Enter the registry ID number in row 471 of the table for production class 3.</t>
  </si>
  <si>
    <t>Enter the registry ID number in row 472 of the table for production class 3.</t>
  </si>
  <si>
    <t>Enter the registry ID number in row 473 of the table for production class 3.</t>
  </si>
  <si>
    <t>Enter the registry ID number in row 474 of the table for production class 3.</t>
  </si>
  <si>
    <t>Enter the registry ID number in row 475 of the table for production class 3.</t>
  </si>
  <si>
    <t>Enter the registry ID number in row 476 of the table for production class 3.</t>
  </si>
  <si>
    <t>Enter the registry ID number in row 477 of the table for production class 3.</t>
  </si>
  <si>
    <t>Enter the registry ID number in row 478 of the table for production class 3.</t>
  </si>
  <si>
    <t>Enter the registry ID number in row 479 of the table for production class 3.</t>
  </si>
  <si>
    <t>Enter the registry ID number in row 480 of the table for production class 3.</t>
  </si>
  <si>
    <t>Enter the registry ID number in row 481 of the table for production class 3.</t>
  </si>
  <si>
    <t>Enter the registry ID number in row 482 of the table for production class 3.</t>
  </si>
  <si>
    <t>Enter the registry ID number in row 483 of the table for production class 3.</t>
  </si>
  <si>
    <t>Enter the registry ID number in row 484 of the table for production class 3.</t>
  </si>
  <si>
    <t>Enter the registry ID number in row 485 of the table for production class 3.</t>
  </si>
  <si>
    <t>Enter the registry ID number in row 486 of the table for production class 3.</t>
  </si>
  <si>
    <t>Enter the registry ID number in row 487 of the table for production class 3.</t>
  </si>
  <si>
    <t>Enter the registry ID number in row 488 of the table for production class 3.</t>
  </si>
  <si>
    <t>Enter the registry ID number in row 489 of the table for production class 3.</t>
  </si>
  <si>
    <t>Enter the registry ID number in row 490 of the table for production class 3.</t>
  </si>
  <si>
    <t>Enter the registry ID number in row 491 of the table for production class 3.</t>
  </si>
  <si>
    <t>Enter the registry ID number in row 492 of the table for production class 3.</t>
  </si>
  <si>
    <t>Enter the registry ID number in row 493 of the table for production class 3.</t>
  </si>
  <si>
    <t>Enter the registry ID number in row 494 of the table for production class 3.</t>
  </si>
  <si>
    <t>Enter the registry ID number in row 495 of the table for production class 3.</t>
  </si>
  <si>
    <t>Enter the registry ID number in row 496 of the table for production class 3.</t>
  </si>
  <si>
    <t>Enter the registry ID number in row 497 of the table for production class 3.</t>
  </si>
  <si>
    <t>Enter the registry ID number in row 498 of the table for production class 3.</t>
  </si>
  <si>
    <t>Enter the registry ID number in row 499 of the table for production class 3.</t>
  </si>
  <si>
    <t>Enter the registry ID number in row 500 of the table for production class 3.</t>
  </si>
  <si>
    <t>Enter the registry ID number in row 501 of the table for production class 3.</t>
  </si>
  <si>
    <t>Enter the registry ID number in row 502 of the table for production class 3.</t>
  </si>
  <si>
    <t>Enter the registry ID number in row 503 of the table for production class 3.</t>
  </si>
  <si>
    <t>Enter the registry ID number in row 504 of the table for production class 3.</t>
  </si>
  <si>
    <t>Enter the registry ID number in row 505 of the table for production class 3.</t>
  </si>
  <si>
    <t>Enter the registry ID number in row 506 of the table for production class 3.</t>
  </si>
  <si>
    <t>Enter the registry ID number in row 507 of the table for production class 3.</t>
  </si>
  <si>
    <t>Enter the registry ID number in row 508 of the table for production class 3.</t>
  </si>
  <si>
    <t>Enter the registry ID number in row 509 of the table for production class 3.</t>
  </si>
  <si>
    <t>Enter the registry ID number in row 510 of the table for production class 3.</t>
  </si>
  <si>
    <t>Enter the registry ID number in row 511 of the table for production class 3.</t>
  </si>
  <si>
    <t>Enter the registry ID number in row 512 of the table for production class 3.</t>
  </si>
  <si>
    <t>Enter the registry ID number in row 513 of the table for production class 3.</t>
  </si>
  <si>
    <t>Enter the registry ID number in row 514 of the table for production class 3.</t>
  </si>
  <si>
    <t>Enter the registry ID number in row 515 of the table for production class 3.</t>
  </si>
  <si>
    <t>Enter the registry ID number in row 516 of the table for production class 3.</t>
  </si>
  <si>
    <t>Enter the registry ID number in row 517 of the table for production class 3.</t>
  </si>
  <si>
    <t>Enter the registry ID number in row 518 of the table for production class 3.</t>
  </si>
  <si>
    <t>Enter the registry ID number in row 519 of the table for production class 3.</t>
  </si>
  <si>
    <t>Enter the registry ID number in row 520 of the table for production class 3.</t>
  </si>
  <si>
    <t>Enter the registry ID number in row 521 of the table for production class 3.</t>
  </si>
  <si>
    <t>Enter the registry ID number in row 522 of the table for production class 3.</t>
  </si>
  <si>
    <t>Enter the registry ID number in row 523 of the table for production class 3.</t>
  </si>
  <si>
    <t>Enter the registry ID number in row 524 of the table for production class 3.</t>
  </si>
  <si>
    <t>Enter the registry ID number in row 525 of the table for production class 3.</t>
  </si>
  <si>
    <t>Enter the registry ID number in row 526 of the table for production class 3.</t>
  </si>
  <si>
    <t>Enter the registry ID number in row 527 of the table for production class 3.</t>
  </si>
  <si>
    <t>Enter the registry ID number in row 528 of the table for production class 3.</t>
  </si>
  <si>
    <t>Enter the registry ID number in row 529 of the table for production class 3.</t>
  </si>
  <si>
    <t>Enter the registry ID number in row 530 of the table for production class 3.</t>
  </si>
  <si>
    <t>Enter the registry ID number in row 531 of the table for production class 3.</t>
  </si>
  <si>
    <t>Enter the registry ID number in row 532 of the table for production class 3.</t>
  </si>
  <si>
    <t>Enter the registry ID number in row 533 of the table for production class 3.</t>
  </si>
  <si>
    <t>Enter the registry ID number in row 534 of the table for production class 3.</t>
  </si>
  <si>
    <t>Enter the registry ID number in row 535 of the table for production class 3.</t>
  </si>
  <si>
    <t>Enter the registry ID number in row 536 of the table for production class 3.</t>
  </si>
  <si>
    <t>Enter the registry ID number in row 537 of the table for production class 3.</t>
  </si>
  <si>
    <t>Enter the registry ID number in row 538 of the table for production class 3.</t>
  </si>
  <si>
    <t>Enter the registry ID number in row 539 of the table for production class 3.</t>
  </si>
  <si>
    <t>Enter the registry ID number in row 540 of the table for production class 3.</t>
  </si>
  <si>
    <t>Enter the registry ID number in row 541 of the table for production class 3.</t>
  </si>
  <si>
    <t>Enter the registry ID number in row 542 of the table for production class 3.</t>
  </si>
  <si>
    <t>Enter the registry ID number in row 543 of the table for production class 3.</t>
  </si>
  <si>
    <t>Enter the registry ID number in row 544 of the table for production class 3.</t>
  </si>
  <si>
    <t>Enter the registry ID number in row 545 of the table for production class 3.</t>
  </si>
  <si>
    <t>Enter the registry ID number in row 546 of the table for production class 3.</t>
  </si>
  <si>
    <t>Enter the registry ID number in row 547 of the table for production class 3.</t>
  </si>
  <si>
    <t>Enter the registry ID number in row 548 of the table for production class 3.</t>
  </si>
  <si>
    <t>Enter the registry ID number in row 549 of the table for production class 3.</t>
  </si>
  <si>
    <t>Enter the registry ID number in row 550 of the table for production class 3.</t>
  </si>
  <si>
    <t>Enter the registry ID number in row 551 of the table for production class 3.</t>
  </si>
  <si>
    <t>Enter the registry ID number in row 552 of the table for production class 3.</t>
  </si>
  <si>
    <t>Enter the registry ID number in row 553 of the table for production class 3.</t>
  </si>
  <si>
    <t>Enter the registry ID number in row 554 of the table for production class 3.</t>
  </si>
  <si>
    <t>Enter the registry ID number in row 555 of the table for production class 3.</t>
  </si>
  <si>
    <t>Enter the registry ID number in row 556 of the table for production class 3.</t>
  </si>
  <si>
    <t>Enter the registry ID number in row 557 of the table for production class 3.</t>
  </si>
  <si>
    <t>Enter the registry ID number in row 558 of the table for production class 3.</t>
  </si>
  <si>
    <t>Enter the registry ID number in row 559 of the table for production class 3.</t>
  </si>
  <si>
    <t>Enter the registry ID number in row 560 of the table for production class 3.</t>
  </si>
  <si>
    <t>Enter the registry ID number in row 561 of the table for production class 3.</t>
  </si>
  <si>
    <t>Enter the registry ID number in row 562 of the table for production class 3.</t>
  </si>
  <si>
    <t>Enter the registry ID number in row 563 of the table for production class 3.</t>
  </si>
  <si>
    <t>Enter the registry ID number in row 564 of the table for production class 3.</t>
  </si>
  <si>
    <t>Enter the registry ID number in row 565 of the table for production class 3.</t>
  </si>
  <si>
    <t>Enter the registry ID number in row 566 of the table for production class 3.</t>
  </si>
  <si>
    <t>Enter the registry ID number in row 567 of the table for production class 3.</t>
  </si>
  <si>
    <t>Enter the registry ID number in row 568 of the table for production class 3.</t>
  </si>
  <si>
    <t>Enter the registry ID number in row 569 of the table for production class 3.</t>
  </si>
  <si>
    <t>Enter the registry ID number in row 570 of the table for production class 3.</t>
  </si>
  <si>
    <t>Enter the registry ID number in row 571 of the table for production class 3.</t>
  </si>
  <si>
    <t>Enter the registry ID number in row 572 of the table for production class 3.</t>
  </si>
  <si>
    <t>Enter the registry ID number in row 573 of the table for production class 3.</t>
  </si>
  <si>
    <t>Enter the registry ID number in row 574 of the table for production class 3.</t>
  </si>
  <si>
    <t>Enter the registry ID number in row 575 of the table for production class 3.</t>
  </si>
  <si>
    <t>Enter the registry ID number in row 576 of the table for production class 3.</t>
  </si>
  <si>
    <t>Enter the registry ID number in row 577 of the table for production class 3.</t>
  </si>
  <si>
    <t>Enter the registry ID number in row 578 of the table for production class 3.</t>
  </si>
  <si>
    <t>Enter the registry ID number in row 579 of the table for production class 3.</t>
  </si>
  <si>
    <t>Enter the registry ID number in row 580 of the table for production class 3.</t>
  </si>
  <si>
    <t>Enter the registry ID number in row 581 of the table for production class 3.</t>
  </si>
  <si>
    <t>Enter the registry ID number in row 582 of the table for production class 3.</t>
  </si>
  <si>
    <t>Enter the registry ID number in row 583 of the table for production class 3.</t>
  </si>
  <si>
    <t>Enter the registry ID number in row 584 of the table for production class 3.</t>
  </si>
  <si>
    <t>Enter the registry ID number in row 585 of the table for production class 3.</t>
  </si>
  <si>
    <t>Enter the registry ID number in row 586 of the table for production class 3.</t>
  </si>
  <si>
    <t>Enter the registry ID number in row 587 of the table for production class 3.</t>
  </si>
  <si>
    <t>Enter the registry ID number in row 588 of the table for production class 3.</t>
  </si>
  <si>
    <t>Enter the registry ID number in row 589 of the table for production class 3.</t>
  </si>
  <si>
    <t>Enter the registry ID number in row 590 of the table for production class 3.</t>
  </si>
  <si>
    <t>Enter the registry ID number in row 591 of the table for production class 3.</t>
  </si>
  <si>
    <t>Enter the registry ID number in row 592 of the table for production class 3.</t>
  </si>
  <si>
    <t>Enter the registry ID number in row 593 of the table for production class 3.</t>
  </si>
  <si>
    <t>Enter the registry ID number in row 594 of the table for production class 3.</t>
  </si>
  <si>
    <t>Enter the registry ID number in row 595 of the table for production class 3.</t>
  </si>
  <si>
    <t>Enter the registry ID number in row 596 of the table for production class 3.</t>
  </si>
  <si>
    <t>Enter the registry ID number in row 597 of the table for production class 3.</t>
  </si>
  <si>
    <t>Enter the registry ID number in row 598 of the table for production class 3.</t>
  </si>
  <si>
    <t>Enter the registry ID number in row 599 of the table for production class 3.</t>
  </si>
  <si>
    <t>Enter the registry ID number in row 600 of the table for production class 3.</t>
  </si>
  <si>
    <t>Enter the registry ID number in row 601 of the table for production class 3.</t>
  </si>
  <si>
    <t>Enter the registry ID number in row 602 of the table for production class 3.</t>
  </si>
  <si>
    <t>Enter the registry ID number in row 603 of the table for production class 3.</t>
  </si>
  <si>
    <t>Enter the registry ID number in row 604 of the table for production class 3.</t>
  </si>
  <si>
    <t>Enter the registry ID number in row 605 of the table for production class 3.</t>
  </si>
  <si>
    <t>Enter the registry ID number in row 606 of the table for production class 3.</t>
  </si>
  <si>
    <t>Enter the registry ID number in row 607 of the table for production class 3.</t>
  </si>
  <si>
    <t>Enter the registry ID number in row 608 of the table for production class 3.</t>
  </si>
  <si>
    <t>Enter the registry ID number in row 609 of the table for production class 3.</t>
  </si>
  <si>
    <t>Enter the registry ID number in row 610 of the table for production class 3.</t>
  </si>
  <si>
    <t>Enter the registry ID number in row 611 of the table for production class 3.</t>
  </si>
  <si>
    <t>Enter the registry ID number in row 612 of the table for production class 3.</t>
  </si>
  <si>
    <t>Enter the registry ID number in row 613 of the table for production class 3.</t>
  </si>
  <si>
    <t>Enter the registry ID number in row 614 of the table for production class 3.</t>
  </si>
  <si>
    <t>Enter the registry ID number in row 615 of the table for production class 3.</t>
  </si>
  <si>
    <t>Enter the registry ID number in row 616 of the table for production class 3.</t>
  </si>
  <si>
    <t>Enter the registry ID number in row 617 of the table for production class 3.</t>
  </si>
  <si>
    <t>Enter the registry ID number in row 618 of the table for production class 3.</t>
  </si>
  <si>
    <t>Enter the registry ID number in row 619 of the table for production class 3.</t>
  </si>
  <si>
    <t>Enter the registry ID number in row 620 of the table for production class 3.</t>
  </si>
  <si>
    <t>Enter the registry ID number in row 621 of the table for production class 3.</t>
  </si>
  <si>
    <t>Enter the registry ID number in row 622 of the table for production class 3.</t>
  </si>
  <si>
    <t>Enter the registry ID number in row 623 of the table for production class 3.</t>
  </si>
  <si>
    <t>Enter the registry ID number in row 624 of the table for production class 3.</t>
  </si>
  <si>
    <t>Enter the registry ID number in row 625 of the table for production class 3.</t>
  </si>
  <si>
    <t>Enter the registry ID number in row 626 of the table for production class 3.</t>
  </si>
  <si>
    <t>Enter the registry ID number in row 627 of the table for production class 3.</t>
  </si>
  <si>
    <t>Enter the registry ID number in row 628 of the table for production class 3.</t>
  </si>
  <si>
    <t>Enter the registry ID number in row 629 of the table for production class 3.</t>
  </si>
  <si>
    <t>Enter the registry ID number in row 630 of the table for production class 3.</t>
  </si>
  <si>
    <t>Enter the registry ID number in row 631 of the table for production class 3.</t>
  </si>
  <si>
    <t>Enter the registry ID number in row 632 of the table for production class 3.</t>
  </si>
  <si>
    <t>Enter the registry ID number in row 633 of the table for production class 3.</t>
  </si>
  <si>
    <t>Enter the registry ID number in row 634 of the table for production class 3.</t>
  </si>
  <si>
    <t>Enter the registry ID number in row 635 of the table for production class 3.</t>
  </si>
  <si>
    <t>Enter the registry ID number in row 636 of the table for production class 3.</t>
  </si>
  <si>
    <t>Enter the registry ID number in row 637 of the table for production class 3.</t>
  </si>
  <si>
    <t>Enter the registry ID number in row 638 of the table for production class 3.</t>
  </si>
  <si>
    <t>Enter the registry ID number in row 639 of the table for production class 3.</t>
  </si>
  <si>
    <t>Enter the registry ID number in row 640 of the table for production class 3.</t>
  </si>
  <si>
    <t>Enter the registry ID number in row 641 of the table for production class 3.</t>
  </si>
  <si>
    <t>Enter the registry ID number in row 642 of the table for production class 3.</t>
  </si>
  <si>
    <t>Enter the registry ID number in row 643 of the table for production class 3.</t>
  </si>
  <si>
    <t>Enter the registry ID number in row 644 of the table for production class 3.</t>
  </si>
  <si>
    <t>Enter the registry ID number in row 645 of the table for production class 3.</t>
  </si>
  <si>
    <t>Enter the registry ID number in row 646 of the table for production class 3.</t>
  </si>
  <si>
    <t>Enter the registry ID number in row 647 of the table for production class 3.</t>
  </si>
  <si>
    <t>Enter the registry ID number in row 648 of the table for production class 3.</t>
  </si>
  <si>
    <t>Enter the registry ID number in row 649 of the table for production class 3.</t>
  </si>
  <si>
    <t>Enter the registry ID number in row 650 of the table for production class 3.</t>
  </si>
  <si>
    <t>Enter the registry ID number in row 651 of the table for production class 3.</t>
  </si>
  <si>
    <t>Enter the registry ID number in row 652 of the table for production class 3.</t>
  </si>
  <si>
    <t>Enter the registry ID number in row 653 of the table for production class 3.</t>
  </si>
  <si>
    <t>Enter the registry ID number in row 654 of the table for production class 3.</t>
  </si>
  <si>
    <t>Enter the registry ID number in row 655 of the table for production class 3.</t>
  </si>
  <si>
    <t>Enter the registry ID number in row 656 of the table for production class 3.</t>
  </si>
  <si>
    <t>Enter the registry ID number in row 657 of the table for production class 3.</t>
  </si>
  <si>
    <t>Enter the registry ID number in row 658 of the table for production class 3.</t>
  </si>
  <si>
    <t>Enter the registry ID number in row 659 of the table for production class 3.</t>
  </si>
  <si>
    <t>Enter the registry ID number in row 660 of the table for production class 3.</t>
  </si>
  <si>
    <t>Enter the registry ID number in row 661 of the table for production class 3.</t>
  </si>
  <si>
    <t>Enter the registry ID number in row 662 of the table for production class 3.</t>
  </si>
  <si>
    <t>Enter the registry ID number in row 663 of the table for production class 3.</t>
  </si>
  <si>
    <t>Enter the registry ID number in row 664 of the table for production class 3.</t>
  </si>
  <si>
    <t>Enter the registry ID number in row 665 of the table for production class 3.</t>
  </si>
  <si>
    <t>Enter the registry ID number in row 666 of the table for production class 3.</t>
  </si>
  <si>
    <t>Enter the registry ID number in row 667 of the table for production class 3.</t>
  </si>
  <si>
    <t>Enter the registry ID number in row 668 of the table for production class 3.</t>
  </si>
  <si>
    <t>Enter the registry ID number in row 669 of the table for production class 3.</t>
  </si>
  <si>
    <t>Enter the registry ID number in row 670 of the table for production class 3.</t>
  </si>
  <si>
    <t>Enter the registry ID number in row 671 of the table for production class 3.</t>
  </si>
  <si>
    <t>Enter the registry ID number in row 672 of the table for production class 3.</t>
  </si>
  <si>
    <t>Enter the registry ID number in row 673 of the table for production class 3.</t>
  </si>
  <si>
    <t>Enter the registry ID number in row 674 of the table for production class 3.</t>
  </si>
  <si>
    <t>Enter the registry ID number in row 675 of the table for production class 3.</t>
  </si>
  <si>
    <t>Enter the registry ID number in row 676 of the table for production class 3.</t>
  </si>
  <si>
    <t>Enter the registry ID number in row 677 of the table for production class 3.</t>
  </si>
  <si>
    <t>Enter the registry ID number in row 678 of the table for production class 3.</t>
  </si>
  <si>
    <t>Enter the registry ID number in row 679 of the table for production class 3.</t>
  </si>
  <si>
    <t>Enter the registry ID number in row 680 of the table for production class 3.</t>
  </si>
  <si>
    <t>Enter the registry ID number in row 681 of the table for production class 3.</t>
  </si>
  <si>
    <t>Enter the registry ID number in row 682 of the table for production class 3.</t>
  </si>
  <si>
    <t>Enter the registry ID number in row 683 of the table for production class 3.</t>
  </si>
  <si>
    <t>Enter the registry ID number in row 684 of the table for production class 3.</t>
  </si>
  <si>
    <t>Enter the registry ID number in row 685 of the table for production class 3.</t>
  </si>
  <si>
    <t>Enter the registry ID number in row 686 of the table for production class 3.</t>
  </si>
  <si>
    <t>Enter the registry ID number in row 687 of the table for production class 3.</t>
  </si>
  <si>
    <t>Enter the registry ID number in row 688 of the table for production class 3.</t>
  </si>
  <si>
    <t>Enter the registry ID number in row 689 of the table for production class 3.</t>
  </si>
  <si>
    <t>Enter the registry ID number in row 690 of the table for production class 3.</t>
  </si>
  <si>
    <t>Enter the registry ID number in row 691 of the table for production class 3.</t>
  </si>
  <si>
    <t>Enter the registry ID number in row 692 of the table for production class 3.</t>
  </si>
  <si>
    <t>Enter the registry ID number in row 693 of the table for production class 3.</t>
  </si>
  <si>
    <t>Enter the registry ID number in row 694 of the table for production class 3.</t>
  </si>
  <si>
    <t>Enter the registry ID number in row 695 of the table for production class 3.</t>
  </si>
  <si>
    <t>Enter the registry ID number in row 696 of the table for production class 3.</t>
  </si>
  <si>
    <t>Enter the registry ID number in row 697 of the table for production class 3.</t>
  </si>
  <si>
    <t>Enter the registry ID number in row 698 of the table for production class 3.</t>
  </si>
  <si>
    <t>Enter the registry ID number in row 699 of the table for production class 3.</t>
  </si>
  <si>
    <t>Enter the registry ID number in row 700 of the table for production class 3.</t>
  </si>
  <si>
    <t>Enter the registry ID number in row 701 of the table for production class 3.</t>
  </si>
  <si>
    <t>Enter the registry ID number in row 702 of the table for production class 3.</t>
  </si>
  <si>
    <t>Enter the registry ID number in row 703 of the table for production class 3.</t>
  </si>
  <si>
    <t>Enter the registry ID number in row 704 of the table for production class 3.</t>
  </si>
  <si>
    <t>Enter the registry ID number in row 705 of the table for production class 3.</t>
  </si>
  <si>
    <t>Enter the registry ID number in row 706 of the table for production class 3.</t>
  </si>
  <si>
    <t>Enter the registry ID number in row 707 of the table for production class 3.</t>
  </si>
  <si>
    <t>Enter the registry ID number in row 708 of the table for production class 3.</t>
  </si>
  <si>
    <t>Enter the registry ID number in row 709 of the table for production class 3.</t>
  </si>
  <si>
    <t>Enter the registry ID number in row 710 of the table for production class 3.</t>
  </si>
  <si>
    <t>Enter the registry ID number in row 711 of the table for production class 3.</t>
  </si>
  <si>
    <t>Enter the registry ID number in row 712 of the table for production class 3.</t>
  </si>
  <si>
    <t>Enter the registry ID number in row 713 of the table for production class 3.</t>
  </si>
  <si>
    <t>Enter the registry ID number in row 714 of the table for production class 3.</t>
  </si>
  <si>
    <t>Enter the registry ID number in row 715 of the table for production class 3.</t>
  </si>
  <si>
    <t>Enter the registry ID number in row 716 of the table for production class 3.</t>
  </si>
  <si>
    <t>Enter the registry ID number in row 717 of the table for production class 3.</t>
  </si>
  <si>
    <t>Enter the registry ID number in row 718 of the table for production class 3.</t>
  </si>
  <si>
    <t>Enter the registry ID number in row 719 of the table for production class 3.</t>
  </si>
  <si>
    <t>Enter the registry ID number in row 720 of the table for production class 3.</t>
  </si>
  <si>
    <t>Enter the registry ID number in row 721 of the table for production class 3.</t>
  </si>
  <si>
    <t>Enter the registry ID number in row 722 of the table for production class 3.</t>
  </si>
  <si>
    <t>Enter the registry ID number in row 723 of the table for production class 3.</t>
  </si>
  <si>
    <t>Enter the registry ID number in row 724 of the table for production class 3.</t>
  </si>
  <si>
    <t>Enter the registry ID number in row 725 of the table for production class 3.</t>
  </si>
  <si>
    <t>Enter the registry ID number in row 726 of the table for production class 3.</t>
  </si>
  <si>
    <t>Enter the registry ID number in row 727 of the table for production class 3.</t>
  </si>
  <si>
    <t>Enter the registry ID number in row 728 of the table for production class 3.</t>
  </si>
  <si>
    <t>Enter the registry ID number in row 729 of the table for production class 3.</t>
  </si>
  <si>
    <t>Enter the registry ID number in row 730 of the table for production class 3.</t>
  </si>
  <si>
    <t>Enter the registry ID number in row 731 of the table for production class 3.</t>
  </si>
  <si>
    <t>Enter the registry ID number in row 732 of the table for production class 3.</t>
  </si>
  <si>
    <t>Enter the registry ID number in row 733 of the table for production class 3.</t>
  </si>
  <si>
    <t>Enter the registry ID number in row 734 of the table for production class 3.</t>
  </si>
  <si>
    <t>Enter the registry ID number in row 735 of the table for production class 3.</t>
  </si>
  <si>
    <t>Enter the registry ID number in row 736 of the table for production class 3.</t>
  </si>
  <si>
    <t>Enter the registry ID number in row 737 of the table for production class 3.</t>
  </si>
  <si>
    <t>Enter the registry ID number in row 738 of the table for production class 3.</t>
  </si>
  <si>
    <t>Enter the registry ID number in row 739 of the table for production class 3.</t>
  </si>
  <si>
    <t>Enter the registry ID number in row 740 of the table for production class 3.</t>
  </si>
  <si>
    <t>Enter the registry ID number in row 741 of the table for production class 3.</t>
  </si>
  <si>
    <t>Enter the registry ID number in row 742 of the table for production class 3.</t>
  </si>
  <si>
    <t>Enter the registry ID number in row 743 of the table for production class 3.</t>
  </si>
  <si>
    <t>Enter the registry ID number in row 744 of the table for production class 3.</t>
  </si>
  <si>
    <t>Enter the registry ID number in row 745 of the table for production class 3.</t>
  </si>
  <si>
    <t>Enter the registry ID number in row 746 of the table for production class 3.</t>
  </si>
  <si>
    <t>Enter the registry ID number in row 747 of the table for production class 3.</t>
  </si>
  <si>
    <t>Enter the registry ID number in row 748 of the table for production class 3.</t>
  </si>
  <si>
    <t>Enter the registry ID number in row 749 of the table for production class 3.</t>
  </si>
  <si>
    <t>Enter the registry ID number in row 750 of the table for production class 3.</t>
  </si>
  <si>
    <t>Enter the registry ID number in row 751 of the table for production class 3.</t>
  </si>
  <si>
    <t>Enter the registry ID number in row 752 of the table for production class 3.</t>
  </si>
  <si>
    <t>Enter the registry ID number in row 753 of the table for production class 3.</t>
  </si>
  <si>
    <t>Enter the registry ID number in row 754 of the table for production class 3.</t>
  </si>
  <si>
    <t>Enter the registry ID number in row 755 of the table for production class 3.</t>
  </si>
  <si>
    <t>Enter the registry ID number in row 756 of the table for production class 3.</t>
  </si>
  <si>
    <t>Enter the registry ID number in row 757 of the table for production class 3.</t>
  </si>
  <si>
    <t>Enter the registry ID number in row 758 of the table for production class 3.</t>
  </si>
  <si>
    <t>Enter the registry ID number in row 759 of the table for production class 3.</t>
  </si>
  <si>
    <t>Enter the registry ID number in row 760 of the table for production class 3.</t>
  </si>
  <si>
    <t>Enter the registry ID number in row 761 of the table for production class 3.</t>
  </si>
  <si>
    <t>Enter the registry ID number in row 762 of the table for production class 3.</t>
  </si>
  <si>
    <t>Enter the registry ID number in row 763 of the table for production class 3.</t>
  </si>
  <si>
    <t>Enter the registry ID number in row 764 of the table for production class 3.</t>
  </si>
  <si>
    <t>Enter the registry ID number in row 765 of the table for production class 3.</t>
  </si>
  <si>
    <t>Enter the registry ID number in row 766 of the table for production class 3.</t>
  </si>
  <si>
    <t>Enter the registry ID number in row 767 of the table for production class 3.</t>
  </si>
  <si>
    <t>Enter the registry ID number in row 768 of the table for production class 3.</t>
  </si>
  <si>
    <t>Enter the registry ID number in row 769 of the table for production class 3.</t>
  </si>
  <si>
    <t>Enter the registry ID number in row 770 of the table for production class 3.</t>
  </si>
  <si>
    <t>Enter the registry ID number in row 771 of the table for production class 3.</t>
  </si>
  <si>
    <t>Enter the registry ID number in row 772 of the table for production class 3.</t>
  </si>
  <si>
    <t>Enter the registry ID number in row 773 of the table for production class 3.</t>
  </si>
  <si>
    <t>Enter the registry ID number in row 774 of the table for production class 3.</t>
  </si>
  <si>
    <t>Enter the registry ID number in row 775 of the table for production class 3.</t>
  </si>
  <si>
    <t>Enter the registry ID number in row 776 of the table for production class 3.</t>
  </si>
  <si>
    <t>Enter the registry ID number in row 777 of the table for production class 3.</t>
  </si>
  <si>
    <t>Enter the registry ID number in row 778 of the table for production class 3.</t>
  </si>
  <si>
    <t>Enter the registry ID number in row 779 of the table for production class 3.</t>
  </si>
  <si>
    <t>Enter the registry ID number in row 780 of the table for production class 3.</t>
  </si>
  <si>
    <t>Enter the registry ID number in row 781 of the table for production class 3.</t>
  </si>
  <si>
    <t>Enter the registry ID number in row 782 of the table for production class 3.</t>
  </si>
  <si>
    <t>Enter the registry ID number in row 783 of the table for production class 3.</t>
  </si>
  <si>
    <t>Enter the registry ID number in row 784 of the table for production class 3.</t>
  </si>
  <si>
    <t>Enter the registry ID number in row 785 of the table for production class 3.</t>
  </si>
  <si>
    <t>Enter the registry ID number in row 786 of the table for production class 3.</t>
  </si>
  <si>
    <t>Enter the registry ID number in row 787 of the table for production class 3.</t>
  </si>
  <si>
    <t>Enter the registry ID number in row 788 of the table for production class 3.</t>
  </si>
  <si>
    <t>Enter the registry ID number in row 789 of the table for production class 3.</t>
  </si>
  <si>
    <t>Enter the registry ID number in row 790 of the table for production class 3.</t>
  </si>
  <si>
    <t>Enter the registry ID number in row 791 of the table for production class 3.</t>
  </si>
  <si>
    <t>Enter the registry ID number in row 792 of the table for production class 3.</t>
  </si>
  <si>
    <t>Enter the registry ID number in row 793 of the table for production class 3.</t>
  </si>
  <si>
    <t>Enter the registry ID number in row 794 of the table for production class 3.</t>
  </si>
  <si>
    <t>Enter the registry ID number in row 795 of the table for production class 3.</t>
  </si>
  <si>
    <t>Enter the registry ID number in row 796 of the table for production class 3.</t>
  </si>
  <si>
    <t>Enter the registry ID number in row 797 of the table for production class 3.</t>
  </si>
  <si>
    <t>Enter the registry ID number in row 798 of the table for production class 3.</t>
  </si>
  <si>
    <t>Enter the registry ID number in row 799 of the table for production class 3.</t>
  </si>
  <si>
    <t>Enter the registry ID number in row 800 of the table for production class 3.</t>
  </si>
  <si>
    <t>Enter the registry ID number in row 801 of the table for production class 3.</t>
  </si>
  <si>
    <t>Enter the registry ID number in row 802 of the table for production class 3.</t>
  </si>
  <si>
    <t>Enter the registry ID number in row 803 of the table for production class 3.</t>
  </si>
  <si>
    <t>Enter the registry ID number in row 804 of the table for production class 3.</t>
  </si>
  <si>
    <t>Enter the registry ID number in row 805 of the table for production class 3.</t>
  </si>
  <si>
    <t>Enter the registry ID number in row 806 of the table for production class 3.</t>
  </si>
  <si>
    <t>Enter the registry ID number in row 807 of the table for production class 3.</t>
  </si>
  <si>
    <t>Enter the registry ID number in row 808 of the table for production class 3.</t>
  </si>
  <si>
    <t>Enter the registry ID number in row 809 of the table for production class 3.</t>
  </si>
  <si>
    <t>Enter the registry ID number in row 810 of the table for production class 3.</t>
  </si>
  <si>
    <t>Enter the registry ID number in row 811 of the table for production class 3.</t>
  </si>
  <si>
    <t>Enter the registry ID number in row 812 of the table for production class 3.</t>
  </si>
  <si>
    <t>Enter the registry ID number in row 813 of the table for production class 3.</t>
  </si>
  <si>
    <t>Enter the registry ID number in row 814 of the table for production class 3.</t>
  </si>
  <si>
    <t>Enter the registry ID number in row 815 of the table for production class 3.</t>
  </si>
  <si>
    <t>Enter the registry ID number in row 816 of the table for production class 3.</t>
  </si>
  <si>
    <t>Enter the registry ID number in row 817 of the table for production class 3.</t>
  </si>
  <si>
    <t>Enter the registry ID number in row 818 of the table for production class 3.</t>
  </si>
  <si>
    <t>Enter the registry ID number in row 819 of the table for production class 3.</t>
  </si>
  <si>
    <t>Enter the registry ID number in row 820 of the table for production class 3.</t>
  </si>
  <si>
    <t>Enter the registry ID number in row 821 of the table for production class 3.</t>
  </si>
  <si>
    <t>Enter the registry ID number in row 822 of the table for production class 3.</t>
  </si>
  <si>
    <t>Enter the registry ID number in row 823 of the table for production class 3.</t>
  </si>
  <si>
    <t>Enter the registry ID number in row 824 of the table for production class 3.</t>
  </si>
  <si>
    <t>Enter the registry ID number in row 825 of the table for production class 3.</t>
  </si>
  <si>
    <t>Enter the registry ID number in row 826 of the table for production class 3.</t>
  </si>
  <si>
    <t>Enter the registry ID number in row 827 of the table for production class 3.</t>
  </si>
  <si>
    <t>Enter the registry ID number in row 828 of the table for production class 3.</t>
  </si>
  <si>
    <t>Enter the registry ID number in row 829 of the table for production class 3.</t>
  </si>
  <si>
    <t>Enter the registry ID number in row 830 of the table for production class 3.</t>
  </si>
  <si>
    <t>Enter the registry ID number in row 831 of the table for production class 3.</t>
  </si>
  <si>
    <t>Enter the registry ID number in row 832 of the table for production class 3.</t>
  </si>
  <si>
    <t>Enter the registry ID number in row 833 of the table for production class 3.</t>
  </si>
  <si>
    <t>Enter the registry ID number in row 834 of the table for production class 3.</t>
  </si>
  <si>
    <t>Enter the registry ID number in row 835 of the table for production class 3.</t>
  </si>
  <si>
    <t>Enter the registry ID number in row 836 of the table for production class 3.</t>
  </si>
  <si>
    <t>Enter the registry ID number in row 837 of the table for production class 3.</t>
  </si>
  <si>
    <t>Enter the registry ID number in row 838 of the table for production class 3.</t>
  </si>
  <si>
    <t>Enter the registry ID number in row 839 of the table for production class 3.</t>
  </si>
  <si>
    <t>Enter the registry ID number in row 840 of the table for production class 3.</t>
  </si>
  <si>
    <t>Enter the registry ID number in row 841 of the table for production class 3.</t>
  </si>
  <si>
    <t>Enter the registry ID number in row 842 of the table for production class 3.</t>
  </si>
  <si>
    <t>Enter the registry ID number in row 843 of the table for production class 3.</t>
  </si>
  <si>
    <t>Enter the registry ID number in row 844 of the table for production class 3.</t>
  </si>
  <si>
    <t>Enter the registry ID number in row 845 of the table for production class 3.</t>
  </si>
  <si>
    <t>Enter the registry ID number in row 846 of the table for production class 3.</t>
  </si>
  <si>
    <t>Enter the registry ID number in row 847 of the table for production class 3.</t>
  </si>
  <si>
    <t>Enter the registry ID number in row 848 of the table for production class 3.</t>
  </si>
  <si>
    <t>Enter the registry ID number in row 849 of the table for production class 3.</t>
  </si>
  <si>
    <t>Enter the registry ID number in row 850 of the table for production class 3.</t>
  </si>
  <si>
    <t>Enter the registry ID number in row 851 of the table for production class 3.</t>
  </si>
  <si>
    <t>Enter the registry ID number in row 852 of the table for production class 3.</t>
  </si>
  <si>
    <t>Enter the registry ID number in row 853 of the table for production class 3.</t>
  </si>
  <si>
    <t>Enter the registry ID number in row 854 of the table for production class 3.</t>
  </si>
  <si>
    <t>Enter the registry ID number in row 855 of the table for production class 3.</t>
  </si>
  <si>
    <t>Enter the registry ID number in row 856 of the table for production class 3.</t>
  </si>
  <si>
    <t>Enter the registry ID number in row 857 of the table for production class 3.</t>
  </si>
  <si>
    <t>Enter the registry ID number in row 858 of the table for production class 3.</t>
  </si>
  <si>
    <t>Enter the registry ID number in row 859 of the table for production class 3.</t>
  </si>
  <si>
    <t>Enter the registry ID number in row 860 of the table for production class 3.</t>
  </si>
  <si>
    <t>Enter the registry ID number in row 861 of the table for production class 3.</t>
  </si>
  <si>
    <t>Enter the registry ID number in row 862 of the table for production class 3.</t>
  </si>
  <si>
    <t>Enter the registry ID number in row 863 of the table for production class 3.</t>
  </si>
  <si>
    <t>Enter the registry ID number in row 864 of the table for production class 3.</t>
  </si>
  <si>
    <t>Enter the registry ID number in row 865 of the table for production class 3.</t>
  </si>
  <si>
    <t>Enter the registry ID number in row 866 of the table for production class 3.</t>
  </si>
  <si>
    <t>Enter the registry ID number in row 867 of the table for production class 3.</t>
  </si>
  <si>
    <t>Enter the registry ID number in row 868 of the table for production class 3.</t>
  </si>
  <si>
    <t>Enter the registry ID number in row 869 of the table for production class 3.</t>
  </si>
  <si>
    <t>Enter the registry ID number in row 870 of the table for production class 3.</t>
  </si>
  <si>
    <t>Enter the registry ID number in row 871 of the table for production class 3.</t>
  </si>
  <si>
    <t>Enter the registry ID number in row 872 of the table for production class 3.</t>
  </si>
  <si>
    <t>Enter the registry ID number in row 873 of the table for production class 3.</t>
  </si>
  <si>
    <t>Enter the registry ID number in row 874 of the table for production class 3.</t>
  </si>
  <si>
    <t>Enter the registry ID number in row 875 of the table for production class 3.</t>
  </si>
  <si>
    <t>Enter the registry ID number in row 876 of the table for production class 3.</t>
  </si>
  <si>
    <t>Enter the registry ID number in row 877 of the table for production class 3.</t>
  </si>
  <si>
    <t>Enter the registry ID number in row 878 of the table for production class 3.</t>
  </si>
  <si>
    <t>Enter the registry ID number in row 879 of the table for production class 3.</t>
  </si>
  <si>
    <t>Enter the registry ID number in row 880 of the table for production class 3.</t>
  </si>
  <si>
    <t>Enter the registry ID number in row 881 of the table for production class 3.</t>
  </si>
  <si>
    <t>Enter the registry ID number in row 882 of the table for production class 3.</t>
  </si>
  <si>
    <t>Enter the registry ID number in row 883 of the table for production class 3.</t>
  </si>
  <si>
    <t>Enter the registry ID number in row 884 of the table for production class 3.</t>
  </si>
  <si>
    <t>Enter the registry ID number in row 885 of the table for production class 3.</t>
  </si>
  <si>
    <t>Enter the registry ID number in row 886 of the table for production class 3.</t>
  </si>
  <si>
    <t>Enter the registry ID number in row 887 of the table for production class 3.</t>
  </si>
  <si>
    <t>Enter the registry ID number in row 888 of the table for production class 3.</t>
  </si>
  <si>
    <t>Enter the registry ID number in row 889 of the table for production class 3.</t>
  </si>
  <si>
    <t>Enter the registry ID number in row 890 of the table for production class 3.</t>
  </si>
  <si>
    <t>Enter the registry ID number in row 891 of the table for production class 3.</t>
  </si>
  <si>
    <t>Enter the registry ID number in row 892 of the table for production class 3.</t>
  </si>
  <si>
    <t>Enter the registry ID number in row 893 of the table for production class 3.</t>
  </si>
  <si>
    <t>Enter the registry ID number in row 894 of the table for production class 3.</t>
  </si>
  <si>
    <t>Enter the registry ID number in row 895 of the table for production class 3.</t>
  </si>
  <si>
    <t>Enter the registry ID number in row 896 of the table for production class 3.</t>
  </si>
  <si>
    <t>Enter the registry ID number in row 897 of the table for production class 3.</t>
  </si>
  <si>
    <t>Enter the registry ID number in row 898 of the table for production class 3.</t>
  </si>
  <si>
    <t>Enter the registry ID number in row 899 of the table for production class 3.</t>
  </si>
  <si>
    <t>Enter the registry ID number in row 900 of the table for production class 3.</t>
  </si>
  <si>
    <t>Enter the registry ID number in row 901 of the table for production class 3.</t>
  </si>
  <si>
    <t>Enter the registry ID number in row 902 of the table for production class 3.</t>
  </si>
  <si>
    <t>Enter the registry ID number in row 903 of the table for production class 3.</t>
  </si>
  <si>
    <t>Enter the registry ID number in row 904 of the table for production class 3.</t>
  </si>
  <si>
    <t>Enter the registry ID number in row 905 of the table for production class 3.</t>
  </si>
  <si>
    <t>Enter the registry ID number in row 906 of the table for production class 3.</t>
  </si>
  <si>
    <t>Enter the registry ID number in row 907 of the table for production class 3.</t>
  </si>
  <si>
    <t>Enter the registry ID number in row 908 of the table for production class 3.</t>
  </si>
  <si>
    <t>Enter the registry ID number in row 909 of the table for production class 3.</t>
  </si>
  <si>
    <t>Enter the registry ID number in row 910 of the table for production class 3.</t>
  </si>
  <si>
    <t>Enter the registry ID number in row 911 of the table for production class 3.</t>
  </si>
  <si>
    <t>Enter the registry ID number in row 912 of the table for production class 3.</t>
  </si>
  <si>
    <t>Enter the registry ID number in row 913 of the table for production class 3.</t>
  </si>
  <si>
    <t>Enter the registry ID number in row 914 of the table for production class 3.</t>
  </si>
  <si>
    <t>Enter the registry ID number in row 915 of the table for production class 3.</t>
  </si>
  <si>
    <t>Enter the registry ID number in row 916 of the table for production class 3.</t>
  </si>
  <si>
    <t>Enter the registry ID number in row 917 of the table for production class 3.</t>
  </si>
  <si>
    <t>Enter the registry ID number in row 918 of the table for production class 3.</t>
  </si>
  <si>
    <t>Enter the registry ID number in row 919 of the table for production class 3.</t>
  </si>
  <si>
    <t>Enter the registry ID number in row 920 of the table for production class 3.</t>
  </si>
  <si>
    <t>Enter the registry ID number in row 921 of the table for production class 3.</t>
  </si>
  <si>
    <t>Enter the registry ID number in row 922 of the table for production class 3.</t>
  </si>
  <si>
    <t>Enter the registry ID number in row 923 of the table for production class 3.</t>
  </si>
  <si>
    <t>Enter the registry ID number in row 924 of the table for production class 3.</t>
  </si>
  <si>
    <t>Enter the registry ID number in row 925 of the table for production class 3.</t>
  </si>
  <si>
    <t>Enter the registry ID number in row 926 of the table for production class 3.</t>
  </si>
  <si>
    <t>Enter the registry ID number in row 927 of the table for production class 3.</t>
  </si>
  <si>
    <t>Enter the registry ID number in row 928 of the table for production class 3.</t>
  </si>
  <si>
    <t>Enter the registry ID number in row 929 of the table for production class 3.</t>
  </si>
  <si>
    <t>Enter the registry ID number in row 930 of the table for production class 3.</t>
  </si>
  <si>
    <t>Enter the registry ID number in row 931 of the table for production class 3.</t>
  </si>
  <si>
    <t>Enter the registry ID number in row 932 of the table for production class 3.</t>
  </si>
  <si>
    <t>Enter the registry ID number in row 933 of the table for production class 3.</t>
  </si>
  <si>
    <t>Enter the registry ID number in row 934 of the table for production class 3.</t>
  </si>
  <si>
    <t>Enter the registry ID number in row 935 of the table for production class 3.</t>
  </si>
  <si>
    <t>Enter the registry ID number in row 936 of the table for production class 3.</t>
  </si>
  <si>
    <t>Enter the registry ID number in row 937 of the table for production class 3.</t>
  </si>
  <si>
    <t>Enter the registry ID number in row 938 of the table for production class 3.</t>
  </si>
  <si>
    <t>Enter the registry ID number in row 939 of the table for production class 3.</t>
  </si>
  <si>
    <t>Enter the registry ID number in row 940 of the table for production class 3.</t>
  </si>
  <si>
    <t>Enter the registry ID number in row 941 of the table for production class 3.</t>
  </si>
  <si>
    <t>Enter the registry ID number in row 942 of the table for production class 3.</t>
  </si>
  <si>
    <t>Enter the registry ID number in row 943 of the table for production class 3.</t>
  </si>
  <si>
    <t>Enter the registry ID number in row 944 of the table for production class 3.</t>
  </si>
  <si>
    <t>Enter the registry ID number in row 945 of the table for production class 3.</t>
  </si>
  <si>
    <t>Enter the registry ID number in row 946 of the table for production class 3.</t>
  </si>
  <si>
    <t>Enter the registry ID number in row 947 of the table for production class 3.</t>
  </si>
  <si>
    <t>Enter the registry ID number in row 948 of the table for production class 3.</t>
  </si>
  <si>
    <t>Enter the registry ID number in row 949 of the table for production class 3.</t>
  </si>
  <si>
    <t>Enter the registry ID number in row 950 of the table for production class 3.</t>
  </si>
  <si>
    <t>Enter the registry ID number in row 951 of the table for production class 3.</t>
  </si>
  <si>
    <t>Enter the registry ID number in row 952 of the table for production class 3.</t>
  </si>
  <si>
    <t>Enter the registry ID number in row 953 of the table for production class 3.</t>
  </si>
  <si>
    <t>Enter the registry ID number in row 954 of the table for production class 3.</t>
  </si>
  <si>
    <t>Enter the registry ID number in row 955 of the table for production class 3.</t>
  </si>
  <si>
    <t>Enter the registry ID number in row 956 of the table for production class 3.</t>
  </si>
  <si>
    <t>Enter the registry ID number in row 957 of the table for production class 3.</t>
  </si>
  <si>
    <t>Enter the registry ID number in row 958 of the table for production class 3.</t>
  </si>
  <si>
    <t>Enter the registry ID number in row 959 of the table for production class 3.</t>
  </si>
  <si>
    <t>Enter the registry ID number in row 960 of the table for production class 3.</t>
  </si>
  <si>
    <t>Enter the registry ID number in row 961 of the table for production class 3.</t>
  </si>
  <si>
    <t>Enter the registry ID number in row 962 of the table for production class 3.</t>
  </si>
  <si>
    <t>Enter the registry ID number in row 963 of the table for production class 3.</t>
  </si>
  <si>
    <t>Enter the registry ID number in row 964 of the table for production class 3.</t>
  </si>
  <si>
    <t>Enter the registry ID number in row 965 of the table for production class 3.</t>
  </si>
  <si>
    <t>Enter the registry ID number in row 966 of the table for production class 3.</t>
  </si>
  <si>
    <t>Enter the registry ID number in row 967 of the table for production class 3.</t>
  </si>
  <si>
    <t>Enter the registry ID number in row 968 of the table for production class 3.</t>
  </si>
  <si>
    <t>Enter the registry ID number in row 969 of the table for production class 3.</t>
  </si>
  <si>
    <t>Enter the registry ID number in row 970 of the table for production class 3.</t>
  </si>
  <si>
    <t>Enter the registry ID number in row 971 of the table for production class 3.</t>
  </si>
  <si>
    <t>Enter the registry ID number in row 972 of the table for production class 3.</t>
  </si>
  <si>
    <t>Enter the registry ID number in row 973 of the table for production class 3.</t>
  </si>
  <si>
    <t>Enter the registry ID number in row 974 of the table for production class 3.</t>
  </si>
  <si>
    <t>Enter the registry ID number in row 975 of the table for production class 3.</t>
  </si>
  <si>
    <t>Enter the registry ID number in row 976 of the table for production class 3.</t>
  </si>
  <si>
    <t>Enter the registry ID number in row 977 of the table for production class 3.</t>
  </si>
  <si>
    <t>Enter the registry ID number in row 978 of the table for production class 3.</t>
  </si>
  <si>
    <t>Enter the registry ID number in row 979 of the table for production class 3.</t>
  </si>
  <si>
    <t>Enter the registry ID number in row 980 of the table for production class 3.</t>
  </si>
  <si>
    <t>Enter the registry ID number in row 981 of the table for production class 3.</t>
  </si>
  <si>
    <t>Enter the registry ID number in row 982 of the table for production class 3.</t>
  </si>
  <si>
    <t>Enter the registry ID number in row 983 of the table for production class 3.</t>
  </si>
  <si>
    <t>Enter the registry ID number in row 984 of the table for production class 3.</t>
  </si>
  <si>
    <t>Enter the registry ID number in row 985 of the table for production class 3.</t>
  </si>
  <si>
    <t>Enter the registry ID number in row 986 of the table for production class 3.</t>
  </si>
  <si>
    <t>Enter the registry ID number in row 987 of the table for production class 3.</t>
  </si>
  <si>
    <t>Enter the registry ID number in row 988 of the table for production class 3.</t>
  </si>
  <si>
    <t>Enter the registry ID number in row 989 of the table for production class 3.</t>
  </si>
  <si>
    <t>Enter the registry ID number in row 990 of the table for production class 3.</t>
  </si>
  <si>
    <t>Enter the registry ID number in row 991 of the table for production class 3.</t>
  </si>
  <si>
    <t>Enter the registry ID number in row 992 of the table for production class 3.</t>
  </si>
  <si>
    <t>Enter the registry ID number in row 993 of the table for production class 3.</t>
  </si>
  <si>
    <t>Enter the registry ID number in row 994 of the table for production class 3.</t>
  </si>
  <si>
    <t>Enter the registry ID number in row 995 of the table for production class 3.</t>
  </si>
  <si>
    <t>Enter the registry ID number in row 996 of the table for production class 3.</t>
  </si>
  <si>
    <t>Enter the registry ID number in row 997 of the table for production class 3.</t>
  </si>
  <si>
    <t>Enter the registry ID number in row 998 of the table for production class 3.</t>
  </si>
  <si>
    <t>Enter the registry ID number in row 999 of the table for production class 3.</t>
  </si>
  <si>
    <t>Enter the registry ID number in row 1000 of the table for production class 3.</t>
  </si>
  <si>
    <t>Enter the registry ID number in row 1001 of the table for production class 3.</t>
  </si>
  <si>
    <t>Enter the registry ID number in row 1002 of the table for production class 3.</t>
  </si>
  <si>
    <t>Enter the registry ID number in row 1003 of the table for production class 3.</t>
  </si>
  <si>
    <t>Enter the registry ID number in row 1004 of the table for production class 3.</t>
  </si>
  <si>
    <t>Enter the registry ID number in row 1005 of the table for production class 3.</t>
  </si>
  <si>
    <t>Enter the registry ID number in row 1006 of the table for production class 3.</t>
  </si>
  <si>
    <t>Enter the registry ID number in row 1007 of the table for production class 3.</t>
  </si>
  <si>
    <t>Enter the registry ID number in row 1008 of the table for production class 3.</t>
  </si>
  <si>
    <t>Enter the registry ID number in row 1009 of the table for production class 3.</t>
  </si>
  <si>
    <t>Enter the registry ID number in row 1010 of the table for production class 3.</t>
  </si>
  <si>
    <t>Enter the registry ID number in row 1011 of the table for production class 3.</t>
  </si>
  <si>
    <t>Enter the registry ID number in row 1012 of the table for production class 3.</t>
  </si>
  <si>
    <t>Enter the registry ID number in row 1013 of the table for production class 3.</t>
  </si>
  <si>
    <t>Enter the registry ID number in row 1014 of the table for production class 3.</t>
  </si>
  <si>
    <t>Enter the registry ID number in row 1015 of the table for production class 3.</t>
  </si>
  <si>
    <t>Enter the registry ID number in row 1016 of the table for production class 3.</t>
  </si>
  <si>
    <t>Enter the registry ID number in row 1017 of the table for production class 3.</t>
  </si>
  <si>
    <t>Enter the registry ID number in row 1018 of the table for production class 3.</t>
  </si>
  <si>
    <t>Enter the registry ID number in row 1019 of the table for production class 3.</t>
  </si>
  <si>
    <t>Enter the registry ID number in row 1020 of the table for production class 3.</t>
  </si>
  <si>
    <t>Enter the registry ID number in row 1021 of the table for production class 3.</t>
  </si>
  <si>
    <t>Enter the registry ID number in row 1022 of the table for production class 3.</t>
  </si>
  <si>
    <t>Enter the registry ID number in row 1023 of the table for production class 3.</t>
  </si>
  <si>
    <t>Enter the registry ID number in row 1024 of the table for production class 3.</t>
  </si>
  <si>
    <t>Enter the registry ID number in row 1025 of the table for production class 3.</t>
  </si>
  <si>
    <t>Enter the registry ID number in row 1026 of the table for production class 3.</t>
  </si>
  <si>
    <t>Enter the registry ID number in row 1027 of the table for production class 3.</t>
  </si>
  <si>
    <t>Enter the registry ID number in row 1028 of the table for production class 3.</t>
  </si>
  <si>
    <t>Enter the registry ID number in row 1029 of the table for production class 3.</t>
  </si>
  <si>
    <t>Enter the registry ID number in row 1030 of the table for production class 3.</t>
  </si>
  <si>
    <t>Enter the registry ID number in row 1031 of the table for production class 3.</t>
  </si>
  <si>
    <t>Enter the registry ID number in row 1032 of the table for production class 3.</t>
  </si>
  <si>
    <t>Enter the registry ID number in row 1033 of the table for production class 3.</t>
  </si>
  <si>
    <t>Enter the registry ID number in row 1034 of the table for production class 3.</t>
  </si>
  <si>
    <t>Enter the registry ID number in row 1035 of the table for production class 3.</t>
  </si>
  <si>
    <t>Enter the registry ID number in row 1036 of the table for production class 3.</t>
  </si>
  <si>
    <t>Enter the registry ID number in row 1037 of the table for production class 3.</t>
  </si>
  <si>
    <t>Enter the registry ID number in row 1038 of the table for production class 3.</t>
  </si>
  <si>
    <t>Enter the registry ID number in row 1039 of the table for production class 3.</t>
  </si>
  <si>
    <t>Enter the registry ID number in row 1040 of the table for production class 3.</t>
  </si>
  <si>
    <t>Enter the registry ID number in row 1041 of the table for production class 3.</t>
  </si>
  <si>
    <t>Enter the registry ID number in row 1042 of the table for production class 3.</t>
  </si>
  <si>
    <t>Enter the registry ID number in row 1043 of the table for production class 3.</t>
  </si>
  <si>
    <t>Enter the registry ID number in row 1044 of the table for production class 3.</t>
  </si>
  <si>
    <t>Enter the registry ID number in row 1045 of the table for production class 3.</t>
  </si>
  <si>
    <t>Enter the registry ID number in row 1046 of the table for production class 3.</t>
  </si>
  <si>
    <t>Enter the registry ID number in row 1047 of the table for production class 3.</t>
  </si>
  <si>
    <t>Enter the registry ID number in row 1048 of the table for production class 3.</t>
  </si>
  <si>
    <t>Enter the registry ID number in row 1049 of the table for production class 3.</t>
  </si>
  <si>
    <t>Enter the registry ID number in row 1050 of the table for production class 3.</t>
  </si>
  <si>
    <t>Enter the registry ID number in row 1051 of the table for production class 3.</t>
  </si>
  <si>
    <t>Enter the registry ID number in row 1052 of the table for production class 3.</t>
  </si>
  <si>
    <t>Enter the registry ID number in row 1053 of the table for production class 3.</t>
  </si>
  <si>
    <t>Enter the registry ID number in row 1054 of the table for production class 3.</t>
  </si>
  <si>
    <t>Enter the registry ID number in row 1055 of the table for production class 3.</t>
  </si>
  <si>
    <t>Enter the registry ID number in row 1056 of the table for production class 3.</t>
  </si>
  <si>
    <t>Enter the registry ID number in row 1057 of the table for production class 3.</t>
  </si>
  <si>
    <t>Enter the registry ID number in row 1058 of the table for production class 3.</t>
  </si>
  <si>
    <t>Enter the registry ID number in row 1059 of the table for production class 3.</t>
  </si>
  <si>
    <t>Enter the registry ID number in row 1060 of the table for production class 3.</t>
  </si>
  <si>
    <t>Enter the registry ID number in row 1061 of the table for production class 3.</t>
  </si>
  <si>
    <t>Enter the registry ID number in row 1062 of the table for production class 3.</t>
  </si>
  <si>
    <t>Enter the registry ID number in row 1063 of the table for production class 3.</t>
  </si>
  <si>
    <t>Enter the registry ID number in row 1064 of the table for production class 3.</t>
  </si>
  <si>
    <t>Enter the registry ID number in row 1065 of the table for production class 3.</t>
  </si>
  <si>
    <t>Enter the registry ID number in row 1066 of the table for production class 3.</t>
  </si>
  <si>
    <t>Enter the registry ID number in row 1067 of the table for production class 3.</t>
  </si>
  <si>
    <t>Enter the registry ID number in row 1068 of the table for production class 3.</t>
  </si>
  <si>
    <t>Enter the registry ID number in row 1069 of the table for production class 3.</t>
  </si>
  <si>
    <t>Enter the registry ID number in row 1070 of the table for production class 3.</t>
  </si>
  <si>
    <t>Enter the registry ID number in row 1071 of the table for production class 3.</t>
  </si>
  <si>
    <t>Enter the registry ID number in row 1072 of the table for production class 3.</t>
  </si>
  <si>
    <t>Enter the registry ID number in row 1073 of the table for production class 3.</t>
  </si>
  <si>
    <t>Enter the registry ID number in row 1074 of the table for production class 3.</t>
  </si>
  <si>
    <t>Enter the registry ID number in row 1075 of the table for production class 3.</t>
  </si>
  <si>
    <t>Enter the registry ID number in row 1076 of the table for production class 3.</t>
  </si>
  <si>
    <t>Enter the registry ID number in row 1077 of the table for production class 3.</t>
  </si>
  <si>
    <t>Enter the registry ID number in row 1078 of the table for production class 3.</t>
  </si>
  <si>
    <t>Enter the registry ID number in row 1079 of the table for production class 3.</t>
  </si>
  <si>
    <t>Enter the registry ID number in row 1080 of the table for production class 3.</t>
  </si>
  <si>
    <t>Enter the registry ID number in row 1081 of the table for production class 3.</t>
  </si>
  <si>
    <t>Enter the registry ID number in row 1082 of the table for production class 3.</t>
  </si>
  <si>
    <t>Enter the registry ID number in row 1083 of the table for production class 3.</t>
  </si>
  <si>
    <t>Enter the registry ID number in row 1084 of the table for production class 3.</t>
  </si>
  <si>
    <t>Enter the registry ID number in row 1085 of the table for production class 3.</t>
  </si>
  <si>
    <t>Enter the registry ID number in row 1086 of the table for production class 3.</t>
  </si>
  <si>
    <t>Enter the registry ID number in row 1087 of the table for production class 3.</t>
  </si>
  <si>
    <t>Enter the registry ID number in row 1088 of the table for production class 3.</t>
  </si>
  <si>
    <t>Enter the registry ID number in row 1089 of the table for production class 3.</t>
  </si>
  <si>
    <t>Enter the registry ID number in row 1090 of the table for production class 3.</t>
  </si>
  <si>
    <t>Enter the registry ID number in row 1091 of the table for production class 3.</t>
  </si>
  <si>
    <t>Enter the registry ID number in row 1092 of the table for production class 3.</t>
  </si>
  <si>
    <t>Enter the registry ID number in row 1093 of the table for production class 3.</t>
  </si>
  <si>
    <t>Enter the registry ID number in row 1094 of the table for production class 3.</t>
  </si>
  <si>
    <t>Enter the registry ID number in row 1095 of the table for production class 3.</t>
  </si>
  <si>
    <t>Enter the registry ID number in row 1096 of the table for production class 3.</t>
  </si>
  <si>
    <t>Enter the registry ID number in row 1097 of the table for production class 3.</t>
  </si>
  <si>
    <t>Enter the registry ID number in row 1098 of the table for production class 3.</t>
  </si>
  <si>
    <t>Enter the registry ID number in row 1099 of the table for production class 3.</t>
  </si>
  <si>
    <t>Enter the registry ID number in row 1100 of the table for production class 3.</t>
  </si>
  <si>
    <t>Enter the registry ID number in row 1101 of the table for production class 3.</t>
  </si>
  <si>
    <t>Enter the registry ID number in row 1102 of the table for production class 3.</t>
  </si>
  <si>
    <t>Enter the registry ID number in row 1103 of the table for production class 3.</t>
  </si>
  <si>
    <t>Enter the registry ID number in row 1104 of the table for production class 3.</t>
  </si>
  <si>
    <t>Enter the registry ID number in row 1105 of the table for production class 3.</t>
  </si>
  <si>
    <t>Enter the registry ID number in row 1106 of the table for production class 3.</t>
  </si>
  <si>
    <t>Enter the registry ID number in row 1107 of the table for production class 3.</t>
  </si>
  <si>
    <t>Enter the registry ID number in row 1108 of the table for production class 3.</t>
  </si>
  <si>
    <t>Enter the registry ID number in row 1109 of the table for production class 3.</t>
  </si>
  <si>
    <t>Enter the registry ID number in row 1110 of the table for production class 3.</t>
  </si>
  <si>
    <t>Enter the registry ID number in row 1111 of the table for production class 3.</t>
  </si>
  <si>
    <t>Enter the registry ID number in row 1112 of the table for production class 3.</t>
  </si>
  <si>
    <t>Enter the registry ID number in row 1113 of the table for production class 3.</t>
  </si>
  <si>
    <t>Enter the registry ID number in row 1114 of the table for production class 3.</t>
  </si>
  <si>
    <t>Enter the registry ID number in row 1115 of the table for production class 3.</t>
  </si>
  <si>
    <t>Enter the registry ID number in row 1116 of the table for production class 3.</t>
  </si>
  <si>
    <t>Enter the registry ID number in row 1117 of the table for production class 3.</t>
  </si>
  <si>
    <t>Enter the registry ID number in row 1118 of the table for production class 3.</t>
  </si>
  <si>
    <t>Enter the registry ID number in row 1119 of the table for production class 3.</t>
  </si>
  <si>
    <t>Enter the registry ID number in row 1120 of the table for production class 3.</t>
  </si>
  <si>
    <t>Enter the registry ID number in row 1121 of the table for production class 3.</t>
  </si>
  <si>
    <t>Enter the registry ID number in row 1122 of the table for production class 3.</t>
  </si>
  <si>
    <t>Enter the registry ID number in row 1123 of the table for production class 3.</t>
  </si>
  <si>
    <t>Enter the registry ID number in row 1124 of the table for production class 3.</t>
  </si>
  <si>
    <t>Enter the registry ID number in row 1125 of the table for production class 3.</t>
  </si>
  <si>
    <t>Enter the registry ID number in row 1126 of the table for production class 3.</t>
  </si>
  <si>
    <t>Enter the registry ID number in row 1127 of the table for production class 3.</t>
  </si>
  <si>
    <t>Enter the registry ID number in row 1128 of the table for production class 3.</t>
  </si>
  <si>
    <t>Enter the registry ID number in row 1129 of the table for production class 3.</t>
  </si>
  <si>
    <t>Enter the registry ID number in row 1130 of the table for production class 3.</t>
  </si>
  <si>
    <t>Enter the registry ID number in row 1131 of the table for production class 3.</t>
  </si>
  <si>
    <t>Enter the registry ID number in row 1132 of the table for production class 3.</t>
  </si>
  <si>
    <t>Enter the registry ID number in row 1133 of the table for production class 3.</t>
  </si>
  <si>
    <t>Enter the registry ID number in row 1134 of the table for production class 3.</t>
  </si>
  <si>
    <t>Enter the registry ID number in row 1135 of the table for production class 3.</t>
  </si>
  <si>
    <t>Enter the registry ID number in row 1136 of the table for production class 3.</t>
  </si>
  <si>
    <t>Enter the registry ID number in row 1137 of the table for production class 3.</t>
  </si>
  <si>
    <t>Enter the registry ID number in row 1138 of the table for production class 3.</t>
  </si>
  <si>
    <t>Enter the registry ID number in row 1139 of the table for production class 3.</t>
  </si>
  <si>
    <t>Enter the registry ID number in row 1140 of the table for production class 3.</t>
  </si>
  <si>
    <t>Enter the registry ID number in row 1141 of the table for production class 3.</t>
  </si>
  <si>
    <t>Enter the registry ID number in row 1142 of the table for production class 3.</t>
  </si>
  <si>
    <t>Enter the registry ID number in row 1143 of the table for production class 3.</t>
  </si>
  <si>
    <t>Enter the registry ID number in row 1144 of the table for production class 3.</t>
  </si>
  <si>
    <t>Enter the registry ID number in row 1145 of the table for production class 3.</t>
  </si>
  <si>
    <t>Enter the registry ID number in row 1146 of the table for production class 3.</t>
  </si>
  <si>
    <t>Enter the registry ID number in row 1147 of the table for production class 3.</t>
  </si>
  <si>
    <t>Enter the registry ID number in row 1148 of the table for production class 3.</t>
  </si>
  <si>
    <t>Enter the registry ID number in row 1149 of the table for production class 3.</t>
  </si>
  <si>
    <t>Enter the registry ID number in row 1150 of the table for production class 3.</t>
  </si>
  <si>
    <t>Enter the registry ID number in row 1151 of the table for production class 3.</t>
  </si>
  <si>
    <t>Enter the registry ID number in row 1152 of the table for production class 3.</t>
  </si>
  <si>
    <t>Enter the registry ID number in row 1153 of the table for production class 3.</t>
  </si>
  <si>
    <t>Enter the registry ID number in row 1154 of the table for production class 3.</t>
  </si>
  <si>
    <t>Enter the registry ID number in row 1155 of the table for production class 3.</t>
  </si>
  <si>
    <t>Enter the registry ID number in row 1156 of the table for production class 3.</t>
  </si>
  <si>
    <t>Enter the registry ID number in row 1157 of the table for production class 3.</t>
  </si>
  <si>
    <t>Enter the registry ID number in row 1158 of the table for production class 3.</t>
  </si>
  <si>
    <t>Enter the registry ID number in row 1159 of the table for production class 3.</t>
  </si>
  <si>
    <t>Enter the registry ID number in row 1160 of the table for production class 3.</t>
  </si>
  <si>
    <t>Enter the registry ID number in row 1161 of the table for production class 3.</t>
  </si>
  <si>
    <t>Enter the registry ID number in row 1162 of the table for production class 3.</t>
  </si>
  <si>
    <t>Enter the registry ID number in row 1163 of the table for production class 3.</t>
  </si>
  <si>
    <t>Enter the registry ID number in row 1164 of the table for production class 3.</t>
  </si>
  <si>
    <t>Enter the registry ID number in row 1165 of the table for production class 3.</t>
  </si>
  <si>
    <t>Enter the registry ID number in row 1166 of the table for production class 3.</t>
  </si>
  <si>
    <t>Enter the registry ID number in row 1167 of the table for production class 3.</t>
  </si>
  <si>
    <t>Enter the registry ID number in row 1168 of the table for production class 3.</t>
  </si>
  <si>
    <t>Enter the registry ID number in row 1169 of the table for production class 3.</t>
  </si>
  <si>
    <t>Enter the registry ID number in row 1170 of the table for production class 3.</t>
  </si>
  <si>
    <t>Enter the registry ID number in row 1171 of the table for production class 3.</t>
  </si>
  <si>
    <t>Enter the registry ID number in row 1172 of the table for production class 3.</t>
  </si>
  <si>
    <t>Enter the registry ID number in row 1173 of the table for production class 3.</t>
  </si>
  <si>
    <t>Enter the registry ID number in row 1174 of the table for production class 3.</t>
  </si>
  <si>
    <t>Enter the registry ID number in row 1175 of the table for production class 3.</t>
  </si>
  <si>
    <t>Enter the registry ID number in row 1176 of the table for production class 3.</t>
  </si>
  <si>
    <t>Enter the registry ID number in row 1177 of the table for production class 3.</t>
  </si>
  <si>
    <t>Enter the registry ID number in row 1178 of the table for production class 3.</t>
  </si>
  <si>
    <t>Enter the registry ID number in row 1179 of the table for production class 3.</t>
  </si>
  <si>
    <t>Enter the registry ID number in row 1180 of the table for production class 3.</t>
  </si>
  <si>
    <t>Enter the registry ID number in row 1181 of the table for production class 3.</t>
  </si>
  <si>
    <t>Enter the registry ID number in row 1182 of the table for production class 3.</t>
  </si>
  <si>
    <t>Enter the registry ID number in row 1183 of the table for production class 3.</t>
  </si>
  <si>
    <t>Enter the registry ID number in row 1184 of the table for production class 3.</t>
  </si>
  <si>
    <t>Enter the registry ID number in row 1185 of the table for production class 3.</t>
  </si>
  <si>
    <t>Enter the registry ID number in row 1186 of the table for production class 3.</t>
  </si>
  <si>
    <t>Enter the registry ID number in row 1187 of the table for production class 3.</t>
  </si>
  <si>
    <t>Enter the registry ID number in row 1188 of the table for production class 3.</t>
  </si>
  <si>
    <t>Enter the registry ID number in row 1189 of the table for production class 3.</t>
  </si>
  <si>
    <t>Enter the registry ID number in row 1190 of the table for production class 3.</t>
  </si>
  <si>
    <t>Enter the registry ID number in row 1191 of the table for production class 3.</t>
  </si>
  <si>
    <t>Enter the registry ID number in row 1192 of the table for production class 3.</t>
  </si>
  <si>
    <t>Enter the registry ID number in row 1193 of the table for production class 3.</t>
  </si>
  <si>
    <t>Enter the registry ID number in row 1194 of the table for production class 3.</t>
  </si>
  <si>
    <t>Enter the registry ID number in row 1195 of the table for production class 3.</t>
  </si>
  <si>
    <t>Enter the registry ID number in row 1196 of the table for production class 3.</t>
  </si>
  <si>
    <t>Enter the registry ID number in row 1197 of the table for production class 3.</t>
  </si>
  <si>
    <t>Enter the registry ID number in row 1198 of the table for production class 3.</t>
  </si>
  <si>
    <t>Enter the registry ID number in row 1199 of the table for production class 3.</t>
  </si>
  <si>
    <t>Enter the registry ID number in row 1200 of the table for production class 3.</t>
  </si>
  <si>
    <t>Enter the registry ID number in row 1201 of the table for production class 3.</t>
  </si>
  <si>
    <t>Enter the registry ID number in row 1202 of the table for production class 3.</t>
  </si>
  <si>
    <t>Enter the registry ID number in row 1203 of the table for production class 3.</t>
  </si>
  <si>
    <t>Enter the registry ID number in row 1204 of the table for production class 3.</t>
  </si>
  <si>
    <t>Enter the registry ID number in row 1205 of the table for production class 3.</t>
  </si>
  <si>
    <t>Enter the registry ID number in row 1206 of the table for production class 3.</t>
  </si>
  <si>
    <t>Enter the registry ID number in row 1207 of the table for production class 3.</t>
  </si>
  <si>
    <t>Enter the registry ID number in row 1208 of the table for production class 3.</t>
  </si>
  <si>
    <t>Enter the registry ID number in row 1209 of the table for production class 3.</t>
  </si>
  <si>
    <t>Enter the registry ID number in row 1210 of the table for production class 3.</t>
  </si>
  <si>
    <t>Enter the registry ID number in row 1211 of the table for production class 3.</t>
  </si>
  <si>
    <t>Enter the registry ID number in row 1212 of the table for production class 3.</t>
  </si>
  <si>
    <t>Enter the registry ID number in row 1213 of the table for production class 3.</t>
  </si>
  <si>
    <t>Enter the registry ID number in row 1214 of the table for production class 3.</t>
  </si>
  <si>
    <t>Enter the registry ID number in row 1215 of the table for production class 3.</t>
  </si>
  <si>
    <t>Enter the registry ID number in row 1216 of the table for production class 3.</t>
  </si>
  <si>
    <t>Enter the registry ID number in row 1217 of the table for production class 3.</t>
  </si>
  <si>
    <t>Enter the registry ID number in row 1218 of the table for production class 3.</t>
  </si>
  <si>
    <t>Enter the registry ID number in row 1219 of the table for production class 3.</t>
  </si>
  <si>
    <t>Enter the registry ID number in row 1220 of the table for production class 3.</t>
  </si>
  <si>
    <t>Enter the registry ID number in row 1221 of the table for production class 3.</t>
  </si>
  <si>
    <t>Enter the registry ID number in row 1222 of the table for production class 3.</t>
  </si>
  <si>
    <t>Enter the registry ID number in row 1223 of the table for production class 3.</t>
  </si>
  <si>
    <t>Enter the registry ID number in row 1224 of the table for production class 3.</t>
  </si>
  <si>
    <t>Enter the registry ID number in row 1225 of the table for production class 3.</t>
  </si>
  <si>
    <t>Enter the registry ID number in row 1226 of the table for production class 3.</t>
  </si>
  <si>
    <t>Enter the registry ID number in row 1227 of the table for production class 3.</t>
  </si>
  <si>
    <t>Enter the registry ID number in row 1228 of the table for production class 3.</t>
  </si>
  <si>
    <t>Enter the registry ID number in row 1229 of the table for production class 3.</t>
  </si>
  <si>
    <t>Enter the registry ID number in row 1230 of the table for production class 3.</t>
  </si>
  <si>
    <t>Enter the registry ID number in row 1231 of the table for production class 3.</t>
  </si>
  <si>
    <t>Enter the registry ID number in row 1232 of the table for production class 3.</t>
  </si>
  <si>
    <t>Enter the registry ID number in row 1233 of the table for production class 3.</t>
  </si>
  <si>
    <t>Enter the registry ID number in row 1234 of the table for production class 3.</t>
  </si>
  <si>
    <t>Enter the registry ID number in row 1235 of the table for production class 3.</t>
  </si>
  <si>
    <t>Enter the registry ID number in row 1236 of the table for production class 3.</t>
  </si>
  <si>
    <t>Enter the registry ID number in row 1237 of the table for production class 3.</t>
  </si>
  <si>
    <t>Enter the registry ID number in row 1238 of the table for production class 3.</t>
  </si>
  <si>
    <t>Enter the registry ID number in row 1239 of the table for production class 3.</t>
  </si>
  <si>
    <t>Enter the registry ID number in row 1240 of the table for production class 3.</t>
  </si>
  <si>
    <t>Enter the registry ID number in row 1241 of the table for production class 3.</t>
  </si>
  <si>
    <t>Enter the registry ID number in row 1242 of the table for production class 3.</t>
  </si>
  <si>
    <t>Enter the registry ID number in row 1243 of the table for production class 3.</t>
  </si>
  <si>
    <t>Enter the registry ID number in row 1244 of the table for production class 3.</t>
  </si>
  <si>
    <t>Enter the registry ID number in row 1245 of the table for production class 3.</t>
  </si>
  <si>
    <t>Enter the registry ID number in row 1246 of the table for production class 3.</t>
  </si>
  <si>
    <t>Enter the registry ID number in row 1247 of the table for production class 3.</t>
  </si>
  <si>
    <t>Enter the registry ID number in row 1248 of the table for production class 3.</t>
  </si>
  <si>
    <t>Enter the registry ID number in row 1249 of the table for production class 3.</t>
  </si>
  <si>
    <t>Enter the registry ID number in row 1250 of the table for production class 3.</t>
  </si>
  <si>
    <t>Enter the registry ID number in row 1251 of the table for production class 3.</t>
  </si>
  <si>
    <t>Enter the registry ID number in row 1252 of the table for production class 3.</t>
  </si>
  <si>
    <t>Enter the registry ID number in row 1253 of the table for production class 3.</t>
  </si>
  <si>
    <t>Enter the registry ID number in row 1254 of the table for production class 3.</t>
  </si>
  <si>
    <t>Enter the registry ID number in row 1255 of the table for production class 3.</t>
  </si>
  <si>
    <t>Enter the registry ID number in row 1256 of the table for production class 3.</t>
  </si>
  <si>
    <t>Enter the registry ID number in row 1257 of the table for production class 3.</t>
  </si>
  <si>
    <t>Enter the registry ID number in row 1258 of the table for production class 3.</t>
  </si>
  <si>
    <t>Enter the registry ID number in row 1259 of the table for production class 3.</t>
  </si>
  <si>
    <t>Enter the registry ID number in row 1260 of the table for production class 3.</t>
  </si>
  <si>
    <t>Enter the registry ID number in row 1261 of the table for production class 3.</t>
  </si>
  <si>
    <t>Enter the registry ID number in row 1262 of the table for production class 3.</t>
  </si>
  <si>
    <t>Enter the registry ID number in row 1263 of the table for production class 3.</t>
  </si>
  <si>
    <t>Enter the registry ID number in row 1264 of the table for production class 3.</t>
  </si>
  <si>
    <t>Enter the registry ID number in row 1265 of the table for production class 3.</t>
  </si>
  <si>
    <t>Enter the registry ID number in row 1266 of the table for production class 3.</t>
  </si>
  <si>
    <t>Enter the registry ID number in row 1267 of the table for production class 3.</t>
  </si>
  <si>
    <t>Enter the registry ID number in row 1268 of the table for production class 3.</t>
  </si>
  <si>
    <t>Enter the registry ID number in row 1269 of the table for production class 3.</t>
  </si>
  <si>
    <t>Enter the registry ID number in row 1270 of the table for production class 3.</t>
  </si>
  <si>
    <t>Enter the registry ID number in row 1271 of the table for production class 3.</t>
  </si>
  <si>
    <t>Enter the registry ID number in row 1272 of the table for production class 3.</t>
  </si>
  <si>
    <t>Enter the registry ID number in row 1273 of the table for production class 3.</t>
  </si>
  <si>
    <t>Enter the registry ID number in row 1274 of the table for production class 3.</t>
  </si>
  <si>
    <t>Enter the registry ID number in row 1275 of the table for production class 3.</t>
  </si>
  <si>
    <t>Enter the registry ID number in row 1276 of the table for production class 3.</t>
  </si>
  <si>
    <t>Enter the registry ID number in row 1277 of the table for production class 3.</t>
  </si>
  <si>
    <t>Enter the registry ID number in row 1278 of the table for production class 3.</t>
  </si>
  <si>
    <t>Enter the registry ID number in row 1279 of the table for production class 3.</t>
  </si>
  <si>
    <t>Enter the registry ID number in row 1280 of the table for production class 3.</t>
  </si>
  <si>
    <t>Enter the registry ID number in row 1281 of the table for production class 3.</t>
  </si>
  <si>
    <t>Enter the registry ID number in row 1282 of the table for production class 3.</t>
  </si>
  <si>
    <t>Enter the registry ID number in row 1283 of the table for production class 3.</t>
  </si>
  <si>
    <t>Enter the registry ID number in row 1284 of the table for production class 3.</t>
  </si>
  <si>
    <t>Enter the registry ID number in row 1285 of the table for production class 3.</t>
  </si>
  <si>
    <t>Enter the registry ID number in row 1286 of the table for production class 3.</t>
  </si>
  <si>
    <t>Enter the registry ID number in row 1287 of the table for production class 3.</t>
  </si>
  <si>
    <t>Enter the registry ID number in row 1288 of the table for production class 3.</t>
  </si>
  <si>
    <t>Enter the registry ID number in row 1289 of the table for production class 3.</t>
  </si>
  <si>
    <t>Enter the registry ID number in row 1290 of the table for production class 3.</t>
  </si>
  <si>
    <t>Enter the registry ID number in row 1291 of the table for production class 3.</t>
  </si>
  <si>
    <t>Enter the registry ID number in row 1292 of the table for production class 3.</t>
  </si>
  <si>
    <t>Enter the registry ID number in row 1293 of the table for production class 3.</t>
  </si>
  <si>
    <t>Enter the registry ID number in row 1294 of the table for production class 3.</t>
  </si>
  <si>
    <t>Enter the registry ID number in row 1295 of the table for production class 3.</t>
  </si>
  <si>
    <t>Enter the registry ID number in row 1296 of the table for production class 3.</t>
  </si>
  <si>
    <t>Enter the registry ID number in row 1297 of the table for production class 3.</t>
  </si>
  <si>
    <t>Enter the registry ID number in row 1298 of the table for production class 3.</t>
  </si>
  <si>
    <t>Enter the registry ID number in row 1299 of the table for production class 3.</t>
  </si>
  <si>
    <t>Enter the registry ID number in row 1300 of the table for production class 3.</t>
  </si>
  <si>
    <t>Enter the registry ID number in row 1301 of the table for production class 3.</t>
  </si>
  <si>
    <t>Enter the registry ID number in row 1302 of the table for production class 3.</t>
  </si>
  <si>
    <t>Enter the registry ID number in row 1303 of the table for production class 3.</t>
  </si>
  <si>
    <t>Enter the registry ID number in row 1304 of the table for production class 3.</t>
  </si>
  <si>
    <t>Enter the registry ID number in row 1305 of the table for production class 3.</t>
  </si>
  <si>
    <t>Enter the registry ID number in row 1306 of the table for production class 3.</t>
  </si>
  <si>
    <t>Enter the registry ID number in row 1307 of the table for production class 3.</t>
  </si>
  <si>
    <t>Enter the registry ID number in row 1308 of the table for production class 3.</t>
  </si>
  <si>
    <t>Enter the registry ID number in row 1309 of the table for production class 3.</t>
  </si>
  <si>
    <t>Enter the registry ID number in row 1310 of the table for production class 3.</t>
  </si>
  <si>
    <t>Enter the registry ID number in row 1311 of the table for production class 3.</t>
  </si>
  <si>
    <t>Enter the registry ID number in row 1312 of the table for production class 3.</t>
  </si>
  <si>
    <t>Enter the registry ID number in row 1313 of the table for production class 3.</t>
  </si>
  <si>
    <t>Enter the registry ID number in row 1314 of the table for production class 3.</t>
  </si>
  <si>
    <t>Enter the registry ID number in row 1315 of the table for production class 3.</t>
  </si>
  <si>
    <t>Enter the registry ID number in row 1316 of the table for production class 3.</t>
  </si>
  <si>
    <t>Enter the registry ID number in row 1317 of the table for production class 3.</t>
  </si>
  <si>
    <t>Enter the registry ID number in row 1318 of the table for production class 3.</t>
  </si>
  <si>
    <t>Enter the registry ID number in row 1319 of the table for production class 3.</t>
  </si>
  <si>
    <t>Enter the registry ID number in row 1320 of the table for production class 3.</t>
  </si>
  <si>
    <t>Enter the registry ID number in row 1321 of the table for production class 3.</t>
  </si>
  <si>
    <t>Enter the registry ID number in row 1322 of the table for production class 3.</t>
  </si>
  <si>
    <t>Enter the registry ID number in row 1323 of the table for production class 3.</t>
  </si>
  <si>
    <t>Enter the registry ID number in row 1324 of the table for production class 3.</t>
  </si>
  <si>
    <t>Enter the registry ID number in row 1325 of the table for production class 3.</t>
  </si>
  <si>
    <t>Enter the registry ID number in row 1326 of the table for production class 3.</t>
  </si>
  <si>
    <t>Enter the registry ID number in row 1327 of the table for production class 3.</t>
  </si>
  <si>
    <t>Enter the registry ID number in row 1328 of the table for production class 3.</t>
  </si>
  <si>
    <t>Enter the registry ID number in row 1329 of the table for production class 3.</t>
  </si>
  <si>
    <t>Enter the registry ID number in row 1330 of the table for production class 3.</t>
  </si>
  <si>
    <t>Enter the registry ID number in row 1331 of the table for production class 3.</t>
  </si>
  <si>
    <t>Enter the registry ID number in row 1332 of the table for production class 3.</t>
  </si>
  <si>
    <t>Enter the registry ID number in row 1333 of the table for production class 3.</t>
  </si>
  <si>
    <t>Enter the registry ID number in row 1334 of the table for production class 3.</t>
  </si>
  <si>
    <t>Enter the registry ID number in row 1335 of the table for production class 3.</t>
  </si>
  <si>
    <t>Enter the registry ID number in row 1336 of the table for production class 3.</t>
  </si>
  <si>
    <t>Enter the registry ID number in row 1337 of the table for production class 3.</t>
  </si>
  <si>
    <t>Enter the registry ID number in row 1338 of the table for production class 3.</t>
  </si>
  <si>
    <t>Enter the registry ID number in row 1339 of the table for production class 3.</t>
  </si>
  <si>
    <t>Enter the registry ID number in row 1340 of the table for production class 3.</t>
  </si>
  <si>
    <t>Enter the registry ID number in row 1341 of the table for production class 3.</t>
  </si>
  <si>
    <t>Enter the registry ID number in row 1342 of the table for production class 3.</t>
  </si>
  <si>
    <t>Enter the registry ID number in row 1343 of the table for production class 3.</t>
  </si>
  <si>
    <t>Enter the registry ID number in row 1344 of the table for production class 3.</t>
  </si>
  <si>
    <t>Enter the registry ID number in row 1345 of the table for production class 3.</t>
  </si>
  <si>
    <t>Enter the registry ID number in row 1346 of the table for production class 3.</t>
  </si>
  <si>
    <t>Enter the registry ID number in row 1347 of the table for production class 3.</t>
  </si>
  <si>
    <t>Enter the registry ID number in row 1348 of the table for production class 3.</t>
  </si>
  <si>
    <t>Enter the registry ID number in row 1349 of the table for production class 3.</t>
  </si>
  <si>
    <t>Enter the registry ID number in row 1350 of the table for production class 3.</t>
  </si>
  <si>
    <t>Enter the registry ID number in row 1351 of the table for production class 3.</t>
  </si>
  <si>
    <t>Enter the registry ID number in row 1352 of the table for production class 3.</t>
  </si>
  <si>
    <t>Enter the registry ID number in row 1353 of the table for production class 3.</t>
  </si>
  <si>
    <t>Enter the registry ID number in row 1354 of the table for production class 3.</t>
  </si>
  <si>
    <t>Enter the registry ID number in row 1355 of the table for production class 3.</t>
  </si>
  <si>
    <t>Enter the registry ID number in row 1356 of the table for production class 3.</t>
  </si>
  <si>
    <t>Enter the registry ID number in row 1357 of the table for production class 3.</t>
  </si>
  <si>
    <t>Enter the registry ID number in row 1358 of the table for production class 3.</t>
  </si>
  <si>
    <t>Enter the registry ID number in row 1359 of the table for production class 3.</t>
  </si>
  <si>
    <t>Enter the registry ID number in row 1360 of the table for production class 3.</t>
  </si>
  <si>
    <t>Enter the registry ID number in row 1361 of the table for production class 3.</t>
  </si>
  <si>
    <t>Enter the registry ID number in row 1362 of the table for production class 3.</t>
  </si>
  <si>
    <t>Enter the registry ID number in row 1363 of the table for production class 3.</t>
  </si>
  <si>
    <t>Enter the registry ID number in row 1364 of the table for production class 3.</t>
  </si>
  <si>
    <t>Enter the registry ID number in row 1365 of the table for production class 3.</t>
  </si>
  <si>
    <t>Enter the registry ID number in row 1366 of the table for production class 3.</t>
  </si>
  <si>
    <t>Enter the registry ID number in row 1367 of the table for production class 3.</t>
  </si>
  <si>
    <t>Enter the registry ID number in row 1368 of the table for production class 3.</t>
  </si>
  <si>
    <t>Enter the registry ID number in row 1369 of the table for production class 3.</t>
  </si>
  <si>
    <t>Enter the registry ID number in row 1370 of the table for production class 3.</t>
  </si>
  <si>
    <t>Enter the registry ID number in row 1371 of the table for production class 3.</t>
  </si>
  <si>
    <t>Enter the registry ID number in row 1372 of the table for production class 3.</t>
  </si>
  <si>
    <t>Enter the registry ID number in row 1373 of the table for production class 3.</t>
  </si>
  <si>
    <t>Enter the registry ID number in row 1374 of the table for production class 3.</t>
  </si>
  <si>
    <t>Enter the registry ID number in row 1375 of the table for production class 3.</t>
  </si>
  <si>
    <t>Enter the registry ID number in row 1376 of the table for production class 3.</t>
  </si>
  <si>
    <t>Enter the registry ID number in row 1377 of the table for production class 3.</t>
  </si>
  <si>
    <t>Enter the registry ID number in row 1378 of the table for production class 3.</t>
  </si>
  <si>
    <t>Enter the registry ID number in row 1379 of the table for production class 3.</t>
  </si>
  <si>
    <t>Enter the registry ID number in row 1380 of the table for production class 3.</t>
  </si>
  <si>
    <t>Enter the registry ID number in row 1381 of the table for production class 3.</t>
  </si>
  <si>
    <t>Enter the registry ID number in row 1382 of the table for production class 3.</t>
  </si>
  <si>
    <t>Enter the registry ID number in row 1383 of the table for production class 3.</t>
  </si>
  <si>
    <t>Enter the registry ID number in row 1384 of the table for production class 3.</t>
  </si>
  <si>
    <t>Enter the registry ID number in row 1385 of the table for production class 3.</t>
  </si>
  <si>
    <t>Enter the registry ID number in row 1386 of the table for production class 3.</t>
  </si>
  <si>
    <t>Enter the registry ID number in row 1387 of the table for production class 3.</t>
  </si>
  <si>
    <t>Enter the registry ID number in row 1388 of the table for production class 3.</t>
  </si>
  <si>
    <t>Enter the registry ID number in row 1389 of the table for production class 3.</t>
  </si>
  <si>
    <t>Enter the registry ID number in row 1390 of the table for production class 3.</t>
  </si>
  <si>
    <t>Enter the registry ID number in row 1391 of the table for production class 3.</t>
  </si>
  <si>
    <t>Enter the registry ID number in row 1392 of the table for production class 3.</t>
  </si>
  <si>
    <t>Enter the registry ID number in row 1393 of the table for production class 3.</t>
  </si>
  <si>
    <t>Enter the registry ID number in row 1394 of the table for production class 3.</t>
  </si>
  <si>
    <t>Enter the registry ID number in row 1395 of the table for production class 3.</t>
  </si>
  <si>
    <t>Enter the registry ID number in row 1396 of the table for production class 3.</t>
  </si>
  <si>
    <t>Enter the registry ID number in row 1397 of the table for production class 3.</t>
  </si>
  <si>
    <t>Enter the registry ID number in row 1398 of the table for production class 3.</t>
  </si>
  <si>
    <t>Enter the registry ID number in row 1399 of the table for production class 3.</t>
  </si>
  <si>
    <t>Enter the registry ID number in row 1400 of the table for production class 3.</t>
  </si>
  <si>
    <t>Enter the registry ID number in row 1401 of the table for production class 3.</t>
  </si>
  <si>
    <t>Enter the registry ID number in row 1402 of the table for production class 3.</t>
  </si>
  <si>
    <t>Enter the registry ID number in row 1403 of the table for production class 3.</t>
  </si>
  <si>
    <t>Enter the registry ID number in row 1404 of the table for production class 3.</t>
  </si>
  <si>
    <t>Enter the registry ID number in row 1405 of the table for production class 3.</t>
  </si>
  <si>
    <t>Enter the registry ID number in row 1406 of the table for production class 3.</t>
  </si>
  <si>
    <t>Enter the registry ID number in row 1407 of the table for production class 3.</t>
  </si>
  <si>
    <t>Enter the registry ID number in row 1408 of the table for production class 3.</t>
  </si>
  <si>
    <t>Enter the registry ID number in row 1409 of the table for production class 3.</t>
  </si>
  <si>
    <t>Enter the registry ID number in row 1410 of the table for production class 3.</t>
  </si>
  <si>
    <t>Enter the registry ID number in row 1411 of the table for production class 3.</t>
  </si>
  <si>
    <t>Enter the registry ID number in row 1412 of the table for production class 3.</t>
  </si>
  <si>
    <t>Enter the registry ID number in row 1413 of the table for production class 3.</t>
  </si>
  <si>
    <t>Enter the registry ID number in row 1414 of the table for production class 3.</t>
  </si>
  <si>
    <t>Enter the registry ID number in row 1415 of the table for production class 3.</t>
  </si>
  <si>
    <t>Enter the registry ID number in row 1416 of the table for production class 3.</t>
  </si>
  <si>
    <t>Enter the registry ID number in row 1417 of the table for production class 3.</t>
  </si>
  <si>
    <t>Enter the registry ID number in row 1418 of the table for production class 3.</t>
  </si>
  <si>
    <t>Enter the registry ID number in row 1419 of the table for production class 3.</t>
  </si>
  <si>
    <t>Enter the registry ID number in row 1420 of the table for production class 3.</t>
  </si>
  <si>
    <t>Enter the registry ID number in row 1421 of the table for production class 3.</t>
  </si>
  <si>
    <t>Enter the registry ID number in row 1422 of the table for production class 3.</t>
  </si>
  <si>
    <t>Enter the registry ID number in row 1423 of the table for production class 3.</t>
  </si>
  <si>
    <t>Enter the registry ID number in row 1424 of the table for production class 3.</t>
  </si>
  <si>
    <t>Enter the registry ID number in row 1425 of the table for production class 3.</t>
  </si>
  <si>
    <t>Enter the registry ID number in row 1426 of the table for production class 3.</t>
  </si>
  <si>
    <t>Enter the registry ID number in row 1427 of the table for production class 3.</t>
  </si>
  <si>
    <t>Enter the registry ID number in row 1428 of the table for production class 3.</t>
  </si>
  <si>
    <t>Enter the registry ID number in row 1429 of the table for production class 3.</t>
  </si>
  <si>
    <t>Enter the registry ID number in row 1430 of the table for production class 3.</t>
  </si>
  <si>
    <t>Enter the registry ID number in row 1431 of the table for production class 3.</t>
  </si>
  <si>
    <t>Enter the registry ID number in row 1432 of the table for production class 3.</t>
  </si>
  <si>
    <t>Enter the registry ID number in row 1433 of the table for production class 3.</t>
  </si>
  <si>
    <t>Enter the registry ID number in row 1434 of the table for production class 3.</t>
  </si>
  <si>
    <t>Enter the registry ID number in row 1435 of the table for production class 3.</t>
  </si>
  <si>
    <t>Enter the registry ID number in row 1436 of the table for production class 3.</t>
  </si>
  <si>
    <t>Enter the registry ID number in row 1437 of the table for production class 3.</t>
  </si>
  <si>
    <t>Enter the registry ID number in row 1438 of the table for production class 3.</t>
  </si>
  <si>
    <t>Enter the registry ID number in row 1439 of the table for production class 3.</t>
  </si>
  <si>
    <t>Enter the registry ID number in row 1440 of the table for production class 3.</t>
  </si>
  <si>
    <t>Enter the registry ID number in row 1441 of the table for production class 3.</t>
  </si>
  <si>
    <t>Enter the registry ID number in row 1442 of the table for production class 3.</t>
  </si>
  <si>
    <t>Enter the registry ID number in row 1443 of the table for production class 3.</t>
  </si>
  <si>
    <t>Enter the registry ID number in row 1444 of the table for production class 3.</t>
  </si>
  <si>
    <t>Enter the registry ID number in row 1445 of the table for production class 3.</t>
  </si>
  <si>
    <t>Enter the registry ID number in row 1446 of the table for production class 3.</t>
  </si>
  <si>
    <t>Enter the registry ID number in row 1447 of the table for production class 3.</t>
  </si>
  <si>
    <t>Enter the registry ID number in row 1448 of the table for production class 3.</t>
  </si>
  <si>
    <t>Enter the registry ID number in row 1449 of the table for production class 3.</t>
  </si>
  <si>
    <t>Enter the registry ID number in row 1450 of the table for production class 3.</t>
  </si>
  <si>
    <t>Enter the registry ID number in row 1451 of the table for production class 3.</t>
  </si>
  <si>
    <t>Enter the registry ID number in row 1452 of the table for production class 3.</t>
  </si>
  <si>
    <t>Enter the registry ID number in row 1453 of the table for production class 3.</t>
  </si>
  <si>
    <t>Enter the registry ID number in row 1454 of the table for production class 3.</t>
  </si>
  <si>
    <t>Enter the registry ID number in row 1455 of the table for production class 3.</t>
  </si>
  <si>
    <t>Enter the registry ID number in row 1456 of the table for production class 3.</t>
  </si>
  <si>
    <t>Enter the registry ID number in row 1457 of the table for production class 3.</t>
  </si>
  <si>
    <t>Enter the registry ID number in row 1458 of the table for production class 3.</t>
  </si>
  <si>
    <t>Enter the registry ID number in row 1459 of the table for production class 3.</t>
  </si>
  <si>
    <t>Enter the registry ID number in row 1460 of the table for production class 3.</t>
  </si>
  <si>
    <t>Enter the registry ID number in row 1461 of the table for production class 3.</t>
  </si>
  <si>
    <t>Enter the registry ID number in row 1462 of the table for production class 3.</t>
  </si>
  <si>
    <t>Enter the registry ID number in row 1463 of the table for production class 3.</t>
  </si>
  <si>
    <t>Enter the registry ID number in row 1464 of the table for production class 3.</t>
  </si>
  <si>
    <t>Enter the registry ID number in row 1465 of the table for production class 3.</t>
  </si>
  <si>
    <t>Enter the registry ID number in row 1466 of the table for production class 3.</t>
  </si>
  <si>
    <t>Enter the registry ID number in row 1467 of the table for production class 3.</t>
  </si>
  <si>
    <t>Enter the registry ID number in row 1468 of the table for production class 3.</t>
  </si>
  <si>
    <t>Enter the registry ID number in row 1469 of the table for production class 3.</t>
  </si>
  <si>
    <t>Enter the registry ID number in row 1470 of the table for production class 3.</t>
  </si>
  <si>
    <t>Enter the registry ID number in row 1471 of the table for production class 3.</t>
  </si>
  <si>
    <t>Enter the registry ID number in row 1472 of the table for production class 3.</t>
  </si>
  <si>
    <t>Enter the registry ID number in row 1473 of the table for production class 3.</t>
  </si>
  <si>
    <t>Enter the registry ID number in row 1474 of the table for production class 3.</t>
  </si>
  <si>
    <t>Enter the registry ID number in row 1475 of the table for production class 3.</t>
  </si>
  <si>
    <t>Enter the registry ID number in row 1476 of the table for production class 3.</t>
  </si>
  <si>
    <t>Enter the registry ID number in row 1477 of the table for production class 3.</t>
  </si>
  <si>
    <t>Enter the registry ID number in row 1478 of the table for production class 3.</t>
  </si>
  <si>
    <t>Enter the registry ID number in row 1479 of the table for production class 3.</t>
  </si>
  <si>
    <t>Enter the registry ID number in row 1480 of the table for production class 3.</t>
  </si>
  <si>
    <t>Enter the registry ID number in row 1481 of the table for production class 3.</t>
  </si>
  <si>
    <t>Enter the registry ID number in row 1482 of the table for production class 3.</t>
  </si>
  <si>
    <t>Enter the registry ID number in row 1483 of the table for production class 3.</t>
  </si>
  <si>
    <t>Enter the registry ID number in row 1484 of the table for production class 3.</t>
  </si>
  <si>
    <t>Enter the registry ID number in row 1485 of the table for production class 3.</t>
  </si>
  <si>
    <t>Enter the registry ID number in row 1486 of the table for production class 3.</t>
  </si>
  <si>
    <t>Enter the registry ID number in row 1487 of the table for production class 3.</t>
  </si>
  <si>
    <t>Enter the registry ID number in row 1488 of the table for production class 3.</t>
  </si>
  <si>
    <t>Enter the registry ID number in row 1489 of the table for production class 3.</t>
  </si>
  <si>
    <t>Enter the registry ID number in row 1490 of the table for production class 3.</t>
  </si>
  <si>
    <t>Enter the registry ID number in row 1491 of the table for production class 3.</t>
  </si>
  <si>
    <t>Enter the registry ID number in row 1492 of the table for production class 3.</t>
  </si>
  <si>
    <t>Enter the registry ID number in row 1493 of the table for production class 3.</t>
  </si>
  <si>
    <t>Enter the registry ID number in row 1494 of the table for production class 3.</t>
  </si>
  <si>
    <t>Enter the registry ID number in row 1495 of the table for production class 3.</t>
  </si>
  <si>
    <t>Enter the registry ID number in row 1496 of the table for production class 3.</t>
  </si>
  <si>
    <t>Enter the registry ID number in row 1497 of the table for production class 3.</t>
  </si>
  <si>
    <t>Enter the registry ID number in row 1498 of the table for production class 3.</t>
  </si>
  <si>
    <t>Enter the registry ID number in row 1499 of the table for production class 3.</t>
  </si>
  <si>
    <t>Enter the registry ID number in row 1500 of the table for production class 3.</t>
  </si>
  <si>
    <t>Enter the registry ID number in row 1501 of the table for production class 3.</t>
  </si>
  <si>
    <t>Enter the registry ID number in row 1502 of the table for production class 3.</t>
  </si>
  <si>
    <t>Enter the registry ID number in row 1503 of the table for production class 3.</t>
  </si>
  <si>
    <t>Enter the registry ID number in row 1504 of the table for production class 3.</t>
  </si>
  <si>
    <t>Enter the registry ID number in row 1505 of the table for production class 3.</t>
  </si>
  <si>
    <t>Enter the registry ID number in row 1506 of the table for production class 3.</t>
  </si>
  <si>
    <t>Enter the registry ID number in row 1507 of the table for production class 3.</t>
  </si>
  <si>
    <t>Enter the registry ID number in row 1508 of the table for production class 3.</t>
  </si>
  <si>
    <t>Enter the registry ID number in row 1509 of the table for production class 3.</t>
  </si>
  <si>
    <t>Enter the registry ID number in row 1510 of the table for production class 3.</t>
  </si>
  <si>
    <t>Enter the registry ID number in row 1511 of the table for production class 3.</t>
  </si>
  <si>
    <t>Enter the registry ID number in row 1512 of the table for production class 3.</t>
  </si>
  <si>
    <t>Enter the registry ID number in row 1513 of the table for production class 3.</t>
  </si>
  <si>
    <t>Enter the registry ID number in row 1514 of the table for production class 3.</t>
  </si>
  <si>
    <t>Enter the registry ID number in row 1515 of the table for production class 3.</t>
  </si>
  <si>
    <t>Enter the registry ID number in row 1516 of the table for production class 3.</t>
  </si>
  <si>
    <t>Enter the registry ID number in row 1517 of the table for production class 3.</t>
  </si>
  <si>
    <t>Enter the registry ID number in row 1518 of the table for production class 3.</t>
  </si>
  <si>
    <t>Enter the registry ID number in row 1519 of the table for production class 3.</t>
  </si>
  <si>
    <t>Enter the registry ID number in row 1520 of the table for production class 3.</t>
  </si>
  <si>
    <t>Enter the registry ID number in row 1521 of the table for production class 3.</t>
  </si>
  <si>
    <t>Enter the registry ID number in row 1522 of the table for production class 3.</t>
  </si>
  <si>
    <t>Enter the registry ID number in row 1523 of the table for production class 3.</t>
  </si>
  <si>
    <t>Enter the registry ID number in row 1524 of the table for production class 3.</t>
  </si>
  <si>
    <t>Enter the registry ID number in row 1525 of the table for production class 3.</t>
  </si>
  <si>
    <t>Enter the registry ID number in row 1526 of the table for production class 3.</t>
  </si>
  <si>
    <t>Enter the registry ID number in row 1527 of the table for production class 3.</t>
  </si>
  <si>
    <t>Enter the registry ID number in row 1528 of the table for production class 3.</t>
  </si>
  <si>
    <t>Enter the registry ID number in row 1529 of the table for production class 3.</t>
  </si>
  <si>
    <t>Enter the registry ID number in row 1530 of the table for production class 3.</t>
  </si>
  <si>
    <t>Enter the registry ID number in row 1531 of the table for production class 3.</t>
  </si>
  <si>
    <t>Enter the registry ID number in row 1532 of the table for production class 3.</t>
  </si>
  <si>
    <t>Enter the registry ID number in row 1533 of the table for production class 3.</t>
  </si>
  <si>
    <t>Enter the registry ID number in row 1534 of the table for production class 3.</t>
  </si>
  <si>
    <t>Enter the registry ID number in row 1535 of the table for production class 3.</t>
  </si>
  <si>
    <t>Enter the registry ID number in row 1536 of the table for production class 3.</t>
  </si>
  <si>
    <t>Enter the registry ID number in row 1537 of the table for production class 3.</t>
  </si>
  <si>
    <t>Enter the registry ID number in row 1538 of the table for production class 3.</t>
  </si>
  <si>
    <t>Enter the registry ID number in row 1539 of the table for production class 3.</t>
  </si>
  <si>
    <t>Enter the registry ID number in row 1540 of the table for production class 3.</t>
  </si>
  <si>
    <t>Enter the registry ID number in row 1541 of the table for production class 3.</t>
  </si>
  <si>
    <t>Enter the registry ID number in row 1542 of the table for production class 3.</t>
  </si>
  <si>
    <t>Enter the registry ID number in row 1543 of the table for production class 3.</t>
  </si>
  <si>
    <t>Enter the registry ID number in row 1544 of the table for production class 3.</t>
  </si>
  <si>
    <t>Enter the registry ID number in row 1545 of the table for production class 3.</t>
  </si>
  <si>
    <t>Enter the registry ID number in row 1546 of the table for production class 3.</t>
  </si>
  <si>
    <t>Enter the registry ID number in row 1547 of the table for production class 3.</t>
  </si>
  <si>
    <t>Enter the registry ID number in row 1548 of the table for production class 3.</t>
  </si>
  <si>
    <t>Enter the registry ID number in row 1549 of the table for production class 3.</t>
  </si>
  <si>
    <t>Enter the registry ID number in row 1550 of the table for production class 3.</t>
  </si>
  <si>
    <t>Enter the registry ID number in row 1551 of the table for production class 3.</t>
  </si>
  <si>
    <t>Enter the registry ID number in row 1552 of the table for production class 3.</t>
  </si>
  <si>
    <t>Enter the registry ID number in row 1553 of the table for production class 3.</t>
  </si>
  <si>
    <t>Enter the registry ID number in row 1554 of the table for production class 3.</t>
  </si>
  <si>
    <t>Enter the registry ID number in row 1555 of the table for production class 3.</t>
  </si>
  <si>
    <t>Enter the registry ID number in row 1556 of the table for production class 3.</t>
  </si>
  <si>
    <t>Enter the registry ID number in row 1557 of the table for production class 3.</t>
  </si>
  <si>
    <t>Enter the registry ID number in row 1558 of the table for production class 3.</t>
  </si>
  <si>
    <t>Enter the registry ID number in row 1559 of the table for production class 3.</t>
  </si>
  <si>
    <t>Enter the registry ID number in row 1560 of the table for production class 3.</t>
  </si>
  <si>
    <t>Enter the registry ID number in row 1561 of the table for production class 3.</t>
  </si>
  <si>
    <t>Enter the registry ID number in row 1562 of the table for production class 3.</t>
  </si>
  <si>
    <t>Enter the registry ID number in row 1563 of the table for production class 3.</t>
  </si>
  <si>
    <t>Enter the registry ID number in row 1564 of the table for production class 3.</t>
  </si>
  <si>
    <t>Enter the registry ID number in row 1565 of the table for production class 3.</t>
  </si>
  <si>
    <t>Enter the registry ID number in row 1566 of the table for production class 3.</t>
  </si>
  <si>
    <t>Enter the registry ID number in row 1567 of the table for production class 3.</t>
  </si>
  <si>
    <t>Enter the registry ID number in row 1568 of the table for production class 3.</t>
  </si>
  <si>
    <t>Enter the registry ID number in row 1569 of the table for production class 3.</t>
  </si>
  <si>
    <t>Enter the registry ID number in row 1570 of the table for production class 3.</t>
  </si>
  <si>
    <t>Enter the registry ID number in row 1571 of the table for production class 3.</t>
  </si>
  <si>
    <t>Enter the registry ID number in row 1572 of the table for production class 3.</t>
  </si>
  <si>
    <t>Enter the registry ID number in row 1573 of the table for production class 3.</t>
  </si>
  <si>
    <t>Enter the registry ID number in row 1574 of the table for production class 3.</t>
  </si>
  <si>
    <t>Enter the registry ID number in row 1575 of the table for production class 3.</t>
  </si>
  <si>
    <t>Enter the registry ID number in row 1576 of the table for production class 3.</t>
  </si>
  <si>
    <t>Enter the registry ID number in row 1577 of the table for production class 3.</t>
  </si>
  <si>
    <t>Enter the registry ID number in row 1578 of the table for production class 3.</t>
  </si>
  <si>
    <t>Enter the registry ID number in row 1579 of the table for production class 3.</t>
  </si>
  <si>
    <t>Enter the registry ID number in row 1580 of the table for production class 3.</t>
  </si>
  <si>
    <t>Enter the registry ID number in row 1581 of the table for production class 3.</t>
  </si>
  <si>
    <t>Enter the registry ID number in row 1582 of the table for production class 3.</t>
  </si>
  <si>
    <t>Enter the registry ID number in row 1583 of the table for production class 3.</t>
  </si>
  <si>
    <t>Enter the registry ID number in row 1584 of the table for production class 3.</t>
  </si>
  <si>
    <t>Enter the registry ID number in row 1585 of the table for production class 3.</t>
  </si>
  <si>
    <t>Enter the registry ID number in row 1586 of the table for production class 3.</t>
  </si>
  <si>
    <t>Enter the registry ID number in row 1587 of the table for production class 3.</t>
  </si>
  <si>
    <t>Enter the registry ID number in row 1588 of the table for production class 3.</t>
  </si>
  <si>
    <t>Enter the registry ID number in row 1589 of the table for production class 3.</t>
  </si>
  <si>
    <t>Enter the registry ID number in row 1590 of the table for production class 3.</t>
  </si>
  <si>
    <t>Enter the registry ID number in row 1591 of the table for production class 3.</t>
  </si>
  <si>
    <t>Enter the registry ID number in row 1592 of the table for production class 3.</t>
  </si>
  <si>
    <t>Enter the registry ID number in row 1593 of the table for production class 3.</t>
  </si>
  <si>
    <t>Enter the registry ID number in row 1594 of the table for production class 3.</t>
  </si>
  <si>
    <t>Enter the registry ID number in row 1595 of the table for production class 3.</t>
  </si>
  <si>
    <t>Enter the registry ID number in row 1596 of the table for production class 3.</t>
  </si>
  <si>
    <t>Enter the registry ID number in row 1597 of the table for production class 3.</t>
  </si>
  <si>
    <t>Enter the registry ID number in row 1598 of the table for production class 3.</t>
  </si>
  <si>
    <t>Enter the registry ID number in row 1599 of the table for production class 3.</t>
  </si>
  <si>
    <t>Enter the registry ID number in row 1600 of the table for production class 3.</t>
  </si>
  <si>
    <t>Enter the registry ID number in row 1601 of the table for production class 3.</t>
  </si>
  <si>
    <t>Enter the registry ID number in row 1602 of the table for production class 3.</t>
  </si>
  <si>
    <t>Enter the registry ID number in row 1603 of the table for production class 3.</t>
  </si>
  <si>
    <t>Enter the registry ID number in row 1604 of the table for production class 3.</t>
  </si>
  <si>
    <t>Enter the registry ID number in row 1605 of the table for production class 3.</t>
  </si>
  <si>
    <t>Enter the registry ID number in row 1606 of the table for production class 3.</t>
  </si>
  <si>
    <t>Enter the registry ID number in row 1607 of the table for production class 3.</t>
  </si>
  <si>
    <t>Enter the registry ID number in row 1608 of the table for production class 3.</t>
  </si>
  <si>
    <t>Enter the registry ID number in row 1609 of the table for production class 3.</t>
  </si>
  <si>
    <t>Enter the registry ID number in row 1610 of the table for production class 3.</t>
  </si>
  <si>
    <t>Enter the registry ID number in row 1611 of the table for production class 3.</t>
  </si>
  <si>
    <t>Enter the registry ID number in row 1612 of the table for production class 3.</t>
  </si>
  <si>
    <t>Enter the registry ID number in row 1613 of the table for production class 3.</t>
  </si>
  <si>
    <t>Enter the registry ID number in row 1614 of the table for production class 3.</t>
  </si>
  <si>
    <t>Enter the registry ID number in row 1615 of the table for production class 3.</t>
  </si>
  <si>
    <t>Enter the registry ID number in row 1616 of the table for production class 3.</t>
  </si>
  <si>
    <t>Enter the registry ID number in row 1617 of the table for production class 3.</t>
  </si>
  <si>
    <t>Enter the registry ID number in row 1618 of the table for production class 3.</t>
  </si>
  <si>
    <t>Enter the registry ID number in row 1619 of the table for production class 3.</t>
  </si>
  <si>
    <t>Enter the registry ID number in row 1620 of the table for production class 3.</t>
  </si>
  <si>
    <t>Enter the registry ID number in row 1621 of the table for production class 3.</t>
  </si>
  <si>
    <t>Enter the registry ID number in row 1622 of the table for production class 3.</t>
  </si>
  <si>
    <t>Enter the registry ID number in row 1623 of the table for production class 3.</t>
  </si>
  <si>
    <t>Enter the registry ID number in row 1624 of the table for production class 3.</t>
  </si>
  <si>
    <t>Enter the registry ID number in row 1625 of the table for production class 3.</t>
  </si>
  <si>
    <t>Enter the registry ID number in row 1626 of the table for production class 3.</t>
  </si>
  <si>
    <t>Enter the registry ID number in row 1627 of the table for production class 3.</t>
  </si>
  <si>
    <t>Enter the registry ID number in row 1628 of the table for production class 3.</t>
  </si>
  <si>
    <t>Enter the registry ID number in row 1629 of the table for production class 3.</t>
  </si>
  <si>
    <t>Enter the registry ID number in row 1630 of the table for production class 3.</t>
  </si>
  <si>
    <t>Enter the registry ID number in row 1631 of the table for production class 3.</t>
  </si>
  <si>
    <t>Enter the registry ID number in row 1632 of the table for production class 3.</t>
  </si>
  <si>
    <t>Enter the registry ID number in row 1633 of the table for production class 3.</t>
  </si>
  <si>
    <t>Enter the registry ID number in row 1634 of the table for production class 3.</t>
  </si>
  <si>
    <t>Enter the registry ID number in row 1635 of the table for production class 3.</t>
  </si>
  <si>
    <t>Enter the registry ID number in row 1636 of the table for production class 3.</t>
  </si>
  <si>
    <t>Enter the registry ID number in row 1637 of the table for production class 3.</t>
  </si>
  <si>
    <t>Enter the registry ID number in row 1638 of the table for production class 3.</t>
  </si>
  <si>
    <t>Enter the registry ID number in row 1639 of the table for production class 3.</t>
  </si>
  <si>
    <t>Enter the registry ID number in row 1640 of the table for production class 3.</t>
  </si>
  <si>
    <t>Enter the registry ID number in row 1641 of the table for production class 3.</t>
  </si>
  <si>
    <t>Enter the registry ID number in row 1642 of the table for production class 3.</t>
  </si>
  <si>
    <t>Enter the registry ID number in row 1643 of the table for production class 3.</t>
  </si>
  <si>
    <t>Enter the registry ID number in row 1644 of the table for production class 3.</t>
  </si>
  <si>
    <t>Enter the registry ID number in row 1645 of the table for production class 3.</t>
  </si>
  <si>
    <t>Enter the registry ID number in row 1646 of the table for production class 3.</t>
  </si>
  <si>
    <t>Enter the registry ID number in row 1647 of the table for production class 3.</t>
  </si>
  <si>
    <t>Enter the registry ID number in row 1648 of the table for production class 3.</t>
  </si>
  <si>
    <t>Enter the registry ID number in row 1649 of the table for production class 3.</t>
  </si>
  <si>
    <t>Enter the registry ID number in row 1650 of the table for production class 3.</t>
  </si>
  <si>
    <t>Enter the registry ID number in row 1651 of the table for production class 3.</t>
  </si>
  <si>
    <t>Enter the registry ID number in row 1652 of the table for production class 3.</t>
  </si>
  <si>
    <t>Enter the registry ID number in row 1653 of the table for production class 3.</t>
  </si>
  <si>
    <t>Enter the registry ID number in row 1654 of the table for production class 3.</t>
  </si>
  <si>
    <t>Enter the registry ID number in row 1655 of the table for production class 3.</t>
  </si>
  <si>
    <t>Enter the registry ID number in row 1656 of the table for production class 3.</t>
  </si>
  <si>
    <t>Enter the registry ID number in row 1657 of the table for production class 3.</t>
  </si>
  <si>
    <t>Enter the registry ID number in row 1658 of the table for production class 3.</t>
  </si>
  <si>
    <t>Enter the registry ID number in row 1659 of the table for production class 3.</t>
  </si>
  <si>
    <t>Enter the registry ID number in row 1660 of the table for production class 3.</t>
  </si>
  <si>
    <t>Enter the registry ID number in row 1661 of the table for production class 3.</t>
  </si>
  <si>
    <t>Enter the registry ID number in row 1662 of the table for production class 3.</t>
  </si>
  <si>
    <t>Enter the registry ID number in row 1663 of the table for production class 3.</t>
  </si>
  <si>
    <t>Enter the registry ID number in row 1664 of the table for production class 3.</t>
  </si>
  <si>
    <t>Enter the registry ID number in row 1665 of the table for production class 3.</t>
  </si>
  <si>
    <t>Enter the registry ID number in row 1666 of the table for production class 3.</t>
  </si>
  <si>
    <t>Enter the registry ID number in row 1667 of the table for production class 3.</t>
  </si>
  <si>
    <t>Enter the registry ID number in row 1668 of the table for production class 3.</t>
  </si>
  <si>
    <t>Enter the registry ID number in row 1669 of the table for production class 3.</t>
  </si>
  <si>
    <t>Enter the registry ID number in row 1670 of the table for production class 3.</t>
  </si>
  <si>
    <t>Enter the registry ID number in row 1671 of the table for production class 3.</t>
  </si>
  <si>
    <t>Enter the registry ID number in row 1672 of the table for production class 3.</t>
  </si>
  <si>
    <t>Enter the registry ID number in row 1673 of the table for production class 3.</t>
  </si>
  <si>
    <t>Enter the registry ID number in row 1674 of the table for production class 3.</t>
  </si>
  <si>
    <t>Enter the registry ID number in row 1675 of the table for production class 3.</t>
  </si>
  <si>
    <t>Enter the registry ID number in row 1676 of the table for production class 3.</t>
  </si>
  <si>
    <t>Enter the registry ID number in row 1677 of the table for production class 3.</t>
  </si>
  <si>
    <t>Enter the registry ID number in row 1678 of the table for production class 3.</t>
  </si>
  <si>
    <t>Enter the registry ID number in row 1679 of the table for production class 3.</t>
  </si>
  <si>
    <t>Enter the registry ID number in row 1680 of the table for production class 3.</t>
  </si>
  <si>
    <t>Enter the registry ID number in row 1681 of the table for production class 3.</t>
  </si>
  <si>
    <t>Enter the registry ID number in row 1682 of the table for production class 3.</t>
  </si>
  <si>
    <t>Enter the registry ID number in row 1683 of the table for production class 3.</t>
  </si>
  <si>
    <t>Enter the registry ID number in row 1684 of the table for production class 3.</t>
  </si>
  <si>
    <t>Enter the registry ID number in row 1685 of the table for production class 3.</t>
  </si>
  <si>
    <t>Enter the registry ID number in row 1686 of the table for production class 3.</t>
  </si>
  <si>
    <t>Enter the registry ID number in row 1687 of the table for production class 3.</t>
  </si>
  <si>
    <t>Enter the registry ID number in row 1688 of the table for production class 3.</t>
  </si>
  <si>
    <t>Enter the registry ID number in row 1689 of the table for production class 3.</t>
  </si>
  <si>
    <t>Enter the registry ID number in row 1690 of the table for production class 3.</t>
  </si>
  <si>
    <t>Enter the registry ID number in row 1691 of the table for production class 3.</t>
  </si>
  <si>
    <t>Enter the registry ID number in row 1692 of the table for production class 3.</t>
  </si>
  <si>
    <t>Enter the registry ID number in row 1693 of the table for production class 3.</t>
  </si>
  <si>
    <t>Enter the registry ID number in row 1694 of the table for production class 3.</t>
  </si>
  <si>
    <t>Enter the registry ID number in row 1695 of the table for production class 3.</t>
  </si>
  <si>
    <t>Enter the registry ID number in row 1696 of the table for production class 3.</t>
  </si>
  <si>
    <t>Enter the registry ID number in row 1697 of the table for production class 3.</t>
  </si>
  <si>
    <t>Enter the registry ID number in row 1698 of the table for production class 3.</t>
  </si>
  <si>
    <t>Enter the registry ID number in row 1699 of the table for production class 3.</t>
  </si>
  <si>
    <t>Enter the registry ID number in row 1700 of the table for production class 3.</t>
  </si>
  <si>
    <t>Enter the registry ID number in row 1701 of the table for production class 3.</t>
  </si>
  <si>
    <t>Enter the registry ID number in row 1702 of the table for production class 3.</t>
  </si>
  <si>
    <t>Enter the registry ID number in row 1703 of the table for production class 3.</t>
  </si>
  <si>
    <t>Enter the registry ID number in row 1704 of the table for production class 3.</t>
  </si>
  <si>
    <t>Enter the registry ID number in row 1705 of the table for production class 3.</t>
  </si>
  <si>
    <t>Enter the registry ID number in row 1706 of the table for production class 3.</t>
  </si>
  <si>
    <t>Enter the registry ID number in row 1707 of the table for production class 3.</t>
  </si>
  <si>
    <t>Enter the registry ID number in row 1708 of the table for production class 3.</t>
  </si>
  <si>
    <t>Enter the registry ID number in row 1709 of the table for production class 3.</t>
  </si>
  <si>
    <t>Enter the registry ID number in row 1710 of the table for production class 3.</t>
  </si>
  <si>
    <t>Enter the registry ID number in row 1711 of the table for production class 3.</t>
  </si>
  <si>
    <t>Enter the registry ID number in row 1712 of the table for production class 3.</t>
  </si>
  <si>
    <t>Enter the registry ID number in row 1713 of the table for production class 3.</t>
  </si>
  <si>
    <t>Enter the registry ID number in row 1714 of the table for production class 3.</t>
  </si>
  <si>
    <t>Enter the registry ID number in row 1715 of the table for production class 3.</t>
  </si>
  <si>
    <t>Enter the registry ID number in row 1716 of the table for production class 3.</t>
  </si>
  <si>
    <t>Enter the registry ID number in row 1717 of the table for production class 3.</t>
  </si>
  <si>
    <t>Enter the registry ID number in row 1718 of the table for production class 3.</t>
  </si>
  <si>
    <t>Enter the registry ID number in row 1719 of the table for production class 3.</t>
  </si>
  <si>
    <t>Enter the registry ID number in row 1720 of the table for production class 3.</t>
  </si>
  <si>
    <t>Enter the registry ID number in row 1721 of the table for production class 3.</t>
  </si>
  <si>
    <t>Enter the registry ID number in row 1722 of the table for production class 3.</t>
  </si>
  <si>
    <t>Enter the registry ID number in row 1723 of the table for production class 3.</t>
  </si>
  <si>
    <t>Enter the registry ID number in row 1724 of the table for production class 3.</t>
  </si>
  <si>
    <t>Enter the registry ID number in row 1725 of the table for production class 3.</t>
  </si>
  <si>
    <t>Enter the registry ID number in row 1726 of the table for production class 3.</t>
  </si>
  <si>
    <t>Enter the registry ID number in row 1727 of the table for production class 3.</t>
  </si>
  <si>
    <t>Enter the registry ID number in row 1728 of the table for production class 3.</t>
  </si>
  <si>
    <t>Enter the registry ID number in row 1729 of the table for production class 3.</t>
  </si>
  <si>
    <t>Enter the registry ID number in row 1730 of the table for production class 3.</t>
  </si>
  <si>
    <t>Enter the registry ID number in row 1731 of the table for production class 3.</t>
  </si>
  <si>
    <t>Enter the registry ID number in row 1732 of the table for production class 3.</t>
  </si>
  <si>
    <t>Enter the registry ID number in row 1733 of the table for production class 3.</t>
  </si>
  <si>
    <t>Enter the registry ID number in row 1734 of the table for production class 3.</t>
  </si>
  <si>
    <t>Enter the registry ID number in row 1735 of the table for production class 3.</t>
  </si>
  <si>
    <t>Enter the registry ID number in row 1736 of the table for production class 3.</t>
  </si>
  <si>
    <t>Enter the registry ID number in row 1737 of the table for production class 3.</t>
  </si>
  <si>
    <t>Enter the registry ID number in row 1738 of the table for production class 3.</t>
  </si>
  <si>
    <t>Enter the registry ID number in row 1739 of the table for production class 3.</t>
  </si>
  <si>
    <t>Enter the registry ID number in row 1740 of the table for production class 3.</t>
  </si>
  <si>
    <t>Enter the registry ID number in row 1741 of the table for production class 3.</t>
  </si>
  <si>
    <t>Enter the registry ID number in row 1742 of the table for production class 3.</t>
  </si>
  <si>
    <t>Enter the registry ID number in row 1743 of the table for production class 3.</t>
  </si>
  <si>
    <t>Enter the registry ID number in row 1744 of the table for production class 3.</t>
  </si>
  <si>
    <t>Enter the registry ID number in row 1745 of the table for production class 3.</t>
  </si>
  <si>
    <t>Enter the registry ID number in row 1746 of the table for production class 3.</t>
  </si>
  <si>
    <t>Enter the registry ID number in row 1747 of the table for production class 3.</t>
  </si>
  <si>
    <t>Enter the registry ID number in row 1748 of the table for production class 3.</t>
  </si>
  <si>
    <t>Enter the registry ID number in row 1749 of the table for production class 3.</t>
  </si>
  <si>
    <t>Enter the registry ID number in row 1750 of the table for production class 3.</t>
  </si>
  <si>
    <t>Enter the registry ID number in row 1751 of the table for production class 3.</t>
  </si>
  <si>
    <t>Enter the registry ID number in row 1752 of the table for production class 3.</t>
  </si>
  <si>
    <t>Enter the registry ID number in row 1753 of the table for production class 3.</t>
  </si>
  <si>
    <t>Enter the registry ID number in row 1754 of the table for production class 3.</t>
  </si>
  <si>
    <t>Enter the registry ID number in row 1755 of the table for production class 3.</t>
  </si>
  <si>
    <t>Enter the registry ID number in row 1756 of the table for production class 3.</t>
  </si>
  <si>
    <t>Enter the registry ID number in row 1757 of the table for production class 3.</t>
  </si>
  <si>
    <t>Enter the registry ID number in row 1758 of the table for production class 3.</t>
  </si>
  <si>
    <t>Enter the registry ID number in row 1759 of the table for production class 3.</t>
  </si>
  <si>
    <t>Enter the registry ID number in row 1760 of the table for production class 3.</t>
  </si>
  <si>
    <t>Enter the registry ID number in row 1761 of the table for production class 3.</t>
  </si>
  <si>
    <t>Enter the registry ID number in row 1762 of the table for production class 3.</t>
  </si>
  <si>
    <t>Enter the registry ID number in row 1763 of the table for production class 3.</t>
  </si>
  <si>
    <t>Enter the registry ID number in row 1764 of the table for production class 3.</t>
  </si>
  <si>
    <t>Enter the registry ID number in row 1765 of the table for production class 3.</t>
  </si>
  <si>
    <t>Enter the registry ID number in row 1766 of the table for production class 3.</t>
  </si>
  <si>
    <t>Enter the registry ID number in row 1767 of the table for production class 3.</t>
  </si>
  <si>
    <t>Enter the registry ID number in row 1768 of the table for production class 3.</t>
  </si>
  <si>
    <t>Enter the registry ID number in row 1769 of the table for production class 3.</t>
  </si>
  <si>
    <t>Enter the registry ID number in row 1770 of the table for production class 3.</t>
  </si>
  <si>
    <t>Enter the registry ID number in row 1771 of the table for production class 3.</t>
  </si>
  <si>
    <t>Enter the registry ID number in row 1772 of the table for production class 3.</t>
  </si>
  <si>
    <t>Enter the registry ID number in row 1773 of the table for production class 3.</t>
  </si>
  <si>
    <t>Enter the registry ID number in row 1774 of the table for production class 3.</t>
  </si>
  <si>
    <t>Enter the registry ID number in row 1775 of the table for production class 3.</t>
  </si>
  <si>
    <t>Enter the registry ID number in row 1776 of the table for production class 3.</t>
  </si>
  <si>
    <t>Enter the registry ID number in row 1777 of the table for production class 3.</t>
  </si>
  <si>
    <t>Enter the registry ID number in row 1778 of the table for production class 3.</t>
  </si>
  <si>
    <t>Enter the registry ID number in row 1779 of the table for production class 3.</t>
  </si>
  <si>
    <t>Enter the registry ID number in row 1780 of the table for production class 3.</t>
  </si>
  <si>
    <t>Enter the registry ID number in row 1781 of the table for production class 3.</t>
  </si>
  <si>
    <t>Enter the registry ID number in row 1782 of the table for production class 3.</t>
  </si>
  <si>
    <t>Enter the registry ID number in row 1783 of the table for production class 3.</t>
  </si>
  <si>
    <t>Enter the registry ID number in row 1784 of the table for production class 3.</t>
  </si>
  <si>
    <t>Enter the registry ID number in row 1785 of the table for production class 3.</t>
  </si>
  <si>
    <t>Enter the registry ID number in row 1786 of the table for production class 3.</t>
  </si>
  <si>
    <t>Enter the registry ID number in row 1787 of the table for production class 3.</t>
  </si>
  <si>
    <t>Enter the registry ID number in row 1788 of the table for production class 3.</t>
  </si>
  <si>
    <t>Enter the registry ID number in row 1789 of the table for production class 3.</t>
  </si>
  <si>
    <t>Enter the registry ID number in row 1790 of the table for production class 3.</t>
  </si>
  <si>
    <t>Enter the registry ID number in row 1791 of the table for production class 3.</t>
  </si>
  <si>
    <t>Enter the registry ID number in row 1792 of the table for production class 3.</t>
  </si>
  <si>
    <t>Enter the registry ID number in row 1793 of the table for production class 3.</t>
  </si>
  <si>
    <t>Enter the registry ID number in row 1794 of the table for production class 3.</t>
  </si>
  <si>
    <t>Enter the registry ID number in row 1795 of the table for production class 3.</t>
  </si>
  <si>
    <t>Enter the registry ID number in row 1796 of the table for production class 3.</t>
  </si>
  <si>
    <t>Enter the registry ID number in row 1797 of the table for production class 3.</t>
  </si>
  <si>
    <t>Enter the registry ID number in row 1798 of the table for production class 3.</t>
  </si>
  <si>
    <t>Enter the registry ID number in row 1799 of the table for production class 3.</t>
  </si>
  <si>
    <t>Enter the registry ID number in row 1800 of the table for production class 3.</t>
  </si>
  <si>
    <t>Enter the registry ID number in row 1801 of the table for production class 3.</t>
  </si>
  <si>
    <t>Enter the registry ID number in row 1802 of the table for production class 3.</t>
  </si>
  <si>
    <t>Enter the registry ID number in row 1803 of the table for production class 3.</t>
  </si>
  <si>
    <t>Enter the registry ID number in row 1804 of the table for production class 3.</t>
  </si>
  <si>
    <t>Enter the registry ID number in row 1805 of the table for production class 3.</t>
  </si>
  <si>
    <t>Enter the registry ID number in row 1806 of the table for production class 3.</t>
  </si>
  <si>
    <t>Enter the registry ID number in row 1807 of the table for production class 3.</t>
  </si>
  <si>
    <t>Enter the registry ID number in row 1808 of the table for production class 3.</t>
  </si>
  <si>
    <t>Enter the registry ID number in row 1809 of the table for production class 3.</t>
  </si>
  <si>
    <t>Enter the registry ID number in row 1810 of the table for production class 3.</t>
  </si>
  <si>
    <t>Enter the registry ID number in row 1811 of the table for production class 3.</t>
  </si>
  <si>
    <t>Enter the registry ID number in row 1812 of the table for production class 3.</t>
  </si>
  <si>
    <t>Enter the registry ID number in row 1813 of the table for production class 3.</t>
  </si>
  <si>
    <t>Enter the registry ID number in row 1814 of the table for production class 3.</t>
  </si>
  <si>
    <t>Enter the registry ID number in row 1815 of the table for production class 3.</t>
  </si>
  <si>
    <t>Enter the registry ID number in row 1816 of the table for production class 3.</t>
  </si>
  <si>
    <t>Enter the registry ID number in row 1817 of the table for production class 3.</t>
  </si>
  <si>
    <t>Enter the registry ID number in row 1818 of the table for production class 3.</t>
  </si>
  <si>
    <t>Enter the registry ID number in row 1819 of the table for production class 3.</t>
  </si>
  <si>
    <t>Enter the registry ID number in row 1820 of the table for production class 3.</t>
  </si>
  <si>
    <t>Enter the registry ID number in row 1821 of the table for production class 3.</t>
  </si>
  <si>
    <t>Enter the registry ID number in row 1822 of the table for production class 3.</t>
  </si>
  <si>
    <t>Enter the registry ID number in row 1823 of the table for production class 3.</t>
  </si>
  <si>
    <t>Enter the registry ID number in row 1824 of the table for production class 3.</t>
  </si>
  <si>
    <t>Enter the registry ID number in row 1825 of the table for production class 3.</t>
  </si>
  <si>
    <t>Enter the registry ID number in row 1826 of the table for production class 3.</t>
  </si>
  <si>
    <t>Enter the registry ID number in row 1827 of the table for production class 3.</t>
  </si>
  <si>
    <t>Enter the registry ID number in row 1828 of the table for production class 3.</t>
  </si>
  <si>
    <t>Enter the registry ID number in row 1829 of the table for production class 3.</t>
  </si>
  <si>
    <t>Enter the registry ID number in row 1830 of the table for production class 3.</t>
  </si>
  <si>
    <t>Enter the registry ID number in row 1831 of the table for production class 3.</t>
  </si>
  <si>
    <t>Enter the registry ID number in row 1832 of the table for production class 3.</t>
  </si>
  <si>
    <t>Enter the registry ID number in row 1833 of the table for production class 3.</t>
  </si>
  <si>
    <t>Enter the registry ID number in row 1834 of the table for production class 3.</t>
  </si>
  <si>
    <t>Enter the registry ID number in row 1835 of the table for production class 3.</t>
  </si>
  <si>
    <t>Enter the registry ID number in row 1836 of the table for production class 3.</t>
  </si>
  <si>
    <t>Enter the registry ID number in row 1837 of the table for production class 3.</t>
  </si>
  <si>
    <t>Enter the registry ID number in row 1838 of the table for production class 3.</t>
  </si>
  <si>
    <t>Enter the registry ID number in row 1839 of the table for production class 3.</t>
  </si>
  <si>
    <t>Enter the registry ID number in row 1840 of the table for production class 3.</t>
  </si>
  <si>
    <t>Enter the registry ID number in row 1841 of the table for production class 3.</t>
  </si>
  <si>
    <t>Enter the registry ID number in row 1842 of the table for production class 3.</t>
  </si>
  <si>
    <t>Enter the registry ID number in row 1843 of the table for production class 3.</t>
  </si>
  <si>
    <t>Enter the registry ID number in row 1844 of the table for production class 3.</t>
  </si>
  <si>
    <t>Enter the registry ID number in row 1845 of the table for production class 3.</t>
  </si>
  <si>
    <t>Enter the registry ID number in row 1846 of the table for production class 3.</t>
  </si>
  <si>
    <t>Enter the registry ID number in row 1847 of the table for production class 3.</t>
  </si>
  <si>
    <t>Enter the registry ID number in row 1848 of the table for production class 3.</t>
  </si>
  <si>
    <t>Enter the registry ID number in row 1849 of the table for production class 3.</t>
  </si>
  <si>
    <t>Enter the registry ID number in row 1850 of the table for production class 3.</t>
  </si>
  <si>
    <t>Enter the registry ID number in row 1851 of the table for production class 3.</t>
  </si>
  <si>
    <t>Enter the registry ID number in row 1852 of the table for production class 3.</t>
  </si>
  <si>
    <t>Enter the registry ID number in row 1853 of the table for production class 3.</t>
  </si>
  <si>
    <t>Enter the registry ID number in row 1854 of the table for production class 3.</t>
  </si>
  <si>
    <t>Enter the registry ID number in row 1855 of the table for production class 3.</t>
  </si>
  <si>
    <t>Enter the registry ID number in row 1856 of the table for production class 3.</t>
  </si>
  <si>
    <t>Enter the registry ID number in row 1857 of the table for production class 3.</t>
  </si>
  <si>
    <t>Enter the registry ID number in row 1858 of the table for production class 3.</t>
  </si>
  <si>
    <t>Enter the registry ID number in row 1859 of the table for production class 3.</t>
  </si>
  <si>
    <t>Enter the registry ID number in row 1860 of the table for production class 3.</t>
  </si>
  <si>
    <t>Enter the registry ID number in row 1861 of the table for production class 3.</t>
  </si>
  <si>
    <t>Enter the registry ID number in row 1862 of the table for production class 3.</t>
  </si>
  <si>
    <t>Enter the registry ID number in row 1863 of the table for production class 3.</t>
  </si>
  <si>
    <t>Enter the registry ID number in row 1864 of the table for production class 3.</t>
  </si>
  <si>
    <t>Enter the registry ID number in row 1865 of the table for production class 3.</t>
  </si>
  <si>
    <t>Enter the registry ID number in row 1866 of the table for production class 3.</t>
  </si>
  <si>
    <t>Enter the registry ID number in row 1867 of the table for production class 3.</t>
  </si>
  <si>
    <t>Enter the registry ID number in row 1868 of the table for production class 3.</t>
  </si>
  <si>
    <t>Enter the registry ID number in row 1869 of the table for production class 3.</t>
  </si>
  <si>
    <t>Enter the registry ID number in row 1870 of the table for production class 3.</t>
  </si>
  <si>
    <t>Enter the registry ID number in row 1871 of the table for production class 3.</t>
  </si>
  <si>
    <t>Enter the registry ID number in row 1872 of the table for production class 3.</t>
  </si>
  <si>
    <t>Enter the registry ID number in row 1873 of the table for production class 3.</t>
  </si>
  <si>
    <t>Enter the registry ID number in row 1874 of the table for production class 3.</t>
  </si>
  <si>
    <t>Enter the registry ID number in row 1875 of the table for production class 3.</t>
  </si>
  <si>
    <t>Enter the registry ID number in row 1876 of the table for production class 3.</t>
  </si>
  <si>
    <t>Enter the registry ID number in row 1877 of the table for production class 3.</t>
  </si>
  <si>
    <t>Enter the registry ID number in row 1878 of the table for production class 3.</t>
  </si>
  <si>
    <t>Enter the registry ID number in row 1879 of the table for production class 3.</t>
  </si>
  <si>
    <t>Enter the registry ID number in row 1880 of the table for production class 3.</t>
  </si>
  <si>
    <t>Enter the registry ID number in row 1881 of the table for production class 3.</t>
  </si>
  <si>
    <t>Enter the registry ID number in row 1882 of the table for production class 3.</t>
  </si>
  <si>
    <t>Enter the registry ID number in row 1883 of the table for production class 3.</t>
  </si>
  <si>
    <t>Enter the registry ID number in row 1884 of the table for production class 3.</t>
  </si>
  <si>
    <t>Enter the registry ID number in row 1885 of the table for production class 3.</t>
  </si>
  <si>
    <t>Enter the registry ID number in row 1886 of the table for production class 3.</t>
  </si>
  <si>
    <t>Enter the registry ID number in row 1887 of the table for production class 3.</t>
  </si>
  <si>
    <t>Enter the registry ID number in row 1888 of the table for production class 3.</t>
  </si>
  <si>
    <t>Enter the registry ID number in row 1889 of the table for production class 3.</t>
  </si>
  <si>
    <t>Enter the registry ID number in row 1890 of the table for production class 3.</t>
  </si>
  <si>
    <t>Enter the registry ID number in row 1891 of the table for production class 3.</t>
  </si>
  <si>
    <t>Enter the registry ID number in row 1892 of the table for production class 3.</t>
  </si>
  <si>
    <t>Enter the registry ID number in row 1893 of the table for production class 3.</t>
  </si>
  <si>
    <t>Enter the registry ID number in row 1894 of the table for production class 3.</t>
  </si>
  <si>
    <t>Enter the registry ID number in row 1895 of the table for production class 3.</t>
  </si>
  <si>
    <t>Enter the registry ID number in row 1896 of the table for production class 3.</t>
  </si>
  <si>
    <t>Enter the registry ID number in row 1897 of the table for production class 3.</t>
  </si>
  <si>
    <t>Enter the registry ID number in row 1898 of the table for production class 3.</t>
  </si>
  <si>
    <t>Enter the registry ID number in row 1899 of the table for production class 3.</t>
  </si>
  <si>
    <t>Enter the registry ID number in row 1900 of the table for production class 3.</t>
  </si>
  <si>
    <t>Enter the registry ID number in row 1901 of the table for production class 3.</t>
  </si>
  <si>
    <t>Enter the registry ID number in row 1902 of the table for production class 3.</t>
  </si>
  <si>
    <t>Enter the registry ID number in row 1903 of the table for production class 3.</t>
  </si>
  <si>
    <t>Enter the registry ID number in row 1904 of the table for production class 3.</t>
  </si>
  <si>
    <t>Enter the registry ID number in row 1905 of the table for production class 3.</t>
  </si>
  <si>
    <t>Enter the registry ID number in row 1906 of the table for production class 3.</t>
  </si>
  <si>
    <t>Enter the registry ID number in row 1907 of the table for production class 3.</t>
  </si>
  <si>
    <t>Enter the registry ID number in row 1908 of the table for production class 3.</t>
  </si>
  <si>
    <t>Enter the registry ID number in row 1909 of the table for production class 3.</t>
  </si>
  <si>
    <t>Enter the registry ID number in row 1910 of the table for production class 3.</t>
  </si>
  <si>
    <t>Enter the registry ID number in row 1911 of the table for production class 3.</t>
  </si>
  <si>
    <t>Enter the registry ID number in row 1912 of the table for production class 3.</t>
  </si>
  <si>
    <t>Enter the registry ID number in row 1913 of the table for production class 3.</t>
  </si>
  <si>
    <t>Enter the registry ID number in row 1914 of the table for production class 3.</t>
  </si>
  <si>
    <t>Enter the registry ID number in row 1915 of the table for production class 3.</t>
  </si>
  <si>
    <t>Enter the registry ID number in row 1916 of the table for production class 3.</t>
  </si>
  <si>
    <t>Enter the registry ID number in row 1917 of the table for production class 3.</t>
  </si>
  <si>
    <t>Enter the registry ID number in row 1918 of the table for production class 3.</t>
  </si>
  <si>
    <t>Enter the registry ID number in row 1919 of the table for production class 3.</t>
  </si>
  <si>
    <t>Enter the registry ID number in row 1920 of the table for production class 3.</t>
  </si>
  <si>
    <t>Enter the registry ID number in row 1921 of the table for production class 3.</t>
  </si>
  <si>
    <t>Enter the registry ID number in row 1922 of the table for production class 3.</t>
  </si>
  <si>
    <t>Enter the registry ID number in row 1923 of the table for production class 3.</t>
  </si>
  <si>
    <t>Enter the registry ID number in row 1924 of the table for production class 3.</t>
  </si>
  <si>
    <t>Enter the registry ID number in row 1925 of the table for production class 3.</t>
  </si>
  <si>
    <t>Enter the registry ID number in row 1926 of the table for production class 3.</t>
  </si>
  <si>
    <t>Enter the registry ID number in row 1927 of the table for production class 3.</t>
  </si>
  <si>
    <t>Enter the registry ID number in row 1928 of the table for production class 3.</t>
  </si>
  <si>
    <t>Enter the registry ID number in row 1929 of the table for production class 3.</t>
  </si>
  <si>
    <t>Enter the registry ID number in row 1930 of the table for production class 3.</t>
  </si>
  <si>
    <t>Enter the registry ID number in row 1931 of the table for production class 3.</t>
  </si>
  <si>
    <t>Enter the registry ID number in row 1932 of the table for production class 3.</t>
  </si>
  <si>
    <t>Enter the registry ID number in row 1933 of the table for production class 3.</t>
  </si>
  <si>
    <t>Enter the registry ID number in row 1934 of the table for production class 3.</t>
  </si>
  <si>
    <t>Enter the registry ID number in row 1935 of the table for production class 3.</t>
  </si>
  <si>
    <t>Enter the registry ID number in row 1936 of the table for production class 3.</t>
  </si>
  <si>
    <t>Enter the registry ID number in row 1937 of the table for production class 3.</t>
  </si>
  <si>
    <t>Enter the registry ID number in row 1938 of the table for production class 3.</t>
  </si>
  <si>
    <t>Enter the registry ID number in row 1939 of the table for production class 3.</t>
  </si>
  <si>
    <t>Enter the registry ID number in row 1940 of the table for production class 3.</t>
  </si>
  <si>
    <t>Enter the registry ID number in row 1941 of the table for production class 3.</t>
  </si>
  <si>
    <t>Enter the registry ID number in row 1942 of the table for production class 3.</t>
  </si>
  <si>
    <t>Enter the registry ID number in row 1943 of the table for production class 3.</t>
  </si>
  <si>
    <t>Enter the registry ID number in row 1944 of the table for production class 3.</t>
  </si>
  <si>
    <t>Enter the registry ID number in row 1945 of the table for production class 3.</t>
  </si>
  <si>
    <t>Enter the registry ID number in row 1946 of the table for production class 3.</t>
  </si>
  <si>
    <t>Enter the registry ID number in row 1947 of the table for production class 3.</t>
  </si>
  <si>
    <t>Enter the registry ID number in row 1948 of the table for production class 3.</t>
  </si>
  <si>
    <t>Enter the registry ID number in row 1949 of the table for production class 3.</t>
  </si>
  <si>
    <t>Enter the registry ID number in row 1950 of the table for production class 3.</t>
  </si>
  <si>
    <t>Enter the registry ID number in row 1951 of the table for production class 3.</t>
  </si>
  <si>
    <t>Enter the registry ID number in row 1952 of the table for production class 3.</t>
  </si>
  <si>
    <t>Enter the registry ID number in row 1953 of the table for production class 3.</t>
  </si>
  <si>
    <t>Enter the registry ID number in row 1954 of the table for production class 3.</t>
  </si>
  <si>
    <t>Enter the registry ID number in row 1955 of the table for production class 3.</t>
  </si>
  <si>
    <t>Enter the registry ID number in row 1956 of the table for production class 3.</t>
  </si>
  <si>
    <t>Enter the registry ID number in row 1957 of the table for production class 3.</t>
  </si>
  <si>
    <t>Enter the registry ID number in row 1958 of the table for production class 3.</t>
  </si>
  <si>
    <t>Enter the registry ID number in row 1959 of the table for production class 3.</t>
  </si>
  <si>
    <t>Enter the registry ID number in row 1960 of the table for production class 3.</t>
  </si>
  <si>
    <t>Enter the registry ID number in row 1961 of the table for production class 3.</t>
  </si>
  <si>
    <t>Enter the registry ID number in row 1962 of the table for production class 3.</t>
  </si>
  <si>
    <t>Enter the registry ID number in row 1963 of the table for production class 3.</t>
  </si>
  <si>
    <t>Enter the registry ID number in row 1964 of the table for production class 3.</t>
  </si>
  <si>
    <t>Enter the registry ID number in row 1965 of the table for production class 3.</t>
  </si>
  <si>
    <t>Enter the registry ID number in row 1966 of the table for production class 3.</t>
  </si>
  <si>
    <t>Enter the registry ID number in row 1967 of the table for production class 3.</t>
  </si>
  <si>
    <t>Enter the registry ID number in row 1968 of the table for production class 3.</t>
  </si>
  <si>
    <t>Enter the registry ID number in row 1969 of the table for production class 3.</t>
  </si>
  <si>
    <t>Enter the registry ID number in row 1970 of the table for production class 3.</t>
  </si>
  <si>
    <t>Enter the registry ID number in row 1971 of the table for production class 3.</t>
  </si>
  <si>
    <t>Enter the registry ID number in row 1972 of the table for production class 3.</t>
  </si>
  <si>
    <t>Enter the registry ID number in row 1973 of the table for production class 3.</t>
  </si>
  <si>
    <t>Enter the registry ID number in row 1974 of the table for production class 3.</t>
  </si>
  <si>
    <t>Enter the registry ID number in row 1975 of the table for production class 3.</t>
  </si>
  <si>
    <t>Enter the registry ID number in row 1976 of the table for production class 3.</t>
  </si>
  <si>
    <t>Enter the registry ID number in row 1977 of the table for production class 3.</t>
  </si>
  <si>
    <t>Enter the registry ID number in row 1978 of the table for production class 3.</t>
  </si>
  <si>
    <t>Enter the registry ID number in row 1979 of the table for production class 3.</t>
  </si>
  <si>
    <t>Enter the registry ID number in row 1980 of the table for production class 3.</t>
  </si>
  <si>
    <t>Enter the registry ID number in row 1981 of the table for production class 3.</t>
  </si>
  <si>
    <t>Enter the registry ID number in row 1982 of the table for production class 3.</t>
  </si>
  <si>
    <t>Enter the registry ID number in row 1983 of the table for production class 3.</t>
  </si>
  <si>
    <t>Enter the registry ID number in row 1984 of the table for production class 3.</t>
  </si>
  <si>
    <t>Enter the registry ID number in row 1985 of the table for production class 3.</t>
  </si>
  <si>
    <t>Enter the registry ID number in row 1986 of the table for production class 3.</t>
  </si>
  <si>
    <t>Enter the registry ID number in row 1987 of the table for production class 3.</t>
  </si>
  <si>
    <t>Enter the registry ID number in row 1988 of the table for production class 3.</t>
  </si>
  <si>
    <t>Enter the registry ID number in row 1989 of the table for production class 3.</t>
  </si>
  <si>
    <t>Enter the registry ID number in row 1990 of the table for production class 3.</t>
  </si>
  <si>
    <t>Enter the registry ID number in row 1991 of the table for production class 3.</t>
  </si>
  <si>
    <t>Enter the registry ID number in row 1992 of the table for production class 3.</t>
  </si>
  <si>
    <t>Enter the registry ID number in row 1993 of the table for production class 3.</t>
  </si>
  <si>
    <t>Enter the registry ID number in row 1994 of the table for production class 3.</t>
  </si>
  <si>
    <t>Enter the registry ID number in row 1995 of the table for production class 3.</t>
  </si>
  <si>
    <t>Enter the registry ID number in row 1996 of the table for production class 3.</t>
  </si>
  <si>
    <t>Enter the registry ID number in row 1997 of the table for production class 3.</t>
  </si>
  <si>
    <t>Enter the registry ID number in row 1998 of the table for production class 3.</t>
  </si>
  <si>
    <t>Enter the registry ID number in row 1999 of the table for production class 3.</t>
  </si>
  <si>
    <t>Enter the registry ID number in row 2000 of the table for production class 3.</t>
  </si>
  <si>
    <t>Enter the registry ID number in row 2001 of the table for production class 3.</t>
  </si>
  <si>
    <t>Enter the registry ID number in row 2002 of the table for production class 3.</t>
  </si>
  <si>
    <t>Enter the registry ID number in row 2003 of the table for production class 3.</t>
  </si>
  <si>
    <t>Enter the registry ID number in row 2004 of the table for production class 3.</t>
  </si>
  <si>
    <t>Enter the registry ID number in row 2005 of the table for production class 3.</t>
  </si>
  <si>
    <t>Enter the registry ID number in row 2006 of the table for production class 3.</t>
  </si>
  <si>
    <t>Enter the registry ID number in row 2007 of the table for production class 3.</t>
  </si>
  <si>
    <t>Enter the registry ID number in row 2008 of the table for production class 3.</t>
  </si>
  <si>
    <t>Enter the registry ID number in row 2009 of the table for production class 3.</t>
  </si>
  <si>
    <t>Enter the registry ID number in row 2010 of the table for production class 3.</t>
  </si>
  <si>
    <t>Enter the registry ID number in row 2011 of the table for production class 3.</t>
  </si>
  <si>
    <t>Enter the registry ID number in row 2012 of the table for production class 3.</t>
  </si>
  <si>
    <t>Enter the registry ID number in row 2013 of the table for production class 3.</t>
  </si>
  <si>
    <t>Enter the registry ID number in row 2014 of the table for production class 3.</t>
  </si>
  <si>
    <t>Enter the registry ID number in row 2015 of the table for production class 3.</t>
  </si>
  <si>
    <t>Enter the registry ID number in row 2016 of the table for production class 3.</t>
  </si>
  <si>
    <t>Enter the registry ID number in row 2017 of the table for production class 3.</t>
  </si>
  <si>
    <t>Enter the registry ID number in row 2018 of the table for production class 3.</t>
  </si>
  <si>
    <t>Enter the registry ID number in row 2019 of the table for production class 3.</t>
  </si>
  <si>
    <t>Enter the registry ID number in row 2020 of the table for production class 3.</t>
  </si>
  <si>
    <t>Enter the registry ID number in row 2021 of the table for production class 3.</t>
  </si>
  <si>
    <t>Enter the registry ID number in row 2022 of the table for production class 3.</t>
  </si>
  <si>
    <t>Enter the registry ID number in row 2023 of the table for production class 3.</t>
  </si>
  <si>
    <t>Enter the registry ID number in row 2024 of the table for production class 3.</t>
  </si>
  <si>
    <t>Enter the registry ID number in row 2025 of the table for production class 3.</t>
  </si>
  <si>
    <t>Enter the registry ID number in row 2026 of the table for production class 3.</t>
  </si>
  <si>
    <t>Enter the registry ID number in row 2027 of the table for production class 3.</t>
  </si>
  <si>
    <t>Enter the registry ID number in row 2028 of the table for production class 3.</t>
  </si>
  <si>
    <t>Enter the registry ID number in row 2029 of the table for production class 3.</t>
  </si>
  <si>
    <t>Enter the registry ID number in row 2030 of the table for production class 3.</t>
  </si>
  <si>
    <t>Enter the registry ID number in row 2031 of the table for production class 3.</t>
  </si>
  <si>
    <t>Enter the registry ID number in row 2032 of the table for production class 3.</t>
  </si>
  <si>
    <t>Enter the registry ID number in row 2033 of the table for production class 3.</t>
  </si>
  <si>
    <t>Enter the registry ID number in row 2034 of the table for production class 3.</t>
  </si>
  <si>
    <t>Enter the registry ID number in row 2035 of the table for production class 3.</t>
  </si>
  <si>
    <t>Enter the registry ID number in row 2036 of the table for production class 3.</t>
  </si>
  <si>
    <t>Enter the registry ID number in row 2037 of the table for production class 3.</t>
  </si>
  <si>
    <t>Enter the registry ID number in row 2038 of the table for production class 3.</t>
  </si>
  <si>
    <t>Enter the registry ID number in row 2039 of the table for production class 3.</t>
  </si>
  <si>
    <t>Enter the registry ID number in row 2040 of the table for production class 3.</t>
  </si>
  <si>
    <t>Enter the registry ID number in row 2041 of the table for production class 3.</t>
  </si>
  <si>
    <t>Enter the registry ID number in row 2042 of the table for production class 3.</t>
  </si>
  <si>
    <t>Enter the registry ID number in row 2043 of the table for production class 3.</t>
  </si>
  <si>
    <t>Enter the registry ID number in row 2044 of the table for production class 3.</t>
  </si>
  <si>
    <t>Enter the registry ID number in row 2045 of the table for production class 3.</t>
  </si>
  <si>
    <t>Enter the registry ID number in row 2046 of the table for production class 3.</t>
  </si>
  <si>
    <t>Enter the registry ID number in row 2047 of the table for production class 3.</t>
  </si>
  <si>
    <t>Enter the registry ID number in row 2048 of the table for production class 3.</t>
  </si>
  <si>
    <t>Enter the registry ID number in row 2049 of the table for production class 3.</t>
  </si>
  <si>
    <t>Enter the registry ID number in row 2050 of the table for production class 3.</t>
  </si>
  <si>
    <t>Enter the registry ID number in row 2051 of the table for production class 3.</t>
  </si>
  <si>
    <t>Enter the registry ID number in row 2052 of the table for production class 3.</t>
  </si>
  <si>
    <t>Enter the registry ID number in row 2053 of the table for production class 3.</t>
  </si>
  <si>
    <t>Enter the registry ID number in row 2054 of the table for production class 3.</t>
  </si>
  <si>
    <t>Enter the registry ID number in row 2055 of the table for production class 3.</t>
  </si>
  <si>
    <t>Enter the registry ID number in row 2056 of the table for production class 3.</t>
  </si>
  <si>
    <t>Enter the registry ID number in row 2057 of the table for production class 3.</t>
  </si>
  <si>
    <t>Enter the registry ID number in row 2058 of the table for production class 3.</t>
  </si>
  <si>
    <t>Enter the registry ID number in row 2059 of the table for production class 3.</t>
  </si>
  <si>
    <t>Enter the registry ID number in row 2060 of the table for production class 3.</t>
  </si>
  <si>
    <t>Enter the registry ID number in row 2061 of the table for production class 3.</t>
  </si>
  <si>
    <t>Enter the registry ID number in row 2062 of the table for production class 3.</t>
  </si>
  <si>
    <t>Enter the registry ID number in row 2063 of the table for production class 3.</t>
  </si>
  <si>
    <t>Enter the registry ID number in row 2064 of the table for production class 3.</t>
  </si>
  <si>
    <t>Enter the registry ID number in row 2065 of the table for production class 3.</t>
  </si>
  <si>
    <t>Enter the registry ID number in row 2066 of the table for production class 3.</t>
  </si>
  <si>
    <t>Enter the registry ID number in row 2067 of the table for production class 3.</t>
  </si>
  <si>
    <t>Enter the registry ID number in row 2068 of the table for production class 3.</t>
  </si>
  <si>
    <t>Enter the registry ID number in row 2069 of the table for production class 3.</t>
  </si>
  <si>
    <t>Enter the registry ID number in row 2070 of the table for production class 3.</t>
  </si>
  <si>
    <t>Enter the registry ID number in row 2071 of the table for production class 3.</t>
  </si>
  <si>
    <t>Enter the registry ID number in row 2072 of the table for production class 3.</t>
  </si>
  <si>
    <t>Enter the registry ID number in row 2073 of the table for production class 3.</t>
  </si>
  <si>
    <t>Enter the registry ID number in row 2074 of the table for production class 3.</t>
  </si>
  <si>
    <t>Enter the registry ID number in row 2075 of the table for production class 3.</t>
  </si>
  <si>
    <t>Enter the registry ID number in row 2076 of the table for production class 3.</t>
  </si>
  <si>
    <t>Enter the registry ID number in row 2077 of the table for production class 3.</t>
  </si>
  <si>
    <t>Enter the registry ID number in row 2078 of the table for production class 3.</t>
  </si>
  <si>
    <t>Enter the registry ID number in row 2079 of the table for production class 3.</t>
  </si>
  <si>
    <t>Enter the registry ID number in row 2080 of the table for production class 3.</t>
  </si>
  <si>
    <t>Enter the registry ID number in row 2081 of the table for production class 3.</t>
  </si>
  <si>
    <t>Enter the registry ID number in row 2082 of the table for production class 3.</t>
  </si>
  <si>
    <t>Enter the registry ID number in row 2083 of the table for production class 3.</t>
  </si>
  <si>
    <t>Enter the registry ID number in row 2084 of the table for production class 3.</t>
  </si>
  <si>
    <t>Enter the registry ID number in row 2085 of the table for production class 3.</t>
  </si>
  <si>
    <t>Enter the registry ID number in row 2086 of the table for production class 3.</t>
  </si>
  <si>
    <t>Enter the registry ID number in row 2087 of the table for production class 3.</t>
  </si>
  <si>
    <t>Enter the registry ID number in row 2088 of the table for production class 3.</t>
  </si>
  <si>
    <t>Enter the registry ID number in row 2089 of the table for production class 3.</t>
  </si>
  <si>
    <t>Enter the registry ID number in row 2090 of the table for production class 3.</t>
  </si>
  <si>
    <t>Enter the registry ID number in row 2091 of the table for production class 3.</t>
  </si>
  <si>
    <t>Enter the registry ID number in row 2092 of the table for production class 3.</t>
  </si>
  <si>
    <t>Enter the registry ID number in row 2093 of the table for production class 3.</t>
  </si>
  <si>
    <t>Enter the registry ID number in row 2094 of the table for production class 3.</t>
  </si>
  <si>
    <t>Enter the registry ID number in row 2095 of the table for production class 3.</t>
  </si>
  <si>
    <t>Enter the registry ID number in row 2096 of the table for production class 3.</t>
  </si>
  <si>
    <t>Enter the registry ID number in row 2097 of the table for production class 3.</t>
  </si>
  <si>
    <t>Enter the registry ID number in row 2098 of the table for production class 3.</t>
  </si>
  <si>
    <t>Enter the registry ID number in row 2099 of the table for production class 3.</t>
  </si>
  <si>
    <t>Enter the registry ID number in row 2100 of the table for production class 3.</t>
  </si>
  <si>
    <t>Enter the registry ID number in row 2101 of the table for production class 3.</t>
  </si>
  <si>
    <t>Enter the registry ID number in row 2102 of the table for production class 3.</t>
  </si>
  <si>
    <t>Enter the registry ID number in row 2103 of the table for production class 3.</t>
  </si>
  <si>
    <t>Enter the registry ID number in row 2104 of the table for production class 3.</t>
  </si>
  <si>
    <t>Enter the registry ID number in row 2105 of the table for production class 3.</t>
  </si>
  <si>
    <t>Enter the registry ID number in row 2106 of the table for production class 3.</t>
  </si>
  <si>
    <t>Enter the registry ID number in row 2107 of the table for production class 3.</t>
  </si>
  <si>
    <t>Enter the registry ID number in row 2108 of the table for production class 3.</t>
  </si>
  <si>
    <t>Enter the registry ID number in row 2109 of the table for production class 3.</t>
  </si>
  <si>
    <t>Enter the registry ID number in row 2110 of the table for production class 3.</t>
  </si>
  <si>
    <t>Enter the registry ID number in row 2111 of the table for production class 3.</t>
  </si>
  <si>
    <t>Enter the registry ID number in row 2112 of the table for production class 3.</t>
  </si>
  <si>
    <t>Enter the registry ID number in row 2113 of the table for production class 3.</t>
  </si>
  <si>
    <t>Enter the registry ID number in row 2114 of the table for production class 3.</t>
  </si>
  <si>
    <t>Enter the registry ID number in row 2115 of the table for production class 3.</t>
  </si>
  <si>
    <t>Enter the registry ID number in row 2116 of the table for production class 3.</t>
  </si>
  <si>
    <t>Enter the registry ID number in row 2117 of the table for production class 3.</t>
  </si>
  <si>
    <t>Enter the registry ID number in row 2118 of the table for production class 3.</t>
  </si>
  <si>
    <t>Enter the registry ID number in row 2119 of the table for production class 3.</t>
  </si>
  <si>
    <t>Enter the registry ID number in row 2120 of the table for production class 3.</t>
  </si>
  <si>
    <t>Enter the registry ID number in row 2121 of the table for production class 3.</t>
  </si>
  <si>
    <t>Enter the registry ID number in row 2122 of the table for production class 3.</t>
  </si>
  <si>
    <t>Enter the registry ID number in row 2123 of the table for production class 3.</t>
  </si>
  <si>
    <t>Enter the registry ID number in row 2124 of the table for production class 3.</t>
  </si>
  <si>
    <t>Enter the registry ID number in row 2125 of the table for production class 3.</t>
  </si>
  <si>
    <t>Enter the registry ID number in row 2126 of the table for production class 3.</t>
  </si>
  <si>
    <t>Enter the registry ID number in row 2127 of the table for production class 3.</t>
  </si>
  <si>
    <t>Enter the registry ID number in row 2128 of the table for production class 3.</t>
  </si>
  <si>
    <t>Enter the registry ID number in row 2129 of the table for production class 3.</t>
  </si>
  <si>
    <t>Enter the registry ID number in row 2130 of the table for production class 3.</t>
  </si>
  <si>
    <t>Enter the registry ID number in row 2131 of the table for production class 3.</t>
  </si>
  <si>
    <t>Enter the registry ID number in row 2132 of the table for production class 3.</t>
  </si>
  <si>
    <t>Enter the registry ID number in row 2133 of the table for production class 3.</t>
  </si>
  <si>
    <t>Enter the registry ID number in row 2134 of the table for production class 3.</t>
  </si>
  <si>
    <t>Enter the registry ID number in row 2135 of the table for production class 3.</t>
  </si>
  <si>
    <t>Enter the registry ID number in row 2136 of the table for production class 3.</t>
  </si>
  <si>
    <t>Enter the registry ID number in row 2137 of the table for production class 3.</t>
  </si>
  <si>
    <t>Enter the registry ID number in row 2138 of the table for production class 3.</t>
  </si>
  <si>
    <t>Enter the registry ID number in row 2139 of the table for production class 3.</t>
  </si>
  <si>
    <t>Enter the registry ID number in row 2140 of the table for production class 3.</t>
  </si>
  <si>
    <t>Enter the registry ID number in row 2141 of the table for production class 3.</t>
  </si>
  <si>
    <t>Enter the registry ID number in row 2142 of the table for production class 3.</t>
  </si>
  <si>
    <t>Enter the registry ID number in row 2143 of the table for production class 3.</t>
  </si>
  <si>
    <t>Enter the registry ID number in row 2144 of the table for production class 3.</t>
  </si>
  <si>
    <t>Enter the registry ID number in row 2145 of the table for production class 3.</t>
  </si>
  <si>
    <t>Enter the registry ID number in row 2146 of the table for production class 3.</t>
  </si>
  <si>
    <t>Enter the registry ID number in row 2147 of the table for production class 3.</t>
  </si>
  <si>
    <t>Enter the registry ID number in row 2148 of the table for production class 3.</t>
  </si>
  <si>
    <t>Enter the registry ID number in row 2149 of the table for production class 3.</t>
  </si>
  <si>
    <t>Enter the registry ID number in row 2150 of the table for production class 3.</t>
  </si>
  <si>
    <t>Enter the registry ID number in row 2151 of the table for production class 3.</t>
  </si>
  <si>
    <t>Enter the registry ID number in row 2152 of the table for production class 3.</t>
  </si>
  <si>
    <t>Enter the registry ID number in row 2153 of the table for production class 3.</t>
  </si>
  <si>
    <t>Enter the registry ID number in row 2154 of the table for production class 3.</t>
  </si>
  <si>
    <t>Enter the registry ID number in row 2155 of the table for production class 3.</t>
  </si>
  <si>
    <t>Enter the registry ID number in row 2156 of the table for production class 3.</t>
  </si>
  <si>
    <t>Enter the registry ID number in row 2157 of the table for production class 3.</t>
  </si>
  <si>
    <t>Enter the registry ID number in row 2158 of the table for production class 3.</t>
  </si>
  <si>
    <t>Enter the registry ID number in row 2159 of the table for production class 3.</t>
  </si>
  <si>
    <t>Enter the registry ID number in row 2160 of the table for production class 3.</t>
  </si>
  <si>
    <t>Enter the registry ID number in row 2161 of the table for production class 3.</t>
  </si>
  <si>
    <t>Enter the registry ID number in row 2162 of the table for production class 3.</t>
  </si>
  <si>
    <t>Enter the registry ID number in row 2163 of the table for production class 3.</t>
  </si>
  <si>
    <t>Enter the registry ID number in row 2164 of the table for production class 3.</t>
  </si>
  <si>
    <t>Enter the registry ID number in row 2165 of the table for production class 3.</t>
  </si>
  <si>
    <t>Enter the registry ID number in row 2166 of the table for production class 3.</t>
  </si>
  <si>
    <t>Enter the registry ID number in row 2167 of the table for production class 3.</t>
  </si>
  <si>
    <t>Enter the registry ID number in row 2168 of the table for production class 3.</t>
  </si>
  <si>
    <t>Enter the registry ID number in row 2169 of the table for production class 3.</t>
  </si>
  <si>
    <t>Enter the registry ID number in row 2170 of the table for production class 3.</t>
  </si>
  <si>
    <t>Enter the registry ID number in row 2171 of the table for production class 3.</t>
  </si>
  <si>
    <t>Enter the registry ID number in row 2172 of the table for production class 3.</t>
  </si>
  <si>
    <t>Enter the registry ID number in row 2173 of the table for production class 3.</t>
  </si>
  <si>
    <t>Enter the registry ID number in row 2174 of the table for production class 3.</t>
  </si>
  <si>
    <t>Enter the registry ID number in row 2175 of the table for production class 3.</t>
  </si>
  <si>
    <t>Enter the registry ID number in row 2176 of the table for production class 3.</t>
  </si>
  <si>
    <t>Enter the registry ID number in row 2177 of the table for production class 3.</t>
  </si>
  <si>
    <t>Enter the registry ID number in row 2178 of the table for production class 3.</t>
  </si>
  <si>
    <t>Enter the registry ID number in row 2179 of the table for production class 3.</t>
  </si>
  <si>
    <t>Enter the registry ID number in row 2180 of the table for production class 3.</t>
  </si>
  <si>
    <t>Enter the registry ID number in row 2181 of the table for production class 3.</t>
  </si>
  <si>
    <t>Enter the registry ID number in row 2182 of the table for production class 3.</t>
  </si>
  <si>
    <t>Enter the registry ID number in row 2183 of the table for production class 3.</t>
  </si>
  <si>
    <t>Enter the registry ID number in row 2184 of the table for production class 3.</t>
  </si>
  <si>
    <t>Enter the registry ID number in row 2185 of the table for production class 3.</t>
  </si>
  <si>
    <t>Enter the registry ID number in row 2186 of the table for production class 3.</t>
  </si>
  <si>
    <t>Enter the registry ID number in row 2187 of the table for production class 3.</t>
  </si>
  <si>
    <t>Enter the registry ID number in row 2188 of the table for production class 3.</t>
  </si>
  <si>
    <t>Enter the registry ID number in row 2189 of the table for production class 3.</t>
  </si>
  <si>
    <t>Enter the registry ID number in row 2190 of the table for production class 3.</t>
  </si>
  <si>
    <t>Enter the registry ID number in row 2191 of the table for production class 3.</t>
  </si>
  <si>
    <t>Enter the registry ID number in row 2192 of the table for production class 3.</t>
  </si>
  <si>
    <t>Enter the registry ID number in row 2193 of the table for production class 3.</t>
  </si>
  <si>
    <t>Enter the registry ID number in row 2194 of the table for production class 3.</t>
  </si>
  <si>
    <t>Enter the registry ID number in row 2195 of the table for production class 3.</t>
  </si>
  <si>
    <t>Enter the registry ID number in row 2196 of the table for production class 3.</t>
  </si>
  <si>
    <t>Enter the registry ID number in row 2197 of the table for production class 3.</t>
  </si>
  <si>
    <t>Enter the registry ID number in row 2198 of the table for production class 3.</t>
  </si>
  <si>
    <t>Enter the registry ID number in row 2199 of the table for production class 3.</t>
  </si>
  <si>
    <t>Enter the registry ID number in row 2200 of the table for production class 3.</t>
  </si>
  <si>
    <t>Enter the registry ID number in row 2201 of the table for production class 3.</t>
  </si>
  <si>
    <t>Enter the registry ID number in row 2202 of the table for production class 3.</t>
  </si>
  <si>
    <t>Enter the registry ID number in row 2203 of the table for production class 3.</t>
  </si>
  <si>
    <t>Enter the registry ID number in row 2204 of the table for production class 3.</t>
  </si>
  <si>
    <t>Enter the registry ID number in row 2205 of the table for production class 3.</t>
  </si>
  <si>
    <t>Enter the registry ID number in row 2206 of the table for production class 3.</t>
  </si>
  <si>
    <t>Enter the registry ID number in row 2207 of the table for production class 3.</t>
  </si>
  <si>
    <t>Enter the registry ID number in row 2208 of the table for production class 3.</t>
  </si>
  <si>
    <t>Enter the registry ID number in row 2209 of the table for production class 3.</t>
  </si>
  <si>
    <t>Enter the registry ID number in row 2210 of the table for production class 3.</t>
  </si>
  <si>
    <t>Enter the registry ID number in row 2211 of the table for production class 3.</t>
  </si>
  <si>
    <t>Enter the registry ID number in row 2212 of the table for production class 3.</t>
  </si>
  <si>
    <t>Enter the registry ID number in row 2213 of the table for production class 3.</t>
  </si>
  <si>
    <t>Enter the registry ID number in row 2214 of the table for production class 3.</t>
  </si>
  <si>
    <t>Enter the registry ID number in row 2215 of the table for production class 3.</t>
  </si>
  <si>
    <t>Enter the registry ID number in row 2216 of the table for production class 3.</t>
  </si>
  <si>
    <t>Enter the registry ID number in row 2217 of the table for production class 3.</t>
  </si>
  <si>
    <t>Enter the registry ID number in row 2218 of the table for production class 3.</t>
  </si>
  <si>
    <t>Enter the registry ID number in row 2219 of the table for production class 3.</t>
  </si>
  <si>
    <t>Enter the registry ID number in row 2220 of the table for production class 3.</t>
  </si>
  <si>
    <t>Enter the registry ID number in row 2221 of the table for production class 3.</t>
  </si>
  <si>
    <t>Enter the registry ID number in row 2222 of the table for production class 3.</t>
  </si>
  <si>
    <t>Enter the registry ID number in row 2223 of the table for production class 3.</t>
  </si>
  <si>
    <t>Enter the registry ID number in row 2224 of the table for production class 3.</t>
  </si>
  <si>
    <t>Enter the registry ID number in row 2225 of the table for production class 3.</t>
  </si>
  <si>
    <t>Enter the registry ID number in row 2226 of the table for production class 3.</t>
  </si>
  <si>
    <t>Enter the registry ID number in row 2227 of the table for production class 3.</t>
  </si>
  <si>
    <t>Enter the registry ID number in row 2228 of the table for production class 3.</t>
  </si>
  <si>
    <t>Enter the registry ID number in row 2229 of the table for production class 3.</t>
  </si>
  <si>
    <t>Enter the registry ID number in row 2230 of the table for production class 3.</t>
  </si>
  <si>
    <t>Enter the registry ID number in row 2231 of the table for production class 3.</t>
  </si>
  <si>
    <t>Enter the registry ID number in row 2232 of the table for production class 3.</t>
  </si>
  <si>
    <t>Enter the registry ID number in row 2233 of the table for production class 3.</t>
  </si>
  <si>
    <t>Enter the registry ID number in row 2234 of the table for production class 3.</t>
  </si>
  <si>
    <t>Enter the registry ID number in row 2235 of the table for production class 3.</t>
  </si>
  <si>
    <t>Enter the registry ID number in row 2236 of the table for production class 3.</t>
  </si>
  <si>
    <t>Enter the registry ID number in row 2237 of the table for production class 3.</t>
  </si>
  <si>
    <t>Enter the registry ID number in row 2238 of the table for production class 3.</t>
  </si>
  <si>
    <t>Enter the registry ID number in row 2239 of the table for production class 3.</t>
  </si>
  <si>
    <t>Enter the registry ID number in row 2240 of the table for production class 3.</t>
  </si>
  <si>
    <t>Enter the registry ID number in row 2241 of the table for production class 3.</t>
  </si>
  <si>
    <t>Enter the registry ID number in row 2242 of the table for production class 3.</t>
  </si>
  <si>
    <t>Enter the registry ID number in row 2243 of the table for production class 3.</t>
  </si>
  <si>
    <t>Enter the registry ID number in row 2244 of the table for production class 3.</t>
  </si>
  <si>
    <t>Enter the registry ID number in row 2245 of the table for production class 3.</t>
  </si>
  <si>
    <t>Enter the registry ID number in row 2246 of the table for production class 3.</t>
  </si>
  <si>
    <t>Enter the registry ID number in row 2247 of the table for production class 3.</t>
  </si>
  <si>
    <t>Enter the registry ID number in row 2248 of the table for production class 3.</t>
  </si>
  <si>
    <t>Enter the registry ID number in row 2249 of the table for production class 3.</t>
  </si>
  <si>
    <t>Enter the registry ID number in row 2250 of the table for production class 3.</t>
  </si>
  <si>
    <t>Enter the registry ID number in row 2251 of the table for production class 3.</t>
  </si>
  <si>
    <t>Enter the registry ID number in row 2252 of the table for production class 3.</t>
  </si>
  <si>
    <t>Enter the registry ID number in row 2253 of the table for production class 3.</t>
  </si>
  <si>
    <t>Enter the registry ID number in row 2254 of the table for production class 3.</t>
  </si>
  <si>
    <t>Enter the registry ID number in row 2255 of the table for production class 3.</t>
  </si>
  <si>
    <t>Enter the registry ID number in row 2256 of the table for production class 3.</t>
  </si>
  <si>
    <t>Enter the registry ID number in row 2257 of the table for production class 3.</t>
  </si>
  <si>
    <t>Enter the registry ID number in row 2258 of the table for production class 3.</t>
  </si>
  <si>
    <t>Enter the registry ID number in row 2259 of the table for production class 3.</t>
  </si>
  <si>
    <t>Enter the registry ID number in row 2260 of the table for production class 3.</t>
  </si>
  <si>
    <t>Enter the registry ID number in row 2261 of the table for production class 3.</t>
  </si>
  <si>
    <t>Enter the registry ID number in row 2262 of the table for production class 3.</t>
  </si>
  <si>
    <t>Enter the registry ID number in row 2263 of the table for production class 3.</t>
  </si>
  <si>
    <t>Enter the registry ID number in row 2264 of the table for production class 3.</t>
  </si>
  <si>
    <t>Enter the registry ID number in row 2265 of the table for production class 3.</t>
  </si>
  <si>
    <t>Enter the registry ID number in row 2266 of the table for production class 3.</t>
  </si>
  <si>
    <t>Enter the registry ID number in row 2267 of the table for production class 3.</t>
  </si>
  <si>
    <t>Enter the registry ID number in row 2268 of the table for production class 3.</t>
  </si>
  <si>
    <t>Enter the registry ID number in row 2269 of the table for production class 3.</t>
  </si>
  <si>
    <t>Enter the registry ID number in row 2270 of the table for production class 3.</t>
  </si>
  <si>
    <t>Enter the registry ID number in row 2271 of the table for production class 3.</t>
  </si>
  <si>
    <t>Enter the registry ID number in row 2272 of the table for production class 3.</t>
  </si>
  <si>
    <t>Enter the registry ID number in row 2273 of the table for production class 3.</t>
  </si>
  <si>
    <t>Enter the registry ID number in row 2274 of the table for production class 3.</t>
  </si>
  <si>
    <t>Enter the registry ID number in row 2275 of the table for production class 3.</t>
  </si>
  <si>
    <t>Enter the registry ID number in row 2276 of the table for production class 3.</t>
  </si>
  <si>
    <t>Enter the registry ID number in row 2277 of the table for production class 3.</t>
  </si>
  <si>
    <t>Enter the registry ID number in row 2278 of the table for production class 3.</t>
  </si>
  <si>
    <t>Enter the registry ID number in row 2279 of the table for production class 3.</t>
  </si>
  <si>
    <t>Enter the registry ID number in row 2280 of the table for production class 3.</t>
  </si>
  <si>
    <t>Enter the registry ID number in row 2281 of the table for production class 3.</t>
  </si>
  <si>
    <t>Enter the registry ID number in row 2282 of the table for production class 3.</t>
  </si>
  <si>
    <t>Enter the registry ID number in row 2283 of the table for production class 3.</t>
  </si>
  <si>
    <t>Enter the registry ID number in row 2284 of the table for production class 3.</t>
  </si>
  <si>
    <t>Enter the registry ID number in row 2285 of the table for production class 3.</t>
  </si>
  <si>
    <t>Enter the registry ID number in row 2286 of the table for production class 3.</t>
  </si>
  <si>
    <t>Enter the registry ID number in row 2287 of the table for production class 3.</t>
  </si>
  <si>
    <t>Enter the registry ID number in row 2288 of the table for production class 3.</t>
  </si>
  <si>
    <t>Enter the registry ID number in row 2289 of the table for production class 3.</t>
  </si>
  <si>
    <t>Enter the registry ID number in row 2290 of the table for production class 3.</t>
  </si>
  <si>
    <t>Enter the registry ID number in row 2291 of the table for production class 3.</t>
  </si>
  <si>
    <t>Enter the registry ID number in row 2292 of the table for production class 3.</t>
  </si>
  <si>
    <t>Enter the registry ID number in row 2293 of the table for production class 3.</t>
  </si>
  <si>
    <t>Enter the registry ID number in row 2294 of the table for production class 3.</t>
  </si>
  <si>
    <t>Enter the registry ID number in row 2295 of the table for production class 3.</t>
  </si>
  <si>
    <t>Enter the registry ID number in row 2296 of the table for production class 3.</t>
  </si>
  <si>
    <t>Enter the registry ID number in row 2297 of the table for production class 3.</t>
  </si>
  <si>
    <t>Enter the registry ID number in row 2298 of the table for production class 3.</t>
  </si>
  <si>
    <t>Enter the registry ID number in row 2299 of the table for production class 3.</t>
  </si>
  <si>
    <t>Enter the registry ID number in row 2300 of the table for production class 3.</t>
  </si>
  <si>
    <t>Enter the registry ID number in row 2301 of the table for production class 3.</t>
  </si>
  <si>
    <t>Enter the registry ID number in row 2302 of the table for production class 3.</t>
  </si>
  <si>
    <t>Enter the registry ID number in row 2303 of the table for production class 3.</t>
  </si>
  <si>
    <t>Enter the registry ID number in row 2304 of the table for production class 3.</t>
  </si>
  <si>
    <t>Enter the registry ID number in row 2305 of the table for production class 3.</t>
  </si>
  <si>
    <t>Enter the registry ID number in row 2306 of the table for production class 3.</t>
  </si>
  <si>
    <t>Enter the registry ID number in row 2307 of the table for production class 3.</t>
  </si>
  <si>
    <t>Enter the registry ID number in row 2308 of the table for production class 3.</t>
  </si>
  <si>
    <t>Enter the registry ID number in row 2309 of the table for production class 3.</t>
  </si>
  <si>
    <t>Enter the registry ID number in row 2310 of the table for production class 3.</t>
  </si>
  <si>
    <t>Enter the registry ID number in row 2311 of the table for production class 3.</t>
  </si>
  <si>
    <t>Enter the registry ID number in row 2312 of the table for production class 3.</t>
  </si>
  <si>
    <t>Enter the registry ID number in row 2313 of the table for production class 3.</t>
  </si>
  <si>
    <t>Enter the registry ID number in row 2314 of the table for production class 3.</t>
  </si>
  <si>
    <t>Enter the registry ID number in row 2315 of the table for production class 3.</t>
  </si>
  <si>
    <t>Enter the registry ID number in row 2316 of the table for production class 3.</t>
  </si>
  <si>
    <t>Enter the registry ID number in row 2317 of the table for production class 3.</t>
  </si>
  <si>
    <t>Enter the registry ID number in row 2318 of the table for production class 3.</t>
  </si>
  <si>
    <t>Enter the registry ID number in row 2319 of the table for production class 3.</t>
  </si>
  <si>
    <t>Enter the registry ID number in row 2320 of the table for production class 3.</t>
  </si>
  <si>
    <t>Enter the registry ID number in row 2321 of the table for production class 3.</t>
  </si>
  <si>
    <t>Enter the registry ID number in row 2322 of the table for production class 3.</t>
  </si>
  <si>
    <t>Enter the registry ID number in row 2323 of the table for production class 3.</t>
  </si>
  <si>
    <t>Enter the registry ID number in row 2324 of the table for production class 3.</t>
  </si>
  <si>
    <t>Enter the registry ID number in row 2325 of the table for production class 3.</t>
  </si>
  <si>
    <t>Enter the registry ID number in row 2326 of the table for production class 3.</t>
  </si>
  <si>
    <t>Enter the registry ID number in row 2327 of the table for production class 3.</t>
  </si>
  <si>
    <t>Enter the registry ID number in row 2328 of the table for production class 3.</t>
  </si>
  <si>
    <t>Enter the registry ID number in row 2329 of the table for production class 3.</t>
  </si>
  <si>
    <t>Enter the registry ID number in row 2330 of the table for production class 3.</t>
  </si>
  <si>
    <t>Enter the registry ID number in row 2331 of the table for production class 3.</t>
  </si>
  <si>
    <t>Enter the registry ID number in row 2332 of the table for production class 3.</t>
  </si>
  <si>
    <t>Enter the registry ID number in row 2333 of the table for production class 3.</t>
  </si>
  <si>
    <t>Enter the registry ID number in row 2334 of the table for production class 3.</t>
  </si>
  <si>
    <t>Enter the registry ID number in row 2335 of the table for production class 3.</t>
  </si>
  <si>
    <t>Enter the registry ID number in row 2336 of the table for production class 3.</t>
  </si>
  <si>
    <t>Enter the registry ID number in row 2337 of the table for production class 3.</t>
  </si>
  <si>
    <t>Enter the registry ID number in row 2338 of the table for production class 3.</t>
  </si>
  <si>
    <t>Enter the registry ID number in row 2339 of the table for production class 3.</t>
  </si>
  <si>
    <t>Enter the registry ID number in row 2340 of the table for production class 3.</t>
  </si>
  <si>
    <t>Enter the registry ID number in row 2341 of the table for production class 3.</t>
  </si>
  <si>
    <t>Enter the registry ID number in row 2342 of the table for production class 3.</t>
  </si>
  <si>
    <t>Enter the registry ID number in row 2343 of the table for production class 3.</t>
  </si>
  <si>
    <t>Enter the registry ID number in row 2344 of the table for production class 3.</t>
  </si>
  <si>
    <t>Enter the registry ID number in row 2345 of the table for production class 3.</t>
  </si>
  <si>
    <t>Enter the registry ID number in row 2346 of the table for production class 3.</t>
  </si>
  <si>
    <t>Enter the registry ID number in row 2347 of the table for production class 3.</t>
  </si>
  <si>
    <t>Enter the registry ID number in row 2348 of the table for production class 3.</t>
  </si>
  <si>
    <t>Enter the registry ID number in row 2349 of the table for production class 3.</t>
  </si>
  <si>
    <t>Enter the registry ID number in row 2350 of the table for production class 3.</t>
  </si>
  <si>
    <t>Enter the registry ID number in row 2351 of the table for production class 3.</t>
  </si>
  <si>
    <t>Enter the registry ID number in row 2352 of the table for production class 3.</t>
  </si>
  <si>
    <t>Enter the registry ID number in row 2353 of the table for production class 3.</t>
  </si>
  <si>
    <t>Enter the registry ID number in row 2354 of the table for production class 3.</t>
  </si>
  <si>
    <t>Enter the registry ID number in row 2355 of the table for production class 3.</t>
  </si>
  <si>
    <t>Enter the registry ID number in row 2356 of the table for production class 3.</t>
  </si>
  <si>
    <t>Enter the registry ID number in row 2357 of the table for production class 3.</t>
  </si>
  <si>
    <t>Enter the registry ID number in row 2358 of the table for production class 3.</t>
  </si>
  <si>
    <t>Enter the registry ID number in row 2359 of the table for production class 3.</t>
  </si>
  <si>
    <t>Enter the registry ID number in row 2360 of the table for production class 3.</t>
  </si>
  <si>
    <t>Enter the registry ID number in row 2361 of the table for production class 3.</t>
  </si>
  <si>
    <t>Enter the registry ID number in row 2362 of the table for production class 3.</t>
  </si>
  <si>
    <t>Enter the registry ID number in row 2363 of the table for production class 3.</t>
  </si>
  <si>
    <t>Enter the registry ID number in row 2364 of the table for production class 3.</t>
  </si>
  <si>
    <t>Enter the registry ID number in row 2365 of the table for production class 3.</t>
  </si>
  <si>
    <t>Enter the registry ID number in row 2366 of the table for production class 3.</t>
  </si>
  <si>
    <t>Enter the registry ID number in row 2367 of the table for production class 3.</t>
  </si>
  <si>
    <t>Enter the registry ID number in row 2368 of the table for production class 3.</t>
  </si>
  <si>
    <t>Enter the registry ID number in row 2369 of the table for production class 3.</t>
  </si>
  <si>
    <t>Enter the registry ID number in row 2370 of the table for production class 3.</t>
  </si>
  <si>
    <t>Enter the registry ID number in row 2371 of the table for production class 3.</t>
  </si>
  <si>
    <t>Enter the registry ID number in row 2372 of the table for production class 3.</t>
  </si>
  <si>
    <t>Enter the registry ID number in row 2373 of the table for production class 3.</t>
  </si>
  <si>
    <t>Enter the registry ID number in row 2374 of the table for production class 3.</t>
  </si>
  <si>
    <t>Enter the registry ID number in row 2375 of the table for production class 3.</t>
  </si>
  <si>
    <t>Enter the registry ID number in row 2376 of the table for production class 3.</t>
  </si>
  <si>
    <t>Enter the registry ID number in row 2377 of the table for production class 3.</t>
  </si>
  <si>
    <t>Enter the registry ID number in row 2378 of the table for production class 3.</t>
  </si>
  <si>
    <t>Enter the registry ID number in row 2379 of the table for production class 3.</t>
  </si>
  <si>
    <t>Enter the registry ID number in row 2380 of the table for production class 3.</t>
  </si>
  <si>
    <t>Enter the registry ID number in row 2381 of the table for production class 3.</t>
  </si>
  <si>
    <t>Enter the registry ID number in row 2382 of the table for production class 3.</t>
  </si>
  <si>
    <t>Enter the registry ID number in row 2383 of the table for production class 3.</t>
  </si>
  <si>
    <t>Enter the registry ID number in row 2384 of the table for production class 3.</t>
  </si>
  <si>
    <t>Enter the registry ID number in row 2385 of the table for production class 3.</t>
  </si>
  <si>
    <t>Enter the registry ID number in row 2386 of the table for production class 3.</t>
  </si>
  <si>
    <t>Enter the registry ID number in row 2387 of the table for production class 3.</t>
  </si>
  <si>
    <t>Enter the registry ID number in row 2388 of the table for production class 3.</t>
  </si>
  <si>
    <t>Enter the registry ID number in row 2389 of the table for production class 3.</t>
  </si>
  <si>
    <t>Enter the registry ID number in row 2390 of the table for production class 3.</t>
  </si>
  <si>
    <t>Enter the registry ID number in row 2391 of the table for production class 3.</t>
  </si>
  <si>
    <t>Enter the registry ID number in row 2392 of the table for production class 3.</t>
  </si>
  <si>
    <t>Enter the registry ID number in row 2393 of the table for production class 3.</t>
  </si>
  <si>
    <t>Enter the registry ID number in row 2394 of the table for production class 3.</t>
  </si>
  <si>
    <t>Enter the registry ID number in row 2395 of the table for production class 3.</t>
  </si>
  <si>
    <t>Enter the registry ID number in row 2396 of the table for production class 3.</t>
  </si>
  <si>
    <t>Enter the registry ID number in row 2397 of the table for production class 3.</t>
  </si>
  <si>
    <t>Enter the registry ID number in row 2398 of the table for production class 3.</t>
  </si>
  <si>
    <t>Enter the registry ID number in row 2399 of the table for production class 3.</t>
  </si>
  <si>
    <t>Enter the registry ID number in row 2400 of the table for production class 3.</t>
  </si>
  <si>
    <t>Enter the registry ID number in row 2401 of the table for production class 3.</t>
  </si>
  <si>
    <t>Enter the registry ID number in row 2402 of the table for production class 3.</t>
  </si>
  <si>
    <t>Enter the registry ID number in row 2403 of the table for production class 3.</t>
  </si>
  <si>
    <t>Enter the registry ID number in row 2404 of the table for production class 3.</t>
  </si>
  <si>
    <t>Enter the registry ID number in row 2405 of the table for production class 3.</t>
  </si>
  <si>
    <t>Enter the registry ID number in row 2406 of the table for production class 3.</t>
  </si>
  <si>
    <t>Enter the registry ID number in row 2407 of the table for production class 3.</t>
  </si>
  <si>
    <t>Enter the registry ID number in row 2408 of the table for production class 3.</t>
  </si>
  <si>
    <t>Enter the registry ID number in row 2409 of the table for production class 3.</t>
  </si>
  <si>
    <t>Enter the registry ID number in row 2410 of the table for production class 3.</t>
  </si>
  <si>
    <t>Enter the registry ID number in row 2411 of the table for production class 3.</t>
  </si>
  <si>
    <t>Enter the registry ID number in row 2412 of the table for production class 3.</t>
  </si>
  <si>
    <t>Enter the registry ID number in row 2413 of the table for production class 3.</t>
  </si>
  <si>
    <t>Enter the registry ID number in row 2414 of the table for production class 3.</t>
  </si>
  <si>
    <t>Enter the registry ID number in row 2415 of the table for production class 3.</t>
  </si>
  <si>
    <t>Enter the registry ID number in row 2416 of the table for production class 3.</t>
  </si>
  <si>
    <t>Enter the registry ID number in row 2417 of the table for production class 3.</t>
  </si>
  <si>
    <t>Enter the registry ID number in row 2418 of the table for production class 3.</t>
  </si>
  <si>
    <t>Enter the registry ID number in row 2419 of the table for production class 3.</t>
  </si>
  <si>
    <t>Enter the registry ID number in row 2420 of the table for production class 3.</t>
  </si>
  <si>
    <t>Enter the registry ID number in row 2421 of the table for production class 3.</t>
  </si>
  <si>
    <t>Enter the registry ID number in row 2422 of the table for production class 3.</t>
  </si>
  <si>
    <t>Enter the registry ID number in row 2423 of the table for production class 3.</t>
  </si>
  <si>
    <t>Enter the registry ID number in row 2424 of the table for production class 3.</t>
  </si>
  <si>
    <t>Enter the registry ID number in row 2425 of the table for production class 3.</t>
  </si>
  <si>
    <t>Enter the registry ID number in row 2426 of the table for production class 3.</t>
  </si>
  <si>
    <t>Enter the registry ID number in row 2427 of the table for production class 3.</t>
  </si>
  <si>
    <t>Enter the registry ID number in row 2428 of the table for production class 3.</t>
  </si>
  <si>
    <t>Enter the registry ID number in row 2429 of the table for production class 3.</t>
  </si>
  <si>
    <t>Enter the registry ID number in row 2430 of the table for production class 3.</t>
  </si>
  <si>
    <t>Enter the registry ID number in row 2431 of the table for production class 3.</t>
  </si>
  <si>
    <t>Enter the registry ID number in row 2432 of the table for production class 3.</t>
  </si>
  <si>
    <t>Enter the registry ID number in row 2433 of the table for production class 3.</t>
  </si>
  <si>
    <t>Enter the registry ID number in row 2434 of the table for production class 3.</t>
  </si>
  <si>
    <t>Enter the registry ID number in row 2435 of the table for production class 3.</t>
  </si>
  <si>
    <t>Enter the registry ID number in row 2436 of the table for production class 3.</t>
  </si>
  <si>
    <t>Enter the registry ID number in row 2437 of the table for production class 3.</t>
  </si>
  <si>
    <t>Enter the registry ID number in row 2438 of the table for production class 3.</t>
  </si>
  <si>
    <t>Enter the registry ID number in row 2439 of the table for production class 3.</t>
  </si>
  <si>
    <t>Enter the registry ID number in row 2440 of the table for production class 3.</t>
  </si>
  <si>
    <t>Enter the registry ID number in row 2441 of the table for production class 3.</t>
  </si>
  <si>
    <t>Enter the registry ID number in row 2442 of the table for production class 3.</t>
  </si>
  <si>
    <t>Enter the registry ID number in row 2443 of the table for production class 3.</t>
  </si>
  <si>
    <t>Enter the registry ID number in row 2444 of the table for production class 3.</t>
  </si>
  <si>
    <t>Enter the registry ID number in row 2445 of the table for production class 3.</t>
  </si>
  <si>
    <t>Enter the registry ID number in row 2446 of the table for production class 3.</t>
  </si>
  <si>
    <t>Enter the registry ID number in row 2447 of the table for production class 3.</t>
  </si>
  <si>
    <t>Enter the registry ID number in row 2448 of the table for production class 3.</t>
  </si>
  <si>
    <t>Enter the registry ID number in row 2449 of the table for production class 3.</t>
  </si>
  <si>
    <t>Enter the registry ID number in row 2450 of the table for production class 3.</t>
  </si>
  <si>
    <t>Enter the registry ID number in row 2451 of the table for production class 3.</t>
  </si>
  <si>
    <t>Enter the registry ID number in row 2452 of the table for production class 3.</t>
  </si>
  <si>
    <t>Enter the registry ID number in row 2453 of the table for production class 3.</t>
  </si>
  <si>
    <t>Enter the registry ID number in row 2454 of the table for production class 3.</t>
  </si>
  <si>
    <t>Enter the registry ID number in row 2455 of the table for production class 3.</t>
  </si>
  <si>
    <t>Enter the registry ID number in row 2456 of the table for production class 3.</t>
  </si>
  <si>
    <t>Enter the registry ID number in row 2457 of the table for production class 3.</t>
  </si>
  <si>
    <t>Enter the registry ID number in row 2458 of the table for production class 3.</t>
  </si>
  <si>
    <t>Enter the registry ID number in row 2459 of the table for production class 3.</t>
  </si>
  <si>
    <t>Enter the registry ID number in row 2460 of the table for production class 3.</t>
  </si>
  <si>
    <t>Enter the registry ID number in row 2461 of the table for production class 3.</t>
  </si>
  <si>
    <t>Enter the registry ID number in row 2462 of the table for production class 3.</t>
  </si>
  <si>
    <t>Enter the registry ID number in row 2463 of the table for production class 3.</t>
  </si>
  <si>
    <t>Enter the registry ID number in row 2464 of the table for production class 3.</t>
  </si>
  <si>
    <t>Enter the registry ID number in row 2465 of the table for production class 3.</t>
  </si>
  <si>
    <t>Enter the registry ID number in row 2466 of the table for production class 3.</t>
  </si>
  <si>
    <t>Enter the registry ID number in row 2467 of the table for production class 3.</t>
  </si>
  <si>
    <t>Enter the registry ID number in row 2468 of the table for production class 3.</t>
  </si>
  <si>
    <t>Enter the registry ID number in row 2469 of the table for production class 3.</t>
  </si>
  <si>
    <t>Enter the registry ID number in row 2470 of the table for production class 3.</t>
  </si>
  <si>
    <t>Enter the registry ID number in row 2471 of the table for production class 3.</t>
  </si>
  <si>
    <t>Enter the registry ID number in row 2472 of the table for production class 3.</t>
  </si>
  <si>
    <t>Enter the registry ID number in row 2473 of the table for production class 3.</t>
  </si>
  <si>
    <t>Enter the registry ID number in row 2474 of the table for production class 3.</t>
  </si>
  <si>
    <t>Enter the registry ID number in row 2475 of the table for production class 3.</t>
  </si>
  <si>
    <t>Enter the registry ID number in row 2476 of the table for production class 3.</t>
  </si>
  <si>
    <t>Enter the registry ID number in row 2477 of the table for production class 3.</t>
  </si>
  <si>
    <t>Enter the registry ID number in row 2478 of the table for production class 3.</t>
  </si>
  <si>
    <t>Enter the registry ID number in row 2479 of the table for production class 3.</t>
  </si>
  <si>
    <t>Enter the registry ID number in row 2480 of the table for production class 3.</t>
  </si>
  <si>
    <t>Enter the registry ID number in row 2481 of the table for production class 3.</t>
  </si>
  <si>
    <t>Enter the registry ID number in row 2482 of the table for production class 3.</t>
  </si>
  <si>
    <t>Enter the registry ID number in row 2483 of the table for production class 3.</t>
  </si>
  <si>
    <t>Enter the registry ID number in row 2484 of the table for production class 3.</t>
  </si>
  <si>
    <t>Enter the registry ID number in row 2485 of the table for production class 3.</t>
  </si>
  <si>
    <t>Enter the registry ID number in row 2486 of the table for production class 3.</t>
  </si>
  <si>
    <t>Enter the registry ID number in row 2487 of the table for production class 3.</t>
  </si>
  <si>
    <t>Enter the registry ID number in row 2488 of the table for production class 3.</t>
  </si>
  <si>
    <t>Enter the registry ID number in row 2489 of the table for production class 3.</t>
  </si>
  <si>
    <t>Enter the registry ID number in row 2490 of the table for production class 3.</t>
  </si>
  <si>
    <t>Enter the registry ID number in row 2491 of the table for production class 3.</t>
  </si>
  <si>
    <t>Enter the registry ID number in row 2492 of the table for production class 3.</t>
  </si>
  <si>
    <t>Enter the registry ID number in row 2493 of the table for production class 3.</t>
  </si>
  <si>
    <t>Enter the registry ID number in row 2494 of the table for production class 3.</t>
  </si>
  <si>
    <t>Enter the registry ID number in row 2495 of the table for production class 3.</t>
  </si>
  <si>
    <t>Enter the registry ID number in row 2496 of the table for production class 3.</t>
  </si>
  <si>
    <t>Enter the registry ID number in row 2497 of the table for production class 3.</t>
  </si>
  <si>
    <t>Enter the registry ID number in row 2498 of the table for production class 3.</t>
  </si>
  <si>
    <t>Enter the registry ID number in row 2499 of the table for production class 3.</t>
  </si>
  <si>
    <t>Enter the registry ID number in row 2500 of the table for production class 3.</t>
  </si>
  <si>
    <t>Enter the registry ID number in row 2501 of the table for production class 3.</t>
  </si>
  <si>
    <t>Enter the registry ID number in row 2502 of the table for production class 3.</t>
  </si>
  <si>
    <t>Enter the registry ID number in row 2503 of the table for production class 3.</t>
  </si>
  <si>
    <t>Enter the registry ID number in row 2504 of the table for production class 3.</t>
  </si>
  <si>
    <t>Enter the registry ID number in row 2505 of the table for production class 3.</t>
  </si>
  <si>
    <t>Enter the registry ID number in row 2506 of the table for production class 3.</t>
  </si>
  <si>
    <t>Enter the registry ID number in row 2507 of the table for production class 3.</t>
  </si>
  <si>
    <t>Enter the registry ID number in row 2508 of the table for production class 3.</t>
  </si>
  <si>
    <t>Enter the registry ID number in row 2509 of the table for production class 3.</t>
  </si>
  <si>
    <t>Enter the registry ID number in row 2510 of the table for production class 3.</t>
  </si>
  <si>
    <t>Enter the registry ID number in row 2511 of the table for production class 3.</t>
  </si>
  <si>
    <t>Enter the registry ID number in row 2512 of the table for production class 3.</t>
  </si>
  <si>
    <t>Enter the registry ID number in row 2513 of the table for production class 3.</t>
  </si>
  <si>
    <t>Enter the registry ID number in row 2514 of the table for production class 3.</t>
  </si>
  <si>
    <t>Enter the registry ID number in row 2515 of the table for production class 3.</t>
  </si>
  <si>
    <t>Enter the registry ID number in row 2516 of the table for production class 3.</t>
  </si>
  <si>
    <t>Enter the registry ID number in row 2517 of the table for production class 3.</t>
  </si>
  <si>
    <t>Enter the registry ID number in row 2518 of the table for production class 3.</t>
  </si>
  <si>
    <t>Enter the registry ID number in row 2519 of the table for production class 3.</t>
  </si>
  <si>
    <t>Enter the registry ID number in row 2520 of the table for production class 3.</t>
  </si>
  <si>
    <t>Enter the registry ID number in row 2521 of the table for production class 3.</t>
  </si>
  <si>
    <t>Enter the registry ID number in row 2522 of the table for production class 3.</t>
  </si>
  <si>
    <t>Enter the registry ID number in row 2523 of the table for production class 3.</t>
  </si>
  <si>
    <t>Enter the registry ID number in row 2524 of the table for production class 3.</t>
  </si>
  <si>
    <t>Enter the registry ID number in row 2525 of the table for production class 3.</t>
  </si>
  <si>
    <t>Enter the registry ID number in row 2526 of the table for production class 3.</t>
  </si>
  <si>
    <t>Enter the registry ID number in row 2527 of the table for production class 3.</t>
  </si>
  <si>
    <t>Enter the registry ID number in row 2528 of the table for production class 3.</t>
  </si>
  <si>
    <t>Enter the registry ID number in row 2529 of the table for production class 3.</t>
  </si>
  <si>
    <t>Enter the registry ID number in row 2530 of the table for production class 3.</t>
  </si>
  <si>
    <t>Enter the registry ID number in row 2531 of the table for production class 3.</t>
  </si>
  <si>
    <t>Enter the registry ID number in row 2532 of the table for production class 3.</t>
  </si>
  <si>
    <t>Enter the registry ID number in row 2533 of the table for production class 3.</t>
  </si>
  <si>
    <t>Enter the registry ID number in row 2534 of the table for production class 3.</t>
  </si>
  <si>
    <t>Enter the registry ID number in row 2535 of the table for production class 3.</t>
  </si>
  <si>
    <t>Enter the registry ID number in row 2536 of the table for production class 3.</t>
  </si>
  <si>
    <t>Enter the registry ID number in row 2537 of the table for production class 3.</t>
  </si>
  <si>
    <t>Enter the registry ID number in row 2538 of the table for production class 3.</t>
  </si>
  <si>
    <t>Enter the registry ID number in row 2539 of the table for production class 3.</t>
  </si>
  <si>
    <t>Enter the registry ID number in row 2540 of the table for production class 3.</t>
  </si>
  <si>
    <t>Enter the registry ID number in row 2541 of the table for production class 3.</t>
  </si>
  <si>
    <t>Enter the registry ID number in row 2542 of the table for production class 3.</t>
  </si>
  <si>
    <t>Enter the registry ID number in row 2543 of the table for production class 3.</t>
  </si>
  <si>
    <t>Enter the registry ID number in row 2544 of the table for production class 3.</t>
  </si>
  <si>
    <t>Enter the registry ID number in row 2545 of the table for production class 3.</t>
  </si>
  <si>
    <t>Enter the registry ID number in row 2546 of the table for production class 3.</t>
  </si>
  <si>
    <t>Enter the registry ID number in row 2547 of the table for production class 3.</t>
  </si>
  <si>
    <t>Enter the registry ID number in row 2548 of the table for production class 3.</t>
  </si>
  <si>
    <t>Enter the registry ID number in row 2549 of the table for production class 3.</t>
  </si>
  <si>
    <t>Enter the registry ID number in row 2550 of the table for production class 3.</t>
  </si>
  <si>
    <t>Enter the registry ID number in row 2551 of the table for production class 3.</t>
  </si>
  <si>
    <t>Enter the registry ID number in row 2552 of the table for production class 3.</t>
  </si>
  <si>
    <t>Enter the registry ID number in row 2553 of the table for production class 3.</t>
  </si>
  <si>
    <t>Enter the registry ID number in row 2554 of the table for production class 3.</t>
  </si>
  <si>
    <t>Enter the registry ID number in row 2555 of the table for production class 3.</t>
  </si>
  <si>
    <t>Enter the registry ID number in row 2556 of the table for production class 3.</t>
  </si>
  <si>
    <t>Enter the registry ID number in row 2557 of the table for production class 3.</t>
  </si>
  <si>
    <t>Enter the registry ID number in row 2558 of the table for production class 3.</t>
  </si>
  <si>
    <t>Enter the registry ID number in row 2559 of the table for production class 3.</t>
  </si>
  <si>
    <t>Enter the registry ID number in row 2560 of the table for production class 3.</t>
  </si>
  <si>
    <t>Enter the registry ID number in row 2561 of the table for production class 3.</t>
  </si>
  <si>
    <t>Enter the registry ID number in row 2562 of the table for production class 3.</t>
  </si>
  <si>
    <t>Enter the registry ID number in row 2563 of the table for production class 3.</t>
  </si>
  <si>
    <t>Enter the registry ID number in row 2564 of the table for production class 3.</t>
  </si>
  <si>
    <t>Enter the registry ID number in row 2565 of the table for production class 3.</t>
  </si>
  <si>
    <t>Enter the registry ID number in row 2566 of the table for production class 3.</t>
  </si>
  <si>
    <t>Enter the registry ID number in row 2567 of the table for production class 3.</t>
  </si>
  <si>
    <t>Enter the registry ID number in row 2568 of the table for production class 3.</t>
  </si>
  <si>
    <t>Enter the registry ID number in row 2569 of the table for production class 3.</t>
  </si>
  <si>
    <t>Enter the registry ID number in row 2570 of the table for production class 3.</t>
  </si>
  <si>
    <t>Enter the registry ID number in row 2571 of the table for production class 3.</t>
  </si>
  <si>
    <t>Enter the registry ID number in row 2572 of the table for production class 3.</t>
  </si>
  <si>
    <t>Enter the registry ID number in row 2573 of the table for production class 3.</t>
  </si>
  <si>
    <t>Enter the registry ID number in row 2574 of the table for production class 3.</t>
  </si>
  <si>
    <t>Enter the registry ID number in row 2575 of the table for production class 3.</t>
  </si>
  <si>
    <t>Enter the registry ID number in row 2576 of the table for production class 3.</t>
  </si>
  <si>
    <t>Enter the registry ID number in row 2577 of the table for production class 3.</t>
  </si>
  <si>
    <t>Enter the registry ID number in row 2578 of the table for production class 3.</t>
  </si>
  <si>
    <t>Enter the registry ID number in row 2579 of the table for production class 3.</t>
  </si>
  <si>
    <t>Enter the registry ID number in row 2580 of the table for production class 3.</t>
  </si>
  <si>
    <t>Enter the registry ID number in row 2581 of the table for production class 3.</t>
  </si>
  <si>
    <t>Enter the registry ID number in row 2582 of the table for production class 3.</t>
  </si>
  <si>
    <t>Enter the registry ID number in row 2583 of the table for production class 3.</t>
  </si>
  <si>
    <t>Enter the registry ID number in row 2584 of the table for production class 3.</t>
  </si>
  <si>
    <t>Enter the registry ID number in row 2585 of the table for production class 3.</t>
  </si>
  <si>
    <t>Enter the registry ID number in row 2586 of the table for production class 3.</t>
  </si>
  <si>
    <t>Enter the registry ID number in row 2587 of the table for production class 3.</t>
  </si>
  <si>
    <t>Enter the registry ID number in row 2588 of the table for production class 3.</t>
  </si>
  <si>
    <t>Enter the registry ID number in row 2589 of the table for production class 3.</t>
  </si>
  <si>
    <t>Enter the registry ID number in row 2590 of the table for production class 3.</t>
  </si>
  <si>
    <t>Enter the registry ID number in row 2591 of the table for production class 3.</t>
  </si>
  <si>
    <t>Enter the registry ID number in row 2592 of the table for production class 3.</t>
  </si>
  <si>
    <t>Enter the registry ID number in row 2593 of the table for production class 3.</t>
  </si>
  <si>
    <t>Enter the registry ID number in row 2594 of the table for production class 3.</t>
  </si>
  <si>
    <t>Enter the registry ID number in row 2595 of the table for production class 3.</t>
  </si>
  <si>
    <t>Enter the registry ID number in row 2596 of the table for production class 3.</t>
  </si>
  <si>
    <t>Enter the registry ID number in row 2597 of the table for production class 3.</t>
  </si>
  <si>
    <t>Enter the registry ID number in row 2598 of the table for production class 3.</t>
  </si>
  <si>
    <t>Enter the registry ID number in row 2599 of the table for production class 3.</t>
  </si>
  <si>
    <t>Enter the registry ID number in row 2600 of the table for production class 3.</t>
  </si>
  <si>
    <t>Enter the registry ID number in row 2601 of the table for production class 3.</t>
  </si>
  <si>
    <t>Enter the registry ID number in row 2602 of the table for production class 3.</t>
  </si>
  <si>
    <t>Enter the registry ID number in row 2603 of the table for production class 3.</t>
  </si>
  <si>
    <t>Enter the registry ID number in row 2604 of the table for production class 3.</t>
  </si>
  <si>
    <t>Enter the registry ID number in row 2605 of the table for production class 3.</t>
  </si>
  <si>
    <t>Enter the registry ID number in row 2606 of the table for production class 3.</t>
  </si>
  <si>
    <t>Enter the registry ID number in row 2607 of the table for production class 3.</t>
  </si>
  <si>
    <t>Enter the registry ID number in row 2608 of the table for production class 3.</t>
  </si>
  <si>
    <t>Enter the registry ID number in row 2609 of the table for production class 3.</t>
  </si>
  <si>
    <t>Enter the registry ID number in row 2610 of the table for production class 3.</t>
  </si>
  <si>
    <t>Enter the registry ID number in row 2611 of the table for production class 3.</t>
  </si>
  <si>
    <t>Enter the registry ID number in row 2612 of the table for production class 3.</t>
  </si>
  <si>
    <t>Enter the registry ID number in row 2613 of the table for production class 3.</t>
  </si>
  <si>
    <t>Enter the registry ID number in row 2614 of the table for production class 3.</t>
  </si>
  <si>
    <t>Enter the registry ID number in row 2615 of the table for production class 3.</t>
  </si>
  <si>
    <t>Enter the registry ID number in row 2616 of the table for production class 3.</t>
  </si>
  <si>
    <t>Enter the registry ID number in row 2617 of the table for production class 3.</t>
  </si>
  <si>
    <t>Enter the registry ID number in row 2618 of the table for production class 3.</t>
  </si>
  <si>
    <t>Enter the registry ID number in row 2619 of the table for production class 3.</t>
  </si>
  <si>
    <t>Enter the registry ID number in row 2620 of the table for production class 3.</t>
  </si>
  <si>
    <t>Enter the registry ID number in row 2621 of the table for production class 3.</t>
  </si>
  <si>
    <t>Enter the registry ID number in row 2622 of the table for production class 3.</t>
  </si>
  <si>
    <t>Enter the registry ID number in row 2623 of the table for production class 3.</t>
  </si>
  <si>
    <t>Enter the registry ID number in row 2624 of the table for production class 3.</t>
  </si>
  <si>
    <t>Enter the registry ID number in row 2625 of the table for production class 3.</t>
  </si>
  <si>
    <t>Enter the registry ID number in row 2626 of the table for production class 3.</t>
  </si>
  <si>
    <t>Enter the registry ID number in row 2627 of the table for production class 3.</t>
  </si>
  <si>
    <t>Enter the registry ID number in row 2628 of the table for production class 3.</t>
  </si>
  <si>
    <t>Enter the registry ID number in row 2629 of the table for production class 3.</t>
  </si>
  <si>
    <t>Enter the registry ID number in row 2630 of the table for production class 3.</t>
  </si>
  <si>
    <t>Enter the registry ID number in row 2631 of the table for production class 3.</t>
  </si>
  <si>
    <t>Enter the registry ID number in row 2632 of the table for production class 3.</t>
  </si>
  <si>
    <t>Enter the registry ID number in row 2633 of the table for production class 3.</t>
  </si>
  <si>
    <t>Enter the registry ID number in row 2634 of the table for production class 3.</t>
  </si>
  <si>
    <t>Enter the registry ID number in row 2635 of the table for production class 3.</t>
  </si>
  <si>
    <t>Enter the registry ID number in row 2636 of the table for production class 3.</t>
  </si>
  <si>
    <t>Enter the registry ID number in row 2637 of the table for production class 3.</t>
  </si>
  <si>
    <t>Enter the registry ID number in row 2638 of the table for production class 3.</t>
  </si>
  <si>
    <t>Enter the registry ID number in row 2639 of the table for production class 3.</t>
  </si>
  <si>
    <t>Enter the registry ID number in row 2640 of the table for production class 3.</t>
  </si>
  <si>
    <t>Enter the registry ID number in row 2641 of the table for production class 3.</t>
  </si>
  <si>
    <t>Enter the registry ID number in row 2642 of the table for production class 3.</t>
  </si>
  <si>
    <t>Enter the registry ID number in row 2643 of the table for production class 3.</t>
  </si>
  <si>
    <t>Enter the registry ID number in row 2644 of the table for production class 3.</t>
  </si>
  <si>
    <t>Enter the registry ID number in row 2645 of the table for production class 3.</t>
  </si>
  <si>
    <t>Enter the registry ID number in row 2646 of the table for production class 3.</t>
  </si>
  <si>
    <t>Enter the registry ID number in row 2647 of the table for production class 3.</t>
  </si>
  <si>
    <t>Enter the registry ID number in row 2648 of the table for production class 3.</t>
  </si>
  <si>
    <t>Enter the registry ID number in row 2649 of the table for production class 3.</t>
  </si>
  <si>
    <t>Enter the registry ID number in row 2650 of the table for production class 3.</t>
  </si>
  <si>
    <t>Enter the registry ID number in row 2651 of the table for production class 3.</t>
  </si>
  <si>
    <t>Enter the registry ID number in row 2652 of the table for production class 3.</t>
  </si>
  <si>
    <t>Enter the registry ID number in row 2653 of the table for production class 3.</t>
  </si>
  <si>
    <t>Enter the registry ID number in row 2654 of the table for production class 3.</t>
  </si>
  <si>
    <t>Enter the registry ID number in row 2655 of the table for production class 3.</t>
  </si>
  <si>
    <t>Enter the registry ID number in row 2656 of the table for production class 3.</t>
  </si>
  <si>
    <t>Enter the registry ID number in row 2657 of the table for production class 3.</t>
  </si>
  <si>
    <t>Enter the registry ID number in row 2658 of the table for production class 3.</t>
  </si>
  <si>
    <t>Enter the registry ID number in row 2659 of the table for production class 3.</t>
  </si>
  <si>
    <t>Enter the registry ID number in row 2660 of the table for production class 3.</t>
  </si>
  <si>
    <t>Enter the registry ID number in row 2661 of the table for production class 3.</t>
  </si>
  <si>
    <t>Enter the registry ID number in row 2662 of the table for production class 3.</t>
  </si>
  <si>
    <t>Enter the registry ID number in row 2663 of the table for production class 3.</t>
  </si>
  <si>
    <t>Enter the registry ID number in row 2664 of the table for production class 3.</t>
  </si>
  <si>
    <t>Enter the registry ID number in row 2665 of the table for production class 3.</t>
  </si>
  <si>
    <t>Enter the registry ID number in row 2666 of the table for production class 3.</t>
  </si>
  <si>
    <t>Enter the registry ID number in row 2667 of the table for production class 3.</t>
  </si>
  <si>
    <t>Enter the registry ID number in row 2668 of the table for production class 3.</t>
  </si>
  <si>
    <t>Enter the registry ID number in row 2669 of the table for production class 3.</t>
  </si>
  <si>
    <t>Enter the registry ID number in row 2670 of the table for production class 3.</t>
  </si>
  <si>
    <t>Enter the registry ID number in row 2671 of the table for production class 3.</t>
  </si>
  <si>
    <t>Enter the registry ID number in row 2672 of the table for production class 3.</t>
  </si>
  <si>
    <t>Enter the registry ID number in row 2673 of the table for production class 3.</t>
  </si>
  <si>
    <t>Enter the registry ID number in row 2674 of the table for production class 3.</t>
  </si>
  <si>
    <t>Enter the registry ID number in row 2675 of the table for production class 3.</t>
  </si>
  <si>
    <t>Enter the registry ID number in row 2676 of the table for production class 3.</t>
  </si>
  <si>
    <t>Enter the registry ID number in row 2677 of the table for production class 3.</t>
  </si>
  <si>
    <t>Enter the registry ID number in row 2678 of the table for production class 3.</t>
  </si>
  <si>
    <t>Enter the registry ID number in row 2679 of the table for production class 3.</t>
  </si>
  <si>
    <t>Enter the registry ID number in row 2680 of the table for production class 3.</t>
  </si>
  <si>
    <t>Enter the registry ID number in row 2681 of the table for production class 3.</t>
  </si>
  <si>
    <t>Enter the registry ID number in row 2682 of the table for production class 3.</t>
  </si>
  <si>
    <t>Enter the registry ID number in row 2683 of the table for production class 3.</t>
  </si>
  <si>
    <t>Enter the registry ID number in row 2684 of the table for production class 3.</t>
  </si>
  <si>
    <t>Enter the registry ID number in row 2685 of the table for production class 3.</t>
  </si>
  <si>
    <t>Enter the registry ID number in row 2686 of the table for production class 3.</t>
  </si>
  <si>
    <t>Enter the registry ID number in row 2687 of the table for production class 3.</t>
  </si>
  <si>
    <t>Enter the registry ID number in row 2688 of the table for production class 3.</t>
  </si>
  <si>
    <t>Enter the registry ID number in row 2689 of the table for production class 3.</t>
  </si>
  <si>
    <t>Enter the registry ID number in row 2690 of the table for production class 3.</t>
  </si>
  <si>
    <t>Enter the registry ID number in row 2691 of the table for production class 3.</t>
  </si>
  <si>
    <t>Enter the registry ID number in row 2692 of the table for production class 3.</t>
  </si>
  <si>
    <t>Enter the registry ID number in row 2693 of the table for production class 3.</t>
  </si>
  <si>
    <t>Enter the registry ID number in row 2694 of the table for production class 3.</t>
  </si>
  <si>
    <t>Enter the registry ID number in row 2695 of the table for production class 3.</t>
  </si>
  <si>
    <t>Enter the registry ID number in row 2696 of the table for production class 3.</t>
  </si>
  <si>
    <t>Enter the registry ID number in row 2697 of the table for production class 3.</t>
  </si>
  <si>
    <t>Enter the registry ID number in row 2698 of the table for production class 3.</t>
  </si>
  <si>
    <t>Enter the registry ID number in row 2699 of the table for production class 3.</t>
  </si>
  <si>
    <t>Enter the registry ID number in row 2700 of the table for production class 3.</t>
  </si>
  <si>
    <t>Enter the registry ID number in row 2701 of the table for production class 3.</t>
  </si>
  <si>
    <t>Enter the registry ID number in row 2702 of the table for production class 3.</t>
  </si>
  <si>
    <t>Enter the registry ID number in row 2703 of the table for production class 3.</t>
  </si>
  <si>
    <t>Enter the registry ID number in row 2704 of the table for production class 3.</t>
  </si>
  <si>
    <t>Enter the registry ID number in row 2705 of the table for production class 3.</t>
  </si>
  <si>
    <t>Enter the registry ID number in row 2706 of the table for production class 3.</t>
  </si>
  <si>
    <t>Enter the registry ID number in row 2707 of the table for production class 3.</t>
  </si>
  <si>
    <t>Enter the registry ID number in row 2708 of the table for production class 3.</t>
  </si>
  <si>
    <t>Enter the registry ID number in row 2709 of the table for production class 3.</t>
  </si>
  <si>
    <t>Enter the registry ID number in row 2710 of the table for production class 3.</t>
  </si>
  <si>
    <t>Enter the registry ID number in row 2711 of the table for production class 3.</t>
  </si>
  <si>
    <t>Enter the registry ID number in row 2712 of the table for production class 3.</t>
  </si>
  <si>
    <t>Enter the registry ID number in row 2713 of the table for production class 3.</t>
  </si>
  <si>
    <t>Enter the registry ID number in row 2714 of the table for production class 3.</t>
  </si>
  <si>
    <t>Enter the registry ID number in row 2715 of the table for production class 3.</t>
  </si>
  <si>
    <t>Enter the registry ID number in row 2716 of the table for production class 3.</t>
  </si>
  <si>
    <t>Enter the registry ID number in row 2717 of the table for production class 3.</t>
  </si>
  <si>
    <t>Enter the registry ID number in row 2718 of the table for production class 3.</t>
  </si>
  <si>
    <t>Enter the registry ID number in row 2719 of the table for production class 3.</t>
  </si>
  <si>
    <t>Enter the registry ID number in row 2720 of the table for production class 3.</t>
  </si>
  <si>
    <t>Enter the registry ID number in row 2721 of the table for production class 3.</t>
  </si>
  <si>
    <t>Enter the registry ID number in row 2722 of the table for production class 3.</t>
  </si>
  <si>
    <t>Enter the registry ID number in row 2723 of the table for production class 3.</t>
  </si>
  <si>
    <t>Enter the registry ID number in row 2724 of the table for production class 3.</t>
  </si>
  <si>
    <t>Enter the registry ID number in row 2725 of the table for production class 3.</t>
  </si>
  <si>
    <t>Enter the registry ID number in row 2726 of the table for production class 3.</t>
  </si>
  <si>
    <t>Enter the registry ID number in row 2727 of the table for production class 3.</t>
  </si>
  <si>
    <t>Enter the registry ID number in row 2728 of the table for production class 3.</t>
  </si>
  <si>
    <t>Enter the registry ID number in row 2729 of the table for production class 3.</t>
  </si>
  <si>
    <t>Enter the registry ID number in row 2730 of the table for production class 3.</t>
  </si>
  <si>
    <t>Enter the registry ID number in row 2731 of the table for production class 3.</t>
  </si>
  <si>
    <t>Enter the registry ID number in row 2732 of the table for production class 3.</t>
  </si>
  <si>
    <t>Enter the registry ID number in row 2733 of the table for production class 3.</t>
  </si>
  <si>
    <t>Enter the registry ID number in row 2734 of the table for production class 3.</t>
  </si>
  <si>
    <t>Enter the registry ID number in row 2735 of the table for production class 3.</t>
  </si>
  <si>
    <t>Enter the registry ID number in row 2736 of the table for production class 3.</t>
  </si>
  <si>
    <t>Enter the registry ID number in row 2737 of the table for production class 3.</t>
  </si>
  <si>
    <t>Enter the registry ID number in row 2738 of the table for production class 3.</t>
  </si>
  <si>
    <t>Enter the registry ID number in row 2739 of the table for production class 3.</t>
  </si>
  <si>
    <t>Enter the registry ID number in row 2740 of the table for production class 3.</t>
  </si>
  <si>
    <t>Enter the registry ID number in row 2741 of the table for production class 3.</t>
  </si>
  <si>
    <t>Enter the registry ID number in row 2742 of the table for production class 3.</t>
  </si>
  <si>
    <t>Enter the registry ID number in row 2743 of the table for production class 3.</t>
  </si>
  <si>
    <t>Enter the registry ID number in row 2744 of the table for production class 3.</t>
  </si>
  <si>
    <t>Enter the registry ID number in row 2745 of the table for production class 3.</t>
  </si>
  <si>
    <t>Enter the registry ID number in row 2746 of the table for production class 3.</t>
  </si>
  <si>
    <t>Enter the registry ID number in row 2747 of the table for production class 3.</t>
  </si>
  <si>
    <t>Enter the registry ID number in row 2748 of the table for production class 3.</t>
  </si>
  <si>
    <t>Enter the registry ID number in row 2749 of the table for production class 3.</t>
  </si>
  <si>
    <t>Enter the registry ID number in row 2750 of the table for production class 3.</t>
  </si>
  <si>
    <t>Enter the registry ID number in row 2751 of the table for production class 3.</t>
  </si>
  <si>
    <t>Enter the registry ID number in row 2752 of the table for production class 3.</t>
  </si>
  <si>
    <t>Enter the registry ID number in row 2753 of the table for production class 3.</t>
  </si>
  <si>
    <t>Enter the registry ID number in row 2754 of the table for production class 3.</t>
  </si>
  <si>
    <t>Enter the registry ID number in row 2755 of the table for production class 3.</t>
  </si>
  <si>
    <t>Enter the registry ID number in row 2756 of the table for production class 3.</t>
  </si>
  <si>
    <t>Enter the registry ID number in row 2757 of the table for production class 3.</t>
  </si>
  <si>
    <t>Enter the registry ID number in row 2758 of the table for production class 3.</t>
  </si>
  <si>
    <t>Enter the registry ID number in row 2759 of the table for production class 3.</t>
  </si>
  <si>
    <t>Enter the registry ID number in row 2760 of the table for production class 3.</t>
  </si>
  <si>
    <t>Enter the registry ID number in row 2761 of the table for production class 3.</t>
  </si>
  <si>
    <t>Enter the registry ID number in row 2762 of the table for production class 3.</t>
  </si>
  <si>
    <t>Enter the registry ID number in row 2763 of the table for production class 3.</t>
  </si>
  <si>
    <t>Enter the registry ID number in row 2764 of the table for production class 3.</t>
  </si>
  <si>
    <t>Enter the registry ID number in row 2765 of the table for production class 3.</t>
  </si>
  <si>
    <t>Enter the registry ID number in row 2766 of the table for production class 3.</t>
  </si>
  <si>
    <t>Enter the registry ID number in row 2767 of the table for production class 3.</t>
  </si>
  <si>
    <t>Enter the registry ID number in row 2768 of the table for production class 3.</t>
  </si>
  <si>
    <t>Enter the registry ID number in row 2769 of the table for production class 3.</t>
  </si>
  <si>
    <t>Enter the registry ID number in row 2770 of the table for production class 3.</t>
  </si>
  <si>
    <t>Enter the registry ID number in row 2771 of the table for production class 3.</t>
  </si>
  <si>
    <t>Enter the registry ID number in row 2772 of the table for production class 3.</t>
  </si>
  <si>
    <t>Enter the registry ID number in row 2773 of the table for production class 3.</t>
  </si>
  <si>
    <t>Enter the registry ID number in row 2774 of the table for production class 3.</t>
  </si>
  <si>
    <t>Enter the registry ID number in row 2775 of the table for production class 3.</t>
  </si>
  <si>
    <t>Enter the registry ID number in row 2776 of the table for production class 3.</t>
  </si>
  <si>
    <t>Enter the registry ID number in row 2777 of the table for production class 3.</t>
  </si>
  <si>
    <t>Enter the registry ID number in row 2778 of the table for production class 3.</t>
  </si>
  <si>
    <t>Enter the registry ID number in row 2779 of the table for production class 3.</t>
  </si>
  <si>
    <t>Enter the registry ID number in row 2780 of the table for production class 3.</t>
  </si>
  <si>
    <t>Enter the registry ID number in row 2781 of the table for production class 3.</t>
  </si>
  <si>
    <t>Enter the registry ID number in row 2782 of the table for production class 3.</t>
  </si>
  <si>
    <t>Enter the registry ID number in row 2783 of the table for production class 3.</t>
  </si>
  <si>
    <t>Enter the registry ID number in row 2784 of the table for production class 3.</t>
  </si>
  <si>
    <t>Enter the registry ID number in row 2785 of the table for production class 3.</t>
  </si>
  <si>
    <t>Enter the registry ID number in row 2786 of the table for production class 3.</t>
  </si>
  <si>
    <t>Enter the registry ID number in row 2787 of the table for production class 3.</t>
  </si>
  <si>
    <t>Enter the registry ID number in row 2788 of the table for production class 3.</t>
  </si>
  <si>
    <t>Enter the registry ID number in row 2789 of the table for production class 3.</t>
  </si>
  <si>
    <t>Enter the registry ID number in row 2790 of the table for production class 3.</t>
  </si>
  <si>
    <t>Enter the registry ID number in row 2791 of the table for production class 3.</t>
  </si>
  <si>
    <t>Enter the registry ID number in row 2792 of the table for production class 3.</t>
  </si>
  <si>
    <t>Enter the registry ID number in row 2793 of the table for production class 3.</t>
  </si>
  <si>
    <t>Enter the registry ID number in row 2794 of the table for production class 3.</t>
  </si>
  <si>
    <t>Enter the registry ID number in row 2795 of the table for production class 3.</t>
  </si>
  <si>
    <t>Enter the registry ID number in row 2796 of the table for production class 3.</t>
  </si>
  <si>
    <t>Enter the registry ID number in row 2797 of the table for production class 3.</t>
  </si>
  <si>
    <t>Enter the registry ID number in row 2798 of the table for production class 3.</t>
  </si>
  <si>
    <t>Enter the registry ID number in row 2799 of the table for production class 3.</t>
  </si>
  <si>
    <t>Enter the registry ID number in row 2800 of the table for production class 3.</t>
  </si>
  <si>
    <t>Enter the registry ID number in row 2801 of the table for production class 3.</t>
  </si>
  <si>
    <t>Enter the registry ID number in row 2802 of the table for production class 3.</t>
  </si>
  <si>
    <t>Enter the registry ID number in row 2803 of the table for production class 3.</t>
  </si>
  <si>
    <t>Enter the registry ID number in row 2804 of the table for production class 3.</t>
  </si>
  <si>
    <t>Enter the registry ID number in row 2805 of the table for production class 3.</t>
  </si>
  <si>
    <t>Enter the registry ID number in row 2806 of the table for production class 3.</t>
  </si>
  <si>
    <t>Enter the registry ID number in row 2807 of the table for production class 3.</t>
  </si>
  <si>
    <t>Enter the registry ID number in row 2808 of the table for production class 3.</t>
  </si>
  <si>
    <t>Enter the registry ID number in row 2809 of the table for production class 3.</t>
  </si>
  <si>
    <t>Enter the registry ID number in row 2810 of the table for production class 3.</t>
  </si>
  <si>
    <t>Enter the registry ID number in row 2811 of the table for production class 3.</t>
  </si>
  <si>
    <t>Enter the registry ID number in row 2812 of the table for production class 3.</t>
  </si>
  <si>
    <t>Enter the registry ID number in row 2813 of the table for production class 3.</t>
  </si>
  <si>
    <t>Enter the registry ID number in row 2814 of the table for production class 3.</t>
  </si>
  <si>
    <t>Enter the registry ID number in row 2815 of the table for production class 3.</t>
  </si>
  <si>
    <t>Enter the registry ID number in row 2816 of the table for production class 3.</t>
  </si>
  <si>
    <t>Enter the registry ID number in row 2817 of the table for production class 3.</t>
  </si>
  <si>
    <t>Enter the registry ID number in row 2818 of the table for production class 3.</t>
  </si>
  <si>
    <t>Enter the registry ID number in row 2819 of the table for production class 3.</t>
  </si>
  <si>
    <t>Enter the registry ID number in row 2820 of the table for production class 3.</t>
  </si>
  <si>
    <t>Enter the registry ID number in row 2821 of the table for production class 3.</t>
  </si>
  <si>
    <t>Enter the registry ID number in row 2822 of the table for production class 3.</t>
  </si>
  <si>
    <t>Enter the registry ID number in row 2823 of the table for production class 3.</t>
  </si>
  <si>
    <t>Enter the registry ID number in row 2824 of the table for production class 3.</t>
  </si>
  <si>
    <t>Enter the registry ID number in row 2825 of the table for production class 3.</t>
  </si>
  <si>
    <t>Enter the registry ID number in row 2826 of the table for production class 3.</t>
  </si>
  <si>
    <t>Enter the registry ID number in row 2827 of the table for production class 3.</t>
  </si>
  <si>
    <t>Enter the registry ID number in row 2828 of the table for production class 3.</t>
  </si>
  <si>
    <t>Enter the registry ID number in row 2829 of the table for production class 3.</t>
  </si>
  <si>
    <t>Enter the registry ID number in row 2830 of the table for production class 3.</t>
  </si>
  <si>
    <t>Enter the registry ID number in row 2831 of the table for production class 3.</t>
  </si>
  <si>
    <t>Enter the registry ID number in row 2832 of the table for production class 3.</t>
  </si>
  <si>
    <t>Enter the registry ID number in row 2833 of the table for production class 3.</t>
  </si>
  <si>
    <t>Enter the registry ID number in row 2834 of the table for production class 3.</t>
  </si>
  <si>
    <t>Enter the registry ID number in row 2835 of the table for production class 3.</t>
  </si>
  <si>
    <t>Enter the registry ID number in row 2836 of the table for production class 3.</t>
  </si>
  <si>
    <t>Enter the registry ID number in row 2837 of the table for production class 3.</t>
  </si>
  <si>
    <t>Enter the registry ID number in row 2838 of the table for production class 3.</t>
  </si>
  <si>
    <t>Enter the registry ID number in row 2839 of the table for production class 3.</t>
  </si>
  <si>
    <t>Enter the registry ID number in row 2840 of the table for production class 3.</t>
  </si>
  <si>
    <t>Enter the registry ID number in row 2841 of the table for production class 3.</t>
  </si>
  <si>
    <t>Enter the registry ID number in row 2842 of the table for production class 3.</t>
  </si>
  <si>
    <t>Enter the registry ID number in row 2843 of the table for production class 3.</t>
  </si>
  <si>
    <t>Enter the registry ID number in row 2844 of the table for production class 3.</t>
  </si>
  <si>
    <t>Enter the registry ID number in row 2845 of the table for production class 3.</t>
  </si>
  <si>
    <t>Enter the registry ID number in row 2846 of the table for production class 3.</t>
  </si>
  <si>
    <t>Enter the registry ID number in row 2847 of the table for production class 3.</t>
  </si>
  <si>
    <t>Enter the registry ID number in row 2848 of the table for production class 3.</t>
  </si>
  <si>
    <t>Enter the registry ID number in row 2849 of the table for production class 3.</t>
  </si>
  <si>
    <t>Enter the registry ID number in row 2850 of the table for production class 3.</t>
  </si>
  <si>
    <t>Enter the registry ID number in row 2851 of the table for production class 3.</t>
  </si>
  <si>
    <t>Enter the registry ID number in row 2852 of the table for production class 3.</t>
  </si>
  <si>
    <t>Enter the registry ID number in row 2853 of the table for production class 3.</t>
  </si>
  <si>
    <t>Enter the registry ID number in row 2854 of the table for production class 3.</t>
  </si>
  <si>
    <t>Enter the registry ID number in row 2855 of the table for production class 3.</t>
  </si>
  <si>
    <t>Enter the registry ID number in row 2856 of the table for production class 3.</t>
  </si>
  <si>
    <t>Enter the registry ID number in row 2857 of the table for production class 3.</t>
  </si>
  <si>
    <t>Enter the registry ID number in row 2858 of the table for production class 3.</t>
  </si>
  <si>
    <t>Enter the registry ID number in row 2859 of the table for production class 3.</t>
  </si>
  <si>
    <t>Enter the registry ID number in row 2860 of the table for production class 3.</t>
  </si>
  <si>
    <t>Enter the registry ID number in row 2861 of the table for production class 3.</t>
  </si>
  <si>
    <t>Enter the registry ID number in row 2862 of the table for production class 3.</t>
  </si>
  <si>
    <t>Enter the registry ID number in row 2863 of the table for production class 3.</t>
  </si>
  <si>
    <t>Enter the registry ID number in row 2864 of the table for production class 3.</t>
  </si>
  <si>
    <t>Enter the registry ID number in row 2865 of the table for production class 3.</t>
  </si>
  <si>
    <t>Enter the registry ID number in row 2866 of the table for production class 3.</t>
  </si>
  <si>
    <t>Enter the registry ID number in row 2867 of the table for production class 3.</t>
  </si>
  <si>
    <t>Enter the registry ID number in row 2868 of the table for production class 3.</t>
  </si>
  <si>
    <t>Enter the registry ID number in row 2869 of the table for production class 3.</t>
  </si>
  <si>
    <t>Enter the registry ID number in row 2870 of the table for production class 3.</t>
  </si>
  <si>
    <t>Enter the registry ID number in row 2871 of the table for production class 3.</t>
  </si>
  <si>
    <t>Enter the registry ID number in row 2872 of the table for production class 3.</t>
  </si>
  <si>
    <t>Enter the registry ID number in row 2873 of the table for production class 3.</t>
  </si>
  <si>
    <t>Enter the registry ID number in row 2874 of the table for production class 3.</t>
  </si>
  <si>
    <t>Enter the registry ID number in row 2875 of the table for production class 3.</t>
  </si>
  <si>
    <t>Enter the registry ID number in row 2876 of the table for production class 3.</t>
  </si>
  <si>
    <t>Enter the registry ID number in row 2877 of the table for production class 3.</t>
  </si>
  <si>
    <t>Enter the registry ID number in row 2878 of the table for production class 3.</t>
  </si>
  <si>
    <t>Enter the registry ID number in row 2879 of the table for production class 3.</t>
  </si>
  <si>
    <t>Enter the registry ID number in row 2880 of the table for production class 3.</t>
  </si>
  <si>
    <t>Enter the registry ID number in row 2881 of the table for production class 3.</t>
  </si>
  <si>
    <t>Enter the registry ID number in row 2882 of the table for production class 3.</t>
  </si>
  <si>
    <t>Enter the registry ID number in row 2883 of the table for production class 3.</t>
  </si>
  <si>
    <t>Enter the registry ID number in row 2884 of the table for production class 3.</t>
  </si>
  <si>
    <t>Enter the registry ID number in row 2885 of the table for production class 3.</t>
  </si>
  <si>
    <t>Enter the registry ID number in row 2886 of the table for production class 3.</t>
  </si>
  <si>
    <t>Enter the registry ID number in row 2887 of the table for production class 3.</t>
  </si>
  <si>
    <t>Enter the registry ID number in row 2888 of the table for production class 3.</t>
  </si>
  <si>
    <t>Enter the registry ID number in row 2889 of the table for production class 3.</t>
  </si>
  <si>
    <t>Enter the registry ID number in row 2890 of the table for production class 3.</t>
  </si>
  <si>
    <t>Enter the registry ID number in row 2891 of the table for production class 3.</t>
  </si>
  <si>
    <t>Enter the registry ID number in row 2892 of the table for production class 3.</t>
  </si>
  <si>
    <t>Enter the registry ID number in row 2893 of the table for production class 3.</t>
  </si>
  <si>
    <t>Enter the registry ID number in row 2894 of the table for production class 3.</t>
  </si>
  <si>
    <t>Enter the registry ID number in row 2895 of the table for production class 3.</t>
  </si>
  <si>
    <t>Enter the registry ID number in row 2896 of the table for production class 3.</t>
  </si>
  <si>
    <t>Enter the registry ID number in row 2897 of the table for production class 3.</t>
  </si>
  <si>
    <t>Enter the registry ID number in row 2898 of the table for production class 3.</t>
  </si>
  <si>
    <t>Enter the registry ID number in row 2899 of the table for production class 3.</t>
  </si>
  <si>
    <t>Enter the registry ID number in row 2900 of the table for production class 3.</t>
  </si>
  <si>
    <t>Enter the registry ID number in row 2901 of the table for production class 3.</t>
  </si>
  <si>
    <t>Enter the registry ID number in row 2902 of the table for production class 3.</t>
  </si>
  <si>
    <t>Enter the registry ID number in row 2903 of the table for production class 3.</t>
  </si>
  <si>
    <t>Enter the registry ID number in row 2904 of the table for production class 3.</t>
  </si>
  <si>
    <t>Enter the registry ID number in row 2905 of the table for production class 3.</t>
  </si>
  <si>
    <t>Enter the registry ID number in row 2906 of the table for production class 3.</t>
  </si>
  <si>
    <t>Enter the registry ID number in row 2907 of the table for production class 3.</t>
  </si>
  <si>
    <t>Enter the registry ID number in row 2908 of the table for production class 3.</t>
  </si>
  <si>
    <t>Enter the registry ID number in row 2909 of the table for production class 3.</t>
  </si>
  <si>
    <t>Enter the registry ID number in row 2910 of the table for production class 3.</t>
  </si>
  <si>
    <t>Enter the registry ID number in row 2911 of the table for production class 3.</t>
  </si>
  <si>
    <t>Enter the registry ID number in row 2912 of the table for production class 3.</t>
  </si>
  <si>
    <t>Enter the registry ID number in row 2913 of the table for production class 3.</t>
  </si>
  <si>
    <t>Enter the registry ID number in row 2914 of the table for production class 3.</t>
  </si>
  <si>
    <t>Enter the registry ID number in row 2915 of the table for production class 3.</t>
  </si>
  <si>
    <t>Enter the registry ID number in row 2916 of the table for production class 3.</t>
  </si>
  <si>
    <t>Enter the registry ID number in row 2917 of the table for production class 3.</t>
  </si>
  <si>
    <t>Enter the registry ID number in row 2918 of the table for production class 3.</t>
  </si>
  <si>
    <t>Enter the registry ID number in row 2919 of the table for production class 3.</t>
  </si>
  <si>
    <t>Enter the registry ID number in row 2920 of the table for production class 3.</t>
  </si>
  <si>
    <t>Enter the registry ID number in row 2921 of the table for production class 3.</t>
  </si>
  <si>
    <t>Enter the registry ID number in row 2922 of the table for production class 3.</t>
  </si>
  <si>
    <t>Enter the registry ID number in row 2923 of the table for production class 3.</t>
  </si>
  <si>
    <t>Enter the registry ID number in row 2924 of the table for production class 3.</t>
  </si>
  <si>
    <t>Enter the registry ID number in row 2925 of the table for production class 3.</t>
  </si>
  <si>
    <t>Enter the registry ID number in row 2926 of the table for production class 3.</t>
  </si>
  <si>
    <t>Enter the registry ID number in row 2927 of the table for production class 3.</t>
  </si>
  <si>
    <t>Enter the registry ID number in row 2928 of the table for production class 3.</t>
  </si>
  <si>
    <t>Enter the registry ID number in row 2929 of the table for production class 3.</t>
  </si>
  <si>
    <t>Enter the registry ID number in row 2930 of the table for production class 3.</t>
  </si>
  <si>
    <t>Enter the registry ID number in row 2931 of the table for production class 3.</t>
  </si>
  <si>
    <t>Enter the registry ID number in row 2932 of the table for production class 3.</t>
  </si>
  <si>
    <t>Enter the registry ID number in row 2933 of the table for production class 3.</t>
  </si>
  <si>
    <t>Enter the registry ID number in row 2934 of the table for production class 3.</t>
  </si>
  <si>
    <t>Enter the registry ID number in row 2935 of the table for production class 3.</t>
  </si>
  <si>
    <t>Enter the registry ID number in row 2936 of the table for production class 3.</t>
  </si>
  <si>
    <t>Enter the registry ID number in row 2937 of the table for production class 3.</t>
  </si>
  <si>
    <t>Enter the registry ID number in row 2938 of the table for production class 3.</t>
  </si>
  <si>
    <t>Enter the registry ID number in row 2939 of the table for production class 3.</t>
  </si>
  <si>
    <t>Enter the registry ID number in row 2940 of the table for production class 3.</t>
  </si>
  <si>
    <t>Enter the registry ID number in row 2941 of the table for production class 3.</t>
  </si>
  <si>
    <t>Enter the registry ID number in row 2942 of the table for production class 3.</t>
  </si>
  <si>
    <t>Enter the registry ID number in row 2943 of the table for production class 3.</t>
  </si>
  <si>
    <t>Enter the registry ID number in row 2944 of the table for production class 3.</t>
  </si>
  <si>
    <t>Enter the registry ID number in row 2945 of the table for production class 3.</t>
  </si>
  <si>
    <t>Enter the registry ID number in row 2946 of the table for production class 3.</t>
  </si>
  <si>
    <t>Enter the registry ID number in row 2947 of the table for production class 3.</t>
  </si>
  <si>
    <t>Enter the registry ID number in row 2948 of the table for production class 3.</t>
  </si>
  <si>
    <t>Enter the registry ID number in row 2949 of the table for production class 3.</t>
  </si>
  <si>
    <t>Enter the registry ID number in row 2950 of the table for production class 3.</t>
  </si>
  <si>
    <t>Enter the registry ID number in row 2951 of the table for production class 3.</t>
  </si>
  <si>
    <t>Enter the registry ID number in row 2952 of the table for production class 3.</t>
  </si>
  <si>
    <t>Enter the registry ID number in row 2953 of the table for production class 3.</t>
  </si>
  <si>
    <t>Enter the registry ID number in row 2954 of the table for production class 3.</t>
  </si>
  <si>
    <t>Enter the registry ID number in row 2955 of the table for production class 3.</t>
  </si>
  <si>
    <t>Enter the registry ID number in row 2956 of the table for production class 3.</t>
  </si>
  <si>
    <t>Enter the registry ID number in row 2957 of the table for production class 3.</t>
  </si>
  <si>
    <t>Enter the registry ID number in row 2958 of the table for production class 3.</t>
  </si>
  <si>
    <t>Enter the registry ID number in row 2959 of the table for production class 3.</t>
  </si>
  <si>
    <t>Enter the registry ID number in row 2960 of the table for production class 3.</t>
  </si>
  <si>
    <t>Enter the registry ID number in row 2961 of the table for production class 3.</t>
  </si>
  <si>
    <t>Enter the registry ID number in row 2962 of the table for production class 3.</t>
  </si>
  <si>
    <t>Enter the registry ID number in row 2963 of the table for production class 3.</t>
  </si>
  <si>
    <t>Enter the registry ID number in row 2964 of the table for production class 3.</t>
  </si>
  <si>
    <t>Enter the registry ID number in row 2965 of the table for production class 3.</t>
  </si>
  <si>
    <t>Enter the registry ID number in row 2966 of the table for production class 3.</t>
  </si>
  <si>
    <t>Enter the registry ID number in row 2967 of the table for production class 3.</t>
  </si>
  <si>
    <t>Enter the registry ID number in row 2968 of the table for production class 3.</t>
  </si>
  <si>
    <t>Enter the registry ID number in row 2969 of the table for production class 3.</t>
  </si>
  <si>
    <t>Enter the registry ID number in row 2970 of the table for production class 3.</t>
  </si>
  <si>
    <t>Enter the registry ID number in row 2971 of the table for production class 3.</t>
  </si>
  <si>
    <t>Enter the registry ID number in row 2972 of the table for production class 3.</t>
  </si>
  <si>
    <t>Enter the registry ID number in row 2973 of the table for production class 3.</t>
  </si>
  <si>
    <t>Enter the registry ID number in row 2974 of the table for production class 3.</t>
  </si>
  <si>
    <t>Enter the registry ID number in row 2975 of the table for production class 3.</t>
  </si>
  <si>
    <t>Enter the registry ID number in row 2976 of the table for production class 3.</t>
  </si>
  <si>
    <t>Enter the registry ID number in row 2977 of the table for production class 3.</t>
  </si>
  <si>
    <t>Enter the registry ID number in row 2978 of the table for production class 3.</t>
  </si>
  <si>
    <t>Enter the registry ID number in row 2979 of the table for production class 3.</t>
  </si>
  <si>
    <t>Enter the registry ID number in row 2980 of the table for production class 3.</t>
  </si>
  <si>
    <t>Enter the registry ID number in row 2981 of the table for production class 3.</t>
  </si>
  <si>
    <t>Enter the registry ID number in row 2982 of the table for production class 3.</t>
  </si>
  <si>
    <t>Enter the registry ID number in row 2983 of the table for production class 3.</t>
  </si>
  <si>
    <t>Enter the registry ID number in row 2984 of the table for production class 3.</t>
  </si>
  <si>
    <t>Enter the registry ID number in row 2985 of the table for production class 3.</t>
  </si>
  <si>
    <t>Enter the registry ID number in row 2986 of the table for production class 3.</t>
  </si>
  <si>
    <t>Enter the registry ID number in row 2987 of the table for production class 3.</t>
  </si>
  <si>
    <t>Enter the registry ID number in row 2988 of the table for production class 3.</t>
  </si>
  <si>
    <t>Enter the registry ID number in row 2989 of the table for production class 3.</t>
  </si>
  <si>
    <t>Enter the registry ID number in row 2990 of the table for production class 3.</t>
  </si>
  <si>
    <t>Enter the registry ID number in row 2991 of the table for production class 3.</t>
  </si>
  <si>
    <t>Enter the registry ID number in row 2992 of the table for production class 3.</t>
  </si>
  <si>
    <t>Enter the registry ID number in row 2993 of the table for production class 3.</t>
  </si>
  <si>
    <t>Enter the registry ID number in row 2994 of the table for production class 3.</t>
  </si>
  <si>
    <t>Enter the registry ID number in row 2995 of the table for production class 3.</t>
  </si>
  <si>
    <t>Enter the registry ID number in row 2996 of the table for production class 3.</t>
  </si>
  <si>
    <t>Enter the registry ID number in row 2997 of the table for production class 3.</t>
  </si>
  <si>
    <t>Enter the registry ID number in row 2998 of the table for production class 3.</t>
  </si>
  <si>
    <t>Enter the registry ID number in row 2999 of the table for production class 3.</t>
  </si>
  <si>
    <t>Enter the registry ID number in row 3000 of the table for production class 3.</t>
  </si>
  <si>
    <t>Enter the registry ID number in row 3001 of the table for production class 3.</t>
  </si>
  <si>
    <t>Enter the registry ID number in row 3002 of the table for production class 3.</t>
  </si>
  <si>
    <t>Enter the registry ID number in row 3003 of the table for production class 3.</t>
  </si>
  <si>
    <t>Enter the registry ID number in row 3004 of the table for production class 3.</t>
  </si>
  <si>
    <t>Enter the registry ID number in row 3005 of the table for production class 3.</t>
  </si>
  <si>
    <t>Enter the registry ID number in row 3006 of the table for production class 3.</t>
  </si>
  <si>
    <t>Enter the registry ID number in row 3007 of the table for production class 3.</t>
  </si>
  <si>
    <t>Enter the registry ID number in row 3008 of the table for production class 3.</t>
  </si>
  <si>
    <t>Enter the registry ID number in row 3009 of the table for production class 3.</t>
  </si>
  <si>
    <t>Enter the registry ID number in row 3010 of the table for production class 3.</t>
  </si>
  <si>
    <t>Enter the registry ID number in row 3011 of the table for production class 3.</t>
  </si>
  <si>
    <t>Enter the registry ID number in row 3012 of the table for production class 3.</t>
  </si>
  <si>
    <t>Enter the registry ID number in row 3013 of the table for production class 3.</t>
  </si>
  <si>
    <t>Enter the registry ID number in row 3014 of the table for production class 3.</t>
  </si>
  <si>
    <t>Enter the registry ID number in row 3015 of the table for production class 3.</t>
  </si>
  <si>
    <t>Enter the registry ID number in row 3016 of the table for production class 3.</t>
  </si>
  <si>
    <t>Enter the registry ID number in row 3017 of the table for production class 3.</t>
  </si>
  <si>
    <t>Enter the registry ID number in row 3018 of the table for production class 3.</t>
  </si>
  <si>
    <t>Enter the registry ID number in row 3019 of the table for production class 3.</t>
  </si>
  <si>
    <t>Enter the registry ID number in row 3020 of the table for production class 3.</t>
  </si>
  <si>
    <t>Enter the registry ID number in row 3021 of the table for production class 3.</t>
  </si>
  <si>
    <t>Enter the registry ID number in row 3022 of the table for production class 3.</t>
  </si>
  <si>
    <t>Enter the registry ID number in row 3023 of the table for production class 3.</t>
  </si>
  <si>
    <t>Enter the registry ID number in row 3024 of the table for production class 3.</t>
  </si>
  <si>
    <t>Enter the registry ID number in row 3025 of the table for production class 3.</t>
  </si>
  <si>
    <t>Enter the registry ID number in row 3026 of the table for production class 3.</t>
  </si>
  <si>
    <t>Enter the registry ID number in row 3027 of the table for production class 3.</t>
  </si>
  <si>
    <t>Enter the registry ID number in row 3028 of the table for production class 3.</t>
  </si>
  <si>
    <t>Enter the registry ID number in row 3029 of the table for production class 3.</t>
  </si>
  <si>
    <t>Enter the registry ID number in row 3030 of the table for production class 3.</t>
  </si>
  <si>
    <t>Enter the registry ID number in row 3031 of the table for production class 3.</t>
  </si>
  <si>
    <t>Enter the registry ID number in row 3032 of the table for production class 3.</t>
  </si>
  <si>
    <t>Enter the registry ID number in row 3033 of the table for production class 3.</t>
  </si>
  <si>
    <t>Enter the registry ID number in row 3034 of the table for production class 3.</t>
  </si>
  <si>
    <t>Enter the registry ID number in row 3035 of the table for production class 3.</t>
  </si>
  <si>
    <t>Enter the registry ID number in row 3036 of the table for production class 3.</t>
  </si>
  <si>
    <t>Enter the registry ID number in row 3037 of the table for production class 3.</t>
  </si>
  <si>
    <t>Enter the registry ID number in row 3038 of the table for production class 3.</t>
  </si>
  <si>
    <t>Enter the registry ID number in row 3039 of the table for production class 3.</t>
  </si>
  <si>
    <t>Enter the registry ID number in row 3040 of the table for production class 3.</t>
  </si>
  <si>
    <t>Enter the registry ID number in row 3041 of the table for production class 3.</t>
  </si>
  <si>
    <t>Enter the registry ID number in row 3042 of the table for production class 3.</t>
  </si>
  <si>
    <t>Enter the registry ID number in row 3043 of the table for production class 3.</t>
  </si>
  <si>
    <t>Enter the registry ID number in row 3044 of the table for production class 3.</t>
  </si>
  <si>
    <t>Enter the registry ID number in row 3045 of the table for production class 3.</t>
  </si>
  <si>
    <t>Enter the registry ID number in row 3046 of the table for production class 3.</t>
  </si>
  <si>
    <t>Enter the registry ID number in row 3047 of the table for production class 3.</t>
  </si>
  <si>
    <t>Enter the registry ID number in row 3048 of the table for production class 3.</t>
  </si>
  <si>
    <t>Enter the registry ID number in row 3049 of the table for production class 3.</t>
  </si>
  <si>
    <t>Enter the registry ID number in row 3050 of the table for production class 3.</t>
  </si>
  <si>
    <t>Enter the registry ID number in row 3051 of the table for production class 3.</t>
  </si>
  <si>
    <t>Enter the registry ID number in row 3052 of the table for production class 3.</t>
  </si>
  <si>
    <t>Enter the registry ID number in row 3053 of the table for production class 3.</t>
  </si>
  <si>
    <t>Enter the registry ID number in row 3054 of the table for production class 3.</t>
  </si>
  <si>
    <t>Enter the registry ID number in row 3055 of the table for production class 3.</t>
  </si>
  <si>
    <t>Enter the registry ID number in row 3056 of the table for production class 3.</t>
  </si>
  <si>
    <t>Enter the registry ID number in row 3057 of the table for production class 3.</t>
  </si>
  <si>
    <t>Enter the registry ID number in row 3058 of the table for production class 3.</t>
  </si>
  <si>
    <t>Enter the registry ID number in row 3059 of the table for production class 3.</t>
  </si>
  <si>
    <t>Enter the registry ID number in row 3060 of the table for production class 3.</t>
  </si>
  <si>
    <t>Enter the registry ID number in row 3061 of the table for production class 3.</t>
  </si>
  <si>
    <t>Enter the registry ID number in row 3062 of the table for production class 3.</t>
  </si>
  <si>
    <t>Enter the registry ID number in row 3063 of the table for production class 3.</t>
  </si>
  <si>
    <t>Enter the registry ID number in row 3064 of the table for production class 3.</t>
  </si>
  <si>
    <t>Enter the registry ID number in row 3065 of the table for production class 3.</t>
  </si>
  <si>
    <t>Enter the registry ID number in row 3066 of the table for production class 3.</t>
  </si>
  <si>
    <t>Enter the registry ID number in row 3067 of the table for production class 3.</t>
  </si>
  <si>
    <t>Enter the registry ID number in row 3068 of the table for production class 3.</t>
  </si>
  <si>
    <t>Enter the registry ID number in row 3069 of the table for production class 3.</t>
  </si>
  <si>
    <t>Enter the registry ID number in row 3070 of the table for production class 3.</t>
  </si>
  <si>
    <t>Enter the registry ID number in row 3071 of the table for production class 3.</t>
  </si>
  <si>
    <t>Enter the registry ID number in row 3072 of the table for production class 3.</t>
  </si>
  <si>
    <t>Enter the registry ID number in row 3073 of the table for production class 3.</t>
  </si>
  <si>
    <t>Enter the registry ID number in row 3074 of the table for production class 3.</t>
  </si>
  <si>
    <t>Enter the registry ID number in row 3075 of the table for production class 3.</t>
  </si>
  <si>
    <t>Enter the registry ID number in row 3076 of the table for production class 3.</t>
  </si>
  <si>
    <t>Enter the registry ID number in row 3077 of the table for production class 3.</t>
  </si>
  <si>
    <t>Enter the registry ID number in row 3078 of the table for production class 3.</t>
  </si>
  <si>
    <t>Enter the registry ID number in row 3079 of the table for production class 3.</t>
  </si>
  <si>
    <t>Enter the registry ID number in row 3080 of the table for production class 3.</t>
  </si>
  <si>
    <t>Enter the registry ID number in row 3081 of the table for production class 3.</t>
  </si>
  <si>
    <t>Enter the registry ID number in row 3082 of the table for production class 3.</t>
  </si>
  <si>
    <t>Enter the registry ID number in row 3083 of the table for production class 3.</t>
  </si>
  <si>
    <t>Enter the registry ID number in row 3084 of the table for production class 3.</t>
  </si>
  <si>
    <t>Enter the registry ID number in row 3085 of the table for production class 3.</t>
  </si>
  <si>
    <t>Enter the registry ID number in row 3086 of the table for production class 3.</t>
  </si>
  <si>
    <t>Enter the registry ID number in row 3087 of the table for production class 3.</t>
  </si>
  <si>
    <t>Enter the registry ID number in row 3088 of the table for production class 3.</t>
  </si>
  <si>
    <t>Enter the registry ID number in row 3089 of the table for production class 3.</t>
  </si>
  <si>
    <t>Enter the registry ID number in row 3090 of the table for production class 3.</t>
  </si>
  <si>
    <t>Enter the registry ID number in row 3091 of the table for production class 3.</t>
  </si>
  <si>
    <t>Enter the registry ID number in row 3092 of the table for production class 3.</t>
  </si>
  <si>
    <t>Enter the registry ID number in row 3093 of the table for production class 3.</t>
  </si>
  <si>
    <t>Enter the registry ID number in row 3094 of the table for production class 3.</t>
  </si>
  <si>
    <t>Enter the registry ID number in row 3095 of the table for production class 3.</t>
  </si>
  <si>
    <t>Enter the registry ID number in row 3096 of the table for production class 3.</t>
  </si>
  <si>
    <t>Enter the registry ID number in row 3097 of the table for production class 3.</t>
  </si>
  <si>
    <t>Enter the registry ID number in row 3098 of the table for production class 3.</t>
  </si>
  <si>
    <t>Enter the registry ID number in row 3099 of the table for production class 3.</t>
  </si>
  <si>
    <t>Enter the registry ID number in row 3100 of the table for production class 3.</t>
  </si>
  <si>
    <t>Enter the registry ID number in row 3101 of the table for production class 3.</t>
  </si>
  <si>
    <t>Enter the registry ID number in row 3102 of the table for production class 3.</t>
  </si>
  <si>
    <t>Enter the registry ID number in row 3103 of the table for production class 3.</t>
  </si>
  <si>
    <t>Enter the registry ID number in row 3104 of the table for production class 3.</t>
  </si>
  <si>
    <t>Enter the registry ID number in row 3105 of the table for production class 3.</t>
  </si>
  <si>
    <t>Enter the registry ID number in row 3106 of the table for production class 3.</t>
  </si>
  <si>
    <t>Enter the registry ID number in row 3107 of the table for production class 3.</t>
  </si>
  <si>
    <t>Enter the registry ID number in row 3108 of the table for production class 3.</t>
  </si>
  <si>
    <t>Enter the registry ID number in row 3109 of the table for production class 3.</t>
  </si>
  <si>
    <t>Enter the registry ID number in row 3110 of the table for production class 3.</t>
  </si>
  <si>
    <t>Enter the registry ID number in row 3111 of the table for production class 3.</t>
  </si>
  <si>
    <t>Enter the registry ID number in row 3112 of the table for production class 3.</t>
  </si>
  <si>
    <t>Enter the registry ID number in row 3113 of the table for production class 3.</t>
  </si>
  <si>
    <t>Enter the registry ID number in row 3114 of the table for production class 3.</t>
  </si>
  <si>
    <t>Enter the registry ID number in row 3115 of the table for production class 3.</t>
  </si>
  <si>
    <t>Enter the registry ID number in row 3116 of the table for production class 3.</t>
  </si>
  <si>
    <t>Enter the registry ID number in row 3117 of the table for production class 3.</t>
  </si>
  <si>
    <t>Enter the registry ID number in row 3118 of the table for production class 3.</t>
  </si>
  <si>
    <t>Enter the registry ID number in row 3119 of the table for production class 3.</t>
  </si>
  <si>
    <t>Enter the registry ID number in row 3120 of the table for production class 3.</t>
  </si>
  <si>
    <t>Enter the registry ID number in row 3121 of the table for production class 3.</t>
  </si>
  <si>
    <t>Enter the registry ID number in row 3122 of the table for production class 3.</t>
  </si>
  <si>
    <t>Enter the registry ID number in row 3123 of the table for production class 3.</t>
  </si>
  <si>
    <t>Enter the registry ID number in row 3124 of the table for production class 3.</t>
  </si>
  <si>
    <t>Enter the registry ID number in row 3125 of the table for production class 3.</t>
  </si>
  <si>
    <t>Enter the registry ID number in row 3126 of the table for production class 3.</t>
  </si>
  <si>
    <t>Enter the registry ID number in row 3127 of the table for production class 3.</t>
  </si>
  <si>
    <t>Enter the registry ID number in row 3128 of the table for production class 3.</t>
  </si>
  <si>
    <t>Enter the registry ID number in row 3129 of the table for production class 3.</t>
  </si>
  <si>
    <t>Enter the registry ID number in row 3130 of the table for production class 3.</t>
  </si>
  <si>
    <t>Enter the registry ID number in row 3131 of the table for production class 3.</t>
  </si>
  <si>
    <t>Enter the registry ID number in row 3132 of the table for production class 3.</t>
  </si>
  <si>
    <t>Enter the registry ID number in row 3133 of the table for production class 3.</t>
  </si>
  <si>
    <t>Enter the registry ID number in row 3134 of the table for production class 3.</t>
  </si>
  <si>
    <t>Enter the registry ID number in row 3135 of the table for production class 3.</t>
  </si>
  <si>
    <t>Enter the registry ID number in row 3136 of the table for production class 3.</t>
  </si>
  <si>
    <t>Enter the registry ID number in row 3137 of the table for production class 3.</t>
  </si>
  <si>
    <t>Enter the registry ID number in row 3138 of the table for production class 3.</t>
  </si>
  <si>
    <t>Enter the registry ID number in row 3139 of the table for production class 3.</t>
  </si>
  <si>
    <t>Enter the registry ID number in row 3140 of the table for production class 3.</t>
  </si>
  <si>
    <t>Enter the registry ID number in row 3141 of the table for production class 3.</t>
  </si>
  <si>
    <t>Enter the registry ID number in row 3142 of the table for production class 3.</t>
  </si>
  <si>
    <t>Enter the registry ID number in row 3143 of the table for production class 3.</t>
  </si>
  <si>
    <t>Enter the registry ID number in row 3144 of the table for production class 3.</t>
  </si>
  <si>
    <t>Enter the registry ID number in row 3145 of the table for production class 3.</t>
  </si>
  <si>
    <t>Enter the registry ID number in row 3146 of the table for production class 3.</t>
  </si>
  <si>
    <t>Enter the registry ID number in row 3147 of the table for production class 3.</t>
  </si>
  <si>
    <t>Enter the registry ID number in row 3148 of the table for production class 3.</t>
  </si>
  <si>
    <t>Enter the registry ID number in row 3149 of the table for production class 3.</t>
  </si>
  <si>
    <t>Enter the registry ID number in row 3150 of the table for production class 3.</t>
  </si>
  <si>
    <t>Enter the registry ID number in row 3151 of the table for production class 3.</t>
  </si>
  <si>
    <t>Enter the registry ID number in row 3152 of the table for production class 3.</t>
  </si>
  <si>
    <t>Enter the registry ID number in row 3153 of the table for production class 3.</t>
  </si>
  <si>
    <t>Enter the registry ID number in row 3154 of the table for production class 3.</t>
  </si>
  <si>
    <t>Enter the registry ID number in row 3155 of the table for production class 3.</t>
  </si>
  <si>
    <t>Enter the registry ID number in row 3156 of the table for production class 3.</t>
  </si>
  <si>
    <t>Enter the registry ID number in row 3157 of the table for production class 3.</t>
  </si>
  <si>
    <t>Enter the registry ID number in row 3158 of the table for production class 3.</t>
  </si>
  <si>
    <t>Enter the registry ID number in row 3159 of the table for production class 3.</t>
  </si>
  <si>
    <t>Enter the registry ID number in row 3160 of the table for production class 3.</t>
  </si>
  <si>
    <t>Enter the registry ID number in row 3161 of the table for production class 3.</t>
  </si>
  <si>
    <t>Enter the registry ID number in row 3162 of the table for production class 3.</t>
  </si>
  <si>
    <t>Enter the registry ID number in row 3163 of the table for production class 3.</t>
  </si>
  <si>
    <t>Enter the registry ID number in row 3164 of the table for production class 3.</t>
  </si>
  <si>
    <t>Enter the registry ID number in row 3165 of the table for production class 3.</t>
  </si>
  <si>
    <t>Enter the registry ID number in row 3166 of the table for production class 3.</t>
  </si>
  <si>
    <t>Enter the registry ID number in row 3167 of the table for production class 3.</t>
  </si>
  <si>
    <t>Enter the registry ID number in row 3168 of the table for production class 3.</t>
  </si>
  <si>
    <t>Enter the registry ID number in row 3169 of the table for production class 3.</t>
  </si>
  <si>
    <t>Enter the registry ID number in row 3170 of the table for production class 3.</t>
  </si>
  <si>
    <t>Enter the registry ID number in row 3171 of the table for production class 3.</t>
  </si>
  <si>
    <t>Enter the registry ID number in row 3172 of the table for production class 3.</t>
  </si>
  <si>
    <t>Enter the registry ID number in row 3173 of the table for production class 3.</t>
  </si>
  <si>
    <t>Enter the registry ID number in row 3174 of the table for production class 3.</t>
  </si>
  <si>
    <t>Enter the registry ID number in row 3175 of the table for production class 3.</t>
  </si>
  <si>
    <t>Enter the registry ID number in row 3176 of the table for production class 3.</t>
  </si>
  <si>
    <t>Enter the registry ID number in row 3177 of the table for production class 3.</t>
  </si>
  <si>
    <t>Enter the registry ID number in row 3178 of the table for production class 3.</t>
  </si>
  <si>
    <t>Enter the registry ID number in row 3179 of the table for production class 3.</t>
  </si>
  <si>
    <t>Enter the registry ID number in row 3180 of the table for production class 3.</t>
  </si>
  <si>
    <t>Enter the registry ID number in row 3181 of the table for production class 3.</t>
  </si>
  <si>
    <t>Enter the registry ID number in row 3182 of the table for production class 3.</t>
  </si>
  <si>
    <t>Enter the registry ID number in row 3183 of the table for production class 3.</t>
  </si>
  <si>
    <t>Enter the registry ID number in row 3184 of the table for production class 3.</t>
  </si>
  <si>
    <t>Enter the registry ID number in row 3185 of the table for production class 3.</t>
  </si>
  <si>
    <t>Enter the registry ID number in row 3186 of the table for production class 3.</t>
  </si>
  <si>
    <t>Enter the registry ID number in row 3187 of the table for production class 3.</t>
  </si>
  <si>
    <t>Enter the registry ID number in row 3188 of the table for production class 3.</t>
  </si>
  <si>
    <t>Enter the registry ID number in row 3189 of the table for production class 3.</t>
  </si>
  <si>
    <t>Enter the registry ID number in row 3190 of the table for production class 3.</t>
  </si>
  <si>
    <t>Enter the registry ID number in row 3191 of the table for production class 3.</t>
  </si>
  <si>
    <t>Enter the registry ID number in row 3192 of the table for production class 3.</t>
  </si>
  <si>
    <t>Enter the registry ID number in row 3193 of the table for production class 3.</t>
  </si>
  <si>
    <t>Enter the registry ID number in row 3194 of the table for production class 3.</t>
  </si>
  <si>
    <t>Enter the registry ID number in row 3195 of the table for production class 3.</t>
  </si>
  <si>
    <t>Enter the registry ID number in row 3196 of the table for production class 3.</t>
  </si>
  <si>
    <t>Enter the registry ID number in row 3197 of the table for production class 3.</t>
  </si>
  <si>
    <t>Enter the registry ID number in row 3198 of the table for production class 3.</t>
  </si>
  <si>
    <t>Enter the registry ID number in row 3199 of the table for production class 3.</t>
  </si>
  <si>
    <t>Enter the registry ID number in row 3200 of the table for production class 3.</t>
  </si>
  <si>
    <t>Enter the registry ID number in row 3201 of the table for production class 3.</t>
  </si>
  <si>
    <t>Enter the registry ID number in row 3202 of the table for production class 3.</t>
  </si>
  <si>
    <t>Enter the registry ID number in row 3203 of the table for production class 3.</t>
  </si>
  <si>
    <t>Enter the registry ID number in row 3204 of the table for production class 3.</t>
  </si>
  <si>
    <t>Enter the registry ID number in row 3205 of the table for production class 3.</t>
  </si>
  <si>
    <t>Enter the registry ID number in row 3206 of the table for production class 3.</t>
  </si>
  <si>
    <t>Enter the registry ID number in row 3207 of the table for production class 3.</t>
  </si>
  <si>
    <t>Enter the registry ID number in row 3208 of the table for production class 3.</t>
  </si>
  <si>
    <t>Enter the registry ID number in row 3209 of the table for production class 3.</t>
  </si>
  <si>
    <t>Enter the registry ID number in row 3210 of the table for production class 3.</t>
  </si>
  <si>
    <t>Enter the registry ID number in row 3211 of the table for production class 3.</t>
  </si>
  <si>
    <t>Enter the registry ID number in row 3212 of the table for production class 3.</t>
  </si>
  <si>
    <t>Enter the registry ID number in row 3213 of the table for production class 3.</t>
  </si>
  <si>
    <t>Enter the registry ID number in row 3214 of the table for production class 3.</t>
  </si>
  <si>
    <t>Enter the registry ID number in row 3215 of the table for production class 3.</t>
  </si>
  <si>
    <t>Enter the registry ID number in row 3216 of the table for production class 3.</t>
  </si>
  <si>
    <t>Enter the registry ID number in row 3217 of the table for production class 3.</t>
  </si>
  <si>
    <t>Enter the registry ID number in row 3218 of the table for production class 3.</t>
  </si>
  <si>
    <t>Enter the registry ID number in row 3219 of the table for production class 3.</t>
  </si>
  <si>
    <t>Enter the registry ID number in row 3220 of the table for production class 3.</t>
  </si>
  <si>
    <t>Enter the registry ID number in row 3221 of the table for production class 3.</t>
  </si>
  <si>
    <t>Enter the registry ID number in row 3222 of the table for production class 3.</t>
  </si>
  <si>
    <t>Enter the registry ID number in row 3223 of the table for production class 3.</t>
  </si>
  <si>
    <t>Enter the registry ID number in row 3224 of the table for production class 3.</t>
  </si>
  <si>
    <t>Enter the registry ID number in row 3225 of the table for production class 3.</t>
  </si>
  <si>
    <t>Enter the registry ID number in row 3226 of the table for production class 3.</t>
  </si>
  <si>
    <t>Enter the registry ID number in row 3227 of the table for production class 3.</t>
  </si>
  <si>
    <t>Enter the registry ID number in row 3228 of the table for production class 3.</t>
  </si>
  <si>
    <t>Enter the registry ID number in row 3229 of the table for production class 3.</t>
  </si>
  <si>
    <t>Enter the registry ID number in row 3230 of the table for production class 3.</t>
  </si>
  <si>
    <t>Enter the registry ID number in row 3231 of the table for production class 3.</t>
  </si>
  <si>
    <t>Enter the registry ID number in row 3232 of the table for production class 3.</t>
  </si>
  <si>
    <t>Enter the registry ID number in row 3233 of the table for production class 3.</t>
  </si>
  <si>
    <t>Enter the registry ID number in row 3234 of the table for production class 3.</t>
  </si>
  <si>
    <t>Enter the registry ID number in row 3235 of the table for production class 3.</t>
  </si>
  <si>
    <t>Enter the registry ID number in row 3236 of the table for production class 3.</t>
  </si>
  <si>
    <t>Enter the registry ID number in row 3237 of the table for production class 3.</t>
  </si>
  <si>
    <t>Enter the registry ID number in row 3238 of the table for production class 3.</t>
  </si>
  <si>
    <t>Enter the registry ID number in row 3239 of the table for production class 3.</t>
  </si>
  <si>
    <t>Enter the registry ID number in row 3240 of the table for production class 3.</t>
  </si>
  <si>
    <t>Enter the registry ID number in row 3241 of the table for production class 3.</t>
  </si>
  <si>
    <t>Enter the registry ID number in row 3242 of the table for production class 3.</t>
  </si>
  <si>
    <t>Enter the registry ID number in row 3243 of the table for production class 3.</t>
  </si>
  <si>
    <t>Enter the registry ID number in row 3244 of the table for production class 3.</t>
  </si>
  <si>
    <t>Enter the registry ID number in row 3245 of the table for production class 3.</t>
  </si>
  <si>
    <t>Enter the registry ID number in row 3246 of the table for production class 3.</t>
  </si>
  <si>
    <t>Enter the registry ID number in row 3247 of the table for production class 3.</t>
  </si>
  <si>
    <t>Enter the registry ID number in row 3248 of the table for production class 3.</t>
  </si>
  <si>
    <t>Enter the registry ID number in row 3249 of the table for production class 3.</t>
  </si>
  <si>
    <t>Enter the registry ID number in row 3250 of the table for production class 3.</t>
  </si>
  <si>
    <t>Enter the registry ID number in row 3251 of the table for production class 3.</t>
  </si>
  <si>
    <t>Enter the registry ID number in row 3252 of the table for production class 3.</t>
  </si>
  <si>
    <t>Enter the registry ID number in row 3253 of the table for production class 3.</t>
  </si>
  <si>
    <t>Enter the registry ID number in row 3254 of the table for production class 3.</t>
  </si>
  <si>
    <t>Enter the registry ID number in row 3255 of the table for production class 3.</t>
  </si>
  <si>
    <t>Enter the registry ID number in row 3256 of the table for production class 3.</t>
  </si>
  <si>
    <t>Enter the registry ID number in row 3257 of the table for production class 3.</t>
  </si>
  <si>
    <t>Enter the registry ID number in row 3258 of the table for production class 3.</t>
  </si>
  <si>
    <t>Enter the registry ID number in row 3259 of the table for production class 3.</t>
  </si>
  <si>
    <t>Enter the registry ID number in row 3260 of the table for production class 3.</t>
  </si>
  <si>
    <t>Enter the registry ID number in row 3261 of the table for production class 3.</t>
  </si>
  <si>
    <t>Enter the registry ID number in row 3262 of the table for production class 3.</t>
  </si>
  <si>
    <t>Enter the registry ID number in row 3263 of the table for production class 3.</t>
  </si>
  <si>
    <t>Enter the registry ID number in row 3264 of the table for production class 3.</t>
  </si>
  <si>
    <t>Enter the registry ID number in row 3265 of the table for production class 3.</t>
  </si>
  <si>
    <t>Enter the registry ID number in row 3266 of the table for production class 3.</t>
  </si>
  <si>
    <t>Enter the registry ID number in row 3267 of the table for production class 3.</t>
  </si>
  <si>
    <t>Enter the registry ID number in row 3268 of the table for production class 3.</t>
  </si>
  <si>
    <t>Enter the registry ID number in row 3269 of the table for production class 3.</t>
  </si>
  <si>
    <t>Enter the registry ID number in row 3270 of the table for production class 3.</t>
  </si>
  <si>
    <t>Enter the registry ID number in row 3271 of the table for production class 3.</t>
  </si>
  <si>
    <t>Enter the registry ID number in row 3272 of the table for production class 3.</t>
  </si>
  <si>
    <t>Enter the registry ID number in row 3273 of the table for production class 3.</t>
  </si>
  <si>
    <t>Enter the registry ID number in row 3274 of the table for production class 3.</t>
  </si>
  <si>
    <t>Enter the registry ID number in row 3275 of the table for production class 3.</t>
  </si>
  <si>
    <t>Enter the registry ID number in row 3276 of the table for production class 3.</t>
  </si>
  <si>
    <t>Enter the registry ID number in row 3277 of the table for production class 3.</t>
  </si>
  <si>
    <t>Enter the registry ID number in row 3278 of the table for production class 3.</t>
  </si>
  <si>
    <t>Enter the registry ID number in row 3279 of the table for production class 3.</t>
  </si>
  <si>
    <t>Enter the registry ID number in row 3280 of the table for production class 3.</t>
  </si>
  <si>
    <t>Enter the registry ID number in row 3281 of the table for production class 3.</t>
  </si>
  <si>
    <t>Enter the registry ID number in row 3282 of the table for production class 3.</t>
  </si>
  <si>
    <t>Enter the registry ID number in row 3283 of the table for production class 3.</t>
  </si>
  <si>
    <t>Enter the registry ID number in row 3284 of the table for production class 3.</t>
  </si>
  <si>
    <t>Enter the registry ID number in row 3285 of the table for production class 3.</t>
  </si>
  <si>
    <t>Enter the registry ID number in row 3286 of the table for production class 3.</t>
  </si>
  <si>
    <t>Enter the registry ID number in row 3287 of the table for production class 3.</t>
  </si>
  <si>
    <t>Enter the registry ID number in row 3288 of the table for production class 3.</t>
  </si>
  <si>
    <t>Enter the registry ID number in row 3289 of the table for production class 3.</t>
  </si>
  <si>
    <t>Enter the registry ID number in row 3290 of the table for production class 3.</t>
  </si>
  <si>
    <t>Enter the registry ID number in row 3291 of the table for production class 3.</t>
  </si>
  <si>
    <t>Enter the registry ID number in row 3292 of the table for production class 3.</t>
  </si>
  <si>
    <t>Enter the registry ID number in row 3293 of the table for production class 3.</t>
  </si>
  <si>
    <t>Enter the registry ID number in row 3294 of the table for production class 3.</t>
  </si>
  <si>
    <t>Enter the registry ID number in row 3295 of the table for production class 3.</t>
  </si>
  <si>
    <t>Enter the registry ID number in row 3296 of the table for production class 3.</t>
  </si>
  <si>
    <t>Enter the registry ID number in row 3297 of the table for production class 3.</t>
  </si>
  <si>
    <t>Enter the registry ID number in row 3298 of the table for production class 3.</t>
  </si>
  <si>
    <t>Enter the registry ID number in row 3299 of the table for production class 3.</t>
  </si>
  <si>
    <t>Enter the registry ID number in row 3300 of the table for production class 3.</t>
  </si>
  <si>
    <t>Enter the registry ID number in row 3301 of the table for production class 3.</t>
  </si>
  <si>
    <t>Enter the registry ID number in row 3302 of the table for production class 3.</t>
  </si>
  <si>
    <t>Enter the registry ID number in row 3303 of the table for production class 3.</t>
  </si>
  <si>
    <t>Enter the registry ID number in row 3304 of the table for production class 3.</t>
  </si>
  <si>
    <t>Enter the registry ID number in row 3305 of the table for production class 3.</t>
  </si>
  <si>
    <t>Enter the registry ID number in row 3306 of the table for production class 3.</t>
  </si>
  <si>
    <t>Enter the registry ID number in row 3307 of the table for production class 3.</t>
  </si>
  <si>
    <t>Enter the registry ID number in row 3308 of the table for production class 3.</t>
  </si>
  <si>
    <t>Enter the registry ID number in row 3309 of the table for production class 3.</t>
  </si>
  <si>
    <t>Enter the registry ID number in row 3310 of the table for production class 3.</t>
  </si>
  <si>
    <t>Enter the registry ID number in row 3311 of the table for production class 3.</t>
  </si>
  <si>
    <t>Enter the registry ID number in row 3312 of the table for production class 3.</t>
  </si>
  <si>
    <t>Enter the registry ID number in row 3313 of the table for production class 3.</t>
  </si>
  <si>
    <t>Enter the registry ID number in row 3314 of the table for production class 3.</t>
  </si>
  <si>
    <t>Enter the registry ID number in row 3315 of the table for production class 3.</t>
  </si>
  <si>
    <t>Enter the registry ID number in row 3316 of the table for production class 3.</t>
  </si>
  <si>
    <t>Enter the registry ID number in row 3317 of the table for production class 3.</t>
  </si>
  <si>
    <t>Enter the registry ID number in row 3318 of the table for production class 3.</t>
  </si>
  <si>
    <t>Enter the registry ID number in row 3319 of the table for production class 3.</t>
  </si>
  <si>
    <t>Enter the registry ID number in row 3320 of the table for production class 3.</t>
  </si>
  <si>
    <t>Enter the registry ID number in row 3321 of the table for production class 3.</t>
  </si>
  <si>
    <t>Enter the registry ID number in row 3322 of the table for production class 3.</t>
  </si>
  <si>
    <t>Enter the registry ID number in row 3323 of the table for production class 3.</t>
  </si>
  <si>
    <t>Enter the registry ID number in row 3324 of the table for production class 3.</t>
  </si>
  <si>
    <t>Enter the registry ID number in row 3325 of the table for production class 3.</t>
  </si>
  <si>
    <t>Enter the registry ID number in row 3326 of the table for production class 3.</t>
  </si>
  <si>
    <t>Enter the registry ID number in row 3327 of the table for production class 3.</t>
  </si>
  <si>
    <t>Enter the registry ID number in row 3328 of the table for production class 3.</t>
  </si>
  <si>
    <t>Enter the registry ID number in row 3329 of the table for production class 3.</t>
  </si>
  <si>
    <t>Enter the registry ID number in row 3330 of the table for production class 3.</t>
  </si>
  <si>
    <t>Enter the registry ID number in row 3331 of the table for production class 3.</t>
  </si>
  <si>
    <t>Enter the registry ID number in row 3332 of the table for production class 3.</t>
  </si>
  <si>
    <t>Enter the registry ID number in row 3333 of the table for production class 3.</t>
  </si>
  <si>
    <t>Enter the registry ID number in row 3334 of the table for production class 3.</t>
  </si>
  <si>
    <t>Enter the registry ID number in row 3335 of the table for production class 3.</t>
  </si>
  <si>
    <t>Enter the registry ID number in row 3336 of the table for production class 3.</t>
  </si>
  <si>
    <t>Enter the registry ID number in row 3337 of the table for production class 3.</t>
  </si>
  <si>
    <t>Enter the registry ID number in row 3338 of the table for production class 3.</t>
  </si>
  <si>
    <t>Enter the registry ID number in row 3339 of the table for production class 3.</t>
  </si>
  <si>
    <t>Enter the registry ID number in row 3340 of the table for production class 3.</t>
  </si>
  <si>
    <t>Enter the registry ID number in row 3341 of the table for production class 3.</t>
  </si>
  <si>
    <t>Enter the registry ID number in row 3342 of the table for production class 3.</t>
  </si>
  <si>
    <t>Enter the registry ID number in row 3343 of the table for production class 3.</t>
  </si>
  <si>
    <t>Enter the registry ID number in row 3344 of the table for production class 3.</t>
  </si>
  <si>
    <t>Enter the registry ID number in row 3345 of the table for production class 3.</t>
  </si>
  <si>
    <t>Enter the registry ID number in row 3346 of the table for production class 3.</t>
  </si>
  <si>
    <t>Enter the registry ID number in row 3347 of the table for production class 3.</t>
  </si>
  <si>
    <t>Enter the registry ID number in row 3348 of the table for production class 3.</t>
  </si>
  <si>
    <t>Enter the registry ID number in row 3349 of the table for production class 3.</t>
  </si>
  <si>
    <t>Enter the registry ID number in row 3350 of the table for production class 3.</t>
  </si>
  <si>
    <t>Enter the registry ID number in row 3351 of the table for production class 3.</t>
  </si>
  <si>
    <t>Enter the registry ID number in row 3352 of the table for production class 3.</t>
  </si>
  <si>
    <t>Enter the registry ID number in row 3353 of the table for production class 3.</t>
  </si>
  <si>
    <t>Enter the registry ID number in row 3354 of the table for production class 3.</t>
  </si>
  <si>
    <t>Enter the registry ID number in row 3355 of the table for production class 3.</t>
  </si>
  <si>
    <t>Enter the registry ID number in row 3356 of the table for production class 3.</t>
  </si>
  <si>
    <t>Enter the registry ID number in row 3357 of the table for production class 3.</t>
  </si>
  <si>
    <t>Enter the registry ID number in row 3358 of the table for production class 3.</t>
  </si>
  <si>
    <t>Enter the registry ID number in row 3359 of the table for production class 3.</t>
  </si>
  <si>
    <t>Enter the registry ID number in row 3360 of the table for production class 3.</t>
  </si>
  <si>
    <t>Enter the registry ID number in row 3361 of the table for production class 3.</t>
  </si>
  <si>
    <t>Enter the registry ID number in row 3362 of the table for production class 3.</t>
  </si>
  <si>
    <t>Enter the registry ID number in row 3363 of the table for production class 3.</t>
  </si>
  <si>
    <t>Enter the registry ID number in row 3364 of the table for production class 3.</t>
  </si>
  <si>
    <t>Enter the registry ID number in row 3365 of the table for production class 3.</t>
  </si>
  <si>
    <t>Enter the registry ID number in row 3366 of the table for production class 3.</t>
  </si>
  <si>
    <t>Enter the registry ID number in row 3367 of the table for production class 3.</t>
  </si>
  <si>
    <t>Enter the registry ID number in row 3368 of the table for production class 3.</t>
  </si>
  <si>
    <t>Enter the registry ID number in row 3369 of the table for production class 3.</t>
  </si>
  <si>
    <t>Enter the registry ID number in row 3370 of the table for production class 3.</t>
  </si>
  <si>
    <t>Enter the registry ID number in row 3371 of the table for production class 3.</t>
  </si>
  <si>
    <t>Enter the registry ID number in row 3372 of the table for production class 3.</t>
  </si>
  <si>
    <t>Enter the registry ID number in row 3373 of the table for production class 3.</t>
  </si>
  <si>
    <t>Enter the registry ID number in row 3374 of the table for production class 3.</t>
  </si>
  <si>
    <t>Enter the registry ID number in row 3375 of the table for production class 3.</t>
  </si>
  <si>
    <t>Enter the registry ID number in row 3376 of the table for production class 3.</t>
  </si>
  <si>
    <t>Enter the registry ID number in row 3377 of the table for production class 3.</t>
  </si>
  <si>
    <t>Enter the registry ID number in row 3378 of the table for production class 3.</t>
  </si>
  <si>
    <t>Enter the registry ID number in row 3379 of the table for production class 3.</t>
  </si>
  <si>
    <t>Enter the registry ID number in row 3380 of the table for production class 3.</t>
  </si>
  <si>
    <t>Enter the registry ID number in row 3381 of the table for production class 3.</t>
  </si>
  <si>
    <t>Enter the registry ID number in row 3382 of the table for production class 3.</t>
  </si>
  <si>
    <t>Enter the registry ID number in row 3383 of the table for production class 3.</t>
  </si>
  <si>
    <t>Enter the registry ID number in row 3384 of the table for production class 3.</t>
  </si>
  <si>
    <t>Enter the registry ID number in row 3385 of the table for production class 3.</t>
  </si>
  <si>
    <t>Enter the registry ID number in row 3386 of the table for production class 3.</t>
  </si>
  <si>
    <t>Enter the registry ID number in row 3387 of the table for production class 3.</t>
  </si>
  <si>
    <t>Enter the registry ID number in row 3388 of the table for production class 3.</t>
  </si>
  <si>
    <t>Enter the registry ID number in row 3389 of the table for production class 3.</t>
  </si>
  <si>
    <t>Enter the registry ID number in row 3390 of the table for production class 3.</t>
  </si>
  <si>
    <t>Enter the registry ID number in row 3391 of the table for production class 3.</t>
  </si>
  <si>
    <t>Enter the registry ID number in row 3392 of the table for production class 3.</t>
  </si>
  <si>
    <t>Enter the registry ID number in row 3393 of the table for production class 3.</t>
  </si>
  <si>
    <t>Enter the registry ID number in row 3394 of the table for production class 3.</t>
  </si>
  <si>
    <t>Enter the registry ID number in row 3395 of the table for production class 3.</t>
  </si>
  <si>
    <t>Enter the registry ID number in row 3396 of the table for production class 3.</t>
  </si>
  <si>
    <t>Enter the registry ID number in row 3397 of the table for production class 3.</t>
  </si>
  <si>
    <t>Enter the registry ID number in row 3398 of the table for production class 3.</t>
  </si>
  <si>
    <t>Enter the registry ID number in row 3399 of the table for production class 3.</t>
  </si>
  <si>
    <t>Enter the registry ID number in row 3400 of the table for production class 3.</t>
  </si>
  <si>
    <t>Enter the registry ID number in row 3401 of the table for production class 3.</t>
  </si>
  <si>
    <t>Enter the registry ID number in row 3402 of the table for production class 3.</t>
  </si>
  <si>
    <t>Enter the registry ID number in row 3403 of the table for production class 3.</t>
  </si>
  <si>
    <t>Enter the registry ID number in row 3404 of the table for production class 3.</t>
  </si>
  <si>
    <t>Enter the registry ID number in row 3405 of the table for production class 3.</t>
  </si>
  <si>
    <t>Enter the registry ID number in row 3406 of the table for production class 3.</t>
  </si>
  <si>
    <t>Enter the registry ID number in row 3407 of the table for production class 3.</t>
  </si>
  <si>
    <t>Enter the registry ID number in row 3408 of the table for production class 3.</t>
  </si>
  <si>
    <t>Enter the registry ID number in row 3409 of the table for production class 3.</t>
  </si>
  <si>
    <t>Enter the registry ID number in row 3410 of the table for production class 3.</t>
  </si>
  <si>
    <t>Enter the registry ID number in row 3411 of the table for production class 3.</t>
  </si>
  <si>
    <t>Enter the registry ID number in row 3412 of the table for production class 3.</t>
  </si>
  <si>
    <t>Enter the registry ID number in row 3413 of the table for production class 3.</t>
  </si>
  <si>
    <t>Enter the registry ID number in row 3414 of the table for production class 3.</t>
  </si>
  <si>
    <t>Enter the registry ID number in row 3415 of the table for production class 3.</t>
  </si>
  <si>
    <t>Enter the registry ID number in row 3416 of the table for production class 3.</t>
  </si>
  <si>
    <t>Enter the registry ID number in row 3417 of the table for production class 3.</t>
  </si>
  <si>
    <t>Enter the registry ID number in row 3418 of the table for production class 3.</t>
  </si>
  <si>
    <t>Enter the registry ID number in row 3419 of the table for production class 3.</t>
  </si>
  <si>
    <t>Enter the registry ID number in row 3420 of the table for production class 3.</t>
  </si>
  <si>
    <t>Enter the registry ID number in row 3421 of the table for production class 3.</t>
  </si>
  <si>
    <t>Enter the registry ID number in row 3422 of the table for production class 3.</t>
  </si>
  <si>
    <t>Enter the registry ID number in row 3423 of the table for production class 3.</t>
  </si>
  <si>
    <t>Enter the registry ID number in row 3424 of the table for production class 3.</t>
  </si>
  <si>
    <t>Enter the registry ID number in row 3425 of the table for production class 3.</t>
  </si>
  <si>
    <t>Enter the registry ID number in row 3426 of the table for production class 3.</t>
  </si>
  <si>
    <t>Enter the registry ID number in row 3427 of the table for production class 3.</t>
  </si>
  <si>
    <t>Enter the registry ID number in row 3428 of the table for production class 3.</t>
  </si>
  <si>
    <t>Enter the registry ID number in row 3429 of the table for production class 3.</t>
  </si>
  <si>
    <t>Enter the registry ID number in row 3430 of the table for production class 3.</t>
  </si>
  <si>
    <t>Enter the registry ID number in row 3431 of the table for production class 3.</t>
  </si>
  <si>
    <t>Enter the registry ID number in row 3432 of the table for production class 3.</t>
  </si>
  <si>
    <t>Enter the registry ID number in row 3433 of the table for production class 3.</t>
  </si>
  <si>
    <t>Enter the registry ID number in row 3434 of the table for production class 3.</t>
  </si>
  <si>
    <t>Enter the registry ID number in row 3435 of the table for production class 3.</t>
  </si>
  <si>
    <t>Enter the registry ID number in row 3436 of the table for production class 3.</t>
  </si>
  <si>
    <t>Enter the registry ID number in row 3437 of the table for production class 3.</t>
  </si>
  <si>
    <t>Enter the registry ID number in row 3438 of the table for production class 3.</t>
  </si>
  <si>
    <t>Enter the registry ID number in row 3439 of the table for production class 3.</t>
  </si>
  <si>
    <t>Enter the registry ID number in row 3440 of the table for production class 3.</t>
  </si>
  <si>
    <t>Enter the registry ID number in row 3441 of the table for production class 3.</t>
  </si>
  <si>
    <t>Enter the registry ID number in row 3442 of the table for production class 3.</t>
  </si>
  <si>
    <t>Enter the registry ID number in row 3443 of the table for production class 3.</t>
  </si>
  <si>
    <t>Enter the registry ID number in row 3444 of the table for production class 3.</t>
  </si>
  <si>
    <t>Enter the registry ID number in row 3445 of the table for production class 3.</t>
  </si>
  <si>
    <t>Enter the registry ID number in row 3446 of the table for production class 3.</t>
  </si>
  <si>
    <t>Enter the registry ID number in row 3447 of the table for production class 3.</t>
  </si>
  <si>
    <t>Enter the registry ID number in row 3448 of the table for production class 3.</t>
  </si>
  <si>
    <t>Enter the registry ID number in row 3449 of the table for production class 3.</t>
  </si>
  <si>
    <t>Enter the registry ID number in row 3450 of the table for production class 3.</t>
  </si>
  <si>
    <t>Enter the registry ID number in row 3451 of the table for production class 3.</t>
  </si>
  <si>
    <t>Enter the registry ID number in row 3452 of the table for production class 3.</t>
  </si>
  <si>
    <t>Enter the registry ID number in row 3453 of the table for production class 3.</t>
  </si>
  <si>
    <t>Enter the registry ID number in row 3454 of the table for production class 3.</t>
  </si>
  <si>
    <t>Enter the registry ID number in row 3455 of the table for production class 3.</t>
  </si>
  <si>
    <t>Enter the registry ID number in row 3456 of the table for production class 3.</t>
  </si>
  <si>
    <t>Enter the registry ID number in row 3457 of the table for production class 3.</t>
  </si>
  <si>
    <t>Enter the registry ID number in row 3458 of the table for production class 3.</t>
  </si>
  <si>
    <t>Enter the registry ID number in row 3459 of the table for production class 3.</t>
  </si>
  <si>
    <t>Enter the registry ID number in row 3460 of the table for production class 3.</t>
  </si>
  <si>
    <t>Enter the registry ID number in row 3461 of the table for production class 3.</t>
  </si>
  <si>
    <t>Enter the registry ID number in row 3462 of the table for production class 3.</t>
  </si>
  <si>
    <t>Enter the registry ID number in row 3463 of the table for production class 3.</t>
  </si>
  <si>
    <t>Enter the registry ID number in row 3464 of the table for production class 3.</t>
  </si>
  <si>
    <t>Enter the registry ID number in row 3465 of the table for production class 3.</t>
  </si>
  <si>
    <t>Enter the registry ID number in row 3466 of the table for production class 3.</t>
  </si>
  <si>
    <t>Enter the registry ID number in row 3467 of the table for production class 3.</t>
  </si>
  <si>
    <t>Enter the registry ID number in row 3468 of the table for production class 3.</t>
  </si>
  <si>
    <t>Enter the registry ID number in row 3469 of the table for production class 3.</t>
  </si>
  <si>
    <t>Enter the registry ID number in row 3470 of the table for production class 3.</t>
  </si>
  <si>
    <t>Enter the registry ID number in row 3471 of the table for production class 3.</t>
  </si>
  <si>
    <t>Enter the registry ID number in row 3472 of the table for production class 3.</t>
  </si>
  <si>
    <t>Enter the registry ID number in row 3473 of the table for production class 3.</t>
  </si>
  <si>
    <t>Enter the registry ID number in row 3474 of the table for production class 3.</t>
  </si>
  <si>
    <t>Enter the registry ID number in row 3475 of the table for production class 3.</t>
  </si>
  <si>
    <t>Enter the registry ID number in row 3476 of the table for production class 3.</t>
  </si>
  <si>
    <t>Enter the registry ID number in row 3477 of the table for production class 3.</t>
  </si>
  <si>
    <t>Enter the registry ID number in row 3478 of the table for production class 3.</t>
  </si>
  <si>
    <t>Enter the registry ID number in row 3479 of the table for production class 3.</t>
  </si>
  <si>
    <t>Enter the registry ID number in row 3480 of the table for production class 3.</t>
  </si>
  <si>
    <t>Enter the registry ID number in row 3481 of the table for production class 3.</t>
  </si>
  <si>
    <t>Enter the registry ID number in row 3482 of the table for production class 3.</t>
  </si>
  <si>
    <t>Enter the registry ID number in row 3483 of the table for production class 3.</t>
  </si>
  <si>
    <t>Enter the registry ID number in row 3484 of the table for production class 3.</t>
  </si>
  <si>
    <t>Enter the registry ID number in row 3485 of the table for production class 3.</t>
  </si>
  <si>
    <t>Enter the registry ID number in row 3486 of the table for production class 3.</t>
  </si>
  <si>
    <t>Enter the registry ID number in row 3487 of the table for production class 3.</t>
  </si>
  <si>
    <t>Enter the registry ID number in row 3488 of the table for production class 3.</t>
  </si>
  <si>
    <t>Enter the registry ID number in row 3489 of the table for production class 3.</t>
  </si>
  <si>
    <t>Enter the registry ID number in row 3490 of the table for production class 3.</t>
  </si>
  <si>
    <t>Enter the registry ID number in row 3491 of the table for production class 3.</t>
  </si>
  <si>
    <t>Enter the registry ID number in row 3492 of the table for production class 3.</t>
  </si>
  <si>
    <t>Enter the registry ID number in row 3493 of the table for production class 3.</t>
  </si>
  <si>
    <t>Enter the registry ID number in row 3494 of the table for production class 3.</t>
  </si>
  <si>
    <t>Enter the registry ID number in row 3495 of the table for production class 3.</t>
  </si>
  <si>
    <t>Enter the registry ID number in row 3496 of the table for production class 3.</t>
  </si>
  <si>
    <t>Enter the registry ID number in row 3497 of the table for production class 3.</t>
  </si>
  <si>
    <t>Enter the registry ID number in row 3498 of the table for production class 3.</t>
  </si>
  <si>
    <t>Enter the registry ID number in row 3499 of the table for production class 3.</t>
  </si>
  <si>
    <t>Enter the registry ID number in row 3500 of the table for production class 3.</t>
  </si>
  <si>
    <t>Enter the registry ID number in row 3501 of the table for production class 3.</t>
  </si>
  <si>
    <t>Enter the registry ID number in row 3502 of the table for production class 3.</t>
  </si>
  <si>
    <t>Enter the registry ID number in row 3503 of the table for production class 3.</t>
  </si>
  <si>
    <t>Enter the registry ID number in row 3504 of the table for production class 3.</t>
  </si>
  <si>
    <t>Enter the registry ID number in row 3505 of the table for production class 3.</t>
  </si>
  <si>
    <t>Enter the registry ID number in row 3506 of the table for production class 3.</t>
  </si>
  <si>
    <t>Enter the registry ID number in row 3507 of the table for production class 3.</t>
  </si>
  <si>
    <t>Enter the registry ID number in row 3508 of the table for production class 3.</t>
  </si>
  <si>
    <t>Enter the registry ID number in row 3509 of the table for production class 3.</t>
  </si>
  <si>
    <t>Enter the registry ID number in row 3510 of the table for production class 3.</t>
  </si>
  <si>
    <t>Enter the registry ID number in row 3511 of the table for production class 3.</t>
  </si>
  <si>
    <t>Enter the registry ID number in row 3512 of the table for production class 3.</t>
  </si>
  <si>
    <t>Enter the registry ID number in row 3513 of the table for production class 3.</t>
  </si>
  <si>
    <t>Enter the registry ID number in row 3514 of the table for production class 3.</t>
  </si>
  <si>
    <t>Enter the registry ID number in row 3515 of the table for production class 3.</t>
  </si>
  <si>
    <t>Enter the registry ID number in row 3516 of the table for production class 3.</t>
  </si>
  <si>
    <t>Enter the registry ID number in row 3517 of the table for production class 3.</t>
  </si>
  <si>
    <t>Enter the registry ID number in row 3518 of the table for production class 3.</t>
  </si>
  <si>
    <t>Enter the registry ID number in row 3519 of the table for production class 3.</t>
  </si>
  <si>
    <t>Enter the registry ID number in row 3520 of the table for production class 3.</t>
  </si>
  <si>
    <t>Enter the registry ID number in row 3521 of the table for production class 3.</t>
  </si>
  <si>
    <t>Enter the registry ID number in row 3522 of the table for production class 3.</t>
  </si>
  <si>
    <t>Enter the registry ID number in row 3523 of the table for production class 3.</t>
  </si>
  <si>
    <t>Enter the registry ID number in row 3524 of the table for production class 3.</t>
  </si>
  <si>
    <t>Enter the registry ID number in row 3525 of the table for production class 3.</t>
  </si>
  <si>
    <t>Enter the registry ID number in row 3526 of the table for production class 3.</t>
  </si>
  <si>
    <t>Enter the registry ID number in row 3527 of the table for production class 3.</t>
  </si>
  <si>
    <t>Enter the registry ID number in row 3528 of the table for production class 3.</t>
  </si>
  <si>
    <t>Enter the registry ID number in row 3529 of the table for production class 3.</t>
  </si>
  <si>
    <t>Enter the registry ID number in row 3530 of the table for production class 3.</t>
  </si>
  <si>
    <t>Enter the registry ID number in row 3531 of the table for production class 3.</t>
  </si>
  <si>
    <t>Enter the registry ID number in row 3532 of the table for production class 3.</t>
  </si>
  <si>
    <t>Enter the registry ID number in row 3533 of the table for production class 3.</t>
  </si>
  <si>
    <t>Enter the registry ID number in row 3534 of the table for production class 3.</t>
  </si>
  <si>
    <t>Enter the registry ID number in row 3535 of the table for production class 3.</t>
  </si>
  <si>
    <t>Enter the registry ID number in row 3536 of the table for production class 3.</t>
  </si>
  <si>
    <t>Enter the registry ID number in row 3537 of the table for production class 3.</t>
  </si>
  <si>
    <t>Enter the registry ID number in row 3538 of the table for production class 3.</t>
  </si>
  <si>
    <t>Enter the registry ID number in row 3539 of the table for production class 3.</t>
  </si>
  <si>
    <t>Enter the registry ID number in row 3540 of the table for production class 3.</t>
  </si>
  <si>
    <t>Enter the registry ID number in row 3541 of the table for production class 3.</t>
  </si>
  <si>
    <t>Enter the registry ID number in row 3542 of the table for production class 3.</t>
  </si>
  <si>
    <t>Enter the registry ID number in row 3543 of the table for production class 3.</t>
  </si>
  <si>
    <t>Enter the registry ID number in row 3544 of the table for production class 3.</t>
  </si>
  <si>
    <t>Enter the registry ID number in row 3545 of the table for production class 3.</t>
  </si>
  <si>
    <t>Enter the registry ID number in row 3546 of the table for production class 3.</t>
  </si>
  <si>
    <t>Enter the registry ID number in row 3547 of the table for production class 3.</t>
  </si>
  <si>
    <t>Enter the registry ID number in row 3548 of the table for production class 3.</t>
  </si>
  <si>
    <t>Enter the registry ID number in row 3549 of the table for production class 3.</t>
  </si>
  <si>
    <t>Enter the registry ID number in row 3550 of the table for production class 3.</t>
  </si>
  <si>
    <t>Enter the registry ID number in row 3551 of the table for production class 3.</t>
  </si>
  <si>
    <t>Enter the registry ID number in row 3552 of the table for production class 3.</t>
  </si>
  <si>
    <t>Enter the registry ID number in row 3553 of the table for production class 3.</t>
  </si>
  <si>
    <t>Enter the registry ID number in row 3554 of the table for production class 3.</t>
  </si>
  <si>
    <t>Enter the registry ID number in row 3555 of the table for production class 3.</t>
  </si>
  <si>
    <t>Enter the registry ID number in row 3556 of the table for production class 3.</t>
  </si>
  <si>
    <t>Enter the registry ID number in row 3557 of the table for production class 3.</t>
  </si>
  <si>
    <t>Enter the registry ID number in row 3558 of the table for production class 3.</t>
  </si>
  <si>
    <t>Enter the registry ID number in row 3559 of the table for production class 3.</t>
  </si>
  <si>
    <t>Enter the registry ID number in row 3560 of the table for production class 3.</t>
  </si>
  <si>
    <t>Enter the registry ID number in row 3561 of the table for production class 3.</t>
  </si>
  <si>
    <t>Enter the registry ID number in row 3562 of the table for production class 3.</t>
  </si>
  <si>
    <t>Enter the registry ID number in row 3563 of the table for production class 3.</t>
  </si>
  <si>
    <t>Enter the registry ID number in row 3564 of the table for production class 3.</t>
  </si>
  <si>
    <t>Enter the registry ID number in row 3565 of the table for production class 3.</t>
  </si>
  <si>
    <t>Enter the registry ID number in row 3566 of the table for production class 3.</t>
  </si>
  <si>
    <t>Enter the registry ID number in row 3567 of the table for production class 3.</t>
  </si>
  <si>
    <t>Enter the registry ID number in row 3568 of the table for production class 3.</t>
  </si>
  <si>
    <t>Enter the registry ID number in row 3569 of the table for production class 3.</t>
  </si>
  <si>
    <t>Enter the registry ID number in row 3570 of the table for production class 3.</t>
  </si>
  <si>
    <t>Enter the registry ID number in row 3571 of the table for production class 3.</t>
  </si>
  <si>
    <t>Enter the registry ID number in row 3572 of the table for production class 3.</t>
  </si>
  <si>
    <t>Enter the registry ID number in row 3573 of the table for production class 3.</t>
  </si>
  <si>
    <t>Enter the registry ID number in row 3574 of the table for production class 3.</t>
  </si>
  <si>
    <t>Enter the registry ID number in row 3575 of the table for production class 3.</t>
  </si>
  <si>
    <t>Enter the registry ID number in row 3576 of the table for production class 3.</t>
  </si>
  <si>
    <t>Enter the registry ID number in row 3577 of the table for production class 3.</t>
  </si>
  <si>
    <t>Enter the registry ID number in row 3578 of the table for production class 3.</t>
  </si>
  <si>
    <t>Enter the registry ID number in row 3579 of the table for production class 3.</t>
  </si>
  <si>
    <t>Enter the registry ID number in row 3580 of the table for production class 3.</t>
  </si>
  <si>
    <t>Enter the registry ID number in row 3581 of the table for production class 3.</t>
  </si>
  <si>
    <t>Enter the registry ID number in row 3582 of the table for production class 3.</t>
  </si>
  <si>
    <t>Enter the registry ID number in row 3583 of the table for production class 3.</t>
  </si>
  <si>
    <t>Enter the registry ID number in row 3584 of the table for production class 3.</t>
  </si>
  <si>
    <t>Enter the registry ID number in row 3585 of the table for production class 3.</t>
  </si>
  <si>
    <t>Enter the registry ID number in row 3586 of the table for production class 3.</t>
  </si>
  <si>
    <t>Enter the registry ID number in row 3587 of the table for production class 3.</t>
  </si>
  <si>
    <t>Enter the registry ID number in row 3588 of the table for production class 3.</t>
  </si>
  <si>
    <t>Enter the registry ID number in row 3589 of the table for production class 3.</t>
  </si>
  <si>
    <t>Enter the registry ID number in row 3590 of the table for production class 3.</t>
  </si>
  <si>
    <t>Enter the registry ID number in row 3591 of the table for production class 3.</t>
  </si>
  <si>
    <t>Enter the registry ID number in row 3592 of the table for production class 3.</t>
  </si>
  <si>
    <t>Enter the registry ID number in row 3593 of the table for production class 3.</t>
  </si>
  <si>
    <t>Enter the registry ID number in row 3594 of the table for production class 3.</t>
  </si>
  <si>
    <t>Enter the registry ID number in row 3595 of the table for production class 3.</t>
  </si>
  <si>
    <t>Enter the registry ID number in row 3596 of the table for production class 3.</t>
  </si>
  <si>
    <t>Enter the registry ID number in row 3597 of the table for production class 3.</t>
  </si>
  <si>
    <t>Enter the registry ID number in row 3598 of the table for production class 3.</t>
  </si>
  <si>
    <t>Enter the registry ID number in row 3599 of the table for production class 3.</t>
  </si>
  <si>
    <t>Enter the registry ID number in row 3600 of the table for production class 3.</t>
  </si>
  <si>
    <t>Enter the registry ID number in row 3601 of the table for production class 3.</t>
  </si>
  <si>
    <t>Enter the registry ID number in row 3602 of the table for production class 3.</t>
  </si>
  <si>
    <t>Enter the registry ID number in row 3603 of the table for production class 3.</t>
  </si>
  <si>
    <t>Enter the registry ID number in row 3604 of the table for production class 3.</t>
  </si>
  <si>
    <t>Enter the registry ID number in row 3605 of the table for production class 3.</t>
  </si>
  <si>
    <t>Enter the registry ID number in row 3606 of the table for production class 3.</t>
  </si>
  <si>
    <t>Enter the registry ID number in row 3607 of the table for production class 3.</t>
  </si>
  <si>
    <t>Enter the registry ID number in row 3608 of the table for production class 3.</t>
  </si>
  <si>
    <t>Enter the registry ID number in row 3609 of the table for production class 3.</t>
  </si>
  <si>
    <t>Enter the registry ID number in row 3610 of the table for production class 3.</t>
  </si>
  <si>
    <t>Enter the registry ID number in row 3611 of the table for production class 3.</t>
  </si>
  <si>
    <t>Enter the registry ID number in row 3612 of the table for production class 3.</t>
  </si>
  <si>
    <t>Enter the registry ID number in row 3613 of the table for production class 3.</t>
  </si>
  <si>
    <t>Enter the registry ID number in row 3614 of the table for production class 3.</t>
  </si>
  <si>
    <t>Enter the registry ID number in row 3615 of the table for production class 3.</t>
  </si>
  <si>
    <t>Enter the registry ID number in row 3616 of the table for production class 3.</t>
  </si>
  <si>
    <t>Enter the registry ID number in row 3617 of the table for production class 3.</t>
  </si>
  <si>
    <t>Enter the registry ID number in row 3618 of the table for production class 3.</t>
  </si>
  <si>
    <t>Enter the registry ID number in row 3619 of the table for production class 3.</t>
  </si>
  <si>
    <t>Enter the registry ID number in row 3620 of the table for production class 3.</t>
  </si>
  <si>
    <t>Enter the registry ID number in row 3621 of the table for production class 3.</t>
  </si>
  <si>
    <t>Enter the registry ID number in row 3622 of the table for production class 3.</t>
  </si>
  <si>
    <t>Enter the registry ID number in row 3623 of the table for production class 3.</t>
  </si>
  <si>
    <t>Enter the registry ID number in row 3624 of the table for production class 3.</t>
  </si>
  <si>
    <t>Enter the registry ID number in row 3625 of the table for production class 3.</t>
  </si>
  <si>
    <t>Enter the registry ID number in row 3626 of the table for production class 3.</t>
  </si>
  <si>
    <t>Enter the registry ID number in row 3627 of the table for production class 3.</t>
  </si>
  <si>
    <t>Enter the registry ID number in row 3628 of the table for production class 3.</t>
  </si>
  <si>
    <t>Enter the registry ID number in row 3629 of the table for production class 3.</t>
  </si>
  <si>
    <t>Enter the registry ID number in row 3630 of the table for production class 3.</t>
  </si>
  <si>
    <t>Enter the registry ID number in row 3631 of the table for production class 3.</t>
  </si>
  <si>
    <t>Enter the registry ID number in row 3632 of the table for production class 3.</t>
  </si>
  <si>
    <t>Enter the registry ID number in row 3633 of the table for production class 3.</t>
  </si>
  <si>
    <t>Enter the registry ID number in row 3634 of the table for production class 3.</t>
  </si>
  <si>
    <t>Enter the registry ID number in row 3635 of the table for production class 3.</t>
  </si>
  <si>
    <t>Enter the registry ID number in row 3636 of the table for production class 3.</t>
  </si>
  <si>
    <t>Enter the registry ID number in row 3637 of the table for production class 3.</t>
  </si>
  <si>
    <t>Enter the registry ID number in row 3638 of the table for production class 3.</t>
  </si>
  <si>
    <t>Enter the registry ID number in row 3639 of the table for production class 3.</t>
  </si>
  <si>
    <t>Enter the registry ID number in row 3640 of the table for production class 3.</t>
  </si>
  <si>
    <t>Enter the registry ID number in row 3641 of the table for production class 3.</t>
  </si>
  <si>
    <t>Enter the registry ID number in row 3642 of the table for production class 3.</t>
  </si>
  <si>
    <t>Enter the registry ID number in row 3643 of the table for production class 3.</t>
  </si>
  <si>
    <t>Enter the registry ID number in row 3644 of the table for production class 3.</t>
  </si>
  <si>
    <t>Enter the registry ID number in row 3645 of the table for production class 3.</t>
  </si>
  <si>
    <t>Enter the registry ID number in row 3646 of the table for production class 3.</t>
  </si>
  <si>
    <t>Enter the registry ID number in row 3647 of the table for production class 3.</t>
  </si>
  <si>
    <t>Enter the registry ID number in row 3648 of the table for production class 3.</t>
  </si>
  <si>
    <t>Enter the registry ID number in row 3649 of the table for production class 3.</t>
  </si>
  <si>
    <t>Enter the registry ID number in row 3650 of the table for production class 3.</t>
  </si>
  <si>
    <t>Enter the registry ID number in row 3651 of the table for production class 3.</t>
  </si>
  <si>
    <t>Enter the registry ID number in row 3652 of the table for production class 3.</t>
  </si>
  <si>
    <t>Enter the registry ID number in row 3653 of the table for production class 3.</t>
  </si>
  <si>
    <t>Enter the registry ID number in row 3654 of the table for production class 3.</t>
  </si>
  <si>
    <t>Enter the registry ID number in row 3655 of the table for production class 3.</t>
  </si>
  <si>
    <t>Enter the registry ID number in row 3656 of the table for production class 3.</t>
  </si>
  <si>
    <t>Enter the registry ID number in row 3657 of the table for production class 3.</t>
  </si>
  <si>
    <t>Enter the registry ID number in row 3658 of the table for production class 3.</t>
  </si>
  <si>
    <t>Enter the registry ID number in row 3659 of the table for production class 3.</t>
  </si>
  <si>
    <t>Enter the registry ID number in row 3660 of the table for production class 3.</t>
  </si>
  <si>
    <t>Enter the registry ID number in row 3661 of the table for production class 3.</t>
  </si>
  <si>
    <t>Enter the registry ID number in row 3662 of the table for production class 3.</t>
  </si>
  <si>
    <t>Enter the registry ID number in row 3663 of the table for production class 3.</t>
  </si>
  <si>
    <t>Enter the registry ID number in row 3664 of the table for production class 3.</t>
  </si>
  <si>
    <t>Enter the registry ID number in row 3665 of the table for production class 3.</t>
  </si>
  <si>
    <t>Enter the registry ID number in row 3666 of the table for production class 3.</t>
  </si>
  <si>
    <t>Enter the registry ID number in row 3667 of the table for production class 3.</t>
  </si>
  <si>
    <t>Enter the registry ID number in row 3668 of the table for production class 3.</t>
  </si>
  <si>
    <t>Enter the registry ID number in row 3669 of the table for production class 3.</t>
  </si>
  <si>
    <t>Enter the registry ID number in row 3670 of the table for production class 3.</t>
  </si>
  <si>
    <t>Enter the registry ID number in row 3671 of the table for production class 3.</t>
  </si>
  <si>
    <t>Enter the registry ID number in row 3672 of the table for production class 3.</t>
  </si>
  <si>
    <t>Enter the registry ID number in row 3673 of the table for production class 3.</t>
  </si>
  <si>
    <t>Enter the registry ID number in row 3674 of the table for production class 3.</t>
  </si>
  <si>
    <t>Enter the registry ID number in row 3675 of the table for production class 3.</t>
  </si>
  <si>
    <t>Enter the registry ID number in row 3676 of the table for production class 3.</t>
  </si>
  <si>
    <t>Enter the registry ID number in row 3677 of the table for production class 3.</t>
  </si>
  <si>
    <t>Enter the registry ID number in row 3678 of the table for production class 3.</t>
  </si>
  <si>
    <t>Enter the registry ID number in row 3679 of the table for production class 3.</t>
  </si>
  <si>
    <t>Enter the registry ID number in row 3680 of the table for production class 3.</t>
  </si>
  <si>
    <t>Enter the registry ID number in row 3681 of the table for production class 3.</t>
  </si>
  <si>
    <t>Enter the registry ID number in row 3682 of the table for production class 3.</t>
  </si>
  <si>
    <t>Enter the registry ID number in row 3683 of the table for production class 3.</t>
  </si>
  <si>
    <t>Enter the registry ID number in row 3684 of the table for production class 3.</t>
  </si>
  <si>
    <t>Enter the registry ID number in row 3685 of the table for production class 3.</t>
  </si>
  <si>
    <t>Enter the registry ID number in row 3686 of the table for production class 3.</t>
  </si>
  <si>
    <t>Enter the registry ID number in row 3687 of the table for production class 3.</t>
  </si>
  <si>
    <t>Enter the registry ID number in row 3688 of the table for production class 3.</t>
  </si>
  <si>
    <t>Enter the registry ID number in row 3689 of the table for production class 3.</t>
  </si>
  <si>
    <t>Enter the registry ID number in row 3690 of the table for production class 3.</t>
  </si>
  <si>
    <t>Enter the registry ID number in row 3691 of the table for production class 3.</t>
  </si>
  <si>
    <t>Enter the registry ID number in row 3692 of the table for production class 3.</t>
  </si>
  <si>
    <t>Enter the registry ID number in row 3693 of the table for production class 3.</t>
  </si>
  <si>
    <t>Enter the registry ID number in row 3694 of the table for production class 3.</t>
  </si>
  <si>
    <t>Enter the registry ID number in row 3695 of the table for production class 3.</t>
  </si>
  <si>
    <t>Enter the registry ID number in row 3696 of the table for production class 3.</t>
  </si>
  <si>
    <t>Enter the registry ID number in row 3697 of the table for production class 3.</t>
  </si>
  <si>
    <t>Enter the registry ID number in row 3698 of the table for production class 3.</t>
  </si>
  <si>
    <t>Enter the registry ID number in row 3699 of the table for production class 3.</t>
  </si>
  <si>
    <t>Enter the registry ID number in row 3700 of the table for production class 3.</t>
  </si>
  <si>
    <t>Enter the registry ID number in row 3701 of the table for production class 3.</t>
  </si>
  <si>
    <t>Enter the registry ID number in row 3702 of the table for production class 3.</t>
  </si>
  <si>
    <t>Enter the registry ID number in row 3703 of the table for production class 3.</t>
  </si>
  <si>
    <t>Enter the registry ID number in row 3704 of the table for production class 3.</t>
  </si>
  <si>
    <t>Enter the registry ID number in row 3705 of the table for production class 3.</t>
  </si>
  <si>
    <t>Enter the registry ID number in row 3706 of the table for production class 3.</t>
  </si>
  <si>
    <t>Enter the registry ID number in row 3707 of the table for production class 3.</t>
  </si>
  <si>
    <t>Enter the registry ID number in row 3708 of the table for production class 3.</t>
  </si>
  <si>
    <t>Enter the registry ID number in row 3709 of the table for production class 3.</t>
  </si>
  <si>
    <t>Enter the registry ID number in row 3710 of the table for production class 3.</t>
  </si>
  <si>
    <t>Enter the registry ID number in row 3711 of the table for production class 3.</t>
  </si>
  <si>
    <t>Enter the registry ID number in row 3712 of the table for production class 3.</t>
  </si>
  <si>
    <t>Enter the registry ID number in row 3713 of the table for production class 3.</t>
  </si>
  <si>
    <t>Enter the registry ID number in row 3714 of the table for production class 3.</t>
  </si>
  <si>
    <t>Enter the registry ID number in row 3715 of the table for production class 3.</t>
  </si>
  <si>
    <t>Enter the registry ID number in row 3716 of the table for production class 3.</t>
  </si>
  <si>
    <t>Enter the registry ID number in row 3717 of the table for production class 3.</t>
  </si>
  <si>
    <t>Enter the registry ID number in row 3718 of the table for production class 3.</t>
  </si>
  <si>
    <t>Enter the registry ID number in row 3719 of the table for production class 3.</t>
  </si>
  <si>
    <t>Enter the registry ID number in row 3720 of the table for production class 3.</t>
  </si>
  <si>
    <t>Enter the registry ID number in row 3721 of the table for production class 3.</t>
  </si>
  <si>
    <t>Enter the registry ID number in row 3722 of the table for production class 3.</t>
  </si>
  <si>
    <t>Enter the registry ID number in row 3723 of the table for production class 3.</t>
  </si>
  <si>
    <t>Enter the registry ID number in row 3724 of the table for production class 3.</t>
  </si>
  <si>
    <t>Enter the registry ID number in row 3725 of the table for production class 3.</t>
  </si>
  <si>
    <t>Enter the registry ID number in row 3726 of the table for production class 3.</t>
  </si>
  <si>
    <t>Enter the registry ID number in row 3727 of the table for production class 3.</t>
  </si>
  <si>
    <t>Enter the registry ID number in row 3728 of the table for production class 3.</t>
  </si>
  <si>
    <t>Enter the registry ID number in row 3729 of the table for production class 3.</t>
  </si>
  <si>
    <t>Enter the registry ID number in row 3730 of the table for production class 3.</t>
  </si>
  <si>
    <t>Enter the registry ID number in row 3731 of the table for production class 3.</t>
  </si>
  <si>
    <t>Enter the registry ID number in row 3732 of the table for production class 3.</t>
  </si>
  <si>
    <t>Enter the registry ID number in row 3733 of the table for production class 3.</t>
  </si>
  <si>
    <t>Enter the registry ID number in row 3734 of the table for production class 3.</t>
  </si>
  <si>
    <t>Enter the registry ID number in row 3735 of the table for production class 3.</t>
  </si>
  <si>
    <t>Enter the registry ID number in row 3736 of the table for production class 3.</t>
  </si>
  <si>
    <t>Enter the registry ID number in row 3737 of the table for production class 3.</t>
  </si>
  <si>
    <t>Enter the registry ID number in row 3738 of the table for production class 3.</t>
  </si>
  <si>
    <t>Enter the registry ID number in row 3739 of the table for production class 3.</t>
  </si>
  <si>
    <t>Enter the registry ID number in row 3740 of the table for production class 3.</t>
  </si>
  <si>
    <t>Enter the registry ID number in row 3741 of the table for production class 3.</t>
  </si>
  <si>
    <t>Enter the registry ID number in row 3742 of the table for production class 3.</t>
  </si>
  <si>
    <t>Enter the registry ID number in row 3743 of the table for production class 3.</t>
  </si>
  <si>
    <t>Enter the registry ID number in row 3744 of the table for production class 3.</t>
  </si>
  <si>
    <t>Enter the registry ID number in row 3745 of the table for production class 3.</t>
  </si>
  <si>
    <t>Enter the registry ID number in row 3746 of the table for production class 3.</t>
  </si>
  <si>
    <t>Enter the registry ID number in row 3747 of the table for production class 3.</t>
  </si>
  <si>
    <t>Enter the registry ID number in row 3748 of the table for production class 3.</t>
  </si>
  <si>
    <t>Enter the registry ID number in row 3749 of the table for production class 3.</t>
  </si>
  <si>
    <t>Enter the registry ID number in row 3750 of the table for production class 3.</t>
  </si>
  <si>
    <t>Enter the registry ID number in row 3751 of the table for production class 3.</t>
  </si>
  <si>
    <t>Enter the registry ID number in row 3752 of the table for production class 3.</t>
  </si>
  <si>
    <t>Enter the registry ID number in row 3753 of the table for production class 3.</t>
  </si>
  <si>
    <t>Enter the registry ID number in row 3754 of the table for production class 3.</t>
  </si>
  <si>
    <t>Enter the registry ID number in row 3755 of the table for production class 3.</t>
  </si>
  <si>
    <t>Enter the registry ID number in row 3756 of the table for production class 3.</t>
  </si>
  <si>
    <t>Enter the registry ID number in row 3757 of the table for production class 3.</t>
  </si>
  <si>
    <t>Enter the registry ID number in row 3758 of the table for production class 3.</t>
  </si>
  <si>
    <t>Enter the registry ID number in row 3759 of the table for production class 3.</t>
  </si>
  <si>
    <t>Enter the registry ID number in row 3760 of the table for production class 3.</t>
  </si>
  <si>
    <t>Enter the registry ID number in row 3761 of the table for production class 3.</t>
  </si>
  <si>
    <t>Enter the registry ID number in row 3762 of the table for production class 3.</t>
  </si>
  <si>
    <t>Enter the registry ID number in row 3763 of the table for production class 3.</t>
  </si>
  <si>
    <t>Enter the registry ID number in row 3764 of the table for production class 3.</t>
  </si>
  <si>
    <t>Enter the registry ID number in row 3765 of the table for production class 3.</t>
  </si>
  <si>
    <t>Enter the registry ID number in row 3766 of the table for production class 3.</t>
  </si>
  <si>
    <t>Enter the registry ID number in row 3767 of the table for production class 3.</t>
  </si>
  <si>
    <t>Enter the registry ID number in row 3768 of the table for production class 3.</t>
  </si>
  <si>
    <t>Enter the registry ID number in row 3769 of the table for production class 3.</t>
  </si>
  <si>
    <t>Enter the registry ID number in row 3770 of the table for production class 3.</t>
  </si>
  <si>
    <t>Enter the registry ID number in row 3771 of the table for production class 3.</t>
  </si>
  <si>
    <t>Enter the registry ID number in row 3772 of the table for production class 3.</t>
  </si>
  <si>
    <t>Enter the registry ID number in row 3773 of the table for production class 3.</t>
  </si>
  <si>
    <t>Enter the registry ID number in row 3774 of the table for production class 3.</t>
  </si>
  <si>
    <t>Enter the registry ID number in row 3775 of the table for production class 3.</t>
  </si>
  <si>
    <t>Enter the registry ID number in row 3776 of the table for production class 3.</t>
  </si>
  <si>
    <t>Enter the registry ID number in row 3777 of the table for production class 3.</t>
  </si>
  <si>
    <t>Enter the registry ID number in row 3778 of the table for production class 3.</t>
  </si>
  <si>
    <t>Enter the registry ID number in row 3779 of the table for production class 3.</t>
  </si>
  <si>
    <t>Enter the registry ID number in row 3780 of the table for production class 3.</t>
  </si>
  <si>
    <t>Enter the registry ID number in row 3781 of the table for production class 3.</t>
  </si>
  <si>
    <t>Enter the registry ID number in row 3782 of the table for production class 3.</t>
  </si>
  <si>
    <t>Enter the registry ID number in row 3783 of the table for production class 3.</t>
  </si>
  <si>
    <t>Enter the registry ID number in row 3784 of the table for production class 3.</t>
  </si>
  <si>
    <t>Enter the registry ID number in row 3785 of the table for production class 3.</t>
  </si>
  <si>
    <t>Enter the registry ID number in row 3786 of the table for production class 3.</t>
  </si>
  <si>
    <t>Enter the registry ID number in row 3787 of the table for production class 3.</t>
  </si>
  <si>
    <t>Enter the registry ID number in row 3788 of the table for production class 3.</t>
  </si>
  <si>
    <t>Enter the registry ID number in row 3789 of the table for production class 3.</t>
  </si>
  <si>
    <t>Enter the registry ID number in row 3790 of the table for production class 3.</t>
  </si>
  <si>
    <t>Enter the registry ID number in row 3791 of the table for production class 3.</t>
  </si>
  <si>
    <t>Enter the registry ID number in row 3792 of the table for production class 3.</t>
  </si>
  <si>
    <t>Enter the registry ID number in row 3793 of the table for production class 3.</t>
  </si>
  <si>
    <t>Enter the registry ID number in row 3794 of the table for production class 3.</t>
  </si>
  <si>
    <t>Enter the registry ID number in row 3795 of the table for production class 3.</t>
  </si>
  <si>
    <t>Enter the registry ID number in row 3796 of the table for production class 3.</t>
  </si>
  <si>
    <t>Enter the registry ID number in row 3797 of the table for production class 3.</t>
  </si>
  <si>
    <t>Enter the registry ID number in row 3798 of the table for production class 3.</t>
  </si>
  <si>
    <t>Enter the registry ID number in row 3799 of the table for production class 3.</t>
  </si>
  <si>
    <t>Enter the registry ID number in row 3800 of the table for production class 3.</t>
  </si>
  <si>
    <t>Enter the registry ID number in row 3801 of the table for production class 3.</t>
  </si>
  <si>
    <t>Enter the registry ID number in row 3802 of the table for production class 3.</t>
  </si>
  <si>
    <t>Enter the registry ID number in row 3803 of the table for production class 3.</t>
  </si>
  <si>
    <t>Enter the registry ID number in row 3804 of the table for production class 3.</t>
  </si>
  <si>
    <t>Enter the registry ID number in row 3805 of the table for production class 3.</t>
  </si>
  <si>
    <t>Enter the registry ID number in row 3806 of the table for production class 3.</t>
  </si>
  <si>
    <t>Enter the registry ID number in row 3807 of the table for production class 3.</t>
  </si>
  <si>
    <t>Enter the registry ID number in row 3808 of the table for production class 3.</t>
  </si>
  <si>
    <t>Enter the registry ID number in row 3809 of the table for production class 3.</t>
  </si>
  <si>
    <t>Enter the registry ID number in row 3810 of the table for production class 3.</t>
  </si>
  <si>
    <t>Enter the registry ID number in row 3811 of the table for production class 3.</t>
  </si>
  <si>
    <t>Enter the registry ID number in row 3812 of the table for production class 3.</t>
  </si>
  <si>
    <t>Enter the registry ID number in row 3813 of the table for production class 3.</t>
  </si>
  <si>
    <t>Enter the registry ID number in row 3814 of the table for production class 3.</t>
  </si>
  <si>
    <t>Enter the registry ID number in row 3815 of the table for production class 3.</t>
  </si>
  <si>
    <t>Enter the registry ID number in row 3816 of the table for production class 3.</t>
  </si>
  <si>
    <t>Enter the registry ID number in row 3817 of the table for production class 3.</t>
  </si>
  <si>
    <t>Enter the registry ID number in row 3818 of the table for production class 3.</t>
  </si>
  <si>
    <t>Enter the registry ID number in row 3819 of the table for production class 3.</t>
  </si>
  <si>
    <t>Enter the registry ID number in row 3820 of the table for production class 3.</t>
  </si>
  <si>
    <t>Enter the registry ID number in row 3821 of the table for production class 3.</t>
  </si>
  <si>
    <t>Enter the registry ID number in row 3822 of the table for production class 3.</t>
  </si>
  <si>
    <t>Enter the registry ID number in row 3823 of the table for production class 3.</t>
  </si>
  <si>
    <t>Enter the registry ID number in row 3824 of the table for production class 3.</t>
  </si>
  <si>
    <t>Enter the registry ID number in row 3825 of the table for production class 3.</t>
  </si>
  <si>
    <t>Enter the registry ID number in row 3826 of the table for production class 3.</t>
  </si>
  <si>
    <t>Enter the registry ID number in row 3827 of the table for production class 3.</t>
  </si>
  <si>
    <t>Enter the registry ID number in row 3828 of the table for production class 3.</t>
  </si>
  <si>
    <t>Enter the registry ID number in row 3829 of the table for production class 3.</t>
  </si>
  <si>
    <t>Enter the registry ID number in row 3830 of the table for production class 3.</t>
  </si>
  <si>
    <t>Enter the registry ID number in row 3831 of the table for production class 3.</t>
  </si>
  <si>
    <t>Enter the registry ID number in row 3832 of the table for production class 3.</t>
  </si>
  <si>
    <t>Enter the registry ID number in row 3833 of the table for production class 3.</t>
  </si>
  <si>
    <t>Enter the registry ID number in row 3834 of the table for production class 3.</t>
  </si>
  <si>
    <t>Enter the registry ID number in row 3835 of the table for production class 3.</t>
  </si>
  <si>
    <t>Enter the registry ID number in row 3836 of the table for production class 3.</t>
  </si>
  <si>
    <t>Enter the registry ID number in row 3837 of the table for production class 3.</t>
  </si>
  <si>
    <t>Enter the registry ID number in row 3838 of the table for production class 3.</t>
  </si>
  <si>
    <t>Enter the registry ID number in row 3839 of the table for production class 3.</t>
  </si>
  <si>
    <t>Enter the registry ID number in row 3840 of the table for production class 3.</t>
  </si>
  <si>
    <t>Enter the registry ID number in row 3841 of the table for production class 3.</t>
  </si>
  <si>
    <t>Enter the registry ID number in row 3842 of the table for production class 3.</t>
  </si>
  <si>
    <t>Enter the registry ID number in row 3843 of the table for production class 3.</t>
  </si>
  <si>
    <t>Enter the registry ID number in row 3844 of the table for production class 3.</t>
  </si>
  <si>
    <t>Enter the registry ID number in row 3845 of the table for production class 3.</t>
  </si>
  <si>
    <t>Enter the registry ID number in row 3846 of the table for production class 3.</t>
  </si>
  <si>
    <t>Enter the registry ID number in row 3847 of the table for production class 3.</t>
  </si>
  <si>
    <t>Enter the registry ID number in row 3848 of the table for production class 3.</t>
  </si>
  <si>
    <t>Enter the registry ID number in row 3849 of the table for production class 3.</t>
  </si>
  <si>
    <t>Enter the registry ID number in row 3850 of the table for production class 3.</t>
  </si>
  <si>
    <t>Enter the registry ID number in row 3851 of the table for production class 3.</t>
  </si>
  <si>
    <t>Enter the registry ID number in row 3852 of the table for production class 3.</t>
  </si>
  <si>
    <t>Enter the registry ID number in row 3853 of the table for production class 3.</t>
  </si>
  <si>
    <t>Enter the registry ID number in row 3854 of the table for production class 3.</t>
  </si>
  <si>
    <t>Enter the registry ID number in row 3855 of the table for production class 3.</t>
  </si>
  <si>
    <t>Enter the registry ID number in row 3856 of the table for production class 3.</t>
  </si>
  <si>
    <t>Enter the registry ID number in row 3857 of the table for production class 3.</t>
  </si>
  <si>
    <t>Enter the registry ID number in row 3858 of the table for production class 3.</t>
  </si>
  <si>
    <t>Enter the registry ID number in row 3859 of the table for production class 3.</t>
  </si>
  <si>
    <t>Enter the registry ID number in row 3860 of the table for production class 3.</t>
  </si>
  <si>
    <t>Enter the registry ID number in row 3861 of the table for production class 3.</t>
  </si>
  <si>
    <t>Enter the registry ID number in row 3862 of the table for production class 3.</t>
  </si>
  <si>
    <t>Enter the registry ID number in row 3863 of the table for production class 3.</t>
  </si>
  <si>
    <t>Enter the registry ID number in row 3864 of the table for production class 3.</t>
  </si>
  <si>
    <t>Enter the registry ID number in row 3865 of the table for production class 3.</t>
  </si>
  <si>
    <t>Enter the registry ID number in row 3866 of the table for production class 3.</t>
  </si>
  <si>
    <t>Enter the registry ID number in row 3867 of the table for production class 3.</t>
  </si>
  <si>
    <t>Enter the registry ID number in row 3868 of the table for production class 3.</t>
  </si>
  <si>
    <t>Enter the registry ID number in row 3869 of the table for production class 3.</t>
  </si>
  <si>
    <t>Enter the registry ID number in row 3870 of the table for production class 3.</t>
  </si>
  <si>
    <t>Enter the registry ID number in row 3871 of the table for production class 3.</t>
  </si>
  <si>
    <t>Enter the registry ID number in row 3872 of the table for production class 3.</t>
  </si>
  <si>
    <t>Enter the registry ID number in row 3873 of the table for production class 3.</t>
  </si>
  <si>
    <t>Enter the registry ID number in row 3874 of the table for production class 3.</t>
  </si>
  <si>
    <t>Enter the registry ID number in row 3875 of the table for production class 3.</t>
  </si>
  <si>
    <t>Enter the registry ID number in row 3876 of the table for production class 3.</t>
  </si>
  <si>
    <t>Enter the registry ID number in row 3877 of the table for production class 3.</t>
  </si>
  <si>
    <t>Enter the registry ID number in row 3878 of the table for production class 3.</t>
  </si>
  <si>
    <t>Enter the registry ID number in row 3879 of the table for production class 3.</t>
  </si>
  <si>
    <t>Enter the registry ID number in row 3880 of the table for production class 3.</t>
  </si>
  <si>
    <t>Enter the registry ID number in row 3881 of the table for production class 3.</t>
  </si>
  <si>
    <t>Enter the registry ID number in row 3882 of the table for production class 3.</t>
  </si>
  <si>
    <t>Enter the registry ID number in row 3883 of the table for production class 3.</t>
  </si>
  <si>
    <t>Enter the registry ID number in row 3884 of the table for production class 3.</t>
  </si>
  <si>
    <t>Enter the registry ID number in row 3885 of the table for production class 3.</t>
  </si>
  <si>
    <t>Enter the registry ID number in row 3886 of the table for production class 3.</t>
  </si>
  <si>
    <t>Enter the registry ID number in row 3887 of the table for production class 3.</t>
  </si>
  <si>
    <t>Enter the registry ID number in row 3888 of the table for production class 3.</t>
  </si>
  <si>
    <t>Enter the registry ID number in row 3889 of the table for production class 3.</t>
  </si>
  <si>
    <t>Enter the registry ID number in row 3890 of the table for production class 3.</t>
  </si>
  <si>
    <t>Enter the registry ID number in row 3891 of the table for production class 3.</t>
  </si>
  <si>
    <t>Enter the registry ID number in row 3892 of the table for production class 3.</t>
  </si>
  <si>
    <t>Enter the registry ID number in row 3893 of the table for production class 3.</t>
  </si>
  <si>
    <t>Enter the registry ID number in row 3894 of the table for production class 3.</t>
  </si>
  <si>
    <t>Enter the registry ID number in row 3895 of the table for production class 3.</t>
  </si>
  <si>
    <t>Enter the registry ID number in row 3896 of the table for production class 3.</t>
  </si>
  <si>
    <t>Enter the registry ID number in row 3897 of the table for production class 3.</t>
  </si>
  <si>
    <t>Enter the registry ID number in row 3898 of the table for production class 3.</t>
  </si>
  <si>
    <t>Enter the registry ID number in row 3899 of the table for production class 3.</t>
  </si>
  <si>
    <t>Enter the registry ID number in row 3900 of the table for production class 3.</t>
  </si>
  <si>
    <t>Enter the registry ID number in row 3901 of the table for production class 3.</t>
  </si>
  <si>
    <t>Enter the registry ID number in row 3902 of the table for production class 3.</t>
  </si>
  <si>
    <t>Enter the registry ID number in row 3903 of the table for production class 3.</t>
  </si>
  <si>
    <t>Enter the registry ID number in row 3904 of the table for production class 3.</t>
  </si>
  <si>
    <t>Enter the registry ID number in row 3905 of the table for production class 3.</t>
  </si>
  <si>
    <t>Enter the registry ID number in row 3906 of the table for production class 3.</t>
  </si>
  <si>
    <t>Enter the registry ID number in row 3907 of the table for production class 3.</t>
  </si>
  <si>
    <t>Enter the registry ID number in row 3908 of the table for production class 3.</t>
  </si>
  <si>
    <t>Enter the registry ID number in row 3909 of the table for production class 3.</t>
  </si>
  <si>
    <t>Enter the registry ID number in row 3910 of the table for production class 3.</t>
  </si>
  <si>
    <t>Enter the registry ID number in row 3911 of the table for production class 3.</t>
  </si>
  <si>
    <t>Enter the registry ID number in row 3912 of the table for production class 3.</t>
  </si>
  <si>
    <t>Enter the registry ID number in row 3913 of the table for production class 3.</t>
  </si>
  <si>
    <t>Enter the registry ID number in row 3914 of the table for production class 3.</t>
  </si>
  <si>
    <t>Enter the registry ID number in row 3915 of the table for production class 3.</t>
  </si>
  <si>
    <t>Enter the registry ID number in row 3916 of the table for production class 3.</t>
  </si>
  <si>
    <t>Enter the registry ID number in row 3917 of the table for production class 3.</t>
  </si>
  <si>
    <t>Enter the registry ID number in row 3918 of the table for production class 3.</t>
  </si>
  <si>
    <t>Enter the registry ID number in row 3919 of the table for production class 3.</t>
  </si>
  <si>
    <t>Enter the registry ID number in row 3920 of the table for production class 3.</t>
  </si>
  <si>
    <t>Enter the registry ID number in row 3921 of the table for production class 3.</t>
  </si>
  <si>
    <t>Enter the registry ID number in row 3922 of the table for production class 3.</t>
  </si>
  <si>
    <t>Enter the registry ID number in row 3923 of the table for production class 3.</t>
  </si>
  <si>
    <t>Enter the registry ID number in row 3924 of the table for production class 3.</t>
  </si>
  <si>
    <t>Enter the registry ID number in row 3925 of the table for production class 3.</t>
  </si>
  <si>
    <t>Enter the registry ID number in row 3926 of the table for production class 3.</t>
  </si>
  <si>
    <t>Enter the registry ID number in row 3927 of the table for production class 3.</t>
  </si>
  <si>
    <t>Enter the registry ID number in row 3928 of the table for production class 3.</t>
  </si>
  <si>
    <t>Enter the registry ID number in row 3929 of the table for production class 3.</t>
  </si>
  <si>
    <t>Enter the registry ID number in row 3930 of the table for production class 3.</t>
  </si>
  <si>
    <t>Enter the registry ID number in row 3931 of the table for production class 3.</t>
  </si>
  <si>
    <t>Enter the registry ID number in row 3932 of the table for production class 3.</t>
  </si>
  <si>
    <t>Enter the registry ID number in row 3933 of the table for production class 3.</t>
  </si>
  <si>
    <t>Enter the registry ID number in row 3934 of the table for production class 3.</t>
  </si>
  <si>
    <t>Enter the registry ID number in row 3935 of the table for production class 3.</t>
  </si>
  <si>
    <t>Enter the registry ID number in row 3936 of the table for production class 3.</t>
  </si>
  <si>
    <t>Enter the registry ID number in row 3937 of the table for production class 3.</t>
  </si>
  <si>
    <t>Enter the registry ID number in row 3938 of the table for production class 3.</t>
  </si>
  <si>
    <t>Enter the registry ID number in row 3939 of the table for production class 3.</t>
  </si>
  <si>
    <t>Enter the registry ID number in row 3940 of the table for production class 3.</t>
  </si>
  <si>
    <t>Enter the registry ID number in row 3941 of the table for production class 3.</t>
  </si>
  <si>
    <t>Enter the registry ID number in row 3942 of the table for production class 3.</t>
  </si>
  <si>
    <t>Enter the registry ID number in row 3943 of the table for production class 3.</t>
  </si>
  <si>
    <t>Enter the registry ID number in row 3944 of the table for production class 3.</t>
  </si>
  <si>
    <t>Enter the registry ID number in row 3945 of the table for production class 3.</t>
  </si>
  <si>
    <t>Enter the registry ID number in row 3946 of the table for production class 3.</t>
  </si>
  <si>
    <t>Enter the registry ID number in row 3947 of the table for production class 3.</t>
  </si>
  <si>
    <t>Enter the registry ID number in row 3948 of the table for production class 3.</t>
  </si>
  <si>
    <t>Enter the registry ID number in row 3949 of the table for production class 3.</t>
  </si>
  <si>
    <t>Enter the registry ID number in row 3950 of the table for production class 3.</t>
  </si>
  <si>
    <t>Enter the registry ID number in row 3951 of the table for production class 3.</t>
  </si>
  <si>
    <t>Enter the registry ID number in row 3952 of the table for production class 3.</t>
  </si>
  <si>
    <t>Enter the registry ID number in row 3953 of the table for production class 3.</t>
  </si>
  <si>
    <t>Enter the registry ID number in row 3954 of the table for production class 3.</t>
  </si>
  <si>
    <t>Enter the registry ID number in row 3955 of the table for production class 3.</t>
  </si>
  <si>
    <t>Enter the registry ID number in row 3956 of the table for production class 3.</t>
  </si>
  <si>
    <t>Enter the registry ID number in row 3957 of the table for production class 3.</t>
  </si>
  <si>
    <t>Enter the registry ID number in row 3958 of the table for production class 3.</t>
  </si>
  <si>
    <t>Enter the registry ID number in row 3959 of the table for production class 3.</t>
  </si>
  <si>
    <t>Enter the registry ID number in row 3960 of the table for production class 3.</t>
  </si>
  <si>
    <t>Enter the registry ID number in row 3961 of the table for production class 3.</t>
  </si>
  <si>
    <t>Enter the registry ID number in row 3962 of the table for production class 3.</t>
  </si>
  <si>
    <t>Enter the registry ID number in row 3963 of the table for production class 3.</t>
  </si>
  <si>
    <t>Enter the registry ID number in row 3964 of the table for production class 3.</t>
  </si>
  <si>
    <t>Enter the registry ID number in row 3965 of the table for production class 3.</t>
  </si>
  <si>
    <t>Enter the registry ID number in row 3966 of the table for production class 3.</t>
  </si>
  <si>
    <t>Enter the registry ID number in row 3967 of the table for production class 3.</t>
  </si>
  <si>
    <t>Enter the registry ID number in row 3968 of the table for production class 3.</t>
  </si>
  <si>
    <t>Enter the registry ID number in row 3969 of the table for production class 3.</t>
  </si>
  <si>
    <t>Enter the registry ID number in row 3970 of the table for production class 3.</t>
  </si>
  <si>
    <t>Enter the registry ID number in row 3971 of the table for production class 3.</t>
  </si>
  <si>
    <t>Enter the registry ID number in row 3972 of the table for production class 3.</t>
  </si>
  <si>
    <t>Enter the registry ID number in row 3973 of the table for production class 3.</t>
  </si>
  <si>
    <t>Enter the registry ID number in row 3974 of the table for production class 3.</t>
  </si>
  <si>
    <t>Enter the registry ID number in row 3975 of the table for production class 3.</t>
  </si>
  <si>
    <t>Enter the registry ID number in row 3976 of the table for production class 3.</t>
  </si>
  <si>
    <t>Enter the registry ID number in row 3977 of the table for production class 3.</t>
  </si>
  <si>
    <t>Enter the registry ID number in row 3978 of the table for production class 3.</t>
  </si>
  <si>
    <t>Enter the registry ID number in row 3979 of the table for production class 3.</t>
  </si>
  <si>
    <t>Enter the registry ID number in row 3980 of the table for production class 3.</t>
  </si>
  <si>
    <t>Enter the registry ID number in row 3981 of the table for production class 3.</t>
  </si>
  <si>
    <t>Enter the registry ID number in row 3982 of the table for production class 3.</t>
  </si>
  <si>
    <t>Enter the registry ID number in row 3983 of the table for production class 3.</t>
  </si>
  <si>
    <t>Enter the registry ID number in row 3984 of the table for production class 3.</t>
  </si>
  <si>
    <t>Enter the registry ID number in row 3985 of the table for production class 3.</t>
  </si>
  <si>
    <t>Enter the registry ID number in row 3986 of the table for production class 3.</t>
  </si>
  <si>
    <t>Enter the registry ID number in row 3987 of the table for production class 3.</t>
  </si>
  <si>
    <t>Enter the registry ID number in row 3988 of the table for production class 3.</t>
  </si>
  <si>
    <t>Enter the registry ID number in row 3989 of the table for production class 3.</t>
  </si>
  <si>
    <t>Enter the registry ID number in row 3990 of the table for production class 3.</t>
  </si>
  <si>
    <t>Enter the registry ID number in row 3991 of the table for production class 3.</t>
  </si>
  <si>
    <t>Enter the registry ID number in row 3992 of the table for production class 3.</t>
  </si>
  <si>
    <t>Enter the registry ID number in row 3993 of the table for production class 3.</t>
  </si>
  <si>
    <t>Enter the registry ID number in row 3994 of the table for production class 3.</t>
  </si>
  <si>
    <t>Enter the registry ID number in row 3995 of the table for production class 3.</t>
  </si>
  <si>
    <t>Enter the registry ID number in row 3996 of the table for production class 3.</t>
  </si>
  <si>
    <t>Enter the registry ID number in row 3997 of the table for production class 3.</t>
  </si>
  <si>
    <t>Enter the registry ID number in row 3998 of the table for production class 3.</t>
  </si>
  <si>
    <t>Enter the registry ID number in row 3999 of the table for production class 3.</t>
  </si>
  <si>
    <t>Enter the registry ID number in row 4000 of the table for production class 3.</t>
  </si>
  <si>
    <t>Enter the registry ID number in row 4001 of the table for production class 3.</t>
  </si>
  <si>
    <t>Enter the registry ID number in row 4002 of the table for production class 3.</t>
  </si>
  <si>
    <t>Enter the registry ID number in row 4003 of the table for production class 3.</t>
  </si>
  <si>
    <t>Enter the registry ID number in row 4004 of the table for production class 3.</t>
  </si>
  <si>
    <t>Enter the registry ID number in row 4005 of the table for production class 3.</t>
  </si>
  <si>
    <t>Enter the registry ID number in row 4006 of the table for production class 3.</t>
  </si>
  <si>
    <t>Enter the registry ID number in row 4007 of the table for production class 3.</t>
  </si>
  <si>
    <t>Enter the registry ID number in row 4008 of the table for production class 3.</t>
  </si>
  <si>
    <t>Enter the registry ID number in row 4009 of the table for production class 3.</t>
  </si>
  <si>
    <t>Enter the registry ID number in row 4010 of the table for production class 3.</t>
  </si>
  <si>
    <t>Enter the registry ID number in row 4011 of the table for production class 3.</t>
  </si>
  <si>
    <t>Enter the registry ID number in row 4012 of the table for production class 3.</t>
  </si>
  <si>
    <t>Enter the registry ID number in row 4013 of the table for production class 3.</t>
  </si>
  <si>
    <t>Enter the registry ID number in row 4014 of the table for production class 3.</t>
  </si>
  <si>
    <t>Enter the registry ID number in row 4015 of the table for production class 3.</t>
  </si>
  <si>
    <t>Enter the registry ID number in row 4016 of the table for production class 3.</t>
  </si>
  <si>
    <t>Enter the registry ID number in row 4017 of the table for production class 3.</t>
  </si>
  <si>
    <t>Enter the registry ID number in row 4018 of the table for production class 3.</t>
  </si>
  <si>
    <t>Enter the registry ID number in row 4019 of the table for production class 3.</t>
  </si>
  <si>
    <t>Enter the registry ID number in row 4020 of the table for production class 3.</t>
  </si>
  <si>
    <t>Enter the registry ID number in row 4021 of the table for production class 3.</t>
  </si>
  <si>
    <t>Enter the registry ID number in row 4022 of the table for production class 3.</t>
  </si>
  <si>
    <t>Enter the registry ID number in row 4023 of the table for production class 3.</t>
  </si>
  <si>
    <t>Enter the registry ID number in row 4024 of the table for production class 3.</t>
  </si>
  <si>
    <t>Enter the registry ID number in row 4025 of the table for production class 3.</t>
  </si>
  <si>
    <t>Enter the registry ID number in row 4026 of the table for production class 3.</t>
  </si>
  <si>
    <t>Enter the registry ID number in row 4027 of the table for production class 3.</t>
  </si>
  <si>
    <t>Enter the registry ID number in row 4028 of the table for production class 3.</t>
  </si>
  <si>
    <t>Enter the registry ID number in row 4029 of the table for production class 3.</t>
  </si>
  <si>
    <t>Enter the registry ID number in row 4030 of the table for production class 3.</t>
  </si>
  <si>
    <t>Enter the registry ID number in row 4031 of the table for production class 3.</t>
  </si>
  <si>
    <t>Enter the registry ID number in row 4032 of the table for production class 3.</t>
  </si>
  <si>
    <t>Enter the registry ID number in row 4033 of the table for production class 3.</t>
  </si>
  <si>
    <t>Enter the registry ID number in row 4034 of the table for production class 3.</t>
  </si>
  <si>
    <t>Enter the registry ID number in row 4035 of the table for production class 3.</t>
  </si>
  <si>
    <t>Enter the registry ID number in row 4036 of the table for production class 3.</t>
  </si>
  <si>
    <t>Enter the registry ID number in row 4037 of the table for production class 3.</t>
  </si>
  <si>
    <t>Enter the registry ID number in row 4038 of the table for production class 3.</t>
  </si>
  <si>
    <t>Enter the registry ID number in row 4039 of the table for production class 3.</t>
  </si>
  <si>
    <t>Enter the registry ID number in row 4040 of the table for production class 3.</t>
  </si>
  <si>
    <t>Enter the registry ID number in row 4041 of the table for production class 3.</t>
  </si>
  <si>
    <t>Enter the registry ID number in row 4042 of the table for production class 3.</t>
  </si>
  <si>
    <t>Enter the registry ID number in row 4043 of the table for production class 3.</t>
  </si>
  <si>
    <t>Enter the registry ID number in row 4044 of the table for production class 3.</t>
  </si>
  <si>
    <t>Enter the registry ID number in row 4045 of the table for production class 3.</t>
  </si>
  <si>
    <t>Enter the registry ID number in row 4046 of the table for production class 3.</t>
  </si>
  <si>
    <t>Enter the registry ID number in row 4047 of the table for production class 3.</t>
  </si>
  <si>
    <t>Enter the registry ID number in row 4048 of the table for production class 3.</t>
  </si>
  <si>
    <t>Enter the registry ID number in row 4049 of the table for production class 3.</t>
  </si>
  <si>
    <t>Enter the registry ID number in row 4050 of the table for production class 3.</t>
  </si>
  <si>
    <t>Enter the registry ID number in row 4051 of the table for production class 3.</t>
  </si>
  <si>
    <t>Enter the registry ID number in row 4052 of the table for production class 3.</t>
  </si>
  <si>
    <t>Enter the registry ID number in row 4053 of the table for production class 3.</t>
  </si>
  <si>
    <t>Enter the registry ID number in row 4054 of the table for production class 3.</t>
  </si>
  <si>
    <t>Enter the registry ID number in row 4055 of the table for production class 3.</t>
  </si>
  <si>
    <t>Enter the registry ID number in row 4056 of the table for production class 3.</t>
  </si>
  <si>
    <t>Enter the registry ID number in row 4057 of the table for production class 3.</t>
  </si>
  <si>
    <t>Enter the registry ID number in row 4058 of the table for production class 3.</t>
  </si>
  <si>
    <t>Enter the registry ID number in row 4059 of the table for production class 3.</t>
  </si>
  <si>
    <t>Enter the registry ID number in row 4060 of the table for production class 3.</t>
  </si>
  <si>
    <t>Enter the registry ID number in row 4061 of the table for production class 3.</t>
  </si>
  <si>
    <t>Enter the registry ID number in row 4062 of the table for production class 3.</t>
  </si>
  <si>
    <t>Enter the registry ID number in row 4063 of the table for production class 3.</t>
  </si>
  <si>
    <t>Enter the registry ID number in row 4064 of the table for production class 3.</t>
  </si>
  <si>
    <t>Enter the registry ID number in row 4065 of the table for production class 3.</t>
  </si>
  <si>
    <t>Enter the registry ID number in row 4066 of the table for production class 3.</t>
  </si>
  <si>
    <t>Enter the registry ID number in row 4067 of the table for production class 3.</t>
  </si>
  <si>
    <t>Enter the registry ID number in row 4068 of the table for production class 3.</t>
  </si>
  <si>
    <t>Enter the registry ID number in row 4069 of the table for production class 3.</t>
  </si>
  <si>
    <t>Enter the registry ID number in row 4070 of the table for production class 3.</t>
  </si>
  <si>
    <t>Enter the registry ID number in row 4071 of the table for production class 3.</t>
  </si>
  <si>
    <t>Enter the registry ID number in row 4072 of the table for production class 3.</t>
  </si>
  <si>
    <t>Enter the registry ID number in row 4073 of the table for production class 3.</t>
  </si>
  <si>
    <t>Enter the registry ID number in row 4074 of the table for production class 3.</t>
  </si>
  <si>
    <t>Enter the registry ID number in row 4075 of the table for production class 3.</t>
  </si>
  <si>
    <t>Enter the registry ID number in row 4076 of the table for production class 3.</t>
  </si>
  <si>
    <t>Enter the registry ID number in row 4077 of the table for production class 3.</t>
  </si>
  <si>
    <t>Enter the registry ID number in row 4078 of the table for production class 3.</t>
  </si>
  <si>
    <t>Enter the registry ID number in row 4079 of the table for production class 3.</t>
  </si>
  <si>
    <t>Enter the registry ID number in row 4080 of the table for production class 3.</t>
  </si>
  <si>
    <t>Enter the registry ID number in row 4081 of the table for production class 3.</t>
  </si>
  <si>
    <t>Enter the registry ID number in row 4082 of the table for production class 3.</t>
  </si>
  <si>
    <t>Enter the registry ID number in row 4083 of the table for production class 3.</t>
  </si>
  <si>
    <t>Enter the registry ID number in row 4084 of the table for production class 3.</t>
  </si>
  <si>
    <t>Enter the registry ID number in row 4085 of the table for production class 3.</t>
  </si>
  <si>
    <t>Enter the registry ID number in row 4086 of the table for production class 3.</t>
  </si>
  <si>
    <t>Enter the registry ID number in row 4087 of the table for production class 3.</t>
  </si>
  <si>
    <t>Enter the registry ID number in row 4088 of the table for production class 3.</t>
  </si>
  <si>
    <t>Enter the registry ID number in row 4089 of the table for production class 3.</t>
  </si>
  <si>
    <t>Enter the registry ID number in row 4090 of the table for production class 3.</t>
  </si>
  <si>
    <t>Enter the registry ID number in row 4091 of the table for production class 3.</t>
  </si>
  <si>
    <t>Enter the registry ID number in row 4092 of the table for production class 3.</t>
  </si>
  <si>
    <t>Enter the registry ID number in row 4093 of the table for production class 3.</t>
  </si>
  <si>
    <t>Enter the registry ID number in row 4094 of the table for production class 3.</t>
  </si>
  <si>
    <t>Enter the registry ID number in row 4095 of the table for production class 3.</t>
  </si>
  <si>
    <t>Enter the registry ID number in row 4096 of the table for production class 3.</t>
  </si>
  <si>
    <t>Enter the registry ID number in row 4097 of the table for production class 3.</t>
  </si>
  <si>
    <t>Enter the registry ID number in row 4098 of the table for production class 3.</t>
  </si>
  <si>
    <t>Enter the registry ID number in row 4099 of the table for production class 3.</t>
  </si>
  <si>
    <t>Enter the registry ID number in row 4100 of the table for production class 3.</t>
  </si>
  <si>
    <t>Enter the registry ID number in row 4101 of the table for production class 3.</t>
  </si>
  <si>
    <t>Enter the registry ID number in row 4102 of the table for production class 3.</t>
  </si>
  <si>
    <t>Enter the registry ID number in row 4103 of the table for production class 3.</t>
  </si>
  <si>
    <t>Enter the registry ID number in row 4104 of the table for production class 3.</t>
  </si>
  <si>
    <t>Enter the registry ID number in row 4105 of the table for production class 3.</t>
  </si>
  <si>
    <t>Enter the registry ID number in row 4106 of the table for production class 3.</t>
  </si>
  <si>
    <t>Enter the registry ID number in row 4107 of the table for production class 3.</t>
  </si>
  <si>
    <t>Enter the registry ID number in row 4108 of the table for production class 3.</t>
  </si>
  <si>
    <t>Enter the registry ID number in row 4109 of the table for production class 3.</t>
  </si>
  <si>
    <t>Enter the registry ID number in row 4110 of the table for production class 3.</t>
  </si>
  <si>
    <t>Enter the registry ID number in row 4111 of the table for production class 3.</t>
  </si>
  <si>
    <t>Enter the registry ID number in row 4112 of the table for production class 3.</t>
  </si>
  <si>
    <t>Enter the registry ID number in row 4113 of the table for production class 3.</t>
  </si>
  <si>
    <t>Enter the registry ID number in row 4114 of the table for production class 3.</t>
  </si>
  <si>
    <t>Enter the registry ID number in row 4115 of the table for production class 3.</t>
  </si>
  <si>
    <t>Enter the registry ID number in row 4116 of the table for production class 3.</t>
  </si>
  <si>
    <t>Enter the registry ID number in row 4117 of the table for production class 3.</t>
  </si>
  <si>
    <t>Enter the registry ID number in row 4118 of the table for production class 3.</t>
  </si>
  <si>
    <t>Enter the registry ID number in row 4119 of the table for production class 3.</t>
  </si>
  <si>
    <t>Enter the registry ID number in row 4120 of the table for production class 3.</t>
  </si>
  <si>
    <t>Enter the registry ID number in row 4121 of the table for production class 3.</t>
  </si>
  <si>
    <t>Enter the registry ID number in row 4122 of the table for production class 3.</t>
  </si>
  <si>
    <t>Enter the registry ID number in row 4123 of the table for production class 3.</t>
  </si>
  <si>
    <t>Enter the registry ID number in row 4124 of the table for production class 3.</t>
  </si>
  <si>
    <t>Enter the registry ID number in row 4125 of the table for production class 3.</t>
  </si>
  <si>
    <t>Enter the registry ID number in row 4126 of the table for production class 3.</t>
  </si>
  <si>
    <t>Enter the registry ID number in row 4127 of the table for production class 3.</t>
  </si>
  <si>
    <t>Enter the registry ID number in row 4128 of the table for production class 3.</t>
  </si>
  <si>
    <t>Enter the registry ID number in row 4129 of the table for production class 3.</t>
  </si>
  <si>
    <t>Enter the registry ID number in row 4130 of the table for production class 3.</t>
  </si>
  <si>
    <t>Enter the registry ID number in row 4131 of the table for production class 3.</t>
  </si>
  <si>
    <t>Enter the registry ID number in row 4132 of the table for production class 3.</t>
  </si>
  <si>
    <t>Enter the registry ID number in row 4133 of the table for production class 3.</t>
  </si>
  <si>
    <t>Enter the registry ID number in row 4134 of the table for production class 3.</t>
  </si>
  <si>
    <t>Enter the registry ID number in row 4135 of the table for production class 3.</t>
  </si>
  <si>
    <t>Enter the registry ID number in row 4136 of the table for production class 3.</t>
  </si>
  <si>
    <t>Enter the registry ID number in row 4137 of the table for production class 3.</t>
  </si>
  <si>
    <t>Enter the registry ID number in row 4138 of the table for production class 3.</t>
  </si>
  <si>
    <t>Enter the registry ID number in row 4139 of the table for production class 3.</t>
  </si>
  <si>
    <t>Enter the registry ID number in row 4140 of the table for production class 3.</t>
  </si>
  <si>
    <t>Enter the registry ID number in row 4141 of the table for production class 3.</t>
  </si>
  <si>
    <t>Enter the registry ID number in row 4142 of the table for production class 3.</t>
  </si>
  <si>
    <t>Enter the registry ID number in row 4143 of the table for production class 3.</t>
  </si>
  <si>
    <t>Enter the registry ID number in row 4144 of the table for production class 3.</t>
  </si>
  <si>
    <t>Enter the registry ID number in row 4145 of the table for production class 3.</t>
  </si>
  <si>
    <t>Enter the registry ID number in row 4146 of the table for production class 3.</t>
  </si>
  <si>
    <t>Enter the registry ID number in row 4147 of the table for production class 3.</t>
  </si>
  <si>
    <t>Enter the registry ID number in row 4148 of the table for production class 3.</t>
  </si>
  <si>
    <t>Enter the registry ID number in row 4149 of the table for production class 3.</t>
  </si>
  <si>
    <t>Enter the registry ID number in row 4150 of the table for production class 3.</t>
  </si>
  <si>
    <t>Enter the registry ID number in row 4151 of the table for production class 3.</t>
  </si>
  <si>
    <t>Enter the registry ID number in row 4152 of the table for production class 3.</t>
  </si>
  <si>
    <t>Enter the registry ID number in row 4153 of the table for production class 3.</t>
  </si>
  <si>
    <t>Enter the registry ID number in row 4154 of the table for production class 3.</t>
  </si>
  <si>
    <t>Enter the registry ID number in row 4155 of the table for production class 3.</t>
  </si>
  <si>
    <t>Enter the registry ID number in row 4156 of the table for production class 3.</t>
  </si>
  <si>
    <t>Enter the registry ID number in row 4157 of the table for production class 3.</t>
  </si>
  <si>
    <t>Enter the registry ID number in row 4158 of the table for production class 3.</t>
  </si>
  <si>
    <t>Enter the registry ID number in row 4159 of the table for production class 3.</t>
  </si>
  <si>
    <t>Enter the registry ID number in row 4160 of the table for production class 3.</t>
  </si>
  <si>
    <t>Enter the registry ID number in row 4161 of the table for production class 3.</t>
  </si>
  <si>
    <t>Enter the registry ID number in row 4162 of the table for production class 3.</t>
  </si>
  <si>
    <t>Enter the registry ID number in row 4163 of the table for production class 3.</t>
  </si>
  <si>
    <t>Enter the registry ID number in row 4164 of the table for production class 3.</t>
  </si>
  <si>
    <t>Enter the registry ID number in row 4165 of the table for production class 3.</t>
  </si>
  <si>
    <t>Enter the registry ID number in row 4166 of the table for production class 3.</t>
  </si>
  <si>
    <t>Enter the registry ID number in row 4167 of the table for production class 3.</t>
  </si>
  <si>
    <t>Enter the registry ID number in row 4168 of the table for production class 3.</t>
  </si>
  <si>
    <t>Enter the registry ID number in row 4169 of the table for production class 3.</t>
  </si>
  <si>
    <t>Enter the registry ID number in row 4170 of the table for production class 3.</t>
  </si>
  <si>
    <t>Enter the registry ID number in row 4171 of the table for production class 3.</t>
  </si>
  <si>
    <t>Enter the registry ID number in row 4172 of the table for production class 3.</t>
  </si>
  <si>
    <t>Enter the registry ID number in row 4173 of the table for production class 3.</t>
  </si>
  <si>
    <t>Enter the registry ID number in row 4174 of the table for production class 3.</t>
  </si>
  <si>
    <t>Enter the registry ID number in row 4175 of the table for production class 3.</t>
  </si>
  <si>
    <t>Enter the registry ID number in row 4176 of the table for production class 3.</t>
  </si>
  <si>
    <t>Enter the registry ID number in row 4177 of the table for production class 3.</t>
  </si>
  <si>
    <t>Enter the registry ID number in row 4178 of the table for production class 3.</t>
  </si>
  <si>
    <t>Enter the registry ID number in row 4179 of the table for production class 3.</t>
  </si>
  <si>
    <t>Enter the registry ID number in row 4180 of the table for production class 3.</t>
  </si>
  <si>
    <t>Enter the registry ID number in row 4181 of the table for production class 3.</t>
  </si>
  <si>
    <t>Enter the registry ID number in row 4182 of the table for production class 3.</t>
  </si>
  <si>
    <t>Enter the registry ID number in row 4183 of the table for production class 3.</t>
  </si>
  <si>
    <t>Enter the registry ID number in row 4184 of the table for production class 3.</t>
  </si>
  <si>
    <t>Enter the registry ID number in row 4185 of the table for production class 3.</t>
  </si>
  <si>
    <t>Enter the registry ID number in row 4186 of the table for production class 3.</t>
  </si>
  <si>
    <t>Enter the registry ID number in row 4187 of the table for production class 3.</t>
  </si>
  <si>
    <t>Enter the registry ID number in row 4188 of the table for production class 3.</t>
  </si>
  <si>
    <t>Enter the registry ID number in row 4189 of the table for production class 3.</t>
  </si>
  <si>
    <t>Enter the registry ID number in row 4190 of the table for production class 3.</t>
  </si>
  <si>
    <t>Enter the registry ID number in row 4191 of the table for production class 3.</t>
  </si>
  <si>
    <t>Enter the registry ID number in row 4192 of the table for production class 3.</t>
  </si>
  <si>
    <t>Enter the registry ID number in row 4193 of the table for production class 3.</t>
  </si>
  <si>
    <t>Enter the registry ID number in row 4194 of the table for production class 3.</t>
  </si>
  <si>
    <t>Enter the registry ID number in row 4195 of the table for production class 3.</t>
  </si>
  <si>
    <t>Enter the registry ID number in row 4196 of the table for production class 3.</t>
  </si>
  <si>
    <t>Enter the registry ID number in row 4197 of the table for production class 3.</t>
  </si>
  <si>
    <t>Enter the registry ID number in row 4198 of the table for production class 3.</t>
  </si>
  <si>
    <t>Enter the registry ID number in row 4199 of the table for production class 3.</t>
  </si>
  <si>
    <t>Enter the registry ID number in row 4200 of the table for production class 3.</t>
  </si>
  <si>
    <t>Enter the registry ID number in row 4201 of the table for production class 3.</t>
  </si>
  <si>
    <t>Enter the registry ID number in row 4202 of the table for production class 3.</t>
  </si>
  <si>
    <t>Enter the registry ID number in row 4203 of the table for production class 3.</t>
  </si>
  <si>
    <t>Enter the registry ID number in row 4204 of the table for production class 3.</t>
  </si>
  <si>
    <t>Enter the registry ID number in row 4205 of the table for production class 3.</t>
  </si>
  <si>
    <t>Enter the registry ID number in row 4206 of the table for production class 3.</t>
  </si>
  <si>
    <t>Enter the registry ID number in row 4207 of the table for production class 3.</t>
  </si>
  <si>
    <t>Enter the registry ID number in row 4208 of the table for production class 3.</t>
  </si>
  <si>
    <t>Enter the registry ID number in row 4209 of the table for production class 3.</t>
  </si>
  <si>
    <t>Enter the registry ID number in row 4210 of the table for production class 3.</t>
  </si>
  <si>
    <t>Enter the registry ID number in row 4211 of the table for production class 3.</t>
  </si>
  <si>
    <t>Enter the registry ID number in row 4212 of the table for production class 3.</t>
  </si>
  <si>
    <t>Enter the registry ID number in row 4213 of the table for production class 3.</t>
  </si>
  <si>
    <t>Enter the registry ID number in row 4214 of the table for production class 3.</t>
  </si>
  <si>
    <t>Enter the registry ID number in row 4215 of the table for production class 3.</t>
  </si>
  <si>
    <t>Enter the registry ID number in row 4216 of the table for production class 3.</t>
  </si>
  <si>
    <t>Enter the registry ID number in row 4217 of the table for production class 3.</t>
  </si>
  <si>
    <t>Enter the registry ID number in row 4218 of the table for production class 3.</t>
  </si>
  <si>
    <t>Enter the registry ID number in row 4219 of the table for production class 3.</t>
  </si>
  <si>
    <t>Enter the registry ID number in row 4220 of the table for production class 3.</t>
  </si>
  <si>
    <t>Enter the registry ID number in row 4221 of the table for production class 3.</t>
  </si>
  <si>
    <t>Enter the registry ID number in row 4222 of the table for production class 3.</t>
  </si>
  <si>
    <t>Enter the registry ID number in row 4223 of the table for production class 3.</t>
  </si>
  <si>
    <t>Enter the registry ID number in row 4224 of the table for production class 3.</t>
  </si>
  <si>
    <t>Enter the registry ID number in row 4225 of the table for production class 3.</t>
  </si>
  <si>
    <t>Enter the registry ID number in row 4226 of the table for production class 3.</t>
  </si>
  <si>
    <t>Enter the registry ID number in row 4227 of the table for production class 3.</t>
  </si>
  <si>
    <t>Enter the registry ID number in row 4228 of the table for production class 3.</t>
  </si>
  <si>
    <t>Enter the registry ID number in row 4229 of the table for production class 3.</t>
  </si>
  <si>
    <t>Enter the registry ID number in row 4230 of the table for production class 3.</t>
  </si>
  <si>
    <t>Enter the registry ID number in row 4231 of the table for production class 3.</t>
  </si>
  <si>
    <t>Enter the registry ID number in row 4232 of the table for production class 3.</t>
  </si>
  <si>
    <t>Enter the registry ID number in row 4233 of the table for production class 3.</t>
  </si>
  <si>
    <t>Enter the registry ID number in row 4234 of the table for production class 3.</t>
  </si>
  <si>
    <t>Enter the registry ID number in row 4235 of the table for production class 3.</t>
  </si>
  <si>
    <t>Enter the registry ID number in row 4236 of the table for production class 3.</t>
  </si>
  <si>
    <t>Enter the registry ID number in row 4237 of the table for production class 3.</t>
  </si>
  <si>
    <t>Enter the registry ID number in row 4238 of the table for production class 3.</t>
  </si>
  <si>
    <t>Enter the registry ID number in row 4239 of the table for production class 3.</t>
  </si>
  <si>
    <t>Enter the registry ID number in row 4240 of the table for production class 3.</t>
  </si>
  <si>
    <t>Enter the registry ID number in row 4241 of the table for production class 3.</t>
  </si>
  <si>
    <t>Enter the registry ID number in row 4242 of the table for production class 3.</t>
  </si>
  <si>
    <t>Enter the registry ID number in row 4243 of the table for production class 3.</t>
  </si>
  <si>
    <t>Enter the registry ID number in row 4244 of the table for production class 3.</t>
  </si>
  <si>
    <t>Enter the registry ID number in row 4245 of the table for production class 3.</t>
  </si>
  <si>
    <t>Enter the registry ID number in row 4246 of the table for production class 3.</t>
  </si>
  <si>
    <t>Enter the registry ID number in row 4247 of the table for production class 3.</t>
  </si>
  <si>
    <t>Enter the registry ID number in row 4248 of the table for production class 3.</t>
  </si>
  <si>
    <t>Enter the registry ID number in row 4249 of the table for production class 3.</t>
  </si>
  <si>
    <t>Enter the registry ID number in row 4250 of the table for production class 3.</t>
  </si>
  <si>
    <t>Enter the registry ID number in row 4251 of the table for production class 3.</t>
  </si>
  <si>
    <t>Enter the registry ID number in row 4252 of the table for production class 3.</t>
  </si>
  <si>
    <t>Enter the registry ID number in row 4253 of the table for production class 3.</t>
  </si>
  <si>
    <t>Enter the registry ID number in row 4254 of the table for production class 3.</t>
  </si>
  <si>
    <t>Enter the registry ID number in row 4255 of the table for production class 3.</t>
  </si>
  <si>
    <t>Enter the registry ID number in row 4256 of the table for production class 3.</t>
  </si>
  <si>
    <t>Enter the registry ID number in row 4257 of the table for production class 3.</t>
  </si>
  <si>
    <t>Enter the registry ID number in row 4258 of the table for production class 3.</t>
  </si>
  <si>
    <t>Enter the registry ID number in row 4259 of the table for production class 3.</t>
  </si>
  <si>
    <t>Enter the registry ID number in row 4260 of the table for production class 3.</t>
  </si>
  <si>
    <t>Enter the registry ID number in row 4261 of the table for production class 3.</t>
  </si>
  <si>
    <t>Enter the registry ID number in row 4262 of the table for production class 3.</t>
  </si>
  <si>
    <t>Enter the registry ID number in row 4263 of the table for production class 3.</t>
  </si>
  <si>
    <t>Enter the registry ID number in row 4264 of the table for production class 3.</t>
  </si>
  <si>
    <t>Enter the registry ID number in row 4265 of the table for production class 3.</t>
  </si>
  <si>
    <t>Enter the registry ID number in row 4266 of the table for production class 3.</t>
  </si>
  <si>
    <t>Enter the registry ID number in row 4267 of the table for production class 3.</t>
  </si>
  <si>
    <t>Enter the registry ID number in row 4268 of the table for production class 3.</t>
  </si>
  <si>
    <t>Enter the registry ID number in row 4269 of the table for production class 3.</t>
  </si>
  <si>
    <t>Enter the registry ID number in row 4270 of the table for production class 3.</t>
  </si>
  <si>
    <t>Enter the registry ID number in row 4271 of the table for production class 3.</t>
  </si>
  <si>
    <t>Enter the registry ID number in row 4272 of the table for production class 3.</t>
  </si>
  <si>
    <t>Enter the registry ID number in row 4273 of the table for production class 3.</t>
  </si>
  <si>
    <t>Enter the registry ID number in row 4274 of the table for production class 3.</t>
  </si>
  <si>
    <t>Enter the registry ID number in row 4275 of the table for production class 3.</t>
  </si>
  <si>
    <t>Enter the registry ID number in row 4276 of the table for production class 3.</t>
  </si>
  <si>
    <t>Enter the registry ID number in row 4277 of the table for production class 3.</t>
  </si>
  <si>
    <t>Enter the registry ID number in row 4278 of the table for production class 3.</t>
  </si>
  <si>
    <t>Enter the registry ID number in row 4279 of the table for production class 3.</t>
  </si>
  <si>
    <t>Enter the registry ID number in row 4280 of the table for production class 3.</t>
  </si>
  <si>
    <t>Enter the registry ID number in row 4281 of the table for production class 3.</t>
  </si>
  <si>
    <t>Enter the registry ID number in row 4282 of the table for production class 3.</t>
  </si>
  <si>
    <t>Enter the registry ID number in row 4283 of the table for production class 3.</t>
  </si>
  <si>
    <t>Enter the registry ID number in row 4284 of the table for production class 3.</t>
  </si>
  <si>
    <t>Enter the registry ID number in row 4285 of the table for production class 3.</t>
  </si>
  <si>
    <t>Enter the registry ID number in row 4286 of the table for production class 3.</t>
  </si>
  <si>
    <t>Enter the registry ID number in row 4287 of the table for production class 3.</t>
  </si>
  <si>
    <t>Enter the registry ID number in row 4288 of the table for production class 3.</t>
  </si>
  <si>
    <t>Enter the registry ID number in row 4289 of the table for production class 3.</t>
  </si>
  <si>
    <t>Enter the registry ID number in row 4290 of the table for production class 3.</t>
  </si>
  <si>
    <t>Enter the registry ID number in row 4291 of the table for production class 3.</t>
  </si>
  <si>
    <t>Enter the registry ID number in row 4292 of the table for production class 3.</t>
  </si>
  <si>
    <t>Enter the registry ID number in row 4293 of the table for production class 3.</t>
  </si>
  <si>
    <t>Enter the registry ID number in row 4294 of the table for production class 3.</t>
  </si>
  <si>
    <t>Enter the registry ID number in row 4295 of the table for production class 3.</t>
  </si>
  <si>
    <t>Enter the registry ID number in row 4296 of the table for production class 3.</t>
  </si>
  <si>
    <t>Enter the registry ID number in row 4297 of the table for production class 3.</t>
  </si>
  <si>
    <t>Enter the registry ID number in row 4298 of the table for production class 3.</t>
  </si>
  <si>
    <t>Enter the registry ID number in row 4299 of the table for production class 3.</t>
  </si>
  <si>
    <t>Enter the registry ID number in row 4300 of the table for production class 3.</t>
  </si>
  <si>
    <t>Enter the registry ID number in row 4301 of the table for production class 3.</t>
  </si>
  <si>
    <t>Enter the registry ID number in row 4302 of the table for production class 3.</t>
  </si>
  <si>
    <t>Enter the registry ID number in row 4303 of the table for production class 3.</t>
  </si>
  <si>
    <t>Enter the registry ID number in row 4304 of the table for production class 3.</t>
  </si>
  <si>
    <t>Enter the registry ID number in row 4305 of the table for production class 3.</t>
  </si>
  <si>
    <t>Enter the registry ID number in row 4306 of the table for production class 3.</t>
  </si>
  <si>
    <t>Enter the registry ID number in row 4307 of the table for production class 3.</t>
  </si>
  <si>
    <t>Enter the registry ID number in row 4308 of the table for production class 3.</t>
  </si>
  <si>
    <t>Enter the registry ID number in row 4309 of the table for production class 3.</t>
  </si>
  <si>
    <t>Enter the registry ID number in row 4310 of the table for production class 3.</t>
  </si>
  <si>
    <t>Enter the registry ID number in row 4311 of the table for production class 3.</t>
  </si>
  <si>
    <t>Enter the registry ID number in row 4312 of the table for production class 3.</t>
  </si>
  <si>
    <t>Enter the registry ID number in row 4313 of the table for production class 3.</t>
  </si>
  <si>
    <t>Enter the registry ID number in row 4314 of the table for production class 3.</t>
  </si>
  <si>
    <t>Enter the registry ID number in row 4315 of the table for production class 3.</t>
  </si>
  <si>
    <t>Enter the registry ID number in row 4316 of the table for production class 3.</t>
  </si>
  <si>
    <t>Enter the registry ID number in row 4317 of the table for production class 3.</t>
  </si>
  <si>
    <t>Enter the registry ID number in row 4318 of the table for production class 3.</t>
  </si>
  <si>
    <t>Enter the registry ID number in row 4319 of the table for production class 3.</t>
  </si>
  <si>
    <t>Enter the registry ID number in row 4320 of the table for production class 3.</t>
  </si>
  <si>
    <t>Enter the registry ID number in row 4321 of the table for production class 3.</t>
  </si>
  <si>
    <t>Enter the registry ID number in row 4322 of the table for production class 3.</t>
  </si>
  <si>
    <t>Enter the registry ID number in row 4323 of the table for production class 3.</t>
  </si>
  <si>
    <t>Enter the registry ID number in row 4324 of the table for production class 3.</t>
  </si>
  <si>
    <t>Enter the registry ID number in row 4325 of the table for production class 3.</t>
  </si>
  <si>
    <t>Enter the registry ID number in row 4326 of the table for production class 3.</t>
  </si>
  <si>
    <t>Enter the registry ID number in row 4327 of the table for production class 3.</t>
  </si>
  <si>
    <t>Enter the registry ID number in row 4328 of the table for production class 3.</t>
  </si>
  <si>
    <t>Enter the registry ID number in row 4329 of the table for production class 3.</t>
  </si>
  <si>
    <t>Enter the registry ID number in row 4330 of the table for production class 3.</t>
  </si>
  <si>
    <t>Enter the registry ID number in row 4331 of the table for production class 3.</t>
  </si>
  <si>
    <t>Enter the registry ID number in row 4332 of the table for production class 3.</t>
  </si>
  <si>
    <t>Enter the registry ID number in row 4333 of the table for production class 3.</t>
  </si>
  <si>
    <t>Enter the registry ID number in row 4334 of the table for production class 3.</t>
  </si>
  <si>
    <t>Enter the registry ID number in row 4335 of the table for production class 3.</t>
  </si>
  <si>
    <t>Enter the registry ID number in row 4336 of the table for production class 3.</t>
  </si>
  <si>
    <t>Enter the registry ID number in row 4337 of the table for production class 3.</t>
  </si>
  <si>
    <t>Enter the registry ID number in row 4338 of the table for production class 3.</t>
  </si>
  <si>
    <t>Enter the registry ID number in row 4339 of the table for production class 3.</t>
  </si>
  <si>
    <t>Enter the registry ID number in row 4340 of the table for production class 3.</t>
  </si>
  <si>
    <t>Enter the registry ID number in row 4341 of the table for production class 3.</t>
  </si>
  <si>
    <t>Enter the registry ID number in row 4342 of the table for production class 3.</t>
  </si>
  <si>
    <t>Enter the registry ID number in row 4343 of the table for production class 3.</t>
  </si>
  <si>
    <t>Enter the registry ID number in row 4344 of the table for production class 3.</t>
  </si>
  <si>
    <t>Enter the registry ID number in row 4345 of the table for production class 3.</t>
  </si>
  <si>
    <t>Enter the registry ID number in row 4346 of the table for production class 3.</t>
  </si>
  <si>
    <t>Enter the registry ID number in row 4347 of the table for production class 3.</t>
  </si>
  <si>
    <t>Enter the registry ID number in row 4348 of the table for production class 3.</t>
  </si>
  <si>
    <t>Enter the registry ID number in row 4349 of the table for production class 3.</t>
  </si>
  <si>
    <t>Enter the registry ID number in row 4350 of the table for production class 3.</t>
  </si>
  <si>
    <t>Enter the registry ID number in row 4351 of the table for production class 3.</t>
  </si>
  <si>
    <t>Enter the registry ID number in row 4352 of the table for production class 3.</t>
  </si>
  <si>
    <t>Enter the registry ID number in row 4353 of the table for production class 3.</t>
  </si>
  <si>
    <t>Enter the registry ID number in row 4354 of the table for production class 3.</t>
  </si>
  <si>
    <t>Enter the registry ID number in row 4355 of the table for production class 3.</t>
  </si>
  <si>
    <t>Enter the registry ID number in row 4356 of the table for production class 3.</t>
  </si>
  <si>
    <t>Enter the registry ID number in row 4357 of the table for production class 3.</t>
  </si>
  <si>
    <t>Enter the registry ID number in row 4358 of the table for production class 3.</t>
  </si>
  <si>
    <t>Enter the registry ID number in row 4359 of the table for production class 3.</t>
  </si>
  <si>
    <t>Enter the registry ID number in row 4360 of the table for production class 3.</t>
  </si>
  <si>
    <t>Enter the registry ID number in row 4361 of the table for production class 3.</t>
  </si>
  <si>
    <t>Enter the registry ID number in row 4362 of the table for production class 3.</t>
  </si>
  <si>
    <t>Enter the registry ID number in row 4363 of the table for production class 3.</t>
  </si>
  <si>
    <t>Enter the registry ID number in row 4364 of the table for production class 3.</t>
  </si>
  <si>
    <t>Enter the registry ID number in row 4365 of the table for production class 3.</t>
  </si>
  <si>
    <t>Enter the registry ID number in row 4366 of the table for production class 3.</t>
  </si>
  <si>
    <t>Enter the registry ID number in row 4367 of the table for production class 3.</t>
  </si>
  <si>
    <t>Enter the registry ID number in row 4368 of the table for production class 3.</t>
  </si>
  <si>
    <t>Enter the registry ID number in row 4369 of the table for production class 3.</t>
  </si>
  <si>
    <t>Enter the registry ID number in row 4370 of the table for production class 3.</t>
  </si>
  <si>
    <t>Enter the registry ID number in row 4371 of the table for production class 3.</t>
  </si>
  <si>
    <t>Enter the registry ID number in row 4372 of the table for production class 3.</t>
  </si>
  <si>
    <t>Enter the registry ID number in row 4373 of the table for production class 3.</t>
  </si>
  <si>
    <t>Enter the registry ID number in row 4374 of the table for production class 3.</t>
  </si>
  <si>
    <t>Enter the registry ID number in row 4375 of the table for production class 3.</t>
  </si>
  <si>
    <t>Enter the registry ID number in row 4376 of the table for production class 3.</t>
  </si>
  <si>
    <t>Enter the registry ID number in row 4377 of the table for production class 3.</t>
  </si>
  <si>
    <t>Enter the registry ID number in row 4378 of the table for production class 3.</t>
  </si>
  <si>
    <t>Enter the registry ID number in row 4379 of the table for production class 3.</t>
  </si>
  <si>
    <t>Enter the registry ID number in row 4380 of the table for production class 3.</t>
  </si>
  <si>
    <t>Enter the registry ID number in row 4381 of the table for production class 3.</t>
  </si>
  <si>
    <t>Enter the registry ID number in row 4382 of the table for production class 3.</t>
  </si>
  <si>
    <t>Enter the registry ID number in row 4383 of the table for production class 3.</t>
  </si>
  <si>
    <t>Enter the registry ID number in row 4384 of the table for production class 3.</t>
  </si>
  <si>
    <t>Enter the registry ID number in row 4385 of the table for production class 3.</t>
  </si>
  <si>
    <t>Enter the registry ID number in row 4386 of the table for production class 3.</t>
  </si>
  <si>
    <t>Enter the registry ID number in row 4387 of the table for production class 3.</t>
  </si>
  <si>
    <t>Enter the registry ID number in row 4388 of the table for production class 3.</t>
  </si>
  <si>
    <t>Enter the registry ID number in row 4389 of the table for production class 3.</t>
  </si>
  <si>
    <t>Enter the registry ID number in row 4390 of the table for production class 3.</t>
  </si>
  <si>
    <t>Enter the registry ID number in row 4391 of the table for production class 3.</t>
  </si>
  <si>
    <t>Enter the registry ID number in row 4392 of the table for production class 3.</t>
  </si>
  <si>
    <t>Enter the registry ID number in row 4393 of the table for production class 3.</t>
  </si>
  <si>
    <t>Enter the registry ID number in row 4394 of the table for production class 3.</t>
  </si>
  <si>
    <t>Enter the registry ID number in row 4395 of the table for production class 3.</t>
  </si>
  <si>
    <t>Enter the registry ID number in row 4396 of the table for production class 3.</t>
  </si>
  <si>
    <t>Enter the registry ID number in row 4397 of the table for production class 3.</t>
  </si>
  <si>
    <t>Enter the registry ID number in row 4398 of the table for production class 3.</t>
  </si>
  <si>
    <t>Enter the registry ID number in row 4399 of the table for production class 3.</t>
  </si>
  <si>
    <t>Enter the registry ID number in row 4400 of the table for production class 3.</t>
  </si>
  <si>
    <t>Enter the registry ID number in row 4401 of the table for production class 3.</t>
  </si>
  <si>
    <t>Enter the registry ID number in row 4402 of the table for production class 3.</t>
  </si>
  <si>
    <t>Enter the registry ID number in row 4403 of the table for production class 3.</t>
  </si>
  <si>
    <t>Enter the registry ID number in row 4404 of the table for production class 3.</t>
  </si>
  <si>
    <t>Enter the registry ID number in row 4405 of the table for production class 3.</t>
  </si>
  <si>
    <t>Enter the registry ID number in row 4406 of the table for production class 3.</t>
  </si>
  <si>
    <t>Enter the registry ID number in row 4407 of the table for production class 3.</t>
  </si>
  <si>
    <t>Enter the registry ID number in row 4408 of the table for production class 3.</t>
  </si>
  <si>
    <t>Enter the registry ID number in row 4409 of the table for production class 3.</t>
  </si>
  <si>
    <t>Enter the registry ID number in row 4410 of the table for production class 3.</t>
  </si>
  <si>
    <t>Enter the registry ID number in row 4411 of the table for production class 3.</t>
  </si>
  <si>
    <t>Enter the registry ID number in row 4412 of the table for production class 3.</t>
  </si>
  <si>
    <t>Enter the registry ID number in row 4413 of the table for production class 3.</t>
  </si>
  <si>
    <t>Enter the registry ID number in row 4414 of the table for production class 3.</t>
  </si>
  <si>
    <t>Enter the registry ID number in row 4415 of the table for production class 3.</t>
  </si>
  <si>
    <t>Enter the registry ID number in row 4416 of the table for production class 3.</t>
  </si>
  <si>
    <t>Enter the registry ID number in row 4417 of the table for production class 3.</t>
  </si>
  <si>
    <t>Enter the registry ID number in row 4418 of the table for production class 3.</t>
  </si>
  <si>
    <t>Enter the registry ID number in row 4419 of the table for production class 3.</t>
  </si>
  <si>
    <t>Enter the registry ID number in row 4420 of the table for production class 3.</t>
  </si>
  <si>
    <t>Enter the registry ID number in row 4421 of the table for production class 3.</t>
  </si>
  <si>
    <t>Enter the registry ID number in row 4422 of the table for production class 3.</t>
  </si>
  <si>
    <t>Enter the registry ID number in row 4423 of the table for production class 3.</t>
  </si>
  <si>
    <t>Enter the registry ID number in row 4424 of the table for production class 3.</t>
  </si>
  <si>
    <t>Enter the registry ID number in row 4425 of the table for production class 3.</t>
  </si>
  <si>
    <t>Enter the registry ID number in row 4426 of the table for production class 3.</t>
  </si>
  <si>
    <t>Enter the registry ID number in row 4427 of the table for production class 3.</t>
  </si>
  <si>
    <t>Enter the registry ID number in row 4428 of the table for production class 3.</t>
  </si>
  <si>
    <t>Enter the registry ID number in row 4429 of the table for production class 3.</t>
  </si>
  <si>
    <t>Enter the registry ID number in row 4430 of the table for production class 3.</t>
  </si>
  <si>
    <t>Enter the registry ID number in row 4431 of the table for production class 3.</t>
  </si>
  <si>
    <t>Enter the registry ID number in row 4432 of the table for production class 3.</t>
  </si>
  <si>
    <t>Enter the registry ID number in row 4433 of the table for production class 3.</t>
  </si>
  <si>
    <t>Enter the registry ID number in row 4434 of the table for production class 3.</t>
  </si>
  <si>
    <t>Enter the registry ID number in row 4435 of the table for production class 3.</t>
  </si>
  <si>
    <t>Enter the registry ID number in row 4436 of the table for production class 3.</t>
  </si>
  <si>
    <t>Enter the registry ID number in row 4437 of the table for production class 3.</t>
  </si>
  <si>
    <t>Enter the registry ID number in row 4438 of the table for production class 3.</t>
  </si>
  <si>
    <t>Enter the registry ID number in row 4439 of the table for production class 3.</t>
  </si>
  <si>
    <t>Enter the registry ID number in row 4440 of the table for production class 3.</t>
  </si>
  <si>
    <t>Enter the registry ID number in row 4441 of the table for production class 3.</t>
  </si>
  <si>
    <t>Enter the registry ID number in row 4442 of the table for production class 3.</t>
  </si>
  <si>
    <t>Enter the registry ID number in row 4443 of the table for production class 3.</t>
  </si>
  <si>
    <t>Enter the registry ID number in row 4444 of the table for production class 3.</t>
  </si>
  <si>
    <t>Enter the registry ID number in row 4445 of the table for production class 3.</t>
  </si>
  <si>
    <t>Enter the registry ID number in row 4446 of the table for production class 3.</t>
  </si>
  <si>
    <t>Enter the registry ID number in row 4447 of the table for production class 3.</t>
  </si>
  <si>
    <t>Enter the registry ID number in row 4448 of the table for production class 3.</t>
  </si>
  <si>
    <t>Enter the registry ID number in row 4449 of the table for production class 3.</t>
  </si>
  <si>
    <t>Enter the registry ID number in row 4450 of the table for production class 3.</t>
  </si>
  <si>
    <t>Enter the registry ID number in row 4451 of the table for production class 3.</t>
  </si>
  <si>
    <t>Enter the registry ID number in row 4452 of the table for production class 3.</t>
  </si>
  <si>
    <t>Enter the registry ID number in row 4453 of the table for production class 3.</t>
  </si>
  <si>
    <t>Enter the registry ID number in row 4454 of the table for production class 3.</t>
  </si>
  <si>
    <t>Enter the registry ID number in row 4455 of the table for production class 3.</t>
  </si>
  <si>
    <t>Enter the registry ID number in row 4456 of the table for production class 3.</t>
  </si>
  <si>
    <t>Enter the registry ID number in row 4457 of the table for production class 3.</t>
  </si>
  <si>
    <t>Enter the registry ID number in row 4458 of the table for production class 3.</t>
  </si>
  <si>
    <t>Enter the registry ID number in row 4459 of the table for production class 3.</t>
  </si>
  <si>
    <t>Enter the registry ID number in row 4460 of the table for production class 3.</t>
  </si>
  <si>
    <t>Enter the registry ID number in row 4461 of the table for production class 3.</t>
  </si>
  <si>
    <t>Enter the registry ID number in row 4462 of the table for production class 3.</t>
  </si>
  <si>
    <t>Enter the registry ID number in row 4463 of the table for production class 3.</t>
  </si>
  <si>
    <t>Enter the registry ID number in row 4464 of the table for production class 3.</t>
  </si>
  <si>
    <t>Enter the registry ID number in row 4465 of the table for production class 3.</t>
  </si>
  <si>
    <t>Enter the registry ID number in row 4466 of the table for production class 3.</t>
  </si>
  <si>
    <t>Enter the registry ID number in row 4467 of the table for production class 3.</t>
  </si>
  <si>
    <t>Enter the registry ID number in row 4468 of the table for production class 3.</t>
  </si>
  <si>
    <t>Enter the registry ID number in row 4469 of the table for production class 3.</t>
  </si>
  <si>
    <t>Enter the registry ID number in row 4470 of the table for production class 3.</t>
  </si>
  <si>
    <t>Enter the registry ID number in row 4471 of the table for production class 3.</t>
  </si>
  <si>
    <t>Enter the registry ID number in row 4472 of the table for production class 3.</t>
  </si>
  <si>
    <t>Enter the registry ID number in row 4473 of the table for production class 3.</t>
  </si>
  <si>
    <t>Enter the registry ID number in row 4474 of the table for production class 3.</t>
  </si>
  <si>
    <t>Enter the registry ID number in row 4475 of the table for production class 3.</t>
  </si>
  <si>
    <t>Enter the registry ID number in row 4476 of the table for production class 3.</t>
  </si>
  <si>
    <t>Enter the registry ID number in row 4477 of the table for production class 3.</t>
  </si>
  <si>
    <t>Enter the registry ID number in row 4478 of the table for production class 3.</t>
  </si>
  <si>
    <t>Enter the registry ID number in row 4479 of the table for production class 3.</t>
  </si>
  <si>
    <t>Enter the registry ID number in row 4480 of the table for production class 3.</t>
  </si>
  <si>
    <t>Enter the registry ID number in row 4481 of the table for production class 3.</t>
  </si>
  <si>
    <t>Enter the registry ID number in row 4482 of the table for production class 3.</t>
  </si>
  <si>
    <t>Enter the registry ID number in row 4483 of the table for production class 3.</t>
  </si>
  <si>
    <t>Enter the registry ID number in row 4484 of the table for production class 3.</t>
  </si>
  <si>
    <t>Enter the registry ID number in row 4485 of the table for production class 3.</t>
  </si>
  <si>
    <t>Enter the registry ID number in row 4486 of the table for production class 3.</t>
  </si>
  <si>
    <t>Enter the registry ID number in row 4487 of the table for production class 3.</t>
  </si>
  <si>
    <t>Enter the registry ID number in row 4488 of the table for production class 3.</t>
  </si>
  <si>
    <t>Enter the registry ID number in row 4489 of the table for production class 3.</t>
  </si>
  <si>
    <t>Enter the registry ID number in row 4490 of the table for production class 3.</t>
  </si>
  <si>
    <t>Enter the registry ID number in row 4491 of the table for production class 3.</t>
  </si>
  <si>
    <t>Enter the registry ID number in row 4492 of the table for production class 3.</t>
  </si>
  <si>
    <t>Enter the registry ID number in row 4493 of the table for production class 3.</t>
  </si>
  <si>
    <t>Enter the registry ID number in row 4494 of the table for production class 3.</t>
  </si>
  <si>
    <t>Enter the registry ID number in row 4495 of the table for production class 3.</t>
  </si>
  <si>
    <t>Enter the registry ID number in row 4496 of the table for production class 3.</t>
  </si>
  <si>
    <t>Enter the registry ID number in row 4497 of the table for production class 3.</t>
  </si>
  <si>
    <t>Enter the registry ID number in row 4498 of the table for production class 3.</t>
  </si>
  <si>
    <t>Enter the registry ID number in row 4499 of the table for production class 3.</t>
  </si>
  <si>
    <t>Enter the registry ID number in row 4500 of the table for production class 3.</t>
  </si>
  <si>
    <t>Enter the registry ID number in row 4501 of the table for production class 3.</t>
  </si>
  <si>
    <t>Enter the registry ID number in row 4502 of the table for production class 3.</t>
  </si>
  <si>
    <t>Enter the registry ID number in row 4503 of the table for production class 3.</t>
  </si>
  <si>
    <t>Enter the registry ID number in row 4504 of the table for production class 3.</t>
  </si>
  <si>
    <t>Enter the registry ID number in row 4505 of the table for production class 3.</t>
  </si>
  <si>
    <t>Enter the registry ID number in row 4506 of the table for production class 3.</t>
  </si>
  <si>
    <t>Enter the registry ID number in row 4507 of the table for production class 3.</t>
  </si>
  <si>
    <t>Enter the registry ID number in row 4508 of the table for production class 3.</t>
  </si>
  <si>
    <t>Enter the registry ID number in row 4509 of the table for production class 3.</t>
  </si>
  <si>
    <t>Enter the registry ID number in row 4510 of the table for production class 3.</t>
  </si>
  <si>
    <t>Enter the registry ID number in row 4511 of the table for production class 3.</t>
  </si>
  <si>
    <t>Enter the registry ID number in row 4512 of the table for production class 3.</t>
  </si>
  <si>
    <t>Enter the registry ID number in row 4513 of the table for production class 3.</t>
  </si>
  <si>
    <t>Enter the registry ID number in row 4514 of the table for production class 3.</t>
  </si>
  <si>
    <t>Enter the registry ID number in row 4515 of the table for production class 3.</t>
  </si>
  <si>
    <t>Enter the registry ID number in row 4516 of the table for production class 3.</t>
  </si>
  <si>
    <t>Enter the registry ID number in row 4517 of the table for production class 3.</t>
  </si>
  <si>
    <t>Enter the registry ID number in row 4518 of the table for production class 3.</t>
  </si>
  <si>
    <t>Enter the registry ID number in row 4519 of the table for production class 3.</t>
  </si>
  <si>
    <t>Enter the registry ID number in row 4520 of the table for production class 3.</t>
  </si>
  <si>
    <t>Enter the registry ID number in row 4521 of the table for production class 3.</t>
  </si>
  <si>
    <t>Enter the registry ID number in row 4522 of the table for production class 3.</t>
  </si>
  <si>
    <t>Enter the registry ID number in row 4523 of the table for production class 3.</t>
  </si>
  <si>
    <t>Enter the registry ID number in row 4524 of the table for production class 3.</t>
  </si>
  <si>
    <t>Enter the registry ID number in row 4525 of the table for production class 3.</t>
  </si>
  <si>
    <t>Enter the registry ID number in row 4526 of the table for production class 3.</t>
  </si>
  <si>
    <t>Enter the registry ID number in row 4527 of the table for production class 3.</t>
  </si>
  <si>
    <t>Enter the registry ID number in row 4528 of the table for production class 3.</t>
  </si>
  <si>
    <t>Enter the registry ID number in row 4529 of the table for production class 3.</t>
  </si>
  <si>
    <t>Enter the registry ID number in row 4530 of the table for production class 3.</t>
  </si>
  <si>
    <t>Enter the registry ID number in row 4531 of the table for production class 3.</t>
  </si>
  <si>
    <t>Enter the registry ID number in row 4532 of the table for production class 3.</t>
  </si>
  <si>
    <t>Enter the registry ID number in row 4533 of the table for production class 3.</t>
  </si>
  <si>
    <t>Enter the registry ID number in row 4534 of the table for production class 3.</t>
  </si>
  <si>
    <t>Enter the registry ID number in row 4535 of the table for production class 3.</t>
  </si>
  <si>
    <t>Enter the registry ID number in row 4536 of the table for production class 3.</t>
  </si>
  <si>
    <t>Enter the registry ID number in row 4537 of the table for production class 3.</t>
  </si>
  <si>
    <t>Enter the registry ID number in row 4538 of the table for production class 3.</t>
  </si>
  <si>
    <t>Enter the registry ID number in row 4539 of the table for production class 3.</t>
  </si>
  <si>
    <t>Enter the registry ID number in row 4540 of the table for production class 3.</t>
  </si>
  <si>
    <t>Enter the registry ID number in row 4541 of the table for production class 3.</t>
  </si>
  <si>
    <t>Enter the registry ID number in row 4542 of the table for production class 3.</t>
  </si>
  <si>
    <t>Enter the registry ID number in row 4543 of the table for production class 3.</t>
  </si>
  <si>
    <t>Enter the registry ID number in row 4544 of the table for production class 3.</t>
  </si>
  <si>
    <t>Enter the registry ID number in row 4545 of the table for production class 3.</t>
  </si>
  <si>
    <t>Enter the registry ID number in row 4546 of the table for production class 3.</t>
  </si>
  <si>
    <t>Enter the registry ID number in row 4547 of the table for production class 3.</t>
  </si>
  <si>
    <t>Enter the registry ID number in row 4548 of the table for production class 3.</t>
  </si>
  <si>
    <t>Enter the registry ID number in row 4549 of the table for production class 3.</t>
  </si>
  <si>
    <t>Enter the registry ID number in row 4550 of the table for production class 3.</t>
  </si>
  <si>
    <t>Enter the registry ID number in row 4551 of the table for production class 3.</t>
  </si>
  <si>
    <t>Enter the registry ID number in row 4552 of the table for production class 3.</t>
  </si>
  <si>
    <t>Enter the registry ID number in row 4553 of the table for production class 3.</t>
  </si>
  <si>
    <t>Enter the registry ID number in row 4554 of the table for production class 3.</t>
  </si>
  <si>
    <t>Enter the registry ID number in row 4555 of the table for production class 3.</t>
  </si>
  <si>
    <t>Enter the registry ID number in row 4556 of the table for production class 3.</t>
  </si>
  <si>
    <t>Enter the registry ID number in row 4557 of the table for production class 3.</t>
  </si>
  <si>
    <t>Enter the registry ID number in row 4558 of the table for production class 3.</t>
  </si>
  <si>
    <t>Enter the registry ID number in row 4559 of the table for production class 3.</t>
  </si>
  <si>
    <t>Enter the registry ID number in row 4560 of the table for production class 3.</t>
  </si>
  <si>
    <t>Enter the registry ID number in row 4561 of the table for production class 3.</t>
  </si>
  <si>
    <t>Enter the registry ID number in row 4562 of the table for production class 3.</t>
  </si>
  <si>
    <t>Enter the registry ID number in row 4563 of the table for production class 3.</t>
  </si>
  <si>
    <t>Enter the registry ID number in row 4564 of the table for production class 3.</t>
  </si>
  <si>
    <t>Enter the registry ID number in row 4565 of the table for production class 3.</t>
  </si>
  <si>
    <t>Enter the registry ID number in row 4566 of the table for production class 3.</t>
  </si>
  <si>
    <t>Enter the registry ID number in row 4567 of the table for production class 3.</t>
  </si>
  <si>
    <t>Enter the registry ID number in row 4568 of the table for production class 3.</t>
  </si>
  <si>
    <t>Enter the registry ID number in row 4569 of the table for production class 3.</t>
  </si>
  <si>
    <t>Enter the registry ID number in row 4570 of the table for production class 3.</t>
  </si>
  <si>
    <t>Enter the registry ID number in row 4571 of the table for production class 3.</t>
  </si>
  <si>
    <t>Enter the registry ID number in row 4572 of the table for production class 3.</t>
  </si>
  <si>
    <t>Enter the registry ID number in row 4573 of the table for production class 3.</t>
  </si>
  <si>
    <t>Enter the registry ID number in row 4574 of the table for production class 3.</t>
  </si>
  <si>
    <t>Enter the registry ID number in row 4575 of the table for production class 3.</t>
  </si>
  <si>
    <t>Enter the registry ID number in row 4576 of the table for production class 3.</t>
  </si>
  <si>
    <t>Enter the registry ID number in row 4577 of the table for production class 3.</t>
  </si>
  <si>
    <t>Enter the registry ID number in row 4578 of the table for production class 3.</t>
  </si>
  <si>
    <t>Enter the registry ID number in row 4579 of the table for production class 3.</t>
  </si>
  <si>
    <t>Enter the registry ID number in row 4580 of the table for production class 3.</t>
  </si>
  <si>
    <t>Enter the registry ID number in row 4581 of the table for production class 3.</t>
  </si>
  <si>
    <t>Enter the registry ID number in row 4582 of the table for production class 3.</t>
  </si>
  <si>
    <t>Enter the registry ID number in row 4583 of the table for production class 3.</t>
  </si>
  <si>
    <t>Enter the registry ID number in row 4584 of the table for production class 3.</t>
  </si>
  <si>
    <t>Enter the registry ID number in row 4585 of the table for production class 3.</t>
  </si>
  <si>
    <t>Enter the registry ID number in row 4586 of the table for production class 3.</t>
  </si>
  <si>
    <t>Enter the registry ID number in row 4587 of the table for production class 3.</t>
  </si>
  <si>
    <t>Enter the registry ID number in row 4588 of the table for production class 3.</t>
  </si>
  <si>
    <t>Enter the registry ID number in row 4589 of the table for production class 3.</t>
  </si>
  <si>
    <t>Enter the registry ID number in row 4590 of the table for production class 3.</t>
  </si>
  <si>
    <t>Enter the registry ID number in row 4591 of the table for production class 3.</t>
  </si>
  <si>
    <t>Enter the registry ID number in row 4592 of the table for production class 3.</t>
  </si>
  <si>
    <t>Enter the registry ID number in row 4593 of the table for production class 3.</t>
  </si>
  <si>
    <t>Enter the registry ID number in row 4594 of the table for production class 3.</t>
  </si>
  <si>
    <t>Enter the registry ID number in row 4595 of the table for production class 3.</t>
  </si>
  <si>
    <t>Enter the registry ID number in row 4596 of the table for production class 3.</t>
  </si>
  <si>
    <t>Enter the registry ID number in row 4597 of the table for production class 3.</t>
  </si>
  <si>
    <t>Enter the registry ID number in row 4598 of the table for production class 3.</t>
  </si>
  <si>
    <t>Enter the registry ID number in row 4599 of the table for production class 3.</t>
  </si>
  <si>
    <t>Enter the registry ID number in row 4600 of the table for production class 3.</t>
  </si>
  <si>
    <t>Enter the registry ID number in row 4601 of the table for production class 3.</t>
  </si>
  <si>
    <t>Enter the registry ID number in row 4602 of the table for production class 3.</t>
  </si>
  <si>
    <t>Enter the registry ID number in row 4603 of the table for production class 3.</t>
  </si>
  <si>
    <t>Enter the registry ID number in row 4604 of the table for production class 3.</t>
  </si>
  <si>
    <t>Enter the registry ID number in row 4605 of the table for production class 3.</t>
  </si>
  <si>
    <t>Enter the registry ID number in row 4606 of the table for production class 3.</t>
  </si>
  <si>
    <t>Enter the registry ID number in row 4607 of the table for production class 3.</t>
  </si>
  <si>
    <t>Enter the registry ID number in row 4608 of the table for production class 3.</t>
  </si>
  <si>
    <t>Enter the registry ID number in row 4609 of the table for production class 3.</t>
  </si>
  <si>
    <t>Enter the registry ID number in row 4610 of the table for production class 3.</t>
  </si>
  <si>
    <t>Enter the registry ID number in row 4611 of the table for production class 3.</t>
  </si>
  <si>
    <t>Enter the registry ID number in row 4612 of the table for production class 3.</t>
  </si>
  <si>
    <t>Enter the registry ID number in row 4613 of the table for production class 3.</t>
  </si>
  <si>
    <t>Enter the registry ID number in row 4614 of the table for production class 3.</t>
  </si>
  <si>
    <t>Enter the registry ID number in row 4615 of the table for production class 3.</t>
  </si>
  <si>
    <t>Enter the registry ID number in row 4616 of the table for production class 3.</t>
  </si>
  <si>
    <t>Enter the registry ID number in row 4617 of the table for production class 3.</t>
  </si>
  <si>
    <t>Enter the registry ID number in row 4618 of the table for production class 3.</t>
  </si>
  <si>
    <t>Enter the registry ID number in row 4619 of the table for production class 3.</t>
  </si>
  <si>
    <t>Enter the registry ID number in row 4620 of the table for production class 3.</t>
  </si>
  <si>
    <t>Enter the registry ID number in row 4621 of the table for production class 3.</t>
  </si>
  <si>
    <t>Enter the registry ID number in row 4622 of the table for production class 3.</t>
  </si>
  <si>
    <t>Enter the registry ID number in row 4623 of the table for production class 3.</t>
  </si>
  <si>
    <t>Enter the registry ID number in row 4624 of the table for production class 3.</t>
  </si>
  <si>
    <t>Enter the registry ID number in row 4625 of the table for production class 3.</t>
  </si>
  <si>
    <t>Enter the registry ID number in row 4626 of the table for production class 3.</t>
  </si>
  <si>
    <t>Enter the registry ID number in row 4627 of the table for production class 3.</t>
  </si>
  <si>
    <t>Enter the registry ID number in row 4628 of the table for production class 3.</t>
  </si>
  <si>
    <t>Enter the registry ID number in row 4629 of the table for production class 3.</t>
  </si>
  <si>
    <t>Enter the registry ID number in row 4630 of the table for production class 3.</t>
  </si>
  <si>
    <t>Enter the registry ID number in row 4631 of the table for production class 3.</t>
  </si>
  <si>
    <t>Enter the registry ID number in row 4632 of the table for production class 3.</t>
  </si>
  <si>
    <t>Enter the registry ID number in row 4633 of the table for production class 3.</t>
  </si>
  <si>
    <t>Enter the registry ID number in row 4634 of the table for production class 3.</t>
  </si>
  <si>
    <t>Enter the registry ID number in row 4635 of the table for production class 3.</t>
  </si>
  <si>
    <t>Enter the registry ID number in row 4636 of the table for production class 3.</t>
  </si>
  <si>
    <t>Enter the registry ID number in row 4637 of the table for production class 3.</t>
  </si>
  <si>
    <t>Enter the registry ID number in row 4638 of the table for production class 3.</t>
  </si>
  <si>
    <t>Enter the registry ID number in row 4639 of the table for production class 3.</t>
  </si>
  <si>
    <t>Enter the registry ID number in row 4640 of the table for production class 3.</t>
  </si>
  <si>
    <t>Enter the registry ID number in row 4641 of the table for production class 3.</t>
  </si>
  <si>
    <t>Enter the registry ID number in row 4642 of the table for production class 3.</t>
  </si>
  <si>
    <t>Enter the registry ID number in row 4643 of the table for production class 3.</t>
  </si>
  <si>
    <t>Enter the registry ID number in row 4644 of the table for production class 3.</t>
  </si>
  <si>
    <t>Enter the registry ID number in row 4645 of the table for production class 3.</t>
  </si>
  <si>
    <t>Enter the registry ID number in row 4646 of the table for production class 3.</t>
  </si>
  <si>
    <t>Enter the registry ID number in row 4647 of the table for production class 3.</t>
  </si>
  <si>
    <t>Enter the registry ID number in row 4648 of the table for production class 3.</t>
  </si>
  <si>
    <t>Enter the registry ID number in row 4649 of the table for production class 3.</t>
  </si>
  <si>
    <t>Enter the registry ID number in row 4650 of the table for production class 3.</t>
  </si>
  <si>
    <t>Enter the registry ID number in row 4651 of the table for production class 3.</t>
  </si>
  <si>
    <t>Enter the registry ID number in row 4652 of the table for production class 3.</t>
  </si>
  <si>
    <t>Enter the registry ID number in row 4653 of the table for production class 3.</t>
  </si>
  <si>
    <t>Enter the registry ID number in row 4654 of the table for production class 3.</t>
  </si>
  <si>
    <t>Enter the registry ID number in row 4655 of the table for production class 3.</t>
  </si>
  <si>
    <t>Enter the registry ID number in row 4656 of the table for production class 3.</t>
  </si>
  <si>
    <t>Enter the registry ID number in row 4657 of the table for production class 3.</t>
  </si>
  <si>
    <t>Enter the registry ID number in row 4658 of the table for production class 3.</t>
  </si>
  <si>
    <t>Enter the registry ID number in row 4659 of the table for production class 3.</t>
  </si>
  <si>
    <t>Enter the registry ID number in row 4660 of the table for production class 3.</t>
  </si>
  <si>
    <t>Enter the registry ID number in row 4661 of the table for production class 3.</t>
  </si>
  <si>
    <t>Enter the registry ID number in row 4662 of the table for production class 3.</t>
  </si>
  <si>
    <t>Enter the registry ID number in row 4663 of the table for production class 3.</t>
  </si>
  <si>
    <t>Enter the registry ID number in row 4664 of the table for production class 3.</t>
  </si>
  <si>
    <t>Enter the registry ID number in row 4665 of the table for production class 3.</t>
  </si>
  <si>
    <t>Enter the registry ID number in row 4666 of the table for production class 3.</t>
  </si>
  <si>
    <t>Enter the registry ID number in row 4667 of the table for production class 3.</t>
  </si>
  <si>
    <t>Enter the registry ID number in row 4668 of the table for production class 3.</t>
  </si>
  <si>
    <t>Enter the registry ID number in row 4669 of the table for production class 3.</t>
  </si>
  <si>
    <t>Enter the registry ID number in row 4670 of the table for production class 3.</t>
  </si>
  <si>
    <t>Enter the registry ID number in row 4671 of the table for production class 3.</t>
  </si>
  <si>
    <t>Enter the registry ID number in row 4672 of the table for production class 3.</t>
  </si>
  <si>
    <t>Enter the registry ID number in row 4673 of the table for production class 3.</t>
  </si>
  <si>
    <t>Enter the registry ID number in row 4674 of the table for production class 3.</t>
  </si>
  <si>
    <t>Enter the registry ID number in row 4675 of the table for production class 3.</t>
  </si>
  <si>
    <t>Enter the registry ID number in row 4676 of the table for production class 3.</t>
  </si>
  <si>
    <t>Enter the registry ID number in row 4677 of the table for production class 3.</t>
  </si>
  <si>
    <t>Enter the registry ID number in row 4678 of the table for production class 3.</t>
  </si>
  <si>
    <t>Enter the registry ID number in row 4679 of the table for production class 3.</t>
  </si>
  <si>
    <t>Enter the registry ID number in row 4680 of the table for production class 3.</t>
  </si>
  <si>
    <t>Enter the registry ID number in row 4681 of the table for production class 3.</t>
  </si>
  <si>
    <t>Enter the registry ID number in row 4682 of the table for production class 3.</t>
  </si>
  <si>
    <t>Enter the registry ID number in row 4683 of the table for production class 3.</t>
  </si>
  <si>
    <t>Enter the registry ID number in row 4684 of the table for production class 3.</t>
  </si>
  <si>
    <t>Enter the registry ID number in row 4685 of the table for production class 3.</t>
  </si>
  <si>
    <t>Enter the registry ID number in row 4686 of the table for production class 3.</t>
  </si>
  <si>
    <t>Enter the registry ID number in row 4687 of the table for production class 3.</t>
  </si>
  <si>
    <t>Enter the registry ID number in row 4688 of the table for production class 3.</t>
  </si>
  <si>
    <t>Enter the registry ID number in row 4689 of the table for production class 3.</t>
  </si>
  <si>
    <t>Enter the registry ID number in row 4690 of the table for production class 3.</t>
  </si>
  <si>
    <t>Enter the registry ID number in row 4691 of the table for production class 3.</t>
  </si>
  <si>
    <t>Enter the registry ID number in row 4692 of the table for production class 3.</t>
  </si>
  <si>
    <t>Enter the registry ID number in row 4693 of the table for production class 3.</t>
  </si>
  <si>
    <t>Enter the registry ID number in row 4694 of the table for production class 3.</t>
  </si>
  <si>
    <t>Enter the registry ID number in row 4695 of the table for production class 3.</t>
  </si>
  <si>
    <t>Enter the registry ID number in row 4696 of the table for production class 3.</t>
  </si>
  <si>
    <t>Enter the registry ID number in row 4697 of the table for production class 3.</t>
  </si>
  <si>
    <t>Enter the registry ID number in row 4698 of the table for production class 3.</t>
  </si>
  <si>
    <t>Enter the registry ID number in row 4699 of the table for production class 3.</t>
  </si>
  <si>
    <t>Enter the registry ID number in row 4700 of the table for production class 3.</t>
  </si>
  <si>
    <t>Enter the registry ID number in row 4701 of the table for production class 3.</t>
  </si>
  <si>
    <t>Enter the registry ID number in row 4702 of the table for production class 3.</t>
  </si>
  <si>
    <t>Enter the registry ID number in row 4703 of the table for production class 3.</t>
  </si>
  <si>
    <t>Enter the registry ID number in row 4704 of the table for production class 3.</t>
  </si>
  <si>
    <t>Enter the registry ID number in row 4705 of the table for production class 3.</t>
  </si>
  <si>
    <t>Enter the registry ID number in row 4706 of the table for production class 3.</t>
  </si>
  <si>
    <t>Enter the registry ID number in row 4707 of the table for production class 3.</t>
  </si>
  <si>
    <t>Enter the registry ID number in row 4708 of the table for production class 3.</t>
  </si>
  <si>
    <t>Enter the registry ID number in row 4709 of the table for production class 3.</t>
  </si>
  <si>
    <t>Enter the registry ID number in row 4710 of the table for production class 3.</t>
  </si>
  <si>
    <t>Enter the registry ID number in row 4711 of the table for production class 3.</t>
  </si>
  <si>
    <t>Enter the registry ID number in row 4712 of the table for production class 3.</t>
  </si>
  <si>
    <t>Enter the registry ID number in row 4713 of the table for production class 3.</t>
  </si>
  <si>
    <t>Enter the registry ID number in row 4714 of the table for production class 3.</t>
  </si>
  <si>
    <t>Enter the registry ID number in row 4715 of the table for production class 3.</t>
  </si>
  <si>
    <t>Enter the registry ID number in row 4716 of the table for production class 3.</t>
  </si>
  <si>
    <t>Enter the registry ID number in row 4717 of the table for production class 3.</t>
  </si>
  <si>
    <t>Enter the registry ID number in row 4718 of the table for production class 3.</t>
  </si>
  <si>
    <t>Enter the registry ID number in row 4719 of the table for production class 3.</t>
  </si>
  <si>
    <t>Enter the registry ID number in row 4720 of the table for production class 3.</t>
  </si>
  <si>
    <t>Enter the registry ID number in row 4721 of the table for production class 3.</t>
  </si>
  <si>
    <t>Enter the registry ID number in row 4722 of the table for production class 3.</t>
  </si>
  <si>
    <t>Enter the registry ID number in row 4723 of the table for production class 3.</t>
  </si>
  <si>
    <t>Enter the registry ID number in row 4724 of the table for production class 3.</t>
  </si>
  <si>
    <t>Enter the registry ID number in row 4725 of the table for production class 3.</t>
  </si>
  <si>
    <t>Enter the registry ID number in row 4726 of the table for production class 3.</t>
  </si>
  <si>
    <t>Enter the registry ID number in row 4727 of the table for production class 3.</t>
  </si>
  <si>
    <t>Enter the registry ID number in row 4728 of the table for production class 3.</t>
  </si>
  <si>
    <t>Enter the registry ID number in row 4729 of the table for production class 3.</t>
  </si>
  <si>
    <t>Enter the registry ID number in row 4730 of the table for production class 3.</t>
  </si>
  <si>
    <t>Enter the registry ID number in row 4731 of the table for production class 3.</t>
  </si>
  <si>
    <t>Enter the registry ID number in row 4732 of the table for production class 3.</t>
  </si>
  <si>
    <t>Enter the registry ID number in row 4733 of the table for production class 3.</t>
  </si>
  <si>
    <t>Enter the registry ID number in row 4734 of the table for production class 3.</t>
  </si>
  <si>
    <t>Enter the registry ID number in row 4735 of the table for production class 3.</t>
  </si>
  <si>
    <t>Enter the registry ID number in row 4736 of the table for production class 3.</t>
  </si>
  <si>
    <t>Enter the registry ID number in row 4737 of the table for production class 3.</t>
  </si>
  <si>
    <t>Enter the registry ID number in row 4738 of the table for production class 3.</t>
  </si>
  <si>
    <t>Enter the registry ID number in row 4739 of the table for production class 3.</t>
  </si>
  <si>
    <t>Enter the registry ID number in row 4740 of the table for production class 3.</t>
  </si>
  <si>
    <t>Enter the registry ID number in row 4741 of the table for production class 3.</t>
  </si>
  <si>
    <t>Enter the registry ID number in row 4742 of the table for production class 3.</t>
  </si>
  <si>
    <t>Enter the registry ID number in row 4743 of the table for production class 3.</t>
  </si>
  <si>
    <t>Enter the registry ID number in row 4744 of the table for production class 3.</t>
  </si>
  <si>
    <t>Enter the registry ID number in row 4745 of the table for production class 3.</t>
  </si>
  <si>
    <t>Enter the registry ID number in row 4746 of the table for production class 3.</t>
  </si>
  <si>
    <t>Enter the registry ID number in row 4747 of the table for production class 3.</t>
  </si>
  <si>
    <t>Enter the registry ID number in row 4748 of the table for production class 3.</t>
  </si>
  <si>
    <t>Enter the registry ID number in row 4749 of the table for production class 3.</t>
  </si>
  <si>
    <t>Enter the registry ID number in row 4750 of the table for production class 3.</t>
  </si>
  <si>
    <t>Enter the registry ID number in row 4751 of the table for production class 3.</t>
  </si>
  <si>
    <t>Enter the registry ID number in row 4752 of the table for production class 3.</t>
  </si>
  <si>
    <t>Enter the registry ID number in row 4753 of the table for production class 3.</t>
  </si>
  <si>
    <t>Enter the registry ID number in row 4754 of the table for production class 3.</t>
  </si>
  <si>
    <t>Enter the registry ID number in row 4755 of the table for production class 3.</t>
  </si>
  <si>
    <t>Enter the registry ID number in row 4756 of the table for production class 3.</t>
  </si>
  <si>
    <t>Enter the registry ID number in row 4757 of the table for production class 3.</t>
  </si>
  <si>
    <t>Enter the registry ID number in row 4758 of the table for production class 3.</t>
  </si>
  <si>
    <t>Enter the registry ID number in row 4759 of the table for production class 3.</t>
  </si>
  <si>
    <t>Enter the registry ID number in row 4760 of the table for production class 3.</t>
  </si>
  <si>
    <t>Enter the registry ID number in row 4761 of the table for production class 3.</t>
  </si>
  <si>
    <t>Enter the registry ID number in row 4762 of the table for production class 3.</t>
  </si>
  <si>
    <t>Enter the registry ID number in row 4763 of the table for production class 3.</t>
  </si>
  <si>
    <t>Enter the registry ID number in row 4764 of the table for production class 3.</t>
  </si>
  <si>
    <t>Enter the registry ID number in row 4765 of the table for production class 3.</t>
  </si>
  <si>
    <t>Enter the registry ID number in row 4766 of the table for production class 3.</t>
  </si>
  <si>
    <t>Enter the registry ID number in row 4767 of the table for production class 3.</t>
  </si>
  <si>
    <t>Enter the registry ID number in row 4768 of the table for production class 3.</t>
  </si>
  <si>
    <t>Enter the registry ID number in row 4769 of the table for production class 3.</t>
  </si>
  <si>
    <t>Enter the registry ID number in row 4770 of the table for production class 3.</t>
  </si>
  <si>
    <t>Enter the registry ID number in row 4771 of the table for production class 3.</t>
  </si>
  <si>
    <t>Enter the registry ID number in row 4772 of the table for production class 3.</t>
  </si>
  <si>
    <t>Enter the registry ID number in row 4773 of the table for production class 3.</t>
  </si>
  <si>
    <t>Enter the registry ID number in row 4774 of the table for production class 3.</t>
  </si>
  <si>
    <t>Enter the registry ID number in row 4775 of the table for production class 3.</t>
  </si>
  <si>
    <t>Enter the registry ID number in row 4776 of the table for production class 3.</t>
  </si>
  <si>
    <t>Enter the registry ID number in row 4777 of the table for production class 3.</t>
  </si>
  <si>
    <t>Enter the registry ID number in row 4778 of the table for production class 3.</t>
  </si>
  <si>
    <t>Enter the registry ID number in row 4779 of the table for production class 3.</t>
  </si>
  <si>
    <t>Enter the registry ID number in row 4780 of the table for production class 3.</t>
  </si>
  <si>
    <t>Enter the registry ID number in row 4781 of the table for production class 3.</t>
  </si>
  <si>
    <t>Enter the registry ID number in row 4782 of the table for production class 3.</t>
  </si>
  <si>
    <t>Enter the registry ID number in row 4783 of the table for production class 3.</t>
  </si>
  <si>
    <t>Enter the registry ID number in row 4784 of the table for production class 3.</t>
  </si>
  <si>
    <t>Enter the registry ID number in row 4785 of the table for production class 3.</t>
  </si>
  <si>
    <t>Enter the registry ID number in row 4786 of the table for production class 3.</t>
  </si>
  <si>
    <t>Enter the registry ID number in row 4787 of the table for production class 3.</t>
  </si>
  <si>
    <t>Enter the registry ID number in row 4788 of the table for production class 3.</t>
  </si>
  <si>
    <t>Enter the registry ID number in row 4789 of the table for production class 3.</t>
  </si>
  <si>
    <t>Enter the registry ID number in row 4790 of the table for production class 3.</t>
  </si>
  <si>
    <t>Enter the registry ID number in row 4791 of the table for production class 3.</t>
  </si>
  <si>
    <t>Enter the registry ID number in row 4792 of the table for production class 3.</t>
  </si>
  <si>
    <t>Enter the registry ID number in row 4793 of the table for production class 3.</t>
  </si>
  <si>
    <t>Enter the registry ID number in row 4794 of the table for production class 3.</t>
  </si>
  <si>
    <t>Enter the registry ID number in row 4795 of the table for production class 3.</t>
  </si>
  <si>
    <t>Enter the registry ID number in row 4796 of the table for production class 3.</t>
  </si>
  <si>
    <t>Enter the registry ID number in row 4797 of the table for production class 3.</t>
  </si>
  <si>
    <t>Enter the registry ID number in row 4798 of the table for production class 3.</t>
  </si>
  <si>
    <t>Enter the registry ID number in row 4799 of the table for production class 3.</t>
  </si>
  <si>
    <t>Enter the registry ID number in row 4800 of the table for production class 3.</t>
  </si>
  <si>
    <t>Enter the registry ID number in row 4801 of the table for production class 3.</t>
  </si>
  <si>
    <t>Enter the registry ID number in row 4802 of the table for production class 3.</t>
  </si>
  <si>
    <t>Enter the registry ID number in row 4803 of the table for production class 3.</t>
  </si>
  <si>
    <t>Enter the registry ID number in row 4804 of the table for production class 3.</t>
  </si>
  <si>
    <t>Enter the registry ID number in row 4805 of the table for production class 3.</t>
  </si>
  <si>
    <t>Enter the registry ID number in row 4806 of the table for production class 3.</t>
  </si>
  <si>
    <t>Enter the registry ID number in row 4807 of the table for production class 3.</t>
  </si>
  <si>
    <t>Enter the registry ID number in row 4808 of the table for production class 3.</t>
  </si>
  <si>
    <t>Enter the registry ID number in row 4809 of the table for production class 3.</t>
  </si>
  <si>
    <t>Enter the registry ID number in row 4810 of the table for production class 3.</t>
  </si>
  <si>
    <t>Enter the registry ID number in row 4811 of the table for production class 3.</t>
  </si>
  <si>
    <t>Enter the registry ID number in row 4812 of the table for production class 3.</t>
  </si>
  <si>
    <t>Enter the registry ID number in row 4813 of the table for production class 3.</t>
  </si>
  <si>
    <t>Enter the registry ID number in row 4814 of the table for production class 3.</t>
  </si>
  <si>
    <t>Enter the registry ID number in row 4815 of the table for production class 3.</t>
  </si>
  <si>
    <t>Enter the registry ID number in row 4816 of the table for production class 3.</t>
  </si>
  <si>
    <t>Enter the registry ID number in row 4817 of the table for production class 3.</t>
  </si>
  <si>
    <t>Enter the registry ID number in row 4818 of the table for production class 3.</t>
  </si>
  <si>
    <t>Enter the registry ID number in row 4819 of the table for production class 3.</t>
  </si>
  <si>
    <t>Enter the registry ID number in row 4820 of the table for production class 3.</t>
  </si>
  <si>
    <t>Enter the registry ID number in row 4821 of the table for production class 3.</t>
  </si>
  <si>
    <t>Enter the registry ID number in row 4822 of the table for production class 3.</t>
  </si>
  <si>
    <t>Enter the registry ID number in row 4823 of the table for production class 3.</t>
  </si>
  <si>
    <t>Enter the registry ID number in row 4824 of the table for production class 3.</t>
  </si>
  <si>
    <t>Enter the registry ID number in row 4825 of the table for production class 3.</t>
  </si>
  <si>
    <t>Enter the registry ID number in row 4826 of the table for production class 3.</t>
  </si>
  <si>
    <t>Enter the registry ID number in row 4827 of the table for production class 3.</t>
  </si>
  <si>
    <t>Enter the registry ID number in row 4828 of the table for production class 3.</t>
  </si>
  <si>
    <t>Enter the registry ID number in row 4829 of the table for production class 3.</t>
  </si>
  <si>
    <t>Enter the registry ID number in row 4830 of the table for production class 3.</t>
  </si>
  <si>
    <t>Enter the registry ID number in row 4831 of the table for production class 3.</t>
  </si>
  <si>
    <t>Enter the registry ID number in row 4832 of the table for production class 3.</t>
  </si>
  <si>
    <t>Enter the registry ID number in row 4833 of the table for production class 3.</t>
  </si>
  <si>
    <t>Enter the registry ID number in row 4834 of the table for production class 3.</t>
  </si>
  <si>
    <t>Enter the registry ID number in row 4835 of the table for production class 3.</t>
  </si>
  <si>
    <t>Enter the registry ID number in row 4836 of the table for production class 3.</t>
  </si>
  <si>
    <t>Enter the registry ID number in row 4837 of the table for production class 3.</t>
  </si>
  <si>
    <t>Enter the registry ID number in row 4838 of the table for production class 3.</t>
  </si>
  <si>
    <t>Enter the registry ID number in row 4839 of the table for production class 3.</t>
  </si>
  <si>
    <t>Enter the registry ID number in row 4840 of the table for production class 3.</t>
  </si>
  <si>
    <t>Enter the registry ID number in row 4841 of the table for production class 3.</t>
  </si>
  <si>
    <t>Enter the registry ID number in row 4842 of the table for production class 3.</t>
  </si>
  <si>
    <t>Enter the registry ID number in row 4843 of the table for production class 3.</t>
  </si>
  <si>
    <t>Enter the registry ID number in row 4844 of the table for production class 3.</t>
  </si>
  <si>
    <t>Enter the registry ID number in row 4845 of the table for production class 3.</t>
  </si>
  <si>
    <t>Enter the registry ID number in row 4846 of the table for production class 3.</t>
  </si>
  <si>
    <t>Enter the registry ID number in row 4847 of the table for production class 3.</t>
  </si>
  <si>
    <t>Enter the registry ID number in row 4848 of the table for production class 3.</t>
  </si>
  <si>
    <t>Enter the registry ID number in row 4849 of the table for production class 3.</t>
  </si>
  <si>
    <t>Enter the registry ID number in row 4850 of the table for production class 3.</t>
  </si>
  <si>
    <t>Enter the registry ID number in row 4851 of the table for production class 3.</t>
  </si>
  <si>
    <t>Enter the registry ID number in row 4852 of the table for production class 3.</t>
  </si>
  <si>
    <t>Enter the registry ID number in row 4853 of the table for production class 3.</t>
  </si>
  <si>
    <t>Enter the registry ID number in row 4854 of the table for production class 3.</t>
  </si>
  <si>
    <t>Enter the registry ID number in row 4855 of the table for production class 3.</t>
  </si>
  <si>
    <t>Enter the registry ID number in row 4856 of the table for production class 3.</t>
  </si>
  <si>
    <t>Enter the registry ID number in row 4857 of the table for production class 3.</t>
  </si>
  <si>
    <t>Enter the registry ID number in row 4858 of the table for production class 3.</t>
  </si>
  <si>
    <t>Enter the registry ID number in row 4859 of the table for production class 3.</t>
  </si>
  <si>
    <t>Enter the registry ID number in row 4860 of the table for production class 3.</t>
  </si>
  <si>
    <t>Enter the registry ID number in row 4861 of the table for production class 3.</t>
  </si>
  <si>
    <t>Enter the registry ID number in row 4862 of the table for production class 3.</t>
  </si>
  <si>
    <t>Enter the registry ID number in row 4863 of the table for production class 3.</t>
  </si>
  <si>
    <t>Enter the registry ID number in row 4864 of the table for production class 3.</t>
  </si>
  <si>
    <t>Enter the registry ID number in row 4865 of the table for production class 3.</t>
  </si>
  <si>
    <t>Enter the registry ID number in row 4866 of the table for production class 3.</t>
  </si>
  <si>
    <t>Enter the registry ID number in row 4867 of the table for production class 3.</t>
  </si>
  <si>
    <t>Enter the registry ID number in row 4868 of the table for production class 3.</t>
  </si>
  <si>
    <t>Enter the registry ID number in row 4869 of the table for production class 3.</t>
  </si>
  <si>
    <t>Enter the registry ID number in row 4870 of the table for production class 3.</t>
  </si>
  <si>
    <t>Enter the registry ID number in row 4871 of the table for production class 3.</t>
  </si>
  <si>
    <t>Enter the registry ID number in row 4872 of the table for production class 3.</t>
  </si>
  <si>
    <t>Enter the registry ID number in row 4873 of the table for production class 3.</t>
  </si>
  <si>
    <t>Enter the registry ID number in row 4874 of the table for production class 3.</t>
  </si>
  <si>
    <t>Enter the registry ID number in row 4875 of the table for production class 3.</t>
  </si>
  <si>
    <t>Enter the registry ID number in row 4876 of the table for production class 3.</t>
  </si>
  <si>
    <t>Enter the registry ID number in row 4877 of the table for production class 3.</t>
  </si>
  <si>
    <t>Enter the registry ID number in row 4878 of the table for production class 3.</t>
  </si>
  <si>
    <t>Enter the registry ID number in row 4879 of the table for production class 3.</t>
  </si>
  <si>
    <t>Enter the registry ID number in row 4880 of the table for production class 3.</t>
  </si>
  <si>
    <t>Enter the registry ID number in row 4881 of the table for production class 3.</t>
  </si>
  <si>
    <t>Enter the registry ID number in row 4882 of the table for production class 3.</t>
  </si>
  <si>
    <t>Enter the registry ID number in row 4883 of the table for production class 3.</t>
  </si>
  <si>
    <t>Enter the registry ID number in row 4884 of the table for production class 3.</t>
  </si>
  <si>
    <t>Enter the registry ID number in row 4885 of the table for production class 3.</t>
  </si>
  <si>
    <t>Enter the registry ID number in row 4886 of the table for production class 3.</t>
  </si>
  <si>
    <t>Enter the registry ID number in row 4887 of the table for production class 3.</t>
  </si>
  <si>
    <t>Enter the registry ID number in row 4888 of the table for production class 3.</t>
  </si>
  <si>
    <t>Enter the registry ID number in row 4889 of the table for production class 3.</t>
  </si>
  <si>
    <t>Enter the registry ID number in row 4890 of the table for production class 3.</t>
  </si>
  <si>
    <t>Enter the registry ID number in row 4891 of the table for production class 3.</t>
  </si>
  <si>
    <t>Enter the registry ID number in row 4892 of the table for production class 3.</t>
  </si>
  <si>
    <t>Enter the registry ID number in row 4893 of the table for production class 3.</t>
  </si>
  <si>
    <t>Enter the registry ID number in row 4894 of the table for production class 3.</t>
  </si>
  <si>
    <t>Enter the registry ID number in row 4895 of the table for production class 3.</t>
  </si>
  <si>
    <t>Enter the registry ID number in row 4896 of the table for production class 3.</t>
  </si>
  <si>
    <t>Enter the registry ID number in row 4897 of the table for production class 3.</t>
  </si>
  <si>
    <t>Enter the registry ID number in row 4898 of the table for production class 3.</t>
  </si>
  <si>
    <t>Enter the registry ID number in row 4899 of the table for production class 3.</t>
  </si>
  <si>
    <t>Enter the registry ID number in row 4900 of the table for production class 3.</t>
  </si>
  <si>
    <t>Enter the registry ID number in row 4901 of the table for production class 3.</t>
  </si>
  <si>
    <t>Enter the registry ID number in row 4902 of the table for production class 3.</t>
  </si>
  <si>
    <t>Enter the registry ID number in row 4903 of the table for production class 3.</t>
  </si>
  <si>
    <t>Enter the registry ID number in row 4904 of the table for production class 3.</t>
  </si>
  <si>
    <t>Enter the registry ID number in row 4905 of the table for production class 3.</t>
  </si>
  <si>
    <t>Enter the registry ID number in row 4906 of the table for production class 3.</t>
  </si>
  <si>
    <t>Enter the registry ID number in row 4907 of the table for production class 3.</t>
  </si>
  <si>
    <t>Enter the registry ID number in row 4908 of the table for production class 3.</t>
  </si>
  <si>
    <t>Enter the registry ID number in row 4909 of the table for production class 3.</t>
  </si>
  <si>
    <t>Enter the registry ID number in row 4910 of the table for production class 3.</t>
  </si>
  <si>
    <t>Enter the registry ID number in row 4911 of the table for production class 3.</t>
  </si>
  <si>
    <t>Enter the registry ID number in row 4912 of the table for production class 3.</t>
  </si>
  <si>
    <t>Enter the registry ID number in row 4913 of the table for production class 3.</t>
  </si>
  <si>
    <t>Enter the registry ID number in row 4914 of the table for production class 3.</t>
  </si>
  <si>
    <t>Enter the registry ID number in row 4915 of the table for production class 3.</t>
  </si>
  <si>
    <t>Enter the registry ID number in row 4916 of the table for production class 3.</t>
  </si>
  <si>
    <t>Enter the registry ID number in row 4917 of the table for production class 3.</t>
  </si>
  <si>
    <t>Enter the registry ID number in row 4918 of the table for production class 3.</t>
  </si>
  <si>
    <t>Enter the registry ID number in row 4919 of the table for production class 3.</t>
  </si>
  <si>
    <t>Enter the registry ID number in row 4920 of the table for production class 3.</t>
  </si>
  <si>
    <t>Enter the registry ID number in row 4921 of the table for production class 3.</t>
  </si>
  <si>
    <t>Enter the registry ID number in row 4922 of the table for production class 3.</t>
  </si>
  <si>
    <t>Enter the registry ID number in row 4923 of the table for production class 3.</t>
  </si>
  <si>
    <t>Enter the registry ID number in row 4924 of the table for production class 3.</t>
  </si>
  <si>
    <t>Enter the registry ID number in row 4925 of the table for production class 3.</t>
  </si>
  <si>
    <t>Enter the registry ID number in row 4926 of the table for production class 3.</t>
  </si>
  <si>
    <t>Enter the registry ID number in row 4927 of the table for production class 3.</t>
  </si>
  <si>
    <t>Enter the registry ID number in row 4928 of the table for production class 3.</t>
  </si>
  <si>
    <t>Enter the registry ID number in row 4929 of the table for production class 3.</t>
  </si>
  <si>
    <t>Enter the registry ID number in row 4930 of the table for production class 3.</t>
  </si>
  <si>
    <t>Enter the registry ID number in row 4931 of the table for production class 3.</t>
  </si>
  <si>
    <t>Enter the registry ID number in row 4932 of the table for production class 3.</t>
  </si>
  <si>
    <t>Enter the registry ID number in row 4933 of the table for production class 3.</t>
  </si>
  <si>
    <t>Enter the registry ID number in row 4934 of the table for production class 3.</t>
  </si>
  <si>
    <t>Enter the registry ID number in row 4935 of the table for production class 3.</t>
  </si>
  <si>
    <t>Enter the registry ID number in row 4936 of the table for production class 3.</t>
  </si>
  <si>
    <t>Enter the registry ID number in row 4937 of the table for production class 3.</t>
  </si>
  <si>
    <t>Enter the registry ID number in row 4938 of the table for production class 3.</t>
  </si>
  <si>
    <t>Enter the registry ID number in row 4939 of the table for production class 3.</t>
  </si>
  <si>
    <t>Enter the registry ID number in row 4940 of the table for production class 3.</t>
  </si>
  <si>
    <t>Enter the registry ID number in row 4941 of the table for production class 3.</t>
  </si>
  <si>
    <t>Enter the registry ID number in row 4942 of the table for production class 3.</t>
  </si>
  <si>
    <t>Enter the registry ID number in row 4943 of the table for production class 3.</t>
  </si>
  <si>
    <t>Enter the registry ID number in row 4944 of the table for production class 3.</t>
  </si>
  <si>
    <t>Enter the registry ID number in row 4945 of the table for production class 3.</t>
  </si>
  <si>
    <t>Enter the registry ID number in row 4946 of the table for production class 3.</t>
  </si>
  <si>
    <t>Enter the registry ID number in row 4947 of the table for production class 3.</t>
  </si>
  <si>
    <t>Enter the registry ID number in row 4948 of the table for production class 3.</t>
  </si>
  <si>
    <t>Enter the registry ID number in row 4949 of the table for production class 3.</t>
  </si>
  <si>
    <t>Enter the registry ID number in row 4950 of the table for production class 3.</t>
  </si>
  <si>
    <t>Enter the registry ID number in row 4951 of the table for production class 3.</t>
  </si>
  <si>
    <t>Enter the registry ID number in row 4952 of the table for production class 3.</t>
  </si>
  <si>
    <t>Enter the registry ID number in row 4953 of the table for production class 3.</t>
  </si>
  <si>
    <t>Enter the registry ID number in row 4954 of the table for production class 3.</t>
  </si>
  <si>
    <t>Enter the registry ID number in row 4955 of the table for production class 3.</t>
  </si>
  <si>
    <t>Enter the registry ID number in row 4956 of the table for production class 3.</t>
  </si>
  <si>
    <t>Enter the registry ID number in row 4957 of the table for production class 3.</t>
  </si>
  <si>
    <t>Enter the registry ID number in row 4958 of the table for production class 3.</t>
  </si>
  <si>
    <t>Enter the registry ID number in row 4959 of the table for production class 3.</t>
  </si>
  <si>
    <t>Enter the registry ID number in row 4960 of the table for production class 3.</t>
  </si>
  <si>
    <t>Enter the registry ID number in row 4961 of the table for production class 3.</t>
  </si>
  <si>
    <t>Enter the registry ID number in row 4962 of the table for production class 3.</t>
  </si>
  <si>
    <t>Enter the registry ID number in row 4963 of the table for production class 3.</t>
  </si>
  <si>
    <t>Enter the registry ID number in row 4964 of the table for production class 3.</t>
  </si>
  <si>
    <t>Enter the registry ID number in row 4965 of the table for production class 3.</t>
  </si>
  <si>
    <t>Enter the registry ID number in row 4966 of the table for production class 3.</t>
  </si>
  <si>
    <t>Enter the registry ID number in row 4967 of the table for production class 3.</t>
  </si>
  <si>
    <t>Enter the registry ID number in row 4968 of the table for production class 3.</t>
  </si>
  <si>
    <t>Enter the registry ID number in row 4969 of the table for production class 3.</t>
  </si>
  <si>
    <t>Enter the registry ID number in row 4970 of the table for production class 3.</t>
  </si>
  <si>
    <t>Enter the registry ID number in row 4971 of the table for production class 3.</t>
  </si>
  <si>
    <t>Enter the registry ID number in row 4972 of the table for production class 3.</t>
  </si>
  <si>
    <t>Enter the registry ID number in row 4973 of the table for production class 3.</t>
  </si>
  <si>
    <t>Enter the registry ID number in row 4974 of the table for production class 3.</t>
  </si>
  <si>
    <t>Enter the registry ID number in row 4975 of the table for production class 3.</t>
  </si>
  <si>
    <t>Enter the registry ID number in row 4976 of the table for production class 3.</t>
  </si>
  <si>
    <t>Enter the registry ID number in row 4977 of the table for production class 3.</t>
  </si>
  <si>
    <t>Enter the registry ID number in row 4978 of the table for production class 3.</t>
  </si>
  <si>
    <t>Enter the registry ID number in row 4979 of the table for production class 3.</t>
  </si>
  <si>
    <t>Enter the registry ID number in row 4980 of the table for production class 3.</t>
  </si>
  <si>
    <t>Enter the registry ID number in row 4981 of the table for production class 3.</t>
  </si>
  <si>
    <t>Enter the registry ID number in row 4982 of the table for production class 3.</t>
  </si>
  <si>
    <t>Enter the registry ID number in row 4983 of the table for production class 3.</t>
  </si>
  <si>
    <t>Enter the registry ID number in row 4984 of the table for production class 3.</t>
  </si>
  <si>
    <t>Enter the registry ID number in row 4985 of the table for production class 3.</t>
  </si>
  <si>
    <t>Enter the registry ID number in row 4986 of the table for production class 3.</t>
  </si>
  <si>
    <t>Enter the registry ID number in row 4987 of the table for production class 3.</t>
  </si>
  <si>
    <t>Enter the registry ID number in row 4988 of the table for production class 3.</t>
  </si>
  <si>
    <t>Enter the registry ID number in row 4989 of the table for production class 3.</t>
  </si>
  <si>
    <t>Enter the registry ID number in row 4990 of the table for production class 3.</t>
  </si>
  <si>
    <t>Enter the registry ID number in row 4991 of the table for production class 3.</t>
  </si>
  <si>
    <t>Enter the registry ID number in row 4992 of the table for production class 3.</t>
  </si>
  <si>
    <t>Enter the registry ID number in row 4993 of the table for production class 3.</t>
  </si>
  <si>
    <t>Enter the registry ID number in row 4994 of the table for production class 3.</t>
  </si>
  <si>
    <t>Enter the registry ID number in row 4995 of the table for production class 3.</t>
  </si>
  <si>
    <t>Enter the registry ID number in row 4996 of the table for production class 3.</t>
  </si>
  <si>
    <t>Enter the registry ID number in row 4997 of the table for production class 3.</t>
  </si>
  <si>
    <t>Enter the registry ID number in row 4998 of the table for production class 3.</t>
  </si>
  <si>
    <t>Enter the registry ID number in row 4999 of the table for production class 3.</t>
  </si>
  <si>
    <t>Enter the registry ID number in row 5000 of the table for production class 3.</t>
  </si>
  <si>
    <t>Enter the registry ID number in row 1 of the table for production class 4.</t>
  </si>
  <si>
    <t>Enter the registry ID number in row 2 of the table for production class 4.</t>
  </si>
  <si>
    <t>Enter the registry ID number in row 3 of the table for production class 4.</t>
  </si>
  <si>
    <t>Enter the registry ID number in row 4 of the table for production class 4.</t>
  </si>
  <si>
    <t>Enter the registry ID number in row 5 of the table for production class 4.</t>
  </si>
  <si>
    <t>Enter the registry ID number in row 6 of the table for production class 4.</t>
  </si>
  <si>
    <t>Enter the registry ID number in row 7 of the table for production class 4.</t>
  </si>
  <si>
    <t>Enter the registry ID number in row 8 of the table for production class 4.</t>
  </si>
  <si>
    <t>Enter the registry ID number in row 9 of the table for production class 4.</t>
  </si>
  <si>
    <t>Enter the registry ID number in row 10 of the table for production class 4.</t>
  </si>
  <si>
    <t>Enter the registry ID number in row 11 of the table for production class 4.</t>
  </si>
  <si>
    <t>Enter the registry ID number in row 12 of the table for production class 4.</t>
  </si>
  <si>
    <t>Enter the registry ID number in row 13 of the table for production class 4.</t>
  </si>
  <si>
    <t>Enter the registry ID number in row 14 of the table for production class 4.</t>
  </si>
  <si>
    <t>Enter the registry ID number in row 15 of the table for production class 4.</t>
  </si>
  <si>
    <t>Enter the registry ID number in row 16 of the table for production class 4.</t>
  </si>
  <si>
    <t>Enter the registry ID number in row 17 of the table for production class 4.</t>
  </si>
  <si>
    <t>Enter the registry ID number in row 18 of the table for production class 4.</t>
  </si>
  <si>
    <t>Enter the registry ID number in row 19 of the table for production class 4.</t>
  </si>
  <si>
    <t>Enter the registry ID number in row 20 of the table for production class 4.</t>
  </si>
  <si>
    <t>Enter the registry ID number in row 21 of the table for production class 4.</t>
  </si>
  <si>
    <t>Enter the registry ID number in row 22 of the table for production class 4.</t>
  </si>
  <si>
    <t>Enter the registry ID number in row 23 of the table for production class 4.</t>
  </si>
  <si>
    <t>Enter the registry ID number in row 24 of the table for production class 4.</t>
  </si>
  <si>
    <t>Enter the registry ID number in row 25 of the table for production class 4.</t>
  </si>
  <si>
    <t>Enter the registry ID number in row 26 of the table for production class 4.</t>
  </si>
  <si>
    <t>Enter the registry ID number in row 27 of the table for production class 4.</t>
  </si>
  <si>
    <t>Enter the registry ID number in row 28 of the table for production class 4.</t>
  </si>
  <si>
    <t>Enter the registry ID number in row 29 of the table for production class 4.</t>
  </si>
  <si>
    <t>Enter the registry ID number in row 30 of the table for production class 4.</t>
  </si>
  <si>
    <t>Enter the registry ID number in row 31 of the table for production class 4.</t>
  </si>
  <si>
    <t>Enter the registry ID number in row 32 of the table for production class 4.</t>
  </si>
  <si>
    <t>Enter the registry ID number in row 33 of the table for production class 4.</t>
  </si>
  <si>
    <t>Enter the registry ID number in row 34 of the table for production class 4.</t>
  </si>
  <si>
    <t>Enter the registry ID number in row 35 of the table for production class 4.</t>
  </si>
  <si>
    <t>Enter the registry ID number in row 36 of the table for production class 4.</t>
  </si>
  <si>
    <t>Enter the registry ID number in row 37 of the table for production class 4.</t>
  </si>
  <si>
    <t>Enter the registry ID number in row 38 of the table for production class 4.</t>
  </si>
  <si>
    <t>Enter the registry ID number in row 39 of the table for production class 4.</t>
  </si>
  <si>
    <t>Enter the registry ID number in row 40 of the table for production class 4.</t>
  </si>
  <si>
    <t>Enter the registry ID number in row 41 of the table for production class 4.</t>
  </si>
  <si>
    <t>Enter the registry ID number in row 42 of the table for production class 4.</t>
  </si>
  <si>
    <t>Enter the registry ID number in row 43 of the table for production class 4.</t>
  </si>
  <si>
    <t>Enter the registry ID number in row 44 of the table for production class 4.</t>
  </si>
  <si>
    <t>Enter the registry ID number in row 45 of the table for production class 4.</t>
  </si>
  <si>
    <t>Enter the registry ID number in row 46 of the table for production class 4.</t>
  </si>
  <si>
    <t>Enter the registry ID number in row 47 of the table for production class 4.</t>
  </si>
  <si>
    <t>Enter the registry ID number in row 48 of the table for production class 4.</t>
  </si>
  <si>
    <t>Enter the registry ID number in row 49 of the table for production class 4.</t>
  </si>
  <si>
    <t>Enter the registry ID number in row 50 of the table for production class 4.</t>
  </si>
  <si>
    <t>Enter the registry ID number in row 51 of the table for production class 4.</t>
  </si>
  <si>
    <t>Enter the registry ID number in row 52 of the table for production class 4.</t>
  </si>
  <si>
    <t>Enter the registry ID number in row 53 of the table for production class 4.</t>
  </si>
  <si>
    <t>Enter the registry ID number in row 54 of the table for production class 4.</t>
  </si>
  <si>
    <t>Enter the registry ID number in row 55 of the table for production class 4.</t>
  </si>
  <si>
    <t>Enter the registry ID number in row 56 of the table for production class 4.</t>
  </si>
  <si>
    <t>Enter the registry ID number in row 57 of the table for production class 4.</t>
  </si>
  <si>
    <t>Enter the registry ID number in row 58 of the table for production class 4.</t>
  </si>
  <si>
    <t>Enter the registry ID number in row 59 of the table for production class 4.</t>
  </si>
  <si>
    <t>Enter the registry ID number in row 60 of the table for production class 4.</t>
  </si>
  <si>
    <t>Enter the registry ID number in row 61 of the table for production class 4.</t>
  </si>
  <si>
    <t>Enter the registry ID number in row 62 of the table for production class 4.</t>
  </si>
  <si>
    <t>Enter the registry ID number in row 63 of the table for production class 4.</t>
  </si>
  <si>
    <t>Enter the registry ID number in row 64 of the table for production class 4.</t>
  </si>
  <si>
    <t>Enter the registry ID number in row 65 of the table for production class 4.</t>
  </si>
  <si>
    <t>Enter the registry ID number in row 66 of the table for production class 4.</t>
  </si>
  <si>
    <t>Enter the registry ID number in row 67 of the table for production class 4.</t>
  </si>
  <si>
    <t>Enter the registry ID number in row 68 of the table for production class 4.</t>
  </si>
  <si>
    <t>Enter the registry ID number in row 69 of the table for production class 4.</t>
  </si>
  <si>
    <t>Enter the registry ID number in row 70 of the table for production class 4.</t>
  </si>
  <si>
    <t>Enter the registry ID number in row 71 of the table for production class 4.</t>
  </si>
  <si>
    <t>Enter the registry ID number in row 72 of the table for production class 4.</t>
  </si>
  <si>
    <t>Enter the registry ID number in row 73 of the table for production class 4.</t>
  </si>
  <si>
    <t>Enter the registry ID number in row 74 of the table for production class 4.</t>
  </si>
  <si>
    <t>Enter the registry ID number in row 75 of the table for production class 4.</t>
  </si>
  <si>
    <t>Enter the registry ID number in row 76 of the table for production class 4.</t>
  </si>
  <si>
    <t>Enter the registry ID number in row 77 of the table for production class 4.</t>
  </si>
  <si>
    <t>Enter the registry ID number in row 78 of the table for production class 4.</t>
  </si>
  <si>
    <t>Enter the registry ID number in row 79 of the table for production class 4.</t>
  </si>
  <si>
    <t>Enter the registry ID number in row 80 of the table for production class 4.</t>
  </si>
  <si>
    <t>Enter the registry ID number in row 81 of the table for production class 4.</t>
  </si>
  <si>
    <t>Enter the registry ID number in row 82 of the table for production class 4.</t>
  </si>
  <si>
    <t>Enter the registry ID number in row 83 of the table for production class 4.</t>
  </si>
  <si>
    <t>Enter the registry ID number in row 84 of the table for production class 4.</t>
  </si>
  <si>
    <t>Enter the registry ID number in row 85 of the table for production class 4.</t>
  </si>
  <si>
    <t>Enter the registry ID number in row 86 of the table for production class 4.</t>
  </si>
  <si>
    <t>Enter the registry ID number in row 87 of the table for production class 4.</t>
  </si>
  <si>
    <t>Enter the registry ID number in row 88 of the table for production class 4.</t>
  </si>
  <si>
    <t>Enter the registry ID number in row 89 of the table for production class 4.</t>
  </si>
  <si>
    <t>Enter the registry ID number in row 90 of the table for production class 4.</t>
  </si>
  <si>
    <t>Enter the registry ID number in row 91 of the table for production class 4.</t>
  </si>
  <si>
    <t>Enter the registry ID number in row 92 of the table for production class 4.</t>
  </si>
  <si>
    <t>Enter the registry ID number in row 93 of the table for production class 4.</t>
  </si>
  <si>
    <t>Enter the registry ID number in row 94 of the table for production class 4.</t>
  </si>
  <si>
    <t>Enter the registry ID number in row 95 of the table for production class 4.</t>
  </si>
  <si>
    <t>Enter the registry ID number in row 96 of the table for production class 4.</t>
  </si>
  <si>
    <t>Enter the registry ID number in row 97 of the table for production class 4.</t>
  </si>
  <si>
    <t>Enter the registry ID number in row 98 of the table for production class 4.</t>
  </si>
  <si>
    <t>Enter the registry ID number in row 99 of the table for production class 4.</t>
  </si>
  <si>
    <t>Enter the registry ID number in row 100 of the table for production class 4.</t>
  </si>
  <si>
    <t>Enter the registry ID number in row 101 of the table for production class 4.</t>
  </si>
  <si>
    <t>Enter the registry ID number in row 102 of the table for production class 4.</t>
  </si>
  <si>
    <t>Enter the registry ID number in row 103 of the table for production class 4.</t>
  </si>
  <si>
    <t>Enter the registry ID number in row 104 of the table for production class 4.</t>
  </si>
  <si>
    <t>Enter the registry ID number in row 105 of the table for production class 4.</t>
  </si>
  <si>
    <t>Enter the registry ID number in row 106 of the table for production class 4.</t>
  </si>
  <si>
    <t>Enter the registry ID number in row 107 of the table for production class 4.</t>
  </si>
  <si>
    <t>Enter the registry ID number in row 108 of the table for production class 4.</t>
  </si>
  <si>
    <t>Enter the registry ID number in row 109 of the table for production class 4.</t>
  </si>
  <si>
    <t>Enter the registry ID number in row 110 of the table for production class 4.</t>
  </si>
  <si>
    <t>Enter the registry ID number in row 111 of the table for production class 4.</t>
  </si>
  <si>
    <t>Enter the registry ID number in row 112 of the table for production class 4.</t>
  </si>
  <si>
    <t>Enter the registry ID number in row 113 of the table for production class 4.</t>
  </si>
  <si>
    <t>Enter the registry ID number in row 114 of the table for production class 4.</t>
  </si>
  <si>
    <t>Enter the registry ID number in row 115 of the table for production class 4.</t>
  </si>
  <si>
    <t>Enter the registry ID number in row 116 of the table for production class 4.</t>
  </si>
  <si>
    <t>Enter the registry ID number in row 117 of the table for production class 4.</t>
  </si>
  <si>
    <t>Enter the registry ID number in row 118 of the table for production class 4.</t>
  </si>
  <si>
    <t>Enter the registry ID number in row 119 of the table for production class 4.</t>
  </si>
  <si>
    <t>Enter the registry ID number in row 120 of the table for production class 4.</t>
  </si>
  <si>
    <t>Enter the registry ID number in row 121 of the table for production class 4.</t>
  </si>
  <si>
    <t>Enter the registry ID number in row 122 of the table for production class 4.</t>
  </si>
  <si>
    <t>Enter the registry ID number in row 123 of the table for production class 4.</t>
  </si>
  <si>
    <t>Enter the registry ID number in row 124 of the table for production class 4.</t>
  </si>
  <si>
    <t>Enter the registry ID number in row 125 of the table for production class 4.</t>
  </si>
  <si>
    <t>Enter the registry ID number in row 126 of the table for production class 4.</t>
  </si>
  <si>
    <t>Enter the registry ID number in row 127 of the table for production class 4.</t>
  </si>
  <si>
    <t>Enter the registry ID number in row 128 of the table for production class 4.</t>
  </si>
  <si>
    <t>Enter the registry ID number in row 129 of the table for production class 4.</t>
  </si>
  <si>
    <t>Enter the registry ID number in row 130 of the table for production class 4.</t>
  </si>
  <si>
    <t>Enter the registry ID number in row 131 of the table for production class 4.</t>
  </si>
  <si>
    <t>Enter the registry ID number in row 132 of the table for production class 4.</t>
  </si>
  <si>
    <t>Enter the registry ID number in row 133 of the table for production class 4.</t>
  </si>
  <si>
    <t>Enter the registry ID number in row 134 of the table for production class 4.</t>
  </si>
  <si>
    <t>Enter the registry ID number in row 135 of the table for production class 4.</t>
  </si>
  <si>
    <t>Enter the registry ID number in row 136 of the table for production class 4.</t>
  </si>
  <si>
    <t>Enter the registry ID number in row 137 of the table for production class 4.</t>
  </si>
  <si>
    <t>Enter the registry ID number in row 138 of the table for production class 4.</t>
  </si>
  <si>
    <t>Enter the registry ID number in row 139 of the table for production class 4.</t>
  </si>
  <si>
    <t>Enter the registry ID number in row 140 of the table for production class 4.</t>
  </si>
  <si>
    <t>Enter the registry ID number in row 141 of the table for production class 4.</t>
  </si>
  <si>
    <t>Enter the registry ID number in row 142 of the table for production class 4.</t>
  </si>
  <si>
    <t>Enter the registry ID number in row 143 of the table for production class 4.</t>
  </si>
  <si>
    <t>Enter the registry ID number in row 144 of the table for production class 4.</t>
  </si>
  <si>
    <t>Enter the registry ID number in row 145 of the table for production class 4.</t>
  </si>
  <si>
    <t>Enter the registry ID number in row 146 of the table for production class 4.</t>
  </si>
  <si>
    <t>Enter the registry ID number in row 147 of the table for production class 4.</t>
  </si>
  <si>
    <t>Enter the registry ID number in row 148 of the table for production class 4.</t>
  </si>
  <si>
    <t>Enter the registry ID number in row 149 of the table for production class 4.</t>
  </si>
  <si>
    <t>Enter the registry ID number in row 150 of the table for production class 4.</t>
  </si>
  <si>
    <t>Enter the registry ID number in row 151 of the table for production class 4.</t>
  </si>
  <si>
    <t>Enter the registry ID number in row 152 of the table for production class 4.</t>
  </si>
  <si>
    <t>Enter the registry ID number in row 153 of the table for production class 4.</t>
  </si>
  <si>
    <t>Enter the registry ID number in row 154 of the table for production class 4.</t>
  </si>
  <si>
    <t>Enter the registry ID number in row 155 of the table for production class 4.</t>
  </si>
  <si>
    <t>Enter the registry ID number in row 156 of the table for production class 4.</t>
  </si>
  <si>
    <t>Enter the registry ID number in row 157 of the table for production class 4.</t>
  </si>
  <si>
    <t>Enter the registry ID number in row 158 of the table for production class 4.</t>
  </si>
  <si>
    <t>Enter the registry ID number in row 159 of the table for production class 4.</t>
  </si>
  <si>
    <t>Enter the registry ID number in row 160 of the table for production class 4.</t>
  </si>
  <si>
    <t>Enter the registry ID number in row 161 of the table for production class 4.</t>
  </si>
  <si>
    <t>Enter the registry ID number in row 162 of the table for production class 4.</t>
  </si>
  <si>
    <t>Enter the registry ID number in row 163 of the table for production class 4.</t>
  </si>
  <si>
    <t>Enter the registry ID number in row 164 of the table for production class 4.</t>
  </si>
  <si>
    <t>Enter the registry ID number in row 165 of the table for production class 4.</t>
  </si>
  <si>
    <t>Enter the registry ID number in row 166 of the table for production class 4.</t>
  </si>
  <si>
    <t>Enter the registry ID number in row 167 of the table for production class 4.</t>
  </si>
  <si>
    <t>Enter the registry ID number in row 168 of the table for production class 4.</t>
  </si>
  <si>
    <t>Enter the registry ID number in row 169 of the table for production class 4.</t>
  </si>
  <si>
    <t>Enter the registry ID number in row 170 of the table for production class 4.</t>
  </si>
  <si>
    <t>Enter the registry ID number in row 171 of the table for production class 4.</t>
  </si>
  <si>
    <t>Enter the registry ID number in row 172 of the table for production class 4.</t>
  </si>
  <si>
    <t>Enter the registry ID number in row 173 of the table for production class 4.</t>
  </si>
  <si>
    <t>Enter the registry ID number in row 174 of the table for production class 4.</t>
  </si>
  <si>
    <t>Enter the registry ID number in row 175 of the table for production class 4.</t>
  </si>
  <si>
    <t>Enter the registry ID number in row 176 of the table for production class 4.</t>
  </si>
  <si>
    <t>Enter the registry ID number in row 177 of the table for production class 4.</t>
  </si>
  <si>
    <t>Enter the registry ID number in row 178 of the table for production class 4.</t>
  </si>
  <si>
    <t>Enter the registry ID number in row 179 of the table for production class 4.</t>
  </si>
  <si>
    <t>Enter the registry ID number in row 180 of the table for production class 4.</t>
  </si>
  <si>
    <t>Enter the registry ID number in row 181 of the table for production class 4.</t>
  </si>
  <si>
    <t>Enter the registry ID number in row 182 of the table for production class 4.</t>
  </si>
  <si>
    <t>Enter the registry ID number in row 183 of the table for production class 4.</t>
  </si>
  <si>
    <t>Enter the registry ID number in row 184 of the table for production class 4.</t>
  </si>
  <si>
    <t>Enter the registry ID number in row 185 of the table for production class 4.</t>
  </si>
  <si>
    <t>Enter the registry ID number in row 186 of the table for production class 4.</t>
  </si>
  <si>
    <t>Enter the registry ID number in row 187 of the table for production class 4.</t>
  </si>
  <si>
    <t>Enter the registry ID number in row 188 of the table for production class 4.</t>
  </si>
  <si>
    <t>Enter the registry ID number in row 189 of the table for production class 4.</t>
  </si>
  <si>
    <t>Enter the registry ID number in row 190 of the table for production class 4.</t>
  </si>
  <si>
    <t>Enter the registry ID number in row 191 of the table for production class 4.</t>
  </si>
  <si>
    <t>Enter the registry ID number in row 192 of the table for production class 4.</t>
  </si>
  <si>
    <t>Enter the registry ID number in row 193 of the table for production class 4.</t>
  </si>
  <si>
    <t>Enter the registry ID number in row 194 of the table for production class 4.</t>
  </si>
  <si>
    <t>Enter the registry ID number in row 195 of the table for production class 4.</t>
  </si>
  <si>
    <t>Enter the registry ID number in row 196 of the table for production class 4.</t>
  </si>
  <si>
    <t>Enter the registry ID number in row 197 of the table for production class 4.</t>
  </si>
  <si>
    <t>Enter the registry ID number in row 198 of the table for production class 4.</t>
  </si>
  <si>
    <t>Enter the registry ID number in row 199 of the table for production class 4.</t>
  </si>
  <si>
    <t>Enter the registry ID number in row 200 of the table for production class 4.</t>
  </si>
  <si>
    <t>Enter the registry ID number in row 201 of the table for production class 4.</t>
  </si>
  <si>
    <t>Enter the registry ID number in row 202 of the table for production class 4.</t>
  </si>
  <si>
    <t>Enter the registry ID number in row 203 of the table for production class 4.</t>
  </si>
  <si>
    <t>Enter the registry ID number in row 204 of the table for production class 4.</t>
  </si>
  <si>
    <t>Enter the registry ID number in row 205 of the table for production class 4.</t>
  </si>
  <si>
    <t>Enter the registry ID number in row 206 of the table for production class 4.</t>
  </si>
  <si>
    <t>Enter the registry ID number in row 207 of the table for production class 4.</t>
  </si>
  <si>
    <t>Enter the registry ID number in row 208 of the table for production class 4.</t>
  </si>
  <si>
    <t>Enter the registry ID number in row 209 of the table for production class 4.</t>
  </si>
  <si>
    <t>Enter the registry ID number in row 210 of the table for production class 4.</t>
  </si>
  <si>
    <t>Enter the registry ID number in row 211 of the table for production class 4.</t>
  </si>
  <si>
    <t>Enter the registry ID number in row 212 of the table for production class 4.</t>
  </si>
  <si>
    <t>Enter the registry ID number in row 213 of the table for production class 4.</t>
  </si>
  <si>
    <t>Enter the registry ID number in row 214 of the table for production class 4.</t>
  </si>
  <si>
    <t>Enter the registry ID number in row 215 of the table for production class 4.</t>
  </si>
  <si>
    <t>Enter the registry ID number in row 216 of the table for production class 4.</t>
  </si>
  <si>
    <t>Enter the registry ID number in row 217 of the table for production class 4.</t>
  </si>
  <si>
    <t>Enter the registry ID number in row 218 of the table for production class 4.</t>
  </si>
  <si>
    <t>Enter the registry ID number in row 219 of the table for production class 4.</t>
  </si>
  <si>
    <t>Enter the registry ID number in row 220 of the table for production class 4.</t>
  </si>
  <si>
    <t>Enter the registry ID number in row 221 of the table for production class 4.</t>
  </si>
  <si>
    <t>Enter the registry ID number in row 222 of the table for production class 4.</t>
  </si>
  <si>
    <t>Enter the registry ID number in row 223 of the table for production class 4.</t>
  </si>
  <si>
    <t>Enter the registry ID number in row 224 of the table for production class 4.</t>
  </si>
  <si>
    <t>Enter the registry ID number in row 225 of the table for production class 4.</t>
  </si>
  <si>
    <t>Enter the registry ID number in row 226 of the table for production class 4.</t>
  </si>
  <si>
    <t>Enter the registry ID number in row 227 of the table for production class 4.</t>
  </si>
  <si>
    <t>Enter the registry ID number in row 228 of the table for production class 4.</t>
  </si>
  <si>
    <t>Enter the registry ID number in row 229 of the table for production class 4.</t>
  </si>
  <si>
    <t>Enter the registry ID number in row 230 of the table for production class 4.</t>
  </si>
  <si>
    <t>Enter the registry ID number in row 231 of the table for production class 4.</t>
  </si>
  <si>
    <t>Enter the registry ID number in row 232 of the table for production class 4.</t>
  </si>
  <si>
    <t>Enter the registry ID number in row 233 of the table for production class 4.</t>
  </si>
  <si>
    <t>Enter the registry ID number in row 234 of the table for production class 4.</t>
  </si>
  <si>
    <t>Enter the registry ID number in row 235 of the table for production class 4.</t>
  </si>
  <si>
    <t>Enter the registry ID number in row 236 of the table for production class 4.</t>
  </si>
  <si>
    <t>Enter the registry ID number in row 237 of the table for production class 4.</t>
  </si>
  <si>
    <t>Enter the registry ID number in row 238 of the table for production class 4.</t>
  </si>
  <si>
    <t>Enter the registry ID number in row 239 of the table for production class 4.</t>
  </si>
  <si>
    <t>Enter the registry ID number in row 240 of the table for production class 4.</t>
  </si>
  <si>
    <t>Enter the registry ID number in row 241 of the table for production class 4.</t>
  </si>
  <si>
    <t>Enter the registry ID number in row 242 of the table for production class 4.</t>
  </si>
  <si>
    <t>Enter the registry ID number in row 243 of the table for production class 4.</t>
  </si>
  <si>
    <t>Enter the registry ID number in row 244 of the table for production class 4.</t>
  </si>
  <si>
    <t>Enter the registry ID number in row 245 of the table for production class 4.</t>
  </si>
  <si>
    <t>Enter the registry ID number in row 246 of the table for production class 4.</t>
  </si>
  <si>
    <t>Enter the registry ID number in row 247 of the table for production class 4.</t>
  </si>
  <si>
    <t>Enter the registry ID number in row 248 of the table for production class 4.</t>
  </si>
  <si>
    <t>Enter the registry ID number in row 249 of the table for production class 4.</t>
  </si>
  <si>
    <t>Enter the registry ID number in row 250 of the table for production class 4.</t>
  </si>
  <si>
    <t>Enter the registry ID number in row 251 of the table for production class 4.</t>
  </si>
  <si>
    <t>Enter the registry ID number in row 252 of the table for production class 4.</t>
  </si>
  <si>
    <t>Enter the registry ID number in row 253 of the table for production class 4.</t>
  </si>
  <si>
    <t>Enter the registry ID number in row 254 of the table for production class 4.</t>
  </si>
  <si>
    <t>Enter the registry ID number in row 255 of the table for production class 4.</t>
  </si>
  <si>
    <t>Enter the registry ID number in row 256 of the table for production class 4.</t>
  </si>
  <si>
    <t>Enter the registry ID number in row 257 of the table for production class 4.</t>
  </si>
  <si>
    <t>Enter the registry ID number in row 258 of the table for production class 4.</t>
  </si>
  <si>
    <t>Enter the registry ID number in row 259 of the table for production class 4.</t>
  </si>
  <si>
    <t>Enter the registry ID number in row 260 of the table for production class 4.</t>
  </si>
  <si>
    <t>Enter the registry ID number in row 261 of the table for production class 4.</t>
  </si>
  <si>
    <t>Enter the registry ID number in row 262 of the table for production class 4.</t>
  </si>
  <si>
    <t>Enter the registry ID number in row 263 of the table for production class 4.</t>
  </si>
  <si>
    <t>Enter the registry ID number in row 264 of the table for production class 4.</t>
  </si>
  <si>
    <t>Enter the registry ID number in row 265 of the table for production class 4.</t>
  </si>
  <si>
    <t>Enter the registry ID number in row 266 of the table for production class 4.</t>
  </si>
  <si>
    <t>Enter the registry ID number in row 267 of the table for production class 4.</t>
  </si>
  <si>
    <t>Enter the registry ID number in row 268 of the table for production class 4.</t>
  </si>
  <si>
    <t>Enter the registry ID number in row 269 of the table for production class 4.</t>
  </si>
  <si>
    <t>Enter the registry ID number in row 270 of the table for production class 4.</t>
  </si>
  <si>
    <t>Enter the registry ID number in row 271 of the table for production class 4.</t>
  </si>
  <si>
    <t>Enter the registry ID number in row 272 of the table for production class 4.</t>
  </si>
  <si>
    <t>Enter the registry ID number in row 273 of the table for production class 4.</t>
  </si>
  <si>
    <t>Enter the registry ID number in row 274 of the table for production class 4.</t>
  </si>
  <si>
    <t>Enter the registry ID number in row 275 of the table for production class 4.</t>
  </si>
  <si>
    <t>Enter the registry ID number in row 276 of the table for production class 4.</t>
  </si>
  <si>
    <t>Enter the registry ID number in row 277 of the table for production class 4.</t>
  </si>
  <si>
    <t>Enter the registry ID number in row 278 of the table for production class 4.</t>
  </si>
  <si>
    <t>Enter the registry ID number in row 279 of the table for production class 4.</t>
  </si>
  <si>
    <t>Enter the registry ID number in row 280 of the table for production class 4.</t>
  </si>
  <si>
    <t>Enter the registry ID number in row 281 of the table for production class 4.</t>
  </si>
  <si>
    <t>Enter the registry ID number in row 282 of the table for production class 4.</t>
  </si>
  <si>
    <t>Enter the registry ID number in row 283 of the table for production class 4.</t>
  </si>
  <si>
    <t>Enter the registry ID number in row 284 of the table for production class 4.</t>
  </si>
  <si>
    <t>Enter the registry ID number in row 285 of the table for production class 4.</t>
  </si>
  <si>
    <t>Enter the registry ID number in row 286 of the table for production class 4.</t>
  </si>
  <si>
    <t>Enter the registry ID number in row 287 of the table for production class 4.</t>
  </si>
  <si>
    <t>Enter the registry ID number in row 288 of the table for production class 4.</t>
  </si>
  <si>
    <t>Enter the registry ID number in row 289 of the table for production class 4.</t>
  </si>
  <si>
    <t>Enter the registry ID number in row 290 of the table for production class 4.</t>
  </si>
  <si>
    <t>Enter the registry ID number in row 291 of the table for production class 4.</t>
  </si>
  <si>
    <t>Enter the registry ID number in row 292 of the table for production class 4.</t>
  </si>
  <si>
    <t>Enter the registry ID number in row 293 of the table for production class 4.</t>
  </si>
  <si>
    <t>Enter the registry ID number in row 294 of the table for production class 4.</t>
  </si>
  <si>
    <t>Enter the registry ID number in row 295 of the table for production class 4.</t>
  </si>
  <si>
    <t>Enter the registry ID number in row 296 of the table for production class 4.</t>
  </si>
  <si>
    <t>Enter the registry ID number in row 297 of the table for production class 4.</t>
  </si>
  <si>
    <t>Enter the registry ID number in row 298 of the table for production class 4.</t>
  </si>
  <si>
    <t>Enter the registry ID number in row 299 of the table for production class 4.</t>
  </si>
  <si>
    <t>Enter the registry ID number in row 300 of the table for production class 4.</t>
  </si>
  <si>
    <t>Enter the registry ID number in row 301 of the table for production class 4.</t>
  </si>
  <si>
    <t>Enter the registry ID number in row 302 of the table for production class 4.</t>
  </si>
  <si>
    <t>Enter the registry ID number in row 303 of the table for production class 4.</t>
  </si>
  <si>
    <t>Enter the registry ID number in row 304 of the table for production class 4.</t>
  </si>
  <si>
    <t>Enter the registry ID number in row 305 of the table for production class 4.</t>
  </si>
  <si>
    <t>Enter the registry ID number in row 306 of the table for production class 4.</t>
  </si>
  <si>
    <t>Enter the registry ID number in row 307 of the table for production class 4.</t>
  </si>
  <si>
    <t>Enter the registry ID number in row 308 of the table for production class 4.</t>
  </si>
  <si>
    <t>Enter the registry ID number in row 309 of the table for production class 4.</t>
  </si>
  <si>
    <t>Enter the registry ID number in row 310 of the table for production class 4.</t>
  </si>
  <si>
    <t>Enter the registry ID number in row 311 of the table for production class 4.</t>
  </si>
  <si>
    <t>Enter the registry ID number in row 312 of the table for production class 4.</t>
  </si>
  <si>
    <t>Enter the registry ID number in row 313 of the table for production class 4.</t>
  </si>
  <si>
    <t>Enter the registry ID number in row 314 of the table for production class 4.</t>
  </si>
  <si>
    <t>Enter the registry ID number in row 315 of the table for production class 4.</t>
  </si>
  <si>
    <t>Enter the registry ID number in row 316 of the table for production class 4.</t>
  </si>
  <si>
    <t>Enter the registry ID number in row 317 of the table for production class 4.</t>
  </si>
  <si>
    <t>Enter the registry ID number in row 318 of the table for production class 4.</t>
  </si>
  <si>
    <t>Enter the registry ID number in row 319 of the table for production class 4.</t>
  </si>
  <si>
    <t>Enter the registry ID number in row 320 of the table for production class 4.</t>
  </si>
  <si>
    <t>Enter the registry ID number in row 321 of the table for production class 4.</t>
  </si>
  <si>
    <t>Enter the registry ID number in row 322 of the table for production class 4.</t>
  </si>
  <si>
    <t>Enter the registry ID number in row 323 of the table for production class 4.</t>
  </si>
  <si>
    <t>Enter the registry ID number in row 324 of the table for production class 4.</t>
  </si>
  <si>
    <t>Enter the registry ID number in row 325 of the table for production class 4.</t>
  </si>
  <si>
    <t>Enter the registry ID number in row 326 of the table for production class 4.</t>
  </si>
  <si>
    <t>Enter the registry ID number in row 327 of the table for production class 4.</t>
  </si>
  <si>
    <t>Enter the registry ID number in row 328 of the table for production class 4.</t>
  </si>
  <si>
    <t>Enter the registry ID number in row 329 of the table for production class 4.</t>
  </si>
  <si>
    <t>Enter the registry ID number in row 330 of the table for production class 4.</t>
  </si>
  <si>
    <t>Enter the registry ID number in row 331 of the table for production class 4.</t>
  </si>
  <si>
    <t>Enter the registry ID number in row 332 of the table for production class 4.</t>
  </si>
  <si>
    <t>Enter the registry ID number in row 333 of the table for production class 4.</t>
  </si>
  <si>
    <t>Enter the registry ID number in row 334 of the table for production class 4.</t>
  </si>
  <si>
    <t>Enter the registry ID number in row 335 of the table for production class 4.</t>
  </si>
  <si>
    <t>Enter the registry ID number in row 336 of the table for production class 4.</t>
  </si>
  <si>
    <t>Enter the registry ID number in row 337 of the table for production class 4.</t>
  </si>
  <si>
    <t>Enter the registry ID number in row 338 of the table for production class 4.</t>
  </si>
  <si>
    <t>Enter the registry ID number in row 339 of the table for production class 4.</t>
  </si>
  <si>
    <t>Enter the registry ID number in row 340 of the table for production class 4.</t>
  </si>
  <si>
    <t>Enter the registry ID number in row 341 of the table for production class 4.</t>
  </si>
  <si>
    <t>Enter the registry ID number in row 342 of the table for production class 4.</t>
  </si>
  <si>
    <t>Enter the registry ID number in row 343 of the table for production class 4.</t>
  </si>
  <si>
    <t>Enter the registry ID number in row 344 of the table for production class 4.</t>
  </si>
  <si>
    <t>Enter the registry ID number in row 345 of the table for production class 4.</t>
  </si>
  <si>
    <t>Enter the registry ID number in row 346 of the table for production class 4.</t>
  </si>
  <si>
    <t>Enter the registry ID number in row 347 of the table for production class 4.</t>
  </si>
  <si>
    <t>Enter the registry ID number in row 348 of the table for production class 4.</t>
  </si>
  <si>
    <t>Enter the registry ID number in row 349 of the table for production class 4.</t>
  </si>
  <si>
    <t>Enter the registry ID number in row 350 of the table for production class 4.</t>
  </si>
  <si>
    <t>Enter the registry ID number in row 351 of the table for production class 4.</t>
  </si>
  <si>
    <t>Enter the registry ID number in row 352 of the table for production class 4.</t>
  </si>
  <si>
    <t>Enter the registry ID number in row 353 of the table for production class 4.</t>
  </si>
  <si>
    <t>Enter the registry ID number in row 354 of the table for production class 4.</t>
  </si>
  <si>
    <t>Enter the registry ID number in row 355 of the table for production class 4.</t>
  </si>
  <si>
    <t>Enter the registry ID number in row 356 of the table for production class 4.</t>
  </si>
  <si>
    <t>Enter the registry ID number in row 357 of the table for production class 4.</t>
  </si>
  <si>
    <t>Enter the registry ID number in row 358 of the table for production class 4.</t>
  </si>
  <si>
    <t>Enter the registry ID number in row 359 of the table for production class 4.</t>
  </si>
  <si>
    <t>Enter the registry ID number in row 360 of the table for production class 4.</t>
  </si>
  <si>
    <t>Enter the registry ID number in row 361 of the table for production class 4.</t>
  </si>
  <si>
    <t>Enter the registry ID number in row 362 of the table for production class 4.</t>
  </si>
  <si>
    <t>Enter the registry ID number in row 363 of the table for production class 4.</t>
  </si>
  <si>
    <t>Enter the registry ID number in row 364 of the table for production class 4.</t>
  </si>
  <si>
    <t>Enter the registry ID number in row 365 of the table for production class 4.</t>
  </si>
  <si>
    <t>Enter the registry ID number in row 366 of the table for production class 4.</t>
  </si>
  <si>
    <t>Enter the registry ID number in row 367 of the table for production class 4.</t>
  </si>
  <si>
    <t>Enter the registry ID number in row 368 of the table for production class 4.</t>
  </si>
  <si>
    <t>Enter the registry ID number in row 369 of the table for production class 4.</t>
  </si>
  <si>
    <t>Enter the registry ID number in row 370 of the table for production class 4.</t>
  </si>
  <si>
    <t>Enter the registry ID number in row 371 of the table for production class 4.</t>
  </si>
  <si>
    <t>Enter the registry ID number in row 372 of the table for production class 4.</t>
  </si>
  <si>
    <t>Enter the registry ID number in row 373 of the table for production class 4.</t>
  </si>
  <si>
    <t>Enter the registry ID number in row 374 of the table for production class 4.</t>
  </si>
  <si>
    <t>Enter the registry ID number in row 375 of the table for production class 4.</t>
  </si>
  <si>
    <t>Enter the registry ID number in row 376 of the table for production class 4.</t>
  </si>
  <si>
    <t>Enter the registry ID number in row 377 of the table for production class 4.</t>
  </si>
  <si>
    <t>Enter the registry ID number in row 378 of the table for production class 4.</t>
  </si>
  <si>
    <t>Enter the registry ID number in row 379 of the table for production class 4.</t>
  </si>
  <si>
    <t>Enter the registry ID number in row 380 of the table for production class 4.</t>
  </si>
  <si>
    <t>Enter the registry ID number in row 381 of the table for production class 4.</t>
  </si>
  <si>
    <t>Enter the registry ID number in row 382 of the table for production class 4.</t>
  </si>
  <si>
    <t>Enter the registry ID number in row 383 of the table for production class 4.</t>
  </si>
  <si>
    <t>Enter the registry ID number in row 384 of the table for production class 4.</t>
  </si>
  <si>
    <t>Enter the registry ID number in row 385 of the table for production class 4.</t>
  </si>
  <si>
    <t>Enter the registry ID number in row 386 of the table for production class 4.</t>
  </si>
  <si>
    <t>Enter the registry ID number in row 387 of the table for production class 4.</t>
  </si>
  <si>
    <t>Enter the registry ID number in row 388 of the table for production class 4.</t>
  </si>
  <si>
    <t>Enter the registry ID number in row 389 of the table for production class 4.</t>
  </si>
  <si>
    <t>Enter the registry ID number in row 390 of the table for production class 4.</t>
  </si>
  <si>
    <t>Enter the registry ID number in row 391 of the table for production class 4.</t>
  </si>
  <si>
    <t>Enter the registry ID number in row 392 of the table for production class 4.</t>
  </si>
  <si>
    <t>Enter the registry ID number in row 393 of the table for production class 4.</t>
  </si>
  <si>
    <t>Enter the registry ID number in row 394 of the table for production class 4.</t>
  </si>
  <si>
    <t>Enter the registry ID number in row 395 of the table for production class 4.</t>
  </si>
  <si>
    <t>Enter the registry ID number in row 396 of the table for production class 4.</t>
  </si>
  <si>
    <t>Enter the registry ID number in row 397 of the table for production class 4.</t>
  </si>
  <si>
    <t>Enter the registry ID number in row 398 of the table for production class 4.</t>
  </si>
  <si>
    <t>Enter the registry ID number in row 399 of the table for production class 4.</t>
  </si>
  <si>
    <t>Enter the registry ID number in row 400 of the table for production class 4.</t>
  </si>
  <si>
    <t>Enter the registry ID number in row 401 of the table for production class 4.</t>
  </si>
  <si>
    <t>Enter the registry ID number in row 402 of the table for production class 4.</t>
  </si>
  <si>
    <t>Enter the registry ID number in row 403 of the table for production class 4.</t>
  </si>
  <si>
    <t>Enter the registry ID number in row 404 of the table for production class 4.</t>
  </si>
  <si>
    <t>Enter the registry ID number in row 405 of the table for production class 4.</t>
  </si>
  <si>
    <t>Enter the registry ID number in row 406 of the table for production class 4.</t>
  </si>
  <si>
    <t>Enter the registry ID number in row 407 of the table for production class 4.</t>
  </si>
  <si>
    <t>Enter the registry ID number in row 408 of the table for production class 4.</t>
  </si>
  <si>
    <t>Enter the registry ID number in row 409 of the table for production class 4.</t>
  </si>
  <si>
    <t>Enter the registry ID number in row 410 of the table for production class 4.</t>
  </si>
  <si>
    <t>Enter the registry ID number in row 411 of the table for production class 4.</t>
  </si>
  <si>
    <t>Enter the registry ID number in row 412 of the table for production class 4.</t>
  </si>
  <si>
    <t>Enter the registry ID number in row 413 of the table for production class 4.</t>
  </si>
  <si>
    <t>Enter the registry ID number in row 414 of the table for production class 4.</t>
  </si>
  <si>
    <t>Enter the registry ID number in row 415 of the table for production class 4.</t>
  </si>
  <si>
    <t>Enter the registry ID number in row 416 of the table for production class 4.</t>
  </si>
  <si>
    <t>Enter the registry ID number in row 417 of the table for production class 4.</t>
  </si>
  <si>
    <t>Enter the registry ID number in row 418 of the table for production class 4.</t>
  </si>
  <si>
    <t>Enter the registry ID number in row 419 of the table for production class 4.</t>
  </si>
  <si>
    <t>Enter the registry ID number in row 420 of the table for production class 4.</t>
  </si>
  <si>
    <t>Enter the registry ID number in row 421 of the table for production class 4.</t>
  </si>
  <si>
    <t>Enter the registry ID number in row 422 of the table for production class 4.</t>
  </si>
  <si>
    <t>Enter the registry ID number in row 423 of the table for production class 4.</t>
  </si>
  <si>
    <t>Enter the registry ID number in row 424 of the table for production class 4.</t>
  </si>
  <si>
    <t>Enter the registry ID number in row 425 of the table for production class 4.</t>
  </si>
  <si>
    <t>Enter the registry ID number in row 426 of the table for production class 4.</t>
  </si>
  <si>
    <t>Enter the registry ID number in row 427 of the table for production class 4.</t>
  </si>
  <si>
    <t>Enter the registry ID number in row 428 of the table for production class 4.</t>
  </si>
  <si>
    <t>Enter the registry ID number in row 429 of the table for production class 4.</t>
  </si>
  <si>
    <t>Enter the registry ID number in row 430 of the table for production class 4.</t>
  </si>
  <si>
    <t>Enter the registry ID number in row 431 of the table for production class 4.</t>
  </si>
  <si>
    <t>Enter the registry ID number in row 432 of the table for production class 4.</t>
  </si>
  <si>
    <t>Enter the registry ID number in row 433 of the table for production class 4.</t>
  </si>
  <si>
    <t>Enter the registry ID number in row 434 of the table for production class 4.</t>
  </si>
  <si>
    <t>Enter the registry ID number in row 435 of the table for production class 4.</t>
  </si>
  <si>
    <t>Enter the registry ID number in row 436 of the table for production class 4.</t>
  </si>
  <si>
    <t>Enter the registry ID number in row 437 of the table for production class 4.</t>
  </si>
  <si>
    <t>Enter the registry ID number in row 438 of the table for production class 4.</t>
  </si>
  <si>
    <t>Enter the registry ID number in row 439 of the table for production class 4.</t>
  </si>
  <si>
    <t>Enter the registry ID number in row 440 of the table for production class 4.</t>
  </si>
  <si>
    <t>Enter the registry ID number in row 441 of the table for production class 4.</t>
  </si>
  <si>
    <t>Enter the registry ID number in row 442 of the table for production class 4.</t>
  </si>
  <si>
    <t>Enter the registry ID number in row 443 of the table for production class 4.</t>
  </si>
  <si>
    <t>Enter the registry ID number in row 444 of the table for production class 4.</t>
  </si>
  <si>
    <t>Enter the registry ID number in row 445 of the table for production class 4.</t>
  </si>
  <si>
    <t>Enter the registry ID number in row 446 of the table for production class 4.</t>
  </si>
  <si>
    <t>Enter the registry ID number in row 447 of the table for production class 4.</t>
  </si>
  <si>
    <t>Enter the registry ID number in row 448 of the table for production class 4.</t>
  </si>
  <si>
    <t>Enter the registry ID number in row 449 of the table for production class 4.</t>
  </si>
  <si>
    <t>Enter the registry ID number in row 450 of the table for production class 4.</t>
  </si>
  <si>
    <t>Enter the registry ID number in row 451 of the table for production class 4.</t>
  </si>
  <si>
    <t>Enter the registry ID number in row 452 of the table for production class 4.</t>
  </si>
  <si>
    <t>Enter the registry ID number in row 453 of the table for production class 4.</t>
  </si>
  <si>
    <t>Enter the registry ID number in row 454 of the table for production class 4.</t>
  </si>
  <si>
    <t>Enter the registry ID number in row 455 of the table for production class 4.</t>
  </si>
  <si>
    <t>Enter the registry ID number in row 456 of the table for production class 4.</t>
  </si>
  <si>
    <t>Enter the registry ID number in row 457 of the table for production class 4.</t>
  </si>
  <si>
    <t>Enter the registry ID number in row 458 of the table for production class 4.</t>
  </si>
  <si>
    <t>Enter the registry ID number in row 459 of the table for production class 4.</t>
  </si>
  <si>
    <t>Enter the registry ID number in row 460 of the table for production class 4.</t>
  </si>
  <si>
    <t>Enter the registry ID number in row 461 of the table for production class 4.</t>
  </si>
  <si>
    <t>Enter the registry ID number in row 462 of the table for production class 4.</t>
  </si>
  <si>
    <t>Enter the registry ID number in row 463 of the table for production class 4.</t>
  </si>
  <si>
    <t>Enter the registry ID number in row 464 of the table for production class 4.</t>
  </si>
  <si>
    <t>Enter the registry ID number in row 465 of the table for production class 4.</t>
  </si>
  <si>
    <t>Enter the registry ID number in row 466 of the table for production class 4.</t>
  </si>
  <si>
    <t>Enter the registry ID number in row 467 of the table for production class 4.</t>
  </si>
  <si>
    <t>Enter the registry ID number in row 468 of the table for production class 4.</t>
  </si>
  <si>
    <t>Enter the registry ID number in row 469 of the table for production class 4.</t>
  </si>
  <si>
    <t>Enter the registry ID number in row 470 of the table for production class 4.</t>
  </si>
  <si>
    <t>Enter the registry ID number in row 471 of the table for production class 4.</t>
  </si>
  <si>
    <t>Enter the registry ID number in row 472 of the table for production class 4.</t>
  </si>
  <si>
    <t>Enter the registry ID number in row 473 of the table for production class 4.</t>
  </si>
  <si>
    <t>Enter the registry ID number in row 474 of the table for production class 4.</t>
  </si>
  <si>
    <t>Enter the registry ID number in row 475 of the table for production class 4.</t>
  </si>
  <si>
    <t>Enter the registry ID number in row 476 of the table for production class 4.</t>
  </si>
  <si>
    <t>Enter the registry ID number in row 477 of the table for production class 4.</t>
  </si>
  <si>
    <t>Enter the registry ID number in row 478 of the table for production class 4.</t>
  </si>
  <si>
    <t>Enter the registry ID number in row 479 of the table for production class 4.</t>
  </si>
  <si>
    <t>Enter the registry ID number in row 480 of the table for production class 4.</t>
  </si>
  <si>
    <t>Enter the registry ID number in row 481 of the table for production class 4.</t>
  </si>
  <si>
    <t>Enter the registry ID number in row 482 of the table for production class 4.</t>
  </si>
  <si>
    <t>Enter the registry ID number in row 483 of the table for production class 4.</t>
  </si>
  <si>
    <t>Enter the registry ID number in row 484 of the table for production class 4.</t>
  </si>
  <si>
    <t>Enter the registry ID number in row 485 of the table for production class 4.</t>
  </si>
  <si>
    <t>Enter the registry ID number in row 486 of the table for production class 4.</t>
  </si>
  <si>
    <t>Enter the registry ID number in row 487 of the table for production class 4.</t>
  </si>
  <si>
    <t>Enter the registry ID number in row 488 of the table for production class 4.</t>
  </si>
  <si>
    <t>Enter the registry ID number in row 489 of the table for production class 4.</t>
  </si>
  <si>
    <t>Enter the registry ID number in row 490 of the table for production class 4.</t>
  </si>
  <si>
    <t>Enter the registry ID number in row 491 of the table for production class 4.</t>
  </si>
  <si>
    <t>Enter the registry ID number in row 492 of the table for production class 4.</t>
  </si>
  <si>
    <t>Enter the registry ID number in row 493 of the table for production class 4.</t>
  </si>
  <si>
    <t>Enter the registry ID number in row 494 of the table for production class 4.</t>
  </si>
  <si>
    <t>Enter the registry ID number in row 495 of the table for production class 4.</t>
  </si>
  <si>
    <t>Enter the registry ID number in row 496 of the table for production class 4.</t>
  </si>
  <si>
    <t>Enter the registry ID number in row 497 of the table for production class 4.</t>
  </si>
  <si>
    <t>Enter the registry ID number in row 498 of the table for production class 4.</t>
  </si>
  <si>
    <t>Enter the registry ID number in row 499 of the table for production class 4.</t>
  </si>
  <si>
    <t>Enter the registry ID number in row 500 of the table for production class 4.</t>
  </si>
  <si>
    <t>Enter the registry ID number in row 501 of the table for production class 4.</t>
  </si>
  <si>
    <t>Enter the registry ID number in row 502 of the table for production class 4.</t>
  </si>
  <si>
    <t>Enter the registry ID number in row 503 of the table for production class 4.</t>
  </si>
  <si>
    <t>Enter the registry ID number in row 504 of the table for production class 4.</t>
  </si>
  <si>
    <t>Enter the registry ID number in row 505 of the table for production class 4.</t>
  </si>
  <si>
    <t>Enter the registry ID number in row 506 of the table for production class 4.</t>
  </si>
  <si>
    <t>Enter the registry ID number in row 507 of the table for production class 4.</t>
  </si>
  <si>
    <t>Enter the registry ID number in row 508 of the table for production class 4.</t>
  </si>
  <si>
    <t>Enter the registry ID number in row 509 of the table for production class 4.</t>
  </si>
  <si>
    <t>Enter the registry ID number in row 510 of the table for production class 4.</t>
  </si>
  <si>
    <t>Enter the registry ID number in row 511 of the table for production class 4.</t>
  </si>
  <si>
    <t>Enter the registry ID number in row 512 of the table for production class 4.</t>
  </si>
  <si>
    <t>Enter the registry ID number in row 513 of the table for production class 4.</t>
  </si>
  <si>
    <t>Enter the registry ID number in row 514 of the table for production class 4.</t>
  </si>
  <si>
    <t>Enter the registry ID number in row 515 of the table for production class 4.</t>
  </si>
  <si>
    <t>Enter the registry ID number in row 516 of the table for production class 4.</t>
  </si>
  <si>
    <t>Enter the registry ID number in row 517 of the table for production class 4.</t>
  </si>
  <si>
    <t>Enter the registry ID number in row 518 of the table for production class 4.</t>
  </si>
  <si>
    <t>Enter the registry ID number in row 519 of the table for production class 4.</t>
  </si>
  <si>
    <t>Enter the registry ID number in row 520 of the table for production class 4.</t>
  </si>
  <si>
    <t>Enter the registry ID number in row 521 of the table for production class 4.</t>
  </si>
  <si>
    <t>Enter the registry ID number in row 522 of the table for production class 4.</t>
  </si>
  <si>
    <t>Enter the registry ID number in row 523 of the table for production class 4.</t>
  </si>
  <si>
    <t>Enter the registry ID number in row 524 of the table for production class 4.</t>
  </si>
  <si>
    <t>Enter the registry ID number in row 525 of the table for production class 4.</t>
  </si>
  <si>
    <t>Enter the registry ID number in row 526 of the table for production class 4.</t>
  </si>
  <si>
    <t>Enter the registry ID number in row 527 of the table for production class 4.</t>
  </si>
  <si>
    <t>Enter the registry ID number in row 528 of the table for production class 4.</t>
  </si>
  <si>
    <t>Enter the registry ID number in row 529 of the table for production class 4.</t>
  </si>
  <si>
    <t>Enter the registry ID number in row 530 of the table for production class 4.</t>
  </si>
  <si>
    <t>Enter the registry ID number in row 531 of the table for production class 4.</t>
  </si>
  <si>
    <t>Enter the registry ID number in row 532 of the table for production class 4.</t>
  </si>
  <si>
    <t>Enter the registry ID number in row 533 of the table for production class 4.</t>
  </si>
  <si>
    <t>Enter the registry ID number in row 534 of the table for production class 4.</t>
  </si>
  <si>
    <t>Enter the registry ID number in row 535 of the table for production class 4.</t>
  </si>
  <si>
    <t>Enter the registry ID number in row 536 of the table for production class 4.</t>
  </si>
  <si>
    <t>Enter the registry ID number in row 537 of the table for production class 4.</t>
  </si>
  <si>
    <t>Enter the registry ID number in row 538 of the table for production class 4.</t>
  </si>
  <si>
    <t>Enter the registry ID number in row 539 of the table for production class 4.</t>
  </si>
  <si>
    <t>Enter the registry ID number in row 540 of the table for production class 4.</t>
  </si>
  <si>
    <t>Enter the registry ID number in row 541 of the table for production class 4.</t>
  </si>
  <si>
    <t>Enter the registry ID number in row 542 of the table for production class 4.</t>
  </si>
  <si>
    <t>Enter the registry ID number in row 543 of the table for production class 4.</t>
  </si>
  <si>
    <t>Enter the registry ID number in row 544 of the table for production class 4.</t>
  </si>
  <si>
    <t>Enter the registry ID number in row 545 of the table for production class 4.</t>
  </si>
  <si>
    <t>Enter the registry ID number in row 546 of the table for production class 4.</t>
  </si>
  <si>
    <t>Enter the registry ID number in row 547 of the table for production class 4.</t>
  </si>
  <si>
    <t>Enter the registry ID number in row 548 of the table for production class 4.</t>
  </si>
  <si>
    <t>Enter the registry ID number in row 549 of the table for production class 4.</t>
  </si>
  <si>
    <t>Enter the registry ID number in row 550 of the table for production class 4.</t>
  </si>
  <si>
    <t>Enter the registry ID number in row 551 of the table for production class 4.</t>
  </si>
  <si>
    <t>Enter the registry ID number in row 552 of the table for production class 4.</t>
  </si>
  <si>
    <t>Enter the registry ID number in row 553 of the table for production class 4.</t>
  </si>
  <si>
    <t>Enter the registry ID number in row 554 of the table for production class 4.</t>
  </si>
  <si>
    <t>Enter the registry ID number in row 555 of the table for production class 4.</t>
  </si>
  <si>
    <t>Enter the registry ID number in row 556 of the table for production class 4.</t>
  </si>
  <si>
    <t>Enter the registry ID number in row 557 of the table for production class 4.</t>
  </si>
  <si>
    <t>Enter the registry ID number in row 558 of the table for production class 4.</t>
  </si>
  <si>
    <t>Enter the registry ID number in row 559 of the table for production class 4.</t>
  </si>
  <si>
    <t>Enter the registry ID number in row 560 of the table for production class 4.</t>
  </si>
  <si>
    <t>Enter the registry ID number in row 561 of the table for production class 4.</t>
  </si>
  <si>
    <t>Enter the registry ID number in row 562 of the table for production class 4.</t>
  </si>
  <si>
    <t>Enter the registry ID number in row 563 of the table for production class 4.</t>
  </si>
  <si>
    <t>Enter the registry ID number in row 564 of the table for production class 4.</t>
  </si>
  <si>
    <t>Enter the registry ID number in row 565 of the table for production class 4.</t>
  </si>
  <si>
    <t>Enter the registry ID number in row 566 of the table for production class 4.</t>
  </si>
  <si>
    <t>Enter the registry ID number in row 567 of the table for production class 4.</t>
  </si>
  <si>
    <t>Enter the registry ID number in row 568 of the table for production class 4.</t>
  </si>
  <si>
    <t>Enter the registry ID number in row 569 of the table for production class 4.</t>
  </si>
  <si>
    <t>Enter the registry ID number in row 570 of the table for production class 4.</t>
  </si>
  <si>
    <t>Enter the registry ID number in row 571 of the table for production class 4.</t>
  </si>
  <si>
    <t>Enter the registry ID number in row 572 of the table for production class 4.</t>
  </si>
  <si>
    <t>Enter the registry ID number in row 573 of the table for production class 4.</t>
  </si>
  <si>
    <t>Enter the registry ID number in row 574 of the table for production class 4.</t>
  </si>
  <si>
    <t>Enter the registry ID number in row 575 of the table for production class 4.</t>
  </si>
  <si>
    <t>Enter the registry ID number in row 576 of the table for production class 4.</t>
  </si>
  <si>
    <t>Enter the registry ID number in row 577 of the table for production class 4.</t>
  </si>
  <si>
    <t>Enter the registry ID number in row 578 of the table for production class 4.</t>
  </si>
  <si>
    <t>Enter the registry ID number in row 579 of the table for production class 4.</t>
  </si>
  <si>
    <t>Enter the registry ID number in row 580 of the table for production class 4.</t>
  </si>
  <si>
    <t>Enter the registry ID number in row 581 of the table for production class 4.</t>
  </si>
  <si>
    <t>Enter the registry ID number in row 582 of the table for production class 4.</t>
  </si>
  <si>
    <t>Enter the registry ID number in row 583 of the table for production class 4.</t>
  </si>
  <si>
    <t>Enter the registry ID number in row 584 of the table for production class 4.</t>
  </si>
  <si>
    <t>Enter the registry ID number in row 585 of the table for production class 4.</t>
  </si>
  <si>
    <t>Enter the registry ID number in row 586 of the table for production class 4.</t>
  </si>
  <si>
    <t>Enter the registry ID number in row 587 of the table for production class 4.</t>
  </si>
  <si>
    <t>Enter the registry ID number in row 588 of the table for production class 4.</t>
  </si>
  <si>
    <t>Enter the registry ID number in row 589 of the table for production class 4.</t>
  </si>
  <si>
    <t>Enter the registry ID number in row 590 of the table for production class 4.</t>
  </si>
  <si>
    <t>Enter the registry ID number in row 591 of the table for production class 4.</t>
  </si>
  <si>
    <t>Enter the registry ID number in row 592 of the table for production class 4.</t>
  </si>
  <si>
    <t>Enter the registry ID number in row 593 of the table for production class 4.</t>
  </si>
  <si>
    <t>Enter the registry ID number in row 594 of the table for production class 4.</t>
  </si>
  <si>
    <t>Enter the registry ID number in row 595 of the table for production class 4.</t>
  </si>
  <si>
    <t>Enter the registry ID number in row 596 of the table for production class 4.</t>
  </si>
  <si>
    <t>Enter the registry ID number in row 597 of the table for production class 4.</t>
  </si>
  <si>
    <t>Enter the registry ID number in row 598 of the table for production class 4.</t>
  </si>
  <si>
    <t>Enter the registry ID number in row 599 of the table for production class 4.</t>
  </si>
  <si>
    <t>Enter the registry ID number in row 600 of the table for production class 4.</t>
  </si>
  <si>
    <t>Enter the registry ID number in row 601 of the table for production class 4.</t>
  </si>
  <si>
    <t>Enter the registry ID number in row 602 of the table for production class 4.</t>
  </si>
  <si>
    <t>Enter the registry ID number in row 603 of the table for production class 4.</t>
  </si>
  <si>
    <t>Enter the registry ID number in row 604 of the table for production class 4.</t>
  </si>
  <si>
    <t>Enter the registry ID number in row 605 of the table for production class 4.</t>
  </si>
  <si>
    <t>Enter the registry ID number in row 606 of the table for production class 4.</t>
  </si>
  <si>
    <t>Enter the registry ID number in row 607 of the table for production class 4.</t>
  </si>
  <si>
    <t>Enter the registry ID number in row 608 of the table for production class 4.</t>
  </si>
  <si>
    <t>Enter the registry ID number in row 609 of the table for production class 4.</t>
  </si>
  <si>
    <t>Enter the registry ID number in row 610 of the table for production class 4.</t>
  </si>
  <si>
    <t>Enter the registry ID number in row 611 of the table for production class 4.</t>
  </si>
  <si>
    <t>Enter the registry ID number in row 612 of the table for production class 4.</t>
  </si>
  <si>
    <t>Enter the registry ID number in row 613 of the table for production class 4.</t>
  </si>
  <si>
    <t>Enter the registry ID number in row 614 of the table for production class 4.</t>
  </si>
  <si>
    <t>Enter the registry ID number in row 615 of the table for production class 4.</t>
  </si>
  <si>
    <t>Enter the registry ID number in row 616 of the table for production class 4.</t>
  </si>
  <si>
    <t>Enter the registry ID number in row 617 of the table for production class 4.</t>
  </si>
  <si>
    <t>Enter the registry ID number in row 618 of the table for production class 4.</t>
  </si>
  <si>
    <t>Enter the registry ID number in row 619 of the table for production class 4.</t>
  </si>
  <si>
    <t>Enter the registry ID number in row 620 of the table for production class 4.</t>
  </si>
  <si>
    <t>Enter the registry ID number in row 621 of the table for production class 4.</t>
  </si>
  <si>
    <t>Enter the registry ID number in row 622 of the table for production class 4.</t>
  </si>
  <si>
    <t>Enter the registry ID number in row 623 of the table for production class 4.</t>
  </si>
  <si>
    <t>Enter the registry ID number in row 624 of the table for production class 4.</t>
  </si>
  <si>
    <t>Enter the registry ID number in row 625 of the table for production class 4.</t>
  </si>
  <si>
    <t>Enter the registry ID number in row 626 of the table for production class 4.</t>
  </si>
  <si>
    <t>Enter the registry ID number in row 627 of the table for production class 4.</t>
  </si>
  <si>
    <t>Enter the registry ID number in row 628 of the table for production class 4.</t>
  </si>
  <si>
    <t>Enter the registry ID number in row 629 of the table for production class 4.</t>
  </si>
  <si>
    <t>Enter the registry ID number in row 630 of the table for production class 4.</t>
  </si>
  <si>
    <t>Enter the registry ID number in row 631 of the table for production class 4.</t>
  </si>
  <si>
    <t>Enter the registry ID number in row 632 of the table for production class 4.</t>
  </si>
  <si>
    <t>Enter the registry ID number in row 633 of the table for production class 4.</t>
  </si>
  <si>
    <t>Enter the registry ID number in row 634 of the table for production class 4.</t>
  </si>
  <si>
    <t>Enter the registry ID number in row 635 of the table for production class 4.</t>
  </si>
  <si>
    <t>Enter the registry ID number in row 636 of the table for production class 4.</t>
  </si>
  <si>
    <t>Enter the registry ID number in row 637 of the table for production class 4.</t>
  </si>
  <si>
    <t>Enter the registry ID number in row 638 of the table for production class 4.</t>
  </si>
  <si>
    <t>Enter the registry ID number in row 639 of the table for production class 4.</t>
  </si>
  <si>
    <t>Enter the registry ID number in row 640 of the table for production class 4.</t>
  </si>
  <si>
    <t>Enter the registry ID number in row 641 of the table for production class 4.</t>
  </si>
  <si>
    <t>Enter the registry ID number in row 642 of the table for production class 4.</t>
  </si>
  <si>
    <t>Enter the registry ID number in row 643 of the table for production class 4.</t>
  </si>
  <si>
    <t>Enter the registry ID number in row 644 of the table for production class 4.</t>
  </si>
  <si>
    <t>Enter the registry ID number in row 645 of the table for production class 4.</t>
  </si>
  <si>
    <t>Enter the registry ID number in row 646 of the table for production class 4.</t>
  </si>
  <si>
    <t>Enter the registry ID number in row 647 of the table for production class 4.</t>
  </si>
  <si>
    <t>Enter the registry ID number in row 648 of the table for production class 4.</t>
  </si>
  <si>
    <t>Enter the registry ID number in row 649 of the table for production class 4.</t>
  </si>
  <si>
    <t>Enter the registry ID number in row 650 of the table for production class 4.</t>
  </si>
  <si>
    <t>Enter the registry ID number in row 651 of the table for production class 4.</t>
  </si>
  <si>
    <t>Enter the registry ID number in row 652 of the table for production class 4.</t>
  </si>
  <si>
    <t>Enter the registry ID number in row 653 of the table for production class 4.</t>
  </si>
  <si>
    <t>Enter the registry ID number in row 654 of the table for production class 4.</t>
  </si>
  <si>
    <t>Enter the registry ID number in row 655 of the table for production class 4.</t>
  </si>
  <si>
    <t>Enter the registry ID number in row 656 of the table for production class 4.</t>
  </si>
  <si>
    <t>Enter the registry ID number in row 657 of the table for production class 4.</t>
  </si>
  <si>
    <t>Enter the registry ID number in row 658 of the table for production class 4.</t>
  </si>
  <si>
    <t>Enter the registry ID number in row 659 of the table for production class 4.</t>
  </si>
  <si>
    <t>Enter the registry ID number in row 660 of the table for production class 4.</t>
  </si>
  <si>
    <t>Enter the registry ID number in row 661 of the table for production class 4.</t>
  </si>
  <si>
    <t>Enter the registry ID number in row 662 of the table for production class 4.</t>
  </si>
  <si>
    <t>Enter the registry ID number in row 663 of the table for production class 4.</t>
  </si>
  <si>
    <t>Enter the registry ID number in row 664 of the table for production class 4.</t>
  </si>
  <si>
    <t>Enter the registry ID number in row 665 of the table for production class 4.</t>
  </si>
  <si>
    <t>Enter the registry ID number in row 666 of the table for production class 4.</t>
  </si>
  <si>
    <t>Enter the registry ID number in row 667 of the table for production class 4.</t>
  </si>
  <si>
    <t>Enter the registry ID number in row 668 of the table for production class 4.</t>
  </si>
  <si>
    <t>Enter the registry ID number in row 669 of the table for production class 4.</t>
  </si>
  <si>
    <t>Enter the registry ID number in row 670 of the table for production class 4.</t>
  </si>
  <si>
    <t>Enter the registry ID number in row 671 of the table for production class 4.</t>
  </si>
  <si>
    <t>Enter the registry ID number in row 672 of the table for production class 4.</t>
  </si>
  <si>
    <t>Enter the registry ID number in row 673 of the table for production class 4.</t>
  </si>
  <si>
    <t>Enter the registry ID number in row 674 of the table for production class 4.</t>
  </si>
  <si>
    <t>Enter the registry ID number in row 675 of the table for production class 4.</t>
  </si>
  <si>
    <t>Enter the registry ID number in row 676 of the table for production class 4.</t>
  </si>
  <si>
    <t>Enter the registry ID number in row 677 of the table for production class 4.</t>
  </si>
  <si>
    <t>Enter the registry ID number in row 678 of the table for production class 4.</t>
  </si>
  <si>
    <t>Enter the registry ID number in row 679 of the table for production class 4.</t>
  </si>
  <si>
    <t>Enter the registry ID number in row 680 of the table for production class 4.</t>
  </si>
  <si>
    <t>Enter the registry ID number in row 681 of the table for production class 4.</t>
  </si>
  <si>
    <t>Enter the registry ID number in row 682 of the table for production class 4.</t>
  </si>
  <si>
    <t>Enter the registry ID number in row 683 of the table for production class 4.</t>
  </si>
  <si>
    <t>Enter the registry ID number in row 684 of the table for production class 4.</t>
  </si>
  <si>
    <t>Enter the registry ID number in row 685 of the table for production class 4.</t>
  </si>
  <si>
    <t>Enter the registry ID number in row 686 of the table for production class 4.</t>
  </si>
  <si>
    <t>Enter the registry ID number in row 687 of the table for production class 4.</t>
  </si>
  <si>
    <t>Enter the registry ID number in row 688 of the table for production class 4.</t>
  </si>
  <si>
    <t>Enter the registry ID number in row 689 of the table for production class 4.</t>
  </si>
  <si>
    <t>Enter the registry ID number in row 690 of the table for production class 4.</t>
  </si>
  <si>
    <t>Enter the registry ID number in row 691 of the table for production class 4.</t>
  </si>
  <si>
    <t>Enter the registry ID number in row 692 of the table for production class 4.</t>
  </si>
  <si>
    <t>Enter the registry ID number in row 693 of the table for production class 4.</t>
  </si>
  <si>
    <t>Enter the registry ID number in row 694 of the table for production class 4.</t>
  </si>
  <si>
    <t>Enter the registry ID number in row 695 of the table for production class 4.</t>
  </si>
  <si>
    <t>Enter the registry ID number in row 696 of the table for production class 4.</t>
  </si>
  <si>
    <t>Enter the registry ID number in row 697 of the table for production class 4.</t>
  </si>
  <si>
    <t>Enter the registry ID number in row 698 of the table for production class 4.</t>
  </si>
  <si>
    <t>Enter the registry ID number in row 699 of the table for production class 4.</t>
  </si>
  <si>
    <t>Enter the registry ID number in row 700 of the table for production class 4.</t>
  </si>
  <si>
    <t>Enter the registry ID number in row 701 of the table for production class 4.</t>
  </si>
  <si>
    <t>Enter the registry ID number in row 702 of the table for production class 4.</t>
  </si>
  <si>
    <t>Enter the registry ID number in row 703 of the table for production class 4.</t>
  </si>
  <si>
    <t>Enter the registry ID number in row 704 of the table for production class 4.</t>
  </si>
  <si>
    <t>Enter the registry ID number in row 705 of the table for production class 4.</t>
  </si>
  <si>
    <t>Enter the registry ID number in row 706 of the table for production class 4.</t>
  </si>
  <si>
    <t>Enter the registry ID number in row 707 of the table for production class 4.</t>
  </si>
  <si>
    <t>Enter the registry ID number in row 708 of the table for production class 4.</t>
  </si>
  <si>
    <t>Enter the registry ID number in row 709 of the table for production class 4.</t>
  </si>
  <si>
    <t>Enter the registry ID number in row 710 of the table for production class 4.</t>
  </si>
  <si>
    <t>Enter the registry ID number in row 711 of the table for production class 4.</t>
  </si>
  <si>
    <t>Enter the registry ID number in row 712 of the table for production class 4.</t>
  </si>
  <si>
    <t>Enter the registry ID number in row 713 of the table for production class 4.</t>
  </si>
  <si>
    <t>Enter the registry ID number in row 714 of the table for production class 4.</t>
  </si>
  <si>
    <t>Enter the registry ID number in row 715 of the table for production class 4.</t>
  </si>
  <si>
    <t>Enter the registry ID number in row 716 of the table for production class 4.</t>
  </si>
  <si>
    <t>Enter the registry ID number in row 717 of the table for production class 4.</t>
  </si>
  <si>
    <t>Enter the registry ID number in row 718 of the table for production class 4.</t>
  </si>
  <si>
    <t>Enter the registry ID number in row 719 of the table for production class 4.</t>
  </si>
  <si>
    <t>Enter the registry ID number in row 720 of the table for production class 4.</t>
  </si>
  <si>
    <t>Enter the registry ID number in row 721 of the table for production class 4.</t>
  </si>
  <si>
    <t>Enter the registry ID number in row 722 of the table for production class 4.</t>
  </si>
  <si>
    <t>Enter the registry ID number in row 723 of the table for production class 4.</t>
  </si>
  <si>
    <t>Enter the registry ID number in row 724 of the table for production class 4.</t>
  </si>
  <si>
    <t>Enter the registry ID number in row 725 of the table for production class 4.</t>
  </si>
  <si>
    <t>Enter the registry ID number in row 726 of the table for production class 4.</t>
  </si>
  <si>
    <t>Enter the registry ID number in row 727 of the table for production class 4.</t>
  </si>
  <si>
    <t>Enter the registry ID number in row 728 of the table for production class 4.</t>
  </si>
  <si>
    <t>Enter the registry ID number in row 729 of the table for production class 4.</t>
  </si>
  <si>
    <t>Enter the registry ID number in row 730 of the table for production class 4.</t>
  </si>
  <si>
    <t>Enter the registry ID number in row 731 of the table for production class 4.</t>
  </si>
  <si>
    <t>Enter the registry ID number in row 732 of the table for production class 4.</t>
  </si>
  <si>
    <t>Enter the registry ID number in row 733 of the table for production class 4.</t>
  </si>
  <si>
    <t>Enter the registry ID number in row 734 of the table for production class 4.</t>
  </si>
  <si>
    <t>Enter the registry ID number in row 735 of the table for production class 4.</t>
  </si>
  <si>
    <t>Enter the registry ID number in row 736 of the table for production class 4.</t>
  </si>
  <si>
    <t>Enter the registry ID number in row 737 of the table for production class 4.</t>
  </si>
  <si>
    <t>Enter the registry ID number in row 738 of the table for production class 4.</t>
  </si>
  <si>
    <t>Enter the registry ID number in row 739 of the table for production class 4.</t>
  </si>
  <si>
    <t>Enter the registry ID number in row 740 of the table for production class 4.</t>
  </si>
  <si>
    <t>Enter the registry ID number in row 741 of the table for production class 4.</t>
  </si>
  <si>
    <t>Enter the registry ID number in row 742 of the table for production class 4.</t>
  </si>
  <si>
    <t>Enter the registry ID number in row 743 of the table for production class 4.</t>
  </si>
  <si>
    <t>Enter the registry ID number in row 744 of the table for production class 4.</t>
  </si>
  <si>
    <t>Enter the registry ID number in row 745 of the table for production class 4.</t>
  </si>
  <si>
    <t>Enter the registry ID number in row 746 of the table for production class 4.</t>
  </si>
  <si>
    <t>Enter the registry ID number in row 747 of the table for production class 4.</t>
  </si>
  <si>
    <t>Enter the registry ID number in row 748 of the table for production class 4.</t>
  </si>
  <si>
    <t>Enter the registry ID number in row 749 of the table for production class 4.</t>
  </si>
  <si>
    <t>Enter the registry ID number in row 750 of the table for production class 4.</t>
  </si>
  <si>
    <t>Enter the registry ID number in row 751 of the table for production class 4.</t>
  </si>
  <si>
    <t>Enter the registry ID number in row 752 of the table for production class 4.</t>
  </si>
  <si>
    <t>Enter the registry ID number in row 753 of the table for production class 4.</t>
  </si>
  <si>
    <t>Enter the registry ID number in row 754 of the table for production class 4.</t>
  </si>
  <si>
    <t>Enter the registry ID number in row 755 of the table for production class 4.</t>
  </si>
  <si>
    <t>Enter the registry ID number in row 756 of the table for production class 4.</t>
  </si>
  <si>
    <t>Enter the registry ID number in row 757 of the table for production class 4.</t>
  </si>
  <si>
    <t>Enter the registry ID number in row 758 of the table for production class 4.</t>
  </si>
  <si>
    <t>Enter the registry ID number in row 759 of the table for production class 4.</t>
  </si>
  <si>
    <t>Enter the registry ID number in row 760 of the table for production class 4.</t>
  </si>
  <si>
    <t>Enter the registry ID number in row 761 of the table for production class 4.</t>
  </si>
  <si>
    <t>Enter the registry ID number in row 762 of the table for production class 4.</t>
  </si>
  <si>
    <t>Enter the registry ID number in row 763 of the table for production class 4.</t>
  </si>
  <si>
    <t>Enter the registry ID number in row 764 of the table for production class 4.</t>
  </si>
  <si>
    <t>Enter the registry ID number in row 765 of the table for production class 4.</t>
  </si>
  <si>
    <t>Enter the registry ID number in row 766 of the table for production class 4.</t>
  </si>
  <si>
    <t>Enter the registry ID number in row 767 of the table for production class 4.</t>
  </si>
  <si>
    <t>Enter the registry ID number in row 768 of the table for production class 4.</t>
  </si>
  <si>
    <t>Enter the registry ID number in row 769 of the table for production class 4.</t>
  </si>
  <si>
    <t>Enter the registry ID number in row 770 of the table for production class 4.</t>
  </si>
  <si>
    <t>Enter the registry ID number in row 771 of the table for production class 4.</t>
  </si>
  <si>
    <t>Enter the registry ID number in row 772 of the table for production class 4.</t>
  </si>
  <si>
    <t>Enter the registry ID number in row 773 of the table for production class 4.</t>
  </si>
  <si>
    <t>Enter the registry ID number in row 774 of the table for production class 4.</t>
  </si>
  <si>
    <t>Enter the registry ID number in row 775 of the table for production class 4.</t>
  </si>
  <si>
    <t>Enter the registry ID number in row 776 of the table for production class 4.</t>
  </si>
  <si>
    <t>Enter the registry ID number in row 777 of the table for production class 4.</t>
  </si>
  <si>
    <t>Enter the registry ID number in row 778 of the table for production class 4.</t>
  </si>
  <si>
    <t>Enter the registry ID number in row 779 of the table for production class 4.</t>
  </si>
  <si>
    <t>Enter the registry ID number in row 780 of the table for production class 4.</t>
  </si>
  <si>
    <t>Enter the registry ID number in row 781 of the table for production class 4.</t>
  </si>
  <si>
    <t>Enter the registry ID number in row 782 of the table for production class 4.</t>
  </si>
  <si>
    <t>Enter the registry ID number in row 783 of the table for production class 4.</t>
  </si>
  <si>
    <t>Enter the registry ID number in row 784 of the table for production class 4.</t>
  </si>
  <si>
    <t>Enter the registry ID number in row 785 of the table for production class 4.</t>
  </si>
  <si>
    <t>Enter the registry ID number in row 786 of the table for production class 4.</t>
  </si>
  <si>
    <t>Enter the registry ID number in row 787 of the table for production class 4.</t>
  </si>
  <si>
    <t>Enter the registry ID number in row 788 of the table for production class 4.</t>
  </si>
  <si>
    <t>Enter the registry ID number in row 789 of the table for production class 4.</t>
  </si>
  <si>
    <t>Enter the registry ID number in row 790 of the table for production class 4.</t>
  </si>
  <si>
    <t>Enter the registry ID number in row 791 of the table for production class 4.</t>
  </si>
  <si>
    <t>Enter the registry ID number in row 792 of the table for production class 4.</t>
  </si>
  <si>
    <t>Enter the registry ID number in row 793 of the table for production class 4.</t>
  </si>
  <si>
    <t>Enter the registry ID number in row 794 of the table for production class 4.</t>
  </si>
  <si>
    <t>Enter the registry ID number in row 795 of the table for production class 4.</t>
  </si>
  <si>
    <t>Enter the registry ID number in row 796 of the table for production class 4.</t>
  </si>
  <si>
    <t>Enter the registry ID number in row 797 of the table for production class 4.</t>
  </si>
  <si>
    <t>Enter the registry ID number in row 798 of the table for production class 4.</t>
  </si>
  <si>
    <t>Enter the registry ID number in row 799 of the table for production class 4.</t>
  </si>
  <si>
    <t>Enter the registry ID number in row 800 of the table for production class 4.</t>
  </si>
  <si>
    <t>Enter the registry ID number in row 801 of the table for production class 4.</t>
  </si>
  <si>
    <t>Enter the registry ID number in row 802 of the table for production class 4.</t>
  </si>
  <si>
    <t>Enter the registry ID number in row 803 of the table for production class 4.</t>
  </si>
  <si>
    <t>Enter the registry ID number in row 804 of the table for production class 4.</t>
  </si>
  <si>
    <t>Enter the registry ID number in row 805 of the table for production class 4.</t>
  </si>
  <si>
    <t>Enter the registry ID number in row 806 of the table for production class 4.</t>
  </si>
  <si>
    <t>Enter the registry ID number in row 807 of the table for production class 4.</t>
  </si>
  <si>
    <t>Enter the registry ID number in row 808 of the table for production class 4.</t>
  </si>
  <si>
    <t>Enter the registry ID number in row 809 of the table for production class 4.</t>
  </si>
  <si>
    <t>Enter the registry ID number in row 810 of the table for production class 4.</t>
  </si>
  <si>
    <t>Enter the registry ID number in row 811 of the table for production class 4.</t>
  </si>
  <si>
    <t>Enter the registry ID number in row 812 of the table for production class 4.</t>
  </si>
  <si>
    <t>Enter the registry ID number in row 813 of the table for production class 4.</t>
  </si>
  <si>
    <t>Enter the registry ID number in row 814 of the table for production class 4.</t>
  </si>
  <si>
    <t>Enter the registry ID number in row 815 of the table for production class 4.</t>
  </si>
  <si>
    <t>Enter the registry ID number in row 816 of the table for production class 4.</t>
  </si>
  <si>
    <t>Enter the registry ID number in row 817 of the table for production class 4.</t>
  </si>
  <si>
    <t>Enter the registry ID number in row 818 of the table for production class 4.</t>
  </si>
  <si>
    <t>Enter the registry ID number in row 819 of the table for production class 4.</t>
  </si>
  <si>
    <t>Enter the registry ID number in row 820 of the table for production class 4.</t>
  </si>
  <si>
    <t>Enter the registry ID number in row 821 of the table for production class 4.</t>
  </si>
  <si>
    <t>Enter the registry ID number in row 822 of the table for production class 4.</t>
  </si>
  <si>
    <t>Enter the registry ID number in row 823 of the table for production class 4.</t>
  </si>
  <si>
    <t>Enter the registry ID number in row 824 of the table for production class 4.</t>
  </si>
  <si>
    <t>Enter the registry ID number in row 825 of the table for production class 4.</t>
  </si>
  <si>
    <t>Enter the registry ID number in row 826 of the table for production class 4.</t>
  </si>
  <si>
    <t>Enter the registry ID number in row 827 of the table for production class 4.</t>
  </si>
  <si>
    <t>Enter the registry ID number in row 828 of the table for production class 4.</t>
  </si>
  <si>
    <t>Enter the registry ID number in row 829 of the table for production class 4.</t>
  </si>
  <si>
    <t>Enter the registry ID number in row 830 of the table for production class 4.</t>
  </si>
  <si>
    <t>Enter the registry ID number in row 831 of the table for production class 4.</t>
  </si>
  <si>
    <t>Enter the registry ID number in row 832 of the table for production class 4.</t>
  </si>
  <si>
    <t>Enter the registry ID number in row 833 of the table for production class 4.</t>
  </si>
  <si>
    <t>Enter the registry ID number in row 834 of the table for production class 4.</t>
  </si>
  <si>
    <t>Enter the registry ID number in row 835 of the table for production class 4.</t>
  </si>
  <si>
    <t>Enter the registry ID number in row 836 of the table for production class 4.</t>
  </si>
  <si>
    <t>Enter the registry ID number in row 837 of the table for production class 4.</t>
  </si>
  <si>
    <t>Enter the registry ID number in row 838 of the table for production class 4.</t>
  </si>
  <si>
    <t>Enter the registry ID number in row 839 of the table for production class 4.</t>
  </si>
  <si>
    <t>Enter the registry ID number in row 840 of the table for production class 4.</t>
  </si>
  <si>
    <t>Enter the registry ID number in row 841 of the table for production class 4.</t>
  </si>
  <si>
    <t>Enter the registry ID number in row 842 of the table for production class 4.</t>
  </si>
  <si>
    <t>Enter the registry ID number in row 843 of the table for production class 4.</t>
  </si>
  <si>
    <t>Enter the registry ID number in row 844 of the table for production class 4.</t>
  </si>
  <si>
    <t>Enter the registry ID number in row 845 of the table for production class 4.</t>
  </si>
  <si>
    <t>Enter the registry ID number in row 846 of the table for production class 4.</t>
  </si>
  <si>
    <t>Enter the registry ID number in row 847 of the table for production class 4.</t>
  </si>
  <si>
    <t>Enter the registry ID number in row 848 of the table for production class 4.</t>
  </si>
  <si>
    <t>Enter the registry ID number in row 849 of the table for production class 4.</t>
  </si>
  <si>
    <t>Enter the registry ID number in row 850 of the table for production class 4.</t>
  </si>
  <si>
    <t>Enter the registry ID number in row 851 of the table for production class 4.</t>
  </si>
  <si>
    <t>Enter the registry ID number in row 852 of the table for production class 4.</t>
  </si>
  <si>
    <t>Enter the registry ID number in row 853 of the table for production class 4.</t>
  </si>
  <si>
    <t>Enter the registry ID number in row 854 of the table for production class 4.</t>
  </si>
  <si>
    <t>Enter the registry ID number in row 855 of the table for production class 4.</t>
  </si>
  <si>
    <t>Enter the registry ID number in row 856 of the table for production class 4.</t>
  </si>
  <si>
    <t>Enter the registry ID number in row 857 of the table for production class 4.</t>
  </si>
  <si>
    <t>Enter the registry ID number in row 858 of the table for production class 4.</t>
  </si>
  <si>
    <t>Enter the registry ID number in row 859 of the table for production class 4.</t>
  </si>
  <si>
    <t>Enter the registry ID number in row 860 of the table for production class 4.</t>
  </si>
  <si>
    <t>Enter the registry ID number in row 861 of the table for production class 4.</t>
  </si>
  <si>
    <t>Enter the registry ID number in row 862 of the table for production class 4.</t>
  </si>
  <si>
    <t>Enter the registry ID number in row 863 of the table for production class 4.</t>
  </si>
  <si>
    <t>Enter the registry ID number in row 864 of the table for production class 4.</t>
  </si>
  <si>
    <t>Enter the registry ID number in row 865 of the table for production class 4.</t>
  </si>
  <si>
    <t>Enter the registry ID number in row 866 of the table for production class 4.</t>
  </si>
  <si>
    <t>Enter the registry ID number in row 867 of the table for production class 4.</t>
  </si>
  <si>
    <t>Enter the registry ID number in row 868 of the table for production class 4.</t>
  </si>
  <si>
    <t>Enter the registry ID number in row 869 of the table for production class 4.</t>
  </si>
  <si>
    <t>Enter the registry ID number in row 870 of the table for production class 4.</t>
  </si>
  <si>
    <t>Enter the registry ID number in row 871 of the table for production class 4.</t>
  </si>
  <si>
    <t>Enter the registry ID number in row 872 of the table for production class 4.</t>
  </si>
  <si>
    <t>Enter the registry ID number in row 873 of the table for production class 4.</t>
  </si>
  <si>
    <t>Enter the registry ID number in row 874 of the table for production class 4.</t>
  </si>
  <si>
    <t>Enter the registry ID number in row 875 of the table for production class 4.</t>
  </si>
  <si>
    <t>Enter the registry ID number in row 876 of the table for production class 4.</t>
  </si>
  <si>
    <t>Enter the registry ID number in row 877 of the table for production class 4.</t>
  </si>
  <si>
    <t>Enter the registry ID number in row 878 of the table for production class 4.</t>
  </si>
  <si>
    <t>Enter the registry ID number in row 879 of the table for production class 4.</t>
  </si>
  <si>
    <t>Enter the registry ID number in row 880 of the table for production class 4.</t>
  </si>
  <si>
    <t>Enter the registry ID number in row 881 of the table for production class 4.</t>
  </si>
  <si>
    <t>Enter the registry ID number in row 882 of the table for production class 4.</t>
  </si>
  <si>
    <t>Enter the registry ID number in row 883 of the table for production class 4.</t>
  </si>
  <si>
    <t>Enter the registry ID number in row 884 of the table for production class 4.</t>
  </si>
  <si>
    <t>Enter the registry ID number in row 885 of the table for production class 4.</t>
  </si>
  <si>
    <t>Enter the registry ID number in row 886 of the table for production class 4.</t>
  </si>
  <si>
    <t>Enter the registry ID number in row 887 of the table for production class 4.</t>
  </si>
  <si>
    <t>Enter the registry ID number in row 888 of the table for production class 4.</t>
  </si>
  <si>
    <t>Enter the registry ID number in row 889 of the table for production class 4.</t>
  </si>
  <si>
    <t>Enter the registry ID number in row 890 of the table for production class 4.</t>
  </si>
  <si>
    <t>Enter the registry ID number in row 891 of the table for production class 4.</t>
  </si>
  <si>
    <t>Enter the registry ID number in row 892 of the table for production class 4.</t>
  </si>
  <si>
    <t>Enter the registry ID number in row 893 of the table for production class 4.</t>
  </si>
  <si>
    <t>Enter the registry ID number in row 894 of the table for production class 4.</t>
  </si>
  <si>
    <t>Enter the registry ID number in row 895 of the table for production class 4.</t>
  </si>
  <si>
    <t>Enter the registry ID number in row 896 of the table for production class 4.</t>
  </si>
  <si>
    <t>Enter the registry ID number in row 897 of the table for production class 4.</t>
  </si>
  <si>
    <t>Enter the registry ID number in row 898 of the table for production class 4.</t>
  </si>
  <si>
    <t>Enter the registry ID number in row 899 of the table for production class 4.</t>
  </si>
  <si>
    <t>Enter the registry ID number in row 900 of the table for production class 4.</t>
  </si>
  <si>
    <t>Enter the registry ID number in row 901 of the table for production class 4.</t>
  </si>
  <si>
    <t>Enter the registry ID number in row 902 of the table for production class 4.</t>
  </si>
  <si>
    <t>Enter the registry ID number in row 903 of the table for production class 4.</t>
  </si>
  <si>
    <t>Enter the registry ID number in row 904 of the table for production class 4.</t>
  </si>
  <si>
    <t>Enter the registry ID number in row 905 of the table for production class 4.</t>
  </si>
  <si>
    <t>Enter the registry ID number in row 906 of the table for production class 4.</t>
  </si>
  <si>
    <t>Enter the registry ID number in row 907 of the table for production class 4.</t>
  </si>
  <si>
    <t>Enter the registry ID number in row 908 of the table for production class 4.</t>
  </si>
  <si>
    <t>Enter the registry ID number in row 909 of the table for production class 4.</t>
  </si>
  <si>
    <t>Enter the registry ID number in row 910 of the table for production class 4.</t>
  </si>
  <si>
    <t>Enter the registry ID number in row 911 of the table for production class 4.</t>
  </si>
  <si>
    <t>Enter the registry ID number in row 912 of the table for production class 4.</t>
  </si>
  <si>
    <t>Enter the registry ID number in row 913 of the table for production class 4.</t>
  </si>
  <si>
    <t>Enter the registry ID number in row 914 of the table for production class 4.</t>
  </si>
  <si>
    <t>Enter the registry ID number in row 915 of the table for production class 4.</t>
  </si>
  <si>
    <t>Enter the registry ID number in row 916 of the table for production class 4.</t>
  </si>
  <si>
    <t>Enter the registry ID number in row 917 of the table for production class 4.</t>
  </si>
  <si>
    <t>Enter the registry ID number in row 918 of the table for production class 4.</t>
  </si>
  <si>
    <t>Enter the registry ID number in row 919 of the table for production class 4.</t>
  </si>
  <si>
    <t>Enter the registry ID number in row 920 of the table for production class 4.</t>
  </si>
  <si>
    <t>Enter the registry ID number in row 921 of the table for production class 4.</t>
  </si>
  <si>
    <t>Enter the registry ID number in row 922 of the table for production class 4.</t>
  </si>
  <si>
    <t>Enter the registry ID number in row 923 of the table for production class 4.</t>
  </si>
  <si>
    <t>Enter the registry ID number in row 924 of the table for production class 4.</t>
  </si>
  <si>
    <t>Enter the registry ID number in row 925 of the table for production class 4.</t>
  </si>
  <si>
    <t>Enter the registry ID number in row 926 of the table for production class 4.</t>
  </si>
  <si>
    <t>Enter the registry ID number in row 927 of the table for production class 4.</t>
  </si>
  <si>
    <t>Enter the registry ID number in row 928 of the table for production class 4.</t>
  </si>
  <si>
    <t>Enter the registry ID number in row 929 of the table for production class 4.</t>
  </si>
  <si>
    <t>Enter the registry ID number in row 930 of the table for production class 4.</t>
  </si>
  <si>
    <t>Enter the registry ID number in row 931 of the table for production class 4.</t>
  </si>
  <si>
    <t>Enter the registry ID number in row 932 of the table for production class 4.</t>
  </si>
  <si>
    <t>Enter the registry ID number in row 933 of the table for production class 4.</t>
  </si>
  <si>
    <t>Enter the registry ID number in row 934 of the table for production class 4.</t>
  </si>
  <si>
    <t>Enter the registry ID number in row 935 of the table for production class 4.</t>
  </si>
  <si>
    <t>Enter the registry ID number in row 936 of the table for production class 4.</t>
  </si>
  <si>
    <t>Enter the registry ID number in row 937 of the table for production class 4.</t>
  </si>
  <si>
    <t>Enter the registry ID number in row 938 of the table for production class 4.</t>
  </si>
  <si>
    <t>Enter the registry ID number in row 939 of the table for production class 4.</t>
  </si>
  <si>
    <t>Enter the registry ID number in row 940 of the table for production class 4.</t>
  </si>
  <si>
    <t>Enter the registry ID number in row 941 of the table for production class 4.</t>
  </si>
  <si>
    <t>Enter the registry ID number in row 942 of the table for production class 4.</t>
  </si>
  <si>
    <t>Enter the registry ID number in row 943 of the table for production class 4.</t>
  </si>
  <si>
    <t>Enter the registry ID number in row 944 of the table for production class 4.</t>
  </si>
  <si>
    <t>Enter the registry ID number in row 945 of the table for production class 4.</t>
  </si>
  <si>
    <t>Enter the registry ID number in row 946 of the table for production class 4.</t>
  </si>
  <si>
    <t>Enter the registry ID number in row 947 of the table for production class 4.</t>
  </si>
  <si>
    <t>Enter the registry ID number in row 948 of the table for production class 4.</t>
  </si>
  <si>
    <t>Enter the registry ID number in row 949 of the table for production class 4.</t>
  </si>
  <si>
    <t>Enter the registry ID number in row 950 of the table for production class 4.</t>
  </si>
  <si>
    <t>Enter the registry ID number in row 951 of the table for production class 4.</t>
  </si>
  <si>
    <t>Enter the registry ID number in row 952 of the table for production class 4.</t>
  </si>
  <si>
    <t>Enter the registry ID number in row 953 of the table for production class 4.</t>
  </si>
  <si>
    <t>Enter the registry ID number in row 954 of the table for production class 4.</t>
  </si>
  <si>
    <t>Enter the registry ID number in row 955 of the table for production class 4.</t>
  </si>
  <si>
    <t>Enter the registry ID number in row 956 of the table for production class 4.</t>
  </si>
  <si>
    <t>Enter the registry ID number in row 957 of the table for production class 4.</t>
  </si>
  <si>
    <t>Enter the registry ID number in row 958 of the table for production class 4.</t>
  </si>
  <si>
    <t>Enter the registry ID number in row 959 of the table for production class 4.</t>
  </si>
  <si>
    <t>Enter the registry ID number in row 960 of the table for production class 4.</t>
  </si>
  <si>
    <t>Enter the registry ID number in row 961 of the table for production class 4.</t>
  </si>
  <si>
    <t>Enter the registry ID number in row 962 of the table for production class 4.</t>
  </si>
  <si>
    <t>Enter the registry ID number in row 963 of the table for production class 4.</t>
  </si>
  <si>
    <t>Enter the registry ID number in row 964 of the table for production class 4.</t>
  </si>
  <si>
    <t>Enter the registry ID number in row 965 of the table for production class 4.</t>
  </si>
  <si>
    <t>Enter the registry ID number in row 966 of the table for production class 4.</t>
  </si>
  <si>
    <t>Enter the registry ID number in row 967 of the table for production class 4.</t>
  </si>
  <si>
    <t>Enter the registry ID number in row 968 of the table for production class 4.</t>
  </si>
  <si>
    <t>Enter the registry ID number in row 969 of the table for production class 4.</t>
  </si>
  <si>
    <t>Enter the registry ID number in row 970 of the table for production class 4.</t>
  </si>
  <si>
    <t>Enter the registry ID number in row 971 of the table for production class 4.</t>
  </si>
  <si>
    <t>Enter the registry ID number in row 972 of the table for production class 4.</t>
  </si>
  <si>
    <t>Enter the registry ID number in row 973 of the table for production class 4.</t>
  </si>
  <si>
    <t>Enter the registry ID number in row 974 of the table for production class 4.</t>
  </si>
  <si>
    <t>Enter the registry ID number in row 975 of the table for production class 4.</t>
  </si>
  <si>
    <t>Enter the registry ID number in row 976 of the table for production class 4.</t>
  </si>
  <si>
    <t>Enter the registry ID number in row 977 of the table for production class 4.</t>
  </si>
  <si>
    <t>Enter the registry ID number in row 978 of the table for production class 4.</t>
  </si>
  <si>
    <t>Enter the registry ID number in row 979 of the table for production class 4.</t>
  </si>
  <si>
    <t>Enter the registry ID number in row 980 of the table for production class 4.</t>
  </si>
  <si>
    <t>Enter the registry ID number in row 981 of the table for production class 4.</t>
  </si>
  <si>
    <t>Enter the registry ID number in row 982 of the table for production class 4.</t>
  </si>
  <si>
    <t>Enter the registry ID number in row 983 of the table for production class 4.</t>
  </si>
  <si>
    <t>Enter the registry ID number in row 984 of the table for production class 4.</t>
  </si>
  <si>
    <t>Enter the registry ID number in row 985 of the table for production class 4.</t>
  </si>
  <si>
    <t>Enter the registry ID number in row 986 of the table for production class 4.</t>
  </si>
  <si>
    <t>Enter the registry ID number in row 987 of the table for production class 4.</t>
  </si>
  <si>
    <t>Enter the registry ID number in row 988 of the table for production class 4.</t>
  </si>
  <si>
    <t>Enter the registry ID number in row 989 of the table for production class 4.</t>
  </si>
  <si>
    <t>Enter the registry ID number in row 990 of the table for production class 4.</t>
  </si>
  <si>
    <t>Enter the registry ID number in row 991 of the table for production class 4.</t>
  </si>
  <si>
    <t>Enter the registry ID number in row 992 of the table for production class 4.</t>
  </si>
  <si>
    <t>Enter the registry ID number in row 993 of the table for production class 4.</t>
  </si>
  <si>
    <t>Enter the registry ID number in row 994 of the table for production class 4.</t>
  </si>
  <si>
    <t>Enter the registry ID number in row 995 of the table for production class 4.</t>
  </si>
  <si>
    <t>Enter the registry ID number in row 996 of the table for production class 4.</t>
  </si>
  <si>
    <t>Enter the registry ID number in row 997 of the table for production class 4.</t>
  </si>
  <si>
    <t>Enter the registry ID number in row 998 of the table for production class 4.</t>
  </si>
  <si>
    <t>Enter the registry ID number in row 999 of the table for production class 4.</t>
  </si>
  <si>
    <t>Enter the registry ID number in row 1000 of the table for production class 4.</t>
  </si>
  <si>
    <t>Enter the registry ID number in row 1001 of the table for production class 4.</t>
  </si>
  <si>
    <t>Enter the registry ID number in row 1002 of the table for production class 4.</t>
  </si>
  <si>
    <t>Enter the registry ID number in row 1003 of the table for production class 4.</t>
  </si>
  <si>
    <t>Enter the registry ID number in row 1004 of the table for production class 4.</t>
  </si>
  <si>
    <t>Enter the registry ID number in row 1005 of the table for production class 4.</t>
  </si>
  <si>
    <t>Enter the registry ID number in row 1006 of the table for production class 4.</t>
  </si>
  <si>
    <t>Enter the registry ID number in row 1007 of the table for production class 4.</t>
  </si>
  <si>
    <t>Enter the registry ID number in row 1008 of the table for production class 4.</t>
  </si>
  <si>
    <t>Enter the registry ID number in row 1009 of the table for production class 4.</t>
  </si>
  <si>
    <t>Enter the registry ID number in row 1010 of the table for production class 4.</t>
  </si>
  <si>
    <t>Enter the registry ID number in row 1011 of the table for production class 4.</t>
  </si>
  <si>
    <t>Enter the registry ID number in row 1012 of the table for production class 4.</t>
  </si>
  <si>
    <t>Enter the registry ID number in row 1013 of the table for production class 4.</t>
  </si>
  <si>
    <t>Enter the registry ID number in row 1014 of the table for production class 4.</t>
  </si>
  <si>
    <t>Enter the registry ID number in row 1015 of the table for production class 4.</t>
  </si>
  <si>
    <t>Enter the registry ID number in row 1016 of the table for production class 4.</t>
  </si>
  <si>
    <t>Enter the registry ID number in row 1017 of the table for production class 4.</t>
  </si>
  <si>
    <t>Enter the registry ID number in row 1018 of the table for production class 4.</t>
  </si>
  <si>
    <t>Enter the registry ID number in row 1019 of the table for production class 4.</t>
  </si>
  <si>
    <t>Enter the registry ID number in row 1020 of the table for production class 4.</t>
  </si>
  <si>
    <t>Enter the registry ID number in row 1021 of the table for production class 4.</t>
  </si>
  <si>
    <t>Enter the registry ID number in row 1022 of the table for production class 4.</t>
  </si>
  <si>
    <t>Enter the registry ID number in row 1023 of the table for production class 4.</t>
  </si>
  <si>
    <t>Enter the registry ID number in row 1024 of the table for production class 4.</t>
  </si>
  <si>
    <t>Enter the registry ID number in row 1025 of the table for production class 4.</t>
  </si>
  <si>
    <t>Enter the registry ID number in row 1026 of the table for production class 4.</t>
  </si>
  <si>
    <t>Enter the registry ID number in row 1027 of the table for production class 4.</t>
  </si>
  <si>
    <t>Enter the registry ID number in row 1028 of the table for production class 4.</t>
  </si>
  <si>
    <t>Enter the registry ID number in row 1029 of the table for production class 4.</t>
  </si>
  <si>
    <t>Enter the registry ID number in row 1030 of the table for production class 4.</t>
  </si>
  <si>
    <t>Enter the registry ID number in row 1031 of the table for production class 4.</t>
  </si>
  <si>
    <t>Enter the registry ID number in row 1032 of the table for production class 4.</t>
  </si>
  <si>
    <t>Enter the registry ID number in row 1033 of the table for production class 4.</t>
  </si>
  <si>
    <t>Enter the registry ID number in row 1034 of the table for production class 4.</t>
  </si>
  <si>
    <t>Enter the registry ID number in row 1035 of the table for production class 4.</t>
  </si>
  <si>
    <t>Enter the registry ID number in row 1036 of the table for production class 4.</t>
  </si>
  <si>
    <t>Enter the registry ID number in row 1037 of the table for production class 4.</t>
  </si>
  <si>
    <t>Enter the registry ID number in row 1038 of the table for production class 4.</t>
  </si>
  <si>
    <t>Enter the registry ID number in row 1039 of the table for production class 4.</t>
  </si>
  <si>
    <t>Enter the registry ID number in row 1040 of the table for production class 4.</t>
  </si>
  <si>
    <t>Enter the registry ID number in row 1041 of the table for production class 4.</t>
  </si>
  <si>
    <t>Enter the registry ID number in row 1042 of the table for production class 4.</t>
  </si>
  <si>
    <t>Enter the registry ID number in row 1043 of the table for production class 4.</t>
  </si>
  <si>
    <t>Enter the registry ID number in row 1044 of the table for production class 4.</t>
  </si>
  <si>
    <t>Enter the registry ID number in row 1045 of the table for production class 4.</t>
  </si>
  <si>
    <t>Enter the registry ID number in row 1046 of the table for production class 4.</t>
  </si>
  <si>
    <t>Enter the registry ID number in row 1047 of the table for production class 4.</t>
  </si>
  <si>
    <t>Enter the registry ID number in row 1048 of the table for production class 4.</t>
  </si>
  <si>
    <t>Enter the registry ID number in row 1049 of the table for production class 4.</t>
  </si>
  <si>
    <t>Enter the registry ID number in row 1050 of the table for production class 4.</t>
  </si>
  <si>
    <t>Enter the registry ID number in row 1051 of the table for production class 4.</t>
  </si>
  <si>
    <t>Enter the registry ID number in row 1052 of the table for production class 4.</t>
  </si>
  <si>
    <t>Enter the registry ID number in row 1053 of the table for production class 4.</t>
  </si>
  <si>
    <t>Enter the registry ID number in row 1054 of the table for production class 4.</t>
  </si>
  <si>
    <t>Enter the registry ID number in row 1055 of the table for production class 4.</t>
  </si>
  <si>
    <t>Enter the registry ID number in row 1056 of the table for production class 4.</t>
  </si>
  <si>
    <t>Enter the registry ID number in row 1057 of the table for production class 4.</t>
  </si>
  <si>
    <t>Enter the registry ID number in row 1058 of the table for production class 4.</t>
  </si>
  <si>
    <t>Enter the registry ID number in row 1059 of the table for production class 4.</t>
  </si>
  <si>
    <t>Enter the registry ID number in row 1060 of the table for production class 4.</t>
  </si>
  <si>
    <t>Enter the registry ID number in row 1061 of the table for production class 4.</t>
  </si>
  <si>
    <t>Enter the registry ID number in row 1062 of the table for production class 4.</t>
  </si>
  <si>
    <t>Enter the registry ID number in row 1063 of the table for production class 4.</t>
  </si>
  <si>
    <t>Enter the registry ID number in row 1064 of the table for production class 4.</t>
  </si>
  <si>
    <t>Enter the registry ID number in row 1065 of the table for production class 4.</t>
  </si>
  <si>
    <t>Enter the registry ID number in row 1066 of the table for production class 4.</t>
  </si>
  <si>
    <t>Enter the registry ID number in row 1067 of the table for production class 4.</t>
  </si>
  <si>
    <t>Enter the registry ID number in row 1068 of the table for production class 4.</t>
  </si>
  <si>
    <t>Enter the registry ID number in row 1069 of the table for production class 4.</t>
  </si>
  <si>
    <t>Enter the registry ID number in row 1070 of the table for production class 4.</t>
  </si>
  <si>
    <t>Enter the registry ID number in row 1071 of the table for production class 4.</t>
  </si>
  <si>
    <t>Enter the registry ID number in row 1072 of the table for production class 4.</t>
  </si>
  <si>
    <t>Enter the registry ID number in row 1073 of the table for production class 4.</t>
  </si>
  <si>
    <t>Enter the registry ID number in row 1074 of the table for production class 4.</t>
  </si>
  <si>
    <t>Enter the registry ID number in row 1075 of the table for production class 4.</t>
  </si>
  <si>
    <t>Enter the registry ID number in row 1076 of the table for production class 4.</t>
  </si>
  <si>
    <t>Enter the registry ID number in row 1077 of the table for production class 4.</t>
  </si>
  <si>
    <t>Enter the registry ID number in row 1078 of the table for production class 4.</t>
  </si>
  <si>
    <t>Enter the registry ID number in row 1079 of the table for production class 4.</t>
  </si>
  <si>
    <t>Enter the registry ID number in row 1080 of the table for production class 4.</t>
  </si>
  <si>
    <t>Enter the registry ID number in row 1081 of the table for production class 4.</t>
  </si>
  <si>
    <t>Enter the registry ID number in row 1082 of the table for production class 4.</t>
  </si>
  <si>
    <t>Enter the registry ID number in row 1083 of the table for production class 4.</t>
  </si>
  <si>
    <t>Enter the registry ID number in row 1084 of the table for production class 4.</t>
  </si>
  <si>
    <t>Enter the registry ID number in row 1085 of the table for production class 4.</t>
  </si>
  <si>
    <t>Enter the registry ID number in row 1086 of the table for production class 4.</t>
  </si>
  <si>
    <t>Enter the registry ID number in row 1087 of the table for production class 4.</t>
  </si>
  <si>
    <t>Enter the registry ID number in row 1088 of the table for production class 4.</t>
  </si>
  <si>
    <t>Enter the registry ID number in row 1089 of the table for production class 4.</t>
  </si>
  <si>
    <t>Enter the registry ID number in row 1090 of the table for production class 4.</t>
  </si>
  <si>
    <t>Enter the registry ID number in row 1091 of the table for production class 4.</t>
  </si>
  <si>
    <t>Enter the registry ID number in row 1092 of the table for production class 4.</t>
  </si>
  <si>
    <t>Enter the registry ID number in row 1093 of the table for production class 4.</t>
  </si>
  <si>
    <t>Enter the registry ID number in row 1094 of the table for production class 4.</t>
  </si>
  <si>
    <t>Enter the registry ID number in row 1095 of the table for production class 4.</t>
  </si>
  <si>
    <t>Enter the registry ID number in row 1096 of the table for production class 4.</t>
  </si>
  <si>
    <t>Enter the registry ID number in row 1097 of the table for production class 4.</t>
  </si>
  <si>
    <t>Enter the registry ID number in row 1098 of the table for production class 4.</t>
  </si>
  <si>
    <t>Enter the registry ID number in row 1099 of the table for production class 4.</t>
  </si>
  <si>
    <t>Enter the registry ID number in row 1100 of the table for production class 4.</t>
  </si>
  <si>
    <t>Enter the registry ID number in row 1101 of the table for production class 4.</t>
  </si>
  <si>
    <t>Enter the registry ID number in row 1102 of the table for production class 4.</t>
  </si>
  <si>
    <t>Enter the registry ID number in row 1103 of the table for production class 4.</t>
  </si>
  <si>
    <t>Enter the registry ID number in row 1104 of the table for production class 4.</t>
  </si>
  <si>
    <t>Enter the registry ID number in row 1105 of the table for production class 4.</t>
  </si>
  <si>
    <t>Enter the registry ID number in row 1106 of the table for production class 4.</t>
  </si>
  <si>
    <t>Enter the registry ID number in row 1107 of the table for production class 4.</t>
  </si>
  <si>
    <t>Enter the registry ID number in row 1108 of the table for production class 4.</t>
  </si>
  <si>
    <t>Enter the registry ID number in row 1109 of the table for production class 4.</t>
  </si>
  <si>
    <t>Enter the registry ID number in row 1110 of the table for production class 4.</t>
  </si>
  <si>
    <t>Enter the registry ID number in row 1111 of the table for production class 4.</t>
  </si>
  <si>
    <t>Enter the registry ID number in row 1112 of the table for production class 4.</t>
  </si>
  <si>
    <t>Enter the registry ID number in row 1113 of the table for production class 4.</t>
  </si>
  <si>
    <t>Enter the registry ID number in row 1114 of the table for production class 4.</t>
  </si>
  <si>
    <t>Enter the registry ID number in row 1115 of the table for production class 4.</t>
  </si>
  <si>
    <t>Enter the registry ID number in row 1116 of the table for production class 4.</t>
  </si>
  <si>
    <t>Enter the registry ID number in row 1117 of the table for production class 4.</t>
  </si>
  <si>
    <t>Enter the registry ID number in row 1118 of the table for production class 4.</t>
  </si>
  <si>
    <t>Enter the registry ID number in row 1119 of the table for production class 4.</t>
  </si>
  <si>
    <t>Enter the registry ID number in row 1120 of the table for production class 4.</t>
  </si>
  <si>
    <t>Enter the registry ID number in row 1121 of the table for production class 4.</t>
  </si>
  <si>
    <t>Enter the registry ID number in row 1122 of the table for production class 4.</t>
  </si>
  <si>
    <t>Enter the registry ID number in row 1123 of the table for production class 4.</t>
  </si>
  <si>
    <t>Enter the registry ID number in row 1124 of the table for production class 4.</t>
  </si>
  <si>
    <t>Enter the registry ID number in row 1125 of the table for production class 4.</t>
  </si>
  <si>
    <t>Enter the registry ID number in row 1126 of the table for production class 4.</t>
  </si>
  <si>
    <t>Enter the registry ID number in row 1127 of the table for production class 4.</t>
  </si>
  <si>
    <t>Enter the registry ID number in row 1128 of the table for production class 4.</t>
  </si>
  <si>
    <t>Enter the registry ID number in row 1129 of the table for production class 4.</t>
  </si>
  <si>
    <t>Enter the registry ID number in row 1130 of the table for production class 4.</t>
  </si>
  <si>
    <t>Enter the registry ID number in row 1131 of the table for production class 4.</t>
  </si>
  <si>
    <t>Enter the registry ID number in row 1132 of the table for production class 4.</t>
  </si>
  <si>
    <t>Enter the registry ID number in row 1133 of the table for production class 4.</t>
  </si>
  <si>
    <t>Enter the registry ID number in row 1134 of the table for production class 4.</t>
  </si>
  <si>
    <t>Enter the registry ID number in row 1135 of the table for production class 4.</t>
  </si>
  <si>
    <t>Enter the registry ID number in row 1136 of the table for production class 4.</t>
  </si>
  <si>
    <t>Enter the registry ID number in row 1137 of the table for production class 4.</t>
  </si>
  <si>
    <t>Enter the registry ID number in row 1138 of the table for production class 4.</t>
  </si>
  <si>
    <t>Enter the registry ID number in row 1139 of the table for production class 4.</t>
  </si>
  <si>
    <t>Enter the registry ID number in row 1140 of the table for production class 4.</t>
  </si>
  <si>
    <t>Enter the registry ID number in row 1141 of the table for production class 4.</t>
  </si>
  <si>
    <t>Enter the registry ID number in row 1142 of the table for production class 4.</t>
  </si>
  <si>
    <t>Enter the registry ID number in row 1143 of the table for production class 4.</t>
  </si>
  <si>
    <t>Enter the registry ID number in row 1144 of the table for production class 4.</t>
  </si>
  <si>
    <t>Enter the registry ID number in row 1145 of the table for production class 4.</t>
  </si>
  <si>
    <t>Enter the registry ID number in row 1146 of the table for production class 4.</t>
  </si>
  <si>
    <t>Enter the registry ID number in row 1147 of the table for production class 4.</t>
  </si>
  <si>
    <t>Enter the registry ID number in row 1148 of the table for production class 4.</t>
  </si>
  <si>
    <t>Enter the registry ID number in row 1149 of the table for production class 4.</t>
  </si>
  <si>
    <t>Enter the registry ID number in row 1150 of the table for production class 4.</t>
  </si>
  <si>
    <t>Enter the registry ID number in row 1151 of the table for production class 4.</t>
  </si>
  <si>
    <t>Enter the registry ID number in row 1152 of the table for production class 4.</t>
  </si>
  <si>
    <t>Enter the registry ID number in row 1153 of the table for production class 4.</t>
  </si>
  <si>
    <t>Enter the registry ID number in row 1154 of the table for production class 4.</t>
  </si>
  <si>
    <t>Enter the registry ID number in row 1155 of the table for production class 4.</t>
  </si>
  <si>
    <t>Enter the registry ID number in row 1156 of the table for production class 4.</t>
  </si>
  <si>
    <t>Enter the registry ID number in row 1157 of the table for production class 4.</t>
  </si>
  <si>
    <t>Enter the registry ID number in row 1158 of the table for production class 4.</t>
  </si>
  <si>
    <t>Enter the registry ID number in row 1159 of the table for production class 4.</t>
  </si>
  <si>
    <t>Enter the registry ID number in row 1160 of the table for production class 4.</t>
  </si>
  <si>
    <t>Enter the registry ID number in row 1161 of the table for production class 4.</t>
  </si>
  <si>
    <t>Enter the registry ID number in row 1162 of the table for production class 4.</t>
  </si>
  <si>
    <t>Enter the registry ID number in row 1163 of the table for production class 4.</t>
  </si>
  <si>
    <t>Enter the registry ID number in row 1164 of the table for production class 4.</t>
  </si>
  <si>
    <t>Enter the registry ID number in row 1165 of the table for production class 4.</t>
  </si>
  <si>
    <t>Enter the registry ID number in row 1166 of the table for production class 4.</t>
  </si>
  <si>
    <t>Enter the registry ID number in row 1167 of the table for production class 4.</t>
  </si>
  <si>
    <t>Enter the registry ID number in row 1168 of the table for production class 4.</t>
  </si>
  <si>
    <t>Enter the registry ID number in row 1169 of the table for production class 4.</t>
  </si>
  <si>
    <t>Enter the registry ID number in row 1170 of the table for production class 4.</t>
  </si>
  <si>
    <t>Enter the registry ID number in row 1171 of the table for production class 4.</t>
  </si>
  <si>
    <t>Enter the registry ID number in row 1172 of the table for production class 4.</t>
  </si>
  <si>
    <t>Enter the registry ID number in row 1173 of the table for production class 4.</t>
  </si>
  <si>
    <t>Enter the registry ID number in row 1174 of the table for production class 4.</t>
  </si>
  <si>
    <t>Enter the registry ID number in row 1175 of the table for production class 4.</t>
  </si>
  <si>
    <t>Enter the registry ID number in row 1176 of the table for production class 4.</t>
  </si>
  <si>
    <t>Enter the registry ID number in row 1177 of the table for production class 4.</t>
  </si>
  <si>
    <t>Enter the registry ID number in row 1178 of the table for production class 4.</t>
  </si>
  <si>
    <t>Enter the registry ID number in row 1179 of the table for production class 4.</t>
  </si>
  <si>
    <t>Enter the registry ID number in row 1180 of the table for production class 4.</t>
  </si>
  <si>
    <t>Enter the registry ID number in row 1181 of the table for production class 4.</t>
  </si>
  <si>
    <t>Enter the registry ID number in row 1182 of the table for production class 4.</t>
  </si>
  <si>
    <t>Enter the registry ID number in row 1183 of the table for production class 4.</t>
  </si>
  <si>
    <t>Enter the registry ID number in row 1184 of the table for production class 4.</t>
  </si>
  <si>
    <t>Enter the registry ID number in row 1185 of the table for production class 4.</t>
  </si>
  <si>
    <t>Enter the registry ID number in row 1186 of the table for production class 4.</t>
  </si>
  <si>
    <t>Enter the registry ID number in row 1187 of the table for production class 4.</t>
  </si>
  <si>
    <t>Enter the registry ID number in row 1188 of the table for production class 4.</t>
  </si>
  <si>
    <t>Enter the registry ID number in row 1189 of the table for production class 4.</t>
  </si>
  <si>
    <t>Enter the registry ID number in row 1190 of the table for production class 4.</t>
  </si>
  <si>
    <t>Enter the registry ID number in row 1191 of the table for production class 4.</t>
  </si>
  <si>
    <t>Enter the registry ID number in row 1192 of the table for production class 4.</t>
  </si>
  <si>
    <t>Enter the registry ID number in row 1193 of the table for production class 4.</t>
  </si>
  <si>
    <t>Enter the registry ID number in row 1194 of the table for production class 4.</t>
  </si>
  <si>
    <t>Enter the registry ID number in row 1195 of the table for production class 4.</t>
  </si>
  <si>
    <t>Enter the registry ID number in row 1196 of the table for production class 4.</t>
  </si>
  <si>
    <t>Enter the registry ID number in row 1197 of the table for production class 4.</t>
  </si>
  <si>
    <t>Enter the registry ID number in row 1198 of the table for production class 4.</t>
  </si>
  <si>
    <t>Enter the registry ID number in row 1199 of the table for production class 4.</t>
  </si>
  <si>
    <t>Enter the registry ID number in row 1200 of the table for production class 4.</t>
  </si>
  <si>
    <t>Enter the registry ID number in row 1201 of the table for production class 4.</t>
  </si>
  <si>
    <t>Enter the registry ID number in row 1202 of the table for production class 4.</t>
  </si>
  <si>
    <t>Enter the registry ID number in row 1203 of the table for production class 4.</t>
  </si>
  <si>
    <t>Enter the registry ID number in row 1204 of the table for production class 4.</t>
  </si>
  <si>
    <t>Enter the registry ID number in row 1205 of the table for production class 4.</t>
  </si>
  <si>
    <t>Enter the registry ID number in row 1206 of the table for production class 4.</t>
  </si>
  <si>
    <t>Enter the registry ID number in row 1207 of the table for production class 4.</t>
  </si>
  <si>
    <t>Enter the registry ID number in row 1208 of the table for production class 4.</t>
  </si>
  <si>
    <t>Enter the registry ID number in row 1209 of the table for production class 4.</t>
  </si>
  <si>
    <t>Enter the registry ID number in row 1210 of the table for production class 4.</t>
  </si>
  <si>
    <t>Enter the registry ID number in row 1211 of the table for production class 4.</t>
  </si>
  <si>
    <t>Enter the registry ID number in row 1212 of the table for production class 4.</t>
  </si>
  <si>
    <t>Enter the registry ID number in row 1213 of the table for production class 4.</t>
  </si>
  <si>
    <t>Enter the registry ID number in row 1214 of the table for production class 4.</t>
  </si>
  <si>
    <t>Enter the registry ID number in row 1215 of the table for production class 4.</t>
  </si>
  <si>
    <t>Enter the registry ID number in row 1216 of the table for production class 4.</t>
  </si>
  <si>
    <t>Enter the registry ID number in row 1217 of the table for production class 4.</t>
  </si>
  <si>
    <t>Enter the registry ID number in row 1218 of the table for production class 4.</t>
  </si>
  <si>
    <t>Enter the registry ID number in row 1219 of the table for production class 4.</t>
  </si>
  <si>
    <t>Enter the registry ID number in row 1220 of the table for production class 4.</t>
  </si>
  <si>
    <t>Enter the registry ID number in row 1221 of the table for production class 4.</t>
  </si>
  <si>
    <t>Enter the registry ID number in row 1222 of the table for production class 4.</t>
  </si>
  <si>
    <t>Enter the registry ID number in row 1223 of the table for production class 4.</t>
  </si>
  <si>
    <t>Enter the registry ID number in row 1224 of the table for production class 4.</t>
  </si>
  <si>
    <t>Enter the registry ID number in row 1225 of the table for production class 4.</t>
  </si>
  <si>
    <t>Enter the registry ID number in row 1226 of the table for production class 4.</t>
  </si>
  <si>
    <t>Enter the registry ID number in row 1227 of the table for production class 4.</t>
  </si>
  <si>
    <t>Enter the registry ID number in row 1228 of the table for production class 4.</t>
  </si>
  <si>
    <t>Enter the registry ID number in row 1229 of the table for production class 4.</t>
  </si>
  <si>
    <t>Enter the registry ID number in row 1230 of the table for production class 4.</t>
  </si>
  <si>
    <t>Enter the registry ID number in row 1231 of the table for production class 4.</t>
  </si>
  <si>
    <t>Enter the registry ID number in row 1232 of the table for production class 4.</t>
  </si>
  <si>
    <t>Enter the registry ID number in row 1233 of the table for production class 4.</t>
  </si>
  <si>
    <t>Enter the registry ID number in row 1234 of the table for production class 4.</t>
  </si>
  <si>
    <t>Enter the registry ID number in row 1235 of the table for production class 4.</t>
  </si>
  <si>
    <t>Enter the registry ID number in row 1236 of the table for production class 4.</t>
  </si>
  <si>
    <t>Enter the registry ID number in row 1237 of the table for production class 4.</t>
  </si>
  <si>
    <t>Enter the registry ID number in row 1238 of the table for production class 4.</t>
  </si>
  <si>
    <t>Enter the registry ID number in row 1239 of the table for production class 4.</t>
  </si>
  <si>
    <t>Enter the registry ID number in row 1240 of the table for production class 4.</t>
  </si>
  <si>
    <t>Enter the registry ID number in row 1241 of the table for production class 4.</t>
  </si>
  <si>
    <t>Enter the registry ID number in row 1242 of the table for production class 4.</t>
  </si>
  <si>
    <t>Enter the registry ID number in row 1243 of the table for production class 4.</t>
  </si>
  <si>
    <t>Enter the registry ID number in row 1244 of the table for production class 4.</t>
  </si>
  <si>
    <t>Enter the registry ID number in row 1245 of the table for production class 4.</t>
  </si>
  <si>
    <t>Enter the registry ID number in row 1246 of the table for production class 4.</t>
  </si>
  <si>
    <t>Enter the registry ID number in row 1247 of the table for production class 4.</t>
  </si>
  <si>
    <t>Enter the registry ID number in row 1248 of the table for production class 4.</t>
  </si>
  <si>
    <t>Enter the registry ID number in row 1249 of the table for production class 4.</t>
  </si>
  <si>
    <t>Enter the registry ID number in row 1250 of the table for production class 4.</t>
  </si>
  <si>
    <t>Enter the registry ID number in row 1251 of the table for production class 4.</t>
  </si>
  <si>
    <t>Enter the registry ID number in row 1252 of the table for production class 4.</t>
  </si>
  <si>
    <t>Enter the registry ID number in row 1253 of the table for production class 4.</t>
  </si>
  <si>
    <t>Enter the registry ID number in row 1254 of the table for production class 4.</t>
  </si>
  <si>
    <t>Enter the registry ID number in row 1255 of the table for production class 4.</t>
  </si>
  <si>
    <t>Enter the registry ID number in row 1256 of the table for production class 4.</t>
  </si>
  <si>
    <t>Enter the registry ID number in row 1257 of the table for production class 4.</t>
  </si>
  <si>
    <t>Enter the registry ID number in row 1258 of the table for production class 4.</t>
  </si>
  <si>
    <t>Enter the registry ID number in row 1259 of the table for production class 4.</t>
  </si>
  <si>
    <t>Enter the registry ID number in row 1260 of the table for production class 4.</t>
  </si>
  <si>
    <t>Enter the registry ID number in row 1261 of the table for production class 4.</t>
  </si>
  <si>
    <t>Enter the registry ID number in row 1262 of the table for production class 4.</t>
  </si>
  <si>
    <t>Enter the registry ID number in row 1263 of the table for production class 4.</t>
  </si>
  <si>
    <t>Enter the registry ID number in row 1264 of the table for production class 4.</t>
  </si>
  <si>
    <t>Enter the registry ID number in row 1265 of the table for production class 4.</t>
  </si>
  <si>
    <t>Enter the registry ID number in row 1266 of the table for production class 4.</t>
  </si>
  <si>
    <t>Enter the registry ID number in row 1267 of the table for production class 4.</t>
  </si>
  <si>
    <t>Enter the registry ID number in row 1268 of the table for production class 4.</t>
  </si>
  <si>
    <t>Enter the registry ID number in row 1269 of the table for production class 4.</t>
  </si>
  <si>
    <t>Enter the registry ID number in row 1270 of the table for production class 4.</t>
  </si>
  <si>
    <t>Enter the registry ID number in row 1271 of the table for production class 4.</t>
  </si>
  <si>
    <t>Enter the registry ID number in row 1272 of the table for production class 4.</t>
  </si>
  <si>
    <t>Enter the registry ID number in row 1273 of the table for production class 4.</t>
  </si>
  <si>
    <t>Enter the registry ID number in row 1274 of the table for production class 4.</t>
  </si>
  <si>
    <t>Enter the registry ID number in row 1275 of the table for production class 4.</t>
  </si>
  <si>
    <t>Enter the registry ID number in row 1276 of the table for production class 4.</t>
  </si>
  <si>
    <t>Enter the registry ID number in row 1277 of the table for production class 4.</t>
  </si>
  <si>
    <t>Enter the registry ID number in row 1278 of the table for production class 4.</t>
  </si>
  <si>
    <t>Enter the registry ID number in row 1279 of the table for production class 4.</t>
  </si>
  <si>
    <t>Enter the registry ID number in row 1280 of the table for production class 4.</t>
  </si>
  <si>
    <t>Enter the registry ID number in row 1281 of the table for production class 4.</t>
  </si>
  <si>
    <t>Enter the registry ID number in row 1282 of the table for production class 4.</t>
  </si>
  <si>
    <t>Enter the registry ID number in row 1283 of the table for production class 4.</t>
  </si>
  <si>
    <t>Enter the registry ID number in row 1284 of the table for production class 4.</t>
  </si>
  <si>
    <t>Enter the registry ID number in row 1285 of the table for production class 4.</t>
  </si>
  <si>
    <t>Enter the registry ID number in row 1286 of the table for production class 4.</t>
  </si>
  <si>
    <t>Enter the registry ID number in row 1287 of the table for production class 4.</t>
  </si>
  <si>
    <t>Enter the registry ID number in row 1288 of the table for production class 4.</t>
  </si>
  <si>
    <t>Enter the registry ID number in row 1289 of the table for production class 4.</t>
  </si>
  <si>
    <t>Enter the registry ID number in row 1290 of the table for production class 4.</t>
  </si>
  <si>
    <t>Enter the registry ID number in row 1291 of the table for production class 4.</t>
  </si>
  <si>
    <t>Enter the registry ID number in row 1292 of the table for production class 4.</t>
  </si>
  <si>
    <t>Enter the registry ID number in row 1293 of the table for production class 4.</t>
  </si>
  <si>
    <t>Enter the registry ID number in row 1294 of the table for production class 4.</t>
  </si>
  <si>
    <t>Enter the registry ID number in row 1295 of the table for production class 4.</t>
  </si>
  <si>
    <t>Enter the registry ID number in row 1296 of the table for production class 4.</t>
  </si>
  <si>
    <t>Enter the registry ID number in row 1297 of the table for production class 4.</t>
  </si>
  <si>
    <t>Enter the registry ID number in row 1298 of the table for production class 4.</t>
  </si>
  <si>
    <t>Enter the registry ID number in row 1299 of the table for production class 4.</t>
  </si>
  <si>
    <t>Enter the registry ID number in row 1300 of the table for production class 4.</t>
  </si>
  <si>
    <t>Enter the registry ID number in row 1301 of the table for production class 4.</t>
  </si>
  <si>
    <t>Enter the registry ID number in row 1302 of the table for production class 4.</t>
  </si>
  <si>
    <t>Enter the registry ID number in row 1303 of the table for production class 4.</t>
  </si>
  <si>
    <t>Enter the registry ID number in row 1304 of the table for production class 4.</t>
  </si>
  <si>
    <t>Enter the registry ID number in row 1305 of the table for production class 4.</t>
  </si>
  <si>
    <t>Enter the registry ID number in row 1306 of the table for production class 4.</t>
  </si>
  <si>
    <t>Enter the registry ID number in row 1307 of the table for production class 4.</t>
  </si>
  <si>
    <t>Enter the registry ID number in row 1308 of the table for production class 4.</t>
  </si>
  <si>
    <t>Enter the registry ID number in row 1309 of the table for production class 4.</t>
  </si>
  <si>
    <t>Enter the registry ID number in row 1310 of the table for production class 4.</t>
  </si>
  <si>
    <t>Enter the registry ID number in row 1311 of the table for production class 4.</t>
  </si>
  <si>
    <t>Enter the registry ID number in row 1312 of the table for production class 4.</t>
  </si>
  <si>
    <t>Enter the registry ID number in row 1313 of the table for production class 4.</t>
  </si>
  <si>
    <t>Enter the registry ID number in row 1314 of the table for production class 4.</t>
  </si>
  <si>
    <t>Enter the registry ID number in row 1315 of the table for production class 4.</t>
  </si>
  <si>
    <t>Enter the registry ID number in row 1316 of the table for production class 4.</t>
  </si>
  <si>
    <t>Enter the registry ID number in row 1317 of the table for production class 4.</t>
  </si>
  <si>
    <t>Enter the registry ID number in row 1318 of the table for production class 4.</t>
  </si>
  <si>
    <t>Enter the registry ID number in row 1319 of the table for production class 4.</t>
  </si>
  <si>
    <t>Enter the registry ID number in row 1320 of the table for production class 4.</t>
  </si>
  <si>
    <t>Enter the registry ID number in row 1321 of the table for production class 4.</t>
  </si>
  <si>
    <t>Enter the registry ID number in row 1322 of the table for production class 4.</t>
  </si>
  <si>
    <t>Enter the registry ID number in row 1323 of the table for production class 4.</t>
  </si>
  <si>
    <t>Enter the registry ID number in row 1324 of the table for production class 4.</t>
  </si>
  <si>
    <t>Enter the registry ID number in row 1325 of the table for production class 4.</t>
  </si>
  <si>
    <t>Enter the registry ID number in row 1326 of the table for production class 4.</t>
  </si>
  <si>
    <t>Enter the registry ID number in row 1327 of the table for production class 4.</t>
  </si>
  <si>
    <t>Enter the registry ID number in row 1328 of the table for production class 4.</t>
  </si>
  <si>
    <t>Enter the registry ID number in row 1329 of the table for production class 4.</t>
  </si>
  <si>
    <t>Enter the registry ID number in row 1330 of the table for production class 4.</t>
  </si>
  <si>
    <t>Enter the registry ID number in row 1331 of the table for production class 4.</t>
  </si>
  <si>
    <t>Enter the registry ID number in row 1332 of the table for production class 4.</t>
  </si>
  <si>
    <t>Enter the registry ID number in row 1333 of the table for production class 4.</t>
  </si>
  <si>
    <t>Enter the registry ID number in row 1334 of the table for production class 4.</t>
  </si>
  <si>
    <t>Enter the registry ID number in row 1335 of the table for production class 4.</t>
  </si>
  <si>
    <t>Enter the registry ID number in row 1336 of the table for production class 4.</t>
  </si>
  <si>
    <t>Enter the registry ID number in row 1337 of the table for production class 4.</t>
  </si>
  <si>
    <t>Enter the registry ID number in row 1338 of the table for production class 4.</t>
  </si>
  <si>
    <t>Enter the registry ID number in row 1339 of the table for production class 4.</t>
  </si>
  <si>
    <t>Enter the registry ID number in row 1340 of the table for production class 4.</t>
  </si>
  <si>
    <t>Enter the registry ID number in row 1341 of the table for production class 4.</t>
  </si>
  <si>
    <t>Enter the registry ID number in row 1342 of the table for production class 4.</t>
  </si>
  <si>
    <t>Enter the registry ID number in row 1343 of the table for production class 4.</t>
  </si>
  <si>
    <t>Enter the registry ID number in row 1344 of the table for production class 4.</t>
  </si>
  <si>
    <t>Enter the registry ID number in row 1345 of the table for production class 4.</t>
  </si>
  <si>
    <t>Enter the registry ID number in row 1346 of the table for production class 4.</t>
  </si>
  <si>
    <t>Enter the registry ID number in row 1347 of the table for production class 4.</t>
  </si>
  <si>
    <t>Enter the registry ID number in row 1348 of the table for production class 4.</t>
  </si>
  <si>
    <t>Enter the registry ID number in row 1349 of the table for production class 4.</t>
  </si>
  <si>
    <t>Enter the registry ID number in row 1350 of the table for production class 4.</t>
  </si>
  <si>
    <t>Enter the registry ID number in row 1351 of the table for production class 4.</t>
  </si>
  <si>
    <t>Enter the registry ID number in row 1352 of the table for production class 4.</t>
  </si>
  <si>
    <t>Enter the registry ID number in row 1353 of the table for production class 4.</t>
  </si>
  <si>
    <t>Enter the registry ID number in row 1354 of the table for production class 4.</t>
  </si>
  <si>
    <t>Enter the registry ID number in row 1355 of the table for production class 4.</t>
  </si>
  <si>
    <t>Enter the registry ID number in row 1356 of the table for production class 4.</t>
  </si>
  <si>
    <t>Enter the registry ID number in row 1357 of the table for production class 4.</t>
  </si>
  <si>
    <t>Enter the registry ID number in row 1358 of the table for production class 4.</t>
  </si>
  <si>
    <t>Enter the registry ID number in row 1359 of the table for production class 4.</t>
  </si>
  <si>
    <t>Enter the registry ID number in row 1360 of the table for production class 4.</t>
  </si>
  <si>
    <t>Enter the registry ID number in row 1361 of the table for production class 4.</t>
  </si>
  <si>
    <t>Enter the registry ID number in row 1362 of the table for production class 4.</t>
  </si>
  <si>
    <t>Enter the registry ID number in row 1363 of the table for production class 4.</t>
  </si>
  <si>
    <t>Enter the registry ID number in row 1364 of the table for production class 4.</t>
  </si>
  <si>
    <t>Enter the registry ID number in row 1365 of the table for production class 4.</t>
  </si>
  <si>
    <t>Enter the registry ID number in row 1366 of the table for production class 4.</t>
  </si>
  <si>
    <t>Enter the registry ID number in row 1367 of the table for production class 4.</t>
  </si>
  <si>
    <t>Enter the registry ID number in row 1368 of the table for production class 4.</t>
  </si>
  <si>
    <t>Enter the registry ID number in row 1369 of the table for production class 4.</t>
  </si>
  <si>
    <t>Enter the registry ID number in row 1370 of the table for production class 4.</t>
  </si>
  <si>
    <t>Enter the registry ID number in row 1371 of the table for production class 4.</t>
  </si>
  <si>
    <t>Enter the registry ID number in row 1372 of the table for production class 4.</t>
  </si>
  <si>
    <t>Enter the registry ID number in row 1373 of the table for production class 4.</t>
  </si>
  <si>
    <t>Enter the registry ID number in row 1374 of the table for production class 4.</t>
  </si>
  <si>
    <t>Enter the registry ID number in row 1375 of the table for production class 4.</t>
  </si>
  <si>
    <t>Enter the registry ID number in row 1376 of the table for production class 4.</t>
  </si>
  <si>
    <t>Enter the registry ID number in row 1377 of the table for production class 4.</t>
  </si>
  <si>
    <t>Enter the registry ID number in row 1378 of the table for production class 4.</t>
  </si>
  <si>
    <t>Enter the registry ID number in row 1379 of the table for production class 4.</t>
  </si>
  <si>
    <t>Enter the registry ID number in row 1380 of the table for production class 4.</t>
  </si>
  <si>
    <t>Enter the registry ID number in row 1381 of the table for production class 4.</t>
  </si>
  <si>
    <t>Enter the registry ID number in row 1382 of the table for production class 4.</t>
  </si>
  <si>
    <t>Enter the registry ID number in row 1383 of the table for production class 4.</t>
  </si>
  <si>
    <t>Enter the registry ID number in row 1384 of the table for production class 4.</t>
  </si>
  <si>
    <t>Enter the registry ID number in row 1385 of the table for production class 4.</t>
  </si>
  <si>
    <t>Enter the registry ID number in row 1386 of the table for production class 4.</t>
  </si>
  <si>
    <t>Enter the registry ID number in row 1387 of the table for production class 4.</t>
  </si>
  <si>
    <t>Enter the registry ID number in row 1388 of the table for production class 4.</t>
  </si>
  <si>
    <t>Enter the registry ID number in row 1389 of the table for production class 4.</t>
  </si>
  <si>
    <t>Enter the registry ID number in row 1390 of the table for production class 4.</t>
  </si>
  <si>
    <t>Enter the registry ID number in row 1391 of the table for production class 4.</t>
  </si>
  <si>
    <t>Enter the registry ID number in row 1392 of the table for production class 4.</t>
  </si>
  <si>
    <t>Enter the registry ID number in row 1393 of the table for production class 4.</t>
  </si>
  <si>
    <t>Enter the registry ID number in row 1394 of the table for production class 4.</t>
  </si>
  <si>
    <t>Enter the registry ID number in row 1395 of the table for production class 4.</t>
  </si>
  <si>
    <t>Enter the registry ID number in row 1396 of the table for production class 4.</t>
  </si>
  <si>
    <t>Enter the registry ID number in row 1397 of the table for production class 4.</t>
  </si>
  <si>
    <t>Enter the registry ID number in row 1398 of the table for production class 4.</t>
  </si>
  <si>
    <t>Enter the registry ID number in row 1399 of the table for production class 4.</t>
  </si>
  <si>
    <t>Enter the registry ID number in row 1400 of the table for production class 4.</t>
  </si>
  <si>
    <t>Enter the registry ID number in row 1401 of the table for production class 4.</t>
  </si>
  <si>
    <t>Enter the registry ID number in row 1402 of the table for production class 4.</t>
  </si>
  <si>
    <t>Enter the registry ID number in row 1403 of the table for production class 4.</t>
  </si>
  <si>
    <t>Enter the registry ID number in row 1404 of the table for production class 4.</t>
  </si>
  <si>
    <t>Enter the registry ID number in row 1405 of the table for production class 4.</t>
  </si>
  <si>
    <t>Enter the registry ID number in row 1406 of the table for production class 4.</t>
  </si>
  <si>
    <t>Enter the registry ID number in row 1407 of the table for production class 4.</t>
  </si>
  <si>
    <t>Enter the registry ID number in row 1408 of the table for production class 4.</t>
  </si>
  <si>
    <t>Enter the registry ID number in row 1409 of the table for production class 4.</t>
  </si>
  <si>
    <t>Enter the registry ID number in row 1410 of the table for production class 4.</t>
  </si>
  <si>
    <t>Enter the registry ID number in row 1411 of the table for production class 4.</t>
  </si>
  <si>
    <t>Enter the registry ID number in row 1412 of the table for production class 4.</t>
  </si>
  <si>
    <t>Enter the registry ID number in row 1413 of the table for production class 4.</t>
  </si>
  <si>
    <t>Enter the registry ID number in row 1414 of the table for production class 4.</t>
  </si>
  <si>
    <t>Enter the registry ID number in row 1415 of the table for production class 4.</t>
  </si>
  <si>
    <t>Enter the registry ID number in row 1416 of the table for production class 4.</t>
  </si>
  <si>
    <t>Enter the registry ID number in row 1417 of the table for production class 4.</t>
  </si>
  <si>
    <t>Enter the registry ID number in row 1418 of the table for production class 4.</t>
  </si>
  <si>
    <t>Enter the registry ID number in row 1419 of the table for production class 4.</t>
  </si>
  <si>
    <t>Enter the registry ID number in row 1420 of the table for production class 4.</t>
  </si>
  <si>
    <t>Enter the registry ID number in row 1421 of the table for production class 4.</t>
  </si>
  <si>
    <t>Enter the registry ID number in row 1422 of the table for production class 4.</t>
  </si>
  <si>
    <t>Enter the registry ID number in row 1423 of the table for production class 4.</t>
  </si>
  <si>
    <t>Enter the registry ID number in row 1424 of the table for production class 4.</t>
  </si>
  <si>
    <t>Enter the registry ID number in row 1425 of the table for production class 4.</t>
  </si>
  <si>
    <t>Enter the registry ID number in row 1426 of the table for production class 4.</t>
  </si>
  <si>
    <t>Enter the registry ID number in row 1427 of the table for production class 4.</t>
  </si>
  <si>
    <t>Enter the registry ID number in row 1428 of the table for production class 4.</t>
  </si>
  <si>
    <t>Enter the registry ID number in row 1429 of the table for production class 4.</t>
  </si>
  <si>
    <t>Enter the registry ID number in row 1430 of the table for production class 4.</t>
  </si>
  <si>
    <t>Enter the registry ID number in row 1431 of the table for production class 4.</t>
  </si>
  <si>
    <t>Enter the registry ID number in row 1432 of the table for production class 4.</t>
  </si>
  <si>
    <t>Enter the registry ID number in row 1433 of the table for production class 4.</t>
  </si>
  <si>
    <t>Enter the registry ID number in row 1434 of the table for production class 4.</t>
  </si>
  <si>
    <t>Enter the registry ID number in row 1435 of the table for production class 4.</t>
  </si>
  <si>
    <t>Enter the registry ID number in row 1436 of the table for production class 4.</t>
  </si>
  <si>
    <t>Enter the registry ID number in row 1437 of the table for production class 4.</t>
  </si>
  <si>
    <t>Enter the registry ID number in row 1438 of the table for production class 4.</t>
  </si>
  <si>
    <t>Enter the registry ID number in row 1439 of the table for production class 4.</t>
  </si>
  <si>
    <t>Enter the registry ID number in row 1440 of the table for production class 4.</t>
  </si>
  <si>
    <t>Enter the registry ID number in row 1441 of the table for production class 4.</t>
  </si>
  <si>
    <t>Enter the registry ID number in row 1442 of the table for production class 4.</t>
  </si>
  <si>
    <t>Enter the registry ID number in row 1443 of the table for production class 4.</t>
  </si>
  <si>
    <t>Enter the registry ID number in row 1444 of the table for production class 4.</t>
  </si>
  <si>
    <t>Enter the registry ID number in row 1445 of the table for production class 4.</t>
  </si>
  <si>
    <t>Enter the registry ID number in row 1446 of the table for production class 4.</t>
  </si>
  <si>
    <t>Enter the registry ID number in row 1447 of the table for production class 4.</t>
  </si>
  <si>
    <t>Enter the registry ID number in row 1448 of the table for production class 4.</t>
  </si>
  <si>
    <t>Enter the registry ID number in row 1449 of the table for production class 4.</t>
  </si>
  <si>
    <t>Enter the registry ID number in row 1450 of the table for production class 4.</t>
  </si>
  <si>
    <t>Enter the registry ID number in row 1451 of the table for production class 4.</t>
  </si>
  <si>
    <t>Enter the registry ID number in row 1452 of the table for production class 4.</t>
  </si>
  <si>
    <t>Enter the registry ID number in row 1453 of the table for production class 4.</t>
  </si>
  <si>
    <t>Enter the registry ID number in row 1454 of the table for production class 4.</t>
  </si>
  <si>
    <t>Enter the registry ID number in row 1455 of the table for production class 4.</t>
  </si>
  <si>
    <t>Enter the registry ID number in row 1456 of the table for production class 4.</t>
  </si>
  <si>
    <t>Enter the registry ID number in row 1457 of the table for production class 4.</t>
  </si>
  <si>
    <t>Enter the registry ID number in row 1458 of the table for production class 4.</t>
  </si>
  <si>
    <t>Enter the registry ID number in row 1459 of the table for production class 4.</t>
  </si>
  <si>
    <t>Enter the registry ID number in row 1460 of the table for production class 4.</t>
  </si>
  <si>
    <t>Enter the registry ID number in row 1461 of the table for production class 4.</t>
  </si>
  <si>
    <t>Enter the registry ID number in row 1462 of the table for production class 4.</t>
  </si>
  <si>
    <t>Enter the registry ID number in row 1463 of the table for production class 4.</t>
  </si>
  <si>
    <t>Enter the registry ID number in row 1464 of the table for production class 4.</t>
  </si>
  <si>
    <t>Enter the registry ID number in row 1465 of the table for production class 4.</t>
  </si>
  <si>
    <t>Enter the registry ID number in row 1466 of the table for production class 4.</t>
  </si>
  <si>
    <t>Enter the registry ID number in row 1467 of the table for production class 4.</t>
  </si>
  <si>
    <t>Enter the registry ID number in row 1468 of the table for production class 4.</t>
  </si>
  <si>
    <t>Enter the registry ID number in row 1469 of the table for production class 4.</t>
  </si>
  <si>
    <t>Enter the registry ID number in row 1470 of the table for production class 4.</t>
  </si>
  <si>
    <t>Enter the registry ID number in row 1471 of the table for production class 4.</t>
  </si>
  <si>
    <t>Enter the registry ID number in row 1472 of the table for production class 4.</t>
  </si>
  <si>
    <t>Enter the registry ID number in row 1473 of the table for production class 4.</t>
  </si>
  <si>
    <t>Enter the registry ID number in row 1474 of the table for production class 4.</t>
  </si>
  <si>
    <t>Enter the registry ID number in row 1475 of the table for production class 4.</t>
  </si>
  <si>
    <t>Enter the registry ID number in row 1476 of the table for production class 4.</t>
  </si>
  <si>
    <t>Enter the registry ID number in row 1477 of the table for production class 4.</t>
  </si>
  <si>
    <t>Enter the registry ID number in row 1478 of the table for production class 4.</t>
  </si>
  <si>
    <t>Enter the registry ID number in row 1479 of the table for production class 4.</t>
  </si>
  <si>
    <t>Enter the registry ID number in row 1480 of the table for production class 4.</t>
  </si>
  <si>
    <t>Enter the registry ID number in row 1481 of the table for production class 4.</t>
  </si>
  <si>
    <t>Enter the registry ID number in row 1482 of the table for production class 4.</t>
  </si>
  <si>
    <t>Enter the registry ID number in row 1483 of the table for production class 4.</t>
  </si>
  <si>
    <t>Enter the registry ID number in row 1484 of the table for production class 4.</t>
  </si>
  <si>
    <t>Enter the registry ID number in row 1485 of the table for production class 4.</t>
  </si>
  <si>
    <t>Enter the registry ID number in row 1486 of the table for production class 4.</t>
  </si>
  <si>
    <t>Enter the registry ID number in row 1487 of the table for production class 4.</t>
  </si>
  <si>
    <t>Enter the registry ID number in row 1488 of the table for production class 4.</t>
  </si>
  <si>
    <t>Enter the registry ID number in row 1489 of the table for production class 4.</t>
  </si>
  <si>
    <t>Enter the registry ID number in row 1490 of the table for production class 4.</t>
  </si>
  <si>
    <t>Enter the registry ID number in row 1491 of the table for production class 4.</t>
  </si>
  <si>
    <t>Enter the registry ID number in row 1492 of the table for production class 4.</t>
  </si>
  <si>
    <t>Enter the registry ID number in row 1493 of the table for production class 4.</t>
  </si>
  <si>
    <t>Enter the registry ID number in row 1494 of the table for production class 4.</t>
  </si>
  <si>
    <t>Enter the registry ID number in row 1495 of the table for production class 4.</t>
  </si>
  <si>
    <t>Enter the registry ID number in row 1496 of the table for production class 4.</t>
  </si>
  <si>
    <t>Enter the registry ID number in row 1497 of the table for production class 4.</t>
  </si>
  <si>
    <t>Enter the registry ID number in row 1498 of the table for production class 4.</t>
  </si>
  <si>
    <t>Enter the registry ID number in row 1499 of the table for production class 4.</t>
  </si>
  <si>
    <t>Enter the registry ID number in row 1500 of the table for production class 4.</t>
  </si>
  <si>
    <t>Enter the registry ID number in row 1501 of the table for production class 4.</t>
  </si>
  <si>
    <t>Enter the registry ID number in row 1502 of the table for production class 4.</t>
  </si>
  <si>
    <t>Enter the registry ID number in row 1503 of the table for production class 4.</t>
  </si>
  <si>
    <t>Enter the registry ID number in row 1504 of the table for production class 4.</t>
  </si>
  <si>
    <t>Enter the registry ID number in row 1505 of the table for production class 4.</t>
  </si>
  <si>
    <t>Enter the registry ID number in row 1506 of the table for production class 4.</t>
  </si>
  <si>
    <t>Enter the registry ID number in row 1507 of the table for production class 4.</t>
  </si>
  <si>
    <t>Enter the registry ID number in row 1508 of the table for production class 4.</t>
  </si>
  <si>
    <t>Enter the registry ID number in row 1509 of the table for production class 4.</t>
  </si>
  <si>
    <t>Enter the registry ID number in row 1510 of the table for production class 4.</t>
  </si>
  <si>
    <t>Enter the registry ID number in row 1511 of the table for production class 4.</t>
  </si>
  <si>
    <t>Enter the registry ID number in row 1512 of the table for production class 4.</t>
  </si>
  <si>
    <t>Enter the registry ID number in row 1513 of the table for production class 4.</t>
  </si>
  <si>
    <t>Enter the registry ID number in row 1514 of the table for production class 4.</t>
  </si>
  <si>
    <t>Enter the registry ID number in row 1515 of the table for production class 4.</t>
  </si>
  <si>
    <t>Enter the registry ID number in row 1516 of the table for production class 4.</t>
  </si>
  <si>
    <t>Enter the registry ID number in row 1517 of the table for production class 4.</t>
  </si>
  <si>
    <t>Enter the registry ID number in row 1518 of the table for production class 4.</t>
  </si>
  <si>
    <t>Enter the registry ID number in row 1519 of the table for production class 4.</t>
  </si>
  <si>
    <t>Enter the registry ID number in row 1520 of the table for production class 4.</t>
  </si>
  <si>
    <t>Enter the registry ID number in row 1521 of the table for production class 4.</t>
  </si>
  <si>
    <t>Enter the registry ID number in row 1522 of the table for production class 4.</t>
  </si>
  <si>
    <t>Enter the registry ID number in row 1523 of the table for production class 4.</t>
  </si>
  <si>
    <t>Enter the registry ID number in row 1524 of the table for production class 4.</t>
  </si>
  <si>
    <t>Enter the registry ID number in row 1525 of the table for production class 4.</t>
  </si>
  <si>
    <t>Enter the registry ID number in row 1526 of the table for production class 4.</t>
  </si>
  <si>
    <t>Enter the registry ID number in row 1527 of the table for production class 4.</t>
  </si>
  <si>
    <t>Enter the registry ID number in row 1528 of the table for production class 4.</t>
  </si>
  <si>
    <t>Enter the registry ID number in row 1529 of the table for production class 4.</t>
  </si>
  <si>
    <t>Enter the registry ID number in row 1530 of the table for production class 4.</t>
  </si>
  <si>
    <t>Enter the registry ID number in row 1531 of the table for production class 4.</t>
  </si>
  <si>
    <t>Enter the registry ID number in row 1532 of the table for production class 4.</t>
  </si>
  <si>
    <t>Enter the registry ID number in row 1533 of the table for production class 4.</t>
  </si>
  <si>
    <t>Enter the registry ID number in row 1534 of the table for production class 4.</t>
  </si>
  <si>
    <t>Enter the registry ID number in row 1535 of the table for production class 4.</t>
  </si>
  <si>
    <t>Enter the registry ID number in row 1536 of the table for production class 4.</t>
  </si>
  <si>
    <t>Enter the registry ID number in row 1537 of the table for production class 4.</t>
  </si>
  <si>
    <t>Enter the registry ID number in row 1538 of the table for production class 4.</t>
  </si>
  <si>
    <t>Enter the registry ID number in row 1539 of the table for production class 4.</t>
  </si>
  <si>
    <t>Enter the registry ID number in row 1540 of the table for production class 4.</t>
  </si>
  <si>
    <t>Enter the registry ID number in row 1541 of the table for production class 4.</t>
  </si>
  <si>
    <t>Enter the registry ID number in row 1542 of the table for production class 4.</t>
  </si>
  <si>
    <t>Enter the registry ID number in row 1543 of the table for production class 4.</t>
  </si>
  <si>
    <t>Enter the registry ID number in row 1544 of the table for production class 4.</t>
  </si>
  <si>
    <t>Enter the registry ID number in row 1545 of the table for production class 4.</t>
  </si>
  <si>
    <t>Enter the registry ID number in row 1546 of the table for production class 4.</t>
  </si>
  <si>
    <t>Enter the registry ID number in row 1547 of the table for production class 4.</t>
  </si>
  <si>
    <t>Enter the registry ID number in row 1548 of the table for production class 4.</t>
  </si>
  <si>
    <t>Enter the registry ID number in row 1549 of the table for production class 4.</t>
  </si>
  <si>
    <t>Enter the registry ID number in row 1550 of the table for production class 4.</t>
  </si>
  <si>
    <t>Enter the registry ID number in row 1551 of the table for production class 4.</t>
  </si>
  <si>
    <t>Enter the registry ID number in row 1552 of the table for production class 4.</t>
  </si>
  <si>
    <t>Enter the registry ID number in row 1553 of the table for production class 4.</t>
  </si>
  <si>
    <t>Enter the registry ID number in row 1554 of the table for production class 4.</t>
  </si>
  <si>
    <t>Enter the registry ID number in row 1555 of the table for production class 4.</t>
  </si>
  <si>
    <t>Enter the registry ID number in row 1556 of the table for production class 4.</t>
  </si>
  <si>
    <t>Enter the registry ID number in row 1557 of the table for production class 4.</t>
  </si>
  <si>
    <t>Enter the registry ID number in row 1558 of the table for production class 4.</t>
  </si>
  <si>
    <t>Enter the registry ID number in row 1559 of the table for production class 4.</t>
  </si>
  <si>
    <t>Enter the registry ID number in row 1560 of the table for production class 4.</t>
  </si>
  <si>
    <t>Enter the registry ID number in row 1561 of the table for production class 4.</t>
  </si>
  <si>
    <t>Enter the registry ID number in row 1562 of the table for production class 4.</t>
  </si>
  <si>
    <t>Enter the registry ID number in row 1563 of the table for production class 4.</t>
  </si>
  <si>
    <t>Enter the registry ID number in row 1564 of the table for production class 4.</t>
  </si>
  <si>
    <t>Enter the registry ID number in row 1565 of the table for production class 4.</t>
  </si>
  <si>
    <t>Enter the registry ID number in row 1566 of the table for production class 4.</t>
  </si>
  <si>
    <t>Enter the registry ID number in row 1567 of the table for production class 4.</t>
  </si>
  <si>
    <t>Enter the registry ID number in row 1568 of the table for production class 4.</t>
  </si>
  <si>
    <t>Enter the registry ID number in row 1569 of the table for production class 4.</t>
  </si>
  <si>
    <t>Enter the registry ID number in row 1570 of the table for production class 4.</t>
  </si>
  <si>
    <t>Enter the registry ID number in row 1571 of the table for production class 4.</t>
  </si>
  <si>
    <t>Enter the registry ID number in row 1572 of the table for production class 4.</t>
  </si>
  <si>
    <t>Enter the registry ID number in row 1573 of the table for production class 4.</t>
  </si>
  <si>
    <t>Enter the registry ID number in row 1574 of the table for production class 4.</t>
  </si>
  <si>
    <t>Enter the registry ID number in row 1575 of the table for production class 4.</t>
  </si>
  <si>
    <t>Enter the registry ID number in row 1576 of the table for production class 4.</t>
  </si>
  <si>
    <t>Enter the registry ID number in row 1577 of the table for production class 4.</t>
  </si>
  <si>
    <t>Enter the registry ID number in row 1578 of the table for production class 4.</t>
  </si>
  <si>
    <t>Enter the registry ID number in row 1579 of the table for production class 4.</t>
  </si>
  <si>
    <t>Enter the registry ID number in row 1580 of the table for production class 4.</t>
  </si>
  <si>
    <t>Enter the registry ID number in row 1581 of the table for production class 4.</t>
  </si>
  <si>
    <t>Enter the registry ID number in row 1582 of the table for production class 4.</t>
  </si>
  <si>
    <t>Enter the registry ID number in row 1583 of the table for production class 4.</t>
  </si>
  <si>
    <t>Enter the registry ID number in row 1584 of the table for production class 4.</t>
  </si>
  <si>
    <t>Enter the registry ID number in row 1585 of the table for production class 4.</t>
  </si>
  <si>
    <t>Enter the registry ID number in row 1586 of the table for production class 4.</t>
  </si>
  <si>
    <t>Enter the registry ID number in row 1587 of the table for production class 4.</t>
  </si>
  <si>
    <t>Enter the registry ID number in row 1588 of the table for production class 4.</t>
  </si>
  <si>
    <t>Enter the registry ID number in row 1589 of the table for production class 4.</t>
  </si>
  <si>
    <t>Enter the registry ID number in row 1590 of the table for production class 4.</t>
  </si>
  <si>
    <t>Enter the registry ID number in row 1591 of the table for production class 4.</t>
  </si>
  <si>
    <t>Enter the registry ID number in row 1592 of the table for production class 4.</t>
  </si>
  <si>
    <t>Enter the registry ID number in row 1593 of the table for production class 4.</t>
  </si>
  <si>
    <t>Enter the registry ID number in row 1594 of the table for production class 4.</t>
  </si>
  <si>
    <t>Enter the registry ID number in row 1595 of the table for production class 4.</t>
  </si>
  <si>
    <t>Enter the registry ID number in row 1596 of the table for production class 4.</t>
  </si>
  <si>
    <t>Enter the registry ID number in row 1597 of the table for production class 4.</t>
  </si>
  <si>
    <t>Enter the registry ID number in row 1598 of the table for production class 4.</t>
  </si>
  <si>
    <t>Enter the registry ID number in row 1599 of the table for production class 4.</t>
  </si>
  <si>
    <t>Enter the registry ID number in row 1600 of the table for production class 4.</t>
  </si>
  <si>
    <t>Enter the registry ID number in row 1601 of the table for production class 4.</t>
  </si>
  <si>
    <t>Enter the registry ID number in row 1602 of the table for production class 4.</t>
  </si>
  <si>
    <t>Enter the registry ID number in row 1603 of the table for production class 4.</t>
  </si>
  <si>
    <t>Enter the registry ID number in row 1604 of the table for production class 4.</t>
  </si>
  <si>
    <t>Enter the registry ID number in row 1605 of the table for production class 4.</t>
  </si>
  <si>
    <t>Enter the registry ID number in row 1606 of the table for production class 4.</t>
  </si>
  <si>
    <t>Enter the registry ID number in row 1607 of the table for production class 4.</t>
  </si>
  <si>
    <t>Enter the registry ID number in row 1608 of the table for production class 4.</t>
  </si>
  <si>
    <t>Enter the registry ID number in row 1609 of the table for production class 4.</t>
  </si>
  <si>
    <t>Enter the registry ID number in row 1610 of the table for production class 4.</t>
  </si>
  <si>
    <t>Enter the registry ID number in row 1611 of the table for production class 4.</t>
  </si>
  <si>
    <t>Enter the registry ID number in row 1612 of the table for production class 4.</t>
  </si>
  <si>
    <t>Enter the registry ID number in row 1613 of the table for production class 4.</t>
  </si>
  <si>
    <t>Enter the registry ID number in row 1614 of the table for production class 4.</t>
  </si>
  <si>
    <t>Enter the registry ID number in row 1615 of the table for production class 4.</t>
  </si>
  <si>
    <t>Enter the registry ID number in row 1616 of the table for production class 4.</t>
  </si>
  <si>
    <t>Enter the registry ID number in row 1617 of the table for production class 4.</t>
  </si>
  <si>
    <t>Enter the registry ID number in row 1618 of the table for production class 4.</t>
  </si>
  <si>
    <t>Enter the registry ID number in row 1619 of the table for production class 4.</t>
  </si>
  <si>
    <t>Enter the registry ID number in row 1620 of the table for production class 4.</t>
  </si>
  <si>
    <t>Enter the registry ID number in row 1621 of the table for production class 4.</t>
  </si>
  <si>
    <t>Enter the registry ID number in row 1622 of the table for production class 4.</t>
  </si>
  <si>
    <t>Enter the registry ID number in row 1623 of the table for production class 4.</t>
  </si>
  <si>
    <t>Enter the registry ID number in row 1624 of the table for production class 4.</t>
  </si>
  <si>
    <t>Enter the registry ID number in row 1625 of the table for production class 4.</t>
  </si>
  <si>
    <t>Enter the registry ID number in row 1626 of the table for production class 4.</t>
  </si>
  <si>
    <t>Enter the registry ID number in row 1627 of the table for production class 4.</t>
  </si>
  <si>
    <t>Enter the registry ID number in row 1628 of the table for production class 4.</t>
  </si>
  <si>
    <t>Enter the registry ID number in row 1629 of the table for production class 4.</t>
  </si>
  <si>
    <t>Enter the registry ID number in row 1630 of the table for production class 4.</t>
  </si>
  <si>
    <t>Enter the registry ID number in row 1631 of the table for production class 4.</t>
  </si>
  <si>
    <t>Enter the registry ID number in row 1632 of the table for production class 4.</t>
  </si>
  <si>
    <t>Enter the registry ID number in row 1633 of the table for production class 4.</t>
  </si>
  <si>
    <t>Enter the registry ID number in row 1634 of the table for production class 4.</t>
  </si>
  <si>
    <t>Enter the registry ID number in row 1635 of the table for production class 4.</t>
  </si>
  <si>
    <t>Enter the registry ID number in row 1636 of the table for production class 4.</t>
  </si>
  <si>
    <t>Enter the registry ID number in row 1637 of the table for production class 4.</t>
  </si>
  <si>
    <t>Enter the registry ID number in row 1638 of the table for production class 4.</t>
  </si>
  <si>
    <t>Enter the registry ID number in row 1639 of the table for production class 4.</t>
  </si>
  <si>
    <t>Enter the registry ID number in row 1640 of the table for production class 4.</t>
  </si>
  <si>
    <t>Enter the registry ID number in row 1641 of the table for production class 4.</t>
  </si>
  <si>
    <t>Enter the registry ID number in row 1642 of the table for production class 4.</t>
  </si>
  <si>
    <t>Enter the registry ID number in row 1643 of the table for production class 4.</t>
  </si>
  <si>
    <t>Enter the registry ID number in row 1644 of the table for production class 4.</t>
  </si>
  <si>
    <t>Enter the registry ID number in row 1645 of the table for production class 4.</t>
  </si>
  <si>
    <t>Enter the registry ID number in row 1646 of the table for production class 4.</t>
  </si>
  <si>
    <t>Enter the registry ID number in row 1647 of the table for production class 4.</t>
  </si>
  <si>
    <t>Enter the registry ID number in row 1648 of the table for production class 4.</t>
  </si>
  <si>
    <t>Enter the registry ID number in row 1649 of the table for production class 4.</t>
  </si>
  <si>
    <t>Enter the registry ID number in row 1650 of the table for production class 4.</t>
  </si>
  <si>
    <t>Enter the registry ID number in row 1651 of the table for production class 4.</t>
  </si>
  <si>
    <t>Enter the registry ID number in row 1652 of the table for production class 4.</t>
  </si>
  <si>
    <t>Enter the registry ID number in row 1653 of the table for production class 4.</t>
  </si>
  <si>
    <t>Enter the registry ID number in row 1654 of the table for production class 4.</t>
  </si>
  <si>
    <t>Enter the registry ID number in row 1655 of the table for production class 4.</t>
  </si>
  <si>
    <t>Enter the registry ID number in row 1656 of the table for production class 4.</t>
  </si>
  <si>
    <t>Enter the registry ID number in row 1657 of the table for production class 4.</t>
  </si>
  <si>
    <t>Enter the registry ID number in row 1658 of the table for production class 4.</t>
  </si>
  <si>
    <t>Enter the registry ID number in row 1659 of the table for production class 4.</t>
  </si>
  <si>
    <t>Enter the registry ID number in row 1660 of the table for production class 4.</t>
  </si>
  <si>
    <t>Enter the registry ID number in row 1661 of the table for production class 4.</t>
  </si>
  <si>
    <t>Enter the registry ID number in row 1662 of the table for production class 4.</t>
  </si>
  <si>
    <t>Enter the registry ID number in row 1663 of the table for production class 4.</t>
  </si>
  <si>
    <t>Enter the registry ID number in row 1664 of the table for production class 4.</t>
  </si>
  <si>
    <t>Enter the registry ID number in row 1665 of the table for production class 4.</t>
  </si>
  <si>
    <t>Enter the registry ID number in row 1666 of the table for production class 4.</t>
  </si>
  <si>
    <t>Enter the registry ID number in row 1667 of the table for production class 4.</t>
  </si>
  <si>
    <t>Enter the registry ID number in row 1668 of the table for production class 4.</t>
  </si>
  <si>
    <t>Enter the registry ID number in row 1669 of the table for production class 4.</t>
  </si>
  <si>
    <t>Enter the registry ID number in row 1670 of the table for production class 4.</t>
  </si>
  <si>
    <t>Enter the registry ID number in row 1671 of the table for production class 4.</t>
  </si>
  <si>
    <t>Enter the registry ID number in row 1672 of the table for production class 4.</t>
  </si>
  <si>
    <t>Enter the registry ID number in row 1673 of the table for production class 4.</t>
  </si>
  <si>
    <t>Enter the registry ID number in row 1674 of the table for production class 4.</t>
  </si>
  <si>
    <t>Enter the registry ID number in row 1675 of the table for production class 4.</t>
  </si>
  <si>
    <t>Enter the registry ID number in row 1676 of the table for production class 4.</t>
  </si>
  <si>
    <t>Enter the registry ID number in row 1677 of the table for production class 4.</t>
  </si>
  <si>
    <t>Enter the registry ID number in row 1678 of the table for production class 4.</t>
  </si>
  <si>
    <t>Enter the registry ID number in row 1679 of the table for production class 4.</t>
  </si>
  <si>
    <t>Enter the registry ID number in row 1680 of the table for production class 4.</t>
  </si>
  <si>
    <t>Enter the registry ID number in row 1681 of the table for production class 4.</t>
  </si>
  <si>
    <t>Enter the registry ID number in row 1682 of the table for production class 4.</t>
  </si>
  <si>
    <t>Enter the registry ID number in row 1683 of the table for production class 4.</t>
  </si>
  <si>
    <t>Enter the registry ID number in row 1684 of the table for production class 4.</t>
  </si>
  <si>
    <t>Enter the registry ID number in row 1685 of the table for production class 4.</t>
  </si>
  <si>
    <t>Enter the registry ID number in row 1686 of the table for production class 4.</t>
  </si>
  <si>
    <t>Enter the registry ID number in row 1687 of the table for production class 4.</t>
  </si>
  <si>
    <t>Enter the registry ID number in row 1688 of the table for production class 4.</t>
  </si>
  <si>
    <t>Enter the registry ID number in row 1689 of the table for production class 4.</t>
  </si>
  <si>
    <t>Enter the registry ID number in row 1690 of the table for production class 4.</t>
  </si>
  <si>
    <t>Enter the registry ID number in row 1691 of the table for production class 4.</t>
  </si>
  <si>
    <t>Enter the registry ID number in row 1692 of the table for production class 4.</t>
  </si>
  <si>
    <t>Enter the registry ID number in row 1693 of the table for production class 4.</t>
  </si>
  <si>
    <t>Enter the registry ID number in row 1694 of the table for production class 4.</t>
  </si>
  <si>
    <t>Enter the registry ID number in row 1695 of the table for production class 4.</t>
  </si>
  <si>
    <t>Enter the registry ID number in row 1696 of the table for production class 4.</t>
  </si>
  <si>
    <t>Enter the registry ID number in row 1697 of the table for production class 4.</t>
  </si>
  <si>
    <t>Enter the registry ID number in row 1698 of the table for production class 4.</t>
  </si>
  <si>
    <t>Enter the registry ID number in row 1699 of the table for production class 4.</t>
  </si>
  <si>
    <t>Enter the registry ID number in row 1700 of the table for production class 4.</t>
  </si>
  <si>
    <t>Enter the registry ID number in row 1701 of the table for production class 4.</t>
  </si>
  <si>
    <t>Enter the registry ID number in row 1702 of the table for production class 4.</t>
  </si>
  <si>
    <t>Enter the registry ID number in row 1703 of the table for production class 4.</t>
  </si>
  <si>
    <t>Enter the registry ID number in row 1704 of the table for production class 4.</t>
  </si>
  <si>
    <t>Enter the registry ID number in row 1705 of the table for production class 4.</t>
  </si>
  <si>
    <t>Enter the registry ID number in row 1706 of the table for production class 4.</t>
  </si>
  <si>
    <t>Enter the registry ID number in row 1707 of the table for production class 4.</t>
  </si>
  <si>
    <t>Enter the registry ID number in row 1708 of the table for production class 4.</t>
  </si>
  <si>
    <t>Enter the registry ID number in row 1709 of the table for production class 4.</t>
  </si>
  <si>
    <t>Enter the registry ID number in row 1710 of the table for production class 4.</t>
  </si>
  <si>
    <t>Enter the registry ID number in row 1711 of the table for production class 4.</t>
  </si>
  <si>
    <t>Enter the registry ID number in row 1712 of the table for production class 4.</t>
  </si>
  <si>
    <t>Enter the registry ID number in row 1713 of the table for production class 4.</t>
  </si>
  <si>
    <t>Enter the registry ID number in row 1714 of the table for production class 4.</t>
  </si>
  <si>
    <t>Enter the registry ID number in row 1715 of the table for production class 4.</t>
  </si>
  <si>
    <t>Enter the registry ID number in row 1716 of the table for production class 4.</t>
  </si>
  <si>
    <t>Enter the registry ID number in row 1717 of the table for production class 4.</t>
  </si>
  <si>
    <t>Enter the registry ID number in row 1718 of the table for production class 4.</t>
  </si>
  <si>
    <t>Enter the registry ID number in row 1719 of the table for production class 4.</t>
  </si>
  <si>
    <t>Enter the registry ID number in row 1720 of the table for production class 4.</t>
  </si>
  <si>
    <t>Enter the registry ID number in row 1721 of the table for production class 4.</t>
  </si>
  <si>
    <t>Enter the registry ID number in row 1722 of the table for production class 4.</t>
  </si>
  <si>
    <t>Enter the registry ID number in row 1723 of the table for production class 4.</t>
  </si>
  <si>
    <t>Enter the registry ID number in row 1724 of the table for production class 4.</t>
  </si>
  <si>
    <t>Enter the registry ID number in row 1725 of the table for production class 4.</t>
  </si>
  <si>
    <t>Enter the registry ID number in row 1726 of the table for production class 4.</t>
  </si>
  <si>
    <t>Enter the registry ID number in row 1727 of the table for production class 4.</t>
  </si>
  <si>
    <t>Enter the registry ID number in row 1728 of the table for production class 4.</t>
  </si>
  <si>
    <t>Enter the registry ID number in row 1729 of the table for production class 4.</t>
  </si>
  <si>
    <t>Enter the registry ID number in row 1730 of the table for production class 4.</t>
  </si>
  <si>
    <t>Enter the registry ID number in row 1731 of the table for production class 4.</t>
  </si>
  <si>
    <t>Enter the registry ID number in row 1732 of the table for production class 4.</t>
  </si>
  <si>
    <t>Enter the registry ID number in row 1733 of the table for production class 4.</t>
  </si>
  <si>
    <t>Enter the registry ID number in row 1734 of the table for production class 4.</t>
  </si>
  <si>
    <t>Enter the registry ID number in row 1735 of the table for production class 4.</t>
  </si>
  <si>
    <t>Enter the registry ID number in row 1736 of the table for production class 4.</t>
  </si>
  <si>
    <t>Enter the registry ID number in row 1737 of the table for production class 4.</t>
  </si>
  <si>
    <t>Enter the registry ID number in row 1738 of the table for production class 4.</t>
  </si>
  <si>
    <t>Enter the registry ID number in row 1739 of the table for production class 4.</t>
  </si>
  <si>
    <t>Enter the registry ID number in row 1740 of the table for production class 4.</t>
  </si>
  <si>
    <t>Enter the registry ID number in row 1741 of the table for production class 4.</t>
  </si>
  <si>
    <t>Enter the registry ID number in row 1742 of the table for production class 4.</t>
  </si>
  <si>
    <t>Enter the registry ID number in row 1743 of the table for production class 4.</t>
  </si>
  <si>
    <t>Enter the registry ID number in row 1744 of the table for production class 4.</t>
  </si>
  <si>
    <t>Enter the registry ID number in row 1745 of the table for production class 4.</t>
  </si>
  <si>
    <t>Enter the registry ID number in row 1746 of the table for production class 4.</t>
  </si>
  <si>
    <t>Enter the registry ID number in row 1747 of the table for production class 4.</t>
  </si>
  <si>
    <t>Enter the registry ID number in row 1748 of the table for production class 4.</t>
  </si>
  <si>
    <t>Enter the registry ID number in row 1749 of the table for production class 4.</t>
  </si>
  <si>
    <t>Enter the registry ID number in row 1750 of the table for production class 4.</t>
  </si>
  <si>
    <t>Enter the registry ID number in row 1751 of the table for production class 4.</t>
  </si>
  <si>
    <t>Enter the registry ID number in row 1752 of the table for production class 4.</t>
  </si>
  <si>
    <t>Enter the registry ID number in row 1753 of the table for production class 4.</t>
  </si>
  <si>
    <t>Enter the registry ID number in row 1754 of the table for production class 4.</t>
  </si>
  <si>
    <t>Enter the registry ID number in row 1755 of the table for production class 4.</t>
  </si>
  <si>
    <t>Enter the registry ID number in row 1756 of the table for production class 4.</t>
  </si>
  <si>
    <t>Enter the registry ID number in row 1757 of the table for production class 4.</t>
  </si>
  <si>
    <t>Enter the registry ID number in row 1758 of the table for production class 4.</t>
  </si>
  <si>
    <t>Enter the registry ID number in row 1759 of the table for production class 4.</t>
  </si>
  <si>
    <t>Enter the registry ID number in row 1760 of the table for production class 4.</t>
  </si>
  <si>
    <t>Enter the registry ID number in row 1761 of the table for production class 4.</t>
  </si>
  <si>
    <t>Enter the registry ID number in row 1762 of the table for production class 4.</t>
  </si>
  <si>
    <t>Enter the registry ID number in row 1763 of the table for production class 4.</t>
  </si>
  <si>
    <t>Enter the registry ID number in row 1764 of the table for production class 4.</t>
  </si>
  <si>
    <t>Enter the registry ID number in row 1765 of the table for production class 4.</t>
  </si>
  <si>
    <t>Enter the registry ID number in row 1766 of the table for production class 4.</t>
  </si>
  <si>
    <t>Enter the registry ID number in row 1767 of the table for production class 4.</t>
  </si>
  <si>
    <t>Enter the registry ID number in row 1768 of the table for production class 4.</t>
  </si>
  <si>
    <t>Enter the registry ID number in row 1769 of the table for production class 4.</t>
  </si>
  <si>
    <t>Enter the registry ID number in row 1770 of the table for production class 4.</t>
  </si>
  <si>
    <t>Enter the registry ID number in row 1771 of the table for production class 4.</t>
  </si>
  <si>
    <t>Enter the registry ID number in row 1772 of the table for production class 4.</t>
  </si>
  <si>
    <t>Enter the registry ID number in row 1773 of the table for production class 4.</t>
  </si>
  <si>
    <t>Enter the registry ID number in row 1774 of the table for production class 4.</t>
  </si>
  <si>
    <t>Enter the registry ID number in row 1775 of the table for production class 4.</t>
  </si>
  <si>
    <t>Enter the registry ID number in row 1776 of the table for production class 4.</t>
  </si>
  <si>
    <t>Enter the registry ID number in row 1777 of the table for production class 4.</t>
  </si>
  <si>
    <t>Enter the registry ID number in row 1778 of the table for production class 4.</t>
  </si>
  <si>
    <t>Enter the registry ID number in row 1779 of the table for production class 4.</t>
  </si>
  <si>
    <t>Enter the registry ID number in row 1780 of the table for production class 4.</t>
  </si>
  <si>
    <t>Enter the registry ID number in row 1781 of the table for production class 4.</t>
  </si>
  <si>
    <t>Enter the registry ID number in row 1782 of the table for production class 4.</t>
  </si>
  <si>
    <t>Enter the registry ID number in row 1783 of the table for production class 4.</t>
  </si>
  <si>
    <t>Enter the registry ID number in row 1784 of the table for production class 4.</t>
  </si>
  <si>
    <t>Enter the registry ID number in row 1785 of the table for production class 4.</t>
  </si>
  <si>
    <t>Enter the registry ID number in row 1786 of the table for production class 4.</t>
  </si>
  <si>
    <t>Enter the registry ID number in row 1787 of the table for production class 4.</t>
  </si>
  <si>
    <t>Enter the registry ID number in row 1788 of the table for production class 4.</t>
  </si>
  <si>
    <t>Enter the registry ID number in row 1789 of the table for production class 4.</t>
  </si>
  <si>
    <t>Enter the registry ID number in row 1790 of the table for production class 4.</t>
  </si>
  <si>
    <t>Enter the registry ID number in row 1791 of the table for production class 4.</t>
  </si>
  <si>
    <t>Enter the registry ID number in row 1792 of the table for production class 4.</t>
  </si>
  <si>
    <t>Enter the registry ID number in row 1793 of the table for production class 4.</t>
  </si>
  <si>
    <t>Enter the registry ID number in row 1794 of the table for production class 4.</t>
  </si>
  <si>
    <t>Enter the registry ID number in row 1795 of the table for production class 4.</t>
  </si>
  <si>
    <t>Enter the registry ID number in row 1796 of the table for production class 4.</t>
  </si>
  <si>
    <t>Enter the registry ID number in row 1797 of the table for production class 4.</t>
  </si>
  <si>
    <t>Enter the registry ID number in row 1798 of the table for production class 4.</t>
  </si>
  <si>
    <t>Enter the registry ID number in row 1799 of the table for production class 4.</t>
  </si>
  <si>
    <t>Enter the registry ID number in row 1800 of the table for production class 4.</t>
  </si>
  <si>
    <t>Enter the registry ID number in row 1801 of the table for production class 4.</t>
  </si>
  <si>
    <t>Enter the registry ID number in row 1802 of the table for production class 4.</t>
  </si>
  <si>
    <t>Enter the registry ID number in row 1803 of the table for production class 4.</t>
  </si>
  <si>
    <t>Enter the registry ID number in row 1804 of the table for production class 4.</t>
  </si>
  <si>
    <t>Enter the registry ID number in row 1805 of the table for production class 4.</t>
  </si>
  <si>
    <t>Enter the registry ID number in row 1806 of the table for production class 4.</t>
  </si>
  <si>
    <t>Enter the registry ID number in row 1807 of the table for production class 4.</t>
  </si>
  <si>
    <t>Enter the registry ID number in row 1808 of the table for production class 4.</t>
  </si>
  <si>
    <t>Enter the registry ID number in row 1809 of the table for production class 4.</t>
  </si>
  <si>
    <t>Enter the registry ID number in row 1810 of the table for production class 4.</t>
  </si>
  <si>
    <t>Enter the registry ID number in row 1811 of the table for production class 4.</t>
  </si>
  <si>
    <t>Enter the registry ID number in row 1812 of the table for production class 4.</t>
  </si>
  <si>
    <t>Enter the registry ID number in row 1813 of the table for production class 4.</t>
  </si>
  <si>
    <t>Enter the registry ID number in row 1814 of the table for production class 4.</t>
  </si>
  <si>
    <t>Enter the registry ID number in row 1815 of the table for production class 4.</t>
  </si>
  <si>
    <t>Enter the registry ID number in row 1816 of the table for production class 4.</t>
  </si>
  <si>
    <t>Enter the registry ID number in row 1817 of the table for production class 4.</t>
  </si>
  <si>
    <t>Enter the registry ID number in row 1818 of the table for production class 4.</t>
  </si>
  <si>
    <t>Enter the registry ID number in row 1819 of the table for production class 4.</t>
  </si>
  <si>
    <t>Enter the registry ID number in row 1820 of the table for production class 4.</t>
  </si>
  <si>
    <t>Enter the registry ID number in row 1821 of the table for production class 4.</t>
  </si>
  <si>
    <t>Enter the registry ID number in row 1822 of the table for production class 4.</t>
  </si>
  <si>
    <t>Enter the registry ID number in row 1823 of the table for production class 4.</t>
  </si>
  <si>
    <t>Enter the registry ID number in row 1824 of the table for production class 4.</t>
  </si>
  <si>
    <t>Enter the registry ID number in row 1825 of the table for production class 4.</t>
  </si>
  <si>
    <t>Enter the registry ID number in row 1826 of the table for production class 4.</t>
  </si>
  <si>
    <t>Enter the registry ID number in row 1827 of the table for production class 4.</t>
  </si>
  <si>
    <t>Enter the registry ID number in row 1828 of the table for production class 4.</t>
  </si>
  <si>
    <t>Enter the registry ID number in row 1829 of the table for production class 4.</t>
  </si>
  <si>
    <t>Enter the registry ID number in row 1830 of the table for production class 4.</t>
  </si>
  <si>
    <t>Enter the registry ID number in row 1831 of the table for production class 4.</t>
  </si>
  <si>
    <t>Enter the registry ID number in row 1832 of the table for production class 4.</t>
  </si>
  <si>
    <t>Enter the registry ID number in row 1833 of the table for production class 4.</t>
  </si>
  <si>
    <t>Enter the registry ID number in row 1834 of the table for production class 4.</t>
  </si>
  <si>
    <t>Enter the registry ID number in row 1835 of the table for production class 4.</t>
  </si>
  <si>
    <t>Enter the registry ID number in row 1836 of the table for production class 4.</t>
  </si>
  <si>
    <t>Enter the registry ID number in row 1837 of the table for production class 4.</t>
  </si>
  <si>
    <t>Enter the registry ID number in row 1838 of the table for production class 4.</t>
  </si>
  <si>
    <t>Enter the registry ID number in row 1839 of the table for production class 4.</t>
  </si>
  <si>
    <t>Enter the registry ID number in row 1840 of the table for production class 4.</t>
  </si>
  <si>
    <t>Enter the registry ID number in row 1841 of the table for production class 4.</t>
  </si>
  <si>
    <t>Enter the registry ID number in row 1842 of the table for production class 4.</t>
  </si>
  <si>
    <t>Enter the registry ID number in row 1843 of the table for production class 4.</t>
  </si>
  <si>
    <t>Enter the registry ID number in row 1844 of the table for production class 4.</t>
  </si>
  <si>
    <t>Enter the registry ID number in row 1845 of the table for production class 4.</t>
  </si>
  <si>
    <t>Enter the registry ID number in row 1846 of the table for production class 4.</t>
  </si>
  <si>
    <t>Enter the registry ID number in row 1847 of the table for production class 4.</t>
  </si>
  <si>
    <t>Enter the registry ID number in row 1848 of the table for production class 4.</t>
  </si>
  <si>
    <t>Enter the registry ID number in row 1849 of the table for production class 4.</t>
  </si>
  <si>
    <t>Enter the registry ID number in row 1850 of the table for production class 4.</t>
  </si>
  <si>
    <t>Enter the registry ID number in row 1851 of the table for production class 4.</t>
  </si>
  <si>
    <t>Enter the registry ID number in row 1852 of the table for production class 4.</t>
  </si>
  <si>
    <t>Enter the registry ID number in row 1853 of the table for production class 4.</t>
  </si>
  <si>
    <t>Enter the registry ID number in row 1854 of the table for production class 4.</t>
  </si>
  <si>
    <t>Enter the registry ID number in row 1855 of the table for production class 4.</t>
  </si>
  <si>
    <t>Enter the registry ID number in row 1856 of the table for production class 4.</t>
  </si>
  <si>
    <t>Enter the registry ID number in row 1857 of the table for production class 4.</t>
  </si>
  <si>
    <t>Enter the registry ID number in row 1858 of the table for production class 4.</t>
  </si>
  <si>
    <t>Enter the registry ID number in row 1859 of the table for production class 4.</t>
  </si>
  <si>
    <t>Enter the registry ID number in row 1860 of the table for production class 4.</t>
  </si>
  <si>
    <t>Enter the registry ID number in row 1861 of the table for production class 4.</t>
  </si>
  <si>
    <t>Enter the registry ID number in row 1862 of the table for production class 4.</t>
  </si>
  <si>
    <t>Enter the registry ID number in row 1863 of the table for production class 4.</t>
  </si>
  <si>
    <t>Enter the registry ID number in row 1864 of the table for production class 4.</t>
  </si>
  <si>
    <t>Enter the registry ID number in row 1865 of the table for production class 4.</t>
  </si>
  <si>
    <t>Enter the registry ID number in row 1866 of the table for production class 4.</t>
  </si>
  <si>
    <t>Enter the registry ID number in row 1867 of the table for production class 4.</t>
  </si>
  <si>
    <t>Enter the registry ID number in row 1868 of the table for production class 4.</t>
  </si>
  <si>
    <t>Enter the registry ID number in row 1869 of the table for production class 4.</t>
  </si>
  <si>
    <t>Enter the registry ID number in row 1870 of the table for production class 4.</t>
  </si>
  <si>
    <t>Enter the registry ID number in row 1871 of the table for production class 4.</t>
  </si>
  <si>
    <t>Enter the registry ID number in row 1872 of the table for production class 4.</t>
  </si>
  <si>
    <t>Enter the registry ID number in row 1873 of the table for production class 4.</t>
  </si>
  <si>
    <t>Enter the registry ID number in row 1874 of the table for production class 4.</t>
  </si>
  <si>
    <t>Enter the registry ID number in row 1875 of the table for production class 4.</t>
  </si>
  <si>
    <t>Enter the registry ID number in row 1876 of the table for production class 4.</t>
  </si>
  <si>
    <t>Enter the registry ID number in row 1877 of the table for production class 4.</t>
  </si>
  <si>
    <t>Enter the registry ID number in row 1878 of the table for production class 4.</t>
  </si>
  <si>
    <t>Enter the registry ID number in row 1879 of the table for production class 4.</t>
  </si>
  <si>
    <t>Enter the registry ID number in row 1880 of the table for production class 4.</t>
  </si>
  <si>
    <t>Enter the registry ID number in row 1881 of the table for production class 4.</t>
  </si>
  <si>
    <t>Enter the registry ID number in row 1882 of the table for production class 4.</t>
  </si>
  <si>
    <t>Enter the registry ID number in row 1883 of the table for production class 4.</t>
  </si>
  <si>
    <t>Enter the registry ID number in row 1884 of the table for production class 4.</t>
  </si>
  <si>
    <t>Enter the registry ID number in row 1885 of the table for production class 4.</t>
  </si>
  <si>
    <t>Enter the registry ID number in row 1886 of the table for production class 4.</t>
  </si>
  <si>
    <t>Enter the registry ID number in row 1887 of the table for production class 4.</t>
  </si>
  <si>
    <t>Enter the registry ID number in row 1888 of the table for production class 4.</t>
  </si>
  <si>
    <t>Enter the registry ID number in row 1889 of the table for production class 4.</t>
  </si>
  <si>
    <t>Enter the registry ID number in row 1890 of the table for production class 4.</t>
  </si>
  <si>
    <t>Enter the registry ID number in row 1891 of the table for production class 4.</t>
  </si>
  <si>
    <t>Enter the registry ID number in row 1892 of the table for production class 4.</t>
  </si>
  <si>
    <t>Enter the registry ID number in row 1893 of the table for production class 4.</t>
  </si>
  <si>
    <t>Enter the registry ID number in row 1894 of the table for production class 4.</t>
  </si>
  <si>
    <t>Enter the registry ID number in row 1895 of the table for production class 4.</t>
  </si>
  <si>
    <t>Enter the registry ID number in row 1896 of the table for production class 4.</t>
  </si>
  <si>
    <t>Enter the registry ID number in row 1897 of the table for production class 4.</t>
  </si>
  <si>
    <t>Enter the registry ID number in row 1898 of the table for production class 4.</t>
  </si>
  <si>
    <t>Enter the registry ID number in row 1899 of the table for production class 4.</t>
  </si>
  <si>
    <t>Enter the registry ID number in row 1900 of the table for production class 4.</t>
  </si>
  <si>
    <t>Enter the registry ID number in row 1901 of the table for production class 4.</t>
  </si>
  <si>
    <t>Enter the registry ID number in row 1902 of the table for production class 4.</t>
  </si>
  <si>
    <t>Enter the registry ID number in row 1903 of the table for production class 4.</t>
  </si>
  <si>
    <t>Enter the registry ID number in row 1904 of the table for production class 4.</t>
  </si>
  <si>
    <t>Enter the registry ID number in row 1905 of the table for production class 4.</t>
  </si>
  <si>
    <t>Enter the registry ID number in row 1906 of the table for production class 4.</t>
  </si>
  <si>
    <t>Enter the registry ID number in row 1907 of the table for production class 4.</t>
  </si>
  <si>
    <t>Enter the registry ID number in row 1908 of the table for production class 4.</t>
  </si>
  <si>
    <t>Enter the registry ID number in row 1909 of the table for production class 4.</t>
  </si>
  <si>
    <t>Enter the registry ID number in row 1910 of the table for production class 4.</t>
  </si>
  <si>
    <t>Enter the registry ID number in row 1911 of the table for production class 4.</t>
  </si>
  <si>
    <t>Enter the registry ID number in row 1912 of the table for production class 4.</t>
  </si>
  <si>
    <t>Enter the registry ID number in row 1913 of the table for production class 4.</t>
  </si>
  <si>
    <t>Enter the registry ID number in row 1914 of the table for production class 4.</t>
  </si>
  <si>
    <t>Enter the registry ID number in row 1915 of the table for production class 4.</t>
  </si>
  <si>
    <t>Enter the registry ID number in row 1916 of the table for production class 4.</t>
  </si>
  <si>
    <t>Enter the registry ID number in row 1917 of the table for production class 4.</t>
  </si>
  <si>
    <t>Enter the registry ID number in row 1918 of the table for production class 4.</t>
  </si>
  <si>
    <t>Enter the registry ID number in row 1919 of the table for production class 4.</t>
  </si>
  <si>
    <t>Enter the registry ID number in row 1920 of the table for production class 4.</t>
  </si>
  <si>
    <t>Enter the registry ID number in row 1921 of the table for production class 4.</t>
  </si>
  <si>
    <t>Enter the registry ID number in row 1922 of the table for production class 4.</t>
  </si>
  <si>
    <t>Enter the registry ID number in row 1923 of the table for production class 4.</t>
  </si>
  <si>
    <t>Enter the registry ID number in row 1924 of the table for production class 4.</t>
  </si>
  <si>
    <t>Enter the registry ID number in row 1925 of the table for production class 4.</t>
  </si>
  <si>
    <t>Enter the registry ID number in row 1926 of the table for production class 4.</t>
  </si>
  <si>
    <t>Enter the registry ID number in row 1927 of the table for production class 4.</t>
  </si>
  <si>
    <t>Enter the registry ID number in row 1928 of the table for production class 4.</t>
  </si>
  <si>
    <t>Enter the registry ID number in row 1929 of the table for production class 4.</t>
  </si>
  <si>
    <t>Enter the registry ID number in row 1930 of the table for production class 4.</t>
  </si>
  <si>
    <t>Enter the registry ID number in row 1931 of the table for production class 4.</t>
  </si>
  <si>
    <t>Enter the registry ID number in row 1932 of the table for production class 4.</t>
  </si>
  <si>
    <t>Enter the registry ID number in row 1933 of the table for production class 4.</t>
  </si>
  <si>
    <t>Enter the registry ID number in row 1934 of the table for production class 4.</t>
  </si>
  <si>
    <t>Enter the registry ID number in row 1935 of the table for production class 4.</t>
  </si>
  <si>
    <t>Enter the registry ID number in row 1936 of the table for production class 4.</t>
  </si>
  <si>
    <t>Enter the registry ID number in row 1937 of the table for production class 4.</t>
  </si>
  <si>
    <t>Enter the registry ID number in row 1938 of the table for production class 4.</t>
  </si>
  <si>
    <t>Enter the registry ID number in row 1939 of the table for production class 4.</t>
  </si>
  <si>
    <t>Enter the registry ID number in row 1940 of the table for production class 4.</t>
  </si>
  <si>
    <t>Enter the registry ID number in row 1941 of the table for production class 4.</t>
  </si>
  <si>
    <t>Enter the registry ID number in row 1942 of the table for production class 4.</t>
  </si>
  <si>
    <t>Enter the registry ID number in row 1943 of the table for production class 4.</t>
  </si>
  <si>
    <t>Enter the registry ID number in row 1944 of the table for production class 4.</t>
  </si>
  <si>
    <t>Enter the registry ID number in row 1945 of the table for production class 4.</t>
  </si>
  <si>
    <t>Enter the registry ID number in row 1946 of the table for production class 4.</t>
  </si>
  <si>
    <t>Enter the registry ID number in row 1947 of the table for production class 4.</t>
  </si>
  <si>
    <t>Enter the registry ID number in row 1948 of the table for production class 4.</t>
  </si>
  <si>
    <t>Enter the registry ID number in row 1949 of the table for production class 4.</t>
  </si>
  <si>
    <t>Enter the registry ID number in row 1950 of the table for production class 4.</t>
  </si>
  <si>
    <t>Enter the registry ID number in row 1951 of the table for production class 4.</t>
  </si>
  <si>
    <t>Enter the registry ID number in row 1952 of the table for production class 4.</t>
  </si>
  <si>
    <t>Enter the registry ID number in row 1953 of the table for production class 4.</t>
  </si>
  <si>
    <t>Enter the registry ID number in row 1954 of the table for production class 4.</t>
  </si>
  <si>
    <t>Enter the registry ID number in row 1955 of the table for production class 4.</t>
  </si>
  <si>
    <t>Enter the registry ID number in row 1956 of the table for production class 4.</t>
  </si>
  <si>
    <t>Enter the registry ID number in row 1957 of the table for production class 4.</t>
  </si>
  <si>
    <t>Enter the registry ID number in row 1958 of the table for production class 4.</t>
  </si>
  <si>
    <t>Enter the registry ID number in row 1959 of the table for production class 4.</t>
  </si>
  <si>
    <t>Enter the registry ID number in row 1960 of the table for production class 4.</t>
  </si>
  <si>
    <t>Enter the registry ID number in row 1961 of the table for production class 4.</t>
  </si>
  <si>
    <t>Enter the registry ID number in row 1962 of the table for production class 4.</t>
  </si>
  <si>
    <t>Enter the registry ID number in row 1963 of the table for production class 4.</t>
  </si>
  <si>
    <t>Enter the registry ID number in row 1964 of the table for production class 4.</t>
  </si>
  <si>
    <t>Enter the registry ID number in row 1965 of the table for production class 4.</t>
  </si>
  <si>
    <t>Enter the registry ID number in row 1966 of the table for production class 4.</t>
  </si>
  <si>
    <t>Enter the registry ID number in row 1967 of the table for production class 4.</t>
  </si>
  <si>
    <t>Enter the registry ID number in row 1968 of the table for production class 4.</t>
  </si>
  <si>
    <t>Enter the registry ID number in row 1969 of the table for production class 4.</t>
  </si>
  <si>
    <t>Enter the registry ID number in row 1970 of the table for production class 4.</t>
  </si>
  <si>
    <t>Enter the registry ID number in row 1971 of the table for production class 4.</t>
  </si>
  <si>
    <t>Enter the registry ID number in row 1972 of the table for production class 4.</t>
  </si>
  <si>
    <t>Enter the registry ID number in row 1973 of the table for production class 4.</t>
  </si>
  <si>
    <t>Enter the registry ID number in row 1974 of the table for production class 4.</t>
  </si>
  <si>
    <t>Enter the registry ID number in row 1975 of the table for production class 4.</t>
  </si>
  <si>
    <t>Enter the registry ID number in row 1976 of the table for production class 4.</t>
  </si>
  <si>
    <t>Enter the registry ID number in row 1977 of the table for production class 4.</t>
  </si>
  <si>
    <t>Enter the registry ID number in row 1978 of the table for production class 4.</t>
  </si>
  <si>
    <t>Enter the registry ID number in row 1979 of the table for production class 4.</t>
  </si>
  <si>
    <t>Enter the registry ID number in row 1980 of the table for production class 4.</t>
  </si>
  <si>
    <t>Enter the registry ID number in row 1981 of the table for production class 4.</t>
  </si>
  <si>
    <t>Enter the registry ID number in row 1982 of the table for production class 4.</t>
  </si>
  <si>
    <t>Enter the registry ID number in row 1983 of the table for production class 4.</t>
  </si>
  <si>
    <t>Enter the registry ID number in row 1984 of the table for production class 4.</t>
  </si>
  <si>
    <t>Enter the registry ID number in row 1985 of the table for production class 4.</t>
  </si>
  <si>
    <t>Enter the registry ID number in row 1986 of the table for production class 4.</t>
  </si>
  <si>
    <t>Enter the registry ID number in row 1987 of the table for production class 4.</t>
  </si>
  <si>
    <t>Enter the registry ID number in row 1988 of the table for production class 4.</t>
  </si>
  <si>
    <t>Enter the registry ID number in row 1989 of the table for production class 4.</t>
  </si>
  <si>
    <t>Enter the registry ID number in row 1990 of the table for production class 4.</t>
  </si>
  <si>
    <t>Enter the registry ID number in row 1991 of the table for production class 4.</t>
  </si>
  <si>
    <t>Enter the registry ID number in row 1992 of the table for production class 4.</t>
  </si>
  <si>
    <t>Enter the registry ID number in row 1993 of the table for production class 4.</t>
  </si>
  <si>
    <t>Enter the registry ID number in row 1994 of the table for production class 4.</t>
  </si>
  <si>
    <t>Enter the registry ID number in row 1995 of the table for production class 4.</t>
  </si>
  <si>
    <t>Enter the registry ID number in row 1996 of the table for production class 4.</t>
  </si>
  <si>
    <t>Enter the registry ID number in row 1997 of the table for production class 4.</t>
  </si>
  <si>
    <t>Enter the registry ID number in row 1998 of the table for production class 4.</t>
  </si>
  <si>
    <t>Enter the registry ID number in row 1999 of the table for production class 4.</t>
  </si>
  <si>
    <t>Enter the registry ID number in row 2000 of the table for production class 4.</t>
  </si>
  <si>
    <t>Enter the registry ID number in row 2001 of the table for production class 4.</t>
  </si>
  <si>
    <t>Enter the registry ID number in row 2002 of the table for production class 4.</t>
  </si>
  <si>
    <t>Enter the registry ID number in row 2003 of the table for production class 4.</t>
  </si>
  <si>
    <t>Enter the registry ID number in row 2004 of the table for production class 4.</t>
  </si>
  <si>
    <t>Enter the registry ID number in row 2005 of the table for production class 4.</t>
  </si>
  <si>
    <t>Enter the registry ID number in row 2006 of the table for production class 4.</t>
  </si>
  <si>
    <t>Enter the registry ID number in row 2007 of the table for production class 4.</t>
  </si>
  <si>
    <t>Enter the registry ID number in row 2008 of the table for production class 4.</t>
  </si>
  <si>
    <t>Enter the registry ID number in row 2009 of the table for production class 4.</t>
  </si>
  <si>
    <t>Enter the registry ID number in row 2010 of the table for production class 4.</t>
  </si>
  <si>
    <t>Enter the registry ID number in row 2011 of the table for production class 4.</t>
  </si>
  <si>
    <t>Enter the registry ID number in row 2012 of the table for production class 4.</t>
  </si>
  <si>
    <t>Enter the registry ID number in row 2013 of the table for production class 4.</t>
  </si>
  <si>
    <t>Enter the registry ID number in row 2014 of the table for production class 4.</t>
  </si>
  <si>
    <t>Enter the registry ID number in row 2015 of the table for production class 4.</t>
  </si>
  <si>
    <t>Enter the registry ID number in row 2016 of the table for production class 4.</t>
  </si>
  <si>
    <t>Enter the registry ID number in row 2017 of the table for production class 4.</t>
  </si>
  <si>
    <t>Enter the registry ID number in row 2018 of the table for production class 4.</t>
  </si>
  <si>
    <t>Enter the registry ID number in row 2019 of the table for production class 4.</t>
  </si>
  <si>
    <t>Enter the registry ID number in row 2020 of the table for production class 4.</t>
  </si>
  <si>
    <t>Enter the registry ID number in row 2021 of the table for production class 4.</t>
  </si>
  <si>
    <t>Enter the registry ID number in row 2022 of the table for production class 4.</t>
  </si>
  <si>
    <t>Enter the registry ID number in row 2023 of the table for production class 4.</t>
  </si>
  <si>
    <t>Enter the registry ID number in row 2024 of the table for production class 4.</t>
  </si>
  <si>
    <t>Enter the registry ID number in row 2025 of the table for production class 4.</t>
  </si>
  <si>
    <t>Enter the registry ID number in row 2026 of the table for production class 4.</t>
  </si>
  <si>
    <t>Enter the registry ID number in row 2027 of the table for production class 4.</t>
  </si>
  <si>
    <t>Enter the registry ID number in row 2028 of the table for production class 4.</t>
  </si>
  <si>
    <t>Enter the registry ID number in row 2029 of the table for production class 4.</t>
  </si>
  <si>
    <t>Enter the registry ID number in row 2030 of the table for production class 4.</t>
  </si>
  <si>
    <t>Enter the registry ID number in row 2031 of the table for production class 4.</t>
  </si>
  <si>
    <t>Enter the registry ID number in row 2032 of the table for production class 4.</t>
  </si>
  <si>
    <t>Enter the registry ID number in row 2033 of the table for production class 4.</t>
  </si>
  <si>
    <t>Enter the registry ID number in row 2034 of the table for production class 4.</t>
  </si>
  <si>
    <t>Enter the registry ID number in row 2035 of the table for production class 4.</t>
  </si>
  <si>
    <t>Enter the registry ID number in row 2036 of the table for production class 4.</t>
  </si>
  <si>
    <t>Enter the registry ID number in row 2037 of the table for production class 4.</t>
  </si>
  <si>
    <t>Enter the registry ID number in row 2038 of the table for production class 4.</t>
  </si>
  <si>
    <t>Enter the registry ID number in row 2039 of the table for production class 4.</t>
  </si>
  <si>
    <t>Enter the registry ID number in row 2040 of the table for production class 4.</t>
  </si>
  <si>
    <t>Enter the registry ID number in row 2041 of the table for production class 4.</t>
  </si>
  <si>
    <t>Enter the registry ID number in row 2042 of the table for production class 4.</t>
  </si>
  <si>
    <t>Enter the registry ID number in row 2043 of the table for production class 4.</t>
  </si>
  <si>
    <t>Enter the registry ID number in row 2044 of the table for production class 4.</t>
  </si>
  <si>
    <t>Enter the registry ID number in row 2045 of the table for production class 4.</t>
  </si>
  <si>
    <t>Enter the registry ID number in row 2046 of the table for production class 4.</t>
  </si>
  <si>
    <t>Enter the registry ID number in row 2047 of the table for production class 4.</t>
  </si>
  <si>
    <t>Enter the registry ID number in row 2048 of the table for production class 4.</t>
  </si>
  <si>
    <t>Enter the registry ID number in row 2049 of the table for production class 4.</t>
  </si>
  <si>
    <t>Enter the registry ID number in row 2050 of the table for production class 4.</t>
  </si>
  <si>
    <t>Enter the registry ID number in row 2051 of the table for production class 4.</t>
  </si>
  <si>
    <t>Enter the registry ID number in row 2052 of the table for production class 4.</t>
  </si>
  <si>
    <t>Enter the registry ID number in row 2053 of the table for production class 4.</t>
  </si>
  <si>
    <t>Enter the registry ID number in row 2054 of the table for production class 4.</t>
  </si>
  <si>
    <t>Enter the registry ID number in row 2055 of the table for production class 4.</t>
  </si>
  <si>
    <t>Enter the registry ID number in row 2056 of the table for production class 4.</t>
  </si>
  <si>
    <t>Enter the registry ID number in row 2057 of the table for production class 4.</t>
  </si>
  <si>
    <t>Enter the registry ID number in row 2058 of the table for production class 4.</t>
  </si>
  <si>
    <t>Enter the registry ID number in row 2059 of the table for production class 4.</t>
  </si>
  <si>
    <t>Enter the registry ID number in row 2060 of the table for production class 4.</t>
  </si>
  <si>
    <t>Enter the registry ID number in row 2061 of the table for production class 4.</t>
  </si>
  <si>
    <t>Enter the registry ID number in row 2062 of the table for production class 4.</t>
  </si>
  <si>
    <t>Enter the registry ID number in row 2063 of the table for production class 4.</t>
  </si>
  <si>
    <t>Enter the registry ID number in row 2064 of the table for production class 4.</t>
  </si>
  <si>
    <t>Enter the registry ID number in row 2065 of the table for production class 4.</t>
  </si>
  <si>
    <t>Enter the registry ID number in row 2066 of the table for production class 4.</t>
  </si>
  <si>
    <t>Enter the registry ID number in row 2067 of the table for production class 4.</t>
  </si>
  <si>
    <t>Enter the registry ID number in row 2068 of the table for production class 4.</t>
  </si>
  <si>
    <t>Enter the registry ID number in row 2069 of the table for production class 4.</t>
  </si>
  <si>
    <t>Enter the registry ID number in row 2070 of the table for production class 4.</t>
  </si>
  <si>
    <t>Enter the registry ID number in row 2071 of the table for production class 4.</t>
  </si>
  <si>
    <t>Enter the registry ID number in row 2072 of the table for production class 4.</t>
  </si>
  <si>
    <t>Enter the registry ID number in row 2073 of the table for production class 4.</t>
  </si>
  <si>
    <t>Enter the registry ID number in row 2074 of the table for production class 4.</t>
  </si>
  <si>
    <t>Enter the registry ID number in row 2075 of the table for production class 4.</t>
  </si>
  <si>
    <t>Enter the registry ID number in row 2076 of the table for production class 4.</t>
  </si>
  <si>
    <t>Enter the registry ID number in row 2077 of the table for production class 4.</t>
  </si>
  <si>
    <t>Enter the registry ID number in row 2078 of the table for production class 4.</t>
  </si>
  <si>
    <t>Enter the registry ID number in row 2079 of the table for production class 4.</t>
  </si>
  <si>
    <t>Enter the registry ID number in row 2080 of the table for production class 4.</t>
  </si>
  <si>
    <t>Enter the registry ID number in row 2081 of the table for production class 4.</t>
  </si>
  <si>
    <t>Enter the registry ID number in row 2082 of the table for production class 4.</t>
  </si>
  <si>
    <t>Enter the registry ID number in row 2083 of the table for production class 4.</t>
  </si>
  <si>
    <t>Enter the registry ID number in row 2084 of the table for production class 4.</t>
  </si>
  <si>
    <t>Enter the registry ID number in row 2085 of the table for production class 4.</t>
  </si>
  <si>
    <t>Enter the registry ID number in row 2086 of the table for production class 4.</t>
  </si>
  <si>
    <t>Enter the registry ID number in row 2087 of the table for production class 4.</t>
  </si>
  <si>
    <t>Enter the registry ID number in row 2088 of the table for production class 4.</t>
  </si>
  <si>
    <t>Enter the registry ID number in row 2089 of the table for production class 4.</t>
  </si>
  <si>
    <t>Enter the registry ID number in row 2090 of the table for production class 4.</t>
  </si>
  <si>
    <t>Enter the registry ID number in row 2091 of the table for production class 4.</t>
  </si>
  <si>
    <t>Enter the registry ID number in row 2092 of the table for production class 4.</t>
  </si>
  <si>
    <t>Enter the registry ID number in row 2093 of the table for production class 4.</t>
  </si>
  <si>
    <t>Enter the registry ID number in row 2094 of the table for production class 4.</t>
  </si>
  <si>
    <t>Enter the registry ID number in row 2095 of the table for production class 4.</t>
  </si>
  <si>
    <t>Enter the registry ID number in row 2096 of the table for production class 4.</t>
  </si>
  <si>
    <t>Enter the registry ID number in row 2097 of the table for production class 4.</t>
  </si>
  <si>
    <t>Enter the registry ID number in row 2098 of the table for production class 4.</t>
  </si>
  <si>
    <t>Enter the registry ID number in row 2099 of the table for production class 4.</t>
  </si>
  <si>
    <t>Enter the registry ID number in row 2100 of the table for production class 4.</t>
  </si>
  <si>
    <t>Enter the registry ID number in row 2101 of the table for production class 4.</t>
  </si>
  <si>
    <t>Enter the registry ID number in row 2102 of the table for production class 4.</t>
  </si>
  <si>
    <t>Enter the registry ID number in row 2103 of the table for production class 4.</t>
  </si>
  <si>
    <t>Enter the registry ID number in row 2104 of the table for production class 4.</t>
  </si>
  <si>
    <t>Enter the registry ID number in row 2105 of the table for production class 4.</t>
  </si>
  <si>
    <t>Enter the registry ID number in row 2106 of the table for production class 4.</t>
  </si>
  <si>
    <t>Enter the registry ID number in row 2107 of the table for production class 4.</t>
  </si>
  <si>
    <t>Enter the registry ID number in row 2108 of the table for production class 4.</t>
  </si>
  <si>
    <t>Enter the registry ID number in row 2109 of the table for production class 4.</t>
  </si>
  <si>
    <t>Enter the registry ID number in row 2110 of the table for production class 4.</t>
  </si>
  <si>
    <t>Enter the registry ID number in row 2111 of the table for production class 4.</t>
  </si>
  <si>
    <t>Enter the registry ID number in row 2112 of the table for production class 4.</t>
  </si>
  <si>
    <t>Enter the registry ID number in row 2113 of the table for production class 4.</t>
  </si>
  <si>
    <t>Enter the registry ID number in row 2114 of the table for production class 4.</t>
  </si>
  <si>
    <t>Enter the registry ID number in row 2115 of the table for production class 4.</t>
  </si>
  <si>
    <t>Enter the registry ID number in row 2116 of the table for production class 4.</t>
  </si>
  <si>
    <t>Enter the registry ID number in row 2117 of the table for production class 4.</t>
  </si>
  <si>
    <t>Enter the registry ID number in row 2118 of the table for production class 4.</t>
  </si>
  <si>
    <t>Enter the registry ID number in row 2119 of the table for production class 4.</t>
  </si>
  <si>
    <t>Enter the registry ID number in row 2120 of the table for production class 4.</t>
  </si>
  <si>
    <t>Enter the registry ID number in row 2121 of the table for production class 4.</t>
  </si>
  <si>
    <t>Enter the registry ID number in row 2122 of the table for production class 4.</t>
  </si>
  <si>
    <t>Enter the registry ID number in row 2123 of the table for production class 4.</t>
  </si>
  <si>
    <t>Enter the registry ID number in row 2124 of the table for production class 4.</t>
  </si>
  <si>
    <t>Enter the registry ID number in row 2125 of the table for production class 4.</t>
  </si>
  <si>
    <t>Enter the registry ID number in row 2126 of the table for production class 4.</t>
  </si>
  <si>
    <t>Enter the registry ID number in row 2127 of the table for production class 4.</t>
  </si>
  <si>
    <t>Enter the registry ID number in row 2128 of the table for production class 4.</t>
  </si>
  <si>
    <t>Enter the registry ID number in row 2129 of the table for production class 4.</t>
  </si>
  <si>
    <t>Enter the registry ID number in row 2130 of the table for production class 4.</t>
  </si>
  <si>
    <t>Enter the registry ID number in row 2131 of the table for production class 4.</t>
  </si>
  <si>
    <t>Enter the registry ID number in row 2132 of the table for production class 4.</t>
  </si>
  <si>
    <t>Enter the registry ID number in row 2133 of the table for production class 4.</t>
  </si>
  <si>
    <t>Enter the registry ID number in row 2134 of the table for production class 4.</t>
  </si>
  <si>
    <t>Enter the registry ID number in row 2135 of the table for production class 4.</t>
  </si>
  <si>
    <t>Enter the registry ID number in row 2136 of the table for production class 4.</t>
  </si>
  <si>
    <t>Enter the registry ID number in row 2137 of the table for production class 4.</t>
  </si>
  <si>
    <t>Enter the registry ID number in row 2138 of the table for production class 4.</t>
  </si>
  <si>
    <t>Enter the registry ID number in row 2139 of the table for production class 4.</t>
  </si>
  <si>
    <t>Enter the registry ID number in row 2140 of the table for production class 4.</t>
  </si>
  <si>
    <t>Enter the registry ID number in row 2141 of the table for production class 4.</t>
  </si>
  <si>
    <t>Enter the registry ID number in row 2142 of the table for production class 4.</t>
  </si>
  <si>
    <t>Enter the registry ID number in row 2143 of the table for production class 4.</t>
  </si>
  <si>
    <t>Enter the registry ID number in row 2144 of the table for production class 4.</t>
  </si>
  <si>
    <t>Enter the registry ID number in row 2145 of the table for production class 4.</t>
  </si>
  <si>
    <t>Enter the registry ID number in row 2146 of the table for production class 4.</t>
  </si>
  <si>
    <t>Enter the registry ID number in row 2147 of the table for production class 4.</t>
  </si>
  <si>
    <t>Enter the registry ID number in row 2148 of the table for production class 4.</t>
  </si>
  <si>
    <t>Enter the registry ID number in row 2149 of the table for production class 4.</t>
  </si>
  <si>
    <t>Enter the registry ID number in row 2150 of the table for production class 4.</t>
  </si>
  <si>
    <t>Enter the registry ID number in row 2151 of the table for production class 4.</t>
  </si>
  <si>
    <t>Enter the registry ID number in row 2152 of the table for production class 4.</t>
  </si>
  <si>
    <t>Enter the registry ID number in row 2153 of the table for production class 4.</t>
  </si>
  <si>
    <t>Enter the registry ID number in row 2154 of the table for production class 4.</t>
  </si>
  <si>
    <t>Enter the registry ID number in row 2155 of the table for production class 4.</t>
  </si>
  <si>
    <t>Enter the registry ID number in row 2156 of the table for production class 4.</t>
  </si>
  <si>
    <t>Enter the registry ID number in row 2157 of the table for production class 4.</t>
  </si>
  <si>
    <t>Enter the registry ID number in row 2158 of the table for production class 4.</t>
  </si>
  <si>
    <t>Enter the registry ID number in row 2159 of the table for production class 4.</t>
  </si>
  <si>
    <t>Enter the registry ID number in row 2160 of the table for production class 4.</t>
  </si>
  <si>
    <t>Enter the registry ID number in row 2161 of the table for production class 4.</t>
  </si>
  <si>
    <t>Enter the registry ID number in row 2162 of the table for production class 4.</t>
  </si>
  <si>
    <t>Enter the registry ID number in row 2163 of the table for production class 4.</t>
  </si>
  <si>
    <t>Enter the registry ID number in row 2164 of the table for production class 4.</t>
  </si>
  <si>
    <t>Enter the registry ID number in row 2165 of the table for production class 4.</t>
  </si>
  <si>
    <t>Enter the registry ID number in row 2166 of the table for production class 4.</t>
  </si>
  <si>
    <t>Enter the registry ID number in row 2167 of the table for production class 4.</t>
  </si>
  <si>
    <t>Enter the registry ID number in row 2168 of the table for production class 4.</t>
  </si>
  <si>
    <t>Enter the registry ID number in row 2169 of the table for production class 4.</t>
  </si>
  <si>
    <t>Enter the registry ID number in row 2170 of the table for production class 4.</t>
  </si>
  <si>
    <t>Enter the registry ID number in row 2171 of the table for production class 4.</t>
  </si>
  <si>
    <t>Enter the registry ID number in row 2172 of the table for production class 4.</t>
  </si>
  <si>
    <t>Enter the registry ID number in row 2173 of the table for production class 4.</t>
  </si>
  <si>
    <t>Enter the registry ID number in row 2174 of the table for production class 4.</t>
  </si>
  <si>
    <t>Enter the registry ID number in row 2175 of the table for production class 4.</t>
  </si>
  <si>
    <t>Enter the registry ID number in row 2176 of the table for production class 4.</t>
  </si>
  <si>
    <t>Enter the registry ID number in row 2177 of the table for production class 4.</t>
  </si>
  <si>
    <t>Enter the registry ID number in row 2178 of the table for production class 4.</t>
  </si>
  <si>
    <t>Enter the registry ID number in row 2179 of the table for production class 4.</t>
  </si>
  <si>
    <t>Enter the registry ID number in row 2180 of the table for production class 4.</t>
  </si>
  <si>
    <t>Enter the registry ID number in row 2181 of the table for production class 4.</t>
  </si>
  <si>
    <t>Enter the registry ID number in row 2182 of the table for production class 4.</t>
  </si>
  <si>
    <t>Enter the registry ID number in row 2183 of the table for production class 4.</t>
  </si>
  <si>
    <t>Enter the registry ID number in row 2184 of the table for production class 4.</t>
  </si>
  <si>
    <t>Enter the registry ID number in row 2185 of the table for production class 4.</t>
  </si>
  <si>
    <t>Enter the registry ID number in row 2186 of the table for production class 4.</t>
  </si>
  <si>
    <t>Enter the registry ID number in row 2187 of the table for production class 4.</t>
  </si>
  <si>
    <t>Enter the registry ID number in row 2188 of the table for production class 4.</t>
  </si>
  <si>
    <t>Enter the registry ID number in row 2189 of the table for production class 4.</t>
  </si>
  <si>
    <t>Enter the registry ID number in row 2190 of the table for production class 4.</t>
  </si>
  <si>
    <t>Enter the registry ID number in row 2191 of the table for production class 4.</t>
  </si>
  <si>
    <t>Enter the registry ID number in row 2192 of the table for production class 4.</t>
  </si>
  <si>
    <t>Enter the registry ID number in row 2193 of the table for production class 4.</t>
  </si>
  <si>
    <t>Enter the registry ID number in row 2194 of the table for production class 4.</t>
  </si>
  <si>
    <t>Enter the registry ID number in row 2195 of the table for production class 4.</t>
  </si>
  <si>
    <t>Enter the registry ID number in row 2196 of the table for production class 4.</t>
  </si>
  <si>
    <t>Enter the registry ID number in row 2197 of the table for production class 4.</t>
  </si>
  <si>
    <t>Enter the registry ID number in row 2198 of the table for production class 4.</t>
  </si>
  <si>
    <t>Enter the registry ID number in row 2199 of the table for production class 4.</t>
  </si>
  <si>
    <t>Enter the registry ID number in row 2200 of the table for production class 4.</t>
  </si>
  <si>
    <t>Enter the registry ID number in row 2201 of the table for production class 4.</t>
  </si>
  <si>
    <t>Enter the registry ID number in row 2202 of the table for production class 4.</t>
  </si>
  <si>
    <t>Enter the registry ID number in row 2203 of the table for production class 4.</t>
  </si>
  <si>
    <t>Enter the registry ID number in row 2204 of the table for production class 4.</t>
  </si>
  <si>
    <t>Enter the registry ID number in row 2205 of the table for production class 4.</t>
  </si>
  <si>
    <t>Enter the registry ID number in row 2206 of the table for production class 4.</t>
  </si>
  <si>
    <t>Enter the registry ID number in row 2207 of the table for production class 4.</t>
  </si>
  <si>
    <t>Enter the registry ID number in row 2208 of the table for production class 4.</t>
  </si>
  <si>
    <t>Enter the registry ID number in row 2209 of the table for production class 4.</t>
  </si>
  <si>
    <t>Enter the registry ID number in row 2210 of the table for production class 4.</t>
  </si>
  <si>
    <t>Enter the registry ID number in row 2211 of the table for production class 4.</t>
  </si>
  <si>
    <t>Enter the registry ID number in row 2212 of the table for production class 4.</t>
  </si>
  <si>
    <t>Enter the registry ID number in row 2213 of the table for production class 4.</t>
  </si>
  <si>
    <t>Enter the registry ID number in row 2214 of the table for production class 4.</t>
  </si>
  <si>
    <t>Enter the registry ID number in row 2215 of the table for production class 4.</t>
  </si>
  <si>
    <t>Enter the registry ID number in row 2216 of the table for production class 4.</t>
  </si>
  <si>
    <t>Enter the registry ID number in row 2217 of the table for production class 4.</t>
  </si>
  <si>
    <t>Enter the registry ID number in row 2218 of the table for production class 4.</t>
  </si>
  <si>
    <t>Enter the registry ID number in row 2219 of the table for production class 4.</t>
  </si>
  <si>
    <t>Enter the registry ID number in row 2220 of the table for production class 4.</t>
  </si>
  <si>
    <t>Enter the registry ID number in row 2221 of the table for production class 4.</t>
  </si>
  <si>
    <t>Enter the registry ID number in row 2222 of the table for production class 4.</t>
  </si>
  <si>
    <t>Enter the registry ID number in row 2223 of the table for production class 4.</t>
  </si>
  <si>
    <t>Enter the registry ID number in row 2224 of the table for production class 4.</t>
  </si>
  <si>
    <t>Enter the registry ID number in row 2225 of the table for production class 4.</t>
  </si>
  <si>
    <t>Enter the registry ID number in row 2226 of the table for production class 4.</t>
  </si>
  <si>
    <t>Enter the registry ID number in row 2227 of the table for production class 4.</t>
  </si>
  <si>
    <t>Enter the registry ID number in row 2228 of the table for production class 4.</t>
  </si>
  <si>
    <t>Enter the registry ID number in row 2229 of the table for production class 4.</t>
  </si>
  <si>
    <t>Enter the registry ID number in row 2230 of the table for production class 4.</t>
  </si>
  <si>
    <t>Enter the registry ID number in row 2231 of the table for production class 4.</t>
  </si>
  <si>
    <t>Enter the registry ID number in row 2232 of the table for production class 4.</t>
  </si>
  <si>
    <t>Enter the registry ID number in row 2233 of the table for production class 4.</t>
  </si>
  <si>
    <t>Enter the registry ID number in row 2234 of the table for production class 4.</t>
  </si>
  <si>
    <t>Enter the registry ID number in row 2235 of the table for production class 4.</t>
  </si>
  <si>
    <t>Enter the registry ID number in row 2236 of the table for production class 4.</t>
  </si>
  <si>
    <t>Enter the registry ID number in row 2237 of the table for production class 4.</t>
  </si>
  <si>
    <t>Enter the registry ID number in row 2238 of the table for production class 4.</t>
  </si>
  <si>
    <t>Enter the registry ID number in row 2239 of the table for production class 4.</t>
  </si>
  <si>
    <t>Enter the registry ID number in row 2240 of the table for production class 4.</t>
  </si>
  <si>
    <t>Enter the registry ID number in row 2241 of the table for production class 4.</t>
  </si>
  <si>
    <t>Enter the registry ID number in row 2242 of the table for production class 4.</t>
  </si>
  <si>
    <t>Enter the registry ID number in row 2243 of the table for production class 4.</t>
  </si>
  <si>
    <t>Enter the registry ID number in row 2244 of the table for production class 4.</t>
  </si>
  <si>
    <t>Enter the registry ID number in row 2245 of the table for production class 4.</t>
  </si>
  <si>
    <t>Enter the registry ID number in row 2246 of the table for production class 4.</t>
  </si>
  <si>
    <t>Enter the registry ID number in row 2247 of the table for production class 4.</t>
  </si>
  <si>
    <t>Enter the registry ID number in row 2248 of the table for production class 4.</t>
  </si>
  <si>
    <t>Enter the registry ID number in row 2249 of the table for production class 4.</t>
  </si>
  <si>
    <t>Enter the registry ID number in row 2250 of the table for production class 4.</t>
  </si>
  <si>
    <t>Enter the registry ID number in row 2251 of the table for production class 4.</t>
  </si>
  <si>
    <t>Enter the registry ID number in row 2252 of the table for production class 4.</t>
  </si>
  <si>
    <t>Enter the registry ID number in row 2253 of the table for production class 4.</t>
  </si>
  <si>
    <t>Enter the registry ID number in row 2254 of the table for production class 4.</t>
  </si>
  <si>
    <t>Enter the registry ID number in row 2255 of the table for production class 4.</t>
  </si>
  <si>
    <t>Enter the registry ID number in row 2256 of the table for production class 4.</t>
  </si>
  <si>
    <t>Enter the registry ID number in row 2257 of the table for production class 4.</t>
  </si>
  <si>
    <t>Enter the registry ID number in row 2258 of the table for production class 4.</t>
  </si>
  <si>
    <t>Enter the registry ID number in row 2259 of the table for production class 4.</t>
  </si>
  <si>
    <t>Enter the registry ID number in row 2260 of the table for production class 4.</t>
  </si>
  <si>
    <t>Enter the registry ID number in row 2261 of the table for production class 4.</t>
  </si>
  <si>
    <t>Enter the registry ID number in row 2262 of the table for production class 4.</t>
  </si>
  <si>
    <t>Enter the registry ID number in row 2263 of the table for production class 4.</t>
  </si>
  <si>
    <t>Enter the registry ID number in row 2264 of the table for production class 4.</t>
  </si>
  <si>
    <t>Enter the registry ID number in row 2265 of the table for production class 4.</t>
  </si>
  <si>
    <t>Enter the registry ID number in row 2266 of the table for production class 4.</t>
  </si>
  <si>
    <t>Enter the registry ID number in row 2267 of the table for production class 4.</t>
  </si>
  <si>
    <t>Enter the registry ID number in row 2268 of the table for production class 4.</t>
  </si>
  <si>
    <t>Enter the registry ID number in row 2269 of the table for production class 4.</t>
  </si>
  <si>
    <t>Enter the registry ID number in row 2270 of the table for production class 4.</t>
  </si>
  <si>
    <t>Enter the registry ID number in row 2271 of the table for production class 4.</t>
  </si>
  <si>
    <t>Enter the registry ID number in row 2272 of the table for production class 4.</t>
  </si>
  <si>
    <t>Enter the registry ID number in row 2273 of the table for production class 4.</t>
  </si>
  <si>
    <t>Enter the registry ID number in row 2274 of the table for production class 4.</t>
  </si>
  <si>
    <t>Enter the registry ID number in row 2275 of the table for production class 4.</t>
  </si>
  <si>
    <t>Enter the registry ID number in row 2276 of the table for production class 4.</t>
  </si>
  <si>
    <t>Enter the registry ID number in row 2277 of the table for production class 4.</t>
  </si>
  <si>
    <t>Enter the registry ID number in row 2278 of the table for production class 4.</t>
  </si>
  <si>
    <t>Enter the registry ID number in row 2279 of the table for production class 4.</t>
  </si>
  <si>
    <t>Enter the registry ID number in row 2280 of the table for production class 4.</t>
  </si>
  <si>
    <t>Enter the registry ID number in row 2281 of the table for production class 4.</t>
  </si>
  <si>
    <t>Enter the registry ID number in row 2282 of the table for production class 4.</t>
  </si>
  <si>
    <t>Enter the registry ID number in row 2283 of the table for production class 4.</t>
  </si>
  <si>
    <t>Enter the registry ID number in row 2284 of the table for production class 4.</t>
  </si>
  <si>
    <t>Enter the registry ID number in row 2285 of the table for production class 4.</t>
  </si>
  <si>
    <t>Enter the registry ID number in row 2286 of the table for production class 4.</t>
  </si>
  <si>
    <t>Enter the registry ID number in row 2287 of the table for production class 4.</t>
  </si>
  <si>
    <t>Enter the registry ID number in row 2288 of the table for production class 4.</t>
  </si>
  <si>
    <t>Enter the registry ID number in row 2289 of the table for production class 4.</t>
  </si>
  <si>
    <t>Enter the registry ID number in row 2290 of the table for production class 4.</t>
  </si>
  <si>
    <t>Enter the registry ID number in row 2291 of the table for production class 4.</t>
  </si>
  <si>
    <t>Enter the registry ID number in row 2292 of the table for production class 4.</t>
  </si>
  <si>
    <t>Enter the registry ID number in row 2293 of the table for production class 4.</t>
  </si>
  <si>
    <t>Enter the registry ID number in row 2294 of the table for production class 4.</t>
  </si>
  <si>
    <t>Enter the registry ID number in row 2295 of the table for production class 4.</t>
  </si>
  <si>
    <t>Enter the registry ID number in row 2296 of the table for production class 4.</t>
  </si>
  <si>
    <t>Enter the registry ID number in row 2297 of the table for production class 4.</t>
  </si>
  <si>
    <t>Enter the registry ID number in row 2298 of the table for production class 4.</t>
  </si>
  <si>
    <t>Enter the registry ID number in row 2299 of the table for production class 4.</t>
  </si>
  <si>
    <t>Enter the registry ID number in row 2300 of the table for production class 4.</t>
  </si>
  <si>
    <t>Enter the registry ID number in row 2301 of the table for production class 4.</t>
  </si>
  <si>
    <t>Enter the registry ID number in row 2302 of the table for production class 4.</t>
  </si>
  <si>
    <t>Enter the registry ID number in row 2303 of the table for production class 4.</t>
  </si>
  <si>
    <t>Enter the registry ID number in row 2304 of the table for production class 4.</t>
  </si>
  <si>
    <t>Enter the registry ID number in row 2305 of the table for production class 4.</t>
  </si>
  <si>
    <t>Enter the registry ID number in row 2306 of the table for production class 4.</t>
  </si>
  <si>
    <t>Enter the registry ID number in row 2307 of the table for production class 4.</t>
  </si>
  <si>
    <t>Enter the registry ID number in row 2308 of the table for production class 4.</t>
  </si>
  <si>
    <t>Enter the registry ID number in row 2309 of the table for production class 4.</t>
  </si>
  <si>
    <t>Enter the registry ID number in row 2310 of the table for production class 4.</t>
  </si>
  <si>
    <t>Enter the registry ID number in row 2311 of the table for production class 4.</t>
  </si>
  <si>
    <t>Enter the registry ID number in row 2312 of the table for production class 4.</t>
  </si>
  <si>
    <t>Enter the registry ID number in row 2313 of the table for production class 4.</t>
  </si>
  <si>
    <t>Enter the registry ID number in row 2314 of the table for production class 4.</t>
  </si>
  <si>
    <t>Enter the registry ID number in row 2315 of the table for production class 4.</t>
  </si>
  <si>
    <t>Enter the registry ID number in row 2316 of the table for production class 4.</t>
  </si>
  <si>
    <t>Enter the registry ID number in row 2317 of the table for production class 4.</t>
  </si>
  <si>
    <t>Enter the registry ID number in row 2318 of the table for production class 4.</t>
  </si>
  <si>
    <t>Enter the registry ID number in row 2319 of the table for production class 4.</t>
  </si>
  <si>
    <t>Enter the registry ID number in row 2320 of the table for production class 4.</t>
  </si>
  <si>
    <t>Enter the registry ID number in row 2321 of the table for production class 4.</t>
  </si>
  <si>
    <t>Enter the registry ID number in row 2322 of the table for production class 4.</t>
  </si>
  <si>
    <t>Enter the registry ID number in row 2323 of the table for production class 4.</t>
  </si>
  <si>
    <t>Enter the registry ID number in row 2324 of the table for production class 4.</t>
  </si>
  <si>
    <t>Enter the registry ID number in row 2325 of the table for production class 4.</t>
  </si>
  <si>
    <t>Enter the registry ID number in row 2326 of the table for production class 4.</t>
  </si>
  <si>
    <t>Enter the registry ID number in row 2327 of the table for production class 4.</t>
  </si>
  <si>
    <t>Enter the registry ID number in row 2328 of the table for production class 4.</t>
  </si>
  <si>
    <t>Enter the registry ID number in row 2329 of the table for production class 4.</t>
  </si>
  <si>
    <t>Enter the registry ID number in row 2330 of the table for production class 4.</t>
  </si>
  <si>
    <t>Enter the registry ID number in row 2331 of the table for production class 4.</t>
  </si>
  <si>
    <t>Enter the registry ID number in row 2332 of the table for production class 4.</t>
  </si>
  <si>
    <t>Enter the registry ID number in row 2333 of the table for production class 4.</t>
  </si>
  <si>
    <t>Enter the registry ID number in row 2334 of the table for production class 4.</t>
  </si>
  <si>
    <t>Enter the registry ID number in row 2335 of the table for production class 4.</t>
  </si>
  <si>
    <t>Enter the registry ID number in row 2336 of the table for production class 4.</t>
  </si>
  <si>
    <t>Enter the registry ID number in row 2337 of the table for production class 4.</t>
  </si>
  <si>
    <t>Enter the registry ID number in row 2338 of the table for production class 4.</t>
  </si>
  <si>
    <t>Enter the registry ID number in row 2339 of the table for production class 4.</t>
  </si>
  <si>
    <t>Enter the registry ID number in row 2340 of the table for production class 4.</t>
  </si>
  <si>
    <t>Enter the registry ID number in row 2341 of the table for production class 4.</t>
  </si>
  <si>
    <t>Enter the registry ID number in row 2342 of the table for production class 4.</t>
  </si>
  <si>
    <t>Enter the registry ID number in row 2343 of the table for production class 4.</t>
  </si>
  <si>
    <t>Enter the registry ID number in row 2344 of the table for production class 4.</t>
  </si>
  <si>
    <t>Enter the registry ID number in row 2345 of the table for production class 4.</t>
  </si>
  <si>
    <t>Enter the registry ID number in row 2346 of the table for production class 4.</t>
  </si>
  <si>
    <t>Enter the registry ID number in row 2347 of the table for production class 4.</t>
  </si>
  <si>
    <t>Enter the registry ID number in row 2348 of the table for production class 4.</t>
  </si>
  <si>
    <t>Enter the registry ID number in row 2349 of the table for production class 4.</t>
  </si>
  <si>
    <t>Enter the registry ID number in row 2350 of the table for production class 4.</t>
  </si>
  <si>
    <t>Enter the registry ID number in row 2351 of the table for production class 4.</t>
  </si>
  <si>
    <t>Enter the registry ID number in row 2352 of the table for production class 4.</t>
  </si>
  <si>
    <t>Enter the registry ID number in row 2353 of the table for production class 4.</t>
  </si>
  <si>
    <t>Enter the registry ID number in row 2354 of the table for production class 4.</t>
  </si>
  <si>
    <t>Enter the registry ID number in row 2355 of the table for production class 4.</t>
  </si>
  <si>
    <t>Enter the registry ID number in row 2356 of the table for production class 4.</t>
  </si>
  <si>
    <t>Enter the registry ID number in row 2357 of the table for production class 4.</t>
  </si>
  <si>
    <t>Enter the registry ID number in row 2358 of the table for production class 4.</t>
  </si>
  <si>
    <t>Enter the registry ID number in row 2359 of the table for production class 4.</t>
  </si>
  <si>
    <t>Enter the registry ID number in row 2360 of the table for production class 4.</t>
  </si>
  <si>
    <t>Enter the registry ID number in row 2361 of the table for production class 4.</t>
  </si>
  <si>
    <t>Enter the registry ID number in row 2362 of the table for production class 4.</t>
  </si>
  <si>
    <t>Enter the registry ID number in row 2363 of the table for production class 4.</t>
  </si>
  <si>
    <t>Enter the registry ID number in row 2364 of the table for production class 4.</t>
  </si>
  <si>
    <t>Enter the registry ID number in row 2365 of the table for production class 4.</t>
  </si>
  <si>
    <t>Enter the registry ID number in row 2366 of the table for production class 4.</t>
  </si>
  <si>
    <t>Enter the registry ID number in row 2367 of the table for production class 4.</t>
  </si>
  <si>
    <t>Enter the registry ID number in row 2368 of the table for production class 4.</t>
  </si>
  <si>
    <t>Enter the registry ID number in row 2369 of the table for production class 4.</t>
  </si>
  <si>
    <t>Enter the registry ID number in row 2370 of the table for production class 4.</t>
  </si>
  <si>
    <t>Enter the registry ID number in row 2371 of the table for production class 4.</t>
  </si>
  <si>
    <t>Enter the registry ID number in row 2372 of the table for production class 4.</t>
  </si>
  <si>
    <t>Enter the registry ID number in row 2373 of the table for production class 4.</t>
  </si>
  <si>
    <t>Enter the registry ID number in row 2374 of the table for production class 4.</t>
  </si>
  <si>
    <t>Enter the registry ID number in row 2375 of the table for production class 4.</t>
  </si>
  <si>
    <t>Enter the registry ID number in row 2376 of the table for production class 4.</t>
  </si>
  <si>
    <t>Enter the registry ID number in row 2377 of the table for production class 4.</t>
  </si>
  <si>
    <t>Enter the registry ID number in row 2378 of the table for production class 4.</t>
  </si>
  <si>
    <t>Enter the registry ID number in row 2379 of the table for production class 4.</t>
  </si>
  <si>
    <t>Enter the registry ID number in row 2380 of the table for production class 4.</t>
  </si>
  <si>
    <t>Enter the registry ID number in row 2381 of the table for production class 4.</t>
  </si>
  <si>
    <t>Enter the registry ID number in row 2382 of the table for production class 4.</t>
  </si>
  <si>
    <t>Enter the registry ID number in row 2383 of the table for production class 4.</t>
  </si>
  <si>
    <t>Enter the registry ID number in row 2384 of the table for production class 4.</t>
  </si>
  <si>
    <t>Enter the registry ID number in row 2385 of the table for production class 4.</t>
  </si>
  <si>
    <t>Enter the registry ID number in row 2386 of the table for production class 4.</t>
  </si>
  <si>
    <t>Enter the registry ID number in row 2387 of the table for production class 4.</t>
  </si>
  <si>
    <t>Enter the registry ID number in row 2388 of the table for production class 4.</t>
  </si>
  <si>
    <t>Enter the registry ID number in row 2389 of the table for production class 4.</t>
  </si>
  <si>
    <t>Enter the registry ID number in row 2390 of the table for production class 4.</t>
  </si>
  <si>
    <t>Enter the registry ID number in row 2391 of the table for production class 4.</t>
  </si>
  <si>
    <t>Enter the registry ID number in row 2392 of the table for production class 4.</t>
  </si>
  <si>
    <t>Enter the registry ID number in row 2393 of the table for production class 4.</t>
  </si>
  <si>
    <t>Enter the registry ID number in row 2394 of the table for production class 4.</t>
  </si>
  <si>
    <t>Enter the registry ID number in row 2395 of the table for production class 4.</t>
  </si>
  <si>
    <t>Enter the registry ID number in row 2396 of the table for production class 4.</t>
  </si>
  <si>
    <t>Enter the registry ID number in row 2397 of the table for production class 4.</t>
  </si>
  <si>
    <t>Enter the registry ID number in row 2398 of the table for production class 4.</t>
  </si>
  <si>
    <t>Enter the registry ID number in row 2399 of the table for production class 4.</t>
  </si>
  <si>
    <t>Enter the registry ID number in row 2400 of the table for production class 4.</t>
  </si>
  <si>
    <t>Enter the registry ID number in row 2401 of the table for production class 4.</t>
  </si>
  <si>
    <t>Enter the registry ID number in row 2402 of the table for production class 4.</t>
  </si>
  <si>
    <t>Enter the registry ID number in row 2403 of the table for production class 4.</t>
  </si>
  <si>
    <t>Enter the registry ID number in row 2404 of the table for production class 4.</t>
  </si>
  <si>
    <t>Enter the registry ID number in row 2405 of the table for production class 4.</t>
  </si>
  <si>
    <t>Enter the registry ID number in row 2406 of the table for production class 4.</t>
  </si>
  <si>
    <t>Enter the registry ID number in row 2407 of the table for production class 4.</t>
  </si>
  <si>
    <t>Enter the registry ID number in row 2408 of the table for production class 4.</t>
  </si>
  <si>
    <t>Enter the registry ID number in row 2409 of the table for production class 4.</t>
  </si>
  <si>
    <t>Enter the registry ID number in row 2410 of the table for production class 4.</t>
  </si>
  <si>
    <t>Enter the registry ID number in row 2411 of the table for production class 4.</t>
  </si>
  <si>
    <t>Enter the registry ID number in row 2412 of the table for production class 4.</t>
  </si>
  <si>
    <t>Enter the registry ID number in row 2413 of the table for production class 4.</t>
  </si>
  <si>
    <t>Enter the registry ID number in row 2414 of the table for production class 4.</t>
  </si>
  <si>
    <t>Enter the registry ID number in row 2415 of the table for production class 4.</t>
  </si>
  <si>
    <t>Enter the registry ID number in row 2416 of the table for production class 4.</t>
  </si>
  <si>
    <t>Enter the registry ID number in row 2417 of the table for production class 4.</t>
  </si>
  <si>
    <t>Enter the registry ID number in row 2418 of the table for production class 4.</t>
  </si>
  <si>
    <t>Enter the registry ID number in row 2419 of the table for production class 4.</t>
  </si>
  <si>
    <t>Enter the registry ID number in row 2420 of the table for production class 4.</t>
  </si>
  <si>
    <t>Enter the registry ID number in row 2421 of the table for production class 4.</t>
  </si>
  <si>
    <t>Enter the registry ID number in row 2422 of the table for production class 4.</t>
  </si>
  <si>
    <t>Enter the registry ID number in row 2423 of the table for production class 4.</t>
  </si>
  <si>
    <t>Enter the registry ID number in row 2424 of the table for production class 4.</t>
  </si>
  <si>
    <t>Enter the registry ID number in row 2425 of the table for production class 4.</t>
  </si>
  <si>
    <t>Enter the registry ID number in row 2426 of the table for production class 4.</t>
  </si>
  <si>
    <t>Enter the registry ID number in row 2427 of the table for production class 4.</t>
  </si>
  <si>
    <t>Enter the registry ID number in row 2428 of the table for production class 4.</t>
  </si>
  <si>
    <t>Enter the registry ID number in row 2429 of the table for production class 4.</t>
  </si>
  <si>
    <t>Enter the registry ID number in row 2430 of the table for production class 4.</t>
  </si>
  <si>
    <t>Enter the registry ID number in row 2431 of the table for production class 4.</t>
  </si>
  <si>
    <t>Enter the registry ID number in row 2432 of the table for production class 4.</t>
  </si>
  <si>
    <t>Enter the registry ID number in row 2433 of the table for production class 4.</t>
  </si>
  <si>
    <t>Enter the registry ID number in row 2434 of the table for production class 4.</t>
  </si>
  <si>
    <t>Enter the registry ID number in row 2435 of the table for production class 4.</t>
  </si>
  <si>
    <t>Enter the registry ID number in row 2436 of the table for production class 4.</t>
  </si>
  <si>
    <t>Enter the registry ID number in row 2437 of the table for production class 4.</t>
  </si>
  <si>
    <t>Enter the registry ID number in row 2438 of the table for production class 4.</t>
  </si>
  <si>
    <t>Enter the registry ID number in row 2439 of the table for production class 4.</t>
  </si>
  <si>
    <t>Enter the registry ID number in row 2440 of the table for production class 4.</t>
  </si>
  <si>
    <t>Enter the registry ID number in row 2441 of the table for production class 4.</t>
  </si>
  <si>
    <t>Enter the registry ID number in row 2442 of the table for production class 4.</t>
  </si>
  <si>
    <t>Enter the registry ID number in row 2443 of the table for production class 4.</t>
  </si>
  <si>
    <t>Enter the registry ID number in row 2444 of the table for production class 4.</t>
  </si>
  <si>
    <t>Enter the registry ID number in row 2445 of the table for production class 4.</t>
  </si>
  <si>
    <t>Enter the registry ID number in row 2446 of the table for production class 4.</t>
  </si>
  <si>
    <t>Enter the registry ID number in row 2447 of the table for production class 4.</t>
  </si>
  <si>
    <t>Enter the registry ID number in row 2448 of the table for production class 4.</t>
  </si>
  <si>
    <t>Enter the registry ID number in row 2449 of the table for production class 4.</t>
  </si>
  <si>
    <t>Enter the registry ID number in row 2450 of the table for production class 4.</t>
  </si>
  <si>
    <t>Enter the registry ID number in row 2451 of the table for production class 4.</t>
  </si>
  <si>
    <t>Enter the registry ID number in row 2452 of the table for production class 4.</t>
  </si>
  <si>
    <t>Enter the registry ID number in row 2453 of the table for production class 4.</t>
  </si>
  <si>
    <t>Enter the registry ID number in row 2454 of the table for production class 4.</t>
  </si>
  <si>
    <t>Enter the registry ID number in row 2455 of the table for production class 4.</t>
  </si>
  <si>
    <t>Enter the registry ID number in row 2456 of the table for production class 4.</t>
  </si>
  <si>
    <t>Enter the registry ID number in row 2457 of the table for production class 4.</t>
  </si>
  <si>
    <t>Enter the registry ID number in row 2458 of the table for production class 4.</t>
  </si>
  <si>
    <t>Enter the registry ID number in row 2459 of the table for production class 4.</t>
  </si>
  <si>
    <t>Enter the registry ID number in row 2460 of the table for production class 4.</t>
  </si>
  <si>
    <t>Enter the registry ID number in row 2461 of the table for production class 4.</t>
  </si>
  <si>
    <t>Enter the registry ID number in row 2462 of the table for production class 4.</t>
  </si>
  <si>
    <t>Enter the registry ID number in row 2463 of the table for production class 4.</t>
  </si>
  <si>
    <t>Enter the registry ID number in row 2464 of the table for production class 4.</t>
  </si>
  <si>
    <t>Enter the registry ID number in row 2465 of the table for production class 4.</t>
  </si>
  <si>
    <t>Enter the registry ID number in row 2466 of the table for production class 4.</t>
  </si>
  <si>
    <t>Enter the registry ID number in row 2467 of the table for production class 4.</t>
  </si>
  <si>
    <t>Enter the registry ID number in row 2468 of the table for production class 4.</t>
  </si>
  <si>
    <t>Enter the registry ID number in row 2469 of the table for production class 4.</t>
  </si>
  <si>
    <t>Enter the registry ID number in row 2470 of the table for production class 4.</t>
  </si>
  <si>
    <t>Enter the registry ID number in row 2471 of the table for production class 4.</t>
  </si>
  <si>
    <t>Enter the registry ID number in row 2472 of the table for production class 4.</t>
  </si>
  <si>
    <t>Enter the registry ID number in row 2473 of the table for production class 4.</t>
  </si>
  <si>
    <t>Enter the registry ID number in row 2474 of the table for production class 4.</t>
  </si>
  <si>
    <t>Enter the registry ID number in row 2475 of the table for production class 4.</t>
  </si>
  <si>
    <t>Enter the registry ID number in row 2476 of the table for production class 4.</t>
  </si>
  <si>
    <t>Enter the registry ID number in row 2477 of the table for production class 4.</t>
  </si>
  <si>
    <t>Enter the registry ID number in row 2478 of the table for production class 4.</t>
  </si>
  <si>
    <t>Enter the registry ID number in row 2479 of the table for production class 4.</t>
  </si>
  <si>
    <t>Enter the registry ID number in row 2480 of the table for production class 4.</t>
  </si>
  <si>
    <t>Enter the registry ID number in row 2481 of the table for production class 4.</t>
  </si>
  <si>
    <t>Enter the registry ID number in row 2482 of the table for production class 4.</t>
  </si>
  <si>
    <t>Enter the registry ID number in row 2483 of the table for production class 4.</t>
  </si>
  <si>
    <t>Enter the registry ID number in row 2484 of the table for production class 4.</t>
  </si>
  <si>
    <t>Enter the registry ID number in row 2485 of the table for production class 4.</t>
  </si>
  <si>
    <t>Enter the registry ID number in row 2486 of the table for production class 4.</t>
  </si>
  <si>
    <t>Enter the registry ID number in row 2487 of the table for production class 4.</t>
  </si>
  <si>
    <t>Enter the registry ID number in row 2488 of the table for production class 4.</t>
  </si>
  <si>
    <t>Enter the registry ID number in row 2489 of the table for production class 4.</t>
  </si>
  <si>
    <t>Enter the registry ID number in row 2490 of the table for production class 4.</t>
  </si>
  <si>
    <t>Enter the registry ID number in row 2491 of the table for production class 4.</t>
  </si>
  <si>
    <t>Enter the registry ID number in row 2492 of the table for production class 4.</t>
  </si>
  <si>
    <t>Enter the registry ID number in row 2493 of the table for production class 4.</t>
  </si>
  <si>
    <t>Enter the registry ID number in row 2494 of the table for production class 4.</t>
  </si>
  <si>
    <t>Enter the registry ID number in row 2495 of the table for production class 4.</t>
  </si>
  <si>
    <t>Enter the registry ID number in row 2496 of the table for production class 4.</t>
  </si>
  <si>
    <t>Enter the registry ID number in row 2497 of the table for production class 4.</t>
  </si>
  <si>
    <t>Enter the registry ID number in row 2498 of the table for production class 4.</t>
  </si>
  <si>
    <t>Enter the registry ID number in row 2499 of the table for production class 4.</t>
  </si>
  <si>
    <t>Enter the registry ID number in row 2500 of the table for production class 4.</t>
  </si>
  <si>
    <t>Enter the registry ID number in row 2501 of the table for production class 4.</t>
  </si>
  <si>
    <t>Enter the registry ID number in row 2502 of the table for production class 4.</t>
  </si>
  <si>
    <t>Enter the registry ID number in row 2503 of the table for production class 4.</t>
  </si>
  <si>
    <t>Enter the registry ID number in row 2504 of the table for production class 4.</t>
  </si>
  <si>
    <t>Enter the registry ID number in row 2505 of the table for production class 4.</t>
  </si>
  <si>
    <t>Enter the registry ID number in row 2506 of the table for production class 4.</t>
  </si>
  <si>
    <t>Enter the registry ID number in row 2507 of the table for production class 4.</t>
  </si>
  <si>
    <t>Enter the registry ID number in row 2508 of the table for production class 4.</t>
  </si>
  <si>
    <t>Enter the registry ID number in row 2509 of the table for production class 4.</t>
  </si>
  <si>
    <t>Enter the registry ID number in row 2510 of the table for production class 4.</t>
  </si>
  <si>
    <t>Enter the registry ID number in row 2511 of the table for production class 4.</t>
  </si>
  <si>
    <t>Enter the registry ID number in row 2512 of the table for production class 4.</t>
  </si>
  <si>
    <t>Enter the registry ID number in row 2513 of the table for production class 4.</t>
  </si>
  <si>
    <t>Enter the registry ID number in row 2514 of the table for production class 4.</t>
  </si>
  <si>
    <t>Enter the registry ID number in row 2515 of the table for production class 4.</t>
  </si>
  <si>
    <t>Enter the registry ID number in row 2516 of the table for production class 4.</t>
  </si>
  <si>
    <t>Enter the registry ID number in row 2517 of the table for production class 4.</t>
  </si>
  <si>
    <t>Enter the registry ID number in row 2518 of the table for production class 4.</t>
  </si>
  <si>
    <t>Enter the registry ID number in row 2519 of the table for production class 4.</t>
  </si>
  <si>
    <t>Enter the registry ID number in row 2520 of the table for production class 4.</t>
  </si>
  <si>
    <t>Enter the registry ID number in row 2521 of the table for production class 4.</t>
  </si>
  <si>
    <t>Enter the registry ID number in row 2522 of the table for production class 4.</t>
  </si>
  <si>
    <t>Enter the registry ID number in row 2523 of the table for production class 4.</t>
  </si>
  <si>
    <t>Enter the registry ID number in row 2524 of the table for production class 4.</t>
  </si>
  <si>
    <t>Enter the registry ID number in row 2525 of the table for production class 4.</t>
  </si>
  <si>
    <t>Enter the registry ID number in row 2526 of the table for production class 4.</t>
  </si>
  <si>
    <t>Enter the registry ID number in row 2527 of the table for production class 4.</t>
  </si>
  <si>
    <t>Enter the registry ID number in row 2528 of the table for production class 4.</t>
  </si>
  <si>
    <t>Enter the registry ID number in row 2529 of the table for production class 4.</t>
  </si>
  <si>
    <t>Enter the registry ID number in row 2530 of the table for production class 4.</t>
  </si>
  <si>
    <t>Enter the registry ID number in row 2531 of the table for production class 4.</t>
  </si>
  <si>
    <t>Enter the registry ID number in row 2532 of the table for production class 4.</t>
  </si>
  <si>
    <t>Enter the registry ID number in row 2533 of the table for production class 4.</t>
  </si>
  <si>
    <t>Enter the registry ID number in row 2534 of the table for production class 4.</t>
  </si>
  <si>
    <t>Enter the registry ID number in row 2535 of the table for production class 4.</t>
  </si>
  <si>
    <t>Enter the registry ID number in row 2536 of the table for production class 4.</t>
  </si>
  <si>
    <t>Enter the registry ID number in row 2537 of the table for production class 4.</t>
  </si>
  <si>
    <t>Enter the registry ID number in row 2538 of the table for production class 4.</t>
  </si>
  <si>
    <t>Enter the registry ID number in row 2539 of the table for production class 4.</t>
  </si>
  <si>
    <t>Enter the registry ID number in row 2540 of the table for production class 4.</t>
  </si>
  <si>
    <t>Enter the registry ID number in row 2541 of the table for production class 4.</t>
  </si>
  <si>
    <t>Enter the registry ID number in row 2542 of the table for production class 4.</t>
  </si>
  <si>
    <t>Enter the registry ID number in row 2543 of the table for production class 4.</t>
  </si>
  <si>
    <t>Enter the registry ID number in row 2544 of the table for production class 4.</t>
  </si>
  <si>
    <t>Enter the registry ID number in row 2545 of the table for production class 4.</t>
  </si>
  <si>
    <t>Enter the registry ID number in row 2546 of the table for production class 4.</t>
  </si>
  <si>
    <t>Enter the registry ID number in row 2547 of the table for production class 4.</t>
  </si>
  <si>
    <t>Enter the registry ID number in row 2548 of the table for production class 4.</t>
  </si>
  <si>
    <t>Enter the registry ID number in row 2549 of the table for production class 4.</t>
  </si>
  <si>
    <t>Enter the registry ID number in row 2550 of the table for production class 4.</t>
  </si>
  <si>
    <t>Enter the registry ID number in row 2551 of the table for production class 4.</t>
  </si>
  <si>
    <t>Enter the registry ID number in row 2552 of the table for production class 4.</t>
  </si>
  <si>
    <t>Enter the registry ID number in row 2553 of the table for production class 4.</t>
  </si>
  <si>
    <t>Enter the registry ID number in row 2554 of the table for production class 4.</t>
  </si>
  <si>
    <t>Enter the registry ID number in row 2555 of the table for production class 4.</t>
  </si>
  <si>
    <t>Enter the registry ID number in row 2556 of the table for production class 4.</t>
  </si>
  <si>
    <t>Enter the registry ID number in row 2557 of the table for production class 4.</t>
  </si>
  <si>
    <t>Enter the registry ID number in row 2558 of the table for production class 4.</t>
  </si>
  <si>
    <t>Enter the registry ID number in row 2559 of the table for production class 4.</t>
  </si>
  <si>
    <t>Enter the registry ID number in row 2560 of the table for production class 4.</t>
  </si>
  <si>
    <t>Enter the registry ID number in row 2561 of the table for production class 4.</t>
  </si>
  <si>
    <t>Enter the registry ID number in row 2562 of the table for production class 4.</t>
  </si>
  <si>
    <t>Enter the registry ID number in row 2563 of the table for production class 4.</t>
  </si>
  <si>
    <t>Enter the registry ID number in row 2564 of the table for production class 4.</t>
  </si>
  <si>
    <t>Enter the registry ID number in row 2565 of the table for production class 4.</t>
  </si>
  <si>
    <t>Enter the registry ID number in row 2566 of the table for production class 4.</t>
  </si>
  <si>
    <t>Enter the registry ID number in row 2567 of the table for production class 4.</t>
  </si>
  <si>
    <t>Enter the registry ID number in row 2568 of the table for production class 4.</t>
  </si>
  <si>
    <t>Enter the registry ID number in row 2569 of the table for production class 4.</t>
  </si>
  <si>
    <t>Enter the registry ID number in row 2570 of the table for production class 4.</t>
  </si>
  <si>
    <t>Enter the registry ID number in row 2571 of the table for production class 4.</t>
  </si>
  <si>
    <t>Enter the registry ID number in row 2572 of the table for production class 4.</t>
  </si>
  <si>
    <t>Enter the registry ID number in row 2573 of the table for production class 4.</t>
  </si>
  <si>
    <t>Enter the registry ID number in row 2574 of the table for production class 4.</t>
  </si>
  <si>
    <t>Enter the registry ID number in row 2575 of the table for production class 4.</t>
  </si>
  <si>
    <t>Enter the registry ID number in row 2576 of the table for production class 4.</t>
  </si>
  <si>
    <t>Enter the registry ID number in row 2577 of the table for production class 4.</t>
  </si>
  <si>
    <t>Enter the registry ID number in row 2578 of the table for production class 4.</t>
  </si>
  <si>
    <t>Enter the registry ID number in row 2579 of the table for production class 4.</t>
  </si>
  <si>
    <t>Enter the registry ID number in row 2580 of the table for production class 4.</t>
  </si>
  <si>
    <t>Enter the registry ID number in row 2581 of the table for production class 4.</t>
  </si>
  <si>
    <t>Enter the registry ID number in row 2582 of the table for production class 4.</t>
  </si>
  <si>
    <t>Enter the registry ID number in row 2583 of the table for production class 4.</t>
  </si>
  <si>
    <t>Enter the registry ID number in row 2584 of the table for production class 4.</t>
  </si>
  <si>
    <t>Enter the registry ID number in row 2585 of the table for production class 4.</t>
  </si>
  <si>
    <t>Enter the registry ID number in row 2586 of the table for production class 4.</t>
  </si>
  <si>
    <t>Enter the registry ID number in row 2587 of the table for production class 4.</t>
  </si>
  <si>
    <t>Enter the registry ID number in row 2588 of the table for production class 4.</t>
  </si>
  <si>
    <t>Enter the registry ID number in row 2589 of the table for production class 4.</t>
  </si>
  <si>
    <t>Enter the registry ID number in row 2590 of the table for production class 4.</t>
  </si>
  <si>
    <t>Enter the registry ID number in row 2591 of the table for production class 4.</t>
  </si>
  <si>
    <t>Enter the registry ID number in row 2592 of the table for production class 4.</t>
  </si>
  <si>
    <t>Enter the registry ID number in row 2593 of the table for production class 4.</t>
  </si>
  <si>
    <t>Enter the registry ID number in row 2594 of the table for production class 4.</t>
  </si>
  <si>
    <t>Enter the registry ID number in row 2595 of the table for production class 4.</t>
  </si>
  <si>
    <t>Enter the registry ID number in row 2596 of the table for production class 4.</t>
  </si>
  <si>
    <t>Enter the registry ID number in row 2597 of the table for production class 4.</t>
  </si>
  <si>
    <t>Enter the registry ID number in row 2598 of the table for production class 4.</t>
  </si>
  <si>
    <t>Enter the registry ID number in row 2599 of the table for production class 4.</t>
  </si>
  <si>
    <t>Enter the registry ID number in row 2600 of the table for production class 4.</t>
  </si>
  <si>
    <t>Enter the registry ID number in row 2601 of the table for production class 4.</t>
  </si>
  <si>
    <t>Enter the registry ID number in row 2602 of the table for production class 4.</t>
  </si>
  <si>
    <t>Enter the registry ID number in row 2603 of the table for production class 4.</t>
  </si>
  <si>
    <t>Enter the registry ID number in row 2604 of the table for production class 4.</t>
  </si>
  <si>
    <t>Enter the registry ID number in row 2605 of the table for production class 4.</t>
  </si>
  <si>
    <t>Enter the registry ID number in row 2606 of the table for production class 4.</t>
  </si>
  <si>
    <t>Enter the registry ID number in row 2607 of the table for production class 4.</t>
  </si>
  <si>
    <t>Enter the registry ID number in row 2608 of the table for production class 4.</t>
  </si>
  <si>
    <t>Enter the registry ID number in row 2609 of the table for production class 4.</t>
  </si>
  <si>
    <t>Enter the registry ID number in row 2610 of the table for production class 4.</t>
  </si>
  <si>
    <t>Enter the registry ID number in row 2611 of the table for production class 4.</t>
  </si>
  <si>
    <t>Enter the registry ID number in row 2612 of the table for production class 4.</t>
  </si>
  <si>
    <t>Enter the registry ID number in row 2613 of the table for production class 4.</t>
  </si>
  <si>
    <t>Enter the registry ID number in row 2614 of the table for production class 4.</t>
  </si>
  <si>
    <t>Enter the registry ID number in row 2615 of the table for production class 4.</t>
  </si>
  <si>
    <t>Enter the registry ID number in row 2616 of the table for production class 4.</t>
  </si>
  <si>
    <t>Enter the registry ID number in row 2617 of the table for production class 4.</t>
  </si>
  <si>
    <t>Enter the registry ID number in row 2618 of the table for production class 4.</t>
  </si>
  <si>
    <t>Enter the registry ID number in row 2619 of the table for production class 4.</t>
  </si>
  <si>
    <t>Enter the registry ID number in row 2620 of the table for production class 4.</t>
  </si>
  <si>
    <t>Enter the registry ID number in row 2621 of the table for production class 4.</t>
  </si>
  <si>
    <t>Enter the registry ID number in row 2622 of the table for production class 4.</t>
  </si>
  <si>
    <t>Enter the registry ID number in row 2623 of the table for production class 4.</t>
  </si>
  <si>
    <t>Enter the registry ID number in row 2624 of the table for production class 4.</t>
  </si>
  <si>
    <t>Enter the registry ID number in row 2625 of the table for production class 4.</t>
  </si>
  <si>
    <t>Enter the registry ID number in row 2626 of the table for production class 4.</t>
  </si>
  <si>
    <t>Enter the registry ID number in row 2627 of the table for production class 4.</t>
  </si>
  <si>
    <t>Enter the registry ID number in row 2628 of the table for production class 4.</t>
  </si>
  <si>
    <t>Enter the registry ID number in row 2629 of the table for production class 4.</t>
  </si>
  <si>
    <t>Enter the registry ID number in row 2630 of the table for production class 4.</t>
  </si>
  <si>
    <t>Enter the registry ID number in row 2631 of the table for production class 4.</t>
  </si>
  <si>
    <t>Enter the registry ID number in row 2632 of the table for production class 4.</t>
  </si>
  <si>
    <t>Enter the registry ID number in row 2633 of the table for production class 4.</t>
  </si>
  <si>
    <t>Enter the registry ID number in row 2634 of the table for production class 4.</t>
  </si>
  <si>
    <t>Enter the registry ID number in row 2635 of the table for production class 4.</t>
  </si>
  <si>
    <t>Enter the registry ID number in row 2636 of the table for production class 4.</t>
  </si>
  <si>
    <t>Enter the registry ID number in row 2637 of the table for production class 4.</t>
  </si>
  <si>
    <t>Enter the registry ID number in row 2638 of the table for production class 4.</t>
  </si>
  <si>
    <t>Enter the registry ID number in row 2639 of the table for production class 4.</t>
  </si>
  <si>
    <t>Enter the registry ID number in row 2640 of the table for production class 4.</t>
  </si>
  <si>
    <t>Enter the registry ID number in row 2641 of the table for production class 4.</t>
  </si>
  <si>
    <t>Enter the registry ID number in row 2642 of the table for production class 4.</t>
  </si>
  <si>
    <t>Enter the registry ID number in row 2643 of the table for production class 4.</t>
  </si>
  <si>
    <t>Enter the registry ID number in row 2644 of the table for production class 4.</t>
  </si>
  <si>
    <t>Enter the registry ID number in row 2645 of the table for production class 4.</t>
  </si>
  <si>
    <t>Enter the registry ID number in row 2646 of the table for production class 4.</t>
  </si>
  <si>
    <t>Enter the registry ID number in row 2647 of the table for production class 4.</t>
  </si>
  <si>
    <t>Enter the registry ID number in row 2648 of the table for production class 4.</t>
  </si>
  <si>
    <t>Enter the registry ID number in row 2649 of the table for production class 4.</t>
  </si>
  <si>
    <t>Enter the registry ID number in row 2650 of the table for production class 4.</t>
  </si>
  <si>
    <t>Enter the registry ID number in row 2651 of the table for production class 4.</t>
  </si>
  <si>
    <t>Enter the registry ID number in row 2652 of the table for production class 4.</t>
  </si>
  <si>
    <t>Enter the registry ID number in row 2653 of the table for production class 4.</t>
  </si>
  <si>
    <t>Enter the registry ID number in row 2654 of the table for production class 4.</t>
  </si>
  <si>
    <t>Enter the registry ID number in row 2655 of the table for production class 4.</t>
  </si>
  <si>
    <t>Enter the registry ID number in row 2656 of the table for production class 4.</t>
  </si>
  <si>
    <t>Enter the registry ID number in row 2657 of the table for production class 4.</t>
  </si>
  <si>
    <t>Enter the registry ID number in row 2658 of the table for production class 4.</t>
  </si>
  <si>
    <t>Enter the registry ID number in row 2659 of the table for production class 4.</t>
  </si>
  <si>
    <t>Enter the registry ID number in row 2660 of the table for production class 4.</t>
  </si>
  <si>
    <t>Enter the registry ID number in row 2661 of the table for production class 4.</t>
  </si>
  <si>
    <t>Enter the registry ID number in row 2662 of the table for production class 4.</t>
  </si>
  <si>
    <t>Enter the registry ID number in row 2663 of the table for production class 4.</t>
  </si>
  <si>
    <t>Enter the registry ID number in row 2664 of the table for production class 4.</t>
  </si>
  <si>
    <t>Enter the registry ID number in row 2665 of the table for production class 4.</t>
  </si>
  <si>
    <t>Enter the registry ID number in row 2666 of the table for production class 4.</t>
  </si>
  <si>
    <t>Enter the registry ID number in row 2667 of the table for production class 4.</t>
  </si>
  <si>
    <t>Enter the registry ID number in row 2668 of the table for production class 4.</t>
  </si>
  <si>
    <t>Enter the registry ID number in row 2669 of the table for production class 4.</t>
  </si>
  <si>
    <t>Enter the registry ID number in row 2670 of the table for production class 4.</t>
  </si>
  <si>
    <t>Enter the registry ID number in row 2671 of the table for production class 4.</t>
  </si>
  <si>
    <t>Enter the registry ID number in row 2672 of the table for production class 4.</t>
  </si>
  <si>
    <t>Enter the registry ID number in row 2673 of the table for production class 4.</t>
  </si>
  <si>
    <t>Enter the registry ID number in row 2674 of the table for production class 4.</t>
  </si>
  <si>
    <t>Enter the registry ID number in row 2675 of the table for production class 4.</t>
  </si>
  <si>
    <t>Enter the registry ID number in row 2676 of the table for production class 4.</t>
  </si>
  <si>
    <t>Enter the registry ID number in row 2677 of the table for production class 4.</t>
  </si>
  <si>
    <t>Enter the registry ID number in row 2678 of the table for production class 4.</t>
  </si>
  <si>
    <t>Enter the registry ID number in row 2679 of the table for production class 4.</t>
  </si>
  <si>
    <t>Enter the registry ID number in row 2680 of the table for production class 4.</t>
  </si>
  <si>
    <t>Enter the registry ID number in row 2681 of the table for production class 4.</t>
  </si>
  <si>
    <t>Enter the registry ID number in row 2682 of the table for production class 4.</t>
  </si>
  <si>
    <t>Enter the registry ID number in row 2683 of the table for production class 4.</t>
  </si>
  <si>
    <t>Enter the registry ID number in row 2684 of the table for production class 4.</t>
  </si>
  <si>
    <t>Enter the registry ID number in row 2685 of the table for production class 4.</t>
  </si>
  <si>
    <t>Enter the registry ID number in row 2686 of the table for production class 4.</t>
  </si>
  <si>
    <t>Enter the registry ID number in row 2687 of the table for production class 4.</t>
  </si>
  <si>
    <t>Enter the registry ID number in row 2688 of the table for production class 4.</t>
  </si>
  <si>
    <t>Enter the registry ID number in row 2689 of the table for production class 4.</t>
  </si>
  <si>
    <t>Enter the registry ID number in row 2690 of the table for production class 4.</t>
  </si>
  <si>
    <t>Enter the registry ID number in row 2691 of the table for production class 4.</t>
  </si>
  <si>
    <t>Enter the registry ID number in row 2692 of the table for production class 4.</t>
  </si>
  <si>
    <t>Enter the registry ID number in row 2693 of the table for production class 4.</t>
  </si>
  <si>
    <t>Enter the registry ID number in row 2694 of the table for production class 4.</t>
  </si>
  <si>
    <t>Enter the registry ID number in row 2695 of the table for production class 4.</t>
  </si>
  <si>
    <t>Enter the registry ID number in row 2696 of the table for production class 4.</t>
  </si>
  <si>
    <t>Enter the registry ID number in row 2697 of the table for production class 4.</t>
  </si>
  <si>
    <t>Enter the registry ID number in row 2698 of the table for production class 4.</t>
  </si>
  <si>
    <t>Enter the registry ID number in row 2699 of the table for production class 4.</t>
  </si>
  <si>
    <t>Enter the registry ID number in row 2700 of the table for production class 4.</t>
  </si>
  <si>
    <t>Enter the registry ID number in row 2701 of the table for production class 4.</t>
  </si>
  <si>
    <t>Enter the registry ID number in row 2702 of the table for production class 4.</t>
  </si>
  <si>
    <t>Enter the registry ID number in row 2703 of the table for production class 4.</t>
  </si>
  <si>
    <t>Enter the registry ID number in row 2704 of the table for production class 4.</t>
  </si>
  <si>
    <t>Enter the registry ID number in row 2705 of the table for production class 4.</t>
  </si>
  <si>
    <t>Enter the registry ID number in row 2706 of the table for production class 4.</t>
  </si>
  <si>
    <t>Enter the registry ID number in row 2707 of the table for production class 4.</t>
  </si>
  <si>
    <t>Enter the registry ID number in row 2708 of the table for production class 4.</t>
  </si>
  <si>
    <t>Enter the registry ID number in row 2709 of the table for production class 4.</t>
  </si>
  <si>
    <t>Enter the registry ID number in row 2710 of the table for production class 4.</t>
  </si>
  <si>
    <t>Enter the registry ID number in row 2711 of the table for production class 4.</t>
  </si>
  <si>
    <t>Enter the registry ID number in row 2712 of the table for production class 4.</t>
  </si>
  <si>
    <t>Enter the registry ID number in row 2713 of the table for production class 4.</t>
  </si>
  <si>
    <t>Enter the registry ID number in row 2714 of the table for production class 4.</t>
  </si>
  <si>
    <t>Enter the registry ID number in row 2715 of the table for production class 4.</t>
  </si>
  <si>
    <t>Enter the registry ID number in row 2716 of the table for production class 4.</t>
  </si>
  <si>
    <t>Enter the registry ID number in row 2717 of the table for production class 4.</t>
  </si>
  <si>
    <t>Enter the registry ID number in row 2718 of the table for production class 4.</t>
  </si>
  <si>
    <t>Enter the registry ID number in row 2719 of the table for production class 4.</t>
  </si>
  <si>
    <t>Enter the registry ID number in row 2720 of the table for production class 4.</t>
  </si>
  <si>
    <t>Enter the registry ID number in row 2721 of the table for production class 4.</t>
  </si>
  <si>
    <t>Enter the registry ID number in row 2722 of the table for production class 4.</t>
  </si>
  <si>
    <t>Enter the registry ID number in row 2723 of the table for production class 4.</t>
  </si>
  <si>
    <t>Enter the registry ID number in row 2724 of the table for production class 4.</t>
  </si>
  <si>
    <t>Enter the registry ID number in row 2725 of the table for production class 4.</t>
  </si>
  <si>
    <t>Enter the registry ID number in row 2726 of the table for production class 4.</t>
  </si>
  <si>
    <t>Enter the registry ID number in row 2727 of the table for production class 4.</t>
  </si>
  <si>
    <t>Enter the registry ID number in row 2728 of the table for production class 4.</t>
  </si>
  <si>
    <t>Enter the registry ID number in row 2729 of the table for production class 4.</t>
  </si>
  <si>
    <t>Enter the registry ID number in row 2730 of the table for production class 4.</t>
  </si>
  <si>
    <t>Enter the registry ID number in row 2731 of the table for production class 4.</t>
  </si>
  <si>
    <t>Enter the registry ID number in row 2732 of the table for production class 4.</t>
  </si>
  <si>
    <t>Enter the registry ID number in row 2733 of the table for production class 4.</t>
  </si>
  <si>
    <t>Enter the registry ID number in row 2734 of the table for production class 4.</t>
  </si>
  <si>
    <t>Enter the registry ID number in row 2735 of the table for production class 4.</t>
  </si>
  <si>
    <t>Enter the registry ID number in row 2736 of the table for production class 4.</t>
  </si>
  <si>
    <t>Enter the registry ID number in row 2737 of the table for production class 4.</t>
  </si>
  <si>
    <t>Enter the registry ID number in row 2738 of the table for production class 4.</t>
  </si>
  <si>
    <t>Enter the registry ID number in row 2739 of the table for production class 4.</t>
  </si>
  <si>
    <t>Enter the registry ID number in row 2740 of the table for production class 4.</t>
  </si>
  <si>
    <t>Enter the registry ID number in row 2741 of the table for production class 4.</t>
  </si>
  <si>
    <t>Enter the registry ID number in row 2742 of the table for production class 4.</t>
  </si>
  <si>
    <t>Enter the registry ID number in row 2743 of the table for production class 4.</t>
  </si>
  <si>
    <t>Enter the registry ID number in row 2744 of the table for production class 4.</t>
  </si>
  <si>
    <t>Enter the registry ID number in row 2745 of the table for production class 4.</t>
  </si>
  <si>
    <t>Enter the registry ID number in row 2746 of the table for production class 4.</t>
  </si>
  <si>
    <t>Enter the registry ID number in row 2747 of the table for production class 4.</t>
  </si>
  <si>
    <t>Enter the registry ID number in row 2748 of the table for production class 4.</t>
  </si>
  <si>
    <t>Enter the registry ID number in row 2749 of the table for production class 4.</t>
  </si>
  <si>
    <t>Enter the registry ID number in row 2750 of the table for production class 4.</t>
  </si>
  <si>
    <t>Enter the registry ID number in row 2751 of the table for production class 4.</t>
  </si>
  <si>
    <t>Enter the registry ID number in row 2752 of the table for production class 4.</t>
  </si>
  <si>
    <t>Enter the registry ID number in row 2753 of the table for production class 4.</t>
  </si>
  <si>
    <t>Enter the registry ID number in row 2754 of the table for production class 4.</t>
  </si>
  <si>
    <t>Enter the registry ID number in row 2755 of the table for production class 4.</t>
  </si>
  <si>
    <t>Enter the registry ID number in row 2756 of the table for production class 4.</t>
  </si>
  <si>
    <t>Enter the registry ID number in row 2757 of the table for production class 4.</t>
  </si>
  <si>
    <t>Enter the registry ID number in row 2758 of the table for production class 4.</t>
  </si>
  <si>
    <t>Enter the registry ID number in row 2759 of the table for production class 4.</t>
  </si>
  <si>
    <t>Enter the registry ID number in row 2760 of the table for production class 4.</t>
  </si>
  <si>
    <t>Enter the registry ID number in row 2761 of the table for production class 4.</t>
  </si>
  <si>
    <t>Enter the registry ID number in row 2762 of the table for production class 4.</t>
  </si>
  <si>
    <t>Enter the registry ID number in row 2763 of the table for production class 4.</t>
  </si>
  <si>
    <t>Enter the registry ID number in row 2764 of the table for production class 4.</t>
  </si>
  <si>
    <t>Enter the registry ID number in row 2765 of the table for production class 4.</t>
  </si>
  <si>
    <t>Enter the registry ID number in row 2766 of the table for production class 4.</t>
  </si>
  <si>
    <t>Enter the registry ID number in row 2767 of the table for production class 4.</t>
  </si>
  <si>
    <t>Enter the registry ID number in row 2768 of the table for production class 4.</t>
  </si>
  <si>
    <t>Enter the registry ID number in row 2769 of the table for production class 4.</t>
  </si>
  <si>
    <t>Enter the registry ID number in row 2770 of the table for production class 4.</t>
  </si>
  <si>
    <t>Enter the registry ID number in row 2771 of the table for production class 4.</t>
  </si>
  <si>
    <t>Enter the registry ID number in row 2772 of the table for production class 4.</t>
  </si>
  <si>
    <t>Enter the registry ID number in row 2773 of the table for production class 4.</t>
  </si>
  <si>
    <t>Enter the registry ID number in row 2774 of the table for production class 4.</t>
  </si>
  <si>
    <t>Enter the registry ID number in row 2775 of the table for production class 4.</t>
  </si>
  <si>
    <t>Enter the registry ID number in row 2776 of the table for production class 4.</t>
  </si>
  <si>
    <t>Enter the registry ID number in row 2777 of the table for production class 4.</t>
  </si>
  <si>
    <t>Enter the registry ID number in row 2778 of the table for production class 4.</t>
  </si>
  <si>
    <t>Enter the registry ID number in row 2779 of the table for production class 4.</t>
  </si>
  <si>
    <t>Enter the registry ID number in row 2780 of the table for production class 4.</t>
  </si>
  <si>
    <t>Enter the registry ID number in row 2781 of the table for production class 4.</t>
  </si>
  <si>
    <t>Enter the registry ID number in row 2782 of the table for production class 4.</t>
  </si>
  <si>
    <t>Enter the registry ID number in row 2783 of the table for production class 4.</t>
  </si>
  <si>
    <t>Enter the registry ID number in row 2784 of the table for production class 4.</t>
  </si>
  <si>
    <t>Enter the registry ID number in row 2785 of the table for production class 4.</t>
  </si>
  <si>
    <t>Enter the registry ID number in row 2786 of the table for production class 4.</t>
  </si>
  <si>
    <t>Enter the registry ID number in row 2787 of the table for production class 4.</t>
  </si>
  <si>
    <t>Enter the registry ID number in row 2788 of the table for production class 4.</t>
  </si>
  <si>
    <t>Enter the registry ID number in row 2789 of the table for production class 4.</t>
  </si>
  <si>
    <t>Enter the registry ID number in row 2790 of the table for production class 4.</t>
  </si>
  <si>
    <t>Enter the registry ID number in row 2791 of the table for production class 4.</t>
  </si>
  <si>
    <t>Enter the registry ID number in row 2792 of the table for production class 4.</t>
  </si>
  <si>
    <t>Enter the registry ID number in row 2793 of the table for production class 4.</t>
  </si>
  <si>
    <t>Enter the registry ID number in row 2794 of the table for production class 4.</t>
  </si>
  <si>
    <t>Enter the registry ID number in row 2795 of the table for production class 4.</t>
  </si>
  <si>
    <t>Enter the registry ID number in row 2796 of the table for production class 4.</t>
  </si>
  <si>
    <t>Enter the registry ID number in row 2797 of the table for production class 4.</t>
  </si>
  <si>
    <t>Enter the registry ID number in row 2798 of the table for production class 4.</t>
  </si>
  <si>
    <t>Enter the registry ID number in row 2799 of the table for production class 4.</t>
  </si>
  <si>
    <t>Enter the registry ID number in row 2800 of the table for production class 4.</t>
  </si>
  <si>
    <t>Enter the registry ID number in row 2801 of the table for production class 4.</t>
  </si>
  <si>
    <t>Enter the registry ID number in row 2802 of the table for production class 4.</t>
  </si>
  <si>
    <t>Enter the registry ID number in row 2803 of the table for production class 4.</t>
  </si>
  <si>
    <t>Enter the registry ID number in row 2804 of the table for production class 4.</t>
  </si>
  <si>
    <t>Enter the registry ID number in row 2805 of the table for production class 4.</t>
  </si>
  <si>
    <t>Enter the registry ID number in row 2806 of the table for production class 4.</t>
  </si>
  <si>
    <t>Enter the registry ID number in row 2807 of the table for production class 4.</t>
  </si>
  <si>
    <t>Enter the registry ID number in row 2808 of the table for production class 4.</t>
  </si>
  <si>
    <t>Enter the registry ID number in row 2809 of the table for production class 4.</t>
  </si>
  <si>
    <t>Enter the registry ID number in row 2810 of the table for production class 4.</t>
  </si>
  <si>
    <t>Enter the registry ID number in row 2811 of the table for production class 4.</t>
  </si>
  <si>
    <t>Enter the registry ID number in row 2812 of the table for production class 4.</t>
  </si>
  <si>
    <t>Enter the registry ID number in row 2813 of the table for production class 4.</t>
  </si>
  <si>
    <t>Enter the registry ID number in row 2814 of the table for production class 4.</t>
  </si>
  <si>
    <t>Enter the registry ID number in row 2815 of the table for production class 4.</t>
  </si>
  <si>
    <t>Enter the registry ID number in row 2816 of the table for production class 4.</t>
  </si>
  <si>
    <t>Enter the registry ID number in row 2817 of the table for production class 4.</t>
  </si>
  <si>
    <t>Enter the registry ID number in row 2818 of the table for production class 4.</t>
  </si>
  <si>
    <t>Enter the registry ID number in row 2819 of the table for production class 4.</t>
  </si>
  <si>
    <t>Enter the registry ID number in row 2820 of the table for production class 4.</t>
  </si>
  <si>
    <t>Enter the registry ID number in row 2821 of the table for production class 4.</t>
  </si>
  <si>
    <t>Enter the registry ID number in row 2822 of the table for production class 4.</t>
  </si>
  <si>
    <t>Enter the registry ID number in row 2823 of the table for production class 4.</t>
  </si>
  <si>
    <t>Enter the registry ID number in row 2824 of the table for production class 4.</t>
  </si>
  <si>
    <t>Enter the registry ID number in row 2825 of the table for production class 4.</t>
  </si>
  <si>
    <t>Enter the registry ID number in row 2826 of the table for production class 4.</t>
  </si>
  <si>
    <t>Enter the registry ID number in row 2827 of the table for production class 4.</t>
  </si>
  <si>
    <t>Enter the registry ID number in row 2828 of the table for production class 4.</t>
  </si>
  <si>
    <t>Enter the registry ID number in row 2829 of the table for production class 4.</t>
  </si>
  <si>
    <t>Enter the registry ID number in row 2830 of the table for production class 4.</t>
  </si>
  <si>
    <t>Enter the registry ID number in row 2831 of the table for production class 4.</t>
  </si>
  <si>
    <t>Enter the registry ID number in row 2832 of the table for production class 4.</t>
  </si>
  <si>
    <t>Enter the registry ID number in row 2833 of the table for production class 4.</t>
  </si>
  <si>
    <t>Enter the registry ID number in row 2834 of the table for production class 4.</t>
  </si>
  <si>
    <t>Enter the registry ID number in row 2835 of the table for production class 4.</t>
  </si>
  <si>
    <t>Enter the registry ID number in row 2836 of the table for production class 4.</t>
  </si>
  <si>
    <t>Enter the registry ID number in row 2837 of the table for production class 4.</t>
  </si>
  <si>
    <t>Enter the registry ID number in row 2838 of the table for production class 4.</t>
  </si>
  <si>
    <t>Enter the registry ID number in row 2839 of the table for production class 4.</t>
  </si>
  <si>
    <t>Enter the registry ID number in row 2840 of the table for production class 4.</t>
  </si>
  <si>
    <t>Enter the registry ID number in row 2841 of the table for production class 4.</t>
  </si>
  <si>
    <t>Enter the registry ID number in row 2842 of the table for production class 4.</t>
  </si>
  <si>
    <t>Enter the registry ID number in row 2843 of the table for production class 4.</t>
  </si>
  <si>
    <t>Enter the registry ID number in row 2844 of the table for production class 4.</t>
  </si>
  <si>
    <t>Enter the registry ID number in row 2845 of the table for production class 4.</t>
  </si>
  <si>
    <t>Enter the registry ID number in row 2846 of the table for production class 4.</t>
  </si>
  <si>
    <t>Enter the registry ID number in row 2847 of the table for production class 4.</t>
  </si>
  <si>
    <t>Enter the registry ID number in row 2848 of the table for production class 4.</t>
  </si>
  <si>
    <t>Enter the registry ID number in row 2849 of the table for production class 4.</t>
  </si>
  <si>
    <t>Enter the registry ID number in row 2850 of the table for production class 4.</t>
  </si>
  <si>
    <t>Enter the registry ID number in row 2851 of the table for production class 4.</t>
  </si>
  <si>
    <t>Enter the registry ID number in row 2852 of the table for production class 4.</t>
  </si>
  <si>
    <t>Enter the registry ID number in row 2853 of the table for production class 4.</t>
  </si>
  <si>
    <t>Enter the registry ID number in row 2854 of the table for production class 4.</t>
  </si>
  <si>
    <t>Enter the registry ID number in row 2855 of the table for production class 4.</t>
  </si>
  <si>
    <t>Enter the registry ID number in row 2856 of the table for production class 4.</t>
  </si>
  <si>
    <t>Enter the registry ID number in row 2857 of the table for production class 4.</t>
  </si>
  <si>
    <t>Enter the registry ID number in row 2858 of the table for production class 4.</t>
  </si>
  <si>
    <t>Enter the registry ID number in row 2859 of the table for production class 4.</t>
  </si>
  <si>
    <t>Enter the registry ID number in row 2860 of the table for production class 4.</t>
  </si>
  <si>
    <t>Enter the registry ID number in row 2861 of the table for production class 4.</t>
  </si>
  <si>
    <t>Enter the registry ID number in row 2862 of the table for production class 4.</t>
  </si>
  <si>
    <t>Enter the registry ID number in row 2863 of the table for production class 4.</t>
  </si>
  <si>
    <t>Enter the registry ID number in row 2864 of the table for production class 4.</t>
  </si>
  <si>
    <t>Enter the registry ID number in row 2865 of the table for production class 4.</t>
  </si>
  <si>
    <t>Enter the registry ID number in row 2866 of the table for production class 4.</t>
  </si>
  <si>
    <t>Enter the registry ID number in row 2867 of the table for production class 4.</t>
  </si>
  <si>
    <t>Enter the registry ID number in row 2868 of the table for production class 4.</t>
  </si>
  <si>
    <t>Enter the registry ID number in row 2869 of the table for production class 4.</t>
  </si>
  <si>
    <t>Enter the registry ID number in row 2870 of the table for production class 4.</t>
  </si>
  <si>
    <t>Enter the registry ID number in row 2871 of the table for production class 4.</t>
  </si>
  <si>
    <t>Enter the registry ID number in row 2872 of the table for production class 4.</t>
  </si>
  <si>
    <t>Enter the registry ID number in row 2873 of the table for production class 4.</t>
  </si>
  <si>
    <t>Enter the registry ID number in row 2874 of the table for production class 4.</t>
  </si>
  <si>
    <t>Enter the registry ID number in row 2875 of the table for production class 4.</t>
  </si>
  <si>
    <t>Enter the registry ID number in row 2876 of the table for production class 4.</t>
  </si>
  <si>
    <t>Enter the registry ID number in row 2877 of the table for production class 4.</t>
  </si>
  <si>
    <t>Enter the registry ID number in row 2878 of the table for production class 4.</t>
  </si>
  <si>
    <t>Enter the registry ID number in row 2879 of the table for production class 4.</t>
  </si>
  <si>
    <t>Enter the registry ID number in row 2880 of the table for production class 4.</t>
  </si>
  <si>
    <t>Enter the registry ID number in row 2881 of the table for production class 4.</t>
  </si>
  <si>
    <t>Enter the registry ID number in row 2882 of the table for production class 4.</t>
  </si>
  <si>
    <t>Enter the registry ID number in row 2883 of the table for production class 4.</t>
  </si>
  <si>
    <t>Enter the registry ID number in row 2884 of the table for production class 4.</t>
  </si>
  <si>
    <t>Enter the registry ID number in row 2885 of the table for production class 4.</t>
  </si>
  <si>
    <t>Enter the registry ID number in row 2886 of the table for production class 4.</t>
  </si>
  <si>
    <t>Enter the registry ID number in row 2887 of the table for production class 4.</t>
  </si>
  <si>
    <t>Enter the registry ID number in row 2888 of the table for production class 4.</t>
  </si>
  <si>
    <t>Enter the registry ID number in row 2889 of the table for production class 4.</t>
  </si>
  <si>
    <t>Enter the registry ID number in row 2890 of the table for production class 4.</t>
  </si>
  <si>
    <t>Enter the registry ID number in row 2891 of the table for production class 4.</t>
  </si>
  <si>
    <t>Enter the registry ID number in row 2892 of the table for production class 4.</t>
  </si>
  <si>
    <t>Enter the registry ID number in row 2893 of the table for production class 4.</t>
  </si>
  <si>
    <t>Enter the registry ID number in row 2894 of the table for production class 4.</t>
  </si>
  <si>
    <t>Enter the registry ID number in row 2895 of the table for production class 4.</t>
  </si>
  <si>
    <t>Enter the registry ID number in row 2896 of the table for production class 4.</t>
  </si>
  <si>
    <t>Enter the registry ID number in row 2897 of the table for production class 4.</t>
  </si>
  <si>
    <t>Enter the registry ID number in row 2898 of the table for production class 4.</t>
  </si>
  <si>
    <t>Enter the registry ID number in row 2899 of the table for production class 4.</t>
  </si>
  <si>
    <t>Enter the registry ID number in row 2900 of the table for production class 4.</t>
  </si>
  <si>
    <t>Enter the registry ID number in row 2901 of the table for production class 4.</t>
  </si>
  <si>
    <t>Enter the registry ID number in row 2902 of the table for production class 4.</t>
  </si>
  <si>
    <t>Enter the registry ID number in row 2903 of the table for production class 4.</t>
  </si>
  <si>
    <t>Enter the registry ID number in row 2904 of the table for production class 4.</t>
  </si>
  <si>
    <t>Enter the registry ID number in row 2905 of the table for production class 4.</t>
  </si>
  <si>
    <t>Enter the registry ID number in row 2906 of the table for production class 4.</t>
  </si>
  <si>
    <t>Enter the registry ID number in row 2907 of the table for production class 4.</t>
  </si>
  <si>
    <t>Enter the registry ID number in row 2908 of the table for production class 4.</t>
  </si>
  <si>
    <t>Enter the registry ID number in row 2909 of the table for production class 4.</t>
  </si>
  <si>
    <t>Enter the registry ID number in row 2910 of the table for production class 4.</t>
  </si>
  <si>
    <t>Enter the registry ID number in row 2911 of the table for production class 4.</t>
  </si>
  <si>
    <t>Enter the registry ID number in row 2912 of the table for production class 4.</t>
  </si>
  <si>
    <t>Enter the registry ID number in row 2913 of the table for production class 4.</t>
  </si>
  <si>
    <t>Enter the registry ID number in row 2914 of the table for production class 4.</t>
  </si>
  <si>
    <t>Enter the registry ID number in row 2915 of the table for production class 4.</t>
  </si>
  <si>
    <t>Enter the registry ID number in row 2916 of the table for production class 4.</t>
  </si>
  <si>
    <t>Enter the registry ID number in row 2917 of the table for production class 4.</t>
  </si>
  <si>
    <t>Enter the registry ID number in row 2918 of the table for production class 4.</t>
  </si>
  <si>
    <t>Enter the registry ID number in row 2919 of the table for production class 4.</t>
  </si>
  <si>
    <t>Enter the registry ID number in row 2920 of the table for production class 4.</t>
  </si>
  <si>
    <t>Enter the registry ID number in row 2921 of the table for production class 4.</t>
  </si>
  <si>
    <t>Enter the registry ID number in row 2922 of the table for production class 4.</t>
  </si>
  <si>
    <t>Enter the registry ID number in row 2923 of the table for production class 4.</t>
  </si>
  <si>
    <t>Enter the registry ID number in row 2924 of the table for production class 4.</t>
  </si>
  <si>
    <t>Enter the registry ID number in row 2925 of the table for production class 4.</t>
  </si>
  <si>
    <t>Enter the registry ID number in row 2926 of the table for production class 4.</t>
  </si>
  <si>
    <t>Enter the registry ID number in row 2927 of the table for production class 4.</t>
  </si>
  <si>
    <t>Enter the registry ID number in row 2928 of the table for production class 4.</t>
  </si>
  <si>
    <t>Enter the registry ID number in row 2929 of the table for production class 4.</t>
  </si>
  <si>
    <t>Enter the registry ID number in row 2930 of the table for production class 4.</t>
  </si>
  <si>
    <t>Enter the registry ID number in row 2931 of the table for production class 4.</t>
  </si>
  <si>
    <t>Enter the registry ID number in row 2932 of the table for production class 4.</t>
  </si>
  <si>
    <t>Enter the registry ID number in row 2933 of the table for production class 4.</t>
  </si>
  <si>
    <t>Enter the registry ID number in row 2934 of the table for production class 4.</t>
  </si>
  <si>
    <t>Enter the registry ID number in row 2935 of the table for production class 4.</t>
  </si>
  <si>
    <t>Enter the registry ID number in row 2936 of the table for production class 4.</t>
  </si>
  <si>
    <t>Enter the registry ID number in row 2937 of the table for production class 4.</t>
  </si>
  <si>
    <t>Enter the registry ID number in row 2938 of the table for production class 4.</t>
  </si>
  <si>
    <t>Enter the registry ID number in row 2939 of the table for production class 4.</t>
  </si>
  <si>
    <t>Enter the registry ID number in row 2940 of the table for production class 4.</t>
  </si>
  <si>
    <t>Enter the registry ID number in row 2941 of the table for production class 4.</t>
  </si>
  <si>
    <t>Enter the registry ID number in row 2942 of the table for production class 4.</t>
  </si>
  <si>
    <t>Enter the registry ID number in row 2943 of the table for production class 4.</t>
  </si>
  <si>
    <t>Enter the registry ID number in row 2944 of the table for production class 4.</t>
  </si>
  <si>
    <t>Enter the registry ID number in row 2945 of the table for production class 4.</t>
  </si>
  <si>
    <t>Enter the registry ID number in row 2946 of the table for production class 4.</t>
  </si>
  <si>
    <t>Enter the registry ID number in row 2947 of the table for production class 4.</t>
  </si>
  <si>
    <t>Enter the registry ID number in row 2948 of the table for production class 4.</t>
  </si>
  <si>
    <t>Enter the registry ID number in row 2949 of the table for production class 4.</t>
  </si>
  <si>
    <t>Enter the registry ID number in row 2950 of the table for production class 4.</t>
  </si>
  <si>
    <t>Enter the registry ID number in row 2951 of the table for production class 4.</t>
  </si>
  <si>
    <t>Enter the registry ID number in row 2952 of the table for production class 4.</t>
  </si>
  <si>
    <t>Enter the registry ID number in row 2953 of the table for production class 4.</t>
  </si>
  <si>
    <t>Enter the registry ID number in row 2954 of the table for production class 4.</t>
  </si>
  <si>
    <t>Enter the registry ID number in row 2955 of the table for production class 4.</t>
  </si>
  <si>
    <t>Enter the registry ID number in row 2956 of the table for production class 4.</t>
  </si>
  <si>
    <t>Enter the registry ID number in row 2957 of the table for production class 4.</t>
  </si>
  <si>
    <t>Enter the registry ID number in row 2958 of the table for production class 4.</t>
  </si>
  <si>
    <t>Enter the registry ID number in row 2959 of the table for production class 4.</t>
  </si>
  <si>
    <t>Enter the registry ID number in row 2960 of the table for production class 4.</t>
  </si>
  <si>
    <t>Enter the registry ID number in row 2961 of the table for production class 4.</t>
  </si>
  <si>
    <t>Enter the registry ID number in row 2962 of the table for production class 4.</t>
  </si>
  <si>
    <t>Enter the registry ID number in row 2963 of the table for production class 4.</t>
  </si>
  <si>
    <t>Enter the registry ID number in row 2964 of the table for production class 4.</t>
  </si>
  <si>
    <t>Enter the registry ID number in row 2965 of the table for production class 4.</t>
  </si>
  <si>
    <t>Enter the registry ID number in row 2966 of the table for production class 4.</t>
  </si>
  <si>
    <t>Enter the registry ID number in row 2967 of the table for production class 4.</t>
  </si>
  <si>
    <t>Enter the registry ID number in row 2968 of the table for production class 4.</t>
  </si>
  <si>
    <t>Enter the registry ID number in row 2969 of the table for production class 4.</t>
  </si>
  <si>
    <t>Enter the registry ID number in row 2970 of the table for production class 4.</t>
  </si>
  <si>
    <t>Enter the registry ID number in row 2971 of the table for production class 4.</t>
  </si>
  <si>
    <t>Enter the registry ID number in row 2972 of the table for production class 4.</t>
  </si>
  <si>
    <t>Enter the registry ID number in row 2973 of the table for production class 4.</t>
  </si>
  <si>
    <t>Enter the registry ID number in row 2974 of the table for production class 4.</t>
  </si>
  <si>
    <t>Enter the registry ID number in row 2975 of the table for production class 4.</t>
  </si>
  <si>
    <t>Enter the registry ID number in row 2976 of the table for production class 4.</t>
  </si>
  <si>
    <t>Enter the registry ID number in row 2977 of the table for production class 4.</t>
  </si>
  <si>
    <t>Enter the registry ID number in row 2978 of the table for production class 4.</t>
  </si>
  <si>
    <t>Enter the registry ID number in row 2979 of the table for production class 4.</t>
  </si>
  <si>
    <t>Enter the registry ID number in row 2980 of the table for production class 4.</t>
  </si>
  <si>
    <t>Enter the registry ID number in row 2981 of the table for production class 4.</t>
  </si>
  <si>
    <t>Enter the registry ID number in row 2982 of the table for production class 4.</t>
  </si>
  <si>
    <t>Enter the registry ID number in row 2983 of the table for production class 4.</t>
  </si>
  <si>
    <t>Enter the registry ID number in row 2984 of the table for production class 4.</t>
  </si>
  <si>
    <t>Enter the registry ID number in row 2985 of the table for production class 4.</t>
  </si>
  <si>
    <t>Enter the registry ID number in row 2986 of the table for production class 4.</t>
  </si>
  <si>
    <t>Enter the registry ID number in row 2987 of the table for production class 4.</t>
  </si>
  <si>
    <t>Enter the registry ID number in row 2988 of the table for production class 4.</t>
  </si>
  <si>
    <t>Enter the registry ID number in row 2989 of the table for production class 4.</t>
  </si>
  <si>
    <t>Enter the registry ID number in row 2990 of the table for production class 4.</t>
  </si>
  <si>
    <t>Enter the registry ID number in row 2991 of the table for production class 4.</t>
  </si>
  <si>
    <t>Enter the registry ID number in row 2992 of the table for production class 4.</t>
  </si>
  <si>
    <t>Enter the registry ID number in row 2993 of the table for production class 4.</t>
  </si>
  <si>
    <t>Enter the registry ID number in row 2994 of the table for production class 4.</t>
  </si>
  <si>
    <t>Enter the registry ID number in row 2995 of the table for production class 4.</t>
  </si>
  <si>
    <t>Enter the registry ID number in row 2996 of the table for production class 4.</t>
  </si>
  <si>
    <t>Enter the registry ID number in row 2997 of the table for production class 4.</t>
  </si>
  <si>
    <t>Enter the registry ID number in row 2998 of the table for production class 4.</t>
  </si>
  <si>
    <t>Enter the registry ID number in row 2999 of the table for production class 4.</t>
  </si>
  <si>
    <t>Enter the registry ID number in row 3000 of the table for production class 4.</t>
  </si>
  <si>
    <t>Enter the registry ID number in row 3001 of the table for production class 4.</t>
  </si>
  <si>
    <t>Enter the registry ID number in row 3002 of the table for production class 4.</t>
  </si>
  <si>
    <t>Enter the registry ID number in row 3003 of the table for production class 4.</t>
  </si>
  <si>
    <t>Enter the registry ID number in row 3004 of the table for production class 4.</t>
  </si>
  <si>
    <t>Enter the registry ID number in row 3005 of the table for production class 4.</t>
  </si>
  <si>
    <t>Enter the registry ID number in row 3006 of the table for production class 4.</t>
  </si>
  <si>
    <t>Enter the registry ID number in row 3007 of the table for production class 4.</t>
  </si>
  <si>
    <t>Enter the registry ID number in row 3008 of the table for production class 4.</t>
  </si>
  <si>
    <t>Enter the registry ID number in row 3009 of the table for production class 4.</t>
  </si>
  <si>
    <t>Enter the registry ID number in row 3010 of the table for production class 4.</t>
  </si>
  <si>
    <t>Enter the registry ID number in row 3011 of the table for production class 4.</t>
  </si>
  <si>
    <t>Enter the registry ID number in row 3012 of the table for production class 4.</t>
  </si>
  <si>
    <t>Enter the registry ID number in row 3013 of the table for production class 4.</t>
  </si>
  <si>
    <t>Enter the registry ID number in row 3014 of the table for production class 4.</t>
  </si>
  <si>
    <t>Enter the registry ID number in row 3015 of the table for production class 4.</t>
  </si>
  <si>
    <t>Enter the registry ID number in row 3016 of the table for production class 4.</t>
  </si>
  <si>
    <t>Enter the registry ID number in row 3017 of the table for production class 4.</t>
  </si>
  <si>
    <t>Enter the registry ID number in row 3018 of the table for production class 4.</t>
  </si>
  <si>
    <t>Enter the registry ID number in row 3019 of the table for production class 4.</t>
  </si>
  <si>
    <t>Enter the registry ID number in row 3020 of the table for production class 4.</t>
  </si>
  <si>
    <t>Enter the registry ID number in row 3021 of the table for production class 4.</t>
  </si>
  <si>
    <t>Enter the registry ID number in row 3022 of the table for production class 4.</t>
  </si>
  <si>
    <t>Enter the registry ID number in row 3023 of the table for production class 4.</t>
  </si>
  <si>
    <t>Enter the registry ID number in row 3024 of the table for production class 4.</t>
  </si>
  <si>
    <t>Enter the registry ID number in row 3025 of the table for production class 4.</t>
  </si>
  <si>
    <t>Enter the registry ID number in row 3026 of the table for production class 4.</t>
  </si>
  <si>
    <t>Enter the registry ID number in row 3027 of the table for production class 4.</t>
  </si>
  <si>
    <t>Enter the registry ID number in row 3028 of the table for production class 4.</t>
  </si>
  <si>
    <t>Enter the registry ID number in row 3029 of the table for production class 4.</t>
  </si>
  <si>
    <t>Enter the registry ID number in row 3030 of the table for production class 4.</t>
  </si>
  <si>
    <t>Enter the registry ID number in row 3031 of the table for production class 4.</t>
  </si>
  <si>
    <t>Enter the registry ID number in row 3032 of the table for production class 4.</t>
  </si>
  <si>
    <t>Enter the registry ID number in row 3033 of the table for production class 4.</t>
  </si>
  <si>
    <t>Enter the registry ID number in row 3034 of the table for production class 4.</t>
  </si>
  <si>
    <t>Enter the registry ID number in row 3035 of the table for production class 4.</t>
  </si>
  <si>
    <t>Enter the registry ID number in row 3036 of the table for production class 4.</t>
  </si>
  <si>
    <t>Enter the registry ID number in row 3037 of the table for production class 4.</t>
  </si>
  <si>
    <t>Enter the registry ID number in row 3038 of the table for production class 4.</t>
  </si>
  <si>
    <t>Enter the registry ID number in row 3039 of the table for production class 4.</t>
  </si>
  <si>
    <t>Enter the registry ID number in row 3040 of the table for production class 4.</t>
  </si>
  <si>
    <t>Enter the registry ID number in row 3041 of the table for production class 4.</t>
  </si>
  <si>
    <t>Enter the registry ID number in row 3042 of the table for production class 4.</t>
  </si>
  <si>
    <t>Enter the registry ID number in row 3043 of the table for production class 4.</t>
  </si>
  <si>
    <t>Enter the registry ID number in row 3044 of the table for production class 4.</t>
  </si>
  <si>
    <t>Enter the registry ID number in row 3045 of the table for production class 4.</t>
  </si>
  <si>
    <t>Enter the registry ID number in row 3046 of the table for production class 4.</t>
  </si>
  <si>
    <t>Enter the registry ID number in row 3047 of the table for production class 4.</t>
  </si>
  <si>
    <t>Enter the registry ID number in row 3048 of the table for production class 4.</t>
  </si>
  <si>
    <t>Enter the registry ID number in row 3049 of the table for production class 4.</t>
  </si>
  <si>
    <t>Enter the registry ID number in row 3050 of the table for production class 4.</t>
  </si>
  <si>
    <t>Enter the registry ID number in row 3051 of the table for production class 4.</t>
  </si>
  <si>
    <t>Enter the registry ID number in row 3052 of the table for production class 4.</t>
  </si>
  <si>
    <t>Enter the registry ID number in row 3053 of the table for production class 4.</t>
  </si>
  <si>
    <t>Enter the registry ID number in row 3054 of the table for production class 4.</t>
  </si>
  <si>
    <t>Enter the registry ID number in row 3055 of the table for production class 4.</t>
  </si>
  <si>
    <t>Enter the registry ID number in row 3056 of the table for production class 4.</t>
  </si>
  <si>
    <t>Enter the registry ID number in row 3057 of the table for production class 4.</t>
  </si>
  <si>
    <t>Enter the registry ID number in row 3058 of the table for production class 4.</t>
  </si>
  <si>
    <t>Enter the registry ID number in row 3059 of the table for production class 4.</t>
  </si>
  <si>
    <t>Enter the registry ID number in row 3060 of the table for production class 4.</t>
  </si>
  <si>
    <t>Enter the registry ID number in row 3061 of the table for production class 4.</t>
  </si>
  <si>
    <t>Enter the registry ID number in row 3062 of the table for production class 4.</t>
  </si>
  <si>
    <t>Enter the registry ID number in row 3063 of the table for production class 4.</t>
  </si>
  <si>
    <t>Enter the registry ID number in row 3064 of the table for production class 4.</t>
  </si>
  <si>
    <t>Enter the registry ID number in row 3065 of the table for production class 4.</t>
  </si>
  <si>
    <t>Enter the registry ID number in row 3066 of the table for production class 4.</t>
  </si>
  <si>
    <t>Enter the registry ID number in row 3067 of the table for production class 4.</t>
  </si>
  <si>
    <t>Enter the registry ID number in row 3068 of the table for production class 4.</t>
  </si>
  <si>
    <t>Enter the registry ID number in row 3069 of the table for production class 4.</t>
  </si>
  <si>
    <t>Enter the registry ID number in row 3070 of the table for production class 4.</t>
  </si>
  <si>
    <t>Enter the registry ID number in row 3071 of the table for production class 4.</t>
  </si>
  <si>
    <t>Enter the registry ID number in row 3072 of the table for production class 4.</t>
  </si>
  <si>
    <t>Enter the registry ID number in row 3073 of the table for production class 4.</t>
  </si>
  <si>
    <t>Enter the registry ID number in row 3074 of the table for production class 4.</t>
  </si>
  <si>
    <t>Enter the registry ID number in row 3075 of the table for production class 4.</t>
  </si>
  <si>
    <t>Enter the registry ID number in row 3076 of the table for production class 4.</t>
  </si>
  <si>
    <t>Enter the registry ID number in row 3077 of the table for production class 4.</t>
  </si>
  <si>
    <t>Enter the registry ID number in row 3078 of the table for production class 4.</t>
  </si>
  <si>
    <t>Enter the registry ID number in row 3079 of the table for production class 4.</t>
  </si>
  <si>
    <t>Enter the registry ID number in row 3080 of the table for production class 4.</t>
  </si>
  <si>
    <t>Enter the registry ID number in row 3081 of the table for production class 4.</t>
  </si>
  <si>
    <t>Enter the registry ID number in row 3082 of the table for production class 4.</t>
  </si>
  <si>
    <t>Enter the registry ID number in row 3083 of the table for production class 4.</t>
  </si>
  <si>
    <t>Enter the registry ID number in row 3084 of the table for production class 4.</t>
  </si>
  <si>
    <t>Enter the registry ID number in row 3085 of the table for production class 4.</t>
  </si>
  <si>
    <t>Enter the registry ID number in row 3086 of the table for production class 4.</t>
  </si>
  <si>
    <t>Enter the registry ID number in row 3087 of the table for production class 4.</t>
  </si>
  <si>
    <t>Enter the registry ID number in row 3088 of the table for production class 4.</t>
  </si>
  <si>
    <t>Enter the registry ID number in row 3089 of the table for production class 4.</t>
  </si>
  <si>
    <t>Enter the registry ID number in row 3090 of the table for production class 4.</t>
  </si>
  <si>
    <t>Enter the registry ID number in row 3091 of the table for production class 4.</t>
  </si>
  <si>
    <t>Enter the registry ID number in row 3092 of the table for production class 4.</t>
  </si>
  <si>
    <t>Enter the registry ID number in row 3093 of the table for production class 4.</t>
  </si>
  <si>
    <t>Enter the registry ID number in row 3094 of the table for production class 4.</t>
  </si>
  <si>
    <t>Enter the registry ID number in row 3095 of the table for production class 4.</t>
  </si>
  <si>
    <t>Enter the registry ID number in row 3096 of the table for production class 4.</t>
  </si>
  <si>
    <t>Enter the registry ID number in row 3097 of the table for production class 4.</t>
  </si>
  <si>
    <t>Enter the registry ID number in row 3098 of the table for production class 4.</t>
  </si>
  <si>
    <t>Enter the registry ID number in row 3099 of the table for production class 4.</t>
  </si>
  <si>
    <t>Enter the registry ID number in row 3100 of the table for production class 4.</t>
  </si>
  <si>
    <t>Enter the registry ID number in row 3101 of the table for production class 4.</t>
  </si>
  <si>
    <t>Enter the registry ID number in row 3102 of the table for production class 4.</t>
  </si>
  <si>
    <t>Enter the registry ID number in row 3103 of the table for production class 4.</t>
  </si>
  <si>
    <t>Enter the registry ID number in row 3104 of the table for production class 4.</t>
  </si>
  <si>
    <t>Enter the registry ID number in row 3105 of the table for production class 4.</t>
  </si>
  <si>
    <t>Enter the registry ID number in row 3106 of the table for production class 4.</t>
  </si>
  <si>
    <t>Enter the registry ID number in row 3107 of the table for production class 4.</t>
  </si>
  <si>
    <t>Enter the registry ID number in row 3108 of the table for production class 4.</t>
  </si>
  <si>
    <t>Enter the registry ID number in row 3109 of the table for production class 4.</t>
  </si>
  <si>
    <t>Enter the registry ID number in row 3110 of the table for production class 4.</t>
  </si>
  <si>
    <t>Enter the registry ID number in row 3111 of the table for production class 4.</t>
  </si>
  <si>
    <t>Enter the registry ID number in row 3112 of the table for production class 4.</t>
  </si>
  <si>
    <t>Enter the registry ID number in row 3113 of the table for production class 4.</t>
  </si>
  <si>
    <t>Enter the registry ID number in row 3114 of the table for production class 4.</t>
  </si>
  <si>
    <t>Enter the registry ID number in row 3115 of the table for production class 4.</t>
  </si>
  <si>
    <t>Enter the registry ID number in row 3116 of the table for production class 4.</t>
  </si>
  <si>
    <t>Enter the registry ID number in row 3117 of the table for production class 4.</t>
  </si>
  <si>
    <t>Enter the registry ID number in row 3118 of the table for production class 4.</t>
  </si>
  <si>
    <t>Enter the registry ID number in row 3119 of the table for production class 4.</t>
  </si>
  <si>
    <t>Enter the registry ID number in row 3120 of the table for production class 4.</t>
  </si>
  <si>
    <t>Enter the registry ID number in row 3121 of the table for production class 4.</t>
  </si>
  <si>
    <t>Enter the registry ID number in row 3122 of the table for production class 4.</t>
  </si>
  <si>
    <t>Enter the registry ID number in row 3123 of the table for production class 4.</t>
  </si>
  <si>
    <t>Enter the registry ID number in row 3124 of the table for production class 4.</t>
  </si>
  <si>
    <t>Enter the registry ID number in row 3125 of the table for production class 4.</t>
  </si>
  <si>
    <t>Enter the registry ID number in row 3126 of the table for production class 4.</t>
  </si>
  <si>
    <t>Enter the registry ID number in row 3127 of the table for production class 4.</t>
  </si>
  <si>
    <t>Enter the registry ID number in row 3128 of the table for production class 4.</t>
  </si>
  <si>
    <t>Enter the registry ID number in row 3129 of the table for production class 4.</t>
  </si>
  <si>
    <t>Enter the registry ID number in row 3130 of the table for production class 4.</t>
  </si>
  <si>
    <t>Enter the registry ID number in row 3131 of the table for production class 4.</t>
  </si>
  <si>
    <t>Enter the registry ID number in row 3132 of the table for production class 4.</t>
  </si>
  <si>
    <t>Enter the registry ID number in row 3133 of the table for production class 4.</t>
  </si>
  <si>
    <t>Enter the registry ID number in row 3134 of the table for production class 4.</t>
  </si>
  <si>
    <t>Enter the registry ID number in row 3135 of the table for production class 4.</t>
  </si>
  <si>
    <t>Enter the registry ID number in row 3136 of the table for production class 4.</t>
  </si>
  <si>
    <t>Enter the registry ID number in row 3137 of the table for production class 4.</t>
  </si>
  <si>
    <t>Enter the registry ID number in row 3138 of the table for production class 4.</t>
  </si>
  <si>
    <t>Enter the registry ID number in row 3139 of the table for production class 4.</t>
  </si>
  <si>
    <t>Enter the registry ID number in row 3140 of the table for production class 4.</t>
  </si>
  <si>
    <t>Enter the registry ID number in row 3141 of the table for production class 4.</t>
  </si>
  <si>
    <t>Enter the registry ID number in row 3142 of the table for production class 4.</t>
  </si>
  <si>
    <t>Enter the registry ID number in row 3143 of the table for production class 4.</t>
  </si>
  <si>
    <t>Enter the registry ID number in row 3144 of the table for production class 4.</t>
  </si>
  <si>
    <t>Enter the registry ID number in row 3145 of the table for production class 4.</t>
  </si>
  <si>
    <t>Enter the registry ID number in row 3146 of the table for production class 4.</t>
  </si>
  <si>
    <t>Enter the registry ID number in row 3147 of the table for production class 4.</t>
  </si>
  <si>
    <t>Enter the registry ID number in row 3148 of the table for production class 4.</t>
  </si>
  <si>
    <t>Enter the registry ID number in row 3149 of the table for production class 4.</t>
  </si>
  <si>
    <t>Enter the registry ID number in row 3150 of the table for production class 4.</t>
  </si>
  <si>
    <t>Enter the registry ID number in row 3151 of the table for production class 4.</t>
  </si>
  <si>
    <t>Enter the registry ID number in row 3152 of the table for production class 4.</t>
  </si>
  <si>
    <t>Enter the registry ID number in row 3153 of the table for production class 4.</t>
  </si>
  <si>
    <t>Enter the registry ID number in row 3154 of the table for production class 4.</t>
  </si>
  <si>
    <t>Enter the registry ID number in row 3155 of the table for production class 4.</t>
  </si>
  <si>
    <t>Enter the registry ID number in row 3156 of the table for production class 4.</t>
  </si>
  <si>
    <t>Enter the registry ID number in row 3157 of the table for production class 4.</t>
  </si>
  <si>
    <t>Enter the registry ID number in row 3158 of the table for production class 4.</t>
  </si>
  <si>
    <t>Enter the registry ID number in row 3159 of the table for production class 4.</t>
  </si>
  <si>
    <t>Enter the registry ID number in row 3160 of the table for production class 4.</t>
  </si>
  <si>
    <t>Enter the registry ID number in row 3161 of the table for production class 4.</t>
  </si>
  <si>
    <t>Enter the registry ID number in row 3162 of the table for production class 4.</t>
  </si>
  <si>
    <t>Enter the registry ID number in row 3163 of the table for production class 4.</t>
  </si>
  <si>
    <t>Enter the registry ID number in row 3164 of the table for production class 4.</t>
  </si>
  <si>
    <t>Enter the registry ID number in row 3165 of the table for production class 4.</t>
  </si>
  <si>
    <t>Enter the registry ID number in row 3166 of the table for production class 4.</t>
  </si>
  <si>
    <t>Enter the registry ID number in row 3167 of the table for production class 4.</t>
  </si>
  <si>
    <t>Enter the registry ID number in row 3168 of the table for production class 4.</t>
  </si>
  <si>
    <t>Enter the registry ID number in row 3169 of the table for production class 4.</t>
  </si>
  <si>
    <t>Enter the registry ID number in row 3170 of the table for production class 4.</t>
  </si>
  <si>
    <t>Enter the registry ID number in row 3171 of the table for production class 4.</t>
  </si>
  <si>
    <t>Enter the registry ID number in row 3172 of the table for production class 4.</t>
  </si>
  <si>
    <t>Enter the registry ID number in row 3173 of the table for production class 4.</t>
  </si>
  <si>
    <t>Enter the registry ID number in row 3174 of the table for production class 4.</t>
  </si>
  <si>
    <t>Enter the registry ID number in row 3175 of the table for production class 4.</t>
  </si>
  <si>
    <t>Enter the registry ID number in row 3176 of the table for production class 4.</t>
  </si>
  <si>
    <t>Enter the registry ID number in row 3177 of the table for production class 4.</t>
  </si>
  <si>
    <t>Enter the registry ID number in row 3178 of the table for production class 4.</t>
  </si>
  <si>
    <t>Enter the registry ID number in row 3179 of the table for production class 4.</t>
  </si>
  <si>
    <t>Enter the registry ID number in row 3180 of the table for production class 4.</t>
  </si>
  <si>
    <t>Enter the registry ID number in row 3181 of the table for production class 4.</t>
  </si>
  <si>
    <t>Enter the registry ID number in row 3182 of the table for production class 4.</t>
  </si>
  <si>
    <t>Enter the registry ID number in row 3183 of the table for production class 4.</t>
  </si>
  <si>
    <t>Enter the registry ID number in row 3184 of the table for production class 4.</t>
  </si>
  <si>
    <t>Enter the registry ID number in row 3185 of the table for production class 4.</t>
  </si>
  <si>
    <t>Enter the registry ID number in row 3186 of the table for production class 4.</t>
  </si>
  <si>
    <t>Enter the registry ID number in row 3187 of the table for production class 4.</t>
  </si>
  <si>
    <t>Enter the registry ID number in row 3188 of the table for production class 4.</t>
  </si>
  <si>
    <t>Enter the registry ID number in row 3189 of the table for production class 4.</t>
  </si>
  <si>
    <t>Enter the registry ID number in row 3190 of the table for production class 4.</t>
  </si>
  <si>
    <t>Enter the registry ID number in row 3191 of the table for production class 4.</t>
  </si>
  <si>
    <t>Enter the registry ID number in row 3192 of the table for production class 4.</t>
  </si>
  <si>
    <t>Enter the registry ID number in row 3193 of the table for production class 4.</t>
  </si>
  <si>
    <t>Enter the registry ID number in row 3194 of the table for production class 4.</t>
  </si>
  <si>
    <t>Enter the registry ID number in row 3195 of the table for production class 4.</t>
  </si>
  <si>
    <t>Enter the registry ID number in row 3196 of the table for production class 4.</t>
  </si>
  <si>
    <t>Enter the registry ID number in row 3197 of the table for production class 4.</t>
  </si>
  <si>
    <t>Enter the registry ID number in row 3198 of the table for production class 4.</t>
  </si>
  <si>
    <t>Enter the registry ID number in row 3199 of the table for production class 4.</t>
  </si>
  <si>
    <t>Enter the registry ID number in row 3200 of the table for production class 4.</t>
  </si>
  <si>
    <t>Enter the registry ID number in row 3201 of the table for production class 4.</t>
  </si>
  <si>
    <t>Enter the registry ID number in row 3202 of the table for production class 4.</t>
  </si>
  <si>
    <t>Enter the registry ID number in row 3203 of the table for production class 4.</t>
  </si>
  <si>
    <t>Enter the registry ID number in row 3204 of the table for production class 4.</t>
  </si>
  <si>
    <t>Enter the registry ID number in row 3205 of the table for production class 4.</t>
  </si>
  <si>
    <t>Enter the registry ID number in row 3206 of the table for production class 4.</t>
  </si>
  <si>
    <t>Enter the registry ID number in row 3207 of the table for production class 4.</t>
  </si>
  <si>
    <t>Enter the registry ID number in row 3208 of the table for production class 4.</t>
  </si>
  <si>
    <t>Enter the registry ID number in row 3209 of the table for production class 4.</t>
  </si>
  <si>
    <t>Enter the registry ID number in row 3210 of the table for production class 4.</t>
  </si>
  <si>
    <t>Enter the registry ID number in row 3211 of the table for production class 4.</t>
  </si>
  <si>
    <t>Enter the registry ID number in row 3212 of the table for production class 4.</t>
  </si>
  <si>
    <t>Enter the registry ID number in row 3213 of the table for production class 4.</t>
  </si>
  <si>
    <t>Enter the registry ID number in row 3214 of the table for production class 4.</t>
  </si>
  <si>
    <t>Enter the registry ID number in row 3215 of the table for production class 4.</t>
  </si>
  <si>
    <t>Enter the registry ID number in row 3216 of the table for production class 4.</t>
  </si>
  <si>
    <t>Enter the registry ID number in row 3217 of the table for production class 4.</t>
  </si>
  <si>
    <t>Enter the registry ID number in row 3218 of the table for production class 4.</t>
  </si>
  <si>
    <t>Enter the registry ID number in row 3219 of the table for production class 4.</t>
  </si>
  <si>
    <t>Enter the registry ID number in row 3220 of the table for production class 4.</t>
  </si>
  <si>
    <t>Enter the registry ID number in row 3221 of the table for production class 4.</t>
  </si>
  <si>
    <t>Enter the registry ID number in row 3222 of the table for production class 4.</t>
  </si>
  <si>
    <t>Enter the registry ID number in row 3223 of the table for production class 4.</t>
  </si>
  <si>
    <t>Enter the registry ID number in row 3224 of the table for production class 4.</t>
  </si>
  <si>
    <t>Enter the registry ID number in row 3225 of the table for production class 4.</t>
  </si>
  <si>
    <t>Enter the registry ID number in row 3226 of the table for production class 4.</t>
  </si>
  <si>
    <t>Enter the registry ID number in row 3227 of the table for production class 4.</t>
  </si>
  <si>
    <t>Enter the registry ID number in row 3228 of the table for production class 4.</t>
  </si>
  <si>
    <t>Enter the registry ID number in row 3229 of the table for production class 4.</t>
  </si>
  <si>
    <t>Enter the registry ID number in row 3230 of the table for production class 4.</t>
  </si>
  <si>
    <t>Enter the registry ID number in row 3231 of the table for production class 4.</t>
  </si>
  <si>
    <t>Enter the registry ID number in row 3232 of the table for production class 4.</t>
  </si>
  <si>
    <t>Enter the registry ID number in row 3233 of the table for production class 4.</t>
  </si>
  <si>
    <t>Enter the registry ID number in row 3234 of the table for production class 4.</t>
  </si>
  <si>
    <t>Enter the registry ID number in row 3235 of the table for production class 4.</t>
  </si>
  <si>
    <t>Enter the registry ID number in row 3236 of the table for production class 4.</t>
  </si>
  <si>
    <t>Enter the registry ID number in row 3237 of the table for production class 4.</t>
  </si>
  <si>
    <t>Enter the registry ID number in row 3238 of the table for production class 4.</t>
  </si>
  <si>
    <t>Enter the registry ID number in row 3239 of the table for production class 4.</t>
  </si>
  <si>
    <t>Enter the registry ID number in row 3240 of the table for production class 4.</t>
  </si>
  <si>
    <t>Enter the registry ID number in row 3241 of the table for production class 4.</t>
  </si>
  <si>
    <t>Enter the registry ID number in row 3242 of the table for production class 4.</t>
  </si>
  <si>
    <t>Enter the registry ID number in row 3243 of the table for production class 4.</t>
  </si>
  <si>
    <t>Enter the registry ID number in row 3244 of the table for production class 4.</t>
  </si>
  <si>
    <t>Enter the registry ID number in row 3245 of the table for production class 4.</t>
  </si>
  <si>
    <t>Enter the registry ID number in row 3246 of the table for production class 4.</t>
  </si>
  <si>
    <t>Enter the registry ID number in row 3247 of the table for production class 4.</t>
  </si>
  <si>
    <t>Enter the registry ID number in row 3248 of the table for production class 4.</t>
  </si>
  <si>
    <t>Enter the registry ID number in row 3249 of the table for production class 4.</t>
  </si>
  <si>
    <t>Enter the registry ID number in row 3250 of the table for production class 4.</t>
  </si>
  <si>
    <t>Enter the registry ID number in row 3251 of the table for production class 4.</t>
  </si>
  <si>
    <t>Enter the registry ID number in row 3252 of the table for production class 4.</t>
  </si>
  <si>
    <t>Enter the registry ID number in row 3253 of the table for production class 4.</t>
  </si>
  <si>
    <t>Enter the registry ID number in row 3254 of the table for production class 4.</t>
  </si>
  <si>
    <t>Enter the registry ID number in row 3255 of the table for production class 4.</t>
  </si>
  <si>
    <t>Enter the registry ID number in row 3256 of the table for production class 4.</t>
  </si>
  <si>
    <t>Enter the registry ID number in row 3257 of the table for production class 4.</t>
  </si>
  <si>
    <t>Enter the registry ID number in row 3258 of the table for production class 4.</t>
  </si>
  <si>
    <t>Enter the registry ID number in row 3259 of the table for production class 4.</t>
  </si>
  <si>
    <t>Enter the registry ID number in row 3260 of the table for production class 4.</t>
  </si>
  <si>
    <t>Enter the registry ID number in row 3261 of the table for production class 4.</t>
  </si>
  <si>
    <t>Enter the registry ID number in row 3262 of the table for production class 4.</t>
  </si>
  <si>
    <t>Enter the registry ID number in row 3263 of the table for production class 4.</t>
  </si>
  <si>
    <t>Enter the registry ID number in row 3264 of the table for production class 4.</t>
  </si>
  <si>
    <t>Enter the registry ID number in row 3265 of the table for production class 4.</t>
  </si>
  <si>
    <t>Enter the registry ID number in row 3266 of the table for production class 4.</t>
  </si>
  <si>
    <t>Enter the registry ID number in row 3267 of the table for production class 4.</t>
  </si>
  <si>
    <t>Enter the registry ID number in row 3268 of the table for production class 4.</t>
  </si>
  <si>
    <t>Enter the registry ID number in row 3269 of the table for production class 4.</t>
  </si>
  <si>
    <t>Enter the registry ID number in row 3270 of the table for production class 4.</t>
  </si>
  <si>
    <t>Enter the registry ID number in row 3271 of the table for production class 4.</t>
  </si>
  <si>
    <t>Enter the registry ID number in row 3272 of the table for production class 4.</t>
  </si>
  <si>
    <t>Enter the registry ID number in row 3273 of the table for production class 4.</t>
  </si>
  <si>
    <t>Enter the registry ID number in row 3274 of the table for production class 4.</t>
  </si>
  <si>
    <t>Enter the registry ID number in row 3275 of the table for production class 4.</t>
  </si>
  <si>
    <t>Enter the registry ID number in row 3276 of the table for production class 4.</t>
  </si>
  <si>
    <t>Enter the registry ID number in row 3277 of the table for production class 4.</t>
  </si>
  <si>
    <t>Enter the registry ID number in row 3278 of the table for production class 4.</t>
  </si>
  <si>
    <t>Enter the registry ID number in row 3279 of the table for production class 4.</t>
  </si>
  <si>
    <t>Enter the registry ID number in row 3280 of the table for production class 4.</t>
  </si>
  <si>
    <t>Enter the registry ID number in row 3281 of the table for production class 4.</t>
  </si>
  <si>
    <t>Enter the registry ID number in row 3282 of the table for production class 4.</t>
  </si>
  <si>
    <t>Enter the registry ID number in row 3283 of the table for production class 4.</t>
  </si>
  <si>
    <t>Enter the registry ID number in row 3284 of the table for production class 4.</t>
  </si>
  <si>
    <t>Enter the registry ID number in row 3285 of the table for production class 4.</t>
  </si>
  <si>
    <t>Enter the registry ID number in row 3286 of the table for production class 4.</t>
  </si>
  <si>
    <t>Enter the registry ID number in row 3287 of the table for production class 4.</t>
  </si>
  <si>
    <t>Enter the registry ID number in row 3288 of the table for production class 4.</t>
  </si>
  <si>
    <t>Enter the registry ID number in row 3289 of the table for production class 4.</t>
  </si>
  <si>
    <t>Enter the registry ID number in row 3290 of the table for production class 4.</t>
  </si>
  <si>
    <t>Enter the registry ID number in row 3291 of the table for production class 4.</t>
  </si>
  <si>
    <t>Enter the registry ID number in row 3292 of the table for production class 4.</t>
  </si>
  <si>
    <t>Enter the registry ID number in row 3293 of the table for production class 4.</t>
  </si>
  <si>
    <t>Enter the registry ID number in row 3294 of the table for production class 4.</t>
  </si>
  <si>
    <t>Enter the registry ID number in row 3295 of the table for production class 4.</t>
  </si>
  <si>
    <t>Enter the registry ID number in row 3296 of the table for production class 4.</t>
  </si>
  <si>
    <t>Enter the registry ID number in row 3297 of the table for production class 4.</t>
  </si>
  <si>
    <t>Enter the registry ID number in row 3298 of the table for production class 4.</t>
  </si>
  <si>
    <t>Enter the registry ID number in row 3299 of the table for production class 4.</t>
  </si>
  <si>
    <t>Enter the registry ID number in row 3300 of the table for production class 4.</t>
  </si>
  <si>
    <t>Enter the registry ID number in row 3301 of the table for production class 4.</t>
  </si>
  <si>
    <t>Enter the registry ID number in row 3302 of the table for production class 4.</t>
  </si>
  <si>
    <t>Enter the registry ID number in row 3303 of the table for production class 4.</t>
  </si>
  <si>
    <t>Enter the registry ID number in row 3304 of the table for production class 4.</t>
  </si>
  <si>
    <t>Enter the registry ID number in row 3305 of the table for production class 4.</t>
  </si>
  <si>
    <t>Enter the registry ID number in row 3306 of the table for production class 4.</t>
  </si>
  <si>
    <t>Enter the registry ID number in row 3307 of the table for production class 4.</t>
  </si>
  <si>
    <t>Enter the registry ID number in row 3308 of the table for production class 4.</t>
  </si>
  <si>
    <t>Enter the registry ID number in row 3309 of the table for production class 4.</t>
  </si>
  <si>
    <t>Enter the registry ID number in row 3310 of the table for production class 4.</t>
  </si>
  <si>
    <t>Enter the registry ID number in row 3311 of the table for production class 4.</t>
  </si>
  <si>
    <t>Enter the registry ID number in row 3312 of the table for production class 4.</t>
  </si>
  <si>
    <t>Enter the registry ID number in row 3313 of the table for production class 4.</t>
  </si>
  <si>
    <t>Enter the registry ID number in row 3314 of the table for production class 4.</t>
  </si>
  <si>
    <t>Enter the registry ID number in row 3315 of the table for production class 4.</t>
  </si>
  <si>
    <t>Enter the registry ID number in row 3316 of the table for production class 4.</t>
  </si>
  <si>
    <t>Enter the registry ID number in row 3317 of the table for production class 4.</t>
  </si>
  <si>
    <t>Enter the registry ID number in row 3318 of the table for production class 4.</t>
  </si>
  <si>
    <t>Enter the registry ID number in row 3319 of the table for production class 4.</t>
  </si>
  <si>
    <t>Enter the registry ID number in row 3320 of the table for production class 4.</t>
  </si>
  <si>
    <t>Enter the registry ID number in row 3321 of the table for production class 4.</t>
  </si>
  <si>
    <t>Enter the registry ID number in row 3322 of the table for production class 4.</t>
  </si>
  <si>
    <t>Enter the registry ID number in row 3323 of the table for production class 4.</t>
  </si>
  <si>
    <t>Enter the registry ID number in row 3324 of the table for production class 4.</t>
  </si>
  <si>
    <t>Enter the registry ID number in row 3325 of the table for production class 4.</t>
  </si>
  <si>
    <t>Enter the registry ID number in row 3326 of the table for production class 4.</t>
  </si>
  <si>
    <t>Enter the registry ID number in row 3327 of the table for production class 4.</t>
  </si>
  <si>
    <t>Enter the registry ID number in row 3328 of the table for production class 4.</t>
  </si>
  <si>
    <t>Enter the registry ID number in row 3329 of the table for production class 4.</t>
  </si>
  <si>
    <t>Enter the registry ID number in row 3330 of the table for production class 4.</t>
  </si>
  <si>
    <t>Enter the registry ID number in row 3331 of the table for production class 4.</t>
  </si>
  <si>
    <t>Enter the registry ID number in row 3332 of the table for production class 4.</t>
  </si>
  <si>
    <t>Enter the registry ID number in row 3333 of the table for production class 4.</t>
  </si>
  <si>
    <t>Enter the registry ID number in row 3334 of the table for production class 4.</t>
  </si>
  <si>
    <t>Enter the registry ID number in row 3335 of the table for production class 4.</t>
  </si>
  <si>
    <t>Enter the registry ID number in row 3336 of the table for production class 4.</t>
  </si>
  <si>
    <t>Enter the registry ID number in row 3337 of the table for production class 4.</t>
  </si>
  <si>
    <t>Enter the registry ID number in row 3338 of the table for production class 4.</t>
  </si>
  <si>
    <t>Enter the registry ID number in row 3339 of the table for production class 4.</t>
  </si>
  <si>
    <t>Enter the registry ID number in row 3340 of the table for production class 4.</t>
  </si>
  <si>
    <t>Enter the registry ID number in row 3341 of the table for production class 4.</t>
  </si>
  <si>
    <t>Enter the registry ID number in row 3342 of the table for production class 4.</t>
  </si>
  <si>
    <t>Enter the registry ID number in row 3343 of the table for production class 4.</t>
  </si>
  <si>
    <t>Enter the registry ID number in row 3344 of the table for production class 4.</t>
  </si>
  <si>
    <t>Enter the registry ID number in row 3345 of the table for production class 4.</t>
  </si>
  <si>
    <t>Enter the registry ID number in row 3346 of the table for production class 4.</t>
  </si>
  <si>
    <t>Enter the registry ID number in row 3347 of the table for production class 4.</t>
  </si>
  <si>
    <t>Enter the registry ID number in row 3348 of the table for production class 4.</t>
  </si>
  <si>
    <t>Enter the registry ID number in row 3349 of the table for production class 4.</t>
  </si>
  <si>
    <t>Enter the registry ID number in row 3350 of the table for production class 4.</t>
  </si>
  <si>
    <t>Enter the registry ID number in row 3351 of the table for production class 4.</t>
  </si>
  <si>
    <t>Enter the registry ID number in row 3352 of the table for production class 4.</t>
  </si>
  <si>
    <t>Enter the registry ID number in row 3353 of the table for production class 4.</t>
  </si>
  <si>
    <t>Enter the registry ID number in row 3354 of the table for production class 4.</t>
  </si>
  <si>
    <t>Enter the registry ID number in row 3355 of the table for production class 4.</t>
  </si>
  <si>
    <t>Enter the registry ID number in row 3356 of the table for production class 4.</t>
  </si>
  <si>
    <t>Enter the registry ID number in row 3357 of the table for production class 4.</t>
  </si>
  <si>
    <t>Enter the registry ID number in row 3358 of the table for production class 4.</t>
  </si>
  <si>
    <t>Enter the registry ID number in row 3359 of the table for production class 4.</t>
  </si>
  <si>
    <t>Enter the registry ID number in row 3360 of the table for production class 4.</t>
  </si>
  <si>
    <t>Enter the registry ID number in row 3361 of the table for production class 4.</t>
  </si>
  <si>
    <t>Enter the registry ID number in row 3362 of the table for production class 4.</t>
  </si>
  <si>
    <t>Enter the registry ID number in row 3363 of the table for production class 4.</t>
  </si>
  <si>
    <t>Enter the registry ID number in row 3364 of the table for production class 4.</t>
  </si>
  <si>
    <t>Enter the registry ID number in row 3365 of the table for production class 4.</t>
  </si>
  <si>
    <t>Enter the registry ID number in row 3366 of the table for production class 4.</t>
  </si>
  <si>
    <t>Enter the registry ID number in row 3367 of the table for production class 4.</t>
  </si>
  <si>
    <t>Enter the registry ID number in row 3368 of the table for production class 4.</t>
  </si>
  <si>
    <t>Enter the registry ID number in row 3369 of the table for production class 4.</t>
  </si>
  <si>
    <t>Enter the registry ID number in row 3370 of the table for production class 4.</t>
  </si>
  <si>
    <t>Enter the registry ID number in row 3371 of the table for production class 4.</t>
  </si>
  <si>
    <t>Enter the registry ID number in row 3372 of the table for production class 4.</t>
  </si>
  <si>
    <t>Enter the registry ID number in row 3373 of the table for production class 4.</t>
  </si>
  <si>
    <t>Enter the registry ID number in row 3374 of the table for production class 4.</t>
  </si>
  <si>
    <t>Enter the registry ID number in row 3375 of the table for production class 4.</t>
  </si>
  <si>
    <t>Enter the registry ID number in row 3376 of the table for production class 4.</t>
  </si>
  <si>
    <t>Enter the registry ID number in row 3377 of the table for production class 4.</t>
  </si>
  <si>
    <t>Enter the registry ID number in row 3378 of the table for production class 4.</t>
  </si>
  <si>
    <t>Enter the registry ID number in row 3379 of the table for production class 4.</t>
  </si>
  <si>
    <t>Enter the registry ID number in row 3380 of the table for production class 4.</t>
  </si>
  <si>
    <t>Enter the registry ID number in row 3381 of the table for production class 4.</t>
  </si>
  <si>
    <t>Enter the registry ID number in row 3382 of the table for production class 4.</t>
  </si>
  <si>
    <t>Enter the registry ID number in row 3383 of the table for production class 4.</t>
  </si>
  <si>
    <t>Enter the registry ID number in row 3384 of the table for production class 4.</t>
  </si>
  <si>
    <t>Enter the registry ID number in row 3385 of the table for production class 4.</t>
  </si>
  <si>
    <t>Enter the registry ID number in row 3386 of the table for production class 4.</t>
  </si>
  <si>
    <t>Enter the registry ID number in row 3387 of the table for production class 4.</t>
  </si>
  <si>
    <t>Enter the registry ID number in row 3388 of the table for production class 4.</t>
  </si>
  <si>
    <t>Enter the registry ID number in row 3389 of the table for production class 4.</t>
  </si>
  <si>
    <t>Enter the registry ID number in row 3390 of the table for production class 4.</t>
  </si>
  <si>
    <t>Enter the registry ID number in row 3391 of the table for production class 4.</t>
  </si>
  <si>
    <t>Enter the registry ID number in row 3392 of the table for production class 4.</t>
  </si>
  <si>
    <t>Enter the registry ID number in row 3393 of the table for production class 4.</t>
  </si>
  <si>
    <t>Enter the registry ID number in row 3394 of the table for production class 4.</t>
  </si>
  <si>
    <t>Enter the registry ID number in row 3395 of the table for production class 4.</t>
  </si>
  <si>
    <t>Enter the registry ID number in row 3396 of the table for production class 4.</t>
  </si>
  <si>
    <t>Enter the registry ID number in row 3397 of the table for production class 4.</t>
  </si>
  <si>
    <t>Enter the registry ID number in row 3398 of the table for production class 4.</t>
  </si>
  <si>
    <t>Enter the registry ID number in row 3399 of the table for production class 4.</t>
  </si>
  <si>
    <t>Enter the registry ID number in row 3400 of the table for production class 4.</t>
  </si>
  <si>
    <t>Enter the registry ID number in row 3401 of the table for production class 4.</t>
  </si>
  <si>
    <t>Enter the registry ID number in row 3402 of the table for production class 4.</t>
  </si>
  <si>
    <t>Enter the registry ID number in row 3403 of the table for production class 4.</t>
  </si>
  <si>
    <t>Enter the registry ID number in row 3404 of the table for production class 4.</t>
  </si>
  <si>
    <t>Enter the registry ID number in row 3405 of the table for production class 4.</t>
  </si>
  <si>
    <t>Enter the registry ID number in row 3406 of the table for production class 4.</t>
  </si>
  <si>
    <t>Enter the registry ID number in row 3407 of the table for production class 4.</t>
  </si>
  <si>
    <t>Enter the registry ID number in row 3408 of the table for production class 4.</t>
  </si>
  <si>
    <t>Enter the registry ID number in row 3409 of the table for production class 4.</t>
  </si>
  <si>
    <t>Enter the registry ID number in row 3410 of the table for production class 4.</t>
  </si>
  <si>
    <t>Enter the registry ID number in row 3411 of the table for production class 4.</t>
  </si>
  <si>
    <t>Enter the registry ID number in row 3412 of the table for production class 4.</t>
  </si>
  <si>
    <t>Enter the registry ID number in row 3413 of the table for production class 4.</t>
  </si>
  <si>
    <t>Enter the registry ID number in row 3414 of the table for production class 4.</t>
  </si>
  <si>
    <t>Enter the registry ID number in row 3415 of the table for production class 4.</t>
  </si>
  <si>
    <t>Enter the registry ID number in row 3416 of the table for production class 4.</t>
  </si>
  <si>
    <t>Enter the registry ID number in row 3417 of the table for production class 4.</t>
  </si>
  <si>
    <t>Enter the registry ID number in row 3418 of the table for production class 4.</t>
  </si>
  <si>
    <t>Enter the registry ID number in row 3419 of the table for production class 4.</t>
  </si>
  <si>
    <t>Enter the registry ID number in row 3420 of the table for production class 4.</t>
  </si>
  <si>
    <t>Enter the registry ID number in row 3421 of the table for production class 4.</t>
  </si>
  <si>
    <t>Enter the registry ID number in row 3422 of the table for production class 4.</t>
  </si>
  <si>
    <t>Enter the registry ID number in row 3423 of the table for production class 4.</t>
  </si>
  <si>
    <t>Enter the registry ID number in row 3424 of the table for production class 4.</t>
  </si>
  <si>
    <t>Enter the registry ID number in row 3425 of the table for production class 4.</t>
  </si>
  <si>
    <t>Enter the registry ID number in row 3426 of the table for production class 4.</t>
  </si>
  <si>
    <t>Enter the registry ID number in row 3427 of the table for production class 4.</t>
  </si>
  <si>
    <t>Enter the registry ID number in row 3428 of the table for production class 4.</t>
  </si>
  <si>
    <t>Enter the registry ID number in row 3429 of the table for production class 4.</t>
  </si>
  <si>
    <t>Enter the registry ID number in row 3430 of the table for production class 4.</t>
  </si>
  <si>
    <t>Enter the registry ID number in row 3431 of the table for production class 4.</t>
  </si>
  <si>
    <t>Enter the registry ID number in row 3432 of the table for production class 4.</t>
  </si>
  <si>
    <t>Enter the registry ID number in row 3433 of the table for production class 4.</t>
  </si>
  <si>
    <t>Enter the registry ID number in row 3434 of the table for production class 4.</t>
  </si>
  <si>
    <t>Enter the registry ID number in row 3435 of the table for production class 4.</t>
  </si>
  <si>
    <t>Enter the registry ID number in row 3436 of the table for production class 4.</t>
  </si>
  <si>
    <t>Enter the registry ID number in row 3437 of the table for production class 4.</t>
  </si>
  <si>
    <t>Enter the registry ID number in row 3438 of the table for production class 4.</t>
  </si>
  <si>
    <t>Enter the registry ID number in row 3439 of the table for production class 4.</t>
  </si>
  <si>
    <t>Enter the registry ID number in row 3440 of the table for production class 4.</t>
  </si>
  <si>
    <t>Enter the registry ID number in row 3441 of the table for production class 4.</t>
  </si>
  <si>
    <t>Enter the registry ID number in row 3442 of the table for production class 4.</t>
  </si>
  <si>
    <t>Enter the registry ID number in row 3443 of the table for production class 4.</t>
  </si>
  <si>
    <t>Enter the registry ID number in row 3444 of the table for production class 4.</t>
  </si>
  <si>
    <t>Enter the registry ID number in row 3445 of the table for production class 4.</t>
  </si>
  <si>
    <t>Enter the registry ID number in row 3446 of the table for production class 4.</t>
  </si>
  <si>
    <t>Enter the registry ID number in row 3447 of the table for production class 4.</t>
  </si>
  <si>
    <t>Enter the registry ID number in row 3448 of the table for production class 4.</t>
  </si>
  <si>
    <t>Enter the registry ID number in row 3449 of the table for production class 4.</t>
  </si>
  <si>
    <t>Enter the registry ID number in row 3450 of the table for production class 4.</t>
  </si>
  <si>
    <t>Enter the registry ID number in row 3451 of the table for production class 4.</t>
  </si>
  <si>
    <t>Enter the registry ID number in row 3452 of the table for production class 4.</t>
  </si>
  <si>
    <t>Enter the registry ID number in row 3453 of the table for production class 4.</t>
  </si>
  <si>
    <t>Enter the registry ID number in row 3454 of the table for production class 4.</t>
  </si>
  <si>
    <t>Enter the registry ID number in row 3455 of the table for production class 4.</t>
  </si>
  <si>
    <t>Enter the registry ID number in row 3456 of the table for production class 4.</t>
  </si>
  <si>
    <t>Enter the registry ID number in row 3457 of the table for production class 4.</t>
  </si>
  <si>
    <t>Enter the registry ID number in row 3458 of the table for production class 4.</t>
  </si>
  <si>
    <t>Enter the registry ID number in row 3459 of the table for production class 4.</t>
  </si>
  <si>
    <t>Enter the registry ID number in row 3460 of the table for production class 4.</t>
  </si>
  <si>
    <t>Enter the registry ID number in row 3461 of the table for production class 4.</t>
  </si>
  <si>
    <t>Enter the registry ID number in row 3462 of the table for production class 4.</t>
  </si>
  <si>
    <t>Enter the registry ID number in row 3463 of the table for production class 4.</t>
  </si>
  <si>
    <t>Enter the registry ID number in row 3464 of the table for production class 4.</t>
  </si>
  <si>
    <t>Enter the registry ID number in row 3465 of the table for production class 4.</t>
  </si>
  <si>
    <t>Enter the registry ID number in row 3466 of the table for production class 4.</t>
  </si>
  <si>
    <t>Enter the registry ID number in row 3467 of the table for production class 4.</t>
  </si>
  <si>
    <t>Enter the registry ID number in row 3468 of the table for production class 4.</t>
  </si>
  <si>
    <t>Enter the registry ID number in row 3469 of the table for production class 4.</t>
  </si>
  <si>
    <t>Enter the registry ID number in row 3470 of the table for production class 4.</t>
  </si>
  <si>
    <t>Enter the registry ID number in row 3471 of the table for production class 4.</t>
  </si>
  <si>
    <t>Enter the registry ID number in row 3472 of the table for production class 4.</t>
  </si>
  <si>
    <t>Enter the registry ID number in row 3473 of the table for production class 4.</t>
  </si>
  <si>
    <t>Enter the registry ID number in row 3474 of the table for production class 4.</t>
  </si>
  <si>
    <t>Enter the registry ID number in row 3475 of the table for production class 4.</t>
  </si>
  <si>
    <t>Enter the registry ID number in row 3476 of the table for production class 4.</t>
  </si>
  <si>
    <t>Enter the registry ID number in row 3477 of the table for production class 4.</t>
  </si>
  <si>
    <t>Enter the registry ID number in row 3478 of the table for production class 4.</t>
  </si>
  <si>
    <t>Enter the registry ID number in row 3479 of the table for production class 4.</t>
  </si>
  <si>
    <t>Enter the registry ID number in row 3480 of the table for production class 4.</t>
  </si>
  <si>
    <t>Enter the registry ID number in row 3481 of the table for production class 4.</t>
  </si>
  <si>
    <t>Enter the registry ID number in row 3482 of the table for production class 4.</t>
  </si>
  <si>
    <t>Enter the registry ID number in row 3483 of the table for production class 4.</t>
  </si>
  <si>
    <t>Enter the registry ID number in row 3484 of the table for production class 4.</t>
  </si>
  <si>
    <t>Enter the registry ID number in row 3485 of the table for production class 4.</t>
  </si>
  <si>
    <t>Enter the registry ID number in row 3486 of the table for production class 4.</t>
  </si>
  <si>
    <t>Enter the registry ID number in row 3487 of the table for production class 4.</t>
  </si>
  <si>
    <t>Enter the registry ID number in row 3488 of the table for production class 4.</t>
  </si>
  <si>
    <t>Enter the registry ID number in row 3489 of the table for production class 4.</t>
  </si>
  <si>
    <t>Enter the registry ID number in row 3490 of the table for production class 4.</t>
  </si>
  <si>
    <t>Enter the registry ID number in row 3491 of the table for production class 4.</t>
  </si>
  <si>
    <t>Enter the registry ID number in row 3492 of the table for production class 4.</t>
  </si>
  <si>
    <t>Enter the registry ID number in row 3493 of the table for production class 4.</t>
  </si>
  <si>
    <t>Enter the registry ID number in row 3494 of the table for production class 4.</t>
  </si>
  <si>
    <t>Enter the registry ID number in row 3495 of the table for production class 4.</t>
  </si>
  <si>
    <t>Enter the registry ID number in row 3496 of the table for production class 4.</t>
  </si>
  <si>
    <t>Enter the registry ID number in row 3497 of the table for production class 4.</t>
  </si>
  <si>
    <t>Enter the registry ID number in row 3498 of the table for production class 4.</t>
  </si>
  <si>
    <t>Enter the registry ID number in row 3499 of the table for production class 4.</t>
  </si>
  <si>
    <t>Enter the registry ID number in row 3500 of the table for production class 4.</t>
  </si>
  <si>
    <t>Enter the registry ID number in row 3501 of the table for production class 4.</t>
  </si>
  <si>
    <t>Enter the registry ID number in row 3502 of the table for production class 4.</t>
  </si>
  <si>
    <t>Enter the registry ID number in row 3503 of the table for production class 4.</t>
  </si>
  <si>
    <t>Enter the registry ID number in row 3504 of the table for production class 4.</t>
  </si>
  <si>
    <t>Enter the registry ID number in row 3505 of the table for production class 4.</t>
  </si>
  <si>
    <t>Enter the registry ID number in row 3506 of the table for production class 4.</t>
  </si>
  <si>
    <t>Enter the registry ID number in row 3507 of the table for production class 4.</t>
  </si>
  <si>
    <t>Enter the registry ID number in row 3508 of the table for production class 4.</t>
  </si>
  <si>
    <t>Enter the registry ID number in row 3509 of the table for production class 4.</t>
  </si>
  <si>
    <t>Enter the registry ID number in row 3510 of the table for production class 4.</t>
  </si>
  <si>
    <t>Enter the registry ID number in row 3511 of the table for production class 4.</t>
  </si>
  <si>
    <t>Enter the registry ID number in row 3512 of the table for production class 4.</t>
  </si>
  <si>
    <t>Enter the registry ID number in row 3513 of the table for production class 4.</t>
  </si>
  <si>
    <t>Enter the registry ID number in row 3514 of the table for production class 4.</t>
  </si>
  <si>
    <t>Enter the registry ID number in row 3515 of the table for production class 4.</t>
  </si>
  <si>
    <t>Enter the registry ID number in row 3516 of the table for production class 4.</t>
  </si>
  <si>
    <t>Enter the registry ID number in row 3517 of the table for production class 4.</t>
  </si>
  <si>
    <t>Enter the registry ID number in row 3518 of the table for production class 4.</t>
  </si>
  <si>
    <t>Enter the registry ID number in row 3519 of the table for production class 4.</t>
  </si>
  <si>
    <t>Enter the registry ID number in row 3520 of the table for production class 4.</t>
  </si>
  <si>
    <t>Enter the registry ID number in row 3521 of the table for production class 4.</t>
  </si>
  <si>
    <t>Enter the registry ID number in row 3522 of the table for production class 4.</t>
  </si>
  <si>
    <t>Enter the registry ID number in row 3523 of the table for production class 4.</t>
  </si>
  <si>
    <t>Enter the registry ID number in row 3524 of the table for production class 4.</t>
  </si>
  <si>
    <t>Enter the registry ID number in row 3525 of the table for production class 4.</t>
  </si>
  <si>
    <t>Enter the registry ID number in row 3526 of the table for production class 4.</t>
  </si>
  <si>
    <t>Enter the registry ID number in row 3527 of the table for production class 4.</t>
  </si>
  <si>
    <t>Enter the registry ID number in row 3528 of the table for production class 4.</t>
  </si>
  <si>
    <t>Enter the registry ID number in row 3529 of the table for production class 4.</t>
  </si>
  <si>
    <t>Enter the registry ID number in row 3530 of the table for production class 4.</t>
  </si>
  <si>
    <t>Enter the registry ID number in row 3531 of the table for production class 4.</t>
  </si>
  <si>
    <t>Enter the registry ID number in row 3532 of the table for production class 4.</t>
  </si>
  <si>
    <t>Enter the registry ID number in row 3533 of the table for production class 4.</t>
  </si>
  <si>
    <t>Enter the registry ID number in row 3534 of the table for production class 4.</t>
  </si>
  <si>
    <t>Enter the registry ID number in row 3535 of the table for production class 4.</t>
  </si>
  <si>
    <t>Enter the registry ID number in row 3536 of the table for production class 4.</t>
  </si>
  <si>
    <t>Enter the registry ID number in row 3537 of the table for production class 4.</t>
  </si>
  <si>
    <t>Enter the registry ID number in row 3538 of the table for production class 4.</t>
  </si>
  <si>
    <t>Enter the registry ID number in row 3539 of the table for production class 4.</t>
  </si>
  <si>
    <t>Enter the registry ID number in row 3540 of the table for production class 4.</t>
  </si>
  <si>
    <t>Enter the registry ID number in row 3541 of the table for production class 4.</t>
  </si>
  <si>
    <t>Enter the registry ID number in row 3542 of the table for production class 4.</t>
  </si>
  <si>
    <t>Enter the registry ID number in row 3543 of the table for production class 4.</t>
  </si>
  <si>
    <t>Enter the registry ID number in row 3544 of the table for production class 4.</t>
  </si>
  <si>
    <t>Enter the registry ID number in row 3545 of the table for production class 4.</t>
  </si>
  <si>
    <t>Enter the registry ID number in row 3546 of the table for production class 4.</t>
  </si>
  <si>
    <t>Enter the registry ID number in row 3547 of the table for production class 4.</t>
  </si>
  <si>
    <t>Enter the registry ID number in row 3548 of the table for production class 4.</t>
  </si>
  <si>
    <t>Enter the registry ID number in row 3549 of the table for production class 4.</t>
  </si>
  <si>
    <t>Enter the registry ID number in row 3550 of the table for production class 4.</t>
  </si>
  <si>
    <t>Enter the registry ID number in row 3551 of the table for production class 4.</t>
  </si>
  <si>
    <t>Enter the registry ID number in row 3552 of the table for production class 4.</t>
  </si>
  <si>
    <t>Enter the registry ID number in row 3553 of the table for production class 4.</t>
  </si>
  <si>
    <t>Enter the registry ID number in row 3554 of the table for production class 4.</t>
  </si>
  <si>
    <t>Enter the registry ID number in row 3555 of the table for production class 4.</t>
  </si>
  <si>
    <t>Enter the registry ID number in row 3556 of the table for production class 4.</t>
  </si>
  <si>
    <t>Enter the registry ID number in row 3557 of the table for production class 4.</t>
  </si>
  <si>
    <t>Enter the registry ID number in row 3558 of the table for production class 4.</t>
  </si>
  <si>
    <t>Enter the registry ID number in row 3559 of the table for production class 4.</t>
  </si>
  <si>
    <t>Enter the registry ID number in row 3560 of the table for production class 4.</t>
  </si>
  <si>
    <t>Enter the registry ID number in row 3561 of the table for production class 4.</t>
  </si>
  <si>
    <t>Enter the registry ID number in row 3562 of the table for production class 4.</t>
  </si>
  <si>
    <t>Enter the registry ID number in row 3563 of the table for production class 4.</t>
  </si>
  <si>
    <t>Enter the registry ID number in row 3564 of the table for production class 4.</t>
  </si>
  <si>
    <t>Enter the registry ID number in row 3565 of the table for production class 4.</t>
  </si>
  <si>
    <t>Enter the registry ID number in row 3566 of the table for production class 4.</t>
  </si>
  <si>
    <t>Enter the registry ID number in row 3567 of the table for production class 4.</t>
  </si>
  <si>
    <t>Enter the registry ID number in row 3568 of the table for production class 4.</t>
  </si>
  <si>
    <t>Enter the registry ID number in row 3569 of the table for production class 4.</t>
  </si>
  <si>
    <t>Enter the registry ID number in row 3570 of the table for production class 4.</t>
  </si>
  <si>
    <t>Enter the registry ID number in row 3571 of the table for production class 4.</t>
  </si>
  <si>
    <t>Enter the registry ID number in row 3572 of the table for production class 4.</t>
  </si>
  <si>
    <t>Enter the registry ID number in row 3573 of the table for production class 4.</t>
  </si>
  <si>
    <t>Enter the registry ID number in row 3574 of the table for production class 4.</t>
  </si>
  <si>
    <t>Enter the registry ID number in row 3575 of the table for production class 4.</t>
  </si>
  <si>
    <t>Enter the registry ID number in row 3576 of the table for production class 4.</t>
  </si>
  <si>
    <t>Enter the registry ID number in row 3577 of the table for production class 4.</t>
  </si>
  <si>
    <t>Enter the registry ID number in row 3578 of the table for production class 4.</t>
  </si>
  <si>
    <t>Enter the registry ID number in row 3579 of the table for production class 4.</t>
  </si>
  <si>
    <t>Enter the registry ID number in row 3580 of the table for production class 4.</t>
  </si>
  <si>
    <t>Enter the registry ID number in row 3581 of the table for production class 4.</t>
  </si>
  <si>
    <t>Enter the registry ID number in row 3582 of the table for production class 4.</t>
  </si>
  <si>
    <t>Enter the registry ID number in row 3583 of the table for production class 4.</t>
  </si>
  <si>
    <t>Enter the registry ID number in row 3584 of the table for production class 4.</t>
  </si>
  <si>
    <t>Enter the registry ID number in row 3585 of the table for production class 4.</t>
  </si>
  <si>
    <t>Enter the registry ID number in row 3586 of the table for production class 4.</t>
  </si>
  <si>
    <t>Enter the registry ID number in row 3587 of the table for production class 4.</t>
  </si>
  <si>
    <t>Enter the registry ID number in row 3588 of the table for production class 4.</t>
  </si>
  <si>
    <t>Enter the registry ID number in row 3589 of the table for production class 4.</t>
  </si>
  <si>
    <t>Enter the registry ID number in row 3590 of the table for production class 4.</t>
  </si>
  <si>
    <t>Enter the registry ID number in row 3591 of the table for production class 4.</t>
  </si>
  <si>
    <t>Enter the registry ID number in row 3592 of the table for production class 4.</t>
  </si>
  <si>
    <t>Enter the registry ID number in row 3593 of the table for production class 4.</t>
  </si>
  <si>
    <t>Enter the registry ID number in row 3594 of the table for production class 4.</t>
  </si>
  <si>
    <t>Enter the registry ID number in row 3595 of the table for production class 4.</t>
  </si>
  <si>
    <t>Enter the registry ID number in row 3596 of the table for production class 4.</t>
  </si>
  <si>
    <t>Enter the registry ID number in row 3597 of the table for production class 4.</t>
  </si>
  <si>
    <t>Enter the registry ID number in row 3598 of the table for production class 4.</t>
  </si>
  <si>
    <t>Enter the registry ID number in row 3599 of the table for production class 4.</t>
  </si>
  <si>
    <t>Enter the registry ID number in row 3600 of the table for production class 4.</t>
  </si>
  <si>
    <t>Enter the registry ID number in row 3601 of the table for production class 4.</t>
  </si>
  <si>
    <t>Enter the registry ID number in row 3602 of the table for production class 4.</t>
  </si>
  <si>
    <t>Enter the registry ID number in row 3603 of the table for production class 4.</t>
  </si>
  <si>
    <t>Enter the registry ID number in row 3604 of the table for production class 4.</t>
  </si>
  <si>
    <t>Enter the registry ID number in row 3605 of the table for production class 4.</t>
  </si>
  <si>
    <t>Enter the registry ID number in row 3606 of the table for production class 4.</t>
  </si>
  <si>
    <t>Enter the registry ID number in row 3607 of the table for production class 4.</t>
  </si>
  <si>
    <t>Enter the registry ID number in row 3608 of the table for production class 4.</t>
  </si>
  <si>
    <t>Enter the registry ID number in row 3609 of the table for production class 4.</t>
  </si>
  <si>
    <t>Enter the registry ID number in row 3610 of the table for production class 4.</t>
  </si>
  <si>
    <t>Enter the registry ID number in row 3611 of the table for production class 4.</t>
  </si>
  <si>
    <t>Enter the registry ID number in row 3612 of the table for production class 4.</t>
  </si>
  <si>
    <t>Enter the registry ID number in row 3613 of the table for production class 4.</t>
  </si>
  <si>
    <t>Enter the registry ID number in row 3614 of the table for production class 4.</t>
  </si>
  <si>
    <t>Enter the registry ID number in row 3615 of the table for production class 4.</t>
  </si>
  <si>
    <t>Enter the registry ID number in row 3616 of the table for production class 4.</t>
  </si>
  <si>
    <t>Enter the registry ID number in row 3617 of the table for production class 4.</t>
  </si>
  <si>
    <t>Enter the registry ID number in row 3618 of the table for production class 4.</t>
  </si>
  <si>
    <t>Enter the registry ID number in row 3619 of the table for production class 4.</t>
  </si>
  <si>
    <t>Enter the registry ID number in row 3620 of the table for production class 4.</t>
  </si>
  <si>
    <t>Enter the registry ID number in row 3621 of the table for production class 4.</t>
  </si>
  <si>
    <t>Enter the registry ID number in row 3622 of the table for production class 4.</t>
  </si>
  <si>
    <t>Enter the registry ID number in row 3623 of the table for production class 4.</t>
  </si>
  <si>
    <t>Enter the registry ID number in row 3624 of the table for production class 4.</t>
  </si>
  <si>
    <t>Enter the registry ID number in row 3625 of the table for production class 4.</t>
  </si>
  <si>
    <t>Enter the registry ID number in row 3626 of the table for production class 4.</t>
  </si>
  <si>
    <t>Enter the registry ID number in row 3627 of the table for production class 4.</t>
  </si>
  <si>
    <t>Enter the registry ID number in row 3628 of the table for production class 4.</t>
  </si>
  <si>
    <t>Enter the registry ID number in row 3629 of the table for production class 4.</t>
  </si>
  <si>
    <t>Enter the registry ID number in row 3630 of the table for production class 4.</t>
  </si>
  <si>
    <t>Enter the registry ID number in row 3631 of the table for production class 4.</t>
  </si>
  <si>
    <t>Enter the registry ID number in row 3632 of the table for production class 4.</t>
  </si>
  <si>
    <t>Enter the registry ID number in row 3633 of the table for production class 4.</t>
  </si>
  <si>
    <t>Enter the registry ID number in row 3634 of the table for production class 4.</t>
  </si>
  <si>
    <t>Enter the registry ID number in row 3635 of the table for production class 4.</t>
  </si>
  <si>
    <t>Enter the registry ID number in row 3636 of the table for production class 4.</t>
  </si>
  <si>
    <t>Enter the registry ID number in row 3637 of the table for production class 4.</t>
  </si>
  <si>
    <t>Enter the registry ID number in row 3638 of the table for production class 4.</t>
  </si>
  <si>
    <t>Enter the registry ID number in row 3639 of the table for production class 4.</t>
  </si>
  <si>
    <t>Enter the registry ID number in row 3640 of the table for production class 4.</t>
  </si>
  <si>
    <t>Enter the registry ID number in row 3641 of the table for production class 4.</t>
  </si>
  <si>
    <t>Enter the registry ID number in row 3642 of the table for production class 4.</t>
  </si>
  <si>
    <t>Enter the registry ID number in row 3643 of the table for production class 4.</t>
  </si>
  <si>
    <t>Enter the registry ID number in row 3644 of the table for production class 4.</t>
  </si>
  <si>
    <t>Enter the registry ID number in row 3645 of the table for production class 4.</t>
  </si>
  <si>
    <t>Enter the registry ID number in row 3646 of the table for production class 4.</t>
  </si>
  <si>
    <t>Enter the registry ID number in row 3647 of the table for production class 4.</t>
  </si>
  <si>
    <t>Enter the registry ID number in row 3648 of the table for production class 4.</t>
  </si>
  <si>
    <t>Enter the registry ID number in row 3649 of the table for production class 4.</t>
  </si>
  <si>
    <t>Enter the registry ID number in row 3650 of the table for production class 4.</t>
  </si>
  <si>
    <t>Enter the registry ID number in row 3651 of the table for production class 4.</t>
  </si>
  <si>
    <t>Enter the registry ID number in row 3652 of the table for production class 4.</t>
  </si>
  <si>
    <t>Enter the registry ID number in row 3653 of the table for production class 4.</t>
  </si>
  <si>
    <t>Enter the registry ID number in row 3654 of the table for production class 4.</t>
  </si>
  <si>
    <t>Enter the registry ID number in row 3655 of the table for production class 4.</t>
  </si>
  <si>
    <t>Enter the registry ID number in row 3656 of the table for production class 4.</t>
  </si>
  <si>
    <t>Enter the registry ID number in row 3657 of the table for production class 4.</t>
  </si>
  <si>
    <t>Enter the registry ID number in row 3658 of the table for production class 4.</t>
  </si>
  <si>
    <t>Enter the registry ID number in row 3659 of the table for production class 4.</t>
  </si>
  <si>
    <t>Enter the registry ID number in row 3660 of the table for production class 4.</t>
  </si>
  <si>
    <t>Enter the registry ID number in row 3661 of the table for production class 4.</t>
  </si>
  <si>
    <t>Enter the registry ID number in row 3662 of the table for production class 4.</t>
  </si>
  <si>
    <t>Enter the registry ID number in row 3663 of the table for production class 4.</t>
  </si>
  <si>
    <t>Enter the registry ID number in row 3664 of the table for production class 4.</t>
  </si>
  <si>
    <t>Enter the registry ID number in row 3665 of the table for production class 4.</t>
  </si>
  <si>
    <t>Enter the registry ID number in row 3666 of the table for production class 4.</t>
  </si>
  <si>
    <t>Enter the registry ID number in row 3667 of the table for production class 4.</t>
  </si>
  <si>
    <t>Enter the registry ID number in row 3668 of the table for production class 4.</t>
  </si>
  <si>
    <t>Enter the registry ID number in row 3669 of the table for production class 4.</t>
  </si>
  <si>
    <t>Enter the registry ID number in row 3670 of the table for production class 4.</t>
  </si>
  <si>
    <t>Enter the registry ID number in row 3671 of the table for production class 4.</t>
  </si>
  <si>
    <t>Enter the registry ID number in row 3672 of the table for production class 4.</t>
  </si>
  <si>
    <t>Enter the registry ID number in row 3673 of the table for production class 4.</t>
  </si>
  <si>
    <t>Enter the registry ID number in row 3674 of the table for production class 4.</t>
  </si>
  <si>
    <t>Enter the registry ID number in row 3675 of the table for production class 4.</t>
  </si>
  <si>
    <t>Enter the registry ID number in row 3676 of the table for production class 4.</t>
  </si>
  <si>
    <t>Enter the registry ID number in row 3677 of the table for production class 4.</t>
  </si>
  <si>
    <t>Enter the registry ID number in row 3678 of the table for production class 4.</t>
  </si>
  <si>
    <t>Enter the registry ID number in row 3679 of the table for production class 4.</t>
  </si>
  <si>
    <t>Enter the registry ID number in row 3680 of the table for production class 4.</t>
  </si>
  <si>
    <t>Enter the registry ID number in row 3681 of the table for production class 4.</t>
  </si>
  <si>
    <t>Enter the registry ID number in row 3682 of the table for production class 4.</t>
  </si>
  <si>
    <t>Enter the registry ID number in row 3683 of the table for production class 4.</t>
  </si>
  <si>
    <t>Enter the registry ID number in row 3684 of the table for production class 4.</t>
  </si>
  <si>
    <t>Enter the registry ID number in row 3685 of the table for production class 4.</t>
  </si>
  <si>
    <t>Enter the registry ID number in row 3686 of the table for production class 4.</t>
  </si>
  <si>
    <t>Enter the registry ID number in row 3687 of the table for production class 4.</t>
  </si>
  <si>
    <t>Enter the registry ID number in row 3688 of the table for production class 4.</t>
  </si>
  <si>
    <t>Enter the registry ID number in row 3689 of the table for production class 4.</t>
  </si>
  <si>
    <t>Enter the registry ID number in row 3690 of the table for production class 4.</t>
  </si>
  <si>
    <t>Enter the registry ID number in row 3691 of the table for production class 4.</t>
  </si>
  <si>
    <t>Enter the registry ID number in row 3692 of the table for production class 4.</t>
  </si>
  <si>
    <t>Enter the registry ID number in row 3693 of the table for production class 4.</t>
  </si>
  <si>
    <t>Enter the registry ID number in row 3694 of the table for production class 4.</t>
  </si>
  <si>
    <t>Enter the registry ID number in row 3695 of the table for production class 4.</t>
  </si>
  <si>
    <t>Enter the registry ID number in row 3696 of the table for production class 4.</t>
  </si>
  <si>
    <t>Enter the registry ID number in row 3697 of the table for production class 4.</t>
  </si>
  <si>
    <t>Enter the registry ID number in row 3698 of the table for production class 4.</t>
  </si>
  <si>
    <t>Enter the registry ID number in row 3699 of the table for production class 4.</t>
  </si>
  <si>
    <t>Enter the registry ID number in row 3700 of the table for production class 4.</t>
  </si>
  <si>
    <t>Enter the registry ID number in row 3701 of the table for production class 4.</t>
  </si>
  <si>
    <t>Enter the registry ID number in row 3702 of the table for production class 4.</t>
  </si>
  <si>
    <t>Enter the registry ID number in row 3703 of the table for production class 4.</t>
  </si>
  <si>
    <t>Enter the registry ID number in row 3704 of the table for production class 4.</t>
  </si>
  <si>
    <t>Enter the registry ID number in row 3705 of the table for production class 4.</t>
  </si>
  <si>
    <t>Enter the registry ID number in row 3706 of the table for production class 4.</t>
  </si>
  <si>
    <t>Enter the registry ID number in row 3707 of the table for production class 4.</t>
  </si>
  <si>
    <t>Enter the registry ID number in row 3708 of the table for production class 4.</t>
  </si>
  <si>
    <t>Enter the registry ID number in row 3709 of the table for production class 4.</t>
  </si>
  <si>
    <t>Enter the registry ID number in row 3710 of the table for production class 4.</t>
  </si>
  <si>
    <t>Enter the registry ID number in row 3711 of the table for production class 4.</t>
  </si>
  <si>
    <t>Enter the registry ID number in row 3712 of the table for production class 4.</t>
  </si>
  <si>
    <t>Enter the registry ID number in row 3713 of the table for production class 4.</t>
  </si>
  <si>
    <t>Enter the registry ID number in row 3714 of the table for production class 4.</t>
  </si>
  <si>
    <t>Enter the registry ID number in row 3715 of the table for production class 4.</t>
  </si>
  <si>
    <t>Enter the registry ID number in row 3716 of the table for production class 4.</t>
  </si>
  <si>
    <t>Enter the registry ID number in row 3717 of the table for production class 4.</t>
  </si>
  <si>
    <t>Enter the registry ID number in row 3718 of the table for production class 4.</t>
  </si>
  <si>
    <t>Enter the registry ID number in row 3719 of the table for production class 4.</t>
  </si>
  <si>
    <t>Enter the registry ID number in row 3720 of the table for production class 4.</t>
  </si>
  <si>
    <t>Enter the registry ID number in row 3721 of the table for production class 4.</t>
  </si>
  <si>
    <t>Enter the registry ID number in row 3722 of the table for production class 4.</t>
  </si>
  <si>
    <t>Enter the registry ID number in row 3723 of the table for production class 4.</t>
  </si>
  <si>
    <t>Enter the registry ID number in row 3724 of the table for production class 4.</t>
  </si>
  <si>
    <t>Enter the registry ID number in row 3725 of the table for production class 4.</t>
  </si>
  <si>
    <t>Enter the registry ID number in row 3726 of the table for production class 4.</t>
  </si>
  <si>
    <t>Enter the registry ID number in row 3727 of the table for production class 4.</t>
  </si>
  <si>
    <t>Enter the registry ID number in row 3728 of the table for production class 4.</t>
  </si>
  <si>
    <t>Enter the registry ID number in row 3729 of the table for production class 4.</t>
  </si>
  <si>
    <t>Enter the registry ID number in row 3730 of the table for production class 4.</t>
  </si>
  <si>
    <t>Enter the registry ID number in row 3731 of the table for production class 4.</t>
  </si>
  <si>
    <t>Enter the registry ID number in row 3732 of the table for production class 4.</t>
  </si>
  <si>
    <t>Enter the registry ID number in row 3733 of the table for production class 4.</t>
  </si>
  <si>
    <t>Enter the registry ID number in row 3734 of the table for production class 4.</t>
  </si>
  <si>
    <t>Enter the registry ID number in row 3735 of the table for production class 4.</t>
  </si>
  <si>
    <t>Enter the registry ID number in row 3736 of the table for production class 4.</t>
  </si>
  <si>
    <t>Enter the registry ID number in row 3737 of the table for production class 4.</t>
  </si>
  <si>
    <t>Enter the registry ID number in row 3738 of the table for production class 4.</t>
  </si>
  <si>
    <t>Enter the registry ID number in row 3739 of the table for production class 4.</t>
  </si>
  <si>
    <t>Enter the registry ID number in row 3740 of the table for production class 4.</t>
  </si>
  <si>
    <t>Enter the registry ID number in row 3741 of the table for production class 4.</t>
  </si>
  <si>
    <t>Enter the registry ID number in row 3742 of the table for production class 4.</t>
  </si>
  <si>
    <t>Enter the registry ID number in row 3743 of the table for production class 4.</t>
  </si>
  <si>
    <t>Enter the registry ID number in row 3744 of the table for production class 4.</t>
  </si>
  <si>
    <t>Enter the registry ID number in row 3745 of the table for production class 4.</t>
  </si>
  <si>
    <t>Enter the registry ID number in row 3746 of the table for production class 4.</t>
  </si>
  <si>
    <t>Enter the registry ID number in row 3747 of the table for production class 4.</t>
  </si>
  <si>
    <t>Enter the registry ID number in row 3748 of the table for production class 4.</t>
  </si>
  <si>
    <t>Enter the registry ID number in row 3749 of the table for production class 4.</t>
  </si>
  <si>
    <t>Enter the registry ID number in row 3750 of the table for production class 4.</t>
  </si>
  <si>
    <t>Enter the registry ID number in row 3751 of the table for production class 4.</t>
  </si>
  <si>
    <t>Enter the registry ID number in row 3752 of the table for production class 4.</t>
  </si>
  <si>
    <t>Enter the registry ID number in row 3753 of the table for production class 4.</t>
  </si>
  <si>
    <t>Enter the registry ID number in row 3754 of the table for production class 4.</t>
  </si>
  <si>
    <t>Enter the registry ID number in row 3755 of the table for production class 4.</t>
  </si>
  <si>
    <t>Enter the registry ID number in row 3756 of the table for production class 4.</t>
  </si>
  <si>
    <t>Enter the registry ID number in row 3757 of the table for production class 4.</t>
  </si>
  <si>
    <t>Enter the registry ID number in row 3758 of the table for production class 4.</t>
  </si>
  <si>
    <t>Enter the registry ID number in row 3759 of the table for production class 4.</t>
  </si>
  <si>
    <t>Enter the registry ID number in row 3760 of the table for production class 4.</t>
  </si>
  <si>
    <t>Enter the registry ID number in row 3761 of the table for production class 4.</t>
  </si>
  <si>
    <t>Enter the registry ID number in row 3762 of the table for production class 4.</t>
  </si>
  <si>
    <t>Enter the registry ID number in row 3763 of the table for production class 4.</t>
  </si>
  <si>
    <t>Enter the registry ID number in row 3764 of the table for production class 4.</t>
  </si>
  <si>
    <t>Enter the registry ID number in row 3765 of the table for production class 4.</t>
  </si>
  <si>
    <t>Enter the registry ID number in row 3766 of the table for production class 4.</t>
  </si>
  <si>
    <t>Enter the registry ID number in row 3767 of the table for production class 4.</t>
  </si>
  <si>
    <t>Enter the registry ID number in row 3768 of the table for production class 4.</t>
  </si>
  <si>
    <t>Enter the registry ID number in row 3769 of the table for production class 4.</t>
  </si>
  <si>
    <t>Enter the registry ID number in row 3770 of the table for production class 4.</t>
  </si>
  <si>
    <t>Enter the registry ID number in row 3771 of the table for production class 4.</t>
  </si>
  <si>
    <t>Enter the registry ID number in row 3772 of the table for production class 4.</t>
  </si>
  <si>
    <t>Enter the registry ID number in row 3773 of the table for production class 4.</t>
  </si>
  <si>
    <t>Enter the registry ID number in row 3774 of the table for production class 4.</t>
  </si>
  <si>
    <t>Enter the registry ID number in row 3775 of the table for production class 4.</t>
  </si>
  <si>
    <t>Enter the registry ID number in row 3776 of the table for production class 4.</t>
  </si>
  <si>
    <t>Enter the registry ID number in row 3777 of the table for production class 4.</t>
  </si>
  <si>
    <t>Enter the registry ID number in row 3778 of the table for production class 4.</t>
  </si>
  <si>
    <t>Enter the registry ID number in row 3779 of the table for production class 4.</t>
  </si>
  <si>
    <t>Enter the registry ID number in row 3780 of the table for production class 4.</t>
  </si>
  <si>
    <t>Enter the registry ID number in row 3781 of the table for production class 4.</t>
  </si>
  <si>
    <t>Enter the registry ID number in row 3782 of the table for production class 4.</t>
  </si>
  <si>
    <t>Enter the registry ID number in row 3783 of the table for production class 4.</t>
  </si>
  <si>
    <t>Enter the registry ID number in row 3784 of the table for production class 4.</t>
  </si>
  <si>
    <t>Enter the registry ID number in row 3785 of the table for production class 4.</t>
  </si>
  <si>
    <t>Enter the registry ID number in row 3786 of the table for production class 4.</t>
  </si>
  <si>
    <t>Enter the registry ID number in row 3787 of the table for production class 4.</t>
  </si>
  <si>
    <t>Enter the registry ID number in row 3788 of the table for production class 4.</t>
  </si>
  <si>
    <t>Enter the registry ID number in row 3789 of the table for production class 4.</t>
  </si>
  <si>
    <t>Enter the registry ID number in row 3790 of the table for production class 4.</t>
  </si>
  <si>
    <t>Enter the registry ID number in row 3791 of the table for production class 4.</t>
  </si>
  <si>
    <t>Enter the registry ID number in row 3792 of the table for production class 4.</t>
  </si>
  <si>
    <t>Enter the registry ID number in row 3793 of the table for production class 4.</t>
  </si>
  <si>
    <t>Enter the registry ID number in row 3794 of the table for production class 4.</t>
  </si>
  <si>
    <t>Enter the registry ID number in row 3795 of the table for production class 4.</t>
  </si>
  <si>
    <t>Enter the registry ID number in row 3796 of the table for production class 4.</t>
  </si>
  <si>
    <t>Enter the registry ID number in row 3797 of the table for production class 4.</t>
  </si>
  <si>
    <t>Enter the registry ID number in row 3798 of the table for production class 4.</t>
  </si>
  <si>
    <t>Enter the registry ID number in row 3799 of the table for production class 4.</t>
  </si>
  <si>
    <t>Enter the registry ID number in row 3800 of the table for production class 4.</t>
  </si>
  <si>
    <t>Enter the registry ID number in row 3801 of the table for production class 4.</t>
  </si>
  <si>
    <t>Enter the registry ID number in row 3802 of the table for production class 4.</t>
  </si>
  <si>
    <t>Enter the registry ID number in row 3803 of the table for production class 4.</t>
  </si>
  <si>
    <t>Enter the registry ID number in row 3804 of the table for production class 4.</t>
  </si>
  <si>
    <t>Enter the registry ID number in row 3805 of the table for production class 4.</t>
  </si>
  <si>
    <t>Enter the registry ID number in row 3806 of the table for production class 4.</t>
  </si>
  <si>
    <t>Enter the registry ID number in row 3807 of the table for production class 4.</t>
  </si>
  <si>
    <t>Enter the registry ID number in row 3808 of the table for production class 4.</t>
  </si>
  <si>
    <t>Enter the registry ID number in row 3809 of the table for production class 4.</t>
  </si>
  <si>
    <t>Enter the registry ID number in row 3810 of the table for production class 4.</t>
  </si>
  <si>
    <t>Enter the registry ID number in row 3811 of the table for production class 4.</t>
  </si>
  <si>
    <t>Enter the registry ID number in row 3812 of the table for production class 4.</t>
  </si>
  <si>
    <t>Enter the registry ID number in row 3813 of the table for production class 4.</t>
  </si>
  <si>
    <t>Enter the registry ID number in row 3814 of the table for production class 4.</t>
  </si>
  <si>
    <t>Enter the registry ID number in row 3815 of the table for production class 4.</t>
  </si>
  <si>
    <t>Enter the registry ID number in row 3816 of the table for production class 4.</t>
  </si>
  <si>
    <t>Enter the registry ID number in row 3817 of the table for production class 4.</t>
  </si>
  <si>
    <t>Enter the registry ID number in row 3818 of the table for production class 4.</t>
  </si>
  <si>
    <t>Enter the registry ID number in row 3819 of the table for production class 4.</t>
  </si>
  <si>
    <t>Enter the registry ID number in row 3820 of the table for production class 4.</t>
  </si>
  <si>
    <t>Enter the registry ID number in row 3821 of the table for production class 4.</t>
  </si>
  <si>
    <t>Enter the registry ID number in row 3822 of the table for production class 4.</t>
  </si>
  <si>
    <t>Enter the registry ID number in row 3823 of the table for production class 4.</t>
  </si>
  <si>
    <t>Enter the registry ID number in row 3824 of the table for production class 4.</t>
  </si>
  <si>
    <t>Enter the registry ID number in row 3825 of the table for production class 4.</t>
  </si>
  <si>
    <t>Enter the registry ID number in row 3826 of the table for production class 4.</t>
  </si>
  <si>
    <t>Enter the registry ID number in row 3827 of the table for production class 4.</t>
  </si>
  <si>
    <t>Enter the registry ID number in row 3828 of the table for production class 4.</t>
  </si>
  <si>
    <t>Enter the registry ID number in row 3829 of the table for production class 4.</t>
  </si>
  <si>
    <t>Enter the registry ID number in row 3830 of the table for production class 4.</t>
  </si>
  <si>
    <t>Enter the registry ID number in row 3831 of the table for production class 4.</t>
  </si>
  <si>
    <t>Enter the registry ID number in row 3832 of the table for production class 4.</t>
  </si>
  <si>
    <t>Enter the registry ID number in row 3833 of the table for production class 4.</t>
  </si>
  <si>
    <t>Enter the registry ID number in row 3834 of the table for production class 4.</t>
  </si>
  <si>
    <t>Enter the registry ID number in row 3835 of the table for production class 4.</t>
  </si>
  <si>
    <t>Enter the registry ID number in row 3836 of the table for production class 4.</t>
  </si>
  <si>
    <t>Enter the registry ID number in row 3837 of the table for production class 4.</t>
  </si>
  <si>
    <t>Enter the registry ID number in row 3838 of the table for production class 4.</t>
  </si>
  <si>
    <t>Enter the registry ID number in row 3839 of the table for production class 4.</t>
  </si>
  <si>
    <t>Enter the registry ID number in row 3840 of the table for production class 4.</t>
  </si>
  <si>
    <t>Enter the registry ID number in row 3841 of the table for production class 4.</t>
  </si>
  <si>
    <t>Enter the registry ID number in row 3842 of the table for production class 4.</t>
  </si>
  <si>
    <t>Enter the registry ID number in row 3843 of the table for production class 4.</t>
  </si>
  <si>
    <t>Enter the registry ID number in row 3844 of the table for production class 4.</t>
  </si>
  <si>
    <t>Enter the registry ID number in row 3845 of the table for production class 4.</t>
  </si>
  <si>
    <t>Enter the registry ID number in row 3846 of the table for production class 4.</t>
  </si>
  <si>
    <t>Enter the registry ID number in row 3847 of the table for production class 4.</t>
  </si>
  <si>
    <t>Enter the registry ID number in row 3848 of the table for production class 4.</t>
  </si>
  <si>
    <t>Enter the registry ID number in row 3849 of the table for production class 4.</t>
  </si>
  <si>
    <t>Enter the registry ID number in row 3850 of the table for production class 4.</t>
  </si>
  <si>
    <t>Enter the registry ID number in row 3851 of the table for production class 4.</t>
  </si>
  <si>
    <t>Enter the registry ID number in row 3852 of the table for production class 4.</t>
  </si>
  <si>
    <t>Enter the registry ID number in row 3853 of the table for production class 4.</t>
  </si>
  <si>
    <t>Enter the registry ID number in row 3854 of the table for production class 4.</t>
  </si>
  <si>
    <t>Enter the registry ID number in row 3855 of the table for production class 4.</t>
  </si>
  <si>
    <t>Enter the registry ID number in row 3856 of the table for production class 4.</t>
  </si>
  <si>
    <t>Enter the registry ID number in row 3857 of the table for production class 4.</t>
  </si>
  <si>
    <t>Enter the registry ID number in row 3858 of the table for production class 4.</t>
  </si>
  <si>
    <t>Enter the registry ID number in row 3859 of the table for production class 4.</t>
  </si>
  <si>
    <t>Enter the registry ID number in row 3860 of the table for production class 4.</t>
  </si>
  <si>
    <t>Enter the registry ID number in row 3861 of the table for production class 4.</t>
  </si>
  <si>
    <t>Enter the registry ID number in row 3862 of the table for production class 4.</t>
  </si>
  <si>
    <t>Enter the registry ID number in row 3863 of the table for production class 4.</t>
  </si>
  <si>
    <t>Enter the registry ID number in row 3864 of the table for production class 4.</t>
  </si>
  <si>
    <t>Enter the registry ID number in row 3865 of the table for production class 4.</t>
  </si>
  <si>
    <t>Enter the registry ID number in row 3866 of the table for production class 4.</t>
  </si>
  <si>
    <t>Enter the registry ID number in row 3867 of the table for production class 4.</t>
  </si>
  <si>
    <t>Enter the registry ID number in row 3868 of the table for production class 4.</t>
  </si>
  <si>
    <t>Enter the registry ID number in row 3869 of the table for production class 4.</t>
  </si>
  <si>
    <t>Enter the registry ID number in row 3870 of the table for production class 4.</t>
  </si>
  <si>
    <t>Enter the registry ID number in row 3871 of the table for production class 4.</t>
  </si>
  <si>
    <t>Enter the registry ID number in row 3872 of the table for production class 4.</t>
  </si>
  <si>
    <t>Enter the registry ID number in row 3873 of the table for production class 4.</t>
  </si>
  <si>
    <t>Enter the registry ID number in row 3874 of the table for production class 4.</t>
  </si>
  <si>
    <t>Enter the registry ID number in row 3875 of the table for production class 4.</t>
  </si>
  <si>
    <t>Enter the registry ID number in row 3876 of the table for production class 4.</t>
  </si>
  <si>
    <t>Enter the registry ID number in row 3877 of the table for production class 4.</t>
  </si>
  <si>
    <t>Enter the registry ID number in row 3878 of the table for production class 4.</t>
  </si>
  <si>
    <t>Enter the registry ID number in row 3879 of the table for production class 4.</t>
  </si>
  <si>
    <t>Enter the registry ID number in row 3880 of the table for production class 4.</t>
  </si>
  <si>
    <t>Enter the registry ID number in row 3881 of the table for production class 4.</t>
  </si>
  <si>
    <t>Enter the registry ID number in row 3882 of the table for production class 4.</t>
  </si>
  <si>
    <t>Enter the registry ID number in row 3883 of the table for production class 4.</t>
  </si>
  <si>
    <t>Enter the registry ID number in row 3884 of the table for production class 4.</t>
  </si>
  <si>
    <t>Enter the registry ID number in row 3885 of the table for production class 4.</t>
  </si>
  <si>
    <t>Enter the registry ID number in row 3886 of the table for production class 4.</t>
  </si>
  <si>
    <t>Enter the registry ID number in row 3887 of the table for production class 4.</t>
  </si>
  <si>
    <t>Enter the registry ID number in row 3888 of the table for production class 4.</t>
  </si>
  <si>
    <t>Enter the registry ID number in row 3889 of the table for production class 4.</t>
  </si>
  <si>
    <t>Enter the registry ID number in row 3890 of the table for production class 4.</t>
  </si>
  <si>
    <t>Enter the registry ID number in row 3891 of the table for production class 4.</t>
  </si>
  <si>
    <t>Enter the registry ID number in row 3892 of the table for production class 4.</t>
  </si>
  <si>
    <t>Enter the registry ID number in row 3893 of the table for production class 4.</t>
  </si>
  <si>
    <t>Enter the registry ID number in row 3894 of the table for production class 4.</t>
  </si>
  <si>
    <t>Enter the registry ID number in row 3895 of the table for production class 4.</t>
  </si>
  <si>
    <t>Enter the registry ID number in row 3896 of the table for production class 4.</t>
  </si>
  <si>
    <t>Enter the registry ID number in row 3897 of the table for production class 4.</t>
  </si>
  <si>
    <t>Enter the registry ID number in row 3898 of the table for production class 4.</t>
  </si>
  <si>
    <t>Enter the registry ID number in row 3899 of the table for production class 4.</t>
  </si>
  <si>
    <t>Enter the registry ID number in row 3900 of the table for production class 4.</t>
  </si>
  <si>
    <t>Enter the registry ID number in row 3901 of the table for production class 4.</t>
  </si>
  <si>
    <t>Enter the registry ID number in row 3902 of the table for production class 4.</t>
  </si>
  <si>
    <t>Enter the registry ID number in row 3903 of the table for production class 4.</t>
  </si>
  <si>
    <t>Enter the registry ID number in row 3904 of the table for production class 4.</t>
  </si>
  <si>
    <t>Enter the registry ID number in row 3905 of the table for production class 4.</t>
  </si>
  <si>
    <t>Enter the registry ID number in row 3906 of the table for production class 4.</t>
  </si>
  <si>
    <t>Enter the registry ID number in row 3907 of the table for production class 4.</t>
  </si>
  <si>
    <t>Enter the registry ID number in row 3908 of the table for production class 4.</t>
  </si>
  <si>
    <t>Enter the registry ID number in row 3909 of the table for production class 4.</t>
  </si>
  <si>
    <t>Enter the registry ID number in row 3910 of the table for production class 4.</t>
  </si>
  <si>
    <t>Enter the registry ID number in row 3911 of the table for production class 4.</t>
  </si>
  <si>
    <t>Enter the registry ID number in row 3912 of the table for production class 4.</t>
  </si>
  <si>
    <t>Enter the registry ID number in row 3913 of the table for production class 4.</t>
  </si>
  <si>
    <t>Enter the registry ID number in row 3914 of the table for production class 4.</t>
  </si>
  <si>
    <t>Enter the registry ID number in row 3915 of the table for production class 4.</t>
  </si>
  <si>
    <t>Enter the registry ID number in row 3916 of the table for production class 4.</t>
  </si>
  <si>
    <t>Enter the registry ID number in row 3917 of the table for production class 4.</t>
  </si>
  <si>
    <t>Enter the registry ID number in row 3918 of the table for production class 4.</t>
  </si>
  <si>
    <t>Enter the registry ID number in row 3919 of the table for production class 4.</t>
  </si>
  <si>
    <t>Enter the registry ID number in row 3920 of the table for production class 4.</t>
  </si>
  <si>
    <t>Enter the registry ID number in row 3921 of the table for production class 4.</t>
  </si>
  <si>
    <t>Enter the registry ID number in row 3922 of the table for production class 4.</t>
  </si>
  <si>
    <t>Enter the registry ID number in row 3923 of the table for production class 4.</t>
  </si>
  <si>
    <t>Enter the registry ID number in row 3924 of the table for production class 4.</t>
  </si>
  <si>
    <t>Enter the registry ID number in row 3925 of the table for production class 4.</t>
  </si>
  <si>
    <t>Enter the registry ID number in row 3926 of the table for production class 4.</t>
  </si>
  <si>
    <t>Enter the registry ID number in row 3927 of the table for production class 4.</t>
  </si>
  <si>
    <t>Enter the registry ID number in row 3928 of the table for production class 4.</t>
  </si>
  <si>
    <t>Enter the registry ID number in row 3929 of the table for production class 4.</t>
  </si>
  <si>
    <t>Enter the registry ID number in row 3930 of the table for production class 4.</t>
  </si>
  <si>
    <t>Enter the registry ID number in row 3931 of the table for production class 4.</t>
  </si>
  <si>
    <t>Enter the registry ID number in row 3932 of the table for production class 4.</t>
  </si>
  <si>
    <t>Enter the registry ID number in row 3933 of the table for production class 4.</t>
  </si>
  <si>
    <t>Enter the registry ID number in row 3934 of the table for production class 4.</t>
  </si>
  <si>
    <t>Enter the registry ID number in row 3935 of the table for production class 4.</t>
  </si>
  <si>
    <t>Enter the registry ID number in row 3936 of the table for production class 4.</t>
  </si>
  <si>
    <t>Enter the registry ID number in row 3937 of the table for production class 4.</t>
  </si>
  <si>
    <t>Enter the registry ID number in row 3938 of the table for production class 4.</t>
  </si>
  <si>
    <t>Enter the registry ID number in row 3939 of the table for production class 4.</t>
  </si>
  <si>
    <t>Enter the registry ID number in row 3940 of the table for production class 4.</t>
  </si>
  <si>
    <t>Enter the registry ID number in row 3941 of the table for production class 4.</t>
  </si>
  <si>
    <t>Enter the registry ID number in row 3942 of the table for production class 4.</t>
  </si>
  <si>
    <t>Enter the registry ID number in row 3943 of the table for production class 4.</t>
  </si>
  <si>
    <t>Enter the registry ID number in row 3944 of the table for production class 4.</t>
  </si>
  <si>
    <t>Enter the registry ID number in row 3945 of the table for production class 4.</t>
  </si>
  <si>
    <t>Enter the registry ID number in row 3946 of the table for production class 4.</t>
  </si>
  <si>
    <t>Enter the registry ID number in row 3947 of the table for production class 4.</t>
  </si>
  <si>
    <t>Enter the registry ID number in row 3948 of the table for production class 4.</t>
  </si>
  <si>
    <t>Enter the registry ID number in row 3949 of the table for production class 4.</t>
  </si>
  <si>
    <t>Enter the registry ID number in row 3950 of the table for production class 4.</t>
  </si>
  <si>
    <t>Enter the registry ID number in row 3951 of the table for production class 4.</t>
  </si>
  <si>
    <t>Enter the registry ID number in row 3952 of the table for production class 4.</t>
  </si>
  <si>
    <t>Enter the registry ID number in row 3953 of the table for production class 4.</t>
  </si>
  <si>
    <t>Enter the registry ID number in row 3954 of the table for production class 4.</t>
  </si>
  <si>
    <t>Enter the registry ID number in row 3955 of the table for production class 4.</t>
  </si>
  <si>
    <t>Enter the registry ID number in row 3956 of the table for production class 4.</t>
  </si>
  <si>
    <t>Enter the registry ID number in row 3957 of the table for production class 4.</t>
  </si>
  <si>
    <t>Enter the registry ID number in row 3958 of the table for production class 4.</t>
  </si>
  <si>
    <t>Enter the registry ID number in row 3959 of the table for production class 4.</t>
  </si>
  <si>
    <t>Enter the registry ID number in row 3960 of the table for production class 4.</t>
  </si>
  <si>
    <t>Enter the registry ID number in row 3961 of the table for production class 4.</t>
  </si>
  <si>
    <t>Enter the registry ID number in row 3962 of the table for production class 4.</t>
  </si>
  <si>
    <t>Enter the registry ID number in row 3963 of the table for production class 4.</t>
  </si>
  <si>
    <t>Enter the registry ID number in row 3964 of the table for production class 4.</t>
  </si>
  <si>
    <t>Enter the registry ID number in row 3965 of the table for production class 4.</t>
  </si>
  <si>
    <t>Enter the registry ID number in row 3966 of the table for production class 4.</t>
  </si>
  <si>
    <t>Enter the registry ID number in row 3967 of the table for production class 4.</t>
  </si>
  <si>
    <t>Enter the registry ID number in row 3968 of the table for production class 4.</t>
  </si>
  <si>
    <t>Enter the registry ID number in row 3969 of the table for production class 4.</t>
  </si>
  <si>
    <t>Enter the registry ID number in row 3970 of the table for production class 4.</t>
  </si>
  <si>
    <t>Enter the registry ID number in row 3971 of the table for production class 4.</t>
  </si>
  <si>
    <t>Enter the registry ID number in row 3972 of the table for production class 4.</t>
  </si>
  <si>
    <t>Enter the registry ID number in row 3973 of the table for production class 4.</t>
  </si>
  <si>
    <t>Enter the registry ID number in row 3974 of the table for production class 4.</t>
  </si>
  <si>
    <t>Enter the registry ID number in row 3975 of the table for production class 4.</t>
  </si>
  <si>
    <t>Enter the registry ID number in row 3976 of the table for production class 4.</t>
  </si>
  <si>
    <t>Enter the registry ID number in row 3977 of the table for production class 4.</t>
  </si>
  <si>
    <t>Enter the registry ID number in row 3978 of the table for production class 4.</t>
  </si>
  <si>
    <t>Enter the registry ID number in row 3979 of the table for production class 4.</t>
  </si>
  <si>
    <t>Enter the registry ID number in row 3980 of the table for production class 4.</t>
  </si>
  <si>
    <t>Enter the registry ID number in row 3981 of the table for production class 4.</t>
  </si>
  <si>
    <t>Enter the registry ID number in row 3982 of the table for production class 4.</t>
  </si>
  <si>
    <t>Enter the registry ID number in row 3983 of the table for production class 4.</t>
  </si>
  <si>
    <t>Enter the registry ID number in row 3984 of the table for production class 4.</t>
  </si>
  <si>
    <t>Enter the registry ID number in row 3985 of the table for production class 4.</t>
  </si>
  <si>
    <t>Enter the registry ID number in row 3986 of the table for production class 4.</t>
  </si>
  <si>
    <t>Enter the registry ID number in row 3987 of the table for production class 4.</t>
  </si>
  <si>
    <t>Enter the registry ID number in row 3988 of the table for production class 4.</t>
  </si>
  <si>
    <t>Enter the registry ID number in row 3989 of the table for production class 4.</t>
  </si>
  <si>
    <t>Enter the registry ID number in row 3990 of the table for production class 4.</t>
  </si>
  <si>
    <t>Enter the registry ID number in row 3991 of the table for production class 4.</t>
  </si>
  <si>
    <t>Enter the registry ID number in row 3992 of the table for production class 4.</t>
  </si>
  <si>
    <t>Enter the registry ID number in row 3993 of the table for production class 4.</t>
  </si>
  <si>
    <t>Enter the registry ID number in row 3994 of the table for production class 4.</t>
  </si>
  <si>
    <t>Enter the registry ID number in row 3995 of the table for production class 4.</t>
  </si>
  <si>
    <t>Enter the registry ID number in row 3996 of the table for production class 4.</t>
  </si>
  <si>
    <t>Enter the registry ID number in row 3997 of the table for production class 4.</t>
  </si>
  <si>
    <t>Enter the registry ID number in row 3998 of the table for production class 4.</t>
  </si>
  <si>
    <t>Enter the registry ID number in row 3999 of the table for production class 4.</t>
  </si>
  <si>
    <t>Enter the registry ID number in row 4000 of the table for production class 4.</t>
  </si>
  <si>
    <t>Enter the registry ID number in row 4001 of the table for production class 4.</t>
  </si>
  <si>
    <t>Enter the registry ID number in row 4002 of the table for production class 4.</t>
  </si>
  <si>
    <t>Enter the registry ID number in row 4003 of the table for production class 4.</t>
  </si>
  <si>
    <t>Enter the registry ID number in row 4004 of the table for production class 4.</t>
  </si>
  <si>
    <t>Enter the registry ID number in row 4005 of the table for production class 4.</t>
  </si>
  <si>
    <t>Enter the registry ID number in row 4006 of the table for production class 4.</t>
  </si>
  <si>
    <t>Enter the registry ID number in row 4007 of the table for production class 4.</t>
  </si>
  <si>
    <t>Enter the registry ID number in row 4008 of the table for production class 4.</t>
  </si>
  <si>
    <t>Enter the registry ID number in row 4009 of the table for production class 4.</t>
  </si>
  <si>
    <t>Enter the registry ID number in row 4010 of the table for production class 4.</t>
  </si>
  <si>
    <t>Enter the registry ID number in row 4011 of the table for production class 4.</t>
  </si>
  <si>
    <t>Enter the registry ID number in row 4012 of the table for production class 4.</t>
  </si>
  <si>
    <t>Enter the registry ID number in row 4013 of the table for production class 4.</t>
  </si>
  <si>
    <t>Enter the registry ID number in row 4014 of the table for production class 4.</t>
  </si>
  <si>
    <t>Enter the registry ID number in row 4015 of the table for production class 4.</t>
  </si>
  <si>
    <t>Enter the registry ID number in row 4016 of the table for production class 4.</t>
  </si>
  <si>
    <t>Enter the registry ID number in row 4017 of the table for production class 4.</t>
  </si>
  <si>
    <t>Enter the registry ID number in row 4018 of the table for production class 4.</t>
  </si>
  <si>
    <t>Enter the registry ID number in row 4019 of the table for production class 4.</t>
  </si>
  <si>
    <t>Enter the registry ID number in row 4020 of the table for production class 4.</t>
  </si>
  <si>
    <t>Enter the registry ID number in row 4021 of the table for production class 4.</t>
  </si>
  <si>
    <t>Enter the registry ID number in row 4022 of the table for production class 4.</t>
  </si>
  <si>
    <t>Enter the registry ID number in row 4023 of the table for production class 4.</t>
  </si>
  <si>
    <t>Enter the registry ID number in row 4024 of the table for production class 4.</t>
  </si>
  <si>
    <t>Enter the registry ID number in row 4025 of the table for production class 4.</t>
  </si>
  <si>
    <t>Enter the registry ID number in row 4026 of the table for production class 4.</t>
  </si>
  <si>
    <t>Enter the registry ID number in row 4027 of the table for production class 4.</t>
  </si>
  <si>
    <t>Enter the registry ID number in row 4028 of the table for production class 4.</t>
  </si>
  <si>
    <t>Enter the registry ID number in row 4029 of the table for production class 4.</t>
  </si>
  <si>
    <t>Enter the registry ID number in row 4030 of the table for production class 4.</t>
  </si>
  <si>
    <t>Enter the registry ID number in row 4031 of the table for production class 4.</t>
  </si>
  <si>
    <t>Enter the registry ID number in row 4032 of the table for production class 4.</t>
  </si>
  <si>
    <t>Enter the registry ID number in row 4033 of the table for production class 4.</t>
  </si>
  <si>
    <t>Enter the registry ID number in row 4034 of the table for production class 4.</t>
  </si>
  <si>
    <t>Enter the registry ID number in row 4035 of the table for production class 4.</t>
  </si>
  <si>
    <t>Enter the registry ID number in row 4036 of the table for production class 4.</t>
  </si>
  <si>
    <t>Enter the registry ID number in row 4037 of the table for production class 4.</t>
  </si>
  <si>
    <t>Enter the registry ID number in row 4038 of the table for production class 4.</t>
  </si>
  <si>
    <t>Enter the registry ID number in row 4039 of the table for production class 4.</t>
  </si>
  <si>
    <t>Enter the registry ID number in row 4040 of the table for production class 4.</t>
  </si>
  <si>
    <t>Enter the registry ID number in row 4041 of the table for production class 4.</t>
  </si>
  <si>
    <t>Enter the registry ID number in row 4042 of the table for production class 4.</t>
  </si>
  <si>
    <t>Enter the registry ID number in row 4043 of the table for production class 4.</t>
  </si>
  <si>
    <t>Enter the registry ID number in row 4044 of the table for production class 4.</t>
  </si>
  <si>
    <t>Enter the registry ID number in row 4045 of the table for production class 4.</t>
  </si>
  <si>
    <t>Enter the registry ID number in row 4046 of the table for production class 4.</t>
  </si>
  <si>
    <t>Enter the registry ID number in row 4047 of the table for production class 4.</t>
  </si>
  <si>
    <t>Enter the registry ID number in row 4048 of the table for production class 4.</t>
  </si>
  <si>
    <t>Enter the registry ID number in row 4049 of the table for production class 4.</t>
  </si>
  <si>
    <t>Enter the registry ID number in row 4050 of the table for production class 4.</t>
  </si>
  <si>
    <t>Enter the registry ID number in row 4051 of the table for production class 4.</t>
  </si>
  <si>
    <t>Enter the registry ID number in row 4052 of the table for production class 4.</t>
  </si>
  <si>
    <t>Enter the registry ID number in row 4053 of the table for production class 4.</t>
  </si>
  <si>
    <t>Enter the registry ID number in row 4054 of the table for production class 4.</t>
  </si>
  <si>
    <t>Enter the registry ID number in row 4055 of the table for production class 4.</t>
  </si>
  <si>
    <t>Enter the registry ID number in row 4056 of the table for production class 4.</t>
  </si>
  <si>
    <t>Enter the registry ID number in row 4057 of the table for production class 4.</t>
  </si>
  <si>
    <t>Enter the registry ID number in row 4058 of the table for production class 4.</t>
  </si>
  <si>
    <t>Enter the registry ID number in row 4059 of the table for production class 4.</t>
  </si>
  <si>
    <t>Enter the registry ID number in row 4060 of the table for production class 4.</t>
  </si>
  <si>
    <t>Enter the registry ID number in row 4061 of the table for production class 4.</t>
  </si>
  <si>
    <t>Enter the registry ID number in row 4062 of the table for production class 4.</t>
  </si>
  <si>
    <t>Enter the registry ID number in row 4063 of the table for production class 4.</t>
  </si>
  <si>
    <t>Enter the registry ID number in row 4064 of the table for production class 4.</t>
  </si>
  <si>
    <t>Enter the registry ID number in row 4065 of the table for production class 4.</t>
  </si>
  <si>
    <t>Enter the registry ID number in row 4066 of the table for production class 4.</t>
  </si>
  <si>
    <t>Enter the registry ID number in row 4067 of the table for production class 4.</t>
  </si>
  <si>
    <t>Enter the registry ID number in row 4068 of the table for production class 4.</t>
  </si>
  <si>
    <t>Enter the registry ID number in row 4069 of the table for production class 4.</t>
  </si>
  <si>
    <t>Enter the registry ID number in row 4070 of the table for production class 4.</t>
  </si>
  <si>
    <t>Enter the registry ID number in row 4071 of the table for production class 4.</t>
  </si>
  <si>
    <t>Enter the registry ID number in row 4072 of the table for production class 4.</t>
  </si>
  <si>
    <t>Enter the registry ID number in row 4073 of the table for production class 4.</t>
  </si>
  <si>
    <t>Enter the registry ID number in row 4074 of the table for production class 4.</t>
  </si>
  <si>
    <t>Enter the registry ID number in row 4075 of the table for production class 4.</t>
  </si>
  <si>
    <t>Enter the registry ID number in row 4076 of the table for production class 4.</t>
  </si>
  <si>
    <t>Enter the registry ID number in row 4077 of the table for production class 4.</t>
  </si>
  <si>
    <t>Enter the registry ID number in row 4078 of the table for production class 4.</t>
  </si>
  <si>
    <t>Enter the registry ID number in row 4079 of the table for production class 4.</t>
  </si>
  <si>
    <t>Enter the registry ID number in row 4080 of the table for production class 4.</t>
  </si>
  <si>
    <t>Enter the registry ID number in row 4081 of the table for production class 4.</t>
  </si>
  <si>
    <t>Enter the registry ID number in row 4082 of the table for production class 4.</t>
  </si>
  <si>
    <t>Enter the registry ID number in row 4083 of the table for production class 4.</t>
  </si>
  <si>
    <t>Enter the registry ID number in row 4084 of the table for production class 4.</t>
  </si>
  <si>
    <t>Enter the registry ID number in row 4085 of the table for production class 4.</t>
  </si>
  <si>
    <t>Enter the registry ID number in row 4086 of the table for production class 4.</t>
  </si>
  <si>
    <t>Enter the registry ID number in row 4087 of the table for production class 4.</t>
  </si>
  <si>
    <t>Enter the registry ID number in row 4088 of the table for production class 4.</t>
  </si>
  <si>
    <t>Enter the registry ID number in row 4089 of the table for production class 4.</t>
  </si>
  <si>
    <t>Enter the registry ID number in row 4090 of the table for production class 4.</t>
  </si>
  <si>
    <t>Enter the registry ID number in row 4091 of the table for production class 4.</t>
  </si>
  <si>
    <t>Enter the registry ID number in row 4092 of the table for production class 4.</t>
  </si>
  <si>
    <t>Enter the registry ID number in row 4093 of the table for production class 4.</t>
  </si>
  <si>
    <t>Enter the registry ID number in row 4094 of the table for production class 4.</t>
  </si>
  <si>
    <t>Enter the registry ID number in row 4095 of the table for production class 4.</t>
  </si>
  <si>
    <t>Enter the registry ID number in row 4096 of the table for production class 4.</t>
  </si>
  <si>
    <t>Enter the registry ID number in row 4097 of the table for production class 4.</t>
  </si>
  <si>
    <t>Enter the registry ID number in row 4098 of the table for production class 4.</t>
  </si>
  <si>
    <t>Enter the registry ID number in row 4099 of the table for production class 4.</t>
  </si>
  <si>
    <t>Enter the registry ID number in row 4100 of the table for production class 4.</t>
  </si>
  <si>
    <t>Enter the registry ID number in row 4101 of the table for production class 4.</t>
  </si>
  <si>
    <t>Enter the registry ID number in row 4102 of the table for production class 4.</t>
  </si>
  <si>
    <t>Enter the registry ID number in row 4103 of the table for production class 4.</t>
  </si>
  <si>
    <t>Enter the registry ID number in row 4104 of the table for production class 4.</t>
  </si>
  <si>
    <t>Enter the registry ID number in row 4105 of the table for production class 4.</t>
  </si>
  <si>
    <t>Enter the registry ID number in row 4106 of the table for production class 4.</t>
  </si>
  <si>
    <t>Enter the registry ID number in row 4107 of the table for production class 4.</t>
  </si>
  <si>
    <t>Enter the registry ID number in row 4108 of the table for production class 4.</t>
  </si>
  <si>
    <t>Enter the registry ID number in row 4109 of the table for production class 4.</t>
  </si>
  <si>
    <t>Enter the registry ID number in row 4110 of the table for production class 4.</t>
  </si>
  <si>
    <t>Enter the registry ID number in row 4111 of the table for production class 4.</t>
  </si>
  <si>
    <t>Enter the registry ID number in row 4112 of the table for production class 4.</t>
  </si>
  <si>
    <t>Enter the registry ID number in row 4113 of the table for production class 4.</t>
  </si>
  <si>
    <t>Enter the registry ID number in row 4114 of the table for production class 4.</t>
  </si>
  <si>
    <t>Enter the registry ID number in row 4115 of the table for production class 4.</t>
  </si>
  <si>
    <t>Enter the registry ID number in row 4116 of the table for production class 4.</t>
  </si>
  <si>
    <t>Enter the registry ID number in row 4117 of the table for production class 4.</t>
  </si>
  <si>
    <t>Enter the registry ID number in row 4118 of the table for production class 4.</t>
  </si>
  <si>
    <t>Enter the registry ID number in row 4119 of the table for production class 4.</t>
  </si>
  <si>
    <t>Enter the registry ID number in row 4120 of the table for production class 4.</t>
  </si>
  <si>
    <t>Enter the registry ID number in row 4121 of the table for production class 4.</t>
  </si>
  <si>
    <t>Enter the registry ID number in row 4122 of the table for production class 4.</t>
  </si>
  <si>
    <t>Enter the registry ID number in row 4123 of the table for production class 4.</t>
  </si>
  <si>
    <t>Enter the registry ID number in row 4124 of the table for production class 4.</t>
  </si>
  <si>
    <t>Enter the registry ID number in row 4125 of the table for production class 4.</t>
  </si>
  <si>
    <t>Enter the registry ID number in row 4126 of the table for production class 4.</t>
  </si>
  <si>
    <t>Enter the registry ID number in row 4127 of the table for production class 4.</t>
  </si>
  <si>
    <t>Enter the registry ID number in row 4128 of the table for production class 4.</t>
  </si>
  <si>
    <t>Enter the registry ID number in row 4129 of the table for production class 4.</t>
  </si>
  <si>
    <t>Enter the registry ID number in row 4130 of the table for production class 4.</t>
  </si>
  <si>
    <t>Enter the registry ID number in row 4131 of the table for production class 4.</t>
  </si>
  <si>
    <t>Enter the registry ID number in row 4132 of the table for production class 4.</t>
  </si>
  <si>
    <t>Enter the registry ID number in row 4133 of the table for production class 4.</t>
  </si>
  <si>
    <t>Enter the registry ID number in row 4134 of the table for production class 4.</t>
  </si>
  <si>
    <t>Enter the registry ID number in row 4135 of the table for production class 4.</t>
  </si>
  <si>
    <t>Enter the registry ID number in row 4136 of the table for production class 4.</t>
  </si>
  <si>
    <t>Enter the registry ID number in row 4137 of the table for production class 4.</t>
  </si>
  <si>
    <t>Enter the registry ID number in row 4138 of the table for production class 4.</t>
  </si>
  <si>
    <t>Enter the registry ID number in row 4139 of the table for production class 4.</t>
  </si>
  <si>
    <t>Enter the registry ID number in row 4140 of the table for production class 4.</t>
  </si>
  <si>
    <t>Enter the registry ID number in row 4141 of the table for production class 4.</t>
  </si>
  <si>
    <t>Enter the registry ID number in row 4142 of the table for production class 4.</t>
  </si>
  <si>
    <t>Enter the registry ID number in row 4143 of the table for production class 4.</t>
  </si>
  <si>
    <t>Enter the registry ID number in row 4144 of the table for production class 4.</t>
  </si>
  <si>
    <t>Enter the registry ID number in row 4145 of the table for production class 4.</t>
  </si>
  <si>
    <t>Enter the registry ID number in row 4146 of the table for production class 4.</t>
  </si>
  <si>
    <t>Enter the registry ID number in row 4147 of the table for production class 4.</t>
  </si>
  <si>
    <t>Enter the registry ID number in row 4148 of the table for production class 4.</t>
  </si>
  <si>
    <t>Enter the registry ID number in row 4149 of the table for production class 4.</t>
  </si>
  <si>
    <t>Enter the registry ID number in row 4150 of the table for production class 4.</t>
  </si>
  <si>
    <t>Enter the registry ID number in row 4151 of the table for production class 4.</t>
  </si>
  <si>
    <t>Enter the registry ID number in row 4152 of the table for production class 4.</t>
  </si>
  <si>
    <t>Enter the registry ID number in row 4153 of the table for production class 4.</t>
  </si>
  <si>
    <t>Enter the registry ID number in row 4154 of the table for production class 4.</t>
  </si>
  <si>
    <t>Enter the registry ID number in row 4155 of the table for production class 4.</t>
  </si>
  <si>
    <t>Enter the registry ID number in row 4156 of the table for production class 4.</t>
  </si>
  <si>
    <t>Enter the registry ID number in row 4157 of the table for production class 4.</t>
  </si>
  <si>
    <t>Enter the registry ID number in row 4158 of the table for production class 4.</t>
  </si>
  <si>
    <t>Enter the registry ID number in row 4159 of the table for production class 4.</t>
  </si>
  <si>
    <t>Enter the registry ID number in row 4160 of the table for production class 4.</t>
  </si>
  <si>
    <t>Enter the registry ID number in row 4161 of the table for production class 4.</t>
  </si>
  <si>
    <t>Enter the registry ID number in row 4162 of the table for production class 4.</t>
  </si>
  <si>
    <t>Enter the registry ID number in row 4163 of the table for production class 4.</t>
  </si>
  <si>
    <t>Enter the registry ID number in row 4164 of the table for production class 4.</t>
  </si>
  <si>
    <t>Enter the registry ID number in row 4165 of the table for production class 4.</t>
  </si>
  <si>
    <t>Enter the registry ID number in row 4166 of the table for production class 4.</t>
  </si>
  <si>
    <t>Enter the registry ID number in row 4167 of the table for production class 4.</t>
  </si>
  <si>
    <t>Enter the registry ID number in row 4168 of the table for production class 4.</t>
  </si>
  <si>
    <t>Enter the registry ID number in row 4169 of the table for production class 4.</t>
  </si>
  <si>
    <t>Enter the registry ID number in row 4170 of the table for production class 4.</t>
  </si>
  <si>
    <t>Enter the registry ID number in row 4171 of the table for production class 4.</t>
  </si>
  <si>
    <t>Enter the registry ID number in row 4172 of the table for production class 4.</t>
  </si>
  <si>
    <t>Enter the registry ID number in row 4173 of the table for production class 4.</t>
  </si>
  <si>
    <t>Enter the registry ID number in row 4174 of the table for production class 4.</t>
  </si>
  <si>
    <t>Enter the registry ID number in row 4175 of the table for production class 4.</t>
  </si>
  <si>
    <t>Enter the registry ID number in row 4176 of the table for production class 4.</t>
  </si>
  <si>
    <t>Enter the registry ID number in row 4177 of the table for production class 4.</t>
  </si>
  <si>
    <t>Enter the registry ID number in row 4178 of the table for production class 4.</t>
  </si>
  <si>
    <t>Enter the registry ID number in row 4179 of the table for production class 4.</t>
  </si>
  <si>
    <t>Enter the registry ID number in row 4180 of the table for production class 4.</t>
  </si>
  <si>
    <t>Enter the registry ID number in row 4181 of the table for production class 4.</t>
  </si>
  <si>
    <t>Enter the registry ID number in row 4182 of the table for production class 4.</t>
  </si>
  <si>
    <t>Enter the registry ID number in row 4183 of the table for production class 4.</t>
  </si>
  <si>
    <t>Enter the registry ID number in row 4184 of the table for production class 4.</t>
  </si>
  <si>
    <t>Enter the registry ID number in row 4185 of the table for production class 4.</t>
  </si>
  <si>
    <t>Enter the registry ID number in row 4186 of the table for production class 4.</t>
  </si>
  <si>
    <t>Enter the registry ID number in row 4187 of the table for production class 4.</t>
  </si>
  <si>
    <t>Enter the registry ID number in row 4188 of the table for production class 4.</t>
  </si>
  <si>
    <t>Enter the registry ID number in row 4189 of the table for production class 4.</t>
  </si>
  <si>
    <t>Enter the registry ID number in row 4190 of the table for production class 4.</t>
  </si>
  <si>
    <t>Enter the registry ID number in row 4191 of the table for production class 4.</t>
  </si>
  <si>
    <t>Enter the registry ID number in row 4192 of the table for production class 4.</t>
  </si>
  <si>
    <t>Enter the registry ID number in row 4193 of the table for production class 4.</t>
  </si>
  <si>
    <t>Enter the registry ID number in row 4194 of the table for production class 4.</t>
  </si>
  <si>
    <t>Enter the registry ID number in row 4195 of the table for production class 4.</t>
  </si>
  <si>
    <t>Enter the registry ID number in row 4196 of the table for production class 4.</t>
  </si>
  <si>
    <t>Enter the registry ID number in row 4197 of the table for production class 4.</t>
  </si>
  <si>
    <t>Enter the registry ID number in row 4198 of the table for production class 4.</t>
  </si>
  <si>
    <t>Enter the registry ID number in row 4199 of the table for production class 4.</t>
  </si>
  <si>
    <t>Enter the registry ID number in row 4200 of the table for production class 4.</t>
  </si>
  <si>
    <t>Enter the registry ID number in row 4201 of the table for production class 4.</t>
  </si>
  <si>
    <t>Enter the registry ID number in row 4202 of the table for production class 4.</t>
  </si>
  <si>
    <t>Enter the registry ID number in row 4203 of the table for production class 4.</t>
  </si>
  <si>
    <t>Enter the registry ID number in row 4204 of the table for production class 4.</t>
  </si>
  <si>
    <t>Enter the registry ID number in row 4205 of the table for production class 4.</t>
  </si>
  <si>
    <t>Enter the registry ID number in row 4206 of the table for production class 4.</t>
  </si>
  <si>
    <t>Enter the registry ID number in row 4207 of the table for production class 4.</t>
  </si>
  <si>
    <t>Enter the registry ID number in row 4208 of the table for production class 4.</t>
  </si>
  <si>
    <t>Enter the registry ID number in row 4209 of the table for production class 4.</t>
  </si>
  <si>
    <t>Enter the registry ID number in row 4210 of the table for production class 4.</t>
  </si>
  <si>
    <t>Enter the registry ID number in row 4211 of the table for production class 4.</t>
  </si>
  <si>
    <t>Enter the registry ID number in row 4212 of the table for production class 4.</t>
  </si>
  <si>
    <t>Enter the registry ID number in row 4213 of the table for production class 4.</t>
  </si>
  <si>
    <t>Enter the registry ID number in row 4214 of the table for production class 4.</t>
  </si>
  <si>
    <t>Enter the registry ID number in row 4215 of the table for production class 4.</t>
  </si>
  <si>
    <t>Enter the registry ID number in row 4216 of the table for production class 4.</t>
  </si>
  <si>
    <t>Enter the registry ID number in row 4217 of the table for production class 4.</t>
  </si>
  <si>
    <t>Enter the registry ID number in row 4218 of the table for production class 4.</t>
  </si>
  <si>
    <t>Enter the registry ID number in row 4219 of the table for production class 4.</t>
  </si>
  <si>
    <t>Enter the registry ID number in row 4220 of the table for production class 4.</t>
  </si>
  <si>
    <t>Enter the registry ID number in row 4221 of the table for production class 4.</t>
  </si>
  <si>
    <t>Enter the registry ID number in row 4222 of the table for production class 4.</t>
  </si>
  <si>
    <t>Enter the registry ID number in row 4223 of the table for production class 4.</t>
  </si>
  <si>
    <t>Enter the registry ID number in row 4224 of the table for production class 4.</t>
  </si>
  <si>
    <t>Enter the registry ID number in row 4225 of the table for production class 4.</t>
  </si>
  <si>
    <t>Enter the registry ID number in row 4226 of the table for production class 4.</t>
  </si>
  <si>
    <t>Enter the registry ID number in row 4227 of the table for production class 4.</t>
  </si>
  <si>
    <t>Enter the registry ID number in row 4228 of the table for production class 4.</t>
  </si>
  <si>
    <t>Enter the registry ID number in row 4229 of the table for production class 4.</t>
  </si>
  <si>
    <t>Enter the registry ID number in row 4230 of the table for production class 4.</t>
  </si>
  <si>
    <t>Enter the registry ID number in row 4231 of the table for production class 4.</t>
  </si>
  <si>
    <t>Enter the registry ID number in row 4232 of the table for production class 4.</t>
  </si>
  <si>
    <t>Enter the registry ID number in row 4233 of the table for production class 4.</t>
  </si>
  <si>
    <t>Enter the registry ID number in row 4234 of the table for production class 4.</t>
  </si>
  <si>
    <t>Enter the registry ID number in row 4235 of the table for production class 4.</t>
  </si>
  <si>
    <t>Enter the registry ID number in row 4236 of the table for production class 4.</t>
  </si>
  <si>
    <t>Enter the registry ID number in row 4237 of the table for production class 4.</t>
  </si>
  <si>
    <t>Enter the registry ID number in row 4238 of the table for production class 4.</t>
  </si>
  <si>
    <t>Enter the registry ID number in row 4239 of the table for production class 4.</t>
  </si>
  <si>
    <t>Enter the registry ID number in row 4240 of the table for production class 4.</t>
  </si>
  <si>
    <t>Enter the registry ID number in row 4241 of the table for production class 4.</t>
  </si>
  <si>
    <t>Enter the registry ID number in row 4242 of the table for production class 4.</t>
  </si>
  <si>
    <t>Enter the registry ID number in row 4243 of the table for production class 4.</t>
  </si>
  <si>
    <t>Enter the registry ID number in row 4244 of the table for production class 4.</t>
  </si>
  <si>
    <t>Enter the registry ID number in row 4245 of the table for production class 4.</t>
  </si>
  <si>
    <t>Enter the registry ID number in row 4246 of the table for production class 4.</t>
  </si>
  <si>
    <t>Enter the registry ID number in row 4247 of the table for production class 4.</t>
  </si>
  <si>
    <t>Enter the registry ID number in row 4248 of the table for production class 4.</t>
  </si>
  <si>
    <t>Enter the registry ID number in row 4249 of the table for production class 4.</t>
  </si>
  <si>
    <t>Enter the registry ID number in row 4250 of the table for production class 4.</t>
  </si>
  <si>
    <t>Enter the registry ID number in row 4251 of the table for production class 4.</t>
  </si>
  <si>
    <t>Enter the registry ID number in row 4252 of the table for production class 4.</t>
  </si>
  <si>
    <t>Enter the registry ID number in row 4253 of the table for production class 4.</t>
  </si>
  <si>
    <t>Enter the registry ID number in row 4254 of the table for production class 4.</t>
  </si>
  <si>
    <t>Enter the registry ID number in row 4255 of the table for production class 4.</t>
  </si>
  <si>
    <t>Enter the registry ID number in row 4256 of the table for production class 4.</t>
  </si>
  <si>
    <t>Enter the registry ID number in row 4257 of the table for production class 4.</t>
  </si>
  <si>
    <t>Enter the registry ID number in row 4258 of the table for production class 4.</t>
  </si>
  <si>
    <t>Enter the registry ID number in row 4259 of the table for production class 4.</t>
  </si>
  <si>
    <t>Enter the registry ID number in row 4260 of the table for production class 4.</t>
  </si>
  <si>
    <t>Enter the registry ID number in row 4261 of the table for production class 4.</t>
  </si>
  <si>
    <t>Enter the registry ID number in row 4262 of the table for production class 4.</t>
  </si>
  <si>
    <t>Enter the registry ID number in row 4263 of the table for production class 4.</t>
  </si>
  <si>
    <t>Enter the registry ID number in row 4264 of the table for production class 4.</t>
  </si>
  <si>
    <t>Enter the registry ID number in row 4265 of the table for production class 4.</t>
  </si>
  <si>
    <t>Enter the registry ID number in row 4266 of the table for production class 4.</t>
  </si>
  <si>
    <t>Enter the registry ID number in row 4267 of the table for production class 4.</t>
  </si>
  <si>
    <t>Enter the registry ID number in row 4268 of the table for production class 4.</t>
  </si>
  <si>
    <t>Enter the registry ID number in row 4269 of the table for production class 4.</t>
  </si>
  <si>
    <t>Enter the registry ID number in row 4270 of the table for production class 4.</t>
  </si>
  <si>
    <t>Enter the registry ID number in row 4271 of the table for production class 4.</t>
  </si>
  <si>
    <t>Enter the registry ID number in row 4272 of the table for production class 4.</t>
  </si>
  <si>
    <t>Enter the registry ID number in row 4273 of the table for production class 4.</t>
  </si>
  <si>
    <t>Enter the registry ID number in row 4274 of the table for production class 4.</t>
  </si>
  <si>
    <t>Enter the registry ID number in row 4275 of the table for production class 4.</t>
  </si>
  <si>
    <t>Enter the registry ID number in row 4276 of the table for production class 4.</t>
  </si>
  <si>
    <t>Enter the registry ID number in row 4277 of the table for production class 4.</t>
  </si>
  <si>
    <t>Enter the registry ID number in row 4278 of the table for production class 4.</t>
  </si>
  <si>
    <t>Enter the registry ID number in row 4279 of the table for production class 4.</t>
  </si>
  <si>
    <t>Enter the registry ID number in row 4280 of the table for production class 4.</t>
  </si>
  <si>
    <t>Enter the registry ID number in row 4281 of the table for production class 4.</t>
  </si>
  <si>
    <t>Enter the registry ID number in row 4282 of the table for production class 4.</t>
  </si>
  <si>
    <t>Enter the registry ID number in row 4283 of the table for production class 4.</t>
  </si>
  <si>
    <t>Enter the registry ID number in row 4284 of the table for production class 4.</t>
  </si>
  <si>
    <t>Enter the registry ID number in row 4285 of the table for production class 4.</t>
  </si>
  <si>
    <t>Enter the registry ID number in row 4286 of the table for production class 4.</t>
  </si>
  <si>
    <t>Enter the registry ID number in row 4287 of the table for production class 4.</t>
  </si>
  <si>
    <t>Enter the registry ID number in row 4288 of the table for production class 4.</t>
  </si>
  <si>
    <t>Enter the registry ID number in row 4289 of the table for production class 4.</t>
  </si>
  <si>
    <t>Enter the registry ID number in row 4290 of the table for production class 4.</t>
  </si>
  <si>
    <t>Enter the registry ID number in row 4291 of the table for production class 4.</t>
  </si>
  <si>
    <t>Enter the registry ID number in row 4292 of the table for production class 4.</t>
  </si>
  <si>
    <t>Enter the registry ID number in row 4293 of the table for production class 4.</t>
  </si>
  <si>
    <t>Enter the registry ID number in row 4294 of the table for production class 4.</t>
  </si>
  <si>
    <t>Enter the registry ID number in row 4295 of the table for production class 4.</t>
  </si>
  <si>
    <t>Enter the registry ID number in row 4296 of the table for production class 4.</t>
  </si>
  <si>
    <t>Enter the registry ID number in row 4297 of the table for production class 4.</t>
  </si>
  <si>
    <t>Enter the registry ID number in row 4298 of the table for production class 4.</t>
  </si>
  <si>
    <t>Enter the registry ID number in row 4299 of the table for production class 4.</t>
  </si>
  <si>
    <t>Enter the registry ID number in row 4300 of the table for production class 4.</t>
  </si>
  <si>
    <t>Enter the registry ID number in row 4301 of the table for production class 4.</t>
  </si>
  <si>
    <t>Enter the registry ID number in row 4302 of the table for production class 4.</t>
  </si>
  <si>
    <t>Enter the registry ID number in row 4303 of the table for production class 4.</t>
  </si>
  <si>
    <t>Enter the registry ID number in row 4304 of the table for production class 4.</t>
  </si>
  <si>
    <t>Enter the registry ID number in row 4305 of the table for production class 4.</t>
  </si>
  <si>
    <t>Enter the registry ID number in row 4306 of the table for production class 4.</t>
  </si>
  <si>
    <t>Enter the registry ID number in row 4307 of the table for production class 4.</t>
  </si>
  <si>
    <t>Enter the registry ID number in row 4308 of the table for production class 4.</t>
  </si>
  <si>
    <t>Enter the registry ID number in row 4309 of the table for production class 4.</t>
  </si>
  <si>
    <t>Enter the registry ID number in row 4310 of the table for production class 4.</t>
  </si>
  <si>
    <t>Enter the registry ID number in row 4311 of the table for production class 4.</t>
  </si>
  <si>
    <t>Enter the registry ID number in row 4312 of the table for production class 4.</t>
  </si>
  <si>
    <t>Enter the registry ID number in row 4313 of the table for production class 4.</t>
  </si>
  <si>
    <t>Enter the registry ID number in row 4314 of the table for production class 4.</t>
  </si>
  <si>
    <t>Enter the registry ID number in row 4315 of the table for production class 4.</t>
  </si>
  <si>
    <t>Enter the registry ID number in row 4316 of the table for production class 4.</t>
  </si>
  <si>
    <t>Enter the registry ID number in row 4317 of the table for production class 4.</t>
  </si>
  <si>
    <t>Enter the registry ID number in row 4318 of the table for production class 4.</t>
  </si>
  <si>
    <t>Enter the registry ID number in row 4319 of the table for production class 4.</t>
  </si>
  <si>
    <t>Enter the registry ID number in row 4320 of the table for production class 4.</t>
  </si>
  <si>
    <t>Enter the registry ID number in row 4321 of the table for production class 4.</t>
  </si>
  <si>
    <t>Enter the registry ID number in row 4322 of the table for production class 4.</t>
  </si>
  <si>
    <t>Enter the registry ID number in row 4323 of the table for production class 4.</t>
  </si>
  <si>
    <t>Enter the registry ID number in row 4324 of the table for production class 4.</t>
  </si>
  <si>
    <t>Enter the registry ID number in row 4325 of the table for production class 4.</t>
  </si>
  <si>
    <t>Enter the registry ID number in row 4326 of the table for production class 4.</t>
  </si>
  <si>
    <t>Enter the registry ID number in row 4327 of the table for production class 4.</t>
  </si>
  <si>
    <t>Enter the registry ID number in row 4328 of the table for production class 4.</t>
  </si>
  <si>
    <t>Enter the registry ID number in row 4329 of the table for production class 4.</t>
  </si>
  <si>
    <t>Enter the registry ID number in row 4330 of the table for production class 4.</t>
  </si>
  <si>
    <t>Enter the registry ID number in row 4331 of the table for production class 4.</t>
  </si>
  <si>
    <t>Enter the registry ID number in row 4332 of the table for production class 4.</t>
  </si>
  <si>
    <t>Enter the registry ID number in row 4333 of the table for production class 4.</t>
  </si>
  <si>
    <t>Enter the registry ID number in row 4334 of the table for production class 4.</t>
  </si>
  <si>
    <t>Enter the registry ID number in row 4335 of the table for production class 4.</t>
  </si>
  <si>
    <t>Enter the registry ID number in row 4336 of the table for production class 4.</t>
  </si>
  <si>
    <t>Enter the registry ID number in row 4337 of the table for production class 4.</t>
  </si>
  <si>
    <t>Enter the registry ID number in row 4338 of the table for production class 4.</t>
  </si>
  <si>
    <t>Enter the registry ID number in row 4339 of the table for production class 4.</t>
  </si>
  <si>
    <t>Enter the registry ID number in row 4340 of the table for production class 4.</t>
  </si>
  <si>
    <t>Enter the registry ID number in row 4341 of the table for production class 4.</t>
  </si>
  <si>
    <t>Enter the registry ID number in row 4342 of the table for production class 4.</t>
  </si>
  <si>
    <t>Enter the registry ID number in row 4343 of the table for production class 4.</t>
  </si>
  <si>
    <t>Enter the registry ID number in row 4344 of the table for production class 4.</t>
  </si>
  <si>
    <t>Enter the registry ID number in row 4345 of the table for production class 4.</t>
  </si>
  <si>
    <t>Enter the registry ID number in row 4346 of the table for production class 4.</t>
  </si>
  <si>
    <t>Enter the registry ID number in row 4347 of the table for production class 4.</t>
  </si>
  <si>
    <t>Enter the registry ID number in row 4348 of the table for production class 4.</t>
  </si>
  <si>
    <t>Enter the registry ID number in row 4349 of the table for production class 4.</t>
  </si>
  <si>
    <t>Enter the registry ID number in row 4350 of the table for production class 4.</t>
  </si>
  <si>
    <t>Enter the registry ID number in row 4351 of the table for production class 4.</t>
  </si>
  <si>
    <t>Enter the registry ID number in row 4352 of the table for production class 4.</t>
  </si>
  <si>
    <t>Enter the registry ID number in row 4353 of the table for production class 4.</t>
  </si>
  <si>
    <t>Enter the registry ID number in row 4354 of the table for production class 4.</t>
  </si>
  <si>
    <t>Enter the registry ID number in row 4355 of the table for production class 4.</t>
  </si>
  <si>
    <t>Enter the registry ID number in row 4356 of the table for production class 4.</t>
  </si>
  <si>
    <t>Enter the registry ID number in row 4357 of the table for production class 4.</t>
  </si>
  <si>
    <t>Enter the registry ID number in row 4358 of the table for production class 4.</t>
  </si>
  <si>
    <t>Enter the registry ID number in row 4359 of the table for production class 4.</t>
  </si>
  <si>
    <t>Enter the registry ID number in row 4360 of the table for production class 4.</t>
  </si>
  <si>
    <t>Enter the registry ID number in row 4361 of the table for production class 4.</t>
  </si>
  <si>
    <t>Enter the registry ID number in row 4362 of the table for production class 4.</t>
  </si>
  <si>
    <t>Enter the registry ID number in row 4363 of the table for production class 4.</t>
  </si>
  <si>
    <t>Enter the registry ID number in row 4364 of the table for production class 4.</t>
  </si>
  <si>
    <t>Enter the registry ID number in row 4365 of the table for production class 4.</t>
  </si>
  <si>
    <t>Enter the registry ID number in row 4366 of the table for production class 4.</t>
  </si>
  <si>
    <t>Enter the registry ID number in row 4367 of the table for production class 4.</t>
  </si>
  <si>
    <t>Enter the registry ID number in row 4368 of the table for production class 4.</t>
  </si>
  <si>
    <t>Enter the registry ID number in row 4369 of the table for production class 4.</t>
  </si>
  <si>
    <t>Enter the registry ID number in row 4370 of the table for production class 4.</t>
  </si>
  <si>
    <t>Enter the registry ID number in row 4371 of the table for production class 4.</t>
  </si>
  <si>
    <t>Enter the registry ID number in row 4372 of the table for production class 4.</t>
  </si>
  <si>
    <t>Enter the registry ID number in row 4373 of the table for production class 4.</t>
  </si>
  <si>
    <t>Enter the registry ID number in row 4374 of the table for production class 4.</t>
  </si>
  <si>
    <t>Enter the registry ID number in row 4375 of the table for production class 4.</t>
  </si>
  <si>
    <t>Enter the registry ID number in row 4376 of the table for production class 4.</t>
  </si>
  <si>
    <t>Enter the registry ID number in row 4377 of the table for production class 4.</t>
  </si>
  <si>
    <t>Enter the registry ID number in row 4378 of the table for production class 4.</t>
  </si>
  <si>
    <t>Enter the registry ID number in row 4379 of the table for production class 4.</t>
  </si>
  <si>
    <t>Enter the registry ID number in row 4380 of the table for production class 4.</t>
  </si>
  <si>
    <t>Enter the registry ID number in row 4381 of the table for production class 4.</t>
  </si>
  <si>
    <t>Enter the registry ID number in row 4382 of the table for production class 4.</t>
  </si>
  <si>
    <t>Enter the registry ID number in row 4383 of the table for production class 4.</t>
  </si>
  <si>
    <t>Enter the registry ID number in row 4384 of the table for production class 4.</t>
  </si>
  <si>
    <t>Enter the registry ID number in row 4385 of the table for production class 4.</t>
  </si>
  <si>
    <t>Enter the registry ID number in row 4386 of the table for production class 4.</t>
  </si>
  <si>
    <t>Enter the registry ID number in row 4387 of the table for production class 4.</t>
  </si>
  <si>
    <t>Enter the registry ID number in row 4388 of the table for production class 4.</t>
  </si>
  <si>
    <t>Enter the registry ID number in row 4389 of the table for production class 4.</t>
  </si>
  <si>
    <t>Enter the registry ID number in row 4390 of the table for production class 4.</t>
  </si>
  <si>
    <t>Enter the registry ID number in row 4391 of the table for production class 4.</t>
  </si>
  <si>
    <t>Enter the registry ID number in row 4392 of the table for production class 4.</t>
  </si>
  <si>
    <t>Enter the registry ID number in row 4393 of the table for production class 4.</t>
  </si>
  <si>
    <t>Enter the registry ID number in row 4394 of the table for production class 4.</t>
  </si>
  <si>
    <t>Enter the registry ID number in row 4395 of the table for production class 4.</t>
  </si>
  <si>
    <t>Enter the registry ID number in row 4396 of the table for production class 4.</t>
  </si>
  <si>
    <t>Enter the registry ID number in row 4397 of the table for production class 4.</t>
  </si>
  <si>
    <t>Enter the registry ID number in row 4398 of the table for production class 4.</t>
  </si>
  <si>
    <t>Enter the registry ID number in row 4399 of the table for production class 4.</t>
  </si>
  <si>
    <t>Enter the registry ID number in row 4400 of the table for production class 4.</t>
  </si>
  <si>
    <t>Enter the registry ID number in row 4401 of the table for production class 4.</t>
  </si>
  <si>
    <t>Enter the registry ID number in row 4402 of the table for production class 4.</t>
  </si>
  <si>
    <t>Enter the registry ID number in row 4403 of the table for production class 4.</t>
  </si>
  <si>
    <t>Enter the registry ID number in row 4404 of the table for production class 4.</t>
  </si>
  <si>
    <t>Enter the registry ID number in row 4405 of the table for production class 4.</t>
  </si>
  <si>
    <t>Enter the registry ID number in row 4406 of the table for production class 4.</t>
  </si>
  <si>
    <t>Enter the registry ID number in row 4407 of the table for production class 4.</t>
  </si>
  <si>
    <t>Enter the registry ID number in row 4408 of the table for production class 4.</t>
  </si>
  <si>
    <t>Enter the registry ID number in row 4409 of the table for production class 4.</t>
  </si>
  <si>
    <t>Enter the registry ID number in row 4410 of the table for production class 4.</t>
  </si>
  <si>
    <t>Enter the registry ID number in row 4411 of the table for production class 4.</t>
  </si>
  <si>
    <t>Enter the registry ID number in row 4412 of the table for production class 4.</t>
  </si>
  <si>
    <t>Enter the registry ID number in row 4413 of the table for production class 4.</t>
  </si>
  <si>
    <t>Enter the registry ID number in row 4414 of the table for production class 4.</t>
  </si>
  <si>
    <t>Enter the registry ID number in row 4415 of the table for production class 4.</t>
  </si>
  <si>
    <t>Enter the registry ID number in row 4416 of the table for production class 4.</t>
  </si>
  <si>
    <t>Enter the registry ID number in row 4417 of the table for production class 4.</t>
  </si>
  <si>
    <t>Enter the registry ID number in row 4418 of the table for production class 4.</t>
  </si>
  <si>
    <t>Enter the registry ID number in row 4419 of the table for production class 4.</t>
  </si>
  <si>
    <t>Enter the registry ID number in row 4420 of the table for production class 4.</t>
  </si>
  <si>
    <t>Enter the registry ID number in row 4421 of the table for production class 4.</t>
  </si>
  <si>
    <t>Enter the registry ID number in row 4422 of the table for production class 4.</t>
  </si>
  <si>
    <t>Enter the registry ID number in row 4423 of the table for production class 4.</t>
  </si>
  <si>
    <t>Enter the registry ID number in row 4424 of the table for production class 4.</t>
  </si>
  <si>
    <t>Enter the registry ID number in row 4425 of the table for production class 4.</t>
  </si>
  <si>
    <t>Enter the registry ID number in row 4426 of the table for production class 4.</t>
  </si>
  <si>
    <t>Enter the registry ID number in row 4427 of the table for production class 4.</t>
  </si>
  <si>
    <t>Enter the registry ID number in row 4428 of the table for production class 4.</t>
  </si>
  <si>
    <t>Enter the registry ID number in row 4429 of the table for production class 4.</t>
  </si>
  <si>
    <t>Enter the registry ID number in row 4430 of the table for production class 4.</t>
  </si>
  <si>
    <t>Enter the registry ID number in row 4431 of the table for production class 4.</t>
  </si>
  <si>
    <t>Enter the registry ID number in row 4432 of the table for production class 4.</t>
  </si>
  <si>
    <t>Enter the registry ID number in row 4433 of the table for production class 4.</t>
  </si>
  <si>
    <t>Enter the registry ID number in row 4434 of the table for production class 4.</t>
  </si>
  <si>
    <t>Enter the registry ID number in row 4435 of the table for production class 4.</t>
  </si>
  <si>
    <t>Enter the registry ID number in row 4436 of the table for production class 4.</t>
  </si>
  <si>
    <t>Enter the registry ID number in row 4437 of the table for production class 4.</t>
  </si>
  <si>
    <t>Enter the registry ID number in row 4438 of the table for production class 4.</t>
  </si>
  <si>
    <t>Enter the registry ID number in row 4439 of the table for production class 4.</t>
  </si>
  <si>
    <t>Enter the registry ID number in row 4440 of the table for production class 4.</t>
  </si>
  <si>
    <t>Enter the registry ID number in row 4441 of the table for production class 4.</t>
  </si>
  <si>
    <t>Enter the registry ID number in row 4442 of the table for production class 4.</t>
  </si>
  <si>
    <t>Enter the registry ID number in row 4443 of the table for production class 4.</t>
  </si>
  <si>
    <t>Enter the registry ID number in row 4444 of the table for production class 4.</t>
  </si>
  <si>
    <t>Enter the registry ID number in row 4445 of the table for production class 4.</t>
  </si>
  <si>
    <t>Enter the registry ID number in row 4446 of the table for production class 4.</t>
  </si>
  <si>
    <t>Enter the registry ID number in row 4447 of the table for production class 4.</t>
  </si>
  <si>
    <t>Enter the registry ID number in row 4448 of the table for production class 4.</t>
  </si>
  <si>
    <t>Enter the registry ID number in row 4449 of the table for production class 4.</t>
  </si>
  <si>
    <t>Enter the registry ID number in row 4450 of the table for production class 4.</t>
  </si>
  <si>
    <t>Enter the registry ID number in row 4451 of the table for production class 4.</t>
  </si>
  <si>
    <t>Enter the registry ID number in row 4452 of the table for production class 4.</t>
  </si>
  <si>
    <t>Enter the registry ID number in row 4453 of the table for production class 4.</t>
  </si>
  <si>
    <t>Enter the registry ID number in row 4454 of the table for production class 4.</t>
  </si>
  <si>
    <t>Enter the registry ID number in row 4455 of the table for production class 4.</t>
  </si>
  <si>
    <t>Enter the registry ID number in row 4456 of the table for production class 4.</t>
  </si>
  <si>
    <t>Enter the registry ID number in row 4457 of the table for production class 4.</t>
  </si>
  <si>
    <t>Enter the registry ID number in row 4458 of the table for production class 4.</t>
  </si>
  <si>
    <t>Enter the registry ID number in row 4459 of the table for production class 4.</t>
  </si>
  <si>
    <t>Enter the registry ID number in row 4460 of the table for production class 4.</t>
  </si>
  <si>
    <t>Enter the registry ID number in row 4461 of the table for production class 4.</t>
  </si>
  <si>
    <t>Enter the registry ID number in row 4462 of the table for production class 4.</t>
  </si>
  <si>
    <t>Enter the registry ID number in row 4463 of the table for production class 4.</t>
  </si>
  <si>
    <t>Enter the registry ID number in row 4464 of the table for production class 4.</t>
  </si>
  <si>
    <t>Enter the registry ID number in row 4465 of the table for production class 4.</t>
  </si>
  <si>
    <t>Enter the registry ID number in row 4466 of the table for production class 4.</t>
  </si>
  <si>
    <t>Enter the registry ID number in row 4467 of the table for production class 4.</t>
  </si>
  <si>
    <t>Enter the registry ID number in row 4468 of the table for production class 4.</t>
  </si>
  <si>
    <t>Enter the registry ID number in row 4469 of the table for production class 4.</t>
  </si>
  <si>
    <t>Enter the registry ID number in row 4470 of the table for production class 4.</t>
  </si>
  <si>
    <t>Enter the registry ID number in row 4471 of the table for production class 4.</t>
  </si>
  <si>
    <t>Enter the registry ID number in row 4472 of the table for production class 4.</t>
  </si>
  <si>
    <t>Enter the registry ID number in row 4473 of the table for production class 4.</t>
  </si>
  <si>
    <t>Enter the registry ID number in row 4474 of the table for production class 4.</t>
  </si>
  <si>
    <t>Enter the registry ID number in row 4475 of the table for production class 4.</t>
  </si>
  <si>
    <t>Enter the registry ID number in row 4476 of the table for production class 4.</t>
  </si>
  <si>
    <t>Enter the registry ID number in row 4477 of the table for production class 4.</t>
  </si>
  <si>
    <t>Enter the registry ID number in row 4478 of the table for production class 4.</t>
  </si>
  <si>
    <t>Enter the registry ID number in row 4479 of the table for production class 4.</t>
  </si>
  <si>
    <t>Enter the registry ID number in row 4480 of the table for production class 4.</t>
  </si>
  <si>
    <t>Enter the registry ID number in row 4481 of the table for production class 4.</t>
  </si>
  <si>
    <t>Enter the registry ID number in row 4482 of the table for production class 4.</t>
  </si>
  <si>
    <t>Enter the registry ID number in row 4483 of the table for production class 4.</t>
  </si>
  <si>
    <t>Enter the registry ID number in row 4484 of the table for production class 4.</t>
  </si>
  <si>
    <t>Enter the registry ID number in row 4485 of the table for production class 4.</t>
  </si>
  <si>
    <t>Enter the registry ID number in row 4486 of the table for production class 4.</t>
  </si>
  <si>
    <t>Enter the registry ID number in row 4487 of the table for production class 4.</t>
  </si>
  <si>
    <t>Enter the registry ID number in row 4488 of the table for production class 4.</t>
  </si>
  <si>
    <t>Enter the registry ID number in row 4489 of the table for production class 4.</t>
  </si>
  <si>
    <t>Enter the registry ID number in row 4490 of the table for production class 4.</t>
  </si>
  <si>
    <t>Enter the registry ID number in row 4491 of the table for production class 4.</t>
  </si>
  <si>
    <t>Enter the registry ID number in row 4492 of the table for production class 4.</t>
  </si>
  <si>
    <t>Enter the registry ID number in row 4493 of the table for production class 4.</t>
  </si>
  <si>
    <t>Enter the registry ID number in row 4494 of the table for production class 4.</t>
  </si>
  <si>
    <t>Enter the registry ID number in row 4495 of the table for production class 4.</t>
  </si>
  <si>
    <t>Enter the registry ID number in row 4496 of the table for production class 4.</t>
  </si>
  <si>
    <t>Enter the registry ID number in row 4497 of the table for production class 4.</t>
  </si>
  <si>
    <t>Enter the registry ID number in row 4498 of the table for production class 4.</t>
  </si>
  <si>
    <t>Enter the registry ID number in row 4499 of the table for production class 4.</t>
  </si>
  <si>
    <t>Enter the registry ID number in row 4500 of the table for production class 4.</t>
  </si>
  <si>
    <t>Enter the registry ID number in row 4501 of the table for production class 4.</t>
  </si>
  <si>
    <t>Enter the registry ID number in row 4502 of the table for production class 4.</t>
  </si>
  <si>
    <t>Enter the registry ID number in row 4503 of the table for production class 4.</t>
  </si>
  <si>
    <t>Enter the registry ID number in row 4504 of the table for production class 4.</t>
  </si>
  <si>
    <t>Enter the registry ID number in row 4505 of the table for production class 4.</t>
  </si>
  <si>
    <t>Enter the registry ID number in row 4506 of the table for production class 4.</t>
  </si>
  <si>
    <t>Enter the registry ID number in row 4507 of the table for production class 4.</t>
  </si>
  <si>
    <t>Enter the registry ID number in row 4508 of the table for production class 4.</t>
  </si>
  <si>
    <t>Enter the registry ID number in row 4509 of the table for production class 4.</t>
  </si>
  <si>
    <t>Enter the registry ID number in row 4510 of the table for production class 4.</t>
  </si>
  <si>
    <t>Enter the registry ID number in row 4511 of the table for production class 4.</t>
  </si>
  <si>
    <t>Enter the registry ID number in row 4512 of the table for production class 4.</t>
  </si>
  <si>
    <t>Enter the registry ID number in row 4513 of the table for production class 4.</t>
  </si>
  <si>
    <t>Enter the registry ID number in row 4514 of the table for production class 4.</t>
  </si>
  <si>
    <t>Enter the registry ID number in row 4515 of the table for production class 4.</t>
  </si>
  <si>
    <t>Enter the registry ID number in row 4516 of the table for production class 4.</t>
  </si>
  <si>
    <t>Enter the registry ID number in row 4517 of the table for production class 4.</t>
  </si>
  <si>
    <t>Enter the registry ID number in row 4518 of the table for production class 4.</t>
  </si>
  <si>
    <t>Enter the registry ID number in row 4519 of the table for production class 4.</t>
  </si>
  <si>
    <t>Enter the registry ID number in row 4520 of the table for production class 4.</t>
  </si>
  <si>
    <t>Enter the registry ID number in row 4521 of the table for production class 4.</t>
  </si>
  <si>
    <t>Enter the registry ID number in row 4522 of the table for production class 4.</t>
  </si>
  <si>
    <t>Enter the registry ID number in row 4523 of the table for production class 4.</t>
  </si>
  <si>
    <t>Enter the registry ID number in row 4524 of the table for production class 4.</t>
  </si>
  <si>
    <t>Enter the registry ID number in row 4525 of the table for production class 4.</t>
  </si>
  <si>
    <t>Enter the registry ID number in row 4526 of the table for production class 4.</t>
  </si>
  <si>
    <t>Enter the registry ID number in row 4527 of the table for production class 4.</t>
  </si>
  <si>
    <t>Enter the registry ID number in row 4528 of the table for production class 4.</t>
  </si>
  <si>
    <t>Enter the registry ID number in row 4529 of the table for production class 4.</t>
  </si>
  <si>
    <t>Enter the registry ID number in row 4530 of the table for production class 4.</t>
  </si>
  <si>
    <t>Enter the registry ID number in row 4531 of the table for production class 4.</t>
  </si>
  <si>
    <t>Enter the registry ID number in row 4532 of the table for production class 4.</t>
  </si>
  <si>
    <t>Enter the registry ID number in row 4533 of the table for production class 4.</t>
  </si>
  <si>
    <t>Enter the registry ID number in row 4534 of the table for production class 4.</t>
  </si>
  <si>
    <t>Enter the registry ID number in row 4535 of the table for production class 4.</t>
  </si>
  <si>
    <t>Enter the registry ID number in row 4536 of the table for production class 4.</t>
  </si>
  <si>
    <t>Enter the registry ID number in row 4537 of the table for production class 4.</t>
  </si>
  <si>
    <t>Enter the registry ID number in row 4538 of the table for production class 4.</t>
  </si>
  <si>
    <t>Enter the registry ID number in row 4539 of the table for production class 4.</t>
  </si>
  <si>
    <t>Enter the registry ID number in row 4540 of the table for production class 4.</t>
  </si>
  <si>
    <t>Enter the registry ID number in row 4541 of the table for production class 4.</t>
  </si>
  <si>
    <t>Enter the registry ID number in row 4542 of the table for production class 4.</t>
  </si>
  <si>
    <t>Enter the registry ID number in row 4543 of the table for production class 4.</t>
  </si>
  <si>
    <t>Enter the registry ID number in row 4544 of the table for production class 4.</t>
  </si>
  <si>
    <t>Enter the registry ID number in row 4545 of the table for production class 4.</t>
  </si>
  <si>
    <t>Enter the registry ID number in row 4546 of the table for production class 4.</t>
  </si>
  <si>
    <t>Enter the registry ID number in row 4547 of the table for production class 4.</t>
  </si>
  <si>
    <t>Enter the registry ID number in row 4548 of the table for production class 4.</t>
  </si>
  <si>
    <t>Enter the registry ID number in row 4549 of the table for production class 4.</t>
  </si>
  <si>
    <t>Enter the registry ID number in row 4550 of the table for production class 4.</t>
  </si>
  <si>
    <t>Enter the registry ID number in row 4551 of the table for production class 4.</t>
  </si>
  <si>
    <t>Enter the registry ID number in row 4552 of the table for production class 4.</t>
  </si>
  <si>
    <t>Enter the registry ID number in row 4553 of the table for production class 4.</t>
  </si>
  <si>
    <t>Enter the registry ID number in row 4554 of the table for production class 4.</t>
  </si>
  <si>
    <t>Enter the registry ID number in row 4555 of the table for production class 4.</t>
  </si>
  <si>
    <t>Enter the registry ID number in row 4556 of the table for production class 4.</t>
  </si>
  <si>
    <t>Enter the registry ID number in row 4557 of the table for production class 4.</t>
  </si>
  <si>
    <t>Enter the registry ID number in row 4558 of the table for production class 4.</t>
  </si>
  <si>
    <t>Enter the registry ID number in row 4559 of the table for production class 4.</t>
  </si>
  <si>
    <t>Enter the registry ID number in row 4560 of the table for production class 4.</t>
  </si>
  <si>
    <t>Enter the registry ID number in row 4561 of the table for production class 4.</t>
  </si>
  <si>
    <t>Enter the registry ID number in row 4562 of the table for production class 4.</t>
  </si>
  <si>
    <t>Enter the registry ID number in row 4563 of the table for production class 4.</t>
  </si>
  <si>
    <t>Enter the registry ID number in row 4564 of the table for production class 4.</t>
  </si>
  <si>
    <t>Enter the registry ID number in row 4565 of the table for production class 4.</t>
  </si>
  <si>
    <t>Enter the registry ID number in row 4566 of the table for production class 4.</t>
  </si>
  <si>
    <t>Enter the registry ID number in row 4567 of the table for production class 4.</t>
  </si>
  <si>
    <t>Enter the registry ID number in row 4568 of the table for production class 4.</t>
  </si>
  <si>
    <t>Enter the registry ID number in row 4569 of the table for production class 4.</t>
  </si>
  <si>
    <t>Enter the registry ID number in row 4570 of the table for production class 4.</t>
  </si>
  <si>
    <t>Enter the registry ID number in row 4571 of the table for production class 4.</t>
  </si>
  <si>
    <t>Enter the registry ID number in row 4572 of the table for production class 4.</t>
  </si>
  <si>
    <t>Enter the registry ID number in row 4573 of the table for production class 4.</t>
  </si>
  <si>
    <t>Enter the registry ID number in row 4574 of the table for production class 4.</t>
  </si>
  <si>
    <t>Enter the registry ID number in row 4575 of the table for production class 4.</t>
  </si>
  <si>
    <t>Enter the registry ID number in row 4576 of the table for production class 4.</t>
  </si>
  <si>
    <t>Enter the registry ID number in row 4577 of the table for production class 4.</t>
  </si>
  <si>
    <t>Enter the registry ID number in row 4578 of the table for production class 4.</t>
  </si>
  <si>
    <t>Enter the registry ID number in row 4579 of the table for production class 4.</t>
  </si>
  <si>
    <t>Enter the registry ID number in row 4580 of the table for production class 4.</t>
  </si>
  <si>
    <t>Enter the registry ID number in row 4581 of the table for production class 4.</t>
  </si>
  <si>
    <t>Enter the registry ID number in row 4582 of the table for production class 4.</t>
  </si>
  <si>
    <t>Enter the registry ID number in row 4583 of the table for production class 4.</t>
  </si>
  <si>
    <t>Enter the registry ID number in row 4584 of the table for production class 4.</t>
  </si>
  <si>
    <t>Enter the registry ID number in row 4585 of the table for production class 4.</t>
  </si>
  <si>
    <t>Enter the registry ID number in row 4586 of the table for production class 4.</t>
  </si>
  <si>
    <t>Enter the registry ID number in row 4587 of the table for production class 4.</t>
  </si>
  <si>
    <t>Enter the registry ID number in row 4588 of the table for production class 4.</t>
  </si>
  <si>
    <t>Enter the registry ID number in row 4589 of the table for production class 4.</t>
  </si>
  <si>
    <t>Enter the registry ID number in row 4590 of the table for production class 4.</t>
  </si>
  <si>
    <t>Enter the registry ID number in row 4591 of the table for production class 4.</t>
  </si>
  <si>
    <t>Enter the registry ID number in row 4592 of the table for production class 4.</t>
  </si>
  <si>
    <t>Enter the registry ID number in row 4593 of the table for production class 4.</t>
  </si>
  <si>
    <t>Enter the registry ID number in row 4594 of the table for production class 4.</t>
  </si>
  <si>
    <t>Enter the registry ID number in row 4595 of the table for production class 4.</t>
  </si>
  <si>
    <t>Enter the registry ID number in row 4596 of the table for production class 4.</t>
  </si>
  <si>
    <t>Enter the registry ID number in row 4597 of the table for production class 4.</t>
  </si>
  <si>
    <t>Enter the registry ID number in row 4598 of the table for production class 4.</t>
  </si>
  <si>
    <t>Enter the registry ID number in row 4599 of the table for production class 4.</t>
  </si>
  <si>
    <t>Enter the registry ID number in row 4600 of the table for production class 4.</t>
  </si>
  <si>
    <t>Enter the registry ID number in row 4601 of the table for production class 4.</t>
  </si>
  <si>
    <t>Enter the registry ID number in row 4602 of the table for production class 4.</t>
  </si>
  <si>
    <t>Enter the registry ID number in row 4603 of the table for production class 4.</t>
  </si>
  <si>
    <t>Enter the registry ID number in row 4604 of the table for production class 4.</t>
  </si>
  <si>
    <t>Enter the registry ID number in row 4605 of the table for production class 4.</t>
  </si>
  <si>
    <t>Enter the registry ID number in row 4606 of the table for production class 4.</t>
  </si>
  <si>
    <t>Enter the registry ID number in row 4607 of the table for production class 4.</t>
  </si>
  <si>
    <t>Enter the registry ID number in row 4608 of the table for production class 4.</t>
  </si>
  <si>
    <t>Enter the registry ID number in row 4609 of the table for production class 4.</t>
  </si>
  <si>
    <t>Enter the registry ID number in row 4610 of the table for production class 4.</t>
  </si>
  <si>
    <t>Enter the registry ID number in row 4611 of the table for production class 4.</t>
  </si>
  <si>
    <t>Enter the registry ID number in row 4612 of the table for production class 4.</t>
  </si>
  <si>
    <t>Enter the registry ID number in row 4613 of the table for production class 4.</t>
  </si>
  <si>
    <t>Enter the registry ID number in row 4614 of the table for production class 4.</t>
  </si>
  <si>
    <t>Enter the registry ID number in row 4615 of the table for production class 4.</t>
  </si>
  <si>
    <t>Enter the registry ID number in row 4616 of the table for production class 4.</t>
  </si>
  <si>
    <t>Enter the registry ID number in row 4617 of the table for production class 4.</t>
  </si>
  <si>
    <t>Enter the registry ID number in row 4618 of the table for production class 4.</t>
  </si>
  <si>
    <t>Enter the registry ID number in row 4619 of the table for production class 4.</t>
  </si>
  <si>
    <t>Enter the registry ID number in row 4620 of the table for production class 4.</t>
  </si>
  <si>
    <t>Enter the registry ID number in row 4621 of the table for production class 4.</t>
  </si>
  <si>
    <t>Enter the registry ID number in row 4622 of the table for production class 4.</t>
  </si>
  <si>
    <t>Enter the registry ID number in row 4623 of the table for production class 4.</t>
  </si>
  <si>
    <t>Enter the registry ID number in row 4624 of the table for production class 4.</t>
  </si>
  <si>
    <t>Enter the registry ID number in row 4625 of the table for production class 4.</t>
  </si>
  <si>
    <t>Enter the registry ID number in row 4626 of the table for production class 4.</t>
  </si>
  <si>
    <t>Enter the registry ID number in row 4627 of the table for production class 4.</t>
  </si>
  <si>
    <t>Enter the registry ID number in row 4628 of the table for production class 4.</t>
  </si>
  <si>
    <t>Enter the registry ID number in row 4629 of the table for production class 4.</t>
  </si>
  <si>
    <t>Enter the registry ID number in row 4630 of the table for production class 4.</t>
  </si>
  <si>
    <t>Enter the registry ID number in row 4631 of the table for production class 4.</t>
  </si>
  <si>
    <t>Enter the registry ID number in row 4632 of the table for production class 4.</t>
  </si>
  <si>
    <t>Enter the registry ID number in row 4633 of the table for production class 4.</t>
  </si>
  <si>
    <t>Enter the registry ID number in row 4634 of the table for production class 4.</t>
  </si>
  <si>
    <t>Enter the registry ID number in row 4635 of the table for production class 4.</t>
  </si>
  <si>
    <t>Enter the registry ID number in row 4636 of the table for production class 4.</t>
  </si>
  <si>
    <t>Enter the registry ID number in row 4637 of the table for production class 4.</t>
  </si>
  <si>
    <t>Enter the registry ID number in row 4638 of the table for production class 4.</t>
  </si>
  <si>
    <t>Enter the registry ID number in row 4639 of the table for production class 4.</t>
  </si>
  <si>
    <t>Enter the registry ID number in row 4640 of the table for production class 4.</t>
  </si>
  <si>
    <t>Enter the registry ID number in row 4641 of the table for production class 4.</t>
  </si>
  <si>
    <t>Enter the registry ID number in row 4642 of the table for production class 4.</t>
  </si>
  <si>
    <t>Enter the registry ID number in row 4643 of the table for production class 4.</t>
  </si>
  <si>
    <t>Enter the registry ID number in row 4644 of the table for production class 4.</t>
  </si>
  <si>
    <t>Enter the registry ID number in row 4645 of the table for production class 4.</t>
  </si>
  <si>
    <t>Enter the registry ID number in row 4646 of the table for production class 4.</t>
  </si>
  <si>
    <t>Enter the registry ID number in row 4647 of the table for production class 4.</t>
  </si>
  <si>
    <t>Enter the registry ID number in row 4648 of the table for production class 4.</t>
  </si>
  <si>
    <t>Enter the registry ID number in row 4649 of the table for production class 4.</t>
  </si>
  <si>
    <t>Enter the registry ID number in row 4650 of the table for production class 4.</t>
  </si>
  <si>
    <t>Enter the registry ID number in row 4651 of the table for production class 4.</t>
  </si>
  <si>
    <t>Enter the registry ID number in row 4652 of the table for production class 4.</t>
  </si>
  <si>
    <t>Enter the registry ID number in row 4653 of the table for production class 4.</t>
  </si>
  <si>
    <t>Enter the registry ID number in row 4654 of the table for production class 4.</t>
  </si>
  <si>
    <t>Enter the registry ID number in row 4655 of the table for production class 4.</t>
  </si>
  <si>
    <t>Enter the registry ID number in row 4656 of the table for production class 4.</t>
  </si>
  <si>
    <t>Enter the registry ID number in row 4657 of the table for production class 4.</t>
  </si>
  <si>
    <t>Enter the registry ID number in row 4658 of the table for production class 4.</t>
  </si>
  <si>
    <t>Enter the registry ID number in row 4659 of the table for production class 4.</t>
  </si>
  <si>
    <t>Enter the registry ID number in row 4660 of the table for production class 4.</t>
  </si>
  <si>
    <t>Enter the registry ID number in row 4661 of the table for production class 4.</t>
  </si>
  <si>
    <t>Enter the registry ID number in row 4662 of the table for production class 4.</t>
  </si>
  <si>
    <t>Enter the registry ID number in row 4663 of the table for production class 4.</t>
  </si>
  <si>
    <t>Enter the registry ID number in row 4664 of the table for production class 4.</t>
  </si>
  <si>
    <t>Enter the registry ID number in row 4665 of the table for production class 4.</t>
  </si>
  <si>
    <t>Enter the registry ID number in row 4666 of the table for production class 4.</t>
  </si>
  <si>
    <t>Enter the registry ID number in row 4667 of the table for production class 4.</t>
  </si>
  <si>
    <t>Enter the registry ID number in row 4668 of the table for production class 4.</t>
  </si>
  <si>
    <t>Enter the registry ID number in row 4669 of the table for production class 4.</t>
  </si>
  <si>
    <t>Enter the registry ID number in row 4670 of the table for production class 4.</t>
  </si>
  <si>
    <t>Enter the registry ID number in row 4671 of the table for production class 4.</t>
  </si>
  <si>
    <t>Enter the registry ID number in row 4672 of the table for production class 4.</t>
  </si>
  <si>
    <t>Enter the registry ID number in row 4673 of the table for production class 4.</t>
  </si>
  <si>
    <t>Enter the registry ID number in row 4674 of the table for production class 4.</t>
  </si>
  <si>
    <t>Enter the registry ID number in row 4675 of the table for production class 4.</t>
  </si>
  <si>
    <t>Enter the registry ID number in row 4676 of the table for production class 4.</t>
  </si>
  <si>
    <t>Enter the registry ID number in row 4677 of the table for production class 4.</t>
  </si>
  <si>
    <t>Enter the registry ID number in row 4678 of the table for production class 4.</t>
  </si>
  <si>
    <t>Enter the registry ID number in row 4679 of the table for production class 4.</t>
  </si>
  <si>
    <t>Enter the registry ID number in row 4680 of the table for production class 4.</t>
  </si>
  <si>
    <t>Enter the registry ID number in row 4681 of the table for production class 4.</t>
  </si>
  <si>
    <t>Enter the registry ID number in row 4682 of the table for production class 4.</t>
  </si>
  <si>
    <t>Enter the registry ID number in row 4683 of the table for production class 4.</t>
  </si>
  <si>
    <t>Enter the registry ID number in row 4684 of the table for production class 4.</t>
  </si>
  <si>
    <t>Enter the registry ID number in row 4685 of the table for production class 4.</t>
  </si>
  <si>
    <t>Enter the registry ID number in row 4686 of the table for production class 4.</t>
  </si>
  <si>
    <t>Enter the registry ID number in row 4687 of the table for production class 4.</t>
  </si>
  <si>
    <t>Enter the registry ID number in row 4688 of the table for production class 4.</t>
  </si>
  <si>
    <t>Enter the registry ID number in row 4689 of the table for production class 4.</t>
  </si>
  <si>
    <t>Enter the registry ID number in row 4690 of the table for production class 4.</t>
  </si>
  <si>
    <t>Enter the registry ID number in row 4691 of the table for production class 4.</t>
  </si>
  <si>
    <t>Enter the registry ID number in row 4692 of the table for production class 4.</t>
  </si>
  <si>
    <t>Enter the registry ID number in row 4693 of the table for production class 4.</t>
  </si>
  <si>
    <t>Enter the registry ID number in row 4694 of the table for production class 4.</t>
  </si>
  <si>
    <t>Enter the registry ID number in row 4695 of the table for production class 4.</t>
  </si>
  <si>
    <t>Enter the registry ID number in row 4696 of the table for production class 4.</t>
  </si>
  <si>
    <t>Enter the registry ID number in row 4697 of the table for production class 4.</t>
  </si>
  <si>
    <t>Enter the registry ID number in row 4698 of the table for production class 4.</t>
  </si>
  <si>
    <t>Enter the registry ID number in row 4699 of the table for production class 4.</t>
  </si>
  <si>
    <t>Enter the registry ID number in row 4700 of the table for production class 4.</t>
  </si>
  <si>
    <t>Enter the registry ID number in row 4701 of the table for production class 4.</t>
  </si>
  <si>
    <t>Enter the registry ID number in row 4702 of the table for production class 4.</t>
  </si>
  <si>
    <t>Enter the registry ID number in row 4703 of the table for production class 4.</t>
  </si>
  <si>
    <t>Enter the registry ID number in row 4704 of the table for production class 4.</t>
  </si>
  <si>
    <t>Enter the registry ID number in row 4705 of the table for production class 4.</t>
  </si>
  <si>
    <t>Enter the registry ID number in row 4706 of the table for production class 4.</t>
  </si>
  <si>
    <t>Enter the registry ID number in row 4707 of the table for production class 4.</t>
  </si>
  <si>
    <t>Enter the registry ID number in row 4708 of the table for production class 4.</t>
  </si>
  <si>
    <t>Enter the registry ID number in row 4709 of the table for production class 4.</t>
  </si>
  <si>
    <t>Enter the registry ID number in row 4710 of the table for production class 4.</t>
  </si>
  <si>
    <t>Enter the registry ID number in row 4711 of the table for production class 4.</t>
  </si>
  <si>
    <t>Enter the registry ID number in row 4712 of the table for production class 4.</t>
  </si>
  <si>
    <t>Enter the registry ID number in row 4713 of the table for production class 4.</t>
  </si>
  <si>
    <t>Enter the registry ID number in row 4714 of the table for production class 4.</t>
  </si>
  <si>
    <t>Enter the registry ID number in row 4715 of the table for production class 4.</t>
  </si>
  <si>
    <t>Enter the registry ID number in row 4716 of the table for production class 4.</t>
  </si>
  <si>
    <t>Enter the registry ID number in row 4717 of the table for production class 4.</t>
  </si>
  <si>
    <t>Enter the registry ID number in row 4718 of the table for production class 4.</t>
  </si>
  <si>
    <t>Enter the registry ID number in row 4719 of the table for production class 4.</t>
  </si>
  <si>
    <t>Enter the registry ID number in row 4720 of the table for production class 4.</t>
  </si>
  <si>
    <t>Enter the registry ID number in row 4721 of the table for production class 4.</t>
  </si>
  <si>
    <t>Enter the registry ID number in row 4722 of the table for production class 4.</t>
  </si>
  <si>
    <t>Enter the registry ID number in row 4723 of the table for production class 4.</t>
  </si>
  <si>
    <t>Enter the registry ID number in row 4724 of the table for production class 4.</t>
  </si>
  <si>
    <t>Enter the registry ID number in row 4725 of the table for production class 4.</t>
  </si>
  <si>
    <t>Enter the registry ID number in row 4726 of the table for production class 4.</t>
  </si>
  <si>
    <t>Enter the registry ID number in row 4727 of the table for production class 4.</t>
  </si>
  <si>
    <t>Enter the registry ID number in row 4728 of the table for production class 4.</t>
  </si>
  <si>
    <t>Enter the registry ID number in row 4729 of the table for production class 4.</t>
  </si>
  <si>
    <t>Enter the registry ID number in row 4730 of the table for production class 4.</t>
  </si>
  <si>
    <t>Enter the registry ID number in row 4731 of the table for production class 4.</t>
  </si>
  <si>
    <t>Enter the registry ID number in row 4732 of the table for production class 4.</t>
  </si>
  <si>
    <t>Enter the registry ID number in row 4733 of the table for production class 4.</t>
  </si>
  <si>
    <t>Enter the registry ID number in row 4734 of the table for production class 4.</t>
  </si>
  <si>
    <t>Enter the registry ID number in row 4735 of the table for production class 4.</t>
  </si>
  <si>
    <t>Enter the registry ID number in row 4736 of the table for production class 4.</t>
  </si>
  <si>
    <t>Enter the registry ID number in row 4737 of the table for production class 4.</t>
  </si>
  <si>
    <t>Enter the registry ID number in row 4738 of the table for production class 4.</t>
  </si>
  <si>
    <t>Enter the registry ID number in row 4739 of the table for production class 4.</t>
  </si>
  <si>
    <t>Enter the registry ID number in row 4740 of the table for production class 4.</t>
  </si>
  <si>
    <t>Enter the registry ID number in row 4741 of the table for production class 4.</t>
  </si>
  <si>
    <t>Enter the registry ID number in row 4742 of the table for production class 4.</t>
  </si>
  <si>
    <t>Enter the registry ID number in row 4743 of the table for production class 4.</t>
  </si>
  <si>
    <t>Enter the registry ID number in row 4744 of the table for production class 4.</t>
  </si>
  <si>
    <t>Enter the registry ID number in row 4745 of the table for production class 4.</t>
  </si>
  <si>
    <t>Enter the registry ID number in row 4746 of the table for production class 4.</t>
  </si>
  <si>
    <t>Enter the registry ID number in row 4747 of the table for production class 4.</t>
  </si>
  <si>
    <t>Enter the registry ID number in row 4748 of the table for production class 4.</t>
  </si>
  <si>
    <t>Enter the registry ID number in row 4749 of the table for production class 4.</t>
  </si>
  <si>
    <t>Enter the registry ID number in row 4750 of the table for production class 4.</t>
  </si>
  <si>
    <t>Enter the registry ID number in row 4751 of the table for production class 4.</t>
  </si>
  <si>
    <t>Enter the registry ID number in row 4752 of the table for production class 4.</t>
  </si>
  <si>
    <t>Enter the registry ID number in row 4753 of the table for production class 4.</t>
  </si>
  <si>
    <t>Enter the registry ID number in row 4754 of the table for production class 4.</t>
  </si>
  <si>
    <t>Enter the registry ID number in row 4755 of the table for production class 4.</t>
  </si>
  <si>
    <t>Enter the registry ID number in row 4756 of the table for production class 4.</t>
  </si>
  <si>
    <t>Enter the registry ID number in row 4757 of the table for production class 4.</t>
  </si>
  <si>
    <t>Enter the registry ID number in row 4758 of the table for production class 4.</t>
  </si>
  <si>
    <t>Enter the registry ID number in row 4759 of the table for production class 4.</t>
  </si>
  <si>
    <t>Enter the registry ID number in row 4760 of the table for production class 4.</t>
  </si>
  <si>
    <t>Enter the registry ID number in row 4761 of the table for production class 4.</t>
  </si>
  <si>
    <t>Enter the registry ID number in row 4762 of the table for production class 4.</t>
  </si>
  <si>
    <t>Enter the registry ID number in row 4763 of the table for production class 4.</t>
  </si>
  <si>
    <t>Enter the registry ID number in row 4764 of the table for production class 4.</t>
  </si>
  <si>
    <t>Enter the registry ID number in row 4765 of the table for production class 4.</t>
  </si>
  <si>
    <t>Enter the registry ID number in row 4766 of the table for production class 4.</t>
  </si>
  <si>
    <t>Enter the registry ID number in row 4767 of the table for production class 4.</t>
  </si>
  <si>
    <t>Enter the registry ID number in row 4768 of the table for production class 4.</t>
  </si>
  <si>
    <t>Enter the registry ID number in row 4769 of the table for production class 4.</t>
  </si>
  <si>
    <t>Enter the registry ID number in row 4770 of the table for production class 4.</t>
  </si>
  <si>
    <t>Enter the registry ID number in row 4771 of the table for production class 4.</t>
  </si>
  <si>
    <t>Enter the registry ID number in row 4772 of the table for production class 4.</t>
  </si>
  <si>
    <t>Enter the registry ID number in row 4773 of the table for production class 4.</t>
  </si>
  <si>
    <t>Enter the registry ID number in row 4774 of the table for production class 4.</t>
  </si>
  <si>
    <t>Enter the registry ID number in row 4775 of the table for production class 4.</t>
  </si>
  <si>
    <t>Enter the registry ID number in row 4776 of the table for production class 4.</t>
  </si>
  <si>
    <t>Enter the registry ID number in row 4777 of the table for production class 4.</t>
  </si>
  <si>
    <t>Enter the registry ID number in row 4778 of the table for production class 4.</t>
  </si>
  <si>
    <t>Enter the registry ID number in row 4779 of the table for production class 4.</t>
  </si>
  <si>
    <t>Enter the registry ID number in row 4780 of the table for production class 4.</t>
  </si>
  <si>
    <t>Enter the registry ID number in row 4781 of the table for production class 4.</t>
  </si>
  <si>
    <t>Enter the registry ID number in row 4782 of the table for production class 4.</t>
  </si>
  <si>
    <t>Enter the registry ID number in row 4783 of the table for production class 4.</t>
  </si>
  <si>
    <t>Enter the registry ID number in row 4784 of the table for production class 4.</t>
  </si>
  <si>
    <t>Enter the registry ID number in row 4785 of the table for production class 4.</t>
  </si>
  <si>
    <t>Enter the registry ID number in row 4786 of the table for production class 4.</t>
  </si>
  <si>
    <t>Enter the registry ID number in row 4787 of the table for production class 4.</t>
  </si>
  <si>
    <t>Enter the registry ID number in row 4788 of the table for production class 4.</t>
  </si>
  <si>
    <t>Enter the registry ID number in row 4789 of the table for production class 4.</t>
  </si>
  <si>
    <t>Enter the registry ID number in row 4790 of the table for production class 4.</t>
  </si>
  <si>
    <t>Enter the registry ID number in row 4791 of the table for production class 4.</t>
  </si>
  <si>
    <t>Enter the registry ID number in row 4792 of the table for production class 4.</t>
  </si>
  <si>
    <t>Enter the registry ID number in row 4793 of the table for production class 4.</t>
  </si>
  <si>
    <t>Enter the registry ID number in row 4794 of the table for production class 4.</t>
  </si>
  <si>
    <t>Enter the registry ID number in row 4795 of the table for production class 4.</t>
  </si>
  <si>
    <t>Enter the registry ID number in row 4796 of the table for production class 4.</t>
  </si>
  <si>
    <t>Enter the registry ID number in row 4797 of the table for production class 4.</t>
  </si>
  <si>
    <t>Enter the registry ID number in row 4798 of the table for production class 4.</t>
  </si>
  <si>
    <t>Enter the registry ID number in row 4799 of the table for production class 4.</t>
  </si>
  <si>
    <t>Enter the registry ID number in row 4800 of the table for production class 4.</t>
  </si>
  <si>
    <t>Enter the registry ID number in row 4801 of the table for production class 4.</t>
  </si>
  <si>
    <t>Enter the registry ID number in row 4802 of the table for production class 4.</t>
  </si>
  <si>
    <t>Enter the registry ID number in row 4803 of the table for production class 4.</t>
  </si>
  <si>
    <t>Enter the registry ID number in row 4804 of the table for production class 4.</t>
  </si>
  <si>
    <t>Enter the registry ID number in row 4805 of the table for production class 4.</t>
  </si>
  <si>
    <t>Enter the registry ID number in row 4806 of the table for production class 4.</t>
  </si>
  <si>
    <t>Enter the registry ID number in row 4807 of the table for production class 4.</t>
  </si>
  <si>
    <t>Enter the registry ID number in row 4808 of the table for production class 4.</t>
  </si>
  <si>
    <t>Enter the registry ID number in row 4809 of the table for production class 4.</t>
  </si>
  <si>
    <t>Enter the registry ID number in row 4810 of the table for production class 4.</t>
  </si>
  <si>
    <t>Enter the registry ID number in row 4811 of the table for production class 4.</t>
  </si>
  <si>
    <t>Enter the registry ID number in row 4812 of the table for production class 4.</t>
  </si>
  <si>
    <t>Enter the registry ID number in row 4813 of the table for production class 4.</t>
  </si>
  <si>
    <t>Enter the registry ID number in row 4814 of the table for production class 4.</t>
  </si>
  <si>
    <t>Enter the registry ID number in row 4815 of the table for production class 4.</t>
  </si>
  <si>
    <t>Enter the registry ID number in row 4816 of the table for production class 4.</t>
  </si>
  <si>
    <t>Enter the registry ID number in row 4817 of the table for production class 4.</t>
  </si>
  <si>
    <t>Enter the registry ID number in row 4818 of the table for production class 4.</t>
  </si>
  <si>
    <t>Enter the registry ID number in row 4819 of the table for production class 4.</t>
  </si>
  <si>
    <t>Enter the registry ID number in row 4820 of the table for production class 4.</t>
  </si>
  <si>
    <t>Enter the registry ID number in row 4821 of the table for production class 4.</t>
  </si>
  <si>
    <t>Enter the registry ID number in row 4822 of the table for production class 4.</t>
  </si>
  <si>
    <t>Enter the registry ID number in row 4823 of the table for production class 4.</t>
  </si>
  <si>
    <t>Enter the registry ID number in row 4824 of the table for production class 4.</t>
  </si>
  <si>
    <t>Enter the registry ID number in row 4825 of the table for production class 4.</t>
  </si>
  <si>
    <t>Enter the registry ID number in row 4826 of the table for production class 4.</t>
  </si>
  <si>
    <t>Enter the registry ID number in row 4827 of the table for production class 4.</t>
  </si>
  <si>
    <t>Enter the registry ID number in row 4828 of the table for production class 4.</t>
  </si>
  <si>
    <t>Enter the registry ID number in row 4829 of the table for production class 4.</t>
  </si>
  <si>
    <t>Enter the registry ID number in row 4830 of the table for production class 4.</t>
  </si>
  <si>
    <t>Enter the registry ID number in row 4831 of the table for production class 4.</t>
  </si>
  <si>
    <t>Enter the registry ID number in row 4832 of the table for production class 4.</t>
  </si>
  <si>
    <t>Enter the registry ID number in row 4833 of the table for production class 4.</t>
  </si>
  <si>
    <t>Enter the registry ID number in row 4834 of the table for production class 4.</t>
  </si>
  <si>
    <t>Enter the registry ID number in row 4835 of the table for production class 4.</t>
  </si>
  <si>
    <t>Enter the registry ID number in row 4836 of the table for production class 4.</t>
  </si>
  <si>
    <t>Enter the registry ID number in row 4837 of the table for production class 4.</t>
  </si>
  <si>
    <t>Enter the registry ID number in row 4838 of the table for production class 4.</t>
  </si>
  <si>
    <t>Enter the registry ID number in row 4839 of the table for production class 4.</t>
  </si>
  <si>
    <t>Enter the registry ID number in row 4840 of the table for production class 4.</t>
  </si>
  <si>
    <t>Enter the registry ID number in row 4841 of the table for production class 4.</t>
  </si>
  <si>
    <t>Enter the registry ID number in row 4842 of the table for production class 4.</t>
  </si>
  <si>
    <t>Enter the registry ID number in row 4843 of the table for production class 4.</t>
  </si>
  <si>
    <t>Enter the registry ID number in row 4844 of the table for production class 4.</t>
  </si>
  <si>
    <t>Enter the registry ID number in row 4845 of the table for production class 4.</t>
  </si>
  <si>
    <t>Enter the registry ID number in row 4846 of the table for production class 4.</t>
  </si>
  <si>
    <t>Enter the registry ID number in row 4847 of the table for production class 4.</t>
  </si>
  <si>
    <t>Enter the registry ID number in row 4848 of the table for production class 4.</t>
  </si>
  <si>
    <t>Enter the registry ID number in row 4849 of the table for production class 4.</t>
  </si>
  <si>
    <t>Enter the registry ID number in row 4850 of the table for production class 4.</t>
  </si>
  <si>
    <t>Enter the registry ID number in row 4851 of the table for production class 4.</t>
  </si>
  <si>
    <t>Enter the registry ID number in row 4852 of the table for production class 4.</t>
  </si>
  <si>
    <t>Enter the registry ID number in row 4853 of the table for production class 4.</t>
  </si>
  <si>
    <t>Enter the registry ID number in row 4854 of the table for production class 4.</t>
  </si>
  <si>
    <t>Enter the registry ID number in row 4855 of the table for production class 4.</t>
  </si>
  <si>
    <t>Enter the registry ID number in row 4856 of the table for production class 4.</t>
  </si>
  <si>
    <t>Enter the registry ID number in row 4857 of the table for production class 4.</t>
  </si>
  <si>
    <t>Enter the registry ID number in row 4858 of the table for production class 4.</t>
  </si>
  <si>
    <t>Enter the registry ID number in row 4859 of the table for production class 4.</t>
  </si>
  <si>
    <t>Enter the registry ID number in row 4860 of the table for production class 4.</t>
  </si>
  <si>
    <t>Enter the registry ID number in row 4861 of the table for production class 4.</t>
  </si>
  <si>
    <t>Enter the registry ID number in row 4862 of the table for production class 4.</t>
  </si>
  <si>
    <t>Enter the registry ID number in row 4863 of the table for production class 4.</t>
  </si>
  <si>
    <t>Enter the registry ID number in row 4864 of the table for production class 4.</t>
  </si>
  <si>
    <t>Enter the registry ID number in row 4865 of the table for production class 4.</t>
  </si>
  <si>
    <t>Enter the registry ID number in row 4866 of the table for production class 4.</t>
  </si>
  <si>
    <t>Enter the registry ID number in row 4867 of the table for production class 4.</t>
  </si>
  <si>
    <t>Enter the registry ID number in row 4868 of the table for production class 4.</t>
  </si>
  <si>
    <t>Enter the registry ID number in row 4869 of the table for production class 4.</t>
  </si>
  <si>
    <t>Enter the registry ID number in row 4870 of the table for production class 4.</t>
  </si>
  <si>
    <t>Enter the registry ID number in row 4871 of the table for production class 4.</t>
  </si>
  <si>
    <t>Enter the registry ID number in row 4872 of the table for production class 4.</t>
  </si>
  <si>
    <t>Enter the registry ID number in row 4873 of the table for production class 4.</t>
  </si>
  <si>
    <t>Enter the registry ID number in row 4874 of the table for production class 4.</t>
  </si>
  <si>
    <t>Enter the registry ID number in row 4875 of the table for production class 4.</t>
  </si>
  <si>
    <t>Enter the registry ID number in row 4876 of the table for production class 4.</t>
  </si>
  <si>
    <t>Enter the registry ID number in row 4877 of the table for production class 4.</t>
  </si>
  <si>
    <t>Enter the registry ID number in row 4878 of the table for production class 4.</t>
  </si>
  <si>
    <t>Enter the registry ID number in row 4879 of the table for production class 4.</t>
  </si>
  <si>
    <t>Enter the registry ID number in row 4880 of the table for production class 4.</t>
  </si>
  <si>
    <t>Enter the registry ID number in row 4881 of the table for production class 4.</t>
  </si>
  <si>
    <t>Enter the registry ID number in row 4882 of the table for production class 4.</t>
  </si>
  <si>
    <t>Enter the registry ID number in row 4883 of the table for production class 4.</t>
  </si>
  <si>
    <t>Enter the registry ID number in row 4884 of the table for production class 4.</t>
  </si>
  <si>
    <t>Enter the registry ID number in row 4885 of the table for production class 4.</t>
  </si>
  <si>
    <t>Enter the registry ID number in row 4886 of the table for production class 4.</t>
  </si>
  <si>
    <t>Enter the registry ID number in row 4887 of the table for production class 4.</t>
  </si>
  <si>
    <t>Enter the registry ID number in row 4888 of the table for production class 4.</t>
  </si>
  <si>
    <t>Enter the registry ID number in row 4889 of the table for production class 4.</t>
  </si>
  <si>
    <t>Enter the registry ID number in row 4890 of the table for production class 4.</t>
  </si>
  <si>
    <t>Enter the registry ID number in row 4891 of the table for production class 4.</t>
  </si>
  <si>
    <t>Enter the registry ID number in row 4892 of the table for production class 4.</t>
  </si>
  <si>
    <t>Enter the registry ID number in row 4893 of the table for production class 4.</t>
  </si>
  <si>
    <t>Enter the registry ID number in row 4894 of the table for production class 4.</t>
  </si>
  <si>
    <t>Enter the registry ID number in row 4895 of the table for production class 4.</t>
  </si>
  <si>
    <t>Enter the registry ID number in row 4896 of the table for production class 4.</t>
  </si>
  <si>
    <t>Enter the registry ID number in row 4897 of the table for production class 4.</t>
  </si>
  <si>
    <t>Enter the registry ID number in row 4898 of the table for production class 4.</t>
  </si>
  <si>
    <t>Enter the registry ID number in row 4899 of the table for production class 4.</t>
  </si>
  <si>
    <t>Enter the registry ID number in row 4900 of the table for production class 4.</t>
  </si>
  <si>
    <t>Enter the registry ID number in row 4901 of the table for production class 4.</t>
  </si>
  <si>
    <t>Enter the registry ID number in row 4902 of the table for production class 4.</t>
  </si>
  <si>
    <t>Enter the registry ID number in row 4903 of the table for production class 4.</t>
  </si>
  <si>
    <t>Enter the registry ID number in row 4904 of the table for production class 4.</t>
  </si>
  <si>
    <t>Enter the registry ID number in row 4905 of the table for production class 4.</t>
  </si>
  <si>
    <t>Enter the registry ID number in row 4906 of the table for production class 4.</t>
  </si>
  <si>
    <t>Enter the registry ID number in row 4907 of the table for production class 4.</t>
  </si>
  <si>
    <t>Enter the registry ID number in row 4908 of the table for production class 4.</t>
  </si>
  <si>
    <t>Enter the registry ID number in row 4909 of the table for production class 4.</t>
  </si>
  <si>
    <t>Enter the registry ID number in row 4910 of the table for production class 4.</t>
  </si>
  <si>
    <t>Enter the registry ID number in row 4911 of the table for production class 4.</t>
  </si>
  <si>
    <t>Enter the registry ID number in row 4912 of the table for production class 4.</t>
  </si>
  <si>
    <t>Enter the registry ID number in row 4913 of the table for production class 4.</t>
  </si>
  <si>
    <t>Enter the registry ID number in row 4914 of the table for production class 4.</t>
  </si>
  <si>
    <t>Enter the registry ID number in row 4915 of the table for production class 4.</t>
  </si>
  <si>
    <t>Enter the registry ID number in row 4916 of the table for production class 4.</t>
  </si>
  <si>
    <t>Enter the registry ID number in row 4917 of the table for production class 4.</t>
  </si>
  <si>
    <t>Enter the registry ID number in row 4918 of the table for production class 4.</t>
  </si>
  <si>
    <t>Enter the registry ID number in row 4919 of the table for production class 4.</t>
  </si>
  <si>
    <t>Enter the registry ID number in row 4920 of the table for production class 4.</t>
  </si>
  <si>
    <t>Enter the registry ID number in row 4921 of the table for production class 4.</t>
  </si>
  <si>
    <t>Enter the registry ID number in row 4922 of the table for production class 4.</t>
  </si>
  <si>
    <t>Enter the registry ID number in row 4923 of the table for production class 4.</t>
  </si>
  <si>
    <t>Enter the registry ID number in row 4924 of the table for production class 4.</t>
  </si>
  <si>
    <t>Enter the registry ID number in row 4925 of the table for production class 4.</t>
  </si>
  <si>
    <t>Enter the registry ID number in row 4926 of the table for production class 4.</t>
  </si>
  <si>
    <t>Enter the registry ID number in row 4927 of the table for production class 4.</t>
  </si>
  <si>
    <t>Enter the registry ID number in row 4928 of the table for production class 4.</t>
  </si>
  <si>
    <t>Enter the registry ID number in row 4929 of the table for production class 4.</t>
  </si>
  <si>
    <t>Enter the registry ID number in row 4930 of the table for production class 4.</t>
  </si>
  <si>
    <t>Enter the registry ID number in row 4931 of the table for production class 4.</t>
  </si>
  <si>
    <t>Enter the registry ID number in row 4932 of the table for production class 4.</t>
  </si>
  <si>
    <t>Enter the registry ID number in row 4933 of the table for production class 4.</t>
  </si>
  <si>
    <t>Enter the registry ID number in row 4934 of the table for production class 4.</t>
  </si>
  <si>
    <t>Enter the registry ID number in row 4935 of the table for production class 4.</t>
  </si>
  <si>
    <t>Enter the registry ID number in row 4936 of the table for production class 4.</t>
  </si>
  <si>
    <t>Enter the registry ID number in row 4937 of the table for production class 4.</t>
  </si>
  <si>
    <t>Enter the registry ID number in row 4938 of the table for production class 4.</t>
  </si>
  <si>
    <t>Enter the registry ID number in row 4939 of the table for production class 4.</t>
  </si>
  <si>
    <t>Enter the registry ID number in row 4940 of the table for production class 4.</t>
  </si>
  <si>
    <t>Enter the registry ID number in row 4941 of the table for production class 4.</t>
  </si>
  <si>
    <t>Enter the registry ID number in row 4942 of the table for production class 4.</t>
  </si>
  <si>
    <t>Enter the registry ID number in row 4943 of the table for production class 4.</t>
  </si>
  <si>
    <t>Enter the registry ID number in row 4944 of the table for production class 4.</t>
  </si>
  <si>
    <t>Enter the registry ID number in row 4945 of the table for production class 4.</t>
  </si>
  <si>
    <t>Enter the registry ID number in row 4946 of the table for production class 4.</t>
  </si>
  <si>
    <t>Enter the registry ID number in row 4947 of the table for production class 4.</t>
  </si>
  <si>
    <t>Enter the registry ID number in row 4948 of the table for production class 4.</t>
  </si>
  <si>
    <t>Enter the registry ID number in row 4949 of the table for production class 4.</t>
  </si>
  <si>
    <t>Enter the registry ID number in row 4950 of the table for production class 4.</t>
  </si>
  <si>
    <t>Enter the registry ID number in row 4951 of the table for production class 4.</t>
  </si>
  <si>
    <t>Enter the registry ID number in row 4952 of the table for production class 4.</t>
  </si>
  <si>
    <t>Enter the registry ID number in row 4953 of the table for production class 4.</t>
  </si>
  <si>
    <t>Enter the registry ID number in row 4954 of the table for production class 4.</t>
  </si>
  <si>
    <t>Enter the registry ID number in row 4955 of the table for production class 4.</t>
  </si>
  <si>
    <t>Enter the registry ID number in row 4956 of the table for production class 4.</t>
  </si>
  <si>
    <t>Enter the registry ID number in row 4957 of the table for production class 4.</t>
  </si>
  <si>
    <t>Enter the registry ID number in row 4958 of the table for production class 4.</t>
  </si>
  <si>
    <t>Enter the registry ID number in row 4959 of the table for production class 4.</t>
  </si>
  <si>
    <t>Enter the registry ID number in row 4960 of the table for production class 4.</t>
  </si>
  <si>
    <t>Enter the registry ID number in row 4961 of the table for production class 4.</t>
  </si>
  <si>
    <t>Enter the registry ID number in row 4962 of the table for production class 4.</t>
  </si>
  <si>
    <t>Enter the registry ID number in row 4963 of the table for production class 4.</t>
  </si>
  <si>
    <t>Enter the registry ID number in row 4964 of the table for production class 4.</t>
  </si>
  <si>
    <t>Enter the registry ID number in row 4965 of the table for production class 4.</t>
  </si>
  <si>
    <t>Enter the registry ID number in row 4966 of the table for production class 4.</t>
  </si>
  <si>
    <t>Enter the registry ID number in row 4967 of the table for production class 4.</t>
  </si>
  <si>
    <t>Enter the registry ID number in row 4968 of the table for production class 4.</t>
  </si>
  <si>
    <t>Enter the registry ID number in row 4969 of the table for production class 4.</t>
  </si>
  <si>
    <t>Enter the registry ID number in row 4970 of the table for production class 4.</t>
  </si>
  <si>
    <t>Enter the registry ID number in row 4971 of the table for production class 4.</t>
  </si>
  <si>
    <t>Enter the registry ID number in row 4972 of the table for production class 4.</t>
  </si>
  <si>
    <t>Enter the registry ID number in row 4973 of the table for production class 4.</t>
  </si>
  <si>
    <t>Enter the registry ID number in row 4974 of the table for production class 4.</t>
  </si>
  <si>
    <t>Enter the registry ID number in row 4975 of the table for production class 4.</t>
  </si>
  <si>
    <t>Enter the registry ID number in row 4976 of the table for production class 4.</t>
  </si>
  <si>
    <t>Enter the registry ID number in row 4977 of the table for production class 4.</t>
  </si>
  <si>
    <t>Enter the registry ID number in row 4978 of the table for production class 4.</t>
  </si>
  <si>
    <t>Enter the registry ID number in row 4979 of the table for production class 4.</t>
  </si>
  <si>
    <t>Enter the registry ID number in row 4980 of the table for production class 4.</t>
  </si>
  <si>
    <t>Enter the registry ID number in row 4981 of the table for production class 4.</t>
  </si>
  <si>
    <t>Enter the registry ID number in row 4982 of the table for production class 4.</t>
  </si>
  <si>
    <t>Enter the registry ID number in row 4983 of the table for production class 4.</t>
  </si>
  <si>
    <t>Enter the registry ID number in row 4984 of the table for production class 4.</t>
  </si>
  <si>
    <t>Enter the registry ID number in row 4985 of the table for production class 4.</t>
  </si>
  <si>
    <t>Enter the registry ID number in row 4986 of the table for production class 4.</t>
  </si>
  <si>
    <t>Enter the registry ID number in row 4987 of the table for production class 4.</t>
  </si>
  <si>
    <t>Enter the registry ID number in row 4988 of the table for production class 4.</t>
  </si>
  <si>
    <t>Enter the registry ID number in row 4989 of the table for production class 4.</t>
  </si>
  <si>
    <t>Enter the registry ID number in row 4990 of the table for production class 4.</t>
  </si>
  <si>
    <t>Enter the registry ID number in row 4991 of the table for production class 4.</t>
  </si>
  <si>
    <t>Enter the registry ID number in row 4992 of the table for production class 4.</t>
  </si>
  <si>
    <t>Enter the registry ID number in row 4993 of the table for production class 4.</t>
  </si>
  <si>
    <t>Enter the registry ID number in row 4994 of the table for production class 4.</t>
  </si>
  <si>
    <t>Enter the registry ID number in row 4995 of the table for production class 4.</t>
  </si>
  <si>
    <t>Enter the registry ID number in row 4996 of the table for production class 4.</t>
  </si>
  <si>
    <t>Enter the registry ID number in row 4997 of the table for production class 4.</t>
  </si>
  <si>
    <t>Enter the registry ID number in row 4998 of the table for production class 4.</t>
  </si>
  <si>
    <t>Enter the registry ID number in row 4999 of the table for production class 4.</t>
  </si>
  <si>
    <t>Enter the registry ID number in row 5000 of the table for production class 4.</t>
  </si>
  <si>
    <t>Select the source categories that produced direct emissions production class 1.</t>
  </si>
  <si>
    <t>Select the baseline year for production class 1.</t>
  </si>
  <si>
    <t>Indicate if production class 1 has a gas-to-power operation.</t>
  </si>
  <si>
    <t>Select the first baseline year for the gas-to-power operation in production class 1.</t>
  </si>
  <si>
    <t>Select the source categories that produced direct emissions production class 2a.</t>
  </si>
  <si>
    <t>Select the baseline year for production class 2a.</t>
  </si>
  <si>
    <t>Indicate if production class 2a has a gas-to-power operation.</t>
  </si>
  <si>
    <t>Select the first baseline year for the gas-to-power operation in production class 2a.</t>
  </si>
  <si>
    <t>Select the source categories that produced direct emissions production class 2b.</t>
  </si>
  <si>
    <t>Select the baseline year for production class 2b.</t>
  </si>
  <si>
    <t>Indicate if production class 2b has a gas-to-power operation.</t>
  </si>
  <si>
    <t>Select the first baseline year for the gas-to-power operation in production class 2b.</t>
  </si>
  <si>
    <t>Select the source categories that produced direct emissions production class 3.</t>
  </si>
  <si>
    <t>Select the baseline year for production class 3.</t>
  </si>
  <si>
    <t>Indicate if production class 3 has a gas-to-power operation.</t>
  </si>
  <si>
    <t>Select the first baseline year for the gas-to-power operation in production class 3.</t>
  </si>
  <si>
    <t>Select the source categories that produced direct emissions production class 4.</t>
  </si>
  <si>
    <t>Select the baseline year for production class 4.</t>
  </si>
  <si>
    <t>Indicate if production class 4 has a gas-to-power operation.</t>
  </si>
  <si>
    <t>Select the first baseline year for the gas-to-power operation in production class 4.</t>
  </si>
  <si>
    <t>Enter the product amount in production class 1.</t>
  </si>
  <si>
    <t>Enter the product amount in production class 2a.</t>
  </si>
  <si>
    <t>Enter the product amount in production class 2b.</t>
  </si>
  <si>
    <t>Enter the product amount in production class 3.</t>
  </si>
  <si>
    <t>Enter the product amount in production class 4.</t>
  </si>
  <si>
    <t>Baseline summary for gas-to-power</t>
  </si>
  <si>
    <t>Gas-to-power data</t>
  </si>
  <si>
    <r>
      <t xml:space="preserve">If the facility is reporting emissions using the quantification methodology established under part 3 of </t>
    </r>
    <r>
      <rPr>
        <i/>
        <sz val="11"/>
        <color rgb="FF000000"/>
        <rFont val="Calibri"/>
        <family val="2"/>
        <scheme val="minor"/>
      </rPr>
      <t>The Aggregate Facility Standard,</t>
    </r>
    <r>
      <rPr>
        <sz val="11"/>
        <color rgb="FF000000"/>
        <rFont val="Calibri"/>
        <family val="2"/>
        <scheme val="minor"/>
      </rPr>
      <t xml:space="preserve"> a quantification methodology document (QMD) must be included with this submission.</t>
    </r>
  </si>
  <si>
    <t>Number of facilities</t>
  </si>
  <si>
    <t>Reference</t>
  </si>
  <si>
    <t>='Facility Information'!$C$7</t>
  </si>
  <si>
    <t>='Facility Information'!$C$10</t>
  </si>
  <si>
    <t>='Facility Information'!$C$16</t>
  </si>
  <si>
    <t>='Facility Information'!$G$21</t>
  </si>
  <si>
    <t>='Facility Information'!$G$22</t>
  </si>
  <si>
    <t>='Facility Information'!$G$23</t>
  </si>
  <si>
    <t>='Facility Information'!$G$24</t>
  </si>
  <si>
    <t>='Facility Information'!$G$25</t>
  </si>
  <si>
    <t>='Facility Information'!$D$29:$D$5028</t>
  </si>
  <si>
    <t>='Facility Information'!$E$29:$E$5028</t>
  </si>
  <si>
    <t>='Facility Information'!$F$29:$F$5028</t>
  </si>
  <si>
    <t>='Facility Information'!$G$29:$G$5028</t>
  </si>
  <si>
    <t>='Facility Information'!$H$29:$H$5028</t>
  </si>
  <si>
    <t>='Product Information'!$C$21</t>
  </si>
  <si>
    <t>='Product Information'!$C$24</t>
  </si>
  <si>
    <t>='Product Information'!$C$27</t>
  </si>
  <si>
    <t>='Product Information'!$C$30</t>
  </si>
  <si>
    <t>='Product Information'!$C$33</t>
  </si>
  <si>
    <t>='Product Information'!$C$51</t>
  </si>
  <si>
    <t>='Product Information'!$C$54</t>
  </si>
  <si>
    <t>='Product Information'!$C$57</t>
  </si>
  <si>
    <t>='Product Information'!$C$60</t>
  </si>
  <si>
    <t>='Product Information'!$C$63</t>
  </si>
  <si>
    <t>='Product Information'!$C$81</t>
  </si>
  <si>
    <t>='Product Information'!$C$84</t>
  </si>
  <si>
    <t>='Product Information'!$C$87</t>
  </si>
  <si>
    <t>='Product Information'!$C$90</t>
  </si>
  <si>
    <t>='Product Information'!$C$93</t>
  </si>
  <si>
    <t>='Product Information'!$C$111</t>
  </si>
  <si>
    <t>='Product Information'!$C$114</t>
  </si>
  <si>
    <t>='Product Information'!$C$117</t>
  </si>
  <si>
    <t>='Product Information'!$C$120</t>
  </si>
  <si>
    <t>='Product Information'!$C$123</t>
  </si>
  <si>
    <t>='Product Information'!$C$141</t>
  </si>
  <si>
    <t>='Product Information'!$C$144</t>
  </si>
  <si>
    <t>='Product Information'!$C$147</t>
  </si>
  <si>
    <t>='Product Information'!$C$150</t>
  </si>
  <si>
    <t>='Product Information'!$C$153</t>
  </si>
  <si>
    <t>='Production Data'!$D$9</t>
  </si>
  <si>
    <t>='Production Data'!$D$13:$D$21</t>
  </si>
  <si>
    <t>='Production Data'!$D$25:$D$45</t>
  </si>
  <si>
    <t>='Production Data'!$D$49:$D$53</t>
  </si>
  <si>
    <t>='Production Data'!$D$59:$D$61</t>
  </si>
  <si>
    <t>='Production Data'!$D$67</t>
  </si>
  <si>
    <t>='Production Data'!$D$71:$D$79</t>
  </si>
  <si>
    <t>='Production Data'!$D$83:$D$103</t>
  </si>
  <si>
    <t>='Production Data'!$D$107:$D$111</t>
  </si>
  <si>
    <t>='Production Data'!$D$117:$D$119</t>
  </si>
  <si>
    <t>='Production Data'!$D$125</t>
  </si>
  <si>
    <t>='Production Data'!$D$129:$D$137</t>
  </si>
  <si>
    <t>='Production Data'!$D$141:$D$161</t>
  </si>
  <si>
    <t>='Production Data'!$D$165:$D$169</t>
  </si>
  <si>
    <t>='Production Data'!$D$175:$D$177</t>
  </si>
  <si>
    <t>='Production Data'!$D$183</t>
  </si>
  <si>
    <t>='Production Data'!$D$187:$D$195</t>
  </si>
  <si>
    <t>='Production Data'!$D$199:$D$219</t>
  </si>
  <si>
    <t>='Production Data'!$D$223:$D$227</t>
  </si>
  <si>
    <t>='Production Data'!$D$233:$D$235</t>
  </si>
  <si>
    <t>='Production Data'!$D$241</t>
  </si>
  <si>
    <t>='Production Data'!$D$245:$D$253</t>
  </si>
  <si>
    <t>='Production Data'!$D$257:$D$277</t>
  </si>
  <si>
    <t>='Production Data'!$D$281:$D$285</t>
  </si>
  <si>
    <t>='Production Data'!$D$291:$D$293</t>
  </si>
  <si>
    <t>='Electricity Data'!$D$12:$D$20</t>
  </si>
  <si>
    <t>='Electricity Data'!$D$24:$D$44</t>
  </si>
  <si>
    <t>='Electricity Data'!$D$48:$D$52</t>
  </si>
  <si>
    <t>='Electricity Data'!$D$58:$D$60</t>
  </si>
  <si>
    <t>='Electricity Data'!$D$66:$D$74</t>
  </si>
  <si>
    <t>='Electricity Data'!$D$78:$D$98</t>
  </si>
  <si>
    <t>='Electricity Data'!$D$102:$D$106</t>
  </si>
  <si>
    <t>='Electricity Data'!$D$112:$D$114</t>
  </si>
  <si>
    <t>='Electricity Data'!$D$120:$D$128</t>
  </si>
  <si>
    <t>='Electricity Data'!$D$132:$D$152</t>
  </si>
  <si>
    <t>='Electricity Data'!$D$156:$D$160</t>
  </si>
  <si>
    <t>='Electricity Data'!$D$166:$D$168</t>
  </si>
  <si>
    <t>='Electricity Data'!$D$174:$D$182</t>
  </si>
  <si>
    <t>='Electricity Data'!$D$186:$D$206</t>
  </si>
  <si>
    <t>='Electricity Data'!$D$210:$D$214</t>
  </si>
  <si>
    <t>='Electricity Data'!$D$220:$D$222</t>
  </si>
  <si>
    <t>='Electricity Data'!$D$228:$D$236</t>
  </si>
  <si>
    <t>='Electricity Data'!$D$240:$D$260</t>
  </si>
  <si>
    <t>='Electricity Data'!$D$264:$D$268</t>
  </si>
  <si>
    <t>='Electricity Data'!$D$274:$D$276</t>
  </si>
  <si>
    <t>='Gas-to-Power Data'!$C$14</t>
  </si>
  <si>
    <t>='Gas-to-Power Data'!$D$20:$D$69</t>
  </si>
  <si>
    <t>='Gas-to-Power Data'!$E$20:$E$69</t>
  </si>
  <si>
    <t>='Gas-to-Power Data'!$F$20:$F$69</t>
  </si>
  <si>
    <t>='Gas-to-Power Data'!$G$20:$G$69</t>
  </si>
  <si>
    <t>='Gas-to-Power Data'!$H$20:$H$69</t>
  </si>
  <si>
    <t>='Gas-to-Power Data'!$I$20:$I$69</t>
  </si>
  <si>
    <t>='Gas-to-Power Data'!$J$20:$J$69</t>
  </si>
  <si>
    <t>='Gas-to-Power Data'!$C$75</t>
  </si>
  <si>
    <t>='Gas-to-Power Data'!$D$81:$D$130</t>
  </si>
  <si>
    <t>='Gas-to-Power Data'!$E$81:$E$130</t>
  </si>
  <si>
    <t>='Gas-to-Power Data'!$F$81:$F$130</t>
  </si>
  <si>
    <t>='Gas-to-Power Data'!$G$81:$G$130</t>
  </si>
  <si>
    <t>='Gas-to-Power Data'!$H$81:$H$130</t>
  </si>
  <si>
    <t>='Gas-to-Power Data'!$I$81:$I$130</t>
  </si>
  <si>
    <t>='Gas-to-Power Data'!$J$81:$J$130</t>
  </si>
  <si>
    <t>='Gas-to-Power Data'!$C$138</t>
  </si>
  <si>
    <t>='Gas-to-Power Data'!$D$144:$D$193</t>
  </si>
  <si>
    <t>='Gas-to-Power Data'!$E$144:$E$193</t>
  </si>
  <si>
    <t>='Gas-to-Power Data'!$F$144:$F$193</t>
  </si>
  <si>
    <t>='Gas-to-Power Data'!$G$144:$G$193</t>
  </si>
  <si>
    <t>='Gas-to-Power Data'!$H$144:$H$193</t>
  </si>
  <si>
    <t>='Gas-to-Power Data'!$I$144:$I$193</t>
  </si>
  <si>
    <t>='Gas-to-Power Data'!$J$144:$J$193</t>
  </si>
  <si>
    <t>='Gas-to-Power Data'!$C$199</t>
  </si>
  <si>
    <t>='Gas-to-Power Data'!$D$205:$D$254</t>
  </si>
  <si>
    <t>='Gas-to-Power Data'!$E$205:$E$254</t>
  </si>
  <si>
    <t>='Gas-to-Power Data'!$F$205:$F$254</t>
  </si>
  <si>
    <t>='Gas-to-Power Data'!$G$205:$G$254</t>
  </si>
  <si>
    <t>='Gas-to-Power Data'!$H$205:$H$254</t>
  </si>
  <si>
    <t>='Gas-to-Power Data'!$I$205:$I$254</t>
  </si>
  <si>
    <t>='Gas-to-Power Data'!$J$205:$J$254</t>
  </si>
  <si>
    <t>='Gas-to-Power Data'!$C$262</t>
  </si>
  <si>
    <t>='Gas-to-Power Data'!$D$268:$D$317</t>
  </si>
  <si>
    <t>='Gas-to-Power Data'!$E$268:$E$317</t>
  </si>
  <si>
    <t>='Gas-to-Power Data'!$F$268:$F$317</t>
  </si>
  <si>
    <t>='Gas-to-Power Data'!$G$268:$G$317</t>
  </si>
  <si>
    <t>='Gas-to-Power Data'!$H$268:$H$317</t>
  </si>
  <si>
    <t>='Gas-to-Power Data'!$I$268:$I$317</t>
  </si>
  <si>
    <t>='Gas-to-Power Data'!$J$268:$J$317</t>
  </si>
  <si>
    <t>='Gas-to-Power Data'!$C$323</t>
  </si>
  <si>
    <t>='Gas-to-Power Data'!$D$329:$D$378</t>
  </si>
  <si>
    <t>='Gas-to-Power Data'!$E$329:$E$378</t>
  </si>
  <si>
    <t>='Gas-to-Power Data'!$F$329:$F$378</t>
  </si>
  <si>
    <t>='Gas-to-Power Data'!$G$329:$G$378</t>
  </si>
  <si>
    <t>='Gas-to-Power Data'!$H$329:$H$378</t>
  </si>
  <si>
    <t>='Gas-to-Power Data'!$I$329:$I$378</t>
  </si>
  <si>
    <t>='Gas-to-Power Data'!$J$329:$J$378</t>
  </si>
  <si>
    <t>='Gas-to-Power Data'!$C$386</t>
  </si>
  <si>
    <t>='Gas-to-Power Data'!$D$392:$D$441</t>
  </si>
  <si>
    <t>='Gas-to-Power Data'!$E$392:$E$441</t>
  </si>
  <si>
    <t>='Gas-to-Power Data'!$F$392:$F$441</t>
  </si>
  <si>
    <t>='Gas-to-Power Data'!$G$392:$G$441</t>
  </si>
  <si>
    <t>='Gas-to-Power Data'!$H$392:$H$441</t>
  </si>
  <si>
    <t>='Gas-to-Power Data'!$I$392:$I$441</t>
  </si>
  <si>
    <t>='Gas-to-Power Data'!$J$392:$J$441</t>
  </si>
  <si>
    <t>='Gas-to-Power Data'!$C$447</t>
  </si>
  <si>
    <t>='Gas-to-Power Data'!$D$453:$D$502</t>
  </si>
  <si>
    <t>='Gas-to-Power Data'!$E$453:$E$502</t>
  </si>
  <si>
    <t>='Gas-to-Power Data'!$F$453:$F$502</t>
  </si>
  <si>
    <t>='Gas-to-Power Data'!$G$453:$G$502</t>
  </si>
  <si>
    <t>='Gas-to-Power Data'!$H$453:$H$502</t>
  </si>
  <si>
    <t>='Gas-to-Power Data'!$I$453:$I$502</t>
  </si>
  <si>
    <t>='Gas-to-Power Data'!$J$453:$J$502</t>
  </si>
  <si>
    <t>='Gas-to-Power Data'!$C$510</t>
  </si>
  <si>
    <t>='Gas-to-Power Data'!$D$516:$D$565</t>
  </si>
  <si>
    <t>='Gas-to-Power Data'!$E$516:$E$565</t>
  </si>
  <si>
    <t>='Gas-to-Power Data'!$F$516:$F$565</t>
  </si>
  <si>
    <t>='Gas-to-Power Data'!$G$516:$G$565</t>
  </si>
  <si>
    <t>='Gas-to-Power Data'!$H$516:$H$565</t>
  </si>
  <si>
    <t>='Gas-to-Power Data'!$I$516:$I$565</t>
  </si>
  <si>
    <t>='Gas-to-Power Data'!$J$516:$J$565</t>
  </si>
  <si>
    <t>='Gas-to-Power Data'!$C$571</t>
  </si>
  <si>
    <t>='Gas-to-Power Data'!$D$577:$D$626</t>
  </si>
  <si>
    <t>='Gas-to-Power Data'!$E$577:$E$626</t>
  </si>
  <si>
    <t>='Gas-to-Power Data'!$F$577:$F$626</t>
  </si>
  <si>
    <t>='Gas-to-Power Data'!$G$577:$G$626</t>
  </si>
  <si>
    <t>='Gas-to-Power Data'!$H$577:$H$626</t>
  </si>
  <si>
    <t>='Gas-to-Power Data'!$I$577:$I$626</t>
  </si>
  <si>
    <t>='Gas-to-Power Data'!$J$577:$J$626</t>
  </si>
  <si>
    <t>=Declaration!$D$9</t>
  </si>
  <si>
    <t>=Declaration!$F$26</t>
  </si>
  <si>
    <t>=Developer!$F$28940</t>
  </si>
  <si>
    <t>=Developer!$F$28941</t>
  </si>
  <si>
    <t>=Developer!$F$28942</t>
  </si>
  <si>
    <t>=Developer!$F$28943</t>
  </si>
  <si>
    <t>=Developer!$F$28944</t>
  </si>
  <si>
    <t>=Developer!$F$28945</t>
  </si>
  <si>
    <t>=Developer!$F$28946</t>
  </si>
  <si>
    <t>=Developer!$F$28947</t>
  </si>
  <si>
    <t>=Developer!$F$28948</t>
  </si>
  <si>
    <t>=Developer!$F$28949</t>
  </si>
  <si>
    <t>=Developer!$F$28950</t>
  </si>
  <si>
    <t>=Developer!$F$28951</t>
  </si>
  <si>
    <t>=Developer!$F$28952</t>
  </si>
  <si>
    <t>=Developer!$F$28953</t>
  </si>
  <si>
    <t>=Developer!$F$28954</t>
  </si>
  <si>
    <t>=Developer!$F$28955</t>
  </si>
  <si>
    <t>=Developer!$F$28956</t>
  </si>
  <si>
    <t>=Developer!$F$28957</t>
  </si>
  <si>
    <t>=Developer!$F$28958</t>
  </si>
  <si>
    <t>=Developer!$F$28959</t>
  </si>
  <si>
    <t>=Developer!$F$28960</t>
  </si>
  <si>
    <t>=Developer!$F$28961</t>
  </si>
  <si>
    <t>=Developer!$F$28962</t>
  </si>
  <si>
    <t>=Developer!$F$28963</t>
  </si>
  <si>
    <t>=Developer!$F$28964</t>
  </si>
  <si>
    <t>=Developer!$F$28965</t>
  </si>
  <si>
    <t>=Developer!$F$28966</t>
  </si>
  <si>
    <t>=Developer!$F$28967</t>
  </si>
  <si>
    <t>=Developer!$F$28968</t>
  </si>
  <si>
    <t>=Developer!$F$28969</t>
  </si>
  <si>
    <t>=Developer!$F$28970</t>
  </si>
  <si>
    <t>=Developer!$F$28971</t>
  </si>
  <si>
    <t>=Developer!$F$28972</t>
  </si>
  <si>
    <t>=Developer!$F$28973</t>
  </si>
  <si>
    <t>=Developer!$F$28974</t>
  </si>
  <si>
    <t>=Developer!$F$28975</t>
  </si>
  <si>
    <t>=Developer!$F$28976</t>
  </si>
  <si>
    <t>=Developer!$F$28977</t>
  </si>
  <si>
    <t>=Developer!$F$28978</t>
  </si>
  <si>
    <t>=Developer!$F$28979</t>
  </si>
  <si>
    <t>=Developer!$F$28980</t>
  </si>
  <si>
    <t>=Developer!$F$28981</t>
  </si>
  <si>
    <t>=Developer!$F$28982</t>
  </si>
  <si>
    <t>=Developer!$F$28983</t>
  </si>
  <si>
    <t>=Developer!$F$28984</t>
  </si>
  <si>
    <t>=Developer!$F$28985</t>
  </si>
  <si>
    <t>=Developer!$F$28986</t>
  </si>
  <si>
    <t>=Developer!$F$28987</t>
  </si>
  <si>
    <t>=Developer!$F$28988</t>
  </si>
  <si>
    <t>=Developer!$F$28989</t>
  </si>
  <si>
    <t>='Product Information'!$B$5:$F$34</t>
  </si>
  <si>
    <t>='Product Information'!$B$13:$F$19</t>
  </si>
  <si>
    <t>='Product Information'!$B$35:$F$64</t>
  </si>
  <si>
    <t>='Product Information'!$B$43:$F$49</t>
  </si>
  <si>
    <t>='Product Information'!$B$65:$F$94</t>
  </si>
  <si>
    <t>='Product Information'!$B$73:$F$79</t>
  </si>
  <si>
    <t>='Product Information'!$B$95:$F$124</t>
  </si>
  <si>
    <t>='Product Information'!$B$103:$F$109</t>
  </si>
  <si>
    <t>='Product Information'!$B$125:$F$154</t>
  </si>
  <si>
    <t>='Product Information'!$B$133:$F$139</t>
  </si>
  <si>
    <t>='Production Data'!$B$5:$F$62</t>
  </si>
  <si>
    <t>='Production Data'!$B$11:$F$22</t>
  </si>
  <si>
    <t>='Production Data'!$B$23:$F$46</t>
  </si>
  <si>
    <t>='Production Data'!$B$47:$F$56</t>
  </si>
  <si>
    <t>='Production Data'!$B$57:$F$62</t>
  </si>
  <si>
    <t>='Production Data'!$B$63:$F$120</t>
  </si>
  <si>
    <t>='Production Data'!$B$69:$F$80</t>
  </si>
  <si>
    <t>='Production Data'!$B$81:$F$104</t>
  </si>
  <si>
    <t>='Production Data'!$B$105:$F$114</t>
  </si>
  <si>
    <t>='Production Data'!$B$115:$F$120</t>
  </si>
  <si>
    <t>='Production Data'!$B$121:$F$178</t>
  </si>
  <si>
    <t>='Production Data'!$B$127:$F$138</t>
  </si>
  <si>
    <t>='Production Data'!$B$139:$F$162</t>
  </si>
  <si>
    <t>='Production Data'!$B$163:$F$172</t>
  </si>
  <si>
    <t>='Production Data'!$B$173:$F$178</t>
  </si>
  <si>
    <t>='Production Data'!$B$179:$F$236</t>
  </si>
  <si>
    <t>='Production Data'!$B$185:$F$196</t>
  </si>
  <si>
    <t>='Production Data'!$B$197:$F$220</t>
  </si>
  <si>
    <t>='Production Data'!$B$221:$F$230</t>
  </si>
  <si>
    <t>='Production Data'!$B$231:$F$236</t>
  </si>
  <si>
    <t>='Production Data'!$B$237:$F$294</t>
  </si>
  <si>
    <t>='Production Data'!$B$243:$F$254</t>
  </si>
  <si>
    <t>='Production Data'!$B$255:$F$278</t>
  </si>
  <si>
    <t>='Production Data'!$B$279:$F$288</t>
  </si>
  <si>
    <t>='Production Data'!$B$289:$F$294</t>
  </si>
  <si>
    <t>='Electricity Data'!$B$8:$F$61</t>
  </si>
  <si>
    <t>='Electricity Data'!$B$10:$F$21</t>
  </si>
  <si>
    <t>='Electricity Data'!$B$22:$F$45</t>
  </si>
  <si>
    <t>='Electricity Data'!$B$46:$F$55</t>
  </si>
  <si>
    <t>='Electricity Data'!$B$56:$F$61</t>
  </si>
  <si>
    <t>='Electricity Data'!$B$62:$F$115</t>
  </si>
  <si>
    <t>='Electricity Data'!$B$64:$F$75</t>
  </si>
  <si>
    <t>='Electricity Data'!$B$76:$F$99</t>
  </si>
  <si>
    <t>='Electricity Data'!$B$100:$F$109</t>
  </si>
  <si>
    <t>='Electricity Data'!$B$110:$F$115</t>
  </si>
  <si>
    <t>='Electricity Data'!$B$116:$F$169</t>
  </si>
  <si>
    <t>='Electricity Data'!$B$118:$F$129</t>
  </si>
  <si>
    <t>='Electricity Data'!$B$130:$F$153</t>
  </si>
  <si>
    <t>='Electricity Data'!$B$154:$F$163</t>
  </si>
  <si>
    <t>='Electricity Data'!$B$164:$F$169</t>
  </si>
  <si>
    <t>='Electricity Data'!$B$170:$F$223</t>
  </si>
  <si>
    <t>='Electricity Data'!$B$172:$F$183</t>
  </si>
  <si>
    <t>='Electricity Data'!$B$184:$F$207</t>
  </si>
  <si>
    <t>='Electricity Data'!$B$208:$F$217</t>
  </si>
  <si>
    <t>='Electricity Data'!$B$218:$F$223</t>
  </si>
  <si>
    <t>='Electricity Data'!$B$224:$F$277</t>
  </si>
  <si>
    <t>='Electricity Data'!$B$226:$F$237</t>
  </si>
  <si>
    <t>='Electricity Data'!$B$238:$F$261</t>
  </si>
  <si>
    <t>='Electricity Data'!$B$262:$F$271</t>
  </si>
  <si>
    <t>='Electricity Data'!$B$272:$F$277</t>
  </si>
  <si>
    <t>='Gas-to-Power Data'!$B$8:$K$131</t>
  </si>
  <si>
    <t>='Gas-to-Power Data'!$D$20:$J$69</t>
  </si>
  <si>
    <t>='Gas-to-Power Data'!$D$81:$J$130</t>
  </si>
  <si>
    <t>='Gas-to-Power Data'!$B$132:$K$255</t>
  </si>
  <si>
    <t>='Gas-to-Power Data'!$D$144:$J$193</t>
  </si>
  <si>
    <t>='Gas-to-Power Data'!$D$205:$J$254</t>
  </si>
  <si>
    <t>='Gas-to-Power Data'!$B$256:$K$379</t>
  </si>
  <si>
    <t>='Gas-to-Power Data'!$D$268:$J$317</t>
  </si>
  <si>
    <t>='Gas-to-Power Data'!$D$329:$J$378</t>
  </si>
  <si>
    <t>='Gas-to-Power Data'!$B$380:$K$503</t>
  </si>
  <si>
    <t>='Gas-to-Power Data'!$D$392:$J$441</t>
  </si>
  <si>
    <t>='Gas-to-Power Data'!$D$453:$J$502</t>
  </si>
  <si>
    <t>='Gas-to-Power Data'!$B$504:$K$627</t>
  </si>
  <si>
    <t>='Gas-to-Power Data'!$D$516:$J$565</t>
  </si>
  <si>
    <t>='Gas-to-Power Data'!$D$577:$J$626</t>
  </si>
  <si>
    <t>=Summary!$B$22:$F$59</t>
  </si>
  <si>
    <t>=Summary!$B$38:$F$59</t>
  </si>
  <si>
    <t>=Summary!$B$60:$F$97</t>
  </si>
  <si>
    <t>=Summary!$B$76:$F$97</t>
  </si>
  <si>
    <t>=Summary!$B$98:$F$135</t>
  </si>
  <si>
    <t>=Summary!$B$114:$F$135</t>
  </si>
  <si>
    <t>=Summary!$B$136:$F$173</t>
  </si>
  <si>
    <t>=Summary!$B$152:$F$173</t>
  </si>
  <si>
    <t>=Summary!$B$174:$F$211</t>
  </si>
  <si>
    <t>=Summary!$B$190:$F$211</t>
  </si>
  <si>
    <t>=Developer!$B$4:$I$28989</t>
  </si>
  <si>
    <t>=Developer!$E$4:$E$28989</t>
  </si>
  <si>
    <t>=Instructions!$B$1:$F$65</t>
  </si>
  <si>
    <t>=Instructions!$C$65</t>
  </si>
  <si>
    <t>=Instructions!$E$65</t>
  </si>
  <si>
    <t>='Facility Information'!$B$1:$I$5036</t>
  </si>
  <si>
    <t>='Facility Information'!$C$5030</t>
  </si>
  <si>
    <t>='Product Information'!$B$1:$F$161</t>
  </si>
  <si>
    <t>='Product Information'!$C$155</t>
  </si>
  <si>
    <t>='Production Data'!$B$1:$F$301</t>
  </si>
  <si>
    <t>='Production Data'!$C$295</t>
  </si>
  <si>
    <t>='Electricity Data'!$B$1:$F$284</t>
  </si>
  <si>
    <t>='Electricity Data'!$C$278</t>
  </si>
  <si>
    <t>='Gas-to-Power Data'!$B$1:$K$634</t>
  </si>
  <si>
    <t>='Gas-to-Power Data'!$C$628</t>
  </si>
  <si>
    <t>=Summary!$B$1:$F$212</t>
  </si>
  <si>
    <t>=Declaration!$B$1:$G$35</t>
  </si>
  <si>
    <t>=Declaration!$C$29</t>
  </si>
  <si>
    <t>=Appendix!$B$1:$F$25</t>
  </si>
  <si>
    <t>=Developer!$K$4:$L$92</t>
  </si>
  <si>
    <t>=Developer!$N$4:$Q$20</t>
  </si>
  <si>
    <t/>
  </si>
  <si>
    <t>A gas-to-power operation includes all units within a production class that generate electricity from the combustion of associated gas that would otherwise be vented, flared or released to the atmosphere as leakage. Only stationary fuel combustion emissions from the combustion of associated gas in a gas-to-power operation are to be included on the Gas-to-Power Data tab. Emissions from the combustion of any fuel besides associated gas in the operation are not considered gas-to-power emissions and must be excluded from the emissions reported on the Gas-to-Power Data tab. These emissions must be reported as stationary fuel combustion emissions on the Electricity Data tab if they were produced during the baseline year for the BOE product.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</si>
</sst>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quot;Version: &quot;0#.00"/>
    <numFmt numFmtId="165" formatCode="&quot;Date: &quot;yyyy\-mm\-dd"/>
    <numFmt numFmtId="166" formatCode="yyyy\-mm\-dd;@"/>
    <numFmt numFmtId="167" formatCode="yyyy\-mm\-dd\ hh:mm:ss\ AM/PM"/>
    <numFmt numFmtId="168" formatCode="#,##0.0000"/>
    <numFmt numFmtId="169" formatCode="&quot;Date: &quot;yyyy/mm/dd"/>
    <numFmt numFmtId="170" formatCode="yyyy/mm/dd\ hh:mm:ss"/>
    <numFmt numFmtId="171" formatCode="0.000"/>
  </numFmts>
  <fonts count="20" x14ac:knownFonts="1">
    <font>
      <sz val="11"/>
      <color theme="1"/>
      <name val="Calibri"/>
      <family val="2"/>
      <scheme val="minor"/>
    </font>
    <font>
      <b/>
      <sz val="11"/>
      <color theme="0"/>
      <name val="Calibri"/>
      <family val="2"/>
      <scheme val="minor"/>
    </font>
    <font>
      <sz val="11"/>
      <color rgb="FF000000"/>
      <name val="Calibri"/>
      <family val="2"/>
      <scheme val="minor"/>
    </font>
    <font>
      <b/>
      <sz val="18"/>
      <color rgb="FFFFFFFF"/>
      <name val="Calibri"/>
      <family val="2"/>
      <scheme val="minor"/>
    </font>
    <font>
      <b/>
      <sz val="14"/>
      <color rgb="FF000000"/>
      <name val="Calibri"/>
      <family val="2"/>
      <scheme val="minor"/>
    </font>
    <font>
      <b/>
      <sz val="11"/>
      <color rgb="FF000000"/>
      <name val="Calibri"/>
      <family val="2"/>
      <scheme val="minor"/>
    </font>
    <font>
      <sz val="9"/>
      <color rgb="FF000000"/>
      <name val="Calibri"/>
      <family val="2"/>
      <scheme val="minor"/>
    </font>
    <font>
      <b/>
      <i/>
      <sz val="18"/>
      <color rgb="FFFFFFFF"/>
      <name val="Calibri"/>
      <family val="2"/>
      <scheme val="minor"/>
    </font>
    <font>
      <i/>
      <sz val="11"/>
      <color rgb="FF000000"/>
      <name val="Calibri"/>
      <family val="2"/>
      <scheme val="minor"/>
    </font>
    <font>
      <vertAlign val="subscript"/>
      <sz val="11"/>
      <color rgb="FF000000"/>
      <name val="Calibri"/>
      <family val="2"/>
      <scheme val="minor"/>
    </font>
    <font>
      <i/>
      <sz val="11"/>
      <color theme="1"/>
      <name val="Calibri"/>
      <family val="2"/>
      <scheme val="minor"/>
    </font>
    <font>
      <b/>
      <sz val="11"/>
      <color rgb="FFFF0000"/>
      <name val="Calibri"/>
      <family val="2"/>
      <scheme val="minor"/>
    </font>
    <font>
      <b/>
      <i/>
      <sz val="11"/>
      <color rgb="FF000000"/>
      <name val="Calibri"/>
      <family val="2"/>
      <scheme val="minor"/>
    </font>
    <font>
      <vertAlign val="superscript"/>
      <sz val="11"/>
      <color rgb="FF000000"/>
      <name val="Calibri"/>
      <family val="2"/>
      <scheme val="minor"/>
    </font>
    <font>
      <sz val="8"/>
      <name val="Calibri"/>
      <family val="2"/>
      <scheme val="minor"/>
    </font>
    <font>
      <b/>
      <u/>
      <sz val="11"/>
      <color rgb="FF000000"/>
      <name val="Calibri"/>
      <family val="2"/>
      <scheme val="minor"/>
    </font>
    <font>
      <sz val="10"/>
      <color rgb="FF000000"/>
      <name val="Calibri"/>
      <family val="2"/>
      <scheme val="minor"/>
    </font>
    <font>
      <sz val="11"/>
      <color rgb="FF000000"/>
      <name val="Calibri"/>
      <family val="2"/>
    </font>
    <font>
      <b/>
      <vertAlign val="superscript"/>
      <sz val="11"/>
      <color rgb="FF000000"/>
      <name val="Calibri"/>
      <family val="2"/>
      <scheme val="minor"/>
    </font>
    <font>
      <b/>
      <vertAlign val="subscript"/>
      <sz val="11"/>
      <color rgb="FF000000"/>
      <name val="Calibri"/>
      <family val="2"/>
      <scheme val="minor"/>
    </font>
  </fonts>
  <fills count="8">
    <fill>
      <patternFill patternType="none"/>
    </fill>
    <fill>
      <patternFill patternType="gray125"/>
    </fill>
    <fill>
      <patternFill patternType="solid">
        <fgColor rgb="FF046A38"/>
        <bgColor indexed="64"/>
      </patternFill>
    </fill>
    <fill>
      <patternFill patternType="solid">
        <fgColor rgb="FFFBDD40"/>
        <bgColor indexed="64"/>
      </patternFill>
    </fill>
    <fill>
      <patternFill patternType="solid">
        <fgColor rgb="FFE6F0EB"/>
        <bgColor indexed="64"/>
      </patternFill>
    </fill>
    <fill>
      <patternFill patternType="solid">
        <fgColor rgb="FF2C3136"/>
        <bgColor indexed="64"/>
      </patternFill>
    </fill>
    <fill>
      <patternFill patternType="solid">
        <fgColor rgb="FFA7CBB9"/>
        <bgColor indexed="64"/>
      </patternFill>
    </fill>
    <fill>
      <patternFill patternType="solid">
        <fgColor rgb="FFFFFFFF"/>
        <bgColor indexed="64"/>
      </patternFill>
    </fill>
  </fills>
  <borders count="36">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s>
  <cellStyleXfs count="1">
    <xf numFmtId="0" fontId="0" fillId="0" borderId="0"/>
  </cellStyleXfs>
  <cellXfs count="166">
    <xf numFmtId="0" fontId="0" fillId="0" borderId="0" xfId="0"/>
    <xf numFmtId="0" fontId="2" fillId="2" borderId="1" xfId="0" applyFont="1" applyFill="1" applyBorder="1"/>
    <xf numFmtId="0" fontId="2" fillId="2" borderId="3" xfId="0" applyFont="1" applyFill="1" applyBorder="1"/>
    <xf numFmtId="0" fontId="2" fillId="2" borderId="4" xfId="0" applyFont="1" applyFill="1" applyBorder="1"/>
    <xf numFmtId="0" fontId="2" fillId="2" borderId="5" xfId="0" applyFont="1" applyFill="1" applyBorder="1"/>
    <xf numFmtId="0" fontId="2" fillId="3" borderId="1" xfId="0" applyFont="1" applyFill="1" applyBorder="1"/>
    <xf numFmtId="0" fontId="2" fillId="3" borderId="3" xfId="0" applyFont="1" applyFill="1" applyBorder="1"/>
    <xf numFmtId="0" fontId="2" fillId="4" borderId="4" xfId="0" applyFont="1" applyFill="1" applyBorder="1"/>
    <xf numFmtId="0" fontId="2" fillId="4" borderId="5" xfId="0" applyFont="1" applyFill="1" applyBorder="1"/>
    <xf numFmtId="0" fontId="2" fillId="4" borderId="4" xfId="0" applyFont="1" applyFill="1" applyBorder="1" applyAlignment="1">
      <alignment horizontal="center"/>
    </xf>
    <xf numFmtId="0" fontId="2" fillId="4" borderId="7" xfId="0" applyFont="1" applyFill="1" applyBorder="1"/>
    <xf numFmtId="164" fontId="6" fillId="4" borderId="6" xfId="0" applyNumberFormat="1" applyFont="1" applyFill="1" applyBorder="1" applyAlignment="1">
      <alignment horizontal="left" vertical="top"/>
    </xf>
    <xf numFmtId="0" fontId="2" fillId="4" borderId="6" xfId="0" applyFont="1" applyFill="1" applyBorder="1"/>
    <xf numFmtId="165" fontId="6" fillId="4" borderId="6" xfId="0" applyNumberFormat="1" applyFont="1" applyFill="1" applyBorder="1" applyAlignment="1">
      <alignment horizontal="right" vertical="top"/>
    </xf>
    <xf numFmtId="0" fontId="2" fillId="4" borderId="8" xfId="0" applyFont="1" applyFill="1" applyBorder="1"/>
    <xf numFmtId="0" fontId="2" fillId="2" borderId="12" xfId="0" applyFont="1" applyFill="1" applyBorder="1"/>
    <xf numFmtId="0" fontId="2" fillId="2" borderId="14" xfId="0" applyFont="1" applyFill="1" applyBorder="1"/>
    <xf numFmtId="49" fontId="2" fillId="7" borderId="15" xfId="0" applyNumberFormat="1" applyFont="1" applyFill="1" applyBorder="1" applyAlignment="1" applyProtection="1">
      <alignment horizontal="left" vertical="top" wrapText="1"/>
      <protection locked="0"/>
    </xf>
    <xf numFmtId="166" fontId="2" fillId="7" borderId="15" xfId="0" applyNumberFormat="1" applyFont="1" applyFill="1" applyBorder="1" applyAlignment="1" applyProtection="1">
      <alignment horizontal="left" vertical="top" wrapText="1"/>
      <protection locked="0"/>
    </xf>
    <xf numFmtId="49" fontId="2" fillId="6" borderId="15" xfId="0" applyNumberFormat="1" applyFont="1" applyFill="1" applyBorder="1" applyAlignment="1">
      <alignment horizontal="left" vertical="top" wrapText="1"/>
    </xf>
    <xf numFmtId="0" fontId="10" fillId="0" borderId="0" xfId="0" applyFont="1" applyAlignment="1">
      <alignment horizontal="left" vertical="top"/>
    </xf>
    <xf numFmtId="0" fontId="0" fillId="0" borderId="0" xfId="0" applyAlignment="1">
      <alignment horizontal="left" vertical="top"/>
    </xf>
    <xf numFmtId="0" fontId="1" fillId="5" borderId="9" xfId="0" applyFont="1" applyFill="1" applyBorder="1" applyAlignment="1">
      <alignment horizontal="left" vertical="top"/>
    </xf>
    <xf numFmtId="0" fontId="1" fillId="5" borderId="10" xfId="0" applyFont="1" applyFill="1" applyBorder="1" applyAlignment="1">
      <alignment horizontal="left" vertical="top"/>
    </xf>
    <xf numFmtId="0" fontId="1" fillId="5" borderId="11" xfId="0" applyFont="1" applyFill="1" applyBorder="1" applyAlignment="1">
      <alignment horizontal="left" vertical="top"/>
    </xf>
    <xf numFmtId="0" fontId="0" fillId="0" borderId="17" xfId="0" applyBorder="1" applyAlignment="1">
      <alignment horizontal="left" vertical="top"/>
    </xf>
    <xf numFmtId="0" fontId="0" fillId="0" borderId="18" xfId="0" applyBorder="1" applyAlignment="1">
      <alignment horizontal="left" vertical="top"/>
    </xf>
    <xf numFmtId="0" fontId="0" fillId="0" borderId="19" xfId="0" applyBorder="1" applyAlignment="1">
      <alignment horizontal="left" vertical="top"/>
    </xf>
    <xf numFmtId="0" fontId="0" fillId="0" borderId="20" xfId="0" applyBorder="1" applyAlignment="1">
      <alignment horizontal="left" vertical="top"/>
    </xf>
    <xf numFmtId="0" fontId="0" fillId="0" borderId="21" xfId="0" applyBorder="1" applyAlignment="1">
      <alignment horizontal="left" vertical="top"/>
    </xf>
    <xf numFmtId="0" fontId="0" fillId="0" borderId="24" xfId="0" applyBorder="1" applyAlignment="1">
      <alignment horizontal="left" vertical="top"/>
    </xf>
    <xf numFmtId="169" fontId="0" fillId="0" borderId="25" xfId="0" applyNumberFormat="1" applyBorder="1" applyAlignment="1">
      <alignment horizontal="left" vertical="top"/>
    </xf>
    <xf numFmtId="0" fontId="0" fillId="0" borderId="26" xfId="0" applyBorder="1" applyAlignment="1">
      <alignment horizontal="left" vertical="top"/>
    </xf>
    <xf numFmtId="170" fontId="0" fillId="0" borderId="25" xfId="0" applyNumberFormat="1" applyBorder="1" applyAlignment="1">
      <alignment horizontal="left" vertical="top"/>
    </xf>
    <xf numFmtId="0" fontId="0" fillId="0" borderId="25" xfId="0" applyBorder="1" applyAlignment="1">
      <alignment horizontal="left" vertical="top"/>
    </xf>
    <xf numFmtId="0" fontId="0" fillId="0" borderId="22" xfId="0" applyBorder="1" applyAlignment="1">
      <alignment horizontal="left" vertical="top"/>
    </xf>
    <xf numFmtId="0" fontId="0" fillId="0" borderId="16" xfId="0" applyBorder="1" applyAlignment="1">
      <alignment horizontal="left" vertical="top"/>
    </xf>
    <xf numFmtId="0" fontId="0" fillId="0" borderId="23" xfId="0" applyBorder="1" applyAlignment="1">
      <alignment horizontal="left" vertical="top"/>
    </xf>
    <xf numFmtId="0" fontId="0" fillId="0" borderId="27" xfId="0" applyBorder="1" applyAlignment="1">
      <alignment horizontal="left" vertical="top"/>
    </xf>
    <xf numFmtId="2" fontId="0" fillId="0" borderId="29" xfId="0" applyNumberFormat="1" applyBorder="1" applyAlignment="1">
      <alignment horizontal="left" vertical="top"/>
    </xf>
    <xf numFmtId="2" fontId="0" fillId="0" borderId="21" xfId="0" applyNumberFormat="1" applyBorder="1" applyAlignment="1">
      <alignment horizontal="left" vertical="top"/>
    </xf>
    <xf numFmtId="2" fontId="0" fillId="0" borderId="26" xfId="0" applyNumberFormat="1" applyBorder="1" applyAlignment="1">
      <alignment horizontal="left" vertical="top"/>
    </xf>
    <xf numFmtId="171" fontId="0" fillId="0" borderId="29" xfId="0" applyNumberFormat="1" applyBorder="1" applyAlignment="1">
      <alignment horizontal="left" vertical="top"/>
    </xf>
    <xf numFmtId="171" fontId="0" fillId="0" borderId="21" xfId="0" applyNumberFormat="1" applyBorder="1" applyAlignment="1">
      <alignment horizontal="left" vertical="top"/>
    </xf>
    <xf numFmtId="0" fontId="0" fillId="0" borderId="21" xfId="0" applyBorder="1" applyAlignment="1">
      <alignment horizontal="left"/>
    </xf>
    <xf numFmtId="0" fontId="0" fillId="0" borderId="23" xfId="0" applyBorder="1" applyAlignment="1">
      <alignment horizontal="left"/>
    </xf>
    <xf numFmtId="0" fontId="0" fillId="0" borderId="0" xfId="0" applyAlignment="1">
      <alignment horizontal="left"/>
    </xf>
    <xf numFmtId="0" fontId="0" fillId="0" borderId="19" xfId="0" applyBorder="1" applyAlignment="1">
      <alignment horizontal="left" vertical="top" wrapText="1"/>
    </xf>
    <xf numFmtId="0" fontId="0" fillId="0" borderId="21" xfId="0" applyBorder="1" applyAlignment="1">
      <alignment horizontal="left" vertical="top" wrapText="1"/>
    </xf>
    <xf numFmtId="0" fontId="0" fillId="0" borderId="26" xfId="0" applyBorder="1" applyAlignment="1">
      <alignment horizontal="left" vertical="top" wrapText="1"/>
    </xf>
    <xf numFmtId="1" fontId="2" fillId="6" borderId="15" xfId="0" applyNumberFormat="1" applyFont="1" applyFill="1" applyBorder="1" applyAlignment="1">
      <alignment horizontal="left" vertical="top" wrapText="1"/>
    </xf>
    <xf numFmtId="49" fontId="0" fillId="0" borderId="0" xfId="0" applyNumberFormat="1" applyAlignment="1">
      <alignment horizontal="left"/>
    </xf>
    <xf numFmtId="0" fontId="0" fillId="0" borderId="17" xfId="0" applyBorder="1" applyAlignment="1">
      <alignment horizontal="left"/>
    </xf>
    <xf numFmtId="0" fontId="0" fillId="0" borderId="18" xfId="0" applyBorder="1" applyAlignment="1">
      <alignment horizontal="left"/>
    </xf>
    <xf numFmtId="49" fontId="0" fillId="0" borderId="18" xfId="0" applyNumberFormat="1" applyBorder="1" applyAlignment="1">
      <alignment horizontal="left"/>
    </xf>
    <xf numFmtId="0" fontId="0" fillId="0" borderId="20" xfId="0" applyBorder="1" applyAlignment="1">
      <alignment horizontal="left"/>
    </xf>
    <xf numFmtId="0" fontId="0" fillId="0" borderId="24" xfId="0" applyBorder="1" applyAlignment="1">
      <alignment horizontal="left"/>
    </xf>
    <xf numFmtId="0" fontId="0" fillId="0" borderId="25" xfId="0" applyBorder="1" applyAlignment="1">
      <alignment horizontal="left"/>
    </xf>
    <xf numFmtId="49" fontId="0" fillId="0" borderId="25" xfId="0" applyNumberFormat="1" applyBorder="1" applyAlignment="1">
      <alignment horizontal="left"/>
    </xf>
    <xf numFmtId="1" fontId="0" fillId="0" borderId="0" xfId="0" applyNumberFormat="1" applyAlignment="1">
      <alignment horizontal="left"/>
    </xf>
    <xf numFmtId="1" fontId="0" fillId="0" borderId="25" xfId="0" applyNumberFormat="1" applyBorder="1" applyAlignment="1">
      <alignment horizontal="left"/>
    </xf>
    <xf numFmtId="168" fontId="0" fillId="0" borderId="25" xfId="0" applyNumberFormat="1" applyBorder="1" applyAlignment="1">
      <alignment horizontal="left"/>
    </xf>
    <xf numFmtId="168" fontId="0" fillId="0" borderId="0" xfId="0" applyNumberFormat="1" applyAlignment="1">
      <alignment horizontal="left"/>
    </xf>
    <xf numFmtId="166" fontId="0" fillId="0" borderId="25" xfId="0" applyNumberFormat="1" applyBorder="1" applyAlignment="1">
      <alignment horizontal="left"/>
    </xf>
    <xf numFmtId="0" fontId="0" fillId="0" borderId="26" xfId="0" applyBorder="1" applyAlignment="1">
      <alignment horizontal="left"/>
    </xf>
    <xf numFmtId="0" fontId="0" fillId="0" borderId="28" xfId="0" applyBorder="1" applyAlignment="1">
      <alignment horizontal="left"/>
    </xf>
    <xf numFmtId="0" fontId="0" fillId="0" borderId="29" xfId="0" applyBorder="1" applyAlignment="1">
      <alignment horizontal="left"/>
    </xf>
    <xf numFmtId="0" fontId="0" fillId="0" borderId="16" xfId="0" applyBorder="1" applyAlignment="1">
      <alignment horizontal="left"/>
    </xf>
    <xf numFmtId="49" fontId="0" fillId="0" borderId="18" xfId="0" quotePrefix="1" applyNumberFormat="1" applyBorder="1" applyAlignment="1">
      <alignment horizontal="left" wrapText="1"/>
    </xf>
    <xf numFmtId="49" fontId="0" fillId="0" borderId="0" xfId="0" quotePrefix="1" applyNumberFormat="1" applyAlignment="1">
      <alignment horizontal="left" wrapText="1"/>
    </xf>
    <xf numFmtId="49" fontId="0" fillId="0" borderId="25" xfId="0" applyNumberFormat="1" applyBorder="1" applyAlignment="1">
      <alignment horizontal="left" wrapText="1"/>
    </xf>
    <xf numFmtId="49" fontId="0" fillId="0" borderId="25" xfId="0" quotePrefix="1" applyNumberFormat="1" applyBorder="1" applyAlignment="1">
      <alignment horizontal="left" wrapText="1"/>
    </xf>
    <xf numFmtId="49" fontId="0" fillId="0" borderId="0" xfId="0" applyNumberFormat="1" applyAlignment="1">
      <alignment horizontal="left" wrapText="1"/>
    </xf>
    <xf numFmtId="49" fontId="0" fillId="0" borderId="28" xfId="0" quotePrefix="1" applyNumberFormat="1" applyBorder="1" applyAlignment="1">
      <alignment horizontal="left" wrapText="1"/>
    </xf>
    <xf numFmtId="49" fontId="0" fillId="0" borderId="16" xfId="0" quotePrefix="1" applyNumberFormat="1" applyBorder="1" applyAlignment="1">
      <alignment horizontal="left" wrapText="1"/>
    </xf>
    <xf numFmtId="0" fontId="0" fillId="0" borderId="17" xfId="0" applyBorder="1" applyAlignment="1">
      <alignment horizontal="left" vertical="top" wrapText="1"/>
    </xf>
    <xf numFmtId="0" fontId="0" fillId="0" borderId="20" xfId="0" applyBorder="1" applyAlignment="1">
      <alignment horizontal="left" vertical="top" wrapText="1"/>
    </xf>
    <xf numFmtId="0" fontId="0" fillId="0" borderId="24" xfId="0" applyBorder="1" applyAlignment="1">
      <alignment horizontal="left" vertical="top" wrapText="1"/>
    </xf>
    <xf numFmtId="0" fontId="0" fillId="0" borderId="22" xfId="0" applyBorder="1" applyAlignment="1">
      <alignment horizontal="left" vertical="top" wrapText="1"/>
    </xf>
    <xf numFmtId="0" fontId="1" fillId="5" borderId="0" xfId="0" applyFont="1" applyFill="1" applyAlignment="1">
      <alignment horizontal="left" vertical="top"/>
    </xf>
    <xf numFmtId="0" fontId="0" fillId="0" borderId="33" xfId="0" applyBorder="1" applyAlignment="1">
      <alignment horizontal="left"/>
    </xf>
    <xf numFmtId="0" fontId="0" fillId="0" borderId="35" xfId="0" applyBorder="1" applyAlignment="1">
      <alignment horizontal="left"/>
    </xf>
    <xf numFmtId="0" fontId="0" fillId="0" borderId="22" xfId="0" applyBorder="1" applyAlignment="1">
      <alignment horizontal="left"/>
    </xf>
    <xf numFmtId="49" fontId="0" fillId="0" borderId="19" xfId="0" applyNumberFormat="1" applyBorder="1" applyAlignment="1">
      <alignment horizontal="left"/>
    </xf>
    <xf numFmtId="49" fontId="0" fillId="0" borderId="21" xfId="0" applyNumberFormat="1" applyBorder="1" applyAlignment="1">
      <alignment horizontal="left"/>
    </xf>
    <xf numFmtId="49" fontId="0" fillId="0" borderId="34" xfId="0" applyNumberFormat="1" applyBorder="1" applyAlignment="1">
      <alignment horizontal="left"/>
    </xf>
    <xf numFmtId="49" fontId="0" fillId="0" borderId="23" xfId="0" applyNumberFormat="1" applyBorder="1" applyAlignment="1">
      <alignment horizontal="left"/>
    </xf>
    <xf numFmtId="49" fontId="0" fillId="0" borderId="18" xfId="0" applyNumberFormat="1" applyBorder="1" applyAlignment="1">
      <alignment horizontal="left" vertical="top" wrapText="1"/>
    </xf>
    <xf numFmtId="49" fontId="0" fillId="0" borderId="0" xfId="0" applyNumberFormat="1" applyAlignment="1">
      <alignment horizontal="left" vertical="top" wrapText="1"/>
    </xf>
    <xf numFmtId="49" fontId="0" fillId="0" borderId="25" xfId="0" applyNumberFormat="1" applyBorder="1" applyAlignment="1">
      <alignment horizontal="left" vertical="top" wrapText="1"/>
    </xf>
    <xf numFmtId="49" fontId="0" fillId="0" borderId="16" xfId="0" applyNumberFormat="1" applyBorder="1" applyAlignment="1">
      <alignment horizontal="left" vertical="top" wrapText="1"/>
    </xf>
    <xf numFmtId="164" fontId="0" fillId="0" borderId="0" xfId="0" applyNumberFormat="1" applyAlignment="1">
      <alignment horizontal="left" vertical="top"/>
    </xf>
    <xf numFmtId="164" fontId="0" fillId="0" borderId="21" xfId="0" applyNumberFormat="1" applyBorder="1" applyAlignment="1">
      <alignment horizontal="left" vertical="top"/>
    </xf>
    <xf numFmtId="169" fontId="0" fillId="0" borderId="26" xfId="0" applyNumberFormat="1" applyBorder="1" applyAlignment="1">
      <alignment horizontal="left" vertical="top"/>
    </xf>
    <xf numFmtId="170" fontId="0" fillId="0" borderId="26" xfId="0" applyNumberFormat="1" applyBorder="1" applyAlignment="1">
      <alignment horizontal="left" vertical="top"/>
    </xf>
    <xf numFmtId="171" fontId="0" fillId="0" borderId="26" xfId="0" applyNumberFormat="1" applyBorder="1" applyAlignment="1">
      <alignment horizontal="left" vertical="top"/>
    </xf>
    <xf numFmtId="0" fontId="3" fillId="2" borderId="2" xfId="0" applyFont="1" applyFill="1" applyBorder="1" applyAlignment="1">
      <alignment horizontal="center" vertical="top" wrapText="1"/>
    </xf>
    <xf numFmtId="0" fontId="4" fillId="3" borderId="2" xfId="0" applyFont="1" applyFill="1" applyBorder="1" applyAlignment="1">
      <alignment horizontal="center" vertical="top"/>
    </xf>
    <xf numFmtId="0" fontId="2" fillId="4" borderId="6" xfId="0" applyFont="1" applyFill="1" applyBorder="1" applyAlignment="1">
      <alignment horizontal="left" vertical="top" wrapText="1"/>
    </xf>
    <xf numFmtId="1" fontId="2" fillId="6" borderId="12" xfId="0" applyNumberFormat="1" applyFont="1" applyFill="1" applyBorder="1" applyAlignment="1">
      <alignment horizontal="left" vertical="top" wrapText="1"/>
    </xf>
    <xf numFmtId="1" fontId="2" fillId="6" borderId="13" xfId="0" applyNumberFormat="1" applyFont="1" applyFill="1" applyBorder="1" applyAlignment="1">
      <alignment horizontal="left" vertical="top" wrapText="1"/>
    </xf>
    <xf numFmtId="0" fontId="3" fillId="2" borderId="13" xfId="0" applyFont="1" applyFill="1" applyBorder="1" applyAlignment="1">
      <alignment horizontal="center" vertical="top" wrapText="1"/>
    </xf>
    <xf numFmtId="49" fontId="2" fillId="7" borderId="12" xfId="0" applyNumberFormat="1" applyFont="1" applyFill="1" applyBorder="1" applyAlignment="1" applyProtection="1">
      <alignment horizontal="left" vertical="top" wrapText="1"/>
      <protection locked="0"/>
    </xf>
    <xf numFmtId="49" fontId="2" fillId="7" borderId="13" xfId="0" applyNumberFormat="1" applyFont="1" applyFill="1" applyBorder="1" applyAlignment="1" applyProtection="1">
      <alignment horizontal="left" vertical="top" wrapText="1"/>
      <protection locked="0"/>
    </xf>
    <xf numFmtId="49" fontId="2" fillId="7" borderId="14" xfId="0" applyNumberFormat="1" applyFont="1" applyFill="1" applyBorder="1" applyAlignment="1" applyProtection="1">
      <alignment horizontal="left" vertical="top" wrapText="1"/>
      <protection locked="0"/>
    </xf>
    <xf numFmtId="49" fontId="5" fillId="6" borderId="12" xfId="0" applyNumberFormat="1" applyFont="1" applyFill="1" applyBorder="1" applyAlignment="1">
      <alignment horizontal="left" vertical="top" wrapText="1"/>
    </xf>
    <xf numFmtId="49" fontId="2" fillId="6" borderId="13" xfId="0" applyNumberFormat="1" applyFont="1" applyFill="1" applyBorder="1" applyAlignment="1">
      <alignment horizontal="left" vertical="top" wrapText="1"/>
    </xf>
    <xf numFmtId="164" fontId="6" fillId="4" borderId="6" xfId="0" applyNumberFormat="1" applyFont="1" applyFill="1" applyBorder="1" applyAlignment="1">
      <alignment horizontal="left" vertical="top"/>
    </xf>
    <xf numFmtId="0" fontId="11" fillId="0" borderId="0" xfId="0" applyFont="1" applyAlignment="1">
      <alignment horizontal="center" vertical="top" wrapText="1"/>
    </xf>
    <xf numFmtId="1" fontId="2" fillId="6" borderId="14" xfId="0" applyNumberFormat="1" applyFont="1" applyFill="1" applyBorder="1" applyAlignment="1">
      <alignment horizontal="left" vertical="top" wrapText="1"/>
    </xf>
    <xf numFmtId="49" fontId="2" fillId="6" borderId="12" xfId="0" applyNumberFormat="1" applyFont="1" applyFill="1" applyBorder="1" applyAlignment="1">
      <alignment horizontal="left" vertical="top" wrapText="1"/>
    </xf>
    <xf numFmtId="49" fontId="2" fillId="6" borderId="14" xfId="0" applyNumberFormat="1" applyFont="1" applyFill="1" applyBorder="1" applyAlignment="1">
      <alignment horizontal="left" vertical="top" wrapText="1"/>
    </xf>
    <xf numFmtId="0" fontId="2" fillId="4" borderId="16" xfId="0" applyFont="1" applyFill="1" applyBorder="1"/>
    <xf numFmtId="0" fontId="0" fillId="0" borderId="18" xfId="0" applyNumberFormat="1" applyBorder="1" applyAlignment="1">
      <alignment horizontal="left"/>
    </xf>
    <xf numFmtId="0" fontId="0" fillId="0" borderId="0" xfId="0" applyNumberFormat="1" applyAlignment="1">
      <alignment horizontal="left"/>
    </xf>
    <xf numFmtId="0" fontId="0" fillId="0" borderId="25" xfId="0" applyNumberFormat="1" applyBorder="1" applyAlignment="1">
      <alignment horizontal="left"/>
    </xf>
    <xf numFmtId="0" fontId="0" fillId="0" borderId="0" xfId="0" applyNumberFormat="1" applyAlignment="1" applyProtection="1">
      <alignment horizontal="left"/>
      <protection locked="0"/>
    </xf>
    <xf numFmtId="0" fontId="0" fillId="0" borderId="25" xfId="0" applyNumberFormat="1" applyBorder="1" applyAlignment="1" applyProtection="1">
      <alignment horizontal="left"/>
      <protection locked="0"/>
    </xf>
    <xf numFmtId="0" fontId="0" fillId="0" borderId="28" xfId="0" applyNumberFormat="1" applyBorder="1" applyAlignment="1">
      <alignment horizontal="left"/>
    </xf>
    <xf numFmtId="0" fontId="0" fillId="0" borderId="28" xfId="0" applyNumberFormat="1" applyBorder="1" applyAlignment="1" applyProtection="1">
      <alignment horizontal="left"/>
      <protection locked="0"/>
    </xf>
    <xf numFmtId="0" fontId="0" fillId="0" borderId="16" xfId="0" applyNumberFormat="1" applyBorder="1" applyAlignment="1">
      <alignment horizontal="left"/>
    </xf>
    <xf numFmtId="0" fontId="0" fillId="0" borderId="16" xfId="0" applyNumberFormat="1" applyBorder="1" applyAlignment="1" applyProtection="1">
      <alignment horizontal="left"/>
      <protection locked="0"/>
    </xf>
    <xf numFmtId="0" fontId="0" fillId="0" borderId="0" xfId="0" applyFont="1"/>
    <xf numFmtId="0" fontId="2" fillId="4" borderId="0" xfId="0" applyFont="1" applyFill="1" applyBorder="1"/>
    <xf numFmtId="0" fontId="2" fillId="4" borderId="0" xfId="0" applyFont="1" applyFill="1" applyBorder="1" applyAlignment="1">
      <alignment horizontal="left" vertical="top" wrapText="1"/>
    </xf>
    <xf numFmtId="0" fontId="5" fillId="4" borderId="0" xfId="0" applyFont="1" applyFill="1" applyBorder="1" applyAlignment="1">
      <alignment horizontal="left" vertical="top" wrapText="1"/>
    </xf>
    <xf numFmtId="0" fontId="15" fillId="4" borderId="0" xfId="0" applyFont="1" applyFill="1" applyBorder="1" applyAlignment="1">
      <alignment horizontal="left" vertical="top" wrapText="1"/>
    </xf>
    <xf numFmtId="167" fontId="6" fillId="4" borderId="0" xfId="0" applyNumberFormat="1" applyFont="1" applyFill="1" applyBorder="1" applyAlignment="1">
      <alignment horizontal="left"/>
    </xf>
    <xf numFmtId="0" fontId="2" fillId="6" borderId="15" xfId="0" applyNumberFormat="1" applyFont="1" applyFill="1" applyBorder="1" applyAlignment="1" applyProtection="1">
      <alignment horizontal="left" vertical="top" wrapText="1"/>
    </xf>
    <xf numFmtId="0" fontId="5" fillId="6" borderId="15" xfId="0" applyNumberFormat="1" applyFont="1" applyFill="1" applyBorder="1" applyAlignment="1" applyProtection="1">
      <alignment horizontal="left" vertical="top" wrapText="1"/>
    </xf>
    <xf numFmtId="0" fontId="5" fillId="6" borderId="12" xfId="0" applyNumberFormat="1" applyFont="1" applyFill="1" applyBorder="1" applyAlignment="1" applyProtection="1">
      <alignment horizontal="left" vertical="top" wrapText="1"/>
    </xf>
    <xf numFmtId="0" fontId="2" fillId="6" borderId="12" xfId="0" applyNumberFormat="1" applyFont="1" applyFill="1" applyBorder="1" applyAlignment="1" applyProtection="1">
      <alignment horizontal="left" vertical="top" wrapText="1"/>
    </xf>
    <xf numFmtId="168" fontId="2" fillId="6" borderId="15" xfId="0" applyNumberFormat="1" applyFont="1" applyFill="1" applyBorder="1" applyAlignment="1" applyProtection="1">
      <alignment horizontal="right" vertical="top" wrapText="1"/>
    </xf>
    <xf numFmtId="0" fontId="5" fillId="6" borderId="15" xfId="0" applyNumberFormat="1" applyFont="1" applyFill="1" applyBorder="1" applyAlignment="1" applyProtection="1">
      <alignment horizontal="right" vertical="top" wrapText="1"/>
    </xf>
    <xf numFmtId="0" fontId="5" fillId="6" borderId="12" xfId="0" applyNumberFormat="1" applyFont="1" applyFill="1" applyBorder="1" applyAlignment="1" applyProtection="1">
      <alignment horizontal="right" vertical="top" wrapText="1"/>
    </xf>
    <xf numFmtId="168" fontId="2" fillId="6" borderId="12" xfId="0" applyNumberFormat="1" applyFont="1" applyFill="1" applyBorder="1" applyAlignment="1" applyProtection="1">
      <alignment horizontal="right" vertical="top" wrapText="1"/>
    </xf>
    <xf numFmtId="0" fontId="16" fillId="4" borderId="0" xfId="0" applyFont="1" applyFill="1" applyBorder="1" applyAlignment="1"/>
    <xf numFmtId="0" fontId="2" fillId="6" borderId="15" xfId="0" applyNumberFormat="1" applyFont="1" applyFill="1" applyBorder="1" applyAlignment="1" applyProtection="1">
      <alignment horizontal="left" wrapText="1"/>
    </xf>
    <xf numFmtId="167" fontId="6" fillId="4" borderId="0" xfId="0" applyNumberFormat="1" applyFont="1" applyFill="1" applyBorder="1" applyAlignment="1">
      <alignment horizontal="left"/>
    </xf>
    <xf numFmtId="0" fontId="5" fillId="6" borderId="12" xfId="0" applyNumberFormat="1" applyFont="1" applyFill="1" applyBorder="1" applyAlignment="1" applyProtection="1">
      <alignment horizontal="center" vertical="top" wrapText="1"/>
    </xf>
    <xf numFmtId="49" fontId="2" fillId="6" borderId="12" xfId="0" applyNumberFormat="1" applyFont="1" applyFill="1" applyBorder="1" applyAlignment="1" applyProtection="1">
      <alignment horizontal="center" vertical="top" wrapText="1"/>
    </xf>
    <xf numFmtId="49" fontId="2" fillId="6" borderId="15" xfId="0" applyNumberFormat="1" applyFont="1" applyFill="1" applyBorder="1" applyAlignment="1" applyProtection="1">
      <alignment horizontal="left" vertical="top" wrapText="1"/>
    </xf>
    <xf numFmtId="49" fontId="2" fillId="6" borderId="12" xfId="0" applyNumberFormat="1" applyFont="1" applyFill="1" applyBorder="1" applyAlignment="1" applyProtection="1">
      <alignment horizontal="left" vertical="top" wrapText="1"/>
    </xf>
    <xf numFmtId="1" fontId="2" fillId="6" borderId="15" xfId="0" applyNumberFormat="1" applyFont="1" applyFill="1" applyBorder="1" applyAlignment="1" applyProtection="1">
      <alignment horizontal="right" vertical="top" wrapText="1"/>
    </xf>
    <xf numFmtId="0" fontId="2" fillId="4" borderId="0" xfId="0" applyFont="1" applyFill="1" applyBorder="1" applyAlignment="1">
      <alignment horizontal="left" wrapText="1"/>
    </xf>
    <xf numFmtId="0" fontId="2" fillId="6" borderId="12" xfId="0" applyNumberFormat="1" applyFont="1" applyFill="1" applyBorder="1" applyAlignment="1">
      <alignment horizontal="left" vertical="top" wrapText="1"/>
    </xf>
    <xf numFmtId="0" fontId="2" fillId="6" borderId="13" xfId="0" applyNumberFormat="1" applyFont="1" applyFill="1" applyBorder="1" applyAlignment="1">
      <alignment horizontal="left" vertical="top" wrapText="1"/>
    </xf>
    <xf numFmtId="0" fontId="2" fillId="6" borderId="14" xfId="0" applyNumberFormat="1" applyFont="1" applyFill="1" applyBorder="1" applyAlignment="1">
      <alignment horizontal="left" vertical="top" wrapText="1"/>
    </xf>
    <xf numFmtId="0" fontId="2" fillId="6" borderId="12" xfId="0" applyNumberFormat="1" applyFont="1" applyFill="1" applyBorder="1" applyAlignment="1" applyProtection="1">
      <alignment horizontal="center" vertical="top" wrapText="1"/>
    </xf>
    <xf numFmtId="0" fontId="5" fillId="6" borderId="7" xfId="0" applyNumberFormat="1" applyFont="1" applyFill="1" applyBorder="1" applyAlignment="1" applyProtection="1">
      <alignment horizontal="right" vertical="top" wrapText="1"/>
    </xf>
    <xf numFmtId="0" fontId="5" fillId="6" borderId="30" xfId="0" applyNumberFormat="1" applyFont="1" applyFill="1" applyBorder="1" applyAlignment="1" applyProtection="1">
      <alignment horizontal="center" vertical="top" wrapText="1"/>
    </xf>
    <xf numFmtId="0" fontId="5" fillId="6" borderId="31" xfId="0" applyNumberFormat="1" applyFont="1" applyFill="1" applyBorder="1" applyAlignment="1" applyProtection="1">
      <alignment horizontal="center" vertical="top" wrapText="1"/>
    </xf>
    <xf numFmtId="0" fontId="5" fillId="6" borderId="32" xfId="0" applyNumberFormat="1" applyFont="1" applyFill="1" applyBorder="1" applyAlignment="1" applyProtection="1">
      <alignment horizontal="center" vertical="top" wrapText="1"/>
    </xf>
    <xf numFmtId="0" fontId="5" fillId="6" borderId="30" xfId="0" applyNumberFormat="1" applyFont="1" applyFill="1" applyBorder="1" applyAlignment="1" applyProtection="1">
      <alignment horizontal="right" vertical="top" wrapText="1"/>
    </xf>
    <xf numFmtId="0" fontId="5" fillId="6" borderId="31" xfId="0" applyNumberFormat="1" applyFont="1" applyFill="1" applyBorder="1" applyAlignment="1" applyProtection="1">
      <alignment horizontal="right" vertical="top" wrapText="1"/>
    </xf>
    <xf numFmtId="0" fontId="5" fillId="6" borderId="7" xfId="0" applyNumberFormat="1" applyFont="1" applyFill="1" applyBorder="1" applyAlignment="1" applyProtection="1">
      <alignment horizontal="right" vertical="center" wrapText="1"/>
    </xf>
    <xf numFmtId="0" fontId="5" fillId="6" borderId="7" xfId="0" applyNumberFormat="1" applyFont="1" applyFill="1" applyBorder="1" applyAlignment="1" applyProtection="1">
      <alignment horizontal="right" wrapText="1"/>
    </xf>
    <xf numFmtId="0" fontId="5" fillId="6" borderId="32" xfId="0" applyNumberFormat="1" applyFont="1" applyFill="1" applyBorder="1" applyAlignment="1" applyProtection="1">
      <alignment horizontal="right" wrapText="1"/>
    </xf>
    <xf numFmtId="0" fontId="3" fillId="2" borderId="0" xfId="0" applyFont="1" applyFill="1" applyBorder="1" applyAlignment="1">
      <alignment horizontal="center" vertical="top" wrapText="1"/>
    </xf>
    <xf numFmtId="0" fontId="2" fillId="6" borderId="15" xfId="0" applyNumberFormat="1" applyFont="1" applyFill="1" applyBorder="1" applyAlignment="1">
      <alignment horizontal="left" vertical="top" wrapText="1"/>
    </xf>
    <xf numFmtId="0" fontId="5" fillId="6" borderId="12" xfId="0" applyNumberFormat="1" applyFont="1" applyFill="1" applyBorder="1" applyAlignment="1" applyProtection="1">
      <alignment horizontal="left" vertical="top" wrapText="1"/>
    </xf>
    <xf numFmtId="0" fontId="5" fillId="6" borderId="14" xfId="0" applyNumberFormat="1" applyFont="1" applyFill="1" applyBorder="1" applyAlignment="1" applyProtection="1">
      <alignment horizontal="left" vertical="top" wrapText="1"/>
    </xf>
    <xf numFmtId="0" fontId="2" fillId="6" borderId="12" xfId="0" applyNumberFormat="1" applyFont="1" applyFill="1" applyBorder="1" applyAlignment="1" applyProtection="1">
      <alignment horizontal="left" vertical="top" wrapText="1"/>
    </xf>
    <xf numFmtId="0" fontId="2" fillId="6" borderId="14" xfId="0" applyNumberFormat="1" applyFont="1" applyFill="1" applyBorder="1" applyAlignment="1" applyProtection="1">
      <alignment horizontal="left" vertical="top" wrapText="1"/>
    </xf>
    <xf numFmtId="0" fontId="2" fillId="6" borderId="12" xfId="0" applyNumberFormat="1" applyFont="1" applyFill="1" applyBorder="1" applyAlignment="1" applyProtection="1">
      <alignment horizontal="center" wrapText="1"/>
    </xf>
    <xf numFmtId="0" fontId="15" fillId="4" borderId="0" xfId="0" applyFont="1" applyFill="1" applyBorder="1"/>
  </cellXfs>
  <cellStyles count="1">
    <cellStyle name="Normal" xfId="0" builtinId="0"/>
  </cellStyles>
  <dxfs count="24">
    <dxf>
      <font>
        <b/>
        <i val="0"/>
        <color rgb="FF00B050"/>
      </font>
    </dxf>
    <dxf>
      <font>
        <b/>
        <i val="0"/>
        <color rgb="FF00B050"/>
      </font>
    </dxf>
    <dxf>
      <font>
        <b/>
        <i val="0"/>
        <color rgb="FF00B050"/>
      </font>
    </dxf>
    <dxf>
      <font>
        <b/>
        <i val="0"/>
        <color rgb="FF00B050"/>
      </font>
    </dxf>
    <dxf>
      <font>
        <b/>
        <i val="0"/>
        <color rgb="FF00B050"/>
      </font>
    </dxf>
    <dxf>
      <font>
        <b/>
        <i val="0"/>
        <color rgb="FF00B050"/>
      </font>
    </dxf>
    <dxf>
      <font>
        <b/>
        <i val="0"/>
        <color rgb="FF00B050"/>
      </font>
    </dxf>
    <dxf>
      <font>
        <b/>
        <i val="0"/>
        <color rgb="FF00B050"/>
      </font>
    </dxf>
    <dxf>
      <font>
        <b/>
        <i val="0"/>
        <color rgb="FF00B050"/>
      </font>
    </dxf>
    <dxf>
      <font>
        <b/>
        <i val="0"/>
        <color rgb="FF00B050"/>
      </font>
    </dxf>
    <dxf>
      <font>
        <b/>
        <i val="0"/>
        <color rgb="FF00B050"/>
      </font>
    </dxf>
    <dxf>
      <font>
        <b/>
        <i val="0"/>
        <color rgb="FF00B050"/>
      </font>
    </dxf>
    <dxf>
      <font>
        <b/>
        <i val="0"/>
        <color rgb="FF00B050"/>
      </font>
    </dxf>
    <dxf>
      <font>
        <b/>
        <i val="0"/>
        <color rgb="FF00B050"/>
      </font>
    </dxf>
    <dxf>
      <font>
        <b/>
        <i val="0"/>
        <color rgb="FF00B050"/>
      </font>
    </dxf>
    <dxf>
      <font>
        <b/>
        <i val="0"/>
        <color rgb="FF00B050"/>
      </font>
    </dxf>
    <dxf>
      <font>
        <b/>
        <i val="0"/>
        <color rgb="FF00B050"/>
      </font>
    </dxf>
    <dxf>
      <font>
        <b/>
        <i val="0"/>
        <color rgb="FF00B050"/>
      </font>
    </dxf>
    <dxf>
      <font>
        <b/>
        <i val="0"/>
        <color rgb="FF00B050"/>
      </font>
    </dxf>
    <dxf>
      <font>
        <b/>
        <i val="0"/>
        <color rgb="FF00B050"/>
      </font>
    </dxf>
    <dxf>
      <font>
        <b/>
        <i val="0"/>
        <color rgb="FF00B050"/>
      </font>
    </dxf>
    <dxf>
      <font>
        <b/>
        <i val="0"/>
        <color rgb="FF00B050"/>
      </font>
    </dxf>
    <dxf>
      <font>
        <b/>
        <i val="0"/>
        <color rgb="FF00B050"/>
      </font>
    </dxf>
    <dxf>
      <font>
        <b/>
        <i val="0"/>
        <color rgb="FF00B050"/>
      </font>
    </dxf>
  </dxfs>
  <tableStyles count="0" defaultTableStyle="TableStyleMedium2" defaultPivotStyle="PivotStyleLight16"/>
  <colors>
    <mruColors>
      <color rgb="FFA7CBB9"/>
      <color rgb="FFE6F0EB"/>
      <color rgb="FFFDEB8C"/>
      <color rgb="FFFBE053"/>
      <color rgb="FFFBDD40"/>
      <color rgb="FF2C313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CheckBox" fmlaLink="I.Developer.P1" lockText="1" noThreeD="1"/>
</file>

<file path=xl/ctrlProps/ctrlProp2.xml><?xml version="1.0" encoding="utf-8"?>
<formControlPr xmlns="http://schemas.microsoft.com/office/spreadsheetml/2009/9/main" objectType="CheckBox" fmlaLink="I.Developer.P2b" lockText="1" noThreeD="1"/>
</file>

<file path=xl/ctrlProps/ctrlProp3.xml><?xml version="1.0" encoding="utf-8"?>
<formControlPr xmlns="http://schemas.microsoft.com/office/spreadsheetml/2009/9/main" objectType="CheckBox" fmlaLink="I.Developer.P3" lockText="1" noThreeD="1"/>
</file>

<file path=xl/ctrlProps/ctrlProp4.xml><?xml version="1.0" encoding="utf-8"?>
<formControlPr xmlns="http://schemas.microsoft.com/office/spreadsheetml/2009/9/main" objectType="CheckBox" fmlaLink="I.Developer.P4" lockText="1" noThreeD="1"/>
</file>

<file path=xl/ctrlProps/ctrlProp5.xml><?xml version="1.0" encoding="utf-8"?>
<formControlPr xmlns="http://schemas.microsoft.com/office/spreadsheetml/2009/9/main" objectType="CheckBox" fmlaLink="I.Developer.P2a" lockText="1" noThreeD="1"/>
</file>

<file path=xl/ctrlProps/ctrlProp6.xml><?xml version="1.0" encoding="utf-8"?>
<formControlPr xmlns="http://schemas.microsoft.com/office/spreadsheetml/2009/9/main" objectType="CheckBox" fmlaLink="I.Developer.P1C1" lockText="1" noThreeD="1"/>
</file>

<file path=xl/ctrlProps/ctrlProp7.xml><?xml version="1.0" encoding="utf-8"?>
<formControlPr xmlns="http://schemas.microsoft.com/office/spreadsheetml/2009/9/main" objectType="CheckBox" fmlaLink="I.Developer.P1C2" lockText="1" noThreeD="1"/>
</file>

<file path=xl/ctrlProps/ctrlProp8.xml><?xml version="1.0" encoding="utf-8"?>
<formControlPr xmlns="http://schemas.microsoft.com/office/spreadsheetml/2009/9/main" objectType="CheckBox" fmlaLink="I.Developer.P1C3" lockText="1" noThreeD="1"/>
</file>

<file path=xl/ctrlProps/ctrlProp9.xml><?xml version="1.0" encoding="utf-8"?>
<formControlPr xmlns="http://schemas.microsoft.com/office/spreadsheetml/2009/9/main" objectType="CheckBox" fmlaLink="I.Developer.P1C4" lockText="1" noThreeD="1"/>
</file>

<file path=xl/ctrlProps/ctrlProp10.xml><?xml version="1.0" encoding="utf-8"?>
<formControlPr xmlns="http://schemas.microsoft.com/office/spreadsheetml/2009/9/main" objectType="CheckBox" fmlaLink="I.Developer.P1C1V2" lockText="1" noThreeD="1"/>
</file>

<file path=xl/ctrlProps/ctrlProp11.xml><?xml version="1.0" encoding="utf-8"?>
<formControlPr xmlns="http://schemas.microsoft.com/office/spreadsheetml/2009/9/main" objectType="CheckBox" fmlaLink="I.Developer.P1C1V3" lockText="1" noThreeD="1"/>
</file>

<file path=xl/ctrlProps/ctrlProp12.xml><?xml version="1.0" encoding="utf-8"?>
<formControlPr xmlns="http://schemas.microsoft.com/office/spreadsheetml/2009/9/main" objectType="CheckBox" fmlaLink="I.Developer.P1C1V4" lockText="1" noThreeD="1"/>
</file>

<file path=xl/ctrlProps/ctrlProp13.xml><?xml version="1.0" encoding="utf-8"?>
<formControlPr xmlns="http://schemas.microsoft.com/office/spreadsheetml/2009/9/main" objectType="CheckBox" fmlaLink="I.Developer.P1C1V5" lockText="1" noThreeD="1"/>
</file>

<file path=xl/ctrlProps/ctrlProp14.xml><?xml version="1.0" encoding="utf-8"?>
<formControlPr xmlns="http://schemas.microsoft.com/office/spreadsheetml/2009/9/main" objectType="CheckBox" fmlaLink="I.Developer.P1C1V6" lockText="1" noThreeD="1"/>
</file>

<file path=xl/ctrlProps/ctrlProp15.xml><?xml version="1.0" encoding="utf-8"?>
<formControlPr xmlns="http://schemas.microsoft.com/office/spreadsheetml/2009/9/main" objectType="CheckBox" fmlaLink="I.Developer.P2aC1" lockText="1" noThreeD="1"/>
</file>

<file path=xl/ctrlProps/ctrlProp16.xml><?xml version="1.0" encoding="utf-8"?>
<formControlPr xmlns="http://schemas.microsoft.com/office/spreadsheetml/2009/9/main" objectType="CheckBox" fmlaLink="I.Developer.P2aC2" lockText="1" noThreeD="1"/>
</file>

<file path=xl/ctrlProps/ctrlProp17.xml><?xml version="1.0" encoding="utf-8"?>
<formControlPr xmlns="http://schemas.microsoft.com/office/spreadsheetml/2009/9/main" objectType="CheckBox" fmlaLink="I.Developer.P2aC3" lockText="1" noThreeD="1"/>
</file>

<file path=xl/ctrlProps/ctrlProp18.xml><?xml version="1.0" encoding="utf-8"?>
<formControlPr xmlns="http://schemas.microsoft.com/office/spreadsheetml/2009/9/main" objectType="CheckBox" fmlaLink="I.Developer.P2aC4" lockText="1" noThreeD="1"/>
</file>

<file path=xl/ctrlProps/ctrlProp19.xml><?xml version="1.0" encoding="utf-8"?>
<formControlPr xmlns="http://schemas.microsoft.com/office/spreadsheetml/2009/9/main" objectType="CheckBox" fmlaLink="I.Developer.P2aC1V2" lockText="1" noThreeD="1"/>
</file>

<file path=xl/ctrlProps/ctrlProp20.xml><?xml version="1.0" encoding="utf-8"?>
<formControlPr xmlns="http://schemas.microsoft.com/office/spreadsheetml/2009/9/main" objectType="CheckBox" fmlaLink="I.Developer.P2aC1V3" lockText="1" noThreeD="1"/>
</file>

<file path=xl/ctrlProps/ctrlProp21.xml><?xml version="1.0" encoding="utf-8"?>
<formControlPr xmlns="http://schemas.microsoft.com/office/spreadsheetml/2009/9/main" objectType="CheckBox" fmlaLink="I.Developer.P2aC1V4" lockText="1" noThreeD="1"/>
</file>

<file path=xl/ctrlProps/ctrlProp22.xml><?xml version="1.0" encoding="utf-8"?>
<formControlPr xmlns="http://schemas.microsoft.com/office/spreadsheetml/2009/9/main" objectType="CheckBox" fmlaLink="I.Developer.P2aC1V5" lockText="1" noThreeD="1"/>
</file>

<file path=xl/ctrlProps/ctrlProp23.xml><?xml version="1.0" encoding="utf-8"?>
<formControlPr xmlns="http://schemas.microsoft.com/office/spreadsheetml/2009/9/main" objectType="CheckBox" fmlaLink="I.Developer.P2aC1V6" lockText="1" noThreeD="1"/>
</file>

<file path=xl/ctrlProps/ctrlProp24.xml><?xml version="1.0" encoding="utf-8"?>
<formControlPr xmlns="http://schemas.microsoft.com/office/spreadsheetml/2009/9/main" objectType="CheckBox" fmlaLink="I.Developer.P2bC1" lockText="1" noThreeD="1"/>
</file>

<file path=xl/ctrlProps/ctrlProp25.xml><?xml version="1.0" encoding="utf-8"?>
<formControlPr xmlns="http://schemas.microsoft.com/office/spreadsheetml/2009/9/main" objectType="CheckBox" fmlaLink="I.Developer.P2bC2" lockText="1" noThreeD="1"/>
</file>

<file path=xl/ctrlProps/ctrlProp26.xml><?xml version="1.0" encoding="utf-8"?>
<formControlPr xmlns="http://schemas.microsoft.com/office/spreadsheetml/2009/9/main" objectType="CheckBox" fmlaLink="I.Developer.P2bC3" lockText="1" noThreeD="1"/>
</file>

<file path=xl/ctrlProps/ctrlProp27.xml><?xml version="1.0" encoding="utf-8"?>
<formControlPr xmlns="http://schemas.microsoft.com/office/spreadsheetml/2009/9/main" objectType="CheckBox" fmlaLink="I.Developer.P2bC4" lockText="1" noThreeD="1"/>
</file>

<file path=xl/ctrlProps/ctrlProp28.xml><?xml version="1.0" encoding="utf-8"?>
<formControlPr xmlns="http://schemas.microsoft.com/office/spreadsheetml/2009/9/main" objectType="CheckBox" fmlaLink="I.Developer.P2bC1V2" lockText="1" noThreeD="1"/>
</file>

<file path=xl/ctrlProps/ctrlProp29.xml><?xml version="1.0" encoding="utf-8"?>
<formControlPr xmlns="http://schemas.microsoft.com/office/spreadsheetml/2009/9/main" objectType="CheckBox" fmlaLink="I.Developer.P2bC1V3" lockText="1" noThreeD="1"/>
</file>

<file path=xl/ctrlProps/ctrlProp30.xml><?xml version="1.0" encoding="utf-8"?>
<formControlPr xmlns="http://schemas.microsoft.com/office/spreadsheetml/2009/9/main" objectType="CheckBox" fmlaLink="I.Developer.P2bC1V4" lockText="1" noThreeD="1"/>
</file>

<file path=xl/ctrlProps/ctrlProp31.xml><?xml version="1.0" encoding="utf-8"?>
<formControlPr xmlns="http://schemas.microsoft.com/office/spreadsheetml/2009/9/main" objectType="CheckBox" fmlaLink="I.Developer.P2bC1V5" lockText="1" noThreeD="1"/>
</file>

<file path=xl/ctrlProps/ctrlProp32.xml><?xml version="1.0" encoding="utf-8"?>
<formControlPr xmlns="http://schemas.microsoft.com/office/spreadsheetml/2009/9/main" objectType="CheckBox" fmlaLink="I.Developer.P2bC1V6" lockText="1" noThreeD="1"/>
</file>

<file path=xl/ctrlProps/ctrlProp33.xml><?xml version="1.0" encoding="utf-8"?>
<formControlPr xmlns="http://schemas.microsoft.com/office/spreadsheetml/2009/9/main" objectType="CheckBox" fmlaLink="I.Developer.P3C1" lockText="1" noThreeD="1"/>
</file>

<file path=xl/ctrlProps/ctrlProp34.xml><?xml version="1.0" encoding="utf-8"?>
<formControlPr xmlns="http://schemas.microsoft.com/office/spreadsheetml/2009/9/main" objectType="CheckBox" fmlaLink="I.Developer.P3C2" lockText="1" noThreeD="1"/>
</file>

<file path=xl/ctrlProps/ctrlProp35.xml><?xml version="1.0" encoding="utf-8"?>
<formControlPr xmlns="http://schemas.microsoft.com/office/spreadsheetml/2009/9/main" objectType="CheckBox" fmlaLink="I.Developer.P3C3" lockText="1" noThreeD="1"/>
</file>

<file path=xl/ctrlProps/ctrlProp36.xml><?xml version="1.0" encoding="utf-8"?>
<formControlPr xmlns="http://schemas.microsoft.com/office/spreadsheetml/2009/9/main" objectType="CheckBox" fmlaLink="I.Developer.P3C4" lockText="1" noThreeD="1"/>
</file>

<file path=xl/ctrlProps/ctrlProp37.xml><?xml version="1.0" encoding="utf-8"?>
<formControlPr xmlns="http://schemas.microsoft.com/office/spreadsheetml/2009/9/main" objectType="CheckBox" fmlaLink="I.Developer.P3C1V2" lockText="1" noThreeD="1"/>
</file>

<file path=xl/ctrlProps/ctrlProp38.xml><?xml version="1.0" encoding="utf-8"?>
<formControlPr xmlns="http://schemas.microsoft.com/office/spreadsheetml/2009/9/main" objectType="CheckBox" fmlaLink="I.Developer.P3C1V3" lockText="1" noThreeD="1"/>
</file>

<file path=xl/ctrlProps/ctrlProp39.xml><?xml version="1.0" encoding="utf-8"?>
<formControlPr xmlns="http://schemas.microsoft.com/office/spreadsheetml/2009/9/main" objectType="CheckBox" fmlaLink="I.Developer.P3C1V4" lockText="1" noThreeD="1"/>
</file>

<file path=xl/ctrlProps/ctrlProp40.xml><?xml version="1.0" encoding="utf-8"?>
<formControlPr xmlns="http://schemas.microsoft.com/office/spreadsheetml/2009/9/main" objectType="CheckBox" fmlaLink="I.Developer.P3C1V5" lockText="1" noThreeD="1"/>
</file>

<file path=xl/ctrlProps/ctrlProp41.xml><?xml version="1.0" encoding="utf-8"?>
<formControlPr xmlns="http://schemas.microsoft.com/office/spreadsheetml/2009/9/main" objectType="CheckBox" fmlaLink="I.Developer.P3C1V6" lockText="1" noThreeD="1"/>
</file>

<file path=xl/ctrlProps/ctrlProp42.xml><?xml version="1.0" encoding="utf-8"?>
<formControlPr xmlns="http://schemas.microsoft.com/office/spreadsheetml/2009/9/main" objectType="CheckBox" fmlaLink="I.Developer.P4C1" lockText="1" noThreeD="1"/>
</file>

<file path=xl/ctrlProps/ctrlProp43.xml><?xml version="1.0" encoding="utf-8"?>
<formControlPr xmlns="http://schemas.microsoft.com/office/spreadsheetml/2009/9/main" objectType="CheckBox" fmlaLink="I.Developer.P4C2" lockText="1" noThreeD="1"/>
</file>

<file path=xl/ctrlProps/ctrlProp44.xml><?xml version="1.0" encoding="utf-8"?>
<formControlPr xmlns="http://schemas.microsoft.com/office/spreadsheetml/2009/9/main" objectType="CheckBox" fmlaLink="I.Developer.P4C3" lockText="1" noThreeD="1"/>
</file>

<file path=xl/ctrlProps/ctrlProp45.xml><?xml version="1.0" encoding="utf-8"?>
<formControlPr xmlns="http://schemas.microsoft.com/office/spreadsheetml/2009/9/main" objectType="CheckBox" fmlaLink="I.Developer.P4C4" lockText="1" noThreeD="1"/>
</file>

<file path=xl/ctrlProps/ctrlProp46.xml><?xml version="1.0" encoding="utf-8"?>
<formControlPr xmlns="http://schemas.microsoft.com/office/spreadsheetml/2009/9/main" objectType="CheckBox" fmlaLink="I.Developer.P4C1V2" lockText="1" noThreeD="1"/>
</file>

<file path=xl/ctrlProps/ctrlProp47.xml><?xml version="1.0" encoding="utf-8"?>
<formControlPr xmlns="http://schemas.microsoft.com/office/spreadsheetml/2009/9/main" objectType="CheckBox" fmlaLink="I.Developer.P4C1V3" lockText="1" noThreeD="1"/>
</file>

<file path=xl/ctrlProps/ctrlProp48.xml><?xml version="1.0" encoding="utf-8"?>
<formControlPr xmlns="http://schemas.microsoft.com/office/spreadsheetml/2009/9/main" objectType="CheckBox" fmlaLink="I.Developer.P4C1V4" lockText="1" noThreeD="1"/>
</file>

<file path=xl/ctrlProps/ctrlProp49.xml><?xml version="1.0" encoding="utf-8"?>
<formControlPr xmlns="http://schemas.microsoft.com/office/spreadsheetml/2009/9/main" objectType="CheckBox" fmlaLink="I.Developer.P4C1V5" lockText="1" noThreeD="1"/>
</file>

<file path=xl/ctrlProps/ctrlProp50.xml><?xml version="1.0" encoding="utf-8"?>
<formControlPr xmlns="http://schemas.microsoft.com/office/spreadsheetml/2009/9/main" objectType="CheckBox" fmlaLink="I.Developer.P4C1V6" lockText="1" noThreeD="1"/>
</file>

<file path=xl/ctrlProps/ctrlProp5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23925</xdr:rowOff>
    </xdr:from>
    <xdr:to>
      <xdr:col>4</xdr:col>
      <xdr:colOff>140625</xdr:colOff>
      <xdr:row>2</xdr:row>
      <xdr:rowOff>295275</xdr:rowOff>
    </xdr:to>
    <xdr:pic>
      <xdr:nvPicPr>
        <xdr:cNvPr id="2" name="Picture 1">
          <a:extLst>
            <a:ext uri="{FF2B5EF4-FFF2-40B4-BE49-F238E27FC236}">
              <a16:creationId xmlns:a16="http://schemas.microsoft.com/office/drawing/2014/main" id="{00000000-0008-0000-0000-000002000000}"/>
            </a:ext>
          </a:extLst>
        </xdr:cNvPr>
        <xdr:cNvPicPr>
          <a:picLocks/>
        </xdr:cNvPicPr>
      </xdr:nvPicPr>
      <xdr:blipFill>
        <a:blip xmlns:r="http://schemas.openxmlformats.org/officeDocument/2006/relationships" r:embed="rId1"/>
        <a:stretch>
          <a:fillRect/>
        </a:stretch>
      </xdr:blipFill>
      <xdr:spPr>
        <a:xfrm>
          <a:off x="381000" y="23925"/>
          <a:ext cx="4284000" cy="900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9525</xdr:colOff>
          <xdr:row>24</xdr:row>
          <xdr:rowOff>0</xdr:rowOff>
        </xdr:from>
        <xdr:to>
          <xdr:col>5</xdr:col>
          <xdr:colOff>352425</xdr:colOff>
          <xdr:row>25</xdr:row>
          <xdr:rowOff>0</xdr:rowOff>
        </xdr:to>
        <xdr:sp macro="" textlink="">
          <xdr:nvSpPr>
            <xdr:cNvPr id="2057" name="Check Box 5" hidden="1">
              <a:extLst>
                <a:ext uri="{63B3BB69-23CF-44E3-9099-C40C66FF867C}">
                  <a14:compatExt spid="_x0000_s2057"/>
                </a:ext>
                <a:ext uri="{FF2B5EF4-FFF2-40B4-BE49-F238E27FC236}">
                  <a16:creationId xmlns:a16="http://schemas.microsoft.com/office/drawing/2014/main" id="{00000000-0008-0000-01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Production class 4: Estevan heavy and non-heavy</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9525</xdr:colOff>
          <xdr:row>23</xdr:row>
          <xdr:rowOff>0</xdr:rowOff>
        </xdr:from>
        <xdr:to>
          <xdr:col>5</xdr:col>
          <xdr:colOff>352425</xdr:colOff>
          <xdr:row>24</xdr:row>
          <xdr:rowOff>0</xdr:rowOff>
        </xdr:to>
        <xdr:sp macro="" textlink="">
          <xdr:nvSpPr>
            <xdr:cNvPr id="2056" name="Check Box 4" hidden="1">
              <a:extLst>
                <a:ext uri="{63B3BB69-23CF-44E3-9099-C40C66FF867C}">
                  <a14:compatExt spid="_x0000_s2056"/>
                </a:ext>
                <a:ext uri="{FF2B5EF4-FFF2-40B4-BE49-F238E27FC236}">
                  <a16:creationId xmlns:a16="http://schemas.microsoft.com/office/drawing/2014/main" id="{00000000-0008-0000-01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Production class 3: Swift Current heavy and non-heavy</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9525</xdr:colOff>
          <xdr:row>22</xdr:row>
          <xdr:rowOff>0</xdr:rowOff>
        </xdr:from>
        <xdr:to>
          <xdr:col>5</xdr:col>
          <xdr:colOff>352425</xdr:colOff>
          <xdr:row>23</xdr:row>
          <xdr:rowOff>0</xdr:rowOff>
        </xdr:to>
        <xdr:sp macro="" textlink="">
          <xdr:nvSpPr>
            <xdr:cNvPr id="2055" name="Check Box 3" hidden="1">
              <a:extLst>
                <a:ext uri="{63B3BB69-23CF-44E3-9099-C40C66FF867C}">
                  <a14:compatExt spid="_x0000_s2055"/>
                </a:ext>
                <a:ext uri="{FF2B5EF4-FFF2-40B4-BE49-F238E27FC236}">
                  <a16:creationId xmlns:a16="http://schemas.microsoft.com/office/drawing/2014/main" id="{00000000-0008-0000-01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Production class 2b: Kindersley non-heavy</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9525</xdr:colOff>
          <xdr:row>21</xdr:row>
          <xdr:rowOff>0</xdr:rowOff>
        </xdr:from>
        <xdr:to>
          <xdr:col>5</xdr:col>
          <xdr:colOff>352425</xdr:colOff>
          <xdr:row>22</xdr:row>
          <xdr:rowOff>0</xdr:rowOff>
        </xdr:to>
        <xdr:sp macro="" textlink="">
          <xdr:nvSpPr>
            <xdr:cNvPr id="2058" name="Check Box 2" hidden="1">
              <a:extLst>
                <a:ext uri="{63B3BB69-23CF-44E3-9099-C40C66FF867C}">
                  <a14:compatExt spid="_x0000_s2058"/>
                </a:ext>
                <a:ext uri="{FF2B5EF4-FFF2-40B4-BE49-F238E27FC236}">
                  <a16:creationId xmlns:a16="http://schemas.microsoft.com/office/drawing/2014/main" id="{00000000-0008-0000-01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Production class 2a: Kindersley heavy</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9525</xdr:colOff>
          <xdr:row>20</xdr:row>
          <xdr:rowOff>0</xdr:rowOff>
        </xdr:from>
        <xdr:to>
          <xdr:col>5</xdr:col>
          <xdr:colOff>352425</xdr:colOff>
          <xdr:row>21</xdr:row>
          <xdr:rowOff>0</xdr:rowOff>
        </xdr:to>
        <xdr:sp macro="" textlink="">
          <xdr:nvSpPr>
            <xdr:cNvPr id="2050" name="Check Box 1"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Production class 1: Lloydminster heavy and non-heavy</a:t>
              </a:r>
            </a:p>
          </xdr:txBody>
        </xdr:sp>
        <xdr:clientData/>
      </xdr:twoCellAnchor>
    </mc:Choice>
    <mc:Fallback/>
  </mc:AlternateContent>
  <xdr:twoCellAnchor editAs="oneCell">
    <xdr:from>
      <xdr:col>1</xdr:col>
      <xdr:colOff>0</xdr:colOff>
      <xdr:row>0</xdr:row>
      <xdr:rowOff>23925</xdr:rowOff>
    </xdr:from>
    <xdr:to>
      <xdr:col>5</xdr:col>
      <xdr:colOff>816900</xdr:colOff>
      <xdr:row>2</xdr:row>
      <xdr:rowOff>295275</xdr:rowOff>
    </xdr:to>
    <xdr:pic>
      <xdr:nvPicPr>
        <xdr:cNvPr id="2" name="Picture 1">
          <a:extLst>
            <a:ext uri="{FF2B5EF4-FFF2-40B4-BE49-F238E27FC236}">
              <a16:creationId xmlns:a16="http://schemas.microsoft.com/office/drawing/2014/main" id="{00000000-0008-0000-0100-000002000000}"/>
            </a:ext>
          </a:extLst>
        </xdr:cNvPr>
        <xdr:cNvPicPr>
          <a:picLocks/>
        </xdr:cNvPicPr>
      </xdr:nvPicPr>
      <xdr:blipFill>
        <a:blip xmlns:r="http://schemas.openxmlformats.org/officeDocument/2006/relationships" r:embed="rId1"/>
        <a:stretch>
          <a:fillRect/>
        </a:stretch>
      </xdr:blipFill>
      <xdr:spPr>
        <a:xfrm>
          <a:off x="381000" y="23925"/>
          <a:ext cx="4284000" cy="900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0</xdr:colOff>
          <xdr:row>137</xdr:row>
          <xdr:rowOff>0</xdr:rowOff>
        </xdr:from>
        <xdr:to>
          <xdr:col>2</xdr:col>
          <xdr:colOff>1781175</xdr:colOff>
          <xdr:row>138</xdr:row>
          <xdr:rowOff>0</xdr:rowOff>
        </xdr:to>
        <xdr:sp macro="" textlink="">
          <xdr:nvSpPr>
            <xdr:cNvPr id="9268" name="Check Box P4V6" hidden="1">
              <a:extLst>
                <a:ext uri="{63B3BB69-23CF-44E3-9099-C40C66FF867C}">
                  <a14:compatExt spid="_x0000_s9268"/>
                </a:ext>
                <a:ext uri="{FF2B5EF4-FFF2-40B4-BE49-F238E27FC236}">
                  <a16:creationId xmlns:a16="http://schemas.microsoft.com/office/drawing/2014/main" id="{00000000-0008-0000-0200-00003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Propane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136</xdr:row>
          <xdr:rowOff>0</xdr:rowOff>
        </xdr:from>
        <xdr:to>
          <xdr:col>2</xdr:col>
          <xdr:colOff>1781175</xdr:colOff>
          <xdr:row>137</xdr:row>
          <xdr:rowOff>0</xdr:rowOff>
        </xdr:to>
        <xdr:sp macro="" textlink="">
          <xdr:nvSpPr>
            <xdr:cNvPr id="9267" name="Check Box P4V5" hidden="1">
              <a:extLst>
                <a:ext uri="{63B3BB69-23CF-44E3-9099-C40C66FF867C}">
                  <a14:compatExt spid="_x0000_s9267"/>
                </a:ext>
                <a:ext uri="{FF2B5EF4-FFF2-40B4-BE49-F238E27FC236}">
                  <a16:creationId xmlns:a16="http://schemas.microsoft.com/office/drawing/2014/main" id="{00000000-0008-0000-0200-00003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Gasoline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135</xdr:row>
          <xdr:rowOff>0</xdr:rowOff>
        </xdr:from>
        <xdr:to>
          <xdr:col>2</xdr:col>
          <xdr:colOff>1781175</xdr:colOff>
          <xdr:row>136</xdr:row>
          <xdr:rowOff>0</xdr:rowOff>
        </xdr:to>
        <xdr:sp macro="" textlink="">
          <xdr:nvSpPr>
            <xdr:cNvPr id="9266" name="Check Box P4V4" hidden="1">
              <a:extLst>
                <a:ext uri="{63B3BB69-23CF-44E3-9099-C40C66FF867C}">
                  <a14:compatExt spid="_x0000_s9266"/>
                </a:ext>
                <a:ext uri="{FF2B5EF4-FFF2-40B4-BE49-F238E27FC236}">
                  <a16:creationId xmlns:a16="http://schemas.microsoft.com/office/drawing/2014/main" id="{00000000-0008-0000-0200-00003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Ethane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134</xdr:row>
          <xdr:rowOff>0</xdr:rowOff>
        </xdr:from>
        <xdr:to>
          <xdr:col>2</xdr:col>
          <xdr:colOff>1781175</xdr:colOff>
          <xdr:row>135</xdr:row>
          <xdr:rowOff>0</xdr:rowOff>
        </xdr:to>
        <xdr:sp macro="" textlink="">
          <xdr:nvSpPr>
            <xdr:cNvPr id="9265" name="Check Box P4V3" hidden="1">
              <a:extLst>
                <a:ext uri="{63B3BB69-23CF-44E3-9099-C40C66FF867C}">
                  <a14:compatExt spid="_x0000_s9265"/>
                </a:ext>
                <a:ext uri="{FF2B5EF4-FFF2-40B4-BE49-F238E27FC236}">
                  <a16:creationId xmlns:a16="http://schemas.microsoft.com/office/drawing/2014/main" id="{00000000-0008-0000-0200-00003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Diesel</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133</xdr:row>
          <xdr:rowOff>0</xdr:rowOff>
        </xdr:from>
        <xdr:to>
          <xdr:col>2</xdr:col>
          <xdr:colOff>1781175</xdr:colOff>
          <xdr:row>134</xdr:row>
          <xdr:rowOff>0</xdr:rowOff>
        </xdr:to>
        <xdr:sp macro="" textlink="">
          <xdr:nvSpPr>
            <xdr:cNvPr id="9264" name="Check Box P4V2" hidden="1">
              <a:extLst>
                <a:ext uri="{63B3BB69-23CF-44E3-9099-C40C66FF867C}">
                  <a14:compatExt spid="_x0000_s9264"/>
                </a:ext>
                <a:ext uri="{FF2B5EF4-FFF2-40B4-BE49-F238E27FC236}">
                  <a16:creationId xmlns:a16="http://schemas.microsoft.com/office/drawing/2014/main" id="{00000000-0008-0000-0200-00003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Butane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130</xdr:row>
          <xdr:rowOff>0</xdr:rowOff>
        </xdr:from>
        <xdr:to>
          <xdr:col>2</xdr:col>
          <xdr:colOff>1781175</xdr:colOff>
          <xdr:row>131</xdr:row>
          <xdr:rowOff>0</xdr:rowOff>
        </xdr:to>
        <xdr:sp macro="" textlink="">
          <xdr:nvSpPr>
            <xdr:cNvPr id="9263" name="Check Box P4C4" hidden="1">
              <a:extLst>
                <a:ext uri="{63B3BB69-23CF-44E3-9099-C40C66FF867C}">
                  <a14:compatExt spid="_x0000_s9263"/>
                </a:ext>
                <a:ext uri="{FF2B5EF4-FFF2-40B4-BE49-F238E27FC236}">
                  <a16:creationId xmlns:a16="http://schemas.microsoft.com/office/drawing/2014/main" id="{00000000-0008-0000-0200-00002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On-site transportation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129</xdr:row>
          <xdr:rowOff>0</xdr:rowOff>
        </xdr:from>
        <xdr:to>
          <xdr:col>2</xdr:col>
          <xdr:colOff>1781175</xdr:colOff>
          <xdr:row>130</xdr:row>
          <xdr:rowOff>0</xdr:rowOff>
        </xdr:to>
        <xdr:sp macro="" textlink="">
          <xdr:nvSpPr>
            <xdr:cNvPr id="9262" name="Check Box P4C3" hidden="1">
              <a:extLst>
                <a:ext uri="{63B3BB69-23CF-44E3-9099-C40C66FF867C}">
                  <a14:compatExt spid="_x0000_s9262"/>
                </a:ext>
                <a:ext uri="{FF2B5EF4-FFF2-40B4-BE49-F238E27FC236}">
                  <a16:creationId xmlns:a16="http://schemas.microsoft.com/office/drawing/2014/main" id="{00000000-0008-0000-0200-00002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Flaring</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128</xdr:row>
          <xdr:rowOff>0</xdr:rowOff>
        </xdr:from>
        <xdr:to>
          <xdr:col>2</xdr:col>
          <xdr:colOff>1781175</xdr:colOff>
          <xdr:row>129</xdr:row>
          <xdr:rowOff>0</xdr:rowOff>
        </xdr:to>
        <xdr:sp macro="" textlink="">
          <xdr:nvSpPr>
            <xdr:cNvPr id="9261" name="Check Box P4C2" hidden="1">
              <a:extLst>
                <a:ext uri="{63B3BB69-23CF-44E3-9099-C40C66FF867C}">
                  <a14:compatExt spid="_x0000_s9261"/>
                </a:ext>
                <a:ext uri="{FF2B5EF4-FFF2-40B4-BE49-F238E27FC236}">
                  <a16:creationId xmlns:a16="http://schemas.microsoft.com/office/drawing/2014/main" id="{00000000-0008-0000-0200-00002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Industrial product use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127</xdr:row>
          <xdr:rowOff>0</xdr:rowOff>
        </xdr:from>
        <xdr:to>
          <xdr:col>2</xdr:col>
          <xdr:colOff>1781175</xdr:colOff>
          <xdr:row>128</xdr:row>
          <xdr:rowOff>0</xdr:rowOff>
        </xdr:to>
        <xdr:sp macro="" textlink="">
          <xdr:nvSpPr>
            <xdr:cNvPr id="9260" name="Check Box P4C1" hidden="1">
              <a:extLst>
                <a:ext uri="{63B3BB69-23CF-44E3-9099-C40C66FF867C}">
                  <a14:compatExt spid="_x0000_s9260"/>
                </a:ext>
                <a:ext uri="{FF2B5EF4-FFF2-40B4-BE49-F238E27FC236}">
                  <a16:creationId xmlns:a16="http://schemas.microsoft.com/office/drawing/2014/main" id="{00000000-0008-0000-0200-00002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Stationary fuel combustion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107</xdr:row>
          <xdr:rowOff>0</xdr:rowOff>
        </xdr:from>
        <xdr:to>
          <xdr:col>2</xdr:col>
          <xdr:colOff>1781175</xdr:colOff>
          <xdr:row>108</xdr:row>
          <xdr:rowOff>0</xdr:rowOff>
        </xdr:to>
        <xdr:sp macro="" textlink="">
          <xdr:nvSpPr>
            <xdr:cNvPr id="9259" name="Check Box P3V6" hidden="1">
              <a:extLst>
                <a:ext uri="{63B3BB69-23CF-44E3-9099-C40C66FF867C}">
                  <a14:compatExt spid="_x0000_s9259"/>
                </a:ext>
                <a:ext uri="{FF2B5EF4-FFF2-40B4-BE49-F238E27FC236}">
                  <a16:creationId xmlns:a16="http://schemas.microsoft.com/office/drawing/2014/main" id="{00000000-0008-0000-0200-00002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Propane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106</xdr:row>
          <xdr:rowOff>0</xdr:rowOff>
        </xdr:from>
        <xdr:to>
          <xdr:col>2</xdr:col>
          <xdr:colOff>1781175</xdr:colOff>
          <xdr:row>107</xdr:row>
          <xdr:rowOff>0</xdr:rowOff>
        </xdr:to>
        <xdr:sp macro="" textlink="">
          <xdr:nvSpPr>
            <xdr:cNvPr id="9258" name="Check Box P3V5" hidden="1">
              <a:extLst>
                <a:ext uri="{63B3BB69-23CF-44E3-9099-C40C66FF867C}">
                  <a14:compatExt spid="_x0000_s9258"/>
                </a:ext>
                <a:ext uri="{FF2B5EF4-FFF2-40B4-BE49-F238E27FC236}">
                  <a16:creationId xmlns:a16="http://schemas.microsoft.com/office/drawing/2014/main" id="{00000000-0008-0000-0200-00002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Gasoline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105</xdr:row>
          <xdr:rowOff>0</xdr:rowOff>
        </xdr:from>
        <xdr:to>
          <xdr:col>2</xdr:col>
          <xdr:colOff>1781175</xdr:colOff>
          <xdr:row>106</xdr:row>
          <xdr:rowOff>0</xdr:rowOff>
        </xdr:to>
        <xdr:sp macro="" textlink="">
          <xdr:nvSpPr>
            <xdr:cNvPr id="9257" name="Check Box P3V4" hidden="1">
              <a:extLst>
                <a:ext uri="{63B3BB69-23CF-44E3-9099-C40C66FF867C}">
                  <a14:compatExt spid="_x0000_s9257"/>
                </a:ext>
                <a:ext uri="{FF2B5EF4-FFF2-40B4-BE49-F238E27FC236}">
                  <a16:creationId xmlns:a16="http://schemas.microsoft.com/office/drawing/2014/main" id="{00000000-0008-0000-0200-00002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Ethane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104</xdr:row>
          <xdr:rowOff>0</xdr:rowOff>
        </xdr:from>
        <xdr:to>
          <xdr:col>2</xdr:col>
          <xdr:colOff>1781175</xdr:colOff>
          <xdr:row>105</xdr:row>
          <xdr:rowOff>0</xdr:rowOff>
        </xdr:to>
        <xdr:sp macro="" textlink="">
          <xdr:nvSpPr>
            <xdr:cNvPr id="9256" name="Check Box P3V3" hidden="1">
              <a:extLst>
                <a:ext uri="{63B3BB69-23CF-44E3-9099-C40C66FF867C}">
                  <a14:compatExt spid="_x0000_s9256"/>
                </a:ext>
                <a:ext uri="{FF2B5EF4-FFF2-40B4-BE49-F238E27FC236}">
                  <a16:creationId xmlns:a16="http://schemas.microsoft.com/office/drawing/2014/main" id="{00000000-0008-0000-0200-00002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Diesel</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103</xdr:row>
          <xdr:rowOff>0</xdr:rowOff>
        </xdr:from>
        <xdr:to>
          <xdr:col>2</xdr:col>
          <xdr:colOff>1781175</xdr:colOff>
          <xdr:row>104</xdr:row>
          <xdr:rowOff>0</xdr:rowOff>
        </xdr:to>
        <xdr:sp macro="" textlink="">
          <xdr:nvSpPr>
            <xdr:cNvPr id="9255" name="Check Box P3V2" hidden="1">
              <a:extLst>
                <a:ext uri="{63B3BB69-23CF-44E3-9099-C40C66FF867C}">
                  <a14:compatExt spid="_x0000_s9255"/>
                </a:ext>
                <a:ext uri="{FF2B5EF4-FFF2-40B4-BE49-F238E27FC236}">
                  <a16:creationId xmlns:a16="http://schemas.microsoft.com/office/drawing/2014/main" id="{00000000-0008-0000-0200-00002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Butane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100</xdr:row>
          <xdr:rowOff>0</xdr:rowOff>
        </xdr:from>
        <xdr:to>
          <xdr:col>2</xdr:col>
          <xdr:colOff>1781175</xdr:colOff>
          <xdr:row>101</xdr:row>
          <xdr:rowOff>0</xdr:rowOff>
        </xdr:to>
        <xdr:sp macro="" textlink="">
          <xdr:nvSpPr>
            <xdr:cNvPr id="9254" name="Check Box P3C4" hidden="1">
              <a:extLst>
                <a:ext uri="{63B3BB69-23CF-44E3-9099-C40C66FF867C}">
                  <a14:compatExt spid="_x0000_s9254"/>
                </a:ext>
                <a:ext uri="{FF2B5EF4-FFF2-40B4-BE49-F238E27FC236}">
                  <a16:creationId xmlns:a16="http://schemas.microsoft.com/office/drawing/2014/main" id="{00000000-0008-0000-0200-00002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On-site transportation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99</xdr:row>
          <xdr:rowOff>0</xdr:rowOff>
        </xdr:from>
        <xdr:to>
          <xdr:col>2</xdr:col>
          <xdr:colOff>1781175</xdr:colOff>
          <xdr:row>100</xdr:row>
          <xdr:rowOff>0</xdr:rowOff>
        </xdr:to>
        <xdr:sp macro="" textlink="">
          <xdr:nvSpPr>
            <xdr:cNvPr id="9253" name="Check Box P3C3" hidden="1">
              <a:extLst>
                <a:ext uri="{63B3BB69-23CF-44E3-9099-C40C66FF867C}">
                  <a14:compatExt spid="_x0000_s9253"/>
                </a:ext>
                <a:ext uri="{FF2B5EF4-FFF2-40B4-BE49-F238E27FC236}">
                  <a16:creationId xmlns:a16="http://schemas.microsoft.com/office/drawing/2014/main" id="{00000000-0008-0000-0200-00002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Flaring</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98</xdr:row>
          <xdr:rowOff>0</xdr:rowOff>
        </xdr:from>
        <xdr:to>
          <xdr:col>2</xdr:col>
          <xdr:colOff>1781175</xdr:colOff>
          <xdr:row>99</xdr:row>
          <xdr:rowOff>0</xdr:rowOff>
        </xdr:to>
        <xdr:sp macro="" textlink="">
          <xdr:nvSpPr>
            <xdr:cNvPr id="9252" name="Check Box P3C2" hidden="1">
              <a:extLst>
                <a:ext uri="{63B3BB69-23CF-44E3-9099-C40C66FF867C}">
                  <a14:compatExt spid="_x0000_s9252"/>
                </a:ext>
                <a:ext uri="{FF2B5EF4-FFF2-40B4-BE49-F238E27FC236}">
                  <a16:creationId xmlns:a16="http://schemas.microsoft.com/office/drawing/2014/main" id="{00000000-0008-0000-0200-00002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Industrial product use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97</xdr:row>
          <xdr:rowOff>0</xdr:rowOff>
        </xdr:from>
        <xdr:to>
          <xdr:col>2</xdr:col>
          <xdr:colOff>1781175</xdr:colOff>
          <xdr:row>98</xdr:row>
          <xdr:rowOff>0</xdr:rowOff>
        </xdr:to>
        <xdr:sp macro="" textlink="">
          <xdr:nvSpPr>
            <xdr:cNvPr id="9251" name="Check Box P3C1" hidden="1">
              <a:extLst>
                <a:ext uri="{63B3BB69-23CF-44E3-9099-C40C66FF867C}">
                  <a14:compatExt spid="_x0000_s9251"/>
                </a:ext>
                <a:ext uri="{FF2B5EF4-FFF2-40B4-BE49-F238E27FC236}">
                  <a16:creationId xmlns:a16="http://schemas.microsoft.com/office/drawing/2014/main" id="{00000000-0008-0000-0200-00002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Stationary fuel combustion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77</xdr:row>
          <xdr:rowOff>0</xdr:rowOff>
        </xdr:from>
        <xdr:to>
          <xdr:col>2</xdr:col>
          <xdr:colOff>1781175</xdr:colOff>
          <xdr:row>78</xdr:row>
          <xdr:rowOff>0</xdr:rowOff>
        </xdr:to>
        <xdr:sp macro="" textlink="">
          <xdr:nvSpPr>
            <xdr:cNvPr id="9250" name="Check Box P2bV6" hidden="1">
              <a:extLst>
                <a:ext uri="{63B3BB69-23CF-44E3-9099-C40C66FF867C}">
                  <a14:compatExt spid="_x0000_s9250"/>
                </a:ext>
                <a:ext uri="{FF2B5EF4-FFF2-40B4-BE49-F238E27FC236}">
                  <a16:creationId xmlns:a16="http://schemas.microsoft.com/office/drawing/2014/main" id="{00000000-0008-0000-0200-00002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Propane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76</xdr:row>
          <xdr:rowOff>0</xdr:rowOff>
        </xdr:from>
        <xdr:to>
          <xdr:col>2</xdr:col>
          <xdr:colOff>1781175</xdr:colOff>
          <xdr:row>77</xdr:row>
          <xdr:rowOff>0</xdr:rowOff>
        </xdr:to>
        <xdr:sp macro="" textlink="">
          <xdr:nvSpPr>
            <xdr:cNvPr id="9249" name="Check Box P2bV5" hidden="1">
              <a:extLst>
                <a:ext uri="{63B3BB69-23CF-44E3-9099-C40C66FF867C}">
                  <a14:compatExt spid="_x0000_s9249"/>
                </a:ext>
                <a:ext uri="{FF2B5EF4-FFF2-40B4-BE49-F238E27FC236}">
                  <a16:creationId xmlns:a16="http://schemas.microsoft.com/office/drawing/2014/main" id="{00000000-0008-0000-0200-00002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Gasoline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75</xdr:row>
          <xdr:rowOff>0</xdr:rowOff>
        </xdr:from>
        <xdr:to>
          <xdr:col>2</xdr:col>
          <xdr:colOff>1781175</xdr:colOff>
          <xdr:row>76</xdr:row>
          <xdr:rowOff>0</xdr:rowOff>
        </xdr:to>
        <xdr:sp macro="" textlink="">
          <xdr:nvSpPr>
            <xdr:cNvPr id="9248" name="Check Box P2bV4" hidden="1">
              <a:extLst>
                <a:ext uri="{63B3BB69-23CF-44E3-9099-C40C66FF867C}">
                  <a14:compatExt spid="_x0000_s9248"/>
                </a:ext>
                <a:ext uri="{FF2B5EF4-FFF2-40B4-BE49-F238E27FC236}">
                  <a16:creationId xmlns:a16="http://schemas.microsoft.com/office/drawing/2014/main" id="{00000000-0008-0000-0200-00002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Ethane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74</xdr:row>
          <xdr:rowOff>0</xdr:rowOff>
        </xdr:from>
        <xdr:to>
          <xdr:col>2</xdr:col>
          <xdr:colOff>1781175</xdr:colOff>
          <xdr:row>75</xdr:row>
          <xdr:rowOff>0</xdr:rowOff>
        </xdr:to>
        <xdr:sp macro="" textlink="">
          <xdr:nvSpPr>
            <xdr:cNvPr id="9247" name="Check Box P2bV3" hidden="1">
              <a:extLst>
                <a:ext uri="{63B3BB69-23CF-44E3-9099-C40C66FF867C}">
                  <a14:compatExt spid="_x0000_s9247"/>
                </a:ext>
                <a:ext uri="{FF2B5EF4-FFF2-40B4-BE49-F238E27FC236}">
                  <a16:creationId xmlns:a16="http://schemas.microsoft.com/office/drawing/2014/main" id="{00000000-0008-0000-0200-00001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Diesel</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73</xdr:row>
          <xdr:rowOff>0</xdr:rowOff>
        </xdr:from>
        <xdr:to>
          <xdr:col>2</xdr:col>
          <xdr:colOff>1781175</xdr:colOff>
          <xdr:row>74</xdr:row>
          <xdr:rowOff>0</xdr:rowOff>
        </xdr:to>
        <xdr:sp macro="" textlink="">
          <xdr:nvSpPr>
            <xdr:cNvPr id="9246" name="Check Box P2bV2" hidden="1">
              <a:extLst>
                <a:ext uri="{63B3BB69-23CF-44E3-9099-C40C66FF867C}">
                  <a14:compatExt spid="_x0000_s9246"/>
                </a:ext>
                <a:ext uri="{FF2B5EF4-FFF2-40B4-BE49-F238E27FC236}">
                  <a16:creationId xmlns:a16="http://schemas.microsoft.com/office/drawing/2014/main" id="{00000000-0008-0000-0200-00001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Butane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70</xdr:row>
          <xdr:rowOff>0</xdr:rowOff>
        </xdr:from>
        <xdr:to>
          <xdr:col>2</xdr:col>
          <xdr:colOff>1781175</xdr:colOff>
          <xdr:row>71</xdr:row>
          <xdr:rowOff>0</xdr:rowOff>
        </xdr:to>
        <xdr:sp macro="" textlink="">
          <xdr:nvSpPr>
            <xdr:cNvPr id="9245" name="Check Box P2bC4" hidden="1">
              <a:extLst>
                <a:ext uri="{63B3BB69-23CF-44E3-9099-C40C66FF867C}">
                  <a14:compatExt spid="_x0000_s9245"/>
                </a:ext>
                <a:ext uri="{FF2B5EF4-FFF2-40B4-BE49-F238E27FC236}">
                  <a16:creationId xmlns:a16="http://schemas.microsoft.com/office/drawing/2014/main" id="{00000000-0008-0000-0200-00001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On-site transportation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69</xdr:row>
          <xdr:rowOff>0</xdr:rowOff>
        </xdr:from>
        <xdr:to>
          <xdr:col>2</xdr:col>
          <xdr:colOff>1781175</xdr:colOff>
          <xdr:row>70</xdr:row>
          <xdr:rowOff>0</xdr:rowOff>
        </xdr:to>
        <xdr:sp macro="" textlink="">
          <xdr:nvSpPr>
            <xdr:cNvPr id="9244" name="Check Box P2bC3" hidden="1">
              <a:extLst>
                <a:ext uri="{63B3BB69-23CF-44E3-9099-C40C66FF867C}">
                  <a14:compatExt spid="_x0000_s9244"/>
                </a:ext>
                <a:ext uri="{FF2B5EF4-FFF2-40B4-BE49-F238E27FC236}">
                  <a16:creationId xmlns:a16="http://schemas.microsoft.com/office/drawing/2014/main" id="{00000000-0008-0000-0200-00001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Flaring</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68</xdr:row>
          <xdr:rowOff>0</xdr:rowOff>
        </xdr:from>
        <xdr:to>
          <xdr:col>2</xdr:col>
          <xdr:colOff>1781175</xdr:colOff>
          <xdr:row>69</xdr:row>
          <xdr:rowOff>0</xdr:rowOff>
        </xdr:to>
        <xdr:sp macro="" textlink="">
          <xdr:nvSpPr>
            <xdr:cNvPr id="9243" name="Check Box P2bC2" hidden="1">
              <a:extLst>
                <a:ext uri="{63B3BB69-23CF-44E3-9099-C40C66FF867C}">
                  <a14:compatExt spid="_x0000_s9243"/>
                </a:ext>
                <a:ext uri="{FF2B5EF4-FFF2-40B4-BE49-F238E27FC236}">
                  <a16:creationId xmlns:a16="http://schemas.microsoft.com/office/drawing/2014/main" id="{00000000-0008-0000-0200-00001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Industrial product use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67</xdr:row>
          <xdr:rowOff>0</xdr:rowOff>
        </xdr:from>
        <xdr:to>
          <xdr:col>2</xdr:col>
          <xdr:colOff>1781175</xdr:colOff>
          <xdr:row>68</xdr:row>
          <xdr:rowOff>0</xdr:rowOff>
        </xdr:to>
        <xdr:sp macro="" textlink="">
          <xdr:nvSpPr>
            <xdr:cNvPr id="9242" name="Check Box P2bC1" hidden="1">
              <a:extLst>
                <a:ext uri="{63B3BB69-23CF-44E3-9099-C40C66FF867C}">
                  <a14:compatExt spid="_x0000_s9242"/>
                </a:ext>
                <a:ext uri="{FF2B5EF4-FFF2-40B4-BE49-F238E27FC236}">
                  <a16:creationId xmlns:a16="http://schemas.microsoft.com/office/drawing/2014/main" id="{00000000-0008-0000-0200-00001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Stationary fuel combustion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47</xdr:row>
          <xdr:rowOff>0</xdr:rowOff>
        </xdr:from>
        <xdr:to>
          <xdr:col>2</xdr:col>
          <xdr:colOff>1781175</xdr:colOff>
          <xdr:row>48</xdr:row>
          <xdr:rowOff>0</xdr:rowOff>
        </xdr:to>
        <xdr:sp macro="" textlink="">
          <xdr:nvSpPr>
            <xdr:cNvPr id="9241" name="Check Box P2aV6" hidden="1">
              <a:extLst>
                <a:ext uri="{63B3BB69-23CF-44E3-9099-C40C66FF867C}">
                  <a14:compatExt spid="_x0000_s9241"/>
                </a:ext>
                <a:ext uri="{FF2B5EF4-FFF2-40B4-BE49-F238E27FC236}">
                  <a16:creationId xmlns:a16="http://schemas.microsoft.com/office/drawing/2014/main" id="{00000000-0008-0000-0200-00001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Propane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46</xdr:row>
          <xdr:rowOff>0</xdr:rowOff>
        </xdr:from>
        <xdr:to>
          <xdr:col>2</xdr:col>
          <xdr:colOff>1781175</xdr:colOff>
          <xdr:row>47</xdr:row>
          <xdr:rowOff>0</xdr:rowOff>
        </xdr:to>
        <xdr:sp macro="" textlink="">
          <xdr:nvSpPr>
            <xdr:cNvPr id="9240" name="Check Box P2aV5" hidden="1">
              <a:extLst>
                <a:ext uri="{63B3BB69-23CF-44E3-9099-C40C66FF867C}">
                  <a14:compatExt spid="_x0000_s9240"/>
                </a:ext>
                <a:ext uri="{FF2B5EF4-FFF2-40B4-BE49-F238E27FC236}">
                  <a16:creationId xmlns:a16="http://schemas.microsoft.com/office/drawing/2014/main" id="{00000000-0008-0000-0200-00001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Gasoline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45</xdr:row>
          <xdr:rowOff>0</xdr:rowOff>
        </xdr:from>
        <xdr:to>
          <xdr:col>2</xdr:col>
          <xdr:colOff>1781175</xdr:colOff>
          <xdr:row>46</xdr:row>
          <xdr:rowOff>0</xdr:rowOff>
        </xdr:to>
        <xdr:sp macro="" textlink="">
          <xdr:nvSpPr>
            <xdr:cNvPr id="9239" name="Check Box P2aV4" hidden="1">
              <a:extLst>
                <a:ext uri="{63B3BB69-23CF-44E3-9099-C40C66FF867C}">
                  <a14:compatExt spid="_x0000_s9239"/>
                </a:ext>
                <a:ext uri="{FF2B5EF4-FFF2-40B4-BE49-F238E27FC236}">
                  <a16:creationId xmlns:a16="http://schemas.microsoft.com/office/drawing/2014/main" id="{00000000-0008-0000-0200-00001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Ethane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44</xdr:row>
          <xdr:rowOff>0</xdr:rowOff>
        </xdr:from>
        <xdr:to>
          <xdr:col>2</xdr:col>
          <xdr:colOff>1781175</xdr:colOff>
          <xdr:row>45</xdr:row>
          <xdr:rowOff>0</xdr:rowOff>
        </xdr:to>
        <xdr:sp macro="" textlink="">
          <xdr:nvSpPr>
            <xdr:cNvPr id="9238" name="Check Box P2aV3" hidden="1">
              <a:extLst>
                <a:ext uri="{63B3BB69-23CF-44E3-9099-C40C66FF867C}">
                  <a14:compatExt spid="_x0000_s9238"/>
                </a:ext>
                <a:ext uri="{FF2B5EF4-FFF2-40B4-BE49-F238E27FC236}">
                  <a16:creationId xmlns:a16="http://schemas.microsoft.com/office/drawing/2014/main" id="{00000000-0008-0000-0200-00001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Diesel</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43</xdr:row>
          <xdr:rowOff>0</xdr:rowOff>
        </xdr:from>
        <xdr:to>
          <xdr:col>2</xdr:col>
          <xdr:colOff>1781175</xdr:colOff>
          <xdr:row>44</xdr:row>
          <xdr:rowOff>0</xdr:rowOff>
        </xdr:to>
        <xdr:sp macro="" textlink="">
          <xdr:nvSpPr>
            <xdr:cNvPr id="9237" name="Check Box P2aV2" hidden="1">
              <a:extLst>
                <a:ext uri="{63B3BB69-23CF-44E3-9099-C40C66FF867C}">
                  <a14:compatExt spid="_x0000_s9237"/>
                </a:ext>
                <a:ext uri="{FF2B5EF4-FFF2-40B4-BE49-F238E27FC236}">
                  <a16:creationId xmlns:a16="http://schemas.microsoft.com/office/drawing/2014/main" id="{00000000-0008-0000-0200-00001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Butane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40</xdr:row>
          <xdr:rowOff>0</xdr:rowOff>
        </xdr:from>
        <xdr:to>
          <xdr:col>2</xdr:col>
          <xdr:colOff>1781175</xdr:colOff>
          <xdr:row>41</xdr:row>
          <xdr:rowOff>0</xdr:rowOff>
        </xdr:to>
        <xdr:sp macro="" textlink="">
          <xdr:nvSpPr>
            <xdr:cNvPr id="9236" name="Check Box P2aC4" hidden="1">
              <a:extLst>
                <a:ext uri="{63B3BB69-23CF-44E3-9099-C40C66FF867C}">
                  <a14:compatExt spid="_x0000_s9236"/>
                </a:ext>
                <a:ext uri="{FF2B5EF4-FFF2-40B4-BE49-F238E27FC236}">
                  <a16:creationId xmlns:a16="http://schemas.microsoft.com/office/drawing/2014/main" id="{00000000-0008-0000-0200-00001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On-site transportation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39</xdr:row>
          <xdr:rowOff>0</xdr:rowOff>
        </xdr:from>
        <xdr:to>
          <xdr:col>2</xdr:col>
          <xdr:colOff>1781175</xdr:colOff>
          <xdr:row>40</xdr:row>
          <xdr:rowOff>0</xdr:rowOff>
        </xdr:to>
        <xdr:sp macro="" textlink="">
          <xdr:nvSpPr>
            <xdr:cNvPr id="9235" name="Check Box P2aC3" hidden="1">
              <a:extLst>
                <a:ext uri="{63B3BB69-23CF-44E3-9099-C40C66FF867C}">
                  <a14:compatExt spid="_x0000_s9235"/>
                </a:ext>
                <a:ext uri="{FF2B5EF4-FFF2-40B4-BE49-F238E27FC236}">
                  <a16:creationId xmlns:a16="http://schemas.microsoft.com/office/drawing/2014/main" id="{00000000-0008-0000-0200-00001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Flaring</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38</xdr:row>
          <xdr:rowOff>0</xdr:rowOff>
        </xdr:from>
        <xdr:to>
          <xdr:col>2</xdr:col>
          <xdr:colOff>1781175</xdr:colOff>
          <xdr:row>39</xdr:row>
          <xdr:rowOff>0</xdr:rowOff>
        </xdr:to>
        <xdr:sp macro="" textlink="">
          <xdr:nvSpPr>
            <xdr:cNvPr id="9234" name="Check Box P2aC2" hidden="1">
              <a:extLst>
                <a:ext uri="{63B3BB69-23CF-44E3-9099-C40C66FF867C}">
                  <a14:compatExt spid="_x0000_s9234"/>
                </a:ext>
                <a:ext uri="{FF2B5EF4-FFF2-40B4-BE49-F238E27FC236}">
                  <a16:creationId xmlns:a16="http://schemas.microsoft.com/office/drawing/2014/main" id="{00000000-0008-0000-0200-00001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Industrial product use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37</xdr:row>
          <xdr:rowOff>0</xdr:rowOff>
        </xdr:from>
        <xdr:to>
          <xdr:col>2</xdr:col>
          <xdr:colOff>1781175</xdr:colOff>
          <xdr:row>38</xdr:row>
          <xdr:rowOff>0</xdr:rowOff>
        </xdr:to>
        <xdr:sp macro="" textlink="">
          <xdr:nvSpPr>
            <xdr:cNvPr id="9233" name="Check Box P2aC1" hidden="1">
              <a:extLst>
                <a:ext uri="{63B3BB69-23CF-44E3-9099-C40C66FF867C}">
                  <a14:compatExt spid="_x0000_s9233"/>
                </a:ext>
                <a:ext uri="{FF2B5EF4-FFF2-40B4-BE49-F238E27FC236}">
                  <a16:creationId xmlns:a16="http://schemas.microsoft.com/office/drawing/2014/main" id="{00000000-0008-0000-0200-00001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Stationary fuel combustion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17</xdr:row>
          <xdr:rowOff>0</xdr:rowOff>
        </xdr:from>
        <xdr:to>
          <xdr:col>2</xdr:col>
          <xdr:colOff>1781175</xdr:colOff>
          <xdr:row>18</xdr:row>
          <xdr:rowOff>0</xdr:rowOff>
        </xdr:to>
        <xdr:sp macro="" textlink="">
          <xdr:nvSpPr>
            <xdr:cNvPr id="9231" name="Check Box P1V6" hidden="1">
              <a:extLst>
                <a:ext uri="{63B3BB69-23CF-44E3-9099-C40C66FF867C}">
                  <a14:compatExt spid="_x0000_s9231"/>
                </a:ext>
                <a:ext uri="{FF2B5EF4-FFF2-40B4-BE49-F238E27FC236}">
                  <a16:creationId xmlns:a16="http://schemas.microsoft.com/office/drawing/2014/main" id="{00000000-0008-0000-0200-00000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Propane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16</xdr:row>
          <xdr:rowOff>0</xdr:rowOff>
        </xdr:from>
        <xdr:to>
          <xdr:col>2</xdr:col>
          <xdr:colOff>1781175</xdr:colOff>
          <xdr:row>17</xdr:row>
          <xdr:rowOff>0</xdr:rowOff>
        </xdr:to>
        <xdr:sp macro="" textlink="">
          <xdr:nvSpPr>
            <xdr:cNvPr id="9230" name="Check Box P1V5" hidden="1">
              <a:extLst>
                <a:ext uri="{63B3BB69-23CF-44E3-9099-C40C66FF867C}">
                  <a14:compatExt spid="_x0000_s9230"/>
                </a:ext>
                <a:ext uri="{FF2B5EF4-FFF2-40B4-BE49-F238E27FC236}">
                  <a16:creationId xmlns:a16="http://schemas.microsoft.com/office/drawing/2014/main" id="{00000000-0008-0000-0200-00000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Gasoline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15</xdr:row>
          <xdr:rowOff>0</xdr:rowOff>
        </xdr:from>
        <xdr:to>
          <xdr:col>2</xdr:col>
          <xdr:colOff>1781175</xdr:colOff>
          <xdr:row>16</xdr:row>
          <xdr:rowOff>0</xdr:rowOff>
        </xdr:to>
        <xdr:sp macro="" textlink="">
          <xdr:nvSpPr>
            <xdr:cNvPr id="9229" name="Check Box P1V4" hidden="1">
              <a:extLst>
                <a:ext uri="{63B3BB69-23CF-44E3-9099-C40C66FF867C}">
                  <a14:compatExt spid="_x0000_s9229"/>
                </a:ext>
                <a:ext uri="{FF2B5EF4-FFF2-40B4-BE49-F238E27FC236}">
                  <a16:creationId xmlns:a16="http://schemas.microsoft.com/office/drawing/2014/main" id="{00000000-0008-0000-0200-00000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Ethane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14</xdr:row>
          <xdr:rowOff>0</xdr:rowOff>
        </xdr:from>
        <xdr:to>
          <xdr:col>2</xdr:col>
          <xdr:colOff>1781175</xdr:colOff>
          <xdr:row>15</xdr:row>
          <xdr:rowOff>0</xdr:rowOff>
        </xdr:to>
        <xdr:sp macro="" textlink="">
          <xdr:nvSpPr>
            <xdr:cNvPr id="9228" name="Check Box P1V3" hidden="1">
              <a:extLst>
                <a:ext uri="{63B3BB69-23CF-44E3-9099-C40C66FF867C}">
                  <a14:compatExt spid="_x0000_s9228"/>
                </a:ext>
                <a:ext uri="{FF2B5EF4-FFF2-40B4-BE49-F238E27FC236}">
                  <a16:creationId xmlns:a16="http://schemas.microsoft.com/office/drawing/2014/main" id="{00000000-0008-0000-0200-00000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Diesel</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13</xdr:row>
          <xdr:rowOff>0</xdr:rowOff>
        </xdr:from>
        <xdr:to>
          <xdr:col>2</xdr:col>
          <xdr:colOff>1781175</xdr:colOff>
          <xdr:row>14</xdr:row>
          <xdr:rowOff>0</xdr:rowOff>
        </xdr:to>
        <xdr:sp macro="" textlink="">
          <xdr:nvSpPr>
            <xdr:cNvPr id="9227" name="Check Box P1V2" hidden="1">
              <a:extLst>
                <a:ext uri="{63B3BB69-23CF-44E3-9099-C40C66FF867C}">
                  <a14:compatExt spid="_x0000_s9227"/>
                </a:ext>
                <a:ext uri="{FF2B5EF4-FFF2-40B4-BE49-F238E27FC236}">
                  <a16:creationId xmlns:a16="http://schemas.microsoft.com/office/drawing/2014/main" id="{00000000-0008-0000-0200-00000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Butane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10</xdr:row>
          <xdr:rowOff>0</xdr:rowOff>
        </xdr:from>
        <xdr:to>
          <xdr:col>2</xdr:col>
          <xdr:colOff>1781175</xdr:colOff>
          <xdr:row>11</xdr:row>
          <xdr:rowOff>0</xdr:rowOff>
        </xdr:to>
        <xdr:sp macro="" textlink="">
          <xdr:nvSpPr>
            <xdr:cNvPr id="9226" name="Check Box P1C4" hidden="1">
              <a:extLst>
                <a:ext uri="{63B3BB69-23CF-44E3-9099-C40C66FF867C}">
                  <a14:compatExt spid="_x0000_s9226"/>
                </a:ext>
                <a:ext uri="{FF2B5EF4-FFF2-40B4-BE49-F238E27FC236}">
                  <a16:creationId xmlns:a16="http://schemas.microsoft.com/office/drawing/2014/main" id="{00000000-0008-0000-0200-00000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On-site transportation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9</xdr:row>
          <xdr:rowOff>0</xdr:rowOff>
        </xdr:from>
        <xdr:to>
          <xdr:col>2</xdr:col>
          <xdr:colOff>1781175</xdr:colOff>
          <xdr:row>10</xdr:row>
          <xdr:rowOff>0</xdr:rowOff>
        </xdr:to>
        <xdr:sp macro="" textlink="">
          <xdr:nvSpPr>
            <xdr:cNvPr id="9225" name="Check Box P1C3" hidden="1">
              <a:extLst>
                <a:ext uri="{63B3BB69-23CF-44E3-9099-C40C66FF867C}">
                  <a14:compatExt spid="_x0000_s9225"/>
                </a:ext>
                <a:ext uri="{FF2B5EF4-FFF2-40B4-BE49-F238E27FC236}">
                  <a16:creationId xmlns:a16="http://schemas.microsoft.com/office/drawing/2014/main" id="{00000000-0008-0000-0200-00000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Flaring</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8</xdr:row>
          <xdr:rowOff>0</xdr:rowOff>
        </xdr:from>
        <xdr:to>
          <xdr:col>2</xdr:col>
          <xdr:colOff>1781175</xdr:colOff>
          <xdr:row>9</xdr:row>
          <xdr:rowOff>0</xdr:rowOff>
        </xdr:to>
        <xdr:sp macro="" textlink="">
          <xdr:nvSpPr>
            <xdr:cNvPr id="9224" name="Check Box P1C2" hidden="1">
              <a:extLst>
                <a:ext uri="{63B3BB69-23CF-44E3-9099-C40C66FF867C}">
                  <a14:compatExt spid="_x0000_s9224"/>
                </a:ext>
                <a:ext uri="{FF2B5EF4-FFF2-40B4-BE49-F238E27FC236}">
                  <a16:creationId xmlns:a16="http://schemas.microsoft.com/office/drawing/2014/main" id="{00000000-0008-0000-0200-00000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Industrial product use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7</xdr:row>
          <xdr:rowOff>0</xdr:rowOff>
        </xdr:from>
        <xdr:to>
          <xdr:col>2</xdr:col>
          <xdr:colOff>1781175</xdr:colOff>
          <xdr:row>8</xdr:row>
          <xdr:rowOff>0</xdr:rowOff>
        </xdr:to>
        <xdr:sp macro="" textlink="">
          <xdr:nvSpPr>
            <xdr:cNvPr id="9223" name="Check Box P1C1" hidden="1">
              <a:extLst>
                <a:ext uri="{63B3BB69-23CF-44E3-9099-C40C66FF867C}">
                  <a14:compatExt spid="_x0000_s9223"/>
                </a:ext>
                <a:ext uri="{FF2B5EF4-FFF2-40B4-BE49-F238E27FC236}">
                  <a16:creationId xmlns:a16="http://schemas.microsoft.com/office/drawing/2014/main" id="{00000000-0008-0000-0200-00000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Stationary fuel combustion</a:t>
              </a:r>
            </a:p>
          </xdr:txBody>
        </xdr:sp>
        <xdr:clientData/>
      </xdr:twoCellAnchor>
    </mc:Choice>
    <mc:Fallback/>
  </mc:AlternateContent>
  <xdr:twoCellAnchor editAs="oneCell">
    <xdr:from>
      <xdr:col>1</xdr:col>
      <xdr:colOff>0</xdr:colOff>
      <xdr:row>0</xdr:row>
      <xdr:rowOff>23925</xdr:rowOff>
    </xdr:from>
    <xdr:to>
      <xdr:col>4</xdr:col>
      <xdr:colOff>140625</xdr:colOff>
      <xdr:row>2</xdr:row>
      <xdr:rowOff>295275</xdr:rowOff>
    </xdr:to>
    <xdr:pic>
      <xdr:nvPicPr>
        <xdr:cNvPr id="2" name="Picture 1">
          <a:extLst>
            <a:ext uri="{FF2B5EF4-FFF2-40B4-BE49-F238E27FC236}">
              <a16:creationId xmlns:a16="http://schemas.microsoft.com/office/drawing/2014/main" id="{00000000-0008-0000-0200-000002000000}"/>
            </a:ext>
          </a:extLst>
        </xdr:cNvPr>
        <xdr:cNvPicPr>
          <a:picLocks/>
        </xdr:cNvPicPr>
      </xdr:nvPicPr>
      <xdr:blipFill>
        <a:blip xmlns:r="http://schemas.openxmlformats.org/officeDocument/2006/relationships" r:embed="rId1"/>
        <a:stretch>
          <a:fillRect/>
        </a:stretch>
      </xdr:blipFill>
      <xdr:spPr>
        <a:xfrm>
          <a:off x="381000" y="23925"/>
          <a:ext cx="4284000" cy="9000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0</xdr:row>
      <xdr:rowOff>23925</xdr:rowOff>
    </xdr:from>
    <xdr:to>
      <xdr:col>3</xdr:col>
      <xdr:colOff>1521750</xdr:colOff>
      <xdr:row>2</xdr:row>
      <xdr:rowOff>295275</xdr:rowOff>
    </xdr:to>
    <xdr:pic>
      <xdr:nvPicPr>
        <xdr:cNvPr id="2" name="Picture 1">
          <a:extLst>
            <a:ext uri="{FF2B5EF4-FFF2-40B4-BE49-F238E27FC236}">
              <a16:creationId xmlns:a16="http://schemas.microsoft.com/office/drawing/2014/main" id="{00000000-0008-0000-0300-000002000000}"/>
            </a:ext>
          </a:extLst>
        </xdr:cNvPr>
        <xdr:cNvPicPr>
          <a:picLocks/>
        </xdr:cNvPicPr>
      </xdr:nvPicPr>
      <xdr:blipFill>
        <a:blip xmlns:r="http://schemas.openxmlformats.org/officeDocument/2006/relationships" r:embed="rId1"/>
        <a:stretch>
          <a:fillRect/>
        </a:stretch>
      </xdr:blipFill>
      <xdr:spPr>
        <a:xfrm>
          <a:off x="381000" y="23925"/>
          <a:ext cx="4284000" cy="90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0</xdr:row>
      <xdr:rowOff>23925</xdr:rowOff>
    </xdr:from>
    <xdr:to>
      <xdr:col>3</xdr:col>
      <xdr:colOff>1521750</xdr:colOff>
      <xdr:row>2</xdr:row>
      <xdr:rowOff>295275</xdr:rowOff>
    </xdr:to>
    <xdr:pic>
      <xdr:nvPicPr>
        <xdr:cNvPr id="2" name="Picture 1">
          <a:extLst>
            <a:ext uri="{FF2B5EF4-FFF2-40B4-BE49-F238E27FC236}">
              <a16:creationId xmlns:a16="http://schemas.microsoft.com/office/drawing/2014/main" id="{00000000-0008-0000-0400-000002000000}"/>
            </a:ext>
          </a:extLst>
        </xdr:cNvPr>
        <xdr:cNvPicPr>
          <a:picLocks/>
        </xdr:cNvPicPr>
      </xdr:nvPicPr>
      <xdr:blipFill>
        <a:blip xmlns:r="http://schemas.openxmlformats.org/officeDocument/2006/relationships" r:embed="rId1"/>
        <a:stretch>
          <a:fillRect/>
        </a:stretch>
      </xdr:blipFill>
      <xdr:spPr>
        <a:xfrm>
          <a:off x="381000" y="23925"/>
          <a:ext cx="4284000" cy="9000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0</xdr:colOff>
      <xdr:row>0</xdr:row>
      <xdr:rowOff>23925</xdr:rowOff>
    </xdr:from>
    <xdr:to>
      <xdr:col>5</xdr:col>
      <xdr:colOff>1026450</xdr:colOff>
      <xdr:row>2</xdr:row>
      <xdr:rowOff>295275</xdr:rowOff>
    </xdr:to>
    <xdr:pic>
      <xdr:nvPicPr>
        <xdr:cNvPr id="2" name="Picture 1">
          <a:extLst>
            <a:ext uri="{FF2B5EF4-FFF2-40B4-BE49-F238E27FC236}">
              <a16:creationId xmlns:a16="http://schemas.microsoft.com/office/drawing/2014/main" id="{00000000-0008-0000-0500-000002000000}"/>
            </a:ext>
          </a:extLst>
        </xdr:cNvPr>
        <xdr:cNvPicPr>
          <a:picLocks/>
        </xdr:cNvPicPr>
      </xdr:nvPicPr>
      <xdr:blipFill>
        <a:blip xmlns:r="http://schemas.openxmlformats.org/officeDocument/2006/relationships" r:embed="rId1"/>
        <a:stretch>
          <a:fillRect/>
        </a:stretch>
      </xdr:blipFill>
      <xdr:spPr>
        <a:xfrm>
          <a:off x="381000" y="23925"/>
          <a:ext cx="4284000" cy="9000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0</xdr:colOff>
      <xdr:row>0</xdr:row>
      <xdr:rowOff>23925</xdr:rowOff>
    </xdr:from>
    <xdr:to>
      <xdr:col>3</xdr:col>
      <xdr:colOff>1521750</xdr:colOff>
      <xdr:row>2</xdr:row>
      <xdr:rowOff>295275</xdr:rowOff>
    </xdr:to>
    <xdr:pic>
      <xdr:nvPicPr>
        <xdr:cNvPr id="2" name="Picture 1">
          <a:extLst>
            <a:ext uri="{FF2B5EF4-FFF2-40B4-BE49-F238E27FC236}">
              <a16:creationId xmlns:a16="http://schemas.microsoft.com/office/drawing/2014/main" id="{00000000-0008-0000-0600-000002000000}"/>
            </a:ext>
          </a:extLst>
        </xdr:cNvPr>
        <xdr:cNvPicPr>
          <a:picLocks/>
        </xdr:cNvPicPr>
      </xdr:nvPicPr>
      <xdr:blipFill>
        <a:blip xmlns:r="http://schemas.openxmlformats.org/officeDocument/2006/relationships" r:embed="rId1"/>
        <a:stretch>
          <a:fillRect/>
        </a:stretch>
      </xdr:blipFill>
      <xdr:spPr>
        <a:xfrm>
          <a:off x="381000" y="23925"/>
          <a:ext cx="4284000" cy="9000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0</xdr:colOff>
      <xdr:row>0</xdr:row>
      <xdr:rowOff>23925</xdr:rowOff>
    </xdr:from>
    <xdr:to>
      <xdr:col>5</xdr:col>
      <xdr:colOff>140625</xdr:colOff>
      <xdr:row>2</xdr:row>
      <xdr:rowOff>295275</xdr:rowOff>
    </xdr:to>
    <xdr:pic>
      <xdr:nvPicPr>
        <xdr:cNvPr id="2" name="Picture 1">
          <a:extLst>
            <a:ext uri="{FF2B5EF4-FFF2-40B4-BE49-F238E27FC236}">
              <a16:creationId xmlns:a16="http://schemas.microsoft.com/office/drawing/2014/main" id="{00000000-0008-0000-0700-000002000000}"/>
            </a:ext>
          </a:extLst>
        </xdr:cNvPr>
        <xdr:cNvPicPr>
          <a:picLocks/>
        </xdr:cNvPicPr>
      </xdr:nvPicPr>
      <xdr:blipFill>
        <a:blip xmlns:r="http://schemas.openxmlformats.org/officeDocument/2006/relationships" r:embed="rId1"/>
        <a:stretch>
          <a:fillRect/>
        </a:stretch>
      </xdr:blipFill>
      <xdr:spPr>
        <a:xfrm>
          <a:off x="381000" y="23925"/>
          <a:ext cx="4284000" cy="900000"/>
        </a:xfrm>
        <a:prstGeom prst="rect">
          <a:avLst/>
        </a:prstGeom>
      </xdr:spPr>
    </xdr:pic>
    <xdr:clientData/>
  </xdr:twoCellAnchor>
  <xdr:twoCellAnchor>
    <xdr:from>
      <xdr:col>2</xdr:col>
      <xdr:colOff>0</xdr:colOff>
      <xdr:row>19</xdr:row>
      <xdr:rowOff>0</xdr:rowOff>
    </xdr:from>
    <xdr:to>
      <xdr:col>3</xdr:col>
      <xdr:colOff>1400175</xdr:colOff>
      <xdr:row>23</xdr:row>
      <xdr:rowOff>0</xdr:rowOff>
    </xdr:to>
    <xdr:sp macro="" textlink="">
      <xdr:nvSpPr>
        <xdr:cNvPr id="3" name="Rectangle 1">
          <a:extLst>
            <a:ext uri="{FF2B5EF4-FFF2-40B4-BE49-F238E27FC236}">
              <a16:creationId xmlns:a16="http://schemas.microsoft.com/office/drawing/2014/main" id="{00000000-0008-0000-0700-000003000000}"/>
            </a:ext>
          </a:extLst>
        </xdr:cNvPr>
        <xdr:cNvSpPr/>
      </xdr:nvSpPr>
      <xdr:spPr>
        <a:xfrm>
          <a:off x="762000" y="3990975"/>
          <a:ext cx="1552575" cy="762000"/>
        </a:xfrm>
        <a:prstGeom prst="rect">
          <a:avLst/>
        </a:prstGeom>
        <a:solidFill>
          <a:srgbClr val="E1E3E6"/>
        </a:solidFill>
        <a:ln>
          <a:solidFill>
            <a:sysClr val="windowText" lastClr="000000"/>
          </a:solid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en-CA" sz="1100">
              <a:solidFill>
                <a:sysClr val="windowText" lastClr="000000"/>
              </a:solidFill>
            </a:rPr>
            <a:t>Convert to PDF</a:t>
          </a:r>
        </a:p>
      </xdr:txBody>
    </xdr:sp>
    <xdr:clientData/>
  </xdr:twoCellAnchor>
  <mc:AlternateContent xmlns:mc="http://schemas.openxmlformats.org/markup-compatibility/2006">
    <mc:Choice xmlns:a14="http://schemas.microsoft.com/office/drawing/2010/main" Requires="a14">
      <xdr:twoCellAnchor>
        <xdr:from>
          <xdr:col>2</xdr:col>
          <xdr:colOff>0</xdr:colOff>
          <xdr:row>19</xdr:row>
          <xdr:rowOff>0</xdr:rowOff>
        </xdr:from>
        <xdr:to>
          <xdr:col>3</xdr:col>
          <xdr:colOff>1400175</xdr:colOff>
          <xdr:row>23</xdr:row>
          <xdr:rowOff>0</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700-000001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Convert to PDF</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xdr:twoCellAnchor editAs="oneCell">
    <xdr:from>
      <xdr:col>1</xdr:col>
      <xdr:colOff>0</xdr:colOff>
      <xdr:row>0</xdr:row>
      <xdr:rowOff>23925</xdr:rowOff>
    </xdr:from>
    <xdr:to>
      <xdr:col>4</xdr:col>
      <xdr:colOff>140625</xdr:colOff>
      <xdr:row>2</xdr:row>
      <xdr:rowOff>295275</xdr:rowOff>
    </xdr:to>
    <xdr:pic>
      <xdr:nvPicPr>
        <xdr:cNvPr id="2" name="Picture 1">
          <a:extLst>
            <a:ext uri="{FF2B5EF4-FFF2-40B4-BE49-F238E27FC236}">
              <a16:creationId xmlns:a16="http://schemas.microsoft.com/office/drawing/2014/main" id="{00000000-0008-0000-0800-000002000000}"/>
            </a:ext>
          </a:extLst>
        </xdr:cNvPr>
        <xdr:cNvPicPr>
          <a:picLocks/>
        </xdr:cNvPicPr>
      </xdr:nvPicPr>
      <xdr:blipFill>
        <a:blip xmlns:r="http://schemas.openxmlformats.org/officeDocument/2006/relationships" r:embed="rId1"/>
        <a:stretch>
          <a:fillRect/>
        </a:stretch>
      </xdr:blipFill>
      <xdr:spPr>
        <a:xfrm>
          <a:off x="381000" y="23925"/>
          <a:ext cx="4284000" cy="900000"/>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3" Type="http://schemas.openxmlformats.org/officeDocument/2006/relationships/ctrlProp" Target="../ctrlProps/ctrlProp15.xml"/><Relationship Id="rId18" Type="http://schemas.openxmlformats.org/officeDocument/2006/relationships/ctrlProp" Target="../ctrlProps/ctrlProp20.xml"/><Relationship Id="rId26" Type="http://schemas.openxmlformats.org/officeDocument/2006/relationships/ctrlProp" Target="../ctrlProps/ctrlProp28.xml"/><Relationship Id="rId39" Type="http://schemas.openxmlformats.org/officeDocument/2006/relationships/ctrlProp" Target="../ctrlProps/ctrlProp41.xml"/><Relationship Id="rId21" Type="http://schemas.openxmlformats.org/officeDocument/2006/relationships/ctrlProp" Target="../ctrlProps/ctrlProp23.xml"/><Relationship Id="rId34" Type="http://schemas.openxmlformats.org/officeDocument/2006/relationships/ctrlProp" Target="../ctrlProps/ctrlProp36.xml"/><Relationship Id="rId42" Type="http://schemas.openxmlformats.org/officeDocument/2006/relationships/ctrlProp" Target="../ctrlProps/ctrlProp44.xml"/><Relationship Id="rId47" Type="http://schemas.openxmlformats.org/officeDocument/2006/relationships/ctrlProp" Target="../ctrlProps/ctrlProp49.xml"/><Relationship Id="rId7" Type="http://schemas.openxmlformats.org/officeDocument/2006/relationships/ctrlProp" Target="../ctrlProps/ctrlProp9.xml"/><Relationship Id="rId2" Type="http://schemas.openxmlformats.org/officeDocument/2006/relationships/drawing" Target="../drawings/drawing3.xml"/><Relationship Id="rId16" Type="http://schemas.openxmlformats.org/officeDocument/2006/relationships/ctrlProp" Target="../ctrlProps/ctrlProp18.xml"/><Relationship Id="rId29" Type="http://schemas.openxmlformats.org/officeDocument/2006/relationships/ctrlProp" Target="../ctrlProps/ctrlProp31.xml"/><Relationship Id="rId1" Type="http://schemas.openxmlformats.org/officeDocument/2006/relationships/printerSettings" Target="../printerSettings/printerSettings3.bin"/><Relationship Id="rId6" Type="http://schemas.openxmlformats.org/officeDocument/2006/relationships/ctrlProp" Target="../ctrlProps/ctrlProp8.xml"/><Relationship Id="rId11" Type="http://schemas.openxmlformats.org/officeDocument/2006/relationships/ctrlProp" Target="../ctrlProps/ctrlProp13.xml"/><Relationship Id="rId24" Type="http://schemas.openxmlformats.org/officeDocument/2006/relationships/ctrlProp" Target="../ctrlProps/ctrlProp26.xml"/><Relationship Id="rId32" Type="http://schemas.openxmlformats.org/officeDocument/2006/relationships/ctrlProp" Target="../ctrlProps/ctrlProp34.xml"/><Relationship Id="rId37" Type="http://schemas.openxmlformats.org/officeDocument/2006/relationships/ctrlProp" Target="../ctrlProps/ctrlProp39.xml"/><Relationship Id="rId40" Type="http://schemas.openxmlformats.org/officeDocument/2006/relationships/ctrlProp" Target="../ctrlProps/ctrlProp42.xml"/><Relationship Id="rId45" Type="http://schemas.openxmlformats.org/officeDocument/2006/relationships/ctrlProp" Target="../ctrlProps/ctrlProp47.xml"/><Relationship Id="rId5" Type="http://schemas.openxmlformats.org/officeDocument/2006/relationships/ctrlProp" Target="../ctrlProps/ctrlProp7.xml"/><Relationship Id="rId15" Type="http://schemas.openxmlformats.org/officeDocument/2006/relationships/ctrlProp" Target="../ctrlProps/ctrlProp17.xml"/><Relationship Id="rId23" Type="http://schemas.openxmlformats.org/officeDocument/2006/relationships/ctrlProp" Target="../ctrlProps/ctrlProp25.xml"/><Relationship Id="rId28" Type="http://schemas.openxmlformats.org/officeDocument/2006/relationships/ctrlProp" Target="../ctrlProps/ctrlProp30.xml"/><Relationship Id="rId36" Type="http://schemas.openxmlformats.org/officeDocument/2006/relationships/ctrlProp" Target="../ctrlProps/ctrlProp38.xml"/><Relationship Id="rId10" Type="http://schemas.openxmlformats.org/officeDocument/2006/relationships/ctrlProp" Target="../ctrlProps/ctrlProp12.xml"/><Relationship Id="rId19" Type="http://schemas.openxmlformats.org/officeDocument/2006/relationships/ctrlProp" Target="../ctrlProps/ctrlProp21.xml"/><Relationship Id="rId31" Type="http://schemas.openxmlformats.org/officeDocument/2006/relationships/ctrlProp" Target="../ctrlProps/ctrlProp33.xml"/><Relationship Id="rId44" Type="http://schemas.openxmlformats.org/officeDocument/2006/relationships/ctrlProp" Target="../ctrlProps/ctrlProp46.xml"/><Relationship Id="rId4" Type="http://schemas.openxmlformats.org/officeDocument/2006/relationships/ctrlProp" Target="../ctrlProps/ctrlProp6.xml"/><Relationship Id="rId9" Type="http://schemas.openxmlformats.org/officeDocument/2006/relationships/ctrlProp" Target="../ctrlProps/ctrlProp11.xml"/><Relationship Id="rId14" Type="http://schemas.openxmlformats.org/officeDocument/2006/relationships/ctrlProp" Target="../ctrlProps/ctrlProp16.xml"/><Relationship Id="rId22" Type="http://schemas.openxmlformats.org/officeDocument/2006/relationships/ctrlProp" Target="../ctrlProps/ctrlProp24.xml"/><Relationship Id="rId27" Type="http://schemas.openxmlformats.org/officeDocument/2006/relationships/ctrlProp" Target="../ctrlProps/ctrlProp29.xml"/><Relationship Id="rId30" Type="http://schemas.openxmlformats.org/officeDocument/2006/relationships/ctrlProp" Target="../ctrlProps/ctrlProp32.xml"/><Relationship Id="rId35" Type="http://schemas.openxmlformats.org/officeDocument/2006/relationships/ctrlProp" Target="../ctrlProps/ctrlProp37.xml"/><Relationship Id="rId43" Type="http://schemas.openxmlformats.org/officeDocument/2006/relationships/ctrlProp" Target="../ctrlProps/ctrlProp45.xml"/><Relationship Id="rId48" Type="http://schemas.openxmlformats.org/officeDocument/2006/relationships/ctrlProp" Target="../ctrlProps/ctrlProp50.xml"/><Relationship Id="rId8" Type="http://schemas.openxmlformats.org/officeDocument/2006/relationships/ctrlProp" Target="../ctrlProps/ctrlProp10.xml"/><Relationship Id="rId3" Type="http://schemas.openxmlformats.org/officeDocument/2006/relationships/vmlDrawing" Target="../drawings/vmlDrawing2.vml"/><Relationship Id="rId12" Type="http://schemas.openxmlformats.org/officeDocument/2006/relationships/ctrlProp" Target="../ctrlProps/ctrlProp14.xml"/><Relationship Id="rId17" Type="http://schemas.openxmlformats.org/officeDocument/2006/relationships/ctrlProp" Target="../ctrlProps/ctrlProp19.xml"/><Relationship Id="rId25" Type="http://schemas.openxmlformats.org/officeDocument/2006/relationships/ctrlProp" Target="../ctrlProps/ctrlProp27.xml"/><Relationship Id="rId33" Type="http://schemas.openxmlformats.org/officeDocument/2006/relationships/ctrlProp" Target="../ctrlProps/ctrlProp35.xml"/><Relationship Id="rId38" Type="http://schemas.openxmlformats.org/officeDocument/2006/relationships/ctrlProp" Target="../ctrlProps/ctrlProp40.xml"/><Relationship Id="rId46" Type="http://schemas.openxmlformats.org/officeDocument/2006/relationships/ctrlProp" Target="../ctrlProps/ctrlProp48.xml"/><Relationship Id="rId20" Type="http://schemas.openxmlformats.org/officeDocument/2006/relationships/ctrlProp" Target="../ctrlProps/ctrlProp22.xml"/><Relationship Id="rId41" Type="http://schemas.openxmlformats.org/officeDocument/2006/relationships/ctrlProp" Target="../ctrlProps/ctrlProp4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trlProp" Target="../ctrlProps/ctrlProp51.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D2A68-77FC-4EA2-9214-2E82011F23B8}">
  <sheetPr codeName="Sheet1">
    <tabColor rgb="FFFBDD40"/>
    <pageSetUpPr fitToPage="1"/>
  </sheetPr>
  <dimension ref="A1:F65"/>
  <sheetViews>
    <sheetView showGridLines="0" showRowColHeaders="0" tabSelected="1" zoomScaleNormal="100" workbookViewId="0"/>
  </sheetViews>
  <sheetFormatPr defaultColWidth="8.7109375" defaultRowHeight="15" customHeight="1" x14ac:dyDescent="0.25"/>
  <cols>
    <col min="1" max="1" width="5.7109375" customWidth="1"/>
    <col min="2" max="2" width="5.7109375" style="122" customWidth="1"/>
    <col min="3" max="3" width="50.7109375" style="122" customWidth="1"/>
    <col min="4" max="4" width="5.7109375" style="122" customWidth="1"/>
    <col min="5" max="5" width="50.7109375" style="122" customWidth="1"/>
    <col min="6" max="6" width="5.7109375" style="122" customWidth="1"/>
    <col min="7" max="16384" width="8.7109375" style="122"/>
  </cols>
  <sheetData>
    <row r="1" spans="2:6" customFormat="1" ht="24.95" customHeight="1" x14ac:dyDescent="0.25"/>
    <row r="2" spans="2:6" customFormat="1" ht="24.95" customHeight="1" x14ac:dyDescent="0.25"/>
    <row r="3" spans="2:6" customFormat="1" ht="24.95" customHeight="1" x14ac:dyDescent="0.25"/>
    <row r="4" spans="2:6" ht="24.95" customHeight="1" x14ac:dyDescent="0.25">
      <c r="B4" s="1"/>
      <c r="C4" s="96" t="s">
        <v>4</v>
      </c>
      <c r="D4" s="96"/>
      <c r="E4" s="96"/>
      <c r="F4" s="2"/>
    </row>
    <row r="5" spans="2:6" ht="24.95" customHeight="1" x14ac:dyDescent="0.25">
      <c r="B5" s="3"/>
      <c r="C5" s="158"/>
      <c r="D5" s="158"/>
      <c r="E5" s="158"/>
      <c r="F5" s="4"/>
    </row>
    <row r="6" spans="2:6" ht="20.100000000000001" customHeight="1" x14ac:dyDescent="0.25">
      <c r="B6" s="5"/>
      <c r="C6" s="97" t="s">
        <v>0</v>
      </c>
      <c r="D6" s="97"/>
      <c r="E6" s="97"/>
      <c r="F6" s="6"/>
    </row>
    <row r="7" spans="2:6" ht="15" customHeight="1" x14ac:dyDescent="0.25">
      <c r="B7" s="7"/>
      <c r="C7" s="123"/>
      <c r="D7" s="123"/>
      <c r="E7" s="123"/>
      <c r="F7" s="8"/>
    </row>
    <row r="8" spans="2:6" ht="15" customHeight="1" x14ac:dyDescent="0.25">
      <c r="B8" s="9" t="s">
        <v>13</v>
      </c>
      <c r="C8" s="124" t="s">
        <v>5</v>
      </c>
      <c r="D8" s="124"/>
      <c r="E8" s="124"/>
      <c r="F8" s="8"/>
    </row>
    <row r="9" spans="2:6" ht="15" customHeight="1" x14ac:dyDescent="0.25">
      <c r="B9" s="7"/>
      <c r="C9" s="124"/>
      <c r="D9" s="124"/>
      <c r="E9" s="124"/>
      <c r="F9" s="8"/>
    </row>
    <row r="10" spans="2:6" ht="15" customHeight="1" x14ac:dyDescent="0.25">
      <c r="B10" s="9" t="s">
        <v>13</v>
      </c>
      <c r="C10" s="124" t="s">
        <v>6</v>
      </c>
      <c r="D10" s="124"/>
      <c r="E10" s="124"/>
      <c r="F10" s="8"/>
    </row>
    <row r="11" spans="2:6" ht="15" customHeight="1" x14ac:dyDescent="0.25">
      <c r="B11" s="7"/>
      <c r="C11" s="124"/>
      <c r="D11" s="124"/>
      <c r="E11" s="124"/>
      <c r="F11" s="8"/>
    </row>
    <row r="12" spans="2:6" ht="15" customHeight="1" x14ac:dyDescent="0.25">
      <c r="B12" s="9" t="s">
        <v>13</v>
      </c>
      <c r="C12" s="124" t="s">
        <v>7</v>
      </c>
      <c r="D12" s="124"/>
      <c r="E12" s="124"/>
      <c r="F12" s="8"/>
    </row>
    <row r="13" spans="2:6" ht="15" customHeight="1" x14ac:dyDescent="0.25">
      <c r="B13" s="7"/>
      <c r="C13" s="124"/>
      <c r="D13" s="124"/>
      <c r="E13" s="124"/>
      <c r="F13" s="8"/>
    </row>
    <row r="14" spans="2:6" ht="15" customHeight="1" x14ac:dyDescent="0.25">
      <c r="B14" s="7"/>
      <c r="C14" s="124"/>
      <c r="D14" s="124"/>
      <c r="E14" s="124"/>
      <c r="F14" s="8"/>
    </row>
    <row r="15" spans="2:6" ht="15" customHeight="1" x14ac:dyDescent="0.25">
      <c r="B15" s="9" t="s">
        <v>13</v>
      </c>
      <c r="C15" s="124" t="s">
        <v>8</v>
      </c>
      <c r="D15" s="124"/>
      <c r="E15" s="124"/>
      <c r="F15" s="8"/>
    </row>
    <row r="16" spans="2:6" ht="15" customHeight="1" x14ac:dyDescent="0.25">
      <c r="B16" s="7"/>
      <c r="C16" s="124"/>
      <c r="D16" s="124"/>
      <c r="E16" s="124"/>
      <c r="F16" s="8"/>
    </row>
    <row r="17" spans="2:6" ht="15" customHeight="1" x14ac:dyDescent="0.25">
      <c r="B17" s="7"/>
      <c r="C17" s="124"/>
      <c r="D17" s="124"/>
      <c r="E17" s="124"/>
      <c r="F17" s="8"/>
    </row>
    <row r="18" spans="2:6" ht="15" customHeight="1" x14ac:dyDescent="0.25">
      <c r="B18" s="9" t="s">
        <v>13</v>
      </c>
      <c r="C18" s="124" t="s">
        <v>9</v>
      </c>
      <c r="D18" s="124"/>
      <c r="E18" s="124"/>
      <c r="F18" s="8"/>
    </row>
    <row r="19" spans="2:6" ht="15" customHeight="1" x14ac:dyDescent="0.25">
      <c r="B19" s="7"/>
      <c r="C19" s="124"/>
      <c r="D19" s="124"/>
      <c r="E19" s="124"/>
      <c r="F19" s="8"/>
    </row>
    <row r="20" spans="2:6" ht="15" customHeight="1" x14ac:dyDescent="0.25">
      <c r="B20" s="9" t="s">
        <v>13</v>
      </c>
      <c r="C20" s="125" t="s">
        <v>10</v>
      </c>
      <c r="D20" s="124"/>
      <c r="E20" s="124"/>
      <c r="F20" s="8"/>
    </row>
    <row r="21" spans="2:6" ht="15" customHeight="1" x14ac:dyDescent="0.25">
      <c r="B21" s="7"/>
      <c r="C21" s="124"/>
      <c r="D21" s="124"/>
      <c r="E21" s="124"/>
      <c r="F21" s="8"/>
    </row>
    <row r="22" spans="2:6" ht="15" customHeight="1" x14ac:dyDescent="0.25">
      <c r="B22" s="9" t="s">
        <v>13</v>
      </c>
      <c r="C22" s="124" t="s">
        <v>11</v>
      </c>
      <c r="D22" s="124"/>
      <c r="E22" s="124"/>
      <c r="F22" s="8"/>
    </row>
    <row r="23" spans="2:6" ht="15" customHeight="1" x14ac:dyDescent="0.25">
      <c r="B23" s="7"/>
      <c r="C23" s="124"/>
      <c r="D23" s="124"/>
      <c r="E23" s="124"/>
      <c r="F23" s="8"/>
    </row>
    <row r="24" spans="2:6" ht="15" customHeight="1" x14ac:dyDescent="0.25">
      <c r="B24" s="9" t="s">
        <v>13</v>
      </c>
      <c r="C24" s="124" t="s">
        <v>12</v>
      </c>
      <c r="D24" s="124"/>
      <c r="E24" s="124"/>
      <c r="F24" s="8"/>
    </row>
    <row r="25" spans="2:6" ht="15" customHeight="1" x14ac:dyDescent="0.25">
      <c r="B25" s="7"/>
      <c r="C25" s="98"/>
      <c r="D25" s="98"/>
      <c r="E25" s="98"/>
      <c r="F25" s="8"/>
    </row>
    <row r="26" spans="2:6" ht="20.100000000000001" customHeight="1" x14ac:dyDescent="0.25">
      <c r="B26" s="5"/>
      <c r="C26" s="97" t="s">
        <v>1</v>
      </c>
      <c r="D26" s="97"/>
      <c r="E26" s="97"/>
      <c r="F26" s="6"/>
    </row>
    <row r="27" spans="2:6" ht="15" customHeight="1" x14ac:dyDescent="0.25">
      <c r="B27" s="7"/>
      <c r="C27" s="123"/>
      <c r="D27" s="123"/>
      <c r="E27" s="123"/>
      <c r="F27" s="8"/>
    </row>
    <row r="28" spans="2:6" ht="15" customHeight="1" x14ac:dyDescent="0.25">
      <c r="B28" s="9" t="s">
        <v>13</v>
      </c>
      <c r="C28" s="124" t="s">
        <v>239</v>
      </c>
      <c r="D28" s="124"/>
      <c r="E28" s="124"/>
      <c r="F28" s="8"/>
    </row>
    <row r="29" spans="2:6" ht="15" customHeight="1" x14ac:dyDescent="0.25">
      <c r="B29" s="7"/>
      <c r="C29" s="124"/>
      <c r="D29" s="124"/>
      <c r="E29" s="124"/>
      <c r="F29" s="8"/>
    </row>
    <row r="30" spans="2:6" ht="15" customHeight="1" x14ac:dyDescent="0.25">
      <c r="B30" s="9" t="s">
        <v>13</v>
      </c>
      <c r="C30" s="124" t="s">
        <v>4363</v>
      </c>
      <c r="D30" s="124"/>
      <c r="E30" s="124"/>
      <c r="F30" s="8"/>
    </row>
    <row r="31" spans="2:6" ht="15" customHeight="1" x14ac:dyDescent="0.25">
      <c r="B31" s="7"/>
      <c r="C31" s="124"/>
      <c r="D31" s="124"/>
      <c r="E31" s="124"/>
      <c r="F31" s="8"/>
    </row>
    <row r="32" spans="2:6" ht="15" customHeight="1" x14ac:dyDescent="0.25">
      <c r="B32" s="9" t="s">
        <v>13</v>
      </c>
      <c r="C32" s="124" t="s">
        <v>4364</v>
      </c>
      <c r="D32" s="124"/>
      <c r="E32" s="124"/>
      <c r="F32" s="8"/>
    </row>
    <row r="33" spans="2:6" ht="15" customHeight="1" x14ac:dyDescent="0.25">
      <c r="B33" s="7"/>
      <c r="C33" s="124"/>
      <c r="D33" s="124"/>
      <c r="E33" s="124"/>
      <c r="F33" s="8"/>
    </row>
    <row r="34" spans="2:6" ht="15" customHeight="1" x14ac:dyDescent="0.25">
      <c r="B34" s="9" t="s">
        <v>13</v>
      </c>
      <c r="C34" s="124" t="s">
        <v>4367</v>
      </c>
      <c r="D34" s="124"/>
      <c r="E34" s="124"/>
      <c r="F34" s="8"/>
    </row>
    <row r="35" spans="2:6" ht="15" customHeight="1" x14ac:dyDescent="0.25">
      <c r="B35" s="7"/>
      <c r="C35" s="124"/>
      <c r="D35" s="124"/>
      <c r="E35" s="124"/>
      <c r="F35" s="8"/>
    </row>
    <row r="36" spans="2:6" ht="15" customHeight="1" x14ac:dyDescent="0.25">
      <c r="B36" s="9" t="s">
        <v>13</v>
      </c>
      <c r="C36" s="124" t="s">
        <v>4368</v>
      </c>
      <c r="D36" s="124"/>
      <c r="E36" s="124"/>
      <c r="F36" s="8"/>
    </row>
    <row r="37" spans="2:6" ht="15" customHeight="1" x14ac:dyDescent="0.25">
      <c r="B37" s="7"/>
      <c r="C37" s="124"/>
      <c r="D37" s="124"/>
      <c r="E37" s="124"/>
      <c r="F37" s="8"/>
    </row>
    <row r="38" spans="2:6" ht="15" customHeight="1" x14ac:dyDescent="0.25">
      <c r="B38" s="7"/>
      <c r="C38" s="124"/>
      <c r="D38" s="124"/>
      <c r="E38" s="124"/>
      <c r="F38" s="8"/>
    </row>
    <row r="39" spans="2:6" ht="15" customHeight="1" x14ac:dyDescent="0.25">
      <c r="B39" s="7"/>
      <c r="C39" s="124"/>
      <c r="D39" s="124"/>
      <c r="E39" s="124"/>
      <c r="F39" s="8"/>
    </row>
    <row r="40" spans="2:6" ht="15" customHeight="1" x14ac:dyDescent="0.25">
      <c r="B40" s="9" t="s">
        <v>13</v>
      </c>
      <c r="C40" s="124" t="s">
        <v>29405</v>
      </c>
      <c r="D40" s="124"/>
      <c r="E40" s="124"/>
      <c r="F40" s="8"/>
    </row>
    <row r="41" spans="2:6" ht="15" customHeight="1" x14ac:dyDescent="0.25">
      <c r="B41" s="7"/>
      <c r="C41" s="124"/>
      <c r="D41" s="124"/>
      <c r="E41" s="124"/>
      <c r="F41" s="8"/>
    </row>
    <row r="42" spans="2:6" ht="15" customHeight="1" x14ac:dyDescent="0.25">
      <c r="B42" s="7"/>
      <c r="C42" s="124"/>
      <c r="D42" s="124"/>
      <c r="E42" s="124"/>
      <c r="F42" s="8"/>
    </row>
    <row r="43" spans="2:6" ht="15" customHeight="1" x14ac:dyDescent="0.25">
      <c r="B43" s="9" t="s">
        <v>13</v>
      </c>
      <c r="C43" s="124" t="s">
        <v>221</v>
      </c>
      <c r="D43" s="124"/>
      <c r="E43" s="124"/>
      <c r="F43" s="8"/>
    </row>
    <row r="44" spans="2:6" ht="15" customHeight="1" x14ac:dyDescent="0.25">
      <c r="B44" s="7"/>
      <c r="C44" s="124"/>
      <c r="D44" s="124"/>
      <c r="E44" s="124"/>
      <c r="F44" s="8"/>
    </row>
    <row r="45" spans="2:6" ht="15" customHeight="1" x14ac:dyDescent="0.25">
      <c r="B45" s="7"/>
      <c r="C45" s="98"/>
      <c r="D45" s="98"/>
      <c r="E45" s="98"/>
      <c r="F45" s="8"/>
    </row>
    <row r="46" spans="2:6" ht="20.100000000000001" customHeight="1" x14ac:dyDescent="0.25">
      <c r="B46" s="5"/>
      <c r="C46" s="97" t="s">
        <v>2</v>
      </c>
      <c r="D46" s="97"/>
      <c r="E46" s="97"/>
      <c r="F46" s="6"/>
    </row>
    <row r="47" spans="2:6" ht="15" customHeight="1" x14ac:dyDescent="0.25">
      <c r="B47" s="7"/>
      <c r="C47" s="123"/>
      <c r="D47" s="123"/>
      <c r="E47" s="123"/>
      <c r="F47" s="8"/>
    </row>
    <row r="48" spans="2:6" ht="15" customHeight="1" x14ac:dyDescent="0.25">
      <c r="B48" s="9" t="s">
        <v>13</v>
      </c>
      <c r="C48" s="124" t="s">
        <v>4365</v>
      </c>
      <c r="D48" s="124"/>
      <c r="E48" s="124"/>
      <c r="F48" s="8"/>
    </row>
    <row r="49" spans="2:6" ht="15" customHeight="1" x14ac:dyDescent="0.25">
      <c r="B49" s="7"/>
      <c r="C49" s="124"/>
      <c r="D49" s="124"/>
      <c r="E49" s="124"/>
      <c r="F49" s="8"/>
    </row>
    <row r="50" spans="2:6" ht="15" customHeight="1" x14ac:dyDescent="0.25">
      <c r="B50" s="7"/>
      <c r="C50" s="124"/>
      <c r="D50" s="124"/>
      <c r="E50" s="124"/>
      <c r="F50" s="8"/>
    </row>
    <row r="51" spans="2:6" ht="15" customHeight="1" x14ac:dyDescent="0.25">
      <c r="B51" s="7"/>
      <c r="C51" s="124"/>
      <c r="D51" s="124"/>
      <c r="E51" s="124"/>
      <c r="F51" s="8"/>
    </row>
    <row r="52" spans="2:6" ht="15" customHeight="1" x14ac:dyDescent="0.25">
      <c r="B52" s="7"/>
      <c r="C52" s="124"/>
      <c r="D52" s="124"/>
      <c r="E52" s="124"/>
      <c r="F52" s="8"/>
    </row>
    <row r="53" spans="2:6" ht="15" customHeight="1" x14ac:dyDescent="0.25">
      <c r="B53" s="7"/>
      <c r="C53" s="124"/>
      <c r="D53" s="124"/>
      <c r="E53" s="124"/>
      <c r="F53" s="8"/>
    </row>
    <row r="54" spans="2:6" ht="15" customHeight="1" x14ac:dyDescent="0.25">
      <c r="B54" s="7"/>
      <c r="C54" s="124"/>
      <c r="D54" s="124"/>
      <c r="E54" s="124"/>
      <c r="F54" s="8"/>
    </row>
    <row r="55" spans="2:6" ht="15" customHeight="1" x14ac:dyDescent="0.25">
      <c r="B55" s="7"/>
      <c r="C55" s="98"/>
      <c r="D55" s="98"/>
      <c r="E55" s="98"/>
      <c r="F55" s="8"/>
    </row>
    <row r="56" spans="2:6" ht="20.100000000000001" customHeight="1" x14ac:dyDescent="0.25">
      <c r="B56" s="5"/>
      <c r="C56" s="97" t="s">
        <v>3</v>
      </c>
      <c r="D56" s="97"/>
      <c r="E56" s="97"/>
      <c r="F56" s="6"/>
    </row>
    <row r="57" spans="2:6" ht="15" customHeight="1" x14ac:dyDescent="0.25">
      <c r="B57" s="7"/>
      <c r="C57" s="123"/>
      <c r="D57" s="123"/>
      <c r="E57" s="123"/>
      <c r="F57" s="8"/>
    </row>
    <row r="58" spans="2:6" ht="15" customHeight="1" x14ac:dyDescent="0.25">
      <c r="B58" s="9" t="s">
        <v>13</v>
      </c>
      <c r="C58" s="124" t="s">
        <v>4366</v>
      </c>
      <c r="D58" s="124"/>
      <c r="E58" s="124"/>
      <c r="F58" s="8"/>
    </row>
    <row r="59" spans="2:6" ht="15" customHeight="1" x14ac:dyDescent="0.25">
      <c r="B59" s="7"/>
      <c r="C59" s="124"/>
      <c r="D59" s="124"/>
      <c r="E59" s="124"/>
      <c r="F59" s="8"/>
    </row>
    <row r="60" spans="2:6" ht="15" customHeight="1" x14ac:dyDescent="0.25">
      <c r="B60" s="7"/>
      <c r="C60" s="124"/>
      <c r="D60" s="124"/>
      <c r="E60" s="124"/>
      <c r="F60" s="8"/>
    </row>
    <row r="61" spans="2:6" ht="15" customHeight="1" x14ac:dyDescent="0.25">
      <c r="B61" s="7"/>
      <c r="C61" s="124"/>
      <c r="D61" s="124"/>
      <c r="E61" s="124"/>
      <c r="F61" s="8"/>
    </row>
    <row r="62" spans="2:6" ht="15" customHeight="1" x14ac:dyDescent="0.25">
      <c r="B62" s="9" t="s">
        <v>13</v>
      </c>
      <c r="C62" s="124" t="s">
        <v>14</v>
      </c>
      <c r="D62" s="124"/>
      <c r="E62" s="124"/>
      <c r="F62" s="8"/>
    </row>
    <row r="63" spans="2:6" ht="15" customHeight="1" x14ac:dyDescent="0.25">
      <c r="B63" s="7"/>
      <c r="C63" s="124"/>
      <c r="D63" s="124"/>
      <c r="E63" s="124"/>
      <c r="F63" s="8"/>
    </row>
    <row r="64" spans="2:6" ht="15" customHeight="1" x14ac:dyDescent="0.25">
      <c r="B64" s="7"/>
      <c r="C64" s="124"/>
      <c r="D64" s="124"/>
      <c r="E64" s="124"/>
      <c r="F64" s="8"/>
    </row>
    <row r="65" spans="2:6" ht="15" customHeight="1" x14ac:dyDescent="0.25">
      <c r="B65" s="10"/>
      <c r="C65" s="11">
        <v>4.0199999999999996</v>
      </c>
      <c r="D65" s="12"/>
      <c r="E65" s="13">
        <v>45411</v>
      </c>
      <c r="F65" s="14"/>
    </row>
  </sheetData>
  <sheetProtection algorithmName="SHA-512" hashValue="yQcpPi+2V+ajgpc1BK9wiw1RFTM7QO/eMaO0+gXleIAHftgQxGY7SUJVtVxXtS2bSdQE33+ljoZ3/Kd61h4H6A==" saltValue="GcU57TmSHuwRexJwg+k9/Q==" spinCount="100000" sheet="1" objects="1" scenarios="1" selectLockedCells="1" selectUnlockedCells="1"/>
  <mergeCells count="23">
    <mergeCell ref="C48:E55"/>
    <mergeCell ref="C56:E56"/>
    <mergeCell ref="C58:E61"/>
    <mergeCell ref="C62:E64"/>
    <mergeCell ref="C30:E31"/>
    <mergeCell ref="C32:E33"/>
    <mergeCell ref="C36:E39"/>
    <mergeCell ref="C43:E45"/>
    <mergeCell ref="C46:E46"/>
    <mergeCell ref="C40:E42"/>
    <mergeCell ref="C34:E35"/>
    <mergeCell ref="C28:E29"/>
    <mergeCell ref="C4:E5"/>
    <mergeCell ref="C6:E6"/>
    <mergeCell ref="C8:E9"/>
    <mergeCell ref="C10:E11"/>
    <mergeCell ref="C12:E14"/>
    <mergeCell ref="C15:E17"/>
    <mergeCell ref="C18:E19"/>
    <mergeCell ref="C20:E21"/>
    <mergeCell ref="C22:E23"/>
    <mergeCell ref="C24:E25"/>
    <mergeCell ref="C26:E26"/>
  </mergeCells>
  <printOptions horizontalCentered="1"/>
  <pageMargins left="0.25" right="0.25" top="0.25" bottom="0.25" header="0" footer="0"/>
  <pageSetup scale="85" fitToHeight="0"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B4864F-6F44-4724-9047-640C69D90D49}">
  <sheetPr codeName="Sheet2">
    <tabColor rgb="FF046A38"/>
    <pageSetUpPr fitToPage="1"/>
  </sheetPr>
  <dimension ref="A1:I5036"/>
  <sheetViews>
    <sheetView showGridLines="0" showRowColHeaders="0" zoomScaleNormal="100" zoomScaleSheetLayoutView="104" workbookViewId="0">
      <selection activeCell="C7" sqref="C7:E7"/>
    </sheetView>
  </sheetViews>
  <sheetFormatPr defaultColWidth="8.7109375" defaultRowHeight="15" customHeight="1" x14ac:dyDescent="0.25"/>
  <cols>
    <col min="1" max="1" width="5.7109375" customWidth="1"/>
    <col min="2" max="3" width="5.7109375" style="122" customWidth="1"/>
    <col min="4" max="8" width="20.28515625" style="122" customWidth="1"/>
    <col min="9" max="9" width="5.7109375" style="122" customWidth="1"/>
    <col min="10" max="16384" width="8.7109375" style="122"/>
  </cols>
  <sheetData>
    <row r="1" spans="2:9" customFormat="1" ht="24.95" customHeight="1" x14ac:dyDescent="0.25"/>
    <row r="2" spans="2:9" customFormat="1" ht="24.95" customHeight="1" x14ac:dyDescent="0.25"/>
    <row r="3" spans="2:9" customFormat="1" ht="24.95" customHeight="1" x14ac:dyDescent="0.25"/>
    <row r="4" spans="2:9" ht="24.95" customHeight="1" x14ac:dyDescent="0.25">
      <c r="B4" s="15"/>
      <c r="C4" s="101" t="s">
        <v>69</v>
      </c>
      <c r="D4" s="101"/>
      <c r="E4" s="101"/>
      <c r="F4" s="101"/>
      <c r="G4" s="101"/>
      <c r="H4" s="101"/>
      <c r="I4" s="16"/>
    </row>
    <row r="5" spans="2:9" ht="15" customHeight="1" x14ac:dyDescent="0.25">
      <c r="B5" s="7"/>
      <c r="C5" s="123"/>
      <c r="D5" s="123"/>
      <c r="E5" s="123"/>
      <c r="F5" s="123"/>
      <c r="G5" s="123"/>
      <c r="H5" s="123"/>
      <c r="I5" s="8"/>
    </row>
    <row r="6" spans="2:9" ht="15" customHeight="1" x14ac:dyDescent="0.25">
      <c r="B6" s="7"/>
      <c r="C6" s="123" t="s">
        <v>32</v>
      </c>
      <c r="D6" s="123"/>
      <c r="E6" s="123"/>
      <c r="F6" s="123"/>
      <c r="G6" s="123"/>
      <c r="H6" s="123"/>
      <c r="I6" s="8"/>
    </row>
    <row r="7" spans="2:9" ht="15" customHeight="1" x14ac:dyDescent="0.25">
      <c r="B7" s="7"/>
      <c r="C7" s="102"/>
      <c r="D7" s="103"/>
      <c r="E7" s="104"/>
      <c r="F7" s="123" t="s">
        <v>29729</v>
      </c>
      <c r="G7" s="123"/>
      <c r="H7" s="123"/>
      <c r="I7" s="8"/>
    </row>
    <row r="8" spans="2:9" ht="15" customHeight="1" x14ac:dyDescent="0.25">
      <c r="B8" s="7"/>
      <c r="C8" s="123"/>
      <c r="D8" s="123"/>
      <c r="E8" s="123"/>
      <c r="F8" s="123"/>
      <c r="G8" s="123"/>
      <c r="H8" s="123"/>
      <c r="I8" s="8"/>
    </row>
    <row r="9" spans="2:9" ht="15" customHeight="1" x14ac:dyDescent="0.25">
      <c r="B9" s="7"/>
      <c r="C9" s="123" t="s">
        <v>33</v>
      </c>
      <c r="D9" s="123"/>
      <c r="E9" s="123"/>
      <c r="F9" s="123"/>
      <c r="G9" s="123"/>
      <c r="H9" s="123"/>
      <c r="I9" s="8"/>
    </row>
    <row r="10" spans="2:9" ht="15" customHeight="1" x14ac:dyDescent="0.25">
      <c r="B10" s="7"/>
      <c r="C10" s="102"/>
      <c r="D10" s="103"/>
      <c r="E10" s="104"/>
      <c r="F10" s="123"/>
      <c r="G10" s="123"/>
      <c r="H10" s="123"/>
      <c r="I10" s="8"/>
    </row>
    <row r="11" spans="2:9" ht="15" customHeight="1" x14ac:dyDescent="0.25">
      <c r="B11" s="7"/>
      <c r="C11" s="123"/>
      <c r="D11" s="123"/>
      <c r="E11" s="123"/>
      <c r="F11" s="123"/>
      <c r="G11" s="123"/>
      <c r="H11" s="123"/>
      <c r="I11" s="8"/>
    </row>
    <row r="12" spans="2:9" ht="15" customHeight="1" x14ac:dyDescent="0.25">
      <c r="B12" s="7"/>
      <c r="C12" s="124" t="s">
        <v>240</v>
      </c>
      <c r="D12" s="124"/>
      <c r="E12" s="124"/>
      <c r="F12" s="124"/>
      <c r="G12" s="124"/>
      <c r="H12" s="124"/>
      <c r="I12" s="8"/>
    </row>
    <row r="13" spans="2:9" ht="15" customHeight="1" x14ac:dyDescent="0.25">
      <c r="B13" s="7"/>
      <c r="C13" s="124"/>
      <c r="D13" s="124"/>
      <c r="E13" s="124"/>
      <c r="F13" s="124"/>
      <c r="G13" s="124"/>
      <c r="H13" s="124"/>
      <c r="I13" s="8"/>
    </row>
    <row r="14" spans="2:9" ht="15" customHeight="1" x14ac:dyDescent="0.25">
      <c r="B14" s="7"/>
      <c r="C14" s="144" t="s">
        <v>255</v>
      </c>
      <c r="D14" s="144"/>
      <c r="E14" s="144"/>
      <c r="F14" s="144"/>
      <c r="G14" s="144"/>
      <c r="H14" s="144"/>
      <c r="I14" s="8"/>
    </row>
    <row r="15" spans="2:9" ht="15" customHeight="1" x14ac:dyDescent="0.25">
      <c r="B15" s="7"/>
      <c r="C15" s="144" t="s">
        <v>257</v>
      </c>
      <c r="D15" s="144"/>
      <c r="E15" s="144"/>
      <c r="F15" s="144"/>
      <c r="G15" s="144"/>
      <c r="H15" s="144"/>
      <c r="I15" s="8"/>
    </row>
    <row r="16" spans="2:9" ht="15" customHeight="1" x14ac:dyDescent="0.25">
      <c r="B16" s="7"/>
      <c r="C16" s="102"/>
      <c r="D16" s="103"/>
      <c r="E16" s="104"/>
      <c r="F16" s="123"/>
      <c r="G16" s="123"/>
      <c r="H16" s="123"/>
      <c r="I16" s="8"/>
    </row>
    <row r="17" spans="2:9" ht="15" customHeight="1" x14ac:dyDescent="0.25">
      <c r="B17" s="7"/>
      <c r="C17" s="123"/>
      <c r="D17" s="123"/>
      <c r="E17" s="123"/>
      <c r="F17" s="123"/>
      <c r="G17" s="123"/>
      <c r="H17" s="123"/>
      <c r="I17" s="8"/>
    </row>
    <row r="18" spans="2:9" ht="15" customHeight="1" x14ac:dyDescent="0.25">
      <c r="B18" s="7"/>
      <c r="C18" s="124" t="s">
        <v>256</v>
      </c>
      <c r="D18" s="124"/>
      <c r="E18" s="124"/>
      <c r="F18" s="124"/>
      <c r="G18" s="124"/>
      <c r="H18" s="124"/>
      <c r="I18" s="8"/>
    </row>
    <row r="19" spans="2:9" ht="15" customHeight="1" x14ac:dyDescent="0.25">
      <c r="B19" s="7"/>
      <c r="C19" s="124"/>
      <c r="D19" s="124"/>
      <c r="E19" s="124"/>
      <c r="F19" s="124"/>
      <c r="G19" s="124"/>
      <c r="H19" s="124"/>
      <c r="I19" s="8"/>
    </row>
    <row r="20" spans="2:9" ht="15" customHeight="1" x14ac:dyDescent="0.25">
      <c r="B20" s="7"/>
      <c r="C20" s="105" t="s">
        <v>47</v>
      </c>
      <c r="D20" s="106"/>
      <c r="E20" s="106"/>
      <c r="F20" s="106"/>
      <c r="G20" s="133" t="s">
        <v>29406</v>
      </c>
      <c r="H20" s="123"/>
      <c r="I20" s="8"/>
    </row>
    <row r="21" spans="2:9" ht="15" customHeight="1" x14ac:dyDescent="0.25">
      <c r="B21" s="7"/>
      <c r="C21" s="99"/>
      <c r="D21" s="100"/>
      <c r="E21" s="100"/>
      <c r="F21" s="100"/>
      <c r="G21" s="143"/>
      <c r="H21" s="123"/>
      <c r="I21" s="8"/>
    </row>
    <row r="22" spans="2:9" ht="15" customHeight="1" x14ac:dyDescent="0.25">
      <c r="B22" s="7"/>
      <c r="C22" s="99"/>
      <c r="D22" s="100"/>
      <c r="E22" s="100"/>
      <c r="F22" s="100"/>
      <c r="G22" s="143"/>
      <c r="H22" s="123"/>
      <c r="I22" s="8"/>
    </row>
    <row r="23" spans="2:9" ht="15" customHeight="1" x14ac:dyDescent="0.25">
      <c r="B23" s="7"/>
      <c r="C23" s="99"/>
      <c r="D23" s="100"/>
      <c r="E23" s="100"/>
      <c r="F23" s="100"/>
      <c r="G23" s="143"/>
      <c r="H23" s="123"/>
      <c r="I23" s="8"/>
    </row>
    <row r="24" spans="2:9" ht="15" customHeight="1" x14ac:dyDescent="0.25">
      <c r="B24" s="7"/>
      <c r="C24" s="99"/>
      <c r="D24" s="100"/>
      <c r="E24" s="100"/>
      <c r="F24" s="100"/>
      <c r="G24" s="143"/>
      <c r="H24" s="123"/>
      <c r="I24" s="8"/>
    </row>
    <row r="25" spans="2:9" ht="15" customHeight="1" x14ac:dyDescent="0.25">
      <c r="B25" s="7"/>
      <c r="C25" s="99"/>
      <c r="D25" s="100"/>
      <c r="E25" s="100"/>
      <c r="F25" s="100"/>
      <c r="G25" s="143"/>
      <c r="H25" s="123"/>
      <c r="I25" s="8"/>
    </row>
    <row r="26" spans="2:9" ht="15" hidden="1" customHeight="1" x14ac:dyDescent="0.25">
      <c r="B26" s="7"/>
      <c r="C26" s="123"/>
      <c r="D26" s="123"/>
      <c r="E26" s="123"/>
      <c r="F26" s="123"/>
      <c r="G26" s="123"/>
      <c r="H26" s="123"/>
      <c r="I26" s="8"/>
    </row>
    <row r="27" spans="2:9" ht="15" hidden="1" customHeight="1" x14ac:dyDescent="0.25">
      <c r="B27" s="7"/>
      <c r="C27" s="98" t="s">
        <v>4369</v>
      </c>
      <c r="D27" s="98"/>
      <c r="E27" s="98"/>
      <c r="F27" s="98"/>
      <c r="G27" s="98"/>
      <c r="H27" s="98"/>
      <c r="I27" s="8"/>
    </row>
    <row r="28" spans="2:9" ht="15" hidden="1" customHeight="1" x14ac:dyDescent="0.25">
      <c r="B28" s="7"/>
      <c r="C28" s="139" t="s">
        <v>57</v>
      </c>
      <c r="D28" s="130" t="s">
        <v>207</v>
      </c>
      <c r="E28" s="130" t="s">
        <v>208</v>
      </c>
      <c r="F28" s="130" t="s">
        <v>209</v>
      </c>
      <c r="G28" s="130" t="s">
        <v>210</v>
      </c>
      <c r="H28" s="129" t="s">
        <v>211</v>
      </c>
      <c r="I28" s="8"/>
    </row>
    <row r="29" spans="2:9" ht="15" hidden="1" customHeight="1" x14ac:dyDescent="0.25">
      <c r="B29" s="7"/>
      <c r="C29" s="140">
        <v>1</v>
      </c>
      <c r="D29" s="142"/>
      <c r="E29" s="142"/>
      <c r="F29" s="142"/>
      <c r="G29" s="142"/>
      <c r="H29" s="141"/>
      <c r="I29" s="8"/>
    </row>
    <row r="30" spans="2:9" ht="15" hidden="1" customHeight="1" x14ac:dyDescent="0.25">
      <c r="B30" s="7"/>
      <c r="C30" s="140">
        <v>2</v>
      </c>
      <c r="D30" s="142"/>
      <c r="E30" s="142"/>
      <c r="F30" s="142"/>
      <c r="G30" s="142"/>
      <c r="H30" s="141"/>
      <c r="I30" s="8"/>
    </row>
    <row r="31" spans="2:9" ht="15" hidden="1" customHeight="1" x14ac:dyDescent="0.25">
      <c r="B31" s="7"/>
      <c r="C31" s="140">
        <v>3</v>
      </c>
      <c r="D31" s="142"/>
      <c r="E31" s="142"/>
      <c r="F31" s="142"/>
      <c r="G31" s="142"/>
      <c r="H31" s="141"/>
      <c r="I31" s="8"/>
    </row>
    <row r="32" spans="2:9" ht="15" hidden="1" customHeight="1" x14ac:dyDescent="0.25">
      <c r="B32" s="7"/>
      <c r="C32" s="140">
        <v>4</v>
      </c>
      <c r="D32" s="142"/>
      <c r="E32" s="142"/>
      <c r="F32" s="142"/>
      <c r="G32" s="142"/>
      <c r="H32" s="141"/>
      <c r="I32" s="8"/>
    </row>
    <row r="33" spans="2:9" ht="15" hidden="1" customHeight="1" x14ac:dyDescent="0.25">
      <c r="B33" s="7"/>
      <c r="C33" s="140">
        <v>5</v>
      </c>
      <c r="D33" s="142"/>
      <c r="E33" s="142"/>
      <c r="F33" s="142"/>
      <c r="G33" s="142"/>
      <c r="H33" s="141"/>
      <c r="I33" s="8"/>
    </row>
    <row r="34" spans="2:9" ht="15" hidden="1" customHeight="1" x14ac:dyDescent="0.25">
      <c r="B34" s="7"/>
      <c r="C34" s="140">
        <v>6</v>
      </c>
      <c r="D34" s="142"/>
      <c r="E34" s="142"/>
      <c r="F34" s="142"/>
      <c r="G34" s="142"/>
      <c r="H34" s="141"/>
      <c r="I34" s="8"/>
    </row>
    <row r="35" spans="2:9" ht="15" hidden="1" customHeight="1" x14ac:dyDescent="0.25">
      <c r="B35" s="7"/>
      <c r="C35" s="140">
        <v>7</v>
      </c>
      <c r="D35" s="142"/>
      <c r="E35" s="142"/>
      <c r="F35" s="142"/>
      <c r="G35" s="142"/>
      <c r="H35" s="141"/>
      <c r="I35" s="8"/>
    </row>
    <row r="36" spans="2:9" ht="15" hidden="1" customHeight="1" x14ac:dyDescent="0.25">
      <c r="B36" s="7"/>
      <c r="C36" s="140">
        <v>8</v>
      </c>
      <c r="D36" s="142"/>
      <c r="E36" s="142"/>
      <c r="F36" s="142"/>
      <c r="G36" s="142"/>
      <c r="H36" s="141"/>
      <c r="I36" s="8"/>
    </row>
    <row r="37" spans="2:9" ht="15" hidden="1" customHeight="1" x14ac:dyDescent="0.25">
      <c r="B37" s="7"/>
      <c r="C37" s="140">
        <v>9</v>
      </c>
      <c r="D37" s="142"/>
      <c r="E37" s="142"/>
      <c r="F37" s="142"/>
      <c r="G37" s="142"/>
      <c r="H37" s="141"/>
      <c r="I37" s="8"/>
    </row>
    <row r="38" spans="2:9" ht="15" hidden="1" customHeight="1" x14ac:dyDescent="0.25">
      <c r="B38" s="7"/>
      <c r="C38" s="140">
        <v>10</v>
      </c>
      <c r="D38" s="142"/>
      <c r="E38" s="142"/>
      <c r="F38" s="142"/>
      <c r="G38" s="142"/>
      <c r="H38" s="141"/>
      <c r="I38" s="8"/>
    </row>
    <row r="39" spans="2:9" ht="15" hidden="1" customHeight="1" x14ac:dyDescent="0.25">
      <c r="B39" s="7"/>
      <c r="C39" s="140">
        <v>11</v>
      </c>
      <c r="D39" s="142"/>
      <c r="E39" s="142"/>
      <c r="F39" s="142"/>
      <c r="G39" s="142"/>
      <c r="H39" s="141"/>
      <c r="I39" s="8"/>
    </row>
    <row r="40" spans="2:9" ht="15" hidden="1" customHeight="1" x14ac:dyDescent="0.25">
      <c r="B40" s="7"/>
      <c r="C40" s="140">
        <v>12</v>
      </c>
      <c r="D40" s="142"/>
      <c r="E40" s="142"/>
      <c r="F40" s="142"/>
      <c r="G40" s="142"/>
      <c r="H40" s="141"/>
      <c r="I40" s="8"/>
    </row>
    <row r="41" spans="2:9" ht="15" hidden="1" customHeight="1" x14ac:dyDescent="0.25">
      <c r="B41" s="7"/>
      <c r="C41" s="140">
        <v>13</v>
      </c>
      <c r="D41" s="142"/>
      <c r="E41" s="142"/>
      <c r="F41" s="142"/>
      <c r="G41" s="142"/>
      <c r="H41" s="141"/>
      <c r="I41" s="8"/>
    </row>
    <row r="42" spans="2:9" ht="15" hidden="1" customHeight="1" x14ac:dyDescent="0.25">
      <c r="B42" s="7"/>
      <c r="C42" s="140">
        <v>14</v>
      </c>
      <c r="D42" s="142"/>
      <c r="E42" s="142"/>
      <c r="F42" s="142"/>
      <c r="G42" s="142"/>
      <c r="H42" s="141"/>
      <c r="I42" s="8"/>
    </row>
    <row r="43" spans="2:9" ht="15" hidden="1" customHeight="1" x14ac:dyDescent="0.25">
      <c r="B43" s="7"/>
      <c r="C43" s="140">
        <v>15</v>
      </c>
      <c r="D43" s="142"/>
      <c r="E43" s="142"/>
      <c r="F43" s="142"/>
      <c r="G43" s="142"/>
      <c r="H43" s="141"/>
      <c r="I43" s="8"/>
    </row>
    <row r="44" spans="2:9" ht="15" hidden="1" customHeight="1" x14ac:dyDescent="0.25">
      <c r="B44" s="7"/>
      <c r="C44" s="140">
        <v>16</v>
      </c>
      <c r="D44" s="142"/>
      <c r="E44" s="142"/>
      <c r="F44" s="142"/>
      <c r="G44" s="142"/>
      <c r="H44" s="141"/>
      <c r="I44" s="8"/>
    </row>
    <row r="45" spans="2:9" ht="15" hidden="1" customHeight="1" x14ac:dyDescent="0.25">
      <c r="B45" s="7"/>
      <c r="C45" s="140">
        <v>17</v>
      </c>
      <c r="D45" s="142"/>
      <c r="E45" s="142"/>
      <c r="F45" s="142"/>
      <c r="G45" s="142"/>
      <c r="H45" s="141"/>
      <c r="I45" s="8"/>
    </row>
    <row r="46" spans="2:9" ht="15" hidden="1" customHeight="1" x14ac:dyDescent="0.25">
      <c r="B46" s="7"/>
      <c r="C46" s="140">
        <v>18</v>
      </c>
      <c r="D46" s="142"/>
      <c r="E46" s="142"/>
      <c r="F46" s="142"/>
      <c r="G46" s="142"/>
      <c r="H46" s="141"/>
      <c r="I46" s="8"/>
    </row>
    <row r="47" spans="2:9" ht="15" hidden="1" customHeight="1" x14ac:dyDescent="0.25">
      <c r="B47" s="7"/>
      <c r="C47" s="140">
        <v>19</v>
      </c>
      <c r="D47" s="142"/>
      <c r="E47" s="142"/>
      <c r="F47" s="142"/>
      <c r="G47" s="142"/>
      <c r="H47" s="141"/>
      <c r="I47" s="8"/>
    </row>
    <row r="48" spans="2:9" ht="15" hidden="1" customHeight="1" x14ac:dyDescent="0.25">
      <c r="B48" s="7"/>
      <c r="C48" s="140">
        <v>20</v>
      </c>
      <c r="D48" s="142"/>
      <c r="E48" s="142"/>
      <c r="F48" s="142"/>
      <c r="G48" s="142"/>
      <c r="H48" s="141"/>
      <c r="I48" s="8"/>
    </row>
    <row r="49" spans="2:9" ht="15" hidden="1" customHeight="1" x14ac:dyDescent="0.25">
      <c r="B49" s="7"/>
      <c r="C49" s="140">
        <v>21</v>
      </c>
      <c r="D49" s="142"/>
      <c r="E49" s="142"/>
      <c r="F49" s="142"/>
      <c r="G49" s="142"/>
      <c r="H49" s="141"/>
      <c r="I49" s="8"/>
    </row>
    <row r="50" spans="2:9" ht="15" hidden="1" customHeight="1" x14ac:dyDescent="0.25">
      <c r="B50" s="7"/>
      <c r="C50" s="140">
        <v>22</v>
      </c>
      <c r="D50" s="142"/>
      <c r="E50" s="142"/>
      <c r="F50" s="142"/>
      <c r="G50" s="142"/>
      <c r="H50" s="141"/>
      <c r="I50" s="8"/>
    </row>
    <row r="51" spans="2:9" ht="15" hidden="1" customHeight="1" x14ac:dyDescent="0.25">
      <c r="B51" s="7"/>
      <c r="C51" s="140">
        <v>23</v>
      </c>
      <c r="D51" s="142"/>
      <c r="E51" s="142"/>
      <c r="F51" s="142"/>
      <c r="G51" s="142"/>
      <c r="H51" s="141"/>
      <c r="I51" s="8"/>
    </row>
    <row r="52" spans="2:9" ht="15" hidden="1" customHeight="1" x14ac:dyDescent="0.25">
      <c r="B52" s="7"/>
      <c r="C52" s="140">
        <v>24</v>
      </c>
      <c r="D52" s="142"/>
      <c r="E52" s="142"/>
      <c r="F52" s="142"/>
      <c r="G52" s="142"/>
      <c r="H52" s="141"/>
      <c r="I52" s="8"/>
    </row>
    <row r="53" spans="2:9" ht="15" hidden="1" customHeight="1" x14ac:dyDescent="0.25">
      <c r="B53" s="7"/>
      <c r="C53" s="140">
        <v>25</v>
      </c>
      <c r="D53" s="142"/>
      <c r="E53" s="142"/>
      <c r="F53" s="142"/>
      <c r="G53" s="142"/>
      <c r="H53" s="141"/>
      <c r="I53" s="8"/>
    </row>
    <row r="54" spans="2:9" ht="15" hidden="1" customHeight="1" x14ac:dyDescent="0.25">
      <c r="B54" s="7"/>
      <c r="C54" s="140">
        <v>26</v>
      </c>
      <c r="D54" s="142"/>
      <c r="E54" s="142"/>
      <c r="F54" s="142"/>
      <c r="G54" s="142"/>
      <c r="H54" s="141"/>
      <c r="I54" s="8"/>
    </row>
    <row r="55" spans="2:9" ht="15" hidden="1" customHeight="1" x14ac:dyDescent="0.25">
      <c r="B55" s="7"/>
      <c r="C55" s="140">
        <v>27</v>
      </c>
      <c r="D55" s="142"/>
      <c r="E55" s="142"/>
      <c r="F55" s="142"/>
      <c r="G55" s="142"/>
      <c r="H55" s="141"/>
      <c r="I55" s="8"/>
    </row>
    <row r="56" spans="2:9" ht="15" hidden="1" customHeight="1" x14ac:dyDescent="0.25">
      <c r="B56" s="7"/>
      <c r="C56" s="140">
        <v>28</v>
      </c>
      <c r="D56" s="142"/>
      <c r="E56" s="142"/>
      <c r="F56" s="142"/>
      <c r="G56" s="142"/>
      <c r="H56" s="141"/>
      <c r="I56" s="8"/>
    </row>
    <row r="57" spans="2:9" ht="15" hidden="1" customHeight="1" x14ac:dyDescent="0.25">
      <c r="B57" s="7"/>
      <c r="C57" s="140">
        <v>29</v>
      </c>
      <c r="D57" s="142"/>
      <c r="E57" s="142"/>
      <c r="F57" s="142"/>
      <c r="G57" s="142"/>
      <c r="H57" s="141"/>
      <c r="I57" s="8"/>
    </row>
    <row r="58" spans="2:9" ht="15" hidden="1" customHeight="1" x14ac:dyDescent="0.25">
      <c r="B58" s="7"/>
      <c r="C58" s="140">
        <v>30</v>
      </c>
      <c r="D58" s="142"/>
      <c r="E58" s="142"/>
      <c r="F58" s="142"/>
      <c r="G58" s="142"/>
      <c r="H58" s="141"/>
      <c r="I58" s="8"/>
    </row>
    <row r="59" spans="2:9" ht="15" hidden="1" customHeight="1" x14ac:dyDescent="0.25">
      <c r="B59" s="7"/>
      <c r="C59" s="140">
        <v>31</v>
      </c>
      <c r="D59" s="142"/>
      <c r="E59" s="142"/>
      <c r="F59" s="142"/>
      <c r="G59" s="142"/>
      <c r="H59" s="141"/>
      <c r="I59" s="8"/>
    </row>
    <row r="60" spans="2:9" ht="15" hidden="1" customHeight="1" x14ac:dyDescent="0.25">
      <c r="B60" s="7"/>
      <c r="C60" s="140">
        <v>32</v>
      </c>
      <c r="D60" s="142"/>
      <c r="E60" s="142"/>
      <c r="F60" s="142"/>
      <c r="G60" s="142"/>
      <c r="H60" s="141"/>
      <c r="I60" s="8"/>
    </row>
    <row r="61" spans="2:9" ht="15" hidden="1" customHeight="1" x14ac:dyDescent="0.25">
      <c r="B61" s="7"/>
      <c r="C61" s="140">
        <v>33</v>
      </c>
      <c r="D61" s="142"/>
      <c r="E61" s="142"/>
      <c r="F61" s="142"/>
      <c r="G61" s="142"/>
      <c r="H61" s="141"/>
      <c r="I61" s="8"/>
    </row>
    <row r="62" spans="2:9" ht="15" hidden="1" customHeight="1" x14ac:dyDescent="0.25">
      <c r="B62" s="7"/>
      <c r="C62" s="140">
        <v>34</v>
      </c>
      <c r="D62" s="142"/>
      <c r="E62" s="142"/>
      <c r="F62" s="142"/>
      <c r="G62" s="142"/>
      <c r="H62" s="141"/>
      <c r="I62" s="8"/>
    </row>
    <row r="63" spans="2:9" ht="15" hidden="1" customHeight="1" x14ac:dyDescent="0.25">
      <c r="B63" s="7"/>
      <c r="C63" s="140">
        <v>35</v>
      </c>
      <c r="D63" s="142"/>
      <c r="E63" s="142"/>
      <c r="F63" s="142"/>
      <c r="G63" s="142"/>
      <c r="H63" s="141"/>
      <c r="I63" s="8"/>
    </row>
    <row r="64" spans="2:9" ht="15" hidden="1" customHeight="1" x14ac:dyDescent="0.25">
      <c r="B64" s="7"/>
      <c r="C64" s="140">
        <v>36</v>
      </c>
      <c r="D64" s="142"/>
      <c r="E64" s="142"/>
      <c r="F64" s="142"/>
      <c r="G64" s="142"/>
      <c r="H64" s="141"/>
      <c r="I64" s="8"/>
    </row>
    <row r="65" spans="2:9" ht="15" hidden="1" customHeight="1" x14ac:dyDescent="0.25">
      <c r="B65" s="7"/>
      <c r="C65" s="140">
        <v>37</v>
      </c>
      <c r="D65" s="142"/>
      <c r="E65" s="142"/>
      <c r="F65" s="142"/>
      <c r="G65" s="142"/>
      <c r="H65" s="141"/>
      <c r="I65" s="8"/>
    </row>
    <row r="66" spans="2:9" ht="15" hidden="1" customHeight="1" x14ac:dyDescent="0.25">
      <c r="B66" s="7"/>
      <c r="C66" s="140">
        <v>38</v>
      </c>
      <c r="D66" s="142"/>
      <c r="E66" s="142"/>
      <c r="F66" s="142"/>
      <c r="G66" s="142"/>
      <c r="H66" s="141"/>
      <c r="I66" s="8"/>
    </row>
    <row r="67" spans="2:9" ht="15" hidden="1" customHeight="1" x14ac:dyDescent="0.25">
      <c r="B67" s="7"/>
      <c r="C67" s="140">
        <v>39</v>
      </c>
      <c r="D67" s="142"/>
      <c r="E67" s="142"/>
      <c r="F67" s="142"/>
      <c r="G67" s="142"/>
      <c r="H67" s="141"/>
      <c r="I67" s="8"/>
    </row>
    <row r="68" spans="2:9" ht="15" hidden="1" customHeight="1" x14ac:dyDescent="0.25">
      <c r="B68" s="7"/>
      <c r="C68" s="140">
        <v>40</v>
      </c>
      <c r="D68" s="142"/>
      <c r="E68" s="142"/>
      <c r="F68" s="142"/>
      <c r="G68" s="142"/>
      <c r="H68" s="141"/>
      <c r="I68" s="8"/>
    </row>
    <row r="69" spans="2:9" ht="15" hidden="1" customHeight="1" x14ac:dyDescent="0.25">
      <c r="B69" s="7"/>
      <c r="C69" s="140">
        <v>41</v>
      </c>
      <c r="D69" s="142"/>
      <c r="E69" s="142"/>
      <c r="F69" s="142"/>
      <c r="G69" s="142"/>
      <c r="H69" s="141"/>
      <c r="I69" s="8"/>
    </row>
    <row r="70" spans="2:9" ht="15" hidden="1" customHeight="1" x14ac:dyDescent="0.25">
      <c r="B70" s="7"/>
      <c r="C70" s="140">
        <v>42</v>
      </c>
      <c r="D70" s="142"/>
      <c r="E70" s="142"/>
      <c r="F70" s="142"/>
      <c r="G70" s="142"/>
      <c r="H70" s="141"/>
      <c r="I70" s="8"/>
    </row>
    <row r="71" spans="2:9" ht="15" hidden="1" customHeight="1" x14ac:dyDescent="0.25">
      <c r="B71" s="7"/>
      <c r="C71" s="140">
        <v>43</v>
      </c>
      <c r="D71" s="142"/>
      <c r="E71" s="142"/>
      <c r="F71" s="142"/>
      <c r="G71" s="142"/>
      <c r="H71" s="141"/>
      <c r="I71" s="8"/>
    </row>
    <row r="72" spans="2:9" ht="15" hidden="1" customHeight="1" x14ac:dyDescent="0.25">
      <c r="B72" s="7"/>
      <c r="C72" s="140">
        <v>44</v>
      </c>
      <c r="D72" s="142"/>
      <c r="E72" s="142"/>
      <c r="F72" s="142"/>
      <c r="G72" s="142"/>
      <c r="H72" s="141"/>
      <c r="I72" s="8"/>
    </row>
    <row r="73" spans="2:9" ht="15" hidden="1" customHeight="1" x14ac:dyDescent="0.25">
      <c r="B73" s="7"/>
      <c r="C73" s="140">
        <v>45</v>
      </c>
      <c r="D73" s="142"/>
      <c r="E73" s="142"/>
      <c r="F73" s="142"/>
      <c r="G73" s="142"/>
      <c r="H73" s="141"/>
      <c r="I73" s="8"/>
    </row>
    <row r="74" spans="2:9" ht="15" hidden="1" customHeight="1" x14ac:dyDescent="0.25">
      <c r="B74" s="7"/>
      <c r="C74" s="140">
        <v>46</v>
      </c>
      <c r="D74" s="142"/>
      <c r="E74" s="142"/>
      <c r="F74" s="142"/>
      <c r="G74" s="142"/>
      <c r="H74" s="141"/>
      <c r="I74" s="8"/>
    </row>
    <row r="75" spans="2:9" ht="15" hidden="1" customHeight="1" x14ac:dyDescent="0.25">
      <c r="B75" s="7"/>
      <c r="C75" s="140">
        <v>47</v>
      </c>
      <c r="D75" s="142"/>
      <c r="E75" s="142"/>
      <c r="F75" s="142"/>
      <c r="G75" s="142"/>
      <c r="H75" s="141"/>
      <c r="I75" s="8"/>
    </row>
    <row r="76" spans="2:9" ht="15" hidden="1" customHeight="1" x14ac:dyDescent="0.25">
      <c r="B76" s="7"/>
      <c r="C76" s="140">
        <v>48</v>
      </c>
      <c r="D76" s="142"/>
      <c r="E76" s="142"/>
      <c r="F76" s="142"/>
      <c r="G76" s="142"/>
      <c r="H76" s="141"/>
      <c r="I76" s="8"/>
    </row>
    <row r="77" spans="2:9" ht="15" hidden="1" customHeight="1" x14ac:dyDescent="0.25">
      <c r="B77" s="7"/>
      <c r="C77" s="140">
        <v>49</v>
      </c>
      <c r="D77" s="142"/>
      <c r="E77" s="142"/>
      <c r="F77" s="142"/>
      <c r="G77" s="142"/>
      <c r="H77" s="141"/>
      <c r="I77" s="8"/>
    </row>
    <row r="78" spans="2:9" ht="15" hidden="1" customHeight="1" x14ac:dyDescent="0.25">
      <c r="B78" s="7"/>
      <c r="C78" s="140">
        <v>50</v>
      </c>
      <c r="D78" s="142"/>
      <c r="E78" s="142"/>
      <c r="F78" s="142"/>
      <c r="G78" s="142"/>
      <c r="H78" s="141"/>
      <c r="I78" s="8"/>
    </row>
    <row r="79" spans="2:9" ht="15" hidden="1" customHeight="1" x14ac:dyDescent="0.25">
      <c r="B79" s="7"/>
      <c r="C79" s="140">
        <v>51</v>
      </c>
      <c r="D79" s="142"/>
      <c r="E79" s="142"/>
      <c r="F79" s="142"/>
      <c r="G79" s="142"/>
      <c r="H79" s="141"/>
      <c r="I79" s="8"/>
    </row>
    <row r="80" spans="2:9" ht="15" hidden="1" customHeight="1" x14ac:dyDescent="0.25">
      <c r="B80" s="7"/>
      <c r="C80" s="140">
        <v>52</v>
      </c>
      <c r="D80" s="142"/>
      <c r="E80" s="142"/>
      <c r="F80" s="142"/>
      <c r="G80" s="142"/>
      <c r="H80" s="141"/>
      <c r="I80" s="8"/>
    </row>
    <row r="81" spans="2:9" ht="15" hidden="1" customHeight="1" x14ac:dyDescent="0.25">
      <c r="B81" s="7"/>
      <c r="C81" s="140">
        <v>53</v>
      </c>
      <c r="D81" s="142"/>
      <c r="E81" s="142"/>
      <c r="F81" s="142"/>
      <c r="G81" s="142"/>
      <c r="H81" s="141"/>
      <c r="I81" s="8"/>
    </row>
    <row r="82" spans="2:9" ht="15" hidden="1" customHeight="1" x14ac:dyDescent="0.25">
      <c r="B82" s="7"/>
      <c r="C82" s="140">
        <v>54</v>
      </c>
      <c r="D82" s="142"/>
      <c r="E82" s="142"/>
      <c r="F82" s="142"/>
      <c r="G82" s="142"/>
      <c r="H82" s="141"/>
      <c r="I82" s="8"/>
    </row>
    <row r="83" spans="2:9" ht="15" hidden="1" customHeight="1" x14ac:dyDescent="0.25">
      <c r="B83" s="7"/>
      <c r="C83" s="140">
        <v>55</v>
      </c>
      <c r="D83" s="142"/>
      <c r="E83" s="142"/>
      <c r="F83" s="142"/>
      <c r="G83" s="142"/>
      <c r="H83" s="141"/>
      <c r="I83" s="8"/>
    </row>
    <row r="84" spans="2:9" ht="15" hidden="1" customHeight="1" x14ac:dyDescent="0.25">
      <c r="B84" s="7"/>
      <c r="C84" s="140">
        <v>56</v>
      </c>
      <c r="D84" s="142"/>
      <c r="E84" s="142"/>
      <c r="F84" s="142"/>
      <c r="G84" s="142"/>
      <c r="H84" s="141"/>
      <c r="I84" s="8"/>
    </row>
    <row r="85" spans="2:9" ht="15" hidden="1" customHeight="1" x14ac:dyDescent="0.25">
      <c r="B85" s="7"/>
      <c r="C85" s="140">
        <v>57</v>
      </c>
      <c r="D85" s="142"/>
      <c r="E85" s="142"/>
      <c r="F85" s="142"/>
      <c r="G85" s="142"/>
      <c r="H85" s="141"/>
      <c r="I85" s="8"/>
    </row>
    <row r="86" spans="2:9" ht="15" hidden="1" customHeight="1" x14ac:dyDescent="0.25">
      <c r="B86" s="7"/>
      <c r="C86" s="140">
        <v>58</v>
      </c>
      <c r="D86" s="142"/>
      <c r="E86" s="142"/>
      <c r="F86" s="142"/>
      <c r="G86" s="142"/>
      <c r="H86" s="141"/>
      <c r="I86" s="8"/>
    </row>
    <row r="87" spans="2:9" ht="15" hidden="1" customHeight="1" x14ac:dyDescent="0.25">
      <c r="B87" s="7"/>
      <c r="C87" s="140">
        <v>59</v>
      </c>
      <c r="D87" s="142"/>
      <c r="E87" s="142"/>
      <c r="F87" s="142"/>
      <c r="G87" s="142"/>
      <c r="H87" s="141"/>
      <c r="I87" s="8"/>
    </row>
    <row r="88" spans="2:9" ht="15" hidden="1" customHeight="1" x14ac:dyDescent="0.25">
      <c r="B88" s="7"/>
      <c r="C88" s="140">
        <v>60</v>
      </c>
      <c r="D88" s="142"/>
      <c r="E88" s="142"/>
      <c r="F88" s="142"/>
      <c r="G88" s="142"/>
      <c r="H88" s="141"/>
      <c r="I88" s="8"/>
    </row>
    <row r="89" spans="2:9" ht="15" hidden="1" customHeight="1" x14ac:dyDescent="0.25">
      <c r="B89" s="7"/>
      <c r="C89" s="140">
        <v>61</v>
      </c>
      <c r="D89" s="142"/>
      <c r="E89" s="142"/>
      <c r="F89" s="142"/>
      <c r="G89" s="142"/>
      <c r="H89" s="141"/>
      <c r="I89" s="8"/>
    </row>
    <row r="90" spans="2:9" ht="15" hidden="1" customHeight="1" x14ac:dyDescent="0.25">
      <c r="B90" s="7"/>
      <c r="C90" s="140">
        <v>62</v>
      </c>
      <c r="D90" s="142"/>
      <c r="E90" s="142"/>
      <c r="F90" s="142"/>
      <c r="G90" s="142"/>
      <c r="H90" s="141"/>
      <c r="I90" s="8"/>
    </row>
    <row r="91" spans="2:9" ht="15" hidden="1" customHeight="1" x14ac:dyDescent="0.25">
      <c r="B91" s="7"/>
      <c r="C91" s="140">
        <v>63</v>
      </c>
      <c r="D91" s="142"/>
      <c r="E91" s="142"/>
      <c r="F91" s="142"/>
      <c r="G91" s="142"/>
      <c r="H91" s="141"/>
      <c r="I91" s="8"/>
    </row>
    <row r="92" spans="2:9" ht="15" hidden="1" customHeight="1" x14ac:dyDescent="0.25">
      <c r="B92" s="7"/>
      <c r="C92" s="140">
        <v>64</v>
      </c>
      <c r="D92" s="142"/>
      <c r="E92" s="142"/>
      <c r="F92" s="142"/>
      <c r="G92" s="142"/>
      <c r="H92" s="141"/>
      <c r="I92" s="8"/>
    </row>
    <row r="93" spans="2:9" ht="15" hidden="1" customHeight="1" x14ac:dyDescent="0.25">
      <c r="B93" s="7"/>
      <c r="C93" s="140">
        <v>65</v>
      </c>
      <c r="D93" s="142"/>
      <c r="E93" s="142"/>
      <c r="F93" s="142"/>
      <c r="G93" s="142"/>
      <c r="H93" s="141"/>
      <c r="I93" s="8"/>
    </row>
    <row r="94" spans="2:9" ht="15" hidden="1" customHeight="1" x14ac:dyDescent="0.25">
      <c r="B94" s="7"/>
      <c r="C94" s="140">
        <v>66</v>
      </c>
      <c r="D94" s="142"/>
      <c r="E94" s="142"/>
      <c r="F94" s="142"/>
      <c r="G94" s="142"/>
      <c r="H94" s="141"/>
      <c r="I94" s="8"/>
    </row>
    <row r="95" spans="2:9" ht="15" hidden="1" customHeight="1" x14ac:dyDescent="0.25">
      <c r="B95" s="7"/>
      <c r="C95" s="140">
        <v>67</v>
      </c>
      <c r="D95" s="142"/>
      <c r="E95" s="142"/>
      <c r="F95" s="142"/>
      <c r="G95" s="142"/>
      <c r="H95" s="141"/>
      <c r="I95" s="8"/>
    </row>
    <row r="96" spans="2:9" ht="15" hidden="1" customHeight="1" x14ac:dyDescent="0.25">
      <c r="B96" s="7"/>
      <c r="C96" s="140">
        <v>68</v>
      </c>
      <c r="D96" s="142"/>
      <c r="E96" s="142"/>
      <c r="F96" s="142"/>
      <c r="G96" s="142"/>
      <c r="H96" s="141"/>
      <c r="I96" s="8"/>
    </row>
    <row r="97" spans="2:9" ht="15" hidden="1" customHeight="1" x14ac:dyDescent="0.25">
      <c r="B97" s="7"/>
      <c r="C97" s="140">
        <v>69</v>
      </c>
      <c r="D97" s="142"/>
      <c r="E97" s="142"/>
      <c r="F97" s="142"/>
      <c r="G97" s="142"/>
      <c r="H97" s="141"/>
      <c r="I97" s="8"/>
    </row>
    <row r="98" spans="2:9" ht="15" hidden="1" customHeight="1" x14ac:dyDescent="0.25">
      <c r="B98" s="7"/>
      <c r="C98" s="140">
        <v>70</v>
      </c>
      <c r="D98" s="142"/>
      <c r="E98" s="142"/>
      <c r="F98" s="142"/>
      <c r="G98" s="142"/>
      <c r="H98" s="141"/>
      <c r="I98" s="8"/>
    </row>
    <row r="99" spans="2:9" ht="15" hidden="1" customHeight="1" x14ac:dyDescent="0.25">
      <c r="B99" s="7"/>
      <c r="C99" s="140">
        <v>71</v>
      </c>
      <c r="D99" s="142"/>
      <c r="E99" s="142"/>
      <c r="F99" s="142"/>
      <c r="G99" s="142"/>
      <c r="H99" s="141"/>
      <c r="I99" s="8"/>
    </row>
    <row r="100" spans="2:9" ht="15" hidden="1" customHeight="1" x14ac:dyDescent="0.25">
      <c r="B100" s="7"/>
      <c r="C100" s="140">
        <v>72</v>
      </c>
      <c r="D100" s="142"/>
      <c r="E100" s="142"/>
      <c r="F100" s="142"/>
      <c r="G100" s="142"/>
      <c r="H100" s="141"/>
      <c r="I100" s="8"/>
    </row>
    <row r="101" spans="2:9" ht="15" hidden="1" customHeight="1" x14ac:dyDescent="0.25">
      <c r="B101" s="7"/>
      <c r="C101" s="140">
        <v>73</v>
      </c>
      <c r="D101" s="142"/>
      <c r="E101" s="142"/>
      <c r="F101" s="142"/>
      <c r="G101" s="142"/>
      <c r="H101" s="141"/>
      <c r="I101" s="8"/>
    </row>
    <row r="102" spans="2:9" ht="15" hidden="1" customHeight="1" x14ac:dyDescent="0.25">
      <c r="B102" s="7"/>
      <c r="C102" s="140">
        <v>74</v>
      </c>
      <c r="D102" s="142"/>
      <c r="E102" s="142"/>
      <c r="F102" s="142"/>
      <c r="G102" s="142"/>
      <c r="H102" s="141"/>
      <c r="I102" s="8"/>
    </row>
    <row r="103" spans="2:9" ht="15" hidden="1" customHeight="1" x14ac:dyDescent="0.25">
      <c r="B103" s="7"/>
      <c r="C103" s="140">
        <v>75</v>
      </c>
      <c r="D103" s="142"/>
      <c r="E103" s="142"/>
      <c r="F103" s="142"/>
      <c r="G103" s="142"/>
      <c r="H103" s="141"/>
      <c r="I103" s="8"/>
    </row>
    <row r="104" spans="2:9" ht="15" hidden="1" customHeight="1" x14ac:dyDescent="0.25">
      <c r="B104" s="7"/>
      <c r="C104" s="140">
        <v>76</v>
      </c>
      <c r="D104" s="142"/>
      <c r="E104" s="142"/>
      <c r="F104" s="142"/>
      <c r="G104" s="142"/>
      <c r="H104" s="141"/>
      <c r="I104" s="8"/>
    </row>
    <row r="105" spans="2:9" ht="15" hidden="1" customHeight="1" x14ac:dyDescent="0.25">
      <c r="B105" s="7"/>
      <c r="C105" s="140">
        <v>77</v>
      </c>
      <c r="D105" s="142"/>
      <c r="E105" s="142"/>
      <c r="F105" s="142"/>
      <c r="G105" s="142"/>
      <c r="H105" s="141"/>
      <c r="I105" s="8"/>
    </row>
    <row r="106" spans="2:9" ht="15" hidden="1" customHeight="1" x14ac:dyDescent="0.25">
      <c r="B106" s="7"/>
      <c r="C106" s="140">
        <v>78</v>
      </c>
      <c r="D106" s="142"/>
      <c r="E106" s="142"/>
      <c r="F106" s="142"/>
      <c r="G106" s="142"/>
      <c r="H106" s="141"/>
      <c r="I106" s="8"/>
    </row>
    <row r="107" spans="2:9" ht="15" hidden="1" customHeight="1" x14ac:dyDescent="0.25">
      <c r="B107" s="7"/>
      <c r="C107" s="140">
        <v>79</v>
      </c>
      <c r="D107" s="142"/>
      <c r="E107" s="142"/>
      <c r="F107" s="142"/>
      <c r="G107" s="142"/>
      <c r="H107" s="141"/>
      <c r="I107" s="8"/>
    </row>
    <row r="108" spans="2:9" ht="15" hidden="1" customHeight="1" x14ac:dyDescent="0.25">
      <c r="B108" s="7"/>
      <c r="C108" s="140">
        <v>80</v>
      </c>
      <c r="D108" s="142"/>
      <c r="E108" s="142"/>
      <c r="F108" s="142"/>
      <c r="G108" s="142"/>
      <c r="H108" s="141"/>
      <c r="I108" s="8"/>
    </row>
    <row r="109" spans="2:9" ht="15" hidden="1" customHeight="1" x14ac:dyDescent="0.25">
      <c r="B109" s="7"/>
      <c r="C109" s="140">
        <v>81</v>
      </c>
      <c r="D109" s="142"/>
      <c r="E109" s="142"/>
      <c r="F109" s="142"/>
      <c r="G109" s="142"/>
      <c r="H109" s="141"/>
      <c r="I109" s="8"/>
    </row>
    <row r="110" spans="2:9" ht="15" hidden="1" customHeight="1" x14ac:dyDescent="0.25">
      <c r="B110" s="7"/>
      <c r="C110" s="140">
        <v>82</v>
      </c>
      <c r="D110" s="142"/>
      <c r="E110" s="142"/>
      <c r="F110" s="142"/>
      <c r="G110" s="142"/>
      <c r="H110" s="141"/>
      <c r="I110" s="8"/>
    </row>
    <row r="111" spans="2:9" ht="15" hidden="1" customHeight="1" x14ac:dyDescent="0.25">
      <c r="B111" s="7"/>
      <c r="C111" s="140">
        <v>83</v>
      </c>
      <c r="D111" s="142"/>
      <c r="E111" s="142"/>
      <c r="F111" s="142"/>
      <c r="G111" s="142"/>
      <c r="H111" s="141"/>
      <c r="I111" s="8"/>
    </row>
    <row r="112" spans="2:9" ht="15" hidden="1" customHeight="1" x14ac:dyDescent="0.25">
      <c r="B112" s="7"/>
      <c r="C112" s="140">
        <v>84</v>
      </c>
      <c r="D112" s="142"/>
      <c r="E112" s="142"/>
      <c r="F112" s="142"/>
      <c r="G112" s="142"/>
      <c r="H112" s="141"/>
      <c r="I112" s="8"/>
    </row>
    <row r="113" spans="2:9" ht="15" hidden="1" customHeight="1" x14ac:dyDescent="0.25">
      <c r="B113" s="7"/>
      <c r="C113" s="140">
        <v>85</v>
      </c>
      <c r="D113" s="142"/>
      <c r="E113" s="142"/>
      <c r="F113" s="142"/>
      <c r="G113" s="142"/>
      <c r="H113" s="141"/>
      <c r="I113" s="8"/>
    </row>
    <row r="114" spans="2:9" ht="15" hidden="1" customHeight="1" x14ac:dyDescent="0.25">
      <c r="B114" s="7"/>
      <c r="C114" s="140">
        <v>86</v>
      </c>
      <c r="D114" s="142"/>
      <c r="E114" s="142"/>
      <c r="F114" s="142"/>
      <c r="G114" s="142"/>
      <c r="H114" s="141"/>
      <c r="I114" s="8"/>
    </row>
    <row r="115" spans="2:9" ht="15" hidden="1" customHeight="1" x14ac:dyDescent="0.25">
      <c r="B115" s="7"/>
      <c r="C115" s="140">
        <v>87</v>
      </c>
      <c r="D115" s="142"/>
      <c r="E115" s="142"/>
      <c r="F115" s="142"/>
      <c r="G115" s="142"/>
      <c r="H115" s="141"/>
      <c r="I115" s="8"/>
    </row>
    <row r="116" spans="2:9" ht="15" hidden="1" customHeight="1" x14ac:dyDescent="0.25">
      <c r="B116" s="7"/>
      <c r="C116" s="140">
        <v>88</v>
      </c>
      <c r="D116" s="142"/>
      <c r="E116" s="142"/>
      <c r="F116" s="142"/>
      <c r="G116" s="142"/>
      <c r="H116" s="141"/>
      <c r="I116" s="8"/>
    </row>
    <row r="117" spans="2:9" ht="15" hidden="1" customHeight="1" x14ac:dyDescent="0.25">
      <c r="B117" s="7"/>
      <c r="C117" s="140">
        <v>89</v>
      </c>
      <c r="D117" s="142"/>
      <c r="E117" s="142"/>
      <c r="F117" s="142"/>
      <c r="G117" s="142"/>
      <c r="H117" s="141"/>
      <c r="I117" s="8"/>
    </row>
    <row r="118" spans="2:9" ht="15" hidden="1" customHeight="1" x14ac:dyDescent="0.25">
      <c r="B118" s="7"/>
      <c r="C118" s="140">
        <v>90</v>
      </c>
      <c r="D118" s="142"/>
      <c r="E118" s="142"/>
      <c r="F118" s="142"/>
      <c r="G118" s="142"/>
      <c r="H118" s="141"/>
      <c r="I118" s="8"/>
    </row>
    <row r="119" spans="2:9" ht="15" hidden="1" customHeight="1" x14ac:dyDescent="0.25">
      <c r="B119" s="7"/>
      <c r="C119" s="140">
        <v>91</v>
      </c>
      <c r="D119" s="142"/>
      <c r="E119" s="142"/>
      <c r="F119" s="142"/>
      <c r="G119" s="142"/>
      <c r="H119" s="141"/>
      <c r="I119" s="8"/>
    </row>
    <row r="120" spans="2:9" ht="15" hidden="1" customHeight="1" x14ac:dyDescent="0.25">
      <c r="B120" s="7"/>
      <c r="C120" s="140">
        <v>92</v>
      </c>
      <c r="D120" s="142"/>
      <c r="E120" s="142"/>
      <c r="F120" s="142"/>
      <c r="G120" s="142"/>
      <c r="H120" s="141"/>
      <c r="I120" s="8"/>
    </row>
    <row r="121" spans="2:9" ht="15" hidden="1" customHeight="1" x14ac:dyDescent="0.25">
      <c r="B121" s="7"/>
      <c r="C121" s="140">
        <v>93</v>
      </c>
      <c r="D121" s="142"/>
      <c r="E121" s="142"/>
      <c r="F121" s="142"/>
      <c r="G121" s="142"/>
      <c r="H121" s="141"/>
      <c r="I121" s="8"/>
    </row>
    <row r="122" spans="2:9" ht="15" hidden="1" customHeight="1" x14ac:dyDescent="0.25">
      <c r="B122" s="7"/>
      <c r="C122" s="140">
        <v>94</v>
      </c>
      <c r="D122" s="142"/>
      <c r="E122" s="142"/>
      <c r="F122" s="142"/>
      <c r="G122" s="142"/>
      <c r="H122" s="141"/>
      <c r="I122" s="8"/>
    </row>
    <row r="123" spans="2:9" ht="15" hidden="1" customHeight="1" x14ac:dyDescent="0.25">
      <c r="B123" s="7"/>
      <c r="C123" s="140">
        <v>95</v>
      </c>
      <c r="D123" s="142"/>
      <c r="E123" s="142"/>
      <c r="F123" s="142"/>
      <c r="G123" s="142"/>
      <c r="H123" s="141"/>
      <c r="I123" s="8"/>
    </row>
    <row r="124" spans="2:9" ht="15" hidden="1" customHeight="1" x14ac:dyDescent="0.25">
      <c r="B124" s="7"/>
      <c r="C124" s="140">
        <v>96</v>
      </c>
      <c r="D124" s="142"/>
      <c r="E124" s="142"/>
      <c r="F124" s="142"/>
      <c r="G124" s="142"/>
      <c r="H124" s="141"/>
      <c r="I124" s="8"/>
    </row>
    <row r="125" spans="2:9" ht="15" hidden="1" customHeight="1" x14ac:dyDescent="0.25">
      <c r="B125" s="7"/>
      <c r="C125" s="140">
        <v>97</v>
      </c>
      <c r="D125" s="142"/>
      <c r="E125" s="142"/>
      <c r="F125" s="142"/>
      <c r="G125" s="142"/>
      <c r="H125" s="141"/>
      <c r="I125" s="8"/>
    </row>
    <row r="126" spans="2:9" ht="15" hidden="1" customHeight="1" x14ac:dyDescent="0.25">
      <c r="B126" s="7"/>
      <c r="C126" s="140">
        <v>98</v>
      </c>
      <c r="D126" s="142"/>
      <c r="E126" s="142"/>
      <c r="F126" s="142"/>
      <c r="G126" s="142"/>
      <c r="H126" s="141"/>
      <c r="I126" s="8"/>
    </row>
    <row r="127" spans="2:9" ht="15" hidden="1" customHeight="1" x14ac:dyDescent="0.25">
      <c r="B127" s="7"/>
      <c r="C127" s="140">
        <v>99</v>
      </c>
      <c r="D127" s="142"/>
      <c r="E127" s="142"/>
      <c r="F127" s="142"/>
      <c r="G127" s="142"/>
      <c r="H127" s="141"/>
      <c r="I127" s="8"/>
    </row>
    <row r="128" spans="2:9" ht="15" hidden="1" customHeight="1" x14ac:dyDescent="0.25">
      <c r="B128" s="7"/>
      <c r="C128" s="140">
        <v>100</v>
      </c>
      <c r="D128" s="142"/>
      <c r="E128" s="142"/>
      <c r="F128" s="142"/>
      <c r="G128" s="142"/>
      <c r="H128" s="141"/>
      <c r="I128" s="8"/>
    </row>
    <row r="129" spans="2:9" ht="15" hidden="1" customHeight="1" x14ac:dyDescent="0.25">
      <c r="B129" s="7"/>
      <c r="C129" s="140">
        <v>101</v>
      </c>
      <c r="D129" s="142"/>
      <c r="E129" s="142"/>
      <c r="F129" s="142"/>
      <c r="G129" s="142"/>
      <c r="H129" s="141"/>
      <c r="I129" s="8"/>
    </row>
    <row r="130" spans="2:9" ht="15" hidden="1" customHeight="1" x14ac:dyDescent="0.25">
      <c r="B130" s="7"/>
      <c r="C130" s="140">
        <v>102</v>
      </c>
      <c r="D130" s="142"/>
      <c r="E130" s="142"/>
      <c r="F130" s="142"/>
      <c r="G130" s="142"/>
      <c r="H130" s="141"/>
      <c r="I130" s="8"/>
    </row>
    <row r="131" spans="2:9" ht="15" hidden="1" customHeight="1" x14ac:dyDescent="0.25">
      <c r="B131" s="7"/>
      <c r="C131" s="140">
        <v>103</v>
      </c>
      <c r="D131" s="142"/>
      <c r="E131" s="142"/>
      <c r="F131" s="142"/>
      <c r="G131" s="142"/>
      <c r="H131" s="141"/>
      <c r="I131" s="8"/>
    </row>
    <row r="132" spans="2:9" ht="15" hidden="1" customHeight="1" x14ac:dyDescent="0.25">
      <c r="B132" s="7"/>
      <c r="C132" s="140">
        <v>104</v>
      </c>
      <c r="D132" s="142"/>
      <c r="E132" s="142"/>
      <c r="F132" s="142"/>
      <c r="G132" s="142"/>
      <c r="H132" s="141"/>
      <c r="I132" s="8"/>
    </row>
    <row r="133" spans="2:9" ht="15" hidden="1" customHeight="1" x14ac:dyDescent="0.25">
      <c r="B133" s="7"/>
      <c r="C133" s="140">
        <v>105</v>
      </c>
      <c r="D133" s="142"/>
      <c r="E133" s="142"/>
      <c r="F133" s="142"/>
      <c r="G133" s="142"/>
      <c r="H133" s="141"/>
      <c r="I133" s="8"/>
    </row>
    <row r="134" spans="2:9" ht="15" hidden="1" customHeight="1" x14ac:dyDescent="0.25">
      <c r="B134" s="7"/>
      <c r="C134" s="140">
        <v>106</v>
      </c>
      <c r="D134" s="142"/>
      <c r="E134" s="142"/>
      <c r="F134" s="142"/>
      <c r="G134" s="142"/>
      <c r="H134" s="141"/>
      <c r="I134" s="8"/>
    </row>
    <row r="135" spans="2:9" ht="15" hidden="1" customHeight="1" x14ac:dyDescent="0.25">
      <c r="B135" s="7"/>
      <c r="C135" s="140">
        <v>107</v>
      </c>
      <c r="D135" s="142"/>
      <c r="E135" s="142"/>
      <c r="F135" s="142"/>
      <c r="G135" s="142"/>
      <c r="H135" s="141"/>
      <c r="I135" s="8"/>
    </row>
    <row r="136" spans="2:9" ht="15" hidden="1" customHeight="1" x14ac:dyDescent="0.25">
      <c r="B136" s="7"/>
      <c r="C136" s="140">
        <v>108</v>
      </c>
      <c r="D136" s="142"/>
      <c r="E136" s="142"/>
      <c r="F136" s="142"/>
      <c r="G136" s="142"/>
      <c r="H136" s="141"/>
      <c r="I136" s="8"/>
    </row>
    <row r="137" spans="2:9" ht="15" hidden="1" customHeight="1" x14ac:dyDescent="0.25">
      <c r="B137" s="7"/>
      <c r="C137" s="140">
        <v>109</v>
      </c>
      <c r="D137" s="142"/>
      <c r="E137" s="142"/>
      <c r="F137" s="142"/>
      <c r="G137" s="142"/>
      <c r="H137" s="141"/>
      <c r="I137" s="8"/>
    </row>
    <row r="138" spans="2:9" ht="15" hidden="1" customHeight="1" x14ac:dyDescent="0.25">
      <c r="B138" s="7"/>
      <c r="C138" s="140">
        <v>110</v>
      </c>
      <c r="D138" s="142"/>
      <c r="E138" s="142"/>
      <c r="F138" s="142"/>
      <c r="G138" s="142"/>
      <c r="H138" s="141"/>
      <c r="I138" s="8"/>
    </row>
    <row r="139" spans="2:9" ht="15" hidden="1" customHeight="1" x14ac:dyDescent="0.25">
      <c r="B139" s="7"/>
      <c r="C139" s="140">
        <v>111</v>
      </c>
      <c r="D139" s="142"/>
      <c r="E139" s="142"/>
      <c r="F139" s="142"/>
      <c r="G139" s="142"/>
      <c r="H139" s="141"/>
      <c r="I139" s="8"/>
    </row>
    <row r="140" spans="2:9" ht="15" hidden="1" customHeight="1" x14ac:dyDescent="0.25">
      <c r="B140" s="7"/>
      <c r="C140" s="140">
        <v>112</v>
      </c>
      <c r="D140" s="142"/>
      <c r="E140" s="142"/>
      <c r="F140" s="142"/>
      <c r="G140" s="142"/>
      <c r="H140" s="141"/>
      <c r="I140" s="8"/>
    </row>
    <row r="141" spans="2:9" ht="15" hidden="1" customHeight="1" x14ac:dyDescent="0.25">
      <c r="B141" s="7"/>
      <c r="C141" s="140">
        <v>113</v>
      </c>
      <c r="D141" s="142"/>
      <c r="E141" s="142"/>
      <c r="F141" s="142"/>
      <c r="G141" s="142"/>
      <c r="H141" s="141"/>
      <c r="I141" s="8"/>
    </row>
    <row r="142" spans="2:9" ht="15" hidden="1" customHeight="1" x14ac:dyDescent="0.25">
      <c r="B142" s="7"/>
      <c r="C142" s="140">
        <v>114</v>
      </c>
      <c r="D142" s="142"/>
      <c r="E142" s="142"/>
      <c r="F142" s="142"/>
      <c r="G142" s="142"/>
      <c r="H142" s="141"/>
      <c r="I142" s="8"/>
    </row>
    <row r="143" spans="2:9" ht="15" hidden="1" customHeight="1" x14ac:dyDescent="0.25">
      <c r="B143" s="7"/>
      <c r="C143" s="140">
        <v>115</v>
      </c>
      <c r="D143" s="142"/>
      <c r="E143" s="142"/>
      <c r="F143" s="142"/>
      <c r="G143" s="142"/>
      <c r="H143" s="141"/>
      <c r="I143" s="8"/>
    </row>
    <row r="144" spans="2:9" ht="15" hidden="1" customHeight="1" x14ac:dyDescent="0.25">
      <c r="B144" s="7"/>
      <c r="C144" s="140">
        <v>116</v>
      </c>
      <c r="D144" s="142"/>
      <c r="E144" s="142"/>
      <c r="F144" s="142"/>
      <c r="G144" s="142"/>
      <c r="H144" s="141"/>
      <c r="I144" s="8"/>
    </row>
    <row r="145" spans="2:9" ht="15" hidden="1" customHeight="1" x14ac:dyDescent="0.25">
      <c r="B145" s="7"/>
      <c r="C145" s="140">
        <v>117</v>
      </c>
      <c r="D145" s="142"/>
      <c r="E145" s="142"/>
      <c r="F145" s="142"/>
      <c r="G145" s="142"/>
      <c r="H145" s="141"/>
      <c r="I145" s="8"/>
    </row>
    <row r="146" spans="2:9" ht="15" hidden="1" customHeight="1" x14ac:dyDescent="0.25">
      <c r="B146" s="7"/>
      <c r="C146" s="140">
        <v>118</v>
      </c>
      <c r="D146" s="142"/>
      <c r="E146" s="142"/>
      <c r="F146" s="142"/>
      <c r="G146" s="142"/>
      <c r="H146" s="141"/>
      <c r="I146" s="8"/>
    </row>
    <row r="147" spans="2:9" ht="15" hidden="1" customHeight="1" x14ac:dyDescent="0.25">
      <c r="B147" s="7"/>
      <c r="C147" s="140">
        <v>119</v>
      </c>
      <c r="D147" s="142"/>
      <c r="E147" s="142"/>
      <c r="F147" s="142"/>
      <c r="G147" s="142"/>
      <c r="H147" s="141"/>
      <c r="I147" s="8"/>
    </row>
    <row r="148" spans="2:9" ht="15" hidden="1" customHeight="1" x14ac:dyDescent="0.25">
      <c r="B148" s="7"/>
      <c r="C148" s="140">
        <v>120</v>
      </c>
      <c r="D148" s="142"/>
      <c r="E148" s="142"/>
      <c r="F148" s="142"/>
      <c r="G148" s="142"/>
      <c r="H148" s="141"/>
      <c r="I148" s="8"/>
    </row>
    <row r="149" spans="2:9" ht="15" hidden="1" customHeight="1" x14ac:dyDescent="0.25">
      <c r="B149" s="7"/>
      <c r="C149" s="140">
        <v>121</v>
      </c>
      <c r="D149" s="142"/>
      <c r="E149" s="142"/>
      <c r="F149" s="142"/>
      <c r="G149" s="142"/>
      <c r="H149" s="141"/>
      <c r="I149" s="8"/>
    </row>
    <row r="150" spans="2:9" ht="15" hidden="1" customHeight="1" x14ac:dyDescent="0.25">
      <c r="B150" s="7"/>
      <c r="C150" s="140">
        <v>122</v>
      </c>
      <c r="D150" s="142"/>
      <c r="E150" s="142"/>
      <c r="F150" s="142"/>
      <c r="G150" s="142"/>
      <c r="H150" s="141"/>
      <c r="I150" s="8"/>
    </row>
    <row r="151" spans="2:9" ht="15" hidden="1" customHeight="1" x14ac:dyDescent="0.25">
      <c r="B151" s="7"/>
      <c r="C151" s="140">
        <v>123</v>
      </c>
      <c r="D151" s="142"/>
      <c r="E151" s="142"/>
      <c r="F151" s="142"/>
      <c r="G151" s="142"/>
      <c r="H151" s="141"/>
      <c r="I151" s="8"/>
    </row>
    <row r="152" spans="2:9" ht="15" hidden="1" customHeight="1" x14ac:dyDescent="0.25">
      <c r="B152" s="7"/>
      <c r="C152" s="140">
        <v>124</v>
      </c>
      <c r="D152" s="142"/>
      <c r="E152" s="142"/>
      <c r="F152" s="142"/>
      <c r="G152" s="142"/>
      <c r="H152" s="141"/>
      <c r="I152" s="8"/>
    </row>
    <row r="153" spans="2:9" ht="15" hidden="1" customHeight="1" x14ac:dyDescent="0.25">
      <c r="B153" s="7"/>
      <c r="C153" s="140">
        <v>125</v>
      </c>
      <c r="D153" s="142"/>
      <c r="E153" s="142"/>
      <c r="F153" s="142"/>
      <c r="G153" s="142"/>
      <c r="H153" s="141"/>
      <c r="I153" s="8"/>
    </row>
    <row r="154" spans="2:9" ht="15" hidden="1" customHeight="1" x14ac:dyDescent="0.25">
      <c r="B154" s="7"/>
      <c r="C154" s="140">
        <v>126</v>
      </c>
      <c r="D154" s="142"/>
      <c r="E154" s="142"/>
      <c r="F154" s="142"/>
      <c r="G154" s="142"/>
      <c r="H154" s="141"/>
      <c r="I154" s="8"/>
    </row>
    <row r="155" spans="2:9" ht="15" hidden="1" customHeight="1" x14ac:dyDescent="0.25">
      <c r="B155" s="7"/>
      <c r="C155" s="140">
        <v>127</v>
      </c>
      <c r="D155" s="142"/>
      <c r="E155" s="142"/>
      <c r="F155" s="142"/>
      <c r="G155" s="142"/>
      <c r="H155" s="141"/>
      <c r="I155" s="8"/>
    </row>
    <row r="156" spans="2:9" ht="15" hidden="1" customHeight="1" x14ac:dyDescent="0.25">
      <c r="B156" s="7"/>
      <c r="C156" s="140">
        <v>128</v>
      </c>
      <c r="D156" s="142"/>
      <c r="E156" s="142"/>
      <c r="F156" s="142"/>
      <c r="G156" s="142"/>
      <c r="H156" s="141"/>
      <c r="I156" s="8"/>
    </row>
    <row r="157" spans="2:9" ht="15" hidden="1" customHeight="1" x14ac:dyDescent="0.25">
      <c r="B157" s="7"/>
      <c r="C157" s="140">
        <v>129</v>
      </c>
      <c r="D157" s="142"/>
      <c r="E157" s="142"/>
      <c r="F157" s="142"/>
      <c r="G157" s="142"/>
      <c r="H157" s="141"/>
      <c r="I157" s="8"/>
    </row>
    <row r="158" spans="2:9" ht="15" hidden="1" customHeight="1" x14ac:dyDescent="0.25">
      <c r="B158" s="7"/>
      <c r="C158" s="140">
        <v>130</v>
      </c>
      <c r="D158" s="142"/>
      <c r="E158" s="142"/>
      <c r="F158" s="142"/>
      <c r="G158" s="142"/>
      <c r="H158" s="141"/>
      <c r="I158" s="8"/>
    </row>
    <row r="159" spans="2:9" ht="15" hidden="1" customHeight="1" x14ac:dyDescent="0.25">
      <c r="B159" s="7"/>
      <c r="C159" s="140">
        <v>131</v>
      </c>
      <c r="D159" s="142"/>
      <c r="E159" s="142"/>
      <c r="F159" s="142"/>
      <c r="G159" s="142"/>
      <c r="H159" s="141"/>
      <c r="I159" s="8"/>
    </row>
    <row r="160" spans="2:9" ht="15" hidden="1" customHeight="1" x14ac:dyDescent="0.25">
      <c r="B160" s="7"/>
      <c r="C160" s="140">
        <v>132</v>
      </c>
      <c r="D160" s="142"/>
      <c r="E160" s="142"/>
      <c r="F160" s="142"/>
      <c r="G160" s="142"/>
      <c r="H160" s="141"/>
      <c r="I160" s="8"/>
    </row>
    <row r="161" spans="2:9" ht="15" hidden="1" customHeight="1" x14ac:dyDescent="0.25">
      <c r="B161" s="7"/>
      <c r="C161" s="140">
        <v>133</v>
      </c>
      <c r="D161" s="142"/>
      <c r="E161" s="142"/>
      <c r="F161" s="142"/>
      <c r="G161" s="142"/>
      <c r="H161" s="141"/>
      <c r="I161" s="8"/>
    </row>
    <row r="162" spans="2:9" ht="15" hidden="1" customHeight="1" x14ac:dyDescent="0.25">
      <c r="B162" s="7"/>
      <c r="C162" s="140">
        <v>134</v>
      </c>
      <c r="D162" s="142"/>
      <c r="E162" s="142"/>
      <c r="F162" s="142"/>
      <c r="G162" s="142"/>
      <c r="H162" s="141"/>
      <c r="I162" s="8"/>
    </row>
    <row r="163" spans="2:9" ht="15" hidden="1" customHeight="1" x14ac:dyDescent="0.25">
      <c r="B163" s="7"/>
      <c r="C163" s="140">
        <v>135</v>
      </c>
      <c r="D163" s="142"/>
      <c r="E163" s="142"/>
      <c r="F163" s="142"/>
      <c r="G163" s="142"/>
      <c r="H163" s="141"/>
      <c r="I163" s="8"/>
    </row>
    <row r="164" spans="2:9" ht="15" hidden="1" customHeight="1" x14ac:dyDescent="0.25">
      <c r="B164" s="7"/>
      <c r="C164" s="140">
        <v>136</v>
      </c>
      <c r="D164" s="142"/>
      <c r="E164" s="142"/>
      <c r="F164" s="142"/>
      <c r="G164" s="142"/>
      <c r="H164" s="141"/>
      <c r="I164" s="8"/>
    </row>
    <row r="165" spans="2:9" ht="15" hidden="1" customHeight="1" x14ac:dyDescent="0.25">
      <c r="B165" s="7"/>
      <c r="C165" s="140">
        <v>137</v>
      </c>
      <c r="D165" s="142"/>
      <c r="E165" s="142"/>
      <c r="F165" s="142"/>
      <c r="G165" s="142"/>
      <c r="H165" s="141"/>
      <c r="I165" s="8"/>
    </row>
    <row r="166" spans="2:9" ht="15" hidden="1" customHeight="1" x14ac:dyDescent="0.25">
      <c r="B166" s="7"/>
      <c r="C166" s="140">
        <v>138</v>
      </c>
      <c r="D166" s="142"/>
      <c r="E166" s="142"/>
      <c r="F166" s="142"/>
      <c r="G166" s="142"/>
      <c r="H166" s="141"/>
      <c r="I166" s="8"/>
    </row>
    <row r="167" spans="2:9" ht="15" hidden="1" customHeight="1" x14ac:dyDescent="0.25">
      <c r="B167" s="7"/>
      <c r="C167" s="140">
        <v>139</v>
      </c>
      <c r="D167" s="142"/>
      <c r="E167" s="142"/>
      <c r="F167" s="142"/>
      <c r="G167" s="142"/>
      <c r="H167" s="141"/>
      <c r="I167" s="8"/>
    </row>
    <row r="168" spans="2:9" ht="15" hidden="1" customHeight="1" x14ac:dyDescent="0.25">
      <c r="B168" s="7"/>
      <c r="C168" s="140">
        <v>140</v>
      </c>
      <c r="D168" s="142"/>
      <c r="E168" s="142"/>
      <c r="F168" s="142"/>
      <c r="G168" s="142"/>
      <c r="H168" s="141"/>
      <c r="I168" s="8"/>
    </row>
    <row r="169" spans="2:9" ht="15" hidden="1" customHeight="1" x14ac:dyDescent="0.25">
      <c r="B169" s="7"/>
      <c r="C169" s="140">
        <v>141</v>
      </c>
      <c r="D169" s="142"/>
      <c r="E169" s="142"/>
      <c r="F169" s="142"/>
      <c r="G169" s="142"/>
      <c r="H169" s="141"/>
      <c r="I169" s="8"/>
    </row>
    <row r="170" spans="2:9" ht="15" hidden="1" customHeight="1" x14ac:dyDescent="0.25">
      <c r="B170" s="7"/>
      <c r="C170" s="140">
        <v>142</v>
      </c>
      <c r="D170" s="142"/>
      <c r="E170" s="142"/>
      <c r="F170" s="142"/>
      <c r="G170" s="142"/>
      <c r="H170" s="141"/>
      <c r="I170" s="8"/>
    </row>
    <row r="171" spans="2:9" ht="15" hidden="1" customHeight="1" x14ac:dyDescent="0.25">
      <c r="B171" s="7"/>
      <c r="C171" s="140">
        <v>143</v>
      </c>
      <c r="D171" s="142"/>
      <c r="E171" s="142"/>
      <c r="F171" s="142"/>
      <c r="G171" s="142"/>
      <c r="H171" s="141"/>
      <c r="I171" s="8"/>
    </row>
    <row r="172" spans="2:9" ht="15" hidden="1" customHeight="1" x14ac:dyDescent="0.25">
      <c r="B172" s="7"/>
      <c r="C172" s="140">
        <v>144</v>
      </c>
      <c r="D172" s="142"/>
      <c r="E172" s="142"/>
      <c r="F172" s="142"/>
      <c r="G172" s="142"/>
      <c r="H172" s="141"/>
      <c r="I172" s="8"/>
    </row>
    <row r="173" spans="2:9" ht="15" hidden="1" customHeight="1" x14ac:dyDescent="0.25">
      <c r="B173" s="7"/>
      <c r="C173" s="140">
        <v>145</v>
      </c>
      <c r="D173" s="142"/>
      <c r="E173" s="142"/>
      <c r="F173" s="142"/>
      <c r="G173" s="142"/>
      <c r="H173" s="141"/>
      <c r="I173" s="8"/>
    </row>
    <row r="174" spans="2:9" ht="15" hidden="1" customHeight="1" x14ac:dyDescent="0.25">
      <c r="B174" s="7"/>
      <c r="C174" s="140">
        <v>146</v>
      </c>
      <c r="D174" s="142"/>
      <c r="E174" s="142"/>
      <c r="F174" s="142"/>
      <c r="G174" s="142"/>
      <c r="H174" s="141"/>
      <c r="I174" s="8"/>
    </row>
    <row r="175" spans="2:9" ht="15" hidden="1" customHeight="1" x14ac:dyDescent="0.25">
      <c r="B175" s="7"/>
      <c r="C175" s="140">
        <v>147</v>
      </c>
      <c r="D175" s="142"/>
      <c r="E175" s="142"/>
      <c r="F175" s="142"/>
      <c r="G175" s="142"/>
      <c r="H175" s="141"/>
      <c r="I175" s="8"/>
    </row>
    <row r="176" spans="2:9" ht="15" hidden="1" customHeight="1" x14ac:dyDescent="0.25">
      <c r="B176" s="7"/>
      <c r="C176" s="140">
        <v>148</v>
      </c>
      <c r="D176" s="142"/>
      <c r="E176" s="142"/>
      <c r="F176" s="142"/>
      <c r="G176" s="142"/>
      <c r="H176" s="141"/>
      <c r="I176" s="8"/>
    </row>
    <row r="177" spans="2:9" ht="15" hidden="1" customHeight="1" x14ac:dyDescent="0.25">
      <c r="B177" s="7"/>
      <c r="C177" s="140">
        <v>149</v>
      </c>
      <c r="D177" s="142"/>
      <c r="E177" s="142"/>
      <c r="F177" s="142"/>
      <c r="G177" s="142"/>
      <c r="H177" s="141"/>
      <c r="I177" s="8"/>
    </row>
    <row r="178" spans="2:9" ht="15" hidden="1" customHeight="1" x14ac:dyDescent="0.25">
      <c r="B178" s="7"/>
      <c r="C178" s="140">
        <v>150</v>
      </c>
      <c r="D178" s="142"/>
      <c r="E178" s="142"/>
      <c r="F178" s="142"/>
      <c r="G178" s="142"/>
      <c r="H178" s="141"/>
      <c r="I178" s="8"/>
    </row>
    <row r="179" spans="2:9" ht="15" hidden="1" customHeight="1" x14ac:dyDescent="0.25">
      <c r="B179" s="7"/>
      <c r="C179" s="140">
        <v>151</v>
      </c>
      <c r="D179" s="142"/>
      <c r="E179" s="142"/>
      <c r="F179" s="142"/>
      <c r="G179" s="142"/>
      <c r="H179" s="141"/>
      <c r="I179" s="8"/>
    </row>
    <row r="180" spans="2:9" ht="15" hidden="1" customHeight="1" x14ac:dyDescent="0.25">
      <c r="B180" s="7"/>
      <c r="C180" s="140">
        <v>152</v>
      </c>
      <c r="D180" s="142"/>
      <c r="E180" s="142"/>
      <c r="F180" s="142"/>
      <c r="G180" s="142"/>
      <c r="H180" s="141"/>
      <c r="I180" s="8"/>
    </row>
    <row r="181" spans="2:9" ht="15" hidden="1" customHeight="1" x14ac:dyDescent="0.25">
      <c r="B181" s="7"/>
      <c r="C181" s="140">
        <v>153</v>
      </c>
      <c r="D181" s="142"/>
      <c r="E181" s="142"/>
      <c r="F181" s="142"/>
      <c r="G181" s="142"/>
      <c r="H181" s="141"/>
      <c r="I181" s="8"/>
    </row>
    <row r="182" spans="2:9" ht="15" hidden="1" customHeight="1" x14ac:dyDescent="0.25">
      <c r="B182" s="7"/>
      <c r="C182" s="140">
        <v>154</v>
      </c>
      <c r="D182" s="142"/>
      <c r="E182" s="142"/>
      <c r="F182" s="142"/>
      <c r="G182" s="142"/>
      <c r="H182" s="141"/>
      <c r="I182" s="8"/>
    </row>
    <row r="183" spans="2:9" ht="15" hidden="1" customHeight="1" x14ac:dyDescent="0.25">
      <c r="B183" s="7"/>
      <c r="C183" s="140">
        <v>155</v>
      </c>
      <c r="D183" s="142"/>
      <c r="E183" s="142"/>
      <c r="F183" s="142"/>
      <c r="G183" s="142"/>
      <c r="H183" s="141"/>
      <c r="I183" s="8"/>
    </row>
    <row r="184" spans="2:9" ht="15" hidden="1" customHeight="1" x14ac:dyDescent="0.25">
      <c r="B184" s="7"/>
      <c r="C184" s="140">
        <v>156</v>
      </c>
      <c r="D184" s="142"/>
      <c r="E184" s="142"/>
      <c r="F184" s="142"/>
      <c r="G184" s="142"/>
      <c r="H184" s="141"/>
      <c r="I184" s="8"/>
    </row>
    <row r="185" spans="2:9" ht="15" hidden="1" customHeight="1" x14ac:dyDescent="0.25">
      <c r="B185" s="7"/>
      <c r="C185" s="140">
        <v>157</v>
      </c>
      <c r="D185" s="142"/>
      <c r="E185" s="142"/>
      <c r="F185" s="142"/>
      <c r="G185" s="142"/>
      <c r="H185" s="141"/>
      <c r="I185" s="8"/>
    </row>
    <row r="186" spans="2:9" ht="15" hidden="1" customHeight="1" x14ac:dyDescent="0.25">
      <c r="B186" s="7"/>
      <c r="C186" s="140">
        <v>158</v>
      </c>
      <c r="D186" s="142"/>
      <c r="E186" s="142"/>
      <c r="F186" s="142"/>
      <c r="G186" s="142"/>
      <c r="H186" s="141"/>
      <c r="I186" s="8"/>
    </row>
    <row r="187" spans="2:9" ht="15" hidden="1" customHeight="1" x14ac:dyDescent="0.25">
      <c r="B187" s="7"/>
      <c r="C187" s="140">
        <v>159</v>
      </c>
      <c r="D187" s="142"/>
      <c r="E187" s="142"/>
      <c r="F187" s="142"/>
      <c r="G187" s="142"/>
      <c r="H187" s="141"/>
      <c r="I187" s="8"/>
    </row>
    <row r="188" spans="2:9" ht="15" hidden="1" customHeight="1" x14ac:dyDescent="0.25">
      <c r="B188" s="7"/>
      <c r="C188" s="140">
        <v>160</v>
      </c>
      <c r="D188" s="142"/>
      <c r="E188" s="142"/>
      <c r="F188" s="142"/>
      <c r="G188" s="142"/>
      <c r="H188" s="141"/>
      <c r="I188" s="8"/>
    </row>
    <row r="189" spans="2:9" ht="15" hidden="1" customHeight="1" x14ac:dyDescent="0.25">
      <c r="B189" s="7"/>
      <c r="C189" s="140">
        <v>161</v>
      </c>
      <c r="D189" s="142"/>
      <c r="E189" s="142"/>
      <c r="F189" s="142"/>
      <c r="G189" s="142"/>
      <c r="H189" s="141"/>
      <c r="I189" s="8"/>
    </row>
    <row r="190" spans="2:9" ht="15" hidden="1" customHeight="1" x14ac:dyDescent="0.25">
      <c r="B190" s="7"/>
      <c r="C190" s="140">
        <v>162</v>
      </c>
      <c r="D190" s="142"/>
      <c r="E190" s="142"/>
      <c r="F190" s="142"/>
      <c r="G190" s="142"/>
      <c r="H190" s="141"/>
      <c r="I190" s="8"/>
    </row>
    <row r="191" spans="2:9" ht="15" hidden="1" customHeight="1" x14ac:dyDescent="0.25">
      <c r="B191" s="7"/>
      <c r="C191" s="140">
        <v>163</v>
      </c>
      <c r="D191" s="142"/>
      <c r="E191" s="142"/>
      <c r="F191" s="142"/>
      <c r="G191" s="142"/>
      <c r="H191" s="141"/>
      <c r="I191" s="8"/>
    </row>
    <row r="192" spans="2:9" ht="15" hidden="1" customHeight="1" x14ac:dyDescent="0.25">
      <c r="B192" s="7"/>
      <c r="C192" s="140">
        <v>164</v>
      </c>
      <c r="D192" s="142"/>
      <c r="E192" s="142"/>
      <c r="F192" s="142"/>
      <c r="G192" s="142"/>
      <c r="H192" s="141"/>
      <c r="I192" s="8"/>
    </row>
    <row r="193" spans="2:9" ht="15" hidden="1" customHeight="1" x14ac:dyDescent="0.25">
      <c r="B193" s="7"/>
      <c r="C193" s="140">
        <v>165</v>
      </c>
      <c r="D193" s="142"/>
      <c r="E193" s="142"/>
      <c r="F193" s="142"/>
      <c r="G193" s="142"/>
      <c r="H193" s="141"/>
      <c r="I193" s="8"/>
    </row>
    <row r="194" spans="2:9" ht="15" hidden="1" customHeight="1" x14ac:dyDescent="0.25">
      <c r="B194" s="7"/>
      <c r="C194" s="140">
        <v>166</v>
      </c>
      <c r="D194" s="142"/>
      <c r="E194" s="142"/>
      <c r="F194" s="142"/>
      <c r="G194" s="142"/>
      <c r="H194" s="141"/>
      <c r="I194" s="8"/>
    </row>
    <row r="195" spans="2:9" ht="15" hidden="1" customHeight="1" x14ac:dyDescent="0.25">
      <c r="B195" s="7"/>
      <c r="C195" s="140">
        <v>167</v>
      </c>
      <c r="D195" s="142"/>
      <c r="E195" s="142"/>
      <c r="F195" s="142"/>
      <c r="G195" s="142"/>
      <c r="H195" s="141"/>
      <c r="I195" s="8"/>
    </row>
    <row r="196" spans="2:9" ht="15" hidden="1" customHeight="1" x14ac:dyDescent="0.25">
      <c r="B196" s="7"/>
      <c r="C196" s="140">
        <v>168</v>
      </c>
      <c r="D196" s="142"/>
      <c r="E196" s="142"/>
      <c r="F196" s="142"/>
      <c r="G196" s="142"/>
      <c r="H196" s="141"/>
      <c r="I196" s="8"/>
    </row>
    <row r="197" spans="2:9" ht="15" hidden="1" customHeight="1" x14ac:dyDescent="0.25">
      <c r="B197" s="7"/>
      <c r="C197" s="140">
        <v>169</v>
      </c>
      <c r="D197" s="142"/>
      <c r="E197" s="142"/>
      <c r="F197" s="142"/>
      <c r="G197" s="142"/>
      <c r="H197" s="141"/>
      <c r="I197" s="8"/>
    </row>
    <row r="198" spans="2:9" ht="15" hidden="1" customHeight="1" x14ac:dyDescent="0.25">
      <c r="B198" s="7"/>
      <c r="C198" s="140">
        <v>170</v>
      </c>
      <c r="D198" s="142"/>
      <c r="E198" s="142"/>
      <c r="F198" s="142"/>
      <c r="G198" s="142"/>
      <c r="H198" s="141"/>
      <c r="I198" s="8"/>
    </row>
    <row r="199" spans="2:9" ht="15" hidden="1" customHeight="1" x14ac:dyDescent="0.25">
      <c r="B199" s="7"/>
      <c r="C199" s="140">
        <v>171</v>
      </c>
      <c r="D199" s="142"/>
      <c r="E199" s="142"/>
      <c r="F199" s="142"/>
      <c r="G199" s="142"/>
      <c r="H199" s="141"/>
      <c r="I199" s="8"/>
    </row>
    <row r="200" spans="2:9" ht="15" hidden="1" customHeight="1" x14ac:dyDescent="0.25">
      <c r="B200" s="7"/>
      <c r="C200" s="140">
        <v>172</v>
      </c>
      <c r="D200" s="142"/>
      <c r="E200" s="142"/>
      <c r="F200" s="142"/>
      <c r="G200" s="142"/>
      <c r="H200" s="141"/>
      <c r="I200" s="8"/>
    </row>
    <row r="201" spans="2:9" ht="15" hidden="1" customHeight="1" x14ac:dyDescent="0.25">
      <c r="B201" s="7"/>
      <c r="C201" s="140">
        <v>173</v>
      </c>
      <c r="D201" s="142"/>
      <c r="E201" s="142"/>
      <c r="F201" s="142"/>
      <c r="G201" s="142"/>
      <c r="H201" s="141"/>
      <c r="I201" s="8"/>
    </row>
    <row r="202" spans="2:9" ht="15" hidden="1" customHeight="1" x14ac:dyDescent="0.25">
      <c r="B202" s="7"/>
      <c r="C202" s="140">
        <v>174</v>
      </c>
      <c r="D202" s="142"/>
      <c r="E202" s="142"/>
      <c r="F202" s="142"/>
      <c r="G202" s="142"/>
      <c r="H202" s="141"/>
      <c r="I202" s="8"/>
    </row>
    <row r="203" spans="2:9" ht="15" hidden="1" customHeight="1" x14ac:dyDescent="0.25">
      <c r="B203" s="7"/>
      <c r="C203" s="140">
        <v>175</v>
      </c>
      <c r="D203" s="142"/>
      <c r="E203" s="142"/>
      <c r="F203" s="142"/>
      <c r="G203" s="142"/>
      <c r="H203" s="141"/>
      <c r="I203" s="8"/>
    </row>
    <row r="204" spans="2:9" ht="15" hidden="1" customHeight="1" x14ac:dyDescent="0.25">
      <c r="B204" s="7"/>
      <c r="C204" s="140">
        <v>176</v>
      </c>
      <c r="D204" s="142"/>
      <c r="E204" s="142"/>
      <c r="F204" s="142"/>
      <c r="G204" s="142"/>
      <c r="H204" s="141"/>
      <c r="I204" s="8"/>
    </row>
    <row r="205" spans="2:9" ht="15" hidden="1" customHeight="1" x14ac:dyDescent="0.25">
      <c r="B205" s="7"/>
      <c r="C205" s="140">
        <v>177</v>
      </c>
      <c r="D205" s="142"/>
      <c r="E205" s="142"/>
      <c r="F205" s="142"/>
      <c r="G205" s="142"/>
      <c r="H205" s="141"/>
      <c r="I205" s="8"/>
    </row>
    <row r="206" spans="2:9" ht="15" hidden="1" customHeight="1" x14ac:dyDescent="0.25">
      <c r="B206" s="7"/>
      <c r="C206" s="140">
        <v>178</v>
      </c>
      <c r="D206" s="142"/>
      <c r="E206" s="142"/>
      <c r="F206" s="142"/>
      <c r="G206" s="142"/>
      <c r="H206" s="141"/>
      <c r="I206" s="8"/>
    </row>
    <row r="207" spans="2:9" ht="15" hidden="1" customHeight="1" x14ac:dyDescent="0.25">
      <c r="B207" s="7"/>
      <c r="C207" s="140">
        <v>179</v>
      </c>
      <c r="D207" s="142"/>
      <c r="E207" s="142"/>
      <c r="F207" s="142"/>
      <c r="G207" s="142"/>
      <c r="H207" s="141"/>
      <c r="I207" s="8"/>
    </row>
    <row r="208" spans="2:9" ht="15" hidden="1" customHeight="1" x14ac:dyDescent="0.25">
      <c r="B208" s="7"/>
      <c r="C208" s="140">
        <v>180</v>
      </c>
      <c r="D208" s="142"/>
      <c r="E208" s="142"/>
      <c r="F208" s="142"/>
      <c r="G208" s="142"/>
      <c r="H208" s="141"/>
      <c r="I208" s="8"/>
    </row>
    <row r="209" spans="2:9" ht="15" hidden="1" customHeight="1" x14ac:dyDescent="0.25">
      <c r="B209" s="7"/>
      <c r="C209" s="140">
        <v>181</v>
      </c>
      <c r="D209" s="142"/>
      <c r="E209" s="142"/>
      <c r="F209" s="142"/>
      <c r="G209" s="142"/>
      <c r="H209" s="141"/>
      <c r="I209" s="8"/>
    </row>
    <row r="210" spans="2:9" ht="15" hidden="1" customHeight="1" x14ac:dyDescent="0.25">
      <c r="B210" s="7"/>
      <c r="C210" s="140">
        <v>182</v>
      </c>
      <c r="D210" s="142"/>
      <c r="E210" s="142"/>
      <c r="F210" s="142"/>
      <c r="G210" s="142"/>
      <c r="H210" s="141"/>
      <c r="I210" s="8"/>
    </row>
    <row r="211" spans="2:9" ht="15" hidden="1" customHeight="1" x14ac:dyDescent="0.25">
      <c r="B211" s="7"/>
      <c r="C211" s="140">
        <v>183</v>
      </c>
      <c r="D211" s="142"/>
      <c r="E211" s="142"/>
      <c r="F211" s="142"/>
      <c r="G211" s="142"/>
      <c r="H211" s="141"/>
      <c r="I211" s="8"/>
    </row>
    <row r="212" spans="2:9" ht="15" hidden="1" customHeight="1" x14ac:dyDescent="0.25">
      <c r="B212" s="7"/>
      <c r="C212" s="140">
        <v>184</v>
      </c>
      <c r="D212" s="142"/>
      <c r="E212" s="142"/>
      <c r="F212" s="142"/>
      <c r="G212" s="142"/>
      <c r="H212" s="141"/>
      <c r="I212" s="8"/>
    </row>
    <row r="213" spans="2:9" ht="15" hidden="1" customHeight="1" x14ac:dyDescent="0.25">
      <c r="B213" s="7"/>
      <c r="C213" s="140">
        <v>185</v>
      </c>
      <c r="D213" s="142"/>
      <c r="E213" s="142"/>
      <c r="F213" s="142"/>
      <c r="G213" s="142"/>
      <c r="H213" s="141"/>
      <c r="I213" s="8"/>
    </row>
    <row r="214" spans="2:9" ht="15" hidden="1" customHeight="1" x14ac:dyDescent="0.25">
      <c r="B214" s="7"/>
      <c r="C214" s="140">
        <v>186</v>
      </c>
      <c r="D214" s="142"/>
      <c r="E214" s="142"/>
      <c r="F214" s="142"/>
      <c r="G214" s="142"/>
      <c r="H214" s="141"/>
      <c r="I214" s="8"/>
    </row>
    <row r="215" spans="2:9" ht="15" hidden="1" customHeight="1" x14ac:dyDescent="0.25">
      <c r="B215" s="7"/>
      <c r="C215" s="140">
        <v>187</v>
      </c>
      <c r="D215" s="142"/>
      <c r="E215" s="142"/>
      <c r="F215" s="142"/>
      <c r="G215" s="142"/>
      <c r="H215" s="141"/>
      <c r="I215" s="8"/>
    </row>
    <row r="216" spans="2:9" ht="15" hidden="1" customHeight="1" x14ac:dyDescent="0.25">
      <c r="B216" s="7"/>
      <c r="C216" s="140">
        <v>188</v>
      </c>
      <c r="D216" s="142"/>
      <c r="E216" s="142"/>
      <c r="F216" s="142"/>
      <c r="G216" s="142"/>
      <c r="H216" s="141"/>
      <c r="I216" s="8"/>
    </row>
    <row r="217" spans="2:9" ht="15" hidden="1" customHeight="1" x14ac:dyDescent="0.25">
      <c r="B217" s="7"/>
      <c r="C217" s="140">
        <v>189</v>
      </c>
      <c r="D217" s="142"/>
      <c r="E217" s="142"/>
      <c r="F217" s="142"/>
      <c r="G217" s="142"/>
      <c r="H217" s="141"/>
      <c r="I217" s="8"/>
    </row>
    <row r="218" spans="2:9" ht="15" hidden="1" customHeight="1" x14ac:dyDescent="0.25">
      <c r="B218" s="7"/>
      <c r="C218" s="140">
        <v>190</v>
      </c>
      <c r="D218" s="142"/>
      <c r="E218" s="142"/>
      <c r="F218" s="142"/>
      <c r="G218" s="142"/>
      <c r="H218" s="141"/>
      <c r="I218" s="8"/>
    </row>
    <row r="219" spans="2:9" ht="15" hidden="1" customHeight="1" x14ac:dyDescent="0.25">
      <c r="B219" s="7"/>
      <c r="C219" s="140">
        <v>191</v>
      </c>
      <c r="D219" s="142"/>
      <c r="E219" s="142"/>
      <c r="F219" s="142"/>
      <c r="G219" s="142"/>
      <c r="H219" s="141"/>
      <c r="I219" s="8"/>
    </row>
    <row r="220" spans="2:9" ht="15" hidden="1" customHeight="1" x14ac:dyDescent="0.25">
      <c r="B220" s="7"/>
      <c r="C220" s="140">
        <v>192</v>
      </c>
      <c r="D220" s="142"/>
      <c r="E220" s="142"/>
      <c r="F220" s="142"/>
      <c r="G220" s="142"/>
      <c r="H220" s="141"/>
      <c r="I220" s="8"/>
    </row>
    <row r="221" spans="2:9" ht="15" hidden="1" customHeight="1" x14ac:dyDescent="0.25">
      <c r="B221" s="7"/>
      <c r="C221" s="140">
        <v>193</v>
      </c>
      <c r="D221" s="142"/>
      <c r="E221" s="142"/>
      <c r="F221" s="142"/>
      <c r="G221" s="142"/>
      <c r="H221" s="141"/>
      <c r="I221" s="8"/>
    </row>
    <row r="222" spans="2:9" ht="15" hidden="1" customHeight="1" x14ac:dyDescent="0.25">
      <c r="B222" s="7"/>
      <c r="C222" s="140">
        <v>194</v>
      </c>
      <c r="D222" s="142"/>
      <c r="E222" s="142"/>
      <c r="F222" s="142"/>
      <c r="G222" s="142"/>
      <c r="H222" s="141"/>
      <c r="I222" s="8"/>
    </row>
    <row r="223" spans="2:9" ht="15" hidden="1" customHeight="1" x14ac:dyDescent="0.25">
      <c r="B223" s="7"/>
      <c r="C223" s="140">
        <v>195</v>
      </c>
      <c r="D223" s="142"/>
      <c r="E223" s="142"/>
      <c r="F223" s="142"/>
      <c r="G223" s="142"/>
      <c r="H223" s="141"/>
      <c r="I223" s="8"/>
    </row>
    <row r="224" spans="2:9" ht="15" hidden="1" customHeight="1" x14ac:dyDescent="0.25">
      <c r="B224" s="7"/>
      <c r="C224" s="140">
        <v>196</v>
      </c>
      <c r="D224" s="142"/>
      <c r="E224" s="142"/>
      <c r="F224" s="142"/>
      <c r="G224" s="142"/>
      <c r="H224" s="141"/>
      <c r="I224" s="8"/>
    </row>
    <row r="225" spans="2:9" ht="15" hidden="1" customHeight="1" x14ac:dyDescent="0.25">
      <c r="B225" s="7"/>
      <c r="C225" s="140">
        <v>197</v>
      </c>
      <c r="D225" s="142"/>
      <c r="E225" s="142"/>
      <c r="F225" s="142"/>
      <c r="G225" s="142"/>
      <c r="H225" s="141"/>
      <c r="I225" s="8"/>
    </row>
    <row r="226" spans="2:9" ht="15" hidden="1" customHeight="1" x14ac:dyDescent="0.25">
      <c r="B226" s="7"/>
      <c r="C226" s="140">
        <v>198</v>
      </c>
      <c r="D226" s="142"/>
      <c r="E226" s="142"/>
      <c r="F226" s="142"/>
      <c r="G226" s="142"/>
      <c r="H226" s="141"/>
      <c r="I226" s="8"/>
    </row>
    <row r="227" spans="2:9" ht="15" hidden="1" customHeight="1" x14ac:dyDescent="0.25">
      <c r="B227" s="7"/>
      <c r="C227" s="140">
        <v>199</v>
      </c>
      <c r="D227" s="142"/>
      <c r="E227" s="142"/>
      <c r="F227" s="142"/>
      <c r="G227" s="142"/>
      <c r="H227" s="141"/>
      <c r="I227" s="8"/>
    </row>
    <row r="228" spans="2:9" ht="15" hidden="1" customHeight="1" x14ac:dyDescent="0.25">
      <c r="B228" s="7"/>
      <c r="C228" s="140">
        <v>200</v>
      </c>
      <c r="D228" s="142"/>
      <c r="E228" s="142"/>
      <c r="F228" s="142"/>
      <c r="G228" s="142"/>
      <c r="H228" s="141"/>
      <c r="I228" s="8"/>
    </row>
    <row r="229" spans="2:9" ht="15" hidden="1" customHeight="1" x14ac:dyDescent="0.25">
      <c r="B229" s="7"/>
      <c r="C229" s="140">
        <v>201</v>
      </c>
      <c r="D229" s="142"/>
      <c r="E229" s="142"/>
      <c r="F229" s="142"/>
      <c r="G229" s="142"/>
      <c r="H229" s="141"/>
      <c r="I229" s="8"/>
    </row>
    <row r="230" spans="2:9" ht="15" hidden="1" customHeight="1" x14ac:dyDescent="0.25">
      <c r="B230" s="7"/>
      <c r="C230" s="140">
        <v>202</v>
      </c>
      <c r="D230" s="142"/>
      <c r="E230" s="142"/>
      <c r="F230" s="142"/>
      <c r="G230" s="142"/>
      <c r="H230" s="141"/>
      <c r="I230" s="8"/>
    </row>
    <row r="231" spans="2:9" ht="15" hidden="1" customHeight="1" x14ac:dyDescent="0.25">
      <c r="B231" s="7"/>
      <c r="C231" s="140">
        <v>203</v>
      </c>
      <c r="D231" s="142"/>
      <c r="E231" s="142"/>
      <c r="F231" s="142"/>
      <c r="G231" s="142"/>
      <c r="H231" s="141"/>
      <c r="I231" s="8"/>
    </row>
    <row r="232" spans="2:9" ht="15" hidden="1" customHeight="1" x14ac:dyDescent="0.25">
      <c r="B232" s="7"/>
      <c r="C232" s="140">
        <v>204</v>
      </c>
      <c r="D232" s="142"/>
      <c r="E232" s="142"/>
      <c r="F232" s="142"/>
      <c r="G232" s="142"/>
      <c r="H232" s="141"/>
      <c r="I232" s="8"/>
    </row>
    <row r="233" spans="2:9" ht="15" hidden="1" customHeight="1" x14ac:dyDescent="0.25">
      <c r="B233" s="7"/>
      <c r="C233" s="140">
        <v>205</v>
      </c>
      <c r="D233" s="142"/>
      <c r="E233" s="142"/>
      <c r="F233" s="142"/>
      <c r="G233" s="142"/>
      <c r="H233" s="141"/>
      <c r="I233" s="8"/>
    </row>
    <row r="234" spans="2:9" ht="15" hidden="1" customHeight="1" x14ac:dyDescent="0.25">
      <c r="B234" s="7"/>
      <c r="C234" s="140">
        <v>206</v>
      </c>
      <c r="D234" s="142"/>
      <c r="E234" s="142"/>
      <c r="F234" s="142"/>
      <c r="G234" s="142"/>
      <c r="H234" s="141"/>
      <c r="I234" s="8"/>
    </row>
    <row r="235" spans="2:9" ht="15" hidden="1" customHeight="1" x14ac:dyDescent="0.25">
      <c r="B235" s="7"/>
      <c r="C235" s="140">
        <v>207</v>
      </c>
      <c r="D235" s="142"/>
      <c r="E235" s="142"/>
      <c r="F235" s="142"/>
      <c r="G235" s="142"/>
      <c r="H235" s="141"/>
      <c r="I235" s="8"/>
    </row>
    <row r="236" spans="2:9" ht="15" hidden="1" customHeight="1" x14ac:dyDescent="0.25">
      <c r="B236" s="7"/>
      <c r="C236" s="140">
        <v>208</v>
      </c>
      <c r="D236" s="142"/>
      <c r="E236" s="142"/>
      <c r="F236" s="142"/>
      <c r="G236" s="142"/>
      <c r="H236" s="141"/>
      <c r="I236" s="8"/>
    </row>
    <row r="237" spans="2:9" ht="15" hidden="1" customHeight="1" x14ac:dyDescent="0.25">
      <c r="B237" s="7"/>
      <c r="C237" s="140">
        <v>209</v>
      </c>
      <c r="D237" s="142"/>
      <c r="E237" s="142"/>
      <c r="F237" s="142"/>
      <c r="G237" s="142"/>
      <c r="H237" s="141"/>
      <c r="I237" s="8"/>
    </row>
    <row r="238" spans="2:9" ht="15" hidden="1" customHeight="1" x14ac:dyDescent="0.25">
      <c r="B238" s="7"/>
      <c r="C238" s="140">
        <v>210</v>
      </c>
      <c r="D238" s="142"/>
      <c r="E238" s="142"/>
      <c r="F238" s="142"/>
      <c r="G238" s="142"/>
      <c r="H238" s="141"/>
      <c r="I238" s="8"/>
    </row>
    <row r="239" spans="2:9" ht="15" hidden="1" customHeight="1" x14ac:dyDescent="0.25">
      <c r="B239" s="7"/>
      <c r="C239" s="140">
        <v>211</v>
      </c>
      <c r="D239" s="142"/>
      <c r="E239" s="142"/>
      <c r="F239" s="142"/>
      <c r="G239" s="142"/>
      <c r="H239" s="141"/>
      <c r="I239" s="8"/>
    </row>
    <row r="240" spans="2:9" ht="15" hidden="1" customHeight="1" x14ac:dyDescent="0.25">
      <c r="B240" s="7"/>
      <c r="C240" s="140">
        <v>212</v>
      </c>
      <c r="D240" s="142"/>
      <c r="E240" s="142"/>
      <c r="F240" s="142"/>
      <c r="G240" s="142"/>
      <c r="H240" s="141"/>
      <c r="I240" s="8"/>
    </row>
    <row r="241" spans="2:9" ht="15" hidden="1" customHeight="1" x14ac:dyDescent="0.25">
      <c r="B241" s="7"/>
      <c r="C241" s="140">
        <v>213</v>
      </c>
      <c r="D241" s="142"/>
      <c r="E241" s="142"/>
      <c r="F241" s="142"/>
      <c r="G241" s="142"/>
      <c r="H241" s="141"/>
      <c r="I241" s="8"/>
    </row>
    <row r="242" spans="2:9" ht="15" hidden="1" customHeight="1" x14ac:dyDescent="0.25">
      <c r="B242" s="7"/>
      <c r="C242" s="140">
        <v>214</v>
      </c>
      <c r="D242" s="142"/>
      <c r="E242" s="142"/>
      <c r="F242" s="142"/>
      <c r="G242" s="142"/>
      <c r="H242" s="141"/>
      <c r="I242" s="8"/>
    </row>
    <row r="243" spans="2:9" ht="15" hidden="1" customHeight="1" x14ac:dyDescent="0.25">
      <c r="B243" s="7"/>
      <c r="C243" s="140">
        <v>215</v>
      </c>
      <c r="D243" s="142"/>
      <c r="E243" s="142"/>
      <c r="F243" s="142"/>
      <c r="G243" s="142"/>
      <c r="H243" s="141"/>
      <c r="I243" s="8"/>
    </row>
    <row r="244" spans="2:9" ht="15" hidden="1" customHeight="1" x14ac:dyDescent="0.25">
      <c r="B244" s="7"/>
      <c r="C244" s="140">
        <v>216</v>
      </c>
      <c r="D244" s="142"/>
      <c r="E244" s="142"/>
      <c r="F244" s="142"/>
      <c r="G244" s="142"/>
      <c r="H244" s="141"/>
      <c r="I244" s="8"/>
    </row>
    <row r="245" spans="2:9" ht="15" hidden="1" customHeight="1" x14ac:dyDescent="0.25">
      <c r="B245" s="7"/>
      <c r="C245" s="140">
        <v>217</v>
      </c>
      <c r="D245" s="142"/>
      <c r="E245" s="142"/>
      <c r="F245" s="142"/>
      <c r="G245" s="142"/>
      <c r="H245" s="141"/>
      <c r="I245" s="8"/>
    </row>
    <row r="246" spans="2:9" ht="15" hidden="1" customHeight="1" x14ac:dyDescent="0.25">
      <c r="B246" s="7"/>
      <c r="C246" s="140">
        <v>218</v>
      </c>
      <c r="D246" s="142"/>
      <c r="E246" s="142"/>
      <c r="F246" s="142"/>
      <c r="G246" s="142"/>
      <c r="H246" s="141"/>
      <c r="I246" s="8"/>
    </row>
    <row r="247" spans="2:9" ht="15" hidden="1" customHeight="1" x14ac:dyDescent="0.25">
      <c r="B247" s="7"/>
      <c r="C247" s="140">
        <v>219</v>
      </c>
      <c r="D247" s="142"/>
      <c r="E247" s="142"/>
      <c r="F247" s="142"/>
      <c r="G247" s="142"/>
      <c r="H247" s="141"/>
      <c r="I247" s="8"/>
    </row>
    <row r="248" spans="2:9" ht="15" hidden="1" customHeight="1" x14ac:dyDescent="0.25">
      <c r="B248" s="7"/>
      <c r="C248" s="140">
        <v>220</v>
      </c>
      <c r="D248" s="142"/>
      <c r="E248" s="142"/>
      <c r="F248" s="142"/>
      <c r="G248" s="142"/>
      <c r="H248" s="141"/>
      <c r="I248" s="8"/>
    </row>
    <row r="249" spans="2:9" ht="15" hidden="1" customHeight="1" x14ac:dyDescent="0.25">
      <c r="B249" s="7"/>
      <c r="C249" s="140">
        <v>221</v>
      </c>
      <c r="D249" s="142"/>
      <c r="E249" s="142"/>
      <c r="F249" s="142"/>
      <c r="G249" s="142"/>
      <c r="H249" s="141"/>
      <c r="I249" s="8"/>
    </row>
    <row r="250" spans="2:9" ht="15" hidden="1" customHeight="1" x14ac:dyDescent="0.25">
      <c r="B250" s="7"/>
      <c r="C250" s="140">
        <v>222</v>
      </c>
      <c r="D250" s="142"/>
      <c r="E250" s="142"/>
      <c r="F250" s="142"/>
      <c r="G250" s="142"/>
      <c r="H250" s="141"/>
      <c r="I250" s="8"/>
    </row>
    <row r="251" spans="2:9" ht="15" hidden="1" customHeight="1" x14ac:dyDescent="0.25">
      <c r="B251" s="7"/>
      <c r="C251" s="140">
        <v>223</v>
      </c>
      <c r="D251" s="142"/>
      <c r="E251" s="142"/>
      <c r="F251" s="142"/>
      <c r="G251" s="142"/>
      <c r="H251" s="141"/>
      <c r="I251" s="8"/>
    </row>
    <row r="252" spans="2:9" ht="15" hidden="1" customHeight="1" x14ac:dyDescent="0.25">
      <c r="B252" s="7"/>
      <c r="C252" s="140">
        <v>224</v>
      </c>
      <c r="D252" s="142"/>
      <c r="E252" s="142"/>
      <c r="F252" s="142"/>
      <c r="G252" s="142"/>
      <c r="H252" s="141"/>
      <c r="I252" s="8"/>
    </row>
    <row r="253" spans="2:9" ht="15" hidden="1" customHeight="1" x14ac:dyDescent="0.25">
      <c r="B253" s="7"/>
      <c r="C253" s="140">
        <v>225</v>
      </c>
      <c r="D253" s="142"/>
      <c r="E253" s="142"/>
      <c r="F253" s="142"/>
      <c r="G253" s="142"/>
      <c r="H253" s="141"/>
      <c r="I253" s="8"/>
    </row>
    <row r="254" spans="2:9" ht="15" hidden="1" customHeight="1" x14ac:dyDescent="0.25">
      <c r="B254" s="7"/>
      <c r="C254" s="140">
        <v>226</v>
      </c>
      <c r="D254" s="142"/>
      <c r="E254" s="142"/>
      <c r="F254" s="142"/>
      <c r="G254" s="142"/>
      <c r="H254" s="141"/>
      <c r="I254" s="8"/>
    </row>
    <row r="255" spans="2:9" ht="15" hidden="1" customHeight="1" x14ac:dyDescent="0.25">
      <c r="B255" s="7"/>
      <c r="C255" s="140">
        <v>227</v>
      </c>
      <c r="D255" s="142"/>
      <c r="E255" s="142"/>
      <c r="F255" s="142"/>
      <c r="G255" s="142"/>
      <c r="H255" s="141"/>
      <c r="I255" s="8"/>
    </row>
    <row r="256" spans="2:9" ht="15" hidden="1" customHeight="1" x14ac:dyDescent="0.25">
      <c r="B256" s="7"/>
      <c r="C256" s="140">
        <v>228</v>
      </c>
      <c r="D256" s="142"/>
      <c r="E256" s="142"/>
      <c r="F256" s="142"/>
      <c r="G256" s="142"/>
      <c r="H256" s="141"/>
      <c r="I256" s="8"/>
    </row>
    <row r="257" spans="2:9" ht="15" hidden="1" customHeight="1" x14ac:dyDescent="0.25">
      <c r="B257" s="7"/>
      <c r="C257" s="140">
        <v>229</v>
      </c>
      <c r="D257" s="142"/>
      <c r="E257" s="142"/>
      <c r="F257" s="142"/>
      <c r="G257" s="142"/>
      <c r="H257" s="141"/>
      <c r="I257" s="8"/>
    </row>
    <row r="258" spans="2:9" ht="15" hidden="1" customHeight="1" x14ac:dyDescent="0.25">
      <c r="B258" s="7"/>
      <c r="C258" s="140">
        <v>230</v>
      </c>
      <c r="D258" s="142"/>
      <c r="E258" s="142"/>
      <c r="F258" s="142"/>
      <c r="G258" s="142"/>
      <c r="H258" s="141"/>
      <c r="I258" s="8"/>
    </row>
    <row r="259" spans="2:9" ht="15" hidden="1" customHeight="1" x14ac:dyDescent="0.25">
      <c r="B259" s="7"/>
      <c r="C259" s="140">
        <v>231</v>
      </c>
      <c r="D259" s="142"/>
      <c r="E259" s="142"/>
      <c r="F259" s="142"/>
      <c r="G259" s="142"/>
      <c r="H259" s="141"/>
      <c r="I259" s="8"/>
    </row>
    <row r="260" spans="2:9" ht="15" hidden="1" customHeight="1" x14ac:dyDescent="0.25">
      <c r="B260" s="7"/>
      <c r="C260" s="140">
        <v>232</v>
      </c>
      <c r="D260" s="142"/>
      <c r="E260" s="142"/>
      <c r="F260" s="142"/>
      <c r="G260" s="142"/>
      <c r="H260" s="141"/>
      <c r="I260" s="8"/>
    </row>
    <row r="261" spans="2:9" ht="15" hidden="1" customHeight="1" x14ac:dyDescent="0.25">
      <c r="B261" s="7"/>
      <c r="C261" s="140">
        <v>233</v>
      </c>
      <c r="D261" s="142"/>
      <c r="E261" s="142"/>
      <c r="F261" s="142"/>
      <c r="G261" s="142"/>
      <c r="H261" s="141"/>
      <c r="I261" s="8"/>
    </row>
    <row r="262" spans="2:9" ht="15" hidden="1" customHeight="1" x14ac:dyDescent="0.25">
      <c r="B262" s="7"/>
      <c r="C262" s="140">
        <v>234</v>
      </c>
      <c r="D262" s="142"/>
      <c r="E262" s="142"/>
      <c r="F262" s="142"/>
      <c r="G262" s="142"/>
      <c r="H262" s="141"/>
      <c r="I262" s="8"/>
    </row>
    <row r="263" spans="2:9" ht="15" hidden="1" customHeight="1" x14ac:dyDescent="0.25">
      <c r="B263" s="7"/>
      <c r="C263" s="140">
        <v>235</v>
      </c>
      <c r="D263" s="142"/>
      <c r="E263" s="142"/>
      <c r="F263" s="142"/>
      <c r="G263" s="142"/>
      <c r="H263" s="141"/>
      <c r="I263" s="8"/>
    </row>
    <row r="264" spans="2:9" ht="15" hidden="1" customHeight="1" x14ac:dyDescent="0.25">
      <c r="B264" s="7"/>
      <c r="C264" s="140">
        <v>236</v>
      </c>
      <c r="D264" s="142"/>
      <c r="E264" s="142"/>
      <c r="F264" s="142"/>
      <c r="G264" s="142"/>
      <c r="H264" s="141"/>
      <c r="I264" s="8"/>
    </row>
    <row r="265" spans="2:9" ht="15" hidden="1" customHeight="1" x14ac:dyDescent="0.25">
      <c r="B265" s="7"/>
      <c r="C265" s="140">
        <v>237</v>
      </c>
      <c r="D265" s="142"/>
      <c r="E265" s="142"/>
      <c r="F265" s="142"/>
      <c r="G265" s="142"/>
      <c r="H265" s="141"/>
      <c r="I265" s="8"/>
    </row>
    <row r="266" spans="2:9" ht="15" hidden="1" customHeight="1" x14ac:dyDescent="0.25">
      <c r="B266" s="7"/>
      <c r="C266" s="140">
        <v>238</v>
      </c>
      <c r="D266" s="142"/>
      <c r="E266" s="142"/>
      <c r="F266" s="142"/>
      <c r="G266" s="142"/>
      <c r="H266" s="141"/>
      <c r="I266" s="8"/>
    </row>
    <row r="267" spans="2:9" ht="15" hidden="1" customHeight="1" x14ac:dyDescent="0.25">
      <c r="B267" s="7"/>
      <c r="C267" s="140">
        <v>239</v>
      </c>
      <c r="D267" s="142"/>
      <c r="E267" s="142"/>
      <c r="F267" s="142"/>
      <c r="G267" s="142"/>
      <c r="H267" s="141"/>
      <c r="I267" s="8"/>
    </row>
    <row r="268" spans="2:9" ht="15" hidden="1" customHeight="1" x14ac:dyDescent="0.25">
      <c r="B268" s="7"/>
      <c r="C268" s="140">
        <v>240</v>
      </c>
      <c r="D268" s="142"/>
      <c r="E268" s="142"/>
      <c r="F268" s="142"/>
      <c r="G268" s="142"/>
      <c r="H268" s="141"/>
      <c r="I268" s="8"/>
    </row>
    <row r="269" spans="2:9" ht="15" hidden="1" customHeight="1" x14ac:dyDescent="0.25">
      <c r="B269" s="7"/>
      <c r="C269" s="140">
        <v>241</v>
      </c>
      <c r="D269" s="142"/>
      <c r="E269" s="142"/>
      <c r="F269" s="142"/>
      <c r="G269" s="142"/>
      <c r="H269" s="141"/>
      <c r="I269" s="8"/>
    </row>
    <row r="270" spans="2:9" ht="15" hidden="1" customHeight="1" x14ac:dyDescent="0.25">
      <c r="B270" s="7"/>
      <c r="C270" s="140">
        <v>242</v>
      </c>
      <c r="D270" s="142"/>
      <c r="E270" s="142"/>
      <c r="F270" s="142"/>
      <c r="G270" s="142"/>
      <c r="H270" s="141"/>
      <c r="I270" s="8"/>
    </row>
    <row r="271" spans="2:9" ht="15" hidden="1" customHeight="1" x14ac:dyDescent="0.25">
      <c r="B271" s="7"/>
      <c r="C271" s="140">
        <v>243</v>
      </c>
      <c r="D271" s="142"/>
      <c r="E271" s="142"/>
      <c r="F271" s="142"/>
      <c r="G271" s="142"/>
      <c r="H271" s="141"/>
      <c r="I271" s="8"/>
    </row>
    <row r="272" spans="2:9" ht="15" hidden="1" customHeight="1" x14ac:dyDescent="0.25">
      <c r="B272" s="7"/>
      <c r="C272" s="140">
        <v>244</v>
      </c>
      <c r="D272" s="142"/>
      <c r="E272" s="142"/>
      <c r="F272" s="142"/>
      <c r="G272" s="142"/>
      <c r="H272" s="141"/>
      <c r="I272" s="8"/>
    </row>
    <row r="273" spans="2:9" ht="15" hidden="1" customHeight="1" x14ac:dyDescent="0.25">
      <c r="B273" s="7"/>
      <c r="C273" s="140">
        <v>245</v>
      </c>
      <c r="D273" s="142"/>
      <c r="E273" s="142"/>
      <c r="F273" s="142"/>
      <c r="G273" s="142"/>
      <c r="H273" s="141"/>
      <c r="I273" s="8"/>
    </row>
    <row r="274" spans="2:9" ht="15" hidden="1" customHeight="1" x14ac:dyDescent="0.25">
      <c r="B274" s="7"/>
      <c r="C274" s="140">
        <v>246</v>
      </c>
      <c r="D274" s="142"/>
      <c r="E274" s="142"/>
      <c r="F274" s="142"/>
      <c r="G274" s="142"/>
      <c r="H274" s="141"/>
      <c r="I274" s="8"/>
    </row>
    <row r="275" spans="2:9" ht="15" hidden="1" customHeight="1" x14ac:dyDescent="0.25">
      <c r="B275" s="7"/>
      <c r="C275" s="140">
        <v>247</v>
      </c>
      <c r="D275" s="142"/>
      <c r="E275" s="142"/>
      <c r="F275" s="142"/>
      <c r="G275" s="142"/>
      <c r="H275" s="141"/>
      <c r="I275" s="8"/>
    </row>
    <row r="276" spans="2:9" ht="15" hidden="1" customHeight="1" x14ac:dyDescent="0.25">
      <c r="B276" s="7"/>
      <c r="C276" s="140">
        <v>248</v>
      </c>
      <c r="D276" s="142"/>
      <c r="E276" s="142"/>
      <c r="F276" s="142"/>
      <c r="G276" s="142"/>
      <c r="H276" s="141"/>
      <c r="I276" s="8"/>
    </row>
    <row r="277" spans="2:9" ht="15" hidden="1" customHeight="1" x14ac:dyDescent="0.25">
      <c r="B277" s="7"/>
      <c r="C277" s="140">
        <v>249</v>
      </c>
      <c r="D277" s="142"/>
      <c r="E277" s="142"/>
      <c r="F277" s="142"/>
      <c r="G277" s="142"/>
      <c r="H277" s="141"/>
      <c r="I277" s="8"/>
    </row>
    <row r="278" spans="2:9" ht="15" hidden="1" customHeight="1" x14ac:dyDescent="0.25">
      <c r="B278" s="7"/>
      <c r="C278" s="140">
        <v>250</v>
      </c>
      <c r="D278" s="142"/>
      <c r="E278" s="142"/>
      <c r="F278" s="142"/>
      <c r="G278" s="142"/>
      <c r="H278" s="141"/>
      <c r="I278" s="8"/>
    </row>
    <row r="279" spans="2:9" ht="15" hidden="1" customHeight="1" x14ac:dyDescent="0.25">
      <c r="B279" s="7"/>
      <c r="C279" s="140">
        <v>251</v>
      </c>
      <c r="D279" s="142"/>
      <c r="E279" s="142"/>
      <c r="F279" s="142"/>
      <c r="G279" s="142"/>
      <c r="H279" s="141"/>
      <c r="I279" s="8"/>
    </row>
    <row r="280" spans="2:9" ht="15" hidden="1" customHeight="1" x14ac:dyDescent="0.25">
      <c r="B280" s="7"/>
      <c r="C280" s="140">
        <v>252</v>
      </c>
      <c r="D280" s="142"/>
      <c r="E280" s="142"/>
      <c r="F280" s="142"/>
      <c r="G280" s="142"/>
      <c r="H280" s="141"/>
      <c r="I280" s="8"/>
    </row>
    <row r="281" spans="2:9" ht="15" hidden="1" customHeight="1" x14ac:dyDescent="0.25">
      <c r="B281" s="7"/>
      <c r="C281" s="140">
        <v>253</v>
      </c>
      <c r="D281" s="142"/>
      <c r="E281" s="142"/>
      <c r="F281" s="142"/>
      <c r="G281" s="142"/>
      <c r="H281" s="141"/>
      <c r="I281" s="8"/>
    </row>
    <row r="282" spans="2:9" ht="15" hidden="1" customHeight="1" x14ac:dyDescent="0.25">
      <c r="B282" s="7"/>
      <c r="C282" s="140">
        <v>254</v>
      </c>
      <c r="D282" s="142"/>
      <c r="E282" s="142"/>
      <c r="F282" s="142"/>
      <c r="G282" s="142"/>
      <c r="H282" s="141"/>
      <c r="I282" s="8"/>
    </row>
    <row r="283" spans="2:9" ht="15" hidden="1" customHeight="1" x14ac:dyDescent="0.25">
      <c r="B283" s="7"/>
      <c r="C283" s="140">
        <v>255</v>
      </c>
      <c r="D283" s="142"/>
      <c r="E283" s="142"/>
      <c r="F283" s="142"/>
      <c r="G283" s="142"/>
      <c r="H283" s="141"/>
      <c r="I283" s="8"/>
    </row>
    <row r="284" spans="2:9" ht="15" hidden="1" customHeight="1" x14ac:dyDescent="0.25">
      <c r="B284" s="7"/>
      <c r="C284" s="140">
        <v>256</v>
      </c>
      <c r="D284" s="142"/>
      <c r="E284" s="142"/>
      <c r="F284" s="142"/>
      <c r="G284" s="142"/>
      <c r="H284" s="141"/>
      <c r="I284" s="8"/>
    </row>
    <row r="285" spans="2:9" ht="15" hidden="1" customHeight="1" x14ac:dyDescent="0.25">
      <c r="B285" s="7"/>
      <c r="C285" s="140">
        <v>257</v>
      </c>
      <c r="D285" s="142"/>
      <c r="E285" s="142"/>
      <c r="F285" s="142"/>
      <c r="G285" s="142"/>
      <c r="H285" s="141"/>
      <c r="I285" s="8"/>
    </row>
    <row r="286" spans="2:9" ht="15" hidden="1" customHeight="1" x14ac:dyDescent="0.25">
      <c r="B286" s="7"/>
      <c r="C286" s="140">
        <v>258</v>
      </c>
      <c r="D286" s="142"/>
      <c r="E286" s="142"/>
      <c r="F286" s="142"/>
      <c r="G286" s="142"/>
      <c r="H286" s="141"/>
      <c r="I286" s="8"/>
    </row>
    <row r="287" spans="2:9" ht="15" hidden="1" customHeight="1" x14ac:dyDescent="0.25">
      <c r="B287" s="7"/>
      <c r="C287" s="140">
        <v>259</v>
      </c>
      <c r="D287" s="142"/>
      <c r="E287" s="142"/>
      <c r="F287" s="142"/>
      <c r="G287" s="142"/>
      <c r="H287" s="141"/>
      <c r="I287" s="8"/>
    </row>
    <row r="288" spans="2:9" ht="15" hidden="1" customHeight="1" x14ac:dyDescent="0.25">
      <c r="B288" s="7"/>
      <c r="C288" s="140">
        <v>260</v>
      </c>
      <c r="D288" s="142"/>
      <c r="E288" s="142"/>
      <c r="F288" s="142"/>
      <c r="G288" s="142"/>
      <c r="H288" s="141"/>
      <c r="I288" s="8"/>
    </row>
    <row r="289" spans="2:9" ht="15" hidden="1" customHeight="1" x14ac:dyDescent="0.25">
      <c r="B289" s="7"/>
      <c r="C289" s="140">
        <v>261</v>
      </c>
      <c r="D289" s="142"/>
      <c r="E289" s="142"/>
      <c r="F289" s="142"/>
      <c r="G289" s="142"/>
      <c r="H289" s="141"/>
      <c r="I289" s="8"/>
    </row>
    <row r="290" spans="2:9" ht="15" hidden="1" customHeight="1" x14ac:dyDescent="0.25">
      <c r="B290" s="7"/>
      <c r="C290" s="140">
        <v>262</v>
      </c>
      <c r="D290" s="142"/>
      <c r="E290" s="142"/>
      <c r="F290" s="142"/>
      <c r="G290" s="142"/>
      <c r="H290" s="141"/>
      <c r="I290" s="8"/>
    </row>
    <row r="291" spans="2:9" ht="15" hidden="1" customHeight="1" x14ac:dyDescent="0.25">
      <c r="B291" s="7"/>
      <c r="C291" s="140">
        <v>263</v>
      </c>
      <c r="D291" s="142"/>
      <c r="E291" s="142"/>
      <c r="F291" s="142"/>
      <c r="G291" s="142"/>
      <c r="H291" s="141"/>
      <c r="I291" s="8"/>
    </row>
    <row r="292" spans="2:9" ht="15" hidden="1" customHeight="1" x14ac:dyDescent="0.25">
      <c r="B292" s="7"/>
      <c r="C292" s="140">
        <v>264</v>
      </c>
      <c r="D292" s="142"/>
      <c r="E292" s="142"/>
      <c r="F292" s="142"/>
      <c r="G292" s="142"/>
      <c r="H292" s="141"/>
      <c r="I292" s="8"/>
    </row>
    <row r="293" spans="2:9" ht="15" hidden="1" customHeight="1" x14ac:dyDescent="0.25">
      <c r="B293" s="7"/>
      <c r="C293" s="140">
        <v>265</v>
      </c>
      <c r="D293" s="142"/>
      <c r="E293" s="142"/>
      <c r="F293" s="142"/>
      <c r="G293" s="142"/>
      <c r="H293" s="141"/>
      <c r="I293" s="8"/>
    </row>
    <row r="294" spans="2:9" ht="15" hidden="1" customHeight="1" x14ac:dyDescent="0.25">
      <c r="B294" s="7"/>
      <c r="C294" s="140">
        <v>266</v>
      </c>
      <c r="D294" s="142"/>
      <c r="E294" s="142"/>
      <c r="F294" s="142"/>
      <c r="G294" s="142"/>
      <c r="H294" s="141"/>
      <c r="I294" s="8"/>
    </row>
    <row r="295" spans="2:9" ht="15" hidden="1" customHeight="1" x14ac:dyDescent="0.25">
      <c r="B295" s="7"/>
      <c r="C295" s="140">
        <v>267</v>
      </c>
      <c r="D295" s="142"/>
      <c r="E295" s="142"/>
      <c r="F295" s="142"/>
      <c r="G295" s="142"/>
      <c r="H295" s="141"/>
      <c r="I295" s="8"/>
    </row>
    <row r="296" spans="2:9" ht="15" hidden="1" customHeight="1" x14ac:dyDescent="0.25">
      <c r="B296" s="7"/>
      <c r="C296" s="140">
        <v>268</v>
      </c>
      <c r="D296" s="142"/>
      <c r="E296" s="142"/>
      <c r="F296" s="142"/>
      <c r="G296" s="142"/>
      <c r="H296" s="141"/>
      <c r="I296" s="8"/>
    </row>
    <row r="297" spans="2:9" ht="15" hidden="1" customHeight="1" x14ac:dyDescent="0.25">
      <c r="B297" s="7"/>
      <c r="C297" s="140">
        <v>269</v>
      </c>
      <c r="D297" s="142"/>
      <c r="E297" s="142"/>
      <c r="F297" s="142"/>
      <c r="G297" s="142"/>
      <c r="H297" s="141"/>
      <c r="I297" s="8"/>
    </row>
    <row r="298" spans="2:9" ht="15" hidden="1" customHeight="1" x14ac:dyDescent="0.25">
      <c r="B298" s="7"/>
      <c r="C298" s="140">
        <v>270</v>
      </c>
      <c r="D298" s="142"/>
      <c r="E298" s="142"/>
      <c r="F298" s="142"/>
      <c r="G298" s="142"/>
      <c r="H298" s="141"/>
      <c r="I298" s="8"/>
    </row>
    <row r="299" spans="2:9" ht="15" hidden="1" customHeight="1" x14ac:dyDescent="0.25">
      <c r="B299" s="7"/>
      <c r="C299" s="140">
        <v>271</v>
      </c>
      <c r="D299" s="142"/>
      <c r="E299" s="142"/>
      <c r="F299" s="142"/>
      <c r="G299" s="142"/>
      <c r="H299" s="141"/>
      <c r="I299" s="8"/>
    </row>
    <row r="300" spans="2:9" ht="15" hidden="1" customHeight="1" x14ac:dyDescent="0.25">
      <c r="B300" s="7"/>
      <c r="C300" s="140">
        <v>272</v>
      </c>
      <c r="D300" s="142"/>
      <c r="E300" s="142"/>
      <c r="F300" s="142"/>
      <c r="G300" s="142"/>
      <c r="H300" s="141"/>
      <c r="I300" s="8"/>
    </row>
    <row r="301" spans="2:9" ht="15" hidden="1" customHeight="1" x14ac:dyDescent="0.25">
      <c r="B301" s="7"/>
      <c r="C301" s="140">
        <v>273</v>
      </c>
      <c r="D301" s="142"/>
      <c r="E301" s="142"/>
      <c r="F301" s="142"/>
      <c r="G301" s="142"/>
      <c r="H301" s="141"/>
      <c r="I301" s="8"/>
    </row>
    <row r="302" spans="2:9" ht="15" hidden="1" customHeight="1" x14ac:dyDescent="0.25">
      <c r="B302" s="7"/>
      <c r="C302" s="140">
        <v>274</v>
      </c>
      <c r="D302" s="142"/>
      <c r="E302" s="142"/>
      <c r="F302" s="142"/>
      <c r="G302" s="142"/>
      <c r="H302" s="141"/>
      <c r="I302" s="8"/>
    </row>
    <row r="303" spans="2:9" ht="15" hidden="1" customHeight="1" x14ac:dyDescent="0.25">
      <c r="B303" s="7"/>
      <c r="C303" s="140">
        <v>275</v>
      </c>
      <c r="D303" s="142"/>
      <c r="E303" s="142"/>
      <c r="F303" s="142"/>
      <c r="G303" s="142"/>
      <c r="H303" s="141"/>
      <c r="I303" s="8"/>
    </row>
    <row r="304" spans="2:9" ht="15" hidden="1" customHeight="1" x14ac:dyDescent="0.25">
      <c r="B304" s="7"/>
      <c r="C304" s="140">
        <v>276</v>
      </c>
      <c r="D304" s="142"/>
      <c r="E304" s="142"/>
      <c r="F304" s="142"/>
      <c r="G304" s="142"/>
      <c r="H304" s="141"/>
      <c r="I304" s="8"/>
    </row>
    <row r="305" spans="2:9" ht="15" hidden="1" customHeight="1" x14ac:dyDescent="0.25">
      <c r="B305" s="7"/>
      <c r="C305" s="140">
        <v>277</v>
      </c>
      <c r="D305" s="142"/>
      <c r="E305" s="142"/>
      <c r="F305" s="142"/>
      <c r="G305" s="142"/>
      <c r="H305" s="141"/>
      <c r="I305" s="8"/>
    </row>
    <row r="306" spans="2:9" ht="15" hidden="1" customHeight="1" x14ac:dyDescent="0.25">
      <c r="B306" s="7"/>
      <c r="C306" s="140">
        <v>278</v>
      </c>
      <c r="D306" s="142"/>
      <c r="E306" s="142"/>
      <c r="F306" s="142"/>
      <c r="G306" s="142"/>
      <c r="H306" s="141"/>
      <c r="I306" s="8"/>
    </row>
    <row r="307" spans="2:9" ht="15" hidden="1" customHeight="1" x14ac:dyDescent="0.25">
      <c r="B307" s="7"/>
      <c r="C307" s="140">
        <v>279</v>
      </c>
      <c r="D307" s="142"/>
      <c r="E307" s="142"/>
      <c r="F307" s="142"/>
      <c r="G307" s="142"/>
      <c r="H307" s="141"/>
      <c r="I307" s="8"/>
    </row>
    <row r="308" spans="2:9" ht="15" hidden="1" customHeight="1" x14ac:dyDescent="0.25">
      <c r="B308" s="7"/>
      <c r="C308" s="140">
        <v>280</v>
      </c>
      <c r="D308" s="142"/>
      <c r="E308" s="142"/>
      <c r="F308" s="142"/>
      <c r="G308" s="142"/>
      <c r="H308" s="141"/>
      <c r="I308" s="8"/>
    </row>
    <row r="309" spans="2:9" ht="15" hidden="1" customHeight="1" x14ac:dyDescent="0.25">
      <c r="B309" s="7"/>
      <c r="C309" s="140">
        <v>281</v>
      </c>
      <c r="D309" s="142"/>
      <c r="E309" s="142"/>
      <c r="F309" s="142"/>
      <c r="G309" s="142"/>
      <c r="H309" s="141"/>
      <c r="I309" s="8"/>
    </row>
    <row r="310" spans="2:9" ht="15" hidden="1" customHeight="1" x14ac:dyDescent="0.25">
      <c r="B310" s="7"/>
      <c r="C310" s="140">
        <v>282</v>
      </c>
      <c r="D310" s="142"/>
      <c r="E310" s="142"/>
      <c r="F310" s="142"/>
      <c r="G310" s="142"/>
      <c r="H310" s="141"/>
      <c r="I310" s="8"/>
    </row>
    <row r="311" spans="2:9" ht="15" hidden="1" customHeight="1" x14ac:dyDescent="0.25">
      <c r="B311" s="7"/>
      <c r="C311" s="140">
        <v>283</v>
      </c>
      <c r="D311" s="142"/>
      <c r="E311" s="142"/>
      <c r="F311" s="142"/>
      <c r="G311" s="142"/>
      <c r="H311" s="141"/>
      <c r="I311" s="8"/>
    </row>
    <row r="312" spans="2:9" ht="15" hidden="1" customHeight="1" x14ac:dyDescent="0.25">
      <c r="B312" s="7"/>
      <c r="C312" s="140">
        <v>284</v>
      </c>
      <c r="D312" s="142"/>
      <c r="E312" s="142"/>
      <c r="F312" s="142"/>
      <c r="G312" s="142"/>
      <c r="H312" s="141"/>
      <c r="I312" s="8"/>
    </row>
    <row r="313" spans="2:9" ht="15" hidden="1" customHeight="1" x14ac:dyDescent="0.25">
      <c r="B313" s="7"/>
      <c r="C313" s="140">
        <v>285</v>
      </c>
      <c r="D313" s="142"/>
      <c r="E313" s="142"/>
      <c r="F313" s="142"/>
      <c r="G313" s="142"/>
      <c r="H313" s="141"/>
      <c r="I313" s="8"/>
    </row>
    <row r="314" spans="2:9" ht="15" hidden="1" customHeight="1" x14ac:dyDescent="0.25">
      <c r="B314" s="7"/>
      <c r="C314" s="140">
        <v>286</v>
      </c>
      <c r="D314" s="142"/>
      <c r="E314" s="142"/>
      <c r="F314" s="142"/>
      <c r="G314" s="142"/>
      <c r="H314" s="141"/>
      <c r="I314" s="8"/>
    </row>
    <row r="315" spans="2:9" ht="15" hidden="1" customHeight="1" x14ac:dyDescent="0.25">
      <c r="B315" s="7"/>
      <c r="C315" s="140">
        <v>287</v>
      </c>
      <c r="D315" s="142"/>
      <c r="E315" s="142"/>
      <c r="F315" s="142"/>
      <c r="G315" s="142"/>
      <c r="H315" s="141"/>
      <c r="I315" s="8"/>
    </row>
    <row r="316" spans="2:9" ht="15" hidden="1" customHeight="1" x14ac:dyDescent="0.25">
      <c r="B316" s="7"/>
      <c r="C316" s="140">
        <v>288</v>
      </c>
      <c r="D316" s="142"/>
      <c r="E316" s="142"/>
      <c r="F316" s="142"/>
      <c r="G316" s="142"/>
      <c r="H316" s="141"/>
      <c r="I316" s="8"/>
    </row>
    <row r="317" spans="2:9" ht="15" hidden="1" customHeight="1" x14ac:dyDescent="0.25">
      <c r="B317" s="7"/>
      <c r="C317" s="140">
        <v>289</v>
      </c>
      <c r="D317" s="142"/>
      <c r="E317" s="142"/>
      <c r="F317" s="142"/>
      <c r="G317" s="142"/>
      <c r="H317" s="141"/>
      <c r="I317" s="8"/>
    </row>
    <row r="318" spans="2:9" ht="15" hidden="1" customHeight="1" x14ac:dyDescent="0.25">
      <c r="B318" s="7"/>
      <c r="C318" s="140">
        <v>290</v>
      </c>
      <c r="D318" s="142"/>
      <c r="E318" s="142"/>
      <c r="F318" s="142"/>
      <c r="G318" s="142"/>
      <c r="H318" s="141"/>
      <c r="I318" s="8"/>
    </row>
    <row r="319" spans="2:9" ht="15" hidden="1" customHeight="1" x14ac:dyDescent="0.25">
      <c r="B319" s="7"/>
      <c r="C319" s="140">
        <v>291</v>
      </c>
      <c r="D319" s="142"/>
      <c r="E319" s="142"/>
      <c r="F319" s="142"/>
      <c r="G319" s="142"/>
      <c r="H319" s="141"/>
      <c r="I319" s="8"/>
    </row>
    <row r="320" spans="2:9" ht="15" hidden="1" customHeight="1" x14ac:dyDescent="0.25">
      <c r="B320" s="7"/>
      <c r="C320" s="140">
        <v>292</v>
      </c>
      <c r="D320" s="142"/>
      <c r="E320" s="142"/>
      <c r="F320" s="142"/>
      <c r="G320" s="142"/>
      <c r="H320" s="141"/>
      <c r="I320" s="8"/>
    </row>
    <row r="321" spans="2:9" ht="15" hidden="1" customHeight="1" x14ac:dyDescent="0.25">
      <c r="B321" s="7"/>
      <c r="C321" s="140">
        <v>293</v>
      </c>
      <c r="D321" s="142"/>
      <c r="E321" s="142"/>
      <c r="F321" s="142"/>
      <c r="G321" s="142"/>
      <c r="H321" s="141"/>
      <c r="I321" s="8"/>
    </row>
    <row r="322" spans="2:9" ht="15" hidden="1" customHeight="1" x14ac:dyDescent="0.25">
      <c r="B322" s="7"/>
      <c r="C322" s="140">
        <v>294</v>
      </c>
      <c r="D322" s="142"/>
      <c r="E322" s="142"/>
      <c r="F322" s="142"/>
      <c r="G322" s="142"/>
      <c r="H322" s="141"/>
      <c r="I322" s="8"/>
    </row>
    <row r="323" spans="2:9" ht="15" hidden="1" customHeight="1" x14ac:dyDescent="0.25">
      <c r="B323" s="7"/>
      <c r="C323" s="140">
        <v>295</v>
      </c>
      <c r="D323" s="142"/>
      <c r="E323" s="142"/>
      <c r="F323" s="142"/>
      <c r="G323" s="142"/>
      <c r="H323" s="141"/>
      <c r="I323" s="8"/>
    </row>
    <row r="324" spans="2:9" ht="15" hidden="1" customHeight="1" x14ac:dyDescent="0.25">
      <c r="B324" s="7"/>
      <c r="C324" s="140">
        <v>296</v>
      </c>
      <c r="D324" s="142"/>
      <c r="E324" s="142"/>
      <c r="F324" s="142"/>
      <c r="G324" s="142"/>
      <c r="H324" s="141"/>
      <c r="I324" s="8"/>
    </row>
    <row r="325" spans="2:9" ht="15" hidden="1" customHeight="1" x14ac:dyDescent="0.25">
      <c r="B325" s="7"/>
      <c r="C325" s="140">
        <v>297</v>
      </c>
      <c r="D325" s="142"/>
      <c r="E325" s="142"/>
      <c r="F325" s="142"/>
      <c r="G325" s="142"/>
      <c r="H325" s="141"/>
      <c r="I325" s="8"/>
    </row>
    <row r="326" spans="2:9" ht="15" hidden="1" customHeight="1" x14ac:dyDescent="0.25">
      <c r="B326" s="7"/>
      <c r="C326" s="140">
        <v>298</v>
      </c>
      <c r="D326" s="142"/>
      <c r="E326" s="142"/>
      <c r="F326" s="142"/>
      <c r="G326" s="142"/>
      <c r="H326" s="141"/>
      <c r="I326" s="8"/>
    </row>
    <row r="327" spans="2:9" ht="15" hidden="1" customHeight="1" x14ac:dyDescent="0.25">
      <c r="B327" s="7"/>
      <c r="C327" s="140">
        <v>299</v>
      </c>
      <c r="D327" s="142"/>
      <c r="E327" s="142"/>
      <c r="F327" s="142"/>
      <c r="G327" s="142"/>
      <c r="H327" s="141"/>
      <c r="I327" s="8"/>
    </row>
    <row r="328" spans="2:9" ht="15" hidden="1" customHeight="1" x14ac:dyDescent="0.25">
      <c r="B328" s="7"/>
      <c r="C328" s="140">
        <v>300</v>
      </c>
      <c r="D328" s="142"/>
      <c r="E328" s="142"/>
      <c r="F328" s="142"/>
      <c r="G328" s="142"/>
      <c r="H328" s="141"/>
      <c r="I328" s="8"/>
    </row>
    <row r="329" spans="2:9" ht="15" hidden="1" customHeight="1" x14ac:dyDescent="0.25">
      <c r="B329" s="7"/>
      <c r="C329" s="140">
        <v>301</v>
      </c>
      <c r="D329" s="142"/>
      <c r="E329" s="142"/>
      <c r="F329" s="142"/>
      <c r="G329" s="142"/>
      <c r="H329" s="141"/>
      <c r="I329" s="8"/>
    </row>
    <row r="330" spans="2:9" ht="15" hidden="1" customHeight="1" x14ac:dyDescent="0.25">
      <c r="B330" s="7"/>
      <c r="C330" s="140">
        <v>302</v>
      </c>
      <c r="D330" s="142"/>
      <c r="E330" s="142"/>
      <c r="F330" s="142"/>
      <c r="G330" s="142"/>
      <c r="H330" s="141"/>
      <c r="I330" s="8"/>
    </row>
    <row r="331" spans="2:9" ht="15" hidden="1" customHeight="1" x14ac:dyDescent="0.25">
      <c r="B331" s="7"/>
      <c r="C331" s="140">
        <v>303</v>
      </c>
      <c r="D331" s="142"/>
      <c r="E331" s="142"/>
      <c r="F331" s="142"/>
      <c r="G331" s="142"/>
      <c r="H331" s="141"/>
      <c r="I331" s="8"/>
    </row>
    <row r="332" spans="2:9" ht="15" hidden="1" customHeight="1" x14ac:dyDescent="0.25">
      <c r="B332" s="7"/>
      <c r="C332" s="140">
        <v>304</v>
      </c>
      <c r="D332" s="142"/>
      <c r="E332" s="142"/>
      <c r="F332" s="142"/>
      <c r="G332" s="142"/>
      <c r="H332" s="141"/>
      <c r="I332" s="8"/>
    </row>
    <row r="333" spans="2:9" ht="15" hidden="1" customHeight="1" x14ac:dyDescent="0.25">
      <c r="B333" s="7"/>
      <c r="C333" s="140">
        <v>305</v>
      </c>
      <c r="D333" s="142"/>
      <c r="E333" s="142"/>
      <c r="F333" s="142"/>
      <c r="G333" s="142"/>
      <c r="H333" s="141"/>
      <c r="I333" s="8"/>
    </row>
    <row r="334" spans="2:9" ht="15" hidden="1" customHeight="1" x14ac:dyDescent="0.25">
      <c r="B334" s="7"/>
      <c r="C334" s="140">
        <v>306</v>
      </c>
      <c r="D334" s="142"/>
      <c r="E334" s="142"/>
      <c r="F334" s="142"/>
      <c r="G334" s="142"/>
      <c r="H334" s="141"/>
      <c r="I334" s="8"/>
    </row>
    <row r="335" spans="2:9" ht="15" hidden="1" customHeight="1" x14ac:dyDescent="0.25">
      <c r="B335" s="7"/>
      <c r="C335" s="140">
        <v>307</v>
      </c>
      <c r="D335" s="142"/>
      <c r="E335" s="142"/>
      <c r="F335" s="142"/>
      <c r="G335" s="142"/>
      <c r="H335" s="141"/>
      <c r="I335" s="8"/>
    </row>
    <row r="336" spans="2:9" ht="15" hidden="1" customHeight="1" x14ac:dyDescent="0.25">
      <c r="B336" s="7"/>
      <c r="C336" s="140">
        <v>308</v>
      </c>
      <c r="D336" s="142"/>
      <c r="E336" s="142"/>
      <c r="F336" s="142"/>
      <c r="G336" s="142"/>
      <c r="H336" s="141"/>
      <c r="I336" s="8"/>
    </row>
    <row r="337" spans="2:9" ht="15" hidden="1" customHeight="1" x14ac:dyDescent="0.25">
      <c r="B337" s="7"/>
      <c r="C337" s="140">
        <v>309</v>
      </c>
      <c r="D337" s="142"/>
      <c r="E337" s="142"/>
      <c r="F337" s="142"/>
      <c r="G337" s="142"/>
      <c r="H337" s="141"/>
      <c r="I337" s="8"/>
    </row>
    <row r="338" spans="2:9" ht="15" hidden="1" customHeight="1" x14ac:dyDescent="0.25">
      <c r="B338" s="7"/>
      <c r="C338" s="140">
        <v>310</v>
      </c>
      <c r="D338" s="142"/>
      <c r="E338" s="142"/>
      <c r="F338" s="142"/>
      <c r="G338" s="142"/>
      <c r="H338" s="141"/>
      <c r="I338" s="8"/>
    </row>
    <row r="339" spans="2:9" ht="15" hidden="1" customHeight="1" x14ac:dyDescent="0.25">
      <c r="B339" s="7"/>
      <c r="C339" s="140">
        <v>311</v>
      </c>
      <c r="D339" s="142"/>
      <c r="E339" s="142"/>
      <c r="F339" s="142"/>
      <c r="G339" s="142"/>
      <c r="H339" s="141"/>
      <c r="I339" s="8"/>
    </row>
    <row r="340" spans="2:9" ht="15" hidden="1" customHeight="1" x14ac:dyDescent="0.25">
      <c r="B340" s="7"/>
      <c r="C340" s="140">
        <v>312</v>
      </c>
      <c r="D340" s="142"/>
      <c r="E340" s="142"/>
      <c r="F340" s="142"/>
      <c r="G340" s="142"/>
      <c r="H340" s="141"/>
      <c r="I340" s="8"/>
    </row>
    <row r="341" spans="2:9" ht="15" hidden="1" customHeight="1" x14ac:dyDescent="0.25">
      <c r="B341" s="7"/>
      <c r="C341" s="140">
        <v>313</v>
      </c>
      <c r="D341" s="142"/>
      <c r="E341" s="142"/>
      <c r="F341" s="142"/>
      <c r="G341" s="142"/>
      <c r="H341" s="141"/>
      <c r="I341" s="8"/>
    </row>
    <row r="342" spans="2:9" ht="15" hidden="1" customHeight="1" x14ac:dyDescent="0.25">
      <c r="B342" s="7"/>
      <c r="C342" s="140">
        <v>314</v>
      </c>
      <c r="D342" s="142"/>
      <c r="E342" s="142"/>
      <c r="F342" s="142"/>
      <c r="G342" s="142"/>
      <c r="H342" s="141"/>
      <c r="I342" s="8"/>
    </row>
    <row r="343" spans="2:9" ht="15" hidden="1" customHeight="1" x14ac:dyDescent="0.25">
      <c r="B343" s="7"/>
      <c r="C343" s="140">
        <v>315</v>
      </c>
      <c r="D343" s="142"/>
      <c r="E343" s="142"/>
      <c r="F343" s="142"/>
      <c r="G343" s="142"/>
      <c r="H343" s="141"/>
      <c r="I343" s="8"/>
    </row>
    <row r="344" spans="2:9" ht="15" hidden="1" customHeight="1" x14ac:dyDescent="0.25">
      <c r="B344" s="7"/>
      <c r="C344" s="140">
        <v>316</v>
      </c>
      <c r="D344" s="142"/>
      <c r="E344" s="142"/>
      <c r="F344" s="142"/>
      <c r="G344" s="142"/>
      <c r="H344" s="141"/>
      <c r="I344" s="8"/>
    </row>
    <row r="345" spans="2:9" ht="15" hidden="1" customHeight="1" x14ac:dyDescent="0.25">
      <c r="B345" s="7"/>
      <c r="C345" s="140">
        <v>317</v>
      </c>
      <c r="D345" s="142"/>
      <c r="E345" s="142"/>
      <c r="F345" s="142"/>
      <c r="G345" s="142"/>
      <c r="H345" s="141"/>
      <c r="I345" s="8"/>
    </row>
    <row r="346" spans="2:9" ht="15" hidden="1" customHeight="1" x14ac:dyDescent="0.25">
      <c r="B346" s="7"/>
      <c r="C346" s="140">
        <v>318</v>
      </c>
      <c r="D346" s="142"/>
      <c r="E346" s="142"/>
      <c r="F346" s="142"/>
      <c r="G346" s="142"/>
      <c r="H346" s="141"/>
      <c r="I346" s="8"/>
    </row>
    <row r="347" spans="2:9" ht="15" hidden="1" customHeight="1" x14ac:dyDescent="0.25">
      <c r="B347" s="7"/>
      <c r="C347" s="140">
        <v>319</v>
      </c>
      <c r="D347" s="142"/>
      <c r="E347" s="142"/>
      <c r="F347" s="142"/>
      <c r="G347" s="142"/>
      <c r="H347" s="141"/>
      <c r="I347" s="8"/>
    </row>
    <row r="348" spans="2:9" ht="15" hidden="1" customHeight="1" x14ac:dyDescent="0.25">
      <c r="B348" s="7"/>
      <c r="C348" s="140">
        <v>320</v>
      </c>
      <c r="D348" s="142"/>
      <c r="E348" s="142"/>
      <c r="F348" s="142"/>
      <c r="G348" s="142"/>
      <c r="H348" s="141"/>
      <c r="I348" s="8"/>
    </row>
    <row r="349" spans="2:9" ht="15" hidden="1" customHeight="1" x14ac:dyDescent="0.25">
      <c r="B349" s="7"/>
      <c r="C349" s="140">
        <v>321</v>
      </c>
      <c r="D349" s="142"/>
      <c r="E349" s="142"/>
      <c r="F349" s="142"/>
      <c r="G349" s="142"/>
      <c r="H349" s="141"/>
      <c r="I349" s="8"/>
    </row>
    <row r="350" spans="2:9" ht="15" hidden="1" customHeight="1" x14ac:dyDescent="0.25">
      <c r="B350" s="7"/>
      <c r="C350" s="140">
        <v>322</v>
      </c>
      <c r="D350" s="142"/>
      <c r="E350" s="142"/>
      <c r="F350" s="142"/>
      <c r="G350" s="142"/>
      <c r="H350" s="141"/>
      <c r="I350" s="8"/>
    </row>
    <row r="351" spans="2:9" ht="15" hidden="1" customHeight="1" x14ac:dyDescent="0.25">
      <c r="B351" s="7"/>
      <c r="C351" s="140">
        <v>323</v>
      </c>
      <c r="D351" s="142"/>
      <c r="E351" s="142"/>
      <c r="F351" s="142"/>
      <c r="G351" s="142"/>
      <c r="H351" s="141"/>
      <c r="I351" s="8"/>
    </row>
    <row r="352" spans="2:9" ht="15" hidden="1" customHeight="1" x14ac:dyDescent="0.25">
      <c r="B352" s="7"/>
      <c r="C352" s="140">
        <v>324</v>
      </c>
      <c r="D352" s="142"/>
      <c r="E352" s="142"/>
      <c r="F352" s="142"/>
      <c r="G352" s="142"/>
      <c r="H352" s="141"/>
      <c r="I352" s="8"/>
    </row>
    <row r="353" spans="2:9" ht="15" hidden="1" customHeight="1" x14ac:dyDescent="0.25">
      <c r="B353" s="7"/>
      <c r="C353" s="140">
        <v>325</v>
      </c>
      <c r="D353" s="142"/>
      <c r="E353" s="142"/>
      <c r="F353" s="142"/>
      <c r="G353" s="142"/>
      <c r="H353" s="141"/>
      <c r="I353" s="8"/>
    </row>
    <row r="354" spans="2:9" ht="15" hidden="1" customHeight="1" x14ac:dyDescent="0.25">
      <c r="B354" s="7"/>
      <c r="C354" s="140">
        <v>326</v>
      </c>
      <c r="D354" s="142"/>
      <c r="E354" s="142"/>
      <c r="F354" s="142"/>
      <c r="G354" s="142"/>
      <c r="H354" s="141"/>
      <c r="I354" s="8"/>
    </row>
    <row r="355" spans="2:9" ht="15" hidden="1" customHeight="1" x14ac:dyDescent="0.25">
      <c r="B355" s="7"/>
      <c r="C355" s="140">
        <v>327</v>
      </c>
      <c r="D355" s="142"/>
      <c r="E355" s="142"/>
      <c r="F355" s="142"/>
      <c r="G355" s="142"/>
      <c r="H355" s="141"/>
      <c r="I355" s="8"/>
    </row>
    <row r="356" spans="2:9" ht="15" hidden="1" customHeight="1" x14ac:dyDescent="0.25">
      <c r="B356" s="7"/>
      <c r="C356" s="140">
        <v>328</v>
      </c>
      <c r="D356" s="142"/>
      <c r="E356" s="142"/>
      <c r="F356" s="142"/>
      <c r="G356" s="142"/>
      <c r="H356" s="141"/>
      <c r="I356" s="8"/>
    </row>
    <row r="357" spans="2:9" ht="15" hidden="1" customHeight="1" x14ac:dyDescent="0.25">
      <c r="B357" s="7"/>
      <c r="C357" s="140">
        <v>329</v>
      </c>
      <c r="D357" s="142"/>
      <c r="E357" s="142"/>
      <c r="F357" s="142"/>
      <c r="G357" s="142"/>
      <c r="H357" s="141"/>
      <c r="I357" s="8"/>
    </row>
    <row r="358" spans="2:9" ht="15" hidden="1" customHeight="1" x14ac:dyDescent="0.25">
      <c r="B358" s="7"/>
      <c r="C358" s="140">
        <v>330</v>
      </c>
      <c r="D358" s="142"/>
      <c r="E358" s="142"/>
      <c r="F358" s="142"/>
      <c r="G358" s="142"/>
      <c r="H358" s="141"/>
      <c r="I358" s="8"/>
    </row>
    <row r="359" spans="2:9" ht="15" hidden="1" customHeight="1" x14ac:dyDescent="0.25">
      <c r="B359" s="7"/>
      <c r="C359" s="140">
        <v>331</v>
      </c>
      <c r="D359" s="142"/>
      <c r="E359" s="142"/>
      <c r="F359" s="142"/>
      <c r="G359" s="142"/>
      <c r="H359" s="141"/>
      <c r="I359" s="8"/>
    </row>
    <row r="360" spans="2:9" ht="15" hidden="1" customHeight="1" x14ac:dyDescent="0.25">
      <c r="B360" s="7"/>
      <c r="C360" s="140">
        <v>332</v>
      </c>
      <c r="D360" s="142"/>
      <c r="E360" s="142"/>
      <c r="F360" s="142"/>
      <c r="G360" s="142"/>
      <c r="H360" s="141"/>
      <c r="I360" s="8"/>
    </row>
    <row r="361" spans="2:9" ht="15" hidden="1" customHeight="1" x14ac:dyDescent="0.25">
      <c r="B361" s="7"/>
      <c r="C361" s="140">
        <v>333</v>
      </c>
      <c r="D361" s="142"/>
      <c r="E361" s="142"/>
      <c r="F361" s="142"/>
      <c r="G361" s="142"/>
      <c r="H361" s="141"/>
      <c r="I361" s="8"/>
    </row>
    <row r="362" spans="2:9" ht="15" hidden="1" customHeight="1" x14ac:dyDescent="0.25">
      <c r="B362" s="7"/>
      <c r="C362" s="140">
        <v>334</v>
      </c>
      <c r="D362" s="142"/>
      <c r="E362" s="142"/>
      <c r="F362" s="142"/>
      <c r="G362" s="142"/>
      <c r="H362" s="141"/>
      <c r="I362" s="8"/>
    </row>
    <row r="363" spans="2:9" ht="15" hidden="1" customHeight="1" x14ac:dyDescent="0.25">
      <c r="B363" s="7"/>
      <c r="C363" s="140">
        <v>335</v>
      </c>
      <c r="D363" s="142"/>
      <c r="E363" s="142"/>
      <c r="F363" s="142"/>
      <c r="G363" s="142"/>
      <c r="H363" s="141"/>
      <c r="I363" s="8"/>
    </row>
    <row r="364" spans="2:9" ht="15" hidden="1" customHeight="1" x14ac:dyDescent="0.25">
      <c r="B364" s="7"/>
      <c r="C364" s="140">
        <v>336</v>
      </c>
      <c r="D364" s="142"/>
      <c r="E364" s="142"/>
      <c r="F364" s="142"/>
      <c r="G364" s="142"/>
      <c r="H364" s="141"/>
      <c r="I364" s="8"/>
    </row>
    <row r="365" spans="2:9" ht="15" hidden="1" customHeight="1" x14ac:dyDescent="0.25">
      <c r="B365" s="7"/>
      <c r="C365" s="140">
        <v>337</v>
      </c>
      <c r="D365" s="142"/>
      <c r="E365" s="142"/>
      <c r="F365" s="142"/>
      <c r="G365" s="142"/>
      <c r="H365" s="141"/>
      <c r="I365" s="8"/>
    </row>
    <row r="366" spans="2:9" ht="15" hidden="1" customHeight="1" x14ac:dyDescent="0.25">
      <c r="B366" s="7"/>
      <c r="C366" s="140">
        <v>338</v>
      </c>
      <c r="D366" s="142"/>
      <c r="E366" s="142"/>
      <c r="F366" s="142"/>
      <c r="G366" s="142"/>
      <c r="H366" s="141"/>
      <c r="I366" s="8"/>
    </row>
    <row r="367" spans="2:9" ht="15" hidden="1" customHeight="1" x14ac:dyDescent="0.25">
      <c r="B367" s="7"/>
      <c r="C367" s="140">
        <v>339</v>
      </c>
      <c r="D367" s="142"/>
      <c r="E367" s="142"/>
      <c r="F367" s="142"/>
      <c r="G367" s="142"/>
      <c r="H367" s="141"/>
      <c r="I367" s="8"/>
    </row>
    <row r="368" spans="2:9" ht="15" hidden="1" customHeight="1" x14ac:dyDescent="0.25">
      <c r="B368" s="7"/>
      <c r="C368" s="140">
        <v>340</v>
      </c>
      <c r="D368" s="142"/>
      <c r="E368" s="142"/>
      <c r="F368" s="142"/>
      <c r="G368" s="142"/>
      <c r="H368" s="141"/>
      <c r="I368" s="8"/>
    </row>
    <row r="369" spans="2:9" ht="15" hidden="1" customHeight="1" x14ac:dyDescent="0.25">
      <c r="B369" s="7"/>
      <c r="C369" s="140">
        <v>341</v>
      </c>
      <c r="D369" s="142"/>
      <c r="E369" s="142"/>
      <c r="F369" s="142"/>
      <c r="G369" s="142"/>
      <c r="H369" s="141"/>
      <c r="I369" s="8"/>
    </row>
    <row r="370" spans="2:9" ht="15" hidden="1" customHeight="1" x14ac:dyDescent="0.25">
      <c r="B370" s="7"/>
      <c r="C370" s="140">
        <v>342</v>
      </c>
      <c r="D370" s="142"/>
      <c r="E370" s="142"/>
      <c r="F370" s="142"/>
      <c r="G370" s="142"/>
      <c r="H370" s="141"/>
      <c r="I370" s="8"/>
    </row>
    <row r="371" spans="2:9" ht="15" hidden="1" customHeight="1" x14ac:dyDescent="0.25">
      <c r="B371" s="7"/>
      <c r="C371" s="140">
        <v>343</v>
      </c>
      <c r="D371" s="142"/>
      <c r="E371" s="142"/>
      <c r="F371" s="142"/>
      <c r="G371" s="142"/>
      <c r="H371" s="141"/>
      <c r="I371" s="8"/>
    </row>
    <row r="372" spans="2:9" ht="15" hidden="1" customHeight="1" x14ac:dyDescent="0.25">
      <c r="B372" s="7"/>
      <c r="C372" s="140">
        <v>344</v>
      </c>
      <c r="D372" s="142"/>
      <c r="E372" s="142"/>
      <c r="F372" s="142"/>
      <c r="G372" s="142"/>
      <c r="H372" s="141"/>
      <c r="I372" s="8"/>
    </row>
    <row r="373" spans="2:9" ht="15" hidden="1" customHeight="1" x14ac:dyDescent="0.25">
      <c r="B373" s="7"/>
      <c r="C373" s="140">
        <v>345</v>
      </c>
      <c r="D373" s="142"/>
      <c r="E373" s="142"/>
      <c r="F373" s="142"/>
      <c r="G373" s="142"/>
      <c r="H373" s="141"/>
      <c r="I373" s="8"/>
    </row>
    <row r="374" spans="2:9" ht="15" hidden="1" customHeight="1" x14ac:dyDescent="0.25">
      <c r="B374" s="7"/>
      <c r="C374" s="140">
        <v>346</v>
      </c>
      <c r="D374" s="142"/>
      <c r="E374" s="142"/>
      <c r="F374" s="142"/>
      <c r="G374" s="142"/>
      <c r="H374" s="141"/>
      <c r="I374" s="8"/>
    </row>
    <row r="375" spans="2:9" ht="15" hidden="1" customHeight="1" x14ac:dyDescent="0.25">
      <c r="B375" s="7"/>
      <c r="C375" s="140">
        <v>347</v>
      </c>
      <c r="D375" s="142"/>
      <c r="E375" s="142"/>
      <c r="F375" s="142"/>
      <c r="G375" s="142"/>
      <c r="H375" s="141"/>
      <c r="I375" s="8"/>
    </row>
    <row r="376" spans="2:9" ht="15" hidden="1" customHeight="1" x14ac:dyDescent="0.25">
      <c r="B376" s="7"/>
      <c r="C376" s="140">
        <v>348</v>
      </c>
      <c r="D376" s="142"/>
      <c r="E376" s="142"/>
      <c r="F376" s="142"/>
      <c r="G376" s="142"/>
      <c r="H376" s="141"/>
      <c r="I376" s="8"/>
    </row>
    <row r="377" spans="2:9" ht="15" hidden="1" customHeight="1" x14ac:dyDescent="0.25">
      <c r="B377" s="7"/>
      <c r="C377" s="140">
        <v>349</v>
      </c>
      <c r="D377" s="142"/>
      <c r="E377" s="142"/>
      <c r="F377" s="142"/>
      <c r="G377" s="142"/>
      <c r="H377" s="141"/>
      <c r="I377" s="8"/>
    </row>
    <row r="378" spans="2:9" ht="15" hidden="1" customHeight="1" x14ac:dyDescent="0.25">
      <c r="B378" s="7"/>
      <c r="C378" s="140">
        <v>350</v>
      </c>
      <c r="D378" s="142"/>
      <c r="E378" s="142"/>
      <c r="F378" s="142"/>
      <c r="G378" s="142"/>
      <c r="H378" s="141"/>
      <c r="I378" s="8"/>
    </row>
    <row r="379" spans="2:9" ht="15" hidden="1" customHeight="1" x14ac:dyDescent="0.25">
      <c r="B379" s="7"/>
      <c r="C379" s="140">
        <v>351</v>
      </c>
      <c r="D379" s="142"/>
      <c r="E379" s="142"/>
      <c r="F379" s="142"/>
      <c r="G379" s="142"/>
      <c r="H379" s="141"/>
      <c r="I379" s="8"/>
    </row>
    <row r="380" spans="2:9" ht="15" hidden="1" customHeight="1" x14ac:dyDescent="0.25">
      <c r="B380" s="7"/>
      <c r="C380" s="140">
        <v>352</v>
      </c>
      <c r="D380" s="142"/>
      <c r="E380" s="142"/>
      <c r="F380" s="142"/>
      <c r="G380" s="142"/>
      <c r="H380" s="141"/>
      <c r="I380" s="8"/>
    </row>
    <row r="381" spans="2:9" ht="15" hidden="1" customHeight="1" x14ac:dyDescent="0.25">
      <c r="B381" s="7"/>
      <c r="C381" s="140">
        <v>353</v>
      </c>
      <c r="D381" s="142"/>
      <c r="E381" s="142"/>
      <c r="F381" s="142"/>
      <c r="G381" s="142"/>
      <c r="H381" s="141"/>
      <c r="I381" s="8"/>
    </row>
    <row r="382" spans="2:9" ht="15" hidden="1" customHeight="1" x14ac:dyDescent="0.25">
      <c r="B382" s="7"/>
      <c r="C382" s="140">
        <v>354</v>
      </c>
      <c r="D382" s="142"/>
      <c r="E382" s="142"/>
      <c r="F382" s="142"/>
      <c r="G382" s="142"/>
      <c r="H382" s="141"/>
      <c r="I382" s="8"/>
    </row>
    <row r="383" spans="2:9" ht="15" hidden="1" customHeight="1" x14ac:dyDescent="0.25">
      <c r="B383" s="7"/>
      <c r="C383" s="140">
        <v>355</v>
      </c>
      <c r="D383" s="142"/>
      <c r="E383" s="142"/>
      <c r="F383" s="142"/>
      <c r="G383" s="142"/>
      <c r="H383" s="141"/>
      <c r="I383" s="8"/>
    </row>
    <row r="384" spans="2:9" ht="15" hidden="1" customHeight="1" x14ac:dyDescent="0.25">
      <c r="B384" s="7"/>
      <c r="C384" s="140">
        <v>356</v>
      </c>
      <c r="D384" s="142"/>
      <c r="E384" s="142"/>
      <c r="F384" s="142"/>
      <c r="G384" s="142"/>
      <c r="H384" s="141"/>
      <c r="I384" s="8"/>
    </row>
    <row r="385" spans="2:9" ht="15" hidden="1" customHeight="1" x14ac:dyDescent="0.25">
      <c r="B385" s="7"/>
      <c r="C385" s="140">
        <v>357</v>
      </c>
      <c r="D385" s="142"/>
      <c r="E385" s="142"/>
      <c r="F385" s="142"/>
      <c r="G385" s="142"/>
      <c r="H385" s="141"/>
      <c r="I385" s="8"/>
    </row>
    <row r="386" spans="2:9" ht="15" hidden="1" customHeight="1" x14ac:dyDescent="0.25">
      <c r="B386" s="7"/>
      <c r="C386" s="140">
        <v>358</v>
      </c>
      <c r="D386" s="142"/>
      <c r="E386" s="142"/>
      <c r="F386" s="142"/>
      <c r="G386" s="142"/>
      <c r="H386" s="141"/>
      <c r="I386" s="8"/>
    </row>
    <row r="387" spans="2:9" ht="15" hidden="1" customHeight="1" x14ac:dyDescent="0.25">
      <c r="B387" s="7"/>
      <c r="C387" s="140">
        <v>359</v>
      </c>
      <c r="D387" s="142"/>
      <c r="E387" s="142"/>
      <c r="F387" s="142"/>
      <c r="G387" s="142"/>
      <c r="H387" s="141"/>
      <c r="I387" s="8"/>
    </row>
    <row r="388" spans="2:9" ht="15" hidden="1" customHeight="1" x14ac:dyDescent="0.25">
      <c r="B388" s="7"/>
      <c r="C388" s="140">
        <v>360</v>
      </c>
      <c r="D388" s="142"/>
      <c r="E388" s="142"/>
      <c r="F388" s="142"/>
      <c r="G388" s="142"/>
      <c r="H388" s="141"/>
      <c r="I388" s="8"/>
    </row>
    <row r="389" spans="2:9" ht="15" hidden="1" customHeight="1" x14ac:dyDescent="0.25">
      <c r="B389" s="7"/>
      <c r="C389" s="140">
        <v>361</v>
      </c>
      <c r="D389" s="142"/>
      <c r="E389" s="142"/>
      <c r="F389" s="142"/>
      <c r="G389" s="142"/>
      <c r="H389" s="141"/>
      <c r="I389" s="8"/>
    </row>
    <row r="390" spans="2:9" ht="15" hidden="1" customHeight="1" x14ac:dyDescent="0.25">
      <c r="B390" s="7"/>
      <c r="C390" s="140">
        <v>362</v>
      </c>
      <c r="D390" s="142"/>
      <c r="E390" s="142"/>
      <c r="F390" s="142"/>
      <c r="G390" s="142"/>
      <c r="H390" s="141"/>
      <c r="I390" s="8"/>
    </row>
    <row r="391" spans="2:9" ht="15" hidden="1" customHeight="1" x14ac:dyDescent="0.25">
      <c r="B391" s="7"/>
      <c r="C391" s="140">
        <v>363</v>
      </c>
      <c r="D391" s="142"/>
      <c r="E391" s="142"/>
      <c r="F391" s="142"/>
      <c r="G391" s="142"/>
      <c r="H391" s="141"/>
      <c r="I391" s="8"/>
    </row>
    <row r="392" spans="2:9" ht="15" hidden="1" customHeight="1" x14ac:dyDescent="0.25">
      <c r="B392" s="7"/>
      <c r="C392" s="140">
        <v>364</v>
      </c>
      <c r="D392" s="142"/>
      <c r="E392" s="142"/>
      <c r="F392" s="142"/>
      <c r="G392" s="142"/>
      <c r="H392" s="141"/>
      <c r="I392" s="8"/>
    </row>
    <row r="393" spans="2:9" ht="15" hidden="1" customHeight="1" x14ac:dyDescent="0.25">
      <c r="B393" s="7"/>
      <c r="C393" s="140">
        <v>365</v>
      </c>
      <c r="D393" s="142"/>
      <c r="E393" s="142"/>
      <c r="F393" s="142"/>
      <c r="G393" s="142"/>
      <c r="H393" s="141"/>
      <c r="I393" s="8"/>
    </row>
    <row r="394" spans="2:9" ht="15" hidden="1" customHeight="1" x14ac:dyDescent="0.25">
      <c r="B394" s="7"/>
      <c r="C394" s="140">
        <v>366</v>
      </c>
      <c r="D394" s="142"/>
      <c r="E394" s="142"/>
      <c r="F394" s="142"/>
      <c r="G394" s="142"/>
      <c r="H394" s="141"/>
      <c r="I394" s="8"/>
    </row>
    <row r="395" spans="2:9" ht="15" hidden="1" customHeight="1" x14ac:dyDescent="0.25">
      <c r="B395" s="7"/>
      <c r="C395" s="140">
        <v>367</v>
      </c>
      <c r="D395" s="142"/>
      <c r="E395" s="142"/>
      <c r="F395" s="142"/>
      <c r="G395" s="142"/>
      <c r="H395" s="141"/>
      <c r="I395" s="8"/>
    </row>
    <row r="396" spans="2:9" ht="15" hidden="1" customHeight="1" x14ac:dyDescent="0.25">
      <c r="B396" s="7"/>
      <c r="C396" s="140">
        <v>368</v>
      </c>
      <c r="D396" s="142"/>
      <c r="E396" s="142"/>
      <c r="F396" s="142"/>
      <c r="G396" s="142"/>
      <c r="H396" s="141"/>
      <c r="I396" s="8"/>
    </row>
    <row r="397" spans="2:9" ht="15" hidden="1" customHeight="1" x14ac:dyDescent="0.25">
      <c r="B397" s="7"/>
      <c r="C397" s="140">
        <v>369</v>
      </c>
      <c r="D397" s="142"/>
      <c r="E397" s="142"/>
      <c r="F397" s="142"/>
      <c r="G397" s="142"/>
      <c r="H397" s="141"/>
      <c r="I397" s="8"/>
    </row>
    <row r="398" spans="2:9" ht="15" hidden="1" customHeight="1" x14ac:dyDescent="0.25">
      <c r="B398" s="7"/>
      <c r="C398" s="140">
        <v>370</v>
      </c>
      <c r="D398" s="142"/>
      <c r="E398" s="142"/>
      <c r="F398" s="142"/>
      <c r="G398" s="142"/>
      <c r="H398" s="141"/>
      <c r="I398" s="8"/>
    </row>
    <row r="399" spans="2:9" ht="15" hidden="1" customHeight="1" x14ac:dyDescent="0.25">
      <c r="B399" s="7"/>
      <c r="C399" s="140">
        <v>371</v>
      </c>
      <c r="D399" s="142"/>
      <c r="E399" s="142"/>
      <c r="F399" s="142"/>
      <c r="G399" s="142"/>
      <c r="H399" s="141"/>
      <c r="I399" s="8"/>
    </row>
    <row r="400" spans="2:9" ht="15" hidden="1" customHeight="1" x14ac:dyDescent="0.25">
      <c r="B400" s="7"/>
      <c r="C400" s="140">
        <v>372</v>
      </c>
      <c r="D400" s="142"/>
      <c r="E400" s="142"/>
      <c r="F400" s="142"/>
      <c r="G400" s="142"/>
      <c r="H400" s="141"/>
      <c r="I400" s="8"/>
    </row>
    <row r="401" spans="2:9" ht="15" hidden="1" customHeight="1" x14ac:dyDescent="0.25">
      <c r="B401" s="7"/>
      <c r="C401" s="140">
        <v>373</v>
      </c>
      <c r="D401" s="142"/>
      <c r="E401" s="142"/>
      <c r="F401" s="142"/>
      <c r="G401" s="142"/>
      <c r="H401" s="141"/>
      <c r="I401" s="8"/>
    </row>
    <row r="402" spans="2:9" ht="15" hidden="1" customHeight="1" x14ac:dyDescent="0.25">
      <c r="B402" s="7"/>
      <c r="C402" s="140">
        <v>374</v>
      </c>
      <c r="D402" s="142"/>
      <c r="E402" s="142"/>
      <c r="F402" s="142"/>
      <c r="G402" s="142"/>
      <c r="H402" s="141"/>
      <c r="I402" s="8"/>
    </row>
    <row r="403" spans="2:9" ht="15" hidden="1" customHeight="1" x14ac:dyDescent="0.25">
      <c r="B403" s="7"/>
      <c r="C403" s="140">
        <v>375</v>
      </c>
      <c r="D403" s="142"/>
      <c r="E403" s="142"/>
      <c r="F403" s="142"/>
      <c r="G403" s="142"/>
      <c r="H403" s="141"/>
      <c r="I403" s="8"/>
    </row>
    <row r="404" spans="2:9" ht="15" hidden="1" customHeight="1" x14ac:dyDescent="0.25">
      <c r="B404" s="7"/>
      <c r="C404" s="140">
        <v>376</v>
      </c>
      <c r="D404" s="142"/>
      <c r="E404" s="142"/>
      <c r="F404" s="142"/>
      <c r="G404" s="142"/>
      <c r="H404" s="141"/>
      <c r="I404" s="8"/>
    </row>
    <row r="405" spans="2:9" ht="15" hidden="1" customHeight="1" x14ac:dyDescent="0.25">
      <c r="B405" s="7"/>
      <c r="C405" s="140">
        <v>377</v>
      </c>
      <c r="D405" s="142"/>
      <c r="E405" s="142"/>
      <c r="F405" s="142"/>
      <c r="G405" s="142"/>
      <c r="H405" s="141"/>
      <c r="I405" s="8"/>
    </row>
    <row r="406" spans="2:9" ht="15" hidden="1" customHeight="1" x14ac:dyDescent="0.25">
      <c r="B406" s="7"/>
      <c r="C406" s="140">
        <v>378</v>
      </c>
      <c r="D406" s="142"/>
      <c r="E406" s="142"/>
      <c r="F406" s="142"/>
      <c r="G406" s="142"/>
      <c r="H406" s="141"/>
      <c r="I406" s="8"/>
    </row>
    <row r="407" spans="2:9" ht="15" hidden="1" customHeight="1" x14ac:dyDescent="0.25">
      <c r="B407" s="7"/>
      <c r="C407" s="140">
        <v>379</v>
      </c>
      <c r="D407" s="142"/>
      <c r="E407" s="142"/>
      <c r="F407" s="142"/>
      <c r="G407" s="142"/>
      <c r="H407" s="141"/>
      <c r="I407" s="8"/>
    </row>
    <row r="408" spans="2:9" ht="15" hidden="1" customHeight="1" x14ac:dyDescent="0.25">
      <c r="B408" s="7"/>
      <c r="C408" s="140">
        <v>380</v>
      </c>
      <c r="D408" s="142"/>
      <c r="E408" s="142"/>
      <c r="F408" s="142"/>
      <c r="G408" s="142"/>
      <c r="H408" s="141"/>
      <c r="I408" s="8"/>
    </row>
    <row r="409" spans="2:9" ht="15" hidden="1" customHeight="1" x14ac:dyDescent="0.25">
      <c r="B409" s="7"/>
      <c r="C409" s="140">
        <v>381</v>
      </c>
      <c r="D409" s="142"/>
      <c r="E409" s="142"/>
      <c r="F409" s="142"/>
      <c r="G409" s="142"/>
      <c r="H409" s="141"/>
      <c r="I409" s="8"/>
    </row>
    <row r="410" spans="2:9" ht="15" hidden="1" customHeight="1" x14ac:dyDescent="0.25">
      <c r="B410" s="7"/>
      <c r="C410" s="140">
        <v>382</v>
      </c>
      <c r="D410" s="142"/>
      <c r="E410" s="142"/>
      <c r="F410" s="142"/>
      <c r="G410" s="142"/>
      <c r="H410" s="141"/>
      <c r="I410" s="8"/>
    </row>
    <row r="411" spans="2:9" ht="15" hidden="1" customHeight="1" x14ac:dyDescent="0.25">
      <c r="B411" s="7"/>
      <c r="C411" s="140">
        <v>383</v>
      </c>
      <c r="D411" s="142"/>
      <c r="E411" s="142"/>
      <c r="F411" s="142"/>
      <c r="G411" s="142"/>
      <c r="H411" s="141"/>
      <c r="I411" s="8"/>
    </row>
    <row r="412" spans="2:9" ht="15" hidden="1" customHeight="1" x14ac:dyDescent="0.25">
      <c r="B412" s="7"/>
      <c r="C412" s="140">
        <v>384</v>
      </c>
      <c r="D412" s="142"/>
      <c r="E412" s="142"/>
      <c r="F412" s="142"/>
      <c r="G412" s="142"/>
      <c r="H412" s="141"/>
      <c r="I412" s="8"/>
    </row>
    <row r="413" spans="2:9" ht="15" hidden="1" customHeight="1" x14ac:dyDescent="0.25">
      <c r="B413" s="7"/>
      <c r="C413" s="140">
        <v>385</v>
      </c>
      <c r="D413" s="142"/>
      <c r="E413" s="142"/>
      <c r="F413" s="142"/>
      <c r="G413" s="142"/>
      <c r="H413" s="141"/>
      <c r="I413" s="8"/>
    </row>
    <row r="414" spans="2:9" ht="15" hidden="1" customHeight="1" x14ac:dyDescent="0.25">
      <c r="B414" s="7"/>
      <c r="C414" s="140">
        <v>386</v>
      </c>
      <c r="D414" s="142"/>
      <c r="E414" s="142"/>
      <c r="F414" s="142"/>
      <c r="G414" s="142"/>
      <c r="H414" s="141"/>
      <c r="I414" s="8"/>
    </row>
    <row r="415" spans="2:9" ht="15" hidden="1" customHeight="1" x14ac:dyDescent="0.25">
      <c r="B415" s="7"/>
      <c r="C415" s="140">
        <v>387</v>
      </c>
      <c r="D415" s="142"/>
      <c r="E415" s="142"/>
      <c r="F415" s="142"/>
      <c r="G415" s="142"/>
      <c r="H415" s="141"/>
      <c r="I415" s="8"/>
    </row>
    <row r="416" spans="2:9" ht="15" hidden="1" customHeight="1" x14ac:dyDescent="0.25">
      <c r="B416" s="7"/>
      <c r="C416" s="140">
        <v>388</v>
      </c>
      <c r="D416" s="142"/>
      <c r="E416" s="142"/>
      <c r="F416" s="142"/>
      <c r="G416" s="142"/>
      <c r="H416" s="141"/>
      <c r="I416" s="8"/>
    </row>
    <row r="417" spans="2:9" ht="15" hidden="1" customHeight="1" x14ac:dyDescent="0.25">
      <c r="B417" s="7"/>
      <c r="C417" s="140">
        <v>389</v>
      </c>
      <c r="D417" s="142"/>
      <c r="E417" s="142"/>
      <c r="F417" s="142"/>
      <c r="G417" s="142"/>
      <c r="H417" s="141"/>
      <c r="I417" s="8"/>
    </row>
    <row r="418" spans="2:9" ht="15" hidden="1" customHeight="1" x14ac:dyDescent="0.25">
      <c r="B418" s="7"/>
      <c r="C418" s="140">
        <v>390</v>
      </c>
      <c r="D418" s="142"/>
      <c r="E418" s="142"/>
      <c r="F418" s="142"/>
      <c r="G418" s="142"/>
      <c r="H418" s="141"/>
      <c r="I418" s="8"/>
    </row>
    <row r="419" spans="2:9" ht="15" hidden="1" customHeight="1" x14ac:dyDescent="0.25">
      <c r="B419" s="7"/>
      <c r="C419" s="140">
        <v>391</v>
      </c>
      <c r="D419" s="142"/>
      <c r="E419" s="142"/>
      <c r="F419" s="142"/>
      <c r="G419" s="142"/>
      <c r="H419" s="141"/>
      <c r="I419" s="8"/>
    </row>
    <row r="420" spans="2:9" ht="15" hidden="1" customHeight="1" x14ac:dyDescent="0.25">
      <c r="B420" s="7"/>
      <c r="C420" s="140">
        <v>392</v>
      </c>
      <c r="D420" s="142"/>
      <c r="E420" s="142"/>
      <c r="F420" s="142"/>
      <c r="G420" s="142"/>
      <c r="H420" s="141"/>
      <c r="I420" s="8"/>
    </row>
    <row r="421" spans="2:9" ht="15" hidden="1" customHeight="1" x14ac:dyDescent="0.25">
      <c r="B421" s="7"/>
      <c r="C421" s="140">
        <v>393</v>
      </c>
      <c r="D421" s="142"/>
      <c r="E421" s="142"/>
      <c r="F421" s="142"/>
      <c r="G421" s="142"/>
      <c r="H421" s="141"/>
      <c r="I421" s="8"/>
    </row>
    <row r="422" spans="2:9" ht="15" hidden="1" customHeight="1" x14ac:dyDescent="0.25">
      <c r="B422" s="7"/>
      <c r="C422" s="140">
        <v>394</v>
      </c>
      <c r="D422" s="142"/>
      <c r="E422" s="142"/>
      <c r="F422" s="142"/>
      <c r="G422" s="142"/>
      <c r="H422" s="141"/>
      <c r="I422" s="8"/>
    </row>
    <row r="423" spans="2:9" ht="15" hidden="1" customHeight="1" x14ac:dyDescent="0.25">
      <c r="B423" s="7"/>
      <c r="C423" s="140">
        <v>395</v>
      </c>
      <c r="D423" s="142"/>
      <c r="E423" s="142"/>
      <c r="F423" s="142"/>
      <c r="G423" s="142"/>
      <c r="H423" s="141"/>
      <c r="I423" s="8"/>
    </row>
    <row r="424" spans="2:9" ht="15" hidden="1" customHeight="1" x14ac:dyDescent="0.25">
      <c r="B424" s="7"/>
      <c r="C424" s="140">
        <v>396</v>
      </c>
      <c r="D424" s="142"/>
      <c r="E424" s="142"/>
      <c r="F424" s="142"/>
      <c r="G424" s="142"/>
      <c r="H424" s="141"/>
      <c r="I424" s="8"/>
    </row>
    <row r="425" spans="2:9" ht="15" hidden="1" customHeight="1" x14ac:dyDescent="0.25">
      <c r="B425" s="7"/>
      <c r="C425" s="140">
        <v>397</v>
      </c>
      <c r="D425" s="142"/>
      <c r="E425" s="142"/>
      <c r="F425" s="142"/>
      <c r="G425" s="142"/>
      <c r="H425" s="141"/>
      <c r="I425" s="8"/>
    </row>
    <row r="426" spans="2:9" ht="15" hidden="1" customHeight="1" x14ac:dyDescent="0.25">
      <c r="B426" s="7"/>
      <c r="C426" s="140">
        <v>398</v>
      </c>
      <c r="D426" s="142"/>
      <c r="E426" s="142"/>
      <c r="F426" s="142"/>
      <c r="G426" s="142"/>
      <c r="H426" s="141"/>
      <c r="I426" s="8"/>
    </row>
    <row r="427" spans="2:9" ht="15" hidden="1" customHeight="1" x14ac:dyDescent="0.25">
      <c r="B427" s="7"/>
      <c r="C427" s="140">
        <v>399</v>
      </c>
      <c r="D427" s="142"/>
      <c r="E427" s="142"/>
      <c r="F427" s="142"/>
      <c r="G427" s="142"/>
      <c r="H427" s="141"/>
      <c r="I427" s="8"/>
    </row>
    <row r="428" spans="2:9" ht="15" hidden="1" customHeight="1" x14ac:dyDescent="0.25">
      <c r="B428" s="7"/>
      <c r="C428" s="140">
        <v>400</v>
      </c>
      <c r="D428" s="142"/>
      <c r="E428" s="142"/>
      <c r="F428" s="142"/>
      <c r="G428" s="142"/>
      <c r="H428" s="141"/>
      <c r="I428" s="8"/>
    </row>
    <row r="429" spans="2:9" ht="15" hidden="1" customHeight="1" x14ac:dyDescent="0.25">
      <c r="B429" s="7"/>
      <c r="C429" s="140">
        <v>401</v>
      </c>
      <c r="D429" s="142"/>
      <c r="E429" s="142"/>
      <c r="F429" s="142"/>
      <c r="G429" s="142"/>
      <c r="H429" s="141"/>
      <c r="I429" s="8"/>
    </row>
    <row r="430" spans="2:9" ht="15" hidden="1" customHeight="1" x14ac:dyDescent="0.25">
      <c r="B430" s="7"/>
      <c r="C430" s="140">
        <v>402</v>
      </c>
      <c r="D430" s="142"/>
      <c r="E430" s="142"/>
      <c r="F430" s="142"/>
      <c r="G430" s="142"/>
      <c r="H430" s="141"/>
      <c r="I430" s="8"/>
    </row>
    <row r="431" spans="2:9" ht="15" hidden="1" customHeight="1" x14ac:dyDescent="0.25">
      <c r="B431" s="7"/>
      <c r="C431" s="140">
        <v>403</v>
      </c>
      <c r="D431" s="142"/>
      <c r="E431" s="142"/>
      <c r="F431" s="142"/>
      <c r="G431" s="142"/>
      <c r="H431" s="141"/>
      <c r="I431" s="8"/>
    </row>
    <row r="432" spans="2:9" ht="15" hidden="1" customHeight="1" x14ac:dyDescent="0.25">
      <c r="B432" s="7"/>
      <c r="C432" s="140">
        <v>404</v>
      </c>
      <c r="D432" s="142"/>
      <c r="E432" s="142"/>
      <c r="F432" s="142"/>
      <c r="G432" s="142"/>
      <c r="H432" s="141"/>
      <c r="I432" s="8"/>
    </row>
    <row r="433" spans="2:9" ht="15" hidden="1" customHeight="1" x14ac:dyDescent="0.25">
      <c r="B433" s="7"/>
      <c r="C433" s="140">
        <v>405</v>
      </c>
      <c r="D433" s="142"/>
      <c r="E433" s="142"/>
      <c r="F433" s="142"/>
      <c r="G433" s="142"/>
      <c r="H433" s="141"/>
      <c r="I433" s="8"/>
    </row>
    <row r="434" spans="2:9" ht="15" hidden="1" customHeight="1" x14ac:dyDescent="0.25">
      <c r="B434" s="7"/>
      <c r="C434" s="140">
        <v>406</v>
      </c>
      <c r="D434" s="142"/>
      <c r="E434" s="142"/>
      <c r="F434" s="142"/>
      <c r="G434" s="142"/>
      <c r="H434" s="141"/>
      <c r="I434" s="8"/>
    </row>
    <row r="435" spans="2:9" ht="15" hidden="1" customHeight="1" x14ac:dyDescent="0.25">
      <c r="B435" s="7"/>
      <c r="C435" s="140">
        <v>407</v>
      </c>
      <c r="D435" s="142"/>
      <c r="E435" s="142"/>
      <c r="F435" s="142"/>
      <c r="G435" s="142"/>
      <c r="H435" s="141"/>
      <c r="I435" s="8"/>
    </row>
    <row r="436" spans="2:9" ht="15" hidden="1" customHeight="1" x14ac:dyDescent="0.25">
      <c r="B436" s="7"/>
      <c r="C436" s="140">
        <v>408</v>
      </c>
      <c r="D436" s="142"/>
      <c r="E436" s="142"/>
      <c r="F436" s="142"/>
      <c r="G436" s="142"/>
      <c r="H436" s="141"/>
      <c r="I436" s="8"/>
    </row>
    <row r="437" spans="2:9" ht="15" hidden="1" customHeight="1" x14ac:dyDescent="0.25">
      <c r="B437" s="7"/>
      <c r="C437" s="140">
        <v>409</v>
      </c>
      <c r="D437" s="142"/>
      <c r="E437" s="142"/>
      <c r="F437" s="142"/>
      <c r="G437" s="142"/>
      <c r="H437" s="141"/>
      <c r="I437" s="8"/>
    </row>
    <row r="438" spans="2:9" ht="15" hidden="1" customHeight="1" x14ac:dyDescent="0.25">
      <c r="B438" s="7"/>
      <c r="C438" s="140">
        <v>410</v>
      </c>
      <c r="D438" s="142"/>
      <c r="E438" s="142"/>
      <c r="F438" s="142"/>
      <c r="G438" s="142"/>
      <c r="H438" s="141"/>
      <c r="I438" s="8"/>
    </row>
    <row r="439" spans="2:9" ht="15" hidden="1" customHeight="1" x14ac:dyDescent="0.25">
      <c r="B439" s="7"/>
      <c r="C439" s="140">
        <v>411</v>
      </c>
      <c r="D439" s="142"/>
      <c r="E439" s="142"/>
      <c r="F439" s="142"/>
      <c r="G439" s="142"/>
      <c r="H439" s="141"/>
      <c r="I439" s="8"/>
    </row>
    <row r="440" spans="2:9" ht="15" hidden="1" customHeight="1" x14ac:dyDescent="0.25">
      <c r="B440" s="7"/>
      <c r="C440" s="140">
        <v>412</v>
      </c>
      <c r="D440" s="142"/>
      <c r="E440" s="142"/>
      <c r="F440" s="142"/>
      <c r="G440" s="142"/>
      <c r="H440" s="141"/>
      <c r="I440" s="8"/>
    </row>
    <row r="441" spans="2:9" ht="15" hidden="1" customHeight="1" x14ac:dyDescent="0.25">
      <c r="B441" s="7"/>
      <c r="C441" s="140">
        <v>413</v>
      </c>
      <c r="D441" s="142"/>
      <c r="E441" s="142"/>
      <c r="F441" s="142"/>
      <c r="G441" s="142"/>
      <c r="H441" s="141"/>
      <c r="I441" s="8"/>
    </row>
    <row r="442" spans="2:9" ht="15" hidden="1" customHeight="1" x14ac:dyDescent="0.25">
      <c r="B442" s="7"/>
      <c r="C442" s="140">
        <v>414</v>
      </c>
      <c r="D442" s="142"/>
      <c r="E442" s="142"/>
      <c r="F442" s="142"/>
      <c r="G442" s="142"/>
      <c r="H442" s="141"/>
      <c r="I442" s="8"/>
    </row>
    <row r="443" spans="2:9" ht="15" hidden="1" customHeight="1" x14ac:dyDescent="0.25">
      <c r="B443" s="7"/>
      <c r="C443" s="140">
        <v>415</v>
      </c>
      <c r="D443" s="142"/>
      <c r="E443" s="142"/>
      <c r="F443" s="142"/>
      <c r="G443" s="142"/>
      <c r="H443" s="141"/>
      <c r="I443" s="8"/>
    </row>
    <row r="444" spans="2:9" ht="15" hidden="1" customHeight="1" x14ac:dyDescent="0.25">
      <c r="B444" s="7"/>
      <c r="C444" s="140">
        <v>416</v>
      </c>
      <c r="D444" s="142"/>
      <c r="E444" s="142"/>
      <c r="F444" s="142"/>
      <c r="G444" s="142"/>
      <c r="H444" s="141"/>
      <c r="I444" s="8"/>
    </row>
    <row r="445" spans="2:9" ht="15" hidden="1" customHeight="1" x14ac:dyDescent="0.25">
      <c r="B445" s="7"/>
      <c r="C445" s="140">
        <v>417</v>
      </c>
      <c r="D445" s="142"/>
      <c r="E445" s="142"/>
      <c r="F445" s="142"/>
      <c r="G445" s="142"/>
      <c r="H445" s="141"/>
      <c r="I445" s="8"/>
    </row>
    <row r="446" spans="2:9" ht="15" hidden="1" customHeight="1" x14ac:dyDescent="0.25">
      <c r="B446" s="7"/>
      <c r="C446" s="140">
        <v>418</v>
      </c>
      <c r="D446" s="142"/>
      <c r="E446" s="142"/>
      <c r="F446" s="142"/>
      <c r="G446" s="142"/>
      <c r="H446" s="141"/>
      <c r="I446" s="8"/>
    </row>
    <row r="447" spans="2:9" ht="15" hidden="1" customHeight="1" x14ac:dyDescent="0.25">
      <c r="B447" s="7"/>
      <c r="C447" s="140">
        <v>419</v>
      </c>
      <c r="D447" s="142"/>
      <c r="E447" s="142"/>
      <c r="F447" s="142"/>
      <c r="G447" s="142"/>
      <c r="H447" s="141"/>
      <c r="I447" s="8"/>
    </row>
    <row r="448" spans="2:9" ht="15" hidden="1" customHeight="1" x14ac:dyDescent="0.25">
      <c r="B448" s="7"/>
      <c r="C448" s="140">
        <v>420</v>
      </c>
      <c r="D448" s="142"/>
      <c r="E448" s="142"/>
      <c r="F448" s="142"/>
      <c r="G448" s="142"/>
      <c r="H448" s="141"/>
      <c r="I448" s="8"/>
    </row>
    <row r="449" spans="2:9" ht="15" hidden="1" customHeight="1" x14ac:dyDescent="0.25">
      <c r="B449" s="7"/>
      <c r="C449" s="140">
        <v>421</v>
      </c>
      <c r="D449" s="142"/>
      <c r="E449" s="142"/>
      <c r="F449" s="142"/>
      <c r="G449" s="142"/>
      <c r="H449" s="141"/>
      <c r="I449" s="8"/>
    </row>
    <row r="450" spans="2:9" ht="15" hidden="1" customHeight="1" x14ac:dyDescent="0.25">
      <c r="B450" s="7"/>
      <c r="C450" s="140">
        <v>422</v>
      </c>
      <c r="D450" s="142"/>
      <c r="E450" s="142"/>
      <c r="F450" s="142"/>
      <c r="G450" s="142"/>
      <c r="H450" s="141"/>
      <c r="I450" s="8"/>
    </row>
    <row r="451" spans="2:9" ht="15" hidden="1" customHeight="1" x14ac:dyDescent="0.25">
      <c r="B451" s="7"/>
      <c r="C451" s="140">
        <v>423</v>
      </c>
      <c r="D451" s="142"/>
      <c r="E451" s="142"/>
      <c r="F451" s="142"/>
      <c r="G451" s="142"/>
      <c r="H451" s="141"/>
      <c r="I451" s="8"/>
    </row>
    <row r="452" spans="2:9" ht="15" hidden="1" customHeight="1" x14ac:dyDescent="0.25">
      <c r="B452" s="7"/>
      <c r="C452" s="140">
        <v>424</v>
      </c>
      <c r="D452" s="142"/>
      <c r="E452" s="142"/>
      <c r="F452" s="142"/>
      <c r="G452" s="142"/>
      <c r="H452" s="141"/>
      <c r="I452" s="8"/>
    </row>
    <row r="453" spans="2:9" ht="15" hidden="1" customHeight="1" x14ac:dyDescent="0.25">
      <c r="B453" s="7"/>
      <c r="C453" s="140">
        <v>425</v>
      </c>
      <c r="D453" s="142"/>
      <c r="E453" s="142"/>
      <c r="F453" s="142"/>
      <c r="G453" s="142"/>
      <c r="H453" s="141"/>
      <c r="I453" s="8"/>
    </row>
    <row r="454" spans="2:9" ht="15" hidden="1" customHeight="1" x14ac:dyDescent="0.25">
      <c r="B454" s="7"/>
      <c r="C454" s="140">
        <v>426</v>
      </c>
      <c r="D454" s="142"/>
      <c r="E454" s="142"/>
      <c r="F454" s="142"/>
      <c r="G454" s="142"/>
      <c r="H454" s="141"/>
      <c r="I454" s="8"/>
    </row>
    <row r="455" spans="2:9" ht="15" hidden="1" customHeight="1" x14ac:dyDescent="0.25">
      <c r="B455" s="7"/>
      <c r="C455" s="140">
        <v>427</v>
      </c>
      <c r="D455" s="142"/>
      <c r="E455" s="142"/>
      <c r="F455" s="142"/>
      <c r="G455" s="142"/>
      <c r="H455" s="141"/>
      <c r="I455" s="8"/>
    </row>
    <row r="456" spans="2:9" ht="15" hidden="1" customHeight="1" x14ac:dyDescent="0.25">
      <c r="B456" s="7"/>
      <c r="C456" s="140">
        <v>428</v>
      </c>
      <c r="D456" s="142"/>
      <c r="E456" s="142"/>
      <c r="F456" s="142"/>
      <c r="G456" s="142"/>
      <c r="H456" s="141"/>
      <c r="I456" s="8"/>
    </row>
    <row r="457" spans="2:9" ht="15" hidden="1" customHeight="1" x14ac:dyDescent="0.25">
      <c r="B457" s="7"/>
      <c r="C457" s="140">
        <v>429</v>
      </c>
      <c r="D457" s="142"/>
      <c r="E457" s="142"/>
      <c r="F457" s="142"/>
      <c r="G457" s="142"/>
      <c r="H457" s="141"/>
      <c r="I457" s="8"/>
    </row>
    <row r="458" spans="2:9" ht="15" hidden="1" customHeight="1" x14ac:dyDescent="0.25">
      <c r="B458" s="7"/>
      <c r="C458" s="140">
        <v>430</v>
      </c>
      <c r="D458" s="142"/>
      <c r="E458" s="142"/>
      <c r="F458" s="142"/>
      <c r="G458" s="142"/>
      <c r="H458" s="141"/>
      <c r="I458" s="8"/>
    </row>
    <row r="459" spans="2:9" ht="15" hidden="1" customHeight="1" x14ac:dyDescent="0.25">
      <c r="B459" s="7"/>
      <c r="C459" s="140">
        <v>431</v>
      </c>
      <c r="D459" s="142"/>
      <c r="E459" s="142"/>
      <c r="F459" s="142"/>
      <c r="G459" s="142"/>
      <c r="H459" s="141"/>
      <c r="I459" s="8"/>
    </row>
    <row r="460" spans="2:9" ht="15" hidden="1" customHeight="1" x14ac:dyDescent="0.25">
      <c r="B460" s="7"/>
      <c r="C460" s="140">
        <v>432</v>
      </c>
      <c r="D460" s="142"/>
      <c r="E460" s="142"/>
      <c r="F460" s="142"/>
      <c r="G460" s="142"/>
      <c r="H460" s="141"/>
      <c r="I460" s="8"/>
    </row>
    <row r="461" spans="2:9" ht="15" hidden="1" customHeight="1" x14ac:dyDescent="0.25">
      <c r="B461" s="7"/>
      <c r="C461" s="140">
        <v>433</v>
      </c>
      <c r="D461" s="142"/>
      <c r="E461" s="142"/>
      <c r="F461" s="142"/>
      <c r="G461" s="142"/>
      <c r="H461" s="141"/>
      <c r="I461" s="8"/>
    </row>
    <row r="462" spans="2:9" ht="15" hidden="1" customHeight="1" x14ac:dyDescent="0.25">
      <c r="B462" s="7"/>
      <c r="C462" s="140">
        <v>434</v>
      </c>
      <c r="D462" s="142"/>
      <c r="E462" s="142"/>
      <c r="F462" s="142"/>
      <c r="G462" s="142"/>
      <c r="H462" s="141"/>
      <c r="I462" s="8"/>
    </row>
    <row r="463" spans="2:9" ht="15" hidden="1" customHeight="1" x14ac:dyDescent="0.25">
      <c r="B463" s="7"/>
      <c r="C463" s="140">
        <v>435</v>
      </c>
      <c r="D463" s="142"/>
      <c r="E463" s="142"/>
      <c r="F463" s="142"/>
      <c r="G463" s="142"/>
      <c r="H463" s="141"/>
      <c r="I463" s="8"/>
    </row>
    <row r="464" spans="2:9" ht="15" hidden="1" customHeight="1" x14ac:dyDescent="0.25">
      <c r="B464" s="7"/>
      <c r="C464" s="140">
        <v>436</v>
      </c>
      <c r="D464" s="142"/>
      <c r="E464" s="142"/>
      <c r="F464" s="142"/>
      <c r="G464" s="142"/>
      <c r="H464" s="141"/>
      <c r="I464" s="8"/>
    </row>
    <row r="465" spans="2:9" ht="15" hidden="1" customHeight="1" x14ac:dyDescent="0.25">
      <c r="B465" s="7"/>
      <c r="C465" s="140">
        <v>437</v>
      </c>
      <c r="D465" s="142"/>
      <c r="E465" s="142"/>
      <c r="F465" s="142"/>
      <c r="G465" s="142"/>
      <c r="H465" s="141"/>
      <c r="I465" s="8"/>
    </row>
    <row r="466" spans="2:9" ht="15" hidden="1" customHeight="1" x14ac:dyDescent="0.25">
      <c r="B466" s="7"/>
      <c r="C466" s="140">
        <v>438</v>
      </c>
      <c r="D466" s="142"/>
      <c r="E466" s="142"/>
      <c r="F466" s="142"/>
      <c r="G466" s="142"/>
      <c r="H466" s="141"/>
      <c r="I466" s="8"/>
    </row>
    <row r="467" spans="2:9" ht="15" hidden="1" customHeight="1" x14ac:dyDescent="0.25">
      <c r="B467" s="7"/>
      <c r="C467" s="140">
        <v>439</v>
      </c>
      <c r="D467" s="142"/>
      <c r="E467" s="142"/>
      <c r="F467" s="142"/>
      <c r="G467" s="142"/>
      <c r="H467" s="141"/>
      <c r="I467" s="8"/>
    </row>
    <row r="468" spans="2:9" ht="15" hidden="1" customHeight="1" x14ac:dyDescent="0.25">
      <c r="B468" s="7"/>
      <c r="C468" s="140">
        <v>440</v>
      </c>
      <c r="D468" s="142"/>
      <c r="E468" s="142"/>
      <c r="F468" s="142"/>
      <c r="G468" s="142"/>
      <c r="H468" s="141"/>
      <c r="I468" s="8"/>
    </row>
    <row r="469" spans="2:9" ht="15" hidden="1" customHeight="1" x14ac:dyDescent="0.25">
      <c r="B469" s="7"/>
      <c r="C469" s="140">
        <v>441</v>
      </c>
      <c r="D469" s="142"/>
      <c r="E469" s="142"/>
      <c r="F469" s="142"/>
      <c r="G469" s="142"/>
      <c r="H469" s="141"/>
      <c r="I469" s="8"/>
    </row>
    <row r="470" spans="2:9" ht="15" hidden="1" customHeight="1" x14ac:dyDescent="0.25">
      <c r="B470" s="7"/>
      <c r="C470" s="140">
        <v>442</v>
      </c>
      <c r="D470" s="142"/>
      <c r="E470" s="142"/>
      <c r="F470" s="142"/>
      <c r="G470" s="142"/>
      <c r="H470" s="141"/>
      <c r="I470" s="8"/>
    </row>
    <row r="471" spans="2:9" ht="15" hidden="1" customHeight="1" x14ac:dyDescent="0.25">
      <c r="B471" s="7"/>
      <c r="C471" s="140">
        <v>443</v>
      </c>
      <c r="D471" s="142"/>
      <c r="E471" s="142"/>
      <c r="F471" s="142"/>
      <c r="G471" s="142"/>
      <c r="H471" s="141"/>
      <c r="I471" s="8"/>
    </row>
    <row r="472" spans="2:9" ht="15" hidden="1" customHeight="1" x14ac:dyDescent="0.25">
      <c r="B472" s="7"/>
      <c r="C472" s="140">
        <v>444</v>
      </c>
      <c r="D472" s="142"/>
      <c r="E472" s="142"/>
      <c r="F472" s="142"/>
      <c r="G472" s="142"/>
      <c r="H472" s="141"/>
      <c r="I472" s="8"/>
    </row>
    <row r="473" spans="2:9" ht="15" hidden="1" customHeight="1" x14ac:dyDescent="0.25">
      <c r="B473" s="7"/>
      <c r="C473" s="140">
        <v>445</v>
      </c>
      <c r="D473" s="142"/>
      <c r="E473" s="142"/>
      <c r="F473" s="142"/>
      <c r="G473" s="142"/>
      <c r="H473" s="141"/>
      <c r="I473" s="8"/>
    </row>
    <row r="474" spans="2:9" ht="15" hidden="1" customHeight="1" x14ac:dyDescent="0.25">
      <c r="B474" s="7"/>
      <c r="C474" s="140">
        <v>446</v>
      </c>
      <c r="D474" s="142"/>
      <c r="E474" s="142"/>
      <c r="F474" s="142"/>
      <c r="G474" s="142"/>
      <c r="H474" s="141"/>
      <c r="I474" s="8"/>
    </row>
    <row r="475" spans="2:9" ht="15" hidden="1" customHeight="1" x14ac:dyDescent="0.25">
      <c r="B475" s="7"/>
      <c r="C475" s="140">
        <v>447</v>
      </c>
      <c r="D475" s="142"/>
      <c r="E475" s="142"/>
      <c r="F475" s="142"/>
      <c r="G475" s="142"/>
      <c r="H475" s="141"/>
      <c r="I475" s="8"/>
    </row>
    <row r="476" spans="2:9" ht="15" hidden="1" customHeight="1" x14ac:dyDescent="0.25">
      <c r="B476" s="7"/>
      <c r="C476" s="140">
        <v>448</v>
      </c>
      <c r="D476" s="142"/>
      <c r="E476" s="142"/>
      <c r="F476" s="142"/>
      <c r="G476" s="142"/>
      <c r="H476" s="141"/>
      <c r="I476" s="8"/>
    </row>
    <row r="477" spans="2:9" ht="15" hidden="1" customHeight="1" x14ac:dyDescent="0.25">
      <c r="B477" s="7"/>
      <c r="C477" s="140">
        <v>449</v>
      </c>
      <c r="D477" s="142"/>
      <c r="E477" s="142"/>
      <c r="F477" s="142"/>
      <c r="G477" s="142"/>
      <c r="H477" s="141"/>
      <c r="I477" s="8"/>
    </row>
    <row r="478" spans="2:9" ht="15" hidden="1" customHeight="1" x14ac:dyDescent="0.25">
      <c r="B478" s="7"/>
      <c r="C478" s="140">
        <v>450</v>
      </c>
      <c r="D478" s="142"/>
      <c r="E478" s="142"/>
      <c r="F478" s="142"/>
      <c r="G478" s="142"/>
      <c r="H478" s="141"/>
      <c r="I478" s="8"/>
    </row>
    <row r="479" spans="2:9" ht="15" hidden="1" customHeight="1" x14ac:dyDescent="0.25">
      <c r="B479" s="7"/>
      <c r="C479" s="140">
        <v>451</v>
      </c>
      <c r="D479" s="142"/>
      <c r="E479" s="142"/>
      <c r="F479" s="142"/>
      <c r="G479" s="142"/>
      <c r="H479" s="141"/>
      <c r="I479" s="8"/>
    </row>
    <row r="480" spans="2:9" ht="15" hidden="1" customHeight="1" x14ac:dyDescent="0.25">
      <c r="B480" s="7"/>
      <c r="C480" s="140">
        <v>452</v>
      </c>
      <c r="D480" s="142"/>
      <c r="E480" s="142"/>
      <c r="F480" s="142"/>
      <c r="G480" s="142"/>
      <c r="H480" s="141"/>
      <c r="I480" s="8"/>
    </row>
    <row r="481" spans="2:9" ht="15" hidden="1" customHeight="1" x14ac:dyDescent="0.25">
      <c r="B481" s="7"/>
      <c r="C481" s="140">
        <v>453</v>
      </c>
      <c r="D481" s="142"/>
      <c r="E481" s="142"/>
      <c r="F481" s="142"/>
      <c r="G481" s="142"/>
      <c r="H481" s="141"/>
      <c r="I481" s="8"/>
    </row>
    <row r="482" spans="2:9" ht="15" hidden="1" customHeight="1" x14ac:dyDescent="0.25">
      <c r="B482" s="7"/>
      <c r="C482" s="140">
        <v>454</v>
      </c>
      <c r="D482" s="142"/>
      <c r="E482" s="142"/>
      <c r="F482" s="142"/>
      <c r="G482" s="142"/>
      <c r="H482" s="141"/>
      <c r="I482" s="8"/>
    </row>
    <row r="483" spans="2:9" ht="15" hidden="1" customHeight="1" x14ac:dyDescent="0.25">
      <c r="B483" s="7"/>
      <c r="C483" s="140">
        <v>455</v>
      </c>
      <c r="D483" s="142"/>
      <c r="E483" s="142"/>
      <c r="F483" s="142"/>
      <c r="G483" s="142"/>
      <c r="H483" s="141"/>
      <c r="I483" s="8"/>
    </row>
    <row r="484" spans="2:9" ht="15" hidden="1" customHeight="1" x14ac:dyDescent="0.25">
      <c r="B484" s="7"/>
      <c r="C484" s="140">
        <v>456</v>
      </c>
      <c r="D484" s="142"/>
      <c r="E484" s="142"/>
      <c r="F484" s="142"/>
      <c r="G484" s="142"/>
      <c r="H484" s="141"/>
      <c r="I484" s="8"/>
    </row>
    <row r="485" spans="2:9" ht="15" hidden="1" customHeight="1" x14ac:dyDescent="0.25">
      <c r="B485" s="7"/>
      <c r="C485" s="140">
        <v>457</v>
      </c>
      <c r="D485" s="142"/>
      <c r="E485" s="142"/>
      <c r="F485" s="142"/>
      <c r="G485" s="142"/>
      <c r="H485" s="141"/>
      <c r="I485" s="8"/>
    </row>
    <row r="486" spans="2:9" ht="15" hidden="1" customHeight="1" x14ac:dyDescent="0.25">
      <c r="B486" s="7"/>
      <c r="C486" s="140">
        <v>458</v>
      </c>
      <c r="D486" s="142"/>
      <c r="E486" s="142"/>
      <c r="F486" s="142"/>
      <c r="G486" s="142"/>
      <c r="H486" s="141"/>
      <c r="I486" s="8"/>
    </row>
    <row r="487" spans="2:9" ht="15" hidden="1" customHeight="1" x14ac:dyDescent="0.25">
      <c r="B487" s="7"/>
      <c r="C487" s="140">
        <v>459</v>
      </c>
      <c r="D487" s="142"/>
      <c r="E487" s="142"/>
      <c r="F487" s="142"/>
      <c r="G487" s="142"/>
      <c r="H487" s="141"/>
      <c r="I487" s="8"/>
    </row>
    <row r="488" spans="2:9" ht="15" hidden="1" customHeight="1" x14ac:dyDescent="0.25">
      <c r="B488" s="7"/>
      <c r="C488" s="140">
        <v>460</v>
      </c>
      <c r="D488" s="142"/>
      <c r="E488" s="142"/>
      <c r="F488" s="142"/>
      <c r="G488" s="142"/>
      <c r="H488" s="141"/>
      <c r="I488" s="8"/>
    </row>
    <row r="489" spans="2:9" ht="15" hidden="1" customHeight="1" x14ac:dyDescent="0.25">
      <c r="B489" s="7"/>
      <c r="C489" s="140">
        <v>461</v>
      </c>
      <c r="D489" s="142"/>
      <c r="E489" s="142"/>
      <c r="F489" s="142"/>
      <c r="G489" s="142"/>
      <c r="H489" s="141"/>
      <c r="I489" s="8"/>
    </row>
    <row r="490" spans="2:9" ht="15" hidden="1" customHeight="1" x14ac:dyDescent="0.25">
      <c r="B490" s="7"/>
      <c r="C490" s="140">
        <v>462</v>
      </c>
      <c r="D490" s="142"/>
      <c r="E490" s="142"/>
      <c r="F490" s="142"/>
      <c r="G490" s="142"/>
      <c r="H490" s="141"/>
      <c r="I490" s="8"/>
    </row>
    <row r="491" spans="2:9" ht="15" hidden="1" customHeight="1" x14ac:dyDescent="0.25">
      <c r="B491" s="7"/>
      <c r="C491" s="140">
        <v>463</v>
      </c>
      <c r="D491" s="142"/>
      <c r="E491" s="142"/>
      <c r="F491" s="142"/>
      <c r="G491" s="142"/>
      <c r="H491" s="141"/>
      <c r="I491" s="8"/>
    </row>
    <row r="492" spans="2:9" ht="15" hidden="1" customHeight="1" x14ac:dyDescent="0.25">
      <c r="B492" s="7"/>
      <c r="C492" s="140">
        <v>464</v>
      </c>
      <c r="D492" s="142"/>
      <c r="E492" s="142"/>
      <c r="F492" s="142"/>
      <c r="G492" s="142"/>
      <c r="H492" s="141"/>
      <c r="I492" s="8"/>
    </row>
    <row r="493" spans="2:9" ht="15" hidden="1" customHeight="1" x14ac:dyDescent="0.25">
      <c r="B493" s="7"/>
      <c r="C493" s="140">
        <v>465</v>
      </c>
      <c r="D493" s="142"/>
      <c r="E493" s="142"/>
      <c r="F493" s="142"/>
      <c r="G493" s="142"/>
      <c r="H493" s="141"/>
      <c r="I493" s="8"/>
    </row>
    <row r="494" spans="2:9" ht="15" hidden="1" customHeight="1" x14ac:dyDescent="0.25">
      <c r="B494" s="7"/>
      <c r="C494" s="140">
        <v>466</v>
      </c>
      <c r="D494" s="142"/>
      <c r="E494" s="142"/>
      <c r="F494" s="142"/>
      <c r="G494" s="142"/>
      <c r="H494" s="141"/>
      <c r="I494" s="8"/>
    </row>
    <row r="495" spans="2:9" ht="15" hidden="1" customHeight="1" x14ac:dyDescent="0.25">
      <c r="B495" s="7"/>
      <c r="C495" s="140">
        <v>467</v>
      </c>
      <c r="D495" s="142"/>
      <c r="E495" s="142"/>
      <c r="F495" s="142"/>
      <c r="G495" s="142"/>
      <c r="H495" s="141"/>
      <c r="I495" s="8"/>
    </row>
    <row r="496" spans="2:9" ht="15" hidden="1" customHeight="1" x14ac:dyDescent="0.25">
      <c r="B496" s="7"/>
      <c r="C496" s="140">
        <v>468</v>
      </c>
      <c r="D496" s="142"/>
      <c r="E496" s="142"/>
      <c r="F496" s="142"/>
      <c r="G496" s="142"/>
      <c r="H496" s="141"/>
      <c r="I496" s="8"/>
    </row>
    <row r="497" spans="2:9" ht="15" hidden="1" customHeight="1" x14ac:dyDescent="0.25">
      <c r="B497" s="7"/>
      <c r="C497" s="140">
        <v>469</v>
      </c>
      <c r="D497" s="142"/>
      <c r="E497" s="142"/>
      <c r="F497" s="142"/>
      <c r="G497" s="142"/>
      <c r="H497" s="141"/>
      <c r="I497" s="8"/>
    </row>
    <row r="498" spans="2:9" ht="15" hidden="1" customHeight="1" x14ac:dyDescent="0.25">
      <c r="B498" s="7"/>
      <c r="C498" s="140">
        <v>470</v>
      </c>
      <c r="D498" s="142"/>
      <c r="E498" s="142"/>
      <c r="F498" s="142"/>
      <c r="G498" s="142"/>
      <c r="H498" s="141"/>
      <c r="I498" s="8"/>
    </row>
    <row r="499" spans="2:9" ht="15" hidden="1" customHeight="1" x14ac:dyDescent="0.25">
      <c r="B499" s="7"/>
      <c r="C499" s="140">
        <v>471</v>
      </c>
      <c r="D499" s="142"/>
      <c r="E499" s="142"/>
      <c r="F499" s="142"/>
      <c r="G499" s="142"/>
      <c r="H499" s="141"/>
      <c r="I499" s="8"/>
    </row>
    <row r="500" spans="2:9" ht="15" hidden="1" customHeight="1" x14ac:dyDescent="0.25">
      <c r="B500" s="7"/>
      <c r="C500" s="140">
        <v>472</v>
      </c>
      <c r="D500" s="142"/>
      <c r="E500" s="142"/>
      <c r="F500" s="142"/>
      <c r="G500" s="142"/>
      <c r="H500" s="141"/>
      <c r="I500" s="8"/>
    </row>
    <row r="501" spans="2:9" ht="15" hidden="1" customHeight="1" x14ac:dyDescent="0.25">
      <c r="B501" s="7"/>
      <c r="C501" s="140">
        <v>473</v>
      </c>
      <c r="D501" s="142"/>
      <c r="E501" s="142"/>
      <c r="F501" s="142"/>
      <c r="G501" s="142"/>
      <c r="H501" s="141"/>
      <c r="I501" s="8"/>
    </row>
    <row r="502" spans="2:9" ht="15" hidden="1" customHeight="1" x14ac:dyDescent="0.25">
      <c r="B502" s="7"/>
      <c r="C502" s="140">
        <v>474</v>
      </c>
      <c r="D502" s="142"/>
      <c r="E502" s="142"/>
      <c r="F502" s="142"/>
      <c r="G502" s="142"/>
      <c r="H502" s="141"/>
      <c r="I502" s="8"/>
    </row>
    <row r="503" spans="2:9" ht="15" hidden="1" customHeight="1" x14ac:dyDescent="0.25">
      <c r="B503" s="7"/>
      <c r="C503" s="140">
        <v>475</v>
      </c>
      <c r="D503" s="142"/>
      <c r="E503" s="142"/>
      <c r="F503" s="142"/>
      <c r="G503" s="142"/>
      <c r="H503" s="141"/>
      <c r="I503" s="8"/>
    </row>
    <row r="504" spans="2:9" ht="15" hidden="1" customHeight="1" x14ac:dyDescent="0.25">
      <c r="B504" s="7"/>
      <c r="C504" s="140">
        <v>476</v>
      </c>
      <c r="D504" s="142"/>
      <c r="E504" s="142"/>
      <c r="F504" s="142"/>
      <c r="G504" s="142"/>
      <c r="H504" s="141"/>
      <c r="I504" s="8"/>
    </row>
    <row r="505" spans="2:9" ht="15" hidden="1" customHeight="1" x14ac:dyDescent="0.25">
      <c r="B505" s="7"/>
      <c r="C505" s="140">
        <v>477</v>
      </c>
      <c r="D505" s="142"/>
      <c r="E505" s="142"/>
      <c r="F505" s="142"/>
      <c r="G505" s="142"/>
      <c r="H505" s="141"/>
      <c r="I505" s="8"/>
    </row>
    <row r="506" spans="2:9" ht="15" hidden="1" customHeight="1" x14ac:dyDescent="0.25">
      <c r="B506" s="7"/>
      <c r="C506" s="140">
        <v>478</v>
      </c>
      <c r="D506" s="142"/>
      <c r="E506" s="142"/>
      <c r="F506" s="142"/>
      <c r="G506" s="142"/>
      <c r="H506" s="141"/>
      <c r="I506" s="8"/>
    </row>
    <row r="507" spans="2:9" ht="15" hidden="1" customHeight="1" x14ac:dyDescent="0.25">
      <c r="B507" s="7"/>
      <c r="C507" s="140">
        <v>479</v>
      </c>
      <c r="D507" s="142"/>
      <c r="E507" s="142"/>
      <c r="F507" s="142"/>
      <c r="G507" s="142"/>
      <c r="H507" s="141"/>
      <c r="I507" s="8"/>
    </row>
    <row r="508" spans="2:9" ht="15" hidden="1" customHeight="1" x14ac:dyDescent="0.25">
      <c r="B508" s="7"/>
      <c r="C508" s="140">
        <v>480</v>
      </c>
      <c r="D508" s="142"/>
      <c r="E508" s="142"/>
      <c r="F508" s="142"/>
      <c r="G508" s="142"/>
      <c r="H508" s="141"/>
      <c r="I508" s="8"/>
    </row>
    <row r="509" spans="2:9" ht="15" hidden="1" customHeight="1" x14ac:dyDescent="0.25">
      <c r="B509" s="7"/>
      <c r="C509" s="140">
        <v>481</v>
      </c>
      <c r="D509" s="142"/>
      <c r="E509" s="142"/>
      <c r="F509" s="142"/>
      <c r="G509" s="142"/>
      <c r="H509" s="141"/>
      <c r="I509" s="8"/>
    </row>
    <row r="510" spans="2:9" ht="15" hidden="1" customHeight="1" x14ac:dyDescent="0.25">
      <c r="B510" s="7"/>
      <c r="C510" s="140">
        <v>482</v>
      </c>
      <c r="D510" s="142"/>
      <c r="E510" s="142"/>
      <c r="F510" s="142"/>
      <c r="G510" s="142"/>
      <c r="H510" s="141"/>
      <c r="I510" s="8"/>
    </row>
    <row r="511" spans="2:9" ht="15" hidden="1" customHeight="1" x14ac:dyDescent="0.25">
      <c r="B511" s="7"/>
      <c r="C511" s="140">
        <v>483</v>
      </c>
      <c r="D511" s="142"/>
      <c r="E511" s="142"/>
      <c r="F511" s="142"/>
      <c r="G511" s="142"/>
      <c r="H511" s="141"/>
      <c r="I511" s="8"/>
    </row>
    <row r="512" spans="2:9" ht="15" hidden="1" customHeight="1" x14ac:dyDescent="0.25">
      <c r="B512" s="7"/>
      <c r="C512" s="140">
        <v>484</v>
      </c>
      <c r="D512" s="142"/>
      <c r="E512" s="142"/>
      <c r="F512" s="142"/>
      <c r="G512" s="142"/>
      <c r="H512" s="141"/>
      <c r="I512" s="8"/>
    </row>
    <row r="513" spans="2:9" ht="15" hidden="1" customHeight="1" x14ac:dyDescent="0.25">
      <c r="B513" s="7"/>
      <c r="C513" s="140">
        <v>485</v>
      </c>
      <c r="D513" s="142"/>
      <c r="E513" s="142"/>
      <c r="F513" s="142"/>
      <c r="G513" s="142"/>
      <c r="H513" s="141"/>
      <c r="I513" s="8"/>
    </row>
    <row r="514" spans="2:9" ht="15" hidden="1" customHeight="1" x14ac:dyDescent="0.25">
      <c r="B514" s="7"/>
      <c r="C514" s="140">
        <v>486</v>
      </c>
      <c r="D514" s="142"/>
      <c r="E514" s="142"/>
      <c r="F514" s="142"/>
      <c r="G514" s="142"/>
      <c r="H514" s="141"/>
      <c r="I514" s="8"/>
    </row>
    <row r="515" spans="2:9" ht="15" hidden="1" customHeight="1" x14ac:dyDescent="0.25">
      <c r="B515" s="7"/>
      <c r="C515" s="140">
        <v>487</v>
      </c>
      <c r="D515" s="142"/>
      <c r="E515" s="142"/>
      <c r="F515" s="142"/>
      <c r="G515" s="142"/>
      <c r="H515" s="141"/>
      <c r="I515" s="8"/>
    </row>
    <row r="516" spans="2:9" ht="15" hidden="1" customHeight="1" x14ac:dyDescent="0.25">
      <c r="B516" s="7"/>
      <c r="C516" s="140">
        <v>488</v>
      </c>
      <c r="D516" s="142"/>
      <c r="E516" s="142"/>
      <c r="F516" s="142"/>
      <c r="G516" s="142"/>
      <c r="H516" s="141"/>
      <c r="I516" s="8"/>
    </row>
    <row r="517" spans="2:9" ht="15" hidden="1" customHeight="1" x14ac:dyDescent="0.25">
      <c r="B517" s="7"/>
      <c r="C517" s="140">
        <v>489</v>
      </c>
      <c r="D517" s="142"/>
      <c r="E517" s="142"/>
      <c r="F517" s="142"/>
      <c r="G517" s="142"/>
      <c r="H517" s="141"/>
      <c r="I517" s="8"/>
    </row>
    <row r="518" spans="2:9" ht="15" hidden="1" customHeight="1" x14ac:dyDescent="0.25">
      <c r="B518" s="7"/>
      <c r="C518" s="140">
        <v>490</v>
      </c>
      <c r="D518" s="142"/>
      <c r="E518" s="142"/>
      <c r="F518" s="142"/>
      <c r="G518" s="142"/>
      <c r="H518" s="141"/>
      <c r="I518" s="8"/>
    </row>
    <row r="519" spans="2:9" ht="15" hidden="1" customHeight="1" x14ac:dyDescent="0.25">
      <c r="B519" s="7"/>
      <c r="C519" s="140">
        <v>491</v>
      </c>
      <c r="D519" s="142"/>
      <c r="E519" s="142"/>
      <c r="F519" s="142"/>
      <c r="G519" s="142"/>
      <c r="H519" s="141"/>
      <c r="I519" s="8"/>
    </row>
    <row r="520" spans="2:9" ht="15" hidden="1" customHeight="1" x14ac:dyDescent="0.25">
      <c r="B520" s="7"/>
      <c r="C520" s="140">
        <v>492</v>
      </c>
      <c r="D520" s="142"/>
      <c r="E520" s="142"/>
      <c r="F520" s="142"/>
      <c r="G520" s="142"/>
      <c r="H520" s="141"/>
      <c r="I520" s="8"/>
    </row>
    <row r="521" spans="2:9" ht="15" hidden="1" customHeight="1" x14ac:dyDescent="0.25">
      <c r="B521" s="7"/>
      <c r="C521" s="140">
        <v>493</v>
      </c>
      <c r="D521" s="142"/>
      <c r="E521" s="142"/>
      <c r="F521" s="142"/>
      <c r="G521" s="142"/>
      <c r="H521" s="141"/>
      <c r="I521" s="8"/>
    </row>
    <row r="522" spans="2:9" ht="15" hidden="1" customHeight="1" x14ac:dyDescent="0.25">
      <c r="B522" s="7"/>
      <c r="C522" s="140">
        <v>494</v>
      </c>
      <c r="D522" s="142"/>
      <c r="E522" s="142"/>
      <c r="F522" s="142"/>
      <c r="G522" s="142"/>
      <c r="H522" s="141"/>
      <c r="I522" s="8"/>
    </row>
    <row r="523" spans="2:9" ht="15" hidden="1" customHeight="1" x14ac:dyDescent="0.25">
      <c r="B523" s="7"/>
      <c r="C523" s="140">
        <v>495</v>
      </c>
      <c r="D523" s="142"/>
      <c r="E523" s="142"/>
      <c r="F523" s="142"/>
      <c r="G523" s="142"/>
      <c r="H523" s="141"/>
      <c r="I523" s="8"/>
    </row>
    <row r="524" spans="2:9" ht="15" hidden="1" customHeight="1" x14ac:dyDescent="0.25">
      <c r="B524" s="7"/>
      <c r="C524" s="140">
        <v>496</v>
      </c>
      <c r="D524" s="142"/>
      <c r="E524" s="142"/>
      <c r="F524" s="142"/>
      <c r="G524" s="142"/>
      <c r="H524" s="141"/>
      <c r="I524" s="8"/>
    </row>
    <row r="525" spans="2:9" ht="15" hidden="1" customHeight="1" x14ac:dyDescent="0.25">
      <c r="B525" s="7"/>
      <c r="C525" s="140">
        <v>497</v>
      </c>
      <c r="D525" s="142"/>
      <c r="E525" s="142"/>
      <c r="F525" s="142"/>
      <c r="G525" s="142"/>
      <c r="H525" s="141"/>
      <c r="I525" s="8"/>
    </row>
    <row r="526" spans="2:9" ht="15" hidden="1" customHeight="1" x14ac:dyDescent="0.25">
      <c r="B526" s="7"/>
      <c r="C526" s="140">
        <v>498</v>
      </c>
      <c r="D526" s="142"/>
      <c r="E526" s="142"/>
      <c r="F526" s="142"/>
      <c r="G526" s="142"/>
      <c r="H526" s="141"/>
      <c r="I526" s="8"/>
    </row>
    <row r="527" spans="2:9" ht="15" hidden="1" customHeight="1" x14ac:dyDescent="0.25">
      <c r="B527" s="7"/>
      <c r="C527" s="140">
        <v>499</v>
      </c>
      <c r="D527" s="142"/>
      <c r="E527" s="142"/>
      <c r="F527" s="142"/>
      <c r="G527" s="142"/>
      <c r="H527" s="141"/>
      <c r="I527" s="8"/>
    </row>
    <row r="528" spans="2:9" ht="15" hidden="1" customHeight="1" x14ac:dyDescent="0.25">
      <c r="B528" s="7"/>
      <c r="C528" s="140">
        <v>500</v>
      </c>
      <c r="D528" s="142"/>
      <c r="E528" s="142"/>
      <c r="F528" s="142"/>
      <c r="G528" s="142"/>
      <c r="H528" s="141"/>
      <c r="I528" s="8"/>
    </row>
    <row r="529" spans="2:9" ht="15" hidden="1" customHeight="1" x14ac:dyDescent="0.25">
      <c r="B529" s="7"/>
      <c r="C529" s="140">
        <v>501</v>
      </c>
      <c r="D529" s="142"/>
      <c r="E529" s="142"/>
      <c r="F529" s="142"/>
      <c r="G529" s="142"/>
      <c r="H529" s="141"/>
      <c r="I529" s="8"/>
    </row>
    <row r="530" spans="2:9" ht="15" hidden="1" customHeight="1" x14ac:dyDescent="0.25">
      <c r="B530" s="7"/>
      <c r="C530" s="140">
        <v>502</v>
      </c>
      <c r="D530" s="142"/>
      <c r="E530" s="142"/>
      <c r="F530" s="142"/>
      <c r="G530" s="142"/>
      <c r="H530" s="141"/>
      <c r="I530" s="8"/>
    </row>
    <row r="531" spans="2:9" ht="15" hidden="1" customHeight="1" x14ac:dyDescent="0.25">
      <c r="B531" s="7"/>
      <c r="C531" s="140">
        <v>503</v>
      </c>
      <c r="D531" s="142"/>
      <c r="E531" s="142"/>
      <c r="F531" s="142"/>
      <c r="G531" s="142"/>
      <c r="H531" s="141"/>
      <c r="I531" s="8"/>
    </row>
    <row r="532" spans="2:9" ht="15" hidden="1" customHeight="1" x14ac:dyDescent="0.25">
      <c r="B532" s="7"/>
      <c r="C532" s="140">
        <v>504</v>
      </c>
      <c r="D532" s="142"/>
      <c r="E532" s="142"/>
      <c r="F532" s="142"/>
      <c r="G532" s="142"/>
      <c r="H532" s="141"/>
      <c r="I532" s="8"/>
    </row>
    <row r="533" spans="2:9" ht="15" hidden="1" customHeight="1" x14ac:dyDescent="0.25">
      <c r="B533" s="7"/>
      <c r="C533" s="140">
        <v>505</v>
      </c>
      <c r="D533" s="142"/>
      <c r="E533" s="142"/>
      <c r="F533" s="142"/>
      <c r="G533" s="142"/>
      <c r="H533" s="141"/>
      <c r="I533" s="8"/>
    </row>
    <row r="534" spans="2:9" ht="15" hidden="1" customHeight="1" x14ac:dyDescent="0.25">
      <c r="B534" s="7"/>
      <c r="C534" s="140">
        <v>506</v>
      </c>
      <c r="D534" s="142"/>
      <c r="E534" s="142"/>
      <c r="F534" s="142"/>
      <c r="G534" s="142"/>
      <c r="H534" s="141"/>
      <c r="I534" s="8"/>
    </row>
    <row r="535" spans="2:9" ht="15" hidden="1" customHeight="1" x14ac:dyDescent="0.25">
      <c r="B535" s="7"/>
      <c r="C535" s="140">
        <v>507</v>
      </c>
      <c r="D535" s="142"/>
      <c r="E535" s="142"/>
      <c r="F535" s="142"/>
      <c r="G535" s="142"/>
      <c r="H535" s="141"/>
      <c r="I535" s="8"/>
    </row>
    <row r="536" spans="2:9" ht="15" hidden="1" customHeight="1" x14ac:dyDescent="0.25">
      <c r="B536" s="7"/>
      <c r="C536" s="140">
        <v>508</v>
      </c>
      <c r="D536" s="142"/>
      <c r="E536" s="142"/>
      <c r="F536" s="142"/>
      <c r="G536" s="142"/>
      <c r="H536" s="141"/>
      <c r="I536" s="8"/>
    </row>
    <row r="537" spans="2:9" ht="15" hidden="1" customHeight="1" x14ac:dyDescent="0.25">
      <c r="B537" s="7"/>
      <c r="C537" s="140">
        <v>509</v>
      </c>
      <c r="D537" s="142"/>
      <c r="E537" s="142"/>
      <c r="F537" s="142"/>
      <c r="G537" s="142"/>
      <c r="H537" s="141"/>
      <c r="I537" s="8"/>
    </row>
    <row r="538" spans="2:9" ht="15" hidden="1" customHeight="1" x14ac:dyDescent="0.25">
      <c r="B538" s="7"/>
      <c r="C538" s="140">
        <v>510</v>
      </c>
      <c r="D538" s="142"/>
      <c r="E538" s="142"/>
      <c r="F538" s="142"/>
      <c r="G538" s="142"/>
      <c r="H538" s="141"/>
      <c r="I538" s="8"/>
    </row>
    <row r="539" spans="2:9" ht="15" hidden="1" customHeight="1" x14ac:dyDescent="0.25">
      <c r="B539" s="7"/>
      <c r="C539" s="140">
        <v>511</v>
      </c>
      <c r="D539" s="142"/>
      <c r="E539" s="142"/>
      <c r="F539" s="142"/>
      <c r="G539" s="142"/>
      <c r="H539" s="141"/>
      <c r="I539" s="8"/>
    </row>
    <row r="540" spans="2:9" ht="15" hidden="1" customHeight="1" x14ac:dyDescent="0.25">
      <c r="B540" s="7"/>
      <c r="C540" s="140">
        <v>512</v>
      </c>
      <c r="D540" s="142"/>
      <c r="E540" s="142"/>
      <c r="F540" s="142"/>
      <c r="G540" s="142"/>
      <c r="H540" s="141"/>
      <c r="I540" s="8"/>
    </row>
    <row r="541" spans="2:9" ht="15" hidden="1" customHeight="1" x14ac:dyDescent="0.25">
      <c r="B541" s="7"/>
      <c r="C541" s="140">
        <v>513</v>
      </c>
      <c r="D541" s="142"/>
      <c r="E541" s="142"/>
      <c r="F541" s="142"/>
      <c r="G541" s="142"/>
      <c r="H541" s="141"/>
      <c r="I541" s="8"/>
    </row>
    <row r="542" spans="2:9" ht="15" hidden="1" customHeight="1" x14ac:dyDescent="0.25">
      <c r="B542" s="7"/>
      <c r="C542" s="140">
        <v>514</v>
      </c>
      <c r="D542" s="142"/>
      <c r="E542" s="142"/>
      <c r="F542" s="142"/>
      <c r="G542" s="142"/>
      <c r="H542" s="141"/>
      <c r="I542" s="8"/>
    </row>
    <row r="543" spans="2:9" ht="15" hidden="1" customHeight="1" x14ac:dyDescent="0.25">
      <c r="B543" s="7"/>
      <c r="C543" s="140">
        <v>515</v>
      </c>
      <c r="D543" s="142"/>
      <c r="E543" s="142"/>
      <c r="F543" s="142"/>
      <c r="G543" s="142"/>
      <c r="H543" s="141"/>
      <c r="I543" s="8"/>
    </row>
    <row r="544" spans="2:9" ht="15" hidden="1" customHeight="1" x14ac:dyDescent="0.25">
      <c r="B544" s="7"/>
      <c r="C544" s="140">
        <v>516</v>
      </c>
      <c r="D544" s="142"/>
      <c r="E544" s="142"/>
      <c r="F544" s="142"/>
      <c r="G544" s="142"/>
      <c r="H544" s="141"/>
      <c r="I544" s="8"/>
    </row>
    <row r="545" spans="2:9" ht="15" hidden="1" customHeight="1" x14ac:dyDescent="0.25">
      <c r="B545" s="7"/>
      <c r="C545" s="140">
        <v>517</v>
      </c>
      <c r="D545" s="142"/>
      <c r="E545" s="142"/>
      <c r="F545" s="142"/>
      <c r="G545" s="142"/>
      <c r="H545" s="141"/>
      <c r="I545" s="8"/>
    </row>
    <row r="546" spans="2:9" ht="15" hidden="1" customHeight="1" x14ac:dyDescent="0.25">
      <c r="B546" s="7"/>
      <c r="C546" s="140">
        <v>518</v>
      </c>
      <c r="D546" s="142"/>
      <c r="E546" s="142"/>
      <c r="F546" s="142"/>
      <c r="G546" s="142"/>
      <c r="H546" s="141"/>
      <c r="I546" s="8"/>
    </row>
    <row r="547" spans="2:9" ht="15" hidden="1" customHeight="1" x14ac:dyDescent="0.25">
      <c r="B547" s="7"/>
      <c r="C547" s="140">
        <v>519</v>
      </c>
      <c r="D547" s="142"/>
      <c r="E547" s="142"/>
      <c r="F547" s="142"/>
      <c r="G547" s="142"/>
      <c r="H547" s="141"/>
      <c r="I547" s="8"/>
    </row>
    <row r="548" spans="2:9" ht="15" hidden="1" customHeight="1" x14ac:dyDescent="0.25">
      <c r="B548" s="7"/>
      <c r="C548" s="140">
        <v>520</v>
      </c>
      <c r="D548" s="142"/>
      <c r="E548" s="142"/>
      <c r="F548" s="142"/>
      <c r="G548" s="142"/>
      <c r="H548" s="141"/>
      <c r="I548" s="8"/>
    </row>
    <row r="549" spans="2:9" ht="15" hidden="1" customHeight="1" x14ac:dyDescent="0.25">
      <c r="B549" s="7"/>
      <c r="C549" s="140">
        <v>521</v>
      </c>
      <c r="D549" s="142"/>
      <c r="E549" s="142"/>
      <c r="F549" s="142"/>
      <c r="G549" s="142"/>
      <c r="H549" s="141"/>
      <c r="I549" s="8"/>
    </row>
    <row r="550" spans="2:9" ht="15" hidden="1" customHeight="1" x14ac:dyDescent="0.25">
      <c r="B550" s="7"/>
      <c r="C550" s="140">
        <v>522</v>
      </c>
      <c r="D550" s="142"/>
      <c r="E550" s="142"/>
      <c r="F550" s="142"/>
      <c r="G550" s="142"/>
      <c r="H550" s="141"/>
      <c r="I550" s="8"/>
    </row>
    <row r="551" spans="2:9" ht="15" hidden="1" customHeight="1" x14ac:dyDescent="0.25">
      <c r="B551" s="7"/>
      <c r="C551" s="140">
        <v>523</v>
      </c>
      <c r="D551" s="142"/>
      <c r="E551" s="142"/>
      <c r="F551" s="142"/>
      <c r="G551" s="142"/>
      <c r="H551" s="141"/>
      <c r="I551" s="8"/>
    </row>
    <row r="552" spans="2:9" ht="15" hidden="1" customHeight="1" x14ac:dyDescent="0.25">
      <c r="B552" s="7"/>
      <c r="C552" s="140">
        <v>524</v>
      </c>
      <c r="D552" s="142"/>
      <c r="E552" s="142"/>
      <c r="F552" s="142"/>
      <c r="G552" s="142"/>
      <c r="H552" s="141"/>
      <c r="I552" s="8"/>
    </row>
    <row r="553" spans="2:9" ht="15" hidden="1" customHeight="1" x14ac:dyDescent="0.25">
      <c r="B553" s="7"/>
      <c r="C553" s="140">
        <v>525</v>
      </c>
      <c r="D553" s="142"/>
      <c r="E553" s="142"/>
      <c r="F553" s="142"/>
      <c r="G553" s="142"/>
      <c r="H553" s="141"/>
      <c r="I553" s="8"/>
    </row>
    <row r="554" spans="2:9" ht="15" hidden="1" customHeight="1" x14ac:dyDescent="0.25">
      <c r="B554" s="7"/>
      <c r="C554" s="140">
        <v>526</v>
      </c>
      <c r="D554" s="142"/>
      <c r="E554" s="142"/>
      <c r="F554" s="142"/>
      <c r="G554" s="142"/>
      <c r="H554" s="141"/>
      <c r="I554" s="8"/>
    </row>
    <row r="555" spans="2:9" ht="15" hidden="1" customHeight="1" x14ac:dyDescent="0.25">
      <c r="B555" s="7"/>
      <c r="C555" s="140">
        <v>527</v>
      </c>
      <c r="D555" s="142"/>
      <c r="E555" s="142"/>
      <c r="F555" s="142"/>
      <c r="G555" s="142"/>
      <c r="H555" s="141"/>
      <c r="I555" s="8"/>
    </row>
    <row r="556" spans="2:9" ht="15" hidden="1" customHeight="1" x14ac:dyDescent="0.25">
      <c r="B556" s="7"/>
      <c r="C556" s="140">
        <v>528</v>
      </c>
      <c r="D556" s="142"/>
      <c r="E556" s="142"/>
      <c r="F556" s="142"/>
      <c r="G556" s="142"/>
      <c r="H556" s="141"/>
      <c r="I556" s="8"/>
    </row>
    <row r="557" spans="2:9" ht="15" hidden="1" customHeight="1" x14ac:dyDescent="0.25">
      <c r="B557" s="7"/>
      <c r="C557" s="140">
        <v>529</v>
      </c>
      <c r="D557" s="142"/>
      <c r="E557" s="142"/>
      <c r="F557" s="142"/>
      <c r="G557" s="142"/>
      <c r="H557" s="141"/>
      <c r="I557" s="8"/>
    </row>
    <row r="558" spans="2:9" ht="15" hidden="1" customHeight="1" x14ac:dyDescent="0.25">
      <c r="B558" s="7"/>
      <c r="C558" s="140">
        <v>530</v>
      </c>
      <c r="D558" s="142"/>
      <c r="E558" s="142"/>
      <c r="F558" s="142"/>
      <c r="G558" s="142"/>
      <c r="H558" s="141"/>
      <c r="I558" s="8"/>
    </row>
    <row r="559" spans="2:9" ht="15" hidden="1" customHeight="1" x14ac:dyDescent="0.25">
      <c r="B559" s="7"/>
      <c r="C559" s="140">
        <v>531</v>
      </c>
      <c r="D559" s="142"/>
      <c r="E559" s="142"/>
      <c r="F559" s="142"/>
      <c r="G559" s="142"/>
      <c r="H559" s="141"/>
      <c r="I559" s="8"/>
    </row>
    <row r="560" spans="2:9" ht="15" hidden="1" customHeight="1" x14ac:dyDescent="0.25">
      <c r="B560" s="7"/>
      <c r="C560" s="140">
        <v>532</v>
      </c>
      <c r="D560" s="142"/>
      <c r="E560" s="142"/>
      <c r="F560" s="142"/>
      <c r="G560" s="142"/>
      <c r="H560" s="141"/>
      <c r="I560" s="8"/>
    </row>
    <row r="561" spans="2:9" ht="15" hidden="1" customHeight="1" x14ac:dyDescent="0.25">
      <c r="B561" s="7"/>
      <c r="C561" s="140">
        <v>533</v>
      </c>
      <c r="D561" s="142"/>
      <c r="E561" s="142"/>
      <c r="F561" s="142"/>
      <c r="G561" s="142"/>
      <c r="H561" s="141"/>
      <c r="I561" s="8"/>
    </row>
    <row r="562" spans="2:9" ht="15" hidden="1" customHeight="1" x14ac:dyDescent="0.25">
      <c r="B562" s="7"/>
      <c r="C562" s="140">
        <v>534</v>
      </c>
      <c r="D562" s="142"/>
      <c r="E562" s="142"/>
      <c r="F562" s="142"/>
      <c r="G562" s="142"/>
      <c r="H562" s="141"/>
      <c r="I562" s="8"/>
    </row>
    <row r="563" spans="2:9" ht="15" hidden="1" customHeight="1" x14ac:dyDescent="0.25">
      <c r="B563" s="7"/>
      <c r="C563" s="140">
        <v>535</v>
      </c>
      <c r="D563" s="142"/>
      <c r="E563" s="142"/>
      <c r="F563" s="142"/>
      <c r="G563" s="142"/>
      <c r="H563" s="141"/>
      <c r="I563" s="8"/>
    </row>
    <row r="564" spans="2:9" ht="15" hidden="1" customHeight="1" x14ac:dyDescent="0.25">
      <c r="B564" s="7"/>
      <c r="C564" s="140">
        <v>536</v>
      </c>
      <c r="D564" s="142"/>
      <c r="E564" s="142"/>
      <c r="F564" s="142"/>
      <c r="G564" s="142"/>
      <c r="H564" s="141"/>
      <c r="I564" s="8"/>
    </row>
    <row r="565" spans="2:9" ht="15" hidden="1" customHeight="1" x14ac:dyDescent="0.25">
      <c r="B565" s="7"/>
      <c r="C565" s="140">
        <v>537</v>
      </c>
      <c r="D565" s="142"/>
      <c r="E565" s="142"/>
      <c r="F565" s="142"/>
      <c r="G565" s="142"/>
      <c r="H565" s="141"/>
      <c r="I565" s="8"/>
    </row>
    <row r="566" spans="2:9" ht="15" hidden="1" customHeight="1" x14ac:dyDescent="0.25">
      <c r="B566" s="7"/>
      <c r="C566" s="140">
        <v>538</v>
      </c>
      <c r="D566" s="142"/>
      <c r="E566" s="142"/>
      <c r="F566" s="142"/>
      <c r="G566" s="142"/>
      <c r="H566" s="141"/>
      <c r="I566" s="8"/>
    </row>
    <row r="567" spans="2:9" ht="15" hidden="1" customHeight="1" x14ac:dyDescent="0.25">
      <c r="B567" s="7"/>
      <c r="C567" s="140">
        <v>539</v>
      </c>
      <c r="D567" s="142"/>
      <c r="E567" s="142"/>
      <c r="F567" s="142"/>
      <c r="G567" s="142"/>
      <c r="H567" s="141"/>
      <c r="I567" s="8"/>
    </row>
    <row r="568" spans="2:9" ht="15" hidden="1" customHeight="1" x14ac:dyDescent="0.25">
      <c r="B568" s="7"/>
      <c r="C568" s="140">
        <v>540</v>
      </c>
      <c r="D568" s="142"/>
      <c r="E568" s="142"/>
      <c r="F568" s="142"/>
      <c r="G568" s="142"/>
      <c r="H568" s="141"/>
      <c r="I568" s="8"/>
    </row>
    <row r="569" spans="2:9" ht="15" hidden="1" customHeight="1" x14ac:dyDescent="0.25">
      <c r="B569" s="7"/>
      <c r="C569" s="140">
        <v>541</v>
      </c>
      <c r="D569" s="142"/>
      <c r="E569" s="142"/>
      <c r="F569" s="142"/>
      <c r="G569" s="142"/>
      <c r="H569" s="141"/>
      <c r="I569" s="8"/>
    </row>
    <row r="570" spans="2:9" ht="15" hidden="1" customHeight="1" x14ac:dyDescent="0.25">
      <c r="B570" s="7"/>
      <c r="C570" s="140">
        <v>542</v>
      </c>
      <c r="D570" s="142"/>
      <c r="E570" s="142"/>
      <c r="F570" s="142"/>
      <c r="G570" s="142"/>
      <c r="H570" s="141"/>
      <c r="I570" s="8"/>
    </row>
    <row r="571" spans="2:9" ht="15" hidden="1" customHeight="1" x14ac:dyDescent="0.25">
      <c r="B571" s="7"/>
      <c r="C571" s="140">
        <v>543</v>
      </c>
      <c r="D571" s="142"/>
      <c r="E571" s="142"/>
      <c r="F571" s="142"/>
      <c r="G571" s="142"/>
      <c r="H571" s="141"/>
      <c r="I571" s="8"/>
    </row>
    <row r="572" spans="2:9" ht="15" hidden="1" customHeight="1" x14ac:dyDescent="0.25">
      <c r="B572" s="7"/>
      <c r="C572" s="140">
        <v>544</v>
      </c>
      <c r="D572" s="142"/>
      <c r="E572" s="142"/>
      <c r="F572" s="142"/>
      <c r="G572" s="142"/>
      <c r="H572" s="141"/>
      <c r="I572" s="8"/>
    </row>
    <row r="573" spans="2:9" ht="15" hidden="1" customHeight="1" x14ac:dyDescent="0.25">
      <c r="B573" s="7"/>
      <c r="C573" s="140">
        <v>545</v>
      </c>
      <c r="D573" s="142"/>
      <c r="E573" s="142"/>
      <c r="F573" s="142"/>
      <c r="G573" s="142"/>
      <c r="H573" s="141"/>
      <c r="I573" s="8"/>
    </row>
    <row r="574" spans="2:9" ht="15" hidden="1" customHeight="1" x14ac:dyDescent="0.25">
      <c r="B574" s="7"/>
      <c r="C574" s="140">
        <v>546</v>
      </c>
      <c r="D574" s="142"/>
      <c r="E574" s="142"/>
      <c r="F574" s="142"/>
      <c r="G574" s="142"/>
      <c r="H574" s="141"/>
      <c r="I574" s="8"/>
    </row>
    <row r="575" spans="2:9" ht="15" hidden="1" customHeight="1" x14ac:dyDescent="0.25">
      <c r="B575" s="7"/>
      <c r="C575" s="140">
        <v>547</v>
      </c>
      <c r="D575" s="142"/>
      <c r="E575" s="142"/>
      <c r="F575" s="142"/>
      <c r="G575" s="142"/>
      <c r="H575" s="141"/>
      <c r="I575" s="8"/>
    </row>
    <row r="576" spans="2:9" ht="15" hidden="1" customHeight="1" x14ac:dyDescent="0.25">
      <c r="B576" s="7"/>
      <c r="C576" s="140">
        <v>548</v>
      </c>
      <c r="D576" s="142"/>
      <c r="E576" s="142"/>
      <c r="F576" s="142"/>
      <c r="G576" s="142"/>
      <c r="H576" s="141"/>
      <c r="I576" s="8"/>
    </row>
    <row r="577" spans="2:9" ht="15" hidden="1" customHeight="1" x14ac:dyDescent="0.25">
      <c r="B577" s="7"/>
      <c r="C577" s="140">
        <v>549</v>
      </c>
      <c r="D577" s="142"/>
      <c r="E577" s="142"/>
      <c r="F577" s="142"/>
      <c r="G577" s="142"/>
      <c r="H577" s="141"/>
      <c r="I577" s="8"/>
    </row>
    <row r="578" spans="2:9" ht="15" hidden="1" customHeight="1" x14ac:dyDescent="0.25">
      <c r="B578" s="7"/>
      <c r="C578" s="140">
        <v>550</v>
      </c>
      <c r="D578" s="142"/>
      <c r="E578" s="142"/>
      <c r="F578" s="142"/>
      <c r="G578" s="142"/>
      <c r="H578" s="141"/>
      <c r="I578" s="8"/>
    </row>
    <row r="579" spans="2:9" ht="15" hidden="1" customHeight="1" x14ac:dyDescent="0.25">
      <c r="B579" s="7"/>
      <c r="C579" s="140">
        <v>551</v>
      </c>
      <c r="D579" s="142"/>
      <c r="E579" s="142"/>
      <c r="F579" s="142"/>
      <c r="G579" s="142"/>
      <c r="H579" s="141"/>
      <c r="I579" s="8"/>
    </row>
    <row r="580" spans="2:9" ht="15" hidden="1" customHeight="1" x14ac:dyDescent="0.25">
      <c r="B580" s="7"/>
      <c r="C580" s="140">
        <v>552</v>
      </c>
      <c r="D580" s="142"/>
      <c r="E580" s="142"/>
      <c r="F580" s="142"/>
      <c r="G580" s="142"/>
      <c r="H580" s="141"/>
      <c r="I580" s="8"/>
    </row>
    <row r="581" spans="2:9" ht="15" hidden="1" customHeight="1" x14ac:dyDescent="0.25">
      <c r="B581" s="7"/>
      <c r="C581" s="140">
        <v>553</v>
      </c>
      <c r="D581" s="142"/>
      <c r="E581" s="142"/>
      <c r="F581" s="142"/>
      <c r="G581" s="142"/>
      <c r="H581" s="141"/>
      <c r="I581" s="8"/>
    </row>
    <row r="582" spans="2:9" ht="15" hidden="1" customHeight="1" x14ac:dyDescent="0.25">
      <c r="B582" s="7"/>
      <c r="C582" s="140">
        <v>554</v>
      </c>
      <c r="D582" s="142"/>
      <c r="E582" s="142"/>
      <c r="F582" s="142"/>
      <c r="G582" s="142"/>
      <c r="H582" s="141"/>
      <c r="I582" s="8"/>
    </row>
    <row r="583" spans="2:9" ht="15" hidden="1" customHeight="1" x14ac:dyDescent="0.25">
      <c r="B583" s="7"/>
      <c r="C583" s="140">
        <v>555</v>
      </c>
      <c r="D583" s="142"/>
      <c r="E583" s="142"/>
      <c r="F583" s="142"/>
      <c r="G583" s="142"/>
      <c r="H583" s="141"/>
      <c r="I583" s="8"/>
    </row>
    <row r="584" spans="2:9" ht="15" hidden="1" customHeight="1" x14ac:dyDescent="0.25">
      <c r="B584" s="7"/>
      <c r="C584" s="140">
        <v>556</v>
      </c>
      <c r="D584" s="142"/>
      <c r="E584" s="142"/>
      <c r="F584" s="142"/>
      <c r="G584" s="142"/>
      <c r="H584" s="141"/>
      <c r="I584" s="8"/>
    </row>
    <row r="585" spans="2:9" ht="15" hidden="1" customHeight="1" x14ac:dyDescent="0.25">
      <c r="B585" s="7"/>
      <c r="C585" s="140">
        <v>557</v>
      </c>
      <c r="D585" s="142"/>
      <c r="E585" s="142"/>
      <c r="F585" s="142"/>
      <c r="G585" s="142"/>
      <c r="H585" s="141"/>
      <c r="I585" s="8"/>
    </row>
    <row r="586" spans="2:9" ht="15" hidden="1" customHeight="1" x14ac:dyDescent="0.25">
      <c r="B586" s="7"/>
      <c r="C586" s="140">
        <v>558</v>
      </c>
      <c r="D586" s="142"/>
      <c r="E586" s="142"/>
      <c r="F586" s="142"/>
      <c r="G586" s="142"/>
      <c r="H586" s="141"/>
      <c r="I586" s="8"/>
    </row>
    <row r="587" spans="2:9" ht="15" hidden="1" customHeight="1" x14ac:dyDescent="0.25">
      <c r="B587" s="7"/>
      <c r="C587" s="140">
        <v>559</v>
      </c>
      <c r="D587" s="142"/>
      <c r="E587" s="142"/>
      <c r="F587" s="142"/>
      <c r="G587" s="142"/>
      <c r="H587" s="141"/>
      <c r="I587" s="8"/>
    </row>
    <row r="588" spans="2:9" ht="15" hidden="1" customHeight="1" x14ac:dyDescent="0.25">
      <c r="B588" s="7"/>
      <c r="C588" s="140">
        <v>560</v>
      </c>
      <c r="D588" s="142"/>
      <c r="E588" s="142"/>
      <c r="F588" s="142"/>
      <c r="G588" s="142"/>
      <c r="H588" s="141"/>
      <c r="I588" s="8"/>
    </row>
    <row r="589" spans="2:9" ht="15" hidden="1" customHeight="1" x14ac:dyDescent="0.25">
      <c r="B589" s="7"/>
      <c r="C589" s="140">
        <v>561</v>
      </c>
      <c r="D589" s="142"/>
      <c r="E589" s="142"/>
      <c r="F589" s="142"/>
      <c r="G589" s="142"/>
      <c r="H589" s="141"/>
      <c r="I589" s="8"/>
    </row>
    <row r="590" spans="2:9" ht="15" hidden="1" customHeight="1" x14ac:dyDescent="0.25">
      <c r="B590" s="7"/>
      <c r="C590" s="140">
        <v>562</v>
      </c>
      <c r="D590" s="142"/>
      <c r="E590" s="142"/>
      <c r="F590" s="142"/>
      <c r="G590" s="142"/>
      <c r="H590" s="141"/>
      <c r="I590" s="8"/>
    </row>
    <row r="591" spans="2:9" ht="15" hidden="1" customHeight="1" x14ac:dyDescent="0.25">
      <c r="B591" s="7"/>
      <c r="C591" s="140">
        <v>563</v>
      </c>
      <c r="D591" s="142"/>
      <c r="E591" s="142"/>
      <c r="F591" s="142"/>
      <c r="G591" s="142"/>
      <c r="H591" s="141"/>
      <c r="I591" s="8"/>
    </row>
    <row r="592" spans="2:9" ht="15" hidden="1" customHeight="1" x14ac:dyDescent="0.25">
      <c r="B592" s="7"/>
      <c r="C592" s="140">
        <v>564</v>
      </c>
      <c r="D592" s="142"/>
      <c r="E592" s="142"/>
      <c r="F592" s="142"/>
      <c r="G592" s="142"/>
      <c r="H592" s="141"/>
      <c r="I592" s="8"/>
    </row>
    <row r="593" spans="2:9" ht="15" hidden="1" customHeight="1" x14ac:dyDescent="0.25">
      <c r="B593" s="7"/>
      <c r="C593" s="140">
        <v>565</v>
      </c>
      <c r="D593" s="142"/>
      <c r="E593" s="142"/>
      <c r="F593" s="142"/>
      <c r="G593" s="142"/>
      <c r="H593" s="141"/>
      <c r="I593" s="8"/>
    </row>
    <row r="594" spans="2:9" ht="15" hidden="1" customHeight="1" x14ac:dyDescent="0.25">
      <c r="B594" s="7"/>
      <c r="C594" s="140">
        <v>566</v>
      </c>
      <c r="D594" s="142"/>
      <c r="E594" s="142"/>
      <c r="F594" s="142"/>
      <c r="G594" s="142"/>
      <c r="H594" s="141"/>
      <c r="I594" s="8"/>
    </row>
    <row r="595" spans="2:9" ht="15" hidden="1" customHeight="1" x14ac:dyDescent="0.25">
      <c r="B595" s="7"/>
      <c r="C595" s="140">
        <v>567</v>
      </c>
      <c r="D595" s="142"/>
      <c r="E595" s="142"/>
      <c r="F595" s="142"/>
      <c r="G595" s="142"/>
      <c r="H595" s="141"/>
      <c r="I595" s="8"/>
    </row>
    <row r="596" spans="2:9" ht="15" hidden="1" customHeight="1" x14ac:dyDescent="0.25">
      <c r="B596" s="7"/>
      <c r="C596" s="140">
        <v>568</v>
      </c>
      <c r="D596" s="142"/>
      <c r="E596" s="142"/>
      <c r="F596" s="142"/>
      <c r="G596" s="142"/>
      <c r="H596" s="141"/>
      <c r="I596" s="8"/>
    </row>
    <row r="597" spans="2:9" ht="15" hidden="1" customHeight="1" x14ac:dyDescent="0.25">
      <c r="B597" s="7"/>
      <c r="C597" s="140">
        <v>569</v>
      </c>
      <c r="D597" s="142"/>
      <c r="E597" s="142"/>
      <c r="F597" s="142"/>
      <c r="G597" s="142"/>
      <c r="H597" s="141"/>
      <c r="I597" s="8"/>
    </row>
    <row r="598" spans="2:9" ht="15" hidden="1" customHeight="1" x14ac:dyDescent="0.25">
      <c r="B598" s="7"/>
      <c r="C598" s="140">
        <v>570</v>
      </c>
      <c r="D598" s="142"/>
      <c r="E598" s="142"/>
      <c r="F598" s="142"/>
      <c r="G598" s="142"/>
      <c r="H598" s="141"/>
      <c r="I598" s="8"/>
    </row>
    <row r="599" spans="2:9" ht="15" hidden="1" customHeight="1" x14ac:dyDescent="0.25">
      <c r="B599" s="7"/>
      <c r="C599" s="140">
        <v>571</v>
      </c>
      <c r="D599" s="142"/>
      <c r="E599" s="142"/>
      <c r="F599" s="142"/>
      <c r="G599" s="142"/>
      <c r="H599" s="141"/>
      <c r="I599" s="8"/>
    </row>
    <row r="600" spans="2:9" ht="15" hidden="1" customHeight="1" x14ac:dyDescent="0.25">
      <c r="B600" s="7"/>
      <c r="C600" s="140">
        <v>572</v>
      </c>
      <c r="D600" s="142"/>
      <c r="E600" s="142"/>
      <c r="F600" s="142"/>
      <c r="G600" s="142"/>
      <c r="H600" s="141"/>
      <c r="I600" s="8"/>
    </row>
    <row r="601" spans="2:9" ht="15" hidden="1" customHeight="1" x14ac:dyDescent="0.25">
      <c r="B601" s="7"/>
      <c r="C601" s="140">
        <v>573</v>
      </c>
      <c r="D601" s="142"/>
      <c r="E601" s="142"/>
      <c r="F601" s="142"/>
      <c r="G601" s="142"/>
      <c r="H601" s="141"/>
      <c r="I601" s="8"/>
    </row>
    <row r="602" spans="2:9" ht="15" hidden="1" customHeight="1" x14ac:dyDescent="0.25">
      <c r="B602" s="7"/>
      <c r="C602" s="140">
        <v>574</v>
      </c>
      <c r="D602" s="142"/>
      <c r="E602" s="142"/>
      <c r="F602" s="142"/>
      <c r="G602" s="142"/>
      <c r="H602" s="141"/>
      <c r="I602" s="8"/>
    </row>
    <row r="603" spans="2:9" ht="15" hidden="1" customHeight="1" x14ac:dyDescent="0.25">
      <c r="B603" s="7"/>
      <c r="C603" s="140">
        <v>575</v>
      </c>
      <c r="D603" s="142"/>
      <c r="E603" s="142"/>
      <c r="F603" s="142"/>
      <c r="G603" s="142"/>
      <c r="H603" s="141"/>
      <c r="I603" s="8"/>
    </row>
    <row r="604" spans="2:9" ht="15" hidden="1" customHeight="1" x14ac:dyDescent="0.25">
      <c r="B604" s="7"/>
      <c r="C604" s="140">
        <v>576</v>
      </c>
      <c r="D604" s="142"/>
      <c r="E604" s="142"/>
      <c r="F604" s="142"/>
      <c r="G604" s="142"/>
      <c r="H604" s="141"/>
      <c r="I604" s="8"/>
    </row>
    <row r="605" spans="2:9" ht="15" hidden="1" customHeight="1" x14ac:dyDescent="0.25">
      <c r="B605" s="7"/>
      <c r="C605" s="140">
        <v>577</v>
      </c>
      <c r="D605" s="142"/>
      <c r="E605" s="142"/>
      <c r="F605" s="142"/>
      <c r="G605" s="142"/>
      <c r="H605" s="141"/>
      <c r="I605" s="8"/>
    </row>
    <row r="606" spans="2:9" ht="15" hidden="1" customHeight="1" x14ac:dyDescent="0.25">
      <c r="B606" s="7"/>
      <c r="C606" s="140">
        <v>578</v>
      </c>
      <c r="D606" s="142"/>
      <c r="E606" s="142"/>
      <c r="F606" s="142"/>
      <c r="G606" s="142"/>
      <c r="H606" s="141"/>
      <c r="I606" s="8"/>
    </row>
    <row r="607" spans="2:9" ht="15" hidden="1" customHeight="1" x14ac:dyDescent="0.25">
      <c r="B607" s="7"/>
      <c r="C607" s="140">
        <v>579</v>
      </c>
      <c r="D607" s="142"/>
      <c r="E607" s="142"/>
      <c r="F607" s="142"/>
      <c r="G607" s="142"/>
      <c r="H607" s="141"/>
      <c r="I607" s="8"/>
    </row>
    <row r="608" spans="2:9" ht="15" hidden="1" customHeight="1" x14ac:dyDescent="0.25">
      <c r="B608" s="7"/>
      <c r="C608" s="140">
        <v>580</v>
      </c>
      <c r="D608" s="142"/>
      <c r="E608" s="142"/>
      <c r="F608" s="142"/>
      <c r="G608" s="142"/>
      <c r="H608" s="141"/>
      <c r="I608" s="8"/>
    </row>
    <row r="609" spans="2:9" ht="15" hidden="1" customHeight="1" x14ac:dyDescent="0.25">
      <c r="B609" s="7"/>
      <c r="C609" s="140">
        <v>581</v>
      </c>
      <c r="D609" s="142"/>
      <c r="E609" s="142"/>
      <c r="F609" s="142"/>
      <c r="G609" s="142"/>
      <c r="H609" s="141"/>
      <c r="I609" s="8"/>
    </row>
    <row r="610" spans="2:9" ht="15" hidden="1" customHeight="1" x14ac:dyDescent="0.25">
      <c r="B610" s="7"/>
      <c r="C610" s="140">
        <v>582</v>
      </c>
      <c r="D610" s="142"/>
      <c r="E610" s="142"/>
      <c r="F610" s="142"/>
      <c r="G610" s="142"/>
      <c r="H610" s="141"/>
      <c r="I610" s="8"/>
    </row>
    <row r="611" spans="2:9" ht="15" hidden="1" customHeight="1" x14ac:dyDescent="0.25">
      <c r="B611" s="7"/>
      <c r="C611" s="140">
        <v>583</v>
      </c>
      <c r="D611" s="142"/>
      <c r="E611" s="142"/>
      <c r="F611" s="142"/>
      <c r="G611" s="142"/>
      <c r="H611" s="141"/>
      <c r="I611" s="8"/>
    </row>
    <row r="612" spans="2:9" ht="15" hidden="1" customHeight="1" x14ac:dyDescent="0.25">
      <c r="B612" s="7"/>
      <c r="C612" s="140">
        <v>584</v>
      </c>
      <c r="D612" s="142"/>
      <c r="E612" s="142"/>
      <c r="F612" s="142"/>
      <c r="G612" s="142"/>
      <c r="H612" s="141"/>
      <c r="I612" s="8"/>
    </row>
    <row r="613" spans="2:9" ht="15" hidden="1" customHeight="1" x14ac:dyDescent="0.25">
      <c r="B613" s="7"/>
      <c r="C613" s="140">
        <v>585</v>
      </c>
      <c r="D613" s="142"/>
      <c r="E613" s="142"/>
      <c r="F613" s="142"/>
      <c r="G613" s="142"/>
      <c r="H613" s="141"/>
      <c r="I613" s="8"/>
    </row>
    <row r="614" spans="2:9" ht="15" hidden="1" customHeight="1" x14ac:dyDescent="0.25">
      <c r="B614" s="7"/>
      <c r="C614" s="140">
        <v>586</v>
      </c>
      <c r="D614" s="142"/>
      <c r="E614" s="142"/>
      <c r="F614" s="142"/>
      <c r="G614" s="142"/>
      <c r="H614" s="141"/>
      <c r="I614" s="8"/>
    </row>
    <row r="615" spans="2:9" ht="15" hidden="1" customHeight="1" x14ac:dyDescent="0.25">
      <c r="B615" s="7"/>
      <c r="C615" s="140">
        <v>587</v>
      </c>
      <c r="D615" s="142"/>
      <c r="E615" s="142"/>
      <c r="F615" s="142"/>
      <c r="G615" s="142"/>
      <c r="H615" s="141"/>
      <c r="I615" s="8"/>
    </row>
    <row r="616" spans="2:9" ht="15" hidden="1" customHeight="1" x14ac:dyDescent="0.25">
      <c r="B616" s="7"/>
      <c r="C616" s="140">
        <v>588</v>
      </c>
      <c r="D616" s="142"/>
      <c r="E616" s="142"/>
      <c r="F616" s="142"/>
      <c r="G616" s="142"/>
      <c r="H616" s="141"/>
      <c r="I616" s="8"/>
    </row>
    <row r="617" spans="2:9" ht="15" hidden="1" customHeight="1" x14ac:dyDescent="0.25">
      <c r="B617" s="7"/>
      <c r="C617" s="140">
        <v>589</v>
      </c>
      <c r="D617" s="142"/>
      <c r="E617" s="142"/>
      <c r="F617" s="142"/>
      <c r="G617" s="142"/>
      <c r="H617" s="141"/>
      <c r="I617" s="8"/>
    </row>
    <row r="618" spans="2:9" ht="15" hidden="1" customHeight="1" x14ac:dyDescent="0.25">
      <c r="B618" s="7"/>
      <c r="C618" s="140">
        <v>590</v>
      </c>
      <c r="D618" s="142"/>
      <c r="E618" s="142"/>
      <c r="F618" s="142"/>
      <c r="G618" s="142"/>
      <c r="H618" s="141"/>
      <c r="I618" s="8"/>
    </row>
    <row r="619" spans="2:9" ht="15" hidden="1" customHeight="1" x14ac:dyDescent="0.25">
      <c r="B619" s="7"/>
      <c r="C619" s="140">
        <v>591</v>
      </c>
      <c r="D619" s="142"/>
      <c r="E619" s="142"/>
      <c r="F619" s="142"/>
      <c r="G619" s="142"/>
      <c r="H619" s="141"/>
      <c r="I619" s="8"/>
    </row>
    <row r="620" spans="2:9" ht="15" hidden="1" customHeight="1" x14ac:dyDescent="0.25">
      <c r="B620" s="7"/>
      <c r="C620" s="140">
        <v>592</v>
      </c>
      <c r="D620" s="142"/>
      <c r="E620" s="142"/>
      <c r="F620" s="142"/>
      <c r="G620" s="142"/>
      <c r="H620" s="141"/>
      <c r="I620" s="8"/>
    </row>
    <row r="621" spans="2:9" ht="15" hidden="1" customHeight="1" x14ac:dyDescent="0.25">
      <c r="B621" s="7"/>
      <c r="C621" s="140">
        <v>593</v>
      </c>
      <c r="D621" s="142"/>
      <c r="E621" s="142"/>
      <c r="F621" s="142"/>
      <c r="G621" s="142"/>
      <c r="H621" s="141"/>
      <c r="I621" s="8"/>
    </row>
    <row r="622" spans="2:9" ht="15" hidden="1" customHeight="1" x14ac:dyDescent="0.25">
      <c r="B622" s="7"/>
      <c r="C622" s="140">
        <v>594</v>
      </c>
      <c r="D622" s="142"/>
      <c r="E622" s="142"/>
      <c r="F622" s="142"/>
      <c r="G622" s="142"/>
      <c r="H622" s="141"/>
      <c r="I622" s="8"/>
    </row>
    <row r="623" spans="2:9" ht="15" hidden="1" customHeight="1" x14ac:dyDescent="0.25">
      <c r="B623" s="7"/>
      <c r="C623" s="140">
        <v>595</v>
      </c>
      <c r="D623" s="142"/>
      <c r="E623" s="142"/>
      <c r="F623" s="142"/>
      <c r="G623" s="142"/>
      <c r="H623" s="141"/>
      <c r="I623" s="8"/>
    </row>
    <row r="624" spans="2:9" ht="15" hidden="1" customHeight="1" x14ac:dyDescent="0.25">
      <c r="B624" s="7"/>
      <c r="C624" s="140">
        <v>596</v>
      </c>
      <c r="D624" s="142"/>
      <c r="E624" s="142"/>
      <c r="F624" s="142"/>
      <c r="G624" s="142"/>
      <c r="H624" s="141"/>
      <c r="I624" s="8"/>
    </row>
    <row r="625" spans="2:9" ht="15" hidden="1" customHeight="1" x14ac:dyDescent="0.25">
      <c r="B625" s="7"/>
      <c r="C625" s="140">
        <v>597</v>
      </c>
      <c r="D625" s="142"/>
      <c r="E625" s="142"/>
      <c r="F625" s="142"/>
      <c r="G625" s="142"/>
      <c r="H625" s="141"/>
      <c r="I625" s="8"/>
    </row>
    <row r="626" spans="2:9" ht="15" hidden="1" customHeight="1" x14ac:dyDescent="0.25">
      <c r="B626" s="7"/>
      <c r="C626" s="140">
        <v>598</v>
      </c>
      <c r="D626" s="142"/>
      <c r="E626" s="142"/>
      <c r="F626" s="142"/>
      <c r="G626" s="142"/>
      <c r="H626" s="141"/>
      <c r="I626" s="8"/>
    </row>
    <row r="627" spans="2:9" ht="15" hidden="1" customHeight="1" x14ac:dyDescent="0.25">
      <c r="B627" s="7"/>
      <c r="C627" s="140">
        <v>599</v>
      </c>
      <c r="D627" s="142"/>
      <c r="E627" s="142"/>
      <c r="F627" s="142"/>
      <c r="G627" s="142"/>
      <c r="H627" s="141"/>
      <c r="I627" s="8"/>
    </row>
    <row r="628" spans="2:9" ht="15" hidden="1" customHeight="1" x14ac:dyDescent="0.25">
      <c r="B628" s="7"/>
      <c r="C628" s="140">
        <v>600</v>
      </c>
      <c r="D628" s="142"/>
      <c r="E628" s="142"/>
      <c r="F628" s="142"/>
      <c r="G628" s="142"/>
      <c r="H628" s="141"/>
      <c r="I628" s="8"/>
    </row>
    <row r="629" spans="2:9" ht="15" hidden="1" customHeight="1" x14ac:dyDescent="0.25">
      <c r="B629" s="7"/>
      <c r="C629" s="140">
        <v>601</v>
      </c>
      <c r="D629" s="142"/>
      <c r="E629" s="142"/>
      <c r="F629" s="142"/>
      <c r="G629" s="142"/>
      <c r="H629" s="141"/>
      <c r="I629" s="8"/>
    </row>
    <row r="630" spans="2:9" ht="15" hidden="1" customHeight="1" x14ac:dyDescent="0.25">
      <c r="B630" s="7"/>
      <c r="C630" s="140">
        <v>602</v>
      </c>
      <c r="D630" s="142"/>
      <c r="E630" s="142"/>
      <c r="F630" s="142"/>
      <c r="G630" s="142"/>
      <c r="H630" s="141"/>
      <c r="I630" s="8"/>
    </row>
    <row r="631" spans="2:9" ht="15" hidden="1" customHeight="1" x14ac:dyDescent="0.25">
      <c r="B631" s="7"/>
      <c r="C631" s="140">
        <v>603</v>
      </c>
      <c r="D631" s="142"/>
      <c r="E631" s="142"/>
      <c r="F631" s="142"/>
      <c r="G631" s="142"/>
      <c r="H631" s="141"/>
      <c r="I631" s="8"/>
    </row>
    <row r="632" spans="2:9" ht="15" hidden="1" customHeight="1" x14ac:dyDescent="0.25">
      <c r="B632" s="7"/>
      <c r="C632" s="140">
        <v>604</v>
      </c>
      <c r="D632" s="142"/>
      <c r="E632" s="142"/>
      <c r="F632" s="142"/>
      <c r="G632" s="142"/>
      <c r="H632" s="141"/>
      <c r="I632" s="8"/>
    </row>
    <row r="633" spans="2:9" ht="15" hidden="1" customHeight="1" x14ac:dyDescent="0.25">
      <c r="B633" s="7"/>
      <c r="C633" s="140">
        <v>605</v>
      </c>
      <c r="D633" s="142"/>
      <c r="E633" s="142"/>
      <c r="F633" s="142"/>
      <c r="G633" s="142"/>
      <c r="H633" s="141"/>
      <c r="I633" s="8"/>
    </row>
    <row r="634" spans="2:9" ht="15" hidden="1" customHeight="1" x14ac:dyDescent="0.25">
      <c r="B634" s="7"/>
      <c r="C634" s="140">
        <v>606</v>
      </c>
      <c r="D634" s="142"/>
      <c r="E634" s="142"/>
      <c r="F634" s="142"/>
      <c r="G634" s="142"/>
      <c r="H634" s="141"/>
      <c r="I634" s="8"/>
    </row>
    <row r="635" spans="2:9" ht="15" hidden="1" customHeight="1" x14ac:dyDescent="0.25">
      <c r="B635" s="7"/>
      <c r="C635" s="140">
        <v>607</v>
      </c>
      <c r="D635" s="142"/>
      <c r="E635" s="142"/>
      <c r="F635" s="142"/>
      <c r="G635" s="142"/>
      <c r="H635" s="141"/>
      <c r="I635" s="8"/>
    </row>
    <row r="636" spans="2:9" ht="15" hidden="1" customHeight="1" x14ac:dyDescent="0.25">
      <c r="B636" s="7"/>
      <c r="C636" s="140">
        <v>608</v>
      </c>
      <c r="D636" s="142"/>
      <c r="E636" s="142"/>
      <c r="F636" s="142"/>
      <c r="G636" s="142"/>
      <c r="H636" s="141"/>
      <c r="I636" s="8"/>
    </row>
    <row r="637" spans="2:9" ht="15" hidden="1" customHeight="1" x14ac:dyDescent="0.25">
      <c r="B637" s="7"/>
      <c r="C637" s="140">
        <v>609</v>
      </c>
      <c r="D637" s="142"/>
      <c r="E637" s="142"/>
      <c r="F637" s="142"/>
      <c r="G637" s="142"/>
      <c r="H637" s="141"/>
      <c r="I637" s="8"/>
    </row>
    <row r="638" spans="2:9" ht="15" hidden="1" customHeight="1" x14ac:dyDescent="0.25">
      <c r="B638" s="7"/>
      <c r="C638" s="140">
        <v>610</v>
      </c>
      <c r="D638" s="142"/>
      <c r="E638" s="142"/>
      <c r="F638" s="142"/>
      <c r="G638" s="142"/>
      <c r="H638" s="141"/>
      <c r="I638" s="8"/>
    </row>
    <row r="639" spans="2:9" ht="15" hidden="1" customHeight="1" x14ac:dyDescent="0.25">
      <c r="B639" s="7"/>
      <c r="C639" s="140">
        <v>611</v>
      </c>
      <c r="D639" s="142"/>
      <c r="E639" s="142"/>
      <c r="F639" s="142"/>
      <c r="G639" s="142"/>
      <c r="H639" s="141"/>
      <c r="I639" s="8"/>
    </row>
    <row r="640" spans="2:9" ht="15" hidden="1" customHeight="1" x14ac:dyDescent="0.25">
      <c r="B640" s="7"/>
      <c r="C640" s="140">
        <v>612</v>
      </c>
      <c r="D640" s="142"/>
      <c r="E640" s="142"/>
      <c r="F640" s="142"/>
      <c r="G640" s="142"/>
      <c r="H640" s="141"/>
      <c r="I640" s="8"/>
    </row>
    <row r="641" spans="2:9" ht="15" hidden="1" customHeight="1" x14ac:dyDescent="0.25">
      <c r="B641" s="7"/>
      <c r="C641" s="140">
        <v>613</v>
      </c>
      <c r="D641" s="142"/>
      <c r="E641" s="142"/>
      <c r="F641" s="142"/>
      <c r="G641" s="142"/>
      <c r="H641" s="141"/>
      <c r="I641" s="8"/>
    </row>
    <row r="642" spans="2:9" ht="15" hidden="1" customHeight="1" x14ac:dyDescent="0.25">
      <c r="B642" s="7"/>
      <c r="C642" s="140">
        <v>614</v>
      </c>
      <c r="D642" s="142"/>
      <c r="E642" s="142"/>
      <c r="F642" s="142"/>
      <c r="G642" s="142"/>
      <c r="H642" s="141"/>
      <c r="I642" s="8"/>
    </row>
    <row r="643" spans="2:9" ht="15" hidden="1" customHeight="1" x14ac:dyDescent="0.25">
      <c r="B643" s="7"/>
      <c r="C643" s="140">
        <v>615</v>
      </c>
      <c r="D643" s="142"/>
      <c r="E643" s="142"/>
      <c r="F643" s="142"/>
      <c r="G643" s="142"/>
      <c r="H643" s="141"/>
      <c r="I643" s="8"/>
    </row>
    <row r="644" spans="2:9" ht="15" hidden="1" customHeight="1" x14ac:dyDescent="0.25">
      <c r="B644" s="7"/>
      <c r="C644" s="140">
        <v>616</v>
      </c>
      <c r="D644" s="142"/>
      <c r="E644" s="142"/>
      <c r="F644" s="142"/>
      <c r="G644" s="142"/>
      <c r="H644" s="141"/>
      <c r="I644" s="8"/>
    </row>
    <row r="645" spans="2:9" ht="15" hidden="1" customHeight="1" x14ac:dyDescent="0.25">
      <c r="B645" s="7"/>
      <c r="C645" s="140">
        <v>617</v>
      </c>
      <c r="D645" s="142"/>
      <c r="E645" s="142"/>
      <c r="F645" s="142"/>
      <c r="G645" s="142"/>
      <c r="H645" s="141"/>
      <c r="I645" s="8"/>
    </row>
    <row r="646" spans="2:9" ht="15" hidden="1" customHeight="1" x14ac:dyDescent="0.25">
      <c r="B646" s="7"/>
      <c r="C646" s="140">
        <v>618</v>
      </c>
      <c r="D646" s="142"/>
      <c r="E646" s="142"/>
      <c r="F646" s="142"/>
      <c r="G646" s="142"/>
      <c r="H646" s="141"/>
      <c r="I646" s="8"/>
    </row>
    <row r="647" spans="2:9" ht="15" hidden="1" customHeight="1" x14ac:dyDescent="0.25">
      <c r="B647" s="7"/>
      <c r="C647" s="140">
        <v>619</v>
      </c>
      <c r="D647" s="142"/>
      <c r="E647" s="142"/>
      <c r="F647" s="142"/>
      <c r="G647" s="142"/>
      <c r="H647" s="141"/>
      <c r="I647" s="8"/>
    </row>
    <row r="648" spans="2:9" ht="15" hidden="1" customHeight="1" x14ac:dyDescent="0.25">
      <c r="B648" s="7"/>
      <c r="C648" s="140">
        <v>620</v>
      </c>
      <c r="D648" s="142"/>
      <c r="E648" s="142"/>
      <c r="F648" s="142"/>
      <c r="G648" s="142"/>
      <c r="H648" s="141"/>
      <c r="I648" s="8"/>
    </row>
    <row r="649" spans="2:9" ht="15" hidden="1" customHeight="1" x14ac:dyDescent="0.25">
      <c r="B649" s="7"/>
      <c r="C649" s="140">
        <v>621</v>
      </c>
      <c r="D649" s="142"/>
      <c r="E649" s="142"/>
      <c r="F649" s="142"/>
      <c r="G649" s="142"/>
      <c r="H649" s="141"/>
      <c r="I649" s="8"/>
    </row>
    <row r="650" spans="2:9" ht="15" hidden="1" customHeight="1" x14ac:dyDescent="0.25">
      <c r="B650" s="7"/>
      <c r="C650" s="140">
        <v>622</v>
      </c>
      <c r="D650" s="142"/>
      <c r="E650" s="142"/>
      <c r="F650" s="142"/>
      <c r="G650" s="142"/>
      <c r="H650" s="141"/>
      <c r="I650" s="8"/>
    </row>
    <row r="651" spans="2:9" ht="15" hidden="1" customHeight="1" x14ac:dyDescent="0.25">
      <c r="B651" s="7"/>
      <c r="C651" s="140">
        <v>623</v>
      </c>
      <c r="D651" s="142"/>
      <c r="E651" s="142"/>
      <c r="F651" s="142"/>
      <c r="G651" s="142"/>
      <c r="H651" s="141"/>
      <c r="I651" s="8"/>
    </row>
    <row r="652" spans="2:9" ht="15" hidden="1" customHeight="1" x14ac:dyDescent="0.25">
      <c r="B652" s="7"/>
      <c r="C652" s="140">
        <v>624</v>
      </c>
      <c r="D652" s="142"/>
      <c r="E652" s="142"/>
      <c r="F652" s="142"/>
      <c r="G652" s="142"/>
      <c r="H652" s="141"/>
      <c r="I652" s="8"/>
    </row>
    <row r="653" spans="2:9" ht="15" hidden="1" customHeight="1" x14ac:dyDescent="0.25">
      <c r="B653" s="7"/>
      <c r="C653" s="140">
        <v>625</v>
      </c>
      <c r="D653" s="142"/>
      <c r="E653" s="142"/>
      <c r="F653" s="142"/>
      <c r="G653" s="142"/>
      <c r="H653" s="141"/>
      <c r="I653" s="8"/>
    </row>
    <row r="654" spans="2:9" ht="15" hidden="1" customHeight="1" x14ac:dyDescent="0.25">
      <c r="B654" s="7"/>
      <c r="C654" s="140">
        <v>626</v>
      </c>
      <c r="D654" s="142"/>
      <c r="E654" s="142"/>
      <c r="F654" s="142"/>
      <c r="G654" s="142"/>
      <c r="H654" s="141"/>
      <c r="I654" s="8"/>
    </row>
    <row r="655" spans="2:9" ht="15" hidden="1" customHeight="1" x14ac:dyDescent="0.25">
      <c r="B655" s="7"/>
      <c r="C655" s="140">
        <v>627</v>
      </c>
      <c r="D655" s="142"/>
      <c r="E655" s="142"/>
      <c r="F655" s="142"/>
      <c r="G655" s="142"/>
      <c r="H655" s="141"/>
      <c r="I655" s="8"/>
    </row>
    <row r="656" spans="2:9" ht="15" hidden="1" customHeight="1" x14ac:dyDescent="0.25">
      <c r="B656" s="7"/>
      <c r="C656" s="140">
        <v>628</v>
      </c>
      <c r="D656" s="142"/>
      <c r="E656" s="142"/>
      <c r="F656" s="142"/>
      <c r="G656" s="142"/>
      <c r="H656" s="141"/>
      <c r="I656" s="8"/>
    </row>
    <row r="657" spans="2:9" ht="15" hidden="1" customHeight="1" x14ac:dyDescent="0.25">
      <c r="B657" s="7"/>
      <c r="C657" s="140">
        <v>629</v>
      </c>
      <c r="D657" s="142"/>
      <c r="E657" s="142"/>
      <c r="F657" s="142"/>
      <c r="G657" s="142"/>
      <c r="H657" s="141"/>
      <c r="I657" s="8"/>
    </row>
    <row r="658" spans="2:9" ht="15" hidden="1" customHeight="1" x14ac:dyDescent="0.25">
      <c r="B658" s="7"/>
      <c r="C658" s="140">
        <v>630</v>
      </c>
      <c r="D658" s="142"/>
      <c r="E658" s="142"/>
      <c r="F658" s="142"/>
      <c r="G658" s="142"/>
      <c r="H658" s="141"/>
      <c r="I658" s="8"/>
    </row>
    <row r="659" spans="2:9" ht="15" hidden="1" customHeight="1" x14ac:dyDescent="0.25">
      <c r="B659" s="7"/>
      <c r="C659" s="140">
        <v>631</v>
      </c>
      <c r="D659" s="142"/>
      <c r="E659" s="142"/>
      <c r="F659" s="142"/>
      <c r="G659" s="142"/>
      <c r="H659" s="141"/>
      <c r="I659" s="8"/>
    </row>
    <row r="660" spans="2:9" ht="15" hidden="1" customHeight="1" x14ac:dyDescent="0.25">
      <c r="B660" s="7"/>
      <c r="C660" s="140">
        <v>632</v>
      </c>
      <c r="D660" s="142"/>
      <c r="E660" s="142"/>
      <c r="F660" s="142"/>
      <c r="G660" s="142"/>
      <c r="H660" s="141"/>
      <c r="I660" s="8"/>
    </row>
    <row r="661" spans="2:9" ht="15" hidden="1" customHeight="1" x14ac:dyDescent="0.25">
      <c r="B661" s="7"/>
      <c r="C661" s="140">
        <v>633</v>
      </c>
      <c r="D661" s="142"/>
      <c r="E661" s="142"/>
      <c r="F661" s="142"/>
      <c r="G661" s="142"/>
      <c r="H661" s="141"/>
      <c r="I661" s="8"/>
    </row>
    <row r="662" spans="2:9" ht="15" hidden="1" customHeight="1" x14ac:dyDescent="0.25">
      <c r="B662" s="7"/>
      <c r="C662" s="140">
        <v>634</v>
      </c>
      <c r="D662" s="142"/>
      <c r="E662" s="142"/>
      <c r="F662" s="142"/>
      <c r="G662" s="142"/>
      <c r="H662" s="141"/>
      <c r="I662" s="8"/>
    </row>
    <row r="663" spans="2:9" ht="15" hidden="1" customHeight="1" x14ac:dyDescent="0.25">
      <c r="B663" s="7"/>
      <c r="C663" s="140">
        <v>635</v>
      </c>
      <c r="D663" s="142"/>
      <c r="E663" s="142"/>
      <c r="F663" s="142"/>
      <c r="G663" s="142"/>
      <c r="H663" s="141"/>
      <c r="I663" s="8"/>
    </row>
    <row r="664" spans="2:9" ht="15" hidden="1" customHeight="1" x14ac:dyDescent="0.25">
      <c r="B664" s="7"/>
      <c r="C664" s="140">
        <v>636</v>
      </c>
      <c r="D664" s="142"/>
      <c r="E664" s="142"/>
      <c r="F664" s="142"/>
      <c r="G664" s="142"/>
      <c r="H664" s="141"/>
      <c r="I664" s="8"/>
    </row>
    <row r="665" spans="2:9" ht="15" hidden="1" customHeight="1" x14ac:dyDescent="0.25">
      <c r="B665" s="7"/>
      <c r="C665" s="140">
        <v>637</v>
      </c>
      <c r="D665" s="142"/>
      <c r="E665" s="142"/>
      <c r="F665" s="142"/>
      <c r="G665" s="142"/>
      <c r="H665" s="141"/>
      <c r="I665" s="8"/>
    </row>
    <row r="666" spans="2:9" ht="15" hidden="1" customHeight="1" x14ac:dyDescent="0.25">
      <c r="B666" s="7"/>
      <c r="C666" s="140">
        <v>638</v>
      </c>
      <c r="D666" s="142"/>
      <c r="E666" s="142"/>
      <c r="F666" s="142"/>
      <c r="G666" s="142"/>
      <c r="H666" s="141"/>
      <c r="I666" s="8"/>
    </row>
    <row r="667" spans="2:9" ht="15" hidden="1" customHeight="1" x14ac:dyDescent="0.25">
      <c r="B667" s="7"/>
      <c r="C667" s="140">
        <v>639</v>
      </c>
      <c r="D667" s="142"/>
      <c r="E667" s="142"/>
      <c r="F667" s="142"/>
      <c r="G667" s="142"/>
      <c r="H667" s="141"/>
      <c r="I667" s="8"/>
    </row>
    <row r="668" spans="2:9" ht="15" hidden="1" customHeight="1" x14ac:dyDescent="0.25">
      <c r="B668" s="7"/>
      <c r="C668" s="140">
        <v>640</v>
      </c>
      <c r="D668" s="142"/>
      <c r="E668" s="142"/>
      <c r="F668" s="142"/>
      <c r="G668" s="142"/>
      <c r="H668" s="141"/>
      <c r="I668" s="8"/>
    </row>
    <row r="669" spans="2:9" ht="15" hidden="1" customHeight="1" x14ac:dyDescent="0.25">
      <c r="B669" s="7"/>
      <c r="C669" s="140">
        <v>641</v>
      </c>
      <c r="D669" s="142"/>
      <c r="E669" s="142"/>
      <c r="F669" s="142"/>
      <c r="G669" s="142"/>
      <c r="H669" s="141"/>
      <c r="I669" s="8"/>
    </row>
    <row r="670" spans="2:9" ht="15" hidden="1" customHeight="1" x14ac:dyDescent="0.25">
      <c r="B670" s="7"/>
      <c r="C670" s="140">
        <v>642</v>
      </c>
      <c r="D670" s="142"/>
      <c r="E670" s="142"/>
      <c r="F670" s="142"/>
      <c r="G670" s="142"/>
      <c r="H670" s="141"/>
      <c r="I670" s="8"/>
    </row>
    <row r="671" spans="2:9" ht="15" hidden="1" customHeight="1" x14ac:dyDescent="0.25">
      <c r="B671" s="7"/>
      <c r="C671" s="140">
        <v>643</v>
      </c>
      <c r="D671" s="142"/>
      <c r="E671" s="142"/>
      <c r="F671" s="142"/>
      <c r="G671" s="142"/>
      <c r="H671" s="141"/>
      <c r="I671" s="8"/>
    </row>
    <row r="672" spans="2:9" ht="15" hidden="1" customHeight="1" x14ac:dyDescent="0.25">
      <c r="B672" s="7"/>
      <c r="C672" s="140">
        <v>644</v>
      </c>
      <c r="D672" s="142"/>
      <c r="E672" s="142"/>
      <c r="F672" s="142"/>
      <c r="G672" s="142"/>
      <c r="H672" s="141"/>
      <c r="I672" s="8"/>
    </row>
    <row r="673" spans="2:9" ht="15" hidden="1" customHeight="1" x14ac:dyDescent="0.25">
      <c r="B673" s="7"/>
      <c r="C673" s="140">
        <v>645</v>
      </c>
      <c r="D673" s="142"/>
      <c r="E673" s="142"/>
      <c r="F673" s="142"/>
      <c r="G673" s="142"/>
      <c r="H673" s="141"/>
      <c r="I673" s="8"/>
    </row>
    <row r="674" spans="2:9" ht="15" hidden="1" customHeight="1" x14ac:dyDescent="0.25">
      <c r="B674" s="7"/>
      <c r="C674" s="140">
        <v>646</v>
      </c>
      <c r="D674" s="142"/>
      <c r="E674" s="142"/>
      <c r="F674" s="142"/>
      <c r="G674" s="142"/>
      <c r="H674" s="141"/>
      <c r="I674" s="8"/>
    </row>
    <row r="675" spans="2:9" ht="15" hidden="1" customHeight="1" x14ac:dyDescent="0.25">
      <c r="B675" s="7"/>
      <c r="C675" s="140">
        <v>647</v>
      </c>
      <c r="D675" s="142"/>
      <c r="E675" s="142"/>
      <c r="F675" s="142"/>
      <c r="G675" s="142"/>
      <c r="H675" s="141"/>
      <c r="I675" s="8"/>
    </row>
    <row r="676" spans="2:9" ht="15" hidden="1" customHeight="1" x14ac:dyDescent="0.25">
      <c r="B676" s="7"/>
      <c r="C676" s="140">
        <v>648</v>
      </c>
      <c r="D676" s="142"/>
      <c r="E676" s="142"/>
      <c r="F676" s="142"/>
      <c r="G676" s="142"/>
      <c r="H676" s="141"/>
      <c r="I676" s="8"/>
    </row>
    <row r="677" spans="2:9" ht="15" hidden="1" customHeight="1" x14ac:dyDescent="0.25">
      <c r="B677" s="7"/>
      <c r="C677" s="140">
        <v>649</v>
      </c>
      <c r="D677" s="142"/>
      <c r="E677" s="142"/>
      <c r="F677" s="142"/>
      <c r="G677" s="142"/>
      <c r="H677" s="141"/>
      <c r="I677" s="8"/>
    </row>
    <row r="678" spans="2:9" ht="15" hidden="1" customHeight="1" x14ac:dyDescent="0.25">
      <c r="B678" s="7"/>
      <c r="C678" s="140">
        <v>650</v>
      </c>
      <c r="D678" s="142"/>
      <c r="E678" s="142"/>
      <c r="F678" s="142"/>
      <c r="G678" s="142"/>
      <c r="H678" s="141"/>
      <c r="I678" s="8"/>
    </row>
    <row r="679" spans="2:9" ht="15" hidden="1" customHeight="1" x14ac:dyDescent="0.25">
      <c r="B679" s="7"/>
      <c r="C679" s="140">
        <v>651</v>
      </c>
      <c r="D679" s="142"/>
      <c r="E679" s="142"/>
      <c r="F679" s="142"/>
      <c r="G679" s="142"/>
      <c r="H679" s="141"/>
      <c r="I679" s="8"/>
    </row>
    <row r="680" spans="2:9" ht="15" hidden="1" customHeight="1" x14ac:dyDescent="0.25">
      <c r="B680" s="7"/>
      <c r="C680" s="140">
        <v>652</v>
      </c>
      <c r="D680" s="142"/>
      <c r="E680" s="142"/>
      <c r="F680" s="142"/>
      <c r="G680" s="142"/>
      <c r="H680" s="141"/>
      <c r="I680" s="8"/>
    </row>
    <row r="681" spans="2:9" ht="15" hidden="1" customHeight="1" x14ac:dyDescent="0.25">
      <c r="B681" s="7"/>
      <c r="C681" s="140">
        <v>653</v>
      </c>
      <c r="D681" s="142"/>
      <c r="E681" s="142"/>
      <c r="F681" s="142"/>
      <c r="G681" s="142"/>
      <c r="H681" s="141"/>
      <c r="I681" s="8"/>
    </row>
    <row r="682" spans="2:9" ht="15" hidden="1" customHeight="1" x14ac:dyDescent="0.25">
      <c r="B682" s="7"/>
      <c r="C682" s="140">
        <v>654</v>
      </c>
      <c r="D682" s="142"/>
      <c r="E682" s="142"/>
      <c r="F682" s="142"/>
      <c r="G682" s="142"/>
      <c r="H682" s="141"/>
      <c r="I682" s="8"/>
    </row>
    <row r="683" spans="2:9" ht="15" hidden="1" customHeight="1" x14ac:dyDescent="0.25">
      <c r="B683" s="7"/>
      <c r="C683" s="140">
        <v>655</v>
      </c>
      <c r="D683" s="142"/>
      <c r="E683" s="142"/>
      <c r="F683" s="142"/>
      <c r="G683" s="142"/>
      <c r="H683" s="141"/>
      <c r="I683" s="8"/>
    </row>
    <row r="684" spans="2:9" ht="15" hidden="1" customHeight="1" x14ac:dyDescent="0.25">
      <c r="B684" s="7"/>
      <c r="C684" s="140">
        <v>656</v>
      </c>
      <c r="D684" s="142"/>
      <c r="E684" s="142"/>
      <c r="F684" s="142"/>
      <c r="G684" s="142"/>
      <c r="H684" s="141"/>
      <c r="I684" s="8"/>
    </row>
    <row r="685" spans="2:9" ht="15" hidden="1" customHeight="1" x14ac:dyDescent="0.25">
      <c r="B685" s="7"/>
      <c r="C685" s="140">
        <v>657</v>
      </c>
      <c r="D685" s="142"/>
      <c r="E685" s="142"/>
      <c r="F685" s="142"/>
      <c r="G685" s="142"/>
      <c r="H685" s="141"/>
      <c r="I685" s="8"/>
    </row>
    <row r="686" spans="2:9" ht="15" hidden="1" customHeight="1" x14ac:dyDescent="0.25">
      <c r="B686" s="7"/>
      <c r="C686" s="140">
        <v>658</v>
      </c>
      <c r="D686" s="142"/>
      <c r="E686" s="142"/>
      <c r="F686" s="142"/>
      <c r="G686" s="142"/>
      <c r="H686" s="141"/>
      <c r="I686" s="8"/>
    </row>
    <row r="687" spans="2:9" ht="15" hidden="1" customHeight="1" x14ac:dyDescent="0.25">
      <c r="B687" s="7"/>
      <c r="C687" s="140">
        <v>659</v>
      </c>
      <c r="D687" s="142"/>
      <c r="E687" s="142"/>
      <c r="F687" s="142"/>
      <c r="G687" s="142"/>
      <c r="H687" s="141"/>
      <c r="I687" s="8"/>
    </row>
    <row r="688" spans="2:9" ht="15" hidden="1" customHeight="1" x14ac:dyDescent="0.25">
      <c r="B688" s="7"/>
      <c r="C688" s="140">
        <v>660</v>
      </c>
      <c r="D688" s="142"/>
      <c r="E688" s="142"/>
      <c r="F688" s="142"/>
      <c r="G688" s="142"/>
      <c r="H688" s="141"/>
      <c r="I688" s="8"/>
    </row>
    <row r="689" spans="2:9" ht="15" hidden="1" customHeight="1" x14ac:dyDescent="0.25">
      <c r="B689" s="7"/>
      <c r="C689" s="140">
        <v>661</v>
      </c>
      <c r="D689" s="142"/>
      <c r="E689" s="142"/>
      <c r="F689" s="142"/>
      <c r="G689" s="142"/>
      <c r="H689" s="141"/>
      <c r="I689" s="8"/>
    </row>
    <row r="690" spans="2:9" ht="15" hidden="1" customHeight="1" x14ac:dyDescent="0.25">
      <c r="B690" s="7"/>
      <c r="C690" s="140">
        <v>662</v>
      </c>
      <c r="D690" s="142"/>
      <c r="E690" s="142"/>
      <c r="F690" s="142"/>
      <c r="G690" s="142"/>
      <c r="H690" s="141"/>
      <c r="I690" s="8"/>
    </row>
    <row r="691" spans="2:9" ht="15" hidden="1" customHeight="1" x14ac:dyDescent="0.25">
      <c r="B691" s="7"/>
      <c r="C691" s="140">
        <v>663</v>
      </c>
      <c r="D691" s="142"/>
      <c r="E691" s="142"/>
      <c r="F691" s="142"/>
      <c r="G691" s="142"/>
      <c r="H691" s="141"/>
      <c r="I691" s="8"/>
    </row>
    <row r="692" spans="2:9" ht="15" hidden="1" customHeight="1" x14ac:dyDescent="0.25">
      <c r="B692" s="7"/>
      <c r="C692" s="140">
        <v>664</v>
      </c>
      <c r="D692" s="142"/>
      <c r="E692" s="142"/>
      <c r="F692" s="142"/>
      <c r="G692" s="142"/>
      <c r="H692" s="141"/>
      <c r="I692" s="8"/>
    </row>
    <row r="693" spans="2:9" ht="15" hidden="1" customHeight="1" x14ac:dyDescent="0.25">
      <c r="B693" s="7"/>
      <c r="C693" s="140">
        <v>665</v>
      </c>
      <c r="D693" s="142"/>
      <c r="E693" s="142"/>
      <c r="F693" s="142"/>
      <c r="G693" s="142"/>
      <c r="H693" s="141"/>
      <c r="I693" s="8"/>
    </row>
    <row r="694" spans="2:9" ht="15" hidden="1" customHeight="1" x14ac:dyDescent="0.25">
      <c r="B694" s="7"/>
      <c r="C694" s="140">
        <v>666</v>
      </c>
      <c r="D694" s="142"/>
      <c r="E694" s="142"/>
      <c r="F694" s="142"/>
      <c r="G694" s="142"/>
      <c r="H694" s="141"/>
      <c r="I694" s="8"/>
    </row>
    <row r="695" spans="2:9" ht="15" hidden="1" customHeight="1" x14ac:dyDescent="0.25">
      <c r="B695" s="7"/>
      <c r="C695" s="140">
        <v>667</v>
      </c>
      <c r="D695" s="142"/>
      <c r="E695" s="142"/>
      <c r="F695" s="142"/>
      <c r="G695" s="142"/>
      <c r="H695" s="141"/>
      <c r="I695" s="8"/>
    </row>
    <row r="696" spans="2:9" ht="15" hidden="1" customHeight="1" x14ac:dyDescent="0.25">
      <c r="B696" s="7"/>
      <c r="C696" s="140">
        <v>668</v>
      </c>
      <c r="D696" s="142"/>
      <c r="E696" s="142"/>
      <c r="F696" s="142"/>
      <c r="G696" s="142"/>
      <c r="H696" s="141"/>
      <c r="I696" s="8"/>
    </row>
    <row r="697" spans="2:9" ht="15" hidden="1" customHeight="1" x14ac:dyDescent="0.25">
      <c r="B697" s="7"/>
      <c r="C697" s="140">
        <v>669</v>
      </c>
      <c r="D697" s="142"/>
      <c r="E697" s="142"/>
      <c r="F697" s="142"/>
      <c r="G697" s="142"/>
      <c r="H697" s="141"/>
      <c r="I697" s="8"/>
    </row>
    <row r="698" spans="2:9" ht="15" hidden="1" customHeight="1" x14ac:dyDescent="0.25">
      <c r="B698" s="7"/>
      <c r="C698" s="140">
        <v>670</v>
      </c>
      <c r="D698" s="142"/>
      <c r="E698" s="142"/>
      <c r="F698" s="142"/>
      <c r="G698" s="142"/>
      <c r="H698" s="141"/>
      <c r="I698" s="8"/>
    </row>
    <row r="699" spans="2:9" ht="15" hidden="1" customHeight="1" x14ac:dyDescent="0.25">
      <c r="B699" s="7"/>
      <c r="C699" s="140">
        <v>671</v>
      </c>
      <c r="D699" s="142"/>
      <c r="E699" s="142"/>
      <c r="F699" s="142"/>
      <c r="G699" s="142"/>
      <c r="H699" s="141"/>
      <c r="I699" s="8"/>
    </row>
    <row r="700" spans="2:9" ht="15" hidden="1" customHeight="1" x14ac:dyDescent="0.25">
      <c r="B700" s="7"/>
      <c r="C700" s="140">
        <v>672</v>
      </c>
      <c r="D700" s="142"/>
      <c r="E700" s="142"/>
      <c r="F700" s="142"/>
      <c r="G700" s="142"/>
      <c r="H700" s="141"/>
      <c r="I700" s="8"/>
    </row>
    <row r="701" spans="2:9" ht="15" hidden="1" customHeight="1" x14ac:dyDescent="0.25">
      <c r="B701" s="7"/>
      <c r="C701" s="140">
        <v>673</v>
      </c>
      <c r="D701" s="142"/>
      <c r="E701" s="142"/>
      <c r="F701" s="142"/>
      <c r="G701" s="142"/>
      <c r="H701" s="141"/>
      <c r="I701" s="8"/>
    </row>
    <row r="702" spans="2:9" ht="15" hidden="1" customHeight="1" x14ac:dyDescent="0.25">
      <c r="B702" s="7"/>
      <c r="C702" s="140">
        <v>674</v>
      </c>
      <c r="D702" s="142"/>
      <c r="E702" s="142"/>
      <c r="F702" s="142"/>
      <c r="G702" s="142"/>
      <c r="H702" s="141"/>
      <c r="I702" s="8"/>
    </row>
    <row r="703" spans="2:9" ht="15" hidden="1" customHeight="1" x14ac:dyDescent="0.25">
      <c r="B703" s="7"/>
      <c r="C703" s="140">
        <v>675</v>
      </c>
      <c r="D703" s="142"/>
      <c r="E703" s="142"/>
      <c r="F703" s="142"/>
      <c r="G703" s="142"/>
      <c r="H703" s="141"/>
      <c r="I703" s="8"/>
    </row>
    <row r="704" spans="2:9" ht="15" hidden="1" customHeight="1" x14ac:dyDescent="0.25">
      <c r="B704" s="7"/>
      <c r="C704" s="140">
        <v>676</v>
      </c>
      <c r="D704" s="142"/>
      <c r="E704" s="142"/>
      <c r="F704" s="142"/>
      <c r="G704" s="142"/>
      <c r="H704" s="141"/>
      <c r="I704" s="8"/>
    </row>
    <row r="705" spans="2:9" ht="15" hidden="1" customHeight="1" x14ac:dyDescent="0.25">
      <c r="B705" s="7"/>
      <c r="C705" s="140">
        <v>677</v>
      </c>
      <c r="D705" s="142"/>
      <c r="E705" s="142"/>
      <c r="F705" s="142"/>
      <c r="G705" s="142"/>
      <c r="H705" s="141"/>
      <c r="I705" s="8"/>
    </row>
    <row r="706" spans="2:9" ht="15" hidden="1" customHeight="1" x14ac:dyDescent="0.25">
      <c r="B706" s="7"/>
      <c r="C706" s="140">
        <v>678</v>
      </c>
      <c r="D706" s="142"/>
      <c r="E706" s="142"/>
      <c r="F706" s="142"/>
      <c r="G706" s="142"/>
      <c r="H706" s="141"/>
      <c r="I706" s="8"/>
    </row>
    <row r="707" spans="2:9" ht="15" hidden="1" customHeight="1" x14ac:dyDescent="0.25">
      <c r="B707" s="7"/>
      <c r="C707" s="140">
        <v>679</v>
      </c>
      <c r="D707" s="142"/>
      <c r="E707" s="142"/>
      <c r="F707" s="142"/>
      <c r="G707" s="142"/>
      <c r="H707" s="141"/>
      <c r="I707" s="8"/>
    </row>
    <row r="708" spans="2:9" ht="15" hidden="1" customHeight="1" x14ac:dyDescent="0.25">
      <c r="B708" s="7"/>
      <c r="C708" s="140">
        <v>680</v>
      </c>
      <c r="D708" s="142"/>
      <c r="E708" s="142"/>
      <c r="F708" s="142"/>
      <c r="G708" s="142"/>
      <c r="H708" s="141"/>
      <c r="I708" s="8"/>
    </row>
    <row r="709" spans="2:9" ht="15" hidden="1" customHeight="1" x14ac:dyDescent="0.25">
      <c r="B709" s="7"/>
      <c r="C709" s="140">
        <v>681</v>
      </c>
      <c r="D709" s="142"/>
      <c r="E709" s="142"/>
      <c r="F709" s="142"/>
      <c r="G709" s="142"/>
      <c r="H709" s="141"/>
      <c r="I709" s="8"/>
    </row>
    <row r="710" spans="2:9" ht="15" hidden="1" customHeight="1" x14ac:dyDescent="0.25">
      <c r="B710" s="7"/>
      <c r="C710" s="140">
        <v>682</v>
      </c>
      <c r="D710" s="142"/>
      <c r="E710" s="142"/>
      <c r="F710" s="142"/>
      <c r="G710" s="142"/>
      <c r="H710" s="141"/>
      <c r="I710" s="8"/>
    </row>
    <row r="711" spans="2:9" ht="15" hidden="1" customHeight="1" x14ac:dyDescent="0.25">
      <c r="B711" s="7"/>
      <c r="C711" s="140">
        <v>683</v>
      </c>
      <c r="D711" s="142"/>
      <c r="E711" s="142"/>
      <c r="F711" s="142"/>
      <c r="G711" s="142"/>
      <c r="H711" s="141"/>
      <c r="I711" s="8"/>
    </row>
    <row r="712" spans="2:9" ht="15" hidden="1" customHeight="1" x14ac:dyDescent="0.25">
      <c r="B712" s="7"/>
      <c r="C712" s="140">
        <v>684</v>
      </c>
      <c r="D712" s="142"/>
      <c r="E712" s="142"/>
      <c r="F712" s="142"/>
      <c r="G712" s="142"/>
      <c r="H712" s="141"/>
      <c r="I712" s="8"/>
    </row>
    <row r="713" spans="2:9" ht="15" hidden="1" customHeight="1" x14ac:dyDescent="0.25">
      <c r="B713" s="7"/>
      <c r="C713" s="140">
        <v>685</v>
      </c>
      <c r="D713" s="142"/>
      <c r="E713" s="142"/>
      <c r="F713" s="142"/>
      <c r="G713" s="142"/>
      <c r="H713" s="141"/>
      <c r="I713" s="8"/>
    </row>
    <row r="714" spans="2:9" ht="15" hidden="1" customHeight="1" x14ac:dyDescent="0.25">
      <c r="B714" s="7"/>
      <c r="C714" s="140">
        <v>686</v>
      </c>
      <c r="D714" s="142"/>
      <c r="E714" s="142"/>
      <c r="F714" s="142"/>
      <c r="G714" s="142"/>
      <c r="H714" s="141"/>
      <c r="I714" s="8"/>
    </row>
    <row r="715" spans="2:9" ht="15" hidden="1" customHeight="1" x14ac:dyDescent="0.25">
      <c r="B715" s="7"/>
      <c r="C715" s="140">
        <v>687</v>
      </c>
      <c r="D715" s="142"/>
      <c r="E715" s="142"/>
      <c r="F715" s="142"/>
      <c r="G715" s="142"/>
      <c r="H715" s="141"/>
      <c r="I715" s="8"/>
    </row>
    <row r="716" spans="2:9" ht="15" hidden="1" customHeight="1" x14ac:dyDescent="0.25">
      <c r="B716" s="7"/>
      <c r="C716" s="140">
        <v>688</v>
      </c>
      <c r="D716" s="142"/>
      <c r="E716" s="142"/>
      <c r="F716" s="142"/>
      <c r="G716" s="142"/>
      <c r="H716" s="141"/>
      <c r="I716" s="8"/>
    </row>
    <row r="717" spans="2:9" ht="15" hidden="1" customHeight="1" x14ac:dyDescent="0.25">
      <c r="B717" s="7"/>
      <c r="C717" s="140">
        <v>689</v>
      </c>
      <c r="D717" s="142"/>
      <c r="E717" s="142"/>
      <c r="F717" s="142"/>
      <c r="G717" s="142"/>
      <c r="H717" s="141"/>
      <c r="I717" s="8"/>
    </row>
    <row r="718" spans="2:9" ht="15" hidden="1" customHeight="1" x14ac:dyDescent="0.25">
      <c r="B718" s="7"/>
      <c r="C718" s="140">
        <v>690</v>
      </c>
      <c r="D718" s="142"/>
      <c r="E718" s="142"/>
      <c r="F718" s="142"/>
      <c r="G718" s="142"/>
      <c r="H718" s="141"/>
      <c r="I718" s="8"/>
    </row>
    <row r="719" spans="2:9" ht="15" hidden="1" customHeight="1" x14ac:dyDescent="0.25">
      <c r="B719" s="7"/>
      <c r="C719" s="140">
        <v>691</v>
      </c>
      <c r="D719" s="142"/>
      <c r="E719" s="142"/>
      <c r="F719" s="142"/>
      <c r="G719" s="142"/>
      <c r="H719" s="141"/>
      <c r="I719" s="8"/>
    </row>
    <row r="720" spans="2:9" ht="15" hidden="1" customHeight="1" x14ac:dyDescent="0.25">
      <c r="B720" s="7"/>
      <c r="C720" s="140">
        <v>692</v>
      </c>
      <c r="D720" s="142"/>
      <c r="E720" s="142"/>
      <c r="F720" s="142"/>
      <c r="G720" s="142"/>
      <c r="H720" s="141"/>
      <c r="I720" s="8"/>
    </row>
    <row r="721" spans="2:9" ht="15" hidden="1" customHeight="1" x14ac:dyDescent="0.25">
      <c r="B721" s="7"/>
      <c r="C721" s="140">
        <v>693</v>
      </c>
      <c r="D721" s="142"/>
      <c r="E721" s="142"/>
      <c r="F721" s="142"/>
      <c r="G721" s="142"/>
      <c r="H721" s="141"/>
      <c r="I721" s="8"/>
    </row>
    <row r="722" spans="2:9" ht="15" hidden="1" customHeight="1" x14ac:dyDescent="0.25">
      <c r="B722" s="7"/>
      <c r="C722" s="140">
        <v>694</v>
      </c>
      <c r="D722" s="142"/>
      <c r="E722" s="142"/>
      <c r="F722" s="142"/>
      <c r="G722" s="142"/>
      <c r="H722" s="141"/>
      <c r="I722" s="8"/>
    </row>
    <row r="723" spans="2:9" ht="15" hidden="1" customHeight="1" x14ac:dyDescent="0.25">
      <c r="B723" s="7"/>
      <c r="C723" s="140">
        <v>695</v>
      </c>
      <c r="D723" s="142"/>
      <c r="E723" s="142"/>
      <c r="F723" s="142"/>
      <c r="G723" s="142"/>
      <c r="H723" s="141"/>
      <c r="I723" s="8"/>
    </row>
    <row r="724" spans="2:9" ht="15" hidden="1" customHeight="1" x14ac:dyDescent="0.25">
      <c r="B724" s="7"/>
      <c r="C724" s="140">
        <v>696</v>
      </c>
      <c r="D724" s="142"/>
      <c r="E724" s="142"/>
      <c r="F724" s="142"/>
      <c r="G724" s="142"/>
      <c r="H724" s="141"/>
      <c r="I724" s="8"/>
    </row>
    <row r="725" spans="2:9" ht="15" hidden="1" customHeight="1" x14ac:dyDescent="0.25">
      <c r="B725" s="7"/>
      <c r="C725" s="140">
        <v>697</v>
      </c>
      <c r="D725" s="142"/>
      <c r="E725" s="142"/>
      <c r="F725" s="142"/>
      <c r="G725" s="142"/>
      <c r="H725" s="141"/>
      <c r="I725" s="8"/>
    </row>
    <row r="726" spans="2:9" ht="15" hidden="1" customHeight="1" x14ac:dyDescent="0.25">
      <c r="B726" s="7"/>
      <c r="C726" s="140">
        <v>698</v>
      </c>
      <c r="D726" s="142"/>
      <c r="E726" s="142"/>
      <c r="F726" s="142"/>
      <c r="G726" s="142"/>
      <c r="H726" s="141"/>
      <c r="I726" s="8"/>
    </row>
    <row r="727" spans="2:9" ht="15" hidden="1" customHeight="1" x14ac:dyDescent="0.25">
      <c r="B727" s="7"/>
      <c r="C727" s="140">
        <v>699</v>
      </c>
      <c r="D727" s="142"/>
      <c r="E727" s="142"/>
      <c r="F727" s="142"/>
      <c r="G727" s="142"/>
      <c r="H727" s="141"/>
      <c r="I727" s="8"/>
    </row>
    <row r="728" spans="2:9" ht="15" hidden="1" customHeight="1" x14ac:dyDescent="0.25">
      <c r="B728" s="7"/>
      <c r="C728" s="140">
        <v>700</v>
      </c>
      <c r="D728" s="142"/>
      <c r="E728" s="142"/>
      <c r="F728" s="142"/>
      <c r="G728" s="142"/>
      <c r="H728" s="141"/>
      <c r="I728" s="8"/>
    </row>
    <row r="729" spans="2:9" ht="15" hidden="1" customHeight="1" x14ac:dyDescent="0.25">
      <c r="B729" s="7"/>
      <c r="C729" s="140">
        <v>701</v>
      </c>
      <c r="D729" s="142"/>
      <c r="E729" s="142"/>
      <c r="F729" s="142"/>
      <c r="G729" s="142"/>
      <c r="H729" s="141"/>
      <c r="I729" s="8"/>
    </row>
    <row r="730" spans="2:9" ht="15" hidden="1" customHeight="1" x14ac:dyDescent="0.25">
      <c r="B730" s="7"/>
      <c r="C730" s="140">
        <v>702</v>
      </c>
      <c r="D730" s="142"/>
      <c r="E730" s="142"/>
      <c r="F730" s="142"/>
      <c r="G730" s="142"/>
      <c r="H730" s="141"/>
      <c r="I730" s="8"/>
    </row>
    <row r="731" spans="2:9" ht="15" hidden="1" customHeight="1" x14ac:dyDescent="0.25">
      <c r="B731" s="7"/>
      <c r="C731" s="140">
        <v>703</v>
      </c>
      <c r="D731" s="142"/>
      <c r="E731" s="142"/>
      <c r="F731" s="142"/>
      <c r="G731" s="142"/>
      <c r="H731" s="141"/>
      <c r="I731" s="8"/>
    </row>
    <row r="732" spans="2:9" ht="15" hidden="1" customHeight="1" x14ac:dyDescent="0.25">
      <c r="B732" s="7"/>
      <c r="C732" s="140">
        <v>704</v>
      </c>
      <c r="D732" s="142"/>
      <c r="E732" s="142"/>
      <c r="F732" s="142"/>
      <c r="G732" s="142"/>
      <c r="H732" s="141"/>
      <c r="I732" s="8"/>
    </row>
    <row r="733" spans="2:9" ht="15" hidden="1" customHeight="1" x14ac:dyDescent="0.25">
      <c r="B733" s="7"/>
      <c r="C733" s="140">
        <v>705</v>
      </c>
      <c r="D733" s="142"/>
      <c r="E733" s="142"/>
      <c r="F733" s="142"/>
      <c r="G733" s="142"/>
      <c r="H733" s="141"/>
      <c r="I733" s="8"/>
    </row>
    <row r="734" spans="2:9" ht="15" hidden="1" customHeight="1" x14ac:dyDescent="0.25">
      <c r="B734" s="7"/>
      <c r="C734" s="140">
        <v>706</v>
      </c>
      <c r="D734" s="142"/>
      <c r="E734" s="142"/>
      <c r="F734" s="142"/>
      <c r="G734" s="142"/>
      <c r="H734" s="141"/>
      <c r="I734" s="8"/>
    </row>
    <row r="735" spans="2:9" ht="15" hidden="1" customHeight="1" x14ac:dyDescent="0.25">
      <c r="B735" s="7"/>
      <c r="C735" s="140">
        <v>707</v>
      </c>
      <c r="D735" s="142"/>
      <c r="E735" s="142"/>
      <c r="F735" s="142"/>
      <c r="G735" s="142"/>
      <c r="H735" s="141"/>
      <c r="I735" s="8"/>
    </row>
    <row r="736" spans="2:9" ht="15" hidden="1" customHeight="1" x14ac:dyDescent="0.25">
      <c r="B736" s="7"/>
      <c r="C736" s="140">
        <v>708</v>
      </c>
      <c r="D736" s="142"/>
      <c r="E736" s="142"/>
      <c r="F736" s="142"/>
      <c r="G736" s="142"/>
      <c r="H736" s="141"/>
      <c r="I736" s="8"/>
    </row>
    <row r="737" spans="2:9" ht="15" hidden="1" customHeight="1" x14ac:dyDescent="0.25">
      <c r="B737" s="7"/>
      <c r="C737" s="140">
        <v>709</v>
      </c>
      <c r="D737" s="142"/>
      <c r="E737" s="142"/>
      <c r="F737" s="142"/>
      <c r="G737" s="142"/>
      <c r="H737" s="141"/>
      <c r="I737" s="8"/>
    </row>
    <row r="738" spans="2:9" ht="15" hidden="1" customHeight="1" x14ac:dyDescent="0.25">
      <c r="B738" s="7"/>
      <c r="C738" s="140">
        <v>710</v>
      </c>
      <c r="D738" s="142"/>
      <c r="E738" s="142"/>
      <c r="F738" s="142"/>
      <c r="G738" s="142"/>
      <c r="H738" s="141"/>
      <c r="I738" s="8"/>
    </row>
    <row r="739" spans="2:9" ht="15" hidden="1" customHeight="1" x14ac:dyDescent="0.25">
      <c r="B739" s="7"/>
      <c r="C739" s="140">
        <v>711</v>
      </c>
      <c r="D739" s="142"/>
      <c r="E739" s="142"/>
      <c r="F739" s="142"/>
      <c r="G739" s="142"/>
      <c r="H739" s="141"/>
      <c r="I739" s="8"/>
    </row>
    <row r="740" spans="2:9" ht="15" hidden="1" customHeight="1" x14ac:dyDescent="0.25">
      <c r="B740" s="7"/>
      <c r="C740" s="140">
        <v>712</v>
      </c>
      <c r="D740" s="142"/>
      <c r="E740" s="142"/>
      <c r="F740" s="142"/>
      <c r="G740" s="142"/>
      <c r="H740" s="141"/>
      <c r="I740" s="8"/>
    </row>
    <row r="741" spans="2:9" ht="15" hidden="1" customHeight="1" x14ac:dyDescent="0.25">
      <c r="B741" s="7"/>
      <c r="C741" s="140">
        <v>713</v>
      </c>
      <c r="D741" s="142"/>
      <c r="E741" s="142"/>
      <c r="F741" s="142"/>
      <c r="G741" s="142"/>
      <c r="H741" s="141"/>
      <c r="I741" s="8"/>
    </row>
    <row r="742" spans="2:9" ht="15" hidden="1" customHeight="1" x14ac:dyDescent="0.25">
      <c r="B742" s="7"/>
      <c r="C742" s="140">
        <v>714</v>
      </c>
      <c r="D742" s="142"/>
      <c r="E742" s="142"/>
      <c r="F742" s="142"/>
      <c r="G742" s="142"/>
      <c r="H742" s="141"/>
      <c r="I742" s="8"/>
    </row>
    <row r="743" spans="2:9" ht="15" hidden="1" customHeight="1" x14ac:dyDescent="0.25">
      <c r="B743" s="7"/>
      <c r="C743" s="140">
        <v>715</v>
      </c>
      <c r="D743" s="142"/>
      <c r="E743" s="142"/>
      <c r="F743" s="142"/>
      <c r="G743" s="142"/>
      <c r="H743" s="141"/>
      <c r="I743" s="8"/>
    </row>
    <row r="744" spans="2:9" ht="15" hidden="1" customHeight="1" x14ac:dyDescent="0.25">
      <c r="B744" s="7"/>
      <c r="C744" s="140">
        <v>716</v>
      </c>
      <c r="D744" s="142"/>
      <c r="E744" s="142"/>
      <c r="F744" s="142"/>
      <c r="G744" s="142"/>
      <c r="H744" s="141"/>
      <c r="I744" s="8"/>
    </row>
    <row r="745" spans="2:9" ht="15" hidden="1" customHeight="1" x14ac:dyDescent="0.25">
      <c r="B745" s="7"/>
      <c r="C745" s="140">
        <v>717</v>
      </c>
      <c r="D745" s="142"/>
      <c r="E745" s="142"/>
      <c r="F745" s="142"/>
      <c r="G745" s="142"/>
      <c r="H745" s="141"/>
      <c r="I745" s="8"/>
    </row>
    <row r="746" spans="2:9" ht="15" hidden="1" customHeight="1" x14ac:dyDescent="0.25">
      <c r="B746" s="7"/>
      <c r="C746" s="140">
        <v>718</v>
      </c>
      <c r="D746" s="142"/>
      <c r="E746" s="142"/>
      <c r="F746" s="142"/>
      <c r="G746" s="142"/>
      <c r="H746" s="141"/>
      <c r="I746" s="8"/>
    </row>
    <row r="747" spans="2:9" ht="15" hidden="1" customHeight="1" x14ac:dyDescent="0.25">
      <c r="B747" s="7"/>
      <c r="C747" s="140">
        <v>719</v>
      </c>
      <c r="D747" s="142"/>
      <c r="E747" s="142"/>
      <c r="F747" s="142"/>
      <c r="G747" s="142"/>
      <c r="H747" s="141"/>
      <c r="I747" s="8"/>
    </row>
    <row r="748" spans="2:9" ht="15" hidden="1" customHeight="1" x14ac:dyDescent="0.25">
      <c r="B748" s="7"/>
      <c r="C748" s="140">
        <v>720</v>
      </c>
      <c r="D748" s="142"/>
      <c r="E748" s="142"/>
      <c r="F748" s="142"/>
      <c r="G748" s="142"/>
      <c r="H748" s="141"/>
      <c r="I748" s="8"/>
    </row>
    <row r="749" spans="2:9" ht="15" hidden="1" customHeight="1" x14ac:dyDescent="0.25">
      <c r="B749" s="7"/>
      <c r="C749" s="140">
        <v>721</v>
      </c>
      <c r="D749" s="142"/>
      <c r="E749" s="142"/>
      <c r="F749" s="142"/>
      <c r="G749" s="142"/>
      <c r="H749" s="141"/>
      <c r="I749" s="8"/>
    </row>
    <row r="750" spans="2:9" ht="15" hidden="1" customHeight="1" x14ac:dyDescent="0.25">
      <c r="B750" s="7"/>
      <c r="C750" s="140">
        <v>722</v>
      </c>
      <c r="D750" s="142"/>
      <c r="E750" s="142"/>
      <c r="F750" s="142"/>
      <c r="G750" s="142"/>
      <c r="H750" s="141"/>
      <c r="I750" s="8"/>
    </row>
    <row r="751" spans="2:9" ht="15" hidden="1" customHeight="1" x14ac:dyDescent="0.25">
      <c r="B751" s="7"/>
      <c r="C751" s="140">
        <v>723</v>
      </c>
      <c r="D751" s="142"/>
      <c r="E751" s="142"/>
      <c r="F751" s="142"/>
      <c r="G751" s="142"/>
      <c r="H751" s="141"/>
      <c r="I751" s="8"/>
    </row>
    <row r="752" spans="2:9" ht="15" hidden="1" customHeight="1" x14ac:dyDescent="0.25">
      <c r="B752" s="7"/>
      <c r="C752" s="140">
        <v>724</v>
      </c>
      <c r="D752" s="142"/>
      <c r="E752" s="142"/>
      <c r="F752" s="142"/>
      <c r="G752" s="142"/>
      <c r="H752" s="141"/>
      <c r="I752" s="8"/>
    </row>
    <row r="753" spans="2:9" ht="15" hidden="1" customHeight="1" x14ac:dyDescent="0.25">
      <c r="B753" s="7"/>
      <c r="C753" s="140">
        <v>725</v>
      </c>
      <c r="D753" s="142"/>
      <c r="E753" s="142"/>
      <c r="F753" s="142"/>
      <c r="G753" s="142"/>
      <c r="H753" s="141"/>
      <c r="I753" s="8"/>
    </row>
    <row r="754" spans="2:9" ht="15" hidden="1" customHeight="1" x14ac:dyDescent="0.25">
      <c r="B754" s="7"/>
      <c r="C754" s="140">
        <v>726</v>
      </c>
      <c r="D754" s="142"/>
      <c r="E754" s="142"/>
      <c r="F754" s="142"/>
      <c r="G754" s="142"/>
      <c r="H754" s="141"/>
      <c r="I754" s="8"/>
    </row>
    <row r="755" spans="2:9" ht="15" hidden="1" customHeight="1" x14ac:dyDescent="0.25">
      <c r="B755" s="7"/>
      <c r="C755" s="140">
        <v>727</v>
      </c>
      <c r="D755" s="142"/>
      <c r="E755" s="142"/>
      <c r="F755" s="142"/>
      <c r="G755" s="142"/>
      <c r="H755" s="141"/>
      <c r="I755" s="8"/>
    </row>
    <row r="756" spans="2:9" ht="15" hidden="1" customHeight="1" x14ac:dyDescent="0.25">
      <c r="B756" s="7"/>
      <c r="C756" s="140">
        <v>728</v>
      </c>
      <c r="D756" s="142"/>
      <c r="E756" s="142"/>
      <c r="F756" s="142"/>
      <c r="G756" s="142"/>
      <c r="H756" s="141"/>
      <c r="I756" s="8"/>
    </row>
    <row r="757" spans="2:9" ht="15" hidden="1" customHeight="1" x14ac:dyDescent="0.25">
      <c r="B757" s="7"/>
      <c r="C757" s="140">
        <v>729</v>
      </c>
      <c r="D757" s="142"/>
      <c r="E757" s="142"/>
      <c r="F757" s="142"/>
      <c r="G757" s="142"/>
      <c r="H757" s="141"/>
      <c r="I757" s="8"/>
    </row>
    <row r="758" spans="2:9" ht="15" hidden="1" customHeight="1" x14ac:dyDescent="0.25">
      <c r="B758" s="7"/>
      <c r="C758" s="140">
        <v>730</v>
      </c>
      <c r="D758" s="142"/>
      <c r="E758" s="142"/>
      <c r="F758" s="142"/>
      <c r="G758" s="142"/>
      <c r="H758" s="141"/>
      <c r="I758" s="8"/>
    </row>
    <row r="759" spans="2:9" ht="15" hidden="1" customHeight="1" x14ac:dyDescent="0.25">
      <c r="B759" s="7"/>
      <c r="C759" s="140">
        <v>731</v>
      </c>
      <c r="D759" s="142"/>
      <c r="E759" s="142"/>
      <c r="F759" s="142"/>
      <c r="G759" s="142"/>
      <c r="H759" s="141"/>
      <c r="I759" s="8"/>
    </row>
    <row r="760" spans="2:9" ht="15" hidden="1" customHeight="1" x14ac:dyDescent="0.25">
      <c r="B760" s="7"/>
      <c r="C760" s="140">
        <v>732</v>
      </c>
      <c r="D760" s="142"/>
      <c r="E760" s="142"/>
      <c r="F760" s="142"/>
      <c r="G760" s="142"/>
      <c r="H760" s="141"/>
      <c r="I760" s="8"/>
    </row>
    <row r="761" spans="2:9" ht="15" hidden="1" customHeight="1" x14ac:dyDescent="0.25">
      <c r="B761" s="7"/>
      <c r="C761" s="140">
        <v>733</v>
      </c>
      <c r="D761" s="142"/>
      <c r="E761" s="142"/>
      <c r="F761" s="142"/>
      <c r="G761" s="142"/>
      <c r="H761" s="141"/>
      <c r="I761" s="8"/>
    </row>
    <row r="762" spans="2:9" ht="15" hidden="1" customHeight="1" x14ac:dyDescent="0.25">
      <c r="B762" s="7"/>
      <c r="C762" s="140">
        <v>734</v>
      </c>
      <c r="D762" s="142"/>
      <c r="E762" s="142"/>
      <c r="F762" s="142"/>
      <c r="G762" s="142"/>
      <c r="H762" s="141"/>
      <c r="I762" s="8"/>
    </row>
    <row r="763" spans="2:9" ht="15" hidden="1" customHeight="1" x14ac:dyDescent="0.25">
      <c r="B763" s="7"/>
      <c r="C763" s="140">
        <v>735</v>
      </c>
      <c r="D763" s="142"/>
      <c r="E763" s="142"/>
      <c r="F763" s="142"/>
      <c r="G763" s="142"/>
      <c r="H763" s="141"/>
      <c r="I763" s="8"/>
    </row>
    <row r="764" spans="2:9" ht="15" hidden="1" customHeight="1" x14ac:dyDescent="0.25">
      <c r="B764" s="7"/>
      <c r="C764" s="140">
        <v>736</v>
      </c>
      <c r="D764" s="142"/>
      <c r="E764" s="142"/>
      <c r="F764" s="142"/>
      <c r="G764" s="142"/>
      <c r="H764" s="141"/>
      <c r="I764" s="8"/>
    </row>
    <row r="765" spans="2:9" ht="15" hidden="1" customHeight="1" x14ac:dyDescent="0.25">
      <c r="B765" s="7"/>
      <c r="C765" s="140">
        <v>737</v>
      </c>
      <c r="D765" s="142"/>
      <c r="E765" s="142"/>
      <c r="F765" s="142"/>
      <c r="G765" s="142"/>
      <c r="H765" s="141"/>
      <c r="I765" s="8"/>
    </row>
    <row r="766" spans="2:9" ht="15" hidden="1" customHeight="1" x14ac:dyDescent="0.25">
      <c r="B766" s="7"/>
      <c r="C766" s="140">
        <v>738</v>
      </c>
      <c r="D766" s="142"/>
      <c r="E766" s="142"/>
      <c r="F766" s="142"/>
      <c r="G766" s="142"/>
      <c r="H766" s="141"/>
      <c r="I766" s="8"/>
    </row>
    <row r="767" spans="2:9" ht="15" hidden="1" customHeight="1" x14ac:dyDescent="0.25">
      <c r="B767" s="7"/>
      <c r="C767" s="140">
        <v>739</v>
      </c>
      <c r="D767" s="142"/>
      <c r="E767" s="142"/>
      <c r="F767" s="142"/>
      <c r="G767" s="142"/>
      <c r="H767" s="141"/>
      <c r="I767" s="8"/>
    </row>
    <row r="768" spans="2:9" ht="15" hidden="1" customHeight="1" x14ac:dyDescent="0.25">
      <c r="B768" s="7"/>
      <c r="C768" s="140">
        <v>740</v>
      </c>
      <c r="D768" s="142"/>
      <c r="E768" s="142"/>
      <c r="F768" s="142"/>
      <c r="G768" s="142"/>
      <c r="H768" s="141"/>
      <c r="I768" s="8"/>
    </row>
    <row r="769" spans="2:9" ht="15" hidden="1" customHeight="1" x14ac:dyDescent="0.25">
      <c r="B769" s="7"/>
      <c r="C769" s="140">
        <v>741</v>
      </c>
      <c r="D769" s="142"/>
      <c r="E769" s="142"/>
      <c r="F769" s="142"/>
      <c r="G769" s="142"/>
      <c r="H769" s="141"/>
      <c r="I769" s="8"/>
    </row>
    <row r="770" spans="2:9" ht="15" hidden="1" customHeight="1" x14ac:dyDescent="0.25">
      <c r="B770" s="7"/>
      <c r="C770" s="140">
        <v>742</v>
      </c>
      <c r="D770" s="142"/>
      <c r="E770" s="142"/>
      <c r="F770" s="142"/>
      <c r="G770" s="142"/>
      <c r="H770" s="141"/>
      <c r="I770" s="8"/>
    </row>
    <row r="771" spans="2:9" ht="15" hidden="1" customHeight="1" x14ac:dyDescent="0.25">
      <c r="B771" s="7"/>
      <c r="C771" s="140">
        <v>743</v>
      </c>
      <c r="D771" s="142"/>
      <c r="E771" s="142"/>
      <c r="F771" s="142"/>
      <c r="G771" s="142"/>
      <c r="H771" s="141"/>
      <c r="I771" s="8"/>
    </row>
    <row r="772" spans="2:9" ht="15" hidden="1" customHeight="1" x14ac:dyDescent="0.25">
      <c r="B772" s="7"/>
      <c r="C772" s="140">
        <v>744</v>
      </c>
      <c r="D772" s="142"/>
      <c r="E772" s="142"/>
      <c r="F772" s="142"/>
      <c r="G772" s="142"/>
      <c r="H772" s="141"/>
      <c r="I772" s="8"/>
    </row>
    <row r="773" spans="2:9" ht="15" hidden="1" customHeight="1" x14ac:dyDescent="0.25">
      <c r="B773" s="7"/>
      <c r="C773" s="140">
        <v>745</v>
      </c>
      <c r="D773" s="142"/>
      <c r="E773" s="142"/>
      <c r="F773" s="142"/>
      <c r="G773" s="142"/>
      <c r="H773" s="141"/>
      <c r="I773" s="8"/>
    </row>
    <row r="774" spans="2:9" ht="15" hidden="1" customHeight="1" x14ac:dyDescent="0.25">
      <c r="B774" s="7"/>
      <c r="C774" s="140">
        <v>746</v>
      </c>
      <c r="D774" s="142"/>
      <c r="E774" s="142"/>
      <c r="F774" s="142"/>
      <c r="G774" s="142"/>
      <c r="H774" s="141"/>
      <c r="I774" s="8"/>
    </row>
    <row r="775" spans="2:9" ht="15" hidden="1" customHeight="1" x14ac:dyDescent="0.25">
      <c r="B775" s="7"/>
      <c r="C775" s="140">
        <v>747</v>
      </c>
      <c r="D775" s="142"/>
      <c r="E775" s="142"/>
      <c r="F775" s="142"/>
      <c r="G775" s="142"/>
      <c r="H775" s="141"/>
      <c r="I775" s="8"/>
    </row>
    <row r="776" spans="2:9" ht="15" hidden="1" customHeight="1" x14ac:dyDescent="0.25">
      <c r="B776" s="7"/>
      <c r="C776" s="140">
        <v>748</v>
      </c>
      <c r="D776" s="142"/>
      <c r="E776" s="142"/>
      <c r="F776" s="142"/>
      <c r="G776" s="142"/>
      <c r="H776" s="141"/>
      <c r="I776" s="8"/>
    </row>
    <row r="777" spans="2:9" ht="15" hidden="1" customHeight="1" x14ac:dyDescent="0.25">
      <c r="B777" s="7"/>
      <c r="C777" s="140">
        <v>749</v>
      </c>
      <c r="D777" s="142"/>
      <c r="E777" s="142"/>
      <c r="F777" s="142"/>
      <c r="G777" s="142"/>
      <c r="H777" s="141"/>
      <c r="I777" s="8"/>
    </row>
    <row r="778" spans="2:9" ht="15" hidden="1" customHeight="1" x14ac:dyDescent="0.25">
      <c r="B778" s="7"/>
      <c r="C778" s="140">
        <v>750</v>
      </c>
      <c r="D778" s="142"/>
      <c r="E778" s="142"/>
      <c r="F778" s="142"/>
      <c r="G778" s="142"/>
      <c r="H778" s="141"/>
      <c r="I778" s="8"/>
    </row>
    <row r="779" spans="2:9" ht="15" hidden="1" customHeight="1" x14ac:dyDescent="0.25">
      <c r="B779" s="7"/>
      <c r="C779" s="140">
        <v>751</v>
      </c>
      <c r="D779" s="142"/>
      <c r="E779" s="142"/>
      <c r="F779" s="142"/>
      <c r="G779" s="142"/>
      <c r="H779" s="141"/>
      <c r="I779" s="8"/>
    </row>
    <row r="780" spans="2:9" ht="15" hidden="1" customHeight="1" x14ac:dyDescent="0.25">
      <c r="B780" s="7"/>
      <c r="C780" s="140">
        <v>752</v>
      </c>
      <c r="D780" s="142"/>
      <c r="E780" s="142"/>
      <c r="F780" s="142"/>
      <c r="G780" s="142"/>
      <c r="H780" s="141"/>
      <c r="I780" s="8"/>
    </row>
    <row r="781" spans="2:9" ht="15" hidden="1" customHeight="1" x14ac:dyDescent="0.25">
      <c r="B781" s="7"/>
      <c r="C781" s="140">
        <v>753</v>
      </c>
      <c r="D781" s="142"/>
      <c r="E781" s="142"/>
      <c r="F781" s="142"/>
      <c r="G781" s="142"/>
      <c r="H781" s="141"/>
      <c r="I781" s="8"/>
    </row>
    <row r="782" spans="2:9" ht="15" hidden="1" customHeight="1" x14ac:dyDescent="0.25">
      <c r="B782" s="7"/>
      <c r="C782" s="140">
        <v>754</v>
      </c>
      <c r="D782" s="142"/>
      <c r="E782" s="142"/>
      <c r="F782" s="142"/>
      <c r="G782" s="142"/>
      <c r="H782" s="141"/>
      <c r="I782" s="8"/>
    </row>
    <row r="783" spans="2:9" ht="15" hidden="1" customHeight="1" x14ac:dyDescent="0.25">
      <c r="B783" s="7"/>
      <c r="C783" s="140">
        <v>755</v>
      </c>
      <c r="D783" s="142"/>
      <c r="E783" s="142"/>
      <c r="F783" s="142"/>
      <c r="G783" s="142"/>
      <c r="H783" s="141"/>
      <c r="I783" s="8"/>
    </row>
    <row r="784" spans="2:9" ht="15" hidden="1" customHeight="1" x14ac:dyDescent="0.25">
      <c r="B784" s="7"/>
      <c r="C784" s="140">
        <v>756</v>
      </c>
      <c r="D784" s="142"/>
      <c r="E784" s="142"/>
      <c r="F784" s="142"/>
      <c r="G784" s="142"/>
      <c r="H784" s="141"/>
      <c r="I784" s="8"/>
    </row>
    <row r="785" spans="2:9" ht="15" hidden="1" customHeight="1" x14ac:dyDescent="0.25">
      <c r="B785" s="7"/>
      <c r="C785" s="140">
        <v>757</v>
      </c>
      <c r="D785" s="142"/>
      <c r="E785" s="142"/>
      <c r="F785" s="142"/>
      <c r="G785" s="142"/>
      <c r="H785" s="141"/>
      <c r="I785" s="8"/>
    </row>
    <row r="786" spans="2:9" ht="15" hidden="1" customHeight="1" x14ac:dyDescent="0.25">
      <c r="B786" s="7"/>
      <c r="C786" s="140">
        <v>758</v>
      </c>
      <c r="D786" s="142"/>
      <c r="E786" s="142"/>
      <c r="F786" s="142"/>
      <c r="G786" s="142"/>
      <c r="H786" s="141"/>
      <c r="I786" s="8"/>
    </row>
    <row r="787" spans="2:9" ht="15" hidden="1" customHeight="1" x14ac:dyDescent="0.25">
      <c r="B787" s="7"/>
      <c r="C787" s="140">
        <v>759</v>
      </c>
      <c r="D787" s="142"/>
      <c r="E787" s="142"/>
      <c r="F787" s="142"/>
      <c r="G787" s="142"/>
      <c r="H787" s="141"/>
      <c r="I787" s="8"/>
    </row>
    <row r="788" spans="2:9" ht="15" hidden="1" customHeight="1" x14ac:dyDescent="0.25">
      <c r="B788" s="7"/>
      <c r="C788" s="140">
        <v>760</v>
      </c>
      <c r="D788" s="142"/>
      <c r="E788" s="142"/>
      <c r="F788" s="142"/>
      <c r="G788" s="142"/>
      <c r="H788" s="141"/>
      <c r="I788" s="8"/>
    </row>
    <row r="789" spans="2:9" ht="15" hidden="1" customHeight="1" x14ac:dyDescent="0.25">
      <c r="B789" s="7"/>
      <c r="C789" s="140">
        <v>761</v>
      </c>
      <c r="D789" s="142"/>
      <c r="E789" s="142"/>
      <c r="F789" s="142"/>
      <c r="G789" s="142"/>
      <c r="H789" s="141"/>
      <c r="I789" s="8"/>
    </row>
    <row r="790" spans="2:9" ht="15" hidden="1" customHeight="1" x14ac:dyDescent="0.25">
      <c r="B790" s="7"/>
      <c r="C790" s="140">
        <v>762</v>
      </c>
      <c r="D790" s="142"/>
      <c r="E790" s="142"/>
      <c r="F790" s="142"/>
      <c r="G790" s="142"/>
      <c r="H790" s="141"/>
      <c r="I790" s="8"/>
    </row>
    <row r="791" spans="2:9" ht="15" hidden="1" customHeight="1" x14ac:dyDescent="0.25">
      <c r="B791" s="7"/>
      <c r="C791" s="140">
        <v>763</v>
      </c>
      <c r="D791" s="142"/>
      <c r="E791" s="142"/>
      <c r="F791" s="142"/>
      <c r="G791" s="142"/>
      <c r="H791" s="141"/>
      <c r="I791" s="8"/>
    </row>
    <row r="792" spans="2:9" ht="15" hidden="1" customHeight="1" x14ac:dyDescent="0.25">
      <c r="B792" s="7"/>
      <c r="C792" s="140">
        <v>764</v>
      </c>
      <c r="D792" s="142"/>
      <c r="E792" s="142"/>
      <c r="F792" s="142"/>
      <c r="G792" s="142"/>
      <c r="H792" s="141"/>
      <c r="I792" s="8"/>
    </row>
    <row r="793" spans="2:9" ht="15" hidden="1" customHeight="1" x14ac:dyDescent="0.25">
      <c r="B793" s="7"/>
      <c r="C793" s="140">
        <v>765</v>
      </c>
      <c r="D793" s="142"/>
      <c r="E793" s="142"/>
      <c r="F793" s="142"/>
      <c r="G793" s="142"/>
      <c r="H793" s="141"/>
      <c r="I793" s="8"/>
    </row>
    <row r="794" spans="2:9" ht="15" hidden="1" customHeight="1" x14ac:dyDescent="0.25">
      <c r="B794" s="7"/>
      <c r="C794" s="140">
        <v>766</v>
      </c>
      <c r="D794" s="142"/>
      <c r="E794" s="142"/>
      <c r="F794" s="142"/>
      <c r="G794" s="142"/>
      <c r="H794" s="141"/>
      <c r="I794" s="8"/>
    </row>
    <row r="795" spans="2:9" ht="15" hidden="1" customHeight="1" x14ac:dyDescent="0.25">
      <c r="B795" s="7"/>
      <c r="C795" s="140">
        <v>767</v>
      </c>
      <c r="D795" s="142"/>
      <c r="E795" s="142"/>
      <c r="F795" s="142"/>
      <c r="G795" s="142"/>
      <c r="H795" s="141"/>
      <c r="I795" s="8"/>
    </row>
    <row r="796" spans="2:9" ht="15" hidden="1" customHeight="1" x14ac:dyDescent="0.25">
      <c r="B796" s="7"/>
      <c r="C796" s="140">
        <v>768</v>
      </c>
      <c r="D796" s="142"/>
      <c r="E796" s="142"/>
      <c r="F796" s="142"/>
      <c r="G796" s="142"/>
      <c r="H796" s="141"/>
      <c r="I796" s="8"/>
    </row>
    <row r="797" spans="2:9" ht="15" hidden="1" customHeight="1" x14ac:dyDescent="0.25">
      <c r="B797" s="7"/>
      <c r="C797" s="140">
        <v>769</v>
      </c>
      <c r="D797" s="142"/>
      <c r="E797" s="142"/>
      <c r="F797" s="142"/>
      <c r="G797" s="142"/>
      <c r="H797" s="141"/>
      <c r="I797" s="8"/>
    </row>
    <row r="798" spans="2:9" ht="15" hidden="1" customHeight="1" x14ac:dyDescent="0.25">
      <c r="B798" s="7"/>
      <c r="C798" s="140">
        <v>770</v>
      </c>
      <c r="D798" s="142"/>
      <c r="E798" s="142"/>
      <c r="F798" s="142"/>
      <c r="G798" s="142"/>
      <c r="H798" s="141"/>
      <c r="I798" s="8"/>
    </row>
    <row r="799" spans="2:9" ht="15" hidden="1" customHeight="1" x14ac:dyDescent="0.25">
      <c r="B799" s="7"/>
      <c r="C799" s="140">
        <v>771</v>
      </c>
      <c r="D799" s="142"/>
      <c r="E799" s="142"/>
      <c r="F799" s="142"/>
      <c r="G799" s="142"/>
      <c r="H799" s="141"/>
      <c r="I799" s="8"/>
    </row>
    <row r="800" spans="2:9" ht="15" hidden="1" customHeight="1" x14ac:dyDescent="0.25">
      <c r="B800" s="7"/>
      <c r="C800" s="140">
        <v>772</v>
      </c>
      <c r="D800" s="142"/>
      <c r="E800" s="142"/>
      <c r="F800" s="142"/>
      <c r="G800" s="142"/>
      <c r="H800" s="141"/>
      <c r="I800" s="8"/>
    </row>
    <row r="801" spans="2:9" ht="15" hidden="1" customHeight="1" x14ac:dyDescent="0.25">
      <c r="B801" s="7"/>
      <c r="C801" s="140">
        <v>773</v>
      </c>
      <c r="D801" s="142"/>
      <c r="E801" s="142"/>
      <c r="F801" s="142"/>
      <c r="G801" s="142"/>
      <c r="H801" s="141"/>
      <c r="I801" s="8"/>
    </row>
    <row r="802" spans="2:9" ht="15" hidden="1" customHeight="1" x14ac:dyDescent="0.25">
      <c r="B802" s="7"/>
      <c r="C802" s="140">
        <v>774</v>
      </c>
      <c r="D802" s="142"/>
      <c r="E802" s="142"/>
      <c r="F802" s="142"/>
      <c r="G802" s="142"/>
      <c r="H802" s="141"/>
      <c r="I802" s="8"/>
    </row>
    <row r="803" spans="2:9" ht="15" hidden="1" customHeight="1" x14ac:dyDescent="0.25">
      <c r="B803" s="7"/>
      <c r="C803" s="140">
        <v>775</v>
      </c>
      <c r="D803" s="142"/>
      <c r="E803" s="142"/>
      <c r="F803" s="142"/>
      <c r="G803" s="142"/>
      <c r="H803" s="141"/>
      <c r="I803" s="8"/>
    </row>
    <row r="804" spans="2:9" ht="15" hidden="1" customHeight="1" x14ac:dyDescent="0.25">
      <c r="B804" s="7"/>
      <c r="C804" s="140">
        <v>776</v>
      </c>
      <c r="D804" s="142"/>
      <c r="E804" s="142"/>
      <c r="F804" s="142"/>
      <c r="G804" s="142"/>
      <c r="H804" s="141"/>
      <c r="I804" s="8"/>
    </row>
    <row r="805" spans="2:9" ht="15" hidden="1" customHeight="1" x14ac:dyDescent="0.25">
      <c r="B805" s="7"/>
      <c r="C805" s="140">
        <v>777</v>
      </c>
      <c r="D805" s="142"/>
      <c r="E805" s="142"/>
      <c r="F805" s="142"/>
      <c r="G805" s="142"/>
      <c r="H805" s="141"/>
      <c r="I805" s="8"/>
    </row>
    <row r="806" spans="2:9" ht="15" hidden="1" customHeight="1" x14ac:dyDescent="0.25">
      <c r="B806" s="7"/>
      <c r="C806" s="140">
        <v>778</v>
      </c>
      <c r="D806" s="142"/>
      <c r="E806" s="142"/>
      <c r="F806" s="142"/>
      <c r="G806" s="142"/>
      <c r="H806" s="141"/>
      <c r="I806" s="8"/>
    </row>
    <row r="807" spans="2:9" ht="15" hidden="1" customHeight="1" x14ac:dyDescent="0.25">
      <c r="B807" s="7"/>
      <c r="C807" s="140">
        <v>779</v>
      </c>
      <c r="D807" s="142"/>
      <c r="E807" s="142"/>
      <c r="F807" s="142"/>
      <c r="G807" s="142"/>
      <c r="H807" s="141"/>
      <c r="I807" s="8"/>
    </row>
    <row r="808" spans="2:9" ht="15" hidden="1" customHeight="1" x14ac:dyDescent="0.25">
      <c r="B808" s="7"/>
      <c r="C808" s="140">
        <v>780</v>
      </c>
      <c r="D808" s="142"/>
      <c r="E808" s="142"/>
      <c r="F808" s="142"/>
      <c r="G808" s="142"/>
      <c r="H808" s="141"/>
      <c r="I808" s="8"/>
    </row>
    <row r="809" spans="2:9" ht="15" hidden="1" customHeight="1" x14ac:dyDescent="0.25">
      <c r="B809" s="7"/>
      <c r="C809" s="140">
        <v>781</v>
      </c>
      <c r="D809" s="142"/>
      <c r="E809" s="142"/>
      <c r="F809" s="142"/>
      <c r="G809" s="142"/>
      <c r="H809" s="141"/>
      <c r="I809" s="8"/>
    </row>
    <row r="810" spans="2:9" ht="15" hidden="1" customHeight="1" x14ac:dyDescent="0.25">
      <c r="B810" s="7"/>
      <c r="C810" s="140">
        <v>782</v>
      </c>
      <c r="D810" s="142"/>
      <c r="E810" s="142"/>
      <c r="F810" s="142"/>
      <c r="G810" s="142"/>
      <c r="H810" s="141"/>
      <c r="I810" s="8"/>
    </row>
    <row r="811" spans="2:9" ht="15" hidden="1" customHeight="1" x14ac:dyDescent="0.25">
      <c r="B811" s="7"/>
      <c r="C811" s="140">
        <v>783</v>
      </c>
      <c r="D811" s="142"/>
      <c r="E811" s="142"/>
      <c r="F811" s="142"/>
      <c r="G811" s="142"/>
      <c r="H811" s="141"/>
      <c r="I811" s="8"/>
    </row>
    <row r="812" spans="2:9" ht="15" hidden="1" customHeight="1" x14ac:dyDescent="0.25">
      <c r="B812" s="7"/>
      <c r="C812" s="140">
        <v>784</v>
      </c>
      <c r="D812" s="142"/>
      <c r="E812" s="142"/>
      <c r="F812" s="142"/>
      <c r="G812" s="142"/>
      <c r="H812" s="141"/>
      <c r="I812" s="8"/>
    </row>
    <row r="813" spans="2:9" ht="15" hidden="1" customHeight="1" x14ac:dyDescent="0.25">
      <c r="B813" s="7"/>
      <c r="C813" s="140">
        <v>785</v>
      </c>
      <c r="D813" s="142"/>
      <c r="E813" s="142"/>
      <c r="F813" s="142"/>
      <c r="G813" s="142"/>
      <c r="H813" s="141"/>
      <c r="I813" s="8"/>
    </row>
    <row r="814" spans="2:9" ht="15" hidden="1" customHeight="1" x14ac:dyDescent="0.25">
      <c r="B814" s="7"/>
      <c r="C814" s="140">
        <v>786</v>
      </c>
      <c r="D814" s="142"/>
      <c r="E814" s="142"/>
      <c r="F814" s="142"/>
      <c r="G814" s="142"/>
      <c r="H814" s="141"/>
      <c r="I814" s="8"/>
    </row>
    <row r="815" spans="2:9" ht="15" hidden="1" customHeight="1" x14ac:dyDescent="0.25">
      <c r="B815" s="7"/>
      <c r="C815" s="140">
        <v>787</v>
      </c>
      <c r="D815" s="142"/>
      <c r="E815" s="142"/>
      <c r="F815" s="142"/>
      <c r="G815" s="142"/>
      <c r="H815" s="141"/>
      <c r="I815" s="8"/>
    </row>
    <row r="816" spans="2:9" ht="15" hidden="1" customHeight="1" x14ac:dyDescent="0.25">
      <c r="B816" s="7"/>
      <c r="C816" s="140">
        <v>788</v>
      </c>
      <c r="D816" s="142"/>
      <c r="E816" s="142"/>
      <c r="F816" s="142"/>
      <c r="G816" s="142"/>
      <c r="H816" s="141"/>
      <c r="I816" s="8"/>
    </row>
    <row r="817" spans="2:9" ht="15" hidden="1" customHeight="1" x14ac:dyDescent="0.25">
      <c r="B817" s="7"/>
      <c r="C817" s="140">
        <v>789</v>
      </c>
      <c r="D817" s="142"/>
      <c r="E817" s="142"/>
      <c r="F817" s="142"/>
      <c r="G817" s="142"/>
      <c r="H817" s="141"/>
      <c r="I817" s="8"/>
    </row>
    <row r="818" spans="2:9" ht="15" hidden="1" customHeight="1" x14ac:dyDescent="0.25">
      <c r="B818" s="7"/>
      <c r="C818" s="140">
        <v>790</v>
      </c>
      <c r="D818" s="142"/>
      <c r="E818" s="142"/>
      <c r="F818" s="142"/>
      <c r="G818" s="142"/>
      <c r="H818" s="141"/>
      <c r="I818" s="8"/>
    </row>
    <row r="819" spans="2:9" ht="15" hidden="1" customHeight="1" x14ac:dyDescent="0.25">
      <c r="B819" s="7"/>
      <c r="C819" s="140">
        <v>791</v>
      </c>
      <c r="D819" s="142"/>
      <c r="E819" s="142"/>
      <c r="F819" s="142"/>
      <c r="G819" s="142"/>
      <c r="H819" s="141"/>
      <c r="I819" s="8"/>
    </row>
    <row r="820" spans="2:9" ht="15" hidden="1" customHeight="1" x14ac:dyDescent="0.25">
      <c r="B820" s="7"/>
      <c r="C820" s="140">
        <v>792</v>
      </c>
      <c r="D820" s="142"/>
      <c r="E820" s="142"/>
      <c r="F820" s="142"/>
      <c r="G820" s="142"/>
      <c r="H820" s="141"/>
      <c r="I820" s="8"/>
    </row>
    <row r="821" spans="2:9" ht="15" hidden="1" customHeight="1" x14ac:dyDescent="0.25">
      <c r="B821" s="7"/>
      <c r="C821" s="140">
        <v>793</v>
      </c>
      <c r="D821" s="142"/>
      <c r="E821" s="142"/>
      <c r="F821" s="142"/>
      <c r="G821" s="142"/>
      <c r="H821" s="141"/>
      <c r="I821" s="8"/>
    </row>
    <row r="822" spans="2:9" ht="15" hidden="1" customHeight="1" x14ac:dyDescent="0.25">
      <c r="B822" s="7"/>
      <c r="C822" s="140">
        <v>794</v>
      </c>
      <c r="D822" s="142"/>
      <c r="E822" s="142"/>
      <c r="F822" s="142"/>
      <c r="G822" s="142"/>
      <c r="H822" s="141"/>
      <c r="I822" s="8"/>
    </row>
    <row r="823" spans="2:9" ht="15" hidden="1" customHeight="1" x14ac:dyDescent="0.25">
      <c r="B823" s="7"/>
      <c r="C823" s="140">
        <v>795</v>
      </c>
      <c r="D823" s="142"/>
      <c r="E823" s="142"/>
      <c r="F823" s="142"/>
      <c r="G823" s="142"/>
      <c r="H823" s="141"/>
      <c r="I823" s="8"/>
    </row>
    <row r="824" spans="2:9" ht="15" hidden="1" customHeight="1" x14ac:dyDescent="0.25">
      <c r="B824" s="7"/>
      <c r="C824" s="140">
        <v>796</v>
      </c>
      <c r="D824" s="142"/>
      <c r="E824" s="142"/>
      <c r="F824" s="142"/>
      <c r="G824" s="142"/>
      <c r="H824" s="141"/>
      <c r="I824" s="8"/>
    </row>
    <row r="825" spans="2:9" ht="15" hidden="1" customHeight="1" x14ac:dyDescent="0.25">
      <c r="B825" s="7"/>
      <c r="C825" s="140">
        <v>797</v>
      </c>
      <c r="D825" s="142"/>
      <c r="E825" s="142"/>
      <c r="F825" s="142"/>
      <c r="G825" s="142"/>
      <c r="H825" s="141"/>
      <c r="I825" s="8"/>
    </row>
    <row r="826" spans="2:9" ht="15" hidden="1" customHeight="1" x14ac:dyDescent="0.25">
      <c r="B826" s="7"/>
      <c r="C826" s="140">
        <v>798</v>
      </c>
      <c r="D826" s="142"/>
      <c r="E826" s="142"/>
      <c r="F826" s="142"/>
      <c r="G826" s="142"/>
      <c r="H826" s="141"/>
      <c r="I826" s="8"/>
    </row>
    <row r="827" spans="2:9" ht="15" hidden="1" customHeight="1" x14ac:dyDescent="0.25">
      <c r="B827" s="7"/>
      <c r="C827" s="140">
        <v>799</v>
      </c>
      <c r="D827" s="142"/>
      <c r="E827" s="142"/>
      <c r="F827" s="142"/>
      <c r="G827" s="142"/>
      <c r="H827" s="141"/>
      <c r="I827" s="8"/>
    </row>
    <row r="828" spans="2:9" ht="15" hidden="1" customHeight="1" x14ac:dyDescent="0.25">
      <c r="B828" s="7"/>
      <c r="C828" s="140">
        <v>800</v>
      </c>
      <c r="D828" s="142"/>
      <c r="E828" s="142"/>
      <c r="F828" s="142"/>
      <c r="G828" s="142"/>
      <c r="H828" s="141"/>
      <c r="I828" s="8"/>
    </row>
    <row r="829" spans="2:9" ht="15" hidden="1" customHeight="1" x14ac:dyDescent="0.25">
      <c r="B829" s="7"/>
      <c r="C829" s="140">
        <v>801</v>
      </c>
      <c r="D829" s="142"/>
      <c r="E829" s="142"/>
      <c r="F829" s="142"/>
      <c r="G829" s="142"/>
      <c r="H829" s="141"/>
      <c r="I829" s="8"/>
    </row>
    <row r="830" spans="2:9" ht="15" hidden="1" customHeight="1" x14ac:dyDescent="0.25">
      <c r="B830" s="7"/>
      <c r="C830" s="140">
        <v>802</v>
      </c>
      <c r="D830" s="142"/>
      <c r="E830" s="142"/>
      <c r="F830" s="142"/>
      <c r="G830" s="142"/>
      <c r="H830" s="141"/>
      <c r="I830" s="8"/>
    </row>
    <row r="831" spans="2:9" ht="15" hidden="1" customHeight="1" x14ac:dyDescent="0.25">
      <c r="B831" s="7"/>
      <c r="C831" s="140">
        <v>803</v>
      </c>
      <c r="D831" s="142"/>
      <c r="E831" s="142"/>
      <c r="F831" s="142"/>
      <c r="G831" s="142"/>
      <c r="H831" s="141"/>
      <c r="I831" s="8"/>
    </row>
    <row r="832" spans="2:9" ht="15" hidden="1" customHeight="1" x14ac:dyDescent="0.25">
      <c r="B832" s="7"/>
      <c r="C832" s="140">
        <v>804</v>
      </c>
      <c r="D832" s="142"/>
      <c r="E832" s="142"/>
      <c r="F832" s="142"/>
      <c r="G832" s="142"/>
      <c r="H832" s="141"/>
      <c r="I832" s="8"/>
    </row>
    <row r="833" spans="2:9" ht="15" hidden="1" customHeight="1" x14ac:dyDescent="0.25">
      <c r="B833" s="7"/>
      <c r="C833" s="140">
        <v>805</v>
      </c>
      <c r="D833" s="142"/>
      <c r="E833" s="142"/>
      <c r="F833" s="142"/>
      <c r="G833" s="142"/>
      <c r="H833" s="141"/>
      <c r="I833" s="8"/>
    </row>
    <row r="834" spans="2:9" ht="15" hidden="1" customHeight="1" x14ac:dyDescent="0.25">
      <c r="B834" s="7"/>
      <c r="C834" s="140">
        <v>806</v>
      </c>
      <c r="D834" s="142"/>
      <c r="E834" s="142"/>
      <c r="F834" s="142"/>
      <c r="G834" s="142"/>
      <c r="H834" s="141"/>
      <c r="I834" s="8"/>
    </row>
    <row r="835" spans="2:9" ht="15" hidden="1" customHeight="1" x14ac:dyDescent="0.25">
      <c r="B835" s="7"/>
      <c r="C835" s="140">
        <v>807</v>
      </c>
      <c r="D835" s="142"/>
      <c r="E835" s="142"/>
      <c r="F835" s="142"/>
      <c r="G835" s="142"/>
      <c r="H835" s="141"/>
      <c r="I835" s="8"/>
    </row>
    <row r="836" spans="2:9" ht="15" hidden="1" customHeight="1" x14ac:dyDescent="0.25">
      <c r="B836" s="7"/>
      <c r="C836" s="140">
        <v>808</v>
      </c>
      <c r="D836" s="142"/>
      <c r="E836" s="142"/>
      <c r="F836" s="142"/>
      <c r="G836" s="142"/>
      <c r="H836" s="141"/>
      <c r="I836" s="8"/>
    </row>
    <row r="837" spans="2:9" ht="15" hidden="1" customHeight="1" x14ac:dyDescent="0.25">
      <c r="B837" s="7"/>
      <c r="C837" s="140">
        <v>809</v>
      </c>
      <c r="D837" s="142"/>
      <c r="E837" s="142"/>
      <c r="F837" s="142"/>
      <c r="G837" s="142"/>
      <c r="H837" s="141"/>
      <c r="I837" s="8"/>
    </row>
    <row r="838" spans="2:9" ht="15" hidden="1" customHeight="1" x14ac:dyDescent="0.25">
      <c r="B838" s="7"/>
      <c r="C838" s="140">
        <v>810</v>
      </c>
      <c r="D838" s="142"/>
      <c r="E838" s="142"/>
      <c r="F838" s="142"/>
      <c r="G838" s="142"/>
      <c r="H838" s="141"/>
      <c r="I838" s="8"/>
    </row>
    <row r="839" spans="2:9" ht="15" hidden="1" customHeight="1" x14ac:dyDescent="0.25">
      <c r="B839" s="7"/>
      <c r="C839" s="140">
        <v>811</v>
      </c>
      <c r="D839" s="142"/>
      <c r="E839" s="142"/>
      <c r="F839" s="142"/>
      <c r="G839" s="142"/>
      <c r="H839" s="141"/>
      <c r="I839" s="8"/>
    </row>
    <row r="840" spans="2:9" ht="15" hidden="1" customHeight="1" x14ac:dyDescent="0.25">
      <c r="B840" s="7"/>
      <c r="C840" s="140">
        <v>812</v>
      </c>
      <c r="D840" s="142"/>
      <c r="E840" s="142"/>
      <c r="F840" s="142"/>
      <c r="G840" s="142"/>
      <c r="H840" s="141"/>
      <c r="I840" s="8"/>
    </row>
    <row r="841" spans="2:9" ht="15" hidden="1" customHeight="1" x14ac:dyDescent="0.25">
      <c r="B841" s="7"/>
      <c r="C841" s="140">
        <v>813</v>
      </c>
      <c r="D841" s="142"/>
      <c r="E841" s="142"/>
      <c r="F841" s="142"/>
      <c r="G841" s="142"/>
      <c r="H841" s="141"/>
      <c r="I841" s="8"/>
    </row>
    <row r="842" spans="2:9" ht="15" hidden="1" customHeight="1" x14ac:dyDescent="0.25">
      <c r="B842" s="7"/>
      <c r="C842" s="140">
        <v>814</v>
      </c>
      <c r="D842" s="142"/>
      <c r="E842" s="142"/>
      <c r="F842" s="142"/>
      <c r="G842" s="142"/>
      <c r="H842" s="141"/>
      <c r="I842" s="8"/>
    </row>
    <row r="843" spans="2:9" ht="15" hidden="1" customHeight="1" x14ac:dyDescent="0.25">
      <c r="B843" s="7"/>
      <c r="C843" s="140">
        <v>815</v>
      </c>
      <c r="D843" s="142"/>
      <c r="E843" s="142"/>
      <c r="F843" s="142"/>
      <c r="G843" s="142"/>
      <c r="H843" s="141"/>
      <c r="I843" s="8"/>
    </row>
    <row r="844" spans="2:9" ht="15" hidden="1" customHeight="1" x14ac:dyDescent="0.25">
      <c r="B844" s="7"/>
      <c r="C844" s="140">
        <v>816</v>
      </c>
      <c r="D844" s="142"/>
      <c r="E844" s="142"/>
      <c r="F844" s="142"/>
      <c r="G844" s="142"/>
      <c r="H844" s="141"/>
      <c r="I844" s="8"/>
    </row>
    <row r="845" spans="2:9" ht="15" hidden="1" customHeight="1" x14ac:dyDescent="0.25">
      <c r="B845" s="7"/>
      <c r="C845" s="140">
        <v>817</v>
      </c>
      <c r="D845" s="142"/>
      <c r="E845" s="142"/>
      <c r="F845" s="142"/>
      <c r="G845" s="142"/>
      <c r="H845" s="141"/>
      <c r="I845" s="8"/>
    </row>
    <row r="846" spans="2:9" ht="15" hidden="1" customHeight="1" x14ac:dyDescent="0.25">
      <c r="B846" s="7"/>
      <c r="C846" s="140">
        <v>818</v>
      </c>
      <c r="D846" s="142"/>
      <c r="E846" s="142"/>
      <c r="F846" s="142"/>
      <c r="G846" s="142"/>
      <c r="H846" s="141"/>
      <c r="I846" s="8"/>
    </row>
    <row r="847" spans="2:9" ht="15" hidden="1" customHeight="1" x14ac:dyDescent="0.25">
      <c r="B847" s="7"/>
      <c r="C847" s="140">
        <v>819</v>
      </c>
      <c r="D847" s="142"/>
      <c r="E847" s="142"/>
      <c r="F847" s="142"/>
      <c r="G847" s="142"/>
      <c r="H847" s="141"/>
      <c r="I847" s="8"/>
    </row>
    <row r="848" spans="2:9" ht="15" hidden="1" customHeight="1" x14ac:dyDescent="0.25">
      <c r="B848" s="7"/>
      <c r="C848" s="140">
        <v>820</v>
      </c>
      <c r="D848" s="142"/>
      <c r="E848" s="142"/>
      <c r="F848" s="142"/>
      <c r="G848" s="142"/>
      <c r="H848" s="141"/>
      <c r="I848" s="8"/>
    </row>
    <row r="849" spans="2:9" ht="15" hidden="1" customHeight="1" x14ac:dyDescent="0.25">
      <c r="B849" s="7"/>
      <c r="C849" s="140">
        <v>821</v>
      </c>
      <c r="D849" s="142"/>
      <c r="E849" s="142"/>
      <c r="F849" s="142"/>
      <c r="G849" s="142"/>
      <c r="H849" s="141"/>
      <c r="I849" s="8"/>
    </row>
    <row r="850" spans="2:9" ht="15" hidden="1" customHeight="1" x14ac:dyDescent="0.25">
      <c r="B850" s="7"/>
      <c r="C850" s="140">
        <v>822</v>
      </c>
      <c r="D850" s="142"/>
      <c r="E850" s="142"/>
      <c r="F850" s="142"/>
      <c r="G850" s="142"/>
      <c r="H850" s="141"/>
      <c r="I850" s="8"/>
    </row>
    <row r="851" spans="2:9" ht="15" hidden="1" customHeight="1" x14ac:dyDescent="0.25">
      <c r="B851" s="7"/>
      <c r="C851" s="140">
        <v>823</v>
      </c>
      <c r="D851" s="142"/>
      <c r="E851" s="142"/>
      <c r="F851" s="142"/>
      <c r="G851" s="142"/>
      <c r="H851" s="141"/>
      <c r="I851" s="8"/>
    </row>
    <row r="852" spans="2:9" ht="15" hidden="1" customHeight="1" x14ac:dyDescent="0.25">
      <c r="B852" s="7"/>
      <c r="C852" s="140">
        <v>824</v>
      </c>
      <c r="D852" s="142"/>
      <c r="E852" s="142"/>
      <c r="F852" s="142"/>
      <c r="G852" s="142"/>
      <c r="H852" s="141"/>
      <c r="I852" s="8"/>
    </row>
    <row r="853" spans="2:9" ht="15" hidden="1" customHeight="1" x14ac:dyDescent="0.25">
      <c r="B853" s="7"/>
      <c r="C853" s="140">
        <v>825</v>
      </c>
      <c r="D853" s="142"/>
      <c r="E853" s="142"/>
      <c r="F853" s="142"/>
      <c r="G853" s="142"/>
      <c r="H853" s="141"/>
      <c r="I853" s="8"/>
    </row>
    <row r="854" spans="2:9" ht="15" hidden="1" customHeight="1" x14ac:dyDescent="0.25">
      <c r="B854" s="7"/>
      <c r="C854" s="140">
        <v>826</v>
      </c>
      <c r="D854" s="142"/>
      <c r="E854" s="142"/>
      <c r="F854" s="142"/>
      <c r="G854" s="142"/>
      <c r="H854" s="141"/>
      <c r="I854" s="8"/>
    </row>
    <row r="855" spans="2:9" ht="15" hidden="1" customHeight="1" x14ac:dyDescent="0.25">
      <c r="B855" s="7"/>
      <c r="C855" s="140">
        <v>827</v>
      </c>
      <c r="D855" s="142"/>
      <c r="E855" s="142"/>
      <c r="F855" s="142"/>
      <c r="G855" s="142"/>
      <c r="H855" s="141"/>
      <c r="I855" s="8"/>
    </row>
    <row r="856" spans="2:9" ht="15" hidden="1" customHeight="1" x14ac:dyDescent="0.25">
      <c r="B856" s="7"/>
      <c r="C856" s="140">
        <v>828</v>
      </c>
      <c r="D856" s="142"/>
      <c r="E856" s="142"/>
      <c r="F856" s="142"/>
      <c r="G856" s="142"/>
      <c r="H856" s="141"/>
      <c r="I856" s="8"/>
    </row>
    <row r="857" spans="2:9" ht="15" hidden="1" customHeight="1" x14ac:dyDescent="0.25">
      <c r="B857" s="7"/>
      <c r="C857" s="140">
        <v>829</v>
      </c>
      <c r="D857" s="142"/>
      <c r="E857" s="142"/>
      <c r="F857" s="142"/>
      <c r="G857" s="142"/>
      <c r="H857" s="141"/>
      <c r="I857" s="8"/>
    </row>
    <row r="858" spans="2:9" ht="15" hidden="1" customHeight="1" x14ac:dyDescent="0.25">
      <c r="B858" s="7"/>
      <c r="C858" s="140">
        <v>830</v>
      </c>
      <c r="D858" s="142"/>
      <c r="E858" s="142"/>
      <c r="F858" s="142"/>
      <c r="G858" s="142"/>
      <c r="H858" s="141"/>
      <c r="I858" s="8"/>
    </row>
    <row r="859" spans="2:9" ht="15" hidden="1" customHeight="1" x14ac:dyDescent="0.25">
      <c r="B859" s="7"/>
      <c r="C859" s="140">
        <v>831</v>
      </c>
      <c r="D859" s="142"/>
      <c r="E859" s="142"/>
      <c r="F859" s="142"/>
      <c r="G859" s="142"/>
      <c r="H859" s="141"/>
      <c r="I859" s="8"/>
    </row>
    <row r="860" spans="2:9" ht="15" hidden="1" customHeight="1" x14ac:dyDescent="0.25">
      <c r="B860" s="7"/>
      <c r="C860" s="140">
        <v>832</v>
      </c>
      <c r="D860" s="142"/>
      <c r="E860" s="142"/>
      <c r="F860" s="142"/>
      <c r="G860" s="142"/>
      <c r="H860" s="141"/>
      <c r="I860" s="8"/>
    </row>
    <row r="861" spans="2:9" ht="15" hidden="1" customHeight="1" x14ac:dyDescent="0.25">
      <c r="B861" s="7"/>
      <c r="C861" s="140">
        <v>833</v>
      </c>
      <c r="D861" s="142"/>
      <c r="E861" s="142"/>
      <c r="F861" s="142"/>
      <c r="G861" s="142"/>
      <c r="H861" s="141"/>
      <c r="I861" s="8"/>
    </row>
    <row r="862" spans="2:9" ht="15" hidden="1" customHeight="1" x14ac:dyDescent="0.25">
      <c r="B862" s="7"/>
      <c r="C862" s="140">
        <v>834</v>
      </c>
      <c r="D862" s="142"/>
      <c r="E862" s="142"/>
      <c r="F862" s="142"/>
      <c r="G862" s="142"/>
      <c r="H862" s="141"/>
      <c r="I862" s="8"/>
    </row>
    <row r="863" spans="2:9" ht="15" hidden="1" customHeight="1" x14ac:dyDescent="0.25">
      <c r="B863" s="7"/>
      <c r="C863" s="140">
        <v>835</v>
      </c>
      <c r="D863" s="142"/>
      <c r="E863" s="142"/>
      <c r="F863" s="142"/>
      <c r="G863" s="142"/>
      <c r="H863" s="141"/>
      <c r="I863" s="8"/>
    </row>
    <row r="864" spans="2:9" ht="15" hidden="1" customHeight="1" x14ac:dyDescent="0.25">
      <c r="B864" s="7"/>
      <c r="C864" s="140">
        <v>836</v>
      </c>
      <c r="D864" s="142"/>
      <c r="E864" s="142"/>
      <c r="F864" s="142"/>
      <c r="G864" s="142"/>
      <c r="H864" s="141"/>
      <c r="I864" s="8"/>
    </row>
    <row r="865" spans="2:9" ht="15" hidden="1" customHeight="1" x14ac:dyDescent="0.25">
      <c r="B865" s="7"/>
      <c r="C865" s="140">
        <v>837</v>
      </c>
      <c r="D865" s="142"/>
      <c r="E865" s="142"/>
      <c r="F865" s="142"/>
      <c r="G865" s="142"/>
      <c r="H865" s="141"/>
      <c r="I865" s="8"/>
    </row>
    <row r="866" spans="2:9" ht="15" hidden="1" customHeight="1" x14ac:dyDescent="0.25">
      <c r="B866" s="7"/>
      <c r="C866" s="140">
        <v>838</v>
      </c>
      <c r="D866" s="142"/>
      <c r="E866" s="142"/>
      <c r="F866" s="142"/>
      <c r="G866" s="142"/>
      <c r="H866" s="141"/>
      <c r="I866" s="8"/>
    </row>
    <row r="867" spans="2:9" ht="15" hidden="1" customHeight="1" x14ac:dyDescent="0.25">
      <c r="B867" s="7"/>
      <c r="C867" s="140">
        <v>839</v>
      </c>
      <c r="D867" s="142"/>
      <c r="E867" s="142"/>
      <c r="F867" s="142"/>
      <c r="G867" s="142"/>
      <c r="H867" s="141"/>
      <c r="I867" s="8"/>
    </row>
    <row r="868" spans="2:9" ht="15" hidden="1" customHeight="1" x14ac:dyDescent="0.25">
      <c r="B868" s="7"/>
      <c r="C868" s="140">
        <v>840</v>
      </c>
      <c r="D868" s="142"/>
      <c r="E868" s="142"/>
      <c r="F868" s="142"/>
      <c r="G868" s="142"/>
      <c r="H868" s="141"/>
      <c r="I868" s="8"/>
    </row>
    <row r="869" spans="2:9" ht="15" hidden="1" customHeight="1" x14ac:dyDescent="0.25">
      <c r="B869" s="7"/>
      <c r="C869" s="140">
        <v>841</v>
      </c>
      <c r="D869" s="142"/>
      <c r="E869" s="142"/>
      <c r="F869" s="142"/>
      <c r="G869" s="142"/>
      <c r="H869" s="141"/>
      <c r="I869" s="8"/>
    </row>
    <row r="870" spans="2:9" ht="15" hidden="1" customHeight="1" x14ac:dyDescent="0.25">
      <c r="B870" s="7"/>
      <c r="C870" s="140">
        <v>842</v>
      </c>
      <c r="D870" s="142"/>
      <c r="E870" s="142"/>
      <c r="F870" s="142"/>
      <c r="G870" s="142"/>
      <c r="H870" s="141"/>
      <c r="I870" s="8"/>
    </row>
    <row r="871" spans="2:9" ht="15" hidden="1" customHeight="1" x14ac:dyDescent="0.25">
      <c r="B871" s="7"/>
      <c r="C871" s="140">
        <v>843</v>
      </c>
      <c r="D871" s="142"/>
      <c r="E871" s="142"/>
      <c r="F871" s="142"/>
      <c r="G871" s="142"/>
      <c r="H871" s="141"/>
      <c r="I871" s="8"/>
    </row>
    <row r="872" spans="2:9" ht="15" hidden="1" customHeight="1" x14ac:dyDescent="0.25">
      <c r="B872" s="7"/>
      <c r="C872" s="140">
        <v>844</v>
      </c>
      <c r="D872" s="142"/>
      <c r="E872" s="142"/>
      <c r="F872" s="142"/>
      <c r="G872" s="142"/>
      <c r="H872" s="141"/>
      <c r="I872" s="8"/>
    </row>
    <row r="873" spans="2:9" ht="15" hidden="1" customHeight="1" x14ac:dyDescent="0.25">
      <c r="B873" s="7"/>
      <c r="C873" s="140">
        <v>845</v>
      </c>
      <c r="D873" s="142"/>
      <c r="E873" s="142"/>
      <c r="F873" s="142"/>
      <c r="G873" s="142"/>
      <c r="H873" s="141"/>
      <c r="I873" s="8"/>
    </row>
    <row r="874" spans="2:9" ht="15" hidden="1" customHeight="1" x14ac:dyDescent="0.25">
      <c r="B874" s="7"/>
      <c r="C874" s="140">
        <v>846</v>
      </c>
      <c r="D874" s="142"/>
      <c r="E874" s="142"/>
      <c r="F874" s="142"/>
      <c r="G874" s="142"/>
      <c r="H874" s="141"/>
      <c r="I874" s="8"/>
    </row>
    <row r="875" spans="2:9" ht="15" hidden="1" customHeight="1" x14ac:dyDescent="0.25">
      <c r="B875" s="7"/>
      <c r="C875" s="140">
        <v>847</v>
      </c>
      <c r="D875" s="142"/>
      <c r="E875" s="142"/>
      <c r="F875" s="142"/>
      <c r="G875" s="142"/>
      <c r="H875" s="141"/>
      <c r="I875" s="8"/>
    </row>
    <row r="876" spans="2:9" ht="15" hidden="1" customHeight="1" x14ac:dyDescent="0.25">
      <c r="B876" s="7"/>
      <c r="C876" s="140">
        <v>848</v>
      </c>
      <c r="D876" s="142"/>
      <c r="E876" s="142"/>
      <c r="F876" s="142"/>
      <c r="G876" s="142"/>
      <c r="H876" s="141"/>
      <c r="I876" s="8"/>
    </row>
    <row r="877" spans="2:9" ht="15" hidden="1" customHeight="1" x14ac:dyDescent="0.25">
      <c r="B877" s="7"/>
      <c r="C877" s="140">
        <v>849</v>
      </c>
      <c r="D877" s="142"/>
      <c r="E877" s="142"/>
      <c r="F877" s="142"/>
      <c r="G877" s="142"/>
      <c r="H877" s="141"/>
      <c r="I877" s="8"/>
    </row>
    <row r="878" spans="2:9" ht="15" hidden="1" customHeight="1" x14ac:dyDescent="0.25">
      <c r="B878" s="7"/>
      <c r="C878" s="140">
        <v>850</v>
      </c>
      <c r="D878" s="142"/>
      <c r="E878" s="142"/>
      <c r="F878" s="142"/>
      <c r="G878" s="142"/>
      <c r="H878" s="141"/>
      <c r="I878" s="8"/>
    </row>
    <row r="879" spans="2:9" ht="15" hidden="1" customHeight="1" x14ac:dyDescent="0.25">
      <c r="B879" s="7"/>
      <c r="C879" s="140">
        <v>851</v>
      </c>
      <c r="D879" s="142"/>
      <c r="E879" s="142"/>
      <c r="F879" s="142"/>
      <c r="G879" s="142"/>
      <c r="H879" s="141"/>
      <c r="I879" s="8"/>
    </row>
    <row r="880" spans="2:9" ht="15" hidden="1" customHeight="1" x14ac:dyDescent="0.25">
      <c r="B880" s="7"/>
      <c r="C880" s="140">
        <v>852</v>
      </c>
      <c r="D880" s="142"/>
      <c r="E880" s="142"/>
      <c r="F880" s="142"/>
      <c r="G880" s="142"/>
      <c r="H880" s="141"/>
      <c r="I880" s="8"/>
    </row>
    <row r="881" spans="2:9" ht="15" hidden="1" customHeight="1" x14ac:dyDescent="0.25">
      <c r="B881" s="7"/>
      <c r="C881" s="140">
        <v>853</v>
      </c>
      <c r="D881" s="142"/>
      <c r="E881" s="142"/>
      <c r="F881" s="142"/>
      <c r="G881" s="142"/>
      <c r="H881" s="141"/>
      <c r="I881" s="8"/>
    </row>
    <row r="882" spans="2:9" ht="15" hidden="1" customHeight="1" x14ac:dyDescent="0.25">
      <c r="B882" s="7"/>
      <c r="C882" s="140">
        <v>854</v>
      </c>
      <c r="D882" s="142"/>
      <c r="E882" s="142"/>
      <c r="F882" s="142"/>
      <c r="G882" s="142"/>
      <c r="H882" s="141"/>
      <c r="I882" s="8"/>
    </row>
    <row r="883" spans="2:9" ht="15" hidden="1" customHeight="1" x14ac:dyDescent="0.25">
      <c r="B883" s="7"/>
      <c r="C883" s="140">
        <v>855</v>
      </c>
      <c r="D883" s="142"/>
      <c r="E883" s="142"/>
      <c r="F883" s="142"/>
      <c r="G883" s="142"/>
      <c r="H883" s="141"/>
      <c r="I883" s="8"/>
    </row>
    <row r="884" spans="2:9" ht="15" hidden="1" customHeight="1" x14ac:dyDescent="0.25">
      <c r="B884" s="7"/>
      <c r="C884" s="140">
        <v>856</v>
      </c>
      <c r="D884" s="142"/>
      <c r="E884" s="142"/>
      <c r="F884" s="142"/>
      <c r="G884" s="142"/>
      <c r="H884" s="141"/>
      <c r="I884" s="8"/>
    </row>
    <row r="885" spans="2:9" ht="15" hidden="1" customHeight="1" x14ac:dyDescent="0.25">
      <c r="B885" s="7"/>
      <c r="C885" s="140">
        <v>857</v>
      </c>
      <c r="D885" s="142"/>
      <c r="E885" s="142"/>
      <c r="F885" s="142"/>
      <c r="G885" s="142"/>
      <c r="H885" s="141"/>
      <c r="I885" s="8"/>
    </row>
    <row r="886" spans="2:9" ht="15" hidden="1" customHeight="1" x14ac:dyDescent="0.25">
      <c r="B886" s="7"/>
      <c r="C886" s="140">
        <v>858</v>
      </c>
      <c r="D886" s="142"/>
      <c r="E886" s="142"/>
      <c r="F886" s="142"/>
      <c r="G886" s="142"/>
      <c r="H886" s="141"/>
      <c r="I886" s="8"/>
    </row>
    <row r="887" spans="2:9" ht="15" hidden="1" customHeight="1" x14ac:dyDescent="0.25">
      <c r="B887" s="7"/>
      <c r="C887" s="140">
        <v>859</v>
      </c>
      <c r="D887" s="142"/>
      <c r="E887" s="142"/>
      <c r="F887" s="142"/>
      <c r="G887" s="142"/>
      <c r="H887" s="141"/>
      <c r="I887" s="8"/>
    </row>
    <row r="888" spans="2:9" ht="15" hidden="1" customHeight="1" x14ac:dyDescent="0.25">
      <c r="B888" s="7"/>
      <c r="C888" s="140">
        <v>860</v>
      </c>
      <c r="D888" s="142"/>
      <c r="E888" s="142"/>
      <c r="F888" s="142"/>
      <c r="G888" s="142"/>
      <c r="H888" s="141"/>
      <c r="I888" s="8"/>
    </row>
    <row r="889" spans="2:9" ht="15" hidden="1" customHeight="1" x14ac:dyDescent="0.25">
      <c r="B889" s="7"/>
      <c r="C889" s="140">
        <v>861</v>
      </c>
      <c r="D889" s="142"/>
      <c r="E889" s="142"/>
      <c r="F889" s="142"/>
      <c r="G889" s="142"/>
      <c r="H889" s="141"/>
      <c r="I889" s="8"/>
    </row>
    <row r="890" spans="2:9" ht="15" hidden="1" customHeight="1" x14ac:dyDescent="0.25">
      <c r="B890" s="7"/>
      <c r="C890" s="140">
        <v>862</v>
      </c>
      <c r="D890" s="142"/>
      <c r="E890" s="142"/>
      <c r="F890" s="142"/>
      <c r="G890" s="142"/>
      <c r="H890" s="141"/>
      <c r="I890" s="8"/>
    </row>
    <row r="891" spans="2:9" ht="15" hidden="1" customHeight="1" x14ac:dyDescent="0.25">
      <c r="B891" s="7"/>
      <c r="C891" s="140">
        <v>863</v>
      </c>
      <c r="D891" s="142"/>
      <c r="E891" s="142"/>
      <c r="F891" s="142"/>
      <c r="G891" s="142"/>
      <c r="H891" s="141"/>
      <c r="I891" s="8"/>
    </row>
    <row r="892" spans="2:9" ht="15" hidden="1" customHeight="1" x14ac:dyDescent="0.25">
      <c r="B892" s="7"/>
      <c r="C892" s="140">
        <v>864</v>
      </c>
      <c r="D892" s="142"/>
      <c r="E892" s="142"/>
      <c r="F892" s="142"/>
      <c r="G892" s="142"/>
      <c r="H892" s="141"/>
      <c r="I892" s="8"/>
    </row>
    <row r="893" spans="2:9" ht="15" hidden="1" customHeight="1" x14ac:dyDescent="0.25">
      <c r="B893" s="7"/>
      <c r="C893" s="140">
        <v>865</v>
      </c>
      <c r="D893" s="142"/>
      <c r="E893" s="142"/>
      <c r="F893" s="142"/>
      <c r="G893" s="142"/>
      <c r="H893" s="141"/>
      <c r="I893" s="8"/>
    </row>
    <row r="894" spans="2:9" ht="15" hidden="1" customHeight="1" x14ac:dyDescent="0.25">
      <c r="B894" s="7"/>
      <c r="C894" s="140">
        <v>866</v>
      </c>
      <c r="D894" s="142"/>
      <c r="E894" s="142"/>
      <c r="F894" s="142"/>
      <c r="G894" s="142"/>
      <c r="H894" s="141"/>
      <c r="I894" s="8"/>
    </row>
    <row r="895" spans="2:9" ht="15" hidden="1" customHeight="1" x14ac:dyDescent="0.25">
      <c r="B895" s="7"/>
      <c r="C895" s="140">
        <v>867</v>
      </c>
      <c r="D895" s="142"/>
      <c r="E895" s="142"/>
      <c r="F895" s="142"/>
      <c r="G895" s="142"/>
      <c r="H895" s="141"/>
      <c r="I895" s="8"/>
    </row>
    <row r="896" spans="2:9" ht="15" hidden="1" customHeight="1" x14ac:dyDescent="0.25">
      <c r="B896" s="7"/>
      <c r="C896" s="140">
        <v>868</v>
      </c>
      <c r="D896" s="142"/>
      <c r="E896" s="142"/>
      <c r="F896" s="142"/>
      <c r="G896" s="142"/>
      <c r="H896" s="141"/>
      <c r="I896" s="8"/>
    </row>
    <row r="897" spans="2:9" ht="15" hidden="1" customHeight="1" x14ac:dyDescent="0.25">
      <c r="B897" s="7"/>
      <c r="C897" s="140">
        <v>869</v>
      </c>
      <c r="D897" s="142"/>
      <c r="E897" s="142"/>
      <c r="F897" s="142"/>
      <c r="G897" s="142"/>
      <c r="H897" s="141"/>
      <c r="I897" s="8"/>
    </row>
    <row r="898" spans="2:9" ht="15" hidden="1" customHeight="1" x14ac:dyDescent="0.25">
      <c r="B898" s="7"/>
      <c r="C898" s="140">
        <v>870</v>
      </c>
      <c r="D898" s="142"/>
      <c r="E898" s="142"/>
      <c r="F898" s="142"/>
      <c r="G898" s="142"/>
      <c r="H898" s="141"/>
      <c r="I898" s="8"/>
    </row>
    <row r="899" spans="2:9" ht="15" hidden="1" customHeight="1" x14ac:dyDescent="0.25">
      <c r="B899" s="7"/>
      <c r="C899" s="140">
        <v>871</v>
      </c>
      <c r="D899" s="142"/>
      <c r="E899" s="142"/>
      <c r="F899" s="142"/>
      <c r="G899" s="142"/>
      <c r="H899" s="141"/>
      <c r="I899" s="8"/>
    </row>
    <row r="900" spans="2:9" ht="15" hidden="1" customHeight="1" x14ac:dyDescent="0.25">
      <c r="B900" s="7"/>
      <c r="C900" s="140">
        <v>872</v>
      </c>
      <c r="D900" s="142"/>
      <c r="E900" s="142"/>
      <c r="F900" s="142"/>
      <c r="G900" s="142"/>
      <c r="H900" s="141"/>
      <c r="I900" s="8"/>
    </row>
    <row r="901" spans="2:9" ht="15" hidden="1" customHeight="1" x14ac:dyDescent="0.25">
      <c r="B901" s="7"/>
      <c r="C901" s="140">
        <v>873</v>
      </c>
      <c r="D901" s="142"/>
      <c r="E901" s="142"/>
      <c r="F901" s="142"/>
      <c r="G901" s="142"/>
      <c r="H901" s="141"/>
      <c r="I901" s="8"/>
    </row>
    <row r="902" spans="2:9" ht="15" hidden="1" customHeight="1" x14ac:dyDescent="0.25">
      <c r="B902" s="7"/>
      <c r="C902" s="140">
        <v>874</v>
      </c>
      <c r="D902" s="142"/>
      <c r="E902" s="142"/>
      <c r="F902" s="142"/>
      <c r="G902" s="142"/>
      <c r="H902" s="141"/>
      <c r="I902" s="8"/>
    </row>
    <row r="903" spans="2:9" ht="15" hidden="1" customHeight="1" x14ac:dyDescent="0.25">
      <c r="B903" s="7"/>
      <c r="C903" s="140">
        <v>875</v>
      </c>
      <c r="D903" s="142"/>
      <c r="E903" s="142"/>
      <c r="F903" s="142"/>
      <c r="G903" s="142"/>
      <c r="H903" s="141"/>
      <c r="I903" s="8"/>
    </row>
    <row r="904" spans="2:9" ht="15" hidden="1" customHeight="1" x14ac:dyDescent="0.25">
      <c r="B904" s="7"/>
      <c r="C904" s="140">
        <v>876</v>
      </c>
      <c r="D904" s="142"/>
      <c r="E904" s="142"/>
      <c r="F904" s="142"/>
      <c r="G904" s="142"/>
      <c r="H904" s="141"/>
      <c r="I904" s="8"/>
    </row>
    <row r="905" spans="2:9" ht="15" hidden="1" customHeight="1" x14ac:dyDescent="0.25">
      <c r="B905" s="7"/>
      <c r="C905" s="140">
        <v>877</v>
      </c>
      <c r="D905" s="142"/>
      <c r="E905" s="142"/>
      <c r="F905" s="142"/>
      <c r="G905" s="142"/>
      <c r="H905" s="141"/>
      <c r="I905" s="8"/>
    </row>
    <row r="906" spans="2:9" ht="15" hidden="1" customHeight="1" x14ac:dyDescent="0.25">
      <c r="B906" s="7"/>
      <c r="C906" s="140">
        <v>878</v>
      </c>
      <c r="D906" s="142"/>
      <c r="E906" s="142"/>
      <c r="F906" s="142"/>
      <c r="G906" s="142"/>
      <c r="H906" s="141"/>
      <c r="I906" s="8"/>
    </row>
    <row r="907" spans="2:9" ht="15" hidden="1" customHeight="1" x14ac:dyDescent="0.25">
      <c r="B907" s="7"/>
      <c r="C907" s="140">
        <v>879</v>
      </c>
      <c r="D907" s="142"/>
      <c r="E907" s="142"/>
      <c r="F907" s="142"/>
      <c r="G907" s="142"/>
      <c r="H907" s="141"/>
      <c r="I907" s="8"/>
    </row>
    <row r="908" spans="2:9" ht="15" hidden="1" customHeight="1" x14ac:dyDescent="0.25">
      <c r="B908" s="7"/>
      <c r="C908" s="140">
        <v>880</v>
      </c>
      <c r="D908" s="142"/>
      <c r="E908" s="142"/>
      <c r="F908" s="142"/>
      <c r="G908" s="142"/>
      <c r="H908" s="141"/>
      <c r="I908" s="8"/>
    </row>
    <row r="909" spans="2:9" ht="15" hidden="1" customHeight="1" x14ac:dyDescent="0.25">
      <c r="B909" s="7"/>
      <c r="C909" s="140">
        <v>881</v>
      </c>
      <c r="D909" s="142"/>
      <c r="E909" s="142"/>
      <c r="F909" s="142"/>
      <c r="G909" s="142"/>
      <c r="H909" s="141"/>
      <c r="I909" s="8"/>
    </row>
    <row r="910" spans="2:9" ht="15" hidden="1" customHeight="1" x14ac:dyDescent="0.25">
      <c r="B910" s="7"/>
      <c r="C910" s="140">
        <v>882</v>
      </c>
      <c r="D910" s="142"/>
      <c r="E910" s="142"/>
      <c r="F910" s="142"/>
      <c r="G910" s="142"/>
      <c r="H910" s="141"/>
      <c r="I910" s="8"/>
    </row>
    <row r="911" spans="2:9" ht="15" hidden="1" customHeight="1" x14ac:dyDescent="0.25">
      <c r="B911" s="7"/>
      <c r="C911" s="140">
        <v>883</v>
      </c>
      <c r="D911" s="142"/>
      <c r="E911" s="142"/>
      <c r="F911" s="142"/>
      <c r="G911" s="142"/>
      <c r="H911" s="141"/>
      <c r="I911" s="8"/>
    </row>
    <row r="912" spans="2:9" ht="15" hidden="1" customHeight="1" x14ac:dyDescent="0.25">
      <c r="B912" s="7"/>
      <c r="C912" s="140">
        <v>884</v>
      </c>
      <c r="D912" s="142"/>
      <c r="E912" s="142"/>
      <c r="F912" s="142"/>
      <c r="G912" s="142"/>
      <c r="H912" s="141"/>
      <c r="I912" s="8"/>
    </row>
    <row r="913" spans="2:9" ht="15" hidden="1" customHeight="1" x14ac:dyDescent="0.25">
      <c r="B913" s="7"/>
      <c r="C913" s="140">
        <v>885</v>
      </c>
      <c r="D913" s="142"/>
      <c r="E913" s="142"/>
      <c r="F913" s="142"/>
      <c r="G913" s="142"/>
      <c r="H913" s="141"/>
      <c r="I913" s="8"/>
    </row>
    <row r="914" spans="2:9" ht="15" hidden="1" customHeight="1" x14ac:dyDescent="0.25">
      <c r="B914" s="7"/>
      <c r="C914" s="140">
        <v>886</v>
      </c>
      <c r="D914" s="142"/>
      <c r="E914" s="142"/>
      <c r="F914" s="142"/>
      <c r="G914" s="142"/>
      <c r="H914" s="141"/>
      <c r="I914" s="8"/>
    </row>
    <row r="915" spans="2:9" ht="15" hidden="1" customHeight="1" x14ac:dyDescent="0.25">
      <c r="B915" s="7"/>
      <c r="C915" s="140">
        <v>887</v>
      </c>
      <c r="D915" s="142"/>
      <c r="E915" s="142"/>
      <c r="F915" s="142"/>
      <c r="G915" s="142"/>
      <c r="H915" s="141"/>
      <c r="I915" s="8"/>
    </row>
    <row r="916" spans="2:9" ht="15" hidden="1" customHeight="1" x14ac:dyDescent="0.25">
      <c r="B916" s="7"/>
      <c r="C916" s="140">
        <v>888</v>
      </c>
      <c r="D916" s="142"/>
      <c r="E916" s="142"/>
      <c r="F916" s="142"/>
      <c r="G916" s="142"/>
      <c r="H916" s="141"/>
      <c r="I916" s="8"/>
    </row>
    <row r="917" spans="2:9" ht="15" hidden="1" customHeight="1" x14ac:dyDescent="0.25">
      <c r="B917" s="7"/>
      <c r="C917" s="140">
        <v>889</v>
      </c>
      <c r="D917" s="142"/>
      <c r="E917" s="142"/>
      <c r="F917" s="142"/>
      <c r="G917" s="142"/>
      <c r="H917" s="141"/>
      <c r="I917" s="8"/>
    </row>
    <row r="918" spans="2:9" ht="15" hidden="1" customHeight="1" x14ac:dyDescent="0.25">
      <c r="B918" s="7"/>
      <c r="C918" s="140">
        <v>890</v>
      </c>
      <c r="D918" s="142"/>
      <c r="E918" s="142"/>
      <c r="F918" s="142"/>
      <c r="G918" s="142"/>
      <c r="H918" s="141"/>
      <c r="I918" s="8"/>
    </row>
    <row r="919" spans="2:9" ht="15" hidden="1" customHeight="1" x14ac:dyDescent="0.25">
      <c r="B919" s="7"/>
      <c r="C919" s="140">
        <v>891</v>
      </c>
      <c r="D919" s="142"/>
      <c r="E919" s="142"/>
      <c r="F919" s="142"/>
      <c r="G919" s="142"/>
      <c r="H919" s="141"/>
      <c r="I919" s="8"/>
    </row>
    <row r="920" spans="2:9" ht="15" hidden="1" customHeight="1" x14ac:dyDescent="0.25">
      <c r="B920" s="7"/>
      <c r="C920" s="140">
        <v>892</v>
      </c>
      <c r="D920" s="142"/>
      <c r="E920" s="142"/>
      <c r="F920" s="142"/>
      <c r="G920" s="142"/>
      <c r="H920" s="141"/>
      <c r="I920" s="8"/>
    </row>
    <row r="921" spans="2:9" ht="15" hidden="1" customHeight="1" x14ac:dyDescent="0.25">
      <c r="B921" s="7"/>
      <c r="C921" s="140">
        <v>893</v>
      </c>
      <c r="D921" s="142"/>
      <c r="E921" s="142"/>
      <c r="F921" s="142"/>
      <c r="G921" s="142"/>
      <c r="H921" s="141"/>
      <c r="I921" s="8"/>
    </row>
    <row r="922" spans="2:9" ht="15" hidden="1" customHeight="1" x14ac:dyDescent="0.25">
      <c r="B922" s="7"/>
      <c r="C922" s="140">
        <v>894</v>
      </c>
      <c r="D922" s="142"/>
      <c r="E922" s="142"/>
      <c r="F922" s="142"/>
      <c r="G922" s="142"/>
      <c r="H922" s="141"/>
      <c r="I922" s="8"/>
    </row>
    <row r="923" spans="2:9" ht="15" hidden="1" customHeight="1" x14ac:dyDescent="0.25">
      <c r="B923" s="7"/>
      <c r="C923" s="140">
        <v>895</v>
      </c>
      <c r="D923" s="142"/>
      <c r="E923" s="142"/>
      <c r="F923" s="142"/>
      <c r="G923" s="142"/>
      <c r="H923" s="141"/>
      <c r="I923" s="8"/>
    </row>
    <row r="924" spans="2:9" ht="15" hidden="1" customHeight="1" x14ac:dyDescent="0.25">
      <c r="B924" s="7"/>
      <c r="C924" s="140">
        <v>896</v>
      </c>
      <c r="D924" s="142"/>
      <c r="E924" s="142"/>
      <c r="F924" s="142"/>
      <c r="G924" s="142"/>
      <c r="H924" s="141"/>
      <c r="I924" s="8"/>
    </row>
    <row r="925" spans="2:9" ht="15" hidden="1" customHeight="1" x14ac:dyDescent="0.25">
      <c r="B925" s="7"/>
      <c r="C925" s="140">
        <v>897</v>
      </c>
      <c r="D925" s="142"/>
      <c r="E925" s="142"/>
      <c r="F925" s="142"/>
      <c r="G925" s="142"/>
      <c r="H925" s="141"/>
      <c r="I925" s="8"/>
    </row>
    <row r="926" spans="2:9" ht="15" hidden="1" customHeight="1" x14ac:dyDescent="0.25">
      <c r="B926" s="7"/>
      <c r="C926" s="140">
        <v>898</v>
      </c>
      <c r="D926" s="142"/>
      <c r="E926" s="142"/>
      <c r="F926" s="142"/>
      <c r="G926" s="142"/>
      <c r="H926" s="141"/>
      <c r="I926" s="8"/>
    </row>
    <row r="927" spans="2:9" ht="15" hidden="1" customHeight="1" x14ac:dyDescent="0.25">
      <c r="B927" s="7"/>
      <c r="C927" s="140">
        <v>899</v>
      </c>
      <c r="D927" s="142"/>
      <c r="E927" s="142"/>
      <c r="F927" s="142"/>
      <c r="G927" s="142"/>
      <c r="H927" s="141"/>
      <c r="I927" s="8"/>
    </row>
    <row r="928" spans="2:9" ht="15" hidden="1" customHeight="1" x14ac:dyDescent="0.25">
      <c r="B928" s="7"/>
      <c r="C928" s="140">
        <v>900</v>
      </c>
      <c r="D928" s="142"/>
      <c r="E928" s="142"/>
      <c r="F928" s="142"/>
      <c r="G928" s="142"/>
      <c r="H928" s="141"/>
      <c r="I928" s="8"/>
    </row>
    <row r="929" spans="2:9" ht="15" hidden="1" customHeight="1" x14ac:dyDescent="0.25">
      <c r="B929" s="7"/>
      <c r="C929" s="140">
        <v>901</v>
      </c>
      <c r="D929" s="142"/>
      <c r="E929" s="142"/>
      <c r="F929" s="142"/>
      <c r="G929" s="142"/>
      <c r="H929" s="141"/>
      <c r="I929" s="8"/>
    </row>
    <row r="930" spans="2:9" ht="15" hidden="1" customHeight="1" x14ac:dyDescent="0.25">
      <c r="B930" s="7"/>
      <c r="C930" s="140">
        <v>902</v>
      </c>
      <c r="D930" s="142"/>
      <c r="E930" s="142"/>
      <c r="F930" s="142"/>
      <c r="G930" s="142"/>
      <c r="H930" s="141"/>
      <c r="I930" s="8"/>
    </row>
    <row r="931" spans="2:9" ht="15" hidden="1" customHeight="1" x14ac:dyDescent="0.25">
      <c r="B931" s="7"/>
      <c r="C931" s="140">
        <v>903</v>
      </c>
      <c r="D931" s="142"/>
      <c r="E931" s="142"/>
      <c r="F931" s="142"/>
      <c r="G931" s="142"/>
      <c r="H931" s="141"/>
      <c r="I931" s="8"/>
    </row>
    <row r="932" spans="2:9" ht="15" hidden="1" customHeight="1" x14ac:dyDescent="0.25">
      <c r="B932" s="7"/>
      <c r="C932" s="140">
        <v>904</v>
      </c>
      <c r="D932" s="142"/>
      <c r="E932" s="142"/>
      <c r="F932" s="142"/>
      <c r="G932" s="142"/>
      <c r="H932" s="141"/>
      <c r="I932" s="8"/>
    </row>
    <row r="933" spans="2:9" ht="15" hidden="1" customHeight="1" x14ac:dyDescent="0.25">
      <c r="B933" s="7"/>
      <c r="C933" s="140">
        <v>905</v>
      </c>
      <c r="D933" s="142"/>
      <c r="E933" s="142"/>
      <c r="F933" s="142"/>
      <c r="G933" s="142"/>
      <c r="H933" s="141"/>
      <c r="I933" s="8"/>
    </row>
    <row r="934" spans="2:9" ht="15" hidden="1" customHeight="1" x14ac:dyDescent="0.25">
      <c r="B934" s="7"/>
      <c r="C934" s="140">
        <v>906</v>
      </c>
      <c r="D934" s="142"/>
      <c r="E934" s="142"/>
      <c r="F934" s="142"/>
      <c r="G934" s="142"/>
      <c r="H934" s="141"/>
      <c r="I934" s="8"/>
    </row>
    <row r="935" spans="2:9" ht="15" hidden="1" customHeight="1" x14ac:dyDescent="0.25">
      <c r="B935" s="7"/>
      <c r="C935" s="140">
        <v>907</v>
      </c>
      <c r="D935" s="142"/>
      <c r="E935" s="142"/>
      <c r="F935" s="142"/>
      <c r="G935" s="142"/>
      <c r="H935" s="141"/>
      <c r="I935" s="8"/>
    </row>
    <row r="936" spans="2:9" ht="15" hidden="1" customHeight="1" x14ac:dyDescent="0.25">
      <c r="B936" s="7"/>
      <c r="C936" s="140">
        <v>908</v>
      </c>
      <c r="D936" s="142"/>
      <c r="E936" s="142"/>
      <c r="F936" s="142"/>
      <c r="G936" s="142"/>
      <c r="H936" s="141"/>
      <c r="I936" s="8"/>
    </row>
    <row r="937" spans="2:9" ht="15" hidden="1" customHeight="1" x14ac:dyDescent="0.25">
      <c r="B937" s="7"/>
      <c r="C937" s="140">
        <v>909</v>
      </c>
      <c r="D937" s="142"/>
      <c r="E937" s="142"/>
      <c r="F937" s="142"/>
      <c r="G937" s="142"/>
      <c r="H937" s="141"/>
      <c r="I937" s="8"/>
    </row>
    <row r="938" spans="2:9" ht="15" hidden="1" customHeight="1" x14ac:dyDescent="0.25">
      <c r="B938" s="7"/>
      <c r="C938" s="140">
        <v>910</v>
      </c>
      <c r="D938" s="142"/>
      <c r="E938" s="142"/>
      <c r="F938" s="142"/>
      <c r="G938" s="142"/>
      <c r="H938" s="141"/>
      <c r="I938" s="8"/>
    </row>
    <row r="939" spans="2:9" ht="15" hidden="1" customHeight="1" x14ac:dyDescent="0.25">
      <c r="B939" s="7"/>
      <c r="C939" s="140">
        <v>911</v>
      </c>
      <c r="D939" s="142"/>
      <c r="E939" s="142"/>
      <c r="F939" s="142"/>
      <c r="G939" s="142"/>
      <c r="H939" s="141"/>
      <c r="I939" s="8"/>
    </row>
    <row r="940" spans="2:9" ht="15" hidden="1" customHeight="1" x14ac:dyDescent="0.25">
      <c r="B940" s="7"/>
      <c r="C940" s="140">
        <v>912</v>
      </c>
      <c r="D940" s="142"/>
      <c r="E940" s="142"/>
      <c r="F940" s="142"/>
      <c r="G940" s="142"/>
      <c r="H940" s="141"/>
      <c r="I940" s="8"/>
    </row>
    <row r="941" spans="2:9" ht="15" hidden="1" customHeight="1" x14ac:dyDescent="0.25">
      <c r="B941" s="7"/>
      <c r="C941" s="140">
        <v>913</v>
      </c>
      <c r="D941" s="142"/>
      <c r="E941" s="142"/>
      <c r="F941" s="142"/>
      <c r="G941" s="142"/>
      <c r="H941" s="141"/>
      <c r="I941" s="8"/>
    </row>
    <row r="942" spans="2:9" ht="15" hidden="1" customHeight="1" x14ac:dyDescent="0.25">
      <c r="B942" s="7"/>
      <c r="C942" s="140">
        <v>914</v>
      </c>
      <c r="D942" s="142"/>
      <c r="E942" s="142"/>
      <c r="F942" s="142"/>
      <c r="G942" s="142"/>
      <c r="H942" s="141"/>
      <c r="I942" s="8"/>
    </row>
    <row r="943" spans="2:9" ht="15" hidden="1" customHeight="1" x14ac:dyDescent="0.25">
      <c r="B943" s="7"/>
      <c r="C943" s="140">
        <v>915</v>
      </c>
      <c r="D943" s="142"/>
      <c r="E943" s="142"/>
      <c r="F943" s="142"/>
      <c r="G943" s="142"/>
      <c r="H943" s="141"/>
      <c r="I943" s="8"/>
    </row>
    <row r="944" spans="2:9" ht="15" hidden="1" customHeight="1" x14ac:dyDescent="0.25">
      <c r="B944" s="7"/>
      <c r="C944" s="140">
        <v>916</v>
      </c>
      <c r="D944" s="142"/>
      <c r="E944" s="142"/>
      <c r="F944" s="142"/>
      <c r="G944" s="142"/>
      <c r="H944" s="141"/>
      <c r="I944" s="8"/>
    </row>
    <row r="945" spans="2:9" ht="15" hidden="1" customHeight="1" x14ac:dyDescent="0.25">
      <c r="B945" s="7"/>
      <c r="C945" s="140">
        <v>917</v>
      </c>
      <c r="D945" s="142"/>
      <c r="E945" s="142"/>
      <c r="F945" s="142"/>
      <c r="G945" s="142"/>
      <c r="H945" s="141"/>
      <c r="I945" s="8"/>
    </row>
    <row r="946" spans="2:9" ht="15" hidden="1" customHeight="1" x14ac:dyDescent="0.25">
      <c r="B946" s="7"/>
      <c r="C946" s="140">
        <v>918</v>
      </c>
      <c r="D946" s="142"/>
      <c r="E946" s="142"/>
      <c r="F946" s="142"/>
      <c r="G946" s="142"/>
      <c r="H946" s="141"/>
      <c r="I946" s="8"/>
    </row>
    <row r="947" spans="2:9" ht="15" hidden="1" customHeight="1" x14ac:dyDescent="0.25">
      <c r="B947" s="7"/>
      <c r="C947" s="140">
        <v>919</v>
      </c>
      <c r="D947" s="142"/>
      <c r="E947" s="142"/>
      <c r="F947" s="142"/>
      <c r="G947" s="142"/>
      <c r="H947" s="141"/>
      <c r="I947" s="8"/>
    </row>
    <row r="948" spans="2:9" ht="15" hidden="1" customHeight="1" x14ac:dyDescent="0.25">
      <c r="B948" s="7"/>
      <c r="C948" s="140">
        <v>920</v>
      </c>
      <c r="D948" s="142"/>
      <c r="E948" s="142"/>
      <c r="F948" s="142"/>
      <c r="G948" s="142"/>
      <c r="H948" s="141"/>
      <c r="I948" s="8"/>
    </row>
    <row r="949" spans="2:9" ht="15" hidden="1" customHeight="1" x14ac:dyDescent="0.25">
      <c r="B949" s="7"/>
      <c r="C949" s="140">
        <v>921</v>
      </c>
      <c r="D949" s="142"/>
      <c r="E949" s="142"/>
      <c r="F949" s="142"/>
      <c r="G949" s="142"/>
      <c r="H949" s="141"/>
      <c r="I949" s="8"/>
    </row>
    <row r="950" spans="2:9" ht="15" hidden="1" customHeight="1" x14ac:dyDescent="0.25">
      <c r="B950" s="7"/>
      <c r="C950" s="140">
        <v>922</v>
      </c>
      <c r="D950" s="142"/>
      <c r="E950" s="142"/>
      <c r="F950" s="142"/>
      <c r="G950" s="142"/>
      <c r="H950" s="141"/>
      <c r="I950" s="8"/>
    </row>
    <row r="951" spans="2:9" ht="15" hidden="1" customHeight="1" x14ac:dyDescent="0.25">
      <c r="B951" s="7"/>
      <c r="C951" s="140">
        <v>923</v>
      </c>
      <c r="D951" s="142"/>
      <c r="E951" s="142"/>
      <c r="F951" s="142"/>
      <c r="G951" s="142"/>
      <c r="H951" s="141"/>
      <c r="I951" s="8"/>
    </row>
    <row r="952" spans="2:9" ht="15" hidden="1" customHeight="1" x14ac:dyDescent="0.25">
      <c r="B952" s="7"/>
      <c r="C952" s="140">
        <v>924</v>
      </c>
      <c r="D952" s="142"/>
      <c r="E952" s="142"/>
      <c r="F952" s="142"/>
      <c r="G952" s="142"/>
      <c r="H952" s="141"/>
      <c r="I952" s="8"/>
    </row>
    <row r="953" spans="2:9" ht="15" hidden="1" customHeight="1" x14ac:dyDescent="0.25">
      <c r="B953" s="7"/>
      <c r="C953" s="140">
        <v>925</v>
      </c>
      <c r="D953" s="142"/>
      <c r="E953" s="142"/>
      <c r="F953" s="142"/>
      <c r="G953" s="142"/>
      <c r="H953" s="141"/>
      <c r="I953" s="8"/>
    </row>
    <row r="954" spans="2:9" ht="15" hidden="1" customHeight="1" x14ac:dyDescent="0.25">
      <c r="B954" s="7"/>
      <c r="C954" s="140">
        <v>926</v>
      </c>
      <c r="D954" s="142"/>
      <c r="E954" s="142"/>
      <c r="F954" s="142"/>
      <c r="G954" s="142"/>
      <c r="H954" s="141"/>
      <c r="I954" s="8"/>
    </row>
    <row r="955" spans="2:9" ht="15" hidden="1" customHeight="1" x14ac:dyDescent="0.25">
      <c r="B955" s="7"/>
      <c r="C955" s="140">
        <v>927</v>
      </c>
      <c r="D955" s="142"/>
      <c r="E955" s="142"/>
      <c r="F955" s="142"/>
      <c r="G955" s="142"/>
      <c r="H955" s="141"/>
      <c r="I955" s="8"/>
    </row>
    <row r="956" spans="2:9" ht="15" hidden="1" customHeight="1" x14ac:dyDescent="0.25">
      <c r="B956" s="7"/>
      <c r="C956" s="140">
        <v>928</v>
      </c>
      <c r="D956" s="142"/>
      <c r="E956" s="142"/>
      <c r="F956" s="142"/>
      <c r="G956" s="142"/>
      <c r="H956" s="141"/>
      <c r="I956" s="8"/>
    </row>
    <row r="957" spans="2:9" ht="15" hidden="1" customHeight="1" x14ac:dyDescent="0.25">
      <c r="B957" s="7"/>
      <c r="C957" s="140">
        <v>929</v>
      </c>
      <c r="D957" s="142"/>
      <c r="E957" s="142"/>
      <c r="F957" s="142"/>
      <c r="G957" s="142"/>
      <c r="H957" s="141"/>
      <c r="I957" s="8"/>
    </row>
    <row r="958" spans="2:9" ht="15" hidden="1" customHeight="1" x14ac:dyDescent="0.25">
      <c r="B958" s="7"/>
      <c r="C958" s="140">
        <v>930</v>
      </c>
      <c r="D958" s="142"/>
      <c r="E958" s="142"/>
      <c r="F958" s="142"/>
      <c r="G958" s="142"/>
      <c r="H958" s="141"/>
      <c r="I958" s="8"/>
    </row>
    <row r="959" spans="2:9" ht="15" hidden="1" customHeight="1" x14ac:dyDescent="0.25">
      <c r="B959" s="7"/>
      <c r="C959" s="140">
        <v>931</v>
      </c>
      <c r="D959" s="142"/>
      <c r="E959" s="142"/>
      <c r="F959" s="142"/>
      <c r="G959" s="142"/>
      <c r="H959" s="141"/>
      <c r="I959" s="8"/>
    </row>
    <row r="960" spans="2:9" ht="15" hidden="1" customHeight="1" x14ac:dyDescent="0.25">
      <c r="B960" s="7"/>
      <c r="C960" s="140">
        <v>932</v>
      </c>
      <c r="D960" s="142"/>
      <c r="E960" s="142"/>
      <c r="F960" s="142"/>
      <c r="G960" s="142"/>
      <c r="H960" s="141"/>
      <c r="I960" s="8"/>
    </row>
    <row r="961" spans="2:9" ht="15" hidden="1" customHeight="1" x14ac:dyDescent="0.25">
      <c r="B961" s="7"/>
      <c r="C961" s="140">
        <v>933</v>
      </c>
      <c r="D961" s="142"/>
      <c r="E961" s="142"/>
      <c r="F961" s="142"/>
      <c r="G961" s="142"/>
      <c r="H961" s="141"/>
      <c r="I961" s="8"/>
    </row>
    <row r="962" spans="2:9" ht="15" hidden="1" customHeight="1" x14ac:dyDescent="0.25">
      <c r="B962" s="7"/>
      <c r="C962" s="140">
        <v>934</v>
      </c>
      <c r="D962" s="142"/>
      <c r="E962" s="142"/>
      <c r="F962" s="142"/>
      <c r="G962" s="142"/>
      <c r="H962" s="141"/>
      <c r="I962" s="8"/>
    </row>
    <row r="963" spans="2:9" ht="15" hidden="1" customHeight="1" x14ac:dyDescent="0.25">
      <c r="B963" s="7"/>
      <c r="C963" s="140">
        <v>935</v>
      </c>
      <c r="D963" s="142"/>
      <c r="E963" s="142"/>
      <c r="F963" s="142"/>
      <c r="G963" s="142"/>
      <c r="H963" s="141"/>
      <c r="I963" s="8"/>
    </row>
    <row r="964" spans="2:9" ht="15" hidden="1" customHeight="1" x14ac:dyDescent="0.25">
      <c r="B964" s="7"/>
      <c r="C964" s="140">
        <v>936</v>
      </c>
      <c r="D964" s="142"/>
      <c r="E964" s="142"/>
      <c r="F964" s="142"/>
      <c r="G964" s="142"/>
      <c r="H964" s="141"/>
      <c r="I964" s="8"/>
    </row>
    <row r="965" spans="2:9" ht="15" hidden="1" customHeight="1" x14ac:dyDescent="0.25">
      <c r="B965" s="7"/>
      <c r="C965" s="140">
        <v>937</v>
      </c>
      <c r="D965" s="142"/>
      <c r="E965" s="142"/>
      <c r="F965" s="142"/>
      <c r="G965" s="142"/>
      <c r="H965" s="141"/>
      <c r="I965" s="8"/>
    </row>
    <row r="966" spans="2:9" ht="15" hidden="1" customHeight="1" x14ac:dyDescent="0.25">
      <c r="B966" s="7"/>
      <c r="C966" s="140">
        <v>938</v>
      </c>
      <c r="D966" s="142"/>
      <c r="E966" s="142"/>
      <c r="F966" s="142"/>
      <c r="G966" s="142"/>
      <c r="H966" s="141"/>
      <c r="I966" s="8"/>
    </row>
    <row r="967" spans="2:9" ht="15" hidden="1" customHeight="1" x14ac:dyDescent="0.25">
      <c r="B967" s="7"/>
      <c r="C967" s="140">
        <v>939</v>
      </c>
      <c r="D967" s="142"/>
      <c r="E967" s="142"/>
      <c r="F967" s="142"/>
      <c r="G967" s="142"/>
      <c r="H967" s="141"/>
      <c r="I967" s="8"/>
    </row>
    <row r="968" spans="2:9" ht="15" hidden="1" customHeight="1" x14ac:dyDescent="0.25">
      <c r="B968" s="7"/>
      <c r="C968" s="140">
        <v>940</v>
      </c>
      <c r="D968" s="142"/>
      <c r="E968" s="142"/>
      <c r="F968" s="142"/>
      <c r="G968" s="142"/>
      <c r="H968" s="141"/>
      <c r="I968" s="8"/>
    </row>
    <row r="969" spans="2:9" ht="15" hidden="1" customHeight="1" x14ac:dyDescent="0.25">
      <c r="B969" s="7"/>
      <c r="C969" s="140">
        <v>941</v>
      </c>
      <c r="D969" s="142"/>
      <c r="E969" s="142"/>
      <c r="F969" s="142"/>
      <c r="G969" s="142"/>
      <c r="H969" s="141"/>
      <c r="I969" s="8"/>
    </row>
    <row r="970" spans="2:9" ht="15" hidden="1" customHeight="1" x14ac:dyDescent="0.25">
      <c r="B970" s="7"/>
      <c r="C970" s="140">
        <v>942</v>
      </c>
      <c r="D970" s="142"/>
      <c r="E970" s="142"/>
      <c r="F970" s="142"/>
      <c r="G970" s="142"/>
      <c r="H970" s="141"/>
      <c r="I970" s="8"/>
    </row>
    <row r="971" spans="2:9" ht="15" hidden="1" customHeight="1" x14ac:dyDescent="0.25">
      <c r="B971" s="7"/>
      <c r="C971" s="140">
        <v>943</v>
      </c>
      <c r="D971" s="142"/>
      <c r="E971" s="142"/>
      <c r="F971" s="142"/>
      <c r="G971" s="142"/>
      <c r="H971" s="141"/>
      <c r="I971" s="8"/>
    </row>
    <row r="972" spans="2:9" ht="15" hidden="1" customHeight="1" x14ac:dyDescent="0.25">
      <c r="B972" s="7"/>
      <c r="C972" s="140">
        <v>944</v>
      </c>
      <c r="D972" s="142"/>
      <c r="E972" s="142"/>
      <c r="F972" s="142"/>
      <c r="G972" s="142"/>
      <c r="H972" s="141"/>
      <c r="I972" s="8"/>
    </row>
    <row r="973" spans="2:9" ht="15" hidden="1" customHeight="1" x14ac:dyDescent="0.25">
      <c r="B973" s="7"/>
      <c r="C973" s="140">
        <v>945</v>
      </c>
      <c r="D973" s="142"/>
      <c r="E973" s="142"/>
      <c r="F973" s="142"/>
      <c r="G973" s="142"/>
      <c r="H973" s="141"/>
      <c r="I973" s="8"/>
    </row>
    <row r="974" spans="2:9" ht="15" hidden="1" customHeight="1" x14ac:dyDescent="0.25">
      <c r="B974" s="7"/>
      <c r="C974" s="140">
        <v>946</v>
      </c>
      <c r="D974" s="142"/>
      <c r="E974" s="142"/>
      <c r="F974" s="142"/>
      <c r="G974" s="142"/>
      <c r="H974" s="141"/>
      <c r="I974" s="8"/>
    </row>
    <row r="975" spans="2:9" ht="15" hidden="1" customHeight="1" x14ac:dyDescent="0.25">
      <c r="B975" s="7"/>
      <c r="C975" s="140">
        <v>947</v>
      </c>
      <c r="D975" s="142"/>
      <c r="E975" s="142"/>
      <c r="F975" s="142"/>
      <c r="G975" s="142"/>
      <c r="H975" s="141"/>
      <c r="I975" s="8"/>
    </row>
    <row r="976" spans="2:9" ht="15" hidden="1" customHeight="1" x14ac:dyDescent="0.25">
      <c r="B976" s="7"/>
      <c r="C976" s="140">
        <v>948</v>
      </c>
      <c r="D976" s="142"/>
      <c r="E976" s="142"/>
      <c r="F976" s="142"/>
      <c r="G976" s="142"/>
      <c r="H976" s="141"/>
      <c r="I976" s="8"/>
    </row>
    <row r="977" spans="2:9" ht="15" hidden="1" customHeight="1" x14ac:dyDescent="0.25">
      <c r="B977" s="7"/>
      <c r="C977" s="140">
        <v>949</v>
      </c>
      <c r="D977" s="142"/>
      <c r="E977" s="142"/>
      <c r="F977" s="142"/>
      <c r="G977" s="142"/>
      <c r="H977" s="141"/>
      <c r="I977" s="8"/>
    </row>
    <row r="978" spans="2:9" ht="15" hidden="1" customHeight="1" x14ac:dyDescent="0.25">
      <c r="B978" s="7"/>
      <c r="C978" s="140">
        <v>950</v>
      </c>
      <c r="D978" s="142"/>
      <c r="E978" s="142"/>
      <c r="F978" s="142"/>
      <c r="G978" s="142"/>
      <c r="H978" s="141"/>
      <c r="I978" s="8"/>
    </row>
    <row r="979" spans="2:9" ht="15" hidden="1" customHeight="1" x14ac:dyDescent="0.25">
      <c r="B979" s="7"/>
      <c r="C979" s="140">
        <v>951</v>
      </c>
      <c r="D979" s="142"/>
      <c r="E979" s="142"/>
      <c r="F979" s="142"/>
      <c r="G979" s="142"/>
      <c r="H979" s="141"/>
      <c r="I979" s="8"/>
    </row>
    <row r="980" spans="2:9" ht="15" hidden="1" customHeight="1" x14ac:dyDescent="0.25">
      <c r="B980" s="7"/>
      <c r="C980" s="140">
        <v>952</v>
      </c>
      <c r="D980" s="142"/>
      <c r="E980" s="142"/>
      <c r="F980" s="142"/>
      <c r="G980" s="142"/>
      <c r="H980" s="141"/>
      <c r="I980" s="8"/>
    </row>
    <row r="981" spans="2:9" ht="15" hidden="1" customHeight="1" x14ac:dyDescent="0.25">
      <c r="B981" s="7"/>
      <c r="C981" s="140">
        <v>953</v>
      </c>
      <c r="D981" s="142"/>
      <c r="E981" s="142"/>
      <c r="F981" s="142"/>
      <c r="G981" s="142"/>
      <c r="H981" s="141"/>
      <c r="I981" s="8"/>
    </row>
    <row r="982" spans="2:9" ht="15" hidden="1" customHeight="1" x14ac:dyDescent="0.25">
      <c r="B982" s="7"/>
      <c r="C982" s="140">
        <v>954</v>
      </c>
      <c r="D982" s="142"/>
      <c r="E982" s="142"/>
      <c r="F982" s="142"/>
      <c r="G982" s="142"/>
      <c r="H982" s="141"/>
      <c r="I982" s="8"/>
    </row>
    <row r="983" spans="2:9" ht="15" hidden="1" customHeight="1" x14ac:dyDescent="0.25">
      <c r="B983" s="7"/>
      <c r="C983" s="140">
        <v>955</v>
      </c>
      <c r="D983" s="142"/>
      <c r="E983" s="142"/>
      <c r="F983" s="142"/>
      <c r="G983" s="142"/>
      <c r="H983" s="141"/>
      <c r="I983" s="8"/>
    </row>
    <row r="984" spans="2:9" ht="15" hidden="1" customHeight="1" x14ac:dyDescent="0.25">
      <c r="B984" s="7"/>
      <c r="C984" s="140">
        <v>956</v>
      </c>
      <c r="D984" s="142"/>
      <c r="E984" s="142"/>
      <c r="F984" s="142"/>
      <c r="G984" s="142"/>
      <c r="H984" s="141"/>
      <c r="I984" s="8"/>
    </row>
    <row r="985" spans="2:9" ht="15" hidden="1" customHeight="1" x14ac:dyDescent="0.25">
      <c r="B985" s="7"/>
      <c r="C985" s="140">
        <v>957</v>
      </c>
      <c r="D985" s="142"/>
      <c r="E985" s="142"/>
      <c r="F985" s="142"/>
      <c r="G985" s="142"/>
      <c r="H985" s="141"/>
      <c r="I985" s="8"/>
    </row>
    <row r="986" spans="2:9" ht="15" hidden="1" customHeight="1" x14ac:dyDescent="0.25">
      <c r="B986" s="7"/>
      <c r="C986" s="140">
        <v>958</v>
      </c>
      <c r="D986" s="142"/>
      <c r="E986" s="142"/>
      <c r="F986" s="142"/>
      <c r="G986" s="142"/>
      <c r="H986" s="141"/>
      <c r="I986" s="8"/>
    </row>
    <row r="987" spans="2:9" ht="15" hidden="1" customHeight="1" x14ac:dyDescent="0.25">
      <c r="B987" s="7"/>
      <c r="C987" s="140">
        <v>959</v>
      </c>
      <c r="D987" s="142"/>
      <c r="E987" s="142"/>
      <c r="F987" s="142"/>
      <c r="G987" s="142"/>
      <c r="H987" s="141"/>
      <c r="I987" s="8"/>
    </row>
    <row r="988" spans="2:9" ht="15" hidden="1" customHeight="1" x14ac:dyDescent="0.25">
      <c r="B988" s="7"/>
      <c r="C988" s="140">
        <v>960</v>
      </c>
      <c r="D988" s="142"/>
      <c r="E988" s="142"/>
      <c r="F988" s="142"/>
      <c r="G988" s="142"/>
      <c r="H988" s="141"/>
      <c r="I988" s="8"/>
    </row>
    <row r="989" spans="2:9" ht="15" hidden="1" customHeight="1" x14ac:dyDescent="0.25">
      <c r="B989" s="7"/>
      <c r="C989" s="140">
        <v>961</v>
      </c>
      <c r="D989" s="142"/>
      <c r="E989" s="142"/>
      <c r="F989" s="142"/>
      <c r="G989" s="142"/>
      <c r="H989" s="141"/>
      <c r="I989" s="8"/>
    </row>
    <row r="990" spans="2:9" ht="15" hidden="1" customHeight="1" x14ac:dyDescent="0.25">
      <c r="B990" s="7"/>
      <c r="C990" s="140">
        <v>962</v>
      </c>
      <c r="D990" s="142"/>
      <c r="E990" s="142"/>
      <c r="F990" s="142"/>
      <c r="G990" s="142"/>
      <c r="H990" s="141"/>
      <c r="I990" s="8"/>
    </row>
    <row r="991" spans="2:9" ht="15" hidden="1" customHeight="1" x14ac:dyDescent="0.25">
      <c r="B991" s="7"/>
      <c r="C991" s="140">
        <v>963</v>
      </c>
      <c r="D991" s="142"/>
      <c r="E991" s="142"/>
      <c r="F991" s="142"/>
      <c r="G991" s="142"/>
      <c r="H991" s="141"/>
      <c r="I991" s="8"/>
    </row>
    <row r="992" spans="2:9" ht="15" hidden="1" customHeight="1" x14ac:dyDescent="0.25">
      <c r="B992" s="7"/>
      <c r="C992" s="140">
        <v>964</v>
      </c>
      <c r="D992" s="142"/>
      <c r="E992" s="142"/>
      <c r="F992" s="142"/>
      <c r="G992" s="142"/>
      <c r="H992" s="141"/>
      <c r="I992" s="8"/>
    </row>
    <row r="993" spans="2:9" ht="15" hidden="1" customHeight="1" x14ac:dyDescent="0.25">
      <c r="B993" s="7"/>
      <c r="C993" s="140">
        <v>965</v>
      </c>
      <c r="D993" s="142"/>
      <c r="E993" s="142"/>
      <c r="F993" s="142"/>
      <c r="G993" s="142"/>
      <c r="H993" s="141"/>
      <c r="I993" s="8"/>
    </row>
    <row r="994" spans="2:9" ht="15" hidden="1" customHeight="1" x14ac:dyDescent="0.25">
      <c r="B994" s="7"/>
      <c r="C994" s="140">
        <v>966</v>
      </c>
      <c r="D994" s="142"/>
      <c r="E994" s="142"/>
      <c r="F994" s="142"/>
      <c r="G994" s="142"/>
      <c r="H994" s="141"/>
      <c r="I994" s="8"/>
    </row>
    <row r="995" spans="2:9" ht="15" hidden="1" customHeight="1" x14ac:dyDescent="0.25">
      <c r="B995" s="7"/>
      <c r="C995" s="140">
        <v>967</v>
      </c>
      <c r="D995" s="142"/>
      <c r="E995" s="142"/>
      <c r="F995" s="142"/>
      <c r="G995" s="142"/>
      <c r="H995" s="141"/>
      <c r="I995" s="8"/>
    </row>
    <row r="996" spans="2:9" ht="15" hidden="1" customHeight="1" x14ac:dyDescent="0.25">
      <c r="B996" s="7"/>
      <c r="C996" s="140">
        <v>968</v>
      </c>
      <c r="D996" s="142"/>
      <c r="E996" s="142"/>
      <c r="F996" s="142"/>
      <c r="G996" s="142"/>
      <c r="H996" s="141"/>
      <c r="I996" s="8"/>
    </row>
    <row r="997" spans="2:9" ht="15" hidden="1" customHeight="1" x14ac:dyDescent="0.25">
      <c r="B997" s="7"/>
      <c r="C997" s="140">
        <v>969</v>
      </c>
      <c r="D997" s="142"/>
      <c r="E997" s="142"/>
      <c r="F997" s="142"/>
      <c r="G997" s="142"/>
      <c r="H997" s="141"/>
      <c r="I997" s="8"/>
    </row>
    <row r="998" spans="2:9" ht="15" hidden="1" customHeight="1" x14ac:dyDescent="0.25">
      <c r="B998" s="7"/>
      <c r="C998" s="140">
        <v>970</v>
      </c>
      <c r="D998" s="142"/>
      <c r="E998" s="142"/>
      <c r="F998" s="142"/>
      <c r="G998" s="142"/>
      <c r="H998" s="141"/>
      <c r="I998" s="8"/>
    </row>
    <row r="999" spans="2:9" ht="15" hidden="1" customHeight="1" x14ac:dyDescent="0.25">
      <c r="B999" s="7"/>
      <c r="C999" s="140">
        <v>971</v>
      </c>
      <c r="D999" s="142"/>
      <c r="E999" s="142"/>
      <c r="F999" s="142"/>
      <c r="G999" s="142"/>
      <c r="H999" s="141"/>
      <c r="I999" s="8"/>
    </row>
    <row r="1000" spans="2:9" ht="15" hidden="1" customHeight="1" x14ac:dyDescent="0.25">
      <c r="B1000" s="7"/>
      <c r="C1000" s="140">
        <v>972</v>
      </c>
      <c r="D1000" s="142"/>
      <c r="E1000" s="142"/>
      <c r="F1000" s="142"/>
      <c r="G1000" s="142"/>
      <c r="H1000" s="141"/>
      <c r="I1000" s="8"/>
    </row>
    <row r="1001" spans="2:9" ht="15" hidden="1" customHeight="1" x14ac:dyDescent="0.25">
      <c r="B1001" s="7"/>
      <c r="C1001" s="140">
        <v>973</v>
      </c>
      <c r="D1001" s="142"/>
      <c r="E1001" s="142"/>
      <c r="F1001" s="142"/>
      <c r="G1001" s="142"/>
      <c r="H1001" s="141"/>
      <c r="I1001" s="8"/>
    </row>
    <row r="1002" spans="2:9" ht="15" hidden="1" customHeight="1" x14ac:dyDescent="0.25">
      <c r="B1002" s="7"/>
      <c r="C1002" s="140">
        <v>974</v>
      </c>
      <c r="D1002" s="142"/>
      <c r="E1002" s="142"/>
      <c r="F1002" s="142"/>
      <c r="G1002" s="142"/>
      <c r="H1002" s="141"/>
      <c r="I1002" s="8"/>
    </row>
    <row r="1003" spans="2:9" ht="15" hidden="1" customHeight="1" x14ac:dyDescent="0.25">
      <c r="B1003" s="7"/>
      <c r="C1003" s="140">
        <v>975</v>
      </c>
      <c r="D1003" s="142"/>
      <c r="E1003" s="142"/>
      <c r="F1003" s="142"/>
      <c r="G1003" s="142"/>
      <c r="H1003" s="141"/>
      <c r="I1003" s="8"/>
    </row>
    <row r="1004" spans="2:9" ht="15" hidden="1" customHeight="1" x14ac:dyDescent="0.25">
      <c r="B1004" s="7"/>
      <c r="C1004" s="140">
        <v>976</v>
      </c>
      <c r="D1004" s="142"/>
      <c r="E1004" s="142"/>
      <c r="F1004" s="142"/>
      <c r="G1004" s="142"/>
      <c r="H1004" s="141"/>
      <c r="I1004" s="8"/>
    </row>
    <row r="1005" spans="2:9" ht="15" hidden="1" customHeight="1" x14ac:dyDescent="0.25">
      <c r="B1005" s="7"/>
      <c r="C1005" s="140">
        <v>977</v>
      </c>
      <c r="D1005" s="142"/>
      <c r="E1005" s="142"/>
      <c r="F1005" s="142"/>
      <c r="G1005" s="142"/>
      <c r="H1005" s="141"/>
      <c r="I1005" s="8"/>
    </row>
    <row r="1006" spans="2:9" ht="15" hidden="1" customHeight="1" x14ac:dyDescent="0.25">
      <c r="B1006" s="7"/>
      <c r="C1006" s="140">
        <v>978</v>
      </c>
      <c r="D1006" s="142"/>
      <c r="E1006" s="142"/>
      <c r="F1006" s="142"/>
      <c r="G1006" s="142"/>
      <c r="H1006" s="141"/>
      <c r="I1006" s="8"/>
    </row>
    <row r="1007" spans="2:9" ht="15" hidden="1" customHeight="1" x14ac:dyDescent="0.25">
      <c r="B1007" s="7"/>
      <c r="C1007" s="140">
        <v>979</v>
      </c>
      <c r="D1007" s="142"/>
      <c r="E1007" s="142"/>
      <c r="F1007" s="142"/>
      <c r="G1007" s="142"/>
      <c r="H1007" s="141"/>
      <c r="I1007" s="8"/>
    </row>
    <row r="1008" spans="2:9" ht="15" hidden="1" customHeight="1" x14ac:dyDescent="0.25">
      <c r="B1008" s="7"/>
      <c r="C1008" s="140">
        <v>980</v>
      </c>
      <c r="D1008" s="142"/>
      <c r="E1008" s="142"/>
      <c r="F1008" s="142"/>
      <c r="G1008" s="142"/>
      <c r="H1008" s="141"/>
      <c r="I1008" s="8"/>
    </row>
    <row r="1009" spans="2:9" ht="15" hidden="1" customHeight="1" x14ac:dyDescent="0.25">
      <c r="B1009" s="7"/>
      <c r="C1009" s="140">
        <v>981</v>
      </c>
      <c r="D1009" s="142"/>
      <c r="E1009" s="142"/>
      <c r="F1009" s="142"/>
      <c r="G1009" s="142"/>
      <c r="H1009" s="141"/>
      <c r="I1009" s="8"/>
    </row>
    <row r="1010" spans="2:9" ht="15" hidden="1" customHeight="1" x14ac:dyDescent="0.25">
      <c r="B1010" s="7"/>
      <c r="C1010" s="140">
        <v>982</v>
      </c>
      <c r="D1010" s="142"/>
      <c r="E1010" s="142"/>
      <c r="F1010" s="142"/>
      <c r="G1010" s="142"/>
      <c r="H1010" s="141"/>
      <c r="I1010" s="8"/>
    </row>
    <row r="1011" spans="2:9" ht="15" hidden="1" customHeight="1" x14ac:dyDescent="0.25">
      <c r="B1011" s="7"/>
      <c r="C1011" s="140">
        <v>983</v>
      </c>
      <c r="D1011" s="142"/>
      <c r="E1011" s="142"/>
      <c r="F1011" s="142"/>
      <c r="G1011" s="142"/>
      <c r="H1011" s="141"/>
      <c r="I1011" s="8"/>
    </row>
    <row r="1012" spans="2:9" ht="15" hidden="1" customHeight="1" x14ac:dyDescent="0.25">
      <c r="B1012" s="7"/>
      <c r="C1012" s="140">
        <v>984</v>
      </c>
      <c r="D1012" s="142"/>
      <c r="E1012" s="142"/>
      <c r="F1012" s="142"/>
      <c r="G1012" s="142"/>
      <c r="H1012" s="141"/>
      <c r="I1012" s="8"/>
    </row>
    <row r="1013" spans="2:9" ht="15" hidden="1" customHeight="1" x14ac:dyDescent="0.25">
      <c r="B1013" s="7"/>
      <c r="C1013" s="140">
        <v>985</v>
      </c>
      <c r="D1013" s="142"/>
      <c r="E1013" s="142"/>
      <c r="F1013" s="142"/>
      <c r="G1013" s="142"/>
      <c r="H1013" s="141"/>
      <c r="I1013" s="8"/>
    </row>
    <row r="1014" spans="2:9" ht="15" hidden="1" customHeight="1" x14ac:dyDescent="0.25">
      <c r="B1014" s="7"/>
      <c r="C1014" s="140">
        <v>986</v>
      </c>
      <c r="D1014" s="142"/>
      <c r="E1014" s="142"/>
      <c r="F1014" s="142"/>
      <c r="G1014" s="142"/>
      <c r="H1014" s="141"/>
      <c r="I1014" s="8"/>
    </row>
    <row r="1015" spans="2:9" ht="15" hidden="1" customHeight="1" x14ac:dyDescent="0.25">
      <c r="B1015" s="7"/>
      <c r="C1015" s="140">
        <v>987</v>
      </c>
      <c r="D1015" s="142"/>
      <c r="E1015" s="142"/>
      <c r="F1015" s="142"/>
      <c r="G1015" s="142"/>
      <c r="H1015" s="141"/>
      <c r="I1015" s="8"/>
    </row>
    <row r="1016" spans="2:9" ht="15" hidden="1" customHeight="1" x14ac:dyDescent="0.25">
      <c r="B1016" s="7"/>
      <c r="C1016" s="140">
        <v>988</v>
      </c>
      <c r="D1016" s="142"/>
      <c r="E1016" s="142"/>
      <c r="F1016" s="142"/>
      <c r="G1016" s="142"/>
      <c r="H1016" s="141"/>
      <c r="I1016" s="8"/>
    </row>
    <row r="1017" spans="2:9" ht="15" hidden="1" customHeight="1" x14ac:dyDescent="0.25">
      <c r="B1017" s="7"/>
      <c r="C1017" s="140">
        <v>989</v>
      </c>
      <c r="D1017" s="142"/>
      <c r="E1017" s="142"/>
      <c r="F1017" s="142"/>
      <c r="G1017" s="142"/>
      <c r="H1017" s="141"/>
      <c r="I1017" s="8"/>
    </row>
    <row r="1018" spans="2:9" ht="15" hidden="1" customHeight="1" x14ac:dyDescent="0.25">
      <c r="B1018" s="7"/>
      <c r="C1018" s="140">
        <v>990</v>
      </c>
      <c r="D1018" s="142"/>
      <c r="E1018" s="142"/>
      <c r="F1018" s="142"/>
      <c r="G1018" s="142"/>
      <c r="H1018" s="141"/>
      <c r="I1018" s="8"/>
    </row>
    <row r="1019" spans="2:9" ht="15" hidden="1" customHeight="1" x14ac:dyDescent="0.25">
      <c r="B1019" s="7"/>
      <c r="C1019" s="140">
        <v>991</v>
      </c>
      <c r="D1019" s="142"/>
      <c r="E1019" s="142"/>
      <c r="F1019" s="142"/>
      <c r="G1019" s="142"/>
      <c r="H1019" s="141"/>
      <c r="I1019" s="8"/>
    </row>
    <row r="1020" spans="2:9" ht="15" hidden="1" customHeight="1" x14ac:dyDescent="0.25">
      <c r="B1020" s="7"/>
      <c r="C1020" s="140">
        <v>992</v>
      </c>
      <c r="D1020" s="142"/>
      <c r="E1020" s="142"/>
      <c r="F1020" s="142"/>
      <c r="G1020" s="142"/>
      <c r="H1020" s="141"/>
      <c r="I1020" s="8"/>
    </row>
    <row r="1021" spans="2:9" ht="15" hidden="1" customHeight="1" x14ac:dyDescent="0.25">
      <c r="B1021" s="7"/>
      <c r="C1021" s="140">
        <v>993</v>
      </c>
      <c r="D1021" s="142"/>
      <c r="E1021" s="142"/>
      <c r="F1021" s="142"/>
      <c r="G1021" s="142"/>
      <c r="H1021" s="141"/>
      <c r="I1021" s="8"/>
    </row>
    <row r="1022" spans="2:9" ht="15" hidden="1" customHeight="1" x14ac:dyDescent="0.25">
      <c r="B1022" s="7"/>
      <c r="C1022" s="140">
        <v>994</v>
      </c>
      <c r="D1022" s="142"/>
      <c r="E1022" s="142"/>
      <c r="F1022" s="142"/>
      <c r="G1022" s="142"/>
      <c r="H1022" s="141"/>
      <c r="I1022" s="8"/>
    </row>
    <row r="1023" spans="2:9" ht="15" hidden="1" customHeight="1" x14ac:dyDescent="0.25">
      <c r="B1023" s="7"/>
      <c r="C1023" s="140">
        <v>995</v>
      </c>
      <c r="D1023" s="142"/>
      <c r="E1023" s="142"/>
      <c r="F1023" s="142"/>
      <c r="G1023" s="142"/>
      <c r="H1023" s="141"/>
      <c r="I1023" s="8"/>
    </row>
    <row r="1024" spans="2:9" ht="15" hidden="1" customHeight="1" x14ac:dyDescent="0.25">
      <c r="B1024" s="7"/>
      <c r="C1024" s="140">
        <v>996</v>
      </c>
      <c r="D1024" s="142"/>
      <c r="E1024" s="142"/>
      <c r="F1024" s="142"/>
      <c r="G1024" s="142"/>
      <c r="H1024" s="141"/>
      <c r="I1024" s="8"/>
    </row>
    <row r="1025" spans="2:9" ht="15" hidden="1" customHeight="1" x14ac:dyDescent="0.25">
      <c r="B1025" s="7"/>
      <c r="C1025" s="140">
        <v>997</v>
      </c>
      <c r="D1025" s="142"/>
      <c r="E1025" s="142"/>
      <c r="F1025" s="142"/>
      <c r="G1025" s="142"/>
      <c r="H1025" s="141"/>
      <c r="I1025" s="8"/>
    </row>
    <row r="1026" spans="2:9" ht="15" hidden="1" customHeight="1" x14ac:dyDescent="0.25">
      <c r="B1026" s="7"/>
      <c r="C1026" s="140">
        <v>998</v>
      </c>
      <c r="D1026" s="142"/>
      <c r="E1026" s="142"/>
      <c r="F1026" s="142"/>
      <c r="G1026" s="142"/>
      <c r="H1026" s="141"/>
      <c r="I1026" s="8"/>
    </row>
    <row r="1027" spans="2:9" ht="15" hidden="1" customHeight="1" x14ac:dyDescent="0.25">
      <c r="B1027" s="7"/>
      <c r="C1027" s="140">
        <v>999</v>
      </c>
      <c r="D1027" s="142"/>
      <c r="E1027" s="142"/>
      <c r="F1027" s="142"/>
      <c r="G1027" s="142"/>
      <c r="H1027" s="141"/>
      <c r="I1027" s="8"/>
    </row>
    <row r="1028" spans="2:9" ht="15" hidden="1" customHeight="1" x14ac:dyDescent="0.25">
      <c r="B1028" s="7"/>
      <c r="C1028" s="140">
        <v>1000</v>
      </c>
      <c r="D1028" s="142"/>
      <c r="E1028" s="142"/>
      <c r="F1028" s="142"/>
      <c r="G1028" s="142"/>
      <c r="H1028" s="141"/>
      <c r="I1028" s="8"/>
    </row>
    <row r="1029" spans="2:9" ht="15" hidden="1" customHeight="1" x14ac:dyDescent="0.25">
      <c r="B1029" s="7"/>
      <c r="C1029" s="140">
        <v>1001</v>
      </c>
      <c r="D1029" s="142"/>
      <c r="E1029" s="142"/>
      <c r="F1029" s="142"/>
      <c r="G1029" s="142"/>
      <c r="H1029" s="141"/>
      <c r="I1029" s="8"/>
    </row>
    <row r="1030" spans="2:9" ht="15" hidden="1" customHeight="1" x14ac:dyDescent="0.25">
      <c r="B1030" s="7"/>
      <c r="C1030" s="140">
        <v>1002</v>
      </c>
      <c r="D1030" s="142"/>
      <c r="E1030" s="142"/>
      <c r="F1030" s="142"/>
      <c r="G1030" s="142"/>
      <c r="H1030" s="141"/>
      <c r="I1030" s="8"/>
    </row>
    <row r="1031" spans="2:9" ht="15" hidden="1" customHeight="1" x14ac:dyDescent="0.25">
      <c r="B1031" s="7"/>
      <c r="C1031" s="140">
        <v>1003</v>
      </c>
      <c r="D1031" s="142"/>
      <c r="E1031" s="142"/>
      <c r="F1031" s="142"/>
      <c r="G1031" s="142"/>
      <c r="H1031" s="141"/>
      <c r="I1031" s="8"/>
    </row>
    <row r="1032" spans="2:9" ht="15" hidden="1" customHeight="1" x14ac:dyDescent="0.25">
      <c r="B1032" s="7"/>
      <c r="C1032" s="140">
        <v>1004</v>
      </c>
      <c r="D1032" s="142"/>
      <c r="E1032" s="142"/>
      <c r="F1032" s="142"/>
      <c r="G1032" s="142"/>
      <c r="H1032" s="141"/>
      <c r="I1032" s="8"/>
    </row>
    <row r="1033" spans="2:9" ht="15" hidden="1" customHeight="1" x14ac:dyDescent="0.25">
      <c r="B1033" s="7"/>
      <c r="C1033" s="140">
        <v>1005</v>
      </c>
      <c r="D1033" s="142"/>
      <c r="E1033" s="142"/>
      <c r="F1033" s="142"/>
      <c r="G1033" s="142"/>
      <c r="H1033" s="141"/>
      <c r="I1033" s="8"/>
    </row>
    <row r="1034" spans="2:9" ht="15" hidden="1" customHeight="1" x14ac:dyDescent="0.25">
      <c r="B1034" s="7"/>
      <c r="C1034" s="140">
        <v>1006</v>
      </c>
      <c r="D1034" s="142"/>
      <c r="E1034" s="142"/>
      <c r="F1034" s="142"/>
      <c r="G1034" s="142"/>
      <c r="H1034" s="141"/>
      <c r="I1034" s="8"/>
    </row>
    <row r="1035" spans="2:9" ht="15" hidden="1" customHeight="1" x14ac:dyDescent="0.25">
      <c r="B1035" s="7"/>
      <c r="C1035" s="140">
        <v>1007</v>
      </c>
      <c r="D1035" s="142"/>
      <c r="E1035" s="142"/>
      <c r="F1035" s="142"/>
      <c r="G1035" s="142"/>
      <c r="H1035" s="141"/>
      <c r="I1035" s="8"/>
    </row>
    <row r="1036" spans="2:9" ht="15" hidden="1" customHeight="1" x14ac:dyDescent="0.25">
      <c r="B1036" s="7"/>
      <c r="C1036" s="140">
        <v>1008</v>
      </c>
      <c r="D1036" s="142"/>
      <c r="E1036" s="142"/>
      <c r="F1036" s="142"/>
      <c r="G1036" s="142"/>
      <c r="H1036" s="141"/>
      <c r="I1036" s="8"/>
    </row>
    <row r="1037" spans="2:9" ht="15" hidden="1" customHeight="1" x14ac:dyDescent="0.25">
      <c r="B1037" s="7"/>
      <c r="C1037" s="140">
        <v>1009</v>
      </c>
      <c r="D1037" s="142"/>
      <c r="E1037" s="142"/>
      <c r="F1037" s="142"/>
      <c r="G1037" s="142"/>
      <c r="H1037" s="141"/>
      <c r="I1037" s="8"/>
    </row>
    <row r="1038" spans="2:9" ht="15" hidden="1" customHeight="1" x14ac:dyDescent="0.25">
      <c r="B1038" s="7"/>
      <c r="C1038" s="140">
        <v>1010</v>
      </c>
      <c r="D1038" s="142"/>
      <c r="E1038" s="142"/>
      <c r="F1038" s="142"/>
      <c r="G1038" s="142"/>
      <c r="H1038" s="141"/>
      <c r="I1038" s="8"/>
    </row>
    <row r="1039" spans="2:9" ht="15" hidden="1" customHeight="1" x14ac:dyDescent="0.25">
      <c r="B1039" s="7"/>
      <c r="C1039" s="140">
        <v>1011</v>
      </c>
      <c r="D1039" s="142"/>
      <c r="E1039" s="142"/>
      <c r="F1039" s="142"/>
      <c r="G1039" s="142"/>
      <c r="H1039" s="141"/>
      <c r="I1039" s="8"/>
    </row>
    <row r="1040" spans="2:9" ht="15" hidden="1" customHeight="1" x14ac:dyDescent="0.25">
      <c r="B1040" s="7"/>
      <c r="C1040" s="140">
        <v>1012</v>
      </c>
      <c r="D1040" s="142"/>
      <c r="E1040" s="142"/>
      <c r="F1040" s="142"/>
      <c r="G1040" s="142"/>
      <c r="H1040" s="141"/>
      <c r="I1040" s="8"/>
    </row>
    <row r="1041" spans="2:9" ht="15" hidden="1" customHeight="1" x14ac:dyDescent="0.25">
      <c r="B1041" s="7"/>
      <c r="C1041" s="140">
        <v>1013</v>
      </c>
      <c r="D1041" s="142"/>
      <c r="E1041" s="142"/>
      <c r="F1041" s="142"/>
      <c r="G1041" s="142"/>
      <c r="H1041" s="141"/>
      <c r="I1041" s="8"/>
    </row>
    <row r="1042" spans="2:9" ht="15" hidden="1" customHeight="1" x14ac:dyDescent="0.25">
      <c r="B1042" s="7"/>
      <c r="C1042" s="140">
        <v>1014</v>
      </c>
      <c r="D1042" s="142"/>
      <c r="E1042" s="142"/>
      <c r="F1042" s="142"/>
      <c r="G1042" s="142"/>
      <c r="H1042" s="141"/>
      <c r="I1042" s="8"/>
    </row>
    <row r="1043" spans="2:9" ht="15" hidden="1" customHeight="1" x14ac:dyDescent="0.25">
      <c r="B1043" s="7"/>
      <c r="C1043" s="140">
        <v>1015</v>
      </c>
      <c r="D1043" s="142"/>
      <c r="E1043" s="142"/>
      <c r="F1043" s="142"/>
      <c r="G1043" s="142"/>
      <c r="H1043" s="141"/>
      <c r="I1043" s="8"/>
    </row>
    <row r="1044" spans="2:9" ht="15" hidden="1" customHeight="1" x14ac:dyDescent="0.25">
      <c r="B1044" s="7"/>
      <c r="C1044" s="140">
        <v>1016</v>
      </c>
      <c r="D1044" s="142"/>
      <c r="E1044" s="142"/>
      <c r="F1044" s="142"/>
      <c r="G1044" s="142"/>
      <c r="H1044" s="141"/>
      <c r="I1044" s="8"/>
    </row>
    <row r="1045" spans="2:9" ht="15" hidden="1" customHeight="1" x14ac:dyDescent="0.25">
      <c r="B1045" s="7"/>
      <c r="C1045" s="140">
        <v>1017</v>
      </c>
      <c r="D1045" s="142"/>
      <c r="E1045" s="142"/>
      <c r="F1045" s="142"/>
      <c r="G1045" s="142"/>
      <c r="H1045" s="141"/>
      <c r="I1045" s="8"/>
    </row>
    <row r="1046" spans="2:9" ht="15" hidden="1" customHeight="1" x14ac:dyDescent="0.25">
      <c r="B1046" s="7"/>
      <c r="C1046" s="140">
        <v>1018</v>
      </c>
      <c r="D1046" s="142"/>
      <c r="E1046" s="142"/>
      <c r="F1046" s="142"/>
      <c r="G1046" s="142"/>
      <c r="H1046" s="141"/>
      <c r="I1046" s="8"/>
    </row>
    <row r="1047" spans="2:9" ht="15" hidden="1" customHeight="1" x14ac:dyDescent="0.25">
      <c r="B1047" s="7"/>
      <c r="C1047" s="140">
        <v>1019</v>
      </c>
      <c r="D1047" s="142"/>
      <c r="E1047" s="142"/>
      <c r="F1047" s="142"/>
      <c r="G1047" s="142"/>
      <c r="H1047" s="141"/>
      <c r="I1047" s="8"/>
    </row>
    <row r="1048" spans="2:9" ht="15" hidden="1" customHeight="1" x14ac:dyDescent="0.25">
      <c r="B1048" s="7"/>
      <c r="C1048" s="140">
        <v>1020</v>
      </c>
      <c r="D1048" s="142"/>
      <c r="E1048" s="142"/>
      <c r="F1048" s="142"/>
      <c r="G1048" s="142"/>
      <c r="H1048" s="141"/>
      <c r="I1048" s="8"/>
    </row>
    <row r="1049" spans="2:9" ht="15" hidden="1" customHeight="1" x14ac:dyDescent="0.25">
      <c r="B1049" s="7"/>
      <c r="C1049" s="140">
        <v>1021</v>
      </c>
      <c r="D1049" s="142"/>
      <c r="E1049" s="142"/>
      <c r="F1049" s="142"/>
      <c r="G1049" s="142"/>
      <c r="H1049" s="141"/>
      <c r="I1049" s="8"/>
    </row>
    <row r="1050" spans="2:9" ht="15" hidden="1" customHeight="1" x14ac:dyDescent="0.25">
      <c r="B1050" s="7"/>
      <c r="C1050" s="140">
        <v>1022</v>
      </c>
      <c r="D1050" s="142"/>
      <c r="E1050" s="142"/>
      <c r="F1050" s="142"/>
      <c r="G1050" s="142"/>
      <c r="H1050" s="141"/>
      <c r="I1050" s="8"/>
    </row>
    <row r="1051" spans="2:9" ht="15" hidden="1" customHeight="1" x14ac:dyDescent="0.25">
      <c r="B1051" s="7"/>
      <c r="C1051" s="140">
        <v>1023</v>
      </c>
      <c r="D1051" s="142"/>
      <c r="E1051" s="142"/>
      <c r="F1051" s="142"/>
      <c r="G1051" s="142"/>
      <c r="H1051" s="141"/>
      <c r="I1051" s="8"/>
    </row>
    <row r="1052" spans="2:9" ht="15" hidden="1" customHeight="1" x14ac:dyDescent="0.25">
      <c r="B1052" s="7"/>
      <c r="C1052" s="140">
        <v>1024</v>
      </c>
      <c r="D1052" s="142"/>
      <c r="E1052" s="142"/>
      <c r="F1052" s="142"/>
      <c r="G1052" s="142"/>
      <c r="H1052" s="141"/>
      <c r="I1052" s="8"/>
    </row>
    <row r="1053" spans="2:9" ht="15" hidden="1" customHeight="1" x14ac:dyDescent="0.25">
      <c r="B1053" s="7"/>
      <c r="C1053" s="140">
        <v>1025</v>
      </c>
      <c r="D1053" s="142"/>
      <c r="E1053" s="142"/>
      <c r="F1053" s="142"/>
      <c r="G1053" s="142"/>
      <c r="H1053" s="141"/>
      <c r="I1053" s="8"/>
    </row>
    <row r="1054" spans="2:9" ht="15" hidden="1" customHeight="1" x14ac:dyDescent="0.25">
      <c r="B1054" s="7"/>
      <c r="C1054" s="140">
        <v>1026</v>
      </c>
      <c r="D1054" s="142"/>
      <c r="E1054" s="142"/>
      <c r="F1054" s="142"/>
      <c r="G1054" s="142"/>
      <c r="H1054" s="141"/>
      <c r="I1054" s="8"/>
    </row>
    <row r="1055" spans="2:9" ht="15" hidden="1" customHeight="1" x14ac:dyDescent="0.25">
      <c r="B1055" s="7"/>
      <c r="C1055" s="140">
        <v>1027</v>
      </c>
      <c r="D1055" s="142"/>
      <c r="E1055" s="142"/>
      <c r="F1055" s="142"/>
      <c r="G1055" s="142"/>
      <c r="H1055" s="141"/>
      <c r="I1055" s="8"/>
    </row>
    <row r="1056" spans="2:9" ht="15" hidden="1" customHeight="1" x14ac:dyDescent="0.25">
      <c r="B1056" s="7"/>
      <c r="C1056" s="140">
        <v>1028</v>
      </c>
      <c r="D1056" s="142"/>
      <c r="E1056" s="142"/>
      <c r="F1056" s="142"/>
      <c r="G1056" s="142"/>
      <c r="H1056" s="141"/>
      <c r="I1056" s="8"/>
    </row>
    <row r="1057" spans="2:9" ht="15" hidden="1" customHeight="1" x14ac:dyDescent="0.25">
      <c r="B1057" s="7"/>
      <c r="C1057" s="140">
        <v>1029</v>
      </c>
      <c r="D1057" s="142"/>
      <c r="E1057" s="142"/>
      <c r="F1057" s="142"/>
      <c r="G1057" s="142"/>
      <c r="H1057" s="141"/>
      <c r="I1057" s="8"/>
    </row>
    <row r="1058" spans="2:9" ht="15" hidden="1" customHeight="1" x14ac:dyDescent="0.25">
      <c r="B1058" s="7"/>
      <c r="C1058" s="140">
        <v>1030</v>
      </c>
      <c r="D1058" s="142"/>
      <c r="E1058" s="142"/>
      <c r="F1058" s="142"/>
      <c r="G1058" s="142"/>
      <c r="H1058" s="141"/>
      <c r="I1058" s="8"/>
    </row>
    <row r="1059" spans="2:9" ht="15" hidden="1" customHeight="1" x14ac:dyDescent="0.25">
      <c r="B1059" s="7"/>
      <c r="C1059" s="140">
        <v>1031</v>
      </c>
      <c r="D1059" s="142"/>
      <c r="E1059" s="142"/>
      <c r="F1059" s="142"/>
      <c r="G1059" s="142"/>
      <c r="H1059" s="141"/>
      <c r="I1059" s="8"/>
    </row>
    <row r="1060" spans="2:9" ht="15" hidden="1" customHeight="1" x14ac:dyDescent="0.25">
      <c r="B1060" s="7"/>
      <c r="C1060" s="140">
        <v>1032</v>
      </c>
      <c r="D1060" s="142"/>
      <c r="E1060" s="142"/>
      <c r="F1060" s="142"/>
      <c r="G1060" s="142"/>
      <c r="H1060" s="141"/>
      <c r="I1060" s="8"/>
    </row>
    <row r="1061" spans="2:9" ht="15" hidden="1" customHeight="1" x14ac:dyDescent="0.25">
      <c r="B1061" s="7"/>
      <c r="C1061" s="140">
        <v>1033</v>
      </c>
      <c r="D1061" s="142"/>
      <c r="E1061" s="142"/>
      <c r="F1061" s="142"/>
      <c r="G1061" s="142"/>
      <c r="H1061" s="141"/>
      <c r="I1061" s="8"/>
    </row>
    <row r="1062" spans="2:9" ht="15" hidden="1" customHeight="1" x14ac:dyDescent="0.25">
      <c r="B1062" s="7"/>
      <c r="C1062" s="140">
        <v>1034</v>
      </c>
      <c r="D1062" s="142"/>
      <c r="E1062" s="142"/>
      <c r="F1062" s="142"/>
      <c r="G1062" s="142"/>
      <c r="H1062" s="141"/>
      <c r="I1062" s="8"/>
    </row>
    <row r="1063" spans="2:9" ht="15" hidden="1" customHeight="1" x14ac:dyDescent="0.25">
      <c r="B1063" s="7"/>
      <c r="C1063" s="140">
        <v>1035</v>
      </c>
      <c r="D1063" s="142"/>
      <c r="E1063" s="142"/>
      <c r="F1063" s="142"/>
      <c r="G1063" s="142"/>
      <c r="H1063" s="141"/>
      <c r="I1063" s="8"/>
    </row>
    <row r="1064" spans="2:9" ht="15" hidden="1" customHeight="1" x14ac:dyDescent="0.25">
      <c r="B1064" s="7"/>
      <c r="C1064" s="140">
        <v>1036</v>
      </c>
      <c r="D1064" s="142"/>
      <c r="E1064" s="142"/>
      <c r="F1064" s="142"/>
      <c r="G1064" s="142"/>
      <c r="H1064" s="141"/>
      <c r="I1064" s="8"/>
    </row>
    <row r="1065" spans="2:9" ht="15" hidden="1" customHeight="1" x14ac:dyDescent="0.25">
      <c r="B1065" s="7"/>
      <c r="C1065" s="140">
        <v>1037</v>
      </c>
      <c r="D1065" s="142"/>
      <c r="E1065" s="142"/>
      <c r="F1065" s="142"/>
      <c r="G1065" s="142"/>
      <c r="H1065" s="141"/>
      <c r="I1065" s="8"/>
    </row>
    <row r="1066" spans="2:9" ht="15" hidden="1" customHeight="1" x14ac:dyDescent="0.25">
      <c r="B1066" s="7"/>
      <c r="C1066" s="140">
        <v>1038</v>
      </c>
      <c r="D1066" s="142"/>
      <c r="E1066" s="142"/>
      <c r="F1066" s="142"/>
      <c r="G1066" s="142"/>
      <c r="H1066" s="141"/>
      <c r="I1066" s="8"/>
    </row>
    <row r="1067" spans="2:9" ht="15" hidden="1" customHeight="1" x14ac:dyDescent="0.25">
      <c r="B1067" s="7"/>
      <c r="C1067" s="140">
        <v>1039</v>
      </c>
      <c r="D1067" s="142"/>
      <c r="E1067" s="142"/>
      <c r="F1067" s="142"/>
      <c r="G1067" s="142"/>
      <c r="H1067" s="141"/>
      <c r="I1067" s="8"/>
    </row>
    <row r="1068" spans="2:9" ht="15" hidden="1" customHeight="1" x14ac:dyDescent="0.25">
      <c r="B1068" s="7"/>
      <c r="C1068" s="140">
        <v>1040</v>
      </c>
      <c r="D1068" s="142"/>
      <c r="E1068" s="142"/>
      <c r="F1068" s="142"/>
      <c r="G1068" s="142"/>
      <c r="H1068" s="141"/>
      <c r="I1068" s="8"/>
    </row>
    <row r="1069" spans="2:9" ht="15" hidden="1" customHeight="1" x14ac:dyDescent="0.25">
      <c r="B1069" s="7"/>
      <c r="C1069" s="140">
        <v>1041</v>
      </c>
      <c r="D1069" s="142"/>
      <c r="E1069" s="142"/>
      <c r="F1069" s="142"/>
      <c r="G1069" s="142"/>
      <c r="H1069" s="141"/>
      <c r="I1069" s="8"/>
    </row>
    <row r="1070" spans="2:9" ht="15" hidden="1" customHeight="1" x14ac:dyDescent="0.25">
      <c r="B1070" s="7"/>
      <c r="C1070" s="140">
        <v>1042</v>
      </c>
      <c r="D1070" s="142"/>
      <c r="E1070" s="142"/>
      <c r="F1070" s="142"/>
      <c r="G1070" s="142"/>
      <c r="H1070" s="141"/>
      <c r="I1070" s="8"/>
    </row>
    <row r="1071" spans="2:9" ht="15" hidden="1" customHeight="1" x14ac:dyDescent="0.25">
      <c r="B1071" s="7"/>
      <c r="C1071" s="140">
        <v>1043</v>
      </c>
      <c r="D1071" s="142"/>
      <c r="E1071" s="142"/>
      <c r="F1071" s="142"/>
      <c r="G1071" s="142"/>
      <c r="H1071" s="141"/>
      <c r="I1071" s="8"/>
    </row>
    <row r="1072" spans="2:9" ht="15" hidden="1" customHeight="1" x14ac:dyDescent="0.25">
      <c r="B1072" s="7"/>
      <c r="C1072" s="140">
        <v>1044</v>
      </c>
      <c r="D1072" s="142"/>
      <c r="E1072" s="142"/>
      <c r="F1072" s="142"/>
      <c r="G1072" s="142"/>
      <c r="H1072" s="141"/>
      <c r="I1072" s="8"/>
    </row>
    <row r="1073" spans="2:9" ht="15" hidden="1" customHeight="1" x14ac:dyDescent="0.25">
      <c r="B1073" s="7"/>
      <c r="C1073" s="140">
        <v>1045</v>
      </c>
      <c r="D1073" s="142"/>
      <c r="E1073" s="142"/>
      <c r="F1073" s="142"/>
      <c r="G1073" s="142"/>
      <c r="H1073" s="141"/>
      <c r="I1073" s="8"/>
    </row>
    <row r="1074" spans="2:9" ht="15" hidden="1" customHeight="1" x14ac:dyDescent="0.25">
      <c r="B1074" s="7"/>
      <c r="C1074" s="140">
        <v>1046</v>
      </c>
      <c r="D1074" s="142"/>
      <c r="E1074" s="142"/>
      <c r="F1074" s="142"/>
      <c r="G1074" s="142"/>
      <c r="H1074" s="141"/>
      <c r="I1074" s="8"/>
    </row>
    <row r="1075" spans="2:9" ht="15" hidden="1" customHeight="1" x14ac:dyDescent="0.25">
      <c r="B1075" s="7"/>
      <c r="C1075" s="140">
        <v>1047</v>
      </c>
      <c r="D1075" s="142"/>
      <c r="E1075" s="142"/>
      <c r="F1075" s="142"/>
      <c r="G1075" s="142"/>
      <c r="H1075" s="141"/>
      <c r="I1075" s="8"/>
    </row>
    <row r="1076" spans="2:9" ht="15" hidden="1" customHeight="1" x14ac:dyDescent="0.25">
      <c r="B1076" s="7"/>
      <c r="C1076" s="140">
        <v>1048</v>
      </c>
      <c r="D1076" s="142"/>
      <c r="E1076" s="142"/>
      <c r="F1076" s="142"/>
      <c r="G1076" s="142"/>
      <c r="H1076" s="141"/>
      <c r="I1076" s="8"/>
    </row>
    <row r="1077" spans="2:9" ht="15" hidden="1" customHeight="1" x14ac:dyDescent="0.25">
      <c r="B1077" s="7"/>
      <c r="C1077" s="140">
        <v>1049</v>
      </c>
      <c r="D1077" s="142"/>
      <c r="E1077" s="142"/>
      <c r="F1077" s="142"/>
      <c r="G1077" s="142"/>
      <c r="H1077" s="141"/>
      <c r="I1077" s="8"/>
    </row>
    <row r="1078" spans="2:9" ht="15" hidden="1" customHeight="1" x14ac:dyDescent="0.25">
      <c r="B1078" s="7"/>
      <c r="C1078" s="140">
        <v>1050</v>
      </c>
      <c r="D1078" s="142"/>
      <c r="E1078" s="142"/>
      <c r="F1078" s="142"/>
      <c r="G1078" s="142"/>
      <c r="H1078" s="141"/>
      <c r="I1078" s="8"/>
    </row>
    <row r="1079" spans="2:9" ht="15" hidden="1" customHeight="1" x14ac:dyDescent="0.25">
      <c r="B1079" s="7"/>
      <c r="C1079" s="140">
        <v>1051</v>
      </c>
      <c r="D1079" s="142"/>
      <c r="E1079" s="142"/>
      <c r="F1079" s="142"/>
      <c r="G1079" s="142"/>
      <c r="H1079" s="141"/>
      <c r="I1079" s="8"/>
    </row>
    <row r="1080" spans="2:9" ht="15" hidden="1" customHeight="1" x14ac:dyDescent="0.25">
      <c r="B1080" s="7"/>
      <c r="C1080" s="140">
        <v>1052</v>
      </c>
      <c r="D1080" s="142"/>
      <c r="E1080" s="142"/>
      <c r="F1080" s="142"/>
      <c r="G1080" s="142"/>
      <c r="H1080" s="141"/>
      <c r="I1080" s="8"/>
    </row>
    <row r="1081" spans="2:9" ht="15" hidden="1" customHeight="1" x14ac:dyDescent="0.25">
      <c r="B1081" s="7"/>
      <c r="C1081" s="140">
        <v>1053</v>
      </c>
      <c r="D1081" s="142"/>
      <c r="E1081" s="142"/>
      <c r="F1081" s="142"/>
      <c r="G1081" s="142"/>
      <c r="H1081" s="141"/>
      <c r="I1081" s="8"/>
    </row>
    <row r="1082" spans="2:9" ht="15" hidden="1" customHeight="1" x14ac:dyDescent="0.25">
      <c r="B1082" s="7"/>
      <c r="C1082" s="140">
        <v>1054</v>
      </c>
      <c r="D1082" s="142"/>
      <c r="E1082" s="142"/>
      <c r="F1082" s="142"/>
      <c r="G1082" s="142"/>
      <c r="H1082" s="141"/>
      <c r="I1082" s="8"/>
    </row>
    <row r="1083" spans="2:9" ht="15" hidden="1" customHeight="1" x14ac:dyDescent="0.25">
      <c r="B1083" s="7"/>
      <c r="C1083" s="140">
        <v>1055</v>
      </c>
      <c r="D1083" s="142"/>
      <c r="E1083" s="142"/>
      <c r="F1083" s="142"/>
      <c r="G1083" s="142"/>
      <c r="H1083" s="141"/>
      <c r="I1083" s="8"/>
    </row>
    <row r="1084" spans="2:9" ht="15" hidden="1" customHeight="1" x14ac:dyDescent="0.25">
      <c r="B1084" s="7"/>
      <c r="C1084" s="140">
        <v>1056</v>
      </c>
      <c r="D1084" s="142"/>
      <c r="E1084" s="142"/>
      <c r="F1084" s="142"/>
      <c r="G1084" s="142"/>
      <c r="H1084" s="141"/>
      <c r="I1084" s="8"/>
    </row>
    <row r="1085" spans="2:9" ht="15" hidden="1" customHeight="1" x14ac:dyDescent="0.25">
      <c r="B1085" s="7"/>
      <c r="C1085" s="140">
        <v>1057</v>
      </c>
      <c r="D1085" s="142"/>
      <c r="E1085" s="142"/>
      <c r="F1085" s="142"/>
      <c r="G1085" s="142"/>
      <c r="H1085" s="141"/>
      <c r="I1085" s="8"/>
    </row>
    <row r="1086" spans="2:9" ht="15" hidden="1" customHeight="1" x14ac:dyDescent="0.25">
      <c r="B1086" s="7"/>
      <c r="C1086" s="140">
        <v>1058</v>
      </c>
      <c r="D1086" s="142"/>
      <c r="E1086" s="142"/>
      <c r="F1086" s="142"/>
      <c r="G1086" s="142"/>
      <c r="H1086" s="141"/>
      <c r="I1086" s="8"/>
    </row>
    <row r="1087" spans="2:9" ht="15" hidden="1" customHeight="1" x14ac:dyDescent="0.25">
      <c r="B1087" s="7"/>
      <c r="C1087" s="140">
        <v>1059</v>
      </c>
      <c r="D1087" s="142"/>
      <c r="E1087" s="142"/>
      <c r="F1087" s="142"/>
      <c r="G1087" s="142"/>
      <c r="H1087" s="141"/>
      <c r="I1087" s="8"/>
    </row>
    <row r="1088" spans="2:9" ht="15" hidden="1" customHeight="1" x14ac:dyDescent="0.25">
      <c r="B1088" s="7"/>
      <c r="C1088" s="140">
        <v>1060</v>
      </c>
      <c r="D1088" s="142"/>
      <c r="E1088" s="142"/>
      <c r="F1088" s="142"/>
      <c r="G1088" s="142"/>
      <c r="H1088" s="141"/>
      <c r="I1088" s="8"/>
    </row>
    <row r="1089" spans="2:9" ht="15" hidden="1" customHeight="1" x14ac:dyDescent="0.25">
      <c r="B1089" s="7"/>
      <c r="C1089" s="140">
        <v>1061</v>
      </c>
      <c r="D1089" s="142"/>
      <c r="E1089" s="142"/>
      <c r="F1089" s="142"/>
      <c r="G1089" s="142"/>
      <c r="H1089" s="141"/>
      <c r="I1089" s="8"/>
    </row>
    <row r="1090" spans="2:9" ht="15" hidden="1" customHeight="1" x14ac:dyDescent="0.25">
      <c r="B1090" s="7"/>
      <c r="C1090" s="140">
        <v>1062</v>
      </c>
      <c r="D1090" s="142"/>
      <c r="E1090" s="142"/>
      <c r="F1090" s="142"/>
      <c r="G1090" s="142"/>
      <c r="H1090" s="141"/>
      <c r="I1090" s="8"/>
    </row>
    <row r="1091" spans="2:9" ht="15" hidden="1" customHeight="1" x14ac:dyDescent="0.25">
      <c r="B1091" s="7"/>
      <c r="C1091" s="140">
        <v>1063</v>
      </c>
      <c r="D1091" s="142"/>
      <c r="E1091" s="142"/>
      <c r="F1091" s="142"/>
      <c r="G1091" s="142"/>
      <c r="H1091" s="141"/>
      <c r="I1091" s="8"/>
    </row>
    <row r="1092" spans="2:9" ht="15" hidden="1" customHeight="1" x14ac:dyDescent="0.25">
      <c r="B1092" s="7"/>
      <c r="C1092" s="140">
        <v>1064</v>
      </c>
      <c r="D1092" s="142"/>
      <c r="E1092" s="142"/>
      <c r="F1092" s="142"/>
      <c r="G1092" s="142"/>
      <c r="H1092" s="141"/>
      <c r="I1092" s="8"/>
    </row>
    <row r="1093" spans="2:9" ht="15" hidden="1" customHeight="1" x14ac:dyDescent="0.25">
      <c r="B1093" s="7"/>
      <c r="C1093" s="140">
        <v>1065</v>
      </c>
      <c r="D1093" s="142"/>
      <c r="E1093" s="142"/>
      <c r="F1093" s="142"/>
      <c r="G1093" s="142"/>
      <c r="H1093" s="141"/>
      <c r="I1093" s="8"/>
    </row>
    <row r="1094" spans="2:9" ht="15" hidden="1" customHeight="1" x14ac:dyDescent="0.25">
      <c r="B1094" s="7"/>
      <c r="C1094" s="140">
        <v>1066</v>
      </c>
      <c r="D1094" s="142"/>
      <c r="E1094" s="142"/>
      <c r="F1094" s="142"/>
      <c r="G1094" s="142"/>
      <c r="H1094" s="141"/>
      <c r="I1094" s="8"/>
    </row>
    <row r="1095" spans="2:9" ht="15" hidden="1" customHeight="1" x14ac:dyDescent="0.25">
      <c r="B1095" s="7"/>
      <c r="C1095" s="140">
        <v>1067</v>
      </c>
      <c r="D1095" s="142"/>
      <c r="E1095" s="142"/>
      <c r="F1095" s="142"/>
      <c r="G1095" s="142"/>
      <c r="H1095" s="141"/>
      <c r="I1095" s="8"/>
    </row>
    <row r="1096" spans="2:9" ht="15" hidden="1" customHeight="1" x14ac:dyDescent="0.25">
      <c r="B1096" s="7"/>
      <c r="C1096" s="140">
        <v>1068</v>
      </c>
      <c r="D1096" s="142"/>
      <c r="E1096" s="142"/>
      <c r="F1096" s="142"/>
      <c r="G1096" s="142"/>
      <c r="H1096" s="141"/>
      <c r="I1096" s="8"/>
    </row>
    <row r="1097" spans="2:9" ht="15" hidden="1" customHeight="1" x14ac:dyDescent="0.25">
      <c r="B1097" s="7"/>
      <c r="C1097" s="140">
        <v>1069</v>
      </c>
      <c r="D1097" s="142"/>
      <c r="E1097" s="142"/>
      <c r="F1097" s="142"/>
      <c r="G1097" s="142"/>
      <c r="H1097" s="141"/>
      <c r="I1097" s="8"/>
    </row>
    <row r="1098" spans="2:9" ht="15" hidden="1" customHeight="1" x14ac:dyDescent="0.25">
      <c r="B1098" s="7"/>
      <c r="C1098" s="140">
        <v>1070</v>
      </c>
      <c r="D1098" s="142"/>
      <c r="E1098" s="142"/>
      <c r="F1098" s="142"/>
      <c r="G1098" s="142"/>
      <c r="H1098" s="141"/>
      <c r="I1098" s="8"/>
    </row>
    <row r="1099" spans="2:9" ht="15" hidden="1" customHeight="1" x14ac:dyDescent="0.25">
      <c r="B1099" s="7"/>
      <c r="C1099" s="140">
        <v>1071</v>
      </c>
      <c r="D1099" s="142"/>
      <c r="E1099" s="142"/>
      <c r="F1099" s="142"/>
      <c r="G1099" s="142"/>
      <c r="H1099" s="141"/>
      <c r="I1099" s="8"/>
    </row>
    <row r="1100" spans="2:9" ht="15" hidden="1" customHeight="1" x14ac:dyDescent="0.25">
      <c r="B1100" s="7"/>
      <c r="C1100" s="140">
        <v>1072</v>
      </c>
      <c r="D1100" s="142"/>
      <c r="E1100" s="142"/>
      <c r="F1100" s="142"/>
      <c r="G1100" s="142"/>
      <c r="H1100" s="141"/>
      <c r="I1100" s="8"/>
    </row>
    <row r="1101" spans="2:9" ht="15" hidden="1" customHeight="1" x14ac:dyDescent="0.25">
      <c r="B1101" s="7"/>
      <c r="C1101" s="140">
        <v>1073</v>
      </c>
      <c r="D1101" s="142"/>
      <c r="E1101" s="142"/>
      <c r="F1101" s="142"/>
      <c r="G1101" s="142"/>
      <c r="H1101" s="141"/>
      <c r="I1101" s="8"/>
    </row>
    <row r="1102" spans="2:9" ht="15" hidden="1" customHeight="1" x14ac:dyDescent="0.25">
      <c r="B1102" s="7"/>
      <c r="C1102" s="140">
        <v>1074</v>
      </c>
      <c r="D1102" s="142"/>
      <c r="E1102" s="142"/>
      <c r="F1102" s="142"/>
      <c r="G1102" s="142"/>
      <c r="H1102" s="141"/>
      <c r="I1102" s="8"/>
    </row>
    <row r="1103" spans="2:9" ht="15" hidden="1" customHeight="1" x14ac:dyDescent="0.25">
      <c r="B1103" s="7"/>
      <c r="C1103" s="140">
        <v>1075</v>
      </c>
      <c r="D1103" s="142"/>
      <c r="E1103" s="142"/>
      <c r="F1103" s="142"/>
      <c r="G1103" s="142"/>
      <c r="H1103" s="141"/>
      <c r="I1103" s="8"/>
    </row>
    <row r="1104" spans="2:9" ht="15" hidden="1" customHeight="1" x14ac:dyDescent="0.25">
      <c r="B1104" s="7"/>
      <c r="C1104" s="140">
        <v>1076</v>
      </c>
      <c r="D1104" s="142"/>
      <c r="E1104" s="142"/>
      <c r="F1104" s="142"/>
      <c r="G1104" s="142"/>
      <c r="H1104" s="141"/>
      <c r="I1104" s="8"/>
    </row>
    <row r="1105" spans="2:9" ht="15" hidden="1" customHeight="1" x14ac:dyDescent="0.25">
      <c r="B1105" s="7"/>
      <c r="C1105" s="140">
        <v>1077</v>
      </c>
      <c r="D1105" s="142"/>
      <c r="E1105" s="142"/>
      <c r="F1105" s="142"/>
      <c r="G1105" s="142"/>
      <c r="H1105" s="141"/>
      <c r="I1105" s="8"/>
    </row>
    <row r="1106" spans="2:9" ht="15" hidden="1" customHeight="1" x14ac:dyDescent="0.25">
      <c r="B1106" s="7"/>
      <c r="C1106" s="140">
        <v>1078</v>
      </c>
      <c r="D1106" s="142"/>
      <c r="E1106" s="142"/>
      <c r="F1106" s="142"/>
      <c r="G1106" s="142"/>
      <c r="H1106" s="141"/>
      <c r="I1106" s="8"/>
    </row>
    <row r="1107" spans="2:9" ht="15" hidden="1" customHeight="1" x14ac:dyDescent="0.25">
      <c r="B1107" s="7"/>
      <c r="C1107" s="140">
        <v>1079</v>
      </c>
      <c r="D1107" s="142"/>
      <c r="E1107" s="142"/>
      <c r="F1107" s="142"/>
      <c r="G1107" s="142"/>
      <c r="H1107" s="141"/>
      <c r="I1107" s="8"/>
    </row>
    <row r="1108" spans="2:9" ht="15" hidden="1" customHeight="1" x14ac:dyDescent="0.25">
      <c r="B1108" s="7"/>
      <c r="C1108" s="140">
        <v>1080</v>
      </c>
      <c r="D1108" s="142"/>
      <c r="E1108" s="142"/>
      <c r="F1108" s="142"/>
      <c r="G1108" s="142"/>
      <c r="H1108" s="141"/>
      <c r="I1108" s="8"/>
    </row>
    <row r="1109" spans="2:9" ht="15" hidden="1" customHeight="1" x14ac:dyDescent="0.25">
      <c r="B1109" s="7"/>
      <c r="C1109" s="140">
        <v>1081</v>
      </c>
      <c r="D1109" s="142"/>
      <c r="E1109" s="142"/>
      <c r="F1109" s="142"/>
      <c r="G1109" s="142"/>
      <c r="H1109" s="141"/>
      <c r="I1109" s="8"/>
    </row>
    <row r="1110" spans="2:9" ht="15" hidden="1" customHeight="1" x14ac:dyDescent="0.25">
      <c r="B1110" s="7"/>
      <c r="C1110" s="140">
        <v>1082</v>
      </c>
      <c r="D1110" s="142"/>
      <c r="E1110" s="142"/>
      <c r="F1110" s="142"/>
      <c r="G1110" s="142"/>
      <c r="H1110" s="141"/>
      <c r="I1110" s="8"/>
    </row>
    <row r="1111" spans="2:9" ht="15" hidden="1" customHeight="1" x14ac:dyDescent="0.25">
      <c r="B1111" s="7"/>
      <c r="C1111" s="140">
        <v>1083</v>
      </c>
      <c r="D1111" s="142"/>
      <c r="E1111" s="142"/>
      <c r="F1111" s="142"/>
      <c r="G1111" s="142"/>
      <c r="H1111" s="141"/>
      <c r="I1111" s="8"/>
    </row>
    <row r="1112" spans="2:9" ht="15" hidden="1" customHeight="1" x14ac:dyDescent="0.25">
      <c r="B1112" s="7"/>
      <c r="C1112" s="140">
        <v>1084</v>
      </c>
      <c r="D1112" s="142"/>
      <c r="E1112" s="142"/>
      <c r="F1112" s="142"/>
      <c r="G1112" s="142"/>
      <c r="H1112" s="141"/>
      <c r="I1112" s="8"/>
    </row>
    <row r="1113" spans="2:9" ht="15" hidden="1" customHeight="1" x14ac:dyDescent="0.25">
      <c r="B1113" s="7"/>
      <c r="C1113" s="140">
        <v>1085</v>
      </c>
      <c r="D1113" s="142"/>
      <c r="E1113" s="142"/>
      <c r="F1113" s="142"/>
      <c r="G1113" s="142"/>
      <c r="H1113" s="141"/>
      <c r="I1113" s="8"/>
    </row>
    <row r="1114" spans="2:9" ht="15" hidden="1" customHeight="1" x14ac:dyDescent="0.25">
      <c r="B1114" s="7"/>
      <c r="C1114" s="140">
        <v>1086</v>
      </c>
      <c r="D1114" s="142"/>
      <c r="E1114" s="142"/>
      <c r="F1114" s="142"/>
      <c r="G1114" s="142"/>
      <c r="H1114" s="141"/>
      <c r="I1114" s="8"/>
    </row>
    <row r="1115" spans="2:9" ht="15" hidden="1" customHeight="1" x14ac:dyDescent="0.25">
      <c r="B1115" s="7"/>
      <c r="C1115" s="140">
        <v>1087</v>
      </c>
      <c r="D1115" s="142"/>
      <c r="E1115" s="142"/>
      <c r="F1115" s="142"/>
      <c r="G1115" s="142"/>
      <c r="H1115" s="141"/>
      <c r="I1115" s="8"/>
    </row>
    <row r="1116" spans="2:9" ht="15" hidden="1" customHeight="1" x14ac:dyDescent="0.25">
      <c r="B1116" s="7"/>
      <c r="C1116" s="140">
        <v>1088</v>
      </c>
      <c r="D1116" s="142"/>
      <c r="E1116" s="142"/>
      <c r="F1116" s="142"/>
      <c r="G1116" s="142"/>
      <c r="H1116" s="141"/>
      <c r="I1116" s="8"/>
    </row>
    <row r="1117" spans="2:9" ht="15" hidden="1" customHeight="1" x14ac:dyDescent="0.25">
      <c r="B1117" s="7"/>
      <c r="C1117" s="140">
        <v>1089</v>
      </c>
      <c r="D1117" s="142"/>
      <c r="E1117" s="142"/>
      <c r="F1117" s="142"/>
      <c r="G1117" s="142"/>
      <c r="H1117" s="141"/>
      <c r="I1117" s="8"/>
    </row>
    <row r="1118" spans="2:9" ht="15" hidden="1" customHeight="1" x14ac:dyDescent="0.25">
      <c r="B1118" s="7"/>
      <c r="C1118" s="140">
        <v>1090</v>
      </c>
      <c r="D1118" s="142"/>
      <c r="E1118" s="142"/>
      <c r="F1118" s="142"/>
      <c r="G1118" s="142"/>
      <c r="H1118" s="141"/>
      <c r="I1118" s="8"/>
    </row>
    <row r="1119" spans="2:9" ht="15" hidden="1" customHeight="1" x14ac:dyDescent="0.25">
      <c r="B1119" s="7"/>
      <c r="C1119" s="140">
        <v>1091</v>
      </c>
      <c r="D1119" s="142"/>
      <c r="E1119" s="142"/>
      <c r="F1119" s="142"/>
      <c r="G1119" s="142"/>
      <c r="H1119" s="141"/>
      <c r="I1119" s="8"/>
    </row>
    <row r="1120" spans="2:9" ht="15" hidden="1" customHeight="1" x14ac:dyDescent="0.25">
      <c r="B1120" s="7"/>
      <c r="C1120" s="140">
        <v>1092</v>
      </c>
      <c r="D1120" s="142"/>
      <c r="E1120" s="142"/>
      <c r="F1120" s="142"/>
      <c r="G1120" s="142"/>
      <c r="H1120" s="141"/>
      <c r="I1120" s="8"/>
    </row>
    <row r="1121" spans="2:9" ht="15" hidden="1" customHeight="1" x14ac:dyDescent="0.25">
      <c r="B1121" s="7"/>
      <c r="C1121" s="140">
        <v>1093</v>
      </c>
      <c r="D1121" s="142"/>
      <c r="E1121" s="142"/>
      <c r="F1121" s="142"/>
      <c r="G1121" s="142"/>
      <c r="H1121" s="141"/>
      <c r="I1121" s="8"/>
    </row>
    <row r="1122" spans="2:9" ht="15" hidden="1" customHeight="1" x14ac:dyDescent="0.25">
      <c r="B1122" s="7"/>
      <c r="C1122" s="140">
        <v>1094</v>
      </c>
      <c r="D1122" s="142"/>
      <c r="E1122" s="142"/>
      <c r="F1122" s="142"/>
      <c r="G1122" s="142"/>
      <c r="H1122" s="141"/>
      <c r="I1122" s="8"/>
    </row>
    <row r="1123" spans="2:9" ht="15" hidden="1" customHeight="1" x14ac:dyDescent="0.25">
      <c r="B1123" s="7"/>
      <c r="C1123" s="140">
        <v>1095</v>
      </c>
      <c r="D1123" s="142"/>
      <c r="E1123" s="142"/>
      <c r="F1123" s="142"/>
      <c r="G1123" s="142"/>
      <c r="H1123" s="141"/>
      <c r="I1123" s="8"/>
    </row>
    <row r="1124" spans="2:9" ht="15" hidden="1" customHeight="1" x14ac:dyDescent="0.25">
      <c r="B1124" s="7"/>
      <c r="C1124" s="140">
        <v>1096</v>
      </c>
      <c r="D1124" s="142"/>
      <c r="E1124" s="142"/>
      <c r="F1124" s="142"/>
      <c r="G1124" s="142"/>
      <c r="H1124" s="141"/>
      <c r="I1124" s="8"/>
    </row>
    <row r="1125" spans="2:9" ht="15" hidden="1" customHeight="1" x14ac:dyDescent="0.25">
      <c r="B1125" s="7"/>
      <c r="C1125" s="140">
        <v>1097</v>
      </c>
      <c r="D1125" s="142"/>
      <c r="E1125" s="142"/>
      <c r="F1125" s="142"/>
      <c r="G1125" s="142"/>
      <c r="H1125" s="141"/>
      <c r="I1125" s="8"/>
    </row>
    <row r="1126" spans="2:9" ht="15" hidden="1" customHeight="1" x14ac:dyDescent="0.25">
      <c r="B1126" s="7"/>
      <c r="C1126" s="140">
        <v>1098</v>
      </c>
      <c r="D1126" s="142"/>
      <c r="E1126" s="142"/>
      <c r="F1126" s="142"/>
      <c r="G1126" s="142"/>
      <c r="H1126" s="141"/>
      <c r="I1126" s="8"/>
    </row>
    <row r="1127" spans="2:9" ht="15" hidden="1" customHeight="1" x14ac:dyDescent="0.25">
      <c r="B1127" s="7"/>
      <c r="C1127" s="140">
        <v>1099</v>
      </c>
      <c r="D1127" s="142"/>
      <c r="E1127" s="142"/>
      <c r="F1127" s="142"/>
      <c r="G1127" s="142"/>
      <c r="H1127" s="141"/>
      <c r="I1127" s="8"/>
    </row>
    <row r="1128" spans="2:9" ht="15" hidden="1" customHeight="1" x14ac:dyDescent="0.25">
      <c r="B1128" s="7"/>
      <c r="C1128" s="140">
        <v>1100</v>
      </c>
      <c r="D1128" s="142"/>
      <c r="E1128" s="142"/>
      <c r="F1128" s="142"/>
      <c r="G1128" s="142"/>
      <c r="H1128" s="141"/>
      <c r="I1128" s="8"/>
    </row>
    <row r="1129" spans="2:9" ht="15" hidden="1" customHeight="1" x14ac:dyDescent="0.25">
      <c r="B1129" s="7"/>
      <c r="C1129" s="140">
        <v>1101</v>
      </c>
      <c r="D1129" s="142"/>
      <c r="E1129" s="142"/>
      <c r="F1129" s="142"/>
      <c r="G1129" s="142"/>
      <c r="H1129" s="141"/>
      <c r="I1129" s="8"/>
    </row>
    <row r="1130" spans="2:9" ht="15" hidden="1" customHeight="1" x14ac:dyDescent="0.25">
      <c r="B1130" s="7"/>
      <c r="C1130" s="140">
        <v>1102</v>
      </c>
      <c r="D1130" s="142"/>
      <c r="E1130" s="142"/>
      <c r="F1130" s="142"/>
      <c r="G1130" s="142"/>
      <c r="H1130" s="141"/>
      <c r="I1130" s="8"/>
    </row>
    <row r="1131" spans="2:9" ht="15" hidden="1" customHeight="1" x14ac:dyDescent="0.25">
      <c r="B1131" s="7"/>
      <c r="C1131" s="140">
        <v>1103</v>
      </c>
      <c r="D1131" s="142"/>
      <c r="E1131" s="142"/>
      <c r="F1131" s="142"/>
      <c r="G1131" s="142"/>
      <c r="H1131" s="141"/>
      <c r="I1131" s="8"/>
    </row>
    <row r="1132" spans="2:9" ht="15" hidden="1" customHeight="1" x14ac:dyDescent="0.25">
      <c r="B1132" s="7"/>
      <c r="C1132" s="140">
        <v>1104</v>
      </c>
      <c r="D1132" s="142"/>
      <c r="E1132" s="142"/>
      <c r="F1132" s="142"/>
      <c r="G1132" s="142"/>
      <c r="H1132" s="141"/>
      <c r="I1132" s="8"/>
    </row>
    <row r="1133" spans="2:9" ht="15" hidden="1" customHeight="1" x14ac:dyDescent="0.25">
      <c r="B1133" s="7"/>
      <c r="C1133" s="140">
        <v>1105</v>
      </c>
      <c r="D1133" s="142"/>
      <c r="E1133" s="142"/>
      <c r="F1133" s="142"/>
      <c r="G1133" s="142"/>
      <c r="H1133" s="141"/>
      <c r="I1133" s="8"/>
    </row>
    <row r="1134" spans="2:9" ht="15" hidden="1" customHeight="1" x14ac:dyDescent="0.25">
      <c r="B1134" s="7"/>
      <c r="C1134" s="140">
        <v>1106</v>
      </c>
      <c r="D1134" s="142"/>
      <c r="E1134" s="142"/>
      <c r="F1134" s="142"/>
      <c r="G1134" s="142"/>
      <c r="H1134" s="141"/>
      <c r="I1134" s="8"/>
    </row>
    <row r="1135" spans="2:9" ht="15" hidden="1" customHeight="1" x14ac:dyDescent="0.25">
      <c r="B1135" s="7"/>
      <c r="C1135" s="140">
        <v>1107</v>
      </c>
      <c r="D1135" s="142"/>
      <c r="E1135" s="142"/>
      <c r="F1135" s="142"/>
      <c r="G1135" s="142"/>
      <c r="H1135" s="141"/>
      <c r="I1135" s="8"/>
    </row>
    <row r="1136" spans="2:9" ht="15" hidden="1" customHeight="1" x14ac:dyDescent="0.25">
      <c r="B1136" s="7"/>
      <c r="C1136" s="140">
        <v>1108</v>
      </c>
      <c r="D1136" s="142"/>
      <c r="E1136" s="142"/>
      <c r="F1136" s="142"/>
      <c r="G1136" s="142"/>
      <c r="H1136" s="141"/>
      <c r="I1136" s="8"/>
    </row>
    <row r="1137" spans="2:9" ht="15" hidden="1" customHeight="1" x14ac:dyDescent="0.25">
      <c r="B1137" s="7"/>
      <c r="C1137" s="140">
        <v>1109</v>
      </c>
      <c r="D1137" s="142"/>
      <c r="E1137" s="142"/>
      <c r="F1137" s="142"/>
      <c r="G1137" s="142"/>
      <c r="H1137" s="141"/>
      <c r="I1137" s="8"/>
    </row>
    <row r="1138" spans="2:9" ht="15" hidden="1" customHeight="1" x14ac:dyDescent="0.25">
      <c r="B1138" s="7"/>
      <c r="C1138" s="140">
        <v>1110</v>
      </c>
      <c r="D1138" s="142"/>
      <c r="E1138" s="142"/>
      <c r="F1138" s="142"/>
      <c r="G1138" s="142"/>
      <c r="H1138" s="141"/>
      <c r="I1138" s="8"/>
    </row>
    <row r="1139" spans="2:9" ht="15" hidden="1" customHeight="1" x14ac:dyDescent="0.25">
      <c r="B1139" s="7"/>
      <c r="C1139" s="140">
        <v>1111</v>
      </c>
      <c r="D1139" s="142"/>
      <c r="E1139" s="142"/>
      <c r="F1139" s="142"/>
      <c r="G1139" s="142"/>
      <c r="H1139" s="141"/>
      <c r="I1139" s="8"/>
    </row>
    <row r="1140" spans="2:9" ht="15" hidden="1" customHeight="1" x14ac:dyDescent="0.25">
      <c r="B1140" s="7"/>
      <c r="C1140" s="140">
        <v>1112</v>
      </c>
      <c r="D1140" s="142"/>
      <c r="E1140" s="142"/>
      <c r="F1140" s="142"/>
      <c r="G1140" s="142"/>
      <c r="H1140" s="141"/>
      <c r="I1140" s="8"/>
    </row>
    <row r="1141" spans="2:9" ht="15" hidden="1" customHeight="1" x14ac:dyDescent="0.25">
      <c r="B1141" s="7"/>
      <c r="C1141" s="140">
        <v>1113</v>
      </c>
      <c r="D1141" s="142"/>
      <c r="E1141" s="142"/>
      <c r="F1141" s="142"/>
      <c r="G1141" s="142"/>
      <c r="H1141" s="141"/>
      <c r="I1141" s="8"/>
    </row>
    <row r="1142" spans="2:9" ht="15" hidden="1" customHeight="1" x14ac:dyDescent="0.25">
      <c r="B1142" s="7"/>
      <c r="C1142" s="140">
        <v>1114</v>
      </c>
      <c r="D1142" s="142"/>
      <c r="E1142" s="142"/>
      <c r="F1142" s="142"/>
      <c r="G1142" s="142"/>
      <c r="H1142" s="141"/>
      <c r="I1142" s="8"/>
    </row>
    <row r="1143" spans="2:9" ht="15" hidden="1" customHeight="1" x14ac:dyDescent="0.25">
      <c r="B1143" s="7"/>
      <c r="C1143" s="140">
        <v>1115</v>
      </c>
      <c r="D1143" s="142"/>
      <c r="E1143" s="142"/>
      <c r="F1143" s="142"/>
      <c r="G1143" s="142"/>
      <c r="H1143" s="141"/>
      <c r="I1143" s="8"/>
    </row>
    <row r="1144" spans="2:9" ht="15" hidden="1" customHeight="1" x14ac:dyDescent="0.25">
      <c r="B1144" s="7"/>
      <c r="C1144" s="140">
        <v>1116</v>
      </c>
      <c r="D1144" s="142"/>
      <c r="E1144" s="142"/>
      <c r="F1144" s="142"/>
      <c r="G1144" s="142"/>
      <c r="H1144" s="141"/>
      <c r="I1144" s="8"/>
    </row>
    <row r="1145" spans="2:9" ht="15" hidden="1" customHeight="1" x14ac:dyDescent="0.25">
      <c r="B1145" s="7"/>
      <c r="C1145" s="140">
        <v>1117</v>
      </c>
      <c r="D1145" s="142"/>
      <c r="E1145" s="142"/>
      <c r="F1145" s="142"/>
      <c r="G1145" s="142"/>
      <c r="H1145" s="141"/>
      <c r="I1145" s="8"/>
    </row>
    <row r="1146" spans="2:9" ht="15" hidden="1" customHeight="1" x14ac:dyDescent="0.25">
      <c r="B1146" s="7"/>
      <c r="C1146" s="140">
        <v>1118</v>
      </c>
      <c r="D1146" s="142"/>
      <c r="E1146" s="142"/>
      <c r="F1146" s="142"/>
      <c r="G1146" s="142"/>
      <c r="H1146" s="141"/>
      <c r="I1146" s="8"/>
    </row>
    <row r="1147" spans="2:9" ht="15" hidden="1" customHeight="1" x14ac:dyDescent="0.25">
      <c r="B1147" s="7"/>
      <c r="C1147" s="140">
        <v>1119</v>
      </c>
      <c r="D1147" s="142"/>
      <c r="E1147" s="142"/>
      <c r="F1147" s="142"/>
      <c r="G1147" s="142"/>
      <c r="H1147" s="141"/>
      <c r="I1147" s="8"/>
    </row>
    <row r="1148" spans="2:9" ht="15" hidden="1" customHeight="1" x14ac:dyDescent="0.25">
      <c r="B1148" s="7"/>
      <c r="C1148" s="140">
        <v>1120</v>
      </c>
      <c r="D1148" s="142"/>
      <c r="E1148" s="142"/>
      <c r="F1148" s="142"/>
      <c r="G1148" s="142"/>
      <c r="H1148" s="141"/>
      <c r="I1148" s="8"/>
    </row>
    <row r="1149" spans="2:9" ht="15" hidden="1" customHeight="1" x14ac:dyDescent="0.25">
      <c r="B1149" s="7"/>
      <c r="C1149" s="140">
        <v>1121</v>
      </c>
      <c r="D1149" s="142"/>
      <c r="E1149" s="142"/>
      <c r="F1149" s="142"/>
      <c r="G1149" s="142"/>
      <c r="H1149" s="141"/>
      <c r="I1149" s="8"/>
    </row>
    <row r="1150" spans="2:9" ht="15" hidden="1" customHeight="1" x14ac:dyDescent="0.25">
      <c r="B1150" s="7"/>
      <c r="C1150" s="140">
        <v>1122</v>
      </c>
      <c r="D1150" s="142"/>
      <c r="E1150" s="142"/>
      <c r="F1150" s="142"/>
      <c r="G1150" s="142"/>
      <c r="H1150" s="141"/>
      <c r="I1150" s="8"/>
    </row>
    <row r="1151" spans="2:9" ht="15" hidden="1" customHeight="1" x14ac:dyDescent="0.25">
      <c r="B1151" s="7"/>
      <c r="C1151" s="140">
        <v>1123</v>
      </c>
      <c r="D1151" s="142"/>
      <c r="E1151" s="142"/>
      <c r="F1151" s="142"/>
      <c r="G1151" s="142"/>
      <c r="H1151" s="141"/>
      <c r="I1151" s="8"/>
    </row>
    <row r="1152" spans="2:9" ht="15" hidden="1" customHeight="1" x14ac:dyDescent="0.25">
      <c r="B1152" s="7"/>
      <c r="C1152" s="140">
        <v>1124</v>
      </c>
      <c r="D1152" s="142"/>
      <c r="E1152" s="142"/>
      <c r="F1152" s="142"/>
      <c r="G1152" s="142"/>
      <c r="H1152" s="141"/>
      <c r="I1152" s="8"/>
    </row>
    <row r="1153" spans="2:9" ht="15" hidden="1" customHeight="1" x14ac:dyDescent="0.25">
      <c r="B1153" s="7"/>
      <c r="C1153" s="140">
        <v>1125</v>
      </c>
      <c r="D1153" s="142"/>
      <c r="E1153" s="142"/>
      <c r="F1153" s="142"/>
      <c r="G1153" s="142"/>
      <c r="H1153" s="141"/>
      <c r="I1153" s="8"/>
    </row>
    <row r="1154" spans="2:9" ht="15" hidden="1" customHeight="1" x14ac:dyDescent="0.25">
      <c r="B1154" s="7"/>
      <c r="C1154" s="140">
        <v>1126</v>
      </c>
      <c r="D1154" s="142"/>
      <c r="E1154" s="142"/>
      <c r="F1154" s="142"/>
      <c r="G1154" s="142"/>
      <c r="H1154" s="141"/>
      <c r="I1154" s="8"/>
    </row>
    <row r="1155" spans="2:9" ht="15" hidden="1" customHeight="1" x14ac:dyDescent="0.25">
      <c r="B1155" s="7"/>
      <c r="C1155" s="140">
        <v>1127</v>
      </c>
      <c r="D1155" s="142"/>
      <c r="E1155" s="142"/>
      <c r="F1155" s="142"/>
      <c r="G1155" s="142"/>
      <c r="H1155" s="141"/>
      <c r="I1155" s="8"/>
    </row>
    <row r="1156" spans="2:9" ht="15" hidden="1" customHeight="1" x14ac:dyDescent="0.25">
      <c r="B1156" s="7"/>
      <c r="C1156" s="140">
        <v>1128</v>
      </c>
      <c r="D1156" s="142"/>
      <c r="E1156" s="142"/>
      <c r="F1156" s="142"/>
      <c r="G1156" s="142"/>
      <c r="H1156" s="141"/>
      <c r="I1156" s="8"/>
    </row>
    <row r="1157" spans="2:9" ht="15" hidden="1" customHeight="1" x14ac:dyDescent="0.25">
      <c r="B1157" s="7"/>
      <c r="C1157" s="140">
        <v>1129</v>
      </c>
      <c r="D1157" s="142"/>
      <c r="E1157" s="142"/>
      <c r="F1157" s="142"/>
      <c r="G1157" s="142"/>
      <c r="H1157" s="141"/>
      <c r="I1157" s="8"/>
    </row>
    <row r="1158" spans="2:9" ht="15" hidden="1" customHeight="1" x14ac:dyDescent="0.25">
      <c r="B1158" s="7"/>
      <c r="C1158" s="140">
        <v>1130</v>
      </c>
      <c r="D1158" s="142"/>
      <c r="E1158" s="142"/>
      <c r="F1158" s="142"/>
      <c r="G1158" s="142"/>
      <c r="H1158" s="141"/>
      <c r="I1158" s="8"/>
    </row>
    <row r="1159" spans="2:9" ht="15" hidden="1" customHeight="1" x14ac:dyDescent="0.25">
      <c r="B1159" s="7"/>
      <c r="C1159" s="140">
        <v>1131</v>
      </c>
      <c r="D1159" s="142"/>
      <c r="E1159" s="142"/>
      <c r="F1159" s="142"/>
      <c r="G1159" s="142"/>
      <c r="H1159" s="141"/>
      <c r="I1159" s="8"/>
    </row>
    <row r="1160" spans="2:9" ht="15" hidden="1" customHeight="1" x14ac:dyDescent="0.25">
      <c r="B1160" s="7"/>
      <c r="C1160" s="140">
        <v>1132</v>
      </c>
      <c r="D1160" s="142"/>
      <c r="E1160" s="142"/>
      <c r="F1160" s="142"/>
      <c r="G1160" s="142"/>
      <c r="H1160" s="141"/>
      <c r="I1160" s="8"/>
    </row>
    <row r="1161" spans="2:9" ht="15" hidden="1" customHeight="1" x14ac:dyDescent="0.25">
      <c r="B1161" s="7"/>
      <c r="C1161" s="140">
        <v>1133</v>
      </c>
      <c r="D1161" s="142"/>
      <c r="E1161" s="142"/>
      <c r="F1161" s="142"/>
      <c r="G1161" s="142"/>
      <c r="H1161" s="141"/>
      <c r="I1161" s="8"/>
    </row>
    <row r="1162" spans="2:9" ht="15" hidden="1" customHeight="1" x14ac:dyDescent="0.25">
      <c r="B1162" s="7"/>
      <c r="C1162" s="140">
        <v>1134</v>
      </c>
      <c r="D1162" s="142"/>
      <c r="E1162" s="142"/>
      <c r="F1162" s="142"/>
      <c r="G1162" s="142"/>
      <c r="H1162" s="141"/>
      <c r="I1162" s="8"/>
    </row>
    <row r="1163" spans="2:9" ht="15" hidden="1" customHeight="1" x14ac:dyDescent="0.25">
      <c r="B1163" s="7"/>
      <c r="C1163" s="140">
        <v>1135</v>
      </c>
      <c r="D1163" s="142"/>
      <c r="E1163" s="142"/>
      <c r="F1163" s="142"/>
      <c r="G1163" s="142"/>
      <c r="H1163" s="141"/>
      <c r="I1163" s="8"/>
    </row>
    <row r="1164" spans="2:9" ht="15" hidden="1" customHeight="1" x14ac:dyDescent="0.25">
      <c r="B1164" s="7"/>
      <c r="C1164" s="140">
        <v>1136</v>
      </c>
      <c r="D1164" s="142"/>
      <c r="E1164" s="142"/>
      <c r="F1164" s="142"/>
      <c r="G1164" s="142"/>
      <c r="H1164" s="141"/>
      <c r="I1164" s="8"/>
    </row>
    <row r="1165" spans="2:9" ht="15" hidden="1" customHeight="1" x14ac:dyDescent="0.25">
      <c r="B1165" s="7"/>
      <c r="C1165" s="140">
        <v>1137</v>
      </c>
      <c r="D1165" s="142"/>
      <c r="E1165" s="142"/>
      <c r="F1165" s="142"/>
      <c r="G1165" s="142"/>
      <c r="H1165" s="141"/>
      <c r="I1165" s="8"/>
    </row>
    <row r="1166" spans="2:9" ht="15" hidden="1" customHeight="1" x14ac:dyDescent="0.25">
      <c r="B1166" s="7"/>
      <c r="C1166" s="140">
        <v>1138</v>
      </c>
      <c r="D1166" s="142"/>
      <c r="E1166" s="142"/>
      <c r="F1166" s="142"/>
      <c r="G1166" s="142"/>
      <c r="H1166" s="141"/>
      <c r="I1166" s="8"/>
    </row>
    <row r="1167" spans="2:9" ht="15" hidden="1" customHeight="1" x14ac:dyDescent="0.25">
      <c r="B1167" s="7"/>
      <c r="C1167" s="140">
        <v>1139</v>
      </c>
      <c r="D1167" s="142"/>
      <c r="E1167" s="142"/>
      <c r="F1167" s="142"/>
      <c r="G1167" s="142"/>
      <c r="H1167" s="141"/>
      <c r="I1167" s="8"/>
    </row>
    <row r="1168" spans="2:9" ht="15" hidden="1" customHeight="1" x14ac:dyDescent="0.25">
      <c r="B1168" s="7"/>
      <c r="C1168" s="140">
        <v>1140</v>
      </c>
      <c r="D1168" s="142"/>
      <c r="E1168" s="142"/>
      <c r="F1168" s="142"/>
      <c r="G1168" s="142"/>
      <c r="H1168" s="141"/>
      <c r="I1168" s="8"/>
    </row>
    <row r="1169" spans="2:9" ht="15" hidden="1" customHeight="1" x14ac:dyDescent="0.25">
      <c r="B1169" s="7"/>
      <c r="C1169" s="140">
        <v>1141</v>
      </c>
      <c r="D1169" s="142"/>
      <c r="E1169" s="142"/>
      <c r="F1169" s="142"/>
      <c r="G1169" s="142"/>
      <c r="H1169" s="141"/>
      <c r="I1169" s="8"/>
    </row>
    <row r="1170" spans="2:9" ht="15" hidden="1" customHeight="1" x14ac:dyDescent="0.25">
      <c r="B1170" s="7"/>
      <c r="C1170" s="140">
        <v>1142</v>
      </c>
      <c r="D1170" s="142"/>
      <c r="E1170" s="142"/>
      <c r="F1170" s="142"/>
      <c r="G1170" s="142"/>
      <c r="H1170" s="141"/>
      <c r="I1170" s="8"/>
    </row>
    <row r="1171" spans="2:9" ht="15" hidden="1" customHeight="1" x14ac:dyDescent="0.25">
      <c r="B1171" s="7"/>
      <c r="C1171" s="140">
        <v>1143</v>
      </c>
      <c r="D1171" s="142"/>
      <c r="E1171" s="142"/>
      <c r="F1171" s="142"/>
      <c r="G1171" s="142"/>
      <c r="H1171" s="141"/>
      <c r="I1171" s="8"/>
    </row>
    <row r="1172" spans="2:9" ht="15" hidden="1" customHeight="1" x14ac:dyDescent="0.25">
      <c r="B1172" s="7"/>
      <c r="C1172" s="140">
        <v>1144</v>
      </c>
      <c r="D1172" s="142"/>
      <c r="E1172" s="142"/>
      <c r="F1172" s="142"/>
      <c r="G1172" s="142"/>
      <c r="H1172" s="141"/>
      <c r="I1172" s="8"/>
    </row>
    <row r="1173" spans="2:9" ht="15" hidden="1" customHeight="1" x14ac:dyDescent="0.25">
      <c r="B1173" s="7"/>
      <c r="C1173" s="140">
        <v>1145</v>
      </c>
      <c r="D1173" s="142"/>
      <c r="E1173" s="142"/>
      <c r="F1173" s="142"/>
      <c r="G1173" s="142"/>
      <c r="H1173" s="141"/>
      <c r="I1173" s="8"/>
    </row>
    <row r="1174" spans="2:9" ht="15" hidden="1" customHeight="1" x14ac:dyDescent="0.25">
      <c r="B1174" s="7"/>
      <c r="C1174" s="140">
        <v>1146</v>
      </c>
      <c r="D1174" s="142"/>
      <c r="E1174" s="142"/>
      <c r="F1174" s="142"/>
      <c r="G1174" s="142"/>
      <c r="H1174" s="141"/>
      <c r="I1174" s="8"/>
    </row>
    <row r="1175" spans="2:9" ht="15" hidden="1" customHeight="1" x14ac:dyDescent="0.25">
      <c r="B1175" s="7"/>
      <c r="C1175" s="140">
        <v>1147</v>
      </c>
      <c r="D1175" s="142"/>
      <c r="E1175" s="142"/>
      <c r="F1175" s="142"/>
      <c r="G1175" s="142"/>
      <c r="H1175" s="141"/>
      <c r="I1175" s="8"/>
    </row>
    <row r="1176" spans="2:9" ht="15" hidden="1" customHeight="1" x14ac:dyDescent="0.25">
      <c r="B1176" s="7"/>
      <c r="C1176" s="140">
        <v>1148</v>
      </c>
      <c r="D1176" s="142"/>
      <c r="E1176" s="142"/>
      <c r="F1176" s="142"/>
      <c r="G1176" s="142"/>
      <c r="H1176" s="141"/>
      <c r="I1176" s="8"/>
    </row>
    <row r="1177" spans="2:9" ht="15" hidden="1" customHeight="1" x14ac:dyDescent="0.25">
      <c r="B1177" s="7"/>
      <c r="C1177" s="140">
        <v>1149</v>
      </c>
      <c r="D1177" s="142"/>
      <c r="E1177" s="142"/>
      <c r="F1177" s="142"/>
      <c r="G1177" s="142"/>
      <c r="H1177" s="141"/>
      <c r="I1177" s="8"/>
    </row>
    <row r="1178" spans="2:9" ht="15" hidden="1" customHeight="1" x14ac:dyDescent="0.25">
      <c r="B1178" s="7"/>
      <c r="C1178" s="140">
        <v>1150</v>
      </c>
      <c r="D1178" s="142"/>
      <c r="E1178" s="142"/>
      <c r="F1178" s="142"/>
      <c r="G1178" s="142"/>
      <c r="H1178" s="141"/>
      <c r="I1178" s="8"/>
    </row>
    <row r="1179" spans="2:9" ht="15" hidden="1" customHeight="1" x14ac:dyDescent="0.25">
      <c r="B1179" s="7"/>
      <c r="C1179" s="140">
        <v>1151</v>
      </c>
      <c r="D1179" s="142"/>
      <c r="E1179" s="142"/>
      <c r="F1179" s="142"/>
      <c r="G1179" s="142"/>
      <c r="H1179" s="141"/>
      <c r="I1179" s="8"/>
    </row>
    <row r="1180" spans="2:9" ht="15" hidden="1" customHeight="1" x14ac:dyDescent="0.25">
      <c r="B1180" s="7"/>
      <c r="C1180" s="140">
        <v>1152</v>
      </c>
      <c r="D1180" s="142"/>
      <c r="E1180" s="142"/>
      <c r="F1180" s="142"/>
      <c r="G1180" s="142"/>
      <c r="H1180" s="141"/>
      <c r="I1180" s="8"/>
    </row>
    <row r="1181" spans="2:9" ht="15" hidden="1" customHeight="1" x14ac:dyDescent="0.25">
      <c r="B1181" s="7"/>
      <c r="C1181" s="140">
        <v>1153</v>
      </c>
      <c r="D1181" s="142"/>
      <c r="E1181" s="142"/>
      <c r="F1181" s="142"/>
      <c r="G1181" s="142"/>
      <c r="H1181" s="141"/>
      <c r="I1181" s="8"/>
    </row>
    <row r="1182" spans="2:9" ht="15" hidden="1" customHeight="1" x14ac:dyDescent="0.25">
      <c r="B1182" s="7"/>
      <c r="C1182" s="140">
        <v>1154</v>
      </c>
      <c r="D1182" s="142"/>
      <c r="E1182" s="142"/>
      <c r="F1182" s="142"/>
      <c r="G1182" s="142"/>
      <c r="H1182" s="141"/>
      <c r="I1182" s="8"/>
    </row>
    <row r="1183" spans="2:9" ht="15" hidden="1" customHeight="1" x14ac:dyDescent="0.25">
      <c r="B1183" s="7"/>
      <c r="C1183" s="140">
        <v>1155</v>
      </c>
      <c r="D1183" s="142"/>
      <c r="E1183" s="142"/>
      <c r="F1183" s="142"/>
      <c r="G1183" s="142"/>
      <c r="H1183" s="141"/>
      <c r="I1183" s="8"/>
    </row>
    <row r="1184" spans="2:9" ht="15" hidden="1" customHeight="1" x14ac:dyDescent="0.25">
      <c r="B1184" s="7"/>
      <c r="C1184" s="140">
        <v>1156</v>
      </c>
      <c r="D1184" s="142"/>
      <c r="E1184" s="142"/>
      <c r="F1184" s="142"/>
      <c r="G1184" s="142"/>
      <c r="H1184" s="141"/>
      <c r="I1184" s="8"/>
    </row>
    <row r="1185" spans="2:9" ht="15" hidden="1" customHeight="1" x14ac:dyDescent="0.25">
      <c r="B1185" s="7"/>
      <c r="C1185" s="140">
        <v>1157</v>
      </c>
      <c r="D1185" s="142"/>
      <c r="E1185" s="142"/>
      <c r="F1185" s="142"/>
      <c r="G1185" s="142"/>
      <c r="H1185" s="141"/>
      <c r="I1185" s="8"/>
    </row>
    <row r="1186" spans="2:9" ht="15" hidden="1" customHeight="1" x14ac:dyDescent="0.25">
      <c r="B1186" s="7"/>
      <c r="C1186" s="140">
        <v>1158</v>
      </c>
      <c r="D1186" s="142"/>
      <c r="E1186" s="142"/>
      <c r="F1186" s="142"/>
      <c r="G1186" s="142"/>
      <c r="H1186" s="141"/>
      <c r="I1186" s="8"/>
    </row>
    <row r="1187" spans="2:9" ht="15" hidden="1" customHeight="1" x14ac:dyDescent="0.25">
      <c r="B1187" s="7"/>
      <c r="C1187" s="140">
        <v>1159</v>
      </c>
      <c r="D1187" s="142"/>
      <c r="E1187" s="142"/>
      <c r="F1187" s="142"/>
      <c r="G1187" s="142"/>
      <c r="H1187" s="141"/>
      <c r="I1187" s="8"/>
    </row>
    <row r="1188" spans="2:9" ht="15" hidden="1" customHeight="1" x14ac:dyDescent="0.25">
      <c r="B1188" s="7"/>
      <c r="C1188" s="140">
        <v>1160</v>
      </c>
      <c r="D1188" s="142"/>
      <c r="E1188" s="142"/>
      <c r="F1188" s="142"/>
      <c r="G1188" s="142"/>
      <c r="H1188" s="141"/>
      <c r="I1188" s="8"/>
    </row>
    <row r="1189" spans="2:9" ht="15" hidden="1" customHeight="1" x14ac:dyDescent="0.25">
      <c r="B1189" s="7"/>
      <c r="C1189" s="140">
        <v>1161</v>
      </c>
      <c r="D1189" s="142"/>
      <c r="E1189" s="142"/>
      <c r="F1189" s="142"/>
      <c r="G1189" s="142"/>
      <c r="H1189" s="141"/>
      <c r="I1189" s="8"/>
    </row>
    <row r="1190" spans="2:9" ht="15" hidden="1" customHeight="1" x14ac:dyDescent="0.25">
      <c r="B1190" s="7"/>
      <c r="C1190" s="140">
        <v>1162</v>
      </c>
      <c r="D1190" s="142"/>
      <c r="E1190" s="142"/>
      <c r="F1190" s="142"/>
      <c r="G1190" s="142"/>
      <c r="H1190" s="141"/>
      <c r="I1190" s="8"/>
    </row>
    <row r="1191" spans="2:9" ht="15" hidden="1" customHeight="1" x14ac:dyDescent="0.25">
      <c r="B1191" s="7"/>
      <c r="C1191" s="140">
        <v>1163</v>
      </c>
      <c r="D1191" s="142"/>
      <c r="E1191" s="142"/>
      <c r="F1191" s="142"/>
      <c r="G1191" s="142"/>
      <c r="H1191" s="141"/>
      <c r="I1191" s="8"/>
    </row>
    <row r="1192" spans="2:9" ht="15" hidden="1" customHeight="1" x14ac:dyDescent="0.25">
      <c r="B1192" s="7"/>
      <c r="C1192" s="140">
        <v>1164</v>
      </c>
      <c r="D1192" s="142"/>
      <c r="E1192" s="142"/>
      <c r="F1192" s="142"/>
      <c r="G1192" s="142"/>
      <c r="H1192" s="141"/>
      <c r="I1192" s="8"/>
    </row>
    <row r="1193" spans="2:9" ht="15" hidden="1" customHeight="1" x14ac:dyDescent="0.25">
      <c r="B1193" s="7"/>
      <c r="C1193" s="140">
        <v>1165</v>
      </c>
      <c r="D1193" s="142"/>
      <c r="E1193" s="142"/>
      <c r="F1193" s="142"/>
      <c r="G1193" s="142"/>
      <c r="H1193" s="141"/>
      <c r="I1193" s="8"/>
    </row>
    <row r="1194" spans="2:9" ht="15" hidden="1" customHeight="1" x14ac:dyDescent="0.25">
      <c r="B1194" s="7"/>
      <c r="C1194" s="140">
        <v>1166</v>
      </c>
      <c r="D1194" s="142"/>
      <c r="E1194" s="142"/>
      <c r="F1194" s="142"/>
      <c r="G1194" s="142"/>
      <c r="H1194" s="141"/>
      <c r="I1194" s="8"/>
    </row>
    <row r="1195" spans="2:9" ht="15" hidden="1" customHeight="1" x14ac:dyDescent="0.25">
      <c r="B1195" s="7"/>
      <c r="C1195" s="140">
        <v>1167</v>
      </c>
      <c r="D1195" s="142"/>
      <c r="E1195" s="142"/>
      <c r="F1195" s="142"/>
      <c r="G1195" s="142"/>
      <c r="H1195" s="141"/>
      <c r="I1195" s="8"/>
    </row>
    <row r="1196" spans="2:9" ht="15" hidden="1" customHeight="1" x14ac:dyDescent="0.25">
      <c r="B1196" s="7"/>
      <c r="C1196" s="140">
        <v>1168</v>
      </c>
      <c r="D1196" s="142"/>
      <c r="E1196" s="142"/>
      <c r="F1196" s="142"/>
      <c r="G1196" s="142"/>
      <c r="H1196" s="141"/>
      <c r="I1196" s="8"/>
    </row>
    <row r="1197" spans="2:9" ht="15" hidden="1" customHeight="1" x14ac:dyDescent="0.25">
      <c r="B1197" s="7"/>
      <c r="C1197" s="140">
        <v>1169</v>
      </c>
      <c r="D1197" s="142"/>
      <c r="E1197" s="142"/>
      <c r="F1197" s="142"/>
      <c r="G1197" s="142"/>
      <c r="H1197" s="141"/>
      <c r="I1197" s="8"/>
    </row>
    <row r="1198" spans="2:9" ht="15" hidden="1" customHeight="1" x14ac:dyDescent="0.25">
      <c r="B1198" s="7"/>
      <c r="C1198" s="140">
        <v>1170</v>
      </c>
      <c r="D1198" s="142"/>
      <c r="E1198" s="142"/>
      <c r="F1198" s="142"/>
      <c r="G1198" s="142"/>
      <c r="H1198" s="141"/>
      <c r="I1198" s="8"/>
    </row>
    <row r="1199" spans="2:9" ht="15" hidden="1" customHeight="1" x14ac:dyDescent="0.25">
      <c r="B1199" s="7"/>
      <c r="C1199" s="140">
        <v>1171</v>
      </c>
      <c r="D1199" s="142"/>
      <c r="E1199" s="142"/>
      <c r="F1199" s="142"/>
      <c r="G1199" s="142"/>
      <c r="H1199" s="141"/>
      <c r="I1199" s="8"/>
    </row>
    <row r="1200" spans="2:9" ht="15" hidden="1" customHeight="1" x14ac:dyDescent="0.25">
      <c r="B1200" s="7"/>
      <c r="C1200" s="140">
        <v>1172</v>
      </c>
      <c r="D1200" s="142"/>
      <c r="E1200" s="142"/>
      <c r="F1200" s="142"/>
      <c r="G1200" s="142"/>
      <c r="H1200" s="141"/>
      <c r="I1200" s="8"/>
    </row>
    <row r="1201" spans="2:9" ht="15" hidden="1" customHeight="1" x14ac:dyDescent="0.25">
      <c r="B1201" s="7"/>
      <c r="C1201" s="140">
        <v>1173</v>
      </c>
      <c r="D1201" s="142"/>
      <c r="E1201" s="142"/>
      <c r="F1201" s="142"/>
      <c r="G1201" s="142"/>
      <c r="H1201" s="141"/>
      <c r="I1201" s="8"/>
    </row>
    <row r="1202" spans="2:9" ht="15" hidden="1" customHeight="1" x14ac:dyDescent="0.25">
      <c r="B1202" s="7"/>
      <c r="C1202" s="140">
        <v>1174</v>
      </c>
      <c r="D1202" s="142"/>
      <c r="E1202" s="142"/>
      <c r="F1202" s="142"/>
      <c r="G1202" s="142"/>
      <c r="H1202" s="141"/>
      <c r="I1202" s="8"/>
    </row>
    <row r="1203" spans="2:9" ht="15" hidden="1" customHeight="1" x14ac:dyDescent="0.25">
      <c r="B1203" s="7"/>
      <c r="C1203" s="140">
        <v>1175</v>
      </c>
      <c r="D1203" s="142"/>
      <c r="E1203" s="142"/>
      <c r="F1203" s="142"/>
      <c r="G1203" s="142"/>
      <c r="H1203" s="141"/>
      <c r="I1203" s="8"/>
    </row>
    <row r="1204" spans="2:9" ht="15" hidden="1" customHeight="1" x14ac:dyDescent="0.25">
      <c r="B1204" s="7"/>
      <c r="C1204" s="140">
        <v>1176</v>
      </c>
      <c r="D1204" s="142"/>
      <c r="E1204" s="142"/>
      <c r="F1204" s="142"/>
      <c r="G1204" s="142"/>
      <c r="H1204" s="141"/>
      <c r="I1204" s="8"/>
    </row>
    <row r="1205" spans="2:9" ht="15" hidden="1" customHeight="1" x14ac:dyDescent="0.25">
      <c r="B1205" s="7"/>
      <c r="C1205" s="140">
        <v>1177</v>
      </c>
      <c r="D1205" s="142"/>
      <c r="E1205" s="142"/>
      <c r="F1205" s="142"/>
      <c r="G1205" s="142"/>
      <c r="H1205" s="141"/>
      <c r="I1205" s="8"/>
    </row>
    <row r="1206" spans="2:9" ht="15" hidden="1" customHeight="1" x14ac:dyDescent="0.25">
      <c r="B1206" s="7"/>
      <c r="C1206" s="140">
        <v>1178</v>
      </c>
      <c r="D1206" s="142"/>
      <c r="E1206" s="142"/>
      <c r="F1206" s="142"/>
      <c r="G1206" s="142"/>
      <c r="H1206" s="141"/>
      <c r="I1206" s="8"/>
    </row>
    <row r="1207" spans="2:9" ht="15" hidden="1" customHeight="1" x14ac:dyDescent="0.25">
      <c r="B1207" s="7"/>
      <c r="C1207" s="140">
        <v>1179</v>
      </c>
      <c r="D1207" s="142"/>
      <c r="E1207" s="142"/>
      <c r="F1207" s="142"/>
      <c r="G1207" s="142"/>
      <c r="H1207" s="141"/>
      <c r="I1207" s="8"/>
    </row>
    <row r="1208" spans="2:9" ht="15" hidden="1" customHeight="1" x14ac:dyDescent="0.25">
      <c r="B1208" s="7"/>
      <c r="C1208" s="140">
        <v>1180</v>
      </c>
      <c r="D1208" s="142"/>
      <c r="E1208" s="142"/>
      <c r="F1208" s="142"/>
      <c r="G1208" s="142"/>
      <c r="H1208" s="141"/>
      <c r="I1208" s="8"/>
    </row>
    <row r="1209" spans="2:9" ht="15" hidden="1" customHeight="1" x14ac:dyDescent="0.25">
      <c r="B1209" s="7"/>
      <c r="C1209" s="140">
        <v>1181</v>
      </c>
      <c r="D1209" s="142"/>
      <c r="E1209" s="142"/>
      <c r="F1209" s="142"/>
      <c r="G1209" s="142"/>
      <c r="H1209" s="141"/>
      <c r="I1209" s="8"/>
    </row>
    <row r="1210" spans="2:9" ht="15" hidden="1" customHeight="1" x14ac:dyDescent="0.25">
      <c r="B1210" s="7"/>
      <c r="C1210" s="140">
        <v>1182</v>
      </c>
      <c r="D1210" s="142"/>
      <c r="E1210" s="142"/>
      <c r="F1210" s="142"/>
      <c r="G1210" s="142"/>
      <c r="H1210" s="141"/>
      <c r="I1210" s="8"/>
    </row>
    <row r="1211" spans="2:9" ht="15" hidden="1" customHeight="1" x14ac:dyDescent="0.25">
      <c r="B1211" s="7"/>
      <c r="C1211" s="140">
        <v>1183</v>
      </c>
      <c r="D1211" s="142"/>
      <c r="E1211" s="142"/>
      <c r="F1211" s="142"/>
      <c r="G1211" s="142"/>
      <c r="H1211" s="141"/>
      <c r="I1211" s="8"/>
    </row>
    <row r="1212" spans="2:9" ht="15" hidden="1" customHeight="1" x14ac:dyDescent="0.25">
      <c r="B1212" s="7"/>
      <c r="C1212" s="140">
        <v>1184</v>
      </c>
      <c r="D1212" s="142"/>
      <c r="E1212" s="142"/>
      <c r="F1212" s="142"/>
      <c r="G1212" s="142"/>
      <c r="H1212" s="141"/>
      <c r="I1212" s="8"/>
    </row>
    <row r="1213" spans="2:9" ht="15" hidden="1" customHeight="1" x14ac:dyDescent="0.25">
      <c r="B1213" s="7"/>
      <c r="C1213" s="140">
        <v>1185</v>
      </c>
      <c r="D1213" s="142"/>
      <c r="E1213" s="142"/>
      <c r="F1213" s="142"/>
      <c r="G1213" s="142"/>
      <c r="H1213" s="141"/>
      <c r="I1213" s="8"/>
    </row>
    <row r="1214" spans="2:9" ht="15" hidden="1" customHeight="1" x14ac:dyDescent="0.25">
      <c r="B1214" s="7"/>
      <c r="C1214" s="140">
        <v>1186</v>
      </c>
      <c r="D1214" s="142"/>
      <c r="E1214" s="142"/>
      <c r="F1214" s="142"/>
      <c r="G1214" s="142"/>
      <c r="H1214" s="141"/>
      <c r="I1214" s="8"/>
    </row>
    <row r="1215" spans="2:9" ht="15" hidden="1" customHeight="1" x14ac:dyDescent="0.25">
      <c r="B1215" s="7"/>
      <c r="C1215" s="140">
        <v>1187</v>
      </c>
      <c r="D1215" s="142"/>
      <c r="E1215" s="142"/>
      <c r="F1215" s="142"/>
      <c r="G1215" s="142"/>
      <c r="H1215" s="141"/>
      <c r="I1215" s="8"/>
    </row>
    <row r="1216" spans="2:9" ht="15" hidden="1" customHeight="1" x14ac:dyDescent="0.25">
      <c r="B1216" s="7"/>
      <c r="C1216" s="140">
        <v>1188</v>
      </c>
      <c r="D1216" s="142"/>
      <c r="E1216" s="142"/>
      <c r="F1216" s="142"/>
      <c r="G1216" s="142"/>
      <c r="H1216" s="141"/>
      <c r="I1216" s="8"/>
    </row>
    <row r="1217" spans="2:9" ht="15" hidden="1" customHeight="1" x14ac:dyDescent="0.25">
      <c r="B1217" s="7"/>
      <c r="C1217" s="140">
        <v>1189</v>
      </c>
      <c r="D1217" s="142"/>
      <c r="E1217" s="142"/>
      <c r="F1217" s="142"/>
      <c r="G1217" s="142"/>
      <c r="H1217" s="141"/>
      <c r="I1217" s="8"/>
    </row>
    <row r="1218" spans="2:9" ht="15" hidden="1" customHeight="1" x14ac:dyDescent="0.25">
      <c r="B1218" s="7"/>
      <c r="C1218" s="140">
        <v>1190</v>
      </c>
      <c r="D1218" s="142"/>
      <c r="E1218" s="142"/>
      <c r="F1218" s="142"/>
      <c r="G1218" s="142"/>
      <c r="H1218" s="141"/>
      <c r="I1218" s="8"/>
    </row>
    <row r="1219" spans="2:9" ht="15" hidden="1" customHeight="1" x14ac:dyDescent="0.25">
      <c r="B1219" s="7"/>
      <c r="C1219" s="140">
        <v>1191</v>
      </c>
      <c r="D1219" s="142"/>
      <c r="E1219" s="142"/>
      <c r="F1219" s="142"/>
      <c r="G1219" s="142"/>
      <c r="H1219" s="141"/>
      <c r="I1219" s="8"/>
    </row>
    <row r="1220" spans="2:9" ht="15" hidden="1" customHeight="1" x14ac:dyDescent="0.25">
      <c r="B1220" s="7"/>
      <c r="C1220" s="140">
        <v>1192</v>
      </c>
      <c r="D1220" s="142"/>
      <c r="E1220" s="142"/>
      <c r="F1220" s="142"/>
      <c r="G1220" s="142"/>
      <c r="H1220" s="141"/>
      <c r="I1220" s="8"/>
    </row>
    <row r="1221" spans="2:9" ht="15" hidden="1" customHeight="1" x14ac:dyDescent="0.25">
      <c r="B1221" s="7"/>
      <c r="C1221" s="140">
        <v>1193</v>
      </c>
      <c r="D1221" s="142"/>
      <c r="E1221" s="142"/>
      <c r="F1221" s="142"/>
      <c r="G1221" s="142"/>
      <c r="H1221" s="141"/>
      <c r="I1221" s="8"/>
    </row>
    <row r="1222" spans="2:9" ht="15" hidden="1" customHeight="1" x14ac:dyDescent="0.25">
      <c r="B1222" s="7"/>
      <c r="C1222" s="140">
        <v>1194</v>
      </c>
      <c r="D1222" s="142"/>
      <c r="E1222" s="142"/>
      <c r="F1222" s="142"/>
      <c r="G1222" s="142"/>
      <c r="H1222" s="141"/>
      <c r="I1222" s="8"/>
    </row>
    <row r="1223" spans="2:9" ht="15" hidden="1" customHeight="1" x14ac:dyDescent="0.25">
      <c r="B1223" s="7"/>
      <c r="C1223" s="140">
        <v>1195</v>
      </c>
      <c r="D1223" s="142"/>
      <c r="E1223" s="142"/>
      <c r="F1223" s="142"/>
      <c r="G1223" s="142"/>
      <c r="H1223" s="141"/>
      <c r="I1223" s="8"/>
    </row>
    <row r="1224" spans="2:9" ht="15" hidden="1" customHeight="1" x14ac:dyDescent="0.25">
      <c r="B1224" s="7"/>
      <c r="C1224" s="140">
        <v>1196</v>
      </c>
      <c r="D1224" s="142"/>
      <c r="E1224" s="142"/>
      <c r="F1224" s="142"/>
      <c r="G1224" s="142"/>
      <c r="H1224" s="141"/>
      <c r="I1224" s="8"/>
    </row>
    <row r="1225" spans="2:9" ht="15" hidden="1" customHeight="1" x14ac:dyDescent="0.25">
      <c r="B1225" s="7"/>
      <c r="C1225" s="140">
        <v>1197</v>
      </c>
      <c r="D1225" s="142"/>
      <c r="E1225" s="142"/>
      <c r="F1225" s="142"/>
      <c r="G1225" s="142"/>
      <c r="H1225" s="141"/>
      <c r="I1225" s="8"/>
    </row>
    <row r="1226" spans="2:9" ht="15" hidden="1" customHeight="1" x14ac:dyDescent="0.25">
      <c r="B1226" s="7"/>
      <c r="C1226" s="140">
        <v>1198</v>
      </c>
      <c r="D1226" s="142"/>
      <c r="E1226" s="142"/>
      <c r="F1226" s="142"/>
      <c r="G1226" s="142"/>
      <c r="H1226" s="141"/>
      <c r="I1226" s="8"/>
    </row>
    <row r="1227" spans="2:9" ht="15" hidden="1" customHeight="1" x14ac:dyDescent="0.25">
      <c r="B1227" s="7"/>
      <c r="C1227" s="140">
        <v>1199</v>
      </c>
      <c r="D1227" s="142"/>
      <c r="E1227" s="142"/>
      <c r="F1227" s="142"/>
      <c r="G1227" s="142"/>
      <c r="H1227" s="141"/>
      <c r="I1227" s="8"/>
    </row>
    <row r="1228" spans="2:9" ht="15" hidden="1" customHeight="1" x14ac:dyDescent="0.25">
      <c r="B1228" s="7"/>
      <c r="C1228" s="140">
        <v>1200</v>
      </c>
      <c r="D1228" s="142"/>
      <c r="E1228" s="142"/>
      <c r="F1228" s="142"/>
      <c r="G1228" s="142"/>
      <c r="H1228" s="141"/>
      <c r="I1228" s="8"/>
    </row>
    <row r="1229" spans="2:9" ht="15" hidden="1" customHeight="1" x14ac:dyDescent="0.25">
      <c r="B1229" s="7"/>
      <c r="C1229" s="140">
        <v>1201</v>
      </c>
      <c r="D1229" s="142"/>
      <c r="E1229" s="142"/>
      <c r="F1229" s="142"/>
      <c r="G1229" s="142"/>
      <c r="H1229" s="141"/>
      <c r="I1229" s="8"/>
    </row>
    <row r="1230" spans="2:9" ht="15" hidden="1" customHeight="1" x14ac:dyDescent="0.25">
      <c r="B1230" s="7"/>
      <c r="C1230" s="140">
        <v>1202</v>
      </c>
      <c r="D1230" s="142"/>
      <c r="E1230" s="142"/>
      <c r="F1230" s="142"/>
      <c r="G1230" s="142"/>
      <c r="H1230" s="141"/>
      <c r="I1230" s="8"/>
    </row>
    <row r="1231" spans="2:9" ht="15" hidden="1" customHeight="1" x14ac:dyDescent="0.25">
      <c r="B1231" s="7"/>
      <c r="C1231" s="140">
        <v>1203</v>
      </c>
      <c r="D1231" s="142"/>
      <c r="E1231" s="142"/>
      <c r="F1231" s="142"/>
      <c r="G1231" s="142"/>
      <c r="H1231" s="141"/>
      <c r="I1231" s="8"/>
    </row>
    <row r="1232" spans="2:9" ht="15" hidden="1" customHeight="1" x14ac:dyDescent="0.25">
      <c r="B1232" s="7"/>
      <c r="C1232" s="140">
        <v>1204</v>
      </c>
      <c r="D1232" s="142"/>
      <c r="E1232" s="142"/>
      <c r="F1232" s="142"/>
      <c r="G1232" s="142"/>
      <c r="H1232" s="141"/>
      <c r="I1232" s="8"/>
    </row>
    <row r="1233" spans="2:9" ht="15" hidden="1" customHeight="1" x14ac:dyDescent="0.25">
      <c r="B1233" s="7"/>
      <c r="C1233" s="140">
        <v>1205</v>
      </c>
      <c r="D1233" s="142"/>
      <c r="E1233" s="142"/>
      <c r="F1233" s="142"/>
      <c r="G1233" s="142"/>
      <c r="H1233" s="141"/>
      <c r="I1233" s="8"/>
    </row>
    <row r="1234" spans="2:9" ht="15" hidden="1" customHeight="1" x14ac:dyDescent="0.25">
      <c r="B1234" s="7"/>
      <c r="C1234" s="140">
        <v>1206</v>
      </c>
      <c r="D1234" s="142"/>
      <c r="E1234" s="142"/>
      <c r="F1234" s="142"/>
      <c r="G1234" s="142"/>
      <c r="H1234" s="141"/>
      <c r="I1234" s="8"/>
    </row>
    <row r="1235" spans="2:9" ht="15" hidden="1" customHeight="1" x14ac:dyDescent="0.25">
      <c r="B1235" s="7"/>
      <c r="C1235" s="140">
        <v>1207</v>
      </c>
      <c r="D1235" s="142"/>
      <c r="E1235" s="142"/>
      <c r="F1235" s="142"/>
      <c r="G1235" s="142"/>
      <c r="H1235" s="141"/>
      <c r="I1235" s="8"/>
    </row>
    <row r="1236" spans="2:9" ht="15" hidden="1" customHeight="1" x14ac:dyDescent="0.25">
      <c r="B1236" s="7"/>
      <c r="C1236" s="140">
        <v>1208</v>
      </c>
      <c r="D1236" s="142"/>
      <c r="E1236" s="142"/>
      <c r="F1236" s="142"/>
      <c r="G1236" s="142"/>
      <c r="H1236" s="141"/>
      <c r="I1236" s="8"/>
    </row>
    <row r="1237" spans="2:9" ht="15" hidden="1" customHeight="1" x14ac:dyDescent="0.25">
      <c r="B1237" s="7"/>
      <c r="C1237" s="140">
        <v>1209</v>
      </c>
      <c r="D1237" s="142"/>
      <c r="E1237" s="142"/>
      <c r="F1237" s="142"/>
      <c r="G1237" s="142"/>
      <c r="H1237" s="141"/>
      <c r="I1237" s="8"/>
    </row>
    <row r="1238" spans="2:9" ht="15" hidden="1" customHeight="1" x14ac:dyDescent="0.25">
      <c r="B1238" s="7"/>
      <c r="C1238" s="140">
        <v>1210</v>
      </c>
      <c r="D1238" s="142"/>
      <c r="E1238" s="142"/>
      <c r="F1238" s="142"/>
      <c r="G1238" s="142"/>
      <c r="H1238" s="141"/>
      <c r="I1238" s="8"/>
    </row>
    <row r="1239" spans="2:9" ht="15" hidden="1" customHeight="1" x14ac:dyDescent="0.25">
      <c r="B1239" s="7"/>
      <c r="C1239" s="140">
        <v>1211</v>
      </c>
      <c r="D1239" s="142"/>
      <c r="E1239" s="142"/>
      <c r="F1239" s="142"/>
      <c r="G1239" s="142"/>
      <c r="H1239" s="141"/>
      <c r="I1239" s="8"/>
    </row>
    <row r="1240" spans="2:9" ht="15" hidden="1" customHeight="1" x14ac:dyDescent="0.25">
      <c r="B1240" s="7"/>
      <c r="C1240" s="140">
        <v>1212</v>
      </c>
      <c r="D1240" s="142"/>
      <c r="E1240" s="142"/>
      <c r="F1240" s="142"/>
      <c r="G1240" s="142"/>
      <c r="H1240" s="141"/>
      <c r="I1240" s="8"/>
    </row>
    <row r="1241" spans="2:9" ht="15" hidden="1" customHeight="1" x14ac:dyDescent="0.25">
      <c r="B1241" s="7"/>
      <c r="C1241" s="140">
        <v>1213</v>
      </c>
      <c r="D1241" s="142"/>
      <c r="E1241" s="142"/>
      <c r="F1241" s="142"/>
      <c r="G1241" s="142"/>
      <c r="H1241" s="141"/>
      <c r="I1241" s="8"/>
    </row>
    <row r="1242" spans="2:9" ht="15" hidden="1" customHeight="1" x14ac:dyDescent="0.25">
      <c r="B1242" s="7"/>
      <c r="C1242" s="140">
        <v>1214</v>
      </c>
      <c r="D1242" s="142"/>
      <c r="E1242" s="142"/>
      <c r="F1242" s="142"/>
      <c r="G1242" s="142"/>
      <c r="H1242" s="141"/>
      <c r="I1242" s="8"/>
    </row>
    <row r="1243" spans="2:9" ht="15" hidden="1" customHeight="1" x14ac:dyDescent="0.25">
      <c r="B1243" s="7"/>
      <c r="C1243" s="140">
        <v>1215</v>
      </c>
      <c r="D1243" s="142"/>
      <c r="E1243" s="142"/>
      <c r="F1243" s="142"/>
      <c r="G1243" s="142"/>
      <c r="H1243" s="141"/>
      <c r="I1243" s="8"/>
    </row>
    <row r="1244" spans="2:9" ht="15" hidden="1" customHeight="1" x14ac:dyDescent="0.25">
      <c r="B1244" s="7"/>
      <c r="C1244" s="140">
        <v>1216</v>
      </c>
      <c r="D1244" s="142"/>
      <c r="E1244" s="142"/>
      <c r="F1244" s="142"/>
      <c r="G1244" s="142"/>
      <c r="H1244" s="141"/>
      <c r="I1244" s="8"/>
    </row>
    <row r="1245" spans="2:9" ht="15" hidden="1" customHeight="1" x14ac:dyDescent="0.25">
      <c r="B1245" s="7"/>
      <c r="C1245" s="140">
        <v>1217</v>
      </c>
      <c r="D1245" s="142"/>
      <c r="E1245" s="142"/>
      <c r="F1245" s="142"/>
      <c r="G1245" s="142"/>
      <c r="H1245" s="141"/>
      <c r="I1245" s="8"/>
    </row>
    <row r="1246" spans="2:9" ht="15" hidden="1" customHeight="1" x14ac:dyDescent="0.25">
      <c r="B1246" s="7"/>
      <c r="C1246" s="140">
        <v>1218</v>
      </c>
      <c r="D1246" s="142"/>
      <c r="E1246" s="142"/>
      <c r="F1246" s="142"/>
      <c r="G1246" s="142"/>
      <c r="H1246" s="141"/>
      <c r="I1246" s="8"/>
    </row>
    <row r="1247" spans="2:9" ht="15" hidden="1" customHeight="1" x14ac:dyDescent="0.25">
      <c r="B1247" s="7"/>
      <c r="C1247" s="140">
        <v>1219</v>
      </c>
      <c r="D1247" s="142"/>
      <c r="E1247" s="142"/>
      <c r="F1247" s="142"/>
      <c r="G1247" s="142"/>
      <c r="H1247" s="141"/>
      <c r="I1247" s="8"/>
    </row>
    <row r="1248" spans="2:9" ht="15" hidden="1" customHeight="1" x14ac:dyDescent="0.25">
      <c r="B1248" s="7"/>
      <c r="C1248" s="140">
        <v>1220</v>
      </c>
      <c r="D1248" s="142"/>
      <c r="E1248" s="142"/>
      <c r="F1248" s="142"/>
      <c r="G1248" s="142"/>
      <c r="H1248" s="141"/>
      <c r="I1248" s="8"/>
    </row>
    <row r="1249" spans="2:9" ht="15" hidden="1" customHeight="1" x14ac:dyDescent="0.25">
      <c r="B1249" s="7"/>
      <c r="C1249" s="140">
        <v>1221</v>
      </c>
      <c r="D1249" s="142"/>
      <c r="E1249" s="142"/>
      <c r="F1249" s="142"/>
      <c r="G1249" s="142"/>
      <c r="H1249" s="141"/>
      <c r="I1249" s="8"/>
    </row>
    <row r="1250" spans="2:9" ht="15" hidden="1" customHeight="1" x14ac:dyDescent="0.25">
      <c r="B1250" s="7"/>
      <c r="C1250" s="140">
        <v>1222</v>
      </c>
      <c r="D1250" s="142"/>
      <c r="E1250" s="142"/>
      <c r="F1250" s="142"/>
      <c r="G1250" s="142"/>
      <c r="H1250" s="141"/>
      <c r="I1250" s="8"/>
    </row>
    <row r="1251" spans="2:9" ht="15" hidden="1" customHeight="1" x14ac:dyDescent="0.25">
      <c r="B1251" s="7"/>
      <c r="C1251" s="140">
        <v>1223</v>
      </c>
      <c r="D1251" s="142"/>
      <c r="E1251" s="142"/>
      <c r="F1251" s="142"/>
      <c r="G1251" s="142"/>
      <c r="H1251" s="141"/>
      <c r="I1251" s="8"/>
    </row>
    <row r="1252" spans="2:9" ht="15" hidden="1" customHeight="1" x14ac:dyDescent="0.25">
      <c r="B1252" s="7"/>
      <c r="C1252" s="140">
        <v>1224</v>
      </c>
      <c r="D1252" s="142"/>
      <c r="E1252" s="142"/>
      <c r="F1252" s="142"/>
      <c r="G1252" s="142"/>
      <c r="H1252" s="141"/>
      <c r="I1252" s="8"/>
    </row>
    <row r="1253" spans="2:9" ht="15" hidden="1" customHeight="1" x14ac:dyDescent="0.25">
      <c r="B1253" s="7"/>
      <c r="C1253" s="140">
        <v>1225</v>
      </c>
      <c r="D1253" s="142"/>
      <c r="E1253" s="142"/>
      <c r="F1253" s="142"/>
      <c r="G1253" s="142"/>
      <c r="H1253" s="141"/>
      <c r="I1253" s="8"/>
    </row>
    <row r="1254" spans="2:9" ht="15" hidden="1" customHeight="1" x14ac:dyDescent="0.25">
      <c r="B1254" s="7"/>
      <c r="C1254" s="140">
        <v>1226</v>
      </c>
      <c r="D1254" s="142"/>
      <c r="E1254" s="142"/>
      <c r="F1254" s="142"/>
      <c r="G1254" s="142"/>
      <c r="H1254" s="141"/>
      <c r="I1254" s="8"/>
    </row>
    <row r="1255" spans="2:9" ht="15" hidden="1" customHeight="1" x14ac:dyDescent="0.25">
      <c r="B1255" s="7"/>
      <c r="C1255" s="140">
        <v>1227</v>
      </c>
      <c r="D1255" s="142"/>
      <c r="E1255" s="142"/>
      <c r="F1255" s="142"/>
      <c r="G1255" s="142"/>
      <c r="H1255" s="141"/>
      <c r="I1255" s="8"/>
    </row>
    <row r="1256" spans="2:9" ht="15" hidden="1" customHeight="1" x14ac:dyDescent="0.25">
      <c r="B1256" s="7"/>
      <c r="C1256" s="140">
        <v>1228</v>
      </c>
      <c r="D1256" s="142"/>
      <c r="E1256" s="142"/>
      <c r="F1256" s="142"/>
      <c r="G1256" s="142"/>
      <c r="H1256" s="141"/>
      <c r="I1256" s="8"/>
    </row>
    <row r="1257" spans="2:9" ht="15" hidden="1" customHeight="1" x14ac:dyDescent="0.25">
      <c r="B1257" s="7"/>
      <c r="C1257" s="140">
        <v>1229</v>
      </c>
      <c r="D1257" s="142"/>
      <c r="E1257" s="142"/>
      <c r="F1257" s="142"/>
      <c r="G1257" s="142"/>
      <c r="H1257" s="141"/>
      <c r="I1257" s="8"/>
    </row>
    <row r="1258" spans="2:9" ht="15" hidden="1" customHeight="1" x14ac:dyDescent="0.25">
      <c r="B1258" s="7"/>
      <c r="C1258" s="140">
        <v>1230</v>
      </c>
      <c r="D1258" s="142"/>
      <c r="E1258" s="142"/>
      <c r="F1258" s="142"/>
      <c r="G1258" s="142"/>
      <c r="H1258" s="141"/>
      <c r="I1258" s="8"/>
    </row>
    <row r="1259" spans="2:9" ht="15" hidden="1" customHeight="1" x14ac:dyDescent="0.25">
      <c r="B1259" s="7"/>
      <c r="C1259" s="140">
        <v>1231</v>
      </c>
      <c r="D1259" s="142"/>
      <c r="E1259" s="142"/>
      <c r="F1259" s="142"/>
      <c r="G1259" s="142"/>
      <c r="H1259" s="141"/>
      <c r="I1259" s="8"/>
    </row>
    <row r="1260" spans="2:9" ht="15" hidden="1" customHeight="1" x14ac:dyDescent="0.25">
      <c r="B1260" s="7"/>
      <c r="C1260" s="140">
        <v>1232</v>
      </c>
      <c r="D1260" s="142"/>
      <c r="E1260" s="142"/>
      <c r="F1260" s="142"/>
      <c r="G1260" s="142"/>
      <c r="H1260" s="141"/>
      <c r="I1260" s="8"/>
    </row>
    <row r="1261" spans="2:9" ht="15" hidden="1" customHeight="1" x14ac:dyDescent="0.25">
      <c r="B1261" s="7"/>
      <c r="C1261" s="140">
        <v>1233</v>
      </c>
      <c r="D1261" s="142"/>
      <c r="E1261" s="142"/>
      <c r="F1261" s="142"/>
      <c r="G1261" s="142"/>
      <c r="H1261" s="141"/>
      <c r="I1261" s="8"/>
    </row>
    <row r="1262" spans="2:9" ht="15" hidden="1" customHeight="1" x14ac:dyDescent="0.25">
      <c r="B1262" s="7"/>
      <c r="C1262" s="140">
        <v>1234</v>
      </c>
      <c r="D1262" s="142"/>
      <c r="E1262" s="142"/>
      <c r="F1262" s="142"/>
      <c r="G1262" s="142"/>
      <c r="H1262" s="141"/>
      <c r="I1262" s="8"/>
    </row>
    <row r="1263" spans="2:9" ht="15" hidden="1" customHeight="1" x14ac:dyDescent="0.25">
      <c r="B1263" s="7"/>
      <c r="C1263" s="140">
        <v>1235</v>
      </c>
      <c r="D1263" s="142"/>
      <c r="E1263" s="142"/>
      <c r="F1263" s="142"/>
      <c r="G1263" s="142"/>
      <c r="H1263" s="141"/>
      <c r="I1263" s="8"/>
    </row>
    <row r="1264" spans="2:9" ht="15" hidden="1" customHeight="1" x14ac:dyDescent="0.25">
      <c r="B1264" s="7"/>
      <c r="C1264" s="140">
        <v>1236</v>
      </c>
      <c r="D1264" s="142"/>
      <c r="E1264" s="142"/>
      <c r="F1264" s="142"/>
      <c r="G1264" s="142"/>
      <c r="H1264" s="141"/>
      <c r="I1264" s="8"/>
    </row>
    <row r="1265" spans="2:9" ht="15" hidden="1" customHeight="1" x14ac:dyDescent="0.25">
      <c r="B1265" s="7"/>
      <c r="C1265" s="140">
        <v>1237</v>
      </c>
      <c r="D1265" s="142"/>
      <c r="E1265" s="142"/>
      <c r="F1265" s="142"/>
      <c r="G1265" s="142"/>
      <c r="H1265" s="141"/>
      <c r="I1265" s="8"/>
    </row>
    <row r="1266" spans="2:9" ht="15" hidden="1" customHeight="1" x14ac:dyDescent="0.25">
      <c r="B1266" s="7"/>
      <c r="C1266" s="140">
        <v>1238</v>
      </c>
      <c r="D1266" s="142"/>
      <c r="E1266" s="142"/>
      <c r="F1266" s="142"/>
      <c r="G1266" s="142"/>
      <c r="H1266" s="141"/>
      <c r="I1266" s="8"/>
    </row>
    <row r="1267" spans="2:9" ht="15" hidden="1" customHeight="1" x14ac:dyDescent="0.25">
      <c r="B1267" s="7"/>
      <c r="C1267" s="140">
        <v>1239</v>
      </c>
      <c r="D1267" s="142"/>
      <c r="E1267" s="142"/>
      <c r="F1267" s="142"/>
      <c r="G1267" s="142"/>
      <c r="H1267" s="141"/>
      <c r="I1267" s="8"/>
    </row>
    <row r="1268" spans="2:9" ht="15" hidden="1" customHeight="1" x14ac:dyDescent="0.25">
      <c r="B1268" s="7"/>
      <c r="C1268" s="140">
        <v>1240</v>
      </c>
      <c r="D1268" s="142"/>
      <c r="E1268" s="142"/>
      <c r="F1268" s="142"/>
      <c r="G1268" s="142"/>
      <c r="H1268" s="141"/>
      <c r="I1268" s="8"/>
    </row>
    <row r="1269" spans="2:9" ht="15" hidden="1" customHeight="1" x14ac:dyDescent="0.25">
      <c r="B1269" s="7"/>
      <c r="C1269" s="140">
        <v>1241</v>
      </c>
      <c r="D1269" s="142"/>
      <c r="E1269" s="142"/>
      <c r="F1269" s="142"/>
      <c r="G1269" s="142"/>
      <c r="H1269" s="141"/>
      <c r="I1269" s="8"/>
    </row>
    <row r="1270" spans="2:9" ht="15" hidden="1" customHeight="1" x14ac:dyDescent="0.25">
      <c r="B1270" s="7"/>
      <c r="C1270" s="140">
        <v>1242</v>
      </c>
      <c r="D1270" s="142"/>
      <c r="E1270" s="142"/>
      <c r="F1270" s="142"/>
      <c r="G1270" s="142"/>
      <c r="H1270" s="141"/>
      <c r="I1270" s="8"/>
    </row>
    <row r="1271" spans="2:9" ht="15" hidden="1" customHeight="1" x14ac:dyDescent="0.25">
      <c r="B1271" s="7"/>
      <c r="C1271" s="140">
        <v>1243</v>
      </c>
      <c r="D1271" s="142"/>
      <c r="E1271" s="142"/>
      <c r="F1271" s="142"/>
      <c r="G1271" s="142"/>
      <c r="H1271" s="141"/>
      <c r="I1271" s="8"/>
    </row>
    <row r="1272" spans="2:9" ht="15" hidden="1" customHeight="1" x14ac:dyDescent="0.25">
      <c r="B1272" s="7"/>
      <c r="C1272" s="140">
        <v>1244</v>
      </c>
      <c r="D1272" s="142"/>
      <c r="E1272" s="142"/>
      <c r="F1272" s="142"/>
      <c r="G1272" s="142"/>
      <c r="H1272" s="141"/>
      <c r="I1272" s="8"/>
    </row>
    <row r="1273" spans="2:9" ht="15" hidden="1" customHeight="1" x14ac:dyDescent="0.25">
      <c r="B1273" s="7"/>
      <c r="C1273" s="140">
        <v>1245</v>
      </c>
      <c r="D1273" s="142"/>
      <c r="E1273" s="142"/>
      <c r="F1273" s="142"/>
      <c r="G1273" s="142"/>
      <c r="H1273" s="141"/>
      <c r="I1273" s="8"/>
    </row>
    <row r="1274" spans="2:9" ht="15" hidden="1" customHeight="1" x14ac:dyDescent="0.25">
      <c r="B1274" s="7"/>
      <c r="C1274" s="140">
        <v>1246</v>
      </c>
      <c r="D1274" s="142"/>
      <c r="E1274" s="142"/>
      <c r="F1274" s="142"/>
      <c r="G1274" s="142"/>
      <c r="H1274" s="141"/>
      <c r="I1274" s="8"/>
    </row>
    <row r="1275" spans="2:9" ht="15" hidden="1" customHeight="1" x14ac:dyDescent="0.25">
      <c r="B1275" s="7"/>
      <c r="C1275" s="140">
        <v>1247</v>
      </c>
      <c r="D1275" s="142"/>
      <c r="E1275" s="142"/>
      <c r="F1275" s="142"/>
      <c r="G1275" s="142"/>
      <c r="H1275" s="141"/>
      <c r="I1275" s="8"/>
    </row>
    <row r="1276" spans="2:9" ht="15" hidden="1" customHeight="1" x14ac:dyDescent="0.25">
      <c r="B1276" s="7"/>
      <c r="C1276" s="140">
        <v>1248</v>
      </c>
      <c r="D1276" s="142"/>
      <c r="E1276" s="142"/>
      <c r="F1276" s="142"/>
      <c r="G1276" s="142"/>
      <c r="H1276" s="141"/>
      <c r="I1276" s="8"/>
    </row>
    <row r="1277" spans="2:9" ht="15" hidden="1" customHeight="1" x14ac:dyDescent="0.25">
      <c r="B1277" s="7"/>
      <c r="C1277" s="140">
        <v>1249</v>
      </c>
      <c r="D1277" s="142"/>
      <c r="E1277" s="142"/>
      <c r="F1277" s="142"/>
      <c r="G1277" s="142"/>
      <c r="H1277" s="141"/>
      <c r="I1277" s="8"/>
    </row>
    <row r="1278" spans="2:9" ht="15" hidden="1" customHeight="1" x14ac:dyDescent="0.25">
      <c r="B1278" s="7"/>
      <c r="C1278" s="140">
        <v>1250</v>
      </c>
      <c r="D1278" s="142"/>
      <c r="E1278" s="142"/>
      <c r="F1278" s="142"/>
      <c r="G1278" s="142"/>
      <c r="H1278" s="141"/>
      <c r="I1278" s="8"/>
    </row>
    <row r="1279" spans="2:9" ht="15" hidden="1" customHeight="1" x14ac:dyDescent="0.25">
      <c r="B1279" s="7"/>
      <c r="C1279" s="140">
        <v>1251</v>
      </c>
      <c r="D1279" s="142"/>
      <c r="E1279" s="142"/>
      <c r="F1279" s="142"/>
      <c r="G1279" s="142"/>
      <c r="H1279" s="141"/>
      <c r="I1279" s="8"/>
    </row>
    <row r="1280" spans="2:9" ht="15" hidden="1" customHeight="1" x14ac:dyDescent="0.25">
      <c r="B1280" s="7"/>
      <c r="C1280" s="140">
        <v>1252</v>
      </c>
      <c r="D1280" s="142"/>
      <c r="E1280" s="142"/>
      <c r="F1280" s="142"/>
      <c r="G1280" s="142"/>
      <c r="H1280" s="141"/>
      <c r="I1280" s="8"/>
    </row>
    <row r="1281" spans="2:9" ht="15" hidden="1" customHeight="1" x14ac:dyDescent="0.25">
      <c r="B1281" s="7"/>
      <c r="C1281" s="140">
        <v>1253</v>
      </c>
      <c r="D1281" s="142"/>
      <c r="E1281" s="142"/>
      <c r="F1281" s="142"/>
      <c r="G1281" s="142"/>
      <c r="H1281" s="141"/>
      <c r="I1281" s="8"/>
    </row>
    <row r="1282" spans="2:9" ht="15" hidden="1" customHeight="1" x14ac:dyDescent="0.25">
      <c r="B1282" s="7"/>
      <c r="C1282" s="140">
        <v>1254</v>
      </c>
      <c r="D1282" s="142"/>
      <c r="E1282" s="142"/>
      <c r="F1282" s="142"/>
      <c r="G1282" s="142"/>
      <c r="H1282" s="141"/>
      <c r="I1282" s="8"/>
    </row>
    <row r="1283" spans="2:9" ht="15" hidden="1" customHeight="1" x14ac:dyDescent="0.25">
      <c r="B1283" s="7"/>
      <c r="C1283" s="140">
        <v>1255</v>
      </c>
      <c r="D1283" s="142"/>
      <c r="E1283" s="142"/>
      <c r="F1283" s="142"/>
      <c r="G1283" s="142"/>
      <c r="H1283" s="141"/>
      <c r="I1283" s="8"/>
    </row>
    <row r="1284" spans="2:9" ht="15" hidden="1" customHeight="1" x14ac:dyDescent="0.25">
      <c r="B1284" s="7"/>
      <c r="C1284" s="140">
        <v>1256</v>
      </c>
      <c r="D1284" s="142"/>
      <c r="E1284" s="142"/>
      <c r="F1284" s="142"/>
      <c r="G1284" s="142"/>
      <c r="H1284" s="141"/>
      <c r="I1284" s="8"/>
    </row>
    <row r="1285" spans="2:9" ht="15" hidden="1" customHeight="1" x14ac:dyDescent="0.25">
      <c r="B1285" s="7"/>
      <c r="C1285" s="140">
        <v>1257</v>
      </c>
      <c r="D1285" s="142"/>
      <c r="E1285" s="142"/>
      <c r="F1285" s="142"/>
      <c r="G1285" s="142"/>
      <c r="H1285" s="141"/>
      <c r="I1285" s="8"/>
    </row>
    <row r="1286" spans="2:9" ht="15" hidden="1" customHeight="1" x14ac:dyDescent="0.25">
      <c r="B1286" s="7"/>
      <c r="C1286" s="140">
        <v>1258</v>
      </c>
      <c r="D1286" s="142"/>
      <c r="E1286" s="142"/>
      <c r="F1286" s="142"/>
      <c r="G1286" s="142"/>
      <c r="H1286" s="141"/>
      <c r="I1286" s="8"/>
    </row>
    <row r="1287" spans="2:9" ht="15" hidden="1" customHeight="1" x14ac:dyDescent="0.25">
      <c r="B1287" s="7"/>
      <c r="C1287" s="140">
        <v>1259</v>
      </c>
      <c r="D1287" s="142"/>
      <c r="E1287" s="142"/>
      <c r="F1287" s="142"/>
      <c r="G1287" s="142"/>
      <c r="H1287" s="141"/>
      <c r="I1287" s="8"/>
    </row>
    <row r="1288" spans="2:9" ht="15" hidden="1" customHeight="1" x14ac:dyDescent="0.25">
      <c r="B1288" s="7"/>
      <c r="C1288" s="140">
        <v>1260</v>
      </c>
      <c r="D1288" s="142"/>
      <c r="E1288" s="142"/>
      <c r="F1288" s="142"/>
      <c r="G1288" s="142"/>
      <c r="H1288" s="141"/>
      <c r="I1288" s="8"/>
    </row>
    <row r="1289" spans="2:9" ht="15" hidden="1" customHeight="1" x14ac:dyDescent="0.25">
      <c r="B1289" s="7"/>
      <c r="C1289" s="140">
        <v>1261</v>
      </c>
      <c r="D1289" s="142"/>
      <c r="E1289" s="142"/>
      <c r="F1289" s="142"/>
      <c r="G1289" s="142"/>
      <c r="H1289" s="141"/>
      <c r="I1289" s="8"/>
    </row>
    <row r="1290" spans="2:9" ht="15" hidden="1" customHeight="1" x14ac:dyDescent="0.25">
      <c r="B1290" s="7"/>
      <c r="C1290" s="140">
        <v>1262</v>
      </c>
      <c r="D1290" s="142"/>
      <c r="E1290" s="142"/>
      <c r="F1290" s="142"/>
      <c r="G1290" s="142"/>
      <c r="H1290" s="141"/>
      <c r="I1290" s="8"/>
    </row>
    <row r="1291" spans="2:9" ht="15" hidden="1" customHeight="1" x14ac:dyDescent="0.25">
      <c r="B1291" s="7"/>
      <c r="C1291" s="140">
        <v>1263</v>
      </c>
      <c r="D1291" s="142"/>
      <c r="E1291" s="142"/>
      <c r="F1291" s="142"/>
      <c r="G1291" s="142"/>
      <c r="H1291" s="141"/>
      <c r="I1291" s="8"/>
    </row>
    <row r="1292" spans="2:9" ht="15" hidden="1" customHeight="1" x14ac:dyDescent="0.25">
      <c r="B1292" s="7"/>
      <c r="C1292" s="140">
        <v>1264</v>
      </c>
      <c r="D1292" s="142"/>
      <c r="E1292" s="142"/>
      <c r="F1292" s="142"/>
      <c r="G1292" s="142"/>
      <c r="H1292" s="141"/>
      <c r="I1292" s="8"/>
    </row>
    <row r="1293" spans="2:9" ht="15" hidden="1" customHeight="1" x14ac:dyDescent="0.25">
      <c r="B1293" s="7"/>
      <c r="C1293" s="140">
        <v>1265</v>
      </c>
      <c r="D1293" s="142"/>
      <c r="E1293" s="142"/>
      <c r="F1293" s="142"/>
      <c r="G1293" s="142"/>
      <c r="H1293" s="141"/>
      <c r="I1293" s="8"/>
    </row>
    <row r="1294" spans="2:9" ht="15" hidden="1" customHeight="1" x14ac:dyDescent="0.25">
      <c r="B1294" s="7"/>
      <c r="C1294" s="140">
        <v>1266</v>
      </c>
      <c r="D1294" s="142"/>
      <c r="E1294" s="142"/>
      <c r="F1294" s="142"/>
      <c r="G1294" s="142"/>
      <c r="H1294" s="141"/>
      <c r="I1294" s="8"/>
    </row>
    <row r="1295" spans="2:9" ht="15" hidden="1" customHeight="1" x14ac:dyDescent="0.25">
      <c r="B1295" s="7"/>
      <c r="C1295" s="140">
        <v>1267</v>
      </c>
      <c r="D1295" s="142"/>
      <c r="E1295" s="142"/>
      <c r="F1295" s="142"/>
      <c r="G1295" s="142"/>
      <c r="H1295" s="141"/>
      <c r="I1295" s="8"/>
    </row>
    <row r="1296" spans="2:9" ht="15" hidden="1" customHeight="1" x14ac:dyDescent="0.25">
      <c r="B1296" s="7"/>
      <c r="C1296" s="140">
        <v>1268</v>
      </c>
      <c r="D1296" s="142"/>
      <c r="E1296" s="142"/>
      <c r="F1296" s="142"/>
      <c r="G1296" s="142"/>
      <c r="H1296" s="141"/>
      <c r="I1296" s="8"/>
    </row>
    <row r="1297" spans="2:9" ht="15" hidden="1" customHeight="1" x14ac:dyDescent="0.25">
      <c r="B1297" s="7"/>
      <c r="C1297" s="140">
        <v>1269</v>
      </c>
      <c r="D1297" s="142"/>
      <c r="E1297" s="142"/>
      <c r="F1297" s="142"/>
      <c r="G1297" s="142"/>
      <c r="H1297" s="141"/>
      <c r="I1297" s="8"/>
    </row>
    <row r="1298" spans="2:9" ht="15" hidden="1" customHeight="1" x14ac:dyDescent="0.25">
      <c r="B1298" s="7"/>
      <c r="C1298" s="140">
        <v>1270</v>
      </c>
      <c r="D1298" s="142"/>
      <c r="E1298" s="142"/>
      <c r="F1298" s="142"/>
      <c r="G1298" s="142"/>
      <c r="H1298" s="141"/>
      <c r="I1298" s="8"/>
    </row>
    <row r="1299" spans="2:9" ht="15" hidden="1" customHeight="1" x14ac:dyDescent="0.25">
      <c r="B1299" s="7"/>
      <c r="C1299" s="140">
        <v>1271</v>
      </c>
      <c r="D1299" s="142"/>
      <c r="E1299" s="142"/>
      <c r="F1299" s="142"/>
      <c r="G1299" s="142"/>
      <c r="H1299" s="141"/>
      <c r="I1299" s="8"/>
    </row>
    <row r="1300" spans="2:9" ht="15" hidden="1" customHeight="1" x14ac:dyDescent="0.25">
      <c r="B1300" s="7"/>
      <c r="C1300" s="140">
        <v>1272</v>
      </c>
      <c r="D1300" s="142"/>
      <c r="E1300" s="142"/>
      <c r="F1300" s="142"/>
      <c r="G1300" s="142"/>
      <c r="H1300" s="141"/>
      <c r="I1300" s="8"/>
    </row>
    <row r="1301" spans="2:9" ht="15" hidden="1" customHeight="1" x14ac:dyDescent="0.25">
      <c r="B1301" s="7"/>
      <c r="C1301" s="140">
        <v>1273</v>
      </c>
      <c r="D1301" s="142"/>
      <c r="E1301" s="142"/>
      <c r="F1301" s="142"/>
      <c r="G1301" s="142"/>
      <c r="H1301" s="141"/>
      <c r="I1301" s="8"/>
    </row>
    <row r="1302" spans="2:9" ht="15" hidden="1" customHeight="1" x14ac:dyDescent="0.25">
      <c r="B1302" s="7"/>
      <c r="C1302" s="140">
        <v>1274</v>
      </c>
      <c r="D1302" s="142"/>
      <c r="E1302" s="142"/>
      <c r="F1302" s="142"/>
      <c r="G1302" s="142"/>
      <c r="H1302" s="141"/>
      <c r="I1302" s="8"/>
    </row>
    <row r="1303" spans="2:9" ht="15" hidden="1" customHeight="1" x14ac:dyDescent="0.25">
      <c r="B1303" s="7"/>
      <c r="C1303" s="140">
        <v>1275</v>
      </c>
      <c r="D1303" s="142"/>
      <c r="E1303" s="142"/>
      <c r="F1303" s="142"/>
      <c r="G1303" s="142"/>
      <c r="H1303" s="141"/>
      <c r="I1303" s="8"/>
    </row>
    <row r="1304" spans="2:9" ht="15" hidden="1" customHeight="1" x14ac:dyDescent="0.25">
      <c r="B1304" s="7"/>
      <c r="C1304" s="140">
        <v>1276</v>
      </c>
      <c r="D1304" s="142"/>
      <c r="E1304" s="142"/>
      <c r="F1304" s="142"/>
      <c r="G1304" s="142"/>
      <c r="H1304" s="141"/>
      <c r="I1304" s="8"/>
    </row>
    <row r="1305" spans="2:9" ht="15" hidden="1" customHeight="1" x14ac:dyDescent="0.25">
      <c r="B1305" s="7"/>
      <c r="C1305" s="140">
        <v>1277</v>
      </c>
      <c r="D1305" s="142"/>
      <c r="E1305" s="142"/>
      <c r="F1305" s="142"/>
      <c r="G1305" s="142"/>
      <c r="H1305" s="141"/>
      <c r="I1305" s="8"/>
    </row>
    <row r="1306" spans="2:9" ht="15" hidden="1" customHeight="1" x14ac:dyDescent="0.25">
      <c r="B1306" s="7"/>
      <c r="C1306" s="140">
        <v>1278</v>
      </c>
      <c r="D1306" s="142"/>
      <c r="E1306" s="142"/>
      <c r="F1306" s="142"/>
      <c r="G1306" s="142"/>
      <c r="H1306" s="141"/>
      <c r="I1306" s="8"/>
    </row>
    <row r="1307" spans="2:9" ht="15" hidden="1" customHeight="1" x14ac:dyDescent="0.25">
      <c r="B1307" s="7"/>
      <c r="C1307" s="140">
        <v>1279</v>
      </c>
      <c r="D1307" s="142"/>
      <c r="E1307" s="142"/>
      <c r="F1307" s="142"/>
      <c r="G1307" s="142"/>
      <c r="H1307" s="141"/>
      <c r="I1307" s="8"/>
    </row>
    <row r="1308" spans="2:9" ht="15" hidden="1" customHeight="1" x14ac:dyDescent="0.25">
      <c r="B1308" s="7"/>
      <c r="C1308" s="140">
        <v>1280</v>
      </c>
      <c r="D1308" s="142"/>
      <c r="E1308" s="142"/>
      <c r="F1308" s="142"/>
      <c r="G1308" s="142"/>
      <c r="H1308" s="141"/>
      <c r="I1308" s="8"/>
    </row>
    <row r="1309" spans="2:9" ht="15" hidden="1" customHeight="1" x14ac:dyDescent="0.25">
      <c r="B1309" s="7"/>
      <c r="C1309" s="140">
        <v>1281</v>
      </c>
      <c r="D1309" s="142"/>
      <c r="E1309" s="142"/>
      <c r="F1309" s="142"/>
      <c r="G1309" s="142"/>
      <c r="H1309" s="141"/>
      <c r="I1309" s="8"/>
    </row>
    <row r="1310" spans="2:9" ht="15" hidden="1" customHeight="1" x14ac:dyDescent="0.25">
      <c r="B1310" s="7"/>
      <c r="C1310" s="140">
        <v>1282</v>
      </c>
      <c r="D1310" s="142"/>
      <c r="E1310" s="142"/>
      <c r="F1310" s="142"/>
      <c r="G1310" s="142"/>
      <c r="H1310" s="141"/>
      <c r="I1310" s="8"/>
    </row>
    <row r="1311" spans="2:9" ht="15" hidden="1" customHeight="1" x14ac:dyDescent="0.25">
      <c r="B1311" s="7"/>
      <c r="C1311" s="140">
        <v>1283</v>
      </c>
      <c r="D1311" s="142"/>
      <c r="E1311" s="142"/>
      <c r="F1311" s="142"/>
      <c r="G1311" s="142"/>
      <c r="H1311" s="141"/>
      <c r="I1311" s="8"/>
    </row>
    <row r="1312" spans="2:9" ht="15" hidden="1" customHeight="1" x14ac:dyDescent="0.25">
      <c r="B1312" s="7"/>
      <c r="C1312" s="140">
        <v>1284</v>
      </c>
      <c r="D1312" s="142"/>
      <c r="E1312" s="142"/>
      <c r="F1312" s="142"/>
      <c r="G1312" s="142"/>
      <c r="H1312" s="141"/>
      <c r="I1312" s="8"/>
    </row>
    <row r="1313" spans="2:9" ht="15" hidden="1" customHeight="1" x14ac:dyDescent="0.25">
      <c r="B1313" s="7"/>
      <c r="C1313" s="140">
        <v>1285</v>
      </c>
      <c r="D1313" s="142"/>
      <c r="E1313" s="142"/>
      <c r="F1313" s="142"/>
      <c r="G1313" s="142"/>
      <c r="H1313" s="141"/>
      <c r="I1313" s="8"/>
    </row>
    <row r="1314" spans="2:9" ht="15" hidden="1" customHeight="1" x14ac:dyDescent="0.25">
      <c r="B1314" s="7"/>
      <c r="C1314" s="140">
        <v>1286</v>
      </c>
      <c r="D1314" s="142"/>
      <c r="E1314" s="142"/>
      <c r="F1314" s="142"/>
      <c r="G1314" s="142"/>
      <c r="H1314" s="141"/>
      <c r="I1314" s="8"/>
    </row>
    <row r="1315" spans="2:9" ht="15" hidden="1" customHeight="1" x14ac:dyDescent="0.25">
      <c r="B1315" s="7"/>
      <c r="C1315" s="140">
        <v>1287</v>
      </c>
      <c r="D1315" s="142"/>
      <c r="E1315" s="142"/>
      <c r="F1315" s="142"/>
      <c r="G1315" s="142"/>
      <c r="H1315" s="141"/>
      <c r="I1315" s="8"/>
    </row>
    <row r="1316" spans="2:9" ht="15" hidden="1" customHeight="1" x14ac:dyDescent="0.25">
      <c r="B1316" s="7"/>
      <c r="C1316" s="140">
        <v>1288</v>
      </c>
      <c r="D1316" s="142"/>
      <c r="E1316" s="142"/>
      <c r="F1316" s="142"/>
      <c r="G1316" s="142"/>
      <c r="H1316" s="141"/>
      <c r="I1316" s="8"/>
    </row>
    <row r="1317" spans="2:9" ht="15" hidden="1" customHeight="1" x14ac:dyDescent="0.25">
      <c r="B1317" s="7"/>
      <c r="C1317" s="140">
        <v>1289</v>
      </c>
      <c r="D1317" s="142"/>
      <c r="E1317" s="142"/>
      <c r="F1317" s="142"/>
      <c r="G1317" s="142"/>
      <c r="H1317" s="141"/>
      <c r="I1317" s="8"/>
    </row>
    <row r="1318" spans="2:9" ht="15" hidden="1" customHeight="1" x14ac:dyDescent="0.25">
      <c r="B1318" s="7"/>
      <c r="C1318" s="140">
        <v>1290</v>
      </c>
      <c r="D1318" s="142"/>
      <c r="E1318" s="142"/>
      <c r="F1318" s="142"/>
      <c r="G1318" s="142"/>
      <c r="H1318" s="141"/>
      <c r="I1318" s="8"/>
    </row>
    <row r="1319" spans="2:9" ht="15" hidden="1" customHeight="1" x14ac:dyDescent="0.25">
      <c r="B1319" s="7"/>
      <c r="C1319" s="140">
        <v>1291</v>
      </c>
      <c r="D1319" s="142"/>
      <c r="E1319" s="142"/>
      <c r="F1319" s="142"/>
      <c r="G1319" s="142"/>
      <c r="H1319" s="141"/>
      <c r="I1319" s="8"/>
    </row>
    <row r="1320" spans="2:9" ht="15" hidden="1" customHeight="1" x14ac:dyDescent="0.25">
      <c r="B1320" s="7"/>
      <c r="C1320" s="140">
        <v>1292</v>
      </c>
      <c r="D1320" s="142"/>
      <c r="E1320" s="142"/>
      <c r="F1320" s="142"/>
      <c r="G1320" s="142"/>
      <c r="H1320" s="141"/>
      <c r="I1320" s="8"/>
    </row>
    <row r="1321" spans="2:9" ht="15" hidden="1" customHeight="1" x14ac:dyDescent="0.25">
      <c r="B1321" s="7"/>
      <c r="C1321" s="140">
        <v>1293</v>
      </c>
      <c r="D1321" s="142"/>
      <c r="E1321" s="142"/>
      <c r="F1321" s="142"/>
      <c r="G1321" s="142"/>
      <c r="H1321" s="141"/>
      <c r="I1321" s="8"/>
    </row>
    <row r="1322" spans="2:9" ht="15" hidden="1" customHeight="1" x14ac:dyDescent="0.25">
      <c r="B1322" s="7"/>
      <c r="C1322" s="140">
        <v>1294</v>
      </c>
      <c r="D1322" s="142"/>
      <c r="E1322" s="142"/>
      <c r="F1322" s="142"/>
      <c r="G1322" s="142"/>
      <c r="H1322" s="141"/>
      <c r="I1322" s="8"/>
    </row>
    <row r="1323" spans="2:9" ht="15" hidden="1" customHeight="1" x14ac:dyDescent="0.25">
      <c r="B1323" s="7"/>
      <c r="C1323" s="140">
        <v>1295</v>
      </c>
      <c r="D1323" s="142"/>
      <c r="E1323" s="142"/>
      <c r="F1323" s="142"/>
      <c r="G1323" s="142"/>
      <c r="H1323" s="141"/>
      <c r="I1323" s="8"/>
    </row>
    <row r="1324" spans="2:9" ht="15" hidden="1" customHeight="1" x14ac:dyDescent="0.25">
      <c r="B1324" s="7"/>
      <c r="C1324" s="140">
        <v>1296</v>
      </c>
      <c r="D1324" s="142"/>
      <c r="E1324" s="142"/>
      <c r="F1324" s="142"/>
      <c r="G1324" s="142"/>
      <c r="H1324" s="141"/>
      <c r="I1324" s="8"/>
    </row>
    <row r="1325" spans="2:9" ht="15" hidden="1" customHeight="1" x14ac:dyDescent="0.25">
      <c r="B1325" s="7"/>
      <c r="C1325" s="140">
        <v>1297</v>
      </c>
      <c r="D1325" s="142"/>
      <c r="E1325" s="142"/>
      <c r="F1325" s="142"/>
      <c r="G1325" s="142"/>
      <c r="H1325" s="141"/>
      <c r="I1325" s="8"/>
    </row>
    <row r="1326" spans="2:9" ht="15" hidden="1" customHeight="1" x14ac:dyDescent="0.25">
      <c r="B1326" s="7"/>
      <c r="C1326" s="140">
        <v>1298</v>
      </c>
      <c r="D1326" s="142"/>
      <c r="E1326" s="142"/>
      <c r="F1326" s="142"/>
      <c r="G1326" s="142"/>
      <c r="H1326" s="141"/>
      <c r="I1326" s="8"/>
    </row>
    <row r="1327" spans="2:9" ht="15" hidden="1" customHeight="1" x14ac:dyDescent="0.25">
      <c r="B1327" s="7"/>
      <c r="C1327" s="140">
        <v>1299</v>
      </c>
      <c r="D1327" s="142"/>
      <c r="E1327" s="142"/>
      <c r="F1327" s="142"/>
      <c r="G1327" s="142"/>
      <c r="H1327" s="141"/>
      <c r="I1327" s="8"/>
    </row>
    <row r="1328" spans="2:9" ht="15" hidden="1" customHeight="1" x14ac:dyDescent="0.25">
      <c r="B1328" s="7"/>
      <c r="C1328" s="140">
        <v>1300</v>
      </c>
      <c r="D1328" s="142"/>
      <c r="E1328" s="142"/>
      <c r="F1328" s="142"/>
      <c r="G1328" s="142"/>
      <c r="H1328" s="141"/>
      <c r="I1328" s="8"/>
    </row>
    <row r="1329" spans="2:9" ht="15" hidden="1" customHeight="1" x14ac:dyDescent="0.25">
      <c r="B1329" s="7"/>
      <c r="C1329" s="140">
        <v>1301</v>
      </c>
      <c r="D1329" s="142"/>
      <c r="E1329" s="142"/>
      <c r="F1329" s="142"/>
      <c r="G1329" s="142"/>
      <c r="H1329" s="141"/>
      <c r="I1329" s="8"/>
    </row>
    <row r="1330" spans="2:9" ht="15" hidden="1" customHeight="1" x14ac:dyDescent="0.25">
      <c r="B1330" s="7"/>
      <c r="C1330" s="140">
        <v>1302</v>
      </c>
      <c r="D1330" s="142"/>
      <c r="E1330" s="142"/>
      <c r="F1330" s="142"/>
      <c r="G1330" s="142"/>
      <c r="H1330" s="141"/>
      <c r="I1330" s="8"/>
    </row>
    <row r="1331" spans="2:9" ht="15" hidden="1" customHeight="1" x14ac:dyDescent="0.25">
      <c r="B1331" s="7"/>
      <c r="C1331" s="140">
        <v>1303</v>
      </c>
      <c r="D1331" s="142"/>
      <c r="E1331" s="142"/>
      <c r="F1331" s="142"/>
      <c r="G1331" s="142"/>
      <c r="H1331" s="141"/>
      <c r="I1331" s="8"/>
    </row>
    <row r="1332" spans="2:9" ht="15" hidden="1" customHeight="1" x14ac:dyDescent="0.25">
      <c r="B1332" s="7"/>
      <c r="C1332" s="140">
        <v>1304</v>
      </c>
      <c r="D1332" s="142"/>
      <c r="E1332" s="142"/>
      <c r="F1332" s="142"/>
      <c r="G1332" s="142"/>
      <c r="H1332" s="141"/>
      <c r="I1332" s="8"/>
    </row>
    <row r="1333" spans="2:9" ht="15" hidden="1" customHeight="1" x14ac:dyDescent="0.25">
      <c r="B1333" s="7"/>
      <c r="C1333" s="140">
        <v>1305</v>
      </c>
      <c r="D1333" s="142"/>
      <c r="E1333" s="142"/>
      <c r="F1333" s="142"/>
      <c r="G1333" s="142"/>
      <c r="H1333" s="141"/>
      <c r="I1333" s="8"/>
    </row>
    <row r="1334" spans="2:9" ht="15" hidden="1" customHeight="1" x14ac:dyDescent="0.25">
      <c r="B1334" s="7"/>
      <c r="C1334" s="140">
        <v>1306</v>
      </c>
      <c r="D1334" s="142"/>
      <c r="E1334" s="142"/>
      <c r="F1334" s="142"/>
      <c r="G1334" s="142"/>
      <c r="H1334" s="141"/>
      <c r="I1334" s="8"/>
    </row>
    <row r="1335" spans="2:9" ht="15" hidden="1" customHeight="1" x14ac:dyDescent="0.25">
      <c r="B1335" s="7"/>
      <c r="C1335" s="140">
        <v>1307</v>
      </c>
      <c r="D1335" s="142"/>
      <c r="E1335" s="142"/>
      <c r="F1335" s="142"/>
      <c r="G1335" s="142"/>
      <c r="H1335" s="141"/>
      <c r="I1335" s="8"/>
    </row>
    <row r="1336" spans="2:9" ht="15" hidden="1" customHeight="1" x14ac:dyDescent="0.25">
      <c r="B1336" s="7"/>
      <c r="C1336" s="140">
        <v>1308</v>
      </c>
      <c r="D1336" s="142"/>
      <c r="E1336" s="142"/>
      <c r="F1336" s="142"/>
      <c r="G1336" s="142"/>
      <c r="H1336" s="141"/>
      <c r="I1336" s="8"/>
    </row>
    <row r="1337" spans="2:9" ht="15" hidden="1" customHeight="1" x14ac:dyDescent="0.25">
      <c r="B1337" s="7"/>
      <c r="C1337" s="140">
        <v>1309</v>
      </c>
      <c r="D1337" s="142"/>
      <c r="E1337" s="142"/>
      <c r="F1337" s="142"/>
      <c r="G1337" s="142"/>
      <c r="H1337" s="141"/>
      <c r="I1337" s="8"/>
    </row>
    <row r="1338" spans="2:9" ht="15" hidden="1" customHeight="1" x14ac:dyDescent="0.25">
      <c r="B1338" s="7"/>
      <c r="C1338" s="140">
        <v>1310</v>
      </c>
      <c r="D1338" s="142"/>
      <c r="E1338" s="142"/>
      <c r="F1338" s="142"/>
      <c r="G1338" s="142"/>
      <c r="H1338" s="141"/>
      <c r="I1338" s="8"/>
    </row>
    <row r="1339" spans="2:9" ht="15" hidden="1" customHeight="1" x14ac:dyDescent="0.25">
      <c r="B1339" s="7"/>
      <c r="C1339" s="140">
        <v>1311</v>
      </c>
      <c r="D1339" s="142"/>
      <c r="E1339" s="142"/>
      <c r="F1339" s="142"/>
      <c r="G1339" s="142"/>
      <c r="H1339" s="141"/>
      <c r="I1339" s="8"/>
    </row>
    <row r="1340" spans="2:9" ht="15" hidden="1" customHeight="1" x14ac:dyDescent="0.25">
      <c r="B1340" s="7"/>
      <c r="C1340" s="140">
        <v>1312</v>
      </c>
      <c r="D1340" s="142"/>
      <c r="E1340" s="142"/>
      <c r="F1340" s="142"/>
      <c r="G1340" s="142"/>
      <c r="H1340" s="141"/>
      <c r="I1340" s="8"/>
    </row>
    <row r="1341" spans="2:9" ht="15" hidden="1" customHeight="1" x14ac:dyDescent="0.25">
      <c r="B1341" s="7"/>
      <c r="C1341" s="140">
        <v>1313</v>
      </c>
      <c r="D1341" s="142"/>
      <c r="E1341" s="142"/>
      <c r="F1341" s="142"/>
      <c r="G1341" s="142"/>
      <c r="H1341" s="141"/>
      <c r="I1341" s="8"/>
    </row>
    <row r="1342" spans="2:9" ht="15" hidden="1" customHeight="1" x14ac:dyDescent="0.25">
      <c r="B1342" s="7"/>
      <c r="C1342" s="140">
        <v>1314</v>
      </c>
      <c r="D1342" s="142"/>
      <c r="E1342" s="142"/>
      <c r="F1342" s="142"/>
      <c r="G1342" s="142"/>
      <c r="H1342" s="141"/>
      <c r="I1342" s="8"/>
    </row>
    <row r="1343" spans="2:9" ht="15" hidden="1" customHeight="1" x14ac:dyDescent="0.25">
      <c r="B1343" s="7"/>
      <c r="C1343" s="140">
        <v>1315</v>
      </c>
      <c r="D1343" s="142"/>
      <c r="E1343" s="142"/>
      <c r="F1343" s="142"/>
      <c r="G1343" s="142"/>
      <c r="H1343" s="141"/>
      <c r="I1343" s="8"/>
    </row>
    <row r="1344" spans="2:9" ht="15" hidden="1" customHeight="1" x14ac:dyDescent="0.25">
      <c r="B1344" s="7"/>
      <c r="C1344" s="140">
        <v>1316</v>
      </c>
      <c r="D1344" s="142"/>
      <c r="E1344" s="142"/>
      <c r="F1344" s="142"/>
      <c r="G1344" s="142"/>
      <c r="H1344" s="141"/>
      <c r="I1344" s="8"/>
    </row>
    <row r="1345" spans="2:9" ht="15" hidden="1" customHeight="1" x14ac:dyDescent="0.25">
      <c r="B1345" s="7"/>
      <c r="C1345" s="140">
        <v>1317</v>
      </c>
      <c r="D1345" s="142"/>
      <c r="E1345" s="142"/>
      <c r="F1345" s="142"/>
      <c r="G1345" s="142"/>
      <c r="H1345" s="141"/>
      <c r="I1345" s="8"/>
    </row>
    <row r="1346" spans="2:9" ht="15" hidden="1" customHeight="1" x14ac:dyDescent="0.25">
      <c r="B1346" s="7"/>
      <c r="C1346" s="140">
        <v>1318</v>
      </c>
      <c r="D1346" s="142"/>
      <c r="E1346" s="142"/>
      <c r="F1346" s="142"/>
      <c r="G1346" s="142"/>
      <c r="H1346" s="141"/>
      <c r="I1346" s="8"/>
    </row>
    <row r="1347" spans="2:9" ht="15" hidden="1" customHeight="1" x14ac:dyDescent="0.25">
      <c r="B1347" s="7"/>
      <c r="C1347" s="140">
        <v>1319</v>
      </c>
      <c r="D1347" s="142"/>
      <c r="E1347" s="142"/>
      <c r="F1347" s="142"/>
      <c r="G1347" s="142"/>
      <c r="H1347" s="141"/>
      <c r="I1347" s="8"/>
    </row>
    <row r="1348" spans="2:9" ht="15" hidden="1" customHeight="1" x14ac:dyDescent="0.25">
      <c r="B1348" s="7"/>
      <c r="C1348" s="140">
        <v>1320</v>
      </c>
      <c r="D1348" s="142"/>
      <c r="E1348" s="142"/>
      <c r="F1348" s="142"/>
      <c r="G1348" s="142"/>
      <c r="H1348" s="141"/>
      <c r="I1348" s="8"/>
    </row>
    <row r="1349" spans="2:9" ht="15" hidden="1" customHeight="1" x14ac:dyDescent="0.25">
      <c r="B1349" s="7"/>
      <c r="C1349" s="140">
        <v>1321</v>
      </c>
      <c r="D1349" s="142"/>
      <c r="E1349" s="142"/>
      <c r="F1349" s="142"/>
      <c r="G1349" s="142"/>
      <c r="H1349" s="141"/>
      <c r="I1349" s="8"/>
    </row>
    <row r="1350" spans="2:9" ht="15" hidden="1" customHeight="1" x14ac:dyDescent="0.25">
      <c r="B1350" s="7"/>
      <c r="C1350" s="140">
        <v>1322</v>
      </c>
      <c r="D1350" s="142"/>
      <c r="E1350" s="142"/>
      <c r="F1350" s="142"/>
      <c r="G1350" s="142"/>
      <c r="H1350" s="141"/>
      <c r="I1350" s="8"/>
    </row>
    <row r="1351" spans="2:9" ht="15" hidden="1" customHeight="1" x14ac:dyDescent="0.25">
      <c r="B1351" s="7"/>
      <c r="C1351" s="140">
        <v>1323</v>
      </c>
      <c r="D1351" s="142"/>
      <c r="E1351" s="142"/>
      <c r="F1351" s="142"/>
      <c r="G1351" s="142"/>
      <c r="H1351" s="141"/>
      <c r="I1351" s="8"/>
    </row>
    <row r="1352" spans="2:9" ht="15" hidden="1" customHeight="1" x14ac:dyDescent="0.25">
      <c r="B1352" s="7"/>
      <c r="C1352" s="140">
        <v>1324</v>
      </c>
      <c r="D1352" s="142"/>
      <c r="E1352" s="142"/>
      <c r="F1352" s="142"/>
      <c r="G1352" s="142"/>
      <c r="H1352" s="141"/>
      <c r="I1352" s="8"/>
    </row>
    <row r="1353" spans="2:9" ht="15" hidden="1" customHeight="1" x14ac:dyDescent="0.25">
      <c r="B1353" s="7"/>
      <c r="C1353" s="140">
        <v>1325</v>
      </c>
      <c r="D1353" s="142"/>
      <c r="E1353" s="142"/>
      <c r="F1353" s="142"/>
      <c r="G1353" s="142"/>
      <c r="H1353" s="141"/>
      <c r="I1353" s="8"/>
    </row>
    <row r="1354" spans="2:9" ht="15" hidden="1" customHeight="1" x14ac:dyDescent="0.25">
      <c r="B1354" s="7"/>
      <c r="C1354" s="140">
        <v>1326</v>
      </c>
      <c r="D1354" s="142"/>
      <c r="E1354" s="142"/>
      <c r="F1354" s="142"/>
      <c r="G1354" s="142"/>
      <c r="H1354" s="141"/>
      <c r="I1354" s="8"/>
    </row>
    <row r="1355" spans="2:9" ht="15" hidden="1" customHeight="1" x14ac:dyDescent="0.25">
      <c r="B1355" s="7"/>
      <c r="C1355" s="140">
        <v>1327</v>
      </c>
      <c r="D1355" s="142"/>
      <c r="E1355" s="142"/>
      <c r="F1355" s="142"/>
      <c r="G1355" s="142"/>
      <c r="H1355" s="141"/>
      <c r="I1355" s="8"/>
    </row>
    <row r="1356" spans="2:9" ht="15" hidden="1" customHeight="1" x14ac:dyDescent="0.25">
      <c r="B1356" s="7"/>
      <c r="C1356" s="140">
        <v>1328</v>
      </c>
      <c r="D1356" s="142"/>
      <c r="E1356" s="142"/>
      <c r="F1356" s="142"/>
      <c r="G1356" s="142"/>
      <c r="H1356" s="141"/>
      <c r="I1356" s="8"/>
    </row>
    <row r="1357" spans="2:9" ht="15" hidden="1" customHeight="1" x14ac:dyDescent="0.25">
      <c r="B1357" s="7"/>
      <c r="C1357" s="140">
        <v>1329</v>
      </c>
      <c r="D1357" s="142"/>
      <c r="E1357" s="142"/>
      <c r="F1357" s="142"/>
      <c r="G1357" s="142"/>
      <c r="H1357" s="141"/>
      <c r="I1357" s="8"/>
    </row>
    <row r="1358" spans="2:9" ht="15" hidden="1" customHeight="1" x14ac:dyDescent="0.25">
      <c r="B1358" s="7"/>
      <c r="C1358" s="140">
        <v>1330</v>
      </c>
      <c r="D1358" s="142"/>
      <c r="E1358" s="142"/>
      <c r="F1358" s="142"/>
      <c r="G1358" s="142"/>
      <c r="H1358" s="141"/>
      <c r="I1358" s="8"/>
    </row>
    <row r="1359" spans="2:9" ht="15" hidden="1" customHeight="1" x14ac:dyDescent="0.25">
      <c r="B1359" s="7"/>
      <c r="C1359" s="140">
        <v>1331</v>
      </c>
      <c r="D1359" s="142"/>
      <c r="E1359" s="142"/>
      <c r="F1359" s="142"/>
      <c r="G1359" s="142"/>
      <c r="H1359" s="141"/>
      <c r="I1359" s="8"/>
    </row>
    <row r="1360" spans="2:9" ht="15" hidden="1" customHeight="1" x14ac:dyDescent="0.25">
      <c r="B1360" s="7"/>
      <c r="C1360" s="140">
        <v>1332</v>
      </c>
      <c r="D1360" s="142"/>
      <c r="E1360" s="142"/>
      <c r="F1360" s="142"/>
      <c r="G1360" s="142"/>
      <c r="H1360" s="141"/>
      <c r="I1360" s="8"/>
    </row>
    <row r="1361" spans="2:9" ht="15" hidden="1" customHeight="1" x14ac:dyDescent="0.25">
      <c r="B1361" s="7"/>
      <c r="C1361" s="140">
        <v>1333</v>
      </c>
      <c r="D1361" s="142"/>
      <c r="E1361" s="142"/>
      <c r="F1361" s="142"/>
      <c r="G1361" s="142"/>
      <c r="H1361" s="141"/>
      <c r="I1361" s="8"/>
    </row>
    <row r="1362" spans="2:9" ht="15" hidden="1" customHeight="1" x14ac:dyDescent="0.25">
      <c r="B1362" s="7"/>
      <c r="C1362" s="140">
        <v>1334</v>
      </c>
      <c r="D1362" s="142"/>
      <c r="E1362" s="142"/>
      <c r="F1362" s="142"/>
      <c r="G1362" s="142"/>
      <c r="H1362" s="141"/>
      <c r="I1362" s="8"/>
    </row>
    <row r="1363" spans="2:9" ht="15" hidden="1" customHeight="1" x14ac:dyDescent="0.25">
      <c r="B1363" s="7"/>
      <c r="C1363" s="140">
        <v>1335</v>
      </c>
      <c r="D1363" s="142"/>
      <c r="E1363" s="142"/>
      <c r="F1363" s="142"/>
      <c r="G1363" s="142"/>
      <c r="H1363" s="141"/>
      <c r="I1363" s="8"/>
    </row>
    <row r="1364" spans="2:9" ht="15" hidden="1" customHeight="1" x14ac:dyDescent="0.25">
      <c r="B1364" s="7"/>
      <c r="C1364" s="140">
        <v>1336</v>
      </c>
      <c r="D1364" s="142"/>
      <c r="E1364" s="142"/>
      <c r="F1364" s="142"/>
      <c r="G1364" s="142"/>
      <c r="H1364" s="141"/>
      <c r="I1364" s="8"/>
    </row>
    <row r="1365" spans="2:9" ht="15" hidden="1" customHeight="1" x14ac:dyDescent="0.25">
      <c r="B1365" s="7"/>
      <c r="C1365" s="140">
        <v>1337</v>
      </c>
      <c r="D1365" s="142"/>
      <c r="E1365" s="142"/>
      <c r="F1365" s="142"/>
      <c r="G1365" s="142"/>
      <c r="H1365" s="141"/>
      <c r="I1365" s="8"/>
    </row>
    <row r="1366" spans="2:9" ht="15" hidden="1" customHeight="1" x14ac:dyDescent="0.25">
      <c r="B1366" s="7"/>
      <c r="C1366" s="140">
        <v>1338</v>
      </c>
      <c r="D1366" s="142"/>
      <c r="E1366" s="142"/>
      <c r="F1366" s="142"/>
      <c r="G1366" s="142"/>
      <c r="H1366" s="141"/>
      <c r="I1366" s="8"/>
    </row>
    <row r="1367" spans="2:9" ht="15" hidden="1" customHeight="1" x14ac:dyDescent="0.25">
      <c r="B1367" s="7"/>
      <c r="C1367" s="140">
        <v>1339</v>
      </c>
      <c r="D1367" s="142"/>
      <c r="E1367" s="142"/>
      <c r="F1367" s="142"/>
      <c r="G1367" s="142"/>
      <c r="H1367" s="141"/>
      <c r="I1367" s="8"/>
    </row>
    <row r="1368" spans="2:9" ht="15" hidden="1" customHeight="1" x14ac:dyDescent="0.25">
      <c r="B1368" s="7"/>
      <c r="C1368" s="140">
        <v>1340</v>
      </c>
      <c r="D1368" s="142"/>
      <c r="E1368" s="142"/>
      <c r="F1368" s="142"/>
      <c r="G1368" s="142"/>
      <c r="H1368" s="141"/>
      <c r="I1368" s="8"/>
    </row>
    <row r="1369" spans="2:9" ht="15" hidden="1" customHeight="1" x14ac:dyDescent="0.25">
      <c r="B1369" s="7"/>
      <c r="C1369" s="140">
        <v>1341</v>
      </c>
      <c r="D1369" s="142"/>
      <c r="E1369" s="142"/>
      <c r="F1369" s="142"/>
      <c r="G1369" s="142"/>
      <c r="H1369" s="141"/>
      <c r="I1369" s="8"/>
    </row>
    <row r="1370" spans="2:9" ht="15" hidden="1" customHeight="1" x14ac:dyDescent="0.25">
      <c r="B1370" s="7"/>
      <c r="C1370" s="140">
        <v>1342</v>
      </c>
      <c r="D1370" s="142"/>
      <c r="E1370" s="142"/>
      <c r="F1370" s="142"/>
      <c r="G1370" s="142"/>
      <c r="H1370" s="141"/>
      <c r="I1370" s="8"/>
    </row>
    <row r="1371" spans="2:9" ht="15" hidden="1" customHeight="1" x14ac:dyDescent="0.25">
      <c r="B1371" s="7"/>
      <c r="C1371" s="140">
        <v>1343</v>
      </c>
      <c r="D1371" s="142"/>
      <c r="E1371" s="142"/>
      <c r="F1371" s="142"/>
      <c r="G1371" s="142"/>
      <c r="H1371" s="141"/>
      <c r="I1371" s="8"/>
    </row>
    <row r="1372" spans="2:9" ht="15" hidden="1" customHeight="1" x14ac:dyDescent="0.25">
      <c r="B1372" s="7"/>
      <c r="C1372" s="140">
        <v>1344</v>
      </c>
      <c r="D1372" s="142"/>
      <c r="E1372" s="142"/>
      <c r="F1372" s="142"/>
      <c r="G1372" s="142"/>
      <c r="H1372" s="141"/>
      <c r="I1372" s="8"/>
    </row>
    <row r="1373" spans="2:9" ht="15" hidden="1" customHeight="1" x14ac:dyDescent="0.25">
      <c r="B1373" s="7"/>
      <c r="C1373" s="140">
        <v>1345</v>
      </c>
      <c r="D1373" s="142"/>
      <c r="E1373" s="142"/>
      <c r="F1373" s="142"/>
      <c r="G1373" s="142"/>
      <c r="H1373" s="141"/>
      <c r="I1373" s="8"/>
    </row>
    <row r="1374" spans="2:9" ht="15" hidden="1" customHeight="1" x14ac:dyDescent="0.25">
      <c r="B1374" s="7"/>
      <c r="C1374" s="140">
        <v>1346</v>
      </c>
      <c r="D1374" s="142"/>
      <c r="E1374" s="142"/>
      <c r="F1374" s="142"/>
      <c r="G1374" s="142"/>
      <c r="H1374" s="141"/>
      <c r="I1374" s="8"/>
    </row>
    <row r="1375" spans="2:9" ht="15" hidden="1" customHeight="1" x14ac:dyDescent="0.25">
      <c r="B1375" s="7"/>
      <c r="C1375" s="140">
        <v>1347</v>
      </c>
      <c r="D1375" s="142"/>
      <c r="E1375" s="142"/>
      <c r="F1375" s="142"/>
      <c r="G1375" s="142"/>
      <c r="H1375" s="141"/>
      <c r="I1375" s="8"/>
    </row>
    <row r="1376" spans="2:9" ht="15" hidden="1" customHeight="1" x14ac:dyDescent="0.25">
      <c r="B1376" s="7"/>
      <c r="C1376" s="140">
        <v>1348</v>
      </c>
      <c r="D1376" s="142"/>
      <c r="E1376" s="142"/>
      <c r="F1376" s="142"/>
      <c r="G1376" s="142"/>
      <c r="H1376" s="141"/>
      <c r="I1376" s="8"/>
    </row>
    <row r="1377" spans="2:9" ht="15" hidden="1" customHeight="1" x14ac:dyDescent="0.25">
      <c r="B1377" s="7"/>
      <c r="C1377" s="140">
        <v>1349</v>
      </c>
      <c r="D1377" s="142"/>
      <c r="E1377" s="142"/>
      <c r="F1377" s="142"/>
      <c r="G1377" s="142"/>
      <c r="H1377" s="141"/>
      <c r="I1377" s="8"/>
    </row>
    <row r="1378" spans="2:9" ht="15" hidden="1" customHeight="1" x14ac:dyDescent="0.25">
      <c r="B1378" s="7"/>
      <c r="C1378" s="140">
        <v>1350</v>
      </c>
      <c r="D1378" s="142"/>
      <c r="E1378" s="142"/>
      <c r="F1378" s="142"/>
      <c r="G1378" s="142"/>
      <c r="H1378" s="141"/>
      <c r="I1378" s="8"/>
    </row>
    <row r="1379" spans="2:9" ht="15" hidden="1" customHeight="1" x14ac:dyDescent="0.25">
      <c r="B1379" s="7"/>
      <c r="C1379" s="140">
        <v>1351</v>
      </c>
      <c r="D1379" s="142"/>
      <c r="E1379" s="142"/>
      <c r="F1379" s="142"/>
      <c r="G1379" s="142"/>
      <c r="H1379" s="141"/>
      <c r="I1379" s="8"/>
    </row>
    <row r="1380" spans="2:9" ht="15" hidden="1" customHeight="1" x14ac:dyDescent="0.25">
      <c r="B1380" s="7"/>
      <c r="C1380" s="140">
        <v>1352</v>
      </c>
      <c r="D1380" s="142"/>
      <c r="E1380" s="142"/>
      <c r="F1380" s="142"/>
      <c r="G1380" s="142"/>
      <c r="H1380" s="141"/>
      <c r="I1380" s="8"/>
    </row>
    <row r="1381" spans="2:9" ht="15" hidden="1" customHeight="1" x14ac:dyDescent="0.25">
      <c r="B1381" s="7"/>
      <c r="C1381" s="140">
        <v>1353</v>
      </c>
      <c r="D1381" s="142"/>
      <c r="E1381" s="142"/>
      <c r="F1381" s="142"/>
      <c r="G1381" s="142"/>
      <c r="H1381" s="141"/>
      <c r="I1381" s="8"/>
    </row>
    <row r="1382" spans="2:9" ht="15" hidden="1" customHeight="1" x14ac:dyDescent="0.25">
      <c r="B1382" s="7"/>
      <c r="C1382" s="140">
        <v>1354</v>
      </c>
      <c r="D1382" s="142"/>
      <c r="E1382" s="142"/>
      <c r="F1382" s="142"/>
      <c r="G1382" s="142"/>
      <c r="H1382" s="141"/>
      <c r="I1382" s="8"/>
    </row>
    <row r="1383" spans="2:9" ht="15" hidden="1" customHeight="1" x14ac:dyDescent="0.25">
      <c r="B1383" s="7"/>
      <c r="C1383" s="140">
        <v>1355</v>
      </c>
      <c r="D1383" s="142"/>
      <c r="E1383" s="142"/>
      <c r="F1383" s="142"/>
      <c r="G1383" s="142"/>
      <c r="H1383" s="141"/>
      <c r="I1383" s="8"/>
    </row>
    <row r="1384" spans="2:9" ht="15" hidden="1" customHeight="1" x14ac:dyDescent="0.25">
      <c r="B1384" s="7"/>
      <c r="C1384" s="140">
        <v>1356</v>
      </c>
      <c r="D1384" s="142"/>
      <c r="E1384" s="142"/>
      <c r="F1384" s="142"/>
      <c r="G1384" s="142"/>
      <c r="H1384" s="141"/>
      <c r="I1384" s="8"/>
    </row>
    <row r="1385" spans="2:9" ht="15" hidden="1" customHeight="1" x14ac:dyDescent="0.25">
      <c r="B1385" s="7"/>
      <c r="C1385" s="140">
        <v>1357</v>
      </c>
      <c r="D1385" s="142"/>
      <c r="E1385" s="142"/>
      <c r="F1385" s="142"/>
      <c r="G1385" s="142"/>
      <c r="H1385" s="141"/>
      <c r="I1385" s="8"/>
    </row>
    <row r="1386" spans="2:9" ht="15" hidden="1" customHeight="1" x14ac:dyDescent="0.25">
      <c r="B1386" s="7"/>
      <c r="C1386" s="140">
        <v>1358</v>
      </c>
      <c r="D1386" s="142"/>
      <c r="E1386" s="142"/>
      <c r="F1386" s="142"/>
      <c r="G1386" s="142"/>
      <c r="H1386" s="141"/>
      <c r="I1386" s="8"/>
    </row>
    <row r="1387" spans="2:9" ht="15" hidden="1" customHeight="1" x14ac:dyDescent="0.25">
      <c r="B1387" s="7"/>
      <c r="C1387" s="140">
        <v>1359</v>
      </c>
      <c r="D1387" s="142"/>
      <c r="E1387" s="142"/>
      <c r="F1387" s="142"/>
      <c r="G1387" s="142"/>
      <c r="H1387" s="141"/>
      <c r="I1387" s="8"/>
    </row>
    <row r="1388" spans="2:9" ht="15" hidden="1" customHeight="1" x14ac:dyDescent="0.25">
      <c r="B1388" s="7"/>
      <c r="C1388" s="140">
        <v>1360</v>
      </c>
      <c r="D1388" s="142"/>
      <c r="E1388" s="142"/>
      <c r="F1388" s="142"/>
      <c r="G1388" s="142"/>
      <c r="H1388" s="141"/>
      <c r="I1388" s="8"/>
    </row>
    <row r="1389" spans="2:9" ht="15" hidden="1" customHeight="1" x14ac:dyDescent="0.25">
      <c r="B1389" s="7"/>
      <c r="C1389" s="140">
        <v>1361</v>
      </c>
      <c r="D1389" s="142"/>
      <c r="E1389" s="142"/>
      <c r="F1389" s="142"/>
      <c r="G1389" s="142"/>
      <c r="H1389" s="141"/>
      <c r="I1389" s="8"/>
    </row>
    <row r="1390" spans="2:9" ht="15" hidden="1" customHeight="1" x14ac:dyDescent="0.25">
      <c r="B1390" s="7"/>
      <c r="C1390" s="140">
        <v>1362</v>
      </c>
      <c r="D1390" s="142"/>
      <c r="E1390" s="142"/>
      <c r="F1390" s="142"/>
      <c r="G1390" s="142"/>
      <c r="H1390" s="141"/>
      <c r="I1390" s="8"/>
    </row>
    <row r="1391" spans="2:9" ht="15" hidden="1" customHeight="1" x14ac:dyDescent="0.25">
      <c r="B1391" s="7"/>
      <c r="C1391" s="140">
        <v>1363</v>
      </c>
      <c r="D1391" s="142"/>
      <c r="E1391" s="142"/>
      <c r="F1391" s="142"/>
      <c r="G1391" s="142"/>
      <c r="H1391" s="141"/>
      <c r="I1391" s="8"/>
    </row>
    <row r="1392" spans="2:9" ht="15" hidden="1" customHeight="1" x14ac:dyDescent="0.25">
      <c r="B1392" s="7"/>
      <c r="C1392" s="140">
        <v>1364</v>
      </c>
      <c r="D1392" s="142"/>
      <c r="E1392" s="142"/>
      <c r="F1392" s="142"/>
      <c r="G1392" s="142"/>
      <c r="H1392" s="141"/>
      <c r="I1392" s="8"/>
    </row>
    <row r="1393" spans="2:9" ht="15" hidden="1" customHeight="1" x14ac:dyDescent="0.25">
      <c r="B1393" s="7"/>
      <c r="C1393" s="140">
        <v>1365</v>
      </c>
      <c r="D1393" s="142"/>
      <c r="E1393" s="142"/>
      <c r="F1393" s="142"/>
      <c r="G1393" s="142"/>
      <c r="H1393" s="141"/>
      <c r="I1393" s="8"/>
    </row>
    <row r="1394" spans="2:9" ht="15" hidden="1" customHeight="1" x14ac:dyDescent="0.25">
      <c r="B1394" s="7"/>
      <c r="C1394" s="140">
        <v>1366</v>
      </c>
      <c r="D1394" s="142"/>
      <c r="E1394" s="142"/>
      <c r="F1394" s="142"/>
      <c r="G1394" s="142"/>
      <c r="H1394" s="141"/>
      <c r="I1394" s="8"/>
    </row>
    <row r="1395" spans="2:9" ht="15" hidden="1" customHeight="1" x14ac:dyDescent="0.25">
      <c r="B1395" s="7"/>
      <c r="C1395" s="140">
        <v>1367</v>
      </c>
      <c r="D1395" s="142"/>
      <c r="E1395" s="142"/>
      <c r="F1395" s="142"/>
      <c r="G1395" s="142"/>
      <c r="H1395" s="141"/>
      <c r="I1395" s="8"/>
    </row>
    <row r="1396" spans="2:9" ht="15" hidden="1" customHeight="1" x14ac:dyDescent="0.25">
      <c r="B1396" s="7"/>
      <c r="C1396" s="140">
        <v>1368</v>
      </c>
      <c r="D1396" s="142"/>
      <c r="E1396" s="142"/>
      <c r="F1396" s="142"/>
      <c r="G1396" s="142"/>
      <c r="H1396" s="141"/>
      <c r="I1396" s="8"/>
    </row>
    <row r="1397" spans="2:9" ht="15" hidden="1" customHeight="1" x14ac:dyDescent="0.25">
      <c r="B1397" s="7"/>
      <c r="C1397" s="140">
        <v>1369</v>
      </c>
      <c r="D1397" s="142"/>
      <c r="E1397" s="142"/>
      <c r="F1397" s="142"/>
      <c r="G1397" s="142"/>
      <c r="H1397" s="141"/>
      <c r="I1397" s="8"/>
    </row>
    <row r="1398" spans="2:9" ht="15" hidden="1" customHeight="1" x14ac:dyDescent="0.25">
      <c r="B1398" s="7"/>
      <c r="C1398" s="140">
        <v>1370</v>
      </c>
      <c r="D1398" s="142"/>
      <c r="E1398" s="142"/>
      <c r="F1398" s="142"/>
      <c r="G1398" s="142"/>
      <c r="H1398" s="141"/>
      <c r="I1398" s="8"/>
    </row>
    <row r="1399" spans="2:9" ht="15" hidden="1" customHeight="1" x14ac:dyDescent="0.25">
      <c r="B1399" s="7"/>
      <c r="C1399" s="140">
        <v>1371</v>
      </c>
      <c r="D1399" s="142"/>
      <c r="E1399" s="142"/>
      <c r="F1399" s="142"/>
      <c r="G1399" s="142"/>
      <c r="H1399" s="141"/>
      <c r="I1399" s="8"/>
    </row>
    <row r="1400" spans="2:9" ht="15" hidden="1" customHeight="1" x14ac:dyDescent="0.25">
      <c r="B1400" s="7"/>
      <c r="C1400" s="140">
        <v>1372</v>
      </c>
      <c r="D1400" s="142"/>
      <c r="E1400" s="142"/>
      <c r="F1400" s="142"/>
      <c r="G1400" s="142"/>
      <c r="H1400" s="141"/>
      <c r="I1400" s="8"/>
    </row>
    <row r="1401" spans="2:9" ht="15" hidden="1" customHeight="1" x14ac:dyDescent="0.25">
      <c r="B1401" s="7"/>
      <c r="C1401" s="140">
        <v>1373</v>
      </c>
      <c r="D1401" s="142"/>
      <c r="E1401" s="142"/>
      <c r="F1401" s="142"/>
      <c r="G1401" s="142"/>
      <c r="H1401" s="141"/>
      <c r="I1401" s="8"/>
    </row>
    <row r="1402" spans="2:9" ht="15" hidden="1" customHeight="1" x14ac:dyDescent="0.25">
      <c r="B1402" s="7"/>
      <c r="C1402" s="140">
        <v>1374</v>
      </c>
      <c r="D1402" s="142"/>
      <c r="E1402" s="142"/>
      <c r="F1402" s="142"/>
      <c r="G1402" s="142"/>
      <c r="H1402" s="141"/>
      <c r="I1402" s="8"/>
    </row>
    <row r="1403" spans="2:9" ht="15" hidden="1" customHeight="1" x14ac:dyDescent="0.25">
      <c r="B1403" s="7"/>
      <c r="C1403" s="140">
        <v>1375</v>
      </c>
      <c r="D1403" s="142"/>
      <c r="E1403" s="142"/>
      <c r="F1403" s="142"/>
      <c r="G1403" s="142"/>
      <c r="H1403" s="141"/>
      <c r="I1403" s="8"/>
    </row>
    <row r="1404" spans="2:9" ht="15" hidden="1" customHeight="1" x14ac:dyDescent="0.25">
      <c r="B1404" s="7"/>
      <c r="C1404" s="140">
        <v>1376</v>
      </c>
      <c r="D1404" s="142"/>
      <c r="E1404" s="142"/>
      <c r="F1404" s="142"/>
      <c r="G1404" s="142"/>
      <c r="H1404" s="141"/>
      <c r="I1404" s="8"/>
    </row>
    <row r="1405" spans="2:9" ht="15" hidden="1" customHeight="1" x14ac:dyDescent="0.25">
      <c r="B1405" s="7"/>
      <c r="C1405" s="140">
        <v>1377</v>
      </c>
      <c r="D1405" s="142"/>
      <c r="E1405" s="142"/>
      <c r="F1405" s="142"/>
      <c r="G1405" s="142"/>
      <c r="H1405" s="141"/>
      <c r="I1405" s="8"/>
    </row>
    <row r="1406" spans="2:9" ht="15" hidden="1" customHeight="1" x14ac:dyDescent="0.25">
      <c r="B1406" s="7"/>
      <c r="C1406" s="140">
        <v>1378</v>
      </c>
      <c r="D1406" s="142"/>
      <c r="E1406" s="142"/>
      <c r="F1406" s="142"/>
      <c r="G1406" s="142"/>
      <c r="H1406" s="141"/>
      <c r="I1406" s="8"/>
    </row>
    <row r="1407" spans="2:9" ht="15" hidden="1" customHeight="1" x14ac:dyDescent="0.25">
      <c r="B1407" s="7"/>
      <c r="C1407" s="140">
        <v>1379</v>
      </c>
      <c r="D1407" s="142"/>
      <c r="E1407" s="142"/>
      <c r="F1407" s="142"/>
      <c r="G1407" s="142"/>
      <c r="H1407" s="141"/>
      <c r="I1407" s="8"/>
    </row>
    <row r="1408" spans="2:9" ht="15" hidden="1" customHeight="1" x14ac:dyDescent="0.25">
      <c r="B1408" s="7"/>
      <c r="C1408" s="140">
        <v>1380</v>
      </c>
      <c r="D1408" s="142"/>
      <c r="E1408" s="142"/>
      <c r="F1408" s="142"/>
      <c r="G1408" s="142"/>
      <c r="H1408" s="141"/>
      <c r="I1408" s="8"/>
    </row>
    <row r="1409" spans="2:9" ht="15" hidden="1" customHeight="1" x14ac:dyDescent="0.25">
      <c r="B1409" s="7"/>
      <c r="C1409" s="140">
        <v>1381</v>
      </c>
      <c r="D1409" s="142"/>
      <c r="E1409" s="142"/>
      <c r="F1409" s="142"/>
      <c r="G1409" s="142"/>
      <c r="H1409" s="141"/>
      <c r="I1409" s="8"/>
    </row>
    <row r="1410" spans="2:9" ht="15" hidden="1" customHeight="1" x14ac:dyDescent="0.25">
      <c r="B1410" s="7"/>
      <c r="C1410" s="140">
        <v>1382</v>
      </c>
      <c r="D1410" s="142"/>
      <c r="E1410" s="142"/>
      <c r="F1410" s="142"/>
      <c r="G1410" s="142"/>
      <c r="H1410" s="141"/>
      <c r="I1410" s="8"/>
    </row>
    <row r="1411" spans="2:9" ht="15" hidden="1" customHeight="1" x14ac:dyDescent="0.25">
      <c r="B1411" s="7"/>
      <c r="C1411" s="140">
        <v>1383</v>
      </c>
      <c r="D1411" s="142"/>
      <c r="E1411" s="142"/>
      <c r="F1411" s="142"/>
      <c r="G1411" s="142"/>
      <c r="H1411" s="141"/>
      <c r="I1411" s="8"/>
    </row>
    <row r="1412" spans="2:9" ht="15" hidden="1" customHeight="1" x14ac:dyDescent="0.25">
      <c r="B1412" s="7"/>
      <c r="C1412" s="140">
        <v>1384</v>
      </c>
      <c r="D1412" s="142"/>
      <c r="E1412" s="142"/>
      <c r="F1412" s="142"/>
      <c r="G1412" s="142"/>
      <c r="H1412" s="141"/>
      <c r="I1412" s="8"/>
    </row>
    <row r="1413" spans="2:9" ht="15" hidden="1" customHeight="1" x14ac:dyDescent="0.25">
      <c r="B1413" s="7"/>
      <c r="C1413" s="140">
        <v>1385</v>
      </c>
      <c r="D1413" s="142"/>
      <c r="E1413" s="142"/>
      <c r="F1413" s="142"/>
      <c r="G1413" s="142"/>
      <c r="H1413" s="141"/>
      <c r="I1413" s="8"/>
    </row>
    <row r="1414" spans="2:9" ht="15" hidden="1" customHeight="1" x14ac:dyDescent="0.25">
      <c r="B1414" s="7"/>
      <c r="C1414" s="140">
        <v>1386</v>
      </c>
      <c r="D1414" s="142"/>
      <c r="E1414" s="142"/>
      <c r="F1414" s="142"/>
      <c r="G1414" s="142"/>
      <c r="H1414" s="141"/>
      <c r="I1414" s="8"/>
    </row>
    <row r="1415" spans="2:9" ht="15" hidden="1" customHeight="1" x14ac:dyDescent="0.25">
      <c r="B1415" s="7"/>
      <c r="C1415" s="140">
        <v>1387</v>
      </c>
      <c r="D1415" s="142"/>
      <c r="E1415" s="142"/>
      <c r="F1415" s="142"/>
      <c r="G1415" s="142"/>
      <c r="H1415" s="141"/>
      <c r="I1415" s="8"/>
    </row>
    <row r="1416" spans="2:9" ht="15" hidden="1" customHeight="1" x14ac:dyDescent="0.25">
      <c r="B1416" s="7"/>
      <c r="C1416" s="140">
        <v>1388</v>
      </c>
      <c r="D1416" s="142"/>
      <c r="E1416" s="142"/>
      <c r="F1416" s="142"/>
      <c r="G1416" s="142"/>
      <c r="H1416" s="141"/>
      <c r="I1416" s="8"/>
    </row>
    <row r="1417" spans="2:9" ht="15" hidden="1" customHeight="1" x14ac:dyDescent="0.25">
      <c r="B1417" s="7"/>
      <c r="C1417" s="140">
        <v>1389</v>
      </c>
      <c r="D1417" s="142"/>
      <c r="E1417" s="142"/>
      <c r="F1417" s="142"/>
      <c r="G1417" s="142"/>
      <c r="H1417" s="141"/>
      <c r="I1417" s="8"/>
    </row>
    <row r="1418" spans="2:9" ht="15" hidden="1" customHeight="1" x14ac:dyDescent="0.25">
      <c r="B1418" s="7"/>
      <c r="C1418" s="140">
        <v>1390</v>
      </c>
      <c r="D1418" s="142"/>
      <c r="E1418" s="142"/>
      <c r="F1418" s="142"/>
      <c r="G1418" s="142"/>
      <c r="H1418" s="141"/>
      <c r="I1418" s="8"/>
    </row>
    <row r="1419" spans="2:9" ht="15" hidden="1" customHeight="1" x14ac:dyDescent="0.25">
      <c r="B1419" s="7"/>
      <c r="C1419" s="140">
        <v>1391</v>
      </c>
      <c r="D1419" s="142"/>
      <c r="E1419" s="142"/>
      <c r="F1419" s="142"/>
      <c r="G1419" s="142"/>
      <c r="H1419" s="141"/>
      <c r="I1419" s="8"/>
    </row>
    <row r="1420" spans="2:9" ht="15" hidden="1" customHeight="1" x14ac:dyDescent="0.25">
      <c r="B1420" s="7"/>
      <c r="C1420" s="140">
        <v>1392</v>
      </c>
      <c r="D1420" s="142"/>
      <c r="E1420" s="142"/>
      <c r="F1420" s="142"/>
      <c r="G1420" s="142"/>
      <c r="H1420" s="141"/>
      <c r="I1420" s="8"/>
    </row>
    <row r="1421" spans="2:9" ht="15" hidden="1" customHeight="1" x14ac:dyDescent="0.25">
      <c r="B1421" s="7"/>
      <c r="C1421" s="140">
        <v>1393</v>
      </c>
      <c r="D1421" s="142"/>
      <c r="E1421" s="142"/>
      <c r="F1421" s="142"/>
      <c r="G1421" s="142"/>
      <c r="H1421" s="141"/>
      <c r="I1421" s="8"/>
    </row>
    <row r="1422" spans="2:9" ht="15" hidden="1" customHeight="1" x14ac:dyDescent="0.25">
      <c r="B1422" s="7"/>
      <c r="C1422" s="140">
        <v>1394</v>
      </c>
      <c r="D1422" s="142"/>
      <c r="E1422" s="142"/>
      <c r="F1422" s="142"/>
      <c r="G1422" s="142"/>
      <c r="H1422" s="141"/>
      <c r="I1422" s="8"/>
    </row>
    <row r="1423" spans="2:9" ht="15" hidden="1" customHeight="1" x14ac:dyDescent="0.25">
      <c r="B1423" s="7"/>
      <c r="C1423" s="140">
        <v>1395</v>
      </c>
      <c r="D1423" s="142"/>
      <c r="E1423" s="142"/>
      <c r="F1423" s="142"/>
      <c r="G1423" s="142"/>
      <c r="H1423" s="141"/>
      <c r="I1423" s="8"/>
    </row>
    <row r="1424" spans="2:9" ht="15" hidden="1" customHeight="1" x14ac:dyDescent="0.25">
      <c r="B1424" s="7"/>
      <c r="C1424" s="140">
        <v>1396</v>
      </c>
      <c r="D1424" s="142"/>
      <c r="E1424" s="142"/>
      <c r="F1424" s="142"/>
      <c r="G1424" s="142"/>
      <c r="H1424" s="141"/>
      <c r="I1424" s="8"/>
    </row>
    <row r="1425" spans="2:9" ht="15" hidden="1" customHeight="1" x14ac:dyDescent="0.25">
      <c r="B1425" s="7"/>
      <c r="C1425" s="140">
        <v>1397</v>
      </c>
      <c r="D1425" s="142"/>
      <c r="E1425" s="142"/>
      <c r="F1425" s="142"/>
      <c r="G1425" s="142"/>
      <c r="H1425" s="141"/>
      <c r="I1425" s="8"/>
    </row>
    <row r="1426" spans="2:9" ht="15" hidden="1" customHeight="1" x14ac:dyDescent="0.25">
      <c r="B1426" s="7"/>
      <c r="C1426" s="140">
        <v>1398</v>
      </c>
      <c r="D1426" s="142"/>
      <c r="E1426" s="142"/>
      <c r="F1426" s="142"/>
      <c r="G1426" s="142"/>
      <c r="H1426" s="141"/>
      <c r="I1426" s="8"/>
    </row>
    <row r="1427" spans="2:9" ht="15" hidden="1" customHeight="1" x14ac:dyDescent="0.25">
      <c r="B1427" s="7"/>
      <c r="C1427" s="140">
        <v>1399</v>
      </c>
      <c r="D1427" s="142"/>
      <c r="E1427" s="142"/>
      <c r="F1427" s="142"/>
      <c r="G1427" s="142"/>
      <c r="H1427" s="141"/>
      <c r="I1427" s="8"/>
    </row>
    <row r="1428" spans="2:9" ht="15" hidden="1" customHeight="1" x14ac:dyDescent="0.25">
      <c r="B1428" s="7"/>
      <c r="C1428" s="140">
        <v>1400</v>
      </c>
      <c r="D1428" s="142"/>
      <c r="E1428" s="142"/>
      <c r="F1428" s="142"/>
      <c r="G1428" s="142"/>
      <c r="H1428" s="141"/>
      <c r="I1428" s="8"/>
    </row>
    <row r="1429" spans="2:9" ht="15" hidden="1" customHeight="1" x14ac:dyDescent="0.25">
      <c r="B1429" s="7"/>
      <c r="C1429" s="140">
        <v>1401</v>
      </c>
      <c r="D1429" s="142"/>
      <c r="E1429" s="142"/>
      <c r="F1429" s="142"/>
      <c r="G1429" s="142"/>
      <c r="H1429" s="141"/>
      <c r="I1429" s="8"/>
    </row>
    <row r="1430" spans="2:9" ht="15" hidden="1" customHeight="1" x14ac:dyDescent="0.25">
      <c r="B1430" s="7"/>
      <c r="C1430" s="140">
        <v>1402</v>
      </c>
      <c r="D1430" s="142"/>
      <c r="E1430" s="142"/>
      <c r="F1430" s="142"/>
      <c r="G1430" s="142"/>
      <c r="H1430" s="141"/>
      <c r="I1430" s="8"/>
    </row>
    <row r="1431" spans="2:9" ht="15" hidden="1" customHeight="1" x14ac:dyDescent="0.25">
      <c r="B1431" s="7"/>
      <c r="C1431" s="140">
        <v>1403</v>
      </c>
      <c r="D1431" s="142"/>
      <c r="E1431" s="142"/>
      <c r="F1431" s="142"/>
      <c r="G1431" s="142"/>
      <c r="H1431" s="141"/>
      <c r="I1431" s="8"/>
    </row>
    <row r="1432" spans="2:9" ht="15" hidden="1" customHeight="1" x14ac:dyDescent="0.25">
      <c r="B1432" s="7"/>
      <c r="C1432" s="140">
        <v>1404</v>
      </c>
      <c r="D1432" s="142"/>
      <c r="E1432" s="142"/>
      <c r="F1432" s="142"/>
      <c r="G1432" s="142"/>
      <c r="H1432" s="141"/>
      <c r="I1432" s="8"/>
    </row>
    <row r="1433" spans="2:9" ht="15" hidden="1" customHeight="1" x14ac:dyDescent="0.25">
      <c r="B1433" s="7"/>
      <c r="C1433" s="140">
        <v>1405</v>
      </c>
      <c r="D1433" s="142"/>
      <c r="E1433" s="142"/>
      <c r="F1433" s="142"/>
      <c r="G1433" s="142"/>
      <c r="H1433" s="141"/>
      <c r="I1433" s="8"/>
    </row>
    <row r="1434" spans="2:9" ht="15" hidden="1" customHeight="1" x14ac:dyDescent="0.25">
      <c r="B1434" s="7"/>
      <c r="C1434" s="140">
        <v>1406</v>
      </c>
      <c r="D1434" s="142"/>
      <c r="E1434" s="142"/>
      <c r="F1434" s="142"/>
      <c r="G1434" s="142"/>
      <c r="H1434" s="141"/>
      <c r="I1434" s="8"/>
    </row>
    <row r="1435" spans="2:9" ht="15" hidden="1" customHeight="1" x14ac:dyDescent="0.25">
      <c r="B1435" s="7"/>
      <c r="C1435" s="140">
        <v>1407</v>
      </c>
      <c r="D1435" s="142"/>
      <c r="E1435" s="142"/>
      <c r="F1435" s="142"/>
      <c r="G1435" s="142"/>
      <c r="H1435" s="141"/>
      <c r="I1435" s="8"/>
    </row>
    <row r="1436" spans="2:9" ht="15" hidden="1" customHeight="1" x14ac:dyDescent="0.25">
      <c r="B1436" s="7"/>
      <c r="C1436" s="140">
        <v>1408</v>
      </c>
      <c r="D1436" s="142"/>
      <c r="E1436" s="142"/>
      <c r="F1436" s="142"/>
      <c r="G1436" s="142"/>
      <c r="H1436" s="141"/>
      <c r="I1436" s="8"/>
    </row>
    <row r="1437" spans="2:9" ht="15" hidden="1" customHeight="1" x14ac:dyDescent="0.25">
      <c r="B1437" s="7"/>
      <c r="C1437" s="140">
        <v>1409</v>
      </c>
      <c r="D1437" s="142"/>
      <c r="E1437" s="142"/>
      <c r="F1437" s="142"/>
      <c r="G1437" s="142"/>
      <c r="H1437" s="141"/>
      <c r="I1437" s="8"/>
    </row>
    <row r="1438" spans="2:9" ht="15" hidden="1" customHeight="1" x14ac:dyDescent="0.25">
      <c r="B1438" s="7"/>
      <c r="C1438" s="140">
        <v>1410</v>
      </c>
      <c r="D1438" s="142"/>
      <c r="E1438" s="142"/>
      <c r="F1438" s="142"/>
      <c r="G1438" s="142"/>
      <c r="H1438" s="141"/>
      <c r="I1438" s="8"/>
    </row>
    <row r="1439" spans="2:9" ht="15" hidden="1" customHeight="1" x14ac:dyDescent="0.25">
      <c r="B1439" s="7"/>
      <c r="C1439" s="140">
        <v>1411</v>
      </c>
      <c r="D1439" s="142"/>
      <c r="E1439" s="142"/>
      <c r="F1439" s="142"/>
      <c r="G1439" s="142"/>
      <c r="H1439" s="141"/>
      <c r="I1439" s="8"/>
    </row>
    <row r="1440" spans="2:9" ht="15" hidden="1" customHeight="1" x14ac:dyDescent="0.25">
      <c r="B1440" s="7"/>
      <c r="C1440" s="140">
        <v>1412</v>
      </c>
      <c r="D1440" s="142"/>
      <c r="E1440" s="142"/>
      <c r="F1440" s="142"/>
      <c r="G1440" s="142"/>
      <c r="H1440" s="141"/>
      <c r="I1440" s="8"/>
    </row>
    <row r="1441" spans="2:9" ht="15" hidden="1" customHeight="1" x14ac:dyDescent="0.25">
      <c r="B1441" s="7"/>
      <c r="C1441" s="140">
        <v>1413</v>
      </c>
      <c r="D1441" s="142"/>
      <c r="E1441" s="142"/>
      <c r="F1441" s="142"/>
      <c r="G1441" s="142"/>
      <c r="H1441" s="141"/>
      <c r="I1441" s="8"/>
    </row>
    <row r="1442" spans="2:9" ht="15" hidden="1" customHeight="1" x14ac:dyDescent="0.25">
      <c r="B1442" s="7"/>
      <c r="C1442" s="140">
        <v>1414</v>
      </c>
      <c r="D1442" s="142"/>
      <c r="E1442" s="142"/>
      <c r="F1442" s="142"/>
      <c r="G1442" s="142"/>
      <c r="H1442" s="141"/>
      <c r="I1442" s="8"/>
    </row>
    <row r="1443" spans="2:9" ht="15" hidden="1" customHeight="1" x14ac:dyDescent="0.25">
      <c r="B1443" s="7"/>
      <c r="C1443" s="140">
        <v>1415</v>
      </c>
      <c r="D1443" s="142"/>
      <c r="E1443" s="142"/>
      <c r="F1443" s="142"/>
      <c r="G1443" s="142"/>
      <c r="H1443" s="141"/>
      <c r="I1443" s="8"/>
    </row>
    <row r="1444" spans="2:9" ht="15" hidden="1" customHeight="1" x14ac:dyDescent="0.25">
      <c r="B1444" s="7"/>
      <c r="C1444" s="140">
        <v>1416</v>
      </c>
      <c r="D1444" s="142"/>
      <c r="E1444" s="142"/>
      <c r="F1444" s="142"/>
      <c r="G1444" s="142"/>
      <c r="H1444" s="141"/>
      <c r="I1444" s="8"/>
    </row>
    <row r="1445" spans="2:9" ht="15" hidden="1" customHeight="1" x14ac:dyDescent="0.25">
      <c r="B1445" s="7"/>
      <c r="C1445" s="140">
        <v>1417</v>
      </c>
      <c r="D1445" s="142"/>
      <c r="E1445" s="142"/>
      <c r="F1445" s="142"/>
      <c r="G1445" s="142"/>
      <c r="H1445" s="141"/>
      <c r="I1445" s="8"/>
    </row>
    <row r="1446" spans="2:9" ht="15" hidden="1" customHeight="1" x14ac:dyDescent="0.25">
      <c r="B1446" s="7"/>
      <c r="C1446" s="140">
        <v>1418</v>
      </c>
      <c r="D1446" s="142"/>
      <c r="E1446" s="142"/>
      <c r="F1446" s="142"/>
      <c r="G1446" s="142"/>
      <c r="H1446" s="141"/>
      <c r="I1446" s="8"/>
    </row>
    <row r="1447" spans="2:9" ht="15" hidden="1" customHeight="1" x14ac:dyDescent="0.25">
      <c r="B1447" s="7"/>
      <c r="C1447" s="140">
        <v>1419</v>
      </c>
      <c r="D1447" s="142"/>
      <c r="E1447" s="142"/>
      <c r="F1447" s="142"/>
      <c r="G1447" s="142"/>
      <c r="H1447" s="141"/>
      <c r="I1447" s="8"/>
    </row>
    <row r="1448" spans="2:9" ht="15" hidden="1" customHeight="1" x14ac:dyDescent="0.25">
      <c r="B1448" s="7"/>
      <c r="C1448" s="140">
        <v>1420</v>
      </c>
      <c r="D1448" s="142"/>
      <c r="E1448" s="142"/>
      <c r="F1448" s="142"/>
      <c r="G1448" s="142"/>
      <c r="H1448" s="141"/>
      <c r="I1448" s="8"/>
    </row>
    <row r="1449" spans="2:9" ht="15" hidden="1" customHeight="1" x14ac:dyDescent="0.25">
      <c r="B1449" s="7"/>
      <c r="C1449" s="140">
        <v>1421</v>
      </c>
      <c r="D1449" s="142"/>
      <c r="E1449" s="142"/>
      <c r="F1449" s="142"/>
      <c r="G1449" s="142"/>
      <c r="H1449" s="141"/>
      <c r="I1449" s="8"/>
    </row>
    <row r="1450" spans="2:9" ht="15" hidden="1" customHeight="1" x14ac:dyDescent="0.25">
      <c r="B1450" s="7"/>
      <c r="C1450" s="140">
        <v>1422</v>
      </c>
      <c r="D1450" s="142"/>
      <c r="E1450" s="142"/>
      <c r="F1450" s="142"/>
      <c r="G1450" s="142"/>
      <c r="H1450" s="141"/>
      <c r="I1450" s="8"/>
    </row>
    <row r="1451" spans="2:9" ht="15" hidden="1" customHeight="1" x14ac:dyDescent="0.25">
      <c r="B1451" s="7"/>
      <c r="C1451" s="140">
        <v>1423</v>
      </c>
      <c r="D1451" s="142"/>
      <c r="E1451" s="142"/>
      <c r="F1451" s="142"/>
      <c r="G1451" s="142"/>
      <c r="H1451" s="141"/>
      <c r="I1451" s="8"/>
    </row>
    <row r="1452" spans="2:9" ht="15" hidden="1" customHeight="1" x14ac:dyDescent="0.25">
      <c r="B1452" s="7"/>
      <c r="C1452" s="140">
        <v>1424</v>
      </c>
      <c r="D1452" s="142"/>
      <c r="E1452" s="142"/>
      <c r="F1452" s="142"/>
      <c r="G1452" s="142"/>
      <c r="H1452" s="141"/>
      <c r="I1452" s="8"/>
    </row>
    <row r="1453" spans="2:9" ht="15" hidden="1" customHeight="1" x14ac:dyDescent="0.25">
      <c r="B1453" s="7"/>
      <c r="C1453" s="140">
        <v>1425</v>
      </c>
      <c r="D1453" s="142"/>
      <c r="E1453" s="142"/>
      <c r="F1453" s="142"/>
      <c r="G1453" s="142"/>
      <c r="H1453" s="141"/>
      <c r="I1453" s="8"/>
    </row>
    <row r="1454" spans="2:9" ht="15" hidden="1" customHeight="1" x14ac:dyDescent="0.25">
      <c r="B1454" s="7"/>
      <c r="C1454" s="140">
        <v>1426</v>
      </c>
      <c r="D1454" s="142"/>
      <c r="E1454" s="142"/>
      <c r="F1454" s="142"/>
      <c r="G1454" s="142"/>
      <c r="H1454" s="141"/>
      <c r="I1454" s="8"/>
    </row>
    <row r="1455" spans="2:9" ht="15" hidden="1" customHeight="1" x14ac:dyDescent="0.25">
      <c r="B1455" s="7"/>
      <c r="C1455" s="140">
        <v>1427</v>
      </c>
      <c r="D1455" s="142"/>
      <c r="E1455" s="142"/>
      <c r="F1455" s="142"/>
      <c r="G1455" s="142"/>
      <c r="H1455" s="141"/>
      <c r="I1455" s="8"/>
    </row>
    <row r="1456" spans="2:9" ht="15" hidden="1" customHeight="1" x14ac:dyDescent="0.25">
      <c r="B1456" s="7"/>
      <c r="C1456" s="140">
        <v>1428</v>
      </c>
      <c r="D1456" s="142"/>
      <c r="E1456" s="142"/>
      <c r="F1456" s="142"/>
      <c r="G1456" s="142"/>
      <c r="H1456" s="141"/>
      <c r="I1456" s="8"/>
    </row>
    <row r="1457" spans="2:9" ht="15" hidden="1" customHeight="1" x14ac:dyDescent="0.25">
      <c r="B1457" s="7"/>
      <c r="C1457" s="140">
        <v>1429</v>
      </c>
      <c r="D1457" s="142"/>
      <c r="E1457" s="142"/>
      <c r="F1457" s="142"/>
      <c r="G1457" s="142"/>
      <c r="H1457" s="141"/>
      <c r="I1457" s="8"/>
    </row>
    <row r="1458" spans="2:9" ht="15" hidden="1" customHeight="1" x14ac:dyDescent="0.25">
      <c r="B1458" s="7"/>
      <c r="C1458" s="140">
        <v>1430</v>
      </c>
      <c r="D1458" s="142"/>
      <c r="E1458" s="142"/>
      <c r="F1458" s="142"/>
      <c r="G1458" s="142"/>
      <c r="H1458" s="141"/>
      <c r="I1458" s="8"/>
    </row>
    <row r="1459" spans="2:9" ht="15" hidden="1" customHeight="1" x14ac:dyDescent="0.25">
      <c r="B1459" s="7"/>
      <c r="C1459" s="140">
        <v>1431</v>
      </c>
      <c r="D1459" s="142"/>
      <c r="E1459" s="142"/>
      <c r="F1459" s="142"/>
      <c r="G1459" s="142"/>
      <c r="H1459" s="141"/>
      <c r="I1459" s="8"/>
    </row>
    <row r="1460" spans="2:9" ht="15" hidden="1" customHeight="1" x14ac:dyDescent="0.25">
      <c r="B1460" s="7"/>
      <c r="C1460" s="140">
        <v>1432</v>
      </c>
      <c r="D1460" s="142"/>
      <c r="E1460" s="142"/>
      <c r="F1460" s="142"/>
      <c r="G1460" s="142"/>
      <c r="H1460" s="141"/>
      <c r="I1460" s="8"/>
    </row>
    <row r="1461" spans="2:9" ht="15" hidden="1" customHeight="1" x14ac:dyDescent="0.25">
      <c r="B1461" s="7"/>
      <c r="C1461" s="140">
        <v>1433</v>
      </c>
      <c r="D1461" s="142"/>
      <c r="E1461" s="142"/>
      <c r="F1461" s="142"/>
      <c r="G1461" s="142"/>
      <c r="H1461" s="141"/>
      <c r="I1461" s="8"/>
    </row>
    <row r="1462" spans="2:9" ht="15" hidden="1" customHeight="1" x14ac:dyDescent="0.25">
      <c r="B1462" s="7"/>
      <c r="C1462" s="140">
        <v>1434</v>
      </c>
      <c r="D1462" s="142"/>
      <c r="E1462" s="142"/>
      <c r="F1462" s="142"/>
      <c r="G1462" s="142"/>
      <c r="H1462" s="141"/>
      <c r="I1462" s="8"/>
    </row>
    <row r="1463" spans="2:9" ht="15" hidden="1" customHeight="1" x14ac:dyDescent="0.25">
      <c r="B1463" s="7"/>
      <c r="C1463" s="140">
        <v>1435</v>
      </c>
      <c r="D1463" s="142"/>
      <c r="E1463" s="142"/>
      <c r="F1463" s="142"/>
      <c r="G1463" s="142"/>
      <c r="H1463" s="141"/>
      <c r="I1463" s="8"/>
    </row>
    <row r="1464" spans="2:9" ht="15" hidden="1" customHeight="1" x14ac:dyDescent="0.25">
      <c r="B1464" s="7"/>
      <c r="C1464" s="140">
        <v>1436</v>
      </c>
      <c r="D1464" s="142"/>
      <c r="E1464" s="142"/>
      <c r="F1464" s="142"/>
      <c r="G1464" s="142"/>
      <c r="H1464" s="141"/>
      <c r="I1464" s="8"/>
    </row>
    <row r="1465" spans="2:9" ht="15" hidden="1" customHeight="1" x14ac:dyDescent="0.25">
      <c r="B1465" s="7"/>
      <c r="C1465" s="140">
        <v>1437</v>
      </c>
      <c r="D1465" s="142"/>
      <c r="E1465" s="142"/>
      <c r="F1465" s="142"/>
      <c r="G1465" s="142"/>
      <c r="H1465" s="141"/>
      <c r="I1465" s="8"/>
    </row>
    <row r="1466" spans="2:9" ht="15" hidden="1" customHeight="1" x14ac:dyDescent="0.25">
      <c r="B1466" s="7"/>
      <c r="C1466" s="140">
        <v>1438</v>
      </c>
      <c r="D1466" s="142"/>
      <c r="E1466" s="142"/>
      <c r="F1466" s="142"/>
      <c r="G1466" s="142"/>
      <c r="H1466" s="141"/>
      <c r="I1466" s="8"/>
    </row>
    <row r="1467" spans="2:9" ht="15" hidden="1" customHeight="1" x14ac:dyDescent="0.25">
      <c r="B1467" s="7"/>
      <c r="C1467" s="140">
        <v>1439</v>
      </c>
      <c r="D1467" s="142"/>
      <c r="E1467" s="142"/>
      <c r="F1467" s="142"/>
      <c r="G1467" s="142"/>
      <c r="H1467" s="141"/>
      <c r="I1467" s="8"/>
    </row>
    <row r="1468" spans="2:9" ht="15" hidden="1" customHeight="1" x14ac:dyDescent="0.25">
      <c r="B1468" s="7"/>
      <c r="C1468" s="140">
        <v>1440</v>
      </c>
      <c r="D1468" s="142"/>
      <c r="E1468" s="142"/>
      <c r="F1468" s="142"/>
      <c r="G1468" s="142"/>
      <c r="H1468" s="141"/>
      <c r="I1468" s="8"/>
    </row>
    <row r="1469" spans="2:9" ht="15" hidden="1" customHeight="1" x14ac:dyDescent="0.25">
      <c r="B1469" s="7"/>
      <c r="C1469" s="140">
        <v>1441</v>
      </c>
      <c r="D1469" s="142"/>
      <c r="E1469" s="142"/>
      <c r="F1469" s="142"/>
      <c r="G1469" s="142"/>
      <c r="H1469" s="141"/>
      <c r="I1469" s="8"/>
    </row>
    <row r="1470" spans="2:9" ht="15" hidden="1" customHeight="1" x14ac:dyDescent="0.25">
      <c r="B1470" s="7"/>
      <c r="C1470" s="140">
        <v>1442</v>
      </c>
      <c r="D1470" s="142"/>
      <c r="E1470" s="142"/>
      <c r="F1470" s="142"/>
      <c r="G1470" s="142"/>
      <c r="H1470" s="141"/>
      <c r="I1470" s="8"/>
    </row>
    <row r="1471" spans="2:9" ht="15" hidden="1" customHeight="1" x14ac:dyDescent="0.25">
      <c r="B1471" s="7"/>
      <c r="C1471" s="140">
        <v>1443</v>
      </c>
      <c r="D1471" s="142"/>
      <c r="E1471" s="142"/>
      <c r="F1471" s="142"/>
      <c r="G1471" s="142"/>
      <c r="H1471" s="141"/>
      <c r="I1471" s="8"/>
    </row>
    <row r="1472" spans="2:9" ht="15" hidden="1" customHeight="1" x14ac:dyDescent="0.25">
      <c r="B1472" s="7"/>
      <c r="C1472" s="140">
        <v>1444</v>
      </c>
      <c r="D1472" s="142"/>
      <c r="E1472" s="142"/>
      <c r="F1472" s="142"/>
      <c r="G1472" s="142"/>
      <c r="H1472" s="141"/>
      <c r="I1472" s="8"/>
    </row>
    <row r="1473" spans="2:9" ht="15" hidden="1" customHeight="1" x14ac:dyDescent="0.25">
      <c r="B1473" s="7"/>
      <c r="C1473" s="140">
        <v>1445</v>
      </c>
      <c r="D1473" s="142"/>
      <c r="E1473" s="142"/>
      <c r="F1473" s="142"/>
      <c r="G1473" s="142"/>
      <c r="H1473" s="141"/>
      <c r="I1473" s="8"/>
    </row>
    <row r="1474" spans="2:9" ht="15" hidden="1" customHeight="1" x14ac:dyDescent="0.25">
      <c r="B1474" s="7"/>
      <c r="C1474" s="140">
        <v>1446</v>
      </c>
      <c r="D1474" s="142"/>
      <c r="E1474" s="142"/>
      <c r="F1474" s="142"/>
      <c r="G1474" s="142"/>
      <c r="H1474" s="141"/>
      <c r="I1474" s="8"/>
    </row>
    <row r="1475" spans="2:9" ht="15" hidden="1" customHeight="1" x14ac:dyDescent="0.25">
      <c r="B1475" s="7"/>
      <c r="C1475" s="140">
        <v>1447</v>
      </c>
      <c r="D1475" s="142"/>
      <c r="E1475" s="142"/>
      <c r="F1475" s="142"/>
      <c r="G1475" s="142"/>
      <c r="H1475" s="141"/>
      <c r="I1475" s="8"/>
    </row>
    <row r="1476" spans="2:9" ht="15" hidden="1" customHeight="1" x14ac:dyDescent="0.25">
      <c r="B1476" s="7"/>
      <c r="C1476" s="140">
        <v>1448</v>
      </c>
      <c r="D1476" s="142"/>
      <c r="E1476" s="142"/>
      <c r="F1476" s="142"/>
      <c r="G1476" s="142"/>
      <c r="H1476" s="141"/>
      <c r="I1476" s="8"/>
    </row>
    <row r="1477" spans="2:9" ht="15" hidden="1" customHeight="1" x14ac:dyDescent="0.25">
      <c r="B1477" s="7"/>
      <c r="C1477" s="140">
        <v>1449</v>
      </c>
      <c r="D1477" s="142"/>
      <c r="E1477" s="142"/>
      <c r="F1477" s="142"/>
      <c r="G1477" s="142"/>
      <c r="H1477" s="141"/>
      <c r="I1477" s="8"/>
    </row>
    <row r="1478" spans="2:9" ht="15" hidden="1" customHeight="1" x14ac:dyDescent="0.25">
      <c r="B1478" s="7"/>
      <c r="C1478" s="140">
        <v>1450</v>
      </c>
      <c r="D1478" s="142"/>
      <c r="E1478" s="142"/>
      <c r="F1478" s="142"/>
      <c r="G1478" s="142"/>
      <c r="H1478" s="141"/>
      <c r="I1478" s="8"/>
    </row>
    <row r="1479" spans="2:9" ht="15" hidden="1" customHeight="1" x14ac:dyDescent="0.25">
      <c r="B1479" s="7"/>
      <c r="C1479" s="140">
        <v>1451</v>
      </c>
      <c r="D1479" s="142"/>
      <c r="E1479" s="142"/>
      <c r="F1479" s="142"/>
      <c r="G1479" s="142"/>
      <c r="H1479" s="141"/>
      <c r="I1479" s="8"/>
    </row>
    <row r="1480" spans="2:9" ht="15" hidden="1" customHeight="1" x14ac:dyDescent="0.25">
      <c r="B1480" s="7"/>
      <c r="C1480" s="140">
        <v>1452</v>
      </c>
      <c r="D1480" s="142"/>
      <c r="E1480" s="142"/>
      <c r="F1480" s="142"/>
      <c r="G1480" s="142"/>
      <c r="H1480" s="141"/>
      <c r="I1480" s="8"/>
    </row>
    <row r="1481" spans="2:9" ht="15" hidden="1" customHeight="1" x14ac:dyDescent="0.25">
      <c r="B1481" s="7"/>
      <c r="C1481" s="140">
        <v>1453</v>
      </c>
      <c r="D1481" s="142"/>
      <c r="E1481" s="142"/>
      <c r="F1481" s="142"/>
      <c r="G1481" s="142"/>
      <c r="H1481" s="141"/>
      <c r="I1481" s="8"/>
    </row>
    <row r="1482" spans="2:9" ht="15" hidden="1" customHeight="1" x14ac:dyDescent="0.25">
      <c r="B1482" s="7"/>
      <c r="C1482" s="140">
        <v>1454</v>
      </c>
      <c r="D1482" s="142"/>
      <c r="E1482" s="142"/>
      <c r="F1482" s="142"/>
      <c r="G1482" s="142"/>
      <c r="H1482" s="141"/>
      <c r="I1482" s="8"/>
    </row>
    <row r="1483" spans="2:9" ht="15" hidden="1" customHeight="1" x14ac:dyDescent="0.25">
      <c r="B1483" s="7"/>
      <c r="C1483" s="140">
        <v>1455</v>
      </c>
      <c r="D1483" s="142"/>
      <c r="E1483" s="142"/>
      <c r="F1483" s="142"/>
      <c r="G1483" s="142"/>
      <c r="H1483" s="141"/>
      <c r="I1483" s="8"/>
    </row>
    <row r="1484" spans="2:9" ht="15" hidden="1" customHeight="1" x14ac:dyDescent="0.25">
      <c r="B1484" s="7"/>
      <c r="C1484" s="140">
        <v>1456</v>
      </c>
      <c r="D1484" s="142"/>
      <c r="E1484" s="142"/>
      <c r="F1484" s="142"/>
      <c r="G1484" s="142"/>
      <c r="H1484" s="141"/>
      <c r="I1484" s="8"/>
    </row>
    <row r="1485" spans="2:9" ht="15" hidden="1" customHeight="1" x14ac:dyDescent="0.25">
      <c r="B1485" s="7"/>
      <c r="C1485" s="140">
        <v>1457</v>
      </c>
      <c r="D1485" s="142"/>
      <c r="E1485" s="142"/>
      <c r="F1485" s="142"/>
      <c r="G1485" s="142"/>
      <c r="H1485" s="141"/>
      <c r="I1485" s="8"/>
    </row>
    <row r="1486" spans="2:9" ht="15" hidden="1" customHeight="1" x14ac:dyDescent="0.25">
      <c r="B1486" s="7"/>
      <c r="C1486" s="140">
        <v>1458</v>
      </c>
      <c r="D1486" s="142"/>
      <c r="E1486" s="142"/>
      <c r="F1486" s="142"/>
      <c r="G1486" s="142"/>
      <c r="H1486" s="141"/>
      <c r="I1486" s="8"/>
    </row>
    <row r="1487" spans="2:9" ht="15" hidden="1" customHeight="1" x14ac:dyDescent="0.25">
      <c r="B1487" s="7"/>
      <c r="C1487" s="140">
        <v>1459</v>
      </c>
      <c r="D1487" s="142"/>
      <c r="E1487" s="142"/>
      <c r="F1487" s="142"/>
      <c r="G1487" s="142"/>
      <c r="H1487" s="141"/>
      <c r="I1487" s="8"/>
    </row>
    <row r="1488" spans="2:9" ht="15" hidden="1" customHeight="1" x14ac:dyDescent="0.25">
      <c r="B1488" s="7"/>
      <c r="C1488" s="140">
        <v>1460</v>
      </c>
      <c r="D1488" s="142"/>
      <c r="E1488" s="142"/>
      <c r="F1488" s="142"/>
      <c r="G1488" s="142"/>
      <c r="H1488" s="141"/>
      <c r="I1488" s="8"/>
    </row>
    <row r="1489" spans="2:9" ht="15" hidden="1" customHeight="1" x14ac:dyDescent="0.25">
      <c r="B1489" s="7"/>
      <c r="C1489" s="140">
        <v>1461</v>
      </c>
      <c r="D1489" s="142"/>
      <c r="E1489" s="142"/>
      <c r="F1489" s="142"/>
      <c r="G1489" s="142"/>
      <c r="H1489" s="141"/>
      <c r="I1489" s="8"/>
    </row>
    <row r="1490" spans="2:9" ht="15" hidden="1" customHeight="1" x14ac:dyDescent="0.25">
      <c r="B1490" s="7"/>
      <c r="C1490" s="140">
        <v>1462</v>
      </c>
      <c r="D1490" s="142"/>
      <c r="E1490" s="142"/>
      <c r="F1490" s="142"/>
      <c r="G1490" s="142"/>
      <c r="H1490" s="141"/>
      <c r="I1490" s="8"/>
    </row>
    <row r="1491" spans="2:9" ht="15" hidden="1" customHeight="1" x14ac:dyDescent="0.25">
      <c r="B1491" s="7"/>
      <c r="C1491" s="140">
        <v>1463</v>
      </c>
      <c r="D1491" s="142"/>
      <c r="E1491" s="142"/>
      <c r="F1491" s="142"/>
      <c r="G1491" s="142"/>
      <c r="H1491" s="141"/>
      <c r="I1491" s="8"/>
    </row>
    <row r="1492" spans="2:9" ht="15" hidden="1" customHeight="1" x14ac:dyDescent="0.25">
      <c r="B1492" s="7"/>
      <c r="C1492" s="140">
        <v>1464</v>
      </c>
      <c r="D1492" s="142"/>
      <c r="E1492" s="142"/>
      <c r="F1492" s="142"/>
      <c r="G1492" s="142"/>
      <c r="H1492" s="141"/>
      <c r="I1492" s="8"/>
    </row>
    <row r="1493" spans="2:9" ht="15" hidden="1" customHeight="1" x14ac:dyDescent="0.25">
      <c r="B1493" s="7"/>
      <c r="C1493" s="140">
        <v>1465</v>
      </c>
      <c r="D1493" s="142"/>
      <c r="E1493" s="142"/>
      <c r="F1493" s="142"/>
      <c r="G1493" s="142"/>
      <c r="H1493" s="141"/>
      <c r="I1493" s="8"/>
    </row>
    <row r="1494" spans="2:9" ht="15" hidden="1" customHeight="1" x14ac:dyDescent="0.25">
      <c r="B1494" s="7"/>
      <c r="C1494" s="140">
        <v>1466</v>
      </c>
      <c r="D1494" s="142"/>
      <c r="E1494" s="142"/>
      <c r="F1494" s="142"/>
      <c r="G1494" s="142"/>
      <c r="H1494" s="141"/>
      <c r="I1494" s="8"/>
    </row>
    <row r="1495" spans="2:9" ht="15" hidden="1" customHeight="1" x14ac:dyDescent="0.25">
      <c r="B1495" s="7"/>
      <c r="C1495" s="140">
        <v>1467</v>
      </c>
      <c r="D1495" s="142"/>
      <c r="E1495" s="142"/>
      <c r="F1495" s="142"/>
      <c r="G1495" s="142"/>
      <c r="H1495" s="141"/>
      <c r="I1495" s="8"/>
    </row>
    <row r="1496" spans="2:9" ht="15" hidden="1" customHeight="1" x14ac:dyDescent="0.25">
      <c r="B1496" s="7"/>
      <c r="C1496" s="140">
        <v>1468</v>
      </c>
      <c r="D1496" s="142"/>
      <c r="E1496" s="142"/>
      <c r="F1496" s="142"/>
      <c r="G1496" s="142"/>
      <c r="H1496" s="141"/>
      <c r="I1496" s="8"/>
    </row>
    <row r="1497" spans="2:9" ht="15" hidden="1" customHeight="1" x14ac:dyDescent="0.25">
      <c r="B1497" s="7"/>
      <c r="C1497" s="140">
        <v>1469</v>
      </c>
      <c r="D1497" s="142"/>
      <c r="E1497" s="142"/>
      <c r="F1497" s="142"/>
      <c r="G1497" s="142"/>
      <c r="H1497" s="141"/>
      <c r="I1497" s="8"/>
    </row>
    <row r="1498" spans="2:9" ht="15" hidden="1" customHeight="1" x14ac:dyDescent="0.25">
      <c r="B1498" s="7"/>
      <c r="C1498" s="140">
        <v>1470</v>
      </c>
      <c r="D1498" s="142"/>
      <c r="E1498" s="142"/>
      <c r="F1498" s="142"/>
      <c r="G1498" s="142"/>
      <c r="H1498" s="141"/>
      <c r="I1498" s="8"/>
    </row>
    <row r="1499" spans="2:9" ht="15" hidden="1" customHeight="1" x14ac:dyDescent="0.25">
      <c r="B1499" s="7"/>
      <c r="C1499" s="140">
        <v>1471</v>
      </c>
      <c r="D1499" s="142"/>
      <c r="E1499" s="142"/>
      <c r="F1499" s="142"/>
      <c r="G1499" s="142"/>
      <c r="H1499" s="141"/>
      <c r="I1499" s="8"/>
    </row>
    <row r="1500" spans="2:9" ht="15" hidden="1" customHeight="1" x14ac:dyDescent="0.25">
      <c r="B1500" s="7"/>
      <c r="C1500" s="140">
        <v>1472</v>
      </c>
      <c r="D1500" s="142"/>
      <c r="E1500" s="142"/>
      <c r="F1500" s="142"/>
      <c r="G1500" s="142"/>
      <c r="H1500" s="141"/>
      <c r="I1500" s="8"/>
    </row>
    <row r="1501" spans="2:9" ht="15" hidden="1" customHeight="1" x14ac:dyDescent="0.25">
      <c r="B1501" s="7"/>
      <c r="C1501" s="140">
        <v>1473</v>
      </c>
      <c r="D1501" s="142"/>
      <c r="E1501" s="142"/>
      <c r="F1501" s="142"/>
      <c r="G1501" s="142"/>
      <c r="H1501" s="141"/>
      <c r="I1501" s="8"/>
    </row>
    <row r="1502" spans="2:9" ht="15" hidden="1" customHeight="1" x14ac:dyDescent="0.25">
      <c r="B1502" s="7"/>
      <c r="C1502" s="140">
        <v>1474</v>
      </c>
      <c r="D1502" s="142"/>
      <c r="E1502" s="142"/>
      <c r="F1502" s="142"/>
      <c r="G1502" s="142"/>
      <c r="H1502" s="141"/>
      <c r="I1502" s="8"/>
    </row>
    <row r="1503" spans="2:9" ht="15" hidden="1" customHeight="1" x14ac:dyDescent="0.25">
      <c r="B1503" s="7"/>
      <c r="C1503" s="140">
        <v>1475</v>
      </c>
      <c r="D1503" s="142"/>
      <c r="E1503" s="142"/>
      <c r="F1503" s="142"/>
      <c r="G1503" s="142"/>
      <c r="H1503" s="141"/>
      <c r="I1503" s="8"/>
    </row>
    <row r="1504" spans="2:9" ht="15" hidden="1" customHeight="1" x14ac:dyDescent="0.25">
      <c r="B1504" s="7"/>
      <c r="C1504" s="140">
        <v>1476</v>
      </c>
      <c r="D1504" s="142"/>
      <c r="E1504" s="142"/>
      <c r="F1504" s="142"/>
      <c r="G1504" s="142"/>
      <c r="H1504" s="141"/>
      <c r="I1504" s="8"/>
    </row>
    <row r="1505" spans="2:9" ht="15" hidden="1" customHeight="1" x14ac:dyDescent="0.25">
      <c r="B1505" s="7"/>
      <c r="C1505" s="140">
        <v>1477</v>
      </c>
      <c r="D1505" s="142"/>
      <c r="E1505" s="142"/>
      <c r="F1505" s="142"/>
      <c r="G1505" s="142"/>
      <c r="H1505" s="141"/>
      <c r="I1505" s="8"/>
    </row>
    <row r="1506" spans="2:9" ht="15" hidden="1" customHeight="1" x14ac:dyDescent="0.25">
      <c r="B1506" s="7"/>
      <c r="C1506" s="140">
        <v>1478</v>
      </c>
      <c r="D1506" s="142"/>
      <c r="E1506" s="142"/>
      <c r="F1506" s="142"/>
      <c r="G1506" s="142"/>
      <c r="H1506" s="141"/>
      <c r="I1506" s="8"/>
    </row>
    <row r="1507" spans="2:9" ht="15" hidden="1" customHeight="1" x14ac:dyDescent="0.25">
      <c r="B1507" s="7"/>
      <c r="C1507" s="140">
        <v>1479</v>
      </c>
      <c r="D1507" s="142"/>
      <c r="E1507" s="142"/>
      <c r="F1507" s="142"/>
      <c r="G1507" s="142"/>
      <c r="H1507" s="141"/>
      <c r="I1507" s="8"/>
    </row>
    <row r="1508" spans="2:9" ht="15" hidden="1" customHeight="1" x14ac:dyDescent="0.25">
      <c r="B1508" s="7"/>
      <c r="C1508" s="140">
        <v>1480</v>
      </c>
      <c r="D1508" s="142"/>
      <c r="E1508" s="142"/>
      <c r="F1508" s="142"/>
      <c r="G1508" s="142"/>
      <c r="H1508" s="141"/>
      <c r="I1508" s="8"/>
    </row>
    <row r="1509" spans="2:9" ht="15" hidden="1" customHeight="1" x14ac:dyDescent="0.25">
      <c r="B1509" s="7"/>
      <c r="C1509" s="140">
        <v>1481</v>
      </c>
      <c r="D1509" s="142"/>
      <c r="E1509" s="142"/>
      <c r="F1509" s="142"/>
      <c r="G1509" s="142"/>
      <c r="H1509" s="141"/>
      <c r="I1509" s="8"/>
    </row>
    <row r="1510" spans="2:9" ht="15" hidden="1" customHeight="1" x14ac:dyDescent="0.25">
      <c r="B1510" s="7"/>
      <c r="C1510" s="140">
        <v>1482</v>
      </c>
      <c r="D1510" s="142"/>
      <c r="E1510" s="142"/>
      <c r="F1510" s="142"/>
      <c r="G1510" s="142"/>
      <c r="H1510" s="141"/>
      <c r="I1510" s="8"/>
    </row>
    <row r="1511" spans="2:9" ht="15" hidden="1" customHeight="1" x14ac:dyDescent="0.25">
      <c r="B1511" s="7"/>
      <c r="C1511" s="140">
        <v>1483</v>
      </c>
      <c r="D1511" s="142"/>
      <c r="E1511" s="142"/>
      <c r="F1511" s="142"/>
      <c r="G1511" s="142"/>
      <c r="H1511" s="141"/>
      <c r="I1511" s="8"/>
    </row>
    <row r="1512" spans="2:9" ht="15" hidden="1" customHeight="1" x14ac:dyDescent="0.25">
      <c r="B1512" s="7"/>
      <c r="C1512" s="140">
        <v>1484</v>
      </c>
      <c r="D1512" s="142"/>
      <c r="E1512" s="142"/>
      <c r="F1512" s="142"/>
      <c r="G1512" s="142"/>
      <c r="H1512" s="141"/>
      <c r="I1512" s="8"/>
    </row>
    <row r="1513" spans="2:9" ht="15" hidden="1" customHeight="1" x14ac:dyDescent="0.25">
      <c r="B1513" s="7"/>
      <c r="C1513" s="140">
        <v>1485</v>
      </c>
      <c r="D1513" s="142"/>
      <c r="E1513" s="142"/>
      <c r="F1513" s="142"/>
      <c r="G1513" s="142"/>
      <c r="H1513" s="141"/>
      <c r="I1513" s="8"/>
    </row>
    <row r="1514" spans="2:9" ht="15" hidden="1" customHeight="1" x14ac:dyDescent="0.25">
      <c r="B1514" s="7"/>
      <c r="C1514" s="140">
        <v>1486</v>
      </c>
      <c r="D1514" s="142"/>
      <c r="E1514" s="142"/>
      <c r="F1514" s="142"/>
      <c r="G1514" s="142"/>
      <c r="H1514" s="141"/>
      <c r="I1514" s="8"/>
    </row>
    <row r="1515" spans="2:9" ht="15" hidden="1" customHeight="1" x14ac:dyDescent="0.25">
      <c r="B1515" s="7"/>
      <c r="C1515" s="140">
        <v>1487</v>
      </c>
      <c r="D1515" s="142"/>
      <c r="E1515" s="142"/>
      <c r="F1515" s="142"/>
      <c r="G1515" s="142"/>
      <c r="H1515" s="141"/>
      <c r="I1515" s="8"/>
    </row>
    <row r="1516" spans="2:9" ht="15" hidden="1" customHeight="1" x14ac:dyDescent="0.25">
      <c r="B1516" s="7"/>
      <c r="C1516" s="140">
        <v>1488</v>
      </c>
      <c r="D1516" s="142"/>
      <c r="E1516" s="142"/>
      <c r="F1516" s="142"/>
      <c r="G1516" s="142"/>
      <c r="H1516" s="141"/>
      <c r="I1516" s="8"/>
    </row>
    <row r="1517" spans="2:9" ht="15" hidden="1" customHeight="1" x14ac:dyDescent="0.25">
      <c r="B1517" s="7"/>
      <c r="C1517" s="140">
        <v>1489</v>
      </c>
      <c r="D1517" s="142"/>
      <c r="E1517" s="142"/>
      <c r="F1517" s="142"/>
      <c r="G1517" s="142"/>
      <c r="H1517" s="141"/>
      <c r="I1517" s="8"/>
    </row>
    <row r="1518" spans="2:9" ht="15" hidden="1" customHeight="1" x14ac:dyDescent="0.25">
      <c r="B1518" s="7"/>
      <c r="C1518" s="140">
        <v>1490</v>
      </c>
      <c r="D1518" s="142"/>
      <c r="E1518" s="142"/>
      <c r="F1518" s="142"/>
      <c r="G1518" s="142"/>
      <c r="H1518" s="141"/>
      <c r="I1518" s="8"/>
    </row>
    <row r="1519" spans="2:9" ht="15" hidden="1" customHeight="1" x14ac:dyDescent="0.25">
      <c r="B1519" s="7"/>
      <c r="C1519" s="140">
        <v>1491</v>
      </c>
      <c r="D1519" s="142"/>
      <c r="E1519" s="142"/>
      <c r="F1519" s="142"/>
      <c r="G1519" s="142"/>
      <c r="H1519" s="141"/>
      <c r="I1519" s="8"/>
    </row>
    <row r="1520" spans="2:9" ht="15" hidden="1" customHeight="1" x14ac:dyDescent="0.25">
      <c r="B1520" s="7"/>
      <c r="C1520" s="140">
        <v>1492</v>
      </c>
      <c r="D1520" s="142"/>
      <c r="E1520" s="142"/>
      <c r="F1520" s="142"/>
      <c r="G1520" s="142"/>
      <c r="H1520" s="141"/>
      <c r="I1520" s="8"/>
    </row>
    <row r="1521" spans="2:9" ht="15" hidden="1" customHeight="1" x14ac:dyDescent="0.25">
      <c r="B1521" s="7"/>
      <c r="C1521" s="140">
        <v>1493</v>
      </c>
      <c r="D1521" s="142"/>
      <c r="E1521" s="142"/>
      <c r="F1521" s="142"/>
      <c r="G1521" s="142"/>
      <c r="H1521" s="141"/>
      <c r="I1521" s="8"/>
    </row>
    <row r="1522" spans="2:9" ht="15" hidden="1" customHeight="1" x14ac:dyDescent="0.25">
      <c r="B1522" s="7"/>
      <c r="C1522" s="140">
        <v>1494</v>
      </c>
      <c r="D1522" s="142"/>
      <c r="E1522" s="142"/>
      <c r="F1522" s="142"/>
      <c r="G1522" s="142"/>
      <c r="H1522" s="141"/>
      <c r="I1522" s="8"/>
    </row>
    <row r="1523" spans="2:9" ht="15" hidden="1" customHeight="1" x14ac:dyDescent="0.25">
      <c r="B1523" s="7"/>
      <c r="C1523" s="140">
        <v>1495</v>
      </c>
      <c r="D1523" s="142"/>
      <c r="E1523" s="142"/>
      <c r="F1523" s="142"/>
      <c r="G1523" s="142"/>
      <c r="H1523" s="141"/>
      <c r="I1523" s="8"/>
    </row>
    <row r="1524" spans="2:9" ht="15" hidden="1" customHeight="1" x14ac:dyDescent="0.25">
      <c r="B1524" s="7"/>
      <c r="C1524" s="140">
        <v>1496</v>
      </c>
      <c r="D1524" s="142"/>
      <c r="E1524" s="142"/>
      <c r="F1524" s="142"/>
      <c r="G1524" s="142"/>
      <c r="H1524" s="141"/>
      <c r="I1524" s="8"/>
    </row>
    <row r="1525" spans="2:9" ht="15" hidden="1" customHeight="1" x14ac:dyDescent="0.25">
      <c r="B1525" s="7"/>
      <c r="C1525" s="140">
        <v>1497</v>
      </c>
      <c r="D1525" s="142"/>
      <c r="E1525" s="142"/>
      <c r="F1525" s="142"/>
      <c r="G1525" s="142"/>
      <c r="H1525" s="141"/>
      <c r="I1525" s="8"/>
    </row>
    <row r="1526" spans="2:9" ht="15" hidden="1" customHeight="1" x14ac:dyDescent="0.25">
      <c r="B1526" s="7"/>
      <c r="C1526" s="140">
        <v>1498</v>
      </c>
      <c r="D1526" s="142"/>
      <c r="E1526" s="142"/>
      <c r="F1526" s="142"/>
      <c r="G1526" s="142"/>
      <c r="H1526" s="141"/>
      <c r="I1526" s="8"/>
    </row>
    <row r="1527" spans="2:9" ht="15" hidden="1" customHeight="1" x14ac:dyDescent="0.25">
      <c r="B1527" s="7"/>
      <c r="C1527" s="140">
        <v>1499</v>
      </c>
      <c r="D1527" s="142"/>
      <c r="E1527" s="142"/>
      <c r="F1527" s="142"/>
      <c r="G1527" s="142"/>
      <c r="H1527" s="141"/>
      <c r="I1527" s="8"/>
    </row>
    <row r="1528" spans="2:9" ht="15" hidden="1" customHeight="1" x14ac:dyDescent="0.25">
      <c r="B1528" s="7"/>
      <c r="C1528" s="140">
        <v>1500</v>
      </c>
      <c r="D1528" s="142"/>
      <c r="E1528" s="142"/>
      <c r="F1528" s="142"/>
      <c r="G1528" s="142"/>
      <c r="H1528" s="141"/>
      <c r="I1528" s="8"/>
    </row>
    <row r="1529" spans="2:9" ht="15" hidden="1" customHeight="1" x14ac:dyDescent="0.25">
      <c r="B1529" s="7"/>
      <c r="C1529" s="140">
        <v>1501</v>
      </c>
      <c r="D1529" s="142"/>
      <c r="E1529" s="142"/>
      <c r="F1529" s="142"/>
      <c r="G1529" s="142"/>
      <c r="H1529" s="141"/>
      <c r="I1529" s="8"/>
    </row>
    <row r="1530" spans="2:9" ht="15" hidden="1" customHeight="1" x14ac:dyDescent="0.25">
      <c r="B1530" s="7"/>
      <c r="C1530" s="140">
        <v>1502</v>
      </c>
      <c r="D1530" s="142"/>
      <c r="E1530" s="142"/>
      <c r="F1530" s="142"/>
      <c r="G1530" s="142"/>
      <c r="H1530" s="141"/>
      <c r="I1530" s="8"/>
    </row>
    <row r="1531" spans="2:9" ht="15" hidden="1" customHeight="1" x14ac:dyDescent="0.25">
      <c r="B1531" s="7"/>
      <c r="C1531" s="140">
        <v>1503</v>
      </c>
      <c r="D1531" s="142"/>
      <c r="E1531" s="142"/>
      <c r="F1531" s="142"/>
      <c r="G1531" s="142"/>
      <c r="H1531" s="141"/>
      <c r="I1531" s="8"/>
    </row>
    <row r="1532" spans="2:9" ht="15" hidden="1" customHeight="1" x14ac:dyDescent="0.25">
      <c r="B1532" s="7"/>
      <c r="C1532" s="140">
        <v>1504</v>
      </c>
      <c r="D1532" s="142"/>
      <c r="E1532" s="142"/>
      <c r="F1532" s="142"/>
      <c r="G1532" s="142"/>
      <c r="H1532" s="141"/>
      <c r="I1532" s="8"/>
    </row>
    <row r="1533" spans="2:9" ht="15" hidden="1" customHeight="1" x14ac:dyDescent="0.25">
      <c r="B1533" s="7"/>
      <c r="C1533" s="140">
        <v>1505</v>
      </c>
      <c r="D1533" s="142"/>
      <c r="E1533" s="142"/>
      <c r="F1533" s="142"/>
      <c r="G1533" s="142"/>
      <c r="H1533" s="141"/>
      <c r="I1533" s="8"/>
    </row>
    <row r="1534" spans="2:9" ht="15" hidden="1" customHeight="1" x14ac:dyDescent="0.25">
      <c r="B1534" s="7"/>
      <c r="C1534" s="140">
        <v>1506</v>
      </c>
      <c r="D1534" s="142"/>
      <c r="E1534" s="142"/>
      <c r="F1534" s="142"/>
      <c r="G1534" s="142"/>
      <c r="H1534" s="141"/>
      <c r="I1534" s="8"/>
    </row>
    <row r="1535" spans="2:9" ht="15" hidden="1" customHeight="1" x14ac:dyDescent="0.25">
      <c r="B1535" s="7"/>
      <c r="C1535" s="140">
        <v>1507</v>
      </c>
      <c r="D1535" s="142"/>
      <c r="E1535" s="142"/>
      <c r="F1535" s="142"/>
      <c r="G1535" s="142"/>
      <c r="H1535" s="141"/>
      <c r="I1535" s="8"/>
    </row>
    <row r="1536" spans="2:9" ht="15" hidden="1" customHeight="1" x14ac:dyDescent="0.25">
      <c r="B1536" s="7"/>
      <c r="C1536" s="140">
        <v>1508</v>
      </c>
      <c r="D1536" s="142"/>
      <c r="E1536" s="142"/>
      <c r="F1536" s="142"/>
      <c r="G1536" s="142"/>
      <c r="H1536" s="141"/>
      <c r="I1536" s="8"/>
    </row>
    <row r="1537" spans="2:9" ht="15" hidden="1" customHeight="1" x14ac:dyDescent="0.25">
      <c r="B1537" s="7"/>
      <c r="C1537" s="140">
        <v>1509</v>
      </c>
      <c r="D1537" s="142"/>
      <c r="E1537" s="142"/>
      <c r="F1537" s="142"/>
      <c r="G1537" s="142"/>
      <c r="H1537" s="141"/>
      <c r="I1537" s="8"/>
    </row>
    <row r="1538" spans="2:9" ht="15" hidden="1" customHeight="1" x14ac:dyDescent="0.25">
      <c r="B1538" s="7"/>
      <c r="C1538" s="140">
        <v>1510</v>
      </c>
      <c r="D1538" s="142"/>
      <c r="E1538" s="142"/>
      <c r="F1538" s="142"/>
      <c r="G1538" s="142"/>
      <c r="H1538" s="141"/>
      <c r="I1538" s="8"/>
    </row>
    <row r="1539" spans="2:9" ht="15" hidden="1" customHeight="1" x14ac:dyDescent="0.25">
      <c r="B1539" s="7"/>
      <c r="C1539" s="140">
        <v>1511</v>
      </c>
      <c r="D1539" s="142"/>
      <c r="E1539" s="142"/>
      <c r="F1539" s="142"/>
      <c r="G1539" s="142"/>
      <c r="H1539" s="141"/>
      <c r="I1539" s="8"/>
    </row>
    <row r="1540" spans="2:9" ht="15" hidden="1" customHeight="1" x14ac:dyDescent="0.25">
      <c r="B1540" s="7"/>
      <c r="C1540" s="140">
        <v>1512</v>
      </c>
      <c r="D1540" s="142"/>
      <c r="E1540" s="142"/>
      <c r="F1540" s="142"/>
      <c r="G1540" s="142"/>
      <c r="H1540" s="141"/>
      <c r="I1540" s="8"/>
    </row>
    <row r="1541" spans="2:9" ht="15" hidden="1" customHeight="1" x14ac:dyDescent="0.25">
      <c r="B1541" s="7"/>
      <c r="C1541" s="140">
        <v>1513</v>
      </c>
      <c r="D1541" s="142"/>
      <c r="E1541" s="142"/>
      <c r="F1541" s="142"/>
      <c r="G1541" s="142"/>
      <c r="H1541" s="141"/>
      <c r="I1541" s="8"/>
    </row>
    <row r="1542" spans="2:9" ht="15" hidden="1" customHeight="1" x14ac:dyDescent="0.25">
      <c r="B1542" s="7"/>
      <c r="C1542" s="140">
        <v>1514</v>
      </c>
      <c r="D1542" s="142"/>
      <c r="E1542" s="142"/>
      <c r="F1542" s="142"/>
      <c r="G1542" s="142"/>
      <c r="H1542" s="141"/>
      <c r="I1542" s="8"/>
    </row>
    <row r="1543" spans="2:9" ht="15" hidden="1" customHeight="1" x14ac:dyDescent="0.25">
      <c r="B1543" s="7"/>
      <c r="C1543" s="140">
        <v>1515</v>
      </c>
      <c r="D1543" s="142"/>
      <c r="E1543" s="142"/>
      <c r="F1543" s="142"/>
      <c r="G1543" s="142"/>
      <c r="H1543" s="141"/>
      <c r="I1543" s="8"/>
    </row>
    <row r="1544" spans="2:9" ht="15" hidden="1" customHeight="1" x14ac:dyDescent="0.25">
      <c r="B1544" s="7"/>
      <c r="C1544" s="140">
        <v>1516</v>
      </c>
      <c r="D1544" s="142"/>
      <c r="E1544" s="142"/>
      <c r="F1544" s="142"/>
      <c r="G1544" s="142"/>
      <c r="H1544" s="141"/>
      <c r="I1544" s="8"/>
    </row>
    <row r="1545" spans="2:9" ht="15" hidden="1" customHeight="1" x14ac:dyDescent="0.25">
      <c r="B1545" s="7"/>
      <c r="C1545" s="140">
        <v>1517</v>
      </c>
      <c r="D1545" s="142"/>
      <c r="E1545" s="142"/>
      <c r="F1545" s="142"/>
      <c r="G1545" s="142"/>
      <c r="H1545" s="141"/>
      <c r="I1545" s="8"/>
    </row>
    <row r="1546" spans="2:9" ht="15" hidden="1" customHeight="1" x14ac:dyDescent="0.25">
      <c r="B1546" s="7"/>
      <c r="C1546" s="140">
        <v>1518</v>
      </c>
      <c r="D1546" s="142"/>
      <c r="E1546" s="142"/>
      <c r="F1546" s="142"/>
      <c r="G1546" s="142"/>
      <c r="H1546" s="141"/>
      <c r="I1546" s="8"/>
    </row>
    <row r="1547" spans="2:9" ht="15" hidden="1" customHeight="1" x14ac:dyDescent="0.25">
      <c r="B1547" s="7"/>
      <c r="C1547" s="140">
        <v>1519</v>
      </c>
      <c r="D1547" s="142"/>
      <c r="E1547" s="142"/>
      <c r="F1547" s="142"/>
      <c r="G1547" s="142"/>
      <c r="H1547" s="141"/>
      <c r="I1547" s="8"/>
    </row>
    <row r="1548" spans="2:9" ht="15" hidden="1" customHeight="1" x14ac:dyDescent="0.25">
      <c r="B1548" s="7"/>
      <c r="C1548" s="140">
        <v>1520</v>
      </c>
      <c r="D1548" s="142"/>
      <c r="E1548" s="142"/>
      <c r="F1548" s="142"/>
      <c r="G1548" s="142"/>
      <c r="H1548" s="141"/>
      <c r="I1548" s="8"/>
    </row>
    <row r="1549" spans="2:9" ht="15" hidden="1" customHeight="1" x14ac:dyDescent="0.25">
      <c r="B1549" s="7"/>
      <c r="C1549" s="140">
        <v>1521</v>
      </c>
      <c r="D1549" s="142"/>
      <c r="E1549" s="142"/>
      <c r="F1549" s="142"/>
      <c r="G1549" s="142"/>
      <c r="H1549" s="141"/>
      <c r="I1549" s="8"/>
    </row>
    <row r="1550" spans="2:9" ht="15" hidden="1" customHeight="1" x14ac:dyDescent="0.25">
      <c r="B1550" s="7"/>
      <c r="C1550" s="140">
        <v>1522</v>
      </c>
      <c r="D1550" s="142"/>
      <c r="E1550" s="142"/>
      <c r="F1550" s="142"/>
      <c r="G1550" s="142"/>
      <c r="H1550" s="141"/>
      <c r="I1550" s="8"/>
    </row>
    <row r="1551" spans="2:9" ht="15" hidden="1" customHeight="1" x14ac:dyDescent="0.25">
      <c r="B1551" s="7"/>
      <c r="C1551" s="140">
        <v>1523</v>
      </c>
      <c r="D1551" s="142"/>
      <c r="E1551" s="142"/>
      <c r="F1551" s="142"/>
      <c r="G1551" s="142"/>
      <c r="H1551" s="141"/>
      <c r="I1551" s="8"/>
    </row>
    <row r="1552" spans="2:9" ht="15" hidden="1" customHeight="1" x14ac:dyDescent="0.25">
      <c r="B1552" s="7"/>
      <c r="C1552" s="140">
        <v>1524</v>
      </c>
      <c r="D1552" s="142"/>
      <c r="E1552" s="142"/>
      <c r="F1552" s="142"/>
      <c r="G1552" s="142"/>
      <c r="H1552" s="141"/>
      <c r="I1552" s="8"/>
    </row>
    <row r="1553" spans="2:9" ht="15" hidden="1" customHeight="1" x14ac:dyDescent="0.25">
      <c r="B1553" s="7"/>
      <c r="C1553" s="140">
        <v>1525</v>
      </c>
      <c r="D1553" s="142"/>
      <c r="E1553" s="142"/>
      <c r="F1553" s="142"/>
      <c r="G1553" s="142"/>
      <c r="H1553" s="141"/>
      <c r="I1553" s="8"/>
    </row>
    <row r="1554" spans="2:9" ht="15" hidden="1" customHeight="1" x14ac:dyDescent="0.25">
      <c r="B1554" s="7"/>
      <c r="C1554" s="140">
        <v>1526</v>
      </c>
      <c r="D1554" s="142"/>
      <c r="E1554" s="142"/>
      <c r="F1554" s="142"/>
      <c r="G1554" s="142"/>
      <c r="H1554" s="141"/>
      <c r="I1554" s="8"/>
    </row>
    <row r="1555" spans="2:9" ht="15" hidden="1" customHeight="1" x14ac:dyDescent="0.25">
      <c r="B1555" s="7"/>
      <c r="C1555" s="140">
        <v>1527</v>
      </c>
      <c r="D1555" s="142"/>
      <c r="E1555" s="142"/>
      <c r="F1555" s="142"/>
      <c r="G1555" s="142"/>
      <c r="H1555" s="141"/>
      <c r="I1555" s="8"/>
    </row>
    <row r="1556" spans="2:9" ht="15" hidden="1" customHeight="1" x14ac:dyDescent="0.25">
      <c r="B1556" s="7"/>
      <c r="C1556" s="140">
        <v>1528</v>
      </c>
      <c r="D1556" s="142"/>
      <c r="E1556" s="142"/>
      <c r="F1556" s="142"/>
      <c r="G1556" s="142"/>
      <c r="H1556" s="141"/>
      <c r="I1556" s="8"/>
    </row>
    <row r="1557" spans="2:9" ht="15" hidden="1" customHeight="1" x14ac:dyDescent="0.25">
      <c r="B1557" s="7"/>
      <c r="C1557" s="140">
        <v>1529</v>
      </c>
      <c r="D1557" s="142"/>
      <c r="E1557" s="142"/>
      <c r="F1557" s="142"/>
      <c r="G1557" s="142"/>
      <c r="H1557" s="141"/>
      <c r="I1557" s="8"/>
    </row>
    <row r="1558" spans="2:9" ht="15" hidden="1" customHeight="1" x14ac:dyDescent="0.25">
      <c r="B1558" s="7"/>
      <c r="C1558" s="140">
        <v>1530</v>
      </c>
      <c r="D1558" s="142"/>
      <c r="E1558" s="142"/>
      <c r="F1558" s="142"/>
      <c r="G1558" s="142"/>
      <c r="H1558" s="141"/>
      <c r="I1558" s="8"/>
    </row>
    <row r="1559" spans="2:9" ht="15" hidden="1" customHeight="1" x14ac:dyDescent="0.25">
      <c r="B1559" s="7"/>
      <c r="C1559" s="140">
        <v>1531</v>
      </c>
      <c r="D1559" s="142"/>
      <c r="E1559" s="142"/>
      <c r="F1559" s="142"/>
      <c r="G1559" s="142"/>
      <c r="H1559" s="141"/>
      <c r="I1559" s="8"/>
    </row>
    <row r="1560" spans="2:9" ht="15" hidden="1" customHeight="1" x14ac:dyDescent="0.25">
      <c r="B1560" s="7"/>
      <c r="C1560" s="140">
        <v>1532</v>
      </c>
      <c r="D1560" s="142"/>
      <c r="E1560" s="142"/>
      <c r="F1560" s="142"/>
      <c r="G1560" s="142"/>
      <c r="H1560" s="141"/>
      <c r="I1560" s="8"/>
    </row>
    <row r="1561" spans="2:9" ht="15" hidden="1" customHeight="1" x14ac:dyDescent="0.25">
      <c r="B1561" s="7"/>
      <c r="C1561" s="140">
        <v>1533</v>
      </c>
      <c r="D1561" s="142"/>
      <c r="E1561" s="142"/>
      <c r="F1561" s="142"/>
      <c r="G1561" s="142"/>
      <c r="H1561" s="141"/>
      <c r="I1561" s="8"/>
    </row>
    <row r="1562" spans="2:9" ht="15" hidden="1" customHeight="1" x14ac:dyDescent="0.25">
      <c r="B1562" s="7"/>
      <c r="C1562" s="140">
        <v>1534</v>
      </c>
      <c r="D1562" s="142"/>
      <c r="E1562" s="142"/>
      <c r="F1562" s="142"/>
      <c r="G1562" s="142"/>
      <c r="H1562" s="141"/>
      <c r="I1562" s="8"/>
    </row>
    <row r="1563" spans="2:9" ht="15" hidden="1" customHeight="1" x14ac:dyDescent="0.25">
      <c r="B1563" s="7"/>
      <c r="C1563" s="140">
        <v>1535</v>
      </c>
      <c r="D1563" s="142"/>
      <c r="E1563" s="142"/>
      <c r="F1563" s="142"/>
      <c r="G1563" s="142"/>
      <c r="H1563" s="141"/>
      <c r="I1563" s="8"/>
    </row>
    <row r="1564" spans="2:9" ht="15" hidden="1" customHeight="1" x14ac:dyDescent="0.25">
      <c r="B1564" s="7"/>
      <c r="C1564" s="140">
        <v>1536</v>
      </c>
      <c r="D1564" s="142"/>
      <c r="E1564" s="142"/>
      <c r="F1564" s="142"/>
      <c r="G1564" s="142"/>
      <c r="H1564" s="141"/>
      <c r="I1564" s="8"/>
    </row>
    <row r="1565" spans="2:9" ht="15" hidden="1" customHeight="1" x14ac:dyDescent="0.25">
      <c r="B1565" s="7"/>
      <c r="C1565" s="140">
        <v>1537</v>
      </c>
      <c r="D1565" s="142"/>
      <c r="E1565" s="142"/>
      <c r="F1565" s="142"/>
      <c r="G1565" s="142"/>
      <c r="H1565" s="141"/>
      <c r="I1565" s="8"/>
    </row>
    <row r="1566" spans="2:9" ht="15" hidden="1" customHeight="1" x14ac:dyDescent="0.25">
      <c r="B1566" s="7"/>
      <c r="C1566" s="140">
        <v>1538</v>
      </c>
      <c r="D1566" s="142"/>
      <c r="E1566" s="142"/>
      <c r="F1566" s="142"/>
      <c r="G1566" s="142"/>
      <c r="H1566" s="141"/>
      <c r="I1566" s="8"/>
    </row>
    <row r="1567" spans="2:9" ht="15" hidden="1" customHeight="1" x14ac:dyDescent="0.25">
      <c r="B1567" s="7"/>
      <c r="C1567" s="140">
        <v>1539</v>
      </c>
      <c r="D1567" s="142"/>
      <c r="E1567" s="142"/>
      <c r="F1567" s="142"/>
      <c r="G1567" s="142"/>
      <c r="H1567" s="141"/>
      <c r="I1567" s="8"/>
    </row>
    <row r="1568" spans="2:9" ht="15" hidden="1" customHeight="1" x14ac:dyDescent="0.25">
      <c r="B1568" s="7"/>
      <c r="C1568" s="140">
        <v>1540</v>
      </c>
      <c r="D1568" s="142"/>
      <c r="E1568" s="142"/>
      <c r="F1568" s="142"/>
      <c r="G1568" s="142"/>
      <c r="H1568" s="141"/>
      <c r="I1568" s="8"/>
    </row>
    <row r="1569" spans="2:9" ht="15" hidden="1" customHeight="1" x14ac:dyDescent="0.25">
      <c r="B1569" s="7"/>
      <c r="C1569" s="140">
        <v>1541</v>
      </c>
      <c r="D1569" s="142"/>
      <c r="E1569" s="142"/>
      <c r="F1569" s="142"/>
      <c r="G1569" s="142"/>
      <c r="H1569" s="141"/>
      <c r="I1569" s="8"/>
    </row>
    <row r="1570" spans="2:9" ht="15" hidden="1" customHeight="1" x14ac:dyDescent="0.25">
      <c r="B1570" s="7"/>
      <c r="C1570" s="140">
        <v>1542</v>
      </c>
      <c r="D1570" s="142"/>
      <c r="E1570" s="142"/>
      <c r="F1570" s="142"/>
      <c r="G1570" s="142"/>
      <c r="H1570" s="141"/>
      <c r="I1570" s="8"/>
    </row>
    <row r="1571" spans="2:9" ht="15" hidden="1" customHeight="1" x14ac:dyDescent="0.25">
      <c r="B1571" s="7"/>
      <c r="C1571" s="140">
        <v>1543</v>
      </c>
      <c r="D1571" s="142"/>
      <c r="E1571" s="142"/>
      <c r="F1571" s="142"/>
      <c r="G1571" s="142"/>
      <c r="H1571" s="141"/>
      <c r="I1571" s="8"/>
    </row>
    <row r="1572" spans="2:9" ht="15" hidden="1" customHeight="1" x14ac:dyDescent="0.25">
      <c r="B1572" s="7"/>
      <c r="C1572" s="140">
        <v>1544</v>
      </c>
      <c r="D1572" s="142"/>
      <c r="E1572" s="142"/>
      <c r="F1572" s="142"/>
      <c r="G1572" s="142"/>
      <c r="H1572" s="141"/>
      <c r="I1572" s="8"/>
    </row>
    <row r="1573" spans="2:9" ht="15" hidden="1" customHeight="1" x14ac:dyDescent="0.25">
      <c r="B1573" s="7"/>
      <c r="C1573" s="140">
        <v>1545</v>
      </c>
      <c r="D1573" s="142"/>
      <c r="E1573" s="142"/>
      <c r="F1573" s="142"/>
      <c r="G1573" s="142"/>
      <c r="H1573" s="141"/>
      <c r="I1573" s="8"/>
    </row>
    <row r="1574" spans="2:9" ht="15" hidden="1" customHeight="1" x14ac:dyDescent="0.25">
      <c r="B1574" s="7"/>
      <c r="C1574" s="140">
        <v>1546</v>
      </c>
      <c r="D1574" s="142"/>
      <c r="E1574" s="142"/>
      <c r="F1574" s="142"/>
      <c r="G1574" s="142"/>
      <c r="H1574" s="141"/>
      <c r="I1574" s="8"/>
    </row>
    <row r="1575" spans="2:9" ht="15" hidden="1" customHeight="1" x14ac:dyDescent="0.25">
      <c r="B1575" s="7"/>
      <c r="C1575" s="140">
        <v>1547</v>
      </c>
      <c r="D1575" s="142"/>
      <c r="E1575" s="142"/>
      <c r="F1575" s="142"/>
      <c r="G1575" s="142"/>
      <c r="H1575" s="141"/>
      <c r="I1575" s="8"/>
    </row>
    <row r="1576" spans="2:9" ht="15" hidden="1" customHeight="1" x14ac:dyDescent="0.25">
      <c r="B1576" s="7"/>
      <c r="C1576" s="140">
        <v>1548</v>
      </c>
      <c r="D1576" s="142"/>
      <c r="E1576" s="142"/>
      <c r="F1576" s="142"/>
      <c r="G1576" s="142"/>
      <c r="H1576" s="141"/>
      <c r="I1576" s="8"/>
    </row>
    <row r="1577" spans="2:9" ht="15" hidden="1" customHeight="1" x14ac:dyDescent="0.25">
      <c r="B1577" s="7"/>
      <c r="C1577" s="140">
        <v>1549</v>
      </c>
      <c r="D1577" s="142"/>
      <c r="E1577" s="142"/>
      <c r="F1577" s="142"/>
      <c r="G1577" s="142"/>
      <c r="H1577" s="141"/>
      <c r="I1577" s="8"/>
    </row>
    <row r="1578" spans="2:9" ht="15" hidden="1" customHeight="1" x14ac:dyDescent="0.25">
      <c r="B1578" s="7"/>
      <c r="C1578" s="140">
        <v>1550</v>
      </c>
      <c r="D1578" s="142"/>
      <c r="E1578" s="142"/>
      <c r="F1578" s="142"/>
      <c r="G1578" s="142"/>
      <c r="H1578" s="141"/>
      <c r="I1578" s="8"/>
    </row>
    <row r="1579" spans="2:9" ht="15" hidden="1" customHeight="1" x14ac:dyDescent="0.25">
      <c r="B1579" s="7"/>
      <c r="C1579" s="140">
        <v>1551</v>
      </c>
      <c r="D1579" s="142"/>
      <c r="E1579" s="142"/>
      <c r="F1579" s="142"/>
      <c r="G1579" s="142"/>
      <c r="H1579" s="141"/>
      <c r="I1579" s="8"/>
    </row>
    <row r="1580" spans="2:9" ht="15" hidden="1" customHeight="1" x14ac:dyDescent="0.25">
      <c r="B1580" s="7"/>
      <c r="C1580" s="140">
        <v>1552</v>
      </c>
      <c r="D1580" s="142"/>
      <c r="E1580" s="142"/>
      <c r="F1580" s="142"/>
      <c r="G1580" s="142"/>
      <c r="H1580" s="141"/>
      <c r="I1580" s="8"/>
    </row>
    <row r="1581" spans="2:9" ht="15" hidden="1" customHeight="1" x14ac:dyDescent="0.25">
      <c r="B1581" s="7"/>
      <c r="C1581" s="140">
        <v>1553</v>
      </c>
      <c r="D1581" s="142"/>
      <c r="E1581" s="142"/>
      <c r="F1581" s="142"/>
      <c r="G1581" s="142"/>
      <c r="H1581" s="141"/>
      <c r="I1581" s="8"/>
    </row>
    <row r="1582" spans="2:9" ht="15" hidden="1" customHeight="1" x14ac:dyDescent="0.25">
      <c r="B1582" s="7"/>
      <c r="C1582" s="140">
        <v>1554</v>
      </c>
      <c r="D1582" s="142"/>
      <c r="E1582" s="142"/>
      <c r="F1582" s="142"/>
      <c r="G1582" s="142"/>
      <c r="H1582" s="141"/>
      <c r="I1582" s="8"/>
    </row>
    <row r="1583" spans="2:9" ht="15" hidden="1" customHeight="1" x14ac:dyDescent="0.25">
      <c r="B1583" s="7"/>
      <c r="C1583" s="140">
        <v>1555</v>
      </c>
      <c r="D1583" s="142"/>
      <c r="E1583" s="142"/>
      <c r="F1583" s="142"/>
      <c r="G1583" s="142"/>
      <c r="H1583" s="141"/>
      <c r="I1583" s="8"/>
    </row>
    <row r="1584" spans="2:9" ht="15" hidden="1" customHeight="1" x14ac:dyDescent="0.25">
      <c r="B1584" s="7"/>
      <c r="C1584" s="140">
        <v>1556</v>
      </c>
      <c r="D1584" s="142"/>
      <c r="E1584" s="142"/>
      <c r="F1584" s="142"/>
      <c r="G1584" s="142"/>
      <c r="H1584" s="141"/>
      <c r="I1584" s="8"/>
    </row>
    <row r="1585" spans="2:9" ht="15" hidden="1" customHeight="1" x14ac:dyDescent="0.25">
      <c r="B1585" s="7"/>
      <c r="C1585" s="140">
        <v>1557</v>
      </c>
      <c r="D1585" s="142"/>
      <c r="E1585" s="142"/>
      <c r="F1585" s="142"/>
      <c r="G1585" s="142"/>
      <c r="H1585" s="141"/>
      <c r="I1585" s="8"/>
    </row>
    <row r="1586" spans="2:9" ht="15" hidden="1" customHeight="1" x14ac:dyDescent="0.25">
      <c r="B1586" s="7"/>
      <c r="C1586" s="140">
        <v>1558</v>
      </c>
      <c r="D1586" s="142"/>
      <c r="E1586" s="142"/>
      <c r="F1586" s="142"/>
      <c r="G1586" s="142"/>
      <c r="H1586" s="141"/>
      <c r="I1586" s="8"/>
    </row>
    <row r="1587" spans="2:9" ht="15" hidden="1" customHeight="1" x14ac:dyDescent="0.25">
      <c r="B1587" s="7"/>
      <c r="C1587" s="140">
        <v>1559</v>
      </c>
      <c r="D1587" s="142"/>
      <c r="E1587" s="142"/>
      <c r="F1587" s="142"/>
      <c r="G1587" s="142"/>
      <c r="H1587" s="141"/>
      <c r="I1587" s="8"/>
    </row>
    <row r="1588" spans="2:9" ht="15" hidden="1" customHeight="1" x14ac:dyDescent="0.25">
      <c r="B1588" s="7"/>
      <c r="C1588" s="140">
        <v>1560</v>
      </c>
      <c r="D1588" s="142"/>
      <c r="E1588" s="142"/>
      <c r="F1588" s="142"/>
      <c r="G1588" s="142"/>
      <c r="H1588" s="141"/>
      <c r="I1588" s="8"/>
    </row>
    <row r="1589" spans="2:9" ht="15" hidden="1" customHeight="1" x14ac:dyDescent="0.25">
      <c r="B1589" s="7"/>
      <c r="C1589" s="140">
        <v>1561</v>
      </c>
      <c r="D1589" s="142"/>
      <c r="E1589" s="142"/>
      <c r="F1589" s="142"/>
      <c r="G1589" s="142"/>
      <c r="H1589" s="141"/>
      <c r="I1589" s="8"/>
    </row>
    <row r="1590" spans="2:9" ht="15" hidden="1" customHeight="1" x14ac:dyDescent="0.25">
      <c r="B1590" s="7"/>
      <c r="C1590" s="140">
        <v>1562</v>
      </c>
      <c r="D1590" s="142"/>
      <c r="E1590" s="142"/>
      <c r="F1590" s="142"/>
      <c r="G1590" s="142"/>
      <c r="H1590" s="141"/>
      <c r="I1590" s="8"/>
    </row>
    <row r="1591" spans="2:9" ht="15" hidden="1" customHeight="1" x14ac:dyDescent="0.25">
      <c r="B1591" s="7"/>
      <c r="C1591" s="140">
        <v>1563</v>
      </c>
      <c r="D1591" s="142"/>
      <c r="E1591" s="142"/>
      <c r="F1591" s="142"/>
      <c r="G1591" s="142"/>
      <c r="H1591" s="141"/>
      <c r="I1591" s="8"/>
    </row>
    <row r="1592" spans="2:9" ht="15" hidden="1" customHeight="1" x14ac:dyDescent="0.25">
      <c r="B1592" s="7"/>
      <c r="C1592" s="140">
        <v>1564</v>
      </c>
      <c r="D1592" s="142"/>
      <c r="E1592" s="142"/>
      <c r="F1592" s="142"/>
      <c r="G1592" s="142"/>
      <c r="H1592" s="141"/>
      <c r="I1592" s="8"/>
    </row>
    <row r="1593" spans="2:9" ht="15" hidden="1" customHeight="1" x14ac:dyDescent="0.25">
      <c r="B1593" s="7"/>
      <c r="C1593" s="140">
        <v>1565</v>
      </c>
      <c r="D1593" s="142"/>
      <c r="E1593" s="142"/>
      <c r="F1593" s="142"/>
      <c r="G1593" s="142"/>
      <c r="H1593" s="141"/>
      <c r="I1593" s="8"/>
    </row>
    <row r="1594" spans="2:9" ht="15" hidden="1" customHeight="1" x14ac:dyDescent="0.25">
      <c r="B1594" s="7"/>
      <c r="C1594" s="140">
        <v>1566</v>
      </c>
      <c r="D1594" s="142"/>
      <c r="E1594" s="142"/>
      <c r="F1594" s="142"/>
      <c r="G1594" s="142"/>
      <c r="H1594" s="141"/>
      <c r="I1594" s="8"/>
    </row>
    <row r="1595" spans="2:9" ht="15" hidden="1" customHeight="1" x14ac:dyDescent="0.25">
      <c r="B1595" s="7"/>
      <c r="C1595" s="140">
        <v>1567</v>
      </c>
      <c r="D1595" s="142"/>
      <c r="E1595" s="142"/>
      <c r="F1595" s="142"/>
      <c r="G1595" s="142"/>
      <c r="H1595" s="141"/>
      <c r="I1595" s="8"/>
    </row>
    <row r="1596" spans="2:9" ht="15" hidden="1" customHeight="1" x14ac:dyDescent="0.25">
      <c r="B1596" s="7"/>
      <c r="C1596" s="140">
        <v>1568</v>
      </c>
      <c r="D1596" s="142"/>
      <c r="E1596" s="142"/>
      <c r="F1596" s="142"/>
      <c r="G1596" s="142"/>
      <c r="H1596" s="141"/>
      <c r="I1596" s="8"/>
    </row>
    <row r="1597" spans="2:9" ht="15" hidden="1" customHeight="1" x14ac:dyDescent="0.25">
      <c r="B1597" s="7"/>
      <c r="C1597" s="140">
        <v>1569</v>
      </c>
      <c r="D1597" s="142"/>
      <c r="E1597" s="142"/>
      <c r="F1597" s="142"/>
      <c r="G1597" s="142"/>
      <c r="H1597" s="141"/>
      <c r="I1597" s="8"/>
    </row>
    <row r="1598" spans="2:9" ht="15" hidden="1" customHeight="1" x14ac:dyDescent="0.25">
      <c r="B1598" s="7"/>
      <c r="C1598" s="140">
        <v>1570</v>
      </c>
      <c r="D1598" s="142"/>
      <c r="E1598" s="142"/>
      <c r="F1598" s="142"/>
      <c r="G1598" s="142"/>
      <c r="H1598" s="141"/>
      <c r="I1598" s="8"/>
    </row>
    <row r="1599" spans="2:9" ht="15" hidden="1" customHeight="1" x14ac:dyDescent="0.25">
      <c r="B1599" s="7"/>
      <c r="C1599" s="140">
        <v>1571</v>
      </c>
      <c r="D1599" s="142"/>
      <c r="E1599" s="142"/>
      <c r="F1599" s="142"/>
      <c r="G1599" s="142"/>
      <c r="H1599" s="141"/>
      <c r="I1599" s="8"/>
    </row>
    <row r="1600" spans="2:9" ht="15" hidden="1" customHeight="1" x14ac:dyDescent="0.25">
      <c r="B1600" s="7"/>
      <c r="C1600" s="140">
        <v>1572</v>
      </c>
      <c r="D1600" s="142"/>
      <c r="E1600" s="142"/>
      <c r="F1600" s="142"/>
      <c r="G1600" s="142"/>
      <c r="H1600" s="141"/>
      <c r="I1600" s="8"/>
    </row>
    <row r="1601" spans="2:9" ht="15" hidden="1" customHeight="1" x14ac:dyDescent="0.25">
      <c r="B1601" s="7"/>
      <c r="C1601" s="140">
        <v>1573</v>
      </c>
      <c r="D1601" s="142"/>
      <c r="E1601" s="142"/>
      <c r="F1601" s="142"/>
      <c r="G1601" s="142"/>
      <c r="H1601" s="141"/>
      <c r="I1601" s="8"/>
    </row>
    <row r="1602" spans="2:9" ht="15" hidden="1" customHeight="1" x14ac:dyDescent="0.25">
      <c r="B1602" s="7"/>
      <c r="C1602" s="140">
        <v>1574</v>
      </c>
      <c r="D1602" s="142"/>
      <c r="E1602" s="142"/>
      <c r="F1602" s="142"/>
      <c r="G1602" s="142"/>
      <c r="H1602" s="141"/>
      <c r="I1602" s="8"/>
    </row>
    <row r="1603" spans="2:9" ht="15" hidden="1" customHeight="1" x14ac:dyDescent="0.25">
      <c r="B1603" s="7"/>
      <c r="C1603" s="140">
        <v>1575</v>
      </c>
      <c r="D1603" s="142"/>
      <c r="E1603" s="142"/>
      <c r="F1603" s="142"/>
      <c r="G1603" s="142"/>
      <c r="H1603" s="141"/>
      <c r="I1603" s="8"/>
    </row>
    <row r="1604" spans="2:9" ht="15" hidden="1" customHeight="1" x14ac:dyDescent="0.25">
      <c r="B1604" s="7"/>
      <c r="C1604" s="140">
        <v>1576</v>
      </c>
      <c r="D1604" s="142"/>
      <c r="E1604" s="142"/>
      <c r="F1604" s="142"/>
      <c r="G1604" s="142"/>
      <c r="H1604" s="141"/>
      <c r="I1604" s="8"/>
    </row>
    <row r="1605" spans="2:9" ht="15" hidden="1" customHeight="1" x14ac:dyDescent="0.25">
      <c r="B1605" s="7"/>
      <c r="C1605" s="140">
        <v>1577</v>
      </c>
      <c r="D1605" s="142"/>
      <c r="E1605" s="142"/>
      <c r="F1605" s="142"/>
      <c r="G1605" s="142"/>
      <c r="H1605" s="141"/>
      <c r="I1605" s="8"/>
    </row>
    <row r="1606" spans="2:9" ht="15" hidden="1" customHeight="1" x14ac:dyDescent="0.25">
      <c r="B1606" s="7"/>
      <c r="C1606" s="140">
        <v>1578</v>
      </c>
      <c r="D1606" s="142"/>
      <c r="E1606" s="142"/>
      <c r="F1606" s="142"/>
      <c r="G1606" s="142"/>
      <c r="H1606" s="141"/>
      <c r="I1606" s="8"/>
    </row>
    <row r="1607" spans="2:9" ht="15" hidden="1" customHeight="1" x14ac:dyDescent="0.25">
      <c r="B1607" s="7"/>
      <c r="C1607" s="140">
        <v>1579</v>
      </c>
      <c r="D1607" s="142"/>
      <c r="E1607" s="142"/>
      <c r="F1607" s="142"/>
      <c r="G1607" s="142"/>
      <c r="H1607" s="141"/>
      <c r="I1607" s="8"/>
    </row>
    <row r="1608" spans="2:9" ht="15" hidden="1" customHeight="1" x14ac:dyDescent="0.25">
      <c r="B1608" s="7"/>
      <c r="C1608" s="140">
        <v>1580</v>
      </c>
      <c r="D1608" s="142"/>
      <c r="E1608" s="142"/>
      <c r="F1608" s="142"/>
      <c r="G1608" s="142"/>
      <c r="H1608" s="141"/>
      <c r="I1608" s="8"/>
    </row>
    <row r="1609" spans="2:9" ht="15" hidden="1" customHeight="1" x14ac:dyDescent="0.25">
      <c r="B1609" s="7"/>
      <c r="C1609" s="140">
        <v>1581</v>
      </c>
      <c r="D1609" s="142"/>
      <c r="E1609" s="142"/>
      <c r="F1609" s="142"/>
      <c r="G1609" s="142"/>
      <c r="H1609" s="141"/>
      <c r="I1609" s="8"/>
    </row>
    <row r="1610" spans="2:9" ht="15" hidden="1" customHeight="1" x14ac:dyDescent="0.25">
      <c r="B1610" s="7"/>
      <c r="C1610" s="140">
        <v>1582</v>
      </c>
      <c r="D1610" s="142"/>
      <c r="E1610" s="142"/>
      <c r="F1610" s="142"/>
      <c r="G1610" s="142"/>
      <c r="H1610" s="141"/>
      <c r="I1610" s="8"/>
    </row>
    <row r="1611" spans="2:9" ht="15" hidden="1" customHeight="1" x14ac:dyDescent="0.25">
      <c r="B1611" s="7"/>
      <c r="C1611" s="140">
        <v>1583</v>
      </c>
      <c r="D1611" s="142"/>
      <c r="E1611" s="142"/>
      <c r="F1611" s="142"/>
      <c r="G1611" s="142"/>
      <c r="H1611" s="141"/>
      <c r="I1611" s="8"/>
    </row>
    <row r="1612" spans="2:9" ht="15" hidden="1" customHeight="1" x14ac:dyDescent="0.25">
      <c r="B1612" s="7"/>
      <c r="C1612" s="140">
        <v>1584</v>
      </c>
      <c r="D1612" s="142"/>
      <c r="E1612" s="142"/>
      <c r="F1612" s="142"/>
      <c r="G1612" s="142"/>
      <c r="H1612" s="141"/>
      <c r="I1612" s="8"/>
    </row>
    <row r="1613" spans="2:9" ht="15" hidden="1" customHeight="1" x14ac:dyDescent="0.25">
      <c r="B1613" s="7"/>
      <c r="C1613" s="140">
        <v>1585</v>
      </c>
      <c r="D1613" s="142"/>
      <c r="E1613" s="142"/>
      <c r="F1613" s="142"/>
      <c r="G1613" s="142"/>
      <c r="H1613" s="141"/>
      <c r="I1613" s="8"/>
    </row>
    <row r="1614" spans="2:9" ht="15" hidden="1" customHeight="1" x14ac:dyDescent="0.25">
      <c r="B1614" s="7"/>
      <c r="C1614" s="140">
        <v>1586</v>
      </c>
      <c r="D1614" s="142"/>
      <c r="E1614" s="142"/>
      <c r="F1614" s="142"/>
      <c r="G1614" s="142"/>
      <c r="H1614" s="141"/>
      <c r="I1614" s="8"/>
    </row>
    <row r="1615" spans="2:9" ht="15" hidden="1" customHeight="1" x14ac:dyDescent="0.25">
      <c r="B1615" s="7"/>
      <c r="C1615" s="140">
        <v>1587</v>
      </c>
      <c r="D1615" s="142"/>
      <c r="E1615" s="142"/>
      <c r="F1615" s="142"/>
      <c r="G1615" s="142"/>
      <c r="H1615" s="141"/>
      <c r="I1615" s="8"/>
    </row>
    <row r="1616" spans="2:9" ht="15" hidden="1" customHeight="1" x14ac:dyDescent="0.25">
      <c r="B1616" s="7"/>
      <c r="C1616" s="140">
        <v>1588</v>
      </c>
      <c r="D1616" s="142"/>
      <c r="E1616" s="142"/>
      <c r="F1616" s="142"/>
      <c r="G1616" s="142"/>
      <c r="H1616" s="141"/>
      <c r="I1616" s="8"/>
    </row>
    <row r="1617" spans="2:9" ht="15" hidden="1" customHeight="1" x14ac:dyDescent="0.25">
      <c r="B1617" s="7"/>
      <c r="C1617" s="140">
        <v>1589</v>
      </c>
      <c r="D1617" s="142"/>
      <c r="E1617" s="142"/>
      <c r="F1617" s="142"/>
      <c r="G1617" s="142"/>
      <c r="H1617" s="141"/>
      <c r="I1617" s="8"/>
    </row>
    <row r="1618" spans="2:9" ht="15" hidden="1" customHeight="1" x14ac:dyDescent="0.25">
      <c r="B1618" s="7"/>
      <c r="C1618" s="140">
        <v>1590</v>
      </c>
      <c r="D1618" s="142"/>
      <c r="E1618" s="142"/>
      <c r="F1618" s="142"/>
      <c r="G1618" s="142"/>
      <c r="H1618" s="141"/>
      <c r="I1618" s="8"/>
    </row>
    <row r="1619" spans="2:9" ht="15" hidden="1" customHeight="1" x14ac:dyDescent="0.25">
      <c r="B1619" s="7"/>
      <c r="C1619" s="140">
        <v>1591</v>
      </c>
      <c r="D1619" s="142"/>
      <c r="E1619" s="142"/>
      <c r="F1619" s="142"/>
      <c r="G1619" s="142"/>
      <c r="H1619" s="141"/>
      <c r="I1619" s="8"/>
    </row>
    <row r="1620" spans="2:9" ht="15" hidden="1" customHeight="1" x14ac:dyDescent="0.25">
      <c r="B1620" s="7"/>
      <c r="C1620" s="140">
        <v>1592</v>
      </c>
      <c r="D1620" s="142"/>
      <c r="E1620" s="142"/>
      <c r="F1620" s="142"/>
      <c r="G1620" s="142"/>
      <c r="H1620" s="141"/>
      <c r="I1620" s="8"/>
    </row>
    <row r="1621" spans="2:9" ht="15" hidden="1" customHeight="1" x14ac:dyDescent="0.25">
      <c r="B1621" s="7"/>
      <c r="C1621" s="140">
        <v>1593</v>
      </c>
      <c r="D1621" s="142"/>
      <c r="E1621" s="142"/>
      <c r="F1621" s="142"/>
      <c r="G1621" s="142"/>
      <c r="H1621" s="141"/>
      <c r="I1621" s="8"/>
    </row>
    <row r="1622" spans="2:9" ht="15" hidden="1" customHeight="1" x14ac:dyDescent="0.25">
      <c r="B1622" s="7"/>
      <c r="C1622" s="140">
        <v>1594</v>
      </c>
      <c r="D1622" s="142"/>
      <c r="E1622" s="142"/>
      <c r="F1622" s="142"/>
      <c r="G1622" s="142"/>
      <c r="H1622" s="141"/>
      <c r="I1622" s="8"/>
    </row>
    <row r="1623" spans="2:9" ht="15" hidden="1" customHeight="1" x14ac:dyDescent="0.25">
      <c r="B1623" s="7"/>
      <c r="C1623" s="140">
        <v>1595</v>
      </c>
      <c r="D1623" s="142"/>
      <c r="E1623" s="142"/>
      <c r="F1623" s="142"/>
      <c r="G1623" s="142"/>
      <c r="H1623" s="141"/>
      <c r="I1623" s="8"/>
    </row>
    <row r="1624" spans="2:9" ht="15" hidden="1" customHeight="1" x14ac:dyDescent="0.25">
      <c r="B1624" s="7"/>
      <c r="C1624" s="140">
        <v>1596</v>
      </c>
      <c r="D1624" s="142"/>
      <c r="E1624" s="142"/>
      <c r="F1624" s="142"/>
      <c r="G1624" s="142"/>
      <c r="H1624" s="141"/>
      <c r="I1624" s="8"/>
    </row>
    <row r="1625" spans="2:9" ht="15" hidden="1" customHeight="1" x14ac:dyDescent="0.25">
      <c r="B1625" s="7"/>
      <c r="C1625" s="140">
        <v>1597</v>
      </c>
      <c r="D1625" s="142"/>
      <c r="E1625" s="142"/>
      <c r="F1625" s="142"/>
      <c r="G1625" s="142"/>
      <c r="H1625" s="141"/>
      <c r="I1625" s="8"/>
    </row>
    <row r="1626" spans="2:9" ht="15" hidden="1" customHeight="1" x14ac:dyDescent="0.25">
      <c r="B1626" s="7"/>
      <c r="C1626" s="140">
        <v>1598</v>
      </c>
      <c r="D1626" s="142"/>
      <c r="E1626" s="142"/>
      <c r="F1626" s="142"/>
      <c r="G1626" s="142"/>
      <c r="H1626" s="141"/>
      <c r="I1626" s="8"/>
    </row>
    <row r="1627" spans="2:9" ht="15" hidden="1" customHeight="1" x14ac:dyDescent="0.25">
      <c r="B1627" s="7"/>
      <c r="C1627" s="140">
        <v>1599</v>
      </c>
      <c r="D1627" s="142"/>
      <c r="E1627" s="142"/>
      <c r="F1627" s="142"/>
      <c r="G1627" s="142"/>
      <c r="H1627" s="141"/>
      <c r="I1627" s="8"/>
    </row>
    <row r="1628" spans="2:9" ht="15" hidden="1" customHeight="1" x14ac:dyDescent="0.25">
      <c r="B1628" s="7"/>
      <c r="C1628" s="140">
        <v>1600</v>
      </c>
      <c r="D1628" s="142"/>
      <c r="E1628" s="142"/>
      <c r="F1628" s="142"/>
      <c r="G1628" s="142"/>
      <c r="H1628" s="141"/>
      <c r="I1628" s="8"/>
    </row>
    <row r="1629" spans="2:9" ht="15" hidden="1" customHeight="1" x14ac:dyDescent="0.25">
      <c r="B1629" s="7"/>
      <c r="C1629" s="140">
        <v>1601</v>
      </c>
      <c r="D1629" s="142"/>
      <c r="E1629" s="142"/>
      <c r="F1629" s="142"/>
      <c r="G1629" s="142"/>
      <c r="H1629" s="141"/>
      <c r="I1629" s="8"/>
    </row>
    <row r="1630" spans="2:9" ht="15" hidden="1" customHeight="1" x14ac:dyDescent="0.25">
      <c r="B1630" s="7"/>
      <c r="C1630" s="140">
        <v>1602</v>
      </c>
      <c r="D1630" s="142"/>
      <c r="E1630" s="142"/>
      <c r="F1630" s="142"/>
      <c r="G1630" s="142"/>
      <c r="H1630" s="141"/>
      <c r="I1630" s="8"/>
    </row>
    <row r="1631" spans="2:9" ht="15" hidden="1" customHeight="1" x14ac:dyDescent="0.25">
      <c r="B1631" s="7"/>
      <c r="C1631" s="140">
        <v>1603</v>
      </c>
      <c r="D1631" s="142"/>
      <c r="E1631" s="142"/>
      <c r="F1631" s="142"/>
      <c r="G1631" s="142"/>
      <c r="H1631" s="141"/>
      <c r="I1631" s="8"/>
    </row>
    <row r="1632" spans="2:9" ht="15" hidden="1" customHeight="1" x14ac:dyDescent="0.25">
      <c r="B1632" s="7"/>
      <c r="C1632" s="140">
        <v>1604</v>
      </c>
      <c r="D1632" s="142"/>
      <c r="E1632" s="142"/>
      <c r="F1632" s="142"/>
      <c r="G1632" s="142"/>
      <c r="H1632" s="141"/>
      <c r="I1632" s="8"/>
    </row>
    <row r="1633" spans="2:9" ht="15" hidden="1" customHeight="1" x14ac:dyDescent="0.25">
      <c r="B1633" s="7"/>
      <c r="C1633" s="140">
        <v>1605</v>
      </c>
      <c r="D1633" s="142"/>
      <c r="E1633" s="142"/>
      <c r="F1633" s="142"/>
      <c r="G1633" s="142"/>
      <c r="H1633" s="141"/>
      <c r="I1633" s="8"/>
    </row>
    <row r="1634" spans="2:9" ht="15" hidden="1" customHeight="1" x14ac:dyDescent="0.25">
      <c r="B1634" s="7"/>
      <c r="C1634" s="140">
        <v>1606</v>
      </c>
      <c r="D1634" s="142"/>
      <c r="E1634" s="142"/>
      <c r="F1634" s="142"/>
      <c r="G1634" s="142"/>
      <c r="H1634" s="141"/>
      <c r="I1634" s="8"/>
    </row>
    <row r="1635" spans="2:9" ht="15" hidden="1" customHeight="1" x14ac:dyDescent="0.25">
      <c r="B1635" s="7"/>
      <c r="C1635" s="140">
        <v>1607</v>
      </c>
      <c r="D1635" s="142"/>
      <c r="E1635" s="142"/>
      <c r="F1635" s="142"/>
      <c r="G1635" s="142"/>
      <c r="H1635" s="141"/>
      <c r="I1635" s="8"/>
    </row>
    <row r="1636" spans="2:9" ht="15" hidden="1" customHeight="1" x14ac:dyDescent="0.25">
      <c r="B1636" s="7"/>
      <c r="C1636" s="140">
        <v>1608</v>
      </c>
      <c r="D1636" s="142"/>
      <c r="E1636" s="142"/>
      <c r="F1636" s="142"/>
      <c r="G1636" s="142"/>
      <c r="H1636" s="141"/>
      <c r="I1636" s="8"/>
    </row>
    <row r="1637" spans="2:9" ht="15" hidden="1" customHeight="1" x14ac:dyDescent="0.25">
      <c r="B1637" s="7"/>
      <c r="C1637" s="140">
        <v>1609</v>
      </c>
      <c r="D1637" s="142"/>
      <c r="E1637" s="142"/>
      <c r="F1637" s="142"/>
      <c r="G1637" s="142"/>
      <c r="H1637" s="141"/>
      <c r="I1637" s="8"/>
    </row>
    <row r="1638" spans="2:9" ht="15" hidden="1" customHeight="1" x14ac:dyDescent="0.25">
      <c r="B1638" s="7"/>
      <c r="C1638" s="140">
        <v>1610</v>
      </c>
      <c r="D1638" s="142"/>
      <c r="E1638" s="142"/>
      <c r="F1638" s="142"/>
      <c r="G1638" s="142"/>
      <c r="H1638" s="141"/>
      <c r="I1638" s="8"/>
    </row>
    <row r="1639" spans="2:9" ht="15" hidden="1" customHeight="1" x14ac:dyDescent="0.25">
      <c r="B1639" s="7"/>
      <c r="C1639" s="140">
        <v>1611</v>
      </c>
      <c r="D1639" s="142"/>
      <c r="E1639" s="142"/>
      <c r="F1639" s="142"/>
      <c r="G1639" s="142"/>
      <c r="H1639" s="141"/>
      <c r="I1639" s="8"/>
    </row>
    <row r="1640" spans="2:9" ht="15" hidden="1" customHeight="1" x14ac:dyDescent="0.25">
      <c r="B1640" s="7"/>
      <c r="C1640" s="140">
        <v>1612</v>
      </c>
      <c r="D1640" s="142"/>
      <c r="E1640" s="142"/>
      <c r="F1640" s="142"/>
      <c r="G1640" s="142"/>
      <c r="H1640" s="141"/>
      <c r="I1640" s="8"/>
    </row>
    <row r="1641" spans="2:9" ht="15" hidden="1" customHeight="1" x14ac:dyDescent="0.25">
      <c r="B1641" s="7"/>
      <c r="C1641" s="140">
        <v>1613</v>
      </c>
      <c r="D1641" s="142"/>
      <c r="E1641" s="142"/>
      <c r="F1641" s="142"/>
      <c r="G1641" s="142"/>
      <c r="H1641" s="141"/>
      <c r="I1641" s="8"/>
    </row>
    <row r="1642" spans="2:9" ht="15" hidden="1" customHeight="1" x14ac:dyDescent="0.25">
      <c r="B1642" s="7"/>
      <c r="C1642" s="140">
        <v>1614</v>
      </c>
      <c r="D1642" s="142"/>
      <c r="E1642" s="142"/>
      <c r="F1642" s="142"/>
      <c r="G1642" s="142"/>
      <c r="H1642" s="141"/>
      <c r="I1642" s="8"/>
    </row>
    <row r="1643" spans="2:9" ht="15" hidden="1" customHeight="1" x14ac:dyDescent="0.25">
      <c r="B1643" s="7"/>
      <c r="C1643" s="140">
        <v>1615</v>
      </c>
      <c r="D1643" s="142"/>
      <c r="E1643" s="142"/>
      <c r="F1643" s="142"/>
      <c r="G1643" s="142"/>
      <c r="H1643" s="141"/>
      <c r="I1643" s="8"/>
    </row>
    <row r="1644" spans="2:9" ht="15" hidden="1" customHeight="1" x14ac:dyDescent="0.25">
      <c r="B1644" s="7"/>
      <c r="C1644" s="140">
        <v>1616</v>
      </c>
      <c r="D1644" s="142"/>
      <c r="E1644" s="142"/>
      <c r="F1644" s="142"/>
      <c r="G1644" s="142"/>
      <c r="H1644" s="141"/>
      <c r="I1644" s="8"/>
    </row>
    <row r="1645" spans="2:9" ht="15" hidden="1" customHeight="1" x14ac:dyDescent="0.25">
      <c r="B1645" s="7"/>
      <c r="C1645" s="140">
        <v>1617</v>
      </c>
      <c r="D1645" s="142"/>
      <c r="E1645" s="142"/>
      <c r="F1645" s="142"/>
      <c r="G1645" s="142"/>
      <c r="H1645" s="141"/>
      <c r="I1645" s="8"/>
    </row>
    <row r="1646" spans="2:9" ht="15" hidden="1" customHeight="1" x14ac:dyDescent="0.25">
      <c r="B1646" s="7"/>
      <c r="C1646" s="140">
        <v>1618</v>
      </c>
      <c r="D1646" s="142"/>
      <c r="E1646" s="142"/>
      <c r="F1646" s="142"/>
      <c r="G1646" s="142"/>
      <c r="H1646" s="141"/>
      <c r="I1646" s="8"/>
    </row>
    <row r="1647" spans="2:9" ht="15" hidden="1" customHeight="1" x14ac:dyDescent="0.25">
      <c r="B1647" s="7"/>
      <c r="C1647" s="140">
        <v>1619</v>
      </c>
      <c r="D1647" s="142"/>
      <c r="E1647" s="142"/>
      <c r="F1647" s="142"/>
      <c r="G1647" s="142"/>
      <c r="H1647" s="141"/>
      <c r="I1647" s="8"/>
    </row>
    <row r="1648" spans="2:9" ht="15" hidden="1" customHeight="1" x14ac:dyDescent="0.25">
      <c r="B1648" s="7"/>
      <c r="C1648" s="140">
        <v>1620</v>
      </c>
      <c r="D1648" s="142"/>
      <c r="E1648" s="142"/>
      <c r="F1648" s="142"/>
      <c r="G1648" s="142"/>
      <c r="H1648" s="141"/>
      <c r="I1648" s="8"/>
    </row>
    <row r="1649" spans="2:9" ht="15" hidden="1" customHeight="1" x14ac:dyDescent="0.25">
      <c r="B1649" s="7"/>
      <c r="C1649" s="140">
        <v>1621</v>
      </c>
      <c r="D1649" s="142"/>
      <c r="E1649" s="142"/>
      <c r="F1649" s="142"/>
      <c r="G1649" s="142"/>
      <c r="H1649" s="141"/>
      <c r="I1649" s="8"/>
    </row>
    <row r="1650" spans="2:9" ht="15" hidden="1" customHeight="1" x14ac:dyDescent="0.25">
      <c r="B1650" s="7"/>
      <c r="C1650" s="140">
        <v>1622</v>
      </c>
      <c r="D1650" s="142"/>
      <c r="E1650" s="142"/>
      <c r="F1650" s="142"/>
      <c r="G1650" s="142"/>
      <c r="H1650" s="141"/>
      <c r="I1650" s="8"/>
    </row>
    <row r="1651" spans="2:9" ht="15" hidden="1" customHeight="1" x14ac:dyDescent="0.25">
      <c r="B1651" s="7"/>
      <c r="C1651" s="140">
        <v>1623</v>
      </c>
      <c r="D1651" s="142"/>
      <c r="E1651" s="142"/>
      <c r="F1651" s="142"/>
      <c r="G1651" s="142"/>
      <c r="H1651" s="141"/>
      <c r="I1651" s="8"/>
    </row>
    <row r="1652" spans="2:9" ht="15" hidden="1" customHeight="1" x14ac:dyDescent="0.25">
      <c r="B1652" s="7"/>
      <c r="C1652" s="140">
        <v>1624</v>
      </c>
      <c r="D1652" s="142"/>
      <c r="E1652" s="142"/>
      <c r="F1652" s="142"/>
      <c r="G1652" s="142"/>
      <c r="H1652" s="141"/>
      <c r="I1652" s="8"/>
    </row>
    <row r="1653" spans="2:9" ht="15" hidden="1" customHeight="1" x14ac:dyDescent="0.25">
      <c r="B1653" s="7"/>
      <c r="C1653" s="140">
        <v>1625</v>
      </c>
      <c r="D1653" s="142"/>
      <c r="E1653" s="142"/>
      <c r="F1653" s="142"/>
      <c r="G1653" s="142"/>
      <c r="H1653" s="141"/>
      <c r="I1653" s="8"/>
    </row>
    <row r="1654" spans="2:9" ht="15" hidden="1" customHeight="1" x14ac:dyDescent="0.25">
      <c r="B1654" s="7"/>
      <c r="C1654" s="140">
        <v>1626</v>
      </c>
      <c r="D1654" s="142"/>
      <c r="E1654" s="142"/>
      <c r="F1654" s="142"/>
      <c r="G1654" s="142"/>
      <c r="H1654" s="141"/>
      <c r="I1654" s="8"/>
    </row>
    <row r="1655" spans="2:9" ht="15" hidden="1" customHeight="1" x14ac:dyDescent="0.25">
      <c r="B1655" s="7"/>
      <c r="C1655" s="140">
        <v>1627</v>
      </c>
      <c r="D1655" s="142"/>
      <c r="E1655" s="142"/>
      <c r="F1655" s="142"/>
      <c r="G1655" s="142"/>
      <c r="H1655" s="141"/>
      <c r="I1655" s="8"/>
    </row>
    <row r="1656" spans="2:9" ht="15" hidden="1" customHeight="1" x14ac:dyDescent="0.25">
      <c r="B1656" s="7"/>
      <c r="C1656" s="140">
        <v>1628</v>
      </c>
      <c r="D1656" s="142"/>
      <c r="E1656" s="142"/>
      <c r="F1656" s="142"/>
      <c r="G1656" s="142"/>
      <c r="H1656" s="141"/>
      <c r="I1656" s="8"/>
    </row>
    <row r="1657" spans="2:9" ht="15" hidden="1" customHeight="1" x14ac:dyDescent="0.25">
      <c r="B1657" s="7"/>
      <c r="C1657" s="140">
        <v>1629</v>
      </c>
      <c r="D1657" s="142"/>
      <c r="E1657" s="142"/>
      <c r="F1657" s="142"/>
      <c r="G1657" s="142"/>
      <c r="H1657" s="141"/>
      <c r="I1657" s="8"/>
    </row>
    <row r="1658" spans="2:9" ht="15" hidden="1" customHeight="1" x14ac:dyDescent="0.25">
      <c r="B1658" s="7"/>
      <c r="C1658" s="140">
        <v>1630</v>
      </c>
      <c r="D1658" s="142"/>
      <c r="E1658" s="142"/>
      <c r="F1658" s="142"/>
      <c r="G1658" s="142"/>
      <c r="H1658" s="141"/>
      <c r="I1658" s="8"/>
    </row>
    <row r="1659" spans="2:9" ht="15" hidden="1" customHeight="1" x14ac:dyDescent="0.25">
      <c r="B1659" s="7"/>
      <c r="C1659" s="140">
        <v>1631</v>
      </c>
      <c r="D1659" s="142"/>
      <c r="E1659" s="142"/>
      <c r="F1659" s="142"/>
      <c r="G1659" s="142"/>
      <c r="H1659" s="141"/>
      <c r="I1659" s="8"/>
    </row>
    <row r="1660" spans="2:9" ht="15" hidden="1" customHeight="1" x14ac:dyDescent="0.25">
      <c r="B1660" s="7"/>
      <c r="C1660" s="140">
        <v>1632</v>
      </c>
      <c r="D1660" s="142"/>
      <c r="E1660" s="142"/>
      <c r="F1660" s="142"/>
      <c r="G1660" s="142"/>
      <c r="H1660" s="141"/>
      <c r="I1660" s="8"/>
    </row>
    <row r="1661" spans="2:9" ht="15" hidden="1" customHeight="1" x14ac:dyDescent="0.25">
      <c r="B1661" s="7"/>
      <c r="C1661" s="140">
        <v>1633</v>
      </c>
      <c r="D1661" s="142"/>
      <c r="E1661" s="142"/>
      <c r="F1661" s="142"/>
      <c r="G1661" s="142"/>
      <c r="H1661" s="141"/>
      <c r="I1661" s="8"/>
    </row>
    <row r="1662" spans="2:9" ht="15" hidden="1" customHeight="1" x14ac:dyDescent="0.25">
      <c r="B1662" s="7"/>
      <c r="C1662" s="140">
        <v>1634</v>
      </c>
      <c r="D1662" s="142"/>
      <c r="E1662" s="142"/>
      <c r="F1662" s="142"/>
      <c r="G1662" s="142"/>
      <c r="H1662" s="141"/>
      <c r="I1662" s="8"/>
    </row>
    <row r="1663" spans="2:9" ht="15" hidden="1" customHeight="1" x14ac:dyDescent="0.25">
      <c r="B1663" s="7"/>
      <c r="C1663" s="140">
        <v>1635</v>
      </c>
      <c r="D1663" s="142"/>
      <c r="E1663" s="142"/>
      <c r="F1663" s="142"/>
      <c r="G1663" s="142"/>
      <c r="H1663" s="141"/>
      <c r="I1663" s="8"/>
    </row>
    <row r="1664" spans="2:9" ht="15" hidden="1" customHeight="1" x14ac:dyDescent="0.25">
      <c r="B1664" s="7"/>
      <c r="C1664" s="140">
        <v>1636</v>
      </c>
      <c r="D1664" s="142"/>
      <c r="E1664" s="142"/>
      <c r="F1664" s="142"/>
      <c r="G1664" s="142"/>
      <c r="H1664" s="141"/>
      <c r="I1664" s="8"/>
    </row>
    <row r="1665" spans="2:9" ht="15" hidden="1" customHeight="1" x14ac:dyDescent="0.25">
      <c r="B1665" s="7"/>
      <c r="C1665" s="140">
        <v>1637</v>
      </c>
      <c r="D1665" s="142"/>
      <c r="E1665" s="142"/>
      <c r="F1665" s="142"/>
      <c r="G1665" s="142"/>
      <c r="H1665" s="141"/>
      <c r="I1665" s="8"/>
    </row>
    <row r="1666" spans="2:9" ht="15" hidden="1" customHeight="1" x14ac:dyDescent="0.25">
      <c r="B1666" s="7"/>
      <c r="C1666" s="140">
        <v>1638</v>
      </c>
      <c r="D1666" s="142"/>
      <c r="E1666" s="142"/>
      <c r="F1666" s="142"/>
      <c r="G1666" s="142"/>
      <c r="H1666" s="141"/>
      <c r="I1666" s="8"/>
    </row>
    <row r="1667" spans="2:9" ht="15" hidden="1" customHeight="1" x14ac:dyDescent="0.25">
      <c r="B1667" s="7"/>
      <c r="C1667" s="140">
        <v>1639</v>
      </c>
      <c r="D1667" s="142"/>
      <c r="E1667" s="142"/>
      <c r="F1667" s="142"/>
      <c r="G1667" s="142"/>
      <c r="H1667" s="141"/>
      <c r="I1667" s="8"/>
    </row>
    <row r="1668" spans="2:9" ht="15" hidden="1" customHeight="1" x14ac:dyDescent="0.25">
      <c r="B1668" s="7"/>
      <c r="C1668" s="140">
        <v>1640</v>
      </c>
      <c r="D1668" s="142"/>
      <c r="E1668" s="142"/>
      <c r="F1668" s="142"/>
      <c r="G1668" s="142"/>
      <c r="H1668" s="141"/>
      <c r="I1668" s="8"/>
    </row>
    <row r="1669" spans="2:9" ht="15" hidden="1" customHeight="1" x14ac:dyDescent="0.25">
      <c r="B1669" s="7"/>
      <c r="C1669" s="140">
        <v>1641</v>
      </c>
      <c r="D1669" s="142"/>
      <c r="E1669" s="142"/>
      <c r="F1669" s="142"/>
      <c r="G1669" s="142"/>
      <c r="H1669" s="141"/>
      <c r="I1669" s="8"/>
    </row>
    <row r="1670" spans="2:9" ht="15" hidden="1" customHeight="1" x14ac:dyDescent="0.25">
      <c r="B1670" s="7"/>
      <c r="C1670" s="140">
        <v>1642</v>
      </c>
      <c r="D1670" s="142"/>
      <c r="E1670" s="142"/>
      <c r="F1670" s="142"/>
      <c r="G1670" s="142"/>
      <c r="H1670" s="141"/>
      <c r="I1670" s="8"/>
    </row>
    <row r="1671" spans="2:9" ht="15" hidden="1" customHeight="1" x14ac:dyDescent="0.25">
      <c r="B1671" s="7"/>
      <c r="C1671" s="140">
        <v>1643</v>
      </c>
      <c r="D1671" s="142"/>
      <c r="E1671" s="142"/>
      <c r="F1671" s="142"/>
      <c r="G1671" s="142"/>
      <c r="H1671" s="141"/>
      <c r="I1671" s="8"/>
    </row>
    <row r="1672" spans="2:9" ht="15" hidden="1" customHeight="1" x14ac:dyDescent="0.25">
      <c r="B1672" s="7"/>
      <c r="C1672" s="140">
        <v>1644</v>
      </c>
      <c r="D1672" s="142"/>
      <c r="E1672" s="142"/>
      <c r="F1672" s="142"/>
      <c r="G1672" s="142"/>
      <c r="H1672" s="141"/>
      <c r="I1672" s="8"/>
    </row>
    <row r="1673" spans="2:9" ht="15" hidden="1" customHeight="1" x14ac:dyDescent="0.25">
      <c r="B1673" s="7"/>
      <c r="C1673" s="140">
        <v>1645</v>
      </c>
      <c r="D1673" s="142"/>
      <c r="E1673" s="142"/>
      <c r="F1673" s="142"/>
      <c r="G1673" s="142"/>
      <c r="H1673" s="141"/>
      <c r="I1673" s="8"/>
    </row>
    <row r="1674" spans="2:9" ht="15" hidden="1" customHeight="1" x14ac:dyDescent="0.25">
      <c r="B1674" s="7"/>
      <c r="C1674" s="140">
        <v>1646</v>
      </c>
      <c r="D1674" s="142"/>
      <c r="E1674" s="142"/>
      <c r="F1674" s="142"/>
      <c r="G1674" s="142"/>
      <c r="H1674" s="141"/>
      <c r="I1674" s="8"/>
    </row>
    <row r="1675" spans="2:9" ht="15" hidden="1" customHeight="1" x14ac:dyDescent="0.25">
      <c r="B1675" s="7"/>
      <c r="C1675" s="140">
        <v>1647</v>
      </c>
      <c r="D1675" s="142"/>
      <c r="E1675" s="142"/>
      <c r="F1675" s="142"/>
      <c r="G1675" s="142"/>
      <c r="H1675" s="141"/>
      <c r="I1675" s="8"/>
    </row>
    <row r="1676" spans="2:9" ht="15" hidden="1" customHeight="1" x14ac:dyDescent="0.25">
      <c r="B1676" s="7"/>
      <c r="C1676" s="140">
        <v>1648</v>
      </c>
      <c r="D1676" s="142"/>
      <c r="E1676" s="142"/>
      <c r="F1676" s="142"/>
      <c r="G1676" s="142"/>
      <c r="H1676" s="141"/>
      <c r="I1676" s="8"/>
    </row>
    <row r="1677" spans="2:9" ht="15" hidden="1" customHeight="1" x14ac:dyDescent="0.25">
      <c r="B1677" s="7"/>
      <c r="C1677" s="140">
        <v>1649</v>
      </c>
      <c r="D1677" s="142"/>
      <c r="E1677" s="142"/>
      <c r="F1677" s="142"/>
      <c r="G1677" s="142"/>
      <c r="H1677" s="141"/>
      <c r="I1677" s="8"/>
    </row>
    <row r="1678" spans="2:9" ht="15" hidden="1" customHeight="1" x14ac:dyDescent="0.25">
      <c r="B1678" s="7"/>
      <c r="C1678" s="140">
        <v>1650</v>
      </c>
      <c r="D1678" s="142"/>
      <c r="E1678" s="142"/>
      <c r="F1678" s="142"/>
      <c r="G1678" s="142"/>
      <c r="H1678" s="141"/>
      <c r="I1678" s="8"/>
    </row>
    <row r="1679" spans="2:9" ht="15" hidden="1" customHeight="1" x14ac:dyDescent="0.25">
      <c r="B1679" s="7"/>
      <c r="C1679" s="140">
        <v>1651</v>
      </c>
      <c r="D1679" s="142"/>
      <c r="E1679" s="142"/>
      <c r="F1679" s="142"/>
      <c r="G1679" s="142"/>
      <c r="H1679" s="141"/>
      <c r="I1679" s="8"/>
    </row>
    <row r="1680" spans="2:9" ht="15" hidden="1" customHeight="1" x14ac:dyDescent="0.25">
      <c r="B1680" s="7"/>
      <c r="C1680" s="140">
        <v>1652</v>
      </c>
      <c r="D1680" s="142"/>
      <c r="E1680" s="142"/>
      <c r="F1680" s="142"/>
      <c r="G1680" s="142"/>
      <c r="H1680" s="141"/>
      <c r="I1680" s="8"/>
    </row>
    <row r="1681" spans="2:9" ht="15" hidden="1" customHeight="1" x14ac:dyDescent="0.25">
      <c r="B1681" s="7"/>
      <c r="C1681" s="140">
        <v>1653</v>
      </c>
      <c r="D1681" s="142"/>
      <c r="E1681" s="142"/>
      <c r="F1681" s="142"/>
      <c r="G1681" s="142"/>
      <c r="H1681" s="141"/>
      <c r="I1681" s="8"/>
    </row>
    <row r="1682" spans="2:9" ht="15" hidden="1" customHeight="1" x14ac:dyDescent="0.25">
      <c r="B1682" s="7"/>
      <c r="C1682" s="140">
        <v>1654</v>
      </c>
      <c r="D1682" s="142"/>
      <c r="E1682" s="142"/>
      <c r="F1682" s="142"/>
      <c r="G1682" s="142"/>
      <c r="H1682" s="141"/>
      <c r="I1682" s="8"/>
    </row>
    <row r="1683" spans="2:9" ht="15" hidden="1" customHeight="1" x14ac:dyDescent="0.25">
      <c r="B1683" s="7"/>
      <c r="C1683" s="140">
        <v>1655</v>
      </c>
      <c r="D1683" s="142"/>
      <c r="E1683" s="142"/>
      <c r="F1683" s="142"/>
      <c r="G1683" s="142"/>
      <c r="H1683" s="141"/>
      <c r="I1683" s="8"/>
    </row>
    <row r="1684" spans="2:9" ht="15" hidden="1" customHeight="1" x14ac:dyDescent="0.25">
      <c r="B1684" s="7"/>
      <c r="C1684" s="140">
        <v>1656</v>
      </c>
      <c r="D1684" s="142"/>
      <c r="E1684" s="142"/>
      <c r="F1684" s="142"/>
      <c r="G1684" s="142"/>
      <c r="H1684" s="141"/>
      <c r="I1684" s="8"/>
    </row>
    <row r="1685" spans="2:9" ht="15" hidden="1" customHeight="1" x14ac:dyDescent="0.25">
      <c r="B1685" s="7"/>
      <c r="C1685" s="140">
        <v>1657</v>
      </c>
      <c r="D1685" s="142"/>
      <c r="E1685" s="142"/>
      <c r="F1685" s="142"/>
      <c r="G1685" s="142"/>
      <c r="H1685" s="141"/>
      <c r="I1685" s="8"/>
    </row>
    <row r="1686" spans="2:9" ht="15" hidden="1" customHeight="1" x14ac:dyDescent="0.25">
      <c r="B1686" s="7"/>
      <c r="C1686" s="140">
        <v>1658</v>
      </c>
      <c r="D1686" s="142"/>
      <c r="E1686" s="142"/>
      <c r="F1686" s="142"/>
      <c r="G1686" s="142"/>
      <c r="H1686" s="141"/>
      <c r="I1686" s="8"/>
    </row>
    <row r="1687" spans="2:9" ht="15" hidden="1" customHeight="1" x14ac:dyDescent="0.25">
      <c r="B1687" s="7"/>
      <c r="C1687" s="140">
        <v>1659</v>
      </c>
      <c r="D1687" s="142"/>
      <c r="E1687" s="142"/>
      <c r="F1687" s="142"/>
      <c r="G1687" s="142"/>
      <c r="H1687" s="141"/>
      <c r="I1687" s="8"/>
    </row>
    <row r="1688" spans="2:9" ht="15" hidden="1" customHeight="1" x14ac:dyDescent="0.25">
      <c r="B1688" s="7"/>
      <c r="C1688" s="140">
        <v>1660</v>
      </c>
      <c r="D1688" s="142"/>
      <c r="E1688" s="142"/>
      <c r="F1688" s="142"/>
      <c r="G1688" s="142"/>
      <c r="H1688" s="141"/>
      <c r="I1688" s="8"/>
    </row>
    <row r="1689" spans="2:9" ht="15" hidden="1" customHeight="1" x14ac:dyDescent="0.25">
      <c r="B1689" s="7"/>
      <c r="C1689" s="140">
        <v>1661</v>
      </c>
      <c r="D1689" s="142"/>
      <c r="E1689" s="142"/>
      <c r="F1689" s="142"/>
      <c r="G1689" s="142"/>
      <c r="H1689" s="141"/>
      <c r="I1689" s="8"/>
    </row>
    <row r="1690" spans="2:9" ht="15" hidden="1" customHeight="1" x14ac:dyDescent="0.25">
      <c r="B1690" s="7"/>
      <c r="C1690" s="140">
        <v>1662</v>
      </c>
      <c r="D1690" s="142"/>
      <c r="E1690" s="142"/>
      <c r="F1690" s="142"/>
      <c r="G1690" s="142"/>
      <c r="H1690" s="141"/>
      <c r="I1690" s="8"/>
    </row>
    <row r="1691" spans="2:9" ht="15" hidden="1" customHeight="1" x14ac:dyDescent="0.25">
      <c r="B1691" s="7"/>
      <c r="C1691" s="140">
        <v>1663</v>
      </c>
      <c r="D1691" s="142"/>
      <c r="E1691" s="142"/>
      <c r="F1691" s="142"/>
      <c r="G1691" s="142"/>
      <c r="H1691" s="141"/>
      <c r="I1691" s="8"/>
    </row>
    <row r="1692" spans="2:9" ht="15" hidden="1" customHeight="1" x14ac:dyDescent="0.25">
      <c r="B1692" s="7"/>
      <c r="C1692" s="140">
        <v>1664</v>
      </c>
      <c r="D1692" s="142"/>
      <c r="E1692" s="142"/>
      <c r="F1692" s="142"/>
      <c r="G1692" s="142"/>
      <c r="H1692" s="141"/>
      <c r="I1692" s="8"/>
    </row>
    <row r="1693" spans="2:9" ht="15" hidden="1" customHeight="1" x14ac:dyDescent="0.25">
      <c r="B1693" s="7"/>
      <c r="C1693" s="140">
        <v>1665</v>
      </c>
      <c r="D1693" s="142"/>
      <c r="E1693" s="142"/>
      <c r="F1693" s="142"/>
      <c r="G1693" s="142"/>
      <c r="H1693" s="141"/>
      <c r="I1693" s="8"/>
    </row>
    <row r="1694" spans="2:9" ht="15" hidden="1" customHeight="1" x14ac:dyDescent="0.25">
      <c r="B1694" s="7"/>
      <c r="C1694" s="140">
        <v>1666</v>
      </c>
      <c r="D1694" s="142"/>
      <c r="E1694" s="142"/>
      <c r="F1694" s="142"/>
      <c r="G1694" s="142"/>
      <c r="H1694" s="141"/>
      <c r="I1694" s="8"/>
    </row>
    <row r="1695" spans="2:9" ht="15" hidden="1" customHeight="1" x14ac:dyDescent="0.25">
      <c r="B1695" s="7"/>
      <c r="C1695" s="140">
        <v>1667</v>
      </c>
      <c r="D1695" s="142"/>
      <c r="E1695" s="142"/>
      <c r="F1695" s="142"/>
      <c r="G1695" s="142"/>
      <c r="H1695" s="141"/>
      <c r="I1695" s="8"/>
    </row>
    <row r="1696" spans="2:9" ht="15" hidden="1" customHeight="1" x14ac:dyDescent="0.25">
      <c r="B1696" s="7"/>
      <c r="C1696" s="140">
        <v>1668</v>
      </c>
      <c r="D1696" s="142"/>
      <c r="E1696" s="142"/>
      <c r="F1696" s="142"/>
      <c r="G1696" s="142"/>
      <c r="H1696" s="141"/>
      <c r="I1696" s="8"/>
    </row>
    <row r="1697" spans="2:9" ht="15" hidden="1" customHeight="1" x14ac:dyDescent="0.25">
      <c r="B1697" s="7"/>
      <c r="C1697" s="140">
        <v>1669</v>
      </c>
      <c r="D1697" s="142"/>
      <c r="E1697" s="142"/>
      <c r="F1697" s="142"/>
      <c r="G1697" s="142"/>
      <c r="H1697" s="141"/>
      <c r="I1697" s="8"/>
    </row>
    <row r="1698" spans="2:9" ht="15" hidden="1" customHeight="1" x14ac:dyDescent="0.25">
      <c r="B1698" s="7"/>
      <c r="C1698" s="140">
        <v>1670</v>
      </c>
      <c r="D1698" s="142"/>
      <c r="E1698" s="142"/>
      <c r="F1698" s="142"/>
      <c r="G1698" s="142"/>
      <c r="H1698" s="141"/>
      <c r="I1698" s="8"/>
    </row>
    <row r="1699" spans="2:9" ht="15" hidden="1" customHeight="1" x14ac:dyDescent="0.25">
      <c r="B1699" s="7"/>
      <c r="C1699" s="140">
        <v>1671</v>
      </c>
      <c r="D1699" s="142"/>
      <c r="E1699" s="142"/>
      <c r="F1699" s="142"/>
      <c r="G1699" s="142"/>
      <c r="H1699" s="141"/>
      <c r="I1699" s="8"/>
    </row>
    <row r="1700" spans="2:9" ht="15" hidden="1" customHeight="1" x14ac:dyDescent="0.25">
      <c r="B1700" s="7"/>
      <c r="C1700" s="140">
        <v>1672</v>
      </c>
      <c r="D1700" s="142"/>
      <c r="E1700" s="142"/>
      <c r="F1700" s="142"/>
      <c r="G1700" s="142"/>
      <c r="H1700" s="141"/>
      <c r="I1700" s="8"/>
    </row>
    <row r="1701" spans="2:9" ht="15" hidden="1" customHeight="1" x14ac:dyDescent="0.25">
      <c r="B1701" s="7"/>
      <c r="C1701" s="140">
        <v>1673</v>
      </c>
      <c r="D1701" s="142"/>
      <c r="E1701" s="142"/>
      <c r="F1701" s="142"/>
      <c r="G1701" s="142"/>
      <c r="H1701" s="141"/>
      <c r="I1701" s="8"/>
    </row>
    <row r="1702" spans="2:9" ht="15" hidden="1" customHeight="1" x14ac:dyDescent="0.25">
      <c r="B1702" s="7"/>
      <c r="C1702" s="140">
        <v>1674</v>
      </c>
      <c r="D1702" s="142"/>
      <c r="E1702" s="142"/>
      <c r="F1702" s="142"/>
      <c r="G1702" s="142"/>
      <c r="H1702" s="141"/>
      <c r="I1702" s="8"/>
    </row>
    <row r="1703" spans="2:9" ht="15" hidden="1" customHeight="1" x14ac:dyDescent="0.25">
      <c r="B1703" s="7"/>
      <c r="C1703" s="140">
        <v>1675</v>
      </c>
      <c r="D1703" s="142"/>
      <c r="E1703" s="142"/>
      <c r="F1703" s="142"/>
      <c r="G1703" s="142"/>
      <c r="H1703" s="141"/>
      <c r="I1703" s="8"/>
    </row>
    <row r="1704" spans="2:9" ht="15" hidden="1" customHeight="1" x14ac:dyDescent="0.25">
      <c r="B1704" s="7"/>
      <c r="C1704" s="140">
        <v>1676</v>
      </c>
      <c r="D1704" s="142"/>
      <c r="E1704" s="142"/>
      <c r="F1704" s="142"/>
      <c r="G1704" s="142"/>
      <c r="H1704" s="141"/>
      <c r="I1704" s="8"/>
    </row>
    <row r="1705" spans="2:9" ht="15" hidden="1" customHeight="1" x14ac:dyDescent="0.25">
      <c r="B1705" s="7"/>
      <c r="C1705" s="140">
        <v>1677</v>
      </c>
      <c r="D1705" s="142"/>
      <c r="E1705" s="142"/>
      <c r="F1705" s="142"/>
      <c r="G1705" s="142"/>
      <c r="H1705" s="141"/>
      <c r="I1705" s="8"/>
    </row>
    <row r="1706" spans="2:9" ht="15" hidden="1" customHeight="1" x14ac:dyDescent="0.25">
      <c r="B1706" s="7"/>
      <c r="C1706" s="140">
        <v>1678</v>
      </c>
      <c r="D1706" s="142"/>
      <c r="E1706" s="142"/>
      <c r="F1706" s="142"/>
      <c r="G1706" s="142"/>
      <c r="H1706" s="141"/>
      <c r="I1706" s="8"/>
    </row>
    <row r="1707" spans="2:9" ht="15" hidden="1" customHeight="1" x14ac:dyDescent="0.25">
      <c r="B1707" s="7"/>
      <c r="C1707" s="140">
        <v>1679</v>
      </c>
      <c r="D1707" s="142"/>
      <c r="E1707" s="142"/>
      <c r="F1707" s="142"/>
      <c r="G1707" s="142"/>
      <c r="H1707" s="141"/>
      <c r="I1707" s="8"/>
    </row>
    <row r="1708" spans="2:9" ht="15" hidden="1" customHeight="1" x14ac:dyDescent="0.25">
      <c r="B1708" s="7"/>
      <c r="C1708" s="140">
        <v>1680</v>
      </c>
      <c r="D1708" s="142"/>
      <c r="E1708" s="142"/>
      <c r="F1708" s="142"/>
      <c r="G1708" s="142"/>
      <c r="H1708" s="141"/>
      <c r="I1708" s="8"/>
    </row>
    <row r="1709" spans="2:9" ht="15" hidden="1" customHeight="1" x14ac:dyDescent="0.25">
      <c r="B1709" s="7"/>
      <c r="C1709" s="140">
        <v>1681</v>
      </c>
      <c r="D1709" s="142"/>
      <c r="E1709" s="142"/>
      <c r="F1709" s="142"/>
      <c r="G1709" s="142"/>
      <c r="H1709" s="141"/>
      <c r="I1709" s="8"/>
    </row>
    <row r="1710" spans="2:9" ht="15" hidden="1" customHeight="1" x14ac:dyDescent="0.25">
      <c r="B1710" s="7"/>
      <c r="C1710" s="140">
        <v>1682</v>
      </c>
      <c r="D1710" s="142"/>
      <c r="E1710" s="142"/>
      <c r="F1710" s="142"/>
      <c r="G1710" s="142"/>
      <c r="H1710" s="141"/>
      <c r="I1710" s="8"/>
    </row>
    <row r="1711" spans="2:9" ht="15" hidden="1" customHeight="1" x14ac:dyDescent="0.25">
      <c r="B1711" s="7"/>
      <c r="C1711" s="140">
        <v>1683</v>
      </c>
      <c r="D1711" s="142"/>
      <c r="E1711" s="142"/>
      <c r="F1711" s="142"/>
      <c r="G1711" s="142"/>
      <c r="H1711" s="141"/>
      <c r="I1711" s="8"/>
    </row>
    <row r="1712" spans="2:9" ht="15" hidden="1" customHeight="1" x14ac:dyDescent="0.25">
      <c r="B1712" s="7"/>
      <c r="C1712" s="140">
        <v>1684</v>
      </c>
      <c r="D1712" s="142"/>
      <c r="E1712" s="142"/>
      <c r="F1712" s="142"/>
      <c r="G1712" s="142"/>
      <c r="H1712" s="141"/>
      <c r="I1712" s="8"/>
    </row>
    <row r="1713" spans="2:9" ht="15" hidden="1" customHeight="1" x14ac:dyDescent="0.25">
      <c r="B1713" s="7"/>
      <c r="C1713" s="140">
        <v>1685</v>
      </c>
      <c r="D1713" s="142"/>
      <c r="E1713" s="142"/>
      <c r="F1713" s="142"/>
      <c r="G1713" s="142"/>
      <c r="H1713" s="141"/>
      <c r="I1713" s="8"/>
    </row>
    <row r="1714" spans="2:9" ht="15" hidden="1" customHeight="1" x14ac:dyDescent="0.25">
      <c r="B1714" s="7"/>
      <c r="C1714" s="140">
        <v>1686</v>
      </c>
      <c r="D1714" s="142"/>
      <c r="E1714" s="142"/>
      <c r="F1714" s="142"/>
      <c r="G1714" s="142"/>
      <c r="H1714" s="141"/>
      <c r="I1714" s="8"/>
    </row>
    <row r="1715" spans="2:9" ht="15" hidden="1" customHeight="1" x14ac:dyDescent="0.25">
      <c r="B1715" s="7"/>
      <c r="C1715" s="140">
        <v>1687</v>
      </c>
      <c r="D1715" s="142"/>
      <c r="E1715" s="142"/>
      <c r="F1715" s="142"/>
      <c r="G1715" s="142"/>
      <c r="H1715" s="141"/>
      <c r="I1715" s="8"/>
    </row>
    <row r="1716" spans="2:9" ht="15" hidden="1" customHeight="1" x14ac:dyDescent="0.25">
      <c r="B1716" s="7"/>
      <c r="C1716" s="140">
        <v>1688</v>
      </c>
      <c r="D1716" s="142"/>
      <c r="E1716" s="142"/>
      <c r="F1716" s="142"/>
      <c r="G1716" s="142"/>
      <c r="H1716" s="141"/>
      <c r="I1716" s="8"/>
    </row>
    <row r="1717" spans="2:9" ht="15" hidden="1" customHeight="1" x14ac:dyDescent="0.25">
      <c r="B1717" s="7"/>
      <c r="C1717" s="140">
        <v>1689</v>
      </c>
      <c r="D1717" s="142"/>
      <c r="E1717" s="142"/>
      <c r="F1717" s="142"/>
      <c r="G1717" s="142"/>
      <c r="H1717" s="141"/>
      <c r="I1717" s="8"/>
    </row>
    <row r="1718" spans="2:9" ht="15" hidden="1" customHeight="1" x14ac:dyDescent="0.25">
      <c r="B1718" s="7"/>
      <c r="C1718" s="140">
        <v>1690</v>
      </c>
      <c r="D1718" s="142"/>
      <c r="E1718" s="142"/>
      <c r="F1718" s="142"/>
      <c r="G1718" s="142"/>
      <c r="H1718" s="141"/>
      <c r="I1718" s="8"/>
    </row>
    <row r="1719" spans="2:9" ht="15" hidden="1" customHeight="1" x14ac:dyDescent="0.25">
      <c r="B1719" s="7"/>
      <c r="C1719" s="140">
        <v>1691</v>
      </c>
      <c r="D1719" s="142"/>
      <c r="E1719" s="142"/>
      <c r="F1719" s="142"/>
      <c r="G1719" s="142"/>
      <c r="H1719" s="141"/>
      <c r="I1719" s="8"/>
    </row>
    <row r="1720" spans="2:9" ht="15" hidden="1" customHeight="1" x14ac:dyDescent="0.25">
      <c r="B1720" s="7"/>
      <c r="C1720" s="140">
        <v>1692</v>
      </c>
      <c r="D1720" s="142"/>
      <c r="E1720" s="142"/>
      <c r="F1720" s="142"/>
      <c r="G1720" s="142"/>
      <c r="H1720" s="141"/>
      <c r="I1720" s="8"/>
    </row>
    <row r="1721" spans="2:9" ht="15" hidden="1" customHeight="1" x14ac:dyDescent="0.25">
      <c r="B1721" s="7"/>
      <c r="C1721" s="140">
        <v>1693</v>
      </c>
      <c r="D1721" s="142"/>
      <c r="E1721" s="142"/>
      <c r="F1721" s="142"/>
      <c r="G1721" s="142"/>
      <c r="H1721" s="141"/>
      <c r="I1721" s="8"/>
    </row>
    <row r="1722" spans="2:9" ht="15" hidden="1" customHeight="1" x14ac:dyDescent="0.25">
      <c r="B1722" s="7"/>
      <c r="C1722" s="140">
        <v>1694</v>
      </c>
      <c r="D1722" s="142"/>
      <c r="E1722" s="142"/>
      <c r="F1722" s="142"/>
      <c r="G1722" s="142"/>
      <c r="H1722" s="141"/>
      <c r="I1722" s="8"/>
    </row>
    <row r="1723" spans="2:9" ht="15" hidden="1" customHeight="1" x14ac:dyDescent="0.25">
      <c r="B1723" s="7"/>
      <c r="C1723" s="140">
        <v>1695</v>
      </c>
      <c r="D1723" s="142"/>
      <c r="E1723" s="142"/>
      <c r="F1723" s="142"/>
      <c r="G1723" s="142"/>
      <c r="H1723" s="141"/>
      <c r="I1723" s="8"/>
    </row>
    <row r="1724" spans="2:9" ht="15" hidden="1" customHeight="1" x14ac:dyDescent="0.25">
      <c r="B1724" s="7"/>
      <c r="C1724" s="140">
        <v>1696</v>
      </c>
      <c r="D1724" s="142"/>
      <c r="E1724" s="142"/>
      <c r="F1724" s="142"/>
      <c r="G1724" s="142"/>
      <c r="H1724" s="141"/>
      <c r="I1724" s="8"/>
    </row>
    <row r="1725" spans="2:9" ht="15" hidden="1" customHeight="1" x14ac:dyDescent="0.25">
      <c r="B1725" s="7"/>
      <c r="C1725" s="140">
        <v>1697</v>
      </c>
      <c r="D1725" s="142"/>
      <c r="E1725" s="142"/>
      <c r="F1725" s="142"/>
      <c r="G1725" s="142"/>
      <c r="H1725" s="141"/>
      <c r="I1725" s="8"/>
    </row>
    <row r="1726" spans="2:9" ht="15" hidden="1" customHeight="1" x14ac:dyDescent="0.25">
      <c r="B1726" s="7"/>
      <c r="C1726" s="140">
        <v>1698</v>
      </c>
      <c r="D1726" s="142"/>
      <c r="E1726" s="142"/>
      <c r="F1726" s="142"/>
      <c r="G1726" s="142"/>
      <c r="H1726" s="141"/>
      <c r="I1726" s="8"/>
    </row>
    <row r="1727" spans="2:9" ht="15" hidden="1" customHeight="1" x14ac:dyDescent="0.25">
      <c r="B1727" s="7"/>
      <c r="C1727" s="140">
        <v>1699</v>
      </c>
      <c r="D1727" s="142"/>
      <c r="E1727" s="142"/>
      <c r="F1727" s="142"/>
      <c r="G1727" s="142"/>
      <c r="H1727" s="141"/>
      <c r="I1727" s="8"/>
    </row>
    <row r="1728" spans="2:9" ht="15" hidden="1" customHeight="1" x14ac:dyDescent="0.25">
      <c r="B1728" s="7"/>
      <c r="C1728" s="140">
        <v>1700</v>
      </c>
      <c r="D1728" s="142"/>
      <c r="E1728" s="142"/>
      <c r="F1728" s="142"/>
      <c r="G1728" s="142"/>
      <c r="H1728" s="141"/>
      <c r="I1728" s="8"/>
    </row>
    <row r="1729" spans="2:9" ht="15" hidden="1" customHeight="1" x14ac:dyDescent="0.25">
      <c r="B1729" s="7"/>
      <c r="C1729" s="140">
        <v>1701</v>
      </c>
      <c r="D1729" s="142"/>
      <c r="E1729" s="142"/>
      <c r="F1729" s="142"/>
      <c r="G1729" s="142"/>
      <c r="H1729" s="141"/>
      <c r="I1729" s="8"/>
    </row>
    <row r="1730" spans="2:9" ht="15" hidden="1" customHeight="1" x14ac:dyDescent="0.25">
      <c r="B1730" s="7"/>
      <c r="C1730" s="140">
        <v>1702</v>
      </c>
      <c r="D1730" s="142"/>
      <c r="E1730" s="142"/>
      <c r="F1730" s="142"/>
      <c r="G1730" s="142"/>
      <c r="H1730" s="141"/>
      <c r="I1730" s="8"/>
    </row>
    <row r="1731" spans="2:9" ht="15" hidden="1" customHeight="1" x14ac:dyDescent="0.25">
      <c r="B1731" s="7"/>
      <c r="C1731" s="140">
        <v>1703</v>
      </c>
      <c r="D1731" s="142"/>
      <c r="E1731" s="142"/>
      <c r="F1731" s="142"/>
      <c r="G1731" s="142"/>
      <c r="H1731" s="141"/>
      <c r="I1731" s="8"/>
    </row>
    <row r="1732" spans="2:9" ht="15" hidden="1" customHeight="1" x14ac:dyDescent="0.25">
      <c r="B1732" s="7"/>
      <c r="C1732" s="140">
        <v>1704</v>
      </c>
      <c r="D1732" s="142"/>
      <c r="E1732" s="142"/>
      <c r="F1732" s="142"/>
      <c r="G1732" s="142"/>
      <c r="H1732" s="141"/>
      <c r="I1732" s="8"/>
    </row>
    <row r="1733" spans="2:9" ht="15" hidden="1" customHeight="1" x14ac:dyDescent="0.25">
      <c r="B1733" s="7"/>
      <c r="C1733" s="140">
        <v>1705</v>
      </c>
      <c r="D1733" s="142"/>
      <c r="E1733" s="142"/>
      <c r="F1733" s="142"/>
      <c r="G1733" s="142"/>
      <c r="H1733" s="141"/>
      <c r="I1733" s="8"/>
    </row>
    <row r="1734" spans="2:9" ht="15" hidden="1" customHeight="1" x14ac:dyDescent="0.25">
      <c r="B1734" s="7"/>
      <c r="C1734" s="140">
        <v>1706</v>
      </c>
      <c r="D1734" s="142"/>
      <c r="E1734" s="142"/>
      <c r="F1734" s="142"/>
      <c r="G1734" s="142"/>
      <c r="H1734" s="141"/>
      <c r="I1734" s="8"/>
    </row>
    <row r="1735" spans="2:9" ht="15" hidden="1" customHeight="1" x14ac:dyDescent="0.25">
      <c r="B1735" s="7"/>
      <c r="C1735" s="140">
        <v>1707</v>
      </c>
      <c r="D1735" s="142"/>
      <c r="E1735" s="142"/>
      <c r="F1735" s="142"/>
      <c r="G1735" s="142"/>
      <c r="H1735" s="141"/>
      <c r="I1735" s="8"/>
    </row>
    <row r="1736" spans="2:9" ht="15" hidden="1" customHeight="1" x14ac:dyDescent="0.25">
      <c r="B1736" s="7"/>
      <c r="C1736" s="140">
        <v>1708</v>
      </c>
      <c r="D1736" s="142"/>
      <c r="E1736" s="142"/>
      <c r="F1736" s="142"/>
      <c r="G1736" s="142"/>
      <c r="H1736" s="141"/>
      <c r="I1736" s="8"/>
    </row>
    <row r="1737" spans="2:9" ht="15" hidden="1" customHeight="1" x14ac:dyDescent="0.25">
      <c r="B1737" s="7"/>
      <c r="C1737" s="140">
        <v>1709</v>
      </c>
      <c r="D1737" s="142"/>
      <c r="E1737" s="142"/>
      <c r="F1737" s="142"/>
      <c r="G1737" s="142"/>
      <c r="H1737" s="141"/>
      <c r="I1737" s="8"/>
    </row>
    <row r="1738" spans="2:9" ht="15" hidden="1" customHeight="1" x14ac:dyDescent="0.25">
      <c r="B1738" s="7"/>
      <c r="C1738" s="140">
        <v>1710</v>
      </c>
      <c r="D1738" s="142"/>
      <c r="E1738" s="142"/>
      <c r="F1738" s="142"/>
      <c r="G1738" s="142"/>
      <c r="H1738" s="141"/>
      <c r="I1738" s="8"/>
    </row>
    <row r="1739" spans="2:9" ht="15" hidden="1" customHeight="1" x14ac:dyDescent="0.25">
      <c r="B1739" s="7"/>
      <c r="C1739" s="140">
        <v>1711</v>
      </c>
      <c r="D1739" s="142"/>
      <c r="E1739" s="142"/>
      <c r="F1739" s="142"/>
      <c r="G1739" s="142"/>
      <c r="H1739" s="141"/>
      <c r="I1739" s="8"/>
    </row>
    <row r="1740" spans="2:9" ht="15" hidden="1" customHeight="1" x14ac:dyDescent="0.25">
      <c r="B1740" s="7"/>
      <c r="C1740" s="140">
        <v>1712</v>
      </c>
      <c r="D1740" s="142"/>
      <c r="E1740" s="142"/>
      <c r="F1740" s="142"/>
      <c r="G1740" s="142"/>
      <c r="H1740" s="141"/>
      <c r="I1740" s="8"/>
    </row>
    <row r="1741" spans="2:9" ht="15" hidden="1" customHeight="1" x14ac:dyDescent="0.25">
      <c r="B1741" s="7"/>
      <c r="C1741" s="140">
        <v>1713</v>
      </c>
      <c r="D1741" s="142"/>
      <c r="E1741" s="142"/>
      <c r="F1741" s="142"/>
      <c r="G1741" s="142"/>
      <c r="H1741" s="141"/>
      <c r="I1741" s="8"/>
    </row>
    <row r="1742" spans="2:9" ht="15" hidden="1" customHeight="1" x14ac:dyDescent="0.25">
      <c r="B1742" s="7"/>
      <c r="C1742" s="140">
        <v>1714</v>
      </c>
      <c r="D1742" s="142"/>
      <c r="E1742" s="142"/>
      <c r="F1742" s="142"/>
      <c r="G1742" s="142"/>
      <c r="H1742" s="141"/>
      <c r="I1742" s="8"/>
    </row>
    <row r="1743" spans="2:9" ht="15" hidden="1" customHeight="1" x14ac:dyDescent="0.25">
      <c r="B1743" s="7"/>
      <c r="C1743" s="140">
        <v>1715</v>
      </c>
      <c r="D1743" s="142"/>
      <c r="E1743" s="142"/>
      <c r="F1743" s="142"/>
      <c r="G1743" s="142"/>
      <c r="H1743" s="141"/>
      <c r="I1743" s="8"/>
    </row>
    <row r="1744" spans="2:9" ht="15" hidden="1" customHeight="1" x14ac:dyDescent="0.25">
      <c r="B1744" s="7"/>
      <c r="C1744" s="140">
        <v>1716</v>
      </c>
      <c r="D1744" s="142"/>
      <c r="E1744" s="142"/>
      <c r="F1744" s="142"/>
      <c r="G1744" s="142"/>
      <c r="H1744" s="141"/>
      <c r="I1744" s="8"/>
    </row>
    <row r="1745" spans="2:9" ht="15" hidden="1" customHeight="1" x14ac:dyDescent="0.25">
      <c r="B1745" s="7"/>
      <c r="C1745" s="140">
        <v>1717</v>
      </c>
      <c r="D1745" s="142"/>
      <c r="E1745" s="142"/>
      <c r="F1745" s="142"/>
      <c r="G1745" s="142"/>
      <c r="H1745" s="141"/>
      <c r="I1745" s="8"/>
    </row>
    <row r="1746" spans="2:9" ht="15" hidden="1" customHeight="1" x14ac:dyDescent="0.25">
      <c r="B1746" s="7"/>
      <c r="C1746" s="140">
        <v>1718</v>
      </c>
      <c r="D1746" s="142"/>
      <c r="E1746" s="142"/>
      <c r="F1746" s="142"/>
      <c r="G1746" s="142"/>
      <c r="H1746" s="141"/>
      <c r="I1746" s="8"/>
    </row>
    <row r="1747" spans="2:9" ht="15" hidden="1" customHeight="1" x14ac:dyDescent="0.25">
      <c r="B1747" s="7"/>
      <c r="C1747" s="140">
        <v>1719</v>
      </c>
      <c r="D1747" s="142"/>
      <c r="E1747" s="142"/>
      <c r="F1747" s="142"/>
      <c r="G1747" s="142"/>
      <c r="H1747" s="141"/>
      <c r="I1747" s="8"/>
    </row>
    <row r="1748" spans="2:9" ht="15" hidden="1" customHeight="1" x14ac:dyDescent="0.25">
      <c r="B1748" s="7"/>
      <c r="C1748" s="140">
        <v>1720</v>
      </c>
      <c r="D1748" s="142"/>
      <c r="E1748" s="142"/>
      <c r="F1748" s="142"/>
      <c r="G1748" s="142"/>
      <c r="H1748" s="141"/>
      <c r="I1748" s="8"/>
    </row>
    <row r="1749" spans="2:9" ht="15" hidden="1" customHeight="1" x14ac:dyDescent="0.25">
      <c r="B1749" s="7"/>
      <c r="C1749" s="140">
        <v>1721</v>
      </c>
      <c r="D1749" s="142"/>
      <c r="E1749" s="142"/>
      <c r="F1749" s="142"/>
      <c r="G1749" s="142"/>
      <c r="H1749" s="141"/>
      <c r="I1749" s="8"/>
    </row>
    <row r="1750" spans="2:9" ht="15" hidden="1" customHeight="1" x14ac:dyDescent="0.25">
      <c r="B1750" s="7"/>
      <c r="C1750" s="140">
        <v>1722</v>
      </c>
      <c r="D1750" s="142"/>
      <c r="E1750" s="142"/>
      <c r="F1750" s="142"/>
      <c r="G1750" s="142"/>
      <c r="H1750" s="141"/>
      <c r="I1750" s="8"/>
    </row>
    <row r="1751" spans="2:9" ht="15" hidden="1" customHeight="1" x14ac:dyDescent="0.25">
      <c r="B1751" s="7"/>
      <c r="C1751" s="140">
        <v>1723</v>
      </c>
      <c r="D1751" s="142"/>
      <c r="E1751" s="142"/>
      <c r="F1751" s="142"/>
      <c r="G1751" s="142"/>
      <c r="H1751" s="141"/>
      <c r="I1751" s="8"/>
    </row>
    <row r="1752" spans="2:9" ht="15" hidden="1" customHeight="1" x14ac:dyDescent="0.25">
      <c r="B1752" s="7"/>
      <c r="C1752" s="140">
        <v>1724</v>
      </c>
      <c r="D1752" s="142"/>
      <c r="E1752" s="142"/>
      <c r="F1752" s="142"/>
      <c r="G1752" s="142"/>
      <c r="H1752" s="141"/>
      <c r="I1752" s="8"/>
    </row>
    <row r="1753" spans="2:9" ht="15" hidden="1" customHeight="1" x14ac:dyDescent="0.25">
      <c r="B1753" s="7"/>
      <c r="C1753" s="140">
        <v>1725</v>
      </c>
      <c r="D1753" s="142"/>
      <c r="E1753" s="142"/>
      <c r="F1753" s="142"/>
      <c r="G1753" s="142"/>
      <c r="H1753" s="141"/>
      <c r="I1753" s="8"/>
    </row>
    <row r="1754" spans="2:9" ht="15" hidden="1" customHeight="1" x14ac:dyDescent="0.25">
      <c r="B1754" s="7"/>
      <c r="C1754" s="140">
        <v>1726</v>
      </c>
      <c r="D1754" s="142"/>
      <c r="E1754" s="142"/>
      <c r="F1754" s="142"/>
      <c r="G1754" s="142"/>
      <c r="H1754" s="141"/>
      <c r="I1754" s="8"/>
    </row>
    <row r="1755" spans="2:9" ht="15" hidden="1" customHeight="1" x14ac:dyDescent="0.25">
      <c r="B1755" s="7"/>
      <c r="C1755" s="140">
        <v>1727</v>
      </c>
      <c r="D1755" s="142"/>
      <c r="E1755" s="142"/>
      <c r="F1755" s="142"/>
      <c r="G1755" s="142"/>
      <c r="H1755" s="141"/>
      <c r="I1755" s="8"/>
    </row>
    <row r="1756" spans="2:9" ht="15" hidden="1" customHeight="1" x14ac:dyDescent="0.25">
      <c r="B1756" s="7"/>
      <c r="C1756" s="140">
        <v>1728</v>
      </c>
      <c r="D1756" s="142"/>
      <c r="E1756" s="142"/>
      <c r="F1756" s="142"/>
      <c r="G1756" s="142"/>
      <c r="H1756" s="141"/>
      <c r="I1756" s="8"/>
    </row>
    <row r="1757" spans="2:9" ht="15" hidden="1" customHeight="1" x14ac:dyDescent="0.25">
      <c r="B1757" s="7"/>
      <c r="C1757" s="140">
        <v>1729</v>
      </c>
      <c r="D1757" s="142"/>
      <c r="E1757" s="142"/>
      <c r="F1757" s="142"/>
      <c r="G1757" s="142"/>
      <c r="H1757" s="141"/>
      <c r="I1757" s="8"/>
    </row>
    <row r="1758" spans="2:9" ht="15" hidden="1" customHeight="1" x14ac:dyDescent="0.25">
      <c r="B1758" s="7"/>
      <c r="C1758" s="140">
        <v>1730</v>
      </c>
      <c r="D1758" s="142"/>
      <c r="E1758" s="142"/>
      <c r="F1758" s="142"/>
      <c r="G1758" s="142"/>
      <c r="H1758" s="141"/>
      <c r="I1758" s="8"/>
    </row>
    <row r="1759" spans="2:9" ht="15" hidden="1" customHeight="1" x14ac:dyDescent="0.25">
      <c r="B1759" s="7"/>
      <c r="C1759" s="140">
        <v>1731</v>
      </c>
      <c r="D1759" s="142"/>
      <c r="E1759" s="142"/>
      <c r="F1759" s="142"/>
      <c r="G1759" s="142"/>
      <c r="H1759" s="141"/>
      <c r="I1759" s="8"/>
    </row>
    <row r="1760" spans="2:9" ht="15" hidden="1" customHeight="1" x14ac:dyDescent="0.25">
      <c r="B1760" s="7"/>
      <c r="C1760" s="140">
        <v>1732</v>
      </c>
      <c r="D1760" s="142"/>
      <c r="E1760" s="142"/>
      <c r="F1760" s="142"/>
      <c r="G1760" s="142"/>
      <c r="H1760" s="141"/>
      <c r="I1760" s="8"/>
    </row>
    <row r="1761" spans="2:9" ht="15" hidden="1" customHeight="1" x14ac:dyDescent="0.25">
      <c r="B1761" s="7"/>
      <c r="C1761" s="140">
        <v>1733</v>
      </c>
      <c r="D1761" s="142"/>
      <c r="E1761" s="142"/>
      <c r="F1761" s="142"/>
      <c r="G1761" s="142"/>
      <c r="H1761" s="141"/>
      <c r="I1761" s="8"/>
    </row>
    <row r="1762" spans="2:9" ht="15" hidden="1" customHeight="1" x14ac:dyDescent="0.25">
      <c r="B1762" s="7"/>
      <c r="C1762" s="140">
        <v>1734</v>
      </c>
      <c r="D1762" s="142"/>
      <c r="E1762" s="142"/>
      <c r="F1762" s="142"/>
      <c r="G1762" s="142"/>
      <c r="H1762" s="141"/>
      <c r="I1762" s="8"/>
    </row>
    <row r="1763" spans="2:9" ht="15" hidden="1" customHeight="1" x14ac:dyDescent="0.25">
      <c r="B1763" s="7"/>
      <c r="C1763" s="140">
        <v>1735</v>
      </c>
      <c r="D1763" s="142"/>
      <c r="E1763" s="142"/>
      <c r="F1763" s="142"/>
      <c r="G1763" s="142"/>
      <c r="H1763" s="141"/>
      <c r="I1763" s="8"/>
    </row>
    <row r="1764" spans="2:9" ht="15" hidden="1" customHeight="1" x14ac:dyDescent="0.25">
      <c r="B1764" s="7"/>
      <c r="C1764" s="140">
        <v>1736</v>
      </c>
      <c r="D1764" s="142"/>
      <c r="E1764" s="142"/>
      <c r="F1764" s="142"/>
      <c r="G1764" s="142"/>
      <c r="H1764" s="141"/>
      <c r="I1764" s="8"/>
    </row>
    <row r="1765" spans="2:9" ht="15" hidden="1" customHeight="1" x14ac:dyDescent="0.25">
      <c r="B1765" s="7"/>
      <c r="C1765" s="140">
        <v>1737</v>
      </c>
      <c r="D1765" s="142"/>
      <c r="E1765" s="142"/>
      <c r="F1765" s="142"/>
      <c r="G1765" s="142"/>
      <c r="H1765" s="141"/>
      <c r="I1765" s="8"/>
    </row>
    <row r="1766" spans="2:9" ht="15" hidden="1" customHeight="1" x14ac:dyDescent="0.25">
      <c r="B1766" s="7"/>
      <c r="C1766" s="140">
        <v>1738</v>
      </c>
      <c r="D1766" s="142"/>
      <c r="E1766" s="142"/>
      <c r="F1766" s="142"/>
      <c r="G1766" s="142"/>
      <c r="H1766" s="141"/>
      <c r="I1766" s="8"/>
    </row>
    <row r="1767" spans="2:9" ht="15" hidden="1" customHeight="1" x14ac:dyDescent="0.25">
      <c r="B1767" s="7"/>
      <c r="C1767" s="140">
        <v>1739</v>
      </c>
      <c r="D1767" s="142"/>
      <c r="E1767" s="142"/>
      <c r="F1767" s="142"/>
      <c r="G1767" s="142"/>
      <c r="H1767" s="141"/>
      <c r="I1767" s="8"/>
    </row>
    <row r="1768" spans="2:9" ht="15" hidden="1" customHeight="1" x14ac:dyDescent="0.25">
      <c r="B1768" s="7"/>
      <c r="C1768" s="140">
        <v>1740</v>
      </c>
      <c r="D1768" s="142"/>
      <c r="E1768" s="142"/>
      <c r="F1768" s="142"/>
      <c r="G1768" s="142"/>
      <c r="H1768" s="141"/>
      <c r="I1768" s="8"/>
    </row>
    <row r="1769" spans="2:9" ht="15" hidden="1" customHeight="1" x14ac:dyDescent="0.25">
      <c r="B1769" s="7"/>
      <c r="C1769" s="140">
        <v>1741</v>
      </c>
      <c r="D1769" s="142"/>
      <c r="E1769" s="142"/>
      <c r="F1769" s="142"/>
      <c r="G1769" s="142"/>
      <c r="H1769" s="141"/>
      <c r="I1769" s="8"/>
    </row>
    <row r="1770" spans="2:9" ht="15" hidden="1" customHeight="1" x14ac:dyDescent="0.25">
      <c r="B1770" s="7"/>
      <c r="C1770" s="140">
        <v>1742</v>
      </c>
      <c r="D1770" s="142"/>
      <c r="E1770" s="142"/>
      <c r="F1770" s="142"/>
      <c r="G1770" s="142"/>
      <c r="H1770" s="141"/>
      <c r="I1770" s="8"/>
    </row>
    <row r="1771" spans="2:9" ht="15" hidden="1" customHeight="1" x14ac:dyDescent="0.25">
      <c r="B1771" s="7"/>
      <c r="C1771" s="140">
        <v>1743</v>
      </c>
      <c r="D1771" s="142"/>
      <c r="E1771" s="142"/>
      <c r="F1771" s="142"/>
      <c r="G1771" s="142"/>
      <c r="H1771" s="141"/>
      <c r="I1771" s="8"/>
    </row>
    <row r="1772" spans="2:9" ht="15" hidden="1" customHeight="1" x14ac:dyDescent="0.25">
      <c r="B1772" s="7"/>
      <c r="C1772" s="140">
        <v>1744</v>
      </c>
      <c r="D1772" s="142"/>
      <c r="E1772" s="142"/>
      <c r="F1772" s="142"/>
      <c r="G1772" s="142"/>
      <c r="H1772" s="141"/>
      <c r="I1772" s="8"/>
    </row>
    <row r="1773" spans="2:9" ht="15" hidden="1" customHeight="1" x14ac:dyDescent="0.25">
      <c r="B1773" s="7"/>
      <c r="C1773" s="140">
        <v>1745</v>
      </c>
      <c r="D1773" s="142"/>
      <c r="E1773" s="142"/>
      <c r="F1773" s="142"/>
      <c r="G1773" s="142"/>
      <c r="H1773" s="141"/>
      <c r="I1773" s="8"/>
    </row>
    <row r="1774" spans="2:9" ht="15" hidden="1" customHeight="1" x14ac:dyDescent="0.25">
      <c r="B1774" s="7"/>
      <c r="C1774" s="140">
        <v>1746</v>
      </c>
      <c r="D1774" s="142"/>
      <c r="E1774" s="142"/>
      <c r="F1774" s="142"/>
      <c r="G1774" s="142"/>
      <c r="H1774" s="141"/>
      <c r="I1774" s="8"/>
    </row>
    <row r="1775" spans="2:9" ht="15" hidden="1" customHeight="1" x14ac:dyDescent="0.25">
      <c r="B1775" s="7"/>
      <c r="C1775" s="140">
        <v>1747</v>
      </c>
      <c r="D1775" s="142"/>
      <c r="E1775" s="142"/>
      <c r="F1775" s="142"/>
      <c r="G1775" s="142"/>
      <c r="H1775" s="141"/>
      <c r="I1775" s="8"/>
    </row>
    <row r="1776" spans="2:9" ht="15" hidden="1" customHeight="1" x14ac:dyDescent="0.25">
      <c r="B1776" s="7"/>
      <c r="C1776" s="140">
        <v>1748</v>
      </c>
      <c r="D1776" s="142"/>
      <c r="E1776" s="142"/>
      <c r="F1776" s="142"/>
      <c r="G1776" s="142"/>
      <c r="H1776" s="141"/>
      <c r="I1776" s="8"/>
    </row>
    <row r="1777" spans="2:9" ht="15" hidden="1" customHeight="1" x14ac:dyDescent="0.25">
      <c r="B1777" s="7"/>
      <c r="C1777" s="140">
        <v>1749</v>
      </c>
      <c r="D1777" s="142"/>
      <c r="E1777" s="142"/>
      <c r="F1777" s="142"/>
      <c r="G1777" s="142"/>
      <c r="H1777" s="141"/>
      <c r="I1777" s="8"/>
    </row>
    <row r="1778" spans="2:9" ht="15" hidden="1" customHeight="1" x14ac:dyDescent="0.25">
      <c r="B1778" s="7"/>
      <c r="C1778" s="140">
        <v>1750</v>
      </c>
      <c r="D1778" s="142"/>
      <c r="E1778" s="142"/>
      <c r="F1778" s="142"/>
      <c r="G1778" s="142"/>
      <c r="H1778" s="141"/>
      <c r="I1778" s="8"/>
    </row>
    <row r="1779" spans="2:9" ht="15" hidden="1" customHeight="1" x14ac:dyDescent="0.25">
      <c r="B1779" s="7"/>
      <c r="C1779" s="140">
        <v>1751</v>
      </c>
      <c r="D1779" s="142"/>
      <c r="E1779" s="142"/>
      <c r="F1779" s="142"/>
      <c r="G1779" s="142"/>
      <c r="H1779" s="141"/>
      <c r="I1779" s="8"/>
    </row>
    <row r="1780" spans="2:9" ht="15" hidden="1" customHeight="1" x14ac:dyDescent="0.25">
      <c r="B1780" s="7"/>
      <c r="C1780" s="140">
        <v>1752</v>
      </c>
      <c r="D1780" s="142"/>
      <c r="E1780" s="142"/>
      <c r="F1780" s="142"/>
      <c r="G1780" s="142"/>
      <c r="H1780" s="141"/>
      <c r="I1780" s="8"/>
    </row>
    <row r="1781" spans="2:9" ht="15" hidden="1" customHeight="1" x14ac:dyDescent="0.25">
      <c r="B1781" s="7"/>
      <c r="C1781" s="140">
        <v>1753</v>
      </c>
      <c r="D1781" s="142"/>
      <c r="E1781" s="142"/>
      <c r="F1781" s="142"/>
      <c r="G1781" s="142"/>
      <c r="H1781" s="141"/>
      <c r="I1781" s="8"/>
    </row>
    <row r="1782" spans="2:9" ht="15" hidden="1" customHeight="1" x14ac:dyDescent="0.25">
      <c r="B1782" s="7"/>
      <c r="C1782" s="140">
        <v>1754</v>
      </c>
      <c r="D1782" s="142"/>
      <c r="E1782" s="142"/>
      <c r="F1782" s="142"/>
      <c r="G1782" s="142"/>
      <c r="H1782" s="141"/>
      <c r="I1782" s="8"/>
    </row>
    <row r="1783" spans="2:9" ht="15" hidden="1" customHeight="1" x14ac:dyDescent="0.25">
      <c r="B1783" s="7"/>
      <c r="C1783" s="140">
        <v>1755</v>
      </c>
      <c r="D1783" s="142"/>
      <c r="E1783" s="142"/>
      <c r="F1783" s="142"/>
      <c r="G1783" s="142"/>
      <c r="H1783" s="141"/>
      <c r="I1783" s="8"/>
    </row>
    <row r="1784" spans="2:9" ht="15" hidden="1" customHeight="1" x14ac:dyDescent="0.25">
      <c r="B1784" s="7"/>
      <c r="C1784" s="140">
        <v>1756</v>
      </c>
      <c r="D1784" s="142"/>
      <c r="E1784" s="142"/>
      <c r="F1784" s="142"/>
      <c r="G1784" s="142"/>
      <c r="H1784" s="141"/>
      <c r="I1784" s="8"/>
    </row>
    <row r="1785" spans="2:9" ht="15" hidden="1" customHeight="1" x14ac:dyDescent="0.25">
      <c r="B1785" s="7"/>
      <c r="C1785" s="140">
        <v>1757</v>
      </c>
      <c r="D1785" s="142"/>
      <c r="E1785" s="142"/>
      <c r="F1785" s="142"/>
      <c r="G1785" s="142"/>
      <c r="H1785" s="141"/>
      <c r="I1785" s="8"/>
    </row>
    <row r="1786" spans="2:9" ht="15" hidden="1" customHeight="1" x14ac:dyDescent="0.25">
      <c r="B1786" s="7"/>
      <c r="C1786" s="140">
        <v>1758</v>
      </c>
      <c r="D1786" s="142"/>
      <c r="E1786" s="142"/>
      <c r="F1786" s="142"/>
      <c r="G1786" s="142"/>
      <c r="H1786" s="141"/>
      <c r="I1786" s="8"/>
    </row>
    <row r="1787" spans="2:9" ht="15" hidden="1" customHeight="1" x14ac:dyDescent="0.25">
      <c r="B1787" s="7"/>
      <c r="C1787" s="140">
        <v>1759</v>
      </c>
      <c r="D1787" s="142"/>
      <c r="E1787" s="142"/>
      <c r="F1787" s="142"/>
      <c r="G1787" s="142"/>
      <c r="H1787" s="141"/>
      <c r="I1787" s="8"/>
    </row>
    <row r="1788" spans="2:9" ht="15" hidden="1" customHeight="1" x14ac:dyDescent="0.25">
      <c r="B1788" s="7"/>
      <c r="C1788" s="140">
        <v>1760</v>
      </c>
      <c r="D1788" s="142"/>
      <c r="E1788" s="142"/>
      <c r="F1788" s="142"/>
      <c r="G1788" s="142"/>
      <c r="H1788" s="141"/>
      <c r="I1788" s="8"/>
    </row>
    <row r="1789" spans="2:9" ht="15" hidden="1" customHeight="1" x14ac:dyDescent="0.25">
      <c r="B1789" s="7"/>
      <c r="C1789" s="140">
        <v>1761</v>
      </c>
      <c r="D1789" s="142"/>
      <c r="E1789" s="142"/>
      <c r="F1789" s="142"/>
      <c r="G1789" s="142"/>
      <c r="H1789" s="141"/>
      <c r="I1789" s="8"/>
    </row>
    <row r="1790" spans="2:9" ht="15" hidden="1" customHeight="1" x14ac:dyDescent="0.25">
      <c r="B1790" s="7"/>
      <c r="C1790" s="140">
        <v>1762</v>
      </c>
      <c r="D1790" s="142"/>
      <c r="E1790" s="142"/>
      <c r="F1790" s="142"/>
      <c r="G1790" s="142"/>
      <c r="H1790" s="141"/>
      <c r="I1790" s="8"/>
    </row>
    <row r="1791" spans="2:9" ht="15" hidden="1" customHeight="1" x14ac:dyDescent="0.25">
      <c r="B1791" s="7"/>
      <c r="C1791" s="140">
        <v>1763</v>
      </c>
      <c r="D1791" s="142"/>
      <c r="E1791" s="142"/>
      <c r="F1791" s="142"/>
      <c r="G1791" s="142"/>
      <c r="H1791" s="141"/>
      <c r="I1791" s="8"/>
    </row>
    <row r="1792" spans="2:9" ht="15" hidden="1" customHeight="1" x14ac:dyDescent="0.25">
      <c r="B1792" s="7"/>
      <c r="C1792" s="140">
        <v>1764</v>
      </c>
      <c r="D1792" s="142"/>
      <c r="E1792" s="142"/>
      <c r="F1792" s="142"/>
      <c r="G1792" s="142"/>
      <c r="H1792" s="141"/>
      <c r="I1792" s="8"/>
    </row>
    <row r="1793" spans="2:9" ht="15" hidden="1" customHeight="1" x14ac:dyDescent="0.25">
      <c r="B1793" s="7"/>
      <c r="C1793" s="140">
        <v>1765</v>
      </c>
      <c r="D1793" s="142"/>
      <c r="E1793" s="142"/>
      <c r="F1793" s="142"/>
      <c r="G1793" s="142"/>
      <c r="H1793" s="141"/>
      <c r="I1793" s="8"/>
    </row>
    <row r="1794" spans="2:9" ht="15" hidden="1" customHeight="1" x14ac:dyDescent="0.25">
      <c r="B1794" s="7"/>
      <c r="C1794" s="140">
        <v>1766</v>
      </c>
      <c r="D1794" s="142"/>
      <c r="E1794" s="142"/>
      <c r="F1794" s="142"/>
      <c r="G1794" s="142"/>
      <c r="H1794" s="141"/>
      <c r="I1794" s="8"/>
    </row>
    <row r="1795" spans="2:9" ht="15" hidden="1" customHeight="1" x14ac:dyDescent="0.25">
      <c r="B1795" s="7"/>
      <c r="C1795" s="140">
        <v>1767</v>
      </c>
      <c r="D1795" s="142"/>
      <c r="E1795" s="142"/>
      <c r="F1795" s="142"/>
      <c r="G1795" s="142"/>
      <c r="H1795" s="141"/>
      <c r="I1795" s="8"/>
    </row>
    <row r="1796" spans="2:9" ht="15" hidden="1" customHeight="1" x14ac:dyDescent="0.25">
      <c r="B1796" s="7"/>
      <c r="C1796" s="140">
        <v>1768</v>
      </c>
      <c r="D1796" s="142"/>
      <c r="E1796" s="142"/>
      <c r="F1796" s="142"/>
      <c r="G1796" s="142"/>
      <c r="H1796" s="141"/>
      <c r="I1796" s="8"/>
    </row>
    <row r="1797" spans="2:9" ht="15" hidden="1" customHeight="1" x14ac:dyDescent="0.25">
      <c r="B1797" s="7"/>
      <c r="C1797" s="140">
        <v>1769</v>
      </c>
      <c r="D1797" s="142"/>
      <c r="E1797" s="142"/>
      <c r="F1797" s="142"/>
      <c r="G1797" s="142"/>
      <c r="H1797" s="141"/>
      <c r="I1797" s="8"/>
    </row>
    <row r="1798" spans="2:9" ht="15" hidden="1" customHeight="1" x14ac:dyDescent="0.25">
      <c r="B1798" s="7"/>
      <c r="C1798" s="140">
        <v>1770</v>
      </c>
      <c r="D1798" s="142"/>
      <c r="E1798" s="142"/>
      <c r="F1798" s="142"/>
      <c r="G1798" s="142"/>
      <c r="H1798" s="141"/>
      <c r="I1798" s="8"/>
    </row>
    <row r="1799" spans="2:9" ht="15" hidden="1" customHeight="1" x14ac:dyDescent="0.25">
      <c r="B1799" s="7"/>
      <c r="C1799" s="140">
        <v>1771</v>
      </c>
      <c r="D1799" s="142"/>
      <c r="E1799" s="142"/>
      <c r="F1799" s="142"/>
      <c r="G1799" s="142"/>
      <c r="H1799" s="141"/>
      <c r="I1799" s="8"/>
    </row>
    <row r="1800" spans="2:9" ht="15" hidden="1" customHeight="1" x14ac:dyDescent="0.25">
      <c r="B1800" s="7"/>
      <c r="C1800" s="140">
        <v>1772</v>
      </c>
      <c r="D1800" s="142"/>
      <c r="E1800" s="142"/>
      <c r="F1800" s="142"/>
      <c r="G1800" s="142"/>
      <c r="H1800" s="141"/>
      <c r="I1800" s="8"/>
    </row>
    <row r="1801" spans="2:9" ht="15" hidden="1" customHeight="1" x14ac:dyDescent="0.25">
      <c r="B1801" s="7"/>
      <c r="C1801" s="140">
        <v>1773</v>
      </c>
      <c r="D1801" s="142"/>
      <c r="E1801" s="142"/>
      <c r="F1801" s="142"/>
      <c r="G1801" s="142"/>
      <c r="H1801" s="141"/>
      <c r="I1801" s="8"/>
    </row>
    <row r="1802" spans="2:9" ht="15" hidden="1" customHeight="1" x14ac:dyDescent="0.25">
      <c r="B1802" s="7"/>
      <c r="C1802" s="140">
        <v>1774</v>
      </c>
      <c r="D1802" s="142"/>
      <c r="E1802" s="142"/>
      <c r="F1802" s="142"/>
      <c r="G1802" s="142"/>
      <c r="H1802" s="141"/>
      <c r="I1802" s="8"/>
    </row>
    <row r="1803" spans="2:9" ht="15" hidden="1" customHeight="1" x14ac:dyDescent="0.25">
      <c r="B1803" s="7"/>
      <c r="C1803" s="140">
        <v>1775</v>
      </c>
      <c r="D1803" s="142"/>
      <c r="E1803" s="142"/>
      <c r="F1803" s="142"/>
      <c r="G1803" s="142"/>
      <c r="H1803" s="141"/>
      <c r="I1803" s="8"/>
    </row>
    <row r="1804" spans="2:9" ht="15" hidden="1" customHeight="1" x14ac:dyDescent="0.25">
      <c r="B1804" s="7"/>
      <c r="C1804" s="140">
        <v>1776</v>
      </c>
      <c r="D1804" s="142"/>
      <c r="E1804" s="142"/>
      <c r="F1804" s="142"/>
      <c r="G1804" s="142"/>
      <c r="H1804" s="141"/>
      <c r="I1804" s="8"/>
    </row>
    <row r="1805" spans="2:9" ht="15" hidden="1" customHeight="1" x14ac:dyDescent="0.25">
      <c r="B1805" s="7"/>
      <c r="C1805" s="140">
        <v>1777</v>
      </c>
      <c r="D1805" s="142"/>
      <c r="E1805" s="142"/>
      <c r="F1805" s="142"/>
      <c r="G1805" s="142"/>
      <c r="H1805" s="141"/>
      <c r="I1805" s="8"/>
    </row>
    <row r="1806" spans="2:9" ht="15" hidden="1" customHeight="1" x14ac:dyDescent="0.25">
      <c r="B1806" s="7"/>
      <c r="C1806" s="140">
        <v>1778</v>
      </c>
      <c r="D1806" s="142"/>
      <c r="E1806" s="142"/>
      <c r="F1806" s="142"/>
      <c r="G1806" s="142"/>
      <c r="H1806" s="141"/>
      <c r="I1806" s="8"/>
    </row>
    <row r="1807" spans="2:9" ht="15" hidden="1" customHeight="1" x14ac:dyDescent="0.25">
      <c r="B1807" s="7"/>
      <c r="C1807" s="140">
        <v>1779</v>
      </c>
      <c r="D1807" s="142"/>
      <c r="E1807" s="142"/>
      <c r="F1807" s="142"/>
      <c r="G1807" s="142"/>
      <c r="H1807" s="141"/>
      <c r="I1807" s="8"/>
    </row>
    <row r="1808" spans="2:9" ht="15" hidden="1" customHeight="1" x14ac:dyDescent="0.25">
      <c r="B1808" s="7"/>
      <c r="C1808" s="140">
        <v>1780</v>
      </c>
      <c r="D1808" s="142"/>
      <c r="E1808" s="142"/>
      <c r="F1808" s="142"/>
      <c r="G1808" s="142"/>
      <c r="H1808" s="141"/>
      <c r="I1808" s="8"/>
    </row>
    <row r="1809" spans="2:9" ht="15" hidden="1" customHeight="1" x14ac:dyDescent="0.25">
      <c r="B1809" s="7"/>
      <c r="C1809" s="140">
        <v>1781</v>
      </c>
      <c r="D1809" s="142"/>
      <c r="E1809" s="142"/>
      <c r="F1809" s="142"/>
      <c r="G1809" s="142"/>
      <c r="H1809" s="141"/>
      <c r="I1809" s="8"/>
    </row>
    <row r="1810" spans="2:9" ht="15" hidden="1" customHeight="1" x14ac:dyDescent="0.25">
      <c r="B1810" s="7"/>
      <c r="C1810" s="140">
        <v>1782</v>
      </c>
      <c r="D1810" s="142"/>
      <c r="E1810" s="142"/>
      <c r="F1810" s="142"/>
      <c r="G1810" s="142"/>
      <c r="H1810" s="141"/>
      <c r="I1810" s="8"/>
    </row>
    <row r="1811" spans="2:9" ht="15" hidden="1" customHeight="1" x14ac:dyDescent="0.25">
      <c r="B1811" s="7"/>
      <c r="C1811" s="140">
        <v>1783</v>
      </c>
      <c r="D1811" s="142"/>
      <c r="E1811" s="142"/>
      <c r="F1811" s="142"/>
      <c r="G1811" s="142"/>
      <c r="H1811" s="141"/>
      <c r="I1811" s="8"/>
    </row>
    <row r="1812" spans="2:9" ht="15" hidden="1" customHeight="1" x14ac:dyDescent="0.25">
      <c r="B1812" s="7"/>
      <c r="C1812" s="140">
        <v>1784</v>
      </c>
      <c r="D1812" s="142"/>
      <c r="E1812" s="142"/>
      <c r="F1812" s="142"/>
      <c r="G1812" s="142"/>
      <c r="H1812" s="141"/>
      <c r="I1812" s="8"/>
    </row>
    <row r="1813" spans="2:9" ht="15" hidden="1" customHeight="1" x14ac:dyDescent="0.25">
      <c r="B1813" s="7"/>
      <c r="C1813" s="140">
        <v>1785</v>
      </c>
      <c r="D1813" s="142"/>
      <c r="E1813" s="142"/>
      <c r="F1813" s="142"/>
      <c r="G1813" s="142"/>
      <c r="H1813" s="141"/>
      <c r="I1813" s="8"/>
    </row>
    <row r="1814" spans="2:9" ht="15" hidden="1" customHeight="1" x14ac:dyDescent="0.25">
      <c r="B1814" s="7"/>
      <c r="C1814" s="140">
        <v>1786</v>
      </c>
      <c r="D1814" s="142"/>
      <c r="E1814" s="142"/>
      <c r="F1814" s="142"/>
      <c r="G1814" s="142"/>
      <c r="H1814" s="141"/>
      <c r="I1814" s="8"/>
    </row>
    <row r="1815" spans="2:9" ht="15" hidden="1" customHeight="1" x14ac:dyDescent="0.25">
      <c r="B1815" s="7"/>
      <c r="C1815" s="140">
        <v>1787</v>
      </c>
      <c r="D1815" s="142"/>
      <c r="E1815" s="142"/>
      <c r="F1815" s="142"/>
      <c r="G1815" s="142"/>
      <c r="H1815" s="141"/>
      <c r="I1815" s="8"/>
    </row>
    <row r="1816" spans="2:9" ht="15" hidden="1" customHeight="1" x14ac:dyDescent="0.25">
      <c r="B1816" s="7"/>
      <c r="C1816" s="140">
        <v>1788</v>
      </c>
      <c r="D1816" s="142"/>
      <c r="E1816" s="142"/>
      <c r="F1816" s="142"/>
      <c r="G1816" s="142"/>
      <c r="H1816" s="141"/>
      <c r="I1816" s="8"/>
    </row>
    <row r="1817" spans="2:9" ht="15" hidden="1" customHeight="1" x14ac:dyDescent="0.25">
      <c r="B1817" s="7"/>
      <c r="C1817" s="140">
        <v>1789</v>
      </c>
      <c r="D1817" s="142"/>
      <c r="E1817" s="142"/>
      <c r="F1817" s="142"/>
      <c r="G1817" s="142"/>
      <c r="H1817" s="141"/>
      <c r="I1817" s="8"/>
    </row>
    <row r="1818" spans="2:9" ht="15" hidden="1" customHeight="1" x14ac:dyDescent="0.25">
      <c r="B1818" s="7"/>
      <c r="C1818" s="140">
        <v>1790</v>
      </c>
      <c r="D1818" s="142"/>
      <c r="E1818" s="142"/>
      <c r="F1818" s="142"/>
      <c r="G1818" s="142"/>
      <c r="H1818" s="141"/>
      <c r="I1818" s="8"/>
    </row>
    <row r="1819" spans="2:9" ht="15" hidden="1" customHeight="1" x14ac:dyDescent="0.25">
      <c r="B1819" s="7"/>
      <c r="C1819" s="140">
        <v>1791</v>
      </c>
      <c r="D1819" s="142"/>
      <c r="E1819" s="142"/>
      <c r="F1819" s="142"/>
      <c r="G1819" s="142"/>
      <c r="H1819" s="141"/>
      <c r="I1819" s="8"/>
    </row>
    <row r="1820" spans="2:9" ht="15" hidden="1" customHeight="1" x14ac:dyDescent="0.25">
      <c r="B1820" s="7"/>
      <c r="C1820" s="140">
        <v>1792</v>
      </c>
      <c r="D1820" s="142"/>
      <c r="E1820" s="142"/>
      <c r="F1820" s="142"/>
      <c r="G1820" s="142"/>
      <c r="H1820" s="141"/>
      <c r="I1820" s="8"/>
    </row>
    <row r="1821" spans="2:9" ht="15" hidden="1" customHeight="1" x14ac:dyDescent="0.25">
      <c r="B1821" s="7"/>
      <c r="C1821" s="140">
        <v>1793</v>
      </c>
      <c r="D1821" s="142"/>
      <c r="E1821" s="142"/>
      <c r="F1821" s="142"/>
      <c r="G1821" s="142"/>
      <c r="H1821" s="141"/>
      <c r="I1821" s="8"/>
    </row>
    <row r="1822" spans="2:9" ht="15" hidden="1" customHeight="1" x14ac:dyDescent="0.25">
      <c r="B1822" s="7"/>
      <c r="C1822" s="140">
        <v>1794</v>
      </c>
      <c r="D1822" s="142"/>
      <c r="E1822" s="142"/>
      <c r="F1822" s="142"/>
      <c r="G1822" s="142"/>
      <c r="H1822" s="141"/>
      <c r="I1822" s="8"/>
    </row>
    <row r="1823" spans="2:9" ht="15" hidden="1" customHeight="1" x14ac:dyDescent="0.25">
      <c r="B1823" s="7"/>
      <c r="C1823" s="140">
        <v>1795</v>
      </c>
      <c r="D1823" s="142"/>
      <c r="E1823" s="142"/>
      <c r="F1823" s="142"/>
      <c r="G1823" s="142"/>
      <c r="H1823" s="141"/>
      <c r="I1823" s="8"/>
    </row>
    <row r="1824" spans="2:9" ht="15" hidden="1" customHeight="1" x14ac:dyDescent="0.25">
      <c r="B1824" s="7"/>
      <c r="C1824" s="140">
        <v>1796</v>
      </c>
      <c r="D1824" s="142"/>
      <c r="E1824" s="142"/>
      <c r="F1824" s="142"/>
      <c r="G1824" s="142"/>
      <c r="H1824" s="141"/>
      <c r="I1824" s="8"/>
    </row>
    <row r="1825" spans="2:9" ht="15" hidden="1" customHeight="1" x14ac:dyDescent="0.25">
      <c r="B1825" s="7"/>
      <c r="C1825" s="140">
        <v>1797</v>
      </c>
      <c r="D1825" s="142"/>
      <c r="E1825" s="142"/>
      <c r="F1825" s="142"/>
      <c r="G1825" s="142"/>
      <c r="H1825" s="141"/>
      <c r="I1825" s="8"/>
    </row>
    <row r="1826" spans="2:9" ht="15" hidden="1" customHeight="1" x14ac:dyDescent="0.25">
      <c r="B1826" s="7"/>
      <c r="C1826" s="140">
        <v>1798</v>
      </c>
      <c r="D1826" s="142"/>
      <c r="E1826" s="142"/>
      <c r="F1826" s="142"/>
      <c r="G1826" s="142"/>
      <c r="H1826" s="141"/>
      <c r="I1826" s="8"/>
    </row>
    <row r="1827" spans="2:9" ht="15" hidden="1" customHeight="1" x14ac:dyDescent="0.25">
      <c r="B1827" s="7"/>
      <c r="C1827" s="140">
        <v>1799</v>
      </c>
      <c r="D1827" s="142"/>
      <c r="E1827" s="142"/>
      <c r="F1827" s="142"/>
      <c r="G1827" s="142"/>
      <c r="H1827" s="141"/>
      <c r="I1827" s="8"/>
    </row>
    <row r="1828" spans="2:9" ht="15" hidden="1" customHeight="1" x14ac:dyDescent="0.25">
      <c r="B1828" s="7"/>
      <c r="C1828" s="140">
        <v>1800</v>
      </c>
      <c r="D1828" s="142"/>
      <c r="E1828" s="142"/>
      <c r="F1828" s="142"/>
      <c r="G1828" s="142"/>
      <c r="H1828" s="141"/>
      <c r="I1828" s="8"/>
    </row>
    <row r="1829" spans="2:9" ht="15" hidden="1" customHeight="1" x14ac:dyDescent="0.25">
      <c r="B1829" s="7"/>
      <c r="C1829" s="140">
        <v>1801</v>
      </c>
      <c r="D1829" s="142"/>
      <c r="E1829" s="142"/>
      <c r="F1829" s="142"/>
      <c r="G1829" s="142"/>
      <c r="H1829" s="141"/>
      <c r="I1829" s="8"/>
    </row>
    <row r="1830" spans="2:9" ht="15" hidden="1" customHeight="1" x14ac:dyDescent="0.25">
      <c r="B1830" s="7"/>
      <c r="C1830" s="140">
        <v>1802</v>
      </c>
      <c r="D1830" s="142"/>
      <c r="E1830" s="142"/>
      <c r="F1830" s="142"/>
      <c r="G1830" s="142"/>
      <c r="H1830" s="141"/>
      <c r="I1830" s="8"/>
    </row>
    <row r="1831" spans="2:9" ht="15" hidden="1" customHeight="1" x14ac:dyDescent="0.25">
      <c r="B1831" s="7"/>
      <c r="C1831" s="140">
        <v>1803</v>
      </c>
      <c r="D1831" s="142"/>
      <c r="E1831" s="142"/>
      <c r="F1831" s="142"/>
      <c r="G1831" s="142"/>
      <c r="H1831" s="141"/>
      <c r="I1831" s="8"/>
    </row>
    <row r="1832" spans="2:9" ht="15" hidden="1" customHeight="1" x14ac:dyDescent="0.25">
      <c r="B1832" s="7"/>
      <c r="C1832" s="140">
        <v>1804</v>
      </c>
      <c r="D1832" s="142"/>
      <c r="E1832" s="142"/>
      <c r="F1832" s="142"/>
      <c r="G1832" s="142"/>
      <c r="H1832" s="141"/>
      <c r="I1832" s="8"/>
    </row>
    <row r="1833" spans="2:9" ht="15" hidden="1" customHeight="1" x14ac:dyDescent="0.25">
      <c r="B1833" s="7"/>
      <c r="C1833" s="140">
        <v>1805</v>
      </c>
      <c r="D1833" s="142"/>
      <c r="E1833" s="142"/>
      <c r="F1833" s="142"/>
      <c r="G1833" s="142"/>
      <c r="H1833" s="141"/>
      <c r="I1833" s="8"/>
    </row>
    <row r="1834" spans="2:9" ht="15" hidden="1" customHeight="1" x14ac:dyDescent="0.25">
      <c r="B1834" s="7"/>
      <c r="C1834" s="140">
        <v>1806</v>
      </c>
      <c r="D1834" s="142"/>
      <c r="E1834" s="142"/>
      <c r="F1834" s="142"/>
      <c r="G1834" s="142"/>
      <c r="H1834" s="141"/>
      <c r="I1834" s="8"/>
    </row>
    <row r="1835" spans="2:9" ht="15" hidden="1" customHeight="1" x14ac:dyDescent="0.25">
      <c r="B1835" s="7"/>
      <c r="C1835" s="140">
        <v>1807</v>
      </c>
      <c r="D1835" s="142"/>
      <c r="E1835" s="142"/>
      <c r="F1835" s="142"/>
      <c r="G1835" s="142"/>
      <c r="H1835" s="141"/>
      <c r="I1835" s="8"/>
    </row>
    <row r="1836" spans="2:9" ht="15" hidden="1" customHeight="1" x14ac:dyDescent="0.25">
      <c r="B1836" s="7"/>
      <c r="C1836" s="140">
        <v>1808</v>
      </c>
      <c r="D1836" s="142"/>
      <c r="E1836" s="142"/>
      <c r="F1836" s="142"/>
      <c r="G1836" s="142"/>
      <c r="H1836" s="141"/>
      <c r="I1836" s="8"/>
    </row>
    <row r="1837" spans="2:9" ht="15" hidden="1" customHeight="1" x14ac:dyDescent="0.25">
      <c r="B1837" s="7"/>
      <c r="C1837" s="140">
        <v>1809</v>
      </c>
      <c r="D1837" s="142"/>
      <c r="E1837" s="142"/>
      <c r="F1837" s="142"/>
      <c r="G1837" s="142"/>
      <c r="H1837" s="141"/>
      <c r="I1837" s="8"/>
    </row>
    <row r="1838" spans="2:9" ht="15" hidden="1" customHeight="1" x14ac:dyDescent="0.25">
      <c r="B1838" s="7"/>
      <c r="C1838" s="140">
        <v>1810</v>
      </c>
      <c r="D1838" s="142"/>
      <c r="E1838" s="142"/>
      <c r="F1838" s="142"/>
      <c r="G1838" s="142"/>
      <c r="H1838" s="141"/>
      <c r="I1838" s="8"/>
    </row>
    <row r="1839" spans="2:9" ht="15" hidden="1" customHeight="1" x14ac:dyDescent="0.25">
      <c r="B1839" s="7"/>
      <c r="C1839" s="140">
        <v>1811</v>
      </c>
      <c r="D1839" s="142"/>
      <c r="E1839" s="142"/>
      <c r="F1839" s="142"/>
      <c r="G1839" s="142"/>
      <c r="H1839" s="141"/>
      <c r="I1839" s="8"/>
    </row>
    <row r="1840" spans="2:9" ht="15" hidden="1" customHeight="1" x14ac:dyDescent="0.25">
      <c r="B1840" s="7"/>
      <c r="C1840" s="140">
        <v>1812</v>
      </c>
      <c r="D1840" s="142"/>
      <c r="E1840" s="142"/>
      <c r="F1840" s="142"/>
      <c r="G1840" s="142"/>
      <c r="H1840" s="141"/>
      <c r="I1840" s="8"/>
    </row>
    <row r="1841" spans="2:9" ht="15" hidden="1" customHeight="1" x14ac:dyDescent="0.25">
      <c r="B1841" s="7"/>
      <c r="C1841" s="140">
        <v>1813</v>
      </c>
      <c r="D1841" s="142"/>
      <c r="E1841" s="142"/>
      <c r="F1841" s="142"/>
      <c r="G1841" s="142"/>
      <c r="H1841" s="141"/>
      <c r="I1841" s="8"/>
    </row>
    <row r="1842" spans="2:9" ht="15" hidden="1" customHeight="1" x14ac:dyDescent="0.25">
      <c r="B1842" s="7"/>
      <c r="C1842" s="140">
        <v>1814</v>
      </c>
      <c r="D1842" s="142"/>
      <c r="E1842" s="142"/>
      <c r="F1842" s="142"/>
      <c r="G1842" s="142"/>
      <c r="H1842" s="141"/>
      <c r="I1842" s="8"/>
    </row>
    <row r="1843" spans="2:9" ht="15" hidden="1" customHeight="1" x14ac:dyDescent="0.25">
      <c r="B1843" s="7"/>
      <c r="C1843" s="140">
        <v>1815</v>
      </c>
      <c r="D1843" s="142"/>
      <c r="E1843" s="142"/>
      <c r="F1843" s="142"/>
      <c r="G1843" s="142"/>
      <c r="H1843" s="141"/>
      <c r="I1843" s="8"/>
    </row>
    <row r="1844" spans="2:9" ht="15" hidden="1" customHeight="1" x14ac:dyDescent="0.25">
      <c r="B1844" s="7"/>
      <c r="C1844" s="140">
        <v>1816</v>
      </c>
      <c r="D1844" s="142"/>
      <c r="E1844" s="142"/>
      <c r="F1844" s="142"/>
      <c r="G1844" s="142"/>
      <c r="H1844" s="141"/>
      <c r="I1844" s="8"/>
    </row>
    <row r="1845" spans="2:9" ht="15" hidden="1" customHeight="1" x14ac:dyDescent="0.25">
      <c r="B1845" s="7"/>
      <c r="C1845" s="140">
        <v>1817</v>
      </c>
      <c r="D1845" s="142"/>
      <c r="E1845" s="142"/>
      <c r="F1845" s="142"/>
      <c r="G1845" s="142"/>
      <c r="H1845" s="141"/>
      <c r="I1845" s="8"/>
    </row>
    <row r="1846" spans="2:9" ht="15" hidden="1" customHeight="1" x14ac:dyDescent="0.25">
      <c r="B1846" s="7"/>
      <c r="C1846" s="140">
        <v>1818</v>
      </c>
      <c r="D1846" s="142"/>
      <c r="E1846" s="142"/>
      <c r="F1846" s="142"/>
      <c r="G1846" s="142"/>
      <c r="H1846" s="141"/>
      <c r="I1846" s="8"/>
    </row>
    <row r="1847" spans="2:9" ht="15" hidden="1" customHeight="1" x14ac:dyDescent="0.25">
      <c r="B1847" s="7"/>
      <c r="C1847" s="140">
        <v>1819</v>
      </c>
      <c r="D1847" s="142"/>
      <c r="E1847" s="142"/>
      <c r="F1847" s="142"/>
      <c r="G1847" s="142"/>
      <c r="H1847" s="141"/>
      <c r="I1847" s="8"/>
    </row>
    <row r="1848" spans="2:9" ht="15" hidden="1" customHeight="1" x14ac:dyDescent="0.25">
      <c r="B1848" s="7"/>
      <c r="C1848" s="140">
        <v>1820</v>
      </c>
      <c r="D1848" s="142"/>
      <c r="E1848" s="142"/>
      <c r="F1848" s="142"/>
      <c r="G1848" s="142"/>
      <c r="H1848" s="141"/>
      <c r="I1848" s="8"/>
    </row>
    <row r="1849" spans="2:9" ht="15" hidden="1" customHeight="1" x14ac:dyDescent="0.25">
      <c r="B1849" s="7"/>
      <c r="C1849" s="140">
        <v>1821</v>
      </c>
      <c r="D1849" s="142"/>
      <c r="E1849" s="142"/>
      <c r="F1849" s="142"/>
      <c r="G1849" s="142"/>
      <c r="H1849" s="141"/>
      <c r="I1849" s="8"/>
    </row>
    <row r="1850" spans="2:9" ht="15" hidden="1" customHeight="1" x14ac:dyDescent="0.25">
      <c r="B1850" s="7"/>
      <c r="C1850" s="140">
        <v>1822</v>
      </c>
      <c r="D1850" s="142"/>
      <c r="E1850" s="142"/>
      <c r="F1850" s="142"/>
      <c r="G1850" s="142"/>
      <c r="H1850" s="141"/>
      <c r="I1850" s="8"/>
    </row>
    <row r="1851" spans="2:9" ht="15" hidden="1" customHeight="1" x14ac:dyDescent="0.25">
      <c r="B1851" s="7"/>
      <c r="C1851" s="140">
        <v>1823</v>
      </c>
      <c r="D1851" s="142"/>
      <c r="E1851" s="142"/>
      <c r="F1851" s="142"/>
      <c r="G1851" s="142"/>
      <c r="H1851" s="141"/>
      <c r="I1851" s="8"/>
    </row>
    <row r="1852" spans="2:9" ht="15" hidden="1" customHeight="1" x14ac:dyDescent="0.25">
      <c r="B1852" s="7"/>
      <c r="C1852" s="140">
        <v>1824</v>
      </c>
      <c r="D1852" s="142"/>
      <c r="E1852" s="142"/>
      <c r="F1852" s="142"/>
      <c r="G1852" s="142"/>
      <c r="H1852" s="141"/>
      <c r="I1852" s="8"/>
    </row>
    <row r="1853" spans="2:9" ht="15" hidden="1" customHeight="1" x14ac:dyDescent="0.25">
      <c r="B1853" s="7"/>
      <c r="C1853" s="140">
        <v>1825</v>
      </c>
      <c r="D1853" s="142"/>
      <c r="E1853" s="142"/>
      <c r="F1853" s="142"/>
      <c r="G1853" s="142"/>
      <c r="H1853" s="141"/>
      <c r="I1853" s="8"/>
    </row>
    <row r="1854" spans="2:9" ht="15" hidden="1" customHeight="1" x14ac:dyDescent="0.25">
      <c r="B1854" s="7"/>
      <c r="C1854" s="140">
        <v>1826</v>
      </c>
      <c r="D1854" s="142"/>
      <c r="E1854" s="142"/>
      <c r="F1854" s="142"/>
      <c r="G1854" s="142"/>
      <c r="H1854" s="141"/>
      <c r="I1854" s="8"/>
    </row>
    <row r="1855" spans="2:9" ht="15" hidden="1" customHeight="1" x14ac:dyDescent="0.25">
      <c r="B1855" s="7"/>
      <c r="C1855" s="140">
        <v>1827</v>
      </c>
      <c r="D1855" s="142"/>
      <c r="E1855" s="142"/>
      <c r="F1855" s="142"/>
      <c r="G1855" s="142"/>
      <c r="H1855" s="141"/>
      <c r="I1855" s="8"/>
    </row>
    <row r="1856" spans="2:9" ht="15" hidden="1" customHeight="1" x14ac:dyDescent="0.25">
      <c r="B1856" s="7"/>
      <c r="C1856" s="140">
        <v>1828</v>
      </c>
      <c r="D1856" s="142"/>
      <c r="E1856" s="142"/>
      <c r="F1856" s="142"/>
      <c r="G1856" s="142"/>
      <c r="H1856" s="141"/>
      <c r="I1856" s="8"/>
    </row>
    <row r="1857" spans="2:9" ht="15" hidden="1" customHeight="1" x14ac:dyDescent="0.25">
      <c r="B1857" s="7"/>
      <c r="C1857" s="140">
        <v>1829</v>
      </c>
      <c r="D1857" s="142"/>
      <c r="E1857" s="142"/>
      <c r="F1857" s="142"/>
      <c r="G1857" s="142"/>
      <c r="H1857" s="141"/>
      <c r="I1857" s="8"/>
    </row>
    <row r="1858" spans="2:9" ht="15" hidden="1" customHeight="1" x14ac:dyDescent="0.25">
      <c r="B1858" s="7"/>
      <c r="C1858" s="140">
        <v>1830</v>
      </c>
      <c r="D1858" s="142"/>
      <c r="E1858" s="142"/>
      <c r="F1858" s="142"/>
      <c r="G1858" s="142"/>
      <c r="H1858" s="141"/>
      <c r="I1858" s="8"/>
    </row>
    <row r="1859" spans="2:9" ht="15" hidden="1" customHeight="1" x14ac:dyDescent="0.25">
      <c r="B1859" s="7"/>
      <c r="C1859" s="140">
        <v>1831</v>
      </c>
      <c r="D1859" s="142"/>
      <c r="E1859" s="142"/>
      <c r="F1859" s="142"/>
      <c r="G1859" s="142"/>
      <c r="H1859" s="141"/>
      <c r="I1859" s="8"/>
    </row>
    <row r="1860" spans="2:9" ht="15" hidden="1" customHeight="1" x14ac:dyDescent="0.25">
      <c r="B1860" s="7"/>
      <c r="C1860" s="140">
        <v>1832</v>
      </c>
      <c r="D1860" s="142"/>
      <c r="E1860" s="142"/>
      <c r="F1860" s="142"/>
      <c r="G1860" s="142"/>
      <c r="H1860" s="141"/>
      <c r="I1860" s="8"/>
    </row>
    <row r="1861" spans="2:9" ht="15" hidden="1" customHeight="1" x14ac:dyDescent="0.25">
      <c r="B1861" s="7"/>
      <c r="C1861" s="140">
        <v>1833</v>
      </c>
      <c r="D1861" s="142"/>
      <c r="E1861" s="142"/>
      <c r="F1861" s="142"/>
      <c r="G1861" s="142"/>
      <c r="H1861" s="141"/>
      <c r="I1861" s="8"/>
    </row>
    <row r="1862" spans="2:9" ht="15" hidden="1" customHeight="1" x14ac:dyDescent="0.25">
      <c r="B1862" s="7"/>
      <c r="C1862" s="140">
        <v>1834</v>
      </c>
      <c r="D1862" s="142"/>
      <c r="E1862" s="142"/>
      <c r="F1862" s="142"/>
      <c r="G1862" s="142"/>
      <c r="H1862" s="141"/>
      <c r="I1862" s="8"/>
    </row>
    <row r="1863" spans="2:9" ht="15" hidden="1" customHeight="1" x14ac:dyDescent="0.25">
      <c r="B1863" s="7"/>
      <c r="C1863" s="140">
        <v>1835</v>
      </c>
      <c r="D1863" s="142"/>
      <c r="E1863" s="142"/>
      <c r="F1863" s="142"/>
      <c r="G1863" s="142"/>
      <c r="H1863" s="141"/>
      <c r="I1863" s="8"/>
    </row>
    <row r="1864" spans="2:9" ht="15" hidden="1" customHeight="1" x14ac:dyDescent="0.25">
      <c r="B1864" s="7"/>
      <c r="C1864" s="140">
        <v>1836</v>
      </c>
      <c r="D1864" s="142"/>
      <c r="E1864" s="142"/>
      <c r="F1864" s="142"/>
      <c r="G1864" s="142"/>
      <c r="H1864" s="141"/>
      <c r="I1864" s="8"/>
    </row>
    <row r="1865" spans="2:9" ht="15" hidden="1" customHeight="1" x14ac:dyDescent="0.25">
      <c r="B1865" s="7"/>
      <c r="C1865" s="140">
        <v>1837</v>
      </c>
      <c r="D1865" s="142"/>
      <c r="E1865" s="142"/>
      <c r="F1865" s="142"/>
      <c r="G1865" s="142"/>
      <c r="H1865" s="141"/>
      <c r="I1865" s="8"/>
    </row>
    <row r="1866" spans="2:9" ht="15" hidden="1" customHeight="1" x14ac:dyDescent="0.25">
      <c r="B1866" s="7"/>
      <c r="C1866" s="140">
        <v>1838</v>
      </c>
      <c r="D1866" s="142"/>
      <c r="E1866" s="142"/>
      <c r="F1866" s="142"/>
      <c r="G1866" s="142"/>
      <c r="H1866" s="141"/>
      <c r="I1866" s="8"/>
    </row>
    <row r="1867" spans="2:9" ht="15" hidden="1" customHeight="1" x14ac:dyDescent="0.25">
      <c r="B1867" s="7"/>
      <c r="C1867" s="140">
        <v>1839</v>
      </c>
      <c r="D1867" s="142"/>
      <c r="E1867" s="142"/>
      <c r="F1867" s="142"/>
      <c r="G1867" s="142"/>
      <c r="H1867" s="141"/>
      <c r="I1867" s="8"/>
    </row>
    <row r="1868" spans="2:9" ht="15" hidden="1" customHeight="1" x14ac:dyDescent="0.25">
      <c r="B1868" s="7"/>
      <c r="C1868" s="140">
        <v>1840</v>
      </c>
      <c r="D1868" s="142"/>
      <c r="E1868" s="142"/>
      <c r="F1868" s="142"/>
      <c r="G1868" s="142"/>
      <c r="H1868" s="141"/>
      <c r="I1868" s="8"/>
    </row>
    <row r="1869" spans="2:9" ht="15" hidden="1" customHeight="1" x14ac:dyDescent="0.25">
      <c r="B1869" s="7"/>
      <c r="C1869" s="140">
        <v>1841</v>
      </c>
      <c r="D1869" s="142"/>
      <c r="E1869" s="142"/>
      <c r="F1869" s="142"/>
      <c r="G1869" s="142"/>
      <c r="H1869" s="141"/>
      <c r="I1869" s="8"/>
    </row>
    <row r="1870" spans="2:9" ht="15" hidden="1" customHeight="1" x14ac:dyDescent="0.25">
      <c r="B1870" s="7"/>
      <c r="C1870" s="140">
        <v>1842</v>
      </c>
      <c r="D1870" s="142"/>
      <c r="E1870" s="142"/>
      <c r="F1870" s="142"/>
      <c r="G1870" s="142"/>
      <c r="H1870" s="141"/>
      <c r="I1870" s="8"/>
    </row>
    <row r="1871" spans="2:9" ht="15" hidden="1" customHeight="1" x14ac:dyDescent="0.25">
      <c r="B1871" s="7"/>
      <c r="C1871" s="140">
        <v>1843</v>
      </c>
      <c r="D1871" s="142"/>
      <c r="E1871" s="142"/>
      <c r="F1871" s="142"/>
      <c r="G1871" s="142"/>
      <c r="H1871" s="141"/>
      <c r="I1871" s="8"/>
    </row>
    <row r="1872" spans="2:9" ht="15" hidden="1" customHeight="1" x14ac:dyDescent="0.25">
      <c r="B1872" s="7"/>
      <c r="C1872" s="140">
        <v>1844</v>
      </c>
      <c r="D1872" s="142"/>
      <c r="E1872" s="142"/>
      <c r="F1872" s="142"/>
      <c r="G1872" s="142"/>
      <c r="H1872" s="141"/>
      <c r="I1872" s="8"/>
    </row>
    <row r="1873" spans="2:9" ht="15" hidden="1" customHeight="1" x14ac:dyDescent="0.25">
      <c r="B1873" s="7"/>
      <c r="C1873" s="140">
        <v>1845</v>
      </c>
      <c r="D1873" s="142"/>
      <c r="E1873" s="142"/>
      <c r="F1873" s="142"/>
      <c r="G1873" s="142"/>
      <c r="H1873" s="141"/>
      <c r="I1873" s="8"/>
    </row>
    <row r="1874" spans="2:9" ht="15" hidden="1" customHeight="1" x14ac:dyDescent="0.25">
      <c r="B1874" s="7"/>
      <c r="C1874" s="140">
        <v>1846</v>
      </c>
      <c r="D1874" s="142"/>
      <c r="E1874" s="142"/>
      <c r="F1874" s="142"/>
      <c r="G1874" s="142"/>
      <c r="H1874" s="141"/>
      <c r="I1874" s="8"/>
    </row>
    <row r="1875" spans="2:9" ht="15" hidden="1" customHeight="1" x14ac:dyDescent="0.25">
      <c r="B1875" s="7"/>
      <c r="C1875" s="140">
        <v>1847</v>
      </c>
      <c r="D1875" s="142"/>
      <c r="E1875" s="142"/>
      <c r="F1875" s="142"/>
      <c r="G1875" s="142"/>
      <c r="H1875" s="141"/>
      <c r="I1875" s="8"/>
    </row>
    <row r="1876" spans="2:9" ht="15" hidden="1" customHeight="1" x14ac:dyDescent="0.25">
      <c r="B1876" s="7"/>
      <c r="C1876" s="140">
        <v>1848</v>
      </c>
      <c r="D1876" s="142"/>
      <c r="E1876" s="142"/>
      <c r="F1876" s="142"/>
      <c r="G1876" s="142"/>
      <c r="H1876" s="141"/>
      <c r="I1876" s="8"/>
    </row>
    <row r="1877" spans="2:9" ht="15" hidden="1" customHeight="1" x14ac:dyDescent="0.25">
      <c r="B1877" s="7"/>
      <c r="C1877" s="140">
        <v>1849</v>
      </c>
      <c r="D1877" s="142"/>
      <c r="E1877" s="142"/>
      <c r="F1877" s="142"/>
      <c r="G1877" s="142"/>
      <c r="H1877" s="141"/>
      <c r="I1877" s="8"/>
    </row>
    <row r="1878" spans="2:9" ht="15" hidden="1" customHeight="1" x14ac:dyDescent="0.25">
      <c r="B1878" s="7"/>
      <c r="C1878" s="140">
        <v>1850</v>
      </c>
      <c r="D1878" s="142"/>
      <c r="E1878" s="142"/>
      <c r="F1878" s="142"/>
      <c r="G1878" s="142"/>
      <c r="H1878" s="141"/>
      <c r="I1878" s="8"/>
    </row>
    <row r="1879" spans="2:9" ht="15" hidden="1" customHeight="1" x14ac:dyDescent="0.25">
      <c r="B1879" s="7"/>
      <c r="C1879" s="140">
        <v>1851</v>
      </c>
      <c r="D1879" s="142"/>
      <c r="E1879" s="142"/>
      <c r="F1879" s="142"/>
      <c r="G1879" s="142"/>
      <c r="H1879" s="141"/>
      <c r="I1879" s="8"/>
    </row>
    <row r="1880" spans="2:9" ht="15" hidden="1" customHeight="1" x14ac:dyDescent="0.25">
      <c r="B1880" s="7"/>
      <c r="C1880" s="140">
        <v>1852</v>
      </c>
      <c r="D1880" s="142"/>
      <c r="E1880" s="142"/>
      <c r="F1880" s="142"/>
      <c r="G1880" s="142"/>
      <c r="H1880" s="141"/>
      <c r="I1880" s="8"/>
    </row>
    <row r="1881" spans="2:9" ht="15" hidden="1" customHeight="1" x14ac:dyDescent="0.25">
      <c r="B1881" s="7"/>
      <c r="C1881" s="140">
        <v>1853</v>
      </c>
      <c r="D1881" s="142"/>
      <c r="E1881" s="142"/>
      <c r="F1881" s="142"/>
      <c r="G1881" s="142"/>
      <c r="H1881" s="141"/>
      <c r="I1881" s="8"/>
    </row>
    <row r="1882" spans="2:9" ht="15" hidden="1" customHeight="1" x14ac:dyDescent="0.25">
      <c r="B1882" s="7"/>
      <c r="C1882" s="140">
        <v>1854</v>
      </c>
      <c r="D1882" s="142"/>
      <c r="E1882" s="142"/>
      <c r="F1882" s="142"/>
      <c r="G1882" s="142"/>
      <c r="H1882" s="141"/>
      <c r="I1882" s="8"/>
    </row>
    <row r="1883" spans="2:9" ht="15" hidden="1" customHeight="1" x14ac:dyDescent="0.25">
      <c r="B1883" s="7"/>
      <c r="C1883" s="140">
        <v>1855</v>
      </c>
      <c r="D1883" s="142"/>
      <c r="E1883" s="142"/>
      <c r="F1883" s="142"/>
      <c r="G1883" s="142"/>
      <c r="H1883" s="141"/>
      <c r="I1883" s="8"/>
    </row>
    <row r="1884" spans="2:9" ht="15" hidden="1" customHeight="1" x14ac:dyDescent="0.25">
      <c r="B1884" s="7"/>
      <c r="C1884" s="140">
        <v>1856</v>
      </c>
      <c r="D1884" s="142"/>
      <c r="E1884" s="142"/>
      <c r="F1884" s="142"/>
      <c r="G1884" s="142"/>
      <c r="H1884" s="141"/>
      <c r="I1884" s="8"/>
    </row>
    <row r="1885" spans="2:9" ht="15" hidden="1" customHeight="1" x14ac:dyDescent="0.25">
      <c r="B1885" s="7"/>
      <c r="C1885" s="140">
        <v>1857</v>
      </c>
      <c r="D1885" s="142"/>
      <c r="E1885" s="142"/>
      <c r="F1885" s="142"/>
      <c r="G1885" s="142"/>
      <c r="H1885" s="141"/>
      <c r="I1885" s="8"/>
    </row>
    <row r="1886" spans="2:9" ht="15" hidden="1" customHeight="1" x14ac:dyDescent="0.25">
      <c r="B1886" s="7"/>
      <c r="C1886" s="140">
        <v>1858</v>
      </c>
      <c r="D1886" s="142"/>
      <c r="E1886" s="142"/>
      <c r="F1886" s="142"/>
      <c r="G1886" s="142"/>
      <c r="H1886" s="141"/>
      <c r="I1886" s="8"/>
    </row>
    <row r="1887" spans="2:9" ht="15" hidden="1" customHeight="1" x14ac:dyDescent="0.25">
      <c r="B1887" s="7"/>
      <c r="C1887" s="140">
        <v>1859</v>
      </c>
      <c r="D1887" s="142"/>
      <c r="E1887" s="142"/>
      <c r="F1887" s="142"/>
      <c r="G1887" s="142"/>
      <c r="H1887" s="141"/>
      <c r="I1887" s="8"/>
    </row>
    <row r="1888" spans="2:9" ht="15" hidden="1" customHeight="1" x14ac:dyDescent="0.25">
      <c r="B1888" s="7"/>
      <c r="C1888" s="140">
        <v>1860</v>
      </c>
      <c r="D1888" s="142"/>
      <c r="E1888" s="142"/>
      <c r="F1888" s="142"/>
      <c r="G1888" s="142"/>
      <c r="H1888" s="141"/>
      <c r="I1888" s="8"/>
    </row>
    <row r="1889" spans="2:9" ht="15" hidden="1" customHeight="1" x14ac:dyDescent="0.25">
      <c r="B1889" s="7"/>
      <c r="C1889" s="140">
        <v>1861</v>
      </c>
      <c r="D1889" s="142"/>
      <c r="E1889" s="142"/>
      <c r="F1889" s="142"/>
      <c r="G1889" s="142"/>
      <c r="H1889" s="141"/>
      <c r="I1889" s="8"/>
    </row>
    <row r="1890" spans="2:9" ht="15" hidden="1" customHeight="1" x14ac:dyDescent="0.25">
      <c r="B1890" s="7"/>
      <c r="C1890" s="140">
        <v>1862</v>
      </c>
      <c r="D1890" s="142"/>
      <c r="E1890" s="142"/>
      <c r="F1890" s="142"/>
      <c r="G1890" s="142"/>
      <c r="H1890" s="141"/>
      <c r="I1890" s="8"/>
    </row>
    <row r="1891" spans="2:9" ht="15" hidden="1" customHeight="1" x14ac:dyDescent="0.25">
      <c r="B1891" s="7"/>
      <c r="C1891" s="140">
        <v>1863</v>
      </c>
      <c r="D1891" s="142"/>
      <c r="E1891" s="142"/>
      <c r="F1891" s="142"/>
      <c r="G1891" s="142"/>
      <c r="H1891" s="141"/>
      <c r="I1891" s="8"/>
    </row>
    <row r="1892" spans="2:9" ht="15" hidden="1" customHeight="1" x14ac:dyDescent="0.25">
      <c r="B1892" s="7"/>
      <c r="C1892" s="140">
        <v>1864</v>
      </c>
      <c r="D1892" s="142"/>
      <c r="E1892" s="142"/>
      <c r="F1892" s="142"/>
      <c r="G1892" s="142"/>
      <c r="H1892" s="141"/>
      <c r="I1892" s="8"/>
    </row>
    <row r="1893" spans="2:9" ht="15" hidden="1" customHeight="1" x14ac:dyDescent="0.25">
      <c r="B1893" s="7"/>
      <c r="C1893" s="140">
        <v>1865</v>
      </c>
      <c r="D1893" s="142"/>
      <c r="E1893" s="142"/>
      <c r="F1893" s="142"/>
      <c r="G1893" s="142"/>
      <c r="H1893" s="141"/>
      <c r="I1893" s="8"/>
    </row>
    <row r="1894" spans="2:9" ht="15" hidden="1" customHeight="1" x14ac:dyDescent="0.25">
      <c r="B1894" s="7"/>
      <c r="C1894" s="140">
        <v>1866</v>
      </c>
      <c r="D1894" s="142"/>
      <c r="E1894" s="142"/>
      <c r="F1894" s="142"/>
      <c r="G1894" s="142"/>
      <c r="H1894" s="141"/>
      <c r="I1894" s="8"/>
    </row>
    <row r="1895" spans="2:9" ht="15" hidden="1" customHeight="1" x14ac:dyDescent="0.25">
      <c r="B1895" s="7"/>
      <c r="C1895" s="140">
        <v>1867</v>
      </c>
      <c r="D1895" s="142"/>
      <c r="E1895" s="142"/>
      <c r="F1895" s="142"/>
      <c r="G1895" s="142"/>
      <c r="H1895" s="141"/>
      <c r="I1895" s="8"/>
    </row>
    <row r="1896" spans="2:9" ht="15" hidden="1" customHeight="1" x14ac:dyDescent="0.25">
      <c r="B1896" s="7"/>
      <c r="C1896" s="140">
        <v>1868</v>
      </c>
      <c r="D1896" s="142"/>
      <c r="E1896" s="142"/>
      <c r="F1896" s="142"/>
      <c r="G1896" s="142"/>
      <c r="H1896" s="141"/>
      <c r="I1896" s="8"/>
    </row>
    <row r="1897" spans="2:9" ht="15" hidden="1" customHeight="1" x14ac:dyDescent="0.25">
      <c r="B1897" s="7"/>
      <c r="C1897" s="140">
        <v>1869</v>
      </c>
      <c r="D1897" s="142"/>
      <c r="E1897" s="142"/>
      <c r="F1897" s="142"/>
      <c r="G1897" s="142"/>
      <c r="H1897" s="141"/>
      <c r="I1897" s="8"/>
    </row>
    <row r="1898" spans="2:9" ht="15" hidden="1" customHeight="1" x14ac:dyDescent="0.25">
      <c r="B1898" s="7"/>
      <c r="C1898" s="140">
        <v>1870</v>
      </c>
      <c r="D1898" s="142"/>
      <c r="E1898" s="142"/>
      <c r="F1898" s="142"/>
      <c r="G1898" s="142"/>
      <c r="H1898" s="141"/>
      <c r="I1898" s="8"/>
    </row>
    <row r="1899" spans="2:9" ht="15" hidden="1" customHeight="1" x14ac:dyDescent="0.25">
      <c r="B1899" s="7"/>
      <c r="C1899" s="140">
        <v>1871</v>
      </c>
      <c r="D1899" s="142"/>
      <c r="E1899" s="142"/>
      <c r="F1899" s="142"/>
      <c r="G1899" s="142"/>
      <c r="H1899" s="141"/>
      <c r="I1899" s="8"/>
    </row>
    <row r="1900" spans="2:9" ht="15" hidden="1" customHeight="1" x14ac:dyDescent="0.25">
      <c r="B1900" s="7"/>
      <c r="C1900" s="140">
        <v>1872</v>
      </c>
      <c r="D1900" s="142"/>
      <c r="E1900" s="142"/>
      <c r="F1900" s="142"/>
      <c r="G1900" s="142"/>
      <c r="H1900" s="141"/>
      <c r="I1900" s="8"/>
    </row>
    <row r="1901" spans="2:9" ht="15" hidden="1" customHeight="1" x14ac:dyDescent="0.25">
      <c r="B1901" s="7"/>
      <c r="C1901" s="140">
        <v>1873</v>
      </c>
      <c r="D1901" s="142"/>
      <c r="E1901" s="142"/>
      <c r="F1901" s="142"/>
      <c r="G1901" s="142"/>
      <c r="H1901" s="141"/>
      <c r="I1901" s="8"/>
    </row>
    <row r="1902" spans="2:9" ht="15" hidden="1" customHeight="1" x14ac:dyDescent="0.25">
      <c r="B1902" s="7"/>
      <c r="C1902" s="140">
        <v>1874</v>
      </c>
      <c r="D1902" s="142"/>
      <c r="E1902" s="142"/>
      <c r="F1902" s="142"/>
      <c r="G1902" s="142"/>
      <c r="H1902" s="141"/>
      <c r="I1902" s="8"/>
    </row>
    <row r="1903" spans="2:9" ht="15" hidden="1" customHeight="1" x14ac:dyDescent="0.25">
      <c r="B1903" s="7"/>
      <c r="C1903" s="140">
        <v>1875</v>
      </c>
      <c r="D1903" s="142"/>
      <c r="E1903" s="142"/>
      <c r="F1903" s="142"/>
      <c r="G1903" s="142"/>
      <c r="H1903" s="141"/>
      <c r="I1903" s="8"/>
    </row>
    <row r="1904" spans="2:9" ht="15" hidden="1" customHeight="1" x14ac:dyDescent="0.25">
      <c r="B1904" s="7"/>
      <c r="C1904" s="140">
        <v>1876</v>
      </c>
      <c r="D1904" s="142"/>
      <c r="E1904" s="142"/>
      <c r="F1904" s="142"/>
      <c r="G1904" s="142"/>
      <c r="H1904" s="141"/>
      <c r="I1904" s="8"/>
    </row>
    <row r="1905" spans="2:9" ht="15" hidden="1" customHeight="1" x14ac:dyDescent="0.25">
      <c r="B1905" s="7"/>
      <c r="C1905" s="140">
        <v>1877</v>
      </c>
      <c r="D1905" s="142"/>
      <c r="E1905" s="142"/>
      <c r="F1905" s="142"/>
      <c r="G1905" s="142"/>
      <c r="H1905" s="141"/>
      <c r="I1905" s="8"/>
    </row>
    <row r="1906" spans="2:9" ht="15" hidden="1" customHeight="1" x14ac:dyDescent="0.25">
      <c r="B1906" s="7"/>
      <c r="C1906" s="140">
        <v>1878</v>
      </c>
      <c r="D1906" s="142"/>
      <c r="E1906" s="142"/>
      <c r="F1906" s="142"/>
      <c r="G1906" s="142"/>
      <c r="H1906" s="141"/>
      <c r="I1906" s="8"/>
    </row>
    <row r="1907" spans="2:9" ht="15" hidden="1" customHeight="1" x14ac:dyDescent="0.25">
      <c r="B1907" s="7"/>
      <c r="C1907" s="140">
        <v>1879</v>
      </c>
      <c r="D1907" s="142"/>
      <c r="E1907" s="142"/>
      <c r="F1907" s="142"/>
      <c r="G1907" s="142"/>
      <c r="H1907" s="141"/>
      <c r="I1907" s="8"/>
    </row>
    <row r="1908" spans="2:9" ht="15" hidden="1" customHeight="1" x14ac:dyDescent="0.25">
      <c r="B1908" s="7"/>
      <c r="C1908" s="140">
        <v>1880</v>
      </c>
      <c r="D1908" s="142"/>
      <c r="E1908" s="142"/>
      <c r="F1908" s="142"/>
      <c r="G1908" s="142"/>
      <c r="H1908" s="141"/>
      <c r="I1908" s="8"/>
    </row>
    <row r="1909" spans="2:9" ht="15" hidden="1" customHeight="1" x14ac:dyDescent="0.25">
      <c r="B1909" s="7"/>
      <c r="C1909" s="140">
        <v>1881</v>
      </c>
      <c r="D1909" s="142"/>
      <c r="E1909" s="142"/>
      <c r="F1909" s="142"/>
      <c r="G1909" s="142"/>
      <c r="H1909" s="141"/>
      <c r="I1909" s="8"/>
    </row>
    <row r="1910" spans="2:9" ht="15" hidden="1" customHeight="1" x14ac:dyDescent="0.25">
      <c r="B1910" s="7"/>
      <c r="C1910" s="140">
        <v>1882</v>
      </c>
      <c r="D1910" s="142"/>
      <c r="E1910" s="142"/>
      <c r="F1910" s="142"/>
      <c r="G1910" s="142"/>
      <c r="H1910" s="141"/>
      <c r="I1910" s="8"/>
    </row>
    <row r="1911" spans="2:9" ht="15" hidden="1" customHeight="1" x14ac:dyDescent="0.25">
      <c r="B1911" s="7"/>
      <c r="C1911" s="140">
        <v>1883</v>
      </c>
      <c r="D1911" s="142"/>
      <c r="E1911" s="142"/>
      <c r="F1911" s="142"/>
      <c r="G1911" s="142"/>
      <c r="H1911" s="141"/>
      <c r="I1911" s="8"/>
    </row>
    <row r="1912" spans="2:9" ht="15" hidden="1" customHeight="1" x14ac:dyDescent="0.25">
      <c r="B1912" s="7"/>
      <c r="C1912" s="140">
        <v>1884</v>
      </c>
      <c r="D1912" s="142"/>
      <c r="E1912" s="142"/>
      <c r="F1912" s="142"/>
      <c r="G1912" s="142"/>
      <c r="H1912" s="141"/>
      <c r="I1912" s="8"/>
    </row>
    <row r="1913" spans="2:9" ht="15" hidden="1" customHeight="1" x14ac:dyDescent="0.25">
      <c r="B1913" s="7"/>
      <c r="C1913" s="140">
        <v>1885</v>
      </c>
      <c r="D1913" s="142"/>
      <c r="E1913" s="142"/>
      <c r="F1913" s="142"/>
      <c r="G1913" s="142"/>
      <c r="H1913" s="141"/>
      <c r="I1913" s="8"/>
    </row>
    <row r="1914" spans="2:9" ht="15" hidden="1" customHeight="1" x14ac:dyDescent="0.25">
      <c r="B1914" s="7"/>
      <c r="C1914" s="140">
        <v>1886</v>
      </c>
      <c r="D1914" s="142"/>
      <c r="E1914" s="142"/>
      <c r="F1914" s="142"/>
      <c r="G1914" s="142"/>
      <c r="H1914" s="141"/>
      <c r="I1914" s="8"/>
    </row>
    <row r="1915" spans="2:9" ht="15" hidden="1" customHeight="1" x14ac:dyDescent="0.25">
      <c r="B1915" s="7"/>
      <c r="C1915" s="140">
        <v>1887</v>
      </c>
      <c r="D1915" s="142"/>
      <c r="E1915" s="142"/>
      <c r="F1915" s="142"/>
      <c r="G1915" s="142"/>
      <c r="H1915" s="141"/>
      <c r="I1915" s="8"/>
    </row>
    <row r="1916" spans="2:9" ht="15" hidden="1" customHeight="1" x14ac:dyDescent="0.25">
      <c r="B1916" s="7"/>
      <c r="C1916" s="140">
        <v>1888</v>
      </c>
      <c r="D1916" s="142"/>
      <c r="E1916" s="142"/>
      <c r="F1916" s="142"/>
      <c r="G1916" s="142"/>
      <c r="H1916" s="141"/>
      <c r="I1916" s="8"/>
    </row>
    <row r="1917" spans="2:9" ht="15" hidden="1" customHeight="1" x14ac:dyDescent="0.25">
      <c r="B1917" s="7"/>
      <c r="C1917" s="140">
        <v>1889</v>
      </c>
      <c r="D1917" s="142"/>
      <c r="E1917" s="142"/>
      <c r="F1917" s="142"/>
      <c r="G1917" s="142"/>
      <c r="H1917" s="141"/>
      <c r="I1917" s="8"/>
    </row>
    <row r="1918" spans="2:9" ht="15" hidden="1" customHeight="1" x14ac:dyDescent="0.25">
      <c r="B1918" s="7"/>
      <c r="C1918" s="140">
        <v>1890</v>
      </c>
      <c r="D1918" s="142"/>
      <c r="E1918" s="142"/>
      <c r="F1918" s="142"/>
      <c r="G1918" s="142"/>
      <c r="H1918" s="141"/>
      <c r="I1918" s="8"/>
    </row>
    <row r="1919" spans="2:9" ht="15" hidden="1" customHeight="1" x14ac:dyDescent="0.25">
      <c r="B1919" s="7"/>
      <c r="C1919" s="140">
        <v>1891</v>
      </c>
      <c r="D1919" s="142"/>
      <c r="E1919" s="142"/>
      <c r="F1919" s="142"/>
      <c r="G1919" s="142"/>
      <c r="H1919" s="141"/>
      <c r="I1919" s="8"/>
    </row>
    <row r="1920" spans="2:9" ht="15" hidden="1" customHeight="1" x14ac:dyDescent="0.25">
      <c r="B1920" s="7"/>
      <c r="C1920" s="140">
        <v>1892</v>
      </c>
      <c r="D1920" s="142"/>
      <c r="E1920" s="142"/>
      <c r="F1920" s="142"/>
      <c r="G1920" s="142"/>
      <c r="H1920" s="141"/>
      <c r="I1920" s="8"/>
    </row>
    <row r="1921" spans="2:9" ht="15" hidden="1" customHeight="1" x14ac:dyDescent="0.25">
      <c r="B1921" s="7"/>
      <c r="C1921" s="140">
        <v>1893</v>
      </c>
      <c r="D1921" s="142"/>
      <c r="E1921" s="142"/>
      <c r="F1921" s="142"/>
      <c r="G1921" s="142"/>
      <c r="H1921" s="141"/>
      <c r="I1921" s="8"/>
    </row>
    <row r="1922" spans="2:9" ht="15" hidden="1" customHeight="1" x14ac:dyDescent="0.25">
      <c r="B1922" s="7"/>
      <c r="C1922" s="140">
        <v>1894</v>
      </c>
      <c r="D1922" s="142"/>
      <c r="E1922" s="142"/>
      <c r="F1922" s="142"/>
      <c r="G1922" s="142"/>
      <c r="H1922" s="141"/>
      <c r="I1922" s="8"/>
    </row>
    <row r="1923" spans="2:9" ht="15" hidden="1" customHeight="1" x14ac:dyDescent="0.25">
      <c r="B1923" s="7"/>
      <c r="C1923" s="140">
        <v>1895</v>
      </c>
      <c r="D1923" s="142"/>
      <c r="E1923" s="142"/>
      <c r="F1923" s="142"/>
      <c r="G1923" s="142"/>
      <c r="H1923" s="141"/>
      <c r="I1923" s="8"/>
    </row>
    <row r="1924" spans="2:9" ht="15" hidden="1" customHeight="1" x14ac:dyDescent="0.25">
      <c r="B1924" s="7"/>
      <c r="C1924" s="140">
        <v>1896</v>
      </c>
      <c r="D1924" s="142"/>
      <c r="E1924" s="142"/>
      <c r="F1924" s="142"/>
      <c r="G1924" s="142"/>
      <c r="H1924" s="141"/>
      <c r="I1924" s="8"/>
    </row>
    <row r="1925" spans="2:9" ht="15" hidden="1" customHeight="1" x14ac:dyDescent="0.25">
      <c r="B1925" s="7"/>
      <c r="C1925" s="140">
        <v>1897</v>
      </c>
      <c r="D1925" s="142"/>
      <c r="E1925" s="142"/>
      <c r="F1925" s="142"/>
      <c r="G1925" s="142"/>
      <c r="H1925" s="141"/>
      <c r="I1925" s="8"/>
    </row>
    <row r="1926" spans="2:9" ht="15" hidden="1" customHeight="1" x14ac:dyDescent="0.25">
      <c r="B1926" s="7"/>
      <c r="C1926" s="140">
        <v>1898</v>
      </c>
      <c r="D1926" s="142"/>
      <c r="E1926" s="142"/>
      <c r="F1926" s="142"/>
      <c r="G1926" s="142"/>
      <c r="H1926" s="141"/>
      <c r="I1926" s="8"/>
    </row>
    <row r="1927" spans="2:9" ht="15" hidden="1" customHeight="1" x14ac:dyDescent="0.25">
      <c r="B1927" s="7"/>
      <c r="C1927" s="140">
        <v>1899</v>
      </c>
      <c r="D1927" s="142"/>
      <c r="E1927" s="142"/>
      <c r="F1927" s="142"/>
      <c r="G1927" s="142"/>
      <c r="H1927" s="141"/>
      <c r="I1927" s="8"/>
    </row>
    <row r="1928" spans="2:9" ht="15" hidden="1" customHeight="1" x14ac:dyDescent="0.25">
      <c r="B1928" s="7"/>
      <c r="C1928" s="140">
        <v>1900</v>
      </c>
      <c r="D1928" s="142"/>
      <c r="E1928" s="142"/>
      <c r="F1928" s="142"/>
      <c r="G1928" s="142"/>
      <c r="H1928" s="141"/>
      <c r="I1928" s="8"/>
    </row>
    <row r="1929" spans="2:9" ht="15" hidden="1" customHeight="1" x14ac:dyDescent="0.25">
      <c r="B1929" s="7"/>
      <c r="C1929" s="140">
        <v>1901</v>
      </c>
      <c r="D1929" s="142"/>
      <c r="E1929" s="142"/>
      <c r="F1929" s="142"/>
      <c r="G1929" s="142"/>
      <c r="H1929" s="141"/>
      <c r="I1929" s="8"/>
    </row>
    <row r="1930" spans="2:9" ht="15" hidden="1" customHeight="1" x14ac:dyDescent="0.25">
      <c r="B1930" s="7"/>
      <c r="C1930" s="140">
        <v>1902</v>
      </c>
      <c r="D1930" s="142"/>
      <c r="E1930" s="142"/>
      <c r="F1930" s="142"/>
      <c r="G1930" s="142"/>
      <c r="H1930" s="141"/>
      <c r="I1930" s="8"/>
    </row>
    <row r="1931" spans="2:9" ht="15" hidden="1" customHeight="1" x14ac:dyDescent="0.25">
      <c r="B1931" s="7"/>
      <c r="C1931" s="140">
        <v>1903</v>
      </c>
      <c r="D1931" s="142"/>
      <c r="E1931" s="142"/>
      <c r="F1931" s="142"/>
      <c r="G1931" s="142"/>
      <c r="H1931" s="141"/>
      <c r="I1931" s="8"/>
    </row>
    <row r="1932" spans="2:9" ht="15" hidden="1" customHeight="1" x14ac:dyDescent="0.25">
      <c r="B1932" s="7"/>
      <c r="C1932" s="140">
        <v>1904</v>
      </c>
      <c r="D1932" s="142"/>
      <c r="E1932" s="142"/>
      <c r="F1932" s="142"/>
      <c r="G1932" s="142"/>
      <c r="H1932" s="141"/>
      <c r="I1932" s="8"/>
    </row>
    <row r="1933" spans="2:9" ht="15" hidden="1" customHeight="1" x14ac:dyDescent="0.25">
      <c r="B1933" s="7"/>
      <c r="C1933" s="140">
        <v>1905</v>
      </c>
      <c r="D1933" s="142"/>
      <c r="E1933" s="142"/>
      <c r="F1933" s="142"/>
      <c r="G1933" s="142"/>
      <c r="H1933" s="141"/>
      <c r="I1933" s="8"/>
    </row>
    <row r="1934" spans="2:9" ht="15" hidden="1" customHeight="1" x14ac:dyDescent="0.25">
      <c r="B1934" s="7"/>
      <c r="C1934" s="140">
        <v>1906</v>
      </c>
      <c r="D1934" s="142"/>
      <c r="E1934" s="142"/>
      <c r="F1934" s="142"/>
      <c r="G1934" s="142"/>
      <c r="H1934" s="141"/>
      <c r="I1934" s="8"/>
    </row>
    <row r="1935" spans="2:9" ht="15" hidden="1" customHeight="1" x14ac:dyDescent="0.25">
      <c r="B1935" s="7"/>
      <c r="C1935" s="140">
        <v>1907</v>
      </c>
      <c r="D1935" s="142"/>
      <c r="E1935" s="142"/>
      <c r="F1935" s="142"/>
      <c r="G1935" s="142"/>
      <c r="H1935" s="141"/>
      <c r="I1935" s="8"/>
    </row>
    <row r="1936" spans="2:9" ht="15" hidden="1" customHeight="1" x14ac:dyDescent="0.25">
      <c r="B1936" s="7"/>
      <c r="C1936" s="140">
        <v>1908</v>
      </c>
      <c r="D1936" s="142"/>
      <c r="E1936" s="142"/>
      <c r="F1936" s="142"/>
      <c r="G1936" s="142"/>
      <c r="H1936" s="141"/>
      <c r="I1936" s="8"/>
    </row>
    <row r="1937" spans="2:9" ht="15" hidden="1" customHeight="1" x14ac:dyDescent="0.25">
      <c r="B1937" s="7"/>
      <c r="C1937" s="140">
        <v>1909</v>
      </c>
      <c r="D1937" s="142"/>
      <c r="E1937" s="142"/>
      <c r="F1937" s="142"/>
      <c r="G1937" s="142"/>
      <c r="H1937" s="141"/>
      <c r="I1937" s="8"/>
    </row>
    <row r="1938" spans="2:9" ht="15" hidden="1" customHeight="1" x14ac:dyDescent="0.25">
      <c r="B1938" s="7"/>
      <c r="C1938" s="140">
        <v>1910</v>
      </c>
      <c r="D1938" s="142"/>
      <c r="E1938" s="142"/>
      <c r="F1938" s="142"/>
      <c r="G1938" s="142"/>
      <c r="H1938" s="141"/>
      <c r="I1938" s="8"/>
    </row>
    <row r="1939" spans="2:9" ht="15" hidden="1" customHeight="1" x14ac:dyDescent="0.25">
      <c r="B1939" s="7"/>
      <c r="C1939" s="140">
        <v>1911</v>
      </c>
      <c r="D1939" s="142"/>
      <c r="E1939" s="142"/>
      <c r="F1939" s="142"/>
      <c r="G1939" s="142"/>
      <c r="H1939" s="141"/>
      <c r="I1939" s="8"/>
    </row>
    <row r="1940" spans="2:9" ht="15" hidden="1" customHeight="1" x14ac:dyDescent="0.25">
      <c r="B1940" s="7"/>
      <c r="C1940" s="140">
        <v>1912</v>
      </c>
      <c r="D1940" s="142"/>
      <c r="E1940" s="142"/>
      <c r="F1940" s="142"/>
      <c r="G1940" s="142"/>
      <c r="H1940" s="141"/>
      <c r="I1940" s="8"/>
    </row>
    <row r="1941" spans="2:9" ht="15" hidden="1" customHeight="1" x14ac:dyDescent="0.25">
      <c r="B1941" s="7"/>
      <c r="C1941" s="140">
        <v>1913</v>
      </c>
      <c r="D1941" s="142"/>
      <c r="E1941" s="142"/>
      <c r="F1941" s="142"/>
      <c r="G1941" s="142"/>
      <c r="H1941" s="141"/>
      <c r="I1941" s="8"/>
    </row>
    <row r="1942" spans="2:9" ht="15" hidden="1" customHeight="1" x14ac:dyDescent="0.25">
      <c r="B1942" s="7"/>
      <c r="C1942" s="140">
        <v>1914</v>
      </c>
      <c r="D1942" s="142"/>
      <c r="E1942" s="142"/>
      <c r="F1942" s="142"/>
      <c r="G1942" s="142"/>
      <c r="H1942" s="141"/>
      <c r="I1942" s="8"/>
    </row>
    <row r="1943" spans="2:9" ht="15" hidden="1" customHeight="1" x14ac:dyDescent="0.25">
      <c r="B1943" s="7"/>
      <c r="C1943" s="140">
        <v>1915</v>
      </c>
      <c r="D1943" s="142"/>
      <c r="E1943" s="142"/>
      <c r="F1943" s="142"/>
      <c r="G1943" s="142"/>
      <c r="H1943" s="141"/>
      <c r="I1943" s="8"/>
    </row>
    <row r="1944" spans="2:9" ht="15" hidden="1" customHeight="1" x14ac:dyDescent="0.25">
      <c r="B1944" s="7"/>
      <c r="C1944" s="140">
        <v>1916</v>
      </c>
      <c r="D1944" s="142"/>
      <c r="E1944" s="142"/>
      <c r="F1944" s="142"/>
      <c r="G1944" s="142"/>
      <c r="H1944" s="141"/>
      <c r="I1944" s="8"/>
    </row>
    <row r="1945" spans="2:9" ht="15" hidden="1" customHeight="1" x14ac:dyDescent="0.25">
      <c r="B1945" s="7"/>
      <c r="C1945" s="140">
        <v>1917</v>
      </c>
      <c r="D1945" s="142"/>
      <c r="E1945" s="142"/>
      <c r="F1945" s="142"/>
      <c r="G1945" s="142"/>
      <c r="H1945" s="141"/>
      <c r="I1945" s="8"/>
    </row>
    <row r="1946" spans="2:9" ht="15" hidden="1" customHeight="1" x14ac:dyDescent="0.25">
      <c r="B1946" s="7"/>
      <c r="C1946" s="140">
        <v>1918</v>
      </c>
      <c r="D1946" s="142"/>
      <c r="E1946" s="142"/>
      <c r="F1946" s="142"/>
      <c r="G1946" s="142"/>
      <c r="H1946" s="141"/>
      <c r="I1946" s="8"/>
    </row>
    <row r="1947" spans="2:9" ht="15" hidden="1" customHeight="1" x14ac:dyDescent="0.25">
      <c r="B1947" s="7"/>
      <c r="C1947" s="140">
        <v>1919</v>
      </c>
      <c r="D1947" s="142"/>
      <c r="E1947" s="142"/>
      <c r="F1947" s="142"/>
      <c r="G1947" s="142"/>
      <c r="H1947" s="141"/>
      <c r="I1947" s="8"/>
    </row>
    <row r="1948" spans="2:9" ht="15" hidden="1" customHeight="1" x14ac:dyDescent="0.25">
      <c r="B1948" s="7"/>
      <c r="C1948" s="140">
        <v>1920</v>
      </c>
      <c r="D1948" s="142"/>
      <c r="E1948" s="142"/>
      <c r="F1948" s="142"/>
      <c r="G1948" s="142"/>
      <c r="H1948" s="141"/>
      <c r="I1948" s="8"/>
    </row>
    <row r="1949" spans="2:9" ht="15" hidden="1" customHeight="1" x14ac:dyDescent="0.25">
      <c r="B1949" s="7"/>
      <c r="C1949" s="140">
        <v>1921</v>
      </c>
      <c r="D1949" s="142"/>
      <c r="E1949" s="142"/>
      <c r="F1949" s="142"/>
      <c r="G1949" s="142"/>
      <c r="H1949" s="141"/>
      <c r="I1949" s="8"/>
    </row>
    <row r="1950" spans="2:9" ht="15" hidden="1" customHeight="1" x14ac:dyDescent="0.25">
      <c r="B1950" s="7"/>
      <c r="C1950" s="140">
        <v>1922</v>
      </c>
      <c r="D1950" s="142"/>
      <c r="E1950" s="142"/>
      <c r="F1950" s="142"/>
      <c r="G1950" s="142"/>
      <c r="H1950" s="141"/>
      <c r="I1950" s="8"/>
    </row>
    <row r="1951" spans="2:9" ht="15" hidden="1" customHeight="1" x14ac:dyDescent="0.25">
      <c r="B1951" s="7"/>
      <c r="C1951" s="140">
        <v>1923</v>
      </c>
      <c r="D1951" s="142"/>
      <c r="E1951" s="142"/>
      <c r="F1951" s="142"/>
      <c r="G1951" s="142"/>
      <c r="H1951" s="141"/>
      <c r="I1951" s="8"/>
    </row>
    <row r="1952" spans="2:9" ht="15" hidden="1" customHeight="1" x14ac:dyDescent="0.25">
      <c r="B1952" s="7"/>
      <c r="C1952" s="140">
        <v>1924</v>
      </c>
      <c r="D1952" s="142"/>
      <c r="E1952" s="142"/>
      <c r="F1952" s="142"/>
      <c r="G1952" s="142"/>
      <c r="H1952" s="141"/>
      <c r="I1952" s="8"/>
    </row>
    <row r="1953" spans="2:9" ht="15" hidden="1" customHeight="1" x14ac:dyDescent="0.25">
      <c r="B1953" s="7"/>
      <c r="C1953" s="140">
        <v>1925</v>
      </c>
      <c r="D1953" s="142"/>
      <c r="E1953" s="142"/>
      <c r="F1953" s="142"/>
      <c r="G1953" s="142"/>
      <c r="H1953" s="141"/>
      <c r="I1953" s="8"/>
    </row>
    <row r="1954" spans="2:9" ht="15" hidden="1" customHeight="1" x14ac:dyDescent="0.25">
      <c r="B1954" s="7"/>
      <c r="C1954" s="140">
        <v>1926</v>
      </c>
      <c r="D1954" s="142"/>
      <c r="E1954" s="142"/>
      <c r="F1954" s="142"/>
      <c r="G1954" s="142"/>
      <c r="H1954" s="141"/>
      <c r="I1954" s="8"/>
    </row>
    <row r="1955" spans="2:9" ht="15" hidden="1" customHeight="1" x14ac:dyDescent="0.25">
      <c r="B1955" s="7"/>
      <c r="C1955" s="140">
        <v>1927</v>
      </c>
      <c r="D1955" s="142"/>
      <c r="E1955" s="142"/>
      <c r="F1955" s="142"/>
      <c r="G1955" s="142"/>
      <c r="H1955" s="141"/>
      <c r="I1955" s="8"/>
    </row>
    <row r="1956" spans="2:9" ht="15" hidden="1" customHeight="1" x14ac:dyDescent="0.25">
      <c r="B1956" s="7"/>
      <c r="C1956" s="140">
        <v>1928</v>
      </c>
      <c r="D1956" s="142"/>
      <c r="E1956" s="142"/>
      <c r="F1956" s="142"/>
      <c r="G1956" s="142"/>
      <c r="H1956" s="141"/>
      <c r="I1956" s="8"/>
    </row>
    <row r="1957" spans="2:9" ht="15" hidden="1" customHeight="1" x14ac:dyDescent="0.25">
      <c r="B1957" s="7"/>
      <c r="C1957" s="140">
        <v>1929</v>
      </c>
      <c r="D1957" s="142"/>
      <c r="E1957" s="142"/>
      <c r="F1957" s="142"/>
      <c r="G1957" s="142"/>
      <c r="H1957" s="141"/>
      <c r="I1957" s="8"/>
    </row>
    <row r="1958" spans="2:9" ht="15" hidden="1" customHeight="1" x14ac:dyDescent="0.25">
      <c r="B1958" s="7"/>
      <c r="C1958" s="140">
        <v>1930</v>
      </c>
      <c r="D1958" s="142"/>
      <c r="E1958" s="142"/>
      <c r="F1958" s="142"/>
      <c r="G1958" s="142"/>
      <c r="H1958" s="141"/>
      <c r="I1958" s="8"/>
    </row>
    <row r="1959" spans="2:9" ht="15" hidden="1" customHeight="1" x14ac:dyDescent="0.25">
      <c r="B1959" s="7"/>
      <c r="C1959" s="140">
        <v>1931</v>
      </c>
      <c r="D1959" s="142"/>
      <c r="E1959" s="142"/>
      <c r="F1959" s="142"/>
      <c r="G1959" s="142"/>
      <c r="H1959" s="141"/>
      <c r="I1959" s="8"/>
    </row>
    <row r="1960" spans="2:9" ht="15" hidden="1" customHeight="1" x14ac:dyDescent="0.25">
      <c r="B1960" s="7"/>
      <c r="C1960" s="140">
        <v>1932</v>
      </c>
      <c r="D1960" s="142"/>
      <c r="E1960" s="142"/>
      <c r="F1960" s="142"/>
      <c r="G1960" s="142"/>
      <c r="H1960" s="141"/>
      <c r="I1960" s="8"/>
    </row>
    <row r="1961" spans="2:9" ht="15" hidden="1" customHeight="1" x14ac:dyDescent="0.25">
      <c r="B1961" s="7"/>
      <c r="C1961" s="140">
        <v>1933</v>
      </c>
      <c r="D1961" s="142"/>
      <c r="E1961" s="142"/>
      <c r="F1961" s="142"/>
      <c r="G1961" s="142"/>
      <c r="H1961" s="141"/>
      <c r="I1961" s="8"/>
    </row>
    <row r="1962" spans="2:9" ht="15" hidden="1" customHeight="1" x14ac:dyDescent="0.25">
      <c r="B1962" s="7"/>
      <c r="C1962" s="140">
        <v>1934</v>
      </c>
      <c r="D1962" s="142"/>
      <c r="E1962" s="142"/>
      <c r="F1962" s="142"/>
      <c r="G1962" s="142"/>
      <c r="H1962" s="141"/>
      <c r="I1962" s="8"/>
    </row>
    <row r="1963" spans="2:9" ht="15" hidden="1" customHeight="1" x14ac:dyDescent="0.25">
      <c r="B1963" s="7"/>
      <c r="C1963" s="140">
        <v>1935</v>
      </c>
      <c r="D1963" s="142"/>
      <c r="E1963" s="142"/>
      <c r="F1963" s="142"/>
      <c r="G1963" s="142"/>
      <c r="H1963" s="141"/>
      <c r="I1963" s="8"/>
    </row>
    <row r="1964" spans="2:9" ht="15" hidden="1" customHeight="1" x14ac:dyDescent="0.25">
      <c r="B1964" s="7"/>
      <c r="C1964" s="140">
        <v>1936</v>
      </c>
      <c r="D1964" s="142"/>
      <c r="E1964" s="142"/>
      <c r="F1964" s="142"/>
      <c r="G1964" s="142"/>
      <c r="H1964" s="141"/>
      <c r="I1964" s="8"/>
    </row>
    <row r="1965" spans="2:9" ht="15" hidden="1" customHeight="1" x14ac:dyDescent="0.25">
      <c r="B1965" s="7"/>
      <c r="C1965" s="140">
        <v>1937</v>
      </c>
      <c r="D1965" s="142"/>
      <c r="E1965" s="142"/>
      <c r="F1965" s="142"/>
      <c r="G1965" s="142"/>
      <c r="H1965" s="141"/>
      <c r="I1965" s="8"/>
    </row>
    <row r="1966" spans="2:9" ht="15" hidden="1" customHeight="1" x14ac:dyDescent="0.25">
      <c r="B1966" s="7"/>
      <c r="C1966" s="140">
        <v>1938</v>
      </c>
      <c r="D1966" s="142"/>
      <c r="E1966" s="142"/>
      <c r="F1966" s="142"/>
      <c r="G1966" s="142"/>
      <c r="H1966" s="141"/>
      <c r="I1966" s="8"/>
    </row>
    <row r="1967" spans="2:9" ht="15" hidden="1" customHeight="1" x14ac:dyDescent="0.25">
      <c r="B1967" s="7"/>
      <c r="C1967" s="140">
        <v>1939</v>
      </c>
      <c r="D1967" s="142"/>
      <c r="E1967" s="142"/>
      <c r="F1967" s="142"/>
      <c r="G1967" s="142"/>
      <c r="H1967" s="141"/>
      <c r="I1967" s="8"/>
    </row>
    <row r="1968" spans="2:9" ht="15" hidden="1" customHeight="1" x14ac:dyDescent="0.25">
      <c r="B1968" s="7"/>
      <c r="C1968" s="140">
        <v>1940</v>
      </c>
      <c r="D1968" s="142"/>
      <c r="E1968" s="142"/>
      <c r="F1968" s="142"/>
      <c r="G1968" s="142"/>
      <c r="H1968" s="141"/>
      <c r="I1968" s="8"/>
    </row>
    <row r="1969" spans="2:9" ht="15" hidden="1" customHeight="1" x14ac:dyDescent="0.25">
      <c r="B1969" s="7"/>
      <c r="C1969" s="140">
        <v>1941</v>
      </c>
      <c r="D1969" s="142"/>
      <c r="E1969" s="142"/>
      <c r="F1969" s="142"/>
      <c r="G1969" s="142"/>
      <c r="H1969" s="141"/>
      <c r="I1969" s="8"/>
    </row>
    <row r="1970" spans="2:9" ht="15" hidden="1" customHeight="1" x14ac:dyDescent="0.25">
      <c r="B1970" s="7"/>
      <c r="C1970" s="140">
        <v>1942</v>
      </c>
      <c r="D1970" s="142"/>
      <c r="E1970" s="142"/>
      <c r="F1970" s="142"/>
      <c r="G1970" s="142"/>
      <c r="H1970" s="141"/>
      <c r="I1970" s="8"/>
    </row>
    <row r="1971" spans="2:9" ht="15" hidden="1" customHeight="1" x14ac:dyDescent="0.25">
      <c r="B1971" s="7"/>
      <c r="C1971" s="140">
        <v>1943</v>
      </c>
      <c r="D1971" s="142"/>
      <c r="E1971" s="142"/>
      <c r="F1971" s="142"/>
      <c r="G1971" s="142"/>
      <c r="H1971" s="141"/>
      <c r="I1971" s="8"/>
    </row>
    <row r="1972" spans="2:9" ht="15" hidden="1" customHeight="1" x14ac:dyDescent="0.25">
      <c r="B1972" s="7"/>
      <c r="C1972" s="140">
        <v>1944</v>
      </c>
      <c r="D1972" s="142"/>
      <c r="E1972" s="142"/>
      <c r="F1972" s="142"/>
      <c r="G1972" s="142"/>
      <c r="H1972" s="141"/>
      <c r="I1972" s="8"/>
    </row>
    <row r="1973" spans="2:9" ht="15" hidden="1" customHeight="1" x14ac:dyDescent="0.25">
      <c r="B1973" s="7"/>
      <c r="C1973" s="140">
        <v>1945</v>
      </c>
      <c r="D1973" s="142"/>
      <c r="E1973" s="142"/>
      <c r="F1973" s="142"/>
      <c r="G1973" s="142"/>
      <c r="H1973" s="141"/>
      <c r="I1973" s="8"/>
    </row>
    <row r="1974" spans="2:9" ht="15" hidden="1" customHeight="1" x14ac:dyDescent="0.25">
      <c r="B1974" s="7"/>
      <c r="C1974" s="140">
        <v>1946</v>
      </c>
      <c r="D1974" s="142"/>
      <c r="E1974" s="142"/>
      <c r="F1974" s="142"/>
      <c r="G1974" s="142"/>
      <c r="H1974" s="141"/>
      <c r="I1974" s="8"/>
    </row>
    <row r="1975" spans="2:9" ht="15" hidden="1" customHeight="1" x14ac:dyDescent="0.25">
      <c r="B1975" s="7"/>
      <c r="C1975" s="140">
        <v>1947</v>
      </c>
      <c r="D1975" s="142"/>
      <c r="E1975" s="142"/>
      <c r="F1975" s="142"/>
      <c r="G1975" s="142"/>
      <c r="H1975" s="141"/>
      <c r="I1975" s="8"/>
    </row>
    <row r="1976" spans="2:9" ht="15" hidden="1" customHeight="1" x14ac:dyDescent="0.25">
      <c r="B1976" s="7"/>
      <c r="C1976" s="140">
        <v>1948</v>
      </c>
      <c r="D1976" s="142"/>
      <c r="E1976" s="142"/>
      <c r="F1976" s="142"/>
      <c r="G1976" s="142"/>
      <c r="H1976" s="141"/>
      <c r="I1976" s="8"/>
    </row>
    <row r="1977" spans="2:9" ht="15" hidden="1" customHeight="1" x14ac:dyDescent="0.25">
      <c r="B1977" s="7"/>
      <c r="C1977" s="140">
        <v>1949</v>
      </c>
      <c r="D1977" s="142"/>
      <c r="E1977" s="142"/>
      <c r="F1977" s="142"/>
      <c r="G1977" s="142"/>
      <c r="H1977" s="141"/>
      <c r="I1977" s="8"/>
    </row>
    <row r="1978" spans="2:9" ht="15" hidden="1" customHeight="1" x14ac:dyDescent="0.25">
      <c r="B1978" s="7"/>
      <c r="C1978" s="140">
        <v>1950</v>
      </c>
      <c r="D1978" s="142"/>
      <c r="E1978" s="142"/>
      <c r="F1978" s="142"/>
      <c r="G1978" s="142"/>
      <c r="H1978" s="141"/>
      <c r="I1978" s="8"/>
    </row>
    <row r="1979" spans="2:9" ht="15" hidden="1" customHeight="1" x14ac:dyDescent="0.25">
      <c r="B1979" s="7"/>
      <c r="C1979" s="140">
        <v>1951</v>
      </c>
      <c r="D1979" s="142"/>
      <c r="E1979" s="142"/>
      <c r="F1979" s="142"/>
      <c r="G1979" s="142"/>
      <c r="H1979" s="141"/>
      <c r="I1979" s="8"/>
    </row>
    <row r="1980" spans="2:9" ht="15" hidden="1" customHeight="1" x14ac:dyDescent="0.25">
      <c r="B1980" s="7"/>
      <c r="C1980" s="140">
        <v>1952</v>
      </c>
      <c r="D1980" s="142"/>
      <c r="E1980" s="142"/>
      <c r="F1980" s="142"/>
      <c r="G1980" s="142"/>
      <c r="H1980" s="141"/>
      <c r="I1980" s="8"/>
    </row>
    <row r="1981" spans="2:9" ht="15" hidden="1" customHeight="1" x14ac:dyDescent="0.25">
      <c r="B1981" s="7"/>
      <c r="C1981" s="140">
        <v>1953</v>
      </c>
      <c r="D1981" s="142"/>
      <c r="E1981" s="142"/>
      <c r="F1981" s="142"/>
      <c r="G1981" s="142"/>
      <c r="H1981" s="141"/>
      <c r="I1981" s="8"/>
    </row>
    <row r="1982" spans="2:9" ht="15" hidden="1" customHeight="1" x14ac:dyDescent="0.25">
      <c r="B1982" s="7"/>
      <c r="C1982" s="140">
        <v>1954</v>
      </c>
      <c r="D1982" s="142"/>
      <c r="E1982" s="142"/>
      <c r="F1982" s="142"/>
      <c r="G1982" s="142"/>
      <c r="H1982" s="141"/>
      <c r="I1982" s="8"/>
    </row>
    <row r="1983" spans="2:9" ht="15" hidden="1" customHeight="1" x14ac:dyDescent="0.25">
      <c r="B1983" s="7"/>
      <c r="C1983" s="140">
        <v>1955</v>
      </c>
      <c r="D1983" s="142"/>
      <c r="E1983" s="142"/>
      <c r="F1983" s="142"/>
      <c r="G1983" s="142"/>
      <c r="H1983" s="141"/>
      <c r="I1983" s="8"/>
    </row>
    <row r="1984" spans="2:9" ht="15" hidden="1" customHeight="1" x14ac:dyDescent="0.25">
      <c r="B1984" s="7"/>
      <c r="C1984" s="140">
        <v>1956</v>
      </c>
      <c r="D1984" s="142"/>
      <c r="E1984" s="142"/>
      <c r="F1984" s="142"/>
      <c r="G1984" s="142"/>
      <c r="H1984" s="141"/>
      <c r="I1984" s="8"/>
    </row>
    <row r="1985" spans="2:9" ht="15" hidden="1" customHeight="1" x14ac:dyDescent="0.25">
      <c r="B1985" s="7"/>
      <c r="C1985" s="140">
        <v>1957</v>
      </c>
      <c r="D1985" s="142"/>
      <c r="E1985" s="142"/>
      <c r="F1985" s="142"/>
      <c r="G1985" s="142"/>
      <c r="H1985" s="141"/>
      <c r="I1985" s="8"/>
    </row>
    <row r="1986" spans="2:9" ht="15" hidden="1" customHeight="1" x14ac:dyDescent="0.25">
      <c r="B1986" s="7"/>
      <c r="C1986" s="140">
        <v>1958</v>
      </c>
      <c r="D1986" s="142"/>
      <c r="E1986" s="142"/>
      <c r="F1986" s="142"/>
      <c r="G1986" s="142"/>
      <c r="H1986" s="141"/>
      <c r="I1986" s="8"/>
    </row>
    <row r="1987" spans="2:9" ht="15" hidden="1" customHeight="1" x14ac:dyDescent="0.25">
      <c r="B1987" s="7"/>
      <c r="C1987" s="140">
        <v>1959</v>
      </c>
      <c r="D1987" s="142"/>
      <c r="E1987" s="142"/>
      <c r="F1987" s="142"/>
      <c r="G1987" s="142"/>
      <c r="H1987" s="141"/>
      <c r="I1987" s="8"/>
    </row>
    <row r="1988" spans="2:9" ht="15" hidden="1" customHeight="1" x14ac:dyDescent="0.25">
      <c r="B1988" s="7"/>
      <c r="C1988" s="140">
        <v>1960</v>
      </c>
      <c r="D1988" s="142"/>
      <c r="E1988" s="142"/>
      <c r="F1988" s="142"/>
      <c r="G1988" s="142"/>
      <c r="H1988" s="141"/>
      <c r="I1988" s="8"/>
    </row>
    <row r="1989" spans="2:9" ht="15" hidden="1" customHeight="1" x14ac:dyDescent="0.25">
      <c r="B1989" s="7"/>
      <c r="C1989" s="140">
        <v>1961</v>
      </c>
      <c r="D1989" s="142"/>
      <c r="E1989" s="142"/>
      <c r="F1989" s="142"/>
      <c r="G1989" s="142"/>
      <c r="H1989" s="141"/>
      <c r="I1989" s="8"/>
    </row>
    <row r="1990" spans="2:9" ht="15" hidden="1" customHeight="1" x14ac:dyDescent="0.25">
      <c r="B1990" s="7"/>
      <c r="C1990" s="140">
        <v>1962</v>
      </c>
      <c r="D1990" s="142"/>
      <c r="E1990" s="142"/>
      <c r="F1990" s="142"/>
      <c r="G1990" s="142"/>
      <c r="H1990" s="141"/>
      <c r="I1990" s="8"/>
    </row>
    <row r="1991" spans="2:9" ht="15" hidden="1" customHeight="1" x14ac:dyDescent="0.25">
      <c r="B1991" s="7"/>
      <c r="C1991" s="140">
        <v>1963</v>
      </c>
      <c r="D1991" s="142"/>
      <c r="E1991" s="142"/>
      <c r="F1991" s="142"/>
      <c r="G1991" s="142"/>
      <c r="H1991" s="141"/>
      <c r="I1991" s="8"/>
    </row>
    <row r="1992" spans="2:9" ht="15" hidden="1" customHeight="1" x14ac:dyDescent="0.25">
      <c r="B1992" s="7"/>
      <c r="C1992" s="140">
        <v>1964</v>
      </c>
      <c r="D1992" s="142"/>
      <c r="E1992" s="142"/>
      <c r="F1992" s="142"/>
      <c r="G1992" s="142"/>
      <c r="H1992" s="141"/>
      <c r="I1992" s="8"/>
    </row>
    <row r="1993" spans="2:9" ht="15" hidden="1" customHeight="1" x14ac:dyDescent="0.25">
      <c r="B1993" s="7"/>
      <c r="C1993" s="140">
        <v>1965</v>
      </c>
      <c r="D1993" s="142"/>
      <c r="E1993" s="142"/>
      <c r="F1993" s="142"/>
      <c r="G1993" s="142"/>
      <c r="H1993" s="141"/>
      <c r="I1993" s="8"/>
    </row>
    <row r="1994" spans="2:9" ht="15" hidden="1" customHeight="1" x14ac:dyDescent="0.25">
      <c r="B1994" s="7"/>
      <c r="C1994" s="140">
        <v>1966</v>
      </c>
      <c r="D1994" s="142"/>
      <c r="E1994" s="142"/>
      <c r="F1994" s="142"/>
      <c r="G1994" s="142"/>
      <c r="H1994" s="141"/>
      <c r="I1994" s="8"/>
    </row>
    <row r="1995" spans="2:9" ht="15" hidden="1" customHeight="1" x14ac:dyDescent="0.25">
      <c r="B1995" s="7"/>
      <c r="C1995" s="140">
        <v>1967</v>
      </c>
      <c r="D1995" s="142"/>
      <c r="E1995" s="142"/>
      <c r="F1995" s="142"/>
      <c r="G1995" s="142"/>
      <c r="H1995" s="141"/>
      <c r="I1995" s="8"/>
    </row>
    <row r="1996" spans="2:9" ht="15" hidden="1" customHeight="1" x14ac:dyDescent="0.25">
      <c r="B1996" s="7"/>
      <c r="C1996" s="140">
        <v>1968</v>
      </c>
      <c r="D1996" s="142"/>
      <c r="E1996" s="142"/>
      <c r="F1996" s="142"/>
      <c r="G1996" s="142"/>
      <c r="H1996" s="141"/>
      <c r="I1996" s="8"/>
    </row>
    <row r="1997" spans="2:9" ht="15" hidden="1" customHeight="1" x14ac:dyDescent="0.25">
      <c r="B1997" s="7"/>
      <c r="C1997" s="140">
        <v>1969</v>
      </c>
      <c r="D1997" s="142"/>
      <c r="E1997" s="142"/>
      <c r="F1997" s="142"/>
      <c r="G1997" s="142"/>
      <c r="H1997" s="141"/>
      <c r="I1997" s="8"/>
    </row>
    <row r="1998" spans="2:9" ht="15" hidden="1" customHeight="1" x14ac:dyDescent="0.25">
      <c r="B1998" s="7"/>
      <c r="C1998" s="140">
        <v>1970</v>
      </c>
      <c r="D1998" s="142"/>
      <c r="E1998" s="142"/>
      <c r="F1998" s="142"/>
      <c r="G1998" s="142"/>
      <c r="H1998" s="141"/>
      <c r="I1998" s="8"/>
    </row>
    <row r="1999" spans="2:9" ht="15" hidden="1" customHeight="1" x14ac:dyDescent="0.25">
      <c r="B1999" s="7"/>
      <c r="C1999" s="140">
        <v>1971</v>
      </c>
      <c r="D1999" s="142"/>
      <c r="E1999" s="142"/>
      <c r="F1999" s="142"/>
      <c r="G1999" s="142"/>
      <c r="H1999" s="141"/>
      <c r="I1999" s="8"/>
    </row>
    <row r="2000" spans="2:9" ht="15" hidden="1" customHeight="1" x14ac:dyDescent="0.25">
      <c r="B2000" s="7"/>
      <c r="C2000" s="140">
        <v>1972</v>
      </c>
      <c r="D2000" s="142"/>
      <c r="E2000" s="142"/>
      <c r="F2000" s="142"/>
      <c r="G2000" s="142"/>
      <c r="H2000" s="141"/>
      <c r="I2000" s="8"/>
    </row>
    <row r="2001" spans="2:9" ht="15" hidden="1" customHeight="1" x14ac:dyDescent="0.25">
      <c r="B2001" s="7"/>
      <c r="C2001" s="140">
        <v>1973</v>
      </c>
      <c r="D2001" s="142"/>
      <c r="E2001" s="142"/>
      <c r="F2001" s="142"/>
      <c r="G2001" s="142"/>
      <c r="H2001" s="141"/>
      <c r="I2001" s="8"/>
    </row>
    <row r="2002" spans="2:9" ht="15" hidden="1" customHeight="1" x14ac:dyDescent="0.25">
      <c r="B2002" s="7"/>
      <c r="C2002" s="140">
        <v>1974</v>
      </c>
      <c r="D2002" s="142"/>
      <c r="E2002" s="142"/>
      <c r="F2002" s="142"/>
      <c r="G2002" s="142"/>
      <c r="H2002" s="141"/>
      <c r="I2002" s="8"/>
    </row>
    <row r="2003" spans="2:9" ht="15" hidden="1" customHeight="1" x14ac:dyDescent="0.25">
      <c r="B2003" s="7"/>
      <c r="C2003" s="140">
        <v>1975</v>
      </c>
      <c r="D2003" s="142"/>
      <c r="E2003" s="142"/>
      <c r="F2003" s="142"/>
      <c r="G2003" s="142"/>
      <c r="H2003" s="141"/>
      <c r="I2003" s="8"/>
    </row>
    <row r="2004" spans="2:9" ht="15" hidden="1" customHeight="1" x14ac:dyDescent="0.25">
      <c r="B2004" s="7"/>
      <c r="C2004" s="140">
        <v>1976</v>
      </c>
      <c r="D2004" s="142"/>
      <c r="E2004" s="142"/>
      <c r="F2004" s="142"/>
      <c r="G2004" s="142"/>
      <c r="H2004" s="141"/>
      <c r="I2004" s="8"/>
    </row>
    <row r="2005" spans="2:9" ht="15" hidden="1" customHeight="1" x14ac:dyDescent="0.25">
      <c r="B2005" s="7"/>
      <c r="C2005" s="140">
        <v>1977</v>
      </c>
      <c r="D2005" s="142"/>
      <c r="E2005" s="142"/>
      <c r="F2005" s="142"/>
      <c r="G2005" s="142"/>
      <c r="H2005" s="141"/>
      <c r="I2005" s="8"/>
    </row>
    <row r="2006" spans="2:9" ht="15" hidden="1" customHeight="1" x14ac:dyDescent="0.25">
      <c r="B2006" s="7"/>
      <c r="C2006" s="140">
        <v>1978</v>
      </c>
      <c r="D2006" s="142"/>
      <c r="E2006" s="142"/>
      <c r="F2006" s="142"/>
      <c r="G2006" s="142"/>
      <c r="H2006" s="141"/>
      <c r="I2006" s="8"/>
    </row>
    <row r="2007" spans="2:9" ht="15" hidden="1" customHeight="1" x14ac:dyDescent="0.25">
      <c r="B2007" s="7"/>
      <c r="C2007" s="140">
        <v>1979</v>
      </c>
      <c r="D2007" s="142"/>
      <c r="E2007" s="142"/>
      <c r="F2007" s="142"/>
      <c r="G2007" s="142"/>
      <c r="H2007" s="141"/>
      <c r="I2007" s="8"/>
    </row>
    <row r="2008" spans="2:9" ht="15" hidden="1" customHeight="1" x14ac:dyDescent="0.25">
      <c r="B2008" s="7"/>
      <c r="C2008" s="140">
        <v>1980</v>
      </c>
      <c r="D2008" s="142"/>
      <c r="E2008" s="142"/>
      <c r="F2008" s="142"/>
      <c r="G2008" s="142"/>
      <c r="H2008" s="141"/>
      <c r="I2008" s="8"/>
    </row>
    <row r="2009" spans="2:9" ht="15" hidden="1" customHeight="1" x14ac:dyDescent="0.25">
      <c r="B2009" s="7"/>
      <c r="C2009" s="140">
        <v>1981</v>
      </c>
      <c r="D2009" s="142"/>
      <c r="E2009" s="142"/>
      <c r="F2009" s="142"/>
      <c r="G2009" s="142"/>
      <c r="H2009" s="141"/>
      <c r="I2009" s="8"/>
    </row>
    <row r="2010" spans="2:9" ht="15" hidden="1" customHeight="1" x14ac:dyDescent="0.25">
      <c r="B2010" s="7"/>
      <c r="C2010" s="140">
        <v>1982</v>
      </c>
      <c r="D2010" s="142"/>
      <c r="E2010" s="142"/>
      <c r="F2010" s="142"/>
      <c r="G2010" s="142"/>
      <c r="H2010" s="141"/>
      <c r="I2010" s="8"/>
    </row>
    <row r="2011" spans="2:9" ht="15" hidden="1" customHeight="1" x14ac:dyDescent="0.25">
      <c r="B2011" s="7"/>
      <c r="C2011" s="140">
        <v>1983</v>
      </c>
      <c r="D2011" s="142"/>
      <c r="E2011" s="142"/>
      <c r="F2011" s="142"/>
      <c r="G2011" s="142"/>
      <c r="H2011" s="141"/>
      <c r="I2011" s="8"/>
    </row>
    <row r="2012" spans="2:9" ht="15" hidden="1" customHeight="1" x14ac:dyDescent="0.25">
      <c r="B2012" s="7"/>
      <c r="C2012" s="140">
        <v>1984</v>
      </c>
      <c r="D2012" s="142"/>
      <c r="E2012" s="142"/>
      <c r="F2012" s="142"/>
      <c r="G2012" s="142"/>
      <c r="H2012" s="141"/>
      <c r="I2012" s="8"/>
    </row>
    <row r="2013" spans="2:9" ht="15" hidden="1" customHeight="1" x14ac:dyDescent="0.25">
      <c r="B2013" s="7"/>
      <c r="C2013" s="140">
        <v>1985</v>
      </c>
      <c r="D2013" s="142"/>
      <c r="E2013" s="142"/>
      <c r="F2013" s="142"/>
      <c r="G2013" s="142"/>
      <c r="H2013" s="141"/>
      <c r="I2013" s="8"/>
    </row>
    <row r="2014" spans="2:9" ht="15" hidden="1" customHeight="1" x14ac:dyDescent="0.25">
      <c r="B2014" s="7"/>
      <c r="C2014" s="140">
        <v>1986</v>
      </c>
      <c r="D2014" s="142"/>
      <c r="E2014" s="142"/>
      <c r="F2014" s="142"/>
      <c r="G2014" s="142"/>
      <c r="H2014" s="141"/>
      <c r="I2014" s="8"/>
    </row>
    <row r="2015" spans="2:9" ht="15" hidden="1" customHeight="1" x14ac:dyDescent="0.25">
      <c r="B2015" s="7"/>
      <c r="C2015" s="140">
        <v>1987</v>
      </c>
      <c r="D2015" s="142"/>
      <c r="E2015" s="142"/>
      <c r="F2015" s="142"/>
      <c r="G2015" s="142"/>
      <c r="H2015" s="141"/>
      <c r="I2015" s="8"/>
    </row>
    <row r="2016" spans="2:9" ht="15" hidden="1" customHeight="1" x14ac:dyDescent="0.25">
      <c r="B2016" s="7"/>
      <c r="C2016" s="140">
        <v>1988</v>
      </c>
      <c r="D2016" s="142"/>
      <c r="E2016" s="142"/>
      <c r="F2016" s="142"/>
      <c r="G2016" s="142"/>
      <c r="H2016" s="141"/>
      <c r="I2016" s="8"/>
    </row>
    <row r="2017" spans="2:9" ht="15" hidden="1" customHeight="1" x14ac:dyDescent="0.25">
      <c r="B2017" s="7"/>
      <c r="C2017" s="140">
        <v>1989</v>
      </c>
      <c r="D2017" s="142"/>
      <c r="E2017" s="142"/>
      <c r="F2017" s="142"/>
      <c r="G2017" s="142"/>
      <c r="H2017" s="141"/>
      <c r="I2017" s="8"/>
    </row>
    <row r="2018" spans="2:9" ht="15" hidden="1" customHeight="1" x14ac:dyDescent="0.25">
      <c r="B2018" s="7"/>
      <c r="C2018" s="140">
        <v>1990</v>
      </c>
      <c r="D2018" s="142"/>
      <c r="E2018" s="142"/>
      <c r="F2018" s="142"/>
      <c r="G2018" s="142"/>
      <c r="H2018" s="141"/>
      <c r="I2018" s="8"/>
    </row>
    <row r="2019" spans="2:9" ht="15" hidden="1" customHeight="1" x14ac:dyDescent="0.25">
      <c r="B2019" s="7"/>
      <c r="C2019" s="140">
        <v>1991</v>
      </c>
      <c r="D2019" s="142"/>
      <c r="E2019" s="142"/>
      <c r="F2019" s="142"/>
      <c r="G2019" s="142"/>
      <c r="H2019" s="141"/>
      <c r="I2019" s="8"/>
    </row>
    <row r="2020" spans="2:9" ht="15" hidden="1" customHeight="1" x14ac:dyDescent="0.25">
      <c r="B2020" s="7"/>
      <c r="C2020" s="140">
        <v>1992</v>
      </c>
      <c r="D2020" s="142"/>
      <c r="E2020" s="142"/>
      <c r="F2020" s="142"/>
      <c r="G2020" s="142"/>
      <c r="H2020" s="141"/>
      <c r="I2020" s="8"/>
    </row>
    <row r="2021" spans="2:9" ht="15" hidden="1" customHeight="1" x14ac:dyDescent="0.25">
      <c r="B2021" s="7"/>
      <c r="C2021" s="140">
        <v>1993</v>
      </c>
      <c r="D2021" s="142"/>
      <c r="E2021" s="142"/>
      <c r="F2021" s="142"/>
      <c r="G2021" s="142"/>
      <c r="H2021" s="141"/>
      <c r="I2021" s="8"/>
    </row>
    <row r="2022" spans="2:9" ht="15" hidden="1" customHeight="1" x14ac:dyDescent="0.25">
      <c r="B2022" s="7"/>
      <c r="C2022" s="140">
        <v>1994</v>
      </c>
      <c r="D2022" s="142"/>
      <c r="E2022" s="142"/>
      <c r="F2022" s="142"/>
      <c r="G2022" s="142"/>
      <c r="H2022" s="141"/>
      <c r="I2022" s="8"/>
    </row>
    <row r="2023" spans="2:9" ht="15" hidden="1" customHeight="1" x14ac:dyDescent="0.25">
      <c r="B2023" s="7"/>
      <c r="C2023" s="140">
        <v>1995</v>
      </c>
      <c r="D2023" s="142"/>
      <c r="E2023" s="142"/>
      <c r="F2023" s="142"/>
      <c r="G2023" s="142"/>
      <c r="H2023" s="141"/>
      <c r="I2023" s="8"/>
    </row>
    <row r="2024" spans="2:9" ht="15" hidden="1" customHeight="1" x14ac:dyDescent="0.25">
      <c r="B2024" s="7"/>
      <c r="C2024" s="140">
        <v>1996</v>
      </c>
      <c r="D2024" s="142"/>
      <c r="E2024" s="142"/>
      <c r="F2024" s="142"/>
      <c r="G2024" s="142"/>
      <c r="H2024" s="141"/>
      <c r="I2024" s="8"/>
    </row>
    <row r="2025" spans="2:9" ht="15" hidden="1" customHeight="1" x14ac:dyDescent="0.25">
      <c r="B2025" s="7"/>
      <c r="C2025" s="140">
        <v>1997</v>
      </c>
      <c r="D2025" s="142"/>
      <c r="E2025" s="142"/>
      <c r="F2025" s="142"/>
      <c r="G2025" s="142"/>
      <c r="H2025" s="141"/>
      <c r="I2025" s="8"/>
    </row>
    <row r="2026" spans="2:9" ht="15" hidden="1" customHeight="1" x14ac:dyDescent="0.25">
      <c r="B2026" s="7"/>
      <c r="C2026" s="140">
        <v>1998</v>
      </c>
      <c r="D2026" s="142"/>
      <c r="E2026" s="142"/>
      <c r="F2026" s="142"/>
      <c r="G2026" s="142"/>
      <c r="H2026" s="141"/>
      <c r="I2026" s="8"/>
    </row>
    <row r="2027" spans="2:9" ht="15" hidden="1" customHeight="1" x14ac:dyDescent="0.25">
      <c r="B2027" s="7"/>
      <c r="C2027" s="140">
        <v>1999</v>
      </c>
      <c r="D2027" s="142"/>
      <c r="E2027" s="142"/>
      <c r="F2027" s="142"/>
      <c r="G2027" s="142"/>
      <c r="H2027" s="141"/>
      <c r="I2027" s="8"/>
    </row>
    <row r="2028" spans="2:9" ht="15" hidden="1" customHeight="1" x14ac:dyDescent="0.25">
      <c r="B2028" s="7"/>
      <c r="C2028" s="140">
        <v>2000</v>
      </c>
      <c r="D2028" s="142"/>
      <c r="E2028" s="142"/>
      <c r="F2028" s="142"/>
      <c r="G2028" s="142"/>
      <c r="H2028" s="141"/>
      <c r="I2028" s="8"/>
    </row>
    <row r="2029" spans="2:9" ht="15" hidden="1" customHeight="1" x14ac:dyDescent="0.25">
      <c r="B2029" s="7"/>
      <c r="C2029" s="140">
        <v>2001</v>
      </c>
      <c r="D2029" s="142"/>
      <c r="E2029" s="142"/>
      <c r="F2029" s="142"/>
      <c r="G2029" s="142"/>
      <c r="H2029" s="141"/>
      <c r="I2029" s="8"/>
    </row>
    <row r="2030" spans="2:9" ht="15" hidden="1" customHeight="1" x14ac:dyDescent="0.25">
      <c r="B2030" s="7"/>
      <c r="C2030" s="140">
        <v>2002</v>
      </c>
      <c r="D2030" s="142"/>
      <c r="E2030" s="142"/>
      <c r="F2030" s="142"/>
      <c r="G2030" s="142"/>
      <c r="H2030" s="141"/>
      <c r="I2030" s="8"/>
    </row>
    <row r="2031" spans="2:9" ht="15" hidden="1" customHeight="1" x14ac:dyDescent="0.25">
      <c r="B2031" s="7"/>
      <c r="C2031" s="140">
        <v>2003</v>
      </c>
      <c r="D2031" s="142"/>
      <c r="E2031" s="142"/>
      <c r="F2031" s="142"/>
      <c r="G2031" s="142"/>
      <c r="H2031" s="141"/>
      <c r="I2031" s="8"/>
    </row>
    <row r="2032" spans="2:9" ht="15" hidden="1" customHeight="1" x14ac:dyDescent="0.25">
      <c r="B2032" s="7"/>
      <c r="C2032" s="140">
        <v>2004</v>
      </c>
      <c r="D2032" s="142"/>
      <c r="E2032" s="142"/>
      <c r="F2032" s="142"/>
      <c r="G2032" s="142"/>
      <c r="H2032" s="141"/>
      <c r="I2032" s="8"/>
    </row>
    <row r="2033" spans="2:9" ht="15" hidden="1" customHeight="1" x14ac:dyDescent="0.25">
      <c r="B2033" s="7"/>
      <c r="C2033" s="140">
        <v>2005</v>
      </c>
      <c r="D2033" s="142"/>
      <c r="E2033" s="142"/>
      <c r="F2033" s="142"/>
      <c r="G2033" s="142"/>
      <c r="H2033" s="141"/>
      <c r="I2033" s="8"/>
    </row>
    <row r="2034" spans="2:9" ht="15" hidden="1" customHeight="1" x14ac:dyDescent="0.25">
      <c r="B2034" s="7"/>
      <c r="C2034" s="140">
        <v>2006</v>
      </c>
      <c r="D2034" s="142"/>
      <c r="E2034" s="142"/>
      <c r="F2034" s="142"/>
      <c r="G2034" s="142"/>
      <c r="H2034" s="141"/>
      <c r="I2034" s="8"/>
    </row>
    <row r="2035" spans="2:9" ht="15" hidden="1" customHeight="1" x14ac:dyDescent="0.25">
      <c r="B2035" s="7"/>
      <c r="C2035" s="140">
        <v>2007</v>
      </c>
      <c r="D2035" s="142"/>
      <c r="E2035" s="142"/>
      <c r="F2035" s="142"/>
      <c r="G2035" s="142"/>
      <c r="H2035" s="141"/>
      <c r="I2035" s="8"/>
    </row>
    <row r="2036" spans="2:9" ht="15" hidden="1" customHeight="1" x14ac:dyDescent="0.25">
      <c r="B2036" s="7"/>
      <c r="C2036" s="140">
        <v>2008</v>
      </c>
      <c r="D2036" s="142"/>
      <c r="E2036" s="142"/>
      <c r="F2036" s="142"/>
      <c r="G2036" s="142"/>
      <c r="H2036" s="141"/>
      <c r="I2036" s="8"/>
    </row>
    <row r="2037" spans="2:9" ht="15" hidden="1" customHeight="1" x14ac:dyDescent="0.25">
      <c r="B2037" s="7"/>
      <c r="C2037" s="140">
        <v>2009</v>
      </c>
      <c r="D2037" s="142"/>
      <c r="E2037" s="142"/>
      <c r="F2037" s="142"/>
      <c r="G2037" s="142"/>
      <c r="H2037" s="141"/>
      <c r="I2037" s="8"/>
    </row>
    <row r="2038" spans="2:9" ht="15" hidden="1" customHeight="1" x14ac:dyDescent="0.25">
      <c r="B2038" s="7"/>
      <c r="C2038" s="140">
        <v>2010</v>
      </c>
      <c r="D2038" s="142"/>
      <c r="E2038" s="142"/>
      <c r="F2038" s="142"/>
      <c r="G2038" s="142"/>
      <c r="H2038" s="141"/>
      <c r="I2038" s="8"/>
    </row>
    <row r="2039" spans="2:9" ht="15" hidden="1" customHeight="1" x14ac:dyDescent="0.25">
      <c r="B2039" s="7"/>
      <c r="C2039" s="140">
        <v>2011</v>
      </c>
      <c r="D2039" s="142"/>
      <c r="E2039" s="142"/>
      <c r="F2039" s="142"/>
      <c r="G2039" s="142"/>
      <c r="H2039" s="141"/>
      <c r="I2039" s="8"/>
    </row>
    <row r="2040" spans="2:9" ht="15" hidden="1" customHeight="1" x14ac:dyDescent="0.25">
      <c r="B2040" s="7"/>
      <c r="C2040" s="140">
        <v>2012</v>
      </c>
      <c r="D2040" s="142"/>
      <c r="E2040" s="142"/>
      <c r="F2040" s="142"/>
      <c r="G2040" s="142"/>
      <c r="H2040" s="141"/>
      <c r="I2040" s="8"/>
    </row>
    <row r="2041" spans="2:9" ht="15" hidden="1" customHeight="1" x14ac:dyDescent="0.25">
      <c r="B2041" s="7"/>
      <c r="C2041" s="140">
        <v>2013</v>
      </c>
      <c r="D2041" s="142"/>
      <c r="E2041" s="142"/>
      <c r="F2041" s="142"/>
      <c r="G2041" s="142"/>
      <c r="H2041" s="141"/>
      <c r="I2041" s="8"/>
    </row>
    <row r="2042" spans="2:9" ht="15" hidden="1" customHeight="1" x14ac:dyDescent="0.25">
      <c r="B2042" s="7"/>
      <c r="C2042" s="140">
        <v>2014</v>
      </c>
      <c r="D2042" s="142"/>
      <c r="E2042" s="142"/>
      <c r="F2042" s="142"/>
      <c r="G2042" s="142"/>
      <c r="H2042" s="141"/>
      <c r="I2042" s="8"/>
    </row>
    <row r="2043" spans="2:9" ht="15" hidden="1" customHeight="1" x14ac:dyDescent="0.25">
      <c r="B2043" s="7"/>
      <c r="C2043" s="140">
        <v>2015</v>
      </c>
      <c r="D2043" s="142"/>
      <c r="E2043" s="142"/>
      <c r="F2043" s="142"/>
      <c r="G2043" s="142"/>
      <c r="H2043" s="141"/>
      <c r="I2043" s="8"/>
    </row>
    <row r="2044" spans="2:9" ht="15" hidden="1" customHeight="1" x14ac:dyDescent="0.25">
      <c r="B2044" s="7"/>
      <c r="C2044" s="140">
        <v>2016</v>
      </c>
      <c r="D2044" s="142"/>
      <c r="E2044" s="142"/>
      <c r="F2044" s="142"/>
      <c r="G2044" s="142"/>
      <c r="H2044" s="141"/>
      <c r="I2044" s="8"/>
    </row>
    <row r="2045" spans="2:9" ht="15" hidden="1" customHeight="1" x14ac:dyDescent="0.25">
      <c r="B2045" s="7"/>
      <c r="C2045" s="140">
        <v>2017</v>
      </c>
      <c r="D2045" s="142"/>
      <c r="E2045" s="142"/>
      <c r="F2045" s="142"/>
      <c r="G2045" s="142"/>
      <c r="H2045" s="141"/>
      <c r="I2045" s="8"/>
    </row>
    <row r="2046" spans="2:9" ht="15" hidden="1" customHeight="1" x14ac:dyDescent="0.25">
      <c r="B2046" s="7"/>
      <c r="C2046" s="140">
        <v>2018</v>
      </c>
      <c r="D2046" s="142"/>
      <c r="E2046" s="142"/>
      <c r="F2046" s="142"/>
      <c r="G2046" s="142"/>
      <c r="H2046" s="141"/>
      <c r="I2046" s="8"/>
    </row>
    <row r="2047" spans="2:9" ht="15" hidden="1" customHeight="1" x14ac:dyDescent="0.25">
      <c r="B2047" s="7"/>
      <c r="C2047" s="140">
        <v>2019</v>
      </c>
      <c r="D2047" s="142"/>
      <c r="E2047" s="142"/>
      <c r="F2047" s="142"/>
      <c r="G2047" s="142"/>
      <c r="H2047" s="141"/>
      <c r="I2047" s="8"/>
    </row>
    <row r="2048" spans="2:9" ht="15" hidden="1" customHeight="1" x14ac:dyDescent="0.25">
      <c r="B2048" s="7"/>
      <c r="C2048" s="140">
        <v>2020</v>
      </c>
      <c r="D2048" s="142"/>
      <c r="E2048" s="142"/>
      <c r="F2048" s="142"/>
      <c r="G2048" s="142"/>
      <c r="H2048" s="141"/>
      <c r="I2048" s="8"/>
    </row>
    <row r="2049" spans="2:9" ht="15" hidden="1" customHeight="1" x14ac:dyDescent="0.25">
      <c r="B2049" s="7"/>
      <c r="C2049" s="140">
        <v>2021</v>
      </c>
      <c r="D2049" s="142"/>
      <c r="E2049" s="142"/>
      <c r="F2049" s="142"/>
      <c r="G2049" s="142"/>
      <c r="H2049" s="141"/>
      <c r="I2049" s="8"/>
    </row>
    <row r="2050" spans="2:9" ht="15" hidden="1" customHeight="1" x14ac:dyDescent="0.25">
      <c r="B2050" s="7"/>
      <c r="C2050" s="140">
        <v>2022</v>
      </c>
      <c r="D2050" s="142"/>
      <c r="E2050" s="142"/>
      <c r="F2050" s="142"/>
      <c r="G2050" s="142"/>
      <c r="H2050" s="141"/>
      <c r="I2050" s="8"/>
    </row>
    <row r="2051" spans="2:9" ht="15" hidden="1" customHeight="1" x14ac:dyDescent="0.25">
      <c r="B2051" s="7"/>
      <c r="C2051" s="140">
        <v>2023</v>
      </c>
      <c r="D2051" s="142"/>
      <c r="E2051" s="142"/>
      <c r="F2051" s="142"/>
      <c r="G2051" s="142"/>
      <c r="H2051" s="141"/>
      <c r="I2051" s="8"/>
    </row>
    <row r="2052" spans="2:9" ht="15" hidden="1" customHeight="1" x14ac:dyDescent="0.25">
      <c r="B2052" s="7"/>
      <c r="C2052" s="140">
        <v>2024</v>
      </c>
      <c r="D2052" s="142"/>
      <c r="E2052" s="142"/>
      <c r="F2052" s="142"/>
      <c r="G2052" s="142"/>
      <c r="H2052" s="141"/>
      <c r="I2052" s="8"/>
    </row>
    <row r="2053" spans="2:9" ht="15" hidden="1" customHeight="1" x14ac:dyDescent="0.25">
      <c r="B2053" s="7"/>
      <c r="C2053" s="140">
        <v>2025</v>
      </c>
      <c r="D2053" s="142"/>
      <c r="E2053" s="142"/>
      <c r="F2053" s="142"/>
      <c r="G2053" s="142"/>
      <c r="H2053" s="141"/>
      <c r="I2053" s="8"/>
    </row>
    <row r="2054" spans="2:9" ht="15" hidden="1" customHeight="1" x14ac:dyDescent="0.25">
      <c r="B2054" s="7"/>
      <c r="C2054" s="140">
        <v>2026</v>
      </c>
      <c r="D2054" s="142"/>
      <c r="E2054" s="142"/>
      <c r="F2054" s="142"/>
      <c r="G2054" s="142"/>
      <c r="H2054" s="141"/>
      <c r="I2054" s="8"/>
    </row>
    <row r="2055" spans="2:9" ht="15" hidden="1" customHeight="1" x14ac:dyDescent="0.25">
      <c r="B2055" s="7"/>
      <c r="C2055" s="140">
        <v>2027</v>
      </c>
      <c r="D2055" s="142"/>
      <c r="E2055" s="142"/>
      <c r="F2055" s="142"/>
      <c r="G2055" s="142"/>
      <c r="H2055" s="141"/>
      <c r="I2055" s="8"/>
    </row>
    <row r="2056" spans="2:9" ht="15" hidden="1" customHeight="1" x14ac:dyDescent="0.25">
      <c r="B2056" s="7"/>
      <c r="C2056" s="140">
        <v>2028</v>
      </c>
      <c r="D2056" s="142"/>
      <c r="E2056" s="142"/>
      <c r="F2056" s="142"/>
      <c r="G2056" s="142"/>
      <c r="H2056" s="141"/>
      <c r="I2056" s="8"/>
    </row>
    <row r="2057" spans="2:9" ht="15" hidden="1" customHeight="1" x14ac:dyDescent="0.25">
      <c r="B2057" s="7"/>
      <c r="C2057" s="140">
        <v>2029</v>
      </c>
      <c r="D2057" s="142"/>
      <c r="E2057" s="142"/>
      <c r="F2057" s="142"/>
      <c r="G2057" s="142"/>
      <c r="H2057" s="141"/>
      <c r="I2057" s="8"/>
    </row>
    <row r="2058" spans="2:9" ht="15" hidden="1" customHeight="1" x14ac:dyDescent="0.25">
      <c r="B2058" s="7"/>
      <c r="C2058" s="140">
        <v>2030</v>
      </c>
      <c r="D2058" s="142"/>
      <c r="E2058" s="142"/>
      <c r="F2058" s="142"/>
      <c r="G2058" s="142"/>
      <c r="H2058" s="141"/>
      <c r="I2058" s="8"/>
    </row>
    <row r="2059" spans="2:9" ht="15" hidden="1" customHeight="1" x14ac:dyDescent="0.25">
      <c r="B2059" s="7"/>
      <c r="C2059" s="140">
        <v>2031</v>
      </c>
      <c r="D2059" s="142"/>
      <c r="E2059" s="142"/>
      <c r="F2059" s="142"/>
      <c r="G2059" s="142"/>
      <c r="H2059" s="141"/>
      <c r="I2059" s="8"/>
    </row>
    <row r="2060" spans="2:9" ht="15" hidden="1" customHeight="1" x14ac:dyDescent="0.25">
      <c r="B2060" s="7"/>
      <c r="C2060" s="140">
        <v>2032</v>
      </c>
      <c r="D2060" s="142"/>
      <c r="E2060" s="142"/>
      <c r="F2060" s="142"/>
      <c r="G2060" s="142"/>
      <c r="H2060" s="141"/>
      <c r="I2060" s="8"/>
    </row>
    <row r="2061" spans="2:9" ht="15" hidden="1" customHeight="1" x14ac:dyDescent="0.25">
      <c r="B2061" s="7"/>
      <c r="C2061" s="140">
        <v>2033</v>
      </c>
      <c r="D2061" s="142"/>
      <c r="E2061" s="142"/>
      <c r="F2061" s="142"/>
      <c r="G2061" s="142"/>
      <c r="H2061" s="141"/>
      <c r="I2061" s="8"/>
    </row>
    <row r="2062" spans="2:9" ht="15" hidden="1" customHeight="1" x14ac:dyDescent="0.25">
      <c r="B2062" s="7"/>
      <c r="C2062" s="140">
        <v>2034</v>
      </c>
      <c r="D2062" s="142"/>
      <c r="E2062" s="142"/>
      <c r="F2062" s="142"/>
      <c r="G2062" s="142"/>
      <c r="H2062" s="141"/>
      <c r="I2062" s="8"/>
    </row>
    <row r="2063" spans="2:9" ht="15" hidden="1" customHeight="1" x14ac:dyDescent="0.25">
      <c r="B2063" s="7"/>
      <c r="C2063" s="140">
        <v>2035</v>
      </c>
      <c r="D2063" s="142"/>
      <c r="E2063" s="142"/>
      <c r="F2063" s="142"/>
      <c r="G2063" s="142"/>
      <c r="H2063" s="141"/>
      <c r="I2063" s="8"/>
    </row>
    <row r="2064" spans="2:9" ht="15" hidden="1" customHeight="1" x14ac:dyDescent="0.25">
      <c r="B2064" s="7"/>
      <c r="C2064" s="140">
        <v>2036</v>
      </c>
      <c r="D2064" s="142"/>
      <c r="E2064" s="142"/>
      <c r="F2064" s="142"/>
      <c r="G2064" s="142"/>
      <c r="H2064" s="141"/>
      <c r="I2064" s="8"/>
    </row>
    <row r="2065" spans="2:9" ht="15" hidden="1" customHeight="1" x14ac:dyDescent="0.25">
      <c r="B2065" s="7"/>
      <c r="C2065" s="140">
        <v>2037</v>
      </c>
      <c r="D2065" s="142"/>
      <c r="E2065" s="142"/>
      <c r="F2065" s="142"/>
      <c r="G2065" s="142"/>
      <c r="H2065" s="141"/>
      <c r="I2065" s="8"/>
    </row>
    <row r="2066" spans="2:9" ht="15" hidden="1" customHeight="1" x14ac:dyDescent="0.25">
      <c r="B2066" s="7"/>
      <c r="C2066" s="140">
        <v>2038</v>
      </c>
      <c r="D2066" s="142"/>
      <c r="E2066" s="142"/>
      <c r="F2066" s="142"/>
      <c r="G2066" s="142"/>
      <c r="H2066" s="141"/>
      <c r="I2066" s="8"/>
    </row>
    <row r="2067" spans="2:9" ht="15" hidden="1" customHeight="1" x14ac:dyDescent="0.25">
      <c r="B2067" s="7"/>
      <c r="C2067" s="140">
        <v>2039</v>
      </c>
      <c r="D2067" s="142"/>
      <c r="E2067" s="142"/>
      <c r="F2067" s="142"/>
      <c r="G2067" s="142"/>
      <c r="H2067" s="141"/>
      <c r="I2067" s="8"/>
    </row>
    <row r="2068" spans="2:9" ht="15" hidden="1" customHeight="1" x14ac:dyDescent="0.25">
      <c r="B2068" s="7"/>
      <c r="C2068" s="140">
        <v>2040</v>
      </c>
      <c r="D2068" s="142"/>
      <c r="E2068" s="142"/>
      <c r="F2068" s="142"/>
      <c r="G2068" s="142"/>
      <c r="H2068" s="141"/>
      <c r="I2068" s="8"/>
    </row>
    <row r="2069" spans="2:9" ht="15" hidden="1" customHeight="1" x14ac:dyDescent="0.25">
      <c r="B2069" s="7"/>
      <c r="C2069" s="140">
        <v>2041</v>
      </c>
      <c r="D2069" s="142"/>
      <c r="E2069" s="142"/>
      <c r="F2069" s="142"/>
      <c r="G2069" s="142"/>
      <c r="H2069" s="141"/>
      <c r="I2069" s="8"/>
    </row>
    <row r="2070" spans="2:9" ht="15" hidden="1" customHeight="1" x14ac:dyDescent="0.25">
      <c r="B2070" s="7"/>
      <c r="C2070" s="140">
        <v>2042</v>
      </c>
      <c r="D2070" s="142"/>
      <c r="E2070" s="142"/>
      <c r="F2070" s="142"/>
      <c r="G2070" s="142"/>
      <c r="H2070" s="141"/>
      <c r="I2070" s="8"/>
    </row>
    <row r="2071" spans="2:9" ht="15" hidden="1" customHeight="1" x14ac:dyDescent="0.25">
      <c r="B2071" s="7"/>
      <c r="C2071" s="140">
        <v>2043</v>
      </c>
      <c r="D2071" s="142"/>
      <c r="E2071" s="142"/>
      <c r="F2071" s="142"/>
      <c r="G2071" s="142"/>
      <c r="H2071" s="141"/>
      <c r="I2071" s="8"/>
    </row>
    <row r="2072" spans="2:9" ht="15" hidden="1" customHeight="1" x14ac:dyDescent="0.25">
      <c r="B2072" s="7"/>
      <c r="C2072" s="140">
        <v>2044</v>
      </c>
      <c r="D2072" s="142"/>
      <c r="E2072" s="142"/>
      <c r="F2072" s="142"/>
      <c r="G2072" s="142"/>
      <c r="H2072" s="141"/>
      <c r="I2072" s="8"/>
    </row>
    <row r="2073" spans="2:9" ht="15" hidden="1" customHeight="1" x14ac:dyDescent="0.25">
      <c r="B2073" s="7"/>
      <c r="C2073" s="140">
        <v>2045</v>
      </c>
      <c r="D2073" s="142"/>
      <c r="E2073" s="142"/>
      <c r="F2073" s="142"/>
      <c r="G2073" s="142"/>
      <c r="H2073" s="141"/>
      <c r="I2073" s="8"/>
    </row>
    <row r="2074" spans="2:9" ht="15" hidden="1" customHeight="1" x14ac:dyDescent="0.25">
      <c r="B2074" s="7"/>
      <c r="C2074" s="140">
        <v>2046</v>
      </c>
      <c r="D2074" s="142"/>
      <c r="E2074" s="142"/>
      <c r="F2074" s="142"/>
      <c r="G2074" s="142"/>
      <c r="H2074" s="141"/>
      <c r="I2074" s="8"/>
    </row>
    <row r="2075" spans="2:9" ht="15" hidden="1" customHeight="1" x14ac:dyDescent="0.25">
      <c r="B2075" s="7"/>
      <c r="C2075" s="140">
        <v>2047</v>
      </c>
      <c r="D2075" s="142"/>
      <c r="E2075" s="142"/>
      <c r="F2075" s="142"/>
      <c r="G2075" s="142"/>
      <c r="H2075" s="141"/>
      <c r="I2075" s="8"/>
    </row>
    <row r="2076" spans="2:9" ht="15" hidden="1" customHeight="1" x14ac:dyDescent="0.25">
      <c r="B2076" s="7"/>
      <c r="C2076" s="140">
        <v>2048</v>
      </c>
      <c r="D2076" s="142"/>
      <c r="E2076" s="142"/>
      <c r="F2076" s="142"/>
      <c r="G2076" s="142"/>
      <c r="H2076" s="141"/>
      <c r="I2076" s="8"/>
    </row>
    <row r="2077" spans="2:9" ht="15" hidden="1" customHeight="1" x14ac:dyDescent="0.25">
      <c r="B2077" s="7"/>
      <c r="C2077" s="140">
        <v>2049</v>
      </c>
      <c r="D2077" s="142"/>
      <c r="E2077" s="142"/>
      <c r="F2077" s="142"/>
      <c r="G2077" s="142"/>
      <c r="H2077" s="141"/>
      <c r="I2077" s="8"/>
    </row>
    <row r="2078" spans="2:9" ht="15" hidden="1" customHeight="1" x14ac:dyDescent="0.25">
      <c r="B2078" s="7"/>
      <c r="C2078" s="140">
        <v>2050</v>
      </c>
      <c r="D2078" s="142"/>
      <c r="E2078" s="142"/>
      <c r="F2078" s="142"/>
      <c r="G2078" s="142"/>
      <c r="H2078" s="141"/>
      <c r="I2078" s="8"/>
    </row>
    <row r="2079" spans="2:9" ht="15" hidden="1" customHeight="1" x14ac:dyDescent="0.25">
      <c r="B2079" s="7"/>
      <c r="C2079" s="140">
        <v>2051</v>
      </c>
      <c r="D2079" s="142"/>
      <c r="E2079" s="142"/>
      <c r="F2079" s="142"/>
      <c r="G2079" s="142"/>
      <c r="H2079" s="141"/>
      <c r="I2079" s="8"/>
    </row>
    <row r="2080" spans="2:9" ht="15" hidden="1" customHeight="1" x14ac:dyDescent="0.25">
      <c r="B2080" s="7"/>
      <c r="C2080" s="140">
        <v>2052</v>
      </c>
      <c r="D2080" s="142"/>
      <c r="E2080" s="142"/>
      <c r="F2080" s="142"/>
      <c r="G2080" s="142"/>
      <c r="H2080" s="141"/>
      <c r="I2080" s="8"/>
    </row>
    <row r="2081" spans="2:9" ht="15" hidden="1" customHeight="1" x14ac:dyDescent="0.25">
      <c r="B2081" s="7"/>
      <c r="C2081" s="140">
        <v>2053</v>
      </c>
      <c r="D2081" s="142"/>
      <c r="E2081" s="142"/>
      <c r="F2081" s="142"/>
      <c r="G2081" s="142"/>
      <c r="H2081" s="141"/>
      <c r="I2081" s="8"/>
    </row>
    <row r="2082" spans="2:9" ht="15" hidden="1" customHeight="1" x14ac:dyDescent="0.25">
      <c r="B2082" s="7"/>
      <c r="C2082" s="140">
        <v>2054</v>
      </c>
      <c r="D2082" s="142"/>
      <c r="E2082" s="142"/>
      <c r="F2082" s="142"/>
      <c r="G2082" s="142"/>
      <c r="H2082" s="141"/>
      <c r="I2082" s="8"/>
    </row>
    <row r="2083" spans="2:9" ht="15" hidden="1" customHeight="1" x14ac:dyDescent="0.25">
      <c r="B2083" s="7"/>
      <c r="C2083" s="140">
        <v>2055</v>
      </c>
      <c r="D2083" s="142"/>
      <c r="E2083" s="142"/>
      <c r="F2083" s="142"/>
      <c r="G2083" s="142"/>
      <c r="H2083" s="141"/>
      <c r="I2083" s="8"/>
    </row>
    <row r="2084" spans="2:9" ht="15" hidden="1" customHeight="1" x14ac:dyDescent="0.25">
      <c r="B2084" s="7"/>
      <c r="C2084" s="140">
        <v>2056</v>
      </c>
      <c r="D2084" s="142"/>
      <c r="E2084" s="142"/>
      <c r="F2084" s="142"/>
      <c r="G2084" s="142"/>
      <c r="H2084" s="141"/>
      <c r="I2084" s="8"/>
    </row>
    <row r="2085" spans="2:9" ht="15" hidden="1" customHeight="1" x14ac:dyDescent="0.25">
      <c r="B2085" s="7"/>
      <c r="C2085" s="140">
        <v>2057</v>
      </c>
      <c r="D2085" s="142"/>
      <c r="E2085" s="142"/>
      <c r="F2085" s="142"/>
      <c r="G2085" s="142"/>
      <c r="H2085" s="141"/>
      <c r="I2085" s="8"/>
    </row>
    <row r="2086" spans="2:9" ht="15" hidden="1" customHeight="1" x14ac:dyDescent="0.25">
      <c r="B2086" s="7"/>
      <c r="C2086" s="140">
        <v>2058</v>
      </c>
      <c r="D2086" s="142"/>
      <c r="E2086" s="142"/>
      <c r="F2086" s="142"/>
      <c r="G2086" s="142"/>
      <c r="H2086" s="141"/>
      <c r="I2086" s="8"/>
    </row>
    <row r="2087" spans="2:9" ht="15" hidden="1" customHeight="1" x14ac:dyDescent="0.25">
      <c r="B2087" s="7"/>
      <c r="C2087" s="140">
        <v>2059</v>
      </c>
      <c r="D2087" s="142"/>
      <c r="E2087" s="142"/>
      <c r="F2087" s="142"/>
      <c r="G2087" s="142"/>
      <c r="H2087" s="141"/>
      <c r="I2087" s="8"/>
    </row>
    <row r="2088" spans="2:9" ht="15" hidden="1" customHeight="1" x14ac:dyDescent="0.25">
      <c r="B2088" s="7"/>
      <c r="C2088" s="140">
        <v>2060</v>
      </c>
      <c r="D2088" s="142"/>
      <c r="E2088" s="142"/>
      <c r="F2088" s="142"/>
      <c r="G2088" s="142"/>
      <c r="H2088" s="141"/>
      <c r="I2088" s="8"/>
    </row>
    <row r="2089" spans="2:9" ht="15" hidden="1" customHeight="1" x14ac:dyDescent="0.25">
      <c r="B2089" s="7"/>
      <c r="C2089" s="140">
        <v>2061</v>
      </c>
      <c r="D2089" s="142"/>
      <c r="E2089" s="142"/>
      <c r="F2089" s="142"/>
      <c r="G2089" s="142"/>
      <c r="H2089" s="141"/>
      <c r="I2089" s="8"/>
    </row>
    <row r="2090" spans="2:9" ht="15" hidden="1" customHeight="1" x14ac:dyDescent="0.25">
      <c r="B2090" s="7"/>
      <c r="C2090" s="140">
        <v>2062</v>
      </c>
      <c r="D2090" s="142"/>
      <c r="E2090" s="142"/>
      <c r="F2090" s="142"/>
      <c r="G2090" s="142"/>
      <c r="H2090" s="141"/>
      <c r="I2090" s="8"/>
    </row>
    <row r="2091" spans="2:9" ht="15" hidden="1" customHeight="1" x14ac:dyDescent="0.25">
      <c r="B2091" s="7"/>
      <c r="C2091" s="140">
        <v>2063</v>
      </c>
      <c r="D2091" s="142"/>
      <c r="E2091" s="142"/>
      <c r="F2091" s="142"/>
      <c r="G2091" s="142"/>
      <c r="H2091" s="141"/>
      <c r="I2091" s="8"/>
    </row>
    <row r="2092" spans="2:9" ht="15" hidden="1" customHeight="1" x14ac:dyDescent="0.25">
      <c r="B2092" s="7"/>
      <c r="C2092" s="140">
        <v>2064</v>
      </c>
      <c r="D2092" s="142"/>
      <c r="E2092" s="142"/>
      <c r="F2092" s="142"/>
      <c r="G2092" s="142"/>
      <c r="H2092" s="141"/>
      <c r="I2092" s="8"/>
    </row>
    <row r="2093" spans="2:9" ht="15" hidden="1" customHeight="1" x14ac:dyDescent="0.25">
      <c r="B2093" s="7"/>
      <c r="C2093" s="140">
        <v>2065</v>
      </c>
      <c r="D2093" s="142"/>
      <c r="E2093" s="142"/>
      <c r="F2093" s="142"/>
      <c r="G2093" s="142"/>
      <c r="H2093" s="141"/>
      <c r="I2093" s="8"/>
    </row>
    <row r="2094" spans="2:9" ht="15" hidden="1" customHeight="1" x14ac:dyDescent="0.25">
      <c r="B2094" s="7"/>
      <c r="C2094" s="140">
        <v>2066</v>
      </c>
      <c r="D2094" s="142"/>
      <c r="E2094" s="142"/>
      <c r="F2094" s="142"/>
      <c r="G2094" s="142"/>
      <c r="H2094" s="141"/>
      <c r="I2094" s="8"/>
    </row>
    <row r="2095" spans="2:9" ht="15" hidden="1" customHeight="1" x14ac:dyDescent="0.25">
      <c r="B2095" s="7"/>
      <c r="C2095" s="140">
        <v>2067</v>
      </c>
      <c r="D2095" s="142"/>
      <c r="E2095" s="142"/>
      <c r="F2095" s="142"/>
      <c r="G2095" s="142"/>
      <c r="H2095" s="141"/>
      <c r="I2095" s="8"/>
    </row>
    <row r="2096" spans="2:9" ht="15" hidden="1" customHeight="1" x14ac:dyDescent="0.25">
      <c r="B2096" s="7"/>
      <c r="C2096" s="140">
        <v>2068</v>
      </c>
      <c r="D2096" s="142"/>
      <c r="E2096" s="142"/>
      <c r="F2096" s="142"/>
      <c r="G2096" s="142"/>
      <c r="H2096" s="141"/>
      <c r="I2096" s="8"/>
    </row>
    <row r="2097" spans="2:9" ht="15" hidden="1" customHeight="1" x14ac:dyDescent="0.25">
      <c r="B2097" s="7"/>
      <c r="C2097" s="140">
        <v>2069</v>
      </c>
      <c r="D2097" s="142"/>
      <c r="E2097" s="142"/>
      <c r="F2097" s="142"/>
      <c r="G2097" s="142"/>
      <c r="H2097" s="141"/>
      <c r="I2097" s="8"/>
    </row>
    <row r="2098" spans="2:9" ht="15" hidden="1" customHeight="1" x14ac:dyDescent="0.25">
      <c r="B2098" s="7"/>
      <c r="C2098" s="140">
        <v>2070</v>
      </c>
      <c r="D2098" s="142"/>
      <c r="E2098" s="142"/>
      <c r="F2098" s="142"/>
      <c r="G2098" s="142"/>
      <c r="H2098" s="141"/>
      <c r="I2098" s="8"/>
    </row>
    <row r="2099" spans="2:9" ht="15" hidden="1" customHeight="1" x14ac:dyDescent="0.25">
      <c r="B2099" s="7"/>
      <c r="C2099" s="140">
        <v>2071</v>
      </c>
      <c r="D2099" s="142"/>
      <c r="E2099" s="142"/>
      <c r="F2099" s="142"/>
      <c r="G2099" s="142"/>
      <c r="H2099" s="141"/>
      <c r="I2099" s="8"/>
    </row>
    <row r="2100" spans="2:9" ht="15" hidden="1" customHeight="1" x14ac:dyDescent="0.25">
      <c r="B2100" s="7"/>
      <c r="C2100" s="140">
        <v>2072</v>
      </c>
      <c r="D2100" s="142"/>
      <c r="E2100" s="142"/>
      <c r="F2100" s="142"/>
      <c r="G2100" s="142"/>
      <c r="H2100" s="141"/>
      <c r="I2100" s="8"/>
    </row>
    <row r="2101" spans="2:9" ht="15" hidden="1" customHeight="1" x14ac:dyDescent="0.25">
      <c r="B2101" s="7"/>
      <c r="C2101" s="140">
        <v>2073</v>
      </c>
      <c r="D2101" s="142"/>
      <c r="E2101" s="142"/>
      <c r="F2101" s="142"/>
      <c r="G2101" s="142"/>
      <c r="H2101" s="141"/>
      <c r="I2101" s="8"/>
    </row>
    <row r="2102" spans="2:9" ht="15" hidden="1" customHeight="1" x14ac:dyDescent="0.25">
      <c r="B2102" s="7"/>
      <c r="C2102" s="140">
        <v>2074</v>
      </c>
      <c r="D2102" s="142"/>
      <c r="E2102" s="142"/>
      <c r="F2102" s="142"/>
      <c r="G2102" s="142"/>
      <c r="H2102" s="141"/>
      <c r="I2102" s="8"/>
    </row>
    <row r="2103" spans="2:9" ht="15" hidden="1" customHeight="1" x14ac:dyDescent="0.25">
      <c r="B2103" s="7"/>
      <c r="C2103" s="140">
        <v>2075</v>
      </c>
      <c r="D2103" s="142"/>
      <c r="E2103" s="142"/>
      <c r="F2103" s="142"/>
      <c r="G2103" s="142"/>
      <c r="H2103" s="141"/>
      <c r="I2103" s="8"/>
    </row>
    <row r="2104" spans="2:9" ht="15" hidden="1" customHeight="1" x14ac:dyDescent="0.25">
      <c r="B2104" s="7"/>
      <c r="C2104" s="140">
        <v>2076</v>
      </c>
      <c r="D2104" s="142"/>
      <c r="E2104" s="142"/>
      <c r="F2104" s="142"/>
      <c r="G2104" s="142"/>
      <c r="H2104" s="141"/>
      <c r="I2104" s="8"/>
    </row>
    <row r="2105" spans="2:9" ht="15" hidden="1" customHeight="1" x14ac:dyDescent="0.25">
      <c r="B2105" s="7"/>
      <c r="C2105" s="140">
        <v>2077</v>
      </c>
      <c r="D2105" s="142"/>
      <c r="E2105" s="142"/>
      <c r="F2105" s="142"/>
      <c r="G2105" s="142"/>
      <c r="H2105" s="141"/>
      <c r="I2105" s="8"/>
    </row>
    <row r="2106" spans="2:9" ht="15" hidden="1" customHeight="1" x14ac:dyDescent="0.25">
      <c r="B2106" s="7"/>
      <c r="C2106" s="140">
        <v>2078</v>
      </c>
      <c r="D2106" s="142"/>
      <c r="E2106" s="142"/>
      <c r="F2106" s="142"/>
      <c r="G2106" s="142"/>
      <c r="H2106" s="141"/>
      <c r="I2106" s="8"/>
    </row>
    <row r="2107" spans="2:9" ht="15" hidden="1" customHeight="1" x14ac:dyDescent="0.25">
      <c r="B2107" s="7"/>
      <c r="C2107" s="140">
        <v>2079</v>
      </c>
      <c r="D2107" s="142"/>
      <c r="E2107" s="142"/>
      <c r="F2107" s="142"/>
      <c r="G2107" s="142"/>
      <c r="H2107" s="141"/>
      <c r="I2107" s="8"/>
    </row>
    <row r="2108" spans="2:9" ht="15" hidden="1" customHeight="1" x14ac:dyDescent="0.25">
      <c r="B2108" s="7"/>
      <c r="C2108" s="140">
        <v>2080</v>
      </c>
      <c r="D2108" s="142"/>
      <c r="E2108" s="142"/>
      <c r="F2108" s="142"/>
      <c r="G2108" s="142"/>
      <c r="H2108" s="141"/>
      <c r="I2108" s="8"/>
    </row>
    <row r="2109" spans="2:9" ht="15" hidden="1" customHeight="1" x14ac:dyDescent="0.25">
      <c r="B2109" s="7"/>
      <c r="C2109" s="140">
        <v>2081</v>
      </c>
      <c r="D2109" s="142"/>
      <c r="E2109" s="142"/>
      <c r="F2109" s="142"/>
      <c r="G2109" s="142"/>
      <c r="H2109" s="141"/>
      <c r="I2109" s="8"/>
    </row>
    <row r="2110" spans="2:9" ht="15" hidden="1" customHeight="1" x14ac:dyDescent="0.25">
      <c r="B2110" s="7"/>
      <c r="C2110" s="140">
        <v>2082</v>
      </c>
      <c r="D2110" s="142"/>
      <c r="E2110" s="142"/>
      <c r="F2110" s="142"/>
      <c r="G2110" s="142"/>
      <c r="H2110" s="141"/>
      <c r="I2110" s="8"/>
    </row>
    <row r="2111" spans="2:9" ht="15" hidden="1" customHeight="1" x14ac:dyDescent="0.25">
      <c r="B2111" s="7"/>
      <c r="C2111" s="140">
        <v>2083</v>
      </c>
      <c r="D2111" s="142"/>
      <c r="E2111" s="142"/>
      <c r="F2111" s="142"/>
      <c r="G2111" s="142"/>
      <c r="H2111" s="141"/>
      <c r="I2111" s="8"/>
    </row>
    <row r="2112" spans="2:9" ht="15" hidden="1" customHeight="1" x14ac:dyDescent="0.25">
      <c r="B2112" s="7"/>
      <c r="C2112" s="140">
        <v>2084</v>
      </c>
      <c r="D2112" s="142"/>
      <c r="E2112" s="142"/>
      <c r="F2112" s="142"/>
      <c r="G2112" s="142"/>
      <c r="H2112" s="141"/>
      <c r="I2112" s="8"/>
    </row>
    <row r="2113" spans="2:9" ht="15" hidden="1" customHeight="1" x14ac:dyDescent="0.25">
      <c r="B2113" s="7"/>
      <c r="C2113" s="140">
        <v>2085</v>
      </c>
      <c r="D2113" s="142"/>
      <c r="E2113" s="142"/>
      <c r="F2113" s="142"/>
      <c r="G2113" s="142"/>
      <c r="H2113" s="141"/>
      <c r="I2113" s="8"/>
    </row>
    <row r="2114" spans="2:9" ht="15" hidden="1" customHeight="1" x14ac:dyDescent="0.25">
      <c r="B2114" s="7"/>
      <c r="C2114" s="140">
        <v>2086</v>
      </c>
      <c r="D2114" s="142"/>
      <c r="E2114" s="142"/>
      <c r="F2114" s="142"/>
      <c r="G2114" s="142"/>
      <c r="H2114" s="141"/>
      <c r="I2114" s="8"/>
    </row>
    <row r="2115" spans="2:9" ht="15" hidden="1" customHeight="1" x14ac:dyDescent="0.25">
      <c r="B2115" s="7"/>
      <c r="C2115" s="140">
        <v>2087</v>
      </c>
      <c r="D2115" s="142"/>
      <c r="E2115" s="142"/>
      <c r="F2115" s="142"/>
      <c r="G2115" s="142"/>
      <c r="H2115" s="141"/>
      <c r="I2115" s="8"/>
    </row>
    <row r="2116" spans="2:9" ht="15" hidden="1" customHeight="1" x14ac:dyDescent="0.25">
      <c r="B2116" s="7"/>
      <c r="C2116" s="140">
        <v>2088</v>
      </c>
      <c r="D2116" s="142"/>
      <c r="E2116" s="142"/>
      <c r="F2116" s="142"/>
      <c r="G2116" s="142"/>
      <c r="H2116" s="141"/>
      <c r="I2116" s="8"/>
    </row>
    <row r="2117" spans="2:9" ht="15" hidden="1" customHeight="1" x14ac:dyDescent="0.25">
      <c r="B2117" s="7"/>
      <c r="C2117" s="140">
        <v>2089</v>
      </c>
      <c r="D2117" s="142"/>
      <c r="E2117" s="142"/>
      <c r="F2117" s="142"/>
      <c r="G2117" s="142"/>
      <c r="H2117" s="141"/>
      <c r="I2117" s="8"/>
    </row>
    <row r="2118" spans="2:9" ht="15" hidden="1" customHeight="1" x14ac:dyDescent="0.25">
      <c r="B2118" s="7"/>
      <c r="C2118" s="140">
        <v>2090</v>
      </c>
      <c r="D2118" s="142"/>
      <c r="E2118" s="142"/>
      <c r="F2118" s="142"/>
      <c r="G2118" s="142"/>
      <c r="H2118" s="141"/>
      <c r="I2118" s="8"/>
    </row>
    <row r="2119" spans="2:9" ht="15" hidden="1" customHeight="1" x14ac:dyDescent="0.25">
      <c r="B2119" s="7"/>
      <c r="C2119" s="140">
        <v>2091</v>
      </c>
      <c r="D2119" s="142"/>
      <c r="E2119" s="142"/>
      <c r="F2119" s="142"/>
      <c r="G2119" s="142"/>
      <c r="H2119" s="141"/>
      <c r="I2119" s="8"/>
    </row>
    <row r="2120" spans="2:9" ht="15" hidden="1" customHeight="1" x14ac:dyDescent="0.25">
      <c r="B2120" s="7"/>
      <c r="C2120" s="140">
        <v>2092</v>
      </c>
      <c r="D2120" s="142"/>
      <c r="E2120" s="142"/>
      <c r="F2120" s="142"/>
      <c r="G2120" s="142"/>
      <c r="H2120" s="141"/>
      <c r="I2120" s="8"/>
    </row>
    <row r="2121" spans="2:9" ht="15" hidden="1" customHeight="1" x14ac:dyDescent="0.25">
      <c r="B2121" s="7"/>
      <c r="C2121" s="140">
        <v>2093</v>
      </c>
      <c r="D2121" s="142"/>
      <c r="E2121" s="142"/>
      <c r="F2121" s="142"/>
      <c r="G2121" s="142"/>
      <c r="H2121" s="141"/>
      <c r="I2121" s="8"/>
    </row>
    <row r="2122" spans="2:9" ht="15" hidden="1" customHeight="1" x14ac:dyDescent="0.25">
      <c r="B2122" s="7"/>
      <c r="C2122" s="140">
        <v>2094</v>
      </c>
      <c r="D2122" s="142"/>
      <c r="E2122" s="142"/>
      <c r="F2122" s="142"/>
      <c r="G2122" s="142"/>
      <c r="H2122" s="141"/>
      <c r="I2122" s="8"/>
    </row>
    <row r="2123" spans="2:9" ht="15" hidden="1" customHeight="1" x14ac:dyDescent="0.25">
      <c r="B2123" s="7"/>
      <c r="C2123" s="140">
        <v>2095</v>
      </c>
      <c r="D2123" s="142"/>
      <c r="E2123" s="142"/>
      <c r="F2123" s="142"/>
      <c r="G2123" s="142"/>
      <c r="H2123" s="141"/>
      <c r="I2123" s="8"/>
    </row>
    <row r="2124" spans="2:9" ht="15" hidden="1" customHeight="1" x14ac:dyDescent="0.25">
      <c r="B2124" s="7"/>
      <c r="C2124" s="140">
        <v>2096</v>
      </c>
      <c r="D2124" s="142"/>
      <c r="E2124" s="142"/>
      <c r="F2124" s="142"/>
      <c r="G2124" s="142"/>
      <c r="H2124" s="141"/>
      <c r="I2124" s="8"/>
    </row>
    <row r="2125" spans="2:9" ht="15" hidden="1" customHeight="1" x14ac:dyDescent="0.25">
      <c r="B2125" s="7"/>
      <c r="C2125" s="140">
        <v>2097</v>
      </c>
      <c r="D2125" s="142"/>
      <c r="E2125" s="142"/>
      <c r="F2125" s="142"/>
      <c r="G2125" s="142"/>
      <c r="H2125" s="141"/>
      <c r="I2125" s="8"/>
    </row>
    <row r="2126" spans="2:9" ht="15" hidden="1" customHeight="1" x14ac:dyDescent="0.25">
      <c r="B2126" s="7"/>
      <c r="C2126" s="140">
        <v>2098</v>
      </c>
      <c r="D2126" s="142"/>
      <c r="E2126" s="142"/>
      <c r="F2126" s="142"/>
      <c r="G2126" s="142"/>
      <c r="H2126" s="141"/>
      <c r="I2126" s="8"/>
    </row>
    <row r="2127" spans="2:9" ht="15" hidden="1" customHeight="1" x14ac:dyDescent="0.25">
      <c r="B2127" s="7"/>
      <c r="C2127" s="140">
        <v>2099</v>
      </c>
      <c r="D2127" s="142"/>
      <c r="E2127" s="142"/>
      <c r="F2127" s="142"/>
      <c r="G2127" s="142"/>
      <c r="H2127" s="141"/>
      <c r="I2127" s="8"/>
    </row>
    <row r="2128" spans="2:9" ht="15" hidden="1" customHeight="1" x14ac:dyDescent="0.25">
      <c r="B2128" s="7"/>
      <c r="C2128" s="140">
        <v>2100</v>
      </c>
      <c r="D2128" s="142"/>
      <c r="E2128" s="142"/>
      <c r="F2128" s="142"/>
      <c r="G2128" s="142"/>
      <c r="H2128" s="141"/>
      <c r="I2128" s="8"/>
    </row>
    <row r="2129" spans="2:9" ht="15" hidden="1" customHeight="1" x14ac:dyDescent="0.25">
      <c r="B2129" s="7"/>
      <c r="C2129" s="140">
        <v>2101</v>
      </c>
      <c r="D2129" s="142"/>
      <c r="E2129" s="142"/>
      <c r="F2129" s="142"/>
      <c r="G2129" s="142"/>
      <c r="H2129" s="141"/>
      <c r="I2129" s="8"/>
    </row>
    <row r="2130" spans="2:9" ht="15" hidden="1" customHeight="1" x14ac:dyDescent="0.25">
      <c r="B2130" s="7"/>
      <c r="C2130" s="140">
        <v>2102</v>
      </c>
      <c r="D2130" s="142"/>
      <c r="E2130" s="142"/>
      <c r="F2130" s="142"/>
      <c r="G2130" s="142"/>
      <c r="H2130" s="141"/>
      <c r="I2130" s="8"/>
    </row>
    <row r="2131" spans="2:9" ht="15" hidden="1" customHeight="1" x14ac:dyDescent="0.25">
      <c r="B2131" s="7"/>
      <c r="C2131" s="140">
        <v>2103</v>
      </c>
      <c r="D2131" s="142"/>
      <c r="E2131" s="142"/>
      <c r="F2131" s="142"/>
      <c r="G2131" s="142"/>
      <c r="H2131" s="141"/>
      <c r="I2131" s="8"/>
    </row>
    <row r="2132" spans="2:9" ht="15" hidden="1" customHeight="1" x14ac:dyDescent="0.25">
      <c r="B2132" s="7"/>
      <c r="C2132" s="140">
        <v>2104</v>
      </c>
      <c r="D2132" s="142"/>
      <c r="E2132" s="142"/>
      <c r="F2132" s="142"/>
      <c r="G2132" s="142"/>
      <c r="H2132" s="141"/>
      <c r="I2132" s="8"/>
    </row>
    <row r="2133" spans="2:9" ht="15" hidden="1" customHeight="1" x14ac:dyDescent="0.25">
      <c r="B2133" s="7"/>
      <c r="C2133" s="140">
        <v>2105</v>
      </c>
      <c r="D2133" s="142"/>
      <c r="E2133" s="142"/>
      <c r="F2133" s="142"/>
      <c r="G2133" s="142"/>
      <c r="H2133" s="141"/>
      <c r="I2133" s="8"/>
    </row>
    <row r="2134" spans="2:9" ht="15" hidden="1" customHeight="1" x14ac:dyDescent="0.25">
      <c r="B2134" s="7"/>
      <c r="C2134" s="140">
        <v>2106</v>
      </c>
      <c r="D2134" s="142"/>
      <c r="E2134" s="142"/>
      <c r="F2134" s="142"/>
      <c r="G2134" s="142"/>
      <c r="H2134" s="141"/>
      <c r="I2134" s="8"/>
    </row>
    <row r="2135" spans="2:9" ht="15" hidden="1" customHeight="1" x14ac:dyDescent="0.25">
      <c r="B2135" s="7"/>
      <c r="C2135" s="140">
        <v>2107</v>
      </c>
      <c r="D2135" s="142"/>
      <c r="E2135" s="142"/>
      <c r="F2135" s="142"/>
      <c r="G2135" s="142"/>
      <c r="H2135" s="141"/>
      <c r="I2135" s="8"/>
    </row>
    <row r="2136" spans="2:9" ht="15" hidden="1" customHeight="1" x14ac:dyDescent="0.25">
      <c r="B2136" s="7"/>
      <c r="C2136" s="140">
        <v>2108</v>
      </c>
      <c r="D2136" s="142"/>
      <c r="E2136" s="142"/>
      <c r="F2136" s="142"/>
      <c r="G2136" s="142"/>
      <c r="H2136" s="141"/>
      <c r="I2136" s="8"/>
    </row>
    <row r="2137" spans="2:9" ht="15" hidden="1" customHeight="1" x14ac:dyDescent="0.25">
      <c r="B2137" s="7"/>
      <c r="C2137" s="140">
        <v>2109</v>
      </c>
      <c r="D2137" s="142"/>
      <c r="E2137" s="142"/>
      <c r="F2137" s="142"/>
      <c r="G2137" s="142"/>
      <c r="H2137" s="141"/>
      <c r="I2137" s="8"/>
    </row>
    <row r="2138" spans="2:9" ht="15" hidden="1" customHeight="1" x14ac:dyDescent="0.25">
      <c r="B2138" s="7"/>
      <c r="C2138" s="140">
        <v>2110</v>
      </c>
      <c r="D2138" s="142"/>
      <c r="E2138" s="142"/>
      <c r="F2138" s="142"/>
      <c r="G2138" s="142"/>
      <c r="H2138" s="141"/>
      <c r="I2138" s="8"/>
    </row>
    <row r="2139" spans="2:9" ht="15" hidden="1" customHeight="1" x14ac:dyDescent="0.25">
      <c r="B2139" s="7"/>
      <c r="C2139" s="140">
        <v>2111</v>
      </c>
      <c r="D2139" s="142"/>
      <c r="E2139" s="142"/>
      <c r="F2139" s="142"/>
      <c r="G2139" s="142"/>
      <c r="H2139" s="141"/>
      <c r="I2139" s="8"/>
    </row>
    <row r="2140" spans="2:9" ht="15" hidden="1" customHeight="1" x14ac:dyDescent="0.25">
      <c r="B2140" s="7"/>
      <c r="C2140" s="140">
        <v>2112</v>
      </c>
      <c r="D2140" s="142"/>
      <c r="E2140" s="142"/>
      <c r="F2140" s="142"/>
      <c r="G2140" s="142"/>
      <c r="H2140" s="141"/>
      <c r="I2140" s="8"/>
    </row>
    <row r="2141" spans="2:9" ht="15" hidden="1" customHeight="1" x14ac:dyDescent="0.25">
      <c r="B2141" s="7"/>
      <c r="C2141" s="140">
        <v>2113</v>
      </c>
      <c r="D2141" s="142"/>
      <c r="E2141" s="142"/>
      <c r="F2141" s="142"/>
      <c r="G2141" s="142"/>
      <c r="H2141" s="141"/>
      <c r="I2141" s="8"/>
    </row>
    <row r="2142" spans="2:9" ht="15" hidden="1" customHeight="1" x14ac:dyDescent="0.25">
      <c r="B2142" s="7"/>
      <c r="C2142" s="140">
        <v>2114</v>
      </c>
      <c r="D2142" s="142"/>
      <c r="E2142" s="142"/>
      <c r="F2142" s="142"/>
      <c r="G2142" s="142"/>
      <c r="H2142" s="141"/>
      <c r="I2142" s="8"/>
    </row>
    <row r="2143" spans="2:9" ht="15" hidden="1" customHeight="1" x14ac:dyDescent="0.25">
      <c r="B2143" s="7"/>
      <c r="C2143" s="140">
        <v>2115</v>
      </c>
      <c r="D2143" s="142"/>
      <c r="E2143" s="142"/>
      <c r="F2143" s="142"/>
      <c r="G2143" s="142"/>
      <c r="H2143" s="141"/>
      <c r="I2143" s="8"/>
    </row>
    <row r="2144" spans="2:9" ht="15" hidden="1" customHeight="1" x14ac:dyDescent="0.25">
      <c r="B2144" s="7"/>
      <c r="C2144" s="140">
        <v>2116</v>
      </c>
      <c r="D2144" s="142"/>
      <c r="E2144" s="142"/>
      <c r="F2144" s="142"/>
      <c r="G2144" s="142"/>
      <c r="H2144" s="141"/>
      <c r="I2144" s="8"/>
    </row>
    <row r="2145" spans="2:9" ht="15" hidden="1" customHeight="1" x14ac:dyDescent="0.25">
      <c r="B2145" s="7"/>
      <c r="C2145" s="140">
        <v>2117</v>
      </c>
      <c r="D2145" s="142"/>
      <c r="E2145" s="142"/>
      <c r="F2145" s="142"/>
      <c r="G2145" s="142"/>
      <c r="H2145" s="141"/>
      <c r="I2145" s="8"/>
    </row>
    <row r="2146" spans="2:9" ht="15" hidden="1" customHeight="1" x14ac:dyDescent="0.25">
      <c r="B2146" s="7"/>
      <c r="C2146" s="140">
        <v>2118</v>
      </c>
      <c r="D2146" s="142"/>
      <c r="E2146" s="142"/>
      <c r="F2146" s="142"/>
      <c r="G2146" s="142"/>
      <c r="H2146" s="141"/>
      <c r="I2146" s="8"/>
    </row>
    <row r="2147" spans="2:9" ht="15" hidden="1" customHeight="1" x14ac:dyDescent="0.25">
      <c r="B2147" s="7"/>
      <c r="C2147" s="140">
        <v>2119</v>
      </c>
      <c r="D2147" s="142"/>
      <c r="E2147" s="142"/>
      <c r="F2147" s="142"/>
      <c r="G2147" s="142"/>
      <c r="H2147" s="141"/>
      <c r="I2147" s="8"/>
    </row>
    <row r="2148" spans="2:9" ht="15" hidden="1" customHeight="1" x14ac:dyDescent="0.25">
      <c r="B2148" s="7"/>
      <c r="C2148" s="140">
        <v>2120</v>
      </c>
      <c r="D2148" s="142"/>
      <c r="E2148" s="142"/>
      <c r="F2148" s="142"/>
      <c r="G2148" s="142"/>
      <c r="H2148" s="141"/>
      <c r="I2148" s="8"/>
    </row>
    <row r="2149" spans="2:9" ht="15" hidden="1" customHeight="1" x14ac:dyDescent="0.25">
      <c r="B2149" s="7"/>
      <c r="C2149" s="140">
        <v>2121</v>
      </c>
      <c r="D2149" s="142"/>
      <c r="E2149" s="142"/>
      <c r="F2149" s="142"/>
      <c r="G2149" s="142"/>
      <c r="H2149" s="141"/>
      <c r="I2149" s="8"/>
    </row>
    <row r="2150" spans="2:9" ht="15" hidden="1" customHeight="1" x14ac:dyDescent="0.25">
      <c r="B2150" s="7"/>
      <c r="C2150" s="140">
        <v>2122</v>
      </c>
      <c r="D2150" s="142"/>
      <c r="E2150" s="142"/>
      <c r="F2150" s="142"/>
      <c r="G2150" s="142"/>
      <c r="H2150" s="141"/>
      <c r="I2150" s="8"/>
    </row>
    <row r="2151" spans="2:9" ht="15" hidden="1" customHeight="1" x14ac:dyDescent="0.25">
      <c r="B2151" s="7"/>
      <c r="C2151" s="140">
        <v>2123</v>
      </c>
      <c r="D2151" s="142"/>
      <c r="E2151" s="142"/>
      <c r="F2151" s="142"/>
      <c r="G2151" s="142"/>
      <c r="H2151" s="141"/>
      <c r="I2151" s="8"/>
    </row>
    <row r="2152" spans="2:9" ht="15" hidden="1" customHeight="1" x14ac:dyDescent="0.25">
      <c r="B2152" s="7"/>
      <c r="C2152" s="140">
        <v>2124</v>
      </c>
      <c r="D2152" s="142"/>
      <c r="E2152" s="142"/>
      <c r="F2152" s="142"/>
      <c r="G2152" s="142"/>
      <c r="H2152" s="141"/>
      <c r="I2152" s="8"/>
    </row>
    <row r="2153" spans="2:9" ht="15" hidden="1" customHeight="1" x14ac:dyDescent="0.25">
      <c r="B2153" s="7"/>
      <c r="C2153" s="140">
        <v>2125</v>
      </c>
      <c r="D2153" s="142"/>
      <c r="E2153" s="142"/>
      <c r="F2153" s="142"/>
      <c r="G2153" s="142"/>
      <c r="H2153" s="141"/>
      <c r="I2153" s="8"/>
    </row>
    <row r="2154" spans="2:9" ht="15" hidden="1" customHeight="1" x14ac:dyDescent="0.25">
      <c r="B2154" s="7"/>
      <c r="C2154" s="140">
        <v>2126</v>
      </c>
      <c r="D2154" s="142"/>
      <c r="E2154" s="142"/>
      <c r="F2154" s="142"/>
      <c r="G2154" s="142"/>
      <c r="H2154" s="141"/>
      <c r="I2154" s="8"/>
    </row>
    <row r="2155" spans="2:9" ht="15" hidden="1" customHeight="1" x14ac:dyDescent="0.25">
      <c r="B2155" s="7"/>
      <c r="C2155" s="140">
        <v>2127</v>
      </c>
      <c r="D2155" s="142"/>
      <c r="E2155" s="142"/>
      <c r="F2155" s="142"/>
      <c r="G2155" s="142"/>
      <c r="H2155" s="141"/>
      <c r="I2155" s="8"/>
    </row>
    <row r="2156" spans="2:9" ht="15" hidden="1" customHeight="1" x14ac:dyDescent="0.25">
      <c r="B2156" s="7"/>
      <c r="C2156" s="140">
        <v>2128</v>
      </c>
      <c r="D2156" s="142"/>
      <c r="E2156" s="142"/>
      <c r="F2156" s="142"/>
      <c r="G2156" s="142"/>
      <c r="H2156" s="141"/>
      <c r="I2156" s="8"/>
    </row>
    <row r="2157" spans="2:9" ht="15" hidden="1" customHeight="1" x14ac:dyDescent="0.25">
      <c r="B2157" s="7"/>
      <c r="C2157" s="140">
        <v>2129</v>
      </c>
      <c r="D2157" s="142"/>
      <c r="E2157" s="142"/>
      <c r="F2157" s="142"/>
      <c r="G2157" s="142"/>
      <c r="H2157" s="141"/>
      <c r="I2157" s="8"/>
    </row>
    <row r="2158" spans="2:9" ht="15" hidden="1" customHeight="1" x14ac:dyDescent="0.25">
      <c r="B2158" s="7"/>
      <c r="C2158" s="140">
        <v>2130</v>
      </c>
      <c r="D2158" s="142"/>
      <c r="E2158" s="142"/>
      <c r="F2158" s="142"/>
      <c r="G2158" s="142"/>
      <c r="H2158" s="141"/>
      <c r="I2158" s="8"/>
    </row>
    <row r="2159" spans="2:9" ht="15" hidden="1" customHeight="1" x14ac:dyDescent="0.25">
      <c r="B2159" s="7"/>
      <c r="C2159" s="140">
        <v>2131</v>
      </c>
      <c r="D2159" s="142"/>
      <c r="E2159" s="142"/>
      <c r="F2159" s="142"/>
      <c r="G2159" s="142"/>
      <c r="H2159" s="141"/>
      <c r="I2159" s="8"/>
    </row>
    <row r="2160" spans="2:9" ht="15" hidden="1" customHeight="1" x14ac:dyDescent="0.25">
      <c r="B2160" s="7"/>
      <c r="C2160" s="140">
        <v>2132</v>
      </c>
      <c r="D2160" s="142"/>
      <c r="E2160" s="142"/>
      <c r="F2160" s="142"/>
      <c r="G2160" s="142"/>
      <c r="H2160" s="141"/>
      <c r="I2160" s="8"/>
    </row>
    <row r="2161" spans="2:9" ht="15" hidden="1" customHeight="1" x14ac:dyDescent="0.25">
      <c r="B2161" s="7"/>
      <c r="C2161" s="140">
        <v>2133</v>
      </c>
      <c r="D2161" s="142"/>
      <c r="E2161" s="142"/>
      <c r="F2161" s="142"/>
      <c r="G2161" s="142"/>
      <c r="H2161" s="141"/>
      <c r="I2161" s="8"/>
    </row>
    <row r="2162" spans="2:9" ht="15" hidden="1" customHeight="1" x14ac:dyDescent="0.25">
      <c r="B2162" s="7"/>
      <c r="C2162" s="140">
        <v>2134</v>
      </c>
      <c r="D2162" s="142"/>
      <c r="E2162" s="142"/>
      <c r="F2162" s="142"/>
      <c r="G2162" s="142"/>
      <c r="H2162" s="141"/>
      <c r="I2162" s="8"/>
    </row>
    <row r="2163" spans="2:9" ht="15" hidden="1" customHeight="1" x14ac:dyDescent="0.25">
      <c r="B2163" s="7"/>
      <c r="C2163" s="140">
        <v>2135</v>
      </c>
      <c r="D2163" s="142"/>
      <c r="E2163" s="142"/>
      <c r="F2163" s="142"/>
      <c r="G2163" s="142"/>
      <c r="H2163" s="141"/>
      <c r="I2163" s="8"/>
    </row>
    <row r="2164" spans="2:9" ht="15" hidden="1" customHeight="1" x14ac:dyDescent="0.25">
      <c r="B2164" s="7"/>
      <c r="C2164" s="140">
        <v>2136</v>
      </c>
      <c r="D2164" s="142"/>
      <c r="E2164" s="142"/>
      <c r="F2164" s="142"/>
      <c r="G2164" s="142"/>
      <c r="H2164" s="141"/>
      <c r="I2164" s="8"/>
    </row>
    <row r="2165" spans="2:9" ht="15" hidden="1" customHeight="1" x14ac:dyDescent="0.25">
      <c r="B2165" s="7"/>
      <c r="C2165" s="140">
        <v>2137</v>
      </c>
      <c r="D2165" s="142"/>
      <c r="E2165" s="142"/>
      <c r="F2165" s="142"/>
      <c r="G2165" s="142"/>
      <c r="H2165" s="141"/>
      <c r="I2165" s="8"/>
    </row>
    <row r="2166" spans="2:9" ht="15" hidden="1" customHeight="1" x14ac:dyDescent="0.25">
      <c r="B2166" s="7"/>
      <c r="C2166" s="140">
        <v>2138</v>
      </c>
      <c r="D2166" s="142"/>
      <c r="E2166" s="142"/>
      <c r="F2166" s="142"/>
      <c r="G2166" s="142"/>
      <c r="H2166" s="141"/>
      <c r="I2166" s="8"/>
    </row>
    <row r="2167" spans="2:9" ht="15" hidden="1" customHeight="1" x14ac:dyDescent="0.25">
      <c r="B2167" s="7"/>
      <c r="C2167" s="140">
        <v>2139</v>
      </c>
      <c r="D2167" s="142"/>
      <c r="E2167" s="142"/>
      <c r="F2167" s="142"/>
      <c r="G2167" s="142"/>
      <c r="H2167" s="141"/>
      <c r="I2167" s="8"/>
    </row>
    <row r="2168" spans="2:9" ht="15" hidden="1" customHeight="1" x14ac:dyDescent="0.25">
      <c r="B2168" s="7"/>
      <c r="C2168" s="140">
        <v>2140</v>
      </c>
      <c r="D2168" s="142"/>
      <c r="E2168" s="142"/>
      <c r="F2168" s="142"/>
      <c r="G2168" s="142"/>
      <c r="H2168" s="141"/>
      <c r="I2168" s="8"/>
    </row>
    <row r="2169" spans="2:9" ht="15" hidden="1" customHeight="1" x14ac:dyDescent="0.25">
      <c r="B2169" s="7"/>
      <c r="C2169" s="140">
        <v>2141</v>
      </c>
      <c r="D2169" s="142"/>
      <c r="E2169" s="142"/>
      <c r="F2169" s="142"/>
      <c r="G2169" s="142"/>
      <c r="H2169" s="141"/>
      <c r="I2169" s="8"/>
    </row>
    <row r="2170" spans="2:9" ht="15" hidden="1" customHeight="1" x14ac:dyDescent="0.25">
      <c r="B2170" s="7"/>
      <c r="C2170" s="140">
        <v>2142</v>
      </c>
      <c r="D2170" s="142"/>
      <c r="E2170" s="142"/>
      <c r="F2170" s="142"/>
      <c r="G2170" s="142"/>
      <c r="H2170" s="141"/>
      <c r="I2170" s="8"/>
    </row>
    <row r="2171" spans="2:9" ht="15" hidden="1" customHeight="1" x14ac:dyDescent="0.25">
      <c r="B2171" s="7"/>
      <c r="C2171" s="140">
        <v>2143</v>
      </c>
      <c r="D2171" s="142"/>
      <c r="E2171" s="142"/>
      <c r="F2171" s="142"/>
      <c r="G2171" s="142"/>
      <c r="H2171" s="141"/>
      <c r="I2171" s="8"/>
    </row>
    <row r="2172" spans="2:9" ht="15" hidden="1" customHeight="1" x14ac:dyDescent="0.25">
      <c r="B2172" s="7"/>
      <c r="C2172" s="140">
        <v>2144</v>
      </c>
      <c r="D2172" s="142"/>
      <c r="E2172" s="142"/>
      <c r="F2172" s="142"/>
      <c r="G2172" s="142"/>
      <c r="H2172" s="141"/>
      <c r="I2172" s="8"/>
    </row>
    <row r="2173" spans="2:9" ht="15" hidden="1" customHeight="1" x14ac:dyDescent="0.25">
      <c r="B2173" s="7"/>
      <c r="C2173" s="140">
        <v>2145</v>
      </c>
      <c r="D2173" s="142"/>
      <c r="E2173" s="142"/>
      <c r="F2173" s="142"/>
      <c r="G2173" s="142"/>
      <c r="H2173" s="141"/>
      <c r="I2173" s="8"/>
    </row>
    <row r="2174" spans="2:9" ht="15" hidden="1" customHeight="1" x14ac:dyDescent="0.25">
      <c r="B2174" s="7"/>
      <c r="C2174" s="140">
        <v>2146</v>
      </c>
      <c r="D2174" s="142"/>
      <c r="E2174" s="142"/>
      <c r="F2174" s="142"/>
      <c r="G2174" s="142"/>
      <c r="H2174" s="141"/>
      <c r="I2174" s="8"/>
    </row>
    <row r="2175" spans="2:9" ht="15" hidden="1" customHeight="1" x14ac:dyDescent="0.25">
      <c r="B2175" s="7"/>
      <c r="C2175" s="140">
        <v>2147</v>
      </c>
      <c r="D2175" s="142"/>
      <c r="E2175" s="142"/>
      <c r="F2175" s="142"/>
      <c r="G2175" s="142"/>
      <c r="H2175" s="141"/>
      <c r="I2175" s="8"/>
    </row>
    <row r="2176" spans="2:9" ht="15" hidden="1" customHeight="1" x14ac:dyDescent="0.25">
      <c r="B2176" s="7"/>
      <c r="C2176" s="140">
        <v>2148</v>
      </c>
      <c r="D2176" s="142"/>
      <c r="E2176" s="142"/>
      <c r="F2176" s="142"/>
      <c r="G2176" s="142"/>
      <c r="H2176" s="141"/>
      <c r="I2176" s="8"/>
    </row>
    <row r="2177" spans="2:9" ht="15" hidden="1" customHeight="1" x14ac:dyDescent="0.25">
      <c r="B2177" s="7"/>
      <c r="C2177" s="140">
        <v>2149</v>
      </c>
      <c r="D2177" s="142"/>
      <c r="E2177" s="142"/>
      <c r="F2177" s="142"/>
      <c r="G2177" s="142"/>
      <c r="H2177" s="141"/>
      <c r="I2177" s="8"/>
    </row>
    <row r="2178" spans="2:9" ht="15" hidden="1" customHeight="1" x14ac:dyDescent="0.25">
      <c r="B2178" s="7"/>
      <c r="C2178" s="140">
        <v>2150</v>
      </c>
      <c r="D2178" s="142"/>
      <c r="E2178" s="142"/>
      <c r="F2178" s="142"/>
      <c r="G2178" s="142"/>
      <c r="H2178" s="141"/>
      <c r="I2178" s="8"/>
    </row>
    <row r="2179" spans="2:9" ht="15" hidden="1" customHeight="1" x14ac:dyDescent="0.25">
      <c r="B2179" s="7"/>
      <c r="C2179" s="140">
        <v>2151</v>
      </c>
      <c r="D2179" s="142"/>
      <c r="E2179" s="142"/>
      <c r="F2179" s="142"/>
      <c r="G2179" s="142"/>
      <c r="H2179" s="141"/>
      <c r="I2179" s="8"/>
    </row>
    <row r="2180" spans="2:9" ht="15" hidden="1" customHeight="1" x14ac:dyDescent="0.25">
      <c r="B2180" s="7"/>
      <c r="C2180" s="140">
        <v>2152</v>
      </c>
      <c r="D2180" s="142"/>
      <c r="E2180" s="142"/>
      <c r="F2180" s="142"/>
      <c r="G2180" s="142"/>
      <c r="H2180" s="141"/>
      <c r="I2180" s="8"/>
    </row>
    <row r="2181" spans="2:9" ht="15" hidden="1" customHeight="1" x14ac:dyDescent="0.25">
      <c r="B2181" s="7"/>
      <c r="C2181" s="140">
        <v>2153</v>
      </c>
      <c r="D2181" s="142"/>
      <c r="E2181" s="142"/>
      <c r="F2181" s="142"/>
      <c r="G2181" s="142"/>
      <c r="H2181" s="141"/>
      <c r="I2181" s="8"/>
    </row>
    <row r="2182" spans="2:9" ht="15" hidden="1" customHeight="1" x14ac:dyDescent="0.25">
      <c r="B2182" s="7"/>
      <c r="C2182" s="140">
        <v>2154</v>
      </c>
      <c r="D2182" s="142"/>
      <c r="E2182" s="142"/>
      <c r="F2182" s="142"/>
      <c r="G2182" s="142"/>
      <c r="H2182" s="141"/>
      <c r="I2182" s="8"/>
    </row>
    <row r="2183" spans="2:9" ht="15" hidden="1" customHeight="1" x14ac:dyDescent="0.25">
      <c r="B2183" s="7"/>
      <c r="C2183" s="140">
        <v>2155</v>
      </c>
      <c r="D2183" s="142"/>
      <c r="E2183" s="142"/>
      <c r="F2183" s="142"/>
      <c r="G2183" s="142"/>
      <c r="H2183" s="141"/>
      <c r="I2183" s="8"/>
    </row>
    <row r="2184" spans="2:9" ht="15" hidden="1" customHeight="1" x14ac:dyDescent="0.25">
      <c r="B2184" s="7"/>
      <c r="C2184" s="140">
        <v>2156</v>
      </c>
      <c r="D2184" s="142"/>
      <c r="E2184" s="142"/>
      <c r="F2184" s="142"/>
      <c r="G2184" s="142"/>
      <c r="H2184" s="141"/>
      <c r="I2184" s="8"/>
    </row>
    <row r="2185" spans="2:9" ht="15" hidden="1" customHeight="1" x14ac:dyDescent="0.25">
      <c r="B2185" s="7"/>
      <c r="C2185" s="140">
        <v>2157</v>
      </c>
      <c r="D2185" s="142"/>
      <c r="E2185" s="142"/>
      <c r="F2185" s="142"/>
      <c r="G2185" s="142"/>
      <c r="H2185" s="141"/>
      <c r="I2185" s="8"/>
    </row>
    <row r="2186" spans="2:9" ht="15" hidden="1" customHeight="1" x14ac:dyDescent="0.25">
      <c r="B2186" s="7"/>
      <c r="C2186" s="140">
        <v>2158</v>
      </c>
      <c r="D2186" s="142"/>
      <c r="E2186" s="142"/>
      <c r="F2186" s="142"/>
      <c r="G2186" s="142"/>
      <c r="H2186" s="141"/>
      <c r="I2186" s="8"/>
    </row>
    <row r="2187" spans="2:9" ht="15" hidden="1" customHeight="1" x14ac:dyDescent="0.25">
      <c r="B2187" s="7"/>
      <c r="C2187" s="140">
        <v>2159</v>
      </c>
      <c r="D2187" s="142"/>
      <c r="E2187" s="142"/>
      <c r="F2187" s="142"/>
      <c r="G2187" s="142"/>
      <c r="H2187" s="141"/>
      <c r="I2187" s="8"/>
    </row>
    <row r="2188" spans="2:9" ht="15" hidden="1" customHeight="1" x14ac:dyDescent="0.25">
      <c r="B2188" s="7"/>
      <c r="C2188" s="140">
        <v>2160</v>
      </c>
      <c r="D2188" s="142"/>
      <c r="E2188" s="142"/>
      <c r="F2188" s="142"/>
      <c r="G2188" s="142"/>
      <c r="H2188" s="141"/>
      <c r="I2188" s="8"/>
    </row>
    <row r="2189" spans="2:9" ht="15" hidden="1" customHeight="1" x14ac:dyDescent="0.25">
      <c r="B2189" s="7"/>
      <c r="C2189" s="140">
        <v>2161</v>
      </c>
      <c r="D2189" s="142"/>
      <c r="E2189" s="142"/>
      <c r="F2189" s="142"/>
      <c r="G2189" s="142"/>
      <c r="H2189" s="141"/>
      <c r="I2189" s="8"/>
    </row>
    <row r="2190" spans="2:9" ht="15" hidden="1" customHeight="1" x14ac:dyDescent="0.25">
      <c r="B2190" s="7"/>
      <c r="C2190" s="140">
        <v>2162</v>
      </c>
      <c r="D2190" s="142"/>
      <c r="E2190" s="142"/>
      <c r="F2190" s="142"/>
      <c r="G2190" s="142"/>
      <c r="H2190" s="141"/>
      <c r="I2190" s="8"/>
    </row>
    <row r="2191" spans="2:9" ht="15" hidden="1" customHeight="1" x14ac:dyDescent="0.25">
      <c r="B2191" s="7"/>
      <c r="C2191" s="140">
        <v>2163</v>
      </c>
      <c r="D2191" s="142"/>
      <c r="E2191" s="142"/>
      <c r="F2191" s="142"/>
      <c r="G2191" s="142"/>
      <c r="H2191" s="141"/>
      <c r="I2191" s="8"/>
    </row>
    <row r="2192" spans="2:9" ht="15" hidden="1" customHeight="1" x14ac:dyDescent="0.25">
      <c r="B2192" s="7"/>
      <c r="C2192" s="140">
        <v>2164</v>
      </c>
      <c r="D2192" s="142"/>
      <c r="E2192" s="142"/>
      <c r="F2192" s="142"/>
      <c r="G2192" s="142"/>
      <c r="H2192" s="141"/>
      <c r="I2192" s="8"/>
    </row>
    <row r="2193" spans="2:9" ht="15" hidden="1" customHeight="1" x14ac:dyDescent="0.25">
      <c r="B2193" s="7"/>
      <c r="C2193" s="140">
        <v>2165</v>
      </c>
      <c r="D2193" s="142"/>
      <c r="E2193" s="142"/>
      <c r="F2193" s="142"/>
      <c r="G2193" s="142"/>
      <c r="H2193" s="141"/>
      <c r="I2193" s="8"/>
    </row>
    <row r="2194" spans="2:9" ht="15" hidden="1" customHeight="1" x14ac:dyDescent="0.25">
      <c r="B2194" s="7"/>
      <c r="C2194" s="140">
        <v>2166</v>
      </c>
      <c r="D2194" s="142"/>
      <c r="E2194" s="142"/>
      <c r="F2194" s="142"/>
      <c r="G2194" s="142"/>
      <c r="H2194" s="141"/>
      <c r="I2194" s="8"/>
    </row>
    <row r="2195" spans="2:9" ht="15" hidden="1" customHeight="1" x14ac:dyDescent="0.25">
      <c r="B2195" s="7"/>
      <c r="C2195" s="140">
        <v>2167</v>
      </c>
      <c r="D2195" s="142"/>
      <c r="E2195" s="142"/>
      <c r="F2195" s="142"/>
      <c r="G2195" s="142"/>
      <c r="H2195" s="141"/>
      <c r="I2195" s="8"/>
    </row>
    <row r="2196" spans="2:9" ht="15" hidden="1" customHeight="1" x14ac:dyDescent="0.25">
      <c r="B2196" s="7"/>
      <c r="C2196" s="140">
        <v>2168</v>
      </c>
      <c r="D2196" s="142"/>
      <c r="E2196" s="142"/>
      <c r="F2196" s="142"/>
      <c r="G2196" s="142"/>
      <c r="H2196" s="141"/>
      <c r="I2196" s="8"/>
    </row>
    <row r="2197" spans="2:9" ht="15" hidden="1" customHeight="1" x14ac:dyDescent="0.25">
      <c r="B2197" s="7"/>
      <c r="C2197" s="140">
        <v>2169</v>
      </c>
      <c r="D2197" s="142"/>
      <c r="E2197" s="142"/>
      <c r="F2197" s="142"/>
      <c r="G2197" s="142"/>
      <c r="H2197" s="141"/>
      <c r="I2197" s="8"/>
    </row>
    <row r="2198" spans="2:9" ht="15" hidden="1" customHeight="1" x14ac:dyDescent="0.25">
      <c r="B2198" s="7"/>
      <c r="C2198" s="140">
        <v>2170</v>
      </c>
      <c r="D2198" s="142"/>
      <c r="E2198" s="142"/>
      <c r="F2198" s="142"/>
      <c r="G2198" s="142"/>
      <c r="H2198" s="141"/>
      <c r="I2198" s="8"/>
    </row>
    <row r="2199" spans="2:9" ht="15" hidden="1" customHeight="1" x14ac:dyDescent="0.25">
      <c r="B2199" s="7"/>
      <c r="C2199" s="140">
        <v>2171</v>
      </c>
      <c r="D2199" s="142"/>
      <c r="E2199" s="142"/>
      <c r="F2199" s="142"/>
      <c r="G2199" s="142"/>
      <c r="H2199" s="141"/>
      <c r="I2199" s="8"/>
    </row>
    <row r="2200" spans="2:9" ht="15" hidden="1" customHeight="1" x14ac:dyDescent="0.25">
      <c r="B2200" s="7"/>
      <c r="C2200" s="140">
        <v>2172</v>
      </c>
      <c r="D2200" s="142"/>
      <c r="E2200" s="142"/>
      <c r="F2200" s="142"/>
      <c r="G2200" s="142"/>
      <c r="H2200" s="141"/>
      <c r="I2200" s="8"/>
    </row>
    <row r="2201" spans="2:9" ht="15" hidden="1" customHeight="1" x14ac:dyDescent="0.25">
      <c r="B2201" s="7"/>
      <c r="C2201" s="140">
        <v>2173</v>
      </c>
      <c r="D2201" s="142"/>
      <c r="E2201" s="142"/>
      <c r="F2201" s="142"/>
      <c r="G2201" s="142"/>
      <c r="H2201" s="141"/>
      <c r="I2201" s="8"/>
    </row>
    <row r="2202" spans="2:9" ht="15" hidden="1" customHeight="1" x14ac:dyDescent="0.25">
      <c r="B2202" s="7"/>
      <c r="C2202" s="140">
        <v>2174</v>
      </c>
      <c r="D2202" s="142"/>
      <c r="E2202" s="142"/>
      <c r="F2202" s="142"/>
      <c r="G2202" s="142"/>
      <c r="H2202" s="141"/>
      <c r="I2202" s="8"/>
    </row>
    <row r="2203" spans="2:9" ht="15" hidden="1" customHeight="1" x14ac:dyDescent="0.25">
      <c r="B2203" s="7"/>
      <c r="C2203" s="140">
        <v>2175</v>
      </c>
      <c r="D2203" s="142"/>
      <c r="E2203" s="142"/>
      <c r="F2203" s="142"/>
      <c r="G2203" s="142"/>
      <c r="H2203" s="141"/>
      <c r="I2203" s="8"/>
    </row>
    <row r="2204" spans="2:9" ht="15" hidden="1" customHeight="1" x14ac:dyDescent="0.25">
      <c r="B2204" s="7"/>
      <c r="C2204" s="140">
        <v>2176</v>
      </c>
      <c r="D2204" s="142"/>
      <c r="E2204" s="142"/>
      <c r="F2204" s="142"/>
      <c r="G2204" s="142"/>
      <c r="H2204" s="141"/>
      <c r="I2204" s="8"/>
    </row>
    <row r="2205" spans="2:9" ht="15" hidden="1" customHeight="1" x14ac:dyDescent="0.25">
      <c r="B2205" s="7"/>
      <c r="C2205" s="140">
        <v>2177</v>
      </c>
      <c r="D2205" s="142"/>
      <c r="E2205" s="142"/>
      <c r="F2205" s="142"/>
      <c r="G2205" s="142"/>
      <c r="H2205" s="141"/>
      <c r="I2205" s="8"/>
    </row>
    <row r="2206" spans="2:9" ht="15" hidden="1" customHeight="1" x14ac:dyDescent="0.25">
      <c r="B2206" s="7"/>
      <c r="C2206" s="140">
        <v>2178</v>
      </c>
      <c r="D2206" s="142"/>
      <c r="E2206" s="142"/>
      <c r="F2206" s="142"/>
      <c r="G2206" s="142"/>
      <c r="H2206" s="141"/>
      <c r="I2206" s="8"/>
    </row>
    <row r="2207" spans="2:9" ht="15" hidden="1" customHeight="1" x14ac:dyDescent="0.25">
      <c r="B2207" s="7"/>
      <c r="C2207" s="140">
        <v>2179</v>
      </c>
      <c r="D2207" s="142"/>
      <c r="E2207" s="142"/>
      <c r="F2207" s="142"/>
      <c r="G2207" s="142"/>
      <c r="H2207" s="141"/>
      <c r="I2207" s="8"/>
    </row>
    <row r="2208" spans="2:9" ht="15" hidden="1" customHeight="1" x14ac:dyDescent="0.25">
      <c r="B2208" s="7"/>
      <c r="C2208" s="140">
        <v>2180</v>
      </c>
      <c r="D2208" s="142"/>
      <c r="E2208" s="142"/>
      <c r="F2208" s="142"/>
      <c r="G2208" s="142"/>
      <c r="H2208" s="141"/>
      <c r="I2208" s="8"/>
    </row>
    <row r="2209" spans="2:9" ht="15" hidden="1" customHeight="1" x14ac:dyDescent="0.25">
      <c r="B2209" s="7"/>
      <c r="C2209" s="140">
        <v>2181</v>
      </c>
      <c r="D2209" s="142"/>
      <c r="E2209" s="142"/>
      <c r="F2209" s="142"/>
      <c r="G2209" s="142"/>
      <c r="H2209" s="141"/>
      <c r="I2209" s="8"/>
    </row>
    <row r="2210" spans="2:9" ht="15" hidden="1" customHeight="1" x14ac:dyDescent="0.25">
      <c r="B2210" s="7"/>
      <c r="C2210" s="140">
        <v>2182</v>
      </c>
      <c r="D2210" s="142"/>
      <c r="E2210" s="142"/>
      <c r="F2210" s="142"/>
      <c r="G2210" s="142"/>
      <c r="H2210" s="141"/>
      <c r="I2210" s="8"/>
    </row>
    <row r="2211" spans="2:9" ht="15" hidden="1" customHeight="1" x14ac:dyDescent="0.25">
      <c r="B2211" s="7"/>
      <c r="C2211" s="140">
        <v>2183</v>
      </c>
      <c r="D2211" s="142"/>
      <c r="E2211" s="142"/>
      <c r="F2211" s="142"/>
      <c r="G2211" s="142"/>
      <c r="H2211" s="141"/>
      <c r="I2211" s="8"/>
    </row>
    <row r="2212" spans="2:9" ht="15" hidden="1" customHeight="1" x14ac:dyDescent="0.25">
      <c r="B2212" s="7"/>
      <c r="C2212" s="140">
        <v>2184</v>
      </c>
      <c r="D2212" s="142"/>
      <c r="E2212" s="142"/>
      <c r="F2212" s="142"/>
      <c r="G2212" s="142"/>
      <c r="H2212" s="141"/>
      <c r="I2212" s="8"/>
    </row>
    <row r="2213" spans="2:9" ht="15" hidden="1" customHeight="1" x14ac:dyDescent="0.25">
      <c r="B2213" s="7"/>
      <c r="C2213" s="140">
        <v>2185</v>
      </c>
      <c r="D2213" s="142"/>
      <c r="E2213" s="142"/>
      <c r="F2213" s="142"/>
      <c r="G2213" s="142"/>
      <c r="H2213" s="141"/>
      <c r="I2213" s="8"/>
    </row>
    <row r="2214" spans="2:9" ht="15" hidden="1" customHeight="1" x14ac:dyDescent="0.25">
      <c r="B2214" s="7"/>
      <c r="C2214" s="140">
        <v>2186</v>
      </c>
      <c r="D2214" s="142"/>
      <c r="E2214" s="142"/>
      <c r="F2214" s="142"/>
      <c r="G2214" s="142"/>
      <c r="H2214" s="141"/>
      <c r="I2214" s="8"/>
    </row>
    <row r="2215" spans="2:9" ht="15" hidden="1" customHeight="1" x14ac:dyDescent="0.25">
      <c r="B2215" s="7"/>
      <c r="C2215" s="140">
        <v>2187</v>
      </c>
      <c r="D2215" s="142"/>
      <c r="E2215" s="142"/>
      <c r="F2215" s="142"/>
      <c r="G2215" s="142"/>
      <c r="H2215" s="141"/>
      <c r="I2215" s="8"/>
    </row>
    <row r="2216" spans="2:9" ht="15" hidden="1" customHeight="1" x14ac:dyDescent="0.25">
      <c r="B2216" s="7"/>
      <c r="C2216" s="140">
        <v>2188</v>
      </c>
      <c r="D2216" s="142"/>
      <c r="E2216" s="142"/>
      <c r="F2216" s="142"/>
      <c r="G2216" s="142"/>
      <c r="H2216" s="141"/>
      <c r="I2216" s="8"/>
    </row>
    <row r="2217" spans="2:9" ht="15" hidden="1" customHeight="1" x14ac:dyDescent="0.25">
      <c r="B2217" s="7"/>
      <c r="C2217" s="140">
        <v>2189</v>
      </c>
      <c r="D2217" s="142"/>
      <c r="E2217" s="142"/>
      <c r="F2217" s="142"/>
      <c r="G2217" s="142"/>
      <c r="H2217" s="141"/>
      <c r="I2217" s="8"/>
    </row>
    <row r="2218" spans="2:9" ht="15" hidden="1" customHeight="1" x14ac:dyDescent="0.25">
      <c r="B2218" s="7"/>
      <c r="C2218" s="140">
        <v>2190</v>
      </c>
      <c r="D2218" s="142"/>
      <c r="E2218" s="142"/>
      <c r="F2218" s="142"/>
      <c r="G2218" s="142"/>
      <c r="H2218" s="141"/>
      <c r="I2218" s="8"/>
    </row>
    <row r="2219" spans="2:9" ht="15" hidden="1" customHeight="1" x14ac:dyDescent="0.25">
      <c r="B2219" s="7"/>
      <c r="C2219" s="140">
        <v>2191</v>
      </c>
      <c r="D2219" s="142"/>
      <c r="E2219" s="142"/>
      <c r="F2219" s="142"/>
      <c r="G2219" s="142"/>
      <c r="H2219" s="141"/>
      <c r="I2219" s="8"/>
    </row>
    <row r="2220" spans="2:9" ht="15" hidden="1" customHeight="1" x14ac:dyDescent="0.25">
      <c r="B2220" s="7"/>
      <c r="C2220" s="140">
        <v>2192</v>
      </c>
      <c r="D2220" s="142"/>
      <c r="E2220" s="142"/>
      <c r="F2220" s="142"/>
      <c r="G2220" s="142"/>
      <c r="H2220" s="141"/>
      <c r="I2220" s="8"/>
    </row>
    <row r="2221" spans="2:9" ht="15" hidden="1" customHeight="1" x14ac:dyDescent="0.25">
      <c r="B2221" s="7"/>
      <c r="C2221" s="140">
        <v>2193</v>
      </c>
      <c r="D2221" s="142"/>
      <c r="E2221" s="142"/>
      <c r="F2221" s="142"/>
      <c r="G2221" s="142"/>
      <c r="H2221" s="141"/>
      <c r="I2221" s="8"/>
    </row>
    <row r="2222" spans="2:9" ht="15" hidden="1" customHeight="1" x14ac:dyDescent="0.25">
      <c r="B2222" s="7"/>
      <c r="C2222" s="140">
        <v>2194</v>
      </c>
      <c r="D2222" s="142"/>
      <c r="E2222" s="142"/>
      <c r="F2222" s="142"/>
      <c r="G2222" s="142"/>
      <c r="H2222" s="141"/>
      <c r="I2222" s="8"/>
    </row>
    <row r="2223" spans="2:9" ht="15" hidden="1" customHeight="1" x14ac:dyDescent="0.25">
      <c r="B2223" s="7"/>
      <c r="C2223" s="140">
        <v>2195</v>
      </c>
      <c r="D2223" s="142"/>
      <c r="E2223" s="142"/>
      <c r="F2223" s="142"/>
      <c r="G2223" s="142"/>
      <c r="H2223" s="141"/>
      <c r="I2223" s="8"/>
    </row>
    <row r="2224" spans="2:9" ht="15" hidden="1" customHeight="1" x14ac:dyDescent="0.25">
      <c r="B2224" s="7"/>
      <c r="C2224" s="140">
        <v>2196</v>
      </c>
      <c r="D2224" s="142"/>
      <c r="E2224" s="142"/>
      <c r="F2224" s="142"/>
      <c r="G2224" s="142"/>
      <c r="H2224" s="141"/>
      <c r="I2224" s="8"/>
    </row>
    <row r="2225" spans="2:9" ht="15" hidden="1" customHeight="1" x14ac:dyDescent="0.25">
      <c r="B2225" s="7"/>
      <c r="C2225" s="140">
        <v>2197</v>
      </c>
      <c r="D2225" s="142"/>
      <c r="E2225" s="142"/>
      <c r="F2225" s="142"/>
      <c r="G2225" s="142"/>
      <c r="H2225" s="141"/>
      <c r="I2225" s="8"/>
    </row>
    <row r="2226" spans="2:9" ht="15" hidden="1" customHeight="1" x14ac:dyDescent="0.25">
      <c r="B2226" s="7"/>
      <c r="C2226" s="140">
        <v>2198</v>
      </c>
      <c r="D2226" s="142"/>
      <c r="E2226" s="142"/>
      <c r="F2226" s="142"/>
      <c r="G2226" s="142"/>
      <c r="H2226" s="141"/>
      <c r="I2226" s="8"/>
    </row>
    <row r="2227" spans="2:9" ht="15" hidden="1" customHeight="1" x14ac:dyDescent="0.25">
      <c r="B2227" s="7"/>
      <c r="C2227" s="140">
        <v>2199</v>
      </c>
      <c r="D2227" s="142"/>
      <c r="E2227" s="142"/>
      <c r="F2227" s="142"/>
      <c r="G2227" s="142"/>
      <c r="H2227" s="141"/>
      <c r="I2227" s="8"/>
    </row>
    <row r="2228" spans="2:9" ht="15" hidden="1" customHeight="1" x14ac:dyDescent="0.25">
      <c r="B2228" s="7"/>
      <c r="C2228" s="140">
        <v>2200</v>
      </c>
      <c r="D2228" s="142"/>
      <c r="E2228" s="142"/>
      <c r="F2228" s="142"/>
      <c r="G2228" s="142"/>
      <c r="H2228" s="141"/>
      <c r="I2228" s="8"/>
    </row>
    <row r="2229" spans="2:9" ht="15" hidden="1" customHeight="1" x14ac:dyDescent="0.25">
      <c r="B2229" s="7"/>
      <c r="C2229" s="140">
        <v>2201</v>
      </c>
      <c r="D2229" s="142"/>
      <c r="E2229" s="142"/>
      <c r="F2229" s="142"/>
      <c r="G2229" s="142"/>
      <c r="H2229" s="141"/>
      <c r="I2229" s="8"/>
    </row>
    <row r="2230" spans="2:9" ht="15" hidden="1" customHeight="1" x14ac:dyDescent="0.25">
      <c r="B2230" s="7"/>
      <c r="C2230" s="140">
        <v>2202</v>
      </c>
      <c r="D2230" s="142"/>
      <c r="E2230" s="142"/>
      <c r="F2230" s="142"/>
      <c r="G2230" s="142"/>
      <c r="H2230" s="141"/>
      <c r="I2230" s="8"/>
    </row>
    <row r="2231" spans="2:9" ht="15" hidden="1" customHeight="1" x14ac:dyDescent="0.25">
      <c r="B2231" s="7"/>
      <c r="C2231" s="140">
        <v>2203</v>
      </c>
      <c r="D2231" s="142"/>
      <c r="E2231" s="142"/>
      <c r="F2231" s="142"/>
      <c r="G2231" s="142"/>
      <c r="H2231" s="141"/>
      <c r="I2231" s="8"/>
    </row>
    <row r="2232" spans="2:9" ht="15" hidden="1" customHeight="1" x14ac:dyDescent="0.25">
      <c r="B2232" s="7"/>
      <c r="C2232" s="140">
        <v>2204</v>
      </c>
      <c r="D2232" s="142"/>
      <c r="E2232" s="142"/>
      <c r="F2232" s="142"/>
      <c r="G2232" s="142"/>
      <c r="H2232" s="141"/>
      <c r="I2232" s="8"/>
    </row>
    <row r="2233" spans="2:9" ht="15" hidden="1" customHeight="1" x14ac:dyDescent="0.25">
      <c r="B2233" s="7"/>
      <c r="C2233" s="140">
        <v>2205</v>
      </c>
      <c r="D2233" s="142"/>
      <c r="E2233" s="142"/>
      <c r="F2233" s="142"/>
      <c r="G2233" s="142"/>
      <c r="H2233" s="141"/>
      <c r="I2233" s="8"/>
    </row>
    <row r="2234" spans="2:9" ht="15" hidden="1" customHeight="1" x14ac:dyDescent="0.25">
      <c r="B2234" s="7"/>
      <c r="C2234" s="140">
        <v>2206</v>
      </c>
      <c r="D2234" s="142"/>
      <c r="E2234" s="142"/>
      <c r="F2234" s="142"/>
      <c r="G2234" s="142"/>
      <c r="H2234" s="141"/>
      <c r="I2234" s="8"/>
    </row>
    <row r="2235" spans="2:9" ht="15" hidden="1" customHeight="1" x14ac:dyDescent="0.25">
      <c r="B2235" s="7"/>
      <c r="C2235" s="140">
        <v>2207</v>
      </c>
      <c r="D2235" s="142"/>
      <c r="E2235" s="142"/>
      <c r="F2235" s="142"/>
      <c r="G2235" s="142"/>
      <c r="H2235" s="141"/>
      <c r="I2235" s="8"/>
    </row>
    <row r="2236" spans="2:9" ht="15" hidden="1" customHeight="1" x14ac:dyDescent="0.25">
      <c r="B2236" s="7"/>
      <c r="C2236" s="140">
        <v>2208</v>
      </c>
      <c r="D2236" s="142"/>
      <c r="E2236" s="142"/>
      <c r="F2236" s="142"/>
      <c r="G2236" s="142"/>
      <c r="H2236" s="141"/>
      <c r="I2236" s="8"/>
    </row>
    <row r="2237" spans="2:9" ht="15" hidden="1" customHeight="1" x14ac:dyDescent="0.25">
      <c r="B2237" s="7"/>
      <c r="C2237" s="140">
        <v>2209</v>
      </c>
      <c r="D2237" s="142"/>
      <c r="E2237" s="142"/>
      <c r="F2237" s="142"/>
      <c r="G2237" s="142"/>
      <c r="H2237" s="141"/>
      <c r="I2237" s="8"/>
    </row>
    <row r="2238" spans="2:9" ht="15" hidden="1" customHeight="1" x14ac:dyDescent="0.25">
      <c r="B2238" s="7"/>
      <c r="C2238" s="140">
        <v>2210</v>
      </c>
      <c r="D2238" s="142"/>
      <c r="E2238" s="142"/>
      <c r="F2238" s="142"/>
      <c r="G2238" s="142"/>
      <c r="H2238" s="141"/>
      <c r="I2238" s="8"/>
    </row>
    <row r="2239" spans="2:9" ht="15" hidden="1" customHeight="1" x14ac:dyDescent="0.25">
      <c r="B2239" s="7"/>
      <c r="C2239" s="140">
        <v>2211</v>
      </c>
      <c r="D2239" s="142"/>
      <c r="E2239" s="142"/>
      <c r="F2239" s="142"/>
      <c r="G2239" s="142"/>
      <c r="H2239" s="141"/>
      <c r="I2239" s="8"/>
    </row>
    <row r="2240" spans="2:9" ht="15" hidden="1" customHeight="1" x14ac:dyDescent="0.25">
      <c r="B2240" s="7"/>
      <c r="C2240" s="140">
        <v>2212</v>
      </c>
      <c r="D2240" s="142"/>
      <c r="E2240" s="142"/>
      <c r="F2240" s="142"/>
      <c r="G2240" s="142"/>
      <c r="H2240" s="141"/>
      <c r="I2240" s="8"/>
    </row>
    <row r="2241" spans="2:9" ht="15" hidden="1" customHeight="1" x14ac:dyDescent="0.25">
      <c r="B2241" s="7"/>
      <c r="C2241" s="140">
        <v>2213</v>
      </c>
      <c r="D2241" s="142"/>
      <c r="E2241" s="142"/>
      <c r="F2241" s="142"/>
      <c r="G2241" s="142"/>
      <c r="H2241" s="141"/>
      <c r="I2241" s="8"/>
    </row>
    <row r="2242" spans="2:9" ht="15" hidden="1" customHeight="1" x14ac:dyDescent="0.25">
      <c r="B2242" s="7"/>
      <c r="C2242" s="140">
        <v>2214</v>
      </c>
      <c r="D2242" s="142"/>
      <c r="E2242" s="142"/>
      <c r="F2242" s="142"/>
      <c r="G2242" s="142"/>
      <c r="H2242" s="141"/>
      <c r="I2242" s="8"/>
    </row>
    <row r="2243" spans="2:9" ht="15" hidden="1" customHeight="1" x14ac:dyDescent="0.25">
      <c r="B2243" s="7"/>
      <c r="C2243" s="140">
        <v>2215</v>
      </c>
      <c r="D2243" s="142"/>
      <c r="E2243" s="142"/>
      <c r="F2243" s="142"/>
      <c r="G2243" s="142"/>
      <c r="H2243" s="141"/>
      <c r="I2243" s="8"/>
    </row>
    <row r="2244" spans="2:9" ht="15" hidden="1" customHeight="1" x14ac:dyDescent="0.25">
      <c r="B2244" s="7"/>
      <c r="C2244" s="140">
        <v>2216</v>
      </c>
      <c r="D2244" s="142"/>
      <c r="E2244" s="142"/>
      <c r="F2244" s="142"/>
      <c r="G2244" s="142"/>
      <c r="H2244" s="141"/>
      <c r="I2244" s="8"/>
    </row>
    <row r="2245" spans="2:9" ht="15" hidden="1" customHeight="1" x14ac:dyDescent="0.25">
      <c r="B2245" s="7"/>
      <c r="C2245" s="140">
        <v>2217</v>
      </c>
      <c r="D2245" s="142"/>
      <c r="E2245" s="142"/>
      <c r="F2245" s="142"/>
      <c r="G2245" s="142"/>
      <c r="H2245" s="141"/>
      <c r="I2245" s="8"/>
    </row>
    <row r="2246" spans="2:9" ht="15" hidden="1" customHeight="1" x14ac:dyDescent="0.25">
      <c r="B2246" s="7"/>
      <c r="C2246" s="140">
        <v>2218</v>
      </c>
      <c r="D2246" s="142"/>
      <c r="E2246" s="142"/>
      <c r="F2246" s="142"/>
      <c r="G2246" s="142"/>
      <c r="H2246" s="141"/>
      <c r="I2246" s="8"/>
    </row>
    <row r="2247" spans="2:9" ht="15" hidden="1" customHeight="1" x14ac:dyDescent="0.25">
      <c r="B2247" s="7"/>
      <c r="C2247" s="140">
        <v>2219</v>
      </c>
      <c r="D2247" s="142"/>
      <c r="E2247" s="142"/>
      <c r="F2247" s="142"/>
      <c r="G2247" s="142"/>
      <c r="H2247" s="141"/>
      <c r="I2247" s="8"/>
    </row>
    <row r="2248" spans="2:9" ht="15" hidden="1" customHeight="1" x14ac:dyDescent="0.25">
      <c r="B2248" s="7"/>
      <c r="C2248" s="140">
        <v>2220</v>
      </c>
      <c r="D2248" s="142"/>
      <c r="E2248" s="142"/>
      <c r="F2248" s="142"/>
      <c r="G2248" s="142"/>
      <c r="H2248" s="141"/>
      <c r="I2248" s="8"/>
    </row>
    <row r="2249" spans="2:9" ht="15" hidden="1" customHeight="1" x14ac:dyDescent="0.25">
      <c r="B2249" s="7"/>
      <c r="C2249" s="140">
        <v>2221</v>
      </c>
      <c r="D2249" s="142"/>
      <c r="E2249" s="142"/>
      <c r="F2249" s="142"/>
      <c r="G2249" s="142"/>
      <c r="H2249" s="141"/>
      <c r="I2249" s="8"/>
    </row>
    <row r="2250" spans="2:9" ht="15" hidden="1" customHeight="1" x14ac:dyDescent="0.25">
      <c r="B2250" s="7"/>
      <c r="C2250" s="140">
        <v>2222</v>
      </c>
      <c r="D2250" s="142"/>
      <c r="E2250" s="142"/>
      <c r="F2250" s="142"/>
      <c r="G2250" s="142"/>
      <c r="H2250" s="141"/>
      <c r="I2250" s="8"/>
    </row>
    <row r="2251" spans="2:9" ht="15" hidden="1" customHeight="1" x14ac:dyDescent="0.25">
      <c r="B2251" s="7"/>
      <c r="C2251" s="140">
        <v>2223</v>
      </c>
      <c r="D2251" s="142"/>
      <c r="E2251" s="142"/>
      <c r="F2251" s="142"/>
      <c r="G2251" s="142"/>
      <c r="H2251" s="141"/>
      <c r="I2251" s="8"/>
    </row>
    <row r="2252" spans="2:9" ht="15" hidden="1" customHeight="1" x14ac:dyDescent="0.25">
      <c r="B2252" s="7"/>
      <c r="C2252" s="140">
        <v>2224</v>
      </c>
      <c r="D2252" s="142"/>
      <c r="E2252" s="142"/>
      <c r="F2252" s="142"/>
      <c r="G2252" s="142"/>
      <c r="H2252" s="141"/>
      <c r="I2252" s="8"/>
    </row>
    <row r="2253" spans="2:9" ht="15" hidden="1" customHeight="1" x14ac:dyDescent="0.25">
      <c r="B2253" s="7"/>
      <c r="C2253" s="140">
        <v>2225</v>
      </c>
      <c r="D2253" s="142"/>
      <c r="E2253" s="142"/>
      <c r="F2253" s="142"/>
      <c r="G2253" s="142"/>
      <c r="H2253" s="141"/>
      <c r="I2253" s="8"/>
    </row>
    <row r="2254" spans="2:9" ht="15" hidden="1" customHeight="1" x14ac:dyDescent="0.25">
      <c r="B2254" s="7"/>
      <c r="C2254" s="140">
        <v>2226</v>
      </c>
      <c r="D2254" s="142"/>
      <c r="E2254" s="142"/>
      <c r="F2254" s="142"/>
      <c r="G2254" s="142"/>
      <c r="H2254" s="141"/>
      <c r="I2254" s="8"/>
    </row>
    <row r="2255" spans="2:9" ht="15" hidden="1" customHeight="1" x14ac:dyDescent="0.25">
      <c r="B2255" s="7"/>
      <c r="C2255" s="140">
        <v>2227</v>
      </c>
      <c r="D2255" s="142"/>
      <c r="E2255" s="142"/>
      <c r="F2255" s="142"/>
      <c r="G2255" s="142"/>
      <c r="H2255" s="141"/>
      <c r="I2255" s="8"/>
    </row>
    <row r="2256" spans="2:9" ht="15" hidden="1" customHeight="1" x14ac:dyDescent="0.25">
      <c r="B2256" s="7"/>
      <c r="C2256" s="140">
        <v>2228</v>
      </c>
      <c r="D2256" s="142"/>
      <c r="E2256" s="142"/>
      <c r="F2256" s="142"/>
      <c r="G2256" s="142"/>
      <c r="H2256" s="141"/>
      <c r="I2256" s="8"/>
    </row>
    <row r="2257" spans="2:9" ht="15" hidden="1" customHeight="1" x14ac:dyDescent="0.25">
      <c r="B2257" s="7"/>
      <c r="C2257" s="140">
        <v>2229</v>
      </c>
      <c r="D2257" s="142"/>
      <c r="E2257" s="142"/>
      <c r="F2257" s="142"/>
      <c r="G2257" s="142"/>
      <c r="H2257" s="141"/>
      <c r="I2257" s="8"/>
    </row>
    <row r="2258" spans="2:9" ht="15" hidden="1" customHeight="1" x14ac:dyDescent="0.25">
      <c r="B2258" s="7"/>
      <c r="C2258" s="140">
        <v>2230</v>
      </c>
      <c r="D2258" s="142"/>
      <c r="E2258" s="142"/>
      <c r="F2258" s="142"/>
      <c r="G2258" s="142"/>
      <c r="H2258" s="141"/>
      <c r="I2258" s="8"/>
    </row>
    <row r="2259" spans="2:9" ht="15" hidden="1" customHeight="1" x14ac:dyDescent="0.25">
      <c r="B2259" s="7"/>
      <c r="C2259" s="140">
        <v>2231</v>
      </c>
      <c r="D2259" s="142"/>
      <c r="E2259" s="142"/>
      <c r="F2259" s="142"/>
      <c r="G2259" s="142"/>
      <c r="H2259" s="141"/>
      <c r="I2259" s="8"/>
    </row>
    <row r="2260" spans="2:9" ht="15" hidden="1" customHeight="1" x14ac:dyDescent="0.25">
      <c r="B2260" s="7"/>
      <c r="C2260" s="140">
        <v>2232</v>
      </c>
      <c r="D2260" s="142"/>
      <c r="E2260" s="142"/>
      <c r="F2260" s="142"/>
      <c r="G2260" s="142"/>
      <c r="H2260" s="141"/>
      <c r="I2260" s="8"/>
    </row>
    <row r="2261" spans="2:9" ht="15" hidden="1" customHeight="1" x14ac:dyDescent="0.25">
      <c r="B2261" s="7"/>
      <c r="C2261" s="140">
        <v>2233</v>
      </c>
      <c r="D2261" s="142"/>
      <c r="E2261" s="142"/>
      <c r="F2261" s="142"/>
      <c r="G2261" s="142"/>
      <c r="H2261" s="141"/>
      <c r="I2261" s="8"/>
    </row>
    <row r="2262" spans="2:9" ht="15" hidden="1" customHeight="1" x14ac:dyDescent="0.25">
      <c r="B2262" s="7"/>
      <c r="C2262" s="140">
        <v>2234</v>
      </c>
      <c r="D2262" s="142"/>
      <c r="E2262" s="142"/>
      <c r="F2262" s="142"/>
      <c r="G2262" s="142"/>
      <c r="H2262" s="141"/>
      <c r="I2262" s="8"/>
    </row>
    <row r="2263" spans="2:9" ht="15" hidden="1" customHeight="1" x14ac:dyDescent="0.25">
      <c r="B2263" s="7"/>
      <c r="C2263" s="140">
        <v>2235</v>
      </c>
      <c r="D2263" s="142"/>
      <c r="E2263" s="142"/>
      <c r="F2263" s="142"/>
      <c r="G2263" s="142"/>
      <c r="H2263" s="141"/>
      <c r="I2263" s="8"/>
    </row>
    <row r="2264" spans="2:9" ht="15" hidden="1" customHeight="1" x14ac:dyDescent="0.25">
      <c r="B2264" s="7"/>
      <c r="C2264" s="140">
        <v>2236</v>
      </c>
      <c r="D2264" s="142"/>
      <c r="E2264" s="142"/>
      <c r="F2264" s="142"/>
      <c r="G2264" s="142"/>
      <c r="H2264" s="141"/>
      <c r="I2264" s="8"/>
    </row>
    <row r="2265" spans="2:9" ht="15" hidden="1" customHeight="1" x14ac:dyDescent="0.25">
      <c r="B2265" s="7"/>
      <c r="C2265" s="140">
        <v>2237</v>
      </c>
      <c r="D2265" s="142"/>
      <c r="E2265" s="142"/>
      <c r="F2265" s="142"/>
      <c r="G2265" s="142"/>
      <c r="H2265" s="141"/>
      <c r="I2265" s="8"/>
    </row>
    <row r="2266" spans="2:9" ht="15" hidden="1" customHeight="1" x14ac:dyDescent="0.25">
      <c r="B2266" s="7"/>
      <c r="C2266" s="140">
        <v>2238</v>
      </c>
      <c r="D2266" s="142"/>
      <c r="E2266" s="142"/>
      <c r="F2266" s="142"/>
      <c r="G2266" s="142"/>
      <c r="H2266" s="141"/>
      <c r="I2266" s="8"/>
    </row>
    <row r="2267" spans="2:9" ht="15" hidden="1" customHeight="1" x14ac:dyDescent="0.25">
      <c r="B2267" s="7"/>
      <c r="C2267" s="140">
        <v>2239</v>
      </c>
      <c r="D2267" s="142"/>
      <c r="E2267" s="142"/>
      <c r="F2267" s="142"/>
      <c r="G2267" s="142"/>
      <c r="H2267" s="141"/>
      <c r="I2267" s="8"/>
    </row>
    <row r="2268" spans="2:9" ht="15" hidden="1" customHeight="1" x14ac:dyDescent="0.25">
      <c r="B2268" s="7"/>
      <c r="C2268" s="140">
        <v>2240</v>
      </c>
      <c r="D2268" s="142"/>
      <c r="E2268" s="142"/>
      <c r="F2268" s="142"/>
      <c r="G2268" s="142"/>
      <c r="H2268" s="141"/>
      <c r="I2268" s="8"/>
    </row>
    <row r="2269" spans="2:9" ht="15" hidden="1" customHeight="1" x14ac:dyDescent="0.25">
      <c r="B2269" s="7"/>
      <c r="C2269" s="140">
        <v>2241</v>
      </c>
      <c r="D2269" s="142"/>
      <c r="E2269" s="142"/>
      <c r="F2269" s="142"/>
      <c r="G2269" s="142"/>
      <c r="H2269" s="141"/>
      <c r="I2269" s="8"/>
    </row>
    <row r="2270" spans="2:9" ht="15" hidden="1" customHeight="1" x14ac:dyDescent="0.25">
      <c r="B2270" s="7"/>
      <c r="C2270" s="140">
        <v>2242</v>
      </c>
      <c r="D2270" s="142"/>
      <c r="E2270" s="142"/>
      <c r="F2270" s="142"/>
      <c r="G2270" s="142"/>
      <c r="H2270" s="141"/>
      <c r="I2270" s="8"/>
    </row>
    <row r="2271" spans="2:9" ht="15" hidden="1" customHeight="1" x14ac:dyDescent="0.25">
      <c r="B2271" s="7"/>
      <c r="C2271" s="140">
        <v>2243</v>
      </c>
      <c r="D2271" s="142"/>
      <c r="E2271" s="142"/>
      <c r="F2271" s="142"/>
      <c r="G2271" s="142"/>
      <c r="H2271" s="141"/>
      <c r="I2271" s="8"/>
    </row>
    <row r="2272" spans="2:9" ht="15" hidden="1" customHeight="1" x14ac:dyDescent="0.25">
      <c r="B2272" s="7"/>
      <c r="C2272" s="140">
        <v>2244</v>
      </c>
      <c r="D2272" s="142"/>
      <c r="E2272" s="142"/>
      <c r="F2272" s="142"/>
      <c r="G2272" s="142"/>
      <c r="H2272" s="141"/>
      <c r="I2272" s="8"/>
    </row>
    <row r="2273" spans="2:9" ht="15" hidden="1" customHeight="1" x14ac:dyDescent="0.25">
      <c r="B2273" s="7"/>
      <c r="C2273" s="140">
        <v>2245</v>
      </c>
      <c r="D2273" s="142"/>
      <c r="E2273" s="142"/>
      <c r="F2273" s="142"/>
      <c r="G2273" s="142"/>
      <c r="H2273" s="141"/>
      <c r="I2273" s="8"/>
    </row>
    <row r="2274" spans="2:9" ht="15" hidden="1" customHeight="1" x14ac:dyDescent="0.25">
      <c r="B2274" s="7"/>
      <c r="C2274" s="140">
        <v>2246</v>
      </c>
      <c r="D2274" s="142"/>
      <c r="E2274" s="142"/>
      <c r="F2274" s="142"/>
      <c r="G2274" s="142"/>
      <c r="H2274" s="141"/>
      <c r="I2274" s="8"/>
    </row>
    <row r="2275" spans="2:9" ht="15" hidden="1" customHeight="1" x14ac:dyDescent="0.25">
      <c r="B2275" s="7"/>
      <c r="C2275" s="140">
        <v>2247</v>
      </c>
      <c r="D2275" s="142"/>
      <c r="E2275" s="142"/>
      <c r="F2275" s="142"/>
      <c r="G2275" s="142"/>
      <c r="H2275" s="141"/>
      <c r="I2275" s="8"/>
    </row>
    <row r="2276" spans="2:9" ht="15" hidden="1" customHeight="1" x14ac:dyDescent="0.25">
      <c r="B2276" s="7"/>
      <c r="C2276" s="140">
        <v>2248</v>
      </c>
      <c r="D2276" s="142"/>
      <c r="E2276" s="142"/>
      <c r="F2276" s="142"/>
      <c r="G2276" s="142"/>
      <c r="H2276" s="141"/>
      <c r="I2276" s="8"/>
    </row>
    <row r="2277" spans="2:9" ht="15" hidden="1" customHeight="1" x14ac:dyDescent="0.25">
      <c r="B2277" s="7"/>
      <c r="C2277" s="140">
        <v>2249</v>
      </c>
      <c r="D2277" s="142"/>
      <c r="E2277" s="142"/>
      <c r="F2277" s="142"/>
      <c r="G2277" s="142"/>
      <c r="H2277" s="141"/>
      <c r="I2277" s="8"/>
    </row>
    <row r="2278" spans="2:9" ht="15" hidden="1" customHeight="1" x14ac:dyDescent="0.25">
      <c r="B2278" s="7"/>
      <c r="C2278" s="140">
        <v>2250</v>
      </c>
      <c r="D2278" s="142"/>
      <c r="E2278" s="142"/>
      <c r="F2278" s="142"/>
      <c r="G2278" s="142"/>
      <c r="H2278" s="141"/>
      <c r="I2278" s="8"/>
    </row>
    <row r="2279" spans="2:9" ht="15" hidden="1" customHeight="1" x14ac:dyDescent="0.25">
      <c r="B2279" s="7"/>
      <c r="C2279" s="140">
        <v>2251</v>
      </c>
      <c r="D2279" s="142"/>
      <c r="E2279" s="142"/>
      <c r="F2279" s="142"/>
      <c r="G2279" s="142"/>
      <c r="H2279" s="141"/>
      <c r="I2279" s="8"/>
    </row>
    <row r="2280" spans="2:9" ht="15" hidden="1" customHeight="1" x14ac:dyDescent="0.25">
      <c r="B2280" s="7"/>
      <c r="C2280" s="140">
        <v>2252</v>
      </c>
      <c r="D2280" s="142"/>
      <c r="E2280" s="142"/>
      <c r="F2280" s="142"/>
      <c r="G2280" s="142"/>
      <c r="H2280" s="141"/>
      <c r="I2280" s="8"/>
    </row>
    <row r="2281" spans="2:9" ht="15" hidden="1" customHeight="1" x14ac:dyDescent="0.25">
      <c r="B2281" s="7"/>
      <c r="C2281" s="140">
        <v>2253</v>
      </c>
      <c r="D2281" s="142"/>
      <c r="E2281" s="142"/>
      <c r="F2281" s="142"/>
      <c r="G2281" s="142"/>
      <c r="H2281" s="141"/>
      <c r="I2281" s="8"/>
    </row>
    <row r="2282" spans="2:9" ht="15" hidden="1" customHeight="1" x14ac:dyDescent="0.25">
      <c r="B2282" s="7"/>
      <c r="C2282" s="140">
        <v>2254</v>
      </c>
      <c r="D2282" s="142"/>
      <c r="E2282" s="142"/>
      <c r="F2282" s="142"/>
      <c r="G2282" s="142"/>
      <c r="H2282" s="141"/>
      <c r="I2282" s="8"/>
    </row>
    <row r="2283" spans="2:9" ht="15" hidden="1" customHeight="1" x14ac:dyDescent="0.25">
      <c r="B2283" s="7"/>
      <c r="C2283" s="140">
        <v>2255</v>
      </c>
      <c r="D2283" s="142"/>
      <c r="E2283" s="142"/>
      <c r="F2283" s="142"/>
      <c r="G2283" s="142"/>
      <c r="H2283" s="141"/>
      <c r="I2283" s="8"/>
    </row>
    <row r="2284" spans="2:9" ht="15" hidden="1" customHeight="1" x14ac:dyDescent="0.25">
      <c r="B2284" s="7"/>
      <c r="C2284" s="140">
        <v>2256</v>
      </c>
      <c r="D2284" s="142"/>
      <c r="E2284" s="142"/>
      <c r="F2284" s="142"/>
      <c r="G2284" s="142"/>
      <c r="H2284" s="141"/>
      <c r="I2284" s="8"/>
    </row>
    <row r="2285" spans="2:9" ht="15" hidden="1" customHeight="1" x14ac:dyDescent="0.25">
      <c r="B2285" s="7"/>
      <c r="C2285" s="140">
        <v>2257</v>
      </c>
      <c r="D2285" s="142"/>
      <c r="E2285" s="142"/>
      <c r="F2285" s="142"/>
      <c r="G2285" s="142"/>
      <c r="H2285" s="141"/>
      <c r="I2285" s="8"/>
    </row>
    <row r="2286" spans="2:9" ht="15" hidden="1" customHeight="1" x14ac:dyDescent="0.25">
      <c r="B2286" s="7"/>
      <c r="C2286" s="140">
        <v>2258</v>
      </c>
      <c r="D2286" s="142"/>
      <c r="E2286" s="142"/>
      <c r="F2286" s="142"/>
      <c r="G2286" s="142"/>
      <c r="H2286" s="141"/>
      <c r="I2286" s="8"/>
    </row>
    <row r="2287" spans="2:9" ht="15" hidden="1" customHeight="1" x14ac:dyDescent="0.25">
      <c r="B2287" s="7"/>
      <c r="C2287" s="140">
        <v>2259</v>
      </c>
      <c r="D2287" s="142"/>
      <c r="E2287" s="142"/>
      <c r="F2287" s="142"/>
      <c r="G2287" s="142"/>
      <c r="H2287" s="141"/>
      <c r="I2287" s="8"/>
    </row>
    <row r="2288" spans="2:9" ht="15" hidden="1" customHeight="1" x14ac:dyDescent="0.25">
      <c r="B2288" s="7"/>
      <c r="C2288" s="140">
        <v>2260</v>
      </c>
      <c r="D2288" s="142"/>
      <c r="E2288" s="142"/>
      <c r="F2288" s="142"/>
      <c r="G2288" s="142"/>
      <c r="H2288" s="141"/>
      <c r="I2288" s="8"/>
    </row>
    <row r="2289" spans="2:9" ht="15" hidden="1" customHeight="1" x14ac:dyDescent="0.25">
      <c r="B2289" s="7"/>
      <c r="C2289" s="140">
        <v>2261</v>
      </c>
      <c r="D2289" s="142"/>
      <c r="E2289" s="142"/>
      <c r="F2289" s="142"/>
      <c r="G2289" s="142"/>
      <c r="H2289" s="141"/>
      <c r="I2289" s="8"/>
    </row>
    <row r="2290" spans="2:9" ht="15" hidden="1" customHeight="1" x14ac:dyDescent="0.25">
      <c r="B2290" s="7"/>
      <c r="C2290" s="140">
        <v>2262</v>
      </c>
      <c r="D2290" s="142"/>
      <c r="E2290" s="142"/>
      <c r="F2290" s="142"/>
      <c r="G2290" s="142"/>
      <c r="H2290" s="141"/>
      <c r="I2290" s="8"/>
    </row>
    <row r="2291" spans="2:9" ht="15" hidden="1" customHeight="1" x14ac:dyDescent="0.25">
      <c r="B2291" s="7"/>
      <c r="C2291" s="140">
        <v>2263</v>
      </c>
      <c r="D2291" s="142"/>
      <c r="E2291" s="142"/>
      <c r="F2291" s="142"/>
      <c r="G2291" s="142"/>
      <c r="H2291" s="141"/>
      <c r="I2291" s="8"/>
    </row>
    <row r="2292" spans="2:9" ht="15" hidden="1" customHeight="1" x14ac:dyDescent="0.25">
      <c r="B2292" s="7"/>
      <c r="C2292" s="140">
        <v>2264</v>
      </c>
      <c r="D2292" s="142"/>
      <c r="E2292" s="142"/>
      <c r="F2292" s="142"/>
      <c r="G2292" s="142"/>
      <c r="H2292" s="141"/>
      <c r="I2292" s="8"/>
    </row>
    <row r="2293" spans="2:9" ht="15" hidden="1" customHeight="1" x14ac:dyDescent="0.25">
      <c r="B2293" s="7"/>
      <c r="C2293" s="140">
        <v>2265</v>
      </c>
      <c r="D2293" s="142"/>
      <c r="E2293" s="142"/>
      <c r="F2293" s="142"/>
      <c r="G2293" s="142"/>
      <c r="H2293" s="141"/>
      <c r="I2293" s="8"/>
    </row>
    <row r="2294" spans="2:9" ht="15" hidden="1" customHeight="1" x14ac:dyDescent="0.25">
      <c r="B2294" s="7"/>
      <c r="C2294" s="140">
        <v>2266</v>
      </c>
      <c r="D2294" s="142"/>
      <c r="E2294" s="142"/>
      <c r="F2294" s="142"/>
      <c r="G2294" s="142"/>
      <c r="H2294" s="141"/>
      <c r="I2294" s="8"/>
    </row>
    <row r="2295" spans="2:9" ht="15" hidden="1" customHeight="1" x14ac:dyDescent="0.25">
      <c r="B2295" s="7"/>
      <c r="C2295" s="140">
        <v>2267</v>
      </c>
      <c r="D2295" s="142"/>
      <c r="E2295" s="142"/>
      <c r="F2295" s="142"/>
      <c r="G2295" s="142"/>
      <c r="H2295" s="141"/>
      <c r="I2295" s="8"/>
    </row>
    <row r="2296" spans="2:9" ht="15" hidden="1" customHeight="1" x14ac:dyDescent="0.25">
      <c r="B2296" s="7"/>
      <c r="C2296" s="140">
        <v>2268</v>
      </c>
      <c r="D2296" s="142"/>
      <c r="E2296" s="142"/>
      <c r="F2296" s="142"/>
      <c r="G2296" s="142"/>
      <c r="H2296" s="141"/>
      <c r="I2296" s="8"/>
    </row>
    <row r="2297" spans="2:9" ht="15" hidden="1" customHeight="1" x14ac:dyDescent="0.25">
      <c r="B2297" s="7"/>
      <c r="C2297" s="140">
        <v>2269</v>
      </c>
      <c r="D2297" s="142"/>
      <c r="E2297" s="142"/>
      <c r="F2297" s="142"/>
      <c r="G2297" s="142"/>
      <c r="H2297" s="141"/>
      <c r="I2297" s="8"/>
    </row>
    <row r="2298" spans="2:9" ht="15" hidden="1" customHeight="1" x14ac:dyDescent="0.25">
      <c r="B2298" s="7"/>
      <c r="C2298" s="140">
        <v>2270</v>
      </c>
      <c r="D2298" s="142"/>
      <c r="E2298" s="142"/>
      <c r="F2298" s="142"/>
      <c r="G2298" s="142"/>
      <c r="H2298" s="141"/>
      <c r="I2298" s="8"/>
    </row>
    <row r="2299" spans="2:9" ht="15" hidden="1" customHeight="1" x14ac:dyDescent="0.25">
      <c r="B2299" s="7"/>
      <c r="C2299" s="140">
        <v>2271</v>
      </c>
      <c r="D2299" s="142"/>
      <c r="E2299" s="142"/>
      <c r="F2299" s="142"/>
      <c r="G2299" s="142"/>
      <c r="H2299" s="141"/>
      <c r="I2299" s="8"/>
    </row>
    <row r="2300" spans="2:9" ht="15" hidden="1" customHeight="1" x14ac:dyDescent="0.25">
      <c r="B2300" s="7"/>
      <c r="C2300" s="140">
        <v>2272</v>
      </c>
      <c r="D2300" s="142"/>
      <c r="E2300" s="142"/>
      <c r="F2300" s="142"/>
      <c r="G2300" s="142"/>
      <c r="H2300" s="141"/>
      <c r="I2300" s="8"/>
    </row>
    <row r="2301" spans="2:9" ht="15" hidden="1" customHeight="1" x14ac:dyDescent="0.25">
      <c r="B2301" s="7"/>
      <c r="C2301" s="140">
        <v>2273</v>
      </c>
      <c r="D2301" s="142"/>
      <c r="E2301" s="142"/>
      <c r="F2301" s="142"/>
      <c r="G2301" s="142"/>
      <c r="H2301" s="141"/>
      <c r="I2301" s="8"/>
    </row>
    <row r="2302" spans="2:9" ht="15" hidden="1" customHeight="1" x14ac:dyDescent="0.25">
      <c r="B2302" s="7"/>
      <c r="C2302" s="140">
        <v>2274</v>
      </c>
      <c r="D2302" s="142"/>
      <c r="E2302" s="142"/>
      <c r="F2302" s="142"/>
      <c r="G2302" s="142"/>
      <c r="H2302" s="141"/>
      <c r="I2302" s="8"/>
    </row>
    <row r="2303" spans="2:9" ht="15" hidden="1" customHeight="1" x14ac:dyDescent="0.25">
      <c r="B2303" s="7"/>
      <c r="C2303" s="140">
        <v>2275</v>
      </c>
      <c r="D2303" s="142"/>
      <c r="E2303" s="142"/>
      <c r="F2303" s="142"/>
      <c r="G2303" s="142"/>
      <c r="H2303" s="141"/>
      <c r="I2303" s="8"/>
    </row>
    <row r="2304" spans="2:9" ht="15" hidden="1" customHeight="1" x14ac:dyDescent="0.25">
      <c r="B2304" s="7"/>
      <c r="C2304" s="140">
        <v>2276</v>
      </c>
      <c r="D2304" s="142"/>
      <c r="E2304" s="142"/>
      <c r="F2304" s="142"/>
      <c r="G2304" s="142"/>
      <c r="H2304" s="141"/>
      <c r="I2304" s="8"/>
    </row>
    <row r="2305" spans="2:9" ht="15" hidden="1" customHeight="1" x14ac:dyDescent="0.25">
      <c r="B2305" s="7"/>
      <c r="C2305" s="140">
        <v>2277</v>
      </c>
      <c r="D2305" s="142"/>
      <c r="E2305" s="142"/>
      <c r="F2305" s="142"/>
      <c r="G2305" s="142"/>
      <c r="H2305" s="141"/>
      <c r="I2305" s="8"/>
    </row>
    <row r="2306" spans="2:9" ht="15" hidden="1" customHeight="1" x14ac:dyDescent="0.25">
      <c r="B2306" s="7"/>
      <c r="C2306" s="140">
        <v>2278</v>
      </c>
      <c r="D2306" s="142"/>
      <c r="E2306" s="142"/>
      <c r="F2306" s="142"/>
      <c r="G2306" s="142"/>
      <c r="H2306" s="141"/>
      <c r="I2306" s="8"/>
    </row>
    <row r="2307" spans="2:9" ht="15" hidden="1" customHeight="1" x14ac:dyDescent="0.25">
      <c r="B2307" s="7"/>
      <c r="C2307" s="140">
        <v>2279</v>
      </c>
      <c r="D2307" s="142"/>
      <c r="E2307" s="142"/>
      <c r="F2307" s="142"/>
      <c r="G2307" s="142"/>
      <c r="H2307" s="141"/>
      <c r="I2307" s="8"/>
    </row>
    <row r="2308" spans="2:9" ht="15" hidden="1" customHeight="1" x14ac:dyDescent="0.25">
      <c r="B2308" s="7"/>
      <c r="C2308" s="140">
        <v>2280</v>
      </c>
      <c r="D2308" s="142"/>
      <c r="E2308" s="142"/>
      <c r="F2308" s="142"/>
      <c r="G2308" s="142"/>
      <c r="H2308" s="141"/>
      <c r="I2308" s="8"/>
    </row>
    <row r="2309" spans="2:9" ht="15" hidden="1" customHeight="1" x14ac:dyDescent="0.25">
      <c r="B2309" s="7"/>
      <c r="C2309" s="140">
        <v>2281</v>
      </c>
      <c r="D2309" s="142"/>
      <c r="E2309" s="142"/>
      <c r="F2309" s="142"/>
      <c r="G2309" s="142"/>
      <c r="H2309" s="141"/>
      <c r="I2309" s="8"/>
    </row>
    <row r="2310" spans="2:9" ht="15" hidden="1" customHeight="1" x14ac:dyDescent="0.25">
      <c r="B2310" s="7"/>
      <c r="C2310" s="140">
        <v>2282</v>
      </c>
      <c r="D2310" s="142"/>
      <c r="E2310" s="142"/>
      <c r="F2310" s="142"/>
      <c r="G2310" s="142"/>
      <c r="H2310" s="141"/>
      <c r="I2310" s="8"/>
    </row>
    <row r="2311" spans="2:9" ht="15" hidden="1" customHeight="1" x14ac:dyDescent="0.25">
      <c r="B2311" s="7"/>
      <c r="C2311" s="140">
        <v>2283</v>
      </c>
      <c r="D2311" s="142"/>
      <c r="E2311" s="142"/>
      <c r="F2311" s="142"/>
      <c r="G2311" s="142"/>
      <c r="H2311" s="141"/>
      <c r="I2311" s="8"/>
    </row>
    <row r="2312" spans="2:9" ht="15" hidden="1" customHeight="1" x14ac:dyDescent="0.25">
      <c r="B2312" s="7"/>
      <c r="C2312" s="140">
        <v>2284</v>
      </c>
      <c r="D2312" s="142"/>
      <c r="E2312" s="142"/>
      <c r="F2312" s="142"/>
      <c r="G2312" s="142"/>
      <c r="H2312" s="141"/>
      <c r="I2312" s="8"/>
    </row>
    <row r="2313" spans="2:9" ht="15" hidden="1" customHeight="1" x14ac:dyDescent="0.25">
      <c r="B2313" s="7"/>
      <c r="C2313" s="140">
        <v>2285</v>
      </c>
      <c r="D2313" s="142"/>
      <c r="E2313" s="142"/>
      <c r="F2313" s="142"/>
      <c r="G2313" s="142"/>
      <c r="H2313" s="141"/>
      <c r="I2313" s="8"/>
    </row>
    <row r="2314" spans="2:9" ht="15" hidden="1" customHeight="1" x14ac:dyDescent="0.25">
      <c r="B2314" s="7"/>
      <c r="C2314" s="140">
        <v>2286</v>
      </c>
      <c r="D2314" s="142"/>
      <c r="E2314" s="142"/>
      <c r="F2314" s="142"/>
      <c r="G2314" s="142"/>
      <c r="H2314" s="141"/>
      <c r="I2314" s="8"/>
    </row>
    <row r="2315" spans="2:9" ht="15" hidden="1" customHeight="1" x14ac:dyDescent="0.25">
      <c r="B2315" s="7"/>
      <c r="C2315" s="140">
        <v>2287</v>
      </c>
      <c r="D2315" s="142"/>
      <c r="E2315" s="142"/>
      <c r="F2315" s="142"/>
      <c r="G2315" s="142"/>
      <c r="H2315" s="141"/>
      <c r="I2315" s="8"/>
    </row>
    <row r="2316" spans="2:9" ht="15" hidden="1" customHeight="1" x14ac:dyDescent="0.25">
      <c r="B2316" s="7"/>
      <c r="C2316" s="140">
        <v>2288</v>
      </c>
      <c r="D2316" s="142"/>
      <c r="E2316" s="142"/>
      <c r="F2316" s="142"/>
      <c r="G2316" s="142"/>
      <c r="H2316" s="141"/>
      <c r="I2316" s="8"/>
    </row>
    <row r="2317" spans="2:9" ht="15" hidden="1" customHeight="1" x14ac:dyDescent="0.25">
      <c r="B2317" s="7"/>
      <c r="C2317" s="140">
        <v>2289</v>
      </c>
      <c r="D2317" s="142"/>
      <c r="E2317" s="142"/>
      <c r="F2317" s="142"/>
      <c r="G2317" s="142"/>
      <c r="H2317" s="141"/>
      <c r="I2317" s="8"/>
    </row>
    <row r="2318" spans="2:9" ht="15" hidden="1" customHeight="1" x14ac:dyDescent="0.25">
      <c r="B2318" s="7"/>
      <c r="C2318" s="140">
        <v>2290</v>
      </c>
      <c r="D2318" s="142"/>
      <c r="E2318" s="142"/>
      <c r="F2318" s="142"/>
      <c r="G2318" s="142"/>
      <c r="H2318" s="141"/>
      <c r="I2318" s="8"/>
    </row>
    <row r="2319" spans="2:9" ht="15" hidden="1" customHeight="1" x14ac:dyDescent="0.25">
      <c r="B2319" s="7"/>
      <c r="C2319" s="140">
        <v>2291</v>
      </c>
      <c r="D2319" s="142"/>
      <c r="E2319" s="142"/>
      <c r="F2319" s="142"/>
      <c r="G2319" s="142"/>
      <c r="H2319" s="141"/>
      <c r="I2319" s="8"/>
    </row>
    <row r="2320" spans="2:9" ht="15" hidden="1" customHeight="1" x14ac:dyDescent="0.25">
      <c r="B2320" s="7"/>
      <c r="C2320" s="140">
        <v>2292</v>
      </c>
      <c r="D2320" s="142"/>
      <c r="E2320" s="142"/>
      <c r="F2320" s="142"/>
      <c r="G2320" s="142"/>
      <c r="H2320" s="141"/>
      <c r="I2320" s="8"/>
    </row>
    <row r="2321" spans="2:9" ht="15" hidden="1" customHeight="1" x14ac:dyDescent="0.25">
      <c r="B2321" s="7"/>
      <c r="C2321" s="140">
        <v>2293</v>
      </c>
      <c r="D2321" s="142"/>
      <c r="E2321" s="142"/>
      <c r="F2321" s="142"/>
      <c r="G2321" s="142"/>
      <c r="H2321" s="141"/>
      <c r="I2321" s="8"/>
    </row>
    <row r="2322" spans="2:9" ht="15" hidden="1" customHeight="1" x14ac:dyDescent="0.25">
      <c r="B2322" s="7"/>
      <c r="C2322" s="140">
        <v>2294</v>
      </c>
      <c r="D2322" s="142"/>
      <c r="E2322" s="142"/>
      <c r="F2322" s="142"/>
      <c r="G2322" s="142"/>
      <c r="H2322" s="141"/>
      <c r="I2322" s="8"/>
    </row>
    <row r="2323" spans="2:9" ht="15" hidden="1" customHeight="1" x14ac:dyDescent="0.25">
      <c r="B2323" s="7"/>
      <c r="C2323" s="140">
        <v>2295</v>
      </c>
      <c r="D2323" s="142"/>
      <c r="E2323" s="142"/>
      <c r="F2323" s="142"/>
      <c r="G2323" s="142"/>
      <c r="H2323" s="141"/>
      <c r="I2323" s="8"/>
    </row>
    <row r="2324" spans="2:9" ht="15" hidden="1" customHeight="1" x14ac:dyDescent="0.25">
      <c r="B2324" s="7"/>
      <c r="C2324" s="140">
        <v>2296</v>
      </c>
      <c r="D2324" s="142"/>
      <c r="E2324" s="142"/>
      <c r="F2324" s="142"/>
      <c r="G2324" s="142"/>
      <c r="H2324" s="141"/>
      <c r="I2324" s="8"/>
    </row>
    <row r="2325" spans="2:9" ht="15" hidden="1" customHeight="1" x14ac:dyDescent="0.25">
      <c r="B2325" s="7"/>
      <c r="C2325" s="140">
        <v>2297</v>
      </c>
      <c r="D2325" s="142"/>
      <c r="E2325" s="142"/>
      <c r="F2325" s="142"/>
      <c r="G2325" s="142"/>
      <c r="H2325" s="141"/>
      <c r="I2325" s="8"/>
    </row>
    <row r="2326" spans="2:9" ht="15" hidden="1" customHeight="1" x14ac:dyDescent="0.25">
      <c r="B2326" s="7"/>
      <c r="C2326" s="140">
        <v>2298</v>
      </c>
      <c r="D2326" s="142"/>
      <c r="E2326" s="142"/>
      <c r="F2326" s="142"/>
      <c r="G2326" s="142"/>
      <c r="H2326" s="141"/>
      <c r="I2326" s="8"/>
    </row>
    <row r="2327" spans="2:9" ht="15" hidden="1" customHeight="1" x14ac:dyDescent="0.25">
      <c r="B2327" s="7"/>
      <c r="C2327" s="140">
        <v>2299</v>
      </c>
      <c r="D2327" s="142"/>
      <c r="E2327" s="142"/>
      <c r="F2327" s="142"/>
      <c r="G2327" s="142"/>
      <c r="H2327" s="141"/>
      <c r="I2327" s="8"/>
    </row>
    <row r="2328" spans="2:9" ht="15" hidden="1" customHeight="1" x14ac:dyDescent="0.25">
      <c r="B2328" s="7"/>
      <c r="C2328" s="140">
        <v>2300</v>
      </c>
      <c r="D2328" s="142"/>
      <c r="E2328" s="142"/>
      <c r="F2328" s="142"/>
      <c r="G2328" s="142"/>
      <c r="H2328" s="141"/>
      <c r="I2328" s="8"/>
    </row>
    <row r="2329" spans="2:9" ht="15" hidden="1" customHeight="1" x14ac:dyDescent="0.25">
      <c r="B2329" s="7"/>
      <c r="C2329" s="140">
        <v>2301</v>
      </c>
      <c r="D2329" s="142"/>
      <c r="E2329" s="142"/>
      <c r="F2329" s="142"/>
      <c r="G2329" s="142"/>
      <c r="H2329" s="141"/>
      <c r="I2329" s="8"/>
    </row>
    <row r="2330" spans="2:9" ht="15" hidden="1" customHeight="1" x14ac:dyDescent="0.25">
      <c r="B2330" s="7"/>
      <c r="C2330" s="140">
        <v>2302</v>
      </c>
      <c r="D2330" s="142"/>
      <c r="E2330" s="142"/>
      <c r="F2330" s="142"/>
      <c r="G2330" s="142"/>
      <c r="H2330" s="141"/>
      <c r="I2330" s="8"/>
    </row>
    <row r="2331" spans="2:9" ht="15" hidden="1" customHeight="1" x14ac:dyDescent="0.25">
      <c r="B2331" s="7"/>
      <c r="C2331" s="140">
        <v>2303</v>
      </c>
      <c r="D2331" s="142"/>
      <c r="E2331" s="142"/>
      <c r="F2331" s="142"/>
      <c r="G2331" s="142"/>
      <c r="H2331" s="141"/>
      <c r="I2331" s="8"/>
    </row>
    <row r="2332" spans="2:9" ht="15" hidden="1" customHeight="1" x14ac:dyDescent="0.25">
      <c r="B2332" s="7"/>
      <c r="C2332" s="140">
        <v>2304</v>
      </c>
      <c r="D2332" s="142"/>
      <c r="E2332" s="142"/>
      <c r="F2332" s="142"/>
      <c r="G2332" s="142"/>
      <c r="H2332" s="141"/>
      <c r="I2332" s="8"/>
    </row>
    <row r="2333" spans="2:9" ht="15" hidden="1" customHeight="1" x14ac:dyDescent="0.25">
      <c r="B2333" s="7"/>
      <c r="C2333" s="140">
        <v>2305</v>
      </c>
      <c r="D2333" s="142"/>
      <c r="E2333" s="142"/>
      <c r="F2333" s="142"/>
      <c r="G2333" s="142"/>
      <c r="H2333" s="141"/>
      <c r="I2333" s="8"/>
    </row>
    <row r="2334" spans="2:9" ht="15" hidden="1" customHeight="1" x14ac:dyDescent="0.25">
      <c r="B2334" s="7"/>
      <c r="C2334" s="140">
        <v>2306</v>
      </c>
      <c r="D2334" s="142"/>
      <c r="E2334" s="142"/>
      <c r="F2334" s="142"/>
      <c r="G2334" s="142"/>
      <c r="H2334" s="141"/>
      <c r="I2334" s="8"/>
    </row>
    <row r="2335" spans="2:9" ht="15" hidden="1" customHeight="1" x14ac:dyDescent="0.25">
      <c r="B2335" s="7"/>
      <c r="C2335" s="140">
        <v>2307</v>
      </c>
      <c r="D2335" s="142"/>
      <c r="E2335" s="142"/>
      <c r="F2335" s="142"/>
      <c r="G2335" s="142"/>
      <c r="H2335" s="141"/>
      <c r="I2335" s="8"/>
    </row>
    <row r="2336" spans="2:9" ht="15" hidden="1" customHeight="1" x14ac:dyDescent="0.25">
      <c r="B2336" s="7"/>
      <c r="C2336" s="140">
        <v>2308</v>
      </c>
      <c r="D2336" s="142"/>
      <c r="E2336" s="142"/>
      <c r="F2336" s="142"/>
      <c r="G2336" s="142"/>
      <c r="H2336" s="141"/>
      <c r="I2336" s="8"/>
    </row>
    <row r="2337" spans="2:9" ht="15" hidden="1" customHeight="1" x14ac:dyDescent="0.25">
      <c r="B2337" s="7"/>
      <c r="C2337" s="140">
        <v>2309</v>
      </c>
      <c r="D2337" s="142"/>
      <c r="E2337" s="142"/>
      <c r="F2337" s="142"/>
      <c r="G2337" s="142"/>
      <c r="H2337" s="141"/>
      <c r="I2337" s="8"/>
    </row>
    <row r="2338" spans="2:9" ht="15" hidden="1" customHeight="1" x14ac:dyDescent="0.25">
      <c r="B2338" s="7"/>
      <c r="C2338" s="140">
        <v>2310</v>
      </c>
      <c r="D2338" s="142"/>
      <c r="E2338" s="142"/>
      <c r="F2338" s="142"/>
      <c r="G2338" s="142"/>
      <c r="H2338" s="141"/>
      <c r="I2338" s="8"/>
    </row>
    <row r="2339" spans="2:9" ht="15" hidden="1" customHeight="1" x14ac:dyDescent="0.25">
      <c r="B2339" s="7"/>
      <c r="C2339" s="140">
        <v>2311</v>
      </c>
      <c r="D2339" s="142"/>
      <c r="E2339" s="142"/>
      <c r="F2339" s="142"/>
      <c r="G2339" s="142"/>
      <c r="H2339" s="141"/>
      <c r="I2339" s="8"/>
    </row>
    <row r="2340" spans="2:9" ht="15" hidden="1" customHeight="1" x14ac:dyDescent="0.25">
      <c r="B2340" s="7"/>
      <c r="C2340" s="140">
        <v>2312</v>
      </c>
      <c r="D2340" s="142"/>
      <c r="E2340" s="142"/>
      <c r="F2340" s="142"/>
      <c r="G2340" s="142"/>
      <c r="H2340" s="141"/>
      <c r="I2340" s="8"/>
    </row>
    <row r="2341" spans="2:9" ht="15" hidden="1" customHeight="1" x14ac:dyDescent="0.25">
      <c r="B2341" s="7"/>
      <c r="C2341" s="140">
        <v>2313</v>
      </c>
      <c r="D2341" s="142"/>
      <c r="E2341" s="142"/>
      <c r="F2341" s="142"/>
      <c r="G2341" s="142"/>
      <c r="H2341" s="141"/>
      <c r="I2341" s="8"/>
    </row>
    <row r="2342" spans="2:9" ht="15" hidden="1" customHeight="1" x14ac:dyDescent="0.25">
      <c r="B2342" s="7"/>
      <c r="C2342" s="140">
        <v>2314</v>
      </c>
      <c r="D2342" s="142"/>
      <c r="E2342" s="142"/>
      <c r="F2342" s="142"/>
      <c r="G2342" s="142"/>
      <c r="H2342" s="141"/>
      <c r="I2342" s="8"/>
    </row>
    <row r="2343" spans="2:9" ht="15" hidden="1" customHeight="1" x14ac:dyDescent="0.25">
      <c r="B2343" s="7"/>
      <c r="C2343" s="140">
        <v>2315</v>
      </c>
      <c r="D2343" s="142"/>
      <c r="E2343" s="142"/>
      <c r="F2343" s="142"/>
      <c r="G2343" s="142"/>
      <c r="H2343" s="141"/>
      <c r="I2343" s="8"/>
    </row>
    <row r="2344" spans="2:9" ht="15" hidden="1" customHeight="1" x14ac:dyDescent="0.25">
      <c r="B2344" s="7"/>
      <c r="C2344" s="140">
        <v>2316</v>
      </c>
      <c r="D2344" s="142"/>
      <c r="E2344" s="142"/>
      <c r="F2344" s="142"/>
      <c r="G2344" s="142"/>
      <c r="H2344" s="141"/>
      <c r="I2344" s="8"/>
    </row>
    <row r="2345" spans="2:9" ht="15" hidden="1" customHeight="1" x14ac:dyDescent="0.25">
      <c r="B2345" s="7"/>
      <c r="C2345" s="140">
        <v>2317</v>
      </c>
      <c r="D2345" s="142"/>
      <c r="E2345" s="142"/>
      <c r="F2345" s="142"/>
      <c r="G2345" s="142"/>
      <c r="H2345" s="141"/>
      <c r="I2345" s="8"/>
    </row>
    <row r="2346" spans="2:9" ht="15" hidden="1" customHeight="1" x14ac:dyDescent="0.25">
      <c r="B2346" s="7"/>
      <c r="C2346" s="140">
        <v>2318</v>
      </c>
      <c r="D2346" s="142"/>
      <c r="E2346" s="142"/>
      <c r="F2346" s="142"/>
      <c r="G2346" s="142"/>
      <c r="H2346" s="141"/>
      <c r="I2346" s="8"/>
    </row>
    <row r="2347" spans="2:9" ht="15" hidden="1" customHeight="1" x14ac:dyDescent="0.25">
      <c r="B2347" s="7"/>
      <c r="C2347" s="140">
        <v>2319</v>
      </c>
      <c r="D2347" s="142"/>
      <c r="E2347" s="142"/>
      <c r="F2347" s="142"/>
      <c r="G2347" s="142"/>
      <c r="H2347" s="141"/>
      <c r="I2347" s="8"/>
    </row>
    <row r="2348" spans="2:9" ht="15" hidden="1" customHeight="1" x14ac:dyDescent="0.25">
      <c r="B2348" s="7"/>
      <c r="C2348" s="140">
        <v>2320</v>
      </c>
      <c r="D2348" s="142"/>
      <c r="E2348" s="142"/>
      <c r="F2348" s="142"/>
      <c r="G2348" s="142"/>
      <c r="H2348" s="141"/>
      <c r="I2348" s="8"/>
    </row>
    <row r="2349" spans="2:9" ht="15" hidden="1" customHeight="1" x14ac:dyDescent="0.25">
      <c r="B2349" s="7"/>
      <c r="C2349" s="140">
        <v>2321</v>
      </c>
      <c r="D2349" s="142"/>
      <c r="E2349" s="142"/>
      <c r="F2349" s="142"/>
      <c r="G2349" s="142"/>
      <c r="H2349" s="141"/>
      <c r="I2349" s="8"/>
    </row>
    <row r="2350" spans="2:9" ht="15" hidden="1" customHeight="1" x14ac:dyDescent="0.25">
      <c r="B2350" s="7"/>
      <c r="C2350" s="140">
        <v>2322</v>
      </c>
      <c r="D2350" s="142"/>
      <c r="E2350" s="142"/>
      <c r="F2350" s="142"/>
      <c r="G2350" s="142"/>
      <c r="H2350" s="141"/>
      <c r="I2350" s="8"/>
    </row>
    <row r="2351" spans="2:9" ht="15" hidden="1" customHeight="1" x14ac:dyDescent="0.25">
      <c r="B2351" s="7"/>
      <c r="C2351" s="140">
        <v>2323</v>
      </c>
      <c r="D2351" s="142"/>
      <c r="E2351" s="142"/>
      <c r="F2351" s="142"/>
      <c r="G2351" s="142"/>
      <c r="H2351" s="141"/>
      <c r="I2351" s="8"/>
    </row>
    <row r="2352" spans="2:9" ht="15" hidden="1" customHeight="1" x14ac:dyDescent="0.25">
      <c r="B2352" s="7"/>
      <c r="C2352" s="140">
        <v>2324</v>
      </c>
      <c r="D2352" s="142"/>
      <c r="E2352" s="142"/>
      <c r="F2352" s="142"/>
      <c r="G2352" s="142"/>
      <c r="H2352" s="141"/>
      <c r="I2352" s="8"/>
    </row>
    <row r="2353" spans="2:9" ht="15" hidden="1" customHeight="1" x14ac:dyDescent="0.25">
      <c r="B2353" s="7"/>
      <c r="C2353" s="140">
        <v>2325</v>
      </c>
      <c r="D2353" s="142"/>
      <c r="E2353" s="142"/>
      <c r="F2353" s="142"/>
      <c r="G2353" s="142"/>
      <c r="H2353" s="141"/>
      <c r="I2353" s="8"/>
    </row>
    <row r="2354" spans="2:9" ht="15" hidden="1" customHeight="1" x14ac:dyDescent="0.25">
      <c r="B2354" s="7"/>
      <c r="C2354" s="140">
        <v>2326</v>
      </c>
      <c r="D2354" s="142"/>
      <c r="E2354" s="142"/>
      <c r="F2354" s="142"/>
      <c r="G2354" s="142"/>
      <c r="H2354" s="141"/>
      <c r="I2354" s="8"/>
    </row>
    <row r="2355" spans="2:9" ht="15" hidden="1" customHeight="1" x14ac:dyDescent="0.25">
      <c r="B2355" s="7"/>
      <c r="C2355" s="140">
        <v>2327</v>
      </c>
      <c r="D2355" s="142"/>
      <c r="E2355" s="142"/>
      <c r="F2355" s="142"/>
      <c r="G2355" s="142"/>
      <c r="H2355" s="141"/>
      <c r="I2355" s="8"/>
    </row>
    <row r="2356" spans="2:9" ht="15" hidden="1" customHeight="1" x14ac:dyDescent="0.25">
      <c r="B2356" s="7"/>
      <c r="C2356" s="140">
        <v>2328</v>
      </c>
      <c r="D2356" s="142"/>
      <c r="E2356" s="142"/>
      <c r="F2356" s="142"/>
      <c r="G2356" s="142"/>
      <c r="H2356" s="141"/>
      <c r="I2356" s="8"/>
    </row>
    <row r="2357" spans="2:9" ht="15" hidden="1" customHeight="1" x14ac:dyDescent="0.25">
      <c r="B2357" s="7"/>
      <c r="C2357" s="140">
        <v>2329</v>
      </c>
      <c r="D2357" s="142"/>
      <c r="E2357" s="142"/>
      <c r="F2357" s="142"/>
      <c r="G2357" s="142"/>
      <c r="H2357" s="141"/>
      <c r="I2357" s="8"/>
    </row>
    <row r="2358" spans="2:9" ht="15" hidden="1" customHeight="1" x14ac:dyDescent="0.25">
      <c r="B2358" s="7"/>
      <c r="C2358" s="140">
        <v>2330</v>
      </c>
      <c r="D2358" s="142"/>
      <c r="E2358" s="142"/>
      <c r="F2358" s="142"/>
      <c r="G2358" s="142"/>
      <c r="H2358" s="141"/>
      <c r="I2358" s="8"/>
    </row>
    <row r="2359" spans="2:9" ht="15" hidden="1" customHeight="1" x14ac:dyDescent="0.25">
      <c r="B2359" s="7"/>
      <c r="C2359" s="140">
        <v>2331</v>
      </c>
      <c r="D2359" s="142"/>
      <c r="E2359" s="142"/>
      <c r="F2359" s="142"/>
      <c r="G2359" s="142"/>
      <c r="H2359" s="141"/>
      <c r="I2359" s="8"/>
    </row>
    <row r="2360" spans="2:9" ht="15" hidden="1" customHeight="1" x14ac:dyDescent="0.25">
      <c r="B2360" s="7"/>
      <c r="C2360" s="140">
        <v>2332</v>
      </c>
      <c r="D2360" s="142"/>
      <c r="E2360" s="142"/>
      <c r="F2360" s="142"/>
      <c r="G2360" s="142"/>
      <c r="H2360" s="141"/>
      <c r="I2360" s="8"/>
    </row>
    <row r="2361" spans="2:9" ht="15" hidden="1" customHeight="1" x14ac:dyDescent="0.25">
      <c r="B2361" s="7"/>
      <c r="C2361" s="140">
        <v>2333</v>
      </c>
      <c r="D2361" s="142"/>
      <c r="E2361" s="142"/>
      <c r="F2361" s="142"/>
      <c r="G2361" s="142"/>
      <c r="H2361" s="141"/>
      <c r="I2361" s="8"/>
    </row>
    <row r="2362" spans="2:9" ht="15" hidden="1" customHeight="1" x14ac:dyDescent="0.25">
      <c r="B2362" s="7"/>
      <c r="C2362" s="140">
        <v>2334</v>
      </c>
      <c r="D2362" s="142"/>
      <c r="E2362" s="142"/>
      <c r="F2362" s="142"/>
      <c r="G2362" s="142"/>
      <c r="H2362" s="141"/>
      <c r="I2362" s="8"/>
    </row>
    <row r="2363" spans="2:9" ht="15" hidden="1" customHeight="1" x14ac:dyDescent="0.25">
      <c r="B2363" s="7"/>
      <c r="C2363" s="140">
        <v>2335</v>
      </c>
      <c r="D2363" s="142"/>
      <c r="E2363" s="142"/>
      <c r="F2363" s="142"/>
      <c r="G2363" s="142"/>
      <c r="H2363" s="141"/>
      <c r="I2363" s="8"/>
    </row>
    <row r="2364" spans="2:9" ht="15" hidden="1" customHeight="1" x14ac:dyDescent="0.25">
      <c r="B2364" s="7"/>
      <c r="C2364" s="140">
        <v>2336</v>
      </c>
      <c r="D2364" s="142"/>
      <c r="E2364" s="142"/>
      <c r="F2364" s="142"/>
      <c r="G2364" s="142"/>
      <c r="H2364" s="141"/>
      <c r="I2364" s="8"/>
    </row>
    <row r="2365" spans="2:9" ht="15" hidden="1" customHeight="1" x14ac:dyDescent="0.25">
      <c r="B2365" s="7"/>
      <c r="C2365" s="140">
        <v>2337</v>
      </c>
      <c r="D2365" s="142"/>
      <c r="E2365" s="142"/>
      <c r="F2365" s="142"/>
      <c r="G2365" s="142"/>
      <c r="H2365" s="141"/>
      <c r="I2365" s="8"/>
    </row>
    <row r="2366" spans="2:9" ht="15" hidden="1" customHeight="1" x14ac:dyDescent="0.25">
      <c r="B2366" s="7"/>
      <c r="C2366" s="140">
        <v>2338</v>
      </c>
      <c r="D2366" s="142"/>
      <c r="E2366" s="142"/>
      <c r="F2366" s="142"/>
      <c r="G2366" s="142"/>
      <c r="H2366" s="141"/>
      <c r="I2366" s="8"/>
    </row>
    <row r="2367" spans="2:9" ht="15" hidden="1" customHeight="1" x14ac:dyDescent="0.25">
      <c r="B2367" s="7"/>
      <c r="C2367" s="140">
        <v>2339</v>
      </c>
      <c r="D2367" s="142"/>
      <c r="E2367" s="142"/>
      <c r="F2367" s="142"/>
      <c r="G2367" s="142"/>
      <c r="H2367" s="141"/>
      <c r="I2367" s="8"/>
    </row>
    <row r="2368" spans="2:9" ht="15" hidden="1" customHeight="1" x14ac:dyDescent="0.25">
      <c r="B2368" s="7"/>
      <c r="C2368" s="140">
        <v>2340</v>
      </c>
      <c r="D2368" s="142"/>
      <c r="E2368" s="142"/>
      <c r="F2368" s="142"/>
      <c r="G2368" s="142"/>
      <c r="H2368" s="141"/>
      <c r="I2368" s="8"/>
    </row>
    <row r="2369" spans="2:9" ht="15" hidden="1" customHeight="1" x14ac:dyDescent="0.25">
      <c r="B2369" s="7"/>
      <c r="C2369" s="140">
        <v>2341</v>
      </c>
      <c r="D2369" s="142"/>
      <c r="E2369" s="142"/>
      <c r="F2369" s="142"/>
      <c r="G2369" s="142"/>
      <c r="H2369" s="141"/>
      <c r="I2369" s="8"/>
    </row>
    <row r="2370" spans="2:9" ht="15" hidden="1" customHeight="1" x14ac:dyDescent="0.25">
      <c r="B2370" s="7"/>
      <c r="C2370" s="140">
        <v>2342</v>
      </c>
      <c r="D2370" s="142"/>
      <c r="E2370" s="142"/>
      <c r="F2370" s="142"/>
      <c r="G2370" s="142"/>
      <c r="H2370" s="141"/>
      <c r="I2370" s="8"/>
    </row>
    <row r="2371" spans="2:9" ht="15" hidden="1" customHeight="1" x14ac:dyDescent="0.25">
      <c r="B2371" s="7"/>
      <c r="C2371" s="140">
        <v>2343</v>
      </c>
      <c r="D2371" s="142"/>
      <c r="E2371" s="142"/>
      <c r="F2371" s="142"/>
      <c r="G2371" s="142"/>
      <c r="H2371" s="141"/>
      <c r="I2371" s="8"/>
    </row>
    <row r="2372" spans="2:9" ht="15" hidden="1" customHeight="1" x14ac:dyDescent="0.25">
      <c r="B2372" s="7"/>
      <c r="C2372" s="140">
        <v>2344</v>
      </c>
      <c r="D2372" s="142"/>
      <c r="E2372" s="142"/>
      <c r="F2372" s="142"/>
      <c r="G2372" s="142"/>
      <c r="H2372" s="141"/>
      <c r="I2372" s="8"/>
    </row>
    <row r="2373" spans="2:9" ht="15" hidden="1" customHeight="1" x14ac:dyDescent="0.25">
      <c r="B2373" s="7"/>
      <c r="C2373" s="140">
        <v>2345</v>
      </c>
      <c r="D2373" s="142"/>
      <c r="E2373" s="142"/>
      <c r="F2373" s="142"/>
      <c r="G2373" s="142"/>
      <c r="H2373" s="141"/>
      <c r="I2373" s="8"/>
    </row>
    <row r="2374" spans="2:9" ht="15" hidden="1" customHeight="1" x14ac:dyDescent="0.25">
      <c r="B2374" s="7"/>
      <c r="C2374" s="140">
        <v>2346</v>
      </c>
      <c r="D2374" s="142"/>
      <c r="E2374" s="142"/>
      <c r="F2374" s="142"/>
      <c r="G2374" s="142"/>
      <c r="H2374" s="141"/>
      <c r="I2374" s="8"/>
    </row>
    <row r="2375" spans="2:9" ht="15" hidden="1" customHeight="1" x14ac:dyDescent="0.25">
      <c r="B2375" s="7"/>
      <c r="C2375" s="140">
        <v>2347</v>
      </c>
      <c r="D2375" s="142"/>
      <c r="E2375" s="142"/>
      <c r="F2375" s="142"/>
      <c r="G2375" s="142"/>
      <c r="H2375" s="141"/>
      <c r="I2375" s="8"/>
    </row>
    <row r="2376" spans="2:9" ht="15" hidden="1" customHeight="1" x14ac:dyDescent="0.25">
      <c r="B2376" s="7"/>
      <c r="C2376" s="140">
        <v>2348</v>
      </c>
      <c r="D2376" s="142"/>
      <c r="E2376" s="142"/>
      <c r="F2376" s="142"/>
      <c r="G2376" s="142"/>
      <c r="H2376" s="141"/>
      <c r="I2376" s="8"/>
    </row>
    <row r="2377" spans="2:9" ht="15" hidden="1" customHeight="1" x14ac:dyDescent="0.25">
      <c r="B2377" s="7"/>
      <c r="C2377" s="140">
        <v>2349</v>
      </c>
      <c r="D2377" s="142"/>
      <c r="E2377" s="142"/>
      <c r="F2377" s="142"/>
      <c r="G2377" s="142"/>
      <c r="H2377" s="141"/>
      <c r="I2377" s="8"/>
    </row>
    <row r="2378" spans="2:9" ht="15" hidden="1" customHeight="1" x14ac:dyDescent="0.25">
      <c r="B2378" s="7"/>
      <c r="C2378" s="140">
        <v>2350</v>
      </c>
      <c r="D2378" s="142"/>
      <c r="E2378" s="142"/>
      <c r="F2378" s="142"/>
      <c r="G2378" s="142"/>
      <c r="H2378" s="141"/>
      <c r="I2378" s="8"/>
    </row>
    <row r="2379" spans="2:9" ht="15" hidden="1" customHeight="1" x14ac:dyDescent="0.25">
      <c r="B2379" s="7"/>
      <c r="C2379" s="140">
        <v>2351</v>
      </c>
      <c r="D2379" s="142"/>
      <c r="E2379" s="142"/>
      <c r="F2379" s="142"/>
      <c r="G2379" s="142"/>
      <c r="H2379" s="141"/>
      <c r="I2379" s="8"/>
    </row>
    <row r="2380" spans="2:9" ht="15" hidden="1" customHeight="1" x14ac:dyDescent="0.25">
      <c r="B2380" s="7"/>
      <c r="C2380" s="140">
        <v>2352</v>
      </c>
      <c r="D2380" s="142"/>
      <c r="E2380" s="142"/>
      <c r="F2380" s="142"/>
      <c r="G2380" s="142"/>
      <c r="H2380" s="141"/>
      <c r="I2380" s="8"/>
    </row>
    <row r="2381" spans="2:9" ht="15" hidden="1" customHeight="1" x14ac:dyDescent="0.25">
      <c r="B2381" s="7"/>
      <c r="C2381" s="140">
        <v>2353</v>
      </c>
      <c r="D2381" s="142"/>
      <c r="E2381" s="142"/>
      <c r="F2381" s="142"/>
      <c r="G2381" s="142"/>
      <c r="H2381" s="141"/>
      <c r="I2381" s="8"/>
    </row>
    <row r="2382" spans="2:9" ht="15" hidden="1" customHeight="1" x14ac:dyDescent="0.25">
      <c r="B2382" s="7"/>
      <c r="C2382" s="140">
        <v>2354</v>
      </c>
      <c r="D2382" s="142"/>
      <c r="E2382" s="142"/>
      <c r="F2382" s="142"/>
      <c r="G2382" s="142"/>
      <c r="H2382" s="141"/>
      <c r="I2382" s="8"/>
    </row>
    <row r="2383" spans="2:9" ht="15" hidden="1" customHeight="1" x14ac:dyDescent="0.25">
      <c r="B2383" s="7"/>
      <c r="C2383" s="140">
        <v>2355</v>
      </c>
      <c r="D2383" s="142"/>
      <c r="E2383" s="142"/>
      <c r="F2383" s="142"/>
      <c r="G2383" s="142"/>
      <c r="H2383" s="141"/>
      <c r="I2383" s="8"/>
    </row>
    <row r="2384" spans="2:9" ht="15" hidden="1" customHeight="1" x14ac:dyDescent="0.25">
      <c r="B2384" s="7"/>
      <c r="C2384" s="140">
        <v>2356</v>
      </c>
      <c r="D2384" s="142"/>
      <c r="E2384" s="142"/>
      <c r="F2384" s="142"/>
      <c r="G2384" s="142"/>
      <c r="H2384" s="141"/>
      <c r="I2384" s="8"/>
    </row>
    <row r="2385" spans="2:9" ht="15" hidden="1" customHeight="1" x14ac:dyDescent="0.25">
      <c r="B2385" s="7"/>
      <c r="C2385" s="140">
        <v>2357</v>
      </c>
      <c r="D2385" s="142"/>
      <c r="E2385" s="142"/>
      <c r="F2385" s="142"/>
      <c r="G2385" s="142"/>
      <c r="H2385" s="141"/>
      <c r="I2385" s="8"/>
    </row>
    <row r="2386" spans="2:9" ht="15" hidden="1" customHeight="1" x14ac:dyDescent="0.25">
      <c r="B2386" s="7"/>
      <c r="C2386" s="140">
        <v>2358</v>
      </c>
      <c r="D2386" s="142"/>
      <c r="E2386" s="142"/>
      <c r="F2386" s="142"/>
      <c r="G2386" s="142"/>
      <c r="H2386" s="141"/>
      <c r="I2386" s="8"/>
    </row>
    <row r="2387" spans="2:9" ht="15" hidden="1" customHeight="1" x14ac:dyDescent="0.25">
      <c r="B2387" s="7"/>
      <c r="C2387" s="140">
        <v>2359</v>
      </c>
      <c r="D2387" s="142"/>
      <c r="E2387" s="142"/>
      <c r="F2387" s="142"/>
      <c r="G2387" s="142"/>
      <c r="H2387" s="141"/>
      <c r="I2387" s="8"/>
    </row>
    <row r="2388" spans="2:9" ht="15" hidden="1" customHeight="1" x14ac:dyDescent="0.25">
      <c r="B2388" s="7"/>
      <c r="C2388" s="140">
        <v>2360</v>
      </c>
      <c r="D2388" s="142"/>
      <c r="E2388" s="142"/>
      <c r="F2388" s="142"/>
      <c r="G2388" s="142"/>
      <c r="H2388" s="141"/>
      <c r="I2388" s="8"/>
    </row>
    <row r="2389" spans="2:9" ht="15" hidden="1" customHeight="1" x14ac:dyDescent="0.25">
      <c r="B2389" s="7"/>
      <c r="C2389" s="140">
        <v>2361</v>
      </c>
      <c r="D2389" s="142"/>
      <c r="E2389" s="142"/>
      <c r="F2389" s="142"/>
      <c r="G2389" s="142"/>
      <c r="H2389" s="141"/>
      <c r="I2389" s="8"/>
    </row>
    <row r="2390" spans="2:9" ht="15" hidden="1" customHeight="1" x14ac:dyDescent="0.25">
      <c r="B2390" s="7"/>
      <c r="C2390" s="140">
        <v>2362</v>
      </c>
      <c r="D2390" s="142"/>
      <c r="E2390" s="142"/>
      <c r="F2390" s="142"/>
      <c r="G2390" s="142"/>
      <c r="H2390" s="141"/>
      <c r="I2390" s="8"/>
    </row>
    <row r="2391" spans="2:9" ht="15" hidden="1" customHeight="1" x14ac:dyDescent="0.25">
      <c r="B2391" s="7"/>
      <c r="C2391" s="140">
        <v>2363</v>
      </c>
      <c r="D2391" s="142"/>
      <c r="E2391" s="142"/>
      <c r="F2391" s="142"/>
      <c r="G2391" s="142"/>
      <c r="H2391" s="141"/>
      <c r="I2391" s="8"/>
    </row>
    <row r="2392" spans="2:9" ht="15" hidden="1" customHeight="1" x14ac:dyDescent="0.25">
      <c r="B2392" s="7"/>
      <c r="C2392" s="140">
        <v>2364</v>
      </c>
      <c r="D2392" s="142"/>
      <c r="E2392" s="142"/>
      <c r="F2392" s="142"/>
      <c r="G2392" s="142"/>
      <c r="H2392" s="141"/>
      <c r="I2392" s="8"/>
    </row>
    <row r="2393" spans="2:9" ht="15" hidden="1" customHeight="1" x14ac:dyDescent="0.25">
      <c r="B2393" s="7"/>
      <c r="C2393" s="140">
        <v>2365</v>
      </c>
      <c r="D2393" s="142"/>
      <c r="E2393" s="142"/>
      <c r="F2393" s="142"/>
      <c r="G2393" s="142"/>
      <c r="H2393" s="141"/>
      <c r="I2393" s="8"/>
    </row>
    <row r="2394" spans="2:9" ht="15" hidden="1" customHeight="1" x14ac:dyDescent="0.25">
      <c r="B2394" s="7"/>
      <c r="C2394" s="140">
        <v>2366</v>
      </c>
      <c r="D2394" s="142"/>
      <c r="E2394" s="142"/>
      <c r="F2394" s="142"/>
      <c r="G2394" s="142"/>
      <c r="H2394" s="141"/>
      <c r="I2394" s="8"/>
    </row>
    <row r="2395" spans="2:9" ht="15" hidden="1" customHeight="1" x14ac:dyDescent="0.25">
      <c r="B2395" s="7"/>
      <c r="C2395" s="140">
        <v>2367</v>
      </c>
      <c r="D2395" s="142"/>
      <c r="E2395" s="142"/>
      <c r="F2395" s="142"/>
      <c r="G2395" s="142"/>
      <c r="H2395" s="141"/>
      <c r="I2395" s="8"/>
    </row>
    <row r="2396" spans="2:9" ht="15" hidden="1" customHeight="1" x14ac:dyDescent="0.25">
      <c r="B2396" s="7"/>
      <c r="C2396" s="140">
        <v>2368</v>
      </c>
      <c r="D2396" s="142"/>
      <c r="E2396" s="142"/>
      <c r="F2396" s="142"/>
      <c r="G2396" s="142"/>
      <c r="H2396" s="141"/>
      <c r="I2396" s="8"/>
    </row>
    <row r="2397" spans="2:9" ht="15" hidden="1" customHeight="1" x14ac:dyDescent="0.25">
      <c r="B2397" s="7"/>
      <c r="C2397" s="140">
        <v>2369</v>
      </c>
      <c r="D2397" s="142"/>
      <c r="E2397" s="142"/>
      <c r="F2397" s="142"/>
      <c r="G2397" s="142"/>
      <c r="H2397" s="141"/>
      <c r="I2397" s="8"/>
    </row>
    <row r="2398" spans="2:9" ht="15" hidden="1" customHeight="1" x14ac:dyDescent="0.25">
      <c r="B2398" s="7"/>
      <c r="C2398" s="140">
        <v>2370</v>
      </c>
      <c r="D2398" s="142"/>
      <c r="E2398" s="142"/>
      <c r="F2398" s="142"/>
      <c r="G2398" s="142"/>
      <c r="H2398" s="141"/>
      <c r="I2398" s="8"/>
    </row>
    <row r="2399" spans="2:9" ht="15" hidden="1" customHeight="1" x14ac:dyDescent="0.25">
      <c r="B2399" s="7"/>
      <c r="C2399" s="140">
        <v>2371</v>
      </c>
      <c r="D2399" s="142"/>
      <c r="E2399" s="142"/>
      <c r="F2399" s="142"/>
      <c r="G2399" s="142"/>
      <c r="H2399" s="141"/>
      <c r="I2399" s="8"/>
    </row>
    <row r="2400" spans="2:9" ht="15" hidden="1" customHeight="1" x14ac:dyDescent="0.25">
      <c r="B2400" s="7"/>
      <c r="C2400" s="140">
        <v>2372</v>
      </c>
      <c r="D2400" s="142"/>
      <c r="E2400" s="142"/>
      <c r="F2400" s="142"/>
      <c r="G2400" s="142"/>
      <c r="H2400" s="141"/>
      <c r="I2400" s="8"/>
    </row>
    <row r="2401" spans="2:9" ht="15" hidden="1" customHeight="1" x14ac:dyDescent="0.25">
      <c r="B2401" s="7"/>
      <c r="C2401" s="140">
        <v>2373</v>
      </c>
      <c r="D2401" s="142"/>
      <c r="E2401" s="142"/>
      <c r="F2401" s="142"/>
      <c r="G2401" s="142"/>
      <c r="H2401" s="141"/>
      <c r="I2401" s="8"/>
    </row>
    <row r="2402" spans="2:9" ht="15" hidden="1" customHeight="1" x14ac:dyDescent="0.25">
      <c r="B2402" s="7"/>
      <c r="C2402" s="140">
        <v>2374</v>
      </c>
      <c r="D2402" s="142"/>
      <c r="E2402" s="142"/>
      <c r="F2402" s="142"/>
      <c r="G2402" s="142"/>
      <c r="H2402" s="141"/>
      <c r="I2402" s="8"/>
    </row>
    <row r="2403" spans="2:9" ht="15" hidden="1" customHeight="1" x14ac:dyDescent="0.25">
      <c r="B2403" s="7"/>
      <c r="C2403" s="140">
        <v>2375</v>
      </c>
      <c r="D2403" s="142"/>
      <c r="E2403" s="142"/>
      <c r="F2403" s="142"/>
      <c r="G2403" s="142"/>
      <c r="H2403" s="141"/>
      <c r="I2403" s="8"/>
    </row>
    <row r="2404" spans="2:9" ht="15" hidden="1" customHeight="1" x14ac:dyDescent="0.25">
      <c r="B2404" s="7"/>
      <c r="C2404" s="140">
        <v>2376</v>
      </c>
      <c r="D2404" s="142"/>
      <c r="E2404" s="142"/>
      <c r="F2404" s="142"/>
      <c r="G2404" s="142"/>
      <c r="H2404" s="141"/>
      <c r="I2404" s="8"/>
    </row>
    <row r="2405" spans="2:9" ht="15" hidden="1" customHeight="1" x14ac:dyDescent="0.25">
      <c r="B2405" s="7"/>
      <c r="C2405" s="140">
        <v>2377</v>
      </c>
      <c r="D2405" s="142"/>
      <c r="E2405" s="142"/>
      <c r="F2405" s="142"/>
      <c r="G2405" s="142"/>
      <c r="H2405" s="141"/>
      <c r="I2405" s="8"/>
    </row>
    <row r="2406" spans="2:9" ht="15" hidden="1" customHeight="1" x14ac:dyDescent="0.25">
      <c r="B2406" s="7"/>
      <c r="C2406" s="140">
        <v>2378</v>
      </c>
      <c r="D2406" s="142"/>
      <c r="E2406" s="142"/>
      <c r="F2406" s="142"/>
      <c r="G2406" s="142"/>
      <c r="H2406" s="141"/>
      <c r="I2406" s="8"/>
    </row>
    <row r="2407" spans="2:9" ht="15" hidden="1" customHeight="1" x14ac:dyDescent="0.25">
      <c r="B2407" s="7"/>
      <c r="C2407" s="140">
        <v>2379</v>
      </c>
      <c r="D2407" s="142"/>
      <c r="E2407" s="142"/>
      <c r="F2407" s="142"/>
      <c r="G2407" s="142"/>
      <c r="H2407" s="141"/>
      <c r="I2407" s="8"/>
    </row>
    <row r="2408" spans="2:9" ht="15" hidden="1" customHeight="1" x14ac:dyDescent="0.25">
      <c r="B2408" s="7"/>
      <c r="C2408" s="140">
        <v>2380</v>
      </c>
      <c r="D2408" s="142"/>
      <c r="E2408" s="142"/>
      <c r="F2408" s="142"/>
      <c r="G2408" s="142"/>
      <c r="H2408" s="141"/>
      <c r="I2408" s="8"/>
    </row>
    <row r="2409" spans="2:9" ht="15" hidden="1" customHeight="1" x14ac:dyDescent="0.25">
      <c r="B2409" s="7"/>
      <c r="C2409" s="140">
        <v>2381</v>
      </c>
      <c r="D2409" s="142"/>
      <c r="E2409" s="142"/>
      <c r="F2409" s="142"/>
      <c r="G2409" s="142"/>
      <c r="H2409" s="141"/>
      <c r="I2409" s="8"/>
    </row>
    <row r="2410" spans="2:9" ht="15" hidden="1" customHeight="1" x14ac:dyDescent="0.25">
      <c r="B2410" s="7"/>
      <c r="C2410" s="140">
        <v>2382</v>
      </c>
      <c r="D2410" s="142"/>
      <c r="E2410" s="142"/>
      <c r="F2410" s="142"/>
      <c r="G2410" s="142"/>
      <c r="H2410" s="141"/>
      <c r="I2410" s="8"/>
    </row>
    <row r="2411" spans="2:9" ht="15" hidden="1" customHeight="1" x14ac:dyDescent="0.25">
      <c r="B2411" s="7"/>
      <c r="C2411" s="140">
        <v>2383</v>
      </c>
      <c r="D2411" s="142"/>
      <c r="E2411" s="142"/>
      <c r="F2411" s="142"/>
      <c r="G2411" s="142"/>
      <c r="H2411" s="141"/>
      <c r="I2411" s="8"/>
    </row>
    <row r="2412" spans="2:9" ht="15" hidden="1" customHeight="1" x14ac:dyDescent="0.25">
      <c r="B2412" s="7"/>
      <c r="C2412" s="140">
        <v>2384</v>
      </c>
      <c r="D2412" s="142"/>
      <c r="E2412" s="142"/>
      <c r="F2412" s="142"/>
      <c r="G2412" s="142"/>
      <c r="H2412" s="141"/>
      <c r="I2412" s="8"/>
    </row>
    <row r="2413" spans="2:9" ht="15" hidden="1" customHeight="1" x14ac:dyDescent="0.25">
      <c r="B2413" s="7"/>
      <c r="C2413" s="140">
        <v>2385</v>
      </c>
      <c r="D2413" s="142"/>
      <c r="E2413" s="142"/>
      <c r="F2413" s="142"/>
      <c r="G2413" s="142"/>
      <c r="H2413" s="141"/>
      <c r="I2413" s="8"/>
    </row>
    <row r="2414" spans="2:9" ht="15" hidden="1" customHeight="1" x14ac:dyDescent="0.25">
      <c r="B2414" s="7"/>
      <c r="C2414" s="140">
        <v>2386</v>
      </c>
      <c r="D2414" s="142"/>
      <c r="E2414" s="142"/>
      <c r="F2414" s="142"/>
      <c r="G2414" s="142"/>
      <c r="H2414" s="141"/>
      <c r="I2414" s="8"/>
    </row>
    <row r="2415" spans="2:9" ht="15" hidden="1" customHeight="1" x14ac:dyDescent="0.25">
      <c r="B2415" s="7"/>
      <c r="C2415" s="140">
        <v>2387</v>
      </c>
      <c r="D2415" s="142"/>
      <c r="E2415" s="142"/>
      <c r="F2415" s="142"/>
      <c r="G2415" s="142"/>
      <c r="H2415" s="141"/>
      <c r="I2415" s="8"/>
    </row>
    <row r="2416" spans="2:9" ht="15" hidden="1" customHeight="1" x14ac:dyDescent="0.25">
      <c r="B2416" s="7"/>
      <c r="C2416" s="140">
        <v>2388</v>
      </c>
      <c r="D2416" s="142"/>
      <c r="E2416" s="142"/>
      <c r="F2416" s="142"/>
      <c r="G2416" s="142"/>
      <c r="H2416" s="141"/>
      <c r="I2416" s="8"/>
    </row>
    <row r="2417" spans="2:9" ht="15" hidden="1" customHeight="1" x14ac:dyDescent="0.25">
      <c r="B2417" s="7"/>
      <c r="C2417" s="140">
        <v>2389</v>
      </c>
      <c r="D2417" s="142"/>
      <c r="E2417" s="142"/>
      <c r="F2417" s="142"/>
      <c r="G2417" s="142"/>
      <c r="H2417" s="141"/>
      <c r="I2417" s="8"/>
    </row>
    <row r="2418" spans="2:9" ht="15" hidden="1" customHeight="1" x14ac:dyDescent="0.25">
      <c r="B2418" s="7"/>
      <c r="C2418" s="140">
        <v>2390</v>
      </c>
      <c r="D2418" s="142"/>
      <c r="E2418" s="142"/>
      <c r="F2418" s="142"/>
      <c r="G2418" s="142"/>
      <c r="H2418" s="141"/>
      <c r="I2418" s="8"/>
    </row>
    <row r="2419" spans="2:9" ht="15" hidden="1" customHeight="1" x14ac:dyDescent="0.25">
      <c r="B2419" s="7"/>
      <c r="C2419" s="140">
        <v>2391</v>
      </c>
      <c r="D2419" s="142"/>
      <c r="E2419" s="142"/>
      <c r="F2419" s="142"/>
      <c r="G2419" s="142"/>
      <c r="H2419" s="141"/>
      <c r="I2419" s="8"/>
    </row>
    <row r="2420" spans="2:9" ht="15" hidden="1" customHeight="1" x14ac:dyDescent="0.25">
      <c r="B2420" s="7"/>
      <c r="C2420" s="140">
        <v>2392</v>
      </c>
      <c r="D2420" s="142"/>
      <c r="E2420" s="142"/>
      <c r="F2420" s="142"/>
      <c r="G2420" s="142"/>
      <c r="H2420" s="141"/>
      <c r="I2420" s="8"/>
    </row>
    <row r="2421" spans="2:9" ht="15" hidden="1" customHeight="1" x14ac:dyDescent="0.25">
      <c r="B2421" s="7"/>
      <c r="C2421" s="140">
        <v>2393</v>
      </c>
      <c r="D2421" s="142"/>
      <c r="E2421" s="142"/>
      <c r="F2421" s="142"/>
      <c r="G2421" s="142"/>
      <c r="H2421" s="141"/>
      <c r="I2421" s="8"/>
    </row>
    <row r="2422" spans="2:9" ht="15" hidden="1" customHeight="1" x14ac:dyDescent="0.25">
      <c r="B2422" s="7"/>
      <c r="C2422" s="140">
        <v>2394</v>
      </c>
      <c r="D2422" s="142"/>
      <c r="E2422" s="142"/>
      <c r="F2422" s="142"/>
      <c r="G2422" s="142"/>
      <c r="H2422" s="141"/>
      <c r="I2422" s="8"/>
    </row>
    <row r="2423" spans="2:9" ht="15" hidden="1" customHeight="1" x14ac:dyDescent="0.25">
      <c r="B2423" s="7"/>
      <c r="C2423" s="140">
        <v>2395</v>
      </c>
      <c r="D2423" s="142"/>
      <c r="E2423" s="142"/>
      <c r="F2423" s="142"/>
      <c r="G2423" s="142"/>
      <c r="H2423" s="141"/>
      <c r="I2423" s="8"/>
    </row>
    <row r="2424" spans="2:9" ht="15" hidden="1" customHeight="1" x14ac:dyDescent="0.25">
      <c r="B2424" s="7"/>
      <c r="C2424" s="140">
        <v>2396</v>
      </c>
      <c r="D2424" s="142"/>
      <c r="E2424" s="142"/>
      <c r="F2424" s="142"/>
      <c r="G2424" s="142"/>
      <c r="H2424" s="141"/>
      <c r="I2424" s="8"/>
    </row>
    <row r="2425" spans="2:9" ht="15" hidden="1" customHeight="1" x14ac:dyDescent="0.25">
      <c r="B2425" s="7"/>
      <c r="C2425" s="140">
        <v>2397</v>
      </c>
      <c r="D2425" s="142"/>
      <c r="E2425" s="142"/>
      <c r="F2425" s="142"/>
      <c r="G2425" s="142"/>
      <c r="H2425" s="141"/>
      <c r="I2425" s="8"/>
    </row>
    <row r="2426" spans="2:9" ht="15" hidden="1" customHeight="1" x14ac:dyDescent="0.25">
      <c r="B2426" s="7"/>
      <c r="C2426" s="140">
        <v>2398</v>
      </c>
      <c r="D2426" s="142"/>
      <c r="E2426" s="142"/>
      <c r="F2426" s="142"/>
      <c r="G2426" s="142"/>
      <c r="H2426" s="141"/>
      <c r="I2426" s="8"/>
    </row>
    <row r="2427" spans="2:9" ht="15" hidden="1" customHeight="1" x14ac:dyDescent="0.25">
      <c r="B2427" s="7"/>
      <c r="C2427" s="140">
        <v>2399</v>
      </c>
      <c r="D2427" s="142"/>
      <c r="E2427" s="142"/>
      <c r="F2427" s="142"/>
      <c r="G2427" s="142"/>
      <c r="H2427" s="141"/>
      <c r="I2427" s="8"/>
    </row>
    <row r="2428" spans="2:9" ht="15" hidden="1" customHeight="1" x14ac:dyDescent="0.25">
      <c r="B2428" s="7"/>
      <c r="C2428" s="140">
        <v>2400</v>
      </c>
      <c r="D2428" s="142"/>
      <c r="E2428" s="142"/>
      <c r="F2428" s="142"/>
      <c r="G2428" s="142"/>
      <c r="H2428" s="141"/>
      <c r="I2428" s="8"/>
    </row>
    <row r="2429" spans="2:9" ht="15" hidden="1" customHeight="1" x14ac:dyDescent="0.25">
      <c r="B2429" s="7"/>
      <c r="C2429" s="140">
        <v>2401</v>
      </c>
      <c r="D2429" s="142"/>
      <c r="E2429" s="142"/>
      <c r="F2429" s="142"/>
      <c r="G2429" s="142"/>
      <c r="H2429" s="141"/>
      <c r="I2429" s="8"/>
    </row>
    <row r="2430" spans="2:9" ht="15" hidden="1" customHeight="1" x14ac:dyDescent="0.25">
      <c r="B2430" s="7"/>
      <c r="C2430" s="140">
        <v>2402</v>
      </c>
      <c r="D2430" s="142"/>
      <c r="E2430" s="142"/>
      <c r="F2430" s="142"/>
      <c r="G2430" s="142"/>
      <c r="H2430" s="141"/>
      <c r="I2430" s="8"/>
    </row>
    <row r="2431" spans="2:9" ht="15" hidden="1" customHeight="1" x14ac:dyDescent="0.25">
      <c r="B2431" s="7"/>
      <c r="C2431" s="140">
        <v>2403</v>
      </c>
      <c r="D2431" s="142"/>
      <c r="E2431" s="142"/>
      <c r="F2431" s="142"/>
      <c r="G2431" s="142"/>
      <c r="H2431" s="141"/>
      <c r="I2431" s="8"/>
    </row>
    <row r="2432" spans="2:9" ht="15" hidden="1" customHeight="1" x14ac:dyDescent="0.25">
      <c r="B2432" s="7"/>
      <c r="C2432" s="140">
        <v>2404</v>
      </c>
      <c r="D2432" s="142"/>
      <c r="E2432" s="142"/>
      <c r="F2432" s="142"/>
      <c r="G2432" s="142"/>
      <c r="H2432" s="141"/>
      <c r="I2432" s="8"/>
    </row>
    <row r="2433" spans="2:9" ht="15" hidden="1" customHeight="1" x14ac:dyDescent="0.25">
      <c r="B2433" s="7"/>
      <c r="C2433" s="140">
        <v>2405</v>
      </c>
      <c r="D2433" s="142"/>
      <c r="E2433" s="142"/>
      <c r="F2433" s="142"/>
      <c r="G2433" s="142"/>
      <c r="H2433" s="141"/>
      <c r="I2433" s="8"/>
    </row>
    <row r="2434" spans="2:9" ht="15" hidden="1" customHeight="1" x14ac:dyDescent="0.25">
      <c r="B2434" s="7"/>
      <c r="C2434" s="140">
        <v>2406</v>
      </c>
      <c r="D2434" s="142"/>
      <c r="E2434" s="142"/>
      <c r="F2434" s="142"/>
      <c r="G2434" s="142"/>
      <c r="H2434" s="141"/>
      <c r="I2434" s="8"/>
    </row>
    <row r="2435" spans="2:9" ht="15" hidden="1" customHeight="1" x14ac:dyDescent="0.25">
      <c r="B2435" s="7"/>
      <c r="C2435" s="140">
        <v>2407</v>
      </c>
      <c r="D2435" s="142"/>
      <c r="E2435" s="142"/>
      <c r="F2435" s="142"/>
      <c r="G2435" s="142"/>
      <c r="H2435" s="141"/>
      <c r="I2435" s="8"/>
    </row>
    <row r="2436" spans="2:9" ht="15" hidden="1" customHeight="1" x14ac:dyDescent="0.25">
      <c r="B2436" s="7"/>
      <c r="C2436" s="140">
        <v>2408</v>
      </c>
      <c r="D2436" s="142"/>
      <c r="E2436" s="142"/>
      <c r="F2436" s="142"/>
      <c r="G2436" s="142"/>
      <c r="H2436" s="141"/>
      <c r="I2436" s="8"/>
    </row>
    <row r="2437" spans="2:9" ht="15" hidden="1" customHeight="1" x14ac:dyDescent="0.25">
      <c r="B2437" s="7"/>
      <c r="C2437" s="140">
        <v>2409</v>
      </c>
      <c r="D2437" s="142"/>
      <c r="E2437" s="142"/>
      <c r="F2437" s="142"/>
      <c r="G2437" s="142"/>
      <c r="H2437" s="141"/>
      <c r="I2437" s="8"/>
    </row>
    <row r="2438" spans="2:9" ht="15" hidden="1" customHeight="1" x14ac:dyDescent="0.25">
      <c r="B2438" s="7"/>
      <c r="C2438" s="140">
        <v>2410</v>
      </c>
      <c r="D2438" s="142"/>
      <c r="E2438" s="142"/>
      <c r="F2438" s="142"/>
      <c r="G2438" s="142"/>
      <c r="H2438" s="141"/>
      <c r="I2438" s="8"/>
    </row>
    <row r="2439" spans="2:9" ht="15" hidden="1" customHeight="1" x14ac:dyDescent="0.25">
      <c r="B2439" s="7"/>
      <c r="C2439" s="140">
        <v>2411</v>
      </c>
      <c r="D2439" s="142"/>
      <c r="E2439" s="142"/>
      <c r="F2439" s="142"/>
      <c r="G2439" s="142"/>
      <c r="H2439" s="141"/>
      <c r="I2439" s="8"/>
    </row>
    <row r="2440" spans="2:9" ht="15" hidden="1" customHeight="1" x14ac:dyDescent="0.25">
      <c r="B2440" s="7"/>
      <c r="C2440" s="140">
        <v>2412</v>
      </c>
      <c r="D2440" s="142"/>
      <c r="E2440" s="142"/>
      <c r="F2440" s="142"/>
      <c r="G2440" s="142"/>
      <c r="H2440" s="141"/>
      <c r="I2440" s="8"/>
    </row>
    <row r="2441" spans="2:9" ht="15" hidden="1" customHeight="1" x14ac:dyDescent="0.25">
      <c r="B2441" s="7"/>
      <c r="C2441" s="140">
        <v>2413</v>
      </c>
      <c r="D2441" s="142"/>
      <c r="E2441" s="142"/>
      <c r="F2441" s="142"/>
      <c r="G2441" s="142"/>
      <c r="H2441" s="141"/>
      <c r="I2441" s="8"/>
    </row>
    <row r="2442" spans="2:9" ht="15" hidden="1" customHeight="1" x14ac:dyDescent="0.25">
      <c r="B2442" s="7"/>
      <c r="C2442" s="140">
        <v>2414</v>
      </c>
      <c r="D2442" s="142"/>
      <c r="E2442" s="142"/>
      <c r="F2442" s="142"/>
      <c r="G2442" s="142"/>
      <c r="H2442" s="141"/>
      <c r="I2442" s="8"/>
    </row>
    <row r="2443" spans="2:9" ht="15" hidden="1" customHeight="1" x14ac:dyDescent="0.25">
      <c r="B2443" s="7"/>
      <c r="C2443" s="140">
        <v>2415</v>
      </c>
      <c r="D2443" s="142"/>
      <c r="E2443" s="142"/>
      <c r="F2443" s="142"/>
      <c r="G2443" s="142"/>
      <c r="H2443" s="141"/>
      <c r="I2443" s="8"/>
    </row>
    <row r="2444" spans="2:9" ht="15" hidden="1" customHeight="1" x14ac:dyDescent="0.25">
      <c r="B2444" s="7"/>
      <c r="C2444" s="140">
        <v>2416</v>
      </c>
      <c r="D2444" s="142"/>
      <c r="E2444" s="142"/>
      <c r="F2444" s="142"/>
      <c r="G2444" s="142"/>
      <c r="H2444" s="141"/>
      <c r="I2444" s="8"/>
    </row>
    <row r="2445" spans="2:9" ht="15" hidden="1" customHeight="1" x14ac:dyDescent="0.25">
      <c r="B2445" s="7"/>
      <c r="C2445" s="140">
        <v>2417</v>
      </c>
      <c r="D2445" s="142"/>
      <c r="E2445" s="142"/>
      <c r="F2445" s="142"/>
      <c r="G2445" s="142"/>
      <c r="H2445" s="141"/>
      <c r="I2445" s="8"/>
    </row>
    <row r="2446" spans="2:9" ht="15" hidden="1" customHeight="1" x14ac:dyDescent="0.25">
      <c r="B2446" s="7"/>
      <c r="C2446" s="140">
        <v>2418</v>
      </c>
      <c r="D2446" s="142"/>
      <c r="E2446" s="142"/>
      <c r="F2446" s="142"/>
      <c r="G2446" s="142"/>
      <c r="H2446" s="141"/>
      <c r="I2446" s="8"/>
    </row>
    <row r="2447" spans="2:9" ht="15" hidden="1" customHeight="1" x14ac:dyDescent="0.25">
      <c r="B2447" s="7"/>
      <c r="C2447" s="140">
        <v>2419</v>
      </c>
      <c r="D2447" s="142"/>
      <c r="E2447" s="142"/>
      <c r="F2447" s="142"/>
      <c r="G2447" s="142"/>
      <c r="H2447" s="141"/>
      <c r="I2447" s="8"/>
    </row>
    <row r="2448" spans="2:9" ht="15" hidden="1" customHeight="1" x14ac:dyDescent="0.25">
      <c r="B2448" s="7"/>
      <c r="C2448" s="140">
        <v>2420</v>
      </c>
      <c r="D2448" s="142"/>
      <c r="E2448" s="142"/>
      <c r="F2448" s="142"/>
      <c r="G2448" s="142"/>
      <c r="H2448" s="141"/>
      <c r="I2448" s="8"/>
    </row>
    <row r="2449" spans="2:9" ht="15" hidden="1" customHeight="1" x14ac:dyDescent="0.25">
      <c r="B2449" s="7"/>
      <c r="C2449" s="140">
        <v>2421</v>
      </c>
      <c r="D2449" s="142"/>
      <c r="E2449" s="142"/>
      <c r="F2449" s="142"/>
      <c r="G2449" s="142"/>
      <c r="H2449" s="141"/>
      <c r="I2449" s="8"/>
    </row>
    <row r="2450" spans="2:9" ht="15" hidden="1" customHeight="1" x14ac:dyDescent="0.25">
      <c r="B2450" s="7"/>
      <c r="C2450" s="140">
        <v>2422</v>
      </c>
      <c r="D2450" s="142"/>
      <c r="E2450" s="142"/>
      <c r="F2450" s="142"/>
      <c r="G2450" s="142"/>
      <c r="H2450" s="141"/>
      <c r="I2450" s="8"/>
    </row>
    <row r="2451" spans="2:9" ht="15" hidden="1" customHeight="1" x14ac:dyDescent="0.25">
      <c r="B2451" s="7"/>
      <c r="C2451" s="140">
        <v>2423</v>
      </c>
      <c r="D2451" s="142"/>
      <c r="E2451" s="142"/>
      <c r="F2451" s="142"/>
      <c r="G2451" s="142"/>
      <c r="H2451" s="141"/>
      <c r="I2451" s="8"/>
    </row>
    <row r="2452" spans="2:9" ht="15" hidden="1" customHeight="1" x14ac:dyDescent="0.25">
      <c r="B2452" s="7"/>
      <c r="C2452" s="140">
        <v>2424</v>
      </c>
      <c r="D2452" s="142"/>
      <c r="E2452" s="142"/>
      <c r="F2452" s="142"/>
      <c r="G2452" s="142"/>
      <c r="H2452" s="141"/>
      <c r="I2452" s="8"/>
    </row>
    <row r="2453" spans="2:9" ht="15" hidden="1" customHeight="1" x14ac:dyDescent="0.25">
      <c r="B2453" s="7"/>
      <c r="C2453" s="140">
        <v>2425</v>
      </c>
      <c r="D2453" s="142"/>
      <c r="E2453" s="142"/>
      <c r="F2453" s="142"/>
      <c r="G2453" s="142"/>
      <c r="H2453" s="141"/>
      <c r="I2453" s="8"/>
    </row>
    <row r="2454" spans="2:9" ht="15" hidden="1" customHeight="1" x14ac:dyDescent="0.25">
      <c r="B2454" s="7"/>
      <c r="C2454" s="140">
        <v>2426</v>
      </c>
      <c r="D2454" s="142"/>
      <c r="E2454" s="142"/>
      <c r="F2454" s="142"/>
      <c r="G2454" s="142"/>
      <c r="H2454" s="141"/>
      <c r="I2454" s="8"/>
    </row>
    <row r="2455" spans="2:9" ht="15" hidden="1" customHeight="1" x14ac:dyDescent="0.25">
      <c r="B2455" s="7"/>
      <c r="C2455" s="140">
        <v>2427</v>
      </c>
      <c r="D2455" s="142"/>
      <c r="E2455" s="142"/>
      <c r="F2455" s="142"/>
      <c r="G2455" s="142"/>
      <c r="H2455" s="141"/>
      <c r="I2455" s="8"/>
    </row>
    <row r="2456" spans="2:9" ht="15" hidden="1" customHeight="1" x14ac:dyDescent="0.25">
      <c r="B2456" s="7"/>
      <c r="C2456" s="140">
        <v>2428</v>
      </c>
      <c r="D2456" s="142"/>
      <c r="E2456" s="142"/>
      <c r="F2456" s="142"/>
      <c r="G2456" s="142"/>
      <c r="H2456" s="141"/>
      <c r="I2456" s="8"/>
    </row>
    <row r="2457" spans="2:9" ht="15" hidden="1" customHeight="1" x14ac:dyDescent="0.25">
      <c r="B2457" s="7"/>
      <c r="C2457" s="140">
        <v>2429</v>
      </c>
      <c r="D2457" s="142"/>
      <c r="E2457" s="142"/>
      <c r="F2457" s="142"/>
      <c r="G2457" s="142"/>
      <c r="H2457" s="141"/>
      <c r="I2457" s="8"/>
    </row>
    <row r="2458" spans="2:9" ht="15" hidden="1" customHeight="1" x14ac:dyDescent="0.25">
      <c r="B2458" s="7"/>
      <c r="C2458" s="140">
        <v>2430</v>
      </c>
      <c r="D2458" s="142"/>
      <c r="E2458" s="142"/>
      <c r="F2458" s="142"/>
      <c r="G2458" s="142"/>
      <c r="H2458" s="141"/>
      <c r="I2458" s="8"/>
    </row>
    <row r="2459" spans="2:9" ht="15" hidden="1" customHeight="1" x14ac:dyDescent="0.25">
      <c r="B2459" s="7"/>
      <c r="C2459" s="140">
        <v>2431</v>
      </c>
      <c r="D2459" s="142"/>
      <c r="E2459" s="142"/>
      <c r="F2459" s="142"/>
      <c r="G2459" s="142"/>
      <c r="H2459" s="141"/>
      <c r="I2459" s="8"/>
    </row>
    <row r="2460" spans="2:9" ht="15" hidden="1" customHeight="1" x14ac:dyDescent="0.25">
      <c r="B2460" s="7"/>
      <c r="C2460" s="140">
        <v>2432</v>
      </c>
      <c r="D2460" s="142"/>
      <c r="E2460" s="142"/>
      <c r="F2460" s="142"/>
      <c r="G2460" s="142"/>
      <c r="H2460" s="141"/>
      <c r="I2460" s="8"/>
    </row>
    <row r="2461" spans="2:9" ht="15" hidden="1" customHeight="1" x14ac:dyDescent="0.25">
      <c r="B2461" s="7"/>
      <c r="C2461" s="140">
        <v>2433</v>
      </c>
      <c r="D2461" s="142"/>
      <c r="E2461" s="142"/>
      <c r="F2461" s="142"/>
      <c r="G2461" s="142"/>
      <c r="H2461" s="141"/>
      <c r="I2461" s="8"/>
    </row>
    <row r="2462" spans="2:9" ht="15" hidden="1" customHeight="1" x14ac:dyDescent="0.25">
      <c r="B2462" s="7"/>
      <c r="C2462" s="140">
        <v>2434</v>
      </c>
      <c r="D2462" s="142"/>
      <c r="E2462" s="142"/>
      <c r="F2462" s="142"/>
      <c r="G2462" s="142"/>
      <c r="H2462" s="141"/>
      <c r="I2462" s="8"/>
    </row>
    <row r="2463" spans="2:9" ht="15" hidden="1" customHeight="1" x14ac:dyDescent="0.25">
      <c r="B2463" s="7"/>
      <c r="C2463" s="140">
        <v>2435</v>
      </c>
      <c r="D2463" s="142"/>
      <c r="E2463" s="142"/>
      <c r="F2463" s="142"/>
      <c r="G2463" s="142"/>
      <c r="H2463" s="141"/>
      <c r="I2463" s="8"/>
    </row>
    <row r="2464" spans="2:9" ht="15" hidden="1" customHeight="1" x14ac:dyDescent="0.25">
      <c r="B2464" s="7"/>
      <c r="C2464" s="140">
        <v>2436</v>
      </c>
      <c r="D2464" s="142"/>
      <c r="E2464" s="142"/>
      <c r="F2464" s="142"/>
      <c r="G2464" s="142"/>
      <c r="H2464" s="141"/>
      <c r="I2464" s="8"/>
    </row>
    <row r="2465" spans="2:9" ht="15" hidden="1" customHeight="1" x14ac:dyDescent="0.25">
      <c r="B2465" s="7"/>
      <c r="C2465" s="140">
        <v>2437</v>
      </c>
      <c r="D2465" s="142"/>
      <c r="E2465" s="142"/>
      <c r="F2465" s="142"/>
      <c r="G2465" s="142"/>
      <c r="H2465" s="141"/>
      <c r="I2465" s="8"/>
    </row>
    <row r="2466" spans="2:9" ht="15" hidden="1" customHeight="1" x14ac:dyDescent="0.25">
      <c r="B2466" s="7"/>
      <c r="C2466" s="140">
        <v>2438</v>
      </c>
      <c r="D2466" s="142"/>
      <c r="E2466" s="142"/>
      <c r="F2466" s="142"/>
      <c r="G2466" s="142"/>
      <c r="H2466" s="141"/>
      <c r="I2466" s="8"/>
    </row>
    <row r="2467" spans="2:9" ht="15" hidden="1" customHeight="1" x14ac:dyDescent="0.25">
      <c r="B2467" s="7"/>
      <c r="C2467" s="140">
        <v>2439</v>
      </c>
      <c r="D2467" s="142"/>
      <c r="E2467" s="142"/>
      <c r="F2467" s="142"/>
      <c r="G2467" s="142"/>
      <c r="H2467" s="141"/>
      <c r="I2467" s="8"/>
    </row>
    <row r="2468" spans="2:9" ht="15" hidden="1" customHeight="1" x14ac:dyDescent="0.25">
      <c r="B2468" s="7"/>
      <c r="C2468" s="140">
        <v>2440</v>
      </c>
      <c r="D2468" s="142"/>
      <c r="E2468" s="142"/>
      <c r="F2468" s="142"/>
      <c r="G2468" s="142"/>
      <c r="H2468" s="141"/>
      <c r="I2468" s="8"/>
    </row>
    <row r="2469" spans="2:9" ht="15" hidden="1" customHeight="1" x14ac:dyDescent="0.25">
      <c r="B2469" s="7"/>
      <c r="C2469" s="140">
        <v>2441</v>
      </c>
      <c r="D2469" s="142"/>
      <c r="E2469" s="142"/>
      <c r="F2469" s="142"/>
      <c r="G2469" s="142"/>
      <c r="H2469" s="141"/>
      <c r="I2469" s="8"/>
    </row>
    <row r="2470" spans="2:9" ht="15" hidden="1" customHeight="1" x14ac:dyDescent="0.25">
      <c r="B2470" s="7"/>
      <c r="C2470" s="140">
        <v>2442</v>
      </c>
      <c r="D2470" s="142"/>
      <c r="E2470" s="142"/>
      <c r="F2470" s="142"/>
      <c r="G2470" s="142"/>
      <c r="H2470" s="141"/>
      <c r="I2470" s="8"/>
    </row>
    <row r="2471" spans="2:9" ht="15" hidden="1" customHeight="1" x14ac:dyDescent="0.25">
      <c r="B2471" s="7"/>
      <c r="C2471" s="140">
        <v>2443</v>
      </c>
      <c r="D2471" s="142"/>
      <c r="E2471" s="142"/>
      <c r="F2471" s="142"/>
      <c r="G2471" s="142"/>
      <c r="H2471" s="141"/>
      <c r="I2471" s="8"/>
    </row>
    <row r="2472" spans="2:9" ht="15" hidden="1" customHeight="1" x14ac:dyDescent="0.25">
      <c r="B2472" s="7"/>
      <c r="C2472" s="140">
        <v>2444</v>
      </c>
      <c r="D2472" s="142"/>
      <c r="E2472" s="142"/>
      <c r="F2472" s="142"/>
      <c r="G2472" s="142"/>
      <c r="H2472" s="141"/>
      <c r="I2472" s="8"/>
    </row>
    <row r="2473" spans="2:9" ht="15" hidden="1" customHeight="1" x14ac:dyDescent="0.25">
      <c r="B2473" s="7"/>
      <c r="C2473" s="140">
        <v>2445</v>
      </c>
      <c r="D2473" s="142"/>
      <c r="E2473" s="142"/>
      <c r="F2473" s="142"/>
      <c r="G2473" s="142"/>
      <c r="H2473" s="141"/>
      <c r="I2473" s="8"/>
    </row>
    <row r="2474" spans="2:9" ht="15" hidden="1" customHeight="1" x14ac:dyDescent="0.25">
      <c r="B2474" s="7"/>
      <c r="C2474" s="140">
        <v>2446</v>
      </c>
      <c r="D2474" s="142"/>
      <c r="E2474" s="142"/>
      <c r="F2474" s="142"/>
      <c r="G2474" s="142"/>
      <c r="H2474" s="141"/>
      <c r="I2474" s="8"/>
    </row>
    <row r="2475" spans="2:9" ht="15" hidden="1" customHeight="1" x14ac:dyDescent="0.25">
      <c r="B2475" s="7"/>
      <c r="C2475" s="140">
        <v>2447</v>
      </c>
      <c r="D2475" s="142"/>
      <c r="E2475" s="142"/>
      <c r="F2475" s="142"/>
      <c r="G2475" s="142"/>
      <c r="H2475" s="141"/>
      <c r="I2475" s="8"/>
    </row>
    <row r="2476" spans="2:9" ht="15" hidden="1" customHeight="1" x14ac:dyDescent="0.25">
      <c r="B2476" s="7"/>
      <c r="C2476" s="140">
        <v>2448</v>
      </c>
      <c r="D2476" s="142"/>
      <c r="E2476" s="142"/>
      <c r="F2476" s="142"/>
      <c r="G2476" s="142"/>
      <c r="H2476" s="141"/>
      <c r="I2476" s="8"/>
    </row>
    <row r="2477" spans="2:9" ht="15" hidden="1" customHeight="1" x14ac:dyDescent="0.25">
      <c r="B2477" s="7"/>
      <c r="C2477" s="140">
        <v>2449</v>
      </c>
      <c r="D2477" s="142"/>
      <c r="E2477" s="142"/>
      <c r="F2477" s="142"/>
      <c r="G2477" s="142"/>
      <c r="H2477" s="141"/>
      <c r="I2477" s="8"/>
    </row>
    <row r="2478" spans="2:9" ht="15" hidden="1" customHeight="1" x14ac:dyDescent="0.25">
      <c r="B2478" s="7"/>
      <c r="C2478" s="140">
        <v>2450</v>
      </c>
      <c r="D2478" s="142"/>
      <c r="E2478" s="142"/>
      <c r="F2478" s="142"/>
      <c r="G2478" s="142"/>
      <c r="H2478" s="141"/>
      <c r="I2478" s="8"/>
    </row>
    <row r="2479" spans="2:9" ht="15" hidden="1" customHeight="1" x14ac:dyDescent="0.25">
      <c r="B2479" s="7"/>
      <c r="C2479" s="140">
        <v>2451</v>
      </c>
      <c r="D2479" s="142"/>
      <c r="E2479" s="142"/>
      <c r="F2479" s="142"/>
      <c r="G2479" s="142"/>
      <c r="H2479" s="141"/>
      <c r="I2479" s="8"/>
    </row>
    <row r="2480" spans="2:9" ht="15" hidden="1" customHeight="1" x14ac:dyDescent="0.25">
      <c r="B2480" s="7"/>
      <c r="C2480" s="140">
        <v>2452</v>
      </c>
      <c r="D2480" s="142"/>
      <c r="E2480" s="142"/>
      <c r="F2480" s="142"/>
      <c r="G2480" s="142"/>
      <c r="H2480" s="141"/>
      <c r="I2480" s="8"/>
    </row>
    <row r="2481" spans="2:9" ht="15" hidden="1" customHeight="1" x14ac:dyDescent="0.25">
      <c r="B2481" s="7"/>
      <c r="C2481" s="140">
        <v>2453</v>
      </c>
      <c r="D2481" s="142"/>
      <c r="E2481" s="142"/>
      <c r="F2481" s="142"/>
      <c r="G2481" s="142"/>
      <c r="H2481" s="141"/>
      <c r="I2481" s="8"/>
    </row>
    <row r="2482" spans="2:9" ht="15" hidden="1" customHeight="1" x14ac:dyDescent="0.25">
      <c r="B2482" s="7"/>
      <c r="C2482" s="140">
        <v>2454</v>
      </c>
      <c r="D2482" s="142"/>
      <c r="E2482" s="142"/>
      <c r="F2482" s="142"/>
      <c r="G2482" s="142"/>
      <c r="H2482" s="141"/>
      <c r="I2482" s="8"/>
    </row>
    <row r="2483" spans="2:9" ht="15" hidden="1" customHeight="1" x14ac:dyDescent="0.25">
      <c r="B2483" s="7"/>
      <c r="C2483" s="140">
        <v>2455</v>
      </c>
      <c r="D2483" s="142"/>
      <c r="E2483" s="142"/>
      <c r="F2483" s="142"/>
      <c r="G2483" s="142"/>
      <c r="H2483" s="141"/>
      <c r="I2483" s="8"/>
    </row>
    <row r="2484" spans="2:9" ht="15" hidden="1" customHeight="1" x14ac:dyDescent="0.25">
      <c r="B2484" s="7"/>
      <c r="C2484" s="140">
        <v>2456</v>
      </c>
      <c r="D2484" s="142"/>
      <c r="E2484" s="142"/>
      <c r="F2484" s="142"/>
      <c r="G2484" s="142"/>
      <c r="H2484" s="141"/>
      <c r="I2484" s="8"/>
    </row>
    <row r="2485" spans="2:9" ht="15" hidden="1" customHeight="1" x14ac:dyDescent="0.25">
      <c r="B2485" s="7"/>
      <c r="C2485" s="140">
        <v>2457</v>
      </c>
      <c r="D2485" s="142"/>
      <c r="E2485" s="142"/>
      <c r="F2485" s="142"/>
      <c r="G2485" s="142"/>
      <c r="H2485" s="141"/>
      <c r="I2485" s="8"/>
    </row>
    <row r="2486" spans="2:9" ht="15" hidden="1" customHeight="1" x14ac:dyDescent="0.25">
      <c r="B2486" s="7"/>
      <c r="C2486" s="140">
        <v>2458</v>
      </c>
      <c r="D2486" s="142"/>
      <c r="E2486" s="142"/>
      <c r="F2486" s="142"/>
      <c r="G2486" s="142"/>
      <c r="H2486" s="141"/>
      <c r="I2486" s="8"/>
    </row>
    <row r="2487" spans="2:9" ht="15" hidden="1" customHeight="1" x14ac:dyDescent="0.25">
      <c r="B2487" s="7"/>
      <c r="C2487" s="140">
        <v>2459</v>
      </c>
      <c r="D2487" s="142"/>
      <c r="E2487" s="142"/>
      <c r="F2487" s="142"/>
      <c r="G2487" s="142"/>
      <c r="H2487" s="141"/>
      <c r="I2487" s="8"/>
    </row>
    <row r="2488" spans="2:9" ht="15" hidden="1" customHeight="1" x14ac:dyDescent="0.25">
      <c r="B2488" s="7"/>
      <c r="C2488" s="140">
        <v>2460</v>
      </c>
      <c r="D2488" s="142"/>
      <c r="E2488" s="142"/>
      <c r="F2488" s="142"/>
      <c r="G2488" s="142"/>
      <c r="H2488" s="141"/>
      <c r="I2488" s="8"/>
    </row>
    <row r="2489" spans="2:9" ht="15" hidden="1" customHeight="1" x14ac:dyDescent="0.25">
      <c r="B2489" s="7"/>
      <c r="C2489" s="140">
        <v>2461</v>
      </c>
      <c r="D2489" s="142"/>
      <c r="E2489" s="142"/>
      <c r="F2489" s="142"/>
      <c r="G2489" s="142"/>
      <c r="H2489" s="141"/>
      <c r="I2489" s="8"/>
    </row>
    <row r="2490" spans="2:9" ht="15" hidden="1" customHeight="1" x14ac:dyDescent="0.25">
      <c r="B2490" s="7"/>
      <c r="C2490" s="140">
        <v>2462</v>
      </c>
      <c r="D2490" s="142"/>
      <c r="E2490" s="142"/>
      <c r="F2490" s="142"/>
      <c r="G2490" s="142"/>
      <c r="H2490" s="141"/>
      <c r="I2490" s="8"/>
    </row>
    <row r="2491" spans="2:9" ht="15" hidden="1" customHeight="1" x14ac:dyDescent="0.25">
      <c r="B2491" s="7"/>
      <c r="C2491" s="140">
        <v>2463</v>
      </c>
      <c r="D2491" s="142"/>
      <c r="E2491" s="142"/>
      <c r="F2491" s="142"/>
      <c r="G2491" s="142"/>
      <c r="H2491" s="141"/>
      <c r="I2491" s="8"/>
    </row>
    <row r="2492" spans="2:9" ht="15" hidden="1" customHeight="1" x14ac:dyDescent="0.25">
      <c r="B2492" s="7"/>
      <c r="C2492" s="140">
        <v>2464</v>
      </c>
      <c r="D2492" s="142"/>
      <c r="E2492" s="142"/>
      <c r="F2492" s="142"/>
      <c r="G2492" s="142"/>
      <c r="H2492" s="141"/>
      <c r="I2492" s="8"/>
    </row>
    <row r="2493" spans="2:9" ht="15" hidden="1" customHeight="1" x14ac:dyDescent="0.25">
      <c r="B2493" s="7"/>
      <c r="C2493" s="140">
        <v>2465</v>
      </c>
      <c r="D2493" s="142"/>
      <c r="E2493" s="142"/>
      <c r="F2493" s="142"/>
      <c r="G2493" s="142"/>
      <c r="H2493" s="141"/>
      <c r="I2493" s="8"/>
    </row>
    <row r="2494" spans="2:9" ht="15" hidden="1" customHeight="1" x14ac:dyDescent="0.25">
      <c r="B2494" s="7"/>
      <c r="C2494" s="140">
        <v>2466</v>
      </c>
      <c r="D2494" s="142"/>
      <c r="E2494" s="142"/>
      <c r="F2494" s="142"/>
      <c r="G2494" s="142"/>
      <c r="H2494" s="141"/>
      <c r="I2494" s="8"/>
    </row>
    <row r="2495" spans="2:9" ht="15" hidden="1" customHeight="1" x14ac:dyDescent="0.25">
      <c r="B2495" s="7"/>
      <c r="C2495" s="140">
        <v>2467</v>
      </c>
      <c r="D2495" s="142"/>
      <c r="E2495" s="142"/>
      <c r="F2495" s="142"/>
      <c r="G2495" s="142"/>
      <c r="H2495" s="141"/>
      <c r="I2495" s="8"/>
    </row>
    <row r="2496" spans="2:9" ht="15" hidden="1" customHeight="1" x14ac:dyDescent="0.25">
      <c r="B2496" s="7"/>
      <c r="C2496" s="140">
        <v>2468</v>
      </c>
      <c r="D2496" s="142"/>
      <c r="E2496" s="142"/>
      <c r="F2496" s="142"/>
      <c r="G2496" s="142"/>
      <c r="H2496" s="141"/>
      <c r="I2496" s="8"/>
    </row>
    <row r="2497" spans="2:9" ht="15" hidden="1" customHeight="1" x14ac:dyDescent="0.25">
      <c r="B2497" s="7"/>
      <c r="C2497" s="140">
        <v>2469</v>
      </c>
      <c r="D2497" s="142"/>
      <c r="E2497" s="142"/>
      <c r="F2497" s="142"/>
      <c r="G2497" s="142"/>
      <c r="H2497" s="141"/>
      <c r="I2497" s="8"/>
    </row>
    <row r="2498" spans="2:9" ht="15" hidden="1" customHeight="1" x14ac:dyDescent="0.25">
      <c r="B2498" s="7"/>
      <c r="C2498" s="140">
        <v>2470</v>
      </c>
      <c r="D2498" s="142"/>
      <c r="E2498" s="142"/>
      <c r="F2498" s="142"/>
      <c r="G2498" s="142"/>
      <c r="H2498" s="141"/>
      <c r="I2498" s="8"/>
    </row>
    <row r="2499" spans="2:9" ht="15" hidden="1" customHeight="1" x14ac:dyDescent="0.25">
      <c r="B2499" s="7"/>
      <c r="C2499" s="140">
        <v>2471</v>
      </c>
      <c r="D2499" s="142"/>
      <c r="E2499" s="142"/>
      <c r="F2499" s="142"/>
      <c r="G2499" s="142"/>
      <c r="H2499" s="141"/>
      <c r="I2499" s="8"/>
    </row>
    <row r="2500" spans="2:9" ht="15" hidden="1" customHeight="1" x14ac:dyDescent="0.25">
      <c r="B2500" s="7"/>
      <c r="C2500" s="140">
        <v>2472</v>
      </c>
      <c r="D2500" s="142"/>
      <c r="E2500" s="142"/>
      <c r="F2500" s="142"/>
      <c r="G2500" s="142"/>
      <c r="H2500" s="141"/>
      <c r="I2500" s="8"/>
    </row>
    <row r="2501" spans="2:9" ht="15" hidden="1" customHeight="1" x14ac:dyDescent="0.25">
      <c r="B2501" s="7"/>
      <c r="C2501" s="140">
        <v>2473</v>
      </c>
      <c r="D2501" s="142"/>
      <c r="E2501" s="142"/>
      <c r="F2501" s="142"/>
      <c r="G2501" s="142"/>
      <c r="H2501" s="141"/>
      <c r="I2501" s="8"/>
    </row>
    <row r="2502" spans="2:9" ht="15" hidden="1" customHeight="1" x14ac:dyDescent="0.25">
      <c r="B2502" s="7"/>
      <c r="C2502" s="140">
        <v>2474</v>
      </c>
      <c r="D2502" s="142"/>
      <c r="E2502" s="142"/>
      <c r="F2502" s="142"/>
      <c r="G2502" s="142"/>
      <c r="H2502" s="141"/>
      <c r="I2502" s="8"/>
    </row>
    <row r="2503" spans="2:9" ht="15" hidden="1" customHeight="1" x14ac:dyDescent="0.25">
      <c r="B2503" s="7"/>
      <c r="C2503" s="140">
        <v>2475</v>
      </c>
      <c r="D2503" s="142"/>
      <c r="E2503" s="142"/>
      <c r="F2503" s="142"/>
      <c r="G2503" s="142"/>
      <c r="H2503" s="141"/>
      <c r="I2503" s="8"/>
    </row>
    <row r="2504" spans="2:9" ht="15" hidden="1" customHeight="1" x14ac:dyDescent="0.25">
      <c r="B2504" s="7"/>
      <c r="C2504" s="140">
        <v>2476</v>
      </c>
      <c r="D2504" s="142"/>
      <c r="E2504" s="142"/>
      <c r="F2504" s="142"/>
      <c r="G2504" s="142"/>
      <c r="H2504" s="141"/>
      <c r="I2504" s="8"/>
    </row>
    <row r="2505" spans="2:9" ht="15" hidden="1" customHeight="1" x14ac:dyDescent="0.25">
      <c r="B2505" s="7"/>
      <c r="C2505" s="140">
        <v>2477</v>
      </c>
      <c r="D2505" s="142"/>
      <c r="E2505" s="142"/>
      <c r="F2505" s="142"/>
      <c r="G2505" s="142"/>
      <c r="H2505" s="141"/>
      <c r="I2505" s="8"/>
    </row>
    <row r="2506" spans="2:9" ht="15" hidden="1" customHeight="1" x14ac:dyDescent="0.25">
      <c r="B2506" s="7"/>
      <c r="C2506" s="140">
        <v>2478</v>
      </c>
      <c r="D2506" s="142"/>
      <c r="E2506" s="142"/>
      <c r="F2506" s="142"/>
      <c r="G2506" s="142"/>
      <c r="H2506" s="141"/>
      <c r="I2506" s="8"/>
    </row>
    <row r="2507" spans="2:9" ht="15" hidden="1" customHeight="1" x14ac:dyDescent="0.25">
      <c r="B2507" s="7"/>
      <c r="C2507" s="140">
        <v>2479</v>
      </c>
      <c r="D2507" s="142"/>
      <c r="E2507" s="142"/>
      <c r="F2507" s="142"/>
      <c r="G2507" s="142"/>
      <c r="H2507" s="141"/>
      <c r="I2507" s="8"/>
    </row>
    <row r="2508" spans="2:9" ht="15" hidden="1" customHeight="1" x14ac:dyDescent="0.25">
      <c r="B2508" s="7"/>
      <c r="C2508" s="140">
        <v>2480</v>
      </c>
      <c r="D2508" s="142"/>
      <c r="E2508" s="142"/>
      <c r="F2508" s="142"/>
      <c r="G2508" s="142"/>
      <c r="H2508" s="141"/>
      <c r="I2508" s="8"/>
    </row>
    <row r="2509" spans="2:9" ht="15" hidden="1" customHeight="1" x14ac:dyDescent="0.25">
      <c r="B2509" s="7"/>
      <c r="C2509" s="140">
        <v>2481</v>
      </c>
      <c r="D2509" s="142"/>
      <c r="E2509" s="142"/>
      <c r="F2509" s="142"/>
      <c r="G2509" s="142"/>
      <c r="H2509" s="141"/>
      <c r="I2509" s="8"/>
    </row>
    <row r="2510" spans="2:9" ht="15" hidden="1" customHeight="1" x14ac:dyDescent="0.25">
      <c r="B2510" s="7"/>
      <c r="C2510" s="140">
        <v>2482</v>
      </c>
      <c r="D2510" s="142"/>
      <c r="E2510" s="142"/>
      <c r="F2510" s="142"/>
      <c r="G2510" s="142"/>
      <c r="H2510" s="141"/>
      <c r="I2510" s="8"/>
    </row>
    <row r="2511" spans="2:9" ht="15" hidden="1" customHeight="1" x14ac:dyDescent="0.25">
      <c r="B2511" s="7"/>
      <c r="C2511" s="140">
        <v>2483</v>
      </c>
      <c r="D2511" s="142"/>
      <c r="E2511" s="142"/>
      <c r="F2511" s="142"/>
      <c r="G2511" s="142"/>
      <c r="H2511" s="141"/>
      <c r="I2511" s="8"/>
    </row>
    <row r="2512" spans="2:9" ht="15" hidden="1" customHeight="1" x14ac:dyDescent="0.25">
      <c r="B2512" s="7"/>
      <c r="C2512" s="140">
        <v>2484</v>
      </c>
      <c r="D2512" s="142"/>
      <c r="E2512" s="142"/>
      <c r="F2512" s="142"/>
      <c r="G2512" s="142"/>
      <c r="H2512" s="141"/>
      <c r="I2512" s="8"/>
    </row>
    <row r="2513" spans="2:9" ht="15" hidden="1" customHeight="1" x14ac:dyDescent="0.25">
      <c r="B2513" s="7"/>
      <c r="C2513" s="140">
        <v>2485</v>
      </c>
      <c r="D2513" s="142"/>
      <c r="E2513" s="142"/>
      <c r="F2513" s="142"/>
      <c r="G2513" s="142"/>
      <c r="H2513" s="141"/>
      <c r="I2513" s="8"/>
    </row>
    <row r="2514" spans="2:9" ht="15" hidden="1" customHeight="1" x14ac:dyDescent="0.25">
      <c r="B2514" s="7"/>
      <c r="C2514" s="140">
        <v>2486</v>
      </c>
      <c r="D2514" s="142"/>
      <c r="E2514" s="142"/>
      <c r="F2514" s="142"/>
      <c r="G2514" s="142"/>
      <c r="H2514" s="141"/>
      <c r="I2514" s="8"/>
    </row>
    <row r="2515" spans="2:9" ht="15" hidden="1" customHeight="1" x14ac:dyDescent="0.25">
      <c r="B2515" s="7"/>
      <c r="C2515" s="140">
        <v>2487</v>
      </c>
      <c r="D2515" s="142"/>
      <c r="E2515" s="142"/>
      <c r="F2515" s="142"/>
      <c r="G2515" s="142"/>
      <c r="H2515" s="141"/>
      <c r="I2515" s="8"/>
    </row>
    <row r="2516" spans="2:9" ht="15" hidden="1" customHeight="1" x14ac:dyDescent="0.25">
      <c r="B2516" s="7"/>
      <c r="C2516" s="140">
        <v>2488</v>
      </c>
      <c r="D2516" s="142"/>
      <c r="E2516" s="142"/>
      <c r="F2516" s="142"/>
      <c r="G2516" s="142"/>
      <c r="H2516" s="141"/>
      <c r="I2516" s="8"/>
    </row>
    <row r="2517" spans="2:9" ht="15" hidden="1" customHeight="1" x14ac:dyDescent="0.25">
      <c r="B2517" s="7"/>
      <c r="C2517" s="140">
        <v>2489</v>
      </c>
      <c r="D2517" s="142"/>
      <c r="E2517" s="142"/>
      <c r="F2517" s="142"/>
      <c r="G2517" s="142"/>
      <c r="H2517" s="141"/>
      <c r="I2517" s="8"/>
    </row>
    <row r="2518" spans="2:9" ht="15" hidden="1" customHeight="1" x14ac:dyDescent="0.25">
      <c r="B2518" s="7"/>
      <c r="C2518" s="140">
        <v>2490</v>
      </c>
      <c r="D2518" s="142"/>
      <c r="E2518" s="142"/>
      <c r="F2518" s="142"/>
      <c r="G2518" s="142"/>
      <c r="H2518" s="141"/>
      <c r="I2518" s="8"/>
    </row>
    <row r="2519" spans="2:9" ht="15" hidden="1" customHeight="1" x14ac:dyDescent="0.25">
      <c r="B2519" s="7"/>
      <c r="C2519" s="140">
        <v>2491</v>
      </c>
      <c r="D2519" s="142"/>
      <c r="E2519" s="142"/>
      <c r="F2519" s="142"/>
      <c r="G2519" s="142"/>
      <c r="H2519" s="141"/>
      <c r="I2519" s="8"/>
    </row>
    <row r="2520" spans="2:9" ht="15" hidden="1" customHeight="1" x14ac:dyDescent="0.25">
      <c r="B2520" s="7"/>
      <c r="C2520" s="140">
        <v>2492</v>
      </c>
      <c r="D2520" s="142"/>
      <c r="E2520" s="142"/>
      <c r="F2520" s="142"/>
      <c r="G2520" s="142"/>
      <c r="H2520" s="141"/>
      <c r="I2520" s="8"/>
    </row>
    <row r="2521" spans="2:9" ht="15" hidden="1" customHeight="1" x14ac:dyDescent="0.25">
      <c r="B2521" s="7"/>
      <c r="C2521" s="140">
        <v>2493</v>
      </c>
      <c r="D2521" s="142"/>
      <c r="E2521" s="142"/>
      <c r="F2521" s="142"/>
      <c r="G2521" s="142"/>
      <c r="H2521" s="141"/>
      <c r="I2521" s="8"/>
    </row>
    <row r="2522" spans="2:9" ht="15" hidden="1" customHeight="1" x14ac:dyDescent="0.25">
      <c r="B2522" s="7"/>
      <c r="C2522" s="140">
        <v>2494</v>
      </c>
      <c r="D2522" s="142"/>
      <c r="E2522" s="142"/>
      <c r="F2522" s="142"/>
      <c r="G2522" s="142"/>
      <c r="H2522" s="141"/>
      <c r="I2522" s="8"/>
    </row>
    <row r="2523" spans="2:9" ht="15" hidden="1" customHeight="1" x14ac:dyDescent="0.25">
      <c r="B2523" s="7"/>
      <c r="C2523" s="140">
        <v>2495</v>
      </c>
      <c r="D2523" s="142"/>
      <c r="E2523" s="142"/>
      <c r="F2523" s="142"/>
      <c r="G2523" s="142"/>
      <c r="H2523" s="141"/>
      <c r="I2523" s="8"/>
    </row>
    <row r="2524" spans="2:9" ht="15" hidden="1" customHeight="1" x14ac:dyDescent="0.25">
      <c r="B2524" s="7"/>
      <c r="C2524" s="140">
        <v>2496</v>
      </c>
      <c r="D2524" s="142"/>
      <c r="E2524" s="142"/>
      <c r="F2524" s="142"/>
      <c r="G2524" s="142"/>
      <c r="H2524" s="141"/>
      <c r="I2524" s="8"/>
    </row>
    <row r="2525" spans="2:9" ht="15" hidden="1" customHeight="1" x14ac:dyDescent="0.25">
      <c r="B2525" s="7"/>
      <c r="C2525" s="140">
        <v>2497</v>
      </c>
      <c r="D2525" s="142"/>
      <c r="E2525" s="142"/>
      <c r="F2525" s="142"/>
      <c r="G2525" s="142"/>
      <c r="H2525" s="141"/>
      <c r="I2525" s="8"/>
    </row>
    <row r="2526" spans="2:9" ht="15" hidden="1" customHeight="1" x14ac:dyDescent="0.25">
      <c r="B2526" s="7"/>
      <c r="C2526" s="140">
        <v>2498</v>
      </c>
      <c r="D2526" s="142"/>
      <c r="E2526" s="142"/>
      <c r="F2526" s="142"/>
      <c r="G2526" s="142"/>
      <c r="H2526" s="141"/>
      <c r="I2526" s="8"/>
    </row>
    <row r="2527" spans="2:9" ht="15" hidden="1" customHeight="1" x14ac:dyDescent="0.25">
      <c r="B2527" s="7"/>
      <c r="C2527" s="140">
        <v>2499</v>
      </c>
      <c r="D2527" s="142"/>
      <c r="E2527" s="142"/>
      <c r="F2527" s="142"/>
      <c r="G2527" s="142"/>
      <c r="H2527" s="141"/>
      <c r="I2527" s="8"/>
    </row>
    <row r="2528" spans="2:9" ht="15" hidden="1" customHeight="1" x14ac:dyDescent="0.25">
      <c r="B2528" s="7"/>
      <c r="C2528" s="140">
        <v>2500</v>
      </c>
      <c r="D2528" s="142"/>
      <c r="E2528" s="142"/>
      <c r="F2528" s="142"/>
      <c r="G2528" s="142"/>
      <c r="H2528" s="141"/>
      <c r="I2528" s="8"/>
    </row>
    <row r="2529" spans="2:9" ht="15" hidden="1" customHeight="1" x14ac:dyDescent="0.25">
      <c r="B2529" s="7"/>
      <c r="C2529" s="140">
        <v>2501</v>
      </c>
      <c r="D2529" s="142"/>
      <c r="E2529" s="142"/>
      <c r="F2529" s="142"/>
      <c r="G2529" s="142"/>
      <c r="H2529" s="141"/>
      <c r="I2529" s="8"/>
    </row>
    <row r="2530" spans="2:9" ht="15" hidden="1" customHeight="1" x14ac:dyDescent="0.25">
      <c r="B2530" s="7"/>
      <c r="C2530" s="140">
        <v>2502</v>
      </c>
      <c r="D2530" s="142"/>
      <c r="E2530" s="142"/>
      <c r="F2530" s="142"/>
      <c r="G2530" s="142"/>
      <c r="H2530" s="141"/>
      <c r="I2530" s="8"/>
    </row>
    <row r="2531" spans="2:9" ht="15" hidden="1" customHeight="1" x14ac:dyDescent="0.25">
      <c r="B2531" s="7"/>
      <c r="C2531" s="140">
        <v>2503</v>
      </c>
      <c r="D2531" s="142"/>
      <c r="E2531" s="142"/>
      <c r="F2531" s="142"/>
      <c r="G2531" s="142"/>
      <c r="H2531" s="141"/>
      <c r="I2531" s="8"/>
    </row>
    <row r="2532" spans="2:9" ht="15" hidden="1" customHeight="1" x14ac:dyDescent="0.25">
      <c r="B2532" s="7"/>
      <c r="C2532" s="140">
        <v>2504</v>
      </c>
      <c r="D2532" s="142"/>
      <c r="E2532" s="142"/>
      <c r="F2532" s="142"/>
      <c r="G2532" s="142"/>
      <c r="H2532" s="141"/>
      <c r="I2532" s="8"/>
    </row>
    <row r="2533" spans="2:9" ht="15" hidden="1" customHeight="1" x14ac:dyDescent="0.25">
      <c r="B2533" s="7"/>
      <c r="C2533" s="140">
        <v>2505</v>
      </c>
      <c r="D2533" s="142"/>
      <c r="E2533" s="142"/>
      <c r="F2533" s="142"/>
      <c r="G2533" s="142"/>
      <c r="H2533" s="141"/>
      <c r="I2533" s="8"/>
    </row>
    <row r="2534" spans="2:9" ht="15" hidden="1" customHeight="1" x14ac:dyDescent="0.25">
      <c r="B2534" s="7"/>
      <c r="C2534" s="140">
        <v>2506</v>
      </c>
      <c r="D2534" s="142"/>
      <c r="E2534" s="142"/>
      <c r="F2534" s="142"/>
      <c r="G2534" s="142"/>
      <c r="H2534" s="141"/>
      <c r="I2534" s="8"/>
    </row>
    <row r="2535" spans="2:9" ht="15" hidden="1" customHeight="1" x14ac:dyDescent="0.25">
      <c r="B2535" s="7"/>
      <c r="C2535" s="140">
        <v>2507</v>
      </c>
      <c r="D2535" s="142"/>
      <c r="E2535" s="142"/>
      <c r="F2535" s="142"/>
      <c r="G2535" s="142"/>
      <c r="H2535" s="141"/>
      <c r="I2535" s="8"/>
    </row>
    <row r="2536" spans="2:9" ht="15" hidden="1" customHeight="1" x14ac:dyDescent="0.25">
      <c r="B2536" s="7"/>
      <c r="C2536" s="140">
        <v>2508</v>
      </c>
      <c r="D2536" s="142"/>
      <c r="E2536" s="142"/>
      <c r="F2536" s="142"/>
      <c r="G2536" s="142"/>
      <c r="H2536" s="141"/>
      <c r="I2536" s="8"/>
    </row>
    <row r="2537" spans="2:9" ht="15" hidden="1" customHeight="1" x14ac:dyDescent="0.25">
      <c r="B2537" s="7"/>
      <c r="C2537" s="140">
        <v>2509</v>
      </c>
      <c r="D2537" s="142"/>
      <c r="E2537" s="142"/>
      <c r="F2537" s="142"/>
      <c r="G2537" s="142"/>
      <c r="H2537" s="141"/>
      <c r="I2537" s="8"/>
    </row>
    <row r="2538" spans="2:9" ht="15" hidden="1" customHeight="1" x14ac:dyDescent="0.25">
      <c r="B2538" s="7"/>
      <c r="C2538" s="140">
        <v>2510</v>
      </c>
      <c r="D2538" s="142"/>
      <c r="E2538" s="142"/>
      <c r="F2538" s="142"/>
      <c r="G2538" s="142"/>
      <c r="H2538" s="141"/>
      <c r="I2538" s="8"/>
    </row>
    <row r="2539" spans="2:9" ht="15" hidden="1" customHeight="1" x14ac:dyDescent="0.25">
      <c r="B2539" s="7"/>
      <c r="C2539" s="140">
        <v>2511</v>
      </c>
      <c r="D2539" s="142"/>
      <c r="E2539" s="142"/>
      <c r="F2539" s="142"/>
      <c r="G2539" s="142"/>
      <c r="H2539" s="141"/>
      <c r="I2539" s="8"/>
    </row>
    <row r="2540" spans="2:9" ht="15" hidden="1" customHeight="1" x14ac:dyDescent="0.25">
      <c r="B2540" s="7"/>
      <c r="C2540" s="140">
        <v>2512</v>
      </c>
      <c r="D2540" s="142"/>
      <c r="E2540" s="142"/>
      <c r="F2540" s="142"/>
      <c r="G2540" s="142"/>
      <c r="H2540" s="141"/>
      <c r="I2540" s="8"/>
    </row>
    <row r="2541" spans="2:9" ht="15" hidden="1" customHeight="1" x14ac:dyDescent="0.25">
      <c r="B2541" s="7"/>
      <c r="C2541" s="140">
        <v>2513</v>
      </c>
      <c r="D2541" s="142"/>
      <c r="E2541" s="142"/>
      <c r="F2541" s="142"/>
      <c r="G2541" s="142"/>
      <c r="H2541" s="141"/>
      <c r="I2541" s="8"/>
    </row>
    <row r="2542" spans="2:9" ht="15" hidden="1" customHeight="1" x14ac:dyDescent="0.25">
      <c r="B2542" s="7"/>
      <c r="C2542" s="140">
        <v>2514</v>
      </c>
      <c r="D2542" s="142"/>
      <c r="E2542" s="142"/>
      <c r="F2542" s="142"/>
      <c r="G2542" s="142"/>
      <c r="H2542" s="141"/>
      <c r="I2542" s="8"/>
    </row>
    <row r="2543" spans="2:9" ht="15" hidden="1" customHeight="1" x14ac:dyDescent="0.25">
      <c r="B2543" s="7"/>
      <c r="C2543" s="140">
        <v>2515</v>
      </c>
      <c r="D2543" s="142"/>
      <c r="E2543" s="142"/>
      <c r="F2543" s="142"/>
      <c r="G2543" s="142"/>
      <c r="H2543" s="141"/>
      <c r="I2543" s="8"/>
    </row>
    <row r="2544" spans="2:9" ht="15" hidden="1" customHeight="1" x14ac:dyDescent="0.25">
      <c r="B2544" s="7"/>
      <c r="C2544" s="140">
        <v>2516</v>
      </c>
      <c r="D2544" s="142"/>
      <c r="E2544" s="142"/>
      <c r="F2544" s="142"/>
      <c r="G2544" s="142"/>
      <c r="H2544" s="141"/>
      <c r="I2544" s="8"/>
    </row>
    <row r="2545" spans="2:9" ht="15" hidden="1" customHeight="1" x14ac:dyDescent="0.25">
      <c r="B2545" s="7"/>
      <c r="C2545" s="140">
        <v>2517</v>
      </c>
      <c r="D2545" s="142"/>
      <c r="E2545" s="142"/>
      <c r="F2545" s="142"/>
      <c r="G2545" s="142"/>
      <c r="H2545" s="141"/>
      <c r="I2545" s="8"/>
    </row>
    <row r="2546" spans="2:9" ht="15" hidden="1" customHeight="1" x14ac:dyDescent="0.25">
      <c r="B2546" s="7"/>
      <c r="C2546" s="140">
        <v>2518</v>
      </c>
      <c r="D2546" s="142"/>
      <c r="E2546" s="142"/>
      <c r="F2546" s="142"/>
      <c r="G2546" s="142"/>
      <c r="H2546" s="141"/>
      <c r="I2546" s="8"/>
    </row>
    <row r="2547" spans="2:9" ht="15" hidden="1" customHeight="1" x14ac:dyDescent="0.25">
      <c r="B2547" s="7"/>
      <c r="C2547" s="140">
        <v>2519</v>
      </c>
      <c r="D2547" s="142"/>
      <c r="E2547" s="142"/>
      <c r="F2547" s="142"/>
      <c r="G2547" s="142"/>
      <c r="H2547" s="141"/>
      <c r="I2547" s="8"/>
    </row>
    <row r="2548" spans="2:9" ht="15" hidden="1" customHeight="1" x14ac:dyDescent="0.25">
      <c r="B2548" s="7"/>
      <c r="C2548" s="140">
        <v>2520</v>
      </c>
      <c r="D2548" s="142"/>
      <c r="E2548" s="142"/>
      <c r="F2548" s="142"/>
      <c r="G2548" s="142"/>
      <c r="H2548" s="141"/>
      <c r="I2548" s="8"/>
    </row>
    <row r="2549" spans="2:9" ht="15" hidden="1" customHeight="1" x14ac:dyDescent="0.25">
      <c r="B2549" s="7"/>
      <c r="C2549" s="140">
        <v>2521</v>
      </c>
      <c r="D2549" s="142"/>
      <c r="E2549" s="142"/>
      <c r="F2549" s="142"/>
      <c r="G2549" s="142"/>
      <c r="H2549" s="141"/>
      <c r="I2549" s="8"/>
    </row>
    <row r="2550" spans="2:9" ht="15" hidden="1" customHeight="1" x14ac:dyDescent="0.25">
      <c r="B2550" s="7"/>
      <c r="C2550" s="140">
        <v>2522</v>
      </c>
      <c r="D2550" s="142"/>
      <c r="E2550" s="142"/>
      <c r="F2550" s="142"/>
      <c r="G2550" s="142"/>
      <c r="H2550" s="141"/>
      <c r="I2550" s="8"/>
    </row>
    <row r="2551" spans="2:9" ht="15" hidden="1" customHeight="1" x14ac:dyDescent="0.25">
      <c r="B2551" s="7"/>
      <c r="C2551" s="140">
        <v>2523</v>
      </c>
      <c r="D2551" s="142"/>
      <c r="E2551" s="142"/>
      <c r="F2551" s="142"/>
      <c r="G2551" s="142"/>
      <c r="H2551" s="141"/>
      <c r="I2551" s="8"/>
    </row>
    <row r="2552" spans="2:9" ht="15" hidden="1" customHeight="1" x14ac:dyDescent="0.25">
      <c r="B2552" s="7"/>
      <c r="C2552" s="140">
        <v>2524</v>
      </c>
      <c r="D2552" s="142"/>
      <c r="E2552" s="142"/>
      <c r="F2552" s="142"/>
      <c r="G2552" s="142"/>
      <c r="H2552" s="141"/>
      <c r="I2552" s="8"/>
    </row>
    <row r="2553" spans="2:9" ht="15" hidden="1" customHeight="1" x14ac:dyDescent="0.25">
      <c r="B2553" s="7"/>
      <c r="C2553" s="140">
        <v>2525</v>
      </c>
      <c r="D2553" s="142"/>
      <c r="E2553" s="142"/>
      <c r="F2553" s="142"/>
      <c r="G2553" s="142"/>
      <c r="H2553" s="141"/>
      <c r="I2553" s="8"/>
    </row>
    <row r="2554" spans="2:9" ht="15" hidden="1" customHeight="1" x14ac:dyDescent="0.25">
      <c r="B2554" s="7"/>
      <c r="C2554" s="140">
        <v>2526</v>
      </c>
      <c r="D2554" s="142"/>
      <c r="E2554" s="142"/>
      <c r="F2554" s="142"/>
      <c r="G2554" s="142"/>
      <c r="H2554" s="141"/>
      <c r="I2554" s="8"/>
    </row>
    <row r="2555" spans="2:9" ht="15" hidden="1" customHeight="1" x14ac:dyDescent="0.25">
      <c r="B2555" s="7"/>
      <c r="C2555" s="140">
        <v>2527</v>
      </c>
      <c r="D2555" s="142"/>
      <c r="E2555" s="142"/>
      <c r="F2555" s="142"/>
      <c r="G2555" s="142"/>
      <c r="H2555" s="141"/>
      <c r="I2555" s="8"/>
    </row>
    <row r="2556" spans="2:9" ht="15" hidden="1" customHeight="1" x14ac:dyDescent="0.25">
      <c r="B2556" s="7"/>
      <c r="C2556" s="140">
        <v>2528</v>
      </c>
      <c r="D2556" s="142"/>
      <c r="E2556" s="142"/>
      <c r="F2556" s="142"/>
      <c r="G2556" s="142"/>
      <c r="H2556" s="141"/>
      <c r="I2556" s="8"/>
    </row>
    <row r="2557" spans="2:9" ht="15" hidden="1" customHeight="1" x14ac:dyDescent="0.25">
      <c r="B2557" s="7"/>
      <c r="C2557" s="140">
        <v>2529</v>
      </c>
      <c r="D2557" s="142"/>
      <c r="E2557" s="142"/>
      <c r="F2557" s="142"/>
      <c r="G2557" s="142"/>
      <c r="H2557" s="141"/>
      <c r="I2557" s="8"/>
    </row>
    <row r="2558" spans="2:9" ht="15" hidden="1" customHeight="1" x14ac:dyDescent="0.25">
      <c r="B2558" s="7"/>
      <c r="C2558" s="140">
        <v>2530</v>
      </c>
      <c r="D2558" s="142"/>
      <c r="E2558" s="142"/>
      <c r="F2558" s="142"/>
      <c r="G2558" s="142"/>
      <c r="H2558" s="141"/>
      <c r="I2558" s="8"/>
    </row>
    <row r="2559" spans="2:9" ht="15" hidden="1" customHeight="1" x14ac:dyDescent="0.25">
      <c r="B2559" s="7"/>
      <c r="C2559" s="140">
        <v>2531</v>
      </c>
      <c r="D2559" s="142"/>
      <c r="E2559" s="142"/>
      <c r="F2559" s="142"/>
      <c r="G2559" s="142"/>
      <c r="H2559" s="141"/>
      <c r="I2559" s="8"/>
    </row>
    <row r="2560" spans="2:9" ht="15" hidden="1" customHeight="1" x14ac:dyDescent="0.25">
      <c r="B2560" s="7"/>
      <c r="C2560" s="140">
        <v>2532</v>
      </c>
      <c r="D2560" s="142"/>
      <c r="E2560" s="142"/>
      <c r="F2560" s="142"/>
      <c r="G2560" s="142"/>
      <c r="H2560" s="141"/>
      <c r="I2560" s="8"/>
    </row>
    <row r="2561" spans="2:9" ht="15" hidden="1" customHeight="1" x14ac:dyDescent="0.25">
      <c r="B2561" s="7"/>
      <c r="C2561" s="140">
        <v>2533</v>
      </c>
      <c r="D2561" s="142"/>
      <c r="E2561" s="142"/>
      <c r="F2561" s="142"/>
      <c r="G2561" s="142"/>
      <c r="H2561" s="141"/>
      <c r="I2561" s="8"/>
    </row>
    <row r="2562" spans="2:9" ht="15" hidden="1" customHeight="1" x14ac:dyDescent="0.25">
      <c r="B2562" s="7"/>
      <c r="C2562" s="140">
        <v>2534</v>
      </c>
      <c r="D2562" s="142"/>
      <c r="E2562" s="142"/>
      <c r="F2562" s="142"/>
      <c r="G2562" s="142"/>
      <c r="H2562" s="141"/>
      <c r="I2562" s="8"/>
    </row>
    <row r="2563" spans="2:9" ht="15" hidden="1" customHeight="1" x14ac:dyDescent="0.25">
      <c r="B2563" s="7"/>
      <c r="C2563" s="140">
        <v>2535</v>
      </c>
      <c r="D2563" s="142"/>
      <c r="E2563" s="142"/>
      <c r="F2563" s="142"/>
      <c r="G2563" s="142"/>
      <c r="H2563" s="141"/>
      <c r="I2563" s="8"/>
    </row>
    <row r="2564" spans="2:9" ht="15" hidden="1" customHeight="1" x14ac:dyDescent="0.25">
      <c r="B2564" s="7"/>
      <c r="C2564" s="140">
        <v>2536</v>
      </c>
      <c r="D2564" s="142"/>
      <c r="E2564" s="142"/>
      <c r="F2564" s="142"/>
      <c r="G2564" s="142"/>
      <c r="H2564" s="141"/>
      <c r="I2564" s="8"/>
    </row>
    <row r="2565" spans="2:9" ht="15" hidden="1" customHeight="1" x14ac:dyDescent="0.25">
      <c r="B2565" s="7"/>
      <c r="C2565" s="140">
        <v>2537</v>
      </c>
      <c r="D2565" s="142"/>
      <c r="E2565" s="142"/>
      <c r="F2565" s="142"/>
      <c r="G2565" s="142"/>
      <c r="H2565" s="141"/>
      <c r="I2565" s="8"/>
    </row>
    <row r="2566" spans="2:9" ht="15" hidden="1" customHeight="1" x14ac:dyDescent="0.25">
      <c r="B2566" s="7"/>
      <c r="C2566" s="140">
        <v>2538</v>
      </c>
      <c r="D2566" s="142"/>
      <c r="E2566" s="142"/>
      <c r="F2566" s="142"/>
      <c r="G2566" s="142"/>
      <c r="H2566" s="141"/>
      <c r="I2566" s="8"/>
    </row>
    <row r="2567" spans="2:9" ht="15" hidden="1" customHeight="1" x14ac:dyDescent="0.25">
      <c r="B2567" s="7"/>
      <c r="C2567" s="140">
        <v>2539</v>
      </c>
      <c r="D2567" s="142"/>
      <c r="E2567" s="142"/>
      <c r="F2567" s="142"/>
      <c r="G2567" s="142"/>
      <c r="H2567" s="141"/>
      <c r="I2567" s="8"/>
    </row>
    <row r="2568" spans="2:9" ht="15" hidden="1" customHeight="1" x14ac:dyDescent="0.25">
      <c r="B2568" s="7"/>
      <c r="C2568" s="140">
        <v>2540</v>
      </c>
      <c r="D2568" s="142"/>
      <c r="E2568" s="142"/>
      <c r="F2568" s="142"/>
      <c r="G2568" s="142"/>
      <c r="H2568" s="141"/>
      <c r="I2568" s="8"/>
    </row>
    <row r="2569" spans="2:9" ht="15" hidden="1" customHeight="1" x14ac:dyDescent="0.25">
      <c r="B2569" s="7"/>
      <c r="C2569" s="140">
        <v>2541</v>
      </c>
      <c r="D2569" s="142"/>
      <c r="E2569" s="142"/>
      <c r="F2569" s="142"/>
      <c r="G2569" s="142"/>
      <c r="H2569" s="141"/>
      <c r="I2569" s="8"/>
    </row>
    <row r="2570" spans="2:9" ht="15" hidden="1" customHeight="1" x14ac:dyDescent="0.25">
      <c r="B2570" s="7"/>
      <c r="C2570" s="140">
        <v>2542</v>
      </c>
      <c r="D2570" s="142"/>
      <c r="E2570" s="142"/>
      <c r="F2570" s="142"/>
      <c r="G2570" s="142"/>
      <c r="H2570" s="141"/>
      <c r="I2570" s="8"/>
    </row>
    <row r="2571" spans="2:9" ht="15" hidden="1" customHeight="1" x14ac:dyDescent="0.25">
      <c r="B2571" s="7"/>
      <c r="C2571" s="140">
        <v>2543</v>
      </c>
      <c r="D2571" s="142"/>
      <c r="E2571" s="142"/>
      <c r="F2571" s="142"/>
      <c r="G2571" s="142"/>
      <c r="H2571" s="141"/>
      <c r="I2571" s="8"/>
    </row>
    <row r="2572" spans="2:9" ht="15" hidden="1" customHeight="1" x14ac:dyDescent="0.25">
      <c r="B2572" s="7"/>
      <c r="C2572" s="140">
        <v>2544</v>
      </c>
      <c r="D2572" s="142"/>
      <c r="E2572" s="142"/>
      <c r="F2572" s="142"/>
      <c r="G2572" s="142"/>
      <c r="H2572" s="141"/>
      <c r="I2572" s="8"/>
    </row>
    <row r="2573" spans="2:9" ht="15" hidden="1" customHeight="1" x14ac:dyDescent="0.25">
      <c r="B2573" s="7"/>
      <c r="C2573" s="140">
        <v>2545</v>
      </c>
      <c r="D2573" s="142"/>
      <c r="E2573" s="142"/>
      <c r="F2573" s="142"/>
      <c r="G2573" s="142"/>
      <c r="H2573" s="141"/>
      <c r="I2573" s="8"/>
    </row>
    <row r="2574" spans="2:9" ht="15" hidden="1" customHeight="1" x14ac:dyDescent="0.25">
      <c r="B2574" s="7"/>
      <c r="C2574" s="140">
        <v>2546</v>
      </c>
      <c r="D2574" s="142"/>
      <c r="E2574" s="142"/>
      <c r="F2574" s="142"/>
      <c r="G2574" s="142"/>
      <c r="H2574" s="141"/>
      <c r="I2574" s="8"/>
    </row>
    <row r="2575" spans="2:9" ht="15" hidden="1" customHeight="1" x14ac:dyDescent="0.25">
      <c r="B2575" s="7"/>
      <c r="C2575" s="140">
        <v>2547</v>
      </c>
      <c r="D2575" s="142"/>
      <c r="E2575" s="142"/>
      <c r="F2575" s="142"/>
      <c r="G2575" s="142"/>
      <c r="H2575" s="141"/>
      <c r="I2575" s="8"/>
    </row>
    <row r="2576" spans="2:9" ht="15" hidden="1" customHeight="1" x14ac:dyDescent="0.25">
      <c r="B2576" s="7"/>
      <c r="C2576" s="140">
        <v>2548</v>
      </c>
      <c r="D2576" s="142"/>
      <c r="E2576" s="142"/>
      <c r="F2576" s="142"/>
      <c r="G2576" s="142"/>
      <c r="H2576" s="141"/>
      <c r="I2576" s="8"/>
    </row>
    <row r="2577" spans="2:9" ht="15" hidden="1" customHeight="1" x14ac:dyDescent="0.25">
      <c r="B2577" s="7"/>
      <c r="C2577" s="140">
        <v>2549</v>
      </c>
      <c r="D2577" s="142"/>
      <c r="E2577" s="142"/>
      <c r="F2577" s="142"/>
      <c r="G2577" s="142"/>
      <c r="H2577" s="141"/>
      <c r="I2577" s="8"/>
    </row>
    <row r="2578" spans="2:9" ht="15" hidden="1" customHeight="1" x14ac:dyDescent="0.25">
      <c r="B2578" s="7"/>
      <c r="C2578" s="140">
        <v>2550</v>
      </c>
      <c r="D2578" s="142"/>
      <c r="E2578" s="142"/>
      <c r="F2578" s="142"/>
      <c r="G2578" s="142"/>
      <c r="H2578" s="141"/>
      <c r="I2578" s="8"/>
    </row>
    <row r="2579" spans="2:9" ht="15" hidden="1" customHeight="1" x14ac:dyDescent="0.25">
      <c r="B2579" s="7"/>
      <c r="C2579" s="140">
        <v>2551</v>
      </c>
      <c r="D2579" s="142"/>
      <c r="E2579" s="142"/>
      <c r="F2579" s="142"/>
      <c r="G2579" s="142"/>
      <c r="H2579" s="141"/>
      <c r="I2579" s="8"/>
    </row>
    <row r="2580" spans="2:9" ht="15" hidden="1" customHeight="1" x14ac:dyDescent="0.25">
      <c r="B2580" s="7"/>
      <c r="C2580" s="140">
        <v>2552</v>
      </c>
      <c r="D2580" s="142"/>
      <c r="E2580" s="142"/>
      <c r="F2580" s="142"/>
      <c r="G2580" s="142"/>
      <c r="H2580" s="141"/>
      <c r="I2580" s="8"/>
    </row>
    <row r="2581" spans="2:9" ht="15" hidden="1" customHeight="1" x14ac:dyDescent="0.25">
      <c r="B2581" s="7"/>
      <c r="C2581" s="140">
        <v>2553</v>
      </c>
      <c r="D2581" s="142"/>
      <c r="E2581" s="142"/>
      <c r="F2581" s="142"/>
      <c r="G2581" s="142"/>
      <c r="H2581" s="141"/>
      <c r="I2581" s="8"/>
    </row>
    <row r="2582" spans="2:9" ht="15" hidden="1" customHeight="1" x14ac:dyDescent="0.25">
      <c r="B2582" s="7"/>
      <c r="C2582" s="140">
        <v>2554</v>
      </c>
      <c r="D2582" s="142"/>
      <c r="E2582" s="142"/>
      <c r="F2582" s="142"/>
      <c r="G2582" s="142"/>
      <c r="H2582" s="141"/>
      <c r="I2582" s="8"/>
    </row>
    <row r="2583" spans="2:9" ht="15" hidden="1" customHeight="1" x14ac:dyDescent="0.25">
      <c r="B2583" s="7"/>
      <c r="C2583" s="140">
        <v>2555</v>
      </c>
      <c r="D2583" s="142"/>
      <c r="E2583" s="142"/>
      <c r="F2583" s="142"/>
      <c r="G2583" s="142"/>
      <c r="H2583" s="141"/>
      <c r="I2583" s="8"/>
    </row>
    <row r="2584" spans="2:9" ht="15" hidden="1" customHeight="1" x14ac:dyDescent="0.25">
      <c r="B2584" s="7"/>
      <c r="C2584" s="140">
        <v>2556</v>
      </c>
      <c r="D2584" s="142"/>
      <c r="E2584" s="142"/>
      <c r="F2584" s="142"/>
      <c r="G2584" s="142"/>
      <c r="H2584" s="141"/>
      <c r="I2584" s="8"/>
    </row>
    <row r="2585" spans="2:9" ht="15" hidden="1" customHeight="1" x14ac:dyDescent="0.25">
      <c r="B2585" s="7"/>
      <c r="C2585" s="140">
        <v>2557</v>
      </c>
      <c r="D2585" s="142"/>
      <c r="E2585" s="142"/>
      <c r="F2585" s="142"/>
      <c r="G2585" s="142"/>
      <c r="H2585" s="141"/>
      <c r="I2585" s="8"/>
    </row>
    <row r="2586" spans="2:9" ht="15" hidden="1" customHeight="1" x14ac:dyDescent="0.25">
      <c r="B2586" s="7"/>
      <c r="C2586" s="140">
        <v>2558</v>
      </c>
      <c r="D2586" s="142"/>
      <c r="E2586" s="142"/>
      <c r="F2586" s="142"/>
      <c r="G2586" s="142"/>
      <c r="H2586" s="141"/>
      <c r="I2586" s="8"/>
    </row>
    <row r="2587" spans="2:9" ht="15" hidden="1" customHeight="1" x14ac:dyDescent="0.25">
      <c r="B2587" s="7"/>
      <c r="C2587" s="140">
        <v>2559</v>
      </c>
      <c r="D2587" s="142"/>
      <c r="E2587" s="142"/>
      <c r="F2587" s="142"/>
      <c r="G2587" s="142"/>
      <c r="H2587" s="141"/>
      <c r="I2587" s="8"/>
    </row>
    <row r="2588" spans="2:9" ht="15" hidden="1" customHeight="1" x14ac:dyDescent="0.25">
      <c r="B2588" s="7"/>
      <c r="C2588" s="140">
        <v>2560</v>
      </c>
      <c r="D2588" s="142"/>
      <c r="E2588" s="142"/>
      <c r="F2588" s="142"/>
      <c r="G2588" s="142"/>
      <c r="H2588" s="141"/>
      <c r="I2588" s="8"/>
    </row>
    <row r="2589" spans="2:9" ht="15" hidden="1" customHeight="1" x14ac:dyDescent="0.25">
      <c r="B2589" s="7"/>
      <c r="C2589" s="140">
        <v>2561</v>
      </c>
      <c r="D2589" s="142"/>
      <c r="E2589" s="142"/>
      <c r="F2589" s="142"/>
      <c r="G2589" s="142"/>
      <c r="H2589" s="141"/>
      <c r="I2589" s="8"/>
    </row>
    <row r="2590" spans="2:9" ht="15" hidden="1" customHeight="1" x14ac:dyDescent="0.25">
      <c r="B2590" s="7"/>
      <c r="C2590" s="140">
        <v>2562</v>
      </c>
      <c r="D2590" s="142"/>
      <c r="E2590" s="142"/>
      <c r="F2590" s="142"/>
      <c r="G2590" s="142"/>
      <c r="H2590" s="141"/>
      <c r="I2590" s="8"/>
    </row>
    <row r="2591" spans="2:9" ht="15" hidden="1" customHeight="1" x14ac:dyDescent="0.25">
      <c r="B2591" s="7"/>
      <c r="C2591" s="140">
        <v>2563</v>
      </c>
      <c r="D2591" s="142"/>
      <c r="E2591" s="142"/>
      <c r="F2591" s="142"/>
      <c r="G2591" s="142"/>
      <c r="H2591" s="141"/>
      <c r="I2591" s="8"/>
    </row>
    <row r="2592" spans="2:9" ht="15" hidden="1" customHeight="1" x14ac:dyDescent="0.25">
      <c r="B2592" s="7"/>
      <c r="C2592" s="140">
        <v>2564</v>
      </c>
      <c r="D2592" s="142"/>
      <c r="E2592" s="142"/>
      <c r="F2592" s="142"/>
      <c r="G2592" s="142"/>
      <c r="H2592" s="141"/>
      <c r="I2592" s="8"/>
    </row>
    <row r="2593" spans="2:9" ht="15" hidden="1" customHeight="1" x14ac:dyDescent="0.25">
      <c r="B2593" s="7"/>
      <c r="C2593" s="140">
        <v>2565</v>
      </c>
      <c r="D2593" s="142"/>
      <c r="E2593" s="142"/>
      <c r="F2593" s="142"/>
      <c r="G2593" s="142"/>
      <c r="H2593" s="141"/>
      <c r="I2593" s="8"/>
    </row>
    <row r="2594" spans="2:9" ht="15" hidden="1" customHeight="1" x14ac:dyDescent="0.25">
      <c r="B2594" s="7"/>
      <c r="C2594" s="140">
        <v>2566</v>
      </c>
      <c r="D2594" s="142"/>
      <c r="E2594" s="142"/>
      <c r="F2594" s="142"/>
      <c r="G2594" s="142"/>
      <c r="H2594" s="141"/>
      <c r="I2594" s="8"/>
    </row>
    <row r="2595" spans="2:9" ht="15" hidden="1" customHeight="1" x14ac:dyDescent="0.25">
      <c r="B2595" s="7"/>
      <c r="C2595" s="140">
        <v>2567</v>
      </c>
      <c r="D2595" s="142"/>
      <c r="E2595" s="142"/>
      <c r="F2595" s="142"/>
      <c r="G2595" s="142"/>
      <c r="H2595" s="141"/>
      <c r="I2595" s="8"/>
    </row>
    <row r="2596" spans="2:9" ht="15" hidden="1" customHeight="1" x14ac:dyDescent="0.25">
      <c r="B2596" s="7"/>
      <c r="C2596" s="140">
        <v>2568</v>
      </c>
      <c r="D2596" s="142"/>
      <c r="E2596" s="142"/>
      <c r="F2596" s="142"/>
      <c r="G2596" s="142"/>
      <c r="H2596" s="141"/>
      <c r="I2596" s="8"/>
    </row>
    <row r="2597" spans="2:9" ht="15" hidden="1" customHeight="1" x14ac:dyDescent="0.25">
      <c r="B2597" s="7"/>
      <c r="C2597" s="140">
        <v>2569</v>
      </c>
      <c r="D2597" s="142"/>
      <c r="E2597" s="142"/>
      <c r="F2597" s="142"/>
      <c r="G2597" s="142"/>
      <c r="H2597" s="141"/>
      <c r="I2597" s="8"/>
    </row>
    <row r="2598" spans="2:9" ht="15" hidden="1" customHeight="1" x14ac:dyDescent="0.25">
      <c r="B2598" s="7"/>
      <c r="C2598" s="140">
        <v>2570</v>
      </c>
      <c r="D2598" s="142"/>
      <c r="E2598" s="142"/>
      <c r="F2598" s="142"/>
      <c r="G2598" s="142"/>
      <c r="H2598" s="141"/>
      <c r="I2598" s="8"/>
    </row>
    <row r="2599" spans="2:9" ht="15" hidden="1" customHeight="1" x14ac:dyDescent="0.25">
      <c r="B2599" s="7"/>
      <c r="C2599" s="140">
        <v>2571</v>
      </c>
      <c r="D2599" s="142"/>
      <c r="E2599" s="142"/>
      <c r="F2599" s="142"/>
      <c r="G2599" s="142"/>
      <c r="H2599" s="141"/>
      <c r="I2599" s="8"/>
    </row>
    <row r="2600" spans="2:9" ht="15" hidden="1" customHeight="1" x14ac:dyDescent="0.25">
      <c r="B2600" s="7"/>
      <c r="C2600" s="140">
        <v>2572</v>
      </c>
      <c r="D2600" s="142"/>
      <c r="E2600" s="142"/>
      <c r="F2600" s="142"/>
      <c r="G2600" s="142"/>
      <c r="H2600" s="141"/>
      <c r="I2600" s="8"/>
    </row>
    <row r="2601" spans="2:9" ht="15" hidden="1" customHeight="1" x14ac:dyDescent="0.25">
      <c r="B2601" s="7"/>
      <c r="C2601" s="140">
        <v>2573</v>
      </c>
      <c r="D2601" s="142"/>
      <c r="E2601" s="142"/>
      <c r="F2601" s="142"/>
      <c r="G2601" s="142"/>
      <c r="H2601" s="141"/>
      <c r="I2601" s="8"/>
    </row>
    <row r="2602" spans="2:9" ht="15" hidden="1" customHeight="1" x14ac:dyDescent="0.25">
      <c r="B2602" s="7"/>
      <c r="C2602" s="140">
        <v>2574</v>
      </c>
      <c r="D2602" s="142"/>
      <c r="E2602" s="142"/>
      <c r="F2602" s="142"/>
      <c r="G2602" s="142"/>
      <c r="H2602" s="141"/>
      <c r="I2602" s="8"/>
    </row>
    <row r="2603" spans="2:9" ht="15" hidden="1" customHeight="1" x14ac:dyDescent="0.25">
      <c r="B2603" s="7"/>
      <c r="C2603" s="140">
        <v>2575</v>
      </c>
      <c r="D2603" s="142"/>
      <c r="E2603" s="142"/>
      <c r="F2603" s="142"/>
      <c r="G2603" s="142"/>
      <c r="H2603" s="141"/>
      <c r="I2603" s="8"/>
    </row>
    <row r="2604" spans="2:9" ht="15" hidden="1" customHeight="1" x14ac:dyDescent="0.25">
      <c r="B2604" s="7"/>
      <c r="C2604" s="140">
        <v>2576</v>
      </c>
      <c r="D2604" s="142"/>
      <c r="E2604" s="142"/>
      <c r="F2604" s="142"/>
      <c r="G2604" s="142"/>
      <c r="H2604" s="141"/>
      <c r="I2604" s="8"/>
    </row>
    <row r="2605" spans="2:9" ht="15" hidden="1" customHeight="1" x14ac:dyDescent="0.25">
      <c r="B2605" s="7"/>
      <c r="C2605" s="140">
        <v>2577</v>
      </c>
      <c r="D2605" s="142"/>
      <c r="E2605" s="142"/>
      <c r="F2605" s="142"/>
      <c r="G2605" s="142"/>
      <c r="H2605" s="141"/>
      <c r="I2605" s="8"/>
    </row>
    <row r="2606" spans="2:9" ht="15" hidden="1" customHeight="1" x14ac:dyDescent="0.25">
      <c r="B2606" s="7"/>
      <c r="C2606" s="140">
        <v>2578</v>
      </c>
      <c r="D2606" s="142"/>
      <c r="E2606" s="142"/>
      <c r="F2606" s="142"/>
      <c r="G2606" s="142"/>
      <c r="H2606" s="141"/>
      <c r="I2606" s="8"/>
    </row>
    <row r="2607" spans="2:9" ht="15" hidden="1" customHeight="1" x14ac:dyDescent="0.25">
      <c r="B2607" s="7"/>
      <c r="C2607" s="140">
        <v>2579</v>
      </c>
      <c r="D2607" s="142"/>
      <c r="E2607" s="142"/>
      <c r="F2607" s="142"/>
      <c r="G2607" s="142"/>
      <c r="H2607" s="141"/>
      <c r="I2607" s="8"/>
    </row>
    <row r="2608" spans="2:9" ht="15" hidden="1" customHeight="1" x14ac:dyDescent="0.25">
      <c r="B2608" s="7"/>
      <c r="C2608" s="140">
        <v>2580</v>
      </c>
      <c r="D2608" s="142"/>
      <c r="E2608" s="142"/>
      <c r="F2608" s="142"/>
      <c r="G2608" s="142"/>
      <c r="H2608" s="141"/>
      <c r="I2608" s="8"/>
    </row>
    <row r="2609" spans="2:9" ht="15" hidden="1" customHeight="1" x14ac:dyDescent="0.25">
      <c r="B2609" s="7"/>
      <c r="C2609" s="140">
        <v>2581</v>
      </c>
      <c r="D2609" s="142"/>
      <c r="E2609" s="142"/>
      <c r="F2609" s="142"/>
      <c r="G2609" s="142"/>
      <c r="H2609" s="141"/>
      <c r="I2609" s="8"/>
    </row>
    <row r="2610" spans="2:9" ht="15" hidden="1" customHeight="1" x14ac:dyDescent="0.25">
      <c r="B2610" s="7"/>
      <c r="C2610" s="140">
        <v>2582</v>
      </c>
      <c r="D2610" s="142"/>
      <c r="E2610" s="142"/>
      <c r="F2610" s="142"/>
      <c r="G2610" s="142"/>
      <c r="H2610" s="141"/>
      <c r="I2610" s="8"/>
    </row>
    <row r="2611" spans="2:9" ht="15" hidden="1" customHeight="1" x14ac:dyDescent="0.25">
      <c r="B2611" s="7"/>
      <c r="C2611" s="140">
        <v>2583</v>
      </c>
      <c r="D2611" s="142"/>
      <c r="E2611" s="142"/>
      <c r="F2611" s="142"/>
      <c r="G2611" s="142"/>
      <c r="H2611" s="141"/>
      <c r="I2611" s="8"/>
    </row>
    <row r="2612" spans="2:9" ht="15" hidden="1" customHeight="1" x14ac:dyDescent="0.25">
      <c r="B2612" s="7"/>
      <c r="C2612" s="140">
        <v>2584</v>
      </c>
      <c r="D2612" s="142"/>
      <c r="E2612" s="142"/>
      <c r="F2612" s="142"/>
      <c r="G2612" s="142"/>
      <c r="H2612" s="141"/>
      <c r="I2612" s="8"/>
    </row>
    <row r="2613" spans="2:9" ht="15" hidden="1" customHeight="1" x14ac:dyDescent="0.25">
      <c r="B2613" s="7"/>
      <c r="C2613" s="140">
        <v>2585</v>
      </c>
      <c r="D2613" s="142"/>
      <c r="E2613" s="142"/>
      <c r="F2613" s="142"/>
      <c r="G2613" s="142"/>
      <c r="H2613" s="141"/>
      <c r="I2613" s="8"/>
    </row>
    <row r="2614" spans="2:9" ht="15" hidden="1" customHeight="1" x14ac:dyDescent="0.25">
      <c r="B2614" s="7"/>
      <c r="C2614" s="140">
        <v>2586</v>
      </c>
      <c r="D2614" s="142"/>
      <c r="E2614" s="142"/>
      <c r="F2614" s="142"/>
      <c r="G2614" s="142"/>
      <c r="H2614" s="141"/>
      <c r="I2614" s="8"/>
    </row>
    <row r="2615" spans="2:9" ht="15" hidden="1" customHeight="1" x14ac:dyDescent="0.25">
      <c r="B2615" s="7"/>
      <c r="C2615" s="140">
        <v>2587</v>
      </c>
      <c r="D2615" s="142"/>
      <c r="E2615" s="142"/>
      <c r="F2615" s="142"/>
      <c r="G2615" s="142"/>
      <c r="H2615" s="141"/>
      <c r="I2615" s="8"/>
    </row>
    <row r="2616" spans="2:9" ht="15" hidden="1" customHeight="1" x14ac:dyDescent="0.25">
      <c r="B2616" s="7"/>
      <c r="C2616" s="140">
        <v>2588</v>
      </c>
      <c r="D2616" s="142"/>
      <c r="E2616" s="142"/>
      <c r="F2616" s="142"/>
      <c r="G2616" s="142"/>
      <c r="H2616" s="141"/>
      <c r="I2616" s="8"/>
    </row>
    <row r="2617" spans="2:9" ht="15" hidden="1" customHeight="1" x14ac:dyDescent="0.25">
      <c r="B2617" s="7"/>
      <c r="C2617" s="140">
        <v>2589</v>
      </c>
      <c r="D2617" s="142"/>
      <c r="E2617" s="142"/>
      <c r="F2617" s="142"/>
      <c r="G2617" s="142"/>
      <c r="H2617" s="141"/>
      <c r="I2617" s="8"/>
    </row>
    <row r="2618" spans="2:9" ht="15" hidden="1" customHeight="1" x14ac:dyDescent="0.25">
      <c r="B2618" s="7"/>
      <c r="C2618" s="140">
        <v>2590</v>
      </c>
      <c r="D2618" s="142"/>
      <c r="E2618" s="142"/>
      <c r="F2618" s="142"/>
      <c r="G2618" s="142"/>
      <c r="H2618" s="141"/>
      <c r="I2618" s="8"/>
    </row>
    <row r="2619" spans="2:9" ht="15" hidden="1" customHeight="1" x14ac:dyDescent="0.25">
      <c r="B2619" s="7"/>
      <c r="C2619" s="140">
        <v>2591</v>
      </c>
      <c r="D2619" s="142"/>
      <c r="E2619" s="142"/>
      <c r="F2619" s="142"/>
      <c r="G2619" s="142"/>
      <c r="H2619" s="141"/>
      <c r="I2619" s="8"/>
    </row>
    <row r="2620" spans="2:9" ht="15" hidden="1" customHeight="1" x14ac:dyDescent="0.25">
      <c r="B2620" s="7"/>
      <c r="C2620" s="140">
        <v>2592</v>
      </c>
      <c r="D2620" s="142"/>
      <c r="E2620" s="142"/>
      <c r="F2620" s="142"/>
      <c r="G2620" s="142"/>
      <c r="H2620" s="141"/>
      <c r="I2620" s="8"/>
    </row>
    <row r="2621" spans="2:9" ht="15" hidden="1" customHeight="1" x14ac:dyDescent="0.25">
      <c r="B2621" s="7"/>
      <c r="C2621" s="140">
        <v>2593</v>
      </c>
      <c r="D2621" s="142"/>
      <c r="E2621" s="142"/>
      <c r="F2621" s="142"/>
      <c r="G2621" s="142"/>
      <c r="H2621" s="141"/>
      <c r="I2621" s="8"/>
    </row>
    <row r="2622" spans="2:9" ht="15" hidden="1" customHeight="1" x14ac:dyDescent="0.25">
      <c r="B2622" s="7"/>
      <c r="C2622" s="140">
        <v>2594</v>
      </c>
      <c r="D2622" s="142"/>
      <c r="E2622" s="142"/>
      <c r="F2622" s="142"/>
      <c r="G2622" s="142"/>
      <c r="H2622" s="141"/>
      <c r="I2622" s="8"/>
    </row>
    <row r="2623" spans="2:9" ht="15" hidden="1" customHeight="1" x14ac:dyDescent="0.25">
      <c r="B2623" s="7"/>
      <c r="C2623" s="140">
        <v>2595</v>
      </c>
      <c r="D2623" s="142"/>
      <c r="E2623" s="142"/>
      <c r="F2623" s="142"/>
      <c r="G2623" s="142"/>
      <c r="H2623" s="141"/>
      <c r="I2623" s="8"/>
    </row>
    <row r="2624" spans="2:9" ht="15" hidden="1" customHeight="1" x14ac:dyDescent="0.25">
      <c r="B2624" s="7"/>
      <c r="C2624" s="140">
        <v>2596</v>
      </c>
      <c r="D2624" s="142"/>
      <c r="E2624" s="142"/>
      <c r="F2624" s="142"/>
      <c r="G2624" s="142"/>
      <c r="H2624" s="141"/>
      <c r="I2624" s="8"/>
    </row>
    <row r="2625" spans="2:9" ht="15" hidden="1" customHeight="1" x14ac:dyDescent="0.25">
      <c r="B2625" s="7"/>
      <c r="C2625" s="140">
        <v>2597</v>
      </c>
      <c r="D2625" s="142"/>
      <c r="E2625" s="142"/>
      <c r="F2625" s="142"/>
      <c r="G2625" s="142"/>
      <c r="H2625" s="141"/>
      <c r="I2625" s="8"/>
    </row>
    <row r="2626" spans="2:9" ht="15" hidden="1" customHeight="1" x14ac:dyDescent="0.25">
      <c r="B2626" s="7"/>
      <c r="C2626" s="140">
        <v>2598</v>
      </c>
      <c r="D2626" s="142"/>
      <c r="E2626" s="142"/>
      <c r="F2626" s="142"/>
      <c r="G2626" s="142"/>
      <c r="H2626" s="141"/>
      <c r="I2626" s="8"/>
    </row>
    <row r="2627" spans="2:9" ht="15" hidden="1" customHeight="1" x14ac:dyDescent="0.25">
      <c r="B2627" s="7"/>
      <c r="C2627" s="140">
        <v>2599</v>
      </c>
      <c r="D2627" s="142"/>
      <c r="E2627" s="142"/>
      <c r="F2627" s="142"/>
      <c r="G2627" s="142"/>
      <c r="H2627" s="141"/>
      <c r="I2627" s="8"/>
    </row>
    <row r="2628" spans="2:9" ht="15" hidden="1" customHeight="1" x14ac:dyDescent="0.25">
      <c r="B2628" s="7"/>
      <c r="C2628" s="140">
        <v>2600</v>
      </c>
      <c r="D2628" s="142"/>
      <c r="E2628" s="142"/>
      <c r="F2628" s="142"/>
      <c r="G2628" s="142"/>
      <c r="H2628" s="141"/>
      <c r="I2628" s="8"/>
    </row>
    <row r="2629" spans="2:9" ht="15" hidden="1" customHeight="1" x14ac:dyDescent="0.25">
      <c r="B2629" s="7"/>
      <c r="C2629" s="140">
        <v>2601</v>
      </c>
      <c r="D2629" s="142"/>
      <c r="E2629" s="142"/>
      <c r="F2629" s="142"/>
      <c r="G2629" s="142"/>
      <c r="H2629" s="141"/>
      <c r="I2629" s="8"/>
    </row>
    <row r="2630" spans="2:9" ht="15" hidden="1" customHeight="1" x14ac:dyDescent="0.25">
      <c r="B2630" s="7"/>
      <c r="C2630" s="140">
        <v>2602</v>
      </c>
      <c r="D2630" s="142"/>
      <c r="E2630" s="142"/>
      <c r="F2630" s="142"/>
      <c r="G2630" s="142"/>
      <c r="H2630" s="141"/>
      <c r="I2630" s="8"/>
    </row>
    <row r="2631" spans="2:9" ht="15" hidden="1" customHeight="1" x14ac:dyDescent="0.25">
      <c r="B2631" s="7"/>
      <c r="C2631" s="140">
        <v>2603</v>
      </c>
      <c r="D2631" s="142"/>
      <c r="E2631" s="142"/>
      <c r="F2631" s="142"/>
      <c r="G2631" s="142"/>
      <c r="H2631" s="141"/>
      <c r="I2631" s="8"/>
    </row>
    <row r="2632" spans="2:9" ht="15" hidden="1" customHeight="1" x14ac:dyDescent="0.25">
      <c r="B2632" s="7"/>
      <c r="C2632" s="140">
        <v>2604</v>
      </c>
      <c r="D2632" s="142"/>
      <c r="E2632" s="142"/>
      <c r="F2632" s="142"/>
      <c r="G2632" s="142"/>
      <c r="H2632" s="141"/>
      <c r="I2632" s="8"/>
    </row>
    <row r="2633" spans="2:9" ht="15" hidden="1" customHeight="1" x14ac:dyDescent="0.25">
      <c r="B2633" s="7"/>
      <c r="C2633" s="140">
        <v>2605</v>
      </c>
      <c r="D2633" s="142"/>
      <c r="E2633" s="142"/>
      <c r="F2633" s="142"/>
      <c r="G2633" s="142"/>
      <c r="H2633" s="141"/>
      <c r="I2633" s="8"/>
    </row>
    <row r="2634" spans="2:9" ht="15" hidden="1" customHeight="1" x14ac:dyDescent="0.25">
      <c r="B2634" s="7"/>
      <c r="C2634" s="140">
        <v>2606</v>
      </c>
      <c r="D2634" s="142"/>
      <c r="E2634" s="142"/>
      <c r="F2634" s="142"/>
      <c r="G2634" s="142"/>
      <c r="H2634" s="141"/>
      <c r="I2634" s="8"/>
    </row>
    <row r="2635" spans="2:9" ht="15" hidden="1" customHeight="1" x14ac:dyDescent="0.25">
      <c r="B2635" s="7"/>
      <c r="C2635" s="140">
        <v>2607</v>
      </c>
      <c r="D2635" s="142"/>
      <c r="E2635" s="142"/>
      <c r="F2635" s="142"/>
      <c r="G2635" s="142"/>
      <c r="H2635" s="141"/>
      <c r="I2635" s="8"/>
    </row>
    <row r="2636" spans="2:9" ht="15" hidden="1" customHeight="1" x14ac:dyDescent="0.25">
      <c r="B2636" s="7"/>
      <c r="C2636" s="140">
        <v>2608</v>
      </c>
      <c r="D2636" s="142"/>
      <c r="E2636" s="142"/>
      <c r="F2636" s="142"/>
      <c r="G2636" s="142"/>
      <c r="H2636" s="141"/>
      <c r="I2636" s="8"/>
    </row>
    <row r="2637" spans="2:9" ht="15" hidden="1" customHeight="1" x14ac:dyDescent="0.25">
      <c r="B2637" s="7"/>
      <c r="C2637" s="140">
        <v>2609</v>
      </c>
      <c r="D2637" s="142"/>
      <c r="E2637" s="142"/>
      <c r="F2637" s="142"/>
      <c r="G2637" s="142"/>
      <c r="H2637" s="141"/>
      <c r="I2637" s="8"/>
    </row>
    <row r="2638" spans="2:9" ht="15" hidden="1" customHeight="1" x14ac:dyDescent="0.25">
      <c r="B2638" s="7"/>
      <c r="C2638" s="140">
        <v>2610</v>
      </c>
      <c r="D2638" s="142"/>
      <c r="E2638" s="142"/>
      <c r="F2638" s="142"/>
      <c r="G2638" s="142"/>
      <c r="H2638" s="141"/>
      <c r="I2638" s="8"/>
    </row>
    <row r="2639" spans="2:9" ht="15" hidden="1" customHeight="1" x14ac:dyDescent="0.25">
      <c r="B2639" s="7"/>
      <c r="C2639" s="140">
        <v>2611</v>
      </c>
      <c r="D2639" s="142"/>
      <c r="E2639" s="142"/>
      <c r="F2639" s="142"/>
      <c r="G2639" s="142"/>
      <c r="H2639" s="141"/>
      <c r="I2639" s="8"/>
    </row>
    <row r="2640" spans="2:9" ht="15" hidden="1" customHeight="1" x14ac:dyDescent="0.25">
      <c r="B2640" s="7"/>
      <c r="C2640" s="140">
        <v>2612</v>
      </c>
      <c r="D2640" s="142"/>
      <c r="E2640" s="142"/>
      <c r="F2640" s="142"/>
      <c r="G2640" s="142"/>
      <c r="H2640" s="141"/>
      <c r="I2640" s="8"/>
    </row>
    <row r="2641" spans="2:9" ht="15" hidden="1" customHeight="1" x14ac:dyDescent="0.25">
      <c r="B2641" s="7"/>
      <c r="C2641" s="140">
        <v>2613</v>
      </c>
      <c r="D2641" s="142"/>
      <c r="E2641" s="142"/>
      <c r="F2641" s="142"/>
      <c r="G2641" s="142"/>
      <c r="H2641" s="141"/>
      <c r="I2641" s="8"/>
    </row>
    <row r="2642" spans="2:9" ht="15" hidden="1" customHeight="1" x14ac:dyDescent="0.25">
      <c r="B2642" s="7"/>
      <c r="C2642" s="140">
        <v>2614</v>
      </c>
      <c r="D2642" s="142"/>
      <c r="E2642" s="142"/>
      <c r="F2642" s="142"/>
      <c r="G2642" s="142"/>
      <c r="H2642" s="141"/>
      <c r="I2642" s="8"/>
    </row>
    <row r="2643" spans="2:9" ht="15" hidden="1" customHeight="1" x14ac:dyDescent="0.25">
      <c r="B2643" s="7"/>
      <c r="C2643" s="140">
        <v>2615</v>
      </c>
      <c r="D2643" s="142"/>
      <c r="E2643" s="142"/>
      <c r="F2643" s="142"/>
      <c r="G2643" s="142"/>
      <c r="H2643" s="141"/>
      <c r="I2643" s="8"/>
    </row>
    <row r="2644" spans="2:9" ht="15" hidden="1" customHeight="1" x14ac:dyDescent="0.25">
      <c r="B2644" s="7"/>
      <c r="C2644" s="140">
        <v>2616</v>
      </c>
      <c r="D2644" s="142"/>
      <c r="E2644" s="142"/>
      <c r="F2644" s="142"/>
      <c r="G2644" s="142"/>
      <c r="H2644" s="141"/>
      <c r="I2644" s="8"/>
    </row>
    <row r="2645" spans="2:9" ht="15" hidden="1" customHeight="1" x14ac:dyDescent="0.25">
      <c r="B2645" s="7"/>
      <c r="C2645" s="140">
        <v>2617</v>
      </c>
      <c r="D2645" s="142"/>
      <c r="E2645" s="142"/>
      <c r="F2645" s="142"/>
      <c r="G2645" s="142"/>
      <c r="H2645" s="141"/>
      <c r="I2645" s="8"/>
    </row>
    <row r="2646" spans="2:9" ht="15" hidden="1" customHeight="1" x14ac:dyDescent="0.25">
      <c r="B2646" s="7"/>
      <c r="C2646" s="140">
        <v>2618</v>
      </c>
      <c r="D2646" s="142"/>
      <c r="E2646" s="142"/>
      <c r="F2646" s="142"/>
      <c r="G2646" s="142"/>
      <c r="H2646" s="141"/>
      <c r="I2646" s="8"/>
    </row>
    <row r="2647" spans="2:9" ht="15" hidden="1" customHeight="1" x14ac:dyDescent="0.25">
      <c r="B2647" s="7"/>
      <c r="C2647" s="140">
        <v>2619</v>
      </c>
      <c r="D2647" s="142"/>
      <c r="E2647" s="142"/>
      <c r="F2647" s="142"/>
      <c r="G2647" s="142"/>
      <c r="H2647" s="141"/>
      <c r="I2647" s="8"/>
    </row>
    <row r="2648" spans="2:9" ht="15" hidden="1" customHeight="1" x14ac:dyDescent="0.25">
      <c r="B2648" s="7"/>
      <c r="C2648" s="140">
        <v>2620</v>
      </c>
      <c r="D2648" s="142"/>
      <c r="E2648" s="142"/>
      <c r="F2648" s="142"/>
      <c r="G2648" s="142"/>
      <c r="H2648" s="141"/>
      <c r="I2648" s="8"/>
    </row>
    <row r="2649" spans="2:9" ht="15" hidden="1" customHeight="1" x14ac:dyDescent="0.25">
      <c r="B2649" s="7"/>
      <c r="C2649" s="140">
        <v>2621</v>
      </c>
      <c r="D2649" s="142"/>
      <c r="E2649" s="142"/>
      <c r="F2649" s="142"/>
      <c r="G2649" s="142"/>
      <c r="H2649" s="141"/>
      <c r="I2649" s="8"/>
    </row>
    <row r="2650" spans="2:9" ht="15" hidden="1" customHeight="1" x14ac:dyDescent="0.25">
      <c r="B2650" s="7"/>
      <c r="C2650" s="140">
        <v>2622</v>
      </c>
      <c r="D2650" s="142"/>
      <c r="E2650" s="142"/>
      <c r="F2650" s="142"/>
      <c r="G2650" s="142"/>
      <c r="H2650" s="141"/>
      <c r="I2650" s="8"/>
    </row>
    <row r="2651" spans="2:9" ht="15" hidden="1" customHeight="1" x14ac:dyDescent="0.25">
      <c r="B2651" s="7"/>
      <c r="C2651" s="140">
        <v>2623</v>
      </c>
      <c r="D2651" s="142"/>
      <c r="E2651" s="142"/>
      <c r="F2651" s="142"/>
      <c r="G2651" s="142"/>
      <c r="H2651" s="141"/>
      <c r="I2651" s="8"/>
    </row>
    <row r="2652" spans="2:9" ht="15" hidden="1" customHeight="1" x14ac:dyDescent="0.25">
      <c r="B2652" s="7"/>
      <c r="C2652" s="140">
        <v>2624</v>
      </c>
      <c r="D2652" s="142"/>
      <c r="E2652" s="142"/>
      <c r="F2652" s="142"/>
      <c r="G2652" s="142"/>
      <c r="H2652" s="141"/>
      <c r="I2652" s="8"/>
    </row>
    <row r="2653" spans="2:9" ht="15" hidden="1" customHeight="1" x14ac:dyDescent="0.25">
      <c r="B2653" s="7"/>
      <c r="C2653" s="140">
        <v>2625</v>
      </c>
      <c r="D2653" s="142"/>
      <c r="E2653" s="142"/>
      <c r="F2653" s="142"/>
      <c r="G2653" s="142"/>
      <c r="H2653" s="141"/>
      <c r="I2653" s="8"/>
    </row>
    <row r="2654" spans="2:9" ht="15" hidden="1" customHeight="1" x14ac:dyDescent="0.25">
      <c r="B2654" s="7"/>
      <c r="C2654" s="140">
        <v>2626</v>
      </c>
      <c r="D2654" s="142"/>
      <c r="E2654" s="142"/>
      <c r="F2654" s="142"/>
      <c r="G2654" s="142"/>
      <c r="H2654" s="141"/>
      <c r="I2654" s="8"/>
    </row>
    <row r="2655" spans="2:9" ht="15" hidden="1" customHeight="1" x14ac:dyDescent="0.25">
      <c r="B2655" s="7"/>
      <c r="C2655" s="140">
        <v>2627</v>
      </c>
      <c r="D2655" s="142"/>
      <c r="E2655" s="142"/>
      <c r="F2655" s="142"/>
      <c r="G2655" s="142"/>
      <c r="H2655" s="141"/>
      <c r="I2655" s="8"/>
    </row>
    <row r="2656" spans="2:9" ht="15" hidden="1" customHeight="1" x14ac:dyDescent="0.25">
      <c r="B2656" s="7"/>
      <c r="C2656" s="140">
        <v>2628</v>
      </c>
      <c r="D2656" s="142"/>
      <c r="E2656" s="142"/>
      <c r="F2656" s="142"/>
      <c r="G2656" s="142"/>
      <c r="H2656" s="141"/>
      <c r="I2656" s="8"/>
    </row>
    <row r="2657" spans="2:9" ht="15" hidden="1" customHeight="1" x14ac:dyDescent="0.25">
      <c r="B2657" s="7"/>
      <c r="C2657" s="140">
        <v>2629</v>
      </c>
      <c r="D2657" s="142"/>
      <c r="E2657" s="142"/>
      <c r="F2657" s="142"/>
      <c r="G2657" s="142"/>
      <c r="H2657" s="141"/>
      <c r="I2657" s="8"/>
    </row>
    <row r="2658" spans="2:9" ht="15" hidden="1" customHeight="1" x14ac:dyDescent="0.25">
      <c r="B2658" s="7"/>
      <c r="C2658" s="140">
        <v>2630</v>
      </c>
      <c r="D2658" s="142"/>
      <c r="E2658" s="142"/>
      <c r="F2658" s="142"/>
      <c r="G2658" s="142"/>
      <c r="H2658" s="141"/>
      <c r="I2658" s="8"/>
    </row>
    <row r="2659" spans="2:9" ht="15" hidden="1" customHeight="1" x14ac:dyDescent="0.25">
      <c r="B2659" s="7"/>
      <c r="C2659" s="140">
        <v>2631</v>
      </c>
      <c r="D2659" s="142"/>
      <c r="E2659" s="142"/>
      <c r="F2659" s="142"/>
      <c r="G2659" s="142"/>
      <c r="H2659" s="141"/>
      <c r="I2659" s="8"/>
    </row>
    <row r="2660" spans="2:9" ht="15" hidden="1" customHeight="1" x14ac:dyDescent="0.25">
      <c r="B2660" s="7"/>
      <c r="C2660" s="140">
        <v>2632</v>
      </c>
      <c r="D2660" s="142"/>
      <c r="E2660" s="142"/>
      <c r="F2660" s="142"/>
      <c r="G2660" s="142"/>
      <c r="H2660" s="141"/>
      <c r="I2660" s="8"/>
    </row>
    <row r="2661" spans="2:9" ht="15" hidden="1" customHeight="1" x14ac:dyDescent="0.25">
      <c r="B2661" s="7"/>
      <c r="C2661" s="140">
        <v>2633</v>
      </c>
      <c r="D2661" s="142"/>
      <c r="E2661" s="142"/>
      <c r="F2661" s="142"/>
      <c r="G2661" s="142"/>
      <c r="H2661" s="141"/>
      <c r="I2661" s="8"/>
    </row>
    <row r="2662" spans="2:9" ht="15" hidden="1" customHeight="1" x14ac:dyDescent="0.25">
      <c r="B2662" s="7"/>
      <c r="C2662" s="140">
        <v>2634</v>
      </c>
      <c r="D2662" s="142"/>
      <c r="E2662" s="142"/>
      <c r="F2662" s="142"/>
      <c r="G2662" s="142"/>
      <c r="H2662" s="141"/>
      <c r="I2662" s="8"/>
    </row>
    <row r="2663" spans="2:9" ht="15" hidden="1" customHeight="1" x14ac:dyDescent="0.25">
      <c r="B2663" s="7"/>
      <c r="C2663" s="140">
        <v>2635</v>
      </c>
      <c r="D2663" s="142"/>
      <c r="E2663" s="142"/>
      <c r="F2663" s="142"/>
      <c r="G2663" s="142"/>
      <c r="H2663" s="141"/>
      <c r="I2663" s="8"/>
    </row>
    <row r="2664" spans="2:9" ht="15" hidden="1" customHeight="1" x14ac:dyDescent="0.25">
      <c r="B2664" s="7"/>
      <c r="C2664" s="140">
        <v>2636</v>
      </c>
      <c r="D2664" s="142"/>
      <c r="E2664" s="142"/>
      <c r="F2664" s="142"/>
      <c r="G2664" s="142"/>
      <c r="H2664" s="141"/>
      <c r="I2664" s="8"/>
    </row>
    <row r="2665" spans="2:9" ht="15" hidden="1" customHeight="1" x14ac:dyDescent="0.25">
      <c r="B2665" s="7"/>
      <c r="C2665" s="140">
        <v>2637</v>
      </c>
      <c r="D2665" s="142"/>
      <c r="E2665" s="142"/>
      <c r="F2665" s="142"/>
      <c r="G2665" s="142"/>
      <c r="H2665" s="141"/>
      <c r="I2665" s="8"/>
    </row>
    <row r="2666" spans="2:9" ht="15" hidden="1" customHeight="1" x14ac:dyDescent="0.25">
      <c r="B2666" s="7"/>
      <c r="C2666" s="140">
        <v>2638</v>
      </c>
      <c r="D2666" s="142"/>
      <c r="E2666" s="142"/>
      <c r="F2666" s="142"/>
      <c r="G2666" s="142"/>
      <c r="H2666" s="141"/>
      <c r="I2666" s="8"/>
    </row>
    <row r="2667" spans="2:9" ht="15" hidden="1" customHeight="1" x14ac:dyDescent="0.25">
      <c r="B2667" s="7"/>
      <c r="C2667" s="140">
        <v>2639</v>
      </c>
      <c r="D2667" s="142"/>
      <c r="E2667" s="142"/>
      <c r="F2667" s="142"/>
      <c r="G2667" s="142"/>
      <c r="H2667" s="141"/>
      <c r="I2667" s="8"/>
    </row>
    <row r="2668" spans="2:9" ht="15" hidden="1" customHeight="1" x14ac:dyDescent="0.25">
      <c r="B2668" s="7"/>
      <c r="C2668" s="140">
        <v>2640</v>
      </c>
      <c r="D2668" s="142"/>
      <c r="E2668" s="142"/>
      <c r="F2668" s="142"/>
      <c r="G2668" s="142"/>
      <c r="H2668" s="141"/>
      <c r="I2668" s="8"/>
    </row>
    <row r="2669" spans="2:9" ht="15" hidden="1" customHeight="1" x14ac:dyDescent="0.25">
      <c r="B2669" s="7"/>
      <c r="C2669" s="140">
        <v>2641</v>
      </c>
      <c r="D2669" s="142"/>
      <c r="E2669" s="142"/>
      <c r="F2669" s="142"/>
      <c r="G2669" s="142"/>
      <c r="H2669" s="141"/>
      <c r="I2669" s="8"/>
    </row>
    <row r="2670" spans="2:9" ht="15" hidden="1" customHeight="1" x14ac:dyDescent="0.25">
      <c r="B2670" s="7"/>
      <c r="C2670" s="140">
        <v>2642</v>
      </c>
      <c r="D2670" s="142"/>
      <c r="E2670" s="142"/>
      <c r="F2670" s="142"/>
      <c r="G2670" s="142"/>
      <c r="H2670" s="141"/>
      <c r="I2670" s="8"/>
    </row>
    <row r="2671" spans="2:9" ht="15" hidden="1" customHeight="1" x14ac:dyDescent="0.25">
      <c r="B2671" s="7"/>
      <c r="C2671" s="140">
        <v>2643</v>
      </c>
      <c r="D2671" s="142"/>
      <c r="E2671" s="142"/>
      <c r="F2671" s="142"/>
      <c r="G2671" s="142"/>
      <c r="H2671" s="141"/>
      <c r="I2671" s="8"/>
    </row>
    <row r="2672" spans="2:9" ht="15" hidden="1" customHeight="1" x14ac:dyDescent="0.25">
      <c r="B2672" s="7"/>
      <c r="C2672" s="140">
        <v>2644</v>
      </c>
      <c r="D2672" s="142"/>
      <c r="E2672" s="142"/>
      <c r="F2672" s="142"/>
      <c r="G2672" s="142"/>
      <c r="H2672" s="141"/>
      <c r="I2672" s="8"/>
    </row>
    <row r="2673" spans="2:9" ht="15" hidden="1" customHeight="1" x14ac:dyDescent="0.25">
      <c r="B2673" s="7"/>
      <c r="C2673" s="140">
        <v>2645</v>
      </c>
      <c r="D2673" s="142"/>
      <c r="E2673" s="142"/>
      <c r="F2673" s="142"/>
      <c r="G2673" s="142"/>
      <c r="H2673" s="141"/>
      <c r="I2673" s="8"/>
    </row>
    <row r="2674" spans="2:9" ht="15" hidden="1" customHeight="1" x14ac:dyDescent="0.25">
      <c r="B2674" s="7"/>
      <c r="C2674" s="140">
        <v>2646</v>
      </c>
      <c r="D2674" s="142"/>
      <c r="E2674" s="142"/>
      <c r="F2674" s="142"/>
      <c r="G2674" s="142"/>
      <c r="H2674" s="141"/>
      <c r="I2674" s="8"/>
    </row>
    <row r="2675" spans="2:9" ht="15" hidden="1" customHeight="1" x14ac:dyDescent="0.25">
      <c r="B2675" s="7"/>
      <c r="C2675" s="140">
        <v>2647</v>
      </c>
      <c r="D2675" s="142"/>
      <c r="E2675" s="142"/>
      <c r="F2675" s="142"/>
      <c r="G2675" s="142"/>
      <c r="H2675" s="141"/>
      <c r="I2675" s="8"/>
    </row>
    <row r="2676" spans="2:9" ht="15" hidden="1" customHeight="1" x14ac:dyDescent="0.25">
      <c r="B2676" s="7"/>
      <c r="C2676" s="140">
        <v>2648</v>
      </c>
      <c r="D2676" s="142"/>
      <c r="E2676" s="142"/>
      <c r="F2676" s="142"/>
      <c r="G2676" s="142"/>
      <c r="H2676" s="141"/>
      <c r="I2676" s="8"/>
    </row>
    <row r="2677" spans="2:9" ht="15" hidden="1" customHeight="1" x14ac:dyDescent="0.25">
      <c r="B2677" s="7"/>
      <c r="C2677" s="140">
        <v>2649</v>
      </c>
      <c r="D2677" s="142"/>
      <c r="E2677" s="142"/>
      <c r="F2677" s="142"/>
      <c r="G2677" s="142"/>
      <c r="H2677" s="141"/>
      <c r="I2677" s="8"/>
    </row>
    <row r="2678" spans="2:9" ht="15" hidden="1" customHeight="1" x14ac:dyDescent="0.25">
      <c r="B2678" s="7"/>
      <c r="C2678" s="140">
        <v>2650</v>
      </c>
      <c r="D2678" s="142"/>
      <c r="E2678" s="142"/>
      <c r="F2678" s="142"/>
      <c r="G2678" s="142"/>
      <c r="H2678" s="141"/>
      <c r="I2678" s="8"/>
    </row>
    <row r="2679" spans="2:9" ht="15" hidden="1" customHeight="1" x14ac:dyDescent="0.25">
      <c r="B2679" s="7"/>
      <c r="C2679" s="140">
        <v>2651</v>
      </c>
      <c r="D2679" s="142"/>
      <c r="E2679" s="142"/>
      <c r="F2679" s="142"/>
      <c r="G2679" s="142"/>
      <c r="H2679" s="141"/>
      <c r="I2679" s="8"/>
    </row>
    <row r="2680" spans="2:9" ht="15" hidden="1" customHeight="1" x14ac:dyDescent="0.25">
      <c r="B2680" s="7"/>
      <c r="C2680" s="140">
        <v>2652</v>
      </c>
      <c r="D2680" s="142"/>
      <c r="E2680" s="142"/>
      <c r="F2680" s="142"/>
      <c r="G2680" s="142"/>
      <c r="H2680" s="141"/>
      <c r="I2680" s="8"/>
    </row>
    <row r="2681" spans="2:9" ht="15" hidden="1" customHeight="1" x14ac:dyDescent="0.25">
      <c r="B2681" s="7"/>
      <c r="C2681" s="140">
        <v>2653</v>
      </c>
      <c r="D2681" s="142"/>
      <c r="E2681" s="142"/>
      <c r="F2681" s="142"/>
      <c r="G2681" s="142"/>
      <c r="H2681" s="141"/>
      <c r="I2681" s="8"/>
    </row>
    <row r="2682" spans="2:9" ht="15" hidden="1" customHeight="1" x14ac:dyDescent="0.25">
      <c r="B2682" s="7"/>
      <c r="C2682" s="140">
        <v>2654</v>
      </c>
      <c r="D2682" s="142"/>
      <c r="E2682" s="142"/>
      <c r="F2682" s="142"/>
      <c r="G2682" s="142"/>
      <c r="H2682" s="141"/>
      <c r="I2682" s="8"/>
    </row>
    <row r="2683" spans="2:9" ht="15" hidden="1" customHeight="1" x14ac:dyDescent="0.25">
      <c r="B2683" s="7"/>
      <c r="C2683" s="140">
        <v>2655</v>
      </c>
      <c r="D2683" s="142"/>
      <c r="E2683" s="142"/>
      <c r="F2683" s="142"/>
      <c r="G2683" s="142"/>
      <c r="H2683" s="141"/>
      <c r="I2683" s="8"/>
    </row>
    <row r="2684" spans="2:9" ht="15" hidden="1" customHeight="1" x14ac:dyDescent="0.25">
      <c r="B2684" s="7"/>
      <c r="C2684" s="140">
        <v>2656</v>
      </c>
      <c r="D2684" s="142"/>
      <c r="E2684" s="142"/>
      <c r="F2684" s="142"/>
      <c r="G2684" s="142"/>
      <c r="H2684" s="141"/>
      <c r="I2684" s="8"/>
    </row>
    <row r="2685" spans="2:9" ht="15" hidden="1" customHeight="1" x14ac:dyDescent="0.25">
      <c r="B2685" s="7"/>
      <c r="C2685" s="140">
        <v>2657</v>
      </c>
      <c r="D2685" s="142"/>
      <c r="E2685" s="142"/>
      <c r="F2685" s="142"/>
      <c r="G2685" s="142"/>
      <c r="H2685" s="141"/>
      <c r="I2685" s="8"/>
    </row>
    <row r="2686" spans="2:9" ht="15" hidden="1" customHeight="1" x14ac:dyDescent="0.25">
      <c r="B2686" s="7"/>
      <c r="C2686" s="140">
        <v>2658</v>
      </c>
      <c r="D2686" s="142"/>
      <c r="E2686" s="142"/>
      <c r="F2686" s="142"/>
      <c r="G2686" s="142"/>
      <c r="H2686" s="141"/>
      <c r="I2686" s="8"/>
    </row>
    <row r="2687" spans="2:9" ht="15" hidden="1" customHeight="1" x14ac:dyDescent="0.25">
      <c r="B2687" s="7"/>
      <c r="C2687" s="140">
        <v>2659</v>
      </c>
      <c r="D2687" s="142"/>
      <c r="E2687" s="142"/>
      <c r="F2687" s="142"/>
      <c r="G2687" s="142"/>
      <c r="H2687" s="141"/>
      <c r="I2687" s="8"/>
    </row>
    <row r="2688" spans="2:9" ht="15" hidden="1" customHeight="1" x14ac:dyDescent="0.25">
      <c r="B2688" s="7"/>
      <c r="C2688" s="140">
        <v>2660</v>
      </c>
      <c r="D2688" s="142"/>
      <c r="E2688" s="142"/>
      <c r="F2688" s="142"/>
      <c r="G2688" s="142"/>
      <c r="H2688" s="141"/>
      <c r="I2688" s="8"/>
    </row>
    <row r="2689" spans="2:9" ht="15" hidden="1" customHeight="1" x14ac:dyDescent="0.25">
      <c r="B2689" s="7"/>
      <c r="C2689" s="140">
        <v>2661</v>
      </c>
      <c r="D2689" s="142"/>
      <c r="E2689" s="142"/>
      <c r="F2689" s="142"/>
      <c r="G2689" s="142"/>
      <c r="H2689" s="141"/>
      <c r="I2689" s="8"/>
    </row>
    <row r="2690" spans="2:9" ht="15" hidden="1" customHeight="1" x14ac:dyDescent="0.25">
      <c r="B2690" s="7"/>
      <c r="C2690" s="140">
        <v>2662</v>
      </c>
      <c r="D2690" s="142"/>
      <c r="E2690" s="142"/>
      <c r="F2690" s="142"/>
      <c r="G2690" s="142"/>
      <c r="H2690" s="141"/>
      <c r="I2690" s="8"/>
    </row>
    <row r="2691" spans="2:9" ht="15" hidden="1" customHeight="1" x14ac:dyDescent="0.25">
      <c r="B2691" s="7"/>
      <c r="C2691" s="140">
        <v>2663</v>
      </c>
      <c r="D2691" s="142"/>
      <c r="E2691" s="142"/>
      <c r="F2691" s="142"/>
      <c r="G2691" s="142"/>
      <c r="H2691" s="141"/>
      <c r="I2691" s="8"/>
    </row>
    <row r="2692" spans="2:9" ht="15" hidden="1" customHeight="1" x14ac:dyDescent="0.25">
      <c r="B2692" s="7"/>
      <c r="C2692" s="140">
        <v>2664</v>
      </c>
      <c r="D2692" s="142"/>
      <c r="E2692" s="142"/>
      <c r="F2692" s="142"/>
      <c r="G2692" s="142"/>
      <c r="H2692" s="141"/>
      <c r="I2692" s="8"/>
    </row>
    <row r="2693" spans="2:9" ht="15" hidden="1" customHeight="1" x14ac:dyDescent="0.25">
      <c r="B2693" s="7"/>
      <c r="C2693" s="140">
        <v>2665</v>
      </c>
      <c r="D2693" s="142"/>
      <c r="E2693" s="142"/>
      <c r="F2693" s="142"/>
      <c r="G2693" s="142"/>
      <c r="H2693" s="141"/>
      <c r="I2693" s="8"/>
    </row>
    <row r="2694" spans="2:9" ht="15" hidden="1" customHeight="1" x14ac:dyDescent="0.25">
      <c r="B2694" s="7"/>
      <c r="C2694" s="140">
        <v>2666</v>
      </c>
      <c r="D2694" s="142"/>
      <c r="E2694" s="142"/>
      <c r="F2694" s="142"/>
      <c r="G2694" s="142"/>
      <c r="H2694" s="141"/>
      <c r="I2694" s="8"/>
    </row>
    <row r="2695" spans="2:9" ht="15" hidden="1" customHeight="1" x14ac:dyDescent="0.25">
      <c r="B2695" s="7"/>
      <c r="C2695" s="140">
        <v>2667</v>
      </c>
      <c r="D2695" s="142"/>
      <c r="E2695" s="142"/>
      <c r="F2695" s="142"/>
      <c r="G2695" s="142"/>
      <c r="H2695" s="141"/>
      <c r="I2695" s="8"/>
    </row>
    <row r="2696" spans="2:9" ht="15" hidden="1" customHeight="1" x14ac:dyDescent="0.25">
      <c r="B2696" s="7"/>
      <c r="C2696" s="140">
        <v>2668</v>
      </c>
      <c r="D2696" s="142"/>
      <c r="E2696" s="142"/>
      <c r="F2696" s="142"/>
      <c r="G2696" s="142"/>
      <c r="H2696" s="141"/>
      <c r="I2696" s="8"/>
    </row>
    <row r="2697" spans="2:9" ht="15" hidden="1" customHeight="1" x14ac:dyDescent="0.25">
      <c r="B2697" s="7"/>
      <c r="C2697" s="140">
        <v>2669</v>
      </c>
      <c r="D2697" s="142"/>
      <c r="E2697" s="142"/>
      <c r="F2697" s="142"/>
      <c r="G2697" s="142"/>
      <c r="H2697" s="141"/>
      <c r="I2697" s="8"/>
    </row>
    <row r="2698" spans="2:9" ht="15" hidden="1" customHeight="1" x14ac:dyDescent="0.25">
      <c r="B2698" s="7"/>
      <c r="C2698" s="140">
        <v>2670</v>
      </c>
      <c r="D2698" s="142"/>
      <c r="E2698" s="142"/>
      <c r="F2698" s="142"/>
      <c r="G2698" s="142"/>
      <c r="H2698" s="141"/>
      <c r="I2698" s="8"/>
    </row>
    <row r="2699" spans="2:9" ht="15" hidden="1" customHeight="1" x14ac:dyDescent="0.25">
      <c r="B2699" s="7"/>
      <c r="C2699" s="140">
        <v>2671</v>
      </c>
      <c r="D2699" s="142"/>
      <c r="E2699" s="142"/>
      <c r="F2699" s="142"/>
      <c r="G2699" s="142"/>
      <c r="H2699" s="141"/>
      <c r="I2699" s="8"/>
    </row>
    <row r="2700" spans="2:9" ht="15" hidden="1" customHeight="1" x14ac:dyDescent="0.25">
      <c r="B2700" s="7"/>
      <c r="C2700" s="140">
        <v>2672</v>
      </c>
      <c r="D2700" s="142"/>
      <c r="E2700" s="142"/>
      <c r="F2700" s="142"/>
      <c r="G2700" s="142"/>
      <c r="H2700" s="141"/>
      <c r="I2700" s="8"/>
    </row>
    <row r="2701" spans="2:9" ht="15" hidden="1" customHeight="1" x14ac:dyDescent="0.25">
      <c r="B2701" s="7"/>
      <c r="C2701" s="140">
        <v>2673</v>
      </c>
      <c r="D2701" s="142"/>
      <c r="E2701" s="142"/>
      <c r="F2701" s="142"/>
      <c r="G2701" s="142"/>
      <c r="H2701" s="141"/>
      <c r="I2701" s="8"/>
    </row>
    <row r="2702" spans="2:9" ht="15" hidden="1" customHeight="1" x14ac:dyDescent="0.25">
      <c r="B2702" s="7"/>
      <c r="C2702" s="140">
        <v>2674</v>
      </c>
      <c r="D2702" s="142"/>
      <c r="E2702" s="142"/>
      <c r="F2702" s="142"/>
      <c r="G2702" s="142"/>
      <c r="H2702" s="141"/>
      <c r="I2702" s="8"/>
    </row>
    <row r="2703" spans="2:9" ht="15" hidden="1" customHeight="1" x14ac:dyDescent="0.25">
      <c r="B2703" s="7"/>
      <c r="C2703" s="140">
        <v>2675</v>
      </c>
      <c r="D2703" s="142"/>
      <c r="E2703" s="142"/>
      <c r="F2703" s="142"/>
      <c r="G2703" s="142"/>
      <c r="H2703" s="141"/>
      <c r="I2703" s="8"/>
    </row>
    <row r="2704" spans="2:9" ht="15" hidden="1" customHeight="1" x14ac:dyDescent="0.25">
      <c r="B2704" s="7"/>
      <c r="C2704" s="140">
        <v>2676</v>
      </c>
      <c r="D2704" s="142"/>
      <c r="E2704" s="142"/>
      <c r="F2704" s="142"/>
      <c r="G2704" s="142"/>
      <c r="H2704" s="141"/>
      <c r="I2704" s="8"/>
    </row>
    <row r="2705" spans="2:9" ht="15" hidden="1" customHeight="1" x14ac:dyDescent="0.25">
      <c r="B2705" s="7"/>
      <c r="C2705" s="140">
        <v>2677</v>
      </c>
      <c r="D2705" s="142"/>
      <c r="E2705" s="142"/>
      <c r="F2705" s="142"/>
      <c r="G2705" s="142"/>
      <c r="H2705" s="141"/>
      <c r="I2705" s="8"/>
    </row>
    <row r="2706" spans="2:9" ht="15" hidden="1" customHeight="1" x14ac:dyDescent="0.25">
      <c r="B2706" s="7"/>
      <c r="C2706" s="140">
        <v>2678</v>
      </c>
      <c r="D2706" s="142"/>
      <c r="E2706" s="142"/>
      <c r="F2706" s="142"/>
      <c r="G2706" s="142"/>
      <c r="H2706" s="141"/>
      <c r="I2706" s="8"/>
    </row>
    <row r="2707" spans="2:9" ht="15" hidden="1" customHeight="1" x14ac:dyDescent="0.25">
      <c r="B2707" s="7"/>
      <c r="C2707" s="140">
        <v>2679</v>
      </c>
      <c r="D2707" s="142"/>
      <c r="E2707" s="142"/>
      <c r="F2707" s="142"/>
      <c r="G2707" s="142"/>
      <c r="H2707" s="141"/>
      <c r="I2707" s="8"/>
    </row>
    <row r="2708" spans="2:9" ht="15" hidden="1" customHeight="1" x14ac:dyDescent="0.25">
      <c r="B2708" s="7"/>
      <c r="C2708" s="140">
        <v>2680</v>
      </c>
      <c r="D2708" s="142"/>
      <c r="E2708" s="142"/>
      <c r="F2708" s="142"/>
      <c r="G2708" s="142"/>
      <c r="H2708" s="141"/>
      <c r="I2708" s="8"/>
    </row>
    <row r="2709" spans="2:9" ht="15" hidden="1" customHeight="1" x14ac:dyDescent="0.25">
      <c r="B2709" s="7"/>
      <c r="C2709" s="140">
        <v>2681</v>
      </c>
      <c r="D2709" s="142"/>
      <c r="E2709" s="142"/>
      <c r="F2709" s="142"/>
      <c r="G2709" s="142"/>
      <c r="H2709" s="141"/>
      <c r="I2709" s="8"/>
    </row>
    <row r="2710" spans="2:9" ht="15" hidden="1" customHeight="1" x14ac:dyDescent="0.25">
      <c r="B2710" s="7"/>
      <c r="C2710" s="140">
        <v>2682</v>
      </c>
      <c r="D2710" s="142"/>
      <c r="E2710" s="142"/>
      <c r="F2710" s="142"/>
      <c r="G2710" s="142"/>
      <c r="H2710" s="141"/>
      <c r="I2710" s="8"/>
    </row>
    <row r="2711" spans="2:9" ht="15" hidden="1" customHeight="1" x14ac:dyDescent="0.25">
      <c r="B2711" s="7"/>
      <c r="C2711" s="140">
        <v>2683</v>
      </c>
      <c r="D2711" s="142"/>
      <c r="E2711" s="142"/>
      <c r="F2711" s="142"/>
      <c r="G2711" s="142"/>
      <c r="H2711" s="141"/>
      <c r="I2711" s="8"/>
    </row>
    <row r="2712" spans="2:9" ht="15" hidden="1" customHeight="1" x14ac:dyDescent="0.25">
      <c r="B2712" s="7"/>
      <c r="C2712" s="140">
        <v>2684</v>
      </c>
      <c r="D2712" s="142"/>
      <c r="E2712" s="142"/>
      <c r="F2712" s="142"/>
      <c r="G2712" s="142"/>
      <c r="H2712" s="141"/>
      <c r="I2712" s="8"/>
    </row>
    <row r="2713" spans="2:9" ht="15" hidden="1" customHeight="1" x14ac:dyDescent="0.25">
      <c r="B2713" s="7"/>
      <c r="C2713" s="140">
        <v>2685</v>
      </c>
      <c r="D2713" s="142"/>
      <c r="E2713" s="142"/>
      <c r="F2713" s="142"/>
      <c r="G2713" s="142"/>
      <c r="H2713" s="141"/>
      <c r="I2713" s="8"/>
    </row>
    <row r="2714" spans="2:9" ht="15" hidden="1" customHeight="1" x14ac:dyDescent="0.25">
      <c r="B2714" s="7"/>
      <c r="C2714" s="140">
        <v>2686</v>
      </c>
      <c r="D2714" s="142"/>
      <c r="E2714" s="142"/>
      <c r="F2714" s="142"/>
      <c r="G2714" s="142"/>
      <c r="H2714" s="141"/>
      <c r="I2714" s="8"/>
    </row>
    <row r="2715" spans="2:9" ht="15" hidden="1" customHeight="1" x14ac:dyDescent="0.25">
      <c r="B2715" s="7"/>
      <c r="C2715" s="140">
        <v>2687</v>
      </c>
      <c r="D2715" s="142"/>
      <c r="E2715" s="142"/>
      <c r="F2715" s="142"/>
      <c r="G2715" s="142"/>
      <c r="H2715" s="141"/>
      <c r="I2715" s="8"/>
    </row>
    <row r="2716" spans="2:9" ht="15" hidden="1" customHeight="1" x14ac:dyDescent="0.25">
      <c r="B2716" s="7"/>
      <c r="C2716" s="140">
        <v>2688</v>
      </c>
      <c r="D2716" s="142"/>
      <c r="E2716" s="142"/>
      <c r="F2716" s="142"/>
      <c r="G2716" s="142"/>
      <c r="H2716" s="141"/>
      <c r="I2716" s="8"/>
    </row>
    <row r="2717" spans="2:9" ht="15" hidden="1" customHeight="1" x14ac:dyDescent="0.25">
      <c r="B2717" s="7"/>
      <c r="C2717" s="140">
        <v>2689</v>
      </c>
      <c r="D2717" s="142"/>
      <c r="E2717" s="142"/>
      <c r="F2717" s="142"/>
      <c r="G2717" s="142"/>
      <c r="H2717" s="141"/>
      <c r="I2717" s="8"/>
    </row>
    <row r="2718" spans="2:9" ht="15" hidden="1" customHeight="1" x14ac:dyDescent="0.25">
      <c r="B2718" s="7"/>
      <c r="C2718" s="140">
        <v>2690</v>
      </c>
      <c r="D2718" s="142"/>
      <c r="E2718" s="142"/>
      <c r="F2718" s="142"/>
      <c r="G2718" s="142"/>
      <c r="H2718" s="141"/>
      <c r="I2718" s="8"/>
    </row>
    <row r="2719" spans="2:9" ht="15" hidden="1" customHeight="1" x14ac:dyDescent="0.25">
      <c r="B2719" s="7"/>
      <c r="C2719" s="140">
        <v>2691</v>
      </c>
      <c r="D2719" s="142"/>
      <c r="E2719" s="142"/>
      <c r="F2719" s="142"/>
      <c r="G2719" s="142"/>
      <c r="H2719" s="141"/>
      <c r="I2719" s="8"/>
    </row>
    <row r="2720" spans="2:9" ht="15" hidden="1" customHeight="1" x14ac:dyDescent="0.25">
      <c r="B2720" s="7"/>
      <c r="C2720" s="140">
        <v>2692</v>
      </c>
      <c r="D2720" s="142"/>
      <c r="E2720" s="142"/>
      <c r="F2720" s="142"/>
      <c r="G2720" s="142"/>
      <c r="H2720" s="141"/>
      <c r="I2720" s="8"/>
    </row>
    <row r="2721" spans="2:9" ht="15" hidden="1" customHeight="1" x14ac:dyDescent="0.25">
      <c r="B2721" s="7"/>
      <c r="C2721" s="140">
        <v>2693</v>
      </c>
      <c r="D2721" s="142"/>
      <c r="E2721" s="142"/>
      <c r="F2721" s="142"/>
      <c r="G2721" s="142"/>
      <c r="H2721" s="141"/>
      <c r="I2721" s="8"/>
    </row>
    <row r="2722" spans="2:9" ht="15" hidden="1" customHeight="1" x14ac:dyDescent="0.25">
      <c r="B2722" s="7"/>
      <c r="C2722" s="140">
        <v>2694</v>
      </c>
      <c r="D2722" s="142"/>
      <c r="E2722" s="142"/>
      <c r="F2722" s="142"/>
      <c r="G2722" s="142"/>
      <c r="H2722" s="141"/>
      <c r="I2722" s="8"/>
    </row>
    <row r="2723" spans="2:9" ht="15" hidden="1" customHeight="1" x14ac:dyDescent="0.25">
      <c r="B2723" s="7"/>
      <c r="C2723" s="140">
        <v>2695</v>
      </c>
      <c r="D2723" s="142"/>
      <c r="E2723" s="142"/>
      <c r="F2723" s="142"/>
      <c r="G2723" s="142"/>
      <c r="H2723" s="141"/>
      <c r="I2723" s="8"/>
    </row>
    <row r="2724" spans="2:9" ht="15" hidden="1" customHeight="1" x14ac:dyDescent="0.25">
      <c r="B2724" s="7"/>
      <c r="C2724" s="140">
        <v>2696</v>
      </c>
      <c r="D2724" s="142"/>
      <c r="E2724" s="142"/>
      <c r="F2724" s="142"/>
      <c r="G2724" s="142"/>
      <c r="H2724" s="141"/>
      <c r="I2724" s="8"/>
    </row>
    <row r="2725" spans="2:9" ht="15" hidden="1" customHeight="1" x14ac:dyDescent="0.25">
      <c r="B2725" s="7"/>
      <c r="C2725" s="140">
        <v>2697</v>
      </c>
      <c r="D2725" s="142"/>
      <c r="E2725" s="142"/>
      <c r="F2725" s="142"/>
      <c r="G2725" s="142"/>
      <c r="H2725" s="141"/>
      <c r="I2725" s="8"/>
    </row>
    <row r="2726" spans="2:9" ht="15" hidden="1" customHeight="1" x14ac:dyDescent="0.25">
      <c r="B2726" s="7"/>
      <c r="C2726" s="140">
        <v>2698</v>
      </c>
      <c r="D2726" s="142"/>
      <c r="E2726" s="142"/>
      <c r="F2726" s="142"/>
      <c r="G2726" s="142"/>
      <c r="H2726" s="141"/>
      <c r="I2726" s="8"/>
    </row>
    <row r="2727" spans="2:9" ht="15" hidden="1" customHeight="1" x14ac:dyDescent="0.25">
      <c r="B2727" s="7"/>
      <c r="C2727" s="140">
        <v>2699</v>
      </c>
      <c r="D2727" s="142"/>
      <c r="E2727" s="142"/>
      <c r="F2727" s="142"/>
      <c r="G2727" s="142"/>
      <c r="H2727" s="141"/>
      <c r="I2727" s="8"/>
    </row>
    <row r="2728" spans="2:9" ht="15" hidden="1" customHeight="1" x14ac:dyDescent="0.25">
      <c r="B2728" s="7"/>
      <c r="C2728" s="140">
        <v>2700</v>
      </c>
      <c r="D2728" s="142"/>
      <c r="E2728" s="142"/>
      <c r="F2728" s="142"/>
      <c r="G2728" s="142"/>
      <c r="H2728" s="141"/>
      <c r="I2728" s="8"/>
    </row>
    <row r="2729" spans="2:9" ht="15" hidden="1" customHeight="1" x14ac:dyDescent="0.25">
      <c r="B2729" s="7"/>
      <c r="C2729" s="140">
        <v>2701</v>
      </c>
      <c r="D2729" s="142"/>
      <c r="E2729" s="142"/>
      <c r="F2729" s="142"/>
      <c r="G2729" s="142"/>
      <c r="H2729" s="141"/>
      <c r="I2729" s="8"/>
    </row>
    <row r="2730" spans="2:9" ht="15" hidden="1" customHeight="1" x14ac:dyDescent="0.25">
      <c r="B2730" s="7"/>
      <c r="C2730" s="140">
        <v>2702</v>
      </c>
      <c r="D2730" s="142"/>
      <c r="E2730" s="142"/>
      <c r="F2730" s="142"/>
      <c r="G2730" s="142"/>
      <c r="H2730" s="141"/>
      <c r="I2730" s="8"/>
    </row>
    <row r="2731" spans="2:9" ht="15" hidden="1" customHeight="1" x14ac:dyDescent="0.25">
      <c r="B2731" s="7"/>
      <c r="C2731" s="140">
        <v>2703</v>
      </c>
      <c r="D2731" s="142"/>
      <c r="E2731" s="142"/>
      <c r="F2731" s="142"/>
      <c r="G2731" s="142"/>
      <c r="H2731" s="141"/>
      <c r="I2731" s="8"/>
    </row>
    <row r="2732" spans="2:9" ht="15" hidden="1" customHeight="1" x14ac:dyDescent="0.25">
      <c r="B2732" s="7"/>
      <c r="C2732" s="140">
        <v>2704</v>
      </c>
      <c r="D2732" s="142"/>
      <c r="E2732" s="142"/>
      <c r="F2732" s="142"/>
      <c r="G2732" s="142"/>
      <c r="H2732" s="141"/>
      <c r="I2732" s="8"/>
    </row>
    <row r="2733" spans="2:9" ht="15" hidden="1" customHeight="1" x14ac:dyDescent="0.25">
      <c r="B2733" s="7"/>
      <c r="C2733" s="140">
        <v>2705</v>
      </c>
      <c r="D2733" s="142"/>
      <c r="E2733" s="142"/>
      <c r="F2733" s="142"/>
      <c r="G2733" s="142"/>
      <c r="H2733" s="141"/>
      <c r="I2733" s="8"/>
    </row>
    <row r="2734" spans="2:9" ht="15" hidden="1" customHeight="1" x14ac:dyDescent="0.25">
      <c r="B2734" s="7"/>
      <c r="C2734" s="140">
        <v>2706</v>
      </c>
      <c r="D2734" s="142"/>
      <c r="E2734" s="142"/>
      <c r="F2734" s="142"/>
      <c r="G2734" s="142"/>
      <c r="H2734" s="141"/>
      <c r="I2734" s="8"/>
    </row>
    <row r="2735" spans="2:9" ht="15" hidden="1" customHeight="1" x14ac:dyDescent="0.25">
      <c r="B2735" s="7"/>
      <c r="C2735" s="140">
        <v>2707</v>
      </c>
      <c r="D2735" s="142"/>
      <c r="E2735" s="142"/>
      <c r="F2735" s="142"/>
      <c r="G2735" s="142"/>
      <c r="H2735" s="141"/>
      <c r="I2735" s="8"/>
    </row>
    <row r="2736" spans="2:9" ht="15" hidden="1" customHeight="1" x14ac:dyDescent="0.25">
      <c r="B2736" s="7"/>
      <c r="C2736" s="140">
        <v>2708</v>
      </c>
      <c r="D2736" s="142"/>
      <c r="E2736" s="142"/>
      <c r="F2736" s="142"/>
      <c r="G2736" s="142"/>
      <c r="H2736" s="141"/>
      <c r="I2736" s="8"/>
    </row>
    <row r="2737" spans="2:9" ht="15" hidden="1" customHeight="1" x14ac:dyDescent="0.25">
      <c r="B2737" s="7"/>
      <c r="C2737" s="140">
        <v>2709</v>
      </c>
      <c r="D2737" s="142"/>
      <c r="E2737" s="142"/>
      <c r="F2737" s="142"/>
      <c r="G2737" s="142"/>
      <c r="H2737" s="141"/>
      <c r="I2737" s="8"/>
    </row>
    <row r="2738" spans="2:9" ht="15" hidden="1" customHeight="1" x14ac:dyDescent="0.25">
      <c r="B2738" s="7"/>
      <c r="C2738" s="140">
        <v>2710</v>
      </c>
      <c r="D2738" s="142"/>
      <c r="E2738" s="142"/>
      <c r="F2738" s="142"/>
      <c r="G2738" s="142"/>
      <c r="H2738" s="141"/>
      <c r="I2738" s="8"/>
    </row>
    <row r="2739" spans="2:9" ht="15" hidden="1" customHeight="1" x14ac:dyDescent="0.25">
      <c r="B2739" s="7"/>
      <c r="C2739" s="140">
        <v>2711</v>
      </c>
      <c r="D2739" s="142"/>
      <c r="E2739" s="142"/>
      <c r="F2739" s="142"/>
      <c r="G2739" s="142"/>
      <c r="H2739" s="141"/>
      <c r="I2739" s="8"/>
    </row>
    <row r="2740" spans="2:9" ht="15" hidden="1" customHeight="1" x14ac:dyDescent="0.25">
      <c r="B2740" s="7"/>
      <c r="C2740" s="140">
        <v>2712</v>
      </c>
      <c r="D2740" s="142"/>
      <c r="E2740" s="142"/>
      <c r="F2740" s="142"/>
      <c r="G2740" s="142"/>
      <c r="H2740" s="141"/>
      <c r="I2740" s="8"/>
    </row>
    <row r="2741" spans="2:9" ht="15" hidden="1" customHeight="1" x14ac:dyDescent="0.25">
      <c r="B2741" s="7"/>
      <c r="C2741" s="140">
        <v>2713</v>
      </c>
      <c r="D2741" s="142"/>
      <c r="E2741" s="142"/>
      <c r="F2741" s="142"/>
      <c r="G2741" s="142"/>
      <c r="H2741" s="141"/>
      <c r="I2741" s="8"/>
    </row>
    <row r="2742" spans="2:9" ht="15" hidden="1" customHeight="1" x14ac:dyDescent="0.25">
      <c r="B2742" s="7"/>
      <c r="C2742" s="140">
        <v>2714</v>
      </c>
      <c r="D2742" s="142"/>
      <c r="E2742" s="142"/>
      <c r="F2742" s="142"/>
      <c r="G2742" s="142"/>
      <c r="H2742" s="141"/>
      <c r="I2742" s="8"/>
    </row>
    <row r="2743" spans="2:9" ht="15" hidden="1" customHeight="1" x14ac:dyDescent="0.25">
      <c r="B2743" s="7"/>
      <c r="C2743" s="140">
        <v>2715</v>
      </c>
      <c r="D2743" s="142"/>
      <c r="E2743" s="142"/>
      <c r="F2743" s="142"/>
      <c r="G2743" s="142"/>
      <c r="H2743" s="141"/>
      <c r="I2743" s="8"/>
    </row>
    <row r="2744" spans="2:9" ht="15" hidden="1" customHeight="1" x14ac:dyDescent="0.25">
      <c r="B2744" s="7"/>
      <c r="C2744" s="140">
        <v>2716</v>
      </c>
      <c r="D2744" s="142"/>
      <c r="E2744" s="142"/>
      <c r="F2744" s="142"/>
      <c r="G2744" s="142"/>
      <c r="H2744" s="141"/>
      <c r="I2744" s="8"/>
    </row>
    <row r="2745" spans="2:9" ht="15" hidden="1" customHeight="1" x14ac:dyDescent="0.25">
      <c r="B2745" s="7"/>
      <c r="C2745" s="140">
        <v>2717</v>
      </c>
      <c r="D2745" s="142"/>
      <c r="E2745" s="142"/>
      <c r="F2745" s="142"/>
      <c r="G2745" s="142"/>
      <c r="H2745" s="141"/>
      <c r="I2745" s="8"/>
    </row>
    <row r="2746" spans="2:9" ht="15" hidden="1" customHeight="1" x14ac:dyDescent="0.25">
      <c r="B2746" s="7"/>
      <c r="C2746" s="140">
        <v>2718</v>
      </c>
      <c r="D2746" s="142"/>
      <c r="E2746" s="142"/>
      <c r="F2746" s="142"/>
      <c r="G2746" s="142"/>
      <c r="H2746" s="141"/>
      <c r="I2746" s="8"/>
    </row>
    <row r="2747" spans="2:9" ht="15" hidden="1" customHeight="1" x14ac:dyDescent="0.25">
      <c r="B2747" s="7"/>
      <c r="C2747" s="140">
        <v>2719</v>
      </c>
      <c r="D2747" s="142"/>
      <c r="E2747" s="142"/>
      <c r="F2747" s="142"/>
      <c r="G2747" s="142"/>
      <c r="H2747" s="141"/>
      <c r="I2747" s="8"/>
    </row>
    <row r="2748" spans="2:9" ht="15" hidden="1" customHeight="1" x14ac:dyDescent="0.25">
      <c r="B2748" s="7"/>
      <c r="C2748" s="140">
        <v>2720</v>
      </c>
      <c r="D2748" s="142"/>
      <c r="E2748" s="142"/>
      <c r="F2748" s="142"/>
      <c r="G2748" s="142"/>
      <c r="H2748" s="141"/>
      <c r="I2748" s="8"/>
    </row>
    <row r="2749" spans="2:9" ht="15" hidden="1" customHeight="1" x14ac:dyDescent="0.25">
      <c r="B2749" s="7"/>
      <c r="C2749" s="140">
        <v>2721</v>
      </c>
      <c r="D2749" s="142"/>
      <c r="E2749" s="142"/>
      <c r="F2749" s="142"/>
      <c r="G2749" s="142"/>
      <c r="H2749" s="141"/>
      <c r="I2749" s="8"/>
    </row>
    <row r="2750" spans="2:9" ht="15" hidden="1" customHeight="1" x14ac:dyDescent="0.25">
      <c r="B2750" s="7"/>
      <c r="C2750" s="140">
        <v>2722</v>
      </c>
      <c r="D2750" s="142"/>
      <c r="E2750" s="142"/>
      <c r="F2750" s="142"/>
      <c r="G2750" s="142"/>
      <c r="H2750" s="141"/>
      <c r="I2750" s="8"/>
    </row>
    <row r="2751" spans="2:9" ht="15" hidden="1" customHeight="1" x14ac:dyDescent="0.25">
      <c r="B2751" s="7"/>
      <c r="C2751" s="140">
        <v>2723</v>
      </c>
      <c r="D2751" s="142"/>
      <c r="E2751" s="142"/>
      <c r="F2751" s="142"/>
      <c r="G2751" s="142"/>
      <c r="H2751" s="141"/>
      <c r="I2751" s="8"/>
    </row>
    <row r="2752" spans="2:9" ht="15" hidden="1" customHeight="1" x14ac:dyDescent="0.25">
      <c r="B2752" s="7"/>
      <c r="C2752" s="140">
        <v>2724</v>
      </c>
      <c r="D2752" s="142"/>
      <c r="E2752" s="142"/>
      <c r="F2752" s="142"/>
      <c r="G2752" s="142"/>
      <c r="H2752" s="141"/>
      <c r="I2752" s="8"/>
    </row>
    <row r="2753" spans="2:9" ht="15" hidden="1" customHeight="1" x14ac:dyDescent="0.25">
      <c r="B2753" s="7"/>
      <c r="C2753" s="140">
        <v>2725</v>
      </c>
      <c r="D2753" s="142"/>
      <c r="E2753" s="142"/>
      <c r="F2753" s="142"/>
      <c r="G2753" s="142"/>
      <c r="H2753" s="141"/>
      <c r="I2753" s="8"/>
    </row>
    <row r="2754" spans="2:9" ht="15" hidden="1" customHeight="1" x14ac:dyDescent="0.25">
      <c r="B2754" s="7"/>
      <c r="C2754" s="140">
        <v>2726</v>
      </c>
      <c r="D2754" s="142"/>
      <c r="E2754" s="142"/>
      <c r="F2754" s="142"/>
      <c r="G2754" s="142"/>
      <c r="H2754" s="141"/>
      <c r="I2754" s="8"/>
    </row>
    <row r="2755" spans="2:9" ht="15" hidden="1" customHeight="1" x14ac:dyDescent="0.25">
      <c r="B2755" s="7"/>
      <c r="C2755" s="140">
        <v>2727</v>
      </c>
      <c r="D2755" s="142"/>
      <c r="E2755" s="142"/>
      <c r="F2755" s="142"/>
      <c r="G2755" s="142"/>
      <c r="H2755" s="141"/>
      <c r="I2755" s="8"/>
    </row>
    <row r="2756" spans="2:9" ht="15" hidden="1" customHeight="1" x14ac:dyDescent="0.25">
      <c r="B2756" s="7"/>
      <c r="C2756" s="140">
        <v>2728</v>
      </c>
      <c r="D2756" s="142"/>
      <c r="E2756" s="142"/>
      <c r="F2756" s="142"/>
      <c r="G2756" s="142"/>
      <c r="H2756" s="141"/>
      <c r="I2756" s="8"/>
    </row>
    <row r="2757" spans="2:9" ht="15" hidden="1" customHeight="1" x14ac:dyDescent="0.25">
      <c r="B2757" s="7"/>
      <c r="C2757" s="140">
        <v>2729</v>
      </c>
      <c r="D2757" s="142"/>
      <c r="E2757" s="142"/>
      <c r="F2757" s="142"/>
      <c r="G2757" s="142"/>
      <c r="H2757" s="141"/>
      <c r="I2757" s="8"/>
    </row>
    <row r="2758" spans="2:9" ht="15" hidden="1" customHeight="1" x14ac:dyDescent="0.25">
      <c r="B2758" s="7"/>
      <c r="C2758" s="140">
        <v>2730</v>
      </c>
      <c r="D2758" s="142"/>
      <c r="E2758" s="142"/>
      <c r="F2758" s="142"/>
      <c r="G2758" s="142"/>
      <c r="H2758" s="141"/>
      <c r="I2758" s="8"/>
    </row>
    <row r="2759" spans="2:9" ht="15" hidden="1" customHeight="1" x14ac:dyDescent="0.25">
      <c r="B2759" s="7"/>
      <c r="C2759" s="140">
        <v>2731</v>
      </c>
      <c r="D2759" s="142"/>
      <c r="E2759" s="142"/>
      <c r="F2759" s="142"/>
      <c r="G2759" s="142"/>
      <c r="H2759" s="141"/>
      <c r="I2759" s="8"/>
    </row>
    <row r="2760" spans="2:9" ht="15" hidden="1" customHeight="1" x14ac:dyDescent="0.25">
      <c r="B2760" s="7"/>
      <c r="C2760" s="140">
        <v>2732</v>
      </c>
      <c r="D2760" s="142"/>
      <c r="E2760" s="142"/>
      <c r="F2760" s="142"/>
      <c r="G2760" s="142"/>
      <c r="H2760" s="141"/>
      <c r="I2760" s="8"/>
    </row>
    <row r="2761" spans="2:9" ht="15" hidden="1" customHeight="1" x14ac:dyDescent="0.25">
      <c r="B2761" s="7"/>
      <c r="C2761" s="140">
        <v>2733</v>
      </c>
      <c r="D2761" s="142"/>
      <c r="E2761" s="142"/>
      <c r="F2761" s="142"/>
      <c r="G2761" s="142"/>
      <c r="H2761" s="141"/>
      <c r="I2761" s="8"/>
    </row>
    <row r="2762" spans="2:9" ht="15" hidden="1" customHeight="1" x14ac:dyDescent="0.25">
      <c r="B2762" s="7"/>
      <c r="C2762" s="140">
        <v>2734</v>
      </c>
      <c r="D2762" s="142"/>
      <c r="E2762" s="142"/>
      <c r="F2762" s="142"/>
      <c r="G2762" s="142"/>
      <c r="H2762" s="141"/>
      <c r="I2762" s="8"/>
    </row>
    <row r="2763" spans="2:9" ht="15" hidden="1" customHeight="1" x14ac:dyDescent="0.25">
      <c r="B2763" s="7"/>
      <c r="C2763" s="140">
        <v>2735</v>
      </c>
      <c r="D2763" s="142"/>
      <c r="E2763" s="142"/>
      <c r="F2763" s="142"/>
      <c r="G2763" s="142"/>
      <c r="H2763" s="141"/>
      <c r="I2763" s="8"/>
    </row>
    <row r="2764" spans="2:9" ht="15" hidden="1" customHeight="1" x14ac:dyDescent="0.25">
      <c r="B2764" s="7"/>
      <c r="C2764" s="140">
        <v>2736</v>
      </c>
      <c r="D2764" s="142"/>
      <c r="E2764" s="142"/>
      <c r="F2764" s="142"/>
      <c r="G2764" s="142"/>
      <c r="H2764" s="141"/>
      <c r="I2764" s="8"/>
    </row>
    <row r="2765" spans="2:9" ht="15" hidden="1" customHeight="1" x14ac:dyDescent="0.25">
      <c r="B2765" s="7"/>
      <c r="C2765" s="140">
        <v>2737</v>
      </c>
      <c r="D2765" s="142"/>
      <c r="E2765" s="142"/>
      <c r="F2765" s="142"/>
      <c r="G2765" s="142"/>
      <c r="H2765" s="141"/>
      <c r="I2765" s="8"/>
    </row>
    <row r="2766" spans="2:9" ht="15" hidden="1" customHeight="1" x14ac:dyDescent="0.25">
      <c r="B2766" s="7"/>
      <c r="C2766" s="140">
        <v>2738</v>
      </c>
      <c r="D2766" s="142"/>
      <c r="E2766" s="142"/>
      <c r="F2766" s="142"/>
      <c r="G2766" s="142"/>
      <c r="H2766" s="141"/>
      <c r="I2766" s="8"/>
    </row>
    <row r="2767" spans="2:9" ht="15" hidden="1" customHeight="1" x14ac:dyDescent="0.25">
      <c r="B2767" s="7"/>
      <c r="C2767" s="140">
        <v>2739</v>
      </c>
      <c r="D2767" s="142"/>
      <c r="E2767" s="142"/>
      <c r="F2767" s="142"/>
      <c r="G2767" s="142"/>
      <c r="H2767" s="141"/>
      <c r="I2767" s="8"/>
    </row>
    <row r="2768" spans="2:9" ht="15" hidden="1" customHeight="1" x14ac:dyDescent="0.25">
      <c r="B2768" s="7"/>
      <c r="C2768" s="140">
        <v>2740</v>
      </c>
      <c r="D2768" s="142"/>
      <c r="E2768" s="142"/>
      <c r="F2768" s="142"/>
      <c r="G2768" s="142"/>
      <c r="H2768" s="141"/>
      <c r="I2768" s="8"/>
    </row>
    <row r="2769" spans="2:9" ht="15" hidden="1" customHeight="1" x14ac:dyDescent="0.25">
      <c r="B2769" s="7"/>
      <c r="C2769" s="140">
        <v>2741</v>
      </c>
      <c r="D2769" s="142"/>
      <c r="E2769" s="142"/>
      <c r="F2769" s="142"/>
      <c r="G2769" s="142"/>
      <c r="H2769" s="141"/>
      <c r="I2769" s="8"/>
    </row>
    <row r="2770" spans="2:9" ht="15" hidden="1" customHeight="1" x14ac:dyDescent="0.25">
      <c r="B2770" s="7"/>
      <c r="C2770" s="140">
        <v>2742</v>
      </c>
      <c r="D2770" s="142"/>
      <c r="E2770" s="142"/>
      <c r="F2770" s="142"/>
      <c r="G2770" s="142"/>
      <c r="H2770" s="141"/>
      <c r="I2770" s="8"/>
    </row>
    <row r="2771" spans="2:9" ht="15" hidden="1" customHeight="1" x14ac:dyDescent="0.25">
      <c r="B2771" s="7"/>
      <c r="C2771" s="140">
        <v>2743</v>
      </c>
      <c r="D2771" s="142"/>
      <c r="E2771" s="142"/>
      <c r="F2771" s="142"/>
      <c r="G2771" s="142"/>
      <c r="H2771" s="141"/>
      <c r="I2771" s="8"/>
    </row>
    <row r="2772" spans="2:9" ht="15" hidden="1" customHeight="1" x14ac:dyDescent="0.25">
      <c r="B2772" s="7"/>
      <c r="C2772" s="140">
        <v>2744</v>
      </c>
      <c r="D2772" s="142"/>
      <c r="E2772" s="142"/>
      <c r="F2772" s="142"/>
      <c r="G2772" s="142"/>
      <c r="H2772" s="141"/>
      <c r="I2772" s="8"/>
    </row>
    <row r="2773" spans="2:9" ht="15" hidden="1" customHeight="1" x14ac:dyDescent="0.25">
      <c r="B2773" s="7"/>
      <c r="C2773" s="140">
        <v>2745</v>
      </c>
      <c r="D2773" s="142"/>
      <c r="E2773" s="142"/>
      <c r="F2773" s="142"/>
      <c r="G2773" s="142"/>
      <c r="H2773" s="141"/>
      <c r="I2773" s="8"/>
    </row>
    <row r="2774" spans="2:9" ht="15" hidden="1" customHeight="1" x14ac:dyDescent="0.25">
      <c r="B2774" s="7"/>
      <c r="C2774" s="140">
        <v>2746</v>
      </c>
      <c r="D2774" s="142"/>
      <c r="E2774" s="142"/>
      <c r="F2774" s="142"/>
      <c r="G2774" s="142"/>
      <c r="H2774" s="141"/>
      <c r="I2774" s="8"/>
    </row>
    <row r="2775" spans="2:9" ht="15" hidden="1" customHeight="1" x14ac:dyDescent="0.25">
      <c r="B2775" s="7"/>
      <c r="C2775" s="140">
        <v>2747</v>
      </c>
      <c r="D2775" s="142"/>
      <c r="E2775" s="142"/>
      <c r="F2775" s="142"/>
      <c r="G2775" s="142"/>
      <c r="H2775" s="141"/>
      <c r="I2775" s="8"/>
    </row>
    <row r="2776" spans="2:9" ht="15" hidden="1" customHeight="1" x14ac:dyDescent="0.25">
      <c r="B2776" s="7"/>
      <c r="C2776" s="140">
        <v>2748</v>
      </c>
      <c r="D2776" s="142"/>
      <c r="E2776" s="142"/>
      <c r="F2776" s="142"/>
      <c r="G2776" s="142"/>
      <c r="H2776" s="141"/>
      <c r="I2776" s="8"/>
    </row>
    <row r="2777" spans="2:9" ht="15" hidden="1" customHeight="1" x14ac:dyDescent="0.25">
      <c r="B2777" s="7"/>
      <c r="C2777" s="140">
        <v>2749</v>
      </c>
      <c r="D2777" s="142"/>
      <c r="E2777" s="142"/>
      <c r="F2777" s="142"/>
      <c r="G2777" s="142"/>
      <c r="H2777" s="141"/>
      <c r="I2777" s="8"/>
    </row>
    <row r="2778" spans="2:9" ht="15" hidden="1" customHeight="1" x14ac:dyDescent="0.25">
      <c r="B2778" s="7"/>
      <c r="C2778" s="140">
        <v>2750</v>
      </c>
      <c r="D2778" s="142"/>
      <c r="E2778" s="142"/>
      <c r="F2778" s="142"/>
      <c r="G2778" s="142"/>
      <c r="H2778" s="141"/>
      <c r="I2778" s="8"/>
    </row>
    <row r="2779" spans="2:9" ht="15" hidden="1" customHeight="1" x14ac:dyDescent="0.25">
      <c r="B2779" s="7"/>
      <c r="C2779" s="140">
        <v>2751</v>
      </c>
      <c r="D2779" s="142"/>
      <c r="E2779" s="142"/>
      <c r="F2779" s="142"/>
      <c r="G2779" s="142"/>
      <c r="H2779" s="141"/>
      <c r="I2779" s="8"/>
    </row>
    <row r="2780" spans="2:9" ht="15" hidden="1" customHeight="1" x14ac:dyDescent="0.25">
      <c r="B2780" s="7"/>
      <c r="C2780" s="140">
        <v>2752</v>
      </c>
      <c r="D2780" s="142"/>
      <c r="E2780" s="142"/>
      <c r="F2780" s="142"/>
      <c r="G2780" s="142"/>
      <c r="H2780" s="141"/>
      <c r="I2780" s="8"/>
    </row>
    <row r="2781" spans="2:9" ht="15" hidden="1" customHeight="1" x14ac:dyDescent="0.25">
      <c r="B2781" s="7"/>
      <c r="C2781" s="140">
        <v>2753</v>
      </c>
      <c r="D2781" s="142"/>
      <c r="E2781" s="142"/>
      <c r="F2781" s="142"/>
      <c r="G2781" s="142"/>
      <c r="H2781" s="141"/>
      <c r="I2781" s="8"/>
    </row>
    <row r="2782" spans="2:9" ht="15" hidden="1" customHeight="1" x14ac:dyDescent="0.25">
      <c r="B2782" s="7"/>
      <c r="C2782" s="140">
        <v>2754</v>
      </c>
      <c r="D2782" s="142"/>
      <c r="E2782" s="142"/>
      <c r="F2782" s="142"/>
      <c r="G2782" s="142"/>
      <c r="H2782" s="141"/>
      <c r="I2782" s="8"/>
    </row>
    <row r="2783" spans="2:9" ht="15" hidden="1" customHeight="1" x14ac:dyDescent="0.25">
      <c r="B2783" s="7"/>
      <c r="C2783" s="140">
        <v>2755</v>
      </c>
      <c r="D2783" s="142"/>
      <c r="E2783" s="142"/>
      <c r="F2783" s="142"/>
      <c r="G2783" s="142"/>
      <c r="H2783" s="141"/>
      <c r="I2783" s="8"/>
    </row>
    <row r="2784" spans="2:9" ht="15" hidden="1" customHeight="1" x14ac:dyDescent="0.25">
      <c r="B2784" s="7"/>
      <c r="C2784" s="140">
        <v>2756</v>
      </c>
      <c r="D2784" s="142"/>
      <c r="E2784" s="142"/>
      <c r="F2784" s="142"/>
      <c r="G2784" s="142"/>
      <c r="H2784" s="141"/>
      <c r="I2784" s="8"/>
    </row>
    <row r="2785" spans="2:9" ht="15" hidden="1" customHeight="1" x14ac:dyDescent="0.25">
      <c r="B2785" s="7"/>
      <c r="C2785" s="140">
        <v>2757</v>
      </c>
      <c r="D2785" s="142"/>
      <c r="E2785" s="142"/>
      <c r="F2785" s="142"/>
      <c r="G2785" s="142"/>
      <c r="H2785" s="141"/>
      <c r="I2785" s="8"/>
    </row>
    <row r="2786" spans="2:9" ht="15" hidden="1" customHeight="1" x14ac:dyDescent="0.25">
      <c r="B2786" s="7"/>
      <c r="C2786" s="140">
        <v>2758</v>
      </c>
      <c r="D2786" s="142"/>
      <c r="E2786" s="142"/>
      <c r="F2786" s="142"/>
      <c r="G2786" s="142"/>
      <c r="H2786" s="141"/>
      <c r="I2786" s="8"/>
    </row>
    <row r="2787" spans="2:9" ht="15" hidden="1" customHeight="1" x14ac:dyDescent="0.25">
      <c r="B2787" s="7"/>
      <c r="C2787" s="140">
        <v>2759</v>
      </c>
      <c r="D2787" s="142"/>
      <c r="E2787" s="142"/>
      <c r="F2787" s="142"/>
      <c r="G2787" s="142"/>
      <c r="H2787" s="141"/>
      <c r="I2787" s="8"/>
    </row>
    <row r="2788" spans="2:9" ht="15" hidden="1" customHeight="1" x14ac:dyDescent="0.25">
      <c r="B2788" s="7"/>
      <c r="C2788" s="140">
        <v>2760</v>
      </c>
      <c r="D2788" s="142"/>
      <c r="E2788" s="142"/>
      <c r="F2788" s="142"/>
      <c r="G2788" s="142"/>
      <c r="H2788" s="141"/>
      <c r="I2788" s="8"/>
    </row>
    <row r="2789" spans="2:9" ht="15" hidden="1" customHeight="1" x14ac:dyDescent="0.25">
      <c r="B2789" s="7"/>
      <c r="C2789" s="140">
        <v>2761</v>
      </c>
      <c r="D2789" s="142"/>
      <c r="E2789" s="142"/>
      <c r="F2789" s="142"/>
      <c r="G2789" s="142"/>
      <c r="H2789" s="141"/>
      <c r="I2789" s="8"/>
    </row>
    <row r="2790" spans="2:9" ht="15" hidden="1" customHeight="1" x14ac:dyDescent="0.25">
      <c r="B2790" s="7"/>
      <c r="C2790" s="140">
        <v>2762</v>
      </c>
      <c r="D2790" s="142"/>
      <c r="E2790" s="142"/>
      <c r="F2790" s="142"/>
      <c r="G2790" s="142"/>
      <c r="H2790" s="141"/>
      <c r="I2790" s="8"/>
    </row>
    <row r="2791" spans="2:9" ht="15" hidden="1" customHeight="1" x14ac:dyDescent="0.25">
      <c r="B2791" s="7"/>
      <c r="C2791" s="140">
        <v>2763</v>
      </c>
      <c r="D2791" s="142"/>
      <c r="E2791" s="142"/>
      <c r="F2791" s="142"/>
      <c r="G2791" s="142"/>
      <c r="H2791" s="141"/>
      <c r="I2791" s="8"/>
    </row>
    <row r="2792" spans="2:9" ht="15" hidden="1" customHeight="1" x14ac:dyDescent="0.25">
      <c r="B2792" s="7"/>
      <c r="C2792" s="140">
        <v>2764</v>
      </c>
      <c r="D2792" s="142"/>
      <c r="E2792" s="142"/>
      <c r="F2792" s="142"/>
      <c r="G2792" s="142"/>
      <c r="H2792" s="141"/>
      <c r="I2792" s="8"/>
    </row>
    <row r="2793" spans="2:9" ht="15" hidden="1" customHeight="1" x14ac:dyDescent="0.25">
      <c r="B2793" s="7"/>
      <c r="C2793" s="140">
        <v>2765</v>
      </c>
      <c r="D2793" s="142"/>
      <c r="E2793" s="142"/>
      <c r="F2793" s="142"/>
      <c r="G2793" s="142"/>
      <c r="H2793" s="141"/>
      <c r="I2793" s="8"/>
    </row>
    <row r="2794" spans="2:9" ht="15" hidden="1" customHeight="1" x14ac:dyDescent="0.25">
      <c r="B2794" s="7"/>
      <c r="C2794" s="140">
        <v>2766</v>
      </c>
      <c r="D2794" s="142"/>
      <c r="E2794" s="142"/>
      <c r="F2794" s="142"/>
      <c r="G2794" s="142"/>
      <c r="H2794" s="141"/>
      <c r="I2794" s="8"/>
    </row>
    <row r="2795" spans="2:9" ht="15" hidden="1" customHeight="1" x14ac:dyDescent="0.25">
      <c r="B2795" s="7"/>
      <c r="C2795" s="140">
        <v>2767</v>
      </c>
      <c r="D2795" s="142"/>
      <c r="E2795" s="142"/>
      <c r="F2795" s="142"/>
      <c r="G2795" s="142"/>
      <c r="H2795" s="141"/>
      <c r="I2795" s="8"/>
    </row>
    <row r="2796" spans="2:9" ht="15" hidden="1" customHeight="1" x14ac:dyDescent="0.25">
      <c r="B2796" s="7"/>
      <c r="C2796" s="140">
        <v>2768</v>
      </c>
      <c r="D2796" s="142"/>
      <c r="E2796" s="142"/>
      <c r="F2796" s="142"/>
      <c r="G2796" s="142"/>
      <c r="H2796" s="141"/>
      <c r="I2796" s="8"/>
    </row>
    <row r="2797" spans="2:9" ht="15" hidden="1" customHeight="1" x14ac:dyDescent="0.25">
      <c r="B2797" s="7"/>
      <c r="C2797" s="140">
        <v>2769</v>
      </c>
      <c r="D2797" s="142"/>
      <c r="E2797" s="142"/>
      <c r="F2797" s="142"/>
      <c r="G2797" s="142"/>
      <c r="H2797" s="141"/>
      <c r="I2797" s="8"/>
    </row>
    <row r="2798" spans="2:9" ht="15" hidden="1" customHeight="1" x14ac:dyDescent="0.25">
      <c r="B2798" s="7"/>
      <c r="C2798" s="140">
        <v>2770</v>
      </c>
      <c r="D2798" s="142"/>
      <c r="E2798" s="142"/>
      <c r="F2798" s="142"/>
      <c r="G2798" s="142"/>
      <c r="H2798" s="141"/>
      <c r="I2798" s="8"/>
    </row>
    <row r="2799" spans="2:9" ht="15" hidden="1" customHeight="1" x14ac:dyDescent="0.25">
      <c r="B2799" s="7"/>
      <c r="C2799" s="140">
        <v>2771</v>
      </c>
      <c r="D2799" s="142"/>
      <c r="E2799" s="142"/>
      <c r="F2799" s="142"/>
      <c r="G2799" s="142"/>
      <c r="H2799" s="141"/>
      <c r="I2799" s="8"/>
    </row>
    <row r="2800" spans="2:9" ht="15" hidden="1" customHeight="1" x14ac:dyDescent="0.25">
      <c r="B2800" s="7"/>
      <c r="C2800" s="140">
        <v>2772</v>
      </c>
      <c r="D2800" s="142"/>
      <c r="E2800" s="142"/>
      <c r="F2800" s="142"/>
      <c r="G2800" s="142"/>
      <c r="H2800" s="141"/>
      <c r="I2800" s="8"/>
    </row>
    <row r="2801" spans="2:9" ht="15" hidden="1" customHeight="1" x14ac:dyDescent="0.25">
      <c r="B2801" s="7"/>
      <c r="C2801" s="140">
        <v>2773</v>
      </c>
      <c r="D2801" s="142"/>
      <c r="E2801" s="142"/>
      <c r="F2801" s="142"/>
      <c r="G2801" s="142"/>
      <c r="H2801" s="141"/>
      <c r="I2801" s="8"/>
    </row>
    <row r="2802" spans="2:9" ht="15" hidden="1" customHeight="1" x14ac:dyDescent="0.25">
      <c r="B2802" s="7"/>
      <c r="C2802" s="140">
        <v>2774</v>
      </c>
      <c r="D2802" s="142"/>
      <c r="E2802" s="142"/>
      <c r="F2802" s="142"/>
      <c r="G2802" s="142"/>
      <c r="H2802" s="141"/>
      <c r="I2802" s="8"/>
    </row>
    <row r="2803" spans="2:9" ht="15" hidden="1" customHeight="1" x14ac:dyDescent="0.25">
      <c r="B2803" s="7"/>
      <c r="C2803" s="140">
        <v>2775</v>
      </c>
      <c r="D2803" s="142"/>
      <c r="E2803" s="142"/>
      <c r="F2803" s="142"/>
      <c r="G2803" s="142"/>
      <c r="H2803" s="141"/>
      <c r="I2803" s="8"/>
    </row>
    <row r="2804" spans="2:9" ht="15" hidden="1" customHeight="1" x14ac:dyDescent="0.25">
      <c r="B2804" s="7"/>
      <c r="C2804" s="140">
        <v>2776</v>
      </c>
      <c r="D2804" s="142"/>
      <c r="E2804" s="142"/>
      <c r="F2804" s="142"/>
      <c r="G2804" s="142"/>
      <c r="H2804" s="141"/>
      <c r="I2804" s="8"/>
    </row>
    <row r="2805" spans="2:9" ht="15" hidden="1" customHeight="1" x14ac:dyDescent="0.25">
      <c r="B2805" s="7"/>
      <c r="C2805" s="140">
        <v>2777</v>
      </c>
      <c r="D2805" s="142"/>
      <c r="E2805" s="142"/>
      <c r="F2805" s="142"/>
      <c r="G2805" s="142"/>
      <c r="H2805" s="141"/>
      <c r="I2805" s="8"/>
    </row>
    <row r="2806" spans="2:9" ht="15" hidden="1" customHeight="1" x14ac:dyDescent="0.25">
      <c r="B2806" s="7"/>
      <c r="C2806" s="140">
        <v>2778</v>
      </c>
      <c r="D2806" s="142"/>
      <c r="E2806" s="142"/>
      <c r="F2806" s="142"/>
      <c r="G2806" s="142"/>
      <c r="H2806" s="141"/>
      <c r="I2806" s="8"/>
    </row>
    <row r="2807" spans="2:9" ht="15" hidden="1" customHeight="1" x14ac:dyDescent="0.25">
      <c r="B2807" s="7"/>
      <c r="C2807" s="140">
        <v>2779</v>
      </c>
      <c r="D2807" s="142"/>
      <c r="E2807" s="142"/>
      <c r="F2807" s="142"/>
      <c r="G2807" s="142"/>
      <c r="H2807" s="141"/>
      <c r="I2807" s="8"/>
    </row>
    <row r="2808" spans="2:9" ht="15" hidden="1" customHeight="1" x14ac:dyDescent="0.25">
      <c r="B2808" s="7"/>
      <c r="C2808" s="140">
        <v>2780</v>
      </c>
      <c r="D2808" s="142"/>
      <c r="E2808" s="142"/>
      <c r="F2808" s="142"/>
      <c r="G2808" s="142"/>
      <c r="H2808" s="141"/>
      <c r="I2808" s="8"/>
    </row>
    <row r="2809" spans="2:9" ht="15" hidden="1" customHeight="1" x14ac:dyDescent="0.25">
      <c r="B2809" s="7"/>
      <c r="C2809" s="140">
        <v>2781</v>
      </c>
      <c r="D2809" s="142"/>
      <c r="E2809" s="142"/>
      <c r="F2809" s="142"/>
      <c r="G2809" s="142"/>
      <c r="H2809" s="141"/>
      <c r="I2809" s="8"/>
    </row>
    <row r="2810" spans="2:9" ht="15" hidden="1" customHeight="1" x14ac:dyDescent="0.25">
      <c r="B2810" s="7"/>
      <c r="C2810" s="140">
        <v>2782</v>
      </c>
      <c r="D2810" s="142"/>
      <c r="E2810" s="142"/>
      <c r="F2810" s="142"/>
      <c r="G2810" s="142"/>
      <c r="H2810" s="141"/>
      <c r="I2810" s="8"/>
    </row>
    <row r="2811" spans="2:9" ht="15" hidden="1" customHeight="1" x14ac:dyDescent="0.25">
      <c r="B2811" s="7"/>
      <c r="C2811" s="140">
        <v>2783</v>
      </c>
      <c r="D2811" s="142"/>
      <c r="E2811" s="142"/>
      <c r="F2811" s="142"/>
      <c r="G2811" s="142"/>
      <c r="H2811" s="141"/>
      <c r="I2811" s="8"/>
    </row>
    <row r="2812" spans="2:9" ht="15" hidden="1" customHeight="1" x14ac:dyDescent="0.25">
      <c r="B2812" s="7"/>
      <c r="C2812" s="140">
        <v>2784</v>
      </c>
      <c r="D2812" s="142"/>
      <c r="E2812" s="142"/>
      <c r="F2812" s="142"/>
      <c r="G2812" s="142"/>
      <c r="H2812" s="141"/>
      <c r="I2812" s="8"/>
    </row>
    <row r="2813" spans="2:9" ht="15" hidden="1" customHeight="1" x14ac:dyDescent="0.25">
      <c r="B2813" s="7"/>
      <c r="C2813" s="140">
        <v>2785</v>
      </c>
      <c r="D2813" s="142"/>
      <c r="E2813" s="142"/>
      <c r="F2813" s="142"/>
      <c r="G2813" s="142"/>
      <c r="H2813" s="141"/>
      <c r="I2813" s="8"/>
    </row>
    <row r="2814" spans="2:9" ht="15" hidden="1" customHeight="1" x14ac:dyDescent="0.25">
      <c r="B2814" s="7"/>
      <c r="C2814" s="140">
        <v>2786</v>
      </c>
      <c r="D2814" s="142"/>
      <c r="E2814" s="142"/>
      <c r="F2814" s="142"/>
      <c r="G2814" s="142"/>
      <c r="H2814" s="141"/>
      <c r="I2814" s="8"/>
    </row>
    <row r="2815" spans="2:9" ht="15" hidden="1" customHeight="1" x14ac:dyDescent="0.25">
      <c r="B2815" s="7"/>
      <c r="C2815" s="140">
        <v>2787</v>
      </c>
      <c r="D2815" s="142"/>
      <c r="E2815" s="142"/>
      <c r="F2815" s="142"/>
      <c r="G2815" s="142"/>
      <c r="H2815" s="141"/>
      <c r="I2815" s="8"/>
    </row>
    <row r="2816" spans="2:9" ht="15" hidden="1" customHeight="1" x14ac:dyDescent="0.25">
      <c r="B2816" s="7"/>
      <c r="C2816" s="140">
        <v>2788</v>
      </c>
      <c r="D2816" s="142"/>
      <c r="E2816" s="142"/>
      <c r="F2816" s="142"/>
      <c r="G2816" s="142"/>
      <c r="H2816" s="141"/>
      <c r="I2816" s="8"/>
    </row>
    <row r="2817" spans="2:9" ht="15" hidden="1" customHeight="1" x14ac:dyDescent="0.25">
      <c r="B2817" s="7"/>
      <c r="C2817" s="140">
        <v>2789</v>
      </c>
      <c r="D2817" s="142"/>
      <c r="E2817" s="142"/>
      <c r="F2817" s="142"/>
      <c r="G2817" s="142"/>
      <c r="H2817" s="141"/>
      <c r="I2817" s="8"/>
    </row>
    <row r="2818" spans="2:9" ht="15" hidden="1" customHeight="1" x14ac:dyDescent="0.25">
      <c r="B2818" s="7"/>
      <c r="C2818" s="140">
        <v>2790</v>
      </c>
      <c r="D2818" s="142"/>
      <c r="E2818" s="142"/>
      <c r="F2818" s="142"/>
      <c r="G2818" s="142"/>
      <c r="H2818" s="141"/>
      <c r="I2818" s="8"/>
    </row>
    <row r="2819" spans="2:9" ht="15" hidden="1" customHeight="1" x14ac:dyDescent="0.25">
      <c r="B2819" s="7"/>
      <c r="C2819" s="140">
        <v>2791</v>
      </c>
      <c r="D2819" s="142"/>
      <c r="E2819" s="142"/>
      <c r="F2819" s="142"/>
      <c r="G2819" s="142"/>
      <c r="H2819" s="141"/>
      <c r="I2819" s="8"/>
    </row>
    <row r="2820" spans="2:9" ht="15" hidden="1" customHeight="1" x14ac:dyDescent="0.25">
      <c r="B2820" s="7"/>
      <c r="C2820" s="140">
        <v>2792</v>
      </c>
      <c r="D2820" s="142"/>
      <c r="E2820" s="142"/>
      <c r="F2820" s="142"/>
      <c r="G2820" s="142"/>
      <c r="H2820" s="141"/>
      <c r="I2820" s="8"/>
    </row>
    <row r="2821" spans="2:9" ht="15" hidden="1" customHeight="1" x14ac:dyDescent="0.25">
      <c r="B2821" s="7"/>
      <c r="C2821" s="140">
        <v>2793</v>
      </c>
      <c r="D2821" s="142"/>
      <c r="E2821" s="142"/>
      <c r="F2821" s="142"/>
      <c r="G2821" s="142"/>
      <c r="H2821" s="141"/>
      <c r="I2821" s="8"/>
    </row>
    <row r="2822" spans="2:9" ht="15" hidden="1" customHeight="1" x14ac:dyDescent="0.25">
      <c r="B2822" s="7"/>
      <c r="C2822" s="140">
        <v>2794</v>
      </c>
      <c r="D2822" s="142"/>
      <c r="E2822" s="142"/>
      <c r="F2822" s="142"/>
      <c r="G2822" s="142"/>
      <c r="H2822" s="141"/>
      <c r="I2822" s="8"/>
    </row>
    <row r="2823" spans="2:9" ht="15" hidden="1" customHeight="1" x14ac:dyDescent="0.25">
      <c r="B2823" s="7"/>
      <c r="C2823" s="140">
        <v>2795</v>
      </c>
      <c r="D2823" s="142"/>
      <c r="E2823" s="142"/>
      <c r="F2823" s="142"/>
      <c r="G2823" s="142"/>
      <c r="H2823" s="141"/>
      <c r="I2823" s="8"/>
    </row>
    <row r="2824" spans="2:9" ht="15" hidden="1" customHeight="1" x14ac:dyDescent="0.25">
      <c r="B2824" s="7"/>
      <c r="C2824" s="140">
        <v>2796</v>
      </c>
      <c r="D2824" s="142"/>
      <c r="E2824" s="142"/>
      <c r="F2824" s="142"/>
      <c r="G2824" s="142"/>
      <c r="H2824" s="141"/>
      <c r="I2824" s="8"/>
    </row>
    <row r="2825" spans="2:9" ht="15" hidden="1" customHeight="1" x14ac:dyDescent="0.25">
      <c r="B2825" s="7"/>
      <c r="C2825" s="140">
        <v>2797</v>
      </c>
      <c r="D2825" s="142"/>
      <c r="E2825" s="142"/>
      <c r="F2825" s="142"/>
      <c r="G2825" s="142"/>
      <c r="H2825" s="141"/>
      <c r="I2825" s="8"/>
    </row>
    <row r="2826" spans="2:9" ht="15" hidden="1" customHeight="1" x14ac:dyDescent="0.25">
      <c r="B2826" s="7"/>
      <c r="C2826" s="140">
        <v>2798</v>
      </c>
      <c r="D2826" s="142"/>
      <c r="E2826" s="142"/>
      <c r="F2826" s="142"/>
      <c r="G2826" s="142"/>
      <c r="H2826" s="141"/>
      <c r="I2826" s="8"/>
    </row>
    <row r="2827" spans="2:9" ht="15" hidden="1" customHeight="1" x14ac:dyDescent="0.25">
      <c r="B2827" s="7"/>
      <c r="C2827" s="140">
        <v>2799</v>
      </c>
      <c r="D2827" s="142"/>
      <c r="E2827" s="142"/>
      <c r="F2827" s="142"/>
      <c r="G2827" s="142"/>
      <c r="H2827" s="141"/>
      <c r="I2827" s="8"/>
    </row>
    <row r="2828" spans="2:9" ht="15" hidden="1" customHeight="1" x14ac:dyDescent="0.25">
      <c r="B2828" s="7"/>
      <c r="C2828" s="140">
        <v>2800</v>
      </c>
      <c r="D2828" s="142"/>
      <c r="E2828" s="142"/>
      <c r="F2828" s="142"/>
      <c r="G2828" s="142"/>
      <c r="H2828" s="141"/>
      <c r="I2828" s="8"/>
    </row>
    <row r="2829" spans="2:9" ht="15" hidden="1" customHeight="1" x14ac:dyDescent="0.25">
      <c r="B2829" s="7"/>
      <c r="C2829" s="140">
        <v>2801</v>
      </c>
      <c r="D2829" s="142"/>
      <c r="E2829" s="142"/>
      <c r="F2829" s="142"/>
      <c r="G2829" s="142"/>
      <c r="H2829" s="141"/>
      <c r="I2829" s="8"/>
    </row>
    <row r="2830" spans="2:9" ht="15" hidden="1" customHeight="1" x14ac:dyDescent="0.25">
      <c r="B2830" s="7"/>
      <c r="C2830" s="140">
        <v>2802</v>
      </c>
      <c r="D2830" s="142"/>
      <c r="E2830" s="142"/>
      <c r="F2830" s="142"/>
      <c r="G2830" s="142"/>
      <c r="H2830" s="141"/>
      <c r="I2830" s="8"/>
    </row>
    <row r="2831" spans="2:9" ht="15" hidden="1" customHeight="1" x14ac:dyDescent="0.25">
      <c r="B2831" s="7"/>
      <c r="C2831" s="140">
        <v>2803</v>
      </c>
      <c r="D2831" s="142"/>
      <c r="E2831" s="142"/>
      <c r="F2831" s="142"/>
      <c r="G2831" s="142"/>
      <c r="H2831" s="141"/>
      <c r="I2831" s="8"/>
    </row>
    <row r="2832" spans="2:9" ht="15" hidden="1" customHeight="1" x14ac:dyDescent="0.25">
      <c r="B2832" s="7"/>
      <c r="C2832" s="140">
        <v>2804</v>
      </c>
      <c r="D2832" s="142"/>
      <c r="E2832" s="142"/>
      <c r="F2832" s="142"/>
      <c r="G2832" s="142"/>
      <c r="H2832" s="141"/>
      <c r="I2832" s="8"/>
    </row>
    <row r="2833" spans="2:9" ht="15" hidden="1" customHeight="1" x14ac:dyDescent="0.25">
      <c r="B2833" s="7"/>
      <c r="C2833" s="140">
        <v>2805</v>
      </c>
      <c r="D2833" s="142"/>
      <c r="E2833" s="142"/>
      <c r="F2833" s="142"/>
      <c r="G2833" s="142"/>
      <c r="H2833" s="141"/>
      <c r="I2833" s="8"/>
    </row>
    <row r="2834" spans="2:9" ht="15" hidden="1" customHeight="1" x14ac:dyDescent="0.25">
      <c r="B2834" s="7"/>
      <c r="C2834" s="140">
        <v>2806</v>
      </c>
      <c r="D2834" s="142"/>
      <c r="E2834" s="142"/>
      <c r="F2834" s="142"/>
      <c r="G2834" s="142"/>
      <c r="H2834" s="141"/>
      <c r="I2834" s="8"/>
    </row>
    <row r="2835" spans="2:9" ht="15" hidden="1" customHeight="1" x14ac:dyDescent="0.25">
      <c r="B2835" s="7"/>
      <c r="C2835" s="140">
        <v>2807</v>
      </c>
      <c r="D2835" s="142"/>
      <c r="E2835" s="142"/>
      <c r="F2835" s="142"/>
      <c r="G2835" s="142"/>
      <c r="H2835" s="141"/>
      <c r="I2835" s="8"/>
    </row>
    <row r="2836" spans="2:9" ht="15" hidden="1" customHeight="1" x14ac:dyDescent="0.25">
      <c r="B2836" s="7"/>
      <c r="C2836" s="140">
        <v>2808</v>
      </c>
      <c r="D2836" s="142"/>
      <c r="E2836" s="142"/>
      <c r="F2836" s="142"/>
      <c r="G2836" s="142"/>
      <c r="H2836" s="141"/>
      <c r="I2836" s="8"/>
    </row>
    <row r="2837" spans="2:9" ht="15" hidden="1" customHeight="1" x14ac:dyDescent="0.25">
      <c r="B2837" s="7"/>
      <c r="C2837" s="140">
        <v>2809</v>
      </c>
      <c r="D2837" s="142"/>
      <c r="E2837" s="142"/>
      <c r="F2837" s="142"/>
      <c r="G2837" s="142"/>
      <c r="H2837" s="141"/>
      <c r="I2837" s="8"/>
    </row>
    <row r="2838" spans="2:9" ht="15" hidden="1" customHeight="1" x14ac:dyDescent="0.25">
      <c r="B2838" s="7"/>
      <c r="C2838" s="140">
        <v>2810</v>
      </c>
      <c r="D2838" s="142"/>
      <c r="E2838" s="142"/>
      <c r="F2838" s="142"/>
      <c r="G2838" s="142"/>
      <c r="H2838" s="141"/>
      <c r="I2838" s="8"/>
    </row>
    <row r="2839" spans="2:9" ht="15" hidden="1" customHeight="1" x14ac:dyDescent="0.25">
      <c r="B2839" s="7"/>
      <c r="C2839" s="140">
        <v>2811</v>
      </c>
      <c r="D2839" s="142"/>
      <c r="E2839" s="142"/>
      <c r="F2839" s="142"/>
      <c r="G2839" s="142"/>
      <c r="H2839" s="141"/>
      <c r="I2839" s="8"/>
    </row>
    <row r="2840" spans="2:9" ht="15" hidden="1" customHeight="1" x14ac:dyDescent="0.25">
      <c r="B2840" s="7"/>
      <c r="C2840" s="140">
        <v>2812</v>
      </c>
      <c r="D2840" s="142"/>
      <c r="E2840" s="142"/>
      <c r="F2840" s="142"/>
      <c r="G2840" s="142"/>
      <c r="H2840" s="141"/>
      <c r="I2840" s="8"/>
    </row>
    <row r="2841" spans="2:9" ht="15" hidden="1" customHeight="1" x14ac:dyDescent="0.25">
      <c r="B2841" s="7"/>
      <c r="C2841" s="140">
        <v>2813</v>
      </c>
      <c r="D2841" s="142"/>
      <c r="E2841" s="142"/>
      <c r="F2841" s="142"/>
      <c r="G2841" s="142"/>
      <c r="H2841" s="141"/>
      <c r="I2841" s="8"/>
    </row>
    <row r="2842" spans="2:9" ht="15" hidden="1" customHeight="1" x14ac:dyDescent="0.25">
      <c r="B2842" s="7"/>
      <c r="C2842" s="140">
        <v>2814</v>
      </c>
      <c r="D2842" s="142"/>
      <c r="E2842" s="142"/>
      <c r="F2842" s="142"/>
      <c r="G2842" s="142"/>
      <c r="H2842" s="141"/>
      <c r="I2842" s="8"/>
    </row>
    <row r="2843" spans="2:9" ht="15" hidden="1" customHeight="1" x14ac:dyDescent="0.25">
      <c r="B2843" s="7"/>
      <c r="C2843" s="140">
        <v>2815</v>
      </c>
      <c r="D2843" s="142"/>
      <c r="E2843" s="142"/>
      <c r="F2843" s="142"/>
      <c r="G2843" s="142"/>
      <c r="H2843" s="141"/>
      <c r="I2843" s="8"/>
    </row>
    <row r="2844" spans="2:9" ht="15" hidden="1" customHeight="1" x14ac:dyDescent="0.25">
      <c r="B2844" s="7"/>
      <c r="C2844" s="140">
        <v>2816</v>
      </c>
      <c r="D2844" s="142"/>
      <c r="E2844" s="142"/>
      <c r="F2844" s="142"/>
      <c r="G2844" s="142"/>
      <c r="H2844" s="141"/>
      <c r="I2844" s="8"/>
    </row>
    <row r="2845" spans="2:9" ht="15" hidden="1" customHeight="1" x14ac:dyDescent="0.25">
      <c r="B2845" s="7"/>
      <c r="C2845" s="140">
        <v>2817</v>
      </c>
      <c r="D2845" s="142"/>
      <c r="E2845" s="142"/>
      <c r="F2845" s="142"/>
      <c r="G2845" s="142"/>
      <c r="H2845" s="141"/>
      <c r="I2845" s="8"/>
    </row>
    <row r="2846" spans="2:9" ht="15" hidden="1" customHeight="1" x14ac:dyDescent="0.25">
      <c r="B2846" s="7"/>
      <c r="C2846" s="140">
        <v>2818</v>
      </c>
      <c r="D2846" s="142"/>
      <c r="E2846" s="142"/>
      <c r="F2846" s="142"/>
      <c r="G2846" s="142"/>
      <c r="H2846" s="141"/>
      <c r="I2846" s="8"/>
    </row>
    <row r="2847" spans="2:9" ht="15" hidden="1" customHeight="1" x14ac:dyDescent="0.25">
      <c r="B2847" s="7"/>
      <c r="C2847" s="140">
        <v>2819</v>
      </c>
      <c r="D2847" s="142"/>
      <c r="E2847" s="142"/>
      <c r="F2847" s="142"/>
      <c r="G2847" s="142"/>
      <c r="H2847" s="141"/>
      <c r="I2847" s="8"/>
    </row>
    <row r="2848" spans="2:9" ht="15" hidden="1" customHeight="1" x14ac:dyDescent="0.25">
      <c r="B2848" s="7"/>
      <c r="C2848" s="140">
        <v>2820</v>
      </c>
      <c r="D2848" s="142"/>
      <c r="E2848" s="142"/>
      <c r="F2848" s="142"/>
      <c r="G2848" s="142"/>
      <c r="H2848" s="141"/>
      <c r="I2848" s="8"/>
    </row>
    <row r="2849" spans="2:9" ht="15" hidden="1" customHeight="1" x14ac:dyDescent="0.25">
      <c r="B2849" s="7"/>
      <c r="C2849" s="140">
        <v>2821</v>
      </c>
      <c r="D2849" s="142"/>
      <c r="E2849" s="142"/>
      <c r="F2849" s="142"/>
      <c r="G2849" s="142"/>
      <c r="H2849" s="141"/>
      <c r="I2849" s="8"/>
    </row>
    <row r="2850" spans="2:9" ht="15" hidden="1" customHeight="1" x14ac:dyDescent="0.25">
      <c r="B2850" s="7"/>
      <c r="C2850" s="140">
        <v>2822</v>
      </c>
      <c r="D2850" s="142"/>
      <c r="E2850" s="142"/>
      <c r="F2850" s="142"/>
      <c r="G2850" s="142"/>
      <c r="H2850" s="141"/>
      <c r="I2850" s="8"/>
    </row>
    <row r="2851" spans="2:9" ht="15" hidden="1" customHeight="1" x14ac:dyDescent="0.25">
      <c r="B2851" s="7"/>
      <c r="C2851" s="140">
        <v>2823</v>
      </c>
      <c r="D2851" s="142"/>
      <c r="E2851" s="142"/>
      <c r="F2851" s="142"/>
      <c r="G2851" s="142"/>
      <c r="H2851" s="141"/>
      <c r="I2851" s="8"/>
    </row>
    <row r="2852" spans="2:9" ht="15" hidden="1" customHeight="1" x14ac:dyDescent="0.25">
      <c r="B2852" s="7"/>
      <c r="C2852" s="140">
        <v>2824</v>
      </c>
      <c r="D2852" s="142"/>
      <c r="E2852" s="142"/>
      <c r="F2852" s="142"/>
      <c r="G2852" s="142"/>
      <c r="H2852" s="141"/>
      <c r="I2852" s="8"/>
    </row>
    <row r="2853" spans="2:9" ht="15" hidden="1" customHeight="1" x14ac:dyDescent="0.25">
      <c r="B2853" s="7"/>
      <c r="C2853" s="140">
        <v>2825</v>
      </c>
      <c r="D2853" s="142"/>
      <c r="E2853" s="142"/>
      <c r="F2853" s="142"/>
      <c r="G2853" s="142"/>
      <c r="H2853" s="141"/>
      <c r="I2853" s="8"/>
    </row>
    <row r="2854" spans="2:9" ht="15" hidden="1" customHeight="1" x14ac:dyDescent="0.25">
      <c r="B2854" s="7"/>
      <c r="C2854" s="140">
        <v>2826</v>
      </c>
      <c r="D2854" s="142"/>
      <c r="E2854" s="142"/>
      <c r="F2854" s="142"/>
      <c r="G2854" s="142"/>
      <c r="H2854" s="141"/>
      <c r="I2854" s="8"/>
    </row>
    <row r="2855" spans="2:9" ht="15" hidden="1" customHeight="1" x14ac:dyDescent="0.25">
      <c r="B2855" s="7"/>
      <c r="C2855" s="140">
        <v>2827</v>
      </c>
      <c r="D2855" s="142"/>
      <c r="E2855" s="142"/>
      <c r="F2855" s="142"/>
      <c r="G2855" s="142"/>
      <c r="H2855" s="141"/>
      <c r="I2855" s="8"/>
    </row>
    <row r="2856" spans="2:9" ht="15" hidden="1" customHeight="1" x14ac:dyDescent="0.25">
      <c r="B2856" s="7"/>
      <c r="C2856" s="140">
        <v>2828</v>
      </c>
      <c r="D2856" s="142"/>
      <c r="E2856" s="142"/>
      <c r="F2856" s="142"/>
      <c r="G2856" s="142"/>
      <c r="H2856" s="141"/>
      <c r="I2856" s="8"/>
    </row>
    <row r="2857" spans="2:9" ht="15" hidden="1" customHeight="1" x14ac:dyDescent="0.25">
      <c r="B2857" s="7"/>
      <c r="C2857" s="140">
        <v>2829</v>
      </c>
      <c r="D2857" s="142"/>
      <c r="E2857" s="142"/>
      <c r="F2857" s="142"/>
      <c r="G2857" s="142"/>
      <c r="H2857" s="141"/>
      <c r="I2857" s="8"/>
    </row>
    <row r="2858" spans="2:9" ht="15" hidden="1" customHeight="1" x14ac:dyDescent="0.25">
      <c r="B2858" s="7"/>
      <c r="C2858" s="140">
        <v>2830</v>
      </c>
      <c r="D2858" s="142"/>
      <c r="E2858" s="142"/>
      <c r="F2858" s="142"/>
      <c r="G2858" s="142"/>
      <c r="H2858" s="141"/>
      <c r="I2858" s="8"/>
    </row>
    <row r="2859" spans="2:9" ht="15" hidden="1" customHeight="1" x14ac:dyDescent="0.25">
      <c r="B2859" s="7"/>
      <c r="C2859" s="140">
        <v>2831</v>
      </c>
      <c r="D2859" s="142"/>
      <c r="E2859" s="142"/>
      <c r="F2859" s="142"/>
      <c r="G2859" s="142"/>
      <c r="H2859" s="141"/>
      <c r="I2859" s="8"/>
    </row>
    <row r="2860" spans="2:9" ht="15" hidden="1" customHeight="1" x14ac:dyDescent="0.25">
      <c r="B2860" s="7"/>
      <c r="C2860" s="140">
        <v>2832</v>
      </c>
      <c r="D2860" s="142"/>
      <c r="E2860" s="142"/>
      <c r="F2860" s="142"/>
      <c r="G2860" s="142"/>
      <c r="H2860" s="141"/>
      <c r="I2860" s="8"/>
    </row>
    <row r="2861" spans="2:9" ht="15" hidden="1" customHeight="1" x14ac:dyDescent="0.25">
      <c r="B2861" s="7"/>
      <c r="C2861" s="140">
        <v>2833</v>
      </c>
      <c r="D2861" s="142"/>
      <c r="E2861" s="142"/>
      <c r="F2861" s="142"/>
      <c r="G2861" s="142"/>
      <c r="H2861" s="141"/>
      <c r="I2861" s="8"/>
    </row>
    <row r="2862" spans="2:9" ht="15" hidden="1" customHeight="1" x14ac:dyDescent="0.25">
      <c r="B2862" s="7"/>
      <c r="C2862" s="140">
        <v>2834</v>
      </c>
      <c r="D2862" s="142"/>
      <c r="E2862" s="142"/>
      <c r="F2862" s="142"/>
      <c r="G2862" s="142"/>
      <c r="H2862" s="141"/>
      <c r="I2862" s="8"/>
    </row>
    <row r="2863" spans="2:9" ht="15" hidden="1" customHeight="1" x14ac:dyDescent="0.25">
      <c r="B2863" s="7"/>
      <c r="C2863" s="140">
        <v>2835</v>
      </c>
      <c r="D2863" s="142"/>
      <c r="E2863" s="142"/>
      <c r="F2863" s="142"/>
      <c r="G2863" s="142"/>
      <c r="H2863" s="141"/>
      <c r="I2863" s="8"/>
    </row>
    <row r="2864" spans="2:9" ht="15" hidden="1" customHeight="1" x14ac:dyDescent="0.25">
      <c r="B2864" s="7"/>
      <c r="C2864" s="140">
        <v>2836</v>
      </c>
      <c r="D2864" s="142"/>
      <c r="E2864" s="142"/>
      <c r="F2864" s="142"/>
      <c r="G2864" s="142"/>
      <c r="H2864" s="141"/>
      <c r="I2864" s="8"/>
    </row>
    <row r="2865" spans="2:9" ht="15" hidden="1" customHeight="1" x14ac:dyDescent="0.25">
      <c r="B2865" s="7"/>
      <c r="C2865" s="140">
        <v>2837</v>
      </c>
      <c r="D2865" s="142"/>
      <c r="E2865" s="142"/>
      <c r="F2865" s="142"/>
      <c r="G2865" s="142"/>
      <c r="H2865" s="141"/>
      <c r="I2865" s="8"/>
    </row>
    <row r="2866" spans="2:9" ht="15" hidden="1" customHeight="1" x14ac:dyDescent="0.25">
      <c r="B2866" s="7"/>
      <c r="C2866" s="140">
        <v>2838</v>
      </c>
      <c r="D2866" s="142"/>
      <c r="E2866" s="142"/>
      <c r="F2866" s="142"/>
      <c r="G2866" s="142"/>
      <c r="H2866" s="141"/>
      <c r="I2866" s="8"/>
    </row>
    <row r="2867" spans="2:9" ht="15" hidden="1" customHeight="1" x14ac:dyDescent="0.25">
      <c r="B2867" s="7"/>
      <c r="C2867" s="140">
        <v>2839</v>
      </c>
      <c r="D2867" s="142"/>
      <c r="E2867" s="142"/>
      <c r="F2867" s="142"/>
      <c r="G2867" s="142"/>
      <c r="H2867" s="141"/>
      <c r="I2867" s="8"/>
    </row>
    <row r="2868" spans="2:9" ht="15" hidden="1" customHeight="1" x14ac:dyDescent="0.25">
      <c r="B2868" s="7"/>
      <c r="C2868" s="140">
        <v>2840</v>
      </c>
      <c r="D2868" s="142"/>
      <c r="E2868" s="142"/>
      <c r="F2868" s="142"/>
      <c r="G2868" s="142"/>
      <c r="H2868" s="141"/>
      <c r="I2868" s="8"/>
    </row>
    <row r="2869" spans="2:9" ht="15" hidden="1" customHeight="1" x14ac:dyDescent="0.25">
      <c r="B2869" s="7"/>
      <c r="C2869" s="140">
        <v>2841</v>
      </c>
      <c r="D2869" s="142"/>
      <c r="E2869" s="142"/>
      <c r="F2869" s="142"/>
      <c r="G2869" s="142"/>
      <c r="H2869" s="141"/>
      <c r="I2869" s="8"/>
    </row>
    <row r="2870" spans="2:9" ht="15" hidden="1" customHeight="1" x14ac:dyDescent="0.25">
      <c r="B2870" s="7"/>
      <c r="C2870" s="140">
        <v>2842</v>
      </c>
      <c r="D2870" s="142"/>
      <c r="E2870" s="142"/>
      <c r="F2870" s="142"/>
      <c r="G2870" s="142"/>
      <c r="H2870" s="141"/>
      <c r="I2870" s="8"/>
    </row>
    <row r="2871" spans="2:9" ht="15" hidden="1" customHeight="1" x14ac:dyDescent="0.25">
      <c r="B2871" s="7"/>
      <c r="C2871" s="140">
        <v>2843</v>
      </c>
      <c r="D2871" s="142"/>
      <c r="E2871" s="142"/>
      <c r="F2871" s="142"/>
      <c r="G2871" s="142"/>
      <c r="H2871" s="141"/>
      <c r="I2871" s="8"/>
    </row>
    <row r="2872" spans="2:9" ht="15" hidden="1" customHeight="1" x14ac:dyDescent="0.25">
      <c r="B2872" s="7"/>
      <c r="C2872" s="140">
        <v>2844</v>
      </c>
      <c r="D2872" s="142"/>
      <c r="E2872" s="142"/>
      <c r="F2872" s="142"/>
      <c r="G2872" s="142"/>
      <c r="H2872" s="141"/>
      <c r="I2872" s="8"/>
    </row>
    <row r="2873" spans="2:9" ht="15" hidden="1" customHeight="1" x14ac:dyDescent="0.25">
      <c r="B2873" s="7"/>
      <c r="C2873" s="140">
        <v>2845</v>
      </c>
      <c r="D2873" s="142"/>
      <c r="E2873" s="142"/>
      <c r="F2873" s="142"/>
      <c r="G2873" s="142"/>
      <c r="H2873" s="141"/>
      <c r="I2873" s="8"/>
    </row>
    <row r="2874" spans="2:9" ht="15" hidden="1" customHeight="1" x14ac:dyDescent="0.25">
      <c r="B2874" s="7"/>
      <c r="C2874" s="140">
        <v>2846</v>
      </c>
      <c r="D2874" s="142"/>
      <c r="E2874" s="142"/>
      <c r="F2874" s="142"/>
      <c r="G2874" s="142"/>
      <c r="H2874" s="141"/>
      <c r="I2874" s="8"/>
    </row>
    <row r="2875" spans="2:9" ht="15" hidden="1" customHeight="1" x14ac:dyDescent="0.25">
      <c r="B2875" s="7"/>
      <c r="C2875" s="140">
        <v>2847</v>
      </c>
      <c r="D2875" s="142"/>
      <c r="E2875" s="142"/>
      <c r="F2875" s="142"/>
      <c r="G2875" s="142"/>
      <c r="H2875" s="141"/>
      <c r="I2875" s="8"/>
    </row>
    <row r="2876" spans="2:9" ht="15" hidden="1" customHeight="1" x14ac:dyDescent="0.25">
      <c r="B2876" s="7"/>
      <c r="C2876" s="140">
        <v>2848</v>
      </c>
      <c r="D2876" s="142"/>
      <c r="E2876" s="142"/>
      <c r="F2876" s="142"/>
      <c r="G2876" s="142"/>
      <c r="H2876" s="141"/>
      <c r="I2876" s="8"/>
    </row>
    <row r="2877" spans="2:9" ht="15" hidden="1" customHeight="1" x14ac:dyDescent="0.25">
      <c r="B2877" s="7"/>
      <c r="C2877" s="140">
        <v>2849</v>
      </c>
      <c r="D2877" s="142"/>
      <c r="E2877" s="142"/>
      <c r="F2877" s="142"/>
      <c r="G2877" s="142"/>
      <c r="H2877" s="141"/>
      <c r="I2877" s="8"/>
    </row>
    <row r="2878" spans="2:9" ht="15" hidden="1" customHeight="1" x14ac:dyDescent="0.25">
      <c r="B2878" s="7"/>
      <c r="C2878" s="140">
        <v>2850</v>
      </c>
      <c r="D2878" s="142"/>
      <c r="E2878" s="142"/>
      <c r="F2878" s="142"/>
      <c r="G2878" s="142"/>
      <c r="H2878" s="141"/>
      <c r="I2878" s="8"/>
    </row>
    <row r="2879" spans="2:9" ht="15" hidden="1" customHeight="1" x14ac:dyDescent="0.25">
      <c r="B2879" s="7"/>
      <c r="C2879" s="140">
        <v>2851</v>
      </c>
      <c r="D2879" s="142"/>
      <c r="E2879" s="142"/>
      <c r="F2879" s="142"/>
      <c r="G2879" s="142"/>
      <c r="H2879" s="141"/>
      <c r="I2879" s="8"/>
    </row>
    <row r="2880" spans="2:9" ht="15" hidden="1" customHeight="1" x14ac:dyDescent="0.25">
      <c r="B2880" s="7"/>
      <c r="C2880" s="140">
        <v>2852</v>
      </c>
      <c r="D2880" s="142"/>
      <c r="E2880" s="142"/>
      <c r="F2880" s="142"/>
      <c r="G2880" s="142"/>
      <c r="H2880" s="141"/>
      <c r="I2880" s="8"/>
    </row>
    <row r="2881" spans="2:9" ht="15" hidden="1" customHeight="1" x14ac:dyDescent="0.25">
      <c r="B2881" s="7"/>
      <c r="C2881" s="140">
        <v>2853</v>
      </c>
      <c r="D2881" s="142"/>
      <c r="E2881" s="142"/>
      <c r="F2881" s="142"/>
      <c r="G2881" s="142"/>
      <c r="H2881" s="141"/>
      <c r="I2881" s="8"/>
    </row>
    <row r="2882" spans="2:9" ht="15" hidden="1" customHeight="1" x14ac:dyDescent="0.25">
      <c r="B2882" s="7"/>
      <c r="C2882" s="140">
        <v>2854</v>
      </c>
      <c r="D2882" s="142"/>
      <c r="E2882" s="142"/>
      <c r="F2882" s="142"/>
      <c r="G2882" s="142"/>
      <c r="H2882" s="141"/>
      <c r="I2882" s="8"/>
    </row>
    <row r="2883" spans="2:9" ht="15" hidden="1" customHeight="1" x14ac:dyDescent="0.25">
      <c r="B2883" s="7"/>
      <c r="C2883" s="140">
        <v>2855</v>
      </c>
      <c r="D2883" s="142"/>
      <c r="E2883" s="142"/>
      <c r="F2883" s="142"/>
      <c r="G2883" s="142"/>
      <c r="H2883" s="141"/>
      <c r="I2883" s="8"/>
    </row>
    <row r="2884" spans="2:9" ht="15" hidden="1" customHeight="1" x14ac:dyDescent="0.25">
      <c r="B2884" s="7"/>
      <c r="C2884" s="140">
        <v>2856</v>
      </c>
      <c r="D2884" s="142"/>
      <c r="E2884" s="142"/>
      <c r="F2884" s="142"/>
      <c r="G2884" s="142"/>
      <c r="H2884" s="141"/>
      <c r="I2884" s="8"/>
    </row>
    <row r="2885" spans="2:9" ht="15" hidden="1" customHeight="1" x14ac:dyDescent="0.25">
      <c r="B2885" s="7"/>
      <c r="C2885" s="140">
        <v>2857</v>
      </c>
      <c r="D2885" s="142"/>
      <c r="E2885" s="142"/>
      <c r="F2885" s="142"/>
      <c r="G2885" s="142"/>
      <c r="H2885" s="141"/>
      <c r="I2885" s="8"/>
    </row>
    <row r="2886" spans="2:9" ht="15" hidden="1" customHeight="1" x14ac:dyDescent="0.25">
      <c r="B2886" s="7"/>
      <c r="C2886" s="140">
        <v>2858</v>
      </c>
      <c r="D2886" s="142"/>
      <c r="E2886" s="142"/>
      <c r="F2886" s="142"/>
      <c r="G2886" s="142"/>
      <c r="H2886" s="141"/>
      <c r="I2886" s="8"/>
    </row>
    <row r="2887" spans="2:9" ht="15" hidden="1" customHeight="1" x14ac:dyDescent="0.25">
      <c r="B2887" s="7"/>
      <c r="C2887" s="140">
        <v>2859</v>
      </c>
      <c r="D2887" s="142"/>
      <c r="E2887" s="142"/>
      <c r="F2887" s="142"/>
      <c r="G2887" s="142"/>
      <c r="H2887" s="141"/>
      <c r="I2887" s="8"/>
    </row>
    <row r="2888" spans="2:9" ht="15" hidden="1" customHeight="1" x14ac:dyDescent="0.25">
      <c r="B2888" s="7"/>
      <c r="C2888" s="140">
        <v>2860</v>
      </c>
      <c r="D2888" s="142"/>
      <c r="E2888" s="142"/>
      <c r="F2888" s="142"/>
      <c r="G2888" s="142"/>
      <c r="H2888" s="141"/>
      <c r="I2888" s="8"/>
    </row>
    <row r="2889" spans="2:9" ht="15" hidden="1" customHeight="1" x14ac:dyDescent="0.25">
      <c r="B2889" s="7"/>
      <c r="C2889" s="140">
        <v>2861</v>
      </c>
      <c r="D2889" s="142"/>
      <c r="E2889" s="142"/>
      <c r="F2889" s="142"/>
      <c r="G2889" s="142"/>
      <c r="H2889" s="141"/>
      <c r="I2889" s="8"/>
    </row>
    <row r="2890" spans="2:9" ht="15" hidden="1" customHeight="1" x14ac:dyDescent="0.25">
      <c r="B2890" s="7"/>
      <c r="C2890" s="140">
        <v>2862</v>
      </c>
      <c r="D2890" s="142"/>
      <c r="E2890" s="142"/>
      <c r="F2890" s="142"/>
      <c r="G2890" s="142"/>
      <c r="H2890" s="141"/>
      <c r="I2890" s="8"/>
    </row>
    <row r="2891" spans="2:9" ht="15" hidden="1" customHeight="1" x14ac:dyDescent="0.25">
      <c r="B2891" s="7"/>
      <c r="C2891" s="140">
        <v>2863</v>
      </c>
      <c r="D2891" s="142"/>
      <c r="E2891" s="142"/>
      <c r="F2891" s="142"/>
      <c r="G2891" s="142"/>
      <c r="H2891" s="141"/>
      <c r="I2891" s="8"/>
    </row>
    <row r="2892" spans="2:9" ht="15" hidden="1" customHeight="1" x14ac:dyDescent="0.25">
      <c r="B2892" s="7"/>
      <c r="C2892" s="140">
        <v>2864</v>
      </c>
      <c r="D2892" s="142"/>
      <c r="E2892" s="142"/>
      <c r="F2892" s="142"/>
      <c r="G2892" s="142"/>
      <c r="H2892" s="141"/>
      <c r="I2892" s="8"/>
    </row>
    <row r="2893" spans="2:9" ht="15" hidden="1" customHeight="1" x14ac:dyDescent="0.25">
      <c r="B2893" s="7"/>
      <c r="C2893" s="140">
        <v>2865</v>
      </c>
      <c r="D2893" s="142"/>
      <c r="E2893" s="142"/>
      <c r="F2893" s="142"/>
      <c r="G2893" s="142"/>
      <c r="H2893" s="141"/>
      <c r="I2893" s="8"/>
    </row>
    <row r="2894" spans="2:9" ht="15" hidden="1" customHeight="1" x14ac:dyDescent="0.25">
      <c r="B2894" s="7"/>
      <c r="C2894" s="140">
        <v>2866</v>
      </c>
      <c r="D2894" s="142"/>
      <c r="E2894" s="142"/>
      <c r="F2894" s="142"/>
      <c r="G2894" s="142"/>
      <c r="H2894" s="141"/>
      <c r="I2894" s="8"/>
    </row>
    <row r="2895" spans="2:9" ht="15" hidden="1" customHeight="1" x14ac:dyDescent="0.25">
      <c r="B2895" s="7"/>
      <c r="C2895" s="140">
        <v>2867</v>
      </c>
      <c r="D2895" s="142"/>
      <c r="E2895" s="142"/>
      <c r="F2895" s="142"/>
      <c r="G2895" s="142"/>
      <c r="H2895" s="141"/>
      <c r="I2895" s="8"/>
    </row>
    <row r="2896" spans="2:9" ht="15" hidden="1" customHeight="1" x14ac:dyDescent="0.25">
      <c r="B2896" s="7"/>
      <c r="C2896" s="140">
        <v>2868</v>
      </c>
      <c r="D2896" s="142"/>
      <c r="E2896" s="142"/>
      <c r="F2896" s="142"/>
      <c r="G2896" s="142"/>
      <c r="H2896" s="141"/>
      <c r="I2896" s="8"/>
    </row>
    <row r="2897" spans="2:9" ht="15" hidden="1" customHeight="1" x14ac:dyDescent="0.25">
      <c r="B2897" s="7"/>
      <c r="C2897" s="140">
        <v>2869</v>
      </c>
      <c r="D2897" s="142"/>
      <c r="E2897" s="142"/>
      <c r="F2897" s="142"/>
      <c r="G2897" s="142"/>
      <c r="H2897" s="141"/>
      <c r="I2897" s="8"/>
    </row>
    <row r="2898" spans="2:9" ht="15" hidden="1" customHeight="1" x14ac:dyDescent="0.25">
      <c r="B2898" s="7"/>
      <c r="C2898" s="140">
        <v>2870</v>
      </c>
      <c r="D2898" s="142"/>
      <c r="E2898" s="142"/>
      <c r="F2898" s="142"/>
      <c r="G2898" s="142"/>
      <c r="H2898" s="141"/>
      <c r="I2898" s="8"/>
    </row>
    <row r="2899" spans="2:9" ht="15" hidden="1" customHeight="1" x14ac:dyDescent="0.25">
      <c r="B2899" s="7"/>
      <c r="C2899" s="140">
        <v>2871</v>
      </c>
      <c r="D2899" s="142"/>
      <c r="E2899" s="142"/>
      <c r="F2899" s="142"/>
      <c r="G2899" s="142"/>
      <c r="H2899" s="141"/>
      <c r="I2899" s="8"/>
    </row>
    <row r="2900" spans="2:9" ht="15" hidden="1" customHeight="1" x14ac:dyDescent="0.25">
      <c r="B2900" s="7"/>
      <c r="C2900" s="140">
        <v>2872</v>
      </c>
      <c r="D2900" s="142"/>
      <c r="E2900" s="142"/>
      <c r="F2900" s="142"/>
      <c r="G2900" s="142"/>
      <c r="H2900" s="141"/>
      <c r="I2900" s="8"/>
    </row>
    <row r="2901" spans="2:9" ht="15" hidden="1" customHeight="1" x14ac:dyDescent="0.25">
      <c r="B2901" s="7"/>
      <c r="C2901" s="140">
        <v>2873</v>
      </c>
      <c r="D2901" s="142"/>
      <c r="E2901" s="142"/>
      <c r="F2901" s="142"/>
      <c r="G2901" s="142"/>
      <c r="H2901" s="141"/>
      <c r="I2901" s="8"/>
    </row>
    <row r="2902" spans="2:9" ht="15" hidden="1" customHeight="1" x14ac:dyDescent="0.25">
      <c r="B2902" s="7"/>
      <c r="C2902" s="140">
        <v>2874</v>
      </c>
      <c r="D2902" s="142"/>
      <c r="E2902" s="142"/>
      <c r="F2902" s="142"/>
      <c r="G2902" s="142"/>
      <c r="H2902" s="141"/>
      <c r="I2902" s="8"/>
    </row>
    <row r="2903" spans="2:9" ht="15" hidden="1" customHeight="1" x14ac:dyDescent="0.25">
      <c r="B2903" s="7"/>
      <c r="C2903" s="140">
        <v>2875</v>
      </c>
      <c r="D2903" s="142"/>
      <c r="E2903" s="142"/>
      <c r="F2903" s="142"/>
      <c r="G2903" s="142"/>
      <c r="H2903" s="141"/>
      <c r="I2903" s="8"/>
    </row>
    <row r="2904" spans="2:9" ht="15" hidden="1" customHeight="1" x14ac:dyDescent="0.25">
      <c r="B2904" s="7"/>
      <c r="C2904" s="140">
        <v>2876</v>
      </c>
      <c r="D2904" s="142"/>
      <c r="E2904" s="142"/>
      <c r="F2904" s="142"/>
      <c r="G2904" s="142"/>
      <c r="H2904" s="141"/>
      <c r="I2904" s="8"/>
    </row>
    <row r="2905" spans="2:9" ht="15" hidden="1" customHeight="1" x14ac:dyDescent="0.25">
      <c r="B2905" s="7"/>
      <c r="C2905" s="140">
        <v>2877</v>
      </c>
      <c r="D2905" s="142"/>
      <c r="E2905" s="142"/>
      <c r="F2905" s="142"/>
      <c r="G2905" s="142"/>
      <c r="H2905" s="141"/>
      <c r="I2905" s="8"/>
    </row>
    <row r="2906" spans="2:9" ht="15" hidden="1" customHeight="1" x14ac:dyDescent="0.25">
      <c r="B2906" s="7"/>
      <c r="C2906" s="140">
        <v>2878</v>
      </c>
      <c r="D2906" s="142"/>
      <c r="E2906" s="142"/>
      <c r="F2906" s="142"/>
      <c r="G2906" s="142"/>
      <c r="H2906" s="141"/>
      <c r="I2906" s="8"/>
    </row>
    <row r="2907" spans="2:9" ht="15" hidden="1" customHeight="1" x14ac:dyDescent="0.25">
      <c r="B2907" s="7"/>
      <c r="C2907" s="140">
        <v>2879</v>
      </c>
      <c r="D2907" s="142"/>
      <c r="E2907" s="142"/>
      <c r="F2907" s="142"/>
      <c r="G2907" s="142"/>
      <c r="H2907" s="141"/>
      <c r="I2907" s="8"/>
    </row>
    <row r="2908" spans="2:9" ht="15" hidden="1" customHeight="1" x14ac:dyDescent="0.25">
      <c r="B2908" s="7"/>
      <c r="C2908" s="140">
        <v>2880</v>
      </c>
      <c r="D2908" s="142"/>
      <c r="E2908" s="142"/>
      <c r="F2908" s="142"/>
      <c r="G2908" s="142"/>
      <c r="H2908" s="141"/>
      <c r="I2908" s="8"/>
    </row>
    <row r="2909" spans="2:9" ht="15" hidden="1" customHeight="1" x14ac:dyDescent="0.25">
      <c r="B2909" s="7"/>
      <c r="C2909" s="140">
        <v>2881</v>
      </c>
      <c r="D2909" s="142"/>
      <c r="E2909" s="142"/>
      <c r="F2909" s="142"/>
      <c r="G2909" s="142"/>
      <c r="H2909" s="141"/>
      <c r="I2909" s="8"/>
    </row>
    <row r="2910" spans="2:9" ht="15" hidden="1" customHeight="1" x14ac:dyDescent="0.25">
      <c r="B2910" s="7"/>
      <c r="C2910" s="140">
        <v>2882</v>
      </c>
      <c r="D2910" s="142"/>
      <c r="E2910" s="142"/>
      <c r="F2910" s="142"/>
      <c r="G2910" s="142"/>
      <c r="H2910" s="141"/>
      <c r="I2910" s="8"/>
    </row>
    <row r="2911" spans="2:9" ht="15" hidden="1" customHeight="1" x14ac:dyDescent="0.25">
      <c r="B2911" s="7"/>
      <c r="C2911" s="140">
        <v>2883</v>
      </c>
      <c r="D2911" s="142"/>
      <c r="E2911" s="142"/>
      <c r="F2911" s="142"/>
      <c r="G2911" s="142"/>
      <c r="H2911" s="141"/>
      <c r="I2911" s="8"/>
    </row>
    <row r="2912" spans="2:9" ht="15" hidden="1" customHeight="1" x14ac:dyDescent="0.25">
      <c r="B2912" s="7"/>
      <c r="C2912" s="140">
        <v>2884</v>
      </c>
      <c r="D2912" s="142"/>
      <c r="E2912" s="142"/>
      <c r="F2912" s="142"/>
      <c r="G2912" s="142"/>
      <c r="H2912" s="141"/>
      <c r="I2912" s="8"/>
    </row>
    <row r="2913" spans="2:9" ht="15" hidden="1" customHeight="1" x14ac:dyDescent="0.25">
      <c r="B2913" s="7"/>
      <c r="C2913" s="140">
        <v>2885</v>
      </c>
      <c r="D2913" s="142"/>
      <c r="E2913" s="142"/>
      <c r="F2913" s="142"/>
      <c r="G2913" s="142"/>
      <c r="H2913" s="141"/>
      <c r="I2913" s="8"/>
    </row>
    <row r="2914" spans="2:9" ht="15" hidden="1" customHeight="1" x14ac:dyDescent="0.25">
      <c r="B2914" s="7"/>
      <c r="C2914" s="140">
        <v>2886</v>
      </c>
      <c r="D2914" s="142"/>
      <c r="E2914" s="142"/>
      <c r="F2914" s="142"/>
      <c r="G2914" s="142"/>
      <c r="H2914" s="141"/>
      <c r="I2914" s="8"/>
    </row>
    <row r="2915" spans="2:9" ht="15" hidden="1" customHeight="1" x14ac:dyDescent="0.25">
      <c r="B2915" s="7"/>
      <c r="C2915" s="140">
        <v>2887</v>
      </c>
      <c r="D2915" s="142"/>
      <c r="E2915" s="142"/>
      <c r="F2915" s="142"/>
      <c r="G2915" s="142"/>
      <c r="H2915" s="141"/>
      <c r="I2915" s="8"/>
    </row>
    <row r="2916" spans="2:9" ht="15" hidden="1" customHeight="1" x14ac:dyDescent="0.25">
      <c r="B2916" s="7"/>
      <c r="C2916" s="140">
        <v>2888</v>
      </c>
      <c r="D2916" s="142"/>
      <c r="E2916" s="142"/>
      <c r="F2916" s="142"/>
      <c r="G2916" s="142"/>
      <c r="H2916" s="141"/>
      <c r="I2916" s="8"/>
    </row>
    <row r="2917" spans="2:9" ht="15" hidden="1" customHeight="1" x14ac:dyDescent="0.25">
      <c r="B2917" s="7"/>
      <c r="C2917" s="140">
        <v>2889</v>
      </c>
      <c r="D2917" s="142"/>
      <c r="E2917" s="142"/>
      <c r="F2917" s="142"/>
      <c r="G2917" s="142"/>
      <c r="H2917" s="141"/>
      <c r="I2917" s="8"/>
    </row>
    <row r="2918" spans="2:9" ht="15" hidden="1" customHeight="1" x14ac:dyDescent="0.25">
      <c r="B2918" s="7"/>
      <c r="C2918" s="140">
        <v>2890</v>
      </c>
      <c r="D2918" s="142"/>
      <c r="E2918" s="142"/>
      <c r="F2918" s="142"/>
      <c r="G2918" s="142"/>
      <c r="H2918" s="141"/>
      <c r="I2918" s="8"/>
    </row>
    <row r="2919" spans="2:9" ht="15" hidden="1" customHeight="1" x14ac:dyDescent="0.25">
      <c r="B2919" s="7"/>
      <c r="C2919" s="140">
        <v>2891</v>
      </c>
      <c r="D2919" s="142"/>
      <c r="E2919" s="142"/>
      <c r="F2919" s="142"/>
      <c r="G2919" s="142"/>
      <c r="H2919" s="141"/>
      <c r="I2919" s="8"/>
    </row>
    <row r="2920" spans="2:9" ht="15" hidden="1" customHeight="1" x14ac:dyDescent="0.25">
      <c r="B2920" s="7"/>
      <c r="C2920" s="140">
        <v>2892</v>
      </c>
      <c r="D2920" s="142"/>
      <c r="E2920" s="142"/>
      <c r="F2920" s="142"/>
      <c r="G2920" s="142"/>
      <c r="H2920" s="141"/>
      <c r="I2920" s="8"/>
    </row>
    <row r="2921" spans="2:9" ht="15" hidden="1" customHeight="1" x14ac:dyDescent="0.25">
      <c r="B2921" s="7"/>
      <c r="C2921" s="140">
        <v>2893</v>
      </c>
      <c r="D2921" s="142"/>
      <c r="E2921" s="142"/>
      <c r="F2921" s="142"/>
      <c r="G2921" s="142"/>
      <c r="H2921" s="141"/>
      <c r="I2921" s="8"/>
    </row>
    <row r="2922" spans="2:9" ht="15" hidden="1" customHeight="1" x14ac:dyDescent="0.25">
      <c r="B2922" s="7"/>
      <c r="C2922" s="140">
        <v>2894</v>
      </c>
      <c r="D2922" s="142"/>
      <c r="E2922" s="142"/>
      <c r="F2922" s="142"/>
      <c r="G2922" s="142"/>
      <c r="H2922" s="141"/>
      <c r="I2922" s="8"/>
    </row>
    <row r="2923" spans="2:9" ht="15" hidden="1" customHeight="1" x14ac:dyDescent="0.25">
      <c r="B2923" s="7"/>
      <c r="C2923" s="140">
        <v>2895</v>
      </c>
      <c r="D2923" s="142"/>
      <c r="E2923" s="142"/>
      <c r="F2923" s="142"/>
      <c r="G2923" s="142"/>
      <c r="H2923" s="141"/>
      <c r="I2923" s="8"/>
    </row>
    <row r="2924" spans="2:9" ht="15" hidden="1" customHeight="1" x14ac:dyDescent="0.25">
      <c r="B2924" s="7"/>
      <c r="C2924" s="140">
        <v>2896</v>
      </c>
      <c r="D2924" s="142"/>
      <c r="E2924" s="142"/>
      <c r="F2924" s="142"/>
      <c r="G2924" s="142"/>
      <c r="H2924" s="141"/>
      <c r="I2924" s="8"/>
    </row>
    <row r="2925" spans="2:9" ht="15" hidden="1" customHeight="1" x14ac:dyDescent="0.25">
      <c r="B2925" s="7"/>
      <c r="C2925" s="140">
        <v>2897</v>
      </c>
      <c r="D2925" s="142"/>
      <c r="E2925" s="142"/>
      <c r="F2925" s="142"/>
      <c r="G2925" s="142"/>
      <c r="H2925" s="141"/>
      <c r="I2925" s="8"/>
    </row>
    <row r="2926" spans="2:9" ht="15" hidden="1" customHeight="1" x14ac:dyDescent="0.25">
      <c r="B2926" s="7"/>
      <c r="C2926" s="140">
        <v>2898</v>
      </c>
      <c r="D2926" s="142"/>
      <c r="E2926" s="142"/>
      <c r="F2926" s="142"/>
      <c r="G2926" s="142"/>
      <c r="H2926" s="141"/>
      <c r="I2926" s="8"/>
    </row>
    <row r="2927" spans="2:9" ht="15" hidden="1" customHeight="1" x14ac:dyDescent="0.25">
      <c r="B2927" s="7"/>
      <c r="C2927" s="140">
        <v>2899</v>
      </c>
      <c r="D2927" s="142"/>
      <c r="E2927" s="142"/>
      <c r="F2927" s="142"/>
      <c r="G2927" s="142"/>
      <c r="H2927" s="141"/>
      <c r="I2927" s="8"/>
    </row>
    <row r="2928" spans="2:9" ht="15" hidden="1" customHeight="1" x14ac:dyDescent="0.25">
      <c r="B2928" s="7"/>
      <c r="C2928" s="140">
        <v>2900</v>
      </c>
      <c r="D2928" s="142"/>
      <c r="E2928" s="142"/>
      <c r="F2928" s="142"/>
      <c r="G2928" s="142"/>
      <c r="H2928" s="141"/>
      <c r="I2928" s="8"/>
    </row>
    <row r="2929" spans="2:9" ht="15" hidden="1" customHeight="1" x14ac:dyDescent="0.25">
      <c r="B2929" s="7"/>
      <c r="C2929" s="140">
        <v>2901</v>
      </c>
      <c r="D2929" s="142"/>
      <c r="E2929" s="142"/>
      <c r="F2929" s="142"/>
      <c r="G2929" s="142"/>
      <c r="H2929" s="141"/>
      <c r="I2929" s="8"/>
    </row>
    <row r="2930" spans="2:9" ht="15" hidden="1" customHeight="1" x14ac:dyDescent="0.25">
      <c r="B2930" s="7"/>
      <c r="C2930" s="140">
        <v>2902</v>
      </c>
      <c r="D2930" s="142"/>
      <c r="E2930" s="142"/>
      <c r="F2930" s="142"/>
      <c r="G2930" s="142"/>
      <c r="H2930" s="141"/>
      <c r="I2930" s="8"/>
    </row>
    <row r="2931" spans="2:9" ht="15" hidden="1" customHeight="1" x14ac:dyDescent="0.25">
      <c r="B2931" s="7"/>
      <c r="C2931" s="140">
        <v>2903</v>
      </c>
      <c r="D2931" s="142"/>
      <c r="E2931" s="142"/>
      <c r="F2931" s="142"/>
      <c r="G2931" s="142"/>
      <c r="H2931" s="141"/>
      <c r="I2931" s="8"/>
    </row>
    <row r="2932" spans="2:9" ht="15" hidden="1" customHeight="1" x14ac:dyDescent="0.25">
      <c r="B2932" s="7"/>
      <c r="C2932" s="140">
        <v>2904</v>
      </c>
      <c r="D2932" s="142"/>
      <c r="E2932" s="142"/>
      <c r="F2932" s="142"/>
      <c r="G2932" s="142"/>
      <c r="H2932" s="141"/>
      <c r="I2932" s="8"/>
    </row>
    <row r="2933" spans="2:9" ht="15" hidden="1" customHeight="1" x14ac:dyDescent="0.25">
      <c r="B2933" s="7"/>
      <c r="C2933" s="140">
        <v>2905</v>
      </c>
      <c r="D2933" s="142"/>
      <c r="E2933" s="142"/>
      <c r="F2933" s="142"/>
      <c r="G2933" s="142"/>
      <c r="H2933" s="141"/>
      <c r="I2933" s="8"/>
    </row>
    <row r="2934" spans="2:9" ht="15" hidden="1" customHeight="1" x14ac:dyDescent="0.25">
      <c r="B2934" s="7"/>
      <c r="C2934" s="140">
        <v>2906</v>
      </c>
      <c r="D2934" s="142"/>
      <c r="E2934" s="142"/>
      <c r="F2934" s="142"/>
      <c r="G2934" s="142"/>
      <c r="H2934" s="141"/>
      <c r="I2934" s="8"/>
    </row>
    <row r="2935" spans="2:9" ht="15" hidden="1" customHeight="1" x14ac:dyDescent="0.25">
      <c r="B2935" s="7"/>
      <c r="C2935" s="140">
        <v>2907</v>
      </c>
      <c r="D2935" s="142"/>
      <c r="E2935" s="142"/>
      <c r="F2935" s="142"/>
      <c r="G2935" s="142"/>
      <c r="H2935" s="141"/>
      <c r="I2935" s="8"/>
    </row>
    <row r="2936" spans="2:9" ht="15" hidden="1" customHeight="1" x14ac:dyDescent="0.25">
      <c r="B2936" s="7"/>
      <c r="C2936" s="140">
        <v>2908</v>
      </c>
      <c r="D2936" s="142"/>
      <c r="E2936" s="142"/>
      <c r="F2936" s="142"/>
      <c r="G2936" s="142"/>
      <c r="H2936" s="141"/>
      <c r="I2936" s="8"/>
    </row>
    <row r="2937" spans="2:9" ht="15" hidden="1" customHeight="1" x14ac:dyDescent="0.25">
      <c r="B2937" s="7"/>
      <c r="C2937" s="140">
        <v>2909</v>
      </c>
      <c r="D2937" s="142"/>
      <c r="E2937" s="142"/>
      <c r="F2937" s="142"/>
      <c r="G2937" s="142"/>
      <c r="H2937" s="141"/>
      <c r="I2937" s="8"/>
    </row>
    <row r="2938" spans="2:9" ht="15" hidden="1" customHeight="1" x14ac:dyDescent="0.25">
      <c r="B2938" s="7"/>
      <c r="C2938" s="140">
        <v>2910</v>
      </c>
      <c r="D2938" s="142"/>
      <c r="E2938" s="142"/>
      <c r="F2938" s="142"/>
      <c r="G2938" s="142"/>
      <c r="H2938" s="141"/>
      <c r="I2938" s="8"/>
    </row>
    <row r="2939" spans="2:9" ht="15" hidden="1" customHeight="1" x14ac:dyDescent="0.25">
      <c r="B2939" s="7"/>
      <c r="C2939" s="140">
        <v>2911</v>
      </c>
      <c r="D2939" s="142"/>
      <c r="E2939" s="142"/>
      <c r="F2939" s="142"/>
      <c r="G2939" s="142"/>
      <c r="H2939" s="141"/>
      <c r="I2939" s="8"/>
    </row>
    <row r="2940" spans="2:9" ht="15" hidden="1" customHeight="1" x14ac:dyDescent="0.25">
      <c r="B2940" s="7"/>
      <c r="C2940" s="140">
        <v>2912</v>
      </c>
      <c r="D2940" s="142"/>
      <c r="E2940" s="142"/>
      <c r="F2940" s="142"/>
      <c r="G2940" s="142"/>
      <c r="H2940" s="141"/>
      <c r="I2940" s="8"/>
    </row>
    <row r="2941" spans="2:9" ht="15" hidden="1" customHeight="1" x14ac:dyDescent="0.25">
      <c r="B2941" s="7"/>
      <c r="C2941" s="140">
        <v>2913</v>
      </c>
      <c r="D2941" s="142"/>
      <c r="E2941" s="142"/>
      <c r="F2941" s="142"/>
      <c r="G2941" s="142"/>
      <c r="H2941" s="141"/>
      <c r="I2941" s="8"/>
    </row>
    <row r="2942" spans="2:9" ht="15" hidden="1" customHeight="1" x14ac:dyDescent="0.25">
      <c r="B2942" s="7"/>
      <c r="C2942" s="140">
        <v>2914</v>
      </c>
      <c r="D2942" s="142"/>
      <c r="E2942" s="142"/>
      <c r="F2942" s="142"/>
      <c r="G2942" s="142"/>
      <c r="H2942" s="141"/>
      <c r="I2942" s="8"/>
    </row>
    <row r="2943" spans="2:9" ht="15" hidden="1" customHeight="1" x14ac:dyDescent="0.25">
      <c r="B2943" s="7"/>
      <c r="C2943" s="140">
        <v>2915</v>
      </c>
      <c r="D2943" s="142"/>
      <c r="E2943" s="142"/>
      <c r="F2943" s="142"/>
      <c r="G2943" s="142"/>
      <c r="H2943" s="141"/>
      <c r="I2943" s="8"/>
    </row>
    <row r="2944" spans="2:9" ht="15" hidden="1" customHeight="1" x14ac:dyDescent="0.25">
      <c r="B2944" s="7"/>
      <c r="C2944" s="140">
        <v>2916</v>
      </c>
      <c r="D2944" s="142"/>
      <c r="E2944" s="142"/>
      <c r="F2944" s="142"/>
      <c r="G2944" s="142"/>
      <c r="H2944" s="141"/>
      <c r="I2944" s="8"/>
    </row>
    <row r="2945" spans="2:9" ht="15" hidden="1" customHeight="1" x14ac:dyDescent="0.25">
      <c r="B2945" s="7"/>
      <c r="C2945" s="140">
        <v>2917</v>
      </c>
      <c r="D2945" s="142"/>
      <c r="E2945" s="142"/>
      <c r="F2945" s="142"/>
      <c r="G2945" s="142"/>
      <c r="H2945" s="141"/>
      <c r="I2945" s="8"/>
    </row>
    <row r="2946" spans="2:9" ht="15" hidden="1" customHeight="1" x14ac:dyDescent="0.25">
      <c r="B2946" s="7"/>
      <c r="C2946" s="140">
        <v>2918</v>
      </c>
      <c r="D2946" s="142"/>
      <c r="E2946" s="142"/>
      <c r="F2946" s="142"/>
      <c r="G2946" s="142"/>
      <c r="H2946" s="141"/>
      <c r="I2946" s="8"/>
    </row>
    <row r="2947" spans="2:9" ht="15" hidden="1" customHeight="1" x14ac:dyDescent="0.25">
      <c r="B2947" s="7"/>
      <c r="C2947" s="140">
        <v>2919</v>
      </c>
      <c r="D2947" s="142"/>
      <c r="E2947" s="142"/>
      <c r="F2947" s="142"/>
      <c r="G2947" s="142"/>
      <c r="H2947" s="141"/>
      <c r="I2947" s="8"/>
    </row>
    <row r="2948" spans="2:9" ht="15" hidden="1" customHeight="1" x14ac:dyDescent="0.25">
      <c r="B2948" s="7"/>
      <c r="C2948" s="140">
        <v>2920</v>
      </c>
      <c r="D2948" s="142"/>
      <c r="E2948" s="142"/>
      <c r="F2948" s="142"/>
      <c r="G2948" s="142"/>
      <c r="H2948" s="141"/>
      <c r="I2948" s="8"/>
    </row>
    <row r="2949" spans="2:9" ht="15" hidden="1" customHeight="1" x14ac:dyDescent="0.25">
      <c r="B2949" s="7"/>
      <c r="C2949" s="140">
        <v>2921</v>
      </c>
      <c r="D2949" s="142"/>
      <c r="E2949" s="142"/>
      <c r="F2949" s="142"/>
      <c r="G2949" s="142"/>
      <c r="H2949" s="141"/>
      <c r="I2949" s="8"/>
    </row>
    <row r="2950" spans="2:9" ht="15" hidden="1" customHeight="1" x14ac:dyDescent="0.25">
      <c r="B2950" s="7"/>
      <c r="C2950" s="140">
        <v>2922</v>
      </c>
      <c r="D2950" s="142"/>
      <c r="E2950" s="142"/>
      <c r="F2950" s="142"/>
      <c r="G2950" s="142"/>
      <c r="H2950" s="141"/>
      <c r="I2950" s="8"/>
    </row>
    <row r="2951" spans="2:9" ht="15" hidden="1" customHeight="1" x14ac:dyDescent="0.25">
      <c r="B2951" s="7"/>
      <c r="C2951" s="140">
        <v>2923</v>
      </c>
      <c r="D2951" s="142"/>
      <c r="E2951" s="142"/>
      <c r="F2951" s="142"/>
      <c r="G2951" s="142"/>
      <c r="H2951" s="141"/>
      <c r="I2951" s="8"/>
    </row>
    <row r="2952" spans="2:9" ht="15" hidden="1" customHeight="1" x14ac:dyDescent="0.25">
      <c r="B2952" s="7"/>
      <c r="C2952" s="140">
        <v>2924</v>
      </c>
      <c r="D2952" s="142"/>
      <c r="E2952" s="142"/>
      <c r="F2952" s="142"/>
      <c r="G2952" s="142"/>
      <c r="H2952" s="141"/>
      <c r="I2952" s="8"/>
    </row>
    <row r="2953" spans="2:9" ht="15" hidden="1" customHeight="1" x14ac:dyDescent="0.25">
      <c r="B2953" s="7"/>
      <c r="C2953" s="140">
        <v>2925</v>
      </c>
      <c r="D2953" s="142"/>
      <c r="E2953" s="142"/>
      <c r="F2953" s="142"/>
      <c r="G2953" s="142"/>
      <c r="H2953" s="141"/>
      <c r="I2953" s="8"/>
    </row>
    <row r="2954" spans="2:9" ht="15" hidden="1" customHeight="1" x14ac:dyDescent="0.25">
      <c r="B2954" s="7"/>
      <c r="C2954" s="140">
        <v>2926</v>
      </c>
      <c r="D2954" s="142"/>
      <c r="E2954" s="142"/>
      <c r="F2954" s="142"/>
      <c r="G2954" s="142"/>
      <c r="H2954" s="141"/>
      <c r="I2954" s="8"/>
    </row>
    <row r="2955" spans="2:9" ht="15" hidden="1" customHeight="1" x14ac:dyDescent="0.25">
      <c r="B2955" s="7"/>
      <c r="C2955" s="140">
        <v>2927</v>
      </c>
      <c r="D2955" s="142"/>
      <c r="E2955" s="142"/>
      <c r="F2955" s="142"/>
      <c r="G2955" s="142"/>
      <c r="H2955" s="141"/>
      <c r="I2955" s="8"/>
    </row>
    <row r="2956" spans="2:9" ht="15" hidden="1" customHeight="1" x14ac:dyDescent="0.25">
      <c r="B2956" s="7"/>
      <c r="C2956" s="140">
        <v>2928</v>
      </c>
      <c r="D2956" s="142"/>
      <c r="E2956" s="142"/>
      <c r="F2956" s="142"/>
      <c r="G2956" s="142"/>
      <c r="H2956" s="141"/>
      <c r="I2956" s="8"/>
    </row>
    <row r="2957" spans="2:9" ht="15" hidden="1" customHeight="1" x14ac:dyDescent="0.25">
      <c r="B2957" s="7"/>
      <c r="C2957" s="140">
        <v>2929</v>
      </c>
      <c r="D2957" s="142"/>
      <c r="E2957" s="142"/>
      <c r="F2957" s="142"/>
      <c r="G2957" s="142"/>
      <c r="H2957" s="141"/>
      <c r="I2957" s="8"/>
    </row>
    <row r="2958" spans="2:9" ht="15" hidden="1" customHeight="1" x14ac:dyDescent="0.25">
      <c r="B2958" s="7"/>
      <c r="C2958" s="140">
        <v>2930</v>
      </c>
      <c r="D2958" s="142"/>
      <c r="E2958" s="142"/>
      <c r="F2958" s="142"/>
      <c r="G2958" s="142"/>
      <c r="H2958" s="141"/>
      <c r="I2958" s="8"/>
    </row>
    <row r="2959" spans="2:9" ht="15" hidden="1" customHeight="1" x14ac:dyDescent="0.25">
      <c r="B2959" s="7"/>
      <c r="C2959" s="140">
        <v>2931</v>
      </c>
      <c r="D2959" s="142"/>
      <c r="E2959" s="142"/>
      <c r="F2959" s="142"/>
      <c r="G2959" s="142"/>
      <c r="H2959" s="141"/>
      <c r="I2959" s="8"/>
    </row>
    <row r="2960" spans="2:9" ht="15" hidden="1" customHeight="1" x14ac:dyDescent="0.25">
      <c r="B2960" s="7"/>
      <c r="C2960" s="140">
        <v>2932</v>
      </c>
      <c r="D2960" s="142"/>
      <c r="E2960" s="142"/>
      <c r="F2960" s="142"/>
      <c r="G2960" s="142"/>
      <c r="H2960" s="141"/>
      <c r="I2960" s="8"/>
    </row>
    <row r="2961" spans="2:9" ht="15" hidden="1" customHeight="1" x14ac:dyDescent="0.25">
      <c r="B2961" s="7"/>
      <c r="C2961" s="140">
        <v>2933</v>
      </c>
      <c r="D2961" s="142"/>
      <c r="E2961" s="142"/>
      <c r="F2961" s="142"/>
      <c r="G2961" s="142"/>
      <c r="H2961" s="141"/>
      <c r="I2961" s="8"/>
    </row>
    <row r="2962" spans="2:9" ht="15" hidden="1" customHeight="1" x14ac:dyDescent="0.25">
      <c r="B2962" s="7"/>
      <c r="C2962" s="140">
        <v>2934</v>
      </c>
      <c r="D2962" s="142"/>
      <c r="E2962" s="142"/>
      <c r="F2962" s="142"/>
      <c r="G2962" s="142"/>
      <c r="H2962" s="141"/>
      <c r="I2962" s="8"/>
    </row>
    <row r="2963" spans="2:9" ht="15" hidden="1" customHeight="1" x14ac:dyDescent="0.25">
      <c r="B2963" s="7"/>
      <c r="C2963" s="140">
        <v>2935</v>
      </c>
      <c r="D2963" s="142"/>
      <c r="E2963" s="142"/>
      <c r="F2963" s="142"/>
      <c r="G2963" s="142"/>
      <c r="H2963" s="141"/>
      <c r="I2963" s="8"/>
    </row>
    <row r="2964" spans="2:9" ht="15" hidden="1" customHeight="1" x14ac:dyDescent="0.25">
      <c r="B2964" s="7"/>
      <c r="C2964" s="140">
        <v>2936</v>
      </c>
      <c r="D2964" s="142"/>
      <c r="E2964" s="142"/>
      <c r="F2964" s="142"/>
      <c r="G2964" s="142"/>
      <c r="H2964" s="141"/>
      <c r="I2964" s="8"/>
    </row>
    <row r="2965" spans="2:9" ht="15" hidden="1" customHeight="1" x14ac:dyDescent="0.25">
      <c r="B2965" s="7"/>
      <c r="C2965" s="140">
        <v>2937</v>
      </c>
      <c r="D2965" s="142"/>
      <c r="E2965" s="142"/>
      <c r="F2965" s="142"/>
      <c r="G2965" s="142"/>
      <c r="H2965" s="141"/>
      <c r="I2965" s="8"/>
    </row>
    <row r="2966" spans="2:9" ht="15" hidden="1" customHeight="1" x14ac:dyDescent="0.25">
      <c r="B2966" s="7"/>
      <c r="C2966" s="140">
        <v>2938</v>
      </c>
      <c r="D2966" s="142"/>
      <c r="E2966" s="142"/>
      <c r="F2966" s="142"/>
      <c r="G2966" s="142"/>
      <c r="H2966" s="141"/>
      <c r="I2966" s="8"/>
    </row>
    <row r="2967" spans="2:9" ht="15" hidden="1" customHeight="1" x14ac:dyDescent="0.25">
      <c r="B2967" s="7"/>
      <c r="C2967" s="140">
        <v>2939</v>
      </c>
      <c r="D2967" s="142"/>
      <c r="E2967" s="142"/>
      <c r="F2967" s="142"/>
      <c r="G2967" s="142"/>
      <c r="H2967" s="141"/>
      <c r="I2967" s="8"/>
    </row>
    <row r="2968" spans="2:9" ht="15" hidden="1" customHeight="1" x14ac:dyDescent="0.25">
      <c r="B2968" s="7"/>
      <c r="C2968" s="140">
        <v>2940</v>
      </c>
      <c r="D2968" s="142"/>
      <c r="E2968" s="142"/>
      <c r="F2968" s="142"/>
      <c r="G2968" s="142"/>
      <c r="H2968" s="141"/>
      <c r="I2968" s="8"/>
    </row>
    <row r="2969" spans="2:9" ht="15" hidden="1" customHeight="1" x14ac:dyDescent="0.25">
      <c r="B2969" s="7"/>
      <c r="C2969" s="140">
        <v>2941</v>
      </c>
      <c r="D2969" s="142"/>
      <c r="E2969" s="142"/>
      <c r="F2969" s="142"/>
      <c r="G2969" s="142"/>
      <c r="H2969" s="141"/>
      <c r="I2969" s="8"/>
    </row>
    <row r="2970" spans="2:9" ht="15" hidden="1" customHeight="1" x14ac:dyDescent="0.25">
      <c r="B2970" s="7"/>
      <c r="C2970" s="140">
        <v>2942</v>
      </c>
      <c r="D2970" s="142"/>
      <c r="E2970" s="142"/>
      <c r="F2970" s="142"/>
      <c r="G2970" s="142"/>
      <c r="H2970" s="141"/>
      <c r="I2970" s="8"/>
    </row>
    <row r="2971" spans="2:9" ht="15" hidden="1" customHeight="1" x14ac:dyDescent="0.25">
      <c r="B2971" s="7"/>
      <c r="C2971" s="140">
        <v>2943</v>
      </c>
      <c r="D2971" s="142"/>
      <c r="E2971" s="142"/>
      <c r="F2971" s="142"/>
      <c r="G2971" s="142"/>
      <c r="H2971" s="141"/>
      <c r="I2971" s="8"/>
    </row>
    <row r="2972" spans="2:9" ht="15" hidden="1" customHeight="1" x14ac:dyDescent="0.25">
      <c r="B2972" s="7"/>
      <c r="C2972" s="140">
        <v>2944</v>
      </c>
      <c r="D2972" s="142"/>
      <c r="E2972" s="142"/>
      <c r="F2972" s="142"/>
      <c r="G2972" s="142"/>
      <c r="H2972" s="141"/>
      <c r="I2972" s="8"/>
    </row>
    <row r="2973" spans="2:9" ht="15" hidden="1" customHeight="1" x14ac:dyDescent="0.25">
      <c r="B2973" s="7"/>
      <c r="C2973" s="140">
        <v>2945</v>
      </c>
      <c r="D2973" s="142"/>
      <c r="E2973" s="142"/>
      <c r="F2973" s="142"/>
      <c r="G2973" s="142"/>
      <c r="H2973" s="141"/>
      <c r="I2973" s="8"/>
    </row>
    <row r="2974" spans="2:9" ht="15" hidden="1" customHeight="1" x14ac:dyDescent="0.25">
      <c r="B2974" s="7"/>
      <c r="C2974" s="140">
        <v>2946</v>
      </c>
      <c r="D2974" s="142"/>
      <c r="E2974" s="142"/>
      <c r="F2974" s="142"/>
      <c r="G2974" s="142"/>
      <c r="H2974" s="141"/>
      <c r="I2974" s="8"/>
    </row>
    <row r="2975" spans="2:9" ht="15" hidden="1" customHeight="1" x14ac:dyDescent="0.25">
      <c r="B2975" s="7"/>
      <c r="C2975" s="140">
        <v>2947</v>
      </c>
      <c r="D2975" s="142"/>
      <c r="E2975" s="142"/>
      <c r="F2975" s="142"/>
      <c r="G2975" s="142"/>
      <c r="H2975" s="141"/>
      <c r="I2975" s="8"/>
    </row>
    <row r="2976" spans="2:9" ht="15" hidden="1" customHeight="1" x14ac:dyDescent="0.25">
      <c r="B2976" s="7"/>
      <c r="C2976" s="140">
        <v>2948</v>
      </c>
      <c r="D2976" s="142"/>
      <c r="E2976" s="142"/>
      <c r="F2976" s="142"/>
      <c r="G2976" s="142"/>
      <c r="H2976" s="141"/>
      <c r="I2976" s="8"/>
    </row>
    <row r="2977" spans="2:9" ht="15" hidden="1" customHeight="1" x14ac:dyDescent="0.25">
      <c r="B2977" s="7"/>
      <c r="C2977" s="140">
        <v>2949</v>
      </c>
      <c r="D2977" s="142"/>
      <c r="E2977" s="142"/>
      <c r="F2977" s="142"/>
      <c r="G2977" s="142"/>
      <c r="H2977" s="141"/>
      <c r="I2977" s="8"/>
    </row>
    <row r="2978" spans="2:9" ht="15" hidden="1" customHeight="1" x14ac:dyDescent="0.25">
      <c r="B2978" s="7"/>
      <c r="C2978" s="140">
        <v>2950</v>
      </c>
      <c r="D2978" s="142"/>
      <c r="E2978" s="142"/>
      <c r="F2978" s="142"/>
      <c r="G2978" s="142"/>
      <c r="H2978" s="141"/>
      <c r="I2978" s="8"/>
    </row>
    <row r="2979" spans="2:9" ht="15" hidden="1" customHeight="1" x14ac:dyDescent="0.25">
      <c r="B2979" s="7"/>
      <c r="C2979" s="140">
        <v>2951</v>
      </c>
      <c r="D2979" s="142"/>
      <c r="E2979" s="142"/>
      <c r="F2979" s="142"/>
      <c r="G2979" s="142"/>
      <c r="H2979" s="141"/>
      <c r="I2979" s="8"/>
    </row>
    <row r="2980" spans="2:9" ht="15" hidden="1" customHeight="1" x14ac:dyDescent="0.25">
      <c r="B2980" s="7"/>
      <c r="C2980" s="140">
        <v>2952</v>
      </c>
      <c r="D2980" s="142"/>
      <c r="E2980" s="142"/>
      <c r="F2980" s="142"/>
      <c r="G2980" s="142"/>
      <c r="H2980" s="141"/>
      <c r="I2980" s="8"/>
    </row>
    <row r="2981" spans="2:9" ht="15" hidden="1" customHeight="1" x14ac:dyDescent="0.25">
      <c r="B2981" s="7"/>
      <c r="C2981" s="140">
        <v>2953</v>
      </c>
      <c r="D2981" s="142"/>
      <c r="E2981" s="142"/>
      <c r="F2981" s="142"/>
      <c r="G2981" s="142"/>
      <c r="H2981" s="141"/>
      <c r="I2981" s="8"/>
    </row>
    <row r="2982" spans="2:9" ht="15" hidden="1" customHeight="1" x14ac:dyDescent="0.25">
      <c r="B2982" s="7"/>
      <c r="C2982" s="140">
        <v>2954</v>
      </c>
      <c r="D2982" s="142"/>
      <c r="E2982" s="142"/>
      <c r="F2982" s="142"/>
      <c r="G2982" s="142"/>
      <c r="H2982" s="141"/>
      <c r="I2982" s="8"/>
    </row>
    <row r="2983" spans="2:9" ht="15" hidden="1" customHeight="1" x14ac:dyDescent="0.25">
      <c r="B2983" s="7"/>
      <c r="C2983" s="140">
        <v>2955</v>
      </c>
      <c r="D2983" s="142"/>
      <c r="E2983" s="142"/>
      <c r="F2983" s="142"/>
      <c r="G2983" s="142"/>
      <c r="H2983" s="141"/>
      <c r="I2983" s="8"/>
    </row>
    <row r="2984" spans="2:9" ht="15" hidden="1" customHeight="1" x14ac:dyDescent="0.25">
      <c r="B2984" s="7"/>
      <c r="C2984" s="140">
        <v>2956</v>
      </c>
      <c r="D2984" s="142"/>
      <c r="E2984" s="142"/>
      <c r="F2984" s="142"/>
      <c r="G2984" s="142"/>
      <c r="H2984" s="141"/>
      <c r="I2984" s="8"/>
    </row>
    <row r="2985" spans="2:9" ht="15" hidden="1" customHeight="1" x14ac:dyDescent="0.25">
      <c r="B2985" s="7"/>
      <c r="C2985" s="140">
        <v>2957</v>
      </c>
      <c r="D2985" s="142"/>
      <c r="E2985" s="142"/>
      <c r="F2985" s="142"/>
      <c r="G2985" s="142"/>
      <c r="H2985" s="141"/>
      <c r="I2985" s="8"/>
    </row>
    <row r="2986" spans="2:9" ht="15" hidden="1" customHeight="1" x14ac:dyDescent="0.25">
      <c r="B2986" s="7"/>
      <c r="C2986" s="140">
        <v>2958</v>
      </c>
      <c r="D2986" s="142"/>
      <c r="E2986" s="142"/>
      <c r="F2986" s="142"/>
      <c r="G2986" s="142"/>
      <c r="H2986" s="141"/>
      <c r="I2986" s="8"/>
    </row>
    <row r="2987" spans="2:9" ht="15" hidden="1" customHeight="1" x14ac:dyDescent="0.25">
      <c r="B2987" s="7"/>
      <c r="C2987" s="140">
        <v>2959</v>
      </c>
      <c r="D2987" s="142"/>
      <c r="E2987" s="142"/>
      <c r="F2987" s="142"/>
      <c r="G2987" s="142"/>
      <c r="H2987" s="141"/>
      <c r="I2987" s="8"/>
    </row>
    <row r="2988" spans="2:9" ht="15" hidden="1" customHeight="1" x14ac:dyDescent="0.25">
      <c r="B2988" s="7"/>
      <c r="C2988" s="140">
        <v>2960</v>
      </c>
      <c r="D2988" s="142"/>
      <c r="E2988" s="142"/>
      <c r="F2988" s="142"/>
      <c r="G2988" s="142"/>
      <c r="H2988" s="141"/>
      <c r="I2988" s="8"/>
    </row>
    <row r="2989" spans="2:9" ht="15" hidden="1" customHeight="1" x14ac:dyDescent="0.25">
      <c r="B2989" s="7"/>
      <c r="C2989" s="140">
        <v>2961</v>
      </c>
      <c r="D2989" s="142"/>
      <c r="E2989" s="142"/>
      <c r="F2989" s="142"/>
      <c r="G2989" s="142"/>
      <c r="H2989" s="141"/>
      <c r="I2989" s="8"/>
    </row>
    <row r="2990" spans="2:9" ht="15" hidden="1" customHeight="1" x14ac:dyDescent="0.25">
      <c r="B2990" s="7"/>
      <c r="C2990" s="140">
        <v>2962</v>
      </c>
      <c r="D2990" s="142"/>
      <c r="E2990" s="142"/>
      <c r="F2990" s="142"/>
      <c r="G2990" s="142"/>
      <c r="H2990" s="141"/>
      <c r="I2990" s="8"/>
    </row>
    <row r="2991" spans="2:9" ht="15" hidden="1" customHeight="1" x14ac:dyDescent="0.25">
      <c r="B2991" s="7"/>
      <c r="C2991" s="140">
        <v>2963</v>
      </c>
      <c r="D2991" s="142"/>
      <c r="E2991" s="142"/>
      <c r="F2991" s="142"/>
      <c r="G2991" s="142"/>
      <c r="H2991" s="141"/>
      <c r="I2991" s="8"/>
    </row>
    <row r="2992" spans="2:9" ht="15" hidden="1" customHeight="1" x14ac:dyDescent="0.25">
      <c r="B2992" s="7"/>
      <c r="C2992" s="140">
        <v>2964</v>
      </c>
      <c r="D2992" s="142"/>
      <c r="E2992" s="142"/>
      <c r="F2992" s="142"/>
      <c r="G2992" s="142"/>
      <c r="H2992" s="141"/>
      <c r="I2992" s="8"/>
    </row>
    <row r="2993" spans="2:9" ht="15" hidden="1" customHeight="1" x14ac:dyDescent="0.25">
      <c r="B2993" s="7"/>
      <c r="C2993" s="140">
        <v>2965</v>
      </c>
      <c r="D2993" s="142"/>
      <c r="E2993" s="142"/>
      <c r="F2993" s="142"/>
      <c r="G2993" s="142"/>
      <c r="H2993" s="141"/>
      <c r="I2993" s="8"/>
    </row>
    <row r="2994" spans="2:9" ht="15" hidden="1" customHeight="1" x14ac:dyDescent="0.25">
      <c r="B2994" s="7"/>
      <c r="C2994" s="140">
        <v>2966</v>
      </c>
      <c r="D2994" s="142"/>
      <c r="E2994" s="142"/>
      <c r="F2994" s="142"/>
      <c r="G2994" s="142"/>
      <c r="H2994" s="141"/>
      <c r="I2994" s="8"/>
    </row>
    <row r="2995" spans="2:9" ht="15" hidden="1" customHeight="1" x14ac:dyDescent="0.25">
      <c r="B2995" s="7"/>
      <c r="C2995" s="140">
        <v>2967</v>
      </c>
      <c r="D2995" s="142"/>
      <c r="E2995" s="142"/>
      <c r="F2995" s="142"/>
      <c r="G2995" s="142"/>
      <c r="H2995" s="141"/>
      <c r="I2995" s="8"/>
    </row>
    <row r="2996" spans="2:9" ht="15" hidden="1" customHeight="1" x14ac:dyDescent="0.25">
      <c r="B2996" s="7"/>
      <c r="C2996" s="140">
        <v>2968</v>
      </c>
      <c r="D2996" s="142"/>
      <c r="E2996" s="142"/>
      <c r="F2996" s="142"/>
      <c r="G2996" s="142"/>
      <c r="H2996" s="141"/>
      <c r="I2996" s="8"/>
    </row>
    <row r="2997" spans="2:9" ht="15" hidden="1" customHeight="1" x14ac:dyDescent="0.25">
      <c r="B2997" s="7"/>
      <c r="C2997" s="140">
        <v>2969</v>
      </c>
      <c r="D2997" s="142"/>
      <c r="E2997" s="142"/>
      <c r="F2997" s="142"/>
      <c r="G2997" s="142"/>
      <c r="H2997" s="141"/>
      <c r="I2997" s="8"/>
    </row>
    <row r="2998" spans="2:9" ht="15" hidden="1" customHeight="1" x14ac:dyDescent="0.25">
      <c r="B2998" s="7"/>
      <c r="C2998" s="140">
        <v>2970</v>
      </c>
      <c r="D2998" s="142"/>
      <c r="E2998" s="142"/>
      <c r="F2998" s="142"/>
      <c r="G2998" s="142"/>
      <c r="H2998" s="141"/>
      <c r="I2998" s="8"/>
    </row>
    <row r="2999" spans="2:9" ht="15" hidden="1" customHeight="1" x14ac:dyDescent="0.25">
      <c r="B2999" s="7"/>
      <c r="C2999" s="140">
        <v>2971</v>
      </c>
      <c r="D2999" s="142"/>
      <c r="E2999" s="142"/>
      <c r="F2999" s="142"/>
      <c r="G2999" s="142"/>
      <c r="H2999" s="141"/>
      <c r="I2999" s="8"/>
    </row>
    <row r="3000" spans="2:9" ht="15" hidden="1" customHeight="1" x14ac:dyDescent="0.25">
      <c r="B3000" s="7"/>
      <c r="C3000" s="140">
        <v>2972</v>
      </c>
      <c r="D3000" s="142"/>
      <c r="E3000" s="142"/>
      <c r="F3000" s="142"/>
      <c r="G3000" s="142"/>
      <c r="H3000" s="141"/>
      <c r="I3000" s="8"/>
    </row>
    <row r="3001" spans="2:9" ht="15" hidden="1" customHeight="1" x14ac:dyDescent="0.25">
      <c r="B3001" s="7"/>
      <c r="C3001" s="140">
        <v>2973</v>
      </c>
      <c r="D3001" s="142"/>
      <c r="E3001" s="142"/>
      <c r="F3001" s="142"/>
      <c r="G3001" s="142"/>
      <c r="H3001" s="141"/>
      <c r="I3001" s="8"/>
    </row>
    <row r="3002" spans="2:9" ht="15" hidden="1" customHeight="1" x14ac:dyDescent="0.25">
      <c r="B3002" s="7"/>
      <c r="C3002" s="140">
        <v>2974</v>
      </c>
      <c r="D3002" s="142"/>
      <c r="E3002" s="142"/>
      <c r="F3002" s="142"/>
      <c r="G3002" s="142"/>
      <c r="H3002" s="141"/>
      <c r="I3002" s="8"/>
    </row>
    <row r="3003" spans="2:9" ht="15" hidden="1" customHeight="1" x14ac:dyDescent="0.25">
      <c r="B3003" s="7"/>
      <c r="C3003" s="140">
        <v>2975</v>
      </c>
      <c r="D3003" s="142"/>
      <c r="E3003" s="142"/>
      <c r="F3003" s="142"/>
      <c r="G3003" s="142"/>
      <c r="H3003" s="141"/>
      <c r="I3003" s="8"/>
    </row>
    <row r="3004" spans="2:9" ht="15" hidden="1" customHeight="1" x14ac:dyDescent="0.25">
      <c r="B3004" s="7"/>
      <c r="C3004" s="140">
        <v>2976</v>
      </c>
      <c r="D3004" s="142"/>
      <c r="E3004" s="142"/>
      <c r="F3004" s="142"/>
      <c r="G3004" s="142"/>
      <c r="H3004" s="141"/>
      <c r="I3004" s="8"/>
    </row>
    <row r="3005" spans="2:9" ht="15" hidden="1" customHeight="1" x14ac:dyDescent="0.25">
      <c r="B3005" s="7"/>
      <c r="C3005" s="140">
        <v>2977</v>
      </c>
      <c r="D3005" s="142"/>
      <c r="E3005" s="142"/>
      <c r="F3005" s="142"/>
      <c r="G3005" s="142"/>
      <c r="H3005" s="141"/>
      <c r="I3005" s="8"/>
    </row>
    <row r="3006" spans="2:9" ht="15" hidden="1" customHeight="1" x14ac:dyDescent="0.25">
      <c r="B3006" s="7"/>
      <c r="C3006" s="140">
        <v>2978</v>
      </c>
      <c r="D3006" s="142"/>
      <c r="E3006" s="142"/>
      <c r="F3006" s="142"/>
      <c r="G3006" s="142"/>
      <c r="H3006" s="141"/>
      <c r="I3006" s="8"/>
    </row>
    <row r="3007" spans="2:9" ht="15" hidden="1" customHeight="1" x14ac:dyDescent="0.25">
      <c r="B3007" s="7"/>
      <c r="C3007" s="140">
        <v>2979</v>
      </c>
      <c r="D3007" s="142"/>
      <c r="E3007" s="142"/>
      <c r="F3007" s="142"/>
      <c r="G3007" s="142"/>
      <c r="H3007" s="141"/>
      <c r="I3007" s="8"/>
    </row>
    <row r="3008" spans="2:9" ht="15" hidden="1" customHeight="1" x14ac:dyDescent="0.25">
      <c r="B3008" s="7"/>
      <c r="C3008" s="140">
        <v>2980</v>
      </c>
      <c r="D3008" s="142"/>
      <c r="E3008" s="142"/>
      <c r="F3008" s="142"/>
      <c r="G3008" s="142"/>
      <c r="H3008" s="141"/>
      <c r="I3008" s="8"/>
    </row>
    <row r="3009" spans="2:9" ht="15" hidden="1" customHeight="1" x14ac:dyDescent="0.25">
      <c r="B3009" s="7"/>
      <c r="C3009" s="140">
        <v>2981</v>
      </c>
      <c r="D3009" s="142"/>
      <c r="E3009" s="142"/>
      <c r="F3009" s="142"/>
      <c r="G3009" s="142"/>
      <c r="H3009" s="141"/>
      <c r="I3009" s="8"/>
    </row>
    <row r="3010" spans="2:9" ht="15" hidden="1" customHeight="1" x14ac:dyDescent="0.25">
      <c r="B3010" s="7"/>
      <c r="C3010" s="140">
        <v>2982</v>
      </c>
      <c r="D3010" s="142"/>
      <c r="E3010" s="142"/>
      <c r="F3010" s="142"/>
      <c r="G3010" s="142"/>
      <c r="H3010" s="141"/>
      <c r="I3010" s="8"/>
    </row>
    <row r="3011" spans="2:9" ht="15" hidden="1" customHeight="1" x14ac:dyDescent="0.25">
      <c r="B3011" s="7"/>
      <c r="C3011" s="140">
        <v>2983</v>
      </c>
      <c r="D3011" s="142"/>
      <c r="E3011" s="142"/>
      <c r="F3011" s="142"/>
      <c r="G3011" s="142"/>
      <c r="H3011" s="141"/>
      <c r="I3011" s="8"/>
    </row>
    <row r="3012" spans="2:9" ht="15" hidden="1" customHeight="1" x14ac:dyDescent="0.25">
      <c r="B3012" s="7"/>
      <c r="C3012" s="140">
        <v>2984</v>
      </c>
      <c r="D3012" s="142"/>
      <c r="E3012" s="142"/>
      <c r="F3012" s="142"/>
      <c r="G3012" s="142"/>
      <c r="H3012" s="141"/>
      <c r="I3012" s="8"/>
    </row>
    <row r="3013" spans="2:9" ht="15" hidden="1" customHeight="1" x14ac:dyDescent="0.25">
      <c r="B3013" s="7"/>
      <c r="C3013" s="140">
        <v>2985</v>
      </c>
      <c r="D3013" s="142"/>
      <c r="E3013" s="142"/>
      <c r="F3013" s="142"/>
      <c r="G3013" s="142"/>
      <c r="H3013" s="141"/>
      <c r="I3013" s="8"/>
    </row>
    <row r="3014" spans="2:9" ht="15" hidden="1" customHeight="1" x14ac:dyDescent="0.25">
      <c r="B3014" s="7"/>
      <c r="C3014" s="140">
        <v>2986</v>
      </c>
      <c r="D3014" s="142"/>
      <c r="E3014" s="142"/>
      <c r="F3014" s="142"/>
      <c r="G3014" s="142"/>
      <c r="H3014" s="141"/>
      <c r="I3014" s="8"/>
    </row>
    <row r="3015" spans="2:9" ht="15" hidden="1" customHeight="1" x14ac:dyDescent="0.25">
      <c r="B3015" s="7"/>
      <c r="C3015" s="140">
        <v>2987</v>
      </c>
      <c r="D3015" s="142"/>
      <c r="E3015" s="142"/>
      <c r="F3015" s="142"/>
      <c r="G3015" s="142"/>
      <c r="H3015" s="141"/>
      <c r="I3015" s="8"/>
    </row>
    <row r="3016" spans="2:9" ht="15" hidden="1" customHeight="1" x14ac:dyDescent="0.25">
      <c r="B3016" s="7"/>
      <c r="C3016" s="140">
        <v>2988</v>
      </c>
      <c r="D3016" s="142"/>
      <c r="E3016" s="142"/>
      <c r="F3016" s="142"/>
      <c r="G3016" s="142"/>
      <c r="H3016" s="141"/>
      <c r="I3016" s="8"/>
    </row>
    <row r="3017" spans="2:9" ht="15" hidden="1" customHeight="1" x14ac:dyDescent="0.25">
      <c r="B3017" s="7"/>
      <c r="C3017" s="140">
        <v>2989</v>
      </c>
      <c r="D3017" s="142"/>
      <c r="E3017" s="142"/>
      <c r="F3017" s="142"/>
      <c r="G3017" s="142"/>
      <c r="H3017" s="141"/>
      <c r="I3017" s="8"/>
    </row>
    <row r="3018" spans="2:9" ht="15" hidden="1" customHeight="1" x14ac:dyDescent="0.25">
      <c r="B3018" s="7"/>
      <c r="C3018" s="140">
        <v>2990</v>
      </c>
      <c r="D3018" s="142"/>
      <c r="E3018" s="142"/>
      <c r="F3018" s="142"/>
      <c r="G3018" s="142"/>
      <c r="H3018" s="141"/>
      <c r="I3018" s="8"/>
    </row>
    <row r="3019" spans="2:9" ht="15" hidden="1" customHeight="1" x14ac:dyDescent="0.25">
      <c r="B3019" s="7"/>
      <c r="C3019" s="140">
        <v>2991</v>
      </c>
      <c r="D3019" s="142"/>
      <c r="E3019" s="142"/>
      <c r="F3019" s="142"/>
      <c r="G3019" s="142"/>
      <c r="H3019" s="141"/>
      <c r="I3019" s="8"/>
    </row>
    <row r="3020" spans="2:9" ht="15" hidden="1" customHeight="1" x14ac:dyDescent="0.25">
      <c r="B3020" s="7"/>
      <c r="C3020" s="140">
        <v>2992</v>
      </c>
      <c r="D3020" s="142"/>
      <c r="E3020" s="142"/>
      <c r="F3020" s="142"/>
      <c r="G3020" s="142"/>
      <c r="H3020" s="141"/>
      <c r="I3020" s="8"/>
    </row>
    <row r="3021" spans="2:9" ht="15" hidden="1" customHeight="1" x14ac:dyDescent="0.25">
      <c r="B3021" s="7"/>
      <c r="C3021" s="140">
        <v>2993</v>
      </c>
      <c r="D3021" s="142"/>
      <c r="E3021" s="142"/>
      <c r="F3021" s="142"/>
      <c r="G3021" s="142"/>
      <c r="H3021" s="141"/>
      <c r="I3021" s="8"/>
    </row>
    <row r="3022" spans="2:9" ht="15" hidden="1" customHeight="1" x14ac:dyDescent="0.25">
      <c r="B3022" s="7"/>
      <c r="C3022" s="140">
        <v>2994</v>
      </c>
      <c r="D3022" s="142"/>
      <c r="E3022" s="142"/>
      <c r="F3022" s="142"/>
      <c r="G3022" s="142"/>
      <c r="H3022" s="141"/>
      <c r="I3022" s="8"/>
    </row>
    <row r="3023" spans="2:9" ht="15" hidden="1" customHeight="1" x14ac:dyDescent="0.25">
      <c r="B3023" s="7"/>
      <c r="C3023" s="140">
        <v>2995</v>
      </c>
      <c r="D3023" s="142"/>
      <c r="E3023" s="142"/>
      <c r="F3023" s="142"/>
      <c r="G3023" s="142"/>
      <c r="H3023" s="141"/>
      <c r="I3023" s="8"/>
    </row>
    <row r="3024" spans="2:9" ht="15" hidden="1" customHeight="1" x14ac:dyDescent="0.25">
      <c r="B3024" s="7"/>
      <c r="C3024" s="140">
        <v>2996</v>
      </c>
      <c r="D3024" s="142"/>
      <c r="E3024" s="142"/>
      <c r="F3024" s="142"/>
      <c r="G3024" s="142"/>
      <c r="H3024" s="141"/>
      <c r="I3024" s="8"/>
    </row>
    <row r="3025" spans="2:9" ht="15" hidden="1" customHeight="1" x14ac:dyDescent="0.25">
      <c r="B3025" s="7"/>
      <c r="C3025" s="140">
        <v>2997</v>
      </c>
      <c r="D3025" s="142"/>
      <c r="E3025" s="142"/>
      <c r="F3025" s="142"/>
      <c r="G3025" s="142"/>
      <c r="H3025" s="141"/>
      <c r="I3025" s="8"/>
    </row>
    <row r="3026" spans="2:9" ht="15" hidden="1" customHeight="1" x14ac:dyDescent="0.25">
      <c r="B3026" s="7"/>
      <c r="C3026" s="140">
        <v>2998</v>
      </c>
      <c r="D3026" s="142"/>
      <c r="E3026" s="142"/>
      <c r="F3026" s="142"/>
      <c r="G3026" s="142"/>
      <c r="H3026" s="141"/>
      <c r="I3026" s="8"/>
    </row>
    <row r="3027" spans="2:9" ht="15" hidden="1" customHeight="1" x14ac:dyDescent="0.25">
      <c r="B3027" s="7"/>
      <c r="C3027" s="140">
        <v>2999</v>
      </c>
      <c r="D3027" s="142"/>
      <c r="E3027" s="142"/>
      <c r="F3027" s="142"/>
      <c r="G3027" s="142"/>
      <c r="H3027" s="141"/>
      <c r="I3027" s="8"/>
    </row>
    <row r="3028" spans="2:9" ht="15" hidden="1" customHeight="1" x14ac:dyDescent="0.25">
      <c r="B3028" s="7"/>
      <c r="C3028" s="140">
        <v>3000</v>
      </c>
      <c r="D3028" s="142"/>
      <c r="E3028" s="142"/>
      <c r="F3028" s="142"/>
      <c r="G3028" s="142"/>
      <c r="H3028" s="141"/>
      <c r="I3028" s="8"/>
    </row>
    <row r="3029" spans="2:9" ht="15" hidden="1" customHeight="1" x14ac:dyDescent="0.25">
      <c r="B3029" s="7"/>
      <c r="C3029" s="140">
        <v>3001</v>
      </c>
      <c r="D3029" s="142"/>
      <c r="E3029" s="142"/>
      <c r="F3029" s="142"/>
      <c r="G3029" s="142"/>
      <c r="H3029" s="141"/>
      <c r="I3029" s="8"/>
    </row>
    <row r="3030" spans="2:9" ht="15" hidden="1" customHeight="1" x14ac:dyDescent="0.25">
      <c r="B3030" s="7"/>
      <c r="C3030" s="140">
        <v>3002</v>
      </c>
      <c r="D3030" s="142"/>
      <c r="E3030" s="142"/>
      <c r="F3030" s="142"/>
      <c r="G3030" s="142"/>
      <c r="H3030" s="141"/>
      <c r="I3030" s="8"/>
    </row>
    <row r="3031" spans="2:9" ht="15" hidden="1" customHeight="1" x14ac:dyDescent="0.25">
      <c r="B3031" s="7"/>
      <c r="C3031" s="140">
        <v>3003</v>
      </c>
      <c r="D3031" s="142"/>
      <c r="E3031" s="142"/>
      <c r="F3031" s="142"/>
      <c r="G3031" s="142"/>
      <c r="H3031" s="141"/>
      <c r="I3031" s="8"/>
    </row>
    <row r="3032" spans="2:9" ht="15" hidden="1" customHeight="1" x14ac:dyDescent="0.25">
      <c r="B3032" s="7"/>
      <c r="C3032" s="140">
        <v>3004</v>
      </c>
      <c r="D3032" s="142"/>
      <c r="E3032" s="142"/>
      <c r="F3032" s="142"/>
      <c r="G3032" s="142"/>
      <c r="H3032" s="141"/>
      <c r="I3032" s="8"/>
    </row>
    <row r="3033" spans="2:9" ht="15" hidden="1" customHeight="1" x14ac:dyDescent="0.25">
      <c r="B3033" s="7"/>
      <c r="C3033" s="140">
        <v>3005</v>
      </c>
      <c r="D3033" s="142"/>
      <c r="E3033" s="142"/>
      <c r="F3033" s="142"/>
      <c r="G3033" s="142"/>
      <c r="H3033" s="141"/>
      <c r="I3033" s="8"/>
    </row>
    <row r="3034" spans="2:9" ht="15" hidden="1" customHeight="1" x14ac:dyDescent="0.25">
      <c r="B3034" s="7"/>
      <c r="C3034" s="140">
        <v>3006</v>
      </c>
      <c r="D3034" s="142"/>
      <c r="E3034" s="142"/>
      <c r="F3034" s="142"/>
      <c r="G3034" s="142"/>
      <c r="H3034" s="141"/>
      <c r="I3034" s="8"/>
    </row>
    <row r="3035" spans="2:9" ht="15" hidden="1" customHeight="1" x14ac:dyDescent="0.25">
      <c r="B3035" s="7"/>
      <c r="C3035" s="140">
        <v>3007</v>
      </c>
      <c r="D3035" s="142"/>
      <c r="E3035" s="142"/>
      <c r="F3035" s="142"/>
      <c r="G3035" s="142"/>
      <c r="H3035" s="141"/>
      <c r="I3035" s="8"/>
    </row>
    <row r="3036" spans="2:9" ht="15" hidden="1" customHeight="1" x14ac:dyDescent="0.25">
      <c r="B3036" s="7"/>
      <c r="C3036" s="140">
        <v>3008</v>
      </c>
      <c r="D3036" s="142"/>
      <c r="E3036" s="142"/>
      <c r="F3036" s="142"/>
      <c r="G3036" s="142"/>
      <c r="H3036" s="141"/>
      <c r="I3036" s="8"/>
    </row>
    <row r="3037" spans="2:9" ht="15" hidden="1" customHeight="1" x14ac:dyDescent="0.25">
      <c r="B3037" s="7"/>
      <c r="C3037" s="140">
        <v>3009</v>
      </c>
      <c r="D3037" s="142"/>
      <c r="E3037" s="142"/>
      <c r="F3037" s="142"/>
      <c r="G3037" s="142"/>
      <c r="H3037" s="141"/>
      <c r="I3037" s="8"/>
    </row>
    <row r="3038" spans="2:9" ht="15" hidden="1" customHeight="1" x14ac:dyDescent="0.25">
      <c r="B3038" s="7"/>
      <c r="C3038" s="140">
        <v>3010</v>
      </c>
      <c r="D3038" s="142"/>
      <c r="E3038" s="142"/>
      <c r="F3038" s="142"/>
      <c r="G3038" s="142"/>
      <c r="H3038" s="141"/>
      <c r="I3038" s="8"/>
    </row>
    <row r="3039" spans="2:9" ht="15" hidden="1" customHeight="1" x14ac:dyDescent="0.25">
      <c r="B3039" s="7"/>
      <c r="C3039" s="140">
        <v>3011</v>
      </c>
      <c r="D3039" s="142"/>
      <c r="E3039" s="142"/>
      <c r="F3039" s="142"/>
      <c r="G3039" s="142"/>
      <c r="H3039" s="141"/>
      <c r="I3039" s="8"/>
    </row>
    <row r="3040" spans="2:9" ht="15" hidden="1" customHeight="1" x14ac:dyDescent="0.25">
      <c r="B3040" s="7"/>
      <c r="C3040" s="140">
        <v>3012</v>
      </c>
      <c r="D3040" s="142"/>
      <c r="E3040" s="142"/>
      <c r="F3040" s="142"/>
      <c r="G3040" s="142"/>
      <c r="H3040" s="141"/>
      <c r="I3040" s="8"/>
    </row>
    <row r="3041" spans="2:9" ht="15" hidden="1" customHeight="1" x14ac:dyDescent="0.25">
      <c r="B3041" s="7"/>
      <c r="C3041" s="140">
        <v>3013</v>
      </c>
      <c r="D3041" s="142"/>
      <c r="E3041" s="142"/>
      <c r="F3041" s="142"/>
      <c r="G3041" s="142"/>
      <c r="H3041" s="141"/>
      <c r="I3041" s="8"/>
    </row>
    <row r="3042" spans="2:9" ht="15" hidden="1" customHeight="1" x14ac:dyDescent="0.25">
      <c r="B3042" s="7"/>
      <c r="C3042" s="140">
        <v>3014</v>
      </c>
      <c r="D3042" s="142"/>
      <c r="E3042" s="142"/>
      <c r="F3042" s="142"/>
      <c r="G3042" s="142"/>
      <c r="H3042" s="141"/>
      <c r="I3042" s="8"/>
    </row>
    <row r="3043" spans="2:9" ht="15" hidden="1" customHeight="1" x14ac:dyDescent="0.25">
      <c r="B3043" s="7"/>
      <c r="C3043" s="140">
        <v>3015</v>
      </c>
      <c r="D3043" s="142"/>
      <c r="E3043" s="142"/>
      <c r="F3043" s="142"/>
      <c r="G3043" s="142"/>
      <c r="H3043" s="141"/>
      <c r="I3043" s="8"/>
    </row>
    <row r="3044" spans="2:9" ht="15" hidden="1" customHeight="1" x14ac:dyDescent="0.25">
      <c r="B3044" s="7"/>
      <c r="C3044" s="140">
        <v>3016</v>
      </c>
      <c r="D3044" s="142"/>
      <c r="E3044" s="142"/>
      <c r="F3044" s="142"/>
      <c r="G3044" s="142"/>
      <c r="H3044" s="141"/>
      <c r="I3044" s="8"/>
    </row>
    <row r="3045" spans="2:9" ht="15" hidden="1" customHeight="1" x14ac:dyDescent="0.25">
      <c r="B3045" s="7"/>
      <c r="C3045" s="140">
        <v>3017</v>
      </c>
      <c r="D3045" s="142"/>
      <c r="E3045" s="142"/>
      <c r="F3045" s="142"/>
      <c r="G3045" s="142"/>
      <c r="H3045" s="141"/>
      <c r="I3045" s="8"/>
    </row>
    <row r="3046" spans="2:9" ht="15" hidden="1" customHeight="1" x14ac:dyDescent="0.25">
      <c r="B3046" s="7"/>
      <c r="C3046" s="140">
        <v>3018</v>
      </c>
      <c r="D3046" s="142"/>
      <c r="E3046" s="142"/>
      <c r="F3046" s="142"/>
      <c r="G3046" s="142"/>
      <c r="H3046" s="141"/>
      <c r="I3046" s="8"/>
    </row>
    <row r="3047" spans="2:9" ht="15" hidden="1" customHeight="1" x14ac:dyDescent="0.25">
      <c r="B3047" s="7"/>
      <c r="C3047" s="140">
        <v>3019</v>
      </c>
      <c r="D3047" s="142"/>
      <c r="E3047" s="142"/>
      <c r="F3047" s="142"/>
      <c r="G3047" s="142"/>
      <c r="H3047" s="141"/>
      <c r="I3047" s="8"/>
    </row>
    <row r="3048" spans="2:9" ht="15" hidden="1" customHeight="1" x14ac:dyDescent="0.25">
      <c r="B3048" s="7"/>
      <c r="C3048" s="140">
        <v>3020</v>
      </c>
      <c r="D3048" s="142"/>
      <c r="E3048" s="142"/>
      <c r="F3048" s="142"/>
      <c r="G3048" s="142"/>
      <c r="H3048" s="141"/>
      <c r="I3048" s="8"/>
    </row>
    <row r="3049" spans="2:9" ht="15" hidden="1" customHeight="1" x14ac:dyDescent="0.25">
      <c r="B3049" s="7"/>
      <c r="C3049" s="140">
        <v>3021</v>
      </c>
      <c r="D3049" s="142"/>
      <c r="E3049" s="142"/>
      <c r="F3049" s="142"/>
      <c r="G3049" s="142"/>
      <c r="H3049" s="141"/>
      <c r="I3049" s="8"/>
    </row>
    <row r="3050" spans="2:9" ht="15" hidden="1" customHeight="1" x14ac:dyDescent="0.25">
      <c r="B3050" s="7"/>
      <c r="C3050" s="140">
        <v>3022</v>
      </c>
      <c r="D3050" s="142"/>
      <c r="E3050" s="142"/>
      <c r="F3050" s="142"/>
      <c r="G3050" s="142"/>
      <c r="H3050" s="141"/>
      <c r="I3050" s="8"/>
    </row>
    <row r="3051" spans="2:9" ht="15" hidden="1" customHeight="1" x14ac:dyDescent="0.25">
      <c r="B3051" s="7"/>
      <c r="C3051" s="140">
        <v>3023</v>
      </c>
      <c r="D3051" s="142"/>
      <c r="E3051" s="142"/>
      <c r="F3051" s="142"/>
      <c r="G3051" s="142"/>
      <c r="H3051" s="141"/>
      <c r="I3051" s="8"/>
    </row>
    <row r="3052" spans="2:9" ht="15" hidden="1" customHeight="1" x14ac:dyDescent="0.25">
      <c r="B3052" s="7"/>
      <c r="C3052" s="140">
        <v>3024</v>
      </c>
      <c r="D3052" s="142"/>
      <c r="E3052" s="142"/>
      <c r="F3052" s="142"/>
      <c r="G3052" s="142"/>
      <c r="H3052" s="141"/>
      <c r="I3052" s="8"/>
    </row>
    <row r="3053" spans="2:9" ht="15" hidden="1" customHeight="1" x14ac:dyDescent="0.25">
      <c r="B3053" s="7"/>
      <c r="C3053" s="140">
        <v>3025</v>
      </c>
      <c r="D3053" s="142"/>
      <c r="E3053" s="142"/>
      <c r="F3053" s="142"/>
      <c r="G3053" s="142"/>
      <c r="H3053" s="141"/>
      <c r="I3053" s="8"/>
    </row>
    <row r="3054" spans="2:9" ht="15" hidden="1" customHeight="1" x14ac:dyDescent="0.25">
      <c r="B3054" s="7"/>
      <c r="C3054" s="140">
        <v>3026</v>
      </c>
      <c r="D3054" s="142"/>
      <c r="E3054" s="142"/>
      <c r="F3054" s="142"/>
      <c r="G3054" s="142"/>
      <c r="H3054" s="141"/>
      <c r="I3054" s="8"/>
    </row>
    <row r="3055" spans="2:9" ht="15" hidden="1" customHeight="1" x14ac:dyDescent="0.25">
      <c r="B3055" s="7"/>
      <c r="C3055" s="140">
        <v>3027</v>
      </c>
      <c r="D3055" s="142"/>
      <c r="E3055" s="142"/>
      <c r="F3055" s="142"/>
      <c r="G3055" s="142"/>
      <c r="H3055" s="141"/>
      <c r="I3055" s="8"/>
    </row>
    <row r="3056" spans="2:9" ht="15" hidden="1" customHeight="1" x14ac:dyDescent="0.25">
      <c r="B3056" s="7"/>
      <c r="C3056" s="140">
        <v>3028</v>
      </c>
      <c r="D3056" s="142"/>
      <c r="E3056" s="142"/>
      <c r="F3056" s="142"/>
      <c r="G3056" s="142"/>
      <c r="H3056" s="141"/>
      <c r="I3056" s="8"/>
    </row>
    <row r="3057" spans="2:9" ht="15" hidden="1" customHeight="1" x14ac:dyDescent="0.25">
      <c r="B3057" s="7"/>
      <c r="C3057" s="140">
        <v>3029</v>
      </c>
      <c r="D3057" s="142"/>
      <c r="E3057" s="142"/>
      <c r="F3057" s="142"/>
      <c r="G3057" s="142"/>
      <c r="H3057" s="141"/>
      <c r="I3057" s="8"/>
    </row>
    <row r="3058" spans="2:9" ht="15" hidden="1" customHeight="1" x14ac:dyDescent="0.25">
      <c r="B3058" s="7"/>
      <c r="C3058" s="140">
        <v>3030</v>
      </c>
      <c r="D3058" s="142"/>
      <c r="E3058" s="142"/>
      <c r="F3058" s="142"/>
      <c r="G3058" s="142"/>
      <c r="H3058" s="141"/>
      <c r="I3058" s="8"/>
    </row>
    <row r="3059" spans="2:9" ht="15" hidden="1" customHeight="1" x14ac:dyDescent="0.25">
      <c r="B3059" s="7"/>
      <c r="C3059" s="140">
        <v>3031</v>
      </c>
      <c r="D3059" s="142"/>
      <c r="E3059" s="142"/>
      <c r="F3059" s="142"/>
      <c r="G3059" s="142"/>
      <c r="H3059" s="141"/>
      <c r="I3059" s="8"/>
    </row>
    <row r="3060" spans="2:9" ht="15" hidden="1" customHeight="1" x14ac:dyDescent="0.25">
      <c r="B3060" s="7"/>
      <c r="C3060" s="140">
        <v>3032</v>
      </c>
      <c r="D3060" s="142"/>
      <c r="E3060" s="142"/>
      <c r="F3060" s="142"/>
      <c r="G3060" s="142"/>
      <c r="H3060" s="141"/>
      <c r="I3060" s="8"/>
    </row>
    <row r="3061" spans="2:9" ht="15" hidden="1" customHeight="1" x14ac:dyDescent="0.25">
      <c r="B3061" s="7"/>
      <c r="C3061" s="140">
        <v>3033</v>
      </c>
      <c r="D3061" s="142"/>
      <c r="E3061" s="142"/>
      <c r="F3061" s="142"/>
      <c r="G3061" s="142"/>
      <c r="H3061" s="141"/>
      <c r="I3061" s="8"/>
    </row>
    <row r="3062" spans="2:9" ht="15" hidden="1" customHeight="1" x14ac:dyDescent="0.25">
      <c r="B3062" s="7"/>
      <c r="C3062" s="140">
        <v>3034</v>
      </c>
      <c r="D3062" s="142"/>
      <c r="E3062" s="142"/>
      <c r="F3062" s="142"/>
      <c r="G3062" s="142"/>
      <c r="H3062" s="141"/>
      <c r="I3062" s="8"/>
    </row>
    <row r="3063" spans="2:9" ht="15" hidden="1" customHeight="1" x14ac:dyDescent="0.25">
      <c r="B3063" s="7"/>
      <c r="C3063" s="140">
        <v>3035</v>
      </c>
      <c r="D3063" s="142"/>
      <c r="E3063" s="142"/>
      <c r="F3063" s="142"/>
      <c r="G3063" s="142"/>
      <c r="H3063" s="141"/>
      <c r="I3063" s="8"/>
    </row>
    <row r="3064" spans="2:9" ht="15" hidden="1" customHeight="1" x14ac:dyDescent="0.25">
      <c r="B3064" s="7"/>
      <c r="C3064" s="140">
        <v>3036</v>
      </c>
      <c r="D3064" s="142"/>
      <c r="E3064" s="142"/>
      <c r="F3064" s="142"/>
      <c r="G3064" s="142"/>
      <c r="H3064" s="141"/>
      <c r="I3064" s="8"/>
    </row>
    <row r="3065" spans="2:9" ht="15" hidden="1" customHeight="1" x14ac:dyDescent="0.25">
      <c r="B3065" s="7"/>
      <c r="C3065" s="140">
        <v>3037</v>
      </c>
      <c r="D3065" s="142"/>
      <c r="E3065" s="142"/>
      <c r="F3065" s="142"/>
      <c r="G3065" s="142"/>
      <c r="H3065" s="141"/>
      <c r="I3065" s="8"/>
    </row>
    <row r="3066" spans="2:9" ht="15" hidden="1" customHeight="1" x14ac:dyDescent="0.25">
      <c r="B3066" s="7"/>
      <c r="C3066" s="140">
        <v>3038</v>
      </c>
      <c r="D3066" s="142"/>
      <c r="E3066" s="142"/>
      <c r="F3066" s="142"/>
      <c r="G3066" s="142"/>
      <c r="H3066" s="141"/>
      <c r="I3066" s="8"/>
    </row>
    <row r="3067" spans="2:9" ht="15" hidden="1" customHeight="1" x14ac:dyDescent="0.25">
      <c r="B3067" s="7"/>
      <c r="C3067" s="140">
        <v>3039</v>
      </c>
      <c r="D3067" s="142"/>
      <c r="E3067" s="142"/>
      <c r="F3067" s="142"/>
      <c r="G3067" s="142"/>
      <c r="H3067" s="141"/>
      <c r="I3067" s="8"/>
    </row>
    <row r="3068" spans="2:9" ht="15" hidden="1" customHeight="1" x14ac:dyDescent="0.25">
      <c r="B3068" s="7"/>
      <c r="C3068" s="140">
        <v>3040</v>
      </c>
      <c r="D3068" s="142"/>
      <c r="E3068" s="142"/>
      <c r="F3068" s="142"/>
      <c r="G3068" s="142"/>
      <c r="H3068" s="141"/>
      <c r="I3068" s="8"/>
    </row>
    <row r="3069" spans="2:9" ht="15" hidden="1" customHeight="1" x14ac:dyDescent="0.25">
      <c r="B3069" s="7"/>
      <c r="C3069" s="140">
        <v>3041</v>
      </c>
      <c r="D3069" s="142"/>
      <c r="E3069" s="142"/>
      <c r="F3069" s="142"/>
      <c r="G3069" s="142"/>
      <c r="H3069" s="141"/>
      <c r="I3069" s="8"/>
    </row>
    <row r="3070" spans="2:9" ht="15" hidden="1" customHeight="1" x14ac:dyDescent="0.25">
      <c r="B3070" s="7"/>
      <c r="C3070" s="140">
        <v>3042</v>
      </c>
      <c r="D3070" s="142"/>
      <c r="E3070" s="142"/>
      <c r="F3070" s="142"/>
      <c r="G3070" s="142"/>
      <c r="H3070" s="141"/>
      <c r="I3070" s="8"/>
    </row>
    <row r="3071" spans="2:9" ht="15" hidden="1" customHeight="1" x14ac:dyDescent="0.25">
      <c r="B3071" s="7"/>
      <c r="C3071" s="140">
        <v>3043</v>
      </c>
      <c r="D3071" s="142"/>
      <c r="E3071" s="142"/>
      <c r="F3071" s="142"/>
      <c r="G3071" s="142"/>
      <c r="H3071" s="141"/>
      <c r="I3071" s="8"/>
    </row>
    <row r="3072" spans="2:9" ht="15" hidden="1" customHeight="1" x14ac:dyDescent="0.25">
      <c r="B3072" s="7"/>
      <c r="C3072" s="140">
        <v>3044</v>
      </c>
      <c r="D3072" s="142"/>
      <c r="E3072" s="142"/>
      <c r="F3072" s="142"/>
      <c r="G3072" s="142"/>
      <c r="H3072" s="141"/>
      <c r="I3072" s="8"/>
    </row>
    <row r="3073" spans="2:9" ht="15" hidden="1" customHeight="1" x14ac:dyDescent="0.25">
      <c r="B3073" s="7"/>
      <c r="C3073" s="140">
        <v>3045</v>
      </c>
      <c r="D3073" s="142"/>
      <c r="E3073" s="142"/>
      <c r="F3073" s="142"/>
      <c r="G3073" s="142"/>
      <c r="H3073" s="141"/>
      <c r="I3073" s="8"/>
    </row>
    <row r="3074" spans="2:9" ht="15" hidden="1" customHeight="1" x14ac:dyDescent="0.25">
      <c r="B3074" s="7"/>
      <c r="C3074" s="140">
        <v>3046</v>
      </c>
      <c r="D3074" s="142"/>
      <c r="E3074" s="142"/>
      <c r="F3074" s="142"/>
      <c r="G3074" s="142"/>
      <c r="H3074" s="141"/>
      <c r="I3074" s="8"/>
    </row>
    <row r="3075" spans="2:9" ht="15" hidden="1" customHeight="1" x14ac:dyDescent="0.25">
      <c r="B3075" s="7"/>
      <c r="C3075" s="140">
        <v>3047</v>
      </c>
      <c r="D3075" s="142"/>
      <c r="E3075" s="142"/>
      <c r="F3075" s="142"/>
      <c r="G3075" s="142"/>
      <c r="H3075" s="141"/>
      <c r="I3075" s="8"/>
    </row>
    <row r="3076" spans="2:9" ht="15" hidden="1" customHeight="1" x14ac:dyDescent="0.25">
      <c r="B3076" s="7"/>
      <c r="C3076" s="140">
        <v>3048</v>
      </c>
      <c r="D3076" s="142"/>
      <c r="E3076" s="142"/>
      <c r="F3076" s="142"/>
      <c r="G3076" s="142"/>
      <c r="H3076" s="141"/>
      <c r="I3076" s="8"/>
    </row>
    <row r="3077" spans="2:9" ht="15" hidden="1" customHeight="1" x14ac:dyDescent="0.25">
      <c r="B3077" s="7"/>
      <c r="C3077" s="140">
        <v>3049</v>
      </c>
      <c r="D3077" s="142"/>
      <c r="E3077" s="142"/>
      <c r="F3077" s="142"/>
      <c r="G3077" s="142"/>
      <c r="H3077" s="141"/>
      <c r="I3077" s="8"/>
    </row>
    <row r="3078" spans="2:9" ht="15" hidden="1" customHeight="1" x14ac:dyDescent="0.25">
      <c r="B3078" s="7"/>
      <c r="C3078" s="140">
        <v>3050</v>
      </c>
      <c r="D3078" s="142"/>
      <c r="E3078" s="142"/>
      <c r="F3078" s="142"/>
      <c r="G3078" s="142"/>
      <c r="H3078" s="141"/>
      <c r="I3078" s="8"/>
    </row>
    <row r="3079" spans="2:9" ht="15" hidden="1" customHeight="1" x14ac:dyDescent="0.25">
      <c r="B3079" s="7"/>
      <c r="C3079" s="140">
        <v>3051</v>
      </c>
      <c r="D3079" s="142"/>
      <c r="E3079" s="142"/>
      <c r="F3079" s="142"/>
      <c r="G3079" s="142"/>
      <c r="H3079" s="141"/>
      <c r="I3079" s="8"/>
    </row>
    <row r="3080" spans="2:9" ht="15" hidden="1" customHeight="1" x14ac:dyDescent="0.25">
      <c r="B3080" s="7"/>
      <c r="C3080" s="140">
        <v>3052</v>
      </c>
      <c r="D3080" s="142"/>
      <c r="E3080" s="142"/>
      <c r="F3080" s="142"/>
      <c r="G3080" s="142"/>
      <c r="H3080" s="141"/>
      <c r="I3080" s="8"/>
    </row>
    <row r="3081" spans="2:9" ht="15" hidden="1" customHeight="1" x14ac:dyDescent="0.25">
      <c r="B3081" s="7"/>
      <c r="C3081" s="140">
        <v>3053</v>
      </c>
      <c r="D3081" s="142"/>
      <c r="E3081" s="142"/>
      <c r="F3081" s="142"/>
      <c r="G3081" s="142"/>
      <c r="H3081" s="141"/>
      <c r="I3081" s="8"/>
    </row>
    <row r="3082" spans="2:9" ht="15" hidden="1" customHeight="1" x14ac:dyDescent="0.25">
      <c r="B3082" s="7"/>
      <c r="C3082" s="140">
        <v>3054</v>
      </c>
      <c r="D3082" s="142"/>
      <c r="E3082" s="142"/>
      <c r="F3082" s="142"/>
      <c r="G3082" s="142"/>
      <c r="H3082" s="141"/>
      <c r="I3082" s="8"/>
    </row>
    <row r="3083" spans="2:9" ht="15" hidden="1" customHeight="1" x14ac:dyDescent="0.25">
      <c r="B3083" s="7"/>
      <c r="C3083" s="140">
        <v>3055</v>
      </c>
      <c r="D3083" s="142"/>
      <c r="E3083" s="142"/>
      <c r="F3083" s="142"/>
      <c r="G3083" s="142"/>
      <c r="H3083" s="141"/>
      <c r="I3083" s="8"/>
    </row>
    <row r="3084" spans="2:9" ht="15" hidden="1" customHeight="1" x14ac:dyDescent="0.25">
      <c r="B3084" s="7"/>
      <c r="C3084" s="140">
        <v>3056</v>
      </c>
      <c r="D3084" s="142"/>
      <c r="E3084" s="142"/>
      <c r="F3084" s="142"/>
      <c r="G3084" s="142"/>
      <c r="H3084" s="141"/>
      <c r="I3084" s="8"/>
    </row>
    <row r="3085" spans="2:9" ht="15" hidden="1" customHeight="1" x14ac:dyDescent="0.25">
      <c r="B3085" s="7"/>
      <c r="C3085" s="140">
        <v>3057</v>
      </c>
      <c r="D3085" s="142"/>
      <c r="E3085" s="142"/>
      <c r="F3085" s="142"/>
      <c r="G3085" s="142"/>
      <c r="H3085" s="141"/>
      <c r="I3085" s="8"/>
    </row>
    <row r="3086" spans="2:9" ht="15" hidden="1" customHeight="1" x14ac:dyDescent="0.25">
      <c r="B3086" s="7"/>
      <c r="C3086" s="140">
        <v>3058</v>
      </c>
      <c r="D3086" s="142"/>
      <c r="E3086" s="142"/>
      <c r="F3086" s="142"/>
      <c r="G3086" s="142"/>
      <c r="H3086" s="141"/>
      <c r="I3086" s="8"/>
    </row>
    <row r="3087" spans="2:9" ht="15" hidden="1" customHeight="1" x14ac:dyDescent="0.25">
      <c r="B3087" s="7"/>
      <c r="C3087" s="140">
        <v>3059</v>
      </c>
      <c r="D3087" s="142"/>
      <c r="E3087" s="142"/>
      <c r="F3087" s="142"/>
      <c r="G3087" s="142"/>
      <c r="H3087" s="141"/>
      <c r="I3087" s="8"/>
    </row>
    <row r="3088" spans="2:9" ht="15" hidden="1" customHeight="1" x14ac:dyDescent="0.25">
      <c r="B3088" s="7"/>
      <c r="C3088" s="140">
        <v>3060</v>
      </c>
      <c r="D3088" s="142"/>
      <c r="E3088" s="142"/>
      <c r="F3088" s="142"/>
      <c r="G3088" s="142"/>
      <c r="H3088" s="141"/>
      <c r="I3088" s="8"/>
    </row>
    <row r="3089" spans="2:9" ht="15" hidden="1" customHeight="1" x14ac:dyDescent="0.25">
      <c r="B3089" s="7"/>
      <c r="C3089" s="140">
        <v>3061</v>
      </c>
      <c r="D3089" s="142"/>
      <c r="E3089" s="142"/>
      <c r="F3089" s="142"/>
      <c r="G3089" s="142"/>
      <c r="H3089" s="141"/>
      <c r="I3089" s="8"/>
    </row>
    <row r="3090" spans="2:9" ht="15" hidden="1" customHeight="1" x14ac:dyDescent="0.25">
      <c r="B3090" s="7"/>
      <c r="C3090" s="140">
        <v>3062</v>
      </c>
      <c r="D3090" s="142"/>
      <c r="E3090" s="142"/>
      <c r="F3090" s="142"/>
      <c r="G3090" s="142"/>
      <c r="H3090" s="141"/>
      <c r="I3090" s="8"/>
    </row>
    <row r="3091" spans="2:9" ht="15" hidden="1" customHeight="1" x14ac:dyDescent="0.25">
      <c r="B3091" s="7"/>
      <c r="C3091" s="140">
        <v>3063</v>
      </c>
      <c r="D3091" s="142"/>
      <c r="E3091" s="142"/>
      <c r="F3091" s="142"/>
      <c r="G3091" s="142"/>
      <c r="H3091" s="141"/>
      <c r="I3091" s="8"/>
    </row>
    <row r="3092" spans="2:9" ht="15" hidden="1" customHeight="1" x14ac:dyDescent="0.25">
      <c r="B3092" s="7"/>
      <c r="C3092" s="140">
        <v>3064</v>
      </c>
      <c r="D3092" s="142"/>
      <c r="E3092" s="142"/>
      <c r="F3092" s="142"/>
      <c r="G3092" s="142"/>
      <c r="H3092" s="141"/>
      <c r="I3092" s="8"/>
    </row>
    <row r="3093" spans="2:9" ht="15" hidden="1" customHeight="1" x14ac:dyDescent="0.25">
      <c r="B3093" s="7"/>
      <c r="C3093" s="140">
        <v>3065</v>
      </c>
      <c r="D3093" s="142"/>
      <c r="E3093" s="142"/>
      <c r="F3093" s="142"/>
      <c r="G3093" s="142"/>
      <c r="H3093" s="141"/>
      <c r="I3093" s="8"/>
    </row>
    <row r="3094" spans="2:9" ht="15" hidden="1" customHeight="1" x14ac:dyDescent="0.25">
      <c r="B3094" s="7"/>
      <c r="C3094" s="140">
        <v>3066</v>
      </c>
      <c r="D3094" s="142"/>
      <c r="E3094" s="142"/>
      <c r="F3094" s="142"/>
      <c r="G3094" s="142"/>
      <c r="H3094" s="141"/>
      <c r="I3094" s="8"/>
    </row>
    <row r="3095" spans="2:9" ht="15" hidden="1" customHeight="1" x14ac:dyDescent="0.25">
      <c r="B3095" s="7"/>
      <c r="C3095" s="140">
        <v>3067</v>
      </c>
      <c r="D3095" s="142"/>
      <c r="E3095" s="142"/>
      <c r="F3095" s="142"/>
      <c r="G3095" s="142"/>
      <c r="H3095" s="141"/>
      <c r="I3095" s="8"/>
    </row>
    <row r="3096" spans="2:9" ht="15" hidden="1" customHeight="1" x14ac:dyDescent="0.25">
      <c r="B3096" s="7"/>
      <c r="C3096" s="140">
        <v>3068</v>
      </c>
      <c r="D3096" s="142"/>
      <c r="E3096" s="142"/>
      <c r="F3096" s="142"/>
      <c r="G3096" s="142"/>
      <c r="H3096" s="141"/>
      <c r="I3096" s="8"/>
    </row>
    <row r="3097" spans="2:9" ht="15" hidden="1" customHeight="1" x14ac:dyDescent="0.25">
      <c r="B3097" s="7"/>
      <c r="C3097" s="140">
        <v>3069</v>
      </c>
      <c r="D3097" s="142"/>
      <c r="E3097" s="142"/>
      <c r="F3097" s="142"/>
      <c r="G3097" s="142"/>
      <c r="H3097" s="141"/>
      <c r="I3097" s="8"/>
    </row>
    <row r="3098" spans="2:9" ht="15" hidden="1" customHeight="1" x14ac:dyDescent="0.25">
      <c r="B3098" s="7"/>
      <c r="C3098" s="140">
        <v>3070</v>
      </c>
      <c r="D3098" s="142"/>
      <c r="E3098" s="142"/>
      <c r="F3098" s="142"/>
      <c r="G3098" s="142"/>
      <c r="H3098" s="141"/>
      <c r="I3098" s="8"/>
    </row>
    <row r="3099" spans="2:9" ht="15" hidden="1" customHeight="1" x14ac:dyDescent="0.25">
      <c r="B3099" s="7"/>
      <c r="C3099" s="140">
        <v>3071</v>
      </c>
      <c r="D3099" s="142"/>
      <c r="E3099" s="142"/>
      <c r="F3099" s="142"/>
      <c r="G3099" s="142"/>
      <c r="H3099" s="141"/>
      <c r="I3099" s="8"/>
    </row>
    <row r="3100" spans="2:9" ht="15" hidden="1" customHeight="1" x14ac:dyDescent="0.25">
      <c r="B3100" s="7"/>
      <c r="C3100" s="140">
        <v>3072</v>
      </c>
      <c r="D3100" s="142"/>
      <c r="E3100" s="142"/>
      <c r="F3100" s="142"/>
      <c r="G3100" s="142"/>
      <c r="H3100" s="141"/>
      <c r="I3100" s="8"/>
    </row>
    <row r="3101" spans="2:9" ht="15" hidden="1" customHeight="1" x14ac:dyDescent="0.25">
      <c r="B3101" s="7"/>
      <c r="C3101" s="140">
        <v>3073</v>
      </c>
      <c r="D3101" s="142"/>
      <c r="E3101" s="142"/>
      <c r="F3101" s="142"/>
      <c r="G3101" s="142"/>
      <c r="H3101" s="141"/>
      <c r="I3101" s="8"/>
    </row>
    <row r="3102" spans="2:9" ht="15" hidden="1" customHeight="1" x14ac:dyDescent="0.25">
      <c r="B3102" s="7"/>
      <c r="C3102" s="140">
        <v>3074</v>
      </c>
      <c r="D3102" s="142"/>
      <c r="E3102" s="142"/>
      <c r="F3102" s="142"/>
      <c r="G3102" s="142"/>
      <c r="H3102" s="141"/>
      <c r="I3102" s="8"/>
    </row>
    <row r="3103" spans="2:9" ht="15" hidden="1" customHeight="1" x14ac:dyDescent="0.25">
      <c r="B3103" s="7"/>
      <c r="C3103" s="140">
        <v>3075</v>
      </c>
      <c r="D3103" s="142"/>
      <c r="E3103" s="142"/>
      <c r="F3103" s="142"/>
      <c r="G3103" s="142"/>
      <c r="H3103" s="141"/>
      <c r="I3103" s="8"/>
    </row>
    <row r="3104" spans="2:9" ht="15" hidden="1" customHeight="1" x14ac:dyDescent="0.25">
      <c r="B3104" s="7"/>
      <c r="C3104" s="140">
        <v>3076</v>
      </c>
      <c r="D3104" s="142"/>
      <c r="E3104" s="142"/>
      <c r="F3104" s="142"/>
      <c r="G3104" s="142"/>
      <c r="H3104" s="141"/>
      <c r="I3104" s="8"/>
    </row>
    <row r="3105" spans="2:9" ht="15" hidden="1" customHeight="1" x14ac:dyDescent="0.25">
      <c r="B3105" s="7"/>
      <c r="C3105" s="140">
        <v>3077</v>
      </c>
      <c r="D3105" s="142"/>
      <c r="E3105" s="142"/>
      <c r="F3105" s="142"/>
      <c r="G3105" s="142"/>
      <c r="H3105" s="141"/>
      <c r="I3105" s="8"/>
    </row>
    <row r="3106" spans="2:9" ht="15" hidden="1" customHeight="1" x14ac:dyDescent="0.25">
      <c r="B3106" s="7"/>
      <c r="C3106" s="140">
        <v>3078</v>
      </c>
      <c r="D3106" s="142"/>
      <c r="E3106" s="142"/>
      <c r="F3106" s="142"/>
      <c r="G3106" s="142"/>
      <c r="H3106" s="141"/>
      <c r="I3106" s="8"/>
    </row>
    <row r="3107" spans="2:9" ht="15" hidden="1" customHeight="1" x14ac:dyDescent="0.25">
      <c r="B3107" s="7"/>
      <c r="C3107" s="140">
        <v>3079</v>
      </c>
      <c r="D3107" s="142"/>
      <c r="E3107" s="142"/>
      <c r="F3107" s="142"/>
      <c r="G3107" s="142"/>
      <c r="H3107" s="141"/>
      <c r="I3107" s="8"/>
    </row>
    <row r="3108" spans="2:9" ht="15" hidden="1" customHeight="1" x14ac:dyDescent="0.25">
      <c r="B3108" s="7"/>
      <c r="C3108" s="140">
        <v>3080</v>
      </c>
      <c r="D3108" s="142"/>
      <c r="E3108" s="142"/>
      <c r="F3108" s="142"/>
      <c r="G3108" s="142"/>
      <c r="H3108" s="141"/>
      <c r="I3108" s="8"/>
    </row>
    <row r="3109" spans="2:9" ht="15" hidden="1" customHeight="1" x14ac:dyDescent="0.25">
      <c r="B3109" s="7"/>
      <c r="C3109" s="140">
        <v>3081</v>
      </c>
      <c r="D3109" s="142"/>
      <c r="E3109" s="142"/>
      <c r="F3109" s="142"/>
      <c r="G3109" s="142"/>
      <c r="H3109" s="141"/>
      <c r="I3109" s="8"/>
    </row>
    <row r="3110" spans="2:9" ht="15" hidden="1" customHeight="1" x14ac:dyDescent="0.25">
      <c r="B3110" s="7"/>
      <c r="C3110" s="140">
        <v>3082</v>
      </c>
      <c r="D3110" s="142"/>
      <c r="E3110" s="142"/>
      <c r="F3110" s="142"/>
      <c r="G3110" s="142"/>
      <c r="H3110" s="141"/>
      <c r="I3110" s="8"/>
    </row>
    <row r="3111" spans="2:9" ht="15" hidden="1" customHeight="1" x14ac:dyDescent="0.25">
      <c r="B3111" s="7"/>
      <c r="C3111" s="140">
        <v>3083</v>
      </c>
      <c r="D3111" s="142"/>
      <c r="E3111" s="142"/>
      <c r="F3111" s="142"/>
      <c r="G3111" s="142"/>
      <c r="H3111" s="141"/>
      <c r="I3111" s="8"/>
    </row>
    <row r="3112" spans="2:9" ht="15" hidden="1" customHeight="1" x14ac:dyDescent="0.25">
      <c r="B3112" s="7"/>
      <c r="C3112" s="140">
        <v>3084</v>
      </c>
      <c r="D3112" s="142"/>
      <c r="E3112" s="142"/>
      <c r="F3112" s="142"/>
      <c r="G3112" s="142"/>
      <c r="H3112" s="141"/>
      <c r="I3112" s="8"/>
    </row>
    <row r="3113" spans="2:9" ht="15" hidden="1" customHeight="1" x14ac:dyDescent="0.25">
      <c r="B3113" s="7"/>
      <c r="C3113" s="140">
        <v>3085</v>
      </c>
      <c r="D3113" s="142"/>
      <c r="E3113" s="142"/>
      <c r="F3113" s="142"/>
      <c r="G3113" s="142"/>
      <c r="H3113" s="141"/>
      <c r="I3113" s="8"/>
    </row>
    <row r="3114" spans="2:9" ht="15" hidden="1" customHeight="1" x14ac:dyDescent="0.25">
      <c r="B3114" s="7"/>
      <c r="C3114" s="140">
        <v>3086</v>
      </c>
      <c r="D3114" s="142"/>
      <c r="E3114" s="142"/>
      <c r="F3114" s="142"/>
      <c r="G3114" s="142"/>
      <c r="H3114" s="141"/>
      <c r="I3114" s="8"/>
    </row>
    <row r="3115" spans="2:9" ht="15" hidden="1" customHeight="1" x14ac:dyDescent="0.25">
      <c r="B3115" s="7"/>
      <c r="C3115" s="140">
        <v>3087</v>
      </c>
      <c r="D3115" s="142"/>
      <c r="E3115" s="142"/>
      <c r="F3115" s="142"/>
      <c r="G3115" s="142"/>
      <c r="H3115" s="141"/>
      <c r="I3115" s="8"/>
    </row>
    <row r="3116" spans="2:9" ht="15" hidden="1" customHeight="1" x14ac:dyDescent="0.25">
      <c r="B3116" s="7"/>
      <c r="C3116" s="140">
        <v>3088</v>
      </c>
      <c r="D3116" s="142"/>
      <c r="E3116" s="142"/>
      <c r="F3116" s="142"/>
      <c r="G3116" s="142"/>
      <c r="H3116" s="141"/>
      <c r="I3116" s="8"/>
    </row>
    <row r="3117" spans="2:9" ht="15" hidden="1" customHeight="1" x14ac:dyDescent="0.25">
      <c r="B3117" s="7"/>
      <c r="C3117" s="140">
        <v>3089</v>
      </c>
      <c r="D3117" s="142"/>
      <c r="E3117" s="142"/>
      <c r="F3117" s="142"/>
      <c r="G3117" s="142"/>
      <c r="H3117" s="141"/>
      <c r="I3117" s="8"/>
    </row>
    <row r="3118" spans="2:9" ht="15" hidden="1" customHeight="1" x14ac:dyDescent="0.25">
      <c r="B3118" s="7"/>
      <c r="C3118" s="140">
        <v>3090</v>
      </c>
      <c r="D3118" s="142"/>
      <c r="E3118" s="142"/>
      <c r="F3118" s="142"/>
      <c r="G3118" s="142"/>
      <c r="H3118" s="141"/>
      <c r="I3118" s="8"/>
    </row>
    <row r="3119" spans="2:9" ht="15" hidden="1" customHeight="1" x14ac:dyDescent="0.25">
      <c r="B3119" s="7"/>
      <c r="C3119" s="140">
        <v>3091</v>
      </c>
      <c r="D3119" s="142"/>
      <c r="E3119" s="142"/>
      <c r="F3119" s="142"/>
      <c r="G3119" s="142"/>
      <c r="H3119" s="141"/>
      <c r="I3119" s="8"/>
    </row>
    <row r="3120" spans="2:9" ht="15" hidden="1" customHeight="1" x14ac:dyDescent="0.25">
      <c r="B3120" s="7"/>
      <c r="C3120" s="140">
        <v>3092</v>
      </c>
      <c r="D3120" s="142"/>
      <c r="E3120" s="142"/>
      <c r="F3120" s="142"/>
      <c r="G3120" s="142"/>
      <c r="H3120" s="141"/>
      <c r="I3120" s="8"/>
    </row>
    <row r="3121" spans="2:9" ht="15" hidden="1" customHeight="1" x14ac:dyDescent="0.25">
      <c r="B3121" s="7"/>
      <c r="C3121" s="140">
        <v>3093</v>
      </c>
      <c r="D3121" s="142"/>
      <c r="E3121" s="142"/>
      <c r="F3121" s="142"/>
      <c r="G3121" s="142"/>
      <c r="H3121" s="141"/>
      <c r="I3121" s="8"/>
    </row>
    <row r="3122" spans="2:9" ht="15" hidden="1" customHeight="1" x14ac:dyDescent="0.25">
      <c r="B3122" s="7"/>
      <c r="C3122" s="140">
        <v>3094</v>
      </c>
      <c r="D3122" s="142"/>
      <c r="E3122" s="142"/>
      <c r="F3122" s="142"/>
      <c r="G3122" s="142"/>
      <c r="H3122" s="141"/>
      <c r="I3122" s="8"/>
    </row>
    <row r="3123" spans="2:9" ht="15" hidden="1" customHeight="1" x14ac:dyDescent="0.25">
      <c r="B3123" s="7"/>
      <c r="C3123" s="140">
        <v>3095</v>
      </c>
      <c r="D3123" s="142"/>
      <c r="E3123" s="142"/>
      <c r="F3123" s="142"/>
      <c r="G3123" s="142"/>
      <c r="H3123" s="141"/>
      <c r="I3123" s="8"/>
    </row>
    <row r="3124" spans="2:9" ht="15" hidden="1" customHeight="1" x14ac:dyDescent="0.25">
      <c r="B3124" s="7"/>
      <c r="C3124" s="140">
        <v>3096</v>
      </c>
      <c r="D3124" s="142"/>
      <c r="E3124" s="142"/>
      <c r="F3124" s="142"/>
      <c r="G3124" s="142"/>
      <c r="H3124" s="141"/>
      <c r="I3124" s="8"/>
    </row>
    <row r="3125" spans="2:9" ht="15" hidden="1" customHeight="1" x14ac:dyDescent="0.25">
      <c r="B3125" s="7"/>
      <c r="C3125" s="140">
        <v>3097</v>
      </c>
      <c r="D3125" s="142"/>
      <c r="E3125" s="142"/>
      <c r="F3125" s="142"/>
      <c r="G3125" s="142"/>
      <c r="H3125" s="141"/>
      <c r="I3125" s="8"/>
    </row>
    <row r="3126" spans="2:9" ht="15" hidden="1" customHeight="1" x14ac:dyDescent="0.25">
      <c r="B3126" s="7"/>
      <c r="C3126" s="140">
        <v>3098</v>
      </c>
      <c r="D3126" s="142"/>
      <c r="E3126" s="142"/>
      <c r="F3126" s="142"/>
      <c r="G3126" s="142"/>
      <c r="H3126" s="141"/>
      <c r="I3126" s="8"/>
    </row>
    <row r="3127" spans="2:9" ht="15" hidden="1" customHeight="1" x14ac:dyDescent="0.25">
      <c r="B3127" s="7"/>
      <c r="C3127" s="140">
        <v>3099</v>
      </c>
      <c r="D3127" s="142"/>
      <c r="E3127" s="142"/>
      <c r="F3127" s="142"/>
      <c r="G3127" s="142"/>
      <c r="H3127" s="141"/>
      <c r="I3127" s="8"/>
    </row>
    <row r="3128" spans="2:9" ht="15" hidden="1" customHeight="1" x14ac:dyDescent="0.25">
      <c r="B3128" s="7"/>
      <c r="C3128" s="140">
        <v>3100</v>
      </c>
      <c r="D3128" s="142"/>
      <c r="E3128" s="142"/>
      <c r="F3128" s="142"/>
      <c r="G3128" s="142"/>
      <c r="H3128" s="141"/>
      <c r="I3128" s="8"/>
    </row>
    <row r="3129" spans="2:9" ht="15" hidden="1" customHeight="1" x14ac:dyDescent="0.25">
      <c r="B3129" s="7"/>
      <c r="C3129" s="140">
        <v>3101</v>
      </c>
      <c r="D3129" s="142"/>
      <c r="E3129" s="142"/>
      <c r="F3129" s="142"/>
      <c r="G3129" s="142"/>
      <c r="H3129" s="141"/>
      <c r="I3129" s="8"/>
    </row>
    <row r="3130" spans="2:9" ht="15" hidden="1" customHeight="1" x14ac:dyDescent="0.25">
      <c r="B3130" s="7"/>
      <c r="C3130" s="140">
        <v>3102</v>
      </c>
      <c r="D3130" s="142"/>
      <c r="E3130" s="142"/>
      <c r="F3130" s="142"/>
      <c r="G3130" s="142"/>
      <c r="H3130" s="141"/>
      <c r="I3130" s="8"/>
    </row>
    <row r="3131" spans="2:9" ht="15" hidden="1" customHeight="1" x14ac:dyDescent="0.25">
      <c r="B3131" s="7"/>
      <c r="C3131" s="140">
        <v>3103</v>
      </c>
      <c r="D3131" s="142"/>
      <c r="E3131" s="142"/>
      <c r="F3131" s="142"/>
      <c r="G3131" s="142"/>
      <c r="H3131" s="141"/>
      <c r="I3131" s="8"/>
    </row>
    <row r="3132" spans="2:9" ht="15" hidden="1" customHeight="1" x14ac:dyDescent="0.25">
      <c r="B3132" s="7"/>
      <c r="C3132" s="140">
        <v>3104</v>
      </c>
      <c r="D3132" s="142"/>
      <c r="E3132" s="142"/>
      <c r="F3132" s="142"/>
      <c r="G3132" s="142"/>
      <c r="H3132" s="141"/>
      <c r="I3132" s="8"/>
    </row>
    <row r="3133" spans="2:9" ht="15" hidden="1" customHeight="1" x14ac:dyDescent="0.25">
      <c r="B3133" s="7"/>
      <c r="C3133" s="140">
        <v>3105</v>
      </c>
      <c r="D3133" s="142"/>
      <c r="E3133" s="142"/>
      <c r="F3133" s="142"/>
      <c r="G3133" s="142"/>
      <c r="H3133" s="141"/>
      <c r="I3133" s="8"/>
    </row>
    <row r="3134" spans="2:9" ht="15" hidden="1" customHeight="1" x14ac:dyDescent="0.25">
      <c r="B3134" s="7"/>
      <c r="C3134" s="140">
        <v>3106</v>
      </c>
      <c r="D3134" s="142"/>
      <c r="E3134" s="142"/>
      <c r="F3134" s="142"/>
      <c r="G3134" s="142"/>
      <c r="H3134" s="141"/>
      <c r="I3134" s="8"/>
    </row>
    <row r="3135" spans="2:9" ht="15" hidden="1" customHeight="1" x14ac:dyDescent="0.25">
      <c r="B3135" s="7"/>
      <c r="C3135" s="140">
        <v>3107</v>
      </c>
      <c r="D3135" s="142"/>
      <c r="E3135" s="142"/>
      <c r="F3135" s="142"/>
      <c r="G3135" s="142"/>
      <c r="H3135" s="141"/>
      <c r="I3135" s="8"/>
    </row>
    <row r="3136" spans="2:9" ht="15" hidden="1" customHeight="1" x14ac:dyDescent="0.25">
      <c r="B3136" s="7"/>
      <c r="C3136" s="140">
        <v>3108</v>
      </c>
      <c r="D3136" s="142"/>
      <c r="E3136" s="142"/>
      <c r="F3136" s="142"/>
      <c r="G3136" s="142"/>
      <c r="H3136" s="141"/>
      <c r="I3136" s="8"/>
    </row>
    <row r="3137" spans="2:9" ht="15" hidden="1" customHeight="1" x14ac:dyDescent="0.25">
      <c r="B3137" s="7"/>
      <c r="C3137" s="140">
        <v>3109</v>
      </c>
      <c r="D3137" s="142"/>
      <c r="E3137" s="142"/>
      <c r="F3137" s="142"/>
      <c r="G3137" s="142"/>
      <c r="H3137" s="141"/>
      <c r="I3137" s="8"/>
    </row>
    <row r="3138" spans="2:9" ht="15" hidden="1" customHeight="1" x14ac:dyDescent="0.25">
      <c r="B3138" s="7"/>
      <c r="C3138" s="140">
        <v>3110</v>
      </c>
      <c r="D3138" s="142"/>
      <c r="E3138" s="142"/>
      <c r="F3138" s="142"/>
      <c r="G3138" s="142"/>
      <c r="H3138" s="141"/>
      <c r="I3138" s="8"/>
    </row>
    <row r="3139" spans="2:9" ht="15" hidden="1" customHeight="1" x14ac:dyDescent="0.25">
      <c r="B3139" s="7"/>
      <c r="C3139" s="140">
        <v>3111</v>
      </c>
      <c r="D3139" s="142"/>
      <c r="E3139" s="142"/>
      <c r="F3139" s="142"/>
      <c r="G3139" s="142"/>
      <c r="H3139" s="141"/>
      <c r="I3139" s="8"/>
    </row>
    <row r="3140" spans="2:9" ht="15" hidden="1" customHeight="1" x14ac:dyDescent="0.25">
      <c r="B3140" s="7"/>
      <c r="C3140" s="140">
        <v>3112</v>
      </c>
      <c r="D3140" s="142"/>
      <c r="E3140" s="142"/>
      <c r="F3140" s="142"/>
      <c r="G3140" s="142"/>
      <c r="H3140" s="141"/>
      <c r="I3140" s="8"/>
    </row>
    <row r="3141" spans="2:9" ht="15" hidden="1" customHeight="1" x14ac:dyDescent="0.25">
      <c r="B3141" s="7"/>
      <c r="C3141" s="140">
        <v>3113</v>
      </c>
      <c r="D3141" s="142"/>
      <c r="E3141" s="142"/>
      <c r="F3141" s="142"/>
      <c r="G3141" s="142"/>
      <c r="H3141" s="141"/>
      <c r="I3141" s="8"/>
    </row>
    <row r="3142" spans="2:9" ht="15" hidden="1" customHeight="1" x14ac:dyDescent="0.25">
      <c r="B3142" s="7"/>
      <c r="C3142" s="140">
        <v>3114</v>
      </c>
      <c r="D3142" s="142"/>
      <c r="E3142" s="142"/>
      <c r="F3142" s="142"/>
      <c r="G3142" s="142"/>
      <c r="H3142" s="141"/>
      <c r="I3142" s="8"/>
    </row>
    <row r="3143" spans="2:9" ht="15" hidden="1" customHeight="1" x14ac:dyDescent="0.25">
      <c r="B3143" s="7"/>
      <c r="C3143" s="140">
        <v>3115</v>
      </c>
      <c r="D3143" s="142"/>
      <c r="E3143" s="142"/>
      <c r="F3143" s="142"/>
      <c r="G3143" s="142"/>
      <c r="H3143" s="141"/>
      <c r="I3143" s="8"/>
    </row>
    <row r="3144" spans="2:9" ht="15" hidden="1" customHeight="1" x14ac:dyDescent="0.25">
      <c r="B3144" s="7"/>
      <c r="C3144" s="140">
        <v>3116</v>
      </c>
      <c r="D3144" s="142"/>
      <c r="E3144" s="142"/>
      <c r="F3144" s="142"/>
      <c r="G3144" s="142"/>
      <c r="H3144" s="141"/>
      <c r="I3144" s="8"/>
    </row>
    <row r="3145" spans="2:9" ht="15" hidden="1" customHeight="1" x14ac:dyDescent="0.25">
      <c r="B3145" s="7"/>
      <c r="C3145" s="140">
        <v>3117</v>
      </c>
      <c r="D3145" s="142"/>
      <c r="E3145" s="142"/>
      <c r="F3145" s="142"/>
      <c r="G3145" s="142"/>
      <c r="H3145" s="141"/>
      <c r="I3145" s="8"/>
    </row>
    <row r="3146" spans="2:9" ht="15" hidden="1" customHeight="1" x14ac:dyDescent="0.25">
      <c r="B3146" s="7"/>
      <c r="C3146" s="140">
        <v>3118</v>
      </c>
      <c r="D3146" s="142"/>
      <c r="E3146" s="142"/>
      <c r="F3146" s="142"/>
      <c r="G3146" s="142"/>
      <c r="H3146" s="141"/>
      <c r="I3146" s="8"/>
    </row>
    <row r="3147" spans="2:9" ht="15" hidden="1" customHeight="1" x14ac:dyDescent="0.25">
      <c r="B3147" s="7"/>
      <c r="C3147" s="140">
        <v>3119</v>
      </c>
      <c r="D3147" s="142"/>
      <c r="E3147" s="142"/>
      <c r="F3147" s="142"/>
      <c r="G3147" s="142"/>
      <c r="H3147" s="141"/>
      <c r="I3147" s="8"/>
    </row>
    <row r="3148" spans="2:9" ht="15" hidden="1" customHeight="1" x14ac:dyDescent="0.25">
      <c r="B3148" s="7"/>
      <c r="C3148" s="140">
        <v>3120</v>
      </c>
      <c r="D3148" s="142"/>
      <c r="E3148" s="142"/>
      <c r="F3148" s="142"/>
      <c r="G3148" s="142"/>
      <c r="H3148" s="141"/>
      <c r="I3148" s="8"/>
    </row>
    <row r="3149" spans="2:9" ht="15" hidden="1" customHeight="1" x14ac:dyDescent="0.25">
      <c r="B3149" s="7"/>
      <c r="C3149" s="140">
        <v>3121</v>
      </c>
      <c r="D3149" s="142"/>
      <c r="E3149" s="142"/>
      <c r="F3149" s="142"/>
      <c r="G3149" s="142"/>
      <c r="H3149" s="141"/>
      <c r="I3149" s="8"/>
    </row>
    <row r="3150" spans="2:9" ht="15" hidden="1" customHeight="1" x14ac:dyDescent="0.25">
      <c r="B3150" s="7"/>
      <c r="C3150" s="140">
        <v>3122</v>
      </c>
      <c r="D3150" s="142"/>
      <c r="E3150" s="142"/>
      <c r="F3150" s="142"/>
      <c r="G3150" s="142"/>
      <c r="H3150" s="141"/>
      <c r="I3150" s="8"/>
    </row>
    <row r="3151" spans="2:9" ht="15" hidden="1" customHeight="1" x14ac:dyDescent="0.25">
      <c r="B3151" s="7"/>
      <c r="C3151" s="140">
        <v>3123</v>
      </c>
      <c r="D3151" s="142"/>
      <c r="E3151" s="142"/>
      <c r="F3151" s="142"/>
      <c r="G3151" s="142"/>
      <c r="H3151" s="141"/>
      <c r="I3151" s="8"/>
    </row>
    <row r="3152" spans="2:9" ht="15" hidden="1" customHeight="1" x14ac:dyDescent="0.25">
      <c r="B3152" s="7"/>
      <c r="C3152" s="140">
        <v>3124</v>
      </c>
      <c r="D3152" s="142"/>
      <c r="E3152" s="142"/>
      <c r="F3152" s="142"/>
      <c r="G3152" s="142"/>
      <c r="H3152" s="141"/>
      <c r="I3152" s="8"/>
    </row>
    <row r="3153" spans="2:9" ht="15" hidden="1" customHeight="1" x14ac:dyDescent="0.25">
      <c r="B3153" s="7"/>
      <c r="C3153" s="140">
        <v>3125</v>
      </c>
      <c r="D3153" s="142"/>
      <c r="E3153" s="142"/>
      <c r="F3153" s="142"/>
      <c r="G3153" s="142"/>
      <c r="H3153" s="141"/>
      <c r="I3153" s="8"/>
    </row>
    <row r="3154" spans="2:9" ht="15" hidden="1" customHeight="1" x14ac:dyDescent="0.25">
      <c r="B3154" s="7"/>
      <c r="C3154" s="140">
        <v>3126</v>
      </c>
      <c r="D3154" s="142"/>
      <c r="E3154" s="142"/>
      <c r="F3154" s="142"/>
      <c r="G3154" s="142"/>
      <c r="H3154" s="141"/>
      <c r="I3154" s="8"/>
    </row>
    <row r="3155" spans="2:9" ht="15" hidden="1" customHeight="1" x14ac:dyDescent="0.25">
      <c r="B3155" s="7"/>
      <c r="C3155" s="140">
        <v>3127</v>
      </c>
      <c r="D3155" s="142"/>
      <c r="E3155" s="142"/>
      <c r="F3155" s="142"/>
      <c r="G3155" s="142"/>
      <c r="H3155" s="141"/>
      <c r="I3155" s="8"/>
    </row>
    <row r="3156" spans="2:9" ht="15" hidden="1" customHeight="1" x14ac:dyDescent="0.25">
      <c r="B3156" s="7"/>
      <c r="C3156" s="140">
        <v>3128</v>
      </c>
      <c r="D3156" s="142"/>
      <c r="E3156" s="142"/>
      <c r="F3156" s="142"/>
      <c r="G3156" s="142"/>
      <c r="H3156" s="141"/>
      <c r="I3156" s="8"/>
    </row>
    <row r="3157" spans="2:9" ht="15" hidden="1" customHeight="1" x14ac:dyDescent="0.25">
      <c r="B3157" s="7"/>
      <c r="C3157" s="140">
        <v>3129</v>
      </c>
      <c r="D3157" s="142"/>
      <c r="E3157" s="142"/>
      <c r="F3157" s="142"/>
      <c r="G3157" s="142"/>
      <c r="H3157" s="141"/>
      <c r="I3157" s="8"/>
    </row>
    <row r="3158" spans="2:9" ht="15" hidden="1" customHeight="1" x14ac:dyDescent="0.25">
      <c r="B3158" s="7"/>
      <c r="C3158" s="140">
        <v>3130</v>
      </c>
      <c r="D3158" s="142"/>
      <c r="E3158" s="142"/>
      <c r="F3158" s="142"/>
      <c r="G3158" s="142"/>
      <c r="H3158" s="141"/>
      <c r="I3158" s="8"/>
    </row>
    <row r="3159" spans="2:9" ht="15" hidden="1" customHeight="1" x14ac:dyDescent="0.25">
      <c r="B3159" s="7"/>
      <c r="C3159" s="140">
        <v>3131</v>
      </c>
      <c r="D3159" s="142"/>
      <c r="E3159" s="142"/>
      <c r="F3159" s="142"/>
      <c r="G3159" s="142"/>
      <c r="H3159" s="141"/>
      <c r="I3159" s="8"/>
    </row>
    <row r="3160" spans="2:9" ht="15" hidden="1" customHeight="1" x14ac:dyDescent="0.25">
      <c r="B3160" s="7"/>
      <c r="C3160" s="140">
        <v>3132</v>
      </c>
      <c r="D3160" s="142"/>
      <c r="E3160" s="142"/>
      <c r="F3160" s="142"/>
      <c r="G3160" s="142"/>
      <c r="H3160" s="141"/>
      <c r="I3160" s="8"/>
    </row>
    <row r="3161" spans="2:9" ht="15" hidden="1" customHeight="1" x14ac:dyDescent="0.25">
      <c r="B3161" s="7"/>
      <c r="C3161" s="140">
        <v>3133</v>
      </c>
      <c r="D3161" s="142"/>
      <c r="E3161" s="142"/>
      <c r="F3161" s="142"/>
      <c r="G3161" s="142"/>
      <c r="H3161" s="141"/>
      <c r="I3161" s="8"/>
    </row>
    <row r="3162" spans="2:9" ht="15" hidden="1" customHeight="1" x14ac:dyDescent="0.25">
      <c r="B3162" s="7"/>
      <c r="C3162" s="140">
        <v>3134</v>
      </c>
      <c r="D3162" s="142"/>
      <c r="E3162" s="142"/>
      <c r="F3162" s="142"/>
      <c r="G3162" s="142"/>
      <c r="H3162" s="141"/>
      <c r="I3162" s="8"/>
    </row>
    <row r="3163" spans="2:9" ht="15" hidden="1" customHeight="1" x14ac:dyDescent="0.25">
      <c r="B3163" s="7"/>
      <c r="C3163" s="140">
        <v>3135</v>
      </c>
      <c r="D3163" s="142"/>
      <c r="E3163" s="142"/>
      <c r="F3163" s="142"/>
      <c r="G3163" s="142"/>
      <c r="H3163" s="141"/>
      <c r="I3163" s="8"/>
    </row>
    <row r="3164" spans="2:9" ht="15" hidden="1" customHeight="1" x14ac:dyDescent="0.25">
      <c r="B3164" s="7"/>
      <c r="C3164" s="140">
        <v>3136</v>
      </c>
      <c r="D3164" s="142"/>
      <c r="E3164" s="142"/>
      <c r="F3164" s="142"/>
      <c r="G3164" s="142"/>
      <c r="H3164" s="141"/>
      <c r="I3164" s="8"/>
    </row>
    <row r="3165" spans="2:9" ht="15" hidden="1" customHeight="1" x14ac:dyDescent="0.25">
      <c r="B3165" s="7"/>
      <c r="C3165" s="140">
        <v>3137</v>
      </c>
      <c r="D3165" s="142"/>
      <c r="E3165" s="142"/>
      <c r="F3165" s="142"/>
      <c r="G3165" s="142"/>
      <c r="H3165" s="141"/>
      <c r="I3165" s="8"/>
    </row>
    <row r="3166" spans="2:9" ht="15" hidden="1" customHeight="1" x14ac:dyDescent="0.25">
      <c r="B3166" s="7"/>
      <c r="C3166" s="140">
        <v>3138</v>
      </c>
      <c r="D3166" s="142"/>
      <c r="E3166" s="142"/>
      <c r="F3166" s="142"/>
      <c r="G3166" s="142"/>
      <c r="H3166" s="141"/>
      <c r="I3166" s="8"/>
    </row>
    <row r="3167" spans="2:9" ht="15" hidden="1" customHeight="1" x14ac:dyDescent="0.25">
      <c r="B3167" s="7"/>
      <c r="C3167" s="140">
        <v>3139</v>
      </c>
      <c r="D3167" s="142"/>
      <c r="E3167" s="142"/>
      <c r="F3167" s="142"/>
      <c r="G3167" s="142"/>
      <c r="H3167" s="141"/>
      <c r="I3167" s="8"/>
    </row>
    <row r="3168" spans="2:9" ht="15" hidden="1" customHeight="1" x14ac:dyDescent="0.25">
      <c r="B3168" s="7"/>
      <c r="C3168" s="140">
        <v>3140</v>
      </c>
      <c r="D3168" s="142"/>
      <c r="E3168" s="142"/>
      <c r="F3168" s="142"/>
      <c r="G3168" s="142"/>
      <c r="H3168" s="141"/>
      <c r="I3168" s="8"/>
    </row>
    <row r="3169" spans="2:9" ht="15" hidden="1" customHeight="1" x14ac:dyDescent="0.25">
      <c r="B3169" s="7"/>
      <c r="C3169" s="140">
        <v>3141</v>
      </c>
      <c r="D3169" s="142"/>
      <c r="E3169" s="142"/>
      <c r="F3169" s="142"/>
      <c r="G3169" s="142"/>
      <c r="H3169" s="141"/>
      <c r="I3169" s="8"/>
    </row>
    <row r="3170" spans="2:9" ht="15" hidden="1" customHeight="1" x14ac:dyDescent="0.25">
      <c r="B3170" s="7"/>
      <c r="C3170" s="140">
        <v>3142</v>
      </c>
      <c r="D3170" s="142"/>
      <c r="E3170" s="142"/>
      <c r="F3170" s="142"/>
      <c r="G3170" s="142"/>
      <c r="H3170" s="141"/>
      <c r="I3170" s="8"/>
    </row>
    <row r="3171" spans="2:9" ht="15" hidden="1" customHeight="1" x14ac:dyDescent="0.25">
      <c r="B3171" s="7"/>
      <c r="C3171" s="140">
        <v>3143</v>
      </c>
      <c r="D3171" s="142"/>
      <c r="E3171" s="142"/>
      <c r="F3171" s="142"/>
      <c r="G3171" s="142"/>
      <c r="H3171" s="141"/>
      <c r="I3171" s="8"/>
    </row>
    <row r="3172" spans="2:9" ht="15" hidden="1" customHeight="1" x14ac:dyDescent="0.25">
      <c r="B3172" s="7"/>
      <c r="C3172" s="140">
        <v>3144</v>
      </c>
      <c r="D3172" s="142"/>
      <c r="E3172" s="142"/>
      <c r="F3172" s="142"/>
      <c r="G3172" s="142"/>
      <c r="H3172" s="141"/>
      <c r="I3172" s="8"/>
    </row>
    <row r="3173" spans="2:9" ht="15" hidden="1" customHeight="1" x14ac:dyDescent="0.25">
      <c r="B3173" s="7"/>
      <c r="C3173" s="140">
        <v>3145</v>
      </c>
      <c r="D3173" s="142"/>
      <c r="E3173" s="142"/>
      <c r="F3173" s="142"/>
      <c r="G3173" s="142"/>
      <c r="H3173" s="141"/>
      <c r="I3173" s="8"/>
    </row>
    <row r="3174" spans="2:9" ht="15" hidden="1" customHeight="1" x14ac:dyDescent="0.25">
      <c r="B3174" s="7"/>
      <c r="C3174" s="140">
        <v>3146</v>
      </c>
      <c r="D3174" s="142"/>
      <c r="E3174" s="142"/>
      <c r="F3174" s="142"/>
      <c r="G3174" s="142"/>
      <c r="H3174" s="141"/>
      <c r="I3174" s="8"/>
    </row>
    <row r="3175" spans="2:9" ht="15" hidden="1" customHeight="1" x14ac:dyDescent="0.25">
      <c r="B3175" s="7"/>
      <c r="C3175" s="140">
        <v>3147</v>
      </c>
      <c r="D3175" s="142"/>
      <c r="E3175" s="142"/>
      <c r="F3175" s="142"/>
      <c r="G3175" s="142"/>
      <c r="H3175" s="141"/>
      <c r="I3175" s="8"/>
    </row>
    <row r="3176" spans="2:9" ht="15" hidden="1" customHeight="1" x14ac:dyDescent="0.25">
      <c r="B3176" s="7"/>
      <c r="C3176" s="140">
        <v>3148</v>
      </c>
      <c r="D3176" s="142"/>
      <c r="E3176" s="142"/>
      <c r="F3176" s="142"/>
      <c r="G3176" s="142"/>
      <c r="H3176" s="141"/>
      <c r="I3176" s="8"/>
    </row>
    <row r="3177" spans="2:9" ht="15" hidden="1" customHeight="1" x14ac:dyDescent="0.25">
      <c r="B3177" s="7"/>
      <c r="C3177" s="140">
        <v>3149</v>
      </c>
      <c r="D3177" s="142"/>
      <c r="E3177" s="142"/>
      <c r="F3177" s="142"/>
      <c r="G3177" s="142"/>
      <c r="H3177" s="141"/>
      <c r="I3177" s="8"/>
    </row>
    <row r="3178" spans="2:9" ht="15" hidden="1" customHeight="1" x14ac:dyDescent="0.25">
      <c r="B3178" s="7"/>
      <c r="C3178" s="140">
        <v>3150</v>
      </c>
      <c r="D3178" s="142"/>
      <c r="E3178" s="142"/>
      <c r="F3178" s="142"/>
      <c r="G3178" s="142"/>
      <c r="H3178" s="141"/>
      <c r="I3178" s="8"/>
    </row>
    <row r="3179" spans="2:9" ht="15" hidden="1" customHeight="1" x14ac:dyDescent="0.25">
      <c r="B3179" s="7"/>
      <c r="C3179" s="140">
        <v>3151</v>
      </c>
      <c r="D3179" s="142"/>
      <c r="E3179" s="142"/>
      <c r="F3179" s="142"/>
      <c r="G3179" s="142"/>
      <c r="H3179" s="141"/>
      <c r="I3179" s="8"/>
    </row>
    <row r="3180" spans="2:9" ht="15" hidden="1" customHeight="1" x14ac:dyDescent="0.25">
      <c r="B3180" s="7"/>
      <c r="C3180" s="140">
        <v>3152</v>
      </c>
      <c r="D3180" s="142"/>
      <c r="E3180" s="142"/>
      <c r="F3180" s="142"/>
      <c r="G3180" s="142"/>
      <c r="H3180" s="141"/>
      <c r="I3180" s="8"/>
    </row>
    <row r="3181" spans="2:9" ht="15" hidden="1" customHeight="1" x14ac:dyDescent="0.25">
      <c r="B3181" s="7"/>
      <c r="C3181" s="140">
        <v>3153</v>
      </c>
      <c r="D3181" s="142"/>
      <c r="E3181" s="142"/>
      <c r="F3181" s="142"/>
      <c r="G3181" s="142"/>
      <c r="H3181" s="141"/>
      <c r="I3181" s="8"/>
    </row>
    <row r="3182" spans="2:9" ht="15" hidden="1" customHeight="1" x14ac:dyDescent="0.25">
      <c r="B3182" s="7"/>
      <c r="C3182" s="140">
        <v>3154</v>
      </c>
      <c r="D3182" s="142"/>
      <c r="E3182" s="142"/>
      <c r="F3182" s="142"/>
      <c r="G3182" s="142"/>
      <c r="H3182" s="141"/>
      <c r="I3182" s="8"/>
    </row>
    <row r="3183" spans="2:9" ht="15" hidden="1" customHeight="1" x14ac:dyDescent="0.25">
      <c r="B3183" s="7"/>
      <c r="C3183" s="140">
        <v>3155</v>
      </c>
      <c r="D3183" s="142"/>
      <c r="E3183" s="142"/>
      <c r="F3183" s="142"/>
      <c r="G3183" s="142"/>
      <c r="H3183" s="141"/>
      <c r="I3183" s="8"/>
    </row>
    <row r="3184" spans="2:9" ht="15" hidden="1" customHeight="1" x14ac:dyDescent="0.25">
      <c r="B3184" s="7"/>
      <c r="C3184" s="140">
        <v>3156</v>
      </c>
      <c r="D3184" s="142"/>
      <c r="E3184" s="142"/>
      <c r="F3184" s="142"/>
      <c r="G3184" s="142"/>
      <c r="H3184" s="141"/>
      <c r="I3184" s="8"/>
    </row>
    <row r="3185" spans="2:9" ht="15" hidden="1" customHeight="1" x14ac:dyDescent="0.25">
      <c r="B3185" s="7"/>
      <c r="C3185" s="140">
        <v>3157</v>
      </c>
      <c r="D3185" s="142"/>
      <c r="E3185" s="142"/>
      <c r="F3185" s="142"/>
      <c r="G3185" s="142"/>
      <c r="H3185" s="141"/>
      <c r="I3185" s="8"/>
    </row>
    <row r="3186" spans="2:9" ht="15" hidden="1" customHeight="1" x14ac:dyDescent="0.25">
      <c r="B3186" s="7"/>
      <c r="C3186" s="140">
        <v>3158</v>
      </c>
      <c r="D3186" s="142"/>
      <c r="E3186" s="142"/>
      <c r="F3186" s="142"/>
      <c r="G3186" s="142"/>
      <c r="H3186" s="141"/>
      <c r="I3186" s="8"/>
    </row>
    <row r="3187" spans="2:9" ht="15" hidden="1" customHeight="1" x14ac:dyDescent="0.25">
      <c r="B3187" s="7"/>
      <c r="C3187" s="140">
        <v>3159</v>
      </c>
      <c r="D3187" s="142"/>
      <c r="E3187" s="142"/>
      <c r="F3187" s="142"/>
      <c r="G3187" s="142"/>
      <c r="H3187" s="141"/>
      <c r="I3187" s="8"/>
    </row>
    <row r="3188" spans="2:9" ht="15" hidden="1" customHeight="1" x14ac:dyDescent="0.25">
      <c r="B3188" s="7"/>
      <c r="C3188" s="140">
        <v>3160</v>
      </c>
      <c r="D3188" s="142"/>
      <c r="E3188" s="142"/>
      <c r="F3188" s="142"/>
      <c r="G3188" s="142"/>
      <c r="H3188" s="141"/>
      <c r="I3188" s="8"/>
    </row>
    <row r="3189" spans="2:9" ht="15" hidden="1" customHeight="1" x14ac:dyDescent="0.25">
      <c r="B3189" s="7"/>
      <c r="C3189" s="140">
        <v>3161</v>
      </c>
      <c r="D3189" s="142"/>
      <c r="E3189" s="142"/>
      <c r="F3189" s="142"/>
      <c r="G3189" s="142"/>
      <c r="H3189" s="141"/>
      <c r="I3189" s="8"/>
    </row>
    <row r="3190" spans="2:9" ht="15" hidden="1" customHeight="1" x14ac:dyDescent="0.25">
      <c r="B3190" s="7"/>
      <c r="C3190" s="140">
        <v>3162</v>
      </c>
      <c r="D3190" s="142"/>
      <c r="E3190" s="142"/>
      <c r="F3190" s="142"/>
      <c r="G3190" s="142"/>
      <c r="H3190" s="141"/>
      <c r="I3190" s="8"/>
    </row>
    <row r="3191" spans="2:9" ht="15" hidden="1" customHeight="1" x14ac:dyDescent="0.25">
      <c r="B3191" s="7"/>
      <c r="C3191" s="140">
        <v>3163</v>
      </c>
      <c r="D3191" s="142"/>
      <c r="E3191" s="142"/>
      <c r="F3191" s="142"/>
      <c r="G3191" s="142"/>
      <c r="H3191" s="141"/>
      <c r="I3191" s="8"/>
    </row>
    <row r="3192" spans="2:9" ht="15" hidden="1" customHeight="1" x14ac:dyDescent="0.25">
      <c r="B3192" s="7"/>
      <c r="C3192" s="140">
        <v>3164</v>
      </c>
      <c r="D3192" s="142"/>
      <c r="E3192" s="142"/>
      <c r="F3192" s="142"/>
      <c r="G3192" s="142"/>
      <c r="H3192" s="141"/>
      <c r="I3192" s="8"/>
    </row>
    <row r="3193" spans="2:9" ht="15" hidden="1" customHeight="1" x14ac:dyDescent="0.25">
      <c r="B3193" s="7"/>
      <c r="C3193" s="140">
        <v>3165</v>
      </c>
      <c r="D3193" s="142"/>
      <c r="E3193" s="142"/>
      <c r="F3193" s="142"/>
      <c r="G3193" s="142"/>
      <c r="H3193" s="141"/>
      <c r="I3193" s="8"/>
    </row>
    <row r="3194" spans="2:9" ht="15" hidden="1" customHeight="1" x14ac:dyDescent="0.25">
      <c r="B3194" s="7"/>
      <c r="C3194" s="140">
        <v>3166</v>
      </c>
      <c r="D3194" s="142"/>
      <c r="E3194" s="142"/>
      <c r="F3194" s="142"/>
      <c r="G3194" s="142"/>
      <c r="H3194" s="141"/>
      <c r="I3194" s="8"/>
    </row>
    <row r="3195" spans="2:9" ht="15" hidden="1" customHeight="1" x14ac:dyDescent="0.25">
      <c r="B3195" s="7"/>
      <c r="C3195" s="140">
        <v>3167</v>
      </c>
      <c r="D3195" s="142"/>
      <c r="E3195" s="142"/>
      <c r="F3195" s="142"/>
      <c r="G3195" s="142"/>
      <c r="H3195" s="141"/>
      <c r="I3195" s="8"/>
    </row>
    <row r="3196" spans="2:9" ht="15" hidden="1" customHeight="1" x14ac:dyDescent="0.25">
      <c r="B3196" s="7"/>
      <c r="C3196" s="140">
        <v>3168</v>
      </c>
      <c r="D3196" s="142"/>
      <c r="E3196" s="142"/>
      <c r="F3196" s="142"/>
      <c r="G3196" s="142"/>
      <c r="H3196" s="141"/>
      <c r="I3196" s="8"/>
    </row>
    <row r="3197" spans="2:9" ht="15" hidden="1" customHeight="1" x14ac:dyDescent="0.25">
      <c r="B3197" s="7"/>
      <c r="C3197" s="140">
        <v>3169</v>
      </c>
      <c r="D3197" s="142"/>
      <c r="E3197" s="142"/>
      <c r="F3197" s="142"/>
      <c r="G3197" s="142"/>
      <c r="H3197" s="141"/>
      <c r="I3197" s="8"/>
    </row>
    <row r="3198" spans="2:9" ht="15" hidden="1" customHeight="1" x14ac:dyDescent="0.25">
      <c r="B3198" s="7"/>
      <c r="C3198" s="140">
        <v>3170</v>
      </c>
      <c r="D3198" s="142"/>
      <c r="E3198" s="142"/>
      <c r="F3198" s="142"/>
      <c r="G3198" s="142"/>
      <c r="H3198" s="141"/>
      <c r="I3198" s="8"/>
    </row>
    <row r="3199" spans="2:9" ht="15" hidden="1" customHeight="1" x14ac:dyDescent="0.25">
      <c r="B3199" s="7"/>
      <c r="C3199" s="140">
        <v>3171</v>
      </c>
      <c r="D3199" s="142"/>
      <c r="E3199" s="142"/>
      <c r="F3199" s="142"/>
      <c r="G3199" s="142"/>
      <c r="H3199" s="141"/>
      <c r="I3199" s="8"/>
    </row>
    <row r="3200" spans="2:9" ht="15" hidden="1" customHeight="1" x14ac:dyDescent="0.25">
      <c r="B3200" s="7"/>
      <c r="C3200" s="140">
        <v>3172</v>
      </c>
      <c r="D3200" s="142"/>
      <c r="E3200" s="142"/>
      <c r="F3200" s="142"/>
      <c r="G3200" s="142"/>
      <c r="H3200" s="141"/>
      <c r="I3200" s="8"/>
    </row>
    <row r="3201" spans="2:9" ht="15" hidden="1" customHeight="1" x14ac:dyDescent="0.25">
      <c r="B3201" s="7"/>
      <c r="C3201" s="140">
        <v>3173</v>
      </c>
      <c r="D3201" s="142"/>
      <c r="E3201" s="142"/>
      <c r="F3201" s="142"/>
      <c r="G3201" s="142"/>
      <c r="H3201" s="141"/>
      <c r="I3201" s="8"/>
    </row>
    <row r="3202" spans="2:9" ht="15" hidden="1" customHeight="1" x14ac:dyDescent="0.25">
      <c r="B3202" s="7"/>
      <c r="C3202" s="140">
        <v>3174</v>
      </c>
      <c r="D3202" s="142"/>
      <c r="E3202" s="142"/>
      <c r="F3202" s="142"/>
      <c r="G3202" s="142"/>
      <c r="H3202" s="141"/>
      <c r="I3202" s="8"/>
    </row>
    <row r="3203" spans="2:9" ht="15" hidden="1" customHeight="1" x14ac:dyDescent="0.25">
      <c r="B3203" s="7"/>
      <c r="C3203" s="140">
        <v>3175</v>
      </c>
      <c r="D3203" s="142"/>
      <c r="E3203" s="142"/>
      <c r="F3203" s="142"/>
      <c r="G3203" s="142"/>
      <c r="H3203" s="141"/>
      <c r="I3203" s="8"/>
    </row>
    <row r="3204" spans="2:9" ht="15" hidden="1" customHeight="1" x14ac:dyDescent="0.25">
      <c r="B3204" s="7"/>
      <c r="C3204" s="140">
        <v>3176</v>
      </c>
      <c r="D3204" s="142"/>
      <c r="E3204" s="142"/>
      <c r="F3204" s="142"/>
      <c r="G3204" s="142"/>
      <c r="H3204" s="141"/>
      <c r="I3204" s="8"/>
    </row>
    <row r="3205" spans="2:9" ht="15" hidden="1" customHeight="1" x14ac:dyDescent="0.25">
      <c r="B3205" s="7"/>
      <c r="C3205" s="140">
        <v>3177</v>
      </c>
      <c r="D3205" s="142"/>
      <c r="E3205" s="142"/>
      <c r="F3205" s="142"/>
      <c r="G3205" s="142"/>
      <c r="H3205" s="141"/>
      <c r="I3205" s="8"/>
    </row>
    <row r="3206" spans="2:9" ht="15" hidden="1" customHeight="1" x14ac:dyDescent="0.25">
      <c r="B3206" s="7"/>
      <c r="C3206" s="140">
        <v>3178</v>
      </c>
      <c r="D3206" s="142"/>
      <c r="E3206" s="142"/>
      <c r="F3206" s="142"/>
      <c r="G3206" s="142"/>
      <c r="H3206" s="141"/>
      <c r="I3206" s="8"/>
    </row>
    <row r="3207" spans="2:9" ht="15" hidden="1" customHeight="1" x14ac:dyDescent="0.25">
      <c r="B3207" s="7"/>
      <c r="C3207" s="140">
        <v>3179</v>
      </c>
      <c r="D3207" s="142"/>
      <c r="E3207" s="142"/>
      <c r="F3207" s="142"/>
      <c r="G3207" s="142"/>
      <c r="H3207" s="141"/>
      <c r="I3207" s="8"/>
    </row>
    <row r="3208" spans="2:9" ht="15" hidden="1" customHeight="1" x14ac:dyDescent="0.25">
      <c r="B3208" s="7"/>
      <c r="C3208" s="140">
        <v>3180</v>
      </c>
      <c r="D3208" s="142"/>
      <c r="E3208" s="142"/>
      <c r="F3208" s="142"/>
      <c r="G3208" s="142"/>
      <c r="H3208" s="141"/>
      <c r="I3208" s="8"/>
    </row>
    <row r="3209" spans="2:9" ht="15" hidden="1" customHeight="1" x14ac:dyDescent="0.25">
      <c r="B3209" s="7"/>
      <c r="C3209" s="140">
        <v>3181</v>
      </c>
      <c r="D3209" s="142"/>
      <c r="E3209" s="142"/>
      <c r="F3209" s="142"/>
      <c r="G3209" s="142"/>
      <c r="H3209" s="141"/>
      <c r="I3209" s="8"/>
    </row>
    <row r="3210" spans="2:9" ht="15" hidden="1" customHeight="1" x14ac:dyDescent="0.25">
      <c r="B3210" s="7"/>
      <c r="C3210" s="140">
        <v>3182</v>
      </c>
      <c r="D3210" s="142"/>
      <c r="E3210" s="142"/>
      <c r="F3210" s="142"/>
      <c r="G3210" s="142"/>
      <c r="H3210" s="141"/>
      <c r="I3210" s="8"/>
    </row>
    <row r="3211" spans="2:9" ht="15" hidden="1" customHeight="1" x14ac:dyDescent="0.25">
      <c r="B3211" s="7"/>
      <c r="C3211" s="140">
        <v>3183</v>
      </c>
      <c r="D3211" s="142"/>
      <c r="E3211" s="142"/>
      <c r="F3211" s="142"/>
      <c r="G3211" s="142"/>
      <c r="H3211" s="141"/>
      <c r="I3211" s="8"/>
    </row>
    <row r="3212" spans="2:9" ht="15" hidden="1" customHeight="1" x14ac:dyDescent="0.25">
      <c r="B3212" s="7"/>
      <c r="C3212" s="140">
        <v>3184</v>
      </c>
      <c r="D3212" s="142"/>
      <c r="E3212" s="142"/>
      <c r="F3212" s="142"/>
      <c r="G3212" s="142"/>
      <c r="H3212" s="141"/>
      <c r="I3212" s="8"/>
    </row>
    <row r="3213" spans="2:9" ht="15" hidden="1" customHeight="1" x14ac:dyDescent="0.25">
      <c r="B3213" s="7"/>
      <c r="C3213" s="140">
        <v>3185</v>
      </c>
      <c r="D3213" s="142"/>
      <c r="E3213" s="142"/>
      <c r="F3213" s="142"/>
      <c r="G3213" s="142"/>
      <c r="H3213" s="141"/>
      <c r="I3213" s="8"/>
    </row>
    <row r="3214" spans="2:9" ht="15" hidden="1" customHeight="1" x14ac:dyDescent="0.25">
      <c r="B3214" s="7"/>
      <c r="C3214" s="140">
        <v>3186</v>
      </c>
      <c r="D3214" s="142"/>
      <c r="E3214" s="142"/>
      <c r="F3214" s="142"/>
      <c r="G3214" s="142"/>
      <c r="H3214" s="141"/>
      <c r="I3214" s="8"/>
    </row>
    <row r="3215" spans="2:9" ht="15" hidden="1" customHeight="1" x14ac:dyDescent="0.25">
      <c r="B3215" s="7"/>
      <c r="C3215" s="140">
        <v>3187</v>
      </c>
      <c r="D3215" s="142"/>
      <c r="E3215" s="142"/>
      <c r="F3215" s="142"/>
      <c r="G3215" s="142"/>
      <c r="H3215" s="141"/>
      <c r="I3215" s="8"/>
    </row>
    <row r="3216" spans="2:9" ht="15" hidden="1" customHeight="1" x14ac:dyDescent="0.25">
      <c r="B3216" s="7"/>
      <c r="C3216" s="140">
        <v>3188</v>
      </c>
      <c r="D3216" s="142"/>
      <c r="E3216" s="142"/>
      <c r="F3216" s="142"/>
      <c r="G3216" s="142"/>
      <c r="H3216" s="141"/>
      <c r="I3216" s="8"/>
    </row>
    <row r="3217" spans="2:9" ht="15" hidden="1" customHeight="1" x14ac:dyDescent="0.25">
      <c r="B3217" s="7"/>
      <c r="C3217" s="140">
        <v>3189</v>
      </c>
      <c r="D3217" s="142"/>
      <c r="E3217" s="142"/>
      <c r="F3217" s="142"/>
      <c r="G3217" s="142"/>
      <c r="H3217" s="141"/>
      <c r="I3217" s="8"/>
    </row>
    <row r="3218" spans="2:9" ht="15" hidden="1" customHeight="1" x14ac:dyDescent="0.25">
      <c r="B3218" s="7"/>
      <c r="C3218" s="140">
        <v>3190</v>
      </c>
      <c r="D3218" s="142"/>
      <c r="E3218" s="142"/>
      <c r="F3218" s="142"/>
      <c r="G3218" s="142"/>
      <c r="H3218" s="141"/>
      <c r="I3218" s="8"/>
    </row>
    <row r="3219" spans="2:9" ht="15" hidden="1" customHeight="1" x14ac:dyDescent="0.25">
      <c r="B3219" s="7"/>
      <c r="C3219" s="140">
        <v>3191</v>
      </c>
      <c r="D3219" s="142"/>
      <c r="E3219" s="142"/>
      <c r="F3219" s="142"/>
      <c r="G3219" s="142"/>
      <c r="H3219" s="141"/>
      <c r="I3219" s="8"/>
    </row>
    <row r="3220" spans="2:9" ht="15" hidden="1" customHeight="1" x14ac:dyDescent="0.25">
      <c r="B3220" s="7"/>
      <c r="C3220" s="140">
        <v>3192</v>
      </c>
      <c r="D3220" s="142"/>
      <c r="E3220" s="142"/>
      <c r="F3220" s="142"/>
      <c r="G3220" s="142"/>
      <c r="H3220" s="141"/>
      <c r="I3220" s="8"/>
    </row>
    <row r="3221" spans="2:9" ht="15" hidden="1" customHeight="1" x14ac:dyDescent="0.25">
      <c r="B3221" s="7"/>
      <c r="C3221" s="140">
        <v>3193</v>
      </c>
      <c r="D3221" s="142"/>
      <c r="E3221" s="142"/>
      <c r="F3221" s="142"/>
      <c r="G3221" s="142"/>
      <c r="H3221" s="141"/>
      <c r="I3221" s="8"/>
    </row>
    <row r="3222" spans="2:9" ht="15" hidden="1" customHeight="1" x14ac:dyDescent="0.25">
      <c r="B3222" s="7"/>
      <c r="C3222" s="140">
        <v>3194</v>
      </c>
      <c r="D3222" s="142"/>
      <c r="E3222" s="142"/>
      <c r="F3222" s="142"/>
      <c r="G3222" s="142"/>
      <c r="H3222" s="141"/>
      <c r="I3222" s="8"/>
    </row>
    <row r="3223" spans="2:9" ht="15" hidden="1" customHeight="1" x14ac:dyDescent="0.25">
      <c r="B3223" s="7"/>
      <c r="C3223" s="140">
        <v>3195</v>
      </c>
      <c r="D3223" s="142"/>
      <c r="E3223" s="142"/>
      <c r="F3223" s="142"/>
      <c r="G3223" s="142"/>
      <c r="H3223" s="141"/>
      <c r="I3223" s="8"/>
    </row>
    <row r="3224" spans="2:9" ht="15" hidden="1" customHeight="1" x14ac:dyDescent="0.25">
      <c r="B3224" s="7"/>
      <c r="C3224" s="140">
        <v>3196</v>
      </c>
      <c r="D3224" s="142"/>
      <c r="E3224" s="142"/>
      <c r="F3224" s="142"/>
      <c r="G3224" s="142"/>
      <c r="H3224" s="141"/>
      <c r="I3224" s="8"/>
    </row>
    <row r="3225" spans="2:9" ht="15" hidden="1" customHeight="1" x14ac:dyDescent="0.25">
      <c r="B3225" s="7"/>
      <c r="C3225" s="140">
        <v>3197</v>
      </c>
      <c r="D3225" s="142"/>
      <c r="E3225" s="142"/>
      <c r="F3225" s="142"/>
      <c r="G3225" s="142"/>
      <c r="H3225" s="141"/>
      <c r="I3225" s="8"/>
    </row>
    <row r="3226" spans="2:9" ht="15" hidden="1" customHeight="1" x14ac:dyDescent="0.25">
      <c r="B3226" s="7"/>
      <c r="C3226" s="140">
        <v>3198</v>
      </c>
      <c r="D3226" s="142"/>
      <c r="E3226" s="142"/>
      <c r="F3226" s="142"/>
      <c r="G3226" s="142"/>
      <c r="H3226" s="141"/>
      <c r="I3226" s="8"/>
    </row>
    <row r="3227" spans="2:9" ht="15" hidden="1" customHeight="1" x14ac:dyDescent="0.25">
      <c r="B3227" s="7"/>
      <c r="C3227" s="140">
        <v>3199</v>
      </c>
      <c r="D3227" s="142"/>
      <c r="E3227" s="142"/>
      <c r="F3227" s="142"/>
      <c r="G3227" s="142"/>
      <c r="H3227" s="141"/>
      <c r="I3227" s="8"/>
    </row>
    <row r="3228" spans="2:9" ht="15" hidden="1" customHeight="1" x14ac:dyDescent="0.25">
      <c r="B3228" s="7"/>
      <c r="C3228" s="140">
        <v>3200</v>
      </c>
      <c r="D3228" s="142"/>
      <c r="E3228" s="142"/>
      <c r="F3228" s="142"/>
      <c r="G3228" s="142"/>
      <c r="H3228" s="141"/>
      <c r="I3228" s="8"/>
    </row>
    <row r="3229" spans="2:9" ht="15" hidden="1" customHeight="1" x14ac:dyDescent="0.25">
      <c r="B3229" s="7"/>
      <c r="C3229" s="140">
        <v>3201</v>
      </c>
      <c r="D3229" s="142"/>
      <c r="E3229" s="142"/>
      <c r="F3229" s="142"/>
      <c r="G3229" s="142"/>
      <c r="H3229" s="141"/>
      <c r="I3229" s="8"/>
    </row>
    <row r="3230" spans="2:9" ht="15" hidden="1" customHeight="1" x14ac:dyDescent="0.25">
      <c r="B3230" s="7"/>
      <c r="C3230" s="140">
        <v>3202</v>
      </c>
      <c r="D3230" s="142"/>
      <c r="E3230" s="142"/>
      <c r="F3230" s="142"/>
      <c r="G3230" s="142"/>
      <c r="H3230" s="141"/>
      <c r="I3230" s="8"/>
    </row>
    <row r="3231" spans="2:9" ht="15" hidden="1" customHeight="1" x14ac:dyDescent="0.25">
      <c r="B3231" s="7"/>
      <c r="C3231" s="140">
        <v>3203</v>
      </c>
      <c r="D3231" s="142"/>
      <c r="E3231" s="142"/>
      <c r="F3231" s="142"/>
      <c r="G3231" s="142"/>
      <c r="H3231" s="141"/>
      <c r="I3231" s="8"/>
    </row>
    <row r="3232" spans="2:9" ht="15" hidden="1" customHeight="1" x14ac:dyDescent="0.25">
      <c r="B3232" s="7"/>
      <c r="C3232" s="140">
        <v>3204</v>
      </c>
      <c r="D3232" s="142"/>
      <c r="E3232" s="142"/>
      <c r="F3232" s="142"/>
      <c r="G3232" s="142"/>
      <c r="H3232" s="141"/>
      <c r="I3232" s="8"/>
    </row>
    <row r="3233" spans="2:9" ht="15" hidden="1" customHeight="1" x14ac:dyDescent="0.25">
      <c r="B3233" s="7"/>
      <c r="C3233" s="140">
        <v>3205</v>
      </c>
      <c r="D3233" s="142"/>
      <c r="E3233" s="142"/>
      <c r="F3233" s="142"/>
      <c r="G3233" s="142"/>
      <c r="H3233" s="141"/>
      <c r="I3233" s="8"/>
    </row>
    <row r="3234" spans="2:9" ht="15" hidden="1" customHeight="1" x14ac:dyDescent="0.25">
      <c r="B3234" s="7"/>
      <c r="C3234" s="140">
        <v>3206</v>
      </c>
      <c r="D3234" s="142"/>
      <c r="E3234" s="142"/>
      <c r="F3234" s="142"/>
      <c r="G3234" s="142"/>
      <c r="H3234" s="141"/>
      <c r="I3234" s="8"/>
    </row>
    <row r="3235" spans="2:9" ht="15" hidden="1" customHeight="1" x14ac:dyDescent="0.25">
      <c r="B3235" s="7"/>
      <c r="C3235" s="140">
        <v>3207</v>
      </c>
      <c r="D3235" s="142"/>
      <c r="E3235" s="142"/>
      <c r="F3235" s="142"/>
      <c r="G3235" s="142"/>
      <c r="H3235" s="141"/>
      <c r="I3235" s="8"/>
    </row>
    <row r="3236" spans="2:9" ht="15" hidden="1" customHeight="1" x14ac:dyDescent="0.25">
      <c r="B3236" s="7"/>
      <c r="C3236" s="140">
        <v>3208</v>
      </c>
      <c r="D3236" s="142"/>
      <c r="E3236" s="142"/>
      <c r="F3236" s="142"/>
      <c r="G3236" s="142"/>
      <c r="H3236" s="141"/>
      <c r="I3236" s="8"/>
    </row>
    <row r="3237" spans="2:9" ht="15" hidden="1" customHeight="1" x14ac:dyDescent="0.25">
      <c r="B3237" s="7"/>
      <c r="C3237" s="140">
        <v>3209</v>
      </c>
      <c r="D3237" s="142"/>
      <c r="E3237" s="142"/>
      <c r="F3237" s="142"/>
      <c r="G3237" s="142"/>
      <c r="H3237" s="141"/>
      <c r="I3237" s="8"/>
    </row>
    <row r="3238" spans="2:9" ht="15" hidden="1" customHeight="1" x14ac:dyDescent="0.25">
      <c r="B3238" s="7"/>
      <c r="C3238" s="140">
        <v>3210</v>
      </c>
      <c r="D3238" s="142"/>
      <c r="E3238" s="142"/>
      <c r="F3238" s="142"/>
      <c r="G3238" s="142"/>
      <c r="H3238" s="141"/>
      <c r="I3238" s="8"/>
    </row>
    <row r="3239" spans="2:9" ht="15" hidden="1" customHeight="1" x14ac:dyDescent="0.25">
      <c r="B3239" s="7"/>
      <c r="C3239" s="140">
        <v>3211</v>
      </c>
      <c r="D3239" s="142"/>
      <c r="E3239" s="142"/>
      <c r="F3239" s="142"/>
      <c r="G3239" s="142"/>
      <c r="H3239" s="141"/>
      <c r="I3239" s="8"/>
    </row>
    <row r="3240" spans="2:9" ht="15" hidden="1" customHeight="1" x14ac:dyDescent="0.25">
      <c r="B3240" s="7"/>
      <c r="C3240" s="140">
        <v>3212</v>
      </c>
      <c r="D3240" s="142"/>
      <c r="E3240" s="142"/>
      <c r="F3240" s="142"/>
      <c r="G3240" s="142"/>
      <c r="H3240" s="141"/>
      <c r="I3240" s="8"/>
    </row>
    <row r="3241" spans="2:9" ht="15" hidden="1" customHeight="1" x14ac:dyDescent="0.25">
      <c r="B3241" s="7"/>
      <c r="C3241" s="140">
        <v>3213</v>
      </c>
      <c r="D3241" s="142"/>
      <c r="E3241" s="142"/>
      <c r="F3241" s="142"/>
      <c r="G3241" s="142"/>
      <c r="H3241" s="141"/>
      <c r="I3241" s="8"/>
    </row>
    <row r="3242" spans="2:9" ht="15" hidden="1" customHeight="1" x14ac:dyDescent="0.25">
      <c r="B3242" s="7"/>
      <c r="C3242" s="140">
        <v>3214</v>
      </c>
      <c r="D3242" s="142"/>
      <c r="E3242" s="142"/>
      <c r="F3242" s="142"/>
      <c r="G3242" s="142"/>
      <c r="H3242" s="141"/>
      <c r="I3242" s="8"/>
    </row>
    <row r="3243" spans="2:9" ht="15" hidden="1" customHeight="1" x14ac:dyDescent="0.25">
      <c r="B3243" s="7"/>
      <c r="C3243" s="140">
        <v>3215</v>
      </c>
      <c r="D3243" s="142"/>
      <c r="E3243" s="142"/>
      <c r="F3243" s="142"/>
      <c r="G3243" s="142"/>
      <c r="H3243" s="141"/>
      <c r="I3243" s="8"/>
    </row>
    <row r="3244" spans="2:9" ht="15" hidden="1" customHeight="1" x14ac:dyDescent="0.25">
      <c r="B3244" s="7"/>
      <c r="C3244" s="140">
        <v>3216</v>
      </c>
      <c r="D3244" s="142"/>
      <c r="E3244" s="142"/>
      <c r="F3244" s="142"/>
      <c r="G3244" s="142"/>
      <c r="H3244" s="141"/>
      <c r="I3244" s="8"/>
    </row>
    <row r="3245" spans="2:9" ht="15" hidden="1" customHeight="1" x14ac:dyDescent="0.25">
      <c r="B3245" s="7"/>
      <c r="C3245" s="140">
        <v>3217</v>
      </c>
      <c r="D3245" s="142"/>
      <c r="E3245" s="142"/>
      <c r="F3245" s="142"/>
      <c r="G3245" s="142"/>
      <c r="H3245" s="141"/>
      <c r="I3245" s="8"/>
    </row>
    <row r="3246" spans="2:9" ht="15" hidden="1" customHeight="1" x14ac:dyDescent="0.25">
      <c r="B3246" s="7"/>
      <c r="C3246" s="140">
        <v>3218</v>
      </c>
      <c r="D3246" s="142"/>
      <c r="E3246" s="142"/>
      <c r="F3246" s="142"/>
      <c r="G3246" s="142"/>
      <c r="H3246" s="141"/>
      <c r="I3246" s="8"/>
    </row>
    <row r="3247" spans="2:9" ht="15" hidden="1" customHeight="1" x14ac:dyDescent="0.25">
      <c r="B3247" s="7"/>
      <c r="C3247" s="140">
        <v>3219</v>
      </c>
      <c r="D3247" s="142"/>
      <c r="E3247" s="142"/>
      <c r="F3247" s="142"/>
      <c r="G3247" s="142"/>
      <c r="H3247" s="141"/>
      <c r="I3247" s="8"/>
    </row>
    <row r="3248" spans="2:9" ht="15" hidden="1" customHeight="1" x14ac:dyDescent="0.25">
      <c r="B3248" s="7"/>
      <c r="C3248" s="140">
        <v>3220</v>
      </c>
      <c r="D3248" s="142"/>
      <c r="E3248" s="142"/>
      <c r="F3248" s="142"/>
      <c r="G3248" s="142"/>
      <c r="H3248" s="141"/>
      <c r="I3248" s="8"/>
    </row>
    <row r="3249" spans="2:9" ht="15" hidden="1" customHeight="1" x14ac:dyDescent="0.25">
      <c r="B3249" s="7"/>
      <c r="C3249" s="140">
        <v>3221</v>
      </c>
      <c r="D3249" s="142"/>
      <c r="E3249" s="142"/>
      <c r="F3249" s="142"/>
      <c r="G3249" s="142"/>
      <c r="H3249" s="141"/>
      <c r="I3249" s="8"/>
    </row>
    <row r="3250" spans="2:9" ht="15" hidden="1" customHeight="1" x14ac:dyDescent="0.25">
      <c r="B3250" s="7"/>
      <c r="C3250" s="140">
        <v>3222</v>
      </c>
      <c r="D3250" s="142"/>
      <c r="E3250" s="142"/>
      <c r="F3250" s="142"/>
      <c r="G3250" s="142"/>
      <c r="H3250" s="141"/>
      <c r="I3250" s="8"/>
    </row>
    <row r="3251" spans="2:9" ht="15" hidden="1" customHeight="1" x14ac:dyDescent="0.25">
      <c r="B3251" s="7"/>
      <c r="C3251" s="140">
        <v>3223</v>
      </c>
      <c r="D3251" s="142"/>
      <c r="E3251" s="142"/>
      <c r="F3251" s="142"/>
      <c r="G3251" s="142"/>
      <c r="H3251" s="141"/>
      <c r="I3251" s="8"/>
    </row>
    <row r="3252" spans="2:9" ht="15" hidden="1" customHeight="1" x14ac:dyDescent="0.25">
      <c r="B3252" s="7"/>
      <c r="C3252" s="140">
        <v>3224</v>
      </c>
      <c r="D3252" s="142"/>
      <c r="E3252" s="142"/>
      <c r="F3252" s="142"/>
      <c r="G3252" s="142"/>
      <c r="H3252" s="141"/>
      <c r="I3252" s="8"/>
    </row>
    <row r="3253" spans="2:9" ht="15" hidden="1" customHeight="1" x14ac:dyDescent="0.25">
      <c r="B3253" s="7"/>
      <c r="C3253" s="140">
        <v>3225</v>
      </c>
      <c r="D3253" s="142"/>
      <c r="E3253" s="142"/>
      <c r="F3253" s="142"/>
      <c r="G3253" s="142"/>
      <c r="H3253" s="141"/>
      <c r="I3253" s="8"/>
    </row>
    <row r="3254" spans="2:9" ht="15" hidden="1" customHeight="1" x14ac:dyDescent="0.25">
      <c r="B3254" s="7"/>
      <c r="C3254" s="140">
        <v>3226</v>
      </c>
      <c r="D3254" s="142"/>
      <c r="E3254" s="142"/>
      <c r="F3254" s="142"/>
      <c r="G3254" s="142"/>
      <c r="H3254" s="141"/>
      <c r="I3254" s="8"/>
    </row>
    <row r="3255" spans="2:9" ht="15" hidden="1" customHeight="1" x14ac:dyDescent="0.25">
      <c r="B3255" s="7"/>
      <c r="C3255" s="140">
        <v>3227</v>
      </c>
      <c r="D3255" s="142"/>
      <c r="E3255" s="142"/>
      <c r="F3255" s="142"/>
      <c r="G3255" s="142"/>
      <c r="H3255" s="141"/>
      <c r="I3255" s="8"/>
    </row>
    <row r="3256" spans="2:9" ht="15" hidden="1" customHeight="1" x14ac:dyDescent="0.25">
      <c r="B3256" s="7"/>
      <c r="C3256" s="140">
        <v>3228</v>
      </c>
      <c r="D3256" s="142"/>
      <c r="E3256" s="142"/>
      <c r="F3256" s="142"/>
      <c r="G3256" s="142"/>
      <c r="H3256" s="141"/>
      <c r="I3256" s="8"/>
    </row>
    <row r="3257" spans="2:9" ht="15" hidden="1" customHeight="1" x14ac:dyDescent="0.25">
      <c r="B3257" s="7"/>
      <c r="C3257" s="140">
        <v>3229</v>
      </c>
      <c r="D3257" s="142"/>
      <c r="E3257" s="142"/>
      <c r="F3257" s="142"/>
      <c r="G3257" s="142"/>
      <c r="H3257" s="141"/>
      <c r="I3257" s="8"/>
    </row>
    <row r="3258" spans="2:9" ht="15" hidden="1" customHeight="1" x14ac:dyDescent="0.25">
      <c r="B3258" s="7"/>
      <c r="C3258" s="140">
        <v>3230</v>
      </c>
      <c r="D3258" s="142"/>
      <c r="E3258" s="142"/>
      <c r="F3258" s="142"/>
      <c r="G3258" s="142"/>
      <c r="H3258" s="141"/>
      <c r="I3258" s="8"/>
    </row>
    <row r="3259" spans="2:9" ht="15" hidden="1" customHeight="1" x14ac:dyDescent="0.25">
      <c r="B3259" s="7"/>
      <c r="C3259" s="140">
        <v>3231</v>
      </c>
      <c r="D3259" s="142"/>
      <c r="E3259" s="142"/>
      <c r="F3259" s="142"/>
      <c r="G3259" s="142"/>
      <c r="H3259" s="141"/>
      <c r="I3259" s="8"/>
    </row>
    <row r="3260" spans="2:9" ht="15" hidden="1" customHeight="1" x14ac:dyDescent="0.25">
      <c r="B3260" s="7"/>
      <c r="C3260" s="140">
        <v>3232</v>
      </c>
      <c r="D3260" s="142"/>
      <c r="E3260" s="142"/>
      <c r="F3260" s="142"/>
      <c r="G3260" s="142"/>
      <c r="H3260" s="141"/>
      <c r="I3260" s="8"/>
    </row>
    <row r="3261" spans="2:9" ht="15" hidden="1" customHeight="1" x14ac:dyDescent="0.25">
      <c r="B3261" s="7"/>
      <c r="C3261" s="140">
        <v>3233</v>
      </c>
      <c r="D3261" s="142"/>
      <c r="E3261" s="142"/>
      <c r="F3261" s="142"/>
      <c r="G3261" s="142"/>
      <c r="H3261" s="141"/>
      <c r="I3261" s="8"/>
    </row>
    <row r="3262" spans="2:9" ht="15" hidden="1" customHeight="1" x14ac:dyDescent="0.25">
      <c r="B3262" s="7"/>
      <c r="C3262" s="140">
        <v>3234</v>
      </c>
      <c r="D3262" s="142"/>
      <c r="E3262" s="142"/>
      <c r="F3262" s="142"/>
      <c r="G3262" s="142"/>
      <c r="H3262" s="141"/>
      <c r="I3262" s="8"/>
    </row>
    <row r="3263" spans="2:9" ht="15" hidden="1" customHeight="1" x14ac:dyDescent="0.25">
      <c r="B3263" s="7"/>
      <c r="C3263" s="140">
        <v>3235</v>
      </c>
      <c r="D3263" s="142"/>
      <c r="E3263" s="142"/>
      <c r="F3263" s="142"/>
      <c r="G3263" s="142"/>
      <c r="H3263" s="141"/>
      <c r="I3263" s="8"/>
    </row>
    <row r="3264" spans="2:9" ht="15" hidden="1" customHeight="1" x14ac:dyDescent="0.25">
      <c r="B3264" s="7"/>
      <c r="C3264" s="140">
        <v>3236</v>
      </c>
      <c r="D3264" s="142"/>
      <c r="E3264" s="142"/>
      <c r="F3264" s="142"/>
      <c r="G3264" s="142"/>
      <c r="H3264" s="141"/>
      <c r="I3264" s="8"/>
    </row>
    <row r="3265" spans="2:9" ht="15" hidden="1" customHeight="1" x14ac:dyDescent="0.25">
      <c r="B3265" s="7"/>
      <c r="C3265" s="140">
        <v>3237</v>
      </c>
      <c r="D3265" s="142"/>
      <c r="E3265" s="142"/>
      <c r="F3265" s="142"/>
      <c r="G3265" s="142"/>
      <c r="H3265" s="141"/>
      <c r="I3265" s="8"/>
    </row>
    <row r="3266" spans="2:9" ht="15" hidden="1" customHeight="1" x14ac:dyDescent="0.25">
      <c r="B3266" s="7"/>
      <c r="C3266" s="140">
        <v>3238</v>
      </c>
      <c r="D3266" s="142"/>
      <c r="E3266" s="142"/>
      <c r="F3266" s="142"/>
      <c r="G3266" s="142"/>
      <c r="H3266" s="141"/>
      <c r="I3266" s="8"/>
    </row>
    <row r="3267" spans="2:9" ht="15" hidden="1" customHeight="1" x14ac:dyDescent="0.25">
      <c r="B3267" s="7"/>
      <c r="C3267" s="140">
        <v>3239</v>
      </c>
      <c r="D3267" s="142"/>
      <c r="E3267" s="142"/>
      <c r="F3267" s="142"/>
      <c r="G3267" s="142"/>
      <c r="H3267" s="141"/>
      <c r="I3267" s="8"/>
    </row>
    <row r="3268" spans="2:9" ht="15" hidden="1" customHeight="1" x14ac:dyDescent="0.25">
      <c r="B3268" s="7"/>
      <c r="C3268" s="140">
        <v>3240</v>
      </c>
      <c r="D3268" s="142"/>
      <c r="E3268" s="142"/>
      <c r="F3268" s="142"/>
      <c r="G3268" s="142"/>
      <c r="H3268" s="141"/>
      <c r="I3268" s="8"/>
    </row>
    <row r="3269" spans="2:9" ht="15" hidden="1" customHeight="1" x14ac:dyDescent="0.25">
      <c r="B3269" s="7"/>
      <c r="C3269" s="140">
        <v>3241</v>
      </c>
      <c r="D3269" s="142"/>
      <c r="E3269" s="142"/>
      <c r="F3269" s="142"/>
      <c r="G3269" s="142"/>
      <c r="H3269" s="141"/>
      <c r="I3269" s="8"/>
    </row>
    <row r="3270" spans="2:9" ht="15" hidden="1" customHeight="1" x14ac:dyDescent="0.25">
      <c r="B3270" s="7"/>
      <c r="C3270" s="140">
        <v>3242</v>
      </c>
      <c r="D3270" s="142"/>
      <c r="E3270" s="142"/>
      <c r="F3270" s="142"/>
      <c r="G3270" s="142"/>
      <c r="H3270" s="141"/>
      <c r="I3270" s="8"/>
    </row>
    <row r="3271" spans="2:9" ht="15" hidden="1" customHeight="1" x14ac:dyDescent="0.25">
      <c r="B3271" s="7"/>
      <c r="C3271" s="140">
        <v>3243</v>
      </c>
      <c r="D3271" s="142"/>
      <c r="E3271" s="142"/>
      <c r="F3271" s="142"/>
      <c r="G3271" s="142"/>
      <c r="H3271" s="141"/>
      <c r="I3271" s="8"/>
    </row>
    <row r="3272" spans="2:9" ht="15" hidden="1" customHeight="1" x14ac:dyDescent="0.25">
      <c r="B3272" s="7"/>
      <c r="C3272" s="140">
        <v>3244</v>
      </c>
      <c r="D3272" s="142"/>
      <c r="E3272" s="142"/>
      <c r="F3272" s="142"/>
      <c r="G3272" s="142"/>
      <c r="H3272" s="141"/>
      <c r="I3272" s="8"/>
    </row>
    <row r="3273" spans="2:9" ht="15" hidden="1" customHeight="1" x14ac:dyDescent="0.25">
      <c r="B3273" s="7"/>
      <c r="C3273" s="140">
        <v>3245</v>
      </c>
      <c r="D3273" s="142"/>
      <c r="E3273" s="142"/>
      <c r="F3273" s="142"/>
      <c r="G3273" s="142"/>
      <c r="H3273" s="141"/>
      <c r="I3273" s="8"/>
    </row>
    <row r="3274" spans="2:9" ht="15" hidden="1" customHeight="1" x14ac:dyDescent="0.25">
      <c r="B3274" s="7"/>
      <c r="C3274" s="140">
        <v>3246</v>
      </c>
      <c r="D3274" s="142"/>
      <c r="E3274" s="142"/>
      <c r="F3274" s="142"/>
      <c r="G3274" s="142"/>
      <c r="H3274" s="141"/>
      <c r="I3274" s="8"/>
    </row>
    <row r="3275" spans="2:9" ht="15" hidden="1" customHeight="1" x14ac:dyDescent="0.25">
      <c r="B3275" s="7"/>
      <c r="C3275" s="140">
        <v>3247</v>
      </c>
      <c r="D3275" s="142"/>
      <c r="E3275" s="142"/>
      <c r="F3275" s="142"/>
      <c r="G3275" s="142"/>
      <c r="H3275" s="141"/>
      <c r="I3275" s="8"/>
    </row>
    <row r="3276" spans="2:9" ht="15" hidden="1" customHeight="1" x14ac:dyDescent="0.25">
      <c r="B3276" s="7"/>
      <c r="C3276" s="140">
        <v>3248</v>
      </c>
      <c r="D3276" s="142"/>
      <c r="E3276" s="142"/>
      <c r="F3276" s="142"/>
      <c r="G3276" s="142"/>
      <c r="H3276" s="141"/>
      <c r="I3276" s="8"/>
    </row>
    <row r="3277" spans="2:9" ht="15" hidden="1" customHeight="1" x14ac:dyDescent="0.25">
      <c r="B3277" s="7"/>
      <c r="C3277" s="140">
        <v>3249</v>
      </c>
      <c r="D3277" s="142"/>
      <c r="E3277" s="142"/>
      <c r="F3277" s="142"/>
      <c r="G3277" s="142"/>
      <c r="H3277" s="141"/>
      <c r="I3277" s="8"/>
    </row>
    <row r="3278" spans="2:9" ht="15" hidden="1" customHeight="1" x14ac:dyDescent="0.25">
      <c r="B3278" s="7"/>
      <c r="C3278" s="140">
        <v>3250</v>
      </c>
      <c r="D3278" s="142"/>
      <c r="E3278" s="142"/>
      <c r="F3278" s="142"/>
      <c r="G3278" s="142"/>
      <c r="H3278" s="141"/>
      <c r="I3278" s="8"/>
    </row>
    <row r="3279" spans="2:9" ht="15" hidden="1" customHeight="1" x14ac:dyDescent="0.25">
      <c r="B3279" s="7"/>
      <c r="C3279" s="140">
        <v>3251</v>
      </c>
      <c r="D3279" s="142"/>
      <c r="E3279" s="142"/>
      <c r="F3279" s="142"/>
      <c r="G3279" s="142"/>
      <c r="H3279" s="141"/>
      <c r="I3279" s="8"/>
    </row>
    <row r="3280" spans="2:9" ht="15" hidden="1" customHeight="1" x14ac:dyDescent="0.25">
      <c r="B3280" s="7"/>
      <c r="C3280" s="140">
        <v>3252</v>
      </c>
      <c r="D3280" s="142"/>
      <c r="E3280" s="142"/>
      <c r="F3280" s="142"/>
      <c r="G3280" s="142"/>
      <c r="H3280" s="141"/>
      <c r="I3280" s="8"/>
    </row>
    <row r="3281" spans="2:9" ht="15" hidden="1" customHeight="1" x14ac:dyDescent="0.25">
      <c r="B3281" s="7"/>
      <c r="C3281" s="140">
        <v>3253</v>
      </c>
      <c r="D3281" s="142"/>
      <c r="E3281" s="142"/>
      <c r="F3281" s="142"/>
      <c r="G3281" s="142"/>
      <c r="H3281" s="141"/>
      <c r="I3281" s="8"/>
    </row>
    <row r="3282" spans="2:9" ht="15" hidden="1" customHeight="1" x14ac:dyDescent="0.25">
      <c r="B3282" s="7"/>
      <c r="C3282" s="140">
        <v>3254</v>
      </c>
      <c r="D3282" s="142"/>
      <c r="E3282" s="142"/>
      <c r="F3282" s="142"/>
      <c r="G3282" s="142"/>
      <c r="H3282" s="141"/>
      <c r="I3282" s="8"/>
    </row>
    <row r="3283" spans="2:9" ht="15" hidden="1" customHeight="1" x14ac:dyDescent="0.25">
      <c r="B3283" s="7"/>
      <c r="C3283" s="140">
        <v>3255</v>
      </c>
      <c r="D3283" s="142"/>
      <c r="E3283" s="142"/>
      <c r="F3283" s="142"/>
      <c r="G3283" s="142"/>
      <c r="H3283" s="141"/>
      <c r="I3283" s="8"/>
    </row>
    <row r="3284" spans="2:9" ht="15" hidden="1" customHeight="1" x14ac:dyDescent="0.25">
      <c r="B3284" s="7"/>
      <c r="C3284" s="140">
        <v>3256</v>
      </c>
      <c r="D3284" s="142"/>
      <c r="E3284" s="142"/>
      <c r="F3284" s="142"/>
      <c r="G3284" s="142"/>
      <c r="H3284" s="141"/>
      <c r="I3284" s="8"/>
    </row>
    <row r="3285" spans="2:9" ht="15" hidden="1" customHeight="1" x14ac:dyDescent="0.25">
      <c r="B3285" s="7"/>
      <c r="C3285" s="140">
        <v>3257</v>
      </c>
      <c r="D3285" s="142"/>
      <c r="E3285" s="142"/>
      <c r="F3285" s="142"/>
      <c r="G3285" s="142"/>
      <c r="H3285" s="141"/>
      <c r="I3285" s="8"/>
    </row>
    <row r="3286" spans="2:9" ht="15" hidden="1" customHeight="1" x14ac:dyDescent="0.25">
      <c r="B3286" s="7"/>
      <c r="C3286" s="140">
        <v>3258</v>
      </c>
      <c r="D3286" s="142"/>
      <c r="E3286" s="142"/>
      <c r="F3286" s="142"/>
      <c r="G3286" s="142"/>
      <c r="H3286" s="141"/>
      <c r="I3286" s="8"/>
    </row>
    <row r="3287" spans="2:9" ht="15" hidden="1" customHeight="1" x14ac:dyDescent="0.25">
      <c r="B3287" s="7"/>
      <c r="C3287" s="140">
        <v>3259</v>
      </c>
      <c r="D3287" s="142"/>
      <c r="E3287" s="142"/>
      <c r="F3287" s="142"/>
      <c r="G3287" s="142"/>
      <c r="H3287" s="141"/>
      <c r="I3287" s="8"/>
    </row>
    <row r="3288" spans="2:9" ht="15" hidden="1" customHeight="1" x14ac:dyDescent="0.25">
      <c r="B3288" s="7"/>
      <c r="C3288" s="140">
        <v>3260</v>
      </c>
      <c r="D3288" s="142"/>
      <c r="E3288" s="142"/>
      <c r="F3288" s="142"/>
      <c r="G3288" s="142"/>
      <c r="H3288" s="141"/>
      <c r="I3288" s="8"/>
    </row>
    <row r="3289" spans="2:9" ht="15" hidden="1" customHeight="1" x14ac:dyDescent="0.25">
      <c r="B3289" s="7"/>
      <c r="C3289" s="140">
        <v>3261</v>
      </c>
      <c r="D3289" s="142"/>
      <c r="E3289" s="142"/>
      <c r="F3289" s="142"/>
      <c r="G3289" s="142"/>
      <c r="H3289" s="141"/>
      <c r="I3289" s="8"/>
    </row>
    <row r="3290" spans="2:9" ht="15" hidden="1" customHeight="1" x14ac:dyDescent="0.25">
      <c r="B3290" s="7"/>
      <c r="C3290" s="140">
        <v>3262</v>
      </c>
      <c r="D3290" s="142"/>
      <c r="E3290" s="142"/>
      <c r="F3290" s="142"/>
      <c r="G3290" s="142"/>
      <c r="H3290" s="141"/>
      <c r="I3290" s="8"/>
    </row>
    <row r="3291" spans="2:9" ht="15" hidden="1" customHeight="1" x14ac:dyDescent="0.25">
      <c r="B3291" s="7"/>
      <c r="C3291" s="140">
        <v>3263</v>
      </c>
      <c r="D3291" s="142"/>
      <c r="E3291" s="142"/>
      <c r="F3291" s="142"/>
      <c r="G3291" s="142"/>
      <c r="H3291" s="141"/>
      <c r="I3291" s="8"/>
    </row>
    <row r="3292" spans="2:9" ht="15" hidden="1" customHeight="1" x14ac:dyDescent="0.25">
      <c r="B3292" s="7"/>
      <c r="C3292" s="140">
        <v>3264</v>
      </c>
      <c r="D3292" s="142"/>
      <c r="E3292" s="142"/>
      <c r="F3292" s="142"/>
      <c r="G3292" s="142"/>
      <c r="H3292" s="141"/>
      <c r="I3292" s="8"/>
    </row>
    <row r="3293" spans="2:9" ht="15" hidden="1" customHeight="1" x14ac:dyDescent="0.25">
      <c r="B3293" s="7"/>
      <c r="C3293" s="140">
        <v>3265</v>
      </c>
      <c r="D3293" s="142"/>
      <c r="E3293" s="142"/>
      <c r="F3293" s="142"/>
      <c r="G3293" s="142"/>
      <c r="H3293" s="141"/>
      <c r="I3293" s="8"/>
    </row>
    <row r="3294" spans="2:9" ht="15" hidden="1" customHeight="1" x14ac:dyDescent="0.25">
      <c r="B3294" s="7"/>
      <c r="C3294" s="140">
        <v>3266</v>
      </c>
      <c r="D3294" s="142"/>
      <c r="E3294" s="142"/>
      <c r="F3294" s="142"/>
      <c r="G3294" s="142"/>
      <c r="H3294" s="141"/>
      <c r="I3294" s="8"/>
    </row>
    <row r="3295" spans="2:9" ht="15" hidden="1" customHeight="1" x14ac:dyDescent="0.25">
      <c r="B3295" s="7"/>
      <c r="C3295" s="140">
        <v>3267</v>
      </c>
      <c r="D3295" s="142"/>
      <c r="E3295" s="142"/>
      <c r="F3295" s="142"/>
      <c r="G3295" s="142"/>
      <c r="H3295" s="141"/>
      <c r="I3295" s="8"/>
    </row>
    <row r="3296" spans="2:9" ht="15" hidden="1" customHeight="1" x14ac:dyDescent="0.25">
      <c r="B3296" s="7"/>
      <c r="C3296" s="140">
        <v>3268</v>
      </c>
      <c r="D3296" s="142"/>
      <c r="E3296" s="142"/>
      <c r="F3296" s="142"/>
      <c r="G3296" s="142"/>
      <c r="H3296" s="141"/>
      <c r="I3296" s="8"/>
    </row>
    <row r="3297" spans="2:9" ht="15" hidden="1" customHeight="1" x14ac:dyDescent="0.25">
      <c r="B3297" s="7"/>
      <c r="C3297" s="140">
        <v>3269</v>
      </c>
      <c r="D3297" s="142"/>
      <c r="E3297" s="142"/>
      <c r="F3297" s="142"/>
      <c r="G3297" s="142"/>
      <c r="H3297" s="141"/>
      <c r="I3297" s="8"/>
    </row>
    <row r="3298" spans="2:9" ht="15" hidden="1" customHeight="1" x14ac:dyDescent="0.25">
      <c r="B3298" s="7"/>
      <c r="C3298" s="140">
        <v>3270</v>
      </c>
      <c r="D3298" s="142"/>
      <c r="E3298" s="142"/>
      <c r="F3298" s="142"/>
      <c r="G3298" s="142"/>
      <c r="H3298" s="141"/>
      <c r="I3298" s="8"/>
    </row>
    <row r="3299" spans="2:9" ht="15" hidden="1" customHeight="1" x14ac:dyDescent="0.25">
      <c r="B3299" s="7"/>
      <c r="C3299" s="140">
        <v>3271</v>
      </c>
      <c r="D3299" s="142"/>
      <c r="E3299" s="142"/>
      <c r="F3299" s="142"/>
      <c r="G3299" s="142"/>
      <c r="H3299" s="141"/>
      <c r="I3299" s="8"/>
    </row>
    <row r="3300" spans="2:9" ht="15" hidden="1" customHeight="1" x14ac:dyDescent="0.25">
      <c r="B3300" s="7"/>
      <c r="C3300" s="140">
        <v>3272</v>
      </c>
      <c r="D3300" s="142"/>
      <c r="E3300" s="142"/>
      <c r="F3300" s="142"/>
      <c r="G3300" s="142"/>
      <c r="H3300" s="141"/>
      <c r="I3300" s="8"/>
    </row>
    <row r="3301" spans="2:9" ht="15" hidden="1" customHeight="1" x14ac:dyDescent="0.25">
      <c r="B3301" s="7"/>
      <c r="C3301" s="140">
        <v>3273</v>
      </c>
      <c r="D3301" s="142"/>
      <c r="E3301" s="142"/>
      <c r="F3301" s="142"/>
      <c r="G3301" s="142"/>
      <c r="H3301" s="141"/>
      <c r="I3301" s="8"/>
    </row>
    <row r="3302" spans="2:9" ht="15" hidden="1" customHeight="1" x14ac:dyDescent="0.25">
      <c r="B3302" s="7"/>
      <c r="C3302" s="140">
        <v>3274</v>
      </c>
      <c r="D3302" s="142"/>
      <c r="E3302" s="142"/>
      <c r="F3302" s="142"/>
      <c r="G3302" s="142"/>
      <c r="H3302" s="141"/>
      <c r="I3302" s="8"/>
    </row>
    <row r="3303" spans="2:9" ht="15" hidden="1" customHeight="1" x14ac:dyDescent="0.25">
      <c r="B3303" s="7"/>
      <c r="C3303" s="140">
        <v>3275</v>
      </c>
      <c r="D3303" s="142"/>
      <c r="E3303" s="142"/>
      <c r="F3303" s="142"/>
      <c r="G3303" s="142"/>
      <c r="H3303" s="141"/>
      <c r="I3303" s="8"/>
    </row>
    <row r="3304" spans="2:9" ht="15" hidden="1" customHeight="1" x14ac:dyDescent="0.25">
      <c r="B3304" s="7"/>
      <c r="C3304" s="140">
        <v>3276</v>
      </c>
      <c r="D3304" s="142"/>
      <c r="E3304" s="142"/>
      <c r="F3304" s="142"/>
      <c r="G3304" s="142"/>
      <c r="H3304" s="141"/>
      <c r="I3304" s="8"/>
    </row>
    <row r="3305" spans="2:9" ht="15" hidden="1" customHeight="1" x14ac:dyDescent="0.25">
      <c r="B3305" s="7"/>
      <c r="C3305" s="140">
        <v>3277</v>
      </c>
      <c r="D3305" s="142"/>
      <c r="E3305" s="142"/>
      <c r="F3305" s="142"/>
      <c r="G3305" s="142"/>
      <c r="H3305" s="141"/>
      <c r="I3305" s="8"/>
    </row>
    <row r="3306" spans="2:9" ht="15" hidden="1" customHeight="1" x14ac:dyDescent="0.25">
      <c r="B3306" s="7"/>
      <c r="C3306" s="140">
        <v>3278</v>
      </c>
      <c r="D3306" s="142"/>
      <c r="E3306" s="142"/>
      <c r="F3306" s="142"/>
      <c r="G3306" s="142"/>
      <c r="H3306" s="141"/>
      <c r="I3306" s="8"/>
    </row>
    <row r="3307" spans="2:9" ht="15" hidden="1" customHeight="1" x14ac:dyDescent="0.25">
      <c r="B3307" s="7"/>
      <c r="C3307" s="140">
        <v>3279</v>
      </c>
      <c r="D3307" s="142"/>
      <c r="E3307" s="142"/>
      <c r="F3307" s="142"/>
      <c r="G3307" s="142"/>
      <c r="H3307" s="141"/>
      <c r="I3307" s="8"/>
    </row>
    <row r="3308" spans="2:9" ht="15" hidden="1" customHeight="1" x14ac:dyDescent="0.25">
      <c r="B3308" s="7"/>
      <c r="C3308" s="140">
        <v>3280</v>
      </c>
      <c r="D3308" s="142"/>
      <c r="E3308" s="142"/>
      <c r="F3308" s="142"/>
      <c r="G3308" s="142"/>
      <c r="H3308" s="141"/>
      <c r="I3308" s="8"/>
    </row>
    <row r="3309" spans="2:9" ht="15" hidden="1" customHeight="1" x14ac:dyDescent="0.25">
      <c r="B3309" s="7"/>
      <c r="C3309" s="140">
        <v>3281</v>
      </c>
      <c r="D3309" s="142"/>
      <c r="E3309" s="142"/>
      <c r="F3309" s="142"/>
      <c r="G3309" s="142"/>
      <c r="H3309" s="141"/>
      <c r="I3309" s="8"/>
    </row>
    <row r="3310" spans="2:9" ht="15" hidden="1" customHeight="1" x14ac:dyDescent="0.25">
      <c r="B3310" s="7"/>
      <c r="C3310" s="140">
        <v>3282</v>
      </c>
      <c r="D3310" s="142"/>
      <c r="E3310" s="142"/>
      <c r="F3310" s="142"/>
      <c r="G3310" s="142"/>
      <c r="H3310" s="141"/>
      <c r="I3310" s="8"/>
    </row>
    <row r="3311" spans="2:9" ht="15" hidden="1" customHeight="1" x14ac:dyDescent="0.25">
      <c r="B3311" s="7"/>
      <c r="C3311" s="140">
        <v>3283</v>
      </c>
      <c r="D3311" s="142"/>
      <c r="E3311" s="142"/>
      <c r="F3311" s="142"/>
      <c r="G3311" s="142"/>
      <c r="H3311" s="141"/>
      <c r="I3311" s="8"/>
    </row>
    <row r="3312" spans="2:9" ht="15" hidden="1" customHeight="1" x14ac:dyDescent="0.25">
      <c r="B3312" s="7"/>
      <c r="C3312" s="140">
        <v>3284</v>
      </c>
      <c r="D3312" s="142"/>
      <c r="E3312" s="142"/>
      <c r="F3312" s="142"/>
      <c r="G3312" s="142"/>
      <c r="H3312" s="141"/>
      <c r="I3312" s="8"/>
    </row>
    <row r="3313" spans="2:9" ht="15" hidden="1" customHeight="1" x14ac:dyDescent="0.25">
      <c r="B3313" s="7"/>
      <c r="C3313" s="140">
        <v>3285</v>
      </c>
      <c r="D3313" s="142"/>
      <c r="E3313" s="142"/>
      <c r="F3313" s="142"/>
      <c r="G3313" s="142"/>
      <c r="H3313" s="141"/>
      <c r="I3313" s="8"/>
    </row>
    <row r="3314" spans="2:9" ht="15" hidden="1" customHeight="1" x14ac:dyDescent="0.25">
      <c r="B3314" s="7"/>
      <c r="C3314" s="140">
        <v>3286</v>
      </c>
      <c r="D3314" s="142"/>
      <c r="E3314" s="142"/>
      <c r="F3314" s="142"/>
      <c r="G3314" s="142"/>
      <c r="H3314" s="141"/>
      <c r="I3314" s="8"/>
    </row>
    <row r="3315" spans="2:9" ht="15" hidden="1" customHeight="1" x14ac:dyDescent="0.25">
      <c r="B3315" s="7"/>
      <c r="C3315" s="140">
        <v>3287</v>
      </c>
      <c r="D3315" s="142"/>
      <c r="E3315" s="142"/>
      <c r="F3315" s="142"/>
      <c r="G3315" s="142"/>
      <c r="H3315" s="141"/>
      <c r="I3315" s="8"/>
    </row>
    <row r="3316" spans="2:9" ht="15" hidden="1" customHeight="1" x14ac:dyDescent="0.25">
      <c r="B3316" s="7"/>
      <c r="C3316" s="140">
        <v>3288</v>
      </c>
      <c r="D3316" s="142"/>
      <c r="E3316" s="142"/>
      <c r="F3316" s="142"/>
      <c r="G3316" s="142"/>
      <c r="H3316" s="141"/>
      <c r="I3316" s="8"/>
    </row>
    <row r="3317" spans="2:9" ht="15" hidden="1" customHeight="1" x14ac:dyDescent="0.25">
      <c r="B3317" s="7"/>
      <c r="C3317" s="140">
        <v>3289</v>
      </c>
      <c r="D3317" s="142"/>
      <c r="E3317" s="142"/>
      <c r="F3317" s="142"/>
      <c r="G3317" s="142"/>
      <c r="H3317" s="141"/>
      <c r="I3317" s="8"/>
    </row>
    <row r="3318" spans="2:9" ht="15" hidden="1" customHeight="1" x14ac:dyDescent="0.25">
      <c r="B3318" s="7"/>
      <c r="C3318" s="140">
        <v>3290</v>
      </c>
      <c r="D3318" s="142"/>
      <c r="E3318" s="142"/>
      <c r="F3318" s="142"/>
      <c r="G3318" s="142"/>
      <c r="H3318" s="141"/>
      <c r="I3318" s="8"/>
    </row>
    <row r="3319" spans="2:9" ht="15" hidden="1" customHeight="1" x14ac:dyDescent="0.25">
      <c r="B3319" s="7"/>
      <c r="C3319" s="140">
        <v>3291</v>
      </c>
      <c r="D3319" s="142"/>
      <c r="E3319" s="142"/>
      <c r="F3319" s="142"/>
      <c r="G3319" s="142"/>
      <c r="H3319" s="141"/>
      <c r="I3319" s="8"/>
    </row>
    <row r="3320" spans="2:9" ht="15" hidden="1" customHeight="1" x14ac:dyDescent="0.25">
      <c r="B3320" s="7"/>
      <c r="C3320" s="140">
        <v>3292</v>
      </c>
      <c r="D3320" s="142"/>
      <c r="E3320" s="142"/>
      <c r="F3320" s="142"/>
      <c r="G3320" s="142"/>
      <c r="H3320" s="141"/>
      <c r="I3320" s="8"/>
    </row>
    <row r="3321" spans="2:9" ht="15" hidden="1" customHeight="1" x14ac:dyDescent="0.25">
      <c r="B3321" s="7"/>
      <c r="C3321" s="140">
        <v>3293</v>
      </c>
      <c r="D3321" s="142"/>
      <c r="E3321" s="142"/>
      <c r="F3321" s="142"/>
      <c r="G3321" s="142"/>
      <c r="H3321" s="141"/>
      <c r="I3321" s="8"/>
    </row>
    <row r="3322" spans="2:9" ht="15" hidden="1" customHeight="1" x14ac:dyDescent="0.25">
      <c r="B3322" s="7"/>
      <c r="C3322" s="140">
        <v>3294</v>
      </c>
      <c r="D3322" s="142"/>
      <c r="E3322" s="142"/>
      <c r="F3322" s="142"/>
      <c r="G3322" s="142"/>
      <c r="H3322" s="141"/>
      <c r="I3322" s="8"/>
    </row>
    <row r="3323" spans="2:9" ht="15" hidden="1" customHeight="1" x14ac:dyDescent="0.25">
      <c r="B3323" s="7"/>
      <c r="C3323" s="140">
        <v>3295</v>
      </c>
      <c r="D3323" s="142"/>
      <c r="E3323" s="142"/>
      <c r="F3323" s="142"/>
      <c r="G3323" s="142"/>
      <c r="H3323" s="141"/>
      <c r="I3323" s="8"/>
    </row>
    <row r="3324" spans="2:9" ht="15" hidden="1" customHeight="1" x14ac:dyDescent="0.25">
      <c r="B3324" s="7"/>
      <c r="C3324" s="140">
        <v>3296</v>
      </c>
      <c r="D3324" s="142"/>
      <c r="E3324" s="142"/>
      <c r="F3324" s="142"/>
      <c r="G3324" s="142"/>
      <c r="H3324" s="141"/>
      <c r="I3324" s="8"/>
    </row>
    <row r="3325" spans="2:9" ht="15" hidden="1" customHeight="1" x14ac:dyDescent="0.25">
      <c r="B3325" s="7"/>
      <c r="C3325" s="140">
        <v>3297</v>
      </c>
      <c r="D3325" s="142"/>
      <c r="E3325" s="142"/>
      <c r="F3325" s="142"/>
      <c r="G3325" s="142"/>
      <c r="H3325" s="141"/>
      <c r="I3325" s="8"/>
    </row>
    <row r="3326" spans="2:9" ht="15" hidden="1" customHeight="1" x14ac:dyDescent="0.25">
      <c r="B3326" s="7"/>
      <c r="C3326" s="140">
        <v>3298</v>
      </c>
      <c r="D3326" s="142"/>
      <c r="E3326" s="142"/>
      <c r="F3326" s="142"/>
      <c r="G3326" s="142"/>
      <c r="H3326" s="141"/>
      <c r="I3326" s="8"/>
    </row>
    <row r="3327" spans="2:9" ht="15" hidden="1" customHeight="1" x14ac:dyDescent="0.25">
      <c r="B3327" s="7"/>
      <c r="C3327" s="140">
        <v>3299</v>
      </c>
      <c r="D3327" s="142"/>
      <c r="E3327" s="142"/>
      <c r="F3327" s="142"/>
      <c r="G3327" s="142"/>
      <c r="H3327" s="141"/>
      <c r="I3327" s="8"/>
    </row>
    <row r="3328" spans="2:9" ht="15" hidden="1" customHeight="1" x14ac:dyDescent="0.25">
      <c r="B3328" s="7"/>
      <c r="C3328" s="140">
        <v>3300</v>
      </c>
      <c r="D3328" s="142"/>
      <c r="E3328" s="142"/>
      <c r="F3328" s="142"/>
      <c r="G3328" s="142"/>
      <c r="H3328" s="141"/>
      <c r="I3328" s="8"/>
    </row>
    <row r="3329" spans="2:9" ht="15" hidden="1" customHeight="1" x14ac:dyDescent="0.25">
      <c r="B3329" s="7"/>
      <c r="C3329" s="140">
        <v>3301</v>
      </c>
      <c r="D3329" s="142"/>
      <c r="E3329" s="142"/>
      <c r="F3329" s="142"/>
      <c r="G3329" s="142"/>
      <c r="H3329" s="141"/>
      <c r="I3329" s="8"/>
    </row>
    <row r="3330" spans="2:9" ht="15" hidden="1" customHeight="1" x14ac:dyDescent="0.25">
      <c r="B3330" s="7"/>
      <c r="C3330" s="140">
        <v>3302</v>
      </c>
      <c r="D3330" s="142"/>
      <c r="E3330" s="142"/>
      <c r="F3330" s="142"/>
      <c r="G3330" s="142"/>
      <c r="H3330" s="141"/>
      <c r="I3330" s="8"/>
    </row>
    <row r="3331" spans="2:9" ht="15" hidden="1" customHeight="1" x14ac:dyDescent="0.25">
      <c r="B3331" s="7"/>
      <c r="C3331" s="140">
        <v>3303</v>
      </c>
      <c r="D3331" s="142"/>
      <c r="E3331" s="142"/>
      <c r="F3331" s="142"/>
      <c r="G3331" s="142"/>
      <c r="H3331" s="141"/>
      <c r="I3331" s="8"/>
    </row>
    <row r="3332" spans="2:9" ht="15" hidden="1" customHeight="1" x14ac:dyDescent="0.25">
      <c r="B3332" s="7"/>
      <c r="C3332" s="140">
        <v>3304</v>
      </c>
      <c r="D3332" s="142"/>
      <c r="E3332" s="142"/>
      <c r="F3332" s="142"/>
      <c r="G3332" s="142"/>
      <c r="H3332" s="141"/>
      <c r="I3332" s="8"/>
    </row>
    <row r="3333" spans="2:9" ht="15" hidden="1" customHeight="1" x14ac:dyDescent="0.25">
      <c r="B3333" s="7"/>
      <c r="C3333" s="140">
        <v>3305</v>
      </c>
      <c r="D3333" s="142"/>
      <c r="E3333" s="142"/>
      <c r="F3333" s="142"/>
      <c r="G3333" s="142"/>
      <c r="H3333" s="141"/>
      <c r="I3333" s="8"/>
    </row>
    <row r="3334" spans="2:9" ht="15" hidden="1" customHeight="1" x14ac:dyDescent="0.25">
      <c r="B3334" s="7"/>
      <c r="C3334" s="140">
        <v>3306</v>
      </c>
      <c r="D3334" s="142"/>
      <c r="E3334" s="142"/>
      <c r="F3334" s="142"/>
      <c r="G3334" s="142"/>
      <c r="H3334" s="141"/>
      <c r="I3334" s="8"/>
    </row>
    <row r="3335" spans="2:9" ht="15" hidden="1" customHeight="1" x14ac:dyDescent="0.25">
      <c r="B3335" s="7"/>
      <c r="C3335" s="140">
        <v>3307</v>
      </c>
      <c r="D3335" s="142"/>
      <c r="E3335" s="142"/>
      <c r="F3335" s="142"/>
      <c r="G3335" s="142"/>
      <c r="H3335" s="141"/>
      <c r="I3335" s="8"/>
    </row>
    <row r="3336" spans="2:9" ht="15" hidden="1" customHeight="1" x14ac:dyDescent="0.25">
      <c r="B3336" s="7"/>
      <c r="C3336" s="140">
        <v>3308</v>
      </c>
      <c r="D3336" s="142"/>
      <c r="E3336" s="142"/>
      <c r="F3336" s="142"/>
      <c r="G3336" s="142"/>
      <c r="H3336" s="141"/>
      <c r="I3336" s="8"/>
    </row>
    <row r="3337" spans="2:9" ht="15" hidden="1" customHeight="1" x14ac:dyDescent="0.25">
      <c r="B3337" s="7"/>
      <c r="C3337" s="140">
        <v>3309</v>
      </c>
      <c r="D3337" s="142"/>
      <c r="E3337" s="142"/>
      <c r="F3337" s="142"/>
      <c r="G3337" s="142"/>
      <c r="H3337" s="141"/>
      <c r="I3337" s="8"/>
    </row>
    <row r="3338" spans="2:9" ht="15" hidden="1" customHeight="1" x14ac:dyDescent="0.25">
      <c r="B3338" s="7"/>
      <c r="C3338" s="140">
        <v>3310</v>
      </c>
      <c r="D3338" s="142"/>
      <c r="E3338" s="142"/>
      <c r="F3338" s="142"/>
      <c r="G3338" s="142"/>
      <c r="H3338" s="141"/>
      <c r="I3338" s="8"/>
    </row>
    <row r="3339" spans="2:9" ht="15" hidden="1" customHeight="1" x14ac:dyDescent="0.25">
      <c r="B3339" s="7"/>
      <c r="C3339" s="140">
        <v>3311</v>
      </c>
      <c r="D3339" s="142"/>
      <c r="E3339" s="142"/>
      <c r="F3339" s="142"/>
      <c r="G3339" s="142"/>
      <c r="H3339" s="141"/>
      <c r="I3339" s="8"/>
    </row>
    <row r="3340" spans="2:9" ht="15" hidden="1" customHeight="1" x14ac:dyDescent="0.25">
      <c r="B3340" s="7"/>
      <c r="C3340" s="140">
        <v>3312</v>
      </c>
      <c r="D3340" s="142"/>
      <c r="E3340" s="142"/>
      <c r="F3340" s="142"/>
      <c r="G3340" s="142"/>
      <c r="H3340" s="141"/>
      <c r="I3340" s="8"/>
    </row>
    <row r="3341" spans="2:9" ht="15" hidden="1" customHeight="1" x14ac:dyDescent="0.25">
      <c r="B3341" s="7"/>
      <c r="C3341" s="140">
        <v>3313</v>
      </c>
      <c r="D3341" s="142"/>
      <c r="E3341" s="142"/>
      <c r="F3341" s="142"/>
      <c r="G3341" s="142"/>
      <c r="H3341" s="141"/>
      <c r="I3341" s="8"/>
    </row>
    <row r="3342" spans="2:9" ht="15" hidden="1" customHeight="1" x14ac:dyDescent="0.25">
      <c r="B3342" s="7"/>
      <c r="C3342" s="140">
        <v>3314</v>
      </c>
      <c r="D3342" s="142"/>
      <c r="E3342" s="142"/>
      <c r="F3342" s="142"/>
      <c r="G3342" s="142"/>
      <c r="H3342" s="141"/>
      <c r="I3342" s="8"/>
    </row>
    <row r="3343" spans="2:9" ht="15" hidden="1" customHeight="1" x14ac:dyDescent="0.25">
      <c r="B3343" s="7"/>
      <c r="C3343" s="140">
        <v>3315</v>
      </c>
      <c r="D3343" s="142"/>
      <c r="E3343" s="142"/>
      <c r="F3343" s="142"/>
      <c r="G3343" s="142"/>
      <c r="H3343" s="141"/>
      <c r="I3343" s="8"/>
    </row>
    <row r="3344" spans="2:9" ht="15" hidden="1" customHeight="1" x14ac:dyDescent="0.25">
      <c r="B3344" s="7"/>
      <c r="C3344" s="140">
        <v>3316</v>
      </c>
      <c r="D3344" s="142"/>
      <c r="E3344" s="142"/>
      <c r="F3344" s="142"/>
      <c r="G3344" s="142"/>
      <c r="H3344" s="141"/>
      <c r="I3344" s="8"/>
    </row>
    <row r="3345" spans="2:9" ht="15" hidden="1" customHeight="1" x14ac:dyDescent="0.25">
      <c r="B3345" s="7"/>
      <c r="C3345" s="140">
        <v>3317</v>
      </c>
      <c r="D3345" s="142"/>
      <c r="E3345" s="142"/>
      <c r="F3345" s="142"/>
      <c r="G3345" s="142"/>
      <c r="H3345" s="141"/>
      <c r="I3345" s="8"/>
    </row>
    <row r="3346" spans="2:9" ht="15" hidden="1" customHeight="1" x14ac:dyDescent="0.25">
      <c r="B3346" s="7"/>
      <c r="C3346" s="140">
        <v>3318</v>
      </c>
      <c r="D3346" s="142"/>
      <c r="E3346" s="142"/>
      <c r="F3346" s="142"/>
      <c r="G3346" s="142"/>
      <c r="H3346" s="141"/>
      <c r="I3346" s="8"/>
    </row>
    <row r="3347" spans="2:9" ht="15" hidden="1" customHeight="1" x14ac:dyDescent="0.25">
      <c r="B3347" s="7"/>
      <c r="C3347" s="140">
        <v>3319</v>
      </c>
      <c r="D3347" s="142"/>
      <c r="E3347" s="142"/>
      <c r="F3347" s="142"/>
      <c r="G3347" s="142"/>
      <c r="H3347" s="141"/>
      <c r="I3347" s="8"/>
    </row>
    <row r="3348" spans="2:9" ht="15" hidden="1" customHeight="1" x14ac:dyDescent="0.25">
      <c r="B3348" s="7"/>
      <c r="C3348" s="140">
        <v>3320</v>
      </c>
      <c r="D3348" s="142"/>
      <c r="E3348" s="142"/>
      <c r="F3348" s="142"/>
      <c r="G3348" s="142"/>
      <c r="H3348" s="141"/>
      <c r="I3348" s="8"/>
    </row>
    <row r="3349" spans="2:9" ht="15" hidden="1" customHeight="1" x14ac:dyDescent="0.25">
      <c r="B3349" s="7"/>
      <c r="C3349" s="140">
        <v>3321</v>
      </c>
      <c r="D3349" s="142"/>
      <c r="E3349" s="142"/>
      <c r="F3349" s="142"/>
      <c r="G3349" s="142"/>
      <c r="H3349" s="141"/>
      <c r="I3349" s="8"/>
    </row>
    <row r="3350" spans="2:9" ht="15" hidden="1" customHeight="1" x14ac:dyDescent="0.25">
      <c r="B3350" s="7"/>
      <c r="C3350" s="140">
        <v>3322</v>
      </c>
      <c r="D3350" s="142"/>
      <c r="E3350" s="142"/>
      <c r="F3350" s="142"/>
      <c r="G3350" s="142"/>
      <c r="H3350" s="141"/>
      <c r="I3350" s="8"/>
    </row>
    <row r="3351" spans="2:9" ht="15" hidden="1" customHeight="1" x14ac:dyDescent="0.25">
      <c r="B3351" s="7"/>
      <c r="C3351" s="140">
        <v>3323</v>
      </c>
      <c r="D3351" s="142"/>
      <c r="E3351" s="142"/>
      <c r="F3351" s="142"/>
      <c r="G3351" s="142"/>
      <c r="H3351" s="141"/>
      <c r="I3351" s="8"/>
    </row>
    <row r="3352" spans="2:9" ht="15" hidden="1" customHeight="1" x14ac:dyDescent="0.25">
      <c r="B3352" s="7"/>
      <c r="C3352" s="140">
        <v>3324</v>
      </c>
      <c r="D3352" s="142"/>
      <c r="E3352" s="142"/>
      <c r="F3352" s="142"/>
      <c r="G3352" s="142"/>
      <c r="H3352" s="141"/>
      <c r="I3352" s="8"/>
    </row>
    <row r="3353" spans="2:9" ht="15" hidden="1" customHeight="1" x14ac:dyDescent="0.25">
      <c r="B3353" s="7"/>
      <c r="C3353" s="140">
        <v>3325</v>
      </c>
      <c r="D3353" s="142"/>
      <c r="E3353" s="142"/>
      <c r="F3353" s="142"/>
      <c r="G3353" s="142"/>
      <c r="H3353" s="141"/>
      <c r="I3353" s="8"/>
    </row>
    <row r="3354" spans="2:9" ht="15" hidden="1" customHeight="1" x14ac:dyDescent="0.25">
      <c r="B3354" s="7"/>
      <c r="C3354" s="140">
        <v>3326</v>
      </c>
      <c r="D3354" s="142"/>
      <c r="E3354" s="142"/>
      <c r="F3354" s="142"/>
      <c r="G3354" s="142"/>
      <c r="H3354" s="141"/>
      <c r="I3354" s="8"/>
    </row>
    <row r="3355" spans="2:9" ht="15" hidden="1" customHeight="1" x14ac:dyDescent="0.25">
      <c r="B3355" s="7"/>
      <c r="C3355" s="140">
        <v>3327</v>
      </c>
      <c r="D3355" s="142"/>
      <c r="E3355" s="142"/>
      <c r="F3355" s="142"/>
      <c r="G3355" s="142"/>
      <c r="H3355" s="141"/>
      <c r="I3355" s="8"/>
    </row>
    <row r="3356" spans="2:9" ht="15" hidden="1" customHeight="1" x14ac:dyDescent="0.25">
      <c r="B3356" s="7"/>
      <c r="C3356" s="140">
        <v>3328</v>
      </c>
      <c r="D3356" s="142"/>
      <c r="E3356" s="142"/>
      <c r="F3356" s="142"/>
      <c r="G3356" s="142"/>
      <c r="H3356" s="141"/>
      <c r="I3356" s="8"/>
    </row>
    <row r="3357" spans="2:9" ht="15" hidden="1" customHeight="1" x14ac:dyDescent="0.25">
      <c r="B3357" s="7"/>
      <c r="C3357" s="140">
        <v>3329</v>
      </c>
      <c r="D3357" s="142"/>
      <c r="E3357" s="142"/>
      <c r="F3357" s="142"/>
      <c r="G3357" s="142"/>
      <c r="H3357" s="141"/>
      <c r="I3357" s="8"/>
    </row>
    <row r="3358" spans="2:9" ht="15" hidden="1" customHeight="1" x14ac:dyDescent="0.25">
      <c r="B3358" s="7"/>
      <c r="C3358" s="140">
        <v>3330</v>
      </c>
      <c r="D3358" s="142"/>
      <c r="E3358" s="142"/>
      <c r="F3358" s="142"/>
      <c r="G3358" s="142"/>
      <c r="H3358" s="141"/>
      <c r="I3358" s="8"/>
    </row>
    <row r="3359" spans="2:9" ht="15" hidden="1" customHeight="1" x14ac:dyDescent="0.25">
      <c r="B3359" s="7"/>
      <c r="C3359" s="140">
        <v>3331</v>
      </c>
      <c r="D3359" s="142"/>
      <c r="E3359" s="142"/>
      <c r="F3359" s="142"/>
      <c r="G3359" s="142"/>
      <c r="H3359" s="141"/>
      <c r="I3359" s="8"/>
    </row>
    <row r="3360" spans="2:9" ht="15" hidden="1" customHeight="1" x14ac:dyDescent="0.25">
      <c r="B3360" s="7"/>
      <c r="C3360" s="140">
        <v>3332</v>
      </c>
      <c r="D3360" s="142"/>
      <c r="E3360" s="142"/>
      <c r="F3360" s="142"/>
      <c r="G3360" s="142"/>
      <c r="H3360" s="141"/>
      <c r="I3360" s="8"/>
    </row>
    <row r="3361" spans="2:9" ht="15" hidden="1" customHeight="1" x14ac:dyDescent="0.25">
      <c r="B3361" s="7"/>
      <c r="C3361" s="140">
        <v>3333</v>
      </c>
      <c r="D3361" s="142"/>
      <c r="E3361" s="142"/>
      <c r="F3361" s="142"/>
      <c r="G3361" s="142"/>
      <c r="H3361" s="141"/>
      <c r="I3361" s="8"/>
    </row>
    <row r="3362" spans="2:9" ht="15" hidden="1" customHeight="1" x14ac:dyDescent="0.25">
      <c r="B3362" s="7"/>
      <c r="C3362" s="140">
        <v>3334</v>
      </c>
      <c r="D3362" s="142"/>
      <c r="E3362" s="142"/>
      <c r="F3362" s="142"/>
      <c r="G3362" s="142"/>
      <c r="H3362" s="141"/>
      <c r="I3362" s="8"/>
    </row>
    <row r="3363" spans="2:9" ht="15" hidden="1" customHeight="1" x14ac:dyDescent="0.25">
      <c r="B3363" s="7"/>
      <c r="C3363" s="140">
        <v>3335</v>
      </c>
      <c r="D3363" s="142"/>
      <c r="E3363" s="142"/>
      <c r="F3363" s="142"/>
      <c r="G3363" s="142"/>
      <c r="H3363" s="141"/>
      <c r="I3363" s="8"/>
    </row>
    <row r="3364" spans="2:9" ht="15" hidden="1" customHeight="1" x14ac:dyDescent="0.25">
      <c r="B3364" s="7"/>
      <c r="C3364" s="140">
        <v>3336</v>
      </c>
      <c r="D3364" s="142"/>
      <c r="E3364" s="142"/>
      <c r="F3364" s="142"/>
      <c r="G3364" s="142"/>
      <c r="H3364" s="141"/>
      <c r="I3364" s="8"/>
    </row>
    <row r="3365" spans="2:9" ht="15" hidden="1" customHeight="1" x14ac:dyDescent="0.25">
      <c r="B3365" s="7"/>
      <c r="C3365" s="140">
        <v>3337</v>
      </c>
      <c r="D3365" s="142"/>
      <c r="E3365" s="142"/>
      <c r="F3365" s="142"/>
      <c r="G3365" s="142"/>
      <c r="H3365" s="141"/>
      <c r="I3365" s="8"/>
    </row>
    <row r="3366" spans="2:9" ht="15" hidden="1" customHeight="1" x14ac:dyDescent="0.25">
      <c r="B3366" s="7"/>
      <c r="C3366" s="140">
        <v>3338</v>
      </c>
      <c r="D3366" s="142"/>
      <c r="E3366" s="142"/>
      <c r="F3366" s="142"/>
      <c r="G3366" s="142"/>
      <c r="H3366" s="141"/>
      <c r="I3366" s="8"/>
    </row>
    <row r="3367" spans="2:9" ht="15" hidden="1" customHeight="1" x14ac:dyDescent="0.25">
      <c r="B3367" s="7"/>
      <c r="C3367" s="140">
        <v>3339</v>
      </c>
      <c r="D3367" s="142"/>
      <c r="E3367" s="142"/>
      <c r="F3367" s="142"/>
      <c r="G3367" s="142"/>
      <c r="H3367" s="141"/>
      <c r="I3367" s="8"/>
    </row>
    <row r="3368" spans="2:9" ht="15" hidden="1" customHeight="1" x14ac:dyDescent="0.25">
      <c r="B3368" s="7"/>
      <c r="C3368" s="140">
        <v>3340</v>
      </c>
      <c r="D3368" s="142"/>
      <c r="E3368" s="142"/>
      <c r="F3368" s="142"/>
      <c r="G3368" s="142"/>
      <c r="H3368" s="141"/>
      <c r="I3368" s="8"/>
    </row>
    <row r="3369" spans="2:9" ht="15" hidden="1" customHeight="1" x14ac:dyDescent="0.25">
      <c r="B3369" s="7"/>
      <c r="C3369" s="140">
        <v>3341</v>
      </c>
      <c r="D3369" s="142"/>
      <c r="E3369" s="142"/>
      <c r="F3369" s="142"/>
      <c r="G3369" s="142"/>
      <c r="H3369" s="141"/>
      <c r="I3369" s="8"/>
    </row>
    <row r="3370" spans="2:9" ht="15" hidden="1" customHeight="1" x14ac:dyDescent="0.25">
      <c r="B3370" s="7"/>
      <c r="C3370" s="140">
        <v>3342</v>
      </c>
      <c r="D3370" s="142"/>
      <c r="E3370" s="142"/>
      <c r="F3370" s="142"/>
      <c r="G3370" s="142"/>
      <c r="H3370" s="141"/>
      <c r="I3370" s="8"/>
    </row>
    <row r="3371" spans="2:9" ht="15" hidden="1" customHeight="1" x14ac:dyDescent="0.25">
      <c r="B3371" s="7"/>
      <c r="C3371" s="140">
        <v>3343</v>
      </c>
      <c r="D3371" s="142"/>
      <c r="E3371" s="142"/>
      <c r="F3371" s="142"/>
      <c r="G3371" s="142"/>
      <c r="H3371" s="141"/>
      <c r="I3371" s="8"/>
    </row>
    <row r="3372" spans="2:9" ht="15" hidden="1" customHeight="1" x14ac:dyDescent="0.25">
      <c r="B3372" s="7"/>
      <c r="C3372" s="140">
        <v>3344</v>
      </c>
      <c r="D3372" s="142"/>
      <c r="E3372" s="142"/>
      <c r="F3372" s="142"/>
      <c r="G3372" s="142"/>
      <c r="H3372" s="141"/>
      <c r="I3372" s="8"/>
    </row>
    <row r="3373" spans="2:9" ht="15" hidden="1" customHeight="1" x14ac:dyDescent="0.25">
      <c r="B3373" s="7"/>
      <c r="C3373" s="140">
        <v>3345</v>
      </c>
      <c r="D3373" s="142"/>
      <c r="E3373" s="142"/>
      <c r="F3373" s="142"/>
      <c r="G3373" s="142"/>
      <c r="H3373" s="141"/>
      <c r="I3373" s="8"/>
    </row>
    <row r="3374" spans="2:9" ht="15" hidden="1" customHeight="1" x14ac:dyDescent="0.25">
      <c r="B3374" s="7"/>
      <c r="C3374" s="140">
        <v>3346</v>
      </c>
      <c r="D3374" s="142"/>
      <c r="E3374" s="142"/>
      <c r="F3374" s="142"/>
      <c r="G3374" s="142"/>
      <c r="H3374" s="141"/>
      <c r="I3374" s="8"/>
    </row>
    <row r="3375" spans="2:9" ht="15" hidden="1" customHeight="1" x14ac:dyDescent="0.25">
      <c r="B3375" s="7"/>
      <c r="C3375" s="140">
        <v>3347</v>
      </c>
      <c r="D3375" s="142"/>
      <c r="E3375" s="142"/>
      <c r="F3375" s="142"/>
      <c r="G3375" s="142"/>
      <c r="H3375" s="141"/>
      <c r="I3375" s="8"/>
    </row>
    <row r="3376" spans="2:9" ht="15" hidden="1" customHeight="1" x14ac:dyDescent="0.25">
      <c r="B3376" s="7"/>
      <c r="C3376" s="140">
        <v>3348</v>
      </c>
      <c r="D3376" s="142"/>
      <c r="E3376" s="142"/>
      <c r="F3376" s="142"/>
      <c r="G3376" s="142"/>
      <c r="H3376" s="141"/>
      <c r="I3376" s="8"/>
    </row>
    <row r="3377" spans="2:9" ht="15" hidden="1" customHeight="1" x14ac:dyDescent="0.25">
      <c r="B3377" s="7"/>
      <c r="C3377" s="140">
        <v>3349</v>
      </c>
      <c r="D3377" s="142"/>
      <c r="E3377" s="142"/>
      <c r="F3377" s="142"/>
      <c r="G3377" s="142"/>
      <c r="H3377" s="141"/>
      <c r="I3377" s="8"/>
    </row>
    <row r="3378" spans="2:9" ht="15" hidden="1" customHeight="1" x14ac:dyDescent="0.25">
      <c r="B3378" s="7"/>
      <c r="C3378" s="140">
        <v>3350</v>
      </c>
      <c r="D3378" s="142"/>
      <c r="E3378" s="142"/>
      <c r="F3378" s="142"/>
      <c r="G3378" s="142"/>
      <c r="H3378" s="141"/>
      <c r="I3378" s="8"/>
    </row>
    <row r="3379" spans="2:9" ht="15" hidden="1" customHeight="1" x14ac:dyDescent="0.25">
      <c r="B3379" s="7"/>
      <c r="C3379" s="140">
        <v>3351</v>
      </c>
      <c r="D3379" s="142"/>
      <c r="E3379" s="142"/>
      <c r="F3379" s="142"/>
      <c r="G3379" s="142"/>
      <c r="H3379" s="141"/>
      <c r="I3379" s="8"/>
    </row>
    <row r="3380" spans="2:9" ht="15" hidden="1" customHeight="1" x14ac:dyDescent="0.25">
      <c r="B3380" s="7"/>
      <c r="C3380" s="140">
        <v>3352</v>
      </c>
      <c r="D3380" s="142"/>
      <c r="E3380" s="142"/>
      <c r="F3380" s="142"/>
      <c r="G3380" s="142"/>
      <c r="H3380" s="141"/>
      <c r="I3380" s="8"/>
    </row>
    <row r="3381" spans="2:9" ht="15" hidden="1" customHeight="1" x14ac:dyDescent="0.25">
      <c r="B3381" s="7"/>
      <c r="C3381" s="140">
        <v>3353</v>
      </c>
      <c r="D3381" s="142"/>
      <c r="E3381" s="142"/>
      <c r="F3381" s="142"/>
      <c r="G3381" s="142"/>
      <c r="H3381" s="141"/>
      <c r="I3381" s="8"/>
    </row>
    <row r="3382" spans="2:9" ht="15" hidden="1" customHeight="1" x14ac:dyDescent="0.25">
      <c r="B3382" s="7"/>
      <c r="C3382" s="140">
        <v>3354</v>
      </c>
      <c r="D3382" s="142"/>
      <c r="E3382" s="142"/>
      <c r="F3382" s="142"/>
      <c r="G3382" s="142"/>
      <c r="H3382" s="141"/>
      <c r="I3382" s="8"/>
    </row>
    <row r="3383" spans="2:9" ht="15" hidden="1" customHeight="1" x14ac:dyDescent="0.25">
      <c r="B3383" s="7"/>
      <c r="C3383" s="140">
        <v>3355</v>
      </c>
      <c r="D3383" s="142"/>
      <c r="E3383" s="142"/>
      <c r="F3383" s="142"/>
      <c r="G3383" s="142"/>
      <c r="H3383" s="141"/>
      <c r="I3383" s="8"/>
    </row>
    <row r="3384" spans="2:9" ht="15" hidden="1" customHeight="1" x14ac:dyDescent="0.25">
      <c r="B3384" s="7"/>
      <c r="C3384" s="140">
        <v>3356</v>
      </c>
      <c r="D3384" s="142"/>
      <c r="E3384" s="142"/>
      <c r="F3384" s="142"/>
      <c r="G3384" s="142"/>
      <c r="H3384" s="141"/>
      <c r="I3384" s="8"/>
    </row>
    <row r="3385" spans="2:9" ht="15" hidden="1" customHeight="1" x14ac:dyDescent="0.25">
      <c r="B3385" s="7"/>
      <c r="C3385" s="140">
        <v>3357</v>
      </c>
      <c r="D3385" s="142"/>
      <c r="E3385" s="142"/>
      <c r="F3385" s="142"/>
      <c r="G3385" s="142"/>
      <c r="H3385" s="141"/>
      <c r="I3385" s="8"/>
    </row>
    <row r="3386" spans="2:9" ht="15" hidden="1" customHeight="1" x14ac:dyDescent="0.25">
      <c r="B3386" s="7"/>
      <c r="C3386" s="140">
        <v>3358</v>
      </c>
      <c r="D3386" s="142"/>
      <c r="E3386" s="142"/>
      <c r="F3386" s="142"/>
      <c r="G3386" s="142"/>
      <c r="H3386" s="141"/>
      <c r="I3386" s="8"/>
    </row>
    <row r="3387" spans="2:9" ht="15" hidden="1" customHeight="1" x14ac:dyDescent="0.25">
      <c r="B3387" s="7"/>
      <c r="C3387" s="140">
        <v>3359</v>
      </c>
      <c r="D3387" s="142"/>
      <c r="E3387" s="142"/>
      <c r="F3387" s="142"/>
      <c r="G3387" s="142"/>
      <c r="H3387" s="141"/>
      <c r="I3387" s="8"/>
    </row>
    <row r="3388" spans="2:9" ht="15" hidden="1" customHeight="1" x14ac:dyDescent="0.25">
      <c r="B3388" s="7"/>
      <c r="C3388" s="140">
        <v>3360</v>
      </c>
      <c r="D3388" s="142"/>
      <c r="E3388" s="142"/>
      <c r="F3388" s="142"/>
      <c r="G3388" s="142"/>
      <c r="H3388" s="141"/>
      <c r="I3388" s="8"/>
    </row>
    <row r="3389" spans="2:9" ht="15" hidden="1" customHeight="1" x14ac:dyDescent="0.25">
      <c r="B3389" s="7"/>
      <c r="C3389" s="140">
        <v>3361</v>
      </c>
      <c r="D3389" s="142"/>
      <c r="E3389" s="142"/>
      <c r="F3389" s="142"/>
      <c r="G3389" s="142"/>
      <c r="H3389" s="141"/>
      <c r="I3389" s="8"/>
    </row>
    <row r="3390" spans="2:9" ht="15" hidden="1" customHeight="1" x14ac:dyDescent="0.25">
      <c r="B3390" s="7"/>
      <c r="C3390" s="140">
        <v>3362</v>
      </c>
      <c r="D3390" s="142"/>
      <c r="E3390" s="142"/>
      <c r="F3390" s="142"/>
      <c r="G3390" s="142"/>
      <c r="H3390" s="141"/>
      <c r="I3390" s="8"/>
    </row>
    <row r="3391" spans="2:9" ht="15" hidden="1" customHeight="1" x14ac:dyDescent="0.25">
      <c r="B3391" s="7"/>
      <c r="C3391" s="140">
        <v>3363</v>
      </c>
      <c r="D3391" s="142"/>
      <c r="E3391" s="142"/>
      <c r="F3391" s="142"/>
      <c r="G3391" s="142"/>
      <c r="H3391" s="141"/>
      <c r="I3391" s="8"/>
    </row>
    <row r="3392" spans="2:9" ht="15" hidden="1" customHeight="1" x14ac:dyDescent="0.25">
      <c r="B3392" s="7"/>
      <c r="C3392" s="140">
        <v>3364</v>
      </c>
      <c r="D3392" s="142"/>
      <c r="E3392" s="142"/>
      <c r="F3392" s="142"/>
      <c r="G3392" s="142"/>
      <c r="H3392" s="141"/>
      <c r="I3392" s="8"/>
    </row>
    <row r="3393" spans="2:9" ht="15" hidden="1" customHeight="1" x14ac:dyDescent="0.25">
      <c r="B3393" s="7"/>
      <c r="C3393" s="140">
        <v>3365</v>
      </c>
      <c r="D3393" s="142"/>
      <c r="E3393" s="142"/>
      <c r="F3393" s="142"/>
      <c r="G3393" s="142"/>
      <c r="H3393" s="141"/>
      <c r="I3393" s="8"/>
    </row>
    <row r="3394" spans="2:9" ht="15" hidden="1" customHeight="1" x14ac:dyDescent="0.25">
      <c r="B3394" s="7"/>
      <c r="C3394" s="140">
        <v>3366</v>
      </c>
      <c r="D3394" s="142"/>
      <c r="E3394" s="142"/>
      <c r="F3394" s="142"/>
      <c r="G3394" s="142"/>
      <c r="H3394" s="141"/>
      <c r="I3394" s="8"/>
    </row>
    <row r="3395" spans="2:9" ht="15" hidden="1" customHeight="1" x14ac:dyDescent="0.25">
      <c r="B3395" s="7"/>
      <c r="C3395" s="140">
        <v>3367</v>
      </c>
      <c r="D3395" s="142"/>
      <c r="E3395" s="142"/>
      <c r="F3395" s="142"/>
      <c r="G3395" s="142"/>
      <c r="H3395" s="141"/>
      <c r="I3395" s="8"/>
    </row>
    <row r="3396" spans="2:9" ht="15" hidden="1" customHeight="1" x14ac:dyDescent="0.25">
      <c r="B3396" s="7"/>
      <c r="C3396" s="140">
        <v>3368</v>
      </c>
      <c r="D3396" s="142"/>
      <c r="E3396" s="142"/>
      <c r="F3396" s="142"/>
      <c r="G3396" s="142"/>
      <c r="H3396" s="141"/>
      <c r="I3396" s="8"/>
    </row>
    <row r="3397" spans="2:9" ht="15" hidden="1" customHeight="1" x14ac:dyDescent="0.25">
      <c r="B3397" s="7"/>
      <c r="C3397" s="140">
        <v>3369</v>
      </c>
      <c r="D3397" s="142"/>
      <c r="E3397" s="142"/>
      <c r="F3397" s="142"/>
      <c r="G3397" s="142"/>
      <c r="H3397" s="141"/>
      <c r="I3397" s="8"/>
    </row>
    <row r="3398" spans="2:9" ht="15" hidden="1" customHeight="1" x14ac:dyDescent="0.25">
      <c r="B3398" s="7"/>
      <c r="C3398" s="140">
        <v>3370</v>
      </c>
      <c r="D3398" s="142"/>
      <c r="E3398" s="142"/>
      <c r="F3398" s="142"/>
      <c r="G3398" s="142"/>
      <c r="H3398" s="141"/>
      <c r="I3398" s="8"/>
    </row>
    <row r="3399" spans="2:9" ht="15" hidden="1" customHeight="1" x14ac:dyDescent="0.25">
      <c r="B3399" s="7"/>
      <c r="C3399" s="140">
        <v>3371</v>
      </c>
      <c r="D3399" s="142"/>
      <c r="E3399" s="142"/>
      <c r="F3399" s="142"/>
      <c r="G3399" s="142"/>
      <c r="H3399" s="141"/>
      <c r="I3399" s="8"/>
    </row>
    <row r="3400" spans="2:9" ht="15" hidden="1" customHeight="1" x14ac:dyDescent="0.25">
      <c r="B3400" s="7"/>
      <c r="C3400" s="140">
        <v>3372</v>
      </c>
      <c r="D3400" s="142"/>
      <c r="E3400" s="142"/>
      <c r="F3400" s="142"/>
      <c r="G3400" s="142"/>
      <c r="H3400" s="141"/>
      <c r="I3400" s="8"/>
    </row>
    <row r="3401" spans="2:9" ht="15" hidden="1" customHeight="1" x14ac:dyDescent="0.25">
      <c r="B3401" s="7"/>
      <c r="C3401" s="140">
        <v>3373</v>
      </c>
      <c r="D3401" s="142"/>
      <c r="E3401" s="142"/>
      <c r="F3401" s="142"/>
      <c r="G3401" s="142"/>
      <c r="H3401" s="141"/>
      <c r="I3401" s="8"/>
    </row>
    <row r="3402" spans="2:9" ht="15" hidden="1" customHeight="1" x14ac:dyDescent="0.25">
      <c r="B3402" s="7"/>
      <c r="C3402" s="140">
        <v>3374</v>
      </c>
      <c r="D3402" s="142"/>
      <c r="E3402" s="142"/>
      <c r="F3402" s="142"/>
      <c r="G3402" s="142"/>
      <c r="H3402" s="141"/>
      <c r="I3402" s="8"/>
    </row>
    <row r="3403" spans="2:9" ht="15" hidden="1" customHeight="1" x14ac:dyDescent="0.25">
      <c r="B3403" s="7"/>
      <c r="C3403" s="140">
        <v>3375</v>
      </c>
      <c r="D3403" s="142"/>
      <c r="E3403" s="142"/>
      <c r="F3403" s="142"/>
      <c r="G3403" s="142"/>
      <c r="H3403" s="141"/>
      <c r="I3403" s="8"/>
    </row>
    <row r="3404" spans="2:9" ht="15" hidden="1" customHeight="1" x14ac:dyDescent="0.25">
      <c r="B3404" s="7"/>
      <c r="C3404" s="140">
        <v>3376</v>
      </c>
      <c r="D3404" s="142"/>
      <c r="E3404" s="142"/>
      <c r="F3404" s="142"/>
      <c r="G3404" s="142"/>
      <c r="H3404" s="141"/>
      <c r="I3404" s="8"/>
    </row>
    <row r="3405" spans="2:9" ht="15" hidden="1" customHeight="1" x14ac:dyDescent="0.25">
      <c r="B3405" s="7"/>
      <c r="C3405" s="140">
        <v>3377</v>
      </c>
      <c r="D3405" s="142"/>
      <c r="E3405" s="142"/>
      <c r="F3405" s="142"/>
      <c r="G3405" s="142"/>
      <c r="H3405" s="141"/>
      <c r="I3405" s="8"/>
    </row>
    <row r="3406" spans="2:9" ht="15" hidden="1" customHeight="1" x14ac:dyDescent="0.25">
      <c r="B3406" s="7"/>
      <c r="C3406" s="140">
        <v>3378</v>
      </c>
      <c r="D3406" s="142"/>
      <c r="E3406" s="142"/>
      <c r="F3406" s="142"/>
      <c r="G3406" s="142"/>
      <c r="H3406" s="141"/>
      <c r="I3406" s="8"/>
    </row>
    <row r="3407" spans="2:9" ht="15" hidden="1" customHeight="1" x14ac:dyDescent="0.25">
      <c r="B3407" s="7"/>
      <c r="C3407" s="140">
        <v>3379</v>
      </c>
      <c r="D3407" s="142"/>
      <c r="E3407" s="142"/>
      <c r="F3407" s="142"/>
      <c r="G3407" s="142"/>
      <c r="H3407" s="141"/>
      <c r="I3407" s="8"/>
    </row>
    <row r="3408" spans="2:9" ht="15" hidden="1" customHeight="1" x14ac:dyDescent="0.25">
      <c r="B3408" s="7"/>
      <c r="C3408" s="140">
        <v>3380</v>
      </c>
      <c r="D3408" s="142"/>
      <c r="E3408" s="142"/>
      <c r="F3408" s="142"/>
      <c r="G3408" s="142"/>
      <c r="H3408" s="141"/>
      <c r="I3408" s="8"/>
    </row>
    <row r="3409" spans="2:9" ht="15" hidden="1" customHeight="1" x14ac:dyDescent="0.25">
      <c r="B3409" s="7"/>
      <c r="C3409" s="140">
        <v>3381</v>
      </c>
      <c r="D3409" s="142"/>
      <c r="E3409" s="142"/>
      <c r="F3409" s="142"/>
      <c r="G3409" s="142"/>
      <c r="H3409" s="141"/>
      <c r="I3409" s="8"/>
    </row>
    <row r="3410" spans="2:9" ht="15" hidden="1" customHeight="1" x14ac:dyDescent="0.25">
      <c r="B3410" s="7"/>
      <c r="C3410" s="140">
        <v>3382</v>
      </c>
      <c r="D3410" s="142"/>
      <c r="E3410" s="142"/>
      <c r="F3410" s="142"/>
      <c r="G3410" s="142"/>
      <c r="H3410" s="141"/>
      <c r="I3410" s="8"/>
    </row>
    <row r="3411" spans="2:9" ht="15" hidden="1" customHeight="1" x14ac:dyDescent="0.25">
      <c r="B3411" s="7"/>
      <c r="C3411" s="140">
        <v>3383</v>
      </c>
      <c r="D3411" s="142"/>
      <c r="E3411" s="142"/>
      <c r="F3411" s="142"/>
      <c r="G3411" s="142"/>
      <c r="H3411" s="141"/>
      <c r="I3411" s="8"/>
    </row>
    <row r="3412" spans="2:9" ht="15" hidden="1" customHeight="1" x14ac:dyDescent="0.25">
      <c r="B3412" s="7"/>
      <c r="C3412" s="140">
        <v>3384</v>
      </c>
      <c r="D3412" s="142"/>
      <c r="E3412" s="142"/>
      <c r="F3412" s="142"/>
      <c r="G3412" s="142"/>
      <c r="H3412" s="141"/>
      <c r="I3412" s="8"/>
    </row>
    <row r="3413" spans="2:9" ht="15" hidden="1" customHeight="1" x14ac:dyDescent="0.25">
      <c r="B3413" s="7"/>
      <c r="C3413" s="140">
        <v>3385</v>
      </c>
      <c r="D3413" s="142"/>
      <c r="E3413" s="142"/>
      <c r="F3413" s="142"/>
      <c r="G3413" s="142"/>
      <c r="H3413" s="141"/>
      <c r="I3413" s="8"/>
    </row>
    <row r="3414" spans="2:9" ht="15" hidden="1" customHeight="1" x14ac:dyDescent="0.25">
      <c r="B3414" s="7"/>
      <c r="C3414" s="140">
        <v>3386</v>
      </c>
      <c r="D3414" s="142"/>
      <c r="E3414" s="142"/>
      <c r="F3414" s="142"/>
      <c r="G3414" s="142"/>
      <c r="H3414" s="141"/>
      <c r="I3414" s="8"/>
    </row>
    <row r="3415" spans="2:9" ht="15" hidden="1" customHeight="1" x14ac:dyDescent="0.25">
      <c r="B3415" s="7"/>
      <c r="C3415" s="140">
        <v>3387</v>
      </c>
      <c r="D3415" s="142"/>
      <c r="E3415" s="142"/>
      <c r="F3415" s="142"/>
      <c r="G3415" s="142"/>
      <c r="H3415" s="141"/>
      <c r="I3415" s="8"/>
    </row>
    <row r="3416" spans="2:9" ht="15" hidden="1" customHeight="1" x14ac:dyDescent="0.25">
      <c r="B3416" s="7"/>
      <c r="C3416" s="140">
        <v>3388</v>
      </c>
      <c r="D3416" s="142"/>
      <c r="E3416" s="142"/>
      <c r="F3416" s="142"/>
      <c r="G3416" s="142"/>
      <c r="H3416" s="141"/>
      <c r="I3416" s="8"/>
    </row>
    <row r="3417" spans="2:9" ht="15" hidden="1" customHeight="1" x14ac:dyDescent="0.25">
      <c r="B3417" s="7"/>
      <c r="C3417" s="140">
        <v>3389</v>
      </c>
      <c r="D3417" s="142"/>
      <c r="E3417" s="142"/>
      <c r="F3417" s="142"/>
      <c r="G3417" s="142"/>
      <c r="H3417" s="141"/>
      <c r="I3417" s="8"/>
    </row>
    <row r="3418" spans="2:9" ht="15" hidden="1" customHeight="1" x14ac:dyDescent="0.25">
      <c r="B3418" s="7"/>
      <c r="C3418" s="140">
        <v>3390</v>
      </c>
      <c r="D3418" s="142"/>
      <c r="E3418" s="142"/>
      <c r="F3418" s="142"/>
      <c r="G3418" s="142"/>
      <c r="H3418" s="141"/>
      <c r="I3418" s="8"/>
    </row>
    <row r="3419" spans="2:9" ht="15" hidden="1" customHeight="1" x14ac:dyDescent="0.25">
      <c r="B3419" s="7"/>
      <c r="C3419" s="140">
        <v>3391</v>
      </c>
      <c r="D3419" s="142"/>
      <c r="E3419" s="142"/>
      <c r="F3419" s="142"/>
      <c r="G3419" s="142"/>
      <c r="H3419" s="141"/>
      <c r="I3419" s="8"/>
    </row>
    <row r="3420" spans="2:9" ht="15" hidden="1" customHeight="1" x14ac:dyDescent="0.25">
      <c r="B3420" s="7"/>
      <c r="C3420" s="140">
        <v>3392</v>
      </c>
      <c r="D3420" s="142"/>
      <c r="E3420" s="142"/>
      <c r="F3420" s="142"/>
      <c r="G3420" s="142"/>
      <c r="H3420" s="141"/>
      <c r="I3420" s="8"/>
    </row>
    <row r="3421" spans="2:9" ht="15" hidden="1" customHeight="1" x14ac:dyDescent="0.25">
      <c r="B3421" s="7"/>
      <c r="C3421" s="140">
        <v>3393</v>
      </c>
      <c r="D3421" s="142"/>
      <c r="E3421" s="142"/>
      <c r="F3421" s="142"/>
      <c r="G3421" s="142"/>
      <c r="H3421" s="141"/>
      <c r="I3421" s="8"/>
    </row>
    <row r="3422" spans="2:9" ht="15" hidden="1" customHeight="1" x14ac:dyDescent="0.25">
      <c r="B3422" s="7"/>
      <c r="C3422" s="140">
        <v>3394</v>
      </c>
      <c r="D3422" s="142"/>
      <c r="E3422" s="142"/>
      <c r="F3422" s="142"/>
      <c r="G3422" s="142"/>
      <c r="H3422" s="141"/>
      <c r="I3422" s="8"/>
    </row>
    <row r="3423" spans="2:9" ht="15" hidden="1" customHeight="1" x14ac:dyDescent="0.25">
      <c r="B3423" s="7"/>
      <c r="C3423" s="140">
        <v>3395</v>
      </c>
      <c r="D3423" s="142"/>
      <c r="E3423" s="142"/>
      <c r="F3423" s="142"/>
      <c r="G3423" s="142"/>
      <c r="H3423" s="141"/>
      <c r="I3423" s="8"/>
    </row>
    <row r="3424" spans="2:9" ht="15" hidden="1" customHeight="1" x14ac:dyDescent="0.25">
      <c r="B3424" s="7"/>
      <c r="C3424" s="140">
        <v>3396</v>
      </c>
      <c r="D3424" s="142"/>
      <c r="E3424" s="142"/>
      <c r="F3424" s="142"/>
      <c r="G3424" s="142"/>
      <c r="H3424" s="141"/>
      <c r="I3424" s="8"/>
    </row>
    <row r="3425" spans="2:9" ht="15" hidden="1" customHeight="1" x14ac:dyDescent="0.25">
      <c r="B3425" s="7"/>
      <c r="C3425" s="140">
        <v>3397</v>
      </c>
      <c r="D3425" s="142"/>
      <c r="E3425" s="142"/>
      <c r="F3425" s="142"/>
      <c r="G3425" s="142"/>
      <c r="H3425" s="141"/>
      <c r="I3425" s="8"/>
    </row>
    <row r="3426" spans="2:9" ht="15" hidden="1" customHeight="1" x14ac:dyDescent="0.25">
      <c r="B3426" s="7"/>
      <c r="C3426" s="140">
        <v>3398</v>
      </c>
      <c r="D3426" s="142"/>
      <c r="E3426" s="142"/>
      <c r="F3426" s="142"/>
      <c r="G3426" s="142"/>
      <c r="H3426" s="141"/>
      <c r="I3426" s="8"/>
    </row>
    <row r="3427" spans="2:9" ht="15" hidden="1" customHeight="1" x14ac:dyDescent="0.25">
      <c r="B3427" s="7"/>
      <c r="C3427" s="140">
        <v>3399</v>
      </c>
      <c r="D3427" s="142"/>
      <c r="E3427" s="142"/>
      <c r="F3427" s="142"/>
      <c r="G3427" s="142"/>
      <c r="H3427" s="141"/>
      <c r="I3427" s="8"/>
    </row>
    <row r="3428" spans="2:9" ht="15" hidden="1" customHeight="1" x14ac:dyDescent="0.25">
      <c r="B3428" s="7"/>
      <c r="C3428" s="140">
        <v>3400</v>
      </c>
      <c r="D3428" s="142"/>
      <c r="E3428" s="142"/>
      <c r="F3428" s="142"/>
      <c r="G3428" s="142"/>
      <c r="H3428" s="141"/>
      <c r="I3428" s="8"/>
    </row>
    <row r="3429" spans="2:9" ht="15" hidden="1" customHeight="1" x14ac:dyDescent="0.25">
      <c r="B3429" s="7"/>
      <c r="C3429" s="140">
        <v>3401</v>
      </c>
      <c r="D3429" s="142"/>
      <c r="E3429" s="142"/>
      <c r="F3429" s="142"/>
      <c r="G3429" s="142"/>
      <c r="H3429" s="141"/>
      <c r="I3429" s="8"/>
    </row>
    <row r="3430" spans="2:9" ht="15" hidden="1" customHeight="1" x14ac:dyDescent="0.25">
      <c r="B3430" s="7"/>
      <c r="C3430" s="140">
        <v>3402</v>
      </c>
      <c r="D3430" s="142"/>
      <c r="E3430" s="142"/>
      <c r="F3430" s="142"/>
      <c r="G3430" s="142"/>
      <c r="H3430" s="141"/>
      <c r="I3430" s="8"/>
    </row>
    <row r="3431" spans="2:9" ht="15" hidden="1" customHeight="1" x14ac:dyDescent="0.25">
      <c r="B3431" s="7"/>
      <c r="C3431" s="140">
        <v>3403</v>
      </c>
      <c r="D3431" s="142"/>
      <c r="E3431" s="142"/>
      <c r="F3431" s="142"/>
      <c r="G3431" s="142"/>
      <c r="H3431" s="141"/>
      <c r="I3431" s="8"/>
    </row>
    <row r="3432" spans="2:9" ht="15" hidden="1" customHeight="1" x14ac:dyDescent="0.25">
      <c r="B3432" s="7"/>
      <c r="C3432" s="140">
        <v>3404</v>
      </c>
      <c r="D3432" s="142"/>
      <c r="E3432" s="142"/>
      <c r="F3432" s="142"/>
      <c r="G3432" s="142"/>
      <c r="H3432" s="141"/>
      <c r="I3432" s="8"/>
    </row>
    <row r="3433" spans="2:9" ht="15" hidden="1" customHeight="1" x14ac:dyDescent="0.25">
      <c r="B3433" s="7"/>
      <c r="C3433" s="140">
        <v>3405</v>
      </c>
      <c r="D3433" s="142"/>
      <c r="E3433" s="142"/>
      <c r="F3433" s="142"/>
      <c r="G3433" s="142"/>
      <c r="H3433" s="141"/>
      <c r="I3433" s="8"/>
    </row>
    <row r="3434" spans="2:9" ht="15" hidden="1" customHeight="1" x14ac:dyDescent="0.25">
      <c r="B3434" s="7"/>
      <c r="C3434" s="140">
        <v>3406</v>
      </c>
      <c r="D3434" s="142"/>
      <c r="E3434" s="142"/>
      <c r="F3434" s="142"/>
      <c r="G3434" s="142"/>
      <c r="H3434" s="141"/>
      <c r="I3434" s="8"/>
    </row>
    <row r="3435" spans="2:9" ht="15" hidden="1" customHeight="1" x14ac:dyDescent="0.25">
      <c r="B3435" s="7"/>
      <c r="C3435" s="140">
        <v>3407</v>
      </c>
      <c r="D3435" s="142"/>
      <c r="E3435" s="142"/>
      <c r="F3435" s="142"/>
      <c r="G3435" s="142"/>
      <c r="H3435" s="141"/>
      <c r="I3435" s="8"/>
    </row>
    <row r="3436" spans="2:9" ht="15" hidden="1" customHeight="1" x14ac:dyDescent="0.25">
      <c r="B3436" s="7"/>
      <c r="C3436" s="140">
        <v>3408</v>
      </c>
      <c r="D3436" s="142"/>
      <c r="E3436" s="142"/>
      <c r="F3436" s="142"/>
      <c r="G3436" s="142"/>
      <c r="H3436" s="141"/>
      <c r="I3436" s="8"/>
    </row>
    <row r="3437" spans="2:9" ht="15" hidden="1" customHeight="1" x14ac:dyDescent="0.25">
      <c r="B3437" s="7"/>
      <c r="C3437" s="140">
        <v>3409</v>
      </c>
      <c r="D3437" s="142"/>
      <c r="E3437" s="142"/>
      <c r="F3437" s="142"/>
      <c r="G3437" s="142"/>
      <c r="H3437" s="141"/>
      <c r="I3437" s="8"/>
    </row>
    <row r="3438" spans="2:9" ht="15" hidden="1" customHeight="1" x14ac:dyDescent="0.25">
      <c r="B3438" s="7"/>
      <c r="C3438" s="140">
        <v>3410</v>
      </c>
      <c r="D3438" s="142"/>
      <c r="E3438" s="142"/>
      <c r="F3438" s="142"/>
      <c r="G3438" s="142"/>
      <c r="H3438" s="141"/>
      <c r="I3438" s="8"/>
    </row>
    <row r="3439" spans="2:9" ht="15" hidden="1" customHeight="1" x14ac:dyDescent="0.25">
      <c r="B3439" s="7"/>
      <c r="C3439" s="140">
        <v>3411</v>
      </c>
      <c r="D3439" s="142"/>
      <c r="E3439" s="142"/>
      <c r="F3439" s="142"/>
      <c r="G3439" s="142"/>
      <c r="H3439" s="141"/>
      <c r="I3439" s="8"/>
    </row>
    <row r="3440" spans="2:9" ht="15" hidden="1" customHeight="1" x14ac:dyDescent="0.25">
      <c r="B3440" s="7"/>
      <c r="C3440" s="140">
        <v>3412</v>
      </c>
      <c r="D3440" s="142"/>
      <c r="E3440" s="142"/>
      <c r="F3440" s="142"/>
      <c r="G3440" s="142"/>
      <c r="H3440" s="141"/>
      <c r="I3440" s="8"/>
    </row>
    <row r="3441" spans="2:9" ht="15" hidden="1" customHeight="1" x14ac:dyDescent="0.25">
      <c r="B3441" s="7"/>
      <c r="C3441" s="140">
        <v>3413</v>
      </c>
      <c r="D3441" s="142"/>
      <c r="E3441" s="142"/>
      <c r="F3441" s="142"/>
      <c r="G3441" s="142"/>
      <c r="H3441" s="141"/>
      <c r="I3441" s="8"/>
    </row>
    <row r="3442" spans="2:9" ht="15" hidden="1" customHeight="1" x14ac:dyDescent="0.25">
      <c r="B3442" s="7"/>
      <c r="C3442" s="140">
        <v>3414</v>
      </c>
      <c r="D3442" s="142"/>
      <c r="E3442" s="142"/>
      <c r="F3442" s="142"/>
      <c r="G3442" s="142"/>
      <c r="H3442" s="141"/>
      <c r="I3442" s="8"/>
    </row>
    <row r="3443" spans="2:9" ht="15" hidden="1" customHeight="1" x14ac:dyDescent="0.25">
      <c r="B3443" s="7"/>
      <c r="C3443" s="140">
        <v>3415</v>
      </c>
      <c r="D3443" s="142"/>
      <c r="E3443" s="142"/>
      <c r="F3443" s="142"/>
      <c r="G3443" s="142"/>
      <c r="H3443" s="141"/>
      <c r="I3443" s="8"/>
    </row>
    <row r="3444" spans="2:9" ht="15" hidden="1" customHeight="1" x14ac:dyDescent="0.25">
      <c r="B3444" s="7"/>
      <c r="C3444" s="140">
        <v>3416</v>
      </c>
      <c r="D3444" s="142"/>
      <c r="E3444" s="142"/>
      <c r="F3444" s="142"/>
      <c r="G3444" s="142"/>
      <c r="H3444" s="141"/>
      <c r="I3444" s="8"/>
    </row>
    <row r="3445" spans="2:9" ht="15" hidden="1" customHeight="1" x14ac:dyDescent="0.25">
      <c r="B3445" s="7"/>
      <c r="C3445" s="140">
        <v>3417</v>
      </c>
      <c r="D3445" s="142"/>
      <c r="E3445" s="142"/>
      <c r="F3445" s="142"/>
      <c r="G3445" s="142"/>
      <c r="H3445" s="141"/>
      <c r="I3445" s="8"/>
    </row>
    <row r="3446" spans="2:9" ht="15" hidden="1" customHeight="1" x14ac:dyDescent="0.25">
      <c r="B3446" s="7"/>
      <c r="C3446" s="140">
        <v>3418</v>
      </c>
      <c r="D3446" s="142"/>
      <c r="E3446" s="142"/>
      <c r="F3446" s="142"/>
      <c r="G3446" s="142"/>
      <c r="H3446" s="141"/>
      <c r="I3446" s="8"/>
    </row>
    <row r="3447" spans="2:9" ht="15" hidden="1" customHeight="1" x14ac:dyDescent="0.25">
      <c r="B3447" s="7"/>
      <c r="C3447" s="140">
        <v>3419</v>
      </c>
      <c r="D3447" s="142"/>
      <c r="E3447" s="142"/>
      <c r="F3447" s="142"/>
      <c r="G3447" s="142"/>
      <c r="H3447" s="141"/>
      <c r="I3447" s="8"/>
    </row>
    <row r="3448" spans="2:9" ht="15" hidden="1" customHeight="1" x14ac:dyDescent="0.25">
      <c r="B3448" s="7"/>
      <c r="C3448" s="140">
        <v>3420</v>
      </c>
      <c r="D3448" s="142"/>
      <c r="E3448" s="142"/>
      <c r="F3448" s="142"/>
      <c r="G3448" s="142"/>
      <c r="H3448" s="141"/>
      <c r="I3448" s="8"/>
    </row>
    <row r="3449" spans="2:9" ht="15" hidden="1" customHeight="1" x14ac:dyDescent="0.25">
      <c r="B3449" s="7"/>
      <c r="C3449" s="140">
        <v>3421</v>
      </c>
      <c r="D3449" s="142"/>
      <c r="E3449" s="142"/>
      <c r="F3449" s="142"/>
      <c r="G3449" s="142"/>
      <c r="H3449" s="141"/>
      <c r="I3449" s="8"/>
    </row>
    <row r="3450" spans="2:9" ht="15" hidden="1" customHeight="1" x14ac:dyDescent="0.25">
      <c r="B3450" s="7"/>
      <c r="C3450" s="140">
        <v>3422</v>
      </c>
      <c r="D3450" s="142"/>
      <c r="E3450" s="142"/>
      <c r="F3450" s="142"/>
      <c r="G3450" s="142"/>
      <c r="H3450" s="141"/>
      <c r="I3450" s="8"/>
    </row>
    <row r="3451" spans="2:9" ht="15" hidden="1" customHeight="1" x14ac:dyDescent="0.25">
      <c r="B3451" s="7"/>
      <c r="C3451" s="140">
        <v>3423</v>
      </c>
      <c r="D3451" s="142"/>
      <c r="E3451" s="142"/>
      <c r="F3451" s="142"/>
      <c r="G3451" s="142"/>
      <c r="H3451" s="141"/>
      <c r="I3451" s="8"/>
    </row>
    <row r="3452" spans="2:9" ht="15" hidden="1" customHeight="1" x14ac:dyDescent="0.25">
      <c r="B3452" s="7"/>
      <c r="C3452" s="140">
        <v>3424</v>
      </c>
      <c r="D3452" s="142"/>
      <c r="E3452" s="142"/>
      <c r="F3452" s="142"/>
      <c r="G3452" s="142"/>
      <c r="H3452" s="141"/>
      <c r="I3452" s="8"/>
    </row>
    <row r="3453" spans="2:9" ht="15" hidden="1" customHeight="1" x14ac:dyDescent="0.25">
      <c r="B3453" s="7"/>
      <c r="C3453" s="140">
        <v>3425</v>
      </c>
      <c r="D3453" s="142"/>
      <c r="E3453" s="142"/>
      <c r="F3453" s="142"/>
      <c r="G3453" s="142"/>
      <c r="H3453" s="141"/>
      <c r="I3453" s="8"/>
    </row>
    <row r="3454" spans="2:9" ht="15" hidden="1" customHeight="1" x14ac:dyDescent="0.25">
      <c r="B3454" s="7"/>
      <c r="C3454" s="140">
        <v>3426</v>
      </c>
      <c r="D3454" s="142"/>
      <c r="E3454" s="142"/>
      <c r="F3454" s="142"/>
      <c r="G3454" s="142"/>
      <c r="H3454" s="141"/>
      <c r="I3454" s="8"/>
    </row>
    <row r="3455" spans="2:9" ht="15" hidden="1" customHeight="1" x14ac:dyDescent="0.25">
      <c r="B3455" s="7"/>
      <c r="C3455" s="140">
        <v>3427</v>
      </c>
      <c r="D3455" s="142"/>
      <c r="E3455" s="142"/>
      <c r="F3455" s="142"/>
      <c r="G3455" s="142"/>
      <c r="H3455" s="141"/>
      <c r="I3455" s="8"/>
    </row>
    <row r="3456" spans="2:9" ht="15" hidden="1" customHeight="1" x14ac:dyDescent="0.25">
      <c r="B3456" s="7"/>
      <c r="C3456" s="140">
        <v>3428</v>
      </c>
      <c r="D3456" s="142"/>
      <c r="E3456" s="142"/>
      <c r="F3456" s="142"/>
      <c r="G3456" s="142"/>
      <c r="H3456" s="141"/>
      <c r="I3456" s="8"/>
    </row>
    <row r="3457" spans="2:9" ht="15" hidden="1" customHeight="1" x14ac:dyDescent="0.25">
      <c r="B3457" s="7"/>
      <c r="C3457" s="140">
        <v>3429</v>
      </c>
      <c r="D3457" s="142"/>
      <c r="E3457" s="142"/>
      <c r="F3457" s="142"/>
      <c r="G3457" s="142"/>
      <c r="H3457" s="141"/>
      <c r="I3457" s="8"/>
    </row>
    <row r="3458" spans="2:9" ht="15" hidden="1" customHeight="1" x14ac:dyDescent="0.25">
      <c r="B3458" s="7"/>
      <c r="C3458" s="140">
        <v>3430</v>
      </c>
      <c r="D3458" s="142"/>
      <c r="E3458" s="142"/>
      <c r="F3458" s="142"/>
      <c r="G3458" s="142"/>
      <c r="H3458" s="141"/>
      <c r="I3458" s="8"/>
    </row>
    <row r="3459" spans="2:9" ht="15" hidden="1" customHeight="1" x14ac:dyDescent="0.25">
      <c r="B3459" s="7"/>
      <c r="C3459" s="140">
        <v>3431</v>
      </c>
      <c r="D3459" s="142"/>
      <c r="E3459" s="142"/>
      <c r="F3459" s="142"/>
      <c r="G3459" s="142"/>
      <c r="H3459" s="141"/>
      <c r="I3459" s="8"/>
    </row>
    <row r="3460" spans="2:9" ht="15" hidden="1" customHeight="1" x14ac:dyDescent="0.25">
      <c r="B3460" s="7"/>
      <c r="C3460" s="140">
        <v>3432</v>
      </c>
      <c r="D3460" s="142"/>
      <c r="E3460" s="142"/>
      <c r="F3460" s="142"/>
      <c r="G3460" s="142"/>
      <c r="H3460" s="141"/>
      <c r="I3460" s="8"/>
    </row>
    <row r="3461" spans="2:9" ht="15" hidden="1" customHeight="1" x14ac:dyDescent="0.25">
      <c r="B3461" s="7"/>
      <c r="C3461" s="140">
        <v>3433</v>
      </c>
      <c r="D3461" s="142"/>
      <c r="E3461" s="142"/>
      <c r="F3461" s="142"/>
      <c r="G3461" s="142"/>
      <c r="H3461" s="141"/>
      <c r="I3461" s="8"/>
    </row>
    <row r="3462" spans="2:9" ht="15" hidden="1" customHeight="1" x14ac:dyDescent="0.25">
      <c r="B3462" s="7"/>
      <c r="C3462" s="140">
        <v>3434</v>
      </c>
      <c r="D3462" s="142"/>
      <c r="E3462" s="142"/>
      <c r="F3462" s="142"/>
      <c r="G3462" s="142"/>
      <c r="H3462" s="141"/>
      <c r="I3462" s="8"/>
    </row>
    <row r="3463" spans="2:9" ht="15" hidden="1" customHeight="1" x14ac:dyDescent="0.25">
      <c r="B3463" s="7"/>
      <c r="C3463" s="140">
        <v>3435</v>
      </c>
      <c r="D3463" s="142"/>
      <c r="E3463" s="142"/>
      <c r="F3463" s="142"/>
      <c r="G3463" s="142"/>
      <c r="H3463" s="141"/>
      <c r="I3463" s="8"/>
    </row>
    <row r="3464" spans="2:9" ht="15" hidden="1" customHeight="1" x14ac:dyDescent="0.25">
      <c r="B3464" s="7"/>
      <c r="C3464" s="140">
        <v>3436</v>
      </c>
      <c r="D3464" s="142"/>
      <c r="E3464" s="142"/>
      <c r="F3464" s="142"/>
      <c r="G3464" s="142"/>
      <c r="H3464" s="141"/>
      <c r="I3464" s="8"/>
    </row>
    <row r="3465" spans="2:9" ht="15" hidden="1" customHeight="1" x14ac:dyDescent="0.25">
      <c r="B3465" s="7"/>
      <c r="C3465" s="140">
        <v>3437</v>
      </c>
      <c r="D3465" s="142"/>
      <c r="E3465" s="142"/>
      <c r="F3465" s="142"/>
      <c r="G3465" s="142"/>
      <c r="H3465" s="141"/>
      <c r="I3465" s="8"/>
    </row>
    <row r="3466" spans="2:9" ht="15" hidden="1" customHeight="1" x14ac:dyDescent="0.25">
      <c r="B3466" s="7"/>
      <c r="C3466" s="140">
        <v>3438</v>
      </c>
      <c r="D3466" s="142"/>
      <c r="E3466" s="142"/>
      <c r="F3466" s="142"/>
      <c r="G3466" s="142"/>
      <c r="H3466" s="141"/>
      <c r="I3466" s="8"/>
    </row>
    <row r="3467" spans="2:9" ht="15" hidden="1" customHeight="1" x14ac:dyDescent="0.25">
      <c r="B3467" s="7"/>
      <c r="C3467" s="140">
        <v>3439</v>
      </c>
      <c r="D3467" s="142"/>
      <c r="E3467" s="142"/>
      <c r="F3467" s="142"/>
      <c r="G3467" s="142"/>
      <c r="H3467" s="141"/>
      <c r="I3467" s="8"/>
    </row>
    <row r="3468" spans="2:9" ht="15" hidden="1" customHeight="1" x14ac:dyDescent="0.25">
      <c r="B3468" s="7"/>
      <c r="C3468" s="140">
        <v>3440</v>
      </c>
      <c r="D3468" s="142"/>
      <c r="E3468" s="142"/>
      <c r="F3468" s="142"/>
      <c r="G3468" s="142"/>
      <c r="H3468" s="141"/>
      <c r="I3468" s="8"/>
    </row>
    <row r="3469" spans="2:9" ht="15" hidden="1" customHeight="1" x14ac:dyDescent="0.25">
      <c r="B3469" s="7"/>
      <c r="C3469" s="140">
        <v>3441</v>
      </c>
      <c r="D3469" s="142"/>
      <c r="E3469" s="142"/>
      <c r="F3469" s="142"/>
      <c r="G3469" s="142"/>
      <c r="H3469" s="141"/>
      <c r="I3469" s="8"/>
    </row>
    <row r="3470" spans="2:9" ht="15" hidden="1" customHeight="1" x14ac:dyDescent="0.25">
      <c r="B3470" s="7"/>
      <c r="C3470" s="140">
        <v>3442</v>
      </c>
      <c r="D3470" s="142"/>
      <c r="E3470" s="142"/>
      <c r="F3470" s="142"/>
      <c r="G3470" s="142"/>
      <c r="H3470" s="141"/>
      <c r="I3470" s="8"/>
    </row>
    <row r="3471" spans="2:9" ht="15" hidden="1" customHeight="1" x14ac:dyDescent="0.25">
      <c r="B3471" s="7"/>
      <c r="C3471" s="140">
        <v>3443</v>
      </c>
      <c r="D3471" s="142"/>
      <c r="E3471" s="142"/>
      <c r="F3471" s="142"/>
      <c r="G3471" s="142"/>
      <c r="H3471" s="141"/>
      <c r="I3471" s="8"/>
    </row>
    <row r="3472" spans="2:9" ht="15" hidden="1" customHeight="1" x14ac:dyDescent="0.25">
      <c r="B3472" s="7"/>
      <c r="C3472" s="140">
        <v>3444</v>
      </c>
      <c r="D3472" s="142"/>
      <c r="E3472" s="142"/>
      <c r="F3472" s="142"/>
      <c r="G3472" s="142"/>
      <c r="H3472" s="141"/>
      <c r="I3472" s="8"/>
    </row>
    <row r="3473" spans="2:9" ht="15" hidden="1" customHeight="1" x14ac:dyDescent="0.25">
      <c r="B3473" s="7"/>
      <c r="C3473" s="140">
        <v>3445</v>
      </c>
      <c r="D3473" s="142"/>
      <c r="E3473" s="142"/>
      <c r="F3473" s="142"/>
      <c r="G3473" s="142"/>
      <c r="H3473" s="141"/>
      <c r="I3473" s="8"/>
    </row>
    <row r="3474" spans="2:9" ht="15" hidden="1" customHeight="1" x14ac:dyDescent="0.25">
      <c r="B3474" s="7"/>
      <c r="C3474" s="140">
        <v>3446</v>
      </c>
      <c r="D3474" s="142"/>
      <c r="E3474" s="142"/>
      <c r="F3474" s="142"/>
      <c r="G3474" s="142"/>
      <c r="H3474" s="141"/>
      <c r="I3474" s="8"/>
    </row>
    <row r="3475" spans="2:9" ht="15" hidden="1" customHeight="1" x14ac:dyDescent="0.25">
      <c r="B3475" s="7"/>
      <c r="C3475" s="140">
        <v>3447</v>
      </c>
      <c r="D3475" s="142"/>
      <c r="E3475" s="142"/>
      <c r="F3475" s="142"/>
      <c r="G3475" s="142"/>
      <c r="H3475" s="141"/>
      <c r="I3475" s="8"/>
    </row>
    <row r="3476" spans="2:9" ht="15" hidden="1" customHeight="1" x14ac:dyDescent="0.25">
      <c r="B3476" s="7"/>
      <c r="C3476" s="140">
        <v>3448</v>
      </c>
      <c r="D3476" s="142"/>
      <c r="E3476" s="142"/>
      <c r="F3476" s="142"/>
      <c r="G3476" s="142"/>
      <c r="H3476" s="141"/>
      <c r="I3476" s="8"/>
    </row>
    <row r="3477" spans="2:9" ht="15" hidden="1" customHeight="1" x14ac:dyDescent="0.25">
      <c r="B3477" s="7"/>
      <c r="C3477" s="140">
        <v>3449</v>
      </c>
      <c r="D3477" s="142"/>
      <c r="E3477" s="142"/>
      <c r="F3477" s="142"/>
      <c r="G3477" s="142"/>
      <c r="H3477" s="141"/>
      <c r="I3477" s="8"/>
    </row>
    <row r="3478" spans="2:9" ht="15" hidden="1" customHeight="1" x14ac:dyDescent="0.25">
      <c r="B3478" s="7"/>
      <c r="C3478" s="140">
        <v>3450</v>
      </c>
      <c r="D3478" s="142"/>
      <c r="E3478" s="142"/>
      <c r="F3478" s="142"/>
      <c r="G3478" s="142"/>
      <c r="H3478" s="141"/>
      <c r="I3478" s="8"/>
    </row>
    <row r="3479" spans="2:9" ht="15" hidden="1" customHeight="1" x14ac:dyDescent="0.25">
      <c r="B3479" s="7"/>
      <c r="C3479" s="140">
        <v>3451</v>
      </c>
      <c r="D3479" s="142"/>
      <c r="E3479" s="142"/>
      <c r="F3479" s="142"/>
      <c r="G3479" s="142"/>
      <c r="H3479" s="141"/>
      <c r="I3479" s="8"/>
    </row>
    <row r="3480" spans="2:9" ht="15" hidden="1" customHeight="1" x14ac:dyDescent="0.25">
      <c r="B3480" s="7"/>
      <c r="C3480" s="140">
        <v>3452</v>
      </c>
      <c r="D3480" s="142"/>
      <c r="E3480" s="142"/>
      <c r="F3480" s="142"/>
      <c r="G3480" s="142"/>
      <c r="H3480" s="141"/>
      <c r="I3480" s="8"/>
    </row>
    <row r="3481" spans="2:9" ht="15" hidden="1" customHeight="1" x14ac:dyDescent="0.25">
      <c r="B3481" s="7"/>
      <c r="C3481" s="140">
        <v>3453</v>
      </c>
      <c r="D3481" s="142"/>
      <c r="E3481" s="142"/>
      <c r="F3481" s="142"/>
      <c r="G3481" s="142"/>
      <c r="H3481" s="141"/>
      <c r="I3481" s="8"/>
    </row>
    <row r="3482" spans="2:9" ht="15" hidden="1" customHeight="1" x14ac:dyDescent="0.25">
      <c r="B3482" s="7"/>
      <c r="C3482" s="140">
        <v>3454</v>
      </c>
      <c r="D3482" s="142"/>
      <c r="E3482" s="142"/>
      <c r="F3482" s="142"/>
      <c r="G3482" s="142"/>
      <c r="H3482" s="141"/>
      <c r="I3482" s="8"/>
    </row>
    <row r="3483" spans="2:9" ht="15" hidden="1" customHeight="1" x14ac:dyDescent="0.25">
      <c r="B3483" s="7"/>
      <c r="C3483" s="140">
        <v>3455</v>
      </c>
      <c r="D3483" s="142"/>
      <c r="E3483" s="142"/>
      <c r="F3483" s="142"/>
      <c r="G3483" s="142"/>
      <c r="H3483" s="141"/>
      <c r="I3483" s="8"/>
    </row>
    <row r="3484" spans="2:9" ht="15" hidden="1" customHeight="1" x14ac:dyDescent="0.25">
      <c r="B3484" s="7"/>
      <c r="C3484" s="140">
        <v>3456</v>
      </c>
      <c r="D3484" s="142"/>
      <c r="E3484" s="142"/>
      <c r="F3484" s="142"/>
      <c r="G3484" s="142"/>
      <c r="H3484" s="141"/>
      <c r="I3484" s="8"/>
    </row>
    <row r="3485" spans="2:9" ht="15" hidden="1" customHeight="1" x14ac:dyDescent="0.25">
      <c r="B3485" s="7"/>
      <c r="C3485" s="140">
        <v>3457</v>
      </c>
      <c r="D3485" s="142"/>
      <c r="E3485" s="142"/>
      <c r="F3485" s="142"/>
      <c r="G3485" s="142"/>
      <c r="H3485" s="141"/>
      <c r="I3485" s="8"/>
    </row>
    <row r="3486" spans="2:9" ht="15" hidden="1" customHeight="1" x14ac:dyDescent="0.25">
      <c r="B3486" s="7"/>
      <c r="C3486" s="140">
        <v>3458</v>
      </c>
      <c r="D3486" s="142"/>
      <c r="E3486" s="142"/>
      <c r="F3486" s="142"/>
      <c r="G3486" s="142"/>
      <c r="H3486" s="141"/>
      <c r="I3486" s="8"/>
    </row>
    <row r="3487" spans="2:9" ht="15" hidden="1" customHeight="1" x14ac:dyDescent="0.25">
      <c r="B3487" s="7"/>
      <c r="C3487" s="140">
        <v>3459</v>
      </c>
      <c r="D3487" s="142"/>
      <c r="E3487" s="142"/>
      <c r="F3487" s="142"/>
      <c r="G3487" s="142"/>
      <c r="H3487" s="141"/>
      <c r="I3487" s="8"/>
    </row>
    <row r="3488" spans="2:9" ht="15" hidden="1" customHeight="1" x14ac:dyDescent="0.25">
      <c r="B3488" s="7"/>
      <c r="C3488" s="140">
        <v>3460</v>
      </c>
      <c r="D3488" s="142"/>
      <c r="E3488" s="142"/>
      <c r="F3488" s="142"/>
      <c r="G3488" s="142"/>
      <c r="H3488" s="141"/>
      <c r="I3488" s="8"/>
    </row>
    <row r="3489" spans="2:9" ht="15" hidden="1" customHeight="1" x14ac:dyDescent="0.25">
      <c r="B3489" s="7"/>
      <c r="C3489" s="140">
        <v>3461</v>
      </c>
      <c r="D3489" s="142"/>
      <c r="E3489" s="142"/>
      <c r="F3489" s="142"/>
      <c r="G3489" s="142"/>
      <c r="H3489" s="141"/>
      <c r="I3489" s="8"/>
    </row>
    <row r="3490" spans="2:9" ht="15" hidden="1" customHeight="1" x14ac:dyDescent="0.25">
      <c r="B3490" s="7"/>
      <c r="C3490" s="140">
        <v>3462</v>
      </c>
      <c r="D3490" s="142"/>
      <c r="E3490" s="142"/>
      <c r="F3490" s="142"/>
      <c r="G3490" s="142"/>
      <c r="H3490" s="141"/>
      <c r="I3490" s="8"/>
    </row>
    <row r="3491" spans="2:9" ht="15" hidden="1" customHeight="1" x14ac:dyDescent="0.25">
      <c r="B3491" s="7"/>
      <c r="C3491" s="140">
        <v>3463</v>
      </c>
      <c r="D3491" s="142"/>
      <c r="E3491" s="142"/>
      <c r="F3491" s="142"/>
      <c r="G3491" s="142"/>
      <c r="H3491" s="141"/>
      <c r="I3491" s="8"/>
    </row>
    <row r="3492" spans="2:9" ht="15" hidden="1" customHeight="1" x14ac:dyDescent="0.25">
      <c r="B3492" s="7"/>
      <c r="C3492" s="140">
        <v>3464</v>
      </c>
      <c r="D3492" s="142"/>
      <c r="E3492" s="142"/>
      <c r="F3492" s="142"/>
      <c r="G3492" s="142"/>
      <c r="H3492" s="141"/>
      <c r="I3492" s="8"/>
    </row>
    <row r="3493" spans="2:9" ht="15" hidden="1" customHeight="1" x14ac:dyDescent="0.25">
      <c r="B3493" s="7"/>
      <c r="C3493" s="140">
        <v>3465</v>
      </c>
      <c r="D3493" s="142"/>
      <c r="E3493" s="142"/>
      <c r="F3493" s="142"/>
      <c r="G3493" s="142"/>
      <c r="H3493" s="141"/>
      <c r="I3493" s="8"/>
    </row>
    <row r="3494" spans="2:9" ht="15" hidden="1" customHeight="1" x14ac:dyDescent="0.25">
      <c r="B3494" s="7"/>
      <c r="C3494" s="140">
        <v>3466</v>
      </c>
      <c r="D3494" s="142"/>
      <c r="E3494" s="142"/>
      <c r="F3494" s="142"/>
      <c r="G3494" s="142"/>
      <c r="H3494" s="141"/>
      <c r="I3494" s="8"/>
    </row>
    <row r="3495" spans="2:9" ht="15" hidden="1" customHeight="1" x14ac:dyDescent="0.25">
      <c r="B3495" s="7"/>
      <c r="C3495" s="140">
        <v>3467</v>
      </c>
      <c r="D3495" s="142"/>
      <c r="E3495" s="142"/>
      <c r="F3495" s="142"/>
      <c r="G3495" s="142"/>
      <c r="H3495" s="141"/>
      <c r="I3495" s="8"/>
    </row>
    <row r="3496" spans="2:9" ht="15" hidden="1" customHeight="1" x14ac:dyDescent="0.25">
      <c r="B3496" s="7"/>
      <c r="C3496" s="140">
        <v>3468</v>
      </c>
      <c r="D3496" s="142"/>
      <c r="E3496" s="142"/>
      <c r="F3496" s="142"/>
      <c r="G3496" s="142"/>
      <c r="H3496" s="141"/>
      <c r="I3496" s="8"/>
    </row>
    <row r="3497" spans="2:9" ht="15" hidden="1" customHeight="1" x14ac:dyDescent="0.25">
      <c r="B3497" s="7"/>
      <c r="C3497" s="140">
        <v>3469</v>
      </c>
      <c r="D3497" s="142"/>
      <c r="E3497" s="142"/>
      <c r="F3497" s="142"/>
      <c r="G3497" s="142"/>
      <c r="H3497" s="141"/>
      <c r="I3497" s="8"/>
    </row>
    <row r="3498" spans="2:9" ht="15" hidden="1" customHeight="1" x14ac:dyDescent="0.25">
      <c r="B3498" s="7"/>
      <c r="C3498" s="140">
        <v>3470</v>
      </c>
      <c r="D3498" s="142"/>
      <c r="E3498" s="142"/>
      <c r="F3498" s="142"/>
      <c r="G3498" s="142"/>
      <c r="H3498" s="141"/>
      <c r="I3498" s="8"/>
    </row>
    <row r="3499" spans="2:9" ht="15" hidden="1" customHeight="1" x14ac:dyDescent="0.25">
      <c r="B3499" s="7"/>
      <c r="C3499" s="140">
        <v>3471</v>
      </c>
      <c r="D3499" s="142"/>
      <c r="E3499" s="142"/>
      <c r="F3499" s="142"/>
      <c r="G3499" s="142"/>
      <c r="H3499" s="141"/>
      <c r="I3499" s="8"/>
    </row>
    <row r="3500" spans="2:9" ht="15" hidden="1" customHeight="1" x14ac:dyDescent="0.25">
      <c r="B3500" s="7"/>
      <c r="C3500" s="140">
        <v>3472</v>
      </c>
      <c r="D3500" s="142"/>
      <c r="E3500" s="142"/>
      <c r="F3500" s="142"/>
      <c r="G3500" s="142"/>
      <c r="H3500" s="141"/>
      <c r="I3500" s="8"/>
    </row>
    <row r="3501" spans="2:9" ht="15" hidden="1" customHeight="1" x14ac:dyDescent="0.25">
      <c r="B3501" s="7"/>
      <c r="C3501" s="140">
        <v>3473</v>
      </c>
      <c r="D3501" s="142"/>
      <c r="E3501" s="142"/>
      <c r="F3501" s="142"/>
      <c r="G3501" s="142"/>
      <c r="H3501" s="141"/>
      <c r="I3501" s="8"/>
    </row>
    <row r="3502" spans="2:9" ht="15" hidden="1" customHeight="1" x14ac:dyDescent="0.25">
      <c r="B3502" s="7"/>
      <c r="C3502" s="140">
        <v>3474</v>
      </c>
      <c r="D3502" s="142"/>
      <c r="E3502" s="142"/>
      <c r="F3502" s="142"/>
      <c r="G3502" s="142"/>
      <c r="H3502" s="141"/>
      <c r="I3502" s="8"/>
    </row>
    <row r="3503" spans="2:9" ht="15" hidden="1" customHeight="1" x14ac:dyDescent="0.25">
      <c r="B3503" s="7"/>
      <c r="C3503" s="140">
        <v>3475</v>
      </c>
      <c r="D3503" s="142"/>
      <c r="E3503" s="142"/>
      <c r="F3503" s="142"/>
      <c r="G3503" s="142"/>
      <c r="H3503" s="141"/>
      <c r="I3503" s="8"/>
    </row>
    <row r="3504" spans="2:9" ht="15" hidden="1" customHeight="1" x14ac:dyDescent="0.25">
      <c r="B3504" s="7"/>
      <c r="C3504" s="140">
        <v>3476</v>
      </c>
      <c r="D3504" s="142"/>
      <c r="E3504" s="142"/>
      <c r="F3504" s="142"/>
      <c r="G3504" s="142"/>
      <c r="H3504" s="141"/>
      <c r="I3504" s="8"/>
    </row>
    <row r="3505" spans="2:9" ht="15" hidden="1" customHeight="1" x14ac:dyDescent="0.25">
      <c r="B3505" s="7"/>
      <c r="C3505" s="140">
        <v>3477</v>
      </c>
      <c r="D3505" s="142"/>
      <c r="E3505" s="142"/>
      <c r="F3505" s="142"/>
      <c r="G3505" s="142"/>
      <c r="H3505" s="141"/>
      <c r="I3505" s="8"/>
    </row>
    <row r="3506" spans="2:9" ht="15" hidden="1" customHeight="1" x14ac:dyDescent="0.25">
      <c r="B3506" s="7"/>
      <c r="C3506" s="140">
        <v>3478</v>
      </c>
      <c r="D3506" s="142"/>
      <c r="E3506" s="142"/>
      <c r="F3506" s="142"/>
      <c r="G3506" s="142"/>
      <c r="H3506" s="141"/>
      <c r="I3506" s="8"/>
    </row>
    <row r="3507" spans="2:9" ht="15" hidden="1" customHeight="1" x14ac:dyDescent="0.25">
      <c r="B3507" s="7"/>
      <c r="C3507" s="140">
        <v>3479</v>
      </c>
      <c r="D3507" s="142"/>
      <c r="E3507" s="142"/>
      <c r="F3507" s="142"/>
      <c r="G3507" s="142"/>
      <c r="H3507" s="141"/>
      <c r="I3507" s="8"/>
    </row>
    <row r="3508" spans="2:9" ht="15" hidden="1" customHeight="1" x14ac:dyDescent="0.25">
      <c r="B3508" s="7"/>
      <c r="C3508" s="140">
        <v>3480</v>
      </c>
      <c r="D3508" s="142"/>
      <c r="E3508" s="142"/>
      <c r="F3508" s="142"/>
      <c r="G3508" s="142"/>
      <c r="H3508" s="141"/>
      <c r="I3508" s="8"/>
    </row>
    <row r="3509" spans="2:9" ht="15" hidden="1" customHeight="1" x14ac:dyDescent="0.25">
      <c r="B3509" s="7"/>
      <c r="C3509" s="140">
        <v>3481</v>
      </c>
      <c r="D3509" s="142"/>
      <c r="E3509" s="142"/>
      <c r="F3509" s="142"/>
      <c r="G3509" s="142"/>
      <c r="H3509" s="141"/>
      <c r="I3509" s="8"/>
    </row>
    <row r="3510" spans="2:9" ht="15" hidden="1" customHeight="1" x14ac:dyDescent="0.25">
      <c r="B3510" s="7"/>
      <c r="C3510" s="140">
        <v>3482</v>
      </c>
      <c r="D3510" s="142"/>
      <c r="E3510" s="142"/>
      <c r="F3510" s="142"/>
      <c r="G3510" s="142"/>
      <c r="H3510" s="141"/>
      <c r="I3510" s="8"/>
    </row>
    <row r="3511" spans="2:9" ht="15" hidden="1" customHeight="1" x14ac:dyDescent="0.25">
      <c r="B3511" s="7"/>
      <c r="C3511" s="140">
        <v>3483</v>
      </c>
      <c r="D3511" s="142"/>
      <c r="E3511" s="142"/>
      <c r="F3511" s="142"/>
      <c r="G3511" s="142"/>
      <c r="H3511" s="141"/>
      <c r="I3511" s="8"/>
    </row>
    <row r="3512" spans="2:9" ht="15" hidden="1" customHeight="1" x14ac:dyDescent="0.25">
      <c r="B3512" s="7"/>
      <c r="C3512" s="140">
        <v>3484</v>
      </c>
      <c r="D3512" s="142"/>
      <c r="E3512" s="142"/>
      <c r="F3512" s="142"/>
      <c r="G3512" s="142"/>
      <c r="H3512" s="141"/>
      <c r="I3512" s="8"/>
    </row>
    <row r="3513" spans="2:9" ht="15" hidden="1" customHeight="1" x14ac:dyDescent="0.25">
      <c r="B3513" s="7"/>
      <c r="C3513" s="140">
        <v>3485</v>
      </c>
      <c r="D3513" s="142"/>
      <c r="E3513" s="142"/>
      <c r="F3513" s="142"/>
      <c r="G3513" s="142"/>
      <c r="H3513" s="141"/>
      <c r="I3513" s="8"/>
    </row>
    <row r="3514" spans="2:9" ht="15" hidden="1" customHeight="1" x14ac:dyDescent="0.25">
      <c r="B3514" s="7"/>
      <c r="C3514" s="140">
        <v>3486</v>
      </c>
      <c r="D3514" s="142"/>
      <c r="E3514" s="142"/>
      <c r="F3514" s="142"/>
      <c r="G3514" s="142"/>
      <c r="H3514" s="141"/>
      <c r="I3514" s="8"/>
    </row>
    <row r="3515" spans="2:9" ht="15" hidden="1" customHeight="1" x14ac:dyDescent="0.25">
      <c r="B3515" s="7"/>
      <c r="C3515" s="140">
        <v>3487</v>
      </c>
      <c r="D3515" s="142"/>
      <c r="E3515" s="142"/>
      <c r="F3515" s="142"/>
      <c r="G3515" s="142"/>
      <c r="H3515" s="141"/>
      <c r="I3515" s="8"/>
    </row>
    <row r="3516" spans="2:9" ht="15" hidden="1" customHeight="1" x14ac:dyDescent="0.25">
      <c r="B3516" s="7"/>
      <c r="C3516" s="140">
        <v>3488</v>
      </c>
      <c r="D3516" s="142"/>
      <c r="E3516" s="142"/>
      <c r="F3516" s="142"/>
      <c r="G3516" s="142"/>
      <c r="H3516" s="141"/>
      <c r="I3516" s="8"/>
    </row>
    <row r="3517" spans="2:9" ht="15" hidden="1" customHeight="1" x14ac:dyDescent="0.25">
      <c r="B3517" s="7"/>
      <c r="C3517" s="140">
        <v>3489</v>
      </c>
      <c r="D3517" s="142"/>
      <c r="E3517" s="142"/>
      <c r="F3517" s="142"/>
      <c r="G3517" s="142"/>
      <c r="H3517" s="141"/>
      <c r="I3517" s="8"/>
    </row>
    <row r="3518" spans="2:9" ht="15" hidden="1" customHeight="1" x14ac:dyDescent="0.25">
      <c r="B3518" s="7"/>
      <c r="C3518" s="140">
        <v>3490</v>
      </c>
      <c r="D3518" s="142"/>
      <c r="E3518" s="142"/>
      <c r="F3518" s="142"/>
      <c r="G3518" s="142"/>
      <c r="H3518" s="141"/>
      <c r="I3518" s="8"/>
    </row>
    <row r="3519" spans="2:9" ht="15" hidden="1" customHeight="1" x14ac:dyDescent="0.25">
      <c r="B3519" s="7"/>
      <c r="C3519" s="140">
        <v>3491</v>
      </c>
      <c r="D3519" s="142"/>
      <c r="E3519" s="142"/>
      <c r="F3519" s="142"/>
      <c r="G3519" s="142"/>
      <c r="H3519" s="141"/>
      <c r="I3519" s="8"/>
    </row>
    <row r="3520" spans="2:9" ht="15" hidden="1" customHeight="1" x14ac:dyDescent="0.25">
      <c r="B3520" s="7"/>
      <c r="C3520" s="140">
        <v>3492</v>
      </c>
      <c r="D3520" s="142"/>
      <c r="E3520" s="142"/>
      <c r="F3520" s="142"/>
      <c r="G3520" s="142"/>
      <c r="H3520" s="141"/>
      <c r="I3520" s="8"/>
    </row>
    <row r="3521" spans="2:9" ht="15" hidden="1" customHeight="1" x14ac:dyDescent="0.25">
      <c r="B3521" s="7"/>
      <c r="C3521" s="140">
        <v>3493</v>
      </c>
      <c r="D3521" s="142"/>
      <c r="E3521" s="142"/>
      <c r="F3521" s="142"/>
      <c r="G3521" s="142"/>
      <c r="H3521" s="141"/>
      <c r="I3521" s="8"/>
    </row>
    <row r="3522" spans="2:9" ht="15" hidden="1" customHeight="1" x14ac:dyDescent="0.25">
      <c r="B3522" s="7"/>
      <c r="C3522" s="140">
        <v>3494</v>
      </c>
      <c r="D3522" s="142"/>
      <c r="E3522" s="142"/>
      <c r="F3522" s="142"/>
      <c r="G3522" s="142"/>
      <c r="H3522" s="141"/>
      <c r="I3522" s="8"/>
    </row>
    <row r="3523" spans="2:9" ht="15" hidden="1" customHeight="1" x14ac:dyDescent="0.25">
      <c r="B3523" s="7"/>
      <c r="C3523" s="140">
        <v>3495</v>
      </c>
      <c r="D3523" s="142"/>
      <c r="E3523" s="142"/>
      <c r="F3523" s="142"/>
      <c r="G3523" s="142"/>
      <c r="H3523" s="141"/>
      <c r="I3523" s="8"/>
    </row>
    <row r="3524" spans="2:9" ht="15" hidden="1" customHeight="1" x14ac:dyDescent="0.25">
      <c r="B3524" s="7"/>
      <c r="C3524" s="140">
        <v>3496</v>
      </c>
      <c r="D3524" s="142"/>
      <c r="E3524" s="142"/>
      <c r="F3524" s="142"/>
      <c r="G3524" s="142"/>
      <c r="H3524" s="141"/>
      <c r="I3524" s="8"/>
    </row>
    <row r="3525" spans="2:9" ht="15" hidden="1" customHeight="1" x14ac:dyDescent="0.25">
      <c r="B3525" s="7"/>
      <c r="C3525" s="140">
        <v>3497</v>
      </c>
      <c r="D3525" s="142"/>
      <c r="E3525" s="142"/>
      <c r="F3525" s="142"/>
      <c r="G3525" s="142"/>
      <c r="H3525" s="141"/>
      <c r="I3525" s="8"/>
    </row>
    <row r="3526" spans="2:9" ht="15" hidden="1" customHeight="1" x14ac:dyDescent="0.25">
      <c r="B3526" s="7"/>
      <c r="C3526" s="140">
        <v>3498</v>
      </c>
      <c r="D3526" s="142"/>
      <c r="E3526" s="142"/>
      <c r="F3526" s="142"/>
      <c r="G3526" s="142"/>
      <c r="H3526" s="141"/>
      <c r="I3526" s="8"/>
    </row>
    <row r="3527" spans="2:9" ht="15" hidden="1" customHeight="1" x14ac:dyDescent="0.25">
      <c r="B3527" s="7"/>
      <c r="C3527" s="140">
        <v>3499</v>
      </c>
      <c r="D3527" s="142"/>
      <c r="E3527" s="142"/>
      <c r="F3527" s="142"/>
      <c r="G3527" s="142"/>
      <c r="H3527" s="141"/>
      <c r="I3527" s="8"/>
    </row>
    <row r="3528" spans="2:9" ht="15" hidden="1" customHeight="1" x14ac:dyDescent="0.25">
      <c r="B3528" s="7"/>
      <c r="C3528" s="140">
        <v>3500</v>
      </c>
      <c r="D3528" s="142"/>
      <c r="E3528" s="142"/>
      <c r="F3528" s="142"/>
      <c r="G3528" s="142"/>
      <c r="H3528" s="141"/>
      <c r="I3528" s="8"/>
    </row>
    <row r="3529" spans="2:9" ht="15" hidden="1" customHeight="1" x14ac:dyDescent="0.25">
      <c r="B3529" s="7"/>
      <c r="C3529" s="140">
        <v>3501</v>
      </c>
      <c r="D3529" s="142"/>
      <c r="E3529" s="142"/>
      <c r="F3529" s="142"/>
      <c r="G3529" s="142"/>
      <c r="H3529" s="141"/>
      <c r="I3529" s="8"/>
    </row>
    <row r="3530" spans="2:9" ht="15" hidden="1" customHeight="1" x14ac:dyDescent="0.25">
      <c r="B3530" s="7"/>
      <c r="C3530" s="140">
        <v>3502</v>
      </c>
      <c r="D3530" s="142"/>
      <c r="E3530" s="142"/>
      <c r="F3530" s="142"/>
      <c r="G3530" s="142"/>
      <c r="H3530" s="141"/>
      <c r="I3530" s="8"/>
    </row>
    <row r="3531" spans="2:9" ht="15" hidden="1" customHeight="1" x14ac:dyDescent="0.25">
      <c r="B3531" s="7"/>
      <c r="C3531" s="140">
        <v>3503</v>
      </c>
      <c r="D3531" s="142"/>
      <c r="E3531" s="142"/>
      <c r="F3531" s="142"/>
      <c r="G3531" s="142"/>
      <c r="H3531" s="141"/>
      <c r="I3531" s="8"/>
    </row>
    <row r="3532" spans="2:9" ht="15" hidden="1" customHeight="1" x14ac:dyDescent="0.25">
      <c r="B3532" s="7"/>
      <c r="C3532" s="140">
        <v>3504</v>
      </c>
      <c r="D3532" s="142"/>
      <c r="E3532" s="142"/>
      <c r="F3532" s="142"/>
      <c r="G3532" s="142"/>
      <c r="H3532" s="141"/>
      <c r="I3532" s="8"/>
    </row>
    <row r="3533" spans="2:9" ht="15" hidden="1" customHeight="1" x14ac:dyDescent="0.25">
      <c r="B3533" s="7"/>
      <c r="C3533" s="140">
        <v>3505</v>
      </c>
      <c r="D3533" s="142"/>
      <c r="E3533" s="142"/>
      <c r="F3533" s="142"/>
      <c r="G3533" s="142"/>
      <c r="H3533" s="141"/>
      <c r="I3533" s="8"/>
    </row>
    <row r="3534" spans="2:9" ht="15" hidden="1" customHeight="1" x14ac:dyDescent="0.25">
      <c r="B3534" s="7"/>
      <c r="C3534" s="140">
        <v>3506</v>
      </c>
      <c r="D3534" s="142"/>
      <c r="E3534" s="142"/>
      <c r="F3534" s="142"/>
      <c r="G3534" s="142"/>
      <c r="H3534" s="141"/>
      <c r="I3534" s="8"/>
    </row>
    <row r="3535" spans="2:9" ht="15" hidden="1" customHeight="1" x14ac:dyDescent="0.25">
      <c r="B3535" s="7"/>
      <c r="C3535" s="140">
        <v>3507</v>
      </c>
      <c r="D3535" s="142"/>
      <c r="E3535" s="142"/>
      <c r="F3535" s="142"/>
      <c r="G3535" s="142"/>
      <c r="H3535" s="141"/>
      <c r="I3535" s="8"/>
    </row>
    <row r="3536" spans="2:9" ht="15" hidden="1" customHeight="1" x14ac:dyDescent="0.25">
      <c r="B3536" s="7"/>
      <c r="C3536" s="140">
        <v>3508</v>
      </c>
      <c r="D3536" s="142"/>
      <c r="E3536" s="142"/>
      <c r="F3536" s="142"/>
      <c r="G3536" s="142"/>
      <c r="H3536" s="141"/>
      <c r="I3536" s="8"/>
    </row>
    <row r="3537" spans="2:9" ht="15" hidden="1" customHeight="1" x14ac:dyDescent="0.25">
      <c r="B3537" s="7"/>
      <c r="C3537" s="140">
        <v>3509</v>
      </c>
      <c r="D3537" s="142"/>
      <c r="E3537" s="142"/>
      <c r="F3537" s="142"/>
      <c r="G3537" s="142"/>
      <c r="H3537" s="141"/>
      <c r="I3537" s="8"/>
    </row>
    <row r="3538" spans="2:9" ht="15" hidden="1" customHeight="1" x14ac:dyDescent="0.25">
      <c r="B3538" s="7"/>
      <c r="C3538" s="140">
        <v>3510</v>
      </c>
      <c r="D3538" s="142"/>
      <c r="E3538" s="142"/>
      <c r="F3538" s="142"/>
      <c r="G3538" s="142"/>
      <c r="H3538" s="141"/>
      <c r="I3538" s="8"/>
    </row>
    <row r="3539" spans="2:9" ht="15" hidden="1" customHeight="1" x14ac:dyDescent="0.25">
      <c r="B3539" s="7"/>
      <c r="C3539" s="140">
        <v>3511</v>
      </c>
      <c r="D3539" s="142"/>
      <c r="E3539" s="142"/>
      <c r="F3539" s="142"/>
      <c r="G3539" s="142"/>
      <c r="H3539" s="141"/>
      <c r="I3539" s="8"/>
    </row>
    <row r="3540" spans="2:9" ht="15" hidden="1" customHeight="1" x14ac:dyDescent="0.25">
      <c r="B3540" s="7"/>
      <c r="C3540" s="140">
        <v>3512</v>
      </c>
      <c r="D3540" s="142"/>
      <c r="E3540" s="142"/>
      <c r="F3540" s="142"/>
      <c r="G3540" s="142"/>
      <c r="H3540" s="141"/>
      <c r="I3540" s="8"/>
    </row>
    <row r="3541" spans="2:9" ht="15" hidden="1" customHeight="1" x14ac:dyDescent="0.25">
      <c r="B3541" s="7"/>
      <c r="C3541" s="140">
        <v>3513</v>
      </c>
      <c r="D3541" s="142"/>
      <c r="E3541" s="142"/>
      <c r="F3541" s="142"/>
      <c r="G3541" s="142"/>
      <c r="H3541" s="141"/>
      <c r="I3541" s="8"/>
    </row>
    <row r="3542" spans="2:9" ht="15" hidden="1" customHeight="1" x14ac:dyDescent="0.25">
      <c r="B3542" s="7"/>
      <c r="C3542" s="140">
        <v>3514</v>
      </c>
      <c r="D3542" s="142"/>
      <c r="E3542" s="142"/>
      <c r="F3542" s="142"/>
      <c r="G3542" s="142"/>
      <c r="H3542" s="141"/>
      <c r="I3542" s="8"/>
    </row>
    <row r="3543" spans="2:9" ht="15" hidden="1" customHeight="1" x14ac:dyDescent="0.25">
      <c r="B3543" s="7"/>
      <c r="C3543" s="140">
        <v>3515</v>
      </c>
      <c r="D3543" s="142"/>
      <c r="E3543" s="142"/>
      <c r="F3543" s="142"/>
      <c r="G3543" s="142"/>
      <c r="H3543" s="141"/>
      <c r="I3543" s="8"/>
    </row>
    <row r="3544" spans="2:9" ht="15" hidden="1" customHeight="1" x14ac:dyDescent="0.25">
      <c r="B3544" s="7"/>
      <c r="C3544" s="140">
        <v>3516</v>
      </c>
      <c r="D3544" s="142"/>
      <c r="E3544" s="142"/>
      <c r="F3544" s="142"/>
      <c r="G3544" s="142"/>
      <c r="H3544" s="141"/>
      <c r="I3544" s="8"/>
    </row>
    <row r="3545" spans="2:9" ht="15" hidden="1" customHeight="1" x14ac:dyDescent="0.25">
      <c r="B3545" s="7"/>
      <c r="C3545" s="140">
        <v>3517</v>
      </c>
      <c r="D3545" s="142"/>
      <c r="E3545" s="142"/>
      <c r="F3545" s="142"/>
      <c r="G3545" s="142"/>
      <c r="H3545" s="141"/>
      <c r="I3545" s="8"/>
    </row>
    <row r="3546" spans="2:9" ht="15" hidden="1" customHeight="1" x14ac:dyDescent="0.25">
      <c r="B3546" s="7"/>
      <c r="C3546" s="140">
        <v>3518</v>
      </c>
      <c r="D3546" s="142"/>
      <c r="E3546" s="142"/>
      <c r="F3546" s="142"/>
      <c r="G3546" s="142"/>
      <c r="H3546" s="141"/>
      <c r="I3546" s="8"/>
    </row>
    <row r="3547" spans="2:9" ht="15" hidden="1" customHeight="1" x14ac:dyDescent="0.25">
      <c r="B3547" s="7"/>
      <c r="C3547" s="140">
        <v>3519</v>
      </c>
      <c r="D3547" s="142"/>
      <c r="E3547" s="142"/>
      <c r="F3547" s="142"/>
      <c r="G3547" s="142"/>
      <c r="H3547" s="141"/>
      <c r="I3547" s="8"/>
    </row>
    <row r="3548" spans="2:9" ht="15" hidden="1" customHeight="1" x14ac:dyDescent="0.25">
      <c r="B3548" s="7"/>
      <c r="C3548" s="140">
        <v>3520</v>
      </c>
      <c r="D3548" s="142"/>
      <c r="E3548" s="142"/>
      <c r="F3548" s="142"/>
      <c r="G3548" s="142"/>
      <c r="H3548" s="141"/>
      <c r="I3548" s="8"/>
    </row>
    <row r="3549" spans="2:9" ht="15" hidden="1" customHeight="1" x14ac:dyDescent="0.25">
      <c r="B3549" s="7"/>
      <c r="C3549" s="140">
        <v>3521</v>
      </c>
      <c r="D3549" s="142"/>
      <c r="E3549" s="142"/>
      <c r="F3549" s="142"/>
      <c r="G3549" s="142"/>
      <c r="H3549" s="141"/>
      <c r="I3549" s="8"/>
    </row>
    <row r="3550" spans="2:9" ht="15" hidden="1" customHeight="1" x14ac:dyDescent="0.25">
      <c r="B3550" s="7"/>
      <c r="C3550" s="140">
        <v>3522</v>
      </c>
      <c r="D3550" s="142"/>
      <c r="E3550" s="142"/>
      <c r="F3550" s="142"/>
      <c r="G3550" s="142"/>
      <c r="H3550" s="141"/>
      <c r="I3550" s="8"/>
    </row>
    <row r="3551" spans="2:9" ht="15" hidden="1" customHeight="1" x14ac:dyDescent="0.25">
      <c r="B3551" s="7"/>
      <c r="C3551" s="140">
        <v>3523</v>
      </c>
      <c r="D3551" s="142"/>
      <c r="E3551" s="142"/>
      <c r="F3551" s="142"/>
      <c r="G3551" s="142"/>
      <c r="H3551" s="141"/>
      <c r="I3551" s="8"/>
    </row>
    <row r="3552" spans="2:9" ht="15" hidden="1" customHeight="1" x14ac:dyDescent="0.25">
      <c r="B3552" s="7"/>
      <c r="C3552" s="140">
        <v>3524</v>
      </c>
      <c r="D3552" s="142"/>
      <c r="E3552" s="142"/>
      <c r="F3552" s="142"/>
      <c r="G3552" s="142"/>
      <c r="H3552" s="141"/>
      <c r="I3552" s="8"/>
    </row>
    <row r="3553" spans="2:9" ht="15" hidden="1" customHeight="1" x14ac:dyDescent="0.25">
      <c r="B3553" s="7"/>
      <c r="C3553" s="140">
        <v>3525</v>
      </c>
      <c r="D3553" s="142"/>
      <c r="E3553" s="142"/>
      <c r="F3553" s="142"/>
      <c r="G3553" s="142"/>
      <c r="H3553" s="141"/>
      <c r="I3553" s="8"/>
    </row>
    <row r="3554" spans="2:9" ht="15" hidden="1" customHeight="1" x14ac:dyDescent="0.25">
      <c r="B3554" s="7"/>
      <c r="C3554" s="140">
        <v>3526</v>
      </c>
      <c r="D3554" s="142"/>
      <c r="E3554" s="142"/>
      <c r="F3554" s="142"/>
      <c r="G3554" s="142"/>
      <c r="H3554" s="141"/>
      <c r="I3554" s="8"/>
    </row>
    <row r="3555" spans="2:9" ht="15" hidden="1" customHeight="1" x14ac:dyDescent="0.25">
      <c r="B3555" s="7"/>
      <c r="C3555" s="140">
        <v>3527</v>
      </c>
      <c r="D3555" s="142"/>
      <c r="E3555" s="142"/>
      <c r="F3555" s="142"/>
      <c r="G3555" s="142"/>
      <c r="H3555" s="141"/>
      <c r="I3555" s="8"/>
    </row>
    <row r="3556" spans="2:9" ht="15" hidden="1" customHeight="1" x14ac:dyDescent="0.25">
      <c r="B3556" s="7"/>
      <c r="C3556" s="140">
        <v>3528</v>
      </c>
      <c r="D3556" s="142"/>
      <c r="E3556" s="142"/>
      <c r="F3556" s="142"/>
      <c r="G3556" s="142"/>
      <c r="H3556" s="141"/>
      <c r="I3556" s="8"/>
    </row>
    <row r="3557" spans="2:9" ht="15" hidden="1" customHeight="1" x14ac:dyDescent="0.25">
      <c r="B3557" s="7"/>
      <c r="C3557" s="140">
        <v>3529</v>
      </c>
      <c r="D3557" s="142"/>
      <c r="E3557" s="142"/>
      <c r="F3557" s="142"/>
      <c r="G3557" s="142"/>
      <c r="H3557" s="141"/>
      <c r="I3557" s="8"/>
    </row>
    <row r="3558" spans="2:9" ht="15" hidden="1" customHeight="1" x14ac:dyDescent="0.25">
      <c r="B3558" s="7"/>
      <c r="C3558" s="140">
        <v>3530</v>
      </c>
      <c r="D3558" s="142"/>
      <c r="E3558" s="142"/>
      <c r="F3558" s="142"/>
      <c r="G3558" s="142"/>
      <c r="H3558" s="141"/>
      <c r="I3558" s="8"/>
    </row>
    <row r="3559" spans="2:9" ht="15" hidden="1" customHeight="1" x14ac:dyDescent="0.25">
      <c r="B3559" s="7"/>
      <c r="C3559" s="140">
        <v>3531</v>
      </c>
      <c r="D3559" s="142"/>
      <c r="E3559" s="142"/>
      <c r="F3559" s="142"/>
      <c r="G3559" s="142"/>
      <c r="H3559" s="141"/>
      <c r="I3559" s="8"/>
    </row>
    <row r="3560" spans="2:9" ht="15" hidden="1" customHeight="1" x14ac:dyDescent="0.25">
      <c r="B3560" s="7"/>
      <c r="C3560" s="140">
        <v>3532</v>
      </c>
      <c r="D3560" s="142"/>
      <c r="E3560" s="142"/>
      <c r="F3560" s="142"/>
      <c r="G3560" s="142"/>
      <c r="H3560" s="141"/>
      <c r="I3560" s="8"/>
    </row>
    <row r="3561" spans="2:9" ht="15" hidden="1" customHeight="1" x14ac:dyDescent="0.25">
      <c r="B3561" s="7"/>
      <c r="C3561" s="140">
        <v>3533</v>
      </c>
      <c r="D3561" s="142"/>
      <c r="E3561" s="142"/>
      <c r="F3561" s="142"/>
      <c r="G3561" s="142"/>
      <c r="H3561" s="141"/>
      <c r="I3561" s="8"/>
    </row>
    <row r="3562" spans="2:9" ht="15" hidden="1" customHeight="1" x14ac:dyDescent="0.25">
      <c r="B3562" s="7"/>
      <c r="C3562" s="140">
        <v>3534</v>
      </c>
      <c r="D3562" s="142"/>
      <c r="E3562" s="142"/>
      <c r="F3562" s="142"/>
      <c r="G3562" s="142"/>
      <c r="H3562" s="141"/>
      <c r="I3562" s="8"/>
    </row>
    <row r="3563" spans="2:9" ht="15" hidden="1" customHeight="1" x14ac:dyDescent="0.25">
      <c r="B3563" s="7"/>
      <c r="C3563" s="140">
        <v>3535</v>
      </c>
      <c r="D3563" s="142"/>
      <c r="E3563" s="142"/>
      <c r="F3563" s="142"/>
      <c r="G3563" s="142"/>
      <c r="H3563" s="141"/>
      <c r="I3563" s="8"/>
    </row>
    <row r="3564" spans="2:9" ht="15" hidden="1" customHeight="1" x14ac:dyDescent="0.25">
      <c r="B3564" s="7"/>
      <c r="C3564" s="140">
        <v>3536</v>
      </c>
      <c r="D3564" s="142"/>
      <c r="E3564" s="142"/>
      <c r="F3564" s="142"/>
      <c r="G3564" s="142"/>
      <c r="H3564" s="141"/>
      <c r="I3564" s="8"/>
    </row>
    <row r="3565" spans="2:9" ht="15" hidden="1" customHeight="1" x14ac:dyDescent="0.25">
      <c r="B3565" s="7"/>
      <c r="C3565" s="140">
        <v>3537</v>
      </c>
      <c r="D3565" s="142"/>
      <c r="E3565" s="142"/>
      <c r="F3565" s="142"/>
      <c r="G3565" s="142"/>
      <c r="H3565" s="141"/>
      <c r="I3565" s="8"/>
    </row>
    <row r="3566" spans="2:9" ht="15" hidden="1" customHeight="1" x14ac:dyDescent="0.25">
      <c r="B3566" s="7"/>
      <c r="C3566" s="140">
        <v>3538</v>
      </c>
      <c r="D3566" s="142"/>
      <c r="E3566" s="142"/>
      <c r="F3566" s="142"/>
      <c r="G3566" s="142"/>
      <c r="H3566" s="141"/>
      <c r="I3566" s="8"/>
    </row>
    <row r="3567" spans="2:9" ht="15" hidden="1" customHeight="1" x14ac:dyDescent="0.25">
      <c r="B3567" s="7"/>
      <c r="C3567" s="140">
        <v>3539</v>
      </c>
      <c r="D3567" s="142"/>
      <c r="E3567" s="142"/>
      <c r="F3567" s="142"/>
      <c r="G3567" s="142"/>
      <c r="H3567" s="141"/>
      <c r="I3567" s="8"/>
    </row>
    <row r="3568" spans="2:9" ht="15" hidden="1" customHeight="1" x14ac:dyDescent="0.25">
      <c r="B3568" s="7"/>
      <c r="C3568" s="140">
        <v>3540</v>
      </c>
      <c r="D3568" s="142"/>
      <c r="E3568" s="142"/>
      <c r="F3568" s="142"/>
      <c r="G3568" s="142"/>
      <c r="H3568" s="141"/>
      <c r="I3568" s="8"/>
    </row>
    <row r="3569" spans="2:9" ht="15" hidden="1" customHeight="1" x14ac:dyDescent="0.25">
      <c r="B3569" s="7"/>
      <c r="C3569" s="140">
        <v>3541</v>
      </c>
      <c r="D3569" s="142"/>
      <c r="E3569" s="142"/>
      <c r="F3569" s="142"/>
      <c r="G3569" s="142"/>
      <c r="H3569" s="141"/>
      <c r="I3569" s="8"/>
    </row>
    <row r="3570" spans="2:9" ht="15" hidden="1" customHeight="1" x14ac:dyDescent="0.25">
      <c r="B3570" s="7"/>
      <c r="C3570" s="140">
        <v>3542</v>
      </c>
      <c r="D3570" s="142"/>
      <c r="E3570" s="142"/>
      <c r="F3570" s="142"/>
      <c r="G3570" s="142"/>
      <c r="H3570" s="141"/>
      <c r="I3570" s="8"/>
    </row>
    <row r="3571" spans="2:9" ht="15" hidden="1" customHeight="1" x14ac:dyDescent="0.25">
      <c r="B3571" s="7"/>
      <c r="C3571" s="140">
        <v>3543</v>
      </c>
      <c r="D3571" s="142"/>
      <c r="E3571" s="142"/>
      <c r="F3571" s="142"/>
      <c r="G3571" s="142"/>
      <c r="H3571" s="141"/>
      <c r="I3571" s="8"/>
    </row>
    <row r="3572" spans="2:9" ht="15" hidden="1" customHeight="1" x14ac:dyDescent="0.25">
      <c r="B3572" s="7"/>
      <c r="C3572" s="140">
        <v>3544</v>
      </c>
      <c r="D3572" s="142"/>
      <c r="E3572" s="142"/>
      <c r="F3572" s="142"/>
      <c r="G3572" s="142"/>
      <c r="H3572" s="141"/>
      <c r="I3572" s="8"/>
    </row>
    <row r="3573" spans="2:9" ht="15" hidden="1" customHeight="1" x14ac:dyDescent="0.25">
      <c r="B3573" s="7"/>
      <c r="C3573" s="140">
        <v>3545</v>
      </c>
      <c r="D3573" s="142"/>
      <c r="E3573" s="142"/>
      <c r="F3573" s="142"/>
      <c r="G3573" s="142"/>
      <c r="H3573" s="141"/>
      <c r="I3573" s="8"/>
    </row>
    <row r="3574" spans="2:9" ht="15" hidden="1" customHeight="1" x14ac:dyDescent="0.25">
      <c r="B3574" s="7"/>
      <c r="C3574" s="140">
        <v>3546</v>
      </c>
      <c r="D3574" s="142"/>
      <c r="E3574" s="142"/>
      <c r="F3574" s="142"/>
      <c r="G3574" s="142"/>
      <c r="H3574" s="141"/>
      <c r="I3574" s="8"/>
    </row>
    <row r="3575" spans="2:9" ht="15" hidden="1" customHeight="1" x14ac:dyDescent="0.25">
      <c r="B3575" s="7"/>
      <c r="C3575" s="140">
        <v>3547</v>
      </c>
      <c r="D3575" s="142"/>
      <c r="E3575" s="142"/>
      <c r="F3575" s="142"/>
      <c r="G3575" s="142"/>
      <c r="H3575" s="141"/>
      <c r="I3575" s="8"/>
    </row>
    <row r="3576" spans="2:9" ht="15" hidden="1" customHeight="1" x14ac:dyDescent="0.25">
      <c r="B3576" s="7"/>
      <c r="C3576" s="140">
        <v>3548</v>
      </c>
      <c r="D3576" s="142"/>
      <c r="E3576" s="142"/>
      <c r="F3576" s="142"/>
      <c r="G3576" s="142"/>
      <c r="H3576" s="141"/>
      <c r="I3576" s="8"/>
    </row>
    <row r="3577" spans="2:9" ht="15" hidden="1" customHeight="1" x14ac:dyDescent="0.25">
      <c r="B3577" s="7"/>
      <c r="C3577" s="140">
        <v>3549</v>
      </c>
      <c r="D3577" s="142"/>
      <c r="E3577" s="142"/>
      <c r="F3577" s="142"/>
      <c r="G3577" s="142"/>
      <c r="H3577" s="141"/>
      <c r="I3577" s="8"/>
    </row>
    <row r="3578" spans="2:9" ht="15" hidden="1" customHeight="1" x14ac:dyDescent="0.25">
      <c r="B3578" s="7"/>
      <c r="C3578" s="140">
        <v>3550</v>
      </c>
      <c r="D3578" s="142"/>
      <c r="E3578" s="142"/>
      <c r="F3578" s="142"/>
      <c r="G3578" s="142"/>
      <c r="H3578" s="141"/>
      <c r="I3578" s="8"/>
    </row>
    <row r="3579" spans="2:9" ht="15" hidden="1" customHeight="1" x14ac:dyDescent="0.25">
      <c r="B3579" s="7"/>
      <c r="C3579" s="140">
        <v>3551</v>
      </c>
      <c r="D3579" s="142"/>
      <c r="E3579" s="142"/>
      <c r="F3579" s="142"/>
      <c r="G3579" s="142"/>
      <c r="H3579" s="141"/>
      <c r="I3579" s="8"/>
    </row>
    <row r="3580" spans="2:9" ht="15" hidden="1" customHeight="1" x14ac:dyDescent="0.25">
      <c r="B3580" s="7"/>
      <c r="C3580" s="140">
        <v>3552</v>
      </c>
      <c r="D3580" s="142"/>
      <c r="E3580" s="142"/>
      <c r="F3580" s="142"/>
      <c r="G3580" s="142"/>
      <c r="H3580" s="141"/>
      <c r="I3580" s="8"/>
    </row>
    <row r="3581" spans="2:9" ht="15" hidden="1" customHeight="1" x14ac:dyDescent="0.25">
      <c r="B3581" s="7"/>
      <c r="C3581" s="140">
        <v>3553</v>
      </c>
      <c r="D3581" s="142"/>
      <c r="E3581" s="142"/>
      <c r="F3581" s="142"/>
      <c r="G3581" s="142"/>
      <c r="H3581" s="141"/>
      <c r="I3581" s="8"/>
    </row>
    <row r="3582" spans="2:9" ht="15" hidden="1" customHeight="1" x14ac:dyDescent="0.25">
      <c r="B3582" s="7"/>
      <c r="C3582" s="140">
        <v>3554</v>
      </c>
      <c r="D3582" s="142"/>
      <c r="E3582" s="142"/>
      <c r="F3582" s="142"/>
      <c r="G3582" s="142"/>
      <c r="H3582" s="141"/>
      <c r="I3582" s="8"/>
    </row>
    <row r="3583" spans="2:9" ht="15" hidden="1" customHeight="1" x14ac:dyDescent="0.25">
      <c r="B3583" s="7"/>
      <c r="C3583" s="140">
        <v>3555</v>
      </c>
      <c r="D3583" s="142"/>
      <c r="E3583" s="142"/>
      <c r="F3583" s="142"/>
      <c r="G3583" s="142"/>
      <c r="H3583" s="141"/>
      <c r="I3583" s="8"/>
    </row>
    <row r="3584" spans="2:9" ht="15" hidden="1" customHeight="1" x14ac:dyDescent="0.25">
      <c r="B3584" s="7"/>
      <c r="C3584" s="140">
        <v>3556</v>
      </c>
      <c r="D3584" s="142"/>
      <c r="E3584" s="142"/>
      <c r="F3584" s="142"/>
      <c r="G3584" s="142"/>
      <c r="H3584" s="141"/>
      <c r="I3584" s="8"/>
    </row>
    <row r="3585" spans="2:9" ht="15" hidden="1" customHeight="1" x14ac:dyDescent="0.25">
      <c r="B3585" s="7"/>
      <c r="C3585" s="140">
        <v>3557</v>
      </c>
      <c r="D3585" s="142"/>
      <c r="E3585" s="142"/>
      <c r="F3585" s="142"/>
      <c r="G3585" s="142"/>
      <c r="H3585" s="141"/>
      <c r="I3585" s="8"/>
    </row>
    <row r="3586" spans="2:9" ht="15" hidden="1" customHeight="1" x14ac:dyDescent="0.25">
      <c r="B3586" s="7"/>
      <c r="C3586" s="140">
        <v>3558</v>
      </c>
      <c r="D3586" s="142"/>
      <c r="E3586" s="142"/>
      <c r="F3586" s="142"/>
      <c r="G3586" s="142"/>
      <c r="H3586" s="141"/>
      <c r="I3586" s="8"/>
    </row>
    <row r="3587" spans="2:9" ht="15" hidden="1" customHeight="1" x14ac:dyDescent="0.25">
      <c r="B3587" s="7"/>
      <c r="C3587" s="140">
        <v>3559</v>
      </c>
      <c r="D3587" s="142"/>
      <c r="E3587" s="142"/>
      <c r="F3587" s="142"/>
      <c r="G3587" s="142"/>
      <c r="H3587" s="141"/>
      <c r="I3587" s="8"/>
    </row>
    <row r="3588" spans="2:9" ht="15" hidden="1" customHeight="1" x14ac:dyDescent="0.25">
      <c r="B3588" s="7"/>
      <c r="C3588" s="140">
        <v>3560</v>
      </c>
      <c r="D3588" s="142"/>
      <c r="E3588" s="142"/>
      <c r="F3588" s="142"/>
      <c r="G3588" s="142"/>
      <c r="H3588" s="141"/>
      <c r="I3588" s="8"/>
    </row>
    <row r="3589" spans="2:9" ht="15" hidden="1" customHeight="1" x14ac:dyDescent="0.25">
      <c r="B3589" s="7"/>
      <c r="C3589" s="140">
        <v>3561</v>
      </c>
      <c r="D3589" s="142"/>
      <c r="E3589" s="142"/>
      <c r="F3589" s="142"/>
      <c r="G3589" s="142"/>
      <c r="H3589" s="141"/>
      <c r="I3589" s="8"/>
    </row>
    <row r="3590" spans="2:9" ht="15" hidden="1" customHeight="1" x14ac:dyDescent="0.25">
      <c r="B3590" s="7"/>
      <c r="C3590" s="140">
        <v>3562</v>
      </c>
      <c r="D3590" s="142"/>
      <c r="E3590" s="142"/>
      <c r="F3590" s="142"/>
      <c r="G3590" s="142"/>
      <c r="H3590" s="141"/>
      <c r="I3590" s="8"/>
    </row>
    <row r="3591" spans="2:9" ht="15" hidden="1" customHeight="1" x14ac:dyDescent="0.25">
      <c r="B3591" s="7"/>
      <c r="C3591" s="140">
        <v>3563</v>
      </c>
      <c r="D3591" s="142"/>
      <c r="E3591" s="142"/>
      <c r="F3591" s="142"/>
      <c r="G3591" s="142"/>
      <c r="H3591" s="141"/>
      <c r="I3591" s="8"/>
    </row>
    <row r="3592" spans="2:9" ht="15" hidden="1" customHeight="1" x14ac:dyDescent="0.25">
      <c r="B3592" s="7"/>
      <c r="C3592" s="140">
        <v>3564</v>
      </c>
      <c r="D3592" s="142"/>
      <c r="E3592" s="142"/>
      <c r="F3592" s="142"/>
      <c r="G3592" s="142"/>
      <c r="H3592" s="141"/>
      <c r="I3592" s="8"/>
    </row>
    <row r="3593" spans="2:9" ht="15" hidden="1" customHeight="1" x14ac:dyDescent="0.25">
      <c r="B3593" s="7"/>
      <c r="C3593" s="140">
        <v>3565</v>
      </c>
      <c r="D3593" s="142"/>
      <c r="E3593" s="142"/>
      <c r="F3593" s="142"/>
      <c r="G3593" s="142"/>
      <c r="H3593" s="141"/>
      <c r="I3593" s="8"/>
    </row>
    <row r="3594" spans="2:9" ht="15" hidden="1" customHeight="1" x14ac:dyDescent="0.25">
      <c r="B3594" s="7"/>
      <c r="C3594" s="140">
        <v>3566</v>
      </c>
      <c r="D3594" s="142"/>
      <c r="E3594" s="142"/>
      <c r="F3594" s="142"/>
      <c r="G3594" s="142"/>
      <c r="H3594" s="141"/>
      <c r="I3594" s="8"/>
    </row>
    <row r="3595" spans="2:9" ht="15" hidden="1" customHeight="1" x14ac:dyDescent="0.25">
      <c r="B3595" s="7"/>
      <c r="C3595" s="140">
        <v>3567</v>
      </c>
      <c r="D3595" s="142"/>
      <c r="E3595" s="142"/>
      <c r="F3595" s="142"/>
      <c r="G3595" s="142"/>
      <c r="H3595" s="141"/>
      <c r="I3595" s="8"/>
    </row>
    <row r="3596" spans="2:9" ht="15" hidden="1" customHeight="1" x14ac:dyDescent="0.25">
      <c r="B3596" s="7"/>
      <c r="C3596" s="140">
        <v>3568</v>
      </c>
      <c r="D3596" s="142"/>
      <c r="E3596" s="142"/>
      <c r="F3596" s="142"/>
      <c r="G3596" s="142"/>
      <c r="H3596" s="141"/>
      <c r="I3596" s="8"/>
    </row>
    <row r="3597" spans="2:9" ht="15" hidden="1" customHeight="1" x14ac:dyDescent="0.25">
      <c r="B3597" s="7"/>
      <c r="C3597" s="140">
        <v>3569</v>
      </c>
      <c r="D3597" s="142"/>
      <c r="E3597" s="142"/>
      <c r="F3597" s="142"/>
      <c r="G3597" s="142"/>
      <c r="H3597" s="141"/>
      <c r="I3597" s="8"/>
    </row>
    <row r="3598" spans="2:9" ht="15" hidden="1" customHeight="1" x14ac:dyDescent="0.25">
      <c r="B3598" s="7"/>
      <c r="C3598" s="140">
        <v>3570</v>
      </c>
      <c r="D3598" s="142"/>
      <c r="E3598" s="142"/>
      <c r="F3598" s="142"/>
      <c r="G3598" s="142"/>
      <c r="H3598" s="141"/>
      <c r="I3598" s="8"/>
    </row>
    <row r="3599" spans="2:9" ht="15" hidden="1" customHeight="1" x14ac:dyDescent="0.25">
      <c r="B3599" s="7"/>
      <c r="C3599" s="140">
        <v>3571</v>
      </c>
      <c r="D3599" s="142"/>
      <c r="E3599" s="142"/>
      <c r="F3599" s="142"/>
      <c r="G3599" s="142"/>
      <c r="H3599" s="141"/>
      <c r="I3599" s="8"/>
    </row>
    <row r="3600" spans="2:9" ht="15" hidden="1" customHeight="1" x14ac:dyDescent="0.25">
      <c r="B3600" s="7"/>
      <c r="C3600" s="140">
        <v>3572</v>
      </c>
      <c r="D3600" s="142"/>
      <c r="E3600" s="142"/>
      <c r="F3600" s="142"/>
      <c r="G3600" s="142"/>
      <c r="H3600" s="141"/>
      <c r="I3600" s="8"/>
    </row>
    <row r="3601" spans="2:9" ht="15" hidden="1" customHeight="1" x14ac:dyDescent="0.25">
      <c r="B3601" s="7"/>
      <c r="C3601" s="140">
        <v>3573</v>
      </c>
      <c r="D3601" s="142"/>
      <c r="E3601" s="142"/>
      <c r="F3601" s="142"/>
      <c r="G3601" s="142"/>
      <c r="H3601" s="141"/>
      <c r="I3601" s="8"/>
    </row>
    <row r="3602" spans="2:9" ht="15" hidden="1" customHeight="1" x14ac:dyDescent="0.25">
      <c r="B3602" s="7"/>
      <c r="C3602" s="140">
        <v>3574</v>
      </c>
      <c r="D3602" s="142"/>
      <c r="E3602" s="142"/>
      <c r="F3602" s="142"/>
      <c r="G3602" s="142"/>
      <c r="H3602" s="141"/>
      <c r="I3602" s="8"/>
    </row>
    <row r="3603" spans="2:9" ht="15" hidden="1" customHeight="1" x14ac:dyDescent="0.25">
      <c r="B3603" s="7"/>
      <c r="C3603" s="140">
        <v>3575</v>
      </c>
      <c r="D3603" s="142"/>
      <c r="E3603" s="142"/>
      <c r="F3603" s="142"/>
      <c r="G3603" s="142"/>
      <c r="H3603" s="141"/>
      <c r="I3603" s="8"/>
    </row>
    <row r="3604" spans="2:9" ht="15" hidden="1" customHeight="1" x14ac:dyDescent="0.25">
      <c r="B3604" s="7"/>
      <c r="C3604" s="140">
        <v>3576</v>
      </c>
      <c r="D3604" s="142"/>
      <c r="E3604" s="142"/>
      <c r="F3604" s="142"/>
      <c r="G3604" s="142"/>
      <c r="H3604" s="141"/>
      <c r="I3604" s="8"/>
    </row>
    <row r="3605" spans="2:9" ht="15" hidden="1" customHeight="1" x14ac:dyDescent="0.25">
      <c r="B3605" s="7"/>
      <c r="C3605" s="140">
        <v>3577</v>
      </c>
      <c r="D3605" s="142"/>
      <c r="E3605" s="142"/>
      <c r="F3605" s="142"/>
      <c r="G3605" s="142"/>
      <c r="H3605" s="141"/>
      <c r="I3605" s="8"/>
    </row>
    <row r="3606" spans="2:9" ht="15" hidden="1" customHeight="1" x14ac:dyDescent="0.25">
      <c r="B3606" s="7"/>
      <c r="C3606" s="140">
        <v>3578</v>
      </c>
      <c r="D3606" s="142"/>
      <c r="E3606" s="142"/>
      <c r="F3606" s="142"/>
      <c r="G3606" s="142"/>
      <c r="H3606" s="141"/>
      <c r="I3606" s="8"/>
    </row>
    <row r="3607" spans="2:9" ht="15" hidden="1" customHeight="1" x14ac:dyDescent="0.25">
      <c r="B3607" s="7"/>
      <c r="C3607" s="140">
        <v>3579</v>
      </c>
      <c r="D3607" s="142"/>
      <c r="E3607" s="142"/>
      <c r="F3607" s="142"/>
      <c r="G3607" s="142"/>
      <c r="H3607" s="141"/>
      <c r="I3607" s="8"/>
    </row>
    <row r="3608" spans="2:9" ht="15" hidden="1" customHeight="1" x14ac:dyDescent="0.25">
      <c r="B3608" s="7"/>
      <c r="C3608" s="140">
        <v>3580</v>
      </c>
      <c r="D3608" s="142"/>
      <c r="E3608" s="142"/>
      <c r="F3608" s="142"/>
      <c r="G3608" s="142"/>
      <c r="H3608" s="141"/>
      <c r="I3608" s="8"/>
    </row>
    <row r="3609" spans="2:9" ht="15" hidden="1" customHeight="1" x14ac:dyDescent="0.25">
      <c r="B3609" s="7"/>
      <c r="C3609" s="140">
        <v>3581</v>
      </c>
      <c r="D3609" s="142"/>
      <c r="E3609" s="142"/>
      <c r="F3609" s="142"/>
      <c r="G3609" s="142"/>
      <c r="H3609" s="141"/>
      <c r="I3609" s="8"/>
    </row>
    <row r="3610" spans="2:9" ht="15" hidden="1" customHeight="1" x14ac:dyDescent="0.25">
      <c r="B3610" s="7"/>
      <c r="C3610" s="140">
        <v>3582</v>
      </c>
      <c r="D3610" s="142"/>
      <c r="E3610" s="142"/>
      <c r="F3610" s="142"/>
      <c r="G3610" s="142"/>
      <c r="H3610" s="141"/>
      <c r="I3610" s="8"/>
    </row>
    <row r="3611" spans="2:9" ht="15" hidden="1" customHeight="1" x14ac:dyDescent="0.25">
      <c r="B3611" s="7"/>
      <c r="C3611" s="140">
        <v>3583</v>
      </c>
      <c r="D3611" s="142"/>
      <c r="E3611" s="142"/>
      <c r="F3611" s="142"/>
      <c r="G3611" s="142"/>
      <c r="H3611" s="141"/>
      <c r="I3611" s="8"/>
    </row>
    <row r="3612" spans="2:9" ht="15" hidden="1" customHeight="1" x14ac:dyDescent="0.25">
      <c r="B3612" s="7"/>
      <c r="C3612" s="140">
        <v>3584</v>
      </c>
      <c r="D3612" s="142"/>
      <c r="E3612" s="142"/>
      <c r="F3612" s="142"/>
      <c r="G3612" s="142"/>
      <c r="H3612" s="141"/>
      <c r="I3612" s="8"/>
    </row>
    <row r="3613" spans="2:9" ht="15" hidden="1" customHeight="1" x14ac:dyDescent="0.25">
      <c r="B3613" s="7"/>
      <c r="C3613" s="140">
        <v>3585</v>
      </c>
      <c r="D3613" s="142"/>
      <c r="E3613" s="142"/>
      <c r="F3613" s="142"/>
      <c r="G3613" s="142"/>
      <c r="H3613" s="141"/>
      <c r="I3613" s="8"/>
    </row>
    <row r="3614" spans="2:9" ht="15" hidden="1" customHeight="1" x14ac:dyDescent="0.25">
      <c r="B3614" s="7"/>
      <c r="C3614" s="140">
        <v>3586</v>
      </c>
      <c r="D3614" s="142"/>
      <c r="E3614" s="142"/>
      <c r="F3614" s="142"/>
      <c r="G3614" s="142"/>
      <c r="H3614" s="141"/>
      <c r="I3614" s="8"/>
    </row>
    <row r="3615" spans="2:9" ht="15" hidden="1" customHeight="1" x14ac:dyDescent="0.25">
      <c r="B3615" s="7"/>
      <c r="C3615" s="140">
        <v>3587</v>
      </c>
      <c r="D3615" s="142"/>
      <c r="E3615" s="142"/>
      <c r="F3615" s="142"/>
      <c r="G3615" s="142"/>
      <c r="H3615" s="141"/>
      <c r="I3615" s="8"/>
    </row>
    <row r="3616" spans="2:9" ht="15" hidden="1" customHeight="1" x14ac:dyDescent="0.25">
      <c r="B3616" s="7"/>
      <c r="C3616" s="140">
        <v>3588</v>
      </c>
      <c r="D3616" s="142"/>
      <c r="E3616" s="142"/>
      <c r="F3616" s="142"/>
      <c r="G3616" s="142"/>
      <c r="H3616" s="141"/>
      <c r="I3616" s="8"/>
    </row>
    <row r="3617" spans="2:9" ht="15" hidden="1" customHeight="1" x14ac:dyDescent="0.25">
      <c r="B3617" s="7"/>
      <c r="C3617" s="140">
        <v>3589</v>
      </c>
      <c r="D3617" s="142"/>
      <c r="E3617" s="142"/>
      <c r="F3617" s="142"/>
      <c r="G3617" s="142"/>
      <c r="H3617" s="141"/>
      <c r="I3617" s="8"/>
    </row>
    <row r="3618" spans="2:9" ht="15" hidden="1" customHeight="1" x14ac:dyDescent="0.25">
      <c r="B3618" s="7"/>
      <c r="C3618" s="140">
        <v>3590</v>
      </c>
      <c r="D3618" s="142"/>
      <c r="E3618" s="142"/>
      <c r="F3618" s="142"/>
      <c r="G3618" s="142"/>
      <c r="H3618" s="141"/>
      <c r="I3618" s="8"/>
    </row>
    <row r="3619" spans="2:9" ht="15" hidden="1" customHeight="1" x14ac:dyDescent="0.25">
      <c r="B3619" s="7"/>
      <c r="C3619" s="140">
        <v>3591</v>
      </c>
      <c r="D3619" s="142"/>
      <c r="E3619" s="142"/>
      <c r="F3619" s="142"/>
      <c r="G3619" s="142"/>
      <c r="H3619" s="141"/>
      <c r="I3619" s="8"/>
    </row>
    <row r="3620" spans="2:9" ht="15" hidden="1" customHeight="1" x14ac:dyDescent="0.25">
      <c r="B3620" s="7"/>
      <c r="C3620" s="140">
        <v>3592</v>
      </c>
      <c r="D3620" s="142"/>
      <c r="E3620" s="142"/>
      <c r="F3620" s="142"/>
      <c r="G3620" s="142"/>
      <c r="H3620" s="141"/>
      <c r="I3620" s="8"/>
    </row>
    <row r="3621" spans="2:9" ht="15" hidden="1" customHeight="1" x14ac:dyDescent="0.25">
      <c r="B3621" s="7"/>
      <c r="C3621" s="140">
        <v>3593</v>
      </c>
      <c r="D3621" s="142"/>
      <c r="E3621" s="142"/>
      <c r="F3621" s="142"/>
      <c r="G3621" s="142"/>
      <c r="H3621" s="141"/>
      <c r="I3621" s="8"/>
    </row>
    <row r="3622" spans="2:9" ht="15" hidden="1" customHeight="1" x14ac:dyDescent="0.25">
      <c r="B3622" s="7"/>
      <c r="C3622" s="140">
        <v>3594</v>
      </c>
      <c r="D3622" s="142"/>
      <c r="E3622" s="142"/>
      <c r="F3622" s="142"/>
      <c r="G3622" s="142"/>
      <c r="H3622" s="141"/>
      <c r="I3622" s="8"/>
    </row>
    <row r="3623" spans="2:9" ht="15" hidden="1" customHeight="1" x14ac:dyDescent="0.25">
      <c r="B3623" s="7"/>
      <c r="C3623" s="140">
        <v>3595</v>
      </c>
      <c r="D3623" s="142"/>
      <c r="E3623" s="142"/>
      <c r="F3623" s="142"/>
      <c r="G3623" s="142"/>
      <c r="H3623" s="141"/>
      <c r="I3623" s="8"/>
    </row>
    <row r="3624" spans="2:9" ht="15" hidden="1" customHeight="1" x14ac:dyDescent="0.25">
      <c r="B3624" s="7"/>
      <c r="C3624" s="140">
        <v>3596</v>
      </c>
      <c r="D3624" s="142"/>
      <c r="E3624" s="142"/>
      <c r="F3624" s="142"/>
      <c r="G3624" s="142"/>
      <c r="H3624" s="141"/>
      <c r="I3624" s="8"/>
    </row>
    <row r="3625" spans="2:9" ht="15" hidden="1" customHeight="1" x14ac:dyDescent="0.25">
      <c r="B3625" s="7"/>
      <c r="C3625" s="140">
        <v>3597</v>
      </c>
      <c r="D3625" s="142"/>
      <c r="E3625" s="142"/>
      <c r="F3625" s="142"/>
      <c r="G3625" s="142"/>
      <c r="H3625" s="141"/>
      <c r="I3625" s="8"/>
    </row>
    <row r="3626" spans="2:9" ht="15" hidden="1" customHeight="1" x14ac:dyDescent="0.25">
      <c r="B3626" s="7"/>
      <c r="C3626" s="140">
        <v>3598</v>
      </c>
      <c r="D3626" s="142"/>
      <c r="E3626" s="142"/>
      <c r="F3626" s="142"/>
      <c r="G3626" s="142"/>
      <c r="H3626" s="141"/>
      <c r="I3626" s="8"/>
    </row>
    <row r="3627" spans="2:9" ht="15" hidden="1" customHeight="1" x14ac:dyDescent="0.25">
      <c r="B3627" s="7"/>
      <c r="C3627" s="140">
        <v>3599</v>
      </c>
      <c r="D3627" s="142"/>
      <c r="E3627" s="142"/>
      <c r="F3627" s="142"/>
      <c r="G3627" s="142"/>
      <c r="H3627" s="141"/>
      <c r="I3627" s="8"/>
    </row>
    <row r="3628" spans="2:9" ht="15" hidden="1" customHeight="1" x14ac:dyDescent="0.25">
      <c r="B3628" s="7"/>
      <c r="C3628" s="140">
        <v>3600</v>
      </c>
      <c r="D3628" s="142"/>
      <c r="E3628" s="142"/>
      <c r="F3628" s="142"/>
      <c r="G3628" s="142"/>
      <c r="H3628" s="141"/>
      <c r="I3628" s="8"/>
    </row>
    <row r="3629" spans="2:9" ht="15" hidden="1" customHeight="1" x14ac:dyDescent="0.25">
      <c r="B3629" s="7"/>
      <c r="C3629" s="140">
        <v>3601</v>
      </c>
      <c r="D3629" s="142"/>
      <c r="E3629" s="142"/>
      <c r="F3629" s="142"/>
      <c r="G3629" s="142"/>
      <c r="H3629" s="141"/>
      <c r="I3629" s="8"/>
    </row>
    <row r="3630" spans="2:9" ht="15" hidden="1" customHeight="1" x14ac:dyDescent="0.25">
      <c r="B3630" s="7"/>
      <c r="C3630" s="140">
        <v>3602</v>
      </c>
      <c r="D3630" s="142"/>
      <c r="E3630" s="142"/>
      <c r="F3630" s="142"/>
      <c r="G3630" s="142"/>
      <c r="H3630" s="141"/>
      <c r="I3630" s="8"/>
    </row>
    <row r="3631" spans="2:9" ht="15" hidden="1" customHeight="1" x14ac:dyDescent="0.25">
      <c r="B3631" s="7"/>
      <c r="C3631" s="140">
        <v>3603</v>
      </c>
      <c r="D3631" s="142"/>
      <c r="E3631" s="142"/>
      <c r="F3631" s="142"/>
      <c r="G3631" s="142"/>
      <c r="H3631" s="141"/>
      <c r="I3631" s="8"/>
    </row>
    <row r="3632" spans="2:9" ht="15" hidden="1" customHeight="1" x14ac:dyDescent="0.25">
      <c r="B3632" s="7"/>
      <c r="C3632" s="140">
        <v>3604</v>
      </c>
      <c r="D3632" s="142"/>
      <c r="E3632" s="142"/>
      <c r="F3632" s="142"/>
      <c r="G3632" s="142"/>
      <c r="H3632" s="141"/>
      <c r="I3632" s="8"/>
    </row>
    <row r="3633" spans="2:9" ht="15" hidden="1" customHeight="1" x14ac:dyDescent="0.25">
      <c r="B3633" s="7"/>
      <c r="C3633" s="140">
        <v>3605</v>
      </c>
      <c r="D3633" s="142"/>
      <c r="E3633" s="142"/>
      <c r="F3633" s="142"/>
      <c r="G3633" s="142"/>
      <c r="H3633" s="141"/>
      <c r="I3633" s="8"/>
    </row>
    <row r="3634" spans="2:9" ht="15" hidden="1" customHeight="1" x14ac:dyDescent="0.25">
      <c r="B3634" s="7"/>
      <c r="C3634" s="140">
        <v>3606</v>
      </c>
      <c r="D3634" s="142"/>
      <c r="E3634" s="142"/>
      <c r="F3634" s="142"/>
      <c r="G3634" s="142"/>
      <c r="H3634" s="141"/>
      <c r="I3634" s="8"/>
    </row>
    <row r="3635" spans="2:9" ht="15" hidden="1" customHeight="1" x14ac:dyDescent="0.25">
      <c r="B3635" s="7"/>
      <c r="C3635" s="140">
        <v>3607</v>
      </c>
      <c r="D3635" s="142"/>
      <c r="E3635" s="142"/>
      <c r="F3635" s="142"/>
      <c r="G3635" s="142"/>
      <c r="H3635" s="141"/>
      <c r="I3635" s="8"/>
    </row>
    <row r="3636" spans="2:9" ht="15" hidden="1" customHeight="1" x14ac:dyDescent="0.25">
      <c r="B3636" s="7"/>
      <c r="C3636" s="140">
        <v>3608</v>
      </c>
      <c r="D3636" s="142"/>
      <c r="E3636" s="142"/>
      <c r="F3636" s="142"/>
      <c r="G3636" s="142"/>
      <c r="H3636" s="141"/>
      <c r="I3636" s="8"/>
    </row>
    <row r="3637" spans="2:9" ht="15" hidden="1" customHeight="1" x14ac:dyDescent="0.25">
      <c r="B3637" s="7"/>
      <c r="C3637" s="140">
        <v>3609</v>
      </c>
      <c r="D3637" s="142"/>
      <c r="E3637" s="142"/>
      <c r="F3637" s="142"/>
      <c r="G3637" s="142"/>
      <c r="H3637" s="141"/>
      <c r="I3637" s="8"/>
    </row>
    <row r="3638" spans="2:9" ht="15" hidden="1" customHeight="1" x14ac:dyDescent="0.25">
      <c r="B3638" s="7"/>
      <c r="C3638" s="140">
        <v>3610</v>
      </c>
      <c r="D3638" s="142"/>
      <c r="E3638" s="142"/>
      <c r="F3638" s="142"/>
      <c r="G3638" s="142"/>
      <c r="H3638" s="141"/>
      <c r="I3638" s="8"/>
    </row>
    <row r="3639" spans="2:9" ht="15" hidden="1" customHeight="1" x14ac:dyDescent="0.25">
      <c r="B3639" s="7"/>
      <c r="C3639" s="140">
        <v>3611</v>
      </c>
      <c r="D3639" s="142"/>
      <c r="E3639" s="142"/>
      <c r="F3639" s="142"/>
      <c r="G3639" s="142"/>
      <c r="H3639" s="141"/>
      <c r="I3639" s="8"/>
    </row>
    <row r="3640" spans="2:9" ht="15" hidden="1" customHeight="1" x14ac:dyDescent="0.25">
      <c r="B3640" s="7"/>
      <c r="C3640" s="140">
        <v>3612</v>
      </c>
      <c r="D3640" s="142"/>
      <c r="E3640" s="142"/>
      <c r="F3640" s="142"/>
      <c r="G3640" s="142"/>
      <c r="H3640" s="141"/>
      <c r="I3640" s="8"/>
    </row>
    <row r="3641" spans="2:9" ht="15" hidden="1" customHeight="1" x14ac:dyDescent="0.25">
      <c r="B3641" s="7"/>
      <c r="C3641" s="140">
        <v>3613</v>
      </c>
      <c r="D3641" s="142"/>
      <c r="E3641" s="142"/>
      <c r="F3641" s="142"/>
      <c r="G3641" s="142"/>
      <c r="H3641" s="141"/>
      <c r="I3641" s="8"/>
    </row>
    <row r="3642" spans="2:9" ht="15" hidden="1" customHeight="1" x14ac:dyDescent="0.25">
      <c r="B3642" s="7"/>
      <c r="C3642" s="140">
        <v>3614</v>
      </c>
      <c r="D3642" s="142"/>
      <c r="E3642" s="142"/>
      <c r="F3642" s="142"/>
      <c r="G3642" s="142"/>
      <c r="H3642" s="141"/>
      <c r="I3642" s="8"/>
    </row>
    <row r="3643" spans="2:9" ht="15" hidden="1" customHeight="1" x14ac:dyDescent="0.25">
      <c r="B3643" s="7"/>
      <c r="C3643" s="140">
        <v>3615</v>
      </c>
      <c r="D3643" s="142"/>
      <c r="E3643" s="142"/>
      <c r="F3643" s="142"/>
      <c r="G3643" s="142"/>
      <c r="H3643" s="141"/>
      <c r="I3643" s="8"/>
    </row>
    <row r="3644" spans="2:9" ht="15" hidden="1" customHeight="1" x14ac:dyDescent="0.25">
      <c r="B3644" s="7"/>
      <c r="C3644" s="140">
        <v>3616</v>
      </c>
      <c r="D3644" s="142"/>
      <c r="E3644" s="142"/>
      <c r="F3644" s="142"/>
      <c r="G3644" s="142"/>
      <c r="H3644" s="141"/>
      <c r="I3644" s="8"/>
    </row>
    <row r="3645" spans="2:9" ht="15" hidden="1" customHeight="1" x14ac:dyDescent="0.25">
      <c r="B3645" s="7"/>
      <c r="C3645" s="140">
        <v>3617</v>
      </c>
      <c r="D3645" s="142"/>
      <c r="E3645" s="142"/>
      <c r="F3645" s="142"/>
      <c r="G3645" s="142"/>
      <c r="H3645" s="141"/>
      <c r="I3645" s="8"/>
    </row>
    <row r="3646" spans="2:9" ht="15" hidden="1" customHeight="1" x14ac:dyDescent="0.25">
      <c r="B3646" s="7"/>
      <c r="C3646" s="140">
        <v>3618</v>
      </c>
      <c r="D3646" s="142"/>
      <c r="E3646" s="142"/>
      <c r="F3646" s="142"/>
      <c r="G3646" s="142"/>
      <c r="H3646" s="141"/>
      <c r="I3646" s="8"/>
    </row>
    <row r="3647" spans="2:9" ht="15" hidden="1" customHeight="1" x14ac:dyDescent="0.25">
      <c r="B3647" s="7"/>
      <c r="C3647" s="140">
        <v>3619</v>
      </c>
      <c r="D3647" s="142"/>
      <c r="E3647" s="142"/>
      <c r="F3647" s="142"/>
      <c r="G3647" s="142"/>
      <c r="H3647" s="141"/>
      <c r="I3647" s="8"/>
    </row>
    <row r="3648" spans="2:9" ht="15" hidden="1" customHeight="1" x14ac:dyDescent="0.25">
      <c r="B3648" s="7"/>
      <c r="C3648" s="140">
        <v>3620</v>
      </c>
      <c r="D3648" s="142"/>
      <c r="E3648" s="142"/>
      <c r="F3648" s="142"/>
      <c r="G3648" s="142"/>
      <c r="H3648" s="141"/>
      <c r="I3648" s="8"/>
    </row>
    <row r="3649" spans="2:9" ht="15" hidden="1" customHeight="1" x14ac:dyDescent="0.25">
      <c r="B3649" s="7"/>
      <c r="C3649" s="140">
        <v>3621</v>
      </c>
      <c r="D3649" s="142"/>
      <c r="E3649" s="142"/>
      <c r="F3649" s="142"/>
      <c r="G3649" s="142"/>
      <c r="H3649" s="141"/>
      <c r="I3649" s="8"/>
    </row>
    <row r="3650" spans="2:9" ht="15" hidden="1" customHeight="1" x14ac:dyDescent="0.25">
      <c r="B3650" s="7"/>
      <c r="C3650" s="140">
        <v>3622</v>
      </c>
      <c r="D3650" s="142"/>
      <c r="E3650" s="142"/>
      <c r="F3650" s="142"/>
      <c r="G3650" s="142"/>
      <c r="H3650" s="141"/>
      <c r="I3650" s="8"/>
    </row>
    <row r="3651" spans="2:9" ht="15" hidden="1" customHeight="1" x14ac:dyDescent="0.25">
      <c r="B3651" s="7"/>
      <c r="C3651" s="140">
        <v>3623</v>
      </c>
      <c r="D3651" s="142"/>
      <c r="E3651" s="142"/>
      <c r="F3651" s="142"/>
      <c r="G3651" s="142"/>
      <c r="H3651" s="141"/>
      <c r="I3651" s="8"/>
    </row>
    <row r="3652" spans="2:9" ht="15" hidden="1" customHeight="1" x14ac:dyDescent="0.25">
      <c r="B3652" s="7"/>
      <c r="C3652" s="140">
        <v>3624</v>
      </c>
      <c r="D3652" s="142"/>
      <c r="E3652" s="142"/>
      <c r="F3652" s="142"/>
      <c r="G3652" s="142"/>
      <c r="H3652" s="141"/>
      <c r="I3652" s="8"/>
    </row>
    <row r="3653" spans="2:9" ht="15" hidden="1" customHeight="1" x14ac:dyDescent="0.25">
      <c r="B3653" s="7"/>
      <c r="C3653" s="140">
        <v>3625</v>
      </c>
      <c r="D3653" s="142"/>
      <c r="E3653" s="142"/>
      <c r="F3653" s="142"/>
      <c r="G3653" s="142"/>
      <c r="H3653" s="141"/>
      <c r="I3653" s="8"/>
    </row>
    <row r="3654" spans="2:9" ht="15" hidden="1" customHeight="1" x14ac:dyDescent="0.25">
      <c r="B3654" s="7"/>
      <c r="C3654" s="140">
        <v>3626</v>
      </c>
      <c r="D3654" s="142"/>
      <c r="E3654" s="142"/>
      <c r="F3654" s="142"/>
      <c r="G3654" s="142"/>
      <c r="H3654" s="141"/>
      <c r="I3654" s="8"/>
    </row>
    <row r="3655" spans="2:9" ht="15" hidden="1" customHeight="1" x14ac:dyDescent="0.25">
      <c r="B3655" s="7"/>
      <c r="C3655" s="140">
        <v>3627</v>
      </c>
      <c r="D3655" s="142"/>
      <c r="E3655" s="142"/>
      <c r="F3655" s="142"/>
      <c r="G3655" s="142"/>
      <c r="H3655" s="141"/>
      <c r="I3655" s="8"/>
    </row>
    <row r="3656" spans="2:9" ht="15" hidden="1" customHeight="1" x14ac:dyDescent="0.25">
      <c r="B3656" s="7"/>
      <c r="C3656" s="140">
        <v>3628</v>
      </c>
      <c r="D3656" s="142"/>
      <c r="E3656" s="142"/>
      <c r="F3656" s="142"/>
      <c r="G3656" s="142"/>
      <c r="H3656" s="141"/>
      <c r="I3656" s="8"/>
    </row>
    <row r="3657" spans="2:9" ht="15" hidden="1" customHeight="1" x14ac:dyDescent="0.25">
      <c r="B3657" s="7"/>
      <c r="C3657" s="140">
        <v>3629</v>
      </c>
      <c r="D3657" s="142"/>
      <c r="E3657" s="142"/>
      <c r="F3657" s="142"/>
      <c r="G3657" s="142"/>
      <c r="H3657" s="141"/>
      <c r="I3657" s="8"/>
    </row>
    <row r="3658" spans="2:9" ht="15" hidden="1" customHeight="1" x14ac:dyDescent="0.25">
      <c r="B3658" s="7"/>
      <c r="C3658" s="140">
        <v>3630</v>
      </c>
      <c r="D3658" s="142"/>
      <c r="E3658" s="142"/>
      <c r="F3658" s="142"/>
      <c r="G3658" s="142"/>
      <c r="H3658" s="141"/>
      <c r="I3658" s="8"/>
    </row>
    <row r="3659" spans="2:9" ht="15" hidden="1" customHeight="1" x14ac:dyDescent="0.25">
      <c r="B3659" s="7"/>
      <c r="C3659" s="140">
        <v>3631</v>
      </c>
      <c r="D3659" s="142"/>
      <c r="E3659" s="142"/>
      <c r="F3659" s="142"/>
      <c r="G3659" s="142"/>
      <c r="H3659" s="141"/>
      <c r="I3659" s="8"/>
    </row>
    <row r="3660" spans="2:9" ht="15" hidden="1" customHeight="1" x14ac:dyDescent="0.25">
      <c r="B3660" s="7"/>
      <c r="C3660" s="140">
        <v>3632</v>
      </c>
      <c r="D3660" s="142"/>
      <c r="E3660" s="142"/>
      <c r="F3660" s="142"/>
      <c r="G3660" s="142"/>
      <c r="H3660" s="141"/>
      <c r="I3660" s="8"/>
    </row>
    <row r="3661" spans="2:9" ht="15" hidden="1" customHeight="1" x14ac:dyDescent="0.25">
      <c r="B3661" s="7"/>
      <c r="C3661" s="140">
        <v>3633</v>
      </c>
      <c r="D3661" s="142"/>
      <c r="E3661" s="142"/>
      <c r="F3661" s="142"/>
      <c r="G3661" s="142"/>
      <c r="H3661" s="141"/>
      <c r="I3661" s="8"/>
    </row>
    <row r="3662" spans="2:9" ht="15" hidden="1" customHeight="1" x14ac:dyDescent="0.25">
      <c r="B3662" s="7"/>
      <c r="C3662" s="140">
        <v>3634</v>
      </c>
      <c r="D3662" s="142"/>
      <c r="E3662" s="142"/>
      <c r="F3662" s="142"/>
      <c r="G3662" s="142"/>
      <c r="H3662" s="141"/>
      <c r="I3662" s="8"/>
    </row>
    <row r="3663" spans="2:9" ht="15" hidden="1" customHeight="1" x14ac:dyDescent="0.25">
      <c r="B3663" s="7"/>
      <c r="C3663" s="140">
        <v>3635</v>
      </c>
      <c r="D3663" s="142"/>
      <c r="E3663" s="142"/>
      <c r="F3663" s="142"/>
      <c r="G3663" s="142"/>
      <c r="H3663" s="141"/>
      <c r="I3663" s="8"/>
    </row>
    <row r="3664" spans="2:9" ht="15" hidden="1" customHeight="1" x14ac:dyDescent="0.25">
      <c r="B3664" s="7"/>
      <c r="C3664" s="140">
        <v>3636</v>
      </c>
      <c r="D3664" s="142"/>
      <c r="E3664" s="142"/>
      <c r="F3664" s="142"/>
      <c r="G3664" s="142"/>
      <c r="H3664" s="141"/>
      <c r="I3664" s="8"/>
    </row>
    <row r="3665" spans="2:9" ht="15" hidden="1" customHeight="1" x14ac:dyDescent="0.25">
      <c r="B3665" s="7"/>
      <c r="C3665" s="140">
        <v>3637</v>
      </c>
      <c r="D3665" s="142"/>
      <c r="E3665" s="142"/>
      <c r="F3665" s="142"/>
      <c r="G3665" s="142"/>
      <c r="H3665" s="141"/>
      <c r="I3665" s="8"/>
    </row>
    <row r="3666" spans="2:9" ht="15" hidden="1" customHeight="1" x14ac:dyDescent="0.25">
      <c r="B3666" s="7"/>
      <c r="C3666" s="140">
        <v>3638</v>
      </c>
      <c r="D3666" s="142"/>
      <c r="E3666" s="142"/>
      <c r="F3666" s="142"/>
      <c r="G3666" s="142"/>
      <c r="H3666" s="141"/>
      <c r="I3666" s="8"/>
    </row>
    <row r="3667" spans="2:9" ht="15" hidden="1" customHeight="1" x14ac:dyDescent="0.25">
      <c r="B3667" s="7"/>
      <c r="C3667" s="140">
        <v>3639</v>
      </c>
      <c r="D3667" s="142"/>
      <c r="E3667" s="142"/>
      <c r="F3667" s="142"/>
      <c r="G3667" s="142"/>
      <c r="H3667" s="141"/>
      <c r="I3667" s="8"/>
    </row>
    <row r="3668" spans="2:9" ht="15" hidden="1" customHeight="1" x14ac:dyDescent="0.25">
      <c r="B3668" s="7"/>
      <c r="C3668" s="140">
        <v>3640</v>
      </c>
      <c r="D3668" s="142"/>
      <c r="E3668" s="142"/>
      <c r="F3668" s="142"/>
      <c r="G3668" s="142"/>
      <c r="H3668" s="141"/>
      <c r="I3668" s="8"/>
    </row>
    <row r="3669" spans="2:9" ht="15" hidden="1" customHeight="1" x14ac:dyDescent="0.25">
      <c r="B3669" s="7"/>
      <c r="C3669" s="140">
        <v>3641</v>
      </c>
      <c r="D3669" s="142"/>
      <c r="E3669" s="142"/>
      <c r="F3669" s="142"/>
      <c r="G3669" s="142"/>
      <c r="H3669" s="141"/>
      <c r="I3669" s="8"/>
    </row>
    <row r="3670" spans="2:9" ht="15" hidden="1" customHeight="1" x14ac:dyDescent="0.25">
      <c r="B3670" s="7"/>
      <c r="C3670" s="140">
        <v>3642</v>
      </c>
      <c r="D3670" s="142"/>
      <c r="E3670" s="142"/>
      <c r="F3670" s="142"/>
      <c r="G3670" s="142"/>
      <c r="H3670" s="141"/>
      <c r="I3670" s="8"/>
    </row>
    <row r="3671" spans="2:9" ht="15" hidden="1" customHeight="1" x14ac:dyDescent="0.25">
      <c r="B3671" s="7"/>
      <c r="C3671" s="140">
        <v>3643</v>
      </c>
      <c r="D3671" s="142"/>
      <c r="E3671" s="142"/>
      <c r="F3671" s="142"/>
      <c r="G3671" s="142"/>
      <c r="H3671" s="141"/>
      <c r="I3671" s="8"/>
    </row>
    <row r="3672" spans="2:9" ht="15" hidden="1" customHeight="1" x14ac:dyDescent="0.25">
      <c r="B3672" s="7"/>
      <c r="C3672" s="140">
        <v>3644</v>
      </c>
      <c r="D3672" s="142"/>
      <c r="E3672" s="142"/>
      <c r="F3672" s="142"/>
      <c r="G3672" s="142"/>
      <c r="H3672" s="141"/>
      <c r="I3672" s="8"/>
    </row>
    <row r="3673" spans="2:9" ht="15" hidden="1" customHeight="1" x14ac:dyDescent="0.25">
      <c r="B3673" s="7"/>
      <c r="C3673" s="140">
        <v>3645</v>
      </c>
      <c r="D3673" s="142"/>
      <c r="E3673" s="142"/>
      <c r="F3673" s="142"/>
      <c r="G3673" s="142"/>
      <c r="H3673" s="141"/>
      <c r="I3673" s="8"/>
    </row>
    <row r="3674" spans="2:9" ht="15" hidden="1" customHeight="1" x14ac:dyDescent="0.25">
      <c r="B3674" s="7"/>
      <c r="C3674" s="140">
        <v>3646</v>
      </c>
      <c r="D3674" s="142"/>
      <c r="E3674" s="142"/>
      <c r="F3674" s="142"/>
      <c r="G3674" s="142"/>
      <c r="H3674" s="141"/>
      <c r="I3674" s="8"/>
    </row>
    <row r="3675" spans="2:9" ht="15" hidden="1" customHeight="1" x14ac:dyDescent="0.25">
      <c r="B3675" s="7"/>
      <c r="C3675" s="140">
        <v>3647</v>
      </c>
      <c r="D3675" s="142"/>
      <c r="E3675" s="142"/>
      <c r="F3675" s="142"/>
      <c r="G3675" s="142"/>
      <c r="H3675" s="141"/>
      <c r="I3675" s="8"/>
    </row>
    <row r="3676" spans="2:9" ht="15" hidden="1" customHeight="1" x14ac:dyDescent="0.25">
      <c r="B3676" s="7"/>
      <c r="C3676" s="140">
        <v>3648</v>
      </c>
      <c r="D3676" s="142"/>
      <c r="E3676" s="142"/>
      <c r="F3676" s="142"/>
      <c r="G3676" s="142"/>
      <c r="H3676" s="141"/>
      <c r="I3676" s="8"/>
    </row>
    <row r="3677" spans="2:9" ht="15" hidden="1" customHeight="1" x14ac:dyDescent="0.25">
      <c r="B3677" s="7"/>
      <c r="C3677" s="140">
        <v>3649</v>
      </c>
      <c r="D3677" s="142"/>
      <c r="E3677" s="142"/>
      <c r="F3677" s="142"/>
      <c r="G3677" s="142"/>
      <c r="H3677" s="141"/>
      <c r="I3677" s="8"/>
    </row>
    <row r="3678" spans="2:9" ht="15" hidden="1" customHeight="1" x14ac:dyDescent="0.25">
      <c r="B3678" s="7"/>
      <c r="C3678" s="140">
        <v>3650</v>
      </c>
      <c r="D3678" s="142"/>
      <c r="E3678" s="142"/>
      <c r="F3678" s="142"/>
      <c r="G3678" s="142"/>
      <c r="H3678" s="141"/>
      <c r="I3678" s="8"/>
    </row>
    <row r="3679" spans="2:9" ht="15" hidden="1" customHeight="1" x14ac:dyDescent="0.25">
      <c r="B3679" s="7"/>
      <c r="C3679" s="140">
        <v>3651</v>
      </c>
      <c r="D3679" s="142"/>
      <c r="E3679" s="142"/>
      <c r="F3679" s="142"/>
      <c r="G3679" s="142"/>
      <c r="H3679" s="141"/>
      <c r="I3679" s="8"/>
    </row>
    <row r="3680" spans="2:9" ht="15" hidden="1" customHeight="1" x14ac:dyDescent="0.25">
      <c r="B3680" s="7"/>
      <c r="C3680" s="140">
        <v>3652</v>
      </c>
      <c r="D3680" s="142"/>
      <c r="E3680" s="142"/>
      <c r="F3680" s="142"/>
      <c r="G3680" s="142"/>
      <c r="H3680" s="141"/>
      <c r="I3680" s="8"/>
    </row>
    <row r="3681" spans="2:9" ht="15" hidden="1" customHeight="1" x14ac:dyDescent="0.25">
      <c r="B3681" s="7"/>
      <c r="C3681" s="140">
        <v>3653</v>
      </c>
      <c r="D3681" s="142"/>
      <c r="E3681" s="142"/>
      <c r="F3681" s="142"/>
      <c r="G3681" s="142"/>
      <c r="H3681" s="141"/>
      <c r="I3681" s="8"/>
    </row>
    <row r="3682" spans="2:9" ht="15" hidden="1" customHeight="1" x14ac:dyDescent="0.25">
      <c r="B3682" s="7"/>
      <c r="C3682" s="140">
        <v>3654</v>
      </c>
      <c r="D3682" s="142"/>
      <c r="E3682" s="142"/>
      <c r="F3682" s="142"/>
      <c r="G3682" s="142"/>
      <c r="H3682" s="141"/>
      <c r="I3682" s="8"/>
    </row>
    <row r="3683" spans="2:9" ht="15" hidden="1" customHeight="1" x14ac:dyDescent="0.25">
      <c r="B3683" s="7"/>
      <c r="C3683" s="140">
        <v>3655</v>
      </c>
      <c r="D3683" s="142"/>
      <c r="E3683" s="142"/>
      <c r="F3683" s="142"/>
      <c r="G3683" s="142"/>
      <c r="H3683" s="141"/>
      <c r="I3683" s="8"/>
    </row>
    <row r="3684" spans="2:9" ht="15" hidden="1" customHeight="1" x14ac:dyDescent="0.25">
      <c r="B3684" s="7"/>
      <c r="C3684" s="140">
        <v>3656</v>
      </c>
      <c r="D3684" s="142"/>
      <c r="E3684" s="142"/>
      <c r="F3684" s="142"/>
      <c r="G3684" s="142"/>
      <c r="H3684" s="141"/>
      <c r="I3684" s="8"/>
    </row>
    <row r="3685" spans="2:9" ht="15" hidden="1" customHeight="1" x14ac:dyDescent="0.25">
      <c r="B3685" s="7"/>
      <c r="C3685" s="140">
        <v>3657</v>
      </c>
      <c r="D3685" s="142"/>
      <c r="E3685" s="142"/>
      <c r="F3685" s="142"/>
      <c r="G3685" s="142"/>
      <c r="H3685" s="141"/>
      <c r="I3685" s="8"/>
    </row>
    <row r="3686" spans="2:9" ht="15" hidden="1" customHeight="1" x14ac:dyDescent="0.25">
      <c r="B3686" s="7"/>
      <c r="C3686" s="140">
        <v>3658</v>
      </c>
      <c r="D3686" s="142"/>
      <c r="E3686" s="142"/>
      <c r="F3686" s="142"/>
      <c r="G3686" s="142"/>
      <c r="H3686" s="141"/>
      <c r="I3686" s="8"/>
    </row>
    <row r="3687" spans="2:9" ht="15" hidden="1" customHeight="1" x14ac:dyDescent="0.25">
      <c r="B3687" s="7"/>
      <c r="C3687" s="140">
        <v>3659</v>
      </c>
      <c r="D3687" s="142"/>
      <c r="E3687" s="142"/>
      <c r="F3687" s="142"/>
      <c r="G3687" s="142"/>
      <c r="H3687" s="141"/>
      <c r="I3687" s="8"/>
    </row>
    <row r="3688" spans="2:9" ht="15" hidden="1" customHeight="1" x14ac:dyDescent="0.25">
      <c r="B3688" s="7"/>
      <c r="C3688" s="140">
        <v>3660</v>
      </c>
      <c r="D3688" s="142"/>
      <c r="E3688" s="142"/>
      <c r="F3688" s="142"/>
      <c r="G3688" s="142"/>
      <c r="H3688" s="141"/>
      <c r="I3688" s="8"/>
    </row>
    <row r="3689" spans="2:9" ht="15" hidden="1" customHeight="1" x14ac:dyDescent="0.25">
      <c r="B3689" s="7"/>
      <c r="C3689" s="140">
        <v>3661</v>
      </c>
      <c r="D3689" s="142"/>
      <c r="E3689" s="142"/>
      <c r="F3689" s="142"/>
      <c r="G3689" s="142"/>
      <c r="H3689" s="141"/>
      <c r="I3689" s="8"/>
    </row>
    <row r="3690" spans="2:9" ht="15" hidden="1" customHeight="1" x14ac:dyDescent="0.25">
      <c r="B3690" s="7"/>
      <c r="C3690" s="140">
        <v>3662</v>
      </c>
      <c r="D3690" s="142"/>
      <c r="E3690" s="142"/>
      <c r="F3690" s="142"/>
      <c r="G3690" s="142"/>
      <c r="H3690" s="141"/>
      <c r="I3690" s="8"/>
    </row>
    <row r="3691" spans="2:9" ht="15" hidden="1" customHeight="1" x14ac:dyDescent="0.25">
      <c r="B3691" s="7"/>
      <c r="C3691" s="140">
        <v>3663</v>
      </c>
      <c r="D3691" s="142"/>
      <c r="E3691" s="142"/>
      <c r="F3691" s="142"/>
      <c r="G3691" s="142"/>
      <c r="H3691" s="141"/>
      <c r="I3691" s="8"/>
    </row>
    <row r="3692" spans="2:9" ht="15" hidden="1" customHeight="1" x14ac:dyDescent="0.25">
      <c r="B3692" s="7"/>
      <c r="C3692" s="140">
        <v>3664</v>
      </c>
      <c r="D3692" s="142"/>
      <c r="E3692" s="142"/>
      <c r="F3692" s="142"/>
      <c r="G3692" s="142"/>
      <c r="H3692" s="141"/>
      <c r="I3692" s="8"/>
    </row>
    <row r="3693" spans="2:9" ht="15" hidden="1" customHeight="1" x14ac:dyDescent="0.25">
      <c r="B3693" s="7"/>
      <c r="C3693" s="140">
        <v>3665</v>
      </c>
      <c r="D3693" s="142"/>
      <c r="E3693" s="142"/>
      <c r="F3693" s="142"/>
      <c r="G3693" s="142"/>
      <c r="H3693" s="141"/>
      <c r="I3693" s="8"/>
    </row>
    <row r="3694" spans="2:9" ht="15" hidden="1" customHeight="1" x14ac:dyDescent="0.25">
      <c r="B3694" s="7"/>
      <c r="C3694" s="140">
        <v>3666</v>
      </c>
      <c r="D3694" s="142"/>
      <c r="E3694" s="142"/>
      <c r="F3694" s="142"/>
      <c r="G3694" s="142"/>
      <c r="H3694" s="141"/>
      <c r="I3694" s="8"/>
    </row>
    <row r="3695" spans="2:9" ht="15" hidden="1" customHeight="1" x14ac:dyDescent="0.25">
      <c r="B3695" s="7"/>
      <c r="C3695" s="140">
        <v>3667</v>
      </c>
      <c r="D3695" s="142"/>
      <c r="E3695" s="142"/>
      <c r="F3695" s="142"/>
      <c r="G3695" s="142"/>
      <c r="H3695" s="141"/>
      <c r="I3695" s="8"/>
    </row>
    <row r="3696" spans="2:9" ht="15" hidden="1" customHeight="1" x14ac:dyDescent="0.25">
      <c r="B3696" s="7"/>
      <c r="C3696" s="140">
        <v>3668</v>
      </c>
      <c r="D3696" s="142"/>
      <c r="E3696" s="142"/>
      <c r="F3696" s="142"/>
      <c r="G3696" s="142"/>
      <c r="H3696" s="141"/>
      <c r="I3696" s="8"/>
    </row>
    <row r="3697" spans="2:9" ht="15" hidden="1" customHeight="1" x14ac:dyDescent="0.25">
      <c r="B3697" s="7"/>
      <c r="C3697" s="140">
        <v>3669</v>
      </c>
      <c r="D3697" s="142"/>
      <c r="E3697" s="142"/>
      <c r="F3697" s="142"/>
      <c r="G3697" s="142"/>
      <c r="H3697" s="141"/>
      <c r="I3697" s="8"/>
    </row>
    <row r="3698" spans="2:9" ht="15" hidden="1" customHeight="1" x14ac:dyDescent="0.25">
      <c r="B3698" s="7"/>
      <c r="C3698" s="140">
        <v>3670</v>
      </c>
      <c r="D3698" s="142"/>
      <c r="E3698" s="142"/>
      <c r="F3698" s="142"/>
      <c r="G3698" s="142"/>
      <c r="H3698" s="141"/>
      <c r="I3698" s="8"/>
    </row>
    <row r="3699" spans="2:9" ht="15" hidden="1" customHeight="1" x14ac:dyDescent="0.25">
      <c r="B3699" s="7"/>
      <c r="C3699" s="140">
        <v>3671</v>
      </c>
      <c r="D3699" s="142"/>
      <c r="E3699" s="142"/>
      <c r="F3699" s="142"/>
      <c r="G3699" s="142"/>
      <c r="H3699" s="141"/>
      <c r="I3699" s="8"/>
    </row>
    <row r="3700" spans="2:9" ht="15" hidden="1" customHeight="1" x14ac:dyDescent="0.25">
      <c r="B3700" s="7"/>
      <c r="C3700" s="140">
        <v>3672</v>
      </c>
      <c r="D3700" s="142"/>
      <c r="E3700" s="142"/>
      <c r="F3700" s="142"/>
      <c r="G3700" s="142"/>
      <c r="H3700" s="141"/>
      <c r="I3700" s="8"/>
    </row>
    <row r="3701" spans="2:9" ht="15" hidden="1" customHeight="1" x14ac:dyDescent="0.25">
      <c r="B3701" s="7"/>
      <c r="C3701" s="140">
        <v>3673</v>
      </c>
      <c r="D3701" s="142"/>
      <c r="E3701" s="142"/>
      <c r="F3701" s="142"/>
      <c r="G3701" s="142"/>
      <c r="H3701" s="141"/>
      <c r="I3701" s="8"/>
    </row>
    <row r="3702" spans="2:9" ht="15" hidden="1" customHeight="1" x14ac:dyDescent="0.25">
      <c r="B3702" s="7"/>
      <c r="C3702" s="140">
        <v>3674</v>
      </c>
      <c r="D3702" s="142"/>
      <c r="E3702" s="142"/>
      <c r="F3702" s="142"/>
      <c r="G3702" s="142"/>
      <c r="H3702" s="141"/>
      <c r="I3702" s="8"/>
    </row>
    <row r="3703" spans="2:9" ht="15" hidden="1" customHeight="1" x14ac:dyDescent="0.25">
      <c r="B3703" s="7"/>
      <c r="C3703" s="140">
        <v>3675</v>
      </c>
      <c r="D3703" s="142"/>
      <c r="E3703" s="142"/>
      <c r="F3703" s="142"/>
      <c r="G3703" s="142"/>
      <c r="H3703" s="141"/>
      <c r="I3703" s="8"/>
    </row>
    <row r="3704" spans="2:9" ht="15" hidden="1" customHeight="1" x14ac:dyDescent="0.25">
      <c r="B3704" s="7"/>
      <c r="C3704" s="140">
        <v>3676</v>
      </c>
      <c r="D3704" s="142"/>
      <c r="E3704" s="142"/>
      <c r="F3704" s="142"/>
      <c r="G3704" s="142"/>
      <c r="H3704" s="141"/>
      <c r="I3704" s="8"/>
    </row>
    <row r="3705" spans="2:9" ht="15" hidden="1" customHeight="1" x14ac:dyDescent="0.25">
      <c r="B3705" s="7"/>
      <c r="C3705" s="140">
        <v>3677</v>
      </c>
      <c r="D3705" s="142"/>
      <c r="E3705" s="142"/>
      <c r="F3705" s="142"/>
      <c r="G3705" s="142"/>
      <c r="H3705" s="141"/>
      <c r="I3705" s="8"/>
    </row>
    <row r="3706" spans="2:9" ht="15" hidden="1" customHeight="1" x14ac:dyDescent="0.25">
      <c r="B3706" s="7"/>
      <c r="C3706" s="140">
        <v>3678</v>
      </c>
      <c r="D3706" s="142"/>
      <c r="E3706" s="142"/>
      <c r="F3706" s="142"/>
      <c r="G3706" s="142"/>
      <c r="H3706" s="141"/>
      <c r="I3706" s="8"/>
    </row>
    <row r="3707" spans="2:9" ht="15" hidden="1" customHeight="1" x14ac:dyDescent="0.25">
      <c r="B3707" s="7"/>
      <c r="C3707" s="140">
        <v>3679</v>
      </c>
      <c r="D3707" s="142"/>
      <c r="E3707" s="142"/>
      <c r="F3707" s="142"/>
      <c r="G3707" s="142"/>
      <c r="H3707" s="141"/>
      <c r="I3707" s="8"/>
    </row>
    <row r="3708" spans="2:9" ht="15" hidden="1" customHeight="1" x14ac:dyDescent="0.25">
      <c r="B3708" s="7"/>
      <c r="C3708" s="140">
        <v>3680</v>
      </c>
      <c r="D3708" s="142"/>
      <c r="E3708" s="142"/>
      <c r="F3708" s="142"/>
      <c r="G3708" s="142"/>
      <c r="H3708" s="141"/>
      <c r="I3708" s="8"/>
    </row>
    <row r="3709" spans="2:9" ht="15" hidden="1" customHeight="1" x14ac:dyDescent="0.25">
      <c r="B3709" s="7"/>
      <c r="C3709" s="140">
        <v>3681</v>
      </c>
      <c r="D3709" s="142"/>
      <c r="E3709" s="142"/>
      <c r="F3709" s="142"/>
      <c r="G3709" s="142"/>
      <c r="H3709" s="141"/>
      <c r="I3709" s="8"/>
    </row>
    <row r="3710" spans="2:9" ht="15" hidden="1" customHeight="1" x14ac:dyDescent="0.25">
      <c r="B3710" s="7"/>
      <c r="C3710" s="140">
        <v>3682</v>
      </c>
      <c r="D3710" s="142"/>
      <c r="E3710" s="142"/>
      <c r="F3710" s="142"/>
      <c r="G3710" s="142"/>
      <c r="H3710" s="141"/>
      <c r="I3710" s="8"/>
    </row>
    <row r="3711" spans="2:9" ht="15" hidden="1" customHeight="1" x14ac:dyDescent="0.25">
      <c r="B3711" s="7"/>
      <c r="C3711" s="140">
        <v>3683</v>
      </c>
      <c r="D3711" s="142"/>
      <c r="E3711" s="142"/>
      <c r="F3711" s="142"/>
      <c r="G3711" s="142"/>
      <c r="H3711" s="141"/>
      <c r="I3711" s="8"/>
    </row>
    <row r="3712" spans="2:9" ht="15" hidden="1" customHeight="1" x14ac:dyDescent="0.25">
      <c r="B3712" s="7"/>
      <c r="C3712" s="140">
        <v>3684</v>
      </c>
      <c r="D3712" s="142"/>
      <c r="E3712" s="142"/>
      <c r="F3712" s="142"/>
      <c r="G3712" s="142"/>
      <c r="H3712" s="141"/>
      <c r="I3712" s="8"/>
    </row>
    <row r="3713" spans="2:9" ht="15" hidden="1" customHeight="1" x14ac:dyDescent="0.25">
      <c r="B3713" s="7"/>
      <c r="C3713" s="140">
        <v>3685</v>
      </c>
      <c r="D3713" s="142"/>
      <c r="E3713" s="142"/>
      <c r="F3713" s="142"/>
      <c r="G3713" s="142"/>
      <c r="H3713" s="141"/>
      <c r="I3713" s="8"/>
    </row>
    <row r="3714" spans="2:9" ht="15" hidden="1" customHeight="1" x14ac:dyDescent="0.25">
      <c r="B3714" s="7"/>
      <c r="C3714" s="140">
        <v>3686</v>
      </c>
      <c r="D3714" s="142"/>
      <c r="E3714" s="142"/>
      <c r="F3714" s="142"/>
      <c r="G3714" s="142"/>
      <c r="H3714" s="141"/>
      <c r="I3714" s="8"/>
    </row>
    <row r="3715" spans="2:9" ht="15" hidden="1" customHeight="1" x14ac:dyDescent="0.25">
      <c r="B3715" s="7"/>
      <c r="C3715" s="140">
        <v>3687</v>
      </c>
      <c r="D3715" s="142"/>
      <c r="E3715" s="142"/>
      <c r="F3715" s="142"/>
      <c r="G3715" s="142"/>
      <c r="H3715" s="141"/>
      <c r="I3715" s="8"/>
    </row>
    <row r="3716" spans="2:9" ht="15" hidden="1" customHeight="1" x14ac:dyDescent="0.25">
      <c r="B3716" s="7"/>
      <c r="C3716" s="140">
        <v>3688</v>
      </c>
      <c r="D3716" s="142"/>
      <c r="E3716" s="142"/>
      <c r="F3716" s="142"/>
      <c r="G3716" s="142"/>
      <c r="H3716" s="141"/>
      <c r="I3716" s="8"/>
    </row>
    <row r="3717" spans="2:9" ht="15" hidden="1" customHeight="1" x14ac:dyDescent="0.25">
      <c r="B3717" s="7"/>
      <c r="C3717" s="140">
        <v>3689</v>
      </c>
      <c r="D3717" s="142"/>
      <c r="E3717" s="142"/>
      <c r="F3717" s="142"/>
      <c r="G3717" s="142"/>
      <c r="H3717" s="141"/>
      <c r="I3717" s="8"/>
    </row>
    <row r="3718" spans="2:9" ht="15" hidden="1" customHeight="1" x14ac:dyDescent="0.25">
      <c r="B3718" s="7"/>
      <c r="C3718" s="140">
        <v>3690</v>
      </c>
      <c r="D3718" s="142"/>
      <c r="E3718" s="142"/>
      <c r="F3718" s="142"/>
      <c r="G3718" s="142"/>
      <c r="H3718" s="141"/>
      <c r="I3718" s="8"/>
    </row>
    <row r="3719" spans="2:9" ht="15" hidden="1" customHeight="1" x14ac:dyDescent="0.25">
      <c r="B3719" s="7"/>
      <c r="C3719" s="140">
        <v>3691</v>
      </c>
      <c r="D3719" s="142"/>
      <c r="E3719" s="142"/>
      <c r="F3719" s="142"/>
      <c r="G3719" s="142"/>
      <c r="H3719" s="141"/>
      <c r="I3719" s="8"/>
    </row>
    <row r="3720" spans="2:9" ht="15" hidden="1" customHeight="1" x14ac:dyDescent="0.25">
      <c r="B3720" s="7"/>
      <c r="C3720" s="140">
        <v>3692</v>
      </c>
      <c r="D3720" s="142"/>
      <c r="E3720" s="142"/>
      <c r="F3720" s="142"/>
      <c r="G3720" s="142"/>
      <c r="H3720" s="141"/>
      <c r="I3720" s="8"/>
    </row>
    <row r="3721" spans="2:9" ht="15" hidden="1" customHeight="1" x14ac:dyDescent="0.25">
      <c r="B3721" s="7"/>
      <c r="C3721" s="140">
        <v>3693</v>
      </c>
      <c r="D3721" s="142"/>
      <c r="E3721" s="142"/>
      <c r="F3721" s="142"/>
      <c r="G3721" s="142"/>
      <c r="H3721" s="141"/>
      <c r="I3721" s="8"/>
    </row>
    <row r="3722" spans="2:9" ht="15" hidden="1" customHeight="1" x14ac:dyDescent="0.25">
      <c r="B3722" s="7"/>
      <c r="C3722" s="140">
        <v>3694</v>
      </c>
      <c r="D3722" s="142"/>
      <c r="E3722" s="142"/>
      <c r="F3722" s="142"/>
      <c r="G3722" s="142"/>
      <c r="H3722" s="141"/>
      <c r="I3722" s="8"/>
    </row>
    <row r="3723" spans="2:9" ht="15" hidden="1" customHeight="1" x14ac:dyDescent="0.25">
      <c r="B3723" s="7"/>
      <c r="C3723" s="140">
        <v>3695</v>
      </c>
      <c r="D3723" s="142"/>
      <c r="E3723" s="142"/>
      <c r="F3723" s="142"/>
      <c r="G3723" s="142"/>
      <c r="H3723" s="141"/>
      <c r="I3723" s="8"/>
    </row>
    <row r="3724" spans="2:9" ht="15" hidden="1" customHeight="1" x14ac:dyDescent="0.25">
      <c r="B3724" s="7"/>
      <c r="C3724" s="140">
        <v>3696</v>
      </c>
      <c r="D3724" s="142"/>
      <c r="E3724" s="142"/>
      <c r="F3724" s="142"/>
      <c r="G3724" s="142"/>
      <c r="H3724" s="141"/>
      <c r="I3724" s="8"/>
    </row>
    <row r="3725" spans="2:9" ht="15" hidden="1" customHeight="1" x14ac:dyDescent="0.25">
      <c r="B3725" s="7"/>
      <c r="C3725" s="140">
        <v>3697</v>
      </c>
      <c r="D3725" s="142"/>
      <c r="E3725" s="142"/>
      <c r="F3725" s="142"/>
      <c r="G3725" s="142"/>
      <c r="H3725" s="141"/>
      <c r="I3725" s="8"/>
    </row>
    <row r="3726" spans="2:9" ht="15" hidden="1" customHeight="1" x14ac:dyDescent="0.25">
      <c r="B3726" s="7"/>
      <c r="C3726" s="140">
        <v>3698</v>
      </c>
      <c r="D3726" s="142"/>
      <c r="E3726" s="142"/>
      <c r="F3726" s="142"/>
      <c r="G3726" s="142"/>
      <c r="H3726" s="141"/>
      <c r="I3726" s="8"/>
    </row>
    <row r="3727" spans="2:9" ht="15" hidden="1" customHeight="1" x14ac:dyDescent="0.25">
      <c r="B3727" s="7"/>
      <c r="C3727" s="140">
        <v>3699</v>
      </c>
      <c r="D3727" s="142"/>
      <c r="E3727" s="142"/>
      <c r="F3727" s="142"/>
      <c r="G3727" s="142"/>
      <c r="H3727" s="141"/>
      <c r="I3727" s="8"/>
    </row>
    <row r="3728" spans="2:9" ht="15" hidden="1" customHeight="1" x14ac:dyDescent="0.25">
      <c r="B3728" s="7"/>
      <c r="C3728" s="140">
        <v>3700</v>
      </c>
      <c r="D3728" s="142"/>
      <c r="E3728" s="142"/>
      <c r="F3728" s="142"/>
      <c r="G3728" s="142"/>
      <c r="H3728" s="141"/>
      <c r="I3728" s="8"/>
    </row>
    <row r="3729" spans="2:9" ht="15" hidden="1" customHeight="1" x14ac:dyDescent="0.25">
      <c r="B3729" s="7"/>
      <c r="C3729" s="140">
        <v>3701</v>
      </c>
      <c r="D3729" s="142"/>
      <c r="E3729" s="142"/>
      <c r="F3729" s="142"/>
      <c r="G3729" s="142"/>
      <c r="H3729" s="141"/>
      <c r="I3729" s="8"/>
    </row>
    <row r="3730" spans="2:9" ht="15" hidden="1" customHeight="1" x14ac:dyDescent="0.25">
      <c r="B3730" s="7"/>
      <c r="C3730" s="140">
        <v>3702</v>
      </c>
      <c r="D3730" s="142"/>
      <c r="E3730" s="142"/>
      <c r="F3730" s="142"/>
      <c r="G3730" s="142"/>
      <c r="H3730" s="141"/>
      <c r="I3730" s="8"/>
    </row>
    <row r="3731" spans="2:9" ht="15" hidden="1" customHeight="1" x14ac:dyDescent="0.25">
      <c r="B3731" s="7"/>
      <c r="C3731" s="140">
        <v>3703</v>
      </c>
      <c r="D3731" s="142"/>
      <c r="E3731" s="142"/>
      <c r="F3731" s="142"/>
      <c r="G3731" s="142"/>
      <c r="H3731" s="141"/>
      <c r="I3731" s="8"/>
    </row>
    <row r="3732" spans="2:9" ht="15" hidden="1" customHeight="1" x14ac:dyDescent="0.25">
      <c r="B3732" s="7"/>
      <c r="C3732" s="140">
        <v>3704</v>
      </c>
      <c r="D3732" s="142"/>
      <c r="E3732" s="142"/>
      <c r="F3732" s="142"/>
      <c r="G3732" s="142"/>
      <c r="H3732" s="141"/>
      <c r="I3732" s="8"/>
    </row>
    <row r="3733" spans="2:9" ht="15" hidden="1" customHeight="1" x14ac:dyDescent="0.25">
      <c r="B3733" s="7"/>
      <c r="C3733" s="140">
        <v>3705</v>
      </c>
      <c r="D3733" s="142"/>
      <c r="E3733" s="142"/>
      <c r="F3733" s="142"/>
      <c r="G3733" s="142"/>
      <c r="H3733" s="141"/>
      <c r="I3733" s="8"/>
    </row>
    <row r="3734" spans="2:9" ht="15" hidden="1" customHeight="1" x14ac:dyDescent="0.25">
      <c r="B3734" s="7"/>
      <c r="C3734" s="140">
        <v>3706</v>
      </c>
      <c r="D3734" s="142"/>
      <c r="E3734" s="142"/>
      <c r="F3734" s="142"/>
      <c r="G3734" s="142"/>
      <c r="H3734" s="141"/>
      <c r="I3734" s="8"/>
    </row>
    <row r="3735" spans="2:9" ht="15" hidden="1" customHeight="1" x14ac:dyDescent="0.25">
      <c r="B3735" s="7"/>
      <c r="C3735" s="140">
        <v>3707</v>
      </c>
      <c r="D3735" s="142"/>
      <c r="E3735" s="142"/>
      <c r="F3735" s="142"/>
      <c r="G3735" s="142"/>
      <c r="H3735" s="141"/>
      <c r="I3735" s="8"/>
    </row>
    <row r="3736" spans="2:9" ht="15" hidden="1" customHeight="1" x14ac:dyDescent="0.25">
      <c r="B3736" s="7"/>
      <c r="C3736" s="140">
        <v>3708</v>
      </c>
      <c r="D3736" s="142"/>
      <c r="E3736" s="142"/>
      <c r="F3736" s="142"/>
      <c r="G3736" s="142"/>
      <c r="H3736" s="141"/>
      <c r="I3736" s="8"/>
    </row>
    <row r="3737" spans="2:9" ht="15" hidden="1" customHeight="1" x14ac:dyDescent="0.25">
      <c r="B3737" s="7"/>
      <c r="C3737" s="140">
        <v>3709</v>
      </c>
      <c r="D3737" s="142"/>
      <c r="E3737" s="142"/>
      <c r="F3737" s="142"/>
      <c r="G3737" s="142"/>
      <c r="H3737" s="141"/>
      <c r="I3737" s="8"/>
    </row>
    <row r="3738" spans="2:9" ht="15" hidden="1" customHeight="1" x14ac:dyDescent="0.25">
      <c r="B3738" s="7"/>
      <c r="C3738" s="140">
        <v>3710</v>
      </c>
      <c r="D3738" s="142"/>
      <c r="E3738" s="142"/>
      <c r="F3738" s="142"/>
      <c r="G3738" s="142"/>
      <c r="H3738" s="141"/>
      <c r="I3738" s="8"/>
    </row>
    <row r="3739" spans="2:9" ht="15" hidden="1" customHeight="1" x14ac:dyDescent="0.25">
      <c r="B3739" s="7"/>
      <c r="C3739" s="140">
        <v>3711</v>
      </c>
      <c r="D3739" s="142"/>
      <c r="E3739" s="142"/>
      <c r="F3739" s="142"/>
      <c r="G3739" s="142"/>
      <c r="H3739" s="141"/>
      <c r="I3739" s="8"/>
    </row>
    <row r="3740" spans="2:9" ht="15" hidden="1" customHeight="1" x14ac:dyDescent="0.25">
      <c r="B3740" s="7"/>
      <c r="C3740" s="140">
        <v>3712</v>
      </c>
      <c r="D3740" s="142"/>
      <c r="E3740" s="142"/>
      <c r="F3740" s="142"/>
      <c r="G3740" s="142"/>
      <c r="H3740" s="141"/>
      <c r="I3740" s="8"/>
    </row>
    <row r="3741" spans="2:9" ht="15" hidden="1" customHeight="1" x14ac:dyDescent="0.25">
      <c r="B3741" s="7"/>
      <c r="C3741" s="140">
        <v>3713</v>
      </c>
      <c r="D3741" s="142"/>
      <c r="E3741" s="142"/>
      <c r="F3741" s="142"/>
      <c r="G3741" s="142"/>
      <c r="H3741" s="141"/>
      <c r="I3741" s="8"/>
    </row>
    <row r="3742" spans="2:9" ht="15" hidden="1" customHeight="1" x14ac:dyDescent="0.25">
      <c r="B3742" s="7"/>
      <c r="C3742" s="140">
        <v>3714</v>
      </c>
      <c r="D3742" s="142"/>
      <c r="E3742" s="142"/>
      <c r="F3742" s="142"/>
      <c r="G3742" s="142"/>
      <c r="H3742" s="141"/>
      <c r="I3742" s="8"/>
    </row>
    <row r="3743" spans="2:9" ht="15" hidden="1" customHeight="1" x14ac:dyDescent="0.25">
      <c r="B3743" s="7"/>
      <c r="C3743" s="140">
        <v>3715</v>
      </c>
      <c r="D3743" s="142"/>
      <c r="E3743" s="142"/>
      <c r="F3743" s="142"/>
      <c r="G3743" s="142"/>
      <c r="H3743" s="141"/>
      <c r="I3743" s="8"/>
    </row>
    <row r="3744" spans="2:9" ht="15" hidden="1" customHeight="1" x14ac:dyDescent="0.25">
      <c r="B3744" s="7"/>
      <c r="C3744" s="140">
        <v>3716</v>
      </c>
      <c r="D3744" s="142"/>
      <c r="E3744" s="142"/>
      <c r="F3744" s="142"/>
      <c r="G3744" s="142"/>
      <c r="H3744" s="141"/>
      <c r="I3744" s="8"/>
    </row>
    <row r="3745" spans="2:9" ht="15" hidden="1" customHeight="1" x14ac:dyDescent="0.25">
      <c r="B3745" s="7"/>
      <c r="C3745" s="140">
        <v>3717</v>
      </c>
      <c r="D3745" s="142"/>
      <c r="E3745" s="142"/>
      <c r="F3745" s="142"/>
      <c r="G3745" s="142"/>
      <c r="H3745" s="141"/>
      <c r="I3745" s="8"/>
    </row>
    <row r="3746" spans="2:9" ht="15" hidden="1" customHeight="1" x14ac:dyDescent="0.25">
      <c r="B3746" s="7"/>
      <c r="C3746" s="140">
        <v>3718</v>
      </c>
      <c r="D3746" s="142"/>
      <c r="E3746" s="142"/>
      <c r="F3746" s="142"/>
      <c r="G3746" s="142"/>
      <c r="H3746" s="141"/>
      <c r="I3746" s="8"/>
    </row>
    <row r="3747" spans="2:9" ht="15" hidden="1" customHeight="1" x14ac:dyDescent="0.25">
      <c r="B3747" s="7"/>
      <c r="C3747" s="140">
        <v>3719</v>
      </c>
      <c r="D3747" s="142"/>
      <c r="E3747" s="142"/>
      <c r="F3747" s="142"/>
      <c r="G3747" s="142"/>
      <c r="H3747" s="141"/>
      <c r="I3747" s="8"/>
    </row>
    <row r="3748" spans="2:9" ht="15" hidden="1" customHeight="1" x14ac:dyDescent="0.25">
      <c r="B3748" s="7"/>
      <c r="C3748" s="140">
        <v>3720</v>
      </c>
      <c r="D3748" s="142"/>
      <c r="E3748" s="142"/>
      <c r="F3748" s="142"/>
      <c r="G3748" s="142"/>
      <c r="H3748" s="141"/>
      <c r="I3748" s="8"/>
    </row>
    <row r="3749" spans="2:9" ht="15" hidden="1" customHeight="1" x14ac:dyDescent="0.25">
      <c r="B3749" s="7"/>
      <c r="C3749" s="140">
        <v>3721</v>
      </c>
      <c r="D3749" s="142"/>
      <c r="E3749" s="142"/>
      <c r="F3749" s="142"/>
      <c r="G3749" s="142"/>
      <c r="H3749" s="141"/>
      <c r="I3749" s="8"/>
    </row>
    <row r="3750" spans="2:9" ht="15" hidden="1" customHeight="1" x14ac:dyDescent="0.25">
      <c r="B3750" s="7"/>
      <c r="C3750" s="140">
        <v>3722</v>
      </c>
      <c r="D3750" s="142"/>
      <c r="E3750" s="142"/>
      <c r="F3750" s="142"/>
      <c r="G3750" s="142"/>
      <c r="H3750" s="141"/>
      <c r="I3750" s="8"/>
    </row>
    <row r="3751" spans="2:9" ht="15" hidden="1" customHeight="1" x14ac:dyDescent="0.25">
      <c r="B3751" s="7"/>
      <c r="C3751" s="140">
        <v>3723</v>
      </c>
      <c r="D3751" s="142"/>
      <c r="E3751" s="142"/>
      <c r="F3751" s="142"/>
      <c r="G3751" s="142"/>
      <c r="H3751" s="141"/>
      <c r="I3751" s="8"/>
    </row>
    <row r="3752" spans="2:9" ht="15" hidden="1" customHeight="1" x14ac:dyDescent="0.25">
      <c r="B3752" s="7"/>
      <c r="C3752" s="140">
        <v>3724</v>
      </c>
      <c r="D3752" s="142"/>
      <c r="E3752" s="142"/>
      <c r="F3752" s="142"/>
      <c r="G3752" s="142"/>
      <c r="H3752" s="141"/>
      <c r="I3752" s="8"/>
    </row>
    <row r="3753" spans="2:9" ht="15" hidden="1" customHeight="1" x14ac:dyDescent="0.25">
      <c r="B3753" s="7"/>
      <c r="C3753" s="140">
        <v>3725</v>
      </c>
      <c r="D3753" s="142"/>
      <c r="E3753" s="142"/>
      <c r="F3753" s="142"/>
      <c r="G3753" s="142"/>
      <c r="H3753" s="141"/>
      <c r="I3753" s="8"/>
    </row>
    <row r="3754" spans="2:9" ht="15" hidden="1" customHeight="1" x14ac:dyDescent="0.25">
      <c r="B3754" s="7"/>
      <c r="C3754" s="140">
        <v>3726</v>
      </c>
      <c r="D3754" s="142"/>
      <c r="E3754" s="142"/>
      <c r="F3754" s="142"/>
      <c r="G3754" s="142"/>
      <c r="H3754" s="141"/>
      <c r="I3754" s="8"/>
    </row>
    <row r="3755" spans="2:9" ht="15" hidden="1" customHeight="1" x14ac:dyDescent="0.25">
      <c r="B3755" s="7"/>
      <c r="C3755" s="140">
        <v>3727</v>
      </c>
      <c r="D3755" s="142"/>
      <c r="E3755" s="142"/>
      <c r="F3755" s="142"/>
      <c r="G3755" s="142"/>
      <c r="H3755" s="141"/>
      <c r="I3755" s="8"/>
    </row>
    <row r="3756" spans="2:9" ht="15" hidden="1" customHeight="1" x14ac:dyDescent="0.25">
      <c r="B3756" s="7"/>
      <c r="C3756" s="140">
        <v>3728</v>
      </c>
      <c r="D3756" s="142"/>
      <c r="E3756" s="142"/>
      <c r="F3756" s="142"/>
      <c r="G3756" s="142"/>
      <c r="H3756" s="141"/>
      <c r="I3756" s="8"/>
    </row>
    <row r="3757" spans="2:9" ht="15" hidden="1" customHeight="1" x14ac:dyDescent="0.25">
      <c r="B3757" s="7"/>
      <c r="C3757" s="140">
        <v>3729</v>
      </c>
      <c r="D3757" s="142"/>
      <c r="E3757" s="142"/>
      <c r="F3757" s="142"/>
      <c r="G3757" s="142"/>
      <c r="H3757" s="141"/>
      <c r="I3757" s="8"/>
    </row>
    <row r="3758" spans="2:9" ht="15" hidden="1" customHeight="1" x14ac:dyDescent="0.25">
      <c r="B3758" s="7"/>
      <c r="C3758" s="140">
        <v>3730</v>
      </c>
      <c r="D3758" s="142"/>
      <c r="E3758" s="142"/>
      <c r="F3758" s="142"/>
      <c r="G3758" s="142"/>
      <c r="H3758" s="141"/>
      <c r="I3758" s="8"/>
    </row>
    <row r="3759" spans="2:9" ht="15" hidden="1" customHeight="1" x14ac:dyDescent="0.25">
      <c r="B3759" s="7"/>
      <c r="C3759" s="140">
        <v>3731</v>
      </c>
      <c r="D3759" s="142"/>
      <c r="E3759" s="142"/>
      <c r="F3759" s="142"/>
      <c r="G3759" s="142"/>
      <c r="H3759" s="141"/>
      <c r="I3759" s="8"/>
    </row>
    <row r="3760" spans="2:9" ht="15" hidden="1" customHeight="1" x14ac:dyDescent="0.25">
      <c r="B3760" s="7"/>
      <c r="C3760" s="140">
        <v>3732</v>
      </c>
      <c r="D3760" s="142"/>
      <c r="E3760" s="142"/>
      <c r="F3760" s="142"/>
      <c r="G3760" s="142"/>
      <c r="H3760" s="141"/>
      <c r="I3760" s="8"/>
    </row>
    <row r="3761" spans="2:9" ht="15" hidden="1" customHeight="1" x14ac:dyDescent="0.25">
      <c r="B3761" s="7"/>
      <c r="C3761" s="140">
        <v>3733</v>
      </c>
      <c r="D3761" s="142"/>
      <c r="E3761" s="142"/>
      <c r="F3761" s="142"/>
      <c r="G3761" s="142"/>
      <c r="H3761" s="141"/>
      <c r="I3761" s="8"/>
    </row>
    <row r="3762" spans="2:9" ht="15" hidden="1" customHeight="1" x14ac:dyDescent="0.25">
      <c r="B3762" s="7"/>
      <c r="C3762" s="140">
        <v>3734</v>
      </c>
      <c r="D3762" s="142"/>
      <c r="E3762" s="142"/>
      <c r="F3762" s="142"/>
      <c r="G3762" s="142"/>
      <c r="H3762" s="141"/>
      <c r="I3762" s="8"/>
    </row>
    <row r="3763" spans="2:9" ht="15" hidden="1" customHeight="1" x14ac:dyDescent="0.25">
      <c r="B3763" s="7"/>
      <c r="C3763" s="140">
        <v>3735</v>
      </c>
      <c r="D3763" s="142"/>
      <c r="E3763" s="142"/>
      <c r="F3763" s="142"/>
      <c r="G3763" s="142"/>
      <c r="H3763" s="141"/>
      <c r="I3763" s="8"/>
    </row>
    <row r="3764" spans="2:9" ht="15" hidden="1" customHeight="1" x14ac:dyDescent="0.25">
      <c r="B3764" s="7"/>
      <c r="C3764" s="140">
        <v>3736</v>
      </c>
      <c r="D3764" s="142"/>
      <c r="E3764" s="142"/>
      <c r="F3764" s="142"/>
      <c r="G3764" s="142"/>
      <c r="H3764" s="141"/>
      <c r="I3764" s="8"/>
    </row>
    <row r="3765" spans="2:9" ht="15" hidden="1" customHeight="1" x14ac:dyDescent="0.25">
      <c r="B3765" s="7"/>
      <c r="C3765" s="140">
        <v>3737</v>
      </c>
      <c r="D3765" s="142"/>
      <c r="E3765" s="142"/>
      <c r="F3765" s="142"/>
      <c r="G3765" s="142"/>
      <c r="H3765" s="141"/>
      <c r="I3765" s="8"/>
    </row>
    <row r="3766" spans="2:9" ht="15" hidden="1" customHeight="1" x14ac:dyDescent="0.25">
      <c r="B3766" s="7"/>
      <c r="C3766" s="140">
        <v>3738</v>
      </c>
      <c r="D3766" s="142"/>
      <c r="E3766" s="142"/>
      <c r="F3766" s="142"/>
      <c r="G3766" s="142"/>
      <c r="H3766" s="141"/>
      <c r="I3766" s="8"/>
    </row>
    <row r="3767" spans="2:9" ht="15" hidden="1" customHeight="1" x14ac:dyDescent="0.25">
      <c r="B3767" s="7"/>
      <c r="C3767" s="140">
        <v>3739</v>
      </c>
      <c r="D3767" s="142"/>
      <c r="E3767" s="142"/>
      <c r="F3767" s="142"/>
      <c r="G3767" s="142"/>
      <c r="H3767" s="141"/>
      <c r="I3767" s="8"/>
    </row>
    <row r="3768" spans="2:9" ht="15" hidden="1" customHeight="1" x14ac:dyDescent="0.25">
      <c r="B3768" s="7"/>
      <c r="C3768" s="140">
        <v>3740</v>
      </c>
      <c r="D3768" s="142"/>
      <c r="E3768" s="142"/>
      <c r="F3768" s="142"/>
      <c r="G3768" s="142"/>
      <c r="H3768" s="141"/>
      <c r="I3768" s="8"/>
    </row>
    <row r="3769" spans="2:9" ht="15" hidden="1" customHeight="1" x14ac:dyDescent="0.25">
      <c r="B3769" s="7"/>
      <c r="C3769" s="140">
        <v>3741</v>
      </c>
      <c r="D3769" s="142"/>
      <c r="E3769" s="142"/>
      <c r="F3769" s="142"/>
      <c r="G3769" s="142"/>
      <c r="H3769" s="141"/>
      <c r="I3769" s="8"/>
    </row>
    <row r="3770" spans="2:9" ht="15" hidden="1" customHeight="1" x14ac:dyDescent="0.25">
      <c r="B3770" s="7"/>
      <c r="C3770" s="140">
        <v>3742</v>
      </c>
      <c r="D3770" s="142"/>
      <c r="E3770" s="142"/>
      <c r="F3770" s="142"/>
      <c r="G3770" s="142"/>
      <c r="H3770" s="141"/>
      <c r="I3770" s="8"/>
    </row>
    <row r="3771" spans="2:9" ht="15" hidden="1" customHeight="1" x14ac:dyDescent="0.25">
      <c r="B3771" s="7"/>
      <c r="C3771" s="140">
        <v>3743</v>
      </c>
      <c r="D3771" s="142"/>
      <c r="E3771" s="142"/>
      <c r="F3771" s="142"/>
      <c r="G3771" s="142"/>
      <c r="H3771" s="141"/>
      <c r="I3771" s="8"/>
    </row>
    <row r="3772" spans="2:9" ht="15" hidden="1" customHeight="1" x14ac:dyDescent="0.25">
      <c r="B3772" s="7"/>
      <c r="C3772" s="140">
        <v>3744</v>
      </c>
      <c r="D3772" s="142"/>
      <c r="E3772" s="142"/>
      <c r="F3772" s="142"/>
      <c r="G3772" s="142"/>
      <c r="H3772" s="141"/>
      <c r="I3772" s="8"/>
    </row>
    <row r="3773" spans="2:9" ht="15" hidden="1" customHeight="1" x14ac:dyDescent="0.25">
      <c r="B3773" s="7"/>
      <c r="C3773" s="140">
        <v>3745</v>
      </c>
      <c r="D3773" s="142"/>
      <c r="E3773" s="142"/>
      <c r="F3773" s="142"/>
      <c r="G3773" s="142"/>
      <c r="H3773" s="141"/>
      <c r="I3773" s="8"/>
    </row>
    <row r="3774" spans="2:9" ht="15" hidden="1" customHeight="1" x14ac:dyDescent="0.25">
      <c r="B3774" s="7"/>
      <c r="C3774" s="140">
        <v>3746</v>
      </c>
      <c r="D3774" s="142"/>
      <c r="E3774" s="142"/>
      <c r="F3774" s="142"/>
      <c r="G3774" s="142"/>
      <c r="H3774" s="141"/>
      <c r="I3774" s="8"/>
    </row>
    <row r="3775" spans="2:9" ht="15" hidden="1" customHeight="1" x14ac:dyDescent="0.25">
      <c r="B3775" s="7"/>
      <c r="C3775" s="140">
        <v>3747</v>
      </c>
      <c r="D3775" s="142"/>
      <c r="E3775" s="142"/>
      <c r="F3775" s="142"/>
      <c r="G3775" s="142"/>
      <c r="H3775" s="141"/>
      <c r="I3775" s="8"/>
    </row>
    <row r="3776" spans="2:9" ht="15" hidden="1" customHeight="1" x14ac:dyDescent="0.25">
      <c r="B3776" s="7"/>
      <c r="C3776" s="140">
        <v>3748</v>
      </c>
      <c r="D3776" s="142"/>
      <c r="E3776" s="142"/>
      <c r="F3776" s="142"/>
      <c r="G3776" s="142"/>
      <c r="H3776" s="141"/>
      <c r="I3776" s="8"/>
    </row>
    <row r="3777" spans="2:9" ht="15" hidden="1" customHeight="1" x14ac:dyDescent="0.25">
      <c r="B3777" s="7"/>
      <c r="C3777" s="140">
        <v>3749</v>
      </c>
      <c r="D3777" s="142"/>
      <c r="E3777" s="142"/>
      <c r="F3777" s="142"/>
      <c r="G3777" s="142"/>
      <c r="H3777" s="141"/>
      <c r="I3777" s="8"/>
    </row>
    <row r="3778" spans="2:9" ht="15" hidden="1" customHeight="1" x14ac:dyDescent="0.25">
      <c r="B3778" s="7"/>
      <c r="C3778" s="140">
        <v>3750</v>
      </c>
      <c r="D3778" s="142"/>
      <c r="E3778" s="142"/>
      <c r="F3778" s="142"/>
      <c r="G3778" s="142"/>
      <c r="H3778" s="141"/>
      <c r="I3778" s="8"/>
    </row>
    <row r="3779" spans="2:9" ht="15" hidden="1" customHeight="1" x14ac:dyDescent="0.25">
      <c r="B3779" s="7"/>
      <c r="C3779" s="140">
        <v>3751</v>
      </c>
      <c r="D3779" s="142"/>
      <c r="E3779" s="142"/>
      <c r="F3779" s="142"/>
      <c r="G3779" s="142"/>
      <c r="H3779" s="141"/>
      <c r="I3779" s="8"/>
    </row>
    <row r="3780" spans="2:9" ht="15" hidden="1" customHeight="1" x14ac:dyDescent="0.25">
      <c r="B3780" s="7"/>
      <c r="C3780" s="140">
        <v>3752</v>
      </c>
      <c r="D3780" s="142"/>
      <c r="E3780" s="142"/>
      <c r="F3780" s="142"/>
      <c r="G3780" s="142"/>
      <c r="H3780" s="141"/>
      <c r="I3780" s="8"/>
    </row>
    <row r="3781" spans="2:9" ht="15" hidden="1" customHeight="1" x14ac:dyDescent="0.25">
      <c r="B3781" s="7"/>
      <c r="C3781" s="140">
        <v>3753</v>
      </c>
      <c r="D3781" s="142"/>
      <c r="E3781" s="142"/>
      <c r="F3781" s="142"/>
      <c r="G3781" s="142"/>
      <c r="H3781" s="141"/>
      <c r="I3781" s="8"/>
    </row>
    <row r="3782" spans="2:9" ht="15" hidden="1" customHeight="1" x14ac:dyDescent="0.25">
      <c r="B3782" s="7"/>
      <c r="C3782" s="140">
        <v>3754</v>
      </c>
      <c r="D3782" s="142"/>
      <c r="E3782" s="142"/>
      <c r="F3782" s="142"/>
      <c r="G3782" s="142"/>
      <c r="H3782" s="141"/>
      <c r="I3782" s="8"/>
    </row>
    <row r="3783" spans="2:9" ht="15" hidden="1" customHeight="1" x14ac:dyDescent="0.25">
      <c r="B3783" s="7"/>
      <c r="C3783" s="140">
        <v>3755</v>
      </c>
      <c r="D3783" s="142"/>
      <c r="E3783" s="142"/>
      <c r="F3783" s="142"/>
      <c r="G3783" s="142"/>
      <c r="H3783" s="141"/>
      <c r="I3783" s="8"/>
    </row>
    <row r="3784" spans="2:9" ht="15" hidden="1" customHeight="1" x14ac:dyDescent="0.25">
      <c r="B3784" s="7"/>
      <c r="C3784" s="140">
        <v>3756</v>
      </c>
      <c r="D3784" s="142"/>
      <c r="E3784" s="142"/>
      <c r="F3784" s="142"/>
      <c r="G3784" s="142"/>
      <c r="H3784" s="141"/>
      <c r="I3784" s="8"/>
    </row>
    <row r="3785" spans="2:9" ht="15" hidden="1" customHeight="1" x14ac:dyDescent="0.25">
      <c r="B3785" s="7"/>
      <c r="C3785" s="140">
        <v>3757</v>
      </c>
      <c r="D3785" s="142"/>
      <c r="E3785" s="142"/>
      <c r="F3785" s="142"/>
      <c r="G3785" s="142"/>
      <c r="H3785" s="141"/>
      <c r="I3785" s="8"/>
    </row>
    <row r="3786" spans="2:9" ht="15" hidden="1" customHeight="1" x14ac:dyDescent="0.25">
      <c r="B3786" s="7"/>
      <c r="C3786" s="140">
        <v>3758</v>
      </c>
      <c r="D3786" s="142"/>
      <c r="E3786" s="142"/>
      <c r="F3786" s="142"/>
      <c r="G3786" s="142"/>
      <c r="H3786" s="141"/>
      <c r="I3786" s="8"/>
    </row>
    <row r="3787" spans="2:9" ht="15" hidden="1" customHeight="1" x14ac:dyDescent="0.25">
      <c r="B3787" s="7"/>
      <c r="C3787" s="140">
        <v>3759</v>
      </c>
      <c r="D3787" s="142"/>
      <c r="E3787" s="142"/>
      <c r="F3787" s="142"/>
      <c r="G3787" s="142"/>
      <c r="H3787" s="141"/>
      <c r="I3787" s="8"/>
    </row>
    <row r="3788" spans="2:9" ht="15" hidden="1" customHeight="1" x14ac:dyDescent="0.25">
      <c r="B3788" s="7"/>
      <c r="C3788" s="140">
        <v>3760</v>
      </c>
      <c r="D3788" s="142"/>
      <c r="E3788" s="142"/>
      <c r="F3788" s="142"/>
      <c r="G3788" s="142"/>
      <c r="H3788" s="141"/>
      <c r="I3788" s="8"/>
    </row>
    <row r="3789" spans="2:9" ht="15" hidden="1" customHeight="1" x14ac:dyDescent="0.25">
      <c r="B3789" s="7"/>
      <c r="C3789" s="140">
        <v>3761</v>
      </c>
      <c r="D3789" s="142"/>
      <c r="E3789" s="142"/>
      <c r="F3789" s="142"/>
      <c r="G3789" s="142"/>
      <c r="H3789" s="141"/>
      <c r="I3789" s="8"/>
    </row>
    <row r="3790" spans="2:9" ht="15" hidden="1" customHeight="1" x14ac:dyDescent="0.25">
      <c r="B3790" s="7"/>
      <c r="C3790" s="140">
        <v>3762</v>
      </c>
      <c r="D3790" s="142"/>
      <c r="E3790" s="142"/>
      <c r="F3790" s="142"/>
      <c r="G3790" s="142"/>
      <c r="H3790" s="141"/>
      <c r="I3790" s="8"/>
    </row>
    <row r="3791" spans="2:9" ht="15" hidden="1" customHeight="1" x14ac:dyDescent="0.25">
      <c r="B3791" s="7"/>
      <c r="C3791" s="140">
        <v>3763</v>
      </c>
      <c r="D3791" s="142"/>
      <c r="E3791" s="142"/>
      <c r="F3791" s="142"/>
      <c r="G3791" s="142"/>
      <c r="H3791" s="141"/>
      <c r="I3791" s="8"/>
    </row>
    <row r="3792" spans="2:9" ht="15" hidden="1" customHeight="1" x14ac:dyDescent="0.25">
      <c r="B3792" s="7"/>
      <c r="C3792" s="140">
        <v>3764</v>
      </c>
      <c r="D3792" s="142"/>
      <c r="E3792" s="142"/>
      <c r="F3792" s="142"/>
      <c r="G3792" s="142"/>
      <c r="H3792" s="141"/>
      <c r="I3792" s="8"/>
    </row>
    <row r="3793" spans="2:9" ht="15" hidden="1" customHeight="1" x14ac:dyDescent="0.25">
      <c r="B3793" s="7"/>
      <c r="C3793" s="140">
        <v>3765</v>
      </c>
      <c r="D3793" s="142"/>
      <c r="E3793" s="142"/>
      <c r="F3793" s="142"/>
      <c r="G3793" s="142"/>
      <c r="H3793" s="141"/>
      <c r="I3793" s="8"/>
    </row>
    <row r="3794" spans="2:9" ht="15" hidden="1" customHeight="1" x14ac:dyDescent="0.25">
      <c r="B3794" s="7"/>
      <c r="C3794" s="140">
        <v>3766</v>
      </c>
      <c r="D3794" s="142"/>
      <c r="E3794" s="142"/>
      <c r="F3794" s="142"/>
      <c r="G3794" s="142"/>
      <c r="H3794" s="141"/>
      <c r="I3794" s="8"/>
    </row>
    <row r="3795" spans="2:9" ht="15" hidden="1" customHeight="1" x14ac:dyDescent="0.25">
      <c r="B3795" s="7"/>
      <c r="C3795" s="140">
        <v>3767</v>
      </c>
      <c r="D3795" s="142"/>
      <c r="E3795" s="142"/>
      <c r="F3795" s="142"/>
      <c r="G3795" s="142"/>
      <c r="H3795" s="141"/>
      <c r="I3795" s="8"/>
    </row>
    <row r="3796" spans="2:9" ht="15" hidden="1" customHeight="1" x14ac:dyDescent="0.25">
      <c r="B3796" s="7"/>
      <c r="C3796" s="140">
        <v>3768</v>
      </c>
      <c r="D3796" s="142"/>
      <c r="E3796" s="142"/>
      <c r="F3796" s="142"/>
      <c r="G3796" s="142"/>
      <c r="H3796" s="141"/>
      <c r="I3796" s="8"/>
    </row>
    <row r="3797" spans="2:9" ht="15" hidden="1" customHeight="1" x14ac:dyDescent="0.25">
      <c r="B3797" s="7"/>
      <c r="C3797" s="140">
        <v>3769</v>
      </c>
      <c r="D3797" s="142"/>
      <c r="E3797" s="142"/>
      <c r="F3797" s="142"/>
      <c r="G3797" s="142"/>
      <c r="H3797" s="141"/>
      <c r="I3797" s="8"/>
    </row>
    <row r="3798" spans="2:9" ht="15" hidden="1" customHeight="1" x14ac:dyDescent="0.25">
      <c r="B3798" s="7"/>
      <c r="C3798" s="140">
        <v>3770</v>
      </c>
      <c r="D3798" s="142"/>
      <c r="E3798" s="142"/>
      <c r="F3798" s="142"/>
      <c r="G3798" s="142"/>
      <c r="H3798" s="141"/>
      <c r="I3798" s="8"/>
    </row>
    <row r="3799" spans="2:9" ht="15" hidden="1" customHeight="1" x14ac:dyDescent="0.25">
      <c r="B3799" s="7"/>
      <c r="C3799" s="140">
        <v>3771</v>
      </c>
      <c r="D3799" s="142"/>
      <c r="E3799" s="142"/>
      <c r="F3799" s="142"/>
      <c r="G3799" s="142"/>
      <c r="H3799" s="141"/>
      <c r="I3799" s="8"/>
    </row>
    <row r="3800" spans="2:9" ht="15" hidden="1" customHeight="1" x14ac:dyDescent="0.25">
      <c r="B3800" s="7"/>
      <c r="C3800" s="140">
        <v>3772</v>
      </c>
      <c r="D3800" s="142"/>
      <c r="E3800" s="142"/>
      <c r="F3800" s="142"/>
      <c r="G3800" s="142"/>
      <c r="H3800" s="141"/>
      <c r="I3800" s="8"/>
    </row>
    <row r="3801" spans="2:9" ht="15" hidden="1" customHeight="1" x14ac:dyDescent="0.25">
      <c r="B3801" s="7"/>
      <c r="C3801" s="140">
        <v>3773</v>
      </c>
      <c r="D3801" s="142"/>
      <c r="E3801" s="142"/>
      <c r="F3801" s="142"/>
      <c r="G3801" s="142"/>
      <c r="H3801" s="141"/>
      <c r="I3801" s="8"/>
    </row>
    <row r="3802" spans="2:9" ht="15" hidden="1" customHeight="1" x14ac:dyDescent="0.25">
      <c r="B3802" s="7"/>
      <c r="C3802" s="140">
        <v>3774</v>
      </c>
      <c r="D3802" s="142"/>
      <c r="E3802" s="142"/>
      <c r="F3802" s="142"/>
      <c r="G3802" s="142"/>
      <c r="H3802" s="141"/>
      <c r="I3802" s="8"/>
    </row>
    <row r="3803" spans="2:9" ht="15" hidden="1" customHeight="1" x14ac:dyDescent="0.25">
      <c r="B3803" s="7"/>
      <c r="C3803" s="140">
        <v>3775</v>
      </c>
      <c r="D3803" s="142"/>
      <c r="E3803" s="142"/>
      <c r="F3803" s="142"/>
      <c r="G3803" s="142"/>
      <c r="H3803" s="141"/>
      <c r="I3803" s="8"/>
    </row>
    <row r="3804" spans="2:9" ht="15" hidden="1" customHeight="1" x14ac:dyDescent="0.25">
      <c r="B3804" s="7"/>
      <c r="C3804" s="140">
        <v>3776</v>
      </c>
      <c r="D3804" s="142"/>
      <c r="E3804" s="142"/>
      <c r="F3804" s="142"/>
      <c r="G3804" s="142"/>
      <c r="H3804" s="141"/>
      <c r="I3804" s="8"/>
    </row>
    <row r="3805" spans="2:9" ht="15" hidden="1" customHeight="1" x14ac:dyDescent="0.25">
      <c r="B3805" s="7"/>
      <c r="C3805" s="140">
        <v>3777</v>
      </c>
      <c r="D3805" s="142"/>
      <c r="E3805" s="142"/>
      <c r="F3805" s="142"/>
      <c r="G3805" s="142"/>
      <c r="H3805" s="141"/>
      <c r="I3805" s="8"/>
    </row>
    <row r="3806" spans="2:9" ht="15" hidden="1" customHeight="1" x14ac:dyDescent="0.25">
      <c r="B3806" s="7"/>
      <c r="C3806" s="140">
        <v>3778</v>
      </c>
      <c r="D3806" s="142"/>
      <c r="E3806" s="142"/>
      <c r="F3806" s="142"/>
      <c r="G3806" s="142"/>
      <c r="H3806" s="141"/>
      <c r="I3806" s="8"/>
    </row>
    <row r="3807" spans="2:9" ht="15" hidden="1" customHeight="1" x14ac:dyDescent="0.25">
      <c r="B3807" s="7"/>
      <c r="C3807" s="140">
        <v>3779</v>
      </c>
      <c r="D3807" s="142"/>
      <c r="E3807" s="142"/>
      <c r="F3807" s="142"/>
      <c r="G3807" s="142"/>
      <c r="H3807" s="141"/>
      <c r="I3807" s="8"/>
    </row>
    <row r="3808" spans="2:9" ht="15" hidden="1" customHeight="1" x14ac:dyDescent="0.25">
      <c r="B3808" s="7"/>
      <c r="C3808" s="140">
        <v>3780</v>
      </c>
      <c r="D3808" s="142"/>
      <c r="E3808" s="142"/>
      <c r="F3808" s="142"/>
      <c r="G3808" s="142"/>
      <c r="H3808" s="141"/>
      <c r="I3808" s="8"/>
    </row>
    <row r="3809" spans="2:9" ht="15" hidden="1" customHeight="1" x14ac:dyDescent="0.25">
      <c r="B3809" s="7"/>
      <c r="C3809" s="140">
        <v>3781</v>
      </c>
      <c r="D3809" s="142"/>
      <c r="E3809" s="142"/>
      <c r="F3809" s="142"/>
      <c r="G3809" s="142"/>
      <c r="H3809" s="141"/>
      <c r="I3809" s="8"/>
    </row>
    <row r="3810" spans="2:9" ht="15" hidden="1" customHeight="1" x14ac:dyDescent="0.25">
      <c r="B3810" s="7"/>
      <c r="C3810" s="140">
        <v>3782</v>
      </c>
      <c r="D3810" s="142"/>
      <c r="E3810" s="142"/>
      <c r="F3810" s="142"/>
      <c r="G3810" s="142"/>
      <c r="H3810" s="141"/>
      <c r="I3810" s="8"/>
    </row>
    <row r="3811" spans="2:9" ht="15" hidden="1" customHeight="1" x14ac:dyDescent="0.25">
      <c r="B3811" s="7"/>
      <c r="C3811" s="140">
        <v>3783</v>
      </c>
      <c r="D3811" s="142"/>
      <c r="E3811" s="142"/>
      <c r="F3811" s="142"/>
      <c r="G3811" s="142"/>
      <c r="H3811" s="141"/>
      <c r="I3811" s="8"/>
    </row>
    <row r="3812" spans="2:9" ht="15" hidden="1" customHeight="1" x14ac:dyDescent="0.25">
      <c r="B3812" s="7"/>
      <c r="C3812" s="140">
        <v>3784</v>
      </c>
      <c r="D3812" s="142"/>
      <c r="E3812" s="142"/>
      <c r="F3812" s="142"/>
      <c r="G3812" s="142"/>
      <c r="H3812" s="141"/>
      <c r="I3812" s="8"/>
    </row>
    <row r="3813" spans="2:9" ht="15" hidden="1" customHeight="1" x14ac:dyDescent="0.25">
      <c r="B3813" s="7"/>
      <c r="C3813" s="140">
        <v>3785</v>
      </c>
      <c r="D3813" s="142"/>
      <c r="E3813" s="142"/>
      <c r="F3813" s="142"/>
      <c r="G3813" s="142"/>
      <c r="H3813" s="141"/>
      <c r="I3813" s="8"/>
    </row>
    <row r="3814" spans="2:9" ht="15" hidden="1" customHeight="1" x14ac:dyDescent="0.25">
      <c r="B3814" s="7"/>
      <c r="C3814" s="140">
        <v>3786</v>
      </c>
      <c r="D3814" s="142"/>
      <c r="E3814" s="142"/>
      <c r="F3814" s="142"/>
      <c r="G3814" s="142"/>
      <c r="H3814" s="141"/>
      <c r="I3814" s="8"/>
    </row>
    <row r="3815" spans="2:9" ht="15" hidden="1" customHeight="1" x14ac:dyDescent="0.25">
      <c r="B3815" s="7"/>
      <c r="C3815" s="140">
        <v>3787</v>
      </c>
      <c r="D3815" s="142"/>
      <c r="E3815" s="142"/>
      <c r="F3815" s="142"/>
      <c r="G3815" s="142"/>
      <c r="H3815" s="141"/>
      <c r="I3815" s="8"/>
    </row>
    <row r="3816" spans="2:9" ht="15" hidden="1" customHeight="1" x14ac:dyDescent="0.25">
      <c r="B3816" s="7"/>
      <c r="C3816" s="140">
        <v>3788</v>
      </c>
      <c r="D3816" s="142"/>
      <c r="E3816" s="142"/>
      <c r="F3816" s="142"/>
      <c r="G3816" s="142"/>
      <c r="H3816" s="141"/>
      <c r="I3816" s="8"/>
    </row>
    <row r="3817" spans="2:9" ht="15" hidden="1" customHeight="1" x14ac:dyDescent="0.25">
      <c r="B3817" s="7"/>
      <c r="C3817" s="140">
        <v>3789</v>
      </c>
      <c r="D3817" s="142"/>
      <c r="E3817" s="142"/>
      <c r="F3817" s="142"/>
      <c r="G3817" s="142"/>
      <c r="H3817" s="141"/>
      <c r="I3817" s="8"/>
    </row>
    <row r="3818" spans="2:9" ht="15" hidden="1" customHeight="1" x14ac:dyDescent="0.25">
      <c r="B3818" s="7"/>
      <c r="C3818" s="140">
        <v>3790</v>
      </c>
      <c r="D3818" s="142"/>
      <c r="E3818" s="142"/>
      <c r="F3818" s="142"/>
      <c r="G3818" s="142"/>
      <c r="H3818" s="141"/>
      <c r="I3818" s="8"/>
    </row>
    <row r="3819" spans="2:9" ht="15" hidden="1" customHeight="1" x14ac:dyDescent="0.25">
      <c r="B3819" s="7"/>
      <c r="C3819" s="140">
        <v>3791</v>
      </c>
      <c r="D3819" s="142"/>
      <c r="E3819" s="142"/>
      <c r="F3819" s="142"/>
      <c r="G3819" s="142"/>
      <c r="H3819" s="141"/>
      <c r="I3819" s="8"/>
    </row>
    <row r="3820" spans="2:9" ht="15" hidden="1" customHeight="1" x14ac:dyDescent="0.25">
      <c r="B3820" s="7"/>
      <c r="C3820" s="140">
        <v>3792</v>
      </c>
      <c r="D3820" s="142"/>
      <c r="E3820" s="142"/>
      <c r="F3820" s="142"/>
      <c r="G3820" s="142"/>
      <c r="H3820" s="141"/>
      <c r="I3820" s="8"/>
    </row>
    <row r="3821" spans="2:9" ht="15" hidden="1" customHeight="1" x14ac:dyDescent="0.25">
      <c r="B3821" s="7"/>
      <c r="C3821" s="140">
        <v>3793</v>
      </c>
      <c r="D3821" s="142"/>
      <c r="E3821" s="142"/>
      <c r="F3821" s="142"/>
      <c r="G3821" s="142"/>
      <c r="H3821" s="141"/>
      <c r="I3821" s="8"/>
    </row>
    <row r="3822" spans="2:9" ht="15" hidden="1" customHeight="1" x14ac:dyDescent="0.25">
      <c r="B3822" s="7"/>
      <c r="C3822" s="140">
        <v>3794</v>
      </c>
      <c r="D3822" s="142"/>
      <c r="E3822" s="142"/>
      <c r="F3822" s="142"/>
      <c r="G3822" s="142"/>
      <c r="H3822" s="141"/>
      <c r="I3822" s="8"/>
    </row>
    <row r="3823" spans="2:9" ht="15" hidden="1" customHeight="1" x14ac:dyDescent="0.25">
      <c r="B3823" s="7"/>
      <c r="C3823" s="140">
        <v>3795</v>
      </c>
      <c r="D3823" s="142"/>
      <c r="E3823" s="142"/>
      <c r="F3823" s="142"/>
      <c r="G3823" s="142"/>
      <c r="H3823" s="141"/>
      <c r="I3823" s="8"/>
    </row>
    <row r="3824" spans="2:9" ht="15" hidden="1" customHeight="1" x14ac:dyDescent="0.25">
      <c r="B3824" s="7"/>
      <c r="C3824" s="140">
        <v>3796</v>
      </c>
      <c r="D3824" s="142"/>
      <c r="E3824" s="142"/>
      <c r="F3824" s="142"/>
      <c r="G3824" s="142"/>
      <c r="H3824" s="141"/>
      <c r="I3824" s="8"/>
    </row>
    <row r="3825" spans="2:9" ht="15" hidden="1" customHeight="1" x14ac:dyDescent="0.25">
      <c r="B3825" s="7"/>
      <c r="C3825" s="140">
        <v>3797</v>
      </c>
      <c r="D3825" s="142"/>
      <c r="E3825" s="142"/>
      <c r="F3825" s="142"/>
      <c r="G3825" s="142"/>
      <c r="H3825" s="141"/>
      <c r="I3825" s="8"/>
    </row>
    <row r="3826" spans="2:9" ht="15" hidden="1" customHeight="1" x14ac:dyDescent="0.25">
      <c r="B3826" s="7"/>
      <c r="C3826" s="140">
        <v>3798</v>
      </c>
      <c r="D3826" s="142"/>
      <c r="E3826" s="142"/>
      <c r="F3826" s="142"/>
      <c r="G3826" s="142"/>
      <c r="H3826" s="141"/>
      <c r="I3826" s="8"/>
    </row>
    <row r="3827" spans="2:9" ht="15" hidden="1" customHeight="1" x14ac:dyDescent="0.25">
      <c r="B3827" s="7"/>
      <c r="C3827" s="140">
        <v>3799</v>
      </c>
      <c r="D3827" s="142"/>
      <c r="E3827" s="142"/>
      <c r="F3827" s="142"/>
      <c r="G3827" s="142"/>
      <c r="H3827" s="141"/>
      <c r="I3827" s="8"/>
    </row>
    <row r="3828" spans="2:9" ht="15" hidden="1" customHeight="1" x14ac:dyDescent="0.25">
      <c r="B3828" s="7"/>
      <c r="C3828" s="140">
        <v>3800</v>
      </c>
      <c r="D3828" s="142"/>
      <c r="E3828" s="142"/>
      <c r="F3828" s="142"/>
      <c r="G3828" s="142"/>
      <c r="H3828" s="141"/>
      <c r="I3828" s="8"/>
    </row>
    <row r="3829" spans="2:9" ht="15" hidden="1" customHeight="1" x14ac:dyDescent="0.25">
      <c r="B3829" s="7"/>
      <c r="C3829" s="140">
        <v>3801</v>
      </c>
      <c r="D3829" s="142"/>
      <c r="E3829" s="142"/>
      <c r="F3829" s="142"/>
      <c r="G3829" s="142"/>
      <c r="H3829" s="141"/>
      <c r="I3829" s="8"/>
    </row>
    <row r="3830" spans="2:9" ht="15" hidden="1" customHeight="1" x14ac:dyDescent="0.25">
      <c r="B3830" s="7"/>
      <c r="C3830" s="140">
        <v>3802</v>
      </c>
      <c r="D3830" s="142"/>
      <c r="E3830" s="142"/>
      <c r="F3830" s="142"/>
      <c r="G3830" s="142"/>
      <c r="H3830" s="141"/>
      <c r="I3830" s="8"/>
    </row>
    <row r="3831" spans="2:9" ht="15" hidden="1" customHeight="1" x14ac:dyDescent="0.25">
      <c r="B3831" s="7"/>
      <c r="C3831" s="140">
        <v>3803</v>
      </c>
      <c r="D3831" s="142"/>
      <c r="E3831" s="142"/>
      <c r="F3831" s="142"/>
      <c r="G3831" s="142"/>
      <c r="H3831" s="141"/>
      <c r="I3831" s="8"/>
    </row>
    <row r="3832" spans="2:9" ht="15" hidden="1" customHeight="1" x14ac:dyDescent="0.25">
      <c r="B3832" s="7"/>
      <c r="C3832" s="140">
        <v>3804</v>
      </c>
      <c r="D3832" s="142"/>
      <c r="E3832" s="142"/>
      <c r="F3832" s="142"/>
      <c r="G3832" s="142"/>
      <c r="H3832" s="141"/>
      <c r="I3832" s="8"/>
    </row>
    <row r="3833" spans="2:9" ht="15" hidden="1" customHeight="1" x14ac:dyDescent="0.25">
      <c r="B3833" s="7"/>
      <c r="C3833" s="140">
        <v>3805</v>
      </c>
      <c r="D3833" s="142"/>
      <c r="E3833" s="142"/>
      <c r="F3833" s="142"/>
      <c r="G3833" s="142"/>
      <c r="H3833" s="141"/>
      <c r="I3833" s="8"/>
    </row>
    <row r="3834" spans="2:9" ht="15" hidden="1" customHeight="1" x14ac:dyDescent="0.25">
      <c r="B3834" s="7"/>
      <c r="C3834" s="140">
        <v>3806</v>
      </c>
      <c r="D3834" s="142"/>
      <c r="E3834" s="142"/>
      <c r="F3834" s="142"/>
      <c r="G3834" s="142"/>
      <c r="H3834" s="141"/>
      <c r="I3834" s="8"/>
    </row>
    <row r="3835" spans="2:9" ht="15" hidden="1" customHeight="1" x14ac:dyDescent="0.25">
      <c r="B3835" s="7"/>
      <c r="C3835" s="140">
        <v>3807</v>
      </c>
      <c r="D3835" s="142"/>
      <c r="E3835" s="142"/>
      <c r="F3835" s="142"/>
      <c r="G3835" s="142"/>
      <c r="H3835" s="141"/>
      <c r="I3835" s="8"/>
    </row>
    <row r="3836" spans="2:9" ht="15" hidden="1" customHeight="1" x14ac:dyDescent="0.25">
      <c r="B3836" s="7"/>
      <c r="C3836" s="140">
        <v>3808</v>
      </c>
      <c r="D3836" s="142"/>
      <c r="E3836" s="142"/>
      <c r="F3836" s="142"/>
      <c r="G3836" s="142"/>
      <c r="H3836" s="141"/>
      <c r="I3836" s="8"/>
    </row>
    <row r="3837" spans="2:9" ht="15" hidden="1" customHeight="1" x14ac:dyDescent="0.25">
      <c r="B3837" s="7"/>
      <c r="C3837" s="140">
        <v>3809</v>
      </c>
      <c r="D3837" s="142"/>
      <c r="E3837" s="142"/>
      <c r="F3837" s="142"/>
      <c r="G3837" s="142"/>
      <c r="H3837" s="141"/>
      <c r="I3837" s="8"/>
    </row>
    <row r="3838" spans="2:9" ht="15" hidden="1" customHeight="1" x14ac:dyDescent="0.25">
      <c r="B3838" s="7"/>
      <c r="C3838" s="140">
        <v>3810</v>
      </c>
      <c r="D3838" s="142"/>
      <c r="E3838" s="142"/>
      <c r="F3838" s="142"/>
      <c r="G3838" s="142"/>
      <c r="H3838" s="141"/>
      <c r="I3838" s="8"/>
    </row>
    <row r="3839" spans="2:9" ht="15" hidden="1" customHeight="1" x14ac:dyDescent="0.25">
      <c r="B3839" s="7"/>
      <c r="C3839" s="140">
        <v>3811</v>
      </c>
      <c r="D3839" s="142"/>
      <c r="E3839" s="142"/>
      <c r="F3839" s="142"/>
      <c r="G3839" s="142"/>
      <c r="H3839" s="141"/>
      <c r="I3839" s="8"/>
    </row>
    <row r="3840" spans="2:9" ht="15" hidden="1" customHeight="1" x14ac:dyDescent="0.25">
      <c r="B3840" s="7"/>
      <c r="C3840" s="140">
        <v>3812</v>
      </c>
      <c r="D3840" s="142"/>
      <c r="E3840" s="142"/>
      <c r="F3840" s="142"/>
      <c r="G3840" s="142"/>
      <c r="H3840" s="141"/>
      <c r="I3840" s="8"/>
    </row>
    <row r="3841" spans="2:9" ht="15" hidden="1" customHeight="1" x14ac:dyDescent="0.25">
      <c r="B3841" s="7"/>
      <c r="C3841" s="140">
        <v>3813</v>
      </c>
      <c r="D3841" s="142"/>
      <c r="E3841" s="142"/>
      <c r="F3841" s="142"/>
      <c r="G3841" s="142"/>
      <c r="H3841" s="141"/>
      <c r="I3841" s="8"/>
    </row>
    <row r="3842" spans="2:9" ht="15" hidden="1" customHeight="1" x14ac:dyDescent="0.25">
      <c r="B3842" s="7"/>
      <c r="C3842" s="140">
        <v>3814</v>
      </c>
      <c r="D3842" s="142"/>
      <c r="E3842" s="142"/>
      <c r="F3842" s="142"/>
      <c r="G3842" s="142"/>
      <c r="H3842" s="141"/>
      <c r="I3842" s="8"/>
    </row>
    <row r="3843" spans="2:9" ht="15" hidden="1" customHeight="1" x14ac:dyDescent="0.25">
      <c r="B3843" s="7"/>
      <c r="C3843" s="140">
        <v>3815</v>
      </c>
      <c r="D3843" s="142"/>
      <c r="E3843" s="142"/>
      <c r="F3843" s="142"/>
      <c r="G3843" s="142"/>
      <c r="H3843" s="141"/>
      <c r="I3843" s="8"/>
    </row>
    <row r="3844" spans="2:9" ht="15" hidden="1" customHeight="1" x14ac:dyDescent="0.25">
      <c r="B3844" s="7"/>
      <c r="C3844" s="140">
        <v>3816</v>
      </c>
      <c r="D3844" s="142"/>
      <c r="E3844" s="142"/>
      <c r="F3844" s="142"/>
      <c r="G3844" s="142"/>
      <c r="H3844" s="141"/>
      <c r="I3844" s="8"/>
    </row>
    <row r="3845" spans="2:9" ht="15" hidden="1" customHeight="1" x14ac:dyDescent="0.25">
      <c r="B3845" s="7"/>
      <c r="C3845" s="140">
        <v>3817</v>
      </c>
      <c r="D3845" s="142"/>
      <c r="E3845" s="142"/>
      <c r="F3845" s="142"/>
      <c r="G3845" s="142"/>
      <c r="H3845" s="141"/>
      <c r="I3845" s="8"/>
    </row>
    <row r="3846" spans="2:9" ht="15" hidden="1" customHeight="1" x14ac:dyDescent="0.25">
      <c r="B3846" s="7"/>
      <c r="C3846" s="140">
        <v>3818</v>
      </c>
      <c r="D3846" s="142"/>
      <c r="E3846" s="142"/>
      <c r="F3846" s="142"/>
      <c r="G3846" s="142"/>
      <c r="H3846" s="141"/>
      <c r="I3846" s="8"/>
    </row>
    <row r="3847" spans="2:9" ht="15" hidden="1" customHeight="1" x14ac:dyDescent="0.25">
      <c r="B3847" s="7"/>
      <c r="C3847" s="140">
        <v>3819</v>
      </c>
      <c r="D3847" s="142"/>
      <c r="E3847" s="142"/>
      <c r="F3847" s="142"/>
      <c r="G3847" s="142"/>
      <c r="H3847" s="141"/>
      <c r="I3847" s="8"/>
    </row>
    <row r="3848" spans="2:9" ht="15" hidden="1" customHeight="1" x14ac:dyDescent="0.25">
      <c r="B3848" s="7"/>
      <c r="C3848" s="140">
        <v>3820</v>
      </c>
      <c r="D3848" s="142"/>
      <c r="E3848" s="142"/>
      <c r="F3848" s="142"/>
      <c r="G3848" s="142"/>
      <c r="H3848" s="141"/>
      <c r="I3848" s="8"/>
    </row>
    <row r="3849" spans="2:9" ht="15" hidden="1" customHeight="1" x14ac:dyDescent="0.25">
      <c r="B3849" s="7"/>
      <c r="C3849" s="140">
        <v>3821</v>
      </c>
      <c r="D3849" s="142"/>
      <c r="E3849" s="142"/>
      <c r="F3849" s="142"/>
      <c r="G3849" s="142"/>
      <c r="H3849" s="141"/>
      <c r="I3849" s="8"/>
    </row>
    <row r="3850" spans="2:9" ht="15" hidden="1" customHeight="1" x14ac:dyDescent="0.25">
      <c r="B3850" s="7"/>
      <c r="C3850" s="140">
        <v>3822</v>
      </c>
      <c r="D3850" s="142"/>
      <c r="E3850" s="142"/>
      <c r="F3850" s="142"/>
      <c r="G3850" s="142"/>
      <c r="H3850" s="141"/>
      <c r="I3850" s="8"/>
    </row>
    <row r="3851" spans="2:9" ht="15" hidden="1" customHeight="1" x14ac:dyDescent="0.25">
      <c r="B3851" s="7"/>
      <c r="C3851" s="140">
        <v>3823</v>
      </c>
      <c r="D3851" s="142"/>
      <c r="E3851" s="142"/>
      <c r="F3851" s="142"/>
      <c r="G3851" s="142"/>
      <c r="H3851" s="141"/>
      <c r="I3851" s="8"/>
    </row>
    <row r="3852" spans="2:9" ht="15" hidden="1" customHeight="1" x14ac:dyDescent="0.25">
      <c r="B3852" s="7"/>
      <c r="C3852" s="140">
        <v>3824</v>
      </c>
      <c r="D3852" s="142"/>
      <c r="E3852" s="142"/>
      <c r="F3852" s="142"/>
      <c r="G3852" s="142"/>
      <c r="H3852" s="141"/>
      <c r="I3852" s="8"/>
    </row>
    <row r="3853" spans="2:9" ht="15" hidden="1" customHeight="1" x14ac:dyDescent="0.25">
      <c r="B3853" s="7"/>
      <c r="C3853" s="140">
        <v>3825</v>
      </c>
      <c r="D3853" s="142"/>
      <c r="E3853" s="142"/>
      <c r="F3853" s="142"/>
      <c r="G3853" s="142"/>
      <c r="H3853" s="141"/>
      <c r="I3853" s="8"/>
    </row>
    <row r="3854" spans="2:9" ht="15" hidden="1" customHeight="1" x14ac:dyDescent="0.25">
      <c r="B3854" s="7"/>
      <c r="C3854" s="140">
        <v>3826</v>
      </c>
      <c r="D3854" s="142"/>
      <c r="E3854" s="142"/>
      <c r="F3854" s="142"/>
      <c r="G3854" s="142"/>
      <c r="H3854" s="141"/>
      <c r="I3854" s="8"/>
    </row>
    <row r="3855" spans="2:9" ht="15" hidden="1" customHeight="1" x14ac:dyDescent="0.25">
      <c r="B3855" s="7"/>
      <c r="C3855" s="140">
        <v>3827</v>
      </c>
      <c r="D3855" s="142"/>
      <c r="E3855" s="142"/>
      <c r="F3855" s="142"/>
      <c r="G3855" s="142"/>
      <c r="H3855" s="141"/>
      <c r="I3855" s="8"/>
    </row>
    <row r="3856" spans="2:9" ht="15" hidden="1" customHeight="1" x14ac:dyDescent="0.25">
      <c r="B3856" s="7"/>
      <c r="C3856" s="140">
        <v>3828</v>
      </c>
      <c r="D3856" s="142"/>
      <c r="E3856" s="142"/>
      <c r="F3856" s="142"/>
      <c r="G3856" s="142"/>
      <c r="H3856" s="141"/>
      <c r="I3856" s="8"/>
    </row>
    <row r="3857" spans="2:9" ht="15" hidden="1" customHeight="1" x14ac:dyDescent="0.25">
      <c r="B3857" s="7"/>
      <c r="C3857" s="140">
        <v>3829</v>
      </c>
      <c r="D3857" s="142"/>
      <c r="E3857" s="142"/>
      <c r="F3857" s="142"/>
      <c r="G3857" s="142"/>
      <c r="H3857" s="141"/>
      <c r="I3857" s="8"/>
    </row>
    <row r="3858" spans="2:9" ht="15" hidden="1" customHeight="1" x14ac:dyDescent="0.25">
      <c r="B3858" s="7"/>
      <c r="C3858" s="140">
        <v>3830</v>
      </c>
      <c r="D3858" s="142"/>
      <c r="E3858" s="142"/>
      <c r="F3858" s="142"/>
      <c r="G3858" s="142"/>
      <c r="H3858" s="141"/>
      <c r="I3858" s="8"/>
    </row>
    <row r="3859" spans="2:9" ht="15" hidden="1" customHeight="1" x14ac:dyDescent="0.25">
      <c r="B3859" s="7"/>
      <c r="C3859" s="140">
        <v>3831</v>
      </c>
      <c r="D3859" s="142"/>
      <c r="E3859" s="142"/>
      <c r="F3859" s="142"/>
      <c r="G3859" s="142"/>
      <c r="H3859" s="141"/>
      <c r="I3859" s="8"/>
    </row>
    <row r="3860" spans="2:9" ht="15" hidden="1" customHeight="1" x14ac:dyDescent="0.25">
      <c r="B3860" s="7"/>
      <c r="C3860" s="140">
        <v>3832</v>
      </c>
      <c r="D3860" s="142"/>
      <c r="E3860" s="142"/>
      <c r="F3860" s="142"/>
      <c r="G3860" s="142"/>
      <c r="H3860" s="141"/>
      <c r="I3860" s="8"/>
    </row>
    <row r="3861" spans="2:9" ht="15" hidden="1" customHeight="1" x14ac:dyDescent="0.25">
      <c r="B3861" s="7"/>
      <c r="C3861" s="140">
        <v>3833</v>
      </c>
      <c r="D3861" s="142"/>
      <c r="E3861" s="142"/>
      <c r="F3861" s="142"/>
      <c r="G3861" s="142"/>
      <c r="H3861" s="141"/>
      <c r="I3861" s="8"/>
    </row>
    <row r="3862" spans="2:9" ht="15" hidden="1" customHeight="1" x14ac:dyDescent="0.25">
      <c r="B3862" s="7"/>
      <c r="C3862" s="140">
        <v>3834</v>
      </c>
      <c r="D3862" s="142"/>
      <c r="E3862" s="142"/>
      <c r="F3862" s="142"/>
      <c r="G3862" s="142"/>
      <c r="H3862" s="141"/>
      <c r="I3862" s="8"/>
    </row>
    <row r="3863" spans="2:9" ht="15" hidden="1" customHeight="1" x14ac:dyDescent="0.25">
      <c r="B3863" s="7"/>
      <c r="C3863" s="140">
        <v>3835</v>
      </c>
      <c r="D3863" s="142"/>
      <c r="E3863" s="142"/>
      <c r="F3863" s="142"/>
      <c r="G3863" s="142"/>
      <c r="H3863" s="141"/>
      <c r="I3863" s="8"/>
    </row>
    <row r="3864" spans="2:9" ht="15" hidden="1" customHeight="1" x14ac:dyDescent="0.25">
      <c r="B3864" s="7"/>
      <c r="C3864" s="140">
        <v>3836</v>
      </c>
      <c r="D3864" s="142"/>
      <c r="E3864" s="142"/>
      <c r="F3864" s="142"/>
      <c r="G3864" s="142"/>
      <c r="H3864" s="141"/>
      <c r="I3864" s="8"/>
    </row>
    <row r="3865" spans="2:9" ht="15" hidden="1" customHeight="1" x14ac:dyDescent="0.25">
      <c r="B3865" s="7"/>
      <c r="C3865" s="140">
        <v>3837</v>
      </c>
      <c r="D3865" s="142"/>
      <c r="E3865" s="142"/>
      <c r="F3865" s="142"/>
      <c r="G3865" s="142"/>
      <c r="H3865" s="141"/>
      <c r="I3865" s="8"/>
    </row>
    <row r="3866" spans="2:9" ht="15" hidden="1" customHeight="1" x14ac:dyDescent="0.25">
      <c r="B3866" s="7"/>
      <c r="C3866" s="140">
        <v>3838</v>
      </c>
      <c r="D3866" s="142"/>
      <c r="E3866" s="142"/>
      <c r="F3866" s="142"/>
      <c r="G3866" s="142"/>
      <c r="H3866" s="141"/>
      <c r="I3866" s="8"/>
    </row>
    <row r="3867" spans="2:9" ht="15" hidden="1" customHeight="1" x14ac:dyDescent="0.25">
      <c r="B3867" s="7"/>
      <c r="C3867" s="140">
        <v>3839</v>
      </c>
      <c r="D3867" s="142"/>
      <c r="E3867" s="142"/>
      <c r="F3867" s="142"/>
      <c r="G3867" s="142"/>
      <c r="H3867" s="141"/>
      <c r="I3867" s="8"/>
    </row>
    <row r="3868" spans="2:9" ht="15" hidden="1" customHeight="1" x14ac:dyDescent="0.25">
      <c r="B3868" s="7"/>
      <c r="C3868" s="140">
        <v>3840</v>
      </c>
      <c r="D3868" s="142"/>
      <c r="E3868" s="142"/>
      <c r="F3868" s="142"/>
      <c r="G3868" s="142"/>
      <c r="H3868" s="141"/>
      <c r="I3868" s="8"/>
    </row>
    <row r="3869" spans="2:9" ht="15" hidden="1" customHeight="1" x14ac:dyDescent="0.25">
      <c r="B3869" s="7"/>
      <c r="C3869" s="140">
        <v>3841</v>
      </c>
      <c r="D3869" s="142"/>
      <c r="E3869" s="142"/>
      <c r="F3869" s="142"/>
      <c r="G3869" s="142"/>
      <c r="H3869" s="141"/>
      <c r="I3869" s="8"/>
    </row>
    <row r="3870" spans="2:9" ht="15" hidden="1" customHeight="1" x14ac:dyDescent="0.25">
      <c r="B3870" s="7"/>
      <c r="C3870" s="140">
        <v>3842</v>
      </c>
      <c r="D3870" s="142"/>
      <c r="E3870" s="142"/>
      <c r="F3870" s="142"/>
      <c r="G3870" s="142"/>
      <c r="H3870" s="141"/>
      <c r="I3870" s="8"/>
    </row>
    <row r="3871" spans="2:9" ht="15" hidden="1" customHeight="1" x14ac:dyDescent="0.25">
      <c r="B3871" s="7"/>
      <c r="C3871" s="140">
        <v>3843</v>
      </c>
      <c r="D3871" s="142"/>
      <c r="E3871" s="142"/>
      <c r="F3871" s="142"/>
      <c r="G3871" s="142"/>
      <c r="H3871" s="141"/>
      <c r="I3871" s="8"/>
    </row>
    <row r="3872" spans="2:9" ht="15" hidden="1" customHeight="1" x14ac:dyDescent="0.25">
      <c r="B3872" s="7"/>
      <c r="C3872" s="140">
        <v>3844</v>
      </c>
      <c r="D3872" s="142"/>
      <c r="E3872" s="142"/>
      <c r="F3872" s="142"/>
      <c r="G3872" s="142"/>
      <c r="H3872" s="141"/>
      <c r="I3872" s="8"/>
    </row>
    <row r="3873" spans="2:9" ht="15" hidden="1" customHeight="1" x14ac:dyDescent="0.25">
      <c r="B3873" s="7"/>
      <c r="C3873" s="140">
        <v>3845</v>
      </c>
      <c r="D3873" s="142"/>
      <c r="E3873" s="142"/>
      <c r="F3873" s="142"/>
      <c r="G3873" s="142"/>
      <c r="H3873" s="141"/>
      <c r="I3873" s="8"/>
    </row>
    <row r="3874" spans="2:9" ht="15" hidden="1" customHeight="1" x14ac:dyDescent="0.25">
      <c r="B3874" s="7"/>
      <c r="C3874" s="140">
        <v>3846</v>
      </c>
      <c r="D3874" s="142"/>
      <c r="E3874" s="142"/>
      <c r="F3874" s="142"/>
      <c r="G3874" s="142"/>
      <c r="H3874" s="141"/>
      <c r="I3874" s="8"/>
    </row>
    <row r="3875" spans="2:9" ht="15" hidden="1" customHeight="1" x14ac:dyDescent="0.25">
      <c r="B3875" s="7"/>
      <c r="C3875" s="140">
        <v>3847</v>
      </c>
      <c r="D3875" s="142"/>
      <c r="E3875" s="142"/>
      <c r="F3875" s="142"/>
      <c r="G3875" s="142"/>
      <c r="H3875" s="141"/>
      <c r="I3875" s="8"/>
    </row>
    <row r="3876" spans="2:9" ht="15" hidden="1" customHeight="1" x14ac:dyDescent="0.25">
      <c r="B3876" s="7"/>
      <c r="C3876" s="140">
        <v>3848</v>
      </c>
      <c r="D3876" s="142"/>
      <c r="E3876" s="142"/>
      <c r="F3876" s="142"/>
      <c r="G3876" s="142"/>
      <c r="H3876" s="141"/>
      <c r="I3876" s="8"/>
    </row>
    <row r="3877" spans="2:9" ht="15" hidden="1" customHeight="1" x14ac:dyDescent="0.25">
      <c r="B3877" s="7"/>
      <c r="C3877" s="140">
        <v>3849</v>
      </c>
      <c r="D3877" s="142"/>
      <c r="E3877" s="142"/>
      <c r="F3877" s="142"/>
      <c r="G3877" s="142"/>
      <c r="H3877" s="141"/>
      <c r="I3877" s="8"/>
    </row>
    <row r="3878" spans="2:9" ht="15" hidden="1" customHeight="1" x14ac:dyDescent="0.25">
      <c r="B3878" s="7"/>
      <c r="C3878" s="140">
        <v>3850</v>
      </c>
      <c r="D3878" s="142"/>
      <c r="E3878" s="142"/>
      <c r="F3878" s="142"/>
      <c r="G3878" s="142"/>
      <c r="H3878" s="141"/>
      <c r="I3878" s="8"/>
    </row>
    <row r="3879" spans="2:9" ht="15" hidden="1" customHeight="1" x14ac:dyDescent="0.25">
      <c r="B3879" s="7"/>
      <c r="C3879" s="140">
        <v>3851</v>
      </c>
      <c r="D3879" s="142"/>
      <c r="E3879" s="142"/>
      <c r="F3879" s="142"/>
      <c r="G3879" s="142"/>
      <c r="H3879" s="141"/>
      <c r="I3879" s="8"/>
    </row>
    <row r="3880" spans="2:9" ht="15" hidden="1" customHeight="1" x14ac:dyDescent="0.25">
      <c r="B3880" s="7"/>
      <c r="C3880" s="140">
        <v>3852</v>
      </c>
      <c r="D3880" s="142"/>
      <c r="E3880" s="142"/>
      <c r="F3880" s="142"/>
      <c r="G3880" s="142"/>
      <c r="H3880" s="141"/>
      <c r="I3880" s="8"/>
    </row>
    <row r="3881" spans="2:9" ht="15" hidden="1" customHeight="1" x14ac:dyDescent="0.25">
      <c r="B3881" s="7"/>
      <c r="C3881" s="140">
        <v>3853</v>
      </c>
      <c r="D3881" s="142"/>
      <c r="E3881" s="142"/>
      <c r="F3881" s="142"/>
      <c r="G3881" s="142"/>
      <c r="H3881" s="141"/>
      <c r="I3881" s="8"/>
    </row>
    <row r="3882" spans="2:9" ht="15" hidden="1" customHeight="1" x14ac:dyDescent="0.25">
      <c r="B3882" s="7"/>
      <c r="C3882" s="140">
        <v>3854</v>
      </c>
      <c r="D3882" s="142"/>
      <c r="E3882" s="142"/>
      <c r="F3882" s="142"/>
      <c r="G3882" s="142"/>
      <c r="H3882" s="141"/>
      <c r="I3882" s="8"/>
    </row>
    <row r="3883" spans="2:9" ht="15" hidden="1" customHeight="1" x14ac:dyDescent="0.25">
      <c r="B3883" s="7"/>
      <c r="C3883" s="140">
        <v>3855</v>
      </c>
      <c r="D3883" s="142"/>
      <c r="E3883" s="142"/>
      <c r="F3883" s="142"/>
      <c r="G3883" s="142"/>
      <c r="H3883" s="141"/>
      <c r="I3883" s="8"/>
    </row>
    <row r="3884" spans="2:9" ht="15" hidden="1" customHeight="1" x14ac:dyDescent="0.25">
      <c r="B3884" s="7"/>
      <c r="C3884" s="140">
        <v>3856</v>
      </c>
      <c r="D3884" s="142"/>
      <c r="E3884" s="142"/>
      <c r="F3884" s="142"/>
      <c r="G3884" s="142"/>
      <c r="H3884" s="141"/>
      <c r="I3884" s="8"/>
    </row>
    <row r="3885" spans="2:9" ht="15" hidden="1" customHeight="1" x14ac:dyDescent="0.25">
      <c r="B3885" s="7"/>
      <c r="C3885" s="140">
        <v>3857</v>
      </c>
      <c r="D3885" s="142"/>
      <c r="E3885" s="142"/>
      <c r="F3885" s="142"/>
      <c r="G3885" s="142"/>
      <c r="H3885" s="141"/>
      <c r="I3885" s="8"/>
    </row>
    <row r="3886" spans="2:9" ht="15" hidden="1" customHeight="1" x14ac:dyDescent="0.25">
      <c r="B3886" s="7"/>
      <c r="C3886" s="140">
        <v>3858</v>
      </c>
      <c r="D3886" s="142"/>
      <c r="E3886" s="142"/>
      <c r="F3886" s="142"/>
      <c r="G3886" s="142"/>
      <c r="H3886" s="141"/>
      <c r="I3886" s="8"/>
    </row>
    <row r="3887" spans="2:9" ht="15" hidden="1" customHeight="1" x14ac:dyDescent="0.25">
      <c r="B3887" s="7"/>
      <c r="C3887" s="140">
        <v>3859</v>
      </c>
      <c r="D3887" s="142"/>
      <c r="E3887" s="142"/>
      <c r="F3887" s="142"/>
      <c r="G3887" s="142"/>
      <c r="H3887" s="141"/>
      <c r="I3887" s="8"/>
    </row>
    <row r="3888" spans="2:9" ht="15" hidden="1" customHeight="1" x14ac:dyDescent="0.25">
      <c r="B3888" s="7"/>
      <c r="C3888" s="140">
        <v>3860</v>
      </c>
      <c r="D3888" s="142"/>
      <c r="E3888" s="142"/>
      <c r="F3888" s="142"/>
      <c r="G3888" s="142"/>
      <c r="H3888" s="141"/>
      <c r="I3888" s="8"/>
    </row>
    <row r="3889" spans="2:9" ht="15" hidden="1" customHeight="1" x14ac:dyDescent="0.25">
      <c r="B3889" s="7"/>
      <c r="C3889" s="140">
        <v>3861</v>
      </c>
      <c r="D3889" s="142"/>
      <c r="E3889" s="142"/>
      <c r="F3889" s="142"/>
      <c r="G3889" s="142"/>
      <c r="H3889" s="141"/>
      <c r="I3889" s="8"/>
    </row>
    <row r="3890" spans="2:9" ht="15" hidden="1" customHeight="1" x14ac:dyDescent="0.25">
      <c r="B3890" s="7"/>
      <c r="C3890" s="140">
        <v>3862</v>
      </c>
      <c r="D3890" s="142"/>
      <c r="E3890" s="142"/>
      <c r="F3890" s="142"/>
      <c r="G3890" s="142"/>
      <c r="H3890" s="141"/>
      <c r="I3890" s="8"/>
    </row>
    <row r="3891" spans="2:9" ht="15" hidden="1" customHeight="1" x14ac:dyDescent="0.25">
      <c r="B3891" s="7"/>
      <c r="C3891" s="140">
        <v>3863</v>
      </c>
      <c r="D3891" s="142"/>
      <c r="E3891" s="142"/>
      <c r="F3891" s="142"/>
      <c r="G3891" s="142"/>
      <c r="H3891" s="141"/>
      <c r="I3891" s="8"/>
    </row>
    <row r="3892" spans="2:9" ht="15" hidden="1" customHeight="1" x14ac:dyDescent="0.25">
      <c r="B3892" s="7"/>
      <c r="C3892" s="140">
        <v>3864</v>
      </c>
      <c r="D3892" s="142"/>
      <c r="E3892" s="142"/>
      <c r="F3892" s="142"/>
      <c r="G3892" s="142"/>
      <c r="H3892" s="141"/>
      <c r="I3892" s="8"/>
    </row>
    <row r="3893" spans="2:9" ht="15" hidden="1" customHeight="1" x14ac:dyDescent="0.25">
      <c r="B3893" s="7"/>
      <c r="C3893" s="140">
        <v>3865</v>
      </c>
      <c r="D3893" s="142"/>
      <c r="E3893" s="142"/>
      <c r="F3893" s="142"/>
      <c r="G3893" s="142"/>
      <c r="H3893" s="141"/>
      <c r="I3893" s="8"/>
    </row>
    <row r="3894" spans="2:9" ht="15" hidden="1" customHeight="1" x14ac:dyDescent="0.25">
      <c r="B3894" s="7"/>
      <c r="C3894" s="140">
        <v>3866</v>
      </c>
      <c r="D3894" s="142"/>
      <c r="E3894" s="142"/>
      <c r="F3894" s="142"/>
      <c r="G3894" s="142"/>
      <c r="H3894" s="141"/>
      <c r="I3894" s="8"/>
    </row>
    <row r="3895" spans="2:9" ht="15" hidden="1" customHeight="1" x14ac:dyDescent="0.25">
      <c r="B3895" s="7"/>
      <c r="C3895" s="140">
        <v>3867</v>
      </c>
      <c r="D3895" s="142"/>
      <c r="E3895" s="142"/>
      <c r="F3895" s="142"/>
      <c r="G3895" s="142"/>
      <c r="H3895" s="141"/>
      <c r="I3895" s="8"/>
    </row>
    <row r="3896" spans="2:9" ht="15" hidden="1" customHeight="1" x14ac:dyDescent="0.25">
      <c r="B3896" s="7"/>
      <c r="C3896" s="140">
        <v>3868</v>
      </c>
      <c r="D3896" s="142"/>
      <c r="E3896" s="142"/>
      <c r="F3896" s="142"/>
      <c r="G3896" s="142"/>
      <c r="H3896" s="141"/>
      <c r="I3896" s="8"/>
    </row>
    <row r="3897" spans="2:9" ht="15" hidden="1" customHeight="1" x14ac:dyDescent="0.25">
      <c r="B3897" s="7"/>
      <c r="C3897" s="140">
        <v>3869</v>
      </c>
      <c r="D3897" s="142"/>
      <c r="E3897" s="142"/>
      <c r="F3897" s="142"/>
      <c r="G3897" s="142"/>
      <c r="H3897" s="141"/>
      <c r="I3897" s="8"/>
    </row>
    <row r="3898" spans="2:9" ht="15" hidden="1" customHeight="1" x14ac:dyDescent="0.25">
      <c r="B3898" s="7"/>
      <c r="C3898" s="140">
        <v>3870</v>
      </c>
      <c r="D3898" s="142"/>
      <c r="E3898" s="142"/>
      <c r="F3898" s="142"/>
      <c r="G3898" s="142"/>
      <c r="H3898" s="141"/>
      <c r="I3898" s="8"/>
    </row>
    <row r="3899" spans="2:9" ht="15" hidden="1" customHeight="1" x14ac:dyDescent="0.25">
      <c r="B3899" s="7"/>
      <c r="C3899" s="140">
        <v>3871</v>
      </c>
      <c r="D3899" s="142"/>
      <c r="E3899" s="142"/>
      <c r="F3899" s="142"/>
      <c r="G3899" s="142"/>
      <c r="H3899" s="141"/>
      <c r="I3899" s="8"/>
    </row>
    <row r="3900" spans="2:9" ht="15" hidden="1" customHeight="1" x14ac:dyDescent="0.25">
      <c r="B3900" s="7"/>
      <c r="C3900" s="140">
        <v>3872</v>
      </c>
      <c r="D3900" s="142"/>
      <c r="E3900" s="142"/>
      <c r="F3900" s="142"/>
      <c r="G3900" s="142"/>
      <c r="H3900" s="141"/>
      <c r="I3900" s="8"/>
    </row>
    <row r="3901" spans="2:9" ht="15" hidden="1" customHeight="1" x14ac:dyDescent="0.25">
      <c r="B3901" s="7"/>
      <c r="C3901" s="140">
        <v>3873</v>
      </c>
      <c r="D3901" s="142"/>
      <c r="E3901" s="142"/>
      <c r="F3901" s="142"/>
      <c r="G3901" s="142"/>
      <c r="H3901" s="141"/>
      <c r="I3901" s="8"/>
    </row>
    <row r="3902" spans="2:9" ht="15" hidden="1" customHeight="1" x14ac:dyDescent="0.25">
      <c r="B3902" s="7"/>
      <c r="C3902" s="140">
        <v>3874</v>
      </c>
      <c r="D3902" s="142"/>
      <c r="E3902" s="142"/>
      <c r="F3902" s="142"/>
      <c r="G3902" s="142"/>
      <c r="H3902" s="141"/>
      <c r="I3902" s="8"/>
    </row>
    <row r="3903" spans="2:9" ht="15" hidden="1" customHeight="1" x14ac:dyDescent="0.25">
      <c r="B3903" s="7"/>
      <c r="C3903" s="140">
        <v>3875</v>
      </c>
      <c r="D3903" s="142"/>
      <c r="E3903" s="142"/>
      <c r="F3903" s="142"/>
      <c r="G3903" s="142"/>
      <c r="H3903" s="141"/>
      <c r="I3903" s="8"/>
    </row>
    <row r="3904" spans="2:9" ht="15" hidden="1" customHeight="1" x14ac:dyDescent="0.25">
      <c r="B3904" s="7"/>
      <c r="C3904" s="140">
        <v>3876</v>
      </c>
      <c r="D3904" s="142"/>
      <c r="E3904" s="142"/>
      <c r="F3904" s="142"/>
      <c r="G3904" s="142"/>
      <c r="H3904" s="141"/>
      <c r="I3904" s="8"/>
    </row>
    <row r="3905" spans="2:9" ht="15" hidden="1" customHeight="1" x14ac:dyDescent="0.25">
      <c r="B3905" s="7"/>
      <c r="C3905" s="140">
        <v>3877</v>
      </c>
      <c r="D3905" s="142"/>
      <c r="E3905" s="142"/>
      <c r="F3905" s="142"/>
      <c r="G3905" s="142"/>
      <c r="H3905" s="141"/>
      <c r="I3905" s="8"/>
    </row>
    <row r="3906" spans="2:9" ht="15" hidden="1" customHeight="1" x14ac:dyDescent="0.25">
      <c r="B3906" s="7"/>
      <c r="C3906" s="140">
        <v>3878</v>
      </c>
      <c r="D3906" s="142"/>
      <c r="E3906" s="142"/>
      <c r="F3906" s="142"/>
      <c r="G3906" s="142"/>
      <c r="H3906" s="141"/>
      <c r="I3906" s="8"/>
    </row>
    <row r="3907" spans="2:9" ht="15" hidden="1" customHeight="1" x14ac:dyDescent="0.25">
      <c r="B3907" s="7"/>
      <c r="C3907" s="140">
        <v>3879</v>
      </c>
      <c r="D3907" s="142"/>
      <c r="E3907" s="142"/>
      <c r="F3907" s="142"/>
      <c r="G3907" s="142"/>
      <c r="H3907" s="141"/>
      <c r="I3907" s="8"/>
    </row>
    <row r="3908" spans="2:9" ht="15" hidden="1" customHeight="1" x14ac:dyDescent="0.25">
      <c r="B3908" s="7"/>
      <c r="C3908" s="140">
        <v>3880</v>
      </c>
      <c r="D3908" s="142"/>
      <c r="E3908" s="142"/>
      <c r="F3908" s="142"/>
      <c r="G3908" s="142"/>
      <c r="H3908" s="141"/>
      <c r="I3908" s="8"/>
    </row>
    <row r="3909" spans="2:9" ht="15" hidden="1" customHeight="1" x14ac:dyDescent="0.25">
      <c r="B3909" s="7"/>
      <c r="C3909" s="140">
        <v>3881</v>
      </c>
      <c r="D3909" s="142"/>
      <c r="E3909" s="142"/>
      <c r="F3909" s="142"/>
      <c r="G3909" s="142"/>
      <c r="H3909" s="141"/>
      <c r="I3909" s="8"/>
    </row>
    <row r="3910" spans="2:9" ht="15" hidden="1" customHeight="1" x14ac:dyDescent="0.25">
      <c r="B3910" s="7"/>
      <c r="C3910" s="140">
        <v>3882</v>
      </c>
      <c r="D3910" s="142"/>
      <c r="E3910" s="142"/>
      <c r="F3910" s="142"/>
      <c r="G3910" s="142"/>
      <c r="H3910" s="141"/>
      <c r="I3910" s="8"/>
    </row>
    <row r="3911" spans="2:9" ht="15" hidden="1" customHeight="1" x14ac:dyDescent="0.25">
      <c r="B3911" s="7"/>
      <c r="C3911" s="140">
        <v>3883</v>
      </c>
      <c r="D3911" s="142"/>
      <c r="E3911" s="142"/>
      <c r="F3911" s="142"/>
      <c r="G3911" s="142"/>
      <c r="H3911" s="141"/>
      <c r="I3911" s="8"/>
    </row>
    <row r="3912" spans="2:9" ht="15" hidden="1" customHeight="1" x14ac:dyDescent="0.25">
      <c r="B3912" s="7"/>
      <c r="C3912" s="140">
        <v>3884</v>
      </c>
      <c r="D3912" s="142"/>
      <c r="E3912" s="142"/>
      <c r="F3912" s="142"/>
      <c r="G3912" s="142"/>
      <c r="H3912" s="141"/>
      <c r="I3912" s="8"/>
    </row>
    <row r="3913" spans="2:9" ht="15" hidden="1" customHeight="1" x14ac:dyDescent="0.25">
      <c r="B3913" s="7"/>
      <c r="C3913" s="140">
        <v>3885</v>
      </c>
      <c r="D3913" s="142"/>
      <c r="E3913" s="142"/>
      <c r="F3913" s="142"/>
      <c r="G3913" s="142"/>
      <c r="H3913" s="141"/>
      <c r="I3913" s="8"/>
    </row>
    <row r="3914" spans="2:9" ht="15" hidden="1" customHeight="1" x14ac:dyDescent="0.25">
      <c r="B3914" s="7"/>
      <c r="C3914" s="140">
        <v>3886</v>
      </c>
      <c r="D3914" s="142"/>
      <c r="E3914" s="142"/>
      <c r="F3914" s="142"/>
      <c r="G3914" s="142"/>
      <c r="H3914" s="141"/>
      <c r="I3914" s="8"/>
    </row>
    <row r="3915" spans="2:9" ht="15" hidden="1" customHeight="1" x14ac:dyDescent="0.25">
      <c r="B3915" s="7"/>
      <c r="C3915" s="140">
        <v>3887</v>
      </c>
      <c r="D3915" s="142"/>
      <c r="E3915" s="142"/>
      <c r="F3915" s="142"/>
      <c r="G3915" s="142"/>
      <c r="H3915" s="141"/>
      <c r="I3915" s="8"/>
    </row>
    <row r="3916" spans="2:9" ht="15" hidden="1" customHeight="1" x14ac:dyDescent="0.25">
      <c r="B3916" s="7"/>
      <c r="C3916" s="140">
        <v>3888</v>
      </c>
      <c r="D3916" s="142"/>
      <c r="E3916" s="142"/>
      <c r="F3916" s="142"/>
      <c r="G3916" s="142"/>
      <c r="H3916" s="141"/>
      <c r="I3916" s="8"/>
    </row>
    <row r="3917" spans="2:9" ht="15" hidden="1" customHeight="1" x14ac:dyDescent="0.25">
      <c r="B3917" s="7"/>
      <c r="C3917" s="140">
        <v>3889</v>
      </c>
      <c r="D3917" s="142"/>
      <c r="E3917" s="142"/>
      <c r="F3917" s="142"/>
      <c r="G3917" s="142"/>
      <c r="H3917" s="141"/>
      <c r="I3917" s="8"/>
    </row>
    <row r="3918" spans="2:9" ht="15" hidden="1" customHeight="1" x14ac:dyDescent="0.25">
      <c r="B3918" s="7"/>
      <c r="C3918" s="140">
        <v>3890</v>
      </c>
      <c r="D3918" s="142"/>
      <c r="E3918" s="142"/>
      <c r="F3918" s="142"/>
      <c r="G3918" s="142"/>
      <c r="H3918" s="141"/>
      <c r="I3918" s="8"/>
    </row>
    <row r="3919" spans="2:9" ht="15" hidden="1" customHeight="1" x14ac:dyDescent="0.25">
      <c r="B3919" s="7"/>
      <c r="C3919" s="140">
        <v>3891</v>
      </c>
      <c r="D3919" s="142"/>
      <c r="E3919" s="142"/>
      <c r="F3919" s="142"/>
      <c r="G3919" s="142"/>
      <c r="H3919" s="141"/>
      <c r="I3919" s="8"/>
    </row>
    <row r="3920" spans="2:9" ht="15" hidden="1" customHeight="1" x14ac:dyDescent="0.25">
      <c r="B3920" s="7"/>
      <c r="C3920" s="140">
        <v>3892</v>
      </c>
      <c r="D3920" s="142"/>
      <c r="E3920" s="142"/>
      <c r="F3920" s="142"/>
      <c r="G3920" s="142"/>
      <c r="H3920" s="141"/>
      <c r="I3920" s="8"/>
    </row>
    <row r="3921" spans="2:9" ht="15" hidden="1" customHeight="1" x14ac:dyDescent="0.25">
      <c r="B3921" s="7"/>
      <c r="C3921" s="140">
        <v>3893</v>
      </c>
      <c r="D3921" s="142"/>
      <c r="E3921" s="142"/>
      <c r="F3921" s="142"/>
      <c r="G3921" s="142"/>
      <c r="H3921" s="141"/>
      <c r="I3921" s="8"/>
    </row>
    <row r="3922" spans="2:9" ht="15" hidden="1" customHeight="1" x14ac:dyDescent="0.25">
      <c r="B3922" s="7"/>
      <c r="C3922" s="140">
        <v>3894</v>
      </c>
      <c r="D3922" s="142"/>
      <c r="E3922" s="142"/>
      <c r="F3922" s="142"/>
      <c r="G3922" s="142"/>
      <c r="H3922" s="141"/>
      <c r="I3922" s="8"/>
    </row>
    <row r="3923" spans="2:9" ht="15" hidden="1" customHeight="1" x14ac:dyDescent="0.25">
      <c r="B3923" s="7"/>
      <c r="C3923" s="140">
        <v>3895</v>
      </c>
      <c r="D3923" s="142"/>
      <c r="E3923" s="142"/>
      <c r="F3923" s="142"/>
      <c r="G3923" s="142"/>
      <c r="H3923" s="141"/>
      <c r="I3923" s="8"/>
    </row>
    <row r="3924" spans="2:9" ht="15" hidden="1" customHeight="1" x14ac:dyDescent="0.25">
      <c r="B3924" s="7"/>
      <c r="C3924" s="140">
        <v>3896</v>
      </c>
      <c r="D3924" s="142"/>
      <c r="E3924" s="142"/>
      <c r="F3924" s="142"/>
      <c r="G3924" s="142"/>
      <c r="H3924" s="141"/>
      <c r="I3924" s="8"/>
    </row>
    <row r="3925" spans="2:9" ht="15" hidden="1" customHeight="1" x14ac:dyDescent="0.25">
      <c r="B3925" s="7"/>
      <c r="C3925" s="140">
        <v>3897</v>
      </c>
      <c r="D3925" s="142"/>
      <c r="E3925" s="142"/>
      <c r="F3925" s="142"/>
      <c r="G3925" s="142"/>
      <c r="H3925" s="141"/>
      <c r="I3925" s="8"/>
    </row>
    <row r="3926" spans="2:9" ht="15" hidden="1" customHeight="1" x14ac:dyDescent="0.25">
      <c r="B3926" s="7"/>
      <c r="C3926" s="140">
        <v>3898</v>
      </c>
      <c r="D3926" s="142"/>
      <c r="E3926" s="142"/>
      <c r="F3926" s="142"/>
      <c r="G3926" s="142"/>
      <c r="H3926" s="141"/>
      <c r="I3926" s="8"/>
    </row>
    <row r="3927" spans="2:9" ht="15" hidden="1" customHeight="1" x14ac:dyDescent="0.25">
      <c r="B3927" s="7"/>
      <c r="C3927" s="140">
        <v>3899</v>
      </c>
      <c r="D3927" s="142"/>
      <c r="E3927" s="142"/>
      <c r="F3927" s="142"/>
      <c r="G3927" s="142"/>
      <c r="H3927" s="141"/>
      <c r="I3927" s="8"/>
    </row>
    <row r="3928" spans="2:9" ht="15" hidden="1" customHeight="1" x14ac:dyDescent="0.25">
      <c r="B3928" s="7"/>
      <c r="C3928" s="140">
        <v>3900</v>
      </c>
      <c r="D3928" s="142"/>
      <c r="E3928" s="142"/>
      <c r="F3928" s="142"/>
      <c r="G3928" s="142"/>
      <c r="H3928" s="141"/>
      <c r="I3928" s="8"/>
    </row>
    <row r="3929" spans="2:9" ht="15" hidden="1" customHeight="1" x14ac:dyDescent="0.25">
      <c r="B3929" s="7"/>
      <c r="C3929" s="140">
        <v>3901</v>
      </c>
      <c r="D3929" s="142"/>
      <c r="E3929" s="142"/>
      <c r="F3929" s="142"/>
      <c r="G3929" s="142"/>
      <c r="H3929" s="141"/>
      <c r="I3929" s="8"/>
    </row>
    <row r="3930" spans="2:9" ht="15" hidden="1" customHeight="1" x14ac:dyDescent="0.25">
      <c r="B3930" s="7"/>
      <c r="C3930" s="140">
        <v>3902</v>
      </c>
      <c r="D3930" s="142"/>
      <c r="E3930" s="142"/>
      <c r="F3930" s="142"/>
      <c r="G3930" s="142"/>
      <c r="H3930" s="141"/>
      <c r="I3930" s="8"/>
    </row>
    <row r="3931" spans="2:9" ht="15" hidden="1" customHeight="1" x14ac:dyDescent="0.25">
      <c r="B3931" s="7"/>
      <c r="C3931" s="140">
        <v>3903</v>
      </c>
      <c r="D3931" s="142"/>
      <c r="E3931" s="142"/>
      <c r="F3931" s="142"/>
      <c r="G3931" s="142"/>
      <c r="H3931" s="141"/>
      <c r="I3931" s="8"/>
    </row>
    <row r="3932" spans="2:9" ht="15" hidden="1" customHeight="1" x14ac:dyDescent="0.25">
      <c r="B3932" s="7"/>
      <c r="C3932" s="140">
        <v>3904</v>
      </c>
      <c r="D3932" s="142"/>
      <c r="E3932" s="142"/>
      <c r="F3932" s="142"/>
      <c r="G3932" s="142"/>
      <c r="H3932" s="141"/>
      <c r="I3932" s="8"/>
    </row>
    <row r="3933" spans="2:9" ht="15" hidden="1" customHeight="1" x14ac:dyDescent="0.25">
      <c r="B3933" s="7"/>
      <c r="C3933" s="140">
        <v>3905</v>
      </c>
      <c r="D3933" s="142"/>
      <c r="E3933" s="142"/>
      <c r="F3933" s="142"/>
      <c r="G3933" s="142"/>
      <c r="H3933" s="141"/>
      <c r="I3933" s="8"/>
    </row>
    <row r="3934" spans="2:9" ht="15" hidden="1" customHeight="1" x14ac:dyDescent="0.25">
      <c r="B3934" s="7"/>
      <c r="C3934" s="140">
        <v>3906</v>
      </c>
      <c r="D3934" s="142"/>
      <c r="E3934" s="142"/>
      <c r="F3934" s="142"/>
      <c r="G3934" s="142"/>
      <c r="H3934" s="141"/>
      <c r="I3934" s="8"/>
    </row>
    <row r="3935" spans="2:9" ht="15" hidden="1" customHeight="1" x14ac:dyDescent="0.25">
      <c r="B3935" s="7"/>
      <c r="C3935" s="140">
        <v>3907</v>
      </c>
      <c r="D3935" s="142"/>
      <c r="E3935" s="142"/>
      <c r="F3935" s="142"/>
      <c r="G3935" s="142"/>
      <c r="H3935" s="141"/>
      <c r="I3935" s="8"/>
    </row>
    <row r="3936" spans="2:9" ht="15" hidden="1" customHeight="1" x14ac:dyDescent="0.25">
      <c r="B3936" s="7"/>
      <c r="C3936" s="140">
        <v>3908</v>
      </c>
      <c r="D3936" s="142"/>
      <c r="E3936" s="142"/>
      <c r="F3936" s="142"/>
      <c r="G3936" s="142"/>
      <c r="H3936" s="141"/>
      <c r="I3936" s="8"/>
    </row>
    <row r="3937" spans="2:9" ht="15" hidden="1" customHeight="1" x14ac:dyDescent="0.25">
      <c r="B3937" s="7"/>
      <c r="C3937" s="140">
        <v>3909</v>
      </c>
      <c r="D3937" s="142"/>
      <c r="E3937" s="142"/>
      <c r="F3937" s="142"/>
      <c r="G3937" s="142"/>
      <c r="H3937" s="141"/>
      <c r="I3937" s="8"/>
    </row>
    <row r="3938" spans="2:9" ht="15" hidden="1" customHeight="1" x14ac:dyDescent="0.25">
      <c r="B3938" s="7"/>
      <c r="C3938" s="140">
        <v>3910</v>
      </c>
      <c r="D3938" s="142"/>
      <c r="E3938" s="142"/>
      <c r="F3938" s="142"/>
      <c r="G3938" s="142"/>
      <c r="H3938" s="141"/>
      <c r="I3938" s="8"/>
    </row>
    <row r="3939" spans="2:9" ht="15" hidden="1" customHeight="1" x14ac:dyDescent="0.25">
      <c r="B3939" s="7"/>
      <c r="C3939" s="140">
        <v>3911</v>
      </c>
      <c r="D3939" s="142"/>
      <c r="E3939" s="142"/>
      <c r="F3939" s="142"/>
      <c r="G3939" s="142"/>
      <c r="H3939" s="141"/>
      <c r="I3939" s="8"/>
    </row>
    <row r="3940" spans="2:9" ht="15" hidden="1" customHeight="1" x14ac:dyDescent="0.25">
      <c r="B3940" s="7"/>
      <c r="C3940" s="140">
        <v>3912</v>
      </c>
      <c r="D3940" s="142"/>
      <c r="E3940" s="142"/>
      <c r="F3940" s="142"/>
      <c r="G3940" s="142"/>
      <c r="H3940" s="141"/>
      <c r="I3940" s="8"/>
    </row>
    <row r="3941" spans="2:9" ht="15" hidden="1" customHeight="1" x14ac:dyDescent="0.25">
      <c r="B3941" s="7"/>
      <c r="C3941" s="140">
        <v>3913</v>
      </c>
      <c r="D3941" s="142"/>
      <c r="E3941" s="142"/>
      <c r="F3941" s="142"/>
      <c r="G3941" s="142"/>
      <c r="H3941" s="141"/>
      <c r="I3941" s="8"/>
    </row>
    <row r="3942" spans="2:9" ht="15" hidden="1" customHeight="1" x14ac:dyDescent="0.25">
      <c r="B3942" s="7"/>
      <c r="C3942" s="140">
        <v>3914</v>
      </c>
      <c r="D3942" s="142"/>
      <c r="E3942" s="142"/>
      <c r="F3942" s="142"/>
      <c r="G3942" s="142"/>
      <c r="H3942" s="141"/>
      <c r="I3942" s="8"/>
    </row>
    <row r="3943" spans="2:9" ht="15" hidden="1" customHeight="1" x14ac:dyDescent="0.25">
      <c r="B3943" s="7"/>
      <c r="C3943" s="140">
        <v>3915</v>
      </c>
      <c r="D3943" s="142"/>
      <c r="E3943" s="142"/>
      <c r="F3943" s="142"/>
      <c r="G3943" s="142"/>
      <c r="H3943" s="141"/>
      <c r="I3943" s="8"/>
    </row>
    <row r="3944" spans="2:9" ht="15" hidden="1" customHeight="1" x14ac:dyDescent="0.25">
      <c r="B3944" s="7"/>
      <c r="C3944" s="140">
        <v>3916</v>
      </c>
      <c r="D3944" s="142"/>
      <c r="E3944" s="142"/>
      <c r="F3944" s="142"/>
      <c r="G3944" s="142"/>
      <c r="H3944" s="141"/>
      <c r="I3944" s="8"/>
    </row>
    <row r="3945" spans="2:9" ht="15" hidden="1" customHeight="1" x14ac:dyDescent="0.25">
      <c r="B3945" s="7"/>
      <c r="C3945" s="140">
        <v>3917</v>
      </c>
      <c r="D3945" s="142"/>
      <c r="E3945" s="142"/>
      <c r="F3945" s="142"/>
      <c r="G3945" s="142"/>
      <c r="H3945" s="141"/>
      <c r="I3945" s="8"/>
    </row>
    <row r="3946" spans="2:9" ht="15" hidden="1" customHeight="1" x14ac:dyDescent="0.25">
      <c r="B3946" s="7"/>
      <c r="C3946" s="140">
        <v>3918</v>
      </c>
      <c r="D3946" s="142"/>
      <c r="E3946" s="142"/>
      <c r="F3946" s="142"/>
      <c r="G3946" s="142"/>
      <c r="H3946" s="141"/>
      <c r="I3946" s="8"/>
    </row>
    <row r="3947" spans="2:9" ht="15" hidden="1" customHeight="1" x14ac:dyDescent="0.25">
      <c r="B3947" s="7"/>
      <c r="C3947" s="140">
        <v>3919</v>
      </c>
      <c r="D3947" s="142"/>
      <c r="E3947" s="142"/>
      <c r="F3947" s="142"/>
      <c r="G3947" s="142"/>
      <c r="H3947" s="141"/>
      <c r="I3947" s="8"/>
    </row>
    <row r="3948" spans="2:9" ht="15" hidden="1" customHeight="1" x14ac:dyDescent="0.25">
      <c r="B3948" s="7"/>
      <c r="C3948" s="140">
        <v>3920</v>
      </c>
      <c r="D3948" s="142"/>
      <c r="E3948" s="142"/>
      <c r="F3948" s="142"/>
      <c r="G3948" s="142"/>
      <c r="H3948" s="141"/>
      <c r="I3948" s="8"/>
    </row>
    <row r="3949" spans="2:9" ht="15" hidden="1" customHeight="1" x14ac:dyDescent="0.25">
      <c r="B3949" s="7"/>
      <c r="C3949" s="140">
        <v>3921</v>
      </c>
      <c r="D3949" s="142"/>
      <c r="E3949" s="142"/>
      <c r="F3949" s="142"/>
      <c r="G3949" s="142"/>
      <c r="H3949" s="141"/>
      <c r="I3949" s="8"/>
    </row>
    <row r="3950" spans="2:9" ht="15" hidden="1" customHeight="1" x14ac:dyDescent="0.25">
      <c r="B3950" s="7"/>
      <c r="C3950" s="140">
        <v>3922</v>
      </c>
      <c r="D3950" s="142"/>
      <c r="E3950" s="142"/>
      <c r="F3950" s="142"/>
      <c r="G3950" s="142"/>
      <c r="H3950" s="141"/>
      <c r="I3950" s="8"/>
    </row>
    <row r="3951" spans="2:9" ht="15" hidden="1" customHeight="1" x14ac:dyDescent="0.25">
      <c r="B3951" s="7"/>
      <c r="C3951" s="140">
        <v>3923</v>
      </c>
      <c r="D3951" s="142"/>
      <c r="E3951" s="142"/>
      <c r="F3951" s="142"/>
      <c r="G3951" s="142"/>
      <c r="H3951" s="141"/>
      <c r="I3951" s="8"/>
    </row>
    <row r="3952" spans="2:9" ht="15" hidden="1" customHeight="1" x14ac:dyDescent="0.25">
      <c r="B3952" s="7"/>
      <c r="C3952" s="140">
        <v>3924</v>
      </c>
      <c r="D3952" s="142"/>
      <c r="E3952" s="142"/>
      <c r="F3952" s="142"/>
      <c r="G3952" s="142"/>
      <c r="H3952" s="141"/>
      <c r="I3952" s="8"/>
    </row>
    <row r="3953" spans="2:9" ht="15" hidden="1" customHeight="1" x14ac:dyDescent="0.25">
      <c r="B3953" s="7"/>
      <c r="C3953" s="140">
        <v>3925</v>
      </c>
      <c r="D3953" s="142"/>
      <c r="E3953" s="142"/>
      <c r="F3953" s="142"/>
      <c r="G3953" s="142"/>
      <c r="H3953" s="141"/>
      <c r="I3953" s="8"/>
    </row>
    <row r="3954" spans="2:9" ht="15" hidden="1" customHeight="1" x14ac:dyDescent="0.25">
      <c r="B3954" s="7"/>
      <c r="C3954" s="140">
        <v>3926</v>
      </c>
      <c r="D3954" s="142"/>
      <c r="E3954" s="142"/>
      <c r="F3954" s="142"/>
      <c r="G3954" s="142"/>
      <c r="H3954" s="141"/>
      <c r="I3954" s="8"/>
    </row>
    <row r="3955" spans="2:9" ht="15" hidden="1" customHeight="1" x14ac:dyDescent="0.25">
      <c r="B3955" s="7"/>
      <c r="C3955" s="140">
        <v>3927</v>
      </c>
      <c r="D3955" s="142"/>
      <c r="E3955" s="142"/>
      <c r="F3955" s="142"/>
      <c r="G3955" s="142"/>
      <c r="H3955" s="141"/>
      <c r="I3955" s="8"/>
    </row>
    <row r="3956" spans="2:9" ht="15" hidden="1" customHeight="1" x14ac:dyDescent="0.25">
      <c r="B3956" s="7"/>
      <c r="C3956" s="140">
        <v>3928</v>
      </c>
      <c r="D3956" s="142"/>
      <c r="E3956" s="142"/>
      <c r="F3956" s="142"/>
      <c r="G3956" s="142"/>
      <c r="H3956" s="141"/>
      <c r="I3956" s="8"/>
    </row>
    <row r="3957" spans="2:9" ht="15" hidden="1" customHeight="1" x14ac:dyDescent="0.25">
      <c r="B3957" s="7"/>
      <c r="C3957" s="140">
        <v>3929</v>
      </c>
      <c r="D3957" s="142"/>
      <c r="E3957" s="142"/>
      <c r="F3957" s="142"/>
      <c r="G3957" s="142"/>
      <c r="H3957" s="141"/>
      <c r="I3957" s="8"/>
    </row>
    <row r="3958" spans="2:9" ht="15" hidden="1" customHeight="1" x14ac:dyDescent="0.25">
      <c r="B3958" s="7"/>
      <c r="C3958" s="140">
        <v>3930</v>
      </c>
      <c r="D3958" s="142"/>
      <c r="E3958" s="142"/>
      <c r="F3958" s="142"/>
      <c r="G3958" s="142"/>
      <c r="H3958" s="141"/>
      <c r="I3958" s="8"/>
    </row>
    <row r="3959" spans="2:9" ht="15" hidden="1" customHeight="1" x14ac:dyDescent="0.25">
      <c r="B3959" s="7"/>
      <c r="C3959" s="140">
        <v>3931</v>
      </c>
      <c r="D3959" s="142"/>
      <c r="E3959" s="142"/>
      <c r="F3959" s="142"/>
      <c r="G3959" s="142"/>
      <c r="H3959" s="141"/>
      <c r="I3959" s="8"/>
    </row>
    <row r="3960" spans="2:9" ht="15" hidden="1" customHeight="1" x14ac:dyDescent="0.25">
      <c r="B3960" s="7"/>
      <c r="C3960" s="140">
        <v>3932</v>
      </c>
      <c r="D3960" s="142"/>
      <c r="E3960" s="142"/>
      <c r="F3960" s="142"/>
      <c r="G3960" s="142"/>
      <c r="H3960" s="141"/>
      <c r="I3960" s="8"/>
    </row>
    <row r="3961" spans="2:9" ht="15" hidden="1" customHeight="1" x14ac:dyDescent="0.25">
      <c r="B3961" s="7"/>
      <c r="C3961" s="140">
        <v>3933</v>
      </c>
      <c r="D3961" s="142"/>
      <c r="E3961" s="142"/>
      <c r="F3961" s="142"/>
      <c r="G3961" s="142"/>
      <c r="H3961" s="141"/>
      <c r="I3961" s="8"/>
    </row>
    <row r="3962" spans="2:9" ht="15" hidden="1" customHeight="1" x14ac:dyDescent="0.25">
      <c r="B3962" s="7"/>
      <c r="C3962" s="140">
        <v>3934</v>
      </c>
      <c r="D3962" s="142"/>
      <c r="E3962" s="142"/>
      <c r="F3962" s="142"/>
      <c r="G3962" s="142"/>
      <c r="H3962" s="141"/>
      <c r="I3962" s="8"/>
    </row>
    <row r="3963" spans="2:9" ht="15" hidden="1" customHeight="1" x14ac:dyDescent="0.25">
      <c r="B3963" s="7"/>
      <c r="C3963" s="140">
        <v>3935</v>
      </c>
      <c r="D3963" s="142"/>
      <c r="E3963" s="142"/>
      <c r="F3963" s="142"/>
      <c r="G3963" s="142"/>
      <c r="H3963" s="141"/>
      <c r="I3963" s="8"/>
    </row>
    <row r="3964" spans="2:9" ht="15" hidden="1" customHeight="1" x14ac:dyDescent="0.25">
      <c r="B3964" s="7"/>
      <c r="C3964" s="140">
        <v>3936</v>
      </c>
      <c r="D3964" s="142"/>
      <c r="E3964" s="142"/>
      <c r="F3964" s="142"/>
      <c r="G3964" s="142"/>
      <c r="H3964" s="141"/>
      <c r="I3964" s="8"/>
    </row>
    <row r="3965" spans="2:9" ht="15" hidden="1" customHeight="1" x14ac:dyDescent="0.25">
      <c r="B3965" s="7"/>
      <c r="C3965" s="140">
        <v>3937</v>
      </c>
      <c r="D3965" s="142"/>
      <c r="E3965" s="142"/>
      <c r="F3965" s="142"/>
      <c r="G3965" s="142"/>
      <c r="H3965" s="141"/>
      <c r="I3965" s="8"/>
    </row>
    <row r="3966" spans="2:9" ht="15" hidden="1" customHeight="1" x14ac:dyDescent="0.25">
      <c r="B3966" s="7"/>
      <c r="C3966" s="140">
        <v>3938</v>
      </c>
      <c r="D3966" s="142"/>
      <c r="E3966" s="142"/>
      <c r="F3966" s="142"/>
      <c r="G3966" s="142"/>
      <c r="H3966" s="141"/>
      <c r="I3966" s="8"/>
    </row>
    <row r="3967" spans="2:9" ht="15" hidden="1" customHeight="1" x14ac:dyDescent="0.25">
      <c r="B3967" s="7"/>
      <c r="C3967" s="140">
        <v>3939</v>
      </c>
      <c r="D3967" s="142"/>
      <c r="E3967" s="142"/>
      <c r="F3967" s="142"/>
      <c r="G3967" s="142"/>
      <c r="H3967" s="141"/>
      <c r="I3967" s="8"/>
    </row>
    <row r="3968" spans="2:9" ht="15" hidden="1" customHeight="1" x14ac:dyDescent="0.25">
      <c r="B3968" s="7"/>
      <c r="C3968" s="140">
        <v>3940</v>
      </c>
      <c r="D3968" s="142"/>
      <c r="E3968" s="142"/>
      <c r="F3968" s="142"/>
      <c r="G3968" s="142"/>
      <c r="H3968" s="141"/>
      <c r="I3968" s="8"/>
    </row>
    <row r="3969" spans="2:9" ht="15" hidden="1" customHeight="1" x14ac:dyDescent="0.25">
      <c r="B3969" s="7"/>
      <c r="C3969" s="140">
        <v>3941</v>
      </c>
      <c r="D3969" s="142"/>
      <c r="E3969" s="142"/>
      <c r="F3969" s="142"/>
      <c r="G3969" s="142"/>
      <c r="H3969" s="141"/>
      <c r="I3969" s="8"/>
    </row>
    <row r="3970" spans="2:9" ht="15" hidden="1" customHeight="1" x14ac:dyDescent="0.25">
      <c r="B3970" s="7"/>
      <c r="C3970" s="140">
        <v>3942</v>
      </c>
      <c r="D3970" s="142"/>
      <c r="E3970" s="142"/>
      <c r="F3970" s="142"/>
      <c r="G3970" s="142"/>
      <c r="H3970" s="141"/>
      <c r="I3970" s="8"/>
    </row>
    <row r="3971" spans="2:9" ht="15" hidden="1" customHeight="1" x14ac:dyDescent="0.25">
      <c r="B3971" s="7"/>
      <c r="C3971" s="140">
        <v>3943</v>
      </c>
      <c r="D3971" s="142"/>
      <c r="E3971" s="142"/>
      <c r="F3971" s="142"/>
      <c r="G3971" s="142"/>
      <c r="H3971" s="141"/>
      <c r="I3971" s="8"/>
    </row>
    <row r="3972" spans="2:9" ht="15" hidden="1" customHeight="1" x14ac:dyDescent="0.25">
      <c r="B3972" s="7"/>
      <c r="C3972" s="140">
        <v>3944</v>
      </c>
      <c r="D3972" s="142"/>
      <c r="E3972" s="142"/>
      <c r="F3972" s="142"/>
      <c r="G3972" s="142"/>
      <c r="H3972" s="141"/>
      <c r="I3972" s="8"/>
    </row>
    <row r="3973" spans="2:9" ht="15" hidden="1" customHeight="1" x14ac:dyDescent="0.25">
      <c r="B3973" s="7"/>
      <c r="C3973" s="140">
        <v>3945</v>
      </c>
      <c r="D3973" s="142"/>
      <c r="E3973" s="142"/>
      <c r="F3973" s="142"/>
      <c r="G3973" s="142"/>
      <c r="H3973" s="141"/>
      <c r="I3973" s="8"/>
    </row>
    <row r="3974" spans="2:9" ht="15" hidden="1" customHeight="1" x14ac:dyDescent="0.25">
      <c r="B3974" s="7"/>
      <c r="C3974" s="140">
        <v>3946</v>
      </c>
      <c r="D3974" s="142"/>
      <c r="E3974" s="142"/>
      <c r="F3974" s="142"/>
      <c r="G3974" s="142"/>
      <c r="H3974" s="141"/>
      <c r="I3974" s="8"/>
    </row>
    <row r="3975" spans="2:9" ht="15" hidden="1" customHeight="1" x14ac:dyDescent="0.25">
      <c r="B3975" s="7"/>
      <c r="C3975" s="140">
        <v>3947</v>
      </c>
      <c r="D3975" s="142"/>
      <c r="E3975" s="142"/>
      <c r="F3975" s="142"/>
      <c r="G3975" s="142"/>
      <c r="H3975" s="141"/>
      <c r="I3975" s="8"/>
    </row>
    <row r="3976" spans="2:9" ht="15" hidden="1" customHeight="1" x14ac:dyDescent="0.25">
      <c r="B3976" s="7"/>
      <c r="C3976" s="140">
        <v>3948</v>
      </c>
      <c r="D3976" s="142"/>
      <c r="E3976" s="142"/>
      <c r="F3976" s="142"/>
      <c r="G3976" s="142"/>
      <c r="H3976" s="141"/>
      <c r="I3976" s="8"/>
    </row>
    <row r="3977" spans="2:9" ht="15" hidden="1" customHeight="1" x14ac:dyDescent="0.25">
      <c r="B3977" s="7"/>
      <c r="C3977" s="140">
        <v>3949</v>
      </c>
      <c r="D3977" s="142"/>
      <c r="E3977" s="142"/>
      <c r="F3977" s="142"/>
      <c r="G3977" s="142"/>
      <c r="H3977" s="141"/>
      <c r="I3977" s="8"/>
    </row>
    <row r="3978" spans="2:9" ht="15" hidden="1" customHeight="1" x14ac:dyDescent="0.25">
      <c r="B3978" s="7"/>
      <c r="C3978" s="140">
        <v>3950</v>
      </c>
      <c r="D3978" s="142"/>
      <c r="E3978" s="142"/>
      <c r="F3978" s="142"/>
      <c r="G3978" s="142"/>
      <c r="H3978" s="141"/>
      <c r="I3978" s="8"/>
    </row>
    <row r="3979" spans="2:9" ht="15" hidden="1" customHeight="1" x14ac:dyDescent="0.25">
      <c r="B3979" s="7"/>
      <c r="C3979" s="140">
        <v>3951</v>
      </c>
      <c r="D3979" s="142"/>
      <c r="E3979" s="142"/>
      <c r="F3979" s="142"/>
      <c r="G3979" s="142"/>
      <c r="H3979" s="141"/>
      <c r="I3979" s="8"/>
    </row>
    <row r="3980" spans="2:9" ht="15" hidden="1" customHeight="1" x14ac:dyDescent="0.25">
      <c r="B3980" s="7"/>
      <c r="C3980" s="140">
        <v>3952</v>
      </c>
      <c r="D3980" s="142"/>
      <c r="E3980" s="142"/>
      <c r="F3980" s="142"/>
      <c r="G3980" s="142"/>
      <c r="H3980" s="141"/>
      <c r="I3980" s="8"/>
    </row>
    <row r="3981" spans="2:9" ht="15" hidden="1" customHeight="1" x14ac:dyDescent="0.25">
      <c r="B3981" s="7"/>
      <c r="C3981" s="140">
        <v>3953</v>
      </c>
      <c r="D3981" s="142"/>
      <c r="E3981" s="142"/>
      <c r="F3981" s="142"/>
      <c r="G3981" s="142"/>
      <c r="H3981" s="141"/>
      <c r="I3981" s="8"/>
    </row>
    <row r="3982" spans="2:9" ht="15" hidden="1" customHeight="1" x14ac:dyDescent="0.25">
      <c r="B3982" s="7"/>
      <c r="C3982" s="140">
        <v>3954</v>
      </c>
      <c r="D3982" s="142"/>
      <c r="E3982" s="142"/>
      <c r="F3982" s="142"/>
      <c r="G3982" s="142"/>
      <c r="H3982" s="141"/>
      <c r="I3982" s="8"/>
    </row>
    <row r="3983" spans="2:9" ht="15" hidden="1" customHeight="1" x14ac:dyDescent="0.25">
      <c r="B3983" s="7"/>
      <c r="C3983" s="140">
        <v>3955</v>
      </c>
      <c r="D3983" s="142"/>
      <c r="E3983" s="142"/>
      <c r="F3983" s="142"/>
      <c r="G3983" s="142"/>
      <c r="H3983" s="141"/>
      <c r="I3983" s="8"/>
    </row>
    <row r="3984" spans="2:9" ht="15" hidden="1" customHeight="1" x14ac:dyDescent="0.25">
      <c r="B3984" s="7"/>
      <c r="C3984" s="140">
        <v>3956</v>
      </c>
      <c r="D3984" s="142"/>
      <c r="E3984" s="142"/>
      <c r="F3984" s="142"/>
      <c r="G3984" s="142"/>
      <c r="H3984" s="141"/>
      <c r="I3984" s="8"/>
    </row>
    <row r="3985" spans="2:9" ht="15" hidden="1" customHeight="1" x14ac:dyDescent="0.25">
      <c r="B3985" s="7"/>
      <c r="C3985" s="140">
        <v>3957</v>
      </c>
      <c r="D3985" s="142"/>
      <c r="E3985" s="142"/>
      <c r="F3985" s="142"/>
      <c r="G3985" s="142"/>
      <c r="H3985" s="141"/>
      <c r="I3985" s="8"/>
    </row>
    <row r="3986" spans="2:9" ht="15" hidden="1" customHeight="1" x14ac:dyDescent="0.25">
      <c r="B3986" s="7"/>
      <c r="C3986" s="140">
        <v>3958</v>
      </c>
      <c r="D3986" s="142"/>
      <c r="E3986" s="142"/>
      <c r="F3986" s="142"/>
      <c r="G3986" s="142"/>
      <c r="H3986" s="141"/>
      <c r="I3986" s="8"/>
    </row>
    <row r="3987" spans="2:9" ht="15" hidden="1" customHeight="1" x14ac:dyDescent="0.25">
      <c r="B3987" s="7"/>
      <c r="C3987" s="140">
        <v>3959</v>
      </c>
      <c r="D3987" s="142"/>
      <c r="E3987" s="142"/>
      <c r="F3987" s="142"/>
      <c r="G3987" s="142"/>
      <c r="H3987" s="141"/>
      <c r="I3987" s="8"/>
    </row>
    <row r="3988" spans="2:9" ht="15" hidden="1" customHeight="1" x14ac:dyDescent="0.25">
      <c r="B3988" s="7"/>
      <c r="C3988" s="140">
        <v>3960</v>
      </c>
      <c r="D3988" s="142"/>
      <c r="E3988" s="142"/>
      <c r="F3988" s="142"/>
      <c r="G3988" s="142"/>
      <c r="H3988" s="141"/>
      <c r="I3988" s="8"/>
    </row>
    <row r="3989" spans="2:9" ht="15" hidden="1" customHeight="1" x14ac:dyDescent="0.25">
      <c r="B3989" s="7"/>
      <c r="C3989" s="140">
        <v>3961</v>
      </c>
      <c r="D3989" s="142"/>
      <c r="E3989" s="142"/>
      <c r="F3989" s="142"/>
      <c r="G3989" s="142"/>
      <c r="H3989" s="141"/>
      <c r="I3989" s="8"/>
    </row>
    <row r="3990" spans="2:9" ht="15" hidden="1" customHeight="1" x14ac:dyDescent="0.25">
      <c r="B3990" s="7"/>
      <c r="C3990" s="140">
        <v>3962</v>
      </c>
      <c r="D3990" s="142"/>
      <c r="E3990" s="142"/>
      <c r="F3990" s="142"/>
      <c r="G3990" s="142"/>
      <c r="H3990" s="141"/>
      <c r="I3990" s="8"/>
    </row>
    <row r="3991" spans="2:9" ht="15" hidden="1" customHeight="1" x14ac:dyDescent="0.25">
      <c r="B3991" s="7"/>
      <c r="C3991" s="140">
        <v>3963</v>
      </c>
      <c r="D3991" s="142"/>
      <c r="E3991" s="142"/>
      <c r="F3991" s="142"/>
      <c r="G3991" s="142"/>
      <c r="H3991" s="141"/>
      <c r="I3991" s="8"/>
    </row>
    <row r="3992" spans="2:9" ht="15" hidden="1" customHeight="1" x14ac:dyDescent="0.25">
      <c r="B3992" s="7"/>
      <c r="C3992" s="140">
        <v>3964</v>
      </c>
      <c r="D3992" s="142"/>
      <c r="E3992" s="142"/>
      <c r="F3992" s="142"/>
      <c r="G3992" s="142"/>
      <c r="H3992" s="141"/>
      <c r="I3992" s="8"/>
    </row>
    <row r="3993" spans="2:9" ht="15" hidden="1" customHeight="1" x14ac:dyDescent="0.25">
      <c r="B3993" s="7"/>
      <c r="C3993" s="140">
        <v>3965</v>
      </c>
      <c r="D3993" s="142"/>
      <c r="E3993" s="142"/>
      <c r="F3993" s="142"/>
      <c r="G3993" s="142"/>
      <c r="H3993" s="141"/>
      <c r="I3993" s="8"/>
    </row>
    <row r="3994" spans="2:9" ht="15" hidden="1" customHeight="1" x14ac:dyDescent="0.25">
      <c r="B3994" s="7"/>
      <c r="C3994" s="140">
        <v>3966</v>
      </c>
      <c r="D3994" s="142"/>
      <c r="E3994" s="142"/>
      <c r="F3994" s="142"/>
      <c r="G3994" s="142"/>
      <c r="H3994" s="141"/>
      <c r="I3994" s="8"/>
    </row>
    <row r="3995" spans="2:9" ht="15" hidden="1" customHeight="1" x14ac:dyDescent="0.25">
      <c r="B3995" s="7"/>
      <c r="C3995" s="140">
        <v>3967</v>
      </c>
      <c r="D3995" s="142"/>
      <c r="E3995" s="142"/>
      <c r="F3995" s="142"/>
      <c r="G3995" s="142"/>
      <c r="H3995" s="141"/>
      <c r="I3995" s="8"/>
    </row>
    <row r="3996" spans="2:9" ht="15" hidden="1" customHeight="1" x14ac:dyDescent="0.25">
      <c r="B3996" s="7"/>
      <c r="C3996" s="140">
        <v>3968</v>
      </c>
      <c r="D3996" s="142"/>
      <c r="E3996" s="142"/>
      <c r="F3996" s="142"/>
      <c r="G3996" s="142"/>
      <c r="H3996" s="141"/>
      <c r="I3996" s="8"/>
    </row>
    <row r="3997" spans="2:9" ht="15" hidden="1" customHeight="1" x14ac:dyDescent="0.25">
      <c r="B3997" s="7"/>
      <c r="C3997" s="140">
        <v>3969</v>
      </c>
      <c r="D3997" s="142"/>
      <c r="E3997" s="142"/>
      <c r="F3997" s="142"/>
      <c r="G3997" s="142"/>
      <c r="H3997" s="141"/>
      <c r="I3997" s="8"/>
    </row>
    <row r="3998" spans="2:9" ht="15" hidden="1" customHeight="1" x14ac:dyDescent="0.25">
      <c r="B3998" s="7"/>
      <c r="C3998" s="140">
        <v>3970</v>
      </c>
      <c r="D3998" s="142"/>
      <c r="E3998" s="142"/>
      <c r="F3998" s="142"/>
      <c r="G3998" s="142"/>
      <c r="H3998" s="141"/>
      <c r="I3998" s="8"/>
    </row>
    <row r="3999" spans="2:9" ht="15" hidden="1" customHeight="1" x14ac:dyDescent="0.25">
      <c r="B3999" s="7"/>
      <c r="C3999" s="140">
        <v>3971</v>
      </c>
      <c r="D3999" s="142"/>
      <c r="E3999" s="142"/>
      <c r="F3999" s="142"/>
      <c r="G3999" s="142"/>
      <c r="H3999" s="141"/>
      <c r="I3999" s="8"/>
    </row>
    <row r="4000" spans="2:9" ht="15" hidden="1" customHeight="1" x14ac:dyDescent="0.25">
      <c r="B4000" s="7"/>
      <c r="C4000" s="140">
        <v>3972</v>
      </c>
      <c r="D4000" s="142"/>
      <c r="E4000" s="142"/>
      <c r="F4000" s="142"/>
      <c r="G4000" s="142"/>
      <c r="H4000" s="141"/>
      <c r="I4000" s="8"/>
    </row>
    <row r="4001" spans="2:9" ht="15" hidden="1" customHeight="1" x14ac:dyDescent="0.25">
      <c r="B4001" s="7"/>
      <c r="C4001" s="140">
        <v>3973</v>
      </c>
      <c r="D4001" s="142"/>
      <c r="E4001" s="142"/>
      <c r="F4001" s="142"/>
      <c r="G4001" s="142"/>
      <c r="H4001" s="141"/>
      <c r="I4001" s="8"/>
    </row>
    <row r="4002" spans="2:9" ht="15" hidden="1" customHeight="1" x14ac:dyDescent="0.25">
      <c r="B4002" s="7"/>
      <c r="C4002" s="140">
        <v>3974</v>
      </c>
      <c r="D4002" s="142"/>
      <c r="E4002" s="142"/>
      <c r="F4002" s="142"/>
      <c r="G4002" s="142"/>
      <c r="H4002" s="141"/>
      <c r="I4002" s="8"/>
    </row>
    <row r="4003" spans="2:9" ht="15" hidden="1" customHeight="1" x14ac:dyDescent="0.25">
      <c r="B4003" s="7"/>
      <c r="C4003" s="140">
        <v>3975</v>
      </c>
      <c r="D4003" s="142"/>
      <c r="E4003" s="142"/>
      <c r="F4003" s="142"/>
      <c r="G4003" s="142"/>
      <c r="H4003" s="141"/>
      <c r="I4003" s="8"/>
    </row>
    <row r="4004" spans="2:9" ht="15" hidden="1" customHeight="1" x14ac:dyDescent="0.25">
      <c r="B4004" s="7"/>
      <c r="C4004" s="140">
        <v>3976</v>
      </c>
      <c r="D4004" s="142"/>
      <c r="E4004" s="142"/>
      <c r="F4004" s="142"/>
      <c r="G4004" s="142"/>
      <c r="H4004" s="141"/>
      <c r="I4004" s="8"/>
    </row>
    <row r="4005" spans="2:9" ht="15" hidden="1" customHeight="1" x14ac:dyDescent="0.25">
      <c r="B4005" s="7"/>
      <c r="C4005" s="140">
        <v>3977</v>
      </c>
      <c r="D4005" s="142"/>
      <c r="E4005" s="142"/>
      <c r="F4005" s="142"/>
      <c r="G4005" s="142"/>
      <c r="H4005" s="141"/>
      <c r="I4005" s="8"/>
    </row>
    <row r="4006" spans="2:9" ht="15" hidden="1" customHeight="1" x14ac:dyDescent="0.25">
      <c r="B4006" s="7"/>
      <c r="C4006" s="140">
        <v>3978</v>
      </c>
      <c r="D4006" s="142"/>
      <c r="E4006" s="142"/>
      <c r="F4006" s="142"/>
      <c r="G4006" s="142"/>
      <c r="H4006" s="141"/>
      <c r="I4006" s="8"/>
    </row>
    <row r="4007" spans="2:9" ht="15" hidden="1" customHeight="1" x14ac:dyDescent="0.25">
      <c r="B4007" s="7"/>
      <c r="C4007" s="140">
        <v>3979</v>
      </c>
      <c r="D4007" s="142"/>
      <c r="E4007" s="142"/>
      <c r="F4007" s="142"/>
      <c r="G4007" s="142"/>
      <c r="H4007" s="141"/>
      <c r="I4007" s="8"/>
    </row>
    <row r="4008" spans="2:9" ht="15" hidden="1" customHeight="1" x14ac:dyDescent="0.25">
      <c r="B4008" s="7"/>
      <c r="C4008" s="140">
        <v>3980</v>
      </c>
      <c r="D4008" s="142"/>
      <c r="E4008" s="142"/>
      <c r="F4008" s="142"/>
      <c r="G4008" s="142"/>
      <c r="H4008" s="141"/>
      <c r="I4008" s="8"/>
    </row>
    <row r="4009" spans="2:9" ht="15" hidden="1" customHeight="1" x14ac:dyDescent="0.25">
      <c r="B4009" s="7"/>
      <c r="C4009" s="140">
        <v>3981</v>
      </c>
      <c r="D4009" s="142"/>
      <c r="E4009" s="142"/>
      <c r="F4009" s="142"/>
      <c r="G4009" s="142"/>
      <c r="H4009" s="141"/>
      <c r="I4009" s="8"/>
    </row>
    <row r="4010" spans="2:9" ht="15" hidden="1" customHeight="1" x14ac:dyDescent="0.25">
      <c r="B4010" s="7"/>
      <c r="C4010" s="140">
        <v>3982</v>
      </c>
      <c r="D4010" s="142"/>
      <c r="E4010" s="142"/>
      <c r="F4010" s="142"/>
      <c r="G4010" s="142"/>
      <c r="H4010" s="141"/>
      <c r="I4010" s="8"/>
    </row>
    <row r="4011" spans="2:9" ht="15" hidden="1" customHeight="1" x14ac:dyDescent="0.25">
      <c r="B4011" s="7"/>
      <c r="C4011" s="140">
        <v>3983</v>
      </c>
      <c r="D4011" s="142"/>
      <c r="E4011" s="142"/>
      <c r="F4011" s="142"/>
      <c r="G4011" s="142"/>
      <c r="H4011" s="141"/>
      <c r="I4011" s="8"/>
    </row>
    <row r="4012" spans="2:9" ht="15" hidden="1" customHeight="1" x14ac:dyDescent="0.25">
      <c r="B4012" s="7"/>
      <c r="C4012" s="140">
        <v>3984</v>
      </c>
      <c r="D4012" s="142"/>
      <c r="E4012" s="142"/>
      <c r="F4012" s="142"/>
      <c r="G4012" s="142"/>
      <c r="H4012" s="141"/>
      <c r="I4012" s="8"/>
    </row>
    <row r="4013" spans="2:9" ht="15" hidden="1" customHeight="1" x14ac:dyDescent="0.25">
      <c r="B4013" s="7"/>
      <c r="C4013" s="140">
        <v>3985</v>
      </c>
      <c r="D4013" s="142"/>
      <c r="E4013" s="142"/>
      <c r="F4013" s="142"/>
      <c r="G4013" s="142"/>
      <c r="H4013" s="141"/>
      <c r="I4013" s="8"/>
    </row>
    <row r="4014" spans="2:9" ht="15" hidden="1" customHeight="1" x14ac:dyDescent="0.25">
      <c r="B4014" s="7"/>
      <c r="C4014" s="140">
        <v>3986</v>
      </c>
      <c r="D4014" s="142"/>
      <c r="E4014" s="142"/>
      <c r="F4014" s="142"/>
      <c r="G4014" s="142"/>
      <c r="H4014" s="141"/>
      <c r="I4014" s="8"/>
    </row>
    <row r="4015" spans="2:9" ht="15" hidden="1" customHeight="1" x14ac:dyDescent="0.25">
      <c r="B4015" s="7"/>
      <c r="C4015" s="140">
        <v>3987</v>
      </c>
      <c r="D4015" s="142"/>
      <c r="E4015" s="142"/>
      <c r="F4015" s="142"/>
      <c r="G4015" s="142"/>
      <c r="H4015" s="141"/>
      <c r="I4015" s="8"/>
    </row>
    <row r="4016" spans="2:9" ht="15" hidden="1" customHeight="1" x14ac:dyDescent="0.25">
      <c r="B4016" s="7"/>
      <c r="C4016" s="140">
        <v>3988</v>
      </c>
      <c r="D4016" s="142"/>
      <c r="E4016" s="142"/>
      <c r="F4016" s="142"/>
      <c r="G4016" s="142"/>
      <c r="H4016" s="141"/>
      <c r="I4016" s="8"/>
    </row>
    <row r="4017" spans="2:9" ht="15" hidden="1" customHeight="1" x14ac:dyDescent="0.25">
      <c r="B4017" s="7"/>
      <c r="C4017" s="140">
        <v>3989</v>
      </c>
      <c r="D4017" s="142"/>
      <c r="E4017" s="142"/>
      <c r="F4017" s="142"/>
      <c r="G4017" s="142"/>
      <c r="H4017" s="141"/>
      <c r="I4017" s="8"/>
    </row>
    <row r="4018" spans="2:9" ht="15" hidden="1" customHeight="1" x14ac:dyDescent="0.25">
      <c r="B4018" s="7"/>
      <c r="C4018" s="140">
        <v>3990</v>
      </c>
      <c r="D4018" s="142"/>
      <c r="E4018" s="142"/>
      <c r="F4018" s="142"/>
      <c r="G4018" s="142"/>
      <c r="H4018" s="141"/>
      <c r="I4018" s="8"/>
    </row>
    <row r="4019" spans="2:9" ht="15" hidden="1" customHeight="1" x14ac:dyDescent="0.25">
      <c r="B4019" s="7"/>
      <c r="C4019" s="140">
        <v>3991</v>
      </c>
      <c r="D4019" s="142"/>
      <c r="E4019" s="142"/>
      <c r="F4019" s="142"/>
      <c r="G4019" s="142"/>
      <c r="H4019" s="141"/>
      <c r="I4019" s="8"/>
    </row>
    <row r="4020" spans="2:9" ht="15" hidden="1" customHeight="1" x14ac:dyDescent="0.25">
      <c r="B4020" s="7"/>
      <c r="C4020" s="140">
        <v>3992</v>
      </c>
      <c r="D4020" s="142"/>
      <c r="E4020" s="142"/>
      <c r="F4020" s="142"/>
      <c r="G4020" s="142"/>
      <c r="H4020" s="141"/>
      <c r="I4020" s="8"/>
    </row>
    <row r="4021" spans="2:9" ht="15" hidden="1" customHeight="1" x14ac:dyDescent="0.25">
      <c r="B4021" s="7"/>
      <c r="C4021" s="140">
        <v>3993</v>
      </c>
      <c r="D4021" s="142"/>
      <c r="E4021" s="142"/>
      <c r="F4021" s="142"/>
      <c r="G4021" s="142"/>
      <c r="H4021" s="141"/>
      <c r="I4021" s="8"/>
    </row>
    <row r="4022" spans="2:9" ht="15" hidden="1" customHeight="1" x14ac:dyDescent="0.25">
      <c r="B4022" s="7"/>
      <c r="C4022" s="140">
        <v>3994</v>
      </c>
      <c r="D4022" s="142"/>
      <c r="E4022" s="142"/>
      <c r="F4022" s="142"/>
      <c r="G4022" s="142"/>
      <c r="H4022" s="141"/>
      <c r="I4022" s="8"/>
    </row>
    <row r="4023" spans="2:9" ht="15" hidden="1" customHeight="1" x14ac:dyDescent="0.25">
      <c r="B4023" s="7"/>
      <c r="C4023" s="140">
        <v>3995</v>
      </c>
      <c r="D4023" s="142"/>
      <c r="E4023" s="142"/>
      <c r="F4023" s="142"/>
      <c r="G4023" s="142"/>
      <c r="H4023" s="141"/>
      <c r="I4023" s="8"/>
    </row>
    <row r="4024" spans="2:9" ht="15" hidden="1" customHeight="1" x14ac:dyDescent="0.25">
      <c r="B4024" s="7"/>
      <c r="C4024" s="140">
        <v>3996</v>
      </c>
      <c r="D4024" s="142"/>
      <c r="E4024" s="142"/>
      <c r="F4024" s="142"/>
      <c r="G4024" s="142"/>
      <c r="H4024" s="141"/>
      <c r="I4024" s="8"/>
    </row>
    <row r="4025" spans="2:9" ht="15" hidden="1" customHeight="1" x14ac:dyDescent="0.25">
      <c r="B4025" s="7"/>
      <c r="C4025" s="140">
        <v>3997</v>
      </c>
      <c r="D4025" s="142"/>
      <c r="E4025" s="142"/>
      <c r="F4025" s="142"/>
      <c r="G4025" s="142"/>
      <c r="H4025" s="141"/>
      <c r="I4025" s="8"/>
    </row>
    <row r="4026" spans="2:9" ht="15" hidden="1" customHeight="1" x14ac:dyDescent="0.25">
      <c r="B4026" s="7"/>
      <c r="C4026" s="140">
        <v>3998</v>
      </c>
      <c r="D4026" s="142"/>
      <c r="E4026" s="142"/>
      <c r="F4026" s="142"/>
      <c r="G4026" s="142"/>
      <c r="H4026" s="141"/>
      <c r="I4026" s="8"/>
    </row>
    <row r="4027" spans="2:9" ht="15" hidden="1" customHeight="1" x14ac:dyDescent="0.25">
      <c r="B4027" s="7"/>
      <c r="C4027" s="140">
        <v>3999</v>
      </c>
      <c r="D4027" s="142"/>
      <c r="E4027" s="142"/>
      <c r="F4027" s="142"/>
      <c r="G4027" s="142"/>
      <c r="H4027" s="141"/>
      <c r="I4027" s="8"/>
    </row>
    <row r="4028" spans="2:9" ht="15" hidden="1" customHeight="1" x14ac:dyDescent="0.25">
      <c r="B4028" s="7"/>
      <c r="C4028" s="140">
        <v>4000</v>
      </c>
      <c r="D4028" s="142"/>
      <c r="E4028" s="142"/>
      <c r="F4028" s="142"/>
      <c r="G4028" s="142"/>
      <c r="H4028" s="141"/>
      <c r="I4028" s="8"/>
    </row>
    <row r="4029" spans="2:9" ht="15" hidden="1" customHeight="1" x14ac:dyDescent="0.25">
      <c r="B4029" s="7"/>
      <c r="C4029" s="140">
        <v>4001</v>
      </c>
      <c r="D4029" s="142"/>
      <c r="E4029" s="142"/>
      <c r="F4029" s="142"/>
      <c r="G4029" s="142"/>
      <c r="H4029" s="141"/>
      <c r="I4029" s="8"/>
    </row>
    <row r="4030" spans="2:9" ht="15" hidden="1" customHeight="1" x14ac:dyDescent="0.25">
      <c r="B4030" s="7"/>
      <c r="C4030" s="140">
        <v>4002</v>
      </c>
      <c r="D4030" s="142"/>
      <c r="E4030" s="142"/>
      <c r="F4030" s="142"/>
      <c r="G4030" s="142"/>
      <c r="H4030" s="141"/>
      <c r="I4030" s="8"/>
    </row>
    <row r="4031" spans="2:9" ht="15" hidden="1" customHeight="1" x14ac:dyDescent="0.25">
      <c r="B4031" s="7"/>
      <c r="C4031" s="140">
        <v>4003</v>
      </c>
      <c r="D4031" s="142"/>
      <c r="E4031" s="142"/>
      <c r="F4031" s="142"/>
      <c r="G4031" s="142"/>
      <c r="H4031" s="141"/>
      <c r="I4031" s="8"/>
    </row>
    <row r="4032" spans="2:9" ht="15" hidden="1" customHeight="1" x14ac:dyDescent="0.25">
      <c r="B4032" s="7"/>
      <c r="C4032" s="140">
        <v>4004</v>
      </c>
      <c r="D4032" s="142"/>
      <c r="E4032" s="142"/>
      <c r="F4032" s="142"/>
      <c r="G4032" s="142"/>
      <c r="H4032" s="141"/>
      <c r="I4032" s="8"/>
    </row>
    <row r="4033" spans="2:9" ht="15" hidden="1" customHeight="1" x14ac:dyDescent="0.25">
      <c r="B4033" s="7"/>
      <c r="C4033" s="140">
        <v>4005</v>
      </c>
      <c r="D4033" s="142"/>
      <c r="E4033" s="142"/>
      <c r="F4033" s="142"/>
      <c r="G4033" s="142"/>
      <c r="H4033" s="141"/>
      <c r="I4033" s="8"/>
    </row>
    <row r="4034" spans="2:9" ht="15" hidden="1" customHeight="1" x14ac:dyDescent="0.25">
      <c r="B4034" s="7"/>
      <c r="C4034" s="140">
        <v>4006</v>
      </c>
      <c r="D4034" s="142"/>
      <c r="E4034" s="142"/>
      <c r="F4034" s="142"/>
      <c r="G4034" s="142"/>
      <c r="H4034" s="141"/>
      <c r="I4034" s="8"/>
    </row>
    <row r="4035" spans="2:9" ht="15" hidden="1" customHeight="1" x14ac:dyDescent="0.25">
      <c r="B4035" s="7"/>
      <c r="C4035" s="140">
        <v>4007</v>
      </c>
      <c r="D4035" s="142"/>
      <c r="E4035" s="142"/>
      <c r="F4035" s="142"/>
      <c r="G4035" s="142"/>
      <c r="H4035" s="141"/>
      <c r="I4035" s="8"/>
    </row>
    <row r="4036" spans="2:9" ht="15" hidden="1" customHeight="1" x14ac:dyDescent="0.25">
      <c r="B4036" s="7"/>
      <c r="C4036" s="140">
        <v>4008</v>
      </c>
      <c r="D4036" s="142"/>
      <c r="E4036" s="142"/>
      <c r="F4036" s="142"/>
      <c r="G4036" s="142"/>
      <c r="H4036" s="141"/>
      <c r="I4036" s="8"/>
    </row>
    <row r="4037" spans="2:9" ht="15" hidden="1" customHeight="1" x14ac:dyDescent="0.25">
      <c r="B4037" s="7"/>
      <c r="C4037" s="140">
        <v>4009</v>
      </c>
      <c r="D4037" s="142"/>
      <c r="E4037" s="142"/>
      <c r="F4037" s="142"/>
      <c r="G4037" s="142"/>
      <c r="H4037" s="141"/>
      <c r="I4037" s="8"/>
    </row>
    <row r="4038" spans="2:9" ht="15" hidden="1" customHeight="1" x14ac:dyDescent="0.25">
      <c r="B4038" s="7"/>
      <c r="C4038" s="140">
        <v>4010</v>
      </c>
      <c r="D4038" s="142"/>
      <c r="E4038" s="142"/>
      <c r="F4038" s="142"/>
      <c r="G4038" s="142"/>
      <c r="H4038" s="141"/>
      <c r="I4038" s="8"/>
    </row>
    <row r="4039" spans="2:9" ht="15" hidden="1" customHeight="1" x14ac:dyDescent="0.25">
      <c r="B4039" s="7"/>
      <c r="C4039" s="140">
        <v>4011</v>
      </c>
      <c r="D4039" s="142"/>
      <c r="E4039" s="142"/>
      <c r="F4039" s="142"/>
      <c r="G4039" s="142"/>
      <c r="H4039" s="141"/>
      <c r="I4039" s="8"/>
    </row>
    <row r="4040" spans="2:9" ht="15" hidden="1" customHeight="1" x14ac:dyDescent="0.25">
      <c r="B4040" s="7"/>
      <c r="C4040" s="140">
        <v>4012</v>
      </c>
      <c r="D4040" s="142"/>
      <c r="E4040" s="142"/>
      <c r="F4040" s="142"/>
      <c r="G4040" s="142"/>
      <c r="H4040" s="141"/>
      <c r="I4040" s="8"/>
    </row>
    <row r="4041" spans="2:9" ht="15" hidden="1" customHeight="1" x14ac:dyDescent="0.25">
      <c r="B4041" s="7"/>
      <c r="C4041" s="140">
        <v>4013</v>
      </c>
      <c r="D4041" s="142"/>
      <c r="E4041" s="142"/>
      <c r="F4041" s="142"/>
      <c r="G4041" s="142"/>
      <c r="H4041" s="141"/>
      <c r="I4041" s="8"/>
    </row>
    <row r="4042" spans="2:9" ht="15" hidden="1" customHeight="1" x14ac:dyDescent="0.25">
      <c r="B4042" s="7"/>
      <c r="C4042" s="140">
        <v>4014</v>
      </c>
      <c r="D4042" s="142"/>
      <c r="E4042" s="142"/>
      <c r="F4042" s="142"/>
      <c r="G4042" s="142"/>
      <c r="H4042" s="141"/>
      <c r="I4042" s="8"/>
    </row>
    <row r="4043" spans="2:9" ht="15" hidden="1" customHeight="1" x14ac:dyDescent="0.25">
      <c r="B4043" s="7"/>
      <c r="C4043" s="140">
        <v>4015</v>
      </c>
      <c r="D4043" s="142"/>
      <c r="E4043" s="142"/>
      <c r="F4043" s="142"/>
      <c r="G4043" s="142"/>
      <c r="H4043" s="141"/>
      <c r="I4043" s="8"/>
    </row>
    <row r="4044" spans="2:9" ht="15" hidden="1" customHeight="1" x14ac:dyDescent="0.25">
      <c r="B4044" s="7"/>
      <c r="C4044" s="140">
        <v>4016</v>
      </c>
      <c r="D4044" s="142"/>
      <c r="E4044" s="142"/>
      <c r="F4044" s="142"/>
      <c r="G4044" s="142"/>
      <c r="H4044" s="141"/>
      <c r="I4044" s="8"/>
    </row>
    <row r="4045" spans="2:9" ht="15" hidden="1" customHeight="1" x14ac:dyDescent="0.25">
      <c r="B4045" s="7"/>
      <c r="C4045" s="140">
        <v>4017</v>
      </c>
      <c r="D4045" s="142"/>
      <c r="E4045" s="142"/>
      <c r="F4045" s="142"/>
      <c r="G4045" s="142"/>
      <c r="H4045" s="141"/>
      <c r="I4045" s="8"/>
    </row>
    <row r="4046" spans="2:9" ht="15" hidden="1" customHeight="1" x14ac:dyDescent="0.25">
      <c r="B4046" s="7"/>
      <c r="C4046" s="140">
        <v>4018</v>
      </c>
      <c r="D4046" s="142"/>
      <c r="E4046" s="142"/>
      <c r="F4046" s="142"/>
      <c r="G4046" s="142"/>
      <c r="H4046" s="141"/>
      <c r="I4046" s="8"/>
    </row>
    <row r="4047" spans="2:9" ht="15" hidden="1" customHeight="1" x14ac:dyDescent="0.25">
      <c r="B4047" s="7"/>
      <c r="C4047" s="140">
        <v>4019</v>
      </c>
      <c r="D4047" s="142"/>
      <c r="E4047" s="142"/>
      <c r="F4047" s="142"/>
      <c r="G4047" s="142"/>
      <c r="H4047" s="141"/>
      <c r="I4047" s="8"/>
    </row>
    <row r="4048" spans="2:9" ht="15" hidden="1" customHeight="1" x14ac:dyDescent="0.25">
      <c r="B4048" s="7"/>
      <c r="C4048" s="140">
        <v>4020</v>
      </c>
      <c r="D4048" s="142"/>
      <c r="E4048" s="142"/>
      <c r="F4048" s="142"/>
      <c r="G4048" s="142"/>
      <c r="H4048" s="141"/>
      <c r="I4048" s="8"/>
    </row>
    <row r="4049" spans="2:9" ht="15" hidden="1" customHeight="1" x14ac:dyDescent="0.25">
      <c r="B4049" s="7"/>
      <c r="C4049" s="140">
        <v>4021</v>
      </c>
      <c r="D4049" s="142"/>
      <c r="E4049" s="142"/>
      <c r="F4049" s="142"/>
      <c r="G4049" s="142"/>
      <c r="H4049" s="141"/>
      <c r="I4049" s="8"/>
    </row>
    <row r="4050" spans="2:9" ht="15" hidden="1" customHeight="1" x14ac:dyDescent="0.25">
      <c r="B4050" s="7"/>
      <c r="C4050" s="140">
        <v>4022</v>
      </c>
      <c r="D4050" s="142"/>
      <c r="E4050" s="142"/>
      <c r="F4050" s="142"/>
      <c r="G4050" s="142"/>
      <c r="H4050" s="141"/>
      <c r="I4050" s="8"/>
    </row>
    <row r="4051" spans="2:9" ht="15" hidden="1" customHeight="1" x14ac:dyDescent="0.25">
      <c r="B4051" s="7"/>
      <c r="C4051" s="140">
        <v>4023</v>
      </c>
      <c r="D4051" s="142"/>
      <c r="E4051" s="142"/>
      <c r="F4051" s="142"/>
      <c r="G4051" s="142"/>
      <c r="H4051" s="141"/>
      <c r="I4051" s="8"/>
    </row>
    <row r="4052" spans="2:9" ht="15" hidden="1" customHeight="1" x14ac:dyDescent="0.25">
      <c r="B4052" s="7"/>
      <c r="C4052" s="140">
        <v>4024</v>
      </c>
      <c r="D4052" s="142"/>
      <c r="E4052" s="142"/>
      <c r="F4052" s="142"/>
      <c r="G4052" s="142"/>
      <c r="H4052" s="141"/>
      <c r="I4052" s="8"/>
    </row>
    <row r="4053" spans="2:9" ht="15" hidden="1" customHeight="1" x14ac:dyDescent="0.25">
      <c r="B4053" s="7"/>
      <c r="C4053" s="140">
        <v>4025</v>
      </c>
      <c r="D4053" s="142"/>
      <c r="E4053" s="142"/>
      <c r="F4053" s="142"/>
      <c r="G4053" s="142"/>
      <c r="H4053" s="141"/>
      <c r="I4053" s="8"/>
    </row>
    <row r="4054" spans="2:9" ht="15" hidden="1" customHeight="1" x14ac:dyDescent="0.25">
      <c r="B4054" s="7"/>
      <c r="C4054" s="140">
        <v>4026</v>
      </c>
      <c r="D4054" s="142"/>
      <c r="E4054" s="142"/>
      <c r="F4054" s="142"/>
      <c r="G4054" s="142"/>
      <c r="H4054" s="141"/>
      <c r="I4054" s="8"/>
    </row>
    <row r="4055" spans="2:9" ht="15" hidden="1" customHeight="1" x14ac:dyDescent="0.25">
      <c r="B4055" s="7"/>
      <c r="C4055" s="140">
        <v>4027</v>
      </c>
      <c r="D4055" s="142"/>
      <c r="E4055" s="142"/>
      <c r="F4055" s="142"/>
      <c r="G4055" s="142"/>
      <c r="H4055" s="141"/>
      <c r="I4055" s="8"/>
    </row>
    <row r="4056" spans="2:9" ht="15" hidden="1" customHeight="1" x14ac:dyDescent="0.25">
      <c r="B4056" s="7"/>
      <c r="C4056" s="140">
        <v>4028</v>
      </c>
      <c r="D4056" s="142"/>
      <c r="E4056" s="142"/>
      <c r="F4056" s="142"/>
      <c r="G4056" s="142"/>
      <c r="H4056" s="141"/>
      <c r="I4056" s="8"/>
    </row>
    <row r="4057" spans="2:9" ht="15" hidden="1" customHeight="1" x14ac:dyDescent="0.25">
      <c r="B4057" s="7"/>
      <c r="C4057" s="140">
        <v>4029</v>
      </c>
      <c r="D4057" s="142"/>
      <c r="E4057" s="142"/>
      <c r="F4057" s="142"/>
      <c r="G4057" s="142"/>
      <c r="H4057" s="141"/>
      <c r="I4057" s="8"/>
    </row>
    <row r="4058" spans="2:9" ht="15" hidden="1" customHeight="1" x14ac:dyDescent="0.25">
      <c r="B4058" s="7"/>
      <c r="C4058" s="140">
        <v>4030</v>
      </c>
      <c r="D4058" s="142"/>
      <c r="E4058" s="142"/>
      <c r="F4058" s="142"/>
      <c r="G4058" s="142"/>
      <c r="H4058" s="141"/>
      <c r="I4058" s="8"/>
    </row>
    <row r="4059" spans="2:9" ht="15" hidden="1" customHeight="1" x14ac:dyDescent="0.25">
      <c r="B4059" s="7"/>
      <c r="C4059" s="140">
        <v>4031</v>
      </c>
      <c r="D4059" s="142"/>
      <c r="E4059" s="142"/>
      <c r="F4059" s="142"/>
      <c r="G4059" s="142"/>
      <c r="H4059" s="141"/>
      <c r="I4059" s="8"/>
    </row>
    <row r="4060" spans="2:9" ht="15" hidden="1" customHeight="1" x14ac:dyDescent="0.25">
      <c r="B4060" s="7"/>
      <c r="C4060" s="140">
        <v>4032</v>
      </c>
      <c r="D4060" s="142"/>
      <c r="E4060" s="142"/>
      <c r="F4060" s="142"/>
      <c r="G4060" s="142"/>
      <c r="H4060" s="141"/>
      <c r="I4060" s="8"/>
    </row>
    <row r="4061" spans="2:9" ht="15" hidden="1" customHeight="1" x14ac:dyDescent="0.25">
      <c r="B4061" s="7"/>
      <c r="C4061" s="140">
        <v>4033</v>
      </c>
      <c r="D4061" s="142"/>
      <c r="E4061" s="142"/>
      <c r="F4061" s="142"/>
      <c r="G4061" s="142"/>
      <c r="H4061" s="141"/>
      <c r="I4061" s="8"/>
    </row>
    <row r="4062" spans="2:9" ht="15" hidden="1" customHeight="1" x14ac:dyDescent="0.25">
      <c r="B4062" s="7"/>
      <c r="C4062" s="140">
        <v>4034</v>
      </c>
      <c r="D4062" s="142"/>
      <c r="E4062" s="142"/>
      <c r="F4062" s="142"/>
      <c r="G4062" s="142"/>
      <c r="H4062" s="141"/>
      <c r="I4062" s="8"/>
    </row>
    <row r="4063" spans="2:9" ht="15" hidden="1" customHeight="1" x14ac:dyDescent="0.25">
      <c r="B4063" s="7"/>
      <c r="C4063" s="140">
        <v>4035</v>
      </c>
      <c r="D4063" s="142"/>
      <c r="E4063" s="142"/>
      <c r="F4063" s="142"/>
      <c r="G4063" s="142"/>
      <c r="H4063" s="141"/>
      <c r="I4063" s="8"/>
    </row>
    <row r="4064" spans="2:9" ht="15" hidden="1" customHeight="1" x14ac:dyDescent="0.25">
      <c r="B4064" s="7"/>
      <c r="C4064" s="140">
        <v>4036</v>
      </c>
      <c r="D4064" s="142"/>
      <c r="E4064" s="142"/>
      <c r="F4064" s="142"/>
      <c r="G4064" s="142"/>
      <c r="H4064" s="141"/>
      <c r="I4064" s="8"/>
    </row>
    <row r="4065" spans="2:9" ht="15" hidden="1" customHeight="1" x14ac:dyDescent="0.25">
      <c r="B4065" s="7"/>
      <c r="C4065" s="140">
        <v>4037</v>
      </c>
      <c r="D4065" s="142"/>
      <c r="E4065" s="142"/>
      <c r="F4065" s="142"/>
      <c r="G4065" s="142"/>
      <c r="H4065" s="141"/>
      <c r="I4065" s="8"/>
    </row>
    <row r="4066" spans="2:9" ht="15" hidden="1" customHeight="1" x14ac:dyDescent="0.25">
      <c r="B4066" s="7"/>
      <c r="C4066" s="140">
        <v>4038</v>
      </c>
      <c r="D4066" s="142"/>
      <c r="E4066" s="142"/>
      <c r="F4066" s="142"/>
      <c r="G4066" s="142"/>
      <c r="H4066" s="141"/>
      <c r="I4066" s="8"/>
    </row>
    <row r="4067" spans="2:9" ht="15" hidden="1" customHeight="1" x14ac:dyDescent="0.25">
      <c r="B4067" s="7"/>
      <c r="C4067" s="140">
        <v>4039</v>
      </c>
      <c r="D4067" s="142"/>
      <c r="E4067" s="142"/>
      <c r="F4067" s="142"/>
      <c r="G4067" s="142"/>
      <c r="H4067" s="141"/>
      <c r="I4067" s="8"/>
    </row>
    <row r="4068" spans="2:9" ht="15" hidden="1" customHeight="1" x14ac:dyDescent="0.25">
      <c r="B4068" s="7"/>
      <c r="C4068" s="140">
        <v>4040</v>
      </c>
      <c r="D4068" s="142"/>
      <c r="E4068" s="142"/>
      <c r="F4068" s="142"/>
      <c r="G4068" s="142"/>
      <c r="H4068" s="141"/>
      <c r="I4068" s="8"/>
    </row>
    <row r="4069" spans="2:9" ht="15" hidden="1" customHeight="1" x14ac:dyDescent="0.25">
      <c r="B4069" s="7"/>
      <c r="C4069" s="140">
        <v>4041</v>
      </c>
      <c r="D4069" s="142"/>
      <c r="E4069" s="142"/>
      <c r="F4069" s="142"/>
      <c r="G4069" s="142"/>
      <c r="H4069" s="141"/>
      <c r="I4069" s="8"/>
    </row>
    <row r="4070" spans="2:9" ht="15" hidden="1" customHeight="1" x14ac:dyDescent="0.25">
      <c r="B4070" s="7"/>
      <c r="C4070" s="140">
        <v>4042</v>
      </c>
      <c r="D4070" s="142"/>
      <c r="E4070" s="142"/>
      <c r="F4070" s="142"/>
      <c r="G4070" s="142"/>
      <c r="H4070" s="141"/>
      <c r="I4070" s="8"/>
    </row>
    <row r="4071" spans="2:9" ht="15" hidden="1" customHeight="1" x14ac:dyDescent="0.25">
      <c r="B4071" s="7"/>
      <c r="C4071" s="140">
        <v>4043</v>
      </c>
      <c r="D4071" s="142"/>
      <c r="E4071" s="142"/>
      <c r="F4071" s="142"/>
      <c r="G4071" s="142"/>
      <c r="H4071" s="141"/>
      <c r="I4071" s="8"/>
    </row>
    <row r="4072" spans="2:9" ht="15" hidden="1" customHeight="1" x14ac:dyDescent="0.25">
      <c r="B4072" s="7"/>
      <c r="C4072" s="140">
        <v>4044</v>
      </c>
      <c r="D4072" s="142"/>
      <c r="E4072" s="142"/>
      <c r="F4072" s="142"/>
      <c r="G4072" s="142"/>
      <c r="H4072" s="141"/>
      <c r="I4072" s="8"/>
    </row>
    <row r="4073" spans="2:9" ht="15" hidden="1" customHeight="1" x14ac:dyDescent="0.25">
      <c r="B4073" s="7"/>
      <c r="C4073" s="140">
        <v>4045</v>
      </c>
      <c r="D4073" s="142"/>
      <c r="E4073" s="142"/>
      <c r="F4073" s="142"/>
      <c r="G4073" s="142"/>
      <c r="H4073" s="141"/>
      <c r="I4073" s="8"/>
    </row>
    <row r="4074" spans="2:9" ht="15" hidden="1" customHeight="1" x14ac:dyDescent="0.25">
      <c r="B4074" s="7"/>
      <c r="C4074" s="140">
        <v>4046</v>
      </c>
      <c r="D4074" s="142"/>
      <c r="E4074" s="142"/>
      <c r="F4074" s="142"/>
      <c r="G4074" s="142"/>
      <c r="H4074" s="141"/>
      <c r="I4074" s="8"/>
    </row>
    <row r="4075" spans="2:9" ht="15" hidden="1" customHeight="1" x14ac:dyDescent="0.25">
      <c r="B4075" s="7"/>
      <c r="C4075" s="140">
        <v>4047</v>
      </c>
      <c r="D4075" s="142"/>
      <c r="E4075" s="142"/>
      <c r="F4075" s="142"/>
      <c r="G4075" s="142"/>
      <c r="H4075" s="141"/>
      <c r="I4075" s="8"/>
    </row>
    <row r="4076" spans="2:9" ht="15" hidden="1" customHeight="1" x14ac:dyDescent="0.25">
      <c r="B4076" s="7"/>
      <c r="C4076" s="140">
        <v>4048</v>
      </c>
      <c r="D4076" s="142"/>
      <c r="E4076" s="142"/>
      <c r="F4076" s="142"/>
      <c r="G4076" s="142"/>
      <c r="H4076" s="141"/>
      <c r="I4076" s="8"/>
    </row>
    <row r="4077" spans="2:9" ht="15" hidden="1" customHeight="1" x14ac:dyDescent="0.25">
      <c r="B4077" s="7"/>
      <c r="C4077" s="140">
        <v>4049</v>
      </c>
      <c r="D4077" s="142"/>
      <c r="E4077" s="142"/>
      <c r="F4077" s="142"/>
      <c r="G4077" s="142"/>
      <c r="H4077" s="141"/>
      <c r="I4077" s="8"/>
    </row>
    <row r="4078" spans="2:9" ht="15" hidden="1" customHeight="1" x14ac:dyDescent="0.25">
      <c r="B4078" s="7"/>
      <c r="C4078" s="140">
        <v>4050</v>
      </c>
      <c r="D4078" s="142"/>
      <c r="E4078" s="142"/>
      <c r="F4078" s="142"/>
      <c r="G4078" s="142"/>
      <c r="H4078" s="141"/>
      <c r="I4078" s="8"/>
    </row>
    <row r="4079" spans="2:9" ht="15" hidden="1" customHeight="1" x14ac:dyDescent="0.25">
      <c r="B4079" s="7"/>
      <c r="C4079" s="140">
        <v>4051</v>
      </c>
      <c r="D4079" s="142"/>
      <c r="E4079" s="142"/>
      <c r="F4079" s="142"/>
      <c r="G4079" s="142"/>
      <c r="H4079" s="141"/>
      <c r="I4079" s="8"/>
    </row>
    <row r="4080" spans="2:9" ht="15" hidden="1" customHeight="1" x14ac:dyDescent="0.25">
      <c r="B4080" s="7"/>
      <c r="C4080" s="140">
        <v>4052</v>
      </c>
      <c r="D4080" s="142"/>
      <c r="E4080" s="142"/>
      <c r="F4080" s="142"/>
      <c r="G4080" s="142"/>
      <c r="H4080" s="141"/>
      <c r="I4080" s="8"/>
    </row>
    <row r="4081" spans="2:9" ht="15" hidden="1" customHeight="1" x14ac:dyDescent="0.25">
      <c r="B4081" s="7"/>
      <c r="C4081" s="140">
        <v>4053</v>
      </c>
      <c r="D4081" s="142"/>
      <c r="E4081" s="142"/>
      <c r="F4081" s="142"/>
      <c r="G4081" s="142"/>
      <c r="H4081" s="141"/>
      <c r="I4081" s="8"/>
    </row>
    <row r="4082" spans="2:9" ht="15" hidden="1" customHeight="1" x14ac:dyDescent="0.25">
      <c r="B4082" s="7"/>
      <c r="C4082" s="140">
        <v>4054</v>
      </c>
      <c r="D4082" s="142"/>
      <c r="E4082" s="142"/>
      <c r="F4082" s="142"/>
      <c r="G4082" s="142"/>
      <c r="H4082" s="141"/>
      <c r="I4082" s="8"/>
    </row>
    <row r="4083" spans="2:9" ht="15" hidden="1" customHeight="1" x14ac:dyDescent="0.25">
      <c r="B4083" s="7"/>
      <c r="C4083" s="140">
        <v>4055</v>
      </c>
      <c r="D4083" s="142"/>
      <c r="E4083" s="142"/>
      <c r="F4083" s="142"/>
      <c r="G4083" s="142"/>
      <c r="H4083" s="141"/>
      <c r="I4083" s="8"/>
    </row>
    <row r="4084" spans="2:9" ht="15" hidden="1" customHeight="1" x14ac:dyDescent="0.25">
      <c r="B4084" s="7"/>
      <c r="C4084" s="140">
        <v>4056</v>
      </c>
      <c r="D4084" s="142"/>
      <c r="E4084" s="142"/>
      <c r="F4084" s="142"/>
      <c r="G4084" s="142"/>
      <c r="H4084" s="141"/>
      <c r="I4084" s="8"/>
    </row>
    <row r="4085" spans="2:9" ht="15" hidden="1" customHeight="1" x14ac:dyDescent="0.25">
      <c r="B4085" s="7"/>
      <c r="C4085" s="140">
        <v>4057</v>
      </c>
      <c r="D4085" s="142"/>
      <c r="E4085" s="142"/>
      <c r="F4085" s="142"/>
      <c r="G4085" s="142"/>
      <c r="H4085" s="141"/>
      <c r="I4085" s="8"/>
    </row>
    <row r="4086" spans="2:9" ht="15" hidden="1" customHeight="1" x14ac:dyDescent="0.25">
      <c r="B4086" s="7"/>
      <c r="C4086" s="140">
        <v>4058</v>
      </c>
      <c r="D4086" s="142"/>
      <c r="E4086" s="142"/>
      <c r="F4086" s="142"/>
      <c r="G4086" s="142"/>
      <c r="H4086" s="141"/>
      <c r="I4086" s="8"/>
    </row>
    <row r="4087" spans="2:9" ht="15" hidden="1" customHeight="1" x14ac:dyDescent="0.25">
      <c r="B4087" s="7"/>
      <c r="C4087" s="140">
        <v>4059</v>
      </c>
      <c r="D4087" s="142"/>
      <c r="E4087" s="142"/>
      <c r="F4087" s="142"/>
      <c r="G4087" s="142"/>
      <c r="H4087" s="141"/>
      <c r="I4087" s="8"/>
    </row>
    <row r="4088" spans="2:9" ht="15" hidden="1" customHeight="1" x14ac:dyDescent="0.25">
      <c r="B4088" s="7"/>
      <c r="C4088" s="140">
        <v>4060</v>
      </c>
      <c r="D4088" s="142"/>
      <c r="E4088" s="142"/>
      <c r="F4088" s="142"/>
      <c r="G4088" s="142"/>
      <c r="H4088" s="141"/>
      <c r="I4088" s="8"/>
    </row>
    <row r="4089" spans="2:9" ht="15" hidden="1" customHeight="1" x14ac:dyDescent="0.25">
      <c r="B4089" s="7"/>
      <c r="C4089" s="140">
        <v>4061</v>
      </c>
      <c r="D4089" s="142"/>
      <c r="E4089" s="142"/>
      <c r="F4089" s="142"/>
      <c r="G4089" s="142"/>
      <c r="H4089" s="141"/>
      <c r="I4089" s="8"/>
    </row>
    <row r="4090" spans="2:9" ht="15" hidden="1" customHeight="1" x14ac:dyDescent="0.25">
      <c r="B4090" s="7"/>
      <c r="C4090" s="140">
        <v>4062</v>
      </c>
      <c r="D4090" s="142"/>
      <c r="E4090" s="142"/>
      <c r="F4090" s="142"/>
      <c r="G4090" s="142"/>
      <c r="H4090" s="141"/>
      <c r="I4090" s="8"/>
    </row>
    <row r="4091" spans="2:9" ht="15" hidden="1" customHeight="1" x14ac:dyDescent="0.25">
      <c r="B4091" s="7"/>
      <c r="C4091" s="140">
        <v>4063</v>
      </c>
      <c r="D4091" s="142"/>
      <c r="E4091" s="142"/>
      <c r="F4091" s="142"/>
      <c r="G4091" s="142"/>
      <c r="H4091" s="141"/>
      <c r="I4091" s="8"/>
    </row>
    <row r="4092" spans="2:9" ht="15" hidden="1" customHeight="1" x14ac:dyDescent="0.25">
      <c r="B4092" s="7"/>
      <c r="C4092" s="140">
        <v>4064</v>
      </c>
      <c r="D4092" s="142"/>
      <c r="E4092" s="142"/>
      <c r="F4092" s="142"/>
      <c r="G4092" s="142"/>
      <c r="H4092" s="141"/>
      <c r="I4092" s="8"/>
    </row>
    <row r="4093" spans="2:9" ht="15" hidden="1" customHeight="1" x14ac:dyDescent="0.25">
      <c r="B4093" s="7"/>
      <c r="C4093" s="140">
        <v>4065</v>
      </c>
      <c r="D4093" s="142"/>
      <c r="E4093" s="142"/>
      <c r="F4093" s="142"/>
      <c r="G4093" s="142"/>
      <c r="H4093" s="141"/>
      <c r="I4093" s="8"/>
    </row>
    <row r="4094" spans="2:9" ht="15" hidden="1" customHeight="1" x14ac:dyDescent="0.25">
      <c r="B4094" s="7"/>
      <c r="C4094" s="140">
        <v>4066</v>
      </c>
      <c r="D4094" s="142"/>
      <c r="E4094" s="142"/>
      <c r="F4094" s="142"/>
      <c r="G4094" s="142"/>
      <c r="H4094" s="141"/>
      <c r="I4094" s="8"/>
    </row>
    <row r="4095" spans="2:9" ht="15" hidden="1" customHeight="1" x14ac:dyDescent="0.25">
      <c r="B4095" s="7"/>
      <c r="C4095" s="140">
        <v>4067</v>
      </c>
      <c r="D4095" s="142"/>
      <c r="E4095" s="142"/>
      <c r="F4095" s="142"/>
      <c r="G4095" s="142"/>
      <c r="H4095" s="141"/>
      <c r="I4095" s="8"/>
    </row>
    <row r="4096" spans="2:9" ht="15" hidden="1" customHeight="1" x14ac:dyDescent="0.25">
      <c r="B4096" s="7"/>
      <c r="C4096" s="140">
        <v>4068</v>
      </c>
      <c r="D4096" s="142"/>
      <c r="E4096" s="142"/>
      <c r="F4096" s="142"/>
      <c r="G4096" s="142"/>
      <c r="H4096" s="141"/>
      <c r="I4096" s="8"/>
    </row>
    <row r="4097" spans="2:9" ht="15" hidden="1" customHeight="1" x14ac:dyDescent="0.25">
      <c r="B4097" s="7"/>
      <c r="C4097" s="140">
        <v>4069</v>
      </c>
      <c r="D4097" s="142"/>
      <c r="E4097" s="142"/>
      <c r="F4097" s="142"/>
      <c r="G4097" s="142"/>
      <c r="H4097" s="141"/>
      <c r="I4097" s="8"/>
    </row>
    <row r="4098" spans="2:9" ht="15" hidden="1" customHeight="1" x14ac:dyDescent="0.25">
      <c r="B4098" s="7"/>
      <c r="C4098" s="140">
        <v>4070</v>
      </c>
      <c r="D4098" s="142"/>
      <c r="E4098" s="142"/>
      <c r="F4098" s="142"/>
      <c r="G4098" s="142"/>
      <c r="H4098" s="141"/>
      <c r="I4098" s="8"/>
    </row>
    <row r="4099" spans="2:9" ht="15" hidden="1" customHeight="1" x14ac:dyDescent="0.25">
      <c r="B4099" s="7"/>
      <c r="C4099" s="140">
        <v>4071</v>
      </c>
      <c r="D4099" s="142"/>
      <c r="E4099" s="142"/>
      <c r="F4099" s="142"/>
      <c r="G4099" s="142"/>
      <c r="H4099" s="141"/>
      <c r="I4099" s="8"/>
    </row>
    <row r="4100" spans="2:9" ht="15" hidden="1" customHeight="1" x14ac:dyDescent="0.25">
      <c r="B4100" s="7"/>
      <c r="C4100" s="140">
        <v>4072</v>
      </c>
      <c r="D4100" s="142"/>
      <c r="E4100" s="142"/>
      <c r="F4100" s="142"/>
      <c r="G4100" s="142"/>
      <c r="H4100" s="141"/>
      <c r="I4100" s="8"/>
    </row>
    <row r="4101" spans="2:9" ht="15" hidden="1" customHeight="1" x14ac:dyDescent="0.25">
      <c r="B4101" s="7"/>
      <c r="C4101" s="140">
        <v>4073</v>
      </c>
      <c r="D4101" s="142"/>
      <c r="E4101" s="142"/>
      <c r="F4101" s="142"/>
      <c r="G4101" s="142"/>
      <c r="H4101" s="141"/>
      <c r="I4101" s="8"/>
    </row>
    <row r="4102" spans="2:9" ht="15" hidden="1" customHeight="1" x14ac:dyDescent="0.25">
      <c r="B4102" s="7"/>
      <c r="C4102" s="140">
        <v>4074</v>
      </c>
      <c r="D4102" s="142"/>
      <c r="E4102" s="142"/>
      <c r="F4102" s="142"/>
      <c r="G4102" s="142"/>
      <c r="H4102" s="141"/>
      <c r="I4102" s="8"/>
    </row>
    <row r="4103" spans="2:9" ht="15" hidden="1" customHeight="1" x14ac:dyDescent="0.25">
      <c r="B4103" s="7"/>
      <c r="C4103" s="140">
        <v>4075</v>
      </c>
      <c r="D4103" s="142"/>
      <c r="E4103" s="142"/>
      <c r="F4103" s="142"/>
      <c r="G4103" s="142"/>
      <c r="H4103" s="141"/>
      <c r="I4103" s="8"/>
    </row>
    <row r="4104" spans="2:9" ht="15" hidden="1" customHeight="1" x14ac:dyDescent="0.25">
      <c r="B4104" s="7"/>
      <c r="C4104" s="140">
        <v>4076</v>
      </c>
      <c r="D4104" s="142"/>
      <c r="E4104" s="142"/>
      <c r="F4104" s="142"/>
      <c r="G4104" s="142"/>
      <c r="H4104" s="141"/>
      <c r="I4104" s="8"/>
    </row>
    <row r="4105" spans="2:9" ht="15" hidden="1" customHeight="1" x14ac:dyDescent="0.25">
      <c r="B4105" s="7"/>
      <c r="C4105" s="140">
        <v>4077</v>
      </c>
      <c r="D4105" s="142"/>
      <c r="E4105" s="142"/>
      <c r="F4105" s="142"/>
      <c r="G4105" s="142"/>
      <c r="H4105" s="141"/>
      <c r="I4105" s="8"/>
    </row>
    <row r="4106" spans="2:9" ht="15" hidden="1" customHeight="1" x14ac:dyDescent="0.25">
      <c r="B4106" s="7"/>
      <c r="C4106" s="140">
        <v>4078</v>
      </c>
      <c r="D4106" s="142"/>
      <c r="E4106" s="142"/>
      <c r="F4106" s="142"/>
      <c r="G4106" s="142"/>
      <c r="H4106" s="141"/>
      <c r="I4106" s="8"/>
    </row>
    <row r="4107" spans="2:9" ht="15" hidden="1" customHeight="1" x14ac:dyDescent="0.25">
      <c r="B4107" s="7"/>
      <c r="C4107" s="140">
        <v>4079</v>
      </c>
      <c r="D4107" s="142"/>
      <c r="E4107" s="142"/>
      <c r="F4107" s="142"/>
      <c r="G4107" s="142"/>
      <c r="H4107" s="141"/>
      <c r="I4107" s="8"/>
    </row>
    <row r="4108" spans="2:9" ht="15" hidden="1" customHeight="1" x14ac:dyDescent="0.25">
      <c r="B4108" s="7"/>
      <c r="C4108" s="140">
        <v>4080</v>
      </c>
      <c r="D4108" s="142"/>
      <c r="E4108" s="142"/>
      <c r="F4108" s="142"/>
      <c r="G4108" s="142"/>
      <c r="H4108" s="141"/>
      <c r="I4108" s="8"/>
    </row>
    <row r="4109" spans="2:9" ht="15" hidden="1" customHeight="1" x14ac:dyDescent="0.25">
      <c r="B4109" s="7"/>
      <c r="C4109" s="140">
        <v>4081</v>
      </c>
      <c r="D4109" s="142"/>
      <c r="E4109" s="142"/>
      <c r="F4109" s="142"/>
      <c r="G4109" s="142"/>
      <c r="H4109" s="141"/>
      <c r="I4109" s="8"/>
    </row>
    <row r="4110" spans="2:9" ht="15" hidden="1" customHeight="1" x14ac:dyDescent="0.25">
      <c r="B4110" s="7"/>
      <c r="C4110" s="140">
        <v>4082</v>
      </c>
      <c r="D4110" s="142"/>
      <c r="E4110" s="142"/>
      <c r="F4110" s="142"/>
      <c r="G4110" s="142"/>
      <c r="H4110" s="141"/>
      <c r="I4110" s="8"/>
    </row>
    <row r="4111" spans="2:9" ht="15" hidden="1" customHeight="1" x14ac:dyDescent="0.25">
      <c r="B4111" s="7"/>
      <c r="C4111" s="140">
        <v>4083</v>
      </c>
      <c r="D4111" s="142"/>
      <c r="E4111" s="142"/>
      <c r="F4111" s="142"/>
      <c r="G4111" s="142"/>
      <c r="H4111" s="141"/>
      <c r="I4111" s="8"/>
    </row>
    <row r="4112" spans="2:9" ht="15" hidden="1" customHeight="1" x14ac:dyDescent="0.25">
      <c r="B4112" s="7"/>
      <c r="C4112" s="140">
        <v>4084</v>
      </c>
      <c r="D4112" s="142"/>
      <c r="E4112" s="142"/>
      <c r="F4112" s="142"/>
      <c r="G4112" s="142"/>
      <c r="H4112" s="141"/>
      <c r="I4112" s="8"/>
    </row>
    <row r="4113" spans="2:9" ht="15" hidden="1" customHeight="1" x14ac:dyDescent="0.25">
      <c r="B4113" s="7"/>
      <c r="C4113" s="140">
        <v>4085</v>
      </c>
      <c r="D4113" s="142"/>
      <c r="E4113" s="142"/>
      <c r="F4113" s="142"/>
      <c r="G4113" s="142"/>
      <c r="H4113" s="141"/>
      <c r="I4113" s="8"/>
    </row>
    <row r="4114" spans="2:9" ht="15" hidden="1" customHeight="1" x14ac:dyDescent="0.25">
      <c r="B4114" s="7"/>
      <c r="C4114" s="140">
        <v>4086</v>
      </c>
      <c r="D4114" s="142"/>
      <c r="E4114" s="142"/>
      <c r="F4114" s="142"/>
      <c r="G4114" s="142"/>
      <c r="H4114" s="141"/>
      <c r="I4114" s="8"/>
    </row>
    <row r="4115" spans="2:9" ht="15" hidden="1" customHeight="1" x14ac:dyDescent="0.25">
      <c r="B4115" s="7"/>
      <c r="C4115" s="140">
        <v>4087</v>
      </c>
      <c r="D4115" s="142"/>
      <c r="E4115" s="142"/>
      <c r="F4115" s="142"/>
      <c r="G4115" s="142"/>
      <c r="H4115" s="141"/>
      <c r="I4115" s="8"/>
    </row>
    <row r="4116" spans="2:9" ht="15" hidden="1" customHeight="1" x14ac:dyDescent="0.25">
      <c r="B4116" s="7"/>
      <c r="C4116" s="140">
        <v>4088</v>
      </c>
      <c r="D4116" s="142"/>
      <c r="E4116" s="142"/>
      <c r="F4116" s="142"/>
      <c r="G4116" s="142"/>
      <c r="H4116" s="141"/>
      <c r="I4116" s="8"/>
    </row>
    <row r="4117" spans="2:9" ht="15" hidden="1" customHeight="1" x14ac:dyDescent="0.25">
      <c r="B4117" s="7"/>
      <c r="C4117" s="140">
        <v>4089</v>
      </c>
      <c r="D4117" s="142"/>
      <c r="E4117" s="142"/>
      <c r="F4117" s="142"/>
      <c r="G4117" s="142"/>
      <c r="H4117" s="141"/>
      <c r="I4117" s="8"/>
    </row>
    <row r="4118" spans="2:9" ht="15" hidden="1" customHeight="1" x14ac:dyDescent="0.25">
      <c r="B4118" s="7"/>
      <c r="C4118" s="140">
        <v>4090</v>
      </c>
      <c r="D4118" s="142"/>
      <c r="E4118" s="142"/>
      <c r="F4118" s="142"/>
      <c r="G4118" s="142"/>
      <c r="H4118" s="141"/>
      <c r="I4118" s="8"/>
    </row>
    <row r="4119" spans="2:9" ht="15" hidden="1" customHeight="1" x14ac:dyDescent="0.25">
      <c r="B4119" s="7"/>
      <c r="C4119" s="140">
        <v>4091</v>
      </c>
      <c r="D4119" s="142"/>
      <c r="E4119" s="142"/>
      <c r="F4119" s="142"/>
      <c r="G4119" s="142"/>
      <c r="H4119" s="141"/>
      <c r="I4119" s="8"/>
    </row>
    <row r="4120" spans="2:9" ht="15" hidden="1" customHeight="1" x14ac:dyDescent="0.25">
      <c r="B4120" s="7"/>
      <c r="C4120" s="140">
        <v>4092</v>
      </c>
      <c r="D4120" s="142"/>
      <c r="E4120" s="142"/>
      <c r="F4120" s="142"/>
      <c r="G4120" s="142"/>
      <c r="H4120" s="141"/>
      <c r="I4120" s="8"/>
    </row>
    <row r="4121" spans="2:9" ht="15" hidden="1" customHeight="1" x14ac:dyDescent="0.25">
      <c r="B4121" s="7"/>
      <c r="C4121" s="140">
        <v>4093</v>
      </c>
      <c r="D4121" s="142"/>
      <c r="E4121" s="142"/>
      <c r="F4121" s="142"/>
      <c r="G4121" s="142"/>
      <c r="H4121" s="141"/>
      <c r="I4121" s="8"/>
    </row>
    <row r="4122" spans="2:9" ht="15" hidden="1" customHeight="1" x14ac:dyDescent="0.25">
      <c r="B4122" s="7"/>
      <c r="C4122" s="140">
        <v>4094</v>
      </c>
      <c r="D4122" s="142"/>
      <c r="E4122" s="142"/>
      <c r="F4122" s="142"/>
      <c r="G4122" s="142"/>
      <c r="H4122" s="141"/>
      <c r="I4122" s="8"/>
    </row>
    <row r="4123" spans="2:9" ht="15" hidden="1" customHeight="1" x14ac:dyDescent="0.25">
      <c r="B4123" s="7"/>
      <c r="C4123" s="140">
        <v>4095</v>
      </c>
      <c r="D4123" s="142"/>
      <c r="E4123" s="142"/>
      <c r="F4123" s="142"/>
      <c r="G4123" s="142"/>
      <c r="H4123" s="141"/>
      <c r="I4123" s="8"/>
    </row>
    <row r="4124" spans="2:9" ht="15" hidden="1" customHeight="1" x14ac:dyDescent="0.25">
      <c r="B4124" s="7"/>
      <c r="C4124" s="140">
        <v>4096</v>
      </c>
      <c r="D4124" s="142"/>
      <c r="E4124" s="142"/>
      <c r="F4124" s="142"/>
      <c r="G4124" s="142"/>
      <c r="H4124" s="141"/>
      <c r="I4124" s="8"/>
    </row>
    <row r="4125" spans="2:9" ht="15" hidden="1" customHeight="1" x14ac:dyDescent="0.25">
      <c r="B4125" s="7"/>
      <c r="C4125" s="140">
        <v>4097</v>
      </c>
      <c r="D4125" s="142"/>
      <c r="E4125" s="142"/>
      <c r="F4125" s="142"/>
      <c r="G4125" s="142"/>
      <c r="H4125" s="141"/>
      <c r="I4125" s="8"/>
    </row>
    <row r="4126" spans="2:9" ht="15" hidden="1" customHeight="1" x14ac:dyDescent="0.25">
      <c r="B4126" s="7"/>
      <c r="C4126" s="140">
        <v>4098</v>
      </c>
      <c r="D4126" s="142"/>
      <c r="E4126" s="142"/>
      <c r="F4126" s="142"/>
      <c r="G4126" s="142"/>
      <c r="H4126" s="141"/>
      <c r="I4126" s="8"/>
    </row>
    <row r="4127" spans="2:9" ht="15" hidden="1" customHeight="1" x14ac:dyDescent="0.25">
      <c r="B4127" s="7"/>
      <c r="C4127" s="140">
        <v>4099</v>
      </c>
      <c r="D4127" s="142"/>
      <c r="E4127" s="142"/>
      <c r="F4127" s="142"/>
      <c r="G4127" s="142"/>
      <c r="H4127" s="141"/>
      <c r="I4127" s="8"/>
    </row>
    <row r="4128" spans="2:9" ht="15" hidden="1" customHeight="1" x14ac:dyDescent="0.25">
      <c r="B4128" s="7"/>
      <c r="C4128" s="140">
        <v>4100</v>
      </c>
      <c r="D4128" s="142"/>
      <c r="E4128" s="142"/>
      <c r="F4128" s="142"/>
      <c r="G4128" s="142"/>
      <c r="H4128" s="141"/>
      <c r="I4128" s="8"/>
    </row>
    <row r="4129" spans="2:9" ht="15" hidden="1" customHeight="1" x14ac:dyDescent="0.25">
      <c r="B4129" s="7"/>
      <c r="C4129" s="140">
        <v>4101</v>
      </c>
      <c r="D4129" s="142"/>
      <c r="E4129" s="142"/>
      <c r="F4129" s="142"/>
      <c r="G4129" s="142"/>
      <c r="H4129" s="141"/>
      <c r="I4129" s="8"/>
    </row>
    <row r="4130" spans="2:9" ht="15" hidden="1" customHeight="1" x14ac:dyDescent="0.25">
      <c r="B4130" s="7"/>
      <c r="C4130" s="140">
        <v>4102</v>
      </c>
      <c r="D4130" s="142"/>
      <c r="E4130" s="142"/>
      <c r="F4130" s="142"/>
      <c r="G4130" s="142"/>
      <c r="H4130" s="141"/>
      <c r="I4130" s="8"/>
    </row>
    <row r="4131" spans="2:9" ht="15" hidden="1" customHeight="1" x14ac:dyDescent="0.25">
      <c r="B4131" s="7"/>
      <c r="C4131" s="140">
        <v>4103</v>
      </c>
      <c r="D4131" s="142"/>
      <c r="E4131" s="142"/>
      <c r="F4131" s="142"/>
      <c r="G4131" s="142"/>
      <c r="H4131" s="141"/>
      <c r="I4131" s="8"/>
    </row>
    <row r="4132" spans="2:9" ht="15" hidden="1" customHeight="1" x14ac:dyDescent="0.25">
      <c r="B4132" s="7"/>
      <c r="C4132" s="140">
        <v>4104</v>
      </c>
      <c r="D4132" s="142"/>
      <c r="E4132" s="142"/>
      <c r="F4132" s="142"/>
      <c r="G4132" s="142"/>
      <c r="H4132" s="141"/>
      <c r="I4132" s="8"/>
    </row>
    <row r="4133" spans="2:9" ht="15" hidden="1" customHeight="1" x14ac:dyDescent="0.25">
      <c r="B4133" s="7"/>
      <c r="C4133" s="140">
        <v>4105</v>
      </c>
      <c r="D4133" s="142"/>
      <c r="E4133" s="142"/>
      <c r="F4133" s="142"/>
      <c r="G4133" s="142"/>
      <c r="H4133" s="141"/>
      <c r="I4133" s="8"/>
    </row>
    <row r="4134" spans="2:9" ht="15" hidden="1" customHeight="1" x14ac:dyDescent="0.25">
      <c r="B4134" s="7"/>
      <c r="C4134" s="140">
        <v>4106</v>
      </c>
      <c r="D4134" s="142"/>
      <c r="E4134" s="142"/>
      <c r="F4134" s="142"/>
      <c r="G4134" s="142"/>
      <c r="H4134" s="141"/>
      <c r="I4134" s="8"/>
    </row>
    <row r="4135" spans="2:9" ht="15" hidden="1" customHeight="1" x14ac:dyDescent="0.25">
      <c r="B4135" s="7"/>
      <c r="C4135" s="140">
        <v>4107</v>
      </c>
      <c r="D4135" s="142"/>
      <c r="E4135" s="142"/>
      <c r="F4135" s="142"/>
      <c r="G4135" s="142"/>
      <c r="H4135" s="141"/>
      <c r="I4135" s="8"/>
    </row>
    <row r="4136" spans="2:9" ht="15" hidden="1" customHeight="1" x14ac:dyDescent="0.25">
      <c r="B4136" s="7"/>
      <c r="C4136" s="140">
        <v>4108</v>
      </c>
      <c r="D4136" s="142"/>
      <c r="E4136" s="142"/>
      <c r="F4136" s="142"/>
      <c r="G4136" s="142"/>
      <c r="H4136" s="141"/>
      <c r="I4136" s="8"/>
    </row>
    <row r="4137" spans="2:9" ht="15" hidden="1" customHeight="1" x14ac:dyDescent="0.25">
      <c r="B4137" s="7"/>
      <c r="C4137" s="140">
        <v>4109</v>
      </c>
      <c r="D4137" s="142"/>
      <c r="E4137" s="142"/>
      <c r="F4137" s="142"/>
      <c r="G4137" s="142"/>
      <c r="H4137" s="141"/>
      <c r="I4137" s="8"/>
    </row>
    <row r="4138" spans="2:9" ht="15" hidden="1" customHeight="1" x14ac:dyDescent="0.25">
      <c r="B4138" s="7"/>
      <c r="C4138" s="140">
        <v>4110</v>
      </c>
      <c r="D4138" s="142"/>
      <c r="E4138" s="142"/>
      <c r="F4138" s="142"/>
      <c r="G4138" s="142"/>
      <c r="H4138" s="141"/>
      <c r="I4138" s="8"/>
    </row>
    <row r="4139" spans="2:9" ht="15" hidden="1" customHeight="1" x14ac:dyDescent="0.25">
      <c r="B4139" s="7"/>
      <c r="C4139" s="140">
        <v>4111</v>
      </c>
      <c r="D4139" s="142"/>
      <c r="E4139" s="142"/>
      <c r="F4139" s="142"/>
      <c r="G4139" s="142"/>
      <c r="H4139" s="141"/>
      <c r="I4139" s="8"/>
    </row>
    <row r="4140" spans="2:9" ht="15" hidden="1" customHeight="1" x14ac:dyDescent="0.25">
      <c r="B4140" s="7"/>
      <c r="C4140" s="140">
        <v>4112</v>
      </c>
      <c r="D4140" s="142"/>
      <c r="E4140" s="142"/>
      <c r="F4140" s="142"/>
      <c r="G4140" s="142"/>
      <c r="H4140" s="141"/>
      <c r="I4140" s="8"/>
    </row>
    <row r="4141" spans="2:9" ht="15" hidden="1" customHeight="1" x14ac:dyDescent="0.25">
      <c r="B4141" s="7"/>
      <c r="C4141" s="140">
        <v>4113</v>
      </c>
      <c r="D4141" s="142"/>
      <c r="E4141" s="142"/>
      <c r="F4141" s="142"/>
      <c r="G4141" s="142"/>
      <c r="H4141" s="141"/>
      <c r="I4141" s="8"/>
    </row>
    <row r="4142" spans="2:9" ht="15" hidden="1" customHeight="1" x14ac:dyDescent="0.25">
      <c r="B4142" s="7"/>
      <c r="C4142" s="140">
        <v>4114</v>
      </c>
      <c r="D4142" s="142"/>
      <c r="E4142" s="142"/>
      <c r="F4142" s="142"/>
      <c r="G4142" s="142"/>
      <c r="H4142" s="141"/>
      <c r="I4142" s="8"/>
    </row>
    <row r="4143" spans="2:9" ht="15" hidden="1" customHeight="1" x14ac:dyDescent="0.25">
      <c r="B4143" s="7"/>
      <c r="C4143" s="140">
        <v>4115</v>
      </c>
      <c r="D4143" s="142"/>
      <c r="E4143" s="142"/>
      <c r="F4143" s="142"/>
      <c r="G4143" s="142"/>
      <c r="H4143" s="141"/>
      <c r="I4143" s="8"/>
    </row>
    <row r="4144" spans="2:9" ht="15" hidden="1" customHeight="1" x14ac:dyDescent="0.25">
      <c r="B4144" s="7"/>
      <c r="C4144" s="140">
        <v>4116</v>
      </c>
      <c r="D4144" s="142"/>
      <c r="E4144" s="142"/>
      <c r="F4144" s="142"/>
      <c r="G4144" s="142"/>
      <c r="H4144" s="141"/>
      <c r="I4144" s="8"/>
    </row>
    <row r="4145" spans="2:9" ht="15" hidden="1" customHeight="1" x14ac:dyDescent="0.25">
      <c r="B4145" s="7"/>
      <c r="C4145" s="140">
        <v>4117</v>
      </c>
      <c r="D4145" s="142"/>
      <c r="E4145" s="142"/>
      <c r="F4145" s="142"/>
      <c r="G4145" s="142"/>
      <c r="H4145" s="141"/>
      <c r="I4145" s="8"/>
    </row>
    <row r="4146" spans="2:9" ht="15" hidden="1" customHeight="1" x14ac:dyDescent="0.25">
      <c r="B4146" s="7"/>
      <c r="C4146" s="140">
        <v>4118</v>
      </c>
      <c r="D4146" s="142"/>
      <c r="E4146" s="142"/>
      <c r="F4146" s="142"/>
      <c r="G4146" s="142"/>
      <c r="H4146" s="141"/>
      <c r="I4146" s="8"/>
    </row>
    <row r="4147" spans="2:9" ht="15" hidden="1" customHeight="1" x14ac:dyDescent="0.25">
      <c r="B4147" s="7"/>
      <c r="C4147" s="140">
        <v>4119</v>
      </c>
      <c r="D4147" s="142"/>
      <c r="E4147" s="142"/>
      <c r="F4147" s="142"/>
      <c r="G4147" s="142"/>
      <c r="H4147" s="141"/>
      <c r="I4147" s="8"/>
    </row>
    <row r="4148" spans="2:9" ht="15" hidden="1" customHeight="1" x14ac:dyDescent="0.25">
      <c r="B4148" s="7"/>
      <c r="C4148" s="140">
        <v>4120</v>
      </c>
      <c r="D4148" s="142"/>
      <c r="E4148" s="142"/>
      <c r="F4148" s="142"/>
      <c r="G4148" s="142"/>
      <c r="H4148" s="141"/>
      <c r="I4148" s="8"/>
    </row>
    <row r="4149" spans="2:9" ht="15" hidden="1" customHeight="1" x14ac:dyDescent="0.25">
      <c r="B4149" s="7"/>
      <c r="C4149" s="140">
        <v>4121</v>
      </c>
      <c r="D4149" s="142"/>
      <c r="E4149" s="142"/>
      <c r="F4149" s="142"/>
      <c r="G4149" s="142"/>
      <c r="H4149" s="141"/>
      <c r="I4149" s="8"/>
    </row>
    <row r="4150" spans="2:9" ht="15" hidden="1" customHeight="1" x14ac:dyDescent="0.25">
      <c r="B4150" s="7"/>
      <c r="C4150" s="140">
        <v>4122</v>
      </c>
      <c r="D4150" s="142"/>
      <c r="E4150" s="142"/>
      <c r="F4150" s="142"/>
      <c r="G4150" s="142"/>
      <c r="H4150" s="141"/>
      <c r="I4150" s="8"/>
    </row>
    <row r="4151" spans="2:9" ht="15" hidden="1" customHeight="1" x14ac:dyDescent="0.25">
      <c r="B4151" s="7"/>
      <c r="C4151" s="140">
        <v>4123</v>
      </c>
      <c r="D4151" s="142"/>
      <c r="E4151" s="142"/>
      <c r="F4151" s="142"/>
      <c r="G4151" s="142"/>
      <c r="H4151" s="141"/>
      <c r="I4151" s="8"/>
    </row>
    <row r="4152" spans="2:9" ht="15" hidden="1" customHeight="1" x14ac:dyDescent="0.25">
      <c r="B4152" s="7"/>
      <c r="C4152" s="140">
        <v>4124</v>
      </c>
      <c r="D4152" s="142"/>
      <c r="E4152" s="142"/>
      <c r="F4152" s="142"/>
      <c r="G4152" s="142"/>
      <c r="H4152" s="141"/>
      <c r="I4152" s="8"/>
    </row>
    <row r="4153" spans="2:9" ht="15" hidden="1" customHeight="1" x14ac:dyDescent="0.25">
      <c r="B4153" s="7"/>
      <c r="C4153" s="140">
        <v>4125</v>
      </c>
      <c r="D4153" s="142"/>
      <c r="E4153" s="142"/>
      <c r="F4153" s="142"/>
      <c r="G4153" s="142"/>
      <c r="H4153" s="141"/>
      <c r="I4153" s="8"/>
    </row>
    <row r="4154" spans="2:9" ht="15" hidden="1" customHeight="1" x14ac:dyDescent="0.25">
      <c r="B4154" s="7"/>
      <c r="C4154" s="140">
        <v>4126</v>
      </c>
      <c r="D4154" s="142"/>
      <c r="E4154" s="142"/>
      <c r="F4154" s="142"/>
      <c r="G4154" s="142"/>
      <c r="H4154" s="141"/>
      <c r="I4154" s="8"/>
    </row>
    <row r="4155" spans="2:9" ht="15" hidden="1" customHeight="1" x14ac:dyDescent="0.25">
      <c r="B4155" s="7"/>
      <c r="C4155" s="140">
        <v>4127</v>
      </c>
      <c r="D4155" s="142"/>
      <c r="E4155" s="142"/>
      <c r="F4155" s="142"/>
      <c r="G4155" s="142"/>
      <c r="H4155" s="141"/>
      <c r="I4155" s="8"/>
    </row>
    <row r="4156" spans="2:9" ht="15" hidden="1" customHeight="1" x14ac:dyDescent="0.25">
      <c r="B4156" s="7"/>
      <c r="C4156" s="140">
        <v>4128</v>
      </c>
      <c r="D4156" s="142"/>
      <c r="E4156" s="142"/>
      <c r="F4156" s="142"/>
      <c r="G4156" s="142"/>
      <c r="H4156" s="141"/>
      <c r="I4156" s="8"/>
    </row>
    <row r="4157" spans="2:9" ht="15" hidden="1" customHeight="1" x14ac:dyDescent="0.25">
      <c r="B4157" s="7"/>
      <c r="C4157" s="140">
        <v>4129</v>
      </c>
      <c r="D4157" s="142"/>
      <c r="E4157" s="142"/>
      <c r="F4157" s="142"/>
      <c r="G4157" s="142"/>
      <c r="H4157" s="141"/>
      <c r="I4157" s="8"/>
    </row>
    <row r="4158" spans="2:9" ht="15" hidden="1" customHeight="1" x14ac:dyDescent="0.25">
      <c r="B4158" s="7"/>
      <c r="C4158" s="140">
        <v>4130</v>
      </c>
      <c r="D4158" s="142"/>
      <c r="E4158" s="142"/>
      <c r="F4158" s="142"/>
      <c r="G4158" s="142"/>
      <c r="H4158" s="141"/>
      <c r="I4158" s="8"/>
    </row>
    <row r="4159" spans="2:9" ht="15" hidden="1" customHeight="1" x14ac:dyDescent="0.25">
      <c r="B4159" s="7"/>
      <c r="C4159" s="140">
        <v>4131</v>
      </c>
      <c r="D4159" s="142"/>
      <c r="E4159" s="142"/>
      <c r="F4159" s="142"/>
      <c r="G4159" s="142"/>
      <c r="H4159" s="141"/>
      <c r="I4159" s="8"/>
    </row>
    <row r="4160" spans="2:9" ht="15" hidden="1" customHeight="1" x14ac:dyDescent="0.25">
      <c r="B4160" s="7"/>
      <c r="C4160" s="140">
        <v>4132</v>
      </c>
      <c r="D4160" s="142"/>
      <c r="E4160" s="142"/>
      <c r="F4160" s="142"/>
      <c r="G4160" s="142"/>
      <c r="H4160" s="141"/>
      <c r="I4160" s="8"/>
    </row>
    <row r="4161" spans="2:9" ht="15" hidden="1" customHeight="1" x14ac:dyDescent="0.25">
      <c r="B4161" s="7"/>
      <c r="C4161" s="140">
        <v>4133</v>
      </c>
      <c r="D4161" s="142"/>
      <c r="E4161" s="142"/>
      <c r="F4161" s="142"/>
      <c r="G4161" s="142"/>
      <c r="H4161" s="141"/>
      <c r="I4161" s="8"/>
    </row>
    <row r="4162" spans="2:9" ht="15" hidden="1" customHeight="1" x14ac:dyDescent="0.25">
      <c r="B4162" s="7"/>
      <c r="C4162" s="140">
        <v>4134</v>
      </c>
      <c r="D4162" s="142"/>
      <c r="E4162" s="142"/>
      <c r="F4162" s="142"/>
      <c r="G4162" s="142"/>
      <c r="H4162" s="141"/>
      <c r="I4162" s="8"/>
    </row>
    <row r="4163" spans="2:9" ht="15" hidden="1" customHeight="1" x14ac:dyDescent="0.25">
      <c r="B4163" s="7"/>
      <c r="C4163" s="140">
        <v>4135</v>
      </c>
      <c r="D4163" s="142"/>
      <c r="E4163" s="142"/>
      <c r="F4163" s="142"/>
      <c r="G4163" s="142"/>
      <c r="H4163" s="141"/>
      <c r="I4163" s="8"/>
    </row>
    <row r="4164" spans="2:9" ht="15" hidden="1" customHeight="1" x14ac:dyDescent="0.25">
      <c r="B4164" s="7"/>
      <c r="C4164" s="140">
        <v>4136</v>
      </c>
      <c r="D4164" s="142"/>
      <c r="E4164" s="142"/>
      <c r="F4164" s="142"/>
      <c r="G4164" s="142"/>
      <c r="H4164" s="141"/>
      <c r="I4164" s="8"/>
    </row>
    <row r="4165" spans="2:9" ht="15" hidden="1" customHeight="1" x14ac:dyDescent="0.25">
      <c r="B4165" s="7"/>
      <c r="C4165" s="140">
        <v>4137</v>
      </c>
      <c r="D4165" s="142"/>
      <c r="E4165" s="142"/>
      <c r="F4165" s="142"/>
      <c r="G4165" s="142"/>
      <c r="H4165" s="141"/>
      <c r="I4165" s="8"/>
    </row>
    <row r="4166" spans="2:9" ht="15" hidden="1" customHeight="1" x14ac:dyDescent="0.25">
      <c r="B4166" s="7"/>
      <c r="C4166" s="140">
        <v>4138</v>
      </c>
      <c r="D4166" s="142"/>
      <c r="E4166" s="142"/>
      <c r="F4166" s="142"/>
      <c r="G4166" s="142"/>
      <c r="H4166" s="141"/>
      <c r="I4166" s="8"/>
    </row>
    <row r="4167" spans="2:9" ht="15" hidden="1" customHeight="1" x14ac:dyDescent="0.25">
      <c r="B4167" s="7"/>
      <c r="C4167" s="140">
        <v>4139</v>
      </c>
      <c r="D4167" s="142"/>
      <c r="E4167" s="142"/>
      <c r="F4167" s="142"/>
      <c r="G4167" s="142"/>
      <c r="H4167" s="141"/>
      <c r="I4167" s="8"/>
    </row>
    <row r="4168" spans="2:9" ht="15" hidden="1" customHeight="1" x14ac:dyDescent="0.25">
      <c r="B4168" s="7"/>
      <c r="C4168" s="140">
        <v>4140</v>
      </c>
      <c r="D4168" s="142"/>
      <c r="E4168" s="142"/>
      <c r="F4168" s="142"/>
      <c r="G4168" s="142"/>
      <c r="H4168" s="141"/>
      <c r="I4168" s="8"/>
    </row>
    <row r="4169" spans="2:9" ht="15" hidden="1" customHeight="1" x14ac:dyDescent="0.25">
      <c r="B4169" s="7"/>
      <c r="C4169" s="140">
        <v>4141</v>
      </c>
      <c r="D4169" s="142"/>
      <c r="E4169" s="142"/>
      <c r="F4169" s="142"/>
      <c r="G4169" s="142"/>
      <c r="H4169" s="141"/>
      <c r="I4169" s="8"/>
    </row>
    <row r="4170" spans="2:9" ht="15" hidden="1" customHeight="1" x14ac:dyDescent="0.25">
      <c r="B4170" s="7"/>
      <c r="C4170" s="140">
        <v>4142</v>
      </c>
      <c r="D4170" s="142"/>
      <c r="E4170" s="142"/>
      <c r="F4170" s="142"/>
      <c r="G4170" s="142"/>
      <c r="H4170" s="141"/>
      <c r="I4170" s="8"/>
    </row>
    <row r="4171" spans="2:9" ht="15" hidden="1" customHeight="1" x14ac:dyDescent="0.25">
      <c r="B4171" s="7"/>
      <c r="C4171" s="140">
        <v>4143</v>
      </c>
      <c r="D4171" s="142"/>
      <c r="E4171" s="142"/>
      <c r="F4171" s="142"/>
      <c r="G4171" s="142"/>
      <c r="H4171" s="141"/>
      <c r="I4171" s="8"/>
    </row>
    <row r="4172" spans="2:9" ht="15" hidden="1" customHeight="1" x14ac:dyDescent="0.25">
      <c r="B4172" s="7"/>
      <c r="C4172" s="140">
        <v>4144</v>
      </c>
      <c r="D4172" s="142"/>
      <c r="E4172" s="142"/>
      <c r="F4172" s="142"/>
      <c r="G4172" s="142"/>
      <c r="H4172" s="141"/>
      <c r="I4172" s="8"/>
    </row>
    <row r="4173" spans="2:9" ht="15" hidden="1" customHeight="1" x14ac:dyDescent="0.25">
      <c r="B4173" s="7"/>
      <c r="C4173" s="140">
        <v>4145</v>
      </c>
      <c r="D4173" s="142"/>
      <c r="E4173" s="142"/>
      <c r="F4173" s="142"/>
      <c r="G4173" s="142"/>
      <c r="H4173" s="141"/>
      <c r="I4173" s="8"/>
    </row>
    <row r="4174" spans="2:9" ht="15" hidden="1" customHeight="1" x14ac:dyDescent="0.25">
      <c r="B4174" s="7"/>
      <c r="C4174" s="140">
        <v>4146</v>
      </c>
      <c r="D4174" s="142"/>
      <c r="E4174" s="142"/>
      <c r="F4174" s="142"/>
      <c r="G4174" s="142"/>
      <c r="H4174" s="141"/>
      <c r="I4174" s="8"/>
    </row>
    <row r="4175" spans="2:9" ht="15" hidden="1" customHeight="1" x14ac:dyDescent="0.25">
      <c r="B4175" s="7"/>
      <c r="C4175" s="140">
        <v>4147</v>
      </c>
      <c r="D4175" s="142"/>
      <c r="E4175" s="142"/>
      <c r="F4175" s="142"/>
      <c r="G4175" s="142"/>
      <c r="H4175" s="141"/>
      <c r="I4175" s="8"/>
    </row>
    <row r="4176" spans="2:9" ht="15" hidden="1" customHeight="1" x14ac:dyDescent="0.25">
      <c r="B4176" s="7"/>
      <c r="C4176" s="140">
        <v>4148</v>
      </c>
      <c r="D4176" s="142"/>
      <c r="E4176" s="142"/>
      <c r="F4176" s="142"/>
      <c r="G4176" s="142"/>
      <c r="H4176" s="141"/>
      <c r="I4176" s="8"/>
    </row>
    <row r="4177" spans="2:9" ht="15" hidden="1" customHeight="1" x14ac:dyDescent="0.25">
      <c r="B4177" s="7"/>
      <c r="C4177" s="140">
        <v>4149</v>
      </c>
      <c r="D4177" s="142"/>
      <c r="E4177" s="142"/>
      <c r="F4177" s="142"/>
      <c r="G4177" s="142"/>
      <c r="H4177" s="141"/>
      <c r="I4177" s="8"/>
    </row>
    <row r="4178" spans="2:9" ht="15" hidden="1" customHeight="1" x14ac:dyDescent="0.25">
      <c r="B4178" s="7"/>
      <c r="C4178" s="140">
        <v>4150</v>
      </c>
      <c r="D4178" s="142"/>
      <c r="E4178" s="142"/>
      <c r="F4178" s="142"/>
      <c r="G4178" s="142"/>
      <c r="H4178" s="141"/>
      <c r="I4178" s="8"/>
    </row>
    <row r="4179" spans="2:9" ht="15" hidden="1" customHeight="1" x14ac:dyDescent="0.25">
      <c r="B4179" s="7"/>
      <c r="C4179" s="140">
        <v>4151</v>
      </c>
      <c r="D4179" s="142"/>
      <c r="E4179" s="142"/>
      <c r="F4179" s="142"/>
      <c r="G4179" s="142"/>
      <c r="H4179" s="141"/>
      <c r="I4179" s="8"/>
    </row>
    <row r="4180" spans="2:9" ht="15" hidden="1" customHeight="1" x14ac:dyDescent="0.25">
      <c r="B4180" s="7"/>
      <c r="C4180" s="140">
        <v>4152</v>
      </c>
      <c r="D4180" s="142"/>
      <c r="E4180" s="142"/>
      <c r="F4180" s="142"/>
      <c r="G4180" s="142"/>
      <c r="H4180" s="141"/>
      <c r="I4180" s="8"/>
    </row>
    <row r="4181" spans="2:9" ht="15" hidden="1" customHeight="1" x14ac:dyDescent="0.25">
      <c r="B4181" s="7"/>
      <c r="C4181" s="140">
        <v>4153</v>
      </c>
      <c r="D4181" s="142"/>
      <c r="E4181" s="142"/>
      <c r="F4181" s="142"/>
      <c r="G4181" s="142"/>
      <c r="H4181" s="141"/>
      <c r="I4181" s="8"/>
    </row>
    <row r="4182" spans="2:9" ht="15" hidden="1" customHeight="1" x14ac:dyDescent="0.25">
      <c r="B4182" s="7"/>
      <c r="C4182" s="140">
        <v>4154</v>
      </c>
      <c r="D4182" s="142"/>
      <c r="E4182" s="142"/>
      <c r="F4182" s="142"/>
      <c r="G4182" s="142"/>
      <c r="H4182" s="141"/>
      <c r="I4182" s="8"/>
    </row>
    <row r="4183" spans="2:9" ht="15" hidden="1" customHeight="1" x14ac:dyDescent="0.25">
      <c r="B4183" s="7"/>
      <c r="C4183" s="140">
        <v>4155</v>
      </c>
      <c r="D4183" s="142"/>
      <c r="E4183" s="142"/>
      <c r="F4183" s="142"/>
      <c r="G4183" s="142"/>
      <c r="H4183" s="141"/>
      <c r="I4183" s="8"/>
    </row>
    <row r="4184" spans="2:9" ht="15" hidden="1" customHeight="1" x14ac:dyDescent="0.25">
      <c r="B4184" s="7"/>
      <c r="C4184" s="140">
        <v>4156</v>
      </c>
      <c r="D4184" s="142"/>
      <c r="E4184" s="142"/>
      <c r="F4184" s="142"/>
      <c r="G4184" s="142"/>
      <c r="H4184" s="141"/>
      <c r="I4184" s="8"/>
    </row>
    <row r="4185" spans="2:9" ht="15" hidden="1" customHeight="1" x14ac:dyDescent="0.25">
      <c r="B4185" s="7"/>
      <c r="C4185" s="140">
        <v>4157</v>
      </c>
      <c r="D4185" s="142"/>
      <c r="E4185" s="142"/>
      <c r="F4185" s="142"/>
      <c r="G4185" s="142"/>
      <c r="H4185" s="141"/>
      <c r="I4185" s="8"/>
    </row>
    <row r="4186" spans="2:9" ht="15" hidden="1" customHeight="1" x14ac:dyDescent="0.25">
      <c r="B4186" s="7"/>
      <c r="C4186" s="140">
        <v>4158</v>
      </c>
      <c r="D4186" s="142"/>
      <c r="E4186" s="142"/>
      <c r="F4186" s="142"/>
      <c r="G4186" s="142"/>
      <c r="H4186" s="141"/>
      <c r="I4186" s="8"/>
    </row>
    <row r="4187" spans="2:9" ht="15" hidden="1" customHeight="1" x14ac:dyDescent="0.25">
      <c r="B4187" s="7"/>
      <c r="C4187" s="140">
        <v>4159</v>
      </c>
      <c r="D4187" s="142"/>
      <c r="E4187" s="142"/>
      <c r="F4187" s="142"/>
      <c r="G4187" s="142"/>
      <c r="H4187" s="141"/>
      <c r="I4187" s="8"/>
    </row>
    <row r="4188" spans="2:9" ht="15" hidden="1" customHeight="1" x14ac:dyDescent="0.25">
      <c r="B4188" s="7"/>
      <c r="C4188" s="140">
        <v>4160</v>
      </c>
      <c r="D4188" s="142"/>
      <c r="E4188" s="142"/>
      <c r="F4188" s="142"/>
      <c r="G4188" s="142"/>
      <c r="H4188" s="141"/>
      <c r="I4188" s="8"/>
    </row>
    <row r="4189" spans="2:9" ht="15" hidden="1" customHeight="1" x14ac:dyDescent="0.25">
      <c r="B4189" s="7"/>
      <c r="C4189" s="140">
        <v>4161</v>
      </c>
      <c r="D4189" s="142"/>
      <c r="E4189" s="142"/>
      <c r="F4189" s="142"/>
      <c r="G4189" s="142"/>
      <c r="H4189" s="141"/>
      <c r="I4189" s="8"/>
    </row>
    <row r="4190" spans="2:9" ht="15" hidden="1" customHeight="1" x14ac:dyDescent="0.25">
      <c r="B4190" s="7"/>
      <c r="C4190" s="140">
        <v>4162</v>
      </c>
      <c r="D4190" s="142"/>
      <c r="E4190" s="142"/>
      <c r="F4190" s="142"/>
      <c r="G4190" s="142"/>
      <c r="H4190" s="141"/>
      <c r="I4190" s="8"/>
    </row>
    <row r="4191" spans="2:9" ht="15" hidden="1" customHeight="1" x14ac:dyDescent="0.25">
      <c r="B4191" s="7"/>
      <c r="C4191" s="140">
        <v>4163</v>
      </c>
      <c r="D4191" s="142"/>
      <c r="E4191" s="142"/>
      <c r="F4191" s="142"/>
      <c r="G4191" s="142"/>
      <c r="H4191" s="141"/>
      <c r="I4191" s="8"/>
    </row>
    <row r="4192" spans="2:9" ht="15" hidden="1" customHeight="1" x14ac:dyDescent="0.25">
      <c r="B4192" s="7"/>
      <c r="C4192" s="140">
        <v>4164</v>
      </c>
      <c r="D4192" s="142"/>
      <c r="E4192" s="142"/>
      <c r="F4192" s="142"/>
      <c r="G4192" s="142"/>
      <c r="H4192" s="141"/>
      <c r="I4192" s="8"/>
    </row>
    <row r="4193" spans="2:9" ht="15" hidden="1" customHeight="1" x14ac:dyDescent="0.25">
      <c r="B4193" s="7"/>
      <c r="C4193" s="140">
        <v>4165</v>
      </c>
      <c r="D4193" s="142"/>
      <c r="E4193" s="142"/>
      <c r="F4193" s="142"/>
      <c r="G4193" s="142"/>
      <c r="H4193" s="141"/>
      <c r="I4193" s="8"/>
    </row>
    <row r="4194" spans="2:9" ht="15" hidden="1" customHeight="1" x14ac:dyDescent="0.25">
      <c r="B4194" s="7"/>
      <c r="C4194" s="140">
        <v>4166</v>
      </c>
      <c r="D4194" s="142"/>
      <c r="E4194" s="142"/>
      <c r="F4194" s="142"/>
      <c r="G4194" s="142"/>
      <c r="H4194" s="141"/>
      <c r="I4194" s="8"/>
    </row>
    <row r="4195" spans="2:9" ht="15" hidden="1" customHeight="1" x14ac:dyDescent="0.25">
      <c r="B4195" s="7"/>
      <c r="C4195" s="140">
        <v>4167</v>
      </c>
      <c r="D4195" s="142"/>
      <c r="E4195" s="142"/>
      <c r="F4195" s="142"/>
      <c r="G4195" s="142"/>
      <c r="H4195" s="141"/>
      <c r="I4195" s="8"/>
    </row>
    <row r="4196" spans="2:9" ht="15" hidden="1" customHeight="1" x14ac:dyDescent="0.25">
      <c r="B4196" s="7"/>
      <c r="C4196" s="140">
        <v>4168</v>
      </c>
      <c r="D4196" s="142"/>
      <c r="E4196" s="142"/>
      <c r="F4196" s="142"/>
      <c r="G4196" s="142"/>
      <c r="H4196" s="141"/>
      <c r="I4196" s="8"/>
    </row>
    <row r="4197" spans="2:9" ht="15" hidden="1" customHeight="1" x14ac:dyDescent="0.25">
      <c r="B4197" s="7"/>
      <c r="C4197" s="140">
        <v>4169</v>
      </c>
      <c r="D4197" s="142"/>
      <c r="E4197" s="142"/>
      <c r="F4197" s="142"/>
      <c r="G4197" s="142"/>
      <c r="H4197" s="141"/>
      <c r="I4197" s="8"/>
    </row>
    <row r="4198" spans="2:9" ht="15" hidden="1" customHeight="1" x14ac:dyDescent="0.25">
      <c r="B4198" s="7"/>
      <c r="C4198" s="140">
        <v>4170</v>
      </c>
      <c r="D4198" s="142"/>
      <c r="E4198" s="142"/>
      <c r="F4198" s="142"/>
      <c r="G4198" s="142"/>
      <c r="H4198" s="141"/>
      <c r="I4198" s="8"/>
    </row>
    <row r="4199" spans="2:9" ht="15" hidden="1" customHeight="1" x14ac:dyDescent="0.25">
      <c r="B4199" s="7"/>
      <c r="C4199" s="140">
        <v>4171</v>
      </c>
      <c r="D4199" s="142"/>
      <c r="E4199" s="142"/>
      <c r="F4199" s="142"/>
      <c r="G4199" s="142"/>
      <c r="H4199" s="141"/>
      <c r="I4199" s="8"/>
    </row>
    <row r="4200" spans="2:9" ht="15" hidden="1" customHeight="1" x14ac:dyDescent="0.25">
      <c r="B4200" s="7"/>
      <c r="C4200" s="140">
        <v>4172</v>
      </c>
      <c r="D4200" s="142"/>
      <c r="E4200" s="142"/>
      <c r="F4200" s="142"/>
      <c r="G4200" s="142"/>
      <c r="H4200" s="141"/>
      <c r="I4200" s="8"/>
    </row>
    <row r="4201" spans="2:9" ht="15" hidden="1" customHeight="1" x14ac:dyDescent="0.25">
      <c r="B4201" s="7"/>
      <c r="C4201" s="140">
        <v>4173</v>
      </c>
      <c r="D4201" s="142"/>
      <c r="E4201" s="142"/>
      <c r="F4201" s="142"/>
      <c r="G4201" s="142"/>
      <c r="H4201" s="141"/>
      <c r="I4201" s="8"/>
    </row>
    <row r="4202" spans="2:9" ht="15" hidden="1" customHeight="1" x14ac:dyDescent="0.25">
      <c r="B4202" s="7"/>
      <c r="C4202" s="140">
        <v>4174</v>
      </c>
      <c r="D4202" s="142"/>
      <c r="E4202" s="142"/>
      <c r="F4202" s="142"/>
      <c r="G4202" s="142"/>
      <c r="H4202" s="141"/>
      <c r="I4202" s="8"/>
    </row>
    <row r="4203" spans="2:9" ht="15" hidden="1" customHeight="1" x14ac:dyDescent="0.25">
      <c r="B4203" s="7"/>
      <c r="C4203" s="140">
        <v>4175</v>
      </c>
      <c r="D4203" s="142"/>
      <c r="E4203" s="142"/>
      <c r="F4203" s="142"/>
      <c r="G4203" s="142"/>
      <c r="H4203" s="141"/>
      <c r="I4203" s="8"/>
    </row>
    <row r="4204" spans="2:9" ht="15" hidden="1" customHeight="1" x14ac:dyDescent="0.25">
      <c r="B4204" s="7"/>
      <c r="C4204" s="140">
        <v>4176</v>
      </c>
      <c r="D4204" s="142"/>
      <c r="E4204" s="142"/>
      <c r="F4204" s="142"/>
      <c r="G4204" s="142"/>
      <c r="H4204" s="141"/>
      <c r="I4204" s="8"/>
    </row>
    <row r="4205" spans="2:9" ht="15" hidden="1" customHeight="1" x14ac:dyDescent="0.25">
      <c r="B4205" s="7"/>
      <c r="C4205" s="140">
        <v>4177</v>
      </c>
      <c r="D4205" s="142"/>
      <c r="E4205" s="142"/>
      <c r="F4205" s="142"/>
      <c r="G4205" s="142"/>
      <c r="H4205" s="141"/>
      <c r="I4205" s="8"/>
    </row>
    <row r="4206" spans="2:9" ht="15" hidden="1" customHeight="1" x14ac:dyDescent="0.25">
      <c r="B4206" s="7"/>
      <c r="C4206" s="140">
        <v>4178</v>
      </c>
      <c r="D4206" s="142"/>
      <c r="E4206" s="142"/>
      <c r="F4206" s="142"/>
      <c r="G4206" s="142"/>
      <c r="H4206" s="141"/>
      <c r="I4206" s="8"/>
    </row>
    <row r="4207" spans="2:9" ht="15" hidden="1" customHeight="1" x14ac:dyDescent="0.25">
      <c r="B4207" s="7"/>
      <c r="C4207" s="140">
        <v>4179</v>
      </c>
      <c r="D4207" s="142"/>
      <c r="E4207" s="142"/>
      <c r="F4207" s="142"/>
      <c r="G4207" s="142"/>
      <c r="H4207" s="141"/>
      <c r="I4207" s="8"/>
    </row>
    <row r="4208" spans="2:9" ht="15" hidden="1" customHeight="1" x14ac:dyDescent="0.25">
      <c r="B4208" s="7"/>
      <c r="C4208" s="140">
        <v>4180</v>
      </c>
      <c r="D4208" s="142"/>
      <c r="E4208" s="142"/>
      <c r="F4208" s="142"/>
      <c r="G4208" s="142"/>
      <c r="H4208" s="141"/>
      <c r="I4208" s="8"/>
    </row>
    <row r="4209" spans="2:9" ht="15" hidden="1" customHeight="1" x14ac:dyDescent="0.25">
      <c r="B4209" s="7"/>
      <c r="C4209" s="140">
        <v>4181</v>
      </c>
      <c r="D4209" s="142"/>
      <c r="E4209" s="142"/>
      <c r="F4209" s="142"/>
      <c r="G4209" s="142"/>
      <c r="H4209" s="141"/>
      <c r="I4209" s="8"/>
    </row>
    <row r="4210" spans="2:9" ht="15" hidden="1" customHeight="1" x14ac:dyDescent="0.25">
      <c r="B4210" s="7"/>
      <c r="C4210" s="140">
        <v>4182</v>
      </c>
      <c r="D4210" s="142"/>
      <c r="E4210" s="142"/>
      <c r="F4210" s="142"/>
      <c r="G4210" s="142"/>
      <c r="H4210" s="141"/>
      <c r="I4210" s="8"/>
    </row>
    <row r="4211" spans="2:9" ht="15" hidden="1" customHeight="1" x14ac:dyDescent="0.25">
      <c r="B4211" s="7"/>
      <c r="C4211" s="140">
        <v>4183</v>
      </c>
      <c r="D4211" s="142"/>
      <c r="E4211" s="142"/>
      <c r="F4211" s="142"/>
      <c r="G4211" s="142"/>
      <c r="H4211" s="141"/>
      <c r="I4211" s="8"/>
    </row>
    <row r="4212" spans="2:9" ht="15" hidden="1" customHeight="1" x14ac:dyDescent="0.25">
      <c r="B4212" s="7"/>
      <c r="C4212" s="140">
        <v>4184</v>
      </c>
      <c r="D4212" s="142"/>
      <c r="E4212" s="142"/>
      <c r="F4212" s="142"/>
      <c r="G4212" s="142"/>
      <c r="H4212" s="141"/>
      <c r="I4212" s="8"/>
    </row>
    <row r="4213" spans="2:9" ht="15" hidden="1" customHeight="1" x14ac:dyDescent="0.25">
      <c r="B4213" s="7"/>
      <c r="C4213" s="140">
        <v>4185</v>
      </c>
      <c r="D4213" s="142"/>
      <c r="E4213" s="142"/>
      <c r="F4213" s="142"/>
      <c r="G4213" s="142"/>
      <c r="H4213" s="141"/>
      <c r="I4213" s="8"/>
    </row>
    <row r="4214" spans="2:9" ht="15" hidden="1" customHeight="1" x14ac:dyDescent="0.25">
      <c r="B4214" s="7"/>
      <c r="C4214" s="140">
        <v>4186</v>
      </c>
      <c r="D4214" s="142"/>
      <c r="E4214" s="142"/>
      <c r="F4214" s="142"/>
      <c r="G4214" s="142"/>
      <c r="H4214" s="141"/>
      <c r="I4214" s="8"/>
    </row>
    <row r="4215" spans="2:9" ht="15" hidden="1" customHeight="1" x14ac:dyDescent="0.25">
      <c r="B4215" s="7"/>
      <c r="C4215" s="140">
        <v>4187</v>
      </c>
      <c r="D4215" s="142"/>
      <c r="E4215" s="142"/>
      <c r="F4215" s="142"/>
      <c r="G4215" s="142"/>
      <c r="H4215" s="141"/>
      <c r="I4215" s="8"/>
    </row>
    <row r="4216" spans="2:9" ht="15" hidden="1" customHeight="1" x14ac:dyDescent="0.25">
      <c r="B4216" s="7"/>
      <c r="C4216" s="140">
        <v>4188</v>
      </c>
      <c r="D4216" s="142"/>
      <c r="E4216" s="142"/>
      <c r="F4216" s="142"/>
      <c r="G4216" s="142"/>
      <c r="H4216" s="141"/>
      <c r="I4216" s="8"/>
    </row>
    <row r="4217" spans="2:9" ht="15" hidden="1" customHeight="1" x14ac:dyDescent="0.25">
      <c r="B4217" s="7"/>
      <c r="C4217" s="140">
        <v>4189</v>
      </c>
      <c r="D4217" s="142"/>
      <c r="E4217" s="142"/>
      <c r="F4217" s="142"/>
      <c r="G4217" s="142"/>
      <c r="H4217" s="141"/>
      <c r="I4217" s="8"/>
    </row>
    <row r="4218" spans="2:9" ht="15" hidden="1" customHeight="1" x14ac:dyDescent="0.25">
      <c r="B4218" s="7"/>
      <c r="C4218" s="140">
        <v>4190</v>
      </c>
      <c r="D4218" s="142"/>
      <c r="E4218" s="142"/>
      <c r="F4218" s="142"/>
      <c r="G4218" s="142"/>
      <c r="H4218" s="141"/>
      <c r="I4218" s="8"/>
    </row>
    <row r="4219" spans="2:9" ht="15" hidden="1" customHeight="1" x14ac:dyDescent="0.25">
      <c r="B4219" s="7"/>
      <c r="C4219" s="140">
        <v>4191</v>
      </c>
      <c r="D4219" s="142"/>
      <c r="E4219" s="142"/>
      <c r="F4219" s="142"/>
      <c r="G4219" s="142"/>
      <c r="H4219" s="141"/>
      <c r="I4219" s="8"/>
    </row>
    <row r="4220" spans="2:9" ht="15" hidden="1" customHeight="1" x14ac:dyDescent="0.25">
      <c r="B4220" s="7"/>
      <c r="C4220" s="140">
        <v>4192</v>
      </c>
      <c r="D4220" s="142"/>
      <c r="E4220" s="142"/>
      <c r="F4220" s="142"/>
      <c r="G4220" s="142"/>
      <c r="H4220" s="141"/>
      <c r="I4220" s="8"/>
    </row>
    <row r="4221" spans="2:9" ht="15" hidden="1" customHeight="1" x14ac:dyDescent="0.25">
      <c r="B4221" s="7"/>
      <c r="C4221" s="140">
        <v>4193</v>
      </c>
      <c r="D4221" s="142"/>
      <c r="E4221" s="142"/>
      <c r="F4221" s="142"/>
      <c r="G4221" s="142"/>
      <c r="H4221" s="141"/>
      <c r="I4221" s="8"/>
    </row>
    <row r="4222" spans="2:9" ht="15" hidden="1" customHeight="1" x14ac:dyDescent="0.25">
      <c r="B4222" s="7"/>
      <c r="C4222" s="140">
        <v>4194</v>
      </c>
      <c r="D4222" s="142"/>
      <c r="E4222" s="142"/>
      <c r="F4222" s="142"/>
      <c r="G4222" s="142"/>
      <c r="H4222" s="141"/>
      <c r="I4222" s="8"/>
    </row>
    <row r="4223" spans="2:9" ht="15" hidden="1" customHeight="1" x14ac:dyDescent="0.25">
      <c r="B4223" s="7"/>
      <c r="C4223" s="140">
        <v>4195</v>
      </c>
      <c r="D4223" s="142"/>
      <c r="E4223" s="142"/>
      <c r="F4223" s="142"/>
      <c r="G4223" s="142"/>
      <c r="H4223" s="141"/>
      <c r="I4223" s="8"/>
    </row>
    <row r="4224" spans="2:9" ht="15" hidden="1" customHeight="1" x14ac:dyDescent="0.25">
      <c r="B4224" s="7"/>
      <c r="C4224" s="140">
        <v>4196</v>
      </c>
      <c r="D4224" s="142"/>
      <c r="E4224" s="142"/>
      <c r="F4224" s="142"/>
      <c r="G4224" s="142"/>
      <c r="H4224" s="141"/>
      <c r="I4224" s="8"/>
    </row>
    <row r="4225" spans="2:9" ht="15" hidden="1" customHeight="1" x14ac:dyDescent="0.25">
      <c r="B4225" s="7"/>
      <c r="C4225" s="140">
        <v>4197</v>
      </c>
      <c r="D4225" s="142"/>
      <c r="E4225" s="142"/>
      <c r="F4225" s="142"/>
      <c r="G4225" s="142"/>
      <c r="H4225" s="141"/>
      <c r="I4225" s="8"/>
    </row>
    <row r="4226" spans="2:9" ht="15" hidden="1" customHeight="1" x14ac:dyDescent="0.25">
      <c r="B4226" s="7"/>
      <c r="C4226" s="140">
        <v>4198</v>
      </c>
      <c r="D4226" s="142"/>
      <c r="E4226" s="142"/>
      <c r="F4226" s="142"/>
      <c r="G4226" s="142"/>
      <c r="H4226" s="141"/>
      <c r="I4226" s="8"/>
    </row>
    <row r="4227" spans="2:9" ht="15" hidden="1" customHeight="1" x14ac:dyDescent="0.25">
      <c r="B4227" s="7"/>
      <c r="C4227" s="140">
        <v>4199</v>
      </c>
      <c r="D4227" s="142"/>
      <c r="E4227" s="142"/>
      <c r="F4227" s="142"/>
      <c r="G4227" s="142"/>
      <c r="H4227" s="141"/>
      <c r="I4227" s="8"/>
    </row>
    <row r="4228" spans="2:9" ht="15" hidden="1" customHeight="1" x14ac:dyDescent="0.25">
      <c r="B4228" s="7"/>
      <c r="C4228" s="140">
        <v>4200</v>
      </c>
      <c r="D4228" s="142"/>
      <c r="E4228" s="142"/>
      <c r="F4228" s="142"/>
      <c r="G4228" s="142"/>
      <c r="H4228" s="141"/>
      <c r="I4228" s="8"/>
    </row>
    <row r="4229" spans="2:9" ht="15" hidden="1" customHeight="1" x14ac:dyDescent="0.25">
      <c r="B4229" s="7"/>
      <c r="C4229" s="140">
        <v>4201</v>
      </c>
      <c r="D4229" s="142"/>
      <c r="E4229" s="142"/>
      <c r="F4229" s="142"/>
      <c r="G4229" s="142"/>
      <c r="H4229" s="141"/>
      <c r="I4229" s="8"/>
    </row>
    <row r="4230" spans="2:9" ht="15" hidden="1" customHeight="1" x14ac:dyDescent="0.25">
      <c r="B4230" s="7"/>
      <c r="C4230" s="140">
        <v>4202</v>
      </c>
      <c r="D4230" s="142"/>
      <c r="E4230" s="142"/>
      <c r="F4230" s="142"/>
      <c r="G4230" s="142"/>
      <c r="H4230" s="141"/>
      <c r="I4230" s="8"/>
    </row>
    <row r="4231" spans="2:9" ht="15" hidden="1" customHeight="1" x14ac:dyDescent="0.25">
      <c r="B4231" s="7"/>
      <c r="C4231" s="140">
        <v>4203</v>
      </c>
      <c r="D4231" s="142"/>
      <c r="E4231" s="142"/>
      <c r="F4231" s="142"/>
      <c r="G4231" s="142"/>
      <c r="H4231" s="141"/>
      <c r="I4231" s="8"/>
    </row>
    <row r="4232" spans="2:9" ht="15" hidden="1" customHeight="1" x14ac:dyDescent="0.25">
      <c r="B4232" s="7"/>
      <c r="C4232" s="140">
        <v>4204</v>
      </c>
      <c r="D4232" s="142"/>
      <c r="E4232" s="142"/>
      <c r="F4232" s="142"/>
      <c r="G4232" s="142"/>
      <c r="H4232" s="141"/>
      <c r="I4232" s="8"/>
    </row>
    <row r="4233" spans="2:9" ht="15" hidden="1" customHeight="1" x14ac:dyDescent="0.25">
      <c r="B4233" s="7"/>
      <c r="C4233" s="140">
        <v>4205</v>
      </c>
      <c r="D4233" s="142"/>
      <c r="E4233" s="142"/>
      <c r="F4233" s="142"/>
      <c r="G4233" s="142"/>
      <c r="H4233" s="141"/>
      <c r="I4233" s="8"/>
    </row>
    <row r="4234" spans="2:9" ht="15" hidden="1" customHeight="1" x14ac:dyDescent="0.25">
      <c r="B4234" s="7"/>
      <c r="C4234" s="140">
        <v>4206</v>
      </c>
      <c r="D4234" s="142"/>
      <c r="E4234" s="142"/>
      <c r="F4234" s="142"/>
      <c r="G4234" s="142"/>
      <c r="H4234" s="141"/>
      <c r="I4234" s="8"/>
    </row>
    <row r="4235" spans="2:9" ht="15" hidden="1" customHeight="1" x14ac:dyDescent="0.25">
      <c r="B4235" s="7"/>
      <c r="C4235" s="140">
        <v>4207</v>
      </c>
      <c r="D4235" s="142"/>
      <c r="E4235" s="142"/>
      <c r="F4235" s="142"/>
      <c r="G4235" s="142"/>
      <c r="H4235" s="141"/>
      <c r="I4235" s="8"/>
    </row>
    <row r="4236" spans="2:9" ht="15" hidden="1" customHeight="1" x14ac:dyDescent="0.25">
      <c r="B4236" s="7"/>
      <c r="C4236" s="140">
        <v>4208</v>
      </c>
      <c r="D4236" s="142"/>
      <c r="E4236" s="142"/>
      <c r="F4236" s="142"/>
      <c r="G4236" s="142"/>
      <c r="H4236" s="141"/>
      <c r="I4236" s="8"/>
    </row>
    <row r="4237" spans="2:9" ht="15" hidden="1" customHeight="1" x14ac:dyDescent="0.25">
      <c r="B4237" s="7"/>
      <c r="C4237" s="140">
        <v>4209</v>
      </c>
      <c r="D4237" s="142"/>
      <c r="E4237" s="142"/>
      <c r="F4237" s="142"/>
      <c r="G4237" s="142"/>
      <c r="H4237" s="141"/>
      <c r="I4237" s="8"/>
    </row>
    <row r="4238" spans="2:9" ht="15" hidden="1" customHeight="1" x14ac:dyDescent="0.25">
      <c r="B4238" s="7"/>
      <c r="C4238" s="140">
        <v>4210</v>
      </c>
      <c r="D4238" s="142"/>
      <c r="E4238" s="142"/>
      <c r="F4238" s="142"/>
      <c r="G4238" s="142"/>
      <c r="H4238" s="141"/>
      <c r="I4238" s="8"/>
    </row>
    <row r="4239" spans="2:9" ht="15" hidden="1" customHeight="1" x14ac:dyDescent="0.25">
      <c r="B4239" s="7"/>
      <c r="C4239" s="140">
        <v>4211</v>
      </c>
      <c r="D4239" s="142"/>
      <c r="E4239" s="142"/>
      <c r="F4239" s="142"/>
      <c r="G4239" s="142"/>
      <c r="H4239" s="141"/>
      <c r="I4239" s="8"/>
    </row>
    <row r="4240" spans="2:9" ht="15" hidden="1" customHeight="1" x14ac:dyDescent="0.25">
      <c r="B4240" s="7"/>
      <c r="C4240" s="140">
        <v>4212</v>
      </c>
      <c r="D4240" s="142"/>
      <c r="E4240" s="142"/>
      <c r="F4240" s="142"/>
      <c r="G4240" s="142"/>
      <c r="H4240" s="141"/>
      <c r="I4240" s="8"/>
    </row>
    <row r="4241" spans="2:9" ht="15" hidden="1" customHeight="1" x14ac:dyDescent="0.25">
      <c r="B4241" s="7"/>
      <c r="C4241" s="140">
        <v>4213</v>
      </c>
      <c r="D4241" s="142"/>
      <c r="E4241" s="142"/>
      <c r="F4241" s="142"/>
      <c r="G4241" s="142"/>
      <c r="H4241" s="141"/>
      <c r="I4241" s="8"/>
    </row>
    <row r="4242" spans="2:9" ht="15" hidden="1" customHeight="1" x14ac:dyDescent="0.25">
      <c r="B4242" s="7"/>
      <c r="C4242" s="140">
        <v>4214</v>
      </c>
      <c r="D4242" s="142"/>
      <c r="E4242" s="142"/>
      <c r="F4242" s="142"/>
      <c r="G4242" s="142"/>
      <c r="H4242" s="141"/>
      <c r="I4242" s="8"/>
    </row>
    <row r="4243" spans="2:9" ht="15" hidden="1" customHeight="1" x14ac:dyDescent="0.25">
      <c r="B4243" s="7"/>
      <c r="C4243" s="140">
        <v>4215</v>
      </c>
      <c r="D4243" s="142"/>
      <c r="E4243" s="142"/>
      <c r="F4243" s="142"/>
      <c r="G4243" s="142"/>
      <c r="H4243" s="141"/>
      <c r="I4243" s="8"/>
    </row>
    <row r="4244" spans="2:9" ht="15" hidden="1" customHeight="1" x14ac:dyDescent="0.25">
      <c r="B4244" s="7"/>
      <c r="C4244" s="140">
        <v>4216</v>
      </c>
      <c r="D4244" s="142"/>
      <c r="E4244" s="142"/>
      <c r="F4244" s="142"/>
      <c r="G4244" s="142"/>
      <c r="H4244" s="141"/>
      <c r="I4244" s="8"/>
    </row>
    <row r="4245" spans="2:9" ht="15" hidden="1" customHeight="1" x14ac:dyDescent="0.25">
      <c r="B4245" s="7"/>
      <c r="C4245" s="140">
        <v>4217</v>
      </c>
      <c r="D4245" s="142"/>
      <c r="E4245" s="142"/>
      <c r="F4245" s="142"/>
      <c r="G4245" s="142"/>
      <c r="H4245" s="141"/>
      <c r="I4245" s="8"/>
    </row>
    <row r="4246" spans="2:9" ht="15" hidden="1" customHeight="1" x14ac:dyDescent="0.25">
      <c r="B4246" s="7"/>
      <c r="C4246" s="140">
        <v>4218</v>
      </c>
      <c r="D4246" s="142"/>
      <c r="E4246" s="142"/>
      <c r="F4246" s="142"/>
      <c r="G4246" s="142"/>
      <c r="H4246" s="141"/>
      <c r="I4246" s="8"/>
    </row>
    <row r="4247" spans="2:9" ht="15" hidden="1" customHeight="1" x14ac:dyDescent="0.25">
      <c r="B4247" s="7"/>
      <c r="C4247" s="140">
        <v>4219</v>
      </c>
      <c r="D4247" s="142"/>
      <c r="E4247" s="142"/>
      <c r="F4247" s="142"/>
      <c r="G4247" s="142"/>
      <c r="H4247" s="141"/>
      <c r="I4247" s="8"/>
    </row>
    <row r="4248" spans="2:9" ht="15" hidden="1" customHeight="1" x14ac:dyDescent="0.25">
      <c r="B4248" s="7"/>
      <c r="C4248" s="140">
        <v>4220</v>
      </c>
      <c r="D4248" s="142"/>
      <c r="E4248" s="142"/>
      <c r="F4248" s="142"/>
      <c r="G4248" s="142"/>
      <c r="H4248" s="141"/>
      <c r="I4248" s="8"/>
    </row>
    <row r="4249" spans="2:9" ht="15" hidden="1" customHeight="1" x14ac:dyDescent="0.25">
      <c r="B4249" s="7"/>
      <c r="C4249" s="140">
        <v>4221</v>
      </c>
      <c r="D4249" s="142"/>
      <c r="E4249" s="142"/>
      <c r="F4249" s="142"/>
      <c r="G4249" s="142"/>
      <c r="H4249" s="141"/>
      <c r="I4249" s="8"/>
    </row>
    <row r="4250" spans="2:9" ht="15" hidden="1" customHeight="1" x14ac:dyDescent="0.25">
      <c r="B4250" s="7"/>
      <c r="C4250" s="140">
        <v>4222</v>
      </c>
      <c r="D4250" s="142"/>
      <c r="E4250" s="142"/>
      <c r="F4250" s="142"/>
      <c r="G4250" s="142"/>
      <c r="H4250" s="141"/>
      <c r="I4250" s="8"/>
    </row>
    <row r="4251" spans="2:9" ht="15" hidden="1" customHeight="1" x14ac:dyDescent="0.25">
      <c r="B4251" s="7"/>
      <c r="C4251" s="140">
        <v>4223</v>
      </c>
      <c r="D4251" s="142"/>
      <c r="E4251" s="142"/>
      <c r="F4251" s="142"/>
      <c r="G4251" s="142"/>
      <c r="H4251" s="141"/>
      <c r="I4251" s="8"/>
    </row>
    <row r="4252" spans="2:9" ht="15" hidden="1" customHeight="1" x14ac:dyDescent="0.25">
      <c r="B4252" s="7"/>
      <c r="C4252" s="140">
        <v>4224</v>
      </c>
      <c r="D4252" s="142"/>
      <c r="E4252" s="142"/>
      <c r="F4252" s="142"/>
      <c r="G4252" s="142"/>
      <c r="H4252" s="141"/>
      <c r="I4252" s="8"/>
    </row>
    <row r="4253" spans="2:9" ht="15" hidden="1" customHeight="1" x14ac:dyDescent="0.25">
      <c r="B4253" s="7"/>
      <c r="C4253" s="140">
        <v>4225</v>
      </c>
      <c r="D4253" s="142"/>
      <c r="E4253" s="142"/>
      <c r="F4253" s="142"/>
      <c r="G4253" s="142"/>
      <c r="H4253" s="141"/>
      <c r="I4253" s="8"/>
    </row>
    <row r="4254" spans="2:9" ht="15" hidden="1" customHeight="1" x14ac:dyDescent="0.25">
      <c r="B4254" s="7"/>
      <c r="C4254" s="140">
        <v>4226</v>
      </c>
      <c r="D4254" s="142"/>
      <c r="E4254" s="142"/>
      <c r="F4254" s="142"/>
      <c r="G4254" s="142"/>
      <c r="H4254" s="141"/>
      <c r="I4254" s="8"/>
    </row>
    <row r="4255" spans="2:9" ht="15" hidden="1" customHeight="1" x14ac:dyDescent="0.25">
      <c r="B4255" s="7"/>
      <c r="C4255" s="140">
        <v>4227</v>
      </c>
      <c r="D4255" s="142"/>
      <c r="E4255" s="142"/>
      <c r="F4255" s="142"/>
      <c r="G4255" s="142"/>
      <c r="H4255" s="141"/>
      <c r="I4255" s="8"/>
    </row>
    <row r="4256" spans="2:9" ht="15" hidden="1" customHeight="1" x14ac:dyDescent="0.25">
      <c r="B4256" s="7"/>
      <c r="C4256" s="140">
        <v>4228</v>
      </c>
      <c r="D4256" s="142"/>
      <c r="E4256" s="142"/>
      <c r="F4256" s="142"/>
      <c r="G4256" s="142"/>
      <c r="H4256" s="141"/>
      <c r="I4256" s="8"/>
    </row>
    <row r="4257" spans="2:9" ht="15" hidden="1" customHeight="1" x14ac:dyDescent="0.25">
      <c r="B4257" s="7"/>
      <c r="C4257" s="140">
        <v>4229</v>
      </c>
      <c r="D4257" s="142"/>
      <c r="E4257" s="142"/>
      <c r="F4257" s="142"/>
      <c r="G4257" s="142"/>
      <c r="H4257" s="141"/>
      <c r="I4257" s="8"/>
    </row>
    <row r="4258" spans="2:9" ht="15" hidden="1" customHeight="1" x14ac:dyDescent="0.25">
      <c r="B4258" s="7"/>
      <c r="C4258" s="140">
        <v>4230</v>
      </c>
      <c r="D4258" s="142"/>
      <c r="E4258" s="142"/>
      <c r="F4258" s="142"/>
      <c r="G4258" s="142"/>
      <c r="H4258" s="141"/>
      <c r="I4258" s="8"/>
    </row>
    <row r="4259" spans="2:9" ht="15" hidden="1" customHeight="1" x14ac:dyDescent="0.25">
      <c r="B4259" s="7"/>
      <c r="C4259" s="140">
        <v>4231</v>
      </c>
      <c r="D4259" s="142"/>
      <c r="E4259" s="142"/>
      <c r="F4259" s="142"/>
      <c r="G4259" s="142"/>
      <c r="H4259" s="141"/>
      <c r="I4259" s="8"/>
    </row>
    <row r="4260" spans="2:9" ht="15" hidden="1" customHeight="1" x14ac:dyDescent="0.25">
      <c r="B4260" s="7"/>
      <c r="C4260" s="140">
        <v>4232</v>
      </c>
      <c r="D4260" s="142"/>
      <c r="E4260" s="142"/>
      <c r="F4260" s="142"/>
      <c r="G4260" s="142"/>
      <c r="H4260" s="141"/>
      <c r="I4260" s="8"/>
    </row>
    <row r="4261" spans="2:9" ht="15" hidden="1" customHeight="1" x14ac:dyDescent="0.25">
      <c r="B4261" s="7"/>
      <c r="C4261" s="140">
        <v>4233</v>
      </c>
      <c r="D4261" s="142"/>
      <c r="E4261" s="142"/>
      <c r="F4261" s="142"/>
      <c r="G4261" s="142"/>
      <c r="H4261" s="141"/>
      <c r="I4261" s="8"/>
    </row>
    <row r="4262" spans="2:9" ht="15" hidden="1" customHeight="1" x14ac:dyDescent="0.25">
      <c r="B4262" s="7"/>
      <c r="C4262" s="140">
        <v>4234</v>
      </c>
      <c r="D4262" s="142"/>
      <c r="E4262" s="142"/>
      <c r="F4262" s="142"/>
      <c r="G4262" s="142"/>
      <c r="H4262" s="141"/>
      <c r="I4262" s="8"/>
    </row>
    <row r="4263" spans="2:9" ht="15" hidden="1" customHeight="1" x14ac:dyDescent="0.25">
      <c r="B4263" s="7"/>
      <c r="C4263" s="140">
        <v>4235</v>
      </c>
      <c r="D4263" s="142"/>
      <c r="E4263" s="142"/>
      <c r="F4263" s="142"/>
      <c r="G4263" s="142"/>
      <c r="H4263" s="141"/>
      <c r="I4263" s="8"/>
    </row>
    <row r="4264" spans="2:9" ht="15" hidden="1" customHeight="1" x14ac:dyDescent="0.25">
      <c r="B4264" s="7"/>
      <c r="C4264" s="140">
        <v>4236</v>
      </c>
      <c r="D4264" s="142"/>
      <c r="E4264" s="142"/>
      <c r="F4264" s="142"/>
      <c r="G4264" s="142"/>
      <c r="H4264" s="141"/>
      <c r="I4264" s="8"/>
    </row>
    <row r="4265" spans="2:9" ht="15" hidden="1" customHeight="1" x14ac:dyDescent="0.25">
      <c r="B4265" s="7"/>
      <c r="C4265" s="140">
        <v>4237</v>
      </c>
      <c r="D4265" s="142"/>
      <c r="E4265" s="142"/>
      <c r="F4265" s="142"/>
      <c r="G4265" s="142"/>
      <c r="H4265" s="141"/>
      <c r="I4265" s="8"/>
    </row>
    <row r="4266" spans="2:9" ht="15" hidden="1" customHeight="1" x14ac:dyDescent="0.25">
      <c r="B4266" s="7"/>
      <c r="C4266" s="140">
        <v>4238</v>
      </c>
      <c r="D4266" s="142"/>
      <c r="E4266" s="142"/>
      <c r="F4266" s="142"/>
      <c r="G4266" s="142"/>
      <c r="H4266" s="141"/>
      <c r="I4266" s="8"/>
    </row>
    <row r="4267" spans="2:9" ht="15" hidden="1" customHeight="1" x14ac:dyDescent="0.25">
      <c r="B4267" s="7"/>
      <c r="C4267" s="140">
        <v>4239</v>
      </c>
      <c r="D4267" s="142"/>
      <c r="E4267" s="142"/>
      <c r="F4267" s="142"/>
      <c r="G4267" s="142"/>
      <c r="H4267" s="141"/>
      <c r="I4267" s="8"/>
    </row>
    <row r="4268" spans="2:9" ht="15" hidden="1" customHeight="1" x14ac:dyDescent="0.25">
      <c r="B4268" s="7"/>
      <c r="C4268" s="140">
        <v>4240</v>
      </c>
      <c r="D4268" s="142"/>
      <c r="E4268" s="142"/>
      <c r="F4268" s="142"/>
      <c r="G4268" s="142"/>
      <c r="H4268" s="141"/>
      <c r="I4268" s="8"/>
    </row>
    <row r="4269" spans="2:9" ht="15" hidden="1" customHeight="1" x14ac:dyDescent="0.25">
      <c r="B4269" s="7"/>
      <c r="C4269" s="140">
        <v>4241</v>
      </c>
      <c r="D4269" s="142"/>
      <c r="E4269" s="142"/>
      <c r="F4269" s="142"/>
      <c r="G4269" s="142"/>
      <c r="H4269" s="141"/>
      <c r="I4269" s="8"/>
    </row>
    <row r="4270" spans="2:9" ht="15" hidden="1" customHeight="1" x14ac:dyDescent="0.25">
      <c r="B4270" s="7"/>
      <c r="C4270" s="140">
        <v>4242</v>
      </c>
      <c r="D4270" s="142"/>
      <c r="E4270" s="142"/>
      <c r="F4270" s="142"/>
      <c r="G4270" s="142"/>
      <c r="H4270" s="141"/>
      <c r="I4270" s="8"/>
    </row>
    <row r="4271" spans="2:9" ht="15" hidden="1" customHeight="1" x14ac:dyDescent="0.25">
      <c r="B4271" s="7"/>
      <c r="C4271" s="140">
        <v>4243</v>
      </c>
      <c r="D4271" s="142"/>
      <c r="E4271" s="142"/>
      <c r="F4271" s="142"/>
      <c r="G4271" s="142"/>
      <c r="H4271" s="141"/>
      <c r="I4271" s="8"/>
    </row>
    <row r="4272" spans="2:9" ht="15" hidden="1" customHeight="1" x14ac:dyDescent="0.25">
      <c r="B4272" s="7"/>
      <c r="C4272" s="140">
        <v>4244</v>
      </c>
      <c r="D4272" s="142"/>
      <c r="E4272" s="142"/>
      <c r="F4272" s="142"/>
      <c r="G4272" s="142"/>
      <c r="H4272" s="141"/>
      <c r="I4272" s="8"/>
    </row>
    <row r="4273" spans="2:9" ht="15" hidden="1" customHeight="1" x14ac:dyDescent="0.25">
      <c r="B4273" s="7"/>
      <c r="C4273" s="140">
        <v>4245</v>
      </c>
      <c r="D4273" s="142"/>
      <c r="E4273" s="142"/>
      <c r="F4273" s="142"/>
      <c r="G4273" s="142"/>
      <c r="H4273" s="141"/>
      <c r="I4273" s="8"/>
    </row>
    <row r="4274" spans="2:9" ht="15" hidden="1" customHeight="1" x14ac:dyDescent="0.25">
      <c r="B4274" s="7"/>
      <c r="C4274" s="140">
        <v>4246</v>
      </c>
      <c r="D4274" s="142"/>
      <c r="E4274" s="142"/>
      <c r="F4274" s="142"/>
      <c r="G4274" s="142"/>
      <c r="H4274" s="141"/>
      <c r="I4274" s="8"/>
    </row>
    <row r="4275" spans="2:9" ht="15" hidden="1" customHeight="1" x14ac:dyDescent="0.25">
      <c r="B4275" s="7"/>
      <c r="C4275" s="140">
        <v>4247</v>
      </c>
      <c r="D4275" s="142"/>
      <c r="E4275" s="142"/>
      <c r="F4275" s="142"/>
      <c r="G4275" s="142"/>
      <c r="H4275" s="141"/>
      <c r="I4275" s="8"/>
    </row>
    <row r="4276" spans="2:9" ht="15" hidden="1" customHeight="1" x14ac:dyDescent="0.25">
      <c r="B4276" s="7"/>
      <c r="C4276" s="140">
        <v>4248</v>
      </c>
      <c r="D4276" s="142"/>
      <c r="E4276" s="142"/>
      <c r="F4276" s="142"/>
      <c r="G4276" s="142"/>
      <c r="H4276" s="141"/>
      <c r="I4276" s="8"/>
    </row>
    <row r="4277" spans="2:9" ht="15" hidden="1" customHeight="1" x14ac:dyDescent="0.25">
      <c r="B4277" s="7"/>
      <c r="C4277" s="140">
        <v>4249</v>
      </c>
      <c r="D4277" s="142"/>
      <c r="E4277" s="142"/>
      <c r="F4277" s="142"/>
      <c r="G4277" s="142"/>
      <c r="H4277" s="141"/>
      <c r="I4277" s="8"/>
    </row>
    <row r="4278" spans="2:9" ht="15" hidden="1" customHeight="1" x14ac:dyDescent="0.25">
      <c r="B4278" s="7"/>
      <c r="C4278" s="140">
        <v>4250</v>
      </c>
      <c r="D4278" s="142"/>
      <c r="E4278" s="142"/>
      <c r="F4278" s="142"/>
      <c r="G4278" s="142"/>
      <c r="H4278" s="141"/>
      <c r="I4278" s="8"/>
    </row>
    <row r="4279" spans="2:9" ht="15" hidden="1" customHeight="1" x14ac:dyDescent="0.25">
      <c r="B4279" s="7"/>
      <c r="C4279" s="140">
        <v>4251</v>
      </c>
      <c r="D4279" s="142"/>
      <c r="E4279" s="142"/>
      <c r="F4279" s="142"/>
      <c r="G4279" s="142"/>
      <c r="H4279" s="141"/>
      <c r="I4279" s="8"/>
    </row>
    <row r="4280" spans="2:9" ht="15" hidden="1" customHeight="1" x14ac:dyDescent="0.25">
      <c r="B4280" s="7"/>
      <c r="C4280" s="140">
        <v>4252</v>
      </c>
      <c r="D4280" s="142"/>
      <c r="E4280" s="142"/>
      <c r="F4280" s="142"/>
      <c r="G4280" s="142"/>
      <c r="H4280" s="141"/>
      <c r="I4280" s="8"/>
    </row>
    <row r="4281" spans="2:9" ht="15" hidden="1" customHeight="1" x14ac:dyDescent="0.25">
      <c r="B4281" s="7"/>
      <c r="C4281" s="140">
        <v>4253</v>
      </c>
      <c r="D4281" s="142"/>
      <c r="E4281" s="142"/>
      <c r="F4281" s="142"/>
      <c r="G4281" s="142"/>
      <c r="H4281" s="141"/>
      <c r="I4281" s="8"/>
    </row>
    <row r="4282" spans="2:9" ht="15" hidden="1" customHeight="1" x14ac:dyDescent="0.25">
      <c r="B4282" s="7"/>
      <c r="C4282" s="140">
        <v>4254</v>
      </c>
      <c r="D4282" s="142"/>
      <c r="E4282" s="142"/>
      <c r="F4282" s="142"/>
      <c r="G4282" s="142"/>
      <c r="H4282" s="141"/>
      <c r="I4282" s="8"/>
    </row>
    <row r="4283" spans="2:9" ht="15" hidden="1" customHeight="1" x14ac:dyDescent="0.25">
      <c r="B4283" s="7"/>
      <c r="C4283" s="140">
        <v>4255</v>
      </c>
      <c r="D4283" s="142"/>
      <c r="E4283" s="142"/>
      <c r="F4283" s="142"/>
      <c r="G4283" s="142"/>
      <c r="H4283" s="141"/>
      <c r="I4283" s="8"/>
    </row>
    <row r="4284" spans="2:9" ht="15" hidden="1" customHeight="1" x14ac:dyDescent="0.25">
      <c r="B4284" s="7"/>
      <c r="C4284" s="140">
        <v>4256</v>
      </c>
      <c r="D4284" s="142"/>
      <c r="E4284" s="142"/>
      <c r="F4284" s="142"/>
      <c r="G4284" s="142"/>
      <c r="H4284" s="141"/>
      <c r="I4284" s="8"/>
    </row>
    <row r="4285" spans="2:9" ht="15" hidden="1" customHeight="1" x14ac:dyDescent="0.25">
      <c r="B4285" s="7"/>
      <c r="C4285" s="140">
        <v>4257</v>
      </c>
      <c r="D4285" s="142"/>
      <c r="E4285" s="142"/>
      <c r="F4285" s="142"/>
      <c r="G4285" s="142"/>
      <c r="H4285" s="141"/>
      <c r="I4285" s="8"/>
    </row>
    <row r="4286" spans="2:9" ht="15" hidden="1" customHeight="1" x14ac:dyDescent="0.25">
      <c r="B4286" s="7"/>
      <c r="C4286" s="140">
        <v>4258</v>
      </c>
      <c r="D4286" s="142"/>
      <c r="E4286" s="142"/>
      <c r="F4286" s="142"/>
      <c r="G4286" s="142"/>
      <c r="H4286" s="141"/>
      <c r="I4286" s="8"/>
    </row>
    <row r="4287" spans="2:9" ht="15" hidden="1" customHeight="1" x14ac:dyDescent="0.25">
      <c r="B4287" s="7"/>
      <c r="C4287" s="140">
        <v>4259</v>
      </c>
      <c r="D4287" s="142"/>
      <c r="E4287" s="142"/>
      <c r="F4287" s="142"/>
      <c r="G4287" s="142"/>
      <c r="H4287" s="141"/>
      <c r="I4287" s="8"/>
    </row>
    <row r="4288" spans="2:9" ht="15" hidden="1" customHeight="1" x14ac:dyDescent="0.25">
      <c r="B4288" s="7"/>
      <c r="C4288" s="140">
        <v>4260</v>
      </c>
      <c r="D4288" s="142"/>
      <c r="E4288" s="142"/>
      <c r="F4288" s="142"/>
      <c r="G4288" s="142"/>
      <c r="H4288" s="141"/>
      <c r="I4288" s="8"/>
    </row>
    <row r="4289" spans="2:9" ht="15" hidden="1" customHeight="1" x14ac:dyDescent="0.25">
      <c r="B4289" s="7"/>
      <c r="C4289" s="140">
        <v>4261</v>
      </c>
      <c r="D4289" s="142"/>
      <c r="E4289" s="142"/>
      <c r="F4289" s="142"/>
      <c r="G4289" s="142"/>
      <c r="H4289" s="141"/>
      <c r="I4289" s="8"/>
    </row>
    <row r="4290" spans="2:9" ht="15" hidden="1" customHeight="1" x14ac:dyDescent="0.25">
      <c r="B4290" s="7"/>
      <c r="C4290" s="140">
        <v>4262</v>
      </c>
      <c r="D4290" s="142"/>
      <c r="E4290" s="142"/>
      <c r="F4290" s="142"/>
      <c r="G4290" s="142"/>
      <c r="H4290" s="141"/>
      <c r="I4290" s="8"/>
    </row>
    <row r="4291" spans="2:9" ht="15" hidden="1" customHeight="1" x14ac:dyDescent="0.25">
      <c r="B4291" s="7"/>
      <c r="C4291" s="140">
        <v>4263</v>
      </c>
      <c r="D4291" s="142"/>
      <c r="E4291" s="142"/>
      <c r="F4291" s="142"/>
      <c r="G4291" s="142"/>
      <c r="H4291" s="141"/>
      <c r="I4291" s="8"/>
    </row>
    <row r="4292" spans="2:9" ht="15" hidden="1" customHeight="1" x14ac:dyDescent="0.25">
      <c r="B4292" s="7"/>
      <c r="C4292" s="140">
        <v>4264</v>
      </c>
      <c r="D4292" s="142"/>
      <c r="E4292" s="142"/>
      <c r="F4292" s="142"/>
      <c r="G4292" s="142"/>
      <c r="H4292" s="141"/>
      <c r="I4292" s="8"/>
    </row>
    <row r="4293" spans="2:9" ht="15" hidden="1" customHeight="1" x14ac:dyDescent="0.25">
      <c r="B4293" s="7"/>
      <c r="C4293" s="140">
        <v>4265</v>
      </c>
      <c r="D4293" s="142"/>
      <c r="E4293" s="142"/>
      <c r="F4293" s="142"/>
      <c r="G4293" s="142"/>
      <c r="H4293" s="141"/>
      <c r="I4293" s="8"/>
    </row>
    <row r="4294" spans="2:9" ht="15" hidden="1" customHeight="1" x14ac:dyDescent="0.25">
      <c r="B4294" s="7"/>
      <c r="C4294" s="140">
        <v>4266</v>
      </c>
      <c r="D4294" s="142"/>
      <c r="E4294" s="142"/>
      <c r="F4294" s="142"/>
      <c r="G4294" s="142"/>
      <c r="H4294" s="141"/>
      <c r="I4294" s="8"/>
    </row>
    <row r="4295" spans="2:9" ht="15" hidden="1" customHeight="1" x14ac:dyDescent="0.25">
      <c r="B4295" s="7"/>
      <c r="C4295" s="140">
        <v>4267</v>
      </c>
      <c r="D4295" s="142"/>
      <c r="E4295" s="142"/>
      <c r="F4295" s="142"/>
      <c r="G4295" s="142"/>
      <c r="H4295" s="141"/>
      <c r="I4295" s="8"/>
    </row>
    <row r="4296" spans="2:9" ht="15" hidden="1" customHeight="1" x14ac:dyDescent="0.25">
      <c r="B4296" s="7"/>
      <c r="C4296" s="140">
        <v>4268</v>
      </c>
      <c r="D4296" s="142"/>
      <c r="E4296" s="142"/>
      <c r="F4296" s="142"/>
      <c r="G4296" s="142"/>
      <c r="H4296" s="141"/>
      <c r="I4296" s="8"/>
    </row>
    <row r="4297" spans="2:9" ht="15" hidden="1" customHeight="1" x14ac:dyDescent="0.25">
      <c r="B4297" s="7"/>
      <c r="C4297" s="140">
        <v>4269</v>
      </c>
      <c r="D4297" s="142"/>
      <c r="E4297" s="142"/>
      <c r="F4297" s="142"/>
      <c r="G4297" s="142"/>
      <c r="H4297" s="141"/>
      <c r="I4297" s="8"/>
    </row>
    <row r="4298" spans="2:9" ht="15" hidden="1" customHeight="1" x14ac:dyDescent="0.25">
      <c r="B4298" s="7"/>
      <c r="C4298" s="140">
        <v>4270</v>
      </c>
      <c r="D4298" s="142"/>
      <c r="E4298" s="142"/>
      <c r="F4298" s="142"/>
      <c r="G4298" s="142"/>
      <c r="H4298" s="141"/>
      <c r="I4298" s="8"/>
    </row>
    <row r="4299" spans="2:9" ht="15" hidden="1" customHeight="1" x14ac:dyDescent="0.25">
      <c r="B4299" s="7"/>
      <c r="C4299" s="140">
        <v>4271</v>
      </c>
      <c r="D4299" s="142"/>
      <c r="E4299" s="142"/>
      <c r="F4299" s="142"/>
      <c r="G4299" s="142"/>
      <c r="H4299" s="141"/>
      <c r="I4299" s="8"/>
    </row>
    <row r="4300" spans="2:9" ht="15" hidden="1" customHeight="1" x14ac:dyDescent="0.25">
      <c r="B4300" s="7"/>
      <c r="C4300" s="140">
        <v>4272</v>
      </c>
      <c r="D4300" s="142"/>
      <c r="E4300" s="142"/>
      <c r="F4300" s="142"/>
      <c r="G4300" s="142"/>
      <c r="H4300" s="141"/>
      <c r="I4300" s="8"/>
    </row>
    <row r="4301" spans="2:9" ht="15" hidden="1" customHeight="1" x14ac:dyDescent="0.25">
      <c r="B4301" s="7"/>
      <c r="C4301" s="140">
        <v>4273</v>
      </c>
      <c r="D4301" s="142"/>
      <c r="E4301" s="142"/>
      <c r="F4301" s="142"/>
      <c r="G4301" s="142"/>
      <c r="H4301" s="141"/>
      <c r="I4301" s="8"/>
    </row>
    <row r="4302" spans="2:9" ht="15" hidden="1" customHeight="1" x14ac:dyDescent="0.25">
      <c r="B4302" s="7"/>
      <c r="C4302" s="140">
        <v>4274</v>
      </c>
      <c r="D4302" s="142"/>
      <c r="E4302" s="142"/>
      <c r="F4302" s="142"/>
      <c r="G4302" s="142"/>
      <c r="H4302" s="141"/>
      <c r="I4302" s="8"/>
    </row>
    <row r="4303" spans="2:9" ht="15" hidden="1" customHeight="1" x14ac:dyDescent="0.25">
      <c r="B4303" s="7"/>
      <c r="C4303" s="140">
        <v>4275</v>
      </c>
      <c r="D4303" s="142"/>
      <c r="E4303" s="142"/>
      <c r="F4303" s="142"/>
      <c r="G4303" s="142"/>
      <c r="H4303" s="141"/>
      <c r="I4303" s="8"/>
    </row>
    <row r="4304" spans="2:9" ht="15" hidden="1" customHeight="1" x14ac:dyDescent="0.25">
      <c r="B4304" s="7"/>
      <c r="C4304" s="140">
        <v>4276</v>
      </c>
      <c r="D4304" s="142"/>
      <c r="E4304" s="142"/>
      <c r="F4304" s="142"/>
      <c r="G4304" s="142"/>
      <c r="H4304" s="141"/>
      <c r="I4304" s="8"/>
    </row>
    <row r="4305" spans="2:9" ht="15" hidden="1" customHeight="1" x14ac:dyDescent="0.25">
      <c r="B4305" s="7"/>
      <c r="C4305" s="140">
        <v>4277</v>
      </c>
      <c r="D4305" s="142"/>
      <c r="E4305" s="142"/>
      <c r="F4305" s="142"/>
      <c r="G4305" s="142"/>
      <c r="H4305" s="141"/>
      <c r="I4305" s="8"/>
    </row>
    <row r="4306" spans="2:9" ht="15" hidden="1" customHeight="1" x14ac:dyDescent="0.25">
      <c r="B4306" s="7"/>
      <c r="C4306" s="140">
        <v>4278</v>
      </c>
      <c r="D4306" s="142"/>
      <c r="E4306" s="142"/>
      <c r="F4306" s="142"/>
      <c r="G4306" s="142"/>
      <c r="H4306" s="141"/>
      <c r="I4306" s="8"/>
    </row>
    <row r="4307" spans="2:9" ht="15" hidden="1" customHeight="1" x14ac:dyDescent="0.25">
      <c r="B4307" s="7"/>
      <c r="C4307" s="140">
        <v>4279</v>
      </c>
      <c r="D4307" s="142"/>
      <c r="E4307" s="142"/>
      <c r="F4307" s="142"/>
      <c r="G4307" s="142"/>
      <c r="H4307" s="141"/>
      <c r="I4307" s="8"/>
    </row>
    <row r="4308" spans="2:9" ht="15" hidden="1" customHeight="1" x14ac:dyDescent="0.25">
      <c r="B4308" s="7"/>
      <c r="C4308" s="140">
        <v>4280</v>
      </c>
      <c r="D4308" s="142"/>
      <c r="E4308" s="142"/>
      <c r="F4308" s="142"/>
      <c r="G4308" s="142"/>
      <c r="H4308" s="141"/>
      <c r="I4308" s="8"/>
    </row>
    <row r="4309" spans="2:9" ht="15" hidden="1" customHeight="1" x14ac:dyDescent="0.25">
      <c r="B4309" s="7"/>
      <c r="C4309" s="140">
        <v>4281</v>
      </c>
      <c r="D4309" s="142"/>
      <c r="E4309" s="142"/>
      <c r="F4309" s="142"/>
      <c r="G4309" s="142"/>
      <c r="H4309" s="141"/>
      <c r="I4309" s="8"/>
    </row>
    <row r="4310" spans="2:9" ht="15" hidden="1" customHeight="1" x14ac:dyDescent="0.25">
      <c r="B4310" s="7"/>
      <c r="C4310" s="140">
        <v>4282</v>
      </c>
      <c r="D4310" s="142"/>
      <c r="E4310" s="142"/>
      <c r="F4310" s="142"/>
      <c r="G4310" s="142"/>
      <c r="H4310" s="141"/>
      <c r="I4310" s="8"/>
    </row>
    <row r="4311" spans="2:9" ht="15" hidden="1" customHeight="1" x14ac:dyDescent="0.25">
      <c r="B4311" s="7"/>
      <c r="C4311" s="140">
        <v>4283</v>
      </c>
      <c r="D4311" s="142"/>
      <c r="E4311" s="142"/>
      <c r="F4311" s="142"/>
      <c r="G4311" s="142"/>
      <c r="H4311" s="141"/>
      <c r="I4311" s="8"/>
    </row>
    <row r="4312" spans="2:9" ht="15" hidden="1" customHeight="1" x14ac:dyDescent="0.25">
      <c r="B4312" s="7"/>
      <c r="C4312" s="140">
        <v>4284</v>
      </c>
      <c r="D4312" s="142"/>
      <c r="E4312" s="142"/>
      <c r="F4312" s="142"/>
      <c r="G4312" s="142"/>
      <c r="H4312" s="141"/>
      <c r="I4312" s="8"/>
    </row>
    <row r="4313" spans="2:9" ht="15" hidden="1" customHeight="1" x14ac:dyDescent="0.25">
      <c r="B4313" s="7"/>
      <c r="C4313" s="140">
        <v>4285</v>
      </c>
      <c r="D4313" s="142"/>
      <c r="E4313" s="142"/>
      <c r="F4313" s="142"/>
      <c r="G4313" s="142"/>
      <c r="H4313" s="141"/>
      <c r="I4313" s="8"/>
    </row>
    <row r="4314" spans="2:9" ht="15" hidden="1" customHeight="1" x14ac:dyDescent="0.25">
      <c r="B4314" s="7"/>
      <c r="C4314" s="140">
        <v>4286</v>
      </c>
      <c r="D4314" s="142"/>
      <c r="E4314" s="142"/>
      <c r="F4314" s="142"/>
      <c r="G4314" s="142"/>
      <c r="H4314" s="141"/>
      <c r="I4314" s="8"/>
    </row>
    <row r="4315" spans="2:9" ht="15" hidden="1" customHeight="1" x14ac:dyDescent="0.25">
      <c r="B4315" s="7"/>
      <c r="C4315" s="140">
        <v>4287</v>
      </c>
      <c r="D4315" s="142"/>
      <c r="E4315" s="142"/>
      <c r="F4315" s="142"/>
      <c r="G4315" s="142"/>
      <c r="H4315" s="141"/>
      <c r="I4315" s="8"/>
    </row>
    <row r="4316" spans="2:9" ht="15" hidden="1" customHeight="1" x14ac:dyDescent="0.25">
      <c r="B4316" s="7"/>
      <c r="C4316" s="140">
        <v>4288</v>
      </c>
      <c r="D4316" s="142"/>
      <c r="E4316" s="142"/>
      <c r="F4316" s="142"/>
      <c r="G4316" s="142"/>
      <c r="H4316" s="141"/>
      <c r="I4316" s="8"/>
    </row>
    <row r="4317" spans="2:9" ht="15" hidden="1" customHeight="1" x14ac:dyDescent="0.25">
      <c r="B4317" s="7"/>
      <c r="C4317" s="140">
        <v>4289</v>
      </c>
      <c r="D4317" s="142"/>
      <c r="E4317" s="142"/>
      <c r="F4317" s="142"/>
      <c r="G4317" s="142"/>
      <c r="H4317" s="141"/>
      <c r="I4317" s="8"/>
    </row>
    <row r="4318" spans="2:9" ht="15" hidden="1" customHeight="1" x14ac:dyDescent="0.25">
      <c r="B4318" s="7"/>
      <c r="C4318" s="140">
        <v>4290</v>
      </c>
      <c r="D4318" s="142"/>
      <c r="E4318" s="142"/>
      <c r="F4318" s="142"/>
      <c r="G4318" s="142"/>
      <c r="H4318" s="141"/>
      <c r="I4318" s="8"/>
    </row>
    <row r="4319" spans="2:9" ht="15" hidden="1" customHeight="1" x14ac:dyDescent="0.25">
      <c r="B4319" s="7"/>
      <c r="C4319" s="140">
        <v>4291</v>
      </c>
      <c r="D4319" s="142"/>
      <c r="E4319" s="142"/>
      <c r="F4319" s="142"/>
      <c r="G4319" s="142"/>
      <c r="H4319" s="141"/>
      <c r="I4319" s="8"/>
    </row>
    <row r="4320" spans="2:9" ht="15" hidden="1" customHeight="1" x14ac:dyDescent="0.25">
      <c r="B4320" s="7"/>
      <c r="C4320" s="140">
        <v>4292</v>
      </c>
      <c r="D4320" s="142"/>
      <c r="E4320" s="142"/>
      <c r="F4320" s="142"/>
      <c r="G4320" s="142"/>
      <c r="H4320" s="141"/>
      <c r="I4320" s="8"/>
    </row>
    <row r="4321" spans="2:9" ht="15" hidden="1" customHeight="1" x14ac:dyDescent="0.25">
      <c r="B4321" s="7"/>
      <c r="C4321" s="140">
        <v>4293</v>
      </c>
      <c r="D4321" s="142"/>
      <c r="E4321" s="142"/>
      <c r="F4321" s="142"/>
      <c r="G4321" s="142"/>
      <c r="H4321" s="141"/>
      <c r="I4321" s="8"/>
    </row>
    <row r="4322" spans="2:9" ht="15" hidden="1" customHeight="1" x14ac:dyDescent="0.25">
      <c r="B4322" s="7"/>
      <c r="C4322" s="140">
        <v>4294</v>
      </c>
      <c r="D4322" s="142"/>
      <c r="E4322" s="142"/>
      <c r="F4322" s="142"/>
      <c r="G4322" s="142"/>
      <c r="H4322" s="141"/>
      <c r="I4322" s="8"/>
    </row>
    <row r="4323" spans="2:9" ht="15" hidden="1" customHeight="1" x14ac:dyDescent="0.25">
      <c r="B4323" s="7"/>
      <c r="C4323" s="140">
        <v>4295</v>
      </c>
      <c r="D4323" s="142"/>
      <c r="E4323" s="142"/>
      <c r="F4323" s="142"/>
      <c r="G4323" s="142"/>
      <c r="H4323" s="141"/>
      <c r="I4323" s="8"/>
    </row>
    <row r="4324" spans="2:9" ht="15" hidden="1" customHeight="1" x14ac:dyDescent="0.25">
      <c r="B4324" s="7"/>
      <c r="C4324" s="140">
        <v>4296</v>
      </c>
      <c r="D4324" s="142"/>
      <c r="E4324" s="142"/>
      <c r="F4324" s="142"/>
      <c r="G4324" s="142"/>
      <c r="H4324" s="141"/>
      <c r="I4324" s="8"/>
    </row>
    <row r="4325" spans="2:9" ht="15" hidden="1" customHeight="1" x14ac:dyDescent="0.25">
      <c r="B4325" s="7"/>
      <c r="C4325" s="140">
        <v>4297</v>
      </c>
      <c r="D4325" s="142"/>
      <c r="E4325" s="142"/>
      <c r="F4325" s="142"/>
      <c r="G4325" s="142"/>
      <c r="H4325" s="141"/>
      <c r="I4325" s="8"/>
    </row>
    <row r="4326" spans="2:9" ht="15" hidden="1" customHeight="1" x14ac:dyDescent="0.25">
      <c r="B4326" s="7"/>
      <c r="C4326" s="140">
        <v>4298</v>
      </c>
      <c r="D4326" s="142"/>
      <c r="E4326" s="142"/>
      <c r="F4326" s="142"/>
      <c r="G4326" s="142"/>
      <c r="H4326" s="141"/>
      <c r="I4326" s="8"/>
    </row>
    <row r="4327" spans="2:9" ht="15" hidden="1" customHeight="1" x14ac:dyDescent="0.25">
      <c r="B4327" s="7"/>
      <c r="C4327" s="140">
        <v>4299</v>
      </c>
      <c r="D4327" s="142"/>
      <c r="E4327" s="142"/>
      <c r="F4327" s="142"/>
      <c r="G4327" s="142"/>
      <c r="H4327" s="141"/>
      <c r="I4327" s="8"/>
    </row>
    <row r="4328" spans="2:9" ht="15" hidden="1" customHeight="1" x14ac:dyDescent="0.25">
      <c r="B4328" s="7"/>
      <c r="C4328" s="140">
        <v>4300</v>
      </c>
      <c r="D4328" s="142"/>
      <c r="E4328" s="142"/>
      <c r="F4328" s="142"/>
      <c r="G4328" s="142"/>
      <c r="H4328" s="141"/>
      <c r="I4328" s="8"/>
    </row>
    <row r="4329" spans="2:9" ht="15" hidden="1" customHeight="1" x14ac:dyDescent="0.25">
      <c r="B4329" s="7"/>
      <c r="C4329" s="140">
        <v>4301</v>
      </c>
      <c r="D4329" s="142"/>
      <c r="E4329" s="142"/>
      <c r="F4329" s="142"/>
      <c r="G4329" s="142"/>
      <c r="H4329" s="141"/>
      <c r="I4329" s="8"/>
    </row>
    <row r="4330" spans="2:9" ht="15" hidden="1" customHeight="1" x14ac:dyDescent="0.25">
      <c r="B4330" s="7"/>
      <c r="C4330" s="140">
        <v>4302</v>
      </c>
      <c r="D4330" s="142"/>
      <c r="E4330" s="142"/>
      <c r="F4330" s="142"/>
      <c r="G4330" s="142"/>
      <c r="H4330" s="141"/>
      <c r="I4330" s="8"/>
    </row>
    <row r="4331" spans="2:9" ht="15" hidden="1" customHeight="1" x14ac:dyDescent="0.25">
      <c r="B4331" s="7"/>
      <c r="C4331" s="140">
        <v>4303</v>
      </c>
      <c r="D4331" s="142"/>
      <c r="E4331" s="142"/>
      <c r="F4331" s="142"/>
      <c r="G4331" s="142"/>
      <c r="H4331" s="141"/>
      <c r="I4331" s="8"/>
    </row>
    <row r="4332" spans="2:9" ht="15" hidden="1" customHeight="1" x14ac:dyDescent="0.25">
      <c r="B4332" s="7"/>
      <c r="C4332" s="140">
        <v>4304</v>
      </c>
      <c r="D4332" s="142"/>
      <c r="E4332" s="142"/>
      <c r="F4332" s="142"/>
      <c r="G4332" s="142"/>
      <c r="H4332" s="141"/>
      <c r="I4332" s="8"/>
    </row>
    <row r="4333" spans="2:9" ht="15" hidden="1" customHeight="1" x14ac:dyDescent="0.25">
      <c r="B4333" s="7"/>
      <c r="C4333" s="140">
        <v>4305</v>
      </c>
      <c r="D4333" s="142"/>
      <c r="E4333" s="142"/>
      <c r="F4333" s="142"/>
      <c r="G4333" s="142"/>
      <c r="H4333" s="141"/>
      <c r="I4333" s="8"/>
    </row>
    <row r="4334" spans="2:9" ht="15" hidden="1" customHeight="1" x14ac:dyDescent="0.25">
      <c r="B4334" s="7"/>
      <c r="C4334" s="140">
        <v>4306</v>
      </c>
      <c r="D4334" s="142"/>
      <c r="E4334" s="142"/>
      <c r="F4334" s="142"/>
      <c r="G4334" s="142"/>
      <c r="H4334" s="141"/>
      <c r="I4334" s="8"/>
    </row>
    <row r="4335" spans="2:9" ht="15" hidden="1" customHeight="1" x14ac:dyDescent="0.25">
      <c r="B4335" s="7"/>
      <c r="C4335" s="140">
        <v>4307</v>
      </c>
      <c r="D4335" s="142"/>
      <c r="E4335" s="142"/>
      <c r="F4335" s="142"/>
      <c r="G4335" s="142"/>
      <c r="H4335" s="141"/>
      <c r="I4335" s="8"/>
    </row>
    <row r="4336" spans="2:9" ht="15" hidden="1" customHeight="1" x14ac:dyDescent="0.25">
      <c r="B4336" s="7"/>
      <c r="C4336" s="140">
        <v>4308</v>
      </c>
      <c r="D4336" s="142"/>
      <c r="E4336" s="142"/>
      <c r="F4336" s="142"/>
      <c r="G4336" s="142"/>
      <c r="H4336" s="141"/>
      <c r="I4336" s="8"/>
    </row>
    <row r="4337" spans="2:9" ht="15" hidden="1" customHeight="1" x14ac:dyDescent="0.25">
      <c r="B4337" s="7"/>
      <c r="C4337" s="140">
        <v>4309</v>
      </c>
      <c r="D4337" s="142"/>
      <c r="E4337" s="142"/>
      <c r="F4337" s="142"/>
      <c r="G4337" s="142"/>
      <c r="H4337" s="141"/>
      <c r="I4337" s="8"/>
    </row>
    <row r="4338" spans="2:9" ht="15" hidden="1" customHeight="1" x14ac:dyDescent="0.25">
      <c r="B4338" s="7"/>
      <c r="C4338" s="140">
        <v>4310</v>
      </c>
      <c r="D4338" s="142"/>
      <c r="E4338" s="142"/>
      <c r="F4338" s="142"/>
      <c r="G4338" s="142"/>
      <c r="H4338" s="141"/>
      <c r="I4338" s="8"/>
    </row>
    <row r="4339" spans="2:9" ht="15" hidden="1" customHeight="1" x14ac:dyDescent="0.25">
      <c r="B4339" s="7"/>
      <c r="C4339" s="140">
        <v>4311</v>
      </c>
      <c r="D4339" s="142"/>
      <c r="E4339" s="142"/>
      <c r="F4339" s="142"/>
      <c r="G4339" s="142"/>
      <c r="H4339" s="141"/>
      <c r="I4339" s="8"/>
    </row>
    <row r="4340" spans="2:9" ht="15" hidden="1" customHeight="1" x14ac:dyDescent="0.25">
      <c r="B4340" s="7"/>
      <c r="C4340" s="140">
        <v>4312</v>
      </c>
      <c r="D4340" s="142"/>
      <c r="E4340" s="142"/>
      <c r="F4340" s="142"/>
      <c r="G4340" s="142"/>
      <c r="H4340" s="141"/>
      <c r="I4340" s="8"/>
    </row>
    <row r="4341" spans="2:9" ht="15" hidden="1" customHeight="1" x14ac:dyDescent="0.25">
      <c r="B4341" s="7"/>
      <c r="C4341" s="140">
        <v>4313</v>
      </c>
      <c r="D4341" s="142"/>
      <c r="E4341" s="142"/>
      <c r="F4341" s="142"/>
      <c r="G4341" s="142"/>
      <c r="H4341" s="141"/>
      <c r="I4341" s="8"/>
    </row>
    <row r="4342" spans="2:9" ht="15" hidden="1" customHeight="1" x14ac:dyDescent="0.25">
      <c r="B4342" s="7"/>
      <c r="C4342" s="140">
        <v>4314</v>
      </c>
      <c r="D4342" s="142"/>
      <c r="E4342" s="142"/>
      <c r="F4342" s="142"/>
      <c r="G4342" s="142"/>
      <c r="H4342" s="141"/>
      <c r="I4342" s="8"/>
    </row>
    <row r="4343" spans="2:9" ht="15" hidden="1" customHeight="1" x14ac:dyDescent="0.25">
      <c r="B4343" s="7"/>
      <c r="C4343" s="140">
        <v>4315</v>
      </c>
      <c r="D4343" s="142"/>
      <c r="E4343" s="142"/>
      <c r="F4343" s="142"/>
      <c r="G4343" s="142"/>
      <c r="H4343" s="141"/>
      <c r="I4343" s="8"/>
    </row>
    <row r="4344" spans="2:9" ht="15" hidden="1" customHeight="1" x14ac:dyDescent="0.25">
      <c r="B4344" s="7"/>
      <c r="C4344" s="140">
        <v>4316</v>
      </c>
      <c r="D4344" s="142"/>
      <c r="E4344" s="142"/>
      <c r="F4344" s="142"/>
      <c r="G4344" s="142"/>
      <c r="H4344" s="141"/>
      <c r="I4344" s="8"/>
    </row>
    <row r="4345" spans="2:9" ht="15" hidden="1" customHeight="1" x14ac:dyDescent="0.25">
      <c r="B4345" s="7"/>
      <c r="C4345" s="140">
        <v>4317</v>
      </c>
      <c r="D4345" s="142"/>
      <c r="E4345" s="142"/>
      <c r="F4345" s="142"/>
      <c r="G4345" s="142"/>
      <c r="H4345" s="141"/>
      <c r="I4345" s="8"/>
    </row>
    <row r="4346" spans="2:9" ht="15" hidden="1" customHeight="1" x14ac:dyDescent="0.25">
      <c r="B4346" s="7"/>
      <c r="C4346" s="140">
        <v>4318</v>
      </c>
      <c r="D4346" s="142"/>
      <c r="E4346" s="142"/>
      <c r="F4346" s="142"/>
      <c r="G4346" s="142"/>
      <c r="H4346" s="141"/>
      <c r="I4346" s="8"/>
    </row>
    <row r="4347" spans="2:9" ht="15" hidden="1" customHeight="1" x14ac:dyDescent="0.25">
      <c r="B4347" s="7"/>
      <c r="C4347" s="140">
        <v>4319</v>
      </c>
      <c r="D4347" s="142"/>
      <c r="E4347" s="142"/>
      <c r="F4347" s="142"/>
      <c r="G4347" s="142"/>
      <c r="H4347" s="141"/>
      <c r="I4347" s="8"/>
    </row>
    <row r="4348" spans="2:9" ht="15" hidden="1" customHeight="1" x14ac:dyDescent="0.25">
      <c r="B4348" s="7"/>
      <c r="C4348" s="140">
        <v>4320</v>
      </c>
      <c r="D4348" s="142"/>
      <c r="E4348" s="142"/>
      <c r="F4348" s="142"/>
      <c r="G4348" s="142"/>
      <c r="H4348" s="141"/>
      <c r="I4348" s="8"/>
    </row>
    <row r="4349" spans="2:9" ht="15" hidden="1" customHeight="1" x14ac:dyDescent="0.25">
      <c r="B4349" s="7"/>
      <c r="C4349" s="140">
        <v>4321</v>
      </c>
      <c r="D4349" s="142"/>
      <c r="E4349" s="142"/>
      <c r="F4349" s="142"/>
      <c r="G4349" s="142"/>
      <c r="H4349" s="141"/>
      <c r="I4349" s="8"/>
    </row>
    <row r="4350" spans="2:9" ht="15" hidden="1" customHeight="1" x14ac:dyDescent="0.25">
      <c r="B4350" s="7"/>
      <c r="C4350" s="140">
        <v>4322</v>
      </c>
      <c r="D4350" s="142"/>
      <c r="E4350" s="142"/>
      <c r="F4350" s="142"/>
      <c r="G4350" s="142"/>
      <c r="H4350" s="141"/>
      <c r="I4350" s="8"/>
    </row>
    <row r="4351" spans="2:9" ht="15" hidden="1" customHeight="1" x14ac:dyDescent="0.25">
      <c r="B4351" s="7"/>
      <c r="C4351" s="140">
        <v>4323</v>
      </c>
      <c r="D4351" s="142"/>
      <c r="E4351" s="142"/>
      <c r="F4351" s="142"/>
      <c r="G4351" s="142"/>
      <c r="H4351" s="141"/>
      <c r="I4351" s="8"/>
    </row>
    <row r="4352" spans="2:9" ht="15" hidden="1" customHeight="1" x14ac:dyDescent="0.25">
      <c r="B4352" s="7"/>
      <c r="C4352" s="140">
        <v>4324</v>
      </c>
      <c r="D4352" s="142"/>
      <c r="E4352" s="142"/>
      <c r="F4352" s="142"/>
      <c r="G4352" s="142"/>
      <c r="H4352" s="141"/>
      <c r="I4352" s="8"/>
    </row>
    <row r="4353" spans="2:9" ht="15" hidden="1" customHeight="1" x14ac:dyDescent="0.25">
      <c r="B4353" s="7"/>
      <c r="C4353" s="140">
        <v>4325</v>
      </c>
      <c r="D4353" s="142"/>
      <c r="E4353" s="142"/>
      <c r="F4353" s="142"/>
      <c r="G4353" s="142"/>
      <c r="H4353" s="141"/>
      <c r="I4353" s="8"/>
    </row>
    <row r="4354" spans="2:9" ht="15" hidden="1" customHeight="1" x14ac:dyDescent="0.25">
      <c r="B4354" s="7"/>
      <c r="C4354" s="140">
        <v>4326</v>
      </c>
      <c r="D4354" s="142"/>
      <c r="E4354" s="142"/>
      <c r="F4354" s="142"/>
      <c r="G4354" s="142"/>
      <c r="H4354" s="141"/>
      <c r="I4354" s="8"/>
    </row>
    <row r="4355" spans="2:9" ht="15" hidden="1" customHeight="1" x14ac:dyDescent="0.25">
      <c r="B4355" s="7"/>
      <c r="C4355" s="140">
        <v>4327</v>
      </c>
      <c r="D4355" s="142"/>
      <c r="E4355" s="142"/>
      <c r="F4355" s="142"/>
      <c r="G4355" s="142"/>
      <c r="H4355" s="141"/>
      <c r="I4355" s="8"/>
    </row>
    <row r="4356" spans="2:9" ht="15" hidden="1" customHeight="1" x14ac:dyDescent="0.25">
      <c r="B4356" s="7"/>
      <c r="C4356" s="140">
        <v>4328</v>
      </c>
      <c r="D4356" s="142"/>
      <c r="E4356" s="142"/>
      <c r="F4356" s="142"/>
      <c r="G4356" s="142"/>
      <c r="H4356" s="141"/>
      <c r="I4356" s="8"/>
    </row>
    <row r="4357" spans="2:9" ht="15" hidden="1" customHeight="1" x14ac:dyDescent="0.25">
      <c r="B4357" s="7"/>
      <c r="C4357" s="140">
        <v>4329</v>
      </c>
      <c r="D4357" s="142"/>
      <c r="E4357" s="142"/>
      <c r="F4357" s="142"/>
      <c r="G4357" s="142"/>
      <c r="H4357" s="141"/>
      <c r="I4357" s="8"/>
    </row>
    <row r="4358" spans="2:9" ht="15" hidden="1" customHeight="1" x14ac:dyDescent="0.25">
      <c r="B4358" s="7"/>
      <c r="C4358" s="140">
        <v>4330</v>
      </c>
      <c r="D4358" s="142"/>
      <c r="E4358" s="142"/>
      <c r="F4358" s="142"/>
      <c r="G4358" s="142"/>
      <c r="H4358" s="141"/>
      <c r="I4358" s="8"/>
    </row>
    <row r="4359" spans="2:9" ht="15" hidden="1" customHeight="1" x14ac:dyDescent="0.25">
      <c r="B4359" s="7"/>
      <c r="C4359" s="140">
        <v>4331</v>
      </c>
      <c r="D4359" s="142"/>
      <c r="E4359" s="142"/>
      <c r="F4359" s="142"/>
      <c r="G4359" s="142"/>
      <c r="H4359" s="141"/>
      <c r="I4359" s="8"/>
    </row>
    <row r="4360" spans="2:9" ht="15" hidden="1" customHeight="1" x14ac:dyDescent="0.25">
      <c r="B4360" s="7"/>
      <c r="C4360" s="140">
        <v>4332</v>
      </c>
      <c r="D4360" s="142"/>
      <c r="E4360" s="142"/>
      <c r="F4360" s="142"/>
      <c r="G4360" s="142"/>
      <c r="H4360" s="141"/>
      <c r="I4360" s="8"/>
    </row>
    <row r="4361" spans="2:9" ht="15" hidden="1" customHeight="1" x14ac:dyDescent="0.25">
      <c r="B4361" s="7"/>
      <c r="C4361" s="140">
        <v>4333</v>
      </c>
      <c r="D4361" s="142"/>
      <c r="E4361" s="142"/>
      <c r="F4361" s="142"/>
      <c r="G4361" s="142"/>
      <c r="H4361" s="141"/>
      <c r="I4361" s="8"/>
    </row>
    <row r="4362" spans="2:9" ht="15" hidden="1" customHeight="1" x14ac:dyDescent="0.25">
      <c r="B4362" s="7"/>
      <c r="C4362" s="140">
        <v>4334</v>
      </c>
      <c r="D4362" s="142"/>
      <c r="E4362" s="142"/>
      <c r="F4362" s="142"/>
      <c r="G4362" s="142"/>
      <c r="H4362" s="141"/>
      <c r="I4362" s="8"/>
    </row>
    <row r="4363" spans="2:9" ht="15" hidden="1" customHeight="1" x14ac:dyDescent="0.25">
      <c r="B4363" s="7"/>
      <c r="C4363" s="140">
        <v>4335</v>
      </c>
      <c r="D4363" s="142"/>
      <c r="E4363" s="142"/>
      <c r="F4363" s="142"/>
      <c r="G4363" s="142"/>
      <c r="H4363" s="141"/>
      <c r="I4363" s="8"/>
    </row>
    <row r="4364" spans="2:9" ht="15" hidden="1" customHeight="1" x14ac:dyDescent="0.25">
      <c r="B4364" s="7"/>
      <c r="C4364" s="140">
        <v>4336</v>
      </c>
      <c r="D4364" s="142"/>
      <c r="E4364" s="142"/>
      <c r="F4364" s="142"/>
      <c r="G4364" s="142"/>
      <c r="H4364" s="141"/>
      <c r="I4364" s="8"/>
    </row>
    <row r="4365" spans="2:9" ht="15" hidden="1" customHeight="1" x14ac:dyDescent="0.25">
      <c r="B4365" s="7"/>
      <c r="C4365" s="140">
        <v>4337</v>
      </c>
      <c r="D4365" s="142"/>
      <c r="E4365" s="142"/>
      <c r="F4365" s="142"/>
      <c r="G4365" s="142"/>
      <c r="H4365" s="141"/>
      <c r="I4365" s="8"/>
    </row>
    <row r="4366" spans="2:9" ht="15" hidden="1" customHeight="1" x14ac:dyDescent="0.25">
      <c r="B4366" s="7"/>
      <c r="C4366" s="140">
        <v>4338</v>
      </c>
      <c r="D4366" s="142"/>
      <c r="E4366" s="142"/>
      <c r="F4366" s="142"/>
      <c r="G4366" s="142"/>
      <c r="H4366" s="141"/>
      <c r="I4366" s="8"/>
    </row>
    <row r="4367" spans="2:9" ht="15" hidden="1" customHeight="1" x14ac:dyDescent="0.25">
      <c r="B4367" s="7"/>
      <c r="C4367" s="140">
        <v>4339</v>
      </c>
      <c r="D4367" s="142"/>
      <c r="E4367" s="142"/>
      <c r="F4367" s="142"/>
      <c r="G4367" s="142"/>
      <c r="H4367" s="141"/>
      <c r="I4367" s="8"/>
    </row>
    <row r="4368" spans="2:9" ht="15" hidden="1" customHeight="1" x14ac:dyDescent="0.25">
      <c r="B4368" s="7"/>
      <c r="C4368" s="140">
        <v>4340</v>
      </c>
      <c r="D4368" s="142"/>
      <c r="E4368" s="142"/>
      <c r="F4368" s="142"/>
      <c r="G4368" s="142"/>
      <c r="H4368" s="141"/>
      <c r="I4368" s="8"/>
    </row>
    <row r="4369" spans="2:9" ht="15" hidden="1" customHeight="1" x14ac:dyDescent="0.25">
      <c r="B4369" s="7"/>
      <c r="C4369" s="140">
        <v>4341</v>
      </c>
      <c r="D4369" s="142"/>
      <c r="E4369" s="142"/>
      <c r="F4369" s="142"/>
      <c r="G4369" s="142"/>
      <c r="H4369" s="141"/>
      <c r="I4369" s="8"/>
    </row>
    <row r="4370" spans="2:9" ht="15" hidden="1" customHeight="1" x14ac:dyDescent="0.25">
      <c r="B4370" s="7"/>
      <c r="C4370" s="140">
        <v>4342</v>
      </c>
      <c r="D4370" s="142"/>
      <c r="E4370" s="142"/>
      <c r="F4370" s="142"/>
      <c r="G4370" s="142"/>
      <c r="H4370" s="141"/>
      <c r="I4370" s="8"/>
    </row>
    <row r="4371" spans="2:9" ht="15" hidden="1" customHeight="1" x14ac:dyDescent="0.25">
      <c r="B4371" s="7"/>
      <c r="C4371" s="140">
        <v>4343</v>
      </c>
      <c r="D4371" s="142"/>
      <c r="E4371" s="142"/>
      <c r="F4371" s="142"/>
      <c r="G4371" s="142"/>
      <c r="H4371" s="141"/>
      <c r="I4371" s="8"/>
    </row>
    <row r="4372" spans="2:9" ht="15" hidden="1" customHeight="1" x14ac:dyDescent="0.25">
      <c r="B4372" s="7"/>
      <c r="C4372" s="140">
        <v>4344</v>
      </c>
      <c r="D4372" s="142"/>
      <c r="E4372" s="142"/>
      <c r="F4372" s="142"/>
      <c r="G4372" s="142"/>
      <c r="H4372" s="141"/>
      <c r="I4372" s="8"/>
    </row>
    <row r="4373" spans="2:9" ht="15" hidden="1" customHeight="1" x14ac:dyDescent="0.25">
      <c r="B4373" s="7"/>
      <c r="C4373" s="140">
        <v>4345</v>
      </c>
      <c r="D4373" s="142"/>
      <c r="E4373" s="142"/>
      <c r="F4373" s="142"/>
      <c r="G4373" s="142"/>
      <c r="H4373" s="141"/>
      <c r="I4373" s="8"/>
    </row>
    <row r="4374" spans="2:9" ht="15" hidden="1" customHeight="1" x14ac:dyDescent="0.25">
      <c r="B4374" s="7"/>
      <c r="C4374" s="140">
        <v>4346</v>
      </c>
      <c r="D4374" s="142"/>
      <c r="E4374" s="142"/>
      <c r="F4374" s="142"/>
      <c r="G4374" s="142"/>
      <c r="H4374" s="141"/>
      <c r="I4374" s="8"/>
    </row>
    <row r="4375" spans="2:9" ht="15" hidden="1" customHeight="1" x14ac:dyDescent="0.25">
      <c r="B4375" s="7"/>
      <c r="C4375" s="140">
        <v>4347</v>
      </c>
      <c r="D4375" s="142"/>
      <c r="E4375" s="142"/>
      <c r="F4375" s="142"/>
      <c r="G4375" s="142"/>
      <c r="H4375" s="141"/>
      <c r="I4375" s="8"/>
    </row>
    <row r="4376" spans="2:9" ht="15" hidden="1" customHeight="1" x14ac:dyDescent="0.25">
      <c r="B4376" s="7"/>
      <c r="C4376" s="140">
        <v>4348</v>
      </c>
      <c r="D4376" s="142"/>
      <c r="E4376" s="142"/>
      <c r="F4376" s="142"/>
      <c r="G4376" s="142"/>
      <c r="H4376" s="141"/>
      <c r="I4376" s="8"/>
    </row>
    <row r="4377" spans="2:9" ht="15" hidden="1" customHeight="1" x14ac:dyDescent="0.25">
      <c r="B4377" s="7"/>
      <c r="C4377" s="140">
        <v>4349</v>
      </c>
      <c r="D4377" s="142"/>
      <c r="E4377" s="142"/>
      <c r="F4377" s="142"/>
      <c r="G4377" s="142"/>
      <c r="H4377" s="141"/>
      <c r="I4377" s="8"/>
    </row>
    <row r="4378" spans="2:9" ht="15" hidden="1" customHeight="1" x14ac:dyDescent="0.25">
      <c r="B4378" s="7"/>
      <c r="C4378" s="140">
        <v>4350</v>
      </c>
      <c r="D4378" s="142"/>
      <c r="E4378" s="142"/>
      <c r="F4378" s="142"/>
      <c r="G4378" s="142"/>
      <c r="H4378" s="141"/>
      <c r="I4378" s="8"/>
    </row>
    <row r="4379" spans="2:9" ht="15" hidden="1" customHeight="1" x14ac:dyDescent="0.25">
      <c r="B4379" s="7"/>
      <c r="C4379" s="140">
        <v>4351</v>
      </c>
      <c r="D4379" s="142"/>
      <c r="E4379" s="142"/>
      <c r="F4379" s="142"/>
      <c r="G4379" s="142"/>
      <c r="H4379" s="141"/>
      <c r="I4379" s="8"/>
    </row>
    <row r="4380" spans="2:9" ht="15" hidden="1" customHeight="1" x14ac:dyDescent="0.25">
      <c r="B4380" s="7"/>
      <c r="C4380" s="140">
        <v>4352</v>
      </c>
      <c r="D4380" s="142"/>
      <c r="E4380" s="142"/>
      <c r="F4380" s="142"/>
      <c r="G4380" s="142"/>
      <c r="H4380" s="141"/>
      <c r="I4380" s="8"/>
    </row>
    <row r="4381" spans="2:9" ht="15" hidden="1" customHeight="1" x14ac:dyDescent="0.25">
      <c r="B4381" s="7"/>
      <c r="C4381" s="140">
        <v>4353</v>
      </c>
      <c r="D4381" s="142"/>
      <c r="E4381" s="142"/>
      <c r="F4381" s="142"/>
      <c r="G4381" s="142"/>
      <c r="H4381" s="141"/>
      <c r="I4381" s="8"/>
    </row>
    <row r="4382" spans="2:9" ht="15" hidden="1" customHeight="1" x14ac:dyDescent="0.25">
      <c r="B4382" s="7"/>
      <c r="C4382" s="140">
        <v>4354</v>
      </c>
      <c r="D4382" s="142"/>
      <c r="E4382" s="142"/>
      <c r="F4382" s="142"/>
      <c r="G4382" s="142"/>
      <c r="H4382" s="141"/>
      <c r="I4382" s="8"/>
    </row>
    <row r="4383" spans="2:9" ht="15" hidden="1" customHeight="1" x14ac:dyDescent="0.25">
      <c r="B4383" s="7"/>
      <c r="C4383" s="140">
        <v>4355</v>
      </c>
      <c r="D4383" s="142"/>
      <c r="E4383" s="142"/>
      <c r="F4383" s="142"/>
      <c r="G4383" s="142"/>
      <c r="H4383" s="141"/>
      <c r="I4383" s="8"/>
    </row>
    <row r="4384" spans="2:9" ht="15" hidden="1" customHeight="1" x14ac:dyDescent="0.25">
      <c r="B4384" s="7"/>
      <c r="C4384" s="140">
        <v>4356</v>
      </c>
      <c r="D4384" s="142"/>
      <c r="E4384" s="142"/>
      <c r="F4384" s="142"/>
      <c r="G4384" s="142"/>
      <c r="H4384" s="141"/>
      <c r="I4384" s="8"/>
    </row>
    <row r="4385" spans="2:9" ht="15" hidden="1" customHeight="1" x14ac:dyDescent="0.25">
      <c r="B4385" s="7"/>
      <c r="C4385" s="140">
        <v>4357</v>
      </c>
      <c r="D4385" s="142"/>
      <c r="E4385" s="142"/>
      <c r="F4385" s="142"/>
      <c r="G4385" s="142"/>
      <c r="H4385" s="141"/>
      <c r="I4385" s="8"/>
    </row>
    <row r="4386" spans="2:9" ht="15" hidden="1" customHeight="1" x14ac:dyDescent="0.25">
      <c r="B4386" s="7"/>
      <c r="C4386" s="140">
        <v>4358</v>
      </c>
      <c r="D4386" s="142"/>
      <c r="E4386" s="142"/>
      <c r="F4386" s="142"/>
      <c r="G4386" s="142"/>
      <c r="H4386" s="141"/>
      <c r="I4386" s="8"/>
    </row>
    <row r="4387" spans="2:9" ht="15" hidden="1" customHeight="1" x14ac:dyDescent="0.25">
      <c r="B4387" s="7"/>
      <c r="C4387" s="140">
        <v>4359</v>
      </c>
      <c r="D4387" s="142"/>
      <c r="E4387" s="142"/>
      <c r="F4387" s="142"/>
      <c r="G4387" s="142"/>
      <c r="H4387" s="141"/>
      <c r="I4387" s="8"/>
    </row>
    <row r="4388" spans="2:9" ht="15" hidden="1" customHeight="1" x14ac:dyDescent="0.25">
      <c r="B4388" s="7"/>
      <c r="C4388" s="140">
        <v>4360</v>
      </c>
      <c r="D4388" s="142"/>
      <c r="E4388" s="142"/>
      <c r="F4388" s="142"/>
      <c r="G4388" s="142"/>
      <c r="H4388" s="141"/>
      <c r="I4388" s="8"/>
    </row>
    <row r="4389" spans="2:9" ht="15" hidden="1" customHeight="1" x14ac:dyDescent="0.25">
      <c r="B4389" s="7"/>
      <c r="C4389" s="140">
        <v>4361</v>
      </c>
      <c r="D4389" s="142"/>
      <c r="E4389" s="142"/>
      <c r="F4389" s="142"/>
      <c r="G4389" s="142"/>
      <c r="H4389" s="141"/>
      <c r="I4389" s="8"/>
    </row>
    <row r="4390" spans="2:9" ht="15" hidden="1" customHeight="1" x14ac:dyDescent="0.25">
      <c r="B4390" s="7"/>
      <c r="C4390" s="140">
        <v>4362</v>
      </c>
      <c r="D4390" s="142"/>
      <c r="E4390" s="142"/>
      <c r="F4390" s="142"/>
      <c r="G4390" s="142"/>
      <c r="H4390" s="141"/>
      <c r="I4390" s="8"/>
    </row>
    <row r="4391" spans="2:9" ht="15" hidden="1" customHeight="1" x14ac:dyDescent="0.25">
      <c r="B4391" s="7"/>
      <c r="C4391" s="140">
        <v>4363</v>
      </c>
      <c r="D4391" s="142"/>
      <c r="E4391" s="142"/>
      <c r="F4391" s="142"/>
      <c r="G4391" s="142"/>
      <c r="H4391" s="141"/>
      <c r="I4391" s="8"/>
    </row>
    <row r="4392" spans="2:9" ht="15" hidden="1" customHeight="1" x14ac:dyDescent="0.25">
      <c r="B4392" s="7"/>
      <c r="C4392" s="140">
        <v>4364</v>
      </c>
      <c r="D4392" s="142"/>
      <c r="E4392" s="142"/>
      <c r="F4392" s="142"/>
      <c r="G4392" s="142"/>
      <c r="H4392" s="141"/>
      <c r="I4392" s="8"/>
    </row>
    <row r="4393" spans="2:9" ht="15" hidden="1" customHeight="1" x14ac:dyDescent="0.25">
      <c r="B4393" s="7"/>
      <c r="C4393" s="140">
        <v>4365</v>
      </c>
      <c r="D4393" s="142"/>
      <c r="E4393" s="142"/>
      <c r="F4393" s="142"/>
      <c r="G4393" s="142"/>
      <c r="H4393" s="141"/>
      <c r="I4393" s="8"/>
    </row>
    <row r="4394" spans="2:9" ht="15" hidden="1" customHeight="1" x14ac:dyDescent="0.25">
      <c r="B4394" s="7"/>
      <c r="C4394" s="140">
        <v>4366</v>
      </c>
      <c r="D4394" s="142"/>
      <c r="E4394" s="142"/>
      <c r="F4394" s="142"/>
      <c r="G4394" s="142"/>
      <c r="H4394" s="141"/>
      <c r="I4394" s="8"/>
    </row>
    <row r="4395" spans="2:9" ht="15" hidden="1" customHeight="1" x14ac:dyDescent="0.25">
      <c r="B4395" s="7"/>
      <c r="C4395" s="140">
        <v>4367</v>
      </c>
      <c r="D4395" s="142"/>
      <c r="E4395" s="142"/>
      <c r="F4395" s="142"/>
      <c r="G4395" s="142"/>
      <c r="H4395" s="141"/>
      <c r="I4395" s="8"/>
    </row>
    <row r="4396" spans="2:9" ht="15" hidden="1" customHeight="1" x14ac:dyDescent="0.25">
      <c r="B4396" s="7"/>
      <c r="C4396" s="140">
        <v>4368</v>
      </c>
      <c r="D4396" s="142"/>
      <c r="E4396" s="142"/>
      <c r="F4396" s="142"/>
      <c r="G4396" s="142"/>
      <c r="H4396" s="141"/>
      <c r="I4396" s="8"/>
    </row>
    <row r="4397" spans="2:9" ht="15" hidden="1" customHeight="1" x14ac:dyDescent="0.25">
      <c r="B4397" s="7"/>
      <c r="C4397" s="140">
        <v>4369</v>
      </c>
      <c r="D4397" s="142"/>
      <c r="E4397" s="142"/>
      <c r="F4397" s="142"/>
      <c r="G4397" s="142"/>
      <c r="H4397" s="141"/>
      <c r="I4397" s="8"/>
    </row>
    <row r="4398" spans="2:9" ht="15" hidden="1" customHeight="1" x14ac:dyDescent="0.25">
      <c r="B4398" s="7"/>
      <c r="C4398" s="140">
        <v>4370</v>
      </c>
      <c r="D4398" s="142"/>
      <c r="E4398" s="142"/>
      <c r="F4398" s="142"/>
      <c r="G4398" s="142"/>
      <c r="H4398" s="141"/>
      <c r="I4398" s="8"/>
    </row>
    <row r="4399" spans="2:9" ht="15" hidden="1" customHeight="1" x14ac:dyDescent="0.25">
      <c r="B4399" s="7"/>
      <c r="C4399" s="140">
        <v>4371</v>
      </c>
      <c r="D4399" s="142"/>
      <c r="E4399" s="142"/>
      <c r="F4399" s="142"/>
      <c r="G4399" s="142"/>
      <c r="H4399" s="141"/>
      <c r="I4399" s="8"/>
    </row>
    <row r="4400" spans="2:9" ht="15" hidden="1" customHeight="1" x14ac:dyDescent="0.25">
      <c r="B4400" s="7"/>
      <c r="C4400" s="140">
        <v>4372</v>
      </c>
      <c r="D4400" s="142"/>
      <c r="E4400" s="142"/>
      <c r="F4400" s="142"/>
      <c r="G4400" s="142"/>
      <c r="H4400" s="141"/>
      <c r="I4400" s="8"/>
    </row>
    <row r="4401" spans="2:9" ht="15" hidden="1" customHeight="1" x14ac:dyDescent="0.25">
      <c r="B4401" s="7"/>
      <c r="C4401" s="140">
        <v>4373</v>
      </c>
      <c r="D4401" s="142"/>
      <c r="E4401" s="142"/>
      <c r="F4401" s="142"/>
      <c r="G4401" s="142"/>
      <c r="H4401" s="141"/>
      <c r="I4401" s="8"/>
    </row>
    <row r="4402" spans="2:9" ht="15" hidden="1" customHeight="1" x14ac:dyDescent="0.25">
      <c r="B4402" s="7"/>
      <c r="C4402" s="140">
        <v>4374</v>
      </c>
      <c r="D4402" s="142"/>
      <c r="E4402" s="142"/>
      <c r="F4402" s="142"/>
      <c r="G4402" s="142"/>
      <c r="H4402" s="141"/>
      <c r="I4402" s="8"/>
    </row>
    <row r="4403" spans="2:9" ht="15" hidden="1" customHeight="1" x14ac:dyDescent="0.25">
      <c r="B4403" s="7"/>
      <c r="C4403" s="140">
        <v>4375</v>
      </c>
      <c r="D4403" s="142"/>
      <c r="E4403" s="142"/>
      <c r="F4403" s="142"/>
      <c r="G4403" s="142"/>
      <c r="H4403" s="141"/>
      <c r="I4403" s="8"/>
    </row>
    <row r="4404" spans="2:9" ht="15" hidden="1" customHeight="1" x14ac:dyDescent="0.25">
      <c r="B4404" s="7"/>
      <c r="C4404" s="140">
        <v>4376</v>
      </c>
      <c r="D4404" s="142"/>
      <c r="E4404" s="142"/>
      <c r="F4404" s="142"/>
      <c r="G4404" s="142"/>
      <c r="H4404" s="141"/>
      <c r="I4404" s="8"/>
    </row>
    <row r="4405" spans="2:9" ht="15" hidden="1" customHeight="1" x14ac:dyDescent="0.25">
      <c r="B4405" s="7"/>
      <c r="C4405" s="140">
        <v>4377</v>
      </c>
      <c r="D4405" s="142"/>
      <c r="E4405" s="142"/>
      <c r="F4405" s="142"/>
      <c r="G4405" s="142"/>
      <c r="H4405" s="141"/>
      <c r="I4405" s="8"/>
    </row>
    <row r="4406" spans="2:9" ht="15" hidden="1" customHeight="1" x14ac:dyDescent="0.25">
      <c r="B4406" s="7"/>
      <c r="C4406" s="140">
        <v>4378</v>
      </c>
      <c r="D4406" s="142"/>
      <c r="E4406" s="142"/>
      <c r="F4406" s="142"/>
      <c r="G4406" s="142"/>
      <c r="H4406" s="141"/>
      <c r="I4406" s="8"/>
    </row>
    <row r="4407" spans="2:9" ht="15" hidden="1" customHeight="1" x14ac:dyDescent="0.25">
      <c r="B4407" s="7"/>
      <c r="C4407" s="140">
        <v>4379</v>
      </c>
      <c r="D4407" s="142"/>
      <c r="E4407" s="142"/>
      <c r="F4407" s="142"/>
      <c r="G4407" s="142"/>
      <c r="H4407" s="141"/>
      <c r="I4407" s="8"/>
    </row>
    <row r="4408" spans="2:9" ht="15" hidden="1" customHeight="1" x14ac:dyDescent="0.25">
      <c r="B4408" s="7"/>
      <c r="C4408" s="140">
        <v>4380</v>
      </c>
      <c r="D4408" s="142"/>
      <c r="E4408" s="142"/>
      <c r="F4408" s="142"/>
      <c r="G4408" s="142"/>
      <c r="H4408" s="141"/>
      <c r="I4408" s="8"/>
    </row>
    <row r="4409" spans="2:9" ht="15" hidden="1" customHeight="1" x14ac:dyDescent="0.25">
      <c r="B4409" s="7"/>
      <c r="C4409" s="140">
        <v>4381</v>
      </c>
      <c r="D4409" s="142"/>
      <c r="E4409" s="142"/>
      <c r="F4409" s="142"/>
      <c r="G4409" s="142"/>
      <c r="H4409" s="141"/>
      <c r="I4409" s="8"/>
    </row>
    <row r="4410" spans="2:9" ht="15" hidden="1" customHeight="1" x14ac:dyDescent="0.25">
      <c r="B4410" s="7"/>
      <c r="C4410" s="140">
        <v>4382</v>
      </c>
      <c r="D4410" s="142"/>
      <c r="E4410" s="142"/>
      <c r="F4410" s="142"/>
      <c r="G4410" s="142"/>
      <c r="H4410" s="141"/>
      <c r="I4410" s="8"/>
    </row>
    <row r="4411" spans="2:9" ht="15" hidden="1" customHeight="1" x14ac:dyDescent="0.25">
      <c r="B4411" s="7"/>
      <c r="C4411" s="140">
        <v>4383</v>
      </c>
      <c r="D4411" s="142"/>
      <c r="E4411" s="142"/>
      <c r="F4411" s="142"/>
      <c r="G4411" s="142"/>
      <c r="H4411" s="141"/>
      <c r="I4411" s="8"/>
    </row>
    <row r="4412" spans="2:9" ht="15" hidden="1" customHeight="1" x14ac:dyDescent="0.25">
      <c r="B4412" s="7"/>
      <c r="C4412" s="140">
        <v>4384</v>
      </c>
      <c r="D4412" s="142"/>
      <c r="E4412" s="142"/>
      <c r="F4412" s="142"/>
      <c r="G4412" s="142"/>
      <c r="H4412" s="141"/>
      <c r="I4412" s="8"/>
    </row>
    <row r="4413" spans="2:9" ht="15" hidden="1" customHeight="1" x14ac:dyDescent="0.25">
      <c r="B4413" s="7"/>
      <c r="C4413" s="140">
        <v>4385</v>
      </c>
      <c r="D4413" s="142"/>
      <c r="E4413" s="142"/>
      <c r="F4413" s="142"/>
      <c r="G4413" s="142"/>
      <c r="H4413" s="141"/>
      <c r="I4413" s="8"/>
    </row>
    <row r="4414" spans="2:9" ht="15" hidden="1" customHeight="1" x14ac:dyDescent="0.25">
      <c r="B4414" s="7"/>
      <c r="C4414" s="140">
        <v>4386</v>
      </c>
      <c r="D4414" s="142"/>
      <c r="E4414" s="142"/>
      <c r="F4414" s="142"/>
      <c r="G4414" s="142"/>
      <c r="H4414" s="141"/>
      <c r="I4414" s="8"/>
    </row>
    <row r="4415" spans="2:9" ht="15" hidden="1" customHeight="1" x14ac:dyDescent="0.25">
      <c r="B4415" s="7"/>
      <c r="C4415" s="140">
        <v>4387</v>
      </c>
      <c r="D4415" s="142"/>
      <c r="E4415" s="142"/>
      <c r="F4415" s="142"/>
      <c r="G4415" s="142"/>
      <c r="H4415" s="141"/>
      <c r="I4415" s="8"/>
    </row>
    <row r="4416" spans="2:9" ht="15" hidden="1" customHeight="1" x14ac:dyDescent="0.25">
      <c r="B4416" s="7"/>
      <c r="C4416" s="140">
        <v>4388</v>
      </c>
      <c r="D4416" s="142"/>
      <c r="E4416" s="142"/>
      <c r="F4416" s="142"/>
      <c r="G4416" s="142"/>
      <c r="H4416" s="141"/>
      <c r="I4416" s="8"/>
    </row>
    <row r="4417" spans="2:9" ht="15" hidden="1" customHeight="1" x14ac:dyDescent="0.25">
      <c r="B4417" s="7"/>
      <c r="C4417" s="140">
        <v>4389</v>
      </c>
      <c r="D4417" s="142"/>
      <c r="E4417" s="142"/>
      <c r="F4417" s="142"/>
      <c r="G4417" s="142"/>
      <c r="H4417" s="141"/>
      <c r="I4417" s="8"/>
    </row>
    <row r="4418" spans="2:9" ht="15" hidden="1" customHeight="1" x14ac:dyDescent="0.25">
      <c r="B4418" s="7"/>
      <c r="C4418" s="140">
        <v>4390</v>
      </c>
      <c r="D4418" s="142"/>
      <c r="E4418" s="142"/>
      <c r="F4418" s="142"/>
      <c r="G4418" s="142"/>
      <c r="H4418" s="141"/>
      <c r="I4418" s="8"/>
    </row>
    <row r="4419" spans="2:9" ht="15" hidden="1" customHeight="1" x14ac:dyDescent="0.25">
      <c r="B4419" s="7"/>
      <c r="C4419" s="140">
        <v>4391</v>
      </c>
      <c r="D4419" s="142"/>
      <c r="E4419" s="142"/>
      <c r="F4419" s="142"/>
      <c r="G4419" s="142"/>
      <c r="H4419" s="141"/>
      <c r="I4419" s="8"/>
    </row>
    <row r="4420" spans="2:9" ht="15" hidden="1" customHeight="1" x14ac:dyDescent="0.25">
      <c r="B4420" s="7"/>
      <c r="C4420" s="140">
        <v>4392</v>
      </c>
      <c r="D4420" s="142"/>
      <c r="E4420" s="142"/>
      <c r="F4420" s="142"/>
      <c r="G4420" s="142"/>
      <c r="H4420" s="141"/>
      <c r="I4420" s="8"/>
    </row>
    <row r="4421" spans="2:9" ht="15" hidden="1" customHeight="1" x14ac:dyDescent="0.25">
      <c r="B4421" s="7"/>
      <c r="C4421" s="140">
        <v>4393</v>
      </c>
      <c r="D4421" s="142"/>
      <c r="E4421" s="142"/>
      <c r="F4421" s="142"/>
      <c r="G4421" s="142"/>
      <c r="H4421" s="141"/>
      <c r="I4421" s="8"/>
    </row>
    <row r="4422" spans="2:9" ht="15" hidden="1" customHeight="1" x14ac:dyDescent="0.25">
      <c r="B4422" s="7"/>
      <c r="C4422" s="140">
        <v>4394</v>
      </c>
      <c r="D4422" s="142"/>
      <c r="E4422" s="142"/>
      <c r="F4422" s="142"/>
      <c r="G4422" s="142"/>
      <c r="H4422" s="141"/>
      <c r="I4422" s="8"/>
    </row>
    <row r="4423" spans="2:9" ht="15" hidden="1" customHeight="1" x14ac:dyDescent="0.25">
      <c r="B4423" s="7"/>
      <c r="C4423" s="140">
        <v>4395</v>
      </c>
      <c r="D4423" s="142"/>
      <c r="E4423" s="142"/>
      <c r="F4423" s="142"/>
      <c r="G4423" s="142"/>
      <c r="H4423" s="141"/>
      <c r="I4423" s="8"/>
    </row>
    <row r="4424" spans="2:9" ht="15" hidden="1" customHeight="1" x14ac:dyDescent="0.25">
      <c r="B4424" s="7"/>
      <c r="C4424" s="140">
        <v>4396</v>
      </c>
      <c r="D4424" s="142"/>
      <c r="E4424" s="142"/>
      <c r="F4424" s="142"/>
      <c r="G4424" s="142"/>
      <c r="H4424" s="141"/>
      <c r="I4424" s="8"/>
    </row>
    <row r="4425" spans="2:9" ht="15" hidden="1" customHeight="1" x14ac:dyDescent="0.25">
      <c r="B4425" s="7"/>
      <c r="C4425" s="140">
        <v>4397</v>
      </c>
      <c r="D4425" s="142"/>
      <c r="E4425" s="142"/>
      <c r="F4425" s="142"/>
      <c r="G4425" s="142"/>
      <c r="H4425" s="141"/>
      <c r="I4425" s="8"/>
    </row>
    <row r="4426" spans="2:9" ht="15" hidden="1" customHeight="1" x14ac:dyDescent="0.25">
      <c r="B4426" s="7"/>
      <c r="C4426" s="140">
        <v>4398</v>
      </c>
      <c r="D4426" s="142"/>
      <c r="E4426" s="142"/>
      <c r="F4426" s="142"/>
      <c r="G4426" s="142"/>
      <c r="H4426" s="141"/>
      <c r="I4426" s="8"/>
    </row>
    <row r="4427" spans="2:9" ht="15" hidden="1" customHeight="1" x14ac:dyDescent="0.25">
      <c r="B4427" s="7"/>
      <c r="C4427" s="140">
        <v>4399</v>
      </c>
      <c r="D4427" s="142"/>
      <c r="E4427" s="142"/>
      <c r="F4427" s="142"/>
      <c r="G4427" s="142"/>
      <c r="H4427" s="141"/>
      <c r="I4427" s="8"/>
    </row>
    <row r="4428" spans="2:9" ht="15" hidden="1" customHeight="1" x14ac:dyDescent="0.25">
      <c r="B4428" s="7"/>
      <c r="C4428" s="140">
        <v>4400</v>
      </c>
      <c r="D4428" s="142"/>
      <c r="E4428" s="142"/>
      <c r="F4428" s="142"/>
      <c r="G4428" s="142"/>
      <c r="H4428" s="141"/>
      <c r="I4428" s="8"/>
    </row>
    <row r="4429" spans="2:9" ht="15" hidden="1" customHeight="1" x14ac:dyDescent="0.25">
      <c r="B4429" s="7"/>
      <c r="C4429" s="140">
        <v>4401</v>
      </c>
      <c r="D4429" s="142"/>
      <c r="E4429" s="142"/>
      <c r="F4429" s="142"/>
      <c r="G4429" s="142"/>
      <c r="H4429" s="141"/>
      <c r="I4429" s="8"/>
    </row>
    <row r="4430" spans="2:9" ht="15" hidden="1" customHeight="1" x14ac:dyDescent="0.25">
      <c r="B4430" s="7"/>
      <c r="C4430" s="140">
        <v>4402</v>
      </c>
      <c r="D4430" s="142"/>
      <c r="E4430" s="142"/>
      <c r="F4430" s="142"/>
      <c r="G4430" s="142"/>
      <c r="H4430" s="141"/>
      <c r="I4430" s="8"/>
    </row>
    <row r="4431" spans="2:9" ht="15" hidden="1" customHeight="1" x14ac:dyDescent="0.25">
      <c r="B4431" s="7"/>
      <c r="C4431" s="140">
        <v>4403</v>
      </c>
      <c r="D4431" s="142"/>
      <c r="E4431" s="142"/>
      <c r="F4431" s="142"/>
      <c r="G4431" s="142"/>
      <c r="H4431" s="141"/>
      <c r="I4431" s="8"/>
    </row>
    <row r="4432" spans="2:9" ht="15" hidden="1" customHeight="1" x14ac:dyDescent="0.25">
      <c r="B4432" s="7"/>
      <c r="C4432" s="140">
        <v>4404</v>
      </c>
      <c r="D4432" s="142"/>
      <c r="E4432" s="142"/>
      <c r="F4432" s="142"/>
      <c r="G4432" s="142"/>
      <c r="H4432" s="141"/>
      <c r="I4432" s="8"/>
    </row>
    <row r="4433" spans="2:9" ht="15" hidden="1" customHeight="1" x14ac:dyDescent="0.25">
      <c r="B4433" s="7"/>
      <c r="C4433" s="140">
        <v>4405</v>
      </c>
      <c r="D4433" s="142"/>
      <c r="E4433" s="142"/>
      <c r="F4433" s="142"/>
      <c r="G4433" s="142"/>
      <c r="H4433" s="141"/>
      <c r="I4433" s="8"/>
    </row>
    <row r="4434" spans="2:9" ht="15" hidden="1" customHeight="1" x14ac:dyDescent="0.25">
      <c r="B4434" s="7"/>
      <c r="C4434" s="140">
        <v>4406</v>
      </c>
      <c r="D4434" s="142"/>
      <c r="E4434" s="142"/>
      <c r="F4434" s="142"/>
      <c r="G4434" s="142"/>
      <c r="H4434" s="141"/>
      <c r="I4434" s="8"/>
    </row>
    <row r="4435" spans="2:9" ht="15" hidden="1" customHeight="1" x14ac:dyDescent="0.25">
      <c r="B4435" s="7"/>
      <c r="C4435" s="140">
        <v>4407</v>
      </c>
      <c r="D4435" s="142"/>
      <c r="E4435" s="142"/>
      <c r="F4435" s="142"/>
      <c r="G4435" s="142"/>
      <c r="H4435" s="141"/>
      <c r="I4435" s="8"/>
    </row>
    <row r="4436" spans="2:9" ht="15" hidden="1" customHeight="1" x14ac:dyDescent="0.25">
      <c r="B4436" s="7"/>
      <c r="C4436" s="140">
        <v>4408</v>
      </c>
      <c r="D4436" s="142"/>
      <c r="E4436" s="142"/>
      <c r="F4436" s="142"/>
      <c r="G4436" s="142"/>
      <c r="H4436" s="141"/>
      <c r="I4436" s="8"/>
    </row>
    <row r="4437" spans="2:9" ht="15" hidden="1" customHeight="1" x14ac:dyDescent="0.25">
      <c r="B4437" s="7"/>
      <c r="C4437" s="140">
        <v>4409</v>
      </c>
      <c r="D4437" s="142"/>
      <c r="E4437" s="142"/>
      <c r="F4437" s="142"/>
      <c r="G4437" s="142"/>
      <c r="H4437" s="141"/>
      <c r="I4437" s="8"/>
    </row>
    <row r="4438" spans="2:9" ht="15" hidden="1" customHeight="1" x14ac:dyDescent="0.25">
      <c r="B4438" s="7"/>
      <c r="C4438" s="140">
        <v>4410</v>
      </c>
      <c r="D4438" s="142"/>
      <c r="E4438" s="142"/>
      <c r="F4438" s="142"/>
      <c r="G4438" s="142"/>
      <c r="H4438" s="141"/>
      <c r="I4438" s="8"/>
    </row>
    <row r="4439" spans="2:9" ht="15" hidden="1" customHeight="1" x14ac:dyDescent="0.25">
      <c r="B4439" s="7"/>
      <c r="C4439" s="140">
        <v>4411</v>
      </c>
      <c r="D4439" s="142"/>
      <c r="E4439" s="142"/>
      <c r="F4439" s="142"/>
      <c r="G4439" s="142"/>
      <c r="H4439" s="141"/>
      <c r="I4439" s="8"/>
    </row>
    <row r="4440" spans="2:9" ht="15" hidden="1" customHeight="1" x14ac:dyDescent="0.25">
      <c r="B4440" s="7"/>
      <c r="C4440" s="140">
        <v>4412</v>
      </c>
      <c r="D4440" s="142"/>
      <c r="E4440" s="142"/>
      <c r="F4440" s="142"/>
      <c r="G4440" s="142"/>
      <c r="H4440" s="141"/>
      <c r="I4440" s="8"/>
    </row>
    <row r="4441" spans="2:9" ht="15" hidden="1" customHeight="1" x14ac:dyDescent="0.25">
      <c r="B4441" s="7"/>
      <c r="C4441" s="140">
        <v>4413</v>
      </c>
      <c r="D4441" s="142"/>
      <c r="E4441" s="142"/>
      <c r="F4441" s="142"/>
      <c r="G4441" s="142"/>
      <c r="H4441" s="141"/>
      <c r="I4441" s="8"/>
    </row>
    <row r="4442" spans="2:9" ht="15" hidden="1" customHeight="1" x14ac:dyDescent="0.25">
      <c r="B4442" s="7"/>
      <c r="C4442" s="140">
        <v>4414</v>
      </c>
      <c r="D4442" s="142"/>
      <c r="E4442" s="142"/>
      <c r="F4442" s="142"/>
      <c r="G4442" s="142"/>
      <c r="H4442" s="141"/>
      <c r="I4442" s="8"/>
    </row>
    <row r="4443" spans="2:9" ht="15" hidden="1" customHeight="1" x14ac:dyDescent="0.25">
      <c r="B4443" s="7"/>
      <c r="C4443" s="140">
        <v>4415</v>
      </c>
      <c r="D4443" s="142"/>
      <c r="E4443" s="142"/>
      <c r="F4443" s="142"/>
      <c r="G4443" s="142"/>
      <c r="H4443" s="141"/>
      <c r="I4443" s="8"/>
    </row>
    <row r="4444" spans="2:9" ht="15" hidden="1" customHeight="1" x14ac:dyDescent="0.25">
      <c r="B4444" s="7"/>
      <c r="C4444" s="140">
        <v>4416</v>
      </c>
      <c r="D4444" s="142"/>
      <c r="E4444" s="142"/>
      <c r="F4444" s="142"/>
      <c r="G4444" s="142"/>
      <c r="H4444" s="141"/>
      <c r="I4444" s="8"/>
    </row>
    <row r="4445" spans="2:9" ht="15" hidden="1" customHeight="1" x14ac:dyDescent="0.25">
      <c r="B4445" s="7"/>
      <c r="C4445" s="140">
        <v>4417</v>
      </c>
      <c r="D4445" s="142"/>
      <c r="E4445" s="142"/>
      <c r="F4445" s="142"/>
      <c r="G4445" s="142"/>
      <c r="H4445" s="141"/>
      <c r="I4445" s="8"/>
    </row>
    <row r="4446" spans="2:9" ht="15" hidden="1" customHeight="1" x14ac:dyDescent="0.25">
      <c r="B4446" s="7"/>
      <c r="C4446" s="140">
        <v>4418</v>
      </c>
      <c r="D4446" s="142"/>
      <c r="E4446" s="142"/>
      <c r="F4446" s="142"/>
      <c r="G4446" s="142"/>
      <c r="H4446" s="141"/>
      <c r="I4446" s="8"/>
    </row>
    <row r="4447" spans="2:9" ht="15" hidden="1" customHeight="1" x14ac:dyDescent="0.25">
      <c r="B4447" s="7"/>
      <c r="C4447" s="140">
        <v>4419</v>
      </c>
      <c r="D4447" s="142"/>
      <c r="E4447" s="142"/>
      <c r="F4447" s="142"/>
      <c r="G4447" s="142"/>
      <c r="H4447" s="141"/>
      <c r="I4447" s="8"/>
    </row>
    <row r="4448" spans="2:9" ht="15" hidden="1" customHeight="1" x14ac:dyDescent="0.25">
      <c r="B4448" s="7"/>
      <c r="C4448" s="140">
        <v>4420</v>
      </c>
      <c r="D4448" s="142"/>
      <c r="E4448" s="142"/>
      <c r="F4448" s="142"/>
      <c r="G4448" s="142"/>
      <c r="H4448" s="141"/>
      <c r="I4448" s="8"/>
    </row>
    <row r="4449" spans="2:9" ht="15" hidden="1" customHeight="1" x14ac:dyDescent="0.25">
      <c r="B4449" s="7"/>
      <c r="C4449" s="140">
        <v>4421</v>
      </c>
      <c r="D4449" s="142"/>
      <c r="E4449" s="142"/>
      <c r="F4449" s="142"/>
      <c r="G4449" s="142"/>
      <c r="H4449" s="141"/>
      <c r="I4449" s="8"/>
    </row>
    <row r="4450" spans="2:9" ht="15" hidden="1" customHeight="1" x14ac:dyDescent="0.25">
      <c r="B4450" s="7"/>
      <c r="C4450" s="140">
        <v>4422</v>
      </c>
      <c r="D4450" s="142"/>
      <c r="E4450" s="142"/>
      <c r="F4450" s="142"/>
      <c r="G4450" s="142"/>
      <c r="H4450" s="141"/>
      <c r="I4450" s="8"/>
    </row>
    <row r="4451" spans="2:9" ht="15" hidden="1" customHeight="1" x14ac:dyDescent="0.25">
      <c r="B4451" s="7"/>
      <c r="C4451" s="140">
        <v>4423</v>
      </c>
      <c r="D4451" s="142"/>
      <c r="E4451" s="142"/>
      <c r="F4451" s="142"/>
      <c r="G4451" s="142"/>
      <c r="H4451" s="141"/>
      <c r="I4451" s="8"/>
    </row>
    <row r="4452" spans="2:9" ht="15" hidden="1" customHeight="1" x14ac:dyDescent="0.25">
      <c r="B4452" s="7"/>
      <c r="C4452" s="140">
        <v>4424</v>
      </c>
      <c r="D4452" s="142"/>
      <c r="E4452" s="142"/>
      <c r="F4452" s="142"/>
      <c r="G4452" s="142"/>
      <c r="H4452" s="141"/>
      <c r="I4452" s="8"/>
    </row>
    <row r="4453" spans="2:9" ht="15" hidden="1" customHeight="1" x14ac:dyDescent="0.25">
      <c r="B4453" s="7"/>
      <c r="C4453" s="140">
        <v>4425</v>
      </c>
      <c r="D4453" s="142"/>
      <c r="E4453" s="142"/>
      <c r="F4453" s="142"/>
      <c r="G4453" s="142"/>
      <c r="H4453" s="141"/>
      <c r="I4453" s="8"/>
    </row>
    <row r="4454" spans="2:9" ht="15" hidden="1" customHeight="1" x14ac:dyDescent="0.25">
      <c r="B4454" s="7"/>
      <c r="C4454" s="140">
        <v>4426</v>
      </c>
      <c r="D4454" s="142"/>
      <c r="E4454" s="142"/>
      <c r="F4454" s="142"/>
      <c r="G4454" s="142"/>
      <c r="H4454" s="141"/>
      <c r="I4454" s="8"/>
    </row>
    <row r="4455" spans="2:9" ht="15" hidden="1" customHeight="1" x14ac:dyDescent="0.25">
      <c r="B4455" s="7"/>
      <c r="C4455" s="140">
        <v>4427</v>
      </c>
      <c r="D4455" s="142"/>
      <c r="E4455" s="142"/>
      <c r="F4455" s="142"/>
      <c r="G4455" s="142"/>
      <c r="H4455" s="141"/>
      <c r="I4455" s="8"/>
    </row>
    <row r="4456" spans="2:9" ht="15" hidden="1" customHeight="1" x14ac:dyDescent="0.25">
      <c r="B4456" s="7"/>
      <c r="C4456" s="140">
        <v>4428</v>
      </c>
      <c r="D4456" s="142"/>
      <c r="E4456" s="142"/>
      <c r="F4456" s="142"/>
      <c r="G4456" s="142"/>
      <c r="H4456" s="141"/>
      <c r="I4456" s="8"/>
    </row>
    <row r="4457" spans="2:9" ht="15" hidden="1" customHeight="1" x14ac:dyDescent="0.25">
      <c r="B4457" s="7"/>
      <c r="C4457" s="140">
        <v>4429</v>
      </c>
      <c r="D4457" s="142"/>
      <c r="E4457" s="142"/>
      <c r="F4457" s="142"/>
      <c r="G4457" s="142"/>
      <c r="H4457" s="141"/>
      <c r="I4457" s="8"/>
    </row>
    <row r="4458" spans="2:9" ht="15" hidden="1" customHeight="1" x14ac:dyDescent="0.25">
      <c r="B4458" s="7"/>
      <c r="C4458" s="140">
        <v>4430</v>
      </c>
      <c r="D4458" s="142"/>
      <c r="E4458" s="142"/>
      <c r="F4458" s="142"/>
      <c r="G4458" s="142"/>
      <c r="H4458" s="141"/>
      <c r="I4458" s="8"/>
    </row>
    <row r="4459" spans="2:9" ht="15" hidden="1" customHeight="1" x14ac:dyDescent="0.25">
      <c r="B4459" s="7"/>
      <c r="C4459" s="140">
        <v>4431</v>
      </c>
      <c r="D4459" s="142"/>
      <c r="E4459" s="142"/>
      <c r="F4459" s="142"/>
      <c r="G4459" s="142"/>
      <c r="H4459" s="141"/>
      <c r="I4459" s="8"/>
    </row>
    <row r="4460" spans="2:9" ht="15" hidden="1" customHeight="1" x14ac:dyDescent="0.25">
      <c r="B4460" s="7"/>
      <c r="C4460" s="140">
        <v>4432</v>
      </c>
      <c r="D4460" s="142"/>
      <c r="E4460" s="142"/>
      <c r="F4460" s="142"/>
      <c r="G4460" s="142"/>
      <c r="H4460" s="141"/>
      <c r="I4460" s="8"/>
    </row>
    <row r="4461" spans="2:9" ht="15" hidden="1" customHeight="1" x14ac:dyDescent="0.25">
      <c r="B4461" s="7"/>
      <c r="C4461" s="140">
        <v>4433</v>
      </c>
      <c r="D4461" s="142"/>
      <c r="E4461" s="142"/>
      <c r="F4461" s="142"/>
      <c r="G4461" s="142"/>
      <c r="H4461" s="141"/>
      <c r="I4461" s="8"/>
    </row>
    <row r="4462" spans="2:9" ht="15" hidden="1" customHeight="1" x14ac:dyDescent="0.25">
      <c r="B4462" s="7"/>
      <c r="C4462" s="140">
        <v>4434</v>
      </c>
      <c r="D4462" s="142"/>
      <c r="E4462" s="142"/>
      <c r="F4462" s="142"/>
      <c r="G4462" s="142"/>
      <c r="H4462" s="141"/>
      <c r="I4462" s="8"/>
    </row>
    <row r="4463" spans="2:9" ht="15" hidden="1" customHeight="1" x14ac:dyDescent="0.25">
      <c r="B4463" s="7"/>
      <c r="C4463" s="140">
        <v>4435</v>
      </c>
      <c r="D4463" s="142"/>
      <c r="E4463" s="142"/>
      <c r="F4463" s="142"/>
      <c r="G4463" s="142"/>
      <c r="H4463" s="141"/>
      <c r="I4463" s="8"/>
    </row>
    <row r="4464" spans="2:9" ht="15" hidden="1" customHeight="1" x14ac:dyDescent="0.25">
      <c r="B4464" s="7"/>
      <c r="C4464" s="140">
        <v>4436</v>
      </c>
      <c r="D4464" s="142"/>
      <c r="E4464" s="142"/>
      <c r="F4464" s="142"/>
      <c r="G4464" s="142"/>
      <c r="H4464" s="141"/>
      <c r="I4464" s="8"/>
    </row>
    <row r="4465" spans="2:9" ht="15" hidden="1" customHeight="1" x14ac:dyDescent="0.25">
      <c r="B4465" s="7"/>
      <c r="C4465" s="140">
        <v>4437</v>
      </c>
      <c r="D4465" s="142"/>
      <c r="E4465" s="142"/>
      <c r="F4465" s="142"/>
      <c r="G4465" s="142"/>
      <c r="H4465" s="141"/>
      <c r="I4465" s="8"/>
    </row>
    <row r="4466" spans="2:9" ht="15" hidden="1" customHeight="1" x14ac:dyDescent="0.25">
      <c r="B4466" s="7"/>
      <c r="C4466" s="140">
        <v>4438</v>
      </c>
      <c r="D4466" s="142"/>
      <c r="E4466" s="142"/>
      <c r="F4466" s="142"/>
      <c r="G4466" s="142"/>
      <c r="H4466" s="141"/>
      <c r="I4466" s="8"/>
    </row>
    <row r="4467" spans="2:9" ht="15" hidden="1" customHeight="1" x14ac:dyDescent="0.25">
      <c r="B4467" s="7"/>
      <c r="C4467" s="140">
        <v>4439</v>
      </c>
      <c r="D4467" s="142"/>
      <c r="E4467" s="142"/>
      <c r="F4467" s="142"/>
      <c r="G4467" s="142"/>
      <c r="H4467" s="141"/>
      <c r="I4467" s="8"/>
    </row>
    <row r="4468" spans="2:9" ht="15" hidden="1" customHeight="1" x14ac:dyDescent="0.25">
      <c r="B4468" s="7"/>
      <c r="C4468" s="140">
        <v>4440</v>
      </c>
      <c r="D4468" s="142"/>
      <c r="E4468" s="142"/>
      <c r="F4468" s="142"/>
      <c r="G4468" s="142"/>
      <c r="H4468" s="141"/>
      <c r="I4468" s="8"/>
    </row>
    <row r="4469" spans="2:9" ht="15" hidden="1" customHeight="1" x14ac:dyDescent="0.25">
      <c r="B4469" s="7"/>
      <c r="C4469" s="140">
        <v>4441</v>
      </c>
      <c r="D4469" s="142"/>
      <c r="E4469" s="142"/>
      <c r="F4469" s="142"/>
      <c r="G4469" s="142"/>
      <c r="H4469" s="141"/>
      <c r="I4469" s="8"/>
    </row>
    <row r="4470" spans="2:9" ht="15" hidden="1" customHeight="1" x14ac:dyDescent="0.25">
      <c r="B4470" s="7"/>
      <c r="C4470" s="140">
        <v>4442</v>
      </c>
      <c r="D4470" s="142"/>
      <c r="E4470" s="142"/>
      <c r="F4470" s="142"/>
      <c r="G4470" s="142"/>
      <c r="H4470" s="141"/>
      <c r="I4470" s="8"/>
    </row>
    <row r="4471" spans="2:9" ht="15" hidden="1" customHeight="1" x14ac:dyDescent="0.25">
      <c r="B4471" s="7"/>
      <c r="C4471" s="140">
        <v>4443</v>
      </c>
      <c r="D4471" s="142"/>
      <c r="E4471" s="142"/>
      <c r="F4471" s="142"/>
      <c r="G4471" s="142"/>
      <c r="H4471" s="141"/>
      <c r="I4471" s="8"/>
    </row>
    <row r="4472" spans="2:9" ht="15" hidden="1" customHeight="1" x14ac:dyDescent="0.25">
      <c r="B4472" s="7"/>
      <c r="C4472" s="140">
        <v>4444</v>
      </c>
      <c r="D4472" s="142"/>
      <c r="E4472" s="142"/>
      <c r="F4472" s="142"/>
      <c r="G4472" s="142"/>
      <c r="H4472" s="141"/>
      <c r="I4472" s="8"/>
    </row>
    <row r="4473" spans="2:9" ht="15" hidden="1" customHeight="1" x14ac:dyDescent="0.25">
      <c r="B4473" s="7"/>
      <c r="C4473" s="140">
        <v>4445</v>
      </c>
      <c r="D4473" s="142"/>
      <c r="E4473" s="142"/>
      <c r="F4473" s="142"/>
      <c r="G4473" s="142"/>
      <c r="H4473" s="141"/>
      <c r="I4473" s="8"/>
    </row>
    <row r="4474" spans="2:9" ht="15" hidden="1" customHeight="1" x14ac:dyDescent="0.25">
      <c r="B4474" s="7"/>
      <c r="C4474" s="140">
        <v>4446</v>
      </c>
      <c r="D4474" s="142"/>
      <c r="E4474" s="142"/>
      <c r="F4474" s="142"/>
      <c r="G4474" s="142"/>
      <c r="H4474" s="141"/>
      <c r="I4474" s="8"/>
    </row>
    <row r="4475" spans="2:9" ht="15" hidden="1" customHeight="1" x14ac:dyDescent="0.25">
      <c r="B4475" s="7"/>
      <c r="C4475" s="140">
        <v>4447</v>
      </c>
      <c r="D4475" s="142"/>
      <c r="E4475" s="142"/>
      <c r="F4475" s="142"/>
      <c r="G4475" s="142"/>
      <c r="H4475" s="141"/>
      <c r="I4475" s="8"/>
    </row>
    <row r="4476" spans="2:9" ht="15" hidden="1" customHeight="1" x14ac:dyDescent="0.25">
      <c r="B4476" s="7"/>
      <c r="C4476" s="140">
        <v>4448</v>
      </c>
      <c r="D4476" s="142"/>
      <c r="E4476" s="142"/>
      <c r="F4476" s="142"/>
      <c r="G4476" s="142"/>
      <c r="H4476" s="141"/>
      <c r="I4476" s="8"/>
    </row>
    <row r="4477" spans="2:9" ht="15" hidden="1" customHeight="1" x14ac:dyDescent="0.25">
      <c r="B4477" s="7"/>
      <c r="C4477" s="140">
        <v>4449</v>
      </c>
      <c r="D4477" s="142"/>
      <c r="E4477" s="142"/>
      <c r="F4477" s="142"/>
      <c r="G4477" s="142"/>
      <c r="H4477" s="141"/>
      <c r="I4477" s="8"/>
    </row>
    <row r="4478" spans="2:9" ht="15" hidden="1" customHeight="1" x14ac:dyDescent="0.25">
      <c r="B4478" s="7"/>
      <c r="C4478" s="140">
        <v>4450</v>
      </c>
      <c r="D4478" s="142"/>
      <c r="E4478" s="142"/>
      <c r="F4478" s="142"/>
      <c r="G4478" s="142"/>
      <c r="H4478" s="141"/>
      <c r="I4478" s="8"/>
    </row>
    <row r="4479" spans="2:9" ht="15" hidden="1" customHeight="1" x14ac:dyDescent="0.25">
      <c r="B4479" s="7"/>
      <c r="C4479" s="140">
        <v>4451</v>
      </c>
      <c r="D4479" s="142"/>
      <c r="E4479" s="142"/>
      <c r="F4479" s="142"/>
      <c r="G4479" s="142"/>
      <c r="H4479" s="141"/>
      <c r="I4479" s="8"/>
    </row>
    <row r="4480" spans="2:9" ht="15" hidden="1" customHeight="1" x14ac:dyDescent="0.25">
      <c r="B4480" s="7"/>
      <c r="C4480" s="140">
        <v>4452</v>
      </c>
      <c r="D4480" s="142"/>
      <c r="E4480" s="142"/>
      <c r="F4480" s="142"/>
      <c r="G4480" s="142"/>
      <c r="H4480" s="141"/>
      <c r="I4480" s="8"/>
    </row>
    <row r="4481" spans="2:9" ht="15" hidden="1" customHeight="1" x14ac:dyDescent="0.25">
      <c r="B4481" s="7"/>
      <c r="C4481" s="140">
        <v>4453</v>
      </c>
      <c r="D4481" s="142"/>
      <c r="E4481" s="142"/>
      <c r="F4481" s="142"/>
      <c r="G4481" s="142"/>
      <c r="H4481" s="141"/>
      <c r="I4481" s="8"/>
    </row>
    <row r="4482" spans="2:9" ht="15" hidden="1" customHeight="1" x14ac:dyDescent="0.25">
      <c r="B4482" s="7"/>
      <c r="C4482" s="140">
        <v>4454</v>
      </c>
      <c r="D4482" s="142"/>
      <c r="E4482" s="142"/>
      <c r="F4482" s="142"/>
      <c r="G4482" s="142"/>
      <c r="H4482" s="141"/>
      <c r="I4482" s="8"/>
    </row>
    <row r="4483" spans="2:9" ht="15" hidden="1" customHeight="1" x14ac:dyDescent="0.25">
      <c r="B4483" s="7"/>
      <c r="C4483" s="140">
        <v>4455</v>
      </c>
      <c r="D4483" s="142"/>
      <c r="E4483" s="142"/>
      <c r="F4483" s="142"/>
      <c r="G4483" s="142"/>
      <c r="H4483" s="141"/>
      <c r="I4483" s="8"/>
    </row>
    <row r="4484" spans="2:9" ht="15" hidden="1" customHeight="1" x14ac:dyDescent="0.25">
      <c r="B4484" s="7"/>
      <c r="C4484" s="140">
        <v>4456</v>
      </c>
      <c r="D4484" s="142"/>
      <c r="E4484" s="142"/>
      <c r="F4484" s="142"/>
      <c r="G4484" s="142"/>
      <c r="H4484" s="141"/>
      <c r="I4484" s="8"/>
    </row>
    <row r="4485" spans="2:9" ht="15" hidden="1" customHeight="1" x14ac:dyDescent="0.25">
      <c r="B4485" s="7"/>
      <c r="C4485" s="140">
        <v>4457</v>
      </c>
      <c r="D4485" s="142"/>
      <c r="E4485" s="142"/>
      <c r="F4485" s="142"/>
      <c r="G4485" s="142"/>
      <c r="H4485" s="141"/>
      <c r="I4485" s="8"/>
    </row>
    <row r="4486" spans="2:9" ht="15" hidden="1" customHeight="1" x14ac:dyDescent="0.25">
      <c r="B4486" s="7"/>
      <c r="C4486" s="140">
        <v>4458</v>
      </c>
      <c r="D4486" s="142"/>
      <c r="E4486" s="142"/>
      <c r="F4486" s="142"/>
      <c r="G4486" s="142"/>
      <c r="H4486" s="141"/>
      <c r="I4486" s="8"/>
    </row>
    <row r="4487" spans="2:9" ht="15" hidden="1" customHeight="1" x14ac:dyDescent="0.25">
      <c r="B4487" s="7"/>
      <c r="C4487" s="140">
        <v>4459</v>
      </c>
      <c r="D4487" s="142"/>
      <c r="E4487" s="142"/>
      <c r="F4487" s="142"/>
      <c r="G4487" s="142"/>
      <c r="H4487" s="141"/>
      <c r="I4487" s="8"/>
    </row>
    <row r="4488" spans="2:9" ht="15" hidden="1" customHeight="1" x14ac:dyDescent="0.25">
      <c r="B4488" s="7"/>
      <c r="C4488" s="140">
        <v>4460</v>
      </c>
      <c r="D4488" s="142"/>
      <c r="E4488" s="142"/>
      <c r="F4488" s="142"/>
      <c r="G4488" s="142"/>
      <c r="H4488" s="141"/>
      <c r="I4488" s="8"/>
    </row>
    <row r="4489" spans="2:9" ht="15" hidden="1" customHeight="1" x14ac:dyDescent="0.25">
      <c r="B4489" s="7"/>
      <c r="C4489" s="140">
        <v>4461</v>
      </c>
      <c r="D4489" s="142"/>
      <c r="E4489" s="142"/>
      <c r="F4489" s="142"/>
      <c r="G4489" s="142"/>
      <c r="H4489" s="141"/>
      <c r="I4489" s="8"/>
    </row>
    <row r="4490" spans="2:9" ht="15" hidden="1" customHeight="1" x14ac:dyDescent="0.25">
      <c r="B4490" s="7"/>
      <c r="C4490" s="140">
        <v>4462</v>
      </c>
      <c r="D4490" s="142"/>
      <c r="E4490" s="142"/>
      <c r="F4490" s="142"/>
      <c r="G4490" s="142"/>
      <c r="H4490" s="141"/>
      <c r="I4490" s="8"/>
    </row>
    <row r="4491" spans="2:9" ht="15" hidden="1" customHeight="1" x14ac:dyDescent="0.25">
      <c r="B4491" s="7"/>
      <c r="C4491" s="140">
        <v>4463</v>
      </c>
      <c r="D4491" s="142"/>
      <c r="E4491" s="142"/>
      <c r="F4491" s="142"/>
      <c r="G4491" s="142"/>
      <c r="H4491" s="141"/>
      <c r="I4491" s="8"/>
    </row>
    <row r="4492" spans="2:9" ht="15" hidden="1" customHeight="1" x14ac:dyDescent="0.25">
      <c r="B4492" s="7"/>
      <c r="C4492" s="140">
        <v>4464</v>
      </c>
      <c r="D4492" s="142"/>
      <c r="E4492" s="142"/>
      <c r="F4492" s="142"/>
      <c r="G4492" s="142"/>
      <c r="H4492" s="141"/>
      <c r="I4492" s="8"/>
    </row>
    <row r="4493" spans="2:9" ht="15" hidden="1" customHeight="1" x14ac:dyDescent="0.25">
      <c r="B4493" s="7"/>
      <c r="C4493" s="140">
        <v>4465</v>
      </c>
      <c r="D4493" s="142"/>
      <c r="E4493" s="142"/>
      <c r="F4493" s="142"/>
      <c r="G4493" s="142"/>
      <c r="H4493" s="141"/>
      <c r="I4493" s="8"/>
    </row>
    <row r="4494" spans="2:9" ht="15" hidden="1" customHeight="1" x14ac:dyDescent="0.25">
      <c r="B4494" s="7"/>
      <c r="C4494" s="140">
        <v>4466</v>
      </c>
      <c r="D4494" s="142"/>
      <c r="E4494" s="142"/>
      <c r="F4494" s="142"/>
      <c r="G4494" s="142"/>
      <c r="H4494" s="141"/>
      <c r="I4494" s="8"/>
    </row>
    <row r="4495" spans="2:9" ht="15" hidden="1" customHeight="1" x14ac:dyDescent="0.25">
      <c r="B4495" s="7"/>
      <c r="C4495" s="140">
        <v>4467</v>
      </c>
      <c r="D4495" s="142"/>
      <c r="E4495" s="142"/>
      <c r="F4495" s="142"/>
      <c r="G4495" s="142"/>
      <c r="H4495" s="141"/>
      <c r="I4495" s="8"/>
    </row>
    <row r="4496" spans="2:9" ht="15" hidden="1" customHeight="1" x14ac:dyDescent="0.25">
      <c r="B4496" s="7"/>
      <c r="C4496" s="140">
        <v>4468</v>
      </c>
      <c r="D4496" s="142"/>
      <c r="E4496" s="142"/>
      <c r="F4496" s="142"/>
      <c r="G4496" s="142"/>
      <c r="H4496" s="141"/>
      <c r="I4496" s="8"/>
    </row>
    <row r="4497" spans="2:9" ht="15" hidden="1" customHeight="1" x14ac:dyDescent="0.25">
      <c r="B4497" s="7"/>
      <c r="C4497" s="140">
        <v>4469</v>
      </c>
      <c r="D4497" s="142"/>
      <c r="E4497" s="142"/>
      <c r="F4497" s="142"/>
      <c r="G4497" s="142"/>
      <c r="H4497" s="141"/>
      <c r="I4497" s="8"/>
    </row>
    <row r="4498" spans="2:9" ht="15" hidden="1" customHeight="1" x14ac:dyDescent="0.25">
      <c r="B4498" s="7"/>
      <c r="C4498" s="140">
        <v>4470</v>
      </c>
      <c r="D4498" s="142"/>
      <c r="E4498" s="142"/>
      <c r="F4498" s="142"/>
      <c r="G4498" s="142"/>
      <c r="H4498" s="141"/>
      <c r="I4498" s="8"/>
    </row>
    <row r="4499" spans="2:9" ht="15" hidden="1" customHeight="1" x14ac:dyDescent="0.25">
      <c r="B4499" s="7"/>
      <c r="C4499" s="140">
        <v>4471</v>
      </c>
      <c r="D4499" s="142"/>
      <c r="E4499" s="142"/>
      <c r="F4499" s="142"/>
      <c r="G4499" s="142"/>
      <c r="H4499" s="141"/>
      <c r="I4499" s="8"/>
    </row>
    <row r="4500" spans="2:9" ht="15" hidden="1" customHeight="1" x14ac:dyDescent="0.25">
      <c r="B4500" s="7"/>
      <c r="C4500" s="140">
        <v>4472</v>
      </c>
      <c r="D4500" s="142"/>
      <c r="E4500" s="142"/>
      <c r="F4500" s="142"/>
      <c r="G4500" s="142"/>
      <c r="H4500" s="141"/>
      <c r="I4500" s="8"/>
    </row>
    <row r="4501" spans="2:9" ht="15" hidden="1" customHeight="1" x14ac:dyDescent="0.25">
      <c r="B4501" s="7"/>
      <c r="C4501" s="140">
        <v>4473</v>
      </c>
      <c r="D4501" s="142"/>
      <c r="E4501" s="142"/>
      <c r="F4501" s="142"/>
      <c r="G4501" s="142"/>
      <c r="H4501" s="141"/>
      <c r="I4501" s="8"/>
    </row>
    <row r="4502" spans="2:9" ht="15" hidden="1" customHeight="1" x14ac:dyDescent="0.25">
      <c r="B4502" s="7"/>
      <c r="C4502" s="140">
        <v>4474</v>
      </c>
      <c r="D4502" s="142"/>
      <c r="E4502" s="142"/>
      <c r="F4502" s="142"/>
      <c r="G4502" s="142"/>
      <c r="H4502" s="141"/>
      <c r="I4502" s="8"/>
    </row>
    <row r="4503" spans="2:9" ht="15" hidden="1" customHeight="1" x14ac:dyDescent="0.25">
      <c r="B4503" s="7"/>
      <c r="C4503" s="140">
        <v>4475</v>
      </c>
      <c r="D4503" s="142"/>
      <c r="E4503" s="142"/>
      <c r="F4503" s="142"/>
      <c r="G4503" s="142"/>
      <c r="H4503" s="141"/>
      <c r="I4503" s="8"/>
    </row>
    <row r="4504" spans="2:9" ht="15" hidden="1" customHeight="1" x14ac:dyDescent="0.25">
      <c r="B4504" s="7"/>
      <c r="C4504" s="140">
        <v>4476</v>
      </c>
      <c r="D4504" s="142"/>
      <c r="E4504" s="142"/>
      <c r="F4504" s="142"/>
      <c r="G4504" s="142"/>
      <c r="H4504" s="141"/>
      <c r="I4504" s="8"/>
    </row>
    <row r="4505" spans="2:9" ht="15" hidden="1" customHeight="1" x14ac:dyDescent="0.25">
      <c r="B4505" s="7"/>
      <c r="C4505" s="140">
        <v>4477</v>
      </c>
      <c r="D4505" s="142"/>
      <c r="E4505" s="142"/>
      <c r="F4505" s="142"/>
      <c r="G4505" s="142"/>
      <c r="H4505" s="141"/>
      <c r="I4505" s="8"/>
    </row>
    <row r="4506" spans="2:9" ht="15" hidden="1" customHeight="1" x14ac:dyDescent="0.25">
      <c r="B4506" s="7"/>
      <c r="C4506" s="140">
        <v>4478</v>
      </c>
      <c r="D4506" s="142"/>
      <c r="E4506" s="142"/>
      <c r="F4506" s="142"/>
      <c r="G4506" s="142"/>
      <c r="H4506" s="141"/>
      <c r="I4506" s="8"/>
    </row>
    <row r="4507" spans="2:9" ht="15" hidden="1" customHeight="1" x14ac:dyDescent="0.25">
      <c r="B4507" s="7"/>
      <c r="C4507" s="140">
        <v>4479</v>
      </c>
      <c r="D4507" s="142"/>
      <c r="E4507" s="142"/>
      <c r="F4507" s="142"/>
      <c r="G4507" s="142"/>
      <c r="H4507" s="141"/>
      <c r="I4507" s="8"/>
    </row>
    <row r="4508" spans="2:9" ht="15" hidden="1" customHeight="1" x14ac:dyDescent="0.25">
      <c r="B4508" s="7"/>
      <c r="C4508" s="140">
        <v>4480</v>
      </c>
      <c r="D4508" s="142"/>
      <c r="E4508" s="142"/>
      <c r="F4508" s="142"/>
      <c r="G4508" s="142"/>
      <c r="H4508" s="141"/>
      <c r="I4508" s="8"/>
    </row>
    <row r="4509" spans="2:9" ht="15" hidden="1" customHeight="1" x14ac:dyDescent="0.25">
      <c r="B4509" s="7"/>
      <c r="C4509" s="140">
        <v>4481</v>
      </c>
      <c r="D4509" s="142"/>
      <c r="E4509" s="142"/>
      <c r="F4509" s="142"/>
      <c r="G4509" s="142"/>
      <c r="H4509" s="141"/>
      <c r="I4509" s="8"/>
    </row>
    <row r="4510" spans="2:9" ht="15" hidden="1" customHeight="1" x14ac:dyDescent="0.25">
      <c r="B4510" s="7"/>
      <c r="C4510" s="140">
        <v>4482</v>
      </c>
      <c r="D4510" s="142"/>
      <c r="E4510" s="142"/>
      <c r="F4510" s="142"/>
      <c r="G4510" s="142"/>
      <c r="H4510" s="141"/>
      <c r="I4510" s="8"/>
    </row>
    <row r="4511" spans="2:9" ht="15" hidden="1" customHeight="1" x14ac:dyDescent="0.25">
      <c r="B4511" s="7"/>
      <c r="C4511" s="140">
        <v>4483</v>
      </c>
      <c r="D4511" s="142"/>
      <c r="E4511" s="142"/>
      <c r="F4511" s="142"/>
      <c r="G4511" s="142"/>
      <c r="H4511" s="141"/>
      <c r="I4511" s="8"/>
    </row>
    <row r="4512" spans="2:9" ht="15" hidden="1" customHeight="1" x14ac:dyDescent="0.25">
      <c r="B4512" s="7"/>
      <c r="C4512" s="140">
        <v>4484</v>
      </c>
      <c r="D4512" s="142"/>
      <c r="E4512" s="142"/>
      <c r="F4512" s="142"/>
      <c r="G4512" s="142"/>
      <c r="H4512" s="141"/>
      <c r="I4512" s="8"/>
    </row>
    <row r="4513" spans="2:9" ht="15" hidden="1" customHeight="1" x14ac:dyDescent="0.25">
      <c r="B4513" s="7"/>
      <c r="C4513" s="140">
        <v>4485</v>
      </c>
      <c r="D4513" s="142"/>
      <c r="E4513" s="142"/>
      <c r="F4513" s="142"/>
      <c r="G4513" s="142"/>
      <c r="H4513" s="141"/>
      <c r="I4513" s="8"/>
    </row>
    <row r="4514" spans="2:9" ht="15" hidden="1" customHeight="1" x14ac:dyDescent="0.25">
      <c r="B4514" s="7"/>
      <c r="C4514" s="140">
        <v>4486</v>
      </c>
      <c r="D4514" s="142"/>
      <c r="E4514" s="142"/>
      <c r="F4514" s="142"/>
      <c r="G4514" s="142"/>
      <c r="H4514" s="141"/>
      <c r="I4514" s="8"/>
    </row>
    <row r="4515" spans="2:9" ht="15" hidden="1" customHeight="1" x14ac:dyDescent="0.25">
      <c r="B4515" s="7"/>
      <c r="C4515" s="140">
        <v>4487</v>
      </c>
      <c r="D4515" s="142"/>
      <c r="E4515" s="142"/>
      <c r="F4515" s="142"/>
      <c r="G4515" s="142"/>
      <c r="H4515" s="141"/>
      <c r="I4515" s="8"/>
    </row>
    <row r="4516" spans="2:9" ht="15" hidden="1" customHeight="1" x14ac:dyDescent="0.25">
      <c r="B4516" s="7"/>
      <c r="C4516" s="140">
        <v>4488</v>
      </c>
      <c r="D4516" s="142"/>
      <c r="E4516" s="142"/>
      <c r="F4516" s="142"/>
      <c r="G4516" s="142"/>
      <c r="H4516" s="141"/>
      <c r="I4516" s="8"/>
    </row>
    <row r="4517" spans="2:9" ht="15" hidden="1" customHeight="1" x14ac:dyDescent="0.25">
      <c r="B4517" s="7"/>
      <c r="C4517" s="140">
        <v>4489</v>
      </c>
      <c r="D4517" s="142"/>
      <c r="E4517" s="142"/>
      <c r="F4517" s="142"/>
      <c r="G4517" s="142"/>
      <c r="H4517" s="141"/>
      <c r="I4517" s="8"/>
    </row>
    <row r="4518" spans="2:9" ht="15" hidden="1" customHeight="1" x14ac:dyDescent="0.25">
      <c r="B4518" s="7"/>
      <c r="C4518" s="140">
        <v>4490</v>
      </c>
      <c r="D4518" s="142"/>
      <c r="E4518" s="142"/>
      <c r="F4518" s="142"/>
      <c r="G4518" s="142"/>
      <c r="H4518" s="141"/>
      <c r="I4518" s="8"/>
    </row>
    <row r="4519" spans="2:9" ht="15" hidden="1" customHeight="1" x14ac:dyDescent="0.25">
      <c r="B4519" s="7"/>
      <c r="C4519" s="140">
        <v>4491</v>
      </c>
      <c r="D4519" s="142"/>
      <c r="E4519" s="142"/>
      <c r="F4519" s="142"/>
      <c r="G4519" s="142"/>
      <c r="H4519" s="141"/>
      <c r="I4519" s="8"/>
    </row>
    <row r="4520" spans="2:9" ht="15" hidden="1" customHeight="1" x14ac:dyDescent="0.25">
      <c r="B4520" s="7"/>
      <c r="C4520" s="140">
        <v>4492</v>
      </c>
      <c r="D4520" s="142"/>
      <c r="E4520" s="142"/>
      <c r="F4520" s="142"/>
      <c r="G4520" s="142"/>
      <c r="H4520" s="141"/>
      <c r="I4520" s="8"/>
    </row>
    <row r="4521" spans="2:9" ht="15" hidden="1" customHeight="1" x14ac:dyDescent="0.25">
      <c r="B4521" s="7"/>
      <c r="C4521" s="140">
        <v>4493</v>
      </c>
      <c r="D4521" s="142"/>
      <c r="E4521" s="142"/>
      <c r="F4521" s="142"/>
      <c r="G4521" s="142"/>
      <c r="H4521" s="141"/>
      <c r="I4521" s="8"/>
    </row>
    <row r="4522" spans="2:9" ht="15" hidden="1" customHeight="1" x14ac:dyDescent="0.25">
      <c r="B4522" s="7"/>
      <c r="C4522" s="140">
        <v>4494</v>
      </c>
      <c r="D4522" s="142"/>
      <c r="E4522" s="142"/>
      <c r="F4522" s="142"/>
      <c r="G4522" s="142"/>
      <c r="H4522" s="141"/>
      <c r="I4522" s="8"/>
    </row>
    <row r="4523" spans="2:9" ht="15" hidden="1" customHeight="1" x14ac:dyDescent="0.25">
      <c r="B4523" s="7"/>
      <c r="C4523" s="140">
        <v>4495</v>
      </c>
      <c r="D4523" s="142"/>
      <c r="E4523" s="142"/>
      <c r="F4523" s="142"/>
      <c r="G4523" s="142"/>
      <c r="H4523" s="141"/>
      <c r="I4523" s="8"/>
    </row>
    <row r="4524" spans="2:9" ht="15" hidden="1" customHeight="1" x14ac:dyDescent="0.25">
      <c r="B4524" s="7"/>
      <c r="C4524" s="140">
        <v>4496</v>
      </c>
      <c r="D4524" s="142"/>
      <c r="E4524" s="142"/>
      <c r="F4524" s="142"/>
      <c r="G4524" s="142"/>
      <c r="H4524" s="141"/>
      <c r="I4524" s="8"/>
    </row>
    <row r="4525" spans="2:9" ht="15" hidden="1" customHeight="1" x14ac:dyDescent="0.25">
      <c r="B4525" s="7"/>
      <c r="C4525" s="140">
        <v>4497</v>
      </c>
      <c r="D4525" s="142"/>
      <c r="E4525" s="142"/>
      <c r="F4525" s="142"/>
      <c r="G4525" s="142"/>
      <c r="H4525" s="141"/>
      <c r="I4525" s="8"/>
    </row>
    <row r="4526" spans="2:9" ht="15" hidden="1" customHeight="1" x14ac:dyDescent="0.25">
      <c r="B4526" s="7"/>
      <c r="C4526" s="140">
        <v>4498</v>
      </c>
      <c r="D4526" s="142"/>
      <c r="E4526" s="142"/>
      <c r="F4526" s="142"/>
      <c r="G4526" s="142"/>
      <c r="H4526" s="141"/>
      <c r="I4526" s="8"/>
    </row>
    <row r="4527" spans="2:9" ht="15" hidden="1" customHeight="1" x14ac:dyDescent="0.25">
      <c r="B4527" s="7"/>
      <c r="C4527" s="140">
        <v>4499</v>
      </c>
      <c r="D4527" s="142"/>
      <c r="E4527" s="142"/>
      <c r="F4527" s="142"/>
      <c r="G4527" s="142"/>
      <c r="H4527" s="141"/>
      <c r="I4527" s="8"/>
    </row>
    <row r="4528" spans="2:9" ht="15" hidden="1" customHeight="1" x14ac:dyDescent="0.25">
      <c r="B4528" s="7"/>
      <c r="C4528" s="140">
        <v>4500</v>
      </c>
      <c r="D4528" s="142"/>
      <c r="E4528" s="142"/>
      <c r="F4528" s="142"/>
      <c r="G4528" s="142"/>
      <c r="H4528" s="141"/>
      <c r="I4528" s="8"/>
    </row>
    <row r="4529" spans="2:9" ht="15" hidden="1" customHeight="1" x14ac:dyDescent="0.25">
      <c r="B4529" s="7"/>
      <c r="C4529" s="140">
        <v>4501</v>
      </c>
      <c r="D4529" s="142"/>
      <c r="E4529" s="142"/>
      <c r="F4529" s="142"/>
      <c r="G4529" s="142"/>
      <c r="H4529" s="141"/>
      <c r="I4529" s="8"/>
    </row>
    <row r="4530" spans="2:9" ht="15" hidden="1" customHeight="1" x14ac:dyDescent="0.25">
      <c r="B4530" s="7"/>
      <c r="C4530" s="140">
        <v>4502</v>
      </c>
      <c r="D4530" s="142"/>
      <c r="E4530" s="142"/>
      <c r="F4530" s="142"/>
      <c r="G4530" s="142"/>
      <c r="H4530" s="141"/>
      <c r="I4530" s="8"/>
    </row>
    <row r="4531" spans="2:9" ht="15" hidden="1" customHeight="1" x14ac:dyDescent="0.25">
      <c r="B4531" s="7"/>
      <c r="C4531" s="140">
        <v>4503</v>
      </c>
      <c r="D4531" s="142"/>
      <c r="E4531" s="142"/>
      <c r="F4531" s="142"/>
      <c r="G4531" s="142"/>
      <c r="H4531" s="141"/>
      <c r="I4531" s="8"/>
    </row>
    <row r="4532" spans="2:9" ht="15" hidden="1" customHeight="1" x14ac:dyDescent="0.25">
      <c r="B4532" s="7"/>
      <c r="C4532" s="140">
        <v>4504</v>
      </c>
      <c r="D4532" s="142"/>
      <c r="E4532" s="142"/>
      <c r="F4532" s="142"/>
      <c r="G4532" s="142"/>
      <c r="H4532" s="141"/>
      <c r="I4532" s="8"/>
    </row>
    <row r="4533" spans="2:9" ht="15" hidden="1" customHeight="1" x14ac:dyDescent="0.25">
      <c r="B4533" s="7"/>
      <c r="C4533" s="140">
        <v>4505</v>
      </c>
      <c r="D4533" s="142"/>
      <c r="E4533" s="142"/>
      <c r="F4533" s="142"/>
      <c r="G4533" s="142"/>
      <c r="H4533" s="141"/>
      <c r="I4533" s="8"/>
    </row>
    <row r="4534" spans="2:9" ht="15" hidden="1" customHeight="1" x14ac:dyDescent="0.25">
      <c r="B4534" s="7"/>
      <c r="C4534" s="140">
        <v>4506</v>
      </c>
      <c r="D4534" s="142"/>
      <c r="E4534" s="142"/>
      <c r="F4534" s="142"/>
      <c r="G4534" s="142"/>
      <c r="H4534" s="141"/>
      <c r="I4534" s="8"/>
    </row>
    <row r="4535" spans="2:9" ht="15" hidden="1" customHeight="1" x14ac:dyDescent="0.25">
      <c r="B4535" s="7"/>
      <c r="C4535" s="140">
        <v>4507</v>
      </c>
      <c r="D4535" s="142"/>
      <c r="E4535" s="142"/>
      <c r="F4535" s="142"/>
      <c r="G4535" s="142"/>
      <c r="H4535" s="141"/>
      <c r="I4535" s="8"/>
    </row>
    <row r="4536" spans="2:9" ht="15" hidden="1" customHeight="1" x14ac:dyDescent="0.25">
      <c r="B4536" s="7"/>
      <c r="C4536" s="140">
        <v>4508</v>
      </c>
      <c r="D4536" s="142"/>
      <c r="E4536" s="142"/>
      <c r="F4536" s="142"/>
      <c r="G4536" s="142"/>
      <c r="H4536" s="141"/>
      <c r="I4536" s="8"/>
    </row>
    <row r="4537" spans="2:9" ht="15" hidden="1" customHeight="1" x14ac:dyDescent="0.25">
      <c r="B4537" s="7"/>
      <c r="C4537" s="140">
        <v>4509</v>
      </c>
      <c r="D4537" s="142"/>
      <c r="E4537" s="142"/>
      <c r="F4537" s="142"/>
      <c r="G4537" s="142"/>
      <c r="H4537" s="141"/>
      <c r="I4537" s="8"/>
    </row>
    <row r="4538" spans="2:9" ht="15" hidden="1" customHeight="1" x14ac:dyDescent="0.25">
      <c r="B4538" s="7"/>
      <c r="C4538" s="140">
        <v>4510</v>
      </c>
      <c r="D4538" s="142"/>
      <c r="E4538" s="142"/>
      <c r="F4538" s="142"/>
      <c r="G4538" s="142"/>
      <c r="H4538" s="141"/>
      <c r="I4538" s="8"/>
    </row>
    <row r="4539" spans="2:9" ht="15" hidden="1" customHeight="1" x14ac:dyDescent="0.25">
      <c r="B4539" s="7"/>
      <c r="C4539" s="140">
        <v>4511</v>
      </c>
      <c r="D4539" s="142"/>
      <c r="E4539" s="142"/>
      <c r="F4539" s="142"/>
      <c r="G4539" s="142"/>
      <c r="H4539" s="141"/>
      <c r="I4539" s="8"/>
    </row>
    <row r="4540" spans="2:9" ht="15" hidden="1" customHeight="1" x14ac:dyDescent="0.25">
      <c r="B4540" s="7"/>
      <c r="C4540" s="140">
        <v>4512</v>
      </c>
      <c r="D4540" s="142"/>
      <c r="E4540" s="142"/>
      <c r="F4540" s="142"/>
      <c r="G4540" s="142"/>
      <c r="H4540" s="141"/>
      <c r="I4540" s="8"/>
    </row>
    <row r="4541" spans="2:9" ht="15" hidden="1" customHeight="1" x14ac:dyDescent="0.25">
      <c r="B4541" s="7"/>
      <c r="C4541" s="140">
        <v>4513</v>
      </c>
      <c r="D4541" s="142"/>
      <c r="E4541" s="142"/>
      <c r="F4541" s="142"/>
      <c r="G4541" s="142"/>
      <c r="H4541" s="141"/>
      <c r="I4541" s="8"/>
    </row>
    <row r="4542" spans="2:9" ht="15" hidden="1" customHeight="1" x14ac:dyDescent="0.25">
      <c r="B4542" s="7"/>
      <c r="C4542" s="140">
        <v>4514</v>
      </c>
      <c r="D4542" s="142"/>
      <c r="E4542" s="142"/>
      <c r="F4542" s="142"/>
      <c r="G4542" s="142"/>
      <c r="H4542" s="141"/>
      <c r="I4542" s="8"/>
    </row>
    <row r="4543" spans="2:9" ht="15" hidden="1" customHeight="1" x14ac:dyDescent="0.25">
      <c r="B4543" s="7"/>
      <c r="C4543" s="140">
        <v>4515</v>
      </c>
      <c r="D4543" s="142"/>
      <c r="E4543" s="142"/>
      <c r="F4543" s="142"/>
      <c r="G4543" s="142"/>
      <c r="H4543" s="141"/>
      <c r="I4543" s="8"/>
    </row>
    <row r="4544" spans="2:9" ht="15" hidden="1" customHeight="1" x14ac:dyDescent="0.25">
      <c r="B4544" s="7"/>
      <c r="C4544" s="140">
        <v>4516</v>
      </c>
      <c r="D4544" s="142"/>
      <c r="E4544" s="142"/>
      <c r="F4544" s="142"/>
      <c r="G4544" s="142"/>
      <c r="H4544" s="141"/>
      <c r="I4544" s="8"/>
    </row>
    <row r="4545" spans="2:9" ht="15" hidden="1" customHeight="1" x14ac:dyDescent="0.25">
      <c r="B4545" s="7"/>
      <c r="C4545" s="140">
        <v>4517</v>
      </c>
      <c r="D4545" s="142"/>
      <c r="E4545" s="142"/>
      <c r="F4545" s="142"/>
      <c r="G4545" s="142"/>
      <c r="H4545" s="141"/>
      <c r="I4545" s="8"/>
    </row>
    <row r="4546" spans="2:9" ht="15" hidden="1" customHeight="1" x14ac:dyDescent="0.25">
      <c r="B4546" s="7"/>
      <c r="C4546" s="140">
        <v>4518</v>
      </c>
      <c r="D4546" s="142"/>
      <c r="E4546" s="142"/>
      <c r="F4546" s="142"/>
      <c r="G4546" s="142"/>
      <c r="H4546" s="141"/>
      <c r="I4546" s="8"/>
    </row>
    <row r="4547" spans="2:9" ht="15" hidden="1" customHeight="1" x14ac:dyDescent="0.25">
      <c r="B4547" s="7"/>
      <c r="C4547" s="140">
        <v>4519</v>
      </c>
      <c r="D4547" s="142"/>
      <c r="E4547" s="142"/>
      <c r="F4547" s="142"/>
      <c r="G4547" s="142"/>
      <c r="H4547" s="141"/>
      <c r="I4547" s="8"/>
    </row>
    <row r="4548" spans="2:9" ht="15" hidden="1" customHeight="1" x14ac:dyDescent="0.25">
      <c r="B4548" s="7"/>
      <c r="C4548" s="140">
        <v>4520</v>
      </c>
      <c r="D4548" s="142"/>
      <c r="E4548" s="142"/>
      <c r="F4548" s="142"/>
      <c r="G4548" s="142"/>
      <c r="H4548" s="141"/>
      <c r="I4548" s="8"/>
    </row>
    <row r="4549" spans="2:9" ht="15" hidden="1" customHeight="1" x14ac:dyDescent="0.25">
      <c r="B4549" s="7"/>
      <c r="C4549" s="140">
        <v>4521</v>
      </c>
      <c r="D4549" s="142"/>
      <c r="E4549" s="142"/>
      <c r="F4549" s="142"/>
      <c r="G4549" s="142"/>
      <c r="H4549" s="141"/>
      <c r="I4549" s="8"/>
    </row>
    <row r="4550" spans="2:9" ht="15" hidden="1" customHeight="1" x14ac:dyDescent="0.25">
      <c r="B4550" s="7"/>
      <c r="C4550" s="140">
        <v>4522</v>
      </c>
      <c r="D4550" s="142"/>
      <c r="E4550" s="142"/>
      <c r="F4550" s="142"/>
      <c r="G4550" s="142"/>
      <c r="H4550" s="141"/>
      <c r="I4550" s="8"/>
    </row>
    <row r="4551" spans="2:9" ht="15" hidden="1" customHeight="1" x14ac:dyDescent="0.25">
      <c r="B4551" s="7"/>
      <c r="C4551" s="140">
        <v>4523</v>
      </c>
      <c r="D4551" s="142"/>
      <c r="E4551" s="142"/>
      <c r="F4551" s="142"/>
      <c r="G4551" s="142"/>
      <c r="H4551" s="141"/>
      <c r="I4551" s="8"/>
    </row>
    <row r="4552" spans="2:9" ht="15" hidden="1" customHeight="1" x14ac:dyDescent="0.25">
      <c r="B4552" s="7"/>
      <c r="C4552" s="140">
        <v>4524</v>
      </c>
      <c r="D4552" s="142"/>
      <c r="E4552" s="142"/>
      <c r="F4552" s="142"/>
      <c r="G4552" s="142"/>
      <c r="H4552" s="141"/>
      <c r="I4552" s="8"/>
    </row>
    <row r="4553" spans="2:9" ht="15" hidden="1" customHeight="1" x14ac:dyDescent="0.25">
      <c r="B4553" s="7"/>
      <c r="C4553" s="140">
        <v>4525</v>
      </c>
      <c r="D4553" s="142"/>
      <c r="E4553" s="142"/>
      <c r="F4553" s="142"/>
      <c r="G4553" s="142"/>
      <c r="H4553" s="141"/>
      <c r="I4553" s="8"/>
    </row>
    <row r="4554" spans="2:9" ht="15" hidden="1" customHeight="1" x14ac:dyDescent="0.25">
      <c r="B4554" s="7"/>
      <c r="C4554" s="140">
        <v>4526</v>
      </c>
      <c r="D4554" s="142"/>
      <c r="E4554" s="142"/>
      <c r="F4554" s="142"/>
      <c r="G4554" s="142"/>
      <c r="H4554" s="141"/>
      <c r="I4554" s="8"/>
    </row>
    <row r="4555" spans="2:9" ht="15" hidden="1" customHeight="1" x14ac:dyDescent="0.25">
      <c r="B4555" s="7"/>
      <c r="C4555" s="140">
        <v>4527</v>
      </c>
      <c r="D4555" s="142"/>
      <c r="E4555" s="142"/>
      <c r="F4555" s="142"/>
      <c r="G4555" s="142"/>
      <c r="H4555" s="141"/>
      <c r="I4555" s="8"/>
    </row>
    <row r="4556" spans="2:9" ht="15" hidden="1" customHeight="1" x14ac:dyDescent="0.25">
      <c r="B4556" s="7"/>
      <c r="C4556" s="140">
        <v>4528</v>
      </c>
      <c r="D4556" s="142"/>
      <c r="E4556" s="142"/>
      <c r="F4556" s="142"/>
      <c r="G4556" s="142"/>
      <c r="H4556" s="141"/>
      <c r="I4556" s="8"/>
    </row>
    <row r="4557" spans="2:9" ht="15" hidden="1" customHeight="1" x14ac:dyDescent="0.25">
      <c r="B4557" s="7"/>
      <c r="C4557" s="140">
        <v>4529</v>
      </c>
      <c r="D4557" s="142"/>
      <c r="E4557" s="142"/>
      <c r="F4557" s="142"/>
      <c r="G4557" s="142"/>
      <c r="H4557" s="141"/>
      <c r="I4557" s="8"/>
    </row>
    <row r="4558" spans="2:9" ht="15" hidden="1" customHeight="1" x14ac:dyDescent="0.25">
      <c r="B4558" s="7"/>
      <c r="C4558" s="140">
        <v>4530</v>
      </c>
      <c r="D4558" s="142"/>
      <c r="E4558" s="142"/>
      <c r="F4558" s="142"/>
      <c r="G4558" s="142"/>
      <c r="H4558" s="141"/>
      <c r="I4558" s="8"/>
    </row>
    <row r="4559" spans="2:9" ht="15" hidden="1" customHeight="1" x14ac:dyDescent="0.25">
      <c r="B4559" s="7"/>
      <c r="C4559" s="140">
        <v>4531</v>
      </c>
      <c r="D4559" s="142"/>
      <c r="E4559" s="142"/>
      <c r="F4559" s="142"/>
      <c r="G4559" s="142"/>
      <c r="H4559" s="141"/>
      <c r="I4559" s="8"/>
    </row>
    <row r="4560" spans="2:9" ht="15" hidden="1" customHeight="1" x14ac:dyDescent="0.25">
      <c r="B4560" s="7"/>
      <c r="C4560" s="140">
        <v>4532</v>
      </c>
      <c r="D4560" s="142"/>
      <c r="E4560" s="142"/>
      <c r="F4560" s="142"/>
      <c r="G4560" s="142"/>
      <c r="H4560" s="141"/>
      <c r="I4560" s="8"/>
    </row>
    <row r="4561" spans="2:9" ht="15" hidden="1" customHeight="1" x14ac:dyDescent="0.25">
      <c r="B4561" s="7"/>
      <c r="C4561" s="140">
        <v>4533</v>
      </c>
      <c r="D4561" s="142"/>
      <c r="E4561" s="142"/>
      <c r="F4561" s="142"/>
      <c r="G4561" s="142"/>
      <c r="H4561" s="141"/>
      <c r="I4561" s="8"/>
    </row>
    <row r="4562" spans="2:9" ht="15" hidden="1" customHeight="1" x14ac:dyDescent="0.25">
      <c r="B4562" s="7"/>
      <c r="C4562" s="140">
        <v>4534</v>
      </c>
      <c r="D4562" s="142"/>
      <c r="E4562" s="142"/>
      <c r="F4562" s="142"/>
      <c r="G4562" s="142"/>
      <c r="H4562" s="141"/>
      <c r="I4562" s="8"/>
    </row>
    <row r="4563" spans="2:9" ht="15" hidden="1" customHeight="1" x14ac:dyDescent="0.25">
      <c r="B4563" s="7"/>
      <c r="C4563" s="140">
        <v>4535</v>
      </c>
      <c r="D4563" s="142"/>
      <c r="E4563" s="142"/>
      <c r="F4563" s="142"/>
      <c r="G4563" s="142"/>
      <c r="H4563" s="141"/>
      <c r="I4563" s="8"/>
    </row>
    <row r="4564" spans="2:9" ht="15" hidden="1" customHeight="1" x14ac:dyDescent="0.25">
      <c r="B4564" s="7"/>
      <c r="C4564" s="140">
        <v>4536</v>
      </c>
      <c r="D4564" s="142"/>
      <c r="E4564" s="142"/>
      <c r="F4564" s="142"/>
      <c r="G4564" s="142"/>
      <c r="H4564" s="141"/>
      <c r="I4564" s="8"/>
    </row>
    <row r="4565" spans="2:9" ht="15" hidden="1" customHeight="1" x14ac:dyDescent="0.25">
      <c r="B4565" s="7"/>
      <c r="C4565" s="140">
        <v>4537</v>
      </c>
      <c r="D4565" s="142"/>
      <c r="E4565" s="142"/>
      <c r="F4565" s="142"/>
      <c r="G4565" s="142"/>
      <c r="H4565" s="141"/>
      <c r="I4565" s="8"/>
    </row>
    <row r="4566" spans="2:9" ht="15" hidden="1" customHeight="1" x14ac:dyDescent="0.25">
      <c r="B4566" s="7"/>
      <c r="C4566" s="140">
        <v>4538</v>
      </c>
      <c r="D4566" s="142"/>
      <c r="E4566" s="142"/>
      <c r="F4566" s="142"/>
      <c r="G4566" s="142"/>
      <c r="H4566" s="141"/>
      <c r="I4566" s="8"/>
    </row>
    <row r="4567" spans="2:9" ht="15" hidden="1" customHeight="1" x14ac:dyDescent="0.25">
      <c r="B4567" s="7"/>
      <c r="C4567" s="140">
        <v>4539</v>
      </c>
      <c r="D4567" s="142"/>
      <c r="E4567" s="142"/>
      <c r="F4567" s="142"/>
      <c r="G4567" s="142"/>
      <c r="H4567" s="141"/>
      <c r="I4567" s="8"/>
    </row>
    <row r="4568" spans="2:9" ht="15" hidden="1" customHeight="1" x14ac:dyDescent="0.25">
      <c r="B4568" s="7"/>
      <c r="C4568" s="140">
        <v>4540</v>
      </c>
      <c r="D4568" s="142"/>
      <c r="E4568" s="142"/>
      <c r="F4568" s="142"/>
      <c r="G4568" s="142"/>
      <c r="H4568" s="141"/>
      <c r="I4568" s="8"/>
    </row>
    <row r="4569" spans="2:9" ht="15" hidden="1" customHeight="1" x14ac:dyDescent="0.25">
      <c r="B4569" s="7"/>
      <c r="C4569" s="140">
        <v>4541</v>
      </c>
      <c r="D4569" s="142"/>
      <c r="E4569" s="142"/>
      <c r="F4569" s="142"/>
      <c r="G4569" s="142"/>
      <c r="H4569" s="141"/>
      <c r="I4569" s="8"/>
    </row>
    <row r="4570" spans="2:9" ht="15" hidden="1" customHeight="1" x14ac:dyDescent="0.25">
      <c r="B4570" s="7"/>
      <c r="C4570" s="140">
        <v>4542</v>
      </c>
      <c r="D4570" s="142"/>
      <c r="E4570" s="142"/>
      <c r="F4570" s="142"/>
      <c r="G4570" s="142"/>
      <c r="H4570" s="141"/>
      <c r="I4570" s="8"/>
    </row>
    <row r="4571" spans="2:9" ht="15" hidden="1" customHeight="1" x14ac:dyDescent="0.25">
      <c r="B4571" s="7"/>
      <c r="C4571" s="140">
        <v>4543</v>
      </c>
      <c r="D4571" s="142"/>
      <c r="E4571" s="142"/>
      <c r="F4571" s="142"/>
      <c r="G4571" s="142"/>
      <c r="H4571" s="141"/>
      <c r="I4571" s="8"/>
    </row>
    <row r="4572" spans="2:9" ht="15" hidden="1" customHeight="1" x14ac:dyDescent="0.25">
      <c r="B4572" s="7"/>
      <c r="C4572" s="140">
        <v>4544</v>
      </c>
      <c r="D4572" s="142"/>
      <c r="E4572" s="142"/>
      <c r="F4572" s="142"/>
      <c r="G4572" s="142"/>
      <c r="H4572" s="141"/>
      <c r="I4572" s="8"/>
    </row>
    <row r="4573" spans="2:9" ht="15" hidden="1" customHeight="1" x14ac:dyDescent="0.25">
      <c r="B4573" s="7"/>
      <c r="C4573" s="140">
        <v>4545</v>
      </c>
      <c r="D4573" s="142"/>
      <c r="E4573" s="142"/>
      <c r="F4573" s="142"/>
      <c r="G4573" s="142"/>
      <c r="H4573" s="141"/>
      <c r="I4573" s="8"/>
    </row>
    <row r="4574" spans="2:9" ht="15" hidden="1" customHeight="1" x14ac:dyDescent="0.25">
      <c r="B4574" s="7"/>
      <c r="C4574" s="140">
        <v>4546</v>
      </c>
      <c r="D4574" s="142"/>
      <c r="E4574" s="142"/>
      <c r="F4574" s="142"/>
      <c r="G4574" s="142"/>
      <c r="H4574" s="141"/>
      <c r="I4574" s="8"/>
    </row>
    <row r="4575" spans="2:9" ht="15" hidden="1" customHeight="1" x14ac:dyDescent="0.25">
      <c r="B4575" s="7"/>
      <c r="C4575" s="140">
        <v>4547</v>
      </c>
      <c r="D4575" s="142"/>
      <c r="E4575" s="142"/>
      <c r="F4575" s="142"/>
      <c r="G4575" s="142"/>
      <c r="H4575" s="141"/>
      <c r="I4575" s="8"/>
    </row>
    <row r="4576" spans="2:9" ht="15" hidden="1" customHeight="1" x14ac:dyDescent="0.25">
      <c r="B4576" s="7"/>
      <c r="C4576" s="140">
        <v>4548</v>
      </c>
      <c r="D4576" s="142"/>
      <c r="E4576" s="142"/>
      <c r="F4576" s="142"/>
      <c r="G4576" s="142"/>
      <c r="H4576" s="141"/>
      <c r="I4576" s="8"/>
    </row>
    <row r="4577" spans="2:9" ht="15" hidden="1" customHeight="1" x14ac:dyDescent="0.25">
      <c r="B4577" s="7"/>
      <c r="C4577" s="140">
        <v>4549</v>
      </c>
      <c r="D4577" s="142"/>
      <c r="E4577" s="142"/>
      <c r="F4577" s="142"/>
      <c r="G4577" s="142"/>
      <c r="H4577" s="141"/>
      <c r="I4577" s="8"/>
    </row>
    <row r="4578" spans="2:9" ht="15" hidden="1" customHeight="1" x14ac:dyDescent="0.25">
      <c r="B4578" s="7"/>
      <c r="C4578" s="140">
        <v>4550</v>
      </c>
      <c r="D4578" s="142"/>
      <c r="E4578" s="142"/>
      <c r="F4578" s="142"/>
      <c r="G4578" s="142"/>
      <c r="H4578" s="141"/>
      <c r="I4578" s="8"/>
    </row>
    <row r="4579" spans="2:9" ht="15" hidden="1" customHeight="1" x14ac:dyDescent="0.25">
      <c r="B4579" s="7"/>
      <c r="C4579" s="140">
        <v>4551</v>
      </c>
      <c r="D4579" s="142"/>
      <c r="E4579" s="142"/>
      <c r="F4579" s="142"/>
      <c r="G4579" s="142"/>
      <c r="H4579" s="141"/>
      <c r="I4579" s="8"/>
    </row>
    <row r="4580" spans="2:9" ht="15" hidden="1" customHeight="1" x14ac:dyDescent="0.25">
      <c r="B4580" s="7"/>
      <c r="C4580" s="140">
        <v>4552</v>
      </c>
      <c r="D4580" s="142"/>
      <c r="E4580" s="142"/>
      <c r="F4580" s="142"/>
      <c r="G4580" s="142"/>
      <c r="H4580" s="141"/>
      <c r="I4580" s="8"/>
    </row>
    <row r="4581" spans="2:9" ht="15" hidden="1" customHeight="1" x14ac:dyDescent="0.25">
      <c r="B4581" s="7"/>
      <c r="C4581" s="140">
        <v>4553</v>
      </c>
      <c r="D4581" s="142"/>
      <c r="E4581" s="142"/>
      <c r="F4581" s="142"/>
      <c r="G4581" s="142"/>
      <c r="H4581" s="141"/>
      <c r="I4581" s="8"/>
    </row>
    <row r="4582" spans="2:9" ht="15" hidden="1" customHeight="1" x14ac:dyDescent="0.25">
      <c r="B4582" s="7"/>
      <c r="C4582" s="140">
        <v>4554</v>
      </c>
      <c r="D4582" s="142"/>
      <c r="E4582" s="142"/>
      <c r="F4582" s="142"/>
      <c r="G4582" s="142"/>
      <c r="H4582" s="141"/>
      <c r="I4582" s="8"/>
    </row>
    <row r="4583" spans="2:9" ht="15" hidden="1" customHeight="1" x14ac:dyDescent="0.25">
      <c r="B4583" s="7"/>
      <c r="C4583" s="140">
        <v>4555</v>
      </c>
      <c r="D4583" s="142"/>
      <c r="E4583" s="142"/>
      <c r="F4583" s="142"/>
      <c r="G4583" s="142"/>
      <c r="H4583" s="141"/>
      <c r="I4583" s="8"/>
    </row>
    <row r="4584" spans="2:9" ht="15" hidden="1" customHeight="1" x14ac:dyDescent="0.25">
      <c r="B4584" s="7"/>
      <c r="C4584" s="140">
        <v>4556</v>
      </c>
      <c r="D4584" s="142"/>
      <c r="E4584" s="142"/>
      <c r="F4584" s="142"/>
      <c r="G4584" s="142"/>
      <c r="H4584" s="141"/>
      <c r="I4584" s="8"/>
    </row>
    <row r="4585" spans="2:9" ht="15" hidden="1" customHeight="1" x14ac:dyDescent="0.25">
      <c r="B4585" s="7"/>
      <c r="C4585" s="140">
        <v>4557</v>
      </c>
      <c r="D4585" s="142"/>
      <c r="E4585" s="142"/>
      <c r="F4585" s="142"/>
      <c r="G4585" s="142"/>
      <c r="H4585" s="141"/>
      <c r="I4585" s="8"/>
    </row>
    <row r="4586" spans="2:9" ht="15" hidden="1" customHeight="1" x14ac:dyDescent="0.25">
      <c r="B4586" s="7"/>
      <c r="C4586" s="140">
        <v>4558</v>
      </c>
      <c r="D4586" s="142"/>
      <c r="E4586" s="142"/>
      <c r="F4586" s="142"/>
      <c r="G4586" s="142"/>
      <c r="H4586" s="141"/>
      <c r="I4586" s="8"/>
    </row>
    <row r="4587" spans="2:9" ht="15" hidden="1" customHeight="1" x14ac:dyDescent="0.25">
      <c r="B4587" s="7"/>
      <c r="C4587" s="140">
        <v>4559</v>
      </c>
      <c r="D4587" s="142"/>
      <c r="E4587" s="142"/>
      <c r="F4587" s="142"/>
      <c r="G4587" s="142"/>
      <c r="H4587" s="141"/>
      <c r="I4587" s="8"/>
    </row>
    <row r="4588" spans="2:9" ht="15" hidden="1" customHeight="1" x14ac:dyDescent="0.25">
      <c r="B4588" s="7"/>
      <c r="C4588" s="140">
        <v>4560</v>
      </c>
      <c r="D4588" s="142"/>
      <c r="E4588" s="142"/>
      <c r="F4588" s="142"/>
      <c r="G4588" s="142"/>
      <c r="H4588" s="141"/>
      <c r="I4588" s="8"/>
    </row>
    <row r="4589" spans="2:9" ht="15" hidden="1" customHeight="1" x14ac:dyDescent="0.25">
      <c r="B4589" s="7"/>
      <c r="C4589" s="140">
        <v>4561</v>
      </c>
      <c r="D4589" s="142"/>
      <c r="E4589" s="142"/>
      <c r="F4589" s="142"/>
      <c r="G4589" s="142"/>
      <c r="H4589" s="141"/>
      <c r="I4589" s="8"/>
    </row>
    <row r="4590" spans="2:9" ht="15" hidden="1" customHeight="1" x14ac:dyDescent="0.25">
      <c r="B4590" s="7"/>
      <c r="C4590" s="140">
        <v>4562</v>
      </c>
      <c r="D4590" s="142"/>
      <c r="E4590" s="142"/>
      <c r="F4590" s="142"/>
      <c r="G4590" s="142"/>
      <c r="H4590" s="141"/>
      <c r="I4590" s="8"/>
    </row>
    <row r="4591" spans="2:9" ht="15" hidden="1" customHeight="1" x14ac:dyDescent="0.25">
      <c r="B4591" s="7"/>
      <c r="C4591" s="140">
        <v>4563</v>
      </c>
      <c r="D4591" s="142"/>
      <c r="E4591" s="142"/>
      <c r="F4591" s="142"/>
      <c r="G4591" s="142"/>
      <c r="H4591" s="141"/>
      <c r="I4591" s="8"/>
    </row>
    <row r="4592" spans="2:9" ht="15" hidden="1" customHeight="1" x14ac:dyDescent="0.25">
      <c r="B4592" s="7"/>
      <c r="C4592" s="140">
        <v>4564</v>
      </c>
      <c r="D4592" s="142"/>
      <c r="E4592" s="142"/>
      <c r="F4592" s="142"/>
      <c r="G4592" s="142"/>
      <c r="H4592" s="141"/>
      <c r="I4592" s="8"/>
    </row>
    <row r="4593" spans="2:9" ht="15" hidden="1" customHeight="1" x14ac:dyDescent="0.25">
      <c r="B4593" s="7"/>
      <c r="C4593" s="140">
        <v>4565</v>
      </c>
      <c r="D4593" s="142"/>
      <c r="E4593" s="142"/>
      <c r="F4593" s="142"/>
      <c r="G4593" s="142"/>
      <c r="H4593" s="141"/>
      <c r="I4593" s="8"/>
    </row>
    <row r="4594" spans="2:9" ht="15" hidden="1" customHeight="1" x14ac:dyDescent="0.25">
      <c r="B4594" s="7"/>
      <c r="C4594" s="140">
        <v>4566</v>
      </c>
      <c r="D4594" s="142"/>
      <c r="E4594" s="142"/>
      <c r="F4594" s="142"/>
      <c r="G4594" s="142"/>
      <c r="H4594" s="141"/>
      <c r="I4594" s="8"/>
    </row>
    <row r="4595" spans="2:9" ht="15" hidden="1" customHeight="1" x14ac:dyDescent="0.25">
      <c r="B4595" s="7"/>
      <c r="C4595" s="140">
        <v>4567</v>
      </c>
      <c r="D4595" s="142"/>
      <c r="E4595" s="142"/>
      <c r="F4595" s="142"/>
      <c r="G4595" s="142"/>
      <c r="H4595" s="141"/>
      <c r="I4595" s="8"/>
    </row>
    <row r="4596" spans="2:9" ht="15" hidden="1" customHeight="1" x14ac:dyDescent="0.25">
      <c r="B4596" s="7"/>
      <c r="C4596" s="140">
        <v>4568</v>
      </c>
      <c r="D4596" s="142"/>
      <c r="E4596" s="142"/>
      <c r="F4596" s="142"/>
      <c r="G4596" s="142"/>
      <c r="H4596" s="141"/>
      <c r="I4596" s="8"/>
    </row>
    <row r="4597" spans="2:9" ht="15" hidden="1" customHeight="1" x14ac:dyDescent="0.25">
      <c r="B4597" s="7"/>
      <c r="C4597" s="140">
        <v>4569</v>
      </c>
      <c r="D4597" s="142"/>
      <c r="E4597" s="142"/>
      <c r="F4597" s="142"/>
      <c r="G4597" s="142"/>
      <c r="H4597" s="141"/>
      <c r="I4597" s="8"/>
    </row>
    <row r="4598" spans="2:9" ht="15" hidden="1" customHeight="1" x14ac:dyDescent="0.25">
      <c r="B4598" s="7"/>
      <c r="C4598" s="140">
        <v>4570</v>
      </c>
      <c r="D4598" s="142"/>
      <c r="E4598" s="142"/>
      <c r="F4598" s="142"/>
      <c r="G4598" s="142"/>
      <c r="H4598" s="141"/>
      <c r="I4598" s="8"/>
    </row>
    <row r="4599" spans="2:9" ht="15" hidden="1" customHeight="1" x14ac:dyDescent="0.25">
      <c r="B4599" s="7"/>
      <c r="C4599" s="140">
        <v>4571</v>
      </c>
      <c r="D4599" s="142"/>
      <c r="E4599" s="142"/>
      <c r="F4599" s="142"/>
      <c r="G4599" s="142"/>
      <c r="H4599" s="141"/>
      <c r="I4599" s="8"/>
    </row>
    <row r="4600" spans="2:9" ht="15" hidden="1" customHeight="1" x14ac:dyDescent="0.25">
      <c r="B4600" s="7"/>
      <c r="C4600" s="140">
        <v>4572</v>
      </c>
      <c r="D4600" s="142"/>
      <c r="E4600" s="142"/>
      <c r="F4600" s="142"/>
      <c r="G4600" s="142"/>
      <c r="H4600" s="141"/>
      <c r="I4600" s="8"/>
    </row>
    <row r="4601" spans="2:9" ht="15" hidden="1" customHeight="1" x14ac:dyDescent="0.25">
      <c r="B4601" s="7"/>
      <c r="C4601" s="140">
        <v>4573</v>
      </c>
      <c r="D4601" s="142"/>
      <c r="E4601" s="142"/>
      <c r="F4601" s="142"/>
      <c r="G4601" s="142"/>
      <c r="H4601" s="141"/>
      <c r="I4601" s="8"/>
    </row>
    <row r="4602" spans="2:9" ht="15" hidden="1" customHeight="1" x14ac:dyDescent="0.25">
      <c r="B4602" s="7"/>
      <c r="C4602" s="140">
        <v>4574</v>
      </c>
      <c r="D4602" s="142"/>
      <c r="E4602" s="142"/>
      <c r="F4602" s="142"/>
      <c r="G4602" s="142"/>
      <c r="H4602" s="141"/>
      <c r="I4602" s="8"/>
    </row>
    <row r="4603" spans="2:9" ht="15" hidden="1" customHeight="1" x14ac:dyDescent="0.25">
      <c r="B4603" s="7"/>
      <c r="C4603" s="140">
        <v>4575</v>
      </c>
      <c r="D4603" s="142"/>
      <c r="E4603" s="142"/>
      <c r="F4603" s="142"/>
      <c r="G4603" s="142"/>
      <c r="H4603" s="141"/>
      <c r="I4603" s="8"/>
    </row>
    <row r="4604" spans="2:9" ht="15" hidden="1" customHeight="1" x14ac:dyDescent="0.25">
      <c r="B4604" s="7"/>
      <c r="C4604" s="140">
        <v>4576</v>
      </c>
      <c r="D4604" s="142"/>
      <c r="E4604" s="142"/>
      <c r="F4604" s="142"/>
      <c r="G4604" s="142"/>
      <c r="H4604" s="141"/>
      <c r="I4604" s="8"/>
    </row>
    <row r="4605" spans="2:9" ht="15" hidden="1" customHeight="1" x14ac:dyDescent="0.25">
      <c r="B4605" s="7"/>
      <c r="C4605" s="140">
        <v>4577</v>
      </c>
      <c r="D4605" s="142"/>
      <c r="E4605" s="142"/>
      <c r="F4605" s="142"/>
      <c r="G4605" s="142"/>
      <c r="H4605" s="141"/>
      <c r="I4605" s="8"/>
    </row>
    <row r="4606" spans="2:9" ht="15" hidden="1" customHeight="1" x14ac:dyDescent="0.25">
      <c r="B4606" s="7"/>
      <c r="C4606" s="140">
        <v>4578</v>
      </c>
      <c r="D4606" s="142"/>
      <c r="E4606" s="142"/>
      <c r="F4606" s="142"/>
      <c r="G4606" s="142"/>
      <c r="H4606" s="141"/>
      <c r="I4606" s="8"/>
    </row>
    <row r="4607" spans="2:9" ht="15" hidden="1" customHeight="1" x14ac:dyDescent="0.25">
      <c r="B4607" s="7"/>
      <c r="C4607" s="140">
        <v>4579</v>
      </c>
      <c r="D4607" s="142"/>
      <c r="E4607" s="142"/>
      <c r="F4607" s="142"/>
      <c r="G4607" s="142"/>
      <c r="H4607" s="141"/>
      <c r="I4607" s="8"/>
    </row>
    <row r="4608" spans="2:9" ht="15" hidden="1" customHeight="1" x14ac:dyDescent="0.25">
      <c r="B4608" s="7"/>
      <c r="C4608" s="140">
        <v>4580</v>
      </c>
      <c r="D4608" s="142"/>
      <c r="E4608" s="142"/>
      <c r="F4608" s="142"/>
      <c r="G4608" s="142"/>
      <c r="H4608" s="141"/>
      <c r="I4608" s="8"/>
    </row>
    <row r="4609" spans="2:9" ht="15" hidden="1" customHeight="1" x14ac:dyDescent="0.25">
      <c r="B4609" s="7"/>
      <c r="C4609" s="140">
        <v>4581</v>
      </c>
      <c r="D4609" s="142"/>
      <c r="E4609" s="142"/>
      <c r="F4609" s="142"/>
      <c r="G4609" s="142"/>
      <c r="H4609" s="141"/>
      <c r="I4609" s="8"/>
    </row>
    <row r="4610" spans="2:9" ht="15" hidden="1" customHeight="1" x14ac:dyDescent="0.25">
      <c r="B4610" s="7"/>
      <c r="C4610" s="140">
        <v>4582</v>
      </c>
      <c r="D4610" s="142"/>
      <c r="E4610" s="142"/>
      <c r="F4610" s="142"/>
      <c r="G4610" s="142"/>
      <c r="H4610" s="141"/>
      <c r="I4610" s="8"/>
    </row>
    <row r="4611" spans="2:9" ht="15" hidden="1" customHeight="1" x14ac:dyDescent="0.25">
      <c r="B4611" s="7"/>
      <c r="C4611" s="140">
        <v>4583</v>
      </c>
      <c r="D4611" s="142"/>
      <c r="E4611" s="142"/>
      <c r="F4611" s="142"/>
      <c r="G4611" s="142"/>
      <c r="H4611" s="141"/>
      <c r="I4611" s="8"/>
    </row>
    <row r="4612" spans="2:9" ht="15" hidden="1" customHeight="1" x14ac:dyDescent="0.25">
      <c r="B4612" s="7"/>
      <c r="C4612" s="140">
        <v>4584</v>
      </c>
      <c r="D4612" s="142"/>
      <c r="E4612" s="142"/>
      <c r="F4612" s="142"/>
      <c r="G4612" s="142"/>
      <c r="H4612" s="141"/>
      <c r="I4612" s="8"/>
    </row>
    <row r="4613" spans="2:9" ht="15" hidden="1" customHeight="1" x14ac:dyDescent="0.25">
      <c r="B4613" s="7"/>
      <c r="C4613" s="140">
        <v>4585</v>
      </c>
      <c r="D4613" s="142"/>
      <c r="E4613" s="142"/>
      <c r="F4613" s="142"/>
      <c r="G4613" s="142"/>
      <c r="H4613" s="141"/>
      <c r="I4613" s="8"/>
    </row>
    <row r="4614" spans="2:9" ht="15" hidden="1" customHeight="1" x14ac:dyDescent="0.25">
      <c r="B4614" s="7"/>
      <c r="C4614" s="140">
        <v>4586</v>
      </c>
      <c r="D4614" s="142"/>
      <c r="E4614" s="142"/>
      <c r="F4614" s="142"/>
      <c r="G4614" s="142"/>
      <c r="H4614" s="141"/>
      <c r="I4614" s="8"/>
    </row>
    <row r="4615" spans="2:9" ht="15" hidden="1" customHeight="1" x14ac:dyDescent="0.25">
      <c r="B4615" s="7"/>
      <c r="C4615" s="140">
        <v>4587</v>
      </c>
      <c r="D4615" s="142"/>
      <c r="E4615" s="142"/>
      <c r="F4615" s="142"/>
      <c r="G4615" s="142"/>
      <c r="H4615" s="141"/>
      <c r="I4615" s="8"/>
    </row>
    <row r="4616" spans="2:9" ht="15" hidden="1" customHeight="1" x14ac:dyDescent="0.25">
      <c r="B4616" s="7"/>
      <c r="C4616" s="140">
        <v>4588</v>
      </c>
      <c r="D4616" s="142"/>
      <c r="E4616" s="142"/>
      <c r="F4616" s="142"/>
      <c r="G4616" s="142"/>
      <c r="H4616" s="141"/>
      <c r="I4616" s="8"/>
    </row>
    <row r="4617" spans="2:9" ht="15" hidden="1" customHeight="1" x14ac:dyDescent="0.25">
      <c r="B4617" s="7"/>
      <c r="C4617" s="140">
        <v>4589</v>
      </c>
      <c r="D4617" s="142"/>
      <c r="E4617" s="142"/>
      <c r="F4617" s="142"/>
      <c r="G4617" s="142"/>
      <c r="H4617" s="141"/>
      <c r="I4617" s="8"/>
    </row>
    <row r="4618" spans="2:9" ht="15" hidden="1" customHeight="1" x14ac:dyDescent="0.25">
      <c r="B4618" s="7"/>
      <c r="C4618" s="140">
        <v>4590</v>
      </c>
      <c r="D4618" s="142"/>
      <c r="E4618" s="142"/>
      <c r="F4618" s="142"/>
      <c r="G4618" s="142"/>
      <c r="H4618" s="141"/>
      <c r="I4618" s="8"/>
    </row>
    <row r="4619" spans="2:9" ht="15" hidden="1" customHeight="1" x14ac:dyDescent="0.25">
      <c r="B4619" s="7"/>
      <c r="C4619" s="140">
        <v>4591</v>
      </c>
      <c r="D4619" s="142"/>
      <c r="E4619" s="142"/>
      <c r="F4619" s="142"/>
      <c r="G4619" s="142"/>
      <c r="H4619" s="141"/>
      <c r="I4619" s="8"/>
    </row>
    <row r="4620" spans="2:9" ht="15" hidden="1" customHeight="1" x14ac:dyDescent="0.25">
      <c r="B4620" s="7"/>
      <c r="C4620" s="140">
        <v>4592</v>
      </c>
      <c r="D4620" s="142"/>
      <c r="E4620" s="142"/>
      <c r="F4620" s="142"/>
      <c r="G4620" s="142"/>
      <c r="H4620" s="141"/>
      <c r="I4620" s="8"/>
    </row>
    <row r="4621" spans="2:9" ht="15" hidden="1" customHeight="1" x14ac:dyDescent="0.25">
      <c r="B4621" s="7"/>
      <c r="C4621" s="140">
        <v>4593</v>
      </c>
      <c r="D4621" s="142"/>
      <c r="E4621" s="142"/>
      <c r="F4621" s="142"/>
      <c r="G4621" s="142"/>
      <c r="H4621" s="141"/>
      <c r="I4621" s="8"/>
    </row>
    <row r="4622" spans="2:9" ht="15" hidden="1" customHeight="1" x14ac:dyDescent="0.25">
      <c r="B4622" s="7"/>
      <c r="C4622" s="140">
        <v>4594</v>
      </c>
      <c r="D4622" s="142"/>
      <c r="E4622" s="142"/>
      <c r="F4622" s="142"/>
      <c r="G4622" s="142"/>
      <c r="H4622" s="141"/>
      <c r="I4622" s="8"/>
    </row>
    <row r="4623" spans="2:9" ht="15" hidden="1" customHeight="1" x14ac:dyDescent="0.25">
      <c r="B4623" s="7"/>
      <c r="C4623" s="140">
        <v>4595</v>
      </c>
      <c r="D4623" s="142"/>
      <c r="E4623" s="142"/>
      <c r="F4623" s="142"/>
      <c r="G4623" s="142"/>
      <c r="H4623" s="141"/>
      <c r="I4623" s="8"/>
    </row>
    <row r="4624" spans="2:9" ht="15" hidden="1" customHeight="1" x14ac:dyDescent="0.25">
      <c r="B4624" s="7"/>
      <c r="C4624" s="140">
        <v>4596</v>
      </c>
      <c r="D4624" s="142"/>
      <c r="E4624" s="142"/>
      <c r="F4624" s="142"/>
      <c r="G4624" s="142"/>
      <c r="H4624" s="141"/>
      <c r="I4624" s="8"/>
    </row>
    <row r="4625" spans="2:9" ht="15" hidden="1" customHeight="1" x14ac:dyDescent="0.25">
      <c r="B4625" s="7"/>
      <c r="C4625" s="140">
        <v>4597</v>
      </c>
      <c r="D4625" s="142"/>
      <c r="E4625" s="142"/>
      <c r="F4625" s="142"/>
      <c r="G4625" s="142"/>
      <c r="H4625" s="141"/>
      <c r="I4625" s="8"/>
    </row>
    <row r="4626" spans="2:9" ht="15" hidden="1" customHeight="1" x14ac:dyDescent="0.25">
      <c r="B4626" s="7"/>
      <c r="C4626" s="140">
        <v>4598</v>
      </c>
      <c r="D4626" s="142"/>
      <c r="E4626" s="142"/>
      <c r="F4626" s="142"/>
      <c r="G4626" s="142"/>
      <c r="H4626" s="141"/>
      <c r="I4626" s="8"/>
    </row>
    <row r="4627" spans="2:9" ht="15" hidden="1" customHeight="1" x14ac:dyDescent="0.25">
      <c r="B4627" s="7"/>
      <c r="C4627" s="140">
        <v>4599</v>
      </c>
      <c r="D4627" s="142"/>
      <c r="E4627" s="142"/>
      <c r="F4627" s="142"/>
      <c r="G4627" s="142"/>
      <c r="H4627" s="141"/>
      <c r="I4627" s="8"/>
    </row>
    <row r="4628" spans="2:9" ht="15" hidden="1" customHeight="1" x14ac:dyDescent="0.25">
      <c r="B4628" s="7"/>
      <c r="C4628" s="140">
        <v>4600</v>
      </c>
      <c r="D4628" s="142"/>
      <c r="E4628" s="142"/>
      <c r="F4628" s="142"/>
      <c r="G4628" s="142"/>
      <c r="H4628" s="141"/>
      <c r="I4628" s="8"/>
    </row>
    <row r="4629" spans="2:9" ht="15" hidden="1" customHeight="1" x14ac:dyDescent="0.25">
      <c r="B4629" s="7"/>
      <c r="C4629" s="140">
        <v>4601</v>
      </c>
      <c r="D4629" s="142"/>
      <c r="E4629" s="142"/>
      <c r="F4629" s="142"/>
      <c r="G4629" s="142"/>
      <c r="H4629" s="141"/>
      <c r="I4629" s="8"/>
    </row>
    <row r="4630" spans="2:9" ht="15" hidden="1" customHeight="1" x14ac:dyDescent="0.25">
      <c r="B4630" s="7"/>
      <c r="C4630" s="140">
        <v>4602</v>
      </c>
      <c r="D4630" s="142"/>
      <c r="E4630" s="142"/>
      <c r="F4630" s="142"/>
      <c r="G4630" s="142"/>
      <c r="H4630" s="141"/>
      <c r="I4630" s="8"/>
    </row>
    <row r="4631" spans="2:9" ht="15" hidden="1" customHeight="1" x14ac:dyDescent="0.25">
      <c r="B4631" s="7"/>
      <c r="C4631" s="140">
        <v>4603</v>
      </c>
      <c r="D4631" s="142"/>
      <c r="E4631" s="142"/>
      <c r="F4631" s="142"/>
      <c r="G4631" s="142"/>
      <c r="H4631" s="141"/>
      <c r="I4631" s="8"/>
    </row>
    <row r="4632" spans="2:9" ht="15" hidden="1" customHeight="1" x14ac:dyDescent="0.25">
      <c r="B4632" s="7"/>
      <c r="C4632" s="140">
        <v>4604</v>
      </c>
      <c r="D4632" s="142"/>
      <c r="E4632" s="142"/>
      <c r="F4632" s="142"/>
      <c r="G4632" s="142"/>
      <c r="H4632" s="141"/>
      <c r="I4632" s="8"/>
    </row>
    <row r="4633" spans="2:9" ht="15" hidden="1" customHeight="1" x14ac:dyDescent="0.25">
      <c r="B4633" s="7"/>
      <c r="C4633" s="140">
        <v>4605</v>
      </c>
      <c r="D4633" s="142"/>
      <c r="E4633" s="142"/>
      <c r="F4633" s="142"/>
      <c r="G4633" s="142"/>
      <c r="H4633" s="141"/>
      <c r="I4633" s="8"/>
    </row>
    <row r="4634" spans="2:9" ht="15" hidden="1" customHeight="1" x14ac:dyDescent="0.25">
      <c r="B4634" s="7"/>
      <c r="C4634" s="140">
        <v>4606</v>
      </c>
      <c r="D4634" s="142"/>
      <c r="E4634" s="142"/>
      <c r="F4634" s="142"/>
      <c r="G4634" s="142"/>
      <c r="H4634" s="141"/>
      <c r="I4634" s="8"/>
    </row>
    <row r="4635" spans="2:9" ht="15" hidden="1" customHeight="1" x14ac:dyDescent="0.25">
      <c r="B4635" s="7"/>
      <c r="C4635" s="140">
        <v>4607</v>
      </c>
      <c r="D4635" s="142"/>
      <c r="E4635" s="142"/>
      <c r="F4635" s="142"/>
      <c r="G4635" s="142"/>
      <c r="H4635" s="141"/>
      <c r="I4635" s="8"/>
    </row>
    <row r="4636" spans="2:9" ht="15" hidden="1" customHeight="1" x14ac:dyDescent="0.25">
      <c r="B4636" s="7"/>
      <c r="C4636" s="140">
        <v>4608</v>
      </c>
      <c r="D4636" s="142"/>
      <c r="E4636" s="142"/>
      <c r="F4636" s="142"/>
      <c r="G4636" s="142"/>
      <c r="H4636" s="141"/>
      <c r="I4636" s="8"/>
    </row>
    <row r="4637" spans="2:9" ht="15" hidden="1" customHeight="1" x14ac:dyDescent="0.25">
      <c r="B4637" s="7"/>
      <c r="C4637" s="140">
        <v>4609</v>
      </c>
      <c r="D4637" s="142"/>
      <c r="E4637" s="142"/>
      <c r="F4637" s="142"/>
      <c r="G4637" s="142"/>
      <c r="H4637" s="141"/>
      <c r="I4637" s="8"/>
    </row>
    <row r="4638" spans="2:9" ht="15" hidden="1" customHeight="1" x14ac:dyDescent="0.25">
      <c r="B4638" s="7"/>
      <c r="C4638" s="140">
        <v>4610</v>
      </c>
      <c r="D4638" s="142"/>
      <c r="E4638" s="142"/>
      <c r="F4638" s="142"/>
      <c r="G4638" s="142"/>
      <c r="H4638" s="141"/>
      <c r="I4638" s="8"/>
    </row>
    <row r="4639" spans="2:9" ht="15" hidden="1" customHeight="1" x14ac:dyDescent="0.25">
      <c r="B4639" s="7"/>
      <c r="C4639" s="140">
        <v>4611</v>
      </c>
      <c r="D4639" s="142"/>
      <c r="E4639" s="142"/>
      <c r="F4639" s="142"/>
      <c r="G4639" s="142"/>
      <c r="H4639" s="141"/>
      <c r="I4639" s="8"/>
    </row>
    <row r="4640" spans="2:9" ht="15" hidden="1" customHeight="1" x14ac:dyDescent="0.25">
      <c r="B4640" s="7"/>
      <c r="C4640" s="140">
        <v>4612</v>
      </c>
      <c r="D4640" s="142"/>
      <c r="E4640" s="142"/>
      <c r="F4640" s="142"/>
      <c r="G4640" s="142"/>
      <c r="H4640" s="141"/>
      <c r="I4640" s="8"/>
    </row>
    <row r="4641" spans="2:9" ht="15" hidden="1" customHeight="1" x14ac:dyDescent="0.25">
      <c r="B4641" s="7"/>
      <c r="C4641" s="140">
        <v>4613</v>
      </c>
      <c r="D4641" s="142"/>
      <c r="E4641" s="142"/>
      <c r="F4641" s="142"/>
      <c r="G4641" s="142"/>
      <c r="H4641" s="141"/>
      <c r="I4641" s="8"/>
    </row>
    <row r="4642" spans="2:9" ht="15" hidden="1" customHeight="1" x14ac:dyDescent="0.25">
      <c r="B4642" s="7"/>
      <c r="C4642" s="140">
        <v>4614</v>
      </c>
      <c r="D4642" s="142"/>
      <c r="E4642" s="142"/>
      <c r="F4642" s="142"/>
      <c r="G4642" s="142"/>
      <c r="H4642" s="141"/>
      <c r="I4642" s="8"/>
    </row>
    <row r="4643" spans="2:9" ht="15" hidden="1" customHeight="1" x14ac:dyDescent="0.25">
      <c r="B4643" s="7"/>
      <c r="C4643" s="140">
        <v>4615</v>
      </c>
      <c r="D4643" s="142"/>
      <c r="E4643" s="142"/>
      <c r="F4643" s="142"/>
      <c r="G4643" s="142"/>
      <c r="H4643" s="141"/>
      <c r="I4643" s="8"/>
    </row>
    <row r="4644" spans="2:9" ht="15" hidden="1" customHeight="1" x14ac:dyDescent="0.25">
      <c r="B4644" s="7"/>
      <c r="C4644" s="140">
        <v>4616</v>
      </c>
      <c r="D4644" s="142"/>
      <c r="E4644" s="142"/>
      <c r="F4644" s="142"/>
      <c r="G4644" s="142"/>
      <c r="H4644" s="141"/>
      <c r="I4644" s="8"/>
    </row>
    <row r="4645" spans="2:9" ht="15" hidden="1" customHeight="1" x14ac:dyDescent="0.25">
      <c r="B4645" s="7"/>
      <c r="C4645" s="140">
        <v>4617</v>
      </c>
      <c r="D4645" s="142"/>
      <c r="E4645" s="142"/>
      <c r="F4645" s="142"/>
      <c r="G4645" s="142"/>
      <c r="H4645" s="141"/>
      <c r="I4645" s="8"/>
    </row>
    <row r="4646" spans="2:9" ht="15" hidden="1" customHeight="1" x14ac:dyDescent="0.25">
      <c r="B4646" s="7"/>
      <c r="C4646" s="140">
        <v>4618</v>
      </c>
      <c r="D4646" s="142"/>
      <c r="E4646" s="142"/>
      <c r="F4646" s="142"/>
      <c r="G4646" s="142"/>
      <c r="H4646" s="141"/>
      <c r="I4646" s="8"/>
    </row>
    <row r="4647" spans="2:9" ht="15" hidden="1" customHeight="1" x14ac:dyDescent="0.25">
      <c r="B4647" s="7"/>
      <c r="C4647" s="140">
        <v>4619</v>
      </c>
      <c r="D4647" s="142"/>
      <c r="E4647" s="142"/>
      <c r="F4647" s="142"/>
      <c r="G4647" s="142"/>
      <c r="H4647" s="141"/>
      <c r="I4647" s="8"/>
    </row>
    <row r="4648" spans="2:9" ht="15" hidden="1" customHeight="1" x14ac:dyDescent="0.25">
      <c r="B4648" s="7"/>
      <c r="C4648" s="140">
        <v>4620</v>
      </c>
      <c r="D4648" s="142"/>
      <c r="E4648" s="142"/>
      <c r="F4648" s="142"/>
      <c r="G4648" s="142"/>
      <c r="H4648" s="141"/>
      <c r="I4648" s="8"/>
    </row>
    <row r="4649" spans="2:9" ht="15" hidden="1" customHeight="1" x14ac:dyDescent="0.25">
      <c r="B4649" s="7"/>
      <c r="C4649" s="140">
        <v>4621</v>
      </c>
      <c r="D4649" s="142"/>
      <c r="E4649" s="142"/>
      <c r="F4649" s="142"/>
      <c r="G4649" s="142"/>
      <c r="H4649" s="141"/>
      <c r="I4649" s="8"/>
    </row>
    <row r="4650" spans="2:9" ht="15" hidden="1" customHeight="1" x14ac:dyDescent="0.25">
      <c r="B4650" s="7"/>
      <c r="C4650" s="140">
        <v>4622</v>
      </c>
      <c r="D4650" s="142"/>
      <c r="E4650" s="142"/>
      <c r="F4650" s="142"/>
      <c r="G4650" s="142"/>
      <c r="H4650" s="141"/>
      <c r="I4650" s="8"/>
    </row>
    <row r="4651" spans="2:9" ht="15" hidden="1" customHeight="1" x14ac:dyDescent="0.25">
      <c r="B4651" s="7"/>
      <c r="C4651" s="140">
        <v>4623</v>
      </c>
      <c r="D4651" s="142"/>
      <c r="E4651" s="142"/>
      <c r="F4651" s="142"/>
      <c r="G4651" s="142"/>
      <c r="H4651" s="141"/>
      <c r="I4651" s="8"/>
    </row>
    <row r="4652" spans="2:9" ht="15" hidden="1" customHeight="1" x14ac:dyDescent="0.25">
      <c r="B4652" s="7"/>
      <c r="C4652" s="140">
        <v>4624</v>
      </c>
      <c r="D4652" s="142"/>
      <c r="E4652" s="142"/>
      <c r="F4652" s="142"/>
      <c r="G4652" s="142"/>
      <c r="H4652" s="141"/>
      <c r="I4652" s="8"/>
    </row>
    <row r="4653" spans="2:9" ht="15" hidden="1" customHeight="1" x14ac:dyDescent="0.25">
      <c r="B4653" s="7"/>
      <c r="C4653" s="140">
        <v>4625</v>
      </c>
      <c r="D4653" s="142"/>
      <c r="E4653" s="142"/>
      <c r="F4653" s="142"/>
      <c r="G4653" s="142"/>
      <c r="H4653" s="141"/>
      <c r="I4653" s="8"/>
    </row>
    <row r="4654" spans="2:9" ht="15" hidden="1" customHeight="1" x14ac:dyDescent="0.25">
      <c r="B4654" s="7"/>
      <c r="C4654" s="140">
        <v>4626</v>
      </c>
      <c r="D4654" s="142"/>
      <c r="E4654" s="142"/>
      <c r="F4654" s="142"/>
      <c r="G4654" s="142"/>
      <c r="H4654" s="141"/>
      <c r="I4654" s="8"/>
    </row>
    <row r="4655" spans="2:9" ht="15" hidden="1" customHeight="1" x14ac:dyDescent="0.25">
      <c r="B4655" s="7"/>
      <c r="C4655" s="140">
        <v>4627</v>
      </c>
      <c r="D4655" s="142"/>
      <c r="E4655" s="142"/>
      <c r="F4655" s="142"/>
      <c r="G4655" s="142"/>
      <c r="H4655" s="141"/>
      <c r="I4655" s="8"/>
    </row>
    <row r="4656" spans="2:9" ht="15" hidden="1" customHeight="1" x14ac:dyDescent="0.25">
      <c r="B4656" s="7"/>
      <c r="C4656" s="140">
        <v>4628</v>
      </c>
      <c r="D4656" s="142"/>
      <c r="E4656" s="142"/>
      <c r="F4656" s="142"/>
      <c r="G4656" s="142"/>
      <c r="H4656" s="141"/>
      <c r="I4656" s="8"/>
    </row>
    <row r="4657" spans="2:9" ht="15" hidden="1" customHeight="1" x14ac:dyDescent="0.25">
      <c r="B4657" s="7"/>
      <c r="C4657" s="140">
        <v>4629</v>
      </c>
      <c r="D4657" s="142"/>
      <c r="E4657" s="142"/>
      <c r="F4657" s="142"/>
      <c r="G4657" s="142"/>
      <c r="H4657" s="141"/>
      <c r="I4657" s="8"/>
    </row>
    <row r="4658" spans="2:9" ht="15" hidden="1" customHeight="1" x14ac:dyDescent="0.25">
      <c r="B4658" s="7"/>
      <c r="C4658" s="140">
        <v>4630</v>
      </c>
      <c r="D4658" s="142"/>
      <c r="E4658" s="142"/>
      <c r="F4658" s="142"/>
      <c r="G4658" s="142"/>
      <c r="H4658" s="141"/>
      <c r="I4658" s="8"/>
    </row>
    <row r="4659" spans="2:9" ht="15" hidden="1" customHeight="1" x14ac:dyDescent="0.25">
      <c r="B4659" s="7"/>
      <c r="C4659" s="140">
        <v>4631</v>
      </c>
      <c r="D4659" s="142"/>
      <c r="E4659" s="142"/>
      <c r="F4659" s="142"/>
      <c r="G4659" s="142"/>
      <c r="H4659" s="141"/>
      <c r="I4659" s="8"/>
    </row>
    <row r="4660" spans="2:9" ht="15" hidden="1" customHeight="1" x14ac:dyDescent="0.25">
      <c r="B4660" s="7"/>
      <c r="C4660" s="140">
        <v>4632</v>
      </c>
      <c r="D4660" s="142"/>
      <c r="E4660" s="142"/>
      <c r="F4660" s="142"/>
      <c r="G4660" s="142"/>
      <c r="H4660" s="141"/>
      <c r="I4660" s="8"/>
    </row>
    <row r="4661" spans="2:9" ht="15" hidden="1" customHeight="1" x14ac:dyDescent="0.25">
      <c r="B4661" s="7"/>
      <c r="C4661" s="140">
        <v>4633</v>
      </c>
      <c r="D4661" s="142"/>
      <c r="E4661" s="142"/>
      <c r="F4661" s="142"/>
      <c r="G4661" s="142"/>
      <c r="H4661" s="141"/>
      <c r="I4661" s="8"/>
    </row>
    <row r="4662" spans="2:9" ht="15" hidden="1" customHeight="1" x14ac:dyDescent="0.25">
      <c r="B4662" s="7"/>
      <c r="C4662" s="140">
        <v>4634</v>
      </c>
      <c r="D4662" s="142"/>
      <c r="E4662" s="142"/>
      <c r="F4662" s="142"/>
      <c r="G4662" s="142"/>
      <c r="H4662" s="141"/>
      <c r="I4662" s="8"/>
    </row>
    <row r="4663" spans="2:9" ht="15" hidden="1" customHeight="1" x14ac:dyDescent="0.25">
      <c r="B4663" s="7"/>
      <c r="C4663" s="140">
        <v>4635</v>
      </c>
      <c r="D4663" s="142"/>
      <c r="E4663" s="142"/>
      <c r="F4663" s="142"/>
      <c r="G4663" s="142"/>
      <c r="H4663" s="141"/>
      <c r="I4663" s="8"/>
    </row>
    <row r="4664" spans="2:9" ht="15" hidden="1" customHeight="1" x14ac:dyDescent="0.25">
      <c r="B4664" s="7"/>
      <c r="C4664" s="140">
        <v>4636</v>
      </c>
      <c r="D4664" s="142"/>
      <c r="E4664" s="142"/>
      <c r="F4664" s="142"/>
      <c r="G4664" s="142"/>
      <c r="H4664" s="141"/>
      <c r="I4664" s="8"/>
    </row>
    <row r="4665" spans="2:9" ht="15" hidden="1" customHeight="1" x14ac:dyDescent="0.25">
      <c r="B4665" s="7"/>
      <c r="C4665" s="140">
        <v>4637</v>
      </c>
      <c r="D4665" s="142"/>
      <c r="E4665" s="142"/>
      <c r="F4665" s="142"/>
      <c r="G4665" s="142"/>
      <c r="H4665" s="141"/>
      <c r="I4665" s="8"/>
    </row>
    <row r="4666" spans="2:9" ht="15" hidden="1" customHeight="1" x14ac:dyDescent="0.25">
      <c r="B4666" s="7"/>
      <c r="C4666" s="140">
        <v>4638</v>
      </c>
      <c r="D4666" s="142"/>
      <c r="E4666" s="142"/>
      <c r="F4666" s="142"/>
      <c r="G4666" s="142"/>
      <c r="H4666" s="141"/>
      <c r="I4666" s="8"/>
    </row>
    <row r="4667" spans="2:9" ht="15" hidden="1" customHeight="1" x14ac:dyDescent="0.25">
      <c r="B4667" s="7"/>
      <c r="C4667" s="140">
        <v>4639</v>
      </c>
      <c r="D4667" s="142"/>
      <c r="E4667" s="142"/>
      <c r="F4667" s="142"/>
      <c r="G4667" s="142"/>
      <c r="H4667" s="141"/>
      <c r="I4667" s="8"/>
    </row>
    <row r="4668" spans="2:9" ht="15" hidden="1" customHeight="1" x14ac:dyDescent="0.25">
      <c r="B4668" s="7"/>
      <c r="C4668" s="140">
        <v>4640</v>
      </c>
      <c r="D4668" s="142"/>
      <c r="E4668" s="142"/>
      <c r="F4668" s="142"/>
      <c r="G4668" s="142"/>
      <c r="H4668" s="141"/>
      <c r="I4668" s="8"/>
    </row>
    <row r="4669" spans="2:9" ht="15" hidden="1" customHeight="1" x14ac:dyDescent="0.25">
      <c r="B4669" s="7"/>
      <c r="C4669" s="140">
        <v>4641</v>
      </c>
      <c r="D4669" s="142"/>
      <c r="E4669" s="142"/>
      <c r="F4669" s="142"/>
      <c r="G4669" s="142"/>
      <c r="H4669" s="141"/>
      <c r="I4669" s="8"/>
    </row>
    <row r="4670" spans="2:9" ht="15" hidden="1" customHeight="1" x14ac:dyDescent="0.25">
      <c r="B4670" s="7"/>
      <c r="C4670" s="140">
        <v>4642</v>
      </c>
      <c r="D4670" s="142"/>
      <c r="E4670" s="142"/>
      <c r="F4670" s="142"/>
      <c r="G4670" s="142"/>
      <c r="H4670" s="141"/>
      <c r="I4670" s="8"/>
    </row>
    <row r="4671" spans="2:9" ht="15" hidden="1" customHeight="1" x14ac:dyDescent="0.25">
      <c r="B4671" s="7"/>
      <c r="C4671" s="140">
        <v>4643</v>
      </c>
      <c r="D4671" s="142"/>
      <c r="E4671" s="142"/>
      <c r="F4671" s="142"/>
      <c r="G4671" s="142"/>
      <c r="H4671" s="141"/>
      <c r="I4671" s="8"/>
    </row>
    <row r="4672" spans="2:9" ht="15" hidden="1" customHeight="1" x14ac:dyDescent="0.25">
      <c r="B4672" s="7"/>
      <c r="C4672" s="140">
        <v>4644</v>
      </c>
      <c r="D4672" s="142"/>
      <c r="E4672" s="142"/>
      <c r="F4672" s="142"/>
      <c r="G4672" s="142"/>
      <c r="H4672" s="141"/>
      <c r="I4672" s="8"/>
    </row>
    <row r="4673" spans="2:9" ht="15" hidden="1" customHeight="1" x14ac:dyDescent="0.25">
      <c r="B4673" s="7"/>
      <c r="C4673" s="140">
        <v>4645</v>
      </c>
      <c r="D4673" s="142"/>
      <c r="E4673" s="142"/>
      <c r="F4673" s="142"/>
      <c r="G4673" s="142"/>
      <c r="H4673" s="141"/>
      <c r="I4673" s="8"/>
    </row>
    <row r="4674" spans="2:9" ht="15" hidden="1" customHeight="1" x14ac:dyDescent="0.25">
      <c r="B4674" s="7"/>
      <c r="C4674" s="140">
        <v>4646</v>
      </c>
      <c r="D4674" s="142"/>
      <c r="E4674" s="142"/>
      <c r="F4674" s="142"/>
      <c r="G4674" s="142"/>
      <c r="H4674" s="141"/>
      <c r="I4674" s="8"/>
    </row>
    <row r="4675" spans="2:9" ht="15" hidden="1" customHeight="1" x14ac:dyDescent="0.25">
      <c r="B4675" s="7"/>
      <c r="C4675" s="140">
        <v>4647</v>
      </c>
      <c r="D4675" s="142"/>
      <c r="E4675" s="142"/>
      <c r="F4675" s="142"/>
      <c r="G4675" s="142"/>
      <c r="H4675" s="141"/>
      <c r="I4675" s="8"/>
    </row>
    <row r="4676" spans="2:9" ht="15" hidden="1" customHeight="1" x14ac:dyDescent="0.25">
      <c r="B4676" s="7"/>
      <c r="C4676" s="140">
        <v>4648</v>
      </c>
      <c r="D4676" s="142"/>
      <c r="E4676" s="142"/>
      <c r="F4676" s="142"/>
      <c r="G4676" s="142"/>
      <c r="H4676" s="141"/>
      <c r="I4676" s="8"/>
    </row>
    <row r="4677" spans="2:9" ht="15" hidden="1" customHeight="1" x14ac:dyDescent="0.25">
      <c r="B4677" s="7"/>
      <c r="C4677" s="140">
        <v>4649</v>
      </c>
      <c r="D4677" s="142"/>
      <c r="E4677" s="142"/>
      <c r="F4677" s="142"/>
      <c r="G4677" s="142"/>
      <c r="H4677" s="141"/>
      <c r="I4677" s="8"/>
    </row>
    <row r="4678" spans="2:9" ht="15" hidden="1" customHeight="1" x14ac:dyDescent="0.25">
      <c r="B4678" s="7"/>
      <c r="C4678" s="140">
        <v>4650</v>
      </c>
      <c r="D4678" s="142"/>
      <c r="E4678" s="142"/>
      <c r="F4678" s="142"/>
      <c r="G4678" s="142"/>
      <c r="H4678" s="141"/>
      <c r="I4678" s="8"/>
    </row>
    <row r="4679" spans="2:9" ht="15" hidden="1" customHeight="1" x14ac:dyDescent="0.25">
      <c r="B4679" s="7"/>
      <c r="C4679" s="140">
        <v>4651</v>
      </c>
      <c r="D4679" s="142"/>
      <c r="E4679" s="142"/>
      <c r="F4679" s="142"/>
      <c r="G4679" s="142"/>
      <c r="H4679" s="141"/>
      <c r="I4679" s="8"/>
    </row>
    <row r="4680" spans="2:9" ht="15" hidden="1" customHeight="1" x14ac:dyDescent="0.25">
      <c r="B4680" s="7"/>
      <c r="C4680" s="140">
        <v>4652</v>
      </c>
      <c r="D4680" s="142"/>
      <c r="E4680" s="142"/>
      <c r="F4680" s="142"/>
      <c r="G4680" s="142"/>
      <c r="H4680" s="141"/>
      <c r="I4680" s="8"/>
    </row>
    <row r="4681" spans="2:9" ht="15" hidden="1" customHeight="1" x14ac:dyDescent="0.25">
      <c r="B4681" s="7"/>
      <c r="C4681" s="140">
        <v>4653</v>
      </c>
      <c r="D4681" s="142"/>
      <c r="E4681" s="142"/>
      <c r="F4681" s="142"/>
      <c r="G4681" s="142"/>
      <c r="H4681" s="141"/>
      <c r="I4681" s="8"/>
    </row>
    <row r="4682" spans="2:9" ht="15" hidden="1" customHeight="1" x14ac:dyDescent="0.25">
      <c r="B4682" s="7"/>
      <c r="C4682" s="140">
        <v>4654</v>
      </c>
      <c r="D4682" s="142"/>
      <c r="E4682" s="142"/>
      <c r="F4682" s="142"/>
      <c r="G4682" s="142"/>
      <c r="H4682" s="141"/>
      <c r="I4682" s="8"/>
    </row>
    <row r="4683" spans="2:9" ht="15" hidden="1" customHeight="1" x14ac:dyDescent="0.25">
      <c r="B4683" s="7"/>
      <c r="C4683" s="140">
        <v>4655</v>
      </c>
      <c r="D4683" s="142"/>
      <c r="E4683" s="142"/>
      <c r="F4683" s="142"/>
      <c r="G4683" s="142"/>
      <c r="H4683" s="141"/>
      <c r="I4683" s="8"/>
    </row>
    <row r="4684" spans="2:9" ht="15" hidden="1" customHeight="1" x14ac:dyDescent="0.25">
      <c r="B4684" s="7"/>
      <c r="C4684" s="140">
        <v>4656</v>
      </c>
      <c r="D4684" s="142"/>
      <c r="E4684" s="142"/>
      <c r="F4684" s="142"/>
      <c r="G4684" s="142"/>
      <c r="H4684" s="141"/>
      <c r="I4684" s="8"/>
    </row>
    <row r="4685" spans="2:9" ht="15" hidden="1" customHeight="1" x14ac:dyDescent="0.25">
      <c r="B4685" s="7"/>
      <c r="C4685" s="140">
        <v>4657</v>
      </c>
      <c r="D4685" s="142"/>
      <c r="E4685" s="142"/>
      <c r="F4685" s="142"/>
      <c r="G4685" s="142"/>
      <c r="H4685" s="141"/>
      <c r="I4685" s="8"/>
    </row>
    <row r="4686" spans="2:9" ht="15" hidden="1" customHeight="1" x14ac:dyDescent="0.25">
      <c r="B4686" s="7"/>
      <c r="C4686" s="140">
        <v>4658</v>
      </c>
      <c r="D4686" s="142"/>
      <c r="E4686" s="142"/>
      <c r="F4686" s="142"/>
      <c r="G4686" s="142"/>
      <c r="H4686" s="141"/>
      <c r="I4686" s="8"/>
    </row>
    <row r="4687" spans="2:9" ht="15" hidden="1" customHeight="1" x14ac:dyDescent="0.25">
      <c r="B4687" s="7"/>
      <c r="C4687" s="140">
        <v>4659</v>
      </c>
      <c r="D4687" s="142"/>
      <c r="E4687" s="142"/>
      <c r="F4687" s="142"/>
      <c r="G4687" s="142"/>
      <c r="H4687" s="141"/>
      <c r="I4687" s="8"/>
    </row>
    <row r="4688" spans="2:9" ht="15" hidden="1" customHeight="1" x14ac:dyDescent="0.25">
      <c r="B4688" s="7"/>
      <c r="C4688" s="140">
        <v>4660</v>
      </c>
      <c r="D4688" s="142"/>
      <c r="E4688" s="142"/>
      <c r="F4688" s="142"/>
      <c r="G4688" s="142"/>
      <c r="H4688" s="141"/>
      <c r="I4688" s="8"/>
    </row>
    <row r="4689" spans="2:9" ht="15" hidden="1" customHeight="1" x14ac:dyDescent="0.25">
      <c r="B4689" s="7"/>
      <c r="C4689" s="140">
        <v>4661</v>
      </c>
      <c r="D4689" s="142"/>
      <c r="E4689" s="142"/>
      <c r="F4689" s="142"/>
      <c r="G4689" s="142"/>
      <c r="H4689" s="141"/>
      <c r="I4689" s="8"/>
    </row>
    <row r="4690" spans="2:9" ht="15" hidden="1" customHeight="1" x14ac:dyDescent="0.25">
      <c r="B4690" s="7"/>
      <c r="C4690" s="140">
        <v>4662</v>
      </c>
      <c r="D4690" s="142"/>
      <c r="E4690" s="142"/>
      <c r="F4690" s="142"/>
      <c r="G4690" s="142"/>
      <c r="H4690" s="141"/>
      <c r="I4690" s="8"/>
    </row>
    <row r="4691" spans="2:9" ht="15" hidden="1" customHeight="1" x14ac:dyDescent="0.25">
      <c r="B4691" s="7"/>
      <c r="C4691" s="140">
        <v>4663</v>
      </c>
      <c r="D4691" s="142"/>
      <c r="E4691" s="142"/>
      <c r="F4691" s="142"/>
      <c r="G4691" s="142"/>
      <c r="H4691" s="141"/>
      <c r="I4691" s="8"/>
    </row>
    <row r="4692" spans="2:9" ht="15" hidden="1" customHeight="1" x14ac:dyDescent="0.25">
      <c r="B4692" s="7"/>
      <c r="C4692" s="140">
        <v>4664</v>
      </c>
      <c r="D4692" s="142"/>
      <c r="E4692" s="142"/>
      <c r="F4692" s="142"/>
      <c r="G4692" s="142"/>
      <c r="H4692" s="141"/>
      <c r="I4692" s="8"/>
    </row>
    <row r="4693" spans="2:9" ht="15" hidden="1" customHeight="1" x14ac:dyDescent="0.25">
      <c r="B4693" s="7"/>
      <c r="C4693" s="140">
        <v>4665</v>
      </c>
      <c r="D4693" s="142"/>
      <c r="E4693" s="142"/>
      <c r="F4693" s="142"/>
      <c r="G4693" s="142"/>
      <c r="H4693" s="141"/>
      <c r="I4693" s="8"/>
    </row>
    <row r="4694" spans="2:9" ht="15" hidden="1" customHeight="1" x14ac:dyDescent="0.25">
      <c r="B4694" s="7"/>
      <c r="C4694" s="140">
        <v>4666</v>
      </c>
      <c r="D4694" s="142"/>
      <c r="E4694" s="142"/>
      <c r="F4694" s="142"/>
      <c r="G4694" s="142"/>
      <c r="H4694" s="141"/>
      <c r="I4694" s="8"/>
    </row>
    <row r="4695" spans="2:9" ht="15" hidden="1" customHeight="1" x14ac:dyDescent="0.25">
      <c r="B4695" s="7"/>
      <c r="C4695" s="140">
        <v>4667</v>
      </c>
      <c r="D4695" s="142"/>
      <c r="E4695" s="142"/>
      <c r="F4695" s="142"/>
      <c r="G4695" s="142"/>
      <c r="H4695" s="141"/>
      <c r="I4695" s="8"/>
    </row>
    <row r="4696" spans="2:9" ht="15" hidden="1" customHeight="1" x14ac:dyDescent="0.25">
      <c r="B4696" s="7"/>
      <c r="C4696" s="140">
        <v>4668</v>
      </c>
      <c r="D4696" s="142"/>
      <c r="E4696" s="142"/>
      <c r="F4696" s="142"/>
      <c r="G4696" s="142"/>
      <c r="H4696" s="141"/>
      <c r="I4696" s="8"/>
    </row>
    <row r="4697" spans="2:9" ht="15" hidden="1" customHeight="1" x14ac:dyDescent="0.25">
      <c r="B4697" s="7"/>
      <c r="C4697" s="140">
        <v>4669</v>
      </c>
      <c r="D4697" s="142"/>
      <c r="E4697" s="142"/>
      <c r="F4697" s="142"/>
      <c r="G4697" s="142"/>
      <c r="H4697" s="141"/>
      <c r="I4697" s="8"/>
    </row>
    <row r="4698" spans="2:9" ht="15" hidden="1" customHeight="1" x14ac:dyDescent="0.25">
      <c r="B4698" s="7"/>
      <c r="C4698" s="140">
        <v>4670</v>
      </c>
      <c r="D4698" s="142"/>
      <c r="E4698" s="142"/>
      <c r="F4698" s="142"/>
      <c r="G4698" s="142"/>
      <c r="H4698" s="141"/>
      <c r="I4698" s="8"/>
    </row>
    <row r="4699" spans="2:9" ht="15" hidden="1" customHeight="1" x14ac:dyDescent="0.25">
      <c r="B4699" s="7"/>
      <c r="C4699" s="140">
        <v>4671</v>
      </c>
      <c r="D4699" s="142"/>
      <c r="E4699" s="142"/>
      <c r="F4699" s="142"/>
      <c r="G4699" s="142"/>
      <c r="H4699" s="141"/>
      <c r="I4699" s="8"/>
    </row>
    <row r="4700" spans="2:9" ht="15" hidden="1" customHeight="1" x14ac:dyDescent="0.25">
      <c r="B4700" s="7"/>
      <c r="C4700" s="140">
        <v>4672</v>
      </c>
      <c r="D4700" s="142"/>
      <c r="E4700" s="142"/>
      <c r="F4700" s="142"/>
      <c r="G4700" s="142"/>
      <c r="H4700" s="141"/>
      <c r="I4700" s="8"/>
    </row>
    <row r="4701" spans="2:9" ht="15" hidden="1" customHeight="1" x14ac:dyDescent="0.25">
      <c r="B4701" s="7"/>
      <c r="C4701" s="140">
        <v>4673</v>
      </c>
      <c r="D4701" s="142"/>
      <c r="E4701" s="142"/>
      <c r="F4701" s="142"/>
      <c r="G4701" s="142"/>
      <c r="H4701" s="141"/>
      <c r="I4701" s="8"/>
    </row>
    <row r="4702" spans="2:9" ht="15" hidden="1" customHeight="1" x14ac:dyDescent="0.25">
      <c r="B4702" s="7"/>
      <c r="C4702" s="140">
        <v>4674</v>
      </c>
      <c r="D4702" s="142"/>
      <c r="E4702" s="142"/>
      <c r="F4702" s="142"/>
      <c r="G4702" s="142"/>
      <c r="H4702" s="141"/>
      <c r="I4702" s="8"/>
    </row>
    <row r="4703" spans="2:9" ht="15" hidden="1" customHeight="1" x14ac:dyDescent="0.25">
      <c r="B4703" s="7"/>
      <c r="C4703" s="140">
        <v>4675</v>
      </c>
      <c r="D4703" s="142"/>
      <c r="E4703" s="142"/>
      <c r="F4703" s="142"/>
      <c r="G4703" s="142"/>
      <c r="H4703" s="141"/>
      <c r="I4703" s="8"/>
    </row>
    <row r="4704" spans="2:9" ht="15" hidden="1" customHeight="1" x14ac:dyDescent="0.25">
      <c r="B4704" s="7"/>
      <c r="C4704" s="140">
        <v>4676</v>
      </c>
      <c r="D4704" s="142"/>
      <c r="E4704" s="142"/>
      <c r="F4704" s="142"/>
      <c r="G4704" s="142"/>
      <c r="H4704" s="141"/>
      <c r="I4704" s="8"/>
    </row>
    <row r="4705" spans="2:9" ht="15" hidden="1" customHeight="1" x14ac:dyDescent="0.25">
      <c r="B4705" s="7"/>
      <c r="C4705" s="140">
        <v>4677</v>
      </c>
      <c r="D4705" s="142"/>
      <c r="E4705" s="142"/>
      <c r="F4705" s="142"/>
      <c r="G4705" s="142"/>
      <c r="H4705" s="141"/>
      <c r="I4705" s="8"/>
    </row>
    <row r="4706" spans="2:9" ht="15" hidden="1" customHeight="1" x14ac:dyDescent="0.25">
      <c r="B4706" s="7"/>
      <c r="C4706" s="140">
        <v>4678</v>
      </c>
      <c r="D4706" s="142"/>
      <c r="E4706" s="142"/>
      <c r="F4706" s="142"/>
      <c r="G4706" s="142"/>
      <c r="H4706" s="141"/>
      <c r="I4706" s="8"/>
    </row>
    <row r="4707" spans="2:9" ht="15" hidden="1" customHeight="1" x14ac:dyDescent="0.25">
      <c r="B4707" s="7"/>
      <c r="C4707" s="140">
        <v>4679</v>
      </c>
      <c r="D4707" s="142"/>
      <c r="E4707" s="142"/>
      <c r="F4707" s="142"/>
      <c r="G4707" s="142"/>
      <c r="H4707" s="141"/>
      <c r="I4707" s="8"/>
    </row>
    <row r="4708" spans="2:9" ht="15" hidden="1" customHeight="1" x14ac:dyDescent="0.25">
      <c r="B4708" s="7"/>
      <c r="C4708" s="140">
        <v>4680</v>
      </c>
      <c r="D4708" s="142"/>
      <c r="E4708" s="142"/>
      <c r="F4708" s="142"/>
      <c r="G4708" s="142"/>
      <c r="H4708" s="141"/>
      <c r="I4708" s="8"/>
    </row>
    <row r="4709" spans="2:9" ht="15" hidden="1" customHeight="1" x14ac:dyDescent="0.25">
      <c r="B4709" s="7"/>
      <c r="C4709" s="140">
        <v>4681</v>
      </c>
      <c r="D4709" s="142"/>
      <c r="E4709" s="142"/>
      <c r="F4709" s="142"/>
      <c r="G4709" s="142"/>
      <c r="H4709" s="141"/>
      <c r="I4709" s="8"/>
    </row>
    <row r="4710" spans="2:9" ht="15" hidden="1" customHeight="1" x14ac:dyDescent="0.25">
      <c r="B4710" s="7"/>
      <c r="C4710" s="140">
        <v>4682</v>
      </c>
      <c r="D4710" s="142"/>
      <c r="E4710" s="142"/>
      <c r="F4710" s="142"/>
      <c r="G4710" s="142"/>
      <c r="H4710" s="141"/>
      <c r="I4710" s="8"/>
    </row>
    <row r="4711" spans="2:9" ht="15" hidden="1" customHeight="1" x14ac:dyDescent="0.25">
      <c r="B4711" s="7"/>
      <c r="C4711" s="140">
        <v>4683</v>
      </c>
      <c r="D4711" s="142"/>
      <c r="E4711" s="142"/>
      <c r="F4711" s="142"/>
      <c r="G4711" s="142"/>
      <c r="H4711" s="141"/>
      <c r="I4711" s="8"/>
    </row>
    <row r="4712" spans="2:9" ht="15" hidden="1" customHeight="1" x14ac:dyDescent="0.25">
      <c r="B4712" s="7"/>
      <c r="C4712" s="140">
        <v>4684</v>
      </c>
      <c r="D4712" s="142"/>
      <c r="E4712" s="142"/>
      <c r="F4712" s="142"/>
      <c r="G4712" s="142"/>
      <c r="H4712" s="141"/>
      <c r="I4712" s="8"/>
    </row>
    <row r="4713" spans="2:9" ht="15" hidden="1" customHeight="1" x14ac:dyDescent="0.25">
      <c r="B4713" s="7"/>
      <c r="C4713" s="140">
        <v>4685</v>
      </c>
      <c r="D4713" s="142"/>
      <c r="E4713" s="142"/>
      <c r="F4713" s="142"/>
      <c r="G4713" s="142"/>
      <c r="H4713" s="141"/>
      <c r="I4713" s="8"/>
    </row>
    <row r="4714" spans="2:9" ht="15" hidden="1" customHeight="1" x14ac:dyDescent="0.25">
      <c r="B4714" s="7"/>
      <c r="C4714" s="140">
        <v>4686</v>
      </c>
      <c r="D4714" s="142"/>
      <c r="E4714" s="142"/>
      <c r="F4714" s="142"/>
      <c r="G4714" s="142"/>
      <c r="H4714" s="141"/>
      <c r="I4714" s="8"/>
    </row>
    <row r="4715" spans="2:9" ht="15" hidden="1" customHeight="1" x14ac:dyDescent="0.25">
      <c r="B4715" s="7"/>
      <c r="C4715" s="140">
        <v>4687</v>
      </c>
      <c r="D4715" s="142"/>
      <c r="E4715" s="142"/>
      <c r="F4715" s="142"/>
      <c r="G4715" s="142"/>
      <c r="H4715" s="141"/>
      <c r="I4715" s="8"/>
    </row>
    <row r="4716" spans="2:9" ht="15" hidden="1" customHeight="1" x14ac:dyDescent="0.25">
      <c r="B4716" s="7"/>
      <c r="C4716" s="140">
        <v>4688</v>
      </c>
      <c r="D4716" s="142"/>
      <c r="E4716" s="142"/>
      <c r="F4716" s="142"/>
      <c r="G4716" s="142"/>
      <c r="H4716" s="141"/>
      <c r="I4716" s="8"/>
    </row>
    <row r="4717" spans="2:9" ht="15" hidden="1" customHeight="1" x14ac:dyDescent="0.25">
      <c r="B4717" s="7"/>
      <c r="C4717" s="140">
        <v>4689</v>
      </c>
      <c r="D4717" s="142"/>
      <c r="E4717" s="142"/>
      <c r="F4717" s="142"/>
      <c r="G4717" s="142"/>
      <c r="H4717" s="141"/>
      <c r="I4717" s="8"/>
    </row>
    <row r="4718" spans="2:9" ht="15" hidden="1" customHeight="1" x14ac:dyDescent="0.25">
      <c r="B4718" s="7"/>
      <c r="C4718" s="140">
        <v>4690</v>
      </c>
      <c r="D4718" s="142"/>
      <c r="E4718" s="142"/>
      <c r="F4718" s="142"/>
      <c r="G4718" s="142"/>
      <c r="H4718" s="141"/>
      <c r="I4718" s="8"/>
    </row>
    <row r="4719" spans="2:9" ht="15" hidden="1" customHeight="1" x14ac:dyDescent="0.25">
      <c r="B4719" s="7"/>
      <c r="C4719" s="140">
        <v>4691</v>
      </c>
      <c r="D4719" s="142"/>
      <c r="E4719" s="142"/>
      <c r="F4719" s="142"/>
      <c r="G4719" s="142"/>
      <c r="H4719" s="141"/>
      <c r="I4719" s="8"/>
    </row>
    <row r="4720" spans="2:9" ht="15" hidden="1" customHeight="1" x14ac:dyDescent="0.25">
      <c r="B4720" s="7"/>
      <c r="C4720" s="140">
        <v>4692</v>
      </c>
      <c r="D4720" s="142"/>
      <c r="E4720" s="142"/>
      <c r="F4720" s="142"/>
      <c r="G4720" s="142"/>
      <c r="H4720" s="141"/>
      <c r="I4720" s="8"/>
    </row>
    <row r="4721" spans="2:9" ht="15" hidden="1" customHeight="1" x14ac:dyDescent="0.25">
      <c r="B4721" s="7"/>
      <c r="C4721" s="140">
        <v>4693</v>
      </c>
      <c r="D4721" s="142"/>
      <c r="E4721" s="142"/>
      <c r="F4721" s="142"/>
      <c r="G4721" s="142"/>
      <c r="H4721" s="141"/>
      <c r="I4721" s="8"/>
    </row>
    <row r="4722" spans="2:9" ht="15" hidden="1" customHeight="1" x14ac:dyDescent="0.25">
      <c r="B4722" s="7"/>
      <c r="C4722" s="140">
        <v>4694</v>
      </c>
      <c r="D4722" s="142"/>
      <c r="E4722" s="142"/>
      <c r="F4722" s="142"/>
      <c r="G4722" s="142"/>
      <c r="H4722" s="141"/>
      <c r="I4722" s="8"/>
    </row>
    <row r="4723" spans="2:9" ht="15" hidden="1" customHeight="1" x14ac:dyDescent="0.25">
      <c r="B4723" s="7"/>
      <c r="C4723" s="140">
        <v>4695</v>
      </c>
      <c r="D4723" s="142"/>
      <c r="E4723" s="142"/>
      <c r="F4723" s="142"/>
      <c r="G4723" s="142"/>
      <c r="H4723" s="141"/>
      <c r="I4723" s="8"/>
    </row>
    <row r="4724" spans="2:9" ht="15" hidden="1" customHeight="1" x14ac:dyDescent="0.25">
      <c r="B4724" s="7"/>
      <c r="C4724" s="140">
        <v>4696</v>
      </c>
      <c r="D4724" s="142"/>
      <c r="E4724" s="142"/>
      <c r="F4724" s="142"/>
      <c r="G4724" s="142"/>
      <c r="H4724" s="141"/>
      <c r="I4724" s="8"/>
    </row>
    <row r="4725" spans="2:9" ht="15" hidden="1" customHeight="1" x14ac:dyDescent="0.25">
      <c r="B4725" s="7"/>
      <c r="C4725" s="140">
        <v>4697</v>
      </c>
      <c r="D4725" s="142"/>
      <c r="E4725" s="142"/>
      <c r="F4725" s="142"/>
      <c r="G4725" s="142"/>
      <c r="H4725" s="141"/>
      <c r="I4725" s="8"/>
    </row>
    <row r="4726" spans="2:9" ht="15" hidden="1" customHeight="1" x14ac:dyDescent="0.25">
      <c r="B4726" s="7"/>
      <c r="C4726" s="140">
        <v>4698</v>
      </c>
      <c r="D4726" s="142"/>
      <c r="E4726" s="142"/>
      <c r="F4726" s="142"/>
      <c r="G4726" s="142"/>
      <c r="H4726" s="141"/>
      <c r="I4726" s="8"/>
    </row>
    <row r="4727" spans="2:9" ht="15" hidden="1" customHeight="1" x14ac:dyDescent="0.25">
      <c r="B4727" s="7"/>
      <c r="C4727" s="140">
        <v>4699</v>
      </c>
      <c r="D4727" s="142"/>
      <c r="E4727" s="142"/>
      <c r="F4727" s="142"/>
      <c r="G4727" s="142"/>
      <c r="H4727" s="141"/>
      <c r="I4727" s="8"/>
    </row>
    <row r="4728" spans="2:9" ht="15" hidden="1" customHeight="1" x14ac:dyDescent="0.25">
      <c r="B4728" s="7"/>
      <c r="C4728" s="140">
        <v>4700</v>
      </c>
      <c r="D4728" s="142"/>
      <c r="E4728" s="142"/>
      <c r="F4728" s="142"/>
      <c r="G4728" s="142"/>
      <c r="H4728" s="141"/>
      <c r="I4728" s="8"/>
    </row>
    <row r="4729" spans="2:9" ht="15" hidden="1" customHeight="1" x14ac:dyDescent="0.25">
      <c r="B4729" s="7"/>
      <c r="C4729" s="140">
        <v>4701</v>
      </c>
      <c r="D4729" s="142"/>
      <c r="E4729" s="142"/>
      <c r="F4729" s="142"/>
      <c r="G4729" s="142"/>
      <c r="H4729" s="141"/>
      <c r="I4729" s="8"/>
    </row>
    <row r="4730" spans="2:9" ht="15" hidden="1" customHeight="1" x14ac:dyDescent="0.25">
      <c r="B4730" s="7"/>
      <c r="C4730" s="140">
        <v>4702</v>
      </c>
      <c r="D4730" s="142"/>
      <c r="E4730" s="142"/>
      <c r="F4730" s="142"/>
      <c r="G4730" s="142"/>
      <c r="H4730" s="141"/>
      <c r="I4730" s="8"/>
    </row>
    <row r="4731" spans="2:9" ht="15" hidden="1" customHeight="1" x14ac:dyDescent="0.25">
      <c r="B4731" s="7"/>
      <c r="C4731" s="140">
        <v>4703</v>
      </c>
      <c r="D4731" s="142"/>
      <c r="E4731" s="142"/>
      <c r="F4731" s="142"/>
      <c r="G4731" s="142"/>
      <c r="H4731" s="141"/>
      <c r="I4731" s="8"/>
    </row>
    <row r="4732" spans="2:9" ht="15" hidden="1" customHeight="1" x14ac:dyDescent="0.25">
      <c r="B4732" s="7"/>
      <c r="C4732" s="140">
        <v>4704</v>
      </c>
      <c r="D4732" s="142"/>
      <c r="E4732" s="142"/>
      <c r="F4732" s="142"/>
      <c r="G4732" s="142"/>
      <c r="H4732" s="141"/>
      <c r="I4732" s="8"/>
    </row>
    <row r="4733" spans="2:9" ht="15" hidden="1" customHeight="1" x14ac:dyDescent="0.25">
      <c r="B4733" s="7"/>
      <c r="C4733" s="140">
        <v>4705</v>
      </c>
      <c r="D4733" s="142"/>
      <c r="E4733" s="142"/>
      <c r="F4733" s="142"/>
      <c r="G4733" s="142"/>
      <c r="H4733" s="141"/>
      <c r="I4733" s="8"/>
    </row>
    <row r="4734" spans="2:9" ht="15" hidden="1" customHeight="1" x14ac:dyDescent="0.25">
      <c r="B4734" s="7"/>
      <c r="C4734" s="140">
        <v>4706</v>
      </c>
      <c r="D4734" s="142"/>
      <c r="E4734" s="142"/>
      <c r="F4734" s="142"/>
      <c r="G4734" s="142"/>
      <c r="H4734" s="141"/>
      <c r="I4734" s="8"/>
    </row>
    <row r="4735" spans="2:9" ht="15" hidden="1" customHeight="1" x14ac:dyDescent="0.25">
      <c r="B4735" s="7"/>
      <c r="C4735" s="140">
        <v>4707</v>
      </c>
      <c r="D4735" s="142"/>
      <c r="E4735" s="142"/>
      <c r="F4735" s="142"/>
      <c r="G4735" s="142"/>
      <c r="H4735" s="141"/>
      <c r="I4735" s="8"/>
    </row>
    <row r="4736" spans="2:9" ht="15" hidden="1" customHeight="1" x14ac:dyDescent="0.25">
      <c r="B4736" s="7"/>
      <c r="C4736" s="140">
        <v>4708</v>
      </c>
      <c r="D4736" s="142"/>
      <c r="E4736" s="142"/>
      <c r="F4736" s="142"/>
      <c r="G4736" s="142"/>
      <c r="H4736" s="141"/>
      <c r="I4736" s="8"/>
    </row>
    <row r="4737" spans="2:9" ht="15" hidden="1" customHeight="1" x14ac:dyDescent="0.25">
      <c r="B4737" s="7"/>
      <c r="C4737" s="140">
        <v>4709</v>
      </c>
      <c r="D4737" s="142"/>
      <c r="E4737" s="142"/>
      <c r="F4737" s="142"/>
      <c r="G4737" s="142"/>
      <c r="H4737" s="141"/>
      <c r="I4737" s="8"/>
    </row>
    <row r="4738" spans="2:9" ht="15" hidden="1" customHeight="1" x14ac:dyDescent="0.25">
      <c r="B4738" s="7"/>
      <c r="C4738" s="140">
        <v>4710</v>
      </c>
      <c r="D4738" s="142"/>
      <c r="E4738" s="142"/>
      <c r="F4738" s="142"/>
      <c r="G4738" s="142"/>
      <c r="H4738" s="141"/>
      <c r="I4738" s="8"/>
    </row>
    <row r="4739" spans="2:9" ht="15" hidden="1" customHeight="1" x14ac:dyDescent="0.25">
      <c r="B4739" s="7"/>
      <c r="C4739" s="140">
        <v>4711</v>
      </c>
      <c r="D4739" s="142"/>
      <c r="E4739" s="142"/>
      <c r="F4739" s="142"/>
      <c r="G4739" s="142"/>
      <c r="H4739" s="141"/>
      <c r="I4739" s="8"/>
    </row>
    <row r="4740" spans="2:9" ht="15" hidden="1" customHeight="1" x14ac:dyDescent="0.25">
      <c r="B4740" s="7"/>
      <c r="C4740" s="140">
        <v>4712</v>
      </c>
      <c r="D4740" s="142"/>
      <c r="E4740" s="142"/>
      <c r="F4740" s="142"/>
      <c r="G4740" s="142"/>
      <c r="H4740" s="141"/>
      <c r="I4740" s="8"/>
    </row>
    <row r="4741" spans="2:9" ht="15" hidden="1" customHeight="1" x14ac:dyDescent="0.25">
      <c r="B4741" s="7"/>
      <c r="C4741" s="140">
        <v>4713</v>
      </c>
      <c r="D4741" s="142"/>
      <c r="E4741" s="142"/>
      <c r="F4741" s="142"/>
      <c r="G4741" s="142"/>
      <c r="H4741" s="141"/>
      <c r="I4741" s="8"/>
    </row>
    <row r="4742" spans="2:9" ht="15" hidden="1" customHeight="1" x14ac:dyDescent="0.25">
      <c r="B4742" s="7"/>
      <c r="C4742" s="140">
        <v>4714</v>
      </c>
      <c r="D4742" s="142"/>
      <c r="E4742" s="142"/>
      <c r="F4742" s="142"/>
      <c r="G4742" s="142"/>
      <c r="H4742" s="141"/>
      <c r="I4742" s="8"/>
    </row>
    <row r="4743" spans="2:9" ht="15" hidden="1" customHeight="1" x14ac:dyDescent="0.25">
      <c r="B4743" s="7"/>
      <c r="C4743" s="140">
        <v>4715</v>
      </c>
      <c r="D4743" s="142"/>
      <c r="E4743" s="142"/>
      <c r="F4743" s="142"/>
      <c r="G4743" s="142"/>
      <c r="H4743" s="141"/>
      <c r="I4743" s="8"/>
    </row>
    <row r="4744" spans="2:9" ht="15" hidden="1" customHeight="1" x14ac:dyDescent="0.25">
      <c r="B4744" s="7"/>
      <c r="C4744" s="140">
        <v>4716</v>
      </c>
      <c r="D4744" s="142"/>
      <c r="E4744" s="142"/>
      <c r="F4744" s="142"/>
      <c r="G4744" s="142"/>
      <c r="H4744" s="141"/>
      <c r="I4744" s="8"/>
    </row>
    <row r="4745" spans="2:9" ht="15" hidden="1" customHeight="1" x14ac:dyDescent="0.25">
      <c r="B4745" s="7"/>
      <c r="C4745" s="140">
        <v>4717</v>
      </c>
      <c r="D4745" s="142"/>
      <c r="E4745" s="142"/>
      <c r="F4745" s="142"/>
      <c r="G4745" s="142"/>
      <c r="H4745" s="141"/>
      <c r="I4745" s="8"/>
    </row>
    <row r="4746" spans="2:9" ht="15" hidden="1" customHeight="1" x14ac:dyDescent="0.25">
      <c r="B4746" s="7"/>
      <c r="C4746" s="140">
        <v>4718</v>
      </c>
      <c r="D4746" s="142"/>
      <c r="E4746" s="142"/>
      <c r="F4746" s="142"/>
      <c r="G4746" s="142"/>
      <c r="H4746" s="141"/>
      <c r="I4746" s="8"/>
    </row>
    <row r="4747" spans="2:9" ht="15" hidden="1" customHeight="1" x14ac:dyDescent="0.25">
      <c r="B4747" s="7"/>
      <c r="C4747" s="140">
        <v>4719</v>
      </c>
      <c r="D4747" s="142"/>
      <c r="E4747" s="142"/>
      <c r="F4747" s="142"/>
      <c r="G4747" s="142"/>
      <c r="H4747" s="141"/>
      <c r="I4747" s="8"/>
    </row>
    <row r="4748" spans="2:9" ht="15" hidden="1" customHeight="1" x14ac:dyDescent="0.25">
      <c r="B4748" s="7"/>
      <c r="C4748" s="140">
        <v>4720</v>
      </c>
      <c r="D4748" s="142"/>
      <c r="E4748" s="142"/>
      <c r="F4748" s="142"/>
      <c r="G4748" s="142"/>
      <c r="H4748" s="141"/>
      <c r="I4748" s="8"/>
    </row>
    <row r="4749" spans="2:9" ht="15" hidden="1" customHeight="1" x14ac:dyDescent="0.25">
      <c r="B4749" s="7"/>
      <c r="C4749" s="140">
        <v>4721</v>
      </c>
      <c r="D4749" s="142"/>
      <c r="E4749" s="142"/>
      <c r="F4749" s="142"/>
      <c r="G4749" s="142"/>
      <c r="H4749" s="141"/>
      <c r="I4749" s="8"/>
    </row>
    <row r="4750" spans="2:9" ht="15" hidden="1" customHeight="1" x14ac:dyDescent="0.25">
      <c r="B4750" s="7"/>
      <c r="C4750" s="140">
        <v>4722</v>
      </c>
      <c r="D4750" s="142"/>
      <c r="E4750" s="142"/>
      <c r="F4750" s="142"/>
      <c r="G4750" s="142"/>
      <c r="H4750" s="141"/>
      <c r="I4750" s="8"/>
    </row>
    <row r="4751" spans="2:9" ht="15" hidden="1" customHeight="1" x14ac:dyDescent="0.25">
      <c r="B4751" s="7"/>
      <c r="C4751" s="140">
        <v>4723</v>
      </c>
      <c r="D4751" s="142"/>
      <c r="E4751" s="142"/>
      <c r="F4751" s="142"/>
      <c r="G4751" s="142"/>
      <c r="H4751" s="141"/>
      <c r="I4751" s="8"/>
    </row>
    <row r="4752" spans="2:9" ht="15" hidden="1" customHeight="1" x14ac:dyDescent="0.25">
      <c r="B4752" s="7"/>
      <c r="C4752" s="140">
        <v>4724</v>
      </c>
      <c r="D4752" s="142"/>
      <c r="E4752" s="142"/>
      <c r="F4752" s="142"/>
      <c r="G4752" s="142"/>
      <c r="H4752" s="141"/>
      <c r="I4752" s="8"/>
    </row>
    <row r="4753" spans="2:9" ht="15" hidden="1" customHeight="1" x14ac:dyDescent="0.25">
      <c r="B4753" s="7"/>
      <c r="C4753" s="140">
        <v>4725</v>
      </c>
      <c r="D4753" s="142"/>
      <c r="E4753" s="142"/>
      <c r="F4753" s="142"/>
      <c r="G4753" s="142"/>
      <c r="H4753" s="141"/>
      <c r="I4753" s="8"/>
    </row>
    <row r="4754" spans="2:9" ht="15" hidden="1" customHeight="1" x14ac:dyDescent="0.25">
      <c r="B4754" s="7"/>
      <c r="C4754" s="140">
        <v>4726</v>
      </c>
      <c r="D4754" s="142"/>
      <c r="E4754" s="142"/>
      <c r="F4754" s="142"/>
      <c r="G4754" s="142"/>
      <c r="H4754" s="141"/>
      <c r="I4754" s="8"/>
    </row>
    <row r="4755" spans="2:9" ht="15" hidden="1" customHeight="1" x14ac:dyDescent="0.25">
      <c r="B4755" s="7"/>
      <c r="C4755" s="140">
        <v>4727</v>
      </c>
      <c r="D4755" s="142"/>
      <c r="E4755" s="142"/>
      <c r="F4755" s="142"/>
      <c r="G4755" s="142"/>
      <c r="H4755" s="141"/>
      <c r="I4755" s="8"/>
    </row>
    <row r="4756" spans="2:9" ht="15" hidden="1" customHeight="1" x14ac:dyDescent="0.25">
      <c r="B4756" s="7"/>
      <c r="C4756" s="140">
        <v>4728</v>
      </c>
      <c r="D4756" s="142"/>
      <c r="E4756" s="142"/>
      <c r="F4756" s="142"/>
      <c r="G4756" s="142"/>
      <c r="H4756" s="141"/>
      <c r="I4756" s="8"/>
    </row>
    <row r="4757" spans="2:9" ht="15" hidden="1" customHeight="1" x14ac:dyDescent="0.25">
      <c r="B4757" s="7"/>
      <c r="C4757" s="140">
        <v>4729</v>
      </c>
      <c r="D4757" s="142"/>
      <c r="E4757" s="142"/>
      <c r="F4757" s="142"/>
      <c r="G4757" s="142"/>
      <c r="H4757" s="141"/>
      <c r="I4757" s="8"/>
    </row>
    <row r="4758" spans="2:9" ht="15" hidden="1" customHeight="1" x14ac:dyDescent="0.25">
      <c r="B4758" s="7"/>
      <c r="C4758" s="140">
        <v>4730</v>
      </c>
      <c r="D4758" s="142"/>
      <c r="E4758" s="142"/>
      <c r="F4758" s="142"/>
      <c r="G4758" s="142"/>
      <c r="H4758" s="141"/>
      <c r="I4758" s="8"/>
    </row>
    <row r="4759" spans="2:9" ht="15" hidden="1" customHeight="1" x14ac:dyDescent="0.25">
      <c r="B4759" s="7"/>
      <c r="C4759" s="140">
        <v>4731</v>
      </c>
      <c r="D4759" s="142"/>
      <c r="E4759" s="142"/>
      <c r="F4759" s="142"/>
      <c r="G4759" s="142"/>
      <c r="H4759" s="141"/>
      <c r="I4759" s="8"/>
    </row>
    <row r="4760" spans="2:9" ht="15" hidden="1" customHeight="1" x14ac:dyDescent="0.25">
      <c r="B4760" s="7"/>
      <c r="C4760" s="140">
        <v>4732</v>
      </c>
      <c r="D4760" s="142"/>
      <c r="E4760" s="142"/>
      <c r="F4760" s="142"/>
      <c r="G4760" s="142"/>
      <c r="H4760" s="141"/>
      <c r="I4760" s="8"/>
    </row>
    <row r="4761" spans="2:9" ht="15" hidden="1" customHeight="1" x14ac:dyDescent="0.25">
      <c r="B4761" s="7"/>
      <c r="C4761" s="140">
        <v>4733</v>
      </c>
      <c r="D4761" s="142"/>
      <c r="E4761" s="142"/>
      <c r="F4761" s="142"/>
      <c r="G4761" s="142"/>
      <c r="H4761" s="141"/>
      <c r="I4761" s="8"/>
    </row>
    <row r="4762" spans="2:9" ht="15" hidden="1" customHeight="1" x14ac:dyDescent="0.25">
      <c r="B4762" s="7"/>
      <c r="C4762" s="140">
        <v>4734</v>
      </c>
      <c r="D4762" s="142"/>
      <c r="E4762" s="142"/>
      <c r="F4762" s="142"/>
      <c r="G4762" s="142"/>
      <c r="H4762" s="141"/>
      <c r="I4762" s="8"/>
    </row>
    <row r="4763" spans="2:9" ht="15" hidden="1" customHeight="1" x14ac:dyDescent="0.25">
      <c r="B4763" s="7"/>
      <c r="C4763" s="140">
        <v>4735</v>
      </c>
      <c r="D4763" s="142"/>
      <c r="E4763" s="142"/>
      <c r="F4763" s="142"/>
      <c r="G4763" s="142"/>
      <c r="H4763" s="141"/>
      <c r="I4763" s="8"/>
    </row>
    <row r="4764" spans="2:9" ht="15" hidden="1" customHeight="1" x14ac:dyDescent="0.25">
      <c r="B4764" s="7"/>
      <c r="C4764" s="140">
        <v>4736</v>
      </c>
      <c r="D4764" s="142"/>
      <c r="E4764" s="142"/>
      <c r="F4764" s="142"/>
      <c r="G4764" s="142"/>
      <c r="H4764" s="141"/>
      <c r="I4764" s="8"/>
    </row>
    <row r="4765" spans="2:9" ht="15" hidden="1" customHeight="1" x14ac:dyDescent="0.25">
      <c r="B4765" s="7"/>
      <c r="C4765" s="140">
        <v>4737</v>
      </c>
      <c r="D4765" s="142"/>
      <c r="E4765" s="142"/>
      <c r="F4765" s="142"/>
      <c r="G4765" s="142"/>
      <c r="H4765" s="141"/>
      <c r="I4765" s="8"/>
    </row>
    <row r="4766" spans="2:9" ht="15" hidden="1" customHeight="1" x14ac:dyDescent="0.25">
      <c r="B4766" s="7"/>
      <c r="C4766" s="140">
        <v>4738</v>
      </c>
      <c r="D4766" s="142"/>
      <c r="E4766" s="142"/>
      <c r="F4766" s="142"/>
      <c r="G4766" s="142"/>
      <c r="H4766" s="141"/>
      <c r="I4766" s="8"/>
    </row>
    <row r="4767" spans="2:9" ht="15" hidden="1" customHeight="1" x14ac:dyDescent="0.25">
      <c r="B4767" s="7"/>
      <c r="C4767" s="140">
        <v>4739</v>
      </c>
      <c r="D4767" s="142"/>
      <c r="E4767" s="142"/>
      <c r="F4767" s="142"/>
      <c r="G4767" s="142"/>
      <c r="H4767" s="141"/>
      <c r="I4767" s="8"/>
    </row>
    <row r="4768" spans="2:9" ht="15" hidden="1" customHeight="1" x14ac:dyDescent="0.25">
      <c r="B4768" s="7"/>
      <c r="C4768" s="140">
        <v>4740</v>
      </c>
      <c r="D4768" s="142"/>
      <c r="E4768" s="142"/>
      <c r="F4768" s="142"/>
      <c r="G4768" s="142"/>
      <c r="H4768" s="141"/>
      <c r="I4768" s="8"/>
    </row>
    <row r="4769" spans="2:9" ht="15" hidden="1" customHeight="1" x14ac:dyDescent="0.25">
      <c r="B4769" s="7"/>
      <c r="C4769" s="140">
        <v>4741</v>
      </c>
      <c r="D4769" s="142"/>
      <c r="E4769" s="142"/>
      <c r="F4769" s="142"/>
      <c r="G4769" s="142"/>
      <c r="H4769" s="141"/>
      <c r="I4769" s="8"/>
    </row>
    <row r="4770" spans="2:9" ht="15" hidden="1" customHeight="1" x14ac:dyDescent="0.25">
      <c r="B4770" s="7"/>
      <c r="C4770" s="140">
        <v>4742</v>
      </c>
      <c r="D4770" s="142"/>
      <c r="E4770" s="142"/>
      <c r="F4770" s="142"/>
      <c r="G4770" s="142"/>
      <c r="H4770" s="141"/>
      <c r="I4770" s="8"/>
    </row>
    <row r="4771" spans="2:9" ht="15" hidden="1" customHeight="1" x14ac:dyDescent="0.25">
      <c r="B4771" s="7"/>
      <c r="C4771" s="140">
        <v>4743</v>
      </c>
      <c r="D4771" s="142"/>
      <c r="E4771" s="142"/>
      <c r="F4771" s="142"/>
      <c r="G4771" s="142"/>
      <c r="H4771" s="141"/>
      <c r="I4771" s="8"/>
    </row>
    <row r="4772" spans="2:9" ht="15" hidden="1" customHeight="1" x14ac:dyDescent="0.25">
      <c r="B4772" s="7"/>
      <c r="C4772" s="140">
        <v>4744</v>
      </c>
      <c r="D4772" s="142"/>
      <c r="E4772" s="142"/>
      <c r="F4772" s="142"/>
      <c r="G4772" s="142"/>
      <c r="H4772" s="141"/>
      <c r="I4772" s="8"/>
    </row>
    <row r="4773" spans="2:9" ht="15" hidden="1" customHeight="1" x14ac:dyDescent="0.25">
      <c r="B4773" s="7"/>
      <c r="C4773" s="140">
        <v>4745</v>
      </c>
      <c r="D4773" s="142"/>
      <c r="E4773" s="142"/>
      <c r="F4773" s="142"/>
      <c r="G4773" s="142"/>
      <c r="H4773" s="141"/>
      <c r="I4773" s="8"/>
    </row>
    <row r="4774" spans="2:9" ht="15" hidden="1" customHeight="1" x14ac:dyDescent="0.25">
      <c r="B4774" s="7"/>
      <c r="C4774" s="140">
        <v>4746</v>
      </c>
      <c r="D4774" s="142"/>
      <c r="E4774" s="142"/>
      <c r="F4774" s="142"/>
      <c r="G4774" s="142"/>
      <c r="H4774" s="141"/>
      <c r="I4774" s="8"/>
    </row>
    <row r="4775" spans="2:9" ht="15" hidden="1" customHeight="1" x14ac:dyDescent="0.25">
      <c r="B4775" s="7"/>
      <c r="C4775" s="140">
        <v>4747</v>
      </c>
      <c r="D4775" s="142"/>
      <c r="E4775" s="142"/>
      <c r="F4775" s="142"/>
      <c r="G4775" s="142"/>
      <c r="H4775" s="141"/>
      <c r="I4775" s="8"/>
    </row>
    <row r="4776" spans="2:9" ht="15" hidden="1" customHeight="1" x14ac:dyDescent="0.25">
      <c r="B4776" s="7"/>
      <c r="C4776" s="140">
        <v>4748</v>
      </c>
      <c r="D4776" s="142"/>
      <c r="E4776" s="142"/>
      <c r="F4776" s="142"/>
      <c r="G4776" s="142"/>
      <c r="H4776" s="141"/>
      <c r="I4776" s="8"/>
    </row>
    <row r="4777" spans="2:9" ht="15" hidden="1" customHeight="1" x14ac:dyDescent="0.25">
      <c r="B4777" s="7"/>
      <c r="C4777" s="140">
        <v>4749</v>
      </c>
      <c r="D4777" s="142"/>
      <c r="E4777" s="142"/>
      <c r="F4777" s="142"/>
      <c r="G4777" s="142"/>
      <c r="H4777" s="141"/>
      <c r="I4777" s="8"/>
    </row>
    <row r="4778" spans="2:9" ht="15" hidden="1" customHeight="1" x14ac:dyDescent="0.25">
      <c r="B4778" s="7"/>
      <c r="C4778" s="140">
        <v>4750</v>
      </c>
      <c r="D4778" s="142"/>
      <c r="E4778" s="142"/>
      <c r="F4778" s="142"/>
      <c r="G4778" s="142"/>
      <c r="H4778" s="141"/>
      <c r="I4778" s="8"/>
    </row>
    <row r="4779" spans="2:9" ht="15" hidden="1" customHeight="1" x14ac:dyDescent="0.25">
      <c r="B4779" s="7"/>
      <c r="C4779" s="140">
        <v>4751</v>
      </c>
      <c r="D4779" s="142"/>
      <c r="E4779" s="142"/>
      <c r="F4779" s="142"/>
      <c r="G4779" s="142"/>
      <c r="H4779" s="141"/>
      <c r="I4779" s="8"/>
    </row>
    <row r="4780" spans="2:9" ht="15" hidden="1" customHeight="1" x14ac:dyDescent="0.25">
      <c r="B4780" s="7"/>
      <c r="C4780" s="140">
        <v>4752</v>
      </c>
      <c r="D4780" s="142"/>
      <c r="E4780" s="142"/>
      <c r="F4780" s="142"/>
      <c r="G4780" s="142"/>
      <c r="H4780" s="141"/>
      <c r="I4780" s="8"/>
    </row>
    <row r="4781" spans="2:9" ht="15" hidden="1" customHeight="1" x14ac:dyDescent="0.25">
      <c r="B4781" s="7"/>
      <c r="C4781" s="140">
        <v>4753</v>
      </c>
      <c r="D4781" s="142"/>
      <c r="E4781" s="142"/>
      <c r="F4781" s="142"/>
      <c r="G4781" s="142"/>
      <c r="H4781" s="141"/>
      <c r="I4781" s="8"/>
    </row>
    <row r="4782" spans="2:9" ht="15" hidden="1" customHeight="1" x14ac:dyDescent="0.25">
      <c r="B4782" s="7"/>
      <c r="C4782" s="140">
        <v>4754</v>
      </c>
      <c r="D4782" s="142"/>
      <c r="E4782" s="142"/>
      <c r="F4782" s="142"/>
      <c r="G4782" s="142"/>
      <c r="H4782" s="141"/>
      <c r="I4782" s="8"/>
    </row>
    <row r="4783" spans="2:9" ht="15" hidden="1" customHeight="1" x14ac:dyDescent="0.25">
      <c r="B4783" s="7"/>
      <c r="C4783" s="140">
        <v>4755</v>
      </c>
      <c r="D4783" s="142"/>
      <c r="E4783" s="142"/>
      <c r="F4783" s="142"/>
      <c r="G4783" s="142"/>
      <c r="H4783" s="141"/>
      <c r="I4783" s="8"/>
    </row>
    <row r="4784" spans="2:9" ht="15" hidden="1" customHeight="1" x14ac:dyDescent="0.25">
      <c r="B4784" s="7"/>
      <c r="C4784" s="140">
        <v>4756</v>
      </c>
      <c r="D4784" s="142"/>
      <c r="E4784" s="142"/>
      <c r="F4784" s="142"/>
      <c r="G4784" s="142"/>
      <c r="H4784" s="141"/>
      <c r="I4784" s="8"/>
    </row>
    <row r="4785" spans="2:9" ht="15" hidden="1" customHeight="1" x14ac:dyDescent="0.25">
      <c r="B4785" s="7"/>
      <c r="C4785" s="140">
        <v>4757</v>
      </c>
      <c r="D4785" s="142"/>
      <c r="E4785" s="142"/>
      <c r="F4785" s="142"/>
      <c r="G4785" s="142"/>
      <c r="H4785" s="141"/>
      <c r="I4785" s="8"/>
    </row>
    <row r="4786" spans="2:9" ht="15" hidden="1" customHeight="1" x14ac:dyDescent="0.25">
      <c r="B4786" s="7"/>
      <c r="C4786" s="140">
        <v>4758</v>
      </c>
      <c r="D4786" s="142"/>
      <c r="E4786" s="142"/>
      <c r="F4786" s="142"/>
      <c r="G4786" s="142"/>
      <c r="H4786" s="141"/>
      <c r="I4786" s="8"/>
    </row>
    <row r="4787" spans="2:9" ht="15" hidden="1" customHeight="1" x14ac:dyDescent="0.25">
      <c r="B4787" s="7"/>
      <c r="C4787" s="140">
        <v>4759</v>
      </c>
      <c r="D4787" s="142"/>
      <c r="E4787" s="142"/>
      <c r="F4787" s="142"/>
      <c r="G4787" s="142"/>
      <c r="H4787" s="141"/>
      <c r="I4787" s="8"/>
    </row>
    <row r="4788" spans="2:9" ht="15" hidden="1" customHeight="1" x14ac:dyDescent="0.25">
      <c r="B4788" s="7"/>
      <c r="C4788" s="140">
        <v>4760</v>
      </c>
      <c r="D4788" s="142"/>
      <c r="E4788" s="142"/>
      <c r="F4788" s="142"/>
      <c r="G4788" s="142"/>
      <c r="H4788" s="141"/>
      <c r="I4788" s="8"/>
    </row>
    <row r="4789" spans="2:9" ht="15" hidden="1" customHeight="1" x14ac:dyDescent="0.25">
      <c r="B4789" s="7"/>
      <c r="C4789" s="140">
        <v>4761</v>
      </c>
      <c r="D4789" s="142"/>
      <c r="E4789" s="142"/>
      <c r="F4789" s="142"/>
      <c r="G4789" s="142"/>
      <c r="H4789" s="141"/>
      <c r="I4789" s="8"/>
    </row>
    <row r="4790" spans="2:9" ht="15" hidden="1" customHeight="1" x14ac:dyDescent="0.25">
      <c r="B4790" s="7"/>
      <c r="C4790" s="140">
        <v>4762</v>
      </c>
      <c r="D4790" s="142"/>
      <c r="E4790" s="142"/>
      <c r="F4790" s="142"/>
      <c r="G4790" s="142"/>
      <c r="H4790" s="141"/>
      <c r="I4790" s="8"/>
    </row>
    <row r="4791" spans="2:9" ht="15" hidden="1" customHeight="1" x14ac:dyDescent="0.25">
      <c r="B4791" s="7"/>
      <c r="C4791" s="140">
        <v>4763</v>
      </c>
      <c r="D4791" s="142"/>
      <c r="E4791" s="142"/>
      <c r="F4791" s="142"/>
      <c r="G4791" s="142"/>
      <c r="H4791" s="141"/>
      <c r="I4791" s="8"/>
    </row>
    <row r="4792" spans="2:9" ht="15" hidden="1" customHeight="1" x14ac:dyDescent="0.25">
      <c r="B4792" s="7"/>
      <c r="C4792" s="140">
        <v>4764</v>
      </c>
      <c r="D4792" s="142"/>
      <c r="E4792" s="142"/>
      <c r="F4792" s="142"/>
      <c r="G4792" s="142"/>
      <c r="H4792" s="141"/>
      <c r="I4792" s="8"/>
    </row>
    <row r="4793" spans="2:9" ht="15" hidden="1" customHeight="1" x14ac:dyDescent="0.25">
      <c r="B4793" s="7"/>
      <c r="C4793" s="140">
        <v>4765</v>
      </c>
      <c r="D4793" s="142"/>
      <c r="E4793" s="142"/>
      <c r="F4793" s="142"/>
      <c r="G4793" s="142"/>
      <c r="H4793" s="141"/>
      <c r="I4793" s="8"/>
    </row>
    <row r="4794" spans="2:9" ht="15" hidden="1" customHeight="1" x14ac:dyDescent="0.25">
      <c r="B4794" s="7"/>
      <c r="C4794" s="140">
        <v>4766</v>
      </c>
      <c r="D4794" s="142"/>
      <c r="E4794" s="142"/>
      <c r="F4794" s="142"/>
      <c r="G4794" s="142"/>
      <c r="H4794" s="141"/>
      <c r="I4794" s="8"/>
    </row>
    <row r="4795" spans="2:9" ht="15" hidden="1" customHeight="1" x14ac:dyDescent="0.25">
      <c r="B4795" s="7"/>
      <c r="C4795" s="140">
        <v>4767</v>
      </c>
      <c r="D4795" s="142"/>
      <c r="E4795" s="142"/>
      <c r="F4795" s="142"/>
      <c r="G4795" s="142"/>
      <c r="H4795" s="141"/>
      <c r="I4795" s="8"/>
    </row>
    <row r="4796" spans="2:9" ht="15" hidden="1" customHeight="1" x14ac:dyDescent="0.25">
      <c r="B4796" s="7"/>
      <c r="C4796" s="140">
        <v>4768</v>
      </c>
      <c r="D4796" s="142"/>
      <c r="E4796" s="142"/>
      <c r="F4796" s="142"/>
      <c r="G4796" s="142"/>
      <c r="H4796" s="141"/>
      <c r="I4796" s="8"/>
    </row>
    <row r="4797" spans="2:9" ht="15" hidden="1" customHeight="1" x14ac:dyDescent="0.25">
      <c r="B4797" s="7"/>
      <c r="C4797" s="140">
        <v>4769</v>
      </c>
      <c r="D4797" s="142"/>
      <c r="E4797" s="142"/>
      <c r="F4797" s="142"/>
      <c r="G4797" s="142"/>
      <c r="H4797" s="141"/>
      <c r="I4797" s="8"/>
    </row>
    <row r="4798" spans="2:9" ht="15" hidden="1" customHeight="1" x14ac:dyDescent="0.25">
      <c r="B4798" s="7"/>
      <c r="C4798" s="140">
        <v>4770</v>
      </c>
      <c r="D4798" s="142"/>
      <c r="E4798" s="142"/>
      <c r="F4798" s="142"/>
      <c r="G4798" s="142"/>
      <c r="H4798" s="141"/>
      <c r="I4798" s="8"/>
    </row>
    <row r="4799" spans="2:9" ht="15" hidden="1" customHeight="1" x14ac:dyDescent="0.25">
      <c r="B4799" s="7"/>
      <c r="C4799" s="140">
        <v>4771</v>
      </c>
      <c r="D4799" s="142"/>
      <c r="E4799" s="142"/>
      <c r="F4799" s="142"/>
      <c r="G4799" s="142"/>
      <c r="H4799" s="141"/>
      <c r="I4799" s="8"/>
    </row>
    <row r="4800" spans="2:9" ht="15" hidden="1" customHeight="1" x14ac:dyDescent="0.25">
      <c r="B4800" s="7"/>
      <c r="C4800" s="140">
        <v>4772</v>
      </c>
      <c r="D4800" s="142"/>
      <c r="E4800" s="142"/>
      <c r="F4800" s="142"/>
      <c r="G4800" s="142"/>
      <c r="H4800" s="141"/>
      <c r="I4800" s="8"/>
    </row>
    <row r="4801" spans="2:9" ht="15" hidden="1" customHeight="1" x14ac:dyDescent="0.25">
      <c r="B4801" s="7"/>
      <c r="C4801" s="140">
        <v>4773</v>
      </c>
      <c r="D4801" s="142"/>
      <c r="E4801" s="142"/>
      <c r="F4801" s="142"/>
      <c r="G4801" s="142"/>
      <c r="H4801" s="141"/>
      <c r="I4801" s="8"/>
    </row>
    <row r="4802" spans="2:9" ht="15" hidden="1" customHeight="1" x14ac:dyDescent="0.25">
      <c r="B4802" s="7"/>
      <c r="C4802" s="140">
        <v>4774</v>
      </c>
      <c r="D4802" s="142"/>
      <c r="E4802" s="142"/>
      <c r="F4802" s="142"/>
      <c r="G4802" s="142"/>
      <c r="H4802" s="141"/>
      <c r="I4802" s="8"/>
    </row>
    <row r="4803" spans="2:9" ht="15" hidden="1" customHeight="1" x14ac:dyDescent="0.25">
      <c r="B4803" s="7"/>
      <c r="C4803" s="140">
        <v>4775</v>
      </c>
      <c r="D4803" s="142"/>
      <c r="E4803" s="142"/>
      <c r="F4803" s="142"/>
      <c r="G4803" s="142"/>
      <c r="H4803" s="141"/>
      <c r="I4803" s="8"/>
    </row>
    <row r="4804" spans="2:9" ht="15" hidden="1" customHeight="1" x14ac:dyDescent="0.25">
      <c r="B4804" s="7"/>
      <c r="C4804" s="140">
        <v>4776</v>
      </c>
      <c r="D4804" s="142"/>
      <c r="E4804" s="142"/>
      <c r="F4804" s="142"/>
      <c r="G4804" s="142"/>
      <c r="H4804" s="141"/>
      <c r="I4804" s="8"/>
    </row>
    <row r="4805" spans="2:9" ht="15" hidden="1" customHeight="1" x14ac:dyDescent="0.25">
      <c r="B4805" s="7"/>
      <c r="C4805" s="140">
        <v>4777</v>
      </c>
      <c r="D4805" s="142"/>
      <c r="E4805" s="142"/>
      <c r="F4805" s="142"/>
      <c r="G4805" s="142"/>
      <c r="H4805" s="141"/>
      <c r="I4805" s="8"/>
    </row>
    <row r="4806" spans="2:9" ht="15" hidden="1" customHeight="1" x14ac:dyDescent="0.25">
      <c r="B4806" s="7"/>
      <c r="C4806" s="140">
        <v>4778</v>
      </c>
      <c r="D4806" s="142"/>
      <c r="E4806" s="142"/>
      <c r="F4806" s="142"/>
      <c r="G4806" s="142"/>
      <c r="H4806" s="141"/>
      <c r="I4806" s="8"/>
    </row>
    <row r="4807" spans="2:9" ht="15" hidden="1" customHeight="1" x14ac:dyDescent="0.25">
      <c r="B4807" s="7"/>
      <c r="C4807" s="140">
        <v>4779</v>
      </c>
      <c r="D4807" s="142"/>
      <c r="E4807" s="142"/>
      <c r="F4807" s="142"/>
      <c r="G4807" s="142"/>
      <c r="H4807" s="141"/>
      <c r="I4807" s="8"/>
    </row>
    <row r="4808" spans="2:9" ht="15" hidden="1" customHeight="1" x14ac:dyDescent="0.25">
      <c r="B4808" s="7"/>
      <c r="C4808" s="140">
        <v>4780</v>
      </c>
      <c r="D4808" s="142"/>
      <c r="E4808" s="142"/>
      <c r="F4808" s="142"/>
      <c r="G4808" s="142"/>
      <c r="H4808" s="141"/>
      <c r="I4808" s="8"/>
    </row>
    <row r="4809" spans="2:9" ht="15" hidden="1" customHeight="1" x14ac:dyDescent="0.25">
      <c r="B4809" s="7"/>
      <c r="C4809" s="140">
        <v>4781</v>
      </c>
      <c r="D4809" s="142"/>
      <c r="E4809" s="142"/>
      <c r="F4809" s="142"/>
      <c r="G4809" s="142"/>
      <c r="H4809" s="141"/>
      <c r="I4809" s="8"/>
    </row>
    <row r="4810" spans="2:9" ht="15" hidden="1" customHeight="1" x14ac:dyDescent="0.25">
      <c r="B4810" s="7"/>
      <c r="C4810" s="140">
        <v>4782</v>
      </c>
      <c r="D4810" s="142"/>
      <c r="E4810" s="142"/>
      <c r="F4810" s="142"/>
      <c r="G4810" s="142"/>
      <c r="H4810" s="141"/>
      <c r="I4810" s="8"/>
    </row>
    <row r="4811" spans="2:9" ht="15" hidden="1" customHeight="1" x14ac:dyDescent="0.25">
      <c r="B4811" s="7"/>
      <c r="C4811" s="140">
        <v>4783</v>
      </c>
      <c r="D4811" s="142"/>
      <c r="E4811" s="142"/>
      <c r="F4811" s="142"/>
      <c r="G4811" s="142"/>
      <c r="H4811" s="141"/>
      <c r="I4811" s="8"/>
    </row>
    <row r="4812" spans="2:9" ht="15" hidden="1" customHeight="1" x14ac:dyDescent="0.25">
      <c r="B4812" s="7"/>
      <c r="C4812" s="140">
        <v>4784</v>
      </c>
      <c r="D4812" s="142"/>
      <c r="E4812" s="142"/>
      <c r="F4812" s="142"/>
      <c r="G4812" s="142"/>
      <c r="H4812" s="141"/>
      <c r="I4812" s="8"/>
    </row>
    <row r="4813" spans="2:9" ht="15" hidden="1" customHeight="1" x14ac:dyDescent="0.25">
      <c r="B4813" s="7"/>
      <c r="C4813" s="140">
        <v>4785</v>
      </c>
      <c r="D4813" s="142"/>
      <c r="E4813" s="142"/>
      <c r="F4813" s="142"/>
      <c r="G4813" s="142"/>
      <c r="H4813" s="141"/>
      <c r="I4813" s="8"/>
    </row>
    <row r="4814" spans="2:9" ht="15" hidden="1" customHeight="1" x14ac:dyDescent="0.25">
      <c r="B4814" s="7"/>
      <c r="C4814" s="140">
        <v>4786</v>
      </c>
      <c r="D4814" s="142"/>
      <c r="E4814" s="142"/>
      <c r="F4814" s="142"/>
      <c r="G4814" s="142"/>
      <c r="H4814" s="141"/>
      <c r="I4814" s="8"/>
    </row>
    <row r="4815" spans="2:9" ht="15" hidden="1" customHeight="1" x14ac:dyDescent="0.25">
      <c r="B4815" s="7"/>
      <c r="C4815" s="140">
        <v>4787</v>
      </c>
      <c r="D4815" s="142"/>
      <c r="E4815" s="142"/>
      <c r="F4815" s="142"/>
      <c r="G4815" s="142"/>
      <c r="H4815" s="141"/>
      <c r="I4815" s="8"/>
    </row>
    <row r="4816" spans="2:9" ht="15" hidden="1" customHeight="1" x14ac:dyDescent="0.25">
      <c r="B4816" s="7"/>
      <c r="C4816" s="140">
        <v>4788</v>
      </c>
      <c r="D4816" s="142"/>
      <c r="E4816" s="142"/>
      <c r="F4816" s="142"/>
      <c r="G4816" s="142"/>
      <c r="H4816" s="141"/>
      <c r="I4816" s="8"/>
    </row>
    <row r="4817" spans="2:9" ht="15" hidden="1" customHeight="1" x14ac:dyDescent="0.25">
      <c r="B4817" s="7"/>
      <c r="C4817" s="140">
        <v>4789</v>
      </c>
      <c r="D4817" s="142"/>
      <c r="E4817" s="142"/>
      <c r="F4817" s="142"/>
      <c r="G4817" s="142"/>
      <c r="H4817" s="141"/>
      <c r="I4817" s="8"/>
    </row>
    <row r="4818" spans="2:9" ht="15" hidden="1" customHeight="1" x14ac:dyDescent="0.25">
      <c r="B4818" s="7"/>
      <c r="C4818" s="140">
        <v>4790</v>
      </c>
      <c r="D4818" s="142"/>
      <c r="E4818" s="142"/>
      <c r="F4818" s="142"/>
      <c r="G4818" s="142"/>
      <c r="H4818" s="141"/>
      <c r="I4818" s="8"/>
    </row>
    <row r="4819" spans="2:9" ht="15" hidden="1" customHeight="1" x14ac:dyDescent="0.25">
      <c r="B4819" s="7"/>
      <c r="C4819" s="140">
        <v>4791</v>
      </c>
      <c r="D4819" s="142"/>
      <c r="E4819" s="142"/>
      <c r="F4819" s="142"/>
      <c r="G4819" s="142"/>
      <c r="H4819" s="141"/>
      <c r="I4819" s="8"/>
    </row>
    <row r="4820" spans="2:9" ht="15" hidden="1" customHeight="1" x14ac:dyDescent="0.25">
      <c r="B4820" s="7"/>
      <c r="C4820" s="140">
        <v>4792</v>
      </c>
      <c r="D4820" s="142"/>
      <c r="E4820" s="142"/>
      <c r="F4820" s="142"/>
      <c r="G4820" s="142"/>
      <c r="H4820" s="141"/>
      <c r="I4820" s="8"/>
    </row>
    <row r="4821" spans="2:9" ht="15" hidden="1" customHeight="1" x14ac:dyDescent="0.25">
      <c r="B4821" s="7"/>
      <c r="C4821" s="140">
        <v>4793</v>
      </c>
      <c r="D4821" s="142"/>
      <c r="E4821" s="142"/>
      <c r="F4821" s="142"/>
      <c r="G4821" s="142"/>
      <c r="H4821" s="141"/>
      <c r="I4821" s="8"/>
    </row>
    <row r="4822" spans="2:9" ht="15" hidden="1" customHeight="1" x14ac:dyDescent="0.25">
      <c r="B4822" s="7"/>
      <c r="C4822" s="140">
        <v>4794</v>
      </c>
      <c r="D4822" s="142"/>
      <c r="E4822" s="142"/>
      <c r="F4822" s="142"/>
      <c r="G4822" s="142"/>
      <c r="H4822" s="141"/>
      <c r="I4822" s="8"/>
    </row>
    <row r="4823" spans="2:9" ht="15" hidden="1" customHeight="1" x14ac:dyDescent="0.25">
      <c r="B4823" s="7"/>
      <c r="C4823" s="140">
        <v>4795</v>
      </c>
      <c r="D4823" s="142"/>
      <c r="E4823" s="142"/>
      <c r="F4823" s="142"/>
      <c r="G4823" s="142"/>
      <c r="H4823" s="141"/>
      <c r="I4823" s="8"/>
    </row>
    <row r="4824" spans="2:9" ht="15" hidden="1" customHeight="1" x14ac:dyDescent="0.25">
      <c r="B4824" s="7"/>
      <c r="C4824" s="140">
        <v>4796</v>
      </c>
      <c r="D4824" s="142"/>
      <c r="E4824" s="142"/>
      <c r="F4824" s="142"/>
      <c r="G4824" s="142"/>
      <c r="H4824" s="141"/>
      <c r="I4824" s="8"/>
    </row>
    <row r="4825" spans="2:9" ht="15" hidden="1" customHeight="1" x14ac:dyDescent="0.25">
      <c r="B4825" s="7"/>
      <c r="C4825" s="140">
        <v>4797</v>
      </c>
      <c r="D4825" s="142"/>
      <c r="E4825" s="142"/>
      <c r="F4825" s="142"/>
      <c r="G4825" s="142"/>
      <c r="H4825" s="141"/>
      <c r="I4825" s="8"/>
    </row>
    <row r="4826" spans="2:9" ht="15" hidden="1" customHeight="1" x14ac:dyDescent="0.25">
      <c r="B4826" s="7"/>
      <c r="C4826" s="140">
        <v>4798</v>
      </c>
      <c r="D4826" s="142"/>
      <c r="E4826" s="142"/>
      <c r="F4826" s="142"/>
      <c r="G4826" s="142"/>
      <c r="H4826" s="141"/>
      <c r="I4826" s="8"/>
    </row>
    <row r="4827" spans="2:9" ht="15" hidden="1" customHeight="1" x14ac:dyDescent="0.25">
      <c r="B4827" s="7"/>
      <c r="C4827" s="140">
        <v>4799</v>
      </c>
      <c r="D4827" s="142"/>
      <c r="E4827" s="142"/>
      <c r="F4827" s="142"/>
      <c r="G4827" s="142"/>
      <c r="H4827" s="141"/>
      <c r="I4827" s="8"/>
    </row>
    <row r="4828" spans="2:9" ht="15" hidden="1" customHeight="1" x14ac:dyDescent="0.25">
      <c r="B4828" s="7"/>
      <c r="C4828" s="140">
        <v>4800</v>
      </c>
      <c r="D4828" s="142"/>
      <c r="E4828" s="142"/>
      <c r="F4828" s="142"/>
      <c r="G4828" s="142"/>
      <c r="H4828" s="141"/>
      <c r="I4828" s="8"/>
    </row>
    <row r="4829" spans="2:9" ht="15" hidden="1" customHeight="1" x14ac:dyDescent="0.25">
      <c r="B4829" s="7"/>
      <c r="C4829" s="140">
        <v>4801</v>
      </c>
      <c r="D4829" s="142"/>
      <c r="E4829" s="142"/>
      <c r="F4829" s="142"/>
      <c r="G4829" s="142"/>
      <c r="H4829" s="141"/>
      <c r="I4829" s="8"/>
    </row>
    <row r="4830" spans="2:9" ht="15" hidden="1" customHeight="1" x14ac:dyDescent="0.25">
      <c r="B4830" s="7"/>
      <c r="C4830" s="140">
        <v>4802</v>
      </c>
      <c r="D4830" s="142"/>
      <c r="E4830" s="142"/>
      <c r="F4830" s="142"/>
      <c r="G4830" s="142"/>
      <c r="H4830" s="141"/>
      <c r="I4830" s="8"/>
    </row>
    <row r="4831" spans="2:9" ht="15" hidden="1" customHeight="1" x14ac:dyDescent="0.25">
      <c r="B4831" s="7"/>
      <c r="C4831" s="140">
        <v>4803</v>
      </c>
      <c r="D4831" s="142"/>
      <c r="E4831" s="142"/>
      <c r="F4831" s="142"/>
      <c r="G4831" s="142"/>
      <c r="H4831" s="141"/>
      <c r="I4831" s="8"/>
    </row>
    <row r="4832" spans="2:9" ht="15" hidden="1" customHeight="1" x14ac:dyDescent="0.25">
      <c r="B4832" s="7"/>
      <c r="C4832" s="140">
        <v>4804</v>
      </c>
      <c r="D4832" s="142"/>
      <c r="E4832" s="142"/>
      <c r="F4832" s="142"/>
      <c r="G4832" s="142"/>
      <c r="H4832" s="141"/>
      <c r="I4832" s="8"/>
    </row>
    <row r="4833" spans="2:9" ht="15" hidden="1" customHeight="1" x14ac:dyDescent="0.25">
      <c r="B4833" s="7"/>
      <c r="C4833" s="140">
        <v>4805</v>
      </c>
      <c r="D4833" s="142"/>
      <c r="E4833" s="142"/>
      <c r="F4833" s="142"/>
      <c r="G4833" s="142"/>
      <c r="H4833" s="141"/>
      <c r="I4833" s="8"/>
    </row>
    <row r="4834" spans="2:9" ht="15" hidden="1" customHeight="1" x14ac:dyDescent="0.25">
      <c r="B4834" s="7"/>
      <c r="C4834" s="140">
        <v>4806</v>
      </c>
      <c r="D4834" s="142"/>
      <c r="E4834" s="142"/>
      <c r="F4834" s="142"/>
      <c r="G4834" s="142"/>
      <c r="H4834" s="141"/>
      <c r="I4834" s="8"/>
    </row>
    <row r="4835" spans="2:9" ht="15" hidden="1" customHeight="1" x14ac:dyDescent="0.25">
      <c r="B4835" s="7"/>
      <c r="C4835" s="140">
        <v>4807</v>
      </c>
      <c r="D4835" s="142"/>
      <c r="E4835" s="142"/>
      <c r="F4835" s="142"/>
      <c r="G4835" s="142"/>
      <c r="H4835" s="141"/>
      <c r="I4835" s="8"/>
    </row>
    <row r="4836" spans="2:9" ht="15" hidden="1" customHeight="1" x14ac:dyDescent="0.25">
      <c r="B4836" s="7"/>
      <c r="C4836" s="140">
        <v>4808</v>
      </c>
      <c r="D4836" s="142"/>
      <c r="E4836" s="142"/>
      <c r="F4836" s="142"/>
      <c r="G4836" s="142"/>
      <c r="H4836" s="141"/>
      <c r="I4836" s="8"/>
    </row>
    <row r="4837" spans="2:9" ht="15" hidden="1" customHeight="1" x14ac:dyDescent="0.25">
      <c r="B4837" s="7"/>
      <c r="C4837" s="140">
        <v>4809</v>
      </c>
      <c r="D4837" s="142"/>
      <c r="E4837" s="142"/>
      <c r="F4837" s="142"/>
      <c r="G4837" s="142"/>
      <c r="H4837" s="141"/>
      <c r="I4837" s="8"/>
    </row>
    <row r="4838" spans="2:9" ht="15" hidden="1" customHeight="1" x14ac:dyDescent="0.25">
      <c r="B4838" s="7"/>
      <c r="C4838" s="140">
        <v>4810</v>
      </c>
      <c r="D4838" s="142"/>
      <c r="E4838" s="142"/>
      <c r="F4838" s="142"/>
      <c r="G4838" s="142"/>
      <c r="H4838" s="141"/>
      <c r="I4838" s="8"/>
    </row>
    <row r="4839" spans="2:9" ht="15" hidden="1" customHeight="1" x14ac:dyDescent="0.25">
      <c r="B4839" s="7"/>
      <c r="C4839" s="140">
        <v>4811</v>
      </c>
      <c r="D4839" s="142"/>
      <c r="E4839" s="142"/>
      <c r="F4839" s="142"/>
      <c r="G4839" s="142"/>
      <c r="H4839" s="141"/>
      <c r="I4839" s="8"/>
    </row>
    <row r="4840" spans="2:9" ht="15" hidden="1" customHeight="1" x14ac:dyDescent="0.25">
      <c r="B4840" s="7"/>
      <c r="C4840" s="140">
        <v>4812</v>
      </c>
      <c r="D4840" s="142"/>
      <c r="E4840" s="142"/>
      <c r="F4840" s="142"/>
      <c r="G4840" s="142"/>
      <c r="H4840" s="141"/>
      <c r="I4840" s="8"/>
    </row>
    <row r="4841" spans="2:9" ht="15" hidden="1" customHeight="1" x14ac:dyDescent="0.25">
      <c r="B4841" s="7"/>
      <c r="C4841" s="140">
        <v>4813</v>
      </c>
      <c r="D4841" s="142"/>
      <c r="E4841" s="142"/>
      <c r="F4841" s="142"/>
      <c r="G4841" s="142"/>
      <c r="H4841" s="141"/>
      <c r="I4841" s="8"/>
    </row>
    <row r="4842" spans="2:9" ht="15" hidden="1" customHeight="1" x14ac:dyDescent="0.25">
      <c r="B4842" s="7"/>
      <c r="C4842" s="140">
        <v>4814</v>
      </c>
      <c r="D4842" s="142"/>
      <c r="E4842" s="142"/>
      <c r="F4842" s="142"/>
      <c r="G4842" s="142"/>
      <c r="H4842" s="141"/>
      <c r="I4842" s="8"/>
    </row>
    <row r="4843" spans="2:9" ht="15" hidden="1" customHeight="1" x14ac:dyDescent="0.25">
      <c r="B4843" s="7"/>
      <c r="C4843" s="140">
        <v>4815</v>
      </c>
      <c r="D4843" s="142"/>
      <c r="E4843" s="142"/>
      <c r="F4843" s="142"/>
      <c r="G4843" s="142"/>
      <c r="H4843" s="141"/>
      <c r="I4843" s="8"/>
    </row>
    <row r="4844" spans="2:9" ht="15" hidden="1" customHeight="1" x14ac:dyDescent="0.25">
      <c r="B4844" s="7"/>
      <c r="C4844" s="140">
        <v>4816</v>
      </c>
      <c r="D4844" s="142"/>
      <c r="E4844" s="142"/>
      <c r="F4844" s="142"/>
      <c r="G4844" s="142"/>
      <c r="H4844" s="141"/>
      <c r="I4844" s="8"/>
    </row>
    <row r="4845" spans="2:9" ht="15" hidden="1" customHeight="1" x14ac:dyDescent="0.25">
      <c r="B4845" s="7"/>
      <c r="C4845" s="140">
        <v>4817</v>
      </c>
      <c r="D4845" s="142"/>
      <c r="E4845" s="142"/>
      <c r="F4845" s="142"/>
      <c r="G4845" s="142"/>
      <c r="H4845" s="141"/>
      <c r="I4845" s="8"/>
    </row>
    <row r="4846" spans="2:9" ht="15" hidden="1" customHeight="1" x14ac:dyDescent="0.25">
      <c r="B4846" s="7"/>
      <c r="C4846" s="140">
        <v>4818</v>
      </c>
      <c r="D4846" s="142"/>
      <c r="E4846" s="142"/>
      <c r="F4846" s="142"/>
      <c r="G4846" s="142"/>
      <c r="H4846" s="141"/>
      <c r="I4846" s="8"/>
    </row>
    <row r="4847" spans="2:9" ht="15" hidden="1" customHeight="1" x14ac:dyDescent="0.25">
      <c r="B4847" s="7"/>
      <c r="C4847" s="140">
        <v>4819</v>
      </c>
      <c r="D4847" s="142"/>
      <c r="E4847" s="142"/>
      <c r="F4847" s="142"/>
      <c r="G4847" s="142"/>
      <c r="H4847" s="141"/>
      <c r="I4847" s="8"/>
    </row>
    <row r="4848" spans="2:9" ht="15" hidden="1" customHeight="1" x14ac:dyDescent="0.25">
      <c r="B4848" s="7"/>
      <c r="C4848" s="140">
        <v>4820</v>
      </c>
      <c r="D4848" s="142"/>
      <c r="E4848" s="142"/>
      <c r="F4848" s="142"/>
      <c r="G4848" s="142"/>
      <c r="H4848" s="141"/>
      <c r="I4848" s="8"/>
    </row>
    <row r="4849" spans="2:9" ht="15" hidden="1" customHeight="1" x14ac:dyDescent="0.25">
      <c r="B4849" s="7"/>
      <c r="C4849" s="140">
        <v>4821</v>
      </c>
      <c r="D4849" s="142"/>
      <c r="E4849" s="142"/>
      <c r="F4849" s="142"/>
      <c r="G4849" s="142"/>
      <c r="H4849" s="141"/>
      <c r="I4849" s="8"/>
    </row>
    <row r="4850" spans="2:9" ht="15" hidden="1" customHeight="1" x14ac:dyDescent="0.25">
      <c r="B4850" s="7"/>
      <c r="C4850" s="140">
        <v>4822</v>
      </c>
      <c r="D4850" s="142"/>
      <c r="E4850" s="142"/>
      <c r="F4850" s="142"/>
      <c r="G4850" s="142"/>
      <c r="H4850" s="141"/>
      <c r="I4850" s="8"/>
    </row>
    <row r="4851" spans="2:9" ht="15" hidden="1" customHeight="1" x14ac:dyDescent="0.25">
      <c r="B4851" s="7"/>
      <c r="C4851" s="140">
        <v>4823</v>
      </c>
      <c r="D4851" s="142"/>
      <c r="E4851" s="142"/>
      <c r="F4851" s="142"/>
      <c r="G4851" s="142"/>
      <c r="H4851" s="141"/>
      <c r="I4851" s="8"/>
    </row>
    <row r="4852" spans="2:9" ht="15" hidden="1" customHeight="1" x14ac:dyDescent="0.25">
      <c r="B4852" s="7"/>
      <c r="C4852" s="140">
        <v>4824</v>
      </c>
      <c r="D4852" s="142"/>
      <c r="E4852" s="142"/>
      <c r="F4852" s="142"/>
      <c r="G4852" s="142"/>
      <c r="H4852" s="141"/>
      <c r="I4852" s="8"/>
    </row>
    <row r="4853" spans="2:9" ht="15" hidden="1" customHeight="1" x14ac:dyDescent="0.25">
      <c r="B4853" s="7"/>
      <c r="C4853" s="140">
        <v>4825</v>
      </c>
      <c r="D4853" s="142"/>
      <c r="E4853" s="142"/>
      <c r="F4853" s="142"/>
      <c r="G4853" s="142"/>
      <c r="H4853" s="141"/>
      <c r="I4853" s="8"/>
    </row>
    <row r="4854" spans="2:9" ht="15" hidden="1" customHeight="1" x14ac:dyDescent="0.25">
      <c r="B4854" s="7"/>
      <c r="C4854" s="140">
        <v>4826</v>
      </c>
      <c r="D4854" s="142"/>
      <c r="E4854" s="142"/>
      <c r="F4854" s="142"/>
      <c r="G4854" s="142"/>
      <c r="H4854" s="141"/>
      <c r="I4854" s="8"/>
    </row>
    <row r="4855" spans="2:9" ht="15" hidden="1" customHeight="1" x14ac:dyDescent="0.25">
      <c r="B4855" s="7"/>
      <c r="C4855" s="140">
        <v>4827</v>
      </c>
      <c r="D4855" s="142"/>
      <c r="E4855" s="142"/>
      <c r="F4855" s="142"/>
      <c r="G4855" s="142"/>
      <c r="H4855" s="141"/>
      <c r="I4855" s="8"/>
    </row>
    <row r="4856" spans="2:9" ht="15" hidden="1" customHeight="1" x14ac:dyDescent="0.25">
      <c r="B4856" s="7"/>
      <c r="C4856" s="140">
        <v>4828</v>
      </c>
      <c r="D4856" s="142"/>
      <c r="E4856" s="142"/>
      <c r="F4856" s="142"/>
      <c r="G4856" s="142"/>
      <c r="H4856" s="141"/>
      <c r="I4856" s="8"/>
    </row>
    <row r="4857" spans="2:9" ht="15" hidden="1" customHeight="1" x14ac:dyDescent="0.25">
      <c r="B4857" s="7"/>
      <c r="C4857" s="140">
        <v>4829</v>
      </c>
      <c r="D4857" s="142"/>
      <c r="E4857" s="142"/>
      <c r="F4857" s="142"/>
      <c r="G4857" s="142"/>
      <c r="H4857" s="141"/>
      <c r="I4857" s="8"/>
    </row>
    <row r="4858" spans="2:9" ht="15" hidden="1" customHeight="1" x14ac:dyDescent="0.25">
      <c r="B4858" s="7"/>
      <c r="C4858" s="140">
        <v>4830</v>
      </c>
      <c r="D4858" s="142"/>
      <c r="E4858" s="142"/>
      <c r="F4858" s="142"/>
      <c r="G4858" s="142"/>
      <c r="H4858" s="141"/>
      <c r="I4858" s="8"/>
    </row>
    <row r="4859" spans="2:9" ht="15" hidden="1" customHeight="1" x14ac:dyDescent="0.25">
      <c r="B4859" s="7"/>
      <c r="C4859" s="140">
        <v>4831</v>
      </c>
      <c r="D4859" s="142"/>
      <c r="E4859" s="142"/>
      <c r="F4859" s="142"/>
      <c r="G4859" s="142"/>
      <c r="H4859" s="141"/>
      <c r="I4859" s="8"/>
    </row>
    <row r="4860" spans="2:9" ht="15" hidden="1" customHeight="1" x14ac:dyDescent="0.25">
      <c r="B4860" s="7"/>
      <c r="C4860" s="140">
        <v>4832</v>
      </c>
      <c r="D4860" s="142"/>
      <c r="E4860" s="142"/>
      <c r="F4860" s="142"/>
      <c r="G4860" s="142"/>
      <c r="H4860" s="141"/>
      <c r="I4860" s="8"/>
    </row>
    <row r="4861" spans="2:9" ht="15" hidden="1" customHeight="1" x14ac:dyDescent="0.25">
      <c r="B4861" s="7"/>
      <c r="C4861" s="140">
        <v>4833</v>
      </c>
      <c r="D4861" s="142"/>
      <c r="E4861" s="142"/>
      <c r="F4861" s="142"/>
      <c r="G4861" s="142"/>
      <c r="H4861" s="141"/>
      <c r="I4861" s="8"/>
    </row>
    <row r="4862" spans="2:9" ht="15" hidden="1" customHeight="1" x14ac:dyDescent="0.25">
      <c r="B4862" s="7"/>
      <c r="C4862" s="140">
        <v>4834</v>
      </c>
      <c r="D4862" s="142"/>
      <c r="E4862" s="142"/>
      <c r="F4862" s="142"/>
      <c r="G4862" s="142"/>
      <c r="H4862" s="141"/>
      <c r="I4862" s="8"/>
    </row>
    <row r="4863" spans="2:9" ht="15" hidden="1" customHeight="1" x14ac:dyDescent="0.25">
      <c r="B4863" s="7"/>
      <c r="C4863" s="140">
        <v>4835</v>
      </c>
      <c r="D4863" s="142"/>
      <c r="E4863" s="142"/>
      <c r="F4863" s="142"/>
      <c r="G4863" s="142"/>
      <c r="H4863" s="141"/>
      <c r="I4863" s="8"/>
    </row>
    <row r="4864" spans="2:9" ht="15" hidden="1" customHeight="1" x14ac:dyDescent="0.25">
      <c r="B4864" s="7"/>
      <c r="C4864" s="140">
        <v>4836</v>
      </c>
      <c r="D4864" s="142"/>
      <c r="E4864" s="142"/>
      <c r="F4864" s="142"/>
      <c r="G4864" s="142"/>
      <c r="H4864" s="141"/>
      <c r="I4864" s="8"/>
    </row>
    <row r="4865" spans="2:9" ht="15" hidden="1" customHeight="1" x14ac:dyDescent="0.25">
      <c r="B4865" s="7"/>
      <c r="C4865" s="140">
        <v>4837</v>
      </c>
      <c r="D4865" s="142"/>
      <c r="E4865" s="142"/>
      <c r="F4865" s="142"/>
      <c r="G4865" s="142"/>
      <c r="H4865" s="141"/>
      <c r="I4865" s="8"/>
    </row>
    <row r="4866" spans="2:9" ht="15" hidden="1" customHeight="1" x14ac:dyDescent="0.25">
      <c r="B4866" s="7"/>
      <c r="C4866" s="140">
        <v>4838</v>
      </c>
      <c r="D4866" s="142"/>
      <c r="E4866" s="142"/>
      <c r="F4866" s="142"/>
      <c r="G4866" s="142"/>
      <c r="H4866" s="141"/>
      <c r="I4866" s="8"/>
    </row>
    <row r="4867" spans="2:9" ht="15" hidden="1" customHeight="1" x14ac:dyDescent="0.25">
      <c r="B4867" s="7"/>
      <c r="C4867" s="140">
        <v>4839</v>
      </c>
      <c r="D4867" s="142"/>
      <c r="E4867" s="142"/>
      <c r="F4867" s="142"/>
      <c r="G4867" s="142"/>
      <c r="H4867" s="141"/>
      <c r="I4867" s="8"/>
    </row>
    <row r="4868" spans="2:9" ht="15" hidden="1" customHeight="1" x14ac:dyDescent="0.25">
      <c r="B4868" s="7"/>
      <c r="C4868" s="140">
        <v>4840</v>
      </c>
      <c r="D4868" s="142"/>
      <c r="E4868" s="142"/>
      <c r="F4868" s="142"/>
      <c r="G4868" s="142"/>
      <c r="H4868" s="141"/>
      <c r="I4868" s="8"/>
    </row>
    <row r="4869" spans="2:9" ht="15" hidden="1" customHeight="1" x14ac:dyDescent="0.25">
      <c r="B4869" s="7"/>
      <c r="C4869" s="140">
        <v>4841</v>
      </c>
      <c r="D4869" s="142"/>
      <c r="E4869" s="142"/>
      <c r="F4869" s="142"/>
      <c r="G4869" s="142"/>
      <c r="H4869" s="141"/>
      <c r="I4869" s="8"/>
    </row>
    <row r="4870" spans="2:9" ht="15" hidden="1" customHeight="1" x14ac:dyDescent="0.25">
      <c r="B4870" s="7"/>
      <c r="C4870" s="140">
        <v>4842</v>
      </c>
      <c r="D4870" s="142"/>
      <c r="E4870" s="142"/>
      <c r="F4870" s="142"/>
      <c r="G4870" s="142"/>
      <c r="H4870" s="141"/>
      <c r="I4870" s="8"/>
    </row>
    <row r="4871" spans="2:9" ht="15" hidden="1" customHeight="1" x14ac:dyDescent="0.25">
      <c r="B4871" s="7"/>
      <c r="C4871" s="140">
        <v>4843</v>
      </c>
      <c r="D4871" s="142"/>
      <c r="E4871" s="142"/>
      <c r="F4871" s="142"/>
      <c r="G4871" s="142"/>
      <c r="H4871" s="141"/>
      <c r="I4871" s="8"/>
    </row>
    <row r="4872" spans="2:9" ht="15" hidden="1" customHeight="1" x14ac:dyDescent="0.25">
      <c r="B4872" s="7"/>
      <c r="C4872" s="140">
        <v>4844</v>
      </c>
      <c r="D4872" s="142"/>
      <c r="E4872" s="142"/>
      <c r="F4872" s="142"/>
      <c r="G4872" s="142"/>
      <c r="H4872" s="141"/>
      <c r="I4872" s="8"/>
    </row>
    <row r="4873" spans="2:9" ht="15" hidden="1" customHeight="1" x14ac:dyDescent="0.25">
      <c r="B4873" s="7"/>
      <c r="C4873" s="140">
        <v>4845</v>
      </c>
      <c r="D4873" s="142"/>
      <c r="E4873" s="142"/>
      <c r="F4873" s="142"/>
      <c r="G4873" s="142"/>
      <c r="H4873" s="141"/>
      <c r="I4873" s="8"/>
    </row>
    <row r="4874" spans="2:9" ht="15" hidden="1" customHeight="1" x14ac:dyDescent="0.25">
      <c r="B4874" s="7"/>
      <c r="C4874" s="140">
        <v>4846</v>
      </c>
      <c r="D4874" s="142"/>
      <c r="E4874" s="142"/>
      <c r="F4874" s="142"/>
      <c r="G4874" s="142"/>
      <c r="H4874" s="141"/>
      <c r="I4874" s="8"/>
    </row>
    <row r="4875" spans="2:9" ht="15" hidden="1" customHeight="1" x14ac:dyDescent="0.25">
      <c r="B4875" s="7"/>
      <c r="C4875" s="140">
        <v>4847</v>
      </c>
      <c r="D4875" s="142"/>
      <c r="E4875" s="142"/>
      <c r="F4875" s="142"/>
      <c r="G4875" s="142"/>
      <c r="H4875" s="141"/>
      <c r="I4875" s="8"/>
    </row>
    <row r="4876" spans="2:9" ht="15" hidden="1" customHeight="1" x14ac:dyDescent="0.25">
      <c r="B4876" s="7"/>
      <c r="C4876" s="140">
        <v>4848</v>
      </c>
      <c r="D4876" s="142"/>
      <c r="E4876" s="142"/>
      <c r="F4876" s="142"/>
      <c r="G4876" s="142"/>
      <c r="H4876" s="141"/>
      <c r="I4876" s="8"/>
    </row>
    <row r="4877" spans="2:9" ht="15" hidden="1" customHeight="1" x14ac:dyDescent="0.25">
      <c r="B4877" s="7"/>
      <c r="C4877" s="140">
        <v>4849</v>
      </c>
      <c r="D4877" s="142"/>
      <c r="E4877" s="142"/>
      <c r="F4877" s="142"/>
      <c r="G4877" s="142"/>
      <c r="H4877" s="141"/>
      <c r="I4877" s="8"/>
    </row>
    <row r="4878" spans="2:9" ht="15" hidden="1" customHeight="1" x14ac:dyDescent="0.25">
      <c r="B4878" s="7"/>
      <c r="C4878" s="140">
        <v>4850</v>
      </c>
      <c r="D4878" s="142"/>
      <c r="E4878" s="142"/>
      <c r="F4878" s="142"/>
      <c r="G4878" s="142"/>
      <c r="H4878" s="141"/>
      <c r="I4878" s="8"/>
    </row>
    <row r="4879" spans="2:9" ht="15" hidden="1" customHeight="1" x14ac:dyDescent="0.25">
      <c r="B4879" s="7"/>
      <c r="C4879" s="140">
        <v>4851</v>
      </c>
      <c r="D4879" s="142"/>
      <c r="E4879" s="142"/>
      <c r="F4879" s="142"/>
      <c r="G4879" s="142"/>
      <c r="H4879" s="141"/>
      <c r="I4879" s="8"/>
    </row>
    <row r="4880" spans="2:9" ht="15" hidden="1" customHeight="1" x14ac:dyDescent="0.25">
      <c r="B4880" s="7"/>
      <c r="C4880" s="140">
        <v>4852</v>
      </c>
      <c r="D4880" s="142"/>
      <c r="E4880" s="142"/>
      <c r="F4880" s="142"/>
      <c r="G4880" s="142"/>
      <c r="H4880" s="141"/>
      <c r="I4880" s="8"/>
    </row>
    <row r="4881" spans="2:9" ht="15" hidden="1" customHeight="1" x14ac:dyDescent="0.25">
      <c r="B4881" s="7"/>
      <c r="C4881" s="140">
        <v>4853</v>
      </c>
      <c r="D4881" s="142"/>
      <c r="E4881" s="142"/>
      <c r="F4881" s="142"/>
      <c r="G4881" s="142"/>
      <c r="H4881" s="141"/>
      <c r="I4881" s="8"/>
    </row>
    <row r="4882" spans="2:9" ht="15" hidden="1" customHeight="1" x14ac:dyDescent="0.25">
      <c r="B4882" s="7"/>
      <c r="C4882" s="140">
        <v>4854</v>
      </c>
      <c r="D4882" s="142"/>
      <c r="E4882" s="142"/>
      <c r="F4882" s="142"/>
      <c r="G4882" s="142"/>
      <c r="H4882" s="141"/>
      <c r="I4882" s="8"/>
    </row>
    <row r="4883" spans="2:9" ht="15" hidden="1" customHeight="1" x14ac:dyDescent="0.25">
      <c r="B4883" s="7"/>
      <c r="C4883" s="140">
        <v>4855</v>
      </c>
      <c r="D4883" s="142"/>
      <c r="E4883" s="142"/>
      <c r="F4883" s="142"/>
      <c r="G4883" s="142"/>
      <c r="H4883" s="141"/>
      <c r="I4883" s="8"/>
    </row>
    <row r="4884" spans="2:9" ht="15" hidden="1" customHeight="1" x14ac:dyDescent="0.25">
      <c r="B4884" s="7"/>
      <c r="C4884" s="140">
        <v>4856</v>
      </c>
      <c r="D4884" s="142"/>
      <c r="E4884" s="142"/>
      <c r="F4884" s="142"/>
      <c r="G4884" s="142"/>
      <c r="H4884" s="141"/>
      <c r="I4884" s="8"/>
    </row>
    <row r="4885" spans="2:9" ht="15" hidden="1" customHeight="1" x14ac:dyDescent="0.25">
      <c r="B4885" s="7"/>
      <c r="C4885" s="140">
        <v>4857</v>
      </c>
      <c r="D4885" s="142"/>
      <c r="E4885" s="142"/>
      <c r="F4885" s="142"/>
      <c r="G4885" s="142"/>
      <c r="H4885" s="141"/>
      <c r="I4885" s="8"/>
    </row>
    <row r="4886" spans="2:9" ht="15" hidden="1" customHeight="1" x14ac:dyDescent="0.25">
      <c r="B4886" s="7"/>
      <c r="C4886" s="140">
        <v>4858</v>
      </c>
      <c r="D4886" s="142"/>
      <c r="E4886" s="142"/>
      <c r="F4886" s="142"/>
      <c r="G4886" s="142"/>
      <c r="H4886" s="141"/>
      <c r="I4886" s="8"/>
    </row>
    <row r="4887" spans="2:9" ht="15" hidden="1" customHeight="1" x14ac:dyDescent="0.25">
      <c r="B4887" s="7"/>
      <c r="C4887" s="140">
        <v>4859</v>
      </c>
      <c r="D4887" s="142"/>
      <c r="E4887" s="142"/>
      <c r="F4887" s="142"/>
      <c r="G4887" s="142"/>
      <c r="H4887" s="141"/>
      <c r="I4887" s="8"/>
    </row>
    <row r="4888" spans="2:9" ht="15" hidden="1" customHeight="1" x14ac:dyDescent="0.25">
      <c r="B4888" s="7"/>
      <c r="C4888" s="140">
        <v>4860</v>
      </c>
      <c r="D4888" s="142"/>
      <c r="E4888" s="142"/>
      <c r="F4888" s="142"/>
      <c r="G4888" s="142"/>
      <c r="H4888" s="141"/>
      <c r="I4888" s="8"/>
    </row>
    <row r="4889" spans="2:9" ht="15" hidden="1" customHeight="1" x14ac:dyDescent="0.25">
      <c r="B4889" s="7"/>
      <c r="C4889" s="140">
        <v>4861</v>
      </c>
      <c r="D4889" s="142"/>
      <c r="E4889" s="142"/>
      <c r="F4889" s="142"/>
      <c r="G4889" s="142"/>
      <c r="H4889" s="141"/>
      <c r="I4889" s="8"/>
    </row>
    <row r="4890" spans="2:9" ht="15" hidden="1" customHeight="1" x14ac:dyDescent="0.25">
      <c r="B4890" s="7"/>
      <c r="C4890" s="140">
        <v>4862</v>
      </c>
      <c r="D4890" s="142"/>
      <c r="E4890" s="142"/>
      <c r="F4890" s="142"/>
      <c r="G4890" s="142"/>
      <c r="H4890" s="141"/>
      <c r="I4890" s="8"/>
    </row>
    <row r="4891" spans="2:9" ht="15" hidden="1" customHeight="1" x14ac:dyDescent="0.25">
      <c r="B4891" s="7"/>
      <c r="C4891" s="140">
        <v>4863</v>
      </c>
      <c r="D4891" s="142"/>
      <c r="E4891" s="142"/>
      <c r="F4891" s="142"/>
      <c r="G4891" s="142"/>
      <c r="H4891" s="141"/>
      <c r="I4891" s="8"/>
    </row>
    <row r="4892" spans="2:9" ht="15" hidden="1" customHeight="1" x14ac:dyDescent="0.25">
      <c r="B4892" s="7"/>
      <c r="C4892" s="140">
        <v>4864</v>
      </c>
      <c r="D4892" s="142"/>
      <c r="E4892" s="142"/>
      <c r="F4892" s="142"/>
      <c r="G4892" s="142"/>
      <c r="H4892" s="141"/>
      <c r="I4892" s="8"/>
    </row>
    <row r="4893" spans="2:9" ht="15" hidden="1" customHeight="1" x14ac:dyDescent="0.25">
      <c r="B4893" s="7"/>
      <c r="C4893" s="140">
        <v>4865</v>
      </c>
      <c r="D4893" s="142"/>
      <c r="E4893" s="142"/>
      <c r="F4893" s="142"/>
      <c r="G4893" s="142"/>
      <c r="H4893" s="141"/>
      <c r="I4893" s="8"/>
    </row>
    <row r="4894" spans="2:9" ht="15" hidden="1" customHeight="1" x14ac:dyDescent="0.25">
      <c r="B4894" s="7"/>
      <c r="C4894" s="140">
        <v>4866</v>
      </c>
      <c r="D4894" s="142"/>
      <c r="E4894" s="142"/>
      <c r="F4894" s="142"/>
      <c r="G4894" s="142"/>
      <c r="H4894" s="141"/>
      <c r="I4894" s="8"/>
    </row>
    <row r="4895" spans="2:9" ht="15" hidden="1" customHeight="1" x14ac:dyDescent="0.25">
      <c r="B4895" s="7"/>
      <c r="C4895" s="140">
        <v>4867</v>
      </c>
      <c r="D4895" s="142"/>
      <c r="E4895" s="142"/>
      <c r="F4895" s="142"/>
      <c r="G4895" s="142"/>
      <c r="H4895" s="141"/>
      <c r="I4895" s="8"/>
    </row>
    <row r="4896" spans="2:9" ht="15" hidden="1" customHeight="1" x14ac:dyDescent="0.25">
      <c r="B4896" s="7"/>
      <c r="C4896" s="140">
        <v>4868</v>
      </c>
      <c r="D4896" s="142"/>
      <c r="E4896" s="142"/>
      <c r="F4896" s="142"/>
      <c r="G4896" s="142"/>
      <c r="H4896" s="141"/>
      <c r="I4896" s="8"/>
    </row>
    <row r="4897" spans="2:9" ht="15" hidden="1" customHeight="1" x14ac:dyDescent="0.25">
      <c r="B4897" s="7"/>
      <c r="C4897" s="140">
        <v>4869</v>
      </c>
      <c r="D4897" s="142"/>
      <c r="E4897" s="142"/>
      <c r="F4897" s="142"/>
      <c r="G4897" s="142"/>
      <c r="H4897" s="141"/>
      <c r="I4897" s="8"/>
    </row>
    <row r="4898" spans="2:9" ht="15" hidden="1" customHeight="1" x14ac:dyDescent="0.25">
      <c r="B4898" s="7"/>
      <c r="C4898" s="140">
        <v>4870</v>
      </c>
      <c r="D4898" s="142"/>
      <c r="E4898" s="142"/>
      <c r="F4898" s="142"/>
      <c r="G4898" s="142"/>
      <c r="H4898" s="141"/>
      <c r="I4898" s="8"/>
    </row>
    <row r="4899" spans="2:9" ht="15" hidden="1" customHeight="1" x14ac:dyDescent="0.25">
      <c r="B4899" s="7"/>
      <c r="C4899" s="140">
        <v>4871</v>
      </c>
      <c r="D4899" s="142"/>
      <c r="E4899" s="142"/>
      <c r="F4899" s="142"/>
      <c r="G4899" s="142"/>
      <c r="H4899" s="141"/>
      <c r="I4899" s="8"/>
    </row>
    <row r="4900" spans="2:9" ht="15" hidden="1" customHeight="1" x14ac:dyDescent="0.25">
      <c r="B4900" s="7"/>
      <c r="C4900" s="140">
        <v>4872</v>
      </c>
      <c r="D4900" s="142"/>
      <c r="E4900" s="142"/>
      <c r="F4900" s="142"/>
      <c r="G4900" s="142"/>
      <c r="H4900" s="141"/>
      <c r="I4900" s="8"/>
    </row>
    <row r="4901" spans="2:9" ht="15" hidden="1" customHeight="1" x14ac:dyDescent="0.25">
      <c r="B4901" s="7"/>
      <c r="C4901" s="140">
        <v>4873</v>
      </c>
      <c r="D4901" s="142"/>
      <c r="E4901" s="142"/>
      <c r="F4901" s="142"/>
      <c r="G4901" s="142"/>
      <c r="H4901" s="141"/>
      <c r="I4901" s="8"/>
    </row>
    <row r="4902" spans="2:9" ht="15" hidden="1" customHeight="1" x14ac:dyDescent="0.25">
      <c r="B4902" s="7"/>
      <c r="C4902" s="140">
        <v>4874</v>
      </c>
      <c r="D4902" s="142"/>
      <c r="E4902" s="142"/>
      <c r="F4902" s="142"/>
      <c r="G4902" s="142"/>
      <c r="H4902" s="141"/>
      <c r="I4902" s="8"/>
    </row>
    <row r="4903" spans="2:9" ht="15" hidden="1" customHeight="1" x14ac:dyDescent="0.25">
      <c r="B4903" s="7"/>
      <c r="C4903" s="140">
        <v>4875</v>
      </c>
      <c r="D4903" s="142"/>
      <c r="E4903" s="142"/>
      <c r="F4903" s="142"/>
      <c r="G4903" s="142"/>
      <c r="H4903" s="141"/>
      <c r="I4903" s="8"/>
    </row>
    <row r="4904" spans="2:9" ht="15" hidden="1" customHeight="1" x14ac:dyDescent="0.25">
      <c r="B4904" s="7"/>
      <c r="C4904" s="140">
        <v>4876</v>
      </c>
      <c r="D4904" s="142"/>
      <c r="E4904" s="142"/>
      <c r="F4904" s="142"/>
      <c r="G4904" s="142"/>
      <c r="H4904" s="141"/>
      <c r="I4904" s="8"/>
    </row>
    <row r="4905" spans="2:9" ht="15" hidden="1" customHeight="1" x14ac:dyDescent="0.25">
      <c r="B4905" s="7"/>
      <c r="C4905" s="140">
        <v>4877</v>
      </c>
      <c r="D4905" s="142"/>
      <c r="E4905" s="142"/>
      <c r="F4905" s="142"/>
      <c r="G4905" s="142"/>
      <c r="H4905" s="141"/>
      <c r="I4905" s="8"/>
    </row>
    <row r="4906" spans="2:9" ht="15" hidden="1" customHeight="1" x14ac:dyDescent="0.25">
      <c r="B4906" s="7"/>
      <c r="C4906" s="140">
        <v>4878</v>
      </c>
      <c r="D4906" s="142"/>
      <c r="E4906" s="142"/>
      <c r="F4906" s="142"/>
      <c r="G4906" s="142"/>
      <c r="H4906" s="141"/>
      <c r="I4906" s="8"/>
    </row>
    <row r="4907" spans="2:9" ht="15" hidden="1" customHeight="1" x14ac:dyDescent="0.25">
      <c r="B4907" s="7"/>
      <c r="C4907" s="140">
        <v>4879</v>
      </c>
      <c r="D4907" s="142"/>
      <c r="E4907" s="142"/>
      <c r="F4907" s="142"/>
      <c r="G4907" s="142"/>
      <c r="H4907" s="141"/>
      <c r="I4907" s="8"/>
    </row>
    <row r="4908" spans="2:9" ht="15" hidden="1" customHeight="1" x14ac:dyDescent="0.25">
      <c r="B4908" s="7"/>
      <c r="C4908" s="140">
        <v>4880</v>
      </c>
      <c r="D4908" s="142"/>
      <c r="E4908" s="142"/>
      <c r="F4908" s="142"/>
      <c r="G4908" s="142"/>
      <c r="H4908" s="141"/>
      <c r="I4908" s="8"/>
    </row>
    <row r="4909" spans="2:9" ht="15" hidden="1" customHeight="1" x14ac:dyDescent="0.25">
      <c r="B4909" s="7"/>
      <c r="C4909" s="140">
        <v>4881</v>
      </c>
      <c r="D4909" s="142"/>
      <c r="E4909" s="142"/>
      <c r="F4909" s="142"/>
      <c r="G4909" s="142"/>
      <c r="H4909" s="141"/>
      <c r="I4909" s="8"/>
    </row>
    <row r="4910" spans="2:9" ht="15" hidden="1" customHeight="1" x14ac:dyDescent="0.25">
      <c r="B4910" s="7"/>
      <c r="C4910" s="140">
        <v>4882</v>
      </c>
      <c r="D4910" s="142"/>
      <c r="E4910" s="142"/>
      <c r="F4910" s="142"/>
      <c r="G4910" s="142"/>
      <c r="H4910" s="141"/>
      <c r="I4910" s="8"/>
    </row>
    <row r="4911" spans="2:9" ht="15" hidden="1" customHeight="1" x14ac:dyDescent="0.25">
      <c r="B4911" s="7"/>
      <c r="C4911" s="140">
        <v>4883</v>
      </c>
      <c r="D4911" s="142"/>
      <c r="E4911" s="142"/>
      <c r="F4911" s="142"/>
      <c r="G4911" s="142"/>
      <c r="H4911" s="141"/>
      <c r="I4911" s="8"/>
    </row>
    <row r="4912" spans="2:9" ht="15" hidden="1" customHeight="1" x14ac:dyDescent="0.25">
      <c r="B4912" s="7"/>
      <c r="C4912" s="140">
        <v>4884</v>
      </c>
      <c r="D4912" s="142"/>
      <c r="E4912" s="142"/>
      <c r="F4912" s="142"/>
      <c r="G4912" s="142"/>
      <c r="H4912" s="141"/>
      <c r="I4912" s="8"/>
    </row>
    <row r="4913" spans="2:9" ht="15" hidden="1" customHeight="1" x14ac:dyDescent="0.25">
      <c r="B4913" s="7"/>
      <c r="C4913" s="140">
        <v>4885</v>
      </c>
      <c r="D4913" s="142"/>
      <c r="E4913" s="142"/>
      <c r="F4913" s="142"/>
      <c r="G4913" s="142"/>
      <c r="H4913" s="141"/>
      <c r="I4913" s="8"/>
    </row>
    <row r="4914" spans="2:9" ht="15" hidden="1" customHeight="1" x14ac:dyDescent="0.25">
      <c r="B4914" s="7"/>
      <c r="C4914" s="140">
        <v>4886</v>
      </c>
      <c r="D4914" s="142"/>
      <c r="E4914" s="142"/>
      <c r="F4914" s="142"/>
      <c r="G4914" s="142"/>
      <c r="H4914" s="141"/>
      <c r="I4914" s="8"/>
    </row>
    <row r="4915" spans="2:9" ht="15" hidden="1" customHeight="1" x14ac:dyDescent="0.25">
      <c r="B4915" s="7"/>
      <c r="C4915" s="140">
        <v>4887</v>
      </c>
      <c r="D4915" s="142"/>
      <c r="E4915" s="142"/>
      <c r="F4915" s="142"/>
      <c r="G4915" s="142"/>
      <c r="H4915" s="141"/>
      <c r="I4915" s="8"/>
    </row>
    <row r="4916" spans="2:9" ht="15" hidden="1" customHeight="1" x14ac:dyDescent="0.25">
      <c r="B4916" s="7"/>
      <c r="C4916" s="140">
        <v>4888</v>
      </c>
      <c r="D4916" s="142"/>
      <c r="E4916" s="142"/>
      <c r="F4916" s="142"/>
      <c r="G4916" s="142"/>
      <c r="H4916" s="141"/>
      <c r="I4916" s="8"/>
    </row>
    <row r="4917" spans="2:9" ht="15" hidden="1" customHeight="1" x14ac:dyDescent="0.25">
      <c r="B4917" s="7"/>
      <c r="C4917" s="140">
        <v>4889</v>
      </c>
      <c r="D4917" s="142"/>
      <c r="E4917" s="142"/>
      <c r="F4917" s="142"/>
      <c r="G4917" s="142"/>
      <c r="H4917" s="141"/>
      <c r="I4917" s="8"/>
    </row>
    <row r="4918" spans="2:9" ht="15" hidden="1" customHeight="1" x14ac:dyDescent="0.25">
      <c r="B4918" s="7"/>
      <c r="C4918" s="140">
        <v>4890</v>
      </c>
      <c r="D4918" s="142"/>
      <c r="E4918" s="142"/>
      <c r="F4918" s="142"/>
      <c r="G4918" s="142"/>
      <c r="H4918" s="141"/>
      <c r="I4918" s="8"/>
    </row>
    <row r="4919" spans="2:9" ht="15" hidden="1" customHeight="1" x14ac:dyDescent="0.25">
      <c r="B4919" s="7"/>
      <c r="C4919" s="140">
        <v>4891</v>
      </c>
      <c r="D4919" s="142"/>
      <c r="E4919" s="142"/>
      <c r="F4919" s="142"/>
      <c r="G4919" s="142"/>
      <c r="H4919" s="141"/>
      <c r="I4919" s="8"/>
    </row>
    <row r="4920" spans="2:9" ht="15" hidden="1" customHeight="1" x14ac:dyDescent="0.25">
      <c r="B4920" s="7"/>
      <c r="C4920" s="140">
        <v>4892</v>
      </c>
      <c r="D4920" s="142"/>
      <c r="E4920" s="142"/>
      <c r="F4920" s="142"/>
      <c r="G4920" s="142"/>
      <c r="H4920" s="141"/>
      <c r="I4920" s="8"/>
    </row>
    <row r="4921" spans="2:9" ht="15" hidden="1" customHeight="1" x14ac:dyDescent="0.25">
      <c r="B4921" s="7"/>
      <c r="C4921" s="140">
        <v>4893</v>
      </c>
      <c r="D4921" s="142"/>
      <c r="E4921" s="142"/>
      <c r="F4921" s="142"/>
      <c r="G4921" s="142"/>
      <c r="H4921" s="141"/>
      <c r="I4921" s="8"/>
    </row>
    <row r="4922" spans="2:9" ht="15" hidden="1" customHeight="1" x14ac:dyDescent="0.25">
      <c r="B4922" s="7"/>
      <c r="C4922" s="140">
        <v>4894</v>
      </c>
      <c r="D4922" s="142"/>
      <c r="E4922" s="142"/>
      <c r="F4922" s="142"/>
      <c r="G4922" s="142"/>
      <c r="H4922" s="141"/>
      <c r="I4922" s="8"/>
    </row>
    <row r="4923" spans="2:9" ht="15" hidden="1" customHeight="1" x14ac:dyDescent="0.25">
      <c r="B4923" s="7"/>
      <c r="C4923" s="140">
        <v>4895</v>
      </c>
      <c r="D4923" s="142"/>
      <c r="E4923" s="142"/>
      <c r="F4923" s="142"/>
      <c r="G4923" s="142"/>
      <c r="H4923" s="141"/>
      <c r="I4923" s="8"/>
    </row>
    <row r="4924" spans="2:9" ht="15" hidden="1" customHeight="1" x14ac:dyDescent="0.25">
      <c r="B4924" s="7"/>
      <c r="C4924" s="140">
        <v>4896</v>
      </c>
      <c r="D4924" s="142"/>
      <c r="E4924" s="142"/>
      <c r="F4924" s="142"/>
      <c r="G4924" s="142"/>
      <c r="H4924" s="141"/>
      <c r="I4924" s="8"/>
    </row>
    <row r="4925" spans="2:9" ht="15" hidden="1" customHeight="1" x14ac:dyDescent="0.25">
      <c r="B4925" s="7"/>
      <c r="C4925" s="140">
        <v>4897</v>
      </c>
      <c r="D4925" s="142"/>
      <c r="E4925" s="142"/>
      <c r="F4925" s="142"/>
      <c r="G4925" s="142"/>
      <c r="H4925" s="141"/>
      <c r="I4925" s="8"/>
    </row>
    <row r="4926" spans="2:9" ht="15" hidden="1" customHeight="1" x14ac:dyDescent="0.25">
      <c r="B4926" s="7"/>
      <c r="C4926" s="140">
        <v>4898</v>
      </c>
      <c r="D4926" s="142"/>
      <c r="E4926" s="142"/>
      <c r="F4926" s="142"/>
      <c r="G4926" s="142"/>
      <c r="H4926" s="141"/>
      <c r="I4926" s="8"/>
    </row>
    <row r="4927" spans="2:9" ht="15" hidden="1" customHeight="1" x14ac:dyDescent="0.25">
      <c r="B4927" s="7"/>
      <c r="C4927" s="140">
        <v>4899</v>
      </c>
      <c r="D4927" s="142"/>
      <c r="E4927" s="142"/>
      <c r="F4927" s="142"/>
      <c r="G4927" s="142"/>
      <c r="H4927" s="141"/>
      <c r="I4927" s="8"/>
    </row>
    <row r="4928" spans="2:9" ht="15" hidden="1" customHeight="1" x14ac:dyDescent="0.25">
      <c r="B4928" s="7"/>
      <c r="C4928" s="140">
        <v>4900</v>
      </c>
      <c r="D4928" s="142"/>
      <c r="E4928" s="142"/>
      <c r="F4928" s="142"/>
      <c r="G4928" s="142"/>
      <c r="H4928" s="141"/>
      <c r="I4928" s="8"/>
    </row>
    <row r="4929" spans="2:9" ht="15" hidden="1" customHeight="1" x14ac:dyDescent="0.25">
      <c r="B4929" s="7"/>
      <c r="C4929" s="140">
        <v>4901</v>
      </c>
      <c r="D4929" s="142"/>
      <c r="E4929" s="142"/>
      <c r="F4929" s="142"/>
      <c r="G4929" s="142"/>
      <c r="H4929" s="141"/>
      <c r="I4929" s="8"/>
    </row>
    <row r="4930" spans="2:9" ht="15" hidden="1" customHeight="1" x14ac:dyDescent="0.25">
      <c r="B4930" s="7"/>
      <c r="C4930" s="140">
        <v>4902</v>
      </c>
      <c r="D4930" s="142"/>
      <c r="E4930" s="142"/>
      <c r="F4930" s="142"/>
      <c r="G4930" s="142"/>
      <c r="H4930" s="141"/>
      <c r="I4930" s="8"/>
    </row>
    <row r="4931" spans="2:9" ht="15" hidden="1" customHeight="1" x14ac:dyDescent="0.25">
      <c r="B4931" s="7"/>
      <c r="C4931" s="140">
        <v>4903</v>
      </c>
      <c r="D4931" s="142"/>
      <c r="E4931" s="142"/>
      <c r="F4931" s="142"/>
      <c r="G4931" s="142"/>
      <c r="H4931" s="141"/>
      <c r="I4931" s="8"/>
    </row>
    <row r="4932" spans="2:9" ht="15" hidden="1" customHeight="1" x14ac:dyDescent="0.25">
      <c r="B4932" s="7"/>
      <c r="C4932" s="140">
        <v>4904</v>
      </c>
      <c r="D4932" s="142"/>
      <c r="E4932" s="142"/>
      <c r="F4932" s="142"/>
      <c r="G4932" s="142"/>
      <c r="H4932" s="141"/>
      <c r="I4932" s="8"/>
    </row>
    <row r="4933" spans="2:9" ht="15" hidden="1" customHeight="1" x14ac:dyDescent="0.25">
      <c r="B4933" s="7"/>
      <c r="C4933" s="140">
        <v>4905</v>
      </c>
      <c r="D4933" s="142"/>
      <c r="E4933" s="142"/>
      <c r="F4933" s="142"/>
      <c r="G4933" s="142"/>
      <c r="H4933" s="141"/>
      <c r="I4933" s="8"/>
    </row>
    <row r="4934" spans="2:9" ht="15" hidden="1" customHeight="1" x14ac:dyDescent="0.25">
      <c r="B4934" s="7"/>
      <c r="C4934" s="140">
        <v>4906</v>
      </c>
      <c r="D4934" s="142"/>
      <c r="E4934" s="142"/>
      <c r="F4934" s="142"/>
      <c r="G4934" s="142"/>
      <c r="H4934" s="141"/>
      <c r="I4934" s="8"/>
    </row>
    <row r="4935" spans="2:9" ht="15" hidden="1" customHeight="1" x14ac:dyDescent="0.25">
      <c r="B4935" s="7"/>
      <c r="C4935" s="140">
        <v>4907</v>
      </c>
      <c r="D4935" s="142"/>
      <c r="E4935" s="142"/>
      <c r="F4935" s="142"/>
      <c r="G4935" s="142"/>
      <c r="H4935" s="141"/>
      <c r="I4935" s="8"/>
    </row>
    <row r="4936" spans="2:9" ht="15" hidden="1" customHeight="1" x14ac:dyDescent="0.25">
      <c r="B4936" s="7"/>
      <c r="C4936" s="140">
        <v>4908</v>
      </c>
      <c r="D4936" s="142"/>
      <c r="E4936" s="142"/>
      <c r="F4936" s="142"/>
      <c r="G4936" s="142"/>
      <c r="H4936" s="141"/>
      <c r="I4936" s="8"/>
    </row>
    <row r="4937" spans="2:9" ht="15" hidden="1" customHeight="1" x14ac:dyDescent="0.25">
      <c r="B4937" s="7"/>
      <c r="C4937" s="140">
        <v>4909</v>
      </c>
      <c r="D4937" s="142"/>
      <c r="E4937" s="142"/>
      <c r="F4937" s="142"/>
      <c r="G4937" s="142"/>
      <c r="H4937" s="141"/>
      <c r="I4937" s="8"/>
    </row>
    <row r="4938" spans="2:9" ht="15" hidden="1" customHeight="1" x14ac:dyDescent="0.25">
      <c r="B4938" s="7"/>
      <c r="C4938" s="140">
        <v>4910</v>
      </c>
      <c r="D4938" s="142"/>
      <c r="E4938" s="142"/>
      <c r="F4938" s="142"/>
      <c r="G4938" s="142"/>
      <c r="H4938" s="141"/>
      <c r="I4938" s="8"/>
    </row>
    <row r="4939" spans="2:9" ht="15" hidden="1" customHeight="1" x14ac:dyDescent="0.25">
      <c r="B4939" s="7"/>
      <c r="C4939" s="140">
        <v>4911</v>
      </c>
      <c r="D4939" s="142"/>
      <c r="E4939" s="142"/>
      <c r="F4939" s="142"/>
      <c r="G4939" s="142"/>
      <c r="H4939" s="141"/>
      <c r="I4939" s="8"/>
    </row>
    <row r="4940" spans="2:9" ht="15" hidden="1" customHeight="1" x14ac:dyDescent="0.25">
      <c r="B4940" s="7"/>
      <c r="C4940" s="140">
        <v>4912</v>
      </c>
      <c r="D4940" s="142"/>
      <c r="E4940" s="142"/>
      <c r="F4940" s="142"/>
      <c r="G4940" s="142"/>
      <c r="H4940" s="141"/>
      <c r="I4940" s="8"/>
    </row>
    <row r="4941" spans="2:9" ht="15" hidden="1" customHeight="1" x14ac:dyDescent="0.25">
      <c r="B4941" s="7"/>
      <c r="C4941" s="140">
        <v>4913</v>
      </c>
      <c r="D4941" s="142"/>
      <c r="E4941" s="142"/>
      <c r="F4941" s="142"/>
      <c r="G4941" s="142"/>
      <c r="H4941" s="141"/>
      <c r="I4941" s="8"/>
    </row>
    <row r="4942" spans="2:9" ht="15" hidden="1" customHeight="1" x14ac:dyDescent="0.25">
      <c r="B4942" s="7"/>
      <c r="C4942" s="140">
        <v>4914</v>
      </c>
      <c r="D4942" s="142"/>
      <c r="E4942" s="142"/>
      <c r="F4942" s="142"/>
      <c r="G4942" s="142"/>
      <c r="H4942" s="141"/>
      <c r="I4942" s="8"/>
    </row>
    <row r="4943" spans="2:9" ht="15" hidden="1" customHeight="1" x14ac:dyDescent="0.25">
      <c r="B4943" s="7"/>
      <c r="C4943" s="140">
        <v>4915</v>
      </c>
      <c r="D4943" s="142"/>
      <c r="E4943" s="142"/>
      <c r="F4943" s="142"/>
      <c r="G4943" s="142"/>
      <c r="H4943" s="141"/>
      <c r="I4943" s="8"/>
    </row>
    <row r="4944" spans="2:9" ht="15" hidden="1" customHeight="1" x14ac:dyDescent="0.25">
      <c r="B4944" s="7"/>
      <c r="C4944" s="140">
        <v>4916</v>
      </c>
      <c r="D4944" s="142"/>
      <c r="E4944" s="142"/>
      <c r="F4944" s="142"/>
      <c r="G4944" s="142"/>
      <c r="H4944" s="141"/>
      <c r="I4944" s="8"/>
    </row>
    <row r="4945" spans="2:9" ht="15" hidden="1" customHeight="1" x14ac:dyDescent="0.25">
      <c r="B4945" s="7"/>
      <c r="C4945" s="140">
        <v>4917</v>
      </c>
      <c r="D4945" s="142"/>
      <c r="E4945" s="142"/>
      <c r="F4945" s="142"/>
      <c r="G4945" s="142"/>
      <c r="H4945" s="141"/>
      <c r="I4945" s="8"/>
    </row>
    <row r="4946" spans="2:9" ht="15" hidden="1" customHeight="1" x14ac:dyDescent="0.25">
      <c r="B4946" s="7"/>
      <c r="C4946" s="140">
        <v>4918</v>
      </c>
      <c r="D4946" s="142"/>
      <c r="E4946" s="142"/>
      <c r="F4946" s="142"/>
      <c r="G4946" s="142"/>
      <c r="H4946" s="141"/>
      <c r="I4946" s="8"/>
    </row>
    <row r="4947" spans="2:9" ht="15" hidden="1" customHeight="1" x14ac:dyDescent="0.25">
      <c r="B4947" s="7"/>
      <c r="C4947" s="140">
        <v>4919</v>
      </c>
      <c r="D4947" s="142"/>
      <c r="E4947" s="142"/>
      <c r="F4947" s="142"/>
      <c r="G4947" s="142"/>
      <c r="H4947" s="141"/>
      <c r="I4947" s="8"/>
    </row>
    <row r="4948" spans="2:9" ht="15" hidden="1" customHeight="1" x14ac:dyDescent="0.25">
      <c r="B4948" s="7"/>
      <c r="C4948" s="140">
        <v>4920</v>
      </c>
      <c r="D4948" s="142"/>
      <c r="E4948" s="142"/>
      <c r="F4948" s="142"/>
      <c r="G4948" s="142"/>
      <c r="H4948" s="141"/>
      <c r="I4948" s="8"/>
    </row>
    <row r="4949" spans="2:9" ht="15" hidden="1" customHeight="1" x14ac:dyDescent="0.25">
      <c r="B4949" s="7"/>
      <c r="C4949" s="140">
        <v>4921</v>
      </c>
      <c r="D4949" s="142"/>
      <c r="E4949" s="142"/>
      <c r="F4949" s="142"/>
      <c r="G4949" s="142"/>
      <c r="H4949" s="141"/>
      <c r="I4949" s="8"/>
    </row>
    <row r="4950" spans="2:9" ht="15" hidden="1" customHeight="1" x14ac:dyDescent="0.25">
      <c r="B4950" s="7"/>
      <c r="C4950" s="140">
        <v>4922</v>
      </c>
      <c r="D4950" s="142"/>
      <c r="E4950" s="142"/>
      <c r="F4950" s="142"/>
      <c r="G4950" s="142"/>
      <c r="H4950" s="141"/>
      <c r="I4950" s="8"/>
    </row>
    <row r="4951" spans="2:9" ht="15" hidden="1" customHeight="1" x14ac:dyDescent="0.25">
      <c r="B4951" s="7"/>
      <c r="C4951" s="140">
        <v>4923</v>
      </c>
      <c r="D4951" s="142"/>
      <c r="E4951" s="142"/>
      <c r="F4951" s="142"/>
      <c r="G4951" s="142"/>
      <c r="H4951" s="141"/>
      <c r="I4951" s="8"/>
    </row>
    <row r="4952" spans="2:9" ht="15" hidden="1" customHeight="1" x14ac:dyDescent="0.25">
      <c r="B4952" s="7"/>
      <c r="C4952" s="140">
        <v>4924</v>
      </c>
      <c r="D4952" s="142"/>
      <c r="E4952" s="142"/>
      <c r="F4952" s="142"/>
      <c r="G4952" s="142"/>
      <c r="H4952" s="141"/>
      <c r="I4952" s="8"/>
    </row>
    <row r="4953" spans="2:9" ht="15" hidden="1" customHeight="1" x14ac:dyDescent="0.25">
      <c r="B4953" s="7"/>
      <c r="C4953" s="140">
        <v>4925</v>
      </c>
      <c r="D4953" s="142"/>
      <c r="E4953" s="142"/>
      <c r="F4953" s="142"/>
      <c r="G4953" s="142"/>
      <c r="H4953" s="141"/>
      <c r="I4953" s="8"/>
    </row>
    <row r="4954" spans="2:9" ht="15" hidden="1" customHeight="1" x14ac:dyDescent="0.25">
      <c r="B4954" s="7"/>
      <c r="C4954" s="140">
        <v>4926</v>
      </c>
      <c r="D4954" s="142"/>
      <c r="E4954" s="142"/>
      <c r="F4954" s="142"/>
      <c r="G4954" s="142"/>
      <c r="H4954" s="141"/>
      <c r="I4954" s="8"/>
    </row>
    <row r="4955" spans="2:9" ht="15" hidden="1" customHeight="1" x14ac:dyDescent="0.25">
      <c r="B4955" s="7"/>
      <c r="C4955" s="140">
        <v>4927</v>
      </c>
      <c r="D4955" s="142"/>
      <c r="E4955" s="142"/>
      <c r="F4955" s="142"/>
      <c r="G4955" s="142"/>
      <c r="H4955" s="141"/>
      <c r="I4955" s="8"/>
    </row>
    <row r="4956" spans="2:9" ht="15" hidden="1" customHeight="1" x14ac:dyDescent="0.25">
      <c r="B4956" s="7"/>
      <c r="C4956" s="140">
        <v>4928</v>
      </c>
      <c r="D4956" s="142"/>
      <c r="E4956" s="142"/>
      <c r="F4956" s="142"/>
      <c r="G4956" s="142"/>
      <c r="H4956" s="141"/>
      <c r="I4956" s="8"/>
    </row>
    <row r="4957" spans="2:9" ht="15" hidden="1" customHeight="1" x14ac:dyDescent="0.25">
      <c r="B4957" s="7"/>
      <c r="C4957" s="140">
        <v>4929</v>
      </c>
      <c r="D4957" s="142"/>
      <c r="E4957" s="142"/>
      <c r="F4957" s="142"/>
      <c r="G4957" s="142"/>
      <c r="H4957" s="141"/>
      <c r="I4957" s="8"/>
    </row>
    <row r="4958" spans="2:9" ht="15" hidden="1" customHeight="1" x14ac:dyDescent="0.25">
      <c r="B4958" s="7"/>
      <c r="C4958" s="140">
        <v>4930</v>
      </c>
      <c r="D4958" s="142"/>
      <c r="E4958" s="142"/>
      <c r="F4958" s="142"/>
      <c r="G4958" s="142"/>
      <c r="H4958" s="141"/>
      <c r="I4958" s="8"/>
    </row>
    <row r="4959" spans="2:9" ht="15" hidden="1" customHeight="1" x14ac:dyDescent="0.25">
      <c r="B4959" s="7"/>
      <c r="C4959" s="140">
        <v>4931</v>
      </c>
      <c r="D4959" s="142"/>
      <c r="E4959" s="142"/>
      <c r="F4959" s="142"/>
      <c r="G4959" s="142"/>
      <c r="H4959" s="141"/>
      <c r="I4959" s="8"/>
    </row>
    <row r="4960" spans="2:9" ht="15" hidden="1" customHeight="1" x14ac:dyDescent="0.25">
      <c r="B4960" s="7"/>
      <c r="C4960" s="140">
        <v>4932</v>
      </c>
      <c r="D4960" s="142"/>
      <c r="E4960" s="142"/>
      <c r="F4960" s="142"/>
      <c r="G4960" s="142"/>
      <c r="H4960" s="141"/>
      <c r="I4960" s="8"/>
    </row>
    <row r="4961" spans="2:9" ht="15" hidden="1" customHeight="1" x14ac:dyDescent="0.25">
      <c r="B4961" s="7"/>
      <c r="C4961" s="140">
        <v>4933</v>
      </c>
      <c r="D4961" s="142"/>
      <c r="E4961" s="142"/>
      <c r="F4961" s="142"/>
      <c r="G4961" s="142"/>
      <c r="H4961" s="141"/>
      <c r="I4961" s="8"/>
    </row>
    <row r="4962" spans="2:9" ht="15" hidden="1" customHeight="1" x14ac:dyDescent="0.25">
      <c r="B4962" s="7"/>
      <c r="C4962" s="140">
        <v>4934</v>
      </c>
      <c r="D4962" s="142"/>
      <c r="E4962" s="142"/>
      <c r="F4962" s="142"/>
      <c r="G4962" s="142"/>
      <c r="H4962" s="141"/>
      <c r="I4962" s="8"/>
    </row>
    <row r="4963" spans="2:9" ht="15" hidden="1" customHeight="1" x14ac:dyDescent="0.25">
      <c r="B4963" s="7"/>
      <c r="C4963" s="140">
        <v>4935</v>
      </c>
      <c r="D4963" s="142"/>
      <c r="E4963" s="142"/>
      <c r="F4963" s="142"/>
      <c r="G4963" s="142"/>
      <c r="H4963" s="141"/>
      <c r="I4963" s="8"/>
    </row>
    <row r="4964" spans="2:9" ht="15" hidden="1" customHeight="1" x14ac:dyDescent="0.25">
      <c r="B4964" s="7"/>
      <c r="C4964" s="140">
        <v>4936</v>
      </c>
      <c r="D4964" s="142"/>
      <c r="E4964" s="142"/>
      <c r="F4964" s="142"/>
      <c r="G4964" s="142"/>
      <c r="H4964" s="141"/>
      <c r="I4964" s="8"/>
    </row>
    <row r="4965" spans="2:9" ht="15" hidden="1" customHeight="1" x14ac:dyDescent="0.25">
      <c r="B4965" s="7"/>
      <c r="C4965" s="140">
        <v>4937</v>
      </c>
      <c r="D4965" s="142"/>
      <c r="E4965" s="142"/>
      <c r="F4965" s="142"/>
      <c r="G4965" s="142"/>
      <c r="H4965" s="141"/>
      <c r="I4965" s="8"/>
    </row>
    <row r="4966" spans="2:9" ht="15" hidden="1" customHeight="1" x14ac:dyDescent="0.25">
      <c r="B4966" s="7"/>
      <c r="C4966" s="140">
        <v>4938</v>
      </c>
      <c r="D4966" s="142"/>
      <c r="E4966" s="142"/>
      <c r="F4966" s="142"/>
      <c r="G4966" s="142"/>
      <c r="H4966" s="141"/>
      <c r="I4966" s="8"/>
    </row>
    <row r="4967" spans="2:9" ht="15" hidden="1" customHeight="1" x14ac:dyDescent="0.25">
      <c r="B4967" s="7"/>
      <c r="C4967" s="140">
        <v>4939</v>
      </c>
      <c r="D4967" s="142"/>
      <c r="E4967" s="142"/>
      <c r="F4967" s="142"/>
      <c r="G4967" s="142"/>
      <c r="H4967" s="141"/>
      <c r="I4967" s="8"/>
    </row>
    <row r="4968" spans="2:9" ht="15" hidden="1" customHeight="1" x14ac:dyDescent="0.25">
      <c r="B4968" s="7"/>
      <c r="C4968" s="140">
        <v>4940</v>
      </c>
      <c r="D4968" s="142"/>
      <c r="E4968" s="142"/>
      <c r="F4968" s="142"/>
      <c r="G4968" s="142"/>
      <c r="H4968" s="141"/>
      <c r="I4968" s="8"/>
    </row>
    <row r="4969" spans="2:9" ht="15" hidden="1" customHeight="1" x14ac:dyDescent="0.25">
      <c r="B4969" s="7"/>
      <c r="C4969" s="140">
        <v>4941</v>
      </c>
      <c r="D4969" s="142"/>
      <c r="E4969" s="142"/>
      <c r="F4969" s="142"/>
      <c r="G4969" s="142"/>
      <c r="H4969" s="141"/>
      <c r="I4969" s="8"/>
    </row>
    <row r="4970" spans="2:9" ht="15" hidden="1" customHeight="1" x14ac:dyDescent="0.25">
      <c r="B4970" s="7"/>
      <c r="C4970" s="140">
        <v>4942</v>
      </c>
      <c r="D4970" s="142"/>
      <c r="E4970" s="142"/>
      <c r="F4970" s="142"/>
      <c r="G4970" s="142"/>
      <c r="H4970" s="141"/>
      <c r="I4970" s="8"/>
    </row>
    <row r="4971" spans="2:9" ht="15" hidden="1" customHeight="1" x14ac:dyDescent="0.25">
      <c r="B4971" s="7"/>
      <c r="C4971" s="140">
        <v>4943</v>
      </c>
      <c r="D4971" s="142"/>
      <c r="E4971" s="142"/>
      <c r="F4971" s="142"/>
      <c r="G4971" s="142"/>
      <c r="H4971" s="141"/>
      <c r="I4971" s="8"/>
    </row>
    <row r="4972" spans="2:9" ht="15" hidden="1" customHeight="1" x14ac:dyDescent="0.25">
      <c r="B4972" s="7"/>
      <c r="C4972" s="140">
        <v>4944</v>
      </c>
      <c r="D4972" s="142"/>
      <c r="E4972" s="142"/>
      <c r="F4972" s="142"/>
      <c r="G4972" s="142"/>
      <c r="H4972" s="141"/>
      <c r="I4972" s="8"/>
    </row>
    <row r="4973" spans="2:9" ht="15" hidden="1" customHeight="1" x14ac:dyDescent="0.25">
      <c r="B4973" s="7"/>
      <c r="C4973" s="140">
        <v>4945</v>
      </c>
      <c r="D4973" s="142"/>
      <c r="E4973" s="142"/>
      <c r="F4973" s="142"/>
      <c r="G4973" s="142"/>
      <c r="H4973" s="141"/>
      <c r="I4973" s="8"/>
    </row>
    <row r="4974" spans="2:9" ht="15" hidden="1" customHeight="1" x14ac:dyDescent="0.25">
      <c r="B4974" s="7"/>
      <c r="C4974" s="140">
        <v>4946</v>
      </c>
      <c r="D4974" s="142"/>
      <c r="E4974" s="142"/>
      <c r="F4974" s="142"/>
      <c r="G4974" s="142"/>
      <c r="H4974" s="141"/>
      <c r="I4974" s="8"/>
    </row>
    <row r="4975" spans="2:9" ht="15" hidden="1" customHeight="1" x14ac:dyDescent="0.25">
      <c r="B4975" s="7"/>
      <c r="C4975" s="140">
        <v>4947</v>
      </c>
      <c r="D4975" s="142"/>
      <c r="E4975" s="142"/>
      <c r="F4975" s="142"/>
      <c r="G4975" s="142"/>
      <c r="H4975" s="141"/>
      <c r="I4975" s="8"/>
    </row>
    <row r="4976" spans="2:9" ht="15" hidden="1" customHeight="1" x14ac:dyDescent="0.25">
      <c r="B4976" s="7"/>
      <c r="C4976" s="140">
        <v>4948</v>
      </c>
      <c r="D4976" s="142"/>
      <c r="E4976" s="142"/>
      <c r="F4976" s="142"/>
      <c r="G4976" s="142"/>
      <c r="H4976" s="141"/>
      <c r="I4976" s="8"/>
    </row>
    <row r="4977" spans="2:9" ht="15" hidden="1" customHeight="1" x14ac:dyDescent="0.25">
      <c r="B4977" s="7"/>
      <c r="C4977" s="140">
        <v>4949</v>
      </c>
      <c r="D4977" s="142"/>
      <c r="E4977" s="142"/>
      <c r="F4977" s="142"/>
      <c r="G4977" s="142"/>
      <c r="H4977" s="141"/>
      <c r="I4977" s="8"/>
    </row>
    <row r="4978" spans="2:9" ht="15" hidden="1" customHeight="1" x14ac:dyDescent="0.25">
      <c r="B4978" s="7"/>
      <c r="C4978" s="140">
        <v>4950</v>
      </c>
      <c r="D4978" s="142"/>
      <c r="E4978" s="142"/>
      <c r="F4978" s="142"/>
      <c r="G4978" s="142"/>
      <c r="H4978" s="141"/>
      <c r="I4978" s="8"/>
    </row>
    <row r="4979" spans="2:9" ht="15" hidden="1" customHeight="1" x14ac:dyDescent="0.25">
      <c r="B4979" s="7"/>
      <c r="C4979" s="140">
        <v>4951</v>
      </c>
      <c r="D4979" s="142"/>
      <c r="E4979" s="142"/>
      <c r="F4979" s="142"/>
      <c r="G4979" s="142"/>
      <c r="H4979" s="141"/>
      <c r="I4979" s="8"/>
    </row>
    <row r="4980" spans="2:9" ht="15" hidden="1" customHeight="1" x14ac:dyDescent="0.25">
      <c r="B4980" s="7"/>
      <c r="C4980" s="140">
        <v>4952</v>
      </c>
      <c r="D4980" s="142"/>
      <c r="E4980" s="142"/>
      <c r="F4980" s="142"/>
      <c r="G4980" s="142"/>
      <c r="H4980" s="141"/>
      <c r="I4980" s="8"/>
    </row>
    <row r="4981" spans="2:9" ht="15" hidden="1" customHeight="1" x14ac:dyDescent="0.25">
      <c r="B4981" s="7"/>
      <c r="C4981" s="140">
        <v>4953</v>
      </c>
      <c r="D4981" s="142"/>
      <c r="E4981" s="142"/>
      <c r="F4981" s="142"/>
      <c r="G4981" s="142"/>
      <c r="H4981" s="141"/>
      <c r="I4981" s="8"/>
    </row>
    <row r="4982" spans="2:9" ht="15" hidden="1" customHeight="1" x14ac:dyDescent="0.25">
      <c r="B4982" s="7"/>
      <c r="C4982" s="140">
        <v>4954</v>
      </c>
      <c r="D4982" s="142"/>
      <c r="E4982" s="142"/>
      <c r="F4982" s="142"/>
      <c r="G4982" s="142"/>
      <c r="H4982" s="141"/>
      <c r="I4982" s="8"/>
    </row>
    <row r="4983" spans="2:9" ht="15" hidden="1" customHeight="1" x14ac:dyDescent="0.25">
      <c r="B4983" s="7"/>
      <c r="C4983" s="140">
        <v>4955</v>
      </c>
      <c r="D4983" s="142"/>
      <c r="E4983" s="142"/>
      <c r="F4983" s="142"/>
      <c r="G4983" s="142"/>
      <c r="H4983" s="141"/>
      <c r="I4983" s="8"/>
    </row>
    <row r="4984" spans="2:9" ht="15" hidden="1" customHeight="1" x14ac:dyDescent="0.25">
      <c r="B4984" s="7"/>
      <c r="C4984" s="140">
        <v>4956</v>
      </c>
      <c r="D4984" s="142"/>
      <c r="E4984" s="142"/>
      <c r="F4984" s="142"/>
      <c r="G4984" s="142"/>
      <c r="H4984" s="141"/>
      <c r="I4984" s="8"/>
    </row>
    <row r="4985" spans="2:9" ht="15" hidden="1" customHeight="1" x14ac:dyDescent="0.25">
      <c r="B4985" s="7"/>
      <c r="C4985" s="140">
        <v>4957</v>
      </c>
      <c r="D4985" s="142"/>
      <c r="E4985" s="142"/>
      <c r="F4985" s="142"/>
      <c r="G4985" s="142"/>
      <c r="H4985" s="141"/>
      <c r="I4985" s="8"/>
    </row>
    <row r="4986" spans="2:9" ht="15" hidden="1" customHeight="1" x14ac:dyDescent="0.25">
      <c r="B4986" s="7"/>
      <c r="C4986" s="140">
        <v>4958</v>
      </c>
      <c r="D4986" s="142"/>
      <c r="E4986" s="142"/>
      <c r="F4986" s="142"/>
      <c r="G4986" s="142"/>
      <c r="H4986" s="141"/>
      <c r="I4986" s="8"/>
    </row>
    <row r="4987" spans="2:9" ht="15" hidden="1" customHeight="1" x14ac:dyDescent="0.25">
      <c r="B4987" s="7"/>
      <c r="C4987" s="140">
        <v>4959</v>
      </c>
      <c r="D4987" s="142"/>
      <c r="E4987" s="142"/>
      <c r="F4987" s="142"/>
      <c r="G4987" s="142"/>
      <c r="H4987" s="141"/>
      <c r="I4987" s="8"/>
    </row>
    <row r="4988" spans="2:9" ht="15" hidden="1" customHeight="1" x14ac:dyDescent="0.25">
      <c r="B4988" s="7"/>
      <c r="C4988" s="140">
        <v>4960</v>
      </c>
      <c r="D4988" s="142"/>
      <c r="E4988" s="142"/>
      <c r="F4988" s="142"/>
      <c r="G4988" s="142"/>
      <c r="H4988" s="141"/>
      <c r="I4988" s="8"/>
    </row>
    <row r="4989" spans="2:9" ht="15" hidden="1" customHeight="1" x14ac:dyDescent="0.25">
      <c r="B4989" s="7"/>
      <c r="C4989" s="140">
        <v>4961</v>
      </c>
      <c r="D4989" s="142"/>
      <c r="E4989" s="142"/>
      <c r="F4989" s="142"/>
      <c r="G4989" s="142"/>
      <c r="H4989" s="141"/>
      <c r="I4989" s="8"/>
    </row>
    <row r="4990" spans="2:9" ht="15" hidden="1" customHeight="1" x14ac:dyDescent="0.25">
      <c r="B4990" s="7"/>
      <c r="C4990" s="140">
        <v>4962</v>
      </c>
      <c r="D4990" s="142"/>
      <c r="E4990" s="142"/>
      <c r="F4990" s="142"/>
      <c r="G4990" s="142"/>
      <c r="H4990" s="141"/>
      <c r="I4990" s="8"/>
    </row>
    <row r="4991" spans="2:9" ht="15" hidden="1" customHeight="1" x14ac:dyDescent="0.25">
      <c r="B4991" s="7"/>
      <c r="C4991" s="140">
        <v>4963</v>
      </c>
      <c r="D4991" s="142"/>
      <c r="E4991" s="142"/>
      <c r="F4991" s="142"/>
      <c r="G4991" s="142"/>
      <c r="H4991" s="141"/>
      <c r="I4991" s="8"/>
    </row>
    <row r="4992" spans="2:9" ht="15" hidden="1" customHeight="1" x14ac:dyDescent="0.25">
      <c r="B4992" s="7"/>
      <c r="C4992" s="140">
        <v>4964</v>
      </c>
      <c r="D4992" s="142"/>
      <c r="E4992" s="142"/>
      <c r="F4992" s="142"/>
      <c r="G4992" s="142"/>
      <c r="H4992" s="141"/>
      <c r="I4992" s="8"/>
    </row>
    <row r="4993" spans="2:9" ht="15" hidden="1" customHeight="1" x14ac:dyDescent="0.25">
      <c r="B4993" s="7"/>
      <c r="C4993" s="140">
        <v>4965</v>
      </c>
      <c r="D4993" s="142"/>
      <c r="E4993" s="142"/>
      <c r="F4993" s="142"/>
      <c r="G4993" s="142"/>
      <c r="H4993" s="141"/>
      <c r="I4993" s="8"/>
    </row>
    <row r="4994" spans="2:9" ht="15" hidden="1" customHeight="1" x14ac:dyDescent="0.25">
      <c r="B4994" s="7"/>
      <c r="C4994" s="140">
        <v>4966</v>
      </c>
      <c r="D4994" s="142"/>
      <c r="E4994" s="142"/>
      <c r="F4994" s="142"/>
      <c r="G4994" s="142"/>
      <c r="H4994" s="141"/>
      <c r="I4994" s="8"/>
    </row>
    <row r="4995" spans="2:9" ht="15" hidden="1" customHeight="1" x14ac:dyDescent="0.25">
      <c r="B4995" s="7"/>
      <c r="C4995" s="140">
        <v>4967</v>
      </c>
      <c r="D4995" s="142"/>
      <c r="E4995" s="142"/>
      <c r="F4995" s="142"/>
      <c r="G4995" s="142"/>
      <c r="H4995" s="141"/>
      <c r="I4995" s="8"/>
    </row>
    <row r="4996" spans="2:9" ht="15" hidden="1" customHeight="1" x14ac:dyDescent="0.25">
      <c r="B4996" s="7"/>
      <c r="C4996" s="140">
        <v>4968</v>
      </c>
      <c r="D4996" s="142"/>
      <c r="E4996" s="142"/>
      <c r="F4996" s="142"/>
      <c r="G4996" s="142"/>
      <c r="H4996" s="141"/>
      <c r="I4996" s="8"/>
    </row>
    <row r="4997" spans="2:9" ht="15" hidden="1" customHeight="1" x14ac:dyDescent="0.25">
      <c r="B4997" s="7"/>
      <c r="C4997" s="140">
        <v>4969</v>
      </c>
      <c r="D4997" s="142"/>
      <c r="E4997" s="142"/>
      <c r="F4997" s="142"/>
      <c r="G4997" s="142"/>
      <c r="H4997" s="141"/>
      <c r="I4997" s="8"/>
    </row>
    <row r="4998" spans="2:9" ht="15" hidden="1" customHeight="1" x14ac:dyDescent="0.25">
      <c r="B4998" s="7"/>
      <c r="C4998" s="140">
        <v>4970</v>
      </c>
      <c r="D4998" s="142"/>
      <c r="E4998" s="142"/>
      <c r="F4998" s="142"/>
      <c r="G4998" s="142"/>
      <c r="H4998" s="141"/>
      <c r="I4998" s="8"/>
    </row>
    <row r="4999" spans="2:9" ht="15" hidden="1" customHeight="1" x14ac:dyDescent="0.25">
      <c r="B4999" s="7"/>
      <c r="C4999" s="140">
        <v>4971</v>
      </c>
      <c r="D4999" s="142"/>
      <c r="E4999" s="142"/>
      <c r="F4999" s="142"/>
      <c r="G4999" s="142"/>
      <c r="H4999" s="141"/>
      <c r="I4999" s="8"/>
    </row>
    <row r="5000" spans="2:9" ht="15" hidden="1" customHeight="1" x14ac:dyDescent="0.25">
      <c r="B5000" s="7"/>
      <c r="C5000" s="140">
        <v>4972</v>
      </c>
      <c r="D5000" s="142"/>
      <c r="E5000" s="142"/>
      <c r="F5000" s="142"/>
      <c r="G5000" s="142"/>
      <c r="H5000" s="141"/>
      <c r="I5000" s="8"/>
    </row>
    <row r="5001" spans="2:9" ht="15" hidden="1" customHeight="1" x14ac:dyDescent="0.25">
      <c r="B5001" s="7"/>
      <c r="C5001" s="140">
        <v>4973</v>
      </c>
      <c r="D5001" s="142"/>
      <c r="E5001" s="142"/>
      <c r="F5001" s="142"/>
      <c r="G5001" s="142"/>
      <c r="H5001" s="141"/>
      <c r="I5001" s="8"/>
    </row>
    <row r="5002" spans="2:9" ht="15" hidden="1" customHeight="1" x14ac:dyDescent="0.25">
      <c r="B5002" s="7"/>
      <c r="C5002" s="140">
        <v>4974</v>
      </c>
      <c r="D5002" s="142"/>
      <c r="E5002" s="142"/>
      <c r="F5002" s="142"/>
      <c r="G5002" s="142"/>
      <c r="H5002" s="141"/>
      <c r="I5002" s="8"/>
    </row>
    <row r="5003" spans="2:9" ht="15" hidden="1" customHeight="1" x14ac:dyDescent="0.25">
      <c r="B5003" s="7"/>
      <c r="C5003" s="140">
        <v>4975</v>
      </c>
      <c r="D5003" s="142"/>
      <c r="E5003" s="142"/>
      <c r="F5003" s="142"/>
      <c r="G5003" s="142"/>
      <c r="H5003" s="141"/>
      <c r="I5003" s="8"/>
    </row>
    <row r="5004" spans="2:9" ht="15" hidden="1" customHeight="1" x14ac:dyDescent="0.25">
      <c r="B5004" s="7"/>
      <c r="C5004" s="140">
        <v>4976</v>
      </c>
      <c r="D5004" s="142"/>
      <c r="E5004" s="142"/>
      <c r="F5004" s="142"/>
      <c r="G5004" s="142"/>
      <c r="H5004" s="141"/>
      <c r="I5004" s="8"/>
    </row>
    <row r="5005" spans="2:9" ht="15" hidden="1" customHeight="1" x14ac:dyDescent="0.25">
      <c r="B5005" s="7"/>
      <c r="C5005" s="140">
        <v>4977</v>
      </c>
      <c r="D5005" s="142"/>
      <c r="E5005" s="142"/>
      <c r="F5005" s="142"/>
      <c r="G5005" s="142"/>
      <c r="H5005" s="141"/>
      <c r="I5005" s="8"/>
    </row>
    <row r="5006" spans="2:9" ht="15" hidden="1" customHeight="1" x14ac:dyDescent="0.25">
      <c r="B5006" s="7"/>
      <c r="C5006" s="140">
        <v>4978</v>
      </c>
      <c r="D5006" s="142"/>
      <c r="E5006" s="142"/>
      <c r="F5006" s="142"/>
      <c r="G5006" s="142"/>
      <c r="H5006" s="141"/>
      <c r="I5006" s="8"/>
    </row>
    <row r="5007" spans="2:9" ht="15" hidden="1" customHeight="1" x14ac:dyDescent="0.25">
      <c r="B5007" s="7"/>
      <c r="C5007" s="140">
        <v>4979</v>
      </c>
      <c r="D5007" s="142"/>
      <c r="E5007" s="142"/>
      <c r="F5007" s="142"/>
      <c r="G5007" s="142"/>
      <c r="H5007" s="141"/>
      <c r="I5007" s="8"/>
    </row>
    <row r="5008" spans="2:9" ht="15" hidden="1" customHeight="1" x14ac:dyDescent="0.25">
      <c r="B5008" s="7"/>
      <c r="C5008" s="140">
        <v>4980</v>
      </c>
      <c r="D5008" s="142"/>
      <c r="E5008" s="142"/>
      <c r="F5008" s="142"/>
      <c r="G5008" s="142"/>
      <c r="H5008" s="141"/>
      <c r="I5008" s="8"/>
    </row>
    <row r="5009" spans="2:9" ht="15" hidden="1" customHeight="1" x14ac:dyDescent="0.25">
      <c r="B5009" s="7"/>
      <c r="C5009" s="140">
        <v>4981</v>
      </c>
      <c r="D5009" s="142"/>
      <c r="E5009" s="142"/>
      <c r="F5009" s="142"/>
      <c r="G5009" s="142"/>
      <c r="H5009" s="141"/>
      <c r="I5009" s="8"/>
    </row>
    <row r="5010" spans="2:9" ht="15" hidden="1" customHeight="1" x14ac:dyDescent="0.25">
      <c r="B5010" s="7"/>
      <c r="C5010" s="140">
        <v>4982</v>
      </c>
      <c r="D5010" s="142"/>
      <c r="E5010" s="142"/>
      <c r="F5010" s="142"/>
      <c r="G5010" s="142"/>
      <c r="H5010" s="141"/>
      <c r="I5010" s="8"/>
    </row>
    <row r="5011" spans="2:9" ht="15" hidden="1" customHeight="1" x14ac:dyDescent="0.25">
      <c r="B5011" s="7"/>
      <c r="C5011" s="140">
        <v>4983</v>
      </c>
      <c r="D5011" s="142"/>
      <c r="E5011" s="142"/>
      <c r="F5011" s="142"/>
      <c r="G5011" s="142"/>
      <c r="H5011" s="141"/>
      <c r="I5011" s="8"/>
    </row>
    <row r="5012" spans="2:9" ht="15" hidden="1" customHeight="1" x14ac:dyDescent="0.25">
      <c r="B5012" s="7"/>
      <c r="C5012" s="140">
        <v>4984</v>
      </c>
      <c r="D5012" s="142"/>
      <c r="E5012" s="142"/>
      <c r="F5012" s="142"/>
      <c r="G5012" s="142"/>
      <c r="H5012" s="141"/>
      <c r="I5012" s="8"/>
    </row>
    <row r="5013" spans="2:9" ht="15" hidden="1" customHeight="1" x14ac:dyDescent="0.25">
      <c r="B5013" s="7"/>
      <c r="C5013" s="140">
        <v>4985</v>
      </c>
      <c r="D5013" s="142"/>
      <c r="E5013" s="142"/>
      <c r="F5013" s="142"/>
      <c r="G5013" s="142"/>
      <c r="H5013" s="141"/>
      <c r="I5013" s="8"/>
    </row>
    <row r="5014" spans="2:9" ht="15" hidden="1" customHeight="1" x14ac:dyDescent="0.25">
      <c r="B5014" s="7"/>
      <c r="C5014" s="140">
        <v>4986</v>
      </c>
      <c r="D5014" s="142"/>
      <c r="E5014" s="142"/>
      <c r="F5014" s="142"/>
      <c r="G5014" s="142"/>
      <c r="H5014" s="141"/>
      <c r="I5014" s="8"/>
    </row>
    <row r="5015" spans="2:9" ht="15" hidden="1" customHeight="1" x14ac:dyDescent="0.25">
      <c r="B5015" s="7"/>
      <c r="C5015" s="140">
        <v>4987</v>
      </c>
      <c r="D5015" s="142"/>
      <c r="E5015" s="142"/>
      <c r="F5015" s="142"/>
      <c r="G5015" s="142"/>
      <c r="H5015" s="141"/>
      <c r="I5015" s="8"/>
    </row>
    <row r="5016" spans="2:9" ht="15" hidden="1" customHeight="1" x14ac:dyDescent="0.25">
      <c r="B5016" s="7"/>
      <c r="C5016" s="140">
        <v>4988</v>
      </c>
      <c r="D5016" s="142"/>
      <c r="E5016" s="142"/>
      <c r="F5016" s="142"/>
      <c r="G5016" s="142"/>
      <c r="H5016" s="141"/>
      <c r="I5016" s="8"/>
    </row>
    <row r="5017" spans="2:9" ht="15" hidden="1" customHeight="1" x14ac:dyDescent="0.25">
      <c r="B5017" s="7"/>
      <c r="C5017" s="140">
        <v>4989</v>
      </c>
      <c r="D5017" s="142"/>
      <c r="E5017" s="142"/>
      <c r="F5017" s="142"/>
      <c r="G5017" s="142"/>
      <c r="H5017" s="141"/>
      <c r="I5017" s="8"/>
    </row>
    <row r="5018" spans="2:9" ht="15" hidden="1" customHeight="1" x14ac:dyDescent="0.25">
      <c r="B5018" s="7"/>
      <c r="C5018" s="140">
        <v>4990</v>
      </c>
      <c r="D5018" s="142"/>
      <c r="E5018" s="142"/>
      <c r="F5018" s="142"/>
      <c r="G5018" s="142"/>
      <c r="H5018" s="141"/>
      <c r="I5018" s="8"/>
    </row>
    <row r="5019" spans="2:9" ht="15" hidden="1" customHeight="1" x14ac:dyDescent="0.25">
      <c r="B5019" s="7"/>
      <c r="C5019" s="140">
        <v>4991</v>
      </c>
      <c r="D5019" s="142"/>
      <c r="E5019" s="142"/>
      <c r="F5019" s="142"/>
      <c r="G5019" s="142"/>
      <c r="H5019" s="141"/>
      <c r="I5019" s="8"/>
    </row>
    <row r="5020" spans="2:9" ht="15" hidden="1" customHeight="1" x14ac:dyDescent="0.25">
      <c r="B5020" s="7"/>
      <c r="C5020" s="140">
        <v>4992</v>
      </c>
      <c r="D5020" s="142"/>
      <c r="E5020" s="142"/>
      <c r="F5020" s="142"/>
      <c r="G5020" s="142"/>
      <c r="H5020" s="141"/>
      <c r="I5020" s="8"/>
    </row>
    <row r="5021" spans="2:9" ht="15" hidden="1" customHeight="1" x14ac:dyDescent="0.25">
      <c r="B5021" s="7"/>
      <c r="C5021" s="140">
        <v>4993</v>
      </c>
      <c r="D5021" s="142"/>
      <c r="E5021" s="142"/>
      <c r="F5021" s="142"/>
      <c r="G5021" s="142"/>
      <c r="H5021" s="141"/>
      <c r="I5021" s="8"/>
    </row>
    <row r="5022" spans="2:9" ht="15" hidden="1" customHeight="1" x14ac:dyDescent="0.25">
      <c r="B5022" s="7"/>
      <c r="C5022" s="140">
        <v>4994</v>
      </c>
      <c r="D5022" s="142"/>
      <c r="E5022" s="142"/>
      <c r="F5022" s="142"/>
      <c r="G5022" s="142"/>
      <c r="H5022" s="141"/>
      <c r="I5022" s="8"/>
    </row>
    <row r="5023" spans="2:9" ht="15" hidden="1" customHeight="1" x14ac:dyDescent="0.25">
      <c r="B5023" s="7"/>
      <c r="C5023" s="140">
        <v>4995</v>
      </c>
      <c r="D5023" s="142"/>
      <c r="E5023" s="142"/>
      <c r="F5023" s="142"/>
      <c r="G5023" s="142"/>
      <c r="H5023" s="141"/>
      <c r="I5023" s="8"/>
    </row>
    <row r="5024" spans="2:9" ht="15" hidden="1" customHeight="1" x14ac:dyDescent="0.25">
      <c r="B5024" s="7"/>
      <c r="C5024" s="140">
        <v>4996</v>
      </c>
      <c r="D5024" s="142"/>
      <c r="E5024" s="142"/>
      <c r="F5024" s="142"/>
      <c r="G5024" s="142"/>
      <c r="H5024" s="141"/>
      <c r="I5024" s="8"/>
    </row>
    <row r="5025" spans="2:9" ht="15" hidden="1" customHeight="1" x14ac:dyDescent="0.25">
      <c r="B5025" s="7"/>
      <c r="C5025" s="140">
        <v>4997</v>
      </c>
      <c r="D5025" s="142"/>
      <c r="E5025" s="142"/>
      <c r="F5025" s="142"/>
      <c r="G5025" s="142"/>
      <c r="H5025" s="141"/>
      <c r="I5025" s="8"/>
    </row>
    <row r="5026" spans="2:9" ht="15" hidden="1" customHeight="1" x14ac:dyDescent="0.25">
      <c r="B5026" s="7"/>
      <c r="C5026" s="140">
        <v>4998</v>
      </c>
      <c r="D5026" s="142"/>
      <c r="E5026" s="142"/>
      <c r="F5026" s="142"/>
      <c r="G5026" s="142"/>
      <c r="H5026" s="141"/>
      <c r="I5026" s="8"/>
    </row>
    <row r="5027" spans="2:9" ht="15" hidden="1" customHeight="1" x14ac:dyDescent="0.25">
      <c r="B5027" s="7"/>
      <c r="C5027" s="140">
        <v>4999</v>
      </c>
      <c r="D5027" s="142"/>
      <c r="E5027" s="142"/>
      <c r="F5027" s="142"/>
      <c r="G5027" s="142"/>
      <c r="H5027" s="141"/>
      <c r="I5027" s="8"/>
    </row>
    <row r="5028" spans="2:9" ht="15" hidden="1" customHeight="1" x14ac:dyDescent="0.25">
      <c r="B5028" s="7"/>
      <c r="C5028" s="140">
        <v>5000</v>
      </c>
      <c r="D5028" s="142"/>
      <c r="E5028" s="142"/>
      <c r="F5028" s="142"/>
      <c r="G5028" s="142"/>
      <c r="H5028" s="141"/>
      <c r="I5028" s="8"/>
    </row>
    <row r="5029" spans="2:9" ht="15" customHeight="1" x14ac:dyDescent="0.25">
      <c r="B5029" s="7"/>
      <c r="C5029" s="123"/>
      <c r="D5029" s="123"/>
      <c r="E5029" s="123"/>
      <c r="F5029" s="123"/>
      <c r="G5029" s="123"/>
      <c r="H5029" s="123"/>
      <c r="I5029" s="8"/>
    </row>
    <row r="5030" spans="2:9" ht="15" customHeight="1" x14ac:dyDescent="0.25">
      <c r="B5030" s="7"/>
      <c r="C5030" s="127"/>
      <c r="D5030" s="127"/>
      <c r="E5030" s="123"/>
      <c r="F5030" s="123"/>
      <c r="G5030" s="123"/>
      <c r="H5030" s="123"/>
      <c r="I5030" s="8"/>
    </row>
    <row r="5031" spans="2:9" ht="15" customHeight="1" x14ac:dyDescent="0.25">
      <c r="B5031" s="7"/>
      <c r="C5031" s="123"/>
      <c r="D5031" s="123"/>
      <c r="E5031" s="123"/>
      <c r="F5031" s="123"/>
      <c r="G5031" s="123"/>
      <c r="H5031" s="123"/>
      <c r="I5031" s="8"/>
    </row>
    <row r="5032" spans="2:9" ht="15" customHeight="1" x14ac:dyDescent="0.25">
      <c r="B5032" s="10"/>
      <c r="C5032" s="107">
        <f>R.Instructions.VersionNumber</f>
        <v>4.0199999999999996</v>
      </c>
      <c r="D5032" s="107"/>
      <c r="E5032" s="12"/>
      <c r="F5032" s="12"/>
      <c r="G5032" s="12"/>
      <c r="H5032" s="13">
        <f>R.Instructions.VersionDate</f>
        <v>45411</v>
      </c>
      <c r="I5032" s="14"/>
    </row>
    <row r="5033" spans="2:9" customFormat="1" ht="15" customHeight="1" x14ac:dyDescent="0.25"/>
    <row r="5034" spans="2:9" ht="15" customHeight="1" x14ac:dyDescent="0.25">
      <c r="C5034" s="108" t="str">
        <f>IFERROR(VLOOKUP("Incomplete",Developer!H4:I25012,2,FALSE),"Sheet complete.")</f>
        <v>Enter the operator name.</v>
      </c>
      <c r="D5034" s="108"/>
      <c r="E5034" s="108"/>
      <c r="F5034" s="108"/>
      <c r="G5034" s="108"/>
      <c r="H5034" s="108"/>
    </row>
    <row r="5035" spans="2:9" ht="15" customHeight="1" x14ac:dyDescent="0.25">
      <c r="C5035" s="108"/>
      <c r="D5035" s="108"/>
      <c r="E5035" s="108"/>
      <c r="F5035" s="108"/>
      <c r="G5035" s="108"/>
      <c r="H5035" s="108"/>
    </row>
    <row r="5036" spans="2:9" ht="15" customHeight="1" x14ac:dyDescent="0.25">
      <c r="C5036" s="108"/>
      <c r="D5036" s="108"/>
      <c r="E5036" s="108"/>
      <c r="F5036" s="108"/>
      <c r="G5036" s="108"/>
      <c r="H5036" s="108"/>
    </row>
  </sheetData>
  <sheetProtection algorithmName="SHA-512" hashValue="R+CL+7gJhwWYrnWbkpc3rDn/6ffU56r5rnjDVcMktuIgA+XXjJ15FL3FrJaa5/Gp5/LDp1/KAgH+wrZsmdCueg==" saltValue="RhEyPclVn31F6KkTshrnoQ==" spinCount="100000" sheet="1" objects="1" scenarios="1" selectLockedCells="1"/>
  <mergeCells count="18">
    <mergeCell ref="C27:H27"/>
    <mergeCell ref="C5030:D5030"/>
    <mergeCell ref="C5032:D5032"/>
    <mergeCell ref="C5034:H5036"/>
    <mergeCell ref="C23:F23"/>
    <mergeCell ref="C24:F24"/>
    <mergeCell ref="C25:F25"/>
    <mergeCell ref="C22:F22"/>
    <mergeCell ref="C4:H4"/>
    <mergeCell ref="C7:E7"/>
    <mergeCell ref="C10:E10"/>
    <mergeCell ref="C16:E16"/>
    <mergeCell ref="C12:H13"/>
    <mergeCell ref="C14:H14"/>
    <mergeCell ref="C15:H15"/>
    <mergeCell ref="C18:H19"/>
    <mergeCell ref="C21:F21"/>
    <mergeCell ref="C20:F20"/>
  </mergeCells>
  <conditionalFormatting sqref="C5034">
    <cfRule type="cellIs" dxfId="20" priority="1" stopIfTrue="1" operator="equal">
      <formula>"Sheet complete."</formula>
    </cfRule>
  </conditionalFormatting>
  <dataValidations count="1">
    <dataValidation type="list" allowBlank="1" showInputMessage="1" showErrorMessage="1" sqref="C16" xr:uid="{27AE0BB8-ECB7-4352-9760-DA05A6107530}">
      <formula1>"Part 2,Part 3"</formula1>
    </dataValidation>
  </dataValidations>
  <printOptions horizontalCentered="1"/>
  <pageMargins left="0.25" right="0.25" top="0.25" bottom="0.25" header="0" footer="0"/>
  <pageSetup scale="82"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0" r:id="rId4" name="Check Box 1">
              <controlPr defaultSize="0" autoFill="0" autoLine="0" autoPict="0" macro="[0]!CheckBoxClass">
                <anchor moveWithCells="1" sizeWithCells="1">
                  <from>
                    <xdr:col>2</xdr:col>
                    <xdr:colOff>9525</xdr:colOff>
                    <xdr:row>20</xdr:row>
                    <xdr:rowOff>0</xdr:rowOff>
                  </from>
                  <to>
                    <xdr:col>5</xdr:col>
                    <xdr:colOff>352425</xdr:colOff>
                    <xdr:row>21</xdr:row>
                    <xdr:rowOff>0</xdr:rowOff>
                  </to>
                </anchor>
              </controlPr>
            </control>
          </mc:Choice>
        </mc:AlternateContent>
        <mc:AlternateContent xmlns:mc="http://schemas.openxmlformats.org/markup-compatibility/2006">
          <mc:Choice Requires="x14">
            <control shapeId="2055" r:id="rId5" name="Check Box 3">
              <controlPr defaultSize="0" autoFill="0" autoLine="0" autoPict="0" macro="[0]!CheckBoxClass">
                <anchor moveWithCells="1" sizeWithCells="1">
                  <from>
                    <xdr:col>2</xdr:col>
                    <xdr:colOff>9525</xdr:colOff>
                    <xdr:row>22</xdr:row>
                    <xdr:rowOff>0</xdr:rowOff>
                  </from>
                  <to>
                    <xdr:col>5</xdr:col>
                    <xdr:colOff>352425</xdr:colOff>
                    <xdr:row>23</xdr:row>
                    <xdr:rowOff>0</xdr:rowOff>
                  </to>
                </anchor>
              </controlPr>
            </control>
          </mc:Choice>
        </mc:AlternateContent>
        <mc:AlternateContent xmlns:mc="http://schemas.openxmlformats.org/markup-compatibility/2006">
          <mc:Choice Requires="x14">
            <control shapeId="2056" r:id="rId6" name="Check Box 4">
              <controlPr defaultSize="0" autoFill="0" autoLine="0" autoPict="0" macro="[0]!CheckBoxClass">
                <anchor moveWithCells="1" sizeWithCells="1">
                  <from>
                    <xdr:col>2</xdr:col>
                    <xdr:colOff>9525</xdr:colOff>
                    <xdr:row>23</xdr:row>
                    <xdr:rowOff>0</xdr:rowOff>
                  </from>
                  <to>
                    <xdr:col>5</xdr:col>
                    <xdr:colOff>352425</xdr:colOff>
                    <xdr:row>24</xdr:row>
                    <xdr:rowOff>0</xdr:rowOff>
                  </to>
                </anchor>
              </controlPr>
            </control>
          </mc:Choice>
        </mc:AlternateContent>
        <mc:AlternateContent xmlns:mc="http://schemas.openxmlformats.org/markup-compatibility/2006">
          <mc:Choice Requires="x14">
            <control shapeId="2057" r:id="rId7" name="Check Box 5">
              <controlPr defaultSize="0" autoFill="0" autoLine="0" autoPict="0" macro="[0]!CheckBoxClass">
                <anchor moveWithCells="1" sizeWithCells="1">
                  <from>
                    <xdr:col>2</xdr:col>
                    <xdr:colOff>9525</xdr:colOff>
                    <xdr:row>24</xdr:row>
                    <xdr:rowOff>0</xdr:rowOff>
                  </from>
                  <to>
                    <xdr:col>5</xdr:col>
                    <xdr:colOff>352425</xdr:colOff>
                    <xdr:row>25</xdr:row>
                    <xdr:rowOff>0</xdr:rowOff>
                  </to>
                </anchor>
              </controlPr>
            </control>
          </mc:Choice>
        </mc:AlternateContent>
        <mc:AlternateContent xmlns:mc="http://schemas.openxmlformats.org/markup-compatibility/2006">
          <mc:Choice Requires="x14">
            <control shapeId="2058" r:id="rId8" name="Check Box 2">
              <controlPr defaultSize="0" autoFill="0" autoLine="0" autoPict="0" macro="[0]!CheckBoxClass">
                <anchor moveWithCells="1" sizeWithCells="1">
                  <from>
                    <xdr:col>2</xdr:col>
                    <xdr:colOff>9525</xdr:colOff>
                    <xdr:row>21</xdr:row>
                    <xdr:rowOff>0</xdr:rowOff>
                  </from>
                  <to>
                    <xdr:col>5</xdr:col>
                    <xdr:colOff>352425</xdr:colOff>
                    <xdr:row>22</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76010A-B558-4D3C-9B9E-D70B95C284CB}">
  <sheetPr codeName="Sheet3">
    <tabColor rgb="FF046A38"/>
    <pageSetUpPr fitToPage="1"/>
  </sheetPr>
  <dimension ref="A1:F161"/>
  <sheetViews>
    <sheetView showGridLines="0" showRowColHeaders="0" zoomScaleNormal="100" workbookViewId="0">
      <selection activeCell="C21" sqref="C21"/>
    </sheetView>
  </sheetViews>
  <sheetFormatPr defaultColWidth="8.7109375" defaultRowHeight="15" customHeight="1" x14ac:dyDescent="0.25"/>
  <cols>
    <col min="1" max="1" width="5.7109375" customWidth="1"/>
    <col min="2" max="2" width="5.7109375" style="122" customWidth="1"/>
    <col min="3" max="3" width="50.7109375" style="122" customWidth="1"/>
    <col min="4" max="4" width="5.7109375" style="122" customWidth="1"/>
    <col min="5" max="5" width="50.7109375" style="122" customWidth="1"/>
    <col min="6" max="6" width="5.7109375" style="122" customWidth="1"/>
    <col min="7" max="16384" width="8.7109375" style="122"/>
  </cols>
  <sheetData>
    <row r="1" spans="2:6" customFormat="1" ht="24.95" customHeight="1" x14ac:dyDescent="0.25"/>
    <row r="2" spans="2:6" customFormat="1" ht="24.95" customHeight="1" x14ac:dyDescent="0.25"/>
    <row r="3" spans="2:6" customFormat="1" ht="24.95" customHeight="1" x14ac:dyDescent="0.25"/>
    <row r="4" spans="2:6" ht="24.95" customHeight="1" x14ac:dyDescent="0.25">
      <c r="B4" s="1"/>
      <c r="C4" s="96" t="s">
        <v>68</v>
      </c>
      <c r="D4" s="96"/>
      <c r="E4" s="96"/>
      <c r="F4" s="2"/>
    </row>
    <row r="5" spans="2:6" ht="20.100000000000001" hidden="1" customHeight="1" x14ac:dyDescent="0.25">
      <c r="B5" s="5"/>
      <c r="C5" s="97" t="s">
        <v>49</v>
      </c>
      <c r="D5" s="97"/>
      <c r="E5" s="97"/>
      <c r="F5" s="6"/>
    </row>
    <row r="6" spans="2:6" ht="15" hidden="1" customHeight="1" x14ac:dyDescent="0.25">
      <c r="B6" s="7"/>
      <c r="C6" s="123"/>
      <c r="D6" s="123"/>
      <c r="E6" s="123"/>
      <c r="F6" s="8"/>
    </row>
    <row r="7" spans="2:6" ht="15" hidden="1" customHeight="1" x14ac:dyDescent="0.25">
      <c r="B7" s="7"/>
      <c r="C7" s="124" t="s">
        <v>241</v>
      </c>
      <c r="D7" s="124"/>
      <c r="E7" s="124"/>
      <c r="F7" s="8"/>
    </row>
    <row r="8" spans="2:6" ht="15" hidden="1" customHeight="1" x14ac:dyDescent="0.25">
      <c r="B8" s="7"/>
      <c r="C8" s="123"/>
      <c r="D8" s="123"/>
      <c r="E8" s="123"/>
      <c r="F8" s="8"/>
    </row>
    <row r="9" spans="2:6" ht="15" hidden="1" customHeight="1" x14ac:dyDescent="0.25">
      <c r="B9" s="7"/>
      <c r="C9" s="123"/>
      <c r="D9" s="123"/>
      <c r="E9" s="123"/>
      <c r="F9" s="8"/>
    </row>
    <row r="10" spans="2:6" ht="15" hidden="1" customHeight="1" x14ac:dyDescent="0.25">
      <c r="B10" s="7"/>
      <c r="C10" s="123"/>
      <c r="D10" s="123"/>
      <c r="E10" s="123"/>
      <c r="F10" s="8"/>
    </row>
    <row r="11" spans="2:6" ht="15" hidden="1" customHeight="1" x14ac:dyDescent="0.25">
      <c r="B11" s="7"/>
      <c r="C11" s="123"/>
      <c r="D11" s="123"/>
      <c r="E11" s="123"/>
      <c r="F11" s="8"/>
    </row>
    <row r="12" spans="2:6" ht="15" hidden="1" customHeight="1" x14ac:dyDescent="0.25">
      <c r="B12" s="7"/>
      <c r="C12" s="123"/>
      <c r="D12" s="123"/>
      <c r="E12" s="123"/>
      <c r="F12" s="8"/>
    </row>
    <row r="13" spans="2:6" ht="15" hidden="1" customHeight="1" x14ac:dyDescent="0.25">
      <c r="B13" s="7"/>
      <c r="C13" s="124" t="s">
        <v>242</v>
      </c>
      <c r="D13" s="124"/>
      <c r="E13" s="124"/>
      <c r="F13" s="8"/>
    </row>
    <row r="14" spans="2:6" ht="15" hidden="1" customHeight="1" x14ac:dyDescent="0.25">
      <c r="B14" s="7"/>
      <c r="C14" s="123"/>
      <c r="D14" s="123"/>
      <c r="E14" s="123"/>
      <c r="F14" s="8"/>
    </row>
    <row r="15" spans="2:6" ht="15" hidden="1" customHeight="1" x14ac:dyDescent="0.25">
      <c r="B15" s="7"/>
      <c r="C15" s="123"/>
      <c r="D15" s="123"/>
      <c r="E15" s="123"/>
      <c r="F15" s="8"/>
    </row>
    <row r="16" spans="2:6" ht="15" hidden="1" customHeight="1" x14ac:dyDescent="0.25">
      <c r="B16" s="7"/>
      <c r="C16" s="123"/>
      <c r="D16" s="123"/>
      <c r="E16" s="123"/>
      <c r="F16" s="8"/>
    </row>
    <row r="17" spans="2:6" ht="15" hidden="1" customHeight="1" x14ac:dyDescent="0.25">
      <c r="B17" s="7"/>
      <c r="C17" s="123"/>
      <c r="D17" s="123"/>
      <c r="E17" s="123"/>
      <c r="F17" s="8"/>
    </row>
    <row r="18" spans="2:6" ht="15" hidden="1" customHeight="1" x14ac:dyDescent="0.25">
      <c r="B18" s="7"/>
      <c r="C18" s="123"/>
      <c r="D18" s="123"/>
      <c r="E18" s="123"/>
      <c r="F18" s="8"/>
    </row>
    <row r="19" spans="2:6" ht="15" hidden="1" customHeight="1" x14ac:dyDescent="0.25">
      <c r="B19" s="7"/>
      <c r="C19" s="123"/>
      <c r="D19" s="123"/>
      <c r="E19" s="123"/>
      <c r="F19" s="8"/>
    </row>
    <row r="20" spans="2:6" ht="15" hidden="1" customHeight="1" x14ac:dyDescent="0.25">
      <c r="B20" s="7"/>
      <c r="C20" s="123" t="s">
        <v>45</v>
      </c>
      <c r="D20" s="123"/>
      <c r="E20" s="123"/>
      <c r="F20" s="8"/>
    </row>
    <row r="21" spans="2:6" ht="15" hidden="1" customHeight="1" x14ac:dyDescent="0.25">
      <c r="B21" s="7"/>
      <c r="C21" s="50"/>
      <c r="D21" s="123"/>
      <c r="E21" s="123"/>
      <c r="F21" s="8"/>
    </row>
    <row r="22" spans="2:6" ht="15" hidden="1" customHeight="1" x14ac:dyDescent="0.25">
      <c r="B22" s="7"/>
      <c r="C22" s="123"/>
      <c r="D22" s="123"/>
      <c r="E22" s="123"/>
      <c r="F22" s="8"/>
    </row>
    <row r="23" spans="2:6" ht="15" hidden="1" customHeight="1" x14ac:dyDescent="0.25">
      <c r="B23" s="7"/>
      <c r="C23" s="124" t="s">
        <v>4350</v>
      </c>
      <c r="D23" s="124"/>
      <c r="E23" s="124"/>
      <c r="F23" s="8"/>
    </row>
    <row r="24" spans="2:6" ht="15" hidden="1" customHeight="1" x14ac:dyDescent="0.25">
      <c r="B24" s="7"/>
      <c r="C24" s="19"/>
      <c r="D24" s="123"/>
      <c r="E24" s="123"/>
      <c r="F24" s="8"/>
    </row>
    <row r="25" spans="2:6" ht="15" hidden="1" customHeight="1" x14ac:dyDescent="0.25">
      <c r="B25" s="7"/>
      <c r="C25" s="123"/>
      <c r="D25" s="123"/>
      <c r="E25" s="123"/>
      <c r="F25" s="8"/>
    </row>
    <row r="26" spans="2:6" ht="15" hidden="1" customHeight="1" x14ac:dyDescent="0.25">
      <c r="B26" s="7"/>
      <c r="C26" s="124" t="s">
        <v>243</v>
      </c>
      <c r="D26" s="124"/>
      <c r="E26" s="124"/>
      <c r="F26" s="8"/>
    </row>
    <row r="27" spans="2:6" ht="15" hidden="1" customHeight="1" x14ac:dyDescent="0.25">
      <c r="B27" s="7"/>
      <c r="C27" s="19"/>
      <c r="D27" s="123"/>
      <c r="E27" s="123"/>
      <c r="F27" s="8"/>
    </row>
    <row r="28" spans="2:6" ht="15" hidden="1" customHeight="1" x14ac:dyDescent="0.25">
      <c r="B28" s="7"/>
      <c r="C28" s="123"/>
      <c r="D28" s="123"/>
      <c r="E28" s="123"/>
      <c r="F28" s="8"/>
    </row>
    <row r="29" spans="2:6" ht="15" hidden="1" customHeight="1" x14ac:dyDescent="0.25">
      <c r="B29" s="7"/>
      <c r="C29" s="124" t="s">
        <v>244</v>
      </c>
      <c r="D29" s="124"/>
      <c r="E29" s="124"/>
      <c r="F29" s="8"/>
    </row>
    <row r="30" spans="2:6" ht="15" hidden="1" customHeight="1" x14ac:dyDescent="0.25">
      <c r="B30" s="7"/>
      <c r="C30" s="19"/>
      <c r="D30" s="123"/>
      <c r="E30" s="123"/>
      <c r="F30" s="8"/>
    </row>
    <row r="31" spans="2:6" ht="15" hidden="1" customHeight="1" x14ac:dyDescent="0.25">
      <c r="B31" s="7"/>
      <c r="C31" s="123"/>
      <c r="D31" s="123"/>
      <c r="E31" s="123"/>
      <c r="F31" s="8"/>
    </row>
    <row r="32" spans="2:6" ht="15" hidden="1" customHeight="1" x14ac:dyDescent="0.25">
      <c r="B32" s="7"/>
      <c r="C32" s="123" t="s">
        <v>4370</v>
      </c>
      <c r="D32" s="123"/>
      <c r="E32" s="123" t="s">
        <v>4371</v>
      </c>
      <c r="F32" s="8"/>
    </row>
    <row r="33" spans="2:6" ht="15" hidden="1" customHeight="1" x14ac:dyDescent="0.25">
      <c r="B33" s="7"/>
      <c r="C33" s="50"/>
      <c r="D33" s="123"/>
      <c r="E33" s="159" t="str">
        <f>IF(I.Product.P1GasToPowerBaselineYear="","",I.Product.P1GasToPowerBaselineYear+1)</f>
        <v/>
      </c>
      <c r="F33" s="8"/>
    </row>
    <row r="34" spans="2:6" ht="15" hidden="1" customHeight="1" x14ac:dyDescent="0.25">
      <c r="B34" s="7"/>
      <c r="C34" s="123"/>
      <c r="D34" s="123"/>
      <c r="E34" s="123"/>
      <c r="F34" s="8"/>
    </row>
    <row r="35" spans="2:6" ht="20.100000000000001" hidden="1" customHeight="1" x14ac:dyDescent="0.25">
      <c r="B35" s="5"/>
      <c r="C35" s="97" t="s">
        <v>50</v>
      </c>
      <c r="D35" s="97"/>
      <c r="E35" s="97"/>
      <c r="F35" s="6"/>
    </row>
    <row r="36" spans="2:6" ht="15" hidden="1" customHeight="1" x14ac:dyDescent="0.25">
      <c r="B36" s="7"/>
      <c r="C36" s="123"/>
      <c r="D36" s="123"/>
      <c r="E36" s="123"/>
      <c r="F36" s="8"/>
    </row>
    <row r="37" spans="2:6" ht="15" hidden="1" customHeight="1" x14ac:dyDescent="0.25">
      <c r="B37" s="7"/>
      <c r="C37" s="124" t="s">
        <v>241</v>
      </c>
      <c r="D37" s="124"/>
      <c r="E37" s="124"/>
      <c r="F37" s="8"/>
    </row>
    <row r="38" spans="2:6" ht="15" hidden="1" customHeight="1" x14ac:dyDescent="0.25">
      <c r="B38" s="7"/>
      <c r="C38" s="123"/>
      <c r="D38" s="123"/>
      <c r="E38" s="123"/>
      <c r="F38" s="8"/>
    </row>
    <row r="39" spans="2:6" ht="15" hidden="1" customHeight="1" x14ac:dyDescent="0.25">
      <c r="B39" s="7"/>
      <c r="C39" s="123"/>
      <c r="D39" s="123"/>
      <c r="E39" s="123"/>
      <c r="F39" s="8"/>
    </row>
    <row r="40" spans="2:6" ht="15" hidden="1" customHeight="1" x14ac:dyDescent="0.25">
      <c r="B40" s="7"/>
      <c r="C40" s="123"/>
      <c r="D40" s="123"/>
      <c r="E40" s="123"/>
      <c r="F40" s="8"/>
    </row>
    <row r="41" spans="2:6" ht="15" hidden="1" customHeight="1" x14ac:dyDescent="0.25">
      <c r="B41" s="7"/>
      <c r="C41" s="123"/>
      <c r="D41" s="123"/>
      <c r="E41" s="123"/>
      <c r="F41" s="8"/>
    </row>
    <row r="42" spans="2:6" ht="15" hidden="1" customHeight="1" x14ac:dyDescent="0.25">
      <c r="B42" s="7"/>
      <c r="C42" s="123"/>
      <c r="D42" s="123"/>
      <c r="E42" s="123"/>
      <c r="F42" s="8"/>
    </row>
    <row r="43" spans="2:6" ht="15" hidden="1" customHeight="1" x14ac:dyDescent="0.25">
      <c r="B43" s="7"/>
      <c r="C43" s="124" t="s">
        <v>242</v>
      </c>
      <c r="D43" s="124"/>
      <c r="E43" s="124"/>
      <c r="F43" s="8"/>
    </row>
    <row r="44" spans="2:6" ht="15" hidden="1" customHeight="1" x14ac:dyDescent="0.25">
      <c r="B44" s="7"/>
      <c r="C44" s="123"/>
      <c r="D44" s="123"/>
      <c r="E44" s="123"/>
      <c r="F44" s="8"/>
    </row>
    <row r="45" spans="2:6" ht="15" hidden="1" customHeight="1" x14ac:dyDescent="0.25">
      <c r="B45" s="7"/>
      <c r="C45" s="123"/>
      <c r="D45" s="123"/>
      <c r="E45" s="123"/>
      <c r="F45" s="8"/>
    </row>
    <row r="46" spans="2:6" ht="15" hidden="1" customHeight="1" x14ac:dyDescent="0.25">
      <c r="B46" s="7"/>
      <c r="C46" s="123"/>
      <c r="D46" s="123"/>
      <c r="E46" s="123"/>
      <c r="F46" s="8"/>
    </row>
    <row r="47" spans="2:6" ht="15" hidden="1" customHeight="1" x14ac:dyDescent="0.25">
      <c r="B47" s="7"/>
      <c r="C47" s="123"/>
      <c r="D47" s="123"/>
      <c r="E47" s="123"/>
      <c r="F47" s="8"/>
    </row>
    <row r="48" spans="2:6" ht="15" hidden="1" customHeight="1" x14ac:dyDescent="0.25">
      <c r="B48" s="7"/>
      <c r="C48" s="123"/>
      <c r="D48" s="123"/>
      <c r="E48" s="123"/>
      <c r="F48" s="8"/>
    </row>
    <row r="49" spans="2:6" ht="15" hidden="1" customHeight="1" x14ac:dyDescent="0.25">
      <c r="B49" s="7"/>
      <c r="C49" s="123"/>
      <c r="D49" s="123"/>
      <c r="E49" s="123"/>
      <c r="F49" s="8"/>
    </row>
    <row r="50" spans="2:6" ht="15" hidden="1" customHeight="1" x14ac:dyDescent="0.25">
      <c r="B50" s="7"/>
      <c r="C50" s="123" t="s">
        <v>45</v>
      </c>
      <c r="D50" s="123"/>
      <c r="E50" s="123"/>
      <c r="F50" s="8"/>
    </row>
    <row r="51" spans="2:6" ht="15" hidden="1" customHeight="1" x14ac:dyDescent="0.25">
      <c r="B51" s="7"/>
      <c r="C51" s="50"/>
      <c r="D51" s="123"/>
      <c r="E51" s="123"/>
      <c r="F51" s="8"/>
    </row>
    <row r="52" spans="2:6" ht="15" hidden="1" customHeight="1" x14ac:dyDescent="0.25">
      <c r="B52" s="7"/>
      <c r="C52" s="123"/>
      <c r="D52" s="123"/>
      <c r="E52" s="123"/>
      <c r="F52" s="8"/>
    </row>
    <row r="53" spans="2:6" ht="15" hidden="1" customHeight="1" x14ac:dyDescent="0.25">
      <c r="B53" s="7"/>
      <c r="C53" s="124" t="s">
        <v>4350</v>
      </c>
      <c r="D53" s="124"/>
      <c r="E53" s="124"/>
      <c r="F53" s="8"/>
    </row>
    <row r="54" spans="2:6" ht="15" hidden="1" customHeight="1" x14ac:dyDescent="0.25">
      <c r="B54" s="7"/>
      <c r="C54" s="19"/>
      <c r="D54" s="123"/>
      <c r="E54" s="123"/>
      <c r="F54" s="8"/>
    </row>
    <row r="55" spans="2:6" ht="15" hidden="1" customHeight="1" x14ac:dyDescent="0.25">
      <c r="B55" s="7"/>
      <c r="C55" s="123"/>
      <c r="D55" s="123"/>
      <c r="E55" s="123"/>
      <c r="F55" s="8"/>
    </row>
    <row r="56" spans="2:6" ht="15" hidden="1" customHeight="1" x14ac:dyDescent="0.25">
      <c r="B56" s="7"/>
      <c r="C56" s="124" t="s">
        <v>243</v>
      </c>
      <c r="D56" s="124"/>
      <c r="E56" s="124"/>
      <c r="F56" s="8"/>
    </row>
    <row r="57" spans="2:6" ht="15" hidden="1" customHeight="1" x14ac:dyDescent="0.25">
      <c r="B57" s="7"/>
      <c r="C57" s="19"/>
      <c r="D57" s="123"/>
      <c r="E57" s="123"/>
      <c r="F57" s="8"/>
    </row>
    <row r="58" spans="2:6" ht="15" hidden="1" customHeight="1" x14ac:dyDescent="0.25">
      <c r="B58" s="7"/>
      <c r="C58" s="123"/>
      <c r="D58" s="123"/>
      <c r="E58" s="123"/>
      <c r="F58" s="8"/>
    </row>
    <row r="59" spans="2:6" ht="15" hidden="1" customHeight="1" x14ac:dyDescent="0.25">
      <c r="B59" s="7"/>
      <c r="C59" s="124" t="s">
        <v>244</v>
      </c>
      <c r="D59" s="124"/>
      <c r="E59" s="124"/>
      <c r="F59" s="8"/>
    </row>
    <row r="60" spans="2:6" ht="15" hidden="1" customHeight="1" x14ac:dyDescent="0.25">
      <c r="B60" s="7"/>
      <c r="C60" s="19"/>
      <c r="D60" s="123"/>
      <c r="E60" s="123"/>
      <c r="F60" s="8"/>
    </row>
    <row r="61" spans="2:6" ht="15" hidden="1" customHeight="1" x14ac:dyDescent="0.25">
      <c r="B61" s="7"/>
      <c r="C61" s="123"/>
      <c r="D61" s="123"/>
      <c r="E61" s="123"/>
      <c r="F61" s="8"/>
    </row>
    <row r="62" spans="2:6" ht="15" hidden="1" customHeight="1" x14ac:dyDescent="0.25">
      <c r="B62" s="7"/>
      <c r="C62" s="123" t="s">
        <v>4370</v>
      </c>
      <c r="D62" s="123"/>
      <c r="E62" s="123" t="s">
        <v>4371</v>
      </c>
      <c r="F62" s="8"/>
    </row>
    <row r="63" spans="2:6" ht="15" hidden="1" customHeight="1" x14ac:dyDescent="0.25">
      <c r="B63" s="7"/>
      <c r="C63" s="50"/>
      <c r="D63" s="123"/>
      <c r="E63" s="159" t="str">
        <f>IF(I.Product.P2aGasToPowerBaselineYear="","",I.Product.P2aGasToPowerBaselineYear+1)</f>
        <v/>
      </c>
      <c r="F63" s="8"/>
    </row>
    <row r="64" spans="2:6" ht="15" hidden="1" customHeight="1" x14ac:dyDescent="0.25">
      <c r="B64" s="7"/>
      <c r="C64" s="123"/>
      <c r="D64" s="123"/>
      <c r="E64" s="123"/>
      <c r="F64" s="8"/>
    </row>
    <row r="65" spans="2:6" ht="20.100000000000001" hidden="1" customHeight="1" x14ac:dyDescent="0.25">
      <c r="B65" s="5"/>
      <c r="C65" s="97" t="s">
        <v>51</v>
      </c>
      <c r="D65" s="97"/>
      <c r="E65" s="97"/>
      <c r="F65" s="6"/>
    </row>
    <row r="66" spans="2:6" ht="15" hidden="1" customHeight="1" x14ac:dyDescent="0.25">
      <c r="B66" s="7"/>
      <c r="C66" s="123"/>
      <c r="D66" s="123"/>
      <c r="E66" s="123"/>
      <c r="F66" s="8"/>
    </row>
    <row r="67" spans="2:6" ht="15" hidden="1" customHeight="1" x14ac:dyDescent="0.25">
      <c r="B67" s="7"/>
      <c r="C67" s="124" t="s">
        <v>241</v>
      </c>
      <c r="D67" s="124"/>
      <c r="E67" s="124"/>
      <c r="F67" s="8"/>
    </row>
    <row r="68" spans="2:6" ht="15" hidden="1" customHeight="1" x14ac:dyDescent="0.25">
      <c r="B68" s="7"/>
      <c r="C68" s="123"/>
      <c r="D68" s="123"/>
      <c r="E68" s="123"/>
      <c r="F68" s="8"/>
    </row>
    <row r="69" spans="2:6" ht="15" hidden="1" customHeight="1" x14ac:dyDescent="0.25">
      <c r="B69" s="7"/>
      <c r="C69" s="123"/>
      <c r="D69" s="123"/>
      <c r="E69" s="123"/>
      <c r="F69" s="8"/>
    </row>
    <row r="70" spans="2:6" ht="15" hidden="1" customHeight="1" x14ac:dyDescent="0.25">
      <c r="B70" s="7"/>
      <c r="C70" s="123"/>
      <c r="D70" s="123"/>
      <c r="E70" s="123"/>
      <c r="F70" s="8"/>
    </row>
    <row r="71" spans="2:6" ht="15" hidden="1" customHeight="1" x14ac:dyDescent="0.25">
      <c r="B71" s="7"/>
      <c r="C71" s="123"/>
      <c r="D71" s="123"/>
      <c r="E71" s="123"/>
      <c r="F71" s="8"/>
    </row>
    <row r="72" spans="2:6" ht="15" hidden="1" customHeight="1" x14ac:dyDescent="0.25">
      <c r="B72" s="7"/>
      <c r="C72" s="123"/>
      <c r="D72" s="123"/>
      <c r="E72" s="123"/>
      <c r="F72" s="8"/>
    </row>
    <row r="73" spans="2:6" ht="15" hidden="1" customHeight="1" x14ac:dyDescent="0.25">
      <c r="B73" s="7"/>
      <c r="C73" s="124" t="s">
        <v>242</v>
      </c>
      <c r="D73" s="124"/>
      <c r="E73" s="124"/>
      <c r="F73" s="8"/>
    </row>
    <row r="74" spans="2:6" ht="15" hidden="1" customHeight="1" x14ac:dyDescent="0.25">
      <c r="B74" s="7"/>
      <c r="C74" s="123"/>
      <c r="D74" s="123"/>
      <c r="E74" s="123"/>
      <c r="F74" s="8"/>
    </row>
    <row r="75" spans="2:6" ht="15" hidden="1" customHeight="1" x14ac:dyDescent="0.25">
      <c r="B75" s="7"/>
      <c r="C75" s="123"/>
      <c r="D75" s="123"/>
      <c r="E75" s="123"/>
      <c r="F75" s="8"/>
    </row>
    <row r="76" spans="2:6" ht="15" hidden="1" customHeight="1" x14ac:dyDescent="0.25">
      <c r="B76" s="7"/>
      <c r="C76" s="123"/>
      <c r="D76" s="123"/>
      <c r="E76" s="123"/>
      <c r="F76" s="8"/>
    </row>
    <row r="77" spans="2:6" ht="15" hidden="1" customHeight="1" x14ac:dyDescent="0.25">
      <c r="B77" s="7"/>
      <c r="C77" s="123"/>
      <c r="D77" s="123"/>
      <c r="E77" s="123"/>
      <c r="F77" s="8"/>
    </row>
    <row r="78" spans="2:6" ht="15" hidden="1" customHeight="1" x14ac:dyDescent="0.25">
      <c r="B78" s="7"/>
      <c r="C78" s="123"/>
      <c r="D78" s="123"/>
      <c r="E78" s="123"/>
      <c r="F78" s="8"/>
    </row>
    <row r="79" spans="2:6" ht="15" hidden="1" customHeight="1" x14ac:dyDescent="0.25">
      <c r="B79" s="7"/>
      <c r="C79" s="123"/>
      <c r="D79" s="123"/>
      <c r="E79" s="123"/>
      <c r="F79" s="8"/>
    </row>
    <row r="80" spans="2:6" ht="15" hidden="1" customHeight="1" x14ac:dyDescent="0.25">
      <c r="B80" s="7"/>
      <c r="C80" s="123" t="s">
        <v>45</v>
      </c>
      <c r="D80" s="123"/>
      <c r="E80" s="123"/>
      <c r="F80" s="8"/>
    </row>
    <row r="81" spans="2:6" ht="15" hidden="1" customHeight="1" x14ac:dyDescent="0.25">
      <c r="B81" s="7"/>
      <c r="C81" s="50"/>
      <c r="D81" s="123"/>
      <c r="E81" s="123"/>
      <c r="F81" s="8"/>
    </row>
    <row r="82" spans="2:6" ht="15" hidden="1" customHeight="1" x14ac:dyDescent="0.25">
      <c r="B82" s="7"/>
      <c r="C82" s="123"/>
      <c r="D82" s="123"/>
      <c r="E82" s="123"/>
      <c r="F82" s="8"/>
    </row>
    <row r="83" spans="2:6" ht="15" hidden="1" customHeight="1" x14ac:dyDescent="0.25">
      <c r="B83" s="7"/>
      <c r="C83" s="124" t="s">
        <v>4350</v>
      </c>
      <c r="D83" s="124"/>
      <c r="E83" s="124"/>
      <c r="F83" s="8"/>
    </row>
    <row r="84" spans="2:6" ht="15" hidden="1" customHeight="1" x14ac:dyDescent="0.25">
      <c r="B84" s="7"/>
      <c r="C84" s="19"/>
      <c r="D84" s="123"/>
      <c r="E84" s="123"/>
      <c r="F84" s="8"/>
    </row>
    <row r="85" spans="2:6" ht="15" hidden="1" customHeight="1" x14ac:dyDescent="0.25">
      <c r="B85" s="7"/>
      <c r="C85" s="123"/>
      <c r="D85" s="123"/>
      <c r="E85" s="123"/>
      <c r="F85" s="8"/>
    </row>
    <row r="86" spans="2:6" ht="15" hidden="1" customHeight="1" x14ac:dyDescent="0.25">
      <c r="B86" s="7"/>
      <c r="C86" s="124" t="s">
        <v>243</v>
      </c>
      <c r="D86" s="124"/>
      <c r="E86" s="124"/>
      <c r="F86" s="8"/>
    </row>
    <row r="87" spans="2:6" ht="15" hidden="1" customHeight="1" x14ac:dyDescent="0.25">
      <c r="B87" s="7"/>
      <c r="C87" s="19"/>
      <c r="D87" s="123"/>
      <c r="E87" s="123"/>
      <c r="F87" s="8"/>
    </row>
    <row r="88" spans="2:6" ht="15" hidden="1" customHeight="1" x14ac:dyDescent="0.25">
      <c r="B88" s="7"/>
      <c r="C88" s="123"/>
      <c r="D88" s="123"/>
      <c r="E88" s="123"/>
      <c r="F88" s="8"/>
    </row>
    <row r="89" spans="2:6" ht="15" hidden="1" customHeight="1" x14ac:dyDescent="0.25">
      <c r="B89" s="7"/>
      <c r="C89" s="124" t="s">
        <v>244</v>
      </c>
      <c r="D89" s="124"/>
      <c r="E89" s="124"/>
      <c r="F89" s="8"/>
    </row>
    <row r="90" spans="2:6" ht="15" hidden="1" customHeight="1" x14ac:dyDescent="0.25">
      <c r="B90" s="7"/>
      <c r="C90" s="19"/>
      <c r="D90" s="123"/>
      <c r="E90" s="123"/>
      <c r="F90" s="8"/>
    </row>
    <row r="91" spans="2:6" ht="15" hidden="1" customHeight="1" x14ac:dyDescent="0.25">
      <c r="B91" s="7"/>
      <c r="C91" s="123"/>
      <c r="D91" s="123"/>
      <c r="E91" s="123"/>
      <c r="F91" s="8"/>
    </row>
    <row r="92" spans="2:6" ht="15" hidden="1" customHeight="1" x14ac:dyDescent="0.25">
      <c r="B92" s="7"/>
      <c r="C92" s="123" t="s">
        <v>4370</v>
      </c>
      <c r="D92" s="123"/>
      <c r="E92" s="123" t="s">
        <v>4371</v>
      </c>
      <c r="F92" s="8"/>
    </row>
    <row r="93" spans="2:6" ht="15" hidden="1" customHeight="1" x14ac:dyDescent="0.25">
      <c r="B93" s="7"/>
      <c r="C93" s="50"/>
      <c r="D93" s="123"/>
      <c r="E93" s="159" t="str">
        <f>IF(I.Product.P2bGasToPowerBaselineYear="","",I.Product.P2bGasToPowerBaselineYear+1)</f>
        <v/>
      </c>
      <c r="F93" s="8"/>
    </row>
    <row r="94" spans="2:6" ht="15" hidden="1" customHeight="1" x14ac:dyDescent="0.25">
      <c r="B94" s="7"/>
      <c r="C94" s="123"/>
      <c r="D94" s="123"/>
      <c r="E94" s="123"/>
      <c r="F94" s="8"/>
    </row>
    <row r="95" spans="2:6" ht="20.100000000000001" hidden="1" customHeight="1" x14ac:dyDescent="0.25">
      <c r="B95" s="5"/>
      <c r="C95" s="97" t="s">
        <v>52</v>
      </c>
      <c r="D95" s="97"/>
      <c r="E95" s="97"/>
      <c r="F95" s="6"/>
    </row>
    <row r="96" spans="2:6" ht="15" hidden="1" customHeight="1" x14ac:dyDescent="0.25">
      <c r="B96" s="7"/>
      <c r="C96" s="123"/>
      <c r="D96" s="123"/>
      <c r="E96" s="123"/>
      <c r="F96" s="8"/>
    </row>
    <row r="97" spans="2:6" ht="15" hidden="1" customHeight="1" x14ac:dyDescent="0.25">
      <c r="B97" s="7"/>
      <c r="C97" s="124" t="s">
        <v>241</v>
      </c>
      <c r="D97" s="124"/>
      <c r="E97" s="124"/>
      <c r="F97" s="8"/>
    </row>
    <row r="98" spans="2:6" ht="15" hidden="1" customHeight="1" x14ac:dyDescent="0.25">
      <c r="B98" s="7"/>
      <c r="C98" s="123"/>
      <c r="D98" s="123"/>
      <c r="E98" s="123"/>
      <c r="F98" s="8"/>
    </row>
    <row r="99" spans="2:6" ht="15" hidden="1" customHeight="1" x14ac:dyDescent="0.25">
      <c r="B99" s="7"/>
      <c r="C99" s="123"/>
      <c r="D99" s="123"/>
      <c r="E99" s="123"/>
      <c r="F99" s="8"/>
    </row>
    <row r="100" spans="2:6" ht="15" hidden="1" customHeight="1" x14ac:dyDescent="0.25">
      <c r="B100" s="7"/>
      <c r="C100" s="123"/>
      <c r="D100" s="123"/>
      <c r="E100" s="123"/>
      <c r="F100" s="8"/>
    </row>
    <row r="101" spans="2:6" ht="15" hidden="1" customHeight="1" x14ac:dyDescent="0.25">
      <c r="B101" s="7"/>
      <c r="C101" s="123"/>
      <c r="D101" s="123"/>
      <c r="E101" s="123"/>
      <c r="F101" s="8"/>
    </row>
    <row r="102" spans="2:6" ht="15" hidden="1" customHeight="1" x14ac:dyDescent="0.25">
      <c r="B102" s="7"/>
      <c r="C102" s="123"/>
      <c r="D102" s="123"/>
      <c r="E102" s="123"/>
      <c r="F102" s="8"/>
    </row>
    <row r="103" spans="2:6" ht="15" hidden="1" customHeight="1" x14ac:dyDescent="0.25">
      <c r="B103" s="7"/>
      <c r="C103" s="124" t="s">
        <v>242</v>
      </c>
      <c r="D103" s="124"/>
      <c r="E103" s="124"/>
      <c r="F103" s="8"/>
    </row>
    <row r="104" spans="2:6" ht="15" hidden="1" customHeight="1" x14ac:dyDescent="0.25">
      <c r="B104" s="7"/>
      <c r="C104" s="123"/>
      <c r="D104" s="123"/>
      <c r="E104" s="123"/>
      <c r="F104" s="8"/>
    </row>
    <row r="105" spans="2:6" ht="15" hidden="1" customHeight="1" x14ac:dyDescent="0.25">
      <c r="B105" s="7"/>
      <c r="C105" s="123"/>
      <c r="D105" s="123"/>
      <c r="E105" s="123"/>
      <c r="F105" s="8"/>
    </row>
    <row r="106" spans="2:6" ht="15" hidden="1" customHeight="1" x14ac:dyDescent="0.25">
      <c r="B106" s="7"/>
      <c r="C106" s="123"/>
      <c r="D106" s="123"/>
      <c r="E106" s="123"/>
      <c r="F106" s="8"/>
    </row>
    <row r="107" spans="2:6" ht="15" hidden="1" customHeight="1" x14ac:dyDescent="0.25">
      <c r="B107" s="7"/>
      <c r="C107" s="123"/>
      <c r="D107" s="123"/>
      <c r="E107" s="123"/>
      <c r="F107" s="8"/>
    </row>
    <row r="108" spans="2:6" ht="15" hidden="1" customHeight="1" x14ac:dyDescent="0.25">
      <c r="B108" s="7"/>
      <c r="C108" s="123"/>
      <c r="D108" s="123"/>
      <c r="E108" s="123"/>
      <c r="F108" s="8"/>
    </row>
    <row r="109" spans="2:6" ht="15" hidden="1" customHeight="1" x14ac:dyDescent="0.25">
      <c r="B109" s="7"/>
      <c r="C109" s="123"/>
      <c r="D109" s="123"/>
      <c r="E109" s="123"/>
      <c r="F109" s="8"/>
    </row>
    <row r="110" spans="2:6" ht="15" hidden="1" customHeight="1" x14ac:dyDescent="0.25">
      <c r="B110" s="7"/>
      <c r="C110" s="123" t="s">
        <v>45</v>
      </c>
      <c r="D110" s="123"/>
      <c r="E110" s="123"/>
      <c r="F110" s="8"/>
    </row>
    <row r="111" spans="2:6" ht="15" hidden="1" customHeight="1" x14ac:dyDescent="0.25">
      <c r="B111" s="7"/>
      <c r="C111" s="50"/>
      <c r="D111" s="123"/>
      <c r="E111" s="123"/>
      <c r="F111" s="8"/>
    </row>
    <row r="112" spans="2:6" ht="15" hidden="1" customHeight="1" x14ac:dyDescent="0.25">
      <c r="B112" s="7"/>
      <c r="C112" s="123"/>
      <c r="D112" s="123"/>
      <c r="E112" s="123"/>
      <c r="F112" s="8"/>
    </row>
    <row r="113" spans="2:6" ht="15" hidden="1" customHeight="1" x14ac:dyDescent="0.25">
      <c r="B113" s="7"/>
      <c r="C113" s="124" t="s">
        <v>4350</v>
      </c>
      <c r="D113" s="124"/>
      <c r="E113" s="124"/>
      <c r="F113" s="8"/>
    </row>
    <row r="114" spans="2:6" ht="15" hidden="1" customHeight="1" x14ac:dyDescent="0.25">
      <c r="B114" s="7"/>
      <c r="C114" s="19"/>
      <c r="D114" s="123"/>
      <c r="E114" s="123"/>
      <c r="F114" s="8"/>
    </row>
    <row r="115" spans="2:6" ht="15" hidden="1" customHeight="1" x14ac:dyDescent="0.25">
      <c r="B115" s="7"/>
      <c r="C115" s="123"/>
      <c r="D115" s="123"/>
      <c r="E115" s="123"/>
      <c r="F115" s="8"/>
    </row>
    <row r="116" spans="2:6" ht="15" hidden="1" customHeight="1" x14ac:dyDescent="0.25">
      <c r="B116" s="7"/>
      <c r="C116" s="124" t="s">
        <v>243</v>
      </c>
      <c r="D116" s="124"/>
      <c r="E116" s="124"/>
      <c r="F116" s="8"/>
    </row>
    <row r="117" spans="2:6" ht="15" hidden="1" customHeight="1" x14ac:dyDescent="0.25">
      <c r="B117" s="7"/>
      <c r="C117" s="19"/>
      <c r="D117" s="123"/>
      <c r="E117" s="123"/>
      <c r="F117" s="8"/>
    </row>
    <row r="118" spans="2:6" ht="15" hidden="1" customHeight="1" x14ac:dyDescent="0.25">
      <c r="B118" s="7"/>
      <c r="C118" s="123"/>
      <c r="D118" s="123"/>
      <c r="E118" s="123"/>
      <c r="F118" s="8"/>
    </row>
    <row r="119" spans="2:6" ht="15" hidden="1" customHeight="1" x14ac:dyDescent="0.25">
      <c r="B119" s="7"/>
      <c r="C119" s="124" t="s">
        <v>244</v>
      </c>
      <c r="D119" s="124"/>
      <c r="E119" s="124"/>
      <c r="F119" s="8"/>
    </row>
    <row r="120" spans="2:6" ht="15" hidden="1" customHeight="1" x14ac:dyDescent="0.25">
      <c r="B120" s="7"/>
      <c r="C120" s="19"/>
      <c r="D120" s="123"/>
      <c r="E120" s="123"/>
      <c r="F120" s="8"/>
    </row>
    <row r="121" spans="2:6" ht="15" hidden="1" customHeight="1" x14ac:dyDescent="0.25">
      <c r="B121" s="7"/>
      <c r="C121" s="123"/>
      <c r="D121" s="123"/>
      <c r="E121" s="123"/>
      <c r="F121" s="8"/>
    </row>
    <row r="122" spans="2:6" ht="15" hidden="1" customHeight="1" x14ac:dyDescent="0.25">
      <c r="B122" s="7"/>
      <c r="C122" s="123" t="s">
        <v>4370</v>
      </c>
      <c r="D122" s="123"/>
      <c r="E122" s="123" t="s">
        <v>4371</v>
      </c>
      <c r="F122" s="8"/>
    </row>
    <row r="123" spans="2:6" ht="15" hidden="1" customHeight="1" x14ac:dyDescent="0.25">
      <c r="B123" s="7"/>
      <c r="C123" s="50"/>
      <c r="D123" s="123"/>
      <c r="E123" s="159" t="str">
        <f>IF(I.Product.P3GasToPowerBaselineYear="","",I.Product.P3GasToPowerBaselineYear+1)</f>
        <v/>
      </c>
      <c r="F123" s="8"/>
    </row>
    <row r="124" spans="2:6" ht="15" hidden="1" customHeight="1" x14ac:dyDescent="0.25">
      <c r="B124" s="7"/>
      <c r="C124" s="123"/>
      <c r="D124" s="123"/>
      <c r="E124" s="123"/>
      <c r="F124" s="8"/>
    </row>
    <row r="125" spans="2:6" ht="20.100000000000001" hidden="1" customHeight="1" x14ac:dyDescent="0.25">
      <c r="B125" s="5"/>
      <c r="C125" s="97" t="s">
        <v>53</v>
      </c>
      <c r="D125" s="97"/>
      <c r="E125" s="97"/>
      <c r="F125" s="6"/>
    </row>
    <row r="126" spans="2:6" ht="15" hidden="1" customHeight="1" x14ac:dyDescent="0.25">
      <c r="B126" s="7"/>
      <c r="C126" s="123"/>
      <c r="D126" s="123"/>
      <c r="E126" s="123"/>
      <c r="F126" s="8"/>
    </row>
    <row r="127" spans="2:6" ht="15" hidden="1" customHeight="1" x14ac:dyDescent="0.25">
      <c r="B127" s="7"/>
      <c r="C127" s="124" t="s">
        <v>241</v>
      </c>
      <c r="D127" s="124"/>
      <c r="E127" s="124"/>
      <c r="F127" s="8"/>
    </row>
    <row r="128" spans="2:6" ht="15" hidden="1" customHeight="1" x14ac:dyDescent="0.25">
      <c r="B128" s="7"/>
      <c r="C128" s="123"/>
      <c r="D128" s="123"/>
      <c r="E128" s="123"/>
      <c r="F128" s="8"/>
    </row>
    <row r="129" spans="2:6" ht="15" hidden="1" customHeight="1" x14ac:dyDescent="0.25">
      <c r="B129" s="7"/>
      <c r="C129" s="123"/>
      <c r="D129" s="123"/>
      <c r="E129" s="123"/>
      <c r="F129" s="8"/>
    </row>
    <row r="130" spans="2:6" ht="15" hidden="1" customHeight="1" x14ac:dyDescent="0.25">
      <c r="B130" s="7"/>
      <c r="C130" s="123"/>
      <c r="D130" s="123"/>
      <c r="E130" s="123"/>
      <c r="F130" s="8"/>
    </row>
    <row r="131" spans="2:6" ht="15" hidden="1" customHeight="1" x14ac:dyDescent="0.25">
      <c r="B131" s="7"/>
      <c r="C131" s="123"/>
      <c r="D131" s="123"/>
      <c r="E131" s="123"/>
      <c r="F131" s="8"/>
    </row>
    <row r="132" spans="2:6" ht="15" hidden="1" customHeight="1" x14ac:dyDescent="0.25">
      <c r="B132" s="7"/>
      <c r="C132" s="123"/>
      <c r="D132" s="123"/>
      <c r="E132" s="123"/>
      <c r="F132" s="8"/>
    </row>
    <row r="133" spans="2:6" ht="15" hidden="1" customHeight="1" x14ac:dyDescent="0.25">
      <c r="B133" s="7"/>
      <c r="C133" s="124" t="s">
        <v>242</v>
      </c>
      <c r="D133" s="124"/>
      <c r="E133" s="124"/>
      <c r="F133" s="8"/>
    </row>
    <row r="134" spans="2:6" ht="15" hidden="1" customHeight="1" x14ac:dyDescent="0.25">
      <c r="B134" s="7"/>
      <c r="C134" s="123"/>
      <c r="D134" s="123"/>
      <c r="E134" s="123"/>
      <c r="F134" s="8"/>
    </row>
    <row r="135" spans="2:6" ht="15" hidden="1" customHeight="1" x14ac:dyDescent="0.25">
      <c r="B135" s="7"/>
      <c r="C135" s="123"/>
      <c r="D135" s="123"/>
      <c r="E135" s="123"/>
      <c r="F135" s="8"/>
    </row>
    <row r="136" spans="2:6" ht="15" hidden="1" customHeight="1" x14ac:dyDescent="0.25">
      <c r="B136" s="7"/>
      <c r="C136" s="123"/>
      <c r="D136" s="123"/>
      <c r="E136" s="123"/>
      <c r="F136" s="8"/>
    </row>
    <row r="137" spans="2:6" ht="15" hidden="1" customHeight="1" x14ac:dyDescent="0.25">
      <c r="B137" s="7"/>
      <c r="C137" s="123"/>
      <c r="D137" s="123"/>
      <c r="E137" s="123"/>
      <c r="F137" s="8"/>
    </row>
    <row r="138" spans="2:6" ht="15" hidden="1" customHeight="1" x14ac:dyDescent="0.25">
      <c r="B138" s="7"/>
      <c r="C138" s="123"/>
      <c r="D138" s="123"/>
      <c r="E138" s="123"/>
      <c r="F138" s="8"/>
    </row>
    <row r="139" spans="2:6" ht="15" hidden="1" customHeight="1" x14ac:dyDescent="0.25">
      <c r="B139" s="7"/>
      <c r="C139" s="123"/>
      <c r="D139" s="123"/>
      <c r="E139" s="123"/>
      <c r="F139" s="8"/>
    </row>
    <row r="140" spans="2:6" ht="15" hidden="1" customHeight="1" x14ac:dyDescent="0.25">
      <c r="B140" s="7"/>
      <c r="C140" s="123" t="s">
        <v>45</v>
      </c>
      <c r="D140" s="123"/>
      <c r="E140" s="123"/>
      <c r="F140" s="8"/>
    </row>
    <row r="141" spans="2:6" ht="15" hidden="1" customHeight="1" x14ac:dyDescent="0.25">
      <c r="B141" s="7"/>
      <c r="C141" s="50"/>
      <c r="D141" s="123"/>
      <c r="E141" s="123"/>
      <c r="F141" s="8"/>
    </row>
    <row r="142" spans="2:6" ht="15" hidden="1" customHeight="1" x14ac:dyDescent="0.25">
      <c r="B142" s="7"/>
      <c r="C142" s="123"/>
      <c r="D142" s="123"/>
      <c r="E142" s="123"/>
      <c r="F142" s="8"/>
    </row>
    <row r="143" spans="2:6" ht="15" hidden="1" customHeight="1" x14ac:dyDescent="0.25">
      <c r="B143" s="7"/>
      <c r="C143" s="124" t="s">
        <v>4350</v>
      </c>
      <c r="D143" s="124"/>
      <c r="E143" s="124"/>
      <c r="F143" s="8"/>
    </row>
    <row r="144" spans="2:6" ht="15" hidden="1" customHeight="1" x14ac:dyDescent="0.25">
      <c r="B144" s="7"/>
      <c r="C144" s="19"/>
      <c r="D144" s="123"/>
      <c r="E144" s="123"/>
      <c r="F144" s="8"/>
    </row>
    <row r="145" spans="2:6" ht="15" hidden="1" customHeight="1" x14ac:dyDescent="0.25">
      <c r="B145" s="7"/>
      <c r="C145" s="123"/>
      <c r="D145" s="123"/>
      <c r="E145" s="123"/>
      <c r="F145" s="8"/>
    </row>
    <row r="146" spans="2:6" ht="15" hidden="1" customHeight="1" x14ac:dyDescent="0.25">
      <c r="B146" s="7"/>
      <c r="C146" s="124" t="s">
        <v>243</v>
      </c>
      <c r="D146" s="124"/>
      <c r="E146" s="124"/>
      <c r="F146" s="8"/>
    </row>
    <row r="147" spans="2:6" ht="15" hidden="1" customHeight="1" x14ac:dyDescent="0.25">
      <c r="B147" s="7"/>
      <c r="C147" s="19"/>
      <c r="D147" s="123"/>
      <c r="E147" s="123"/>
      <c r="F147" s="8"/>
    </row>
    <row r="148" spans="2:6" ht="15" hidden="1" customHeight="1" x14ac:dyDescent="0.25">
      <c r="B148" s="7"/>
      <c r="C148" s="123"/>
      <c r="D148" s="123"/>
      <c r="E148" s="123"/>
      <c r="F148" s="8"/>
    </row>
    <row r="149" spans="2:6" ht="15" hidden="1" customHeight="1" x14ac:dyDescent="0.25">
      <c r="B149" s="7"/>
      <c r="C149" s="124" t="s">
        <v>244</v>
      </c>
      <c r="D149" s="124"/>
      <c r="E149" s="124"/>
      <c r="F149" s="8"/>
    </row>
    <row r="150" spans="2:6" ht="15" hidden="1" customHeight="1" x14ac:dyDescent="0.25">
      <c r="B150" s="7"/>
      <c r="C150" s="19"/>
      <c r="D150" s="123"/>
      <c r="E150" s="123"/>
      <c r="F150" s="8"/>
    </row>
    <row r="151" spans="2:6" ht="15" hidden="1" customHeight="1" x14ac:dyDescent="0.25">
      <c r="B151" s="7"/>
      <c r="C151" s="123"/>
      <c r="D151" s="123"/>
      <c r="E151" s="123"/>
      <c r="F151" s="8"/>
    </row>
    <row r="152" spans="2:6" ht="15" hidden="1" customHeight="1" x14ac:dyDescent="0.25">
      <c r="B152" s="7"/>
      <c r="C152" s="123" t="s">
        <v>4370</v>
      </c>
      <c r="D152" s="123"/>
      <c r="E152" s="123" t="s">
        <v>4371</v>
      </c>
      <c r="F152" s="8"/>
    </row>
    <row r="153" spans="2:6" ht="15" hidden="1" customHeight="1" x14ac:dyDescent="0.25">
      <c r="B153" s="7"/>
      <c r="C153" s="50"/>
      <c r="D153" s="123"/>
      <c r="E153" s="159" t="str">
        <f>IF(I.Product.P4GasToPowerBaselineYear="","",I.Product.P4GasToPowerBaselineYear+1)</f>
        <v/>
      </c>
      <c r="F153" s="8"/>
    </row>
    <row r="154" spans="2:6" ht="15" hidden="1" customHeight="1" x14ac:dyDescent="0.25">
      <c r="B154" s="7"/>
      <c r="C154" s="123"/>
      <c r="D154" s="123"/>
      <c r="E154" s="123"/>
      <c r="F154" s="8"/>
    </row>
    <row r="155" spans="2:6" ht="15" customHeight="1" x14ac:dyDescent="0.25">
      <c r="B155" s="7"/>
      <c r="C155" s="138"/>
      <c r="D155" s="123"/>
      <c r="E155" s="123"/>
      <c r="F155" s="8"/>
    </row>
    <row r="156" spans="2:6" ht="15" customHeight="1" x14ac:dyDescent="0.25">
      <c r="B156" s="7"/>
      <c r="C156" s="123"/>
      <c r="D156" s="123"/>
      <c r="E156" s="123"/>
      <c r="F156" s="8"/>
    </row>
    <row r="157" spans="2:6" ht="15" customHeight="1" x14ac:dyDescent="0.25">
      <c r="B157" s="10"/>
      <c r="C157" s="11">
        <f>R.Instructions.VersionNumber</f>
        <v>4.0199999999999996</v>
      </c>
      <c r="D157" s="12"/>
      <c r="E157" s="13">
        <f>R.Instructions.VersionDate</f>
        <v>45411</v>
      </c>
      <c r="F157" s="14"/>
    </row>
    <row r="158" spans="2:6" customFormat="1" ht="15" customHeight="1" x14ac:dyDescent="0.25"/>
    <row r="159" spans="2:6" ht="15" customHeight="1" x14ac:dyDescent="0.25">
      <c r="C159" s="108" t="str">
        <f>IFERROR(VLOOKUP("Incomplete",Developer!H25013:I25042,2,FALSE),"Sheet complete.")</f>
        <v>Sheet complete.</v>
      </c>
      <c r="D159" s="108"/>
      <c r="E159" s="108"/>
    </row>
    <row r="160" spans="2:6" ht="15" customHeight="1" x14ac:dyDescent="0.25">
      <c r="C160" s="108"/>
      <c r="D160" s="108"/>
      <c r="E160" s="108"/>
    </row>
    <row r="161" spans="3:5" ht="15" customHeight="1" x14ac:dyDescent="0.25">
      <c r="C161" s="108"/>
      <c r="D161" s="108"/>
      <c r="E161" s="108"/>
    </row>
  </sheetData>
  <sheetProtection algorithmName="SHA-512" hashValue="8HTR/rQrAjEYmKAXPM3/VbZN5ARyrFKXZhKwL63uNaCS6jz0KOlIedavdBy0C7zZCCc1gXqAvidCeTnFRWEBsg==" saltValue="wODqeu2zOD+UPWCunaUGsg==" spinCount="100000" sheet="1" objects="1" scenarios="1" selectLockedCells="1"/>
  <mergeCells count="32">
    <mergeCell ref="C59:E59"/>
    <mergeCell ref="C83:E83"/>
    <mergeCell ref="C86:E86"/>
    <mergeCell ref="C89:E89"/>
    <mergeCell ref="C113:E113"/>
    <mergeCell ref="C97:E97"/>
    <mergeCell ref="C103:E103"/>
    <mergeCell ref="C4:E4"/>
    <mergeCell ref="C5:E5"/>
    <mergeCell ref="C35:E35"/>
    <mergeCell ref="C65:E65"/>
    <mergeCell ref="C95:E95"/>
    <mergeCell ref="C7:E7"/>
    <mergeCell ref="C13:E13"/>
    <mergeCell ref="C37:E37"/>
    <mergeCell ref="C43:E43"/>
    <mergeCell ref="C67:E67"/>
    <mergeCell ref="C73:E73"/>
    <mergeCell ref="C23:E23"/>
    <mergeCell ref="C26:E26"/>
    <mergeCell ref="C29:E29"/>
    <mergeCell ref="C53:E53"/>
    <mergeCell ref="C56:E56"/>
    <mergeCell ref="C127:E127"/>
    <mergeCell ref="C116:E116"/>
    <mergeCell ref="C119:E119"/>
    <mergeCell ref="C146:E146"/>
    <mergeCell ref="C159:E161"/>
    <mergeCell ref="C143:E143"/>
    <mergeCell ref="C149:E149"/>
    <mergeCell ref="C125:E125"/>
    <mergeCell ref="C133:E133"/>
  </mergeCells>
  <conditionalFormatting sqref="C159">
    <cfRule type="cellIs" dxfId="16" priority="1" stopIfTrue="1" operator="equal">
      <formula>"Sheet complete."</formula>
    </cfRule>
  </conditionalFormatting>
  <dataValidations count="3">
    <dataValidation type="list" allowBlank="1" showInputMessage="1" showErrorMessage="1" sqref="C27 C24 C57 C54 C87 C84 C117 C114 C147 C150 C30 C60 C90 C120 C144" xr:uid="{67E04DD0-6E2A-4957-BB7C-326AB50C9B28}">
      <formula1>"Yes,No"</formula1>
    </dataValidation>
    <dataValidation type="list" allowBlank="1" showInputMessage="1" showErrorMessage="1" sqref="C21 C51 C81 C111 C141" xr:uid="{6AA52CB6-225C-4FE4-80D4-9549C6B183A3}">
      <formula1>"2017,2018,2019,2020,2021,2022,2023,2024,2025,2026,2027,2028,2029,2030"</formula1>
    </dataValidation>
    <dataValidation type="list" allowBlank="1" showInputMessage="1" showErrorMessage="1" sqref="C33 C63 C93 C123 C153" xr:uid="{CAB472D2-F717-43A6-9424-AF6F5464DEA5}">
      <formula1>"2021,2022,2023,2024,2025,2026,2027,2028,2029,2030"</formula1>
    </dataValidation>
  </dataValidations>
  <printOptions horizontalCentered="1"/>
  <pageMargins left="0.25" right="0.25" top="0.25" bottom="0.25" header="0" footer="0"/>
  <pageSetup scale="85"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223" r:id="rId4" name="Check Box P1C1">
              <controlPr defaultSize="0" autoFill="0" autoLine="0" autoPict="0" macro="[0]!CheckBoxSource">
                <anchor moveWithCells="1" sizeWithCells="1">
                  <from>
                    <xdr:col>2</xdr:col>
                    <xdr:colOff>0</xdr:colOff>
                    <xdr:row>7</xdr:row>
                    <xdr:rowOff>0</xdr:rowOff>
                  </from>
                  <to>
                    <xdr:col>2</xdr:col>
                    <xdr:colOff>1781175</xdr:colOff>
                    <xdr:row>8</xdr:row>
                    <xdr:rowOff>0</xdr:rowOff>
                  </to>
                </anchor>
              </controlPr>
            </control>
          </mc:Choice>
        </mc:AlternateContent>
        <mc:AlternateContent xmlns:mc="http://schemas.openxmlformats.org/markup-compatibility/2006">
          <mc:Choice Requires="x14">
            <control shapeId="9224" r:id="rId5" name="Check Box P1C2">
              <controlPr defaultSize="0" autoFill="0" autoLine="0" autoPict="0" macro="[0]!CheckBoxSource">
                <anchor moveWithCells="1" sizeWithCells="1">
                  <from>
                    <xdr:col>2</xdr:col>
                    <xdr:colOff>0</xdr:colOff>
                    <xdr:row>8</xdr:row>
                    <xdr:rowOff>0</xdr:rowOff>
                  </from>
                  <to>
                    <xdr:col>2</xdr:col>
                    <xdr:colOff>1781175</xdr:colOff>
                    <xdr:row>9</xdr:row>
                    <xdr:rowOff>0</xdr:rowOff>
                  </to>
                </anchor>
              </controlPr>
            </control>
          </mc:Choice>
        </mc:AlternateContent>
        <mc:AlternateContent xmlns:mc="http://schemas.openxmlformats.org/markup-compatibility/2006">
          <mc:Choice Requires="x14">
            <control shapeId="9225" r:id="rId6" name="Check Box P1C3">
              <controlPr defaultSize="0" autoFill="0" autoLine="0" autoPict="0" macro="[0]!CheckBoxSource">
                <anchor moveWithCells="1" sizeWithCells="1">
                  <from>
                    <xdr:col>2</xdr:col>
                    <xdr:colOff>0</xdr:colOff>
                    <xdr:row>9</xdr:row>
                    <xdr:rowOff>0</xdr:rowOff>
                  </from>
                  <to>
                    <xdr:col>2</xdr:col>
                    <xdr:colOff>1781175</xdr:colOff>
                    <xdr:row>10</xdr:row>
                    <xdr:rowOff>0</xdr:rowOff>
                  </to>
                </anchor>
              </controlPr>
            </control>
          </mc:Choice>
        </mc:AlternateContent>
        <mc:AlternateContent xmlns:mc="http://schemas.openxmlformats.org/markup-compatibility/2006">
          <mc:Choice Requires="x14">
            <control shapeId="9226" r:id="rId7" name="Check Box P1C4">
              <controlPr defaultSize="0" autoFill="0" autoLine="0" autoPict="0" macro="[0]!CheckBoxSource">
                <anchor moveWithCells="1" sizeWithCells="1">
                  <from>
                    <xdr:col>2</xdr:col>
                    <xdr:colOff>0</xdr:colOff>
                    <xdr:row>10</xdr:row>
                    <xdr:rowOff>0</xdr:rowOff>
                  </from>
                  <to>
                    <xdr:col>2</xdr:col>
                    <xdr:colOff>1781175</xdr:colOff>
                    <xdr:row>11</xdr:row>
                    <xdr:rowOff>0</xdr:rowOff>
                  </to>
                </anchor>
              </controlPr>
            </control>
          </mc:Choice>
        </mc:AlternateContent>
        <mc:AlternateContent xmlns:mc="http://schemas.openxmlformats.org/markup-compatibility/2006">
          <mc:Choice Requires="x14">
            <control shapeId="9227" r:id="rId8" name="Check Box P1V2">
              <controlPr defaultSize="0" autoFill="0" autoLine="0" autoPict="0" macro="[0]!CheckBoxFuel">
                <anchor moveWithCells="1" sizeWithCells="1">
                  <from>
                    <xdr:col>2</xdr:col>
                    <xdr:colOff>0</xdr:colOff>
                    <xdr:row>13</xdr:row>
                    <xdr:rowOff>0</xdr:rowOff>
                  </from>
                  <to>
                    <xdr:col>2</xdr:col>
                    <xdr:colOff>1781175</xdr:colOff>
                    <xdr:row>14</xdr:row>
                    <xdr:rowOff>0</xdr:rowOff>
                  </to>
                </anchor>
              </controlPr>
            </control>
          </mc:Choice>
        </mc:AlternateContent>
        <mc:AlternateContent xmlns:mc="http://schemas.openxmlformats.org/markup-compatibility/2006">
          <mc:Choice Requires="x14">
            <control shapeId="9228" r:id="rId9" name="Check Box P1V3">
              <controlPr defaultSize="0" autoFill="0" autoLine="0" autoPict="0" macro="[0]!CheckBoxFuel">
                <anchor moveWithCells="1" sizeWithCells="1">
                  <from>
                    <xdr:col>2</xdr:col>
                    <xdr:colOff>0</xdr:colOff>
                    <xdr:row>14</xdr:row>
                    <xdr:rowOff>0</xdr:rowOff>
                  </from>
                  <to>
                    <xdr:col>2</xdr:col>
                    <xdr:colOff>1781175</xdr:colOff>
                    <xdr:row>15</xdr:row>
                    <xdr:rowOff>0</xdr:rowOff>
                  </to>
                </anchor>
              </controlPr>
            </control>
          </mc:Choice>
        </mc:AlternateContent>
        <mc:AlternateContent xmlns:mc="http://schemas.openxmlformats.org/markup-compatibility/2006">
          <mc:Choice Requires="x14">
            <control shapeId="9229" r:id="rId10" name="Check Box P1V4">
              <controlPr defaultSize="0" autoFill="0" autoLine="0" autoPict="0" macro="[0]!CheckBoxFuel">
                <anchor moveWithCells="1" sizeWithCells="1">
                  <from>
                    <xdr:col>2</xdr:col>
                    <xdr:colOff>0</xdr:colOff>
                    <xdr:row>15</xdr:row>
                    <xdr:rowOff>0</xdr:rowOff>
                  </from>
                  <to>
                    <xdr:col>2</xdr:col>
                    <xdr:colOff>1781175</xdr:colOff>
                    <xdr:row>16</xdr:row>
                    <xdr:rowOff>0</xdr:rowOff>
                  </to>
                </anchor>
              </controlPr>
            </control>
          </mc:Choice>
        </mc:AlternateContent>
        <mc:AlternateContent xmlns:mc="http://schemas.openxmlformats.org/markup-compatibility/2006">
          <mc:Choice Requires="x14">
            <control shapeId="9230" r:id="rId11" name="Check Box P1V5">
              <controlPr defaultSize="0" autoFill="0" autoLine="0" autoPict="0" macro="[0]!CheckBoxFuel">
                <anchor moveWithCells="1" sizeWithCells="1">
                  <from>
                    <xdr:col>2</xdr:col>
                    <xdr:colOff>0</xdr:colOff>
                    <xdr:row>16</xdr:row>
                    <xdr:rowOff>0</xdr:rowOff>
                  </from>
                  <to>
                    <xdr:col>2</xdr:col>
                    <xdr:colOff>1781175</xdr:colOff>
                    <xdr:row>17</xdr:row>
                    <xdr:rowOff>0</xdr:rowOff>
                  </to>
                </anchor>
              </controlPr>
            </control>
          </mc:Choice>
        </mc:AlternateContent>
        <mc:AlternateContent xmlns:mc="http://schemas.openxmlformats.org/markup-compatibility/2006">
          <mc:Choice Requires="x14">
            <control shapeId="9231" r:id="rId12" name="Check Box P1V6">
              <controlPr defaultSize="0" autoFill="0" autoLine="0" autoPict="0" macro="[0]!CheckBoxFuel">
                <anchor moveWithCells="1" sizeWithCells="1">
                  <from>
                    <xdr:col>2</xdr:col>
                    <xdr:colOff>0</xdr:colOff>
                    <xdr:row>17</xdr:row>
                    <xdr:rowOff>0</xdr:rowOff>
                  </from>
                  <to>
                    <xdr:col>2</xdr:col>
                    <xdr:colOff>1781175</xdr:colOff>
                    <xdr:row>18</xdr:row>
                    <xdr:rowOff>0</xdr:rowOff>
                  </to>
                </anchor>
              </controlPr>
            </control>
          </mc:Choice>
        </mc:AlternateContent>
        <mc:AlternateContent xmlns:mc="http://schemas.openxmlformats.org/markup-compatibility/2006">
          <mc:Choice Requires="x14">
            <control shapeId="9233" r:id="rId13" name="Check Box P2aC1">
              <controlPr defaultSize="0" autoFill="0" autoLine="0" autoPict="0" macro="[0]!CheckBoxSource">
                <anchor moveWithCells="1" sizeWithCells="1">
                  <from>
                    <xdr:col>2</xdr:col>
                    <xdr:colOff>0</xdr:colOff>
                    <xdr:row>37</xdr:row>
                    <xdr:rowOff>0</xdr:rowOff>
                  </from>
                  <to>
                    <xdr:col>2</xdr:col>
                    <xdr:colOff>1781175</xdr:colOff>
                    <xdr:row>38</xdr:row>
                    <xdr:rowOff>0</xdr:rowOff>
                  </to>
                </anchor>
              </controlPr>
            </control>
          </mc:Choice>
        </mc:AlternateContent>
        <mc:AlternateContent xmlns:mc="http://schemas.openxmlformats.org/markup-compatibility/2006">
          <mc:Choice Requires="x14">
            <control shapeId="9234" r:id="rId14" name="Check Box P2aC2">
              <controlPr defaultSize="0" autoFill="0" autoLine="0" autoPict="0" macro="[0]!CheckBoxSource">
                <anchor moveWithCells="1" sizeWithCells="1">
                  <from>
                    <xdr:col>2</xdr:col>
                    <xdr:colOff>0</xdr:colOff>
                    <xdr:row>38</xdr:row>
                    <xdr:rowOff>0</xdr:rowOff>
                  </from>
                  <to>
                    <xdr:col>2</xdr:col>
                    <xdr:colOff>1781175</xdr:colOff>
                    <xdr:row>39</xdr:row>
                    <xdr:rowOff>0</xdr:rowOff>
                  </to>
                </anchor>
              </controlPr>
            </control>
          </mc:Choice>
        </mc:AlternateContent>
        <mc:AlternateContent xmlns:mc="http://schemas.openxmlformats.org/markup-compatibility/2006">
          <mc:Choice Requires="x14">
            <control shapeId="9235" r:id="rId15" name="Check Box P2aC3">
              <controlPr defaultSize="0" autoFill="0" autoLine="0" autoPict="0" macro="[0]!CheckBoxSource">
                <anchor moveWithCells="1" sizeWithCells="1">
                  <from>
                    <xdr:col>2</xdr:col>
                    <xdr:colOff>0</xdr:colOff>
                    <xdr:row>39</xdr:row>
                    <xdr:rowOff>0</xdr:rowOff>
                  </from>
                  <to>
                    <xdr:col>2</xdr:col>
                    <xdr:colOff>1781175</xdr:colOff>
                    <xdr:row>40</xdr:row>
                    <xdr:rowOff>0</xdr:rowOff>
                  </to>
                </anchor>
              </controlPr>
            </control>
          </mc:Choice>
        </mc:AlternateContent>
        <mc:AlternateContent xmlns:mc="http://schemas.openxmlformats.org/markup-compatibility/2006">
          <mc:Choice Requires="x14">
            <control shapeId="9236" r:id="rId16" name="Check Box P2aC4">
              <controlPr defaultSize="0" autoFill="0" autoLine="0" autoPict="0" macro="[0]!CheckBoxSource">
                <anchor moveWithCells="1" sizeWithCells="1">
                  <from>
                    <xdr:col>2</xdr:col>
                    <xdr:colOff>0</xdr:colOff>
                    <xdr:row>40</xdr:row>
                    <xdr:rowOff>0</xdr:rowOff>
                  </from>
                  <to>
                    <xdr:col>2</xdr:col>
                    <xdr:colOff>1781175</xdr:colOff>
                    <xdr:row>41</xdr:row>
                    <xdr:rowOff>0</xdr:rowOff>
                  </to>
                </anchor>
              </controlPr>
            </control>
          </mc:Choice>
        </mc:AlternateContent>
        <mc:AlternateContent xmlns:mc="http://schemas.openxmlformats.org/markup-compatibility/2006">
          <mc:Choice Requires="x14">
            <control shapeId="9237" r:id="rId17" name="Check Box P2aV2">
              <controlPr defaultSize="0" autoFill="0" autoLine="0" autoPict="0" macro="[0]!CheckBoxFuel">
                <anchor moveWithCells="1" sizeWithCells="1">
                  <from>
                    <xdr:col>2</xdr:col>
                    <xdr:colOff>0</xdr:colOff>
                    <xdr:row>43</xdr:row>
                    <xdr:rowOff>0</xdr:rowOff>
                  </from>
                  <to>
                    <xdr:col>2</xdr:col>
                    <xdr:colOff>1781175</xdr:colOff>
                    <xdr:row>44</xdr:row>
                    <xdr:rowOff>0</xdr:rowOff>
                  </to>
                </anchor>
              </controlPr>
            </control>
          </mc:Choice>
        </mc:AlternateContent>
        <mc:AlternateContent xmlns:mc="http://schemas.openxmlformats.org/markup-compatibility/2006">
          <mc:Choice Requires="x14">
            <control shapeId="9238" r:id="rId18" name="Check Box P2aV3">
              <controlPr defaultSize="0" autoFill="0" autoLine="0" autoPict="0" macro="[0]!CheckBoxFuel">
                <anchor moveWithCells="1" sizeWithCells="1">
                  <from>
                    <xdr:col>2</xdr:col>
                    <xdr:colOff>0</xdr:colOff>
                    <xdr:row>44</xdr:row>
                    <xdr:rowOff>0</xdr:rowOff>
                  </from>
                  <to>
                    <xdr:col>2</xdr:col>
                    <xdr:colOff>1781175</xdr:colOff>
                    <xdr:row>45</xdr:row>
                    <xdr:rowOff>0</xdr:rowOff>
                  </to>
                </anchor>
              </controlPr>
            </control>
          </mc:Choice>
        </mc:AlternateContent>
        <mc:AlternateContent xmlns:mc="http://schemas.openxmlformats.org/markup-compatibility/2006">
          <mc:Choice Requires="x14">
            <control shapeId="9239" r:id="rId19" name="Check Box P2aV4">
              <controlPr defaultSize="0" autoFill="0" autoLine="0" autoPict="0" macro="[0]!CheckBoxFuel">
                <anchor moveWithCells="1" sizeWithCells="1">
                  <from>
                    <xdr:col>2</xdr:col>
                    <xdr:colOff>0</xdr:colOff>
                    <xdr:row>45</xdr:row>
                    <xdr:rowOff>0</xdr:rowOff>
                  </from>
                  <to>
                    <xdr:col>2</xdr:col>
                    <xdr:colOff>1781175</xdr:colOff>
                    <xdr:row>46</xdr:row>
                    <xdr:rowOff>0</xdr:rowOff>
                  </to>
                </anchor>
              </controlPr>
            </control>
          </mc:Choice>
        </mc:AlternateContent>
        <mc:AlternateContent xmlns:mc="http://schemas.openxmlformats.org/markup-compatibility/2006">
          <mc:Choice Requires="x14">
            <control shapeId="9240" r:id="rId20" name="Check Box P2aV5">
              <controlPr defaultSize="0" autoFill="0" autoLine="0" autoPict="0" macro="[0]!CheckBoxFuel">
                <anchor moveWithCells="1" sizeWithCells="1">
                  <from>
                    <xdr:col>2</xdr:col>
                    <xdr:colOff>0</xdr:colOff>
                    <xdr:row>46</xdr:row>
                    <xdr:rowOff>0</xdr:rowOff>
                  </from>
                  <to>
                    <xdr:col>2</xdr:col>
                    <xdr:colOff>1781175</xdr:colOff>
                    <xdr:row>47</xdr:row>
                    <xdr:rowOff>0</xdr:rowOff>
                  </to>
                </anchor>
              </controlPr>
            </control>
          </mc:Choice>
        </mc:AlternateContent>
        <mc:AlternateContent xmlns:mc="http://schemas.openxmlformats.org/markup-compatibility/2006">
          <mc:Choice Requires="x14">
            <control shapeId="9241" r:id="rId21" name="Check Box P2aV6">
              <controlPr defaultSize="0" autoFill="0" autoLine="0" autoPict="0" macro="[0]!CheckBoxFuel">
                <anchor moveWithCells="1" sizeWithCells="1">
                  <from>
                    <xdr:col>2</xdr:col>
                    <xdr:colOff>0</xdr:colOff>
                    <xdr:row>47</xdr:row>
                    <xdr:rowOff>0</xdr:rowOff>
                  </from>
                  <to>
                    <xdr:col>2</xdr:col>
                    <xdr:colOff>1781175</xdr:colOff>
                    <xdr:row>48</xdr:row>
                    <xdr:rowOff>0</xdr:rowOff>
                  </to>
                </anchor>
              </controlPr>
            </control>
          </mc:Choice>
        </mc:AlternateContent>
        <mc:AlternateContent xmlns:mc="http://schemas.openxmlformats.org/markup-compatibility/2006">
          <mc:Choice Requires="x14">
            <control shapeId="9242" r:id="rId22" name="Check Box P2bC1">
              <controlPr defaultSize="0" autoFill="0" autoLine="0" autoPict="0" macro="[0]!CheckBoxSource">
                <anchor moveWithCells="1" sizeWithCells="1">
                  <from>
                    <xdr:col>2</xdr:col>
                    <xdr:colOff>0</xdr:colOff>
                    <xdr:row>67</xdr:row>
                    <xdr:rowOff>0</xdr:rowOff>
                  </from>
                  <to>
                    <xdr:col>2</xdr:col>
                    <xdr:colOff>1781175</xdr:colOff>
                    <xdr:row>68</xdr:row>
                    <xdr:rowOff>0</xdr:rowOff>
                  </to>
                </anchor>
              </controlPr>
            </control>
          </mc:Choice>
        </mc:AlternateContent>
        <mc:AlternateContent xmlns:mc="http://schemas.openxmlformats.org/markup-compatibility/2006">
          <mc:Choice Requires="x14">
            <control shapeId="9243" r:id="rId23" name="Check Box P2bC2">
              <controlPr defaultSize="0" autoFill="0" autoLine="0" autoPict="0" macro="[0]!CheckBoxSource">
                <anchor moveWithCells="1" sizeWithCells="1">
                  <from>
                    <xdr:col>2</xdr:col>
                    <xdr:colOff>0</xdr:colOff>
                    <xdr:row>68</xdr:row>
                    <xdr:rowOff>0</xdr:rowOff>
                  </from>
                  <to>
                    <xdr:col>2</xdr:col>
                    <xdr:colOff>1781175</xdr:colOff>
                    <xdr:row>69</xdr:row>
                    <xdr:rowOff>0</xdr:rowOff>
                  </to>
                </anchor>
              </controlPr>
            </control>
          </mc:Choice>
        </mc:AlternateContent>
        <mc:AlternateContent xmlns:mc="http://schemas.openxmlformats.org/markup-compatibility/2006">
          <mc:Choice Requires="x14">
            <control shapeId="9244" r:id="rId24" name="Check Box P2bC3">
              <controlPr defaultSize="0" autoFill="0" autoLine="0" autoPict="0" macro="[0]!CheckBoxSource">
                <anchor moveWithCells="1" sizeWithCells="1">
                  <from>
                    <xdr:col>2</xdr:col>
                    <xdr:colOff>0</xdr:colOff>
                    <xdr:row>69</xdr:row>
                    <xdr:rowOff>0</xdr:rowOff>
                  </from>
                  <to>
                    <xdr:col>2</xdr:col>
                    <xdr:colOff>1781175</xdr:colOff>
                    <xdr:row>70</xdr:row>
                    <xdr:rowOff>0</xdr:rowOff>
                  </to>
                </anchor>
              </controlPr>
            </control>
          </mc:Choice>
        </mc:AlternateContent>
        <mc:AlternateContent xmlns:mc="http://schemas.openxmlformats.org/markup-compatibility/2006">
          <mc:Choice Requires="x14">
            <control shapeId="9245" r:id="rId25" name="Check Box P2bC4">
              <controlPr defaultSize="0" autoFill="0" autoLine="0" autoPict="0" macro="[0]!CheckBoxSource">
                <anchor moveWithCells="1" sizeWithCells="1">
                  <from>
                    <xdr:col>2</xdr:col>
                    <xdr:colOff>0</xdr:colOff>
                    <xdr:row>70</xdr:row>
                    <xdr:rowOff>0</xdr:rowOff>
                  </from>
                  <to>
                    <xdr:col>2</xdr:col>
                    <xdr:colOff>1781175</xdr:colOff>
                    <xdr:row>71</xdr:row>
                    <xdr:rowOff>0</xdr:rowOff>
                  </to>
                </anchor>
              </controlPr>
            </control>
          </mc:Choice>
        </mc:AlternateContent>
        <mc:AlternateContent xmlns:mc="http://schemas.openxmlformats.org/markup-compatibility/2006">
          <mc:Choice Requires="x14">
            <control shapeId="9246" r:id="rId26" name="Check Box P2bV2">
              <controlPr defaultSize="0" autoFill="0" autoLine="0" autoPict="0" macro="[0]!CheckBoxFuel">
                <anchor moveWithCells="1" sizeWithCells="1">
                  <from>
                    <xdr:col>2</xdr:col>
                    <xdr:colOff>0</xdr:colOff>
                    <xdr:row>73</xdr:row>
                    <xdr:rowOff>0</xdr:rowOff>
                  </from>
                  <to>
                    <xdr:col>2</xdr:col>
                    <xdr:colOff>1781175</xdr:colOff>
                    <xdr:row>74</xdr:row>
                    <xdr:rowOff>0</xdr:rowOff>
                  </to>
                </anchor>
              </controlPr>
            </control>
          </mc:Choice>
        </mc:AlternateContent>
        <mc:AlternateContent xmlns:mc="http://schemas.openxmlformats.org/markup-compatibility/2006">
          <mc:Choice Requires="x14">
            <control shapeId="9247" r:id="rId27" name="Check Box P2bV3">
              <controlPr defaultSize="0" autoFill="0" autoLine="0" autoPict="0" macro="[0]!CheckBoxFuel">
                <anchor moveWithCells="1" sizeWithCells="1">
                  <from>
                    <xdr:col>2</xdr:col>
                    <xdr:colOff>0</xdr:colOff>
                    <xdr:row>74</xdr:row>
                    <xdr:rowOff>0</xdr:rowOff>
                  </from>
                  <to>
                    <xdr:col>2</xdr:col>
                    <xdr:colOff>1781175</xdr:colOff>
                    <xdr:row>75</xdr:row>
                    <xdr:rowOff>0</xdr:rowOff>
                  </to>
                </anchor>
              </controlPr>
            </control>
          </mc:Choice>
        </mc:AlternateContent>
        <mc:AlternateContent xmlns:mc="http://schemas.openxmlformats.org/markup-compatibility/2006">
          <mc:Choice Requires="x14">
            <control shapeId="9248" r:id="rId28" name="Check Box P2bV4">
              <controlPr defaultSize="0" autoFill="0" autoLine="0" autoPict="0" macro="[0]!CheckBoxFuel">
                <anchor moveWithCells="1" sizeWithCells="1">
                  <from>
                    <xdr:col>2</xdr:col>
                    <xdr:colOff>0</xdr:colOff>
                    <xdr:row>75</xdr:row>
                    <xdr:rowOff>0</xdr:rowOff>
                  </from>
                  <to>
                    <xdr:col>2</xdr:col>
                    <xdr:colOff>1781175</xdr:colOff>
                    <xdr:row>76</xdr:row>
                    <xdr:rowOff>0</xdr:rowOff>
                  </to>
                </anchor>
              </controlPr>
            </control>
          </mc:Choice>
        </mc:AlternateContent>
        <mc:AlternateContent xmlns:mc="http://schemas.openxmlformats.org/markup-compatibility/2006">
          <mc:Choice Requires="x14">
            <control shapeId="9249" r:id="rId29" name="Check Box P2bV5">
              <controlPr defaultSize="0" autoFill="0" autoLine="0" autoPict="0" macro="[0]!CheckBoxFuel">
                <anchor moveWithCells="1" sizeWithCells="1">
                  <from>
                    <xdr:col>2</xdr:col>
                    <xdr:colOff>0</xdr:colOff>
                    <xdr:row>76</xdr:row>
                    <xdr:rowOff>0</xdr:rowOff>
                  </from>
                  <to>
                    <xdr:col>2</xdr:col>
                    <xdr:colOff>1781175</xdr:colOff>
                    <xdr:row>77</xdr:row>
                    <xdr:rowOff>0</xdr:rowOff>
                  </to>
                </anchor>
              </controlPr>
            </control>
          </mc:Choice>
        </mc:AlternateContent>
        <mc:AlternateContent xmlns:mc="http://schemas.openxmlformats.org/markup-compatibility/2006">
          <mc:Choice Requires="x14">
            <control shapeId="9250" r:id="rId30" name="Check Box P2bV6">
              <controlPr defaultSize="0" autoFill="0" autoLine="0" autoPict="0" macro="[0]!CheckBoxFuel">
                <anchor moveWithCells="1" sizeWithCells="1">
                  <from>
                    <xdr:col>2</xdr:col>
                    <xdr:colOff>0</xdr:colOff>
                    <xdr:row>77</xdr:row>
                    <xdr:rowOff>0</xdr:rowOff>
                  </from>
                  <to>
                    <xdr:col>2</xdr:col>
                    <xdr:colOff>1781175</xdr:colOff>
                    <xdr:row>78</xdr:row>
                    <xdr:rowOff>0</xdr:rowOff>
                  </to>
                </anchor>
              </controlPr>
            </control>
          </mc:Choice>
        </mc:AlternateContent>
        <mc:AlternateContent xmlns:mc="http://schemas.openxmlformats.org/markup-compatibility/2006">
          <mc:Choice Requires="x14">
            <control shapeId="9251" r:id="rId31" name="Check Box P3C1">
              <controlPr defaultSize="0" autoFill="0" autoLine="0" autoPict="0" macro="[0]!CheckBoxSource">
                <anchor moveWithCells="1" sizeWithCells="1">
                  <from>
                    <xdr:col>2</xdr:col>
                    <xdr:colOff>0</xdr:colOff>
                    <xdr:row>97</xdr:row>
                    <xdr:rowOff>0</xdr:rowOff>
                  </from>
                  <to>
                    <xdr:col>2</xdr:col>
                    <xdr:colOff>1781175</xdr:colOff>
                    <xdr:row>98</xdr:row>
                    <xdr:rowOff>0</xdr:rowOff>
                  </to>
                </anchor>
              </controlPr>
            </control>
          </mc:Choice>
        </mc:AlternateContent>
        <mc:AlternateContent xmlns:mc="http://schemas.openxmlformats.org/markup-compatibility/2006">
          <mc:Choice Requires="x14">
            <control shapeId="9252" r:id="rId32" name="Check Box P3C2">
              <controlPr defaultSize="0" autoFill="0" autoLine="0" autoPict="0" macro="[0]!CheckBoxSource">
                <anchor moveWithCells="1" sizeWithCells="1">
                  <from>
                    <xdr:col>2</xdr:col>
                    <xdr:colOff>0</xdr:colOff>
                    <xdr:row>98</xdr:row>
                    <xdr:rowOff>0</xdr:rowOff>
                  </from>
                  <to>
                    <xdr:col>2</xdr:col>
                    <xdr:colOff>1781175</xdr:colOff>
                    <xdr:row>99</xdr:row>
                    <xdr:rowOff>0</xdr:rowOff>
                  </to>
                </anchor>
              </controlPr>
            </control>
          </mc:Choice>
        </mc:AlternateContent>
        <mc:AlternateContent xmlns:mc="http://schemas.openxmlformats.org/markup-compatibility/2006">
          <mc:Choice Requires="x14">
            <control shapeId="9253" r:id="rId33" name="Check Box P3C3">
              <controlPr defaultSize="0" autoFill="0" autoLine="0" autoPict="0" macro="[0]!CheckBoxSource">
                <anchor moveWithCells="1" sizeWithCells="1">
                  <from>
                    <xdr:col>2</xdr:col>
                    <xdr:colOff>0</xdr:colOff>
                    <xdr:row>99</xdr:row>
                    <xdr:rowOff>0</xdr:rowOff>
                  </from>
                  <to>
                    <xdr:col>2</xdr:col>
                    <xdr:colOff>1781175</xdr:colOff>
                    <xdr:row>100</xdr:row>
                    <xdr:rowOff>0</xdr:rowOff>
                  </to>
                </anchor>
              </controlPr>
            </control>
          </mc:Choice>
        </mc:AlternateContent>
        <mc:AlternateContent xmlns:mc="http://schemas.openxmlformats.org/markup-compatibility/2006">
          <mc:Choice Requires="x14">
            <control shapeId="9254" r:id="rId34" name="Check Box P3C4">
              <controlPr defaultSize="0" autoFill="0" autoLine="0" autoPict="0" macro="[0]!CheckBoxSource">
                <anchor moveWithCells="1" sizeWithCells="1">
                  <from>
                    <xdr:col>2</xdr:col>
                    <xdr:colOff>0</xdr:colOff>
                    <xdr:row>100</xdr:row>
                    <xdr:rowOff>0</xdr:rowOff>
                  </from>
                  <to>
                    <xdr:col>2</xdr:col>
                    <xdr:colOff>1781175</xdr:colOff>
                    <xdr:row>101</xdr:row>
                    <xdr:rowOff>0</xdr:rowOff>
                  </to>
                </anchor>
              </controlPr>
            </control>
          </mc:Choice>
        </mc:AlternateContent>
        <mc:AlternateContent xmlns:mc="http://schemas.openxmlformats.org/markup-compatibility/2006">
          <mc:Choice Requires="x14">
            <control shapeId="9255" r:id="rId35" name="Check Box P3V2">
              <controlPr defaultSize="0" autoFill="0" autoLine="0" autoPict="0" macro="[0]!CheckBoxFuel">
                <anchor moveWithCells="1" sizeWithCells="1">
                  <from>
                    <xdr:col>2</xdr:col>
                    <xdr:colOff>0</xdr:colOff>
                    <xdr:row>103</xdr:row>
                    <xdr:rowOff>0</xdr:rowOff>
                  </from>
                  <to>
                    <xdr:col>2</xdr:col>
                    <xdr:colOff>1781175</xdr:colOff>
                    <xdr:row>104</xdr:row>
                    <xdr:rowOff>0</xdr:rowOff>
                  </to>
                </anchor>
              </controlPr>
            </control>
          </mc:Choice>
        </mc:AlternateContent>
        <mc:AlternateContent xmlns:mc="http://schemas.openxmlformats.org/markup-compatibility/2006">
          <mc:Choice Requires="x14">
            <control shapeId="9256" r:id="rId36" name="Check Box P3V3">
              <controlPr defaultSize="0" autoFill="0" autoLine="0" autoPict="0" macro="[0]!CheckBoxFuel">
                <anchor moveWithCells="1" sizeWithCells="1">
                  <from>
                    <xdr:col>2</xdr:col>
                    <xdr:colOff>0</xdr:colOff>
                    <xdr:row>104</xdr:row>
                    <xdr:rowOff>0</xdr:rowOff>
                  </from>
                  <to>
                    <xdr:col>2</xdr:col>
                    <xdr:colOff>1781175</xdr:colOff>
                    <xdr:row>105</xdr:row>
                    <xdr:rowOff>0</xdr:rowOff>
                  </to>
                </anchor>
              </controlPr>
            </control>
          </mc:Choice>
        </mc:AlternateContent>
        <mc:AlternateContent xmlns:mc="http://schemas.openxmlformats.org/markup-compatibility/2006">
          <mc:Choice Requires="x14">
            <control shapeId="9257" r:id="rId37" name="Check Box P3V4">
              <controlPr defaultSize="0" autoFill="0" autoLine="0" autoPict="0" macro="[0]!CheckBoxFuel">
                <anchor moveWithCells="1" sizeWithCells="1">
                  <from>
                    <xdr:col>2</xdr:col>
                    <xdr:colOff>0</xdr:colOff>
                    <xdr:row>105</xdr:row>
                    <xdr:rowOff>0</xdr:rowOff>
                  </from>
                  <to>
                    <xdr:col>2</xdr:col>
                    <xdr:colOff>1781175</xdr:colOff>
                    <xdr:row>106</xdr:row>
                    <xdr:rowOff>0</xdr:rowOff>
                  </to>
                </anchor>
              </controlPr>
            </control>
          </mc:Choice>
        </mc:AlternateContent>
        <mc:AlternateContent xmlns:mc="http://schemas.openxmlformats.org/markup-compatibility/2006">
          <mc:Choice Requires="x14">
            <control shapeId="9258" r:id="rId38" name="Check Box P3V5">
              <controlPr defaultSize="0" autoFill="0" autoLine="0" autoPict="0" macro="[0]!CheckBoxFuel">
                <anchor moveWithCells="1" sizeWithCells="1">
                  <from>
                    <xdr:col>2</xdr:col>
                    <xdr:colOff>0</xdr:colOff>
                    <xdr:row>106</xdr:row>
                    <xdr:rowOff>0</xdr:rowOff>
                  </from>
                  <to>
                    <xdr:col>2</xdr:col>
                    <xdr:colOff>1781175</xdr:colOff>
                    <xdr:row>107</xdr:row>
                    <xdr:rowOff>0</xdr:rowOff>
                  </to>
                </anchor>
              </controlPr>
            </control>
          </mc:Choice>
        </mc:AlternateContent>
        <mc:AlternateContent xmlns:mc="http://schemas.openxmlformats.org/markup-compatibility/2006">
          <mc:Choice Requires="x14">
            <control shapeId="9259" r:id="rId39" name="Check Box P3V6">
              <controlPr defaultSize="0" autoFill="0" autoLine="0" autoPict="0" macro="[0]!CheckBoxFuel">
                <anchor moveWithCells="1" sizeWithCells="1">
                  <from>
                    <xdr:col>2</xdr:col>
                    <xdr:colOff>0</xdr:colOff>
                    <xdr:row>107</xdr:row>
                    <xdr:rowOff>0</xdr:rowOff>
                  </from>
                  <to>
                    <xdr:col>2</xdr:col>
                    <xdr:colOff>1781175</xdr:colOff>
                    <xdr:row>108</xdr:row>
                    <xdr:rowOff>0</xdr:rowOff>
                  </to>
                </anchor>
              </controlPr>
            </control>
          </mc:Choice>
        </mc:AlternateContent>
        <mc:AlternateContent xmlns:mc="http://schemas.openxmlformats.org/markup-compatibility/2006">
          <mc:Choice Requires="x14">
            <control shapeId="9260" r:id="rId40" name="Check Box P4C1">
              <controlPr defaultSize="0" autoFill="0" autoLine="0" autoPict="0" macro="[0]!CheckBoxSource">
                <anchor moveWithCells="1" sizeWithCells="1">
                  <from>
                    <xdr:col>2</xdr:col>
                    <xdr:colOff>0</xdr:colOff>
                    <xdr:row>127</xdr:row>
                    <xdr:rowOff>0</xdr:rowOff>
                  </from>
                  <to>
                    <xdr:col>2</xdr:col>
                    <xdr:colOff>1781175</xdr:colOff>
                    <xdr:row>128</xdr:row>
                    <xdr:rowOff>0</xdr:rowOff>
                  </to>
                </anchor>
              </controlPr>
            </control>
          </mc:Choice>
        </mc:AlternateContent>
        <mc:AlternateContent xmlns:mc="http://schemas.openxmlformats.org/markup-compatibility/2006">
          <mc:Choice Requires="x14">
            <control shapeId="9261" r:id="rId41" name="Check Box P4C2">
              <controlPr defaultSize="0" autoFill="0" autoLine="0" autoPict="0" macro="[0]!CheckBoxSource">
                <anchor moveWithCells="1" sizeWithCells="1">
                  <from>
                    <xdr:col>2</xdr:col>
                    <xdr:colOff>0</xdr:colOff>
                    <xdr:row>128</xdr:row>
                    <xdr:rowOff>0</xdr:rowOff>
                  </from>
                  <to>
                    <xdr:col>2</xdr:col>
                    <xdr:colOff>1781175</xdr:colOff>
                    <xdr:row>129</xdr:row>
                    <xdr:rowOff>0</xdr:rowOff>
                  </to>
                </anchor>
              </controlPr>
            </control>
          </mc:Choice>
        </mc:AlternateContent>
        <mc:AlternateContent xmlns:mc="http://schemas.openxmlformats.org/markup-compatibility/2006">
          <mc:Choice Requires="x14">
            <control shapeId="9262" r:id="rId42" name="Check Box P4C3">
              <controlPr defaultSize="0" autoFill="0" autoLine="0" autoPict="0" macro="[0]!CheckBoxSource">
                <anchor moveWithCells="1" sizeWithCells="1">
                  <from>
                    <xdr:col>2</xdr:col>
                    <xdr:colOff>0</xdr:colOff>
                    <xdr:row>129</xdr:row>
                    <xdr:rowOff>0</xdr:rowOff>
                  </from>
                  <to>
                    <xdr:col>2</xdr:col>
                    <xdr:colOff>1781175</xdr:colOff>
                    <xdr:row>130</xdr:row>
                    <xdr:rowOff>0</xdr:rowOff>
                  </to>
                </anchor>
              </controlPr>
            </control>
          </mc:Choice>
        </mc:AlternateContent>
        <mc:AlternateContent xmlns:mc="http://schemas.openxmlformats.org/markup-compatibility/2006">
          <mc:Choice Requires="x14">
            <control shapeId="9263" r:id="rId43" name="Check Box P4C4">
              <controlPr defaultSize="0" autoFill="0" autoLine="0" autoPict="0" macro="[0]!CheckBoxSource">
                <anchor moveWithCells="1" sizeWithCells="1">
                  <from>
                    <xdr:col>2</xdr:col>
                    <xdr:colOff>0</xdr:colOff>
                    <xdr:row>130</xdr:row>
                    <xdr:rowOff>0</xdr:rowOff>
                  </from>
                  <to>
                    <xdr:col>2</xdr:col>
                    <xdr:colOff>1781175</xdr:colOff>
                    <xdr:row>131</xdr:row>
                    <xdr:rowOff>0</xdr:rowOff>
                  </to>
                </anchor>
              </controlPr>
            </control>
          </mc:Choice>
        </mc:AlternateContent>
        <mc:AlternateContent xmlns:mc="http://schemas.openxmlformats.org/markup-compatibility/2006">
          <mc:Choice Requires="x14">
            <control shapeId="9264" r:id="rId44" name="Check Box P4V2">
              <controlPr defaultSize="0" autoFill="0" autoLine="0" autoPict="0" macro="[0]!CheckBoxFuel">
                <anchor moveWithCells="1" sizeWithCells="1">
                  <from>
                    <xdr:col>2</xdr:col>
                    <xdr:colOff>0</xdr:colOff>
                    <xdr:row>133</xdr:row>
                    <xdr:rowOff>0</xdr:rowOff>
                  </from>
                  <to>
                    <xdr:col>2</xdr:col>
                    <xdr:colOff>1781175</xdr:colOff>
                    <xdr:row>134</xdr:row>
                    <xdr:rowOff>0</xdr:rowOff>
                  </to>
                </anchor>
              </controlPr>
            </control>
          </mc:Choice>
        </mc:AlternateContent>
        <mc:AlternateContent xmlns:mc="http://schemas.openxmlformats.org/markup-compatibility/2006">
          <mc:Choice Requires="x14">
            <control shapeId="9265" r:id="rId45" name="Check Box P4V3">
              <controlPr defaultSize="0" autoFill="0" autoLine="0" autoPict="0" macro="[0]!CheckBoxFuel">
                <anchor moveWithCells="1" sizeWithCells="1">
                  <from>
                    <xdr:col>2</xdr:col>
                    <xdr:colOff>0</xdr:colOff>
                    <xdr:row>134</xdr:row>
                    <xdr:rowOff>0</xdr:rowOff>
                  </from>
                  <to>
                    <xdr:col>2</xdr:col>
                    <xdr:colOff>1781175</xdr:colOff>
                    <xdr:row>135</xdr:row>
                    <xdr:rowOff>0</xdr:rowOff>
                  </to>
                </anchor>
              </controlPr>
            </control>
          </mc:Choice>
        </mc:AlternateContent>
        <mc:AlternateContent xmlns:mc="http://schemas.openxmlformats.org/markup-compatibility/2006">
          <mc:Choice Requires="x14">
            <control shapeId="9266" r:id="rId46" name="Check Box P4V4">
              <controlPr defaultSize="0" autoFill="0" autoLine="0" autoPict="0" macro="[0]!CheckBoxFuel">
                <anchor moveWithCells="1" sizeWithCells="1">
                  <from>
                    <xdr:col>2</xdr:col>
                    <xdr:colOff>0</xdr:colOff>
                    <xdr:row>135</xdr:row>
                    <xdr:rowOff>0</xdr:rowOff>
                  </from>
                  <to>
                    <xdr:col>2</xdr:col>
                    <xdr:colOff>1781175</xdr:colOff>
                    <xdr:row>136</xdr:row>
                    <xdr:rowOff>0</xdr:rowOff>
                  </to>
                </anchor>
              </controlPr>
            </control>
          </mc:Choice>
        </mc:AlternateContent>
        <mc:AlternateContent xmlns:mc="http://schemas.openxmlformats.org/markup-compatibility/2006">
          <mc:Choice Requires="x14">
            <control shapeId="9267" r:id="rId47" name="Check Box P4V5">
              <controlPr defaultSize="0" autoFill="0" autoLine="0" autoPict="0" macro="[0]!CheckBoxFuel">
                <anchor moveWithCells="1" sizeWithCells="1">
                  <from>
                    <xdr:col>2</xdr:col>
                    <xdr:colOff>0</xdr:colOff>
                    <xdr:row>136</xdr:row>
                    <xdr:rowOff>0</xdr:rowOff>
                  </from>
                  <to>
                    <xdr:col>2</xdr:col>
                    <xdr:colOff>1781175</xdr:colOff>
                    <xdr:row>137</xdr:row>
                    <xdr:rowOff>0</xdr:rowOff>
                  </to>
                </anchor>
              </controlPr>
            </control>
          </mc:Choice>
        </mc:AlternateContent>
        <mc:AlternateContent xmlns:mc="http://schemas.openxmlformats.org/markup-compatibility/2006">
          <mc:Choice Requires="x14">
            <control shapeId="9268" r:id="rId48" name="Check Box P4V6">
              <controlPr defaultSize="0" autoFill="0" autoLine="0" autoPict="0" macro="[0]!CheckBoxFuel">
                <anchor moveWithCells="1" sizeWithCells="1">
                  <from>
                    <xdr:col>2</xdr:col>
                    <xdr:colOff>0</xdr:colOff>
                    <xdr:row>137</xdr:row>
                    <xdr:rowOff>0</xdr:rowOff>
                  </from>
                  <to>
                    <xdr:col>2</xdr:col>
                    <xdr:colOff>1781175</xdr:colOff>
                    <xdr:row>138</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154D41-9B36-4CD2-9890-0A6950E3A269}">
  <sheetPr codeName="Sheet4">
    <tabColor rgb="FF046A38"/>
    <pageSetUpPr fitToPage="1"/>
  </sheetPr>
  <dimension ref="A1:F301"/>
  <sheetViews>
    <sheetView showGridLines="0" showRowColHeaders="0" zoomScaleNormal="100" workbookViewId="0">
      <selection activeCell="D9" sqref="D9"/>
    </sheetView>
  </sheetViews>
  <sheetFormatPr defaultColWidth="8.7109375" defaultRowHeight="15" customHeight="1" x14ac:dyDescent="0.25"/>
  <cols>
    <col min="1" max="1" width="5.7109375" customWidth="1"/>
    <col min="2" max="2" width="5.7109375" style="122" customWidth="1"/>
    <col min="3" max="5" width="35.7109375" style="122" customWidth="1"/>
    <col min="6" max="6" width="5.7109375" style="122" customWidth="1"/>
    <col min="7" max="16384" width="8.7109375" style="122"/>
  </cols>
  <sheetData>
    <row r="1" spans="2:6" customFormat="1" ht="24.95" customHeight="1" x14ac:dyDescent="0.25"/>
    <row r="2" spans="2:6" customFormat="1" ht="24.95" customHeight="1" x14ac:dyDescent="0.25"/>
    <row r="3" spans="2:6" customFormat="1" ht="24.95" customHeight="1" x14ac:dyDescent="0.25"/>
    <row r="4" spans="2:6" ht="24.95" customHeight="1" x14ac:dyDescent="0.25">
      <c r="B4" s="1"/>
      <c r="C4" s="96" t="s">
        <v>56</v>
      </c>
      <c r="D4" s="96"/>
      <c r="E4" s="96"/>
      <c r="F4" s="2"/>
    </row>
    <row r="5" spans="2:6" ht="20.100000000000001" hidden="1" customHeight="1" x14ac:dyDescent="0.25">
      <c r="B5" s="5"/>
      <c r="C5" s="97" t="s">
        <v>49</v>
      </c>
      <c r="D5" s="97"/>
      <c r="E5" s="97"/>
      <c r="F5" s="6"/>
    </row>
    <row r="6" spans="2:6" ht="15" hidden="1" customHeight="1" x14ac:dyDescent="0.25">
      <c r="B6" s="7"/>
      <c r="C6" s="123"/>
      <c r="D6" s="123"/>
      <c r="E6" s="123"/>
      <c r="F6" s="8"/>
    </row>
    <row r="7" spans="2:6" ht="15" hidden="1" customHeight="1" x14ac:dyDescent="0.25">
      <c r="B7" s="7"/>
      <c r="C7" s="123" t="s">
        <v>58</v>
      </c>
      <c r="D7" s="123"/>
      <c r="E7" s="123"/>
      <c r="F7" s="8"/>
    </row>
    <row r="8" spans="2:6" ht="15" hidden="1" customHeight="1" x14ac:dyDescent="0.25">
      <c r="B8" s="7"/>
      <c r="C8" s="130" t="s">
        <v>71</v>
      </c>
      <c r="D8" s="134" t="str">
        <f>IF(I.Product.P1BaselineYear="","Baseline year",I.Product.P1BaselineYear)</f>
        <v>Baseline year</v>
      </c>
      <c r="E8" s="129" t="s">
        <v>48</v>
      </c>
      <c r="F8" s="8"/>
    </row>
    <row r="9" spans="2:6" ht="15" hidden="1" customHeight="1" x14ac:dyDescent="0.25">
      <c r="B9" s="7"/>
      <c r="C9" s="131" t="s">
        <v>4351</v>
      </c>
      <c r="D9" s="135"/>
      <c r="E9" s="128" t="s">
        <v>95</v>
      </c>
      <c r="F9" s="8"/>
    </row>
    <row r="10" spans="2:6" ht="15" hidden="1" customHeight="1" x14ac:dyDescent="0.25">
      <c r="B10" s="7"/>
      <c r="C10" s="123"/>
      <c r="D10" s="123"/>
      <c r="E10" s="123"/>
      <c r="F10" s="8"/>
    </row>
    <row r="11" spans="2:6" ht="15" hidden="1" customHeight="1" x14ac:dyDescent="0.25">
      <c r="B11" s="7"/>
      <c r="C11" s="123" t="s">
        <v>99</v>
      </c>
      <c r="D11" s="123"/>
      <c r="E11" s="123"/>
      <c r="F11" s="8"/>
    </row>
    <row r="12" spans="2:6" ht="15" hidden="1" customHeight="1" x14ac:dyDescent="0.25">
      <c r="B12" s="7"/>
      <c r="C12" s="130" t="s">
        <v>71</v>
      </c>
      <c r="D12" s="134" t="str">
        <f>IF(I.Product.P1BaselineYear="","Baseline year",I.Product.P1BaselineYear)</f>
        <v>Baseline year</v>
      </c>
      <c r="E12" s="129" t="s">
        <v>48</v>
      </c>
      <c r="F12" s="8"/>
    </row>
    <row r="13" spans="2:6" ht="15" hidden="1" customHeight="1" x14ac:dyDescent="0.25">
      <c r="B13" s="7"/>
      <c r="C13" s="131" t="s">
        <v>59</v>
      </c>
      <c r="D13" s="135"/>
      <c r="E13" s="137" t="s">
        <v>212</v>
      </c>
      <c r="F13" s="8"/>
    </row>
    <row r="14" spans="2:6" ht="15" hidden="1" customHeight="1" x14ac:dyDescent="0.25">
      <c r="B14" s="7"/>
      <c r="C14" s="131" t="s">
        <v>60</v>
      </c>
      <c r="D14" s="135"/>
      <c r="E14" s="128" t="s">
        <v>94</v>
      </c>
      <c r="F14" s="8"/>
    </row>
    <row r="15" spans="2:6" ht="15" hidden="1" customHeight="1" x14ac:dyDescent="0.25">
      <c r="B15" s="7"/>
      <c r="C15" s="131" t="s">
        <v>61</v>
      </c>
      <c r="D15" s="135"/>
      <c r="E15" s="128" t="s">
        <v>94</v>
      </c>
      <c r="F15" s="8"/>
    </row>
    <row r="16" spans="2:6" ht="15" hidden="1" customHeight="1" x14ac:dyDescent="0.25">
      <c r="B16" s="7"/>
      <c r="C16" s="131" t="s">
        <v>62</v>
      </c>
      <c r="D16" s="135"/>
      <c r="E16" s="128" t="s">
        <v>94</v>
      </c>
      <c r="F16" s="8"/>
    </row>
    <row r="17" spans="2:6" ht="15" hidden="1" customHeight="1" x14ac:dyDescent="0.25">
      <c r="B17" s="7"/>
      <c r="C17" s="131" t="s">
        <v>63</v>
      </c>
      <c r="D17" s="135"/>
      <c r="E17" s="128" t="s">
        <v>94</v>
      </c>
      <c r="F17" s="8"/>
    </row>
    <row r="18" spans="2:6" ht="15" hidden="1" customHeight="1" x14ac:dyDescent="0.25">
      <c r="B18" s="7"/>
      <c r="C18" s="131" t="s">
        <v>64</v>
      </c>
      <c r="D18" s="135"/>
      <c r="E18" s="128" t="s">
        <v>94</v>
      </c>
      <c r="F18" s="8"/>
    </row>
    <row r="19" spans="2:6" ht="15" hidden="1" customHeight="1" x14ac:dyDescent="0.35">
      <c r="B19" s="7"/>
      <c r="C19" s="131" t="s">
        <v>65</v>
      </c>
      <c r="D19" s="135"/>
      <c r="E19" s="137" t="s">
        <v>96</v>
      </c>
      <c r="F19" s="8"/>
    </row>
    <row r="20" spans="2:6" ht="15" hidden="1" customHeight="1" x14ac:dyDescent="0.35">
      <c r="B20" s="7"/>
      <c r="C20" s="131" t="s">
        <v>66</v>
      </c>
      <c r="D20" s="135"/>
      <c r="E20" s="137" t="s">
        <v>97</v>
      </c>
      <c r="F20" s="8"/>
    </row>
    <row r="21" spans="2:6" ht="15" hidden="1" customHeight="1" x14ac:dyDescent="0.35">
      <c r="B21" s="7"/>
      <c r="C21" s="131" t="s">
        <v>67</v>
      </c>
      <c r="D21" s="135"/>
      <c r="E21" s="137" t="s">
        <v>98</v>
      </c>
      <c r="F21" s="8"/>
    </row>
    <row r="22" spans="2:6" ht="15" hidden="1" customHeight="1" x14ac:dyDescent="0.25">
      <c r="B22" s="7"/>
      <c r="C22" s="123"/>
      <c r="D22" s="123"/>
      <c r="E22" s="123"/>
      <c r="F22" s="8"/>
    </row>
    <row r="23" spans="2:6" ht="15" hidden="1" customHeight="1" x14ac:dyDescent="0.25">
      <c r="B23" s="7"/>
      <c r="C23" s="123" t="s">
        <v>70</v>
      </c>
      <c r="D23" s="123"/>
      <c r="E23" s="123"/>
      <c r="F23" s="8"/>
    </row>
    <row r="24" spans="2:6" ht="15" hidden="1" customHeight="1" x14ac:dyDescent="0.25">
      <c r="B24" s="7"/>
      <c r="C24" s="130" t="s">
        <v>71</v>
      </c>
      <c r="D24" s="134" t="str">
        <f>IF(I.Product.P1BaselineYear="","Baseline year",I.Product.P1BaselineYear)</f>
        <v>Baseline year</v>
      </c>
      <c r="E24" s="129" t="s">
        <v>48</v>
      </c>
      <c r="F24" s="8"/>
    </row>
    <row r="25" spans="2:6" ht="15" hidden="1" customHeight="1" x14ac:dyDescent="0.35">
      <c r="B25" s="7"/>
      <c r="C25" s="131" t="s">
        <v>72</v>
      </c>
      <c r="D25" s="135"/>
      <c r="E25" s="137" t="s">
        <v>4329</v>
      </c>
      <c r="F25" s="8"/>
    </row>
    <row r="26" spans="2:6" ht="15" hidden="1" customHeight="1" x14ac:dyDescent="0.35">
      <c r="B26" s="7"/>
      <c r="C26" s="131" t="s">
        <v>73</v>
      </c>
      <c r="D26" s="135"/>
      <c r="E26" s="137" t="s">
        <v>4330</v>
      </c>
      <c r="F26" s="8"/>
    </row>
    <row r="27" spans="2:6" ht="15" hidden="1" customHeight="1" x14ac:dyDescent="0.35">
      <c r="B27" s="7"/>
      <c r="C27" s="131" t="s">
        <v>74</v>
      </c>
      <c r="D27" s="135"/>
      <c r="E27" s="137" t="s">
        <v>4331</v>
      </c>
      <c r="F27" s="8"/>
    </row>
    <row r="28" spans="2:6" ht="15" hidden="1" customHeight="1" x14ac:dyDescent="0.35">
      <c r="B28" s="7"/>
      <c r="C28" s="131" t="s">
        <v>75</v>
      </c>
      <c r="D28" s="135"/>
      <c r="E28" s="137" t="s">
        <v>4332</v>
      </c>
      <c r="F28" s="8"/>
    </row>
    <row r="29" spans="2:6" ht="15" hidden="1" customHeight="1" x14ac:dyDescent="0.35">
      <c r="B29" s="7"/>
      <c r="C29" s="131" t="s">
        <v>76</v>
      </c>
      <c r="D29" s="135"/>
      <c r="E29" s="137" t="s">
        <v>4333</v>
      </c>
      <c r="F29" s="8"/>
    </row>
    <row r="30" spans="2:6" ht="15" hidden="1" customHeight="1" x14ac:dyDescent="0.35">
      <c r="B30" s="7"/>
      <c r="C30" s="131" t="s">
        <v>77</v>
      </c>
      <c r="D30" s="135"/>
      <c r="E30" s="137" t="s">
        <v>4334</v>
      </c>
      <c r="F30" s="8"/>
    </row>
    <row r="31" spans="2:6" ht="15" hidden="1" customHeight="1" x14ac:dyDescent="0.35">
      <c r="B31" s="7"/>
      <c r="C31" s="131" t="s">
        <v>78</v>
      </c>
      <c r="D31" s="135"/>
      <c r="E31" s="137" t="s">
        <v>4335</v>
      </c>
      <c r="F31" s="8"/>
    </row>
    <row r="32" spans="2:6" ht="15" hidden="1" customHeight="1" x14ac:dyDescent="0.35">
      <c r="B32" s="7"/>
      <c r="C32" s="131" t="s">
        <v>79</v>
      </c>
      <c r="D32" s="135"/>
      <c r="E32" s="137" t="s">
        <v>4336</v>
      </c>
      <c r="F32" s="8"/>
    </row>
    <row r="33" spans="2:6" ht="15" hidden="1" customHeight="1" x14ac:dyDescent="0.35">
      <c r="B33" s="7"/>
      <c r="C33" s="131" t="s">
        <v>80</v>
      </c>
      <c r="D33" s="135"/>
      <c r="E33" s="137" t="s">
        <v>4337</v>
      </c>
      <c r="F33" s="8"/>
    </row>
    <row r="34" spans="2:6" ht="15" hidden="1" customHeight="1" x14ac:dyDescent="0.35">
      <c r="B34" s="7"/>
      <c r="C34" s="131" t="s">
        <v>81</v>
      </c>
      <c r="D34" s="135"/>
      <c r="E34" s="137" t="s">
        <v>4338</v>
      </c>
      <c r="F34" s="8"/>
    </row>
    <row r="35" spans="2:6" ht="15" hidden="1" customHeight="1" x14ac:dyDescent="0.35">
      <c r="B35" s="7"/>
      <c r="C35" s="131" t="s">
        <v>82</v>
      </c>
      <c r="D35" s="135"/>
      <c r="E35" s="137" t="s">
        <v>4339</v>
      </c>
      <c r="F35" s="8"/>
    </row>
    <row r="36" spans="2:6" ht="15" hidden="1" customHeight="1" x14ac:dyDescent="0.35">
      <c r="B36" s="7"/>
      <c r="C36" s="131" t="s">
        <v>83</v>
      </c>
      <c r="D36" s="135"/>
      <c r="E36" s="137" t="s">
        <v>4340</v>
      </c>
      <c r="F36" s="8"/>
    </row>
    <row r="37" spans="2:6" ht="15" hidden="1" customHeight="1" x14ac:dyDescent="0.35">
      <c r="B37" s="7"/>
      <c r="C37" s="131" t="s">
        <v>84</v>
      </c>
      <c r="D37" s="135"/>
      <c r="E37" s="137" t="s">
        <v>4341</v>
      </c>
      <c r="F37" s="8"/>
    </row>
    <row r="38" spans="2:6" ht="15" hidden="1" customHeight="1" x14ac:dyDescent="0.35">
      <c r="B38" s="7"/>
      <c r="C38" s="131" t="s">
        <v>85</v>
      </c>
      <c r="D38" s="135"/>
      <c r="E38" s="137" t="s">
        <v>4342</v>
      </c>
      <c r="F38" s="8"/>
    </row>
    <row r="39" spans="2:6" ht="15" hidden="1" customHeight="1" x14ac:dyDescent="0.35">
      <c r="B39" s="7"/>
      <c r="C39" s="131" t="s">
        <v>86</v>
      </c>
      <c r="D39" s="135"/>
      <c r="E39" s="137" t="s">
        <v>4343</v>
      </c>
      <c r="F39" s="8"/>
    </row>
    <row r="40" spans="2:6" ht="15" hidden="1" customHeight="1" x14ac:dyDescent="0.35">
      <c r="B40" s="7"/>
      <c r="C40" s="131" t="s">
        <v>87</v>
      </c>
      <c r="D40" s="135"/>
      <c r="E40" s="137" t="s">
        <v>4344</v>
      </c>
      <c r="F40" s="8"/>
    </row>
    <row r="41" spans="2:6" ht="15" hidden="1" customHeight="1" x14ac:dyDescent="0.35">
      <c r="B41" s="7"/>
      <c r="C41" s="131" t="s">
        <v>88</v>
      </c>
      <c r="D41" s="135"/>
      <c r="E41" s="137" t="s">
        <v>4345</v>
      </c>
      <c r="F41" s="8"/>
    </row>
    <row r="42" spans="2:6" ht="15" hidden="1" customHeight="1" x14ac:dyDescent="0.35">
      <c r="B42" s="7"/>
      <c r="C42" s="131" t="s">
        <v>89</v>
      </c>
      <c r="D42" s="135"/>
      <c r="E42" s="137" t="s">
        <v>4346</v>
      </c>
      <c r="F42" s="8"/>
    </row>
    <row r="43" spans="2:6" ht="15" hidden="1" customHeight="1" x14ac:dyDescent="0.35">
      <c r="B43" s="7"/>
      <c r="C43" s="131" t="s">
        <v>90</v>
      </c>
      <c r="D43" s="135"/>
      <c r="E43" s="137" t="s">
        <v>4347</v>
      </c>
      <c r="F43" s="8"/>
    </row>
    <row r="44" spans="2:6" ht="15" hidden="1" customHeight="1" x14ac:dyDescent="0.35">
      <c r="B44" s="7"/>
      <c r="C44" s="131" t="s">
        <v>91</v>
      </c>
      <c r="D44" s="135"/>
      <c r="E44" s="137" t="s">
        <v>4348</v>
      </c>
      <c r="F44" s="8"/>
    </row>
    <row r="45" spans="2:6" ht="15" hidden="1" customHeight="1" x14ac:dyDescent="0.35">
      <c r="B45" s="7"/>
      <c r="C45" s="131" t="s">
        <v>92</v>
      </c>
      <c r="D45" s="135"/>
      <c r="E45" s="137" t="s">
        <v>4349</v>
      </c>
      <c r="F45" s="8"/>
    </row>
    <row r="46" spans="2:6" ht="15" hidden="1" customHeight="1" x14ac:dyDescent="0.25">
      <c r="B46" s="7"/>
      <c r="C46" s="123"/>
      <c r="D46" s="123"/>
      <c r="E46" s="123"/>
      <c r="F46" s="8"/>
    </row>
    <row r="47" spans="2:6" ht="15" hidden="1" customHeight="1" x14ac:dyDescent="0.25">
      <c r="B47" s="7"/>
      <c r="C47" s="123" t="s">
        <v>100</v>
      </c>
      <c r="D47" s="123"/>
      <c r="E47" s="123"/>
      <c r="F47" s="8"/>
    </row>
    <row r="48" spans="2:6" ht="15" hidden="1" customHeight="1" x14ac:dyDescent="0.25">
      <c r="B48" s="7"/>
      <c r="C48" s="130" t="s">
        <v>71</v>
      </c>
      <c r="D48" s="134" t="str">
        <f>IF(I.Product.P1BaselineYear="","Baseline year",I.Product.P1BaselineYear)</f>
        <v>Baseline year</v>
      </c>
      <c r="E48" s="129" t="s">
        <v>48</v>
      </c>
      <c r="F48" s="8"/>
    </row>
    <row r="49" spans="2:6" ht="15" hidden="1" customHeight="1" x14ac:dyDescent="0.25">
      <c r="B49" s="7"/>
      <c r="C49" s="131" t="s">
        <v>251</v>
      </c>
      <c r="D49" s="135"/>
      <c r="E49" s="137" t="s">
        <v>212</v>
      </c>
      <c r="F49" s="8"/>
    </row>
    <row r="50" spans="2:6" ht="15" hidden="1" customHeight="1" x14ac:dyDescent="0.25">
      <c r="B50" s="7"/>
      <c r="C50" s="131" t="s">
        <v>252</v>
      </c>
      <c r="D50" s="135"/>
      <c r="E50" s="137" t="s">
        <v>212</v>
      </c>
      <c r="F50" s="8"/>
    </row>
    <row r="51" spans="2:6" ht="15" hidden="1" customHeight="1" x14ac:dyDescent="0.35">
      <c r="B51" s="7"/>
      <c r="C51" s="131" t="s">
        <v>65</v>
      </c>
      <c r="D51" s="135"/>
      <c r="E51" s="137" t="s">
        <v>96</v>
      </c>
      <c r="F51" s="8"/>
    </row>
    <row r="52" spans="2:6" ht="15" hidden="1" customHeight="1" x14ac:dyDescent="0.35">
      <c r="B52" s="7"/>
      <c r="C52" s="131" t="s">
        <v>66</v>
      </c>
      <c r="D52" s="135"/>
      <c r="E52" s="137" t="s">
        <v>97</v>
      </c>
      <c r="F52" s="8"/>
    </row>
    <row r="53" spans="2:6" ht="15" hidden="1" customHeight="1" x14ac:dyDescent="0.35">
      <c r="B53" s="7"/>
      <c r="C53" s="131" t="s">
        <v>67</v>
      </c>
      <c r="D53" s="135"/>
      <c r="E53" s="137" t="s">
        <v>98</v>
      </c>
      <c r="F53" s="8"/>
    </row>
    <row r="54" spans="2:6" ht="15" hidden="1" customHeight="1" x14ac:dyDescent="0.25">
      <c r="B54" s="7"/>
      <c r="C54" s="136" t="s">
        <v>253</v>
      </c>
      <c r="D54" s="123"/>
      <c r="E54" s="123"/>
      <c r="F54" s="8"/>
    </row>
    <row r="55" spans="2:6" ht="15" hidden="1" customHeight="1" x14ac:dyDescent="0.25">
      <c r="B55" s="7"/>
      <c r="C55" s="136" t="s">
        <v>254</v>
      </c>
      <c r="D55" s="123"/>
      <c r="E55" s="123"/>
      <c r="F55" s="8"/>
    </row>
    <row r="56" spans="2:6" ht="15" hidden="1" customHeight="1" x14ac:dyDescent="0.25">
      <c r="B56" s="7"/>
      <c r="C56" s="123"/>
      <c r="D56" s="123"/>
      <c r="E56" s="123"/>
      <c r="F56" s="8"/>
    </row>
    <row r="57" spans="2:6" ht="15" hidden="1" customHeight="1" x14ac:dyDescent="0.25">
      <c r="B57" s="7"/>
      <c r="C57" s="123" t="s">
        <v>93</v>
      </c>
      <c r="D57" s="123"/>
      <c r="E57" s="123"/>
      <c r="F57" s="8"/>
    </row>
    <row r="58" spans="2:6" ht="15" hidden="1" customHeight="1" x14ac:dyDescent="0.25">
      <c r="B58" s="7"/>
      <c r="C58" s="130" t="s">
        <v>71</v>
      </c>
      <c r="D58" s="134" t="str">
        <f>IF(I.Product.P1BaselineYear="","Baseline year",I.Product.P1BaselineYear)</f>
        <v>Baseline year</v>
      </c>
      <c r="E58" s="129" t="s">
        <v>48</v>
      </c>
      <c r="F58" s="8"/>
    </row>
    <row r="59" spans="2:6" ht="15" hidden="1" customHeight="1" x14ac:dyDescent="0.35">
      <c r="B59" s="7"/>
      <c r="C59" s="131" t="s">
        <v>65</v>
      </c>
      <c r="D59" s="135"/>
      <c r="E59" s="137" t="s">
        <v>96</v>
      </c>
      <c r="F59" s="8"/>
    </row>
    <row r="60" spans="2:6" ht="15" hidden="1" customHeight="1" x14ac:dyDescent="0.35">
      <c r="B60" s="7"/>
      <c r="C60" s="131" t="s">
        <v>66</v>
      </c>
      <c r="D60" s="135"/>
      <c r="E60" s="137" t="s">
        <v>97</v>
      </c>
      <c r="F60" s="8"/>
    </row>
    <row r="61" spans="2:6" ht="15" hidden="1" customHeight="1" x14ac:dyDescent="0.35">
      <c r="B61" s="7"/>
      <c r="C61" s="131" t="s">
        <v>67</v>
      </c>
      <c r="D61" s="135"/>
      <c r="E61" s="137" t="s">
        <v>98</v>
      </c>
      <c r="F61" s="8"/>
    </row>
    <row r="62" spans="2:6" ht="15" hidden="1" customHeight="1" x14ac:dyDescent="0.25">
      <c r="B62" s="7"/>
      <c r="C62" s="123"/>
      <c r="D62" s="123"/>
      <c r="E62" s="123"/>
      <c r="F62" s="8"/>
    </row>
    <row r="63" spans="2:6" ht="20.100000000000001" hidden="1" customHeight="1" x14ac:dyDescent="0.25">
      <c r="B63" s="5"/>
      <c r="C63" s="97" t="s">
        <v>50</v>
      </c>
      <c r="D63" s="97"/>
      <c r="E63" s="97"/>
      <c r="F63" s="6"/>
    </row>
    <row r="64" spans="2:6" ht="15" hidden="1" customHeight="1" x14ac:dyDescent="0.25">
      <c r="B64" s="7"/>
      <c r="C64" s="123"/>
      <c r="D64" s="123"/>
      <c r="E64" s="123"/>
      <c r="F64" s="8"/>
    </row>
    <row r="65" spans="2:6" ht="15" hidden="1" customHeight="1" x14ac:dyDescent="0.25">
      <c r="B65" s="7"/>
      <c r="C65" s="123" t="s">
        <v>58</v>
      </c>
      <c r="D65" s="123"/>
      <c r="E65" s="123"/>
      <c r="F65" s="8"/>
    </row>
    <row r="66" spans="2:6" ht="15" hidden="1" customHeight="1" x14ac:dyDescent="0.25">
      <c r="B66" s="7"/>
      <c r="C66" s="130" t="s">
        <v>71</v>
      </c>
      <c r="D66" s="134" t="str">
        <f>IF(I.Product.P2aBaselineYear="","Baseline year",I.Product.P2aBaselineYear)</f>
        <v>Baseline year</v>
      </c>
      <c r="E66" s="129" t="s">
        <v>48</v>
      </c>
      <c r="F66" s="8"/>
    </row>
    <row r="67" spans="2:6" ht="15" hidden="1" customHeight="1" x14ac:dyDescent="0.25">
      <c r="B67" s="7"/>
      <c r="C67" s="131" t="s">
        <v>4351</v>
      </c>
      <c r="D67" s="135"/>
      <c r="E67" s="128" t="s">
        <v>95</v>
      </c>
      <c r="F67" s="8"/>
    </row>
    <row r="68" spans="2:6" ht="15" hidden="1" customHeight="1" x14ac:dyDescent="0.25">
      <c r="B68" s="7"/>
      <c r="C68" s="123"/>
      <c r="D68" s="123"/>
      <c r="E68" s="123"/>
      <c r="F68" s="8"/>
    </row>
    <row r="69" spans="2:6" ht="15" hidden="1" customHeight="1" x14ac:dyDescent="0.25">
      <c r="B69" s="7"/>
      <c r="C69" s="123" t="s">
        <v>99</v>
      </c>
      <c r="D69" s="123"/>
      <c r="E69" s="123"/>
      <c r="F69" s="8"/>
    </row>
    <row r="70" spans="2:6" ht="15" hidden="1" customHeight="1" x14ac:dyDescent="0.25">
      <c r="B70" s="7"/>
      <c r="C70" s="130" t="s">
        <v>71</v>
      </c>
      <c r="D70" s="134" t="str">
        <f>IF(I.Product.P2aBaselineYear="","Baseline year",I.Product.P2aBaselineYear)</f>
        <v>Baseline year</v>
      </c>
      <c r="E70" s="129" t="s">
        <v>48</v>
      </c>
      <c r="F70" s="8"/>
    </row>
    <row r="71" spans="2:6" ht="15" hidden="1" customHeight="1" x14ac:dyDescent="0.25">
      <c r="B71" s="7"/>
      <c r="C71" s="131" t="s">
        <v>59</v>
      </c>
      <c r="D71" s="135"/>
      <c r="E71" s="137" t="s">
        <v>212</v>
      </c>
      <c r="F71" s="8"/>
    </row>
    <row r="72" spans="2:6" ht="15" hidden="1" customHeight="1" x14ac:dyDescent="0.25">
      <c r="B72" s="7"/>
      <c r="C72" s="131" t="s">
        <v>60</v>
      </c>
      <c r="D72" s="135"/>
      <c r="E72" s="128" t="s">
        <v>94</v>
      </c>
      <c r="F72" s="8"/>
    </row>
    <row r="73" spans="2:6" ht="15" hidden="1" customHeight="1" x14ac:dyDescent="0.25">
      <c r="B73" s="7"/>
      <c r="C73" s="131" t="s">
        <v>61</v>
      </c>
      <c r="D73" s="135"/>
      <c r="E73" s="128" t="s">
        <v>94</v>
      </c>
      <c r="F73" s="8"/>
    </row>
    <row r="74" spans="2:6" ht="15" hidden="1" customHeight="1" x14ac:dyDescent="0.25">
      <c r="B74" s="7"/>
      <c r="C74" s="131" t="s">
        <v>62</v>
      </c>
      <c r="D74" s="135"/>
      <c r="E74" s="128" t="s">
        <v>94</v>
      </c>
      <c r="F74" s="8"/>
    </row>
    <row r="75" spans="2:6" ht="15" hidden="1" customHeight="1" x14ac:dyDescent="0.25">
      <c r="B75" s="7"/>
      <c r="C75" s="131" t="s">
        <v>63</v>
      </c>
      <c r="D75" s="135"/>
      <c r="E75" s="128" t="s">
        <v>94</v>
      </c>
      <c r="F75" s="8"/>
    </row>
    <row r="76" spans="2:6" ht="15" hidden="1" customHeight="1" x14ac:dyDescent="0.25">
      <c r="B76" s="7"/>
      <c r="C76" s="131" t="s">
        <v>64</v>
      </c>
      <c r="D76" s="135"/>
      <c r="E76" s="128" t="s">
        <v>94</v>
      </c>
      <c r="F76" s="8"/>
    </row>
    <row r="77" spans="2:6" ht="15" hidden="1" customHeight="1" x14ac:dyDescent="0.35">
      <c r="B77" s="7"/>
      <c r="C77" s="131" t="s">
        <v>65</v>
      </c>
      <c r="D77" s="135"/>
      <c r="E77" s="137" t="s">
        <v>96</v>
      </c>
      <c r="F77" s="8"/>
    </row>
    <row r="78" spans="2:6" ht="15" hidden="1" customHeight="1" x14ac:dyDescent="0.35">
      <c r="B78" s="7"/>
      <c r="C78" s="131" t="s">
        <v>66</v>
      </c>
      <c r="D78" s="135"/>
      <c r="E78" s="137" t="s">
        <v>97</v>
      </c>
      <c r="F78" s="8"/>
    </row>
    <row r="79" spans="2:6" ht="15" hidden="1" customHeight="1" x14ac:dyDescent="0.35">
      <c r="B79" s="7"/>
      <c r="C79" s="131" t="s">
        <v>67</v>
      </c>
      <c r="D79" s="135"/>
      <c r="E79" s="137" t="s">
        <v>98</v>
      </c>
      <c r="F79" s="8"/>
    </row>
    <row r="80" spans="2:6" ht="15" hidden="1" customHeight="1" x14ac:dyDescent="0.25">
      <c r="B80" s="7"/>
      <c r="C80" s="123"/>
      <c r="D80" s="123"/>
      <c r="E80" s="123"/>
      <c r="F80" s="8"/>
    </row>
    <row r="81" spans="2:6" ht="15" hidden="1" customHeight="1" x14ac:dyDescent="0.25">
      <c r="B81" s="7"/>
      <c r="C81" s="123" t="s">
        <v>70</v>
      </c>
      <c r="D81" s="123"/>
      <c r="E81" s="123"/>
      <c r="F81" s="8"/>
    </row>
    <row r="82" spans="2:6" ht="15" hidden="1" customHeight="1" x14ac:dyDescent="0.25">
      <c r="B82" s="7"/>
      <c r="C82" s="130" t="s">
        <v>71</v>
      </c>
      <c r="D82" s="134" t="str">
        <f>IF(I.Product.P2aBaselineYear="","Baseline year",I.Product.P2aBaselineYear)</f>
        <v>Baseline year</v>
      </c>
      <c r="E82" s="129" t="s">
        <v>48</v>
      </c>
      <c r="F82" s="8"/>
    </row>
    <row r="83" spans="2:6" ht="15" hidden="1" customHeight="1" x14ac:dyDescent="0.35">
      <c r="B83" s="7"/>
      <c r="C83" s="131" t="s">
        <v>72</v>
      </c>
      <c r="D83" s="135"/>
      <c r="E83" s="137" t="s">
        <v>4329</v>
      </c>
      <c r="F83" s="8"/>
    </row>
    <row r="84" spans="2:6" ht="15" hidden="1" customHeight="1" x14ac:dyDescent="0.35">
      <c r="B84" s="7"/>
      <c r="C84" s="131" t="s">
        <v>73</v>
      </c>
      <c r="D84" s="135"/>
      <c r="E84" s="137" t="s">
        <v>4330</v>
      </c>
      <c r="F84" s="8"/>
    </row>
    <row r="85" spans="2:6" ht="15" hidden="1" customHeight="1" x14ac:dyDescent="0.35">
      <c r="B85" s="7"/>
      <c r="C85" s="131" t="s">
        <v>74</v>
      </c>
      <c r="D85" s="135"/>
      <c r="E85" s="137" t="s">
        <v>4331</v>
      </c>
      <c r="F85" s="8"/>
    </row>
    <row r="86" spans="2:6" ht="15" hidden="1" customHeight="1" x14ac:dyDescent="0.35">
      <c r="B86" s="7"/>
      <c r="C86" s="131" t="s">
        <v>75</v>
      </c>
      <c r="D86" s="135"/>
      <c r="E86" s="137" t="s">
        <v>4332</v>
      </c>
      <c r="F86" s="8"/>
    </row>
    <row r="87" spans="2:6" ht="15" hidden="1" customHeight="1" x14ac:dyDescent="0.35">
      <c r="B87" s="7"/>
      <c r="C87" s="131" t="s">
        <v>76</v>
      </c>
      <c r="D87" s="135"/>
      <c r="E87" s="137" t="s">
        <v>4333</v>
      </c>
      <c r="F87" s="8"/>
    </row>
    <row r="88" spans="2:6" ht="15" hidden="1" customHeight="1" x14ac:dyDescent="0.35">
      <c r="B88" s="7"/>
      <c r="C88" s="131" t="s">
        <v>77</v>
      </c>
      <c r="D88" s="135"/>
      <c r="E88" s="137" t="s">
        <v>4334</v>
      </c>
      <c r="F88" s="8"/>
    </row>
    <row r="89" spans="2:6" ht="15" hidden="1" customHeight="1" x14ac:dyDescent="0.35">
      <c r="B89" s="7"/>
      <c r="C89" s="131" t="s">
        <v>78</v>
      </c>
      <c r="D89" s="135"/>
      <c r="E89" s="137" t="s">
        <v>4335</v>
      </c>
      <c r="F89" s="8"/>
    </row>
    <row r="90" spans="2:6" ht="15" hidden="1" customHeight="1" x14ac:dyDescent="0.35">
      <c r="B90" s="7"/>
      <c r="C90" s="131" t="s">
        <v>79</v>
      </c>
      <c r="D90" s="135"/>
      <c r="E90" s="137" t="s">
        <v>4336</v>
      </c>
      <c r="F90" s="8"/>
    </row>
    <row r="91" spans="2:6" ht="15" hidden="1" customHeight="1" x14ac:dyDescent="0.35">
      <c r="B91" s="7"/>
      <c r="C91" s="131" t="s">
        <v>80</v>
      </c>
      <c r="D91" s="135"/>
      <c r="E91" s="137" t="s">
        <v>4337</v>
      </c>
      <c r="F91" s="8"/>
    </row>
    <row r="92" spans="2:6" ht="15" hidden="1" customHeight="1" x14ac:dyDescent="0.35">
      <c r="B92" s="7"/>
      <c r="C92" s="131" t="s">
        <v>81</v>
      </c>
      <c r="D92" s="135"/>
      <c r="E92" s="137" t="s">
        <v>4338</v>
      </c>
      <c r="F92" s="8"/>
    </row>
    <row r="93" spans="2:6" ht="15" hidden="1" customHeight="1" x14ac:dyDescent="0.35">
      <c r="B93" s="7"/>
      <c r="C93" s="131" t="s">
        <v>82</v>
      </c>
      <c r="D93" s="135"/>
      <c r="E93" s="137" t="s">
        <v>4339</v>
      </c>
      <c r="F93" s="8"/>
    </row>
    <row r="94" spans="2:6" ht="15" hidden="1" customHeight="1" x14ac:dyDescent="0.35">
      <c r="B94" s="7"/>
      <c r="C94" s="131" t="s">
        <v>83</v>
      </c>
      <c r="D94" s="135"/>
      <c r="E94" s="137" t="s">
        <v>4340</v>
      </c>
      <c r="F94" s="8"/>
    </row>
    <row r="95" spans="2:6" ht="15" hidden="1" customHeight="1" x14ac:dyDescent="0.35">
      <c r="B95" s="7"/>
      <c r="C95" s="131" t="s">
        <v>84</v>
      </c>
      <c r="D95" s="135"/>
      <c r="E95" s="137" t="s">
        <v>4341</v>
      </c>
      <c r="F95" s="8"/>
    </row>
    <row r="96" spans="2:6" ht="15" hidden="1" customHeight="1" x14ac:dyDescent="0.35">
      <c r="B96" s="7"/>
      <c r="C96" s="131" t="s">
        <v>85</v>
      </c>
      <c r="D96" s="135"/>
      <c r="E96" s="137" t="s">
        <v>4342</v>
      </c>
      <c r="F96" s="8"/>
    </row>
    <row r="97" spans="2:6" ht="15" hidden="1" customHeight="1" x14ac:dyDescent="0.35">
      <c r="B97" s="7"/>
      <c r="C97" s="131" t="s">
        <v>86</v>
      </c>
      <c r="D97" s="135"/>
      <c r="E97" s="137" t="s">
        <v>4343</v>
      </c>
      <c r="F97" s="8"/>
    </row>
    <row r="98" spans="2:6" ht="15" hidden="1" customHeight="1" x14ac:dyDescent="0.35">
      <c r="B98" s="7"/>
      <c r="C98" s="131" t="s">
        <v>87</v>
      </c>
      <c r="D98" s="135"/>
      <c r="E98" s="137" t="s">
        <v>4344</v>
      </c>
      <c r="F98" s="8"/>
    </row>
    <row r="99" spans="2:6" ht="15" hidden="1" customHeight="1" x14ac:dyDescent="0.35">
      <c r="B99" s="7"/>
      <c r="C99" s="131" t="s">
        <v>88</v>
      </c>
      <c r="D99" s="135"/>
      <c r="E99" s="137" t="s">
        <v>4345</v>
      </c>
      <c r="F99" s="8"/>
    </row>
    <row r="100" spans="2:6" ht="15" hidden="1" customHeight="1" x14ac:dyDescent="0.35">
      <c r="B100" s="7"/>
      <c r="C100" s="131" t="s">
        <v>89</v>
      </c>
      <c r="D100" s="135"/>
      <c r="E100" s="137" t="s">
        <v>4346</v>
      </c>
      <c r="F100" s="8"/>
    </row>
    <row r="101" spans="2:6" ht="15" hidden="1" customHeight="1" x14ac:dyDescent="0.35">
      <c r="B101" s="7"/>
      <c r="C101" s="131" t="s">
        <v>90</v>
      </c>
      <c r="D101" s="135"/>
      <c r="E101" s="137" t="s">
        <v>4347</v>
      </c>
      <c r="F101" s="8"/>
    </row>
    <row r="102" spans="2:6" ht="15" hidden="1" customHeight="1" x14ac:dyDescent="0.35">
      <c r="B102" s="7"/>
      <c r="C102" s="131" t="s">
        <v>91</v>
      </c>
      <c r="D102" s="135"/>
      <c r="E102" s="137" t="s">
        <v>4348</v>
      </c>
      <c r="F102" s="8"/>
    </row>
    <row r="103" spans="2:6" ht="15" hidden="1" customHeight="1" x14ac:dyDescent="0.35">
      <c r="B103" s="7"/>
      <c r="C103" s="131" t="s">
        <v>92</v>
      </c>
      <c r="D103" s="135"/>
      <c r="E103" s="137" t="s">
        <v>4349</v>
      </c>
      <c r="F103" s="8"/>
    </row>
    <row r="104" spans="2:6" ht="15" hidden="1" customHeight="1" x14ac:dyDescent="0.25">
      <c r="B104" s="7"/>
      <c r="C104" s="123"/>
      <c r="D104" s="123"/>
      <c r="E104" s="123"/>
      <c r="F104" s="8"/>
    </row>
    <row r="105" spans="2:6" ht="15" hidden="1" customHeight="1" x14ac:dyDescent="0.25">
      <c r="B105" s="7"/>
      <c r="C105" s="123" t="s">
        <v>100</v>
      </c>
      <c r="D105" s="123"/>
      <c r="E105" s="123"/>
      <c r="F105" s="8"/>
    </row>
    <row r="106" spans="2:6" ht="15" hidden="1" customHeight="1" x14ac:dyDescent="0.25">
      <c r="B106" s="7"/>
      <c r="C106" s="130" t="s">
        <v>71</v>
      </c>
      <c r="D106" s="134" t="str">
        <f>IF(I.Product.P2aBaselineYear="","Baseline year",I.Product.P2aBaselineYear)</f>
        <v>Baseline year</v>
      </c>
      <c r="E106" s="129" t="s">
        <v>48</v>
      </c>
      <c r="F106" s="8"/>
    </row>
    <row r="107" spans="2:6" ht="15" hidden="1" customHeight="1" x14ac:dyDescent="0.25">
      <c r="B107" s="7"/>
      <c r="C107" s="131" t="s">
        <v>251</v>
      </c>
      <c r="D107" s="135"/>
      <c r="E107" s="137" t="s">
        <v>212</v>
      </c>
      <c r="F107" s="8"/>
    </row>
    <row r="108" spans="2:6" ht="15" hidden="1" customHeight="1" x14ac:dyDescent="0.25">
      <c r="B108" s="7"/>
      <c r="C108" s="131" t="s">
        <v>252</v>
      </c>
      <c r="D108" s="135"/>
      <c r="E108" s="137" t="s">
        <v>212</v>
      </c>
      <c r="F108" s="8"/>
    </row>
    <row r="109" spans="2:6" ht="15" hidden="1" customHeight="1" x14ac:dyDescent="0.35">
      <c r="B109" s="7"/>
      <c r="C109" s="131" t="s">
        <v>65</v>
      </c>
      <c r="D109" s="135"/>
      <c r="E109" s="137" t="s">
        <v>96</v>
      </c>
      <c r="F109" s="8"/>
    </row>
    <row r="110" spans="2:6" ht="15" hidden="1" customHeight="1" x14ac:dyDescent="0.35">
      <c r="B110" s="7"/>
      <c r="C110" s="131" t="s">
        <v>66</v>
      </c>
      <c r="D110" s="135"/>
      <c r="E110" s="137" t="s">
        <v>97</v>
      </c>
      <c r="F110" s="8"/>
    </row>
    <row r="111" spans="2:6" ht="15" hidden="1" customHeight="1" x14ac:dyDescent="0.35">
      <c r="B111" s="7"/>
      <c r="C111" s="131" t="s">
        <v>67</v>
      </c>
      <c r="D111" s="135"/>
      <c r="E111" s="137" t="s">
        <v>98</v>
      </c>
      <c r="F111" s="8"/>
    </row>
    <row r="112" spans="2:6" ht="15" hidden="1" customHeight="1" x14ac:dyDescent="0.25">
      <c r="B112" s="7"/>
      <c r="C112" s="136" t="s">
        <v>253</v>
      </c>
      <c r="D112" s="123"/>
      <c r="E112" s="123"/>
      <c r="F112" s="8"/>
    </row>
    <row r="113" spans="2:6" ht="15" hidden="1" customHeight="1" x14ac:dyDescent="0.25">
      <c r="B113" s="7"/>
      <c r="C113" s="136" t="s">
        <v>254</v>
      </c>
      <c r="D113" s="123"/>
      <c r="E113" s="123"/>
      <c r="F113" s="8"/>
    </row>
    <row r="114" spans="2:6" ht="15" hidden="1" customHeight="1" x14ac:dyDescent="0.25">
      <c r="B114" s="7"/>
      <c r="C114" s="123"/>
      <c r="D114" s="123"/>
      <c r="E114" s="123"/>
      <c r="F114" s="8"/>
    </row>
    <row r="115" spans="2:6" ht="15" hidden="1" customHeight="1" x14ac:dyDescent="0.25">
      <c r="B115" s="7"/>
      <c r="C115" s="123" t="s">
        <v>93</v>
      </c>
      <c r="D115" s="123"/>
      <c r="E115" s="123"/>
      <c r="F115" s="8"/>
    </row>
    <row r="116" spans="2:6" ht="15" hidden="1" customHeight="1" x14ac:dyDescent="0.25">
      <c r="B116" s="7"/>
      <c r="C116" s="130" t="s">
        <v>71</v>
      </c>
      <c r="D116" s="134" t="str">
        <f>IF(I.Product.P2aBaselineYear="","Baseline year",I.Product.P2aBaselineYear)</f>
        <v>Baseline year</v>
      </c>
      <c r="E116" s="129" t="s">
        <v>48</v>
      </c>
      <c r="F116" s="8"/>
    </row>
    <row r="117" spans="2:6" ht="15" hidden="1" customHeight="1" x14ac:dyDescent="0.35">
      <c r="B117" s="7"/>
      <c r="C117" s="131" t="s">
        <v>65</v>
      </c>
      <c r="D117" s="135"/>
      <c r="E117" s="137" t="s">
        <v>96</v>
      </c>
      <c r="F117" s="8"/>
    </row>
    <row r="118" spans="2:6" ht="15" hidden="1" customHeight="1" x14ac:dyDescent="0.35">
      <c r="B118" s="7"/>
      <c r="C118" s="131" t="s">
        <v>66</v>
      </c>
      <c r="D118" s="135"/>
      <c r="E118" s="137" t="s">
        <v>97</v>
      </c>
      <c r="F118" s="8"/>
    </row>
    <row r="119" spans="2:6" ht="15" hidden="1" customHeight="1" x14ac:dyDescent="0.35">
      <c r="B119" s="7"/>
      <c r="C119" s="131" t="s">
        <v>67</v>
      </c>
      <c r="D119" s="135"/>
      <c r="E119" s="137" t="s">
        <v>98</v>
      </c>
      <c r="F119" s="8"/>
    </row>
    <row r="120" spans="2:6" ht="15" hidden="1" customHeight="1" x14ac:dyDescent="0.25">
      <c r="B120" s="7"/>
      <c r="C120" s="123"/>
      <c r="D120" s="123"/>
      <c r="E120" s="123"/>
      <c r="F120" s="8"/>
    </row>
    <row r="121" spans="2:6" ht="20.100000000000001" hidden="1" customHeight="1" x14ac:dyDescent="0.25">
      <c r="B121" s="5"/>
      <c r="C121" s="97" t="s">
        <v>51</v>
      </c>
      <c r="D121" s="97"/>
      <c r="E121" s="97"/>
      <c r="F121" s="6"/>
    </row>
    <row r="122" spans="2:6" ht="15" hidden="1" customHeight="1" x14ac:dyDescent="0.25">
      <c r="B122" s="7"/>
      <c r="C122" s="123"/>
      <c r="D122" s="123"/>
      <c r="E122" s="123"/>
      <c r="F122" s="8"/>
    </row>
    <row r="123" spans="2:6" ht="15" hidden="1" customHeight="1" x14ac:dyDescent="0.25">
      <c r="B123" s="7"/>
      <c r="C123" s="123" t="s">
        <v>58</v>
      </c>
      <c r="D123" s="123"/>
      <c r="E123" s="123"/>
      <c r="F123" s="8"/>
    </row>
    <row r="124" spans="2:6" ht="15" hidden="1" customHeight="1" x14ac:dyDescent="0.25">
      <c r="B124" s="7"/>
      <c r="C124" s="130" t="s">
        <v>71</v>
      </c>
      <c r="D124" s="134" t="str">
        <f>IF(I.Product.P2bBaselineYear="","Baseline year",I.Product.P2bBaselineYear)</f>
        <v>Baseline year</v>
      </c>
      <c r="E124" s="129" t="s">
        <v>48</v>
      </c>
      <c r="F124" s="8"/>
    </row>
    <row r="125" spans="2:6" ht="15" hidden="1" customHeight="1" x14ac:dyDescent="0.25">
      <c r="B125" s="7"/>
      <c r="C125" s="131" t="s">
        <v>4351</v>
      </c>
      <c r="D125" s="135"/>
      <c r="E125" s="128" t="s">
        <v>95</v>
      </c>
      <c r="F125" s="8"/>
    </row>
    <row r="126" spans="2:6" ht="15" hidden="1" customHeight="1" x14ac:dyDescent="0.25">
      <c r="B126" s="7"/>
      <c r="C126" s="123"/>
      <c r="D126" s="123"/>
      <c r="E126" s="123"/>
      <c r="F126" s="8"/>
    </row>
    <row r="127" spans="2:6" ht="15" hidden="1" customHeight="1" x14ac:dyDescent="0.25">
      <c r="B127" s="7"/>
      <c r="C127" s="123" t="s">
        <v>99</v>
      </c>
      <c r="D127" s="123"/>
      <c r="E127" s="123"/>
      <c r="F127" s="8"/>
    </row>
    <row r="128" spans="2:6" ht="15" hidden="1" customHeight="1" x14ac:dyDescent="0.25">
      <c r="B128" s="7"/>
      <c r="C128" s="130" t="s">
        <v>71</v>
      </c>
      <c r="D128" s="134" t="str">
        <f>IF(I.Product.P2bBaselineYear="","Baseline year",I.Product.P2bBaselineYear)</f>
        <v>Baseline year</v>
      </c>
      <c r="E128" s="129" t="s">
        <v>48</v>
      </c>
      <c r="F128" s="8"/>
    </row>
    <row r="129" spans="2:6" ht="15" hidden="1" customHeight="1" x14ac:dyDescent="0.25">
      <c r="B129" s="7"/>
      <c r="C129" s="131" t="s">
        <v>59</v>
      </c>
      <c r="D129" s="135"/>
      <c r="E129" s="137" t="s">
        <v>212</v>
      </c>
      <c r="F129" s="8"/>
    </row>
    <row r="130" spans="2:6" ht="15" hidden="1" customHeight="1" x14ac:dyDescent="0.25">
      <c r="B130" s="7"/>
      <c r="C130" s="131" t="s">
        <v>60</v>
      </c>
      <c r="D130" s="135"/>
      <c r="E130" s="128" t="s">
        <v>94</v>
      </c>
      <c r="F130" s="8"/>
    </row>
    <row r="131" spans="2:6" ht="15" hidden="1" customHeight="1" x14ac:dyDescent="0.25">
      <c r="B131" s="7"/>
      <c r="C131" s="131" t="s">
        <v>61</v>
      </c>
      <c r="D131" s="135"/>
      <c r="E131" s="128" t="s">
        <v>94</v>
      </c>
      <c r="F131" s="8"/>
    </row>
    <row r="132" spans="2:6" ht="15" hidden="1" customHeight="1" x14ac:dyDescent="0.25">
      <c r="B132" s="7"/>
      <c r="C132" s="131" t="s">
        <v>62</v>
      </c>
      <c r="D132" s="135"/>
      <c r="E132" s="128" t="s">
        <v>94</v>
      </c>
      <c r="F132" s="8"/>
    </row>
    <row r="133" spans="2:6" ht="15" hidden="1" customHeight="1" x14ac:dyDescent="0.25">
      <c r="B133" s="7"/>
      <c r="C133" s="131" t="s">
        <v>63</v>
      </c>
      <c r="D133" s="135"/>
      <c r="E133" s="128" t="s">
        <v>94</v>
      </c>
      <c r="F133" s="8"/>
    </row>
    <row r="134" spans="2:6" ht="15" hidden="1" customHeight="1" x14ac:dyDescent="0.25">
      <c r="B134" s="7"/>
      <c r="C134" s="131" t="s">
        <v>64</v>
      </c>
      <c r="D134" s="135"/>
      <c r="E134" s="128" t="s">
        <v>94</v>
      </c>
      <c r="F134" s="8"/>
    </row>
    <row r="135" spans="2:6" ht="15" hidden="1" customHeight="1" x14ac:dyDescent="0.35">
      <c r="B135" s="7"/>
      <c r="C135" s="131" t="s">
        <v>65</v>
      </c>
      <c r="D135" s="135"/>
      <c r="E135" s="137" t="s">
        <v>96</v>
      </c>
      <c r="F135" s="8"/>
    </row>
    <row r="136" spans="2:6" ht="15" hidden="1" customHeight="1" x14ac:dyDescent="0.35">
      <c r="B136" s="7"/>
      <c r="C136" s="131" t="s">
        <v>66</v>
      </c>
      <c r="D136" s="135"/>
      <c r="E136" s="137" t="s">
        <v>97</v>
      </c>
      <c r="F136" s="8"/>
    </row>
    <row r="137" spans="2:6" ht="15" hidden="1" customHeight="1" x14ac:dyDescent="0.35">
      <c r="B137" s="7"/>
      <c r="C137" s="131" t="s">
        <v>67</v>
      </c>
      <c r="D137" s="135"/>
      <c r="E137" s="137" t="s">
        <v>98</v>
      </c>
      <c r="F137" s="8"/>
    </row>
    <row r="138" spans="2:6" ht="15" hidden="1" customHeight="1" x14ac:dyDescent="0.25">
      <c r="B138" s="7"/>
      <c r="C138" s="123"/>
      <c r="D138" s="123"/>
      <c r="E138" s="123"/>
      <c r="F138" s="8"/>
    </row>
    <row r="139" spans="2:6" ht="15" hidden="1" customHeight="1" x14ac:dyDescent="0.25">
      <c r="B139" s="7"/>
      <c r="C139" s="123" t="s">
        <v>70</v>
      </c>
      <c r="D139" s="123"/>
      <c r="E139" s="123"/>
      <c r="F139" s="8"/>
    </row>
    <row r="140" spans="2:6" ht="15" hidden="1" customHeight="1" x14ac:dyDescent="0.25">
      <c r="B140" s="7"/>
      <c r="C140" s="130" t="s">
        <v>71</v>
      </c>
      <c r="D140" s="134" t="str">
        <f>IF(I.Product.P2bBaselineYear="","Baseline year",I.Product.P2bBaselineYear)</f>
        <v>Baseline year</v>
      </c>
      <c r="E140" s="129" t="s">
        <v>48</v>
      </c>
      <c r="F140" s="8"/>
    </row>
    <row r="141" spans="2:6" ht="15" hidden="1" customHeight="1" x14ac:dyDescent="0.35">
      <c r="B141" s="7"/>
      <c r="C141" s="131" t="s">
        <v>72</v>
      </c>
      <c r="D141" s="135"/>
      <c r="E141" s="137" t="s">
        <v>4329</v>
      </c>
      <c r="F141" s="8"/>
    </row>
    <row r="142" spans="2:6" ht="15" hidden="1" customHeight="1" x14ac:dyDescent="0.35">
      <c r="B142" s="7"/>
      <c r="C142" s="131" t="s">
        <v>73</v>
      </c>
      <c r="D142" s="135"/>
      <c r="E142" s="137" t="s">
        <v>4330</v>
      </c>
      <c r="F142" s="8"/>
    </row>
    <row r="143" spans="2:6" ht="15" hidden="1" customHeight="1" x14ac:dyDescent="0.35">
      <c r="B143" s="7"/>
      <c r="C143" s="131" t="s">
        <v>74</v>
      </c>
      <c r="D143" s="135"/>
      <c r="E143" s="137" t="s">
        <v>4331</v>
      </c>
      <c r="F143" s="8"/>
    </row>
    <row r="144" spans="2:6" ht="15" hidden="1" customHeight="1" x14ac:dyDescent="0.35">
      <c r="B144" s="7"/>
      <c r="C144" s="131" t="s">
        <v>75</v>
      </c>
      <c r="D144" s="135"/>
      <c r="E144" s="137" t="s">
        <v>4332</v>
      </c>
      <c r="F144" s="8"/>
    </row>
    <row r="145" spans="2:6" ht="15" hidden="1" customHeight="1" x14ac:dyDescent="0.35">
      <c r="B145" s="7"/>
      <c r="C145" s="131" t="s">
        <v>76</v>
      </c>
      <c r="D145" s="135"/>
      <c r="E145" s="137" t="s">
        <v>4333</v>
      </c>
      <c r="F145" s="8"/>
    </row>
    <row r="146" spans="2:6" ht="15" hidden="1" customHeight="1" x14ac:dyDescent="0.35">
      <c r="B146" s="7"/>
      <c r="C146" s="131" t="s">
        <v>77</v>
      </c>
      <c r="D146" s="135"/>
      <c r="E146" s="137" t="s">
        <v>4334</v>
      </c>
      <c r="F146" s="8"/>
    </row>
    <row r="147" spans="2:6" ht="15" hidden="1" customHeight="1" x14ac:dyDescent="0.35">
      <c r="B147" s="7"/>
      <c r="C147" s="131" t="s">
        <v>78</v>
      </c>
      <c r="D147" s="135"/>
      <c r="E147" s="137" t="s">
        <v>4335</v>
      </c>
      <c r="F147" s="8"/>
    </row>
    <row r="148" spans="2:6" ht="15" hidden="1" customHeight="1" x14ac:dyDescent="0.35">
      <c r="B148" s="7"/>
      <c r="C148" s="131" t="s">
        <v>79</v>
      </c>
      <c r="D148" s="135"/>
      <c r="E148" s="137" t="s">
        <v>4336</v>
      </c>
      <c r="F148" s="8"/>
    </row>
    <row r="149" spans="2:6" ht="15" hidden="1" customHeight="1" x14ac:dyDescent="0.35">
      <c r="B149" s="7"/>
      <c r="C149" s="131" t="s">
        <v>80</v>
      </c>
      <c r="D149" s="135"/>
      <c r="E149" s="137" t="s">
        <v>4337</v>
      </c>
      <c r="F149" s="8"/>
    </row>
    <row r="150" spans="2:6" ht="15" hidden="1" customHeight="1" x14ac:dyDescent="0.35">
      <c r="B150" s="7"/>
      <c r="C150" s="131" t="s">
        <v>81</v>
      </c>
      <c r="D150" s="135"/>
      <c r="E150" s="137" t="s">
        <v>4338</v>
      </c>
      <c r="F150" s="8"/>
    </row>
    <row r="151" spans="2:6" ht="15" hidden="1" customHeight="1" x14ac:dyDescent="0.35">
      <c r="B151" s="7"/>
      <c r="C151" s="131" t="s">
        <v>82</v>
      </c>
      <c r="D151" s="135"/>
      <c r="E151" s="137" t="s">
        <v>4339</v>
      </c>
      <c r="F151" s="8"/>
    </row>
    <row r="152" spans="2:6" ht="15" hidden="1" customHeight="1" x14ac:dyDescent="0.35">
      <c r="B152" s="7"/>
      <c r="C152" s="131" t="s">
        <v>83</v>
      </c>
      <c r="D152" s="135"/>
      <c r="E152" s="137" t="s">
        <v>4340</v>
      </c>
      <c r="F152" s="8"/>
    </row>
    <row r="153" spans="2:6" ht="15" hidden="1" customHeight="1" x14ac:dyDescent="0.35">
      <c r="B153" s="7"/>
      <c r="C153" s="131" t="s">
        <v>84</v>
      </c>
      <c r="D153" s="135"/>
      <c r="E153" s="137" t="s">
        <v>4341</v>
      </c>
      <c r="F153" s="8"/>
    </row>
    <row r="154" spans="2:6" ht="15" hidden="1" customHeight="1" x14ac:dyDescent="0.35">
      <c r="B154" s="7"/>
      <c r="C154" s="131" t="s">
        <v>85</v>
      </c>
      <c r="D154" s="135"/>
      <c r="E154" s="137" t="s">
        <v>4342</v>
      </c>
      <c r="F154" s="8"/>
    </row>
    <row r="155" spans="2:6" ht="15" hidden="1" customHeight="1" x14ac:dyDescent="0.35">
      <c r="B155" s="7"/>
      <c r="C155" s="131" t="s">
        <v>86</v>
      </c>
      <c r="D155" s="135"/>
      <c r="E155" s="137" t="s">
        <v>4343</v>
      </c>
      <c r="F155" s="8"/>
    </row>
    <row r="156" spans="2:6" ht="15" hidden="1" customHeight="1" x14ac:dyDescent="0.35">
      <c r="B156" s="7"/>
      <c r="C156" s="131" t="s">
        <v>87</v>
      </c>
      <c r="D156" s="135"/>
      <c r="E156" s="137" t="s">
        <v>4344</v>
      </c>
      <c r="F156" s="8"/>
    </row>
    <row r="157" spans="2:6" ht="15" hidden="1" customHeight="1" x14ac:dyDescent="0.35">
      <c r="B157" s="7"/>
      <c r="C157" s="131" t="s">
        <v>88</v>
      </c>
      <c r="D157" s="135"/>
      <c r="E157" s="137" t="s">
        <v>4345</v>
      </c>
      <c r="F157" s="8"/>
    </row>
    <row r="158" spans="2:6" ht="15" hidden="1" customHeight="1" x14ac:dyDescent="0.35">
      <c r="B158" s="7"/>
      <c r="C158" s="131" t="s">
        <v>89</v>
      </c>
      <c r="D158" s="135"/>
      <c r="E158" s="137" t="s">
        <v>4346</v>
      </c>
      <c r="F158" s="8"/>
    </row>
    <row r="159" spans="2:6" ht="15" hidden="1" customHeight="1" x14ac:dyDescent="0.35">
      <c r="B159" s="7"/>
      <c r="C159" s="131" t="s">
        <v>90</v>
      </c>
      <c r="D159" s="135"/>
      <c r="E159" s="137" t="s">
        <v>4347</v>
      </c>
      <c r="F159" s="8"/>
    </row>
    <row r="160" spans="2:6" ht="15" hidden="1" customHeight="1" x14ac:dyDescent="0.35">
      <c r="B160" s="7"/>
      <c r="C160" s="131" t="s">
        <v>91</v>
      </c>
      <c r="D160" s="135"/>
      <c r="E160" s="137" t="s">
        <v>4348</v>
      </c>
      <c r="F160" s="8"/>
    </row>
    <row r="161" spans="2:6" ht="15" hidden="1" customHeight="1" x14ac:dyDescent="0.35">
      <c r="B161" s="7"/>
      <c r="C161" s="131" t="s">
        <v>92</v>
      </c>
      <c r="D161" s="135"/>
      <c r="E161" s="137" t="s">
        <v>4349</v>
      </c>
      <c r="F161" s="8"/>
    </row>
    <row r="162" spans="2:6" ht="15" hidden="1" customHeight="1" x14ac:dyDescent="0.25">
      <c r="B162" s="7"/>
      <c r="C162" s="123"/>
      <c r="D162" s="123"/>
      <c r="E162" s="123"/>
      <c r="F162" s="8"/>
    </row>
    <row r="163" spans="2:6" ht="15" hidden="1" customHeight="1" x14ac:dyDescent="0.25">
      <c r="B163" s="7"/>
      <c r="C163" s="123" t="s">
        <v>100</v>
      </c>
      <c r="D163" s="123"/>
      <c r="E163" s="123"/>
      <c r="F163" s="8"/>
    </row>
    <row r="164" spans="2:6" ht="15" hidden="1" customHeight="1" x14ac:dyDescent="0.25">
      <c r="B164" s="7"/>
      <c r="C164" s="130" t="s">
        <v>71</v>
      </c>
      <c r="D164" s="134" t="str">
        <f>IF(I.Product.P2bBaselineYear="","Baseline year",I.Product.P2bBaselineYear)</f>
        <v>Baseline year</v>
      </c>
      <c r="E164" s="129" t="s">
        <v>48</v>
      </c>
      <c r="F164" s="8"/>
    </row>
    <row r="165" spans="2:6" ht="15" hidden="1" customHeight="1" x14ac:dyDescent="0.25">
      <c r="B165" s="7"/>
      <c r="C165" s="131" t="s">
        <v>251</v>
      </c>
      <c r="D165" s="135"/>
      <c r="E165" s="137" t="s">
        <v>212</v>
      </c>
      <c r="F165" s="8"/>
    </row>
    <row r="166" spans="2:6" ht="15" hidden="1" customHeight="1" x14ac:dyDescent="0.25">
      <c r="B166" s="7"/>
      <c r="C166" s="131" t="s">
        <v>252</v>
      </c>
      <c r="D166" s="135"/>
      <c r="E166" s="137" t="s">
        <v>212</v>
      </c>
      <c r="F166" s="8"/>
    </row>
    <row r="167" spans="2:6" ht="15" hidden="1" customHeight="1" x14ac:dyDescent="0.35">
      <c r="B167" s="7"/>
      <c r="C167" s="131" t="s">
        <v>65</v>
      </c>
      <c r="D167" s="135"/>
      <c r="E167" s="137" t="s">
        <v>96</v>
      </c>
      <c r="F167" s="8"/>
    </row>
    <row r="168" spans="2:6" ht="15" hidden="1" customHeight="1" x14ac:dyDescent="0.35">
      <c r="B168" s="7"/>
      <c r="C168" s="131" t="s">
        <v>66</v>
      </c>
      <c r="D168" s="135"/>
      <c r="E168" s="137" t="s">
        <v>97</v>
      </c>
      <c r="F168" s="8"/>
    </row>
    <row r="169" spans="2:6" ht="15" hidden="1" customHeight="1" x14ac:dyDescent="0.35">
      <c r="B169" s="7"/>
      <c r="C169" s="131" t="s">
        <v>67</v>
      </c>
      <c r="D169" s="135"/>
      <c r="E169" s="137" t="s">
        <v>98</v>
      </c>
      <c r="F169" s="8"/>
    </row>
    <row r="170" spans="2:6" ht="15" hidden="1" customHeight="1" x14ac:dyDescent="0.25">
      <c r="B170" s="7"/>
      <c r="C170" s="136" t="s">
        <v>253</v>
      </c>
      <c r="D170" s="123"/>
      <c r="E170" s="123"/>
      <c r="F170" s="8"/>
    </row>
    <row r="171" spans="2:6" ht="15" hidden="1" customHeight="1" x14ac:dyDescent="0.25">
      <c r="B171" s="7"/>
      <c r="C171" s="136" t="s">
        <v>254</v>
      </c>
      <c r="D171" s="123"/>
      <c r="E171" s="123"/>
      <c r="F171" s="8"/>
    </row>
    <row r="172" spans="2:6" ht="15" hidden="1" customHeight="1" x14ac:dyDescent="0.25">
      <c r="B172" s="7"/>
      <c r="C172" s="123"/>
      <c r="D172" s="123"/>
      <c r="E172" s="123"/>
      <c r="F172" s="8"/>
    </row>
    <row r="173" spans="2:6" ht="15" hidden="1" customHeight="1" x14ac:dyDescent="0.25">
      <c r="B173" s="7"/>
      <c r="C173" s="123" t="s">
        <v>93</v>
      </c>
      <c r="D173" s="123"/>
      <c r="E173" s="123"/>
      <c r="F173" s="8"/>
    </row>
    <row r="174" spans="2:6" ht="15" hidden="1" customHeight="1" x14ac:dyDescent="0.25">
      <c r="B174" s="7"/>
      <c r="C174" s="130" t="s">
        <v>71</v>
      </c>
      <c r="D174" s="134" t="str">
        <f>IF(I.Product.P2bBaselineYear="","Baseline year",I.Product.P2bBaselineYear)</f>
        <v>Baseline year</v>
      </c>
      <c r="E174" s="129" t="s">
        <v>48</v>
      </c>
      <c r="F174" s="8"/>
    </row>
    <row r="175" spans="2:6" ht="15" hidden="1" customHeight="1" x14ac:dyDescent="0.35">
      <c r="B175" s="7"/>
      <c r="C175" s="131" t="s">
        <v>65</v>
      </c>
      <c r="D175" s="135"/>
      <c r="E175" s="137" t="s">
        <v>96</v>
      </c>
      <c r="F175" s="8"/>
    </row>
    <row r="176" spans="2:6" ht="15" hidden="1" customHeight="1" x14ac:dyDescent="0.35">
      <c r="B176" s="7"/>
      <c r="C176" s="131" t="s">
        <v>66</v>
      </c>
      <c r="D176" s="135"/>
      <c r="E176" s="137" t="s">
        <v>97</v>
      </c>
      <c r="F176" s="8"/>
    </row>
    <row r="177" spans="2:6" ht="15" hidden="1" customHeight="1" x14ac:dyDescent="0.35">
      <c r="B177" s="7"/>
      <c r="C177" s="131" t="s">
        <v>67</v>
      </c>
      <c r="D177" s="135"/>
      <c r="E177" s="137" t="s">
        <v>98</v>
      </c>
      <c r="F177" s="8"/>
    </row>
    <row r="178" spans="2:6" ht="15" hidden="1" customHeight="1" x14ac:dyDescent="0.25">
      <c r="B178" s="7"/>
      <c r="C178" s="123"/>
      <c r="D178" s="123"/>
      <c r="E178" s="123"/>
      <c r="F178" s="8"/>
    </row>
    <row r="179" spans="2:6" ht="20.100000000000001" hidden="1" customHeight="1" x14ac:dyDescent="0.25">
      <c r="B179" s="5"/>
      <c r="C179" s="97" t="s">
        <v>52</v>
      </c>
      <c r="D179" s="97"/>
      <c r="E179" s="97"/>
      <c r="F179" s="6"/>
    </row>
    <row r="180" spans="2:6" ht="15" hidden="1" customHeight="1" x14ac:dyDescent="0.25">
      <c r="B180" s="7"/>
      <c r="C180" s="123"/>
      <c r="D180" s="123"/>
      <c r="E180" s="123"/>
      <c r="F180" s="8"/>
    </row>
    <row r="181" spans="2:6" ht="15" hidden="1" customHeight="1" x14ac:dyDescent="0.25">
      <c r="B181" s="7"/>
      <c r="C181" s="123" t="s">
        <v>58</v>
      </c>
      <c r="D181" s="123"/>
      <c r="E181" s="123"/>
      <c r="F181" s="8"/>
    </row>
    <row r="182" spans="2:6" ht="15" hidden="1" customHeight="1" x14ac:dyDescent="0.25">
      <c r="B182" s="7"/>
      <c r="C182" s="130" t="s">
        <v>71</v>
      </c>
      <c r="D182" s="134" t="str">
        <f>IF(I.Product.P3BaselineYear="","Baseline year",I.Product.P3BaselineYear)</f>
        <v>Baseline year</v>
      </c>
      <c r="E182" s="129" t="s">
        <v>48</v>
      </c>
      <c r="F182" s="8"/>
    </row>
    <row r="183" spans="2:6" ht="15" hidden="1" customHeight="1" x14ac:dyDescent="0.25">
      <c r="B183" s="7"/>
      <c r="C183" s="131" t="s">
        <v>4351</v>
      </c>
      <c r="D183" s="135"/>
      <c r="E183" s="128" t="s">
        <v>95</v>
      </c>
      <c r="F183" s="8"/>
    </row>
    <row r="184" spans="2:6" ht="15" hidden="1" customHeight="1" x14ac:dyDescent="0.25">
      <c r="B184" s="7"/>
      <c r="C184" s="123"/>
      <c r="D184" s="123"/>
      <c r="E184" s="123"/>
      <c r="F184" s="8"/>
    </row>
    <row r="185" spans="2:6" ht="15" hidden="1" customHeight="1" x14ac:dyDescent="0.25">
      <c r="B185" s="7"/>
      <c r="C185" s="123" t="s">
        <v>99</v>
      </c>
      <c r="D185" s="123"/>
      <c r="E185" s="123"/>
      <c r="F185" s="8"/>
    </row>
    <row r="186" spans="2:6" ht="15" hidden="1" customHeight="1" x14ac:dyDescent="0.25">
      <c r="B186" s="7"/>
      <c r="C186" s="130" t="s">
        <v>71</v>
      </c>
      <c r="D186" s="134" t="str">
        <f>IF(I.Product.P3BaselineYear="","Baseline year",I.Product.P3BaselineYear)</f>
        <v>Baseline year</v>
      </c>
      <c r="E186" s="129" t="s">
        <v>48</v>
      </c>
      <c r="F186" s="8"/>
    </row>
    <row r="187" spans="2:6" ht="15" hidden="1" customHeight="1" x14ac:dyDescent="0.25">
      <c r="B187" s="7"/>
      <c r="C187" s="131" t="s">
        <v>59</v>
      </c>
      <c r="D187" s="135"/>
      <c r="E187" s="137" t="s">
        <v>212</v>
      </c>
      <c r="F187" s="8"/>
    </row>
    <row r="188" spans="2:6" ht="15" hidden="1" customHeight="1" x14ac:dyDescent="0.25">
      <c r="B188" s="7"/>
      <c r="C188" s="131" t="s">
        <v>60</v>
      </c>
      <c r="D188" s="135"/>
      <c r="E188" s="128" t="s">
        <v>94</v>
      </c>
      <c r="F188" s="8"/>
    </row>
    <row r="189" spans="2:6" ht="15" hidden="1" customHeight="1" x14ac:dyDescent="0.25">
      <c r="B189" s="7"/>
      <c r="C189" s="131" t="s">
        <v>61</v>
      </c>
      <c r="D189" s="135"/>
      <c r="E189" s="128" t="s">
        <v>94</v>
      </c>
      <c r="F189" s="8"/>
    </row>
    <row r="190" spans="2:6" ht="15" hidden="1" customHeight="1" x14ac:dyDescent="0.25">
      <c r="B190" s="7"/>
      <c r="C190" s="131" t="s">
        <v>62</v>
      </c>
      <c r="D190" s="135"/>
      <c r="E190" s="128" t="s">
        <v>94</v>
      </c>
      <c r="F190" s="8"/>
    </row>
    <row r="191" spans="2:6" ht="15" hidden="1" customHeight="1" x14ac:dyDescent="0.25">
      <c r="B191" s="7"/>
      <c r="C191" s="131" t="s">
        <v>63</v>
      </c>
      <c r="D191" s="135"/>
      <c r="E191" s="128" t="s">
        <v>94</v>
      </c>
      <c r="F191" s="8"/>
    </row>
    <row r="192" spans="2:6" ht="15" hidden="1" customHeight="1" x14ac:dyDescent="0.25">
      <c r="B192" s="7"/>
      <c r="C192" s="131" t="s">
        <v>64</v>
      </c>
      <c r="D192" s="135"/>
      <c r="E192" s="128" t="s">
        <v>94</v>
      </c>
      <c r="F192" s="8"/>
    </row>
    <row r="193" spans="2:6" ht="15" hidden="1" customHeight="1" x14ac:dyDescent="0.35">
      <c r="B193" s="7"/>
      <c r="C193" s="131" t="s">
        <v>65</v>
      </c>
      <c r="D193" s="135"/>
      <c r="E193" s="137" t="s">
        <v>96</v>
      </c>
      <c r="F193" s="8"/>
    </row>
    <row r="194" spans="2:6" ht="15" hidden="1" customHeight="1" x14ac:dyDescent="0.35">
      <c r="B194" s="7"/>
      <c r="C194" s="131" t="s">
        <v>66</v>
      </c>
      <c r="D194" s="135"/>
      <c r="E194" s="137" t="s">
        <v>97</v>
      </c>
      <c r="F194" s="8"/>
    </row>
    <row r="195" spans="2:6" ht="15" hidden="1" customHeight="1" x14ac:dyDescent="0.35">
      <c r="B195" s="7"/>
      <c r="C195" s="131" t="s">
        <v>67</v>
      </c>
      <c r="D195" s="135"/>
      <c r="E195" s="137" t="s">
        <v>98</v>
      </c>
      <c r="F195" s="8"/>
    </row>
    <row r="196" spans="2:6" ht="15" hidden="1" customHeight="1" x14ac:dyDescent="0.25">
      <c r="B196" s="7"/>
      <c r="C196" s="123"/>
      <c r="D196" s="123"/>
      <c r="E196" s="123"/>
      <c r="F196" s="8"/>
    </row>
    <row r="197" spans="2:6" ht="15" hidden="1" customHeight="1" x14ac:dyDescent="0.25">
      <c r="B197" s="7"/>
      <c r="C197" s="123" t="s">
        <v>70</v>
      </c>
      <c r="D197" s="123"/>
      <c r="E197" s="123"/>
      <c r="F197" s="8"/>
    </row>
    <row r="198" spans="2:6" ht="15" hidden="1" customHeight="1" x14ac:dyDescent="0.25">
      <c r="B198" s="7"/>
      <c r="C198" s="130" t="s">
        <v>71</v>
      </c>
      <c r="D198" s="134" t="str">
        <f>IF(I.Product.P3BaselineYear="","Baseline year",I.Product.P3BaselineYear)</f>
        <v>Baseline year</v>
      </c>
      <c r="E198" s="129" t="s">
        <v>48</v>
      </c>
      <c r="F198" s="8"/>
    </row>
    <row r="199" spans="2:6" ht="15" hidden="1" customHeight="1" x14ac:dyDescent="0.35">
      <c r="B199" s="7"/>
      <c r="C199" s="131" t="s">
        <v>72</v>
      </c>
      <c r="D199" s="135"/>
      <c r="E199" s="137" t="s">
        <v>4329</v>
      </c>
      <c r="F199" s="8"/>
    </row>
    <row r="200" spans="2:6" ht="15" hidden="1" customHeight="1" x14ac:dyDescent="0.35">
      <c r="B200" s="7"/>
      <c r="C200" s="131" t="s">
        <v>73</v>
      </c>
      <c r="D200" s="135"/>
      <c r="E200" s="137" t="s">
        <v>4330</v>
      </c>
      <c r="F200" s="8"/>
    </row>
    <row r="201" spans="2:6" ht="15" hidden="1" customHeight="1" x14ac:dyDescent="0.35">
      <c r="B201" s="7"/>
      <c r="C201" s="131" t="s">
        <v>74</v>
      </c>
      <c r="D201" s="135"/>
      <c r="E201" s="137" t="s">
        <v>4331</v>
      </c>
      <c r="F201" s="8"/>
    </row>
    <row r="202" spans="2:6" ht="15" hidden="1" customHeight="1" x14ac:dyDescent="0.35">
      <c r="B202" s="7"/>
      <c r="C202" s="131" t="s">
        <v>75</v>
      </c>
      <c r="D202" s="135"/>
      <c r="E202" s="137" t="s">
        <v>4332</v>
      </c>
      <c r="F202" s="8"/>
    </row>
    <row r="203" spans="2:6" ht="15" hidden="1" customHeight="1" x14ac:dyDescent="0.35">
      <c r="B203" s="7"/>
      <c r="C203" s="131" t="s">
        <v>76</v>
      </c>
      <c r="D203" s="135"/>
      <c r="E203" s="137" t="s">
        <v>4333</v>
      </c>
      <c r="F203" s="8"/>
    </row>
    <row r="204" spans="2:6" ht="15" hidden="1" customHeight="1" x14ac:dyDescent="0.35">
      <c r="B204" s="7"/>
      <c r="C204" s="131" t="s">
        <v>77</v>
      </c>
      <c r="D204" s="135"/>
      <c r="E204" s="137" t="s">
        <v>4334</v>
      </c>
      <c r="F204" s="8"/>
    </row>
    <row r="205" spans="2:6" ht="15" hidden="1" customHeight="1" x14ac:dyDescent="0.35">
      <c r="B205" s="7"/>
      <c r="C205" s="131" t="s">
        <v>78</v>
      </c>
      <c r="D205" s="135"/>
      <c r="E205" s="137" t="s">
        <v>4335</v>
      </c>
      <c r="F205" s="8"/>
    </row>
    <row r="206" spans="2:6" ht="15" hidden="1" customHeight="1" x14ac:dyDescent="0.35">
      <c r="B206" s="7"/>
      <c r="C206" s="131" t="s">
        <v>79</v>
      </c>
      <c r="D206" s="135"/>
      <c r="E206" s="137" t="s">
        <v>4336</v>
      </c>
      <c r="F206" s="8"/>
    </row>
    <row r="207" spans="2:6" ht="15" hidden="1" customHeight="1" x14ac:dyDescent="0.35">
      <c r="B207" s="7"/>
      <c r="C207" s="131" t="s">
        <v>80</v>
      </c>
      <c r="D207" s="135"/>
      <c r="E207" s="137" t="s">
        <v>4337</v>
      </c>
      <c r="F207" s="8"/>
    </row>
    <row r="208" spans="2:6" ht="15" hidden="1" customHeight="1" x14ac:dyDescent="0.35">
      <c r="B208" s="7"/>
      <c r="C208" s="131" t="s">
        <v>81</v>
      </c>
      <c r="D208" s="135"/>
      <c r="E208" s="137" t="s">
        <v>4338</v>
      </c>
      <c r="F208" s="8"/>
    </row>
    <row r="209" spans="2:6" ht="15" hidden="1" customHeight="1" x14ac:dyDescent="0.35">
      <c r="B209" s="7"/>
      <c r="C209" s="131" t="s">
        <v>82</v>
      </c>
      <c r="D209" s="135"/>
      <c r="E209" s="137" t="s">
        <v>4339</v>
      </c>
      <c r="F209" s="8"/>
    </row>
    <row r="210" spans="2:6" ht="15" hidden="1" customHeight="1" x14ac:dyDescent="0.35">
      <c r="B210" s="7"/>
      <c r="C210" s="131" t="s">
        <v>83</v>
      </c>
      <c r="D210" s="135"/>
      <c r="E210" s="137" t="s">
        <v>4340</v>
      </c>
      <c r="F210" s="8"/>
    </row>
    <row r="211" spans="2:6" ht="15" hidden="1" customHeight="1" x14ac:dyDescent="0.35">
      <c r="B211" s="7"/>
      <c r="C211" s="131" t="s">
        <v>84</v>
      </c>
      <c r="D211" s="135"/>
      <c r="E211" s="137" t="s">
        <v>4341</v>
      </c>
      <c r="F211" s="8"/>
    </row>
    <row r="212" spans="2:6" ht="15" hidden="1" customHeight="1" x14ac:dyDescent="0.35">
      <c r="B212" s="7"/>
      <c r="C212" s="131" t="s">
        <v>85</v>
      </c>
      <c r="D212" s="135"/>
      <c r="E212" s="137" t="s">
        <v>4342</v>
      </c>
      <c r="F212" s="8"/>
    </row>
    <row r="213" spans="2:6" ht="15" hidden="1" customHeight="1" x14ac:dyDescent="0.35">
      <c r="B213" s="7"/>
      <c r="C213" s="131" t="s">
        <v>86</v>
      </c>
      <c r="D213" s="135"/>
      <c r="E213" s="137" t="s">
        <v>4343</v>
      </c>
      <c r="F213" s="8"/>
    </row>
    <row r="214" spans="2:6" ht="15" hidden="1" customHeight="1" x14ac:dyDescent="0.35">
      <c r="B214" s="7"/>
      <c r="C214" s="131" t="s">
        <v>87</v>
      </c>
      <c r="D214" s="135"/>
      <c r="E214" s="137" t="s">
        <v>4344</v>
      </c>
      <c r="F214" s="8"/>
    </row>
    <row r="215" spans="2:6" ht="15" hidden="1" customHeight="1" x14ac:dyDescent="0.35">
      <c r="B215" s="7"/>
      <c r="C215" s="131" t="s">
        <v>88</v>
      </c>
      <c r="D215" s="135"/>
      <c r="E215" s="137" t="s">
        <v>4345</v>
      </c>
      <c r="F215" s="8"/>
    </row>
    <row r="216" spans="2:6" ht="15" hidden="1" customHeight="1" x14ac:dyDescent="0.35">
      <c r="B216" s="7"/>
      <c r="C216" s="131" t="s">
        <v>89</v>
      </c>
      <c r="D216" s="135"/>
      <c r="E216" s="137" t="s">
        <v>4346</v>
      </c>
      <c r="F216" s="8"/>
    </row>
    <row r="217" spans="2:6" ht="15" hidden="1" customHeight="1" x14ac:dyDescent="0.35">
      <c r="B217" s="7"/>
      <c r="C217" s="131" t="s">
        <v>90</v>
      </c>
      <c r="D217" s="135"/>
      <c r="E217" s="137" t="s">
        <v>4347</v>
      </c>
      <c r="F217" s="8"/>
    </row>
    <row r="218" spans="2:6" ht="15" hidden="1" customHeight="1" x14ac:dyDescent="0.35">
      <c r="B218" s="7"/>
      <c r="C218" s="131" t="s">
        <v>91</v>
      </c>
      <c r="D218" s="135"/>
      <c r="E218" s="137" t="s">
        <v>4348</v>
      </c>
      <c r="F218" s="8"/>
    </row>
    <row r="219" spans="2:6" ht="15" hidden="1" customHeight="1" x14ac:dyDescent="0.35">
      <c r="B219" s="7"/>
      <c r="C219" s="131" t="s">
        <v>92</v>
      </c>
      <c r="D219" s="135"/>
      <c r="E219" s="137" t="s">
        <v>4349</v>
      </c>
      <c r="F219" s="8"/>
    </row>
    <row r="220" spans="2:6" ht="15" hidden="1" customHeight="1" x14ac:dyDescent="0.25">
      <c r="B220" s="7"/>
      <c r="C220" s="123"/>
      <c r="D220" s="123"/>
      <c r="E220" s="123"/>
      <c r="F220" s="8"/>
    </row>
    <row r="221" spans="2:6" ht="15" hidden="1" customHeight="1" x14ac:dyDescent="0.25">
      <c r="B221" s="7"/>
      <c r="C221" s="123" t="s">
        <v>100</v>
      </c>
      <c r="D221" s="123"/>
      <c r="E221" s="123"/>
      <c r="F221" s="8"/>
    </row>
    <row r="222" spans="2:6" ht="15" hidden="1" customHeight="1" x14ac:dyDescent="0.25">
      <c r="B222" s="7"/>
      <c r="C222" s="130" t="s">
        <v>71</v>
      </c>
      <c r="D222" s="134" t="str">
        <f>IF(I.Product.P3BaselineYear="","Baseline year",I.Product.P3BaselineYear)</f>
        <v>Baseline year</v>
      </c>
      <c r="E222" s="129" t="s">
        <v>48</v>
      </c>
      <c r="F222" s="8"/>
    </row>
    <row r="223" spans="2:6" ht="15" hidden="1" customHeight="1" x14ac:dyDescent="0.25">
      <c r="B223" s="7"/>
      <c r="C223" s="131" t="s">
        <v>251</v>
      </c>
      <c r="D223" s="135"/>
      <c r="E223" s="137" t="s">
        <v>212</v>
      </c>
      <c r="F223" s="8"/>
    </row>
    <row r="224" spans="2:6" ht="15" hidden="1" customHeight="1" x14ac:dyDescent="0.25">
      <c r="B224" s="7"/>
      <c r="C224" s="131" t="s">
        <v>252</v>
      </c>
      <c r="D224" s="135"/>
      <c r="E224" s="137" t="s">
        <v>212</v>
      </c>
      <c r="F224" s="8"/>
    </row>
    <row r="225" spans="2:6" ht="15" hidden="1" customHeight="1" x14ac:dyDescent="0.35">
      <c r="B225" s="7"/>
      <c r="C225" s="131" t="s">
        <v>65</v>
      </c>
      <c r="D225" s="135"/>
      <c r="E225" s="137" t="s">
        <v>96</v>
      </c>
      <c r="F225" s="8"/>
    </row>
    <row r="226" spans="2:6" ht="15" hidden="1" customHeight="1" x14ac:dyDescent="0.35">
      <c r="B226" s="7"/>
      <c r="C226" s="131" t="s">
        <v>66</v>
      </c>
      <c r="D226" s="135"/>
      <c r="E226" s="137" t="s">
        <v>97</v>
      </c>
      <c r="F226" s="8"/>
    </row>
    <row r="227" spans="2:6" ht="15" hidden="1" customHeight="1" x14ac:dyDescent="0.35">
      <c r="B227" s="7"/>
      <c r="C227" s="131" t="s">
        <v>67</v>
      </c>
      <c r="D227" s="135"/>
      <c r="E227" s="137" t="s">
        <v>98</v>
      </c>
      <c r="F227" s="8"/>
    </row>
    <row r="228" spans="2:6" ht="15" hidden="1" customHeight="1" x14ac:dyDescent="0.25">
      <c r="B228" s="7"/>
      <c r="C228" s="136" t="s">
        <v>253</v>
      </c>
      <c r="D228" s="123"/>
      <c r="E228" s="123"/>
      <c r="F228" s="8"/>
    </row>
    <row r="229" spans="2:6" ht="15" hidden="1" customHeight="1" x14ac:dyDescent="0.25">
      <c r="B229" s="7"/>
      <c r="C229" s="136" t="s">
        <v>254</v>
      </c>
      <c r="D229" s="123"/>
      <c r="E229" s="123"/>
      <c r="F229" s="8"/>
    </row>
    <row r="230" spans="2:6" ht="15" hidden="1" customHeight="1" x14ac:dyDescent="0.25">
      <c r="B230" s="7"/>
      <c r="C230" s="123"/>
      <c r="D230" s="123"/>
      <c r="E230" s="123"/>
      <c r="F230" s="8"/>
    </row>
    <row r="231" spans="2:6" ht="15" hidden="1" customHeight="1" x14ac:dyDescent="0.25">
      <c r="B231" s="7"/>
      <c r="C231" s="123" t="s">
        <v>93</v>
      </c>
      <c r="D231" s="123"/>
      <c r="E231" s="123"/>
      <c r="F231" s="8"/>
    </row>
    <row r="232" spans="2:6" ht="15" hidden="1" customHeight="1" x14ac:dyDescent="0.25">
      <c r="B232" s="7"/>
      <c r="C232" s="130" t="s">
        <v>71</v>
      </c>
      <c r="D232" s="134" t="str">
        <f>IF(I.Product.P3BaselineYear="","Baseline year",I.Product.P3BaselineYear)</f>
        <v>Baseline year</v>
      </c>
      <c r="E232" s="129" t="s">
        <v>48</v>
      </c>
      <c r="F232" s="8"/>
    </row>
    <row r="233" spans="2:6" ht="15" hidden="1" customHeight="1" x14ac:dyDescent="0.35">
      <c r="B233" s="7"/>
      <c r="C233" s="131" t="s">
        <v>65</v>
      </c>
      <c r="D233" s="135"/>
      <c r="E233" s="137" t="s">
        <v>96</v>
      </c>
      <c r="F233" s="8"/>
    </row>
    <row r="234" spans="2:6" ht="15" hidden="1" customHeight="1" x14ac:dyDescent="0.35">
      <c r="B234" s="7"/>
      <c r="C234" s="131" t="s">
        <v>66</v>
      </c>
      <c r="D234" s="135"/>
      <c r="E234" s="137" t="s">
        <v>97</v>
      </c>
      <c r="F234" s="8"/>
    </row>
    <row r="235" spans="2:6" ht="15" hidden="1" customHeight="1" x14ac:dyDescent="0.35">
      <c r="B235" s="7"/>
      <c r="C235" s="131" t="s">
        <v>67</v>
      </c>
      <c r="D235" s="135"/>
      <c r="E235" s="137" t="s">
        <v>98</v>
      </c>
      <c r="F235" s="8"/>
    </row>
    <row r="236" spans="2:6" ht="15" hidden="1" customHeight="1" x14ac:dyDescent="0.25">
      <c r="B236" s="7"/>
      <c r="C236" s="123"/>
      <c r="D236" s="123"/>
      <c r="E236" s="123"/>
      <c r="F236" s="8"/>
    </row>
    <row r="237" spans="2:6" ht="20.100000000000001" hidden="1" customHeight="1" x14ac:dyDescent="0.25">
      <c r="B237" s="5"/>
      <c r="C237" s="97" t="s">
        <v>53</v>
      </c>
      <c r="D237" s="97"/>
      <c r="E237" s="97"/>
      <c r="F237" s="6"/>
    </row>
    <row r="238" spans="2:6" ht="15" hidden="1" customHeight="1" x14ac:dyDescent="0.25">
      <c r="B238" s="7"/>
      <c r="C238" s="123"/>
      <c r="D238" s="123"/>
      <c r="E238" s="123"/>
      <c r="F238" s="8"/>
    </row>
    <row r="239" spans="2:6" ht="15" hidden="1" customHeight="1" x14ac:dyDescent="0.25">
      <c r="B239" s="7"/>
      <c r="C239" s="123" t="s">
        <v>58</v>
      </c>
      <c r="D239" s="123"/>
      <c r="E239" s="123"/>
      <c r="F239" s="8"/>
    </row>
    <row r="240" spans="2:6" ht="15" hidden="1" customHeight="1" x14ac:dyDescent="0.25">
      <c r="B240" s="7"/>
      <c r="C240" s="130" t="s">
        <v>71</v>
      </c>
      <c r="D240" s="134" t="str">
        <f>IF(I.Product.P4BaselineYear="","Baseline year",I.Product.P4BaselineYear)</f>
        <v>Baseline year</v>
      </c>
      <c r="E240" s="129" t="s">
        <v>48</v>
      </c>
      <c r="F240" s="8"/>
    </row>
    <row r="241" spans="2:6" ht="15" hidden="1" customHeight="1" x14ac:dyDescent="0.25">
      <c r="B241" s="7"/>
      <c r="C241" s="131" t="s">
        <v>4351</v>
      </c>
      <c r="D241" s="135"/>
      <c r="E241" s="128" t="s">
        <v>95</v>
      </c>
      <c r="F241" s="8"/>
    </row>
    <row r="242" spans="2:6" ht="15" hidden="1" customHeight="1" x14ac:dyDescent="0.25">
      <c r="B242" s="7"/>
      <c r="C242" s="123"/>
      <c r="D242" s="123"/>
      <c r="E242" s="123"/>
      <c r="F242" s="8"/>
    </row>
    <row r="243" spans="2:6" ht="15" hidden="1" customHeight="1" x14ac:dyDescent="0.25">
      <c r="B243" s="7"/>
      <c r="C243" s="123" t="s">
        <v>99</v>
      </c>
      <c r="D243" s="123"/>
      <c r="E243" s="123"/>
      <c r="F243" s="8"/>
    </row>
    <row r="244" spans="2:6" ht="15" hidden="1" customHeight="1" x14ac:dyDescent="0.25">
      <c r="B244" s="7"/>
      <c r="C244" s="130" t="s">
        <v>71</v>
      </c>
      <c r="D244" s="134" t="str">
        <f>IF(I.Product.P4BaselineYear="","Baseline year",I.Product.P4BaselineYear)</f>
        <v>Baseline year</v>
      </c>
      <c r="E244" s="129" t="s">
        <v>48</v>
      </c>
      <c r="F244" s="8"/>
    </row>
    <row r="245" spans="2:6" ht="15" hidden="1" customHeight="1" x14ac:dyDescent="0.25">
      <c r="B245" s="7"/>
      <c r="C245" s="131" t="s">
        <v>59</v>
      </c>
      <c r="D245" s="135"/>
      <c r="E245" s="137" t="s">
        <v>212</v>
      </c>
      <c r="F245" s="8"/>
    </row>
    <row r="246" spans="2:6" ht="15" hidden="1" customHeight="1" x14ac:dyDescent="0.25">
      <c r="B246" s="7"/>
      <c r="C246" s="131" t="s">
        <v>60</v>
      </c>
      <c r="D246" s="135"/>
      <c r="E246" s="128" t="s">
        <v>94</v>
      </c>
      <c r="F246" s="8"/>
    </row>
    <row r="247" spans="2:6" ht="15" hidden="1" customHeight="1" x14ac:dyDescent="0.25">
      <c r="B247" s="7"/>
      <c r="C247" s="131" t="s">
        <v>61</v>
      </c>
      <c r="D247" s="135"/>
      <c r="E247" s="128" t="s">
        <v>94</v>
      </c>
      <c r="F247" s="8"/>
    </row>
    <row r="248" spans="2:6" ht="15" hidden="1" customHeight="1" x14ac:dyDescent="0.25">
      <c r="B248" s="7"/>
      <c r="C248" s="131" t="s">
        <v>62</v>
      </c>
      <c r="D248" s="135"/>
      <c r="E248" s="128" t="s">
        <v>94</v>
      </c>
      <c r="F248" s="8"/>
    </row>
    <row r="249" spans="2:6" ht="15" hidden="1" customHeight="1" x14ac:dyDescent="0.25">
      <c r="B249" s="7"/>
      <c r="C249" s="131" t="s">
        <v>63</v>
      </c>
      <c r="D249" s="135"/>
      <c r="E249" s="128" t="s">
        <v>94</v>
      </c>
      <c r="F249" s="8"/>
    </row>
    <row r="250" spans="2:6" ht="15" hidden="1" customHeight="1" x14ac:dyDescent="0.25">
      <c r="B250" s="7"/>
      <c r="C250" s="131" t="s">
        <v>64</v>
      </c>
      <c r="D250" s="135"/>
      <c r="E250" s="128" t="s">
        <v>94</v>
      </c>
      <c r="F250" s="8"/>
    </row>
    <row r="251" spans="2:6" ht="15" hidden="1" customHeight="1" x14ac:dyDescent="0.35">
      <c r="B251" s="7"/>
      <c r="C251" s="131" t="s">
        <v>65</v>
      </c>
      <c r="D251" s="135"/>
      <c r="E251" s="137" t="s">
        <v>96</v>
      </c>
      <c r="F251" s="8"/>
    </row>
    <row r="252" spans="2:6" ht="15" hidden="1" customHeight="1" x14ac:dyDescent="0.35">
      <c r="B252" s="7"/>
      <c r="C252" s="131" t="s">
        <v>66</v>
      </c>
      <c r="D252" s="135"/>
      <c r="E252" s="137" t="s">
        <v>97</v>
      </c>
      <c r="F252" s="8"/>
    </row>
    <row r="253" spans="2:6" ht="15" hidden="1" customHeight="1" x14ac:dyDescent="0.35">
      <c r="B253" s="7"/>
      <c r="C253" s="131" t="s">
        <v>67</v>
      </c>
      <c r="D253" s="135"/>
      <c r="E253" s="137" t="s">
        <v>98</v>
      </c>
      <c r="F253" s="8"/>
    </row>
    <row r="254" spans="2:6" ht="15" hidden="1" customHeight="1" x14ac:dyDescent="0.25">
      <c r="B254" s="7"/>
      <c r="C254" s="123"/>
      <c r="D254" s="123"/>
      <c r="E254" s="123"/>
      <c r="F254" s="8"/>
    </row>
    <row r="255" spans="2:6" ht="15" hidden="1" customHeight="1" x14ac:dyDescent="0.25">
      <c r="B255" s="7"/>
      <c r="C255" s="123" t="s">
        <v>70</v>
      </c>
      <c r="D255" s="123"/>
      <c r="E255" s="123"/>
      <c r="F255" s="8"/>
    </row>
    <row r="256" spans="2:6" ht="15" hidden="1" customHeight="1" x14ac:dyDescent="0.25">
      <c r="B256" s="7"/>
      <c r="C256" s="130" t="s">
        <v>71</v>
      </c>
      <c r="D256" s="134" t="str">
        <f>IF(I.Product.P4BaselineYear="","Baseline year",I.Product.P4BaselineYear)</f>
        <v>Baseline year</v>
      </c>
      <c r="E256" s="129" t="s">
        <v>48</v>
      </c>
      <c r="F256" s="8"/>
    </row>
    <row r="257" spans="2:6" ht="15" hidden="1" customHeight="1" x14ac:dyDescent="0.35">
      <c r="B257" s="7"/>
      <c r="C257" s="131" t="s">
        <v>72</v>
      </c>
      <c r="D257" s="135"/>
      <c r="E257" s="137" t="s">
        <v>4329</v>
      </c>
      <c r="F257" s="8"/>
    </row>
    <row r="258" spans="2:6" ht="15" hidden="1" customHeight="1" x14ac:dyDescent="0.35">
      <c r="B258" s="7"/>
      <c r="C258" s="131" t="s">
        <v>73</v>
      </c>
      <c r="D258" s="135"/>
      <c r="E258" s="137" t="s">
        <v>4330</v>
      </c>
      <c r="F258" s="8"/>
    </row>
    <row r="259" spans="2:6" ht="15" hidden="1" customHeight="1" x14ac:dyDescent="0.35">
      <c r="B259" s="7"/>
      <c r="C259" s="131" t="s">
        <v>74</v>
      </c>
      <c r="D259" s="135"/>
      <c r="E259" s="137" t="s">
        <v>4331</v>
      </c>
      <c r="F259" s="8"/>
    </row>
    <row r="260" spans="2:6" ht="15" hidden="1" customHeight="1" x14ac:dyDescent="0.35">
      <c r="B260" s="7"/>
      <c r="C260" s="131" t="s">
        <v>75</v>
      </c>
      <c r="D260" s="135"/>
      <c r="E260" s="137" t="s">
        <v>4332</v>
      </c>
      <c r="F260" s="8"/>
    </row>
    <row r="261" spans="2:6" ht="15" hidden="1" customHeight="1" x14ac:dyDescent="0.35">
      <c r="B261" s="7"/>
      <c r="C261" s="131" t="s">
        <v>76</v>
      </c>
      <c r="D261" s="135"/>
      <c r="E261" s="137" t="s">
        <v>4333</v>
      </c>
      <c r="F261" s="8"/>
    </row>
    <row r="262" spans="2:6" ht="15" hidden="1" customHeight="1" x14ac:dyDescent="0.35">
      <c r="B262" s="7"/>
      <c r="C262" s="131" t="s">
        <v>77</v>
      </c>
      <c r="D262" s="135"/>
      <c r="E262" s="137" t="s">
        <v>4334</v>
      </c>
      <c r="F262" s="8"/>
    </row>
    <row r="263" spans="2:6" ht="15" hidden="1" customHeight="1" x14ac:dyDescent="0.35">
      <c r="B263" s="7"/>
      <c r="C263" s="131" t="s">
        <v>78</v>
      </c>
      <c r="D263" s="135"/>
      <c r="E263" s="137" t="s">
        <v>4335</v>
      </c>
      <c r="F263" s="8"/>
    </row>
    <row r="264" spans="2:6" ht="15" hidden="1" customHeight="1" x14ac:dyDescent="0.35">
      <c r="B264" s="7"/>
      <c r="C264" s="131" t="s">
        <v>79</v>
      </c>
      <c r="D264" s="135"/>
      <c r="E264" s="137" t="s">
        <v>4336</v>
      </c>
      <c r="F264" s="8"/>
    </row>
    <row r="265" spans="2:6" ht="15" hidden="1" customHeight="1" x14ac:dyDescent="0.35">
      <c r="B265" s="7"/>
      <c r="C265" s="131" t="s">
        <v>80</v>
      </c>
      <c r="D265" s="135"/>
      <c r="E265" s="137" t="s">
        <v>4337</v>
      </c>
      <c r="F265" s="8"/>
    </row>
    <row r="266" spans="2:6" ht="15" hidden="1" customHeight="1" x14ac:dyDescent="0.35">
      <c r="B266" s="7"/>
      <c r="C266" s="131" t="s">
        <v>81</v>
      </c>
      <c r="D266" s="135"/>
      <c r="E266" s="137" t="s">
        <v>4338</v>
      </c>
      <c r="F266" s="8"/>
    </row>
    <row r="267" spans="2:6" ht="15" hidden="1" customHeight="1" x14ac:dyDescent="0.35">
      <c r="B267" s="7"/>
      <c r="C267" s="131" t="s">
        <v>82</v>
      </c>
      <c r="D267" s="135"/>
      <c r="E267" s="137" t="s">
        <v>4339</v>
      </c>
      <c r="F267" s="8"/>
    </row>
    <row r="268" spans="2:6" ht="15" hidden="1" customHeight="1" x14ac:dyDescent="0.35">
      <c r="B268" s="7"/>
      <c r="C268" s="131" t="s">
        <v>83</v>
      </c>
      <c r="D268" s="135"/>
      <c r="E268" s="137" t="s">
        <v>4340</v>
      </c>
      <c r="F268" s="8"/>
    </row>
    <row r="269" spans="2:6" ht="15" hidden="1" customHeight="1" x14ac:dyDescent="0.35">
      <c r="B269" s="7"/>
      <c r="C269" s="131" t="s">
        <v>84</v>
      </c>
      <c r="D269" s="135"/>
      <c r="E269" s="137" t="s">
        <v>4341</v>
      </c>
      <c r="F269" s="8"/>
    </row>
    <row r="270" spans="2:6" ht="15" hidden="1" customHeight="1" x14ac:dyDescent="0.35">
      <c r="B270" s="7"/>
      <c r="C270" s="131" t="s">
        <v>85</v>
      </c>
      <c r="D270" s="135"/>
      <c r="E270" s="137" t="s">
        <v>4342</v>
      </c>
      <c r="F270" s="8"/>
    </row>
    <row r="271" spans="2:6" ht="15" hidden="1" customHeight="1" x14ac:dyDescent="0.35">
      <c r="B271" s="7"/>
      <c r="C271" s="131" t="s">
        <v>86</v>
      </c>
      <c r="D271" s="135"/>
      <c r="E271" s="137" t="s">
        <v>4343</v>
      </c>
      <c r="F271" s="8"/>
    </row>
    <row r="272" spans="2:6" ht="15" hidden="1" customHeight="1" x14ac:dyDescent="0.35">
      <c r="B272" s="7"/>
      <c r="C272" s="131" t="s">
        <v>87</v>
      </c>
      <c r="D272" s="135"/>
      <c r="E272" s="137" t="s">
        <v>4344</v>
      </c>
      <c r="F272" s="8"/>
    </row>
    <row r="273" spans="2:6" ht="15" hidden="1" customHeight="1" x14ac:dyDescent="0.35">
      <c r="B273" s="7"/>
      <c r="C273" s="131" t="s">
        <v>88</v>
      </c>
      <c r="D273" s="135"/>
      <c r="E273" s="137" t="s">
        <v>4345</v>
      </c>
      <c r="F273" s="8"/>
    </row>
    <row r="274" spans="2:6" ht="15" hidden="1" customHeight="1" x14ac:dyDescent="0.35">
      <c r="B274" s="7"/>
      <c r="C274" s="131" t="s">
        <v>89</v>
      </c>
      <c r="D274" s="135"/>
      <c r="E274" s="137" t="s">
        <v>4346</v>
      </c>
      <c r="F274" s="8"/>
    </row>
    <row r="275" spans="2:6" ht="15" hidden="1" customHeight="1" x14ac:dyDescent="0.35">
      <c r="B275" s="7"/>
      <c r="C275" s="131" t="s">
        <v>90</v>
      </c>
      <c r="D275" s="135"/>
      <c r="E275" s="137" t="s">
        <v>4347</v>
      </c>
      <c r="F275" s="8"/>
    </row>
    <row r="276" spans="2:6" ht="15" hidden="1" customHeight="1" x14ac:dyDescent="0.35">
      <c r="B276" s="7"/>
      <c r="C276" s="131" t="s">
        <v>91</v>
      </c>
      <c r="D276" s="135"/>
      <c r="E276" s="137" t="s">
        <v>4348</v>
      </c>
      <c r="F276" s="8"/>
    </row>
    <row r="277" spans="2:6" ht="15" hidden="1" customHeight="1" x14ac:dyDescent="0.35">
      <c r="B277" s="7"/>
      <c r="C277" s="131" t="s">
        <v>92</v>
      </c>
      <c r="D277" s="135"/>
      <c r="E277" s="137" t="s">
        <v>4349</v>
      </c>
      <c r="F277" s="8"/>
    </row>
    <row r="278" spans="2:6" ht="15" hidden="1" customHeight="1" x14ac:dyDescent="0.25">
      <c r="B278" s="7"/>
      <c r="C278" s="123"/>
      <c r="D278" s="123"/>
      <c r="E278" s="123"/>
      <c r="F278" s="8"/>
    </row>
    <row r="279" spans="2:6" ht="15" hidden="1" customHeight="1" x14ac:dyDescent="0.25">
      <c r="B279" s="7"/>
      <c r="C279" s="123" t="s">
        <v>100</v>
      </c>
      <c r="D279" s="123"/>
      <c r="E279" s="123"/>
      <c r="F279" s="8"/>
    </row>
    <row r="280" spans="2:6" ht="15" hidden="1" customHeight="1" x14ac:dyDescent="0.25">
      <c r="B280" s="7"/>
      <c r="C280" s="130" t="s">
        <v>71</v>
      </c>
      <c r="D280" s="134" t="str">
        <f>IF(I.Product.P4BaselineYear="","Baseline year",I.Product.P4BaselineYear)</f>
        <v>Baseline year</v>
      </c>
      <c r="E280" s="129" t="s">
        <v>48</v>
      </c>
      <c r="F280" s="8"/>
    </row>
    <row r="281" spans="2:6" ht="15" hidden="1" customHeight="1" x14ac:dyDescent="0.25">
      <c r="B281" s="7"/>
      <c r="C281" s="131" t="s">
        <v>251</v>
      </c>
      <c r="D281" s="135"/>
      <c r="E281" s="137" t="s">
        <v>212</v>
      </c>
      <c r="F281" s="8"/>
    </row>
    <row r="282" spans="2:6" ht="15" hidden="1" customHeight="1" x14ac:dyDescent="0.25">
      <c r="B282" s="7"/>
      <c r="C282" s="131" t="s">
        <v>252</v>
      </c>
      <c r="D282" s="135"/>
      <c r="E282" s="137" t="s">
        <v>212</v>
      </c>
      <c r="F282" s="8"/>
    </row>
    <row r="283" spans="2:6" ht="15" hidden="1" customHeight="1" x14ac:dyDescent="0.35">
      <c r="B283" s="7"/>
      <c r="C283" s="131" t="s">
        <v>65</v>
      </c>
      <c r="D283" s="135"/>
      <c r="E283" s="137" t="s">
        <v>96</v>
      </c>
      <c r="F283" s="8"/>
    </row>
    <row r="284" spans="2:6" ht="15" hidden="1" customHeight="1" x14ac:dyDescent="0.35">
      <c r="B284" s="7"/>
      <c r="C284" s="131" t="s">
        <v>66</v>
      </c>
      <c r="D284" s="135"/>
      <c r="E284" s="137" t="s">
        <v>97</v>
      </c>
      <c r="F284" s="8"/>
    </row>
    <row r="285" spans="2:6" ht="15" hidden="1" customHeight="1" x14ac:dyDescent="0.35">
      <c r="B285" s="7"/>
      <c r="C285" s="131" t="s">
        <v>67</v>
      </c>
      <c r="D285" s="135"/>
      <c r="E285" s="137" t="s">
        <v>98</v>
      </c>
      <c r="F285" s="8"/>
    </row>
    <row r="286" spans="2:6" ht="15" hidden="1" customHeight="1" x14ac:dyDescent="0.25">
      <c r="B286" s="7"/>
      <c r="C286" s="136" t="s">
        <v>253</v>
      </c>
      <c r="D286" s="123"/>
      <c r="E286" s="123"/>
      <c r="F286" s="8"/>
    </row>
    <row r="287" spans="2:6" ht="15" hidden="1" customHeight="1" x14ac:dyDescent="0.25">
      <c r="B287" s="7"/>
      <c r="C287" s="136" t="s">
        <v>254</v>
      </c>
      <c r="D287" s="123"/>
      <c r="E287" s="123"/>
      <c r="F287" s="8"/>
    </row>
    <row r="288" spans="2:6" ht="15" hidden="1" customHeight="1" x14ac:dyDescent="0.25">
      <c r="B288" s="7"/>
      <c r="C288" s="123"/>
      <c r="D288" s="123"/>
      <c r="E288" s="123"/>
      <c r="F288" s="8"/>
    </row>
    <row r="289" spans="2:6" ht="15" hidden="1" customHeight="1" x14ac:dyDescent="0.25">
      <c r="B289" s="7"/>
      <c r="C289" s="123" t="s">
        <v>93</v>
      </c>
      <c r="D289" s="123"/>
      <c r="E289" s="123"/>
      <c r="F289" s="8"/>
    </row>
    <row r="290" spans="2:6" ht="15" hidden="1" customHeight="1" x14ac:dyDescent="0.25">
      <c r="B290" s="7"/>
      <c r="C290" s="130" t="s">
        <v>71</v>
      </c>
      <c r="D290" s="134" t="str">
        <f>IF(I.Product.P4BaselineYear="","Baseline year",I.Product.P4BaselineYear)</f>
        <v>Baseline year</v>
      </c>
      <c r="E290" s="129" t="s">
        <v>48</v>
      </c>
      <c r="F290" s="8"/>
    </row>
    <row r="291" spans="2:6" ht="15" hidden="1" customHeight="1" x14ac:dyDescent="0.35">
      <c r="B291" s="7"/>
      <c r="C291" s="131" t="s">
        <v>65</v>
      </c>
      <c r="D291" s="135"/>
      <c r="E291" s="137" t="s">
        <v>96</v>
      </c>
      <c r="F291" s="8"/>
    </row>
    <row r="292" spans="2:6" ht="15" hidden="1" customHeight="1" x14ac:dyDescent="0.35">
      <c r="B292" s="7"/>
      <c r="C292" s="131" t="s">
        <v>66</v>
      </c>
      <c r="D292" s="135"/>
      <c r="E292" s="137" t="s">
        <v>97</v>
      </c>
      <c r="F292" s="8"/>
    </row>
    <row r="293" spans="2:6" ht="15" hidden="1" customHeight="1" x14ac:dyDescent="0.35">
      <c r="B293" s="7"/>
      <c r="C293" s="131" t="s">
        <v>67</v>
      </c>
      <c r="D293" s="135"/>
      <c r="E293" s="137" t="s">
        <v>98</v>
      </c>
      <c r="F293" s="8"/>
    </row>
    <row r="294" spans="2:6" ht="15" hidden="1" customHeight="1" x14ac:dyDescent="0.25">
      <c r="B294" s="7"/>
      <c r="C294" s="123"/>
      <c r="D294" s="123"/>
      <c r="E294" s="123"/>
      <c r="F294" s="8"/>
    </row>
    <row r="295" spans="2:6" ht="15" customHeight="1" x14ac:dyDescent="0.25">
      <c r="B295" s="7"/>
      <c r="C295" s="138"/>
      <c r="D295" s="123"/>
      <c r="E295" s="123"/>
      <c r="F295" s="8"/>
    </row>
    <row r="296" spans="2:6" ht="15" customHeight="1" x14ac:dyDescent="0.25">
      <c r="B296" s="7"/>
      <c r="C296" s="123"/>
      <c r="D296" s="123"/>
      <c r="E296" s="123"/>
      <c r="F296" s="8"/>
    </row>
    <row r="297" spans="2:6" ht="15" customHeight="1" x14ac:dyDescent="0.25">
      <c r="B297" s="10"/>
      <c r="C297" s="11">
        <f>R.Instructions.VersionNumber</f>
        <v>4.0199999999999996</v>
      </c>
      <c r="D297" s="12"/>
      <c r="E297" s="13">
        <f>R.Instructions.VersionDate</f>
        <v>45411</v>
      </c>
      <c r="F297" s="14"/>
    </row>
    <row r="298" spans="2:6" customFormat="1" ht="15" customHeight="1" x14ac:dyDescent="0.25"/>
    <row r="299" spans="2:6" ht="15" customHeight="1" x14ac:dyDescent="0.25">
      <c r="C299" s="108" t="str">
        <f>IFERROR(VLOOKUP("Incomplete",Developer!H25043:I25237,2,FALSE),"Sheet complete.")</f>
        <v>Sheet complete.</v>
      </c>
      <c r="D299" s="108"/>
      <c r="E299" s="108"/>
    </row>
    <row r="300" spans="2:6" ht="15" customHeight="1" x14ac:dyDescent="0.25">
      <c r="C300" s="108"/>
      <c r="D300" s="108"/>
      <c r="E300" s="108"/>
    </row>
    <row r="301" spans="2:6" ht="15" customHeight="1" x14ac:dyDescent="0.25">
      <c r="C301" s="108"/>
      <c r="D301" s="108"/>
      <c r="E301" s="108"/>
    </row>
  </sheetData>
  <sheetProtection algorithmName="SHA-512" hashValue="7/uNOACVaf/wlNOSjuh/XqjNPGkUsk63kubT9c10e2aQPS1ajWY3/CO3NaknBcegfja/QN8bsIMfwDTUtn0Z2Q==" saltValue="JIPZ9rkLMQDK/f16DLffPw==" spinCount="100000" sheet="1" objects="1" scenarios="1" selectLockedCells="1"/>
  <mergeCells count="7">
    <mergeCell ref="C237:E237"/>
    <mergeCell ref="C299:E301"/>
    <mergeCell ref="C4:E4"/>
    <mergeCell ref="C5:E5"/>
    <mergeCell ref="C63:E63"/>
    <mergeCell ref="C121:E121"/>
    <mergeCell ref="C179:E179"/>
  </mergeCells>
  <conditionalFormatting sqref="C299">
    <cfRule type="cellIs" dxfId="12" priority="1" stopIfTrue="1" operator="equal">
      <formula>"Sheet complete."</formula>
    </cfRule>
  </conditionalFormatting>
  <printOptions horizontalCentered="1"/>
  <pageMargins left="0.25" right="0.25" top="0.25" bottom="0.25" header="0" footer="0"/>
  <pageSetup scale="85"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5B4A2-FE9F-4CDA-B46A-55C1A074EB8A}">
  <sheetPr codeName="Sheet5">
    <tabColor rgb="FF046A38"/>
    <pageSetUpPr fitToPage="1"/>
  </sheetPr>
  <dimension ref="A1:F284"/>
  <sheetViews>
    <sheetView showGridLines="0" showRowColHeaders="0" zoomScaleNormal="100" workbookViewId="0">
      <selection activeCell="D12" sqref="D12"/>
    </sheetView>
  </sheetViews>
  <sheetFormatPr defaultColWidth="8.7109375" defaultRowHeight="15" customHeight="1" x14ac:dyDescent="0.25"/>
  <cols>
    <col min="1" max="1" width="5.7109375" customWidth="1"/>
    <col min="2" max="2" width="5.7109375" style="122" customWidth="1"/>
    <col min="3" max="5" width="35.7109375" style="122" customWidth="1"/>
    <col min="6" max="6" width="5.7109375" style="122" customWidth="1"/>
    <col min="7" max="16384" width="8.7109375" style="122"/>
  </cols>
  <sheetData>
    <row r="1" spans="2:6" customFormat="1" ht="24.95" customHeight="1" x14ac:dyDescent="0.25"/>
    <row r="2" spans="2:6" customFormat="1" ht="24.95" customHeight="1" x14ac:dyDescent="0.25"/>
    <row r="3" spans="2:6" customFormat="1" ht="24.95" customHeight="1" x14ac:dyDescent="0.25"/>
    <row r="4" spans="2:6" ht="24.95" customHeight="1" x14ac:dyDescent="0.25">
      <c r="B4" s="15"/>
      <c r="C4" s="101" t="s">
        <v>55</v>
      </c>
      <c r="D4" s="101"/>
      <c r="E4" s="101"/>
      <c r="F4" s="16"/>
    </row>
    <row r="5" spans="2:6" ht="15" customHeight="1" x14ac:dyDescent="0.25">
      <c r="B5" s="7"/>
      <c r="C5" s="123"/>
      <c r="D5" s="123"/>
      <c r="E5" s="123"/>
      <c r="F5" s="8"/>
    </row>
    <row r="6" spans="2:6" ht="15" customHeight="1" x14ac:dyDescent="0.25">
      <c r="B6" s="7"/>
      <c r="C6" s="125" t="s">
        <v>4377</v>
      </c>
      <c r="D6" s="124"/>
      <c r="E6" s="124"/>
      <c r="F6" s="8"/>
    </row>
    <row r="7" spans="2:6" ht="15" customHeight="1" x14ac:dyDescent="0.25">
      <c r="B7" s="7"/>
      <c r="C7" s="98"/>
      <c r="D7" s="98"/>
      <c r="E7" s="98"/>
      <c r="F7" s="8"/>
    </row>
    <row r="8" spans="2:6" ht="20.100000000000001" hidden="1" customHeight="1" x14ac:dyDescent="0.25">
      <c r="B8" s="5"/>
      <c r="C8" s="97" t="s">
        <v>49</v>
      </c>
      <c r="D8" s="97"/>
      <c r="E8" s="97"/>
      <c r="F8" s="6"/>
    </row>
    <row r="9" spans="2:6" ht="15" hidden="1" customHeight="1" x14ac:dyDescent="0.25">
      <c r="B9" s="7"/>
      <c r="C9" s="123"/>
      <c r="D9" s="123"/>
      <c r="E9" s="123"/>
      <c r="F9" s="8"/>
    </row>
    <row r="10" spans="2:6" ht="15" hidden="1" customHeight="1" x14ac:dyDescent="0.25">
      <c r="B10" s="7"/>
      <c r="C10" s="123" t="s">
        <v>99</v>
      </c>
      <c r="D10" s="123"/>
      <c r="E10" s="123"/>
      <c r="F10" s="8"/>
    </row>
    <row r="11" spans="2:6" ht="15" hidden="1" customHeight="1" x14ac:dyDescent="0.25">
      <c r="B11" s="7"/>
      <c r="C11" s="130" t="s">
        <v>71</v>
      </c>
      <c r="D11" s="134" t="str">
        <f>IF(I.Product.P1BaselineYear="","Baseline year",I.Product.P1BaselineYear)</f>
        <v>Baseline year</v>
      </c>
      <c r="E11" s="129" t="s">
        <v>48</v>
      </c>
      <c r="F11" s="8"/>
    </row>
    <row r="12" spans="2:6" ht="15" hidden="1" customHeight="1" x14ac:dyDescent="0.25">
      <c r="B12" s="7"/>
      <c r="C12" s="131" t="s">
        <v>59</v>
      </c>
      <c r="D12" s="135"/>
      <c r="E12" s="137" t="s">
        <v>212</v>
      </c>
      <c r="F12" s="8"/>
    </row>
    <row r="13" spans="2:6" ht="15" hidden="1" customHeight="1" x14ac:dyDescent="0.25">
      <c r="B13" s="7"/>
      <c r="C13" s="131" t="s">
        <v>60</v>
      </c>
      <c r="D13" s="135"/>
      <c r="E13" s="128" t="s">
        <v>94</v>
      </c>
      <c r="F13" s="8"/>
    </row>
    <row r="14" spans="2:6" ht="15" hidden="1" customHeight="1" x14ac:dyDescent="0.25">
      <c r="B14" s="7"/>
      <c r="C14" s="131" t="s">
        <v>61</v>
      </c>
      <c r="D14" s="135"/>
      <c r="E14" s="128" t="s">
        <v>94</v>
      </c>
      <c r="F14" s="8"/>
    </row>
    <row r="15" spans="2:6" ht="15" hidden="1" customHeight="1" x14ac:dyDescent="0.25">
      <c r="B15" s="7"/>
      <c r="C15" s="131" t="s">
        <v>62</v>
      </c>
      <c r="D15" s="135"/>
      <c r="E15" s="128" t="s">
        <v>94</v>
      </c>
      <c r="F15" s="8"/>
    </row>
    <row r="16" spans="2:6" ht="15" hidden="1" customHeight="1" x14ac:dyDescent="0.25">
      <c r="B16" s="7"/>
      <c r="C16" s="131" t="s">
        <v>63</v>
      </c>
      <c r="D16" s="135"/>
      <c r="E16" s="128" t="s">
        <v>94</v>
      </c>
      <c r="F16" s="8"/>
    </row>
    <row r="17" spans="2:6" ht="15" hidden="1" customHeight="1" x14ac:dyDescent="0.25">
      <c r="B17" s="7"/>
      <c r="C17" s="131" t="s">
        <v>64</v>
      </c>
      <c r="D17" s="135"/>
      <c r="E17" s="128" t="s">
        <v>94</v>
      </c>
      <c r="F17" s="8"/>
    </row>
    <row r="18" spans="2:6" ht="15" hidden="1" customHeight="1" x14ac:dyDescent="0.35">
      <c r="B18" s="7"/>
      <c r="C18" s="131" t="s">
        <v>65</v>
      </c>
      <c r="D18" s="135"/>
      <c r="E18" s="137" t="s">
        <v>96</v>
      </c>
      <c r="F18" s="8"/>
    </row>
    <row r="19" spans="2:6" ht="15" hidden="1" customHeight="1" x14ac:dyDescent="0.35">
      <c r="B19" s="7"/>
      <c r="C19" s="131" t="s">
        <v>66</v>
      </c>
      <c r="D19" s="135"/>
      <c r="E19" s="137" t="s">
        <v>97</v>
      </c>
      <c r="F19" s="8"/>
    </row>
    <row r="20" spans="2:6" ht="15" hidden="1" customHeight="1" x14ac:dyDescent="0.35">
      <c r="B20" s="7"/>
      <c r="C20" s="131" t="s">
        <v>67</v>
      </c>
      <c r="D20" s="135"/>
      <c r="E20" s="137" t="s">
        <v>98</v>
      </c>
      <c r="F20" s="8"/>
    </row>
    <row r="21" spans="2:6" ht="15" hidden="1" customHeight="1" x14ac:dyDescent="0.25">
      <c r="B21" s="7"/>
      <c r="C21" s="123"/>
      <c r="D21" s="123"/>
      <c r="E21" s="123"/>
      <c r="F21" s="8"/>
    </row>
    <row r="22" spans="2:6" ht="15" hidden="1" customHeight="1" x14ac:dyDescent="0.25">
      <c r="B22" s="7"/>
      <c r="C22" s="123" t="s">
        <v>70</v>
      </c>
      <c r="D22" s="123"/>
      <c r="E22" s="123"/>
      <c r="F22" s="8"/>
    </row>
    <row r="23" spans="2:6" ht="15" hidden="1" customHeight="1" x14ac:dyDescent="0.25">
      <c r="B23" s="7"/>
      <c r="C23" s="130" t="s">
        <v>71</v>
      </c>
      <c r="D23" s="134" t="str">
        <f>IF(I.Product.P1BaselineYear="","Baseline year",I.Product.P1BaselineYear)</f>
        <v>Baseline year</v>
      </c>
      <c r="E23" s="129" t="s">
        <v>48</v>
      </c>
      <c r="F23" s="8"/>
    </row>
    <row r="24" spans="2:6" ht="15" hidden="1" customHeight="1" x14ac:dyDescent="0.35">
      <c r="B24" s="7"/>
      <c r="C24" s="131" t="s">
        <v>72</v>
      </c>
      <c r="D24" s="135"/>
      <c r="E24" s="137" t="s">
        <v>4329</v>
      </c>
      <c r="F24" s="8"/>
    </row>
    <row r="25" spans="2:6" ht="15" hidden="1" customHeight="1" x14ac:dyDescent="0.35">
      <c r="B25" s="7"/>
      <c r="C25" s="131" t="s">
        <v>73</v>
      </c>
      <c r="D25" s="135"/>
      <c r="E25" s="137" t="s">
        <v>4330</v>
      </c>
      <c r="F25" s="8"/>
    </row>
    <row r="26" spans="2:6" ht="15" hidden="1" customHeight="1" x14ac:dyDescent="0.35">
      <c r="B26" s="7"/>
      <c r="C26" s="131" t="s">
        <v>74</v>
      </c>
      <c r="D26" s="135"/>
      <c r="E26" s="137" t="s">
        <v>4331</v>
      </c>
      <c r="F26" s="8"/>
    </row>
    <row r="27" spans="2:6" ht="15" hidden="1" customHeight="1" x14ac:dyDescent="0.35">
      <c r="B27" s="7"/>
      <c r="C27" s="131" t="s">
        <v>75</v>
      </c>
      <c r="D27" s="135"/>
      <c r="E27" s="137" t="s">
        <v>4332</v>
      </c>
      <c r="F27" s="8"/>
    </row>
    <row r="28" spans="2:6" ht="15" hidden="1" customHeight="1" x14ac:dyDescent="0.35">
      <c r="B28" s="7"/>
      <c r="C28" s="131" t="s">
        <v>76</v>
      </c>
      <c r="D28" s="135"/>
      <c r="E28" s="137" t="s">
        <v>4333</v>
      </c>
      <c r="F28" s="8"/>
    </row>
    <row r="29" spans="2:6" ht="15" hidden="1" customHeight="1" x14ac:dyDescent="0.35">
      <c r="B29" s="7"/>
      <c r="C29" s="131" t="s">
        <v>77</v>
      </c>
      <c r="D29" s="135"/>
      <c r="E29" s="137" t="s">
        <v>4334</v>
      </c>
      <c r="F29" s="8"/>
    </row>
    <row r="30" spans="2:6" ht="15" hidden="1" customHeight="1" x14ac:dyDescent="0.35">
      <c r="B30" s="7"/>
      <c r="C30" s="131" t="s">
        <v>78</v>
      </c>
      <c r="D30" s="135"/>
      <c r="E30" s="137" t="s">
        <v>4335</v>
      </c>
      <c r="F30" s="8"/>
    </row>
    <row r="31" spans="2:6" ht="15" hidden="1" customHeight="1" x14ac:dyDescent="0.35">
      <c r="B31" s="7"/>
      <c r="C31" s="131" t="s">
        <v>79</v>
      </c>
      <c r="D31" s="135"/>
      <c r="E31" s="137" t="s">
        <v>4336</v>
      </c>
      <c r="F31" s="8"/>
    </row>
    <row r="32" spans="2:6" ht="15" hidden="1" customHeight="1" x14ac:dyDescent="0.35">
      <c r="B32" s="7"/>
      <c r="C32" s="131" t="s">
        <v>80</v>
      </c>
      <c r="D32" s="135"/>
      <c r="E32" s="137" t="s">
        <v>4337</v>
      </c>
      <c r="F32" s="8"/>
    </row>
    <row r="33" spans="2:6" ht="15" hidden="1" customHeight="1" x14ac:dyDescent="0.35">
      <c r="B33" s="7"/>
      <c r="C33" s="131" t="s">
        <v>81</v>
      </c>
      <c r="D33" s="135"/>
      <c r="E33" s="137" t="s">
        <v>4338</v>
      </c>
      <c r="F33" s="8"/>
    </row>
    <row r="34" spans="2:6" ht="15" hidden="1" customHeight="1" x14ac:dyDescent="0.35">
      <c r="B34" s="7"/>
      <c r="C34" s="131" t="s">
        <v>82</v>
      </c>
      <c r="D34" s="135"/>
      <c r="E34" s="137" t="s">
        <v>4339</v>
      </c>
      <c r="F34" s="8"/>
    </row>
    <row r="35" spans="2:6" ht="15" hidden="1" customHeight="1" x14ac:dyDescent="0.35">
      <c r="B35" s="7"/>
      <c r="C35" s="131" t="s">
        <v>83</v>
      </c>
      <c r="D35" s="135"/>
      <c r="E35" s="137" t="s">
        <v>4340</v>
      </c>
      <c r="F35" s="8"/>
    </row>
    <row r="36" spans="2:6" ht="15" hidden="1" customHeight="1" x14ac:dyDescent="0.35">
      <c r="B36" s="7"/>
      <c r="C36" s="131" t="s">
        <v>84</v>
      </c>
      <c r="D36" s="135"/>
      <c r="E36" s="137" t="s">
        <v>4341</v>
      </c>
      <c r="F36" s="8"/>
    </row>
    <row r="37" spans="2:6" ht="15" hidden="1" customHeight="1" x14ac:dyDescent="0.35">
      <c r="B37" s="7"/>
      <c r="C37" s="131" t="s">
        <v>85</v>
      </c>
      <c r="D37" s="135"/>
      <c r="E37" s="137" t="s">
        <v>4342</v>
      </c>
      <c r="F37" s="8"/>
    </row>
    <row r="38" spans="2:6" ht="15" hidden="1" customHeight="1" x14ac:dyDescent="0.35">
      <c r="B38" s="7"/>
      <c r="C38" s="131" t="s">
        <v>86</v>
      </c>
      <c r="D38" s="135"/>
      <c r="E38" s="137" t="s">
        <v>4343</v>
      </c>
      <c r="F38" s="8"/>
    </row>
    <row r="39" spans="2:6" ht="15" hidden="1" customHeight="1" x14ac:dyDescent="0.35">
      <c r="B39" s="7"/>
      <c r="C39" s="131" t="s">
        <v>87</v>
      </c>
      <c r="D39" s="135"/>
      <c r="E39" s="137" t="s">
        <v>4344</v>
      </c>
      <c r="F39" s="8"/>
    </row>
    <row r="40" spans="2:6" ht="15" hidden="1" customHeight="1" x14ac:dyDescent="0.35">
      <c r="B40" s="7"/>
      <c r="C40" s="131" t="s">
        <v>88</v>
      </c>
      <c r="D40" s="135"/>
      <c r="E40" s="137" t="s">
        <v>4345</v>
      </c>
      <c r="F40" s="8"/>
    </row>
    <row r="41" spans="2:6" ht="15" hidden="1" customHeight="1" x14ac:dyDescent="0.35">
      <c r="B41" s="7"/>
      <c r="C41" s="131" t="s">
        <v>89</v>
      </c>
      <c r="D41" s="135"/>
      <c r="E41" s="137" t="s">
        <v>4346</v>
      </c>
      <c r="F41" s="8"/>
    </row>
    <row r="42" spans="2:6" ht="15" hidden="1" customHeight="1" x14ac:dyDescent="0.35">
      <c r="B42" s="7"/>
      <c r="C42" s="131" t="s">
        <v>90</v>
      </c>
      <c r="D42" s="135"/>
      <c r="E42" s="137" t="s">
        <v>4347</v>
      </c>
      <c r="F42" s="8"/>
    </row>
    <row r="43" spans="2:6" ht="15" hidden="1" customHeight="1" x14ac:dyDescent="0.35">
      <c r="B43" s="7"/>
      <c r="C43" s="131" t="s">
        <v>91</v>
      </c>
      <c r="D43" s="135"/>
      <c r="E43" s="137" t="s">
        <v>4348</v>
      </c>
      <c r="F43" s="8"/>
    </row>
    <row r="44" spans="2:6" ht="15" hidden="1" customHeight="1" x14ac:dyDescent="0.35">
      <c r="B44" s="7"/>
      <c r="C44" s="131" t="s">
        <v>92</v>
      </c>
      <c r="D44" s="135"/>
      <c r="E44" s="137" t="s">
        <v>4349</v>
      </c>
      <c r="F44" s="8"/>
    </row>
    <row r="45" spans="2:6" ht="15" hidden="1" customHeight="1" x14ac:dyDescent="0.25">
      <c r="B45" s="7"/>
      <c r="C45" s="123"/>
      <c r="D45" s="123"/>
      <c r="E45" s="123"/>
      <c r="F45" s="8"/>
    </row>
    <row r="46" spans="2:6" ht="15" hidden="1" customHeight="1" x14ac:dyDescent="0.25">
      <c r="B46" s="7"/>
      <c r="C46" s="123" t="s">
        <v>100</v>
      </c>
      <c r="D46" s="123"/>
      <c r="E46" s="123"/>
      <c r="F46" s="8"/>
    </row>
    <row r="47" spans="2:6" ht="15" hidden="1" customHeight="1" x14ac:dyDescent="0.25">
      <c r="B47" s="7"/>
      <c r="C47" s="130" t="s">
        <v>71</v>
      </c>
      <c r="D47" s="134" t="str">
        <f>IF(I.Product.P1BaselineYear="","Baseline year",I.Product.P1BaselineYear)</f>
        <v>Baseline year</v>
      </c>
      <c r="E47" s="129" t="s">
        <v>48</v>
      </c>
      <c r="F47" s="8"/>
    </row>
    <row r="48" spans="2:6" ht="15" hidden="1" customHeight="1" x14ac:dyDescent="0.25">
      <c r="B48" s="7"/>
      <c r="C48" s="131" t="s">
        <v>251</v>
      </c>
      <c r="D48" s="135"/>
      <c r="E48" s="137" t="s">
        <v>212</v>
      </c>
      <c r="F48" s="8"/>
    </row>
    <row r="49" spans="2:6" ht="15" hidden="1" customHeight="1" x14ac:dyDescent="0.25">
      <c r="B49" s="7"/>
      <c r="C49" s="131" t="s">
        <v>252</v>
      </c>
      <c r="D49" s="135"/>
      <c r="E49" s="137" t="s">
        <v>212</v>
      </c>
      <c r="F49" s="8"/>
    </row>
    <row r="50" spans="2:6" ht="15" hidden="1" customHeight="1" x14ac:dyDescent="0.35">
      <c r="B50" s="7"/>
      <c r="C50" s="131" t="s">
        <v>65</v>
      </c>
      <c r="D50" s="135"/>
      <c r="E50" s="137" t="s">
        <v>96</v>
      </c>
      <c r="F50" s="8"/>
    </row>
    <row r="51" spans="2:6" ht="15" hidden="1" customHeight="1" x14ac:dyDescent="0.35">
      <c r="B51" s="7"/>
      <c r="C51" s="131" t="s">
        <v>66</v>
      </c>
      <c r="D51" s="135"/>
      <c r="E51" s="137" t="s">
        <v>97</v>
      </c>
      <c r="F51" s="8"/>
    </row>
    <row r="52" spans="2:6" ht="15" hidden="1" customHeight="1" x14ac:dyDescent="0.35">
      <c r="B52" s="7"/>
      <c r="C52" s="131" t="s">
        <v>67</v>
      </c>
      <c r="D52" s="135"/>
      <c r="E52" s="137" t="s">
        <v>98</v>
      </c>
      <c r="F52" s="8"/>
    </row>
    <row r="53" spans="2:6" ht="15" hidden="1" customHeight="1" x14ac:dyDescent="0.25">
      <c r="B53" s="7"/>
      <c r="C53" s="136" t="s">
        <v>253</v>
      </c>
      <c r="D53" s="123"/>
      <c r="E53" s="123"/>
      <c r="F53" s="8"/>
    </row>
    <row r="54" spans="2:6" ht="15" hidden="1" customHeight="1" x14ac:dyDescent="0.25">
      <c r="B54" s="7"/>
      <c r="C54" s="136" t="s">
        <v>254</v>
      </c>
      <c r="D54" s="123"/>
      <c r="E54" s="123"/>
      <c r="F54" s="8"/>
    </row>
    <row r="55" spans="2:6" ht="15" hidden="1" customHeight="1" x14ac:dyDescent="0.25">
      <c r="B55" s="7"/>
      <c r="C55" s="123"/>
      <c r="D55" s="123"/>
      <c r="E55" s="123"/>
      <c r="F55" s="8"/>
    </row>
    <row r="56" spans="2:6" ht="15" hidden="1" customHeight="1" x14ac:dyDescent="0.25">
      <c r="B56" s="7"/>
      <c r="C56" s="123" t="s">
        <v>93</v>
      </c>
      <c r="D56" s="123"/>
      <c r="E56" s="123"/>
      <c r="F56" s="8"/>
    </row>
    <row r="57" spans="2:6" ht="15" hidden="1" customHeight="1" x14ac:dyDescent="0.25">
      <c r="B57" s="7"/>
      <c r="C57" s="130" t="s">
        <v>71</v>
      </c>
      <c r="D57" s="134" t="str">
        <f>IF(I.Product.P1BaselineYear="","Baseline year",I.Product.P1BaselineYear)</f>
        <v>Baseline year</v>
      </c>
      <c r="E57" s="129" t="s">
        <v>48</v>
      </c>
      <c r="F57" s="8"/>
    </row>
    <row r="58" spans="2:6" ht="15" hidden="1" customHeight="1" x14ac:dyDescent="0.35">
      <c r="B58" s="7"/>
      <c r="C58" s="131" t="s">
        <v>65</v>
      </c>
      <c r="D58" s="135"/>
      <c r="E58" s="137" t="s">
        <v>96</v>
      </c>
      <c r="F58" s="8"/>
    </row>
    <row r="59" spans="2:6" ht="15" hidden="1" customHeight="1" x14ac:dyDescent="0.35">
      <c r="B59" s="7"/>
      <c r="C59" s="131" t="s">
        <v>66</v>
      </c>
      <c r="D59" s="135"/>
      <c r="E59" s="137" t="s">
        <v>97</v>
      </c>
      <c r="F59" s="8"/>
    </row>
    <row r="60" spans="2:6" ht="15" hidden="1" customHeight="1" x14ac:dyDescent="0.35">
      <c r="B60" s="7"/>
      <c r="C60" s="131" t="s">
        <v>67</v>
      </c>
      <c r="D60" s="135"/>
      <c r="E60" s="137" t="s">
        <v>98</v>
      </c>
      <c r="F60" s="8"/>
    </row>
    <row r="61" spans="2:6" ht="15" hidden="1" customHeight="1" x14ac:dyDescent="0.25">
      <c r="B61" s="7"/>
      <c r="C61" s="123"/>
      <c r="D61" s="123"/>
      <c r="E61" s="123"/>
      <c r="F61" s="8"/>
    </row>
    <row r="62" spans="2:6" ht="20.100000000000001" hidden="1" customHeight="1" x14ac:dyDescent="0.25">
      <c r="B62" s="5"/>
      <c r="C62" s="97" t="s">
        <v>50</v>
      </c>
      <c r="D62" s="97"/>
      <c r="E62" s="97"/>
      <c r="F62" s="6"/>
    </row>
    <row r="63" spans="2:6" ht="15" hidden="1" customHeight="1" x14ac:dyDescent="0.25">
      <c r="B63" s="7"/>
      <c r="C63" s="123"/>
      <c r="D63" s="123"/>
      <c r="E63" s="123"/>
      <c r="F63" s="8"/>
    </row>
    <row r="64" spans="2:6" ht="15" hidden="1" customHeight="1" x14ac:dyDescent="0.25">
      <c r="B64" s="7"/>
      <c r="C64" s="123" t="s">
        <v>99</v>
      </c>
      <c r="D64" s="123"/>
      <c r="E64" s="123"/>
      <c r="F64" s="8"/>
    </row>
    <row r="65" spans="2:6" ht="15" hidden="1" customHeight="1" x14ac:dyDescent="0.25">
      <c r="B65" s="7"/>
      <c r="C65" s="130" t="s">
        <v>71</v>
      </c>
      <c r="D65" s="134" t="str">
        <f>IF(I.Product.P2aBaselineYear="","Baseline year",I.Product.P2aBaselineYear)</f>
        <v>Baseline year</v>
      </c>
      <c r="E65" s="129" t="s">
        <v>48</v>
      </c>
      <c r="F65" s="8"/>
    </row>
    <row r="66" spans="2:6" ht="15" hidden="1" customHeight="1" x14ac:dyDescent="0.25">
      <c r="B66" s="7"/>
      <c r="C66" s="131" t="s">
        <v>59</v>
      </c>
      <c r="D66" s="135"/>
      <c r="E66" s="137" t="s">
        <v>212</v>
      </c>
      <c r="F66" s="8"/>
    </row>
    <row r="67" spans="2:6" ht="15" hidden="1" customHeight="1" x14ac:dyDescent="0.25">
      <c r="B67" s="7"/>
      <c r="C67" s="131" t="s">
        <v>60</v>
      </c>
      <c r="D67" s="135"/>
      <c r="E67" s="128" t="s">
        <v>94</v>
      </c>
      <c r="F67" s="8"/>
    </row>
    <row r="68" spans="2:6" ht="15" hidden="1" customHeight="1" x14ac:dyDescent="0.25">
      <c r="B68" s="7"/>
      <c r="C68" s="131" t="s">
        <v>61</v>
      </c>
      <c r="D68" s="135"/>
      <c r="E68" s="128" t="s">
        <v>94</v>
      </c>
      <c r="F68" s="8"/>
    </row>
    <row r="69" spans="2:6" ht="15" hidden="1" customHeight="1" x14ac:dyDescent="0.25">
      <c r="B69" s="7"/>
      <c r="C69" s="131" t="s">
        <v>62</v>
      </c>
      <c r="D69" s="135"/>
      <c r="E69" s="128" t="s">
        <v>94</v>
      </c>
      <c r="F69" s="8"/>
    </row>
    <row r="70" spans="2:6" ht="15" hidden="1" customHeight="1" x14ac:dyDescent="0.25">
      <c r="B70" s="7"/>
      <c r="C70" s="131" t="s">
        <v>63</v>
      </c>
      <c r="D70" s="135"/>
      <c r="E70" s="128" t="s">
        <v>94</v>
      </c>
      <c r="F70" s="8"/>
    </row>
    <row r="71" spans="2:6" ht="15" hidden="1" customHeight="1" x14ac:dyDescent="0.25">
      <c r="B71" s="7"/>
      <c r="C71" s="131" t="s">
        <v>64</v>
      </c>
      <c r="D71" s="135"/>
      <c r="E71" s="128" t="s">
        <v>94</v>
      </c>
      <c r="F71" s="8"/>
    </row>
    <row r="72" spans="2:6" ht="15" hidden="1" customHeight="1" x14ac:dyDescent="0.35">
      <c r="B72" s="7"/>
      <c r="C72" s="131" t="s">
        <v>65</v>
      </c>
      <c r="D72" s="135"/>
      <c r="E72" s="137" t="s">
        <v>96</v>
      </c>
      <c r="F72" s="8"/>
    </row>
    <row r="73" spans="2:6" ht="15" hidden="1" customHeight="1" x14ac:dyDescent="0.35">
      <c r="B73" s="7"/>
      <c r="C73" s="131" t="s">
        <v>66</v>
      </c>
      <c r="D73" s="135"/>
      <c r="E73" s="137" t="s">
        <v>97</v>
      </c>
      <c r="F73" s="8"/>
    </row>
    <row r="74" spans="2:6" ht="15" hidden="1" customHeight="1" x14ac:dyDescent="0.35">
      <c r="B74" s="7"/>
      <c r="C74" s="131" t="s">
        <v>67</v>
      </c>
      <c r="D74" s="135"/>
      <c r="E74" s="137" t="s">
        <v>98</v>
      </c>
      <c r="F74" s="8"/>
    </row>
    <row r="75" spans="2:6" ht="15" hidden="1" customHeight="1" x14ac:dyDescent="0.25">
      <c r="B75" s="7"/>
      <c r="C75" s="123"/>
      <c r="D75" s="123"/>
      <c r="E75" s="123"/>
      <c r="F75" s="8"/>
    </row>
    <row r="76" spans="2:6" ht="15" hidden="1" customHeight="1" x14ac:dyDescent="0.25">
      <c r="B76" s="7"/>
      <c r="C76" s="123" t="s">
        <v>70</v>
      </c>
      <c r="D76" s="123"/>
      <c r="E76" s="123"/>
      <c r="F76" s="8"/>
    </row>
    <row r="77" spans="2:6" ht="15" hidden="1" customHeight="1" x14ac:dyDescent="0.25">
      <c r="B77" s="7"/>
      <c r="C77" s="130" t="s">
        <v>71</v>
      </c>
      <c r="D77" s="134" t="str">
        <f>IF(I.Product.P2aBaselineYear="","Baseline year",I.Product.P2aBaselineYear)</f>
        <v>Baseline year</v>
      </c>
      <c r="E77" s="129" t="s">
        <v>48</v>
      </c>
      <c r="F77" s="8"/>
    </row>
    <row r="78" spans="2:6" ht="15" hidden="1" customHeight="1" x14ac:dyDescent="0.35">
      <c r="B78" s="7"/>
      <c r="C78" s="131" t="s">
        <v>72</v>
      </c>
      <c r="D78" s="135"/>
      <c r="E78" s="137" t="s">
        <v>4329</v>
      </c>
      <c r="F78" s="8"/>
    </row>
    <row r="79" spans="2:6" ht="15" hidden="1" customHeight="1" x14ac:dyDescent="0.35">
      <c r="B79" s="7"/>
      <c r="C79" s="131" t="s">
        <v>73</v>
      </c>
      <c r="D79" s="135"/>
      <c r="E79" s="137" t="s">
        <v>4330</v>
      </c>
      <c r="F79" s="8"/>
    </row>
    <row r="80" spans="2:6" ht="15" hidden="1" customHeight="1" x14ac:dyDescent="0.35">
      <c r="B80" s="7"/>
      <c r="C80" s="131" t="s">
        <v>74</v>
      </c>
      <c r="D80" s="135"/>
      <c r="E80" s="137" t="s">
        <v>4331</v>
      </c>
      <c r="F80" s="8"/>
    </row>
    <row r="81" spans="2:6" ht="15" hidden="1" customHeight="1" x14ac:dyDescent="0.35">
      <c r="B81" s="7"/>
      <c r="C81" s="131" t="s">
        <v>75</v>
      </c>
      <c r="D81" s="135"/>
      <c r="E81" s="137" t="s">
        <v>4332</v>
      </c>
      <c r="F81" s="8"/>
    </row>
    <row r="82" spans="2:6" ht="15" hidden="1" customHeight="1" x14ac:dyDescent="0.35">
      <c r="B82" s="7"/>
      <c r="C82" s="131" t="s">
        <v>76</v>
      </c>
      <c r="D82" s="135"/>
      <c r="E82" s="137" t="s">
        <v>4333</v>
      </c>
      <c r="F82" s="8"/>
    </row>
    <row r="83" spans="2:6" ht="15" hidden="1" customHeight="1" x14ac:dyDescent="0.35">
      <c r="B83" s="7"/>
      <c r="C83" s="131" t="s">
        <v>77</v>
      </c>
      <c r="D83" s="135"/>
      <c r="E83" s="137" t="s">
        <v>4334</v>
      </c>
      <c r="F83" s="8"/>
    </row>
    <row r="84" spans="2:6" ht="15" hidden="1" customHeight="1" x14ac:dyDescent="0.35">
      <c r="B84" s="7"/>
      <c r="C84" s="131" t="s">
        <v>78</v>
      </c>
      <c r="D84" s="135"/>
      <c r="E84" s="137" t="s">
        <v>4335</v>
      </c>
      <c r="F84" s="8"/>
    </row>
    <row r="85" spans="2:6" ht="15" hidden="1" customHeight="1" x14ac:dyDescent="0.35">
      <c r="B85" s="7"/>
      <c r="C85" s="131" t="s">
        <v>79</v>
      </c>
      <c r="D85" s="135"/>
      <c r="E85" s="137" t="s">
        <v>4336</v>
      </c>
      <c r="F85" s="8"/>
    </row>
    <row r="86" spans="2:6" ht="15" hidden="1" customHeight="1" x14ac:dyDescent="0.35">
      <c r="B86" s="7"/>
      <c r="C86" s="131" t="s">
        <v>80</v>
      </c>
      <c r="D86" s="135"/>
      <c r="E86" s="137" t="s">
        <v>4337</v>
      </c>
      <c r="F86" s="8"/>
    </row>
    <row r="87" spans="2:6" ht="15" hidden="1" customHeight="1" x14ac:dyDescent="0.35">
      <c r="B87" s="7"/>
      <c r="C87" s="131" t="s">
        <v>81</v>
      </c>
      <c r="D87" s="135"/>
      <c r="E87" s="137" t="s">
        <v>4338</v>
      </c>
      <c r="F87" s="8"/>
    </row>
    <row r="88" spans="2:6" ht="15" hidden="1" customHeight="1" x14ac:dyDescent="0.35">
      <c r="B88" s="7"/>
      <c r="C88" s="131" t="s">
        <v>82</v>
      </c>
      <c r="D88" s="135"/>
      <c r="E88" s="137" t="s">
        <v>4339</v>
      </c>
      <c r="F88" s="8"/>
    </row>
    <row r="89" spans="2:6" ht="15" hidden="1" customHeight="1" x14ac:dyDescent="0.35">
      <c r="B89" s="7"/>
      <c r="C89" s="131" t="s">
        <v>83</v>
      </c>
      <c r="D89" s="135"/>
      <c r="E89" s="137" t="s">
        <v>4340</v>
      </c>
      <c r="F89" s="8"/>
    </row>
    <row r="90" spans="2:6" ht="15" hidden="1" customHeight="1" x14ac:dyDescent="0.35">
      <c r="B90" s="7"/>
      <c r="C90" s="131" t="s">
        <v>84</v>
      </c>
      <c r="D90" s="135"/>
      <c r="E90" s="137" t="s">
        <v>4341</v>
      </c>
      <c r="F90" s="8"/>
    </row>
    <row r="91" spans="2:6" ht="15" hidden="1" customHeight="1" x14ac:dyDescent="0.35">
      <c r="B91" s="7"/>
      <c r="C91" s="131" t="s">
        <v>85</v>
      </c>
      <c r="D91" s="135"/>
      <c r="E91" s="137" t="s">
        <v>4342</v>
      </c>
      <c r="F91" s="8"/>
    </row>
    <row r="92" spans="2:6" ht="15" hidden="1" customHeight="1" x14ac:dyDescent="0.35">
      <c r="B92" s="7"/>
      <c r="C92" s="131" t="s">
        <v>86</v>
      </c>
      <c r="D92" s="135"/>
      <c r="E92" s="137" t="s">
        <v>4343</v>
      </c>
      <c r="F92" s="8"/>
    </row>
    <row r="93" spans="2:6" ht="15" hidden="1" customHeight="1" x14ac:dyDescent="0.35">
      <c r="B93" s="7"/>
      <c r="C93" s="131" t="s">
        <v>87</v>
      </c>
      <c r="D93" s="135"/>
      <c r="E93" s="137" t="s">
        <v>4344</v>
      </c>
      <c r="F93" s="8"/>
    </row>
    <row r="94" spans="2:6" ht="15" hidden="1" customHeight="1" x14ac:dyDescent="0.35">
      <c r="B94" s="7"/>
      <c r="C94" s="131" t="s">
        <v>88</v>
      </c>
      <c r="D94" s="135"/>
      <c r="E94" s="137" t="s">
        <v>4345</v>
      </c>
      <c r="F94" s="8"/>
    </row>
    <row r="95" spans="2:6" ht="15" hidden="1" customHeight="1" x14ac:dyDescent="0.35">
      <c r="B95" s="7"/>
      <c r="C95" s="131" t="s">
        <v>89</v>
      </c>
      <c r="D95" s="135"/>
      <c r="E95" s="137" t="s">
        <v>4346</v>
      </c>
      <c r="F95" s="8"/>
    </row>
    <row r="96" spans="2:6" ht="15" hidden="1" customHeight="1" x14ac:dyDescent="0.35">
      <c r="B96" s="7"/>
      <c r="C96" s="131" t="s">
        <v>90</v>
      </c>
      <c r="D96" s="135"/>
      <c r="E96" s="137" t="s">
        <v>4347</v>
      </c>
      <c r="F96" s="8"/>
    </row>
    <row r="97" spans="2:6" ht="15" hidden="1" customHeight="1" x14ac:dyDescent="0.35">
      <c r="B97" s="7"/>
      <c r="C97" s="131" t="s">
        <v>91</v>
      </c>
      <c r="D97" s="135"/>
      <c r="E97" s="137" t="s">
        <v>4348</v>
      </c>
      <c r="F97" s="8"/>
    </row>
    <row r="98" spans="2:6" ht="15" hidden="1" customHeight="1" x14ac:dyDescent="0.35">
      <c r="B98" s="7"/>
      <c r="C98" s="131" t="s">
        <v>92</v>
      </c>
      <c r="D98" s="135"/>
      <c r="E98" s="137" t="s">
        <v>4349</v>
      </c>
      <c r="F98" s="8"/>
    </row>
    <row r="99" spans="2:6" ht="15" hidden="1" customHeight="1" x14ac:dyDescent="0.25">
      <c r="B99" s="7"/>
      <c r="C99" s="123"/>
      <c r="D99" s="123"/>
      <c r="E99" s="123"/>
      <c r="F99" s="8"/>
    </row>
    <row r="100" spans="2:6" ht="15" hidden="1" customHeight="1" x14ac:dyDescent="0.25">
      <c r="B100" s="7"/>
      <c r="C100" s="123" t="s">
        <v>100</v>
      </c>
      <c r="D100" s="123"/>
      <c r="E100" s="123"/>
      <c r="F100" s="8"/>
    </row>
    <row r="101" spans="2:6" ht="15" hidden="1" customHeight="1" x14ac:dyDescent="0.25">
      <c r="B101" s="7"/>
      <c r="C101" s="130" t="s">
        <v>71</v>
      </c>
      <c r="D101" s="134" t="str">
        <f>IF(I.Product.P2aBaselineYear="","Baseline year",I.Product.P2aBaselineYear)</f>
        <v>Baseline year</v>
      </c>
      <c r="E101" s="129" t="s">
        <v>48</v>
      </c>
      <c r="F101" s="8"/>
    </row>
    <row r="102" spans="2:6" ht="15" hidden="1" customHeight="1" x14ac:dyDescent="0.25">
      <c r="B102" s="7"/>
      <c r="C102" s="131" t="s">
        <v>251</v>
      </c>
      <c r="D102" s="135"/>
      <c r="E102" s="137" t="s">
        <v>212</v>
      </c>
      <c r="F102" s="8"/>
    </row>
    <row r="103" spans="2:6" ht="15" hidden="1" customHeight="1" x14ac:dyDescent="0.25">
      <c r="B103" s="7"/>
      <c r="C103" s="131" t="s">
        <v>252</v>
      </c>
      <c r="D103" s="135"/>
      <c r="E103" s="137" t="s">
        <v>212</v>
      </c>
      <c r="F103" s="8"/>
    </row>
    <row r="104" spans="2:6" ht="15" hidden="1" customHeight="1" x14ac:dyDescent="0.35">
      <c r="B104" s="7"/>
      <c r="C104" s="131" t="s">
        <v>65</v>
      </c>
      <c r="D104" s="135"/>
      <c r="E104" s="137" t="s">
        <v>96</v>
      </c>
      <c r="F104" s="8"/>
    </row>
    <row r="105" spans="2:6" ht="15" hidden="1" customHeight="1" x14ac:dyDescent="0.35">
      <c r="B105" s="7"/>
      <c r="C105" s="131" t="s">
        <v>66</v>
      </c>
      <c r="D105" s="135"/>
      <c r="E105" s="137" t="s">
        <v>97</v>
      </c>
      <c r="F105" s="8"/>
    </row>
    <row r="106" spans="2:6" ht="15" hidden="1" customHeight="1" x14ac:dyDescent="0.35">
      <c r="B106" s="7"/>
      <c r="C106" s="131" t="s">
        <v>67</v>
      </c>
      <c r="D106" s="135"/>
      <c r="E106" s="137" t="s">
        <v>98</v>
      </c>
      <c r="F106" s="8"/>
    </row>
    <row r="107" spans="2:6" ht="15" hidden="1" customHeight="1" x14ac:dyDescent="0.25">
      <c r="B107" s="7"/>
      <c r="C107" s="136" t="s">
        <v>253</v>
      </c>
      <c r="D107" s="123"/>
      <c r="E107" s="123"/>
      <c r="F107" s="8"/>
    </row>
    <row r="108" spans="2:6" ht="15" hidden="1" customHeight="1" x14ac:dyDescent="0.25">
      <c r="B108" s="7"/>
      <c r="C108" s="136" t="s">
        <v>254</v>
      </c>
      <c r="D108" s="123"/>
      <c r="E108" s="123"/>
      <c r="F108" s="8"/>
    </row>
    <row r="109" spans="2:6" ht="15" hidden="1" customHeight="1" x14ac:dyDescent="0.25">
      <c r="B109" s="7"/>
      <c r="C109" s="123"/>
      <c r="D109" s="123"/>
      <c r="E109" s="123"/>
      <c r="F109" s="8"/>
    </row>
    <row r="110" spans="2:6" ht="15" hidden="1" customHeight="1" x14ac:dyDescent="0.25">
      <c r="B110" s="7"/>
      <c r="C110" s="123" t="s">
        <v>93</v>
      </c>
      <c r="D110" s="123"/>
      <c r="E110" s="123"/>
      <c r="F110" s="8"/>
    </row>
    <row r="111" spans="2:6" ht="15" hidden="1" customHeight="1" x14ac:dyDescent="0.25">
      <c r="B111" s="7"/>
      <c r="C111" s="130" t="s">
        <v>71</v>
      </c>
      <c r="D111" s="134" t="str">
        <f>IF(I.Product.P2aBaselineYear="","Baseline year",I.Product.P2aBaselineYear)</f>
        <v>Baseline year</v>
      </c>
      <c r="E111" s="129" t="s">
        <v>48</v>
      </c>
      <c r="F111" s="8"/>
    </row>
    <row r="112" spans="2:6" ht="15" hidden="1" customHeight="1" x14ac:dyDescent="0.35">
      <c r="B112" s="7"/>
      <c r="C112" s="131" t="s">
        <v>65</v>
      </c>
      <c r="D112" s="135"/>
      <c r="E112" s="137" t="s">
        <v>96</v>
      </c>
      <c r="F112" s="8"/>
    </row>
    <row r="113" spans="2:6" ht="15" hidden="1" customHeight="1" x14ac:dyDescent="0.35">
      <c r="B113" s="7"/>
      <c r="C113" s="131" t="s">
        <v>66</v>
      </c>
      <c r="D113" s="135"/>
      <c r="E113" s="137" t="s">
        <v>97</v>
      </c>
      <c r="F113" s="8"/>
    </row>
    <row r="114" spans="2:6" ht="15" hidden="1" customHeight="1" x14ac:dyDescent="0.35">
      <c r="B114" s="7"/>
      <c r="C114" s="131" t="s">
        <v>67</v>
      </c>
      <c r="D114" s="135"/>
      <c r="E114" s="137" t="s">
        <v>98</v>
      </c>
      <c r="F114" s="8"/>
    </row>
    <row r="115" spans="2:6" ht="15" hidden="1" customHeight="1" x14ac:dyDescent="0.25">
      <c r="B115" s="7"/>
      <c r="C115" s="123"/>
      <c r="D115" s="123"/>
      <c r="E115" s="123"/>
      <c r="F115" s="8"/>
    </row>
    <row r="116" spans="2:6" ht="20.100000000000001" hidden="1" customHeight="1" x14ac:dyDescent="0.25">
      <c r="B116" s="5"/>
      <c r="C116" s="97" t="s">
        <v>51</v>
      </c>
      <c r="D116" s="97"/>
      <c r="E116" s="97"/>
      <c r="F116" s="6"/>
    </row>
    <row r="117" spans="2:6" ht="15" hidden="1" customHeight="1" x14ac:dyDescent="0.25">
      <c r="B117" s="7"/>
      <c r="C117" s="123"/>
      <c r="D117" s="123"/>
      <c r="E117" s="123"/>
      <c r="F117" s="8"/>
    </row>
    <row r="118" spans="2:6" ht="15" hidden="1" customHeight="1" x14ac:dyDescent="0.25">
      <c r="B118" s="7"/>
      <c r="C118" s="123" t="s">
        <v>99</v>
      </c>
      <c r="D118" s="123"/>
      <c r="E118" s="123"/>
      <c r="F118" s="8"/>
    </row>
    <row r="119" spans="2:6" ht="15" hidden="1" customHeight="1" x14ac:dyDescent="0.25">
      <c r="B119" s="7"/>
      <c r="C119" s="130" t="s">
        <v>71</v>
      </c>
      <c r="D119" s="134" t="str">
        <f>IF(I.Product.P2bBaselineYear="","Baseline year",I.Product.P2bBaselineYear)</f>
        <v>Baseline year</v>
      </c>
      <c r="E119" s="129" t="s">
        <v>48</v>
      </c>
      <c r="F119" s="8"/>
    </row>
    <row r="120" spans="2:6" ht="15" hidden="1" customHeight="1" x14ac:dyDescent="0.25">
      <c r="B120" s="7"/>
      <c r="C120" s="131" t="s">
        <v>59</v>
      </c>
      <c r="D120" s="135"/>
      <c r="E120" s="137" t="s">
        <v>212</v>
      </c>
      <c r="F120" s="8"/>
    </row>
    <row r="121" spans="2:6" ht="15" hidden="1" customHeight="1" x14ac:dyDescent="0.25">
      <c r="B121" s="7"/>
      <c r="C121" s="131" t="s">
        <v>60</v>
      </c>
      <c r="D121" s="135"/>
      <c r="E121" s="128" t="s">
        <v>94</v>
      </c>
      <c r="F121" s="8"/>
    </row>
    <row r="122" spans="2:6" ht="15" hidden="1" customHeight="1" x14ac:dyDescent="0.25">
      <c r="B122" s="7"/>
      <c r="C122" s="131" t="s">
        <v>61</v>
      </c>
      <c r="D122" s="135"/>
      <c r="E122" s="128" t="s">
        <v>94</v>
      </c>
      <c r="F122" s="8"/>
    </row>
    <row r="123" spans="2:6" ht="15" hidden="1" customHeight="1" x14ac:dyDescent="0.25">
      <c r="B123" s="7"/>
      <c r="C123" s="131" t="s">
        <v>62</v>
      </c>
      <c r="D123" s="135"/>
      <c r="E123" s="128" t="s">
        <v>94</v>
      </c>
      <c r="F123" s="8"/>
    </row>
    <row r="124" spans="2:6" ht="15" hidden="1" customHeight="1" x14ac:dyDescent="0.25">
      <c r="B124" s="7"/>
      <c r="C124" s="131" t="s">
        <v>63</v>
      </c>
      <c r="D124" s="135"/>
      <c r="E124" s="128" t="s">
        <v>94</v>
      </c>
      <c r="F124" s="8"/>
    </row>
    <row r="125" spans="2:6" ht="15" hidden="1" customHeight="1" x14ac:dyDescent="0.25">
      <c r="B125" s="7"/>
      <c r="C125" s="131" t="s">
        <v>64</v>
      </c>
      <c r="D125" s="135"/>
      <c r="E125" s="128" t="s">
        <v>94</v>
      </c>
      <c r="F125" s="8"/>
    </row>
    <row r="126" spans="2:6" ht="15" hidden="1" customHeight="1" x14ac:dyDescent="0.35">
      <c r="B126" s="7"/>
      <c r="C126" s="131" t="s">
        <v>65</v>
      </c>
      <c r="D126" s="135"/>
      <c r="E126" s="137" t="s">
        <v>96</v>
      </c>
      <c r="F126" s="8"/>
    </row>
    <row r="127" spans="2:6" ht="15" hidden="1" customHeight="1" x14ac:dyDescent="0.35">
      <c r="B127" s="7"/>
      <c r="C127" s="131" t="s">
        <v>66</v>
      </c>
      <c r="D127" s="135"/>
      <c r="E127" s="137" t="s">
        <v>97</v>
      </c>
      <c r="F127" s="8"/>
    </row>
    <row r="128" spans="2:6" ht="15" hidden="1" customHeight="1" x14ac:dyDescent="0.35">
      <c r="B128" s="7"/>
      <c r="C128" s="131" t="s">
        <v>67</v>
      </c>
      <c r="D128" s="135"/>
      <c r="E128" s="137" t="s">
        <v>98</v>
      </c>
      <c r="F128" s="8"/>
    </row>
    <row r="129" spans="2:6" ht="15" hidden="1" customHeight="1" x14ac:dyDescent="0.25">
      <c r="B129" s="7"/>
      <c r="C129" s="123"/>
      <c r="D129" s="123"/>
      <c r="E129" s="123"/>
      <c r="F129" s="8"/>
    </row>
    <row r="130" spans="2:6" ht="15" hidden="1" customHeight="1" x14ac:dyDescent="0.25">
      <c r="B130" s="7"/>
      <c r="C130" s="123" t="s">
        <v>70</v>
      </c>
      <c r="D130" s="123"/>
      <c r="E130" s="123"/>
      <c r="F130" s="8"/>
    </row>
    <row r="131" spans="2:6" ht="15" hidden="1" customHeight="1" x14ac:dyDescent="0.25">
      <c r="B131" s="7"/>
      <c r="C131" s="130" t="s">
        <v>71</v>
      </c>
      <c r="D131" s="134" t="str">
        <f>IF(I.Product.P2bBaselineYear="","Baseline year",I.Product.P2bBaselineYear)</f>
        <v>Baseline year</v>
      </c>
      <c r="E131" s="129" t="s">
        <v>48</v>
      </c>
      <c r="F131" s="8"/>
    </row>
    <row r="132" spans="2:6" ht="15" hidden="1" customHeight="1" x14ac:dyDescent="0.35">
      <c r="B132" s="7"/>
      <c r="C132" s="131" t="s">
        <v>72</v>
      </c>
      <c r="D132" s="135"/>
      <c r="E132" s="137" t="s">
        <v>4329</v>
      </c>
      <c r="F132" s="8"/>
    </row>
    <row r="133" spans="2:6" ht="15" hidden="1" customHeight="1" x14ac:dyDescent="0.35">
      <c r="B133" s="7"/>
      <c r="C133" s="131" t="s">
        <v>73</v>
      </c>
      <c r="D133" s="135"/>
      <c r="E133" s="137" t="s">
        <v>4330</v>
      </c>
      <c r="F133" s="8"/>
    </row>
    <row r="134" spans="2:6" ht="15" hidden="1" customHeight="1" x14ac:dyDescent="0.35">
      <c r="B134" s="7"/>
      <c r="C134" s="131" t="s">
        <v>74</v>
      </c>
      <c r="D134" s="135"/>
      <c r="E134" s="137" t="s">
        <v>4331</v>
      </c>
      <c r="F134" s="8"/>
    </row>
    <row r="135" spans="2:6" ht="15" hidden="1" customHeight="1" x14ac:dyDescent="0.35">
      <c r="B135" s="7"/>
      <c r="C135" s="131" t="s">
        <v>75</v>
      </c>
      <c r="D135" s="135"/>
      <c r="E135" s="137" t="s">
        <v>4332</v>
      </c>
      <c r="F135" s="8"/>
    </row>
    <row r="136" spans="2:6" ht="15" hidden="1" customHeight="1" x14ac:dyDescent="0.35">
      <c r="B136" s="7"/>
      <c r="C136" s="131" t="s">
        <v>76</v>
      </c>
      <c r="D136" s="135"/>
      <c r="E136" s="137" t="s">
        <v>4333</v>
      </c>
      <c r="F136" s="8"/>
    </row>
    <row r="137" spans="2:6" ht="15" hidden="1" customHeight="1" x14ac:dyDescent="0.35">
      <c r="B137" s="7"/>
      <c r="C137" s="131" t="s">
        <v>77</v>
      </c>
      <c r="D137" s="135"/>
      <c r="E137" s="137" t="s">
        <v>4334</v>
      </c>
      <c r="F137" s="8"/>
    </row>
    <row r="138" spans="2:6" ht="15" hidden="1" customHeight="1" x14ac:dyDescent="0.35">
      <c r="B138" s="7"/>
      <c r="C138" s="131" t="s">
        <v>78</v>
      </c>
      <c r="D138" s="135"/>
      <c r="E138" s="137" t="s">
        <v>4335</v>
      </c>
      <c r="F138" s="8"/>
    </row>
    <row r="139" spans="2:6" ht="15" hidden="1" customHeight="1" x14ac:dyDescent="0.35">
      <c r="B139" s="7"/>
      <c r="C139" s="131" t="s">
        <v>79</v>
      </c>
      <c r="D139" s="135"/>
      <c r="E139" s="137" t="s">
        <v>4336</v>
      </c>
      <c r="F139" s="8"/>
    </row>
    <row r="140" spans="2:6" ht="15" hidden="1" customHeight="1" x14ac:dyDescent="0.35">
      <c r="B140" s="7"/>
      <c r="C140" s="131" t="s">
        <v>80</v>
      </c>
      <c r="D140" s="135"/>
      <c r="E140" s="137" t="s">
        <v>4337</v>
      </c>
      <c r="F140" s="8"/>
    </row>
    <row r="141" spans="2:6" ht="15" hidden="1" customHeight="1" x14ac:dyDescent="0.35">
      <c r="B141" s="7"/>
      <c r="C141" s="131" t="s">
        <v>81</v>
      </c>
      <c r="D141" s="135"/>
      <c r="E141" s="137" t="s">
        <v>4338</v>
      </c>
      <c r="F141" s="8"/>
    </row>
    <row r="142" spans="2:6" ht="15" hidden="1" customHeight="1" x14ac:dyDescent="0.35">
      <c r="B142" s="7"/>
      <c r="C142" s="131" t="s">
        <v>82</v>
      </c>
      <c r="D142" s="135"/>
      <c r="E142" s="137" t="s">
        <v>4339</v>
      </c>
      <c r="F142" s="8"/>
    </row>
    <row r="143" spans="2:6" ht="15" hidden="1" customHeight="1" x14ac:dyDescent="0.35">
      <c r="B143" s="7"/>
      <c r="C143" s="131" t="s">
        <v>83</v>
      </c>
      <c r="D143" s="135"/>
      <c r="E143" s="137" t="s">
        <v>4340</v>
      </c>
      <c r="F143" s="8"/>
    </row>
    <row r="144" spans="2:6" ht="15" hidden="1" customHeight="1" x14ac:dyDescent="0.35">
      <c r="B144" s="7"/>
      <c r="C144" s="131" t="s">
        <v>84</v>
      </c>
      <c r="D144" s="135"/>
      <c r="E144" s="137" t="s">
        <v>4341</v>
      </c>
      <c r="F144" s="8"/>
    </row>
    <row r="145" spans="2:6" ht="15" hidden="1" customHeight="1" x14ac:dyDescent="0.35">
      <c r="B145" s="7"/>
      <c r="C145" s="131" t="s">
        <v>85</v>
      </c>
      <c r="D145" s="135"/>
      <c r="E145" s="137" t="s">
        <v>4342</v>
      </c>
      <c r="F145" s="8"/>
    </row>
    <row r="146" spans="2:6" ht="15" hidden="1" customHeight="1" x14ac:dyDescent="0.35">
      <c r="B146" s="7"/>
      <c r="C146" s="131" t="s">
        <v>86</v>
      </c>
      <c r="D146" s="135"/>
      <c r="E146" s="137" t="s">
        <v>4343</v>
      </c>
      <c r="F146" s="8"/>
    </row>
    <row r="147" spans="2:6" ht="15" hidden="1" customHeight="1" x14ac:dyDescent="0.35">
      <c r="B147" s="7"/>
      <c r="C147" s="131" t="s">
        <v>87</v>
      </c>
      <c r="D147" s="135"/>
      <c r="E147" s="137" t="s">
        <v>4344</v>
      </c>
      <c r="F147" s="8"/>
    </row>
    <row r="148" spans="2:6" ht="15" hidden="1" customHeight="1" x14ac:dyDescent="0.35">
      <c r="B148" s="7"/>
      <c r="C148" s="131" t="s">
        <v>88</v>
      </c>
      <c r="D148" s="135"/>
      <c r="E148" s="137" t="s">
        <v>4345</v>
      </c>
      <c r="F148" s="8"/>
    </row>
    <row r="149" spans="2:6" ht="15" hidden="1" customHeight="1" x14ac:dyDescent="0.35">
      <c r="B149" s="7"/>
      <c r="C149" s="131" t="s">
        <v>89</v>
      </c>
      <c r="D149" s="135"/>
      <c r="E149" s="137" t="s">
        <v>4346</v>
      </c>
      <c r="F149" s="8"/>
    </row>
    <row r="150" spans="2:6" ht="15" hidden="1" customHeight="1" x14ac:dyDescent="0.35">
      <c r="B150" s="7"/>
      <c r="C150" s="131" t="s">
        <v>90</v>
      </c>
      <c r="D150" s="135"/>
      <c r="E150" s="137" t="s">
        <v>4347</v>
      </c>
      <c r="F150" s="8"/>
    </row>
    <row r="151" spans="2:6" ht="15" hidden="1" customHeight="1" x14ac:dyDescent="0.35">
      <c r="B151" s="7"/>
      <c r="C151" s="131" t="s">
        <v>91</v>
      </c>
      <c r="D151" s="135"/>
      <c r="E151" s="137" t="s">
        <v>4348</v>
      </c>
      <c r="F151" s="8"/>
    </row>
    <row r="152" spans="2:6" ht="15" hidden="1" customHeight="1" x14ac:dyDescent="0.35">
      <c r="B152" s="7"/>
      <c r="C152" s="131" t="s">
        <v>92</v>
      </c>
      <c r="D152" s="135"/>
      <c r="E152" s="137" t="s">
        <v>4349</v>
      </c>
      <c r="F152" s="8"/>
    </row>
    <row r="153" spans="2:6" ht="15" hidden="1" customHeight="1" x14ac:dyDescent="0.25">
      <c r="B153" s="7"/>
      <c r="C153" s="123"/>
      <c r="D153" s="123"/>
      <c r="E153" s="123"/>
      <c r="F153" s="8"/>
    </row>
    <row r="154" spans="2:6" ht="15" hidden="1" customHeight="1" x14ac:dyDescent="0.25">
      <c r="B154" s="7"/>
      <c r="C154" s="123" t="s">
        <v>100</v>
      </c>
      <c r="D154" s="123"/>
      <c r="E154" s="123"/>
      <c r="F154" s="8"/>
    </row>
    <row r="155" spans="2:6" ht="15" hidden="1" customHeight="1" x14ac:dyDescent="0.25">
      <c r="B155" s="7"/>
      <c r="C155" s="130" t="s">
        <v>71</v>
      </c>
      <c r="D155" s="134" t="str">
        <f>IF(I.Product.P2bBaselineYear="","Baseline year",I.Product.P2bBaselineYear)</f>
        <v>Baseline year</v>
      </c>
      <c r="E155" s="129" t="s">
        <v>48</v>
      </c>
      <c r="F155" s="8"/>
    </row>
    <row r="156" spans="2:6" ht="15" hidden="1" customHeight="1" x14ac:dyDescent="0.25">
      <c r="B156" s="7"/>
      <c r="C156" s="131" t="s">
        <v>251</v>
      </c>
      <c r="D156" s="135"/>
      <c r="E156" s="137" t="s">
        <v>212</v>
      </c>
      <c r="F156" s="8"/>
    </row>
    <row r="157" spans="2:6" ht="15" hidden="1" customHeight="1" x14ac:dyDescent="0.25">
      <c r="B157" s="7"/>
      <c r="C157" s="131" t="s">
        <v>252</v>
      </c>
      <c r="D157" s="135"/>
      <c r="E157" s="137" t="s">
        <v>212</v>
      </c>
      <c r="F157" s="8"/>
    </row>
    <row r="158" spans="2:6" ht="15" hidden="1" customHeight="1" x14ac:dyDescent="0.35">
      <c r="B158" s="7"/>
      <c r="C158" s="131" t="s">
        <v>65</v>
      </c>
      <c r="D158" s="135"/>
      <c r="E158" s="137" t="s">
        <v>96</v>
      </c>
      <c r="F158" s="8"/>
    </row>
    <row r="159" spans="2:6" ht="15" hidden="1" customHeight="1" x14ac:dyDescent="0.35">
      <c r="B159" s="7"/>
      <c r="C159" s="131" t="s">
        <v>66</v>
      </c>
      <c r="D159" s="135"/>
      <c r="E159" s="137" t="s">
        <v>97</v>
      </c>
      <c r="F159" s="8"/>
    </row>
    <row r="160" spans="2:6" ht="15" hidden="1" customHeight="1" x14ac:dyDescent="0.35">
      <c r="B160" s="7"/>
      <c r="C160" s="131" t="s">
        <v>67</v>
      </c>
      <c r="D160" s="135"/>
      <c r="E160" s="137" t="s">
        <v>98</v>
      </c>
      <c r="F160" s="8"/>
    </row>
    <row r="161" spans="2:6" ht="15" hidden="1" customHeight="1" x14ac:dyDescent="0.25">
      <c r="B161" s="7"/>
      <c r="C161" s="136" t="s">
        <v>253</v>
      </c>
      <c r="D161" s="123"/>
      <c r="E161" s="123"/>
      <c r="F161" s="8"/>
    </row>
    <row r="162" spans="2:6" ht="15" hidden="1" customHeight="1" x14ac:dyDescent="0.25">
      <c r="B162" s="7"/>
      <c r="C162" s="136" t="s">
        <v>254</v>
      </c>
      <c r="D162" s="123"/>
      <c r="E162" s="123"/>
      <c r="F162" s="8"/>
    </row>
    <row r="163" spans="2:6" ht="15" hidden="1" customHeight="1" x14ac:dyDescent="0.25">
      <c r="B163" s="7"/>
      <c r="C163" s="123"/>
      <c r="D163" s="123"/>
      <c r="E163" s="123"/>
      <c r="F163" s="8"/>
    </row>
    <row r="164" spans="2:6" ht="15" hidden="1" customHeight="1" x14ac:dyDescent="0.25">
      <c r="B164" s="7"/>
      <c r="C164" s="123" t="s">
        <v>93</v>
      </c>
      <c r="D164" s="123"/>
      <c r="E164" s="123"/>
      <c r="F164" s="8"/>
    </row>
    <row r="165" spans="2:6" ht="15" hidden="1" customHeight="1" x14ac:dyDescent="0.25">
      <c r="B165" s="7"/>
      <c r="C165" s="130" t="s">
        <v>71</v>
      </c>
      <c r="D165" s="134" t="str">
        <f>IF(I.Product.P2bBaselineYear="","Baseline year",I.Product.P2bBaselineYear)</f>
        <v>Baseline year</v>
      </c>
      <c r="E165" s="129" t="s">
        <v>48</v>
      </c>
      <c r="F165" s="8"/>
    </row>
    <row r="166" spans="2:6" ht="15" hidden="1" customHeight="1" x14ac:dyDescent="0.35">
      <c r="B166" s="7"/>
      <c r="C166" s="131" t="s">
        <v>65</v>
      </c>
      <c r="D166" s="135"/>
      <c r="E166" s="137" t="s">
        <v>96</v>
      </c>
      <c r="F166" s="8"/>
    </row>
    <row r="167" spans="2:6" ht="15" hidden="1" customHeight="1" x14ac:dyDescent="0.35">
      <c r="B167" s="7"/>
      <c r="C167" s="131" t="s">
        <v>66</v>
      </c>
      <c r="D167" s="135"/>
      <c r="E167" s="137" t="s">
        <v>97</v>
      </c>
      <c r="F167" s="8"/>
    </row>
    <row r="168" spans="2:6" ht="15" hidden="1" customHeight="1" x14ac:dyDescent="0.35">
      <c r="B168" s="7"/>
      <c r="C168" s="131" t="s">
        <v>67</v>
      </c>
      <c r="D168" s="135"/>
      <c r="E168" s="137" t="s">
        <v>98</v>
      </c>
      <c r="F168" s="8"/>
    </row>
    <row r="169" spans="2:6" ht="15" hidden="1" customHeight="1" x14ac:dyDescent="0.25">
      <c r="B169" s="7"/>
      <c r="C169" s="123"/>
      <c r="D169" s="123"/>
      <c r="E169" s="123"/>
      <c r="F169" s="8"/>
    </row>
    <row r="170" spans="2:6" ht="20.100000000000001" hidden="1" customHeight="1" x14ac:dyDescent="0.25">
      <c r="B170" s="5"/>
      <c r="C170" s="97" t="s">
        <v>52</v>
      </c>
      <c r="D170" s="97"/>
      <c r="E170" s="97"/>
      <c r="F170" s="6"/>
    </row>
    <row r="171" spans="2:6" ht="15" hidden="1" customHeight="1" x14ac:dyDescent="0.25">
      <c r="B171" s="7"/>
      <c r="C171" s="123"/>
      <c r="D171" s="123"/>
      <c r="E171" s="123"/>
      <c r="F171" s="8"/>
    </row>
    <row r="172" spans="2:6" ht="15" hidden="1" customHeight="1" x14ac:dyDescent="0.25">
      <c r="B172" s="7"/>
      <c r="C172" s="123" t="s">
        <v>99</v>
      </c>
      <c r="D172" s="123"/>
      <c r="E172" s="123"/>
      <c r="F172" s="8"/>
    </row>
    <row r="173" spans="2:6" ht="15" hidden="1" customHeight="1" x14ac:dyDescent="0.25">
      <c r="B173" s="7"/>
      <c r="C173" s="130" t="s">
        <v>71</v>
      </c>
      <c r="D173" s="134" t="str">
        <f>IF(I.Product.P3BaselineYear="","Baseline year",I.Product.P3BaselineYear)</f>
        <v>Baseline year</v>
      </c>
      <c r="E173" s="129" t="s">
        <v>48</v>
      </c>
      <c r="F173" s="8"/>
    </row>
    <row r="174" spans="2:6" ht="15" hidden="1" customHeight="1" x14ac:dyDescent="0.25">
      <c r="B174" s="7"/>
      <c r="C174" s="131" t="s">
        <v>59</v>
      </c>
      <c r="D174" s="135"/>
      <c r="E174" s="137" t="s">
        <v>212</v>
      </c>
      <c r="F174" s="8"/>
    </row>
    <row r="175" spans="2:6" ht="15" hidden="1" customHeight="1" x14ac:dyDescent="0.25">
      <c r="B175" s="7"/>
      <c r="C175" s="131" t="s">
        <v>60</v>
      </c>
      <c r="D175" s="135"/>
      <c r="E175" s="128" t="s">
        <v>94</v>
      </c>
      <c r="F175" s="8"/>
    </row>
    <row r="176" spans="2:6" ht="15" hidden="1" customHeight="1" x14ac:dyDescent="0.25">
      <c r="B176" s="7"/>
      <c r="C176" s="131" t="s">
        <v>61</v>
      </c>
      <c r="D176" s="135"/>
      <c r="E176" s="128" t="s">
        <v>94</v>
      </c>
      <c r="F176" s="8"/>
    </row>
    <row r="177" spans="2:6" ht="15" hidden="1" customHeight="1" x14ac:dyDescent="0.25">
      <c r="B177" s="7"/>
      <c r="C177" s="131" t="s">
        <v>62</v>
      </c>
      <c r="D177" s="135"/>
      <c r="E177" s="128" t="s">
        <v>94</v>
      </c>
      <c r="F177" s="8"/>
    </row>
    <row r="178" spans="2:6" ht="15" hidden="1" customHeight="1" x14ac:dyDescent="0.25">
      <c r="B178" s="7"/>
      <c r="C178" s="131" t="s">
        <v>63</v>
      </c>
      <c r="D178" s="135"/>
      <c r="E178" s="128" t="s">
        <v>94</v>
      </c>
      <c r="F178" s="8"/>
    </row>
    <row r="179" spans="2:6" ht="15" hidden="1" customHeight="1" x14ac:dyDescent="0.25">
      <c r="B179" s="7"/>
      <c r="C179" s="131" t="s">
        <v>64</v>
      </c>
      <c r="D179" s="135"/>
      <c r="E179" s="128" t="s">
        <v>94</v>
      </c>
      <c r="F179" s="8"/>
    </row>
    <row r="180" spans="2:6" ht="15" hidden="1" customHeight="1" x14ac:dyDescent="0.35">
      <c r="B180" s="7"/>
      <c r="C180" s="131" t="s">
        <v>65</v>
      </c>
      <c r="D180" s="135"/>
      <c r="E180" s="137" t="s">
        <v>96</v>
      </c>
      <c r="F180" s="8"/>
    </row>
    <row r="181" spans="2:6" ht="15" hidden="1" customHeight="1" x14ac:dyDescent="0.35">
      <c r="B181" s="7"/>
      <c r="C181" s="131" t="s">
        <v>66</v>
      </c>
      <c r="D181" s="135"/>
      <c r="E181" s="137" t="s">
        <v>97</v>
      </c>
      <c r="F181" s="8"/>
    </row>
    <row r="182" spans="2:6" ht="15" hidden="1" customHeight="1" x14ac:dyDescent="0.35">
      <c r="B182" s="7"/>
      <c r="C182" s="131" t="s">
        <v>67</v>
      </c>
      <c r="D182" s="135"/>
      <c r="E182" s="137" t="s">
        <v>98</v>
      </c>
      <c r="F182" s="8"/>
    </row>
    <row r="183" spans="2:6" ht="15" hidden="1" customHeight="1" x14ac:dyDescent="0.25">
      <c r="B183" s="7"/>
      <c r="C183" s="123"/>
      <c r="D183" s="123"/>
      <c r="E183" s="123"/>
      <c r="F183" s="8"/>
    </row>
    <row r="184" spans="2:6" ht="15" hidden="1" customHeight="1" x14ac:dyDescent="0.25">
      <c r="B184" s="7"/>
      <c r="C184" s="123" t="s">
        <v>70</v>
      </c>
      <c r="D184" s="123"/>
      <c r="E184" s="123"/>
      <c r="F184" s="8"/>
    </row>
    <row r="185" spans="2:6" ht="15" hidden="1" customHeight="1" x14ac:dyDescent="0.25">
      <c r="B185" s="7"/>
      <c r="C185" s="130" t="s">
        <v>71</v>
      </c>
      <c r="D185" s="134" t="str">
        <f>IF(I.Product.P3BaselineYear="","Baseline year",I.Product.P3BaselineYear)</f>
        <v>Baseline year</v>
      </c>
      <c r="E185" s="129" t="s">
        <v>48</v>
      </c>
      <c r="F185" s="8"/>
    </row>
    <row r="186" spans="2:6" ht="15" hidden="1" customHeight="1" x14ac:dyDescent="0.35">
      <c r="B186" s="7"/>
      <c r="C186" s="131" t="s">
        <v>72</v>
      </c>
      <c r="D186" s="135"/>
      <c r="E186" s="137" t="s">
        <v>4329</v>
      </c>
      <c r="F186" s="8"/>
    </row>
    <row r="187" spans="2:6" ht="15" hidden="1" customHeight="1" x14ac:dyDescent="0.35">
      <c r="B187" s="7"/>
      <c r="C187" s="131" t="s">
        <v>73</v>
      </c>
      <c r="D187" s="135"/>
      <c r="E187" s="137" t="s">
        <v>4330</v>
      </c>
      <c r="F187" s="8"/>
    </row>
    <row r="188" spans="2:6" ht="15" hidden="1" customHeight="1" x14ac:dyDescent="0.35">
      <c r="B188" s="7"/>
      <c r="C188" s="131" t="s">
        <v>74</v>
      </c>
      <c r="D188" s="135"/>
      <c r="E188" s="137" t="s">
        <v>4331</v>
      </c>
      <c r="F188" s="8"/>
    </row>
    <row r="189" spans="2:6" ht="15" hidden="1" customHeight="1" x14ac:dyDescent="0.35">
      <c r="B189" s="7"/>
      <c r="C189" s="131" t="s">
        <v>75</v>
      </c>
      <c r="D189" s="135"/>
      <c r="E189" s="137" t="s">
        <v>4332</v>
      </c>
      <c r="F189" s="8"/>
    </row>
    <row r="190" spans="2:6" ht="15" hidden="1" customHeight="1" x14ac:dyDescent="0.35">
      <c r="B190" s="7"/>
      <c r="C190" s="131" t="s">
        <v>76</v>
      </c>
      <c r="D190" s="135"/>
      <c r="E190" s="137" t="s">
        <v>4333</v>
      </c>
      <c r="F190" s="8"/>
    </row>
    <row r="191" spans="2:6" ht="15" hidden="1" customHeight="1" x14ac:dyDescent="0.35">
      <c r="B191" s="7"/>
      <c r="C191" s="131" t="s">
        <v>77</v>
      </c>
      <c r="D191" s="135"/>
      <c r="E191" s="137" t="s">
        <v>4334</v>
      </c>
      <c r="F191" s="8"/>
    </row>
    <row r="192" spans="2:6" ht="15" hidden="1" customHeight="1" x14ac:dyDescent="0.35">
      <c r="B192" s="7"/>
      <c r="C192" s="131" t="s">
        <v>78</v>
      </c>
      <c r="D192" s="135"/>
      <c r="E192" s="137" t="s">
        <v>4335</v>
      </c>
      <c r="F192" s="8"/>
    </row>
    <row r="193" spans="2:6" ht="15" hidden="1" customHeight="1" x14ac:dyDescent="0.35">
      <c r="B193" s="7"/>
      <c r="C193" s="131" t="s">
        <v>79</v>
      </c>
      <c r="D193" s="135"/>
      <c r="E193" s="137" t="s">
        <v>4336</v>
      </c>
      <c r="F193" s="8"/>
    </row>
    <row r="194" spans="2:6" ht="15" hidden="1" customHeight="1" x14ac:dyDescent="0.35">
      <c r="B194" s="7"/>
      <c r="C194" s="131" t="s">
        <v>80</v>
      </c>
      <c r="D194" s="135"/>
      <c r="E194" s="137" t="s">
        <v>4337</v>
      </c>
      <c r="F194" s="8"/>
    </row>
    <row r="195" spans="2:6" ht="15" hidden="1" customHeight="1" x14ac:dyDescent="0.35">
      <c r="B195" s="7"/>
      <c r="C195" s="131" t="s">
        <v>81</v>
      </c>
      <c r="D195" s="135"/>
      <c r="E195" s="137" t="s">
        <v>4338</v>
      </c>
      <c r="F195" s="8"/>
    </row>
    <row r="196" spans="2:6" ht="15" hidden="1" customHeight="1" x14ac:dyDescent="0.35">
      <c r="B196" s="7"/>
      <c r="C196" s="131" t="s">
        <v>82</v>
      </c>
      <c r="D196" s="135"/>
      <c r="E196" s="137" t="s">
        <v>4339</v>
      </c>
      <c r="F196" s="8"/>
    </row>
    <row r="197" spans="2:6" ht="15" hidden="1" customHeight="1" x14ac:dyDescent="0.35">
      <c r="B197" s="7"/>
      <c r="C197" s="131" t="s">
        <v>83</v>
      </c>
      <c r="D197" s="135"/>
      <c r="E197" s="137" t="s">
        <v>4340</v>
      </c>
      <c r="F197" s="8"/>
    </row>
    <row r="198" spans="2:6" ht="15" hidden="1" customHeight="1" x14ac:dyDescent="0.35">
      <c r="B198" s="7"/>
      <c r="C198" s="131" t="s">
        <v>84</v>
      </c>
      <c r="D198" s="135"/>
      <c r="E198" s="137" t="s">
        <v>4341</v>
      </c>
      <c r="F198" s="8"/>
    </row>
    <row r="199" spans="2:6" ht="15" hidden="1" customHeight="1" x14ac:dyDescent="0.35">
      <c r="B199" s="7"/>
      <c r="C199" s="131" t="s">
        <v>85</v>
      </c>
      <c r="D199" s="135"/>
      <c r="E199" s="137" t="s">
        <v>4342</v>
      </c>
      <c r="F199" s="8"/>
    </row>
    <row r="200" spans="2:6" ht="15" hidden="1" customHeight="1" x14ac:dyDescent="0.35">
      <c r="B200" s="7"/>
      <c r="C200" s="131" t="s">
        <v>86</v>
      </c>
      <c r="D200" s="135"/>
      <c r="E200" s="137" t="s">
        <v>4343</v>
      </c>
      <c r="F200" s="8"/>
    </row>
    <row r="201" spans="2:6" ht="15" hidden="1" customHeight="1" x14ac:dyDescent="0.35">
      <c r="B201" s="7"/>
      <c r="C201" s="131" t="s">
        <v>87</v>
      </c>
      <c r="D201" s="135"/>
      <c r="E201" s="137" t="s">
        <v>4344</v>
      </c>
      <c r="F201" s="8"/>
    </row>
    <row r="202" spans="2:6" ht="15" hidden="1" customHeight="1" x14ac:dyDescent="0.35">
      <c r="B202" s="7"/>
      <c r="C202" s="131" t="s">
        <v>88</v>
      </c>
      <c r="D202" s="135"/>
      <c r="E202" s="137" t="s">
        <v>4345</v>
      </c>
      <c r="F202" s="8"/>
    </row>
    <row r="203" spans="2:6" ht="15" hidden="1" customHeight="1" x14ac:dyDescent="0.35">
      <c r="B203" s="7"/>
      <c r="C203" s="131" t="s">
        <v>89</v>
      </c>
      <c r="D203" s="135"/>
      <c r="E203" s="137" t="s">
        <v>4346</v>
      </c>
      <c r="F203" s="8"/>
    </row>
    <row r="204" spans="2:6" ht="15" hidden="1" customHeight="1" x14ac:dyDescent="0.35">
      <c r="B204" s="7"/>
      <c r="C204" s="131" t="s">
        <v>90</v>
      </c>
      <c r="D204" s="135"/>
      <c r="E204" s="137" t="s">
        <v>4347</v>
      </c>
      <c r="F204" s="8"/>
    </row>
    <row r="205" spans="2:6" ht="15" hidden="1" customHeight="1" x14ac:dyDescent="0.35">
      <c r="B205" s="7"/>
      <c r="C205" s="131" t="s">
        <v>91</v>
      </c>
      <c r="D205" s="135"/>
      <c r="E205" s="137" t="s">
        <v>4348</v>
      </c>
      <c r="F205" s="8"/>
    </row>
    <row r="206" spans="2:6" ht="15" hidden="1" customHeight="1" x14ac:dyDescent="0.35">
      <c r="B206" s="7"/>
      <c r="C206" s="131" t="s">
        <v>92</v>
      </c>
      <c r="D206" s="135"/>
      <c r="E206" s="137" t="s">
        <v>4349</v>
      </c>
      <c r="F206" s="8"/>
    </row>
    <row r="207" spans="2:6" ht="15" hidden="1" customHeight="1" x14ac:dyDescent="0.25">
      <c r="B207" s="7"/>
      <c r="C207" s="123"/>
      <c r="D207" s="123"/>
      <c r="E207" s="123"/>
      <c r="F207" s="8"/>
    </row>
    <row r="208" spans="2:6" ht="15" hidden="1" customHeight="1" x14ac:dyDescent="0.25">
      <c r="B208" s="7"/>
      <c r="C208" s="123" t="s">
        <v>100</v>
      </c>
      <c r="D208" s="123"/>
      <c r="E208" s="123"/>
      <c r="F208" s="8"/>
    </row>
    <row r="209" spans="2:6" ht="15" hidden="1" customHeight="1" x14ac:dyDescent="0.25">
      <c r="B209" s="7"/>
      <c r="C209" s="130" t="s">
        <v>71</v>
      </c>
      <c r="D209" s="134" t="str">
        <f>IF(I.Product.P3BaselineYear="","Baseline year",I.Product.P3BaselineYear)</f>
        <v>Baseline year</v>
      </c>
      <c r="E209" s="129" t="s">
        <v>48</v>
      </c>
      <c r="F209" s="8"/>
    </row>
    <row r="210" spans="2:6" ht="15" hidden="1" customHeight="1" x14ac:dyDescent="0.25">
      <c r="B210" s="7"/>
      <c r="C210" s="131" t="s">
        <v>251</v>
      </c>
      <c r="D210" s="135"/>
      <c r="E210" s="137" t="s">
        <v>212</v>
      </c>
      <c r="F210" s="8"/>
    </row>
    <row r="211" spans="2:6" ht="15" hidden="1" customHeight="1" x14ac:dyDescent="0.25">
      <c r="B211" s="7"/>
      <c r="C211" s="131" t="s">
        <v>252</v>
      </c>
      <c r="D211" s="135"/>
      <c r="E211" s="137" t="s">
        <v>212</v>
      </c>
      <c r="F211" s="8"/>
    </row>
    <row r="212" spans="2:6" ht="15" hidden="1" customHeight="1" x14ac:dyDescent="0.35">
      <c r="B212" s="7"/>
      <c r="C212" s="131" t="s">
        <v>65</v>
      </c>
      <c r="D212" s="135"/>
      <c r="E212" s="137" t="s">
        <v>96</v>
      </c>
      <c r="F212" s="8"/>
    </row>
    <row r="213" spans="2:6" ht="15" hidden="1" customHeight="1" x14ac:dyDescent="0.35">
      <c r="B213" s="7"/>
      <c r="C213" s="131" t="s">
        <v>66</v>
      </c>
      <c r="D213" s="135"/>
      <c r="E213" s="137" t="s">
        <v>97</v>
      </c>
      <c r="F213" s="8"/>
    </row>
    <row r="214" spans="2:6" ht="15" hidden="1" customHeight="1" x14ac:dyDescent="0.35">
      <c r="B214" s="7"/>
      <c r="C214" s="131" t="s">
        <v>67</v>
      </c>
      <c r="D214" s="135"/>
      <c r="E214" s="137" t="s">
        <v>98</v>
      </c>
      <c r="F214" s="8"/>
    </row>
    <row r="215" spans="2:6" ht="15" hidden="1" customHeight="1" x14ac:dyDescent="0.25">
      <c r="B215" s="7"/>
      <c r="C215" s="136" t="s">
        <v>253</v>
      </c>
      <c r="D215" s="123"/>
      <c r="E215" s="123"/>
      <c r="F215" s="8"/>
    </row>
    <row r="216" spans="2:6" ht="15" hidden="1" customHeight="1" x14ac:dyDescent="0.25">
      <c r="B216" s="7"/>
      <c r="C216" s="136" t="s">
        <v>254</v>
      </c>
      <c r="D216" s="123"/>
      <c r="E216" s="123"/>
      <c r="F216" s="8"/>
    </row>
    <row r="217" spans="2:6" ht="15" hidden="1" customHeight="1" x14ac:dyDescent="0.25">
      <c r="B217" s="7"/>
      <c r="C217" s="123"/>
      <c r="D217" s="123"/>
      <c r="E217" s="123"/>
      <c r="F217" s="8"/>
    </row>
    <row r="218" spans="2:6" ht="15" hidden="1" customHeight="1" x14ac:dyDescent="0.25">
      <c r="B218" s="7"/>
      <c r="C218" s="123" t="s">
        <v>93</v>
      </c>
      <c r="D218" s="123"/>
      <c r="E218" s="123"/>
      <c r="F218" s="8"/>
    </row>
    <row r="219" spans="2:6" ht="15" hidden="1" customHeight="1" x14ac:dyDescent="0.25">
      <c r="B219" s="7"/>
      <c r="C219" s="130" t="s">
        <v>71</v>
      </c>
      <c r="D219" s="134" t="str">
        <f>IF(I.Product.P3BaselineYear="","Baseline year",I.Product.P3BaselineYear)</f>
        <v>Baseline year</v>
      </c>
      <c r="E219" s="129" t="s">
        <v>48</v>
      </c>
      <c r="F219" s="8"/>
    </row>
    <row r="220" spans="2:6" ht="15" hidden="1" customHeight="1" x14ac:dyDescent="0.35">
      <c r="B220" s="7"/>
      <c r="C220" s="131" t="s">
        <v>65</v>
      </c>
      <c r="D220" s="135"/>
      <c r="E220" s="137" t="s">
        <v>96</v>
      </c>
      <c r="F220" s="8"/>
    </row>
    <row r="221" spans="2:6" ht="15" hidden="1" customHeight="1" x14ac:dyDescent="0.35">
      <c r="B221" s="7"/>
      <c r="C221" s="131" t="s">
        <v>66</v>
      </c>
      <c r="D221" s="135"/>
      <c r="E221" s="137" t="s">
        <v>97</v>
      </c>
      <c r="F221" s="8"/>
    </row>
    <row r="222" spans="2:6" ht="15" hidden="1" customHeight="1" x14ac:dyDescent="0.35">
      <c r="B222" s="7"/>
      <c r="C222" s="131" t="s">
        <v>67</v>
      </c>
      <c r="D222" s="135"/>
      <c r="E222" s="137" t="s">
        <v>98</v>
      </c>
      <c r="F222" s="8"/>
    </row>
    <row r="223" spans="2:6" ht="15" hidden="1" customHeight="1" x14ac:dyDescent="0.25">
      <c r="B223" s="7"/>
      <c r="C223" s="123"/>
      <c r="D223" s="123"/>
      <c r="E223" s="123"/>
      <c r="F223" s="8"/>
    </row>
    <row r="224" spans="2:6" ht="20.100000000000001" hidden="1" customHeight="1" x14ac:dyDescent="0.25">
      <c r="B224" s="5"/>
      <c r="C224" s="97" t="s">
        <v>53</v>
      </c>
      <c r="D224" s="97"/>
      <c r="E224" s="97"/>
      <c r="F224" s="6"/>
    </row>
    <row r="225" spans="2:6" ht="15" hidden="1" customHeight="1" x14ac:dyDescent="0.25">
      <c r="B225" s="7"/>
      <c r="C225" s="123"/>
      <c r="D225" s="123"/>
      <c r="E225" s="123"/>
      <c r="F225" s="8"/>
    </row>
    <row r="226" spans="2:6" ht="15" hidden="1" customHeight="1" x14ac:dyDescent="0.25">
      <c r="B226" s="7"/>
      <c r="C226" s="123" t="s">
        <v>99</v>
      </c>
      <c r="D226" s="123"/>
      <c r="E226" s="123"/>
      <c r="F226" s="8"/>
    </row>
    <row r="227" spans="2:6" ht="15" hidden="1" customHeight="1" x14ac:dyDescent="0.25">
      <c r="B227" s="7"/>
      <c r="C227" s="130" t="s">
        <v>71</v>
      </c>
      <c r="D227" s="134" t="str">
        <f>IF(I.Product.P4BaselineYear="","Baseline year",I.Product.P4BaselineYear)</f>
        <v>Baseline year</v>
      </c>
      <c r="E227" s="129" t="s">
        <v>48</v>
      </c>
      <c r="F227" s="8"/>
    </row>
    <row r="228" spans="2:6" ht="15" hidden="1" customHeight="1" x14ac:dyDescent="0.25">
      <c r="B228" s="7"/>
      <c r="C228" s="131" t="s">
        <v>59</v>
      </c>
      <c r="D228" s="135"/>
      <c r="E228" s="137" t="s">
        <v>212</v>
      </c>
      <c r="F228" s="8"/>
    </row>
    <row r="229" spans="2:6" ht="15" hidden="1" customHeight="1" x14ac:dyDescent="0.25">
      <c r="B229" s="7"/>
      <c r="C229" s="131" t="s">
        <v>60</v>
      </c>
      <c r="D229" s="135"/>
      <c r="E229" s="128" t="s">
        <v>94</v>
      </c>
      <c r="F229" s="8"/>
    </row>
    <row r="230" spans="2:6" ht="15" hidden="1" customHeight="1" x14ac:dyDescent="0.25">
      <c r="B230" s="7"/>
      <c r="C230" s="131" t="s">
        <v>61</v>
      </c>
      <c r="D230" s="135"/>
      <c r="E230" s="128" t="s">
        <v>94</v>
      </c>
      <c r="F230" s="8"/>
    </row>
    <row r="231" spans="2:6" ht="15" hidden="1" customHeight="1" x14ac:dyDescent="0.25">
      <c r="B231" s="7"/>
      <c r="C231" s="131" t="s">
        <v>62</v>
      </c>
      <c r="D231" s="135"/>
      <c r="E231" s="128" t="s">
        <v>94</v>
      </c>
      <c r="F231" s="8"/>
    </row>
    <row r="232" spans="2:6" ht="15" hidden="1" customHeight="1" x14ac:dyDescent="0.25">
      <c r="B232" s="7"/>
      <c r="C232" s="131" t="s">
        <v>63</v>
      </c>
      <c r="D232" s="135"/>
      <c r="E232" s="128" t="s">
        <v>94</v>
      </c>
      <c r="F232" s="8"/>
    </row>
    <row r="233" spans="2:6" ht="15" hidden="1" customHeight="1" x14ac:dyDescent="0.25">
      <c r="B233" s="7"/>
      <c r="C233" s="131" t="s">
        <v>64</v>
      </c>
      <c r="D233" s="135"/>
      <c r="E233" s="128" t="s">
        <v>94</v>
      </c>
      <c r="F233" s="8"/>
    </row>
    <row r="234" spans="2:6" ht="15" hidden="1" customHeight="1" x14ac:dyDescent="0.35">
      <c r="B234" s="7"/>
      <c r="C234" s="131" t="s">
        <v>65</v>
      </c>
      <c r="D234" s="135"/>
      <c r="E234" s="137" t="s">
        <v>96</v>
      </c>
      <c r="F234" s="8"/>
    </row>
    <row r="235" spans="2:6" ht="15" hidden="1" customHeight="1" x14ac:dyDescent="0.35">
      <c r="B235" s="7"/>
      <c r="C235" s="131" t="s">
        <v>66</v>
      </c>
      <c r="D235" s="135"/>
      <c r="E235" s="137" t="s">
        <v>97</v>
      </c>
      <c r="F235" s="8"/>
    </row>
    <row r="236" spans="2:6" ht="15" hidden="1" customHeight="1" x14ac:dyDescent="0.35">
      <c r="B236" s="7"/>
      <c r="C236" s="131" t="s">
        <v>67</v>
      </c>
      <c r="D236" s="135"/>
      <c r="E236" s="137" t="s">
        <v>98</v>
      </c>
      <c r="F236" s="8"/>
    </row>
    <row r="237" spans="2:6" ht="15" hidden="1" customHeight="1" x14ac:dyDescent="0.25">
      <c r="B237" s="7"/>
      <c r="C237" s="123"/>
      <c r="D237" s="123"/>
      <c r="E237" s="123"/>
      <c r="F237" s="8"/>
    </row>
    <row r="238" spans="2:6" ht="15" hidden="1" customHeight="1" x14ac:dyDescent="0.25">
      <c r="B238" s="7"/>
      <c r="C238" s="123" t="s">
        <v>70</v>
      </c>
      <c r="D238" s="123"/>
      <c r="E238" s="123"/>
      <c r="F238" s="8"/>
    </row>
    <row r="239" spans="2:6" ht="15" hidden="1" customHeight="1" x14ac:dyDescent="0.25">
      <c r="B239" s="7"/>
      <c r="C239" s="130" t="s">
        <v>71</v>
      </c>
      <c r="D239" s="134" t="str">
        <f>IF(I.Product.P4BaselineYear="","Baseline year",I.Product.P4BaselineYear)</f>
        <v>Baseline year</v>
      </c>
      <c r="E239" s="129" t="s">
        <v>48</v>
      </c>
      <c r="F239" s="8"/>
    </row>
    <row r="240" spans="2:6" ht="15" hidden="1" customHeight="1" x14ac:dyDescent="0.35">
      <c r="B240" s="7"/>
      <c r="C240" s="131" t="s">
        <v>72</v>
      </c>
      <c r="D240" s="135"/>
      <c r="E240" s="137" t="s">
        <v>4329</v>
      </c>
      <c r="F240" s="8"/>
    </row>
    <row r="241" spans="2:6" ht="15" hidden="1" customHeight="1" x14ac:dyDescent="0.35">
      <c r="B241" s="7"/>
      <c r="C241" s="131" t="s">
        <v>73</v>
      </c>
      <c r="D241" s="135"/>
      <c r="E241" s="137" t="s">
        <v>4330</v>
      </c>
      <c r="F241" s="8"/>
    </row>
    <row r="242" spans="2:6" ht="15" hidden="1" customHeight="1" x14ac:dyDescent="0.35">
      <c r="B242" s="7"/>
      <c r="C242" s="131" t="s">
        <v>74</v>
      </c>
      <c r="D242" s="135"/>
      <c r="E242" s="137" t="s">
        <v>4331</v>
      </c>
      <c r="F242" s="8"/>
    </row>
    <row r="243" spans="2:6" ht="15" hidden="1" customHeight="1" x14ac:dyDescent="0.35">
      <c r="B243" s="7"/>
      <c r="C243" s="131" t="s">
        <v>75</v>
      </c>
      <c r="D243" s="135"/>
      <c r="E243" s="137" t="s">
        <v>4332</v>
      </c>
      <c r="F243" s="8"/>
    </row>
    <row r="244" spans="2:6" ht="15" hidden="1" customHeight="1" x14ac:dyDescent="0.35">
      <c r="B244" s="7"/>
      <c r="C244" s="131" t="s">
        <v>76</v>
      </c>
      <c r="D244" s="135"/>
      <c r="E244" s="137" t="s">
        <v>4333</v>
      </c>
      <c r="F244" s="8"/>
    </row>
    <row r="245" spans="2:6" ht="15" hidden="1" customHeight="1" x14ac:dyDescent="0.35">
      <c r="B245" s="7"/>
      <c r="C245" s="131" t="s">
        <v>77</v>
      </c>
      <c r="D245" s="135"/>
      <c r="E245" s="137" t="s">
        <v>4334</v>
      </c>
      <c r="F245" s="8"/>
    </row>
    <row r="246" spans="2:6" ht="15" hidden="1" customHeight="1" x14ac:dyDescent="0.35">
      <c r="B246" s="7"/>
      <c r="C246" s="131" t="s">
        <v>78</v>
      </c>
      <c r="D246" s="135"/>
      <c r="E246" s="137" t="s">
        <v>4335</v>
      </c>
      <c r="F246" s="8"/>
    </row>
    <row r="247" spans="2:6" ht="15" hidden="1" customHeight="1" x14ac:dyDescent="0.35">
      <c r="B247" s="7"/>
      <c r="C247" s="131" t="s">
        <v>79</v>
      </c>
      <c r="D247" s="135"/>
      <c r="E247" s="137" t="s">
        <v>4336</v>
      </c>
      <c r="F247" s="8"/>
    </row>
    <row r="248" spans="2:6" ht="15" hidden="1" customHeight="1" x14ac:dyDescent="0.35">
      <c r="B248" s="7"/>
      <c r="C248" s="131" t="s">
        <v>80</v>
      </c>
      <c r="D248" s="135"/>
      <c r="E248" s="137" t="s">
        <v>4337</v>
      </c>
      <c r="F248" s="8"/>
    </row>
    <row r="249" spans="2:6" ht="15" hidden="1" customHeight="1" x14ac:dyDescent="0.35">
      <c r="B249" s="7"/>
      <c r="C249" s="131" t="s">
        <v>81</v>
      </c>
      <c r="D249" s="135"/>
      <c r="E249" s="137" t="s">
        <v>4338</v>
      </c>
      <c r="F249" s="8"/>
    </row>
    <row r="250" spans="2:6" ht="15" hidden="1" customHeight="1" x14ac:dyDescent="0.35">
      <c r="B250" s="7"/>
      <c r="C250" s="131" t="s">
        <v>82</v>
      </c>
      <c r="D250" s="135"/>
      <c r="E250" s="137" t="s">
        <v>4339</v>
      </c>
      <c r="F250" s="8"/>
    </row>
    <row r="251" spans="2:6" ht="15" hidden="1" customHeight="1" x14ac:dyDescent="0.35">
      <c r="B251" s="7"/>
      <c r="C251" s="131" t="s">
        <v>83</v>
      </c>
      <c r="D251" s="135"/>
      <c r="E251" s="137" t="s">
        <v>4340</v>
      </c>
      <c r="F251" s="8"/>
    </row>
    <row r="252" spans="2:6" ht="15" hidden="1" customHeight="1" x14ac:dyDescent="0.35">
      <c r="B252" s="7"/>
      <c r="C252" s="131" t="s">
        <v>84</v>
      </c>
      <c r="D252" s="135"/>
      <c r="E252" s="137" t="s">
        <v>4341</v>
      </c>
      <c r="F252" s="8"/>
    </row>
    <row r="253" spans="2:6" ht="15" hidden="1" customHeight="1" x14ac:dyDescent="0.35">
      <c r="B253" s="7"/>
      <c r="C253" s="131" t="s">
        <v>85</v>
      </c>
      <c r="D253" s="135"/>
      <c r="E253" s="137" t="s">
        <v>4342</v>
      </c>
      <c r="F253" s="8"/>
    </row>
    <row r="254" spans="2:6" ht="15" hidden="1" customHeight="1" x14ac:dyDescent="0.35">
      <c r="B254" s="7"/>
      <c r="C254" s="131" t="s">
        <v>86</v>
      </c>
      <c r="D254" s="135"/>
      <c r="E254" s="137" t="s">
        <v>4343</v>
      </c>
      <c r="F254" s="8"/>
    </row>
    <row r="255" spans="2:6" ht="15" hidden="1" customHeight="1" x14ac:dyDescent="0.35">
      <c r="B255" s="7"/>
      <c r="C255" s="131" t="s">
        <v>87</v>
      </c>
      <c r="D255" s="135"/>
      <c r="E255" s="137" t="s">
        <v>4344</v>
      </c>
      <c r="F255" s="8"/>
    </row>
    <row r="256" spans="2:6" ht="15" hidden="1" customHeight="1" x14ac:dyDescent="0.35">
      <c r="B256" s="7"/>
      <c r="C256" s="131" t="s">
        <v>88</v>
      </c>
      <c r="D256" s="135"/>
      <c r="E256" s="137" t="s">
        <v>4345</v>
      </c>
      <c r="F256" s="8"/>
    </row>
    <row r="257" spans="2:6" ht="15" hidden="1" customHeight="1" x14ac:dyDescent="0.35">
      <c r="B257" s="7"/>
      <c r="C257" s="131" t="s">
        <v>89</v>
      </c>
      <c r="D257" s="135"/>
      <c r="E257" s="137" t="s">
        <v>4346</v>
      </c>
      <c r="F257" s="8"/>
    </row>
    <row r="258" spans="2:6" ht="15" hidden="1" customHeight="1" x14ac:dyDescent="0.35">
      <c r="B258" s="7"/>
      <c r="C258" s="131" t="s">
        <v>90</v>
      </c>
      <c r="D258" s="135"/>
      <c r="E258" s="137" t="s">
        <v>4347</v>
      </c>
      <c r="F258" s="8"/>
    </row>
    <row r="259" spans="2:6" ht="15" hidden="1" customHeight="1" x14ac:dyDescent="0.35">
      <c r="B259" s="7"/>
      <c r="C259" s="131" t="s">
        <v>91</v>
      </c>
      <c r="D259" s="135"/>
      <c r="E259" s="137" t="s">
        <v>4348</v>
      </c>
      <c r="F259" s="8"/>
    </row>
    <row r="260" spans="2:6" ht="15" hidden="1" customHeight="1" x14ac:dyDescent="0.35">
      <c r="B260" s="7"/>
      <c r="C260" s="131" t="s">
        <v>92</v>
      </c>
      <c r="D260" s="135"/>
      <c r="E260" s="137" t="s">
        <v>4349</v>
      </c>
      <c r="F260" s="8"/>
    </row>
    <row r="261" spans="2:6" ht="15" hidden="1" customHeight="1" x14ac:dyDescent="0.25">
      <c r="B261" s="7"/>
      <c r="C261" s="123"/>
      <c r="D261" s="123"/>
      <c r="E261" s="123"/>
      <c r="F261" s="8"/>
    </row>
    <row r="262" spans="2:6" ht="15" hidden="1" customHeight="1" x14ac:dyDescent="0.25">
      <c r="B262" s="7"/>
      <c r="C262" s="123" t="s">
        <v>100</v>
      </c>
      <c r="D262" s="123"/>
      <c r="E262" s="123"/>
      <c r="F262" s="8"/>
    </row>
    <row r="263" spans="2:6" ht="15" hidden="1" customHeight="1" x14ac:dyDescent="0.25">
      <c r="B263" s="7"/>
      <c r="C263" s="130" t="s">
        <v>71</v>
      </c>
      <c r="D263" s="134" t="str">
        <f>IF(I.Product.P4BaselineYear="","Baseline year",I.Product.P4BaselineYear)</f>
        <v>Baseline year</v>
      </c>
      <c r="E263" s="129" t="s">
        <v>48</v>
      </c>
      <c r="F263" s="8"/>
    </row>
    <row r="264" spans="2:6" ht="15" hidden="1" customHeight="1" x14ac:dyDescent="0.25">
      <c r="B264" s="7"/>
      <c r="C264" s="131" t="s">
        <v>251</v>
      </c>
      <c r="D264" s="135"/>
      <c r="E264" s="137" t="s">
        <v>212</v>
      </c>
      <c r="F264" s="8"/>
    </row>
    <row r="265" spans="2:6" ht="15" hidden="1" customHeight="1" x14ac:dyDescent="0.25">
      <c r="B265" s="7"/>
      <c r="C265" s="131" t="s">
        <v>252</v>
      </c>
      <c r="D265" s="135"/>
      <c r="E265" s="137" t="s">
        <v>212</v>
      </c>
      <c r="F265" s="8"/>
    </row>
    <row r="266" spans="2:6" ht="15" hidden="1" customHeight="1" x14ac:dyDescent="0.35">
      <c r="B266" s="7"/>
      <c r="C266" s="131" t="s">
        <v>65</v>
      </c>
      <c r="D266" s="135"/>
      <c r="E266" s="137" t="s">
        <v>96</v>
      </c>
      <c r="F266" s="8"/>
    </row>
    <row r="267" spans="2:6" ht="15" hidden="1" customHeight="1" x14ac:dyDescent="0.35">
      <c r="B267" s="7"/>
      <c r="C267" s="131" t="s">
        <v>66</v>
      </c>
      <c r="D267" s="135"/>
      <c r="E267" s="137" t="s">
        <v>97</v>
      </c>
      <c r="F267" s="8"/>
    </row>
    <row r="268" spans="2:6" ht="15" hidden="1" customHeight="1" x14ac:dyDescent="0.35">
      <c r="B268" s="7"/>
      <c r="C268" s="131" t="s">
        <v>67</v>
      </c>
      <c r="D268" s="135"/>
      <c r="E268" s="137" t="s">
        <v>98</v>
      </c>
      <c r="F268" s="8"/>
    </row>
    <row r="269" spans="2:6" ht="15" hidden="1" customHeight="1" x14ac:dyDescent="0.25">
      <c r="B269" s="7"/>
      <c r="C269" s="136" t="s">
        <v>253</v>
      </c>
      <c r="D269" s="123"/>
      <c r="E269" s="123"/>
      <c r="F269" s="8"/>
    </row>
    <row r="270" spans="2:6" ht="15" hidden="1" customHeight="1" x14ac:dyDescent="0.25">
      <c r="B270" s="7"/>
      <c r="C270" s="136" t="s">
        <v>254</v>
      </c>
      <c r="D270" s="123"/>
      <c r="E270" s="123"/>
      <c r="F270" s="8"/>
    </row>
    <row r="271" spans="2:6" ht="15" hidden="1" customHeight="1" x14ac:dyDescent="0.25">
      <c r="B271" s="7"/>
      <c r="C271" s="123"/>
      <c r="D271" s="123"/>
      <c r="E271" s="123"/>
      <c r="F271" s="8"/>
    </row>
    <row r="272" spans="2:6" ht="15" hidden="1" customHeight="1" x14ac:dyDescent="0.25">
      <c r="B272" s="7"/>
      <c r="C272" s="123" t="s">
        <v>93</v>
      </c>
      <c r="D272" s="123"/>
      <c r="E272" s="123"/>
      <c r="F272" s="8"/>
    </row>
    <row r="273" spans="2:6" ht="15" hidden="1" customHeight="1" x14ac:dyDescent="0.25">
      <c r="B273" s="7"/>
      <c r="C273" s="130" t="s">
        <v>71</v>
      </c>
      <c r="D273" s="134" t="str">
        <f>IF(I.Product.P4BaselineYear="","Baseline year",I.Product.P4BaselineYear)</f>
        <v>Baseline year</v>
      </c>
      <c r="E273" s="129" t="s">
        <v>48</v>
      </c>
      <c r="F273" s="8"/>
    </row>
    <row r="274" spans="2:6" ht="15" hidden="1" customHeight="1" x14ac:dyDescent="0.35">
      <c r="B274" s="7"/>
      <c r="C274" s="131" t="s">
        <v>65</v>
      </c>
      <c r="D274" s="135"/>
      <c r="E274" s="137" t="s">
        <v>96</v>
      </c>
      <c r="F274" s="8"/>
    </row>
    <row r="275" spans="2:6" ht="15" hidden="1" customHeight="1" x14ac:dyDescent="0.35">
      <c r="B275" s="7"/>
      <c r="C275" s="131" t="s">
        <v>66</v>
      </c>
      <c r="D275" s="135"/>
      <c r="E275" s="137" t="s">
        <v>97</v>
      </c>
      <c r="F275" s="8"/>
    </row>
    <row r="276" spans="2:6" ht="15" hidden="1" customHeight="1" x14ac:dyDescent="0.35">
      <c r="B276" s="7"/>
      <c r="C276" s="131" t="s">
        <v>67</v>
      </c>
      <c r="D276" s="135"/>
      <c r="E276" s="137" t="s">
        <v>98</v>
      </c>
      <c r="F276" s="8"/>
    </row>
    <row r="277" spans="2:6" ht="15" hidden="1" customHeight="1" x14ac:dyDescent="0.25">
      <c r="B277" s="7"/>
      <c r="C277" s="123"/>
      <c r="D277" s="123"/>
      <c r="E277" s="123"/>
      <c r="F277" s="8"/>
    </row>
    <row r="278" spans="2:6" ht="15" customHeight="1" x14ac:dyDescent="0.25">
      <c r="B278" s="7"/>
      <c r="C278" s="138"/>
      <c r="D278" s="123"/>
      <c r="E278" s="123"/>
      <c r="F278" s="8"/>
    </row>
    <row r="279" spans="2:6" ht="15" customHeight="1" x14ac:dyDescent="0.25">
      <c r="B279" s="7"/>
      <c r="C279" s="123"/>
      <c r="D279" s="123"/>
      <c r="E279" s="123"/>
      <c r="F279" s="8"/>
    </row>
    <row r="280" spans="2:6" ht="15" customHeight="1" x14ac:dyDescent="0.25">
      <c r="B280" s="10"/>
      <c r="C280" s="11">
        <f>R.Instructions.VersionNumber</f>
        <v>4.0199999999999996</v>
      </c>
      <c r="D280" s="12"/>
      <c r="E280" s="13">
        <f>R.Instructions.VersionDate</f>
        <v>45411</v>
      </c>
      <c r="F280" s="14"/>
    </row>
    <row r="281" spans="2:6" customFormat="1" ht="15" customHeight="1" x14ac:dyDescent="0.25"/>
    <row r="282" spans="2:6" ht="15" customHeight="1" x14ac:dyDescent="0.25">
      <c r="C282" s="108" t="str">
        <f>IFERROR(VLOOKUP("Incomplete",Developer!H25238:I25427,2,FALSE),"Sheet complete.")</f>
        <v>Sheet complete.</v>
      </c>
      <c r="D282" s="108"/>
      <c r="E282" s="108"/>
    </row>
    <row r="283" spans="2:6" ht="15" customHeight="1" x14ac:dyDescent="0.25">
      <c r="C283" s="108"/>
      <c r="D283" s="108"/>
      <c r="E283" s="108"/>
    </row>
    <row r="284" spans="2:6" ht="15" customHeight="1" x14ac:dyDescent="0.25">
      <c r="C284" s="108"/>
      <c r="D284" s="108"/>
      <c r="E284" s="108"/>
    </row>
  </sheetData>
  <sheetProtection algorithmName="SHA-512" hashValue="rDGQdmY0m2BnXxlkaqXq45XmktT64JCmlcNJsfM/pdt1iM2qn+jobwB2HfSYbP5uYPuhP9JxEPdCU+YBFVzGRQ==" saltValue="8GuQ2J3Ghs2EOZqjlfFXfQ==" spinCount="100000" sheet="1" objects="1" scenarios="1" selectLockedCells="1"/>
  <mergeCells count="8">
    <mergeCell ref="C282:E284"/>
    <mergeCell ref="C224:E224"/>
    <mergeCell ref="C4:E4"/>
    <mergeCell ref="C8:E8"/>
    <mergeCell ref="C62:E62"/>
    <mergeCell ref="C116:E116"/>
    <mergeCell ref="C170:E170"/>
    <mergeCell ref="C6:E7"/>
  </mergeCells>
  <conditionalFormatting sqref="C282">
    <cfRule type="cellIs" dxfId="8" priority="1" stopIfTrue="1" operator="equal">
      <formula>"Sheet complete."</formula>
    </cfRule>
  </conditionalFormatting>
  <printOptions horizontalCentered="1"/>
  <pageMargins left="0.25" right="0.25" top="0.25" bottom="0.25" header="0" footer="0"/>
  <pageSetup scale="85"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5D5D48-FF73-44B3-9FC9-E523D7BC6963}">
  <sheetPr codeName="Sheet6">
    <tabColor rgb="FF046A38"/>
    <pageSetUpPr fitToPage="1"/>
  </sheetPr>
  <dimension ref="A1:K634"/>
  <sheetViews>
    <sheetView showGridLines="0" showRowColHeaders="0" zoomScaleNormal="100" workbookViewId="0">
      <selection activeCell="C14" sqref="C14:E14"/>
    </sheetView>
  </sheetViews>
  <sheetFormatPr defaultColWidth="8.7109375" defaultRowHeight="15" customHeight="1" x14ac:dyDescent="0.25"/>
  <cols>
    <col min="1" max="1" width="5.7109375" customWidth="1"/>
    <col min="2" max="3" width="5.7109375" style="122" customWidth="1"/>
    <col min="4" max="10" width="18.7109375" style="122" customWidth="1"/>
    <col min="11" max="11" width="5.7109375" style="122" customWidth="1"/>
    <col min="12" max="16384" width="8.7109375" style="122"/>
  </cols>
  <sheetData>
    <row r="1" spans="2:11" customFormat="1" ht="24.95" customHeight="1" x14ac:dyDescent="0.25"/>
    <row r="2" spans="2:11" customFormat="1" ht="24.95" customHeight="1" x14ac:dyDescent="0.25"/>
    <row r="3" spans="2:11" customFormat="1" ht="24.95" customHeight="1" x14ac:dyDescent="0.25"/>
    <row r="4" spans="2:11" ht="24.95" customHeight="1" x14ac:dyDescent="0.25">
      <c r="B4" s="15"/>
      <c r="C4" s="101" t="s">
        <v>54</v>
      </c>
      <c r="D4" s="101"/>
      <c r="E4" s="101"/>
      <c r="F4" s="101"/>
      <c r="G4" s="101"/>
      <c r="H4" s="101"/>
      <c r="I4" s="101"/>
      <c r="J4" s="101"/>
      <c r="K4" s="16"/>
    </row>
    <row r="5" spans="2:11" ht="15" customHeight="1" x14ac:dyDescent="0.25">
      <c r="B5" s="7"/>
      <c r="C5" s="123"/>
      <c r="D5" s="123"/>
      <c r="E5" s="123"/>
      <c r="F5" s="123"/>
      <c r="G5" s="123"/>
      <c r="H5" s="123"/>
      <c r="I5" s="123"/>
      <c r="J5" s="123"/>
      <c r="K5" s="8"/>
    </row>
    <row r="6" spans="2:11" ht="15" customHeight="1" x14ac:dyDescent="0.25">
      <c r="B6" s="7"/>
      <c r="C6" s="125" t="s">
        <v>4376</v>
      </c>
      <c r="D6" s="125"/>
      <c r="E6" s="125"/>
      <c r="F6" s="125"/>
      <c r="G6" s="125"/>
      <c r="H6" s="125"/>
      <c r="I6" s="125"/>
      <c r="J6" s="125"/>
      <c r="K6" s="8"/>
    </row>
    <row r="7" spans="2:11" ht="15" customHeight="1" x14ac:dyDescent="0.25">
      <c r="B7" s="7"/>
      <c r="C7" s="125"/>
      <c r="D7" s="125"/>
      <c r="E7" s="125"/>
      <c r="F7" s="125"/>
      <c r="G7" s="125"/>
      <c r="H7" s="125"/>
      <c r="I7" s="125"/>
      <c r="J7" s="125"/>
      <c r="K7" s="8"/>
    </row>
    <row r="8" spans="2:11" ht="20.100000000000001" hidden="1" customHeight="1" x14ac:dyDescent="0.25">
      <c r="B8" s="5"/>
      <c r="C8" s="97" t="s">
        <v>49</v>
      </c>
      <c r="D8" s="97"/>
      <c r="E8" s="97"/>
      <c r="F8" s="97"/>
      <c r="G8" s="97"/>
      <c r="H8" s="97"/>
      <c r="I8" s="97"/>
      <c r="J8" s="97"/>
      <c r="K8" s="6"/>
    </row>
    <row r="9" spans="2:11" ht="15" hidden="1" customHeight="1" x14ac:dyDescent="0.25">
      <c r="B9" s="7"/>
      <c r="C9" s="123"/>
      <c r="D9" s="123"/>
      <c r="E9" s="123"/>
      <c r="F9" s="123"/>
      <c r="G9" s="123"/>
      <c r="H9" s="123"/>
      <c r="I9" s="123"/>
      <c r="J9" s="123"/>
      <c r="K9" s="8"/>
    </row>
    <row r="10" spans="2:11" ht="15" hidden="1" customHeight="1" x14ac:dyDescent="0.25">
      <c r="B10" s="7"/>
      <c r="C10" s="123" t="s">
        <v>4372</v>
      </c>
      <c r="D10" s="123"/>
      <c r="E10" s="123"/>
      <c r="F10" s="123"/>
      <c r="G10" s="123"/>
      <c r="H10" s="123"/>
      <c r="I10" s="123"/>
      <c r="J10" s="123"/>
      <c r="K10" s="8"/>
    </row>
    <row r="11" spans="2:11" ht="15" hidden="1" customHeight="1" x14ac:dyDescent="0.25">
      <c r="B11" s="7"/>
      <c r="C11" s="145" t="str">
        <f>IF(I.Product.P1GasToPowerBaselineYear="","",I.Product.P1GasToPowerBaselineYear)</f>
        <v/>
      </c>
      <c r="D11" s="146"/>
      <c r="E11" s="147"/>
      <c r="F11" s="123"/>
      <c r="G11" s="123"/>
      <c r="H11" s="123"/>
      <c r="I11" s="123"/>
      <c r="J11" s="123"/>
      <c r="K11" s="8"/>
    </row>
    <row r="12" spans="2:11" ht="15" hidden="1" customHeight="1" x14ac:dyDescent="0.25">
      <c r="B12" s="7"/>
      <c r="C12" s="123"/>
      <c r="D12" s="123"/>
      <c r="E12" s="123"/>
      <c r="F12" s="123"/>
      <c r="G12" s="123"/>
      <c r="H12" s="123"/>
      <c r="I12" s="123"/>
      <c r="J12" s="123"/>
      <c r="K12" s="8"/>
    </row>
    <row r="13" spans="2:11" ht="15" hidden="1" customHeight="1" x14ac:dyDescent="0.25">
      <c r="B13" s="7"/>
      <c r="C13" s="123" t="s">
        <v>4374</v>
      </c>
      <c r="D13" s="123"/>
      <c r="E13" s="123"/>
      <c r="F13" s="123"/>
      <c r="G13" s="123"/>
      <c r="H13" s="123"/>
      <c r="I13" s="123"/>
      <c r="J13" s="123"/>
      <c r="K13" s="8"/>
    </row>
    <row r="14" spans="2:11" ht="15" hidden="1" customHeight="1" x14ac:dyDescent="0.25">
      <c r="B14" s="7"/>
      <c r="C14" s="99"/>
      <c r="D14" s="100"/>
      <c r="E14" s="109"/>
      <c r="F14" s="123"/>
      <c r="G14" s="123"/>
      <c r="H14" s="123"/>
      <c r="I14" s="123"/>
      <c r="J14" s="123"/>
      <c r="K14" s="8"/>
    </row>
    <row r="15" spans="2:11" ht="15" hidden="1" customHeight="1" x14ac:dyDescent="0.25">
      <c r="B15" s="7"/>
      <c r="C15" s="123"/>
      <c r="D15" s="123"/>
      <c r="E15" s="123"/>
      <c r="F15" s="123"/>
      <c r="G15" s="123"/>
      <c r="H15" s="123"/>
      <c r="I15" s="123"/>
      <c r="J15" s="123"/>
      <c r="K15" s="8"/>
    </row>
    <row r="16" spans="2:11" ht="15" hidden="1" customHeight="1" x14ac:dyDescent="0.25">
      <c r="B16" s="7"/>
      <c r="C16" s="150" t="s">
        <v>57</v>
      </c>
      <c r="D16" s="153" t="s">
        <v>215</v>
      </c>
      <c r="E16" s="153" t="s">
        <v>216</v>
      </c>
      <c r="F16" s="153" t="s">
        <v>220</v>
      </c>
      <c r="G16" s="153" t="s">
        <v>245</v>
      </c>
      <c r="H16" s="153" t="s">
        <v>217</v>
      </c>
      <c r="I16" s="153" t="s">
        <v>218</v>
      </c>
      <c r="J16" s="153" t="s">
        <v>219</v>
      </c>
      <c r="K16" s="8"/>
    </row>
    <row r="17" spans="2:11" ht="15" hidden="1" customHeight="1" x14ac:dyDescent="0.25">
      <c r="B17" s="7"/>
      <c r="C17" s="151"/>
      <c r="D17" s="154"/>
      <c r="E17" s="154"/>
      <c r="F17" s="154"/>
      <c r="G17" s="154"/>
      <c r="H17" s="154"/>
      <c r="I17" s="154"/>
      <c r="J17" s="154"/>
      <c r="K17" s="8"/>
    </row>
    <row r="18" spans="2:11" ht="15" hidden="1" customHeight="1" x14ac:dyDescent="0.25">
      <c r="B18" s="7"/>
      <c r="C18" s="151"/>
      <c r="D18" s="154"/>
      <c r="E18" s="154"/>
      <c r="F18" s="154"/>
      <c r="G18" s="154"/>
      <c r="H18" s="154"/>
      <c r="I18" s="154"/>
      <c r="J18" s="154"/>
      <c r="K18" s="8"/>
    </row>
    <row r="19" spans="2:11" ht="15" hidden="1" customHeight="1" x14ac:dyDescent="0.35">
      <c r="B19" s="7"/>
      <c r="C19" s="152"/>
      <c r="D19" s="149" t="s">
        <v>213</v>
      </c>
      <c r="E19" s="149" t="s">
        <v>213</v>
      </c>
      <c r="F19" s="149" t="s">
        <v>214</v>
      </c>
      <c r="G19" s="155" t="s">
        <v>4325</v>
      </c>
      <c r="H19" s="156" t="s">
        <v>4326</v>
      </c>
      <c r="I19" s="156" t="s">
        <v>4327</v>
      </c>
      <c r="J19" s="157" t="s">
        <v>4328</v>
      </c>
      <c r="K19" s="8"/>
    </row>
    <row r="20" spans="2:11" ht="15" hidden="1" customHeight="1" x14ac:dyDescent="0.25">
      <c r="B20" s="7"/>
      <c r="C20" s="148">
        <v>1</v>
      </c>
      <c r="D20" s="135"/>
      <c r="E20" s="135"/>
      <c r="F20" s="135"/>
      <c r="G20" s="135"/>
      <c r="H20" s="135"/>
      <c r="I20" s="135"/>
      <c r="J20" s="132"/>
      <c r="K20" s="8"/>
    </row>
    <row r="21" spans="2:11" ht="15" hidden="1" customHeight="1" x14ac:dyDescent="0.25">
      <c r="B21" s="7"/>
      <c r="C21" s="148">
        <v>2</v>
      </c>
      <c r="D21" s="135"/>
      <c r="E21" s="135"/>
      <c r="F21" s="135"/>
      <c r="G21" s="135"/>
      <c r="H21" s="135"/>
      <c r="I21" s="135"/>
      <c r="J21" s="132"/>
      <c r="K21" s="8"/>
    </row>
    <row r="22" spans="2:11" ht="15" hidden="1" customHeight="1" x14ac:dyDescent="0.25">
      <c r="B22" s="7"/>
      <c r="C22" s="148">
        <v>3</v>
      </c>
      <c r="D22" s="135"/>
      <c r="E22" s="135"/>
      <c r="F22" s="135"/>
      <c r="G22" s="135"/>
      <c r="H22" s="135"/>
      <c r="I22" s="135"/>
      <c r="J22" s="132"/>
      <c r="K22" s="8"/>
    </row>
    <row r="23" spans="2:11" ht="15" hidden="1" customHeight="1" x14ac:dyDescent="0.25">
      <c r="B23" s="7"/>
      <c r="C23" s="148">
        <v>4</v>
      </c>
      <c r="D23" s="135"/>
      <c r="E23" s="135"/>
      <c r="F23" s="135"/>
      <c r="G23" s="135"/>
      <c r="H23" s="135"/>
      <c r="I23" s="135"/>
      <c r="J23" s="132"/>
      <c r="K23" s="8"/>
    </row>
    <row r="24" spans="2:11" ht="15" hidden="1" customHeight="1" x14ac:dyDescent="0.25">
      <c r="B24" s="7"/>
      <c r="C24" s="148">
        <v>5</v>
      </c>
      <c r="D24" s="135"/>
      <c r="E24" s="135"/>
      <c r="F24" s="135"/>
      <c r="G24" s="135"/>
      <c r="H24" s="135"/>
      <c r="I24" s="135"/>
      <c r="J24" s="132"/>
      <c r="K24" s="8"/>
    </row>
    <row r="25" spans="2:11" ht="15" hidden="1" customHeight="1" x14ac:dyDescent="0.25">
      <c r="B25" s="7"/>
      <c r="C25" s="148">
        <v>6</v>
      </c>
      <c r="D25" s="135"/>
      <c r="E25" s="135"/>
      <c r="F25" s="135"/>
      <c r="G25" s="135"/>
      <c r="H25" s="135"/>
      <c r="I25" s="135"/>
      <c r="J25" s="132"/>
      <c r="K25" s="8"/>
    </row>
    <row r="26" spans="2:11" ht="15" hidden="1" customHeight="1" x14ac:dyDescent="0.25">
      <c r="B26" s="7"/>
      <c r="C26" s="148">
        <v>7</v>
      </c>
      <c r="D26" s="135"/>
      <c r="E26" s="135"/>
      <c r="F26" s="135"/>
      <c r="G26" s="135"/>
      <c r="H26" s="135"/>
      <c r="I26" s="135"/>
      <c r="J26" s="132"/>
      <c r="K26" s="8"/>
    </row>
    <row r="27" spans="2:11" ht="15" hidden="1" customHeight="1" x14ac:dyDescent="0.25">
      <c r="B27" s="7"/>
      <c r="C27" s="148">
        <v>8</v>
      </c>
      <c r="D27" s="135"/>
      <c r="E27" s="135"/>
      <c r="F27" s="135"/>
      <c r="G27" s="135"/>
      <c r="H27" s="135"/>
      <c r="I27" s="135"/>
      <c r="J27" s="132"/>
      <c r="K27" s="8"/>
    </row>
    <row r="28" spans="2:11" ht="15" hidden="1" customHeight="1" x14ac:dyDescent="0.25">
      <c r="B28" s="7"/>
      <c r="C28" s="148">
        <v>9</v>
      </c>
      <c r="D28" s="135"/>
      <c r="E28" s="135"/>
      <c r="F28" s="135"/>
      <c r="G28" s="135"/>
      <c r="H28" s="135"/>
      <c r="I28" s="135"/>
      <c r="J28" s="132"/>
      <c r="K28" s="8"/>
    </row>
    <row r="29" spans="2:11" ht="15" hidden="1" customHeight="1" x14ac:dyDescent="0.25">
      <c r="B29" s="7"/>
      <c r="C29" s="148">
        <v>10</v>
      </c>
      <c r="D29" s="135"/>
      <c r="E29" s="135"/>
      <c r="F29" s="135"/>
      <c r="G29" s="135"/>
      <c r="H29" s="135"/>
      <c r="I29" s="135"/>
      <c r="J29" s="132"/>
      <c r="K29" s="8"/>
    </row>
    <row r="30" spans="2:11" ht="15" hidden="1" customHeight="1" x14ac:dyDescent="0.25">
      <c r="B30" s="7"/>
      <c r="C30" s="148">
        <v>11</v>
      </c>
      <c r="D30" s="135"/>
      <c r="E30" s="135"/>
      <c r="F30" s="135"/>
      <c r="G30" s="135"/>
      <c r="H30" s="135"/>
      <c r="I30" s="135"/>
      <c r="J30" s="132"/>
      <c r="K30" s="8"/>
    </row>
    <row r="31" spans="2:11" ht="15" hidden="1" customHeight="1" x14ac:dyDescent="0.25">
      <c r="B31" s="7"/>
      <c r="C31" s="148">
        <v>12</v>
      </c>
      <c r="D31" s="135"/>
      <c r="E31" s="135"/>
      <c r="F31" s="135"/>
      <c r="G31" s="135"/>
      <c r="H31" s="135"/>
      <c r="I31" s="135"/>
      <c r="J31" s="132"/>
      <c r="K31" s="8"/>
    </row>
    <row r="32" spans="2:11" ht="15" hidden="1" customHeight="1" x14ac:dyDescent="0.25">
      <c r="B32" s="7"/>
      <c r="C32" s="148">
        <v>13</v>
      </c>
      <c r="D32" s="135"/>
      <c r="E32" s="135"/>
      <c r="F32" s="135"/>
      <c r="G32" s="135"/>
      <c r="H32" s="135"/>
      <c r="I32" s="135"/>
      <c r="J32" s="132"/>
      <c r="K32" s="8"/>
    </row>
    <row r="33" spans="2:11" ht="15" hidden="1" customHeight="1" x14ac:dyDescent="0.25">
      <c r="B33" s="7"/>
      <c r="C33" s="148">
        <v>14</v>
      </c>
      <c r="D33" s="135"/>
      <c r="E33" s="135"/>
      <c r="F33" s="135"/>
      <c r="G33" s="135"/>
      <c r="H33" s="135"/>
      <c r="I33" s="135"/>
      <c r="J33" s="132"/>
      <c r="K33" s="8"/>
    </row>
    <row r="34" spans="2:11" ht="15" hidden="1" customHeight="1" x14ac:dyDescent="0.25">
      <c r="B34" s="7"/>
      <c r="C34" s="148">
        <v>15</v>
      </c>
      <c r="D34" s="135"/>
      <c r="E34" s="135"/>
      <c r="F34" s="135"/>
      <c r="G34" s="135"/>
      <c r="H34" s="135"/>
      <c r="I34" s="135"/>
      <c r="J34" s="132"/>
      <c r="K34" s="8"/>
    </row>
    <row r="35" spans="2:11" ht="15" hidden="1" customHeight="1" x14ac:dyDescent="0.25">
      <c r="B35" s="7"/>
      <c r="C35" s="148">
        <v>16</v>
      </c>
      <c r="D35" s="135"/>
      <c r="E35" s="135"/>
      <c r="F35" s="135"/>
      <c r="G35" s="135"/>
      <c r="H35" s="135"/>
      <c r="I35" s="135"/>
      <c r="J35" s="132"/>
      <c r="K35" s="8"/>
    </row>
    <row r="36" spans="2:11" ht="15" hidden="1" customHeight="1" x14ac:dyDescent="0.25">
      <c r="B36" s="7"/>
      <c r="C36" s="148">
        <v>17</v>
      </c>
      <c r="D36" s="135"/>
      <c r="E36" s="135"/>
      <c r="F36" s="135"/>
      <c r="G36" s="135"/>
      <c r="H36" s="135"/>
      <c r="I36" s="135"/>
      <c r="J36" s="132"/>
      <c r="K36" s="8"/>
    </row>
    <row r="37" spans="2:11" ht="15" hidden="1" customHeight="1" x14ac:dyDescent="0.25">
      <c r="B37" s="7"/>
      <c r="C37" s="148">
        <v>18</v>
      </c>
      <c r="D37" s="135"/>
      <c r="E37" s="135"/>
      <c r="F37" s="135"/>
      <c r="G37" s="135"/>
      <c r="H37" s="135"/>
      <c r="I37" s="135"/>
      <c r="J37" s="132"/>
      <c r="K37" s="8"/>
    </row>
    <row r="38" spans="2:11" ht="15" hidden="1" customHeight="1" x14ac:dyDescent="0.25">
      <c r="B38" s="7"/>
      <c r="C38" s="148">
        <v>19</v>
      </c>
      <c r="D38" s="135"/>
      <c r="E38" s="135"/>
      <c r="F38" s="135"/>
      <c r="G38" s="135"/>
      <c r="H38" s="135"/>
      <c r="I38" s="135"/>
      <c r="J38" s="132"/>
      <c r="K38" s="8"/>
    </row>
    <row r="39" spans="2:11" ht="15" hidden="1" customHeight="1" x14ac:dyDescent="0.25">
      <c r="B39" s="7"/>
      <c r="C39" s="148">
        <v>20</v>
      </c>
      <c r="D39" s="135"/>
      <c r="E39" s="135"/>
      <c r="F39" s="135"/>
      <c r="G39" s="135"/>
      <c r="H39" s="135"/>
      <c r="I39" s="135"/>
      <c r="J39" s="132"/>
      <c r="K39" s="8"/>
    </row>
    <row r="40" spans="2:11" ht="15" hidden="1" customHeight="1" x14ac:dyDescent="0.25">
      <c r="B40" s="7"/>
      <c r="C40" s="148">
        <v>21</v>
      </c>
      <c r="D40" s="135"/>
      <c r="E40" s="135"/>
      <c r="F40" s="135"/>
      <c r="G40" s="135"/>
      <c r="H40" s="135"/>
      <c r="I40" s="135"/>
      <c r="J40" s="132"/>
      <c r="K40" s="8"/>
    </row>
    <row r="41" spans="2:11" ht="15" hidden="1" customHeight="1" x14ac:dyDescent="0.25">
      <c r="B41" s="7"/>
      <c r="C41" s="148">
        <v>22</v>
      </c>
      <c r="D41" s="135"/>
      <c r="E41" s="135"/>
      <c r="F41" s="135"/>
      <c r="G41" s="135"/>
      <c r="H41" s="135"/>
      <c r="I41" s="135"/>
      <c r="J41" s="132"/>
      <c r="K41" s="8"/>
    </row>
    <row r="42" spans="2:11" ht="15" hidden="1" customHeight="1" x14ac:dyDescent="0.25">
      <c r="B42" s="7"/>
      <c r="C42" s="148">
        <v>23</v>
      </c>
      <c r="D42" s="135"/>
      <c r="E42" s="135"/>
      <c r="F42" s="135"/>
      <c r="G42" s="135"/>
      <c r="H42" s="135"/>
      <c r="I42" s="135"/>
      <c r="J42" s="132"/>
      <c r="K42" s="8"/>
    </row>
    <row r="43" spans="2:11" ht="15" hidden="1" customHeight="1" x14ac:dyDescent="0.25">
      <c r="B43" s="7"/>
      <c r="C43" s="148">
        <v>24</v>
      </c>
      <c r="D43" s="135"/>
      <c r="E43" s="135"/>
      <c r="F43" s="135"/>
      <c r="G43" s="135"/>
      <c r="H43" s="135"/>
      <c r="I43" s="135"/>
      <c r="J43" s="132"/>
      <c r="K43" s="8"/>
    </row>
    <row r="44" spans="2:11" ht="15" hidden="1" customHeight="1" x14ac:dyDescent="0.25">
      <c r="B44" s="7"/>
      <c r="C44" s="148">
        <v>25</v>
      </c>
      <c r="D44" s="135"/>
      <c r="E44" s="135"/>
      <c r="F44" s="135"/>
      <c r="G44" s="135"/>
      <c r="H44" s="135"/>
      <c r="I44" s="135"/>
      <c r="J44" s="132"/>
      <c r="K44" s="8"/>
    </row>
    <row r="45" spans="2:11" ht="15" hidden="1" customHeight="1" x14ac:dyDescent="0.25">
      <c r="B45" s="7"/>
      <c r="C45" s="148">
        <v>26</v>
      </c>
      <c r="D45" s="135"/>
      <c r="E45" s="135"/>
      <c r="F45" s="135"/>
      <c r="G45" s="135"/>
      <c r="H45" s="135"/>
      <c r="I45" s="135"/>
      <c r="J45" s="132"/>
      <c r="K45" s="8"/>
    </row>
    <row r="46" spans="2:11" ht="15" hidden="1" customHeight="1" x14ac:dyDescent="0.25">
      <c r="B46" s="7"/>
      <c r="C46" s="148">
        <v>27</v>
      </c>
      <c r="D46" s="135"/>
      <c r="E46" s="135"/>
      <c r="F46" s="135"/>
      <c r="G46" s="135"/>
      <c r="H46" s="135"/>
      <c r="I46" s="135"/>
      <c r="J46" s="132"/>
      <c r="K46" s="8"/>
    </row>
    <row r="47" spans="2:11" ht="15" hidden="1" customHeight="1" x14ac:dyDescent="0.25">
      <c r="B47" s="7"/>
      <c r="C47" s="148">
        <v>28</v>
      </c>
      <c r="D47" s="135"/>
      <c r="E47" s="135"/>
      <c r="F47" s="135"/>
      <c r="G47" s="135"/>
      <c r="H47" s="135"/>
      <c r="I47" s="135"/>
      <c r="J47" s="132"/>
      <c r="K47" s="8"/>
    </row>
    <row r="48" spans="2:11" ht="15" hidden="1" customHeight="1" x14ac:dyDescent="0.25">
      <c r="B48" s="7"/>
      <c r="C48" s="148">
        <v>29</v>
      </c>
      <c r="D48" s="135"/>
      <c r="E48" s="135"/>
      <c r="F48" s="135"/>
      <c r="G48" s="135"/>
      <c r="H48" s="135"/>
      <c r="I48" s="135"/>
      <c r="J48" s="132"/>
      <c r="K48" s="8"/>
    </row>
    <row r="49" spans="2:11" ht="15" hidden="1" customHeight="1" x14ac:dyDescent="0.25">
      <c r="B49" s="7"/>
      <c r="C49" s="148">
        <v>30</v>
      </c>
      <c r="D49" s="135"/>
      <c r="E49" s="135"/>
      <c r="F49" s="135"/>
      <c r="G49" s="135"/>
      <c r="H49" s="135"/>
      <c r="I49" s="135"/>
      <c r="J49" s="132"/>
      <c r="K49" s="8"/>
    </row>
    <row r="50" spans="2:11" ht="15" hidden="1" customHeight="1" x14ac:dyDescent="0.25">
      <c r="B50" s="7"/>
      <c r="C50" s="148">
        <v>31</v>
      </c>
      <c r="D50" s="135"/>
      <c r="E50" s="135"/>
      <c r="F50" s="135"/>
      <c r="G50" s="135"/>
      <c r="H50" s="135"/>
      <c r="I50" s="135"/>
      <c r="J50" s="132"/>
      <c r="K50" s="8"/>
    </row>
    <row r="51" spans="2:11" ht="15" hidden="1" customHeight="1" x14ac:dyDescent="0.25">
      <c r="B51" s="7"/>
      <c r="C51" s="148">
        <v>32</v>
      </c>
      <c r="D51" s="135"/>
      <c r="E51" s="135"/>
      <c r="F51" s="135"/>
      <c r="G51" s="135"/>
      <c r="H51" s="135"/>
      <c r="I51" s="135"/>
      <c r="J51" s="132"/>
      <c r="K51" s="8"/>
    </row>
    <row r="52" spans="2:11" ht="15" hidden="1" customHeight="1" x14ac:dyDescent="0.25">
      <c r="B52" s="7"/>
      <c r="C52" s="148">
        <v>33</v>
      </c>
      <c r="D52" s="135"/>
      <c r="E52" s="135"/>
      <c r="F52" s="135"/>
      <c r="G52" s="135"/>
      <c r="H52" s="135"/>
      <c r="I52" s="135"/>
      <c r="J52" s="132"/>
      <c r="K52" s="8"/>
    </row>
    <row r="53" spans="2:11" ht="15" hidden="1" customHeight="1" x14ac:dyDescent="0.25">
      <c r="B53" s="7"/>
      <c r="C53" s="148">
        <v>34</v>
      </c>
      <c r="D53" s="135"/>
      <c r="E53" s="135"/>
      <c r="F53" s="135"/>
      <c r="G53" s="135"/>
      <c r="H53" s="135"/>
      <c r="I53" s="135"/>
      <c r="J53" s="132"/>
      <c r="K53" s="8"/>
    </row>
    <row r="54" spans="2:11" ht="15" hidden="1" customHeight="1" x14ac:dyDescent="0.25">
      <c r="B54" s="7"/>
      <c r="C54" s="148">
        <v>35</v>
      </c>
      <c r="D54" s="135"/>
      <c r="E54" s="135"/>
      <c r="F54" s="135"/>
      <c r="G54" s="135"/>
      <c r="H54" s="135"/>
      <c r="I54" s="135"/>
      <c r="J54" s="132"/>
      <c r="K54" s="8"/>
    </row>
    <row r="55" spans="2:11" ht="15" hidden="1" customHeight="1" x14ac:dyDescent="0.25">
      <c r="B55" s="7"/>
      <c r="C55" s="148">
        <v>36</v>
      </c>
      <c r="D55" s="135"/>
      <c r="E55" s="135"/>
      <c r="F55" s="135"/>
      <c r="G55" s="135"/>
      <c r="H55" s="135"/>
      <c r="I55" s="135"/>
      <c r="J55" s="132"/>
      <c r="K55" s="8"/>
    </row>
    <row r="56" spans="2:11" ht="15" hidden="1" customHeight="1" x14ac:dyDescent="0.25">
      <c r="B56" s="7"/>
      <c r="C56" s="148">
        <v>37</v>
      </c>
      <c r="D56" s="135"/>
      <c r="E56" s="135"/>
      <c r="F56" s="135"/>
      <c r="G56" s="135"/>
      <c r="H56" s="135"/>
      <c r="I56" s="135"/>
      <c r="J56" s="132"/>
      <c r="K56" s="8"/>
    </row>
    <row r="57" spans="2:11" ht="15" hidden="1" customHeight="1" x14ac:dyDescent="0.25">
      <c r="B57" s="7"/>
      <c r="C57" s="148">
        <v>38</v>
      </c>
      <c r="D57" s="135"/>
      <c r="E57" s="135"/>
      <c r="F57" s="135"/>
      <c r="G57" s="135"/>
      <c r="H57" s="135"/>
      <c r="I57" s="135"/>
      <c r="J57" s="132"/>
      <c r="K57" s="8"/>
    </row>
    <row r="58" spans="2:11" ht="15" hidden="1" customHeight="1" x14ac:dyDescent="0.25">
      <c r="B58" s="7"/>
      <c r="C58" s="148">
        <v>39</v>
      </c>
      <c r="D58" s="135"/>
      <c r="E58" s="135"/>
      <c r="F58" s="135"/>
      <c r="G58" s="135"/>
      <c r="H58" s="135"/>
      <c r="I58" s="135"/>
      <c r="J58" s="132"/>
      <c r="K58" s="8"/>
    </row>
    <row r="59" spans="2:11" ht="15" hidden="1" customHeight="1" x14ac:dyDescent="0.25">
      <c r="B59" s="7"/>
      <c r="C59" s="148">
        <v>40</v>
      </c>
      <c r="D59" s="135"/>
      <c r="E59" s="135"/>
      <c r="F59" s="135"/>
      <c r="G59" s="135"/>
      <c r="H59" s="135"/>
      <c r="I59" s="135"/>
      <c r="J59" s="132"/>
      <c r="K59" s="8"/>
    </row>
    <row r="60" spans="2:11" ht="15" hidden="1" customHeight="1" x14ac:dyDescent="0.25">
      <c r="B60" s="7"/>
      <c r="C60" s="148">
        <v>41</v>
      </c>
      <c r="D60" s="135"/>
      <c r="E60" s="135"/>
      <c r="F60" s="135"/>
      <c r="G60" s="135"/>
      <c r="H60" s="135"/>
      <c r="I60" s="135"/>
      <c r="J60" s="132"/>
      <c r="K60" s="8"/>
    </row>
    <row r="61" spans="2:11" ht="15" hidden="1" customHeight="1" x14ac:dyDescent="0.25">
      <c r="B61" s="7"/>
      <c r="C61" s="148">
        <v>42</v>
      </c>
      <c r="D61" s="135"/>
      <c r="E61" s="135"/>
      <c r="F61" s="135"/>
      <c r="G61" s="135"/>
      <c r="H61" s="135"/>
      <c r="I61" s="135"/>
      <c r="J61" s="132"/>
      <c r="K61" s="8"/>
    </row>
    <row r="62" spans="2:11" ht="15" hidden="1" customHeight="1" x14ac:dyDescent="0.25">
      <c r="B62" s="7"/>
      <c r="C62" s="148">
        <v>43</v>
      </c>
      <c r="D62" s="135"/>
      <c r="E62" s="135"/>
      <c r="F62" s="135"/>
      <c r="G62" s="135"/>
      <c r="H62" s="135"/>
      <c r="I62" s="135"/>
      <c r="J62" s="132"/>
      <c r="K62" s="8"/>
    </row>
    <row r="63" spans="2:11" ht="15" hidden="1" customHeight="1" x14ac:dyDescent="0.25">
      <c r="B63" s="7"/>
      <c r="C63" s="148">
        <v>44</v>
      </c>
      <c r="D63" s="135"/>
      <c r="E63" s="135"/>
      <c r="F63" s="135"/>
      <c r="G63" s="135"/>
      <c r="H63" s="135"/>
      <c r="I63" s="135"/>
      <c r="J63" s="132"/>
      <c r="K63" s="8"/>
    </row>
    <row r="64" spans="2:11" ht="15" hidden="1" customHeight="1" x14ac:dyDescent="0.25">
      <c r="B64" s="7"/>
      <c r="C64" s="148">
        <v>45</v>
      </c>
      <c r="D64" s="135"/>
      <c r="E64" s="135"/>
      <c r="F64" s="135"/>
      <c r="G64" s="135"/>
      <c r="H64" s="135"/>
      <c r="I64" s="135"/>
      <c r="J64" s="132"/>
      <c r="K64" s="8"/>
    </row>
    <row r="65" spans="2:11" ht="15" hidden="1" customHeight="1" x14ac:dyDescent="0.25">
      <c r="B65" s="7"/>
      <c r="C65" s="148">
        <v>46</v>
      </c>
      <c r="D65" s="135"/>
      <c r="E65" s="135"/>
      <c r="F65" s="135"/>
      <c r="G65" s="135"/>
      <c r="H65" s="135"/>
      <c r="I65" s="135"/>
      <c r="J65" s="132"/>
      <c r="K65" s="8"/>
    </row>
    <row r="66" spans="2:11" ht="15" hidden="1" customHeight="1" x14ac:dyDescent="0.25">
      <c r="B66" s="7"/>
      <c r="C66" s="148">
        <v>47</v>
      </c>
      <c r="D66" s="135"/>
      <c r="E66" s="135"/>
      <c r="F66" s="135"/>
      <c r="G66" s="135"/>
      <c r="H66" s="135"/>
      <c r="I66" s="135"/>
      <c r="J66" s="132"/>
      <c r="K66" s="8"/>
    </row>
    <row r="67" spans="2:11" ht="15" hidden="1" customHeight="1" x14ac:dyDescent="0.25">
      <c r="B67" s="7"/>
      <c r="C67" s="148">
        <v>48</v>
      </c>
      <c r="D67" s="135"/>
      <c r="E67" s="135"/>
      <c r="F67" s="135"/>
      <c r="G67" s="135"/>
      <c r="H67" s="135"/>
      <c r="I67" s="135"/>
      <c r="J67" s="132"/>
      <c r="K67" s="8"/>
    </row>
    <row r="68" spans="2:11" ht="15" hidden="1" customHeight="1" x14ac:dyDescent="0.25">
      <c r="B68" s="7"/>
      <c r="C68" s="148">
        <v>49</v>
      </c>
      <c r="D68" s="135"/>
      <c r="E68" s="135"/>
      <c r="F68" s="135"/>
      <c r="G68" s="135"/>
      <c r="H68" s="135"/>
      <c r="I68" s="135"/>
      <c r="J68" s="132"/>
      <c r="K68" s="8"/>
    </row>
    <row r="69" spans="2:11" ht="15" hidden="1" customHeight="1" x14ac:dyDescent="0.25">
      <c r="B69" s="7"/>
      <c r="C69" s="148">
        <v>50</v>
      </c>
      <c r="D69" s="135"/>
      <c r="E69" s="135"/>
      <c r="F69" s="135"/>
      <c r="G69" s="135"/>
      <c r="H69" s="135"/>
      <c r="I69" s="135"/>
      <c r="J69" s="132"/>
      <c r="K69" s="8"/>
    </row>
    <row r="70" spans="2:11" ht="15" hidden="1" customHeight="1" x14ac:dyDescent="0.25">
      <c r="B70" s="7"/>
      <c r="C70" s="123"/>
      <c r="D70" s="123"/>
      <c r="E70" s="123"/>
      <c r="F70" s="123"/>
      <c r="G70" s="123"/>
      <c r="H70" s="123"/>
      <c r="I70" s="123"/>
      <c r="J70" s="123"/>
      <c r="K70" s="8"/>
    </row>
    <row r="71" spans="2:11" ht="15" hidden="1" customHeight="1" x14ac:dyDescent="0.25">
      <c r="B71" s="7"/>
      <c r="C71" s="123" t="s">
        <v>4373</v>
      </c>
      <c r="D71" s="123"/>
      <c r="E71" s="123"/>
      <c r="F71" s="123"/>
      <c r="G71" s="123"/>
      <c r="H71" s="123"/>
      <c r="I71" s="123"/>
      <c r="J71" s="123"/>
      <c r="K71" s="8"/>
    </row>
    <row r="72" spans="2:11" ht="15" hidden="1" customHeight="1" x14ac:dyDescent="0.25">
      <c r="B72" s="7"/>
      <c r="C72" s="145" t="str">
        <f>IF(I.Product.P1GasToPowerBaselineYear="","",I.Product.P1GasToPowerBaselineYear+1)</f>
        <v/>
      </c>
      <c r="D72" s="146"/>
      <c r="E72" s="147"/>
      <c r="F72" s="123"/>
      <c r="G72" s="123"/>
      <c r="H72" s="123"/>
      <c r="I72" s="123"/>
      <c r="J72" s="123"/>
      <c r="K72" s="8"/>
    </row>
    <row r="73" spans="2:11" ht="15" hidden="1" customHeight="1" x14ac:dyDescent="0.25">
      <c r="B73" s="7"/>
      <c r="C73" s="123"/>
      <c r="D73" s="123"/>
      <c r="E73" s="123"/>
      <c r="F73" s="123"/>
      <c r="G73" s="123"/>
      <c r="H73" s="123"/>
      <c r="I73" s="123"/>
      <c r="J73" s="123"/>
      <c r="K73" s="8"/>
    </row>
    <row r="74" spans="2:11" ht="15" hidden="1" customHeight="1" x14ac:dyDescent="0.25">
      <c r="B74" s="7"/>
      <c r="C74" s="123" t="s">
        <v>4375</v>
      </c>
      <c r="D74" s="123"/>
      <c r="E74" s="123"/>
      <c r="F74" s="123"/>
      <c r="G74" s="123"/>
      <c r="H74" s="123"/>
      <c r="I74" s="123"/>
      <c r="J74" s="123"/>
      <c r="K74" s="8"/>
    </row>
    <row r="75" spans="2:11" ht="15" hidden="1" customHeight="1" x14ac:dyDescent="0.25">
      <c r="B75" s="7"/>
      <c r="C75" s="99"/>
      <c r="D75" s="100"/>
      <c r="E75" s="109"/>
      <c r="F75" s="123"/>
      <c r="G75" s="123"/>
      <c r="H75" s="123"/>
      <c r="I75" s="123"/>
      <c r="J75" s="123"/>
      <c r="K75" s="8"/>
    </row>
    <row r="76" spans="2:11" ht="15" hidden="1" customHeight="1" x14ac:dyDescent="0.25">
      <c r="B76" s="7"/>
      <c r="C76" s="123"/>
      <c r="D76" s="123"/>
      <c r="E76" s="123"/>
      <c r="F76" s="123"/>
      <c r="G76" s="123"/>
      <c r="H76" s="123"/>
      <c r="I76" s="123"/>
      <c r="J76" s="123"/>
      <c r="K76" s="8"/>
    </row>
    <row r="77" spans="2:11" ht="15" hidden="1" customHeight="1" x14ac:dyDescent="0.25">
      <c r="B77" s="7"/>
      <c r="C77" s="150" t="s">
        <v>57</v>
      </c>
      <c r="D77" s="153" t="s">
        <v>215</v>
      </c>
      <c r="E77" s="153" t="s">
        <v>216</v>
      </c>
      <c r="F77" s="153" t="s">
        <v>220</v>
      </c>
      <c r="G77" s="153" t="s">
        <v>245</v>
      </c>
      <c r="H77" s="153" t="s">
        <v>217</v>
      </c>
      <c r="I77" s="153" t="s">
        <v>218</v>
      </c>
      <c r="J77" s="153" t="s">
        <v>219</v>
      </c>
      <c r="K77" s="8"/>
    </row>
    <row r="78" spans="2:11" ht="15" hidden="1" customHeight="1" x14ac:dyDescent="0.25">
      <c r="B78" s="7"/>
      <c r="C78" s="151"/>
      <c r="D78" s="154"/>
      <c r="E78" s="154"/>
      <c r="F78" s="154"/>
      <c r="G78" s="154"/>
      <c r="H78" s="154"/>
      <c r="I78" s="154"/>
      <c r="J78" s="154"/>
      <c r="K78" s="8"/>
    </row>
    <row r="79" spans="2:11" ht="15" hidden="1" customHeight="1" x14ac:dyDescent="0.25">
      <c r="B79" s="7"/>
      <c r="C79" s="151"/>
      <c r="D79" s="154"/>
      <c r="E79" s="154"/>
      <c r="F79" s="154"/>
      <c r="G79" s="154"/>
      <c r="H79" s="154"/>
      <c r="I79" s="154"/>
      <c r="J79" s="154"/>
      <c r="K79" s="8"/>
    </row>
    <row r="80" spans="2:11" ht="15" hidden="1" customHeight="1" x14ac:dyDescent="0.35">
      <c r="B80" s="7"/>
      <c r="C80" s="152"/>
      <c r="D80" s="149" t="s">
        <v>213</v>
      </c>
      <c r="E80" s="149" t="s">
        <v>213</v>
      </c>
      <c r="F80" s="149" t="s">
        <v>214</v>
      </c>
      <c r="G80" s="155" t="s">
        <v>4325</v>
      </c>
      <c r="H80" s="156" t="s">
        <v>4326</v>
      </c>
      <c r="I80" s="156" t="s">
        <v>4327</v>
      </c>
      <c r="J80" s="157" t="s">
        <v>4328</v>
      </c>
      <c r="K80" s="8"/>
    </row>
    <row r="81" spans="2:11" ht="15" hidden="1" customHeight="1" x14ac:dyDescent="0.25">
      <c r="B81" s="7"/>
      <c r="C81" s="148">
        <v>1</v>
      </c>
      <c r="D81" s="135"/>
      <c r="E81" s="135"/>
      <c r="F81" s="135"/>
      <c r="G81" s="135"/>
      <c r="H81" s="135"/>
      <c r="I81" s="135"/>
      <c r="J81" s="132"/>
      <c r="K81" s="8"/>
    </row>
    <row r="82" spans="2:11" ht="15" hidden="1" customHeight="1" x14ac:dyDescent="0.25">
      <c r="B82" s="7"/>
      <c r="C82" s="148">
        <v>2</v>
      </c>
      <c r="D82" s="135"/>
      <c r="E82" s="135"/>
      <c r="F82" s="135"/>
      <c r="G82" s="135"/>
      <c r="H82" s="135"/>
      <c r="I82" s="135"/>
      <c r="J82" s="132"/>
      <c r="K82" s="8"/>
    </row>
    <row r="83" spans="2:11" ht="15" hidden="1" customHeight="1" x14ac:dyDescent="0.25">
      <c r="B83" s="7"/>
      <c r="C83" s="148">
        <v>3</v>
      </c>
      <c r="D83" s="135"/>
      <c r="E83" s="135"/>
      <c r="F83" s="135"/>
      <c r="G83" s="135"/>
      <c r="H83" s="135"/>
      <c r="I83" s="135"/>
      <c r="J83" s="132"/>
      <c r="K83" s="8"/>
    </row>
    <row r="84" spans="2:11" ht="15" hidden="1" customHeight="1" x14ac:dyDescent="0.25">
      <c r="B84" s="7"/>
      <c r="C84" s="148">
        <v>4</v>
      </c>
      <c r="D84" s="135"/>
      <c r="E84" s="135"/>
      <c r="F84" s="135"/>
      <c r="G84" s="135"/>
      <c r="H84" s="135"/>
      <c r="I84" s="135"/>
      <c r="J84" s="132"/>
      <c r="K84" s="8"/>
    </row>
    <row r="85" spans="2:11" ht="15" hidden="1" customHeight="1" x14ac:dyDescent="0.25">
      <c r="B85" s="7"/>
      <c r="C85" s="148">
        <v>5</v>
      </c>
      <c r="D85" s="135"/>
      <c r="E85" s="135"/>
      <c r="F85" s="135"/>
      <c r="G85" s="135"/>
      <c r="H85" s="135"/>
      <c r="I85" s="135"/>
      <c r="J85" s="132"/>
      <c r="K85" s="8"/>
    </row>
    <row r="86" spans="2:11" ht="15" hidden="1" customHeight="1" x14ac:dyDescent="0.25">
      <c r="B86" s="7"/>
      <c r="C86" s="148">
        <v>6</v>
      </c>
      <c r="D86" s="135"/>
      <c r="E86" s="135"/>
      <c r="F86" s="135"/>
      <c r="G86" s="135"/>
      <c r="H86" s="135"/>
      <c r="I86" s="135"/>
      <c r="J86" s="132"/>
      <c r="K86" s="8"/>
    </row>
    <row r="87" spans="2:11" ht="15" hidden="1" customHeight="1" x14ac:dyDescent="0.25">
      <c r="B87" s="7"/>
      <c r="C87" s="148">
        <v>7</v>
      </c>
      <c r="D87" s="135"/>
      <c r="E87" s="135"/>
      <c r="F87" s="135"/>
      <c r="G87" s="135"/>
      <c r="H87" s="135"/>
      <c r="I87" s="135"/>
      <c r="J87" s="132"/>
      <c r="K87" s="8"/>
    </row>
    <row r="88" spans="2:11" ht="15" hidden="1" customHeight="1" x14ac:dyDescent="0.25">
      <c r="B88" s="7"/>
      <c r="C88" s="148">
        <v>8</v>
      </c>
      <c r="D88" s="135"/>
      <c r="E88" s="135"/>
      <c r="F88" s="135"/>
      <c r="G88" s="135"/>
      <c r="H88" s="135"/>
      <c r="I88" s="135"/>
      <c r="J88" s="132"/>
      <c r="K88" s="8"/>
    </row>
    <row r="89" spans="2:11" ht="15" hidden="1" customHeight="1" x14ac:dyDescent="0.25">
      <c r="B89" s="7"/>
      <c r="C89" s="148">
        <v>9</v>
      </c>
      <c r="D89" s="135"/>
      <c r="E89" s="135"/>
      <c r="F89" s="135"/>
      <c r="G89" s="135"/>
      <c r="H89" s="135"/>
      <c r="I89" s="135"/>
      <c r="J89" s="132"/>
      <c r="K89" s="8"/>
    </row>
    <row r="90" spans="2:11" ht="15" hidden="1" customHeight="1" x14ac:dyDescent="0.25">
      <c r="B90" s="7"/>
      <c r="C90" s="148">
        <v>10</v>
      </c>
      <c r="D90" s="135"/>
      <c r="E90" s="135"/>
      <c r="F90" s="135"/>
      <c r="G90" s="135"/>
      <c r="H90" s="135"/>
      <c r="I90" s="135"/>
      <c r="J90" s="132"/>
      <c r="K90" s="8"/>
    </row>
    <row r="91" spans="2:11" ht="15" hidden="1" customHeight="1" x14ac:dyDescent="0.25">
      <c r="B91" s="7"/>
      <c r="C91" s="148">
        <v>11</v>
      </c>
      <c r="D91" s="135"/>
      <c r="E91" s="135"/>
      <c r="F91" s="135"/>
      <c r="G91" s="135"/>
      <c r="H91" s="135"/>
      <c r="I91" s="135"/>
      <c r="J91" s="132"/>
      <c r="K91" s="8"/>
    </row>
    <row r="92" spans="2:11" ht="15" hidden="1" customHeight="1" x14ac:dyDescent="0.25">
      <c r="B92" s="7"/>
      <c r="C92" s="148">
        <v>12</v>
      </c>
      <c r="D92" s="135"/>
      <c r="E92" s="135"/>
      <c r="F92" s="135"/>
      <c r="G92" s="135"/>
      <c r="H92" s="135"/>
      <c r="I92" s="135"/>
      <c r="J92" s="132"/>
      <c r="K92" s="8"/>
    </row>
    <row r="93" spans="2:11" ht="15" hidden="1" customHeight="1" x14ac:dyDescent="0.25">
      <c r="B93" s="7"/>
      <c r="C93" s="148">
        <v>13</v>
      </c>
      <c r="D93" s="135"/>
      <c r="E93" s="135"/>
      <c r="F93" s="135"/>
      <c r="G93" s="135"/>
      <c r="H93" s="135"/>
      <c r="I93" s="135"/>
      <c r="J93" s="132"/>
      <c r="K93" s="8"/>
    </row>
    <row r="94" spans="2:11" ht="15" hidden="1" customHeight="1" x14ac:dyDescent="0.25">
      <c r="B94" s="7"/>
      <c r="C94" s="148">
        <v>14</v>
      </c>
      <c r="D94" s="135"/>
      <c r="E94" s="135"/>
      <c r="F94" s="135"/>
      <c r="G94" s="135"/>
      <c r="H94" s="135"/>
      <c r="I94" s="135"/>
      <c r="J94" s="132"/>
      <c r="K94" s="8"/>
    </row>
    <row r="95" spans="2:11" ht="15" hidden="1" customHeight="1" x14ac:dyDescent="0.25">
      <c r="B95" s="7"/>
      <c r="C95" s="148">
        <v>15</v>
      </c>
      <c r="D95" s="135"/>
      <c r="E95" s="135"/>
      <c r="F95" s="135"/>
      <c r="G95" s="135"/>
      <c r="H95" s="135"/>
      <c r="I95" s="135"/>
      <c r="J95" s="132"/>
      <c r="K95" s="8"/>
    </row>
    <row r="96" spans="2:11" ht="15" hidden="1" customHeight="1" x14ac:dyDescent="0.25">
      <c r="B96" s="7"/>
      <c r="C96" s="148">
        <v>16</v>
      </c>
      <c r="D96" s="135"/>
      <c r="E96" s="135"/>
      <c r="F96" s="135"/>
      <c r="G96" s="135"/>
      <c r="H96" s="135"/>
      <c r="I96" s="135"/>
      <c r="J96" s="132"/>
      <c r="K96" s="8"/>
    </row>
    <row r="97" spans="2:11" ht="15" hidden="1" customHeight="1" x14ac:dyDescent="0.25">
      <c r="B97" s="7"/>
      <c r="C97" s="148">
        <v>17</v>
      </c>
      <c r="D97" s="135"/>
      <c r="E97" s="135"/>
      <c r="F97" s="135"/>
      <c r="G97" s="135"/>
      <c r="H97" s="135"/>
      <c r="I97" s="135"/>
      <c r="J97" s="132"/>
      <c r="K97" s="8"/>
    </row>
    <row r="98" spans="2:11" ht="15" hidden="1" customHeight="1" x14ac:dyDescent="0.25">
      <c r="B98" s="7"/>
      <c r="C98" s="148">
        <v>18</v>
      </c>
      <c r="D98" s="135"/>
      <c r="E98" s="135"/>
      <c r="F98" s="135"/>
      <c r="G98" s="135"/>
      <c r="H98" s="135"/>
      <c r="I98" s="135"/>
      <c r="J98" s="132"/>
      <c r="K98" s="8"/>
    </row>
    <row r="99" spans="2:11" ht="15" hidden="1" customHeight="1" x14ac:dyDescent="0.25">
      <c r="B99" s="7"/>
      <c r="C99" s="148">
        <v>19</v>
      </c>
      <c r="D99" s="135"/>
      <c r="E99" s="135"/>
      <c r="F99" s="135"/>
      <c r="G99" s="135"/>
      <c r="H99" s="135"/>
      <c r="I99" s="135"/>
      <c r="J99" s="132"/>
      <c r="K99" s="8"/>
    </row>
    <row r="100" spans="2:11" ht="15" hidden="1" customHeight="1" x14ac:dyDescent="0.25">
      <c r="B100" s="7"/>
      <c r="C100" s="148">
        <v>20</v>
      </c>
      <c r="D100" s="135"/>
      <c r="E100" s="135"/>
      <c r="F100" s="135"/>
      <c r="G100" s="135"/>
      <c r="H100" s="135"/>
      <c r="I100" s="135"/>
      <c r="J100" s="132"/>
      <c r="K100" s="8"/>
    </row>
    <row r="101" spans="2:11" ht="15" hidden="1" customHeight="1" x14ac:dyDescent="0.25">
      <c r="B101" s="7"/>
      <c r="C101" s="148">
        <v>21</v>
      </c>
      <c r="D101" s="135"/>
      <c r="E101" s="135"/>
      <c r="F101" s="135"/>
      <c r="G101" s="135"/>
      <c r="H101" s="135"/>
      <c r="I101" s="135"/>
      <c r="J101" s="132"/>
      <c r="K101" s="8"/>
    </row>
    <row r="102" spans="2:11" ht="15" hidden="1" customHeight="1" x14ac:dyDescent="0.25">
      <c r="B102" s="7"/>
      <c r="C102" s="148">
        <v>22</v>
      </c>
      <c r="D102" s="135"/>
      <c r="E102" s="135"/>
      <c r="F102" s="135"/>
      <c r="G102" s="135"/>
      <c r="H102" s="135"/>
      <c r="I102" s="135"/>
      <c r="J102" s="132"/>
      <c r="K102" s="8"/>
    </row>
    <row r="103" spans="2:11" ht="15" hidden="1" customHeight="1" x14ac:dyDescent="0.25">
      <c r="B103" s="7"/>
      <c r="C103" s="148">
        <v>23</v>
      </c>
      <c r="D103" s="135"/>
      <c r="E103" s="135"/>
      <c r="F103" s="135"/>
      <c r="G103" s="135"/>
      <c r="H103" s="135"/>
      <c r="I103" s="135"/>
      <c r="J103" s="132"/>
      <c r="K103" s="8"/>
    </row>
    <row r="104" spans="2:11" ht="15" hidden="1" customHeight="1" x14ac:dyDescent="0.25">
      <c r="B104" s="7"/>
      <c r="C104" s="148">
        <v>24</v>
      </c>
      <c r="D104" s="135"/>
      <c r="E104" s="135"/>
      <c r="F104" s="135"/>
      <c r="G104" s="135"/>
      <c r="H104" s="135"/>
      <c r="I104" s="135"/>
      <c r="J104" s="132"/>
      <c r="K104" s="8"/>
    </row>
    <row r="105" spans="2:11" ht="15" hidden="1" customHeight="1" x14ac:dyDescent="0.25">
      <c r="B105" s="7"/>
      <c r="C105" s="148">
        <v>25</v>
      </c>
      <c r="D105" s="135"/>
      <c r="E105" s="135"/>
      <c r="F105" s="135"/>
      <c r="G105" s="135"/>
      <c r="H105" s="135"/>
      <c r="I105" s="135"/>
      <c r="J105" s="132"/>
      <c r="K105" s="8"/>
    </row>
    <row r="106" spans="2:11" ht="15" hidden="1" customHeight="1" x14ac:dyDescent="0.25">
      <c r="B106" s="7"/>
      <c r="C106" s="148">
        <v>26</v>
      </c>
      <c r="D106" s="135"/>
      <c r="E106" s="135"/>
      <c r="F106" s="135"/>
      <c r="G106" s="135"/>
      <c r="H106" s="135"/>
      <c r="I106" s="135"/>
      <c r="J106" s="132"/>
      <c r="K106" s="8"/>
    </row>
    <row r="107" spans="2:11" ht="15" hidden="1" customHeight="1" x14ac:dyDescent="0.25">
      <c r="B107" s="7"/>
      <c r="C107" s="148">
        <v>27</v>
      </c>
      <c r="D107" s="135"/>
      <c r="E107" s="135"/>
      <c r="F107" s="135"/>
      <c r="G107" s="135"/>
      <c r="H107" s="135"/>
      <c r="I107" s="135"/>
      <c r="J107" s="132"/>
      <c r="K107" s="8"/>
    </row>
    <row r="108" spans="2:11" ht="15" hidden="1" customHeight="1" x14ac:dyDescent="0.25">
      <c r="B108" s="7"/>
      <c r="C108" s="148">
        <v>28</v>
      </c>
      <c r="D108" s="135"/>
      <c r="E108" s="135"/>
      <c r="F108" s="135"/>
      <c r="G108" s="135"/>
      <c r="H108" s="135"/>
      <c r="I108" s="135"/>
      <c r="J108" s="132"/>
      <c r="K108" s="8"/>
    </row>
    <row r="109" spans="2:11" ht="15" hidden="1" customHeight="1" x14ac:dyDescent="0.25">
      <c r="B109" s="7"/>
      <c r="C109" s="148">
        <v>29</v>
      </c>
      <c r="D109" s="135"/>
      <c r="E109" s="135"/>
      <c r="F109" s="135"/>
      <c r="G109" s="135"/>
      <c r="H109" s="135"/>
      <c r="I109" s="135"/>
      <c r="J109" s="132"/>
      <c r="K109" s="8"/>
    </row>
    <row r="110" spans="2:11" ht="15" hidden="1" customHeight="1" x14ac:dyDescent="0.25">
      <c r="B110" s="7"/>
      <c r="C110" s="148">
        <v>30</v>
      </c>
      <c r="D110" s="135"/>
      <c r="E110" s="135"/>
      <c r="F110" s="135"/>
      <c r="G110" s="135"/>
      <c r="H110" s="135"/>
      <c r="I110" s="135"/>
      <c r="J110" s="132"/>
      <c r="K110" s="8"/>
    </row>
    <row r="111" spans="2:11" ht="15" hidden="1" customHeight="1" x14ac:dyDescent="0.25">
      <c r="B111" s="7"/>
      <c r="C111" s="148">
        <v>31</v>
      </c>
      <c r="D111" s="135"/>
      <c r="E111" s="135"/>
      <c r="F111" s="135"/>
      <c r="G111" s="135"/>
      <c r="H111" s="135"/>
      <c r="I111" s="135"/>
      <c r="J111" s="132"/>
      <c r="K111" s="8"/>
    </row>
    <row r="112" spans="2:11" ht="15" hidden="1" customHeight="1" x14ac:dyDescent="0.25">
      <c r="B112" s="7"/>
      <c r="C112" s="148">
        <v>32</v>
      </c>
      <c r="D112" s="135"/>
      <c r="E112" s="135"/>
      <c r="F112" s="135"/>
      <c r="G112" s="135"/>
      <c r="H112" s="135"/>
      <c r="I112" s="135"/>
      <c r="J112" s="132"/>
      <c r="K112" s="8"/>
    </row>
    <row r="113" spans="2:11" ht="15" hidden="1" customHeight="1" x14ac:dyDescent="0.25">
      <c r="B113" s="7"/>
      <c r="C113" s="148">
        <v>33</v>
      </c>
      <c r="D113" s="135"/>
      <c r="E113" s="135"/>
      <c r="F113" s="135"/>
      <c r="G113" s="135"/>
      <c r="H113" s="135"/>
      <c r="I113" s="135"/>
      <c r="J113" s="132"/>
      <c r="K113" s="8"/>
    </row>
    <row r="114" spans="2:11" ht="15" hidden="1" customHeight="1" x14ac:dyDescent="0.25">
      <c r="B114" s="7"/>
      <c r="C114" s="148">
        <v>34</v>
      </c>
      <c r="D114" s="135"/>
      <c r="E114" s="135"/>
      <c r="F114" s="135"/>
      <c r="G114" s="135"/>
      <c r="H114" s="135"/>
      <c r="I114" s="135"/>
      <c r="J114" s="132"/>
      <c r="K114" s="8"/>
    </row>
    <row r="115" spans="2:11" ht="15" hidden="1" customHeight="1" x14ac:dyDescent="0.25">
      <c r="B115" s="7"/>
      <c r="C115" s="148">
        <v>35</v>
      </c>
      <c r="D115" s="135"/>
      <c r="E115" s="135"/>
      <c r="F115" s="135"/>
      <c r="G115" s="135"/>
      <c r="H115" s="135"/>
      <c r="I115" s="135"/>
      <c r="J115" s="132"/>
      <c r="K115" s="8"/>
    </row>
    <row r="116" spans="2:11" ht="15" hidden="1" customHeight="1" x14ac:dyDescent="0.25">
      <c r="B116" s="7"/>
      <c r="C116" s="148">
        <v>36</v>
      </c>
      <c r="D116" s="135"/>
      <c r="E116" s="135"/>
      <c r="F116" s="135"/>
      <c r="G116" s="135"/>
      <c r="H116" s="135"/>
      <c r="I116" s="135"/>
      <c r="J116" s="132"/>
      <c r="K116" s="8"/>
    </row>
    <row r="117" spans="2:11" ht="15" hidden="1" customHeight="1" x14ac:dyDescent="0.25">
      <c r="B117" s="7"/>
      <c r="C117" s="148">
        <v>37</v>
      </c>
      <c r="D117" s="135"/>
      <c r="E117" s="135"/>
      <c r="F117" s="135"/>
      <c r="G117" s="135"/>
      <c r="H117" s="135"/>
      <c r="I117" s="135"/>
      <c r="J117" s="132"/>
      <c r="K117" s="8"/>
    </row>
    <row r="118" spans="2:11" ht="15" hidden="1" customHeight="1" x14ac:dyDescent="0.25">
      <c r="B118" s="7"/>
      <c r="C118" s="148">
        <v>38</v>
      </c>
      <c r="D118" s="135"/>
      <c r="E118" s="135"/>
      <c r="F118" s="135"/>
      <c r="G118" s="135"/>
      <c r="H118" s="135"/>
      <c r="I118" s="135"/>
      <c r="J118" s="132"/>
      <c r="K118" s="8"/>
    </row>
    <row r="119" spans="2:11" ht="15" hidden="1" customHeight="1" x14ac:dyDescent="0.25">
      <c r="B119" s="7"/>
      <c r="C119" s="148">
        <v>39</v>
      </c>
      <c r="D119" s="135"/>
      <c r="E119" s="135"/>
      <c r="F119" s="135"/>
      <c r="G119" s="135"/>
      <c r="H119" s="135"/>
      <c r="I119" s="135"/>
      <c r="J119" s="132"/>
      <c r="K119" s="8"/>
    </row>
    <row r="120" spans="2:11" ht="15" hidden="1" customHeight="1" x14ac:dyDescent="0.25">
      <c r="B120" s="7"/>
      <c r="C120" s="148">
        <v>40</v>
      </c>
      <c r="D120" s="135"/>
      <c r="E120" s="135"/>
      <c r="F120" s="135"/>
      <c r="G120" s="135"/>
      <c r="H120" s="135"/>
      <c r="I120" s="135"/>
      <c r="J120" s="132"/>
      <c r="K120" s="8"/>
    </row>
    <row r="121" spans="2:11" ht="15" hidden="1" customHeight="1" x14ac:dyDescent="0.25">
      <c r="B121" s="7"/>
      <c r="C121" s="148">
        <v>41</v>
      </c>
      <c r="D121" s="135"/>
      <c r="E121" s="135"/>
      <c r="F121" s="135"/>
      <c r="G121" s="135"/>
      <c r="H121" s="135"/>
      <c r="I121" s="135"/>
      <c r="J121" s="132"/>
      <c r="K121" s="8"/>
    </row>
    <row r="122" spans="2:11" ht="15" hidden="1" customHeight="1" x14ac:dyDescent="0.25">
      <c r="B122" s="7"/>
      <c r="C122" s="148">
        <v>42</v>
      </c>
      <c r="D122" s="135"/>
      <c r="E122" s="135"/>
      <c r="F122" s="135"/>
      <c r="G122" s="135"/>
      <c r="H122" s="135"/>
      <c r="I122" s="135"/>
      <c r="J122" s="132"/>
      <c r="K122" s="8"/>
    </row>
    <row r="123" spans="2:11" ht="15" hidden="1" customHeight="1" x14ac:dyDescent="0.25">
      <c r="B123" s="7"/>
      <c r="C123" s="148">
        <v>43</v>
      </c>
      <c r="D123" s="135"/>
      <c r="E123" s="135"/>
      <c r="F123" s="135"/>
      <c r="G123" s="135"/>
      <c r="H123" s="135"/>
      <c r="I123" s="135"/>
      <c r="J123" s="132"/>
      <c r="K123" s="8"/>
    </row>
    <row r="124" spans="2:11" ht="15" hidden="1" customHeight="1" x14ac:dyDescent="0.25">
      <c r="B124" s="7"/>
      <c r="C124" s="148">
        <v>44</v>
      </c>
      <c r="D124" s="135"/>
      <c r="E124" s="135"/>
      <c r="F124" s="135"/>
      <c r="G124" s="135"/>
      <c r="H124" s="135"/>
      <c r="I124" s="135"/>
      <c r="J124" s="132"/>
      <c r="K124" s="8"/>
    </row>
    <row r="125" spans="2:11" ht="15" hidden="1" customHeight="1" x14ac:dyDescent="0.25">
      <c r="B125" s="7"/>
      <c r="C125" s="148">
        <v>45</v>
      </c>
      <c r="D125" s="135"/>
      <c r="E125" s="135"/>
      <c r="F125" s="135"/>
      <c r="G125" s="135"/>
      <c r="H125" s="135"/>
      <c r="I125" s="135"/>
      <c r="J125" s="132"/>
      <c r="K125" s="8"/>
    </row>
    <row r="126" spans="2:11" ht="15" hidden="1" customHeight="1" x14ac:dyDescent="0.25">
      <c r="B126" s="7"/>
      <c r="C126" s="148">
        <v>46</v>
      </c>
      <c r="D126" s="135"/>
      <c r="E126" s="135"/>
      <c r="F126" s="135"/>
      <c r="G126" s="135"/>
      <c r="H126" s="135"/>
      <c r="I126" s="135"/>
      <c r="J126" s="132"/>
      <c r="K126" s="8"/>
    </row>
    <row r="127" spans="2:11" ht="15" hidden="1" customHeight="1" x14ac:dyDescent="0.25">
      <c r="B127" s="7"/>
      <c r="C127" s="148">
        <v>47</v>
      </c>
      <c r="D127" s="135"/>
      <c r="E127" s="135"/>
      <c r="F127" s="135"/>
      <c r="G127" s="135"/>
      <c r="H127" s="135"/>
      <c r="I127" s="135"/>
      <c r="J127" s="132"/>
      <c r="K127" s="8"/>
    </row>
    <row r="128" spans="2:11" ht="15" hidden="1" customHeight="1" x14ac:dyDescent="0.25">
      <c r="B128" s="7"/>
      <c r="C128" s="148">
        <v>48</v>
      </c>
      <c r="D128" s="135"/>
      <c r="E128" s="135"/>
      <c r="F128" s="135"/>
      <c r="G128" s="135"/>
      <c r="H128" s="135"/>
      <c r="I128" s="135"/>
      <c r="J128" s="132"/>
      <c r="K128" s="8"/>
    </row>
    <row r="129" spans="2:11" ht="15" hidden="1" customHeight="1" x14ac:dyDescent="0.25">
      <c r="B129" s="7"/>
      <c r="C129" s="148">
        <v>49</v>
      </c>
      <c r="D129" s="135"/>
      <c r="E129" s="135"/>
      <c r="F129" s="135"/>
      <c r="G129" s="135"/>
      <c r="H129" s="135"/>
      <c r="I129" s="135"/>
      <c r="J129" s="132"/>
      <c r="K129" s="8"/>
    </row>
    <row r="130" spans="2:11" ht="15" hidden="1" customHeight="1" x14ac:dyDescent="0.25">
      <c r="B130" s="7"/>
      <c r="C130" s="148">
        <v>50</v>
      </c>
      <c r="D130" s="135"/>
      <c r="E130" s="135"/>
      <c r="F130" s="135"/>
      <c r="G130" s="135"/>
      <c r="H130" s="135"/>
      <c r="I130" s="135"/>
      <c r="J130" s="132"/>
      <c r="K130" s="8"/>
    </row>
    <row r="131" spans="2:11" ht="15" hidden="1" customHeight="1" x14ac:dyDescent="0.25">
      <c r="B131" s="7"/>
      <c r="C131" s="123"/>
      <c r="D131" s="123"/>
      <c r="E131" s="123"/>
      <c r="F131" s="123"/>
      <c r="G131" s="123"/>
      <c r="H131" s="123"/>
      <c r="I131" s="123"/>
      <c r="J131" s="123"/>
      <c r="K131" s="8"/>
    </row>
    <row r="132" spans="2:11" ht="20.100000000000001" hidden="1" customHeight="1" x14ac:dyDescent="0.25">
      <c r="B132" s="5"/>
      <c r="C132" s="97" t="s">
        <v>50</v>
      </c>
      <c r="D132" s="97"/>
      <c r="E132" s="97"/>
      <c r="F132" s="97"/>
      <c r="G132" s="97"/>
      <c r="H132" s="97"/>
      <c r="I132" s="97"/>
      <c r="J132" s="97"/>
      <c r="K132" s="6"/>
    </row>
    <row r="133" spans="2:11" ht="15" hidden="1" customHeight="1" x14ac:dyDescent="0.25">
      <c r="B133" s="7"/>
      <c r="C133" s="123"/>
      <c r="D133" s="123"/>
      <c r="E133" s="123"/>
      <c r="F133" s="123"/>
      <c r="G133" s="123"/>
      <c r="H133" s="123"/>
      <c r="I133" s="123"/>
      <c r="J133" s="123"/>
      <c r="K133" s="8"/>
    </row>
    <row r="134" spans="2:11" ht="15" hidden="1" customHeight="1" x14ac:dyDescent="0.25">
      <c r="B134" s="7"/>
      <c r="C134" s="123" t="s">
        <v>4372</v>
      </c>
      <c r="D134" s="123"/>
      <c r="E134" s="123"/>
      <c r="F134" s="123"/>
      <c r="G134" s="123"/>
      <c r="H134" s="123"/>
      <c r="I134" s="123"/>
      <c r="J134" s="123"/>
      <c r="K134" s="8"/>
    </row>
    <row r="135" spans="2:11" ht="15" hidden="1" customHeight="1" x14ac:dyDescent="0.25">
      <c r="B135" s="7"/>
      <c r="C135" s="145" t="str">
        <f>IF(I.Product.P2aGasToPowerBaselineYear="","",I.Product.P2aGasToPowerBaselineYear)</f>
        <v/>
      </c>
      <c r="D135" s="146"/>
      <c r="E135" s="147"/>
      <c r="F135" s="123"/>
      <c r="G135" s="123"/>
      <c r="H135" s="123"/>
      <c r="I135" s="123"/>
      <c r="J135" s="123"/>
      <c r="K135" s="8"/>
    </row>
    <row r="136" spans="2:11" ht="15" hidden="1" customHeight="1" x14ac:dyDescent="0.25">
      <c r="B136" s="7"/>
      <c r="C136" s="123"/>
      <c r="D136" s="123"/>
      <c r="E136" s="123"/>
      <c r="F136" s="123"/>
      <c r="G136" s="123"/>
      <c r="H136" s="123"/>
      <c r="I136" s="123"/>
      <c r="J136" s="123"/>
      <c r="K136" s="8"/>
    </row>
    <row r="137" spans="2:11" ht="15" hidden="1" customHeight="1" x14ac:dyDescent="0.25">
      <c r="B137" s="7"/>
      <c r="C137" s="123" t="s">
        <v>4374</v>
      </c>
      <c r="D137" s="123"/>
      <c r="E137" s="123"/>
      <c r="F137" s="123"/>
      <c r="G137" s="123"/>
      <c r="H137" s="123"/>
      <c r="I137" s="123"/>
      <c r="J137" s="123"/>
      <c r="K137" s="8"/>
    </row>
    <row r="138" spans="2:11" ht="15" hidden="1" customHeight="1" x14ac:dyDescent="0.25">
      <c r="B138" s="7"/>
      <c r="C138" s="99"/>
      <c r="D138" s="100"/>
      <c r="E138" s="109"/>
      <c r="F138" s="123"/>
      <c r="G138" s="123"/>
      <c r="H138" s="123"/>
      <c r="I138" s="123"/>
      <c r="J138" s="123"/>
      <c r="K138" s="8"/>
    </row>
    <row r="139" spans="2:11" ht="15" hidden="1" customHeight="1" x14ac:dyDescent="0.25">
      <c r="B139" s="7"/>
      <c r="C139" s="123"/>
      <c r="D139" s="123"/>
      <c r="E139" s="123"/>
      <c r="F139" s="123"/>
      <c r="G139" s="123"/>
      <c r="H139" s="123"/>
      <c r="I139" s="123"/>
      <c r="J139" s="123"/>
      <c r="K139" s="8"/>
    </row>
    <row r="140" spans="2:11" ht="15" hidden="1" customHeight="1" x14ac:dyDescent="0.25">
      <c r="B140" s="7"/>
      <c r="C140" s="150" t="s">
        <v>57</v>
      </c>
      <c r="D140" s="153" t="s">
        <v>215</v>
      </c>
      <c r="E140" s="153" t="s">
        <v>216</v>
      </c>
      <c r="F140" s="153" t="s">
        <v>220</v>
      </c>
      <c r="G140" s="153" t="s">
        <v>245</v>
      </c>
      <c r="H140" s="153" t="s">
        <v>217</v>
      </c>
      <c r="I140" s="153" t="s">
        <v>218</v>
      </c>
      <c r="J140" s="153" t="s">
        <v>219</v>
      </c>
      <c r="K140" s="8"/>
    </row>
    <row r="141" spans="2:11" ht="15" hidden="1" customHeight="1" x14ac:dyDescent="0.25">
      <c r="B141" s="7"/>
      <c r="C141" s="151"/>
      <c r="D141" s="154"/>
      <c r="E141" s="154"/>
      <c r="F141" s="154"/>
      <c r="G141" s="154"/>
      <c r="H141" s="154"/>
      <c r="I141" s="154"/>
      <c r="J141" s="154"/>
      <c r="K141" s="8"/>
    </row>
    <row r="142" spans="2:11" ht="15" hidden="1" customHeight="1" x14ac:dyDescent="0.25">
      <c r="B142" s="7"/>
      <c r="C142" s="151"/>
      <c r="D142" s="154"/>
      <c r="E142" s="154"/>
      <c r="F142" s="154"/>
      <c r="G142" s="154"/>
      <c r="H142" s="154"/>
      <c r="I142" s="154"/>
      <c r="J142" s="154"/>
      <c r="K142" s="8"/>
    </row>
    <row r="143" spans="2:11" ht="15" hidden="1" customHeight="1" x14ac:dyDescent="0.35">
      <c r="B143" s="7"/>
      <c r="C143" s="152"/>
      <c r="D143" s="149" t="s">
        <v>213</v>
      </c>
      <c r="E143" s="149" t="s">
        <v>213</v>
      </c>
      <c r="F143" s="149" t="s">
        <v>214</v>
      </c>
      <c r="G143" s="155" t="s">
        <v>4325</v>
      </c>
      <c r="H143" s="156" t="s">
        <v>4326</v>
      </c>
      <c r="I143" s="156" t="s">
        <v>4327</v>
      </c>
      <c r="J143" s="157" t="s">
        <v>4328</v>
      </c>
      <c r="K143" s="8"/>
    </row>
    <row r="144" spans="2:11" ht="15" hidden="1" customHeight="1" x14ac:dyDescent="0.25">
      <c r="B144" s="7"/>
      <c r="C144" s="148">
        <v>1</v>
      </c>
      <c r="D144" s="135"/>
      <c r="E144" s="135"/>
      <c r="F144" s="135"/>
      <c r="G144" s="135"/>
      <c r="H144" s="135"/>
      <c r="I144" s="135"/>
      <c r="J144" s="132"/>
      <c r="K144" s="8"/>
    </row>
    <row r="145" spans="2:11" ht="15" hidden="1" customHeight="1" x14ac:dyDescent="0.25">
      <c r="B145" s="7"/>
      <c r="C145" s="148">
        <v>2</v>
      </c>
      <c r="D145" s="135"/>
      <c r="E145" s="135"/>
      <c r="F145" s="135"/>
      <c r="G145" s="135"/>
      <c r="H145" s="135"/>
      <c r="I145" s="135"/>
      <c r="J145" s="132"/>
      <c r="K145" s="8"/>
    </row>
    <row r="146" spans="2:11" ht="15" hidden="1" customHeight="1" x14ac:dyDescent="0.25">
      <c r="B146" s="7"/>
      <c r="C146" s="148">
        <v>3</v>
      </c>
      <c r="D146" s="135"/>
      <c r="E146" s="135"/>
      <c r="F146" s="135"/>
      <c r="G146" s="135"/>
      <c r="H146" s="135"/>
      <c r="I146" s="135"/>
      <c r="J146" s="132"/>
      <c r="K146" s="8"/>
    </row>
    <row r="147" spans="2:11" ht="15" hidden="1" customHeight="1" x14ac:dyDescent="0.25">
      <c r="B147" s="7"/>
      <c r="C147" s="148">
        <v>4</v>
      </c>
      <c r="D147" s="135"/>
      <c r="E147" s="135"/>
      <c r="F147" s="135"/>
      <c r="G147" s="135"/>
      <c r="H147" s="135"/>
      <c r="I147" s="135"/>
      <c r="J147" s="132"/>
      <c r="K147" s="8"/>
    </row>
    <row r="148" spans="2:11" ht="15" hidden="1" customHeight="1" x14ac:dyDescent="0.25">
      <c r="B148" s="7"/>
      <c r="C148" s="148">
        <v>5</v>
      </c>
      <c r="D148" s="135"/>
      <c r="E148" s="135"/>
      <c r="F148" s="135"/>
      <c r="G148" s="135"/>
      <c r="H148" s="135"/>
      <c r="I148" s="135"/>
      <c r="J148" s="132"/>
      <c r="K148" s="8"/>
    </row>
    <row r="149" spans="2:11" ht="15" hidden="1" customHeight="1" x14ac:dyDescent="0.25">
      <c r="B149" s="7"/>
      <c r="C149" s="148">
        <v>6</v>
      </c>
      <c r="D149" s="135"/>
      <c r="E149" s="135"/>
      <c r="F149" s="135"/>
      <c r="G149" s="135"/>
      <c r="H149" s="135"/>
      <c r="I149" s="135"/>
      <c r="J149" s="132"/>
      <c r="K149" s="8"/>
    </row>
    <row r="150" spans="2:11" ht="15" hidden="1" customHeight="1" x14ac:dyDescent="0.25">
      <c r="B150" s="7"/>
      <c r="C150" s="148">
        <v>7</v>
      </c>
      <c r="D150" s="135"/>
      <c r="E150" s="135"/>
      <c r="F150" s="135"/>
      <c r="G150" s="135"/>
      <c r="H150" s="135"/>
      <c r="I150" s="135"/>
      <c r="J150" s="132"/>
      <c r="K150" s="8"/>
    </row>
    <row r="151" spans="2:11" ht="15" hidden="1" customHeight="1" x14ac:dyDescent="0.25">
      <c r="B151" s="7"/>
      <c r="C151" s="148">
        <v>8</v>
      </c>
      <c r="D151" s="135"/>
      <c r="E151" s="135"/>
      <c r="F151" s="135"/>
      <c r="G151" s="135"/>
      <c r="H151" s="135"/>
      <c r="I151" s="135"/>
      <c r="J151" s="132"/>
      <c r="K151" s="8"/>
    </row>
    <row r="152" spans="2:11" ht="15" hidden="1" customHeight="1" x14ac:dyDescent="0.25">
      <c r="B152" s="7"/>
      <c r="C152" s="148">
        <v>9</v>
      </c>
      <c r="D152" s="135"/>
      <c r="E152" s="135"/>
      <c r="F152" s="135"/>
      <c r="G152" s="135"/>
      <c r="H152" s="135"/>
      <c r="I152" s="135"/>
      <c r="J152" s="132"/>
      <c r="K152" s="8"/>
    </row>
    <row r="153" spans="2:11" ht="15" hidden="1" customHeight="1" x14ac:dyDescent="0.25">
      <c r="B153" s="7"/>
      <c r="C153" s="148">
        <v>10</v>
      </c>
      <c r="D153" s="135"/>
      <c r="E153" s="135"/>
      <c r="F153" s="135"/>
      <c r="G153" s="135"/>
      <c r="H153" s="135"/>
      <c r="I153" s="135"/>
      <c r="J153" s="132"/>
      <c r="K153" s="8"/>
    </row>
    <row r="154" spans="2:11" ht="15" hidden="1" customHeight="1" x14ac:dyDescent="0.25">
      <c r="B154" s="7"/>
      <c r="C154" s="148">
        <v>11</v>
      </c>
      <c r="D154" s="135"/>
      <c r="E154" s="135"/>
      <c r="F154" s="135"/>
      <c r="G154" s="135"/>
      <c r="H154" s="135"/>
      <c r="I154" s="135"/>
      <c r="J154" s="132"/>
      <c r="K154" s="8"/>
    </row>
    <row r="155" spans="2:11" ht="15" hidden="1" customHeight="1" x14ac:dyDescent="0.25">
      <c r="B155" s="7"/>
      <c r="C155" s="148">
        <v>12</v>
      </c>
      <c r="D155" s="135"/>
      <c r="E155" s="135"/>
      <c r="F155" s="135"/>
      <c r="G155" s="135"/>
      <c r="H155" s="135"/>
      <c r="I155" s="135"/>
      <c r="J155" s="132"/>
      <c r="K155" s="8"/>
    </row>
    <row r="156" spans="2:11" ht="15" hidden="1" customHeight="1" x14ac:dyDescent="0.25">
      <c r="B156" s="7"/>
      <c r="C156" s="148">
        <v>13</v>
      </c>
      <c r="D156" s="135"/>
      <c r="E156" s="135"/>
      <c r="F156" s="135"/>
      <c r="G156" s="135"/>
      <c r="H156" s="135"/>
      <c r="I156" s="135"/>
      <c r="J156" s="132"/>
      <c r="K156" s="8"/>
    </row>
    <row r="157" spans="2:11" ht="15" hidden="1" customHeight="1" x14ac:dyDescent="0.25">
      <c r="B157" s="7"/>
      <c r="C157" s="148">
        <v>14</v>
      </c>
      <c r="D157" s="135"/>
      <c r="E157" s="135"/>
      <c r="F157" s="135"/>
      <c r="G157" s="135"/>
      <c r="H157" s="135"/>
      <c r="I157" s="135"/>
      <c r="J157" s="132"/>
      <c r="K157" s="8"/>
    </row>
    <row r="158" spans="2:11" ht="15" hidden="1" customHeight="1" x14ac:dyDescent="0.25">
      <c r="B158" s="7"/>
      <c r="C158" s="148">
        <v>15</v>
      </c>
      <c r="D158" s="135"/>
      <c r="E158" s="135"/>
      <c r="F158" s="135"/>
      <c r="G158" s="135"/>
      <c r="H158" s="135"/>
      <c r="I158" s="135"/>
      <c r="J158" s="132"/>
      <c r="K158" s="8"/>
    </row>
    <row r="159" spans="2:11" ht="15" hidden="1" customHeight="1" x14ac:dyDescent="0.25">
      <c r="B159" s="7"/>
      <c r="C159" s="148">
        <v>16</v>
      </c>
      <c r="D159" s="135"/>
      <c r="E159" s="135"/>
      <c r="F159" s="135"/>
      <c r="G159" s="135"/>
      <c r="H159" s="135"/>
      <c r="I159" s="135"/>
      <c r="J159" s="132"/>
      <c r="K159" s="8"/>
    </row>
    <row r="160" spans="2:11" ht="15" hidden="1" customHeight="1" x14ac:dyDescent="0.25">
      <c r="B160" s="7"/>
      <c r="C160" s="148">
        <v>17</v>
      </c>
      <c r="D160" s="135"/>
      <c r="E160" s="135"/>
      <c r="F160" s="135"/>
      <c r="G160" s="135"/>
      <c r="H160" s="135"/>
      <c r="I160" s="135"/>
      <c r="J160" s="132"/>
      <c r="K160" s="8"/>
    </row>
    <row r="161" spans="2:11" ht="15" hidden="1" customHeight="1" x14ac:dyDescent="0.25">
      <c r="B161" s="7"/>
      <c r="C161" s="148">
        <v>18</v>
      </c>
      <c r="D161" s="135"/>
      <c r="E161" s="135"/>
      <c r="F161" s="135"/>
      <c r="G161" s="135"/>
      <c r="H161" s="135"/>
      <c r="I161" s="135"/>
      <c r="J161" s="132"/>
      <c r="K161" s="8"/>
    </row>
    <row r="162" spans="2:11" ht="15" hidden="1" customHeight="1" x14ac:dyDescent="0.25">
      <c r="B162" s="7"/>
      <c r="C162" s="148">
        <v>19</v>
      </c>
      <c r="D162" s="135"/>
      <c r="E162" s="135"/>
      <c r="F162" s="135"/>
      <c r="G162" s="135"/>
      <c r="H162" s="135"/>
      <c r="I162" s="135"/>
      <c r="J162" s="132"/>
      <c r="K162" s="8"/>
    </row>
    <row r="163" spans="2:11" ht="15" hidden="1" customHeight="1" x14ac:dyDescent="0.25">
      <c r="B163" s="7"/>
      <c r="C163" s="148">
        <v>20</v>
      </c>
      <c r="D163" s="135"/>
      <c r="E163" s="135"/>
      <c r="F163" s="135"/>
      <c r="G163" s="135"/>
      <c r="H163" s="135"/>
      <c r="I163" s="135"/>
      <c r="J163" s="132"/>
      <c r="K163" s="8"/>
    </row>
    <row r="164" spans="2:11" ht="15" hidden="1" customHeight="1" x14ac:dyDescent="0.25">
      <c r="B164" s="7"/>
      <c r="C164" s="148">
        <v>21</v>
      </c>
      <c r="D164" s="135"/>
      <c r="E164" s="135"/>
      <c r="F164" s="135"/>
      <c r="G164" s="135"/>
      <c r="H164" s="135"/>
      <c r="I164" s="135"/>
      <c r="J164" s="132"/>
      <c r="K164" s="8"/>
    </row>
    <row r="165" spans="2:11" ht="15" hidden="1" customHeight="1" x14ac:dyDescent="0.25">
      <c r="B165" s="7"/>
      <c r="C165" s="148">
        <v>22</v>
      </c>
      <c r="D165" s="135"/>
      <c r="E165" s="135"/>
      <c r="F165" s="135"/>
      <c r="G165" s="135"/>
      <c r="H165" s="135"/>
      <c r="I165" s="135"/>
      <c r="J165" s="132"/>
      <c r="K165" s="8"/>
    </row>
    <row r="166" spans="2:11" ht="15" hidden="1" customHeight="1" x14ac:dyDescent="0.25">
      <c r="B166" s="7"/>
      <c r="C166" s="148">
        <v>23</v>
      </c>
      <c r="D166" s="135"/>
      <c r="E166" s="135"/>
      <c r="F166" s="135"/>
      <c r="G166" s="135"/>
      <c r="H166" s="135"/>
      <c r="I166" s="135"/>
      <c r="J166" s="132"/>
      <c r="K166" s="8"/>
    </row>
    <row r="167" spans="2:11" ht="15" hidden="1" customHeight="1" x14ac:dyDescent="0.25">
      <c r="B167" s="7"/>
      <c r="C167" s="148">
        <v>24</v>
      </c>
      <c r="D167" s="135"/>
      <c r="E167" s="135"/>
      <c r="F167" s="135"/>
      <c r="G167" s="135"/>
      <c r="H167" s="135"/>
      <c r="I167" s="135"/>
      <c r="J167" s="132"/>
      <c r="K167" s="8"/>
    </row>
    <row r="168" spans="2:11" ht="15" hidden="1" customHeight="1" x14ac:dyDescent="0.25">
      <c r="B168" s="7"/>
      <c r="C168" s="148">
        <v>25</v>
      </c>
      <c r="D168" s="135"/>
      <c r="E168" s="135"/>
      <c r="F168" s="135"/>
      <c r="G168" s="135"/>
      <c r="H168" s="135"/>
      <c r="I168" s="135"/>
      <c r="J168" s="132"/>
      <c r="K168" s="8"/>
    </row>
    <row r="169" spans="2:11" ht="15" hidden="1" customHeight="1" x14ac:dyDescent="0.25">
      <c r="B169" s="7"/>
      <c r="C169" s="148">
        <v>26</v>
      </c>
      <c r="D169" s="135"/>
      <c r="E169" s="135"/>
      <c r="F169" s="135"/>
      <c r="G169" s="135"/>
      <c r="H169" s="135"/>
      <c r="I169" s="135"/>
      <c r="J169" s="132"/>
      <c r="K169" s="8"/>
    </row>
    <row r="170" spans="2:11" ht="15" hidden="1" customHeight="1" x14ac:dyDescent="0.25">
      <c r="B170" s="7"/>
      <c r="C170" s="148">
        <v>27</v>
      </c>
      <c r="D170" s="135"/>
      <c r="E170" s="135"/>
      <c r="F170" s="135"/>
      <c r="G170" s="135"/>
      <c r="H170" s="135"/>
      <c r="I170" s="135"/>
      <c r="J170" s="132"/>
      <c r="K170" s="8"/>
    </row>
    <row r="171" spans="2:11" ht="15" hidden="1" customHeight="1" x14ac:dyDescent="0.25">
      <c r="B171" s="7"/>
      <c r="C171" s="148">
        <v>28</v>
      </c>
      <c r="D171" s="135"/>
      <c r="E171" s="135"/>
      <c r="F171" s="135"/>
      <c r="G171" s="135"/>
      <c r="H171" s="135"/>
      <c r="I171" s="135"/>
      <c r="J171" s="132"/>
      <c r="K171" s="8"/>
    </row>
    <row r="172" spans="2:11" ht="15" hidden="1" customHeight="1" x14ac:dyDescent="0.25">
      <c r="B172" s="7"/>
      <c r="C172" s="148">
        <v>29</v>
      </c>
      <c r="D172" s="135"/>
      <c r="E172" s="135"/>
      <c r="F172" s="135"/>
      <c r="G172" s="135"/>
      <c r="H172" s="135"/>
      <c r="I172" s="135"/>
      <c r="J172" s="132"/>
      <c r="K172" s="8"/>
    </row>
    <row r="173" spans="2:11" ht="15" hidden="1" customHeight="1" x14ac:dyDescent="0.25">
      <c r="B173" s="7"/>
      <c r="C173" s="148">
        <v>30</v>
      </c>
      <c r="D173" s="135"/>
      <c r="E173" s="135"/>
      <c r="F173" s="135"/>
      <c r="G173" s="135"/>
      <c r="H173" s="135"/>
      <c r="I173" s="135"/>
      <c r="J173" s="132"/>
      <c r="K173" s="8"/>
    </row>
    <row r="174" spans="2:11" ht="15" hidden="1" customHeight="1" x14ac:dyDescent="0.25">
      <c r="B174" s="7"/>
      <c r="C174" s="148">
        <v>31</v>
      </c>
      <c r="D174" s="135"/>
      <c r="E174" s="135"/>
      <c r="F174" s="135"/>
      <c r="G174" s="135"/>
      <c r="H174" s="135"/>
      <c r="I174" s="135"/>
      <c r="J174" s="132"/>
      <c r="K174" s="8"/>
    </row>
    <row r="175" spans="2:11" ht="15" hidden="1" customHeight="1" x14ac:dyDescent="0.25">
      <c r="B175" s="7"/>
      <c r="C175" s="148">
        <v>32</v>
      </c>
      <c r="D175" s="135"/>
      <c r="E175" s="135"/>
      <c r="F175" s="135"/>
      <c r="G175" s="135"/>
      <c r="H175" s="135"/>
      <c r="I175" s="135"/>
      <c r="J175" s="132"/>
      <c r="K175" s="8"/>
    </row>
    <row r="176" spans="2:11" ht="15" hidden="1" customHeight="1" x14ac:dyDescent="0.25">
      <c r="B176" s="7"/>
      <c r="C176" s="148">
        <v>33</v>
      </c>
      <c r="D176" s="135"/>
      <c r="E176" s="135"/>
      <c r="F176" s="135"/>
      <c r="G176" s="135"/>
      <c r="H176" s="135"/>
      <c r="I176" s="135"/>
      <c r="J176" s="132"/>
      <c r="K176" s="8"/>
    </row>
    <row r="177" spans="2:11" ht="15" hidden="1" customHeight="1" x14ac:dyDescent="0.25">
      <c r="B177" s="7"/>
      <c r="C177" s="148">
        <v>34</v>
      </c>
      <c r="D177" s="135"/>
      <c r="E177" s="135"/>
      <c r="F177" s="135"/>
      <c r="G177" s="135"/>
      <c r="H177" s="135"/>
      <c r="I177" s="135"/>
      <c r="J177" s="132"/>
      <c r="K177" s="8"/>
    </row>
    <row r="178" spans="2:11" ht="15" hidden="1" customHeight="1" x14ac:dyDescent="0.25">
      <c r="B178" s="7"/>
      <c r="C178" s="148">
        <v>35</v>
      </c>
      <c r="D178" s="135"/>
      <c r="E178" s="135"/>
      <c r="F178" s="135"/>
      <c r="G178" s="135"/>
      <c r="H178" s="135"/>
      <c r="I178" s="135"/>
      <c r="J178" s="132"/>
      <c r="K178" s="8"/>
    </row>
    <row r="179" spans="2:11" ht="15" hidden="1" customHeight="1" x14ac:dyDescent="0.25">
      <c r="B179" s="7"/>
      <c r="C179" s="148">
        <v>36</v>
      </c>
      <c r="D179" s="135"/>
      <c r="E179" s="135"/>
      <c r="F179" s="135"/>
      <c r="G179" s="135"/>
      <c r="H179" s="135"/>
      <c r="I179" s="135"/>
      <c r="J179" s="132"/>
      <c r="K179" s="8"/>
    </row>
    <row r="180" spans="2:11" ht="15" hidden="1" customHeight="1" x14ac:dyDescent="0.25">
      <c r="B180" s="7"/>
      <c r="C180" s="148">
        <v>37</v>
      </c>
      <c r="D180" s="135"/>
      <c r="E180" s="135"/>
      <c r="F180" s="135"/>
      <c r="G180" s="135"/>
      <c r="H180" s="135"/>
      <c r="I180" s="135"/>
      <c r="J180" s="132"/>
      <c r="K180" s="8"/>
    </row>
    <row r="181" spans="2:11" ht="15" hidden="1" customHeight="1" x14ac:dyDescent="0.25">
      <c r="B181" s="7"/>
      <c r="C181" s="148">
        <v>38</v>
      </c>
      <c r="D181" s="135"/>
      <c r="E181" s="135"/>
      <c r="F181" s="135"/>
      <c r="G181" s="135"/>
      <c r="H181" s="135"/>
      <c r="I181" s="135"/>
      <c r="J181" s="132"/>
      <c r="K181" s="8"/>
    </row>
    <row r="182" spans="2:11" ht="15" hidden="1" customHeight="1" x14ac:dyDescent="0.25">
      <c r="B182" s="7"/>
      <c r="C182" s="148">
        <v>39</v>
      </c>
      <c r="D182" s="135"/>
      <c r="E182" s="135"/>
      <c r="F182" s="135"/>
      <c r="G182" s="135"/>
      <c r="H182" s="135"/>
      <c r="I182" s="135"/>
      <c r="J182" s="132"/>
      <c r="K182" s="8"/>
    </row>
    <row r="183" spans="2:11" ht="15" hidden="1" customHeight="1" x14ac:dyDescent="0.25">
      <c r="B183" s="7"/>
      <c r="C183" s="148">
        <v>40</v>
      </c>
      <c r="D183" s="135"/>
      <c r="E183" s="135"/>
      <c r="F183" s="135"/>
      <c r="G183" s="135"/>
      <c r="H183" s="135"/>
      <c r="I183" s="135"/>
      <c r="J183" s="132"/>
      <c r="K183" s="8"/>
    </row>
    <row r="184" spans="2:11" ht="15" hidden="1" customHeight="1" x14ac:dyDescent="0.25">
      <c r="B184" s="7"/>
      <c r="C184" s="148">
        <v>41</v>
      </c>
      <c r="D184" s="135"/>
      <c r="E184" s="135"/>
      <c r="F184" s="135"/>
      <c r="G184" s="135"/>
      <c r="H184" s="135"/>
      <c r="I184" s="135"/>
      <c r="J184" s="132"/>
      <c r="K184" s="8"/>
    </row>
    <row r="185" spans="2:11" ht="15" hidden="1" customHeight="1" x14ac:dyDescent="0.25">
      <c r="B185" s="7"/>
      <c r="C185" s="148">
        <v>42</v>
      </c>
      <c r="D185" s="135"/>
      <c r="E185" s="135"/>
      <c r="F185" s="135"/>
      <c r="G185" s="135"/>
      <c r="H185" s="135"/>
      <c r="I185" s="135"/>
      <c r="J185" s="132"/>
      <c r="K185" s="8"/>
    </row>
    <row r="186" spans="2:11" ht="15" hidden="1" customHeight="1" x14ac:dyDescent="0.25">
      <c r="B186" s="7"/>
      <c r="C186" s="148">
        <v>43</v>
      </c>
      <c r="D186" s="135"/>
      <c r="E186" s="135"/>
      <c r="F186" s="135"/>
      <c r="G186" s="135"/>
      <c r="H186" s="135"/>
      <c r="I186" s="135"/>
      <c r="J186" s="132"/>
      <c r="K186" s="8"/>
    </row>
    <row r="187" spans="2:11" ht="15" hidden="1" customHeight="1" x14ac:dyDescent="0.25">
      <c r="B187" s="7"/>
      <c r="C187" s="148">
        <v>44</v>
      </c>
      <c r="D187" s="135"/>
      <c r="E187" s="135"/>
      <c r="F187" s="135"/>
      <c r="G187" s="135"/>
      <c r="H187" s="135"/>
      <c r="I187" s="135"/>
      <c r="J187" s="132"/>
      <c r="K187" s="8"/>
    </row>
    <row r="188" spans="2:11" ht="15" hidden="1" customHeight="1" x14ac:dyDescent="0.25">
      <c r="B188" s="7"/>
      <c r="C188" s="148">
        <v>45</v>
      </c>
      <c r="D188" s="135"/>
      <c r="E188" s="135"/>
      <c r="F188" s="135"/>
      <c r="G188" s="135"/>
      <c r="H188" s="135"/>
      <c r="I188" s="135"/>
      <c r="J188" s="132"/>
      <c r="K188" s="8"/>
    </row>
    <row r="189" spans="2:11" ht="15" hidden="1" customHeight="1" x14ac:dyDescent="0.25">
      <c r="B189" s="7"/>
      <c r="C189" s="148">
        <v>46</v>
      </c>
      <c r="D189" s="135"/>
      <c r="E189" s="135"/>
      <c r="F189" s="135"/>
      <c r="G189" s="135"/>
      <c r="H189" s="135"/>
      <c r="I189" s="135"/>
      <c r="J189" s="132"/>
      <c r="K189" s="8"/>
    </row>
    <row r="190" spans="2:11" ht="15" hidden="1" customHeight="1" x14ac:dyDescent="0.25">
      <c r="B190" s="7"/>
      <c r="C190" s="148">
        <v>47</v>
      </c>
      <c r="D190" s="135"/>
      <c r="E190" s="135"/>
      <c r="F190" s="135"/>
      <c r="G190" s="135"/>
      <c r="H190" s="135"/>
      <c r="I190" s="135"/>
      <c r="J190" s="132"/>
      <c r="K190" s="8"/>
    </row>
    <row r="191" spans="2:11" ht="15" hidden="1" customHeight="1" x14ac:dyDescent="0.25">
      <c r="B191" s="7"/>
      <c r="C191" s="148">
        <v>48</v>
      </c>
      <c r="D191" s="135"/>
      <c r="E191" s="135"/>
      <c r="F191" s="135"/>
      <c r="G191" s="135"/>
      <c r="H191" s="135"/>
      <c r="I191" s="135"/>
      <c r="J191" s="132"/>
      <c r="K191" s="8"/>
    </row>
    <row r="192" spans="2:11" ht="15" hidden="1" customHeight="1" x14ac:dyDescent="0.25">
      <c r="B192" s="7"/>
      <c r="C192" s="148">
        <v>49</v>
      </c>
      <c r="D192" s="135"/>
      <c r="E192" s="135"/>
      <c r="F192" s="135"/>
      <c r="G192" s="135"/>
      <c r="H192" s="135"/>
      <c r="I192" s="135"/>
      <c r="J192" s="132"/>
      <c r="K192" s="8"/>
    </row>
    <row r="193" spans="2:11" ht="15" hidden="1" customHeight="1" x14ac:dyDescent="0.25">
      <c r="B193" s="7"/>
      <c r="C193" s="148">
        <v>50</v>
      </c>
      <c r="D193" s="135"/>
      <c r="E193" s="135"/>
      <c r="F193" s="135"/>
      <c r="G193" s="135"/>
      <c r="H193" s="135"/>
      <c r="I193" s="135"/>
      <c r="J193" s="132"/>
      <c r="K193" s="8"/>
    </row>
    <row r="194" spans="2:11" ht="15" hidden="1" customHeight="1" x14ac:dyDescent="0.25">
      <c r="B194" s="7"/>
      <c r="C194" s="123"/>
      <c r="D194" s="123"/>
      <c r="E194" s="123"/>
      <c r="F194" s="123"/>
      <c r="G194" s="123"/>
      <c r="H194" s="123"/>
      <c r="I194" s="123"/>
      <c r="J194" s="123"/>
      <c r="K194" s="8"/>
    </row>
    <row r="195" spans="2:11" ht="15" hidden="1" customHeight="1" x14ac:dyDescent="0.25">
      <c r="B195" s="7"/>
      <c r="C195" s="123" t="s">
        <v>4373</v>
      </c>
      <c r="D195" s="123"/>
      <c r="E195" s="123"/>
      <c r="F195" s="123"/>
      <c r="G195" s="123"/>
      <c r="H195" s="123"/>
      <c r="I195" s="123"/>
      <c r="J195" s="123"/>
      <c r="K195" s="8"/>
    </row>
    <row r="196" spans="2:11" ht="15" hidden="1" customHeight="1" x14ac:dyDescent="0.25">
      <c r="B196" s="7"/>
      <c r="C196" s="145" t="str">
        <f>IF(I.Product.P2aGasToPowerBaselineYear="","",I.Product.P2aGasToPowerBaselineYear+1)</f>
        <v/>
      </c>
      <c r="D196" s="146"/>
      <c r="E196" s="147"/>
      <c r="F196" s="123"/>
      <c r="G196" s="123"/>
      <c r="H196" s="123"/>
      <c r="I196" s="123"/>
      <c r="J196" s="123"/>
      <c r="K196" s="8"/>
    </row>
    <row r="197" spans="2:11" ht="15" hidden="1" customHeight="1" x14ac:dyDescent="0.25">
      <c r="B197" s="7"/>
      <c r="C197" s="123"/>
      <c r="D197" s="123"/>
      <c r="E197" s="123"/>
      <c r="F197" s="123"/>
      <c r="G197" s="123"/>
      <c r="H197" s="123"/>
      <c r="I197" s="123"/>
      <c r="J197" s="123"/>
      <c r="K197" s="8"/>
    </row>
    <row r="198" spans="2:11" ht="15" hidden="1" customHeight="1" x14ac:dyDescent="0.25">
      <c r="B198" s="7"/>
      <c r="C198" s="123" t="s">
        <v>4375</v>
      </c>
      <c r="D198" s="123"/>
      <c r="E198" s="123"/>
      <c r="F198" s="123"/>
      <c r="G198" s="123"/>
      <c r="H198" s="123"/>
      <c r="I198" s="123"/>
      <c r="J198" s="123"/>
      <c r="K198" s="8"/>
    </row>
    <row r="199" spans="2:11" ht="15" hidden="1" customHeight="1" x14ac:dyDescent="0.25">
      <c r="B199" s="7"/>
      <c r="C199" s="99"/>
      <c r="D199" s="100"/>
      <c r="E199" s="109"/>
      <c r="F199" s="123"/>
      <c r="G199" s="123"/>
      <c r="H199" s="123"/>
      <c r="I199" s="123"/>
      <c r="J199" s="123"/>
      <c r="K199" s="8"/>
    </row>
    <row r="200" spans="2:11" ht="15" hidden="1" customHeight="1" x14ac:dyDescent="0.25">
      <c r="B200" s="7"/>
      <c r="C200" s="123"/>
      <c r="D200" s="123"/>
      <c r="E200" s="123"/>
      <c r="F200" s="123"/>
      <c r="G200" s="123"/>
      <c r="H200" s="123"/>
      <c r="I200" s="123"/>
      <c r="J200" s="123"/>
      <c r="K200" s="8"/>
    </row>
    <row r="201" spans="2:11" ht="15" hidden="1" customHeight="1" x14ac:dyDescent="0.25">
      <c r="B201" s="7"/>
      <c r="C201" s="150" t="s">
        <v>57</v>
      </c>
      <c r="D201" s="153" t="s">
        <v>215</v>
      </c>
      <c r="E201" s="153" t="s">
        <v>216</v>
      </c>
      <c r="F201" s="153" t="s">
        <v>220</v>
      </c>
      <c r="G201" s="153" t="s">
        <v>245</v>
      </c>
      <c r="H201" s="153" t="s">
        <v>217</v>
      </c>
      <c r="I201" s="153" t="s">
        <v>218</v>
      </c>
      <c r="J201" s="153" t="s">
        <v>219</v>
      </c>
      <c r="K201" s="8"/>
    </row>
    <row r="202" spans="2:11" ht="15" hidden="1" customHeight="1" x14ac:dyDescent="0.25">
      <c r="B202" s="7"/>
      <c r="C202" s="151"/>
      <c r="D202" s="154"/>
      <c r="E202" s="154"/>
      <c r="F202" s="154"/>
      <c r="G202" s="154"/>
      <c r="H202" s="154"/>
      <c r="I202" s="154"/>
      <c r="J202" s="154"/>
      <c r="K202" s="8"/>
    </row>
    <row r="203" spans="2:11" ht="15" hidden="1" customHeight="1" x14ac:dyDescent="0.25">
      <c r="B203" s="7"/>
      <c r="C203" s="151"/>
      <c r="D203" s="154"/>
      <c r="E203" s="154"/>
      <c r="F203" s="154"/>
      <c r="G203" s="154"/>
      <c r="H203" s="154"/>
      <c r="I203" s="154"/>
      <c r="J203" s="154"/>
      <c r="K203" s="8"/>
    </row>
    <row r="204" spans="2:11" ht="15" hidden="1" customHeight="1" x14ac:dyDescent="0.35">
      <c r="B204" s="7"/>
      <c r="C204" s="152"/>
      <c r="D204" s="149" t="s">
        <v>213</v>
      </c>
      <c r="E204" s="149" t="s">
        <v>213</v>
      </c>
      <c r="F204" s="149" t="s">
        <v>214</v>
      </c>
      <c r="G204" s="155" t="s">
        <v>4325</v>
      </c>
      <c r="H204" s="156" t="s">
        <v>4326</v>
      </c>
      <c r="I204" s="156" t="s">
        <v>4327</v>
      </c>
      <c r="J204" s="157" t="s">
        <v>4328</v>
      </c>
      <c r="K204" s="8"/>
    </row>
    <row r="205" spans="2:11" ht="15" hidden="1" customHeight="1" x14ac:dyDescent="0.25">
      <c r="B205" s="7"/>
      <c r="C205" s="148">
        <v>1</v>
      </c>
      <c r="D205" s="135"/>
      <c r="E205" s="135"/>
      <c r="F205" s="135"/>
      <c r="G205" s="135"/>
      <c r="H205" s="135"/>
      <c r="I205" s="135"/>
      <c r="J205" s="132"/>
      <c r="K205" s="8"/>
    </row>
    <row r="206" spans="2:11" ht="15" hidden="1" customHeight="1" x14ac:dyDescent="0.25">
      <c r="B206" s="7"/>
      <c r="C206" s="148">
        <v>2</v>
      </c>
      <c r="D206" s="135"/>
      <c r="E206" s="135"/>
      <c r="F206" s="135"/>
      <c r="G206" s="135"/>
      <c r="H206" s="135"/>
      <c r="I206" s="135"/>
      <c r="J206" s="132"/>
      <c r="K206" s="8"/>
    </row>
    <row r="207" spans="2:11" ht="15" hidden="1" customHeight="1" x14ac:dyDescent="0.25">
      <c r="B207" s="7"/>
      <c r="C207" s="148">
        <v>3</v>
      </c>
      <c r="D207" s="135"/>
      <c r="E207" s="135"/>
      <c r="F207" s="135"/>
      <c r="G207" s="135"/>
      <c r="H207" s="135"/>
      <c r="I207" s="135"/>
      <c r="J207" s="132"/>
      <c r="K207" s="8"/>
    </row>
    <row r="208" spans="2:11" ht="15" hidden="1" customHeight="1" x14ac:dyDescent="0.25">
      <c r="B208" s="7"/>
      <c r="C208" s="148">
        <v>4</v>
      </c>
      <c r="D208" s="135"/>
      <c r="E208" s="135"/>
      <c r="F208" s="135"/>
      <c r="G208" s="135"/>
      <c r="H208" s="135"/>
      <c r="I208" s="135"/>
      <c r="J208" s="132"/>
      <c r="K208" s="8"/>
    </row>
    <row r="209" spans="2:11" ht="15" hidden="1" customHeight="1" x14ac:dyDescent="0.25">
      <c r="B209" s="7"/>
      <c r="C209" s="148">
        <v>5</v>
      </c>
      <c r="D209" s="135"/>
      <c r="E209" s="135"/>
      <c r="F209" s="135"/>
      <c r="G209" s="135"/>
      <c r="H209" s="135"/>
      <c r="I209" s="135"/>
      <c r="J209" s="132"/>
      <c r="K209" s="8"/>
    </row>
    <row r="210" spans="2:11" ht="15" hidden="1" customHeight="1" x14ac:dyDescent="0.25">
      <c r="B210" s="7"/>
      <c r="C210" s="148">
        <v>6</v>
      </c>
      <c r="D210" s="135"/>
      <c r="E210" s="135"/>
      <c r="F210" s="135"/>
      <c r="G210" s="135"/>
      <c r="H210" s="135"/>
      <c r="I210" s="135"/>
      <c r="J210" s="132"/>
      <c r="K210" s="8"/>
    </row>
    <row r="211" spans="2:11" ht="15" hidden="1" customHeight="1" x14ac:dyDescent="0.25">
      <c r="B211" s="7"/>
      <c r="C211" s="148">
        <v>7</v>
      </c>
      <c r="D211" s="135"/>
      <c r="E211" s="135"/>
      <c r="F211" s="135"/>
      <c r="G211" s="135"/>
      <c r="H211" s="135"/>
      <c r="I211" s="135"/>
      <c r="J211" s="132"/>
      <c r="K211" s="8"/>
    </row>
    <row r="212" spans="2:11" ht="15" hidden="1" customHeight="1" x14ac:dyDescent="0.25">
      <c r="B212" s="7"/>
      <c r="C212" s="148">
        <v>8</v>
      </c>
      <c r="D212" s="135"/>
      <c r="E212" s="135"/>
      <c r="F212" s="135"/>
      <c r="G212" s="135"/>
      <c r="H212" s="135"/>
      <c r="I212" s="135"/>
      <c r="J212" s="132"/>
      <c r="K212" s="8"/>
    </row>
    <row r="213" spans="2:11" ht="15" hidden="1" customHeight="1" x14ac:dyDescent="0.25">
      <c r="B213" s="7"/>
      <c r="C213" s="148">
        <v>9</v>
      </c>
      <c r="D213" s="135"/>
      <c r="E213" s="135"/>
      <c r="F213" s="135"/>
      <c r="G213" s="135"/>
      <c r="H213" s="135"/>
      <c r="I213" s="135"/>
      <c r="J213" s="132"/>
      <c r="K213" s="8"/>
    </row>
    <row r="214" spans="2:11" ht="15" hidden="1" customHeight="1" x14ac:dyDescent="0.25">
      <c r="B214" s="7"/>
      <c r="C214" s="148">
        <v>10</v>
      </c>
      <c r="D214" s="135"/>
      <c r="E214" s="135"/>
      <c r="F214" s="135"/>
      <c r="G214" s="135"/>
      <c r="H214" s="135"/>
      <c r="I214" s="135"/>
      <c r="J214" s="132"/>
      <c r="K214" s="8"/>
    </row>
    <row r="215" spans="2:11" ht="15" hidden="1" customHeight="1" x14ac:dyDescent="0.25">
      <c r="B215" s="7"/>
      <c r="C215" s="148">
        <v>11</v>
      </c>
      <c r="D215" s="135"/>
      <c r="E215" s="135"/>
      <c r="F215" s="135"/>
      <c r="G215" s="135"/>
      <c r="H215" s="135"/>
      <c r="I215" s="135"/>
      <c r="J215" s="132"/>
      <c r="K215" s="8"/>
    </row>
    <row r="216" spans="2:11" ht="15" hidden="1" customHeight="1" x14ac:dyDescent="0.25">
      <c r="B216" s="7"/>
      <c r="C216" s="148">
        <v>12</v>
      </c>
      <c r="D216" s="135"/>
      <c r="E216" s="135"/>
      <c r="F216" s="135"/>
      <c r="G216" s="135"/>
      <c r="H216" s="135"/>
      <c r="I216" s="135"/>
      <c r="J216" s="132"/>
      <c r="K216" s="8"/>
    </row>
    <row r="217" spans="2:11" ht="15" hidden="1" customHeight="1" x14ac:dyDescent="0.25">
      <c r="B217" s="7"/>
      <c r="C217" s="148">
        <v>13</v>
      </c>
      <c r="D217" s="135"/>
      <c r="E217" s="135"/>
      <c r="F217" s="135"/>
      <c r="G217" s="135"/>
      <c r="H217" s="135"/>
      <c r="I217" s="135"/>
      <c r="J217" s="132"/>
      <c r="K217" s="8"/>
    </row>
    <row r="218" spans="2:11" ht="15" hidden="1" customHeight="1" x14ac:dyDescent="0.25">
      <c r="B218" s="7"/>
      <c r="C218" s="148">
        <v>14</v>
      </c>
      <c r="D218" s="135"/>
      <c r="E218" s="135"/>
      <c r="F218" s="135"/>
      <c r="G218" s="135"/>
      <c r="H218" s="135"/>
      <c r="I218" s="135"/>
      <c r="J218" s="132"/>
      <c r="K218" s="8"/>
    </row>
    <row r="219" spans="2:11" ht="15" hidden="1" customHeight="1" x14ac:dyDescent="0.25">
      <c r="B219" s="7"/>
      <c r="C219" s="148">
        <v>15</v>
      </c>
      <c r="D219" s="135"/>
      <c r="E219" s="135"/>
      <c r="F219" s="135"/>
      <c r="G219" s="135"/>
      <c r="H219" s="135"/>
      <c r="I219" s="135"/>
      <c r="J219" s="132"/>
      <c r="K219" s="8"/>
    </row>
    <row r="220" spans="2:11" ht="15" hidden="1" customHeight="1" x14ac:dyDescent="0.25">
      <c r="B220" s="7"/>
      <c r="C220" s="148">
        <v>16</v>
      </c>
      <c r="D220" s="135"/>
      <c r="E220" s="135"/>
      <c r="F220" s="135"/>
      <c r="G220" s="135"/>
      <c r="H220" s="135"/>
      <c r="I220" s="135"/>
      <c r="J220" s="132"/>
      <c r="K220" s="8"/>
    </row>
    <row r="221" spans="2:11" ht="15" hidden="1" customHeight="1" x14ac:dyDescent="0.25">
      <c r="B221" s="7"/>
      <c r="C221" s="148">
        <v>17</v>
      </c>
      <c r="D221" s="135"/>
      <c r="E221" s="135"/>
      <c r="F221" s="135"/>
      <c r="G221" s="135"/>
      <c r="H221" s="135"/>
      <c r="I221" s="135"/>
      <c r="J221" s="132"/>
      <c r="K221" s="8"/>
    </row>
    <row r="222" spans="2:11" ht="15" hidden="1" customHeight="1" x14ac:dyDescent="0.25">
      <c r="B222" s="7"/>
      <c r="C222" s="148">
        <v>18</v>
      </c>
      <c r="D222" s="135"/>
      <c r="E222" s="135"/>
      <c r="F222" s="135"/>
      <c r="G222" s="135"/>
      <c r="H222" s="135"/>
      <c r="I222" s="135"/>
      <c r="J222" s="132"/>
      <c r="K222" s="8"/>
    </row>
    <row r="223" spans="2:11" ht="15" hidden="1" customHeight="1" x14ac:dyDescent="0.25">
      <c r="B223" s="7"/>
      <c r="C223" s="148">
        <v>19</v>
      </c>
      <c r="D223" s="135"/>
      <c r="E223" s="135"/>
      <c r="F223" s="135"/>
      <c r="G223" s="135"/>
      <c r="H223" s="135"/>
      <c r="I223" s="135"/>
      <c r="J223" s="132"/>
      <c r="K223" s="8"/>
    </row>
    <row r="224" spans="2:11" ht="15" hidden="1" customHeight="1" x14ac:dyDescent="0.25">
      <c r="B224" s="7"/>
      <c r="C224" s="148">
        <v>20</v>
      </c>
      <c r="D224" s="135"/>
      <c r="E224" s="135"/>
      <c r="F224" s="135"/>
      <c r="G224" s="135"/>
      <c r="H224" s="135"/>
      <c r="I224" s="135"/>
      <c r="J224" s="132"/>
      <c r="K224" s="8"/>
    </row>
    <row r="225" spans="2:11" ht="15" hidden="1" customHeight="1" x14ac:dyDescent="0.25">
      <c r="B225" s="7"/>
      <c r="C225" s="148">
        <v>21</v>
      </c>
      <c r="D225" s="135"/>
      <c r="E225" s="135"/>
      <c r="F225" s="135"/>
      <c r="G225" s="135"/>
      <c r="H225" s="135"/>
      <c r="I225" s="135"/>
      <c r="J225" s="132"/>
      <c r="K225" s="8"/>
    </row>
    <row r="226" spans="2:11" ht="15" hidden="1" customHeight="1" x14ac:dyDescent="0.25">
      <c r="B226" s="7"/>
      <c r="C226" s="148">
        <v>22</v>
      </c>
      <c r="D226" s="135"/>
      <c r="E226" s="135"/>
      <c r="F226" s="135"/>
      <c r="G226" s="135"/>
      <c r="H226" s="135"/>
      <c r="I226" s="135"/>
      <c r="J226" s="132"/>
      <c r="K226" s="8"/>
    </row>
    <row r="227" spans="2:11" ht="15" hidden="1" customHeight="1" x14ac:dyDescent="0.25">
      <c r="B227" s="7"/>
      <c r="C227" s="148">
        <v>23</v>
      </c>
      <c r="D227" s="135"/>
      <c r="E227" s="135"/>
      <c r="F227" s="135"/>
      <c r="G227" s="135"/>
      <c r="H227" s="135"/>
      <c r="I227" s="135"/>
      <c r="J227" s="132"/>
      <c r="K227" s="8"/>
    </row>
    <row r="228" spans="2:11" ht="15" hidden="1" customHeight="1" x14ac:dyDescent="0.25">
      <c r="B228" s="7"/>
      <c r="C228" s="148">
        <v>24</v>
      </c>
      <c r="D228" s="135"/>
      <c r="E228" s="135"/>
      <c r="F228" s="135"/>
      <c r="G228" s="135"/>
      <c r="H228" s="135"/>
      <c r="I228" s="135"/>
      <c r="J228" s="132"/>
      <c r="K228" s="8"/>
    </row>
    <row r="229" spans="2:11" ht="15" hidden="1" customHeight="1" x14ac:dyDescent="0.25">
      <c r="B229" s="7"/>
      <c r="C229" s="148">
        <v>25</v>
      </c>
      <c r="D229" s="135"/>
      <c r="E229" s="135"/>
      <c r="F229" s="135"/>
      <c r="G229" s="135"/>
      <c r="H229" s="135"/>
      <c r="I229" s="135"/>
      <c r="J229" s="132"/>
      <c r="K229" s="8"/>
    </row>
    <row r="230" spans="2:11" ht="15" hidden="1" customHeight="1" x14ac:dyDescent="0.25">
      <c r="B230" s="7"/>
      <c r="C230" s="148">
        <v>26</v>
      </c>
      <c r="D230" s="135"/>
      <c r="E230" s="135"/>
      <c r="F230" s="135"/>
      <c r="G230" s="135"/>
      <c r="H230" s="135"/>
      <c r="I230" s="135"/>
      <c r="J230" s="132"/>
      <c r="K230" s="8"/>
    </row>
    <row r="231" spans="2:11" ht="15" hidden="1" customHeight="1" x14ac:dyDescent="0.25">
      <c r="B231" s="7"/>
      <c r="C231" s="148">
        <v>27</v>
      </c>
      <c r="D231" s="135"/>
      <c r="E231" s="135"/>
      <c r="F231" s="135"/>
      <c r="G231" s="135"/>
      <c r="H231" s="135"/>
      <c r="I231" s="135"/>
      <c r="J231" s="132"/>
      <c r="K231" s="8"/>
    </row>
    <row r="232" spans="2:11" ht="15" hidden="1" customHeight="1" x14ac:dyDescent="0.25">
      <c r="B232" s="7"/>
      <c r="C232" s="148">
        <v>28</v>
      </c>
      <c r="D232" s="135"/>
      <c r="E232" s="135"/>
      <c r="F232" s="135"/>
      <c r="G232" s="135"/>
      <c r="H232" s="135"/>
      <c r="I232" s="135"/>
      <c r="J232" s="132"/>
      <c r="K232" s="8"/>
    </row>
    <row r="233" spans="2:11" ht="15" hidden="1" customHeight="1" x14ac:dyDescent="0.25">
      <c r="B233" s="7"/>
      <c r="C233" s="148">
        <v>29</v>
      </c>
      <c r="D233" s="135"/>
      <c r="E233" s="135"/>
      <c r="F233" s="135"/>
      <c r="G233" s="135"/>
      <c r="H233" s="135"/>
      <c r="I233" s="135"/>
      <c r="J233" s="132"/>
      <c r="K233" s="8"/>
    </row>
    <row r="234" spans="2:11" ht="15" hidden="1" customHeight="1" x14ac:dyDescent="0.25">
      <c r="B234" s="7"/>
      <c r="C234" s="148">
        <v>30</v>
      </c>
      <c r="D234" s="135"/>
      <c r="E234" s="135"/>
      <c r="F234" s="135"/>
      <c r="G234" s="135"/>
      <c r="H234" s="135"/>
      <c r="I234" s="135"/>
      <c r="J234" s="132"/>
      <c r="K234" s="8"/>
    </row>
    <row r="235" spans="2:11" ht="15" hidden="1" customHeight="1" x14ac:dyDescent="0.25">
      <c r="B235" s="7"/>
      <c r="C235" s="148">
        <v>31</v>
      </c>
      <c r="D235" s="135"/>
      <c r="E235" s="135"/>
      <c r="F235" s="135"/>
      <c r="G235" s="135"/>
      <c r="H235" s="135"/>
      <c r="I235" s="135"/>
      <c r="J235" s="132"/>
      <c r="K235" s="8"/>
    </row>
    <row r="236" spans="2:11" ht="15" hidden="1" customHeight="1" x14ac:dyDescent="0.25">
      <c r="B236" s="7"/>
      <c r="C236" s="148">
        <v>32</v>
      </c>
      <c r="D236" s="135"/>
      <c r="E236" s="135"/>
      <c r="F236" s="135"/>
      <c r="G236" s="135"/>
      <c r="H236" s="135"/>
      <c r="I236" s="135"/>
      <c r="J236" s="132"/>
      <c r="K236" s="8"/>
    </row>
    <row r="237" spans="2:11" ht="15" hidden="1" customHeight="1" x14ac:dyDescent="0.25">
      <c r="B237" s="7"/>
      <c r="C237" s="148">
        <v>33</v>
      </c>
      <c r="D237" s="135"/>
      <c r="E237" s="135"/>
      <c r="F237" s="135"/>
      <c r="G237" s="135"/>
      <c r="H237" s="135"/>
      <c r="I237" s="135"/>
      <c r="J237" s="132"/>
      <c r="K237" s="8"/>
    </row>
    <row r="238" spans="2:11" ht="15" hidden="1" customHeight="1" x14ac:dyDescent="0.25">
      <c r="B238" s="7"/>
      <c r="C238" s="148">
        <v>34</v>
      </c>
      <c r="D238" s="135"/>
      <c r="E238" s="135"/>
      <c r="F238" s="135"/>
      <c r="G238" s="135"/>
      <c r="H238" s="135"/>
      <c r="I238" s="135"/>
      <c r="J238" s="132"/>
      <c r="K238" s="8"/>
    </row>
    <row r="239" spans="2:11" ht="15" hidden="1" customHeight="1" x14ac:dyDescent="0.25">
      <c r="B239" s="7"/>
      <c r="C239" s="148">
        <v>35</v>
      </c>
      <c r="D239" s="135"/>
      <c r="E239" s="135"/>
      <c r="F239" s="135"/>
      <c r="G239" s="135"/>
      <c r="H239" s="135"/>
      <c r="I239" s="135"/>
      <c r="J239" s="132"/>
      <c r="K239" s="8"/>
    </row>
    <row r="240" spans="2:11" ht="15" hidden="1" customHeight="1" x14ac:dyDescent="0.25">
      <c r="B240" s="7"/>
      <c r="C240" s="148">
        <v>36</v>
      </c>
      <c r="D240" s="135"/>
      <c r="E240" s="135"/>
      <c r="F240" s="135"/>
      <c r="G240" s="135"/>
      <c r="H240" s="135"/>
      <c r="I240" s="135"/>
      <c r="J240" s="132"/>
      <c r="K240" s="8"/>
    </row>
    <row r="241" spans="2:11" ht="15" hidden="1" customHeight="1" x14ac:dyDescent="0.25">
      <c r="B241" s="7"/>
      <c r="C241" s="148">
        <v>37</v>
      </c>
      <c r="D241" s="135"/>
      <c r="E241" s="135"/>
      <c r="F241" s="135"/>
      <c r="G241" s="135"/>
      <c r="H241" s="135"/>
      <c r="I241" s="135"/>
      <c r="J241" s="132"/>
      <c r="K241" s="8"/>
    </row>
    <row r="242" spans="2:11" ht="15" hidden="1" customHeight="1" x14ac:dyDescent="0.25">
      <c r="B242" s="7"/>
      <c r="C242" s="148">
        <v>38</v>
      </c>
      <c r="D242" s="135"/>
      <c r="E242" s="135"/>
      <c r="F242" s="135"/>
      <c r="G242" s="135"/>
      <c r="H242" s="135"/>
      <c r="I242" s="135"/>
      <c r="J242" s="132"/>
      <c r="K242" s="8"/>
    </row>
    <row r="243" spans="2:11" ht="15" hidden="1" customHeight="1" x14ac:dyDescent="0.25">
      <c r="B243" s="7"/>
      <c r="C243" s="148">
        <v>39</v>
      </c>
      <c r="D243" s="135"/>
      <c r="E243" s="135"/>
      <c r="F243" s="135"/>
      <c r="G243" s="135"/>
      <c r="H243" s="135"/>
      <c r="I243" s="135"/>
      <c r="J243" s="132"/>
      <c r="K243" s="8"/>
    </row>
    <row r="244" spans="2:11" ht="15" hidden="1" customHeight="1" x14ac:dyDescent="0.25">
      <c r="B244" s="7"/>
      <c r="C244" s="148">
        <v>40</v>
      </c>
      <c r="D244" s="135"/>
      <c r="E244" s="135"/>
      <c r="F244" s="135"/>
      <c r="G244" s="135"/>
      <c r="H244" s="135"/>
      <c r="I244" s="135"/>
      <c r="J244" s="132"/>
      <c r="K244" s="8"/>
    </row>
    <row r="245" spans="2:11" ht="15" hidden="1" customHeight="1" x14ac:dyDescent="0.25">
      <c r="B245" s="7"/>
      <c r="C245" s="148">
        <v>41</v>
      </c>
      <c r="D245" s="135"/>
      <c r="E245" s="135"/>
      <c r="F245" s="135"/>
      <c r="G245" s="135"/>
      <c r="H245" s="135"/>
      <c r="I245" s="135"/>
      <c r="J245" s="132"/>
      <c r="K245" s="8"/>
    </row>
    <row r="246" spans="2:11" ht="15" hidden="1" customHeight="1" x14ac:dyDescent="0.25">
      <c r="B246" s="7"/>
      <c r="C246" s="148">
        <v>42</v>
      </c>
      <c r="D246" s="135"/>
      <c r="E246" s="135"/>
      <c r="F246" s="135"/>
      <c r="G246" s="135"/>
      <c r="H246" s="135"/>
      <c r="I246" s="135"/>
      <c r="J246" s="132"/>
      <c r="K246" s="8"/>
    </row>
    <row r="247" spans="2:11" ht="15" hidden="1" customHeight="1" x14ac:dyDescent="0.25">
      <c r="B247" s="7"/>
      <c r="C247" s="148">
        <v>43</v>
      </c>
      <c r="D247" s="135"/>
      <c r="E247" s="135"/>
      <c r="F247" s="135"/>
      <c r="G247" s="135"/>
      <c r="H247" s="135"/>
      <c r="I247" s="135"/>
      <c r="J247" s="132"/>
      <c r="K247" s="8"/>
    </row>
    <row r="248" spans="2:11" ht="15" hidden="1" customHeight="1" x14ac:dyDescent="0.25">
      <c r="B248" s="7"/>
      <c r="C248" s="148">
        <v>44</v>
      </c>
      <c r="D248" s="135"/>
      <c r="E248" s="135"/>
      <c r="F248" s="135"/>
      <c r="G248" s="135"/>
      <c r="H248" s="135"/>
      <c r="I248" s="135"/>
      <c r="J248" s="132"/>
      <c r="K248" s="8"/>
    </row>
    <row r="249" spans="2:11" ht="15" hidden="1" customHeight="1" x14ac:dyDescent="0.25">
      <c r="B249" s="7"/>
      <c r="C249" s="148">
        <v>45</v>
      </c>
      <c r="D249" s="135"/>
      <c r="E249" s="135"/>
      <c r="F249" s="135"/>
      <c r="G249" s="135"/>
      <c r="H249" s="135"/>
      <c r="I249" s="135"/>
      <c r="J249" s="132"/>
      <c r="K249" s="8"/>
    </row>
    <row r="250" spans="2:11" ht="15" hidden="1" customHeight="1" x14ac:dyDescent="0.25">
      <c r="B250" s="7"/>
      <c r="C250" s="148">
        <v>46</v>
      </c>
      <c r="D250" s="135"/>
      <c r="E250" s="135"/>
      <c r="F250" s="135"/>
      <c r="G250" s="135"/>
      <c r="H250" s="135"/>
      <c r="I250" s="135"/>
      <c r="J250" s="132"/>
      <c r="K250" s="8"/>
    </row>
    <row r="251" spans="2:11" ht="15" hidden="1" customHeight="1" x14ac:dyDescent="0.25">
      <c r="B251" s="7"/>
      <c r="C251" s="148">
        <v>47</v>
      </c>
      <c r="D251" s="135"/>
      <c r="E251" s="135"/>
      <c r="F251" s="135"/>
      <c r="G251" s="135"/>
      <c r="H251" s="135"/>
      <c r="I251" s="135"/>
      <c r="J251" s="132"/>
      <c r="K251" s="8"/>
    </row>
    <row r="252" spans="2:11" ht="15" hidden="1" customHeight="1" x14ac:dyDescent="0.25">
      <c r="B252" s="7"/>
      <c r="C252" s="148">
        <v>48</v>
      </c>
      <c r="D252" s="135"/>
      <c r="E252" s="135"/>
      <c r="F252" s="135"/>
      <c r="G252" s="135"/>
      <c r="H252" s="135"/>
      <c r="I252" s="135"/>
      <c r="J252" s="132"/>
      <c r="K252" s="8"/>
    </row>
    <row r="253" spans="2:11" ht="15" hidden="1" customHeight="1" x14ac:dyDescent="0.25">
      <c r="B253" s="7"/>
      <c r="C253" s="148">
        <v>49</v>
      </c>
      <c r="D253" s="135"/>
      <c r="E253" s="135"/>
      <c r="F253" s="135"/>
      <c r="G253" s="135"/>
      <c r="H253" s="135"/>
      <c r="I253" s="135"/>
      <c r="J253" s="132"/>
      <c r="K253" s="8"/>
    </row>
    <row r="254" spans="2:11" ht="15" hidden="1" customHeight="1" x14ac:dyDescent="0.25">
      <c r="B254" s="7"/>
      <c r="C254" s="148">
        <v>50</v>
      </c>
      <c r="D254" s="135"/>
      <c r="E254" s="135"/>
      <c r="F254" s="135"/>
      <c r="G254" s="135"/>
      <c r="H254" s="135"/>
      <c r="I254" s="135"/>
      <c r="J254" s="132"/>
      <c r="K254" s="8"/>
    </row>
    <row r="255" spans="2:11" ht="15" hidden="1" customHeight="1" x14ac:dyDescent="0.25">
      <c r="B255" s="7"/>
      <c r="C255" s="123"/>
      <c r="D255" s="123"/>
      <c r="E255" s="123"/>
      <c r="F255" s="123"/>
      <c r="G255" s="123"/>
      <c r="H255" s="123"/>
      <c r="I255" s="123"/>
      <c r="J255" s="123"/>
      <c r="K255" s="8"/>
    </row>
    <row r="256" spans="2:11" ht="20.100000000000001" hidden="1" customHeight="1" x14ac:dyDescent="0.25">
      <c r="B256" s="5"/>
      <c r="C256" s="97" t="s">
        <v>51</v>
      </c>
      <c r="D256" s="97"/>
      <c r="E256" s="97"/>
      <c r="F256" s="97"/>
      <c r="G256" s="97"/>
      <c r="H256" s="97"/>
      <c r="I256" s="97"/>
      <c r="J256" s="97"/>
      <c r="K256" s="6"/>
    </row>
    <row r="257" spans="2:11" ht="15" hidden="1" customHeight="1" x14ac:dyDescent="0.25">
      <c r="B257" s="7"/>
      <c r="C257" s="123"/>
      <c r="D257" s="123"/>
      <c r="E257" s="123"/>
      <c r="F257" s="123"/>
      <c r="G257" s="123"/>
      <c r="H257" s="123"/>
      <c r="I257" s="123"/>
      <c r="J257" s="123"/>
      <c r="K257" s="8"/>
    </row>
    <row r="258" spans="2:11" ht="15" hidden="1" customHeight="1" x14ac:dyDescent="0.25">
      <c r="B258" s="7"/>
      <c r="C258" s="123" t="s">
        <v>4372</v>
      </c>
      <c r="D258" s="123"/>
      <c r="E258" s="123"/>
      <c r="F258" s="123"/>
      <c r="G258" s="123"/>
      <c r="H258" s="123"/>
      <c r="I258" s="123"/>
      <c r="J258" s="123"/>
      <c r="K258" s="8"/>
    </row>
    <row r="259" spans="2:11" ht="15" hidden="1" customHeight="1" x14ac:dyDescent="0.25">
      <c r="B259" s="7"/>
      <c r="C259" s="145" t="str">
        <f>IF(I.Product.P2bGasToPowerBaselineYear="","",I.Product.P2bGasToPowerBaselineYear)</f>
        <v/>
      </c>
      <c r="D259" s="146"/>
      <c r="E259" s="147"/>
      <c r="F259" s="123"/>
      <c r="G259" s="123"/>
      <c r="H259" s="123"/>
      <c r="I259" s="123"/>
      <c r="J259" s="123"/>
      <c r="K259" s="8"/>
    </row>
    <row r="260" spans="2:11" ht="15" hidden="1" customHeight="1" x14ac:dyDescent="0.25">
      <c r="B260" s="7"/>
      <c r="C260" s="123"/>
      <c r="D260" s="123"/>
      <c r="E260" s="123"/>
      <c r="F260" s="123"/>
      <c r="G260" s="123"/>
      <c r="H260" s="123"/>
      <c r="I260" s="123"/>
      <c r="J260" s="123"/>
      <c r="K260" s="8"/>
    </row>
    <row r="261" spans="2:11" ht="15" hidden="1" customHeight="1" x14ac:dyDescent="0.25">
      <c r="B261" s="7"/>
      <c r="C261" s="123" t="s">
        <v>4374</v>
      </c>
      <c r="D261" s="123"/>
      <c r="E261" s="123"/>
      <c r="F261" s="123"/>
      <c r="G261" s="123"/>
      <c r="H261" s="123"/>
      <c r="I261" s="123"/>
      <c r="J261" s="123"/>
      <c r="K261" s="8"/>
    </row>
    <row r="262" spans="2:11" ht="15" hidden="1" customHeight="1" x14ac:dyDescent="0.25">
      <c r="B262" s="7"/>
      <c r="C262" s="99"/>
      <c r="D262" s="100"/>
      <c r="E262" s="109"/>
      <c r="F262" s="123"/>
      <c r="G262" s="123"/>
      <c r="H262" s="123"/>
      <c r="I262" s="123"/>
      <c r="J262" s="123"/>
      <c r="K262" s="8"/>
    </row>
    <row r="263" spans="2:11" ht="15" hidden="1" customHeight="1" x14ac:dyDescent="0.25">
      <c r="B263" s="7"/>
      <c r="C263" s="123"/>
      <c r="D263" s="123"/>
      <c r="E263" s="123"/>
      <c r="F263" s="123"/>
      <c r="G263" s="123"/>
      <c r="H263" s="123"/>
      <c r="I263" s="123"/>
      <c r="J263" s="123"/>
      <c r="K263" s="8"/>
    </row>
    <row r="264" spans="2:11" ht="15" hidden="1" customHeight="1" x14ac:dyDescent="0.25">
      <c r="B264" s="7"/>
      <c r="C264" s="150" t="s">
        <v>57</v>
      </c>
      <c r="D264" s="153" t="s">
        <v>215</v>
      </c>
      <c r="E264" s="153" t="s">
        <v>216</v>
      </c>
      <c r="F264" s="153" t="s">
        <v>220</v>
      </c>
      <c r="G264" s="153" t="s">
        <v>245</v>
      </c>
      <c r="H264" s="153" t="s">
        <v>217</v>
      </c>
      <c r="I264" s="153" t="s">
        <v>218</v>
      </c>
      <c r="J264" s="153" t="s">
        <v>219</v>
      </c>
      <c r="K264" s="8"/>
    </row>
    <row r="265" spans="2:11" ht="15" hidden="1" customHeight="1" x14ac:dyDescent="0.25">
      <c r="B265" s="7"/>
      <c r="C265" s="151"/>
      <c r="D265" s="154"/>
      <c r="E265" s="154"/>
      <c r="F265" s="154"/>
      <c r="G265" s="154"/>
      <c r="H265" s="154"/>
      <c r="I265" s="154"/>
      <c r="J265" s="154"/>
      <c r="K265" s="8"/>
    </row>
    <row r="266" spans="2:11" ht="15" hidden="1" customHeight="1" x14ac:dyDescent="0.25">
      <c r="B266" s="7"/>
      <c r="C266" s="151"/>
      <c r="D266" s="154"/>
      <c r="E266" s="154"/>
      <c r="F266" s="154"/>
      <c r="G266" s="154"/>
      <c r="H266" s="154"/>
      <c r="I266" s="154"/>
      <c r="J266" s="154"/>
      <c r="K266" s="8"/>
    </row>
    <row r="267" spans="2:11" ht="15" hidden="1" customHeight="1" x14ac:dyDescent="0.35">
      <c r="B267" s="7"/>
      <c r="C267" s="152"/>
      <c r="D267" s="149" t="s">
        <v>213</v>
      </c>
      <c r="E267" s="149" t="s">
        <v>213</v>
      </c>
      <c r="F267" s="149" t="s">
        <v>214</v>
      </c>
      <c r="G267" s="155" t="s">
        <v>4325</v>
      </c>
      <c r="H267" s="156" t="s">
        <v>4326</v>
      </c>
      <c r="I267" s="156" t="s">
        <v>4327</v>
      </c>
      <c r="J267" s="157" t="s">
        <v>4328</v>
      </c>
      <c r="K267" s="8"/>
    </row>
    <row r="268" spans="2:11" ht="15" hidden="1" customHeight="1" x14ac:dyDescent="0.25">
      <c r="B268" s="7"/>
      <c r="C268" s="148">
        <v>1</v>
      </c>
      <c r="D268" s="135"/>
      <c r="E268" s="135"/>
      <c r="F268" s="135"/>
      <c r="G268" s="135"/>
      <c r="H268" s="135"/>
      <c r="I268" s="135"/>
      <c r="J268" s="132"/>
      <c r="K268" s="8"/>
    </row>
    <row r="269" spans="2:11" ht="15" hidden="1" customHeight="1" x14ac:dyDescent="0.25">
      <c r="B269" s="7"/>
      <c r="C269" s="148">
        <v>2</v>
      </c>
      <c r="D269" s="135"/>
      <c r="E269" s="135"/>
      <c r="F269" s="135"/>
      <c r="G269" s="135"/>
      <c r="H269" s="135"/>
      <c r="I269" s="135"/>
      <c r="J269" s="132"/>
      <c r="K269" s="8"/>
    </row>
    <row r="270" spans="2:11" ht="15" hidden="1" customHeight="1" x14ac:dyDescent="0.25">
      <c r="B270" s="7"/>
      <c r="C270" s="148">
        <v>3</v>
      </c>
      <c r="D270" s="135"/>
      <c r="E270" s="135"/>
      <c r="F270" s="135"/>
      <c r="G270" s="135"/>
      <c r="H270" s="135"/>
      <c r="I270" s="135"/>
      <c r="J270" s="132"/>
      <c r="K270" s="8"/>
    </row>
    <row r="271" spans="2:11" ht="15" hidden="1" customHeight="1" x14ac:dyDescent="0.25">
      <c r="B271" s="7"/>
      <c r="C271" s="148">
        <v>4</v>
      </c>
      <c r="D271" s="135"/>
      <c r="E271" s="135"/>
      <c r="F271" s="135"/>
      <c r="G271" s="135"/>
      <c r="H271" s="135"/>
      <c r="I271" s="135"/>
      <c r="J271" s="132"/>
      <c r="K271" s="8"/>
    </row>
    <row r="272" spans="2:11" ht="15" hidden="1" customHeight="1" x14ac:dyDescent="0.25">
      <c r="B272" s="7"/>
      <c r="C272" s="148">
        <v>5</v>
      </c>
      <c r="D272" s="135"/>
      <c r="E272" s="135"/>
      <c r="F272" s="135"/>
      <c r="G272" s="135"/>
      <c r="H272" s="135"/>
      <c r="I272" s="135"/>
      <c r="J272" s="132"/>
      <c r="K272" s="8"/>
    </row>
    <row r="273" spans="2:11" ht="15" hidden="1" customHeight="1" x14ac:dyDescent="0.25">
      <c r="B273" s="7"/>
      <c r="C273" s="148">
        <v>6</v>
      </c>
      <c r="D273" s="135"/>
      <c r="E273" s="135"/>
      <c r="F273" s="135"/>
      <c r="G273" s="135"/>
      <c r="H273" s="135"/>
      <c r="I273" s="135"/>
      <c r="J273" s="132"/>
      <c r="K273" s="8"/>
    </row>
    <row r="274" spans="2:11" ht="15" hidden="1" customHeight="1" x14ac:dyDescent="0.25">
      <c r="B274" s="7"/>
      <c r="C274" s="148">
        <v>7</v>
      </c>
      <c r="D274" s="135"/>
      <c r="E274" s="135"/>
      <c r="F274" s="135"/>
      <c r="G274" s="135"/>
      <c r="H274" s="135"/>
      <c r="I274" s="135"/>
      <c r="J274" s="132"/>
      <c r="K274" s="8"/>
    </row>
    <row r="275" spans="2:11" ht="15" hidden="1" customHeight="1" x14ac:dyDescent="0.25">
      <c r="B275" s="7"/>
      <c r="C275" s="148">
        <v>8</v>
      </c>
      <c r="D275" s="135"/>
      <c r="E275" s="135"/>
      <c r="F275" s="135"/>
      <c r="G275" s="135"/>
      <c r="H275" s="135"/>
      <c r="I275" s="135"/>
      <c r="J275" s="132"/>
      <c r="K275" s="8"/>
    </row>
    <row r="276" spans="2:11" ht="15" hidden="1" customHeight="1" x14ac:dyDescent="0.25">
      <c r="B276" s="7"/>
      <c r="C276" s="148">
        <v>9</v>
      </c>
      <c r="D276" s="135"/>
      <c r="E276" s="135"/>
      <c r="F276" s="135"/>
      <c r="G276" s="135"/>
      <c r="H276" s="135"/>
      <c r="I276" s="135"/>
      <c r="J276" s="132"/>
      <c r="K276" s="8"/>
    </row>
    <row r="277" spans="2:11" ht="15" hidden="1" customHeight="1" x14ac:dyDescent="0.25">
      <c r="B277" s="7"/>
      <c r="C277" s="148">
        <v>10</v>
      </c>
      <c r="D277" s="135"/>
      <c r="E277" s="135"/>
      <c r="F277" s="135"/>
      <c r="G277" s="135"/>
      <c r="H277" s="135"/>
      <c r="I277" s="135"/>
      <c r="J277" s="132"/>
      <c r="K277" s="8"/>
    </row>
    <row r="278" spans="2:11" ht="15" hidden="1" customHeight="1" x14ac:dyDescent="0.25">
      <c r="B278" s="7"/>
      <c r="C278" s="148">
        <v>11</v>
      </c>
      <c r="D278" s="135"/>
      <c r="E278" s="135"/>
      <c r="F278" s="135"/>
      <c r="G278" s="135"/>
      <c r="H278" s="135"/>
      <c r="I278" s="135"/>
      <c r="J278" s="132"/>
      <c r="K278" s="8"/>
    </row>
    <row r="279" spans="2:11" ht="15" hidden="1" customHeight="1" x14ac:dyDescent="0.25">
      <c r="B279" s="7"/>
      <c r="C279" s="148">
        <v>12</v>
      </c>
      <c r="D279" s="135"/>
      <c r="E279" s="135"/>
      <c r="F279" s="135"/>
      <c r="G279" s="135"/>
      <c r="H279" s="135"/>
      <c r="I279" s="135"/>
      <c r="J279" s="132"/>
      <c r="K279" s="8"/>
    </row>
    <row r="280" spans="2:11" ht="15" hidden="1" customHeight="1" x14ac:dyDescent="0.25">
      <c r="B280" s="7"/>
      <c r="C280" s="148">
        <v>13</v>
      </c>
      <c r="D280" s="135"/>
      <c r="E280" s="135"/>
      <c r="F280" s="135"/>
      <c r="G280" s="135"/>
      <c r="H280" s="135"/>
      <c r="I280" s="135"/>
      <c r="J280" s="132"/>
      <c r="K280" s="8"/>
    </row>
    <row r="281" spans="2:11" ht="15" hidden="1" customHeight="1" x14ac:dyDescent="0.25">
      <c r="B281" s="7"/>
      <c r="C281" s="148">
        <v>14</v>
      </c>
      <c r="D281" s="135"/>
      <c r="E281" s="135"/>
      <c r="F281" s="135"/>
      <c r="G281" s="135"/>
      <c r="H281" s="135"/>
      <c r="I281" s="135"/>
      <c r="J281" s="132"/>
      <c r="K281" s="8"/>
    </row>
    <row r="282" spans="2:11" ht="15" hidden="1" customHeight="1" x14ac:dyDescent="0.25">
      <c r="B282" s="7"/>
      <c r="C282" s="148">
        <v>15</v>
      </c>
      <c r="D282" s="135"/>
      <c r="E282" s="135"/>
      <c r="F282" s="135"/>
      <c r="G282" s="135"/>
      <c r="H282" s="135"/>
      <c r="I282" s="135"/>
      <c r="J282" s="132"/>
      <c r="K282" s="8"/>
    </row>
    <row r="283" spans="2:11" ht="15" hidden="1" customHeight="1" x14ac:dyDescent="0.25">
      <c r="B283" s="7"/>
      <c r="C283" s="148">
        <v>16</v>
      </c>
      <c r="D283" s="135"/>
      <c r="E283" s="135"/>
      <c r="F283" s="135"/>
      <c r="G283" s="135"/>
      <c r="H283" s="135"/>
      <c r="I283" s="135"/>
      <c r="J283" s="132"/>
      <c r="K283" s="8"/>
    </row>
    <row r="284" spans="2:11" ht="15" hidden="1" customHeight="1" x14ac:dyDescent="0.25">
      <c r="B284" s="7"/>
      <c r="C284" s="148">
        <v>17</v>
      </c>
      <c r="D284" s="135"/>
      <c r="E284" s="135"/>
      <c r="F284" s="135"/>
      <c r="G284" s="135"/>
      <c r="H284" s="135"/>
      <c r="I284" s="135"/>
      <c r="J284" s="132"/>
      <c r="K284" s="8"/>
    </row>
    <row r="285" spans="2:11" ht="15" hidden="1" customHeight="1" x14ac:dyDescent="0.25">
      <c r="B285" s="7"/>
      <c r="C285" s="148">
        <v>18</v>
      </c>
      <c r="D285" s="135"/>
      <c r="E285" s="135"/>
      <c r="F285" s="135"/>
      <c r="G285" s="135"/>
      <c r="H285" s="135"/>
      <c r="I285" s="135"/>
      <c r="J285" s="132"/>
      <c r="K285" s="8"/>
    </row>
    <row r="286" spans="2:11" ht="15" hidden="1" customHeight="1" x14ac:dyDescent="0.25">
      <c r="B286" s="7"/>
      <c r="C286" s="148">
        <v>19</v>
      </c>
      <c r="D286" s="135"/>
      <c r="E286" s="135"/>
      <c r="F286" s="135"/>
      <c r="G286" s="135"/>
      <c r="H286" s="135"/>
      <c r="I286" s="135"/>
      <c r="J286" s="132"/>
      <c r="K286" s="8"/>
    </row>
    <row r="287" spans="2:11" ht="15" hidden="1" customHeight="1" x14ac:dyDescent="0.25">
      <c r="B287" s="7"/>
      <c r="C287" s="148">
        <v>20</v>
      </c>
      <c r="D287" s="135"/>
      <c r="E287" s="135"/>
      <c r="F287" s="135"/>
      <c r="G287" s="135"/>
      <c r="H287" s="135"/>
      <c r="I287" s="135"/>
      <c r="J287" s="132"/>
      <c r="K287" s="8"/>
    </row>
    <row r="288" spans="2:11" ht="15" hidden="1" customHeight="1" x14ac:dyDescent="0.25">
      <c r="B288" s="7"/>
      <c r="C288" s="148">
        <v>21</v>
      </c>
      <c r="D288" s="135"/>
      <c r="E288" s="135"/>
      <c r="F288" s="135"/>
      <c r="G288" s="135"/>
      <c r="H288" s="135"/>
      <c r="I288" s="135"/>
      <c r="J288" s="132"/>
      <c r="K288" s="8"/>
    </row>
    <row r="289" spans="2:11" ht="15" hidden="1" customHeight="1" x14ac:dyDescent="0.25">
      <c r="B289" s="7"/>
      <c r="C289" s="148">
        <v>22</v>
      </c>
      <c r="D289" s="135"/>
      <c r="E289" s="135"/>
      <c r="F289" s="135"/>
      <c r="G289" s="135"/>
      <c r="H289" s="135"/>
      <c r="I289" s="135"/>
      <c r="J289" s="132"/>
      <c r="K289" s="8"/>
    </row>
    <row r="290" spans="2:11" ht="15" hidden="1" customHeight="1" x14ac:dyDescent="0.25">
      <c r="B290" s="7"/>
      <c r="C290" s="148">
        <v>23</v>
      </c>
      <c r="D290" s="135"/>
      <c r="E290" s="135"/>
      <c r="F290" s="135"/>
      <c r="G290" s="135"/>
      <c r="H290" s="135"/>
      <c r="I290" s="135"/>
      <c r="J290" s="132"/>
      <c r="K290" s="8"/>
    </row>
    <row r="291" spans="2:11" ht="15" hidden="1" customHeight="1" x14ac:dyDescent="0.25">
      <c r="B291" s="7"/>
      <c r="C291" s="148">
        <v>24</v>
      </c>
      <c r="D291" s="135"/>
      <c r="E291" s="135"/>
      <c r="F291" s="135"/>
      <c r="G291" s="135"/>
      <c r="H291" s="135"/>
      <c r="I291" s="135"/>
      <c r="J291" s="132"/>
      <c r="K291" s="8"/>
    </row>
    <row r="292" spans="2:11" ht="15" hidden="1" customHeight="1" x14ac:dyDescent="0.25">
      <c r="B292" s="7"/>
      <c r="C292" s="148">
        <v>25</v>
      </c>
      <c r="D292" s="135"/>
      <c r="E292" s="135"/>
      <c r="F292" s="135"/>
      <c r="G292" s="135"/>
      <c r="H292" s="135"/>
      <c r="I292" s="135"/>
      <c r="J292" s="132"/>
      <c r="K292" s="8"/>
    </row>
    <row r="293" spans="2:11" ht="15" hidden="1" customHeight="1" x14ac:dyDescent="0.25">
      <c r="B293" s="7"/>
      <c r="C293" s="148">
        <v>26</v>
      </c>
      <c r="D293" s="135"/>
      <c r="E293" s="135"/>
      <c r="F293" s="135"/>
      <c r="G293" s="135"/>
      <c r="H293" s="135"/>
      <c r="I293" s="135"/>
      <c r="J293" s="132"/>
      <c r="K293" s="8"/>
    </row>
    <row r="294" spans="2:11" ht="15" hidden="1" customHeight="1" x14ac:dyDescent="0.25">
      <c r="B294" s="7"/>
      <c r="C294" s="148">
        <v>27</v>
      </c>
      <c r="D294" s="135"/>
      <c r="E294" s="135"/>
      <c r="F294" s="135"/>
      <c r="G294" s="135"/>
      <c r="H294" s="135"/>
      <c r="I294" s="135"/>
      <c r="J294" s="132"/>
      <c r="K294" s="8"/>
    </row>
    <row r="295" spans="2:11" ht="15" hidden="1" customHeight="1" x14ac:dyDescent="0.25">
      <c r="B295" s="7"/>
      <c r="C295" s="148">
        <v>28</v>
      </c>
      <c r="D295" s="135"/>
      <c r="E295" s="135"/>
      <c r="F295" s="135"/>
      <c r="G295" s="135"/>
      <c r="H295" s="135"/>
      <c r="I295" s="135"/>
      <c r="J295" s="132"/>
      <c r="K295" s="8"/>
    </row>
    <row r="296" spans="2:11" ht="15" hidden="1" customHeight="1" x14ac:dyDescent="0.25">
      <c r="B296" s="7"/>
      <c r="C296" s="148">
        <v>29</v>
      </c>
      <c r="D296" s="135"/>
      <c r="E296" s="135"/>
      <c r="F296" s="135"/>
      <c r="G296" s="135"/>
      <c r="H296" s="135"/>
      <c r="I296" s="135"/>
      <c r="J296" s="132"/>
      <c r="K296" s="8"/>
    </row>
    <row r="297" spans="2:11" ht="15" hidden="1" customHeight="1" x14ac:dyDescent="0.25">
      <c r="B297" s="7"/>
      <c r="C297" s="148">
        <v>30</v>
      </c>
      <c r="D297" s="135"/>
      <c r="E297" s="135"/>
      <c r="F297" s="135"/>
      <c r="G297" s="135"/>
      <c r="H297" s="135"/>
      <c r="I297" s="135"/>
      <c r="J297" s="132"/>
      <c r="K297" s="8"/>
    </row>
    <row r="298" spans="2:11" ht="15" hidden="1" customHeight="1" x14ac:dyDescent="0.25">
      <c r="B298" s="7"/>
      <c r="C298" s="148">
        <v>31</v>
      </c>
      <c r="D298" s="135"/>
      <c r="E298" s="135"/>
      <c r="F298" s="135"/>
      <c r="G298" s="135"/>
      <c r="H298" s="135"/>
      <c r="I298" s="135"/>
      <c r="J298" s="132"/>
      <c r="K298" s="8"/>
    </row>
    <row r="299" spans="2:11" ht="15" hidden="1" customHeight="1" x14ac:dyDescent="0.25">
      <c r="B299" s="7"/>
      <c r="C299" s="148">
        <v>32</v>
      </c>
      <c r="D299" s="135"/>
      <c r="E299" s="135"/>
      <c r="F299" s="135"/>
      <c r="G299" s="135"/>
      <c r="H299" s="135"/>
      <c r="I299" s="135"/>
      <c r="J299" s="132"/>
      <c r="K299" s="8"/>
    </row>
    <row r="300" spans="2:11" ht="15" hidden="1" customHeight="1" x14ac:dyDescent="0.25">
      <c r="B300" s="7"/>
      <c r="C300" s="148">
        <v>33</v>
      </c>
      <c r="D300" s="135"/>
      <c r="E300" s="135"/>
      <c r="F300" s="135"/>
      <c r="G300" s="135"/>
      <c r="H300" s="135"/>
      <c r="I300" s="135"/>
      <c r="J300" s="132"/>
      <c r="K300" s="8"/>
    </row>
    <row r="301" spans="2:11" ht="15" hidden="1" customHeight="1" x14ac:dyDescent="0.25">
      <c r="B301" s="7"/>
      <c r="C301" s="148">
        <v>34</v>
      </c>
      <c r="D301" s="135"/>
      <c r="E301" s="135"/>
      <c r="F301" s="135"/>
      <c r="G301" s="135"/>
      <c r="H301" s="135"/>
      <c r="I301" s="135"/>
      <c r="J301" s="132"/>
      <c r="K301" s="8"/>
    </row>
    <row r="302" spans="2:11" ht="15" hidden="1" customHeight="1" x14ac:dyDescent="0.25">
      <c r="B302" s="7"/>
      <c r="C302" s="148">
        <v>35</v>
      </c>
      <c r="D302" s="135"/>
      <c r="E302" s="135"/>
      <c r="F302" s="135"/>
      <c r="G302" s="135"/>
      <c r="H302" s="135"/>
      <c r="I302" s="135"/>
      <c r="J302" s="132"/>
      <c r="K302" s="8"/>
    </row>
    <row r="303" spans="2:11" ht="15" hidden="1" customHeight="1" x14ac:dyDescent="0.25">
      <c r="B303" s="7"/>
      <c r="C303" s="148">
        <v>36</v>
      </c>
      <c r="D303" s="135"/>
      <c r="E303" s="135"/>
      <c r="F303" s="135"/>
      <c r="G303" s="135"/>
      <c r="H303" s="135"/>
      <c r="I303" s="135"/>
      <c r="J303" s="132"/>
      <c r="K303" s="8"/>
    </row>
    <row r="304" spans="2:11" ht="15" hidden="1" customHeight="1" x14ac:dyDescent="0.25">
      <c r="B304" s="7"/>
      <c r="C304" s="148">
        <v>37</v>
      </c>
      <c r="D304" s="135"/>
      <c r="E304" s="135"/>
      <c r="F304" s="135"/>
      <c r="G304" s="135"/>
      <c r="H304" s="135"/>
      <c r="I304" s="135"/>
      <c r="J304" s="132"/>
      <c r="K304" s="8"/>
    </row>
    <row r="305" spans="2:11" ht="15" hidden="1" customHeight="1" x14ac:dyDescent="0.25">
      <c r="B305" s="7"/>
      <c r="C305" s="148">
        <v>38</v>
      </c>
      <c r="D305" s="135"/>
      <c r="E305" s="135"/>
      <c r="F305" s="135"/>
      <c r="G305" s="135"/>
      <c r="H305" s="135"/>
      <c r="I305" s="135"/>
      <c r="J305" s="132"/>
      <c r="K305" s="8"/>
    </row>
    <row r="306" spans="2:11" ht="15" hidden="1" customHeight="1" x14ac:dyDescent="0.25">
      <c r="B306" s="7"/>
      <c r="C306" s="148">
        <v>39</v>
      </c>
      <c r="D306" s="135"/>
      <c r="E306" s="135"/>
      <c r="F306" s="135"/>
      <c r="G306" s="135"/>
      <c r="H306" s="135"/>
      <c r="I306" s="135"/>
      <c r="J306" s="132"/>
      <c r="K306" s="8"/>
    </row>
    <row r="307" spans="2:11" ht="15" hidden="1" customHeight="1" x14ac:dyDescent="0.25">
      <c r="B307" s="7"/>
      <c r="C307" s="148">
        <v>40</v>
      </c>
      <c r="D307" s="135"/>
      <c r="E307" s="135"/>
      <c r="F307" s="135"/>
      <c r="G307" s="135"/>
      <c r="H307" s="135"/>
      <c r="I307" s="135"/>
      <c r="J307" s="132"/>
      <c r="K307" s="8"/>
    </row>
    <row r="308" spans="2:11" ht="15" hidden="1" customHeight="1" x14ac:dyDescent="0.25">
      <c r="B308" s="7"/>
      <c r="C308" s="148">
        <v>41</v>
      </c>
      <c r="D308" s="135"/>
      <c r="E308" s="135"/>
      <c r="F308" s="135"/>
      <c r="G308" s="135"/>
      <c r="H308" s="135"/>
      <c r="I308" s="135"/>
      <c r="J308" s="132"/>
      <c r="K308" s="8"/>
    </row>
    <row r="309" spans="2:11" ht="15" hidden="1" customHeight="1" x14ac:dyDescent="0.25">
      <c r="B309" s="7"/>
      <c r="C309" s="148">
        <v>42</v>
      </c>
      <c r="D309" s="135"/>
      <c r="E309" s="135"/>
      <c r="F309" s="135"/>
      <c r="G309" s="135"/>
      <c r="H309" s="135"/>
      <c r="I309" s="135"/>
      <c r="J309" s="132"/>
      <c r="K309" s="8"/>
    </row>
    <row r="310" spans="2:11" ht="15" hidden="1" customHeight="1" x14ac:dyDescent="0.25">
      <c r="B310" s="7"/>
      <c r="C310" s="148">
        <v>43</v>
      </c>
      <c r="D310" s="135"/>
      <c r="E310" s="135"/>
      <c r="F310" s="135"/>
      <c r="G310" s="135"/>
      <c r="H310" s="135"/>
      <c r="I310" s="135"/>
      <c r="J310" s="132"/>
      <c r="K310" s="8"/>
    </row>
    <row r="311" spans="2:11" ht="15" hidden="1" customHeight="1" x14ac:dyDescent="0.25">
      <c r="B311" s="7"/>
      <c r="C311" s="148">
        <v>44</v>
      </c>
      <c r="D311" s="135"/>
      <c r="E311" s="135"/>
      <c r="F311" s="135"/>
      <c r="G311" s="135"/>
      <c r="H311" s="135"/>
      <c r="I311" s="135"/>
      <c r="J311" s="132"/>
      <c r="K311" s="8"/>
    </row>
    <row r="312" spans="2:11" ht="15" hidden="1" customHeight="1" x14ac:dyDescent="0.25">
      <c r="B312" s="7"/>
      <c r="C312" s="148">
        <v>45</v>
      </c>
      <c r="D312" s="135"/>
      <c r="E312" s="135"/>
      <c r="F312" s="135"/>
      <c r="G312" s="135"/>
      <c r="H312" s="135"/>
      <c r="I312" s="135"/>
      <c r="J312" s="132"/>
      <c r="K312" s="8"/>
    </row>
    <row r="313" spans="2:11" ht="15" hidden="1" customHeight="1" x14ac:dyDescent="0.25">
      <c r="B313" s="7"/>
      <c r="C313" s="148">
        <v>46</v>
      </c>
      <c r="D313" s="135"/>
      <c r="E313" s="135"/>
      <c r="F313" s="135"/>
      <c r="G313" s="135"/>
      <c r="H313" s="135"/>
      <c r="I313" s="135"/>
      <c r="J313" s="132"/>
      <c r="K313" s="8"/>
    </row>
    <row r="314" spans="2:11" ht="15" hidden="1" customHeight="1" x14ac:dyDescent="0.25">
      <c r="B314" s="7"/>
      <c r="C314" s="148">
        <v>47</v>
      </c>
      <c r="D314" s="135"/>
      <c r="E314" s="135"/>
      <c r="F314" s="135"/>
      <c r="G314" s="135"/>
      <c r="H314" s="135"/>
      <c r="I314" s="135"/>
      <c r="J314" s="132"/>
      <c r="K314" s="8"/>
    </row>
    <row r="315" spans="2:11" ht="15" hidden="1" customHeight="1" x14ac:dyDescent="0.25">
      <c r="B315" s="7"/>
      <c r="C315" s="148">
        <v>48</v>
      </c>
      <c r="D315" s="135"/>
      <c r="E315" s="135"/>
      <c r="F315" s="135"/>
      <c r="G315" s="135"/>
      <c r="H315" s="135"/>
      <c r="I315" s="135"/>
      <c r="J315" s="132"/>
      <c r="K315" s="8"/>
    </row>
    <row r="316" spans="2:11" ht="15" hidden="1" customHeight="1" x14ac:dyDescent="0.25">
      <c r="B316" s="7"/>
      <c r="C316" s="148">
        <v>49</v>
      </c>
      <c r="D316" s="135"/>
      <c r="E316" s="135"/>
      <c r="F316" s="135"/>
      <c r="G316" s="135"/>
      <c r="H316" s="135"/>
      <c r="I316" s="135"/>
      <c r="J316" s="132"/>
      <c r="K316" s="8"/>
    </row>
    <row r="317" spans="2:11" ht="15" hidden="1" customHeight="1" x14ac:dyDescent="0.25">
      <c r="B317" s="7"/>
      <c r="C317" s="148">
        <v>50</v>
      </c>
      <c r="D317" s="135"/>
      <c r="E317" s="135"/>
      <c r="F317" s="135"/>
      <c r="G317" s="135"/>
      <c r="H317" s="135"/>
      <c r="I317" s="135"/>
      <c r="J317" s="132"/>
      <c r="K317" s="8"/>
    </row>
    <row r="318" spans="2:11" ht="15" hidden="1" customHeight="1" x14ac:dyDescent="0.25">
      <c r="B318" s="7"/>
      <c r="C318" s="123"/>
      <c r="D318" s="123"/>
      <c r="E318" s="123"/>
      <c r="F318" s="123"/>
      <c r="G318" s="123"/>
      <c r="H318" s="123"/>
      <c r="I318" s="123"/>
      <c r="J318" s="123"/>
      <c r="K318" s="8"/>
    </row>
    <row r="319" spans="2:11" ht="15" hidden="1" customHeight="1" x14ac:dyDescent="0.25">
      <c r="B319" s="7"/>
      <c r="C319" s="123" t="s">
        <v>4373</v>
      </c>
      <c r="D319" s="123"/>
      <c r="E319" s="123"/>
      <c r="F319" s="123"/>
      <c r="G319" s="123"/>
      <c r="H319" s="123"/>
      <c r="I319" s="123"/>
      <c r="J319" s="123"/>
      <c r="K319" s="8"/>
    </row>
    <row r="320" spans="2:11" ht="15" hidden="1" customHeight="1" x14ac:dyDescent="0.25">
      <c r="B320" s="7"/>
      <c r="C320" s="145" t="str">
        <f>IF(I.Product.P2bGasToPowerBaselineYear="","",I.Product.P2bGasToPowerBaselineYear+1)</f>
        <v/>
      </c>
      <c r="D320" s="146"/>
      <c r="E320" s="147"/>
      <c r="F320" s="123"/>
      <c r="G320" s="123"/>
      <c r="H320" s="123"/>
      <c r="I320" s="123"/>
      <c r="J320" s="123"/>
      <c r="K320" s="8"/>
    </row>
    <row r="321" spans="2:11" ht="15" hidden="1" customHeight="1" x14ac:dyDescent="0.25">
      <c r="B321" s="7"/>
      <c r="C321" s="123"/>
      <c r="D321" s="123"/>
      <c r="E321" s="123"/>
      <c r="F321" s="123"/>
      <c r="G321" s="123"/>
      <c r="H321" s="123"/>
      <c r="I321" s="123"/>
      <c r="J321" s="123"/>
      <c r="K321" s="8"/>
    </row>
    <row r="322" spans="2:11" ht="15" hidden="1" customHeight="1" x14ac:dyDescent="0.25">
      <c r="B322" s="7"/>
      <c r="C322" s="123" t="s">
        <v>4375</v>
      </c>
      <c r="D322" s="123"/>
      <c r="E322" s="123"/>
      <c r="F322" s="123"/>
      <c r="G322" s="123"/>
      <c r="H322" s="123"/>
      <c r="I322" s="123"/>
      <c r="J322" s="123"/>
      <c r="K322" s="8"/>
    </row>
    <row r="323" spans="2:11" ht="15" hidden="1" customHeight="1" x14ac:dyDescent="0.25">
      <c r="B323" s="7"/>
      <c r="C323" s="99"/>
      <c r="D323" s="100"/>
      <c r="E323" s="109"/>
      <c r="F323" s="123"/>
      <c r="G323" s="123"/>
      <c r="H323" s="123"/>
      <c r="I323" s="123"/>
      <c r="J323" s="123"/>
      <c r="K323" s="8"/>
    </row>
    <row r="324" spans="2:11" ht="15" hidden="1" customHeight="1" x14ac:dyDescent="0.25">
      <c r="B324" s="7"/>
      <c r="C324" s="123"/>
      <c r="D324" s="123"/>
      <c r="E324" s="123"/>
      <c r="F324" s="123"/>
      <c r="G324" s="123"/>
      <c r="H324" s="123"/>
      <c r="I324" s="123"/>
      <c r="J324" s="123"/>
      <c r="K324" s="8"/>
    </row>
    <row r="325" spans="2:11" ht="15" hidden="1" customHeight="1" x14ac:dyDescent="0.25">
      <c r="B325" s="7"/>
      <c r="C325" s="150" t="s">
        <v>57</v>
      </c>
      <c r="D325" s="153" t="s">
        <v>215</v>
      </c>
      <c r="E325" s="153" t="s">
        <v>216</v>
      </c>
      <c r="F325" s="153" t="s">
        <v>220</v>
      </c>
      <c r="G325" s="153" t="s">
        <v>245</v>
      </c>
      <c r="H325" s="153" t="s">
        <v>217</v>
      </c>
      <c r="I325" s="153" t="s">
        <v>218</v>
      </c>
      <c r="J325" s="153" t="s">
        <v>219</v>
      </c>
      <c r="K325" s="8"/>
    </row>
    <row r="326" spans="2:11" ht="15" hidden="1" customHeight="1" x14ac:dyDescent="0.25">
      <c r="B326" s="7"/>
      <c r="C326" s="151"/>
      <c r="D326" s="154"/>
      <c r="E326" s="154"/>
      <c r="F326" s="154"/>
      <c r="G326" s="154"/>
      <c r="H326" s="154"/>
      <c r="I326" s="154"/>
      <c r="J326" s="154"/>
      <c r="K326" s="8"/>
    </row>
    <row r="327" spans="2:11" ht="15" hidden="1" customHeight="1" x14ac:dyDescent="0.25">
      <c r="B327" s="7"/>
      <c r="C327" s="151"/>
      <c r="D327" s="154"/>
      <c r="E327" s="154"/>
      <c r="F327" s="154"/>
      <c r="G327" s="154"/>
      <c r="H327" s="154"/>
      <c r="I327" s="154"/>
      <c r="J327" s="154"/>
      <c r="K327" s="8"/>
    </row>
    <row r="328" spans="2:11" ht="15" hidden="1" customHeight="1" x14ac:dyDescent="0.35">
      <c r="B328" s="7"/>
      <c r="C328" s="152"/>
      <c r="D328" s="149" t="s">
        <v>213</v>
      </c>
      <c r="E328" s="149" t="s">
        <v>213</v>
      </c>
      <c r="F328" s="149" t="s">
        <v>214</v>
      </c>
      <c r="G328" s="155" t="s">
        <v>4325</v>
      </c>
      <c r="H328" s="156" t="s">
        <v>4326</v>
      </c>
      <c r="I328" s="156" t="s">
        <v>4327</v>
      </c>
      <c r="J328" s="157" t="s">
        <v>4328</v>
      </c>
      <c r="K328" s="8"/>
    </row>
    <row r="329" spans="2:11" ht="15" hidden="1" customHeight="1" x14ac:dyDescent="0.25">
      <c r="B329" s="7"/>
      <c r="C329" s="148">
        <v>1</v>
      </c>
      <c r="D329" s="135"/>
      <c r="E329" s="135"/>
      <c r="F329" s="135"/>
      <c r="G329" s="135"/>
      <c r="H329" s="135"/>
      <c r="I329" s="135"/>
      <c r="J329" s="132"/>
      <c r="K329" s="8"/>
    </row>
    <row r="330" spans="2:11" ht="15" hidden="1" customHeight="1" x14ac:dyDescent="0.25">
      <c r="B330" s="7"/>
      <c r="C330" s="148">
        <v>2</v>
      </c>
      <c r="D330" s="135"/>
      <c r="E330" s="135"/>
      <c r="F330" s="135"/>
      <c r="G330" s="135"/>
      <c r="H330" s="135"/>
      <c r="I330" s="135"/>
      <c r="J330" s="132"/>
      <c r="K330" s="8"/>
    </row>
    <row r="331" spans="2:11" ht="15" hidden="1" customHeight="1" x14ac:dyDescent="0.25">
      <c r="B331" s="7"/>
      <c r="C331" s="148">
        <v>3</v>
      </c>
      <c r="D331" s="135"/>
      <c r="E331" s="135"/>
      <c r="F331" s="135"/>
      <c r="G331" s="135"/>
      <c r="H331" s="135"/>
      <c r="I331" s="135"/>
      <c r="J331" s="132"/>
      <c r="K331" s="8"/>
    </row>
    <row r="332" spans="2:11" ht="15" hidden="1" customHeight="1" x14ac:dyDescent="0.25">
      <c r="B332" s="7"/>
      <c r="C332" s="148">
        <v>4</v>
      </c>
      <c r="D332" s="135"/>
      <c r="E332" s="135"/>
      <c r="F332" s="135"/>
      <c r="G332" s="135"/>
      <c r="H332" s="135"/>
      <c r="I332" s="135"/>
      <c r="J332" s="132"/>
      <c r="K332" s="8"/>
    </row>
    <row r="333" spans="2:11" ht="15" hidden="1" customHeight="1" x14ac:dyDescent="0.25">
      <c r="B333" s="7"/>
      <c r="C333" s="148">
        <v>5</v>
      </c>
      <c r="D333" s="135"/>
      <c r="E333" s="135"/>
      <c r="F333" s="135"/>
      <c r="G333" s="135"/>
      <c r="H333" s="135"/>
      <c r="I333" s="135"/>
      <c r="J333" s="132"/>
      <c r="K333" s="8"/>
    </row>
    <row r="334" spans="2:11" ht="15" hidden="1" customHeight="1" x14ac:dyDescent="0.25">
      <c r="B334" s="7"/>
      <c r="C334" s="148">
        <v>6</v>
      </c>
      <c r="D334" s="135"/>
      <c r="E334" s="135"/>
      <c r="F334" s="135"/>
      <c r="G334" s="135"/>
      <c r="H334" s="135"/>
      <c r="I334" s="135"/>
      <c r="J334" s="132"/>
      <c r="K334" s="8"/>
    </row>
    <row r="335" spans="2:11" ht="15" hidden="1" customHeight="1" x14ac:dyDescent="0.25">
      <c r="B335" s="7"/>
      <c r="C335" s="148">
        <v>7</v>
      </c>
      <c r="D335" s="135"/>
      <c r="E335" s="135"/>
      <c r="F335" s="135"/>
      <c r="G335" s="135"/>
      <c r="H335" s="135"/>
      <c r="I335" s="135"/>
      <c r="J335" s="132"/>
      <c r="K335" s="8"/>
    </row>
    <row r="336" spans="2:11" ht="15" hidden="1" customHeight="1" x14ac:dyDescent="0.25">
      <c r="B336" s="7"/>
      <c r="C336" s="148">
        <v>8</v>
      </c>
      <c r="D336" s="135"/>
      <c r="E336" s="135"/>
      <c r="F336" s="135"/>
      <c r="G336" s="135"/>
      <c r="H336" s="135"/>
      <c r="I336" s="135"/>
      <c r="J336" s="132"/>
      <c r="K336" s="8"/>
    </row>
    <row r="337" spans="2:11" ht="15" hidden="1" customHeight="1" x14ac:dyDescent="0.25">
      <c r="B337" s="7"/>
      <c r="C337" s="148">
        <v>9</v>
      </c>
      <c r="D337" s="135"/>
      <c r="E337" s="135"/>
      <c r="F337" s="135"/>
      <c r="G337" s="135"/>
      <c r="H337" s="135"/>
      <c r="I337" s="135"/>
      <c r="J337" s="132"/>
      <c r="K337" s="8"/>
    </row>
    <row r="338" spans="2:11" ht="15" hidden="1" customHeight="1" x14ac:dyDescent="0.25">
      <c r="B338" s="7"/>
      <c r="C338" s="148">
        <v>10</v>
      </c>
      <c r="D338" s="135"/>
      <c r="E338" s="135"/>
      <c r="F338" s="135"/>
      <c r="G338" s="135"/>
      <c r="H338" s="135"/>
      <c r="I338" s="135"/>
      <c r="J338" s="132"/>
      <c r="K338" s="8"/>
    </row>
    <row r="339" spans="2:11" ht="15" hidden="1" customHeight="1" x14ac:dyDescent="0.25">
      <c r="B339" s="7"/>
      <c r="C339" s="148">
        <v>11</v>
      </c>
      <c r="D339" s="135"/>
      <c r="E339" s="135"/>
      <c r="F339" s="135"/>
      <c r="G339" s="135"/>
      <c r="H339" s="135"/>
      <c r="I339" s="135"/>
      <c r="J339" s="132"/>
      <c r="K339" s="8"/>
    </row>
    <row r="340" spans="2:11" ht="15" hidden="1" customHeight="1" x14ac:dyDescent="0.25">
      <c r="B340" s="7"/>
      <c r="C340" s="148">
        <v>12</v>
      </c>
      <c r="D340" s="135"/>
      <c r="E340" s="135"/>
      <c r="F340" s="135"/>
      <c r="G340" s="135"/>
      <c r="H340" s="135"/>
      <c r="I340" s="135"/>
      <c r="J340" s="132"/>
      <c r="K340" s="8"/>
    </row>
    <row r="341" spans="2:11" ht="15" hidden="1" customHeight="1" x14ac:dyDescent="0.25">
      <c r="B341" s="7"/>
      <c r="C341" s="148">
        <v>13</v>
      </c>
      <c r="D341" s="135"/>
      <c r="E341" s="135"/>
      <c r="F341" s="135"/>
      <c r="G341" s="135"/>
      <c r="H341" s="135"/>
      <c r="I341" s="135"/>
      <c r="J341" s="132"/>
      <c r="K341" s="8"/>
    </row>
    <row r="342" spans="2:11" ht="15" hidden="1" customHeight="1" x14ac:dyDescent="0.25">
      <c r="B342" s="7"/>
      <c r="C342" s="148">
        <v>14</v>
      </c>
      <c r="D342" s="135"/>
      <c r="E342" s="135"/>
      <c r="F342" s="135"/>
      <c r="G342" s="135"/>
      <c r="H342" s="135"/>
      <c r="I342" s="135"/>
      <c r="J342" s="132"/>
      <c r="K342" s="8"/>
    </row>
    <row r="343" spans="2:11" ht="15" hidden="1" customHeight="1" x14ac:dyDescent="0.25">
      <c r="B343" s="7"/>
      <c r="C343" s="148">
        <v>15</v>
      </c>
      <c r="D343" s="135"/>
      <c r="E343" s="135"/>
      <c r="F343" s="135"/>
      <c r="G343" s="135"/>
      <c r="H343" s="135"/>
      <c r="I343" s="135"/>
      <c r="J343" s="132"/>
      <c r="K343" s="8"/>
    </row>
    <row r="344" spans="2:11" ht="15" hidden="1" customHeight="1" x14ac:dyDescent="0.25">
      <c r="B344" s="7"/>
      <c r="C344" s="148">
        <v>16</v>
      </c>
      <c r="D344" s="135"/>
      <c r="E344" s="135"/>
      <c r="F344" s="135"/>
      <c r="G344" s="135"/>
      <c r="H344" s="135"/>
      <c r="I344" s="135"/>
      <c r="J344" s="132"/>
      <c r="K344" s="8"/>
    </row>
    <row r="345" spans="2:11" ht="15" hidden="1" customHeight="1" x14ac:dyDescent="0.25">
      <c r="B345" s="7"/>
      <c r="C345" s="148">
        <v>17</v>
      </c>
      <c r="D345" s="135"/>
      <c r="E345" s="135"/>
      <c r="F345" s="135"/>
      <c r="G345" s="135"/>
      <c r="H345" s="135"/>
      <c r="I345" s="135"/>
      <c r="J345" s="132"/>
      <c r="K345" s="8"/>
    </row>
    <row r="346" spans="2:11" ht="15" hidden="1" customHeight="1" x14ac:dyDescent="0.25">
      <c r="B346" s="7"/>
      <c r="C346" s="148">
        <v>18</v>
      </c>
      <c r="D346" s="135"/>
      <c r="E346" s="135"/>
      <c r="F346" s="135"/>
      <c r="G346" s="135"/>
      <c r="H346" s="135"/>
      <c r="I346" s="135"/>
      <c r="J346" s="132"/>
      <c r="K346" s="8"/>
    </row>
    <row r="347" spans="2:11" ht="15" hidden="1" customHeight="1" x14ac:dyDescent="0.25">
      <c r="B347" s="7"/>
      <c r="C347" s="148">
        <v>19</v>
      </c>
      <c r="D347" s="135"/>
      <c r="E347" s="135"/>
      <c r="F347" s="135"/>
      <c r="G347" s="135"/>
      <c r="H347" s="135"/>
      <c r="I347" s="135"/>
      <c r="J347" s="132"/>
      <c r="K347" s="8"/>
    </row>
    <row r="348" spans="2:11" ht="15" hidden="1" customHeight="1" x14ac:dyDescent="0.25">
      <c r="B348" s="7"/>
      <c r="C348" s="148">
        <v>20</v>
      </c>
      <c r="D348" s="135"/>
      <c r="E348" s="135"/>
      <c r="F348" s="135"/>
      <c r="G348" s="135"/>
      <c r="H348" s="135"/>
      <c r="I348" s="135"/>
      <c r="J348" s="132"/>
      <c r="K348" s="8"/>
    </row>
    <row r="349" spans="2:11" ht="15" hidden="1" customHeight="1" x14ac:dyDescent="0.25">
      <c r="B349" s="7"/>
      <c r="C349" s="148">
        <v>21</v>
      </c>
      <c r="D349" s="135"/>
      <c r="E349" s="135"/>
      <c r="F349" s="135"/>
      <c r="G349" s="135"/>
      <c r="H349" s="135"/>
      <c r="I349" s="135"/>
      <c r="J349" s="132"/>
      <c r="K349" s="8"/>
    </row>
    <row r="350" spans="2:11" ht="15" hidden="1" customHeight="1" x14ac:dyDescent="0.25">
      <c r="B350" s="7"/>
      <c r="C350" s="148">
        <v>22</v>
      </c>
      <c r="D350" s="135"/>
      <c r="E350" s="135"/>
      <c r="F350" s="135"/>
      <c r="G350" s="135"/>
      <c r="H350" s="135"/>
      <c r="I350" s="135"/>
      <c r="J350" s="132"/>
      <c r="K350" s="8"/>
    </row>
    <row r="351" spans="2:11" ht="15" hidden="1" customHeight="1" x14ac:dyDescent="0.25">
      <c r="B351" s="7"/>
      <c r="C351" s="148">
        <v>23</v>
      </c>
      <c r="D351" s="135"/>
      <c r="E351" s="135"/>
      <c r="F351" s="135"/>
      <c r="G351" s="135"/>
      <c r="H351" s="135"/>
      <c r="I351" s="135"/>
      <c r="J351" s="132"/>
      <c r="K351" s="8"/>
    </row>
    <row r="352" spans="2:11" ht="15" hidden="1" customHeight="1" x14ac:dyDescent="0.25">
      <c r="B352" s="7"/>
      <c r="C352" s="148">
        <v>24</v>
      </c>
      <c r="D352" s="135"/>
      <c r="E352" s="135"/>
      <c r="F352" s="135"/>
      <c r="G352" s="135"/>
      <c r="H352" s="135"/>
      <c r="I352" s="135"/>
      <c r="J352" s="132"/>
      <c r="K352" s="8"/>
    </row>
    <row r="353" spans="2:11" ht="15" hidden="1" customHeight="1" x14ac:dyDescent="0.25">
      <c r="B353" s="7"/>
      <c r="C353" s="148">
        <v>25</v>
      </c>
      <c r="D353" s="135"/>
      <c r="E353" s="135"/>
      <c r="F353" s="135"/>
      <c r="G353" s="135"/>
      <c r="H353" s="135"/>
      <c r="I353" s="135"/>
      <c r="J353" s="132"/>
      <c r="K353" s="8"/>
    </row>
    <row r="354" spans="2:11" ht="15" hidden="1" customHeight="1" x14ac:dyDescent="0.25">
      <c r="B354" s="7"/>
      <c r="C354" s="148">
        <v>26</v>
      </c>
      <c r="D354" s="135"/>
      <c r="E354" s="135"/>
      <c r="F354" s="135"/>
      <c r="G354" s="135"/>
      <c r="H354" s="135"/>
      <c r="I354" s="135"/>
      <c r="J354" s="132"/>
      <c r="K354" s="8"/>
    </row>
    <row r="355" spans="2:11" ht="15" hidden="1" customHeight="1" x14ac:dyDescent="0.25">
      <c r="B355" s="7"/>
      <c r="C355" s="148">
        <v>27</v>
      </c>
      <c r="D355" s="135"/>
      <c r="E355" s="135"/>
      <c r="F355" s="135"/>
      <c r="G355" s="135"/>
      <c r="H355" s="135"/>
      <c r="I355" s="135"/>
      <c r="J355" s="132"/>
      <c r="K355" s="8"/>
    </row>
    <row r="356" spans="2:11" ht="15" hidden="1" customHeight="1" x14ac:dyDescent="0.25">
      <c r="B356" s="7"/>
      <c r="C356" s="148">
        <v>28</v>
      </c>
      <c r="D356" s="135"/>
      <c r="E356" s="135"/>
      <c r="F356" s="135"/>
      <c r="G356" s="135"/>
      <c r="H356" s="135"/>
      <c r="I356" s="135"/>
      <c r="J356" s="132"/>
      <c r="K356" s="8"/>
    </row>
    <row r="357" spans="2:11" ht="15" hidden="1" customHeight="1" x14ac:dyDescent="0.25">
      <c r="B357" s="7"/>
      <c r="C357" s="148">
        <v>29</v>
      </c>
      <c r="D357" s="135"/>
      <c r="E357" s="135"/>
      <c r="F357" s="135"/>
      <c r="G357" s="135"/>
      <c r="H357" s="135"/>
      <c r="I357" s="135"/>
      <c r="J357" s="132"/>
      <c r="K357" s="8"/>
    </row>
    <row r="358" spans="2:11" ht="15" hidden="1" customHeight="1" x14ac:dyDescent="0.25">
      <c r="B358" s="7"/>
      <c r="C358" s="148">
        <v>30</v>
      </c>
      <c r="D358" s="135"/>
      <c r="E358" s="135"/>
      <c r="F358" s="135"/>
      <c r="G358" s="135"/>
      <c r="H358" s="135"/>
      <c r="I358" s="135"/>
      <c r="J358" s="132"/>
      <c r="K358" s="8"/>
    </row>
    <row r="359" spans="2:11" ht="15" hidden="1" customHeight="1" x14ac:dyDescent="0.25">
      <c r="B359" s="7"/>
      <c r="C359" s="148">
        <v>31</v>
      </c>
      <c r="D359" s="135"/>
      <c r="E359" s="135"/>
      <c r="F359" s="135"/>
      <c r="G359" s="135"/>
      <c r="H359" s="135"/>
      <c r="I359" s="135"/>
      <c r="J359" s="132"/>
      <c r="K359" s="8"/>
    </row>
    <row r="360" spans="2:11" ht="15" hidden="1" customHeight="1" x14ac:dyDescent="0.25">
      <c r="B360" s="7"/>
      <c r="C360" s="148">
        <v>32</v>
      </c>
      <c r="D360" s="135"/>
      <c r="E360" s="135"/>
      <c r="F360" s="135"/>
      <c r="G360" s="135"/>
      <c r="H360" s="135"/>
      <c r="I360" s="135"/>
      <c r="J360" s="132"/>
      <c r="K360" s="8"/>
    </row>
    <row r="361" spans="2:11" ht="15" hidden="1" customHeight="1" x14ac:dyDescent="0.25">
      <c r="B361" s="7"/>
      <c r="C361" s="148">
        <v>33</v>
      </c>
      <c r="D361" s="135"/>
      <c r="E361" s="135"/>
      <c r="F361" s="135"/>
      <c r="G361" s="135"/>
      <c r="H361" s="135"/>
      <c r="I361" s="135"/>
      <c r="J361" s="132"/>
      <c r="K361" s="8"/>
    </row>
    <row r="362" spans="2:11" ht="15" hidden="1" customHeight="1" x14ac:dyDescent="0.25">
      <c r="B362" s="7"/>
      <c r="C362" s="148">
        <v>34</v>
      </c>
      <c r="D362" s="135"/>
      <c r="E362" s="135"/>
      <c r="F362" s="135"/>
      <c r="G362" s="135"/>
      <c r="H362" s="135"/>
      <c r="I362" s="135"/>
      <c r="J362" s="132"/>
      <c r="K362" s="8"/>
    </row>
    <row r="363" spans="2:11" ht="15" hidden="1" customHeight="1" x14ac:dyDescent="0.25">
      <c r="B363" s="7"/>
      <c r="C363" s="148">
        <v>35</v>
      </c>
      <c r="D363" s="135"/>
      <c r="E363" s="135"/>
      <c r="F363" s="135"/>
      <c r="G363" s="135"/>
      <c r="H363" s="135"/>
      <c r="I363" s="135"/>
      <c r="J363" s="132"/>
      <c r="K363" s="8"/>
    </row>
    <row r="364" spans="2:11" ht="15" hidden="1" customHeight="1" x14ac:dyDescent="0.25">
      <c r="B364" s="7"/>
      <c r="C364" s="148">
        <v>36</v>
      </c>
      <c r="D364" s="135"/>
      <c r="E364" s="135"/>
      <c r="F364" s="135"/>
      <c r="G364" s="135"/>
      <c r="H364" s="135"/>
      <c r="I364" s="135"/>
      <c r="J364" s="132"/>
      <c r="K364" s="8"/>
    </row>
    <row r="365" spans="2:11" ht="15" hidden="1" customHeight="1" x14ac:dyDescent="0.25">
      <c r="B365" s="7"/>
      <c r="C365" s="148">
        <v>37</v>
      </c>
      <c r="D365" s="135"/>
      <c r="E365" s="135"/>
      <c r="F365" s="135"/>
      <c r="G365" s="135"/>
      <c r="H365" s="135"/>
      <c r="I365" s="135"/>
      <c r="J365" s="132"/>
      <c r="K365" s="8"/>
    </row>
    <row r="366" spans="2:11" ht="15" hidden="1" customHeight="1" x14ac:dyDescent="0.25">
      <c r="B366" s="7"/>
      <c r="C366" s="148">
        <v>38</v>
      </c>
      <c r="D366" s="135"/>
      <c r="E366" s="135"/>
      <c r="F366" s="135"/>
      <c r="G366" s="135"/>
      <c r="H366" s="135"/>
      <c r="I366" s="135"/>
      <c r="J366" s="132"/>
      <c r="K366" s="8"/>
    </row>
    <row r="367" spans="2:11" ht="15" hidden="1" customHeight="1" x14ac:dyDescent="0.25">
      <c r="B367" s="7"/>
      <c r="C367" s="148">
        <v>39</v>
      </c>
      <c r="D367" s="135"/>
      <c r="E367" s="135"/>
      <c r="F367" s="135"/>
      <c r="G367" s="135"/>
      <c r="H367" s="135"/>
      <c r="I367" s="135"/>
      <c r="J367" s="132"/>
      <c r="K367" s="8"/>
    </row>
    <row r="368" spans="2:11" ht="15" hidden="1" customHeight="1" x14ac:dyDescent="0.25">
      <c r="B368" s="7"/>
      <c r="C368" s="148">
        <v>40</v>
      </c>
      <c r="D368" s="135"/>
      <c r="E368" s="135"/>
      <c r="F368" s="135"/>
      <c r="G368" s="135"/>
      <c r="H368" s="135"/>
      <c r="I368" s="135"/>
      <c r="J368" s="132"/>
      <c r="K368" s="8"/>
    </row>
    <row r="369" spans="2:11" ht="15" hidden="1" customHeight="1" x14ac:dyDescent="0.25">
      <c r="B369" s="7"/>
      <c r="C369" s="148">
        <v>41</v>
      </c>
      <c r="D369" s="135"/>
      <c r="E369" s="135"/>
      <c r="F369" s="135"/>
      <c r="G369" s="135"/>
      <c r="H369" s="135"/>
      <c r="I369" s="135"/>
      <c r="J369" s="132"/>
      <c r="K369" s="8"/>
    </row>
    <row r="370" spans="2:11" ht="15" hidden="1" customHeight="1" x14ac:dyDescent="0.25">
      <c r="B370" s="7"/>
      <c r="C370" s="148">
        <v>42</v>
      </c>
      <c r="D370" s="135"/>
      <c r="E370" s="135"/>
      <c r="F370" s="135"/>
      <c r="G370" s="135"/>
      <c r="H370" s="135"/>
      <c r="I370" s="135"/>
      <c r="J370" s="132"/>
      <c r="K370" s="8"/>
    </row>
    <row r="371" spans="2:11" ht="15" hidden="1" customHeight="1" x14ac:dyDescent="0.25">
      <c r="B371" s="7"/>
      <c r="C371" s="148">
        <v>43</v>
      </c>
      <c r="D371" s="135"/>
      <c r="E371" s="135"/>
      <c r="F371" s="135"/>
      <c r="G371" s="135"/>
      <c r="H371" s="135"/>
      <c r="I371" s="135"/>
      <c r="J371" s="132"/>
      <c r="K371" s="8"/>
    </row>
    <row r="372" spans="2:11" ht="15" hidden="1" customHeight="1" x14ac:dyDescent="0.25">
      <c r="B372" s="7"/>
      <c r="C372" s="148">
        <v>44</v>
      </c>
      <c r="D372" s="135"/>
      <c r="E372" s="135"/>
      <c r="F372" s="135"/>
      <c r="G372" s="135"/>
      <c r="H372" s="135"/>
      <c r="I372" s="135"/>
      <c r="J372" s="132"/>
      <c r="K372" s="8"/>
    </row>
    <row r="373" spans="2:11" ht="15" hidden="1" customHeight="1" x14ac:dyDescent="0.25">
      <c r="B373" s="7"/>
      <c r="C373" s="148">
        <v>45</v>
      </c>
      <c r="D373" s="135"/>
      <c r="E373" s="135"/>
      <c r="F373" s="135"/>
      <c r="G373" s="135"/>
      <c r="H373" s="135"/>
      <c r="I373" s="135"/>
      <c r="J373" s="132"/>
      <c r="K373" s="8"/>
    </row>
    <row r="374" spans="2:11" ht="15" hidden="1" customHeight="1" x14ac:dyDescent="0.25">
      <c r="B374" s="7"/>
      <c r="C374" s="148">
        <v>46</v>
      </c>
      <c r="D374" s="135"/>
      <c r="E374" s="135"/>
      <c r="F374" s="135"/>
      <c r="G374" s="135"/>
      <c r="H374" s="135"/>
      <c r="I374" s="135"/>
      <c r="J374" s="132"/>
      <c r="K374" s="8"/>
    </row>
    <row r="375" spans="2:11" ht="15" hidden="1" customHeight="1" x14ac:dyDescent="0.25">
      <c r="B375" s="7"/>
      <c r="C375" s="148">
        <v>47</v>
      </c>
      <c r="D375" s="135"/>
      <c r="E375" s="135"/>
      <c r="F375" s="135"/>
      <c r="G375" s="135"/>
      <c r="H375" s="135"/>
      <c r="I375" s="135"/>
      <c r="J375" s="132"/>
      <c r="K375" s="8"/>
    </row>
    <row r="376" spans="2:11" ht="15" hidden="1" customHeight="1" x14ac:dyDescent="0.25">
      <c r="B376" s="7"/>
      <c r="C376" s="148">
        <v>48</v>
      </c>
      <c r="D376" s="135"/>
      <c r="E376" s="135"/>
      <c r="F376" s="135"/>
      <c r="G376" s="135"/>
      <c r="H376" s="135"/>
      <c r="I376" s="135"/>
      <c r="J376" s="132"/>
      <c r="K376" s="8"/>
    </row>
    <row r="377" spans="2:11" ht="15" hidden="1" customHeight="1" x14ac:dyDescent="0.25">
      <c r="B377" s="7"/>
      <c r="C377" s="148">
        <v>49</v>
      </c>
      <c r="D377" s="135"/>
      <c r="E377" s="135"/>
      <c r="F377" s="135"/>
      <c r="G377" s="135"/>
      <c r="H377" s="135"/>
      <c r="I377" s="135"/>
      <c r="J377" s="132"/>
      <c r="K377" s="8"/>
    </row>
    <row r="378" spans="2:11" ht="15" hidden="1" customHeight="1" x14ac:dyDescent="0.25">
      <c r="B378" s="7"/>
      <c r="C378" s="148">
        <v>50</v>
      </c>
      <c r="D378" s="135"/>
      <c r="E378" s="135"/>
      <c r="F378" s="135"/>
      <c r="G378" s="135"/>
      <c r="H378" s="135"/>
      <c r="I378" s="135"/>
      <c r="J378" s="132"/>
      <c r="K378" s="8"/>
    </row>
    <row r="379" spans="2:11" ht="15" hidden="1" customHeight="1" x14ac:dyDescent="0.25">
      <c r="B379" s="7"/>
      <c r="C379" s="123"/>
      <c r="D379" s="123"/>
      <c r="E379" s="123"/>
      <c r="F379" s="123"/>
      <c r="G379" s="123"/>
      <c r="H379" s="123"/>
      <c r="I379" s="123"/>
      <c r="J379" s="123"/>
      <c r="K379" s="8"/>
    </row>
    <row r="380" spans="2:11" ht="20.100000000000001" hidden="1" customHeight="1" x14ac:dyDescent="0.25">
      <c r="B380" s="5"/>
      <c r="C380" s="97" t="s">
        <v>52</v>
      </c>
      <c r="D380" s="97"/>
      <c r="E380" s="97"/>
      <c r="F380" s="97"/>
      <c r="G380" s="97"/>
      <c r="H380" s="97"/>
      <c r="I380" s="97"/>
      <c r="J380" s="97"/>
      <c r="K380" s="6"/>
    </row>
    <row r="381" spans="2:11" ht="15" hidden="1" customHeight="1" x14ac:dyDescent="0.25">
      <c r="B381" s="7"/>
      <c r="C381" s="123"/>
      <c r="D381" s="123"/>
      <c r="E381" s="123"/>
      <c r="F381" s="123"/>
      <c r="G381" s="123"/>
      <c r="H381" s="123"/>
      <c r="I381" s="123"/>
      <c r="J381" s="123"/>
      <c r="K381" s="8"/>
    </row>
    <row r="382" spans="2:11" ht="15" hidden="1" customHeight="1" x14ac:dyDescent="0.25">
      <c r="B382" s="7"/>
      <c r="C382" s="123" t="s">
        <v>4372</v>
      </c>
      <c r="D382" s="123"/>
      <c r="E382" s="123"/>
      <c r="F382" s="123"/>
      <c r="G382" s="123"/>
      <c r="H382" s="123"/>
      <c r="I382" s="123"/>
      <c r="J382" s="123"/>
      <c r="K382" s="8"/>
    </row>
    <row r="383" spans="2:11" ht="15" hidden="1" customHeight="1" x14ac:dyDescent="0.25">
      <c r="B383" s="7"/>
      <c r="C383" s="145" t="str">
        <f>IF(I.Product.P3GasToPowerBaselineYear="","",I.Product.P3GasToPowerBaselineYear)</f>
        <v/>
      </c>
      <c r="D383" s="146"/>
      <c r="E383" s="147"/>
      <c r="F383" s="123"/>
      <c r="G383" s="123"/>
      <c r="H383" s="123"/>
      <c r="I383" s="123"/>
      <c r="J383" s="123"/>
      <c r="K383" s="8"/>
    </row>
    <row r="384" spans="2:11" ht="15" hidden="1" customHeight="1" x14ac:dyDescent="0.25">
      <c r="B384" s="7"/>
      <c r="C384" s="123"/>
      <c r="D384" s="123"/>
      <c r="E384" s="123"/>
      <c r="F384" s="123"/>
      <c r="G384" s="123"/>
      <c r="H384" s="123"/>
      <c r="I384" s="123"/>
      <c r="J384" s="123"/>
      <c r="K384" s="8"/>
    </row>
    <row r="385" spans="2:11" ht="15" hidden="1" customHeight="1" x14ac:dyDescent="0.25">
      <c r="B385" s="7"/>
      <c r="C385" s="123" t="s">
        <v>4374</v>
      </c>
      <c r="D385" s="123"/>
      <c r="E385" s="123"/>
      <c r="F385" s="123"/>
      <c r="G385" s="123"/>
      <c r="H385" s="123"/>
      <c r="I385" s="123"/>
      <c r="J385" s="123"/>
      <c r="K385" s="8"/>
    </row>
    <row r="386" spans="2:11" ht="15" hidden="1" customHeight="1" x14ac:dyDescent="0.25">
      <c r="B386" s="7"/>
      <c r="C386" s="99"/>
      <c r="D386" s="100"/>
      <c r="E386" s="109"/>
      <c r="F386" s="123"/>
      <c r="G386" s="123"/>
      <c r="H386" s="123"/>
      <c r="I386" s="123"/>
      <c r="J386" s="123"/>
      <c r="K386" s="8"/>
    </row>
    <row r="387" spans="2:11" ht="15" hidden="1" customHeight="1" x14ac:dyDescent="0.25">
      <c r="B387" s="7"/>
      <c r="C387" s="123"/>
      <c r="D387" s="123"/>
      <c r="E387" s="123"/>
      <c r="F387" s="123"/>
      <c r="G387" s="123"/>
      <c r="H387" s="123"/>
      <c r="I387" s="123"/>
      <c r="J387" s="123"/>
      <c r="K387" s="8"/>
    </row>
    <row r="388" spans="2:11" ht="15" hidden="1" customHeight="1" x14ac:dyDescent="0.25">
      <c r="B388" s="7"/>
      <c r="C388" s="150" t="s">
        <v>57</v>
      </c>
      <c r="D388" s="153" t="s">
        <v>215</v>
      </c>
      <c r="E388" s="153" t="s">
        <v>216</v>
      </c>
      <c r="F388" s="153" t="s">
        <v>220</v>
      </c>
      <c r="G388" s="153" t="s">
        <v>245</v>
      </c>
      <c r="H388" s="153" t="s">
        <v>217</v>
      </c>
      <c r="I388" s="153" t="s">
        <v>218</v>
      </c>
      <c r="J388" s="153" t="s">
        <v>219</v>
      </c>
      <c r="K388" s="8"/>
    </row>
    <row r="389" spans="2:11" ht="15" hidden="1" customHeight="1" x14ac:dyDescent="0.25">
      <c r="B389" s="7"/>
      <c r="C389" s="151"/>
      <c r="D389" s="154"/>
      <c r="E389" s="154"/>
      <c r="F389" s="154"/>
      <c r="G389" s="154"/>
      <c r="H389" s="154"/>
      <c r="I389" s="154"/>
      <c r="J389" s="154"/>
      <c r="K389" s="8"/>
    </row>
    <row r="390" spans="2:11" ht="15" hidden="1" customHeight="1" x14ac:dyDescent="0.25">
      <c r="B390" s="7"/>
      <c r="C390" s="151"/>
      <c r="D390" s="154"/>
      <c r="E390" s="154"/>
      <c r="F390" s="154"/>
      <c r="G390" s="154"/>
      <c r="H390" s="154"/>
      <c r="I390" s="154"/>
      <c r="J390" s="154"/>
      <c r="K390" s="8"/>
    </row>
    <row r="391" spans="2:11" ht="15" hidden="1" customHeight="1" x14ac:dyDescent="0.35">
      <c r="B391" s="7"/>
      <c r="C391" s="152"/>
      <c r="D391" s="149" t="s">
        <v>213</v>
      </c>
      <c r="E391" s="149" t="s">
        <v>213</v>
      </c>
      <c r="F391" s="149" t="s">
        <v>214</v>
      </c>
      <c r="G391" s="155" t="s">
        <v>4325</v>
      </c>
      <c r="H391" s="156" t="s">
        <v>4326</v>
      </c>
      <c r="I391" s="156" t="s">
        <v>4327</v>
      </c>
      <c r="J391" s="157" t="s">
        <v>4328</v>
      </c>
      <c r="K391" s="8"/>
    </row>
    <row r="392" spans="2:11" ht="15" hidden="1" customHeight="1" x14ac:dyDescent="0.25">
      <c r="B392" s="7"/>
      <c r="C392" s="148">
        <v>1</v>
      </c>
      <c r="D392" s="135"/>
      <c r="E392" s="135"/>
      <c r="F392" s="135"/>
      <c r="G392" s="135"/>
      <c r="H392" s="135"/>
      <c r="I392" s="135"/>
      <c r="J392" s="132"/>
      <c r="K392" s="8"/>
    </row>
    <row r="393" spans="2:11" ht="15" hidden="1" customHeight="1" x14ac:dyDescent="0.25">
      <c r="B393" s="7"/>
      <c r="C393" s="148">
        <v>2</v>
      </c>
      <c r="D393" s="135"/>
      <c r="E393" s="135"/>
      <c r="F393" s="135"/>
      <c r="G393" s="135"/>
      <c r="H393" s="135"/>
      <c r="I393" s="135"/>
      <c r="J393" s="132"/>
      <c r="K393" s="8"/>
    </row>
    <row r="394" spans="2:11" ht="15" hidden="1" customHeight="1" x14ac:dyDescent="0.25">
      <c r="B394" s="7"/>
      <c r="C394" s="148">
        <v>3</v>
      </c>
      <c r="D394" s="135"/>
      <c r="E394" s="135"/>
      <c r="F394" s="135"/>
      <c r="G394" s="135"/>
      <c r="H394" s="135"/>
      <c r="I394" s="135"/>
      <c r="J394" s="132"/>
      <c r="K394" s="8"/>
    </row>
    <row r="395" spans="2:11" ht="15" hidden="1" customHeight="1" x14ac:dyDescent="0.25">
      <c r="B395" s="7"/>
      <c r="C395" s="148">
        <v>4</v>
      </c>
      <c r="D395" s="135"/>
      <c r="E395" s="135"/>
      <c r="F395" s="135"/>
      <c r="G395" s="135"/>
      <c r="H395" s="135"/>
      <c r="I395" s="135"/>
      <c r="J395" s="132"/>
      <c r="K395" s="8"/>
    </row>
    <row r="396" spans="2:11" ht="15" hidden="1" customHeight="1" x14ac:dyDescent="0.25">
      <c r="B396" s="7"/>
      <c r="C396" s="148">
        <v>5</v>
      </c>
      <c r="D396" s="135"/>
      <c r="E396" s="135"/>
      <c r="F396" s="135"/>
      <c r="G396" s="135"/>
      <c r="H396" s="135"/>
      <c r="I396" s="135"/>
      <c r="J396" s="132"/>
      <c r="K396" s="8"/>
    </row>
    <row r="397" spans="2:11" ht="15" hidden="1" customHeight="1" x14ac:dyDescent="0.25">
      <c r="B397" s="7"/>
      <c r="C397" s="148">
        <v>6</v>
      </c>
      <c r="D397" s="135"/>
      <c r="E397" s="135"/>
      <c r="F397" s="135"/>
      <c r="G397" s="135"/>
      <c r="H397" s="135"/>
      <c r="I397" s="135"/>
      <c r="J397" s="132"/>
      <c r="K397" s="8"/>
    </row>
    <row r="398" spans="2:11" ht="15" hidden="1" customHeight="1" x14ac:dyDescent="0.25">
      <c r="B398" s="7"/>
      <c r="C398" s="148">
        <v>7</v>
      </c>
      <c r="D398" s="135"/>
      <c r="E398" s="135"/>
      <c r="F398" s="135"/>
      <c r="G398" s="135"/>
      <c r="H398" s="135"/>
      <c r="I398" s="135"/>
      <c r="J398" s="132"/>
      <c r="K398" s="8"/>
    </row>
    <row r="399" spans="2:11" ht="15" hidden="1" customHeight="1" x14ac:dyDescent="0.25">
      <c r="B399" s="7"/>
      <c r="C399" s="148">
        <v>8</v>
      </c>
      <c r="D399" s="135"/>
      <c r="E399" s="135"/>
      <c r="F399" s="135"/>
      <c r="G399" s="135"/>
      <c r="H399" s="135"/>
      <c r="I399" s="135"/>
      <c r="J399" s="132"/>
      <c r="K399" s="8"/>
    </row>
    <row r="400" spans="2:11" ht="15" hidden="1" customHeight="1" x14ac:dyDescent="0.25">
      <c r="B400" s="7"/>
      <c r="C400" s="148">
        <v>9</v>
      </c>
      <c r="D400" s="135"/>
      <c r="E400" s="135"/>
      <c r="F400" s="135"/>
      <c r="G400" s="135"/>
      <c r="H400" s="135"/>
      <c r="I400" s="135"/>
      <c r="J400" s="132"/>
      <c r="K400" s="8"/>
    </row>
    <row r="401" spans="2:11" ht="15" hidden="1" customHeight="1" x14ac:dyDescent="0.25">
      <c r="B401" s="7"/>
      <c r="C401" s="148">
        <v>10</v>
      </c>
      <c r="D401" s="135"/>
      <c r="E401" s="135"/>
      <c r="F401" s="135"/>
      <c r="G401" s="135"/>
      <c r="H401" s="135"/>
      <c r="I401" s="135"/>
      <c r="J401" s="132"/>
      <c r="K401" s="8"/>
    </row>
    <row r="402" spans="2:11" ht="15" hidden="1" customHeight="1" x14ac:dyDescent="0.25">
      <c r="B402" s="7"/>
      <c r="C402" s="148">
        <v>11</v>
      </c>
      <c r="D402" s="135"/>
      <c r="E402" s="135"/>
      <c r="F402" s="135"/>
      <c r="G402" s="135"/>
      <c r="H402" s="135"/>
      <c r="I402" s="135"/>
      <c r="J402" s="132"/>
      <c r="K402" s="8"/>
    </row>
    <row r="403" spans="2:11" ht="15" hidden="1" customHeight="1" x14ac:dyDescent="0.25">
      <c r="B403" s="7"/>
      <c r="C403" s="148">
        <v>12</v>
      </c>
      <c r="D403" s="135"/>
      <c r="E403" s="135"/>
      <c r="F403" s="135"/>
      <c r="G403" s="135"/>
      <c r="H403" s="135"/>
      <c r="I403" s="135"/>
      <c r="J403" s="132"/>
      <c r="K403" s="8"/>
    </row>
    <row r="404" spans="2:11" ht="15" hidden="1" customHeight="1" x14ac:dyDescent="0.25">
      <c r="B404" s="7"/>
      <c r="C404" s="148">
        <v>13</v>
      </c>
      <c r="D404" s="135"/>
      <c r="E404" s="135"/>
      <c r="F404" s="135"/>
      <c r="G404" s="135"/>
      <c r="H404" s="135"/>
      <c r="I404" s="135"/>
      <c r="J404" s="132"/>
      <c r="K404" s="8"/>
    </row>
    <row r="405" spans="2:11" ht="15" hidden="1" customHeight="1" x14ac:dyDescent="0.25">
      <c r="B405" s="7"/>
      <c r="C405" s="148">
        <v>14</v>
      </c>
      <c r="D405" s="135"/>
      <c r="E405" s="135"/>
      <c r="F405" s="135"/>
      <c r="G405" s="135"/>
      <c r="H405" s="135"/>
      <c r="I405" s="135"/>
      <c r="J405" s="132"/>
      <c r="K405" s="8"/>
    </row>
    <row r="406" spans="2:11" ht="15" hidden="1" customHeight="1" x14ac:dyDescent="0.25">
      <c r="B406" s="7"/>
      <c r="C406" s="148">
        <v>15</v>
      </c>
      <c r="D406" s="135"/>
      <c r="E406" s="135"/>
      <c r="F406" s="135"/>
      <c r="G406" s="135"/>
      <c r="H406" s="135"/>
      <c r="I406" s="135"/>
      <c r="J406" s="132"/>
      <c r="K406" s="8"/>
    </row>
    <row r="407" spans="2:11" ht="15" hidden="1" customHeight="1" x14ac:dyDescent="0.25">
      <c r="B407" s="7"/>
      <c r="C407" s="148">
        <v>16</v>
      </c>
      <c r="D407" s="135"/>
      <c r="E407" s="135"/>
      <c r="F407" s="135"/>
      <c r="G407" s="135"/>
      <c r="H407" s="135"/>
      <c r="I407" s="135"/>
      <c r="J407" s="132"/>
      <c r="K407" s="8"/>
    </row>
    <row r="408" spans="2:11" ht="15" hidden="1" customHeight="1" x14ac:dyDescent="0.25">
      <c r="B408" s="7"/>
      <c r="C408" s="148">
        <v>17</v>
      </c>
      <c r="D408" s="135"/>
      <c r="E408" s="135"/>
      <c r="F408" s="135"/>
      <c r="G408" s="135"/>
      <c r="H408" s="135"/>
      <c r="I408" s="135"/>
      <c r="J408" s="132"/>
      <c r="K408" s="8"/>
    </row>
    <row r="409" spans="2:11" ht="15" hidden="1" customHeight="1" x14ac:dyDescent="0.25">
      <c r="B409" s="7"/>
      <c r="C409" s="148">
        <v>18</v>
      </c>
      <c r="D409" s="135"/>
      <c r="E409" s="135"/>
      <c r="F409" s="135"/>
      <c r="G409" s="135"/>
      <c r="H409" s="135"/>
      <c r="I409" s="135"/>
      <c r="J409" s="132"/>
      <c r="K409" s="8"/>
    </row>
    <row r="410" spans="2:11" ht="15" hidden="1" customHeight="1" x14ac:dyDescent="0.25">
      <c r="B410" s="7"/>
      <c r="C410" s="148">
        <v>19</v>
      </c>
      <c r="D410" s="135"/>
      <c r="E410" s="135"/>
      <c r="F410" s="135"/>
      <c r="G410" s="135"/>
      <c r="H410" s="135"/>
      <c r="I410" s="135"/>
      <c r="J410" s="132"/>
      <c r="K410" s="8"/>
    </row>
    <row r="411" spans="2:11" ht="15" hidden="1" customHeight="1" x14ac:dyDescent="0.25">
      <c r="B411" s="7"/>
      <c r="C411" s="148">
        <v>20</v>
      </c>
      <c r="D411" s="135"/>
      <c r="E411" s="135"/>
      <c r="F411" s="135"/>
      <c r="G411" s="135"/>
      <c r="H411" s="135"/>
      <c r="I411" s="135"/>
      <c r="J411" s="132"/>
      <c r="K411" s="8"/>
    </row>
    <row r="412" spans="2:11" ht="15" hidden="1" customHeight="1" x14ac:dyDescent="0.25">
      <c r="B412" s="7"/>
      <c r="C412" s="148">
        <v>21</v>
      </c>
      <c r="D412" s="135"/>
      <c r="E412" s="135"/>
      <c r="F412" s="135"/>
      <c r="G412" s="135"/>
      <c r="H412" s="135"/>
      <c r="I412" s="135"/>
      <c r="J412" s="132"/>
      <c r="K412" s="8"/>
    </row>
    <row r="413" spans="2:11" ht="15" hidden="1" customHeight="1" x14ac:dyDescent="0.25">
      <c r="B413" s="7"/>
      <c r="C413" s="148">
        <v>22</v>
      </c>
      <c r="D413" s="135"/>
      <c r="E413" s="135"/>
      <c r="F413" s="135"/>
      <c r="G413" s="135"/>
      <c r="H413" s="135"/>
      <c r="I413" s="135"/>
      <c r="J413" s="132"/>
      <c r="K413" s="8"/>
    </row>
    <row r="414" spans="2:11" ht="15" hidden="1" customHeight="1" x14ac:dyDescent="0.25">
      <c r="B414" s="7"/>
      <c r="C414" s="148">
        <v>23</v>
      </c>
      <c r="D414" s="135"/>
      <c r="E414" s="135"/>
      <c r="F414" s="135"/>
      <c r="G414" s="135"/>
      <c r="H414" s="135"/>
      <c r="I414" s="135"/>
      <c r="J414" s="132"/>
      <c r="K414" s="8"/>
    </row>
    <row r="415" spans="2:11" ht="15" hidden="1" customHeight="1" x14ac:dyDescent="0.25">
      <c r="B415" s="7"/>
      <c r="C415" s="148">
        <v>24</v>
      </c>
      <c r="D415" s="135"/>
      <c r="E415" s="135"/>
      <c r="F415" s="135"/>
      <c r="G415" s="135"/>
      <c r="H415" s="135"/>
      <c r="I415" s="135"/>
      <c r="J415" s="132"/>
      <c r="K415" s="8"/>
    </row>
    <row r="416" spans="2:11" ht="15" hidden="1" customHeight="1" x14ac:dyDescent="0.25">
      <c r="B416" s="7"/>
      <c r="C416" s="148">
        <v>25</v>
      </c>
      <c r="D416" s="135"/>
      <c r="E416" s="135"/>
      <c r="F416" s="135"/>
      <c r="G416" s="135"/>
      <c r="H416" s="135"/>
      <c r="I416" s="135"/>
      <c r="J416" s="132"/>
      <c r="K416" s="8"/>
    </row>
    <row r="417" spans="2:11" ht="15" hidden="1" customHeight="1" x14ac:dyDescent="0.25">
      <c r="B417" s="7"/>
      <c r="C417" s="148">
        <v>26</v>
      </c>
      <c r="D417" s="135"/>
      <c r="E417" s="135"/>
      <c r="F417" s="135"/>
      <c r="G417" s="135"/>
      <c r="H417" s="135"/>
      <c r="I417" s="135"/>
      <c r="J417" s="132"/>
      <c r="K417" s="8"/>
    </row>
    <row r="418" spans="2:11" ht="15" hidden="1" customHeight="1" x14ac:dyDescent="0.25">
      <c r="B418" s="7"/>
      <c r="C418" s="148">
        <v>27</v>
      </c>
      <c r="D418" s="135"/>
      <c r="E418" s="135"/>
      <c r="F418" s="135"/>
      <c r="G418" s="135"/>
      <c r="H418" s="135"/>
      <c r="I418" s="135"/>
      <c r="J418" s="132"/>
      <c r="K418" s="8"/>
    </row>
    <row r="419" spans="2:11" ht="15" hidden="1" customHeight="1" x14ac:dyDescent="0.25">
      <c r="B419" s="7"/>
      <c r="C419" s="148">
        <v>28</v>
      </c>
      <c r="D419" s="135"/>
      <c r="E419" s="135"/>
      <c r="F419" s="135"/>
      <c r="G419" s="135"/>
      <c r="H419" s="135"/>
      <c r="I419" s="135"/>
      <c r="J419" s="132"/>
      <c r="K419" s="8"/>
    </row>
    <row r="420" spans="2:11" ht="15" hidden="1" customHeight="1" x14ac:dyDescent="0.25">
      <c r="B420" s="7"/>
      <c r="C420" s="148">
        <v>29</v>
      </c>
      <c r="D420" s="135"/>
      <c r="E420" s="135"/>
      <c r="F420" s="135"/>
      <c r="G420" s="135"/>
      <c r="H420" s="135"/>
      <c r="I420" s="135"/>
      <c r="J420" s="132"/>
      <c r="K420" s="8"/>
    </row>
    <row r="421" spans="2:11" ht="15" hidden="1" customHeight="1" x14ac:dyDescent="0.25">
      <c r="B421" s="7"/>
      <c r="C421" s="148">
        <v>30</v>
      </c>
      <c r="D421" s="135"/>
      <c r="E421" s="135"/>
      <c r="F421" s="135"/>
      <c r="G421" s="135"/>
      <c r="H421" s="135"/>
      <c r="I421" s="135"/>
      <c r="J421" s="132"/>
      <c r="K421" s="8"/>
    </row>
    <row r="422" spans="2:11" ht="15" hidden="1" customHeight="1" x14ac:dyDescent="0.25">
      <c r="B422" s="7"/>
      <c r="C422" s="148">
        <v>31</v>
      </c>
      <c r="D422" s="135"/>
      <c r="E422" s="135"/>
      <c r="F422" s="135"/>
      <c r="G422" s="135"/>
      <c r="H422" s="135"/>
      <c r="I422" s="135"/>
      <c r="J422" s="132"/>
      <c r="K422" s="8"/>
    </row>
    <row r="423" spans="2:11" ht="15" hidden="1" customHeight="1" x14ac:dyDescent="0.25">
      <c r="B423" s="7"/>
      <c r="C423" s="148">
        <v>32</v>
      </c>
      <c r="D423" s="135"/>
      <c r="E423" s="135"/>
      <c r="F423" s="135"/>
      <c r="G423" s="135"/>
      <c r="H423" s="135"/>
      <c r="I423" s="135"/>
      <c r="J423" s="132"/>
      <c r="K423" s="8"/>
    </row>
    <row r="424" spans="2:11" ht="15" hidden="1" customHeight="1" x14ac:dyDescent="0.25">
      <c r="B424" s="7"/>
      <c r="C424" s="148">
        <v>33</v>
      </c>
      <c r="D424" s="135"/>
      <c r="E424" s="135"/>
      <c r="F424" s="135"/>
      <c r="G424" s="135"/>
      <c r="H424" s="135"/>
      <c r="I424" s="135"/>
      <c r="J424" s="132"/>
      <c r="K424" s="8"/>
    </row>
    <row r="425" spans="2:11" ht="15" hidden="1" customHeight="1" x14ac:dyDescent="0.25">
      <c r="B425" s="7"/>
      <c r="C425" s="148">
        <v>34</v>
      </c>
      <c r="D425" s="135"/>
      <c r="E425" s="135"/>
      <c r="F425" s="135"/>
      <c r="G425" s="135"/>
      <c r="H425" s="135"/>
      <c r="I425" s="135"/>
      <c r="J425" s="132"/>
      <c r="K425" s="8"/>
    </row>
    <row r="426" spans="2:11" ht="15" hidden="1" customHeight="1" x14ac:dyDescent="0.25">
      <c r="B426" s="7"/>
      <c r="C426" s="148">
        <v>35</v>
      </c>
      <c r="D426" s="135"/>
      <c r="E426" s="135"/>
      <c r="F426" s="135"/>
      <c r="G426" s="135"/>
      <c r="H426" s="135"/>
      <c r="I426" s="135"/>
      <c r="J426" s="132"/>
      <c r="K426" s="8"/>
    </row>
    <row r="427" spans="2:11" ht="15" hidden="1" customHeight="1" x14ac:dyDescent="0.25">
      <c r="B427" s="7"/>
      <c r="C427" s="148">
        <v>36</v>
      </c>
      <c r="D427" s="135"/>
      <c r="E427" s="135"/>
      <c r="F427" s="135"/>
      <c r="G427" s="135"/>
      <c r="H427" s="135"/>
      <c r="I427" s="135"/>
      <c r="J427" s="132"/>
      <c r="K427" s="8"/>
    </row>
    <row r="428" spans="2:11" ht="15" hidden="1" customHeight="1" x14ac:dyDescent="0.25">
      <c r="B428" s="7"/>
      <c r="C428" s="148">
        <v>37</v>
      </c>
      <c r="D428" s="135"/>
      <c r="E428" s="135"/>
      <c r="F428" s="135"/>
      <c r="G428" s="135"/>
      <c r="H428" s="135"/>
      <c r="I428" s="135"/>
      <c r="J428" s="132"/>
      <c r="K428" s="8"/>
    </row>
    <row r="429" spans="2:11" ht="15" hidden="1" customHeight="1" x14ac:dyDescent="0.25">
      <c r="B429" s="7"/>
      <c r="C429" s="148">
        <v>38</v>
      </c>
      <c r="D429" s="135"/>
      <c r="E429" s="135"/>
      <c r="F429" s="135"/>
      <c r="G429" s="135"/>
      <c r="H429" s="135"/>
      <c r="I429" s="135"/>
      <c r="J429" s="132"/>
      <c r="K429" s="8"/>
    </row>
    <row r="430" spans="2:11" ht="15" hidden="1" customHeight="1" x14ac:dyDescent="0.25">
      <c r="B430" s="7"/>
      <c r="C430" s="148">
        <v>39</v>
      </c>
      <c r="D430" s="135"/>
      <c r="E430" s="135"/>
      <c r="F430" s="135"/>
      <c r="G430" s="135"/>
      <c r="H430" s="135"/>
      <c r="I430" s="135"/>
      <c r="J430" s="132"/>
      <c r="K430" s="8"/>
    </row>
    <row r="431" spans="2:11" ht="15" hidden="1" customHeight="1" x14ac:dyDescent="0.25">
      <c r="B431" s="7"/>
      <c r="C431" s="148">
        <v>40</v>
      </c>
      <c r="D431" s="135"/>
      <c r="E431" s="135"/>
      <c r="F431" s="135"/>
      <c r="G431" s="135"/>
      <c r="H431" s="135"/>
      <c r="I431" s="135"/>
      <c r="J431" s="132"/>
      <c r="K431" s="8"/>
    </row>
    <row r="432" spans="2:11" ht="15" hidden="1" customHeight="1" x14ac:dyDescent="0.25">
      <c r="B432" s="7"/>
      <c r="C432" s="148">
        <v>41</v>
      </c>
      <c r="D432" s="135"/>
      <c r="E432" s="135"/>
      <c r="F432" s="135"/>
      <c r="G432" s="135"/>
      <c r="H432" s="135"/>
      <c r="I432" s="135"/>
      <c r="J432" s="132"/>
      <c r="K432" s="8"/>
    </row>
    <row r="433" spans="2:11" ht="15" hidden="1" customHeight="1" x14ac:dyDescent="0.25">
      <c r="B433" s="7"/>
      <c r="C433" s="148">
        <v>42</v>
      </c>
      <c r="D433" s="135"/>
      <c r="E433" s="135"/>
      <c r="F433" s="135"/>
      <c r="G433" s="135"/>
      <c r="H433" s="135"/>
      <c r="I433" s="135"/>
      <c r="J433" s="132"/>
      <c r="K433" s="8"/>
    </row>
    <row r="434" spans="2:11" ht="15" hidden="1" customHeight="1" x14ac:dyDescent="0.25">
      <c r="B434" s="7"/>
      <c r="C434" s="148">
        <v>43</v>
      </c>
      <c r="D434" s="135"/>
      <c r="E434" s="135"/>
      <c r="F434" s="135"/>
      <c r="G434" s="135"/>
      <c r="H434" s="135"/>
      <c r="I434" s="135"/>
      <c r="J434" s="132"/>
      <c r="K434" s="8"/>
    </row>
    <row r="435" spans="2:11" ht="15" hidden="1" customHeight="1" x14ac:dyDescent="0.25">
      <c r="B435" s="7"/>
      <c r="C435" s="148">
        <v>44</v>
      </c>
      <c r="D435" s="135"/>
      <c r="E435" s="135"/>
      <c r="F435" s="135"/>
      <c r="G435" s="135"/>
      <c r="H435" s="135"/>
      <c r="I435" s="135"/>
      <c r="J435" s="132"/>
      <c r="K435" s="8"/>
    </row>
    <row r="436" spans="2:11" ht="15" hidden="1" customHeight="1" x14ac:dyDescent="0.25">
      <c r="B436" s="7"/>
      <c r="C436" s="148">
        <v>45</v>
      </c>
      <c r="D436" s="135"/>
      <c r="E436" s="135"/>
      <c r="F436" s="135"/>
      <c r="G436" s="135"/>
      <c r="H436" s="135"/>
      <c r="I436" s="135"/>
      <c r="J436" s="132"/>
      <c r="K436" s="8"/>
    </row>
    <row r="437" spans="2:11" ht="15" hidden="1" customHeight="1" x14ac:dyDescent="0.25">
      <c r="B437" s="7"/>
      <c r="C437" s="148">
        <v>46</v>
      </c>
      <c r="D437" s="135"/>
      <c r="E437" s="135"/>
      <c r="F437" s="135"/>
      <c r="G437" s="135"/>
      <c r="H437" s="135"/>
      <c r="I437" s="135"/>
      <c r="J437" s="132"/>
      <c r="K437" s="8"/>
    </row>
    <row r="438" spans="2:11" ht="15" hidden="1" customHeight="1" x14ac:dyDescent="0.25">
      <c r="B438" s="7"/>
      <c r="C438" s="148">
        <v>47</v>
      </c>
      <c r="D438" s="135"/>
      <c r="E438" s="135"/>
      <c r="F438" s="135"/>
      <c r="G438" s="135"/>
      <c r="H438" s="135"/>
      <c r="I438" s="135"/>
      <c r="J438" s="132"/>
      <c r="K438" s="8"/>
    </row>
    <row r="439" spans="2:11" ht="15" hidden="1" customHeight="1" x14ac:dyDescent="0.25">
      <c r="B439" s="7"/>
      <c r="C439" s="148">
        <v>48</v>
      </c>
      <c r="D439" s="135"/>
      <c r="E439" s="135"/>
      <c r="F439" s="135"/>
      <c r="G439" s="135"/>
      <c r="H439" s="135"/>
      <c r="I439" s="135"/>
      <c r="J439" s="132"/>
      <c r="K439" s="8"/>
    </row>
    <row r="440" spans="2:11" ht="15" hidden="1" customHeight="1" x14ac:dyDescent="0.25">
      <c r="B440" s="7"/>
      <c r="C440" s="148">
        <v>49</v>
      </c>
      <c r="D440" s="135"/>
      <c r="E440" s="135"/>
      <c r="F440" s="135"/>
      <c r="G440" s="135"/>
      <c r="H440" s="135"/>
      <c r="I440" s="135"/>
      <c r="J440" s="132"/>
      <c r="K440" s="8"/>
    </row>
    <row r="441" spans="2:11" ht="15" hidden="1" customHeight="1" x14ac:dyDescent="0.25">
      <c r="B441" s="7"/>
      <c r="C441" s="148">
        <v>50</v>
      </c>
      <c r="D441" s="135"/>
      <c r="E441" s="135"/>
      <c r="F441" s="135"/>
      <c r="G441" s="135"/>
      <c r="H441" s="135"/>
      <c r="I441" s="135"/>
      <c r="J441" s="132"/>
      <c r="K441" s="8"/>
    </row>
    <row r="442" spans="2:11" ht="15" hidden="1" customHeight="1" x14ac:dyDescent="0.25">
      <c r="B442" s="7"/>
      <c r="C442" s="123"/>
      <c r="D442" s="123"/>
      <c r="E442" s="123"/>
      <c r="F442" s="123"/>
      <c r="G442" s="123"/>
      <c r="H442" s="123"/>
      <c r="I442" s="123"/>
      <c r="J442" s="123"/>
      <c r="K442" s="8"/>
    </row>
    <row r="443" spans="2:11" ht="15" hidden="1" customHeight="1" x14ac:dyDescent="0.25">
      <c r="B443" s="7"/>
      <c r="C443" s="123" t="s">
        <v>4373</v>
      </c>
      <c r="D443" s="123"/>
      <c r="E443" s="123"/>
      <c r="F443" s="123"/>
      <c r="G443" s="123"/>
      <c r="H443" s="123"/>
      <c r="I443" s="123"/>
      <c r="J443" s="123"/>
      <c r="K443" s="8"/>
    </row>
    <row r="444" spans="2:11" ht="15" hidden="1" customHeight="1" x14ac:dyDescent="0.25">
      <c r="B444" s="7"/>
      <c r="C444" s="145" t="str">
        <f>IF(I.Product.P3GasToPowerBaselineYear="","",I.Product.P3GasToPowerBaselineYear+1)</f>
        <v/>
      </c>
      <c r="D444" s="146"/>
      <c r="E444" s="147"/>
      <c r="F444" s="123"/>
      <c r="G444" s="123"/>
      <c r="H444" s="123"/>
      <c r="I444" s="123"/>
      <c r="J444" s="123"/>
      <c r="K444" s="8"/>
    </row>
    <row r="445" spans="2:11" ht="15" hidden="1" customHeight="1" x14ac:dyDescent="0.25">
      <c r="B445" s="7"/>
      <c r="C445" s="123"/>
      <c r="D445" s="123"/>
      <c r="E445" s="123"/>
      <c r="F445" s="123"/>
      <c r="G445" s="123"/>
      <c r="H445" s="123"/>
      <c r="I445" s="123"/>
      <c r="J445" s="123"/>
      <c r="K445" s="8"/>
    </row>
    <row r="446" spans="2:11" ht="15" hidden="1" customHeight="1" x14ac:dyDescent="0.25">
      <c r="B446" s="7"/>
      <c r="C446" s="123" t="s">
        <v>4375</v>
      </c>
      <c r="D446" s="123"/>
      <c r="E446" s="123"/>
      <c r="F446" s="123"/>
      <c r="G446" s="123"/>
      <c r="H446" s="123"/>
      <c r="I446" s="123"/>
      <c r="J446" s="123"/>
      <c r="K446" s="8"/>
    </row>
    <row r="447" spans="2:11" ht="15" hidden="1" customHeight="1" x14ac:dyDescent="0.25">
      <c r="B447" s="7"/>
      <c r="C447" s="99"/>
      <c r="D447" s="100"/>
      <c r="E447" s="109"/>
      <c r="F447" s="123"/>
      <c r="G447" s="123"/>
      <c r="H447" s="123"/>
      <c r="I447" s="123"/>
      <c r="J447" s="123"/>
      <c r="K447" s="8"/>
    </row>
    <row r="448" spans="2:11" ht="15" hidden="1" customHeight="1" x14ac:dyDescent="0.25">
      <c r="B448" s="7"/>
      <c r="C448" s="123"/>
      <c r="D448" s="123"/>
      <c r="E448" s="123"/>
      <c r="F448" s="123"/>
      <c r="G448" s="123"/>
      <c r="H448" s="123"/>
      <c r="I448" s="123"/>
      <c r="J448" s="123"/>
      <c r="K448" s="8"/>
    </row>
    <row r="449" spans="2:11" ht="15" hidden="1" customHeight="1" x14ac:dyDescent="0.25">
      <c r="B449" s="7"/>
      <c r="C449" s="150" t="s">
        <v>57</v>
      </c>
      <c r="D449" s="153" t="s">
        <v>215</v>
      </c>
      <c r="E449" s="153" t="s">
        <v>216</v>
      </c>
      <c r="F449" s="153" t="s">
        <v>220</v>
      </c>
      <c r="G449" s="153" t="s">
        <v>245</v>
      </c>
      <c r="H449" s="153" t="s">
        <v>217</v>
      </c>
      <c r="I449" s="153" t="s">
        <v>218</v>
      </c>
      <c r="J449" s="153" t="s">
        <v>219</v>
      </c>
      <c r="K449" s="8"/>
    </row>
    <row r="450" spans="2:11" ht="15" hidden="1" customHeight="1" x14ac:dyDescent="0.25">
      <c r="B450" s="7"/>
      <c r="C450" s="151"/>
      <c r="D450" s="154"/>
      <c r="E450" s="154"/>
      <c r="F450" s="154"/>
      <c r="G450" s="154"/>
      <c r="H450" s="154"/>
      <c r="I450" s="154"/>
      <c r="J450" s="154"/>
      <c r="K450" s="8"/>
    </row>
    <row r="451" spans="2:11" ht="15" hidden="1" customHeight="1" x14ac:dyDescent="0.25">
      <c r="B451" s="7"/>
      <c r="C451" s="151"/>
      <c r="D451" s="154"/>
      <c r="E451" s="154"/>
      <c r="F451" s="154"/>
      <c r="G451" s="154"/>
      <c r="H451" s="154"/>
      <c r="I451" s="154"/>
      <c r="J451" s="154"/>
      <c r="K451" s="8"/>
    </row>
    <row r="452" spans="2:11" ht="15" hidden="1" customHeight="1" x14ac:dyDescent="0.35">
      <c r="B452" s="7"/>
      <c r="C452" s="152"/>
      <c r="D452" s="149" t="s">
        <v>213</v>
      </c>
      <c r="E452" s="149" t="s">
        <v>213</v>
      </c>
      <c r="F452" s="149" t="s">
        <v>214</v>
      </c>
      <c r="G452" s="155" t="s">
        <v>4325</v>
      </c>
      <c r="H452" s="156" t="s">
        <v>4326</v>
      </c>
      <c r="I452" s="156" t="s">
        <v>4327</v>
      </c>
      <c r="J452" s="157" t="s">
        <v>4328</v>
      </c>
      <c r="K452" s="8"/>
    </row>
    <row r="453" spans="2:11" ht="15" hidden="1" customHeight="1" x14ac:dyDescent="0.25">
      <c r="B453" s="7"/>
      <c r="C453" s="148">
        <v>1</v>
      </c>
      <c r="D453" s="135"/>
      <c r="E453" s="135"/>
      <c r="F453" s="135"/>
      <c r="G453" s="135"/>
      <c r="H453" s="135"/>
      <c r="I453" s="135"/>
      <c r="J453" s="132"/>
      <c r="K453" s="8"/>
    </row>
    <row r="454" spans="2:11" ht="15" hidden="1" customHeight="1" x14ac:dyDescent="0.25">
      <c r="B454" s="7"/>
      <c r="C454" s="148">
        <v>2</v>
      </c>
      <c r="D454" s="135"/>
      <c r="E454" s="135"/>
      <c r="F454" s="135"/>
      <c r="G454" s="135"/>
      <c r="H454" s="135"/>
      <c r="I454" s="135"/>
      <c r="J454" s="132"/>
      <c r="K454" s="8"/>
    </row>
    <row r="455" spans="2:11" ht="15" hidden="1" customHeight="1" x14ac:dyDescent="0.25">
      <c r="B455" s="7"/>
      <c r="C455" s="148">
        <v>3</v>
      </c>
      <c r="D455" s="135"/>
      <c r="E455" s="135"/>
      <c r="F455" s="135"/>
      <c r="G455" s="135"/>
      <c r="H455" s="135"/>
      <c r="I455" s="135"/>
      <c r="J455" s="132"/>
      <c r="K455" s="8"/>
    </row>
    <row r="456" spans="2:11" ht="15" hidden="1" customHeight="1" x14ac:dyDescent="0.25">
      <c r="B456" s="7"/>
      <c r="C456" s="148">
        <v>4</v>
      </c>
      <c r="D456" s="135"/>
      <c r="E456" s="135"/>
      <c r="F456" s="135"/>
      <c r="G456" s="135"/>
      <c r="H456" s="135"/>
      <c r="I456" s="135"/>
      <c r="J456" s="132"/>
      <c r="K456" s="8"/>
    </row>
    <row r="457" spans="2:11" ht="15" hidden="1" customHeight="1" x14ac:dyDescent="0.25">
      <c r="B457" s="7"/>
      <c r="C457" s="148">
        <v>5</v>
      </c>
      <c r="D457" s="135"/>
      <c r="E457" s="135"/>
      <c r="F457" s="135"/>
      <c r="G457" s="135"/>
      <c r="H457" s="135"/>
      <c r="I457" s="135"/>
      <c r="J457" s="132"/>
      <c r="K457" s="8"/>
    </row>
    <row r="458" spans="2:11" ht="15" hidden="1" customHeight="1" x14ac:dyDescent="0.25">
      <c r="B458" s="7"/>
      <c r="C458" s="148">
        <v>6</v>
      </c>
      <c r="D458" s="135"/>
      <c r="E458" s="135"/>
      <c r="F458" s="135"/>
      <c r="G458" s="135"/>
      <c r="H458" s="135"/>
      <c r="I458" s="135"/>
      <c r="J458" s="132"/>
      <c r="K458" s="8"/>
    </row>
    <row r="459" spans="2:11" ht="15" hidden="1" customHeight="1" x14ac:dyDescent="0.25">
      <c r="B459" s="7"/>
      <c r="C459" s="148">
        <v>7</v>
      </c>
      <c r="D459" s="135"/>
      <c r="E459" s="135"/>
      <c r="F459" s="135"/>
      <c r="G459" s="135"/>
      <c r="H459" s="135"/>
      <c r="I459" s="135"/>
      <c r="J459" s="132"/>
      <c r="K459" s="8"/>
    </row>
    <row r="460" spans="2:11" ht="15" hidden="1" customHeight="1" x14ac:dyDescent="0.25">
      <c r="B460" s="7"/>
      <c r="C460" s="148">
        <v>8</v>
      </c>
      <c r="D460" s="135"/>
      <c r="E460" s="135"/>
      <c r="F460" s="135"/>
      <c r="G460" s="135"/>
      <c r="H460" s="135"/>
      <c r="I460" s="135"/>
      <c r="J460" s="132"/>
      <c r="K460" s="8"/>
    </row>
    <row r="461" spans="2:11" ht="15" hidden="1" customHeight="1" x14ac:dyDescent="0.25">
      <c r="B461" s="7"/>
      <c r="C461" s="148">
        <v>9</v>
      </c>
      <c r="D461" s="135"/>
      <c r="E461" s="135"/>
      <c r="F461" s="135"/>
      <c r="G461" s="135"/>
      <c r="H461" s="135"/>
      <c r="I461" s="135"/>
      <c r="J461" s="132"/>
      <c r="K461" s="8"/>
    </row>
    <row r="462" spans="2:11" ht="15" hidden="1" customHeight="1" x14ac:dyDescent="0.25">
      <c r="B462" s="7"/>
      <c r="C462" s="148">
        <v>10</v>
      </c>
      <c r="D462" s="135"/>
      <c r="E462" s="135"/>
      <c r="F462" s="135"/>
      <c r="G462" s="135"/>
      <c r="H462" s="135"/>
      <c r="I462" s="135"/>
      <c r="J462" s="132"/>
      <c r="K462" s="8"/>
    </row>
    <row r="463" spans="2:11" ht="15" hidden="1" customHeight="1" x14ac:dyDescent="0.25">
      <c r="B463" s="7"/>
      <c r="C463" s="148">
        <v>11</v>
      </c>
      <c r="D463" s="135"/>
      <c r="E463" s="135"/>
      <c r="F463" s="135"/>
      <c r="G463" s="135"/>
      <c r="H463" s="135"/>
      <c r="I463" s="135"/>
      <c r="J463" s="132"/>
      <c r="K463" s="8"/>
    </row>
    <row r="464" spans="2:11" ht="15" hidden="1" customHeight="1" x14ac:dyDescent="0.25">
      <c r="B464" s="7"/>
      <c r="C464" s="148">
        <v>12</v>
      </c>
      <c r="D464" s="135"/>
      <c r="E464" s="135"/>
      <c r="F464" s="135"/>
      <c r="G464" s="135"/>
      <c r="H464" s="135"/>
      <c r="I464" s="135"/>
      <c r="J464" s="132"/>
      <c r="K464" s="8"/>
    </row>
    <row r="465" spans="2:11" ht="15" hidden="1" customHeight="1" x14ac:dyDescent="0.25">
      <c r="B465" s="7"/>
      <c r="C465" s="148">
        <v>13</v>
      </c>
      <c r="D465" s="135"/>
      <c r="E465" s="135"/>
      <c r="F465" s="135"/>
      <c r="G465" s="135"/>
      <c r="H465" s="135"/>
      <c r="I465" s="135"/>
      <c r="J465" s="132"/>
      <c r="K465" s="8"/>
    </row>
    <row r="466" spans="2:11" ht="15" hidden="1" customHeight="1" x14ac:dyDescent="0.25">
      <c r="B466" s="7"/>
      <c r="C466" s="148">
        <v>14</v>
      </c>
      <c r="D466" s="135"/>
      <c r="E466" s="135"/>
      <c r="F466" s="135"/>
      <c r="G466" s="135"/>
      <c r="H466" s="135"/>
      <c r="I466" s="135"/>
      <c r="J466" s="132"/>
      <c r="K466" s="8"/>
    </row>
    <row r="467" spans="2:11" ht="15" hidden="1" customHeight="1" x14ac:dyDescent="0.25">
      <c r="B467" s="7"/>
      <c r="C467" s="148">
        <v>15</v>
      </c>
      <c r="D467" s="135"/>
      <c r="E467" s="135"/>
      <c r="F467" s="135"/>
      <c r="G467" s="135"/>
      <c r="H467" s="135"/>
      <c r="I467" s="135"/>
      <c r="J467" s="132"/>
      <c r="K467" s="8"/>
    </row>
    <row r="468" spans="2:11" ht="15" hidden="1" customHeight="1" x14ac:dyDescent="0.25">
      <c r="B468" s="7"/>
      <c r="C468" s="148">
        <v>16</v>
      </c>
      <c r="D468" s="135"/>
      <c r="E468" s="135"/>
      <c r="F468" s="135"/>
      <c r="G468" s="135"/>
      <c r="H468" s="135"/>
      <c r="I468" s="135"/>
      <c r="J468" s="132"/>
      <c r="K468" s="8"/>
    </row>
    <row r="469" spans="2:11" ht="15" hidden="1" customHeight="1" x14ac:dyDescent="0.25">
      <c r="B469" s="7"/>
      <c r="C469" s="148">
        <v>17</v>
      </c>
      <c r="D469" s="135"/>
      <c r="E469" s="135"/>
      <c r="F469" s="135"/>
      <c r="G469" s="135"/>
      <c r="H469" s="135"/>
      <c r="I469" s="135"/>
      <c r="J469" s="132"/>
      <c r="K469" s="8"/>
    </row>
    <row r="470" spans="2:11" ht="15" hidden="1" customHeight="1" x14ac:dyDescent="0.25">
      <c r="B470" s="7"/>
      <c r="C470" s="148">
        <v>18</v>
      </c>
      <c r="D470" s="135"/>
      <c r="E470" s="135"/>
      <c r="F470" s="135"/>
      <c r="G470" s="135"/>
      <c r="H470" s="135"/>
      <c r="I470" s="135"/>
      <c r="J470" s="132"/>
      <c r="K470" s="8"/>
    </row>
    <row r="471" spans="2:11" ht="15" hidden="1" customHeight="1" x14ac:dyDescent="0.25">
      <c r="B471" s="7"/>
      <c r="C471" s="148">
        <v>19</v>
      </c>
      <c r="D471" s="135"/>
      <c r="E471" s="135"/>
      <c r="F471" s="135"/>
      <c r="G471" s="135"/>
      <c r="H471" s="135"/>
      <c r="I471" s="135"/>
      <c r="J471" s="132"/>
      <c r="K471" s="8"/>
    </row>
    <row r="472" spans="2:11" ht="15" hidden="1" customHeight="1" x14ac:dyDescent="0.25">
      <c r="B472" s="7"/>
      <c r="C472" s="148">
        <v>20</v>
      </c>
      <c r="D472" s="135"/>
      <c r="E472" s="135"/>
      <c r="F472" s="135"/>
      <c r="G472" s="135"/>
      <c r="H472" s="135"/>
      <c r="I472" s="135"/>
      <c r="J472" s="132"/>
      <c r="K472" s="8"/>
    </row>
    <row r="473" spans="2:11" ht="15" hidden="1" customHeight="1" x14ac:dyDescent="0.25">
      <c r="B473" s="7"/>
      <c r="C473" s="148">
        <v>21</v>
      </c>
      <c r="D473" s="135"/>
      <c r="E473" s="135"/>
      <c r="F473" s="135"/>
      <c r="G473" s="135"/>
      <c r="H473" s="135"/>
      <c r="I473" s="135"/>
      <c r="J473" s="132"/>
      <c r="K473" s="8"/>
    </row>
    <row r="474" spans="2:11" ht="15" hidden="1" customHeight="1" x14ac:dyDescent="0.25">
      <c r="B474" s="7"/>
      <c r="C474" s="148">
        <v>22</v>
      </c>
      <c r="D474" s="135"/>
      <c r="E474" s="135"/>
      <c r="F474" s="135"/>
      <c r="G474" s="135"/>
      <c r="H474" s="135"/>
      <c r="I474" s="135"/>
      <c r="J474" s="132"/>
      <c r="K474" s="8"/>
    </row>
    <row r="475" spans="2:11" ht="15" hidden="1" customHeight="1" x14ac:dyDescent="0.25">
      <c r="B475" s="7"/>
      <c r="C475" s="148">
        <v>23</v>
      </c>
      <c r="D475" s="135"/>
      <c r="E475" s="135"/>
      <c r="F475" s="135"/>
      <c r="G475" s="135"/>
      <c r="H475" s="135"/>
      <c r="I475" s="135"/>
      <c r="J475" s="132"/>
      <c r="K475" s="8"/>
    </row>
    <row r="476" spans="2:11" ht="15" hidden="1" customHeight="1" x14ac:dyDescent="0.25">
      <c r="B476" s="7"/>
      <c r="C476" s="148">
        <v>24</v>
      </c>
      <c r="D476" s="135"/>
      <c r="E476" s="135"/>
      <c r="F476" s="135"/>
      <c r="G476" s="135"/>
      <c r="H476" s="135"/>
      <c r="I476" s="135"/>
      <c r="J476" s="132"/>
      <c r="K476" s="8"/>
    </row>
    <row r="477" spans="2:11" ht="15" hidden="1" customHeight="1" x14ac:dyDescent="0.25">
      <c r="B477" s="7"/>
      <c r="C477" s="148">
        <v>25</v>
      </c>
      <c r="D477" s="135"/>
      <c r="E477" s="135"/>
      <c r="F477" s="135"/>
      <c r="G477" s="135"/>
      <c r="H477" s="135"/>
      <c r="I477" s="135"/>
      <c r="J477" s="132"/>
      <c r="K477" s="8"/>
    </row>
    <row r="478" spans="2:11" ht="15" hidden="1" customHeight="1" x14ac:dyDescent="0.25">
      <c r="B478" s="7"/>
      <c r="C478" s="148">
        <v>26</v>
      </c>
      <c r="D478" s="135"/>
      <c r="E478" s="135"/>
      <c r="F478" s="135"/>
      <c r="G478" s="135"/>
      <c r="H478" s="135"/>
      <c r="I478" s="135"/>
      <c r="J478" s="132"/>
      <c r="K478" s="8"/>
    </row>
    <row r="479" spans="2:11" ht="15" hidden="1" customHeight="1" x14ac:dyDescent="0.25">
      <c r="B479" s="7"/>
      <c r="C479" s="148">
        <v>27</v>
      </c>
      <c r="D479" s="135"/>
      <c r="E479" s="135"/>
      <c r="F479" s="135"/>
      <c r="G479" s="135"/>
      <c r="H479" s="135"/>
      <c r="I479" s="135"/>
      <c r="J479" s="132"/>
      <c r="K479" s="8"/>
    </row>
    <row r="480" spans="2:11" ht="15" hidden="1" customHeight="1" x14ac:dyDescent="0.25">
      <c r="B480" s="7"/>
      <c r="C480" s="148">
        <v>28</v>
      </c>
      <c r="D480" s="135"/>
      <c r="E480" s="135"/>
      <c r="F480" s="135"/>
      <c r="G480" s="135"/>
      <c r="H480" s="135"/>
      <c r="I480" s="135"/>
      <c r="J480" s="132"/>
      <c r="K480" s="8"/>
    </row>
    <row r="481" spans="2:11" ht="15" hidden="1" customHeight="1" x14ac:dyDescent="0.25">
      <c r="B481" s="7"/>
      <c r="C481" s="148">
        <v>29</v>
      </c>
      <c r="D481" s="135"/>
      <c r="E481" s="135"/>
      <c r="F481" s="135"/>
      <c r="G481" s="135"/>
      <c r="H481" s="135"/>
      <c r="I481" s="135"/>
      <c r="J481" s="132"/>
      <c r="K481" s="8"/>
    </row>
    <row r="482" spans="2:11" ht="15" hidden="1" customHeight="1" x14ac:dyDescent="0.25">
      <c r="B482" s="7"/>
      <c r="C482" s="148">
        <v>30</v>
      </c>
      <c r="D482" s="135"/>
      <c r="E482" s="135"/>
      <c r="F482" s="135"/>
      <c r="G482" s="135"/>
      <c r="H482" s="135"/>
      <c r="I482" s="135"/>
      <c r="J482" s="132"/>
      <c r="K482" s="8"/>
    </row>
    <row r="483" spans="2:11" ht="15" hidden="1" customHeight="1" x14ac:dyDescent="0.25">
      <c r="B483" s="7"/>
      <c r="C483" s="148">
        <v>31</v>
      </c>
      <c r="D483" s="135"/>
      <c r="E483" s="135"/>
      <c r="F483" s="135"/>
      <c r="G483" s="135"/>
      <c r="H483" s="135"/>
      <c r="I483" s="135"/>
      <c r="J483" s="132"/>
      <c r="K483" s="8"/>
    </row>
    <row r="484" spans="2:11" ht="15" hidden="1" customHeight="1" x14ac:dyDescent="0.25">
      <c r="B484" s="7"/>
      <c r="C484" s="148">
        <v>32</v>
      </c>
      <c r="D484" s="135"/>
      <c r="E484" s="135"/>
      <c r="F484" s="135"/>
      <c r="G484" s="135"/>
      <c r="H484" s="135"/>
      <c r="I484" s="135"/>
      <c r="J484" s="132"/>
      <c r="K484" s="8"/>
    </row>
    <row r="485" spans="2:11" ht="15" hidden="1" customHeight="1" x14ac:dyDescent="0.25">
      <c r="B485" s="7"/>
      <c r="C485" s="148">
        <v>33</v>
      </c>
      <c r="D485" s="135"/>
      <c r="E485" s="135"/>
      <c r="F485" s="135"/>
      <c r="G485" s="135"/>
      <c r="H485" s="135"/>
      <c r="I485" s="135"/>
      <c r="J485" s="132"/>
      <c r="K485" s="8"/>
    </row>
    <row r="486" spans="2:11" ht="15" hidden="1" customHeight="1" x14ac:dyDescent="0.25">
      <c r="B486" s="7"/>
      <c r="C486" s="148">
        <v>34</v>
      </c>
      <c r="D486" s="135"/>
      <c r="E486" s="135"/>
      <c r="F486" s="135"/>
      <c r="G486" s="135"/>
      <c r="H486" s="135"/>
      <c r="I486" s="135"/>
      <c r="J486" s="132"/>
      <c r="K486" s="8"/>
    </row>
    <row r="487" spans="2:11" ht="15" hidden="1" customHeight="1" x14ac:dyDescent="0.25">
      <c r="B487" s="7"/>
      <c r="C487" s="148">
        <v>35</v>
      </c>
      <c r="D487" s="135"/>
      <c r="E487" s="135"/>
      <c r="F487" s="135"/>
      <c r="G487" s="135"/>
      <c r="H487" s="135"/>
      <c r="I487" s="135"/>
      <c r="J487" s="132"/>
      <c r="K487" s="8"/>
    </row>
    <row r="488" spans="2:11" ht="15" hidden="1" customHeight="1" x14ac:dyDescent="0.25">
      <c r="B488" s="7"/>
      <c r="C488" s="148">
        <v>36</v>
      </c>
      <c r="D488" s="135"/>
      <c r="E488" s="135"/>
      <c r="F488" s="135"/>
      <c r="G488" s="135"/>
      <c r="H488" s="135"/>
      <c r="I488" s="135"/>
      <c r="J488" s="132"/>
      <c r="K488" s="8"/>
    </row>
    <row r="489" spans="2:11" ht="15" hidden="1" customHeight="1" x14ac:dyDescent="0.25">
      <c r="B489" s="7"/>
      <c r="C489" s="148">
        <v>37</v>
      </c>
      <c r="D489" s="135"/>
      <c r="E489" s="135"/>
      <c r="F489" s="135"/>
      <c r="G489" s="135"/>
      <c r="H489" s="135"/>
      <c r="I489" s="135"/>
      <c r="J489" s="132"/>
      <c r="K489" s="8"/>
    </row>
    <row r="490" spans="2:11" ht="15" hidden="1" customHeight="1" x14ac:dyDescent="0.25">
      <c r="B490" s="7"/>
      <c r="C490" s="148">
        <v>38</v>
      </c>
      <c r="D490" s="135"/>
      <c r="E490" s="135"/>
      <c r="F490" s="135"/>
      <c r="G490" s="135"/>
      <c r="H490" s="135"/>
      <c r="I490" s="135"/>
      <c r="J490" s="132"/>
      <c r="K490" s="8"/>
    </row>
    <row r="491" spans="2:11" ht="15" hidden="1" customHeight="1" x14ac:dyDescent="0.25">
      <c r="B491" s="7"/>
      <c r="C491" s="148">
        <v>39</v>
      </c>
      <c r="D491" s="135"/>
      <c r="E491" s="135"/>
      <c r="F491" s="135"/>
      <c r="G491" s="135"/>
      <c r="H491" s="135"/>
      <c r="I491" s="135"/>
      <c r="J491" s="132"/>
      <c r="K491" s="8"/>
    </row>
    <row r="492" spans="2:11" ht="15" hidden="1" customHeight="1" x14ac:dyDescent="0.25">
      <c r="B492" s="7"/>
      <c r="C492" s="148">
        <v>40</v>
      </c>
      <c r="D492" s="135"/>
      <c r="E492" s="135"/>
      <c r="F492" s="135"/>
      <c r="G492" s="135"/>
      <c r="H492" s="135"/>
      <c r="I492" s="135"/>
      <c r="J492" s="132"/>
      <c r="K492" s="8"/>
    </row>
    <row r="493" spans="2:11" ht="15" hidden="1" customHeight="1" x14ac:dyDescent="0.25">
      <c r="B493" s="7"/>
      <c r="C493" s="148">
        <v>41</v>
      </c>
      <c r="D493" s="135"/>
      <c r="E493" s="135"/>
      <c r="F493" s="135"/>
      <c r="G493" s="135"/>
      <c r="H493" s="135"/>
      <c r="I493" s="135"/>
      <c r="J493" s="132"/>
      <c r="K493" s="8"/>
    </row>
    <row r="494" spans="2:11" ht="15" hidden="1" customHeight="1" x14ac:dyDescent="0.25">
      <c r="B494" s="7"/>
      <c r="C494" s="148">
        <v>42</v>
      </c>
      <c r="D494" s="135"/>
      <c r="E494" s="135"/>
      <c r="F494" s="135"/>
      <c r="G494" s="135"/>
      <c r="H494" s="135"/>
      <c r="I494" s="135"/>
      <c r="J494" s="132"/>
      <c r="K494" s="8"/>
    </row>
    <row r="495" spans="2:11" ht="15" hidden="1" customHeight="1" x14ac:dyDescent="0.25">
      <c r="B495" s="7"/>
      <c r="C495" s="148">
        <v>43</v>
      </c>
      <c r="D495" s="135"/>
      <c r="E495" s="135"/>
      <c r="F495" s="135"/>
      <c r="G495" s="135"/>
      <c r="H495" s="135"/>
      <c r="I495" s="135"/>
      <c r="J495" s="132"/>
      <c r="K495" s="8"/>
    </row>
    <row r="496" spans="2:11" ht="15" hidden="1" customHeight="1" x14ac:dyDescent="0.25">
      <c r="B496" s="7"/>
      <c r="C496" s="148">
        <v>44</v>
      </c>
      <c r="D496" s="135"/>
      <c r="E496" s="135"/>
      <c r="F496" s="135"/>
      <c r="G496" s="135"/>
      <c r="H496" s="135"/>
      <c r="I496" s="135"/>
      <c r="J496" s="132"/>
      <c r="K496" s="8"/>
    </row>
    <row r="497" spans="2:11" ht="15" hidden="1" customHeight="1" x14ac:dyDescent="0.25">
      <c r="B497" s="7"/>
      <c r="C497" s="148">
        <v>45</v>
      </c>
      <c r="D497" s="135"/>
      <c r="E497" s="135"/>
      <c r="F497" s="135"/>
      <c r="G497" s="135"/>
      <c r="H497" s="135"/>
      <c r="I497" s="135"/>
      <c r="J497" s="132"/>
      <c r="K497" s="8"/>
    </row>
    <row r="498" spans="2:11" ht="15" hidden="1" customHeight="1" x14ac:dyDescent="0.25">
      <c r="B498" s="7"/>
      <c r="C498" s="148">
        <v>46</v>
      </c>
      <c r="D498" s="135"/>
      <c r="E498" s="135"/>
      <c r="F498" s="135"/>
      <c r="G498" s="135"/>
      <c r="H498" s="135"/>
      <c r="I498" s="135"/>
      <c r="J498" s="132"/>
      <c r="K498" s="8"/>
    </row>
    <row r="499" spans="2:11" ht="15" hidden="1" customHeight="1" x14ac:dyDescent="0.25">
      <c r="B499" s="7"/>
      <c r="C499" s="148">
        <v>47</v>
      </c>
      <c r="D499" s="135"/>
      <c r="E499" s="135"/>
      <c r="F499" s="135"/>
      <c r="G499" s="135"/>
      <c r="H499" s="135"/>
      <c r="I499" s="135"/>
      <c r="J499" s="132"/>
      <c r="K499" s="8"/>
    </row>
    <row r="500" spans="2:11" ht="15" hidden="1" customHeight="1" x14ac:dyDescent="0.25">
      <c r="B500" s="7"/>
      <c r="C500" s="148">
        <v>48</v>
      </c>
      <c r="D500" s="135"/>
      <c r="E500" s="135"/>
      <c r="F500" s="135"/>
      <c r="G500" s="135"/>
      <c r="H500" s="135"/>
      <c r="I500" s="135"/>
      <c r="J500" s="132"/>
      <c r="K500" s="8"/>
    </row>
    <row r="501" spans="2:11" ht="15" hidden="1" customHeight="1" x14ac:dyDescent="0.25">
      <c r="B501" s="7"/>
      <c r="C501" s="148">
        <v>49</v>
      </c>
      <c r="D501" s="135"/>
      <c r="E501" s="135"/>
      <c r="F501" s="135"/>
      <c r="G501" s="135"/>
      <c r="H501" s="135"/>
      <c r="I501" s="135"/>
      <c r="J501" s="132"/>
      <c r="K501" s="8"/>
    </row>
    <row r="502" spans="2:11" ht="15" hidden="1" customHeight="1" x14ac:dyDescent="0.25">
      <c r="B502" s="7"/>
      <c r="C502" s="148">
        <v>50</v>
      </c>
      <c r="D502" s="135"/>
      <c r="E502" s="135"/>
      <c r="F502" s="135"/>
      <c r="G502" s="135"/>
      <c r="H502" s="135"/>
      <c r="I502" s="135"/>
      <c r="J502" s="132"/>
      <c r="K502" s="8"/>
    </row>
    <row r="503" spans="2:11" ht="15" hidden="1" customHeight="1" x14ac:dyDescent="0.25">
      <c r="B503" s="7"/>
      <c r="C503" s="123"/>
      <c r="D503" s="123"/>
      <c r="E503" s="123"/>
      <c r="F503" s="123"/>
      <c r="G503" s="123"/>
      <c r="H503" s="123"/>
      <c r="I503" s="123"/>
      <c r="J503" s="123"/>
      <c r="K503" s="8"/>
    </row>
    <row r="504" spans="2:11" ht="20.100000000000001" hidden="1" customHeight="1" x14ac:dyDescent="0.25">
      <c r="B504" s="5"/>
      <c r="C504" s="97" t="s">
        <v>53</v>
      </c>
      <c r="D504" s="97"/>
      <c r="E504" s="97"/>
      <c r="F504" s="97"/>
      <c r="G504" s="97"/>
      <c r="H504" s="97"/>
      <c r="I504" s="97"/>
      <c r="J504" s="97"/>
      <c r="K504" s="6"/>
    </row>
    <row r="505" spans="2:11" ht="15" hidden="1" customHeight="1" x14ac:dyDescent="0.25">
      <c r="B505" s="7"/>
      <c r="C505" s="123"/>
      <c r="D505" s="123"/>
      <c r="E505" s="123"/>
      <c r="F505" s="123"/>
      <c r="G505" s="123"/>
      <c r="H505" s="123"/>
      <c r="I505" s="123"/>
      <c r="J505" s="123"/>
      <c r="K505" s="8"/>
    </row>
    <row r="506" spans="2:11" ht="15" hidden="1" customHeight="1" x14ac:dyDescent="0.25">
      <c r="B506" s="7"/>
      <c r="C506" s="123" t="s">
        <v>4372</v>
      </c>
      <c r="D506" s="123"/>
      <c r="E506" s="123"/>
      <c r="F506" s="123"/>
      <c r="G506" s="123"/>
      <c r="H506" s="123"/>
      <c r="I506" s="123"/>
      <c r="J506" s="123"/>
      <c r="K506" s="8"/>
    </row>
    <row r="507" spans="2:11" ht="15" hidden="1" customHeight="1" x14ac:dyDescent="0.25">
      <c r="B507" s="7"/>
      <c r="C507" s="145" t="str">
        <f>IF(I.Product.P4GasToPowerBaselineYear="","",I.Product.P4GasToPowerBaselineYear)</f>
        <v/>
      </c>
      <c r="D507" s="146"/>
      <c r="E507" s="147"/>
      <c r="F507" s="123"/>
      <c r="G507" s="123"/>
      <c r="H507" s="123"/>
      <c r="I507" s="123"/>
      <c r="J507" s="123"/>
      <c r="K507" s="8"/>
    </row>
    <row r="508" spans="2:11" ht="15" hidden="1" customHeight="1" x14ac:dyDescent="0.25">
      <c r="B508" s="7"/>
      <c r="C508" s="123"/>
      <c r="D508" s="123"/>
      <c r="E508" s="123"/>
      <c r="F508" s="123"/>
      <c r="G508" s="123"/>
      <c r="H508" s="123"/>
      <c r="I508" s="123"/>
      <c r="J508" s="123"/>
      <c r="K508" s="8"/>
    </row>
    <row r="509" spans="2:11" ht="15" hidden="1" customHeight="1" x14ac:dyDescent="0.25">
      <c r="B509" s="7"/>
      <c r="C509" s="123" t="s">
        <v>4374</v>
      </c>
      <c r="D509" s="123"/>
      <c r="E509" s="123"/>
      <c r="F509" s="123"/>
      <c r="G509" s="123"/>
      <c r="H509" s="123"/>
      <c r="I509" s="123"/>
      <c r="J509" s="123"/>
      <c r="K509" s="8"/>
    </row>
    <row r="510" spans="2:11" ht="15" hidden="1" customHeight="1" x14ac:dyDescent="0.25">
      <c r="B510" s="7"/>
      <c r="C510" s="99"/>
      <c r="D510" s="100"/>
      <c r="E510" s="109"/>
      <c r="F510" s="123"/>
      <c r="G510" s="123"/>
      <c r="H510" s="123"/>
      <c r="I510" s="123"/>
      <c r="J510" s="123"/>
      <c r="K510" s="8"/>
    </row>
    <row r="511" spans="2:11" ht="15" hidden="1" customHeight="1" x14ac:dyDescent="0.25">
      <c r="B511" s="7"/>
      <c r="C511" s="123"/>
      <c r="D511" s="123"/>
      <c r="E511" s="123"/>
      <c r="F511" s="123"/>
      <c r="G511" s="123"/>
      <c r="H511" s="123"/>
      <c r="I511" s="123"/>
      <c r="J511" s="123"/>
      <c r="K511" s="8"/>
    </row>
    <row r="512" spans="2:11" ht="15" hidden="1" customHeight="1" x14ac:dyDescent="0.25">
      <c r="B512" s="7"/>
      <c r="C512" s="150" t="s">
        <v>57</v>
      </c>
      <c r="D512" s="153" t="s">
        <v>215</v>
      </c>
      <c r="E512" s="153" t="s">
        <v>216</v>
      </c>
      <c r="F512" s="153" t="s">
        <v>220</v>
      </c>
      <c r="G512" s="153" t="s">
        <v>245</v>
      </c>
      <c r="H512" s="153" t="s">
        <v>217</v>
      </c>
      <c r="I512" s="153" t="s">
        <v>218</v>
      </c>
      <c r="J512" s="153" t="s">
        <v>219</v>
      </c>
      <c r="K512" s="8"/>
    </row>
    <row r="513" spans="2:11" ht="15" hidden="1" customHeight="1" x14ac:dyDescent="0.25">
      <c r="B513" s="7"/>
      <c r="C513" s="151"/>
      <c r="D513" s="154"/>
      <c r="E513" s="154"/>
      <c r="F513" s="154"/>
      <c r="G513" s="154"/>
      <c r="H513" s="154"/>
      <c r="I513" s="154"/>
      <c r="J513" s="154"/>
      <c r="K513" s="8"/>
    </row>
    <row r="514" spans="2:11" ht="15" hidden="1" customHeight="1" x14ac:dyDescent="0.25">
      <c r="B514" s="7"/>
      <c r="C514" s="151"/>
      <c r="D514" s="154"/>
      <c r="E514" s="154"/>
      <c r="F514" s="154"/>
      <c r="G514" s="154"/>
      <c r="H514" s="154"/>
      <c r="I514" s="154"/>
      <c r="J514" s="154"/>
      <c r="K514" s="8"/>
    </row>
    <row r="515" spans="2:11" ht="15" hidden="1" customHeight="1" x14ac:dyDescent="0.35">
      <c r="B515" s="7"/>
      <c r="C515" s="152"/>
      <c r="D515" s="149" t="s">
        <v>213</v>
      </c>
      <c r="E515" s="149" t="s">
        <v>213</v>
      </c>
      <c r="F515" s="149" t="s">
        <v>214</v>
      </c>
      <c r="G515" s="155" t="s">
        <v>4325</v>
      </c>
      <c r="H515" s="156" t="s">
        <v>4326</v>
      </c>
      <c r="I515" s="156" t="s">
        <v>4327</v>
      </c>
      <c r="J515" s="157" t="s">
        <v>4328</v>
      </c>
      <c r="K515" s="8"/>
    </row>
    <row r="516" spans="2:11" ht="15" hidden="1" customHeight="1" x14ac:dyDescent="0.25">
      <c r="B516" s="7"/>
      <c r="C516" s="148">
        <v>1</v>
      </c>
      <c r="D516" s="135"/>
      <c r="E516" s="135"/>
      <c r="F516" s="135"/>
      <c r="G516" s="135"/>
      <c r="H516" s="135"/>
      <c r="I516" s="135"/>
      <c r="J516" s="132"/>
      <c r="K516" s="8"/>
    </row>
    <row r="517" spans="2:11" ht="15" hidden="1" customHeight="1" x14ac:dyDescent="0.25">
      <c r="B517" s="7"/>
      <c r="C517" s="148">
        <v>2</v>
      </c>
      <c r="D517" s="135"/>
      <c r="E517" s="135"/>
      <c r="F517" s="135"/>
      <c r="G517" s="135"/>
      <c r="H517" s="135"/>
      <c r="I517" s="135"/>
      <c r="J517" s="132"/>
      <c r="K517" s="8"/>
    </row>
    <row r="518" spans="2:11" ht="15" hidden="1" customHeight="1" x14ac:dyDescent="0.25">
      <c r="B518" s="7"/>
      <c r="C518" s="148">
        <v>3</v>
      </c>
      <c r="D518" s="135"/>
      <c r="E518" s="135"/>
      <c r="F518" s="135"/>
      <c r="G518" s="135"/>
      <c r="H518" s="135"/>
      <c r="I518" s="135"/>
      <c r="J518" s="132"/>
      <c r="K518" s="8"/>
    </row>
    <row r="519" spans="2:11" ht="15" hidden="1" customHeight="1" x14ac:dyDescent="0.25">
      <c r="B519" s="7"/>
      <c r="C519" s="148">
        <v>4</v>
      </c>
      <c r="D519" s="135"/>
      <c r="E519" s="135"/>
      <c r="F519" s="135"/>
      <c r="G519" s="135"/>
      <c r="H519" s="135"/>
      <c r="I519" s="135"/>
      <c r="J519" s="132"/>
      <c r="K519" s="8"/>
    </row>
    <row r="520" spans="2:11" ht="15" hidden="1" customHeight="1" x14ac:dyDescent="0.25">
      <c r="B520" s="7"/>
      <c r="C520" s="148">
        <v>5</v>
      </c>
      <c r="D520" s="135"/>
      <c r="E520" s="135"/>
      <c r="F520" s="135"/>
      <c r="G520" s="135"/>
      <c r="H520" s="135"/>
      <c r="I520" s="135"/>
      <c r="J520" s="132"/>
      <c r="K520" s="8"/>
    </row>
    <row r="521" spans="2:11" ht="15" hidden="1" customHeight="1" x14ac:dyDescent="0.25">
      <c r="B521" s="7"/>
      <c r="C521" s="148">
        <v>6</v>
      </c>
      <c r="D521" s="135"/>
      <c r="E521" s="135"/>
      <c r="F521" s="135"/>
      <c r="G521" s="135"/>
      <c r="H521" s="135"/>
      <c r="I521" s="135"/>
      <c r="J521" s="132"/>
      <c r="K521" s="8"/>
    </row>
    <row r="522" spans="2:11" ht="15" hidden="1" customHeight="1" x14ac:dyDescent="0.25">
      <c r="B522" s="7"/>
      <c r="C522" s="148">
        <v>7</v>
      </c>
      <c r="D522" s="135"/>
      <c r="E522" s="135"/>
      <c r="F522" s="135"/>
      <c r="G522" s="135"/>
      <c r="H522" s="135"/>
      <c r="I522" s="135"/>
      <c r="J522" s="132"/>
      <c r="K522" s="8"/>
    </row>
    <row r="523" spans="2:11" ht="15" hidden="1" customHeight="1" x14ac:dyDescent="0.25">
      <c r="B523" s="7"/>
      <c r="C523" s="148">
        <v>8</v>
      </c>
      <c r="D523" s="135"/>
      <c r="E523" s="135"/>
      <c r="F523" s="135"/>
      <c r="G523" s="135"/>
      <c r="H523" s="135"/>
      <c r="I523" s="135"/>
      <c r="J523" s="132"/>
      <c r="K523" s="8"/>
    </row>
    <row r="524" spans="2:11" ht="15" hidden="1" customHeight="1" x14ac:dyDescent="0.25">
      <c r="B524" s="7"/>
      <c r="C524" s="148">
        <v>9</v>
      </c>
      <c r="D524" s="135"/>
      <c r="E524" s="135"/>
      <c r="F524" s="135"/>
      <c r="G524" s="135"/>
      <c r="H524" s="135"/>
      <c r="I524" s="135"/>
      <c r="J524" s="132"/>
      <c r="K524" s="8"/>
    </row>
    <row r="525" spans="2:11" ht="15" hidden="1" customHeight="1" x14ac:dyDescent="0.25">
      <c r="B525" s="7"/>
      <c r="C525" s="148">
        <v>10</v>
      </c>
      <c r="D525" s="135"/>
      <c r="E525" s="135"/>
      <c r="F525" s="135"/>
      <c r="G525" s="135"/>
      <c r="H525" s="135"/>
      <c r="I525" s="135"/>
      <c r="J525" s="132"/>
      <c r="K525" s="8"/>
    </row>
    <row r="526" spans="2:11" ht="15" hidden="1" customHeight="1" x14ac:dyDescent="0.25">
      <c r="B526" s="7"/>
      <c r="C526" s="148">
        <v>11</v>
      </c>
      <c r="D526" s="135"/>
      <c r="E526" s="135"/>
      <c r="F526" s="135"/>
      <c r="G526" s="135"/>
      <c r="H526" s="135"/>
      <c r="I526" s="135"/>
      <c r="J526" s="132"/>
      <c r="K526" s="8"/>
    </row>
    <row r="527" spans="2:11" ht="15" hidden="1" customHeight="1" x14ac:dyDescent="0.25">
      <c r="B527" s="7"/>
      <c r="C527" s="148">
        <v>12</v>
      </c>
      <c r="D527" s="135"/>
      <c r="E527" s="135"/>
      <c r="F527" s="135"/>
      <c r="G527" s="135"/>
      <c r="H527" s="135"/>
      <c r="I527" s="135"/>
      <c r="J527" s="132"/>
      <c r="K527" s="8"/>
    </row>
    <row r="528" spans="2:11" ht="15" hidden="1" customHeight="1" x14ac:dyDescent="0.25">
      <c r="B528" s="7"/>
      <c r="C528" s="148">
        <v>13</v>
      </c>
      <c r="D528" s="135"/>
      <c r="E528" s="135"/>
      <c r="F528" s="135"/>
      <c r="G528" s="135"/>
      <c r="H528" s="135"/>
      <c r="I528" s="135"/>
      <c r="J528" s="132"/>
      <c r="K528" s="8"/>
    </row>
    <row r="529" spans="2:11" ht="15" hidden="1" customHeight="1" x14ac:dyDescent="0.25">
      <c r="B529" s="7"/>
      <c r="C529" s="148">
        <v>14</v>
      </c>
      <c r="D529" s="135"/>
      <c r="E529" s="135"/>
      <c r="F529" s="135"/>
      <c r="G529" s="135"/>
      <c r="H529" s="135"/>
      <c r="I529" s="135"/>
      <c r="J529" s="132"/>
      <c r="K529" s="8"/>
    </row>
    <row r="530" spans="2:11" ht="15" hidden="1" customHeight="1" x14ac:dyDescent="0.25">
      <c r="B530" s="7"/>
      <c r="C530" s="148">
        <v>15</v>
      </c>
      <c r="D530" s="135"/>
      <c r="E530" s="135"/>
      <c r="F530" s="135"/>
      <c r="G530" s="135"/>
      <c r="H530" s="135"/>
      <c r="I530" s="135"/>
      <c r="J530" s="132"/>
      <c r="K530" s="8"/>
    </row>
    <row r="531" spans="2:11" ht="15" hidden="1" customHeight="1" x14ac:dyDescent="0.25">
      <c r="B531" s="7"/>
      <c r="C531" s="148">
        <v>16</v>
      </c>
      <c r="D531" s="135"/>
      <c r="E531" s="135"/>
      <c r="F531" s="135"/>
      <c r="G531" s="135"/>
      <c r="H531" s="135"/>
      <c r="I531" s="135"/>
      <c r="J531" s="132"/>
      <c r="K531" s="8"/>
    </row>
    <row r="532" spans="2:11" ht="15" hidden="1" customHeight="1" x14ac:dyDescent="0.25">
      <c r="B532" s="7"/>
      <c r="C532" s="148">
        <v>17</v>
      </c>
      <c r="D532" s="135"/>
      <c r="E532" s="135"/>
      <c r="F532" s="135"/>
      <c r="G532" s="135"/>
      <c r="H532" s="135"/>
      <c r="I532" s="135"/>
      <c r="J532" s="132"/>
      <c r="K532" s="8"/>
    </row>
    <row r="533" spans="2:11" ht="15" hidden="1" customHeight="1" x14ac:dyDescent="0.25">
      <c r="B533" s="7"/>
      <c r="C533" s="148">
        <v>18</v>
      </c>
      <c r="D533" s="135"/>
      <c r="E533" s="135"/>
      <c r="F533" s="135"/>
      <c r="G533" s="135"/>
      <c r="H533" s="135"/>
      <c r="I533" s="135"/>
      <c r="J533" s="132"/>
      <c r="K533" s="8"/>
    </row>
    <row r="534" spans="2:11" ht="15" hidden="1" customHeight="1" x14ac:dyDescent="0.25">
      <c r="B534" s="7"/>
      <c r="C534" s="148">
        <v>19</v>
      </c>
      <c r="D534" s="135"/>
      <c r="E534" s="135"/>
      <c r="F534" s="135"/>
      <c r="G534" s="135"/>
      <c r="H534" s="135"/>
      <c r="I534" s="135"/>
      <c r="J534" s="132"/>
      <c r="K534" s="8"/>
    </row>
    <row r="535" spans="2:11" ht="15" hidden="1" customHeight="1" x14ac:dyDescent="0.25">
      <c r="B535" s="7"/>
      <c r="C535" s="148">
        <v>20</v>
      </c>
      <c r="D535" s="135"/>
      <c r="E535" s="135"/>
      <c r="F535" s="135"/>
      <c r="G535" s="135"/>
      <c r="H535" s="135"/>
      <c r="I535" s="135"/>
      <c r="J535" s="132"/>
      <c r="K535" s="8"/>
    </row>
    <row r="536" spans="2:11" ht="15" hidden="1" customHeight="1" x14ac:dyDescent="0.25">
      <c r="B536" s="7"/>
      <c r="C536" s="148">
        <v>21</v>
      </c>
      <c r="D536" s="135"/>
      <c r="E536" s="135"/>
      <c r="F536" s="135"/>
      <c r="G536" s="135"/>
      <c r="H536" s="135"/>
      <c r="I536" s="135"/>
      <c r="J536" s="132"/>
      <c r="K536" s="8"/>
    </row>
    <row r="537" spans="2:11" ht="15" hidden="1" customHeight="1" x14ac:dyDescent="0.25">
      <c r="B537" s="7"/>
      <c r="C537" s="148">
        <v>22</v>
      </c>
      <c r="D537" s="135"/>
      <c r="E537" s="135"/>
      <c r="F537" s="135"/>
      <c r="G537" s="135"/>
      <c r="H537" s="135"/>
      <c r="I537" s="135"/>
      <c r="J537" s="132"/>
      <c r="K537" s="8"/>
    </row>
    <row r="538" spans="2:11" ht="15" hidden="1" customHeight="1" x14ac:dyDescent="0.25">
      <c r="B538" s="7"/>
      <c r="C538" s="148">
        <v>23</v>
      </c>
      <c r="D538" s="135"/>
      <c r="E538" s="135"/>
      <c r="F538" s="135"/>
      <c r="G538" s="135"/>
      <c r="H538" s="135"/>
      <c r="I538" s="135"/>
      <c r="J538" s="132"/>
      <c r="K538" s="8"/>
    </row>
    <row r="539" spans="2:11" ht="15" hidden="1" customHeight="1" x14ac:dyDescent="0.25">
      <c r="B539" s="7"/>
      <c r="C539" s="148">
        <v>24</v>
      </c>
      <c r="D539" s="135"/>
      <c r="E539" s="135"/>
      <c r="F539" s="135"/>
      <c r="G539" s="135"/>
      <c r="H539" s="135"/>
      <c r="I539" s="135"/>
      <c r="J539" s="132"/>
      <c r="K539" s="8"/>
    </row>
    <row r="540" spans="2:11" ht="15" hidden="1" customHeight="1" x14ac:dyDescent="0.25">
      <c r="B540" s="7"/>
      <c r="C540" s="148">
        <v>25</v>
      </c>
      <c r="D540" s="135"/>
      <c r="E540" s="135"/>
      <c r="F540" s="135"/>
      <c r="G540" s="135"/>
      <c r="H540" s="135"/>
      <c r="I540" s="135"/>
      <c r="J540" s="132"/>
      <c r="K540" s="8"/>
    </row>
    <row r="541" spans="2:11" ht="15" hidden="1" customHeight="1" x14ac:dyDescent="0.25">
      <c r="B541" s="7"/>
      <c r="C541" s="148">
        <v>26</v>
      </c>
      <c r="D541" s="135"/>
      <c r="E541" s="135"/>
      <c r="F541" s="135"/>
      <c r="G541" s="135"/>
      <c r="H541" s="135"/>
      <c r="I541" s="135"/>
      <c r="J541" s="132"/>
      <c r="K541" s="8"/>
    </row>
    <row r="542" spans="2:11" ht="15" hidden="1" customHeight="1" x14ac:dyDescent="0.25">
      <c r="B542" s="7"/>
      <c r="C542" s="148">
        <v>27</v>
      </c>
      <c r="D542" s="135"/>
      <c r="E542" s="135"/>
      <c r="F542" s="135"/>
      <c r="G542" s="135"/>
      <c r="H542" s="135"/>
      <c r="I542" s="135"/>
      <c r="J542" s="132"/>
      <c r="K542" s="8"/>
    </row>
    <row r="543" spans="2:11" ht="15" hidden="1" customHeight="1" x14ac:dyDescent="0.25">
      <c r="B543" s="7"/>
      <c r="C543" s="148">
        <v>28</v>
      </c>
      <c r="D543" s="135"/>
      <c r="E543" s="135"/>
      <c r="F543" s="135"/>
      <c r="G543" s="135"/>
      <c r="H543" s="135"/>
      <c r="I543" s="135"/>
      <c r="J543" s="132"/>
      <c r="K543" s="8"/>
    </row>
    <row r="544" spans="2:11" ht="15" hidden="1" customHeight="1" x14ac:dyDescent="0.25">
      <c r="B544" s="7"/>
      <c r="C544" s="148">
        <v>29</v>
      </c>
      <c r="D544" s="135"/>
      <c r="E544" s="135"/>
      <c r="F544" s="135"/>
      <c r="G544" s="135"/>
      <c r="H544" s="135"/>
      <c r="I544" s="135"/>
      <c r="J544" s="132"/>
      <c r="K544" s="8"/>
    </row>
    <row r="545" spans="2:11" ht="15" hidden="1" customHeight="1" x14ac:dyDescent="0.25">
      <c r="B545" s="7"/>
      <c r="C545" s="148">
        <v>30</v>
      </c>
      <c r="D545" s="135"/>
      <c r="E545" s="135"/>
      <c r="F545" s="135"/>
      <c r="G545" s="135"/>
      <c r="H545" s="135"/>
      <c r="I545" s="135"/>
      <c r="J545" s="132"/>
      <c r="K545" s="8"/>
    </row>
    <row r="546" spans="2:11" ht="15" hidden="1" customHeight="1" x14ac:dyDescent="0.25">
      <c r="B546" s="7"/>
      <c r="C546" s="148">
        <v>31</v>
      </c>
      <c r="D546" s="135"/>
      <c r="E546" s="135"/>
      <c r="F546" s="135"/>
      <c r="G546" s="135"/>
      <c r="H546" s="135"/>
      <c r="I546" s="135"/>
      <c r="J546" s="132"/>
      <c r="K546" s="8"/>
    </row>
    <row r="547" spans="2:11" ht="15" hidden="1" customHeight="1" x14ac:dyDescent="0.25">
      <c r="B547" s="7"/>
      <c r="C547" s="148">
        <v>32</v>
      </c>
      <c r="D547" s="135"/>
      <c r="E547" s="135"/>
      <c r="F547" s="135"/>
      <c r="G547" s="135"/>
      <c r="H547" s="135"/>
      <c r="I547" s="135"/>
      <c r="J547" s="132"/>
      <c r="K547" s="8"/>
    </row>
    <row r="548" spans="2:11" ht="15" hidden="1" customHeight="1" x14ac:dyDescent="0.25">
      <c r="B548" s="7"/>
      <c r="C548" s="148">
        <v>33</v>
      </c>
      <c r="D548" s="135"/>
      <c r="E548" s="135"/>
      <c r="F548" s="135"/>
      <c r="G548" s="135"/>
      <c r="H548" s="135"/>
      <c r="I548" s="135"/>
      <c r="J548" s="132"/>
      <c r="K548" s="8"/>
    </row>
    <row r="549" spans="2:11" ht="15" hidden="1" customHeight="1" x14ac:dyDescent="0.25">
      <c r="B549" s="7"/>
      <c r="C549" s="148">
        <v>34</v>
      </c>
      <c r="D549" s="135"/>
      <c r="E549" s="135"/>
      <c r="F549" s="135"/>
      <c r="G549" s="135"/>
      <c r="H549" s="135"/>
      <c r="I549" s="135"/>
      <c r="J549" s="132"/>
      <c r="K549" s="8"/>
    </row>
    <row r="550" spans="2:11" ht="15" hidden="1" customHeight="1" x14ac:dyDescent="0.25">
      <c r="B550" s="7"/>
      <c r="C550" s="148">
        <v>35</v>
      </c>
      <c r="D550" s="135"/>
      <c r="E550" s="135"/>
      <c r="F550" s="135"/>
      <c r="G550" s="135"/>
      <c r="H550" s="135"/>
      <c r="I550" s="135"/>
      <c r="J550" s="132"/>
      <c r="K550" s="8"/>
    </row>
    <row r="551" spans="2:11" ht="15" hidden="1" customHeight="1" x14ac:dyDescent="0.25">
      <c r="B551" s="7"/>
      <c r="C551" s="148">
        <v>36</v>
      </c>
      <c r="D551" s="135"/>
      <c r="E551" s="135"/>
      <c r="F551" s="135"/>
      <c r="G551" s="135"/>
      <c r="H551" s="135"/>
      <c r="I551" s="135"/>
      <c r="J551" s="132"/>
      <c r="K551" s="8"/>
    </row>
    <row r="552" spans="2:11" ht="15" hidden="1" customHeight="1" x14ac:dyDescent="0.25">
      <c r="B552" s="7"/>
      <c r="C552" s="148">
        <v>37</v>
      </c>
      <c r="D552" s="135"/>
      <c r="E552" s="135"/>
      <c r="F552" s="135"/>
      <c r="G552" s="135"/>
      <c r="H552" s="135"/>
      <c r="I552" s="135"/>
      <c r="J552" s="132"/>
      <c r="K552" s="8"/>
    </row>
    <row r="553" spans="2:11" ht="15" hidden="1" customHeight="1" x14ac:dyDescent="0.25">
      <c r="B553" s="7"/>
      <c r="C553" s="148">
        <v>38</v>
      </c>
      <c r="D553" s="135"/>
      <c r="E553" s="135"/>
      <c r="F553" s="135"/>
      <c r="G553" s="135"/>
      <c r="H553" s="135"/>
      <c r="I553" s="135"/>
      <c r="J553" s="132"/>
      <c r="K553" s="8"/>
    </row>
    <row r="554" spans="2:11" ht="15" hidden="1" customHeight="1" x14ac:dyDescent="0.25">
      <c r="B554" s="7"/>
      <c r="C554" s="148">
        <v>39</v>
      </c>
      <c r="D554" s="135"/>
      <c r="E554" s="135"/>
      <c r="F554" s="135"/>
      <c r="G554" s="135"/>
      <c r="H554" s="135"/>
      <c r="I554" s="135"/>
      <c r="J554" s="132"/>
      <c r="K554" s="8"/>
    </row>
    <row r="555" spans="2:11" ht="15" hidden="1" customHeight="1" x14ac:dyDescent="0.25">
      <c r="B555" s="7"/>
      <c r="C555" s="148">
        <v>40</v>
      </c>
      <c r="D555" s="135"/>
      <c r="E555" s="135"/>
      <c r="F555" s="135"/>
      <c r="G555" s="135"/>
      <c r="H555" s="135"/>
      <c r="I555" s="135"/>
      <c r="J555" s="132"/>
      <c r="K555" s="8"/>
    </row>
    <row r="556" spans="2:11" ht="15" hidden="1" customHeight="1" x14ac:dyDescent="0.25">
      <c r="B556" s="7"/>
      <c r="C556" s="148">
        <v>41</v>
      </c>
      <c r="D556" s="135"/>
      <c r="E556" s="135"/>
      <c r="F556" s="135"/>
      <c r="G556" s="135"/>
      <c r="H556" s="135"/>
      <c r="I556" s="135"/>
      <c r="J556" s="132"/>
      <c r="K556" s="8"/>
    </row>
    <row r="557" spans="2:11" ht="15" hidden="1" customHeight="1" x14ac:dyDescent="0.25">
      <c r="B557" s="7"/>
      <c r="C557" s="148">
        <v>42</v>
      </c>
      <c r="D557" s="135"/>
      <c r="E557" s="135"/>
      <c r="F557" s="135"/>
      <c r="G557" s="135"/>
      <c r="H557" s="135"/>
      <c r="I557" s="135"/>
      <c r="J557" s="132"/>
      <c r="K557" s="8"/>
    </row>
    <row r="558" spans="2:11" ht="15" hidden="1" customHeight="1" x14ac:dyDescent="0.25">
      <c r="B558" s="7"/>
      <c r="C558" s="148">
        <v>43</v>
      </c>
      <c r="D558" s="135"/>
      <c r="E558" s="135"/>
      <c r="F558" s="135"/>
      <c r="G558" s="135"/>
      <c r="H558" s="135"/>
      <c r="I558" s="135"/>
      <c r="J558" s="132"/>
      <c r="K558" s="8"/>
    </row>
    <row r="559" spans="2:11" ht="15" hidden="1" customHeight="1" x14ac:dyDescent="0.25">
      <c r="B559" s="7"/>
      <c r="C559" s="148">
        <v>44</v>
      </c>
      <c r="D559" s="135"/>
      <c r="E559" s="135"/>
      <c r="F559" s="135"/>
      <c r="G559" s="135"/>
      <c r="H559" s="135"/>
      <c r="I559" s="135"/>
      <c r="J559" s="132"/>
      <c r="K559" s="8"/>
    </row>
    <row r="560" spans="2:11" ht="15" hidden="1" customHeight="1" x14ac:dyDescent="0.25">
      <c r="B560" s="7"/>
      <c r="C560" s="148">
        <v>45</v>
      </c>
      <c r="D560" s="135"/>
      <c r="E560" s="135"/>
      <c r="F560" s="135"/>
      <c r="G560" s="135"/>
      <c r="H560" s="135"/>
      <c r="I560" s="135"/>
      <c r="J560" s="132"/>
      <c r="K560" s="8"/>
    </row>
    <row r="561" spans="2:11" ht="15" hidden="1" customHeight="1" x14ac:dyDescent="0.25">
      <c r="B561" s="7"/>
      <c r="C561" s="148">
        <v>46</v>
      </c>
      <c r="D561" s="135"/>
      <c r="E561" s="135"/>
      <c r="F561" s="135"/>
      <c r="G561" s="135"/>
      <c r="H561" s="135"/>
      <c r="I561" s="135"/>
      <c r="J561" s="132"/>
      <c r="K561" s="8"/>
    </row>
    <row r="562" spans="2:11" ht="15" hidden="1" customHeight="1" x14ac:dyDescent="0.25">
      <c r="B562" s="7"/>
      <c r="C562" s="148">
        <v>47</v>
      </c>
      <c r="D562" s="135"/>
      <c r="E562" s="135"/>
      <c r="F562" s="135"/>
      <c r="G562" s="135"/>
      <c r="H562" s="135"/>
      <c r="I562" s="135"/>
      <c r="J562" s="132"/>
      <c r="K562" s="8"/>
    </row>
    <row r="563" spans="2:11" ht="15" hidden="1" customHeight="1" x14ac:dyDescent="0.25">
      <c r="B563" s="7"/>
      <c r="C563" s="148">
        <v>48</v>
      </c>
      <c r="D563" s="135"/>
      <c r="E563" s="135"/>
      <c r="F563" s="135"/>
      <c r="G563" s="135"/>
      <c r="H563" s="135"/>
      <c r="I563" s="135"/>
      <c r="J563" s="132"/>
      <c r="K563" s="8"/>
    </row>
    <row r="564" spans="2:11" ht="15" hidden="1" customHeight="1" x14ac:dyDescent="0.25">
      <c r="B564" s="7"/>
      <c r="C564" s="148">
        <v>49</v>
      </c>
      <c r="D564" s="135"/>
      <c r="E564" s="135"/>
      <c r="F564" s="135"/>
      <c r="G564" s="135"/>
      <c r="H564" s="135"/>
      <c r="I564" s="135"/>
      <c r="J564" s="132"/>
      <c r="K564" s="8"/>
    </row>
    <row r="565" spans="2:11" ht="15" hidden="1" customHeight="1" x14ac:dyDescent="0.25">
      <c r="B565" s="7"/>
      <c r="C565" s="148">
        <v>50</v>
      </c>
      <c r="D565" s="135"/>
      <c r="E565" s="135"/>
      <c r="F565" s="135"/>
      <c r="G565" s="135"/>
      <c r="H565" s="135"/>
      <c r="I565" s="135"/>
      <c r="J565" s="132"/>
      <c r="K565" s="8"/>
    </row>
    <row r="566" spans="2:11" ht="15" hidden="1" customHeight="1" x14ac:dyDescent="0.25">
      <c r="B566" s="7"/>
      <c r="C566" s="123"/>
      <c r="D566" s="123"/>
      <c r="E566" s="123"/>
      <c r="F566" s="123"/>
      <c r="G566" s="123"/>
      <c r="H566" s="123"/>
      <c r="I566" s="123"/>
      <c r="J566" s="123"/>
      <c r="K566" s="8"/>
    </row>
    <row r="567" spans="2:11" ht="15" hidden="1" customHeight="1" x14ac:dyDescent="0.25">
      <c r="B567" s="7"/>
      <c r="C567" s="123" t="s">
        <v>4373</v>
      </c>
      <c r="D567" s="123"/>
      <c r="E567" s="123"/>
      <c r="F567" s="123"/>
      <c r="G567" s="123"/>
      <c r="H567" s="123"/>
      <c r="I567" s="123"/>
      <c r="J567" s="123"/>
      <c r="K567" s="8"/>
    </row>
    <row r="568" spans="2:11" ht="15" hidden="1" customHeight="1" x14ac:dyDescent="0.25">
      <c r="B568" s="7"/>
      <c r="C568" s="145" t="str">
        <f>IF(I.Product.P4GasToPowerBaselineYear="","",I.Product.P4GasToPowerBaselineYear+1)</f>
        <v/>
      </c>
      <c r="D568" s="146"/>
      <c r="E568" s="147"/>
      <c r="F568" s="123"/>
      <c r="G568" s="123"/>
      <c r="H568" s="123"/>
      <c r="I568" s="123"/>
      <c r="J568" s="123"/>
      <c r="K568" s="8"/>
    </row>
    <row r="569" spans="2:11" ht="15" hidden="1" customHeight="1" x14ac:dyDescent="0.25">
      <c r="B569" s="7"/>
      <c r="C569" s="123"/>
      <c r="D569" s="123"/>
      <c r="E569" s="123"/>
      <c r="F569" s="123"/>
      <c r="G569" s="123"/>
      <c r="H569" s="123"/>
      <c r="I569" s="123"/>
      <c r="J569" s="123"/>
      <c r="K569" s="8"/>
    </row>
    <row r="570" spans="2:11" ht="15" hidden="1" customHeight="1" x14ac:dyDescent="0.25">
      <c r="B570" s="7"/>
      <c r="C570" s="123" t="s">
        <v>4375</v>
      </c>
      <c r="D570" s="123"/>
      <c r="E570" s="123"/>
      <c r="F570" s="123"/>
      <c r="G570" s="123"/>
      <c r="H570" s="123"/>
      <c r="I570" s="123"/>
      <c r="J570" s="123"/>
      <c r="K570" s="8"/>
    </row>
    <row r="571" spans="2:11" ht="15" hidden="1" customHeight="1" x14ac:dyDescent="0.25">
      <c r="B571" s="7"/>
      <c r="C571" s="99"/>
      <c r="D571" s="100"/>
      <c r="E571" s="109"/>
      <c r="F571" s="123"/>
      <c r="G571" s="123"/>
      <c r="H571" s="123"/>
      <c r="I571" s="123"/>
      <c r="J571" s="123"/>
      <c r="K571" s="8"/>
    </row>
    <row r="572" spans="2:11" ht="15" hidden="1" customHeight="1" x14ac:dyDescent="0.25">
      <c r="B572" s="7"/>
      <c r="C572" s="123"/>
      <c r="D572" s="123"/>
      <c r="E572" s="123"/>
      <c r="F572" s="123"/>
      <c r="G572" s="123"/>
      <c r="H572" s="123"/>
      <c r="I572" s="123"/>
      <c r="J572" s="123"/>
      <c r="K572" s="8"/>
    </row>
    <row r="573" spans="2:11" ht="15" hidden="1" customHeight="1" x14ac:dyDescent="0.25">
      <c r="B573" s="7"/>
      <c r="C573" s="150" t="s">
        <v>57</v>
      </c>
      <c r="D573" s="153" t="s">
        <v>215</v>
      </c>
      <c r="E573" s="153" t="s">
        <v>216</v>
      </c>
      <c r="F573" s="153" t="s">
        <v>220</v>
      </c>
      <c r="G573" s="153" t="s">
        <v>245</v>
      </c>
      <c r="H573" s="153" t="s">
        <v>217</v>
      </c>
      <c r="I573" s="153" t="s">
        <v>218</v>
      </c>
      <c r="J573" s="153" t="s">
        <v>219</v>
      </c>
      <c r="K573" s="8"/>
    </row>
    <row r="574" spans="2:11" ht="15" hidden="1" customHeight="1" x14ac:dyDescent="0.25">
      <c r="B574" s="7"/>
      <c r="C574" s="151"/>
      <c r="D574" s="154"/>
      <c r="E574" s="154"/>
      <c r="F574" s="154"/>
      <c r="G574" s="154"/>
      <c r="H574" s="154"/>
      <c r="I574" s="154"/>
      <c r="J574" s="154"/>
      <c r="K574" s="8"/>
    </row>
    <row r="575" spans="2:11" ht="15" hidden="1" customHeight="1" x14ac:dyDescent="0.25">
      <c r="B575" s="7"/>
      <c r="C575" s="151"/>
      <c r="D575" s="154"/>
      <c r="E575" s="154"/>
      <c r="F575" s="154"/>
      <c r="G575" s="154"/>
      <c r="H575" s="154"/>
      <c r="I575" s="154"/>
      <c r="J575" s="154"/>
      <c r="K575" s="8"/>
    </row>
    <row r="576" spans="2:11" ht="15" hidden="1" customHeight="1" x14ac:dyDescent="0.35">
      <c r="B576" s="7"/>
      <c r="C576" s="152"/>
      <c r="D576" s="149" t="s">
        <v>213</v>
      </c>
      <c r="E576" s="149" t="s">
        <v>213</v>
      </c>
      <c r="F576" s="149" t="s">
        <v>214</v>
      </c>
      <c r="G576" s="155" t="s">
        <v>4325</v>
      </c>
      <c r="H576" s="156" t="s">
        <v>4326</v>
      </c>
      <c r="I576" s="156" t="s">
        <v>4327</v>
      </c>
      <c r="J576" s="157" t="s">
        <v>4328</v>
      </c>
      <c r="K576" s="8"/>
    </row>
    <row r="577" spans="2:11" ht="15" hidden="1" customHeight="1" x14ac:dyDescent="0.25">
      <c r="B577" s="7"/>
      <c r="C577" s="148">
        <v>1</v>
      </c>
      <c r="D577" s="135"/>
      <c r="E577" s="135"/>
      <c r="F577" s="135"/>
      <c r="G577" s="135"/>
      <c r="H577" s="135"/>
      <c r="I577" s="135"/>
      <c r="J577" s="132"/>
      <c r="K577" s="8"/>
    </row>
    <row r="578" spans="2:11" ht="15" hidden="1" customHeight="1" x14ac:dyDescent="0.25">
      <c r="B578" s="7"/>
      <c r="C578" s="148">
        <v>2</v>
      </c>
      <c r="D578" s="135"/>
      <c r="E578" s="135"/>
      <c r="F578" s="135"/>
      <c r="G578" s="135"/>
      <c r="H578" s="135"/>
      <c r="I578" s="135"/>
      <c r="J578" s="132"/>
      <c r="K578" s="8"/>
    </row>
    <row r="579" spans="2:11" ht="15" hidden="1" customHeight="1" x14ac:dyDescent="0.25">
      <c r="B579" s="7"/>
      <c r="C579" s="148">
        <v>3</v>
      </c>
      <c r="D579" s="135"/>
      <c r="E579" s="135"/>
      <c r="F579" s="135"/>
      <c r="G579" s="135"/>
      <c r="H579" s="135"/>
      <c r="I579" s="135"/>
      <c r="J579" s="132"/>
      <c r="K579" s="8"/>
    </row>
    <row r="580" spans="2:11" ht="15" hidden="1" customHeight="1" x14ac:dyDescent="0.25">
      <c r="B580" s="7"/>
      <c r="C580" s="148">
        <v>4</v>
      </c>
      <c r="D580" s="135"/>
      <c r="E580" s="135"/>
      <c r="F580" s="135"/>
      <c r="G580" s="135"/>
      <c r="H580" s="135"/>
      <c r="I580" s="135"/>
      <c r="J580" s="132"/>
      <c r="K580" s="8"/>
    </row>
    <row r="581" spans="2:11" ht="15" hidden="1" customHeight="1" x14ac:dyDescent="0.25">
      <c r="B581" s="7"/>
      <c r="C581" s="148">
        <v>5</v>
      </c>
      <c r="D581" s="135"/>
      <c r="E581" s="135"/>
      <c r="F581" s="135"/>
      <c r="G581" s="135"/>
      <c r="H581" s="135"/>
      <c r="I581" s="135"/>
      <c r="J581" s="132"/>
      <c r="K581" s="8"/>
    </row>
    <row r="582" spans="2:11" ht="15" hidden="1" customHeight="1" x14ac:dyDescent="0.25">
      <c r="B582" s="7"/>
      <c r="C582" s="148">
        <v>6</v>
      </c>
      <c r="D582" s="135"/>
      <c r="E582" s="135"/>
      <c r="F582" s="135"/>
      <c r="G582" s="135"/>
      <c r="H582" s="135"/>
      <c r="I582" s="135"/>
      <c r="J582" s="132"/>
      <c r="K582" s="8"/>
    </row>
    <row r="583" spans="2:11" ht="15" hidden="1" customHeight="1" x14ac:dyDescent="0.25">
      <c r="B583" s="7"/>
      <c r="C583" s="148">
        <v>7</v>
      </c>
      <c r="D583" s="135"/>
      <c r="E583" s="135"/>
      <c r="F583" s="135"/>
      <c r="G583" s="135"/>
      <c r="H583" s="135"/>
      <c r="I583" s="135"/>
      <c r="J583" s="132"/>
      <c r="K583" s="8"/>
    </row>
    <row r="584" spans="2:11" ht="15" hidden="1" customHeight="1" x14ac:dyDescent="0.25">
      <c r="B584" s="7"/>
      <c r="C584" s="148">
        <v>8</v>
      </c>
      <c r="D584" s="135"/>
      <c r="E584" s="135"/>
      <c r="F584" s="135"/>
      <c r="G584" s="135"/>
      <c r="H584" s="135"/>
      <c r="I584" s="135"/>
      <c r="J584" s="132"/>
      <c r="K584" s="8"/>
    </row>
    <row r="585" spans="2:11" ht="15" hidden="1" customHeight="1" x14ac:dyDescent="0.25">
      <c r="B585" s="7"/>
      <c r="C585" s="148">
        <v>9</v>
      </c>
      <c r="D585" s="135"/>
      <c r="E585" s="135"/>
      <c r="F585" s="135"/>
      <c r="G585" s="135"/>
      <c r="H585" s="135"/>
      <c r="I585" s="135"/>
      <c r="J585" s="132"/>
      <c r="K585" s="8"/>
    </row>
    <row r="586" spans="2:11" ht="15" hidden="1" customHeight="1" x14ac:dyDescent="0.25">
      <c r="B586" s="7"/>
      <c r="C586" s="148">
        <v>10</v>
      </c>
      <c r="D586" s="135"/>
      <c r="E586" s="135"/>
      <c r="F586" s="135"/>
      <c r="G586" s="135"/>
      <c r="H586" s="135"/>
      <c r="I586" s="135"/>
      <c r="J586" s="132"/>
      <c r="K586" s="8"/>
    </row>
    <row r="587" spans="2:11" ht="15" hidden="1" customHeight="1" x14ac:dyDescent="0.25">
      <c r="B587" s="7"/>
      <c r="C587" s="148">
        <v>11</v>
      </c>
      <c r="D587" s="135"/>
      <c r="E587" s="135"/>
      <c r="F587" s="135"/>
      <c r="G587" s="135"/>
      <c r="H587" s="135"/>
      <c r="I587" s="135"/>
      <c r="J587" s="132"/>
      <c r="K587" s="8"/>
    </row>
    <row r="588" spans="2:11" ht="15" hidden="1" customHeight="1" x14ac:dyDescent="0.25">
      <c r="B588" s="7"/>
      <c r="C588" s="148">
        <v>12</v>
      </c>
      <c r="D588" s="135"/>
      <c r="E588" s="135"/>
      <c r="F588" s="135"/>
      <c r="G588" s="135"/>
      <c r="H588" s="135"/>
      <c r="I588" s="135"/>
      <c r="J588" s="132"/>
      <c r="K588" s="8"/>
    </row>
    <row r="589" spans="2:11" ht="15" hidden="1" customHeight="1" x14ac:dyDescent="0.25">
      <c r="B589" s="7"/>
      <c r="C589" s="148">
        <v>13</v>
      </c>
      <c r="D589" s="135"/>
      <c r="E589" s="135"/>
      <c r="F589" s="135"/>
      <c r="G589" s="135"/>
      <c r="H589" s="135"/>
      <c r="I589" s="135"/>
      <c r="J589" s="132"/>
      <c r="K589" s="8"/>
    </row>
    <row r="590" spans="2:11" ht="15" hidden="1" customHeight="1" x14ac:dyDescent="0.25">
      <c r="B590" s="7"/>
      <c r="C590" s="148">
        <v>14</v>
      </c>
      <c r="D590" s="135"/>
      <c r="E590" s="135"/>
      <c r="F590" s="135"/>
      <c r="G590" s="135"/>
      <c r="H590" s="135"/>
      <c r="I590" s="135"/>
      <c r="J590" s="132"/>
      <c r="K590" s="8"/>
    </row>
    <row r="591" spans="2:11" ht="15" hidden="1" customHeight="1" x14ac:dyDescent="0.25">
      <c r="B591" s="7"/>
      <c r="C591" s="148">
        <v>15</v>
      </c>
      <c r="D591" s="135"/>
      <c r="E591" s="135"/>
      <c r="F591" s="135"/>
      <c r="G591" s="135"/>
      <c r="H591" s="135"/>
      <c r="I591" s="135"/>
      <c r="J591" s="132"/>
      <c r="K591" s="8"/>
    </row>
    <row r="592" spans="2:11" ht="15" hidden="1" customHeight="1" x14ac:dyDescent="0.25">
      <c r="B592" s="7"/>
      <c r="C592" s="148">
        <v>16</v>
      </c>
      <c r="D592" s="135"/>
      <c r="E592" s="135"/>
      <c r="F592" s="135"/>
      <c r="G592" s="135"/>
      <c r="H592" s="135"/>
      <c r="I592" s="135"/>
      <c r="J592" s="132"/>
      <c r="K592" s="8"/>
    </row>
    <row r="593" spans="2:11" ht="15" hidden="1" customHeight="1" x14ac:dyDescent="0.25">
      <c r="B593" s="7"/>
      <c r="C593" s="148">
        <v>17</v>
      </c>
      <c r="D593" s="135"/>
      <c r="E593" s="135"/>
      <c r="F593" s="135"/>
      <c r="G593" s="135"/>
      <c r="H593" s="135"/>
      <c r="I593" s="135"/>
      <c r="J593" s="132"/>
      <c r="K593" s="8"/>
    </row>
    <row r="594" spans="2:11" ht="15" hidden="1" customHeight="1" x14ac:dyDescent="0.25">
      <c r="B594" s="7"/>
      <c r="C594" s="148">
        <v>18</v>
      </c>
      <c r="D594" s="135"/>
      <c r="E594" s="135"/>
      <c r="F594" s="135"/>
      <c r="G594" s="135"/>
      <c r="H594" s="135"/>
      <c r="I594" s="135"/>
      <c r="J594" s="132"/>
      <c r="K594" s="8"/>
    </row>
    <row r="595" spans="2:11" ht="15" hidden="1" customHeight="1" x14ac:dyDescent="0.25">
      <c r="B595" s="7"/>
      <c r="C595" s="148">
        <v>19</v>
      </c>
      <c r="D595" s="135"/>
      <c r="E595" s="135"/>
      <c r="F595" s="135"/>
      <c r="G595" s="135"/>
      <c r="H595" s="135"/>
      <c r="I595" s="135"/>
      <c r="J595" s="132"/>
      <c r="K595" s="8"/>
    </row>
    <row r="596" spans="2:11" ht="15" hidden="1" customHeight="1" x14ac:dyDescent="0.25">
      <c r="B596" s="7"/>
      <c r="C596" s="148">
        <v>20</v>
      </c>
      <c r="D596" s="135"/>
      <c r="E596" s="135"/>
      <c r="F596" s="135"/>
      <c r="G596" s="135"/>
      <c r="H596" s="135"/>
      <c r="I596" s="135"/>
      <c r="J596" s="132"/>
      <c r="K596" s="8"/>
    </row>
    <row r="597" spans="2:11" ht="15" hidden="1" customHeight="1" x14ac:dyDescent="0.25">
      <c r="B597" s="7"/>
      <c r="C597" s="148">
        <v>21</v>
      </c>
      <c r="D597" s="135"/>
      <c r="E597" s="135"/>
      <c r="F597" s="135"/>
      <c r="G597" s="135"/>
      <c r="H597" s="135"/>
      <c r="I597" s="135"/>
      <c r="J597" s="132"/>
      <c r="K597" s="8"/>
    </row>
    <row r="598" spans="2:11" ht="15" hidden="1" customHeight="1" x14ac:dyDescent="0.25">
      <c r="B598" s="7"/>
      <c r="C598" s="148">
        <v>22</v>
      </c>
      <c r="D598" s="135"/>
      <c r="E598" s="135"/>
      <c r="F598" s="135"/>
      <c r="G598" s="135"/>
      <c r="H598" s="135"/>
      <c r="I598" s="135"/>
      <c r="J598" s="132"/>
      <c r="K598" s="8"/>
    </row>
    <row r="599" spans="2:11" ht="15" hidden="1" customHeight="1" x14ac:dyDescent="0.25">
      <c r="B599" s="7"/>
      <c r="C599" s="148">
        <v>23</v>
      </c>
      <c r="D599" s="135"/>
      <c r="E599" s="135"/>
      <c r="F599" s="135"/>
      <c r="G599" s="135"/>
      <c r="H599" s="135"/>
      <c r="I599" s="135"/>
      <c r="J599" s="132"/>
      <c r="K599" s="8"/>
    </row>
    <row r="600" spans="2:11" ht="15" hidden="1" customHeight="1" x14ac:dyDescent="0.25">
      <c r="B600" s="7"/>
      <c r="C600" s="148">
        <v>24</v>
      </c>
      <c r="D600" s="135"/>
      <c r="E600" s="135"/>
      <c r="F600" s="135"/>
      <c r="G600" s="135"/>
      <c r="H600" s="135"/>
      <c r="I600" s="135"/>
      <c r="J600" s="132"/>
      <c r="K600" s="8"/>
    </row>
    <row r="601" spans="2:11" ht="15" hidden="1" customHeight="1" x14ac:dyDescent="0.25">
      <c r="B601" s="7"/>
      <c r="C601" s="148">
        <v>25</v>
      </c>
      <c r="D601" s="135"/>
      <c r="E601" s="135"/>
      <c r="F601" s="135"/>
      <c r="G601" s="135"/>
      <c r="H601" s="135"/>
      <c r="I601" s="135"/>
      <c r="J601" s="132"/>
      <c r="K601" s="8"/>
    </row>
    <row r="602" spans="2:11" ht="15" hidden="1" customHeight="1" x14ac:dyDescent="0.25">
      <c r="B602" s="7"/>
      <c r="C602" s="148">
        <v>26</v>
      </c>
      <c r="D602" s="135"/>
      <c r="E602" s="135"/>
      <c r="F602" s="135"/>
      <c r="G602" s="135"/>
      <c r="H602" s="135"/>
      <c r="I602" s="135"/>
      <c r="J602" s="132"/>
      <c r="K602" s="8"/>
    </row>
    <row r="603" spans="2:11" ht="15" hidden="1" customHeight="1" x14ac:dyDescent="0.25">
      <c r="B603" s="7"/>
      <c r="C603" s="148">
        <v>27</v>
      </c>
      <c r="D603" s="135"/>
      <c r="E603" s="135"/>
      <c r="F603" s="135"/>
      <c r="G603" s="135"/>
      <c r="H603" s="135"/>
      <c r="I603" s="135"/>
      <c r="J603" s="132"/>
      <c r="K603" s="8"/>
    </row>
    <row r="604" spans="2:11" ht="15" hidden="1" customHeight="1" x14ac:dyDescent="0.25">
      <c r="B604" s="7"/>
      <c r="C604" s="148">
        <v>28</v>
      </c>
      <c r="D604" s="135"/>
      <c r="E604" s="135"/>
      <c r="F604" s="135"/>
      <c r="G604" s="135"/>
      <c r="H604" s="135"/>
      <c r="I604" s="135"/>
      <c r="J604" s="132"/>
      <c r="K604" s="8"/>
    </row>
    <row r="605" spans="2:11" ht="15" hidden="1" customHeight="1" x14ac:dyDescent="0.25">
      <c r="B605" s="7"/>
      <c r="C605" s="148">
        <v>29</v>
      </c>
      <c r="D605" s="135"/>
      <c r="E605" s="135"/>
      <c r="F605" s="135"/>
      <c r="G605" s="135"/>
      <c r="H605" s="135"/>
      <c r="I605" s="135"/>
      <c r="J605" s="132"/>
      <c r="K605" s="8"/>
    </row>
    <row r="606" spans="2:11" ht="15" hidden="1" customHeight="1" x14ac:dyDescent="0.25">
      <c r="B606" s="7"/>
      <c r="C606" s="148">
        <v>30</v>
      </c>
      <c r="D606" s="135"/>
      <c r="E606" s="135"/>
      <c r="F606" s="135"/>
      <c r="G606" s="135"/>
      <c r="H606" s="135"/>
      <c r="I606" s="135"/>
      <c r="J606" s="132"/>
      <c r="K606" s="8"/>
    </row>
    <row r="607" spans="2:11" ht="15" hidden="1" customHeight="1" x14ac:dyDescent="0.25">
      <c r="B607" s="7"/>
      <c r="C607" s="148">
        <v>31</v>
      </c>
      <c r="D607" s="135"/>
      <c r="E607" s="135"/>
      <c r="F607" s="135"/>
      <c r="G607" s="135"/>
      <c r="H607" s="135"/>
      <c r="I607" s="135"/>
      <c r="J607" s="132"/>
      <c r="K607" s="8"/>
    </row>
    <row r="608" spans="2:11" ht="15" hidden="1" customHeight="1" x14ac:dyDescent="0.25">
      <c r="B608" s="7"/>
      <c r="C608" s="148">
        <v>32</v>
      </c>
      <c r="D608" s="135"/>
      <c r="E608" s="135"/>
      <c r="F608" s="135"/>
      <c r="G608" s="135"/>
      <c r="H608" s="135"/>
      <c r="I608" s="135"/>
      <c r="J608" s="132"/>
      <c r="K608" s="8"/>
    </row>
    <row r="609" spans="2:11" ht="15" hidden="1" customHeight="1" x14ac:dyDescent="0.25">
      <c r="B609" s="7"/>
      <c r="C609" s="148">
        <v>33</v>
      </c>
      <c r="D609" s="135"/>
      <c r="E609" s="135"/>
      <c r="F609" s="135"/>
      <c r="G609" s="135"/>
      <c r="H609" s="135"/>
      <c r="I609" s="135"/>
      <c r="J609" s="132"/>
      <c r="K609" s="8"/>
    </row>
    <row r="610" spans="2:11" ht="15" hidden="1" customHeight="1" x14ac:dyDescent="0.25">
      <c r="B610" s="7"/>
      <c r="C610" s="148">
        <v>34</v>
      </c>
      <c r="D610" s="135"/>
      <c r="E610" s="135"/>
      <c r="F610" s="135"/>
      <c r="G610" s="135"/>
      <c r="H610" s="135"/>
      <c r="I610" s="135"/>
      <c r="J610" s="132"/>
      <c r="K610" s="8"/>
    </row>
    <row r="611" spans="2:11" ht="15" hidden="1" customHeight="1" x14ac:dyDescent="0.25">
      <c r="B611" s="7"/>
      <c r="C611" s="148">
        <v>35</v>
      </c>
      <c r="D611" s="135"/>
      <c r="E611" s="135"/>
      <c r="F611" s="135"/>
      <c r="G611" s="135"/>
      <c r="H611" s="135"/>
      <c r="I611" s="135"/>
      <c r="J611" s="132"/>
      <c r="K611" s="8"/>
    </row>
    <row r="612" spans="2:11" ht="15" hidden="1" customHeight="1" x14ac:dyDescent="0.25">
      <c r="B612" s="7"/>
      <c r="C612" s="148">
        <v>36</v>
      </c>
      <c r="D612" s="135"/>
      <c r="E612" s="135"/>
      <c r="F612" s="135"/>
      <c r="G612" s="135"/>
      <c r="H612" s="135"/>
      <c r="I612" s="135"/>
      <c r="J612" s="132"/>
      <c r="K612" s="8"/>
    </row>
    <row r="613" spans="2:11" ht="15" hidden="1" customHeight="1" x14ac:dyDescent="0.25">
      <c r="B613" s="7"/>
      <c r="C613" s="148">
        <v>37</v>
      </c>
      <c r="D613" s="135"/>
      <c r="E613" s="135"/>
      <c r="F613" s="135"/>
      <c r="G613" s="135"/>
      <c r="H613" s="135"/>
      <c r="I613" s="135"/>
      <c r="J613" s="132"/>
      <c r="K613" s="8"/>
    </row>
    <row r="614" spans="2:11" ht="15" hidden="1" customHeight="1" x14ac:dyDescent="0.25">
      <c r="B614" s="7"/>
      <c r="C614" s="148">
        <v>38</v>
      </c>
      <c r="D614" s="135"/>
      <c r="E614" s="135"/>
      <c r="F614" s="135"/>
      <c r="G614" s="135"/>
      <c r="H614" s="135"/>
      <c r="I614" s="135"/>
      <c r="J614" s="132"/>
      <c r="K614" s="8"/>
    </row>
    <row r="615" spans="2:11" ht="15" hidden="1" customHeight="1" x14ac:dyDescent="0.25">
      <c r="B615" s="7"/>
      <c r="C615" s="148">
        <v>39</v>
      </c>
      <c r="D615" s="135"/>
      <c r="E615" s="135"/>
      <c r="F615" s="135"/>
      <c r="G615" s="135"/>
      <c r="H615" s="135"/>
      <c r="I615" s="135"/>
      <c r="J615" s="132"/>
      <c r="K615" s="8"/>
    </row>
    <row r="616" spans="2:11" ht="15" hidden="1" customHeight="1" x14ac:dyDescent="0.25">
      <c r="B616" s="7"/>
      <c r="C616" s="148">
        <v>40</v>
      </c>
      <c r="D616" s="135"/>
      <c r="E616" s="135"/>
      <c r="F616" s="135"/>
      <c r="G616" s="135"/>
      <c r="H616" s="135"/>
      <c r="I616" s="135"/>
      <c r="J616" s="132"/>
      <c r="K616" s="8"/>
    </row>
    <row r="617" spans="2:11" ht="15" hidden="1" customHeight="1" x14ac:dyDescent="0.25">
      <c r="B617" s="7"/>
      <c r="C617" s="148">
        <v>41</v>
      </c>
      <c r="D617" s="135"/>
      <c r="E617" s="135"/>
      <c r="F617" s="135"/>
      <c r="G617" s="135"/>
      <c r="H617" s="135"/>
      <c r="I617" s="135"/>
      <c r="J617" s="132"/>
      <c r="K617" s="8"/>
    </row>
    <row r="618" spans="2:11" ht="15" hidden="1" customHeight="1" x14ac:dyDescent="0.25">
      <c r="B618" s="7"/>
      <c r="C618" s="148">
        <v>42</v>
      </c>
      <c r="D618" s="135"/>
      <c r="E618" s="135"/>
      <c r="F618" s="135"/>
      <c r="G618" s="135"/>
      <c r="H618" s="135"/>
      <c r="I618" s="135"/>
      <c r="J618" s="132"/>
      <c r="K618" s="8"/>
    </row>
    <row r="619" spans="2:11" ht="15" hidden="1" customHeight="1" x14ac:dyDescent="0.25">
      <c r="B619" s="7"/>
      <c r="C619" s="148">
        <v>43</v>
      </c>
      <c r="D619" s="135"/>
      <c r="E619" s="135"/>
      <c r="F619" s="135"/>
      <c r="G619" s="135"/>
      <c r="H619" s="135"/>
      <c r="I619" s="135"/>
      <c r="J619" s="132"/>
      <c r="K619" s="8"/>
    </row>
    <row r="620" spans="2:11" ht="15" hidden="1" customHeight="1" x14ac:dyDescent="0.25">
      <c r="B620" s="7"/>
      <c r="C620" s="148">
        <v>44</v>
      </c>
      <c r="D620" s="135"/>
      <c r="E620" s="135"/>
      <c r="F620" s="135"/>
      <c r="G620" s="135"/>
      <c r="H620" s="135"/>
      <c r="I620" s="135"/>
      <c r="J620" s="132"/>
      <c r="K620" s="8"/>
    </row>
    <row r="621" spans="2:11" ht="15" hidden="1" customHeight="1" x14ac:dyDescent="0.25">
      <c r="B621" s="7"/>
      <c r="C621" s="148">
        <v>45</v>
      </c>
      <c r="D621" s="135"/>
      <c r="E621" s="135"/>
      <c r="F621" s="135"/>
      <c r="G621" s="135"/>
      <c r="H621" s="135"/>
      <c r="I621" s="135"/>
      <c r="J621" s="132"/>
      <c r="K621" s="8"/>
    </row>
    <row r="622" spans="2:11" ht="15" hidden="1" customHeight="1" x14ac:dyDescent="0.25">
      <c r="B622" s="7"/>
      <c r="C622" s="148">
        <v>46</v>
      </c>
      <c r="D622" s="135"/>
      <c r="E622" s="135"/>
      <c r="F622" s="135"/>
      <c r="G622" s="135"/>
      <c r="H622" s="135"/>
      <c r="I622" s="135"/>
      <c r="J622" s="132"/>
      <c r="K622" s="8"/>
    </row>
    <row r="623" spans="2:11" ht="15" hidden="1" customHeight="1" x14ac:dyDescent="0.25">
      <c r="B623" s="7"/>
      <c r="C623" s="148">
        <v>47</v>
      </c>
      <c r="D623" s="135"/>
      <c r="E623" s="135"/>
      <c r="F623" s="135"/>
      <c r="G623" s="135"/>
      <c r="H623" s="135"/>
      <c r="I623" s="135"/>
      <c r="J623" s="132"/>
      <c r="K623" s="8"/>
    </row>
    <row r="624" spans="2:11" ht="15" hidden="1" customHeight="1" x14ac:dyDescent="0.25">
      <c r="B624" s="7"/>
      <c r="C624" s="148">
        <v>48</v>
      </c>
      <c r="D624" s="135"/>
      <c r="E624" s="135"/>
      <c r="F624" s="135"/>
      <c r="G624" s="135"/>
      <c r="H624" s="135"/>
      <c r="I624" s="135"/>
      <c r="J624" s="132"/>
      <c r="K624" s="8"/>
    </row>
    <row r="625" spans="2:11" ht="15" hidden="1" customHeight="1" x14ac:dyDescent="0.25">
      <c r="B625" s="7"/>
      <c r="C625" s="148">
        <v>49</v>
      </c>
      <c r="D625" s="135"/>
      <c r="E625" s="135"/>
      <c r="F625" s="135"/>
      <c r="G625" s="135"/>
      <c r="H625" s="135"/>
      <c r="I625" s="135"/>
      <c r="J625" s="132"/>
      <c r="K625" s="8"/>
    </row>
    <row r="626" spans="2:11" ht="15" hidden="1" customHeight="1" x14ac:dyDescent="0.25">
      <c r="B626" s="7"/>
      <c r="C626" s="148">
        <v>50</v>
      </c>
      <c r="D626" s="135"/>
      <c r="E626" s="135"/>
      <c r="F626" s="135"/>
      <c r="G626" s="135"/>
      <c r="H626" s="135"/>
      <c r="I626" s="135"/>
      <c r="J626" s="132"/>
      <c r="K626" s="8"/>
    </row>
    <row r="627" spans="2:11" ht="15" hidden="1" customHeight="1" x14ac:dyDescent="0.25">
      <c r="B627" s="7"/>
      <c r="C627" s="123"/>
      <c r="D627" s="123"/>
      <c r="E627" s="123"/>
      <c r="F627" s="123"/>
      <c r="G627" s="123"/>
      <c r="H627" s="123"/>
      <c r="I627" s="123"/>
      <c r="J627" s="123"/>
      <c r="K627" s="8"/>
    </row>
    <row r="628" spans="2:11" ht="15" customHeight="1" x14ac:dyDescent="0.25">
      <c r="B628" s="7"/>
      <c r="C628" s="127"/>
      <c r="D628" s="127"/>
      <c r="E628" s="123"/>
      <c r="F628" s="123"/>
      <c r="G628" s="123"/>
      <c r="H628" s="123"/>
      <c r="I628" s="123"/>
      <c r="J628" s="123"/>
      <c r="K628" s="8"/>
    </row>
    <row r="629" spans="2:11" ht="15" customHeight="1" x14ac:dyDescent="0.25">
      <c r="B629" s="7"/>
      <c r="C629" s="123"/>
      <c r="D629" s="123"/>
      <c r="E629" s="123"/>
      <c r="F629" s="123"/>
      <c r="G629" s="123"/>
      <c r="H629" s="123"/>
      <c r="I629" s="123"/>
      <c r="J629" s="123"/>
      <c r="K629" s="8"/>
    </row>
    <row r="630" spans="2:11" ht="15" customHeight="1" x14ac:dyDescent="0.25">
      <c r="B630" s="10"/>
      <c r="C630" s="107">
        <f>R.Instructions.VersionNumber</f>
        <v>4.0199999999999996</v>
      </c>
      <c r="D630" s="107"/>
      <c r="E630" s="12"/>
      <c r="F630" s="12"/>
      <c r="G630" s="12"/>
      <c r="H630" s="12"/>
      <c r="I630" s="12"/>
      <c r="J630" s="13">
        <f>R.Instructions.VersionDate</f>
        <v>45411</v>
      </c>
      <c r="K630" s="14"/>
    </row>
    <row r="631" spans="2:11" customFormat="1" ht="15" customHeight="1" x14ac:dyDescent="0.25"/>
    <row r="632" spans="2:11" ht="15" customHeight="1" x14ac:dyDescent="0.25">
      <c r="C632" s="108" t="str">
        <f>IFERROR(VLOOKUP("Incomplete",Developer!H25428:I28937,2,FALSE),"Sheet complete.")</f>
        <v>Sheet complete.</v>
      </c>
      <c r="D632" s="108"/>
      <c r="E632" s="108"/>
      <c r="F632" s="108"/>
      <c r="G632" s="108"/>
      <c r="H632" s="108"/>
      <c r="I632" s="108"/>
      <c r="J632" s="108"/>
    </row>
    <row r="633" spans="2:11" ht="15" customHeight="1" x14ac:dyDescent="0.25">
      <c r="C633" s="108"/>
      <c r="D633" s="108"/>
      <c r="E633" s="108"/>
      <c r="F633" s="108"/>
      <c r="G633" s="108"/>
      <c r="H633" s="108"/>
      <c r="I633" s="108"/>
      <c r="J633" s="108"/>
    </row>
    <row r="634" spans="2:11" ht="15" customHeight="1" x14ac:dyDescent="0.25">
      <c r="C634" s="108"/>
      <c r="D634" s="108"/>
      <c r="E634" s="108"/>
      <c r="F634" s="108"/>
      <c r="G634" s="108"/>
      <c r="H634" s="108"/>
      <c r="I634" s="108"/>
      <c r="J634" s="108"/>
    </row>
  </sheetData>
  <sheetProtection algorithmName="SHA-512" hashValue="8gGQ1T14SWfKDicrlh6EpSPqh/MmxpzcvbQLe37Ddi/xradfUZi71ra5QBflVCK3stAZhC/u+X58XywxIukuQA==" saltValue="e72FpJQIJhgu6aZDCWRdEw==" spinCount="100000" sheet="1" objects="1" scenarios="1" selectLockedCells="1"/>
  <mergeCells count="110">
    <mergeCell ref="C6:J7"/>
    <mergeCell ref="I77:I79"/>
    <mergeCell ref="J77:J79"/>
    <mergeCell ref="C16:C19"/>
    <mergeCell ref="D16:D18"/>
    <mergeCell ref="E16:E18"/>
    <mergeCell ref="C77:C80"/>
    <mergeCell ref="D77:D79"/>
    <mergeCell ref="E77:E79"/>
    <mergeCell ref="C11:E11"/>
    <mergeCell ref="C14:E14"/>
    <mergeCell ref="C72:E72"/>
    <mergeCell ref="C75:E75"/>
    <mergeCell ref="C4:J4"/>
    <mergeCell ref="C8:J8"/>
    <mergeCell ref="C132:J132"/>
    <mergeCell ref="C256:J256"/>
    <mergeCell ref="F16:F18"/>
    <mergeCell ref="G16:G18"/>
    <mergeCell ref="H16:H18"/>
    <mergeCell ref="I16:I18"/>
    <mergeCell ref="J16:J18"/>
    <mergeCell ref="F140:F142"/>
    <mergeCell ref="G140:G142"/>
    <mergeCell ref="H140:H142"/>
    <mergeCell ref="I140:I142"/>
    <mergeCell ref="J140:J142"/>
    <mergeCell ref="F77:F79"/>
    <mergeCell ref="G77:G79"/>
    <mergeCell ref="H77:H79"/>
    <mergeCell ref="C201:C204"/>
    <mergeCell ref="D201:D203"/>
    <mergeCell ref="E201:E203"/>
    <mergeCell ref="F201:F203"/>
    <mergeCell ref="G201:G203"/>
    <mergeCell ref="H201:H203"/>
    <mergeCell ref="I201:I203"/>
    <mergeCell ref="H512:H514"/>
    <mergeCell ref="I512:I514"/>
    <mergeCell ref="J512:J514"/>
    <mergeCell ref="H449:H451"/>
    <mergeCell ref="I449:I451"/>
    <mergeCell ref="J449:J451"/>
    <mergeCell ref="C140:C143"/>
    <mergeCell ref="D140:D142"/>
    <mergeCell ref="E140:E142"/>
    <mergeCell ref="J201:J203"/>
    <mergeCell ref="H325:H327"/>
    <mergeCell ref="I325:I327"/>
    <mergeCell ref="J325:J327"/>
    <mergeCell ref="G388:G390"/>
    <mergeCell ref="H388:H390"/>
    <mergeCell ref="I388:I390"/>
    <mergeCell ref="J388:J390"/>
    <mergeCell ref="F325:F327"/>
    <mergeCell ref="G325:G327"/>
    <mergeCell ref="C380:J380"/>
    <mergeCell ref="H264:H266"/>
    <mergeCell ref="I264:I266"/>
    <mergeCell ref="J264:J266"/>
    <mergeCell ref="E388:E390"/>
    <mergeCell ref="C632:J634"/>
    <mergeCell ref="H573:H575"/>
    <mergeCell ref="I573:I575"/>
    <mergeCell ref="J573:J575"/>
    <mergeCell ref="C628:D628"/>
    <mergeCell ref="C630:D630"/>
    <mergeCell ref="C573:C576"/>
    <mergeCell ref="D573:D575"/>
    <mergeCell ref="E573:E575"/>
    <mergeCell ref="F573:F575"/>
    <mergeCell ref="G573:G575"/>
    <mergeCell ref="C512:C515"/>
    <mergeCell ref="D512:D514"/>
    <mergeCell ref="E512:E514"/>
    <mergeCell ref="C449:C452"/>
    <mergeCell ref="D449:D451"/>
    <mergeCell ref="E449:E451"/>
    <mergeCell ref="C568:E568"/>
    <mergeCell ref="C571:E571"/>
    <mergeCell ref="G264:G266"/>
    <mergeCell ref="C325:C328"/>
    <mergeCell ref="D325:D327"/>
    <mergeCell ref="F449:F451"/>
    <mergeCell ref="G449:G451"/>
    <mergeCell ref="F512:F514"/>
    <mergeCell ref="G512:G514"/>
    <mergeCell ref="F388:F390"/>
    <mergeCell ref="C264:C267"/>
    <mergeCell ref="D264:D266"/>
    <mergeCell ref="E264:E266"/>
    <mergeCell ref="F264:F266"/>
    <mergeCell ref="E325:E327"/>
    <mergeCell ref="C388:C391"/>
    <mergeCell ref="D388:D390"/>
    <mergeCell ref="C504:J504"/>
    <mergeCell ref="C386:E386"/>
    <mergeCell ref="C444:E444"/>
    <mergeCell ref="C447:E447"/>
    <mergeCell ref="C507:E507"/>
    <mergeCell ref="C510:E510"/>
    <mergeCell ref="C135:E135"/>
    <mergeCell ref="C138:E138"/>
    <mergeCell ref="C196:E196"/>
    <mergeCell ref="C199:E199"/>
    <mergeCell ref="C259:E259"/>
    <mergeCell ref="C262:E262"/>
    <mergeCell ref="C320:E320"/>
    <mergeCell ref="C323:E323"/>
    <mergeCell ref="C383:E383"/>
  </mergeCells>
  <conditionalFormatting sqref="C632">
    <cfRule type="cellIs" dxfId="4" priority="1" stopIfTrue="1" operator="equal">
      <formula>"Sheet complete."</formula>
    </cfRule>
  </conditionalFormatting>
  <printOptions horizontalCentered="1"/>
  <pageMargins left="0.25" right="0.25" top="0.25" bottom="0.25" header="0" footer="0"/>
  <pageSetup scale="67"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CB488-3C0A-43E0-9225-9AB34E0224D3}">
  <sheetPr codeName="Sheet7">
    <tabColor rgb="FF046A38"/>
    <pageSetUpPr fitToPage="1"/>
  </sheetPr>
  <dimension ref="A1:F212"/>
  <sheetViews>
    <sheetView showGridLines="0" showRowColHeaders="0" zoomScaleNormal="100" workbookViewId="0"/>
  </sheetViews>
  <sheetFormatPr defaultColWidth="8.7109375" defaultRowHeight="15" customHeight="1" x14ac:dyDescent="0.25"/>
  <cols>
    <col min="1" max="1" width="5.7109375" customWidth="1"/>
    <col min="2" max="2" width="5.7109375" style="122" customWidth="1"/>
    <col min="3" max="5" width="35.7109375" style="122" customWidth="1"/>
    <col min="6" max="6" width="5.7109375" style="122" customWidth="1"/>
    <col min="7" max="16384" width="8.7109375" style="122"/>
  </cols>
  <sheetData>
    <row r="1" spans="2:6" customFormat="1" ht="24.95" customHeight="1" x14ac:dyDescent="0.25"/>
    <row r="2" spans="2:6" customFormat="1" ht="24.95" customHeight="1" x14ac:dyDescent="0.25"/>
    <row r="3" spans="2:6" customFormat="1" ht="24.95" customHeight="1" x14ac:dyDescent="0.25"/>
    <row r="4" spans="2:6" ht="24.95" customHeight="1" x14ac:dyDescent="0.25">
      <c r="B4" s="15"/>
      <c r="C4" s="101" t="s">
        <v>40</v>
      </c>
      <c r="D4" s="101"/>
      <c r="E4" s="101"/>
      <c r="F4" s="16"/>
    </row>
    <row r="5" spans="2:6" ht="15" customHeight="1" x14ac:dyDescent="0.25">
      <c r="B5" s="7"/>
      <c r="C5" s="123"/>
      <c r="D5" s="123"/>
      <c r="E5" s="123"/>
      <c r="F5" s="8"/>
    </row>
    <row r="6" spans="2:6" ht="15" customHeight="1" x14ac:dyDescent="0.25">
      <c r="B6" s="7"/>
      <c r="C6" s="125" t="s">
        <v>41</v>
      </c>
      <c r="D6" s="124"/>
      <c r="E6" s="124"/>
      <c r="F6" s="8"/>
    </row>
    <row r="7" spans="2:6" ht="15" customHeight="1" x14ac:dyDescent="0.25">
      <c r="B7" s="7"/>
      <c r="C7" s="98"/>
      <c r="D7" s="98"/>
      <c r="E7" s="98"/>
      <c r="F7" s="8"/>
    </row>
    <row r="8" spans="2:6" ht="15" customHeight="1" x14ac:dyDescent="0.25">
      <c r="B8" s="7"/>
      <c r="C8" s="139" t="s">
        <v>42</v>
      </c>
      <c r="D8" s="160" t="s">
        <v>43</v>
      </c>
      <c r="E8" s="161"/>
      <c r="F8" s="8"/>
    </row>
    <row r="9" spans="2:6" ht="15" customHeight="1" x14ac:dyDescent="0.25">
      <c r="B9" s="7"/>
      <c r="C9" s="148" t="s">
        <v>46</v>
      </c>
      <c r="D9" s="162" t="s">
        <v>47</v>
      </c>
      <c r="E9" s="163"/>
      <c r="F9" s="8"/>
    </row>
    <row r="10" spans="2:6" ht="15" customHeight="1" x14ac:dyDescent="0.25">
      <c r="B10" s="7"/>
      <c r="C10" s="148" t="s">
        <v>101</v>
      </c>
      <c r="D10" s="162" t="s">
        <v>258</v>
      </c>
      <c r="E10" s="163"/>
      <c r="F10" s="8"/>
    </row>
    <row r="11" spans="2:6" ht="15" customHeight="1" x14ac:dyDescent="0.25">
      <c r="B11" s="7"/>
      <c r="C11" s="148" t="s">
        <v>44</v>
      </c>
      <c r="D11" s="162" t="s">
        <v>45</v>
      </c>
      <c r="E11" s="163"/>
      <c r="F11" s="8"/>
    </row>
    <row r="12" spans="2:6" ht="15" customHeight="1" x14ac:dyDescent="0.35">
      <c r="B12" s="7"/>
      <c r="C12" s="164" t="s">
        <v>259</v>
      </c>
      <c r="D12" s="162" t="s">
        <v>260</v>
      </c>
      <c r="E12" s="163"/>
      <c r="F12" s="8"/>
    </row>
    <row r="13" spans="2:6" ht="15" customHeight="1" x14ac:dyDescent="0.35">
      <c r="B13" s="7"/>
      <c r="C13" s="164" t="s">
        <v>114</v>
      </c>
      <c r="D13" s="162" t="s">
        <v>4352</v>
      </c>
      <c r="E13" s="163"/>
      <c r="F13" s="8"/>
    </row>
    <row r="14" spans="2:6" ht="15" customHeight="1" x14ac:dyDescent="0.35">
      <c r="B14" s="7"/>
      <c r="C14" s="164" t="s">
        <v>102</v>
      </c>
      <c r="D14" s="162" t="s">
        <v>105</v>
      </c>
      <c r="E14" s="163"/>
      <c r="F14" s="8"/>
    </row>
    <row r="15" spans="2:6" ht="15" customHeight="1" x14ac:dyDescent="0.35">
      <c r="B15" s="7"/>
      <c r="C15" s="164" t="s">
        <v>103</v>
      </c>
      <c r="D15" s="162" t="s">
        <v>106</v>
      </c>
      <c r="E15" s="163"/>
      <c r="F15" s="8"/>
    </row>
    <row r="16" spans="2:6" ht="15" customHeight="1" x14ac:dyDescent="0.35">
      <c r="B16" s="7"/>
      <c r="C16" s="164" t="s">
        <v>104</v>
      </c>
      <c r="D16" s="162" t="s">
        <v>107</v>
      </c>
      <c r="E16" s="163"/>
      <c r="F16" s="8"/>
    </row>
    <row r="17" spans="2:6" ht="15" customHeight="1" x14ac:dyDescent="0.35">
      <c r="B17" s="7"/>
      <c r="C17" s="164" t="s">
        <v>190</v>
      </c>
      <c r="D17" s="162" t="s">
        <v>191</v>
      </c>
      <c r="E17" s="163"/>
      <c r="F17" s="8"/>
    </row>
    <row r="18" spans="2:6" ht="15" customHeight="1" x14ac:dyDescent="0.35">
      <c r="B18" s="7"/>
      <c r="C18" s="164" t="s">
        <v>108</v>
      </c>
      <c r="D18" s="162" t="s">
        <v>111</v>
      </c>
      <c r="E18" s="163"/>
      <c r="F18" s="8"/>
    </row>
    <row r="19" spans="2:6" ht="15" customHeight="1" x14ac:dyDescent="0.35">
      <c r="B19" s="7"/>
      <c r="C19" s="164" t="s">
        <v>109</v>
      </c>
      <c r="D19" s="162" t="s">
        <v>112</v>
      </c>
      <c r="E19" s="163"/>
      <c r="F19" s="8"/>
    </row>
    <row r="20" spans="2:6" ht="15" customHeight="1" x14ac:dyDescent="0.35">
      <c r="B20" s="7"/>
      <c r="C20" s="164" t="s">
        <v>110</v>
      </c>
      <c r="D20" s="162" t="s">
        <v>113</v>
      </c>
      <c r="E20" s="163"/>
      <c r="F20" s="8"/>
    </row>
    <row r="21" spans="2:6" ht="15" customHeight="1" x14ac:dyDescent="0.25">
      <c r="B21" s="7"/>
      <c r="C21" s="123"/>
      <c r="D21" s="123"/>
      <c r="E21" s="123"/>
      <c r="F21" s="8"/>
    </row>
    <row r="22" spans="2:6" ht="20.100000000000001" hidden="1" customHeight="1" x14ac:dyDescent="0.25">
      <c r="B22" s="5"/>
      <c r="C22" s="97" t="s">
        <v>49</v>
      </c>
      <c r="D22" s="97"/>
      <c r="E22" s="97"/>
      <c r="F22" s="6"/>
    </row>
    <row r="23" spans="2:6" ht="15" hidden="1" customHeight="1" x14ac:dyDescent="0.25">
      <c r="B23" s="7"/>
      <c r="C23" s="123"/>
      <c r="D23" s="123"/>
      <c r="E23" s="123"/>
      <c r="F23" s="8"/>
    </row>
    <row r="24" spans="2:6" ht="15" hidden="1" customHeight="1" x14ac:dyDescent="0.25">
      <c r="B24" s="7"/>
      <c r="C24" s="123" t="str">
        <f>CONCATENATE("Baseline year",IF(I.Product.P1BaselineYear="","",CONCATENATE(": ",I.Product.P1BaselineYear)))</f>
        <v>Baseline year</v>
      </c>
      <c r="D24" s="123"/>
      <c r="E24" s="123"/>
      <c r="F24" s="8"/>
    </row>
    <row r="25" spans="2:6" ht="15" hidden="1" customHeight="1" x14ac:dyDescent="0.25">
      <c r="B25" s="7"/>
      <c r="C25" s="139" t="s">
        <v>42</v>
      </c>
      <c r="D25" s="134" t="s">
        <v>29</v>
      </c>
      <c r="E25" s="129" t="s">
        <v>48</v>
      </c>
      <c r="F25" s="8"/>
    </row>
    <row r="26" spans="2:6" ht="15" hidden="1" customHeight="1" x14ac:dyDescent="0.35">
      <c r="B26" s="7"/>
      <c r="C26" s="164" t="s">
        <v>120</v>
      </c>
      <c r="D26" s="135">
        <f>I.Production.P1Quantity</f>
        <v>0</v>
      </c>
      <c r="E26" s="128" t="s">
        <v>95</v>
      </c>
      <c r="F26" s="8"/>
    </row>
    <row r="27" spans="2:6" ht="15" hidden="1" customHeight="1" x14ac:dyDescent="0.35">
      <c r="B27" s="7"/>
      <c r="C27" s="164" t="s">
        <v>122</v>
      </c>
      <c r="D27" s="135">
        <f>IF(I.Facility.StandardPart="Part 2",('Production Data'!D13*Developer!T28)+SUMPRODUCT('Production Data'!D14:D18,Developer!T33:T37),SUMPRODUCT('Production Data'!D19:D21,Developer!T4:T6))+SUMPRODUCT(I.Production.P1C2,Developer!T7:T27)+IF(I.Facility.StandardPart="Part 2",'Production Data'!D49*Developer!T28+'Production Data'!D50*Developer!T38,SUMPRODUCT('Production Data'!D51:D53,Developer!T4:T6))+SUMPRODUCT(I.Production.P1C4,Developer!T4:T6)</f>
        <v>0</v>
      </c>
      <c r="E27" s="137" t="s">
        <v>115</v>
      </c>
      <c r="F27" s="8"/>
    </row>
    <row r="28" spans="2:6" ht="15" hidden="1" customHeight="1" x14ac:dyDescent="0.35">
      <c r="B28" s="7"/>
      <c r="C28" s="164" t="s">
        <v>121</v>
      </c>
      <c r="D28" s="135">
        <f>IF(I.Facility.StandardPart="Part 2",('Electricity Data'!D12*Developer!T28)+SUMPRODUCT('Electricity Data'!D13:D17,Developer!T33:T37),SUMPRODUCT('Electricity Data'!D18:D20,Developer!T4:T6))+SUMPRODUCT(I.Electricity.P1C2,Developer!T7:T27)+IF(I.Facility.StandardPart="Part 2",'Electricity Data'!D48*Developer!T28+'Electricity Data'!D49*Developer!T38,SUMPRODUCT('Electricity Data'!D50:D52,Developer!T4:T6))+SUMPRODUCT(I.Electricity.P1C4,Developer!T4:T6)</f>
        <v>0</v>
      </c>
      <c r="E28" s="137" t="s">
        <v>115</v>
      </c>
      <c r="F28" s="8"/>
    </row>
    <row r="29" spans="2:6" ht="15" hidden="1" customHeight="1" x14ac:dyDescent="0.35">
      <c r="B29" s="7"/>
      <c r="C29" s="164" t="s">
        <v>123</v>
      </c>
      <c r="D29" s="135">
        <f>SUM(D27:D28)</f>
        <v>0</v>
      </c>
      <c r="E29" s="137" t="s">
        <v>115</v>
      </c>
      <c r="F29" s="8"/>
    </row>
    <row r="30" spans="2:6" ht="15" hidden="1" customHeight="1" x14ac:dyDescent="0.35">
      <c r="B30" s="7"/>
      <c r="C30" s="164" t="s">
        <v>192</v>
      </c>
      <c r="D30" s="135">
        <f>D29</f>
        <v>0</v>
      </c>
      <c r="E30" s="137" t="s">
        <v>115</v>
      </c>
      <c r="F30" s="8"/>
    </row>
    <row r="31" spans="2:6" ht="15" hidden="1" customHeight="1" x14ac:dyDescent="0.25">
      <c r="B31" s="7"/>
      <c r="C31" s="123"/>
      <c r="D31" s="123"/>
      <c r="E31" s="123"/>
      <c r="F31" s="8"/>
    </row>
    <row r="32" spans="2:6" ht="15" hidden="1" customHeight="1" x14ac:dyDescent="0.25">
      <c r="B32" s="7"/>
      <c r="C32" s="123" t="s">
        <v>116</v>
      </c>
      <c r="D32" s="123"/>
      <c r="E32" s="123"/>
      <c r="F32" s="8"/>
    </row>
    <row r="33" spans="2:6" ht="15" hidden="1" customHeight="1" x14ac:dyDescent="0.25">
      <c r="B33" s="7"/>
      <c r="C33" s="139" t="s">
        <v>42</v>
      </c>
      <c r="D33" s="134" t="s">
        <v>29</v>
      </c>
      <c r="E33" s="129" t="s">
        <v>48</v>
      </c>
      <c r="F33" s="8"/>
    </row>
    <row r="34" spans="2:6" ht="15" hidden="1" customHeight="1" x14ac:dyDescent="0.35">
      <c r="B34" s="7"/>
      <c r="C34" s="164" t="s">
        <v>117</v>
      </c>
      <c r="D34" s="135">
        <f>D29</f>
        <v>0</v>
      </c>
      <c r="E34" s="137" t="s">
        <v>115</v>
      </c>
      <c r="F34" s="8"/>
    </row>
    <row r="35" spans="2:6" ht="15" hidden="1" customHeight="1" x14ac:dyDescent="0.35">
      <c r="B35" s="7"/>
      <c r="C35" s="164" t="s">
        <v>118</v>
      </c>
      <c r="D35" s="135">
        <f>D26</f>
        <v>0</v>
      </c>
      <c r="E35" s="128" t="s">
        <v>95</v>
      </c>
      <c r="F35" s="8"/>
    </row>
    <row r="36" spans="2:6" ht="15" hidden="1" customHeight="1" x14ac:dyDescent="0.35">
      <c r="B36" s="7"/>
      <c r="C36" s="164" t="s">
        <v>119</v>
      </c>
      <c r="D36" s="135">
        <f>IFERROR(D34/D35,0)</f>
        <v>0</v>
      </c>
      <c r="E36" s="137" t="s">
        <v>131</v>
      </c>
      <c r="F36" s="8"/>
    </row>
    <row r="37" spans="2:6" ht="15" hidden="1" customHeight="1" x14ac:dyDescent="0.25">
      <c r="B37" s="7"/>
      <c r="C37" s="123"/>
      <c r="D37" s="123"/>
      <c r="E37" s="123"/>
      <c r="F37" s="8"/>
    </row>
    <row r="38" spans="2:6" ht="15" hidden="1" customHeight="1" x14ac:dyDescent="0.25">
      <c r="B38" s="7"/>
      <c r="C38" s="165" t="s">
        <v>29404</v>
      </c>
      <c r="D38" s="123"/>
      <c r="E38" s="123"/>
      <c r="F38" s="8"/>
    </row>
    <row r="39" spans="2:6" ht="15" hidden="1" customHeight="1" x14ac:dyDescent="0.25">
      <c r="B39" s="7"/>
      <c r="C39" s="123"/>
      <c r="D39" s="123"/>
      <c r="E39" s="123"/>
      <c r="F39" s="8"/>
    </row>
    <row r="40" spans="2:6" ht="15" hidden="1" customHeight="1" x14ac:dyDescent="0.25">
      <c r="B40" s="7"/>
      <c r="C40" s="123" t="str">
        <f>CONCATENATE("Baseline year 1 for gas-to-power",IF(I.Product.P1GasToPowerBaselineYear="","",CONCATENATE(": ",I.Product.P1GasToPowerBaselineYear)))</f>
        <v>Baseline year 1 for gas-to-power</v>
      </c>
      <c r="D40" s="123"/>
      <c r="E40" s="123"/>
      <c r="F40" s="8"/>
    </row>
    <row r="41" spans="2:6" ht="15" hidden="1" customHeight="1" x14ac:dyDescent="0.25">
      <c r="B41" s="7"/>
      <c r="C41" s="139" t="s">
        <v>42</v>
      </c>
      <c r="D41" s="134" t="s">
        <v>29</v>
      </c>
      <c r="E41" s="129" t="s">
        <v>48</v>
      </c>
      <c r="F41" s="8"/>
    </row>
    <row r="42" spans="2:6" ht="15" hidden="1" customHeight="1" x14ac:dyDescent="0.35">
      <c r="B42" s="7"/>
      <c r="C42" s="164" t="s">
        <v>261</v>
      </c>
      <c r="D42" s="135">
        <f t="array" ref="D42">SUM(IF(I.Gas.P1Y1TotalGasEnergy&lt;&gt;0,I.Gas.P1Y1ElectricityGeneration*I.Gas.P1Y1AssociatedGasEnergy/I.Gas.P1Y1TotalGasEnergy,0))</f>
        <v>0</v>
      </c>
      <c r="E42" s="128" t="s">
        <v>132</v>
      </c>
      <c r="F42" s="8"/>
    </row>
    <row r="43" spans="2:6" ht="15" hidden="1" customHeight="1" x14ac:dyDescent="0.35">
      <c r="B43" s="7"/>
      <c r="C43" s="164" t="s">
        <v>124</v>
      </c>
      <c r="D43" s="135">
        <f>IF(I.Facility.StandardPart="Part 2",SUBTOTAL(9,I.Gas.P1Y1C1V1)*Developer!T28,SUBTOTAL(9,I.Gas.P1Y1C1E1)*Developer!T4+SUBTOTAL(9,I.Gas.P1Y1C1E2)*Developer!T5+SUBTOTAL(9,I.Gas.P1Y1C1E3)*Developer!T6)</f>
        <v>0</v>
      </c>
      <c r="E43" s="137" t="s">
        <v>115</v>
      </c>
      <c r="F43" s="8"/>
    </row>
    <row r="44" spans="2:6" ht="15" hidden="1" customHeight="1" x14ac:dyDescent="0.35">
      <c r="B44" s="7"/>
      <c r="C44" s="164" t="s">
        <v>125</v>
      </c>
      <c r="D44" s="135">
        <f>D43</f>
        <v>0</v>
      </c>
      <c r="E44" s="137" t="s">
        <v>115</v>
      </c>
      <c r="F44" s="8"/>
    </row>
    <row r="45" spans="2:6" ht="15" hidden="1" customHeight="1" x14ac:dyDescent="0.35">
      <c r="B45" s="7"/>
      <c r="C45" s="164" t="s">
        <v>193</v>
      </c>
      <c r="D45" s="135">
        <f>D44</f>
        <v>0</v>
      </c>
      <c r="E45" s="137" t="s">
        <v>115</v>
      </c>
      <c r="F45" s="8"/>
    </row>
    <row r="46" spans="2:6" ht="15" hidden="1" customHeight="1" x14ac:dyDescent="0.25">
      <c r="B46" s="7"/>
      <c r="C46" s="123"/>
      <c r="D46" s="123"/>
      <c r="E46" s="123"/>
      <c r="F46" s="8"/>
    </row>
    <row r="47" spans="2:6" ht="15" hidden="1" customHeight="1" x14ac:dyDescent="0.25">
      <c r="B47" s="7"/>
      <c r="C47" s="123" t="str">
        <f>CONCATENATE("Baseline year 2 for gas-to-power",IF(I.Product.P1GasToPowerBaselineYear="","",CONCATENATE(": ",I.Product.P1GasToPowerBaselineYear+1)))</f>
        <v>Baseline year 2 for gas-to-power</v>
      </c>
      <c r="D47" s="123"/>
      <c r="E47" s="123"/>
      <c r="F47" s="8"/>
    </row>
    <row r="48" spans="2:6" ht="15" hidden="1" customHeight="1" x14ac:dyDescent="0.25">
      <c r="B48" s="7"/>
      <c r="C48" s="139" t="s">
        <v>42</v>
      </c>
      <c r="D48" s="134" t="s">
        <v>29</v>
      </c>
      <c r="E48" s="129" t="s">
        <v>48</v>
      </c>
      <c r="F48" s="8"/>
    </row>
    <row r="49" spans="2:6" ht="15" hidden="1" customHeight="1" x14ac:dyDescent="0.35">
      <c r="B49" s="7"/>
      <c r="C49" s="164" t="s">
        <v>262</v>
      </c>
      <c r="D49" s="135">
        <f t="array" ref="D49">SUM(IF(I.Gas.P1Y2TotalGasEnergy&lt;&gt;0,I.Gas.P1Y2ElectricityGeneration*I.Gas.P1Y2AssociatedGasEnergy/I.Gas.P1Y2TotalGasEnergy,0))</f>
        <v>0</v>
      </c>
      <c r="E49" s="128" t="s">
        <v>132</v>
      </c>
      <c r="F49" s="8"/>
    </row>
    <row r="50" spans="2:6" ht="15" hidden="1" customHeight="1" x14ac:dyDescent="0.35">
      <c r="B50" s="7"/>
      <c r="C50" s="164" t="s">
        <v>126</v>
      </c>
      <c r="D50" s="135">
        <f>IF(I.Facility.StandardPart="Part 2",SUBTOTAL(9,I.Gas.P1Y2C1V1)*Developer!T28,SUBTOTAL(9,I.Gas.P1Y2C1E1)*Developer!T4+SUBTOTAL(9,I.Gas.P1Y2C1E2)*Developer!T5+SUBTOTAL(9,I.Gas.P1Y2C1E3)*Developer!T6)</f>
        <v>0</v>
      </c>
      <c r="E50" s="137" t="s">
        <v>115</v>
      </c>
      <c r="F50" s="8"/>
    </row>
    <row r="51" spans="2:6" ht="15" hidden="1" customHeight="1" x14ac:dyDescent="0.35">
      <c r="B51" s="7"/>
      <c r="C51" s="164" t="s">
        <v>127</v>
      </c>
      <c r="D51" s="135">
        <f>D50</f>
        <v>0</v>
      </c>
      <c r="E51" s="137" t="s">
        <v>115</v>
      </c>
      <c r="F51" s="8"/>
    </row>
    <row r="52" spans="2:6" ht="15" hidden="1" customHeight="1" x14ac:dyDescent="0.35">
      <c r="B52" s="7"/>
      <c r="C52" s="164" t="s">
        <v>194</v>
      </c>
      <c r="D52" s="135">
        <f>D51</f>
        <v>0</v>
      </c>
      <c r="E52" s="137" t="s">
        <v>115</v>
      </c>
      <c r="F52" s="8"/>
    </row>
    <row r="53" spans="2:6" ht="15" hidden="1" customHeight="1" x14ac:dyDescent="0.25">
      <c r="B53" s="7"/>
      <c r="C53" s="123"/>
      <c r="D53" s="123"/>
      <c r="E53" s="123"/>
      <c r="F53" s="8"/>
    </row>
    <row r="54" spans="2:6" ht="15" hidden="1" customHeight="1" x14ac:dyDescent="0.25">
      <c r="B54" s="7"/>
      <c r="C54" s="123" t="s">
        <v>29403</v>
      </c>
      <c r="D54" s="123"/>
      <c r="E54" s="123"/>
      <c r="F54" s="8"/>
    </row>
    <row r="55" spans="2:6" ht="15" hidden="1" customHeight="1" x14ac:dyDescent="0.25">
      <c r="B55" s="7"/>
      <c r="C55" s="139" t="s">
        <v>42</v>
      </c>
      <c r="D55" s="134" t="s">
        <v>29</v>
      </c>
      <c r="E55" s="129" t="s">
        <v>48</v>
      </c>
      <c r="F55" s="8"/>
    </row>
    <row r="56" spans="2:6" ht="15" hidden="1" customHeight="1" x14ac:dyDescent="0.35">
      <c r="B56" s="7"/>
      <c r="C56" s="164" t="s">
        <v>128</v>
      </c>
      <c r="D56" s="135">
        <f>(D44+D51)/2</f>
        <v>0</v>
      </c>
      <c r="E56" s="137" t="s">
        <v>115</v>
      </c>
      <c r="F56" s="8"/>
    </row>
    <row r="57" spans="2:6" ht="15" hidden="1" customHeight="1" x14ac:dyDescent="0.35">
      <c r="B57" s="7"/>
      <c r="C57" s="164" t="s">
        <v>129</v>
      </c>
      <c r="D57" s="135">
        <f>(D42+D49)/2</f>
        <v>0</v>
      </c>
      <c r="E57" s="128" t="s">
        <v>132</v>
      </c>
      <c r="F57" s="8"/>
    </row>
    <row r="58" spans="2:6" ht="15" hidden="1" customHeight="1" x14ac:dyDescent="0.35">
      <c r="B58" s="7"/>
      <c r="C58" s="164" t="s">
        <v>130</v>
      </c>
      <c r="D58" s="135">
        <f>IFERROR(D56/D57,0)</f>
        <v>0</v>
      </c>
      <c r="E58" s="137" t="s">
        <v>133</v>
      </c>
      <c r="F58" s="8"/>
    </row>
    <row r="59" spans="2:6" ht="15" hidden="1" customHeight="1" x14ac:dyDescent="0.25">
      <c r="B59" s="7"/>
      <c r="C59" s="123"/>
      <c r="D59" s="123"/>
      <c r="E59" s="123"/>
      <c r="F59" s="8"/>
    </row>
    <row r="60" spans="2:6" ht="20.100000000000001" hidden="1" customHeight="1" x14ac:dyDescent="0.25">
      <c r="B60" s="5"/>
      <c r="C60" s="97" t="s">
        <v>50</v>
      </c>
      <c r="D60" s="97"/>
      <c r="E60" s="97"/>
      <c r="F60" s="6"/>
    </row>
    <row r="61" spans="2:6" ht="15" hidden="1" customHeight="1" x14ac:dyDescent="0.25">
      <c r="B61" s="7"/>
      <c r="C61" s="123"/>
      <c r="D61" s="123"/>
      <c r="E61" s="123"/>
      <c r="F61" s="8"/>
    </row>
    <row r="62" spans="2:6" ht="15" hidden="1" customHeight="1" x14ac:dyDescent="0.25">
      <c r="B62" s="7"/>
      <c r="C62" s="123" t="str">
        <f>CONCATENATE("Baseline year",IF(I.Product.P2aBaselineYear="","",CONCATENATE(": ",I.Product.P2aBaselineYear)))</f>
        <v>Baseline year</v>
      </c>
      <c r="D62" s="123"/>
      <c r="E62" s="123"/>
      <c r="F62" s="8"/>
    </row>
    <row r="63" spans="2:6" ht="15" hidden="1" customHeight="1" x14ac:dyDescent="0.25">
      <c r="B63" s="7"/>
      <c r="C63" s="139" t="s">
        <v>42</v>
      </c>
      <c r="D63" s="134" t="s">
        <v>29</v>
      </c>
      <c r="E63" s="129" t="s">
        <v>48</v>
      </c>
      <c r="F63" s="8"/>
    </row>
    <row r="64" spans="2:6" ht="15" hidden="1" customHeight="1" x14ac:dyDescent="0.35">
      <c r="B64" s="7"/>
      <c r="C64" s="164" t="s">
        <v>134</v>
      </c>
      <c r="D64" s="135">
        <f>I.Production.P2aQuantity</f>
        <v>0</v>
      </c>
      <c r="E64" s="128" t="s">
        <v>95</v>
      </c>
      <c r="F64" s="8"/>
    </row>
    <row r="65" spans="2:6" ht="15" hidden="1" customHeight="1" x14ac:dyDescent="0.35">
      <c r="B65" s="7"/>
      <c r="C65" s="164" t="s">
        <v>135</v>
      </c>
      <c r="D65" s="135">
        <f>IF(I.Facility.StandardPart="Part 2",('Production Data'!D71*Developer!T29)+SUMPRODUCT('Production Data'!D72:D76,Developer!T33:T37),SUMPRODUCT('Production Data'!D77:D79,Developer!T4:T6))+SUMPRODUCT(I.Production.P2aC2,Developer!T7:T27)+IF(I.Facility.StandardPart="Part 2",'Production Data'!D107*Developer!T29+'Production Data'!D108*Developer!T39,SUMPRODUCT('Production Data'!D109:D111,Developer!T4:T6))+SUMPRODUCT(I.Production.P2aC4,Developer!T4:T6)</f>
        <v>0</v>
      </c>
      <c r="E65" s="137" t="s">
        <v>115</v>
      </c>
      <c r="F65" s="8"/>
    </row>
    <row r="66" spans="2:6" ht="15" hidden="1" customHeight="1" x14ac:dyDescent="0.35">
      <c r="B66" s="7"/>
      <c r="C66" s="164" t="s">
        <v>136</v>
      </c>
      <c r="D66" s="135">
        <f>IF(I.Facility.StandardPart="Part 2",('Electricity Data'!D66*Developer!T29)+SUMPRODUCT('Electricity Data'!D67:D71,Developer!T33:T37),SUMPRODUCT('Electricity Data'!D72:D74,Developer!T4:T6))+SUMPRODUCT(I.Electricity.P2aC2,Developer!T7:T27)+IF(I.Facility.StandardPart="Part 2",'Electricity Data'!D102*Developer!T29+'Electricity Data'!D103*Developer!T39,SUMPRODUCT('Electricity Data'!D104:D106,Developer!T4:T6))+SUMPRODUCT(I.Electricity.P2aC4,Developer!T4:T6)</f>
        <v>0</v>
      </c>
      <c r="E66" s="137" t="s">
        <v>115</v>
      </c>
      <c r="F66" s="8"/>
    </row>
    <row r="67" spans="2:6" ht="15" hidden="1" customHeight="1" x14ac:dyDescent="0.35">
      <c r="B67" s="7"/>
      <c r="C67" s="164" t="s">
        <v>137</v>
      </c>
      <c r="D67" s="135">
        <f>SUM(D65:D66)</f>
        <v>0</v>
      </c>
      <c r="E67" s="137" t="s">
        <v>115</v>
      </c>
      <c r="F67" s="8"/>
    </row>
    <row r="68" spans="2:6" ht="15" hidden="1" customHeight="1" x14ac:dyDescent="0.35">
      <c r="B68" s="7"/>
      <c r="C68" s="164" t="s">
        <v>206</v>
      </c>
      <c r="D68" s="135">
        <f>D67</f>
        <v>0</v>
      </c>
      <c r="E68" s="137" t="s">
        <v>115</v>
      </c>
      <c r="F68" s="8"/>
    </row>
    <row r="69" spans="2:6" ht="15" hidden="1" customHeight="1" x14ac:dyDescent="0.25">
      <c r="B69" s="7"/>
      <c r="C69" s="123"/>
      <c r="D69" s="123"/>
      <c r="E69" s="123"/>
      <c r="F69" s="8"/>
    </row>
    <row r="70" spans="2:6" ht="15" hidden="1" customHeight="1" x14ac:dyDescent="0.25">
      <c r="B70" s="7"/>
      <c r="C70" s="123" t="s">
        <v>116</v>
      </c>
      <c r="D70" s="123"/>
      <c r="E70" s="123"/>
      <c r="F70" s="8"/>
    </row>
    <row r="71" spans="2:6" ht="15" hidden="1" customHeight="1" x14ac:dyDescent="0.25">
      <c r="B71" s="7"/>
      <c r="C71" s="139" t="s">
        <v>42</v>
      </c>
      <c r="D71" s="134" t="s">
        <v>29</v>
      </c>
      <c r="E71" s="129" t="s">
        <v>48</v>
      </c>
      <c r="F71" s="8"/>
    </row>
    <row r="72" spans="2:6" ht="15" hidden="1" customHeight="1" x14ac:dyDescent="0.35">
      <c r="B72" s="7"/>
      <c r="C72" s="164" t="s">
        <v>138</v>
      </c>
      <c r="D72" s="135">
        <f>D67</f>
        <v>0</v>
      </c>
      <c r="E72" s="137" t="s">
        <v>115</v>
      </c>
      <c r="F72" s="8"/>
    </row>
    <row r="73" spans="2:6" ht="15" hidden="1" customHeight="1" x14ac:dyDescent="0.35">
      <c r="B73" s="7"/>
      <c r="C73" s="164" t="s">
        <v>139</v>
      </c>
      <c r="D73" s="135">
        <f>D64</f>
        <v>0</v>
      </c>
      <c r="E73" s="128" t="s">
        <v>95</v>
      </c>
      <c r="F73" s="8"/>
    </row>
    <row r="74" spans="2:6" ht="15" hidden="1" customHeight="1" x14ac:dyDescent="0.35">
      <c r="B74" s="7"/>
      <c r="C74" s="164" t="s">
        <v>140</v>
      </c>
      <c r="D74" s="135">
        <f>IFERROR(D72/D73,0)</f>
        <v>0</v>
      </c>
      <c r="E74" s="137" t="s">
        <v>131</v>
      </c>
      <c r="F74" s="8"/>
    </row>
    <row r="75" spans="2:6" ht="15" hidden="1" customHeight="1" x14ac:dyDescent="0.25">
      <c r="B75" s="7"/>
      <c r="C75" s="123"/>
      <c r="D75" s="123"/>
      <c r="E75" s="123"/>
      <c r="F75" s="8"/>
    </row>
    <row r="76" spans="2:6" ht="15" hidden="1" customHeight="1" x14ac:dyDescent="0.25">
      <c r="B76" s="7"/>
      <c r="C76" s="165" t="s">
        <v>29404</v>
      </c>
      <c r="D76" s="123"/>
      <c r="E76" s="123"/>
      <c r="F76" s="8"/>
    </row>
    <row r="77" spans="2:6" ht="15" hidden="1" customHeight="1" x14ac:dyDescent="0.25">
      <c r="B77" s="7"/>
      <c r="C77" s="123"/>
      <c r="D77" s="123"/>
      <c r="E77" s="123"/>
      <c r="F77" s="8"/>
    </row>
    <row r="78" spans="2:6" ht="15" hidden="1" customHeight="1" x14ac:dyDescent="0.25">
      <c r="B78" s="7"/>
      <c r="C78" s="123" t="str">
        <f>CONCATENATE("Baseline year 1 for gas-to-power",IF(I.Product.P2aGasToPowerBaselineYear="","",CONCATENATE(": ",I.Product.P2aGasToPowerBaselineYear)))</f>
        <v>Baseline year 1 for gas-to-power</v>
      </c>
      <c r="D78" s="123"/>
      <c r="E78" s="123"/>
      <c r="F78" s="8"/>
    </row>
    <row r="79" spans="2:6" ht="15" hidden="1" customHeight="1" x14ac:dyDescent="0.25">
      <c r="B79" s="7"/>
      <c r="C79" s="139" t="s">
        <v>42</v>
      </c>
      <c r="D79" s="134" t="s">
        <v>29</v>
      </c>
      <c r="E79" s="129" t="s">
        <v>48</v>
      </c>
      <c r="F79" s="8"/>
    </row>
    <row r="80" spans="2:6" ht="15" hidden="1" customHeight="1" x14ac:dyDescent="0.35">
      <c r="B80" s="7"/>
      <c r="C80" s="164" t="s">
        <v>263</v>
      </c>
      <c r="D80" s="135">
        <f t="array" ref="D80">SUM(IF(I.Gas.P2aY1TotalGasEnergy&lt;&gt;0,I.Gas.P2aY1ElectricityGeneration*I.Gas.P2aY1AssociatedGasEnergy/I.Gas.P2aY1TotalGasEnergy,0))</f>
        <v>0</v>
      </c>
      <c r="E80" s="128" t="s">
        <v>132</v>
      </c>
      <c r="F80" s="8"/>
    </row>
    <row r="81" spans="2:6" ht="15" hidden="1" customHeight="1" x14ac:dyDescent="0.35">
      <c r="B81" s="7"/>
      <c r="C81" s="164" t="s">
        <v>141</v>
      </c>
      <c r="D81" s="135">
        <f>IF(I.Facility.StandardPart="Part 2",SUBTOTAL(9,I.Gas.P2aY1C1V1)*Developer!T29,SUBTOTAL(9,I.Gas.P2aY1C1E1)*Developer!T4+SUBTOTAL(9,I.Gas.P2aY1C1E2)*Developer!T5+SUBTOTAL(9,I.Gas.P2aY1C1E3)*Developer!T6)</f>
        <v>0</v>
      </c>
      <c r="E81" s="137" t="s">
        <v>115</v>
      </c>
      <c r="F81" s="8"/>
    </row>
    <row r="82" spans="2:6" ht="15" hidden="1" customHeight="1" x14ac:dyDescent="0.35">
      <c r="B82" s="7"/>
      <c r="C82" s="164" t="s">
        <v>142</v>
      </c>
      <c r="D82" s="135">
        <f>D81</f>
        <v>0</v>
      </c>
      <c r="E82" s="137" t="s">
        <v>115</v>
      </c>
      <c r="F82" s="8"/>
    </row>
    <row r="83" spans="2:6" ht="15" hidden="1" customHeight="1" x14ac:dyDescent="0.35">
      <c r="B83" s="7"/>
      <c r="C83" s="164" t="s">
        <v>205</v>
      </c>
      <c r="D83" s="135">
        <f>D82</f>
        <v>0</v>
      </c>
      <c r="E83" s="137" t="s">
        <v>115</v>
      </c>
      <c r="F83" s="8"/>
    </row>
    <row r="84" spans="2:6" ht="15" hidden="1" customHeight="1" x14ac:dyDescent="0.25">
      <c r="B84" s="7"/>
      <c r="C84" s="123"/>
      <c r="D84" s="123"/>
      <c r="E84" s="123"/>
      <c r="F84" s="8"/>
    </row>
    <row r="85" spans="2:6" ht="15" hidden="1" customHeight="1" x14ac:dyDescent="0.25">
      <c r="B85" s="7"/>
      <c r="C85" s="123" t="str">
        <f>CONCATENATE("Baseline year 2 for gas-to-power",IF(I.Product.P2aGasToPowerBaselineYear="","",CONCATENATE(": ",I.Product.P2aGasToPowerBaselineYear+1)))</f>
        <v>Baseline year 2 for gas-to-power</v>
      </c>
      <c r="D85" s="123"/>
      <c r="E85" s="123"/>
      <c r="F85" s="8"/>
    </row>
    <row r="86" spans="2:6" ht="15" hidden="1" customHeight="1" x14ac:dyDescent="0.25">
      <c r="B86" s="7"/>
      <c r="C86" s="139" t="s">
        <v>42</v>
      </c>
      <c r="D86" s="134" t="s">
        <v>29</v>
      </c>
      <c r="E86" s="129" t="s">
        <v>48</v>
      </c>
      <c r="F86" s="8"/>
    </row>
    <row r="87" spans="2:6" ht="15" hidden="1" customHeight="1" x14ac:dyDescent="0.35">
      <c r="B87" s="7"/>
      <c r="C87" s="164" t="s">
        <v>264</v>
      </c>
      <c r="D87" s="135">
        <f t="array" ref="D87">SUM(IF(I.Gas.P2aY2TotalGasEnergy&lt;&gt;0,I.Gas.P2aY2ElectricityGeneration*I.Gas.P2aY2AssociatedGasEnergy/I.Gas.P2aY2TotalGasEnergy,0))</f>
        <v>0</v>
      </c>
      <c r="E87" s="128" t="s">
        <v>132</v>
      </c>
      <c r="F87" s="8"/>
    </row>
    <row r="88" spans="2:6" ht="15" hidden="1" customHeight="1" x14ac:dyDescent="0.35">
      <c r="B88" s="7"/>
      <c r="C88" s="164" t="s">
        <v>143</v>
      </c>
      <c r="D88" s="135">
        <f>IF(I.Facility.StandardPart="Part 2",SUBTOTAL(9,I.Gas.P2aY2C1V1)*Developer!T29,SUBTOTAL(9,I.Gas.P2aY2C1E1)*Developer!T4+SUBTOTAL(9,I.Gas.P2aY2C1E2)*Developer!T5+SUBTOTAL(9,I.Gas.P2aY2C1E3)*Developer!T6)</f>
        <v>0</v>
      </c>
      <c r="E88" s="137" t="s">
        <v>115</v>
      </c>
      <c r="F88" s="8"/>
    </row>
    <row r="89" spans="2:6" ht="15" hidden="1" customHeight="1" x14ac:dyDescent="0.35">
      <c r="B89" s="7"/>
      <c r="C89" s="164" t="s">
        <v>144</v>
      </c>
      <c r="D89" s="135">
        <f>D88</f>
        <v>0</v>
      </c>
      <c r="E89" s="137" t="s">
        <v>115</v>
      </c>
      <c r="F89" s="8"/>
    </row>
    <row r="90" spans="2:6" ht="15" hidden="1" customHeight="1" x14ac:dyDescent="0.35">
      <c r="B90" s="7"/>
      <c r="C90" s="164" t="s">
        <v>204</v>
      </c>
      <c r="D90" s="135">
        <f>D89</f>
        <v>0</v>
      </c>
      <c r="E90" s="137" t="s">
        <v>115</v>
      </c>
      <c r="F90" s="8"/>
    </row>
    <row r="91" spans="2:6" ht="15" hidden="1" customHeight="1" x14ac:dyDescent="0.25">
      <c r="B91" s="7"/>
      <c r="C91" s="123"/>
      <c r="D91" s="123"/>
      <c r="E91" s="123"/>
      <c r="F91" s="8"/>
    </row>
    <row r="92" spans="2:6" ht="15" hidden="1" customHeight="1" x14ac:dyDescent="0.25">
      <c r="B92" s="7"/>
      <c r="C92" s="123" t="s">
        <v>29403</v>
      </c>
      <c r="D92" s="123"/>
      <c r="E92" s="123"/>
      <c r="F92" s="8"/>
    </row>
    <row r="93" spans="2:6" ht="15" hidden="1" customHeight="1" x14ac:dyDescent="0.25">
      <c r="B93" s="7"/>
      <c r="C93" s="139" t="s">
        <v>42</v>
      </c>
      <c r="D93" s="134" t="s">
        <v>29</v>
      </c>
      <c r="E93" s="129" t="s">
        <v>48</v>
      </c>
      <c r="F93" s="8"/>
    </row>
    <row r="94" spans="2:6" ht="15" hidden="1" customHeight="1" x14ac:dyDescent="0.35">
      <c r="B94" s="7"/>
      <c r="C94" s="164" t="s">
        <v>145</v>
      </c>
      <c r="D94" s="135">
        <f>(D82+D89)/2</f>
        <v>0</v>
      </c>
      <c r="E94" s="137" t="s">
        <v>115</v>
      </c>
      <c r="F94" s="8"/>
    </row>
    <row r="95" spans="2:6" ht="15" hidden="1" customHeight="1" x14ac:dyDescent="0.35">
      <c r="B95" s="7"/>
      <c r="C95" s="164" t="s">
        <v>146</v>
      </c>
      <c r="D95" s="135">
        <f>(D80+D87)/2</f>
        <v>0</v>
      </c>
      <c r="E95" s="128" t="s">
        <v>132</v>
      </c>
      <c r="F95" s="8"/>
    </row>
    <row r="96" spans="2:6" ht="15" hidden="1" customHeight="1" x14ac:dyDescent="0.35">
      <c r="B96" s="7"/>
      <c r="C96" s="164" t="s">
        <v>147</v>
      </c>
      <c r="D96" s="135">
        <f>IFERROR(D94/D95,0)</f>
        <v>0</v>
      </c>
      <c r="E96" s="137" t="s">
        <v>133</v>
      </c>
      <c r="F96" s="8"/>
    </row>
    <row r="97" spans="2:6" ht="15" hidden="1" customHeight="1" x14ac:dyDescent="0.25">
      <c r="B97" s="7"/>
      <c r="C97" s="123"/>
      <c r="D97" s="123"/>
      <c r="E97" s="123"/>
      <c r="F97" s="8"/>
    </row>
    <row r="98" spans="2:6" ht="20.100000000000001" hidden="1" customHeight="1" x14ac:dyDescent="0.25">
      <c r="B98" s="5"/>
      <c r="C98" s="97" t="s">
        <v>51</v>
      </c>
      <c r="D98" s="97"/>
      <c r="E98" s="97"/>
      <c r="F98" s="6"/>
    </row>
    <row r="99" spans="2:6" ht="15" hidden="1" customHeight="1" x14ac:dyDescent="0.25">
      <c r="B99" s="7"/>
      <c r="C99" s="123"/>
      <c r="D99" s="123"/>
      <c r="E99" s="123"/>
      <c r="F99" s="8"/>
    </row>
    <row r="100" spans="2:6" ht="15" hidden="1" customHeight="1" x14ac:dyDescent="0.25">
      <c r="B100" s="7"/>
      <c r="C100" s="123" t="str">
        <f>CONCATENATE("Baseline year",IF(I.Product.P2bBaselineYear="","",CONCATENATE(": ",I.Product.P2bBaselineYear)))</f>
        <v>Baseline year</v>
      </c>
      <c r="D100" s="123"/>
      <c r="E100" s="123"/>
      <c r="F100" s="8"/>
    </row>
    <row r="101" spans="2:6" ht="15" hidden="1" customHeight="1" x14ac:dyDescent="0.25">
      <c r="B101" s="7"/>
      <c r="C101" s="139" t="s">
        <v>42</v>
      </c>
      <c r="D101" s="134" t="s">
        <v>29</v>
      </c>
      <c r="E101" s="129" t="s">
        <v>48</v>
      </c>
      <c r="F101" s="8"/>
    </row>
    <row r="102" spans="2:6" ht="15" hidden="1" customHeight="1" x14ac:dyDescent="0.35">
      <c r="B102" s="7"/>
      <c r="C102" s="164" t="s">
        <v>148</v>
      </c>
      <c r="D102" s="135">
        <f>I.Production.P2bQuantity</f>
        <v>0</v>
      </c>
      <c r="E102" s="128" t="s">
        <v>95</v>
      </c>
      <c r="F102" s="8"/>
    </row>
    <row r="103" spans="2:6" ht="15" hidden="1" customHeight="1" x14ac:dyDescent="0.35">
      <c r="B103" s="7"/>
      <c r="C103" s="164" t="s">
        <v>149</v>
      </c>
      <c r="D103" s="135">
        <f>IF(I.Facility.StandardPart="Part 2",('Production Data'!D129*Developer!T30)+SUMPRODUCT('Production Data'!D130:D134,Developer!T33:T37),SUMPRODUCT('Production Data'!D135:D137,Developer!T4:T6))+SUMPRODUCT(I.Production.P2bC2,Developer!T7:T27)+IF(I.Facility.StandardPart="Part 2",'Production Data'!D165*Developer!T30+'Production Data'!D166*Developer!T40,SUMPRODUCT('Production Data'!D167:D169,Developer!T4:T6))+SUMPRODUCT(I.Production.P2bC4,Developer!T4:T6)</f>
        <v>0</v>
      </c>
      <c r="E103" s="137" t="s">
        <v>115</v>
      </c>
      <c r="F103" s="8"/>
    </row>
    <row r="104" spans="2:6" ht="15" hidden="1" customHeight="1" x14ac:dyDescent="0.35">
      <c r="B104" s="7"/>
      <c r="C104" s="164" t="s">
        <v>150</v>
      </c>
      <c r="D104" s="135">
        <f>IF(I.Facility.StandardPart="Part 2",('Electricity Data'!D120*Developer!T30)+SUMPRODUCT('Electricity Data'!D121:D125,Developer!T33:T37),SUMPRODUCT('Electricity Data'!D126:D128,Developer!T4:T6))+SUMPRODUCT(I.Electricity.P2bC2,Developer!T7:T27)+IF(I.Facility.StandardPart="Part 2",'Electricity Data'!D156*Developer!T30+'Electricity Data'!D157*Developer!T40,SUMPRODUCT('Electricity Data'!D158:D160,Developer!T4:T6))+SUMPRODUCT(I.Electricity.P2bC4,Developer!T4:T6)</f>
        <v>0</v>
      </c>
      <c r="E104" s="137" t="s">
        <v>115</v>
      </c>
      <c r="F104" s="8"/>
    </row>
    <row r="105" spans="2:6" ht="15" hidden="1" customHeight="1" x14ac:dyDescent="0.35">
      <c r="B105" s="7"/>
      <c r="C105" s="164" t="s">
        <v>151</v>
      </c>
      <c r="D105" s="135">
        <f>SUM(D103:D104)</f>
        <v>0</v>
      </c>
      <c r="E105" s="137" t="s">
        <v>115</v>
      </c>
      <c r="F105" s="8"/>
    </row>
    <row r="106" spans="2:6" ht="15" hidden="1" customHeight="1" x14ac:dyDescent="0.35">
      <c r="B106" s="7"/>
      <c r="C106" s="164" t="s">
        <v>203</v>
      </c>
      <c r="D106" s="135">
        <f>D105</f>
        <v>0</v>
      </c>
      <c r="E106" s="137" t="s">
        <v>115</v>
      </c>
      <c r="F106" s="8"/>
    </row>
    <row r="107" spans="2:6" ht="15" hidden="1" customHeight="1" x14ac:dyDescent="0.25">
      <c r="B107" s="7"/>
      <c r="C107" s="123"/>
      <c r="D107" s="123"/>
      <c r="E107" s="123"/>
      <c r="F107" s="8"/>
    </row>
    <row r="108" spans="2:6" ht="15" hidden="1" customHeight="1" x14ac:dyDescent="0.25">
      <c r="B108" s="7"/>
      <c r="C108" s="123" t="s">
        <v>116</v>
      </c>
      <c r="D108" s="123"/>
      <c r="E108" s="123"/>
      <c r="F108" s="8"/>
    </row>
    <row r="109" spans="2:6" ht="15" hidden="1" customHeight="1" x14ac:dyDescent="0.25">
      <c r="B109" s="7"/>
      <c r="C109" s="139" t="s">
        <v>42</v>
      </c>
      <c r="D109" s="134" t="s">
        <v>29</v>
      </c>
      <c r="E109" s="129" t="s">
        <v>48</v>
      </c>
      <c r="F109" s="8"/>
    </row>
    <row r="110" spans="2:6" ht="15" hidden="1" customHeight="1" x14ac:dyDescent="0.35">
      <c r="B110" s="7"/>
      <c r="C110" s="164" t="s">
        <v>152</v>
      </c>
      <c r="D110" s="135">
        <f>D105</f>
        <v>0</v>
      </c>
      <c r="E110" s="137" t="s">
        <v>115</v>
      </c>
      <c r="F110" s="8"/>
    </row>
    <row r="111" spans="2:6" ht="15" hidden="1" customHeight="1" x14ac:dyDescent="0.35">
      <c r="B111" s="7"/>
      <c r="C111" s="164" t="s">
        <v>153</v>
      </c>
      <c r="D111" s="135">
        <f>D102</f>
        <v>0</v>
      </c>
      <c r="E111" s="128" t="s">
        <v>95</v>
      </c>
      <c r="F111" s="8"/>
    </row>
    <row r="112" spans="2:6" ht="15" hidden="1" customHeight="1" x14ac:dyDescent="0.35">
      <c r="B112" s="7"/>
      <c r="C112" s="164" t="s">
        <v>154</v>
      </c>
      <c r="D112" s="135">
        <f>IFERROR(D110/D111,0)</f>
        <v>0</v>
      </c>
      <c r="E112" s="137" t="s">
        <v>131</v>
      </c>
      <c r="F112" s="8"/>
    </row>
    <row r="113" spans="2:6" ht="15" hidden="1" customHeight="1" x14ac:dyDescent="0.25">
      <c r="B113" s="7"/>
      <c r="C113" s="123"/>
      <c r="D113" s="123"/>
      <c r="E113" s="123"/>
      <c r="F113" s="8"/>
    </row>
    <row r="114" spans="2:6" ht="15" hidden="1" customHeight="1" x14ac:dyDescent="0.25">
      <c r="B114" s="7"/>
      <c r="C114" s="165" t="s">
        <v>29404</v>
      </c>
      <c r="D114" s="123"/>
      <c r="E114" s="123"/>
      <c r="F114" s="8"/>
    </row>
    <row r="115" spans="2:6" ht="15" hidden="1" customHeight="1" x14ac:dyDescent="0.25">
      <c r="B115" s="7"/>
      <c r="C115" s="123"/>
      <c r="D115" s="123"/>
      <c r="E115" s="123"/>
      <c r="F115" s="8"/>
    </row>
    <row r="116" spans="2:6" ht="15" hidden="1" customHeight="1" x14ac:dyDescent="0.25">
      <c r="B116" s="7"/>
      <c r="C116" s="123" t="str">
        <f>CONCATENATE("Baseline year 1 for gas-to-power",IF(I.Product.P2bGasToPowerBaselineYear="","",CONCATENATE(": ",I.Product.P2bGasToPowerBaselineYear)))</f>
        <v>Baseline year 1 for gas-to-power</v>
      </c>
      <c r="D116" s="123"/>
      <c r="E116" s="123"/>
      <c r="F116" s="8"/>
    </row>
    <row r="117" spans="2:6" ht="15" hidden="1" customHeight="1" x14ac:dyDescent="0.25">
      <c r="B117" s="7"/>
      <c r="C117" s="139" t="s">
        <v>42</v>
      </c>
      <c r="D117" s="134" t="s">
        <v>29</v>
      </c>
      <c r="E117" s="129" t="s">
        <v>48</v>
      </c>
      <c r="F117" s="8"/>
    </row>
    <row r="118" spans="2:6" ht="15" hidden="1" customHeight="1" x14ac:dyDescent="0.35">
      <c r="B118" s="7"/>
      <c r="C118" s="164" t="s">
        <v>265</v>
      </c>
      <c r="D118" s="135">
        <f t="array" ref="D118">SUM(IF(I.Gas.P2bY1TotalGasEnergy&lt;&gt;0,I.Gas.P2bY1ElectricityGeneration*I.Gas.P2bY1AssociatedGasEnergy/I.Gas.P2bY1TotalGasEnergy,0))</f>
        <v>0</v>
      </c>
      <c r="E118" s="128" t="s">
        <v>132</v>
      </c>
      <c r="F118" s="8"/>
    </row>
    <row r="119" spans="2:6" ht="15" hidden="1" customHeight="1" x14ac:dyDescent="0.35">
      <c r="B119" s="7"/>
      <c r="C119" s="164" t="s">
        <v>155</v>
      </c>
      <c r="D119" s="135">
        <f>IF(I.Facility.StandardPart="Part 2",SUBTOTAL(9,I.Gas.P2bY1C1V1)*Developer!T30,SUBTOTAL(9,I.Gas.P2bY1C1E1)*Developer!T4+SUBTOTAL(9,I.Gas.P2bY1C1E2)*Developer!T5+SUBTOTAL(9,I.Gas.P2bY1C1E3)*Developer!T6)</f>
        <v>0</v>
      </c>
      <c r="E119" s="137" t="s">
        <v>115</v>
      </c>
      <c r="F119" s="8"/>
    </row>
    <row r="120" spans="2:6" ht="15" hidden="1" customHeight="1" x14ac:dyDescent="0.35">
      <c r="B120" s="7"/>
      <c r="C120" s="164" t="s">
        <v>156</v>
      </c>
      <c r="D120" s="135">
        <f>D119</f>
        <v>0</v>
      </c>
      <c r="E120" s="137" t="s">
        <v>115</v>
      </c>
      <c r="F120" s="8"/>
    </row>
    <row r="121" spans="2:6" ht="15" hidden="1" customHeight="1" x14ac:dyDescent="0.35">
      <c r="B121" s="7"/>
      <c r="C121" s="164" t="s">
        <v>202</v>
      </c>
      <c r="D121" s="135">
        <f>D120</f>
        <v>0</v>
      </c>
      <c r="E121" s="137" t="s">
        <v>115</v>
      </c>
      <c r="F121" s="8"/>
    </row>
    <row r="122" spans="2:6" ht="15" hidden="1" customHeight="1" x14ac:dyDescent="0.25">
      <c r="B122" s="7"/>
      <c r="C122" s="123"/>
      <c r="D122" s="123"/>
      <c r="E122" s="123"/>
      <c r="F122" s="8"/>
    </row>
    <row r="123" spans="2:6" ht="15" hidden="1" customHeight="1" x14ac:dyDescent="0.25">
      <c r="B123" s="7"/>
      <c r="C123" s="123" t="str">
        <f>CONCATENATE("Baseline year 2 for gas-to-power",IF(I.Product.P2bGasToPowerBaselineYear="","",CONCATENATE(": ",I.Product.P2bGasToPowerBaselineYear+1)))</f>
        <v>Baseline year 2 for gas-to-power</v>
      </c>
      <c r="D123" s="123"/>
      <c r="E123" s="123"/>
      <c r="F123" s="8"/>
    </row>
    <row r="124" spans="2:6" ht="15" hidden="1" customHeight="1" x14ac:dyDescent="0.25">
      <c r="B124" s="7"/>
      <c r="C124" s="139" t="s">
        <v>42</v>
      </c>
      <c r="D124" s="134" t="s">
        <v>29</v>
      </c>
      <c r="E124" s="129" t="s">
        <v>48</v>
      </c>
      <c r="F124" s="8"/>
    </row>
    <row r="125" spans="2:6" ht="15" hidden="1" customHeight="1" x14ac:dyDescent="0.35">
      <c r="B125" s="7"/>
      <c r="C125" s="164" t="s">
        <v>266</v>
      </c>
      <c r="D125" s="135">
        <f t="array" ref="D125">SUM(IF(I.Gas.P2bY2TotalGasEnergy&lt;&gt;0,I.Gas.P2bY2ElectricityGeneration*I.Gas.P2bY2AssociatedGasEnergy/I.Gas.P2bY2TotalGasEnergy,0))</f>
        <v>0</v>
      </c>
      <c r="E125" s="128" t="s">
        <v>132</v>
      </c>
      <c r="F125" s="8"/>
    </row>
    <row r="126" spans="2:6" ht="15" hidden="1" customHeight="1" x14ac:dyDescent="0.35">
      <c r="B126" s="7"/>
      <c r="C126" s="164" t="s">
        <v>157</v>
      </c>
      <c r="D126" s="135">
        <f>IF(I.Facility.StandardPart="Part 2",SUBTOTAL(9,I.Gas.P2bY2C1V1)*Developer!T30,SUBTOTAL(9,I.Gas.P2bY2C1E1)*Developer!T4+SUBTOTAL(9,I.Gas.P2bY2C1E2)*Developer!T5+SUBTOTAL(9,I.Gas.P2bY2C1E3)*Developer!T6)</f>
        <v>0</v>
      </c>
      <c r="E126" s="137" t="s">
        <v>115</v>
      </c>
      <c r="F126" s="8"/>
    </row>
    <row r="127" spans="2:6" ht="15" hidden="1" customHeight="1" x14ac:dyDescent="0.35">
      <c r="B127" s="7"/>
      <c r="C127" s="164" t="s">
        <v>158</v>
      </c>
      <c r="D127" s="135">
        <f>D126</f>
        <v>0</v>
      </c>
      <c r="E127" s="137" t="s">
        <v>115</v>
      </c>
      <c r="F127" s="8"/>
    </row>
    <row r="128" spans="2:6" ht="15" hidden="1" customHeight="1" x14ac:dyDescent="0.35">
      <c r="B128" s="7"/>
      <c r="C128" s="164" t="s">
        <v>201</v>
      </c>
      <c r="D128" s="135">
        <f>D127</f>
        <v>0</v>
      </c>
      <c r="E128" s="137" t="s">
        <v>115</v>
      </c>
      <c r="F128" s="8"/>
    </row>
    <row r="129" spans="2:6" ht="15" hidden="1" customHeight="1" x14ac:dyDescent="0.25">
      <c r="B129" s="7"/>
      <c r="C129" s="123"/>
      <c r="D129" s="123"/>
      <c r="E129" s="123"/>
      <c r="F129" s="8"/>
    </row>
    <row r="130" spans="2:6" ht="15" hidden="1" customHeight="1" x14ac:dyDescent="0.25">
      <c r="B130" s="7"/>
      <c r="C130" s="123" t="s">
        <v>29403</v>
      </c>
      <c r="D130" s="123"/>
      <c r="E130" s="123"/>
      <c r="F130" s="8"/>
    </row>
    <row r="131" spans="2:6" ht="15" hidden="1" customHeight="1" x14ac:dyDescent="0.25">
      <c r="B131" s="7"/>
      <c r="C131" s="139" t="s">
        <v>42</v>
      </c>
      <c r="D131" s="134" t="s">
        <v>29</v>
      </c>
      <c r="E131" s="129" t="s">
        <v>48</v>
      </c>
      <c r="F131" s="8"/>
    </row>
    <row r="132" spans="2:6" ht="15" hidden="1" customHeight="1" x14ac:dyDescent="0.35">
      <c r="B132" s="7"/>
      <c r="C132" s="164" t="s">
        <v>159</v>
      </c>
      <c r="D132" s="135">
        <f>(D120+D127)/2</f>
        <v>0</v>
      </c>
      <c r="E132" s="137" t="s">
        <v>115</v>
      </c>
      <c r="F132" s="8"/>
    </row>
    <row r="133" spans="2:6" ht="15" hidden="1" customHeight="1" x14ac:dyDescent="0.35">
      <c r="B133" s="7"/>
      <c r="C133" s="164" t="s">
        <v>160</v>
      </c>
      <c r="D133" s="135">
        <f>(D118+D125)/2</f>
        <v>0</v>
      </c>
      <c r="E133" s="128" t="s">
        <v>132</v>
      </c>
      <c r="F133" s="8"/>
    </row>
    <row r="134" spans="2:6" ht="15" hidden="1" customHeight="1" x14ac:dyDescent="0.35">
      <c r="B134" s="7"/>
      <c r="C134" s="164" t="s">
        <v>161</v>
      </c>
      <c r="D134" s="135">
        <f>IFERROR(D132/D133,0)</f>
        <v>0</v>
      </c>
      <c r="E134" s="137" t="s">
        <v>133</v>
      </c>
      <c r="F134" s="8"/>
    </row>
    <row r="135" spans="2:6" ht="15" hidden="1" customHeight="1" x14ac:dyDescent="0.25">
      <c r="B135" s="7"/>
      <c r="C135" s="123"/>
      <c r="D135" s="123"/>
      <c r="E135" s="123"/>
      <c r="F135" s="8"/>
    </row>
    <row r="136" spans="2:6" ht="20.100000000000001" hidden="1" customHeight="1" x14ac:dyDescent="0.25">
      <c r="B136" s="5"/>
      <c r="C136" s="97" t="s">
        <v>52</v>
      </c>
      <c r="D136" s="97"/>
      <c r="E136" s="97"/>
      <c r="F136" s="6"/>
    </row>
    <row r="137" spans="2:6" ht="15" hidden="1" customHeight="1" x14ac:dyDescent="0.25">
      <c r="B137" s="7"/>
      <c r="C137" s="123"/>
      <c r="D137" s="123"/>
      <c r="E137" s="123"/>
      <c r="F137" s="8"/>
    </row>
    <row r="138" spans="2:6" ht="15" hidden="1" customHeight="1" x14ac:dyDescent="0.25">
      <c r="B138" s="7"/>
      <c r="C138" s="123" t="str">
        <f>CONCATENATE("Baseline year",IF(I.Product.P3BaselineYear="","",CONCATENATE(": ",I.Product.P3BaselineYear)))</f>
        <v>Baseline year</v>
      </c>
      <c r="D138" s="123"/>
      <c r="E138" s="123"/>
      <c r="F138" s="8"/>
    </row>
    <row r="139" spans="2:6" ht="15" hidden="1" customHeight="1" x14ac:dyDescent="0.25">
      <c r="B139" s="7"/>
      <c r="C139" s="139" t="s">
        <v>42</v>
      </c>
      <c r="D139" s="134" t="s">
        <v>29</v>
      </c>
      <c r="E139" s="129" t="s">
        <v>48</v>
      </c>
      <c r="F139" s="8"/>
    </row>
    <row r="140" spans="2:6" ht="15" hidden="1" customHeight="1" x14ac:dyDescent="0.35">
      <c r="B140" s="7"/>
      <c r="C140" s="164" t="s">
        <v>162</v>
      </c>
      <c r="D140" s="135">
        <f>I.Production.P3Quantity</f>
        <v>0</v>
      </c>
      <c r="E140" s="128" t="s">
        <v>95</v>
      </c>
      <c r="F140" s="8"/>
    </row>
    <row r="141" spans="2:6" ht="15" hidden="1" customHeight="1" x14ac:dyDescent="0.35">
      <c r="B141" s="7"/>
      <c r="C141" s="164" t="s">
        <v>163</v>
      </c>
      <c r="D141" s="135">
        <f>IF(I.Facility.StandardPart="Part 2",('Production Data'!D187*Developer!T31)+SUMPRODUCT('Production Data'!D188:D192,Developer!T33:T37),SUMPRODUCT('Production Data'!D193:D195,Developer!T4:T6))+SUMPRODUCT(I.Production.P3C2,Developer!T7:T27)+IF(I.Facility.StandardPart="Part 2",'Production Data'!D223*Developer!T31+'Production Data'!D224*Developer!T41,SUMPRODUCT('Production Data'!D225:D227,Developer!T4:T6))+SUMPRODUCT(I.Production.P3C4,Developer!T4:T6)</f>
        <v>0</v>
      </c>
      <c r="E141" s="137" t="s">
        <v>115</v>
      </c>
      <c r="F141" s="8"/>
    </row>
    <row r="142" spans="2:6" ht="15" hidden="1" customHeight="1" x14ac:dyDescent="0.35">
      <c r="B142" s="7"/>
      <c r="C142" s="164" t="s">
        <v>164</v>
      </c>
      <c r="D142" s="135">
        <f>IF(I.Facility.StandardPart="Part 2",('Electricity Data'!D174*Developer!T31)+SUMPRODUCT('Electricity Data'!D175:D179,Developer!T33:T37),SUMPRODUCT('Electricity Data'!D180:D182,Developer!T4:T6))+SUMPRODUCT(I.Electricity.P3C2,Developer!T7:T27)+IF(I.Facility.StandardPart="Part 2",'Electricity Data'!D210*Developer!T31+'Electricity Data'!D211*Developer!T41,SUMPRODUCT('Electricity Data'!D212:D214,Developer!T4:T6))+SUMPRODUCT(I.Electricity.P3C4,Developer!T4:T6)</f>
        <v>0</v>
      </c>
      <c r="E142" s="137" t="s">
        <v>115</v>
      </c>
      <c r="F142" s="8"/>
    </row>
    <row r="143" spans="2:6" ht="15" hidden="1" customHeight="1" x14ac:dyDescent="0.35">
      <c r="B143" s="7"/>
      <c r="C143" s="164" t="s">
        <v>165</v>
      </c>
      <c r="D143" s="135">
        <f>SUM(D141:D142)</f>
        <v>0</v>
      </c>
      <c r="E143" s="137" t="s">
        <v>115</v>
      </c>
      <c r="F143" s="8"/>
    </row>
    <row r="144" spans="2:6" ht="15" hidden="1" customHeight="1" x14ac:dyDescent="0.35">
      <c r="B144" s="7"/>
      <c r="C144" s="164" t="s">
        <v>200</v>
      </c>
      <c r="D144" s="135">
        <f>D143</f>
        <v>0</v>
      </c>
      <c r="E144" s="137" t="s">
        <v>115</v>
      </c>
      <c r="F144" s="8"/>
    </row>
    <row r="145" spans="2:6" ht="15" hidden="1" customHeight="1" x14ac:dyDescent="0.25">
      <c r="B145" s="7"/>
      <c r="C145" s="123"/>
      <c r="D145" s="123"/>
      <c r="E145" s="123"/>
      <c r="F145" s="8"/>
    </row>
    <row r="146" spans="2:6" ht="15" hidden="1" customHeight="1" x14ac:dyDescent="0.25">
      <c r="B146" s="7"/>
      <c r="C146" s="123" t="s">
        <v>116</v>
      </c>
      <c r="D146" s="123"/>
      <c r="E146" s="123"/>
      <c r="F146" s="8"/>
    </row>
    <row r="147" spans="2:6" ht="15" hidden="1" customHeight="1" x14ac:dyDescent="0.25">
      <c r="B147" s="7"/>
      <c r="C147" s="139" t="s">
        <v>42</v>
      </c>
      <c r="D147" s="134" t="s">
        <v>29</v>
      </c>
      <c r="E147" s="129" t="s">
        <v>48</v>
      </c>
      <c r="F147" s="8"/>
    </row>
    <row r="148" spans="2:6" ht="15" hidden="1" customHeight="1" x14ac:dyDescent="0.35">
      <c r="B148" s="7"/>
      <c r="C148" s="164" t="s">
        <v>166</v>
      </c>
      <c r="D148" s="135">
        <f>D143</f>
        <v>0</v>
      </c>
      <c r="E148" s="137" t="s">
        <v>115</v>
      </c>
      <c r="F148" s="8"/>
    </row>
    <row r="149" spans="2:6" ht="15" hidden="1" customHeight="1" x14ac:dyDescent="0.35">
      <c r="B149" s="7"/>
      <c r="C149" s="164" t="s">
        <v>167</v>
      </c>
      <c r="D149" s="135">
        <f>D140</f>
        <v>0</v>
      </c>
      <c r="E149" s="128" t="s">
        <v>95</v>
      </c>
      <c r="F149" s="8"/>
    </row>
    <row r="150" spans="2:6" ht="15" hidden="1" customHeight="1" x14ac:dyDescent="0.35">
      <c r="B150" s="7"/>
      <c r="C150" s="164" t="s">
        <v>168</v>
      </c>
      <c r="D150" s="135">
        <f>IFERROR(D148/D149,0)</f>
        <v>0</v>
      </c>
      <c r="E150" s="137" t="s">
        <v>131</v>
      </c>
      <c r="F150" s="8"/>
    </row>
    <row r="151" spans="2:6" ht="15" hidden="1" customHeight="1" x14ac:dyDescent="0.25">
      <c r="B151" s="7"/>
      <c r="C151" s="123"/>
      <c r="D151" s="123"/>
      <c r="E151" s="123"/>
      <c r="F151" s="8"/>
    </row>
    <row r="152" spans="2:6" ht="15" hidden="1" customHeight="1" x14ac:dyDescent="0.25">
      <c r="B152" s="7"/>
      <c r="C152" s="165" t="s">
        <v>29404</v>
      </c>
      <c r="D152" s="123"/>
      <c r="E152" s="123"/>
      <c r="F152" s="8"/>
    </row>
    <row r="153" spans="2:6" ht="15" hidden="1" customHeight="1" x14ac:dyDescent="0.25">
      <c r="B153" s="7"/>
      <c r="C153" s="123"/>
      <c r="D153" s="123"/>
      <c r="E153" s="123"/>
      <c r="F153" s="8"/>
    </row>
    <row r="154" spans="2:6" ht="15" hidden="1" customHeight="1" x14ac:dyDescent="0.25">
      <c r="B154" s="7"/>
      <c r="C154" s="123" t="str">
        <f>CONCATENATE("Baseline year 1 for gas-to-power",IF(I.Product.P3GasToPowerBaselineYear="","",CONCATENATE(": ",I.Product.P3GasToPowerBaselineYear)))</f>
        <v>Baseline year 1 for gas-to-power</v>
      </c>
      <c r="D154" s="123"/>
      <c r="E154" s="123"/>
      <c r="F154" s="8"/>
    </row>
    <row r="155" spans="2:6" ht="15" hidden="1" customHeight="1" x14ac:dyDescent="0.25">
      <c r="B155" s="7"/>
      <c r="C155" s="139" t="s">
        <v>42</v>
      </c>
      <c r="D155" s="134" t="s">
        <v>29</v>
      </c>
      <c r="E155" s="129" t="s">
        <v>48</v>
      </c>
      <c r="F155" s="8"/>
    </row>
    <row r="156" spans="2:6" ht="15" hidden="1" customHeight="1" x14ac:dyDescent="0.35">
      <c r="B156" s="7"/>
      <c r="C156" s="164" t="s">
        <v>267</v>
      </c>
      <c r="D156" s="135">
        <f t="array" ref="D156">SUM(IF(I.Gas.P3Y1TotalGasEnergy&lt;&gt;0,I.Gas.P3Y1ElectricityGeneration*I.Gas.P3Y1AssociatedGasEnergy/I.Gas.P3Y1TotalGasEnergy,0))</f>
        <v>0</v>
      </c>
      <c r="E156" s="128" t="s">
        <v>132</v>
      </c>
      <c r="F156" s="8"/>
    </row>
    <row r="157" spans="2:6" ht="15" hidden="1" customHeight="1" x14ac:dyDescent="0.35">
      <c r="B157" s="7"/>
      <c r="C157" s="164" t="s">
        <v>169</v>
      </c>
      <c r="D157" s="135">
        <f>IF(I.Facility.StandardPart="Part 2",SUBTOTAL(9,I.Gas.P3Y1C1V1)*Developer!T31,SUBTOTAL(9,I.Gas.P3Y1C1E1)*Developer!T4+SUBTOTAL(9,I.Gas.P3Y1C1E2)*Developer!T5+SUBTOTAL(9,I.Gas.P3Y1C1E3)*Developer!T6)</f>
        <v>0</v>
      </c>
      <c r="E157" s="137" t="s">
        <v>115</v>
      </c>
      <c r="F157" s="8"/>
    </row>
    <row r="158" spans="2:6" ht="15" hidden="1" customHeight="1" x14ac:dyDescent="0.35">
      <c r="B158" s="7"/>
      <c r="C158" s="164" t="s">
        <v>170</v>
      </c>
      <c r="D158" s="135">
        <f>D157</f>
        <v>0</v>
      </c>
      <c r="E158" s="137" t="s">
        <v>115</v>
      </c>
      <c r="F158" s="8"/>
    </row>
    <row r="159" spans="2:6" ht="15" hidden="1" customHeight="1" x14ac:dyDescent="0.35">
      <c r="B159" s="7"/>
      <c r="C159" s="164" t="s">
        <v>199</v>
      </c>
      <c r="D159" s="135">
        <f>D158</f>
        <v>0</v>
      </c>
      <c r="E159" s="137" t="s">
        <v>115</v>
      </c>
      <c r="F159" s="8"/>
    </row>
    <row r="160" spans="2:6" ht="15" hidden="1" customHeight="1" x14ac:dyDescent="0.25">
      <c r="B160" s="7"/>
      <c r="C160" s="123"/>
      <c r="D160" s="123"/>
      <c r="E160" s="123"/>
      <c r="F160" s="8"/>
    </row>
    <row r="161" spans="2:6" ht="15" hidden="1" customHeight="1" x14ac:dyDescent="0.25">
      <c r="B161" s="7"/>
      <c r="C161" s="123" t="str">
        <f>CONCATENATE("Baseline year 2 for gas-to-power",IF(I.Product.P3GasToPowerBaselineYear="","",CONCATENATE(": ",I.Product.P3GasToPowerBaselineYear+1)))</f>
        <v>Baseline year 2 for gas-to-power</v>
      </c>
      <c r="D161" s="123"/>
      <c r="E161" s="123"/>
      <c r="F161" s="8"/>
    </row>
    <row r="162" spans="2:6" ht="15" hidden="1" customHeight="1" x14ac:dyDescent="0.25">
      <c r="B162" s="7"/>
      <c r="C162" s="139" t="s">
        <v>42</v>
      </c>
      <c r="D162" s="134" t="s">
        <v>29</v>
      </c>
      <c r="E162" s="129" t="s">
        <v>48</v>
      </c>
      <c r="F162" s="8"/>
    </row>
    <row r="163" spans="2:6" ht="15" hidden="1" customHeight="1" x14ac:dyDescent="0.35">
      <c r="B163" s="7"/>
      <c r="C163" s="164" t="s">
        <v>268</v>
      </c>
      <c r="D163" s="135">
        <f t="array" ref="D163">SUM(IF(I.Gas.P3Y2TotalGasEnergy&lt;&gt;0,I.Gas.P3Y2ElectricityGeneration*I.Gas.P3Y2AssociatedGasEnergy/I.Gas.P3Y2TotalGasEnergy,0))</f>
        <v>0</v>
      </c>
      <c r="E163" s="128" t="s">
        <v>132</v>
      </c>
      <c r="F163" s="8"/>
    </row>
    <row r="164" spans="2:6" ht="15" hidden="1" customHeight="1" x14ac:dyDescent="0.35">
      <c r="B164" s="7"/>
      <c r="C164" s="164" t="s">
        <v>171</v>
      </c>
      <c r="D164" s="135">
        <f>IF(I.Facility.StandardPart="Part 2",SUBTOTAL(9,I.Gas.P3Y2C1V1)*Developer!T31,SUBTOTAL(9,I.Gas.P3Y2C1E1)*Developer!T4+SUBTOTAL(9,I.Gas.P3Y2C1E2)*Developer!T5+SUBTOTAL(9,I.Gas.P3Y2C1E3)*Developer!T6)</f>
        <v>0</v>
      </c>
      <c r="E164" s="137" t="s">
        <v>115</v>
      </c>
      <c r="F164" s="8"/>
    </row>
    <row r="165" spans="2:6" ht="15" hidden="1" customHeight="1" x14ac:dyDescent="0.35">
      <c r="B165" s="7"/>
      <c r="C165" s="164" t="s">
        <v>172</v>
      </c>
      <c r="D165" s="135">
        <f>D164</f>
        <v>0</v>
      </c>
      <c r="E165" s="137" t="s">
        <v>115</v>
      </c>
      <c r="F165" s="8"/>
    </row>
    <row r="166" spans="2:6" ht="15" hidden="1" customHeight="1" x14ac:dyDescent="0.35">
      <c r="B166" s="7"/>
      <c r="C166" s="164" t="s">
        <v>198</v>
      </c>
      <c r="D166" s="135">
        <f>D165</f>
        <v>0</v>
      </c>
      <c r="E166" s="137" t="s">
        <v>115</v>
      </c>
      <c r="F166" s="8"/>
    </row>
    <row r="167" spans="2:6" ht="15" hidden="1" customHeight="1" x14ac:dyDescent="0.25">
      <c r="B167" s="7"/>
      <c r="C167" s="123"/>
      <c r="D167" s="123"/>
      <c r="E167" s="123"/>
      <c r="F167" s="8"/>
    </row>
    <row r="168" spans="2:6" ht="15" hidden="1" customHeight="1" x14ac:dyDescent="0.25">
      <c r="B168" s="7"/>
      <c r="C168" s="123" t="s">
        <v>29403</v>
      </c>
      <c r="D168" s="123"/>
      <c r="E168" s="123"/>
      <c r="F168" s="8"/>
    </row>
    <row r="169" spans="2:6" ht="15" hidden="1" customHeight="1" x14ac:dyDescent="0.25">
      <c r="B169" s="7"/>
      <c r="C169" s="139" t="s">
        <v>42</v>
      </c>
      <c r="D169" s="134" t="s">
        <v>29</v>
      </c>
      <c r="E169" s="129" t="s">
        <v>48</v>
      </c>
      <c r="F169" s="8"/>
    </row>
    <row r="170" spans="2:6" ht="15" hidden="1" customHeight="1" x14ac:dyDescent="0.35">
      <c r="B170" s="7"/>
      <c r="C170" s="164" t="s">
        <v>173</v>
      </c>
      <c r="D170" s="135">
        <f>(D158+D165)/2</f>
        <v>0</v>
      </c>
      <c r="E170" s="137" t="s">
        <v>115</v>
      </c>
      <c r="F170" s="8"/>
    </row>
    <row r="171" spans="2:6" ht="15" hidden="1" customHeight="1" x14ac:dyDescent="0.35">
      <c r="B171" s="7"/>
      <c r="C171" s="164" t="s">
        <v>174</v>
      </c>
      <c r="D171" s="135">
        <f>(D156+D163)/2</f>
        <v>0</v>
      </c>
      <c r="E171" s="128" t="s">
        <v>132</v>
      </c>
      <c r="F171" s="8"/>
    </row>
    <row r="172" spans="2:6" ht="15" hidden="1" customHeight="1" x14ac:dyDescent="0.35">
      <c r="B172" s="7"/>
      <c r="C172" s="164" t="s">
        <v>175</v>
      </c>
      <c r="D172" s="135">
        <f>IFERROR(D170/D171,0)</f>
        <v>0</v>
      </c>
      <c r="E172" s="137" t="s">
        <v>133</v>
      </c>
      <c r="F172" s="8"/>
    </row>
    <row r="173" spans="2:6" ht="15" hidden="1" customHeight="1" x14ac:dyDescent="0.25">
      <c r="B173" s="7"/>
      <c r="C173" s="123"/>
      <c r="D173" s="123"/>
      <c r="E173" s="123"/>
      <c r="F173" s="8"/>
    </row>
    <row r="174" spans="2:6" ht="20.100000000000001" hidden="1" customHeight="1" x14ac:dyDescent="0.25">
      <c r="B174" s="5"/>
      <c r="C174" s="97" t="s">
        <v>53</v>
      </c>
      <c r="D174" s="97"/>
      <c r="E174" s="97"/>
      <c r="F174" s="6"/>
    </row>
    <row r="175" spans="2:6" ht="15" hidden="1" customHeight="1" x14ac:dyDescent="0.25">
      <c r="B175" s="7"/>
      <c r="C175" s="123"/>
      <c r="D175" s="123"/>
      <c r="E175" s="123"/>
      <c r="F175" s="8"/>
    </row>
    <row r="176" spans="2:6" ht="15" hidden="1" customHeight="1" x14ac:dyDescent="0.25">
      <c r="B176" s="7"/>
      <c r="C176" s="123" t="str">
        <f>CONCATENATE("Baseline year",IF(I.Product.P4BaselineYear="","",CONCATENATE(": ",I.Product.P4BaselineYear)))</f>
        <v>Baseline year</v>
      </c>
      <c r="D176" s="123"/>
      <c r="E176" s="123"/>
      <c r="F176" s="8"/>
    </row>
    <row r="177" spans="2:6" ht="15" hidden="1" customHeight="1" x14ac:dyDescent="0.25">
      <c r="B177" s="7"/>
      <c r="C177" s="139" t="s">
        <v>42</v>
      </c>
      <c r="D177" s="134" t="s">
        <v>29</v>
      </c>
      <c r="E177" s="129" t="s">
        <v>48</v>
      </c>
      <c r="F177" s="8"/>
    </row>
    <row r="178" spans="2:6" ht="15" hidden="1" customHeight="1" x14ac:dyDescent="0.35">
      <c r="B178" s="7"/>
      <c r="C178" s="164" t="s">
        <v>176</v>
      </c>
      <c r="D178" s="135">
        <f>I.Production.P4Quantity</f>
        <v>0</v>
      </c>
      <c r="E178" s="128" t="s">
        <v>95</v>
      </c>
      <c r="F178" s="8"/>
    </row>
    <row r="179" spans="2:6" ht="15" hidden="1" customHeight="1" x14ac:dyDescent="0.35">
      <c r="B179" s="7"/>
      <c r="C179" s="164" t="s">
        <v>177</v>
      </c>
      <c r="D179" s="135">
        <f>IF(I.Facility.StandardPart="Part 2",('Production Data'!D245*Developer!T32)+SUMPRODUCT('Production Data'!D246:D250,Developer!T33:T37),SUMPRODUCT('Production Data'!D251:D253,Developer!T4:T6))+SUMPRODUCT(I.Production.P4C2,Developer!T7:T27)+IF(I.Facility.StandardPart="Part 2",'Production Data'!D281*Developer!T32+'Production Data'!D282*Developer!T42,SUMPRODUCT('Production Data'!D283:D285,Developer!T4:T6))+SUMPRODUCT(I.Production.P4C4,Developer!T4:T6)</f>
        <v>0</v>
      </c>
      <c r="E179" s="137" t="s">
        <v>115</v>
      </c>
      <c r="F179" s="8"/>
    </row>
    <row r="180" spans="2:6" ht="15" hidden="1" customHeight="1" x14ac:dyDescent="0.35">
      <c r="B180" s="7"/>
      <c r="C180" s="164" t="s">
        <v>178</v>
      </c>
      <c r="D180" s="135">
        <f>IF(I.Facility.StandardPart="Part 2",('Electricity Data'!D228*Developer!T32)+SUMPRODUCT('Electricity Data'!D229:D233,Developer!T33:T37),SUMPRODUCT('Electricity Data'!D234:D236,Developer!T4:T6))+SUMPRODUCT(I.Electricity.P4C2,Developer!T7:T27)+IF(I.Facility.StandardPart="Part 2",'Electricity Data'!D264*Developer!T32+'Electricity Data'!D265*Developer!T42,SUMPRODUCT('Electricity Data'!D266:D268,Developer!T4:T6))+SUMPRODUCT(I.Electricity.P4C4,Developer!T4:T6)</f>
        <v>0</v>
      </c>
      <c r="E180" s="137" t="s">
        <v>115</v>
      </c>
      <c r="F180" s="8"/>
    </row>
    <row r="181" spans="2:6" ht="15" hidden="1" customHeight="1" x14ac:dyDescent="0.35">
      <c r="B181" s="7"/>
      <c r="C181" s="164" t="s">
        <v>179</v>
      </c>
      <c r="D181" s="135">
        <f>SUM(D179:D180)</f>
        <v>0</v>
      </c>
      <c r="E181" s="137" t="s">
        <v>115</v>
      </c>
      <c r="F181" s="8"/>
    </row>
    <row r="182" spans="2:6" ht="15" hidden="1" customHeight="1" x14ac:dyDescent="0.35">
      <c r="B182" s="7"/>
      <c r="C182" s="164" t="s">
        <v>197</v>
      </c>
      <c r="D182" s="135">
        <f>D181</f>
        <v>0</v>
      </c>
      <c r="E182" s="137" t="s">
        <v>115</v>
      </c>
      <c r="F182" s="8"/>
    </row>
    <row r="183" spans="2:6" ht="15" hidden="1" customHeight="1" x14ac:dyDescent="0.25">
      <c r="B183" s="7"/>
      <c r="C183" s="123"/>
      <c r="D183" s="123"/>
      <c r="E183" s="123"/>
      <c r="F183" s="8"/>
    </row>
    <row r="184" spans="2:6" ht="15" hidden="1" customHeight="1" x14ac:dyDescent="0.25">
      <c r="B184" s="7"/>
      <c r="C184" s="123" t="s">
        <v>116</v>
      </c>
      <c r="D184" s="123"/>
      <c r="E184" s="123"/>
      <c r="F184" s="8"/>
    </row>
    <row r="185" spans="2:6" ht="15" hidden="1" customHeight="1" x14ac:dyDescent="0.25">
      <c r="B185" s="7"/>
      <c r="C185" s="139" t="s">
        <v>42</v>
      </c>
      <c r="D185" s="134" t="s">
        <v>29</v>
      </c>
      <c r="E185" s="129" t="s">
        <v>48</v>
      </c>
      <c r="F185" s="8"/>
    </row>
    <row r="186" spans="2:6" ht="15" hidden="1" customHeight="1" x14ac:dyDescent="0.35">
      <c r="B186" s="7"/>
      <c r="C186" s="164" t="s">
        <v>180</v>
      </c>
      <c r="D186" s="135">
        <f>D181</f>
        <v>0</v>
      </c>
      <c r="E186" s="137" t="s">
        <v>115</v>
      </c>
      <c r="F186" s="8"/>
    </row>
    <row r="187" spans="2:6" ht="15" hidden="1" customHeight="1" x14ac:dyDescent="0.35">
      <c r="B187" s="7"/>
      <c r="C187" s="164" t="s">
        <v>181</v>
      </c>
      <c r="D187" s="135">
        <f>D178</f>
        <v>0</v>
      </c>
      <c r="E187" s="128" t="s">
        <v>95</v>
      </c>
      <c r="F187" s="8"/>
    </row>
    <row r="188" spans="2:6" ht="15" hidden="1" customHeight="1" x14ac:dyDescent="0.35">
      <c r="B188" s="7"/>
      <c r="C188" s="164" t="s">
        <v>182</v>
      </c>
      <c r="D188" s="135">
        <f>IFERROR(D186/D187,0)</f>
        <v>0</v>
      </c>
      <c r="E188" s="137" t="s">
        <v>131</v>
      </c>
      <c r="F188" s="8"/>
    </row>
    <row r="189" spans="2:6" ht="15" hidden="1" customHeight="1" x14ac:dyDescent="0.25">
      <c r="B189" s="7"/>
      <c r="C189" s="123"/>
      <c r="D189" s="123"/>
      <c r="E189" s="123"/>
      <c r="F189" s="8"/>
    </row>
    <row r="190" spans="2:6" ht="15" hidden="1" customHeight="1" x14ac:dyDescent="0.25">
      <c r="B190" s="7"/>
      <c r="C190" s="165" t="s">
        <v>29404</v>
      </c>
      <c r="D190" s="123"/>
      <c r="E190" s="123"/>
      <c r="F190" s="8"/>
    </row>
    <row r="191" spans="2:6" ht="15" hidden="1" customHeight="1" x14ac:dyDescent="0.25">
      <c r="B191" s="7"/>
      <c r="C191" s="123"/>
      <c r="D191" s="123"/>
      <c r="E191" s="123"/>
      <c r="F191" s="8"/>
    </row>
    <row r="192" spans="2:6" ht="15" hidden="1" customHeight="1" x14ac:dyDescent="0.25">
      <c r="B192" s="7"/>
      <c r="C192" s="123" t="str">
        <f>CONCATENATE("Baseline year 1 for gas-to-power",IF(I.Product.P4GasToPowerBaselineYear="","",CONCATENATE(": ",I.Product.P4GasToPowerBaselineYear)))</f>
        <v>Baseline year 1 for gas-to-power</v>
      </c>
      <c r="D192" s="123"/>
      <c r="E192" s="123"/>
      <c r="F192" s="8"/>
    </row>
    <row r="193" spans="2:6" ht="15" hidden="1" customHeight="1" x14ac:dyDescent="0.25">
      <c r="B193" s="7"/>
      <c r="C193" s="139" t="s">
        <v>42</v>
      </c>
      <c r="D193" s="134" t="s">
        <v>29</v>
      </c>
      <c r="E193" s="129" t="s">
        <v>48</v>
      </c>
      <c r="F193" s="8"/>
    </row>
    <row r="194" spans="2:6" ht="15" hidden="1" customHeight="1" x14ac:dyDescent="0.35">
      <c r="B194" s="7"/>
      <c r="C194" s="164" t="s">
        <v>269</v>
      </c>
      <c r="D194" s="135">
        <f t="array" ref="D194">SUM(IF(I.Gas.P4Y1TotalGasEnergy&lt;&gt;0,I.Gas.P4Y1ElectricityGeneration*I.Gas.P4Y1AssociatedGasEnergy/I.Gas.P4Y1TotalGasEnergy,0))</f>
        <v>0</v>
      </c>
      <c r="E194" s="128" t="s">
        <v>132</v>
      </c>
      <c r="F194" s="8"/>
    </row>
    <row r="195" spans="2:6" ht="15" hidden="1" customHeight="1" x14ac:dyDescent="0.35">
      <c r="B195" s="7"/>
      <c r="C195" s="164" t="s">
        <v>183</v>
      </c>
      <c r="D195" s="135">
        <f>IF(I.Facility.StandardPart="Part 2",SUBTOTAL(9,I.Gas.P4Y1C1V1)*Developer!T32,SUBTOTAL(9,I.Gas.P4Y1C1E1)*Developer!T4+SUBTOTAL(9,I.Gas.P4Y1C1E2)*Developer!T5+SUBTOTAL(9,I.Gas.P4Y1C1E3)*Developer!T6)</f>
        <v>0</v>
      </c>
      <c r="E195" s="137" t="s">
        <v>115</v>
      </c>
      <c r="F195" s="8"/>
    </row>
    <row r="196" spans="2:6" ht="15" hidden="1" customHeight="1" x14ac:dyDescent="0.35">
      <c r="B196" s="7"/>
      <c r="C196" s="164" t="s">
        <v>184</v>
      </c>
      <c r="D196" s="135">
        <f>D195</f>
        <v>0</v>
      </c>
      <c r="E196" s="137" t="s">
        <v>115</v>
      </c>
      <c r="F196" s="8"/>
    </row>
    <row r="197" spans="2:6" ht="15" hidden="1" customHeight="1" x14ac:dyDescent="0.35">
      <c r="B197" s="7"/>
      <c r="C197" s="164" t="s">
        <v>196</v>
      </c>
      <c r="D197" s="135">
        <f>D196</f>
        <v>0</v>
      </c>
      <c r="E197" s="137" t="s">
        <v>115</v>
      </c>
      <c r="F197" s="8"/>
    </row>
    <row r="198" spans="2:6" ht="15" hidden="1" customHeight="1" x14ac:dyDescent="0.25">
      <c r="B198" s="7"/>
      <c r="C198" s="123"/>
      <c r="D198" s="123"/>
      <c r="E198" s="123"/>
      <c r="F198" s="8"/>
    </row>
    <row r="199" spans="2:6" ht="15" hidden="1" customHeight="1" x14ac:dyDescent="0.25">
      <c r="B199" s="7"/>
      <c r="C199" s="123" t="str">
        <f>CONCATENATE("Baseline year 2 for gas-to-power",IF(I.Product.P4GasToPowerBaselineYear="","",CONCATENATE(": ",I.Product.P4GasToPowerBaselineYear+1)))</f>
        <v>Baseline year 2 for gas-to-power</v>
      </c>
      <c r="D199" s="123"/>
      <c r="E199" s="123"/>
      <c r="F199" s="8"/>
    </row>
    <row r="200" spans="2:6" ht="15" hidden="1" customHeight="1" x14ac:dyDescent="0.25">
      <c r="B200" s="7"/>
      <c r="C200" s="139" t="s">
        <v>42</v>
      </c>
      <c r="D200" s="134" t="s">
        <v>29</v>
      </c>
      <c r="E200" s="129" t="s">
        <v>48</v>
      </c>
      <c r="F200" s="8"/>
    </row>
    <row r="201" spans="2:6" ht="15" hidden="1" customHeight="1" x14ac:dyDescent="0.35">
      <c r="B201" s="7"/>
      <c r="C201" s="164" t="s">
        <v>270</v>
      </c>
      <c r="D201" s="135">
        <f t="array" ref="D201">SUM(IF(I.Gas.P4Y2TotalGasEnergy&lt;&gt;0,I.Gas.P4Y2ElectricityGeneration*I.Gas.P4Y2AssociatedGasEnergy/I.Gas.P4Y2TotalGasEnergy,0))</f>
        <v>0</v>
      </c>
      <c r="E201" s="128" t="s">
        <v>132</v>
      </c>
      <c r="F201" s="8"/>
    </row>
    <row r="202" spans="2:6" ht="15" hidden="1" customHeight="1" x14ac:dyDescent="0.35">
      <c r="B202" s="7"/>
      <c r="C202" s="164" t="s">
        <v>185</v>
      </c>
      <c r="D202" s="135">
        <f>IF(I.Facility.StandardPart="Part 2",SUBTOTAL(9,I.Gas.P4Y2C1V1)*Developer!T32,SUBTOTAL(9,I.Gas.P4Y2C1E1)*Developer!T4+SUBTOTAL(9,I.Gas.P4Y2C1E2)*Developer!T5+SUBTOTAL(9,I.Gas.P4Y2C1E3)*Developer!T6)</f>
        <v>0</v>
      </c>
      <c r="E202" s="137" t="s">
        <v>115</v>
      </c>
      <c r="F202" s="8"/>
    </row>
    <row r="203" spans="2:6" ht="15" hidden="1" customHeight="1" x14ac:dyDescent="0.35">
      <c r="B203" s="7"/>
      <c r="C203" s="164" t="s">
        <v>186</v>
      </c>
      <c r="D203" s="135">
        <f>D202</f>
        <v>0</v>
      </c>
      <c r="E203" s="137" t="s">
        <v>115</v>
      </c>
      <c r="F203" s="8"/>
    </row>
    <row r="204" spans="2:6" ht="15" hidden="1" customHeight="1" x14ac:dyDescent="0.35">
      <c r="B204" s="7"/>
      <c r="C204" s="164" t="s">
        <v>195</v>
      </c>
      <c r="D204" s="135">
        <f>D203</f>
        <v>0</v>
      </c>
      <c r="E204" s="137" t="s">
        <v>115</v>
      </c>
      <c r="F204" s="8"/>
    </row>
    <row r="205" spans="2:6" ht="15" hidden="1" customHeight="1" x14ac:dyDescent="0.25">
      <c r="B205" s="7"/>
      <c r="C205" s="123"/>
      <c r="D205" s="123"/>
      <c r="E205" s="123"/>
      <c r="F205" s="8"/>
    </row>
    <row r="206" spans="2:6" ht="15" hidden="1" customHeight="1" x14ac:dyDescent="0.25">
      <c r="B206" s="7"/>
      <c r="C206" s="123" t="s">
        <v>29403</v>
      </c>
      <c r="D206" s="123"/>
      <c r="E206" s="123"/>
      <c r="F206" s="8"/>
    </row>
    <row r="207" spans="2:6" ht="15" hidden="1" customHeight="1" x14ac:dyDescent="0.25">
      <c r="B207" s="7"/>
      <c r="C207" s="139" t="s">
        <v>42</v>
      </c>
      <c r="D207" s="134" t="s">
        <v>29</v>
      </c>
      <c r="E207" s="129" t="s">
        <v>48</v>
      </c>
      <c r="F207" s="8"/>
    </row>
    <row r="208" spans="2:6" ht="15" hidden="1" customHeight="1" x14ac:dyDescent="0.35">
      <c r="B208" s="7"/>
      <c r="C208" s="164" t="s">
        <v>187</v>
      </c>
      <c r="D208" s="135">
        <f>(D196+D203)/2</f>
        <v>0</v>
      </c>
      <c r="E208" s="137" t="s">
        <v>115</v>
      </c>
      <c r="F208" s="8"/>
    </row>
    <row r="209" spans="2:6" ht="15" hidden="1" customHeight="1" x14ac:dyDescent="0.35">
      <c r="B209" s="7"/>
      <c r="C209" s="164" t="s">
        <v>188</v>
      </c>
      <c r="D209" s="135">
        <f>(D194+D201)/2</f>
        <v>0</v>
      </c>
      <c r="E209" s="128" t="s">
        <v>132</v>
      </c>
      <c r="F209" s="8"/>
    </row>
    <row r="210" spans="2:6" ht="15" hidden="1" customHeight="1" x14ac:dyDescent="0.35">
      <c r="B210" s="7"/>
      <c r="C210" s="164" t="s">
        <v>189</v>
      </c>
      <c r="D210" s="135">
        <f>IFERROR(D208/D209,0)</f>
        <v>0</v>
      </c>
      <c r="E210" s="137" t="s">
        <v>133</v>
      </c>
      <c r="F210" s="8"/>
    </row>
    <row r="211" spans="2:6" ht="15" hidden="1" customHeight="1" x14ac:dyDescent="0.25">
      <c r="B211" s="7"/>
      <c r="C211" s="123"/>
      <c r="D211" s="123"/>
      <c r="E211" s="123"/>
      <c r="F211" s="8"/>
    </row>
    <row r="212" spans="2:6" ht="15" customHeight="1" x14ac:dyDescent="0.25">
      <c r="B212" s="10"/>
      <c r="C212" s="11">
        <f>R.Instructions.VersionNumber</f>
        <v>4.0199999999999996</v>
      </c>
      <c r="D212" s="12"/>
      <c r="E212" s="13">
        <f>R.Instructions.VersionDate</f>
        <v>45411</v>
      </c>
      <c r="F212" s="14"/>
    </row>
  </sheetData>
  <sheetProtection algorithmName="SHA-512" hashValue="7K0JSgT58ceb/PMmCiNuXU4RSaX0J/vhKulGeAlk0Ai69NnpizpOhOWPwQ79WIDgHF+C0G+u4lWEl0tGc6I4vg==" saltValue="s5iA5eeIprq0En8xYPfEHQ==" spinCount="100000" sheet="1" objects="1" scenarios="1" selectLockedCells="1" selectUnlockedCells="1"/>
  <mergeCells count="20">
    <mergeCell ref="C136:E136"/>
    <mergeCell ref="C174:E174"/>
    <mergeCell ref="D20:E20"/>
    <mergeCell ref="D19:E19"/>
    <mergeCell ref="C98:E98"/>
    <mergeCell ref="C4:E4"/>
    <mergeCell ref="C22:E22"/>
    <mergeCell ref="C60:E60"/>
    <mergeCell ref="D16:E16"/>
    <mergeCell ref="D15:E15"/>
    <mergeCell ref="D14:E14"/>
    <mergeCell ref="D8:E8"/>
    <mergeCell ref="D18:E18"/>
    <mergeCell ref="D11:E11"/>
    <mergeCell ref="D9:E9"/>
    <mergeCell ref="D10:E10"/>
    <mergeCell ref="D13:E13"/>
    <mergeCell ref="D17:E17"/>
    <mergeCell ref="C6:E7"/>
    <mergeCell ref="D12:E12"/>
  </mergeCells>
  <printOptions horizontalCentered="1"/>
  <pageMargins left="0.25" right="0.25" top="0.25" bottom="0.25" header="0" footer="0"/>
  <pageSetup scale="85" fitToHeight="0" orientation="portrait"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E68C4C-B260-4480-8F7A-0C163742469E}">
  <sheetPr codeName="Sheet8">
    <tabColor rgb="FF046A38"/>
    <pageSetUpPr fitToPage="1"/>
  </sheetPr>
  <dimension ref="A1:G35"/>
  <sheetViews>
    <sheetView showGridLines="0" showRowColHeaders="0" zoomScaleNormal="100" workbookViewId="0">
      <selection activeCell="D9" sqref="D9"/>
    </sheetView>
  </sheetViews>
  <sheetFormatPr defaultColWidth="8.7109375" defaultRowHeight="15" customHeight="1" x14ac:dyDescent="0.25"/>
  <cols>
    <col min="1" max="1" width="5.7109375" customWidth="1"/>
    <col min="2" max="2" width="5.7109375" style="122" customWidth="1"/>
    <col min="3" max="3" width="2.28515625" style="122" customWidth="1"/>
    <col min="4" max="4" width="48.42578125" style="122" customWidth="1"/>
    <col min="5" max="5" width="5.7109375" style="122" customWidth="1"/>
    <col min="6" max="6" width="50.7109375" style="122" customWidth="1"/>
    <col min="7" max="7" width="5.7109375" style="122" customWidth="1"/>
    <col min="8" max="16384" width="8.7109375" style="122"/>
  </cols>
  <sheetData>
    <row r="1" spans="2:7" customFormat="1" ht="24.95" customHeight="1" x14ac:dyDescent="0.25"/>
    <row r="2" spans="2:7" customFormat="1" ht="24.95" customHeight="1" x14ac:dyDescent="0.25"/>
    <row r="3" spans="2:7" customFormat="1" ht="24.95" customHeight="1" x14ac:dyDescent="0.25"/>
    <row r="4" spans="2:7" ht="24.95" customHeight="1" x14ac:dyDescent="0.25">
      <c r="B4" s="15"/>
      <c r="C4" s="101" t="s">
        <v>31</v>
      </c>
      <c r="D4" s="101"/>
      <c r="E4" s="101"/>
      <c r="F4" s="101"/>
      <c r="G4" s="16"/>
    </row>
    <row r="5" spans="2:7" ht="15" customHeight="1" x14ac:dyDescent="0.25">
      <c r="B5" s="7"/>
      <c r="C5" s="123"/>
      <c r="D5" s="123"/>
      <c r="E5" s="123"/>
      <c r="F5" s="123"/>
      <c r="G5" s="8"/>
    </row>
    <row r="6" spans="2:7" ht="15" customHeight="1" x14ac:dyDescent="0.25">
      <c r="B6" s="7"/>
      <c r="C6" s="123" t="s">
        <v>32</v>
      </c>
      <c r="D6" s="123"/>
      <c r="E6" s="123"/>
      <c r="F6" s="123" t="s">
        <v>33</v>
      </c>
      <c r="G6" s="8"/>
    </row>
    <row r="7" spans="2:7" ht="15" customHeight="1" x14ac:dyDescent="0.25">
      <c r="B7" s="7"/>
      <c r="C7" s="110" t="str">
        <f>IF(I.Facility.Operator="","",I.Facility.Operator)</f>
        <v/>
      </c>
      <c r="D7" s="111"/>
      <c r="E7" s="123"/>
      <c r="F7" s="19" t="str">
        <f>IF(I.Facility.OBPSNumber="","",I.Facility.OBPSNumber)</f>
        <v/>
      </c>
      <c r="G7" s="8"/>
    </row>
    <row r="8" spans="2:7" ht="15" customHeight="1" x14ac:dyDescent="0.25">
      <c r="B8" s="7"/>
      <c r="C8" s="123"/>
      <c r="D8" s="123"/>
      <c r="E8" s="123"/>
      <c r="F8" s="123"/>
      <c r="G8" s="8"/>
    </row>
    <row r="9" spans="2:7" ht="15" customHeight="1" x14ac:dyDescent="0.25">
      <c r="B9" s="7"/>
      <c r="C9" s="123" t="s">
        <v>34</v>
      </c>
      <c r="D9" s="17"/>
      <c r="E9" s="123" t="s">
        <v>35</v>
      </c>
      <c r="F9" s="123"/>
      <c r="G9" s="8"/>
    </row>
    <row r="10" spans="2:7" ht="15" customHeight="1" x14ac:dyDescent="0.25">
      <c r="B10" s="7"/>
      <c r="C10" s="124" t="s">
        <v>36</v>
      </c>
      <c r="D10" s="124"/>
      <c r="E10" s="124"/>
      <c r="F10" s="124"/>
      <c r="G10" s="8"/>
    </row>
    <row r="11" spans="2:7" ht="15" customHeight="1" x14ac:dyDescent="0.25">
      <c r="B11" s="7"/>
      <c r="C11" s="124"/>
      <c r="D11" s="124"/>
      <c r="E11" s="124"/>
      <c r="F11" s="124"/>
      <c r="G11" s="8"/>
    </row>
    <row r="12" spans="2:7" ht="15" customHeight="1" x14ac:dyDescent="0.25">
      <c r="B12" s="7"/>
      <c r="C12" s="124"/>
      <c r="D12" s="124"/>
      <c r="E12" s="124"/>
      <c r="F12" s="124"/>
      <c r="G12" s="8"/>
    </row>
    <row r="13" spans="2:7" ht="15" customHeight="1" x14ac:dyDescent="0.25">
      <c r="B13" s="7"/>
      <c r="C13" s="124"/>
      <c r="D13" s="124"/>
      <c r="E13" s="124"/>
      <c r="F13" s="124"/>
      <c r="G13" s="8"/>
    </row>
    <row r="14" spans="2:7" ht="15" customHeight="1" x14ac:dyDescent="0.25">
      <c r="B14" s="7"/>
      <c r="C14" s="124"/>
      <c r="D14" s="124"/>
      <c r="E14" s="124"/>
      <c r="F14" s="124"/>
      <c r="G14" s="8"/>
    </row>
    <row r="15" spans="2:7" ht="15" customHeight="1" x14ac:dyDescent="0.25">
      <c r="B15" s="7"/>
      <c r="C15" s="124"/>
      <c r="D15" s="124"/>
      <c r="E15" s="124"/>
      <c r="F15" s="124"/>
      <c r="G15" s="8"/>
    </row>
    <row r="16" spans="2:7" ht="15" customHeight="1" x14ac:dyDescent="0.25">
      <c r="B16" s="7"/>
      <c r="C16" s="125" t="s">
        <v>37</v>
      </c>
      <c r="D16" s="124"/>
      <c r="E16" s="124"/>
      <c r="F16" s="124"/>
      <c r="G16" s="8"/>
    </row>
    <row r="17" spans="2:7" ht="15" customHeight="1" x14ac:dyDescent="0.25">
      <c r="B17" s="7"/>
      <c r="C17" s="124"/>
      <c r="D17" s="124"/>
      <c r="E17" s="124"/>
      <c r="F17" s="124"/>
      <c r="G17" s="8"/>
    </row>
    <row r="18" spans="2:7" ht="15" customHeight="1" x14ac:dyDescent="0.25">
      <c r="B18" s="7"/>
      <c r="C18" s="124"/>
      <c r="D18" s="124"/>
      <c r="E18" s="124"/>
      <c r="F18" s="124"/>
      <c r="G18" s="8"/>
    </row>
    <row r="19" spans="2:7" ht="15" customHeight="1" x14ac:dyDescent="0.25">
      <c r="B19" s="7"/>
      <c r="C19" s="124"/>
      <c r="D19" s="124"/>
      <c r="E19" s="124"/>
      <c r="F19" s="124"/>
      <c r="G19" s="8"/>
    </row>
    <row r="20" spans="2:7" ht="15" customHeight="1" x14ac:dyDescent="0.25">
      <c r="B20" s="7"/>
      <c r="C20" s="123"/>
      <c r="D20" s="123"/>
      <c r="E20" s="123"/>
      <c r="F20" s="123"/>
      <c r="G20" s="8"/>
    </row>
    <row r="21" spans="2:7" ht="15" customHeight="1" x14ac:dyDescent="0.25">
      <c r="B21" s="7"/>
      <c r="C21" s="123"/>
      <c r="D21" s="123"/>
      <c r="E21" s="123"/>
      <c r="F21" s="123"/>
      <c r="G21" s="8"/>
    </row>
    <row r="22" spans="2:7" ht="15" customHeight="1" x14ac:dyDescent="0.25">
      <c r="B22" s="7"/>
      <c r="C22" s="123"/>
      <c r="D22" s="123"/>
      <c r="E22" s="123"/>
      <c r="F22" s="123"/>
      <c r="G22" s="8"/>
    </row>
    <row r="23" spans="2:7" ht="15" customHeight="1" x14ac:dyDescent="0.25">
      <c r="B23" s="7"/>
      <c r="C23" s="123"/>
      <c r="D23" s="123"/>
      <c r="E23" s="123"/>
      <c r="F23" s="123"/>
      <c r="G23" s="8"/>
    </row>
    <row r="24" spans="2:7" ht="15" customHeight="1" x14ac:dyDescent="0.25">
      <c r="B24" s="7"/>
      <c r="C24" s="123"/>
      <c r="D24" s="123"/>
      <c r="E24" s="123"/>
      <c r="F24" s="123"/>
      <c r="G24" s="8"/>
    </row>
    <row r="25" spans="2:7" ht="15" customHeight="1" x14ac:dyDescent="0.25">
      <c r="B25" s="7"/>
      <c r="C25" s="123"/>
      <c r="D25" s="123"/>
      <c r="E25" s="123"/>
      <c r="F25" s="123"/>
      <c r="G25" s="8"/>
    </row>
    <row r="26" spans="2:7" ht="15" customHeight="1" x14ac:dyDescent="0.25">
      <c r="B26" s="7"/>
      <c r="C26" s="112"/>
      <c r="D26" s="112"/>
      <c r="E26" s="123"/>
      <c r="F26" s="18"/>
      <c r="G26" s="8"/>
    </row>
    <row r="27" spans="2:7" ht="15" customHeight="1" x14ac:dyDescent="0.25">
      <c r="B27" s="7"/>
      <c r="C27" s="123" t="s">
        <v>38</v>
      </c>
      <c r="D27" s="123"/>
      <c r="E27" s="123"/>
      <c r="F27" s="123" t="s">
        <v>39</v>
      </c>
      <c r="G27" s="8"/>
    </row>
    <row r="28" spans="2:7" ht="15" customHeight="1" x14ac:dyDescent="0.25">
      <c r="B28" s="7"/>
      <c r="C28" s="123"/>
      <c r="D28" s="123"/>
      <c r="E28" s="123"/>
      <c r="F28" s="123"/>
      <c r="G28" s="8"/>
    </row>
    <row r="29" spans="2:7" ht="15" customHeight="1" x14ac:dyDescent="0.25">
      <c r="B29" s="7"/>
      <c r="C29" s="127"/>
      <c r="D29" s="127"/>
      <c r="E29" s="123"/>
      <c r="F29" s="123"/>
      <c r="G29" s="8"/>
    </row>
    <row r="30" spans="2:7" ht="15" customHeight="1" x14ac:dyDescent="0.25">
      <c r="B30" s="7"/>
      <c r="C30" s="123"/>
      <c r="D30" s="123"/>
      <c r="E30" s="123"/>
      <c r="F30" s="123"/>
      <c r="G30" s="8"/>
    </row>
    <row r="31" spans="2:7" ht="15" customHeight="1" x14ac:dyDescent="0.25">
      <c r="B31" s="10"/>
      <c r="C31" s="107">
        <f>R.Instructions.VersionNumber</f>
        <v>4.0199999999999996</v>
      </c>
      <c r="D31" s="107"/>
      <c r="E31" s="12"/>
      <c r="F31" s="13">
        <f>R.Instructions.VersionDate</f>
        <v>45411</v>
      </c>
      <c r="G31" s="14"/>
    </row>
    <row r="32" spans="2:7" customFormat="1" ht="15" customHeight="1" x14ac:dyDescent="0.25"/>
    <row r="33" spans="3:6" ht="15" customHeight="1" x14ac:dyDescent="0.25">
      <c r="C33" s="108" t="str">
        <f>IFERROR(VLOOKUP("Incomplete",Developer!H28938:I28939,2,FALSE),"Sheet complete.")</f>
        <v>Enter the name of the authorized signing officer.</v>
      </c>
      <c r="D33" s="108"/>
      <c r="E33" s="108"/>
      <c r="F33" s="108"/>
    </row>
    <row r="34" spans="3:6" ht="15" customHeight="1" x14ac:dyDescent="0.25">
      <c r="C34" s="108"/>
      <c r="D34" s="108"/>
      <c r="E34" s="108"/>
      <c r="F34" s="108"/>
    </row>
    <row r="35" spans="3:6" ht="15" customHeight="1" x14ac:dyDescent="0.25">
      <c r="C35" s="108"/>
      <c r="D35" s="108"/>
      <c r="E35" s="108"/>
      <c r="F35" s="108"/>
    </row>
  </sheetData>
  <sheetProtection algorithmName="SHA-512" hashValue="KBhNxU0Z9VwxUcbOM1ueThxU9/Eez9oE7BNQUSV1zIiZKNW7D8gTYp+lIE2Xw2v/wcD2tMlFKXzNucVowIFpww==" saltValue="xnT2aYDp8P5ScLZPURYePA==" spinCount="100000" sheet="1" objects="1" scenarios="1" selectLockedCells="1"/>
  <mergeCells count="8">
    <mergeCell ref="C31:D31"/>
    <mergeCell ref="C33:F35"/>
    <mergeCell ref="C4:F4"/>
    <mergeCell ref="C7:D7"/>
    <mergeCell ref="C10:F15"/>
    <mergeCell ref="C16:F19"/>
    <mergeCell ref="C26:D26"/>
    <mergeCell ref="C29:D29"/>
  </mergeCells>
  <conditionalFormatting sqref="C33">
    <cfRule type="cellIs" dxfId="0" priority="1" stopIfTrue="1" operator="equal">
      <formula>"Sheet complete."</formula>
    </cfRule>
  </conditionalFormatting>
  <dataValidations count="1">
    <dataValidation type="date" allowBlank="1" showInputMessage="1" showErrorMessage="1" prompt="yyyy-mm-dd" sqref="F26" xr:uid="{8AC50A0B-1BFD-42FA-916D-DFAA6F77B1DE}">
      <formula1>R.Instructions.VersionDate</formula1>
      <formula2>2958465</formula2>
    </dataValidation>
  </dataValidations>
  <printOptions horizontalCentered="1"/>
  <pageMargins left="0.25" right="0.25" top="0.25" bottom="0.25" header="0" footer="0"/>
  <pageSetup scale="81"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macro="[0]!PrintForm">
                <anchor moveWithCells="1" sizeWithCells="1">
                  <from>
                    <xdr:col>2</xdr:col>
                    <xdr:colOff>0</xdr:colOff>
                    <xdr:row>19</xdr:row>
                    <xdr:rowOff>0</xdr:rowOff>
                  </from>
                  <to>
                    <xdr:col>3</xdr:col>
                    <xdr:colOff>1400175</xdr:colOff>
                    <xdr:row>23</xdr:row>
                    <xdr:rowOff>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C028E6-E70F-4637-97E0-2D950EA1DCD2}">
  <sheetPr codeName="Sheet9">
    <tabColor rgb="FF00558C"/>
    <pageSetUpPr fitToPage="1"/>
  </sheetPr>
  <dimension ref="A1:F25"/>
  <sheetViews>
    <sheetView showGridLines="0" showRowColHeaders="0" zoomScaleNormal="100" workbookViewId="0"/>
  </sheetViews>
  <sheetFormatPr defaultColWidth="8.7109375" defaultRowHeight="15" customHeight="1" x14ac:dyDescent="0.25"/>
  <cols>
    <col min="1" max="1" width="5.7109375" customWidth="1"/>
    <col min="2" max="2" width="5.7109375" style="122" customWidth="1"/>
    <col min="3" max="3" width="50.7109375" style="122" customWidth="1"/>
    <col min="4" max="4" width="5.7109375" style="122" customWidth="1"/>
    <col min="5" max="5" width="50.7109375" style="122" customWidth="1"/>
    <col min="6" max="6" width="5.7109375" style="122" customWidth="1"/>
    <col min="7" max="16384" width="8.7109375" style="122"/>
  </cols>
  <sheetData>
    <row r="1" spans="2:6" customFormat="1" ht="24.95" customHeight="1" x14ac:dyDescent="0.25"/>
    <row r="2" spans="2:6" customFormat="1" ht="24.95" customHeight="1" x14ac:dyDescent="0.25"/>
    <row r="3" spans="2:6" customFormat="1" ht="24.95" customHeight="1" x14ac:dyDescent="0.25"/>
    <row r="4" spans="2:6" ht="24.95" customHeight="1" x14ac:dyDescent="0.25">
      <c r="B4" s="15"/>
      <c r="C4" s="101" t="s">
        <v>30</v>
      </c>
      <c r="D4" s="101"/>
      <c r="E4" s="101"/>
      <c r="F4" s="16"/>
    </row>
    <row r="5" spans="2:6" ht="15" customHeight="1" x14ac:dyDescent="0.25">
      <c r="B5" s="7"/>
      <c r="C5" s="123"/>
      <c r="D5" s="123"/>
      <c r="E5" s="123"/>
      <c r="F5" s="8"/>
    </row>
    <row r="6" spans="2:6" ht="15" customHeight="1" x14ac:dyDescent="0.25">
      <c r="B6" s="7"/>
      <c r="C6" s="126" t="s">
        <v>246</v>
      </c>
      <c r="D6" s="124"/>
      <c r="E6" s="124"/>
      <c r="F6" s="8"/>
    </row>
    <row r="7" spans="2:6" ht="15" customHeight="1" x14ac:dyDescent="0.25">
      <c r="B7" s="7"/>
      <c r="C7" s="124" t="s">
        <v>247</v>
      </c>
      <c r="D7" s="124"/>
      <c r="E7" s="124"/>
      <c r="F7" s="8"/>
    </row>
    <row r="8" spans="2:6" ht="15" customHeight="1" x14ac:dyDescent="0.25">
      <c r="B8" s="7"/>
      <c r="C8" s="124"/>
      <c r="D8" s="124"/>
      <c r="E8" s="124"/>
      <c r="F8" s="8"/>
    </row>
    <row r="9" spans="2:6" ht="15" customHeight="1" x14ac:dyDescent="0.25">
      <c r="B9" s="7"/>
      <c r="C9" s="124"/>
      <c r="D9" s="124"/>
      <c r="E9" s="124"/>
      <c r="F9" s="8"/>
    </row>
    <row r="10" spans="2:6" ht="15" customHeight="1" x14ac:dyDescent="0.25">
      <c r="B10" s="7"/>
      <c r="C10" s="124"/>
      <c r="D10" s="124"/>
      <c r="E10" s="124"/>
      <c r="F10" s="8"/>
    </row>
    <row r="11" spans="2:6" ht="15" customHeight="1" x14ac:dyDescent="0.25">
      <c r="B11" s="7"/>
      <c r="C11" s="126" t="s">
        <v>248</v>
      </c>
      <c r="D11" s="124"/>
      <c r="E11" s="124"/>
      <c r="F11" s="8"/>
    </row>
    <row r="12" spans="2:6" ht="15" customHeight="1" x14ac:dyDescent="0.25">
      <c r="B12" s="7"/>
      <c r="C12" s="124" t="s">
        <v>249</v>
      </c>
      <c r="D12" s="124"/>
      <c r="E12" s="124"/>
      <c r="F12" s="8"/>
    </row>
    <row r="13" spans="2:6" ht="15" customHeight="1" x14ac:dyDescent="0.25">
      <c r="B13" s="7"/>
      <c r="C13" s="124"/>
      <c r="D13" s="124"/>
      <c r="E13" s="124"/>
      <c r="F13" s="8"/>
    </row>
    <row r="14" spans="2:6" ht="15" customHeight="1" x14ac:dyDescent="0.25">
      <c r="B14" s="7"/>
      <c r="C14" s="124"/>
      <c r="D14" s="124"/>
      <c r="E14" s="124"/>
      <c r="F14" s="8"/>
    </row>
    <row r="15" spans="2:6" ht="15" customHeight="1" x14ac:dyDescent="0.25">
      <c r="B15" s="7"/>
      <c r="C15" s="124"/>
      <c r="D15" s="124"/>
      <c r="E15" s="124"/>
      <c r="F15" s="8"/>
    </row>
    <row r="16" spans="2:6" ht="15" customHeight="1" x14ac:dyDescent="0.25">
      <c r="B16" s="7"/>
      <c r="C16" s="126" t="s">
        <v>250</v>
      </c>
      <c r="D16" s="124"/>
      <c r="E16" s="124"/>
      <c r="F16" s="8"/>
    </row>
    <row r="17" spans="2:6" ht="15" customHeight="1" x14ac:dyDescent="0.25">
      <c r="B17" s="7"/>
      <c r="C17" s="124" t="s">
        <v>29730</v>
      </c>
      <c r="D17" s="124"/>
      <c r="E17" s="124"/>
      <c r="F17" s="8"/>
    </row>
    <row r="18" spans="2:6" ht="15" customHeight="1" x14ac:dyDescent="0.25">
      <c r="B18" s="7"/>
      <c r="C18" s="124"/>
      <c r="D18" s="124"/>
      <c r="E18" s="124"/>
      <c r="F18" s="8"/>
    </row>
    <row r="19" spans="2:6" ht="15" customHeight="1" x14ac:dyDescent="0.25">
      <c r="B19" s="7"/>
      <c r="C19" s="124"/>
      <c r="D19" s="124"/>
      <c r="E19" s="124"/>
      <c r="F19" s="8"/>
    </row>
    <row r="20" spans="2:6" ht="15" customHeight="1" x14ac:dyDescent="0.25">
      <c r="B20" s="7"/>
      <c r="C20" s="124"/>
      <c r="D20" s="124"/>
      <c r="E20" s="124"/>
      <c r="F20" s="8"/>
    </row>
    <row r="21" spans="2:6" ht="15" customHeight="1" x14ac:dyDescent="0.25">
      <c r="B21" s="7"/>
      <c r="C21" s="124"/>
      <c r="D21" s="124"/>
      <c r="E21" s="124"/>
      <c r="F21" s="8"/>
    </row>
    <row r="22" spans="2:6" ht="15" customHeight="1" x14ac:dyDescent="0.25">
      <c r="B22" s="7"/>
      <c r="C22" s="124"/>
      <c r="D22" s="124"/>
      <c r="E22" s="124"/>
      <c r="F22" s="8"/>
    </row>
    <row r="23" spans="2:6" ht="15" customHeight="1" x14ac:dyDescent="0.25">
      <c r="B23" s="7"/>
      <c r="C23" s="124"/>
      <c r="D23" s="124"/>
      <c r="E23" s="124"/>
      <c r="F23" s="8"/>
    </row>
    <row r="24" spans="2:6" ht="15" customHeight="1" x14ac:dyDescent="0.25">
      <c r="B24" s="7"/>
      <c r="C24" s="124"/>
      <c r="D24" s="124"/>
      <c r="E24" s="124"/>
      <c r="F24" s="8"/>
    </row>
    <row r="25" spans="2:6" ht="15" customHeight="1" x14ac:dyDescent="0.25">
      <c r="B25" s="10"/>
      <c r="C25" s="11">
        <f>R.Instructions.VersionNumber</f>
        <v>4.0199999999999996</v>
      </c>
      <c r="D25" s="12"/>
      <c r="E25" s="13">
        <f>R.Instructions.VersionDate</f>
        <v>45411</v>
      </c>
      <c r="F25" s="14"/>
    </row>
  </sheetData>
  <sheetProtection algorithmName="SHA-512" hashValue="tn8Myp4PZlwq/ewdiRTMZBKWSgUkg3UnEXxrYD+O/ULSr3i0E5EH6K6E5pAXmR1VZyrgYOBHG8mllxMNaQkSpA==" saltValue="aZ7XPWSrwKZy3dTXSAmdWg==" spinCount="100000" sheet="1" objects="1" scenarios="1" selectLockedCells="1" selectUnlockedCells="1"/>
  <mergeCells count="7">
    <mergeCell ref="C17:E24"/>
    <mergeCell ref="C16:E16"/>
    <mergeCell ref="C4:E4"/>
    <mergeCell ref="C6:E6"/>
    <mergeCell ref="C7:E10"/>
    <mergeCell ref="C11:E11"/>
    <mergeCell ref="C12:E15"/>
  </mergeCells>
  <printOptions horizontalCentered="1"/>
  <pageMargins left="0.25" right="0.25" top="0.25" bottom="0.25" header="0" footer="0"/>
  <pageSetup scale="85" fitToHeight="0"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8EF50-C783-4441-AAD5-D9C154F3381C}">
  <sheetPr codeName="Sheet10">
    <tabColor rgb="FF2C3136"/>
  </sheetPr>
  <dimension ref="B2:T28989"/>
  <sheetViews>
    <sheetView showGridLines="0" showRowColHeaders="0" zoomScaleNormal="100" workbookViewId="0"/>
  </sheetViews>
  <sheetFormatPr defaultRowHeight="15" customHeight="1" x14ac:dyDescent="0.25"/>
  <cols>
    <col min="1" max="1" width="5.5703125" style="46" customWidth="1"/>
    <col min="2" max="2" width="34.7109375" style="46" customWidth="1"/>
    <col min="3" max="3" width="8.7109375" style="46" customWidth="1"/>
    <col min="4" max="4" width="34.7109375" style="46" customWidth="1"/>
    <col min="5" max="7" width="13.7109375" style="46" customWidth="1"/>
    <col min="8" max="8" width="10.7109375" style="46" customWidth="1"/>
    <col min="9" max="9" width="31.7109375" style="46" customWidth="1"/>
    <col min="10" max="10" width="5.5703125" style="46" customWidth="1"/>
    <col min="11" max="12" width="34.7109375" style="46" customWidth="1"/>
    <col min="13" max="13" width="5.5703125" style="46" customWidth="1"/>
    <col min="14" max="14" width="27.140625" style="46" customWidth="1"/>
    <col min="15" max="15" width="34.7109375" style="46" customWidth="1"/>
    <col min="16" max="17" width="17.85546875" style="46" customWidth="1"/>
    <col min="18" max="18" width="5.5703125" style="46" customWidth="1"/>
    <col min="19" max="19" width="16.7109375" style="46" customWidth="1"/>
    <col min="20" max="16384" width="9.140625" style="46"/>
  </cols>
  <sheetData>
    <row r="2" spans="2:20" ht="15" customHeight="1" x14ac:dyDescent="0.25">
      <c r="B2" s="20" t="s">
        <v>15</v>
      </c>
      <c r="C2" s="20"/>
      <c r="D2" s="20"/>
      <c r="E2" s="21"/>
      <c r="F2" s="21"/>
      <c r="G2" s="21"/>
      <c r="H2" s="21"/>
      <c r="I2" s="21"/>
      <c r="J2" s="21"/>
      <c r="K2" s="20" t="s">
        <v>16</v>
      </c>
      <c r="L2" s="20"/>
      <c r="M2" s="21"/>
      <c r="N2" s="20" t="s">
        <v>17</v>
      </c>
      <c r="O2" s="20"/>
      <c r="P2" s="21"/>
      <c r="Q2" s="21"/>
      <c r="R2" s="21"/>
      <c r="S2" s="20" t="s">
        <v>18</v>
      </c>
      <c r="T2" s="21"/>
    </row>
    <row r="3" spans="2:20" ht="15" customHeight="1" x14ac:dyDescent="0.25">
      <c r="B3" s="23" t="s">
        <v>19</v>
      </c>
      <c r="C3" s="23" t="s">
        <v>20</v>
      </c>
      <c r="D3" s="23" t="s">
        <v>29407</v>
      </c>
      <c r="E3" s="23" t="s">
        <v>21</v>
      </c>
      <c r="F3" s="23" t="s">
        <v>22</v>
      </c>
      <c r="G3" s="23" t="s">
        <v>23</v>
      </c>
      <c r="H3" s="23" t="s">
        <v>24</v>
      </c>
      <c r="I3" s="24" t="s">
        <v>25</v>
      </c>
      <c r="J3" s="21"/>
      <c r="K3" s="22" t="s">
        <v>26</v>
      </c>
      <c r="L3" s="79" t="s">
        <v>29407</v>
      </c>
      <c r="M3" s="21"/>
      <c r="N3" s="22" t="s">
        <v>27</v>
      </c>
      <c r="O3" s="23" t="s">
        <v>29407</v>
      </c>
      <c r="P3" s="23" t="s">
        <v>22</v>
      </c>
      <c r="Q3" s="24" t="s">
        <v>23</v>
      </c>
      <c r="R3" s="21"/>
      <c r="S3" s="22" t="s">
        <v>28</v>
      </c>
      <c r="T3" s="24" t="s">
        <v>29</v>
      </c>
    </row>
    <row r="4" spans="2:20" ht="15" customHeight="1" x14ac:dyDescent="0.25">
      <c r="B4" s="52" t="s">
        <v>271</v>
      </c>
      <c r="C4" s="53">
        <v>1</v>
      </c>
      <c r="D4" s="68" t="s">
        <v>29408</v>
      </c>
      <c r="E4" s="54"/>
      <c r="F4" s="113" t="str">
        <f>IF(INDEX(I.Facility.Operator,1)="","",INDEX(I.Facility.Operator,1))</f>
        <v/>
      </c>
      <c r="G4" s="54"/>
      <c r="H4" s="53" t="str">
        <f>IF(INDEX(I.Facility.Operator,1)="","Incomplete","Complete")</f>
        <v>Incomplete</v>
      </c>
      <c r="I4" s="47" t="s">
        <v>598</v>
      </c>
      <c r="K4" s="52" t="s">
        <v>525</v>
      </c>
      <c r="L4" s="83" t="s">
        <v>29623</v>
      </c>
      <c r="N4" s="75" t="s">
        <v>222</v>
      </c>
      <c r="O4" s="87" t="s">
        <v>29710</v>
      </c>
      <c r="P4" s="26"/>
      <c r="Q4" s="27"/>
      <c r="S4" s="25" t="s">
        <v>486</v>
      </c>
      <c r="T4" s="27">
        <v>1</v>
      </c>
    </row>
    <row r="5" spans="2:20" ht="15" customHeight="1" x14ac:dyDescent="0.25">
      <c r="B5" s="55" t="s">
        <v>272</v>
      </c>
      <c r="C5" s="46">
        <v>1</v>
      </c>
      <c r="D5" s="69" t="s">
        <v>29409</v>
      </c>
      <c r="E5" s="51"/>
      <c r="F5" s="114" t="str">
        <f>IF(INDEX(I.Facility.OBPSNumber,1)="","",INDEX(I.Facility.OBPSNumber,1))</f>
        <v/>
      </c>
      <c r="G5" s="51"/>
      <c r="H5" s="46" t="str">
        <f>IF(INDEX(I.Facility.OBPSNumber,1)="","Incomplete","Complete")</f>
        <v>Incomplete</v>
      </c>
      <c r="I5" s="48" t="s">
        <v>599</v>
      </c>
      <c r="K5" s="55" t="s">
        <v>4310</v>
      </c>
      <c r="L5" s="84" t="s">
        <v>29624</v>
      </c>
      <c r="N5" s="76" t="s">
        <v>223</v>
      </c>
      <c r="O5" s="88" t="s">
        <v>29711</v>
      </c>
      <c r="P5" s="91">
        <f>R.Instructions.VersionNumber</f>
        <v>4.0199999999999996</v>
      </c>
      <c r="Q5" s="92"/>
      <c r="S5" s="28" t="s">
        <v>487</v>
      </c>
      <c r="T5" s="29">
        <v>28</v>
      </c>
    </row>
    <row r="6" spans="2:20" ht="15" customHeight="1" x14ac:dyDescent="0.25">
      <c r="B6" s="55" t="s">
        <v>273</v>
      </c>
      <c r="C6" s="46">
        <v>1</v>
      </c>
      <c r="D6" s="69" t="s">
        <v>29410</v>
      </c>
      <c r="E6" s="51"/>
      <c r="F6" s="114" t="str">
        <f>IF(INDEX(I.Facility.StandardPart,1)="","",INDEX(I.Facility.StandardPart,1))</f>
        <v/>
      </c>
      <c r="G6" s="51"/>
      <c r="H6" s="46" t="str">
        <f>IF(INDEX(I.Facility.StandardPart,1)="","Incomplete","Complete")</f>
        <v>Incomplete</v>
      </c>
      <c r="I6" s="48" t="s">
        <v>600</v>
      </c>
      <c r="K6" s="55" t="s">
        <v>526</v>
      </c>
      <c r="L6" s="84" t="s">
        <v>29625</v>
      </c>
      <c r="N6" s="77" t="s">
        <v>224</v>
      </c>
      <c r="O6" s="89" t="s">
        <v>29712</v>
      </c>
      <c r="P6" s="31">
        <f>R.Instructions.VersionDate</f>
        <v>45411</v>
      </c>
      <c r="Q6" s="93"/>
      <c r="S6" s="30" t="s">
        <v>488</v>
      </c>
      <c r="T6" s="32">
        <v>265</v>
      </c>
    </row>
    <row r="7" spans="2:20" ht="15" customHeight="1" x14ac:dyDescent="0.25">
      <c r="B7" s="56"/>
      <c r="C7" s="57"/>
      <c r="D7" s="70"/>
      <c r="E7" s="115"/>
      <c r="F7" s="115"/>
      <c r="G7" s="115"/>
      <c r="H7" s="57" t="str">
        <f>IF(AND(I.Developer.P1=FALSE,I.Developer.P2a=FALSE,I.Developer.P2b=FALSE,I.Developer.P3=FALSE,I.Developer.P4=FALSE),"Incomplete","Complete")</f>
        <v>Incomplete</v>
      </c>
      <c r="I7" s="49" t="s">
        <v>601</v>
      </c>
      <c r="K7" s="55" t="s">
        <v>4311</v>
      </c>
      <c r="L7" s="84" t="s">
        <v>29626</v>
      </c>
      <c r="N7" s="76" t="s">
        <v>225</v>
      </c>
      <c r="O7" s="88" t="s">
        <v>29713</v>
      </c>
      <c r="P7" s="21"/>
      <c r="Q7" s="29"/>
      <c r="S7" s="28" t="s">
        <v>489</v>
      </c>
      <c r="T7" s="29">
        <v>23500</v>
      </c>
    </row>
    <row r="8" spans="2:20" ht="15" customHeight="1" x14ac:dyDescent="0.25">
      <c r="B8" s="55" t="s">
        <v>274</v>
      </c>
      <c r="C8" s="46">
        <v>1</v>
      </c>
      <c r="D8" s="69" t="s">
        <v>29411</v>
      </c>
      <c r="E8" s="59"/>
      <c r="F8" s="59" t="str">
        <f>IF(INDEX(I.Facility.P1FacilityCount,1)="","",INDEX(I.Facility.P1FacilityCount,1))</f>
        <v/>
      </c>
      <c r="G8" s="59"/>
      <c r="H8" s="46" t="str">
        <f>IF(AND(I.Developer.P1=TRUE,I.Facility.P1FacilityCount=""),"Incomplete","Complete")</f>
        <v>Complete</v>
      </c>
      <c r="I8" s="48" t="s">
        <v>602</v>
      </c>
      <c r="K8" s="55" t="s">
        <v>527</v>
      </c>
      <c r="L8" s="84" t="s">
        <v>29627</v>
      </c>
      <c r="N8" s="77" t="s">
        <v>226</v>
      </c>
      <c r="O8" s="89" t="s">
        <v>29714</v>
      </c>
      <c r="P8" s="33" t="str">
        <f>IF(R.Facility.Timestamp="","",R.Facility.Timestamp)</f>
        <v/>
      </c>
      <c r="Q8" s="94"/>
      <c r="S8" s="28" t="s">
        <v>490</v>
      </c>
      <c r="T8" s="29">
        <v>6630</v>
      </c>
    </row>
    <row r="9" spans="2:20" ht="15" customHeight="1" x14ac:dyDescent="0.25">
      <c r="B9" s="55" t="s">
        <v>275</v>
      </c>
      <c r="C9" s="46">
        <v>1</v>
      </c>
      <c r="D9" s="69" t="s">
        <v>29412</v>
      </c>
      <c r="E9" s="59"/>
      <c r="F9" s="59" t="str">
        <f>IF(INDEX(I.Facility.P2aFacilityCount,1)="","",INDEX(I.Facility.P2aFacilityCount,1))</f>
        <v/>
      </c>
      <c r="G9" s="59"/>
      <c r="H9" s="46" t="str">
        <f>IF(AND(I.Developer.P2a=TRUE,I.Facility.P2aFacilityCount=""),"Incomplete","Complete")</f>
        <v>Complete</v>
      </c>
      <c r="I9" s="48" t="s">
        <v>603</v>
      </c>
      <c r="K9" s="55" t="s">
        <v>4312</v>
      </c>
      <c r="L9" s="84" t="s">
        <v>29628</v>
      </c>
      <c r="N9" s="76" t="s">
        <v>227</v>
      </c>
      <c r="O9" s="88" t="s">
        <v>29715</v>
      </c>
      <c r="P9" s="21"/>
      <c r="Q9" s="29"/>
      <c r="S9" s="28" t="s">
        <v>491</v>
      </c>
      <c r="T9" s="29">
        <v>11100</v>
      </c>
    </row>
    <row r="10" spans="2:20" ht="15" customHeight="1" x14ac:dyDescent="0.25">
      <c r="B10" s="55" t="s">
        <v>276</v>
      </c>
      <c r="C10" s="46">
        <v>1</v>
      </c>
      <c r="D10" s="69" t="s">
        <v>29413</v>
      </c>
      <c r="E10" s="59"/>
      <c r="F10" s="59" t="str">
        <f>IF(INDEX(I.Facility.P2bFacilityCount,1)="","",INDEX(I.Facility.P2bFacilityCount,1))</f>
        <v/>
      </c>
      <c r="G10" s="59"/>
      <c r="H10" s="46" t="str">
        <f>IF(AND(I.Developer.P2b=TRUE,I.Facility.P2bFacilityCount=""),"Incomplete","Complete")</f>
        <v>Complete</v>
      </c>
      <c r="I10" s="48" t="s">
        <v>604</v>
      </c>
      <c r="K10" s="55" t="s">
        <v>528</v>
      </c>
      <c r="L10" s="84" t="s">
        <v>29629</v>
      </c>
      <c r="N10" s="77" t="s">
        <v>228</v>
      </c>
      <c r="O10" s="89" t="s">
        <v>29716</v>
      </c>
      <c r="P10" s="33" t="str">
        <f>IF(R.Product.Timestamp="","",R.Product.Timestamp)</f>
        <v/>
      </c>
      <c r="Q10" s="94"/>
      <c r="S10" s="28" t="s">
        <v>492</v>
      </c>
      <c r="T10" s="29">
        <v>8900</v>
      </c>
    </row>
    <row r="11" spans="2:20" ht="15" customHeight="1" x14ac:dyDescent="0.25">
      <c r="B11" s="55" t="s">
        <v>277</v>
      </c>
      <c r="C11" s="46">
        <v>1</v>
      </c>
      <c r="D11" s="69" t="s">
        <v>29414</v>
      </c>
      <c r="E11" s="59"/>
      <c r="F11" s="59" t="str">
        <f>IF(INDEX(I.Facility.P3FacilityCount,1)="","",INDEX(I.Facility.P3FacilityCount,1))</f>
        <v/>
      </c>
      <c r="G11" s="59"/>
      <c r="H11" s="46" t="str">
        <f>IF(AND(I.Developer.P3=TRUE,I.Facility.P3FacilityCount=""),"Incomplete","Complete")</f>
        <v>Complete</v>
      </c>
      <c r="I11" s="48" t="s">
        <v>605</v>
      </c>
      <c r="K11" s="55" t="s">
        <v>4313</v>
      </c>
      <c r="L11" s="84" t="s">
        <v>29630</v>
      </c>
      <c r="N11" s="76" t="s">
        <v>229</v>
      </c>
      <c r="O11" s="88" t="s">
        <v>29717</v>
      </c>
      <c r="P11" s="21"/>
      <c r="Q11" s="29"/>
      <c r="S11" s="28" t="s">
        <v>493</v>
      </c>
      <c r="T11" s="29">
        <v>9200</v>
      </c>
    </row>
    <row r="12" spans="2:20" ht="15" customHeight="1" x14ac:dyDescent="0.25">
      <c r="B12" s="56" t="s">
        <v>278</v>
      </c>
      <c r="C12" s="57">
        <v>1</v>
      </c>
      <c r="D12" s="71" t="s">
        <v>29415</v>
      </c>
      <c r="E12" s="60"/>
      <c r="F12" s="60" t="str">
        <f>IF(INDEX(I.Facility.P4FacilityCount,1)="","",INDEX(I.Facility.P4FacilityCount,1))</f>
        <v/>
      </c>
      <c r="G12" s="60"/>
      <c r="H12" s="57" t="str">
        <f>IF(AND(I.Developer.P4=TRUE,I.Facility.P4FacilityCount=""),"Incomplete","Complete")</f>
        <v>Complete</v>
      </c>
      <c r="I12" s="49" t="s">
        <v>606</v>
      </c>
      <c r="K12" s="55" t="s">
        <v>529</v>
      </c>
      <c r="L12" s="84" t="s">
        <v>29631</v>
      </c>
      <c r="N12" s="77" t="s">
        <v>230</v>
      </c>
      <c r="O12" s="89" t="s">
        <v>29718</v>
      </c>
      <c r="P12" s="33" t="str">
        <f>IF(R.Production.Timestamp="","",R.Production.Timestamp)</f>
        <v/>
      </c>
      <c r="Q12" s="94"/>
      <c r="S12" s="28" t="s">
        <v>494</v>
      </c>
      <c r="T12" s="29">
        <v>9540</v>
      </c>
    </row>
    <row r="13" spans="2:20" ht="15" customHeight="1" x14ac:dyDescent="0.25">
      <c r="B13" s="55" t="s">
        <v>279</v>
      </c>
      <c r="C13" s="46">
        <v>1</v>
      </c>
      <c r="D13" s="69" t="s">
        <v>29416</v>
      </c>
      <c r="E13" s="51"/>
      <c r="F13" s="114" t="str">
        <f>IF(INDEX(I.Facility.P1IDNumber,1)="","",INDEX(I.Facility.P1IDNumber,1))</f>
        <v/>
      </c>
      <c r="G13" s="51"/>
      <c r="H13" s="46" t="str">
        <f>IF(AND(I.Developer.P1=TRUE,I.Facility.P1FacilityCount&gt;=1,F13=""),"Incomplete","Complete")</f>
        <v>Complete</v>
      </c>
      <c r="I13" s="48" t="s">
        <v>4378</v>
      </c>
      <c r="K13" s="80" t="s">
        <v>4314</v>
      </c>
      <c r="L13" s="85" t="s">
        <v>29632</v>
      </c>
      <c r="N13" s="76" t="s">
        <v>231</v>
      </c>
      <c r="O13" s="88" t="s">
        <v>29719</v>
      </c>
      <c r="P13" s="21"/>
      <c r="Q13" s="29"/>
      <c r="S13" s="28" t="s">
        <v>495</v>
      </c>
      <c r="T13" s="29">
        <v>8550</v>
      </c>
    </row>
    <row r="14" spans="2:20" ht="15" customHeight="1" x14ac:dyDescent="0.25">
      <c r="B14" s="55" t="s">
        <v>279</v>
      </c>
      <c r="C14" s="46">
        <v>2</v>
      </c>
      <c r="D14" s="69" t="s">
        <v>29416</v>
      </c>
      <c r="E14" s="51"/>
      <c r="F14" s="114" t="str">
        <f>IF(INDEX(I.Facility.P1IDNumber,2)="","",INDEX(I.Facility.P1IDNumber,2))</f>
        <v/>
      </c>
      <c r="G14" s="51"/>
      <c r="H14" s="46" t="str">
        <f>IF(AND(I.Developer.P1=TRUE,I.Facility.P1FacilityCount&gt;=2,F14=""),"Incomplete","Complete")</f>
        <v>Complete</v>
      </c>
      <c r="I14" s="48" t="s">
        <v>4379</v>
      </c>
      <c r="K14" s="81" t="s">
        <v>530</v>
      </c>
      <c r="L14" s="84" t="s">
        <v>29633</v>
      </c>
      <c r="N14" s="77" t="s">
        <v>232</v>
      </c>
      <c r="O14" s="89" t="s">
        <v>29720</v>
      </c>
      <c r="P14" s="33" t="str">
        <f>IF(R.Electricity.Timestamp="","",R.Electricity.Timestamp)</f>
        <v/>
      </c>
      <c r="Q14" s="94"/>
      <c r="S14" s="28" t="s">
        <v>496</v>
      </c>
      <c r="T14" s="29">
        <v>7910</v>
      </c>
    </row>
    <row r="15" spans="2:20" ht="15" customHeight="1" x14ac:dyDescent="0.25">
      <c r="B15" s="55" t="s">
        <v>279</v>
      </c>
      <c r="C15" s="46">
        <v>3</v>
      </c>
      <c r="D15" s="69" t="s">
        <v>29416</v>
      </c>
      <c r="E15" s="51"/>
      <c r="F15" s="114" t="str">
        <f>IF(INDEX(I.Facility.P1IDNumber,3)="","",INDEX(I.Facility.P1IDNumber,3))</f>
        <v/>
      </c>
      <c r="G15" s="51"/>
      <c r="H15" s="46" t="str">
        <f>IF(AND(I.Developer.P1=TRUE,I.Facility.P1FacilityCount&gt;=3,F15=""),"Incomplete","Complete")</f>
        <v>Complete</v>
      </c>
      <c r="I15" s="48" t="s">
        <v>4380</v>
      </c>
      <c r="K15" s="55" t="s">
        <v>531</v>
      </c>
      <c r="L15" s="84" t="s">
        <v>29634</v>
      </c>
      <c r="N15" s="76" t="s">
        <v>233</v>
      </c>
      <c r="O15" s="88" t="s">
        <v>29721</v>
      </c>
      <c r="P15" s="21"/>
      <c r="Q15" s="29"/>
      <c r="S15" s="28" t="s">
        <v>497</v>
      </c>
      <c r="T15" s="29">
        <v>12400</v>
      </c>
    </row>
    <row r="16" spans="2:20" ht="15" customHeight="1" x14ac:dyDescent="0.25">
      <c r="B16" s="55" t="s">
        <v>279</v>
      </c>
      <c r="C16" s="46">
        <v>4</v>
      </c>
      <c r="D16" s="69" t="s">
        <v>29416</v>
      </c>
      <c r="E16" s="51"/>
      <c r="F16" s="114" t="str">
        <f>IF(INDEX(I.Facility.P1IDNumber,4)="","",INDEX(I.Facility.P1IDNumber,4))</f>
        <v/>
      </c>
      <c r="G16" s="51"/>
      <c r="H16" s="46" t="str">
        <f>IF(AND(I.Developer.P1=TRUE,I.Facility.P1FacilityCount&gt;=4,F16=""),"Incomplete","Complete")</f>
        <v>Complete</v>
      </c>
      <c r="I16" s="48" t="s">
        <v>4381</v>
      </c>
      <c r="K16" s="55" t="s">
        <v>532</v>
      </c>
      <c r="L16" s="84" t="s">
        <v>29635</v>
      </c>
      <c r="N16" s="77" t="s">
        <v>234</v>
      </c>
      <c r="O16" s="89" t="s">
        <v>29722</v>
      </c>
      <c r="P16" s="33" t="str">
        <f>IF(R.Gas.Timestamp="","",R.Gas.Timestamp)</f>
        <v/>
      </c>
      <c r="Q16" s="94"/>
      <c r="S16" s="28" t="s">
        <v>498</v>
      </c>
      <c r="T16" s="29">
        <v>677</v>
      </c>
    </row>
    <row r="17" spans="2:20" ht="15" customHeight="1" x14ac:dyDescent="0.25">
      <c r="B17" s="55" t="s">
        <v>279</v>
      </c>
      <c r="C17" s="46">
        <v>5</v>
      </c>
      <c r="D17" s="69" t="s">
        <v>29416</v>
      </c>
      <c r="E17" s="51"/>
      <c r="F17" s="114" t="str">
        <f>IF(INDEX(I.Facility.P1IDNumber,5)="","",INDEX(I.Facility.P1IDNumber,5))</f>
        <v/>
      </c>
      <c r="G17" s="51"/>
      <c r="H17" s="46" t="str">
        <f>IF(AND(I.Developer.P1=TRUE,I.Facility.P1FacilityCount&gt;=5,F17=""),"Incomplete","Complete")</f>
        <v>Complete</v>
      </c>
      <c r="I17" s="48" t="s">
        <v>4382</v>
      </c>
      <c r="K17" s="55" t="s">
        <v>533</v>
      </c>
      <c r="L17" s="84" t="s">
        <v>29636</v>
      </c>
      <c r="N17" s="77" t="s">
        <v>235</v>
      </c>
      <c r="O17" s="89" t="s">
        <v>29723</v>
      </c>
      <c r="P17" s="34"/>
      <c r="Q17" s="32"/>
      <c r="S17" s="28" t="s">
        <v>499</v>
      </c>
      <c r="T17" s="29">
        <v>116</v>
      </c>
    </row>
    <row r="18" spans="2:20" ht="15" customHeight="1" x14ac:dyDescent="0.25">
      <c r="B18" s="55" t="s">
        <v>279</v>
      </c>
      <c r="C18" s="46">
        <v>6</v>
      </c>
      <c r="D18" s="69" t="s">
        <v>29416</v>
      </c>
      <c r="E18" s="51"/>
      <c r="F18" s="114" t="str">
        <f>IF(INDEX(I.Facility.P1IDNumber,6)="","",INDEX(I.Facility.P1IDNumber,6))</f>
        <v/>
      </c>
      <c r="G18" s="51"/>
      <c r="H18" s="46" t="str">
        <f>IF(AND(I.Developer.P1=TRUE,I.Facility.P1FacilityCount&gt;=6,F18=""),"Incomplete","Complete")</f>
        <v>Complete</v>
      </c>
      <c r="I18" s="48" t="s">
        <v>4383</v>
      </c>
      <c r="K18" s="80" t="s">
        <v>534</v>
      </c>
      <c r="L18" s="85" t="s">
        <v>29637</v>
      </c>
      <c r="N18" s="76" t="s">
        <v>236</v>
      </c>
      <c r="O18" s="88" t="s">
        <v>29724</v>
      </c>
      <c r="P18" s="21"/>
      <c r="Q18" s="29"/>
      <c r="S18" s="28" t="s">
        <v>500</v>
      </c>
      <c r="T18" s="29">
        <v>1650</v>
      </c>
    </row>
    <row r="19" spans="2:20" ht="15" customHeight="1" x14ac:dyDescent="0.25">
      <c r="B19" s="55" t="s">
        <v>279</v>
      </c>
      <c r="C19" s="46">
        <v>7</v>
      </c>
      <c r="D19" s="69" t="s">
        <v>29416</v>
      </c>
      <c r="E19" s="51"/>
      <c r="F19" s="114" t="str">
        <f>IF(INDEX(I.Facility.P1IDNumber,7)="","",INDEX(I.Facility.P1IDNumber,7))</f>
        <v/>
      </c>
      <c r="G19" s="51"/>
      <c r="H19" s="46" t="str">
        <f>IF(AND(I.Developer.P1=TRUE,I.Facility.P1FacilityCount&gt;=7,F19=""),"Incomplete","Complete")</f>
        <v>Complete</v>
      </c>
      <c r="I19" s="48" t="s">
        <v>4384</v>
      </c>
      <c r="K19" s="81" t="s">
        <v>535</v>
      </c>
      <c r="L19" s="84" t="s">
        <v>29638</v>
      </c>
      <c r="N19" s="77" t="s">
        <v>237</v>
      </c>
      <c r="O19" s="89" t="s">
        <v>29725</v>
      </c>
      <c r="P19" s="33" t="str">
        <f>IF(R.Declaration.Timestamp="","",R.Declaration.Timestamp)</f>
        <v/>
      </c>
      <c r="Q19" s="94"/>
      <c r="S19" s="28" t="s">
        <v>501</v>
      </c>
      <c r="T19" s="29">
        <v>3170</v>
      </c>
    </row>
    <row r="20" spans="2:20" ht="15" customHeight="1" x14ac:dyDescent="0.25">
      <c r="B20" s="55" t="s">
        <v>279</v>
      </c>
      <c r="C20" s="46">
        <v>8</v>
      </c>
      <c r="D20" s="69" t="s">
        <v>29416</v>
      </c>
      <c r="E20" s="51"/>
      <c r="F20" s="114" t="str">
        <f>IF(INDEX(I.Facility.P1IDNumber,8)="","",INDEX(I.Facility.P1IDNumber,8))</f>
        <v/>
      </c>
      <c r="G20" s="51"/>
      <c r="H20" s="46" t="str">
        <f>IF(AND(I.Developer.P1=TRUE,I.Facility.P1FacilityCount&gt;=8,F20=""),"Incomplete","Complete")</f>
        <v>Complete</v>
      </c>
      <c r="I20" s="48" t="s">
        <v>4385</v>
      </c>
      <c r="K20" s="55" t="s">
        <v>536</v>
      </c>
      <c r="L20" s="84" t="s">
        <v>29639</v>
      </c>
      <c r="N20" s="78" t="s">
        <v>238</v>
      </c>
      <c r="O20" s="90" t="s">
        <v>29726</v>
      </c>
      <c r="P20" s="36"/>
      <c r="Q20" s="37"/>
      <c r="S20" s="28" t="s">
        <v>502</v>
      </c>
      <c r="T20" s="29">
        <v>1120</v>
      </c>
    </row>
    <row r="21" spans="2:20" ht="15" customHeight="1" x14ac:dyDescent="0.25">
      <c r="B21" s="55" t="s">
        <v>279</v>
      </c>
      <c r="C21" s="46">
        <v>9</v>
      </c>
      <c r="D21" s="69" t="s">
        <v>29416</v>
      </c>
      <c r="E21" s="51"/>
      <c r="F21" s="114" t="str">
        <f>IF(INDEX(I.Facility.P1IDNumber,9)="","",INDEX(I.Facility.P1IDNumber,9))</f>
        <v/>
      </c>
      <c r="G21" s="51"/>
      <c r="H21" s="46" t="str">
        <f>IF(AND(I.Developer.P1=TRUE,I.Facility.P1FacilityCount&gt;=9,F21=""),"Incomplete","Complete")</f>
        <v>Complete</v>
      </c>
      <c r="I21" s="48" t="s">
        <v>4386</v>
      </c>
      <c r="K21" s="55" t="s">
        <v>537</v>
      </c>
      <c r="L21" s="84" t="s">
        <v>29640</v>
      </c>
      <c r="S21" s="28" t="s">
        <v>503</v>
      </c>
      <c r="T21" s="29">
        <v>1300</v>
      </c>
    </row>
    <row r="22" spans="2:20" ht="15" customHeight="1" x14ac:dyDescent="0.25">
      <c r="B22" s="55" t="s">
        <v>279</v>
      </c>
      <c r="C22" s="46">
        <v>10</v>
      </c>
      <c r="D22" s="69" t="s">
        <v>29416</v>
      </c>
      <c r="E22" s="51"/>
      <c r="F22" s="114" t="str">
        <f>IF(INDEX(I.Facility.P1IDNumber,10)="","",INDEX(I.Facility.P1IDNumber,10))</f>
        <v/>
      </c>
      <c r="G22" s="51"/>
      <c r="H22" s="46" t="str">
        <f>IF(AND(I.Developer.P1=TRUE,I.Facility.P1FacilityCount&gt;=10,F22=""),"Incomplete","Complete")</f>
        <v>Complete</v>
      </c>
      <c r="I22" s="48" t="s">
        <v>4387</v>
      </c>
      <c r="K22" s="55" t="s">
        <v>538</v>
      </c>
      <c r="L22" s="84" t="s">
        <v>29641</v>
      </c>
      <c r="S22" s="28" t="s">
        <v>504</v>
      </c>
      <c r="T22" s="29">
        <v>328</v>
      </c>
    </row>
    <row r="23" spans="2:20" ht="15" customHeight="1" x14ac:dyDescent="0.25">
      <c r="B23" s="55" t="s">
        <v>279</v>
      </c>
      <c r="C23" s="46">
        <v>11</v>
      </c>
      <c r="D23" s="69" t="s">
        <v>29416</v>
      </c>
      <c r="E23" s="51"/>
      <c r="F23" s="114" t="str">
        <f>IF(INDEX(I.Facility.P1IDNumber,11)="","",INDEX(I.Facility.P1IDNumber,11))</f>
        <v/>
      </c>
      <c r="G23" s="51"/>
      <c r="H23" s="46" t="str">
        <f>IF(AND(I.Developer.P1=TRUE,I.Facility.P1FacilityCount&gt;=11,F23=""),"Incomplete","Complete")</f>
        <v>Complete</v>
      </c>
      <c r="I23" s="48" t="s">
        <v>4388</v>
      </c>
      <c r="K23" s="80" t="s">
        <v>539</v>
      </c>
      <c r="L23" s="85" t="s">
        <v>29642</v>
      </c>
      <c r="S23" s="28" t="s">
        <v>505</v>
      </c>
      <c r="T23" s="29">
        <v>4800</v>
      </c>
    </row>
    <row r="24" spans="2:20" ht="15" customHeight="1" x14ac:dyDescent="0.25">
      <c r="B24" s="55" t="s">
        <v>279</v>
      </c>
      <c r="C24" s="46">
        <v>12</v>
      </c>
      <c r="D24" s="69" t="s">
        <v>29416</v>
      </c>
      <c r="E24" s="51"/>
      <c r="F24" s="114" t="str">
        <f>IF(INDEX(I.Facility.P1IDNumber,12)="","",INDEX(I.Facility.P1IDNumber,12))</f>
        <v/>
      </c>
      <c r="G24" s="51"/>
      <c r="H24" s="46" t="str">
        <f>IF(AND(I.Developer.P1=TRUE,I.Facility.P1FacilityCount&gt;=12,F24=""),"Incomplete","Complete")</f>
        <v>Complete</v>
      </c>
      <c r="I24" s="48" t="s">
        <v>4389</v>
      </c>
      <c r="K24" s="81" t="s">
        <v>540</v>
      </c>
      <c r="L24" s="84" t="s">
        <v>29643</v>
      </c>
      <c r="S24" s="28" t="s">
        <v>506</v>
      </c>
      <c r="T24" s="29">
        <v>138</v>
      </c>
    </row>
    <row r="25" spans="2:20" ht="15" customHeight="1" x14ac:dyDescent="0.25">
      <c r="B25" s="55" t="s">
        <v>279</v>
      </c>
      <c r="C25" s="46">
        <v>13</v>
      </c>
      <c r="D25" s="69" t="s">
        <v>29416</v>
      </c>
      <c r="E25" s="51"/>
      <c r="F25" s="114" t="str">
        <f>IF(INDEX(I.Facility.P1IDNumber,13)="","",INDEX(I.Facility.P1IDNumber,13))</f>
        <v/>
      </c>
      <c r="G25" s="51"/>
      <c r="H25" s="46" t="str">
        <f>IF(AND(I.Developer.P1=TRUE,I.Facility.P1FacilityCount&gt;=13,F25=""),"Incomplete","Complete")</f>
        <v>Complete</v>
      </c>
      <c r="I25" s="48" t="s">
        <v>4390</v>
      </c>
      <c r="K25" s="55" t="s">
        <v>541</v>
      </c>
      <c r="L25" s="84" t="s">
        <v>29644</v>
      </c>
      <c r="S25" s="28" t="s">
        <v>507</v>
      </c>
      <c r="T25" s="29">
        <v>3350</v>
      </c>
    </row>
    <row r="26" spans="2:20" ht="15" customHeight="1" x14ac:dyDescent="0.25">
      <c r="B26" s="55" t="s">
        <v>279</v>
      </c>
      <c r="C26" s="46">
        <v>14</v>
      </c>
      <c r="D26" s="69" t="s">
        <v>29416</v>
      </c>
      <c r="E26" s="51"/>
      <c r="F26" s="114" t="str">
        <f>IF(INDEX(I.Facility.P1IDNumber,14)="","",INDEX(I.Facility.P1IDNumber,14))</f>
        <v/>
      </c>
      <c r="G26" s="51"/>
      <c r="H26" s="46" t="str">
        <f>IF(AND(I.Developer.P1=TRUE,I.Facility.P1FacilityCount&gt;=14,F26=""),"Incomplete","Complete")</f>
        <v>Complete</v>
      </c>
      <c r="I26" s="48" t="s">
        <v>4391</v>
      </c>
      <c r="K26" s="55" t="s">
        <v>542</v>
      </c>
      <c r="L26" s="84" t="s">
        <v>29645</v>
      </c>
      <c r="S26" s="28" t="s">
        <v>508</v>
      </c>
      <c r="T26" s="29">
        <v>8060</v>
      </c>
    </row>
    <row r="27" spans="2:20" ht="15" customHeight="1" x14ac:dyDescent="0.25">
      <c r="B27" s="55" t="s">
        <v>279</v>
      </c>
      <c r="C27" s="46">
        <v>15</v>
      </c>
      <c r="D27" s="69" t="s">
        <v>29416</v>
      </c>
      <c r="E27" s="51"/>
      <c r="F27" s="114" t="str">
        <f>IF(INDEX(I.Facility.P1IDNumber,15)="","",INDEX(I.Facility.P1IDNumber,15))</f>
        <v/>
      </c>
      <c r="G27" s="51"/>
      <c r="H27" s="46" t="str">
        <f>IF(AND(I.Developer.P1=TRUE,I.Facility.P1FacilityCount&gt;=15,F27=""),"Incomplete","Complete")</f>
        <v>Complete</v>
      </c>
      <c r="I27" s="48" t="s">
        <v>4392</v>
      </c>
      <c r="K27" s="55" t="s">
        <v>543</v>
      </c>
      <c r="L27" s="84" t="s">
        <v>29646</v>
      </c>
      <c r="S27" s="30" t="s">
        <v>509</v>
      </c>
      <c r="T27" s="32">
        <v>716</v>
      </c>
    </row>
    <row r="28" spans="2:20" ht="15" customHeight="1" x14ac:dyDescent="0.25">
      <c r="B28" s="55" t="s">
        <v>279</v>
      </c>
      <c r="C28" s="46">
        <v>16</v>
      </c>
      <c r="D28" s="69" t="s">
        <v>29416</v>
      </c>
      <c r="E28" s="51"/>
      <c r="F28" s="114" t="str">
        <f>IF(INDEX(I.Facility.P1IDNumber,16)="","",INDEX(I.Facility.P1IDNumber,16))</f>
        <v/>
      </c>
      <c r="G28" s="51"/>
      <c r="H28" s="46" t="str">
        <f>IF(AND(I.Developer.P1=TRUE,I.Facility.P1FacilityCount&gt;=16,F28=""),"Incomplete","Complete")</f>
        <v>Complete</v>
      </c>
      <c r="I28" s="48" t="s">
        <v>4393</v>
      </c>
      <c r="K28" s="80" t="s">
        <v>544</v>
      </c>
      <c r="L28" s="85" t="s">
        <v>29647</v>
      </c>
      <c r="S28" s="38" t="s">
        <v>510</v>
      </c>
      <c r="T28" s="39">
        <v>1.83</v>
      </c>
    </row>
    <row r="29" spans="2:20" ht="15" customHeight="1" x14ac:dyDescent="0.25">
      <c r="B29" s="55" t="s">
        <v>279</v>
      </c>
      <c r="C29" s="46">
        <v>17</v>
      </c>
      <c r="D29" s="69" t="s">
        <v>29416</v>
      </c>
      <c r="E29" s="51"/>
      <c r="F29" s="114" t="str">
        <f>IF(INDEX(I.Facility.P1IDNumber,17)="","",INDEX(I.Facility.P1IDNumber,17))</f>
        <v/>
      </c>
      <c r="G29" s="51"/>
      <c r="H29" s="46" t="str">
        <f>IF(AND(I.Developer.P1=TRUE,I.Facility.P1FacilityCount&gt;=17,F29=""),"Incomplete","Complete")</f>
        <v>Complete</v>
      </c>
      <c r="I29" s="48" t="s">
        <v>4394</v>
      </c>
      <c r="K29" s="81" t="s">
        <v>545</v>
      </c>
      <c r="L29" s="84" t="s">
        <v>29648</v>
      </c>
      <c r="S29" s="28" t="s">
        <v>511</v>
      </c>
      <c r="T29" s="40">
        <v>2</v>
      </c>
    </row>
    <row r="30" spans="2:20" ht="15" customHeight="1" x14ac:dyDescent="0.25">
      <c r="B30" s="55" t="s">
        <v>279</v>
      </c>
      <c r="C30" s="46">
        <v>18</v>
      </c>
      <c r="D30" s="69" t="s">
        <v>29416</v>
      </c>
      <c r="E30" s="51"/>
      <c r="F30" s="114" t="str">
        <f>IF(INDEX(I.Facility.P1IDNumber,18)="","",INDEX(I.Facility.P1IDNumber,18))</f>
        <v/>
      </c>
      <c r="G30" s="51"/>
      <c r="H30" s="46" t="str">
        <f>IF(AND(I.Developer.P1=TRUE,I.Facility.P1FacilityCount&gt;=18,F30=""),"Incomplete","Complete")</f>
        <v>Complete</v>
      </c>
      <c r="I30" s="48" t="s">
        <v>4395</v>
      </c>
      <c r="K30" s="55" t="s">
        <v>546</v>
      </c>
      <c r="L30" s="84" t="s">
        <v>29649</v>
      </c>
      <c r="S30" s="28" t="s">
        <v>512</v>
      </c>
      <c r="T30" s="40">
        <v>2.2999999999999998</v>
      </c>
    </row>
    <row r="31" spans="2:20" ht="15" customHeight="1" x14ac:dyDescent="0.25">
      <c r="B31" s="55" t="s">
        <v>279</v>
      </c>
      <c r="C31" s="46">
        <v>19</v>
      </c>
      <c r="D31" s="69" t="s">
        <v>29416</v>
      </c>
      <c r="E31" s="51"/>
      <c r="F31" s="114" t="str">
        <f>IF(INDEX(I.Facility.P1IDNumber,19)="","",INDEX(I.Facility.P1IDNumber,19))</f>
        <v/>
      </c>
      <c r="G31" s="51"/>
      <c r="H31" s="46" t="str">
        <f>IF(AND(I.Developer.P1=TRUE,I.Facility.P1FacilityCount&gt;=19,F31=""),"Incomplete","Complete")</f>
        <v>Complete</v>
      </c>
      <c r="I31" s="48" t="s">
        <v>4396</v>
      </c>
      <c r="K31" s="55" t="s">
        <v>547</v>
      </c>
      <c r="L31" s="84" t="s">
        <v>29650</v>
      </c>
      <c r="S31" s="28" t="s">
        <v>513</v>
      </c>
      <c r="T31" s="40">
        <v>2.11</v>
      </c>
    </row>
    <row r="32" spans="2:20" ht="15" customHeight="1" x14ac:dyDescent="0.25">
      <c r="B32" s="55" t="s">
        <v>279</v>
      </c>
      <c r="C32" s="46">
        <v>20</v>
      </c>
      <c r="D32" s="69" t="s">
        <v>29416</v>
      </c>
      <c r="E32" s="51"/>
      <c r="F32" s="114" t="str">
        <f>IF(INDEX(I.Facility.P1IDNumber,20)="","",INDEX(I.Facility.P1IDNumber,20))</f>
        <v/>
      </c>
      <c r="G32" s="51"/>
      <c r="H32" s="46" t="str">
        <f>IF(AND(I.Developer.P1=TRUE,I.Facility.P1FacilityCount&gt;=20,F32=""),"Incomplete","Complete")</f>
        <v>Complete</v>
      </c>
      <c r="I32" s="48" t="s">
        <v>4397</v>
      </c>
      <c r="K32" s="55" t="s">
        <v>548</v>
      </c>
      <c r="L32" s="84" t="s">
        <v>29651</v>
      </c>
      <c r="S32" s="30" t="s">
        <v>514</v>
      </c>
      <c r="T32" s="41">
        <v>2.88</v>
      </c>
    </row>
    <row r="33" spans="2:20" ht="15" customHeight="1" x14ac:dyDescent="0.25">
      <c r="B33" s="55" t="s">
        <v>279</v>
      </c>
      <c r="C33" s="46">
        <v>21</v>
      </c>
      <c r="D33" s="69" t="s">
        <v>29416</v>
      </c>
      <c r="E33" s="51"/>
      <c r="F33" s="114" t="str">
        <f>IF(INDEX(I.Facility.P1IDNumber,21)="","",INDEX(I.Facility.P1IDNumber,21))</f>
        <v/>
      </c>
      <c r="G33" s="51"/>
      <c r="H33" s="46" t="str">
        <f>IF(AND(I.Developer.P1=TRUE,I.Facility.P1FacilityCount&gt;=21,F33=""),"Incomplete","Complete")</f>
        <v>Complete</v>
      </c>
      <c r="I33" s="48" t="s">
        <v>4398</v>
      </c>
      <c r="K33" s="80" t="s">
        <v>549</v>
      </c>
      <c r="L33" s="85" t="s">
        <v>29652</v>
      </c>
      <c r="S33" s="38" t="s">
        <v>515</v>
      </c>
      <c r="T33" s="42">
        <v>1.776</v>
      </c>
    </row>
    <row r="34" spans="2:20" ht="15" customHeight="1" x14ac:dyDescent="0.25">
      <c r="B34" s="55" t="s">
        <v>279</v>
      </c>
      <c r="C34" s="46">
        <v>22</v>
      </c>
      <c r="D34" s="69" t="s">
        <v>29416</v>
      </c>
      <c r="E34" s="51"/>
      <c r="F34" s="114" t="str">
        <f>IF(INDEX(I.Facility.P1IDNumber,22)="","",INDEX(I.Facility.P1IDNumber,22))</f>
        <v/>
      </c>
      <c r="G34" s="51"/>
      <c r="H34" s="46" t="str">
        <f>IF(AND(I.Developer.P1=TRUE,I.Facility.P1FacilityCount&gt;=22,F34=""),"Incomplete","Complete")</f>
        <v>Complete</v>
      </c>
      <c r="I34" s="48" t="s">
        <v>4399</v>
      </c>
      <c r="K34" s="81" t="s">
        <v>550</v>
      </c>
      <c r="L34" s="84" t="s">
        <v>29653</v>
      </c>
      <c r="S34" s="28" t="s">
        <v>516</v>
      </c>
      <c r="T34" s="43">
        <v>2.6349999999999998</v>
      </c>
    </row>
    <row r="35" spans="2:20" ht="15" customHeight="1" x14ac:dyDescent="0.25">
      <c r="B35" s="55" t="s">
        <v>279</v>
      </c>
      <c r="C35" s="46">
        <v>23</v>
      </c>
      <c r="D35" s="69" t="s">
        <v>29416</v>
      </c>
      <c r="E35" s="51"/>
      <c r="F35" s="114" t="str">
        <f>IF(INDEX(I.Facility.P1IDNumber,23)="","",INDEX(I.Facility.P1IDNumber,23))</f>
        <v/>
      </c>
      <c r="G35" s="51"/>
      <c r="H35" s="46" t="str">
        <f>IF(AND(I.Developer.P1=TRUE,I.Facility.P1FacilityCount&gt;=23,F35=""),"Incomplete","Complete")</f>
        <v>Complete</v>
      </c>
      <c r="I35" s="48" t="s">
        <v>4400</v>
      </c>
      <c r="K35" s="55" t="s">
        <v>551</v>
      </c>
      <c r="L35" s="84" t="s">
        <v>29654</v>
      </c>
      <c r="S35" s="28" t="s">
        <v>517</v>
      </c>
      <c r="T35" s="43">
        <v>1.0149999999999999</v>
      </c>
    </row>
    <row r="36" spans="2:20" ht="15" customHeight="1" x14ac:dyDescent="0.25">
      <c r="B36" s="55" t="s">
        <v>279</v>
      </c>
      <c r="C36" s="46">
        <v>24</v>
      </c>
      <c r="D36" s="69" t="s">
        <v>29416</v>
      </c>
      <c r="E36" s="51"/>
      <c r="F36" s="114" t="str">
        <f>IF(INDEX(I.Facility.P1IDNumber,24)="","",INDEX(I.Facility.P1IDNumber,24))</f>
        <v/>
      </c>
      <c r="G36" s="51"/>
      <c r="H36" s="46" t="str">
        <f>IF(AND(I.Developer.P1=TRUE,I.Facility.P1FacilityCount&gt;=24,F36=""),"Incomplete","Complete")</f>
        <v>Complete</v>
      </c>
      <c r="I36" s="48" t="s">
        <v>4401</v>
      </c>
      <c r="K36" s="55" t="s">
        <v>552</v>
      </c>
      <c r="L36" s="84" t="s">
        <v>29655</v>
      </c>
      <c r="S36" s="28" t="s">
        <v>518</v>
      </c>
      <c r="T36" s="43">
        <v>2.141</v>
      </c>
    </row>
    <row r="37" spans="2:20" ht="15" customHeight="1" x14ac:dyDescent="0.25">
      <c r="B37" s="55" t="s">
        <v>279</v>
      </c>
      <c r="C37" s="46">
        <v>25</v>
      </c>
      <c r="D37" s="69" t="s">
        <v>29416</v>
      </c>
      <c r="E37" s="51"/>
      <c r="F37" s="114" t="str">
        <f>IF(INDEX(I.Facility.P1IDNumber,25)="","",INDEX(I.Facility.P1IDNumber,25))</f>
        <v/>
      </c>
      <c r="G37" s="51"/>
      <c r="H37" s="46" t="str">
        <f>IF(AND(I.Developer.P1=TRUE,I.Facility.P1FacilityCount&gt;=25,F37=""),"Incomplete","Complete")</f>
        <v>Complete</v>
      </c>
      <c r="I37" s="48" t="s">
        <v>4402</v>
      </c>
      <c r="K37" s="55" t="s">
        <v>553</v>
      </c>
      <c r="L37" s="84" t="s">
        <v>29656</v>
      </c>
      <c r="S37" s="30" t="s">
        <v>519</v>
      </c>
      <c r="T37" s="95">
        <v>1.544</v>
      </c>
    </row>
    <row r="38" spans="2:20" ht="15" customHeight="1" x14ac:dyDescent="0.25">
      <c r="B38" s="55" t="s">
        <v>279</v>
      </c>
      <c r="C38" s="46">
        <v>26</v>
      </c>
      <c r="D38" s="69" t="s">
        <v>29416</v>
      </c>
      <c r="E38" s="51"/>
      <c r="F38" s="114" t="str">
        <f>IF(INDEX(I.Facility.P1IDNumber,26)="","",INDEX(I.Facility.P1IDNumber,26))</f>
        <v/>
      </c>
      <c r="G38" s="51"/>
      <c r="H38" s="46" t="str">
        <f>IF(AND(I.Developer.P1=TRUE,I.Facility.P1FacilityCount&gt;=26,F38=""),"Incomplete","Complete")</f>
        <v>Complete</v>
      </c>
      <c r="I38" s="48" t="s">
        <v>4403</v>
      </c>
      <c r="K38" s="80" t="s">
        <v>554</v>
      </c>
      <c r="L38" s="85" t="s">
        <v>29657</v>
      </c>
      <c r="S38" s="28" t="s">
        <v>520</v>
      </c>
      <c r="T38" s="44">
        <v>2.63</v>
      </c>
    </row>
    <row r="39" spans="2:20" ht="15" customHeight="1" x14ac:dyDescent="0.25">
      <c r="B39" s="55" t="s">
        <v>279</v>
      </c>
      <c r="C39" s="46">
        <v>27</v>
      </c>
      <c r="D39" s="69" t="s">
        <v>29416</v>
      </c>
      <c r="E39" s="51"/>
      <c r="F39" s="114" t="str">
        <f>IF(INDEX(I.Facility.P1IDNumber,27)="","",INDEX(I.Facility.P1IDNumber,27))</f>
        <v/>
      </c>
      <c r="G39" s="51"/>
      <c r="H39" s="46" t="str">
        <f>IF(AND(I.Developer.P1=TRUE,I.Facility.P1FacilityCount&gt;=27,F39=""),"Incomplete","Complete")</f>
        <v>Complete</v>
      </c>
      <c r="I39" s="48" t="s">
        <v>4404</v>
      </c>
      <c r="K39" s="81" t="s">
        <v>555</v>
      </c>
      <c r="L39" s="84" t="s">
        <v>29658</v>
      </c>
      <c r="S39" s="28" t="s">
        <v>521</v>
      </c>
      <c r="T39" s="44">
        <v>2.77</v>
      </c>
    </row>
    <row r="40" spans="2:20" ht="15" customHeight="1" x14ac:dyDescent="0.25">
      <c r="B40" s="55" t="s">
        <v>279</v>
      </c>
      <c r="C40" s="46">
        <v>28</v>
      </c>
      <c r="D40" s="69" t="s">
        <v>29416</v>
      </c>
      <c r="E40" s="51"/>
      <c r="F40" s="114" t="str">
        <f>IF(INDEX(I.Facility.P1IDNumber,28)="","",INDEX(I.Facility.P1IDNumber,28))</f>
        <v/>
      </c>
      <c r="G40" s="51"/>
      <c r="H40" s="46" t="str">
        <f>IF(AND(I.Developer.P1=TRUE,I.Facility.P1FacilityCount&gt;=28,F40=""),"Incomplete","Complete")</f>
        <v>Complete</v>
      </c>
      <c r="I40" s="48" t="s">
        <v>4405</v>
      </c>
      <c r="K40" s="55" t="s">
        <v>556</v>
      </c>
      <c r="L40" s="84" t="s">
        <v>29659</v>
      </c>
      <c r="S40" s="28" t="s">
        <v>522</v>
      </c>
      <c r="T40" s="44">
        <v>2.99</v>
      </c>
    </row>
    <row r="41" spans="2:20" ht="15" customHeight="1" x14ac:dyDescent="0.25">
      <c r="B41" s="55" t="s">
        <v>279</v>
      </c>
      <c r="C41" s="46">
        <v>29</v>
      </c>
      <c r="D41" s="69" t="s">
        <v>29416</v>
      </c>
      <c r="E41" s="51"/>
      <c r="F41" s="114" t="str">
        <f>IF(INDEX(I.Facility.P1IDNumber,29)="","",INDEX(I.Facility.P1IDNumber,29))</f>
        <v/>
      </c>
      <c r="G41" s="51"/>
      <c r="H41" s="46" t="str">
        <f>IF(AND(I.Developer.P1=TRUE,I.Facility.P1FacilityCount&gt;=29,F41=""),"Incomplete","Complete")</f>
        <v>Complete</v>
      </c>
      <c r="I41" s="48" t="s">
        <v>4406</v>
      </c>
      <c r="K41" s="55" t="s">
        <v>557</v>
      </c>
      <c r="L41" s="84" t="s">
        <v>29660</v>
      </c>
      <c r="S41" s="28" t="s">
        <v>523</v>
      </c>
      <c r="T41" s="44">
        <v>2.79</v>
      </c>
    </row>
    <row r="42" spans="2:20" ht="15" customHeight="1" x14ac:dyDescent="0.25">
      <c r="B42" s="55" t="s">
        <v>279</v>
      </c>
      <c r="C42" s="46">
        <v>30</v>
      </c>
      <c r="D42" s="69" t="s">
        <v>29416</v>
      </c>
      <c r="E42" s="51"/>
      <c r="F42" s="114" t="str">
        <f>IF(INDEX(I.Facility.P1IDNumber,30)="","",INDEX(I.Facility.P1IDNumber,30))</f>
        <v/>
      </c>
      <c r="G42" s="51"/>
      <c r="H42" s="46" t="str">
        <f>IF(AND(I.Developer.P1=TRUE,I.Facility.P1FacilityCount&gt;=30,F42=""),"Incomplete","Complete")</f>
        <v>Complete</v>
      </c>
      <c r="I42" s="48" t="s">
        <v>4407</v>
      </c>
      <c r="K42" s="55" t="s">
        <v>558</v>
      </c>
      <c r="L42" s="84" t="s">
        <v>29661</v>
      </c>
      <c r="S42" s="35" t="s">
        <v>524</v>
      </c>
      <c r="T42" s="45">
        <v>3.28</v>
      </c>
    </row>
    <row r="43" spans="2:20" ht="15" customHeight="1" x14ac:dyDescent="0.25">
      <c r="B43" s="55" t="s">
        <v>279</v>
      </c>
      <c r="C43" s="46">
        <v>31</v>
      </c>
      <c r="D43" s="69" t="s">
        <v>29416</v>
      </c>
      <c r="E43" s="51"/>
      <c r="F43" s="114" t="str">
        <f>IF(INDEX(I.Facility.P1IDNumber,31)="","",INDEX(I.Facility.P1IDNumber,31))</f>
        <v/>
      </c>
      <c r="G43" s="51"/>
      <c r="H43" s="46" t="str">
        <f>IF(AND(I.Developer.P1=TRUE,I.Facility.P1FacilityCount&gt;=31,F43=""),"Incomplete","Complete")</f>
        <v>Complete</v>
      </c>
      <c r="I43" s="48" t="s">
        <v>4408</v>
      </c>
      <c r="K43" s="80" t="s">
        <v>559</v>
      </c>
      <c r="L43" s="85" t="s">
        <v>29662</v>
      </c>
    </row>
    <row r="44" spans="2:20" ht="15" customHeight="1" x14ac:dyDescent="0.25">
      <c r="B44" s="55" t="s">
        <v>279</v>
      </c>
      <c r="C44" s="46">
        <v>32</v>
      </c>
      <c r="D44" s="69" t="s">
        <v>29416</v>
      </c>
      <c r="E44" s="51"/>
      <c r="F44" s="114" t="str">
        <f>IF(INDEX(I.Facility.P1IDNumber,32)="","",INDEX(I.Facility.P1IDNumber,32))</f>
        <v/>
      </c>
      <c r="G44" s="51"/>
      <c r="H44" s="46" t="str">
        <f>IF(AND(I.Developer.P1=TRUE,I.Facility.P1FacilityCount&gt;=32,F44=""),"Incomplete","Complete")</f>
        <v>Complete</v>
      </c>
      <c r="I44" s="48" t="s">
        <v>4409</v>
      </c>
      <c r="K44" s="81" t="s">
        <v>560</v>
      </c>
      <c r="L44" s="84" t="s">
        <v>29663</v>
      </c>
    </row>
    <row r="45" spans="2:20" ht="15" customHeight="1" x14ac:dyDescent="0.25">
      <c r="B45" s="55" t="s">
        <v>279</v>
      </c>
      <c r="C45" s="46">
        <v>33</v>
      </c>
      <c r="D45" s="69" t="s">
        <v>29416</v>
      </c>
      <c r="E45" s="51"/>
      <c r="F45" s="114" t="str">
        <f>IF(INDEX(I.Facility.P1IDNumber,33)="","",INDEX(I.Facility.P1IDNumber,33))</f>
        <v/>
      </c>
      <c r="G45" s="51"/>
      <c r="H45" s="46" t="str">
        <f>IF(AND(I.Developer.P1=TRUE,I.Facility.P1FacilityCount&gt;=33,F45=""),"Incomplete","Complete")</f>
        <v>Complete</v>
      </c>
      <c r="I45" s="48" t="s">
        <v>4410</v>
      </c>
      <c r="K45" s="55" t="s">
        <v>561</v>
      </c>
      <c r="L45" s="84" t="s">
        <v>29664</v>
      </c>
    </row>
    <row r="46" spans="2:20" ht="15" customHeight="1" x14ac:dyDescent="0.25">
      <c r="B46" s="55" t="s">
        <v>279</v>
      </c>
      <c r="C46" s="46">
        <v>34</v>
      </c>
      <c r="D46" s="69" t="s">
        <v>29416</v>
      </c>
      <c r="E46" s="51"/>
      <c r="F46" s="114" t="str">
        <f>IF(INDEX(I.Facility.P1IDNumber,34)="","",INDEX(I.Facility.P1IDNumber,34))</f>
        <v/>
      </c>
      <c r="G46" s="51"/>
      <c r="H46" s="46" t="str">
        <f>IF(AND(I.Developer.P1=TRUE,I.Facility.P1FacilityCount&gt;=34,F46=""),"Incomplete","Complete")</f>
        <v>Complete</v>
      </c>
      <c r="I46" s="48" t="s">
        <v>4411</v>
      </c>
      <c r="K46" s="55" t="s">
        <v>562</v>
      </c>
      <c r="L46" s="84" t="s">
        <v>29665</v>
      </c>
    </row>
    <row r="47" spans="2:20" ht="15" customHeight="1" x14ac:dyDescent="0.25">
      <c r="B47" s="55" t="s">
        <v>279</v>
      </c>
      <c r="C47" s="46">
        <v>35</v>
      </c>
      <c r="D47" s="69" t="s">
        <v>29416</v>
      </c>
      <c r="E47" s="51"/>
      <c r="F47" s="114" t="str">
        <f>IF(INDEX(I.Facility.P1IDNumber,35)="","",INDEX(I.Facility.P1IDNumber,35))</f>
        <v/>
      </c>
      <c r="G47" s="51"/>
      <c r="H47" s="46" t="str">
        <f>IF(AND(I.Developer.P1=TRUE,I.Facility.P1FacilityCount&gt;=35,F47=""),"Incomplete","Complete")</f>
        <v>Complete</v>
      </c>
      <c r="I47" s="48" t="s">
        <v>4412</v>
      </c>
      <c r="K47" s="55" t="s">
        <v>563</v>
      </c>
      <c r="L47" s="84" t="s">
        <v>29666</v>
      </c>
    </row>
    <row r="48" spans="2:20" ht="15" customHeight="1" x14ac:dyDescent="0.25">
      <c r="B48" s="55" t="s">
        <v>279</v>
      </c>
      <c r="C48" s="46">
        <v>36</v>
      </c>
      <c r="D48" s="69" t="s">
        <v>29416</v>
      </c>
      <c r="E48" s="51"/>
      <c r="F48" s="114" t="str">
        <f>IF(INDEX(I.Facility.P1IDNumber,36)="","",INDEX(I.Facility.P1IDNumber,36))</f>
        <v/>
      </c>
      <c r="G48" s="51"/>
      <c r="H48" s="46" t="str">
        <f>IF(AND(I.Developer.P1=TRUE,I.Facility.P1FacilityCount&gt;=36,F48=""),"Incomplete","Complete")</f>
        <v>Complete</v>
      </c>
      <c r="I48" s="48" t="s">
        <v>4413</v>
      </c>
      <c r="K48" s="80" t="s">
        <v>564</v>
      </c>
      <c r="L48" s="85" t="s">
        <v>29667</v>
      </c>
    </row>
    <row r="49" spans="2:12" ht="15" customHeight="1" x14ac:dyDescent="0.25">
      <c r="B49" s="55" t="s">
        <v>279</v>
      </c>
      <c r="C49" s="46">
        <v>37</v>
      </c>
      <c r="D49" s="69" t="s">
        <v>29416</v>
      </c>
      <c r="E49" s="51"/>
      <c r="F49" s="114" t="str">
        <f>IF(INDEX(I.Facility.P1IDNumber,37)="","",INDEX(I.Facility.P1IDNumber,37))</f>
        <v/>
      </c>
      <c r="G49" s="51"/>
      <c r="H49" s="46" t="str">
        <f>IF(AND(I.Developer.P1=TRUE,I.Facility.P1FacilityCount&gt;=37,F49=""),"Incomplete","Complete")</f>
        <v>Complete</v>
      </c>
      <c r="I49" s="48" t="s">
        <v>4414</v>
      </c>
      <c r="K49" s="81" t="s">
        <v>565</v>
      </c>
      <c r="L49" s="84" t="s">
        <v>29668</v>
      </c>
    </row>
    <row r="50" spans="2:12" ht="15" customHeight="1" x14ac:dyDescent="0.25">
      <c r="B50" s="55" t="s">
        <v>279</v>
      </c>
      <c r="C50" s="46">
        <v>38</v>
      </c>
      <c r="D50" s="69" t="s">
        <v>29416</v>
      </c>
      <c r="E50" s="51"/>
      <c r="F50" s="114" t="str">
        <f>IF(INDEX(I.Facility.P1IDNumber,38)="","",INDEX(I.Facility.P1IDNumber,38))</f>
        <v/>
      </c>
      <c r="G50" s="51"/>
      <c r="H50" s="46" t="str">
        <f>IF(AND(I.Developer.P1=TRUE,I.Facility.P1FacilityCount&gt;=38,F50=""),"Incomplete","Complete")</f>
        <v>Complete</v>
      </c>
      <c r="I50" s="48" t="s">
        <v>4415</v>
      </c>
      <c r="K50" s="55" t="s">
        <v>566</v>
      </c>
      <c r="L50" s="84" t="s">
        <v>29669</v>
      </c>
    </row>
    <row r="51" spans="2:12" ht="15" customHeight="1" x14ac:dyDescent="0.25">
      <c r="B51" s="55" t="s">
        <v>279</v>
      </c>
      <c r="C51" s="46">
        <v>39</v>
      </c>
      <c r="D51" s="69" t="s">
        <v>29416</v>
      </c>
      <c r="E51" s="51"/>
      <c r="F51" s="114" t="str">
        <f>IF(INDEX(I.Facility.P1IDNumber,39)="","",INDEX(I.Facility.P1IDNumber,39))</f>
        <v/>
      </c>
      <c r="G51" s="51"/>
      <c r="H51" s="46" t="str">
        <f>IF(AND(I.Developer.P1=TRUE,I.Facility.P1FacilityCount&gt;=39,F51=""),"Incomplete","Complete")</f>
        <v>Complete</v>
      </c>
      <c r="I51" s="48" t="s">
        <v>4416</v>
      </c>
      <c r="K51" s="55" t="s">
        <v>567</v>
      </c>
      <c r="L51" s="84" t="s">
        <v>29670</v>
      </c>
    </row>
    <row r="52" spans="2:12" ht="15" customHeight="1" x14ac:dyDescent="0.25">
      <c r="B52" s="55" t="s">
        <v>279</v>
      </c>
      <c r="C52" s="46">
        <v>40</v>
      </c>
      <c r="D52" s="69" t="s">
        <v>29416</v>
      </c>
      <c r="E52" s="51"/>
      <c r="F52" s="114" t="str">
        <f>IF(INDEX(I.Facility.P1IDNumber,40)="","",INDEX(I.Facility.P1IDNumber,40))</f>
        <v/>
      </c>
      <c r="G52" s="51"/>
      <c r="H52" s="46" t="str">
        <f>IF(AND(I.Developer.P1=TRUE,I.Facility.P1FacilityCount&gt;=40,F52=""),"Incomplete","Complete")</f>
        <v>Complete</v>
      </c>
      <c r="I52" s="48" t="s">
        <v>4417</v>
      </c>
      <c r="K52" s="55" t="s">
        <v>568</v>
      </c>
      <c r="L52" s="84" t="s">
        <v>29671</v>
      </c>
    </row>
    <row r="53" spans="2:12" ht="15" customHeight="1" x14ac:dyDescent="0.25">
      <c r="B53" s="55" t="s">
        <v>279</v>
      </c>
      <c r="C53" s="46">
        <v>41</v>
      </c>
      <c r="D53" s="69" t="s">
        <v>29416</v>
      </c>
      <c r="E53" s="51"/>
      <c r="F53" s="114" t="str">
        <f>IF(INDEX(I.Facility.P1IDNumber,41)="","",INDEX(I.Facility.P1IDNumber,41))</f>
        <v/>
      </c>
      <c r="G53" s="51"/>
      <c r="H53" s="46" t="str">
        <f>IF(AND(I.Developer.P1=TRUE,I.Facility.P1FacilityCount&gt;=41,F53=""),"Incomplete","Complete")</f>
        <v>Complete</v>
      </c>
      <c r="I53" s="48" t="s">
        <v>4418</v>
      </c>
      <c r="K53" s="80" t="s">
        <v>569</v>
      </c>
      <c r="L53" s="85" t="s">
        <v>29672</v>
      </c>
    </row>
    <row r="54" spans="2:12" ht="15" customHeight="1" x14ac:dyDescent="0.25">
      <c r="B54" s="55" t="s">
        <v>279</v>
      </c>
      <c r="C54" s="46">
        <v>42</v>
      </c>
      <c r="D54" s="69" t="s">
        <v>29416</v>
      </c>
      <c r="E54" s="51"/>
      <c r="F54" s="114" t="str">
        <f>IF(INDEX(I.Facility.P1IDNumber,42)="","",INDEX(I.Facility.P1IDNumber,42))</f>
        <v/>
      </c>
      <c r="G54" s="51"/>
      <c r="H54" s="46" t="str">
        <f>IF(AND(I.Developer.P1=TRUE,I.Facility.P1FacilityCount&gt;=42,F54=""),"Incomplete","Complete")</f>
        <v>Complete</v>
      </c>
      <c r="I54" s="48" t="s">
        <v>4419</v>
      </c>
      <c r="K54" s="81" t="s">
        <v>570</v>
      </c>
      <c r="L54" s="84" t="s">
        <v>29673</v>
      </c>
    </row>
    <row r="55" spans="2:12" ht="15" customHeight="1" x14ac:dyDescent="0.25">
      <c r="B55" s="55" t="s">
        <v>279</v>
      </c>
      <c r="C55" s="46">
        <v>43</v>
      </c>
      <c r="D55" s="69" t="s">
        <v>29416</v>
      </c>
      <c r="E55" s="51"/>
      <c r="F55" s="114" t="str">
        <f>IF(INDEX(I.Facility.P1IDNumber,43)="","",INDEX(I.Facility.P1IDNumber,43))</f>
        <v/>
      </c>
      <c r="G55" s="51"/>
      <c r="H55" s="46" t="str">
        <f>IF(AND(I.Developer.P1=TRUE,I.Facility.P1FacilityCount&gt;=43,F55=""),"Incomplete","Complete")</f>
        <v>Complete</v>
      </c>
      <c r="I55" s="48" t="s">
        <v>4420</v>
      </c>
      <c r="K55" s="55" t="s">
        <v>571</v>
      </c>
      <c r="L55" s="84" t="s">
        <v>29674</v>
      </c>
    </row>
    <row r="56" spans="2:12" ht="15" customHeight="1" x14ac:dyDescent="0.25">
      <c r="B56" s="55" t="s">
        <v>279</v>
      </c>
      <c r="C56" s="46">
        <v>44</v>
      </c>
      <c r="D56" s="69" t="s">
        <v>29416</v>
      </c>
      <c r="E56" s="51"/>
      <c r="F56" s="114" t="str">
        <f>IF(INDEX(I.Facility.P1IDNumber,44)="","",INDEX(I.Facility.P1IDNumber,44))</f>
        <v/>
      </c>
      <c r="G56" s="51"/>
      <c r="H56" s="46" t="str">
        <f>IF(AND(I.Developer.P1=TRUE,I.Facility.P1FacilityCount&gt;=44,F56=""),"Incomplete","Complete")</f>
        <v>Complete</v>
      </c>
      <c r="I56" s="48" t="s">
        <v>4421</v>
      </c>
      <c r="K56" s="55" t="s">
        <v>572</v>
      </c>
      <c r="L56" s="84" t="s">
        <v>29675</v>
      </c>
    </row>
    <row r="57" spans="2:12" ht="15" customHeight="1" x14ac:dyDescent="0.25">
      <c r="B57" s="55" t="s">
        <v>279</v>
      </c>
      <c r="C57" s="46">
        <v>45</v>
      </c>
      <c r="D57" s="69" t="s">
        <v>29416</v>
      </c>
      <c r="E57" s="51"/>
      <c r="F57" s="114" t="str">
        <f>IF(INDEX(I.Facility.P1IDNumber,45)="","",INDEX(I.Facility.P1IDNumber,45))</f>
        <v/>
      </c>
      <c r="G57" s="51"/>
      <c r="H57" s="46" t="str">
        <f>IF(AND(I.Developer.P1=TRUE,I.Facility.P1FacilityCount&gt;=45,F57=""),"Incomplete","Complete")</f>
        <v>Complete</v>
      </c>
      <c r="I57" s="48" t="s">
        <v>4422</v>
      </c>
      <c r="K57" s="55" t="s">
        <v>573</v>
      </c>
      <c r="L57" s="84" t="s">
        <v>29676</v>
      </c>
    </row>
    <row r="58" spans="2:12" ht="15" customHeight="1" x14ac:dyDescent="0.25">
      <c r="B58" s="55" t="s">
        <v>279</v>
      </c>
      <c r="C58" s="46">
        <v>46</v>
      </c>
      <c r="D58" s="69" t="s">
        <v>29416</v>
      </c>
      <c r="E58" s="51"/>
      <c r="F58" s="114" t="str">
        <f>IF(INDEX(I.Facility.P1IDNumber,46)="","",INDEX(I.Facility.P1IDNumber,46))</f>
        <v/>
      </c>
      <c r="G58" s="51"/>
      <c r="H58" s="46" t="str">
        <f>IF(AND(I.Developer.P1=TRUE,I.Facility.P1FacilityCount&gt;=46,F58=""),"Incomplete","Complete")</f>
        <v>Complete</v>
      </c>
      <c r="I58" s="48" t="s">
        <v>4423</v>
      </c>
      <c r="K58" s="80" t="s">
        <v>574</v>
      </c>
      <c r="L58" s="85" t="s">
        <v>29677</v>
      </c>
    </row>
    <row r="59" spans="2:12" ht="15" customHeight="1" x14ac:dyDescent="0.25">
      <c r="B59" s="55" t="s">
        <v>279</v>
      </c>
      <c r="C59" s="46">
        <v>47</v>
      </c>
      <c r="D59" s="69" t="s">
        <v>29416</v>
      </c>
      <c r="E59" s="51"/>
      <c r="F59" s="114" t="str">
        <f>IF(INDEX(I.Facility.P1IDNumber,47)="","",INDEX(I.Facility.P1IDNumber,47))</f>
        <v/>
      </c>
      <c r="G59" s="51"/>
      <c r="H59" s="46" t="str">
        <f>IF(AND(I.Developer.P1=TRUE,I.Facility.P1FacilityCount&gt;=47,F59=""),"Incomplete","Complete")</f>
        <v>Complete</v>
      </c>
      <c r="I59" s="48" t="s">
        <v>4424</v>
      </c>
      <c r="K59" s="81" t="s">
        <v>575</v>
      </c>
      <c r="L59" s="84" t="s">
        <v>29678</v>
      </c>
    </row>
    <row r="60" spans="2:12" ht="15" customHeight="1" x14ac:dyDescent="0.25">
      <c r="B60" s="55" t="s">
        <v>279</v>
      </c>
      <c r="C60" s="46">
        <v>48</v>
      </c>
      <c r="D60" s="69" t="s">
        <v>29416</v>
      </c>
      <c r="E60" s="51"/>
      <c r="F60" s="114" t="str">
        <f>IF(INDEX(I.Facility.P1IDNumber,48)="","",INDEX(I.Facility.P1IDNumber,48))</f>
        <v/>
      </c>
      <c r="G60" s="51"/>
      <c r="H60" s="46" t="str">
        <f>IF(AND(I.Developer.P1=TRUE,I.Facility.P1FacilityCount&gt;=48,F60=""),"Incomplete","Complete")</f>
        <v>Complete</v>
      </c>
      <c r="I60" s="48" t="s">
        <v>4425</v>
      </c>
      <c r="K60" s="55" t="s">
        <v>576</v>
      </c>
      <c r="L60" s="84" t="s">
        <v>29679</v>
      </c>
    </row>
    <row r="61" spans="2:12" ht="15" customHeight="1" x14ac:dyDescent="0.25">
      <c r="B61" s="55" t="s">
        <v>279</v>
      </c>
      <c r="C61" s="46">
        <v>49</v>
      </c>
      <c r="D61" s="69" t="s">
        <v>29416</v>
      </c>
      <c r="E61" s="51"/>
      <c r="F61" s="114" t="str">
        <f>IF(INDEX(I.Facility.P1IDNumber,49)="","",INDEX(I.Facility.P1IDNumber,49))</f>
        <v/>
      </c>
      <c r="G61" s="51"/>
      <c r="H61" s="46" t="str">
        <f>IF(AND(I.Developer.P1=TRUE,I.Facility.P1FacilityCount&gt;=49,F61=""),"Incomplete","Complete")</f>
        <v>Complete</v>
      </c>
      <c r="I61" s="48" t="s">
        <v>4426</v>
      </c>
      <c r="K61" s="55" t="s">
        <v>577</v>
      </c>
      <c r="L61" s="84" t="s">
        <v>29680</v>
      </c>
    </row>
    <row r="62" spans="2:12" ht="15" customHeight="1" x14ac:dyDescent="0.25">
      <c r="B62" s="55" t="s">
        <v>279</v>
      </c>
      <c r="C62" s="46">
        <v>50</v>
      </c>
      <c r="D62" s="69" t="s">
        <v>29416</v>
      </c>
      <c r="E62" s="51"/>
      <c r="F62" s="114" t="str">
        <f>IF(INDEX(I.Facility.P1IDNumber,50)="","",INDEX(I.Facility.P1IDNumber,50))</f>
        <v/>
      </c>
      <c r="G62" s="51"/>
      <c r="H62" s="46" t="str">
        <f>IF(AND(I.Developer.P1=TRUE,I.Facility.P1FacilityCount&gt;=50,F62=""),"Incomplete","Complete")</f>
        <v>Complete</v>
      </c>
      <c r="I62" s="48" t="s">
        <v>4427</v>
      </c>
      <c r="K62" s="55" t="s">
        <v>578</v>
      </c>
      <c r="L62" s="84" t="s">
        <v>29681</v>
      </c>
    </row>
    <row r="63" spans="2:12" ht="15" customHeight="1" x14ac:dyDescent="0.25">
      <c r="B63" s="55" t="s">
        <v>279</v>
      </c>
      <c r="C63" s="46">
        <v>51</v>
      </c>
      <c r="D63" s="69" t="s">
        <v>29416</v>
      </c>
      <c r="E63" s="51"/>
      <c r="F63" s="114" t="str">
        <f>IF(INDEX(I.Facility.P1IDNumber,51)="","",INDEX(I.Facility.P1IDNumber,51))</f>
        <v/>
      </c>
      <c r="G63" s="51"/>
      <c r="H63" s="46" t="str">
        <f>IF(AND(I.Developer.P1=TRUE,I.Facility.P1FacilityCount&gt;=51,F63=""),"Incomplete","Complete")</f>
        <v>Complete</v>
      </c>
      <c r="I63" s="48" t="s">
        <v>4428</v>
      </c>
      <c r="K63" s="80" t="s">
        <v>579</v>
      </c>
      <c r="L63" s="85" t="s">
        <v>29682</v>
      </c>
    </row>
    <row r="64" spans="2:12" ht="15" customHeight="1" x14ac:dyDescent="0.25">
      <c r="B64" s="55" t="s">
        <v>279</v>
      </c>
      <c r="C64" s="46">
        <v>52</v>
      </c>
      <c r="D64" s="69" t="s">
        <v>29416</v>
      </c>
      <c r="E64" s="51"/>
      <c r="F64" s="114" t="str">
        <f>IF(INDEX(I.Facility.P1IDNumber,52)="","",INDEX(I.Facility.P1IDNumber,52))</f>
        <v/>
      </c>
      <c r="G64" s="51"/>
      <c r="H64" s="46" t="str">
        <f>IF(AND(I.Developer.P1=TRUE,I.Facility.P1FacilityCount&gt;=52,F64=""),"Incomplete","Complete")</f>
        <v>Complete</v>
      </c>
      <c r="I64" s="48" t="s">
        <v>4429</v>
      </c>
      <c r="K64" s="81" t="s">
        <v>580</v>
      </c>
      <c r="L64" s="84" t="s">
        <v>29683</v>
      </c>
    </row>
    <row r="65" spans="2:12" ht="15" customHeight="1" x14ac:dyDescent="0.25">
      <c r="B65" s="55" t="s">
        <v>279</v>
      </c>
      <c r="C65" s="46">
        <v>53</v>
      </c>
      <c r="D65" s="69" t="s">
        <v>29416</v>
      </c>
      <c r="E65" s="51"/>
      <c r="F65" s="114" t="str">
        <f>IF(INDEX(I.Facility.P1IDNumber,53)="","",INDEX(I.Facility.P1IDNumber,53))</f>
        <v/>
      </c>
      <c r="G65" s="51"/>
      <c r="H65" s="46" t="str">
        <f>IF(AND(I.Developer.P1=TRUE,I.Facility.P1FacilityCount&gt;=53,F65=""),"Incomplete","Complete")</f>
        <v>Complete</v>
      </c>
      <c r="I65" s="48" t="s">
        <v>4430</v>
      </c>
      <c r="K65" s="55" t="s">
        <v>4315</v>
      </c>
      <c r="L65" s="84" t="s">
        <v>29684</v>
      </c>
    </row>
    <row r="66" spans="2:12" ht="15" customHeight="1" x14ac:dyDescent="0.25">
      <c r="B66" s="55" t="s">
        <v>279</v>
      </c>
      <c r="C66" s="46">
        <v>54</v>
      </c>
      <c r="D66" s="69" t="s">
        <v>29416</v>
      </c>
      <c r="E66" s="51"/>
      <c r="F66" s="114" t="str">
        <f>IF(INDEX(I.Facility.P1IDNumber,54)="","",INDEX(I.Facility.P1IDNumber,54))</f>
        <v/>
      </c>
      <c r="G66" s="51"/>
      <c r="H66" s="46" t="str">
        <f>IF(AND(I.Developer.P1=TRUE,I.Facility.P1FacilityCount&gt;=54,F66=""),"Incomplete","Complete")</f>
        <v>Complete</v>
      </c>
      <c r="I66" s="48" t="s">
        <v>4431</v>
      </c>
      <c r="K66" s="80" t="s">
        <v>4316</v>
      </c>
      <c r="L66" s="85" t="s">
        <v>29685</v>
      </c>
    </row>
    <row r="67" spans="2:12" ht="15" customHeight="1" x14ac:dyDescent="0.25">
      <c r="B67" s="55" t="s">
        <v>279</v>
      </c>
      <c r="C67" s="46">
        <v>55</v>
      </c>
      <c r="D67" s="69" t="s">
        <v>29416</v>
      </c>
      <c r="E67" s="51"/>
      <c r="F67" s="114" t="str">
        <f>IF(INDEX(I.Facility.P1IDNumber,55)="","",INDEX(I.Facility.P1IDNumber,55))</f>
        <v/>
      </c>
      <c r="G67" s="51"/>
      <c r="H67" s="46" t="str">
        <f>IF(AND(I.Developer.P1=TRUE,I.Facility.P1FacilityCount&gt;=55,F67=""),"Incomplete","Complete")</f>
        <v>Complete</v>
      </c>
      <c r="I67" s="48" t="s">
        <v>4432</v>
      </c>
      <c r="K67" s="81" t="s">
        <v>581</v>
      </c>
      <c r="L67" s="84" t="s">
        <v>29686</v>
      </c>
    </row>
    <row r="68" spans="2:12" ht="15" customHeight="1" x14ac:dyDescent="0.25">
      <c r="B68" s="55" t="s">
        <v>279</v>
      </c>
      <c r="C68" s="46">
        <v>56</v>
      </c>
      <c r="D68" s="69" t="s">
        <v>29416</v>
      </c>
      <c r="E68" s="51"/>
      <c r="F68" s="114" t="str">
        <f>IF(INDEX(I.Facility.P1IDNumber,56)="","",INDEX(I.Facility.P1IDNumber,56))</f>
        <v/>
      </c>
      <c r="G68" s="51"/>
      <c r="H68" s="46" t="str">
        <f>IF(AND(I.Developer.P1=TRUE,I.Facility.P1FacilityCount&gt;=56,F68=""),"Incomplete","Complete")</f>
        <v>Complete</v>
      </c>
      <c r="I68" s="48" t="s">
        <v>4433</v>
      </c>
      <c r="K68" s="55" t="s">
        <v>4317</v>
      </c>
      <c r="L68" s="84" t="s">
        <v>29687</v>
      </c>
    </row>
    <row r="69" spans="2:12" ht="15" customHeight="1" x14ac:dyDescent="0.25">
      <c r="B69" s="55" t="s">
        <v>279</v>
      </c>
      <c r="C69" s="46">
        <v>57</v>
      </c>
      <c r="D69" s="69" t="s">
        <v>29416</v>
      </c>
      <c r="E69" s="51"/>
      <c r="F69" s="114" t="str">
        <f>IF(INDEX(I.Facility.P1IDNumber,57)="","",INDEX(I.Facility.P1IDNumber,57))</f>
        <v/>
      </c>
      <c r="G69" s="51"/>
      <c r="H69" s="46" t="str">
        <f>IF(AND(I.Developer.P1=TRUE,I.Facility.P1FacilityCount&gt;=57,F69=""),"Incomplete","Complete")</f>
        <v>Complete</v>
      </c>
      <c r="I69" s="48" t="s">
        <v>4434</v>
      </c>
      <c r="K69" s="80" t="s">
        <v>4318</v>
      </c>
      <c r="L69" s="85" t="s">
        <v>29688</v>
      </c>
    </row>
    <row r="70" spans="2:12" ht="15" customHeight="1" x14ac:dyDescent="0.25">
      <c r="B70" s="55" t="s">
        <v>279</v>
      </c>
      <c r="C70" s="46">
        <v>58</v>
      </c>
      <c r="D70" s="69" t="s">
        <v>29416</v>
      </c>
      <c r="E70" s="51"/>
      <c r="F70" s="114" t="str">
        <f>IF(INDEX(I.Facility.P1IDNumber,58)="","",INDEX(I.Facility.P1IDNumber,58))</f>
        <v/>
      </c>
      <c r="G70" s="51"/>
      <c r="H70" s="46" t="str">
        <f>IF(AND(I.Developer.P1=TRUE,I.Facility.P1FacilityCount&gt;=58,F70=""),"Incomplete","Complete")</f>
        <v>Complete</v>
      </c>
      <c r="I70" s="48" t="s">
        <v>4435</v>
      </c>
      <c r="K70" s="81" t="s">
        <v>582</v>
      </c>
      <c r="L70" s="84" t="s">
        <v>29689</v>
      </c>
    </row>
    <row r="71" spans="2:12" ht="15" customHeight="1" x14ac:dyDescent="0.25">
      <c r="B71" s="55" t="s">
        <v>279</v>
      </c>
      <c r="C71" s="46">
        <v>59</v>
      </c>
      <c r="D71" s="69" t="s">
        <v>29416</v>
      </c>
      <c r="E71" s="51"/>
      <c r="F71" s="114" t="str">
        <f>IF(INDEX(I.Facility.P1IDNumber,59)="","",INDEX(I.Facility.P1IDNumber,59))</f>
        <v/>
      </c>
      <c r="G71" s="51"/>
      <c r="H71" s="46" t="str">
        <f>IF(AND(I.Developer.P1=TRUE,I.Facility.P1FacilityCount&gt;=59,F71=""),"Incomplete","Complete")</f>
        <v>Complete</v>
      </c>
      <c r="I71" s="48" t="s">
        <v>4436</v>
      </c>
      <c r="K71" s="55" t="s">
        <v>4319</v>
      </c>
      <c r="L71" s="84" t="s">
        <v>29690</v>
      </c>
    </row>
    <row r="72" spans="2:12" ht="15" customHeight="1" x14ac:dyDescent="0.25">
      <c r="B72" s="55" t="s">
        <v>279</v>
      </c>
      <c r="C72" s="46">
        <v>60</v>
      </c>
      <c r="D72" s="69" t="s">
        <v>29416</v>
      </c>
      <c r="E72" s="51"/>
      <c r="F72" s="114" t="str">
        <f>IF(INDEX(I.Facility.P1IDNumber,60)="","",INDEX(I.Facility.P1IDNumber,60))</f>
        <v/>
      </c>
      <c r="G72" s="51"/>
      <c r="H72" s="46" t="str">
        <f>IF(AND(I.Developer.P1=TRUE,I.Facility.P1FacilityCount&gt;=60,F72=""),"Incomplete","Complete")</f>
        <v>Complete</v>
      </c>
      <c r="I72" s="48" t="s">
        <v>4437</v>
      </c>
      <c r="K72" s="80" t="s">
        <v>4320</v>
      </c>
      <c r="L72" s="85" t="s">
        <v>29691</v>
      </c>
    </row>
    <row r="73" spans="2:12" ht="15" customHeight="1" x14ac:dyDescent="0.25">
      <c r="B73" s="55" t="s">
        <v>279</v>
      </c>
      <c r="C73" s="46">
        <v>61</v>
      </c>
      <c r="D73" s="69" t="s">
        <v>29416</v>
      </c>
      <c r="E73" s="51"/>
      <c r="F73" s="114" t="str">
        <f>IF(INDEX(I.Facility.P1IDNumber,61)="","",INDEX(I.Facility.P1IDNumber,61))</f>
        <v/>
      </c>
      <c r="G73" s="51"/>
      <c r="H73" s="46" t="str">
        <f>IF(AND(I.Developer.P1=TRUE,I.Facility.P1FacilityCount&gt;=61,F73=""),"Incomplete","Complete")</f>
        <v>Complete</v>
      </c>
      <c r="I73" s="48" t="s">
        <v>4438</v>
      </c>
      <c r="K73" s="81" t="s">
        <v>583</v>
      </c>
      <c r="L73" s="84" t="s">
        <v>29692</v>
      </c>
    </row>
    <row r="74" spans="2:12" ht="15" customHeight="1" x14ac:dyDescent="0.25">
      <c r="B74" s="55" t="s">
        <v>279</v>
      </c>
      <c r="C74" s="46">
        <v>62</v>
      </c>
      <c r="D74" s="69" t="s">
        <v>29416</v>
      </c>
      <c r="E74" s="51"/>
      <c r="F74" s="114" t="str">
        <f>IF(INDEX(I.Facility.P1IDNumber,62)="","",INDEX(I.Facility.P1IDNumber,62))</f>
        <v/>
      </c>
      <c r="G74" s="51"/>
      <c r="H74" s="46" t="str">
        <f>IF(AND(I.Developer.P1=TRUE,I.Facility.P1FacilityCount&gt;=62,F74=""),"Incomplete","Complete")</f>
        <v>Complete</v>
      </c>
      <c r="I74" s="48" t="s">
        <v>4439</v>
      </c>
      <c r="K74" s="55" t="s">
        <v>4321</v>
      </c>
      <c r="L74" s="84" t="s">
        <v>29693</v>
      </c>
    </row>
    <row r="75" spans="2:12" ht="15" customHeight="1" x14ac:dyDescent="0.25">
      <c r="B75" s="55" t="s">
        <v>279</v>
      </c>
      <c r="C75" s="46">
        <v>63</v>
      </c>
      <c r="D75" s="69" t="s">
        <v>29416</v>
      </c>
      <c r="E75" s="51"/>
      <c r="F75" s="114" t="str">
        <f>IF(INDEX(I.Facility.P1IDNumber,63)="","",INDEX(I.Facility.P1IDNumber,63))</f>
        <v/>
      </c>
      <c r="G75" s="51"/>
      <c r="H75" s="46" t="str">
        <f>IF(AND(I.Developer.P1=TRUE,I.Facility.P1FacilityCount&gt;=63,F75=""),"Incomplete","Complete")</f>
        <v>Complete</v>
      </c>
      <c r="I75" s="48" t="s">
        <v>4440</v>
      </c>
      <c r="K75" s="80" t="s">
        <v>4322</v>
      </c>
      <c r="L75" s="85" t="s">
        <v>29694</v>
      </c>
    </row>
    <row r="76" spans="2:12" ht="15" customHeight="1" x14ac:dyDescent="0.25">
      <c r="B76" s="55" t="s">
        <v>279</v>
      </c>
      <c r="C76" s="46">
        <v>64</v>
      </c>
      <c r="D76" s="69" t="s">
        <v>29416</v>
      </c>
      <c r="E76" s="51"/>
      <c r="F76" s="114" t="str">
        <f>IF(INDEX(I.Facility.P1IDNumber,64)="","",INDEX(I.Facility.P1IDNumber,64))</f>
        <v/>
      </c>
      <c r="G76" s="51"/>
      <c r="H76" s="46" t="str">
        <f>IF(AND(I.Developer.P1=TRUE,I.Facility.P1FacilityCount&gt;=64,F76=""),"Incomplete","Complete")</f>
        <v>Complete</v>
      </c>
      <c r="I76" s="48" t="s">
        <v>4441</v>
      </c>
      <c r="K76" s="81" t="s">
        <v>584</v>
      </c>
      <c r="L76" s="84" t="s">
        <v>29695</v>
      </c>
    </row>
    <row r="77" spans="2:12" ht="15" customHeight="1" x14ac:dyDescent="0.25">
      <c r="B77" s="55" t="s">
        <v>279</v>
      </c>
      <c r="C77" s="46">
        <v>65</v>
      </c>
      <c r="D77" s="69" t="s">
        <v>29416</v>
      </c>
      <c r="E77" s="51"/>
      <c r="F77" s="114" t="str">
        <f>IF(INDEX(I.Facility.P1IDNumber,65)="","",INDEX(I.Facility.P1IDNumber,65))</f>
        <v/>
      </c>
      <c r="G77" s="51"/>
      <c r="H77" s="46" t="str">
        <f>IF(AND(I.Developer.P1=TRUE,I.Facility.P1FacilityCount&gt;=65,F77=""),"Incomplete","Complete")</f>
        <v>Complete</v>
      </c>
      <c r="I77" s="48" t="s">
        <v>4442</v>
      </c>
      <c r="K77" s="55" t="s">
        <v>4323</v>
      </c>
      <c r="L77" s="84" t="s">
        <v>29696</v>
      </c>
    </row>
    <row r="78" spans="2:12" ht="15" customHeight="1" x14ac:dyDescent="0.25">
      <c r="B78" s="55" t="s">
        <v>279</v>
      </c>
      <c r="C78" s="46">
        <v>66</v>
      </c>
      <c r="D78" s="69" t="s">
        <v>29416</v>
      </c>
      <c r="E78" s="51"/>
      <c r="F78" s="114" t="str">
        <f>IF(INDEX(I.Facility.P1IDNumber,66)="","",INDEX(I.Facility.P1IDNumber,66))</f>
        <v/>
      </c>
      <c r="G78" s="51"/>
      <c r="H78" s="46" t="str">
        <f>IF(AND(I.Developer.P1=TRUE,I.Facility.P1FacilityCount&gt;=66,F78=""),"Incomplete","Complete")</f>
        <v>Complete</v>
      </c>
      <c r="I78" s="48" t="s">
        <v>4443</v>
      </c>
      <c r="K78" s="80" t="s">
        <v>4324</v>
      </c>
      <c r="L78" s="85" t="s">
        <v>29697</v>
      </c>
    </row>
    <row r="79" spans="2:12" ht="15" customHeight="1" x14ac:dyDescent="0.25">
      <c r="B79" s="55" t="s">
        <v>279</v>
      </c>
      <c r="C79" s="46">
        <v>67</v>
      </c>
      <c r="D79" s="69" t="s">
        <v>29416</v>
      </c>
      <c r="E79" s="51"/>
      <c r="F79" s="114" t="str">
        <f>IF(INDEX(I.Facility.P1IDNumber,67)="","",INDEX(I.Facility.P1IDNumber,67))</f>
        <v/>
      </c>
      <c r="G79" s="51"/>
      <c r="H79" s="46" t="str">
        <f>IF(AND(I.Developer.P1=TRUE,I.Facility.P1FacilityCount&gt;=67,F79=""),"Incomplete","Complete")</f>
        <v>Complete</v>
      </c>
      <c r="I79" s="48" t="s">
        <v>4444</v>
      </c>
      <c r="K79" s="81" t="s">
        <v>585</v>
      </c>
      <c r="L79" s="84" t="s">
        <v>29698</v>
      </c>
    </row>
    <row r="80" spans="2:12" ht="15" customHeight="1" x14ac:dyDescent="0.25">
      <c r="B80" s="55" t="s">
        <v>279</v>
      </c>
      <c r="C80" s="46">
        <v>68</v>
      </c>
      <c r="D80" s="69" t="s">
        <v>29416</v>
      </c>
      <c r="E80" s="51"/>
      <c r="F80" s="114" t="str">
        <f>IF(INDEX(I.Facility.P1IDNumber,68)="","",INDEX(I.Facility.P1IDNumber,68))</f>
        <v/>
      </c>
      <c r="G80" s="51"/>
      <c r="H80" s="46" t="str">
        <f>IF(AND(I.Developer.P1=TRUE,I.Facility.P1FacilityCount&gt;=68,F80=""),"Incomplete","Complete")</f>
        <v>Complete</v>
      </c>
      <c r="I80" s="48" t="s">
        <v>4445</v>
      </c>
      <c r="K80" s="55" t="s">
        <v>586</v>
      </c>
      <c r="L80" s="84" t="s">
        <v>29699</v>
      </c>
    </row>
    <row r="81" spans="2:12" ht="15" customHeight="1" x14ac:dyDescent="0.25">
      <c r="B81" s="55" t="s">
        <v>279</v>
      </c>
      <c r="C81" s="46">
        <v>69</v>
      </c>
      <c r="D81" s="69" t="s">
        <v>29416</v>
      </c>
      <c r="E81" s="51"/>
      <c r="F81" s="114" t="str">
        <f>IF(INDEX(I.Facility.P1IDNumber,69)="","",INDEX(I.Facility.P1IDNumber,69))</f>
        <v/>
      </c>
      <c r="G81" s="51"/>
      <c r="H81" s="46" t="str">
        <f>IF(AND(I.Developer.P1=TRUE,I.Facility.P1FacilityCount&gt;=69,F81=""),"Incomplete","Complete")</f>
        <v>Complete</v>
      </c>
      <c r="I81" s="48" t="s">
        <v>4446</v>
      </c>
      <c r="K81" s="55" t="s">
        <v>587</v>
      </c>
      <c r="L81" s="84" t="s">
        <v>29700</v>
      </c>
    </row>
    <row r="82" spans="2:12" ht="15" customHeight="1" x14ac:dyDescent="0.25">
      <c r="B82" s="55" t="s">
        <v>279</v>
      </c>
      <c r="C82" s="46">
        <v>70</v>
      </c>
      <c r="D82" s="69" t="s">
        <v>29416</v>
      </c>
      <c r="E82" s="51"/>
      <c r="F82" s="114" t="str">
        <f>IF(INDEX(I.Facility.P1IDNumber,70)="","",INDEX(I.Facility.P1IDNumber,70))</f>
        <v/>
      </c>
      <c r="G82" s="51"/>
      <c r="H82" s="46" t="str">
        <f>IF(AND(I.Developer.P1=TRUE,I.Facility.P1FacilityCount&gt;=70,F82=""),"Incomplete","Complete")</f>
        <v>Complete</v>
      </c>
      <c r="I82" s="48" t="s">
        <v>4447</v>
      </c>
      <c r="K82" s="55" t="s">
        <v>588</v>
      </c>
      <c r="L82" s="84" t="s">
        <v>29701</v>
      </c>
    </row>
    <row r="83" spans="2:12" ht="15" customHeight="1" x14ac:dyDescent="0.25">
      <c r="B83" s="55" t="s">
        <v>279</v>
      </c>
      <c r="C83" s="46">
        <v>71</v>
      </c>
      <c r="D83" s="69" t="s">
        <v>29416</v>
      </c>
      <c r="E83" s="51"/>
      <c r="F83" s="114" t="str">
        <f>IF(INDEX(I.Facility.P1IDNumber,71)="","",INDEX(I.Facility.P1IDNumber,71))</f>
        <v/>
      </c>
      <c r="G83" s="51"/>
      <c r="H83" s="46" t="str">
        <f>IF(AND(I.Developer.P1=TRUE,I.Facility.P1FacilityCount&gt;=71,F83=""),"Incomplete","Complete")</f>
        <v>Complete</v>
      </c>
      <c r="I83" s="48" t="s">
        <v>4448</v>
      </c>
      <c r="K83" s="55" t="s">
        <v>589</v>
      </c>
      <c r="L83" s="84" t="s">
        <v>29702</v>
      </c>
    </row>
    <row r="84" spans="2:12" ht="15" customHeight="1" x14ac:dyDescent="0.25">
      <c r="B84" s="55" t="s">
        <v>279</v>
      </c>
      <c r="C84" s="46">
        <v>72</v>
      </c>
      <c r="D84" s="69" t="s">
        <v>29416</v>
      </c>
      <c r="E84" s="51"/>
      <c r="F84" s="114" t="str">
        <f>IF(INDEX(I.Facility.P1IDNumber,72)="","",INDEX(I.Facility.P1IDNumber,72))</f>
        <v/>
      </c>
      <c r="G84" s="51"/>
      <c r="H84" s="46" t="str">
        <f>IF(AND(I.Developer.P1=TRUE,I.Facility.P1FacilityCount&gt;=72,F84=""),"Incomplete","Complete")</f>
        <v>Complete</v>
      </c>
      <c r="I84" s="48" t="s">
        <v>4449</v>
      </c>
      <c r="K84" s="55" t="s">
        <v>590</v>
      </c>
      <c r="L84" s="84" t="s">
        <v>29703</v>
      </c>
    </row>
    <row r="85" spans="2:12" ht="15" customHeight="1" x14ac:dyDescent="0.25">
      <c r="B85" s="55" t="s">
        <v>279</v>
      </c>
      <c r="C85" s="46">
        <v>73</v>
      </c>
      <c r="D85" s="69" t="s">
        <v>29416</v>
      </c>
      <c r="E85" s="51"/>
      <c r="F85" s="114" t="str">
        <f>IF(INDEX(I.Facility.P1IDNumber,73)="","",INDEX(I.Facility.P1IDNumber,73))</f>
        <v/>
      </c>
      <c r="G85" s="51"/>
      <c r="H85" s="46" t="str">
        <f>IF(AND(I.Developer.P1=TRUE,I.Facility.P1FacilityCount&gt;=73,F85=""),"Incomplete","Complete")</f>
        <v>Complete</v>
      </c>
      <c r="I85" s="48" t="s">
        <v>4450</v>
      </c>
      <c r="K85" s="55" t="s">
        <v>591</v>
      </c>
      <c r="L85" s="84" t="s">
        <v>29704</v>
      </c>
    </row>
    <row r="86" spans="2:12" ht="15" customHeight="1" x14ac:dyDescent="0.25">
      <c r="B86" s="55" t="s">
        <v>279</v>
      </c>
      <c r="C86" s="46">
        <v>74</v>
      </c>
      <c r="D86" s="69" t="s">
        <v>29416</v>
      </c>
      <c r="E86" s="51"/>
      <c r="F86" s="114" t="str">
        <f>IF(INDEX(I.Facility.P1IDNumber,74)="","",INDEX(I.Facility.P1IDNumber,74))</f>
        <v/>
      </c>
      <c r="G86" s="51"/>
      <c r="H86" s="46" t="str">
        <f>IF(AND(I.Developer.P1=TRUE,I.Facility.P1FacilityCount&gt;=74,F86=""),"Incomplete","Complete")</f>
        <v>Complete</v>
      </c>
      <c r="I86" s="48" t="s">
        <v>4451</v>
      </c>
      <c r="K86" s="55" t="s">
        <v>592</v>
      </c>
      <c r="L86" s="84" t="s">
        <v>29705</v>
      </c>
    </row>
    <row r="87" spans="2:12" ht="15" customHeight="1" x14ac:dyDescent="0.25">
      <c r="B87" s="55" t="s">
        <v>279</v>
      </c>
      <c r="C87" s="46">
        <v>75</v>
      </c>
      <c r="D87" s="69" t="s">
        <v>29416</v>
      </c>
      <c r="E87" s="51"/>
      <c r="F87" s="114" t="str">
        <f>IF(INDEX(I.Facility.P1IDNumber,75)="","",INDEX(I.Facility.P1IDNumber,75))</f>
        <v/>
      </c>
      <c r="G87" s="51"/>
      <c r="H87" s="46" t="str">
        <f>IF(AND(I.Developer.P1=TRUE,I.Facility.P1FacilityCount&gt;=75,F87=""),"Incomplete","Complete")</f>
        <v>Complete</v>
      </c>
      <c r="I87" s="48" t="s">
        <v>4452</v>
      </c>
      <c r="K87" s="55" t="s">
        <v>593</v>
      </c>
      <c r="L87" s="84" t="s">
        <v>29706</v>
      </c>
    </row>
    <row r="88" spans="2:12" ht="15" customHeight="1" x14ac:dyDescent="0.25">
      <c r="B88" s="55" t="s">
        <v>279</v>
      </c>
      <c r="C88" s="46">
        <v>76</v>
      </c>
      <c r="D88" s="69" t="s">
        <v>29416</v>
      </c>
      <c r="E88" s="51"/>
      <c r="F88" s="114" t="str">
        <f>IF(INDEX(I.Facility.P1IDNumber,76)="","",INDEX(I.Facility.P1IDNumber,76))</f>
        <v/>
      </c>
      <c r="G88" s="51"/>
      <c r="H88" s="46" t="str">
        <f>IF(AND(I.Developer.P1=TRUE,I.Facility.P1FacilityCount&gt;=76,F88=""),"Incomplete","Complete")</f>
        <v>Complete</v>
      </c>
      <c r="I88" s="48" t="s">
        <v>4453</v>
      </c>
      <c r="K88" s="80" t="s">
        <v>594</v>
      </c>
      <c r="L88" s="85" t="s">
        <v>29707</v>
      </c>
    </row>
    <row r="89" spans="2:12" ht="15" customHeight="1" x14ac:dyDescent="0.25">
      <c r="B89" s="55" t="s">
        <v>279</v>
      </c>
      <c r="C89" s="46">
        <v>77</v>
      </c>
      <c r="D89" s="69" t="s">
        <v>29416</v>
      </c>
      <c r="E89" s="51"/>
      <c r="F89" s="114" t="str">
        <f>IF(INDEX(I.Facility.P1IDNumber,77)="","",INDEX(I.Facility.P1IDNumber,77))</f>
        <v/>
      </c>
      <c r="G89" s="51"/>
      <c r="H89" s="46" t="str">
        <f>IF(AND(I.Developer.P1=TRUE,I.Facility.P1FacilityCount&gt;=77,F89=""),"Incomplete","Complete")</f>
        <v>Complete</v>
      </c>
      <c r="I89" s="48" t="s">
        <v>4454</v>
      </c>
      <c r="K89" s="81" t="s">
        <v>595</v>
      </c>
      <c r="L89" s="84" t="s">
        <v>29708</v>
      </c>
    </row>
    <row r="90" spans="2:12" ht="15" customHeight="1" x14ac:dyDescent="0.25">
      <c r="B90" s="55" t="s">
        <v>279</v>
      </c>
      <c r="C90" s="46">
        <v>78</v>
      </c>
      <c r="D90" s="69" t="s">
        <v>29416</v>
      </c>
      <c r="E90" s="51"/>
      <c r="F90" s="114" t="str">
        <f>IF(INDEX(I.Facility.P1IDNumber,78)="","",INDEX(I.Facility.P1IDNumber,78))</f>
        <v/>
      </c>
      <c r="G90" s="51"/>
      <c r="H90" s="46" t="str">
        <f>IF(AND(I.Developer.P1=TRUE,I.Facility.P1FacilityCount&gt;=78,F90=""),"Incomplete","Complete")</f>
        <v>Complete</v>
      </c>
      <c r="I90" s="48" t="s">
        <v>4455</v>
      </c>
      <c r="K90" s="55" t="s">
        <v>4309</v>
      </c>
      <c r="L90" s="84" t="s">
        <v>29709</v>
      </c>
    </row>
    <row r="91" spans="2:12" ht="15" customHeight="1" x14ac:dyDescent="0.25">
      <c r="B91" s="55" t="s">
        <v>279</v>
      </c>
      <c r="C91" s="46">
        <v>79</v>
      </c>
      <c r="D91" s="69" t="s">
        <v>29416</v>
      </c>
      <c r="E91" s="51"/>
      <c r="F91" s="114" t="str">
        <f>IF(INDEX(I.Facility.P1IDNumber,79)="","",INDEX(I.Facility.P1IDNumber,79))</f>
        <v/>
      </c>
      <c r="G91" s="51"/>
      <c r="H91" s="46" t="str">
        <f>IF(AND(I.Developer.P1=TRUE,I.Facility.P1FacilityCount&gt;=79,F91=""),"Incomplete","Complete")</f>
        <v>Complete</v>
      </c>
      <c r="I91" s="48" t="s">
        <v>4456</v>
      </c>
      <c r="K91" s="55" t="s">
        <v>596</v>
      </c>
      <c r="L91" s="84" t="s">
        <v>29727</v>
      </c>
    </row>
    <row r="92" spans="2:12" ht="15" customHeight="1" x14ac:dyDescent="0.25">
      <c r="B92" s="55" t="s">
        <v>279</v>
      </c>
      <c r="C92" s="46">
        <v>80</v>
      </c>
      <c r="D92" s="69" t="s">
        <v>29416</v>
      </c>
      <c r="E92" s="51"/>
      <c r="F92" s="114" t="str">
        <f>IF(INDEX(I.Facility.P1IDNumber,80)="","",INDEX(I.Facility.P1IDNumber,80))</f>
        <v/>
      </c>
      <c r="G92" s="51"/>
      <c r="H92" s="46" t="str">
        <f>IF(AND(I.Developer.P1=TRUE,I.Facility.P1FacilityCount&gt;=80,F92=""),"Incomplete","Complete")</f>
        <v>Complete</v>
      </c>
      <c r="I92" s="48" t="s">
        <v>4457</v>
      </c>
      <c r="K92" s="82" t="s">
        <v>597</v>
      </c>
      <c r="L92" s="86" t="s">
        <v>29728</v>
      </c>
    </row>
    <row r="93" spans="2:12" ht="15" customHeight="1" x14ac:dyDescent="0.25">
      <c r="B93" s="55" t="s">
        <v>279</v>
      </c>
      <c r="C93" s="46">
        <v>81</v>
      </c>
      <c r="D93" s="69" t="s">
        <v>29416</v>
      </c>
      <c r="E93" s="51"/>
      <c r="F93" s="114" t="str">
        <f>IF(INDEX(I.Facility.P1IDNumber,81)="","",INDEX(I.Facility.P1IDNumber,81))</f>
        <v/>
      </c>
      <c r="G93" s="51"/>
      <c r="H93" s="46" t="str">
        <f>IF(AND(I.Developer.P1=TRUE,I.Facility.P1FacilityCount&gt;=81,F93=""),"Incomplete","Complete")</f>
        <v>Complete</v>
      </c>
      <c r="I93" s="48" t="s">
        <v>4458</v>
      </c>
    </row>
    <row r="94" spans="2:12" ht="15" customHeight="1" x14ac:dyDescent="0.25">
      <c r="B94" s="55" t="s">
        <v>279</v>
      </c>
      <c r="C94" s="46">
        <v>82</v>
      </c>
      <c r="D94" s="69" t="s">
        <v>29416</v>
      </c>
      <c r="E94" s="51"/>
      <c r="F94" s="114" t="str">
        <f>IF(INDEX(I.Facility.P1IDNumber,82)="","",INDEX(I.Facility.P1IDNumber,82))</f>
        <v/>
      </c>
      <c r="G94" s="51"/>
      <c r="H94" s="46" t="str">
        <f>IF(AND(I.Developer.P1=TRUE,I.Facility.P1FacilityCount&gt;=82,F94=""),"Incomplete","Complete")</f>
        <v>Complete</v>
      </c>
      <c r="I94" s="48" t="s">
        <v>4459</v>
      </c>
    </row>
    <row r="95" spans="2:12" ht="15" customHeight="1" x14ac:dyDescent="0.25">
      <c r="B95" s="55" t="s">
        <v>279</v>
      </c>
      <c r="C95" s="46">
        <v>83</v>
      </c>
      <c r="D95" s="69" t="s">
        <v>29416</v>
      </c>
      <c r="E95" s="51"/>
      <c r="F95" s="114" t="str">
        <f>IF(INDEX(I.Facility.P1IDNumber,83)="","",INDEX(I.Facility.P1IDNumber,83))</f>
        <v/>
      </c>
      <c r="G95" s="51"/>
      <c r="H95" s="46" t="str">
        <f>IF(AND(I.Developer.P1=TRUE,I.Facility.P1FacilityCount&gt;=83,F95=""),"Incomplete","Complete")</f>
        <v>Complete</v>
      </c>
      <c r="I95" s="48" t="s">
        <v>4460</v>
      </c>
    </row>
    <row r="96" spans="2:12" ht="15" customHeight="1" x14ac:dyDescent="0.25">
      <c r="B96" s="55" t="s">
        <v>279</v>
      </c>
      <c r="C96" s="46">
        <v>84</v>
      </c>
      <c r="D96" s="69" t="s">
        <v>29416</v>
      </c>
      <c r="E96" s="51"/>
      <c r="F96" s="114" t="str">
        <f>IF(INDEX(I.Facility.P1IDNumber,84)="","",INDEX(I.Facility.P1IDNumber,84))</f>
        <v/>
      </c>
      <c r="G96" s="51"/>
      <c r="H96" s="46" t="str">
        <f>IF(AND(I.Developer.P1=TRUE,I.Facility.P1FacilityCount&gt;=84,F96=""),"Incomplete","Complete")</f>
        <v>Complete</v>
      </c>
      <c r="I96" s="48" t="s">
        <v>4461</v>
      </c>
    </row>
    <row r="97" spans="2:9" ht="15" customHeight="1" x14ac:dyDescent="0.25">
      <c r="B97" s="55" t="s">
        <v>279</v>
      </c>
      <c r="C97" s="46">
        <v>85</v>
      </c>
      <c r="D97" s="69" t="s">
        <v>29416</v>
      </c>
      <c r="E97" s="51"/>
      <c r="F97" s="114" t="str">
        <f>IF(INDEX(I.Facility.P1IDNumber,85)="","",INDEX(I.Facility.P1IDNumber,85))</f>
        <v/>
      </c>
      <c r="G97" s="51"/>
      <c r="H97" s="46" t="str">
        <f>IF(AND(I.Developer.P1=TRUE,I.Facility.P1FacilityCount&gt;=85,F97=""),"Incomplete","Complete")</f>
        <v>Complete</v>
      </c>
      <c r="I97" s="48" t="s">
        <v>4462</v>
      </c>
    </row>
    <row r="98" spans="2:9" ht="15" customHeight="1" x14ac:dyDescent="0.25">
      <c r="B98" s="55" t="s">
        <v>279</v>
      </c>
      <c r="C98" s="46">
        <v>86</v>
      </c>
      <c r="D98" s="69" t="s">
        <v>29416</v>
      </c>
      <c r="E98" s="51"/>
      <c r="F98" s="114" t="str">
        <f>IF(INDEX(I.Facility.P1IDNumber,86)="","",INDEX(I.Facility.P1IDNumber,86))</f>
        <v/>
      </c>
      <c r="G98" s="51"/>
      <c r="H98" s="46" t="str">
        <f>IF(AND(I.Developer.P1=TRUE,I.Facility.P1FacilityCount&gt;=86,F98=""),"Incomplete","Complete")</f>
        <v>Complete</v>
      </c>
      <c r="I98" s="48" t="s">
        <v>4463</v>
      </c>
    </row>
    <row r="99" spans="2:9" ht="15" customHeight="1" x14ac:dyDescent="0.25">
      <c r="B99" s="55" t="s">
        <v>279</v>
      </c>
      <c r="C99" s="46">
        <v>87</v>
      </c>
      <c r="D99" s="69" t="s">
        <v>29416</v>
      </c>
      <c r="E99" s="51"/>
      <c r="F99" s="114" t="str">
        <f>IF(INDEX(I.Facility.P1IDNumber,87)="","",INDEX(I.Facility.P1IDNumber,87))</f>
        <v/>
      </c>
      <c r="G99" s="51"/>
      <c r="H99" s="46" t="str">
        <f>IF(AND(I.Developer.P1=TRUE,I.Facility.P1FacilityCount&gt;=87,F99=""),"Incomplete","Complete")</f>
        <v>Complete</v>
      </c>
      <c r="I99" s="48" t="s">
        <v>4464</v>
      </c>
    </row>
    <row r="100" spans="2:9" ht="15" customHeight="1" x14ac:dyDescent="0.25">
      <c r="B100" s="55" t="s">
        <v>279</v>
      </c>
      <c r="C100" s="46">
        <v>88</v>
      </c>
      <c r="D100" s="69" t="s">
        <v>29416</v>
      </c>
      <c r="E100" s="51"/>
      <c r="F100" s="114" t="str">
        <f>IF(INDEX(I.Facility.P1IDNumber,88)="","",INDEX(I.Facility.P1IDNumber,88))</f>
        <v/>
      </c>
      <c r="G100" s="51"/>
      <c r="H100" s="46" t="str">
        <f>IF(AND(I.Developer.P1=TRUE,I.Facility.P1FacilityCount&gt;=88,F100=""),"Incomplete","Complete")</f>
        <v>Complete</v>
      </c>
      <c r="I100" s="48" t="s">
        <v>4465</v>
      </c>
    </row>
    <row r="101" spans="2:9" ht="15" customHeight="1" x14ac:dyDescent="0.25">
      <c r="B101" s="55" t="s">
        <v>279</v>
      </c>
      <c r="C101" s="46">
        <v>89</v>
      </c>
      <c r="D101" s="69" t="s">
        <v>29416</v>
      </c>
      <c r="E101" s="51"/>
      <c r="F101" s="114" t="str">
        <f>IF(INDEX(I.Facility.P1IDNumber,89)="","",INDEX(I.Facility.P1IDNumber,89))</f>
        <v/>
      </c>
      <c r="G101" s="51"/>
      <c r="H101" s="46" t="str">
        <f>IF(AND(I.Developer.P1=TRUE,I.Facility.P1FacilityCount&gt;=89,F101=""),"Incomplete","Complete")</f>
        <v>Complete</v>
      </c>
      <c r="I101" s="48" t="s">
        <v>4466</v>
      </c>
    </row>
    <row r="102" spans="2:9" ht="15" customHeight="1" x14ac:dyDescent="0.25">
      <c r="B102" s="55" t="s">
        <v>279</v>
      </c>
      <c r="C102" s="46">
        <v>90</v>
      </c>
      <c r="D102" s="69" t="s">
        <v>29416</v>
      </c>
      <c r="E102" s="51"/>
      <c r="F102" s="114" t="str">
        <f>IF(INDEX(I.Facility.P1IDNumber,90)="","",INDEX(I.Facility.P1IDNumber,90))</f>
        <v/>
      </c>
      <c r="G102" s="51"/>
      <c r="H102" s="46" t="str">
        <f>IF(AND(I.Developer.P1=TRUE,I.Facility.P1FacilityCount&gt;=90,F102=""),"Incomplete","Complete")</f>
        <v>Complete</v>
      </c>
      <c r="I102" s="48" t="s">
        <v>4467</v>
      </c>
    </row>
    <row r="103" spans="2:9" ht="15" customHeight="1" x14ac:dyDescent="0.25">
      <c r="B103" s="55" t="s">
        <v>279</v>
      </c>
      <c r="C103" s="46">
        <v>91</v>
      </c>
      <c r="D103" s="69" t="s">
        <v>29416</v>
      </c>
      <c r="E103" s="51"/>
      <c r="F103" s="114" t="str">
        <f>IF(INDEX(I.Facility.P1IDNumber,91)="","",INDEX(I.Facility.P1IDNumber,91))</f>
        <v/>
      </c>
      <c r="G103" s="51"/>
      <c r="H103" s="46" t="str">
        <f>IF(AND(I.Developer.P1=TRUE,I.Facility.P1FacilityCount&gt;=91,F103=""),"Incomplete","Complete")</f>
        <v>Complete</v>
      </c>
      <c r="I103" s="48" t="s">
        <v>4468</v>
      </c>
    </row>
    <row r="104" spans="2:9" ht="15" customHeight="1" x14ac:dyDescent="0.25">
      <c r="B104" s="55" t="s">
        <v>279</v>
      </c>
      <c r="C104" s="46">
        <v>92</v>
      </c>
      <c r="D104" s="69" t="s">
        <v>29416</v>
      </c>
      <c r="E104" s="51"/>
      <c r="F104" s="114" t="str">
        <f>IF(INDEX(I.Facility.P1IDNumber,92)="","",INDEX(I.Facility.P1IDNumber,92))</f>
        <v/>
      </c>
      <c r="G104" s="51"/>
      <c r="H104" s="46" t="str">
        <f>IF(AND(I.Developer.P1=TRUE,I.Facility.P1FacilityCount&gt;=92,F104=""),"Incomplete","Complete")</f>
        <v>Complete</v>
      </c>
      <c r="I104" s="48" t="s">
        <v>4469</v>
      </c>
    </row>
    <row r="105" spans="2:9" ht="15" customHeight="1" x14ac:dyDescent="0.25">
      <c r="B105" s="55" t="s">
        <v>279</v>
      </c>
      <c r="C105" s="46">
        <v>93</v>
      </c>
      <c r="D105" s="69" t="s">
        <v>29416</v>
      </c>
      <c r="E105" s="51"/>
      <c r="F105" s="114" t="str">
        <f>IF(INDEX(I.Facility.P1IDNumber,93)="","",INDEX(I.Facility.P1IDNumber,93))</f>
        <v/>
      </c>
      <c r="G105" s="51"/>
      <c r="H105" s="46" t="str">
        <f>IF(AND(I.Developer.P1=TRUE,I.Facility.P1FacilityCount&gt;=93,F105=""),"Incomplete","Complete")</f>
        <v>Complete</v>
      </c>
      <c r="I105" s="48" t="s">
        <v>4470</v>
      </c>
    </row>
    <row r="106" spans="2:9" ht="15" customHeight="1" x14ac:dyDescent="0.25">
      <c r="B106" s="55" t="s">
        <v>279</v>
      </c>
      <c r="C106" s="46">
        <v>94</v>
      </c>
      <c r="D106" s="69" t="s">
        <v>29416</v>
      </c>
      <c r="E106" s="51"/>
      <c r="F106" s="114" t="str">
        <f>IF(INDEX(I.Facility.P1IDNumber,94)="","",INDEX(I.Facility.P1IDNumber,94))</f>
        <v/>
      </c>
      <c r="G106" s="51"/>
      <c r="H106" s="46" t="str">
        <f>IF(AND(I.Developer.P1=TRUE,I.Facility.P1FacilityCount&gt;=94,F106=""),"Incomplete","Complete")</f>
        <v>Complete</v>
      </c>
      <c r="I106" s="48" t="s">
        <v>4471</v>
      </c>
    </row>
    <row r="107" spans="2:9" ht="15" customHeight="1" x14ac:dyDescent="0.25">
      <c r="B107" s="55" t="s">
        <v>279</v>
      </c>
      <c r="C107" s="46">
        <v>95</v>
      </c>
      <c r="D107" s="69" t="s">
        <v>29416</v>
      </c>
      <c r="E107" s="51"/>
      <c r="F107" s="114" t="str">
        <f>IF(INDEX(I.Facility.P1IDNumber,95)="","",INDEX(I.Facility.P1IDNumber,95))</f>
        <v/>
      </c>
      <c r="G107" s="51"/>
      <c r="H107" s="46" t="str">
        <f>IF(AND(I.Developer.P1=TRUE,I.Facility.P1FacilityCount&gt;=95,F107=""),"Incomplete","Complete")</f>
        <v>Complete</v>
      </c>
      <c r="I107" s="48" t="s">
        <v>4472</v>
      </c>
    </row>
    <row r="108" spans="2:9" ht="15" customHeight="1" x14ac:dyDescent="0.25">
      <c r="B108" s="55" t="s">
        <v>279</v>
      </c>
      <c r="C108" s="46">
        <v>96</v>
      </c>
      <c r="D108" s="69" t="s">
        <v>29416</v>
      </c>
      <c r="E108" s="51"/>
      <c r="F108" s="114" t="str">
        <f>IF(INDEX(I.Facility.P1IDNumber,96)="","",INDEX(I.Facility.P1IDNumber,96))</f>
        <v/>
      </c>
      <c r="G108" s="51"/>
      <c r="H108" s="46" t="str">
        <f>IF(AND(I.Developer.P1=TRUE,I.Facility.P1FacilityCount&gt;=96,F108=""),"Incomplete","Complete")</f>
        <v>Complete</v>
      </c>
      <c r="I108" s="48" t="s">
        <v>4473</v>
      </c>
    </row>
    <row r="109" spans="2:9" ht="15" customHeight="1" x14ac:dyDescent="0.25">
      <c r="B109" s="55" t="s">
        <v>279</v>
      </c>
      <c r="C109" s="46">
        <v>97</v>
      </c>
      <c r="D109" s="69" t="s">
        <v>29416</v>
      </c>
      <c r="E109" s="51"/>
      <c r="F109" s="114" t="str">
        <f>IF(INDEX(I.Facility.P1IDNumber,97)="","",INDEX(I.Facility.P1IDNumber,97))</f>
        <v/>
      </c>
      <c r="G109" s="51"/>
      <c r="H109" s="46" t="str">
        <f>IF(AND(I.Developer.P1=TRUE,I.Facility.P1FacilityCount&gt;=97,F109=""),"Incomplete","Complete")</f>
        <v>Complete</v>
      </c>
      <c r="I109" s="48" t="s">
        <v>4474</v>
      </c>
    </row>
    <row r="110" spans="2:9" ht="15" customHeight="1" x14ac:dyDescent="0.25">
      <c r="B110" s="55" t="s">
        <v>279</v>
      </c>
      <c r="C110" s="46">
        <v>98</v>
      </c>
      <c r="D110" s="69" t="s">
        <v>29416</v>
      </c>
      <c r="E110" s="51"/>
      <c r="F110" s="114" t="str">
        <f>IF(INDEX(I.Facility.P1IDNumber,98)="","",INDEX(I.Facility.P1IDNumber,98))</f>
        <v/>
      </c>
      <c r="G110" s="51"/>
      <c r="H110" s="46" t="str">
        <f>IF(AND(I.Developer.P1=TRUE,I.Facility.P1FacilityCount&gt;=98,F110=""),"Incomplete","Complete")</f>
        <v>Complete</v>
      </c>
      <c r="I110" s="48" t="s">
        <v>4475</v>
      </c>
    </row>
    <row r="111" spans="2:9" ht="15" customHeight="1" x14ac:dyDescent="0.25">
      <c r="B111" s="55" t="s">
        <v>279</v>
      </c>
      <c r="C111" s="46">
        <v>99</v>
      </c>
      <c r="D111" s="69" t="s">
        <v>29416</v>
      </c>
      <c r="E111" s="51"/>
      <c r="F111" s="114" t="str">
        <f>IF(INDEX(I.Facility.P1IDNumber,99)="","",INDEX(I.Facility.P1IDNumber,99))</f>
        <v/>
      </c>
      <c r="G111" s="51"/>
      <c r="H111" s="46" t="str">
        <f>IF(AND(I.Developer.P1=TRUE,I.Facility.P1FacilityCount&gt;=99,F111=""),"Incomplete","Complete")</f>
        <v>Complete</v>
      </c>
      <c r="I111" s="48" t="s">
        <v>4476</v>
      </c>
    </row>
    <row r="112" spans="2:9" ht="15" customHeight="1" x14ac:dyDescent="0.25">
      <c r="B112" s="55" t="s">
        <v>279</v>
      </c>
      <c r="C112" s="46">
        <v>100</v>
      </c>
      <c r="D112" s="69" t="s">
        <v>29416</v>
      </c>
      <c r="E112" s="51"/>
      <c r="F112" s="114" t="str">
        <f>IF(INDEX(I.Facility.P1IDNumber,100)="","",INDEX(I.Facility.P1IDNumber,100))</f>
        <v/>
      </c>
      <c r="G112" s="51"/>
      <c r="H112" s="46" t="str">
        <f>IF(AND(I.Developer.P1=TRUE,I.Facility.P1FacilityCount&gt;=100,F112=""),"Incomplete","Complete")</f>
        <v>Complete</v>
      </c>
      <c r="I112" s="48" t="s">
        <v>4477</v>
      </c>
    </row>
    <row r="113" spans="2:9" ht="15" customHeight="1" x14ac:dyDescent="0.25">
      <c r="B113" s="55" t="s">
        <v>279</v>
      </c>
      <c r="C113" s="46">
        <v>101</v>
      </c>
      <c r="D113" s="69" t="s">
        <v>29416</v>
      </c>
      <c r="E113" s="51"/>
      <c r="F113" s="114" t="str">
        <f>IF(INDEX(I.Facility.P1IDNumber,101)="","",INDEX(I.Facility.P1IDNumber,101))</f>
        <v/>
      </c>
      <c r="G113" s="51"/>
      <c r="H113" s="46" t="str">
        <f>IF(AND(I.Developer.P1=TRUE,I.Facility.P1FacilityCount&gt;=101,F113=""),"Incomplete","Complete")</f>
        <v>Complete</v>
      </c>
      <c r="I113" s="48" t="s">
        <v>4478</v>
      </c>
    </row>
    <row r="114" spans="2:9" ht="15" customHeight="1" x14ac:dyDescent="0.25">
      <c r="B114" s="55" t="s">
        <v>279</v>
      </c>
      <c r="C114" s="46">
        <v>102</v>
      </c>
      <c r="D114" s="69" t="s">
        <v>29416</v>
      </c>
      <c r="E114" s="51"/>
      <c r="F114" s="114" t="str">
        <f>IF(INDEX(I.Facility.P1IDNumber,102)="","",INDEX(I.Facility.P1IDNumber,102))</f>
        <v/>
      </c>
      <c r="G114" s="51"/>
      <c r="H114" s="46" t="str">
        <f>IF(AND(I.Developer.P1=TRUE,I.Facility.P1FacilityCount&gt;=102,F114=""),"Incomplete","Complete")</f>
        <v>Complete</v>
      </c>
      <c r="I114" s="48" t="s">
        <v>4479</v>
      </c>
    </row>
    <row r="115" spans="2:9" ht="15" customHeight="1" x14ac:dyDescent="0.25">
      <c r="B115" s="55" t="s">
        <v>279</v>
      </c>
      <c r="C115" s="46">
        <v>103</v>
      </c>
      <c r="D115" s="69" t="s">
        <v>29416</v>
      </c>
      <c r="E115" s="51"/>
      <c r="F115" s="114" t="str">
        <f>IF(INDEX(I.Facility.P1IDNumber,103)="","",INDEX(I.Facility.P1IDNumber,103))</f>
        <v/>
      </c>
      <c r="G115" s="51"/>
      <c r="H115" s="46" t="str">
        <f>IF(AND(I.Developer.P1=TRUE,I.Facility.P1FacilityCount&gt;=103,F115=""),"Incomplete","Complete")</f>
        <v>Complete</v>
      </c>
      <c r="I115" s="48" t="s">
        <v>4480</v>
      </c>
    </row>
    <row r="116" spans="2:9" ht="15" customHeight="1" x14ac:dyDescent="0.25">
      <c r="B116" s="55" t="s">
        <v>279</v>
      </c>
      <c r="C116" s="46">
        <v>104</v>
      </c>
      <c r="D116" s="69" t="s">
        <v>29416</v>
      </c>
      <c r="E116" s="51"/>
      <c r="F116" s="114" t="str">
        <f>IF(INDEX(I.Facility.P1IDNumber,104)="","",INDEX(I.Facility.P1IDNumber,104))</f>
        <v/>
      </c>
      <c r="G116" s="51"/>
      <c r="H116" s="46" t="str">
        <f>IF(AND(I.Developer.P1=TRUE,I.Facility.P1FacilityCount&gt;=104,F116=""),"Incomplete","Complete")</f>
        <v>Complete</v>
      </c>
      <c r="I116" s="48" t="s">
        <v>4481</v>
      </c>
    </row>
    <row r="117" spans="2:9" ht="15" customHeight="1" x14ac:dyDescent="0.25">
      <c r="B117" s="55" t="s">
        <v>279</v>
      </c>
      <c r="C117" s="46">
        <v>105</v>
      </c>
      <c r="D117" s="69" t="s">
        <v>29416</v>
      </c>
      <c r="E117" s="51"/>
      <c r="F117" s="114" t="str">
        <f>IF(INDEX(I.Facility.P1IDNumber,105)="","",INDEX(I.Facility.P1IDNumber,105))</f>
        <v/>
      </c>
      <c r="G117" s="51"/>
      <c r="H117" s="46" t="str">
        <f>IF(AND(I.Developer.P1=TRUE,I.Facility.P1FacilityCount&gt;=105,F117=""),"Incomplete","Complete")</f>
        <v>Complete</v>
      </c>
      <c r="I117" s="48" t="s">
        <v>4482</v>
      </c>
    </row>
    <row r="118" spans="2:9" ht="15" customHeight="1" x14ac:dyDescent="0.25">
      <c r="B118" s="55" t="s">
        <v>279</v>
      </c>
      <c r="C118" s="46">
        <v>106</v>
      </c>
      <c r="D118" s="69" t="s">
        <v>29416</v>
      </c>
      <c r="E118" s="51"/>
      <c r="F118" s="114" t="str">
        <f>IF(INDEX(I.Facility.P1IDNumber,106)="","",INDEX(I.Facility.P1IDNumber,106))</f>
        <v/>
      </c>
      <c r="G118" s="51"/>
      <c r="H118" s="46" t="str">
        <f>IF(AND(I.Developer.P1=TRUE,I.Facility.P1FacilityCount&gt;=106,F118=""),"Incomplete","Complete")</f>
        <v>Complete</v>
      </c>
      <c r="I118" s="48" t="s">
        <v>4483</v>
      </c>
    </row>
    <row r="119" spans="2:9" ht="15" customHeight="1" x14ac:dyDescent="0.25">
      <c r="B119" s="55" t="s">
        <v>279</v>
      </c>
      <c r="C119" s="46">
        <v>107</v>
      </c>
      <c r="D119" s="69" t="s">
        <v>29416</v>
      </c>
      <c r="E119" s="51"/>
      <c r="F119" s="114" t="str">
        <f>IF(INDEX(I.Facility.P1IDNumber,107)="","",INDEX(I.Facility.P1IDNumber,107))</f>
        <v/>
      </c>
      <c r="G119" s="51"/>
      <c r="H119" s="46" t="str">
        <f>IF(AND(I.Developer.P1=TRUE,I.Facility.P1FacilityCount&gt;=107,F119=""),"Incomplete","Complete")</f>
        <v>Complete</v>
      </c>
      <c r="I119" s="48" t="s">
        <v>4484</v>
      </c>
    </row>
    <row r="120" spans="2:9" ht="15" customHeight="1" x14ac:dyDescent="0.25">
      <c r="B120" s="55" t="s">
        <v>279</v>
      </c>
      <c r="C120" s="46">
        <v>108</v>
      </c>
      <c r="D120" s="69" t="s">
        <v>29416</v>
      </c>
      <c r="E120" s="51"/>
      <c r="F120" s="114" t="str">
        <f>IF(INDEX(I.Facility.P1IDNumber,108)="","",INDEX(I.Facility.P1IDNumber,108))</f>
        <v/>
      </c>
      <c r="G120" s="51"/>
      <c r="H120" s="46" t="str">
        <f>IF(AND(I.Developer.P1=TRUE,I.Facility.P1FacilityCount&gt;=108,F120=""),"Incomplete","Complete")</f>
        <v>Complete</v>
      </c>
      <c r="I120" s="48" t="s">
        <v>4485</v>
      </c>
    </row>
    <row r="121" spans="2:9" ht="15" customHeight="1" x14ac:dyDescent="0.25">
      <c r="B121" s="55" t="s">
        <v>279</v>
      </c>
      <c r="C121" s="46">
        <v>109</v>
      </c>
      <c r="D121" s="69" t="s">
        <v>29416</v>
      </c>
      <c r="E121" s="51"/>
      <c r="F121" s="114" t="str">
        <f>IF(INDEX(I.Facility.P1IDNumber,109)="","",INDEX(I.Facility.P1IDNumber,109))</f>
        <v/>
      </c>
      <c r="G121" s="51"/>
      <c r="H121" s="46" t="str">
        <f>IF(AND(I.Developer.P1=TRUE,I.Facility.P1FacilityCount&gt;=109,F121=""),"Incomplete","Complete")</f>
        <v>Complete</v>
      </c>
      <c r="I121" s="48" t="s">
        <v>4486</v>
      </c>
    </row>
    <row r="122" spans="2:9" ht="15" customHeight="1" x14ac:dyDescent="0.25">
      <c r="B122" s="55" t="s">
        <v>279</v>
      </c>
      <c r="C122" s="46">
        <v>110</v>
      </c>
      <c r="D122" s="69" t="s">
        <v>29416</v>
      </c>
      <c r="E122" s="51"/>
      <c r="F122" s="114" t="str">
        <f>IF(INDEX(I.Facility.P1IDNumber,110)="","",INDEX(I.Facility.P1IDNumber,110))</f>
        <v/>
      </c>
      <c r="G122" s="51"/>
      <c r="H122" s="46" t="str">
        <f>IF(AND(I.Developer.P1=TRUE,I.Facility.P1FacilityCount&gt;=110,F122=""),"Incomplete","Complete")</f>
        <v>Complete</v>
      </c>
      <c r="I122" s="48" t="s">
        <v>4487</v>
      </c>
    </row>
    <row r="123" spans="2:9" ht="15" customHeight="1" x14ac:dyDescent="0.25">
      <c r="B123" s="55" t="s">
        <v>279</v>
      </c>
      <c r="C123" s="46">
        <v>111</v>
      </c>
      <c r="D123" s="69" t="s">
        <v>29416</v>
      </c>
      <c r="E123" s="51"/>
      <c r="F123" s="114" t="str">
        <f>IF(INDEX(I.Facility.P1IDNumber,111)="","",INDEX(I.Facility.P1IDNumber,111))</f>
        <v/>
      </c>
      <c r="G123" s="51"/>
      <c r="H123" s="46" t="str">
        <f>IF(AND(I.Developer.P1=TRUE,I.Facility.P1FacilityCount&gt;=111,F123=""),"Incomplete","Complete")</f>
        <v>Complete</v>
      </c>
      <c r="I123" s="48" t="s">
        <v>4488</v>
      </c>
    </row>
    <row r="124" spans="2:9" ht="15" customHeight="1" x14ac:dyDescent="0.25">
      <c r="B124" s="55" t="s">
        <v>279</v>
      </c>
      <c r="C124" s="46">
        <v>112</v>
      </c>
      <c r="D124" s="69" t="s">
        <v>29416</v>
      </c>
      <c r="E124" s="51"/>
      <c r="F124" s="114" t="str">
        <f>IF(INDEX(I.Facility.P1IDNumber,112)="","",INDEX(I.Facility.P1IDNumber,112))</f>
        <v/>
      </c>
      <c r="G124" s="51"/>
      <c r="H124" s="46" t="str">
        <f>IF(AND(I.Developer.P1=TRUE,I.Facility.P1FacilityCount&gt;=112,F124=""),"Incomplete","Complete")</f>
        <v>Complete</v>
      </c>
      <c r="I124" s="48" t="s">
        <v>4489</v>
      </c>
    </row>
    <row r="125" spans="2:9" ht="15" customHeight="1" x14ac:dyDescent="0.25">
      <c r="B125" s="55" t="s">
        <v>279</v>
      </c>
      <c r="C125" s="46">
        <v>113</v>
      </c>
      <c r="D125" s="69" t="s">
        <v>29416</v>
      </c>
      <c r="E125" s="51"/>
      <c r="F125" s="114" t="str">
        <f>IF(INDEX(I.Facility.P1IDNumber,113)="","",INDEX(I.Facility.P1IDNumber,113))</f>
        <v/>
      </c>
      <c r="G125" s="51"/>
      <c r="H125" s="46" t="str">
        <f>IF(AND(I.Developer.P1=TRUE,I.Facility.P1FacilityCount&gt;=113,F125=""),"Incomplete","Complete")</f>
        <v>Complete</v>
      </c>
      <c r="I125" s="48" t="s">
        <v>4490</v>
      </c>
    </row>
    <row r="126" spans="2:9" ht="15" customHeight="1" x14ac:dyDescent="0.25">
      <c r="B126" s="55" t="s">
        <v>279</v>
      </c>
      <c r="C126" s="46">
        <v>114</v>
      </c>
      <c r="D126" s="69" t="s">
        <v>29416</v>
      </c>
      <c r="E126" s="51"/>
      <c r="F126" s="114" t="str">
        <f>IF(INDEX(I.Facility.P1IDNumber,114)="","",INDEX(I.Facility.P1IDNumber,114))</f>
        <v/>
      </c>
      <c r="G126" s="51"/>
      <c r="H126" s="46" t="str">
        <f>IF(AND(I.Developer.P1=TRUE,I.Facility.P1FacilityCount&gt;=114,F126=""),"Incomplete","Complete")</f>
        <v>Complete</v>
      </c>
      <c r="I126" s="48" t="s">
        <v>4491</v>
      </c>
    </row>
    <row r="127" spans="2:9" ht="15" customHeight="1" x14ac:dyDescent="0.25">
      <c r="B127" s="55" t="s">
        <v>279</v>
      </c>
      <c r="C127" s="46">
        <v>115</v>
      </c>
      <c r="D127" s="69" t="s">
        <v>29416</v>
      </c>
      <c r="E127" s="51"/>
      <c r="F127" s="114" t="str">
        <f>IF(INDEX(I.Facility.P1IDNumber,115)="","",INDEX(I.Facility.P1IDNumber,115))</f>
        <v/>
      </c>
      <c r="G127" s="51"/>
      <c r="H127" s="46" t="str">
        <f>IF(AND(I.Developer.P1=TRUE,I.Facility.P1FacilityCount&gt;=115,F127=""),"Incomplete","Complete")</f>
        <v>Complete</v>
      </c>
      <c r="I127" s="48" t="s">
        <v>4492</v>
      </c>
    </row>
    <row r="128" spans="2:9" ht="15" customHeight="1" x14ac:dyDescent="0.25">
      <c r="B128" s="55" t="s">
        <v>279</v>
      </c>
      <c r="C128" s="46">
        <v>116</v>
      </c>
      <c r="D128" s="69" t="s">
        <v>29416</v>
      </c>
      <c r="E128" s="51"/>
      <c r="F128" s="114" t="str">
        <f>IF(INDEX(I.Facility.P1IDNumber,116)="","",INDEX(I.Facility.P1IDNumber,116))</f>
        <v/>
      </c>
      <c r="G128" s="51"/>
      <c r="H128" s="46" t="str">
        <f>IF(AND(I.Developer.P1=TRUE,I.Facility.P1FacilityCount&gt;=116,F128=""),"Incomplete","Complete")</f>
        <v>Complete</v>
      </c>
      <c r="I128" s="48" t="s">
        <v>4493</v>
      </c>
    </row>
    <row r="129" spans="2:9" ht="15" customHeight="1" x14ac:dyDescent="0.25">
      <c r="B129" s="55" t="s">
        <v>279</v>
      </c>
      <c r="C129" s="46">
        <v>117</v>
      </c>
      <c r="D129" s="69" t="s">
        <v>29416</v>
      </c>
      <c r="E129" s="51"/>
      <c r="F129" s="114" t="str">
        <f>IF(INDEX(I.Facility.P1IDNumber,117)="","",INDEX(I.Facility.P1IDNumber,117))</f>
        <v/>
      </c>
      <c r="G129" s="51"/>
      <c r="H129" s="46" t="str">
        <f>IF(AND(I.Developer.P1=TRUE,I.Facility.P1FacilityCount&gt;=117,F129=""),"Incomplete","Complete")</f>
        <v>Complete</v>
      </c>
      <c r="I129" s="48" t="s">
        <v>4494</v>
      </c>
    </row>
    <row r="130" spans="2:9" ht="15" customHeight="1" x14ac:dyDescent="0.25">
      <c r="B130" s="55" t="s">
        <v>279</v>
      </c>
      <c r="C130" s="46">
        <v>118</v>
      </c>
      <c r="D130" s="69" t="s">
        <v>29416</v>
      </c>
      <c r="E130" s="51"/>
      <c r="F130" s="114" t="str">
        <f>IF(INDEX(I.Facility.P1IDNumber,118)="","",INDEX(I.Facility.P1IDNumber,118))</f>
        <v/>
      </c>
      <c r="G130" s="51"/>
      <c r="H130" s="46" t="str">
        <f>IF(AND(I.Developer.P1=TRUE,I.Facility.P1FacilityCount&gt;=118,F130=""),"Incomplete","Complete")</f>
        <v>Complete</v>
      </c>
      <c r="I130" s="48" t="s">
        <v>4495</v>
      </c>
    </row>
    <row r="131" spans="2:9" ht="15" customHeight="1" x14ac:dyDescent="0.25">
      <c r="B131" s="55" t="s">
        <v>279</v>
      </c>
      <c r="C131" s="46">
        <v>119</v>
      </c>
      <c r="D131" s="69" t="s">
        <v>29416</v>
      </c>
      <c r="E131" s="51"/>
      <c r="F131" s="114" t="str">
        <f>IF(INDEX(I.Facility.P1IDNumber,119)="","",INDEX(I.Facility.P1IDNumber,119))</f>
        <v/>
      </c>
      <c r="G131" s="51"/>
      <c r="H131" s="46" t="str">
        <f>IF(AND(I.Developer.P1=TRUE,I.Facility.P1FacilityCount&gt;=119,F131=""),"Incomplete","Complete")</f>
        <v>Complete</v>
      </c>
      <c r="I131" s="48" t="s">
        <v>4496</v>
      </c>
    </row>
    <row r="132" spans="2:9" ht="15" customHeight="1" x14ac:dyDescent="0.25">
      <c r="B132" s="55" t="s">
        <v>279</v>
      </c>
      <c r="C132" s="46">
        <v>120</v>
      </c>
      <c r="D132" s="69" t="s">
        <v>29416</v>
      </c>
      <c r="E132" s="51"/>
      <c r="F132" s="114" t="str">
        <f>IF(INDEX(I.Facility.P1IDNumber,120)="","",INDEX(I.Facility.P1IDNumber,120))</f>
        <v/>
      </c>
      <c r="G132" s="51"/>
      <c r="H132" s="46" t="str">
        <f>IF(AND(I.Developer.P1=TRUE,I.Facility.P1FacilityCount&gt;=120,F132=""),"Incomplete","Complete")</f>
        <v>Complete</v>
      </c>
      <c r="I132" s="48" t="s">
        <v>4497</v>
      </c>
    </row>
    <row r="133" spans="2:9" ht="15" customHeight="1" x14ac:dyDescent="0.25">
      <c r="B133" s="55" t="s">
        <v>279</v>
      </c>
      <c r="C133" s="46">
        <v>121</v>
      </c>
      <c r="D133" s="69" t="s">
        <v>29416</v>
      </c>
      <c r="E133" s="51"/>
      <c r="F133" s="114" t="str">
        <f>IF(INDEX(I.Facility.P1IDNumber,121)="","",INDEX(I.Facility.P1IDNumber,121))</f>
        <v/>
      </c>
      <c r="G133" s="51"/>
      <c r="H133" s="46" t="str">
        <f>IF(AND(I.Developer.P1=TRUE,I.Facility.P1FacilityCount&gt;=121,F133=""),"Incomplete","Complete")</f>
        <v>Complete</v>
      </c>
      <c r="I133" s="48" t="s">
        <v>4498</v>
      </c>
    </row>
    <row r="134" spans="2:9" ht="15" customHeight="1" x14ac:dyDescent="0.25">
      <c r="B134" s="55" t="s">
        <v>279</v>
      </c>
      <c r="C134" s="46">
        <v>122</v>
      </c>
      <c r="D134" s="69" t="s">
        <v>29416</v>
      </c>
      <c r="E134" s="51"/>
      <c r="F134" s="114" t="str">
        <f>IF(INDEX(I.Facility.P1IDNumber,122)="","",INDEX(I.Facility.P1IDNumber,122))</f>
        <v/>
      </c>
      <c r="G134" s="51"/>
      <c r="H134" s="46" t="str">
        <f>IF(AND(I.Developer.P1=TRUE,I.Facility.P1FacilityCount&gt;=122,F134=""),"Incomplete","Complete")</f>
        <v>Complete</v>
      </c>
      <c r="I134" s="48" t="s">
        <v>4499</v>
      </c>
    </row>
    <row r="135" spans="2:9" ht="15" customHeight="1" x14ac:dyDescent="0.25">
      <c r="B135" s="55" t="s">
        <v>279</v>
      </c>
      <c r="C135" s="46">
        <v>123</v>
      </c>
      <c r="D135" s="69" t="s">
        <v>29416</v>
      </c>
      <c r="E135" s="51"/>
      <c r="F135" s="114" t="str">
        <f>IF(INDEX(I.Facility.P1IDNumber,123)="","",INDEX(I.Facility.P1IDNumber,123))</f>
        <v/>
      </c>
      <c r="G135" s="51"/>
      <c r="H135" s="46" t="str">
        <f>IF(AND(I.Developer.P1=TRUE,I.Facility.P1FacilityCount&gt;=123,F135=""),"Incomplete","Complete")</f>
        <v>Complete</v>
      </c>
      <c r="I135" s="48" t="s">
        <v>4500</v>
      </c>
    </row>
    <row r="136" spans="2:9" ht="15" customHeight="1" x14ac:dyDescent="0.25">
      <c r="B136" s="55" t="s">
        <v>279</v>
      </c>
      <c r="C136" s="46">
        <v>124</v>
      </c>
      <c r="D136" s="69" t="s">
        <v>29416</v>
      </c>
      <c r="E136" s="51"/>
      <c r="F136" s="114" t="str">
        <f>IF(INDEX(I.Facility.P1IDNumber,124)="","",INDEX(I.Facility.P1IDNumber,124))</f>
        <v/>
      </c>
      <c r="G136" s="51"/>
      <c r="H136" s="46" t="str">
        <f>IF(AND(I.Developer.P1=TRUE,I.Facility.P1FacilityCount&gt;=124,F136=""),"Incomplete","Complete")</f>
        <v>Complete</v>
      </c>
      <c r="I136" s="48" t="s">
        <v>4501</v>
      </c>
    </row>
    <row r="137" spans="2:9" ht="15" customHeight="1" x14ac:dyDescent="0.25">
      <c r="B137" s="55" t="s">
        <v>279</v>
      </c>
      <c r="C137" s="46">
        <v>125</v>
      </c>
      <c r="D137" s="69" t="s">
        <v>29416</v>
      </c>
      <c r="E137" s="51"/>
      <c r="F137" s="114" t="str">
        <f>IF(INDEX(I.Facility.P1IDNumber,125)="","",INDEX(I.Facility.P1IDNumber,125))</f>
        <v/>
      </c>
      <c r="G137" s="51"/>
      <c r="H137" s="46" t="str">
        <f>IF(AND(I.Developer.P1=TRUE,I.Facility.P1FacilityCount&gt;=125,F137=""),"Incomplete","Complete")</f>
        <v>Complete</v>
      </c>
      <c r="I137" s="48" t="s">
        <v>4502</v>
      </c>
    </row>
    <row r="138" spans="2:9" ht="15" customHeight="1" x14ac:dyDescent="0.25">
      <c r="B138" s="55" t="s">
        <v>279</v>
      </c>
      <c r="C138" s="46">
        <v>126</v>
      </c>
      <c r="D138" s="69" t="s">
        <v>29416</v>
      </c>
      <c r="E138" s="51"/>
      <c r="F138" s="114" t="str">
        <f>IF(INDEX(I.Facility.P1IDNumber,126)="","",INDEX(I.Facility.P1IDNumber,126))</f>
        <v/>
      </c>
      <c r="G138" s="51"/>
      <c r="H138" s="46" t="str">
        <f>IF(AND(I.Developer.P1=TRUE,I.Facility.P1FacilityCount&gt;=126,F138=""),"Incomplete","Complete")</f>
        <v>Complete</v>
      </c>
      <c r="I138" s="48" t="s">
        <v>4503</v>
      </c>
    </row>
    <row r="139" spans="2:9" ht="15" customHeight="1" x14ac:dyDescent="0.25">
      <c r="B139" s="55" t="s">
        <v>279</v>
      </c>
      <c r="C139" s="46">
        <v>127</v>
      </c>
      <c r="D139" s="69" t="s">
        <v>29416</v>
      </c>
      <c r="E139" s="51"/>
      <c r="F139" s="114" t="str">
        <f>IF(INDEX(I.Facility.P1IDNumber,127)="","",INDEX(I.Facility.P1IDNumber,127))</f>
        <v/>
      </c>
      <c r="G139" s="51"/>
      <c r="H139" s="46" t="str">
        <f>IF(AND(I.Developer.P1=TRUE,I.Facility.P1FacilityCount&gt;=127,F139=""),"Incomplete","Complete")</f>
        <v>Complete</v>
      </c>
      <c r="I139" s="48" t="s">
        <v>4504</v>
      </c>
    </row>
    <row r="140" spans="2:9" ht="15" customHeight="1" x14ac:dyDescent="0.25">
      <c r="B140" s="55" t="s">
        <v>279</v>
      </c>
      <c r="C140" s="46">
        <v>128</v>
      </c>
      <c r="D140" s="69" t="s">
        <v>29416</v>
      </c>
      <c r="E140" s="51"/>
      <c r="F140" s="114" t="str">
        <f>IF(INDEX(I.Facility.P1IDNumber,128)="","",INDEX(I.Facility.P1IDNumber,128))</f>
        <v/>
      </c>
      <c r="G140" s="51"/>
      <c r="H140" s="46" t="str">
        <f>IF(AND(I.Developer.P1=TRUE,I.Facility.P1FacilityCount&gt;=128,F140=""),"Incomplete","Complete")</f>
        <v>Complete</v>
      </c>
      <c r="I140" s="48" t="s">
        <v>4505</v>
      </c>
    </row>
    <row r="141" spans="2:9" ht="15" customHeight="1" x14ac:dyDescent="0.25">
      <c r="B141" s="55" t="s">
        <v>279</v>
      </c>
      <c r="C141" s="46">
        <v>129</v>
      </c>
      <c r="D141" s="69" t="s">
        <v>29416</v>
      </c>
      <c r="E141" s="51"/>
      <c r="F141" s="114" t="str">
        <f>IF(INDEX(I.Facility.P1IDNumber,129)="","",INDEX(I.Facility.P1IDNumber,129))</f>
        <v/>
      </c>
      <c r="G141" s="51"/>
      <c r="H141" s="46" t="str">
        <f>IF(AND(I.Developer.P1=TRUE,I.Facility.P1FacilityCount&gt;=129,F141=""),"Incomplete","Complete")</f>
        <v>Complete</v>
      </c>
      <c r="I141" s="48" t="s">
        <v>4506</v>
      </c>
    </row>
    <row r="142" spans="2:9" ht="15" customHeight="1" x14ac:dyDescent="0.25">
      <c r="B142" s="55" t="s">
        <v>279</v>
      </c>
      <c r="C142" s="46">
        <v>130</v>
      </c>
      <c r="D142" s="69" t="s">
        <v>29416</v>
      </c>
      <c r="E142" s="51"/>
      <c r="F142" s="114" t="str">
        <f>IF(INDEX(I.Facility.P1IDNumber,130)="","",INDEX(I.Facility.P1IDNumber,130))</f>
        <v/>
      </c>
      <c r="G142" s="51"/>
      <c r="H142" s="46" t="str">
        <f>IF(AND(I.Developer.P1=TRUE,I.Facility.P1FacilityCount&gt;=130,F142=""),"Incomplete","Complete")</f>
        <v>Complete</v>
      </c>
      <c r="I142" s="48" t="s">
        <v>4507</v>
      </c>
    </row>
    <row r="143" spans="2:9" ht="15" customHeight="1" x14ac:dyDescent="0.25">
      <c r="B143" s="55" t="s">
        <v>279</v>
      </c>
      <c r="C143" s="46">
        <v>131</v>
      </c>
      <c r="D143" s="69" t="s">
        <v>29416</v>
      </c>
      <c r="E143" s="51"/>
      <c r="F143" s="114" t="str">
        <f>IF(INDEX(I.Facility.P1IDNumber,131)="","",INDEX(I.Facility.P1IDNumber,131))</f>
        <v/>
      </c>
      <c r="G143" s="51"/>
      <c r="H143" s="46" t="str">
        <f>IF(AND(I.Developer.P1=TRUE,I.Facility.P1FacilityCount&gt;=131,F143=""),"Incomplete","Complete")</f>
        <v>Complete</v>
      </c>
      <c r="I143" s="48" t="s">
        <v>4508</v>
      </c>
    </row>
    <row r="144" spans="2:9" ht="15" customHeight="1" x14ac:dyDescent="0.25">
      <c r="B144" s="55" t="s">
        <v>279</v>
      </c>
      <c r="C144" s="46">
        <v>132</v>
      </c>
      <c r="D144" s="69" t="s">
        <v>29416</v>
      </c>
      <c r="E144" s="51"/>
      <c r="F144" s="114" t="str">
        <f>IF(INDEX(I.Facility.P1IDNumber,132)="","",INDEX(I.Facility.P1IDNumber,132))</f>
        <v/>
      </c>
      <c r="G144" s="51"/>
      <c r="H144" s="46" t="str">
        <f>IF(AND(I.Developer.P1=TRUE,I.Facility.P1FacilityCount&gt;=132,F144=""),"Incomplete","Complete")</f>
        <v>Complete</v>
      </c>
      <c r="I144" s="48" t="s">
        <v>4509</v>
      </c>
    </row>
    <row r="145" spans="2:9" ht="15" customHeight="1" x14ac:dyDescent="0.25">
      <c r="B145" s="55" t="s">
        <v>279</v>
      </c>
      <c r="C145" s="46">
        <v>133</v>
      </c>
      <c r="D145" s="69" t="s">
        <v>29416</v>
      </c>
      <c r="E145" s="51"/>
      <c r="F145" s="114" t="str">
        <f>IF(INDEX(I.Facility.P1IDNumber,133)="","",INDEX(I.Facility.P1IDNumber,133))</f>
        <v/>
      </c>
      <c r="G145" s="51"/>
      <c r="H145" s="46" t="str">
        <f>IF(AND(I.Developer.P1=TRUE,I.Facility.P1FacilityCount&gt;=133,F145=""),"Incomplete","Complete")</f>
        <v>Complete</v>
      </c>
      <c r="I145" s="48" t="s">
        <v>4510</v>
      </c>
    </row>
    <row r="146" spans="2:9" ht="15" customHeight="1" x14ac:dyDescent="0.25">
      <c r="B146" s="55" t="s">
        <v>279</v>
      </c>
      <c r="C146" s="46">
        <v>134</v>
      </c>
      <c r="D146" s="69" t="s">
        <v>29416</v>
      </c>
      <c r="E146" s="51"/>
      <c r="F146" s="114" t="str">
        <f>IF(INDEX(I.Facility.P1IDNumber,134)="","",INDEX(I.Facility.P1IDNumber,134))</f>
        <v/>
      </c>
      <c r="G146" s="51"/>
      <c r="H146" s="46" t="str">
        <f>IF(AND(I.Developer.P1=TRUE,I.Facility.P1FacilityCount&gt;=134,F146=""),"Incomplete","Complete")</f>
        <v>Complete</v>
      </c>
      <c r="I146" s="48" t="s">
        <v>4511</v>
      </c>
    </row>
    <row r="147" spans="2:9" ht="15" customHeight="1" x14ac:dyDescent="0.25">
      <c r="B147" s="55" t="s">
        <v>279</v>
      </c>
      <c r="C147" s="46">
        <v>135</v>
      </c>
      <c r="D147" s="69" t="s">
        <v>29416</v>
      </c>
      <c r="E147" s="51"/>
      <c r="F147" s="114" t="str">
        <f>IF(INDEX(I.Facility.P1IDNumber,135)="","",INDEX(I.Facility.P1IDNumber,135))</f>
        <v/>
      </c>
      <c r="G147" s="51"/>
      <c r="H147" s="46" t="str">
        <f>IF(AND(I.Developer.P1=TRUE,I.Facility.P1FacilityCount&gt;=135,F147=""),"Incomplete","Complete")</f>
        <v>Complete</v>
      </c>
      <c r="I147" s="48" t="s">
        <v>4512</v>
      </c>
    </row>
    <row r="148" spans="2:9" ht="15" customHeight="1" x14ac:dyDescent="0.25">
      <c r="B148" s="55" t="s">
        <v>279</v>
      </c>
      <c r="C148" s="46">
        <v>136</v>
      </c>
      <c r="D148" s="69" t="s">
        <v>29416</v>
      </c>
      <c r="E148" s="51"/>
      <c r="F148" s="114" t="str">
        <f>IF(INDEX(I.Facility.P1IDNumber,136)="","",INDEX(I.Facility.P1IDNumber,136))</f>
        <v/>
      </c>
      <c r="G148" s="51"/>
      <c r="H148" s="46" t="str">
        <f>IF(AND(I.Developer.P1=TRUE,I.Facility.P1FacilityCount&gt;=136,F148=""),"Incomplete","Complete")</f>
        <v>Complete</v>
      </c>
      <c r="I148" s="48" t="s">
        <v>4513</v>
      </c>
    </row>
    <row r="149" spans="2:9" ht="15" customHeight="1" x14ac:dyDescent="0.25">
      <c r="B149" s="55" t="s">
        <v>279</v>
      </c>
      <c r="C149" s="46">
        <v>137</v>
      </c>
      <c r="D149" s="69" t="s">
        <v>29416</v>
      </c>
      <c r="E149" s="51"/>
      <c r="F149" s="114" t="str">
        <f>IF(INDEX(I.Facility.P1IDNumber,137)="","",INDEX(I.Facility.P1IDNumber,137))</f>
        <v/>
      </c>
      <c r="G149" s="51"/>
      <c r="H149" s="46" t="str">
        <f>IF(AND(I.Developer.P1=TRUE,I.Facility.P1FacilityCount&gt;=137,F149=""),"Incomplete","Complete")</f>
        <v>Complete</v>
      </c>
      <c r="I149" s="48" t="s">
        <v>4514</v>
      </c>
    </row>
    <row r="150" spans="2:9" ht="15" customHeight="1" x14ac:dyDescent="0.25">
      <c r="B150" s="55" t="s">
        <v>279</v>
      </c>
      <c r="C150" s="46">
        <v>138</v>
      </c>
      <c r="D150" s="69" t="s">
        <v>29416</v>
      </c>
      <c r="E150" s="51"/>
      <c r="F150" s="114" t="str">
        <f>IF(INDEX(I.Facility.P1IDNumber,138)="","",INDEX(I.Facility.P1IDNumber,138))</f>
        <v/>
      </c>
      <c r="G150" s="51"/>
      <c r="H150" s="46" t="str">
        <f>IF(AND(I.Developer.P1=TRUE,I.Facility.P1FacilityCount&gt;=138,F150=""),"Incomplete","Complete")</f>
        <v>Complete</v>
      </c>
      <c r="I150" s="48" t="s">
        <v>4515</v>
      </c>
    </row>
    <row r="151" spans="2:9" ht="15" customHeight="1" x14ac:dyDescent="0.25">
      <c r="B151" s="55" t="s">
        <v>279</v>
      </c>
      <c r="C151" s="46">
        <v>139</v>
      </c>
      <c r="D151" s="69" t="s">
        <v>29416</v>
      </c>
      <c r="E151" s="51"/>
      <c r="F151" s="114" t="str">
        <f>IF(INDEX(I.Facility.P1IDNumber,139)="","",INDEX(I.Facility.P1IDNumber,139))</f>
        <v/>
      </c>
      <c r="G151" s="51"/>
      <c r="H151" s="46" t="str">
        <f>IF(AND(I.Developer.P1=TRUE,I.Facility.P1FacilityCount&gt;=139,F151=""),"Incomplete","Complete")</f>
        <v>Complete</v>
      </c>
      <c r="I151" s="48" t="s">
        <v>4516</v>
      </c>
    </row>
    <row r="152" spans="2:9" ht="15" customHeight="1" x14ac:dyDescent="0.25">
      <c r="B152" s="55" t="s">
        <v>279</v>
      </c>
      <c r="C152" s="46">
        <v>140</v>
      </c>
      <c r="D152" s="69" t="s">
        <v>29416</v>
      </c>
      <c r="E152" s="51"/>
      <c r="F152" s="114" t="str">
        <f>IF(INDEX(I.Facility.P1IDNumber,140)="","",INDEX(I.Facility.P1IDNumber,140))</f>
        <v/>
      </c>
      <c r="G152" s="51"/>
      <c r="H152" s="46" t="str">
        <f>IF(AND(I.Developer.P1=TRUE,I.Facility.P1FacilityCount&gt;=140,F152=""),"Incomplete","Complete")</f>
        <v>Complete</v>
      </c>
      <c r="I152" s="48" t="s">
        <v>4517</v>
      </c>
    </row>
    <row r="153" spans="2:9" ht="15" customHeight="1" x14ac:dyDescent="0.25">
      <c r="B153" s="55" t="s">
        <v>279</v>
      </c>
      <c r="C153" s="46">
        <v>141</v>
      </c>
      <c r="D153" s="69" t="s">
        <v>29416</v>
      </c>
      <c r="E153" s="51"/>
      <c r="F153" s="114" t="str">
        <f>IF(INDEX(I.Facility.P1IDNumber,141)="","",INDEX(I.Facility.P1IDNumber,141))</f>
        <v/>
      </c>
      <c r="G153" s="51"/>
      <c r="H153" s="46" t="str">
        <f>IF(AND(I.Developer.P1=TRUE,I.Facility.P1FacilityCount&gt;=141,F153=""),"Incomplete","Complete")</f>
        <v>Complete</v>
      </c>
      <c r="I153" s="48" t="s">
        <v>4518</v>
      </c>
    </row>
    <row r="154" spans="2:9" ht="15" customHeight="1" x14ac:dyDescent="0.25">
      <c r="B154" s="55" t="s">
        <v>279</v>
      </c>
      <c r="C154" s="46">
        <v>142</v>
      </c>
      <c r="D154" s="69" t="s">
        <v>29416</v>
      </c>
      <c r="E154" s="51"/>
      <c r="F154" s="114" t="str">
        <f>IF(INDEX(I.Facility.P1IDNumber,142)="","",INDEX(I.Facility.P1IDNumber,142))</f>
        <v/>
      </c>
      <c r="G154" s="51"/>
      <c r="H154" s="46" t="str">
        <f>IF(AND(I.Developer.P1=TRUE,I.Facility.P1FacilityCount&gt;=142,F154=""),"Incomplete","Complete")</f>
        <v>Complete</v>
      </c>
      <c r="I154" s="48" t="s">
        <v>4519</v>
      </c>
    </row>
    <row r="155" spans="2:9" ht="15" customHeight="1" x14ac:dyDescent="0.25">
      <c r="B155" s="55" t="s">
        <v>279</v>
      </c>
      <c r="C155" s="46">
        <v>143</v>
      </c>
      <c r="D155" s="69" t="s">
        <v>29416</v>
      </c>
      <c r="E155" s="51"/>
      <c r="F155" s="114" t="str">
        <f>IF(INDEX(I.Facility.P1IDNumber,143)="","",INDEX(I.Facility.P1IDNumber,143))</f>
        <v/>
      </c>
      <c r="G155" s="51"/>
      <c r="H155" s="46" t="str">
        <f>IF(AND(I.Developer.P1=TRUE,I.Facility.P1FacilityCount&gt;=143,F155=""),"Incomplete","Complete")</f>
        <v>Complete</v>
      </c>
      <c r="I155" s="48" t="s">
        <v>4520</v>
      </c>
    </row>
    <row r="156" spans="2:9" ht="15" customHeight="1" x14ac:dyDescent="0.25">
      <c r="B156" s="55" t="s">
        <v>279</v>
      </c>
      <c r="C156" s="46">
        <v>144</v>
      </c>
      <c r="D156" s="69" t="s">
        <v>29416</v>
      </c>
      <c r="E156" s="51"/>
      <c r="F156" s="114" t="str">
        <f>IF(INDEX(I.Facility.P1IDNumber,144)="","",INDEX(I.Facility.P1IDNumber,144))</f>
        <v/>
      </c>
      <c r="G156" s="51"/>
      <c r="H156" s="46" t="str">
        <f>IF(AND(I.Developer.P1=TRUE,I.Facility.P1FacilityCount&gt;=144,F156=""),"Incomplete","Complete")</f>
        <v>Complete</v>
      </c>
      <c r="I156" s="48" t="s">
        <v>4521</v>
      </c>
    </row>
    <row r="157" spans="2:9" ht="15" customHeight="1" x14ac:dyDescent="0.25">
      <c r="B157" s="55" t="s">
        <v>279</v>
      </c>
      <c r="C157" s="46">
        <v>145</v>
      </c>
      <c r="D157" s="69" t="s">
        <v>29416</v>
      </c>
      <c r="E157" s="51"/>
      <c r="F157" s="114" t="str">
        <f>IF(INDEX(I.Facility.P1IDNumber,145)="","",INDEX(I.Facility.P1IDNumber,145))</f>
        <v/>
      </c>
      <c r="G157" s="51"/>
      <c r="H157" s="46" t="str">
        <f>IF(AND(I.Developer.P1=TRUE,I.Facility.P1FacilityCount&gt;=145,F157=""),"Incomplete","Complete")</f>
        <v>Complete</v>
      </c>
      <c r="I157" s="48" t="s">
        <v>4522</v>
      </c>
    </row>
    <row r="158" spans="2:9" ht="15" customHeight="1" x14ac:dyDescent="0.25">
      <c r="B158" s="55" t="s">
        <v>279</v>
      </c>
      <c r="C158" s="46">
        <v>146</v>
      </c>
      <c r="D158" s="69" t="s">
        <v>29416</v>
      </c>
      <c r="E158" s="51"/>
      <c r="F158" s="114" t="str">
        <f>IF(INDEX(I.Facility.P1IDNumber,146)="","",INDEX(I.Facility.P1IDNumber,146))</f>
        <v/>
      </c>
      <c r="G158" s="51"/>
      <c r="H158" s="46" t="str">
        <f>IF(AND(I.Developer.P1=TRUE,I.Facility.P1FacilityCount&gt;=146,F158=""),"Incomplete","Complete")</f>
        <v>Complete</v>
      </c>
      <c r="I158" s="48" t="s">
        <v>4523</v>
      </c>
    </row>
    <row r="159" spans="2:9" ht="15" customHeight="1" x14ac:dyDescent="0.25">
      <c r="B159" s="55" t="s">
        <v>279</v>
      </c>
      <c r="C159" s="46">
        <v>147</v>
      </c>
      <c r="D159" s="69" t="s">
        <v>29416</v>
      </c>
      <c r="E159" s="51"/>
      <c r="F159" s="114" t="str">
        <f>IF(INDEX(I.Facility.P1IDNumber,147)="","",INDEX(I.Facility.P1IDNumber,147))</f>
        <v/>
      </c>
      <c r="G159" s="51"/>
      <c r="H159" s="46" t="str">
        <f>IF(AND(I.Developer.P1=TRUE,I.Facility.P1FacilityCount&gt;=147,F159=""),"Incomplete","Complete")</f>
        <v>Complete</v>
      </c>
      <c r="I159" s="48" t="s">
        <v>4524</v>
      </c>
    </row>
    <row r="160" spans="2:9" ht="15" customHeight="1" x14ac:dyDescent="0.25">
      <c r="B160" s="55" t="s">
        <v>279</v>
      </c>
      <c r="C160" s="46">
        <v>148</v>
      </c>
      <c r="D160" s="69" t="s">
        <v>29416</v>
      </c>
      <c r="E160" s="51"/>
      <c r="F160" s="114" t="str">
        <f>IF(INDEX(I.Facility.P1IDNumber,148)="","",INDEX(I.Facility.P1IDNumber,148))</f>
        <v/>
      </c>
      <c r="G160" s="51"/>
      <c r="H160" s="46" t="str">
        <f>IF(AND(I.Developer.P1=TRUE,I.Facility.P1FacilityCount&gt;=148,F160=""),"Incomplete","Complete")</f>
        <v>Complete</v>
      </c>
      <c r="I160" s="48" t="s">
        <v>4525</v>
      </c>
    </row>
    <row r="161" spans="2:9" ht="15" customHeight="1" x14ac:dyDescent="0.25">
      <c r="B161" s="55" t="s">
        <v>279</v>
      </c>
      <c r="C161" s="46">
        <v>149</v>
      </c>
      <c r="D161" s="69" t="s">
        <v>29416</v>
      </c>
      <c r="E161" s="51"/>
      <c r="F161" s="114" t="str">
        <f>IF(INDEX(I.Facility.P1IDNumber,149)="","",INDEX(I.Facility.P1IDNumber,149))</f>
        <v/>
      </c>
      <c r="G161" s="51"/>
      <c r="H161" s="46" t="str">
        <f>IF(AND(I.Developer.P1=TRUE,I.Facility.P1FacilityCount&gt;=149,F161=""),"Incomplete","Complete")</f>
        <v>Complete</v>
      </c>
      <c r="I161" s="48" t="s">
        <v>4526</v>
      </c>
    </row>
    <row r="162" spans="2:9" ht="15" customHeight="1" x14ac:dyDescent="0.25">
      <c r="B162" s="55" t="s">
        <v>279</v>
      </c>
      <c r="C162" s="46">
        <v>150</v>
      </c>
      <c r="D162" s="69" t="s">
        <v>29416</v>
      </c>
      <c r="E162" s="51"/>
      <c r="F162" s="114" t="str">
        <f>IF(INDEX(I.Facility.P1IDNumber,150)="","",INDEX(I.Facility.P1IDNumber,150))</f>
        <v/>
      </c>
      <c r="G162" s="51"/>
      <c r="H162" s="46" t="str">
        <f>IF(AND(I.Developer.P1=TRUE,I.Facility.P1FacilityCount&gt;=150,F162=""),"Incomplete","Complete")</f>
        <v>Complete</v>
      </c>
      <c r="I162" s="48" t="s">
        <v>4527</v>
      </c>
    </row>
    <row r="163" spans="2:9" ht="15" customHeight="1" x14ac:dyDescent="0.25">
      <c r="B163" s="55" t="s">
        <v>279</v>
      </c>
      <c r="C163" s="46">
        <v>151</v>
      </c>
      <c r="D163" s="69" t="s">
        <v>29416</v>
      </c>
      <c r="E163" s="51"/>
      <c r="F163" s="114" t="str">
        <f>IF(INDEX(I.Facility.P1IDNumber,151)="","",INDEX(I.Facility.P1IDNumber,151))</f>
        <v/>
      </c>
      <c r="G163" s="51"/>
      <c r="H163" s="46" t="str">
        <f>IF(AND(I.Developer.P1=TRUE,I.Facility.P1FacilityCount&gt;=151,F163=""),"Incomplete","Complete")</f>
        <v>Complete</v>
      </c>
      <c r="I163" s="48" t="s">
        <v>4528</v>
      </c>
    </row>
    <row r="164" spans="2:9" ht="15" customHeight="1" x14ac:dyDescent="0.25">
      <c r="B164" s="55" t="s">
        <v>279</v>
      </c>
      <c r="C164" s="46">
        <v>152</v>
      </c>
      <c r="D164" s="69" t="s">
        <v>29416</v>
      </c>
      <c r="E164" s="51"/>
      <c r="F164" s="114" t="str">
        <f>IF(INDEX(I.Facility.P1IDNumber,152)="","",INDEX(I.Facility.P1IDNumber,152))</f>
        <v/>
      </c>
      <c r="G164" s="51"/>
      <c r="H164" s="46" t="str">
        <f>IF(AND(I.Developer.P1=TRUE,I.Facility.P1FacilityCount&gt;=152,F164=""),"Incomplete","Complete")</f>
        <v>Complete</v>
      </c>
      <c r="I164" s="48" t="s">
        <v>4529</v>
      </c>
    </row>
    <row r="165" spans="2:9" ht="15" customHeight="1" x14ac:dyDescent="0.25">
      <c r="B165" s="55" t="s">
        <v>279</v>
      </c>
      <c r="C165" s="46">
        <v>153</v>
      </c>
      <c r="D165" s="69" t="s">
        <v>29416</v>
      </c>
      <c r="E165" s="51"/>
      <c r="F165" s="114" t="str">
        <f>IF(INDEX(I.Facility.P1IDNumber,153)="","",INDEX(I.Facility.P1IDNumber,153))</f>
        <v/>
      </c>
      <c r="G165" s="51"/>
      <c r="H165" s="46" t="str">
        <f>IF(AND(I.Developer.P1=TRUE,I.Facility.P1FacilityCount&gt;=153,F165=""),"Incomplete","Complete")</f>
        <v>Complete</v>
      </c>
      <c r="I165" s="48" t="s">
        <v>4530</v>
      </c>
    </row>
    <row r="166" spans="2:9" ht="15" customHeight="1" x14ac:dyDescent="0.25">
      <c r="B166" s="55" t="s">
        <v>279</v>
      </c>
      <c r="C166" s="46">
        <v>154</v>
      </c>
      <c r="D166" s="69" t="s">
        <v>29416</v>
      </c>
      <c r="E166" s="51"/>
      <c r="F166" s="114" t="str">
        <f>IF(INDEX(I.Facility.P1IDNumber,154)="","",INDEX(I.Facility.P1IDNumber,154))</f>
        <v/>
      </c>
      <c r="G166" s="51"/>
      <c r="H166" s="46" t="str">
        <f>IF(AND(I.Developer.P1=TRUE,I.Facility.P1FacilityCount&gt;=154,F166=""),"Incomplete","Complete")</f>
        <v>Complete</v>
      </c>
      <c r="I166" s="48" t="s">
        <v>4531</v>
      </c>
    </row>
    <row r="167" spans="2:9" ht="15" customHeight="1" x14ac:dyDescent="0.25">
      <c r="B167" s="55" t="s">
        <v>279</v>
      </c>
      <c r="C167" s="46">
        <v>155</v>
      </c>
      <c r="D167" s="69" t="s">
        <v>29416</v>
      </c>
      <c r="E167" s="51"/>
      <c r="F167" s="114" t="str">
        <f>IF(INDEX(I.Facility.P1IDNumber,155)="","",INDEX(I.Facility.P1IDNumber,155))</f>
        <v/>
      </c>
      <c r="G167" s="51"/>
      <c r="H167" s="46" t="str">
        <f>IF(AND(I.Developer.P1=TRUE,I.Facility.P1FacilityCount&gt;=155,F167=""),"Incomplete","Complete")</f>
        <v>Complete</v>
      </c>
      <c r="I167" s="48" t="s">
        <v>4532</v>
      </c>
    </row>
    <row r="168" spans="2:9" ht="15" customHeight="1" x14ac:dyDescent="0.25">
      <c r="B168" s="55" t="s">
        <v>279</v>
      </c>
      <c r="C168" s="46">
        <v>156</v>
      </c>
      <c r="D168" s="69" t="s">
        <v>29416</v>
      </c>
      <c r="E168" s="51"/>
      <c r="F168" s="114" t="str">
        <f>IF(INDEX(I.Facility.P1IDNumber,156)="","",INDEX(I.Facility.P1IDNumber,156))</f>
        <v/>
      </c>
      <c r="G168" s="51"/>
      <c r="H168" s="46" t="str">
        <f>IF(AND(I.Developer.P1=TRUE,I.Facility.P1FacilityCount&gt;=156,F168=""),"Incomplete","Complete")</f>
        <v>Complete</v>
      </c>
      <c r="I168" s="48" t="s">
        <v>4533</v>
      </c>
    </row>
    <row r="169" spans="2:9" ht="15" customHeight="1" x14ac:dyDescent="0.25">
      <c r="B169" s="55" t="s">
        <v>279</v>
      </c>
      <c r="C169" s="46">
        <v>157</v>
      </c>
      <c r="D169" s="69" t="s">
        <v>29416</v>
      </c>
      <c r="E169" s="51"/>
      <c r="F169" s="114" t="str">
        <f>IF(INDEX(I.Facility.P1IDNumber,157)="","",INDEX(I.Facility.P1IDNumber,157))</f>
        <v/>
      </c>
      <c r="G169" s="51"/>
      <c r="H169" s="46" t="str">
        <f>IF(AND(I.Developer.P1=TRUE,I.Facility.P1FacilityCount&gt;=157,F169=""),"Incomplete","Complete")</f>
        <v>Complete</v>
      </c>
      <c r="I169" s="48" t="s">
        <v>4534</v>
      </c>
    </row>
    <row r="170" spans="2:9" ht="15" customHeight="1" x14ac:dyDescent="0.25">
      <c r="B170" s="55" t="s">
        <v>279</v>
      </c>
      <c r="C170" s="46">
        <v>158</v>
      </c>
      <c r="D170" s="69" t="s">
        <v>29416</v>
      </c>
      <c r="E170" s="51"/>
      <c r="F170" s="114" t="str">
        <f>IF(INDEX(I.Facility.P1IDNumber,158)="","",INDEX(I.Facility.P1IDNumber,158))</f>
        <v/>
      </c>
      <c r="G170" s="51"/>
      <c r="H170" s="46" t="str">
        <f>IF(AND(I.Developer.P1=TRUE,I.Facility.P1FacilityCount&gt;=158,F170=""),"Incomplete","Complete")</f>
        <v>Complete</v>
      </c>
      <c r="I170" s="48" t="s">
        <v>4535</v>
      </c>
    </row>
    <row r="171" spans="2:9" ht="15" customHeight="1" x14ac:dyDescent="0.25">
      <c r="B171" s="55" t="s">
        <v>279</v>
      </c>
      <c r="C171" s="46">
        <v>159</v>
      </c>
      <c r="D171" s="69" t="s">
        <v>29416</v>
      </c>
      <c r="E171" s="51"/>
      <c r="F171" s="114" t="str">
        <f>IF(INDEX(I.Facility.P1IDNumber,159)="","",INDEX(I.Facility.P1IDNumber,159))</f>
        <v/>
      </c>
      <c r="G171" s="51"/>
      <c r="H171" s="46" t="str">
        <f>IF(AND(I.Developer.P1=TRUE,I.Facility.P1FacilityCount&gt;=159,F171=""),"Incomplete","Complete")</f>
        <v>Complete</v>
      </c>
      <c r="I171" s="48" t="s">
        <v>4536</v>
      </c>
    </row>
    <row r="172" spans="2:9" ht="15" customHeight="1" x14ac:dyDescent="0.25">
      <c r="B172" s="55" t="s">
        <v>279</v>
      </c>
      <c r="C172" s="46">
        <v>160</v>
      </c>
      <c r="D172" s="69" t="s">
        <v>29416</v>
      </c>
      <c r="E172" s="51"/>
      <c r="F172" s="114" t="str">
        <f>IF(INDEX(I.Facility.P1IDNumber,160)="","",INDEX(I.Facility.P1IDNumber,160))</f>
        <v/>
      </c>
      <c r="G172" s="51"/>
      <c r="H172" s="46" t="str">
        <f>IF(AND(I.Developer.P1=TRUE,I.Facility.P1FacilityCount&gt;=160,F172=""),"Incomplete","Complete")</f>
        <v>Complete</v>
      </c>
      <c r="I172" s="48" t="s">
        <v>4537</v>
      </c>
    </row>
    <row r="173" spans="2:9" ht="15" customHeight="1" x14ac:dyDescent="0.25">
      <c r="B173" s="55" t="s">
        <v>279</v>
      </c>
      <c r="C173" s="46">
        <v>161</v>
      </c>
      <c r="D173" s="69" t="s">
        <v>29416</v>
      </c>
      <c r="E173" s="51"/>
      <c r="F173" s="114" t="str">
        <f>IF(INDEX(I.Facility.P1IDNumber,161)="","",INDEX(I.Facility.P1IDNumber,161))</f>
        <v/>
      </c>
      <c r="G173" s="51"/>
      <c r="H173" s="46" t="str">
        <f>IF(AND(I.Developer.P1=TRUE,I.Facility.P1FacilityCount&gt;=161,F173=""),"Incomplete","Complete")</f>
        <v>Complete</v>
      </c>
      <c r="I173" s="48" t="s">
        <v>4538</v>
      </c>
    </row>
    <row r="174" spans="2:9" ht="15" customHeight="1" x14ac:dyDescent="0.25">
      <c r="B174" s="55" t="s">
        <v>279</v>
      </c>
      <c r="C174" s="46">
        <v>162</v>
      </c>
      <c r="D174" s="69" t="s">
        <v>29416</v>
      </c>
      <c r="E174" s="51"/>
      <c r="F174" s="114" t="str">
        <f>IF(INDEX(I.Facility.P1IDNumber,162)="","",INDEX(I.Facility.P1IDNumber,162))</f>
        <v/>
      </c>
      <c r="G174" s="51"/>
      <c r="H174" s="46" t="str">
        <f>IF(AND(I.Developer.P1=TRUE,I.Facility.P1FacilityCount&gt;=162,F174=""),"Incomplete","Complete")</f>
        <v>Complete</v>
      </c>
      <c r="I174" s="48" t="s">
        <v>4539</v>
      </c>
    </row>
    <row r="175" spans="2:9" ht="15" customHeight="1" x14ac:dyDescent="0.25">
      <c r="B175" s="55" t="s">
        <v>279</v>
      </c>
      <c r="C175" s="46">
        <v>163</v>
      </c>
      <c r="D175" s="69" t="s">
        <v>29416</v>
      </c>
      <c r="E175" s="51"/>
      <c r="F175" s="114" t="str">
        <f>IF(INDEX(I.Facility.P1IDNumber,163)="","",INDEX(I.Facility.P1IDNumber,163))</f>
        <v/>
      </c>
      <c r="G175" s="51"/>
      <c r="H175" s="46" t="str">
        <f>IF(AND(I.Developer.P1=TRUE,I.Facility.P1FacilityCount&gt;=163,F175=""),"Incomplete","Complete")</f>
        <v>Complete</v>
      </c>
      <c r="I175" s="48" t="s">
        <v>4540</v>
      </c>
    </row>
    <row r="176" spans="2:9" ht="15" customHeight="1" x14ac:dyDescent="0.25">
      <c r="B176" s="55" t="s">
        <v>279</v>
      </c>
      <c r="C176" s="46">
        <v>164</v>
      </c>
      <c r="D176" s="69" t="s">
        <v>29416</v>
      </c>
      <c r="E176" s="51"/>
      <c r="F176" s="114" t="str">
        <f>IF(INDEX(I.Facility.P1IDNumber,164)="","",INDEX(I.Facility.P1IDNumber,164))</f>
        <v/>
      </c>
      <c r="G176" s="51"/>
      <c r="H176" s="46" t="str">
        <f>IF(AND(I.Developer.P1=TRUE,I.Facility.P1FacilityCount&gt;=164,F176=""),"Incomplete","Complete")</f>
        <v>Complete</v>
      </c>
      <c r="I176" s="48" t="s">
        <v>4541</v>
      </c>
    </row>
    <row r="177" spans="2:9" ht="15" customHeight="1" x14ac:dyDescent="0.25">
      <c r="B177" s="55" t="s">
        <v>279</v>
      </c>
      <c r="C177" s="46">
        <v>165</v>
      </c>
      <c r="D177" s="69" t="s">
        <v>29416</v>
      </c>
      <c r="E177" s="51"/>
      <c r="F177" s="114" t="str">
        <f>IF(INDEX(I.Facility.P1IDNumber,165)="","",INDEX(I.Facility.P1IDNumber,165))</f>
        <v/>
      </c>
      <c r="G177" s="51"/>
      <c r="H177" s="46" t="str">
        <f>IF(AND(I.Developer.P1=TRUE,I.Facility.P1FacilityCount&gt;=165,F177=""),"Incomplete","Complete")</f>
        <v>Complete</v>
      </c>
      <c r="I177" s="48" t="s">
        <v>4542</v>
      </c>
    </row>
    <row r="178" spans="2:9" ht="15" customHeight="1" x14ac:dyDescent="0.25">
      <c r="B178" s="55" t="s">
        <v>279</v>
      </c>
      <c r="C178" s="46">
        <v>166</v>
      </c>
      <c r="D178" s="69" t="s">
        <v>29416</v>
      </c>
      <c r="E178" s="51"/>
      <c r="F178" s="114" t="str">
        <f>IF(INDEX(I.Facility.P1IDNumber,166)="","",INDEX(I.Facility.P1IDNumber,166))</f>
        <v/>
      </c>
      <c r="G178" s="51"/>
      <c r="H178" s="46" t="str">
        <f>IF(AND(I.Developer.P1=TRUE,I.Facility.P1FacilityCount&gt;=166,F178=""),"Incomplete","Complete")</f>
        <v>Complete</v>
      </c>
      <c r="I178" s="48" t="s">
        <v>4543</v>
      </c>
    </row>
    <row r="179" spans="2:9" ht="15" customHeight="1" x14ac:dyDescent="0.25">
      <c r="B179" s="55" t="s">
        <v>279</v>
      </c>
      <c r="C179" s="46">
        <v>167</v>
      </c>
      <c r="D179" s="69" t="s">
        <v>29416</v>
      </c>
      <c r="E179" s="51"/>
      <c r="F179" s="114" t="str">
        <f>IF(INDEX(I.Facility.P1IDNumber,167)="","",INDEX(I.Facility.P1IDNumber,167))</f>
        <v/>
      </c>
      <c r="G179" s="51"/>
      <c r="H179" s="46" t="str">
        <f>IF(AND(I.Developer.P1=TRUE,I.Facility.P1FacilityCount&gt;=167,F179=""),"Incomplete","Complete")</f>
        <v>Complete</v>
      </c>
      <c r="I179" s="48" t="s">
        <v>4544</v>
      </c>
    </row>
    <row r="180" spans="2:9" ht="15" customHeight="1" x14ac:dyDescent="0.25">
      <c r="B180" s="55" t="s">
        <v>279</v>
      </c>
      <c r="C180" s="46">
        <v>168</v>
      </c>
      <c r="D180" s="69" t="s">
        <v>29416</v>
      </c>
      <c r="E180" s="51"/>
      <c r="F180" s="114" t="str">
        <f>IF(INDEX(I.Facility.P1IDNumber,168)="","",INDEX(I.Facility.P1IDNumber,168))</f>
        <v/>
      </c>
      <c r="G180" s="51"/>
      <c r="H180" s="46" t="str">
        <f>IF(AND(I.Developer.P1=TRUE,I.Facility.P1FacilityCount&gt;=168,F180=""),"Incomplete","Complete")</f>
        <v>Complete</v>
      </c>
      <c r="I180" s="48" t="s">
        <v>4545</v>
      </c>
    </row>
    <row r="181" spans="2:9" ht="15" customHeight="1" x14ac:dyDescent="0.25">
      <c r="B181" s="55" t="s">
        <v>279</v>
      </c>
      <c r="C181" s="46">
        <v>169</v>
      </c>
      <c r="D181" s="69" t="s">
        <v>29416</v>
      </c>
      <c r="E181" s="51"/>
      <c r="F181" s="114" t="str">
        <f>IF(INDEX(I.Facility.P1IDNumber,169)="","",INDEX(I.Facility.P1IDNumber,169))</f>
        <v/>
      </c>
      <c r="G181" s="51"/>
      <c r="H181" s="46" t="str">
        <f>IF(AND(I.Developer.P1=TRUE,I.Facility.P1FacilityCount&gt;=169,F181=""),"Incomplete","Complete")</f>
        <v>Complete</v>
      </c>
      <c r="I181" s="48" t="s">
        <v>4546</v>
      </c>
    </row>
    <row r="182" spans="2:9" ht="15" customHeight="1" x14ac:dyDescent="0.25">
      <c r="B182" s="55" t="s">
        <v>279</v>
      </c>
      <c r="C182" s="46">
        <v>170</v>
      </c>
      <c r="D182" s="69" t="s">
        <v>29416</v>
      </c>
      <c r="E182" s="51"/>
      <c r="F182" s="114" t="str">
        <f>IF(INDEX(I.Facility.P1IDNumber,170)="","",INDEX(I.Facility.P1IDNumber,170))</f>
        <v/>
      </c>
      <c r="G182" s="51"/>
      <c r="H182" s="46" t="str">
        <f>IF(AND(I.Developer.P1=TRUE,I.Facility.P1FacilityCount&gt;=170,F182=""),"Incomplete","Complete")</f>
        <v>Complete</v>
      </c>
      <c r="I182" s="48" t="s">
        <v>4547</v>
      </c>
    </row>
    <row r="183" spans="2:9" ht="15" customHeight="1" x14ac:dyDescent="0.25">
      <c r="B183" s="55" t="s">
        <v>279</v>
      </c>
      <c r="C183" s="46">
        <v>171</v>
      </c>
      <c r="D183" s="69" t="s">
        <v>29416</v>
      </c>
      <c r="E183" s="51"/>
      <c r="F183" s="114" t="str">
        <f>IF(INDEX(I.Facility.P1IDNumber,171)="","",INDEX(I.Facility.P1IDNumber,171))</f>
        <v/>
      </c>
      <c r="G183" s="51"/>
      <c r="H183" s="46" t="str">
        <f>IF(AND(I.Developer.P1=TRUE,I.Facility.P1FacilityCount&gt;=171,F183=""),"Incomplete","Complete")</f>
        <v>Complete</v>
      </c>
      <c r="I183" s="48" t="s">
        <v>4548</v>
      </c>
    </row>
    <row r="184" spans="2:9" ht="15" customHeight="1" x14ac:dyDescent="0.25">
      <c r="B184" s="55" t="s">
        <v>279</v>
      </c>
      <c r="C184" s="46">
        <v>172</v>
      </c>
      <c r="D184" s="69" t="s">
        <v>29416</v>
      </c>
      <c r="E184" s="51"/>
      <c r="F184" s="114" t="str">
        <f>IF(INDEX(I.Facility.P1IDNumber,172)="","",INDEX(I.Facility.P1IDNumber,172))</f>
        <v/>
      </c>
      <c r="G184" s="51"/>
      <c r="H184" s="46" t="str">
        <f>IF(AND(I.Developer.P1=TRUE,I.Facility.P1FacilityCount&gt;=172,F184=""),"Incomplete","Complete")</f>
        <v>Complete</v>
      </c>
      <c r="I184" s="48" t="s">
        <v>4549</v>
      </c>
    </row>
    <row r="185" spans="2:9" ht="15" customHeight="1" x14ac:dyDescent="0.25">
      <c r="B185" s="55" t="s">
        <v>279</v>
      </c>
      <c r="C185" s="46">
        <v>173</v>
      </c>
      <c r="D185" s="69" t="s">
        <v>29416</v>
      </c>
      <c r="E185" s="51"/>
      <c r="F185" s="114" t="str">
        <f>IF(INDEX(I.Facility.P1IDNumber,173)="","",INDEX(I.Facility.P1IDNumber,173))</f>
        <v/>
      </c>
      <c r="G185" s="51"/>
      <c r="H185" s="46" t="str">
        <f>IF(AND(I.Developer.P1=TRUE,I.Facility.P1FacilityCount&gt;=173,F185=""),"Incomplete","Complete")</f>
        <v>Complete</v>
      </c>
      <c r="I185" s="48" t="s">
        <v>4550</v>
      </c>
    </row>
    <row r="186" spans="2:9" ht="15" customHeight="1" x14ac:dyDescent="0.25">
      <c r="B186" s="55" t="s">
        <v>279</v>
      </c>
      <c r="C186" s="46">
        <v>174</v>
      </c>
      <c r="D186" s="69" t="s">
        <v>29416</v>
      </c>
      <c r="E186" s="51"/>
      <c r="F186" s="114" t="str">
        <f>IF(INDEX(I.Facility.P1IDNumber,174)="","",INDEX(I.Facility.P1IDNumber,174))</f>
        <v/>
      </c>
      <c r="G186" s="51"/>
      <c r="H186" s="46" t="str">
        <f>IF(AND(I.Developer.P1=TRUE,I.Facility.P1FacilityCount&gt;=174,F186=""),"Incomplete","Complete")</f>
        <v>Complete</v>
      </c>
      <c r="I186" s="48" t="s">
        <v>4551</v>
      </c>
    </row>
    <row r="187" spans="2:9" ht="15" customHeight="1" x14ac:dyDescent="0.25">
      <c r="B187" s="55" t="s">
        <v>279</v>
      </c>
      <c r="C187" s="46">
        <v>175</v>
      </c>
      <c r="D187" s="69" t="s">
        <v>29416</v>
      </c>
      <c r="E187" s="51"/>
      <c r="F187" s="114" t="str">
        <f>IF(INDEX(I.Facility.P1IDNumber,175)="","",INDEX(I.Facility.P1IDNumber,175))</f>
        <v/>
      </c>
      <c r="G187" s="51"/>
      <c r="H187" s="46" t="str">
        <f>IF(AND(I.Developer.P1=TRUE,I.Facility.P1FacilityCount&gt;=175,F187=""),"Incomplete","Complete")</f>
        <v>Complete</v>
      </c>
      <c r="I187" s="48" t="s">
        <v>4552</v>
      </c>
    </row>
    <row r="188" spans="2:9" ht="15" customHeight="1" x14ac:dyDescent="0.25">
      <c r="B188" s="55" t="s">
        <v>279</v>
      </c>
      <c r="C188" s="46">
        <v>176</v>
      </c>
      <c r="D188" s="69" t="s">
        <v>29416</v>
      </c>
      <c r="E188" s="51"/>
      <c r="F188" s="114" t="str">
        <f>IF(INDEX(I.Facility.P1IDNumber,176)="","",INDEX(I.Facility.P1IDNumber,176))</f>
        <v/>
      </c>
      <c r="G188" s="51"/>
      <c r="H188" s="46" t="str">
        <f>IF(AND(I.Developer.P1=TRUE,I.Facility.P1FacilityCount&gt;=176,F188=""),"Incomplete","Complete")</f>
        <v>Complete</v>
      </c>
      <c r="I188" s="48" t="s">
        <v>4553</v>
      </c>
    </row>
    <row r="189" spans="2:9" ht="15" customHeight="1" x14ac:dyDescent="0.25">
      <c r="B189" s="55" t="s">
        <v>279</v>
      </c>
      <c r="C189" s="46">
        <v>177</v>
      </c>
      <c r="D189" s="69" t="s">
        <v>29416</v>
      </c>
      <c r="E189" s="51"/>
      <c r="F189" s="114" t="str">
        <f>IF(INDEX(I.Facility.P1IDNumber,177)="","",INDEX(I.Facility.P1IDNumber,177))</f>
        <v/>
      </c>
      <c r="G189" s="51"/>
      <c r="H189" s="46" t="str">
        <f>IF(AND(I.Developer.P1=TRUE,I.Facility.P1FacilityCount&gt;=177,F189=""),"Incomplete","Complete")</f>
        <v>Complete</v>
      </c>
      <c r="I189" s="48" t="s">
        <v>4554</v>
      </c>
    </row>
    <row r="190" spans="2:9" ht="15" customHeight="1" x14ac:dyDescent="0.25">
      <c r="B190" s="55" t="s">
        <v>279</v>
      </c>
      <c r="C190" s="46">
        <v>178</v>
      </c>
      <c r="D190" s="69" t="s">
        <v>29416</v>
      </c>
      <c r="E190" s="51"/>
      <c r="F190" s="114" t="str">
        <f>IF(INDEX(I.Facility.P1IDNumber,178)="","",INDEX(I.Facility.P1IDNumber,178))</f>
        <v/>
      </c>
      <c r="G190" s="51"/>
      <c r="H190" s="46" t="str">
        <f>IF(AND(I.Developer.P1=TRUE,I.Facility.P1FacilityCount&gt;=178,F190=""),"Incomplete","Complete")</f>
        <v>Complete</v>
      </c>
      <c r="I190" s="48" t="s">
        <v>4555</v>
      </c>
    </row>
    <row r="191" spans="2:9" ht="15" customHeight="1" x14ac:dyDescent="0.25">
      <c r="B191" s="55" t="s">
        <v>279</v>
      </c>
      <c r="C191" s="46">
        <v>179</v>
      </c>
      <c r="D191" s="69" t="s">
        <v>29416</v>
      </c>
      <c r="E191" s="51"/>
      <c r="F191" s="114" t="str">
        <f>IF(INDEX(I.Facility.P1IDNumber,179)="","",INDEX(I.Facility.P1IDNumber,179))</f>
        <v/>
      </c>
      <c r="G191" s="51"/>
      <c r="H191" s="46" t="str">
        <f>IF(AND(I.Developer.P1=TRUE,I.Facility.P1FacilityCount&gt;=179,F191=""),"Incomplete","Complete")</f>
        <v>Complete</v>
      </c>
      <c r="I191" s="48" t="s">
        <v>4556</v>
      </c>
    </row>
    <row r="192" spans="2:9" ht="15" customHeight="1" x14ac:dyDescent="0.25">
      <c r="B192" s="55" t="s">
        <v>279</v>
      </c>
      <c r="C192" s="46">
        <v>180</v>
      </c>
      <c r="D192" s="69" t="s">
        <v>29416</v>
      </c>
      <c r="E192" s="51"/>
      <c r="F192" s="114" t="str">
        <f>IF(INDEX(I.Facility.P1IDNumber,180)="","",INDEX(I.Facility.P1IDNumber,180))</f>
        <v/>
      </c>
      <c r="G192" s="51"/>
      <c r="H192" s="46" t="str">
        <f>IF(AND(I.Developer.P1=TRUE,I.Facility.P1FacilityCount&gt;=180,F192=""),"Incomplete","Complete")</f>
        <v>Complete</v>
      </c>
      <c r="I192" s="48" t="s">
        <v>4557</v>
      </c>
    </row>
    <row r="193" spans="2:9" ht="15" customHeight="1" x14ac:dyDescent="0.25">
      <c r="B193" s="55" t="s">
        <v>279</v>
      </c>
      <c r="C193" s="46">
        <v>181</v>
      </c>
      <c r="D193" s="69" t="s">
        <v>29416</v>
      </c>
      <c r="E193" s="51"/>
      <c r="F193" s="114" t="str">
        <f>IF(INDEX(I.Facility.P1IDNumber,181)="","",INDEX(I.Facility.P1IDNumber,181))</f>
        <v/>
      </c>
      <c r="G193" s="51"/>
      <c r="H193" s="46" t="str">
        <f>IF(AND(I.Developer.P1=TRUE,I.Facility.P1FacilityCount&gt;=181,F193=""),"Incomplete","Complete")</f>
        <v>Complete</v>
      </c>
      <c r="I193" s="48" t="s">
        <v>4558</v>
      </c>
    </row>
    <row r="194" spans="2:9" ht="15" customHeight="1" x14ac:dyDescent="0.25">
      <c r="B194" s="55" t="s">
        <v>279</v>
      </c>
      <c r="C194" s="46">
        <v>182</v>
      </c>
      <c r="D194" s="69" t="s">
        <v>29416</v>
      </c>
      <c r="E194" s="51"/>
      <c r="F194" s="114" t="str">
        <f>IF(INDEX(I.Facility.P1IDNumber,182)="","",INDEX(I.Facility.P1IDNumber,182))</f>
        <v/>
      </c>
      <c r="G194" s="51"/>
      <c r="H194" s="46" t="str">
        <f>IF(AND(I.Developer.P1=TRUE,I.Facility.P1FacilityCount&gt;=182,F194=""),"Incomplete","Complete")</f>
        <v>Complete</v>
      </c>
      <c r="I194" s="48" t="s">
        <v>4559</v>
      </c>
    </row>
    <row r="195" spans="2:9" ht="15" customHeight="1" x14ac:dyDescent="0.25">
      <c r="B195" s="55" t="s">
        <v>279</v>
      </c>
      <c r="C195" s="46">
        <v>183</v>
      </c>
      <c r="D195" s="69" t="s">
        <v>29416</v>
      </c>
      <c r="E195" s="51"/>
      <c r="F195" s="114" t="str">
        <f>IF(INDEX(I.Facility.P1IDNumber,183)="","",INDEX(I.Facility.P1IDNumber,183))</f>
        <v/>
      </c>
      <c r="G195" s="51"/>
      <c r="H195" s="46" t="str">
        <f>IF(AND(I.Developer.P1=TRUE,I.Facility.P1FacilityCount&gt;=183,F195=""),"Incomplete","Complete")</f>
        <v>Complete</v>
      </c>
      <c r="I195" s="48" t="s">
        <v>4560</v>
      </c>
    </row>
    <row r="196" spans="2:9" ht="15" customHeight="1" x14ac:dyDescent="0.25">
      <c r="B196" s="55" t="s">
        <v>279</v>
      </c>
      <c r="C196" s="46">
        <v>184</v>
      </c>
      <c r="D196" s="69" t="s">
        <v>29416</v>
      </c>
      <c r="E196" s="51"/>
      <c r="F196" s="114" t="str">
        <f>IF(INDEX(I.Facility.P1IDNumber,184)="","",INDEX(I.Facility.P1IDNumber,184))</f>
        <v/>
      </c>
      <c r="G196" s="51"/>
      <c r="H196" s="46" t="str">
        <f>IF(AND(I.Developer.P1=TRUE,I.Facility.P1FacilityCount&gt;=184,F196=""),"Incomplete","Complete")</f>
        <v>Complete</v>
      </c>
      <c r="I196" s="48" t="s">
        <v>4561</v>
      </c>
    </row>
    <row r="197" spans="2:9" ht="15" customHeight="1" x14ac:dyDescent="0.25">
      <c r="B197" s="55" t="s">
        <v>279</v>
      </c>
      <c r="C197" s="46">
        <v>185</v>
      </c>
      <c r="D197" s="69" t="s">
        <v>29416</v>
      </c>
      <c r="E197" s="51"/>
      <c r="F197" s="114" t="str">
        <f>IF(INDEX(I.Facility.P1IDNumber,185)="","",INDEX(I.Facility.P1IDNumber,185))</f>
        <v/>
      </c>
      <c r="G197" s="51"/>
      <c r="H197" s="46" t="str">
        <f>IF(AND(I.Developer.P1=TRUE,I.Facility.P1FacilityCount&gt;=185,F197=""),"Incomplete","Complete")</f>
        <v>Complete</v>
      </c>
      <c r="I197" s="48" t="s">
        <v>4562</v>
      </c>
    </row>
    <row r="198" spans="2:9" ht="15" customHeight="1" x14ac:dyDescent="0.25">
      <c r="B198" s="55" t="s">
        <v>279</v>
      </c>
      <c r="C198" s="46">
        <v>186</v>
      </c>
      <c r="D198" s="69" t="s">
        <v>29416</v>
      </c>
      <c r="E198" s="51"/>
      <c r="F198" s="114" t="str">
        <f>IF(INDEX(I.Facility.P1IDNumber,186)="","",INDEX(I.Facility.P1IDNumber,186))</f>
        <v/>
      </c>
      <c r="G198" s="51"/>
      <c r="H198" s="46" t="str">
        <f>IF(AND(I.Developer.P1=TRUE,I.Facility.P1FacilityCount&gt;=186,F198=""),"Incomplete","Complete")</f>
        <v>Complete</v>
      </c>
      <c r="I198" s="48" t="s">
        <v>4563</v>
      </c>
    </row>
    <row r="199" spans="2:9" ht="15" customHeight="1" x14ac:dyDescent="0.25">
      <c r="B199" s="55" t="s">
        <v>279</v>
      </c>
      <c r="C199" s="46">
        <v>187</v>
      </c>
      <c r="D199" s="69" t="s">
        <v>29416</v>
      </c>
      <c r="E199" s="51"/>
      <c r="F199" s="114" t="str">
        <f>IF(INDEX(I.Facility.P1IDNumber,187)="","",INDEX(I.Facility.P1IDNumber,187))</f>
        <v/>
      </c>
      <c r="G199" s="51"/>
      <c r="H199" s="46" t="str">
        <f>IF(AND(I.Developer.P1=TRUE,I.Facility.P1FacilityCount&gt;=187,F199=""),"Incomplete","Complete")</f>
        <v>Complete</v>
      </c>
      <c r="I199" s="48" t="s">
        <v>4564</v>
      </c>
    </row>
    <row r="200" spans="2:9" ht="15" customHeight="1" x14ac:dyDescent="0.25">
      <c r="B200" s="55" t="s">
        <v>279</v>
      </c>
      <c r="C200" s="46">
        <v>188</v>
      </c>
      <c r="D200" s="69" t="s">
        <v>29416</v>
      </c>
      <c r="E200" s="51"/>
      <c r="F200" s="114" t="str">
        <f>IF(INDEX(I.Facility.P1IDNumber,188)="","",INDEX(I.Facility.P1IDNumber,188))</f>
        <v/>
      </c>
      <c r="G200" s="51"/>
      <c r="H200" s="46" t="str">
        <f>IF(AND(I.Developer.P1=TRUE,I.Facility.P1FacilityCount&gt;=188,F200=""),"Incomplete","Complete")</f>
        <v>Complete</v>
      </c>
      <c r="I200" s="48" t="s">
        <v>4565</v>
      </c>
    </row>
    <row r="201" spans="2:9" ht="15" customHeight="1" x14ac:dyDescent="0.25">
      <c r="B201" s="55" t="s">
        <v>279</v>
      </c>
      <c r="C201" s="46">
        <v>189</v>
      </c>
      <c r="D201" s="69" t="s">
        <v>29416</v>
      </c>
      <c r="E201" s="51"/>
      <c r="F201" s="114" t="str">
        <f>IF(INDEX(I.Facility.P1IDNumber,189)="","",INDEX(I.Facility.P1IDNumber,189))</f>
        <v/>
      </c>
      <c r="G201" s="51"/>
      <c r="H201" s="46" t="str">
        <f>IF(AND(I.Developer.P1=TRUE,I.Facility.P1FacilityCount&gt;=189,F201=""),"Incomplete","Complete")</f>
        <v>Complete</v>
      </c>
      <c r="I201" s="48" t="s">
        <v>4566</v>
      </c>
    </row>
    <row r="202" spans="2:9" ht="15" customHeight="1" x14ac:dyDescent="0.25">
      <c r="B202" s="55" t="s">
        <v>279</v>
      </c>
      <c r="C202" s="46">
        <v>190</v>
      </c>
      <c r="D202" s="69" t="s">
        <v>29416</v>
      </c>
      <c r="E202" s="51"/>
      <c r="F202" s="114" t="str">
        <f>IF(INDEX(I.Facility.P1IDNumber,190)="","",INDEX(I.Facility.P1IDNumber,190))</f>
        <v/>
      </c>
      <c r="G202" s="51"/>
      <c r="H202" s="46" t="str">
        <f>IF(AND(I.Developer.P1=TRUE,I.Facility.P1FacilityCount&gt;=190,F202=""),"Incomplete","Complete")</f>
        <v>Complete</v>
      </c>
      <c r="I202" s="48" t="s">
        <v>4567</v>
      </c>
    </row>
    <row r="203" spans="2:9" ht="15" customHeight="1" x14ac:dyDescent="0.25">
      <c r="B203" s="55" t="s">
        <v>279</v>
      </c>
      <c r="C203" s="46">
        <v>191</v>
      </c>
      <c r="D203" s="69" t="s">
        <v>29416</v>
      </c>
      <c r="E203" s="51"/>
      <c r="F203" s="114" t="str">
        <f>IF(INDEX(I.Facility.P1IDNumber,191)="","",INDEX(I.Facility.P1IDNumber,191))</f>
        <v/>
      </c>
      <c r="G203" s="51"/>
      <c r="H203" s="46" t="str">
        <f>IF(AND(I.Developer.P1=TRUE,I.Facility.P1FacilityCount&gt;=191,F203=""),"Incomplete","Complete")</f>
        <v>Complete</v>
      </c>
      <c r="I203" s="48" t="s">
        <v>4568</v>
      </c>
    </row>
    <row r="204" spans="2:9" ht="15" customHeight="1" x14ac:dyDescent="0.25">
      <c r="B204" s="55" t="s">
        <v>279</v>
      </c>
      <c r="C204" s="46">
        <v>192</v>
      </c>
      <c r="D204" s="69" t="s">
        <v>29416</v>
      </c>
      <c r="E204" s="51"/>
      <c r="F204" s="114" t="str">
        <f>IF(INDEX(I.Facility.P1IDNumber,192)="","",INDEX(I.Facility.P1IDNumber,192))</f>
        <v/>
      </c>
      <c r="G204" s="51"/>
      <c r="H204" s="46" t="str">
        <f>IF(AND(I.Developer.P1=TRUE,I.Facility.P1FacilityCount&gt;=192,F204=""),"Incomplete","Complete")</f>
        <v>Complete</v>
      </c>
      <c r="I204" s="48" t="s">
        <v>4569</v>
      </c>
    </row>
    <row r="205" spans="2:9" ht="15" customHeight="1" x14ac:dyDescent="0.25">
      <c r="B205" s="55" t="s">
        <v>279</v>
      </c>
      <c r="C205" s="46">
        <v>193</v>
      </c>
      <c r="D205" s="69" t="s">
        <v>29416</v>
      </c>
      <c r="E205" s="51"/>
      <c r="F205" s="114" t="str">
        <f>IF(INDEX(I.Facility.P1IDNumber,193)="","",INDEX(I.Facility.P1IDNumber,193))</f>
        <v/>
      </c>
      <c r="G205" s="51"/>
      <c r="H205" s="46" t="str">
        <f>IF(AND(I.Developer.P1=TRUE,I.Facility.P1FacilityCount&gt;=193,F205=""),"Incomplete","Complete")</f>
        <v>Complete</v>
      </c>
      <c r="I205" s="48" t="s">
        <v>4570</v>
      </c>
    </row>
    <row r="206" spans="2:9" ht="15" customHeight="1" x14ac:dyDescent="0.25">
      <c r="B206" s="55" t="s">
        <v>279</v>
      </c>
      <c r="C206" s="46">
        <v>194</v>
      </c>
      <c r="D206" s="69" t="s">
        <v>29416</v>
      </c>
      <c r="E206" s="51"/>
      <c r="F206" s="114" t="str">
        <f>IF(INDEX(I.Facility.P1IDNumber,194)="","",INDEX(I.Facility.P1IDNumber,194))</f>
        <v/>
      </c>
      <c r="G206" s="51"/>
      <c r="H206" s="46" t="str">
        <f>IF(AND(I.Developer.P1=TRUE,I.Facility.P1FacilityCount&gt;=194,F206=""),"Incomplete","Complete")</f>
        <v>Complete</v>
      </c>
      <c r="I206" s="48" t="s">
        <v>4571</v>
      </c>
    </row>
    <row r="207" spans="2:9" ht="15" customHeight="1" x14ac:dyDescent="0.25">
      <c r="B207" s="55" t="s">
        <v>279</v>
      </c>
      <c r="C207" s="46">
        <v>195</v>
      </c>
      <c r="D207" s="69" t="s">
        <v>29416</v>
      </c>
      <c r="E207" s="51"/>
      <c r="F207" s="114" t="str">
        <f>IF(INDEX(I.Facility.P1IDNumber,195)="","",INDEX(I.Facility.P1IDNumber,195))</f>
        <v/>
      </c>
      <c r="G207" s="51"/>
      <c r="H207" s="46" t="str">
        <f>IF(AND(I.Developer.P1=TRUE,I.Facility.P1FacilityCount&gt;=195,F207=""),"Incomplete","Complete")</f>
        <v>Complete</v>
      </c>
      <c r="I207" s="48" t="s">
        <v>4572</v>
      </c>
    </row>
    <row r="208" spans="2:9" ht="15" customHeight="1" x14ac:dyDescent="0.25">
      <c r="B208" s="55" t="s">
        <v>279</v>
      </c>
      <c r="C208" s="46">
        <v>196</v>
      </c>
      <c r="D208" s="69" t="s">
        <v>29416</v>
      </c>
      <c r="E208" s="51"/>
      <c r="F208" s="114" t="str">
        <f>IF(INDEX(I.Facility.P1IDNumber,196)="","",INDEX(I.Facility.P1IDNumber,196))</f>
        <v/>
      </c>
      <c r="G208" s="51"/>
      <c r="H208" s="46" t="str">
        <f>IF(AND(I.Developer.P1=TRUE,I.Facility.P1FacilityCount&gt;=196,F208=""),"Incomplete","Complete")</f>
        <v>Complete</v>
      </c>
      <c r="I208" s="48" t="s">
        <v>4573</v>
      </c>
    </row>
    <row r="209" spans="2:9" ht="15" customHeight="1" x14ac:dyDescent="0.25">
      <c r="B209" s="55" t="s">
        <v>279</v>
      </c>
      <c r="C209" s="46">
        <v>197</v>
      </c>
      <c r="D209" s="69" t="s">
        <v>29416</v>
      </c>
      <c r="E209" s="51"/>
      <c r="F209" s="114" t="str">
        <f>IF(INDEX(I.Facility.P1IDNumber,197)="","",INDEX(I.Facility.P1IDNumber,197))</f>
        <v/>
      </c>
      <c r="G209" s="51"/>
      <c r="H209" s="46" t="str">
        <f>IF(AND(I.Developer.P1=TRUE,I.Facility.P1FacilityCount&gt;=197,F209=""),"Incomplete","Complete")</f>
        <v>Complete</v>
      </c>
      <c r="I209" s="48" t="s">
        <v>4574</v>
      </c>
    </row>
    <row r="210" spans="2:9" ht="15" customHeight="1" x14ac:dyDescent="0.25">
      <c r="B210" s="55" t="s">
        <v>279</v>
      </c>
      <c r="C210" s="46">
        <v>198</v>
      </c>
      <c r="D210" s="69" t="s">
        <v>29416</v>
      </c>
      <c r="E210" s="51"/>
      <c r="F210" s="114" t="str">
        <f>IF(INDEX(I.Facility.P1IDNumber,198)="","",INDEX(I.Facility.P1IDNumber,198))</f>
        <v/>
      </c>
      <c r="G210" s="51"/>
      <c r="H210" s="46" t="str">
        <f>IF(AND(I.Developer.P1=TRUE,I.Facility.P1FacilityCount&gt;=198,F210=""),"Incomplete","Complete")</f>
        <v>Complete</v>
      </c>
      <c r="I210" s="48" t="s">
        <v>4575</v>
      </c>
    </row>
    <row r="211" spans="2:9" ht="15" customHeight="1" x14ac:dyDescent="0.25">
      <c r="B211" s="55" t="s">
        <v>279</v>
      </c>
      <c r="C211" s="46">
        <v>199</v>
      </c>
      <c r="D211" s="69" t="s">
        <v>29416</v>
      </c>
      <c r="E211" s="51"/>
      <c r="F211" s="114" t="str">
        <f>IF(INDEX(I.Facility.P1IDNumber,199)="","",INDEX(I.Facility.P1IDNumber,199))</f>
        <v/>
      </c>
      <c r="G211" s="51"/>
      <c r="H211" s="46" t="str">
        <f>IF(AND(I.Developer.P1=TRUE,I.Facility.P1FacilityCount&gt;=199,F211=""),"Incomplete","Complete")</f>
        <v>Complete</v>
      </c>
      <c r="I211" s="48" t="s">
        <v>4576</v>
      </c>
    </row>
    <row r="212" spans="2:9" ht="15" customHeight="1" x14ac:dyDescent="0.25">
      <c r="B212" s="55" t="s">
        <v>279</v>
      </c>
      <c r="C212" s="46">
        <v>200</v>
      </c>
      <c r="D212" s="69" t="s">
        <v>29416</v>
      </c>
      <c r="E212" s="51"/>
      <c r="F212" s="114" t="str">
        <f>IF(INDEX(I.Facility.P1IDNumber,200)="","",INDEX(I.Facility.P1IDNumber,200))</f>
        <v/>
      </c>
      <c r="G212" s="51"/>
      <c r="H212" s="46" t="str">
        <f>IF(AND(I.Developer.P1=TRUE,I.Facility.P1FacilityCount&gt;=200,F212=""),"Incomplete","Complete")</f>
        <v>Complete</v>
      </c>
      <c r="I212" s="48" t="s">
        <v>4577</v>
      </c>
    </row>
    <row r="213" spans="2:9" ht="15" customHeight="1" x14ac:dyDescent="0.25">
      <c r="B213" s="55" t="s">
        <v>279</v>
      </c>
      <c r="C213" s="46">
        <v>201</v>
      </c>
      <c r="D213" s="69" t="s">
        <v>29416</v>
      </c>
      <c r="E213" s="51"/>
      <c r="F213" s="114" t="str">
        <f>IF(INDEX(I.Facility.P1IDNumber,201)="","",INDEX(I.Facility.P1IDNumber,201))</f>
        <v/>
      </c>
      <c r="G213" s="51"/>
      <c r="H213" s="46" t="str">
        <f>IF(AND(I.Developer.P1=TRUE,I.Facility.P1FacilityCount&gt;=201,F213=""),"Incomplete","Complete")</f>
        <v>Complete</v>
      </c>
      <c r="I213" s="48" t="s">
        <v>4578</v>
      </c>
    </row>
    <row r="214" spans="2:9" ht="15" customHeight="1" x14ac:dyDescent="0.25">
      <c r="B214" s="55" t="s">
        <v>279</v>
      </c>
      <c r="C214" s="46">
        <v>202</v>
      </c>
      <c r="D214" s="69" t="s">
        <v>29416</v>
      </c>
      <c r="E214" s="51"/>
      <c r="F214" s="114" t="str">
        <f>IF(INDEX(I.Facility.P1IDNumber,202)="","",INDEX(I.Facility.P1IDNumber,202))</f>
        <v/>
      </c>
      <c r="G214" s="51"/>
      <c r="H214" s="46" t="str">
        <f>IF(AND(I.Developer.P1=TRUE,I.Facility.P1FacilityCount&gt;=202,F214=""),"Incomplete","Complete")</f>
        <v>Complete</v>
      </c>
      <c r="I214" s="48" t="s">
        <v>4579</v>
      </c>
    </row>
    <row r="215" spans="2:9" ht="15" customHeight="1" x14ac:dyDescent="0.25">
      <c r="B215" s="55" t="s">
        <v>279</v>
      </c>
      <c r="C215" s="46">
        <v>203</v>
      </c>
      <c r="D215" s="69" t="s">
        <v>29416</v>
      </c>
      <c r="E215" s="51"/>
      <c r="F215" s="114" t="str">
        <f>IF(INDEX(I.Facility.P1IDNumber,203)="","",INDEX(I.Facility.P1IDNumber,203))</f>
        <v/>
      </c>
      <c r="G215" s="51"/>
      <c r="H215" s="46" t="str">
        <f>IF(AND(I.Developer.P1=TRUE,I.Facility.P1FacilityCount&gt;=203,F215=""),"Incomplete","Complete")</f>
        <v>Complete</v>
      </c>
      <c r="I215" s="48" t="s">
        <v>4580</v>
      </c>
    </row>
    <row r="216" spans="2:9" ht="15" customHeight="1" x14ac:dyDescent="0.25">
      <c r="B216" s="55" t="s">
        <v>279</v>
      </c>
      <c r="C216" s="46">
        <v>204</v>
      </c>
      <c r="D216" s="69" t="s">
        <v>29416</v>
      </c>
      <c r="E216" s="51"/>
      <c r="F216" s="114" t="str">
        <f>IF(INDEX(I.Facility.P1IDNumber,204)="","",INDEX(I.Facility.P1IDNumber,204))</f>
        <v/>
      </c>
      <c r="G216" s="51"/>
      <c r="H216" s="46" t="str">
        <f>IF(AND(I.Developer.P1=TRUE,I.Facility.P1FacilityCount&gt;=204,F216=""),"Incomplete","Complete")</f>
        <v>Complete</v>
      </c>
      <c r="I216" s="48" t="s">
        <v>4581</v>
      </c>
    </row>
    <row r="217" spans="2:9" ht="15" customHeight="1" x14ac:dyDescent="0.25">
      <c r="B217" s="55" t="s">
        <v>279</v>
      </c>
      <c r="C217" s="46">
        <v>205</v>
      </c>
      <c r="D217" s="69" t="s">
        <v>29416</v>
      </c>
      <c r="E217" s="51"/>
      <c r="F217" s="114" t="str">
        <f>IF(INDEX(I.Facility.P1IDNumber,205)="","",INDEX(I.Facility.P1IDNumber,205))</f>
        <v/>
      </c>
      <c r="G217" s="51"/>
      <c r="H217" s="46" t="str">
        <f>IF(AND(I.Developer.P1=TRUE,I.Facility.P1FacilityCount&gt;=205,F217=""),"Incomplete","Complete")</f>
        <v>Complete</v>
      </c>
      <c r="I217" s="48" t="s">
        <v>4582</v>
      </c>
    </row>
    <row r="218" spans="2:9" ht="15" customHeight="1" x14ac:dyDescent="0.25">
      <c r="B218" s="55" t="s">
        <v>279</v>
      </c>
      <c r="C218" s="46">
        <v>206</v>
      </c>
      <c r="D218" s="69" t="s">
        <v>29416</v>
      </c>
      <c r="E218" s="51"/>
      <c r="F218" s="114" t="str">
        <f>IF(INDEX(I.Facility.P1IDNumber,206)="","",INDEX(I.Facility.P1IDNumber,206))</f>
        <v/>
      </c>
      <c r="G218" s="51"/>
      <c r="H218" s="46" t="str">
        <f>IF(AND(I.Developer.P1=TRUE,I.Facility.P1FacilityCount&gt;=206,F218=""),"Incomplete","Complete")</f>
        <v>Complete</v>
      </c>
      <c r="I218" s="48" t="s">
        <v>4583</v>
      </c>
    </row>
    <row r="219" spans="2:9" ht="15" customHeight="1" x14ac:dyDescent="0.25">
      <c r="B219" s="55" t="s">
        <v>279</v>
      </c>
      <c r="C219" s="46">
        <v>207</v>
      </c>
      <c r="D219" s="69" t="s">
        <v>29416</v>
      </c>
      <c r="E219" s="51"/>
      <c r="F219" s="114" t="str">
        <f>IF(INDEX(I.Facility.P1IDNumber,207)="","",INDEX(I.Facility.P1IDNumber,207))</f>
        <v/>
      </c>
      <c r="G219" s="51"/>
      <c r="H219" s="46" t="str">
        <f>IF(AND(I.Developer.P1=TRUE,I.Facility.P1FacilityCount&gt;=207,F219=""),"Incomplete","Complete")</f>
        <v>Complete</v>
      </c>
      <c r="I219" s="48" t="s">
        <v>4584</v>
      </c>
    </row>
    <row r="220" spans="2:9" ht="15" customHeight="1" x14ac:dyDescent="0.25">
      <c r="B220" s="55" t="s">
        <v>279</v>
      </c>
      <c r="C220" s="46">
        <v>208</v>
      </c>
      <c r="D220" s="69" t="s">
        <v>29416</v>
      </c>
      <c r="E220" s="51"/>
      <c r="F220" s="114" t="str">
        <f>IF(INDEX(I.Facility.P1IDNumber,208)="","",INDEX(I.Facility.P1IDNumber,208))</f>
        <v/>
      </c>
      <c r="G220" s="51"/>
      <c r="H220" s="46" t="str">
        <f>IF(AND(I.Developer.P1=TRUE,I.Facility.P1FacilityCount&gt;=208,F220=""),"Incomplete","Complete")</f>
        <v>Complete</v>
      </c>
      <c r="I220" s="48" t="s">
        <v>4585</v>
      </c>
    </row>
    <row r="221" spans="2:9" ht="15" customHeight="1" x14ac:dyDescent="0.25">
      <c r="B221" s="55" t="s">
        <v>279</v>
      </c>
      <c r="C221" s="46">
        <v>209</v>
      </c>
      <c r="D221" s="69" t="s">
        <v>29416</v>
      </c>
      <c r="E221" s="51"/>
      <c r="F221" s="114" t="str">
        <f>IF(INDEX(I.Facility.P1IDNumber,209)="","",INDEX(I.Facility.P1IDNumber,209))</f>
        <v/>
      </c>
      <c r="G221" s="51"/>
      <c r="H221" s="46" t="str">
        <f>IF(AND(I.Developer.P1=TRUE,I.Facility.P1FacilityCount&gt;=209,F221=""),"Incomplete","Complete")</f>
        <v>Complete</v>
      </c>
      <c r="I221" s="48" t="s">
        <v>4586</v>
      </c>
    </row>
    <row r="222" spans="2:9" ht="15" customHeight="1" x14ac:dyDescent="0.25">
      <c r="B222" s="55" t="s">
        <v>279</v>
      </c>
      <c r="C222" s="46">
        <v>210</v>
      </c>
      <c r="D222" s="69" t="s">
        <v>29416</v>
      </c>
      <c r="E222" s="51"/>
      <c r="F222" s="114" t="str">
        <f>IF(INDEX(I.Facility.P1IDNumber,210)="","",INDEX(I.Facility.P1IDNumber,210))</f>
        <v/>
      </c>
      <c r="G222" s="51"/>
      <c r="H222" s="46" t="str">
        <f>IF(AND(I.Developer.P1=TRUE,I.Facility.P1FacilityCount&gt;=210,F222=""),"Incomplete","Complete")</f>
        <v>Complete</v>
      </c>
      <c r="I222" s="48" t="s">
        <v>4587</v>
      </c>
    </row>
    <row r="223" spans="2:9" ht="15" customHeight="1" x14ac:dyDescent="0.25">
      <c r="B223" s="55" t="s">
        <v>279</v>
      </c>
      <c r="C223" s="46">
        <v>211</v>
      </c>
      <c r="D223" s="69" t="s">
        <v>29416</v>
      </c>
      <c r="E223" s="51"/>
      <c r="F223" s="114" t="str">
        <f>IF(INDEX(I.Facility.P1IDNumber,211)="","",INDEX(I.Facility.P1IDNumber,211))</f>
        <v/>
      </c>
      <c r="G223" s="51"/>
      <c r="H223" s="46" t="str">
        <f>IF(AND(I.Developer.P1=TRUE,I.Facility.P1FacilityCount&gt;=211,F223=""),"Incomplete","Complete")</f>
        <v>Complete</v>
      </c>
      <c r="I223" s="48" t="s">
        <v>4588</v>
      </c>
    </row>
    <row r="224" spans="2:9" ht="15" customHeight="1" x14ac:dyDescent="0.25">
      <c r="B224" s="55" t="s">
        <v>279</v>
      </c>
      <c r="C224" s="46">
        <v>212</v>
      </c>
      <c r="D224" s="69" t="s">
        <v>29416</v>
      </c>
      <c r="E224" s="51"/>
      <c r="F224" s="114" t="str">
        <f>IF(INDEX(I.Facility.P1IDNumber,212)="","",INDEX(I.Facility.P1IDNumber,212))</f>
        <v/>
      </c>
      <c r="G224" s="51"/>
      <c r="H224" s="46" t="str">
        <f>IF(AND(I.Developer.P1=TRUE,I.Facility.P1FacilityCount&gt;=212,F224=""),"Incomplete","Complete")</f>
        <v>Complete</v>
      </c>
      <c r="I224" s="48" t="s">
        <v>4589</v>
      </c>
    </row>
    <row r="225" spans="2:9" ht="15" customHeight="1" x14ac:dyDescent="0.25">
      <c r="B225" s="55" t="s">
        <v>279</v>
      </c>
      <c r="C225" s="46">
        <v>213</v>
      </c>
      <c r="D225" s="69" t="s">
        <v>29416</v>
      </c>
      <c r="E225" s="51"/>
      <c r="F225" s="114" t="str">
        <f>IF(INDEX(I.Facility.P1IDNumber,213)="","",INDEX(I.Facility.P1IDNumber,213))</f>
        <v/>
      </c>
      <c r="G225" s="51"/>
      <c r="H225" s="46" t="str">
        <f>IF(AND(I.Developer.P1=TRUE,I.Facility.P1FacilityCount&gt;=213,F225=""),"Incomplete","Complete")</f>
        <v>Complete</v>
      </c>
      <c r="I225" s="48" t="s">
        <v>4590</v>
      </c>
    </row>
    <row r="226" spans="2:9" ht="15" customHeight="1" x14ac:dyDescent="0.25">
      <c r="B226" s="55" t="s">
        <v>279</v>
      </c>
      <c r="C226" s="46">
        <v>214</v>
      </c>
      <c r="D226" s="69" t="s">
        <v>29416</v>
      </c>
      <c r="E226" s="51"/>
      <c r="F226" s="114" t="str">
        <f>IF(INDEX(I.Facility.P1IDNumber,214)="","",INDEX(I.Facility.P1IDNumber,214))</f>
        <v/>
      </c>
      <c r="G226" s="51"/>
      <c r="H226" s="46" t="str">
        <f>IF(AND(I.Developer.P1=TRUE,I.Facility.P1FacilityCount&gt;=214,F226=""),"Incomplete","Complete")</f>
        <v>Complete</v>
      </c>
      <c r="I226" s="48" t="s">
        <v>4591</v>
      </c>
    </row>
    <row r="227" spans="2:9" ht="15" customHeight="1" x14ac:dyDescent="0.25">
      <c r="B227" s="55" t="s">
        <v>279</v>
      </c>
      <c r="C227" s="46">
        <v>215</v>
      </c>
      <c r="D227" s="69" t="s">
        <v>29416</v>
      </c>
      <c r="E227" s="51"/>
      <c r="F227" s="114" t="str">
        <f>IF(INDEX(I.Facility.P1IDNumber,215)="","",INDEX(I.Facility.P1IDNumber,215))</f>
        <v/>
      </c>
      <c r="G227" s="51"/>
      <c r="H227" s="46" t="str">
        <f>IF(AND(I.Developer.P1=TRUE,I.Facility.P1FacilityCount&gt;=215,F227=""),"Incomplete","Complete")</f>
        <v>Complete</v>
      </c>
      <c r="I227" s="48" t="s">
        <v>4592</v>
      </c>
    </row>
    <row r="228" spans="2:9" ht="15" customHeight="1" x14ac:dyDescent="0.25">
      <c r="B228" s="55" t="s">
        <v>279</v>
      </c>
      <c r="C228" s="46">
        <v>216</v>
      </c>
      <c r="D228" s="69" t="s">
        <v>29416</v>
      </c>
      <c r="E228" s="51"/>
      <c r="F228" s="114" t="str">
        <f>IF(INDEX(I.Facility.P1IDNumber,216)="","",INDEX(I.Facility.P1IDNumber,216))</f>
        <v/>
      </c>
      <c r="G228" s="51"/>
      <c r="H228" s="46" t="str">
        <f>IF(AND(I.Developer.P1=TRUE,I.Facility.P1FacilityCount&gt;=216,F228=""),"Incomplete","Complete")</f>
        <v>Complete</v>
      </c>
      <c r="I228" s="48" t="s">
        <v>4593</v>
      </c>
    </row>
    <row r="229" spans="2:9" ht="15" customHeight="1" x14ac:dyDescent="0.25">
      <c r="B229" s="55" t="s">
        <v>279</v>
      </c>
      <c r="C229" s="46">
        <v>217</v>
      </c>
      <c r="D229" s="69" t="s">
        <v>29416</v>
      </c>
      <c r="E229" s="51"/>
      <c r="F229" s="114" t="str">
        <f>IF(INDEX(I.Facility.P1IDNumber,217)="","",INDEX(I.Facility.P1IDNumber,217))</f>
        <v/>
      </c>
      <c r="G229" s="51"/>
      <c r="H229" s="46" t="str">
        <f>IF(AND(I.Developer.P1=TRUE,I.Facility.P1FacilityCount&gt;=217,F229=""),"Incomplete","Complete")</f>
        <v>Complete</v>
      </c>
      <c r="I229" s="48" t="s">
        <v>4594</v>
      </c>
    </row>
    <row r="230" spans="2:9" ht="15" customHeight="1" x14ac:dyDescent="0.25">
      <c r="B230" s="55" t="s">
        <v>279</v>
      </c>
      <c r="C230" s="46">
        <v>218</v>
      </c>
      <c r="D230" s="69" t="s">
        <v>29416</v>
      </c>
      <c r="E230" s="51"/>
      <c r="F230" s="114" t="str">
        <f>IF(INDEX(I.Facility.P1IDNumber,218)="","",INDEX(I.Facility.P1IDNumber,218))</f>
        <v/>
      </c>
      <c r="G230" s="51"/>
      <c r="H230" s="46" t="str">
        <f>IF(AND(I.Developer.P1=TRUE,I.Facility.P1FacilityCount&gt;=218,F230=""),"Incomplete","Complete")</f>
        <v>Complete</v>
      </c>
      <c r="I230" s="48" t="s">
        <v>4595</v>
      </c>
    </row>
    <row r="231" spans="2:9" ht="15" customHeight="1" x14ac:dyDescent="0.25">
      <c r="B231" s="55" t="s">
        <v>279</v>
      </c>
      <c r="C231" s="46">
        <v>219</v>
      </c>
      <c r="D231" s="69" t="s">
        <v>29416</v>
      </c>
      <c r="E231" s="51"/>
      <c r="F231" s="114" t="str">
        <f>IF(INDEX(I.Facility.P1IDNumber,219)="","",INDEX(I.Facility.P1IDNumber,219))</f>
        <v/>
      </c>
      <c r="G231" s="51"/>
      <c r="H231" s="46" t="str">
        <f>IF(AND(I.Developer.P1=TRUE,I.Facility.P1FacilityCount&gt;=219,F231=""),"Incomplete","Complete")</f>
        <v>Complete</v>
      </c>
      <c r="I231" s="48" t="s">
        <v>4596</v>
      </c>
    </row>
    <row r="232" spans="2:9" ht="15" customHeight="1" x14ac:dyDescent="0.25">
      <c r="B232" s="55" t="s">
        <v>279</v>
      </c>
      <c r="C232" s="46">
        <v>220</v>
      </c>
      <c r="D232" s="69" t="s">
        <v>29416</v>
      </c>
      <c r="E232" s="51"/>
      <c r="F232" s="114" t="str">
        <f>IF(INDEX(I.Facility.P1IDNumber,220)="","",INDEX(I.Facility.P1IDNumber,220))</f>
        <v/>
      </c>
      <c r="G232" s="51"/>
      <c r="H232" s="46" t="str">
        <f>IF(AND(I.Developer.P1=TRUE,I.Facility.P1FacilityCount&gt;=220,F232=""),"Incomplete","Complete")</f>
        <v>Complete</v>
      </c>
      <c r="I232" s="48" t="s">
        <v>4597</v>
      </c>
    </row>
    <row r="233" spans="2:9" ht="15" customHeight="1" x14ac:dyDescent="0.25">
      <c r="B233" s="55" t="s">
        <v>279</v>
      </c>
      <c r="C233" s="46">
        <v>221</v>
      </c>
      <c r="D233" s="69" t="s">
        <v>29416</v>
      </c>
      <c r="E233" s="51"/>
      <c r="F233" s="114" t="str">
        <f>IF(INDEX(I.Facility.P1IDNumber,221)="","",INDEX(I.Facility.P1IDNumber,221))</f>
        <v/>
      </c>
      <c r="G233" s="51"/>
      <c r="H233" s="46" t="str">
        <f>IF(AND(I.Developer.P1=TRUE,I.Facility.P1FacilityCount&gt;=221,F233=""),"Incomplete","Complete")</f>
        <v>Complete</v>
      </c>
      <c r="I233" s="48" t="s">
        <v>4598</v>
      </c>
    </row>
    <row r="234" spans="2:9" ht="15" customHeight="1" x14ac:dyDescent="0.25">
      <c r="B234" s="55" t="s">
        <v>279</v>
      </c>
      <c r="C234" s="46">
        <v>222</v>
      </c>
      <c r="D234" s="69" t="s">
        <v>29416</v>
      </c>
      <c r="E234" s="51"/>
      <c r="F234" s="114" t="str">
        <f>IF(INDEX(I.Facility.P1IDNumber,222)="","",INDEX(I.Facility.P1IDNumber,222))</f>
        <v/>
      </c>
      <c r="G234" s="51"/>
      <c r="H234" s="46" t="str">
        <f>IF(AND(I.Developer.P1=TRUE,I.Facility.P1FacilityCount&gt;=222,F234=""),"Incomplete","Complete")</f>
        <v>Complete</v>
      </c>
      <c r="I234" s="48" t="s">
        <v>4599</v>
      </c>
    </row>
    <row r="235" spans="2:9" ht="15" customHeight="1" x14ac:dyDescent="0.25">
      <c r="B235" s="55" t="s">
        <v>279</v>
      </c>
      <c r="C235" s="46">
        <v>223</v>
      </c>
      <c r="D235" s="69" t="s">
        <v>29416</v>
      </c>
      <c r="E235" s="51"/>
      <c r="F235" s="114" t="str">
        <f>IF(INDEX(I.Facility.P1IDNumber,223)="","",INDEX(I.Facility.P1IDNumber,223))</f>
        <v/>
      </c>
      <c r="G235" s="51"/>
      <c r="H235" s="46" t="str">
        <f>IF(AND(I.Developer.P1=TRUE,I.Facility.P1FacilityCount&gt;=223,F235=""),"Incomplete","Complete")</f>
        <v>Complete</v>
      </c>
      <c r="I235" s="48" t="s">
        <v>4600</v>
      </c>
    </row>
    <row r="236" spans="2:9" ht="15" customHeight="1" x14ac:dyDescent="0.25">
      <c r="B236" s="55" t="s">
        <v>279</v>
      </c>
      <c r="C236" s="46">
        <v>224</v>
      </c>
      <c r="D236" s="69" t="s">
        <v>29416</v>
      </c>
      <c r="E236" s="51"/>
      <c r="F236" s="114" t="str">
        <f>IF(INDEX(I.Facility.P1IDNumber,224)="","",INDEX(I.Facility.P1IDNumber,224))</f>
        <v/>
      </c>
      <c r="G236" s="51"/>
      <c r="H236" s="46" t="str">
        <f>IF(AND(I.Developer.P1=TRUE,I.Facility.P1FacilityCount&gt;=224,F236=""),"Incomplete","Complete")</f>
        <v>Complete</v>
      </c>
      <c r="I236" s="48" t="s">
        <v>4601</v>
      </c>
    </row>
    <row r="237" spans="2:9" ht="15" customHeight="1" x14ac:dyDescent="0.25">
      <c r="B237" s="55" t="s">
        <v>279</v>
      </c>
      <c r="C237" s="46">
        <v>225</v>
      </c>
      <c r="D237" s="69" t="s">
        <v>29416</v>
      </c>
      <c r="E237" s="51"/>
      <c r="F237" s="114" t="str">
        <f>IF(INDEX(I.Facility.P1IDNumber,225)="","",INDEX(I.Facility.P1IDNumber,225))</f>
        <v/>
      </c>
      <c r="G237" s="51"/>
      <c r="H237" s="46" t="str">
        <f>IF(AND(I.Developer.P1=TRUE,I.Facility.P1FacilityCount&gt;=225,F237=""),"Incomplete","Complete")</f>
        <v>Complete</v>
      </c>
      <c r="I237" s="48" t="s">
        <v>4602</v>
      </c>
    </row>
    <row r="238" spans="2:9" ht="15" customHeight="1" x14ac:dyDescent="0.25">
      <c r="B238" s="55" t="s">
        <v>279</v>
      </c>
      <c r="C238" s="46">
        <v>226</v>
      </c>
      <c r="D238" s="69" t="s">
        <v>29416</v>
      </c>
      <c r="E238" s="51"/>
      <c r="F238" s="114" t="str">
        <f>IF(INDEX(I.Facility.P1IDNumber,226)="","",INDEX(I.Facility.P1IDNumber,226))</f>
        <v/>
      </c>
      <c r="G238" s="51"/>
      <c r="H238" s="46" t="str">
        <f>IF(AND(I.Developer.P1=TRUE,I.Facility.P1FacilityCount&gt;=226,F238=""),"Incomplete","Complete")</f>
        <v>Complete</v>
      </c>
      <c r="I238" s="48" t="s">
        <v>4603</v>
      </c>
    </row>
    <row r="239" spans="2:9" ht="15" customHeight="1" x14ac:dyDescent="0.25">
      <c r="B239" s="55" t="s">
        <v>279</v>
      </c>
      <c r="C239" s="46">
        <v>227</v>
      </c>
      <c r="D239" s="69" t="s">
        <v>29416</v>
      </c>
      <c r="E239" s="51"/>
      <c r="F239" s="114" t="str">
        <f>IF(INDEX(I.Facility.P1IDNumber,227)="","",INDEX(I.Facility.P1IDNumber,227))</f>
        <v/>
      </c>
      <c r="G239" s="51"/>
      <c r="H239" s="46" t="str">
        <f>IF(AND(I.Developer.P1=TRUE,I.Facility.P1FacilityCount&gt;=227,F239=""),"Incomplete","Complete")</f>
        <v>Complete</v>
      </c>
      <c r="I239" s="48" t="s">
        <v>4604</v>
      </c>
    </row>
    <row r="240" spans="2:9" ht="15" customHeight="1" x14ac:dyDescent="0.25">
      <c r="B240" s="55" t="s">
        <v>279</v>
      </c>
      <c r="C240" s="46">
        <v>228</v>
      </c>
      <c r="D240" s="69" t="s">
        <v>29416</v>
      </c>
      <c r="E240" s="51"/>
      <c r="F240" s="114" t="str">
        <f>IF(INDEX(I.Facility.P1IDNumber,228)="","",INDEX(I.Facility.P1IDNumber,228))</f>
        <v/>
      </c>
      <c r="G240" s="51"/>
      <c r="H240" s="46" t="str">
        <f>IF(AND(I.Developer.P1=TRUE,I.Facility.P1FacilityCount&gt;=228,F240=""),"Incomplete","Complete")</f>
        <v>Complete</v>
      </c>
      <c r="I240" s="48" t="s">
        <v>4605</v>
      </c>
    </row>
    <row r="241" spans="2:9" ht="15" customHeight="1" x14ac:dyDescent="0.25">
      <c r="B241" s="55" t="s">
        <v>279</v>
      </c>
      <c r="C241" s="46">
        <v>229</v>
      </c>
      <c r="D241" s="69" t="s">
        <v>29416</v>
      </c>
      <c r="E241" s="51"/>
      <c r="F241" s="114" t="str">
        <f>IF(INDEX(I.Facility.P1IDNumber,229)="","",INDEX(I.Facility.P1IDNumber,229))</f>
        <v/>
      </c>
      <c r="G241" s="51"/>
      <c r="H241" s="46" t="str">
        <f>IF(AND(I.Developer.P1=TRUE,I.Facility.P1FacilityCount&gt;=229,F241=""),"Incomplete","Complete")</f>
        <v>Complete</v>
      </c>
      <c r="I241" s="48" t="s">
        <v>4606</v>
      </c>
    </row>
    <row r="242" spans="2:9" ht="15" customHeight="1" x14ac:dyDescent="0.25">
      <c r="B242" s="55" t="s">
        <v>279</v>
      </c>
      <c r="C242" s="46">
        <v>230</v>
      </c>
      <c r="D242" s="69" t="s">
        <v>29416</v>
      </c>
      <c r="E242" s="51"/>
      <c r="F242" s="114" t="str">
        <f>IF(INDEX(I.Facility.P1IDNumber,230)="","",INDEX(I.Facility.P1IDNumber,230))</f>
        <v/>
      </c>
      <c r="G242" s="51"/>
      <c r="H242" s="46" t="str">
        <f>IF(AND(I.Developer.P1=TRUE,I.Facility.P1FacilityCount&gt;=230,F242=""),"Incomplete","Complete")</f>
        <v>Complete</v>
      </c>
      <c r="I242" s="48" t="s">
        <v>4607</v>
      </c>
    </row>
    <row r="243" spans="2:9" ht="15" customHeight="1" x14ac:dyDescent="0.25">
      <c r="B243" s="55" t="s">
        <v>279</v>
      </c>
      <c r="C243" s="46">
        <v>231</v>
      </c>
      <c r="D243" s="69" t="s">
        <v>29416</v>
      </c>
      <c r="E243" s="51"/>
      <c r="F243" s="114" t="str">
        <f>IF(INDEX(I.Facility.P1IDNumber,231)="","",INDEX(I.Facility.P1IDNumber,231))</f>
        <v/>
      </c>
      <c r="G243" s="51"/>
      <c r="H243" s="46" t="str">
        <f>IF(AND(I.Developer.P1=TRUE,I.Facility.P1FacilityCount&gt;=231,F243=""),"Incomplete","Complete")</f>
        <v>Complete</v>
      </c>
      <c r="I243" s="48" t="s">
        <v>4608</v>
      </c>
    </row>
    <row r="244" spans="2:9" ht="15" customHeight="1" x14ac:dyDescent="0.25">
      <c r="B244" s="55" t="s">
        <v>279</v>
      </c>
      <c r="C244" s="46">
        <v>232</v>
      </c>
      <c r="D244" s="69" t="s">
        <v>29416</v>
      </c>
      <c r="E244" s="51"/>
      <c r="F244" s="114" t="str">
        <f>IF(INDEX(I.Facility.P1IDNumber,232)="","",INDEX(I.Facility.P1IDNumber,232))</f>
        <v/>
      </c>
      <c r="G244" s="51"/>
      <c r="H244" s="46" t="str">
        <f>IF(AND(I.Developer.P1=TRUE,I.Facility.P1FacilityCount&gt;=232,F244=""),"Incomplete","Complete")</f>
        <v>Complete</v>
      </c>
      <c r="I244" s="48" t="s">
        <v>4609</v>
      </c>
    </row>
    <row r="245" spans="2:9" ht="15" customHeight="1" x14ac:dyDescent="0.25">
      <c r="B245" s="55" t="s">
        <v>279</v>
      </c>
      <c r="C245" s="46">
        <v>233</v>
      </c>
      <c r="D245" s="69" t="s">
        <v>29416</v>
      </c>
      <c r="E245" s="51"/>
      <c r="F245" s="114" t="str">
        <f>IF(INDEX(I.Facility.P1IDNumber,233)="","",INDEX(I.Facility.P1IDNumber,233))</f>
        <v/>
      </c>
      <c r="G245" s="51"/>
      <c r="H245" s="46" t="str">
        <f>IF(AND(I.Developer.P1=TRUE,I.Facility.P1FacilityCount&gt;=233,F245=""),"Incomplete","Complete")</f>
        <v>Complete</v>
      </c>
      <c r="I245" s="48" t="s">
        <v>4610</v>
      </c>
    </row>
    <row r="246" spans="2:9" ht="15" customHeight="1" x14ac:dyDescent="0.25">
      <c r="B246" s="55" t="s">
        <v>279</v>
      </c>
      <c r="C246" s="46">
        <v>234</v>
      </c>
      <c r="D246" s="69" t="s">
        <v>29416</v>
      </c>
      <c r="E246" s="51"/>
      <c r="F246" s="114" t="str">
        <f>IF(INDEX(I.Facility.P1IDNumber,234)="","",INDEX(I.Facility.P1IDNumber,234))</f>
        <v/>
      </c>
      <c r="G246" s="51"/>
      <c r="H246" s="46" t="str">
        <f>IF(AND(I.Developer.P1=TRUE,I.Facility.P1FacilityCount&gt;=234,F246=""),"Incomplete","Complete")</f>
        <v>Complete</v>
      </c>
      <c r="I246" s="48" t="s">
        <v>4611</v>
      </c>
    </row>
    <row r="247" spans="2:9" ht="15" customHeight="1" x14ac:dyDescent="0.25">
      <c r="B247" s="55" t="s">
        <v>279</v>
      </c>
      <c r="C247" s="46">
        <v>235</v>
      </c>
      <c r="D247" s="69" t="s">
        <v>29416</v>
      </c>
      <c r="E247" s="51"/>
      <c r="F247" s="114" t="str">
        <f>IF(INDEX(I.Facility.P1IDNumber,235)="","",INDEX(I.Facility.P1IDNumber,235))</f>
        <v/>
      </c>
      <c r="G247" s="51"/>
      <c r="H247" s="46" t="str">
        <f>IF(AND(I.Developer.P1=TRUE,I.Facility.P1FacilityCount&gt;=235,F247=""),"Incomplete","Complete")</f>
        <v>Complete</v>
      </c>
      <c r="I247" s="48" t="s">
        <v>4612</v>
      </c>
    </row>
    <row r="248" spans="2:9" ht="15" customHeight="1" x14ac:dyDescent="0.25">
      <c r="B248" s="55" t="s">
        <v>279</v>
      </c>
      <c r="C248" s="46">
        <v>236</v>
      </c>
      <c r="D248" s="69" t="s">
        <v>29416</v>
      </c>
      <c r="E248" s="51"/>
      <c r="F248" s="114" t="str">
        <f>IF(INDEX(I.Facility.P1IDNumber,236)="","",INDEX(I.Facility.P1IDNumber,236))</f>
        <v/>
      </c>
      <c r="G248" s="51"/>
      <c r="H248" s="46" t="str">
        <f>IF(AND(I.Developer.P1=TRUE,I.Facility.P1FacilityCount&gt;=236,F248=""),"Incomplete","Complete")</f>
        <v>Complete</v>
      </c>
      <c r="I248" s="48" t="s">
        <v>4613</v>
      </c>
    </row>
    <row r="249" spans="2:9" ht="15" customHeight="1" x14ac:dyDescent="0.25">
      <c r="B249" s="55" t="s">
        <v>279</v>
      </c>
      <c r="C249" s="46">
        <v>237</v>
      </c>
      <c r="D249" s="69" t="s">
        <v>29416</v>
      </c>
      <c r="E249" s="51"/>
      <c r="F249" s="114" t="str">
        <f>IF(INDEX(I.Facility.P1IDNumber,237)="","",INDEX(I.Facility.P1IDNumber,237))</f>
        <v/>
      </c>
      <c r="G249" s="51"/>
      <c r="H249" s="46" t="str">
        <f>IF(AND(I.Developer.P1=TRUE,I.Facility.P1FacilityCount&gt;=237,F249=""),"Incomplete","Complete")</f>
        <v>Complete</v>
      </c>
      <c r="I249" s="48" t="s">
        <v>4614</v>
      </c>
    </row>
    <row r="250" spans="2:9" ht="15" customHeight="1" x14ac:dyDescent="0.25">
      <c r="B250" s="55" t="s">
        <v>279</v>
      </c>
      <c r="C250" s="46">
        <v>238</v>
      </c>
      <c r="D250" s="69" t="s">
        <v>29416</v>
      </c>
      <c r="E250" s="51"/>
      <c r="F250" s="114" t="str">
        <f>IF(INDEX(I.Facility.P1IDNumber,238)="","",INDEX(I.Facility.P1IDNumber,238))</f>
        <v/>
      </c>
      <c r="G250" s="51"/>
      <c r="H250" s="46" t="str">
        <f>IF(AND(I.Developer.P1=TRUE,I.Facility.P1FacilityCount&gt;=238,F250=""),"Incomplete","Complete")</f>
        <v>Complete</v>
      </c>
      <c r="I250" s="48" t="s">
        <v>4615</v>
      </c>
    </row>
    <row r="251" spans="2:9" ht="15" customHeight="1" x14ac:dyDescent="0.25">
      <c r="B251" s="55" t="s">
        <v>279</v>
      </c>
      <c r="C251" s="46">
        <v>239</v>
      </c>
      <c r="D251" s="69" t="s">
        <v>29416</v>
      </c>
      <c r="E251" s="51"/>
      <c r="F251" s="114" t="str">
        <f>IF(INDEX(I.Facility.P1IDNumber,239)="","",INDEX(I.Facility.P1IDNumber,239))</f>
        <v/>
      </c>
      <c r="G251" s="51"/>
      <c r="H251" s="46" t="str">
        <f>IF(AND(I.Developer.P1=TRUE,I.Facility.P1FacilityCount&gt;=239,F251=""),"Incomplete","Complete")</f>
        <v>Complete</v>
      </c>
      <c r="I251" s="48" t="s">
        <v>4616</v>
      </c>
    </row>
    <row r="252" spans="2:9" ht="15" customHeight="1" x14ac:dyDescent="0.25">
      <c r="B252" s="55" t="s">
        <v>279</v>
      </c>
      <c r="C252" s="46">
        <v>240</v>
      </c>
      <c r="D252" s="69" t="s">
        <v>29416</v>
      </c>
      <c r="E252" s="51"/>
      <c r="F252" s="114" t="str">
        <f>IF(INDEX(I.Facility.P1IDNumber,240)="","",INDEX(I.Facility.P1IDNumber,240))</f>
        <v/>
      </c>
      <c r="G252" s="51"/>
      <c r="H252" s="46" t="str">
        <f>IF(AND(I.Developer.P1=TRUE,I.Facility.P1FacilityCount&gt;=240,F252=""),"Incomplete","Complete")</f>
        <v>Complete</v>
      </c>
      <c r="I252" s="48" t="s">
        <v>4617</v>
      </c>
    </row>
    <row r="253" spans="2:9" ht="15" customHeight="1" x14ac:dyDescent="0.25">
      <c r="B253" s="55" t="s">
        <v>279</v>
      </c>
      <c r="C253" s="46">
        <v>241</v>
      </c>
      <c r="D253" s="69" t="s">
        <v>29416</v>
      </c>
      <c r="E253" s="51"/>
      <c r="F253" s="114" t="str">
        <f>IF(INDEX(I.Facility.P1IDNumber,241)="","",INDEX(I.Facility.P1IDNumber,241))</f>
        <v/>
      </c>
      <c r="G253" s="51"/>
      <c r="H253" s="46" t="str">
        <f>IF(AND(I.Developer.P1=TRUE,I.Facility.P1FacilityCount&gt;=241,F253=""),"Incomplete","Complete")</f>
        <v>Complete</v>
      </c>
      <c r="I253" s="48" t="s">
        <v>4618</v>
      </c>
    </row>
    <row r="254" spans="2:9" ht="15" customHeight="1" x14ac:dyDescent="0.25">
      <c r="B254" s="55" t="s">
        <v>279</v>
      </c>
      <c r="C254" s="46">
        <v>242</v>
      </c>
      <c r="D254" s="69" t="s">
        <v>29416</v>
      </c>
      <c r="E254" s="51"/>
      <c r="F254" s="114" t="str">
        <f>IF(INDEX(I.Facility.P1IDNumber,242)="","",INDEX(I.Facility.P1IDNumber,242))</f>
        <v/>
      </c>
      <c r="G254" s="51"/>
      <c r="H254" s="46" t="str">
        <f>IF(AND(I.Developer.P1=TRUE,I.Facility.P1FacilityCount&gt;=242,F254=""),"Incomplete","Complete")</f>
        <v>Complete</v>
      </c>
      <c r="I254" s="48" t="s">
        <v>4619</v>
      </c>
    </row>
    <row r="255" spans="2:9" ht="15" customHeight="1" x14ac:dyDescent="0.25">
      <c r="B255" s="55" t="s">
        <v>279</v>
      </c>
      <c r="C255" s="46">
        <v>243</v>
      </c>
      <c r="D255" s="69" t="s">
        <v>29416</v>
      </c>
      <c r="E255" s="51"/>
      <c r="F255" s="114" t="str">
        <f>IF(INDEX(I.Facility.P1IDNumber,243)="","",INDEX(I.Facility.P1IDNumber,243))</f>
        <v/>
      </c>
      <c r="G255" s="51"/>
      <c r="H255" s="46" t="str">
        <f>IF(AND(I.Developer.P1=TRUE,I.Facility.P1FacilityCount&gt;=243,F255=""),"Incomplete","Complete")</f>
        <v>Complete</v>
      </c>
      <c r="I255" s="48" t="s">
        <v>4620</v>
      </c>
    </row>
    <row r="256" spans="2:9" ht="15" customHeight="1" x14ac:dyDescent="0.25">
      <c r="B256" s="55" t="s">
        <v>279</v>
      </c>
      <c r="C256" s="46">
        <v>244</v>
      </c>
      <c r="D256" s="69" t="s">
        <v>29416</v>
      </c>
      <c r="E256" s="51"/>
      <c r="F256" s="114" t="str">
        <f>IF(INDEX(I.Facility.P1IDNumber,244)="","",INDEX(I.Facility.P1IDNumber,244))</f>
        <v/>
      </c>
      <c r="G256" s="51"/>
      <c r="H256" s="46" t="str">
        <f>IF(AND(I.Developer.P1=TRUE,I.Facility.P1FacilityCount&gt;=244,F256=""),"Incomplete","Complete")</f>
        <v>Complete</v>
      </c>
      <c r="I256" s="48" t="s">
        <v>4621</v>
      </c>
    </row>
    <row r="257" spans="2:9" ht="15" customHeight="1" x14ac:dyDescent="0.25">
      <c r="B257" s="55" t="s">
        <v>279</v>
      </c>
      <c r="C257" s="46">
        <v>245</v>
      </c>
      <c r="D257" s="69" t="s">
        <v>29416</v>
      </c>
      <c r="E257" s="51"/>
      <c r="F257" s="114" t="str">
        <f>IF(INDEX(I.Facility.P1IDNumber,245)="","",INDEX(I.Facility.P1IDNumber,245))</f>
        <v/>
      </c>
      <c r="G257" s="51"/>
      <c r="H257" s="46" t="str">
        <f>IF(AND(I.Developer.P1=TRUE,I.Facility.P1FacilityCount&gt;=245,F257=""),"Incomplete","Complete")</f>
        <v>Complete</v>
      </c>
      <c r="I257" s="48" t="s">
        <v>4622</v>
      </c>
    </row>
    <row r="258" spans="2:9" ht="15" customHeight="1" x14ac:dyDescent="0.25">
      <c r="B258" s="55" t="s">
        <v>279</v>
      </c>
      <c r="C258" s="46">
        <v>246</v>
      </c>
      <c r="D258" s="69" t="s">
        <v>29416</v>
      </c>
      <c r="E258" s="51"/>
      <c r="F258" s="114" t="str">
        <f>IF(INDEX(I.Facility.P1IDNumber,246)="","",INDEX(I.Facility.P1IDNumber,246))</f>
        <v/>
      </c>
      <c r="G258" s="51"/>
      <c r="H258" s="46" t="str">
        <f>IF(AND(I.Developer.P1=TRUE,I.Facility.P1FacilityCount&gt;=246,F258=""),"Incomplete","Complete")</f>
        <v>Complete</v>
      </c>
      <c r="I258" s="48" t="s">
        <v>4623</v>
      </c>
    </row>
    <row r="259" spans="2:9" ht="15" customHeight="1" x14ac:dyDescent="0.25">
      <c r="B259" s="55" t="s">
        <v>279</v>
      </c>
      <c r="C259" s="46">
        <v>247</v>
      </c>
      <c r="D259" s="69" t="s">
        <v>29416</v>
      </c>
      <c r="E259" s="51"/>
      <c r="F259" s="114" t="str">
        <f>IF(INDEX(I.Facility.P1IDNumber,247)="","",INDEX(I.Facility.P1IDNumber,247))</f>
        <v/>
      </c>
      <c r="G259" s="51"/>
      <c r="H259" s="46" t="str">
        <f>IF(AND(I.Developer.P1=TRUE,I.Facility.P1FacilityCount&gt;=247,F259=""),"Incomplete","Complete")</f>
        <v>Complete</v>
      </c>
      <c r="I259" s="48" t="s">
        <v>4624</v>
      </c>
    </row>
    <row r="260" spans="2:9" ht="15" customHeight="1" x14ac:dyDescent="0.25">
      <c r="B260" s="55" t="s">
        <v>279</v>
      </c>
      <c r="C260" s="46">
        <v>248</v>
      </c>
      <c r="D260" s="69" t="s">
        <v>29416</v>
      </c>
      <c r="E260" s="51"/>
      <c r="F260" s="114" t="str">
        <f>IF(INDEX(I.Facility.P1IDNumber,248)="","",INDEX(I.Facility.P1IDNumber,248))</f>
        <v/>
      </c>
      <c r="G260" s="51"/>
      <c r="H260" s="46" t="str">
        <f>IF(AND(I.Developer.P1=TRUE,I.Facility.P1FacilityCount&gt;=248,F260=""),"Incomplete","Complete")</f>
        <v>Complete</v>
      </c>
      <c r="I260" s="48" t="s">
        <v>4625</v>
      </c>
    </row>
    <row r="261" spans="2:9" ht="15" customHeight="1" x14ac:dyDescent="0.25">
      <c r="B261" s="55" t="s">
        <v>279</v>
      </c>
      <c r="C261" s="46">
        <v>249</v>
      </c>
      <c r="D261" s="69" t="s">
        <v>29416</v>
      </c>
      <c r="E261" s="51"/>
      <c r="F261" s="114" t="str">
        <f>IF(INDEX(I.Facility.P1IDNumber,249)="","",INDEX(I.Facility.P1IDNumber,249))</f>
        <v/>
      </c>
      <c r="G261" s="51"/>
      <c r="H261" s="46" t="str">
        <f>IF(AND(I.Developer.P1=TRUE,I.Facility.P1FacilityCount&gt;=249,F261=""),"Incomplete","Complete")</f>
        <v>Complete</v>
      </c>
      <c r="I261" s="48" t="s">
        <v>4626</v>
      </c>
    </row>
    <row r="262" spans="2:9" ht="15" customHeight="1" x14ac:dyDescent="0.25">
      <c r="B262" s="55" t="s">
        <v>279</v>
      </c>
      <c r="C262" s="46">
        <v>250</v>
      </c>
      <c r="D262" s="69" t="s">
        <v>29416</v>
      </c>
      <c r="E262" s="51"/>
      <c r="F262" s="114" t="str">
        <f>IF(INDEX(I.Facility.P1IDNumber,250)="","",INDEX(I.Facility.P1IDNumber,250))</f>
        <v/>
      </c>
      <c r="G262" s="51"/>
      <c r="H262" s="46" t="str">
        <f>IF(AND(I.Developer.P1=TRUE,I.Facility.P1FacilityCount&gt;=250,F262=""),"Incomplete","Complete")</f>
        <v>Complete</v>
      </c>
      <c r="I262" s="48" t="s">
        <v>4627</v>
      </c>
    </row>
    <row r="263" spans="2:9" ht="15" customHeight="1" x14ac:dyDescent="0.25">
      <c r="B263" s="55" t="s">
        <v>279</v>
      </c>
      <c r="C263" s="46">
        <v>251</v>
      </c>
      <c r="D263" s="69" t="s">
        <v>29416</v>
      </c>
      <c r="E263" s="51"/>
      <c r="F263" s="114" t="str">
        <f>IF(INDEX(I.Facility.P1IDNumber,251)="","",INDEX(I.Facility.P1IDNumber,251))</f>
        <v/>
      </c>
      <c r="G263" s="51"/>
      <c r="H263" s="46" t="str">
        <f>IF(AND(I.Developer.P1=TRUE,I.Facility.P1FacilityCount&gt;=251,F263=""),"Incomplete","Complete")</f>
        <v>Complete</v>
      </c>
      <c r="I263" s="48" t="s">
        <v>4628</v>
      </c>
    </row>
    <row r="264" spans="2:9" ht="15" customHeight="1" x14ac:dyDescent="0.25">
      <c r="B264" s="55" t="s">
        <v>279</v>
      </c>
      <c r="C264" s="46">
        <v>252</v>
      </c>
      <c r="D264" s="69" t="s">
        <v>29416</v>
      </c>
      <c r="E264" s="51"/>
      <c r="F264" s="114" t="str">
        <f>IF(INDEX(I.Facility.P1IDNumber,252)="","",INDEX(I.Facility.P1IDNumber,252))</f>
        <v/>
      </c>
      <c r="G264" s="51"/>
      <c r="H264" s="46" t="str">
        <f>IF(AND(I.Developer.P1=TRUE,I.Facility.P1FacilityCount&gt;=252,F264=""),"Incomplete","Complete")</f>
        <v>Complete</v>
      </c>
      <c r="I264" s="48" t="s">
        <v>4629</v>
      </c>
    </row>
    <row r="265" spans="2:9" ht="15" customHeight="1" x14ac:dyDescent="0.25">
      <c r="B265" s="55" t="s">
        <v>279</v>
      </c>
      <c r="C265" s="46">
        <v>253</v>
      </c>
      <c r="D265" s="69" t="s">
        <v>29416</v>
      </c>
      <c r="E265" s="51"/>
      <c r="F265" s="114" t="str">
        <f>IF(INDEX(I.Facility.P1IDNumber,253)="","",INDEX(I.Facility.P1IDNumber,253))</f>
        <v/>
      </c>
      <c r="G265" s="51"/>
      <c r="H265" s="46" t="str">
        <f>IF(AND(I.Developer.P1=TRUE,I.Facility.P1FacilityCount&gt;=253,F265=""),"Incomplete","Complete")</f>
        <v>Complete</v>
      </c>
      <c r="I265" s="48" t="s">
        <v>4630</v>
      </c>
    </row>
    <row r="266" spans="2:9" ht="15" customHeight="1" x14ac:dyDescent="0.25">
      <c r="B266" s="55" t="s">
        <v>279</v>
      </c>
      <c r="C266" s="46">
        <v>254</v>
      </c>
      <c r="D266" s="69" t="s">
        <v>29416</v>
      </c>
      <c r="E266" s="51"/>
      <c r="F266" s="114" t="str">
        <f>IF(INDEX(I.Facility.P1IDNumber,254)="","",INDEX(I.Facility.P1IDNumber,254))</f>
        <v/>
      </c>
      <c r="G266" s="51"/>
      <c r="H266" s="46" t="str">
        <f>IF(AND(I.Developer.P1=TRUE,I.Facility.P1FacilityCount&gt;=254,F266=""),"Incomplete","Complete")</f>
        <v>Complete</v>
      </c>
      <c r="I266" s="48" t="s">
        <v>4631</v>
      </c>
    </row>
    <row r="267" spans="2:9" ht="15" customHeight="1" x14ac:dyDescent="0.25">
      <c r="B267" s="55" t="s">
        <v>279</v>
      </c>
      <c r="C267" s="46">
        <v>255</v>
      </c>
      <c r="D267" s="69" t="s">
        <v>29416</v>
      </c>
      <c r="E267" s="51"/>
      <c r="F267" s="114" t="str">
        <f>IF(INDEX(I.Facility.P1IDNumber,255)="","",INDEX(I.Facility.P1IDNumber,255))</f>
        <v/>
      </c>
      <c r="G267" s="51"/>
      <c r="H267" s="46" t="str">
        <f>IF(AND(I.Developer.P1=TRUE,I.Facility.P1FacilityCount&gt;=255,F267=""),"Incomplete","Complete")</f>
        <v>Complete</v>
      </c>
      <c r="I267" s="48" t="s">
        <v>4632</v>
      </c>
    </row>
    <row r="268" spans="2:9" ht="15" customHeight="1" x14ac:dyDescent="0.25">
      <c r="B268" s="55" t="s">
        <v>279</v>
      </c>
      <c r="C268" s="46">
        <v>256</v>
      </c>
      <c r="D268" s="69" t="s">
        <v>29416</v>
      </c>
      <c r="E268" s="51"/>
      <c r="F268" s="114" t="str">
        <f>IF(INDEX(I.Facility.P1IDNumber,256)="","",INDEX(I.Facility.P1IDNumber,256))</f>
        <v/>
      </c>
      <c r="G268" s="51"/>
      <c r="H268" s="46" t="str">
        <f>IF(AND(I.Developer.P1=TRUE,I.Facility.P1FacilityCount&gt;=256,F268=""),"Incomplete","Complete")</f>
        <v>Complete</v>
      </c>
      <c r="I268" s="48" t="s">
        <v>4633</v>
      </c>
    </row>
    <row r="269" spans="2:9" ht="15" customHeight="1" x14ac:dyDescent="0.25">
      <c r="B269" s="55" t="s">
        <v>279</v>
      </c>
      <c r="C269" s="46">
        <v>257</v>
      </c>
      <c r="D269" s="69" t="s">
        <v>29416</v>
      </c>
      <c r="E269" s="51"/>
      <c r="F269" s="114" t="str">
        <f>IF(INDEX(I.Facility.P1IDNumber,257)="","",INDEX(I.Facility.P1IDNumber,257))</f>
        <v/>
      </c>
      <c r="G269" s="51"/>
      <c r="H269" s="46" t="str">
        <f>IF(AND(I.Developer.P1=TRUE,I.Facility.P1FacilityCount&gt;=257,F269=""),"Incomplete","Complete")</f>
        <v>Complete</v>
      </c>
      <c r="I269" s="48" t="s">
        <v>4634</v>
      </c>
    </row>
    <row r="270" spans="2:9" ht="15" customHeight="1" x14ac:dyDescent="0.25">
      <c r="B270" s="55" t="s">
        <v>279</v>
      </c>
      <c r="C270" s="46">
        <v>258</v>
      </c>
      <c r="D270" s="69" t="s">
        <v>29416</v>
      </c>
      <c r="E270" s="51"/>
      <c r="F270" s="114" t="str">
        <f>IF(INDEX(I.Facility.P1IDNumber,258)="","",INDEX(I.Facility.P1IDNumber,258))</f>
        <v/>
      </c>
      <c r="G270" s="51"/>
      <c r="H270" s="46" t="str">
        <f>IF(AND(I.Developer.P1=TRUE,I.Facility.P1FacilityCount&gt;=258,F270=""),"Incomplete","Complete")</f>
        <v>Complete</v>
      </c>
      <c r="I270" s="48" t="s">
        <v>4635</v>
      </c>
    </row>
    <row r="271" spans="2:9" ht="15" customHeight="1" x14ac:dyDescent="0.25">
      <c r="B271" s="55" t="s">
        <v>279</v>
      </c>
      <c r="C271" s="46">
        <v>259</v>
      </c>
      <c r="D271" s="69" t="s">
        <v>29416</v>
      </c>
      <c r="E271" s="51"/>
      <c r="F271" s="114" t="str">
        <f>IF(INDEX(I.Facility.P1IDNumber,259)="","",INDEX(I.Facility.P1IDNumber,259))</f>
        <v/>
      </c>
      <c r="G271" s="51"/>
      <c r="H271" s="46" t="str">
        <f>IF(AND(I.Developer.P1=TRUE,I.Facility.P1FacilityCount&gt;=259,F271=""),"Incomplete","Complete")</f>
        <v>Complete</v>
      </c>
      <c r="I271" s="48" t="s">
        <v>4636</v>
      </c>
    </row>
    <row r="272" spans="2:9" ht="15" customHeight="1" x14ac:dyDescent="0.25">
      <c r="B272" s="55" t="s">
        <v>279</v>
      </c>
      <c r="C272" s="46">
        <v>260</v>
      </c>
      <c r="D272" s="69" t="s">
        <v>29416</v>
      </c>
      <c r="E272" s="51"/>
      <c r="F272" s="114" t="str">
        <f>IF(INDEX(I.Facility.P1IDNumber,260)="","",INDEX(I.Facility.P1IDNumber,260))</f>
        <v/>
      </c>
      <c r="G272" s="51"/>
      <c r="H272" s="46" t="str">
        <f>IF(AND(I.Developer.P1=TRUE,I.Facility.P1FacilityCount&gt;=260,F272=""),"Incomplete","Complete")</f>
        <v>Complete</v>
      </c>
      <c r="I272" s="48" t="s">
        <v>4637</v>
      </c>
    </row>
    <row r="273" spans="2:9" ht="15" customHeight="1" x14ac:dyDescent="0.25">
      <c r="B273" s="55" t="s">
        <v>279</v>
      </c>
      <c r="C273" s="46">
        <v>261</v>
      </c>
      <c r="D273" s="69" t="s">
        <v>29416</v>
      </c>
      <c r="E273" s="51"/>
      <c r="F273" s="114" t="str">
        <f>IF(INDEX(I.Facility.P1IDNumber,261)="","",INDEX(I.Facility.P1IDNumber,261))</f>
        <v/>
      </c>
      <c r="G273" s="51"/>
      <c r="H273" s="46" t="str">
        <f>IF(AND(I.Developer.P1=TRUE,I.Facility.P1FacilityCount&gt;=261,F273=""),"Incomplete","Complete")</f>
        <v>Complete</v>
      </c>
      <c r="I273" s="48" t="s">
        <v>4638</v>
      </c>
    </row>
    <row r="274" spans="2:9" ht="15" customHeight="1" x14ac:dyDescent="0.25">
      <c r="B274" s="55" t="s">
        <v>279</v>
      </c>
      <c r="C274" s="46">
        <v>262</v>
      </c>
      <c r="D274" s="69" t="s">
        <v>29416</v>
      </c>
      <c r="E274" s="51"/>
      <c r="F274" s="114" t="str">
        <f>IF(INDEX(I.Facility.P1IDNumber,262)="","",INDEX(I.Facility.P1IDNumber,262))</f>
        <v/>
      </c>
      <c r="G274" s="51"/>
      <c r="H274" s="46" t="str">
        <f>IF(AND(I.Developer.P1=TRUE,I.Facility.P1FacilityCount&gt;=262,F274=""),"Incomplete","Complete")</f>
        <v>Complete</v>
      </c>
      <c r="I274" s="48" t="s">
        <v>4639</v>
      </c>
    </row>
    <row r="275" spans="2:9" ht="15" customHeight="1" x14ac:dyDescent="0.25">
      <c r="B275" s="55" t="s">
        <v>279</v>
      </c>
      <c r="C275" s="46">
        <v>263</v>
      </c>
      <c r="D275" s="69" t="s">
        <v>29416</v>
      </c>
      <c r="E275" s="51"/>
      <c r="F275" s="114" t="str">
        <f>IF(INDEX(I.Facility.P1IDNumber,263)="","",INDEX(I.Facility.P1IDNumber,263))</f>
        <v/>
      </c>
      <c r="G275" s="51"/>
      <c r="H275" s="46" t="str">
        <f>IF(AND(I.Developer.P1=TRUE,I.Facility.P1FacilityCount&gt;=263,F275=""),"Incomplete","Complete")</f>
        <v>Complete</v>
      </c>
      <c r="I275" s="48" t="s">
        <v>4640</v>
      </c>
    </row>
    <row r="276" spans="2:9" ht="15" customHeight="1" x14ac:dyDescent="0.25">
      <c r="B276" s="55" t="s">
        <v>279</v>
      </c>
      <c r="C276" s="46">
        <v>264</v>
      </c>
      <c r="D276" s="69" t="s">
        <v>29416</v>
      </c>
      <c r="E276" s="51"/>
      <c r="F276" s="114" t="str">
        <f>IF(INDEX(I.Facility.P1IDNumber,264)="","",INDEX(I.Facility.P1IDNumber,264))</f>
        <v/>
      </c>
      <c r="G276" s="51"/>
      <c r="H276" s="46" t="str">
        <f>IF(AND(I.Developer.P1=TRUE,I.Facility.P1FacilityCount&gt;=264,F276=""),"Incomplete","Complete")</f>
        <v>Complete</v>
      </c>
      <c r="I276" s="48" t="s">
        <v>4641</v>
      </c>
    </row>
    <row r="277" spans="2:9" ht="15" customHeight="1" x14ac:dyDescent="0.25">
      <c r="B277" s="55" t="s">
        <v>279</v>
      </c>
      <c r="C277" s="46">
        <v>265</v>
      </c>
      <c r="D277" s="69" t="s">
        <v>29416</v>
      </c>
      <c r="E277" s="51"/>
      <c r="F277" s="114" t="str">
        <f>IF(INDEX(I.Facility.P1IDNumber,265)="","",INDEX(I.Facility.P1IDNumber,265))</f>
        <v/>
      </c>
      <c r="G277" s="51"/>
      <c r="H277" s="46" t="str">
        <f>IF(AND(I.Developer.P1=TRUE,I.Facility.P1FacilityCount&gt;=265,F277=""),"Incomplete","Complete")</f>
        <v>Complete</v>
      </c>
      <c r="I277" s="48" t="s">
        <v>4642</v>
      </c>
    </row>
    <row r="278" spans="2:9" ht="15" customHeight="1" x14ac:dyDescent="0.25">
      <c r="B278" s="55" t="s">
        <v>279</v>
      </c>
      <c r="C278" s="46">
        <v>266</v>
      </c>
      <c r="D278" s="69" t="s">
        <v>29416</v>
      </c>
      <c r="E278" s="51"/>
      <c r="F278" s="114" t="str">
        <f>IF(INDEX(I.Facility.P1IDNumber,266)="","",INDEX(I.Facility.P1IDNumber,266))</f>
        <v/>
      </c>
      <c r="G278" s="51"/>
      <c r="H278" s="46" t="str">
        <f>IF(AND(I.Developer.P1=TRUE,I.Facility.P1FacilityCount&gt;=266,F278=""),"Incomplete","Complete")</f>
        <v>Complete</v>
      </c>
      <c r="I278" s="48" t="s">
        <v>4643</v>
      </c>
    </row>
    <row r="279" spans="2:9" ht="15" customHeight="1" x14ac:dyDescent="0.25">
      <c r="B279" s="55" t="s">
        <v>279</v>
      </c>
      <c r="C279" s="46">
        <v>267</v>
      </c>
      <c r="D279" s="69" t="s">
        <v>29416</v>
      </c>
      <c r="E279" s="51"/>
      <c r="F279" s="114" t="str">
        <f>IF(INDEX(I.Facility.P1IDNumber,267)="","",INDEX(I.Facility.P1IDNumber,267))</f>
        <v/>
      </c>
      <c r="G279" s="51"/>
      <c r="H279" s="46" t="str">
        <f>IF(AND(I.Developer.P1=TRUE,I.Facility.P1FacilityCount&gt;=267,F279=""),"Incomplete","Complete")</f>
        <v>Complete</v>
      </c>
      <c r="I279" s="48" t="s">
        <v>4644</v>
      </c>
    </row>
    <row r="280" spans="2:9" ht="15" customHeight="1" x14ac:dyDescent="0.25">
      <c r="B280" s="55" t="s">
        <v>279</v>
      </c>
      <c r="C280" s="46">
        <v>268</v>
      </c>
      <c r="D280" s="69" t="s">
        <v>29416</v>
      </c>
      <c r="E280" s="51"/>
      <c r="F280" s="114" t="str">
        <f>IF(INDEX(I.Facility.P1IDNumber,268)="","",INDEX(I.Facility.P1IDNumber,268))</f>
        <v/>
      </c>
      <c r="G280" s="51"/>
      <c r="H280" s="46" t="str">
        <f>IF(AND(I.Developer.P1=TRUE,I.Facility.P1FacilityCount&gt;=268,F280=""),"Incomplete","Complete")</f>
        <v>Complete</v>
      </c>
      <c r="I280" s="48" t="s">
        <v>4645</v>
      </c>
    </row>
    <row r="281" spans="2:9" ht="15" customHeight="1" x14ac:dyDescent="0.25">
      <c r="B281" s="55" t="s">
        <v>279</v>
      </c>
      <c r="C281" s="46">
        <v>269</v>
      </c>
      <c r="D281" s="69" t="s">
        <v>29416</v>
      </c>
      <c r="E281" s="51"/>
      <c r="F281" s="114" t="str">
        <f>IF(INDEX(I.Facility.P1IDNumber,269)="","",INDEX(I.Facility.P1IDNumber,269))</f>
        <v/>
      </c>
      <c r="G281" s="51"/>
      <c r="H281" s="46" t="str">
        <f>IF(AND(I.Developer.P1=TRUE,I.Facility.P1FacilityCount&gt;=269,F281=""),"Incomplete","Complete")</f>
        <v>Complete</v>
      </c>
      <c r="I281" s="48" t="s">
        <v>4646</v>
      </c>
    </row>
    <row r="282" spans="2:9" ht="15" customHeight="1" x14ac:dyDescent="0.25">
      <c r="B282" s="55" t="s">
        <v>279</v>
      </c>
      <c r="C282" s="46">
        <v>270</v>
      </c>
      <c r="D282" s="69" t="s">
        <v>29416</v>
      </c>
      <c r="E282" s="51"/>
      <c r="F282" s="114" t="str">
        <f>IF(INDEX(I.Facility.P1IDNumber,270)="","",INDEX(I.Facility.P1IDNumber,270))</f>
        <v/>
      </c>
      <c r="G282" s="51"/>
      <c r="H282" s="46" t="str">
        <f>IF(AND(I.Developer.P1=TRUE,I.Facility.P1FacilityCount&gt;=270,F282=""),"Incomplete","Complete")</f>
        <v>Complete</v>
      </c>
      <c r="I282" s="48" t="s">
        <v>4647</v>
      </c>
    </row>
    <row r="283" spans="2:9" ht="15" customHeight="1" x14ac:dyDescent="0.25">
      <c r="B283" s="55" t="s">
        <v>279</v>
      </c>
      <c r="C283" s="46">
        <v>271</v>
      </c>
      <c r="D283" s="69" t="s">
        <v>29416</v>
      </c>
      <c r="E283" s="51"/>
      <c r="F283" s="114" t="str">
        <f>IF(INDEX(I.Facility.P1IDNumber,271)="","",INDEX(I.Facility.P1IDNumber,271))</f>
        <v/>
      </c>
      <c r="G283" s="51"/>
      <c r="H283" s="46" t="str">
        <f>IF(AND(I.Developer.P1=TRUE,I.Facility.P1FacilityCount&gt;=271,F283=""),"Incomplete","Complete")</f>
        <v>Complete</v>
      </c>
      <c r="I283" s="48" t="s">
        <v>4648</v>
      </c>
    </row>
    <row r="284" spans="2:9" ht="15" customHeight="1" x14ac:dyDescent="0.25">
      <c r="B284" s="55" t="s">
        <v>279</v>
      </c>
      <c r="C284" s="46">
        <v>272</v>
      </c>
      <c r="D284" s="69" t="s">
        <v>29416</v>
      </c>
      <c r="E284" s="51"/>
      <c r="F284" s="114" t="str">
        <f>IF(INDEX(I.Facility.P1IDNumber,272)="","",INDEX(I.Facility.P1IDNumber,272))</f>
        <v/>
      </c>
      <c r="G284" s="51"/>
      <c r="H284" s="46" t="str">
        <f>IF(AND(I.Developer.P1=TRUE,I.Facility.P1FacilityCount&gt;=272,F284=""),"Incomplete","Complete")</f>
        <v>Complete</v>
      </c>
      <c r="I284" s="48" t="s">
        <v>4649</v>
      </c>
    </row>
    <row r="285" spans="2:9" ht="15" customHeight="1" x14ac:dyDescent="0.25">
      <c r="B285" s="55" t="s">
        <v>279</v>
      </c>
      <c r="C285" s="46">
        <v>273</v>
      </c>
      <c r="D285" s="69" t="s">
        <v>29416</v>
      </c>
      <c r="E285" s="51"/>
      <c r="F285" s="114" t="str">
        <f>IF(INDEX(I.Facility.P1IDNumber,273)="","",INDEX(I.Facility.P1IDNumber,273))</f>
        <v/>
      </c>
      <c r="G285" s="51"/>
      <c r="H285" s="46" t="str">
        <f>IF(AND(I.Developer.P1=TRUE,I.Facility.P1FacilityCount&gt;=273,F285=""),"Incomplete","Complete")</f>
        <v>Complete</v>
      </c>
      <c r="I285" s="48" t="s">
        <v>4650</v>
      </c>
    </row>
    <row r="286" spans="2:9" ht="15" customHeight="1" x14ac:dyDescent="0.25">
      <c r="B286" s="55" t="s">
        <v>279</v>
      </c>
      <c r="C286" s="46">
        <v>274</v>
      </c>
      <c r="D286" s="69" t="s">
        <v>29416</v>
      </c>
      <c r="E286" s="51"/>
      <c r="F286" s="114" t="str">
        <f>IF(INDEX(I.Facility.P1IDNumber,274)="","",INDEX(I.Facility.P1IDNumber,274))</f>
        <v/>
      </c>
      <c r="G286" s="51"/>
      <c r="H286" s="46" t="str">
        <f>IF(AND(I.Developer.P1=TRUE,I.Facility.P1FacilityCount&gt;=274,F286=""),"Incomplete","Complete")</f>
        <v>Complete</v>
      </c>
      <c r="I286" s="48" t="s">
        <v>4651</v>
      </c>
    </row>
    <row r="287" spans="2:9" ht="15" customHeight="1" x14ac:dyDescent="0.25">
      <c r="B287" s="55" t="s">
        <v>279</v>
      </c>
      <c r="C287" s="46">
        <v>275</v>
      </c>
      <c r="D287" s="69" t="s">
        <v>29416</v>
      </c>
      <c r="E287" s="51"/>
      <c r="F287" s="114" t="str">
        <f>IF(INDEX(I.Facility.P1IDNumber,275)="","",INDEX(I.Facility.P1IDNumber,275))</f>
        <v/>
      </c>
      <c r="G287" s="51"/>
      <c r="H287" s="46" t="str">
        <f>IF(AND(I.Developer.P1=TRUE,I.Facility.P1FacilityCount&gt;=275,F287=""),"Incomplete","Complete")</f>
        <v>Complete</v>
      </c>
      <c r="I287" s="48" t="s">
        <v>4652</v>
      </c>
    </row>
    <row r="288" spans="2:9" ht="15" customHeight="1" x14ac:dyDescent="0.25">
      <c r="B288" s="55" t="s">
        <v>279</v>
      </c>
      <c r="C288" s="46">
        <v>276</v>
      </c>
      <c r="D288" s="69" t="s">
        <v>29416</v>
      </c>
      <c r="E288" s="51"/>
      <c r="F288" s="114" t="str">
        <f>IF(INDEX(I.Facility.P1IDNumber,276)="","",INDEX(I.Facility.P1IDNumber,276))</f>
        <v/>
      </c>
      <c r="G288" s="51"/>
      <c r="H288" s="46" t="str">
        <f>IF(AND(I.Developer.P1=TRUE,I.Facility.P1FacilityCount&gt;=276,F288=""),"Incomplete","Complete")</f>
        <v>Complete</v>
      </c>
      <c r="I288" s="48" t="s">
        <v>4653</v>
      </c>
    </row>
    <row r="289" spans="2:9" ht="15" customHeight="1" x14ac:dyDescent="0.25">
      <c r="B289" s="55" t="s">
        <v>279</v>
      </c>
      <c r="C289" s="46">
        <v>277</v>
      </c>
      <c r="D289" s="69" t="s">
        <v>29416</v>
      </c>
      <c r="E289" s="51"/>
      <c r="F289" s="114" t="str">
        <f>IF(INDEX(I.Facility.P1IDNumber,277)="","",INDEX(I.Facility.P1IDNumber,277))</f>
        <v/>
      </c>
      <c r="G289" s="51"/>
      <c r="H289" s="46" t="str">
        <f>IF(AND(I.Developer.P1=TRUE,I.Facility.P1FacilityCount&gt;=277,F289=""),"Incomplete","Complete")</f>
        <v>Complete</v>
      </c>
      <c r="I289" s="48" t="s">
        <v>4654</v>
      </c>
    </row>
    <row r="290" spans="2:9" ht="15" customHeight="1" x14ac:dyDescent="0.25">
      <c r="B290" s="55" t="s">
        <v>279</v>
      </c>
      <c r="C290" s="46">
        <v>278</v>
      </c>
      <c r="D290" s="69" t="s">
        <v>29416</v>
      </c>
      <c r="E290" s="51"/>
      <c r="F290" s="114" t="str">
        <f>IF(INDEX(I.Facility.P1IDNumber,278)="","",INDEX(I.Facility.P1IDNumber,278))</f>
        <v/>
      </c>
      <c r="G290" s="51"/>
      <c r="H290" s="46" t="str">
        <f>IF(AND(I.Developer.P1=TRUE,I.Facility.P1FacilityCount&gt;=278,F290=""),"Incomplete","Complete")</f>
        <v>Complete</v>
      </c>
      <c r="I290" s="48" t="s">
        <v>4655</v>
      </c>
    </row>
    <row r="291" spans="2:9" ht="15" customHeight="1" x14ac:dyDescent="0.25">
      <c r="B291" s="55" t="s">
        <v>279</v>
      </c>
      <c r="C291" s="46">
        <v>279</v>
      </c>
      <c r="D291" s="69" t="s">
        <v>29416</v>
      </c>
      <c r="E291" s="51"/>
      <c r="F291" s="114" t="str">
        <f>IF(INDEX(I.Facility.P1IDNumber,279)="","",INDEX(I.Facility.P1IDNumber,279))</f>
        <v/>
      </c>
      <c r="G291" s="51"/>
      <c r="H291" s="46" t="str">
        <f>IF(AND(I.Developer.P1=TRUE,I.Facility.P1FacilityCount&gt;=279,F291=""),"Incomplete","Complete")</f>
        <v>Complete</v>
      </c>
      <c r="I291" s="48" t="s">
        <v>4656</v>
      </c>
    </row>
    <row r="292" spans="2:9" ht="15" customHeight="1" x14ac:dyDescent="0.25">
      <c r="B292" s="55" t="s">
        <v>279</v>
      </c>
      <c r="C292" s="46">
        <v>280</v>
      </c>
      <c r="D292" s="69" t="s">
        <v>29416</v>
      </c>
      <c r="E292" s="51"/>
      <c r="F292" s="114" t="str">
        <f>IF(INDEX(I.Facility.P1IDNumber,280)="","",INDEX(I.Facility.P1IDNumber,280))</f>
        <v/>
      </c>
      <c r="G292" s="51"/>
      <c r="H292" s="46" t="str">
        <f>IF(AND(I.Developer.P1=TRUE,I.Facility.P1FacilityCount&gt;=280,F292=""),"Incomplete","Complete")</f>
        <v>Complete</v>
      </c>
      <c r="I292" s="48" t="s">
        <v>4657</v>
      </c>
    </row>
    <row r="293" spans="2:9" ht="15" customHeight="1" x14ac:dyDescent="0.25">
      <c r="B293" s="55" t="s">
        <v>279</v>
      </c>
      <c r="C293" s="46">
        <v>281</v>
      </c>
      <c r="D293" s="69" t="s">
        <v>29416</v>
      </c>
      <c r="E293" s="51"/>
      <c r="F293" s="114" t="str">
        <f>IF(INDEX(I.Facility.P1IDNumber,281)="","",INDEX(I.Facility.P1IDNumber,281))</f>
        <v/>
      </c>
      <c r="G293" s="51"/>
      <c r="H293" s="46" t="str">
        <f>IF(AND(I.Developer.P1=TRUE,I.Facility.P1FacilityCount&gt;=281,F293=""),"Incomplete","Complete")</f>
        <v>Complete</v>
      </c>
      <c r="I293" s="48" t="s">
        <v>4658</v>
      </c>
    </row>
    <row r="294" spans="2:9" ht="15" customHeight="1" x14ac:dyDescent="0.25">
      <c r="B294" s="55" t="s">
        <v>279</v>
      </c>
      <c r="C294" s="46">
        <v>282</v>
      </c>
      <c r="D294" s="69" t="s">
        <v>29416</v>
      </c>
      <c r="E294" s="51"/>
      <c r="F294" s="114" t="str">
        <f>IF(INDEX(I.Facility.P1IDNumber,282)="","",INDEX(I.Facility.P1IDNumber,282))</f>
        <v/>
      </c>
      <c r="G294" s="51"/>
      <c r="H294" s="46" t="str">
        <f>IF(AND(I.Developer.P1=TRUE,I.Facility.P1FacilityCount&gt;=282,F294=""),"Incomplete","Complete")</f>
        <v>Complete</v>
      </c>
      <c r="I294" s="48" t="s">
        <v>4659</v>
      </c>
    </row>
    <row r="295" spans="2:9" ht="15" customHeight="1" x14ac:dyDescent="0.25">
      <c r="B295" s="55" t="s">
        <v>279</v>
      </c>
      <c r="C295" s="46">
        <v>283</v>
      </c>
      <c r="D295" s="69" t="s">
        <v>29416</v>
      </c>
      <c r="E295" s="51"/>
      <c r="F295" s="114" t="str">
        <f>IF(INDEX(I.Facility.P1IDNumber,283)="","",INDEX(I.Facility.P1IDNumber,283))</f>
        <v/>
      </c>
      <c r="G295" s="51"/>
      <c r="H295" s="46" t="str">
        <f>IF(AND(I.Developer.P1=TRUE,I.Facility.P1FacilityCount&gt;=283,F295=""),"Incomplete","Complete")</f>
        <v>Complete</v>
      </c>
      <c r="I295" s="48" t="s">
        <v>4660</v>
      </c>
    </row>
    <row r="296" spans="2:9" ht="15" customHeight="1" x14ac:dyDescent="0.25">
      <c r="B296" s="55" t="s">
        <v>279</v>
      </c>
      <c r="C296" s="46">
        <v>284</v>
      </c>
      <c r="D296" s="69" t="s">
        <v>29416</v>
      </c>
      <c r="E296" s="51"/>
      <c r="F296" s="114" t="str">
        <f>IF(INDEX(I.Facility.P1IDNumber,284)="","",INDEX(I.Facility.P1IDNumber,284))</f>
        <v/>
      </c>
      <c r="G296" s="51"/>
      <c r="H296" s="46" t="str">
        <f>IF(AND(I.Developer.P1=TRUE,I.Facility.P1FacilityCount&gt;=284,F296=""),"Incomplete","Complete")</f>
        <v>Complete</v>
      </c>
      <c r="I296" s="48" t="s">
        <v>4661</v>
      </c>
    </row>
    <row r="297" spans="2:9" ht="15" customHeight="1" x14ac:dyDescent="0.25">
      <c r="B297" s="55" t="s">
        <v>279</v>
      </c>
      <c r="C297" s="46">
        <v>285</v>
      </c>
      <c r="D297" s="69" t="s">
        <v>29416</v>
      </c>
      <c r="E297" s="51"/>
      <c r="F297" s="114" t="str">
        <f>IF(INDEX(I.Facility.P1IDNumber,285)="","",INDEX(I.Facility.P1IDNumber,285))</f>
        <v/>
      </c>
      <c r="G297" s="51"/>
      <c r="H297" s="46" t="str">
        <f>IF(AND(I.Developer.P1=TRUE,I.Facility.P1FacilityCount&gt;=285,F297=""),"Incomplete","Complete")</f>
        <v>Complete</v>
      </c>
      <c r="I297" s="48" t="s">
        <v>4662</v>
      </c>
    </row>
    <row r="298" spans="2:9" ht="15" customHeight="1" x14ac:dyDescent="0.25">
      <c r="B298" s="55" t="s">
        <v>279</v>
      </c>
      <c r="C298" s="46">
        <v>286</v>
      </c>
      <c r="D298" s="69" t="s">
        <v>29416</v>
      </c>
      <c r="E298" s="51"/>
      <c r="F298" s="114" t="str">
        <f>IF(INDEX(I.Facility.P1IDNumber,286)="","",INDEX(I.Facility.P1IDNumber,286))</f>
        <v/>
      </c>
      <c r="G298" s="51"/>
      <c r="H298" s="46" t="str">
        <f>IF(AND(I.Developer.P1=TRUE,I.Facility.P1FacilityCount&gt;=286,F298=""),"Incomplete","Complete")</f>
        <v>Complete</v>
      </c>
      <c r="I298" s="48" t="s">
        <v>4663</v>
      </c>
    </row>
    <row r="299" spans="2:9" ht="15" customHeight="1" x14ac:dyDescent="0.25">
      <c r="B299" s="55" t="s">
        <v>279</v>
      </c>
      <c r="C299" s="46">
        <v>287</v>
      </c>
      <c r="D299" s="69" t="s">
        <v>29416</v>
      </c>
      <c r="E299" s="51"/>
      <c r="F299" s="114" t="str">
        <f>IF(INDEX(I.Facility.P1IDNumber,287)="","",INDEX(I.Facility.P1IDNumber,287))</f>
        <v/>
      </c>
      <c r="G299" s="51"/>
      <c r="H299" s="46" t="str">
        <f>IF(AND(I.Developer.P1=TRUE,I.Facility.P1FacilityCount&gt;=287,F299=""),"Incomplete","Complete")</f>
        <v>Complete</v>
      </c>
      <c r="I299" s="48" t="s">
        <v>4664</v>
      </c>
    </row>
    <row r="300" spans="2:9" ht="15" customHeight="1" x14ac:dyDescent="0.25">
      <c r="B300" s="55" t="s">
        <v>279</v>
      </c>
      <c r="C300" s="46">
        <v>288</v>
      </c>
      <c r="D300" s="69" t="s">
        <v>29416</v>
      </c>
      <c r="E300" s="51"/>
      <c r="F300" s="114" t="str">
        <f>IF(INDEX(I.Facility.P1IDNumber,288)="","",INDEX(I.Facility.P1IDNumber,288))</f>
        <v/>
      </c>
      <c r="G300" s="51"/>
      <c r="H300" s="46" t="str">
        <f>IF(AND(I.Developer.P1=TRUE,I.Facility.P1FacilityCount&gt;=288,F300=""),"Incomplete","Complete")</f>
        <v>Complete</v>
      </c>
      <c r="I300" s="48" t="s">
        <v>4665</v>
      </c>
    </row>
    <row r="301" spans="2:9" ht="15" customHeight="1" x14ac:dyDescent="0.25">
      <c r="B301" s="55" t="s">
        <v>279</v>
      </c>
      <c r="C301" s="46">
        <v>289</v>
      </c>
      <c r="D301" s="69" t="s">
        <v>29416</v>
      </c>
      <c r="E301" s="51"/>
      <c r="F301" s="114" t="str">
        <f>IF(INDEX(I.Facility.P1IDNumber,289)="","",INDEX(I.Facility.P1IDNumber,289))</f>
        <v/>
      </c>
      <c r="G301" s="51"/>
      <c r="H301" s="46" t="str">
        <f>IF(AND(I.Developer.P1=TRUE,I.Facility.P1FacilityCount&gt;=289,F301=""),"Incomplete","Complete")</f>
        <v>Complete</v>
      </c>
      <c r="I301" s="48" t="s">
        <v>4666</v>
      </c>
    </row>
    <row r="302" spans="2:9" ht="15" customHeight="1" x14ac:dyDescent="0.25">
      <c r="B302" s="55" t="s">
        <v>279</v>
      </c>
      <c r="C302" s="46">
        <v>290</v>
      </c>
      <c r="D302" s="69" t="s">
        <v>29416</v>
      </c>
      <c r="E302" s="51"/>
      <c r="F302" s="114" t="str">
        <f>IF(INDEX(I.Facility.P1IDNumber,290)="","",INDEX(I.Facility.P1IDNumber,290))</f>
        <v/>
      </c>
      <c r="G302" s="51"/>
      <c r="H302" s="46" t="str">
        <f>IF(AND(I.Developer.P1=TRUE,I.Facility.P1FacilityCount&gt;=290,F302=""),"Incomplete","Complete")</f>
        <v>Complete</v>
      </c>
      <c r="I302" s="48" t="s">
        <v>4667</v>
      </c>
    </row>
    <row r="303" spans="2:9" ht="15" customHeight="1" x14ac:dyDescent="0.25">
      <c r="B303" s="55" t="s">
        <v>279</v>
      </c>
      <c r="C303" s="46">
        <v>291</v>
      </c>
      <c r="D303" s="69" t="s">
        <v>29416</v>
      </c>
      <c r="E303" s="51"/>
      <c r="F303" s="114" t="str">
        <f>IF(INDEX(I.Facility.P1IDNumber,291)="","",INDEX(I.Facility.P1IDNumber,291))</f>
        <v/>
      </c>
      <c r="G303" s="51"/>
      <c r="H303" s="46" t="str">
        <f>IF(AND(I.Developer.P1=TRUE,I.Facility.P1FacilityCount&gt;=291,F303=""),"Incomplete","Complete")</f>
        <v>Complete</v>
      </c>
      <c r="I303" s="48" t="s">
        <v>4668</v>
      </c>
    </row>
    <row r="304" spans="2:9" ht="15" customHeight="1" x14ac:dyDescent="0.25">
      <c r="B304" s="55" t="s">
        <v>279</v>
      </c>
      <c r="C304" s="46">
        <v>292</v>
      </c>
      <c r="D304" s="69" t="s">
        <v>29416</v>
      </c>
      <c r="E304" s="51"/>
      <c r="F304" s="114" t="str">
        <f>IF(INDEX(I.Facility.P1IDNumber,292)="","",INDEX(I.Facility.P1IDNumber,292))</f>
        <v/>
      </c>
      <c r="G304" s="51"/>
      <c r="H304" s="46" t="str">
        <f>IF(AND(I.Developer.P1=TRUE,I.Facility.P1FacilityCount&gt;=292,F304=""),"Incomplete","Complete")</f>
        <v>Complete</v>
      </c>
      <c r="I304" s="48" t="s">
        <v>4669</v>
      </c>
    </row>
    <row r="305" spans="2:9" ht="15" customHeight="1" x14ac:dyDescent="0.25">
      <c r="B305" s="55" t="s">
        <v>279</v>
      </c>
      <c r="C305" s="46">
        <v>293</v>
      </c>
      <c r="D305" s="69" t="s">
        <v>29416</v>
      </c>
      <c r="E305" s="51"/>
      <c r="F305" s="114" t="str">
        <f>IF(INDEX(I.Facility.P1IDNumber,293)="","",INDEX(I.Facility.P1IDNumber,293))</f>
        <v/>
      </c>
      <c r="G305" s="51"/>
      <c r="H305" s="46" t="str">
        <f>IF(AND(I.Developer.P1=TRUE,I.Facility.P1FacilityCount&gt;=293,F305=""),"Incomplete","Complete")</f>
        <v>Complete</v>
      </c>
      <c r="I305" s="48" t="s">
        <v>4670</v>
      </c>
    </row>
    <row r="306" spans="2:9" ht="15" customHeight="1" x14ac:dyDescent="0.25">
      <c r="B306" s="55" t="s">
        <v>279</v>
      </c>
      <c r="C306" s="46">
        <v>294</v>
      </c>
      <c r="D306" s="69" t="s">
        <v>29416</v>
      </c>
      <c r="E306" s="51"/>
      <c r="F306" s="114" t="str">
        <f>IF(INDEX(I.Facility.P1IDNumber,294)="","",INDEX(I.Facility.P1IDNumber,294))</f>
        <v/>
      </c>
      <c r="G306" s="51"/>
      <c r="H306" s="46" t="str">
        <f>IF(AND(I.Developer.P1=TRUE,I.Facility.P1FacilityCount&gt;=294,F306=""),"Incomplete","Complete")</f>
        <v>Complete</v>
      </c>
      <c r="I306" s="48" t="s">
        <v>4671</v>
      </c>
    </row>
    <row r="307" spans="2:9" ht="15" customHeight="1" x14ac:dyDescent="0.25">
      <c r="B307" s="55" t="s">
        <v>279</v>
      </c>
      <c r="C307" s="46">
        <v>295</v>
      </c>
      <c r="D307" s="69" t="s">
        <v>29416</v>
      </c>
      <c r="E307" s="51"/>
      <c r="F307" s="114" t="str">
        <f>IF(INDEX(I.Facility.P1IDNumber,295)="","",INDEX(I.Facility.P1IDNumber,295))</f>
        <v/>
      </c>
      <c r="G307" s="51"/>
      <c r="H307" s="46" t="str">
        <f>IF(AND(I.Developer.P1=TRUE,I.Facility.P1FacilityCount&gt;=295,F307=""),"Incomplete","Complete")</f>
        <v>Complete</v>
      </c>
      <c r="I307" s="48" t="s">
        <v>4672</v>
      </c>
    </row>
    <row r="308" spans="2:9" ht="15" customHeight="1" x14ac:dyDescent="0.25">
      <c r="B308" s="55" t="s">
        <v>279</v>
      </c>
      <c r="C308" s="46">
        <v>296</v>
      </c>
      <c r="D308" s="69" t="s">
        <v>29416</v>
      </c>
      <c r="E308" s="51"/>
      <c r="F308" s="114" t="str">
        <f>IF(INDEX(I.Facility.P1IDNumber,296)="","",INDEX(I.Facility.P1IDNumber,296))</f>
        <v/>
      </c>
      <c r="G308" s="51"/>
      <c r="H308" s="46" t="str">
        <f>IF(AND(I.Developer.P1=TRUE,I.Facility.P1FacilityCount&gt;=296,F308=""),"Incomplete","Complete")</f>
        <v>Complete</v>
      </c>
      <c r="I308" s="48" t="s">
        <v>4673</v>
      </c>
    </row>
    <row r="309" spans="2:9" ht="15" customHeight="1" x14ac:dyDescent="0.25">
      <c r="B309" s="55" t="s">
        <v>279</v>
      </c>
      <c r="C309" s="46">
        <v>297</v>
      </c>
      <c r="D309" s="69" t="s">
        <v>29416</v>
      </c>
      <c r="E309" s="51"/>
      <c r="F309" s="114" t="str">
        <f>IF(INDEX(I.Facility.P1IDNumber,297)="","",INDEX(I.Facility.P1IDNumber,297))</f>
        <v/>
      </c>
      <c r="G309" s="51"/>
      <c r="H309" s="46" t="str">
        <f>IF(AND(I.Developer.P1=TRUE,I.Facility.P1FacilityCount&gt;=297,F309=""),"Incomplete","Complete")</f>
        <v>Complete</v>
      </c>
      <c r="I309" s="48" t="s">
        <v>4674</v>
      </c>
    </row>
    <row r="310" spans="2:9" ht="15" customHeight="1" x14ac:dyDescent="0.25">
      <c r="B310" s="55" t="s">
        <v>279</v>
      </c>
      <c r="C310" s="46">
        <v>298</v>
      </c>
      <c r="D310" s="69" t="s">
        <v>29416</v>
      </c>
      <c r="E310" s="51"/>
      <c r="F310" s="114" t="str">
        <f>IF(INDEX(I.Facility.P1IDNumber,298)="","",INDEX(I.Facility.P1IDNumber,298))</f>
        <v/>
      </c>
      <c r="G310" s="51"/>
      <c r="H310" s="46" t="str">
        <f>IF(AND(I.Developer.P1=TRUE,I.Facility.P1FacilityCount&gt;=298,F310=""),"Incomplete","Complete")</f>
        <v>Complete</v>
      </c>
      <c r="I310" s="48" t="s">
        <v>4675</v>
      </c>
    </row>
    <row r="311" spans="2:9" ht="15" customHeight="1" x14ac:dyDescent="0.25">
      <c r="B311" s="55" t="s">
        <v>279</v>
      </c>
      <c r="C311" s="46">
        <v>299</v>
      </c>
      <c r="D311" s="69" t="s">
        <v>29416</v>
      </c>
      <c r="E311" s="51"/>
      <c r="F311" s="114" t="str">
        <f>IF(INDEX(I.Facility.P1IDNumber,299)="","",INDEX(I.Facility.P1IDNumber,299))</f>
        <v/>
      </c>
      <c r="G311" s="51"/>
      <c r="H311" s="46" t="str">
        <f>IF(AND(I.Developer.P1=TRUE,I.Facility.P1FacilityCount&gt;=299,F311=""),"Incomplete","Complete")</f>
        <v>Complete</v>
      </c>
      <c r="I311" s="48" t="s">
        <v>4676</v>
      </c>
    </row>
    <row r="312" spans="2:9" ht="15" customHeight="1" x14ac:dyDescent="0.25">
      <c r="B312" s="55" t="s">
        <v>279</v>
      </c>
      <c r="C312" s="46">
        <v>300</v>
      </c>
      <c r="D312" s="69" t="s">
        <v>29416</v>
      </c>
      <c r="E312" s="51"/>
      <c r="F312" s="114" t="str">
        <f>IF(INDEX(I.Facility.P1IDNumber,300)="","",INDEX(I.Facility.P1IDNumber,300))</f>
        <v/>
      </c>
      <c r="G312" s="51"/>
      <c r="H312" s="46" t="str">
        <f>IF(AND(I.Developer.P1=TRUE,I.Facility.P1FacilityCount&gt;=300,F312=""),"Incomplete","Complete")</f>
        <v>Complete</v>
      </c>
      <c r="I312" s="48" t="s">
        <v>4677</v>
      </c>
    </row>
    <row r="313" spans="2:9" ht="15" customHeight="1" x14ac:dyDescent="0.25">
      <c r="B313" s="55" t="s">
        <v>279</v>
      </c>
      <c r="C313" s="46">
        <v>301</v>
      </c>
      <c r="D313" s="69" t="s">
        <v>29416</v>
      </c>
      <c r="E313" s="51"/>
      <c r="F313" s="114" t="str">
        <f>IF(INDEX(I.Facility.P1IDNumber,301)="","",INDEX(I.Facility.P1IDNumber,301))</f>
        <v/>
      </c>
      <c r="G313" s="51"/>
      <c r="H313" s="46" t="str">
        <f>IF(AND(I.Developer.P1=TRUE,I.Facility.P1FacilityCount&gt;=301,F313=""),"Incomplete","Complete")</f>
        <v>Complete</v>
      </c>
      <c r="I313" s="48" t="s">
        <v>4678</v>
      </c>
    </row>
    <row r="314" spans="2:9" ht="15" customHeight="1" x14ac:dyDescent="0.25">
      <c r="B314" s="55" t="s">
        <v>279</v>
      </c>
      <c r="C314" s="46">
        <v>302</v>
      </c>
      <c r="D314" s="69" t="s">
        <v>29416</v>
      </c>
      <c r="E314" s="51"/>
      <c r="F314" s="114" t="str">
        <f>IF(INDEX(I.Facility.P1IDNumber,302)="","",INDEX(I.Facility.P1IDNumber,302))</f>
        <v/>
      </c>
      <c r="G314" s="51"/>
      <c r="H314" s="46" t="str">
        <f>IF(AND(I.Developer.P1=TRUE,I.Facility.P1FacilityCount&gt;=302,F314=""),"Incomplete","Complete")</f>
        <v>Complete</v>
      </c>
      <c r="I314" s="48" t="s">
        <v>4679</v>
      </c>
    </row>
    <row r="315" spans="2:9" ht="15" customHeight="1" x14ac:dyDescent="0.25">
      <c r="B315" s="55" t="s">
        <v>279</v>
      </c>
      <c r="C315" s="46">
        <v>303</v>
      </c>
      <c r="D315" s="69" t="s">
        <v>29416</v>
      </c>
      <c r="E315" s="51"/>
      <c r="F315" s="114" t="str">
        <f>IF(INDEX(I.Facility.P1IDNumber,303)="","",INDEX(I.Facility.P1IDNumber,303))</f>
        <v/>
      </c>
      <c r="G315" s="51"/>
      <c r="H315" s="46" t="str">
        <f>IF(AND(I.Developer.P1=TRUE,I.Facility.P1FacilityCount&gt;=303,F315=""),"Incomplete","Complete")</f>
        <v>Complete</v>
      </c>
      <c r="I315" s="48" t="s">
        <v>4680</v>
      </c>
    </row>
    <row r="316" spans="2:9" ht="15" customHeight="1" x14ac:dyDescent="0.25">
      <c r="B316" s="55" t="s">
        <v>279</v>
      </c>
      <c r="C316" s="46">
        <v>304</v>
      </c>
      <c r="D316" s="69" t="s">
        <v>29416</v>
      </c>
      <c r="E316" s="51"/>
      <c r="F316" s="114" t="str">
        <f>IF(INDEX(I.Facility.P1IDNumber,304)="","",INDEX(I.Facility.P1IDNumber,304))</f>
        <v/>
      </c>
      <c r="G316" s="51"/>
      <c r="H316" s="46" t="str">
        <f>IF(AND(I.Developer.P1=TRUE,I.Facility.P1FacilityCount&gt;=304,F316=""),"Incomplete","Complete")</f>
        <v>Complete</v>
      </c>
      <c r="I316" s="48" t="s">
        <v>4681</v>
      </c>
    </row>
    <row r="317" spans="2:9" ht="15" customHeight="1" x14ac:dyDescent="0.25">
      <c r="B317" s="55" t="s">
        <v>279</v>
      </c>
      <c r="C317" s="46">
        <v>305</v>
      </c>
      <c r="D317" s="69" t="s">
        <v>29416</v>
      </c>
      <c r="E317" s="51"/>
      <c r="F317" s="114" t="str">
        <f>IF(INDEX(I.Facility.P1IDNumber,305)="","",INDEX(I.Facility.P1IDNumber,305))</f>
        <v/>
      </c>
      <c r="G317" s="51"/>
      <c r="H317" s="46" t="str">
        <f>IF(AND(I.Developer.P1=TRUE,I.Facility.P1FacilityCount&gt;=305,F317=""),"Incomplete","Complete")</f>
        <v>Complete</v>
      </c>
      <c r="I317" s="48" t="s">
        <v>4682</v>
      </c>
    </row>
    <row r="318" spans="2:9" ht="15" customHeight="1" x14ac:dyDescent="0.25">
      <c r="B318" s="55" t="s">
        <v>279</v>
      </c>
      <c r="C318" s="46">
        <v>306</v>
      </c>
      <c r="D318" s="69" t="s">
        <v>29416</v>
      </c>
      <c r="E318" s="51"/>
      <c r="F318" s="114" t="str">
        <f>IF(INDEX(I.Facility.P1IDNumber,306)="","",INDEX(I.Facility.P1IDNumber,306))</f>
        <v/>
      </c>
      <c r="G318" s="51"/>
      <c r="H318" s="46" t="str">
        <f>IF(AND(I.Developer.P1=TRUE,I.Facility.P1FacilityCount&gt;=306,F318=""),"Incomplete","Complete")</f>
        <v>Complete</v>
      </c>
      <c r="I318" s="48" t="s">
        <v>4683</v>
      </c>
    </row>
    <row r="319" spans="2:9" ht="15" customHeight="1" x14ac:dyDescent="0.25">
      <c r="B319" s="55" t="s">
        <v>279</v>
      </c>
      <c r="C319" s="46">
        <v>307</v>
      </c>
      <c r="D319" s="69" t="s">
        <v>29416</v>
      </c>
      <c r="E319" s="51"/>
      <c r="F319" s="114" t="str">
        <f>IF(INDEX(I.Facility.P1IDNumber,307)="","",INDEX(I.Facility.P1IDNumber,307))</f>
        <v/>
      </c>
      <c r="G319" s="51"/>
      <c r="H319" s="46" t="str">
        <f>IF(AND(I.Developer.P1=TRUE,I.Facility.P1FacilityCount&gt;=307,F319=""),"Incomplete","Complete")</f>
        <v>Complete</v>
      </c>
      <c r="I319" s="48" t="s">
        <v>4684</v>
      </c>
    </row>
    <row r="320" spans="2:9" ht="15" customHeight="1" x14ac:dyDescent="0.25">
      <c r="B320" s="55" t="s">
        <v>279</v>
      </c>
      <c r="C320" s="46">
        <v>308</v>
      </c>
      <c r="D320" s="69" t="s">
        <v>29416</v>
      </c>
      <c r="E320" s="51"/>
      <c r="F320" s="114" t="str">
        <f>IF(INDEX(I.Facility.P1IDNumber,308)="","",INDEX(I.Facility.P1IDNumber,308))</f>
        <v/>
      </c>
      <c r="G320" s="51"/>
      <c r="H320" s="46" t="str">
        <f>IF(AND(I.Developer.P1=TRUE,I.Facility.P1FacilityCount&gt;=308,F320=""),"Incomplete","Complete")</f>
        <v>Complete</v>
      </c>
      <c r="I320" s="48" t="s">
        <v>4685</v>
      </c>
    </row>
    <row r="321" spans="2:9" ht="15" customHeight="1" x14ac:dyDescent="0.25">
      <c r="B321" s="55" t="s">
        <v>279</v>
      </c>
      <c r="C321" s="46">
        <v>309</v>
      </c>
      <c r="D321" s="69" t="s">
        <v>29416</v>
      </c>
      <c r="E321" s="51"/>
      <c r="F321" s="114" t="str">
        <f>IF(INDEX(I.Facility.P1IDNumber,309)="","",INDEX(I.Facility.P1IDNumber,309))</f>
        <v/>
      </c>
      <c r="G321" s="51"/>
      <c r="H321" s="46" t="str">
        <f>IF(AND(I.Developer.P1=TRUE,I.Facility.P1FacilityCount&gt;=309,F321=""),"Incomplete","Complete")</f>
        <v>Complete</v>
      </c>
      <c r="I321" s="48" t="s">
        <v>4686</v>
      </c>
    </row>
    <row r="322" spans="2:9" ht="15" customHeight="1" x14ac:dyDescent="0.25">
      <c r="B322" s="55" t="s">
        <v>279</v>
      </c>
      <c r="C322" s="46">
        <v>310</v>
      </c>
      <c r="D322" s="69" t="s">
        <v>29416</v>
      </c>
      <c r="E322" s="51"/>
      <c r="F322" s="114" t="str">
        <f>IF(INDEX(I.Facility.P1IDNumber,310)="","",INDEX(I.Facility.P1IDNumber,310))</f>
        <v/>
      </c>
      <c r="G322" s="51"/>
      <c r="H322" s="46" t="str">
        <f>IF(AND(I.Developer.P1=TRUE,I.Facility.P1FacilityCount&gt;=310,F322=""),"Incomplete","Complete")</f>
        <v>Complete</v>
      </c>
      <c r="I322" s="48" t="s">
        <v>4687</v>
      </c>
    </row>
    <row r="323" spans="2:9" ht="15" customHeight="1" x14ac:dyDescent="0.25">
      <c r="B323" s="55" t="s">
        <v>279</v>
      </c>
      <c r="C323" s="46">
        <v>311</v>
      </c>
      <c r="D323" s="69" t="s">
        <v>29416</v>
      </c>
      <c r="E323" s="51"/>
      <c r="F323" s="114" t="str">
        <f>IF(INDEX(I.Facility.P1IDNumber,311)="","",INDEX(I.Facility.P1IDNumber,311))</f>
        <v/>
      </c>
      <c r="G323" s="51"/>
      <c r="H323" s="46" t="str">
        <f>IF(AND(I.Developer.P1=TRUE,I.Facility.P1FacilityCount&gt;=311,F323=""),"Incomplete","Complete")</f>
        <v>Complete</v>
      </c>
      <c r="I323" s="48" t="s">
        <v>4688</v>
      </c>
    </row>
    <row r="324" spans="2:9" ht="15" customHeight="1" x14ac:dyDescent="0.25">
      <c r="B324" s="55" t="s">
        <v>279</v>
      </c>
      <c r="C324" s="46">
        <v>312</v>
      </c>
      <c r="D324" s="69" t="s">
        <v>29416</v>
      </c>
      <c r="E324" s="51"/>
      <c r="F324" s="114" t="str">
        <f>IF(INDEX(I.Facility.P1IDNumber,312)="","",INDEX(I.Facility.P1IDNumber,312))</f>
        <v/>
      </c>
      <c r="G324" s="51"/>
      <c r="H324" s="46" t="str">
        <f>IF(AND(I.Developer.P1=TRUE,I.Facility.P1FacilityCount&gt;=312,F324=""),"Incomplete","Complete")</f>
        <v>Complete</v>
      </c>
      <c r="I324" s="48" t="s">
        <v>4689</v>
      </c>
    </row>
    <row r="325" spans="2:9" ht="15" customHeight="1" x14ac:dyDescent="0.25">
      <c r="B325" s="55" t="s">
        <v>279</v>
      </c>
      <c r="C325" s="46">
        <v>313</v>
      </c>
      <c r="D325" s="69" t="s">
        <v>29416</v>
      </c>
      <c r="E325" s="51"/>
      <c r="F325" s="114" t="str">
        <f>IF(INDEX(I.Facility.P1IDNumber,313)="","",INDEX(I.Facility.P1IDNumber,313))</f>
        <v/>
      </c>
      <c r="G325" s="51"/>
      <c r="H325" s="46" t="str">
        <f>IF(AND(I.Developer.P1=TRUE,I.Facility.P1FacilityCount&gt;=313,F325=""),"Incomplete","Complete")</f>
        <v>Complete</v>
      </c>
      <c r="I325" s="48" t="s">
        <v>4690</v>
      </c>
    </row>
    <row r="326" spans="2:9" ht="15" customHeight="1" x14ac:dyDescent="0.25">
      <c r="B326" s="55" t="s">
        <v>279</v>
      </c>
      <c r="C326" s="46">
        <v>314</v>
      </c>
      <c r="D326" s="69" t="s">
        <v>29416</v>
      </c>
      <c r="E326" s="51"/>
      <c r="F326" s="114" t="str">
        <f>IF(INDEX(I.Facility.P1IDNumber,314)="","",INDEX(I.Facility.P1IDNumber,314))</f>
        <v/>
      </c>
      <c r="G326" s="51"/>
      <c r="H326" s="46" t="str">
        <f>IF(AND(I.Developer.P1=TRUE,I.Facility.P1FacilityCount&gt;=314,F326=""),"Incomplete","Complete")</f>
        <v>Complete</v>
      </c>
      <c r="I326" s="48" t="s">
        <v>4691</v>
      </c>
    </row>
    <row r="327" spans="2:9" ht="15" customHeight="1" x14ac:dyDescent="0.25">
      <c r="B327" s="55" t="s">
        <v>279</v>
      </c>
      <c r="C327" s="46">
        <v>315</v>
      </c>
      <c r="D327" s="69" t="s">
        <v>29416</v>
      </c>
      <c r="E327" s="51"/>
      <c r="F327" s="114" t="str">
        <f>IF(INDEX(I.Facility.P1IDNumber,315)="","",INDEX(I.Facility.P1IDNumber,315))</f>
        <v/>
      </c>
      <c r="G327" s="51"/>
      <c r="H327" s="46" t="str">
        <f>IF(AND(I.Developer.P1=TRUE,I.Facility.P1FacilityCount&gt;=315,F327=""),"Incomplete","Complete")</f>
        <v>Complete</v>
      </c>
      <c r="I327" s="48" t="s">
        <v>4692</v>
      </c>
    </row>
    <row r="328" spans="2:9" ht="15" customHeight="1" x14ac:dyDescent="0.25">
      <c r="B328" s="55" t="s">
        <v>279</v>
      </c>
      <c r="C328" s="46">
        <v>316</v>
      </c>
      <c r="D328" s="69" t="s">
        <v>29416</v>
      </c>
      <c r="E328" s="51"/>
      <c r="F328" s="114" t="str">
        <f>IF(INDEX(I.Facility.P1IDNumber,316)="","",INDEX(I.Facility.P1IDNumber,316))</f>
        <v/>
      </c>
      <c r="G328" s="51"/>
      <c r="H328" s="46" t="str">
        <f>IF(AND(I.Developer.P1=TRUE,I.Facility.P1FacilityCount&gt;=316,F328=""),"Incomplete","Complete")</f>
        <v>Complete</v>
      </c>
      <c r="I328" s="48" t="s">
        <v>4693</v>
      </c>
    </row>
    <row r="329" spans="2:9" ht="15" customHeight="1" x14ac:dyDescent="0.25">
      <c r="B329" s="55" t="s">
        <v>279</v>
      </c>
      <c r="C329" s="46">
        <v>317</v>
      </c>
      <c r="D329" s="69" t="s">
        <v>29416</v>
      </c>
      <c r="E329" s="51"/>
      <c r="F329" s="114" t="str">
        <f>IF(INDEX(I.Facility.P1IDNumber,317)="","",INDEX(I.Facility.P1IDNumber,317))</f>
        <v/>
      </c>
      <c r="G329" s="51"/>
      <c r="H329" s="46" t="str">
        <f>IF(AND(I.Developer.P1=TRUE,I.Facility.P1FacilityCount&gt;=317,F329=""),"Incomplete","Complete")</f>
        <v>Complete</v>
      </c>
      <c r="I329" s="48" t="s">
        <v>4694</v>
      </c>
    </row>
    <row r="330" spans="2:9" ht="15" customHeight="1" x14ac:dyDescent="0.25">
      <c r="B330" s="55" t="s">
        <v>279</v>
      </c>
      <c r="C330" s="46">
        <v>318</v>
      </c>
      <c r="D330" s="69" t="s">
        <v>29416</v>
      </c>
      <c r="E330" s="51"/>
      <c r="F330" s="114" t="str">
        <f>IF(INDEX(I.Facility.P1IDNumber,318)="","",INDEX(I.Facility.P1IDNumber,318))</f>
        <v/>
      </c>
      <c r="G330" s="51"/>
      <c r="H330" s="46" t="str">
        <f>IF(AND(I.Developer.P1=TRUE,I.Facility.P1FacilityCount&gt;=318,F330=""),"Incomplete","Complete")</f>
        <v>Complete</v>
      </c>
      <c r="I330" s="48" t="s">
        <v>4695</v>
      </c>
    </row>
    <row r="331" spans="2:9" ht="15" customHeight="1" x14ac:dyDescent="0.25">
      <c r="B331" s="55" t="s">
        <v>279</v>
      </c>
      <c r="C331" s="46">
        <v>319</v>
      </c>
      <c r="D331" s="69" t="s">
        <v>29416</v>
      </c>
      <c r="E331" s="51"/>
      <c r="F331" s="114" t="str">
        <f>IF(INDEX(I.Facility.P1IDNumber,319)="","",INDEX(I.Facility.P1IDNumber,319))</f>
        <v/>
      </c>
      <c r="G331" s="51"/>
      <c r="H331" s="46" t="str">
        <f>IF(AND(I.Developer.P1=TRUE,I.Facility.P1FacilityCount&gt;=319,F331=""),"Incomplete","Complete")</f>
        <v>Complete</v>
      </c>
      <c r="I331" s="48" t="s">
        <v>4696</v>
      </c>
    </row>
    <row r="332" spans="2:9" ht="15" customHeight="1" x14ac:dyDescent="0.25">
      <c r="B332" s="55" t="s">
        <v>279</v>
      </c>
      <c r="C332" s="46">
        <v>320</v>
      </c>
      <c r="D332" s="69" t="s">
        <v>29416</v>
      </c>
      <c r="E332" s="51"/>
      <c r="F332" s="114" t="str">
        <f>IF(INDEX(I.Facility.P1IDNumber,320)="","",INDEX(I.Facility.P1IDNumber,320))</f>
        <v/>
      </c>
      <c r="G332" s="51"/>
      <c r="H332" s="46" t="str">
        <f>IF(AND(I.Developer.P1=TRUE,I.Facility.P1FacilityCount&gt;=320,F332=""),"Incomplete","Complete")</f>
        <v>Complete</v>
      </c>
      <c r="I332" s="48" t="s">
        <v>4697</v>
      </c>
    </row>
    <row r="333" spans="2:9" ht="15" customHeight="1" x14ac:dyDescent="0.25">
      <c r="B333" s="55" t="s">
        <v>279</v>
      </c>
      <c r="C333" s="46">
        <v>321</v>
      </c>
      <c r="D333" s="69" t="s">
        <v>29416</v>
      </c>
      <c r="E333" s="51"/>
      <c r="F333" s="114" t="str">
        <f>IF(INDEX(I.Facility.P1IDNumber,321)="","",INDEX(I.Facility.P1IDNumber,321))</f>
        <v/>
      </c>
      <c r="G333" s="51"/>
      <c r="H333" s="46" t="str">
        <f>IF(AND(I.Developer.P1=TRUE,I.Facility.P1FacilityCount&gt;=321,F333=""),"Incomplete","Complete")</f>
        <v>Complete</v>
      </c>
      <c r="I333" s="48" t="s">
        <v>4698</v>
      </c>
    </row>
    <row r="334" spans="2:9" ht="15" customHeight="1" x14ac:dyDescent="0.25">
      <c r="B334" s="55" t="s">
        <v>279</v>
      </c>
      <c r="C334" s="46">
        <v>322</v>
      </c>
      <c r="D334" s="69" t="s">
        <v>29416</v>
      </c>
      <c r="E334" s="51"/>
      <c r="F334" s="114" t="str">
        <f>IF(INDEX(I.Facility.P1IDNumber,322)="","",INDEX(I.Facility.P1IDNumber,322))</f>
        <v/>
      </c>
      <c r="G334" s="51"/>
      <c r="H334" s="46" t="str">
        <f>IF(AND(I.Developer.P1=TRUE,I.Facility.P1FacilityCount&gt;=322,F334=""),"Incomplete","Complete")</f>
        <v>Complete</v>
      </c>
      <c r="I334" s="48" t="s">
        <v>4699</v>
      </c>
    </row>
    <row r="335" spans="2:9" ht="15" customHeight="1" x14ac:dyDescent="0.25">
      <c r="B335" s="55" t="s">
        <v>279</v>
      </c>
      <c r="C335" s="46">
        <v>323</v>
      </c>
      <c r="D335" s="69" t="s">
        <v>29416</v>
      </c>
      <c r="E335" s="51"/>
      <c r="F335" s="114" t="str">
        <f>IF(INDEX(I.Facility.P1IDNumber,323)="","",INDEX(I.Facility.P1IDNumber,323))</f>
        <v/>
      </c>
      <c r="G335" s="51"/>
      <c r="H335" s="46" t="str">
        <f>IF(AND(I.Developer.P1=TRUE,I.Facility.P1FacilityCount&gt;=323,F335=""),"Incomplete","Complete")</f>
        <v>Complete</v>
      </c>
      <c r="I335" s="48" t="s">
        <v>4700</v>
      </c>
    </row>
    <row r="336" spans="2:9" ht="15" customHeight="1" x14ac:dyDescent="0.25">
      <c r="B336" s="55" t="s">
        <v>279</v>
      </c>
      <c r="C336" s="46">
        <v>324</v>
      </c>
      <c r="D336" s="69" t="s">
        <v>29416</v>
      </c>
      <c r="E336" s="51"/>
      <c r="F336" s="114" t="str">
        <f>IF(INDEX(I.Facility.P1IDNumber,324)="","",INDEX(I.Facility.P1IDNumber,324))</f>
        <v/>
      </c>
      <c r="G336" s="51"/>
      <c r="H336" s="46" t="str">
        <f>IF(AND(I.Developer.P1=TRUE,I.Facility.P1FacilityCount&gt;=324,F336=""),"Incomplete","Complete")</f>
        <v>Complete</v>
      </c>
      <c r="I336" s="48" t="s">
        <v>4701</v>
      </c>
    </row>
    <row r="337" spans="2:9" ht="15" customHeight="1" x14ac:dyDescent="0.25">
      <c r="B337" s="55" t="s">
        <v>279</v>
      </c>
      <c r="C337" s="46">
        <v>325</v>
      </c>
      <c r="D337" s="69" t="s">
        <v>29416</v>
      </c>
      <c r="E337" s="51"/>
      <c r="F337" s="114" t="str">
        <f>IF(INDEX(I.Facility.P1IDNumber,325)="","",INDEX(I.Facility.P1IDNumber,325))</f>
        <v/>
      </c>
      <c r="G337" s="51"/>
      <c r="H337" s="46" t="str">
        <f>IF(AND(I.Developer.P1=TRUE,I.Facility.P1FacilityCount&gt;=325,F337=""),"Incomplete","Complete")</f>
        <v>Complete</v>
      </c>
      <c r="I337" s="48" t="s">
        <v>4702</v>
      </c>
    </row>
    <row r="338" spans="2:9" ht="15" customHeight="1" x14ac:dyDescent="0.25">
      <c r="B338" s="55" t="s">
        <v>279</v>
      </c>
      <c r="C338" s="46">
        <v>326</v>
      </c>
      <c r="D338" s="69" t="s">
        <v>29416</v>
      </c>
      <c r="E338" s="51"/>
      <c r="F338" s="114" t="str">
        <f>IF(INDEX(I.Facility.P1IDNumber,326)="","",INDEX(I.Facility.P1IDNumber,326))</f>
        <v/>
      </c>
      <c r="G338" s="51"/>
      <c r="H338" s="46" t="str">
        <f>IF(AND(I.Developer.P1=TRUE,I.Facility.P1FacilityCount&gt;=326,F338=""),"Incomplete","Complete")</f>
        <v>Complete</v>
      </c>
      <c r="I338" s="48" t="s">
        <v>4703</v>
      </c>
    </row>
    <row r="339" spans="2:9" ht="15" customHeight="1" x14ac:dyDescent="0.25">
      <c r="B339" s="55" t="s">
        <v>279</v>
      </c>
      <c r="C339" s="46">
        <v>327</v>
      </c>
      <c r="D339" s="69" t="s">
        <v>29416</v>
      </c>
      <c r="E339" s="51"/>
      <c r="F339" s="114" t="str">
        <f>IF(INDEX(I.Facility.P1IDNumber,327)="","",INDEX(I.Facility.P1IDNumber,327))</f>
        <v/>
      </c>
      <c r="G339" s="51"/>
      <c r="H339" s="46" t="str">
        <f>IF(AND(I.Developer.P1=TRUE,I.Facility.P1FacilityCount&gt;=327,F339=""),"Incomplete","Complete")</f>
        <v>Complete</v>
      </c>
      <c r="I339" s="48" t="s">
        <v>4704</v>
      </c>
    </row>
    <row r="340" spans="2:9" ht="15" customHeight="1" x14ac:dyDescent="0.25">
      <c r="B340" s="55" t="s">
        <v>279</v>
      </c>
      <c r="C340" s="46">
        <v>328</v>
      </c>
      <c r="D340" s="69" t="s">
        <v>29416</v>
      </c>
      <c r="E340" s="51"/>
      <c r="F340" s="114" t="str">
        <f>IF(INDEX(I.Facility.P1IDNumber,328)="","",INDEX(I.Facility.P1IDNumber,328))</f>
        <v/>
      </c>
      <c r="G340" s="51"/>
      <c r="H340" s="46" t="str">
        <f>IF(AND(I.Developer.P1=TRUE,I.Facility.P1FacilityCount&gt;=328,F340=""),"Incomplete","Complete")</f>
        <v>Complete</v>
      </c>
      <c r="I340" s="48" t="s">
        <v>4705</v>
      </c>
    </row>
    <row r="341" spans="2:9" ht="15" customHeight="1" x14ac:dyDescent="0.25">
      <c r="B341" s="55" t="s">
        <v>279</v>
      </c>
      <c r="C341" s="46">
        <v>329</v>
      </c>
      <c r="D341" s="69" t="s">
        <v>29416</v>
      </c>
      <c r="E341" s="51"/>
      <c r="F341" s="114" t="str">
        <f>IF(INDEX(I.Facility.P1IDNumber,329)="","",INDEX(I.Facility.P1IDNumber,329))</f>
        <v/>
      </c>
      <c r="G341" s="51"/>
      <c r="H341" s="46" t="str">
        <f>IF(AND(I.Developer.P1=TRUE,I.Facility.P1FacilityCount&gt;=329,F341=""),"Incomplete","Complete")</f>
        <v>Complete</v>
      </c>
      <c r="I341" s="48" t="s">
        <v>4706</v>
      </c>
    </row>
    <row r="342" spans="2:9" ht="15" customHeight="1" x14ac:dyDescent="0.25">
      <c r="B342" s="55" t="s">
        <v>279</v>
      </c>
      <c r="C342" s="46">
        <v>330</v>
      </c>
      <c r="D342" s="69" t="s">
        <v>29416</v>
      </c>
      <c r="E342" s="51"/>
      <c r="F342" s="114" t="str">
        <f>IF(INDEX(I.Facility.P1IDNumber,330)="","",INDEX(I.Facility.P1IDNumber,330))</f>
        <v/>
      </c>
      <c r="G342" s="51"/>
      <c r="H342" s="46" t="str">
        <f>IF(AND(I.Developer.P1=TRUE,I.Facility.P1FacilityCount&gt;=330,F342=""),"Incomplete","Complete")</f>
        <v>Complete</v>
      </c>
      <c r="I342" s="48" t="s">
        <v>4707</v>
      </c>
    </row>
    <row r="343" spans="2:9" ht="15" customHeight="1" x14ac:dyDescent="0.25">
      <c r="B343" s="55" t="s">
        <v>279</v>
      </c>
      <c r="C343" s="46">
        <v>331</v>
      </c>
      <c r="D343" s="69" t="s">
        <v>29416</v>
      </c>
      <c r="E343" s="51"/>
      <c r="F343" s="114" t="str">
        <f>IF(INDEX(I.Facility.P1IDNumber,331)="","",INDEX(I.Facility.P1IDNumber,331))</f>
        <v/>
      </c>
      <c r="G343" s="51"/>
      <c r="H343" s="46" t="str">
        <f>IF(AND(I.Developer.P1=TRUE,I.Facility.P1FacilityCount&gt;=331,F343=""),"Incomplete","Complete")</f>
        <v>Complete</v>
      </c>
      <c r="I343" s="48" t="s">
        <v>4708</v>
      </c>
    </row>
    <row r="344" spans="2:9" ht="15" customHeight="1" x14ac:dyDescent="0.25">
      <c r="B344" s="55" t="s">
        <v>279</v>
      </c>
      <c r="C344" s="46">
        <v>332</v>
      </c>
      <c r="D344" s="69" t="s">
        <v>29416</v>
      </c>
      <c r="E344" s="51"/>
      <c r="F344" s="114" t="str">
        <f>IF(INDEX(I.Facility.P1IDNumber,332)="","",INDEX(I.Facility.P1IDNumber,332))</f>
        <v/>
      </c>
      <c r="G344" s="51"/>
      <c r="H344" s="46" t="str">
        <f>IF(AND(I.Developer.P1=TRUE,I.Facility.P1FacilityCount&gt;=332,F344=""),"Incomplete","Complete")</f>
        <v>Complete</v>
      </c>
      <c r="I344" s="48" t="s">
        <v>4709</v>
      </c>
    </row>
    <row r="345" spans="2:9" ht="15" customHeight="1" x14ac:dyDescent="0.25">
      <c r="B345" s="55" t="s">
        <v>279</v>
      </c>
      <c r="C345" s="46">
        <v>333</v>
      </c>
      <c r="D345" s="69" t="s">
        <v>29416</v>
      </c>
      <c r="E345" s="51"/>
      <c r="F345" s="114" t="str">
        <f>IF(INDEX(I.Facility.P1IDNumber,333)="","",INDEX(I.Facility.P1IDNumber,333))</f>
        <v/>
      </c>
      <c r="G345" s="51"/>
      <c r="H345" s="46" t="str">
        <f>IF(AND(I.Developer.P1=TRUE,I.Facility.P1FacilityCount&gt;=333,F345=""),"Incomplete","Complete")</f>
        <v>Complete</v>
      </c>
      <c r="I345" s="48" t="s">
        <v>4710</v>
      </c>
    </row>
    <row r="346" spans="2:9" ht="15" customHeight="1" x14ac:dyDescent="0.25">
      <c r="B346" s="55" t="s">
        <v>279</v>
      </c>
      <c r="C346" s="46">
        <v>334</v>
      </c>
      <c r="D346" s="69" t="s">
        <v>29416</v>
      </c>
      <c r="E346" s="51"/>
      <c r="F346" s="114" t="str">
        <f>IF(INDEX(I.Facility.P1IDNumber,334)="","",INDEX(I.Facility.P1IDNumber,334))</f>
        <v/>
      </c>
      <c r="G346" s="51"/>
      <c r="H346" s="46" t="str">
        <f>IF(AND(I.Developer.P1=TRUE,I.Facility.P1FacilityCount&gt;=334,F346=""),"Incomplete","Complete")</f>
        <v>Complete</v>
      </c>
      <c r="I346" s="48" t="s">
        <v>4711</v>
      </c>
    </row>
    <row r="347" spans="2:9" ht="15" customHeight="1" x14ac:dyDescent="0.25">
      <c r="B347" s="55" t="s">
        <v>279</v>
      </c>
      <c r="C347" s="46">
        <v>335</v>
      </c>
      <c r="D347" s="69" t="s">
        <v>29416</v>
      </c>
      <c r="E347" s="51"/>
      <c r="F347" s="114" t="str">
        <f>IF(INDEX(I.Facility.P1IDNumber,335)="","",INDEX(I.Facility.P1IDNumber,335))</f>
        <v/>
      </c>
      <c r="G347" s="51"/>
      <c r="H347" s="46" t="str">
        <f>IF(AND(I.Developer.P1=TRUE,I.Facility.P1FacilityCount&gt;=335,F347=""),"Incomplete","Complete")</f>
        <v>Complete</v>
      </c>
      <c r="I347" s="48" t="s">
        <v>4712</v>
      </c>
    </row>
    <row r="348" spans="2:9" ht="15" customHeight="1" x14ac:dyDescent="0.25">
      <c r="B348" s="55" t="s">
        <v>279</v>
      </c>
      <c r="C348" s="46">
        <v>336</v>
      </c>
      <c r="D348" s="69" t="s">
        <v>29416</v>
      </c>
      <c r="E348" s="51"/>
      <c r="F348" s="114" t="str">
        <f>IF(INDEX(I.Facility.P1IDNumber,336)="","",INDEX(I.Facility.P1IDNumber,336))</f>
        <v/>
      </c>
      <c r="G348" s="51"/>
      <c r="H348" s="46" t="str">
        <f>IF(AND(I.Developer.P1=TRUE,I.Facility.P1FacilityCount&gt;=336,F348=""),"Incomplete","Complete")</f>
        <v>Complete</v>
      </c>
      <c r="I348" s="48" t="s">
        <v>4713</v>
      </c>
    </row>
    <row r="349" spans="2:9" ht="15" customHeight="1" x14ac:dyDescent="0.25">
      <c r="B349" s="55" t="s">
        <v>279</v>
      </c>
      <c r="C349" s="46">
        <v>337</v>
      </c>
      <c r="D349" s="69" t="s">
        <v>29416</v>
      </c>
      <c r="E349" s="51"/>
      <c r="F349" s="114" t="str">
        <f>IF(INDEX(I.Facility.P1IDNumber,337)="","",INDEX(I.Facility.P1IDNumber,337))</f>
        <v/>
      </c>
      <c r="G349" s="51"/>
      <c r="H349" s="46" t="str">
        <f>IF(AND(I.Developer.P1=TRUE,I.Facility.P1FacilityCount&gt;=337,F349=""),"Incomplete","Complete")</f>
        <v>Complete</v>
      </c>
      <c r="I349" s="48" t="s">
        <v>4714</v>
      </c>
    </row>
    <row r="350" spans="2:9" ht="15" customHeight="1" x14ac:dyDescent="0.25">
      <c r="B350" s="55" t="s">
        <v>279</v>
      </c>
      <c r="C350" s="46">
        <v>338</v>
      </c>
      <c r="D350" s="69" t="s">
        <v>29416</v>
      </c>
      <c r="E350" s="51"/>
      <c r="F350" s="114" t="str">
        <f>IF(INDEX(I.Facility.P1IDNumber,338)="","",INDEX(I.Facility.P1IDNumber,338))</f>
        <v/>
      </c>
      <c r="G350" s="51"/>
      <c r="H350" s="46" t="str">
        <f>IF(AND(I.Developer.P1=TRUE,I.Facility.P1FacilityCount&gt;=338,F350=""),"Incomplete","Complete")</f>
        <v>Complete</v>
      </c>
      <c r="I350" s="48" t="s">
        <v>4715</v>
      </c>
    </row>
    <row r="351" spans="2:9" ht="15" customHeight="1" x14ac:dyDescent="0.25">
      <c r="B351" s="55" t="s">
        <v>279</v>
      </c>
      <c r="C351" s="46">
        <v>339</v>
      </c>
      <c r="D351" s="69" t="s">
        <v>29416</v>
      </c>
      <c r="E351" s="51"/>
      <c r="F351" s="114" t="str">
        <f>IF(INDEX(I.Facility.P1IDNumber,339)="","",INDEX(I.Facility.P1IDNumber,339))</f>
        <v/>
      </c>
      <c r="G351" s="51"/>
      <c r="H351" s="46" t="str">
        <f>IF(AND(I.Developer.P1=TRUE,I.Facility.P1FacilityCount&gt;=339,F351=""),"Incomplete","Complete")</f>
        <v>Complete</v>
      </c>
      <c r="I351" s="48" t="s">
        <v>4716</v>
      </c>
    </row>
    <row r="352" spans="2:9" ht="15" customHeight="1" x14ac:dyDescent="0.25">
      <c r="B352" s="55" t="s">
        <v>279</v>
      </c>
      <c r="C352" s="46">
        <v>340</v>
      </c>
      <c r="D352" s="69" t="s">
        <v>29416</v>
      </c>
      <c r="E352" s="51"/>
      <c r="F352" s="114" t="str">
        <f>IF(INDEX(I.Facility.P1IDNumber,340)="","",INDEX(I.Facility.P1IDNumber,340))</f>
        <v/>
      </c>
      <c r="G352" s="51"/>
      <c r="H352" s="46" t="str">
        <f>IF(AND(I.Developer.P1=TRUE,I.Facility.P1FacilityCount&gt;=340,F352=""),"Incomplete","Complete")</f>
        <v>Complete</v>
      </c>
      <c r="I352" s="48" t="s">
        <v>4717</v>
      </c>
    </row>
    <row r="353" spans="2:9" ht="15" customHeight="1" x14ac:dyDescent="0.25">
      <c r="B353" s="55" t="s">
        <v>279</v>
      </c>
      <c r="C353" s="46">
        <v>341</v>
      </c>
      <c r="D353" s="69" t="s">
        <v>29416</v>
      </c>
      <c r="E353" s="51"/>
      <c r="F353" s="114" t="str">
        <f>IF(INDEX(I.Facility.P1IDNumber,341)="","",INDEX(I.Facility.P1IDNumber,341))</f>
        <v/>
      </c>
      <c r="G353" s="51"/>
      <c r="H353" s="46" t="str">
        <f>IF(AND(I.Developer.P1=TRUE,I.Facility.P1FacilityCount&gt;=341,F353=""),"Incomplete","Complete")</f>
        <v>Complete</v>
      </c>
      <c r="I353" s="48" t="s">
        <v>4718</v>
      </c>
    </row>
    <row r="354" spans="2:9" ht="15" customHeight="1" x14ac:dyDescent="0.25">
      <c r="B354" s="55" t="s">
        <v>279</v>
      </c>
      <c r="C354" s="46">
        <v>342</v>
      </c>
      <c r="D354" s="69" t="s">
        <v>29416</v>
      </c>
      <c r="E354" s="51"/>
      <c r="F354" s="114" t="str">
        <f>IF(INDEX(I.Facility.P1IDNumber,342)="","",INDEX(I.Facility.P1IDNumber,342))</f>
        <v/>
      </c>
      <c r="G354" s="51"/>
      <c r="H354" s="46" t="str">
        <f>IF(AND(I.Developer.P1=TRUE,I.Facility.P1FacilityCount&gt;=342,F354=""),"Incomplete","Complete")</f>
        <v>Complete</v>
      </c>
      <c r="I354" s="48" t="s">
        <v>4719</v>
      </c>
    </row>
    <row r="355" spans="2:9" ht="15" customHeight="1" x14ac:dyDescent="0.25">
      <c r="B355" s="55" t="s">
        <v>279</v>
      </c>
      <c r="C355" s="46">
        <v>343</v>
      </c>
      <c r="D355" s="69" t="s">
        <v>29416</v>
      </c>
      <c r="E355" s="51"/>
      <c r="F355" s="114" t="str">
        <f>IF(INDEX(I.Facility.P1IDNumber,343)="","",INDEX(I.Facility.P1IDNumber,343))</f>
        <v/>
      </c>
      <c r="G355" s="51"/>
      <c r="H355" s="46" t="str">
        <f>IF(AND(I.Developer.P1=TRUE,I.Facility.P1FacilityCount&gt;=343,F355=""),"Incomplete","Complete")</f>
        <v>Complete</v>
      </c>
      <c r="I355" s="48" t="s">
        <v>4720</v>
      </c>
    </row>
    <row r="356" spans="2:9" ht="15" customHeight="1" x14ac:dyDescent="0.25">
      <c r="B356" s="55" t="s">
        <v>279</v>
      </c>
      <c r="C356" s="46">
        <v>344</v>
      </c>
      <c r="D356" s="69" t="s">
        <v>29416</v>
      </c>
      <c r="E356" s="51"/>
      <c r="F356" s="114" t="str">
        <f>IF(INDEX(I.Facility.P1IDNumber,344)="","",INDEX(I.Facility.P1IDNumber,344))</f>
        <v/>
      </c>
      <c r="G356" s="51"/>
      <c r="H356" s="46" t="str">
        <f>IF(AND(I.Developer.P1=TRUE,I.Facility.P1FacilityCount&gt;=344,F356=""),"Incomplete","Complete")</f>
        <v>Complete</v>
      </c>
      <c r="I356" s="48" t="s">
        <v>4721</v>
      </c>
    </row>
    <row r="357" spans="2:9" ht="15" customHeight="1" x14ac:dyDescent="0.25">
      <c r="B357" s="55" t="s">
        <v>279</v>
      </c>
      <c r="C357" s="46">
        <v>345</v>
      </c>
      <c r="D357" s="69" t="s">
        <v>29416</v>
      </c>
      <c r="E357" s="51"/>
      <c r="F357" s="114" t="str">
        <f>IF(INDEX(I.Facility.P1IDNumber,345)="","",INDEX(I.Facility.P1IDNumber,345))</f>
        <v/>
      </c>
      <c r="G357" s="51"/>
      <c r="H357" s="46" t="str">
        <f>IF(AND(I.Developer.P1=TRUE,I.Facility.P1FacilityCount&gt;=345,F357=""),"Incomplete","Complete")</f>
        <v>Complete</v>
      </c>
      <c r="I357" s="48" t="s">
        <v>4722</v>
      </c>
    </row>
    <row r="358" spans="2:9" ht="15" customHeight="1" x14ac:dyDescent="0.25">
      <c r="B358" s="55" t="s">
        <v>279</v>
      </c>
      <c r="C358" s="46">
        <v>346</v>
      </c>
      <c r="D358" s="69" t="s">
        <v>29416</v>
      </c>
      <c r="E358" s="51"/>
      <c r="F358" s="114" t="str">
        <f>IF(INDEX(I.Facility.P1IDNumber,346)="","",INDEX(I.Facility.P1IDNumber,346))</f>
        <v/>
      </c>
      <c r="G358" s="51"/>
      <c r="H358" s="46" t="str">
        <f>IF(AND(I.Developer.P1=TRUE,I.Facility.P1FacilityCount&gt;=346,F358=""),"Incomplete","Complete")</f>
        <v>Complete</v>
      </c>
      <c r="I358" s="48" t="s">
        <v>4723</v>
      </c>
    </row>
    <row r="359" spans="2:9" ht="15" customHeight="1" x14ac:dyDescent="0.25">
      <c r="B359" s="55" t="s">
        <v>279</v>
      </c>
      <c r="C359" s="46">
        <v>347</v>
      </c>
      <c r="D359" s="69" t="s">
        <v>29416</v>
      </c>
      <c r="E359" s="51"/>
      <c r="F359" s="114" t="str">
        <f>IF(INDEX(I.Facility.P1IDNumber,347)="","",INDEX(I.Facility.P1IDNumber,347))</f>
        <v/>
      </c>
      <c r="G359" s="51"/>
      <c r="H359" s="46" t="str">
        <f>IF(AND(I.Developer.P1=TRUE,I.Facility.P1FacilityCount&gt;=347,F359=""),"Incomplete","Complete")</f>
        <v>Complete</v>
      </c>
      <c r="I359" s="48" t="s">
        <v>4724</v>
      </c>
    </row>
    <row r="360" spans="2:9" ht="15" customHeight="1" x14ac:dyDescent="0.25">
      <c r="B360" s="55" t="s">
        <v>279</v>
      </c>
      <c r="C360" s="46">
        <v>348</v>
      </c>
      <c r="D360" s="69" t="s">
        <v>29416</v>
      </c>
      <c r="E360" s="51"/>
      <c r="F360" s="114" t="str">
        <f>IF(INDEX(I.Facility.P1IDNumber,348)="","",INDEX(I.Facility.P1IDNumber,348))</f>
        <v/>
      </c>
      <c r="G360" s="51"/>
      <c r="H360" s="46" t="str">
        <f>IF(AND(I.Developer.P1=TRUE,I.Facility.P1FacilityCount&gt;=348,F360=""),"Incomplete","Complete")</f>
        <v>Complete</v>
      </c>
      <c r="I360" s="48" t="s">
        <v>4725</v>
      </c>
    </row>
    <row r="361" spans="2:9" ht="15" customHeight="1" x14ac:dyDescent="0.25">
      <c r="B361" s="55" t="s">
        <v>279</v>
      </c>
      <c r="C361" s="46">
        <v>349</v>
      </c>
      <c r="D361" s="69" t="s">
        <v>29416</v>
      </c>
      <c r="E361" s="51"/>
      <c r="F361" s="114" t="str">
        <f>IF(INDEX(I.Facility.P1IDNumber,349)="","",INDEX(I.Facility.P1IDNumber,349))</f>
        <v/>
      </c>
      <c r="G361" s="51"/>
      <c r="H361" s="46" t="str">
        <f>IF(AND(I.Developer.P1=TRUE,I.Facility.P1FacilityCount&gt;=349,F361=""),"Incomplete","Complete")</f>
        <v>Complete</v>
      </c>
      <c r="I361" s="48" t="s">
        <v>4726</v>
      </c>
    </row>
    <row r="362" spans="2:9" ht="15" customHeight="1" x14ac:dyDescent="0.25">
      <c r="B362" s="55" t="s">
        <v>279</v>
      </c>
      <c r="C362" s="46">
        <v>350</v>
      </c>
      <c r="D362" s="69" t="s">
        <v>29416</v>
      </c>
      <c r="E362" s="51"/>
      <c r="F362" s="114" t="str">
        <f>IF(INDEX(I.Facility.P1IDNumber,350)="","",INDEX(I.Facility.P1IDNumber,350))</f>
        <v/>
      </c>
      <c r="G362" s="51"/>
      <c r="H362" s="46" t="str">
        <f>IF(AND(I.Developer.P1=TRUE,I.Facility.P1FacilityCount&gt;=350,F362=""),"Incomplete","Complete")</f>
        <v>Complete</v>
      </c>
      <c r="I362" s="48" t="s">
        <v>4727</v>
      </c>
    </row>
    <row r="363" spans="2:9" ht="15" customHeight="1" x14ac:dyDescent="0.25">
      <c r="B363" s="55" t="s">
        <v>279</v>
      </c>
      <c r="C363" s="46">
        <v>351</v>
      </c>
      <c r="D363" s="69" t="s">
        <v>29416</v>
      </c>
      <c r="E363" s="51"/>
      <c r="F363" s="114" t="str">
        <f>IF(INDEX(I.Facility.P1IDNumber,351)="","",INDEX(I.Facility.P1IDNumber,351))</f>
        <v/>
      </c>
      <c r="G363" s="51"/>
      <c r="H363" s="46" t="str">
        <f>IF(AND(I.Developer.P1=TRUE,I.Facility.P1FacilityCount&gt;=351,F363=""),"Incomplete","Complete")</f>
        <v>Complete</v>
      </c>
      <c r="I363" s="48" t="s">
        <v>4728</v>
      </c>
    </row>
    <row r="364" spans="2:9" ht="15" customHeight="1" x14ac:dyDescent="0.25">
      <c r="B364" s="55" t="s">
        <v>279</v>
      </c>
      <c r="C364" s="46">
        <v>352</v>
      </c>
      <c r="D364" s="69" t="s">
        <v>29416</v>
      </c>
      <c r="E364" s="51"/>
      <c r="F364" s="114" t="str">
        <f>IF(INDEX(I.Facility.P1IDNumber,352)="","",INDEX(I.Facility.P1IDNumber,352))</f>
        <v/>
      </c>
      <c r="G364" s="51"/>
      <c r="H364" s="46" t="str">
        <f>IF(AND(I.Developer.P1=TRUE,I.Facility.P1FacilityCount&gt;=352,F364=""),"Incomplete","Complete")</f>
        <v>Complete</v>
      </c>
      <c r="I364" s="48" t="s">
        <v>4729</v>
      </c>
    </row>
    <row r="365" spans="2:9" ht="15" customHeight="1" x14ac:dyDescent="0.25">
      <c r="B365" s="55" t="s">
        <v>279</v>
      </c>
      <c r="C365" s="46">
        <v>353</v>
      </c>
      <c r="D365" s="69" t="s">
        <v>29416</v>
      </c>
      <c r="E365" s="51"/>
      <c r="F365" s="114" t="str">
        <f>IF(INDEX(I.Facility.P1IDNumber,353)="","",INDEX(I.Facility.P1IDNumber,353))</f>
        <v/>
      </c>
      <c r="G365" s="51"/>
      <c r="H365" s="46" t="str">
        <f>IF(AND(I.Developer.P1=TRUE,I.Facility.P1FacilityCount&gt;=353,F365=""),"Incomplete","Complete")</f>
        <v>Complete</v>
      </c>
      <c r="I365" s="48" t="s">
        <v>4730</v>
      </c>
    </row>
    <row r="366" spans="2:9" ht="15" customHeight="1" x14ac:dyDescent="0.25">
      <c r="B366" s="55" t="s">
        <v>279</v>
      </c>
      <c r="C366" s="46">
        <v>354</v>
      </c>
      <c r="D366" s="69" t="s">
        <v>29416</v>
      </c>
      <c r="E366" s="51"/>
      <c r="F366" s="114" t="str">
        <f>IF(INDEX(I.Facility.P1IDNumber,354)="","",INDEX(I.Facility.P1IDNumber,354))</f>
        <v/>
      </c>
      <c r="G366" s="51"/>
      <c r="H366" s="46" t="str">
        <f>IF(AND(I.Developer.P1=TRUE,I.Facility.P1FacilityCount&gt;=354,F366=""),"Incomplete","Complete")</f>
        <v>Complete</v>
      </c>
      <c r="I366" s="48" t="s">
        <v>4731</v>
      </c>
    </row>
    <row r="367" spans="2:9" ht="15" customHeight="1" x14ac:dyDescent="0.25">
      <c r="B367" s="55" t="s">
        <v>279</v>
      </c>
      <c r="C367" s="46">
        <v>355</v>
      </c>
      <c r="D367" s="69" t="s">
        <v>29416</v>
      </c>
      <c r="E367" s="51"/>
      <c r="F367" s="114" t="str">
        <f>IF(INDEX(I.Facility.P1IDNumber,355)="","",INDEX(I.Facility.P1IDNumber,355))</f>
        <v/>
      </c>
      <c r="G367" s="51"/>
      <c r="H367" s="46" t="str">
        <f>IF(AND(I.Developer.P1=TRUE,I.Facility.P1FacilityCount&gt;=355,F367=""),"Incomplete","Complete")</f>
        <v>Complete</v>
      </c>
      <c r="I367" s="48" t="s">
        <v>4732</v>
      </c>
    </row>
    <row r="368" spans="2:9" ht="15" customHeight="1" x14ac:dyDescent="0.25">
      <c r="B368" s="55" t="s">
        <v>279</v>
      </c>
      <c r="C368" s="46">
        <v>356</v>
      </c>
      <c r="D368" s="69" t="s">
        <v>29416</v>
      </c>
      <c r="E368" s="51"/>
      <c r="F368" s="114" t="str">
        <f>IF(INDEX(I.Facility.P1IDNumber,356)="","",INDEX(I.Facility.P1IDNumber,356))</f>
        <v/>
      </c>
      <c r="G368" s="51"/>
      <c r="H368" s="46" t="str">
        <f>IF(AND(I.Developer.P1=TRUE,I.Facility.P1FacilityCount&gt;=356,F368=""),"Incomplete","Complete")</f>
        <v>Complete</v>
      </c>
      <c r="I368" s="48" t="s">
        <v>4733</v>
      </c>
    </row>
    <row r="369" spans="2:9" ht="15" customHeight="1" x14ac:dyDescent="0.25">
      <c r="B369" s="55" t="s">
        <v>279</v>
      </c>
      <c r="C369" s="46">
        <v>357</v>
      </c>
      <c r="D369" s="69" t="s">
        <v>29416</v>
      </c>
      <c r="E369" s="51"/>
      <c r="F369" s="114" t="str">
        <f>IF(INDEX(I.Facility.P1IDNumber,357)="","",INDEX(I.Facility.P1IDNumber,357))</f>
        <v/>
      </c>
      <c r="G369" s="51"/>
      <c r="H369" s="46" t="str">
        <f>IF(AND(I.Developer.P1=TRUE,I.Facility.P1FacilityCount&gt;=357,F369=""),"Incomplete","Complete")</f>
        <v>Complete</v>
      </c>
      <c r="I369" s="48" t="s">
        <v>4734</v>
      </c>
    </row>
    <row r="370" spans="2:9" ht="15" customHeight="1" x14ac:dyDescent="0.25">
      <c r="B370" s="55" t="s">
        <v>279</v>
      </c>
      <c r="C370" s="46">
        <v>358</v>
      </c>
      <c r="D370" s="69" t="s">
        <v>29416</v>
      </c>
      <c r="E370" s="51"/>
      <c r="F370" s="114" t="str">
        <f>IF(INDEX(I.Facility.P1IDNumber,358)="","",INDEX(I.Facility.P1IDNumber,358))</f>
        <v/>
      </c>
      <c r="G370" s="51"/>
      <c r="H370" s="46" t="str">
        <f>IF(AND(I.Developer.P1=TRUE,I.Facility.P1FacilityCount&gt;=358,F370=""),"Incomplete","Complete")</f>
        <v>Complete</v>
      </c>
      <c r="I370" s="48" t="s">
        <v>4735</v>
      </c>
    </row>
    <row r="371" spans="2:9" ht="15" customHeight="1" x14ac:dyDescent="0.25">
      <c r="B371" s="55" t="s">
        <v>279</v>
      </c>
      <c r="C371" s="46">
        <v>359</v>
      </c>
      <c r="D371" s="69" t="s">
        <v>29416</v>
      </c>
      <c r="E371" s="51"/>
      <c r="F371" s="114" t="str">
        <f>IF(INDEX(I.Facility.P1IDNumber,359)="","",INDEX(I.Facility.P1IDNumber,359))</f>
        <v/>
      </c>
      <c r="G371" s="51"/>
      <c r="H371" s="46" t="str">
        <f>IF(AND(I.Developer.P1=TRUE,I.Facility.P1FacilityCount&gt;=359,F371=""),"Incomplete","Complete")</f>
        <v>Complete</v>
      </c>
      <c r="I371" s="48" t="s">
        <v>4736</v>
      </c>
    </row>
    <row r="372" spans="2:9" ht="15" customHeight="1" x14ac:dyDescent="0.25">
      <c r="B372" s="55" t="s">
        <v>279</v>
      </c>
      <c r="C372" s="46">
        <v>360</v>
      </c>
      <c r="D372" s="69" t="s">
        <v>29416</v>
      </c>
      <c r="E372" s="51"/>
      <c r="F372" s="114" t="str">
        <f>IF(INDEX(I.Facility.P1IDNumber,360)="","",INDEX(I.Facility.P1IDNumber,360))</f>
        <v/>
      </c>
      <c r="G372" s="51"/>
      <c r="H372" s="46" t="str">
        <f>IF(AND(I.Developer.P1=TRUE,I.Facility.P1FacilityCount&gt;=360,F372=""),"Incomplete","Complete")</f>
        <v>Complete</v>
      </c>
      <c r="I372" s="48" t="s">
        <v>4737</v>
      </c>
    </row>
    <row r="373" spans="2:9" ht="15" customHeight="1" x14ac:dyDescent="0.25">
      <c r="B373" s="55" t="s">
        <v>279</v>
      </c>
      <c r="C373" s="46">
        <v>361</v>
      </c>
      <c r="D373" s="69" t="s">
        <v>29416</v>
      </c>
      <c r="E373" s="51"/>
      <c r="F373" s="114" t="str">
        <f>IF(INDEX(I.Facility.P1IDNumber,361)="","",INDEX(I.Facility.P1IDNumber,361))</f>
        <v/>
      </c>
      <c r="G373" s="51"/>
      <c r="H373" s="46" t="str">
        <f>IF(AND(I.Developer.P1=TRUE,I.Facility.P1FacilityCount&gt;=361,F373=""),"Incomplete","Complete")</f>
        <v>Complete</v>
      </c>
      <c r="I373" s="48" t="s">
        <v>4738</v>
      </c>
    </row>
    <row r="374" spans="2:9" ht="15" customHeight="1" x14ac:dyDescent="0.25">
      <c r="B374" s="55" t="s">
        <v>279</v>
      </c>
      <c r="C374" s="46">
        <v>362</v>
      </c>
      <c r="D374" s="69" t="s">
        <v>29416</v>
      </c>
      <c r="E374" s="51"/>
      <c r="F374" s="114" t="str">
        <f>IF(INDEX(I.Facility.P1IDNumber,362)="","",INDEX(I.Facility.P1IDNumber,362))</f>
        <v/>
      </c>
      <c r="G374" s="51"/>
      <c r="H374" s="46" t="str">
        <f>IF(AND(I.Developer.P1=TRUE,I.Facility.P1FacilityCount&gt;=362,F374=""),"Incomplete","Complete")</f>
        <v>Complete</v>
      </c>
      <c r="I374" s="48" t="s">
        <v>4739</v>
      </c>
    </row>
    <row r="375" spans="2:9" ht="15" customHeight="1" x14ac:dyDescent="0.25">
      <c r="B375" s="55" t="s">
        <v>279</v>
      </c>
      <c r="C375" s="46">
        <v>363</v>
      </c>
      <c r="D375" s="69" t="s">
        <v>29416</v>
      </c>
      <c r="E375" s="51"/>
      <c r="F375" s="114" t="str">
        <f>IF(INDEX(I.Facility.P1IDNumber,363)="","",INDEX(I.Facility.P1IDNumber,363))</f>
        <v/>
      </c>
      <c r="G375" s="51"/>
      <c r="H375" s="46" t="str">
        <f>IF(AND(I.Developer.P1=TRUE,I.Facility.P1FacilityCount&gt;=363,F375=""),"Incomplete","Complete")</f>
        <v>Complete</v>
      </c>
      <c r="I375" s="48" t="s">
        <v>4740</v>
      </c>
    </row>
    <row r="376" spans="2:9" ht="15" customHeight="1" x14ac:dyDescent="0.25">
      <c r="B376" s="55" t="s">
        <v>279</v>
      </c>
      <c r="C376" s="46">
        <v>364</v>
      </c>
      <c r="D376" s="69" t="s">
        <v>29416</v>
      </c>
      <c r="E376" s="51"/>
      <c r="F376" s="114" t="str">
        <f>IF(INDEX(I.Facility.P1IDNumber,364)="","",INDEX(I.Facility.P1IDNumber,364))</f>
        <v/>
      </c>
      <c r="G376" s="51"/>
      <c r="H376" s="46" t="str">
        <f>IF(AND(I.Developer.P1=TRUE,I.Facility.P1FacilityCount&gt;=364,F376=""),"Incomplete","Complete")</f>
        <v>Complete</v>
      </c>
      <c r="I376" s="48" t="s">
        <v>4741</v>
      </c>
    </row>
    <row r="377" spans="2:9" ht="15" customHeight="1" x14ac:dyDescent="0.25">
      <c r="B377" s="55" t="s">
        <v>279</v>
      </c>
      <c r="C377" s="46">
        <v>365</v>
      </c>
      <c r="D377" s="69" t="s">
        <v>29416</v>
      </c>
      <c r="E377" s="51"/>
      <c r="F377" s="114" t="str">
        <f>IF(INDEX(I.Facility.P1IDNumber,365)="","",INDEX(I.Facility.P1IDNumber,365))</f>
        <v/>
      </c>
      <c r="G377" s="51"/>
      <c r="H377" s="46" t="str">
        <f>IF(AND(I.Developer.P1=TRUE,I.Facility.P1FacilityCount&gt;=365,F377=""),"Incomplete","Complete")</f>
        <v>Complete</v>
      </c>
      <c r="I377" s="48" t="s">
        <v>4742</v>
      </c>
    </row>
    <row r="378" spans="2:9" ht="15" customHeight="1" x14ac:dyDescent="0.25">
      <c r="B378" s="55" t="s">
        <v>279</v>
      </c>
      <c r="C378" s="46">
        <v>366</v>
      </c>
      <c r="D378" s="69" t="s">
        <v>29416</v>
      </c>
      <c r="E378" s="51"/>
      <c r="F378" s="114" t="str">
        <f>IF(INDEX(I.Facility.P1IDNumber,366)="","",INDEX(I.Facility.P1IDNumber,366))</f>
        <v/>
      </c>
      <c r="G378" s="51"/>
      <c r="H378" s="46" t="str">
        <f>IF(AND(I.Developer.P1=TRUE,I.Facility.P1FacilityCount&gt;=366,F378=""),"Incomplete","Complete")</f>
        <v>Complete</v>
      </c>
      <c r="I378" s="48" t="s">
        <v>4743</v>
      </c>
    </row>
    <row r="379" spans="2:9" ht="15" customHeight="1" x14ac:dyDescent="0.25">
      <c r="B379" s="55" t="s">
        <v>279</v>
      </c>
      <c r="C379" s="46">
        <v>367</v>
      </c>
      <c r="D379" s="69" t="s">
        <v>29416</v>
      </c>
      <c r="E379" s="51"/>
      <c r="F379" s="114" t="str">
        <f>IF(INDEX(I.Facility.P1IDNumber,367)="","",INDEX(I.Facility.P1IDNumber,367))</f>
        <v/>
      </c>
      <c r="G379" s="51"/>
      <c r="H379" s="46" t="str">
        <f>IF(AND(I.Developer.P1=TRUE,I.Facility.P1FacilityCount&gt;=367,F379=""),"Incomplete","Complete")</f>
        <v>Complete</v>
      </c>
      <c r="I379" s="48" t="s">
        <v>4744</v>
      </c>
    </row>
    <row r="380" spans="2:9" ht="15" customHeight="1" x14ac:dyDescent="0.25">
      <c r="B380" s="55" t="s">
        <v>279</v>
      </c>
      <c r="C380" s="46">
        <v>368</v>
      </c>
      <c r="D380" s="69" t="s">
        <v>29416</v>
      </c>
      <c r="E380" s="51"/>
      <c r="F380" s="114" t="str">
        <f>IF(INDEX(I.Facility.P1IDNumber,368)="","",INDEX(I.Facility.P1IDNumber,368))</f>
        <v/>
      </c>
      <c r="G380" s="51"/>
      <c r="H380" s="46" t="str">
        <f>IF(AND(I.Developer.P1=TRUE,I.Facility.P1FacilityCount&gt;=368,F380=""),"Incomplete","Complete")</f>
        <v>Complete</v>
      </c>
      <c r="I380" s="48" t="s">
        <v>4745</v>
      </c>
    </row>
    <row r="381" spans="2:9" ht="15" customHeight="1" x14ac:dyDescent="0.25">
      <c r="B381" s="55" t="s">
        <v>279</v>
      </c>
      <c r="C381" s="46">
        <v>369</v>
      </c>
      <c r="D381" s="69" t="s">
        <v>29416</v>
      </c>
      <c r="E381" s="51"/>
      <c r="F381" s="114" t="str">
        <f>IF(INDEX(I.Facility.P1IDNumber,369)="","",INDEX(I.Facility.P1IDNumber,369))</f>
        <v/>
      </c>
      <c r="G381" s="51"/>
      <c r="H381" s="46" t="str">
        <f>IF(AND(I.Developer.P1=TRUE,I.Facility.P1FacilityCount&gt;=369,F381=""),"Incomplete","Complete")</f>
        <v>Complete</v>
      </c>
      <c r="I381" s="48" t="s">
        <v>4746</v>
      </c>
    </row>
    <row r="382" spans="2:9" ht="15" customHeight="1" x14ac:dyDescent="0.25">
      <c r="B382" s="55" t="s">
        <v>279</v>
      </c>
      <c r="C382" s="46">
        <v>370</v>
      </c>
      <c r="D382" s="69" t="s">
        <v>29416</v>
      </c>
      <c r="E382" s="51"/>
      <c r="F382" s="114" t="str">
        <f>IF(INDEX(I.Facility.P1IDNumber,370)="","",INDEX(I.Facility.P1IDNumber,370))</f>
        <v/>
      </c>
      <c r="G382" s="51"/>
      <c r="H382" s="46" t="str">
        <f>IF(AND(I.Developer.P1=TRUE,I.Facility.P1FacilityCount&gt;=370,F382=""),"Incomplete","Complete")</f>
        <v>Complete</v>
      </c>
      <c r="I382" s="48" t="s">
        <v>4747</v>
      </c>
    </row>
    <row r="383" spans="2:9" ht="15" customHeight="1" x14ac:dyDescent="0.25">
      <c r="B383" s="55" t="s">
        <v>279</v>
      </c>
      <c r="C383" s="46">
        <v>371</v>
      </c>
      <c r="D383" s="69" t="s">
        <v>29416</v>
      </c>
      <c r="E383" s="51"/>
      <c r="F383" s="114" t="str">
        <f>IF(INDEX(I.Facility.P1IDNumber,371)="","",INDEX(I.Facility.P1IDNumber,371))</f>
        <v/>
      </c>
      <c r="G383" s="51"/>
      <c r="H383" s="46" t="str">
        <f>IF(AND(I.Developer.P1=TRUE,I.Facility.P1FacilityCount&gt;=371,F383=""),"Incomplete","Complete")</f>
        <v>Complete</v>
      </c>
      <c r="I383" s="48" t="s">
        <v>4748</v>
      </c>
    </row>
    <row r="384" spans="2:9" ht="15" customHeight="1" x14ac:dyDescent="0.25">
      <c r="B384" s="55" t="s">
        <v>279</v>
      </c>
      <c r="C384" s="46">
        <v>372</v>
      </c>
      <c r="D384" s="69" t="s">
        <v>29416</v>
      </c>
      <c r="E384" s="51"/>
      <c r="F384" s="114" t="str">
        <f>IF(INDEX(I.Facility.P1IDNumber,372)="","",INDEX(I.Facility.P1IDNumber,372))</f>
        <v/>
      </c>
      <c r="G384" s="51"/>
      <c r="H384" s="46" t="str">
        <f>IF(AND(I.Developer.P1=TRUE,I.Facility.P1FacilityCount&gt;=372,F384=""),"Incomplete","Complete")</f>
        <v>Complete</v>
      </c>
      <c r="I384" s="48" t="s">
        <v>4749</v>
      </c>
    </row>
    <row r="385" spans="2:9" ht="15" customHeight="1" x14ac:dyDescent="0.25">
      <c r="B385" s="55" t="s">
        <v>279</v>
      </c>
      <c r="C385" s="46">
        <v>373</v>
      </c>
      <c r="D385" s="69" t="s">
        <v>29416</v>
      </c>
      <c r="E385" s="51"/>
      <c r="F385" s="114" t="str">
        <f>IF(INDEX(I.Facility.P1IDNumber,373)="","",INDEX(I.Facility.P1IDNumber,373))</f>
        <v/>
      </c>
      <c r="G385" s="51"/>
      <c r="H385" s="46" t="str">
        <f>IF(AND(I.Developer.P1=TRUE,I.Facility.P1FacilityCount&gt;=373,F385=""),"Incomplete","Complete")</f>
        <v>Complete</v>
      </c>
      <c r="I385" s="48" t="s">
        <v>4750</v>
      </c>
    </row>
    <row r="386" spans="2:9" ht="15" customHeight="1" x14ac:dyDescent="0.25">
      <c r="B386" s="55" t="s">
        <v>279</v>
      </c>
      <c r="C386" s="46">
        <v>374</v>
      </c>
      <c r="D386" s="69" t="s">
        <v>29416</v>
      </c>
      <c r="E386" s="51"/>
      <c r="F386" s="114" t="str">
        <f>IF(INDEX(I.Facility.P1IDNumber,374)="","",INDEX(I.Facility.P1IDNumber,374))</f>
        <v/>
      </c>
      <c r="G386" s="51"/>
      <c r="H386" s="46" t="str">
        <f>IF(AND(I.Developer.P1=TRUE,I.Facility.P1FacilityCount&gt;=374,F386=""),"Incomplete","Complete")</f>
        <v>Complete</v>
      </c>
      <c r="I386" s="48" t="s">
        <v>4751</v>
      </c>
    </row>
    <row r="387" spans="2:9" ht="15" customHeight="1" x14ac:dyDescent="0.25">
      <c r="B387" s="55" t="s">
        <v>279</v>
      </c>
      <c r="C387" s="46">
        <v>375</v>
      </c>
      <c r="D387" s="69" t="s">
        <v>29416</v>
      </c>
      <c r="E387" s="51"/>
      <c r="F387" s="114" t="str">
        <f>IF(INDEX(I.Facility.P1IDNumber,375)="","",INDEX(I.Facility.P1IDNumber,375))</f>
        <v/>
      </c>
      <c r="G387" s="51"/>
      <c r="H387" s="46" t="str">
        <f>IF(AND(I.Developer.P1=TRUE,I.Facility.P1FacilityCount&gt;=375,F387=""),"Incomplete","Complete")</f>
        <v>Complete</v>
      </c>
      <c r="I387" s="48" t="s">
        <v>4752</v>
      </c>
    </row>
    <row r="388" spans="2:9" ht="15" customHeight="1" x14ac:dyDescent="0.25">
      <c r="B388" s="55" t="s">
        <v>279</v>
      </c>
      <c r="C388" s="46">
        <v>376</v>
      </c>
      <c r="D388" s="69" t="s">
        <v>29416</v>
      </c>
      <c r="E388" s="51"/>
      <c r="F388" s="114" t="str">
        <f>IF(INDEX(I.Facility.P1IDNumber,376)="","",INDEX(I.Facility.P1IDNumber,376))</f>
        <v/>
      </c>
      <c r="G388" s="51"/>
      <c r="H388" s="46" t="str">
        <f>IF(AND(I.Developer.P1=TRUE,I.Facility.P1FacilityCount&gt;=376,F388=""),"Incomplete","Complete")</f>
        <v>Complete</v>
      </c>
      <c r="I388" s="48" t="s">
        <v>4753</v>
      </c>
    </row>
    <row r="389" spans="2:9" ht="15" customHeight="1" x14ac:dyDescent="0.25">
      <c r="B389" s="55" t="s">
        <v>279</v>
      </c>
      <c r="C389" s="46">
        <v>377</v>
      </c>
      <c r="D389" s="69" t="s">
        <v>29416</v>
      </c>
      <c r="E389" s="51"/>
      <c r="F389" s="114" t="str">
        <f>IF(INDEX(I.Facility.P1IDNumber,377)="","",INDEX(I.Facility.P1IDNumber,377))</f>
        <v/>
      </c>
      <c r="G389" s="51"/>
      <c r="H389" s="46" t="str">
        <f>IF(AND(I.Developer.P1=TRUE,I.Facility.P1FacilityCount&gt;=377,F389=""),"Incomplete","Complete")</f>
        <v>Complete</v>
      </c>
      <c r="I389" s="48" t="s">
        <v>4754</v>
      </c>
    </row>
    <row r="390" spans="2:9" ht="15" customHeight="1" x14ac:dyDescent="0.25">
      <c r="B390" s="55" t="s">
        <v>279</v>
      </c>
      <c r="C390" s="46">
        <v>378</v>
      </c>
      <c r="D390" s="69" t="s">
        <v>29416</v>
      </c>
      <c r="E390" s="51"/>
      <c r="F390" s="114" t="str">
        <f>IF(INDEX(I.Facility.P1IDNumber,378)="","",INDEX(I.Facility.P1IDNumber,378))</f>
        <v/>
      </c>
      <c r="G390" s="51"/>
      <c r="H390" s="46" t="str">
        <f>IF(AND(I.Developer.P1=TRUE,I.Facility.P1FacilityCount&gt;=378,F390=""),"Incomplete","Complete")</f>
        <v>Complete</v>
      </c>
      <c r="I390" s="48" t="s">
        <v>4755</v>
      </c>
    </row>
    <row r="391" spans="2:9" ht="15" customHeight="1" x14ac:dyDescent="0.25">
      <c r="B391" s="55" t="s">
        <v>279</v>
      </c>
      <c r="C391" s="46">
        <v>379</v>
      </c>
      <c r="D391" s="69" t="s">
        <v>29416</v>
      </c>
      <c r="E391" s="51"/>
      <c r="F391" s="114" t="str">
        <f>IF(INDEX(I.Facility.P1IDNumber,379)="","",INDEX(I.Facility.P1IDNumber,379))</f>
        <v/>
      </c>
      <c r="G391" s="51"/>
      <c r="H391" s="46" t="str">
        <f>IF(AND(I.Developer.P1=TRUE,I.Facility.P1FacilityCount&gt;=379,F391=""),"Incomplete","Complete")</f>
        <v>Complete</v>
      </c>
      <c r="I391" s="48" t="s">
        <v>4756</v>
      </c>
    </row>
    <row r="392" spans="2:9" ht="15" customHeight="1" x14ac:dyDescent="0.25">
      <c r="B392" s="55" t="s">
        <v>279</v>
      </c>
      <c r="C392" s="46">
        <v>380</v>
      </c>
      <c r="D392" s="69" t="s">
        <v>29416</v>
      </c>
      <c r="E392" s="51"/>
      <c r="F392" s="114" t="str">
        <f>IF(INDEX(I.Facility.P1IDNumber,380)="","",INDEX(I.Facility.P1IDNumber,380))</f>
        <v/>
      </c>
      <c r="G392" s="51"/>
      <c r="H392" s="46" t="str">
        <f>IF(AND(I.Developer.P1=TRUE,I.Facility.P1FacilityCount&gt;=380,F392=""),"Incomplete","Complete")</f>
        <v>Complete</v>
      </c>
      <c r="I392" s="48" t="s">
        <v>4757</v>
      </c>
    </row>
    <row r="393" spans="2:9" ht="15" customHeight="1" x14ac:dyDescent="0.25">
      <c r="B393" s="55" t="s">
        <v>279</v>
      </c>
      <c r="C393" s="46">
        <v>381</v>
      </c>
      <c r="D393" s="69" t="s">
        <v>29416</v>
      </c>
      <c r="E393" s="51"/>
      <c r="F393" s="114" t="str">
        <f>IF(INDEX(I.Facility.P1IDNumber,381)="","",INDEX(I.Facility.P1IDNumber,381))</f>
        <v/>
      </c>
      <c r="G393" s="51"/>
      <c r="H393" s="46" t="str">
        <f>IF(AND(I.Developer.P1=TRUE,I.Facility.P1FacilityCount&gt;=381,F393=""),"Incomplete","Complete")</f>
        <v>Complete</v>
      </c>
      <c r="I393" s="48" t="s">
        <v>4758</v>
      </c>
    </row>
    <row r="394" spans="2:9" ht="15" customHeight="1" x14ac:dyDescent="0.25">
      <c r="B394" s="55" t="s">
        <v>279</v>
      </c>
      <c r="C394" s="46">
        <v>382</v>
      </c>
      <c r="D394" s="69" t="s">
        <v>29416</v>
      </c>
      <c r="E394" s="51"/>
      <c r="F394" s="114" t="str">
        <f>IF(INDEX(I.Facility.P1IDNumber,382)="","",INDEX(I.Facility.P1IDNumber,382))</f>
        <v/>
      </c>
      <c r="G394" s="51"/>
      <c r="H394" s="46" t="str">
        <f>IF(AND(I.Developer.P1=TRUE,I.Facility.P1FacilityCount&gt;=382,F394=""),"Incomplete","Complete")</f>
        <v>Complete</v>
      </c>
      <c r="I394" s="48" t="s">
        <v>4759</v>
      </c>
    </row>
    <row r="395" spans="2:9" ht="15" customHeight="1" x14ac:dyDescent="0.25">
      <c r="B395" s="55" t="s">
        <v>279</v>
      </c>
      <c r="C395" s="46">
        <v>383</v>
      </c>
      <c r="D395" s="69" t="s">
        <v>29416</v>
      </c>
      <c r="E395" s="51"/>
      <c r="F395" s="114" t="str">
        <f>IF(INDEX(I.Facility.P1IDNumber,383)="","",INDEX(I.Facility.P1IDNumber,383))</f>
        <v/>
      </c>
      <c r="G395" s="51"/>
      <c r="H395" s="46" t="str">
        <f>IF(AND(I.Developer.P1=TRUE,I.Facility.P1FacilityCount&gt;=383,F395=""),"Incomplete","Complete")</f>
        <v>Complete</v>
      </c>
      <c r="I395" s="48" t="s">
        <v>4760</v>
      </c>
    </row>
    <row r="396" spans="2:9" ht="15" customHeight="1" x14ac:dyDescent="0.25">
      <c r="B396" s="55" t="s">
        <v>279</v>
      </c>
      <c r="C396" s="46">
        <v>384</v>
      </c>
      <c r="D396" s="69" t="s">
        <v>29416</v>
      </c>
      <c r="E396" s="51"/>
      <c r="F396" s="114" t="str">
        <f>IF(INDEX(I.Facility.P1IDNumber,384)="","",INDEX(I.Facility.P1IDNumber,384))</f>
        <v/>
      </c>
      <c r="G396" s="51"/>
      <c r="H396" s="46" t="str">
        <f>IF(AND(I.Developer.P1=TRUE,I.Facility.P1FacilityCount&gt;=384,F396=""),"Incomplete","Complete")</f>
        <v>Complete</v>
      </c>
      <c r="I396" s="48" t="s">
        <v>4761</v>
      </c>
    </row>
    <row r="397" spans="2:9" ht="15" customHeight="1" x14ac:dyDescent="0.25">
      <c r="B397" s="55" t="s">
        <v>279</v>
      </c>
      <c r="C397" s="46">
        <v>385</v>
      </c>
      <c r="D397" s="69" t="s">
        <v>29416</v>
      </c>
      <c r="E397" s="51"/>
      <c r="F397" s="114" t="str">
        <f>IF(INDEX(I.Facility.P1IDNumber,385)="","",INDEX(I.Facility.P1IDNumber,385))</f>
        <v/>
      </c>
      <c r="G397" s="51"/>
      <c r="H397" s="46" t="str">
        <f>IF(AND(I.Developer.P1=TRUE,I.Facility.P1FacilityCount&gt;=385,F397=""),"Incomplete","Complete")</f>
        <v>Complete</v>
      </c>
      <c r="I397" s="48" t="s">
        <v>4762</v>
      </c>
    </row>
    <row r="398" spans="2:9" ht="15" customHeight="1" x14ac:dyDescent="0.25">
      <c r="B398" s="55" t="s">
        <v>279</v>
      </c>
      <c r="C398" s="46">
        <v>386</v>
      </c>
      <c r="D398" s="69" t="s">
        <v>29416</v>
      </c>
      <c r="E398" s="51"/>
      <c r="F398" s="114" t="str">
        <f>IF(INDEX(I.Facility.P1IDNumber,386)="","",INDEX(I.Facility.P1IDNumber,386))</f>
        <v/>
      </c>
      <c r="G398" s="51"/>
      <c r="H398" s="46" t="str">
        <f>IF(AND(I.Developer.P1=TRUE,I.Facility.P1FacilityCount&gt;=386,F398=""),"Incomplete","Complete")</f>
        <v>Complete</v>
      </c>
      <c r="I398" s="48" t="s">
        <v>4763</v>
      </c>
    </row>
    <row r="399" spans="2:9" ht="15" customHeight="1" x14ac:dyDescent="0.25">
      <c r="B399" s="55" t="s">
        <v>279</v>
      </c>
      <c r="C399" s="46">
        <v>387</v>
      </c>
      <c r="D399" s="69" t="s">
        <v>29416</v>
      </c>
      <c r="E399" s="51"/>
      <c r="F399" s="114" t="str">
        <f>IF(INDEX(I.Facility.P1IDNumber,387)="","",INDEX(I.Facility.P1IDNumber,387))</f>
        <v/>
      </c>
      <c r="G399" s="51"/>
      <c r="H399" s="46" t="str">
        <f>IF(AND(I.Developer.P1=TRUE,I.Facility.P1FacilityCount&gt;=387,F399=""),"Incomplete","Complete")</f>
        <v>Complete</v>
      </c>
      <c r="I399" s="48" t="s">
        <v>4764</v>
      </c>
    </row>
    <row r="400" spans="2:9" ht="15" customHeight="1" x14ac:dyDescent="0.25">
      <c r="B400" s="55" t="s">
        <v>279</v>
      </c>
      <c r="C400" s="46">
        <v>388</v>
      </c>
      <c r="D400" s="69" t="s">
        <v>29416</v>
      </c>
      <c r="E400" s="51"/>
      <c r="F400" s="114" t="str">
        <f>IF(INDEX(I.Facility.P1IDNumber,388)="","",INDEX(I.Facility.P1IDNumber,388))</f>
        <v/>
      </c>
      <c r="G400" s="51"/>
      <c r="H400" s="46" t="str">
        <f>IF(AND(I.Developer.P1=TRUE,I.Facility.P1FacilityCount&gt;=388,F400=""),"Incomplete","Complete")</f>
        <v>Complete</v>
      </c>
      <c r="I400" s="48" t="s">
        <v>4765</v>
      </c>
    </row>
    <row r="401" spans="2:9" ht="15" customHeight="1" x14ac:dyDescent="0.25">
      <c r="B401" s="55" t="s">
        <v>279</v>
      </c>
      <c r="C401" s="46">
        <v>389</v>
      </c>
      <c r="D401" s="69" t="s">
        <v>29416</v>
      </c>
      <c r="E401" s="51"/>
      <c r="F401" s="114" t="str">
        <f>IF(INDEX(I.Facility.P1IDNumber,389)="","",INDEX(I.Facility.P1IDNumber,389))</f>
        <v/>
      </c>
      <c r="G401" s="51"/>
      <c r="H401" s="46" t="str">
        <f>IF(AND(I.Developer.P1=TRUE,I.Facility.P1FacilityCount&gt;=389,F401=""),"Incomplete","Complete")</f>
        <v>Complete</v>
      </c>
      <c r="I401" s="48" t="s">
        <v>4766</v>
      </c>
    </row>
    <row r="402" spans="2:9" ht="15" customHeight="1" x14ac:dyDescent="0.25">
      <c r="B402" s="55" t="s">
        <v>279</v>
      </c>
      <c r="C402" s="46">
        <v>390</v>
      </c>
      <c r="D402" s="69" t="s">
        <v>29416</v>
      </c>
      <c r="E402" s="51"/>
      <c r="F402" s="114" t="str">
        <f>IF(INDEX(I.Facility.P1IDNumber,390)="","",INDEX(I.Facility.P1IDNumber,390))</f>
        <v/>
      </c>
      <c r="G402" s="51"/>
      <c r="H402" s="46" t="str">
        <f>IF(AND(I.Developer.P1=TRUE,I.Facility.P1FacilityCount&gt;=390,F402=""),"Incomplete","Complete")</f>
        <v>Complete</v>
      </c>
      <c r="I402" s="48" t="s">
        <v>4767</v>
      </c>
    </row>
    <row r="403" spans="2:9" ht="15" customHeight="1" x14ac:dyDescent="0.25">
      <c r="B403" s="55" t="s">
        <v>279</v>
      </c>
      <c r="C403" s="46">
        <v>391</v>
      </c>
      <c r="D403" s="69" t="s">
        <v>29416</v>
      </c>
      <c r="E403" s="51"/>
      <c r="F403" s="114" t="str">
        <f>IF(INDEX(I.Facility.P1IDNumber,391)="","",INDEX(I.Facility.P1IDNumber,391))</f>
        <v/>
      </c>
      <c r="G403" s="51"/>
      <c r="H403" s="46" t="str">
        <f>IF(AND(I.Developer.P1=TRUE,I.Facility.P1FacilityCount&gt;=391,F403=""),"Incomplete","Complete")</f>
        <v>Complete</v>
      </c>
      <c r="I403" s="48" t="s">
        <v>4768</v>
      </c>
    </row>
    <row r="404" spans="2:9" ht="15" customHeight="1" x14ac:dyDescent="0.25">
      <c r="B404" s="55" t="s">
        <v>279</v>
      </c>
      <c r="C404" s="46">
        <v>392</v>
      </c>
      <c r="D404" s="69" t="s">
        <v>29416</v>
      </c>
      <c r="E404" s="51"/>
      <c r="F404" s="114" t="str">
        <f>IF(INDEX(I.Facility.P1IDNumber,392)="","",INDEX(I.Facility.P1IDNumber,392))</f>
        <v/>
      </c>
      <c r="G404" s="51"/>
      <c r="H404" s="46" t="str">
        <f>IF(AND(I.Developer.P1=TRUE,I.Facility.P1FacilityCount&gt;=392,F404=""),"Incomplete","Complete")</f>
        <v>Complete</v>
      </c>
      <c r="I404" s="48" t="s">
        <v>4769</v>
      </c>
    </row>
    <row r="405" spans="2:9" ht="15" customHeight="1" x14ac:dyDescent="0.25">
      <c r="B405" s="55" t="s">
        <v>279</v>
      </c>
      <c r="C405" s="46">
        <v>393</v>
      </c>
      <c r="D405" s="69" t="s">
        <v>29416</v>
      </c>
      <c r="E405" s="51"/>
      <c r="F405" s="114" t="str">
        <f>IF(INDEX(I.Facility.P1IDNumber,393)="","",INDEX(I.Facility.P1IDNumber,393))</f>
        <v/>
      </c>
      <c r="G405" s="51"/>
      <c r="H405" s="46" t="str">
        <f>IF(AND(I.Developer.P1=TRUE,I.Facility.P1FacilityCount&gt;=393,F405=""),"Incomplete","Complete")</f>
        <v>Complete</v>
      </c>
      <c r="I405" s="48" t="s">
        <v>4770</v>
      </c>
    </row>
    <row r="406" spans="2:9" ht="15" customHeight="1" x14ac:dyDescent="0.25">
      <c r="B406" s="55" t="s">
        <v>279</v>
      </c>
      <c r="C406" s="46">
        <v>394</v>
      </c>
      <c r="D406" s="69" t="s">
        <v>29416</v>
      </c>
      <c r="E406" s="51"/>
      <c r="F406" s="114" t="str">
        <f>IF(INDEX(I.Facility.P1IDNumber,394)="","",INDEX(I.Facility.P1IDNumber,394))</f>
        <v/>
      </c>
      <c r="G406" s="51"/>
      <c r="H406" s="46" t="str">
        <f>IF(AND(I.Developer.P1=TRUE,I.Facility.P1FacilityCount&gt;=394,F406=""),"Incomplete","Complete")</f>
        <v>Complete</v>
      </c>
      <c r="I406" s="48" t="s">
        <v>4771</v>
      </c>
    </row>
    <row r="407" spans="2:9" ht="15" customHeight="1" x14ac:dyDescent="0.25">
      <c r="B407" s="55" t="s">
        <v>279</v>
      </c>
      <c r="C407" s="46">
        <v>395</v>
      </c>
      <c r="D407" s="69" t="s">
        <v>29416</v>
      </c>
      <c r="E407" s="51"/>
      <c r="F407" s="114" t="str">
        <f>IF(INDEX(I.Facility.P1IDNumber,395)="","",INDEX(I.Facility.P1IDNumber,395))</f>
        <v/>
      </c>
      <c r="G407" s="51"/>
      <c r="H407" s="46" t="str">
        <f>IF(AND(I.Developer.P1=TRUE,I.Facility.P1FacilityCount&gt;=395,F407=""),"Incomplete","Complete")</f>
        <v>Complete</v>
      </c>
      <c r="I407" s="48" t="s">
        <v>4772</v>
      </c>
    </row>
    <row r="408" spans="2:9" ht="15" customHeight="1" x14ac:dyDescent="0.25">
      <c r="B408" s="55" t="s">
        <v>279</v>
      </c>
      <c r="C408" s="46">
        <v>396</v>
      </c>
      <c r="D408" s="69" t="s">
        <v>29416</v>
      </c>
      <c r="E408" s="51"/>
      <c r="F408" s="114" t="str">
        <f>IF(INDEX(I.Facility.P1IDNumber,396)="","",INDEX(I.Facility.P1IDNumber,396))</f>
        <v/>
      </c>
      <c r="G408" s="51"/>
      <c r="H408" s="46" t="str">
        <f>IF(AND(I.Developer.P1=TRUE,I.Facility.P1FacilityCount&gt;=396,F408=""),"Incomplete","Complete")</f>
        <v>Complete</v>
      </c>
      <c r="I408" s="48" t="s">
        <v>4773</v>
      </c>
    </row>
    <row r="409" spans="2:9" ht="15" customHeight="1" x14ac:dyDescent="0.25">
      <c r="B409" s="55" t="s">
        <v>279</v>
      </c>
      <c r="C409" s="46">
        <v>397</v>
      </c>
      <c r="D409" s="69" t="s">
        <v>29416</v>
      </c>
      <c r="E409" s="51"/>
      <c r="F409" s="114" t="str">
        <f>IF(INDEX(I.Facility.P1IDNumber,397)="","",INDEX(I.Facility.P1IDNumber,397))</f>
        <v/>
      </c>
      <c r="G409" s="51"/>
      <c r="H409" s="46" t="str">
        <f>IF(AND(I.Developer.P1=TRUE,I.Facility.P1FacilityCount&gt;=397,F409=""),"Incomplete","Complete")</f>
        <v>Complete</v>
      </c>
      <c r="I409" s="48" t="s">
        <v>4774</v>
      </c>
    </row>
    <row r="410" spans="2:9" ht="15" customHeight="1" x14ac:dyDescent="0.25">
      <c r="B410" s="55" t="s">
        <v>279</v>
      </c>
      <c r="C410" s="46">
        <v>398</v>
      </c>
      <c r="D410" s="69" t="s">
        <v>29416</v>
      </c>
      <c r="E410" s="51"/>
      <c r="F410" s="114" t="str">
        <f>IF(INDEX(I.Facility.P1IDNumber,398)="","",INDEX(I.Facility.P1IDNumber,398))</f>
        <v/>
      </c>
      <c r="G410" s="51"/>
      <c r="H410" s="46" t="str">
        <f>IF(AND(I.Developer.P1=TRUE,I.Facility.P1FacilityCount&gt;=398,F410=""),"Incomplete","Complete")</f>
        <v>Complete</v>
      </c>
      <c r="I410" s="48" t="s">
        <v>4775</v>
      </c>
    </row>
    <row r="411" spans="2:9" ht="15" customHeight="1" x14ac:dyDescent="0.25">
      <c r="B411" s="55" t="s">
        <v>279</v>
      </c>
      <c r="C411" s="46">
        <v>399</v>
      </c>
      <c r="D411" s="69" t="s">
        <v>29416</v>
      </c>
      <c r="E411" s="51"/>
      <c r="F411" s="114" t="str">
        <f>IF(INDEX(I.Facility.P1IDNumber,399)="","",INDEX(I.Facility.P1IDNumber,399))</f>
        <v/>
      </c>
      <c r="G411" s="51"/>
      <c r="H411" s="46" t="str">
        <f>IF(AND(I.Developer.P1=TRUE,I.Facility.P1FacilityCount&gt;=399,F411=""),"Incomplete","Complete")</f>
        <v>Complete</v>
      </c>
      <c r="I411" s="48" t="s">
        <v>4776</v>
      </c>
    </row>
    <row r="412" spans="2:9" ht="15" customHeight="1" x14ac:dyDescent="0.25">
      <c r="B412" s="55" t="s">
        <v>279</v>
      </c>
      <c r="C412" s="46">
        <v>400</v>
      </c>
      <c r="D412" s="69" t="s">
        <v>29416</v>
      </c>
      <c r="E412" s="51"/>
      <c r="F412" s="114" t="str">
        <f>IF(INDEX(I.Facility.P1IDNumber,400)="","",INDEX(I.Facility.P1IDNumber,400))</f>
        <v/>
      </c>
      <c r="G412" s="51"/>
      <c r="H412" s="46" t="str">
        <f>IF(AND(I.Developer.P1=TRUE,I.Facility.P1FacilityCount&gt;=400,F412=""),"Incomplete","Complete")</f>
        <v>Complete</v>
      </c>
      <c r="I412" s="48" t="s">
        <v>4777</v>
      </c>
    </row>
    <row r="413" spans="2:9" ht="15" customHeight="1" x14ac:dyDescent="0.25">
      <c r="B413" s="55" t="s">
        <v>279</v>
      </c>
      <c r="C413" s="46">
        <v>401</v>
      </c>
      <c r="D413" s="69" t="s">
        <v>29416</v>
      </c>
      <c r="E413" s="51"/>
      <c r="F413" s="114" t="str">
        <f>IF(INDEX(I.Facility.P1IDNumber,401)="","",INDEX(I.Facility.P1IDNumber,401))</f>
        <v/>
      </c>
      <c r="G413" s="51"/>
      <c r="H413" s="46" t="str">
        <f>IF(AND(I.Developer.P1=TRUE,I.Facility.P1FacilityCount&gt;=401,F413=""),"Incomplete","Complete")</f>
        <v>Complete</v>
      </c>
      <c r="I413" s="48" t="s">
        <v>4778</v>
      </c>
    </row>
    <row r="414" spans="2:9" ht="15" customHeight="1" x14ac:dyDescent="0.25">
      <c r="B414" s="55" t="s">
        <v>279</v>
      </c>
      <c r="C414" s="46">
        <v>402</v>
      </c>
      <c r="D414" s="69" t="s">
        <v>29416</v>
      </c>
      <c r="E414" s="51"/>
      <c r="F414" s="114" t="str">
        <f>IF(INDEX(I.Facility.P1IDNumber,402)="","",INDEX(I.Facility.P1IDNumber,402))</f>
        <v/>
      </c>
      <c r="G414" s="51"/>
      <c r="H414" s="46" t="str">
        <f>IF(AND(I.Developer.P1=TRUE,I.Facility.P1FacilityCount&gt;=402,F414=""),"Incomplete","Complete")</f>
        <v>Complete</v>
      </c>
      <c r="I414" s="48" t="s">
        <v>4779</v>
      </c>
    </row>
    <row r="415" spans="2:9" ht="15" customHeight="1" x14ac:dyDescent="0.25">
      <c r="B415" s="55" t="s">
        <v>279</v>
      </c>
      <c r="C415" s="46">
        <v>403</v>
      </c>
      <c r="D415" s="69" t="s">
        <v>29416</v>
      </c>
      <c r="E415" s="51"/>
      <c r="F415" s="114" t="str">
        <f>IF(INDEX(I.Facility.P1IDNumber,403)="","",INDEX(I.Facility.P1IDNumber,403))</f>
        <v/>
      </c>
      <c r="G415" s="51"/>
      <c r="H415" s="46" t="str">
        <f>IF(AND(I.Developer.P1=TRUE,I.Facility.P1FacilityCount&gt;=403,F415=""),"Incomplete","Complete")</f>
        <v>Complete</v>
      </c>
      <c r="I415" s="48" t="s">
        <v>4780</v>
      </c>
    </row>
    <row r="416" spans="2:9" ht="15" customHeight="1" x14ac:dyDescent="0.25">
      <c r="B416" s="55" t="s">
        <v>279</v>
      </c>
      <c r="C416" s="46">
        <v>404</v>
      </c>
      <c r="D416" s="69" t="s">
        <v>29416</v>
      </c>
      <c r="E416" s="51"/>
      <c r="F416" s="114" t="str">
        <f>IF(INDEX(I.Facility.P1IDNumber,404)="","",INDEX(I.Facility.P1IDNumber,404))</f>
        <v/>
      </c>
      <c r="G416" s="51"/>
      <c r="H416" s="46" t="str">
        <f>IF(AND(I.Developer.P1=TRUE,I.Facility.P1FacilityCount&gt;=404,F416=""),"Incomplete","Complete")</f>
        <v>Complete</v>
      </c>
      <c r="I416" s="48" t="s">
        <v>4781</v>
      </c>
    </row>
    <row r="417" spans="2:9" ht="15" customHeight="1" x14ac:dyDescent="0.25">
      <c r="B417" s="55" t="s">
        <v>279</v>
      </c>
      <c r="C417" s="46">
        <v>405</v>
      </c>
      <c r="D417" s="69" t="s">
        <v>29416</v>
      </c>
      <c r="E417" s="51"/>
      <c r="F417" s="114" t="str">
        <f>IF(INDEX(I.Facility.P1IDNumber,405)="","",INDEX(I.Facility.P1IDNumber,405))</f>
        <v/>
      </c>
      <c r="G417" s="51"/>
      <c r="H417" s="46" t="str">
        <f>IF(AND(I.Developer.P1=TRUE,I.Facility.P1FacilityCount&gt;=405,F417=""),"Incomplete","Complete")</f>
        <v>Complete</v>
      </c>
      <c r="I417" s="48" t="s">
        <v>4782</v>
      </c>
    </row>
    <row r="418" spans="2:9" ht="15" customHeight="1" x14ac:dyDescent="0.25">
      <c r="B418" s="55" t="s">
        <v>279</v>
      </c>
      <c r="C418" s="46">
        <v>406</v>
      </c>
      <c r="D418" s="69" t="s">
        <v>29416</v>
      </c>
      <c r="E418" s="51"/>
      <c r="F418" s="114" t="str">
        <f>IF(INDEX(I.Facility.P1IDNumber,406)="","",INDEX(I.Facility.P1IDNumber,406))</f>
        <v/>
      </c>
      <c r="G418" s="51"/>
      <c r="H418" s="46" t="str">
        <f>IF(AND(I.Developer.P1=TRUE,I.Facility.P1FacilityCount&gt;=406,F418=""),"Incomplete","Complete")</f>
        <v>Complete</v>
      </c>
      <c r="I418" s="48" t="s">
        <v>4783</v>
      </c>
    </row>
    <row r="419" spans="2:9" ht="15" customHeight="1" x14ac:dyDescent="0.25">
      <c r="B419" s="55" t="s">
        <v>279</v>
      </c>
      <c r="C419" s="46">
        <v>407</v>
      </c>
      <c r="D419" s="69" t="s">
        <v>29416</v>
      </c>
      <c r="E419" s="51"/>
      <c r="F419" s="114" t="str">
        <f>IF(INDEX(I.Facility.P1IDNumber,407)="","",INDEX(I.Facility.P1IDNumber,407))</f>
        <v/>
      </c>
      <c r="G419" s="51"/>
      <c r="H419" s="46" t="str">
        <f>IF(AND(I.Developer.P1=TRUE,I.Facility.P1FacilityCount&gt;=407,F419=""),"Incomplete","Complete")</f>
        <v>Complete</v>
      </c>
      <c r="I419" s="48" t="s">
        <v>4784</v>
      </c>
    </row>
    <row r="420" spans="2:9" ht="15" customHeight="1" x14ac:dyDescent="0.25">
      <c r="B420" s="55" t="s">
        <v>279</v>
      </c>
      <c r="C420" s="46">
        <v>408</v>
      </c>
      <c r="D420" s="69" t="s">
        <v>29416</v>
      </c>
      <c r="E420" s="51"/>
      <c r="F420" s="114" t="str">
        <f>IF(INDEX(I.Facility.P1IDNumber,408)="","",INDEX(I.Facility.P1IDNumber,408))</f>
        <v/>
      </c>
      <c r="G420" s="51"/>
      <c r="H420" s="46" t="str">
        <f>IF(AND(I.Developer.P1=TRUE,I.Facility.P1FacilityCount&gt;=408,F420=""),"Incomplete","Complete")</f>
        <v>Complete</v>
      </c>
      <c r="I420" s="48" t="s">
        <v>4785</v>
      </c>
    </row>
    <row r="421" spans="2:9" ht="15" customHeight="1" x14ac:dyDescent="0.25">
      <c r="B421" s="55" t="s">
        <v>279</v>
      </c>
      <c r="C421" s="46">
        <v>409</v>
      </c>
      <c r="D421" s="69" t="s">
        <v>29416</v>
      </c>
      <c r="E421" s="51"/>
      <c r="F421" s="114" t="str">
        <f>IF(INDEX(I.Facility.P1IDNumber,409)="","",INDEX(I.Facility.P1IDNumber,409))</f>
        <v/>
      </c>
      <c r="G421" s="51"/>
      <c r="H421" s="46" t="str">
        <f>IF(AND(I.Developer.P1=TRUE,I.Facility.P1FacilityCount&gt;=409,F421=""),"Incomplete","Complete")</f>
        <v>Complete</v>
      </c>
      <c r="I421" s="48" t="s">
        <v>4786</v>
      </c>
    </row>
    <row r="422" spans="2:9" ht="15" customHeight="1" x14ac:dyDescent="0.25">
      <c r="B422" s="55" t="s">
        <v>279</v>
      </c>
      <c r="C422" s="46">
        <v>410</v>
      </c>
      <c r="D422" s="69" t="s">
        <v>29416</v>
      </c>
      <c r="E422" s="51"/>
      <c r="F422" s="114" t="str">
        <f>IF(INDEX(I.Facility.P1IDNumber,410)="","",INDEX(I.Facility.P1IDNumber,410))</f>
        <v/>
      </c>
      <c r="G422" s="51"/>
      <c r="H422" s="46" t="str">
        <f>IF(AND(I.Developer.P1=TRUE,I.Facility.P1FacilityCount&gt;=410,F422=""),"Incomplete","Complete")</f>
        <v>Complete</v>
      </c>
      <c r="I422" s="48" t="s">
        <v>4787</v>
      </c>
    </row>
    <row r="423" spans="2:9" ht="15" customHeight="1" x14ac:dyDescent="0.25">
      <c r="B423" s="55" t="s">
        <v>279</v>
      </c>
      <c r="C423" s="46">
        <v>411</v>
      </c>
      <c r="D423" s="69" t="s">
        <v>29416</v>
      </c>
      <c r="E423" s="51"/>
      <c r="F423" s="114" t="str">
        <f>IF(INDEX(I.Facility.P1IDNumber,411)="","",INDEX(I.Facility.P1IDNumber,411))</f>
        <v/>
      </c>
      <c r="G423" s="51"/>
      <c r="H423" s="46" t="str">
        <f>IF(AND(I.Developer.P1=TRUE,I.Facility.P1FacilityCount&gt;=411,F423=""),"Incomplete","Complete")</f>
        <v>Complete</v>
      </c>
      <c r="I423" s="48" t="s">
        <v>4788</v>
      </c>
    </row>
    <row r="424" spans="2:9" ht="15" customHeight="1" x14ac:dyDescent="0.25">
      <c r="B424" s="55" t="s">
        <v>279</v>
      </c>
      <c r="C424" s="46">
        <v>412</v>
      </c>
      <c r="D424" s="69" t="s">
        <v>29416</v>
      </c>
      <c r="E424" s="51"/>
      <c r="F424" s="114" t="str">
        <f>IF(INDEX(I.Facility.P1IDNumber,412)="","",INDEX(I.Facility.P1IDNumber,412))</f>
        <v/>
      </c>
      <c r="G424" s="51"/>
      <c r="H424" s="46" t="str">
        <f>IF(AND(I.Developer.P1=TRUE,I.Facility.P1FacilityCount&gt;=412,F424=""),"Incomplete","Complete")</f>
        <v>Complete</v>
      </c>
      <c r="I424" s="48" t="s">
        <v>4789</v>
      </c>
    </row>
    <row r="425" spans="2:9" ht="15" customHeight="1" x14ac:dyDescent="0.25">
      <c r="B425" s="55" t="s">
        <v>279</v>
      </c>
      <c r="C425" s="46">
        <v>413</v>
      </c>
      <c r="D425" s="69" t="s">
        <v>29416</v>
      </c>
      <c r="E425" s="51"/>
      <c r="F425" s="114" t="str">
        <f>IF(INDEX(I.Facility.P1IDNumber,413)="","",INDEX(I.Facility.P1IDNumber,413))</f>
        <v/>
      </c>
      <c r="G425" s="51"/>
      <c r="H425" s="46" t="str">
        <f>IF(AND(I.Developer.P1=TRUE,I.Facility.P1FacilityCount&gt;=413,F425=""),"Incomplete","Complete")</f>
        <v>Complete</v>
      </c>
      <c r="I425" s="48" t="s">
        <v>4790</v>
      </c>
    </row>
    <row r="426" spans="2:9" ht="15" customHeight="1" x14ac:dyDescent="0.25">
      <c r="B426" s="55" t="s">
        <v>279</v>
      </c>
      <c r="C426" s="46">
        <v>414</v>
      </c>
      <c r="D426" s="69" t="s">
        <v>29416</v>
      </c>
      <c r="E426" s="51"/>
      <c r="F426" s="114" t="str">
        <f>IF(INDEX(I.Facility.P1IDNumber,414)="","",INDEX(I.Facility.P1IDNumber,414))</f>
        <v/>
      </c>
      <c r="G426" s="51"/>
      <c r="H426" s="46" t="str">
        <f>IF(AND(I.Developer.P1=TRUE,I.Facility.P1FacilityCount&gt;=414,F426=""),"Incomplete","Complete")</f>
        <v>Complete</v>
      </c>
      <c r="I426" s="48" t="s">
        <v>4791</v>
      </c>
    </row>
    <row r="427" spans="2:9" ht="15" customHeight="1" x14ac:dyDescent="0.25">
      <c r="B427" s="55" t="s">
        <v>279</v>
      </c>
      <c r="C427" s="46">
        <v>415</v>
      </c>
      <c r="D427" s="69" t="s">
        <v>29416</v>
      </c>
      <c r="E427" s="51"/>
      <c r="F427" s="114" t="str">
        <f>IF(INDEX(I.Facility.P1IDNumber,415)="","",INDEX(I.Facility.P1IDNumber,415))</f>
        <v/>
      </c>
      <c r="G427" s="51"/>
      <c r="H427" s="46" t="str">
        <f>IF(AND(I.Developer.P1=TRUE,I.Facility.P1FacilityCount&gt;=415,F427=""),"Incomplete","Complete")</f>
        <v>Complete</v>
      </c>
      <c r="I427" s="48" t="s">
        <v>4792</v>
      </c>
    </row>
    <row r="428" spans="2:9" ht="15" customHeight="1" x14ac:dyDescent="0.25">
      <c r="B428" s="55" t="s">
        <v>279</v>
      </c>
      <c r="C428" s="46">
        <v>416</v>
      </c>
      <c r="D428" s="69" t="s">
        <v>29416</v>
      </c>
      <c r="E428" s="51"/>
      <c r="F428" s="114" t="str">
        <f>IF(INDEX(I.Facility.P1IDNumber,416)="","",INDEX(I.Facility.P1IDNumber,416))</f>
        <v/>
      </c>
      <c r="G428" s="51"/>
      <c r="H428" s="46" t="str">
        <f>IF(AND(I.Developer.P1=TRUE,I.Facility.P1FacilityCount&gt;=416,F428=""),"Incomplete","Complete")</f>
        <v>Complete</v>
      </c>
      <c r="I428" s="48" t="s">
        <v>4793</v>
      </c>
    </row>
    <row r="429" spans="2:9" ht="15" customHeight="1" x14ac:dyDescent="0.25">
      <c r="B429" s="55" t="s">
        <v>279</v>
      </c>
      <c r="C429" s="46">
        <v>417</v>
      </c>
      <c r="D429" s="69" t="s">
        <v>29416</v>
      </c>
      <c r="E429" s="51"/>
      <c r="F429" s="114" t="str">
        <f>IF(INDEX(I.Facility.P1IDNumber,417)="","",INDEX(I.Facility.P1IDNumber,417))</f>
        <v/>
      </c>
      <c r="G429" s="51"/>
      <c r="H429" s="46" t="str">
        <f>IF(AND(I.Developer.P1=TRUE,I.Facility.P1FacilityCount&gt;=417,F429=""),"Incomplete","Complete")</f>
        <v>Complete</v>
      </c>
      <c r="I429" s="48" t="s">
        <v>4794</v>
      </c>
    </row>
    <row r="430" spans="2:9" ht="15" customHeight="1" x14ac:dyDescent="0.25">
      <c r="B430" s="55" t="s">
        <v>279</v>
      </c>
      <c r="C430" s="46">
        <v>418</v>
      </c>
      <c r="D430" s="69" t="s">
        <v>29416</v>
      </c>
      <c r="E430" s="51"/>
      <c r="F430" s="114" t="str">
        <f>IF(INDEX(I.Facility.P1IDNumber,418)="","",INDEX(I.Facility.P1IDNumber,418))</f>
        <v/>
      </c>
      <c r="G430" s="51"/>
      <c r="H430" s="46" t="str">
        <f>IF(AND(I.Developer.P1=TRUE,I.Facility.P1FacilityCount&gt;=418,F430=""),"Incomplete","Complete")</f>
        <v>Complete</v>
      </c>
      <c r="I430" s="48" t="s">
        <v>4795</v>
      </c>
    </row>
    <row r="431" spans="2:9" ht="15" customHeight="1" x14ac:dyDescent="0.25">
      <c r="B431" s="55" t="s">
        <v>279</v>
      </c>
      <c r="C431" s="46">
        <v>419</v>
      </c>
      <c r="D431" s="69" t="s">
        <v>29416</v>
      </c>
      <c r="E431" s="51"/>
      <c r="F431" s="114" t="str">
        <f>IF(INDEX(I.Facility.P1IDNumber,419)="","",INDEX(I.Facility.P1IDNumber,419))</f>
        <v/>
      </c>
      <c r="G431" s="51"/>
      <c r="H431" s="46" t="str">
        <f>IF(AND(I.Developer.P1=TRUE,I.Facility.P1FacilityCount&gt;=419,F431=""),"Incomplete","Complete")</f>
        <v>Complete</v>
      </c>
      <c r="I431" s="48" t="s">
        <v>4796</v>
      </c>
    </row>
    <row r="432" spans="2:9" ht="15" customHeight="1" x14ac:dyDescent="0.25">
      <c r="B432" s="55" t="s">
        <v>279</v>
      </c>
      <c r="C432" s="46">
        <v>420</v>
      </c>
      <c r="D432" s="69" t="s">
        <v>29416</v>
      </c>
      <c r="E432" s="51"/>
      <c r="F432" s="114" t="str">
        <f>IF(INDEX(I.Facility.P1IDNumber,420)="","",INDEX(I.Facility.P1IDNumber,420))</f>
        <v/>
      </c>
      <c r="G432" s="51"/>
      <c r="H432" s="46" t="str">
        <f>IF(AND(I.Developer.P1=TRUE,I.Facility.P1FacilityCount&gt;=420,F432=""),"Incomplete","Complete")</f>
        <v>Complete</v>
      </c>
      <c r="I432" s="48" t="s">
        <v>4797</v>
      </c>
    </row>
    <row r="433" spans="2:9" ht="15" customHeight="1" x14ac:dyDescent="0.25">
      <c r="B433" s="55" t="s">
        <v>279</v>
      </c>
      <c r="C433" s="46">
        <v>421</v>
      </c>
      <c r="D433" s="69" t="s">
        <v>29416</v>
      </c>
      <c r="E433" s="51"/>
      <c r="F433" s="114" t="str">
        <f>IF(INDEX(I.Facility.P1IDNumber,421)="","",INDEX(I.Facility.P1IDNumber,421))</f>
        <v/>
      </c>
      <c r="G433" s="51"/>
      <c r="H433" s="46" t="str">
        <f>IF(AND(I.Developer.P1=TRUE,I.Facility.P1FacilityCount&gt;=421,F433=""),"Incomplete","Complete")</f>
        <v>Complete</v>
      </c>
      <c r="I433" s="48" t="s">
        <v>4798</v>
      </c>
    </row>
    <row r="434" spans="2:9" ht="15" customHeight="1" x14ac:dyDescent="0.25">
      <c r="B434" s="55" t="s">
        <v>279</v>
      </c>
      <c r="C434" s="46">
        <v>422</v>
      </c>
      <c r="D434" s="69" t="s">
        <v>29416</v>
      </c>
      <c r="E434" s="51"/>
      <c r="F434" s="114" t="str">
        <f>IF(INDEX(I.Facility.P1IDNumber,422)="","",INDEX(I.Facility.P1IDNumber,422))</f>
        <v/>
      </c>
      <c r="G434" s="51"/>
      <c r="H434" s="46" t="str">
        <f>IF(AND(I.Developer.P1=TRUE,I.Facility.P1FacilityCount&gt;=422,F434=""),"Incomplete","Complete")</f>
        <v>Complete</v>
      </c>
      <c r="I434" s="48" t="s">
        <v>4799</v>
      </c>
    </row>
    <row r="435" spans="2:9" ht="15" customHeight="1" x14ac:dyDescent="0.25">
      <c r="B435" s="55" t="s">
        <v>279</v>
      </c>
      <c r="C435" s="46">
        <v>423</v>
      </c>
      <c r="D435" s="69" t="s">
        <v>29416</v>
      </c>
      <c r="E435" s="51"/>
      <c r="F435" s="114" t="str">
        <f>IF(INDEX(I.Facility.P1IDNumber,423)="","",INDEX(I.Facility.P1IDNumber,423))</f>
        <v/>
      </c>
      <c r="G435" s="51"/>
      <c r="H435" s="46" t="str">
        <f>IF(AND(I.Developer.P1=TRUE,I.Facility.P1FacilityCount&gt;=423,F435=""),"Incomplete","Complete")</f>
        <v>Complete</v>
      </c>
      <c r="I435" s="48" t="s">
        <v>4800</v>
      </c>
    </row>
    <row r="436" spans="2:9" ht="15" customHeight="1" x14ac:dyDescent="0.25">
      <c r="B436" s="55" t="s">
        <v>279</v>
      </c>
      <c r="C436" s="46">
        <v>424</v>
      </c>
      <c r="D436" s="69" t="s">
        <v>29416</v>
      </c>
      <c r="E436" s="51"/>
      <c r="F436" s="114" t="str">
        <f>IF(INDEX(I.Facility.P1IDNumber,424)="","",INDEX(I.Facility.P1IDNumber,424))</f>
        <v/>
      </c>
      <c r="G436" s="51"/>
      <c r="H436" s="46" t="str">
        <f>IF(AND(I.Developer.P1=TRUE,I.Facility.P1FacilityCount&gt;=424,F436=""),"Incomplete","Complete")</f>
        <v>Complete</v>
      </c>
      <c r="I436" s="48" t="s">
        <v>4801</v>
      </c>
    </row>
    <row r="437" spans="2:9" ht="15" customHeight="1" x14ac:dyDescent="0.25">
      <c r="B437" s="55" t="s">
        <v>279</v>
      </c>
      <c r="C437" s="46">
        <v>425</v>
      </c>
      <c r="D437" s="69" t="s">
        <v>29416</v>
      </c>
      <c r="E437" s="51"/>
      <c r="F437" s="114" t="str">
        <f>IF(INDEX(I.Facility.P1IDNumber,425)="","",INDEX(I.Facility.P1IDNumber,425))</f>
        <v/>
      </c>
      <c r="G437" s="51"/>
      <c r="H437" s="46" t="str">
        <f>IF(AND(I.Developer.P1=TRUE,I.Facility.P1FacilityCount&gt;=425,F437=""),"Incomplete","Complete")</f>
        <v>Complete</v>
      </c>
      <c r="I437" s="48" t="s">
        <v>4802</v>
      </c>
    </row>
    <row r="438" spans="2:9" ht="15" customHeight="1" x14ac:dyDescent="0.25">
      <c r="B438" s="55" t="s">
        <v>279</v>
      </c>
      <c r="C438" s="46">
        <v>426</v>
      </c>
      <c r="D438" s="69" t="s">
        <v>29416</v>
      </c>
      <c r="E438" s="51"/>
      <c r="F438" s="114" t="str">
        <f>IF(INDEX(I.Facility.P1IDNumber,426)="","",INDEX(I.Facility.P1IDNumber,426))</f>
        <v/>
      </c>
      <c r="G438" s="51"/>
      <c r="H438" s="46" t="str">
        <f>IF(AND(I.Developer.P1=TRUE,I.Facility.P1FacilityCount&gt;=426,F438=""),"Incomplete","Complete")</f>
        <v>Complete</v>
      </c>
      <c r="I438" s="48" t="s">
        <v>4803</v>
      </c>
    </row>
    <row r="439" spans="2:9" ht="15" customHeight="1" x14ac:dyDescent="0.25">
      <c r="B439" s="55" t="s">
        <v>279</v>
      </c>
      <c r="C439" s="46">
        <v>427</v>
      </c>
      <c r="D439" s="69" t="s">
        <v>29416</v>
      </c>
      <c r="E439" s="51"/>
      <c r="F439" s="114" t="str">
        <f>IF(INDEX(I.Facility.P1IDNumber,427)="","",INDEX(I.Facility.P1IDNumber,427))</f>
        <v/>
      </c>
      <c r="G439" s="51"/>
      <c r="H439" s="46" t="str">
        <f>IF(AND(I.Developer.P1=TRUE,I.Facility.P1FacilityCount&gt;=427,F439=""),"Incomplete","Complete")</f>
        <v>Complete</v>
      </c>
      <c r="I439" s="48" t="s">
        <v>4804</v>
      </c>
    </row>
    <row r="440" spans="2:9" ht="15" customHeight="1" x14ac:dyDescent="0.25">
      <c r="B440" s="55" t="s">
        <v>279</v>
      </c>
      <c r="C440" s="46">
        <v>428</v>
      </c>
      <c r="D440" s="69" t="s">
        <v>29416</v>
      </c>
      <c r="E440" s="51"/>
      <c r="F440" s="114" t="str">
        <f>IF(INDEX(I.Facility.P1IDNumber,428)="","",INDEX(I.Facility.P1IDNumber,428))</f>
        <v/>
      </c>
      <c r="G440" s="51"/>
      <c r="H440" s="46" t="str">
        <f>IF(AND(I.Developer.P1=TRUE,I.Facility.P1FacilityCount&gt;=428,F440=""),"Incomplete","Complete")</f>
        <v>Complete</v>
      </c>
      <c r="I440" s="48" t="s">
        <v>4805</v>
      </c>
    </row>
    <row r="441" spans="2:9" ht="15" customHeight="1" x14ac:dyDescent="0.25">
      <c r="B441" s="55" t="s">
        <v>279</v>
      </c>
      <c r="C441" s="46">
        <v>429</v>
      </c>
      <c r="D441" s="69" t="s">
        <v>29416</v>
      </c>
      <c r="E441" s="51"/>
      <c r="F441" s="114" t="str">
        <f>IF(INDEX(I.Facility.P1IDNumber,429)="","",INDEX(I.Facility.P1IDNumber,429))</f>
        <v/>
      </c>
      <c r="G441" s="51"/>
      <c r="H441" s="46" t="str">
        <f>IF(AND(I.Developer.P1=TRUE,I.Facility.P1FacilityCount&gt;=429,F441=""),"Incomplete","Complete")</f>
        <v>Complete</v>
      </c>
      <c r="I441" s="48" t="s">
        <v>4806</v>
      </c>
    </row>
    <row r="442" spans="2:9" ht="15" customHeight="1" x14ac:dyDescent="0.25">
      <c r="B442" s="55" t="s">
        <v>279</v>
      </c>
      <c r="C442" s="46">
        <v>430</v>
      </c>
      <c r="D442" s="69" t="s">
        <v>29416</v>
      </c>
      <c r="E442" s="51"/>
      <c r="F442" s="114" t="str">
        <f>IF(INDEX(I.Facility.P1IDNumber,430)="","",INDEX(I.Facility.P1IDNumber,430))</f>
        <v/>
      </c>
      <c r="G442" s="51"/>
      <c r="H442" s="46" t="str">
        <f>IF(AND(I.Developer.P1=TRUE,I.Facility.P1FacilityCount&gt;=430,F442=""),"Incomplete","Complete")</f>
        <v>Complete</v>
      </c>
      <c r="I442" s="48" t="s">
        <v>4807</v>
      </c>
    </row>
    <row r="443" spans="2:9" ht="15" customHeight="1" x14ac:dyDescent="0.25">
      <c r="B443" s="55" t="s">
        <v>279</v>
      </c>
      <c r="C443" s="46">
        <v>431</v>
      </c>
      <c r="D443" s="69" t="s">
        <v>29416</v>
      </c>
      <c r="E443" s="51"/>
      <c r="F443" s="114" t="str">
        <f>IF(INDEX(I.Facility.P1IDNumber,431)="","",INDEX(I.Facility.P1IDNumber,431))</f>
        <v/>
      </c>
      <c r="G443" s="51"/>
      <c r="H443" s="46" t="str">
        <f>IF(AND(I.Developer.P1=TRUE,I.Facility.P1FacilityCount&gt;=431,F443=""),"Incomplete","Complete")</f>
        <v>Complete</v>
      </c>
      <c r="I443" s="48" t="s">
        <v>4808</v>
      </c>
    </row>
    <row r="444" spans="2:9" ht="15" customHeight="1" x14ac:dyDescent="0.25">
      <c r="B444" s="55" t="s">
        <v>279</v>
      </c>
      <c r="C444" s="46">
        <v>432</v>
      </c>
      <c r="D444" s="69" t="s">
        <v>29416</v>
      </c>
      <c r="E444" s="51"/>
      <c r="F444" s="114" t="str">
        <f>IF(INDEX(I.Facility.P1IDNumber,432)="","",INDEX(I.Facility.P1IDNumber,432))</f>
        <v/>
      </c>
      <c r="G444" s="51"/>
      <c r="H444" s="46" t="str">
        <f>IF(AND(I.Developer.P1=TRUE,I.Facility.P1FacilityCount&gt;=432,F444=""),"Incomplete","Complete")</f>
        <v>Complete</v>
      </c>
      <c r="I444" s="48" t="s">
        <v>4809</v>
      </c>
    </row>
    <row r="445" spans="2:9" ht="15" customHeight="1" x14ac:dyDescent="0.25">
      <c r="B445" s="55" t="s">
        <v>279</v>
      </c>
      <c r="C445" s="46">
        <v>433</v>
      </c>
      <c r="D445" s="69" t="s">
        <v>29416</v>
      </c>
      <c r="E445" s="51"/>
      <c r="F445" s="114" t="str">
        <f>IF(INDEX(I.Facility.P1IDNumber,433)="","",INDEX(I.Facility.P1IDNumber,433))</f>
        <v/>
      </c>
      <c r="G445" s="51"/>
      <c r="H445" s="46" t="str">
        <f>IF(AND(I.Developer.P1=TRUE,I.Facility.P1FacilityCount&gt;=433,F445=""),"Incomplete","Complete")</f>
        <v>Complete</v>
      </c>
      <c r="I445" s="48" t="s">
        <v>4810</v>
      </c>
    </row>
    <row r="446" spans="2:9" ht="15" customHeight="1" x14ac:dyDescent="0.25">
      <c r="B446" s="55" t="s">
        <v>279</v>
      </c>
      <c r="C446" s="46">
        <v>434</v>
      </c>
      <c r="D446" s="69" t="s">
        <v>29416</v>
      </c>
      <c r="E446" s="51"/>
      <c r="F446" s="114" t="str">
        <f>IF(INDEX(I.Facility.P1IDNumber,434)="","",INDEX(I.Facility.P1IDNumber,434))</f>
        <v/>
      </c>
      <c r="G446" s="51"/>
      <c r="H446" s="46" t="str">
        <f>IF(AND(I.Developer.P1=TRUE,I.Facility.P1FacilityCount&gt;=434,F446=""),"Incomplete","Complete")</f>
        <v>Complete</v>
      </c>
      <c r="I446" s="48" t="s">
        <v>4811</v>
      </c>
    </row>
    <row r="447" spans="2:9" ht="15" customHeight="1" x14ac:dyDescent="0.25">
      <c r="B447" s="55" t="s">
        <v>279</v>
      </c>
      <c r="C447" s="46">
        <v>435</v>
      </c>
      <c r="D447" s="69" t="s">
        <v>29416</v>
      </c>
      <c r="E447" s="51"/>
      <c r="F447" s="114" t="str">
        <f>IF(INDEX(I.Facility.P1IDNumber,435)="","",INDEX(I.Facility.P1IDNumber,435))</f>
        <v/>
      </c>
      <c r="G447" s="51"/>
      <c r="H447" s="46" t="str">
        <f>IF(AND(I.Developer.P1=TRUE,I.Facility.P1FacilityCount&gt;=435,F447=""),"Incomplete","Complete")</f>
        <v>Complete</v>
      </c>
      <c r="I447" s="48" t="s">
        <v>4812</v>
      </c>
    </row>
    <row r="448" spans="2:9" ht="15" customHeight="1" x14ac:dyDescent="0.25">
      <c r="B448" s="55" t="s">
        <v>279</v>
      </c>
      <c r="C448" s="46">
        <v>436</v>
      </c>
      <c r="D448" s="69" t="s">
        <v>29416</v>
      </c>
      <c r="E448" s="51"/>
      <c r="F448" s="114" t="str">
        <f>IF(INDEX(I.Facility.P1IDNumber,436)="","",INDEX(I.Facility.P1IDNumber,436))</f>
        <v/>
      </c>
      <c r="G448" s="51"/>
      <c r="H448" s="46" t="str">
        <f>IF(AND(I.Developer.P1=TRUE,I.Facility.P1FacilityCount&gt;=436,F448=""),"Incomplete","Complete")</f>
        <v>Complete</v>
      </c>
      <c r="I448" s="48" t="s">
        <v>4813</v>
      </c>
    </row>
    <row r="449" spans="2:9" ht="15" customHeight="1" x14ac:dyDescent="0.25">
      <c r="B449" s="55" t="s">
        <v>279</v>
      </c>
      <c r="C449" s="46">
        <v>437</v>
      </c>
      <c r="D449" s="69" t="s">
        <v>29416</v>
      </c>
      <c r="E449" s="51"/>
      <c r="F449" s="114" t="str">
        <f>IF(INDEX(I.Facility.P1IDNumber,437)="","",INDEX(I.Facility.P1IDNumber,437))</f>
        <v/>
      </c>
      <c r="G449" s="51"/>
      <c r="H449" s="46" t="str">
        <f>IF(AND(I.Developer.P1=TRUE,I.Facility.P1FacilityCount&gt;=437,F449=""),"Incomplete","Complete")</f>
        <v>Complete</v>
      </c>
      <c r="I449" s="48" t="s">
        <v>4814</v>
      </c>
    </row>
    <row r="450" spans="2:9" ht="15" customHeight="1" x14ac:dyDescent="0.25">
      <c r="B450" s="55" t="s">
        <v>279</v>
      </c>
      <c r="C450" s="46">
        <v>438</v>
      </c>
      <c r="D450" s="69" t="s">
        <v>29416</v>
      </c>
      <c r="E450" s="51"/>
      <c r="F450" s="114" t="str">
        <f>IF(INDEX(I.Facility.P1IDNumber,438)="","",INDEX(I.Facility.P1IDNumber,438))</f>
        <v/>
      </c>
      <c r="G450" s="51"/>
      <c r="H450" s="46" t="str">
        <f>IF(AND(I.Developer.P1=TRUE,I.Facility.P1FacilityCount&gt;=438,F450=""),"Incomplete","Complete")</f>
        <v>Complete</v>
      </c>
      <c r="I450" s="48" t="s">
        <v>4815</v>
      </c>
    </row>
    <row r="451" spans="2:9" ht="15" customHeight="1" x14ac:dyDescent="0.25">
      <c r="B451" s="55" t="s">
        <v>279</v>
      </c>
      <c r="C451" s="46">
        <v>439</v>
      </c>
      <c r="D451" s="69" t="s">
        <v>29416</v>
      </c>
      <c r="E451" s="51"/>
      <c r="F451" s="114" t="str">
        <f>IF(INDEX(I.Facility.P1IDNumber,439)="","",INDEX(I.Facility.P1IDNumber,439))</f>
        <v/>
      </c>
      <c r="G451" s="51"/>
      <c r="H451" s="46" t="str">
        <f>IF(AND(I.Developer.P1=TRUE,I.Facility.P1FacilityCount&gt;=439,F451=""),"Incomplete","Complete")</f>
        <v>Complete</v>
      </c>
      <c r="I451" s="48" t="s">
        <v>4816</v>
      </c>
    </row>
    <row r="452" spans="2:9" ht="15" customHeight="1" x14ac:dyDescent="0.25">
      <c r="B452" s="55" t="s">
        <v>279</v>
      </c>
      <c r="C452" s="46">
        <v>440</v>
      </c>
      <c r="D452" s="69" t="s">
        <v>29416</v>
      </c>
      <c r="E452" s="51"/>
      <c r="F452" s="114" t="str">
        <f>IF(INDEX(I.Facility.P1IDNumber,440)="","",INDEX(I.Facility.P1IDNumber,440))</f>
        <v/>
      </c>
      <c r="G452" s="51"/>
      <c r="H452" s="46" t="str">
        <f>IF(AND(I.Developer.P1=TRUE,I.Facility.P1FacilityCount&gt;=440,F452=""),"Incomplete","Complete")</f>
        <v>Complete</v>
      </c>
      <c r="I452" s="48" t="s">
        <v>4817</v>
      </c>
    </row>
    <row r="453" spans="2:9" ht="15" customHeight="1" x14ac:dyDescent="0.25">
      <c r="B453" s="55" t="s">
        <v>279</v>
      </c>
      <c r="C453" s="46">
        <v>441</v>
      </c>
      <c r="D453" s="69" t="s">
        <v>29416</v>
      </c>
      <c r="E453" s="51"/>
      <c r="F453" s="114" t="str">
        <f>IF(INDEX(I.Facility.P1IDNumber,441)="","",INDEX(I.Facility.P1IDNumber,441))</f>
        <v/>
      </c>
      <c r="G453" s="51"/>
      <c r="H453" s="46" t="str">
        <f>IF(AND(I.Developer.P1=TRUE,I.Facility.P1FacilityCount&gt;=441,F453=""),"Incomplete","Complete")</f>
        <v>Complete</v>
      </c>
      <c r="I453" s="48" t="s">
        <v>4818</v>
      </c>
    </row>
    <row r="454" spans="2:9" ht="15" customHeight="1" x14ac:dyDescent="0.25">
      <c r="B454" s="55" t="s">
        <v>279</v>
      </c>
      <c r="C454" s="46">
        <v>442</v>
      </c>
      <c r="D454" s="69" t="s">
        <v>29416</v>
      </c>
      <c r="E454" s="51"/>
      <c r="F454" s="114" t="str">
        <f>IF(INDEX(I.Facility.P1IDNumber,442)="","",INDEX(I.Facility.P1IDNumber,442))</f>
        <v/>
      </c>
      <c r="G454" s="51"/>
      <c r="H454" s="46" t="str">
        <f>IF(AND(I.Developer.P1=TRUE,I.Facility.P1FacilityCount&gt;=442,F454=""),"Incomplete","Complete")</f>
        <v>Complete</v>
      </c>
      <c r="I454" s="48" t="s">
        <v>4819</v>
      </c>
    </row>
    <row r="455" spans="2:9" ht="15" customHeight="1" x14ac:dyDescent="0.25">
      <c r="B455" s="55" t="s">
        <v>279</v>
      </c>
      <c r="C455" s="46">
        <v>443</v>
      </c>
      <c r="D455" s="69" t="s">
        <v>29416</v>
      </c>
      <c r="E455" s="51"/>
      <c r="F455" s="114" t="str">
        <f>IF(INDEX(I.Facility.P1IDNumber,443)="","",INDEX(I.Facility.P1IDNumber,443))</f>
        <v/>
      </c>
      <c r="G455" s="51"/>
      <c r="H455" s="46" t="str">
        <f>IF(AND(I.Developer.P1=TRUE,I.Facility.P1FacilityCount&gt;=443,F455=""),"Incomplete","Complete")</f>
        <v>Complete</v>
      </c>
      <c r="I455" s="48" t="s">
        <v>4820</v>
      </c>
    </row>
    <row r="456" spans="2:9" ht="15" customHeight="1" x14ac:dyDescent="0.25">
      <c r="B456" s="55" t="s">
        <v>279</v>
      </c>
      <c r="C456" s="46">
        <v>444</v>
      </c>
      <c r="D456" s="69" t="s">
        <v>29416</v>
      </c>
      <c r="E456" s="51"/>
      <c r="F456" s="114" t="str">
        <f>IF(INDEX(I.Facility.P1IDNumber,444)="","",INDEX(I.Facility.P1IDNumber,444))</f>
        <v/>
      </c>
      <c r="G456" s="51"/>
      <c r="H456" s="46" t="str">
        <f>IF(AND(I.Developer.P1=TRUE,I.Facility.P1FacilityCount&gt;=444,F456=""),"Incomplete","Complete")</f>
        <v>Complete</v>
      </c>
      <c r="I456" s="48" t="s">
        <v>4821</v>
      </c>
    </row>
    <row r="457" spans="2:9" ht="15" customHeight="1" x14ac:dyDescent="0.25">
      <c r="B457" s="55" t="s">
        <v>279</v>
      </c>
      <c r="C457" s="46">
        <v>445</v>
      </c>
      <c r="D457" s="69" t="s">
        <v>29416</v>
      </c>
      <c r="E457" s="51"/>
      <c r="F457" s="114" t="str">
        <f>IF(INDEX(I.Facility.P1IDNumber,445)="","",INDEX(I.Facility.P1IDNumber,445))</f>
        <v/>
      </c>
      <c r="G457" s="51"/>
      <c r="H457" s="46" t="str">
        <f>IF(AND(I.Developer.P1=TRUE,I.Facility.P1FacilityCount&gt;=445,F457=""),"Incomplete","Complete")</f>
        <v>Complete</v>
      </c>
      <c r="I457" s="48" t="s">
        <v>4822</v>
      </c>
    </row>
    <row r="458" spans="2:9" ht="15" customHeight="1" x14ac:dyDescent="0.25">
      <c r="B458" s="55" t="s">
        <v>279</v>
      </c>
      <c r="C458" s="46">
        <v>446</v>
      </c>
      <c r="D458" s="69" t="s">
        <v>29416</v>
      </c>
      <c r="E458" s="51"/>
      <c r="F458" s="114" t="str">
        <f>IF(INDEX(I.Facility.P1IDNumber,446)="","",INDEX(I.Facility.P1IDNumber,446))</f>
        <v/>
      </c>
      <c r="G458" s="51"/>
      <c r="H458" s="46" t="str">
        <f>IF(AND(I.Developer.P1=TRUE,I.Facility.P1FacilityCount&gt;=446,F458=""),"Incomplete","Complete")</f>
        <v>Complete</v>
      </c>
      <c r="I458" s="48" t="s">
        <v>4823</v>
      </c>
    </row>
    <row r="459" spans="2:9" ht="15" customHeight="1" x14ac:dyDescent="0.25">
      <c r="B459" s="55" t="s">
        <v>279</v>
      </c>
      <c r="C459" s="46">
        <v>447</v>
      </c>
      <c r="D459" s="69" t="s">
        <v>29416</v>
      </c>
      <c r="E459" s="51"/>
      <c r="F459" s="114" t="str">
        <f>IF(INDEX(I.Facility.P1IDNumber,447)="","",INDEX(I.Facility.P1IDNumber,447))</f>
        <v/>
      </c>
      <c r="G459" s="51"/>
      <c r="H459" s="46" t="str">
        <f>IF(AND(I.Developer.P1=TRUE,I.Facility.P1FacilityCount&gt;=447,F459=""),"Incomplete","Complete")</f>
        <v>Complete</v>
      </c>
      <c r="I459" s="48" t="s">
        <v>4824</v>
      </c>
    </row>
    <row r="460" spans="2:9" ht="15" customHeight="1" x14ac:dyDescent="0.25">
      <c r="B460" s="55" t="s">
        <v>279</v>
      </c>
      <c r="C460" s="46">
        <v>448</v>
      </c>
      <c r="D460" s="69" t="s">
        <v>29416</v>
      </c>
      <c r="E460" s="51"/>
      <c r="F460" s="114" t="str">
        <f>IF(INDEX(I.Facility.P1IDNumber,448)="","",INDEX(I.Facility.P1IDNumber,448))</f>
        <v/>
      </c>
      <c r="G460" s="51"/>
      <c r="H460" s="46" t="str">
        <f>IF(AND(I.Developer.P1=TRUE,I.Facility.P1FacilityCount&gt;=448,F460=""),"Incomplete","Complete")</f>
        <v>Complete</v>
      </c>
      <c r="I460" s="48" t="s">
        <v>4825</v>
      </c>
    </row>
    <row r="461" spans="2:9" ht="15" customHeight="1" x14ac:dyDescent="0.25">
      <c r="B461" s="55" t="s">
        <v>279</v>
      </c>
      <c r="C461" s="46">
        <v>449</v>
      </c>
      <c r="D461" s="69" t="s">
        <v>29416</v>
      </c>
      <c r="E461" s="51"/>
      <c r="F461" s="114" t="str">
        <f>IF(INDEX(I.Facility.P1IDNumber,449)="","",INDEX(I.Facility.P1IDNumber,449))</f>
        <v/>
      </c>
      <c r="G461" s="51"/>
      <c r="H461" s="46" t="str">
        <f>IF(AND(I.Developer.P1=TRUE,I.Facility.P1FacilityCount&gt;=449,F461=""),"Incomplete","Complete")</f>
        <v>Complete</v>
      </c>
      <c r="I461" s="48" t="s">
        <v>4826</v>
      </c>
    </row>
    <row r="462" spans="2:9" ht="15" customHeight="1" x14ac:dyDescent="0.25">
      <c r="B462" s="55" t="s">
        <v>279</v>
      </c>
      <c r="C462" s="46">
        <v>450</v>
      </c>
      <c r="D462" s="69" t="s">
        <v>29416</v>
      </c>
      <c r="E462" s="51"/>
      <c r="F462" s="114" t="str">
        <f>IF(INDEX(I.Facility.P1IDNumber,450)="","",INDEX(I.Facility.P1IDNumber,450))</f>
        <v/>
      </c>
      <c r="G462" s="51"/>
      <c r="H462" s="46" t="str">
        <f>IF(AND(I.Developer.P1=TRUE,I.Facility.P1FacilityCount&gt;=450,F462=""),"Incomplete","Complete")</f>
        <v>Complete</v>
      </c>
      <c r="I462" s="48" t="s">
        <v>4827</v>
      </c>
    </row>
    <row r="463" spans="2:9" ht="15" customHeight="1" x14ac:dyDescent="0.25">
      <c r="B463" s="55" t="s">
        <v>279</v>
      </c>
      <c r="C463" s="46">
        <v>451</v>
      </c>
      <c r="D463" s="69" t="s">
        <v>29416</v>
      </c>
      <c r="E463" s="51"/>
      <c r="F463" s="114" t="str">
        <f>IF(INDEX(I.Facility.P1IDNumber,451)="","",INDEX(I.Facility.P1IDNumber,451))</f>
        <v/>
      </c>
      <c r="G463" s="51"/>
      <c r="H463" s="46" t="str">
        <f>IF(AND(I.Developer.P1=TRUE,I.Facility.P1FacilityCount&gt;=451,F463=""),"Incomplete","Complete")</f>
        <v>Complete</v>
      </c>
      <c r="I463" s="48" t="s">
        <v>4828</v>
      </c>
    </row>
    <row r="464" spans="2:9" ht="15" customHeight="1" x14ac:dyDescent="0.25">
      <c r="B464" s="55" t="s">
        <v>279</v>
      </c>
      <c r="C464" s="46">
        <v>452</v>
      </c>
      <c r="D464" s="69" t="s">
        <v>29416</v>
      </c>
      <c r="E464" s="51"/>
      <c r="F464" s="114" t="str">
        <f>IF(INDEX(I.Facility.P1IDNumber,452)="","",INDEX(I.Facility.P1IDNumber,452))</f>
        <v/>
      </c>
      <c r="G464" s="51"/>
      <c r="H464" s="46" t="str">
        <f>IF(AND(I.Developer.P1=TRUE,I.Facility.P1FacilityCount&gt;=452,F464=""),"Incomplete","Complete")</f>
        <v>Complete</v>
      </c>
      <c r="I464" s="48" t="s">
        <v>4829</v>
      </c>
    </row>
    <row r="465" spans="2:9" ht="15" customHeight="1" x14ac:dyDescent="0.25">
      <c r="B465" s="55" t="s">
        <v>279</v>
      </c>
      <c r="C465" s="46">
        <v>453</v>
      </c>
      <c r="D465" s="69" t="s">
        <v>29416</v>
      </c>
      <c r="E465" s="51"/>
      <c r="F465" s="114" t="str">
        <f>IF(INDEX(I.Facility.P1IDNumber,453)="","",INDEX(I.Facility.P1IDNumber,453))</f>
        <v/>
      </c>
      <c r="G465" s="51"/>
      <c r="H465" s="46" t="str">
        <f>IF(AND(I.Developer.P1=TRUE,I.Facility.P1FacilityCount&gt;=453,F465=""),"Incomplete","Complete")</f>
        <v>Complete</v>
      </c>
      <c r="I465" s="48" t="s">
        <v>4830</v>
      </c>
    </row>
    <row r="466" spans="2:9" ht="15" customHeight="1" x14ac:dyDescent="0.25">
      <c r="B466" s="55" t="s">
        <v>279</v>
      </c>
      <c r="C466" s="46">
        <v>454</v>
      </c>
      <c r="D466" s="69" t="s">
        <v>29416</v>
      </c>
      <c r="E466" s="51"/>
      <c r="F466" s="114" t="str">
        <f>IF(INDEX(I.Facility.P1IDNumber,454)="","",INDEX(I.Facility.P1IDNumber,454))</f>
        <v/>
      </c>
      <c r="G466" s="51"/>
      <c r="H466" s="46" t="str">
        <f>IF(AND(I.Developer.P1=TRUE,I.Facility.P1FacilityCount&gt;=454,F466=""),"Incomplete","Complete")</f>
        <v>Complete</v>
      </c>
      <c r="I466" s="48" t="s">
        <v>4831</v>
      </c>
    </row>
    <row r="467" spans="2:9" ht="15" customHeight="1" x14ac:dyDescent="0.25">
      <c r="B467" s="55" t="s">
        <v>279</v>
      </c>
      <c r="C467" s="46">
        <v>455</v>
      </c>
      <c r="D467" s="69" t="s">
        <v>29416</v>
      </c>
      <c r="E467" s="51"/>
      <c r="F467" s="114" t="str">
        <f>IF(INDEX(I.Facility.P1IDNumber,455)="","",INDEX(I.Facility.P1IDNumber,455))</f>
        <v/>
      </c>
      <c r="G467" s="51"/>
      <c r="H467" s="46" t="str">
        <f>IF(AND(I.Developer.P1=TRUE,I.Facility.P1FacilityCount&gt;=455,F467=""),"Incomplete","Complete")</f>
        <v>Complete</v>
      </c>
      <c r="I467" s="48" t="s">
        <v>4832</v>
      </c>
    </row>
    <row r="468" spans="2:9" ht="15" customHeight="1" x14ac:dyDescent="0.25">
      <c r="B468" s="55" t="s">
        <v>279</v>
      </c>
      <c r="C468" s="46">
        <v>456</v>
      </c>
      <c r="D468" s="69" t="s">
        <v>29416</v>
      </c>
      <c r="E468" s="51"/>
      <c r="F468" s="114" t="str">
        <f>IF(INDEX(I.Facility.P1IDNumber,456)="","",INDEX(I.Facility.P1IDNumber,456))</f>
        <v/>
      </c>
      <c r="G468" s="51"/>
      <c r="H468" s="46" t="str">
        <f>IF(AND(I.Developer.P1=TRUE,I.Facility.P1FacilityCount&gt;=456,F468=""),"Incomplete","Complete")</f>
        <v>Complete</v>
      </c>
      <c r="I468" s="48" t="s">
        <v>4833</v>
      </c>
    </row>
    <row r="469" spans="2:9" ht="15" customHeight="1" x14ac:dyDescent="0.25">
      <c r="B469" s="55" t="s">
        <v>279</v>
      </c>
      <c r="C469" s="46">
        <v>457</v>
      </c>
      <c r="D469" s="69" t="s">
        <v>29416</v>
      </c>
      <c r="E469" s="51"/>
      <c r="F469" s="114" t="str">
        <f>IF(INDEX(I.Facility.P1IDNumber,457)="","",INDEX(I.Facility.P1IDNumber,457))</f>
        <v/>
      </c>
      <c r="G469" s="51"/>
      <c r="H469" s="46" t="str">
        <f>IF(AND(I.Developer.P1=TRUE,I.Facility.P1FacilityCount&gt;=457,F469=""),"Incomplete","Complete")</f>
        <v>Complete</v>
      </c>
      <c r="I469" s="48" t="s">
        <v>4834</v>
      </c>
    </row>
    <row r="470" spans="2:9" ht="15" customHeight="1" x14ac:dyDescent="0.25">
      <c r="B470" s="55" t="s">
        <v>279</v>
      </c>
      <c r="C470" s="46">
        <v>458</v>
      </c>
      <c r="D470" s="69" t="s">
        <v>29416</v>
      </c>
      <c r="E470" s="51"/>
      <c r="F470" s="114" t="str">
        <f>IF(INDEX(I.Facility.P1IDNumber,458)="","",INDEX(I.Facility.P1IDNumber,458))</f>
        <v/>
      </c>
      <c r="G470" s="51"/>
      <c r="H470" s="46" t="str">
        <f>IF(AND(I.Developer.P1=TRUE,I.Facility.P1FacilityCount&gt;=458,F470=""),"Incomplete","Complete")</f>
        <v>Complete</v>
      </c>
      <c r="I470" s="48" t="s">
        <v>4835</v>
      </c>
    </row>
    <row r="471" spans="2:9" ht="15" customHeight="1" x14ac:dyDescent="0.25">
      <c r="B471" s="55" t="s">
        <v>279</v>
      </c>
      <c r="C471" s="46">
        <v>459</v>
      </c>
      <c r="D471" s="69" t="s">
        <v>29416</v>
      </c>
      <c r="E471" s="51"/>
      <c r="F471" s="114" t="str">
        <f>IF(INDEX(I.Facility.P1IDNumber,459)="","",INDEX(I.Facility.P1IDNumber,459))</f>
        <v/>
      </c>
      <c r="G471" s="51"/>
      <c r="H471" s="46" t="str">
        <f>IF(AND(I.Developer.P1=TRUE,I.Facility.P1FacilityCount&gt;=459,F471=""),"Incomplete","Complete")</f>
        <v>Complete</v>
      </c>
      <c r="I471" s="48" t="s">
        <v>4836</v>
      </c>
    </row>
    <row r="472" spans="2:9" ht="15" customHeight="1" x14ac:dyDescent="0.25">
      <c r="B472" s="55" t="s">
        <v>279</v>
      </c>
      <c r="C472" s="46">
        <v>460</v>
      </c>
      <c r="D472" s="69" t="s">
        <v>29416</v>
      </c>
      <c r="E472" s="51"/>
      <c r="F472" s="114" t="str">
        <f>IF(INDEX(I.Facility.P1IDNumber,460)="","",INDEX(I.Facility.P1IDNumber,460))</f>
        <v/>
      </c>
      <c r="G472" s="51"/>
      <c r="H472" s="46" t="str">
        <f>IF(AND(I.Developer.P1=TRUE,I.Facility.P1FacilityCount&gt;=460,F472=""),"Incomplete","Complete")</f>
        <v>Complete</v>
      </c>
      <c r="I472" s="48" t="s">
        <v>4837</v>
      </c>
    </row>
    <row r="473" spans="2:9" ht="15" customHeight="1" x14ac:dyDescent="0.25">
      <c r="B473" s="55" t="s">
        <v>279</v>
      </c>
      <c r="C473" s="46">
        <v>461</v>
      </c>
      <c r="D473" s="69" t="s">
        <v>29416</v>
      </c>
      <c r="E473" s="51"/>
      <c r="F473" s="114" t="str">
        <f>IF(INDEX(I.Facility.P1IDNumber,461)="","",INDEX(I.Facility.P1IDNumber,461))</f>
        <v/>
      </c>
      <c r="G473" s="51"/>
      <c r="H473" s="46" t="str">
        <f>IF(AND(I.Developer.P1=TRUE,I.Facility.P1FacilityCount&gt;=461,F473=""),"Incomplete","Complete")</f>
        <v>Complete</v>
      </c>
      <c r="I473" s="48" t="s">
        <v>4838</v>
      </c>
    </row>
    <row r="474" spans="2:9" ht="15" customHeight="1" x14ac:dyDescent="0.25">
      <c r="B474" s="55" t="s">
        <v>279</v>
      </c>
      <c r="C474" s="46">
        <v>462</v>
      </c>
      <c r="D474" s="69" t="s">
        <v>29416</v>
      </c>
      <c r="E474" s="51"/>
      <c r="F474" s="114" t="str">
        <f>IF(INDEX(I.Facility.P1IDNumber,462)="","",INDEX(I.Facility.P1IDNumber,462))</f>
        <v/>
      </c>
      <c r="G474" s="51"/>
      <c r="H474" s="46" t="str">
        <f>IF(AND(I.Developer.P1=TRUE,I.Facility.P1FacilityCount&gt;=462,F474=""),"Incomplete","Complete")</f>
        <v>Complete</v>
      </c>
      <c r="I474" s="48" t="s">
        <v>4839</v>
      </c>
    </row>
    <row r="475" spans="2:9" ht="15" customHeight="1" x14ac:dyDescent="0.25">
      <c r="B475" s="55" t="s">
        <v>279</v>
      </c>
      <c r="C475" s="46">
        <v>463</v>
      </c>
      <c r="D475" s="69" t="s">
        <v>29416</v>
      </c>
      <c r="E475" s="51"/>
      <c r="F475" s="114" t="str">
        <f>IF(INDEX(I.Facility.P1IDNumber,463)="","",INDEX(I.Facility.P1IDNumber,463))</f>
        <v/>
      </c>
      <c r="G475" s="51"/>
      <c r="H475" s="46" t="str">
        <f>IF(AND(I.Developer.P1=TRUE,I.Facility.P1FacilityCount&gt;=463,F475=""),"Incomplete","Complete")</f>
        <v>Complete</v>
      </c>
      <c r="I475" s="48" t="s">
        <v>4840</v>
      </c>
    </row>
    <row r="476" spans="2:9" ht="15" customHeight="1" x14ac:dyDescent="0.25">
      <c r="B476" s="55" t="s">
        <v>279</v>
      </c>
      <c r="C476" s="46">
        <v>464</v>
      </c>
      <c r="D476" s="69" t="s">
        <v>29416</v>
      </c>
      <c r="E476" s="51"/>
      <c r="F476" s="114" t="str">
        <f>IF(INDEX(I.Facility.P1IDNumber,464)="","",INDEX(I.Facility.P1IDNumber,464))</f>
        <v/>
      </c>
      <c r="G476" s="51"/>
      <c r="H476" s="46" t="str">
        <f>IF(AND(I.Developer.P1=TRUE,I.Facility.P1FacilityCount&gt;=464,F476=""),"Incomplete","Complete")</f>
        <v>Complete</v>
      </c>
      <c r="I476" s="48" t="s">
        <v>4841</v>
      </c>
    </row>
    <row r="477" spans="2:9" ht="15" customHeight="1" x14ac:dyDescent="0.25">
      <c r="B477" s="55" t="s">
        <v>279</v>
      </c>
      <c r="C477" s="46">
        <v>465</v>
      </c>
      <c r="D477" s="69" t="s">
        <v>29416</v>
      </c>
      <c r="E477" s="51"/>
      <c r="F477" s="114" t="str">
        <f>IF(INDEX(I.Facility.P1IDNumber,465)="","",INDEX(I.Facility.P1IDNumber,465))</f>
        <v/>
      </c>
      <c r="G477" s="51"/>
      <c r="H477" s="46" t="str">
        <f>IF(AND(I.Developer.P1=TRUE,I.Facility.P1FacilityCount&gt;=465,F477=""),"Incomplete","Complete")</f>
        <v>Complete</v>
      </c>
      <c r="I477" s="48" t="s">
        <v>4842</v>
      </c>
    </row>
    <row r="478" spans="2:9" ht="15" customHeight="1" x14ac:dyDescent="0.25">
      <c r="B478" s="55" t="s">
        <v>279</v>
      </c>
      <c r="C478" s="46">
        <v>466</v>
      </c>
      <c r="D478" s="69" t="s">
        <v>29416</v>
      </c>
      <c r="E478" s="51"/>
      <c r="F478" s="114" t="str">
        <f>IF(INDEX(I.Facility.P1IDNumber,466)="","",INDEX(I.Facility.P1IDNumber,466))</f>
        <v/>
      </c>
      <c r="G478" s="51"/>
      <c r="H478" s="46" t="str">
        <f>IF(AND(I.Developer.P1=TRUE,I.Facility.P1FacilityCount&gt;=466,F478=""),"Incomplete","Complete")</f>
        <v>Complete</v>
      </c>
      <c r="I478" s="48" t="s">
        <v>4843</v>
      </c>
    </row>
    <row r="479" spans="2:9" ht="15" customHeight="1" x14ac:dyDescent="0.25">
      <c r="B479" s="55" t="s">
        <v>279</v>
      </c>
      <c r="C479" s="46">
        <v>467</v>
      </c>
      <c r="D479" s="69" t="s">
        <v>29416</v>
      </c>
      <c r="E479" s="51"/>
      <c r="F479" s="114" t="str">
        <f>IF(INDEX(I.Facility.P1IDNumber,467)="","",INDEX(I.Facility.P1IDNumber,467))</f>
        <v/>
      </c>
      <c r="G479" s="51"/>
      <c r="H479" s="46" t="str">
        <f>IF(AND(I.Developer.P1=TRUE,I.Facility.P1FacilityCount&gt;=467,F479=""),"Incomplete","Complete")</f>
        <v>Complete</v>
      </c>
      <c r="I479" s="48" t="s">
        <v>4844</v>
      </c>
    </row>
    <row r="480" spans="2:9" ht="15" customHeight="1" x14ac:dyDescent="0.25">
      <c r="B480" s="55" t="s">
        <v>279</v>
      </c>
      <c r="C480" s="46">
        <v>468</v>
      </c>
      <c r="D480" s="69" t="s">
        <v>29416</v>
      </c>
      <c r="E480" s="51"/>
      <c r="F480" s="114" t="str">
        <f>IF(INDEX(I.Facility.P1IDNumber,468)="","",INDEX(I.Facility.P1IDNumber,468))</f>
        <v/>
      </c>
      <c r="G480" s="51"/>
      <c r="H480" s="46" t="str">
        <f>IF(AND(I.Developer.P1=TRUE,I.Facility.P1FacilityCount&gt;=468,F480=""),"Incomplete","Complete")</f>
        <v>Complete</v>
      </c>
      <c r="I480" s="48" t="s">
        <v>4845</v>
      </c>
    </row>
    <row r="481" spans="2:9" ht="15" customHeight="1" x14ac:dyDescent="0.25">
      <c r="B481" s="55" t="s">
        <v>279</v>
      </c>
      <c r="C481" s="46">
        <v>469</v>
      </c>
      <c r="D481" s="69" t="s">
        <v>29416</v>
      </c>
      <c r="E481" s="51"/>
      <c r="F481" s="114" t="str">
        <f>IF(INDEX(I.Facility.P1IDNumber,469)="","",INDEX(I.Facility.P1IDNumber,469))</f>
        <v/>
      </c>
      <c r="G481" s="51"/>
      <c r="H481" s="46" t="str">
        <f>IF(AND(I.Developer.P1=TRUE,I.Facility.P1FacilityCount&gt;=469,F481=""),"Incomplete","Complete")</f>
        <v>Complete</v>
      </c>
      <c r="I481" s="48" t="s">
        <v>4846</v>
      </c>
    </row>
    <row r="482" spans="2:9" ht="15" customHeight="1" x14ac:dyDescent="0.25">
      <c r="B482" s="55" t="s">
        <v>279</v>
      </c>
      <c r="C482" s="46">
        <v>470</v>
      </c>
      <c r="D482" s="69" t="s">
        <v>29416</v>
      </c>
      <c r="E482" s="51"/>
      <c r="F482" s="114" t="str">
        <f>IF(INDEX(I.Facility.P1IDNumber,470)="","",INDEX(I.Facility.P1IDNumber,470))</f>
        <v/>
      </c>
      <c r="G482" s="51"/>
      <c r="H482" s="46" t="str">
        <f>IF(AND(I.Developer.P1=TRUE,I.Facility.P1FacilityCount&gt;=470,F482=""),"Incomplete","Complete")</f>
        <v>Complete</v>
      </c>
      <c r="I482" s="48" t="s">
        <v>4847</v>
      </c>
    </row>
    <row r="483" spans="2:9" ht="15" customHeight="1" x14ac:dyDescent="0.25">
      <c r="B483" s="55" t="s">
        <v>279</v>
      </c>
      <c r="C483" s="46">
        <v>471</v>
      </c>
      <c r="D483" s="69" t="s">
        <v>29416</v>
      </c>
      <c r="E483" s="51"/>
      <c r="F483" s="114" t="str">
        <f>IF(INDEX(I.Facility.P1IDNumber,471)="","",INDEX(I.Facility.P1IDNumber,471))</f>
        <v/>
      </c>
      <c r="G483" s="51"/>
      <c r="H483" s="46" t="str">
        <f>IF(AND(I.Developer.P1=TRUE,I.Facility.P1FacilityCount&gt;=471,F483=""),"Incomplete","Complete")</f>
        <v>Complete</v>
      </c>
      <c r="I483" s="48" t="s">
        <v>4848</v>
      </c>
    </row>
    <row r="484" spans="2:9" ht="15" customHeight="1" x14ac:dyDescent="0.25">
      <c r="B484" s="55" t="s">
        <v>279</v>
      </c>
      <c r="C484" s="46">
        <v>472</v>
      </c>
      <c r="D484" s="69" t="s">
        <v>29416</v>
      </c>
      <c r="E484" s="51"/>
      <c r="F484" s="114" t="str">
        <f>IF(INDEX(I.Facility.P1IDNumber,472)="","",INDEX(I.Facility.P1IDNumber,472))</f>
        <v/>
      </c>
      <c r="G484" s="51"/>
      <c r="H484" s="46" t="str">
        <f>IF(AND(I.Developer.P1=TRUE,I.Facility.P1FacilityCount&gt;=472,F484=""),"Incomplete","Complete")</f>
        <v>Complete</v>
      </c>
      <c r="I484" s="48" t="s">
        <v>4849</v>
      </c>
    </row>
    <row r="485" spans="2:9" ht="15" customHeight="1" x14ac:dyDescent="0.25">
      <c r="B485" s="55" t="s">
        <v>279</v>
      </c>
      <c r="C485" s="46">
        <v>473</v>
      </c>
      <c r="D485" s="69" t="s">
        <v>29416</v>
      </c>
      <c r="E485" s="51"/>
      <c r="F485" s="114" t="str">
        <f>IF(INDEX(I.Facility.P1IDNumber,473)="","",INDEX(I.Facility.P1IDNumber,473))</f>
        <v/>
      </c>
      <c r="G485" s="51"/>
      <c r="H485" s="46" t="str">
        <f>IF(AND(I.Developer.P1=TRUE,I.Facility.P1FacilityCount&gt;=473,F485=""),"Incomplete","Complete")</f>
        <v>Complete</v>
      </c>
      <c r="I485" s="48" t="s">
        <v>4850</v>
      </c>
    </row>
    <row r="486" spans="2:9" ht="15" customHeight="1" x14ac:dyDescent="0.25">
      <c r="B486" s="55" t="s">
        <v>279</v>
      </c>
      <c r="C486" s="46">
        <v>474</v>
      </c>
      <c r="D486" s="69" t="s">
        <v>29416</v>
      </c>
      <c r="E486" s="51"/>
      <c r="F486" s="114" t="str">
        <f>IF(INDEX(I.Facility.P1IDNumber,474)="","",INDEX(I.Facility.P1IDNumber,474))</f>
        <v/>
      </c>
      <c r="G486" s="51"/>
      <c r="H486" s="46" t="str">
        <f>IF(AND(I.Developer.P1=TRUE,I.Facility.P1FacilityCount&gt;=474,F486=""),"Incomplete","Complete")</f>
        <v>Complete</v>
      </c>
      <c r="I486" s="48" t="s">
        <v>4851</v>
      </c>
    </row>
    <row r="487" spans="2:9" ht="15" customHeight="1" x14ac:dyDescent="0.25">
      <c r="B487" s="55" t="s">
        <v>279</v>
      </c>
      <c r="C487" s="46">
        <v>475</v>
      </c>
      <c r="D487" s="69" t="s">
        <v>29416</v>
      </c>
      <c r="E487" s="51"/>
      <c r="F487" s="114" t="str">
        <f>IF(INDEX(I.Facility.P1IDNumber,475)="","",INDEX(I.Facility.P1IDNumber,475))</f>
        <v/>
      </c>
      <c r="G487" s="51"/>
      <c r="H487" s="46" t="str">
        <f>IF(AND(I.Developer.P1=TRUE,I.Facility.P1FacilityCount&gt;=475,F487=""),"Incomplete","Complete")</f>
        <v>Complete</v>
      </c>
      <c r="I487" s="48" t="s">
        <v>4852</v>
      </c>
    </row>
    <row r="488" spans="2:9" ht="15" customHeight="1" x14ac:dyDescent="0.25">
      <c r="B488" s="55" t="s">
        <v>279</v>
      </c>
      <c r="C488" s="46">
        <v>476</v>
      </c>
      <c r="D488" s="69" t="s">
        <v>29416</v>
      </c>
      <c r="E488" s="51"/>
      <c r="F488" s="114" t="str">
        <f>IF(INDEX(I.Facility.P1IDNumber,476)="","",INDEX(I.Facility.P1IDNumber,476))</f>
        <v/>
      </c>
      <c r="G488" s="51"/>
      <c r="H488" s="46" t="str">
        <f>IF(AND(I.Developer.P1=TRUE,I.Facility.P1FacilityCount&gt;=476,F488=""),"Incomplete","Complete")</f>
        <v>Complete</v>
      </c>
      <c r="I488" s="48" t="s">
        <v>4853</v>
      </c>
    </row>
    <row r="489" spans="2:9" ht="15" customHeight="1" x14ac:dyDescent="0.25">
      <c r="B489" s="55" t="s">
        <v>279</v>
      </c>
      <c r="C489" s="46">
        <v>477</v>
      </c>
      <c r="D489" s="69" t="s">
        <v>29416</v>
      </c>
      <c r="E489" s="51"/>
      <c r="F489" s="114" t="str">
        <f>IF(INDEX(I.Facility.P1IDNumber,477)="","",INDEX(I.Facility.P1IDNumber,477))</f>
        <v/>
      </c>
      <c r="G489" s="51"/>
      <c r="H489" s="46" t="str">
        <f>IF(AND(I.Developer.P1=TRUE,I.Facility.P1FacilityCount&gt;=477,F489=""),"Incomplete","Complete")</f>
        <v>Complete</v>
      </c>
      <c r="I489" s="48" t="s">
        <v>4854</v>
      </c>
    </row>
    <row r="490" spans="2:9" ht="15" customHeight="1" x14ac:dyDescent="0.25">
      <c r="B490" s="55" t="s">
        <v>279</v>
      </c>
      <c r="C490" s="46">
        <v>478</v>
      </c>
      <c r="D490" s="69" t="s">
        <v>29416</v>
      </c>
      <c r="E490" s="51"/>
      <c r="F490" s="114" t="str">
        <f>IF(INDEX(I.Facility.P1IDNumber,478)="","",INDEX(I.Facility.P1IDNumber,478))</f>
        <v/>
      </c>
      <c r="G490" s="51"/>
      <c r="H490" s="46" t="str">
        <f>IF(AND(I.Developer.P1=TRUE,I.Facility.P1FacilityCount&gt;=478,F490=""),"Incomplete","Complete")</f>
        <v>Complete</v>
      </c>
      <c r="I490" s="48" t="s">
        <v>4855</v>
      </c>
    </row>
    <row r="491" spans="2:9" ht="15" customHeight="1" x14ac:dyDescent="0.25">
      <c r="B491" s="55" t="s">
        <v>279</v>
      </c>
      <c r="C491" s="46">
        <v>479</v>
      </c>
      <c r="D491" s="69" t="s">
        <v>29416</v>
      </c>
      <c r="E491" s="51"/>
      <c r="F491" s="114" t="str">
        <f>IF(INDEX(I.Facility.P1IDNumber,479)="","",INDEX(I.Facility.P1IDNumber,479))</f>
        <v/>
      </c>
      <c r="G491" s="51"/>
      <c r="H491" s="46" t="str">
        <f>IF(AND(I.Developer.P1=TRUE,I.Facility.P1FacilityCount&gt;=479,F491=""),"Incomplete","Complete")</f>
        <v>Complete</v>
      </c>
      <c r="I491" s="48" t="s">
        <v>4856</v>
      </c>
    </row>
    <row r="492" spans="2:9" ht="15" customHeight="1" x14ac:dyDescent="0.25">
      <c r="B492" s="55" t="s">
        <v>279</v>
      </c>
      <c r="C492" s="46">
        <v>480</v>
      </c>
      <c r="D492" s="69" t="s">
        <v>29416</v>
      </c>
      <c r="E492" s="51"/>
      <c r="F492" s="114" t="str">
        <f>IF(INDEX(I.Facility.P1IDNumber,480)="","",INDEX(I.Facility.P1IDNumber,480))</f>
        <v/>
      </c>
      <c r="G492" s="51"/>
      <c r="H492" s="46" t="str">
        <f>IF(AND(I.Developer.P1=TRUE,I.Facility.P1FacilityCount&gt;=480,F492=""),"Incomplete","Complete")</f>
        <v>Complete</v>
      </c>
      <c r="I492" s="48" t="s">
        <v>4857</v>
      </c>
    </row>
    <row r="493" spans="2:9" ht="15" customHeight="1" x14ac:dyDescent="0.25">
      <c r="B493" s="55" t="s">
        <v>279</v>
      </c>
      <c r="C493" s="46">
        <v>481</v>
      </c>
      <c r="D493" s="69" t="s">
        <v>29416</v>
      </c>
      <c r="E493" s="51"/>
      <c r="F493" s="114" t="str">
        <f>IF(INDEX(I.Facility.P1IDNumber,481)="","",INDEX(I.Facility.P1IDNumber,481))</f>
        <v/>
      </c>
      <c r="G493" s="51"/>
      <c r="H493" s="46" t="str">
        <f>IF(AND(I.Developer.P1=TRUE,I.Facility.P1FacilityCount&gt;=481,F493=""),"Incomplete","Complete")</f>
        <v>Complete</v>
      </c>
      <c r="I493" s="48" t="s">
        <v>4858</v>
      </c>
    </row>
    <row r="494" spans="2:9" ht="15" customHeight="1" x14ac:dyDescent="0.25">
      <c r="B494" s="55" t="s">
        <v>279</v>
      </c>
      <c r="C494" s="46">
        <v>482</v>
      </c>
      <c r="D494" s="69" t="s">
        <v>29416</v>
      </c>
      <c r="E494" s="51"/>
      <c r="F494" s="114" t="str">
        <f>IF(INDEX(I.Facility.P1IDNumber,482)="","",INDEX(I.Facility.P1IDNumber,482))</f>
        <v/>
      </c>
      <c r="G494" s="51"/>
      <c r="H494" s="46" t="str">
        <f>IF(AND(I.Developer.P1=TRUE,I.Facility.P1FacilityCount&gt;=482,F494=""),"Incomplete","Complete")</f>
        <v>Complete</v>
      </c>
      <c r="I494" s="48" t="s">
        <v>4859</v>
      </c>
    </row>
    <row r="495" spans="2:9" ht="15" customHeight="1" x14ac:dyDescent="0.25">
      <c r="B495" s="55" t="s">
        <v>279</v>
      </c>
      <c r="C495" s="46">
        <v>483</v>
      </c>
      <c r="D495" s="69" t="s">
        <v>29416</v>
      </c>
      <c r="E495" s="51"/>
      <c r="F495" s="114" t="str">
        <f>IF(INDEX(I.Facility.P1IDNumber,483)="","",INDEX(I.Facility.P1IDNumber,483))</f>
        <v/>
      </c>
      <c r="G495" s="51"/>
      <c r="H495" s="46" t="str">
        <f>IF(AND(I.Developer.P1=TRUE,I.Facility.P1FacilityCount&gt;=483,F495=""),"Incomplete","Complete")</f>
        <v>Complete</v>
      </c>
      <c r="I495" s="48" t="s">
        <v>4860</v>
      </c>
    </row>
    <row r="496" spans="2:9" ht="15" customHeight="1" x14ac:dyDescent="0.25">
      <c r="B496" s="55" t="s">
        <v>279</v>
      </c>
      <c r="C496" s="46">
        <v>484</v>
      </c>
      <c r="D496" s="69" t="s">
        <v>29416</v>
      </c>
      <c r="E496" s="51"/>
      <c r="F496" s="114" t="str">
        <f>IF(INDEX(I.Facility.P1IDNumber,484)="","",INDEX(I.Facility.P1IDNumber,484))</f>
        <v/>
      </c>
      <c r="G496" s="51"/>
      <c r="H496" s="46" t="str">
        <f>IF(AND(I.Developer.P1=TRUE,I.Facility.P1FacilityCount&gt;=484,F496=""),"Incomplete","Complete")</f>
        <v>Complete</v>
      </c>
      <c r="I496" s="48" t="s">
        <v>4861</v>
      </c>
    </row>
    <row r="497" spans="2:9" ht="15" customHeight="1" x14ac:dyDescent="0.25">
      <c r="B497" s="55" t="s">
        <v>279</v>
      </c>
      <c r="C497" s="46">
        <v>485</v>
      </c>
      <c r="D497" s="69" t="s">
        <v>29416</v>
      </c>
      <c r="E497" s="51"/>
      <c r="F497" s="114" t="str">
        <f>IF(INDEX(I.Facility.P1IDNumber,485)="","",INDEX(I.Facility.P1IDNumber,485))</f>
        <v/>
      </c>
      <c r="G497" s="51"/>
      <c r="H497" s="46" t="str">
        <f>IF(AND(I.Developer.P1=TRUE,I.Facility.P1FacilityCount&gt;=485,F497=""),"Incomplete","Complete")</f>
        <v>Complete</v>
      </c>
      <c r="I497" s="48" t="s">
        <v>4862</v>
      </c>
    </row>
    <row r="498" spans="2:9" ht="15" customHeight="1" x14ac:dyDescent="0.25">
      <c r="B498" s="55" t="s">
        <v>279</v>
      </c>
      <c r="C498" s="46">
        <v>486</v>
      </c>
      <c r="D498" s="69" t="s">
        <v>29416</v>
      </c>
      <c r="E498" s="51"/>
      <c r="F498" s="114" t="str">
        <f>IF(INDEX(I.Facility.P1IDNumber,486)="","",INDEX(I.Facility.P1IDNumber,486))</f>
        <v/>
      </c>
      <c r="G498" s="51"/>
      <c r="H498" s="46" t="str">
        <f>IF(AND(I.Developer.P1=TRUE,I.Facility.P1FacilityCount&gt;=486,F498=""),"Incomplete","Complete")</f>
        <v>Complete</v>
      </c>
      <c r="I498" s="48" t="s">
        <v>4863</v>
      </c>
    </row>
    <row r="499" spans="2:9" ht="15" customHeight="1" x14ac:dyDescent="0.25">
      <c r="B499" s="55" t="s">
        <v>279</v>
      </c>
      <c r="C499" s="46">
        <v>487</v>
      </c>
      <c r="D499" s="69" t="s">
        <v>29416</v>
      </c>
      <c r="E499" s="51"/>
      <c r="F499" s="114" t="str">
        <f>IF(INDEX(I.Facility.P1IDNumber,487)="","",INDEX(I.Facility.P1IDNumber,487))</f>
        <v/>
      </c>
      <c r="G499" s="51"/>
      <c r="H499" s="46" t="str">
        <f>IF(AND(I.Developer.P1=TRUE,I.Facility.P1FacilityCount&gt;=487,F499=""),"Incomplete","Complete")</f>
        <v>Complete</v>
      </c>
      <c r="I499" s="48" t="s">
        <v>4864</v>
      </c>
    </row>
    <row r="500" spans="2:9" ht="15" customHeight="1" x14ac:dyDescent="0.25">
      <c r="B500" s="55" t="s">
        <v>279</v>
      </c>
      <c r="C500" s="46">
        <v>488</v>
      </c>
      <c r="D500" s="69" t="s">
        <v>29416</v>
      </c>
      <c r="E500" s="51"/>
      <c r="F500" s="114" t="str">
        <f>IF(INDEX(I.Facility.P1IDNumber,488)="","",INDEX(I.Facility.P1IDNumber,488))</f>
        <v/>
      </c>
      <c r="G500" s="51"/>
      <c r="H500" s="46" t="str">
        <f>IF(AND(I.Developer.P1=TRUE,I.Facility.P1FacilityCount&gt;=488,F500=""),"Incomplete","Complete")</f>
        <v>Complete</v>
      </c>
      <c r="I500" s="48" t="s">
        <v>4865</v>
      </c>
    </row>
    <row r="501" spans="2:9" ht="15" customHeight="1" x14ac:dyDescent="0.25">
      <c r="B501" s="55" t="s">
        <v>279</v>
      </c>
      <c r="C501" s="46">
        <v>489</v>
      </c>
      <c r="D501" s="69" t="s">
        <v>29416</v>
      </c>
      <c r="E501" s="51"/>
      <c r="F501" s="114" t="str">
        <f>IF(INDEX(I.Facility.P1IDNumber,489)="","",INDEX(I.Facility.P1IDNumber,489))</f>
        <v/>
      </c>
      <c r="G501" s="51"/>
      <c r="H501" s="46" t="str">
        <f>IF(AND(I.Developer.P1=TRUE,I.Facility.P1FacilityCount&gt;=489,F501=""),"Incomplete","Complete")</f>
        <v>Complete</v>
      </c>
      <c r="I501" s="48" t="s">
        <v>4866</v>
      </c>
    </row>
    <row r="502" spans="2:9" ht="15" customHeight="1" x14ac:dyDescent="0.25">
      <c r="B502" s="55" t="s">
        <v>279</v>
      </c>
      <c r="C502" s="46">
        <v>490</v>
      </c>
      <c r="D502" s="69" t="s">
        <v>29416</v>
      </c>
      <c r="E502" s="51"/>
      <c r="F502" s="114" t="str">
        <f>IF(INDEX(I.Facility.P1IDNumber,490)="","",INDEX(I.Facility.P1IDNumber,490))</f>
        <v/>
      </c>
      <c r="G502" s="51"/>
      <c r="H502" s="46" t="str">
        <f>IF(AND(I.Developer.P1=TRUE,I.Facility.P1FacilityCount&gt;=490,F502=""),"Incomplete","Complete")</f>
        <v>Complete</v>
      </c>
      <c r="I502" s="48" t="s">
        <v>4867</v>
      </c>
    </row>
    <row r="503" spans="2:9" ht="15" customHeight="1" x14ac:dyDescent="0.25">
      <c r="B503" s="55" t="s">
        <v>279</v>
      </c>
      <c r="C503" s="46">
        <v>491</v>
      </c>
      <c r="D503" s="69" t="s">
        <v>29416</v>
      </c>
      <c r="E503" s="51"/>
      <c r="F503" s="114" t="str">
        <f>IF(INDEX(I.Facility.P1IDNumber,491)="","",INDEX(I.Facility.P1IDNumber,491))</f>
        <v/>
      </c>
      <c r="G503" s="51"/>
      <c r="H503" s="46" t="str">
        <f>IF(AND(I.Developer.P1=TRUE,I.Facility.P1FacilityCount&gt;=491,F503=""),"Incomplete","Complete")</f>
        <v>Complete</v>
      </c>
      <c r="I503" s="48" t="s">
        <v>4868</v>
      </c>
    </row>
    <row r="504" spans="2:9" ht="15" customHeight="1" x14ac:dyDescent="0.25">
      <c r="B504" s="55" t="s">
        <v>279</v>
      </c>
      <c r="C504" s="46">
        <v>492</v>
      </c>
      <c r="D504" s="69" t="s">
        <v>29416</v>
      </c>
      <c r="E504" s="51"/>
      <c r="F504" s="114" t="str">
        <f>IF(INDEX(I.Facility.P1IDNumber,492)="","",INDEX(I.Facility.P1IDNumber,492))</f>
        <v/>
      </c>
      <c r="G504" s="51"/>
      <c r="H504" s="46" t="str">
        <f>IF(AND(I.Developer.P1=TRUE,I.Facility.P1FacilityCount&gt;=492,F504=""),"Incomplete","Complete")</f>
        <v>Complete</v>
      </c>
      <c r="I504" s="48" t="s">
        <v>4869</v>
      </c>
    </row>
    <row r="505" spans="2:9" ht="15" customHeight="1" x14ac:dyDescent="0.25">
      <c r="B505" s="55" t="s">
        <v>279</v>
      </c>
      <c r="C505" s="46">
        <v>493</v>
      </c>
      <c r="D505" s="69" t="s">
        <v>29416</v>
      </c>
      <c r="E505" s="51"/>
      <c r="F505" s="114" t="str">
        <f>IF(INDEX(I.Facility.P1IDNumber,493)="","",INDEX(I.Facility.P1IDNumber,493))</f>
        <v/>
      </c>
      <c r="G505" s="51"/>
      <c r="H505" s="46" t="str">
        <f>IF(AND(I.Developer.P1=TRUE,I.Facility.P1FacilityCount&gt;=493,F505=""),"Incomplete","Complete")</f>
        <v>Complete</v>
      </c>
      <c r="I505" s="48" t="s">
        <v>4870</v>
      </c>
    </row>
    <row r="506" spans="2:9" ht="15" customHeight="1" x14ac:dyDescent="0.25">
      <c r="B506" s="55" t="s">
        <v>279</v>
      </c>
      <c r="C506" s="46">
        <v>494</v>
      </c>
      <c r="D506" s="69" t="s">
        <v>29416</v>
      </c>
      <c r="E506" s="51"/>
      <c r="F506" s="114" t="str">
        <f>IF(INDEX(I.Facility.P1IDNumber,494)="","",INDEX(I.Facility.P1IDNumber,494))</f>
        <v/>
      </c>
      <c r="G506" s="51"/>
      <c r="H506" s="46" t="str">
        <f>IF(AND(I.Developer.P1=TRUE,I.Facility.P1FacilityCount&gt;=494,F506=""),"Incomplete","Complete")</f>
        <v>Complete</v>
      </c>
      <c r="I506" s="48" t="s">
        <v>4871</v>
      </c>
    </row>
    <row r="507" spans="2:9" ht="15" customHeight="1" x14ac:dyDescent="0.25">
      <c r="B507" s="55" t="s">
        <v>279</v>
      </c>
      <c r="C507" s="46">
        <v>495</v>
      </c>
      <c r="D507" s="69" t="s">
        <v>29416</v>
      </c>
      <c r="E507" s="51"/>
      <c r="F507" s="114" t="str">
        <f>IF(INDEX(I.Facility.P1IDNumber,495)="","",INDEX(I.Facility.P1IDNumber,495))</f>
        <v/>
      </c>
      <c r="G507" s="51"/>
      <c r="H507" s="46" t="str">
        <f>IF(AND(I.Developer.P1=TRUE,I.Facility.P1FacilityCount&gt;=495,F507=""),"Incomplete","Complete")</f>
        <v>Complete</v>
      </c>
      <c r="I507" s="48" t="s">
        <v>4872</v>
      </c>
    </row>
    <row r="508" spans="2:9" ht="15" customHeight="1" x14ac:dyDescent="0.25">
      <c r="B508" s="55" t="s">
        <v>279</v>
      </c>
      <c r="C508" s="46">
        <v>496</v>
      </c>
      <c r="D508" s="69" t="s">
        <v>29416</v>
      </c>
      <c r="E508" s="51"/>
      <c r="F508" s="114" t="str">
        <f>IF(INDEX(I.Facility.P1IDNumber,496)="","",INDEX(I.Facility.P1IDNumber,496))</f>
        <v/>
      </c>
      <c r="G508" s="51"/>
      <c r="H508" s="46" t="str">
        <f>IF(AND(I.Developer.P1=TRUE,I.Facility.P1FacilityCount&gt;=496,F508=""),"Incomplete","Complete")</f>
        <v>Complete</v>
      </c>
      <c r="I508" s="48" t="s">
        <v>4873</v>
      </c>
    </row>
    <row r="509" spans="2:9" ht="15" customHeight="1" x14ac:dyDescent="0.25">
      <c r="B509" s="55" t="s">
        <v>279</v>
      </c>
      <c r="C509" s="46">
        <v>497</v>
      </c>
      <c r="D509" s="69" t="s">
        <v>29416</v>
      </c>
      <c r="E509" s="51"/>
      <c r="F509" s="114" t="str">
        <f>IF(INDEX(I.Facility.P1IDNumber,497)="","",INDEX(I.Facility.P1IDNumber,497))</f>
        <v/>
      </c>
      <c r="G509" s="51"/>
      <c r="H509" s="46" t="str">
        <f>IF(AND(I.Developer.P1=TRUE,I.Facility.P1FacilityCount&gt;=497,F509=""),"Incomplete","Complete")</f>
        <v>Complete</v>
      </c>
      <c r="I509" s="48" t="s">
        <v>4874</v>
      </c>
    </row>
    <row r="510" spans="2:9" ht="15" customHeight="1" x14ac:dyDescent="0.25">
      <c r="B510" s="55" t="s">
        <v>279</v>
      </c>
      <c r="C510" s="46">
        <v>498</v>
      </c>
      <c r="D510" s="69" t="s">
        <v>29416</v>
      </c>
      <c r="E510" s="51"/>
      <c r="F510" s="114" t="str">
        <f>IF(INDEX(I.Facility.P1IDNumber,498)="","",INDEX(I.Facility.P1IDNumber,498))</f>
        <v/>
      </c>
      <c r="G510" s="51"/>
      <c r="H510" s="46" t="str">
        <f>IF(AND(I.Developer.P1=TRUE,I.Facility.P1FacilityCount&gt;=498,F510=""),"Incomplete","Complete")</f>
        <v>Complete</v>
      </c>
      <c r="I510" s="48" t="s">
        <v>4875</v>
      </c>
    </row>
    <row r="511" spans="2:9" ht="15" customHeight="1" x14ac:dyDescent="0.25">
      <c r="B511" s="55" t="s">
        <v>279</v>
      </c>
      <c r="C511" s="46">
        <v>499</v>
      </c>
      <c r="D511" s="69" t="s">
        <v>29416</v>
      </c>
      <c r="E511" s="51"/>
      <c r="F511" s="114" t="str">
        <f>IF(INDEX(I.Facility.P1IDNumber,499)="","",INDEX(I.Facility.P1IDNumber,499))</f>
        <v/>
      </c>
      <c r="G511" s="51"/>
      <c r="H511" s="46" t="str">
        <f>IF(AND(I.Developer.P1=TRUE,I.Facility.P1FacilityCount&gt;=499,F511=""),"Incomplete","Complete")</f>
        <v>Complete</v>
      </c>
      <c r="I511" s="48" t="s">
        <v>4876</v>
      </c>
    </row>
    <row r="512" spans="2:9" ht="15" customHeight="1" x14ac:dyDescent="0.25">
      <c r="B512" s="55" t="s">
        <v>279</v>
      </c>
      <c r="C512" s="46">
        <v>500</v>
      </c>
      <c r="D512" s="69" t="s">
        <v>29416</v>
      </c>
      <c r="E512" s="51"/>
      <c r="F512" s="114" t="str">
        <f>IF(INDEX(I.Facility.P1IDNumber,500)="","",INDEX(I.Facility.P1IDNumber,500))</f>
        <v/>
      </c>
      <c r="G512" s="51"/>
      <c r="H512" s="46" t="str">
        <f>IF(AND(I.Developer.P1=TRUE,I.Facility.P1FacilityCount&gt;=500,F512=""),"Incomplete","Complete")</f>
        <v>Complete</v>
      </c>
      <c r="I512" s="48" t="s">
        <v>4877</v>
      </c>
    </row>
    <row r="513" spans="2:9" ht="15" customHeight="1" x14ac:dyDescent="0.25">
      <c r="B513" s="55" t="s">
        <v>279</v>
      </c>
      <c r="C513" s="46">
        <v>501</v>
      </c>
      <c r="D513" s="69" t="s">
        <v>29416</v>
      </c>
      <c r="E513" s="51"/>
      <c r="F513" s="114" t="str">
        <f>IF(INDEX(I.Facility.P1IDNumber,501)="","",INDEX(I.Facility.P1IDNumber,501))</f>
        <v/>
      </c>
      <c r="G513" s="51"/>
      <c r="H513" s="46" t="str">
        <f>IF(AND(I.Developer.P1=TRUE,I.Facility.P1FacilityCount&gt;=501,F513=""),"Incomplete","Complete")</f>
        <v>Complete</v>
      </c>
      <c r="I513" s="48" t="s">
        <v>4878</v>
      </c>
    </row>
    <row r="514" spans="2:9" ht="15" customHeight="1" x14ac:dyDescent="0.25">
      <c r="B514" s="55" t="s">
        <v>279</v>
      </c>
      <c r="C514" s="46">
        <v>502</v>
      </c>
      <c r="D514" s="69" t="s">
        <v>29416</v>
      </c>
      <c r="E514" s="51"/>
      <c r="F514" s="114" t="str">
        <f>IF(INDEX(I.Facility.P1IDNumber,502)="","",INDEX(I.Facility.P1IDNumber,502))</f>
        <v/>
      </c>
      <c r="G514" s="51"/>
      <c r="H514" s="46" t="str">
        <f>IF(AND(I.Developer.P1=TRUE,I.Facility.P1FacilityCount&gt;=502,F514=""),"Incomplete","Complete")</f>
        <v>Complete</v>
      </c>
      <c r="I514" s="48" t="s">
        <v>4879</v>
      </c>
    </row>
    <row r="515" spans="2:9" ht="15" customHeight="1" x14ac:dyDescent="0.25">
      <c r="B515" s="55" t="s">
        <v>279</v>
      </c>
      <c r="C515" s="46">
        <v>503</v>
      </c>
      <c r="D515" s="69" t="s">
        <v>29416</v>
      </c>
      <c r="E515" s="51"/>
      <c r="F515" s="114" t="str">
        <f>IF(INDEX(I.Facility.P1IDNumber,503)="","",INDEX(I.Facility.P1IDNumber,503))</f>
        <v/>
      </c>
      <c r="G515" s="51"/>
      <c r="H515" s="46" t="str">
        <f>IF(AND(I.Developer.P1=TRUE,I.Facility.P1FacilityCount&gt;=503,F515=""),"Incomplete","Complete")</f>
        <v>Complete</v>
      </c>
      <c r="I515" s="48" t="s">
        <v>4880</v>
      </c>
    </row>
    <row r="516" spans="2:9" ht="15" customHeight="1" x14ac:dyDescent="0.25">
      <c r="B516" s="55" t="s">
        <v>279</v>
      </c>
      <c r="C516" s="46">
        <v>504</v>
      </c>
      <c r="D516" s="69" t="s">
        <v>29416</v>
      </c>
      <c r="E516" s="51"/>
      <c r="F516" s="114" t="str">
        <f>IF(INDEX(I.Facility.P1IDNumber,504)="","",INDEX(I.Facility.P1IDNumber,504))</f>
        <v/>
      </c>
      <c r="G516" s="51"/>
      <c r="H516" s="46" t="str">
        <f>IF(AND(I.Developer.P1=TRUE,I.Facility.P1FacilityCount&gt;=504,F516=""),"Incomplete","Complete")</f>
        <v>Complete</v>
      </c>
      <c r="I516" s="48" t="s">
        <v>4881</v>
      </c>
    </row>
    <row r="517" spans="2:9" ht="15" customHeight="1" x14ac:dyDescent="0.25">
      <c r="B517" s="55" t="s">
        <v>279</v>
      </c>
      <c r="C517" s="46">
        <v>505</v>
      </c>
      <c r="D517" s="69" t="s">
        <v>29416</v>
      </c>
      <c r="E517" s="51"/>
      <c r="F517" s="114" t="str">
        <f>IF(INDEX(I.Facility.P1IDNumber,505)="","",INDEX(I.Facility.P1IDNumber,505))</f>
        <v/>
      </c>
      <c r="G517" s="51"/>
      <c r="H517" s="46" t="str">
        <f>IF(AND(I.Developer.P1=TRUE,I.Facility.P1FacilityCount&gt;=505,F517=""),"Incomplete","Complete")</f>
        <v>Complete</v>
      </c>
      <c r="I517" s="48" t="s">
        <v>4882</v>
      </c>
    </row>
    <row r="518" spans="2:9" ht="15" customHeight="1" x14ac:dyDescent="0.25">
      <c r="B518" s="55" t="s">
        <v>279</v>
      </c>
      <c r="C518" s="46">
        <v>506</v>
      </c>
      <c r="D518" s="69" t="s">
        <v>29416</v>
      </c>
      <c r="E518" s="51"/>
      <c r="F518" s="114" t="str">
        <f>IF(INDEX(I.Facility.P1IDNumber,506)="","",INDEX(I.Facility.P1IDNumber,506))</f>
        <v/>
      </c>
      <c r="G518" s="51"/>
      <c r="H518" s="46" t="str">
        <f>IF(AND(I.Developer.P1=TRUE,I.Facility.P1FacilityCount&gt;=506,F518=""),"Incomplete","Complete")</f>
        <v>Complete</v>
      </c>
      <c r="I518" s="48" t="s">
        <v>4883</v>
      </c>
    </row>
    <row r="519" spans="2:9" ht="15" customHeight="1" x14ac:dyDescent="0.25">
      <c r="B519" s="55" t="s">
        <v>279</v>
      </c>
      <c r="C519" s="46">
        <v>507</v>
      </c>
      <c r="D519" s="69" t="s">
        <v>29416</v>
      </c>
      <c r="E519" s="51"/>
      <c r="F519" s="114" t="str">
        <f>IF(INDEX(I.Facility.P1IDNumber,507)="","",INDEX(I.Facility.P1IDNumber,507))</f>
        <v/>
      </c>
      <c r="G519" s="51"/>
      <c r="H519" s="46" t="str">
        <f>IF(AND(I.Developer.P1=TRUE,I.Facility.P1FacilityCount&gt;=507,F519=""),"Incomplete","Complete")</f>
        <v>Complete</v>
      </c>
      <c r="I519" s="48" t="s">
        <v>4884</v>
      </c>
    </row>
    <row r="520" spans="2:9" ht="15" customHeight="1" x14ac:dyDescent="0.25">
      <c r="B520" s="55" t="s">
        <v>279</v>
      </c>
      <c r="C520" s="46">
        <v>508</v>
      </c>
      <c r="D520" s="69" t="s">
        <v>29416</v>
      </c>
      <c r="E520" s="51"/>
      <c r="F520" s="114" t="str">
        <f>IF(INDEX(I.Facility.P1IDNumber,508)="","",INDEX(I.Facility.P1IDNumber,508))</f>
        <v/>
      </c>
      <c r="G520" s="51"/>
      <c r="H520" s="46" t="str">
        <f>IF(AND(I.Developer.P1=TRUE,I.Facility.P1FacilityCount&gt;=508,F520=""),"Incomplete","Complete")</f>
        <v>Complete</v>
      </c>
      <c r="I520" s="48" t="s">
        <v>4885</v>
      </c>
    </row>
    <row r="521" spans="2:9" ht="15" customHeight="1" x14ac:dyDescent="0.25">
      <c r="B521" s="55" t="s">
        <v>279</v>
      </c>
      <c r="C521" s="46">
        <v>509</v>
      </c>
      <c r="D521" s="69" t="s">
        <v>29416</v>
      </c>
      <c r="E521" s="51"/>
      <c r="F521" s="114" t="str">
        <f>IF(INDEX(I.Facility.P1IDNumber,509)="","",INDEX(I.Facility.P1IDNumber,509))</f>
        <v/>
      </c>
      <c r="G521" s="51"/>
      <c r="H521" s="46" t="str">
        <f>IF(AND(I.Developer.P1=TRUE,I.Facility.P1FacilityCount&gt;=509,F521=""),"Incomplete","Complete")</f>
        <v>Complete</v>
      </c>
      <c r="I521" s="48" t="s">
        <v>4886</v>
      </c>
    </row>
    <row r="522" spans="2:9" ht="15" customHeight="1" x14ac:dyDescent="0.25">
      <c r="B522" s="55" t="s">
        <v>279</v>
      </c>
      <c r="C522" s="46">
        <v>510</v>
      </c>
      <c r="D522" s="69" t="s">
        <v>29416</v>
      </c>
      <c r="E522" s="51"/>
      <c r="F522" s="114" t="str">
        <f>IF(INDEX(I.Facility.P1IDNumber,510)="","",INDEX(I.Facility.P1IDNumber,510))</f>
        <v/>
      </c>
      <c r="G522" s="51"/>
      <c r="H522" s="46" t="str">
        <f>IF(AND(I.Developer.P1=TRUE,I.Facility.P1FacilityCount&gt;=510,F522=""),"Incomplete","Complete")</f>
        <v>Complete</v>
      </c>
      <c r="I522" s="48" t="s">
        <v>4887</v>
      </c>
    </row>
    <row r="523" spans="2:9" ht="15" customHeight="1" x14ac:dyDescent="0.25">
      <c r="B523" s="55" t="s">
        <v>279</v>
      </c>
      <c r="C523" s="46">
        <v>511</v>
      </c>
      <c r="D523" s="69" t="s">
        <v>29416</v>
      </c>
      <c r="E523" s="51"/>
      <c r="F523" s="114" t="str">
        <f>IF(INDEX(I.Facility.P1IDNumber,511)="","",INDEX(I.Facility.P1IDNumber,511))</f>
        <v/>
      </c>
      <c r="G523" s="51"/>
      <c r="H523" s="46" t="str">
        <f>IF(AND(I.Developer.P1=TRUE,I.Facility.P1FacilityCount&gt;=511,F523=""),"Incomplete","Complete")</f>
        <v>Complete</v>
      </c>
      <c r="I523" s="48" t="s">
        <v>4888</v>
      </c>
    </row>
    <row r="524" spans="2:9" ht="15" customHeight="1" x14ac:dyDescent="0.25">
      <c r="B524" s="55" t="s">
        <v>279</v>
      </c>
      <c r="C524" s="46">
        <v>512</v>
      </c>
      <c r="D524" s="69" t="s">
        <v>29416</v>
      </c>
      <c r="E524" s="51"/>
      <c r="F524" s="114" t="str">
        <f>IF(INDEX(I.Facility.P1IDNumber,512)="","",INDEX(I.Facility.P1IDNumber,512))</f>
        <v/>
      </c>
      <c r="G524" s="51"/>
      <c r="H524" s="46" t="str">
        <f>IF(AND(I.Developer.P1=TRUE,I.Facility.P1FacilityCount&gt;=512,F524=""),"Incomplete","Complete")</f>
        <v>Complete</v>
      </c>
      <c r="I524" s="48" t="s">
        <v>4889</v>
      </c>
    </row>
    <row r="525" spans="2:9" ht="15" customHeight="1" x14ac:dyDescent="0.25">
      <c r="B525" s="55" t="s">
        <v>279</v>
      </c>
      <c r="C525" s="46">
        <v>513</v>
      </c>
      <c r="D525" s="69" t="s">
        <v>29416</v>
      </c>
      <c r="E525" s="51"/>
      <c r="F525" s="114" t="str">
        <f>IF(INDEX(I.Facility.P1IDNumber,513)="","",INDEX(I.Facility.P1IDNumber,513))</f>
        <v/>
      </c>
      <c r="G525" s="51"/>
      <c r="H525" s="46" t="str">
        <f>IF(AND(I.Developer.P1=TRUE,I.Facility.P1FacilityCount&gt;=513,F525=""),"Incomplete","Complete")</f>
        <v>Complete</v>
      </c>
      <c r="I525" s="48" t="s">
        <v>4890</v>
      </c>
    </row>
    <row r="526" spans="2:9" ht="15" customHeight="1" x14ac:dyDescent="0.25">
      <c r="B526" s="55" t="s">
        <v>279</v>
      </c>
      <c r="C526" s="46">
        <v>514</v>
      </c>
      <c r="D526" s="69" t="s">
        <v>29416</v>
      </c>
      <c r="E526" s="51"/>
      <c r="F526" s="114" t="str">
        <f>IF(INDEX(I.Facility.P1IDNumber,514)="","",INDEX(I.Facility.P1IDNumber,514))</f>
        <v/>
      </c>
      <c r="G526" s="51"/>
      <c r="H526" s="46" t="str">
        <f>IF(AND(I.Developer.P1=TRUE,I.Facility.P1FacilityCount&gt;=514,F526=""),"Incomplete","Complete")</f>
        <v>Complete</v>
      </c>
      <c r="I526" s="48" t="s">
        <v>4891</v>
      </c>
    </row>
    <row r="527" spans="2:9" ht="15" customHeight="1" x14ac:dyDescent="0.25">
      <c r="B527" s="55" t="s">
        <v>279</v>
      </c>
      <c r="C527" s="46">
        <v>515</v>
      </c>
      <c r="D527" s="69" t="s">
        <v>29416</v>
      </c>
      <c r="E527" s="51"/>
      <c r="F527" s="114" t="str">
        <f>IF(INDEX(I.Facility.P1IDNumber,515)="","",INDEX(I.Facility.P1IDNumber,515))</f>
        <v/>
      </c>
      <c r="G527" s="51"/>
      <c r="H527" s="46" t="str">
        <f>IF(AND(I.Developer.P1=TRUE,I.Facility.P1FacilityCount&gt;=515,F527=""),"Incomplete","Complete")</f>
        <v>Complete</v>
      </c>
      <c r="I527" s="48" t="s">
        <v>4892</v>
      </c>
    </row>
    <row r="528" spans="2:9" ht="15" customHeight="1" x14ac:dyDescent="0.25">
      <c r="B528" s="55" t="s">
        <v>279</v>
      </c>
      <c r="C528" s="46">
        <v>516</v>
      </c>
      <c r="D528" s="69" t="s">
        <v>29416</v>
      </c>
      <c r="E528" s="51"/>
      <c r="F528" s="114" t="str">
        <f>IF(INDEX(I.Facility.P1IDNumber,516)="","",INDEX(I.Facility.P1IDNumber,516))</f>
        <v/>
      </c>
      <c r="G528" s="51"/>
      <c r="H528" s="46" t="str">
        <f>IF(AND(I.Developer.P1=TRUE,I.Facility.P1FacilityCount&gt;=516,F528=""),"Incomplete","Complete")</f>
        <v>Complete</v>
      </c>
      <c r="I528" s="48" t="s">
        <v>4893</v>
      </c>
    </row>
    <row r="529" spans="2:9" ht="15" customHeight="1" x14ac:dyDescent="0.25">
      <c r="B529" s="55" t="s">
        <v>279</v>
      </c>
      <c r="C529" s="46">
        <v>517</v>
      </c>
      <c r="D529" s="69" t="s">
        <v>29416</v>
      </c>
      <c r="E529" s="51"/>
      <c r="F529" s="114" t="str">
        <f>IF(INDEX(I.Facility.P1IDNumber,517)="","",INDEX(I.Facility.P1IDNumber,517))</f>
        <v/>
      </c>
      <c r="G529" s="51"/>
      <c r="H529" s="46" t="str">
        <f>IF(AND(I.Developer.P1=TRUE,I.Facility.P1FacilityCount&gt;=517,F529=""),"Incomplete","Complete")</f>
        <v>Complete</v>
      </c>
      <c r="I529" s="48" t="s">
        <v>4894</v>
      </c>
    </row>
    <row r="530" spans="2:9" ht="15" customHeight="1" x14ac:dyDescent="0.25">
      <c r="B530" s="55" t="s">
        <v>279</v>
      </c>
      <c r="C530" s="46">
        <v>518</v>
      </c>
      <c r="D530" s="69" t="s">
        <v>29416</v>
      </c>
      <c r="E530" s="51"/>
      <c r="F530" s="114" t="str">
        <f>IF(INDEX(I.Facility.P1IDNumber,518)="","",INDEX(I.Facility.P1IDNumber,518))</f>
        <v/>
      </c>
      <c r="G530" s="51"/>
      <c r="H530" s="46" t="str">
        <f>IF(AND(I.Developer.P1=TRUE,I.Facility.P1FacilityCount&gt;=518,F530=""),"Incomplete","Complete")</f>
        <v>Complete</v>
      </c>
      <c r="I530" s="48" t="s">
        <v>4895</v>
      </c>
    </row>
    <row r="531" spans="2:9" ht="15" customHeight="1" x14ac:dyDescent="0.25">
      <c r="B531" s="55" t="s">
        <v>279</v>
      </c>
      <c r="C531" s="46">
        <v>519</v>
      </c>
      <c r="D531" s="69" t="s">
        <v>29416</v>
      </c>
      <c r="E531" s="51"/>
      <c r="F531" s="114" t="str">
        <f>IF(INDEX(I.Facility.P1IDNumber,519)="","",INDEX(I.Facility.P1IDNumber,519))</f>
        <v/>
      </c>
      <c r="G531" s="51"/>
      <c r="H531" s="46" t="str">
        <f>IF(AND(I.Developer.P1=TRUE,I.Facility.P1FacilityCount&gt;=519,F531=""),"Incomplete","Complete")</f>
        <v>Complete</v>
      </c>
      <c r="I531" s="48" t="s">
        <v>4896</v>
      </c>
    </row>
    <row r="532" spans="2:9" ht="15" customHeight="1" x14ac:dyDescent="0.25">
      <c r="B532" s="55" t="s">
        <v>279</v>
      </c>
      <c r="C532" s="46">
        <v>520</v>
      </c>
      <c r="D532" s="69" t="s">
        <v>29416</v>
      </c>
      <c r="E532" s="51"/>
      <c r="F532" s="114" t="str">
        <f>IF(INDEX(I.Facility.P1IDNumber,520)="","",INDEX(I.Facility.P1IDNumber,520))</f>
        <v/>
      </c>
      <c r="G532" s="51"/>
      <c r="H532" s="46" t="str">
        <f>IF(AND(I.Developer.P1=TRUE,I.Facility.P1FacilityCount&gt;=520,F532=""),"Incomplete","Complete")</f>
        <v>Complete</v>
      </c>
      <c r="I532" s="48" t="s">
        <v>4897</v>
      </c>
    </row>
    <row r="533" spans="2:9" ht="15" customHeight="1" x14ac:dyDescent="0.25">
      <c r="B533" s="55" t="s">
        <v>279</v>
      </c>
      <c r="C533" s="46">
        <v>521</v>
      </c>
      <c r="D533" s="69" t="s">
        <v>29416</v>
      </c>
      <c r="E533" s="51"/>
      <c r="F533" s="114" t="str">
        <f>IF(INDEX(I.Facility.P1IDNumber,521)="","",INDEX(I.Facility.P1IDNumber,521))</f>
        <v/>
      </c>
      <c r="G533" s="51"/>
      <c r="H533" s="46" t="str">
        <f>IF(AND(I.Developer.P1=TRUE,I.Facility.P1FacilityCount&gt;=521,F533=""),"Incomplete","Complete")</f>
        <v>Complete</v>
      </c>
      <c r="I533" s="48" t="s">
        <v>4898</v>
      </c>
    </row>
    <row r="534" spans="2:9" ht="15" customHeight="1" x14ac:dyDescent="0.25">
      <c r="B534" s="55" t="s">
        <v>279</v>
      </c>
      <c r="C534" s="46">
        <v>522</v>
      </c>
      <c r="D534" s="69" t="s">
        <v>29416</v>
      </c>
      <c r="E534" s="51"/>
      <c r="F534" s="114" t="str">
        <f>IF(INDEX(I.Facility.P1IDNumber,522)="","",INDEX(I.Facility.P1IDNumber,522))</f>
        <v/>
      </c>
      <c r="G534" s="51"/>
      <c r="H534" s="46" t="str">
        <f>IF(AND(I.Developer.P1=TRUE,I.Facility.P1FacilityCount&gt;=522,F534=""),"Incomplete","Complete")</f>
        <v>Complete</v>
      </c>
      <c r="I534" s="48" t="s">
        <v>4899</v>
      </c>
    </row>
    <row r="535" spans="2:9" ht="15" customHeight="1" x14ac:dyDescent="0.25">
      <c r="B535" s="55" t="s">
        <v>279</v>
      </c>
      <c r="C535" s="46">
        <v>523</v>
      </c>
      <c r="D535" s="69" t="s">
        <v>29416</v>
      </c>
      <c r="E535" s="51"/>
      <c r="F535" s="114" t="str">
        <f>IF(INDEX(I.Facility.P1IDNumber,523)="","",INDEX(I.Facility.P1IDNumber,523))</f>
        <v/>
      </c>
      <c r="G535" s="51"/>
      <c r="H535" s="46" t="str">
        <f>IF(AND(I.Developer.P1=TRUE,I.Facility.P1FacilityCount&gt;=523,F535=""),"Incomplete","Complete")</f>
        <v>Complete</v>
      </c>
      <c r="I535" s="48" t="s">
        <v>4900</v>
      </c>
    </row>
    <row r="536" spans="2:9" ht="15" customHeight="1" x14ac:dyDescent="0.25">
      <c r="B536" s="55" t="s">
        <v>279</v>
      </c>
      <c r="C536" s="46">
        <v>524</v>
      </c>
      <c r="D536" s="69" t="s">
        <v>29416</v>
      </c>
      <c r="E536" s="51"/>
      <c r="F536" s="114" t="str">
        <f>IF(INDEX(I.Facility.P1IDNumber,524)="","",INDEX(I.Facility.P1IDNumber,524))</f>
        <v/>
      </c>
      <c r="G536" s="51"/>
      <c r="H536" s="46" t="str">
        <f>IF(AND(I.Developer.P1=TRUE,I.Facility.P1FacilityCount&gt;=524,F536=""),"Incomplete","Complete")</f>
        <v>Complete</v>
      </c>
      <c r="I536" s="48" t="s">
        <v>4901</v>
      </c>
    </row>
    <row r="537" spans="2:9" ht="15" customHeight="1" x14ac:dyDescent="0.25">
      <c r="B537" s="55" t="s">
        <v>279</v>
      </c>
      <c r="C537" s="46">
        <v>525</v>
      </c>
      <c r="D537" s="69" t="s">
        <v>29416</v>
      </c>
      <c r="E537" s="51"/>
      <c r="F537" s="114" t="str">
        <f>IF(INDEX(I.Facility.P1IDNumber,525)="","",INDEX(I.Facility.P1IDNumber,525))</f>
        <v/>
      </c>
      <c r="G537" s="51"/>
      <c r="H537" s="46" t="str">
        <f>IF(AND(I.Developer.P1=TRUE,I.Facility.P1FacilityCount&gt;=525,F537=""),"Incomplete","Complete")</f>
        <v>Complete</v>
      </c>
      <c r="I537" s="48" t="s">
        <v>4902</v>
      </c>
    </row>
    <row r="538" spans="2:9" ht="15" customHeight="1" x14ac:dyDescent="0.25">
      <c r="B538" s="55" t="s">
        <v>279</v>
      </c>
      <c r="C538" s="46">
        <v>526</v>
      </c>
      <c r="D538" s="69" t="s">
        <v>29416</v>
      </c>
      <c r="E538" s="51"/>
      <c r="F538" s="114" t="str">
        <f>IF(INDEX(I.Facility.P1IDNumber,526)="","",INDEX(I.Facility.P1IDNumber,526))</f>
        <v/>
      </c>
      <c r="G538" s="51"/>
      <c r="H538" s="46" t="str">
        <f>IF(AND(I.Developer.P1=TRUE,I.Facility.P1FacilityCount&gt;=526,F538=""),"Incomplete","Complete")</f>
        <v>Complete</v>
      </c>
      <c r="I538" s="48" t="s">
        <v>4903</v>
      </c>
    </row>
    <row r="539" spans="2:9" ht="15" customHeight="1" x14ac:dyDescent="0.25">
      <c r="B539" s="55" t="s">
        <v>279</v>
      </c>
      <c r="C539" s="46">
        <v>527</v>
      </c>
      <c r="D539" s="69" t="s">
        <v>29416</v>
      </c>
      <c r="E539" s="51"/>
      <c r="F539" s="114" t="str">
        <f>IF(INDEX(I.Facility.P1IDNumber,527)="","",INDEX(I.Facility.P1IDNumber,527))</f>
        <v/>
      </c>
      <c r="G539" s="51"/>
      <c r="H539" s="46" t="str">
        <f>IF(AND(I.Developer.P1=TRUE,I.Facility.P1FacilityCount&gt;=527,F539=""),"Incomplete","Complete")</f>
        <v>Complete</v>
      </c>
      <c r="I539" s="48" t="s">
        <v>4904</v>
      </c>
    </row>
    <row r="540" spans="2:9" ht="15" customHeight="1" x14ac:dyDescent="0.25">
      <c r="B540" s="55" t="s">
        <v>279</v>
      </c>
      <c r="C540" s="46">
        <v>528</v>
      </c>
      <c r="D540" s="69" t="s">
        <v>29416</v>
      </c>
      <c r="E540" s="51"/>
      <c r="F540" s="114" t="str">
        <f>IF(INDEX(I.Facility.P1IDNumber,528)="","",INDEX(I.Facility.P1IDNumber,528))</f>
        <v/>
      </c>
      <c r="G540" s="51"/>
      <c r="H540" s="46" t="str">
        <f>IF(AND(I.Developer.P1=TRUE,I.Facility.P1FacilityCount&gt;=528,F540=""),"Incomplete","Complete")</f>
        <v>Complete</v>
      </c>
      <c r="I540" s="48" t="s">
        <v>4905</v>
      </c>
    </row>
    <row r="541" spans="2:9" ht="15" customHeight="1" x14ac:dyDescent="0.25">
      <c r="B541" s="55" t="s">
        <v>279</v>
      </c>
      <c r="C541" s="46">
        <v>529</v>
      </c>
      <c r="D541" s="69" t="s">
        <v>29416</v>
      </c>
      <c r="E541" s="51"/>
      <c r="F541" s="114" t="str">
        <f>IF(INDEX(I.Facility.P1IDNumber,529)="","",INDEX(I.Facility.P1IDNumber,529))</f>
        <v/>
      </c>
      <c r="G541" s="51"/>
      <c r="H541" s="46" t="str">
        <f>IF(AND(I.Developer.P1=TRUE,I.Facility.P1FacilityCount&gt;=529,F541=""),"Incomplete","Complete")</f>
        <v>Complete</v>
      </c>
      <c r="I541" s="48" t="s">
        <v>4906</v>
      </c>
    </row>
    <row r="542" spans="2:9" ht="15" customHeight="1" x14ac:dyDescent="0.25">
      <c r="B542" s="55" t="s">
        <v>279</v>
      </c>
      <c r="C542" s="46">
        <v>530</v>
      </c>
      <c r="D542" s="69" t="s">
        <v>29416</v>
      </c>
      <c r="E542" s="51"/>
      <c r="F542" s="114" t="str">
        <f>IF(INDEX(I.Facility.P1IDNumber,530)="","",INDEX(I.Facility.P1IDNumber,530))</f>
        <v/>
      </c>
      <c r="G542" s="51"/>
      <c r="H542" s="46" t="str">
        <f>IF(AND(I.Developer.P1=TRUE,I.Facility.P1FacilityCount&gt;=530,F542=""),"Incomplete","Complete")</f>
        <v>Complete</v>
      </c>
      <c r="I542" s="48" t="s">
        <v>4907</v>
      </c>
    </row>
    <row r="543" spans="2:9" ht="15" customHeight="1" x14ac:dyDescent="0.25">
      <c r="B543" s="55" t="s">
        <v>279</v>
      </c>
      <c r="C543" s="46">
        <v>531</v>
      </c>
      <c r="D543" s="69" t="s">
        <v>29416</v>
      </c>
      <c r="E543" s="51"/>
      <c r="F543" s="114" t="str">
        <f>IF(INDEX(I.Facility.P1IDNumber,531)="","",INDEX(I.Facility.P1IDNumber,531))</f>
        <v/>
      </c>
      <c r="G543" s="51"/>
      <c r="H543" s="46" t="str">
        <f>IF(AND(I.Developer.P1=TRUE,I.Facility.P1FacilityCount&gt;=531,F543=""),"Incomplete","Complete")</f>
        <v>Complete</v>
      </c>
      <c r="I543" s="48" t="s">
        <v>4908</v>
      </c>
    </row>
    <row r="544" spans="2:9" ht="15" customHeight="1" x14ac:dyDescent="0.25">
      <c r="B544" s="55" t="s">
        <v>279</v>
      </c>
      <c r="C544" s="46">
        <v>532</v>
      </c>
      <c r="D544" s="69" t="s">
        <v>29416</v>
      </c>
      <c r="E544" s="51"/>
      <c r="F544" s="114" t="str">
        <f>IF(INDEX(I.Facility.P1IDNumber,532)="","",INDEX(I.Facility.P1IDNumber,532))</f>
        <v/>
      </c>
      <c r="G544" s="51"/>
      <c r="H544" s="46" t="str">
        <f>IF(AND(I.Developer.P1=TRUE,I.Facility.P1FacilityCount&gt;=532,F544=""),"Incomplete","Complete")</f>
        <v>Complete</v>
      </c>
      <c r="I544" s="48" t="s">
        <v>4909</v>
      </c>
    </row>
    <row r="545" spans="2:9" ht="15" customHeight="1" x14ac:dyDescent="0.25">
      <c r="B545" s="55" t="s">
        <v>279</v>
      </c>
      <c r="C545" s="46">
        <v>533</v>
      </c>
      <c r="D545" s="69" t="s">
        <v>29416</v>
      </c>
      <c r="E545" s="51"/>
      <c r="F545" s="114" t="str">
        <f>IF(INDEX(I.Facility.P1IDNumber,533)="","",INDEX(I.Facility.P1IDNumber,533))</f>
        <v/>
      </c>
      <c r="G545" s="51"/>
      <c r="H545" s="46" t="str">
        <f>IF(AND(I.Developer.P1=TRUE,I.Facility.P1FacilityCount&gt;=533,F545=""),"Incomplete","Complete")</f>
        <v>Complete</v>
      </c>
      <c r="I545" s="48" t="s">
        <v>4910</v>
      </c>
    </row>
    <row r="546" spans="2:9" ht="15" customHeight="1" x14ac:dyDescent="0.25">
      <c r="B546" s="55" t="s">
        <v>279</v>
      </c>
      <c r="C546" s="46">
        <v>534</v>
      </c>
      <c r="D546" s="69" t="s">
        <v>29416</v>
      </c>
      <c r="E546" s="51"/>
      <c r="F546" s="114" t="str">
        <f>IF(INDEX(I.Facility.P1IDNumber,534)="","",INDEX(I.Facility.P1IDNumber,534))</f>
        <v/>
      </c>
      <c r="G546" s="51"/>
      <c r="H546" s="46" t="str">
        <f>IF(AND(I.Developer.P1=TRUE,I.Facility.P1FacilityCount&gt;=534,F546=""),"Incomplete","Complete")</f>
        <v>Complete</v>
      </c>
      <c r="I546" s="48" t="s">
        <v>4911</v>
      </c>
    </row>
    <row r="547" spans="2:9" ht="15" customHeight="1" x14ac:dyDescent="0.25">
      <c r="B547" s="55" t="s">
        <v>279</v>
      </c>
      <c r="C547" s="46">
        <v>535</v>
      </c>
      <c r="D547" s="69" t="s">
        <v>29416</v>
      </c>
      <c r="E547" s="51"/>
      <c r="F547" s="114" t="str">
        <f>IF(INDEX(I.Facility.P1IDNumber,535)="","",INDEX(I.Facility.P1IDNumber,535))</f>
        <v/>
      </c>
      <c r="G547" s="51"/>
      <c r="H547" s="46" t="str">
        <f>IF(AND(I.Developer.P1=TRUE,I.Facility.P1FacilityCount&gt;=535,F547=""),"Incomplete","Complete")</f>
        <v>Complete</v>
      </c>
      <c r="I547" s="48" t="s">
        <v>4912</v>
      </c>
    </row>
    <row r="548" spans="2:9" ht="15" customHeight="1" x14ac:dyDescent="0.25">
      <c r="B548" s="55" t="s">
        <v>279</v>
      </c>
      <c r="C548" s="46">
        <v>536</v>
      </c>
      <c r="D548" s="69" t="s">
        <v>29416</v>
      </c>
      <c r="E548" s="51"/>
      <c r="F548" s="114" t="str">
        <f>IF(INDEX(I.Facility.P1IDNumber,536)="","",INDEX(I.Facility.P1IDNumber,536))</f>
        <v/>
      </c>
      <c r="G548" s="51"/>
      <c r="H548" s="46" t="str">
        <f>IF(AND(I.Developer.P1=TRUE,I.Facility.P1FacilityCount&gt;=536,F548=""),"Incomplete","Complete")</f>
        <v>Complete</v>
      </c>
      <c r="I548" s="48" t="s">
        <v>4913</v>
      </c>
    </row>
    <row r="549" spans="2:9" ht="15" customHeight="1" x14ac:dyDescent="0.25">
      <c r="B549" s="55" t="s">
        <v>279</v>
      </c>
      <c r="C549" s="46">
        <v>537</v>
      </c>
      <c r="D549" s="69" t="s">
        <v>29416</v>
      </c>
      <c r="E549" s="51"/>
      <c r="F549" s="114" t="str">
        <f>IF(INDEX(I.Facility.P1IDNumber,537)="","",INDEX(I.Facility.P1IDNumber,537))</f>
        <v/>
      </c>
      <c r="G549" s="51"/>
      <c r="H549" s="46" t="str">
        <f>IF(AND(I.Developer.P1=TRUE,I.Facility.P1FacilityCount&gt;=537,F549=""),"Incomplete","Complete")</f>
        <v>Complete</v>
      </c>
      <c r="I549" s="48" t="s">
        <v>4914</v>
      </c>
    </row>
    <row r="550" spans="2:9" ht="15" customHeight="1" x14ac:dyDescent="0.25">
      <c r="B550" s="55" t="s">
        <v>279</v>
      </c>
      <c r="C550" s="46">
        <v>538</v>
      </c>
      <c r="D550" s="69" t="s">
        <v>29416</v>
      </c>
      <c r="E550" s="51"/>
      <c r="F550" s="114" t="str">
        <f>IF(INDEX(I.Facility.P1IDNumber,538)="","",INDEX(I.Facility.P1IDNumber,538))</f>
        <v/>
      </c>
      <c r="G550" s="51"/>
      <c r="H550" s="46" t="str">
        <f>IF(AND(I.Developer.P1=TRUE,I.Facility.P1FacilityCount&gt;=538,F550=""),"Incomplete","Complete")</f>
        <v>Complete</v>
      </c>
      <c r="I550" s="48" t="s">
        <v>4915</v>
      </c>
    </row>
    <row r="551" spans="2:9" ht="15" customHeight="1" x14ac:dyDescent="0.25">
      <c r="B551" s="55" t="s">
        <v>279</v>
      </c>
      <c r="C551" s="46">
        <v>539</v>
      </c>
      <c r="D551" s="69" t="s">
        <v>29416</v>
      </c>
      <c r="E551" s="51"/>
      <c r="F551" s="114" t="str">
        <f>IF(INDEX(I.Facility.P1IDNumber,539)="","",INDEX(I.Facility.P1IDNumber,539))</f>
        <v/>
      </c>
      <c r="G551" s="51"/>
      <c r="H551" s="46" t="str">
        <f>IF(AND(I.Developer.P1=TRUE,I.Facility.P1FacilityCount&gt;=539,F551=""),"Incomplete","Complete")</f>
        <v>Complete</v>
      </c>
      <c r="I551" s="48" t="s">
        <v>4916</v>
      </c>
    </row>
    <row r="552" spans="2:9" ht="15" customHeight="1" x14ac:dyDescent="0.25">
      <c r="B552" s="55" t="s">
        <v>279</v>
      </c>
      <c r="C552" s="46">
        <v>540</v>
      </c>
      <c r="D552" s="69" t="s">
        <v>29416</v>
      </c>
      <c r="E552" s="51"/>
      <c r="F552" s="114" t="str">
        <f>IF(INDEX(I.Facility.P1IDNumber,540)="","",INDEX(I.Facility.P1IDNumber,540))</f>
        <v/>
      </c>
      <c r="G552" s="51"/>
      <c r="H552" s="46" t="str">
        <f>IF(AND(I.Developer.P1=TRUE,I.Facility.P1FacilityCount&gt;=540,F552=""),"Incomplete","Complete")</f>
        <v>Complete</v>
      </c>
      <c r="I552" s="48" t="s">
        <v>4917</v>
      </c>
    </row>
    <row r="553" spans="2:9" ht="15" customHeight="1" x14ac:dyDescent="0.25">
      <c r="B553" s="55" t="s">
        <v>279</v>
      </c>
      <c r="C553" s="46">
        <v>541</v>
      </c>
      <c r="D553" s="69" t="s">
        <v>29416</v>
      </c>
      <c r="E553" s="51"/>
      <c r="F553" s="114" t="str">
        <f>IF(INDEX(I.Facility.P1IDNumber,541)="","",INDEX(I.Facility.P1IDNumber,541))</f>
        <v/>
      </c>
      <c r="G553" s="51"/>
      <c r="H553" s="46" t="str">
        <f>IF(AND(I.Developer.P1=TRUE,I.Facility.P1FacilityCount&gt;=541,F553=""),"Incomplete","Complete")</f>
        <v>Complete</v>
      </c>
      <c r="I553" s="48" t="s">
        <v>4918</v>
      </c>
    </row>
    <row r="554" spans="2:9" ht="15" customHeight="1" x14ac:dyDescent="0.25">
      <c r="B554" s="55" t="s">
        <v>279</v>
      </c>
      <c r="C554" s="46">
        <v>542</v>
      </c>
      <c r="D554" s="69" t="s">
        <v>29416</v>
      </c>
      <c r="E554" s="51"/>
      <c r="F554" s="114" t="str">
        <f>IF(INDEX(I.Facility.P1IDNumber,542)="","",INDEX(I.Facility.P1IDNumber,542))</f>
        <v/>
      </c>
      <c r="G554" s="51"/>
      <c r="H554" s="46" t="str">
        <f>IF(AND(I.Developer.P1=TRUE,I.Facility.P1FacilityCount&gt;=542,F554=""),"Incomplete","Complete")</f>
        <v>Complete</v>
      </c>
      <c r="I554" s="48" t="s">
        <v>4919</v>
      </c>
    </row>
    <row r="555" spans="2:9" ht="15" customHeight="1" x14ac:dyDescent="0.25">
      <c r="B555" s="55" t="s">
        <v>279</v>
      </c>
      <c r="C555" s="46">
        <v>543</v>
      </c>
      <c r="D555" s="69" t="s">
        <v>29416</v>
      </c>
      <c r="E555" s="51"/>
      <c r="F555" s="114" t="str">
        <f>IF(INDEX(I.Facility.P1IDNumber,543)="","",INDEX(I.Facility.P1IDNumber,543))</f>
        <v/>
      </c>
      <c r="G555" s="51"/>
      <c r="H555" s="46" t="str">
        <f>IF(AND(I.Developer.P1=TRUE,I.Facility.P1FacilityCount&gt;=543,F555=""),"Incomplete","Complete")</f>
        <v>Complete</v>
      </c>
      <c r="I555" s="48" t="s">
        <v>4920</v>
      </c>
    </row>
    <row r="556" spans="2:9" ht="15" customHeight="1" x14ac:dyDescent="0.25">
      <c r="B556" s="55" t="s">
        <v>279</v>
      </c>
      <c r="C556" s="46">
        <v>544</v>
      </c>
      <c r="D556" s="69" t="s">
        <v>29416</v>
      </c>
      <c r="E556" s="51"/>
      <c r="F556" s="114" t="str">
        <f>IF(INDEX(I.Facility.P1IDNumber,544)="","",INDEX(I.Facility.P1IDNumber,544))</f>
        <v/>
      </c>
      <c r="G556" s="51"/>
      <c r="H556" s="46" t="str">
        <f>IF(AND(I.Developer.P1=TRUE,I.Facility.P1FacilityCount&gt;=544,F556=""),"Incomplete","Complete")</f>
        <v>Complete</v>
      </c>
      <c r="I556" s="48" t="s">
        <v>4921</v>
      </c>
    </row>
    <row r="557" spans="2:9" ht="15" customHeight="1" x14ac:dyDescent="0.25">
      <c r="B557" s="55" t="s">
        <v>279</v>
      </c>
      <c r="C557" s="46">
        <v>545</v>
      </c>
      <c r="D557" s="69" t="s">
        <v>29416</v>
      </c>
      <c r="E557" s="51"/>
      <c r="F557" s="114" t="str">
        <f>IF(INDEX(I.Facility.P1IDNumber,545)="","",INDEX(I.Facility.P1IDNumber,545))</f>
        <v/>
      </c>
      <c r="G557" s="51"/>
      <c r="H557" s="46" t="str">
        <f>IF(AND(I.Developer.P1=TRUE,I.Facility.P1FacilityCount&gt;=545,F557=""),"Incomplete","Complete")</f>
        <v>Complete</v>
      </c>
      <c r="I557" s="48" t="s">
        <v>4922</v>
      </c>
    </row>
    <row r="558" spans="2:9" ht="15" customHeight="1" x14ac:dyDescent="0.25">
      <c r="B558" s="55" t="s">
        <v>279</v>
      </c>
      <c r="C558" s="46">
        <v>546</v>
      </c>
      <c r="D558" s="69" t="s">
        <v>29416</v>
      </c>
      <c r="E558" s="51"/>
      <c r="F558" s="114" t="str">
        <f>IF(INDEX(I.Facility.P1IDNumber,546)="","",INDEX(I.Facility.P1IDNumber,546))</f>
        <v/>
      </c>
      <c r="G558" s="51"/>
      <c r="H558" s="46" t="str">
        <f>IF(AND(I.Developer.P1=TRUE,I.Facility.P1FacilityCount&gt;=546,F558=""),"Incomplete","Complete")</f>
        <v>Complete</v>
      </c>
      <c r="I558" s="48" t="s">
        <v>4923</v>
      </c>
    </row>
    <row r="559" spans="2:9" ht="15" customHeight="1" x14ac:dyDescent="0.25">
      <c r="B559" s="55" t="s">
        <v>279</v>
      </c>
      <c r="C559" s="46">
        <v>547</v>
      </c>
      <c r="D559" s="69" t="s">
        <v>29416</v>
      </c>
      <c r="E559" s="51"/>
      <c r="F559" s="114" t="str">
        <f>IF(INDEX(I.Facility.P1IDNumber,547)="","",INDEX(I.Facility.P1IDNumber,547))</f>
        <v/>
      </c>
      <c r="G559" s="51"/>
      <c r="H559" s="46" t="str">
        <f>IF(AND(I.Developer.P1=TRUE,I.Facility.P1FacilityCount&gt;=547,F559=""),"Incomplete","Complete")</f>
        <v>Complete</v>
      </c>
      <c r="I559" s="48" t="s">
        <v>4924</v>
      </c>
    </row>
    <row r="560" spans="2:9" ht="15" customHeight="1" x14ac:dyDescent="0.25">
      <c r="B560" s="55" t="s">
        <v>279</v>
      </c>
      <c r="C560" s="46">
        <v>548</v>
      </c>
      <c r="D560" s="69" t="s">
        <v>29416</v>
      </c>
      <c r="E560" s="51"/>
      <c r="F560" s="114" t="str">
        <f>IF(INDEX(I.Facility.P1IDNumber,548)="","",INDEX(I.Facility.P1IDNumber,548))</f>
        <v/>
      </c>
      <c r="G560" s="51"/>
      <c r="H560" s="46" t="str">
        <f>IF(AND(I.Developer.P1=TRUE,I.Facility.P1FacilityCount&gt;=548,F560=""),"Incomplete","Complete")</f>
        <v>Complete</v>
      </c>
      <c r="I560" s="48" t="s">
        <v>4925</v>
      </c>
    </row>
    <row r="561" spans="2:9" ht="15" customHeight="1" x14ac:dyDescent="0.25">
      <c r="B561" s="55" t="s">
        <v>279</v>
      </c>
      <c r="C561" s="46">
        <v>549</v>
      </c>
      <c r="D561" s="69" t="s">
        <v>29416</v>
      </c>
      <c r="E561" s="51"/>
      <c r="F561" s="114" t="str">
        <f>IF(INDEX(I.Facility.P1IDNumber,549)="","",INDEX(I.Facility.P1IDNumber,549))</f>
        <v/>
      </c>
      <c r="G561" s="51"/>
      <c r="H561" s="46" t="str">
        <f>IF(AND(I.Developer.P1=TRUE,I.Facility.P1FacilityCount&gt;=549,F561=""),"Incomplete","Complete")</f>
        <v>Complete</v>
      </c>
      <c r="I561" s="48" t="s">
        <v>4926</v>
      </c>
    </row>
    <row r="562" spans="2:9" ht="15" customHeight="1" x14ac:dyDescent="0.25">
      <c r="B562" s="55" t="s">
        <v>279</v>
      </c>
      <c r="C562" s="46">
        <v>550</v>
      </c>
      <c r="D562" s="69" t="s">
        <v>29416</v>
      </c>
      <c r="E562" s="51"/>
      <c r="F562" s="114" t="str">
        <f>IF(INDEX(I.Facility.P1IDNumber,550)="","",INDEX(I.Facility.P1IDNumber,550))</f>
        <v/>
      </c>
      <c r="G562" s="51"/>
      <c r="H562" s="46" t="str">
        <f>IF(AND(I.Developer.P1=TRUE,I.Facility.P1FacilityCount&gt;=550,F562=""),"Incomplete","Complete")</f>
        <v>Complete</v>
      </c>
      <c r="I562" s="48" t="s">
        <v>4927</v>
      </c>
    </row>
    <row r="563" spans="2:9" ht="15" customHeight="1" x14ac:dyDescent="0.25">
      <c r="B563" s="55" t="s">
        <v>279</v>
      </c>
      <c r="C563" s="46">
        <v>551</v>
      </c>
      <c r="D563" s="69" t="s">
        <v>29416</v>
      </c>
      <c r="E563" s="51"/>
      <c r="F563" s="114" t="str">
        <f>IF(INDEX(I.Facility.P1IDNumber,551)="","",INDEX(I.Facility.P1IDNumber,551))</f>
        <v/>
      </c>
      <c r="G563" s="51"/>
      <c r="H563" s="46" t="str">
        <f>IF(AND(I.Developer.P1=TRUE,I.Facility.P1FacilityCount&gt;=551,F563=""),"Incomplete","Complete")</f>
        <v>Complete</v>
      </c>
      <c r="I563" s="48" t="s">
        <v>4928</v>
      </c>
    </row>
    <row r="564" spans="2:9" ht="15" customHeight="1" x14ac:dyDescent="0.25">
      <c r="B564" s="55" t="s">
        <v>279</v>
      </c>
      <c r="C564" s="46">
        <v>552</v>
      </c>
      <c r="D564" s="69" t="s">
        <v>29416</v>
      </c>
      <c r="E564" s="51"/>
      <c r="F564" s="114" t="str">
        <f>IF(INDEX(I.Facility.P1IDNumber,552)="","",INDEX(I.Facility.P1IDNumber,552))</f>
        <v/>
      </c>
      <c r="G564" s="51"/>
      <c r="H564" s="46" t="str">
        <f>IF(AND(I.Developer.P1=TRUE,I.Facility.P1FacilityCount&gt;=552,F564=""),"Incomplete","Complete")</f>
        <v>Complete</v>
      </c>
      <c r="I564" s="48" t="s">
        <v>4929</v>
      </c>
    </row>
    <row r="565" spans="2:9" ht="15" customHeight="1" x14ac:dyDescent="0.25">
      <c r="B565" s="55" t="s">
        <v>279</v>
      </c>
      <c r="C565" s="46">
        <v>553</v>
      </c>
      <c r="D565" s="69" t="s">
        <v>29416</v>
      </c>
      <c r="E565" s="51"/>
      <c r="F565" s="114" t="str">
        <f>IF(INDEX(I.Facility.P1IDNumber,553)="","",INDEX(I.Facility.P1IDNumber,553))</f>
        <v/>
      </c>
      <c r="G565" s="51"/>
      <c r="H565" s="46" t="str">
        <f>IF(AND(I.Developer.P1=TRUE,I.Facility.P1FacilityCount&gt;=553,F565=""),"Incomplete","Complete")</f>
        <v>Complete</v>
      </c>
      <c r="I565" s="48" t="s">
        <v>4930</v>
      </c>
    </row>
    <row r="566" spans="2:9" ht="15" customHeight="1" x14ac:dyDescent="0.25">
      <c r="B566" s="55" t="s">
        <v>279</v>
      </c>
      <c r="C566" s="46">
        <v>554</v>
      </c>
      <c r="D566" s="69" t="s">
        <v>29416</v>
      </c>
      <c r="E566" s="51"/>
      <c r="F566" s="114" t="str">
        <f>IF(INDEX(I.Facility.P1IDNumber,554)="","",INDEX(I.Facility.P1IDNumber,554))</f>
        <v/>
      </c>
      <c r="G566" s="51"/>
      <c r="H566" s="46" t="str">
        <f>IF(AND(I.Developer.P1=TRUE,I.Facility.P1FacilityCount&gt;=554,F566=""),"Incomplete","Complete")</f>
        <v>Complete</v>
      </c>
      <c r="I566" s="48" t="s">
        <v>4931</v>
      </c>
    </row>
    <row r="567" spans="2:9" ht="15" customHeight="1" x14ac:dyDescent="0.25">
      <c r="B567" s="55" t="s">
        <v>279</v>
      </c>
      <c r="C567" s="46">
        <v>555</v>
      </c>
      <c r="D567" s="69" t="s">
        <v>29416</v>
      </c>
      <c r="E567" s="51"/>
      <c r="F567" s="114" t="str">
        <f>IF(INDEX(I.Facility.P1IDNumber,555)="","",INDEX(I.Facility.P1IDNumber,555))</f>
        <v/>
      </c>
      <c r="G567" s="51"/>
      <c r="H567" s="46" t="str">
        <f>IF(AND(I.Developer.P1=TRUE,I.Facility.P1FacilityCount&gt;=555,F567=""),"Incomplete","Complete")</f>
        <v>Complete</v>
      </c>
      <c r="I567" s="48" t="s">
        <v>4932</v>
      </c>
    </row>
    <row r="568" spans="2:9" ht="15" customHeight="1" x14ac:dyDescent="0.25">
      <c r="B568" s="55" t="s">
        <v>279</v>
      </c>
      <c r="C568" s="46">
        <v>556</v>
      </c>
      <c r="D568" s="69" t="s">
        <v>29416</v>
      </c>
      <c r="E568" s="51"/>
      <c r="F568" s="114" t="str">
        <f>IF(INDEX(I.Facility.P1IDNumber,556)="","",INDEX(I.Facility.P1IDNumber,556))</f>
        <v/>
      </c>
      <c r="G568" s="51"/>
      <c r="H568" s="46" t="str">
        <f>IF(AND(I.Developer.P1=TRUE,I.Facility.P1FacilityCount&gt;=556,F568=""),"Incomplete","Complete")</f>
        <v>Complete</v>
      </c>
      <c r="I568" s="48" t="s">
        <v>4933</v>
      </c>
    </row>
    <row r="569" spans="2:9" ht="15" customHeight="1" x14ac:dyDescent="0.25">
      <c r="B569" s="55" t="s">
        <v>279</v>
      </c>
      <c r="C569" s="46">
        <v>557</v>
      </c>
      <c r="D569" s="69" t="s">
        <v>29416</v>
      </c>
      <c r="E569" s="51"/>
      <c r="F569" s="114" t="str">
        <f>IF(INDEX(I.Facility.P1IDNumber,557)="","",INDEX(I.Facility.P1IDNumber,557))</f>
        <v/>
      </c>
      <c r="G569" s="51"/>
      <c r="H569" s="46" t="str">
        <f>IF(AND(I.Developer.P1=TRUE,I.Facility.P1FacilityCount&gt;=557,F569=""),"Incomplete","Complete")</f>
        <v>Complete</v>
      </c>
      <c r="I569" s="48" t="s">
        <v>4934</v>
      </c>
    </row>
    <row r="570" spans="2:9" ht="15" customHeight="1" x14ac:dyDescent="0.25">
      <c r="B570" s="55" t="s">
        <v>279</v>
      </c>
      <c r="C570" s="46">
        <v>558</v>
      </c>
      <c r="D570" s="69" t="s">
        <v>29416</v>
      </c>
      <c r="E570" s="51"/>
      <c r="F570" s="114" t="str">
        <f>IF(INDEX(I.Facility.P1IDNumber,558)="","",INDEX(I.Facility.P1IDNumber,558))</f>
        <v/>
      </c>
      <c r="G570" s="51"/>
      <c r="H570" s="46" t="str">
        <f>IF(AND(I.Developer.P1=TRUE,I.Facility.P1FacilityCount&gt;=558,F570=""),"Incomplete","Complete")</f>
        <v>Complete</v>
      </c>
      <c r="I570" s="48" t="s">
        <v>4935</v>
      </c>
    </row>
    <row r="571" spans="2:9" ht="15" customHeight="1" x14ac:dyDescent="0.25">
      <c r="B571" s="55" t="s">
        <v>279</v>
      </c>
      <c r="C571" s="46">
        <v>559</v>
      </c>
      <c r="D571" s="69" t="s">
        <v>29416</v>
      </c>
      <c r="E571" s="51"/>
      <c r="F571" s="114" t="str">
        <f>IF(INDEX(I.Facility.P1IDNumber,559)="","",INDEX(I.Facility.P1IDNumber,559))</f>
        <v/>
      </c>
      <c r="G571" s="51"/>
      <c r="H571" s="46" t="str">
        <f>IF(AND(I.Developer.P1=TRUE,I.Facility.P1FacilityCount&gt;=559,F571=""),"Incomplete","Complete")</f>
        <v>Complete</v>
      </c>
      <c r="I571" s="48" t="s">
        <v>4936</v>
      </c>
    </row>
    <row r="572" spans="2:9" ht="15" customHeight="1" x14ac:dyDescent="0.25">
      <c r="B572" s="55" t="s">
        <v>279</v>
      </c>
      <c r="C572" s="46">
        <v>560</v>
      </c>
      <c r="D572" s="69" t="s">
        <v>29416</v>
      </c>
      <c r="E572" s="51"/>
      <c r="F572" s="114" t="str">
        <f>IF(INDEX(I.Facility.P1IDNumber,560)="","",INDEX(I.Facility.P1IDNumber,560))</f>
        <v/>
      </c>
      <c r="G572" s="51"/>
      <c r="H572" s="46" t="str">
        <f>IF(AND(I.Developer.P1=TRUE,I.Facility.P1FacilityCount&gt;=560,F572=""),"Incomplete","Complete")</f>
        <v>Complete</v>
      </c>
      <c r="I572" s="48" t="s">
        <v>4937</v>
      </c>
    </row>
    <row r="573" spans="2:9" ht="15" customHeight="1" x14ac:dyDescent="0.25">
      <c r="B573" s="55" t="s">
        <v>279</v>
      </c>
      <c r="C573" s="46">
        <v>561</v>
      </c>
      <c r="D573" s="69" t="s">
        <v>29416</v>
      </c>
      <c r="E573" s="51"/>
      <c r="F573" s="114" t="str">
        <f>IF(INDEX(I.Facility.P1IDNumber,561)="","",INDEX(I.Facility.P1IDNumber,561))</f>
        <v/>
      </c>
      <c r="G573" s="51"/>
      <c r="H573" s="46" t="str">
        <f>IF(AND(I.Developer.P1=TRUE,I.Facility.P1FacilityCount&gt;=561,F573=""),"Incomplete","Complete")</f>
        <v>Complete</v>
      </c>
      <c r="I573" s="48" t="s">
        <v>4938</v>
      </c>
    </row>
    <row r="574" spans="2:9" ht="15" customHeight="1" x14ac:dyDescent="0.25">
      <c r="B574" s="55" t="s">
        <v>279</v>
      </c>
      <c r="C574" s="46">
        <v>562</v>
      </c>
      <c r="D574" s="69" t="s">
        <v>29416</v>
      </c>
      <c r="E574" s="51"/>
      <c r="F574" s="114" t="str">
        <f>IF(INDEX(I.Facility.P1IDNumber,562)="","",INDEX(I.Facility.P1IDNumber,562))</f>
        <v/>
      </c>
      <c r="G574" s="51"/>
      <c r="H574" s="46" t="str">
        <f>IF(AND(I.Developer.P1=TRUE,I.Facility.P1FacilityCount&gt;=562,F574=""),"Incomplete","Complete")</f>
        <v>Complete</v>
      </c>
      <c r="I574" s="48" t="s">
        <v>4939</v>
      </c>
    </row>
    <row r="575" spans="2:9" ht="15" customHeight="1" x14ac:dyDescent="0.25">
      <c r="B575" s="55" t="s">
        <v>279</v>
      </c>
      <c r="C575" s="46">
        <v>563</v>
      </c>
      <c r="D575" s="69" t="s">
        <v>29416</v>
      </c>
      <c r="E575" s="51"/>
      <c r="F575" s="114" t="str">
        <f>IF(INDEX(I.Facility.P1IDNumber,563)="","",INDEX(I.Facility.P1IDNumber,563))</f>
        <v/>
      </c>
      <c r="G575" s="51"/>
      <c r="H575" s="46" t="str">
        <f>IF(AND(I.Developer.P1=TRUE,I.Facility.P1FacilityCount&gt;=563,F575=""),"Incomplete","Complete")</f>
        <v>Complete</v>
      </c>
      <c r="I575" s="48" t="s">
        <v>4940</v>
      </c>
    </row>
    <row r="576" spans="2:9" ht="15" customHeight="1" x14ac:dyDescent="0.25">
      <c r="B576" s="55" t="s">
        <v>279</v>
      </c>
      <c r="C576" s="46">
        <v>564</v>
      </c>
      <c r="D576" s="69" t="s">
        <v>29416</v>
      </c>
      <c r="E576" s="51"/>
      <c r="F576" s="114" t="str">
        <f>IF(INDEX(I.Facility.P1IDNumber,564)="","",INDEX(I.Facility.P1IDNumber,564))</f>
        <v/>
      </c>
      <c r="G576" s="51"/>
      <c r="H576" s="46" t="str">
        <f>IF(AND(I.Developer.P1=TRUE,I.Facility.P1FacilityCount&gt;=564,F576=""),"Incomplete","Complete")</f>
        <v>Complete</v>
      </c>
      <c r="I576" s="48" t="s">
        <v>4941</v>
      </c>
    </row>
    <row r="577" spans="2:9" ht="15" customHeight="1" x14ac:dyDescent="0.25">
      <c r="B577" s="55" t="s">
        <v>279</v>
      </c>
      <c r="C577" s="46">
        <v>565</v>
      </c>
      <c r="D577" s="69" t="s">
        <v>29416</v>
      </c>
      <c r="E577" s="51"/>
      <c r="F577" s="114" t="str">
        <f>IF(INDEX(I.Facility.P1IDNumber,565)="","",INDEX(I.Facility.P1IDNumber,565))</f>
        <v/>
      </c>
      <c r="G577" s="51"/>
      <c r="H577" s="46" t="str">
        <f>IF(AND(I.Developer.P1=TRUE,I.Facility.P1FacilityCount&gt;=565,F577=""),"Incomplete","Complete")</f>
        <v>Complete</v>
      </c>
      <c r="I577" s="48" t="s">
        <v>4942</v>
      </c>
    </row>
    <row r="578" spans="2:9" ht="15" customHeight="1" x14ac:dyDescent="0.25">
      <c r="B578" s="55" t="s">
        <v>279</v>
      </c>
      <c r="C578" s="46">
        <v>566</v>
      </c>
      <c r="D578" s="69" t="s">
        <v>29416</v>
      </c>
      <c r="E578" s="51"/>
      <c r="F578" s="114" t="str">
        <f>IF(INDEX(I.Facility.P1IDNumber,566)="","",INDEX(I.Facility.P1IDNumber,566))</f>
        <v/>
      </c>
      <c r="G578" s="51"/>
      <c r="H578" s="46" t="str">
        <f>IF(AND(I.Developer.P1=TRUE,I.Facility.P1FacilityCount&gt;=566,F578=""),"Incomplete","Complete")</f>
        <v>Complete</v>
      </c>
      <c r="I578" s="48" t="s">
        <v>4943</v>
      </c>
    </row>
    <row r="579" spans="2:9" ht="15" customHeight="1" x14ac:dyDescent="0.25">
      <c r="B579" s="55" t="s">
        <v>279</v>
      </c>
      <c r="C579" s="46">
        <v>567</v>
      </c>
      <c r="D579" s="69" t="s">
        <v>29416</v>
      </c>
      <c r="E579" s="51"/>
      <c r="F579" s="114" t="str">
        <f>IF(INDEX(I.Facility.P1IDNumber,567)="","",INDEX(I.Facility.P1IDNumber,567))</f>
        <v/>
      </c>
      <c r="G579" s="51"/>
      <c r="H579" s="46" t="str">
        <f>IF(AND(I.Developer.P1=TRUE,I.Facility.P1FacilityCount&gt;=567,F579=""),"Incomplete","Complete")</f>
        <v>Complete</v>
      </c>
      <c r="I579" s="48" t="s">
        <v>4944</v>
      </c>
    </row>
    <row r="580" spans="2:9" ht="15" customHeight="1" x14ac:dyDescent="0.25">
      <c r="B580" s="55" t="s">
        <v>279</v>
      </c>
      <c r="C580" s="46">
        <v>568</v>
      </c>
      <c r="D580" s="69" t="s">
        <v>29416</v>
      </c>
      <c r="E580" s="51"/>
      <c r="F580" s="114" t="str">
        <f>IF(INDEX(I.Facility.P1IDNumber,568)="","",INDEX(I.Facility.P1IDNumber,568))</f>
        <v/>
      </c>
      <c r="G580" s="51"/>
      <c r="H580" s="46" t="str">
        <f>IF(AND(I.Developer.P1=TRUE,I.Facility.P1FacilityCount&gt;=568,F580=""),"Incomplete","Complete")</f>
        <v>Complete</v>
      </c>
      <c r="I580" s="48" t="s">
        <v>4945</v>
      </c>
    </row>
    <row r="581" spans="2:9" ht="15" customHeight="1" x14ac:dyDescent="0.25">
      <c r="B581" s="55" t="s">
        <v>279</v>
      </c>
      <c r="C581" s="46">
        <v>569</v>
      </c>
      <c r="D581" s="69" t="s">
        <v>29416</v>
      </c>
      <c r="E581" s="51"/>
      <c r="F581" s="114" t="str">
        <f>IF(INDEX(I.Facility.P1IDNumber,569)="","",INDEX(I.Facility.P1IDNumber,569))</f>
        <v/>
      </c>
      <c r="G581" s="51"/>
      <c r="H581" s="46" t="str">
        <f>IF(AND(I.Developer.P1=TRUE,I.Facility.P1FacilityCount&gt;=569,F581=""),"Incomplete","Complete")</f>
        <v>Complete</v>
      </c>
      <c r="I581" s="48" t="s">
        <v>4946</v>
      </c>
    </row>
    <row r="582" spans="2:9" ht="15" customHeight="1" x14ac:dyDescent="0.25">
      <c r="B582" s="55" t="s">
        <v>279</v>
      </c>
      <c r="C582" s="46">
        <v>570</v>
      </c>
      <c r="D582" s="69" t="s">
        <v>29416</v>
      </c>
      <c r="E582" s="51"/>
      <c r="F582" s="114" t="str">
        <f>IF(INDEX(I.Facility.P1IDNumber,570)="","",INDEX(I.Facility.P1IDNumber,570))</f>
        <v/>
      </c>
      <c r="G582" s="51"/>
      <c r="H582" s="46" t="str">
        <f>IF(AND(I.Developer.P1=TRUE,I.Facility.P1FacilityCount&gt;=570,F582=""),"Incomplete","Complete")</f>
        <v>Complete</v>
      </c>
      <c r="I582" s="48" t="s">
        <v>4947</v>
      </c>
    </row>
    <row r="583" spans="2:9" ht="15" customHeight="1" x14ac:dyDescent="0.25">
      <c r="B583" s="55" t="s">
        <v>279</v>
      </c>
      <c r="C583" s="46">
        <v>571</v>
      </c>
      <c r="D583" s="69" t="s">
        <v>29416</v>
      </c>
      <c r="E583" s="51"/>
      <c r="F583" s="114" t="str">
        <f>IF(INDEX(I.Facility.P1IDNumber,571)="","",INDEX(I.Facility.P1IDNumber,571))</f>
        <v/>
      </c>
      <c r="G583" s="51"/>
      <c r="H583" s="46" t="str">
        <f>IF(AND(I.Developer.P1=TRUE,I.Facility.P1FacilityCount&gt;=571,F583=""),"Incomplete","Complete")</f>
        <v>Complete</v>
      </c>
      <c r="I583" s="48" t="s">
        <v>4948</v>
      </c>
    </row>
    <row r="584" spans="2:9" ht="15" customHeight="1" x14ac:dyDescent="0.25">
      <c r="B584" s="55" t="s">
        <v>279</v>
      </c>
      <c r="C584" s="46">
        <v>572</v>
      </c>
      <c r="D584" s="69" t="s">
        <v>29416</v>
      </c>
      <c r="E584" s="51"/>
      <c r="F584" s="114" t="str">
        <f>IF(INDEX(I.Facility.P1IDNumber,572)="","",INDEX(I.Facility.P1IDNumber,572))</f>
        <v/>
      </c>
      <c r="G584" s="51"/>
      <c r="H584" s="46" t="str">
        <f>IF(AND(I.Developer.P1=TRUE,I.Facility.P1FacilityCount&gt;=572,F584=""),"Incomplete","Complete")</f>
        <v>Complete</v>
      </c>
      <c r="I584" s="48" t="s">
        <v>4949</v>
      </c>
    </row>
    <row r="585" spans="2:9" ht="15" customHeight="1" x14ac:dyDescent="0.25">
      <c r="B585" s="55" t="s">
        <v>279</v>
      </c>
      <c r="C585" s="46">
        <v>573</v>
      </c>
      <c r="D585" s="69" t="s">
        <v>29416</v>
      </c>
      <c r="E585" s="51"/>
      <c r="F585" s="114" t="str">
        <f>IF(INDEX(I.Facility.P1IDNumber,573)="","",INDEX(I.Facility.P1IDNumber,573))</f>
        <v/>
      </c>
      <c r="G585" s="51"/>
      <c r="H585" s="46" t="str">
        <f>IF(AND(I.Developer.P1=TRUE,I.Facility.P1FacilityCount&gt;=573,F585=""),"Incomplete","Complete")</f>
        <v>Complete</v>
      </c>
      <c r="I585" s="48" t="s">
        <v>4950</v>
      </c>
    </row>
    <row r="586" spans="2:9" ht="15" customHeight="1" x14ac:dyDescent="0.25">
      <c r="B586" s="55" t="s">
        <v>279</v>
      </c>
      <c r="C586" s="46">
        <v>574</v>
      </c>
      <c r="D586" s="69" t="s">
        <v>29416</v>
      </c>
      <c r="E586" s="51"/>
      <c r="F586" s="114" t="str">
        <f>IF(INDEX(I.Facility.P1IDNumber,574)="","",INDEX(I.Facility.P1IDNumber,574))</f>
        <v/>
      </c>
      <c r="G586" s="51"/>
      <c r="H586" s="46" t="str">
        <f>IF(AND(I.Developer.P1=TRUE,I.Facility.P1FacilityCount&gt;=574,F586=""),"Incomplete","Complete")</f>
        <v>Complete</v>
      </c>
      <c r="I586" s="48" t="s">
        <v>4951</v>
      </c>
    </row>
    <row r="587" spans="2:9" ht="15" customHeight="1" x14ac:dyDescent="0.25">
      <c r="B587" s="55" t="s">
        <v>279</v>
      </c>
      <c r="C587" s="46">
        <v>575</v>
      </c>
      <c r="D587" s="69" t="s">
        <v>29416</v>
      </c>
      <c r="E587" s="51"/>
      <c r="F587" s="114" t="str">
        <f>IF(INDEX(I.Facility.P1IDNumber,575)="","",INDEX(I.Facility.P1IDNumber,575))</f>
        <v/>
      </c>
      <c r="G587" s="51"/>
      <c r="H587" s="46" t="str">
        <f>IF(AND(I.Developer.P1=TRUE,I.Facility.P1FacilityCount&gt;=575,F587=""),"Incomplete","Complete")</f>
        <v>Complete</v>
      </c>
      <c r="I587" s="48" t="s">
        <v>4952</v>
      </c>
    </row>
    <row r="588" spans="2:9" ht="15" customHeight="1" x14ac:dyDescent="0.25">
      <c r="B588" s="55" t="s">
        <v>279</v>
      </c>
      <c r="C588" s="46">
        <v>576</v>
      </c>
      <c r="D588" s="69" t="s">
        <v>29416</v>
      </c>
      <c r="E588" s="51"/>
      <c r="F588" s="114" t="str">
        <f>IF(INDEX(I.Facility.P1IDNumber,576)="","",INDEX(I.Facility.P1IDNumber,576))</f>
        <v/>
      </c>
      <c r="G588" s="51"/>
      <c r="H588" s="46" t="str">
        <f>IF(AND(I.Developer.P1=TRUE,I.Facility.P1FacilityCount&gt;=576,F588=""),"Incomplete","Complete")</f>
        <v>Complete</v>
      </c>
      <c r="I588" s="48" t="s">
        <v>4953</v>
      </c>
    </row>
    <row r="589" spans="2:9" ht="15" customHeight="1" x14ac:dyDescent="0.25">
      <c r="B589" s="55" t="s">
        <v>279</v>
      </c>
      <c r="C589" s="46">
        <v>577</v>
      </c>
      <c r="D589" s="69" t="s">
        <v>29416</v>
      </c>
      <c r="E589" s="51"/>
      <c r="F589" s="114" t="str">
        <f>IF(INDEX(I.Facility.P1IDNumber,577)="","",INDEX(I.Facility.P1IDNumber,577))</f>
        <v/>
      </c>
      <c r="G589" s="51"/>
      <c r="H589" s="46" t="str">
        <f>IF(AND(I.Developer.P1=TRUE,I.Facility.P1FacilityCount&gt;=577,F589=""),"Incomplete","Complete")</f>
        <v>Complete</v>
      </c>
      <c r="I589" s="48" t="s">
        <v>4954</v>
      </c>
    </row>
    <row r="590" spans="2:9" ht="15" customHeight="1" x14ac:dyDescent="0.25">
      <c r="B590" s="55" t="s">
        <v>279</v>
      </c>
      <c r="C590" s="46">
        <v>578</v>
      </c>
      <c r="D590" s="69" t="s">
        <v>29416</v>
      </c>
      <c r="E590" s="51"/>
      <c r="F590" s="114" t="str">
        <f>IF(INDEX(I.Facility.P1IDNumber,578)="","",INDEX(I.Facility.P1IDNumber,578))</f>
        <v/>
      </c>
      <c r="G590" s="51"/>
      <c r="H590" s="46" t="str">
        <f>IF(AND(I.Developer.P1=TRUE,I.Facility.P1FacilityCount&gt;=578,F590=""),"Incomplete","Complete")</f>
        <v>Complete</v>
      </c>
      <c r="I590" s="48" t="s">
        <v>4955</v>
      </c>
    </row>
    <row r="591" spans="2:9" ht="15" customHeight="1" x14ac:dyDescent="0.25">
      <c r="B591" s="55" t="s">
        <v>279</v>
      </c>
      <c r="C591" s="46">
        <v>579</v>
      </c>
      <c r="D591" s="69" t="s">
        <v>29416</v>
      </c>
      <c r="E591" s="51"/>
      <c r="F591" s="114" t="str">
        <f>IF(INDEX(I.Facility.P1IDNumber,579)="","",INDEX(I.Facility.P1IDNumber,579))</f>
        <v/>
      </c>
      <c r="G591" s="51"/>
      <c r="H591" s="46" t="str">
        <f>IF(AND(I.Developer.P1=TRUE,I.Facility.P1FacilityCount&gt;=579,F591=""),"Incomplete","Complete")</f>
        <v>Complete</v>
      </c>
      <c r="I591" s="48" t="s">
        <v>4956</v>
      </c>
    </row>
    <row r="592" spans="2:9" ht="15" customHeight="1" x14ac:dyDescent="0.25">
      <c r="B592" s="55" t="s">
        <v>279</v>
      </c>
      <c r="C592" s="46">
        <v>580</v>
      </c>
      <c r="D592" s="69" t="s">
        <v>29416</v>
      </c>
      <c r="E592" s="51"/>
      <c r="F592" s="114" t="str">
        <f>IF(INDEX(I.Facility.P1IDNumber,580)="","",INDEX(I.Facility.P1IDNumber,580))</f>
        <v/>
      </c>
      <c r="G592" s="51"/>
      <c r="H592" s="46" t="str">
        <f>IF(AND(I.Developer.P1=TRUE,I.Facility.P1FacilityCount&gt;=580,F592=""),"Incomplete","Complete")</f>
        <v>Complete</v>
      </c>
      <c r="I592" s="48" t="s">
        <v>4957</v>
      </c>
    </row>
    <row r="593" spans="2:9" ht="15" customHeight="1" x14ac:dyDescent="0.25">
      <c r="B593" s="55" t="s">
        <v>279</v>
      </c>
      <c r="C593" s="46">
        <v>581</v>
      </c>
      <c r="D593" s="69" t="s">
        <v>29416</v>
      </c>
      <c r="E593" s="51"/>
      <c r="F593" s="114" t="str">
        <f>IF(INDEX(I.Facility.P1IDNumber,581)="","",INDEX(I.Facility.P1IDNumber,581))</f>
        <v/>
      </c>
      <c r="G593" s="51"/>
      <c r="H593" s="46" t="str">
        <f>IF(AND(I.Developer.P1=TRUE,I.Facility.P1FacilityCount&gt;=581,F593=""),"Incomplete","Complete")</f>
        <v>Complete</v>
      </c>
      <c r="I593" s="48" t="s">
        <v>4958</v>
      </c>
    </row>
    <row r="594" spans="2:9" ht="15" customHeight="1" x14ac:dyDescent="0.25">
      <c r="B594" s="55" t="s">
        <v>279</v>
      </c>
      <c r="C594" s="46">
        <v>582</v>
      </c>
      <c r="D594" s="69" t="s">
        <v>29416</v>
      </c>
      <c r="E594" s="51"/>
      <c r="F594" s="114" t="str">
        <f>IF(INDEX(I.Facility.P1IDNumber,582)="","",INDEX(I.Facility.P1IDNumber,582))</f>
        <v/>
      </c>
      <c r="G594" s="51"/>
      <c r="H594" s="46" t="str">
        <f>IF(AND(I.Developer.P1=TRUE,I.Facility.P1FacilityCount&gt;=582,F594=""),"Incomplete","Complete")</f>
        <v>Complete</v>
      </c>
      <c r="I594" s="48" t="s">
        <v>4959</v>
      </c>
    </row>
    <row r="595" spans="2:9" ht="15" customHeight="1" x14ac:dyDescent="0.25">
      <c r="B595" s="55" t="s">
        <v>279</v>
      </c>
      <c r="C595" s="46">
        <v>583</v>
      </c>
      <c r="D595" s="69" t="s">
        <v>29416</v>
      </c>
      <c r="E595" s="51"/>
      <c r="F595" s="114" t="str">
        <f>IF(INDEX(I.Facility.P1IDNumber,583)="","",INDEX(I.Facility.P1IDNumber,583))</f>
        <v/>
      </c>
      <c r="G595" s="51"/>
      <c r="H595" s="46" t="str">
        <f>IF(AND(I.Developer.P1=TRUE,I.Facility.P1FacilityCount&gt;=583,F595=""),"Incomplete","Complete")</f>
        <v>Complete</v>
      </c>
      <c r="I595" s="48" t="s">
        <v>4960</v>
      </c>
    </row>
    <row r="596" spans="2:9" ht="15" customHeight="1" x14ac:dyDescent="0.25">
      <c r="B596" s="55" t="s">
        <v>279</v>
      </c>
      <c r="C596" s="46">
        <v>584</v>
      </c>
      <c r="D596" s="69" t="s">
        <v>29416</v>
      </c>
      <c r="E596" s="51"/>
      <c r="F596" s="114" t="str">
        <f>IF(INDEX(I.Facility.P1IDNumber,584)="","",INDEX(I.Facility.P1IDNumber,584))</f>
        <v/>
      </c>
      <c r="G596" s="51"/>
      <c r="H596" s="46" t="str">
        <f>IF(AND(I.Developer.P1=TRUE,I.Facility.P1FacilityCount&gt;=584,F596=""),"Incomplete","Complete")</f>
        <v>Complete</v>
      </c>
      <c r="I596" s="48" t="s">
        <v>4961</v>
      </c>
    </row>
    <row r="597" spans="2:9" ht="15" customHeight="1" x14ac:dyDescent="0.25">
      <c r="B597" s="55" t="s">
        <v>279</v>
      </c>
      <c r="C597" s="46">
        <v>585</v>
      </c>
      <c r="D597" s="69" t="s">
        <v>29416</v>
      </c>
      <c r="E597" s="51"/>
      <c r="F597" s="114" t="str">
        <f>IF(INDEX(I.Facility.P1IDNumber,585)="","",INDEX(I.Facility.P1IDNumber,585))</f>
        <v/>
      </c>
      <c r="G597" s="51"/>
      <c r="H597" s="46" t="str">
        <f>IF(AND(I.Developer.P1=TRUE,I.Facility.P1FacilityCount&gt;=585,F597=""),"Incomplete","Complete")</f>
        <v>Complete</v>
      </c>
      <c r="I597" s="48" t="s">
        <v>4962</v>
      </c>
    </row>
    <row r="598" spans="2:9" ht="15" customHeight="1" x14ac:dyDescent="0.25">
      <c r="B598" s="55" t="s">
        <v>279</v>
      </c>
      <c r="C598" s="46">
        <v>586</v>
      </c>
      <c r="D598" s="69" t="s">
        <v>29416</v>
      </c>
      <c r="E598" s="51"/>
      <c r="F598" s="114" t="str">
        <f>IF(INDEX(I.Facility.P1IDNumber,586)="","",INDEX(I.Facility.P1IDNumber,586))</f>
        <v/>
      </c>
      <c r="G598" s="51"/>
      <c r="H598" s="46" t="str">
        <f>IF(AND(I.Developer.P1=TRUE,I.Facility.P1FacilityCount&gt;=586,F598=""),"Incomplete","Complete")</f>
        <v>Complete</v>
      </c>
      <c r="I598" s="48" t="s">
        <v>4963</v>
      </c>
    </row>
    <row r="599" spans="2:9" ht="15" customHeight="1" x14ac:dyDescent="0.25">
      <c r="B599" s="55" t="s">
        <v>279</v>
      </c>
      <c r="C599" s="46">
        <v>587</v>
      </c>
      <c r="D599" s="69" t="s">
        <v>29416</v>
      </c>
      <c r="E599" s="51"/>
      <c r="F599" s="114" t="str">
        <f>IF(INDEX(I.Facility.P1IDNumber,587)="","",INDEX(I.Facility.P1IDNumber,587))</f>
        <v/>
      </c>
      <c r="G599" s="51"/>
      <c r="H599" s="46" t="str">
        <f>IF(AND(I.Developer.P1=TRUE,I.Facility.P1FacilityCount&gt;=587,F599=""),"Incomplete","Complete")</f>
        <v>Complete</v>
      </c>
      <c r="I599" s="48" t="s">
        <v>4964</v>
      </c>
    </row>
    <row r="600" spans="2:9" ht="15" customHeight="1" x14ac:dyDescent="0.25">
      <c r="B600" s="55" t="s">
        <v>279</v>
      </c>
      <c r="C600" s="46">
        <v>588</v>
      </c>
      <c r="D600" s="69" t="s">
        <v>29416</v>
      </c>
      <c r="E600" s="51"/>
      <c r="F600" s="114" t="str">
        <f>IF(INDEX(I.Facility.P1IDNumber,588)="","",INDEX(I.Facility.P1IDNumber,588))</f>
        <v/>
      </c>
      <c r="G600" s="51"/>
      <c r="H600" s="46" t="str">
        <f>IF(AND(I.Developer.P1=TRUE,I.Facility.P1FacilityCount&gt;=588,F600=""),"Incomplete","Complete")</f>
        <v>Complete</v>
      </c>
      <c r="I600" s="48" t="s">
        <v>4965</v>
      </c>
    </row>
    <row r="601" spans="2:9" ht="15" customHeight="1" x14ac:dyDescent="0.25">
      <c r="B601" s="55" t="s">
        <v>279</v>
      </c>
      <c r="C601" s="46">
        <v>589</v>
      </c>
      <c r="D601" s="69" t="s">
        <v>29416</v>
      </c>
      <c r="E601" s="51"/>
      <c r="F601" s="114" t="str">
        <f>IF(INDEX(I.Facility.P1IDNumber,589)="","",INDEX(I.Facility.P1IDNumber,589))</f>
        <v/>
      </c>
      <c r="G601" s="51"/>
      <c r="H601" s="46" t="str">
        <f>IF(AND(I.Developer.P1=TRUE,I.Facility.P1FacilityCount&gt;=589,F601=""),"Incomplete","Complete")</f>
        <v>Complete</v>
      </c>
      <c r="I601" s="48" t="s">
        <v>4966</v>
      </c>
    </row>
    <row r="602" spans="2:9" ht="15" customHeight="1" x14ac:dyDescent="0.25">
      <c r="B602" s="55" t="s">
        <v>279</v>
      </c>
      <c r="C602" s="46">
        <v>590</v>
      </c>
      <c r="D602" s="69" t="s">
        <v>29416</v>
      </c>
      <c r="E602" s="51"/>
      <c r="F602" s="114" t="str">
        <f>IF(INDEX(I.Facility.P1IDNumber,590)="","",INDEX(I.Facility.P1IDNumber,590))</f>
        <v/>
      </c>
      <c r="G602" s="51"/>
      <c r="H602" s="46" t="str">
        <f>IF(AND(I.Developer.P1=TRUE,I.Facility.P1FacilityCount&gt;=590,F602=""),"Incomplete","Complete")</f>
        <v>Complete</v>
      </c>
      <c r="I602" s="48" t="s">
        <v>4967</v>
      </c>
    </row>
    <row r="603" spans="2:9" ht="15" customHeight="1" x14ac:dyDescent="0.25">
      <c r="B603" s="55" t="s">
        <v>279</v>
      </c>
      <c r="C603" s="46">
        <v>591</v>
      </c>
      <c r="D603" s="69" t="s">
        <v>29416</v>
      </c>
      <c r="E603" s="51"/>
      <c r="F603" s="114" t="str">
        <f>IF(INDEX(I.Facility.P1IDNumber,591)="","",INDEX(I.Facility.P1IDNumber,591))</f>
        <v/>
      </c>
      <c r="G603" s="51"/>
      <c r="H603" s="46" t="str">
        <f>IF(AND(I.Developer.P1=TRUE,I.Facility.P1FacilityCount&gt;=591,F603=""),"Incomplete","Complete")</f>
        <v>Complete</v>
      </c>
      <c r="I603" s="48" t="s">
        <v>4968</v>
      </c>
    </row>
    <row r="604" spans="2:9" ht="15" customHeight="1" x14ac:dyDescent="0.25">
      <c r="B604" s="55" t="s">
        <v>279</v>
      </c>
      <c r="C604" s="46">
        <v>592</v>
      </c>
      <c r="D604" s="69" t="s">
        <v>29416</v>
      </c>
      <c r="E604" s="51"/>
      <c r="F604" s="114" t="str">
        <f>IF(INDEX(I.Facility.P1IDNumber,592)="","",INDEX(I.Facility.P1IDNumber,592))</f>
        <v/>
      </c>
      <c r="G604" s="51"/>
      <c r="H604" s="46" t="str">
        <f>IF(AND(I.Developer.P1=TRUE,I.Facility.P1FacilityCount&gt;=592,F604=""),"Incomplete","Complete")</f>
        <v>Complete</v>
      </c>
      <c r="I604" s="48" t="s">
        <v>4969</v>
      </c>
    </row>
    <row r="605" spans="2:9" ht="15" customHeight="1" x14ac:dyDescent="0.25">
      <c r="B605" s="55" t="s">
        <v>279</v>
      </c>
      <c r="C605" s="46">
        <v>593</v>
      </c>
      <c r="D605" s="69" t="s">
        <v>29416</v>
      </c>
      <c r="E605" s="51"/>
      <c r="F605" s="114" t="str">
        <f>IF(INDEX(I.Facility.P1IDNumber,593)="","",INDEX(I.Facility.P1IDNumber,593))</f>
        <v/>
      </c>
      <c r="G605" s="51"/>
      <c r="H605" s="46" t="str">
        <f>IF(AND(I.Developer.P1=TRUE,I.Facility.P1FacilityCount&gt;=593,F605=""),"Incomplete","Complete")</f>
        <v>Complete</v>
      </c>
      <c r="I605" s="48" t="s">
        <v>4970</v>
      </c>
    </row>
    <row r="606" spans="2:9" ht="15" customHeight="1" x14ac:dyDescent="0.25">
      <c r="B606" s="55" t="s">
        <v>279</v>
      </c>
      <c r="C606" s="46">
        <v>594</v>
      </c>
      <c r="D606" s="69" t="s">
        <v>29416</v>
      </c>
      <c r="E606" s="51"/>
      <c r="F606" s="114" t="str">
        <f>IF(INDEX(I.Facility.P1IDNumber,594)="","",INDEX(I.Facility.P1IDNumber,594))</f>
        <v/>
      </c>
      <c r="G606" s="51"/>
      <c r="H606" s="46" t="str">
        <f>IF(AND(I.Developer.P1=TRUE,I.Facility.P1FacilityCount&gt;=594,F606=""),"Incomplete","Complete")</f>
        <v>Complete</v>
      </c>
      <c r="I606" s="48" t="s">
        <v>4971</v>
      </c>
    </row>
    <row r="607" spans="2:9" ht="15" customHeight="1" x14ac:dyDescent="0.25">
      <c r="B607" s="55" t="s">
        <v>279</v>
      </c>
      <c r="C607" s="46">
        <v>595</v>
      </c>
      <c r="D607" s="69" t="s">
        <v>29416</v>
      </c>
      <c r="E607" s="51"/>
      <c r="F607" s="114" t="str">
        <f>IF(INDEX(I.Facility.P1IDNumber,595)="","",INDEX(I.Facility.P1IDNumber,595))</f>
        <v/>
      </c>
      <c r="G607" s="51"/>
      <c r="H607" s="46" t="str">
        <f>IF(AND(I.Developer.P1=TRUE,I.Facility.P1FacilityCount&gt;=595,F607=""),"Incomplete","Complete")</f>
        <v>Complete</v>
      </c>
      <c r="I607" s="48" t="s">
        <v>4972</v>
      </c>
    </row>
    <row r="608" spans="2:9" ht="15" customHeight="1" x14ac:dyDescent="0.25">
      <c r="B608" s="55" t="s">
        <v>279</v>
      </c>
      <c r="C608" s="46">
        <v>596</v>
      </c>
      <c r="D608" s="69" t="s">
        <v>29416</v>
      </c>
      <c r="E608" s="51"/>
      <c r="F608" s="114" t="str">
        <f>IF(INDEX(I.Facility.P1IDNumber,596)="","",INDEX(I.Facility.P1IDNumber,596))</f>
        <v/>
      </c>
      <c r="G608" s="51"/>
      <c r="H608" s="46" t="str">
        <f>IF(AND(I.Developer.P1=TRUE,I.Facility.P1FacilityCount&gt;=596,F608=""),"Incomplete","Complete")</f>
        <v>Complete</v>
      </c>
      <c r="I608" s="48" t="s">
        <v>4973</v>
      </c>
    </row>
    <row r="609" spans="2:9" ht="15" customHeight="1" x14ac:dyDescent="0.25">
      <c r="B609" s="55" t="s">
        <v>279</v>
      </c>
      <c r="C609" s="46">
        <v>597</v>
      </c>
      <c r="D609" s="69" t="s">
        <v>29416</v>
      </c>
      <c r="E609" s="51"/>
      <c r="F609" s="114" t="str">
        <f>IF(INDEX(I.Facility.P1IDNumber,597)="","",INDEX(I.Facility.P1IDNumber,597))</f>
        <v/>
      </c>
      <c r="G609" s="51"/>
      <c r="H609" s="46" t="str">
        <f>IF(AND(I.Developer.P1=TRUE,I.Facility.P1FacilityCount&gt;=597,F609=""),"Incomplete","Complete")</f>
        <v>Complete</v>
      </c>
      <c r="I609" s="48" t="s">
        <v>4974</v>
      </c>
    </row>
    <row r="610" spans="2:9" ht="15" customHeight="1" x14ac:dyDescent="0.25">
      <c r="B610" s="55" t="s">
        <v>279</v>
      </c>
      <c r="C610" s="46">
        <v>598</v>
      </c>
      <c r="D610" s="69" t="s">
        <v>29416</v>
      </c>
      <c r="E610" s="51"/>
      <c r="F610" s="114" t="str">
        <f>IF(INDEX(I.Facility.P1IDNumber,598)="","",INDEX(I.Facility.P1IDNumber,598))</f>
        <v/>
      </c>
      <c r="G610" s="51"/>
      <c r="H610" s="46" t="str">
        <f>IF(AND(I.Developer.P1=TRUE,I.Facility.P1FacilityCount&gt;=598,F610=""),"Incomplete","Complete")</f>
        <v>Complete</v>
      </c>
      <c r="I610" s="48" t="s">
        <v>4975</v>
      </c>
    </row>
    <row r="611" spans="2:9" ht="15" customHeight="1" x14ac:dyDescent="0.25">
      <c r="B611" s="55" t="s">
        <v>279</v>
      </c>
      <c r="C611" s="46">
        <v>599</v>
      </c>
      <c r="D611" s="69" t="s">
        <v>29416</v>
      </c>
      <c r="E611" s="51"/>
      <c r="F611" s="114" t="str">
        <f>IF(INDEX(I.Facility.P1IDNumber,599)="","",INDEX(I.Facility.P1IDNumber,599))</f>
        <v/>
      </c>
      <c r="G611" s="51"/>
      <c r="H611" s="46" t="str">
        <f>IF(AND(I.Developer.P1=TRUE,I.Facility.P1FacilityCount&gt;=599,F611=""),"Incomplete","Complete")</f>
        <v>Complete</v>
      </c>
      <c r="I611" s="48" t="s">
        <v>4976</v>
      </c>
    </row>
    <row r="612" spans="2:9" ht="15" customHeight="1" x14ac:dyDescent="0.25">
      <c r="B612" s="55" t="s">
        <v>279</v>
      </c>
      <c r="C612" s="46">
        <v>600</v>
      </c>
      <c r="D612" s="69" t="s">
        <v>29416</v>
      </c>
      <c r="E612" s="51"/>
      <c r="F612" s="114" t="str">
        <f>IF(INDEX(I.Facility.P1IDNumber,600)="","",INDEX(I.Facility.P1IDNumber,600))</f>
        <v/>
      </c>
      <c r="G612" s="51"/>
      <c r="H612" s="46" t="str">
        <f>IF(AND(I.Developer.P1=TRUE,I.Facility.P1FacilityCount&gt;=600,F612=""),"Incomplete","Complete")</f>
        <v>Complete</v>
      </c>
      <c r="I612" s="48" t="s">
        <v>4977</v>
      </c>
    </row>
    <row r="613" spans="2:9" ht="15" customHeight="1" x14ac:dyDescent="0.25">
      <c r="B613" s="55" t="s">
        <v>279</v>
      </c>
      <c r="C613" s="46">
        <v>601</v>
      </c>
      <c r="D613" s="69" t="s">
        <v>29416</v>
      </c>
      <c r="E613" s="51"/>
      <c r="F613" s="114" t="str">
        <f>IF(INDEX(I.Facility.P1IDNumber,601)="","",INDEX(I.Facility.P1IDNumber,601))</f>
        <v/>
      </c>
      <c r="G613" s="51"/>
      <c r="H613" s="46" t="str">
        <f>IF(AND(I.Developer.P1=TRUE,I.Facility.P1FacilityCount&gt;=601,F613=""),"Incomplete","Complete")</f>
        <v>Complete</v>
      </c>
      <c r="I613" s="48" t="s">
        <v>4978</v>
      </c>
    </row>
    <row r="614" spans="2:9" ht="15" customHeight="1" x14ac:dyDescent="0.25">
      <c r="B614" s="55" t="s">
        <v>279</v>
      </c>
      <c r="C614" s="46">
        <v>602</v>
      </c>
      <c r="D614" s="69" t="s">
        <v>29416</v>
      </c>
      <c r="E614" s="51"/>
      <c r="F614" s="114" t="str">
        <f>IF(INDEX(I.Facility.P1IDNumber,602)="","",INDEX(I.Facility.P1IDNumber,602))</f>
        <v/>
      </c>
      <c r="G614" s="51"/>
      <c r="H614" s="46" t="str">
        <f>IF(AND(I.Developer.P1=TRUE,I.Facility.P1FacilityCount&gt;=602,F614=""),"Incomplete","Complete")</f>
        <v>Complete</v>
      </c>
      <c r="I614" s="48" t="s">
        <v>4979</v>
      </c>
    </row>
    <row r="615" spans="2:9" ht="15" customHeight="1" x14ac:dyDescent="0.25">
      <c r="B615" s="55" t="s">
        <v>279</v>
      </c>
      <c r="C615" s="46">
        <v>603</v>
      </c>
      <c r="D615" s="69" t="s">
        <v>29416</v>
      </c>
      <c r="E615" s="51"/>
      <c r="F615" s="114" t="str">
        <f>IF(INDEX(I.Facility.P1IDNumber,603)="","",INDEX(I.Facility.P1IDNumber,603))</f>
        <v/>
      </c>
      <c r="G615" s="51"/>
      <c r="H615" s="46" t="str">
        <f>IF(AND(I.Developer.P1=TRUE,I.Facility.P1FacilityCount&gt;=603,F615=""),"Incomplete","Complete")</f>
        <v>Complete</v>
      </c>
      <c r="I615" s="48" t="s">
        <v>4980</v>
      </c>
    </row>
    <row r="616" spans="2:9" ht="15" customHeight="1" x14ac:dyDescent="0.25">
      <c r="B616" s="55" t="s">
        <v>279</v>
      </c>
      <c r="C616" s="46">
        <v>604</v>
      </c>
      <c r="D616" s="69" t="s">
        <v>29416</v>
      </c>
      <c r="E616" s="51"/>
      <c r="F616" s="114" t="str">
        <f>IF(INDEX(I.Facility.P1IDNumber,604)="","",INDEX(I.Facility.P1IDNumber,604))</f>
        <v/>
      </c>
      <c r="G616" s="51"/>
      <c r="H616" s="46" t="str">
        <f>IF(AND(I.Developer.P1=TRUE,I.Facility.P1FacilityCount&gt;=604,F616=""),"Incomplete","Complete")</f>
        <v>Complete</v>
      </c>
      <c r="I616" s="48" t="s">
        <v>4981</v>
      </c>
    </row>
    <row r="617" spans="2:9" ht="15" customHeight="1" x14ac:dyDescent="0.25">
      <c r="B617" s="55" t="s">
        <v>279</v>
      </c>
      <c r="C617" s="46">
        <v>605</v>
      </c>
      <c r="D617" s="69" t="s">
        <v>29416</v>
      </c>
      <c r="E617" s="51"/>
      <c r="F617" s="114" t="str">
        <f>IF(INDEX(I.Facility.P1IDNumber,605)="","",INDEX(I.Facility.P1IDNumber,605))</f>
        <v/>
      </c>
      <c r="G617" s="51"/>
      <c r="H617" s="46" t="str">
        <f>IF(AND(I.Developer.P1=TRUE,I.Facility.P1FacilityCount&gt;=605,F617=""),"Incomplete","Complete")</f>
        <v>Complete</v>
      </c>
      <c r="I617" s="48" t="s">
        <v>4982</v>
      </c>
    </row>
    <row r="618" spans="2:9" ht="15" customHeight="1" x14ac:dyDescent="0.25">
      <c r="B618" s="55" t="s">
        <v>279</v>
      </c>
      <c r="C618" s="46">
        <v>606</v>
      </c>
      <c r="D618" s="69" t="s">
        <v>29416</v>
      </c>
      <c r="E618" s="51"/>
      <c r="F618" s="114" t="str">
        <f>IF(INDEX(I.Facility.P1IDNumber,606)="","",INDEX(I.Facility.P1IDNumber,606))</f>
        <v/>
      </c>
      <c r="G618" s="51"/>
      <c r="H618" s="46" t="str">
        <f>IF(AND(I.Developer.P1=TRUE,I.Facility.P1FacilityCount&gt;=606,F618=""),"Incomplete","Complete")</f>
        <v>Complete</v>
      </c>
      <c r="I618" s="48" t="s">
        <v>4983</v>
      </c>
    </row>
    <row r="619" spans="2:9" ht="15" customHeight="1" x14ac:dyDescent="0.25">
      <c r="B619" s="55" t="s">
        <v>279</v>
      </c>
      <c r="C619" s="46">
        <v>607</v>
      </c>
      <c r="D619" s="69" t="s">
        <v>29416</v>
      </c>
      <c r="E619" s="51"/>
      <c r="F619" s="114" t="str">
        <f>IF(INDEX(I.Facility.P1IDNumber,607)="","",INDEX(I.Facility.P1IDNumber,607))</f>
        <v/>
      </c>
      <c r="G619" s="51"/>
      <c r="H619" s="46" t="str">
        <f>IF(AND(I.Developer.P1=TRUE,I.Facility.P1FacilityCount&gt;=607,F619=""),"Incomplete","Complete")</f>
        <v>Complete</v>
      </c>
      <c r="I619" s="48" t="s">
        <v>4984</v>
      </c>
    </row>
    <row r="620" spans="2:9" ht="15" customHeight="1" x14ac:dyDescent="0.25">
      <c r="B620" s="55" t="s">
        <v>279</v>
      </c>
      <c r="C620" s="46">
        <v>608</v>
      </c>
      <c r="D620" s="69" t="s">
        <v>29416</v>
      </c>
      <c r="E620" s="51"/>
      <c r="F620" s="114" t="str">
        <f>IF(INDEX(I.Facility.P1IDNumber,608)="","",INDEX(I.Facility.P1IDNumber,608))</f>
        <v/>
      </c>
      <c r="G620" s="51"/>
      <c r="H620" s="46" t="str">
        <f>IF(AND(I.Developer.P1=TRUE,I.Facility.P1FacilityCount&gt;=608,F620=""),"Incomplete","Complete")</f>
        <v>Complete</v>
      </c>
      <c r="I620" s="48" t="s">
        <v>4985</v>
      </c>
    </row>
    <row r="621" spans="2:9" ht="15" customHeight="1" x14ac:dyDescent="0.25">
      <c r="B621" s="55" t="s">
        <v>279</v>
      </c>
      <c r="C621" s="46">
        <v>609</v>
      </c>
      <c r="D621" s="69" t="s">
        <v>29416</v>
      </c>
      <c r="E621" s="51"/>
      <c r="F621" s="114" t="str">
        <f>IF(INDEX(I.Facility.P1IDNumber,609)="","",INDEX(I.Facility.P1IDNumber,609))</f>
        <v/>
      </c>
      <c r="G621" s="51"/>
      <c r="H621" s="46" t="str">
        <f>IF(AND(I.Developer.P1=TRUE,I.Facility.P1FacilityCount&gt;=609,F621=""),"Incomplete","Complete")</f>
        <v>Complete</v>
      </c>
      <c r="I621" s="48" t="s">
        <v>4986</v>
      </c>
    </row>
    <row r="622" spans="2:9" ht="15" customHeight="1" x14ac:dyDescent="0.25">
      <c r="B622" s="55" t="s">
        <v>279</v>
      </c>
      <c r="C622" s="46">
        <v>610</v>
      </c>
      <c r="D622" s="69" t="s">
        <v>29416</v>
      </c>
      <c r="E622" s="51"/>
      <c r="F622" s="114" t="str">
        <f>IF(INDEX(I.Facility.P1IDNumber,610)="","",INDEX(I.Facility.P1IDNumber,610))</f>
        <v/>
      </c>
      <c r="G622" s="51"/>
      <c r="H622" s="46" t="str">
        <f>IF(AND(I.Developer.P1=TRUE,I.Facility.P1FacilityCount&gt;=610,F622=""),"Incomplete","Complete")</f>
        <v>Complete</v>
      </c>
      <c r="I622" s="48" t="s">
        <v>4987</v>
      </c>
    </row>
    <row r="623" spans="2:9" ht="15" customHeight="1" x14ac:dyDescent="0.25">
      <c r="B623" s="55" t="s">
        <v>279</v>
      </c>
      <c r="C623" s="46">
        <v>611</v>
      </c>
      <c r="D623" s="69" t="s">
        <v>29416</v>
      </c>
      <c r="E623" s="51"/>
      <c r="F623" s="114" t="str">
        <f>IF(INDEX(I.Facility.P1IDNumber,611)="","",INDEX(I.Facility.P1IDNumber,611))</f>
        <v/>
      </c>
      <c r="G623" s="51"/>
      <c r="H623" s="46" t="str">
        <f>IF(AND(I.Developer.P1=TRUE,I.Facility.P1FacilityCount&gt;=611,F623=""),"Incomplete","Complete")</f>
        <v>Complete</v>
      </c>
      <c r="I623" s="48" t="s">
        <v>4988</v>
      </c>
    </row>
    <row r="624" spans="2:9" ht="15" customHeight="1" x14ac:dyDescent="0.25">
      <c r="B624" s="55" t="s">
        <v>279</v>
      </c>
      <c r="C624" s="46">
        <v>612</v>
      </c>
      <c r="D624" s="69" t="s">
        <v>29416</v>
      </c>
      <c r="E624" s="51"/>
      <c r="F624" s="114" t="str">
        <f>IF(INDEX(I.Facility.P1IDNumber,612)="","",INDEX(I.Facility.P1IDNumber,612))</f>
        <v/>
      </c>
      <c r="G624" s="51"/>
      <c r="H624" s="46" t="str">
        <f>IF(AND(I.Developer.P1=TRUE,I.Facility.P1FacilityCount&gt;=612,F624=""),"Incomplete","Complete")</f>
        <v>Complete</v>
      </c>
      <c r="I624" s="48" t="s">
        <v>4989</v>
      </c>
    </row>
    <row r="625" spans="2:9" ht="15" customHeight="1" x14ac:dyDescent="0.25">
      <c r="B625" s="55" t="s">
        <v>279</v>
      </c>
      <c r="C625" s="46">
        <v>613</v>
      </c>
      <c r="D625" s="69" t="s">
        <v>29416</v>
      </c>
      <c r="E625" s="51"/>
      <c r="F625" s="114" t="str">
        <f>IF(INDEX(I.Facility.P1IDNumber,613)="","",INDEX(I.Facility.P1IDNumber,613))</f>
        <v/>
      </c>
      <c r="G625" s="51"/>
      <c r="H625" s="46" t="str">
        <f>IF(AND(I.Developer.P1=TRUE,I.Facility.P1FacilityCount&gt;=613,F625=""),"Incomplete","Complete")</f>
        <v>Complete</v>
      </c>
      <c r="I625" s="48" t="s">
        <v>4990</v>
      </c>
    </row>
    <row r="626" spans="2:9" ht="15" customHeight="1" x14ac:dyDescent="0.25">
      <c r="B626" s="55" t="s">
        <v>279</v>
      </c>
      <c r="C626" s="46">
        <v>614</v>
      </c>
      <c r="D626" s="69" t="s">
        <v>29416</v>
      </c>
      <c r="E626" s="51"/>
      <c r="F626" s="114" t="str">
        <f>IF(INDEX(I.Facility.P1IDNumber,614)="","",INDEX(I.Facility.P1IDNumber,614))</f>
        <v/>
      </c>
      <c r="G626" s="51"/>
      <c r="H626" s="46" t="str">
        <f>IF(AND(I.Developer.P1=TRUE,I.Facility.P1FacilityCount&gt;=614,F626=""),"Incomplete","Complete")</f>
        <v>Complete</v>
      </c>
      <c r="I626" s="48" t="s">
        <v>4991</v>
      </c>
    </row>
    <row r="627" spans="2:9" ht="15" customHeight="1" x14ac:dyDescent="0.25">
      <c r="B627" s="55" t="s">
        <v>279</v>
      </c>
      <c r="C627" s="46">
        <v>615</v>
      </c>
      <c r="D627" s="69" t="s">
        <v>29416</v>
      </c>
      <c r="E627" s="51"/>
      <c r="F627" s="114" t="str">
        <f>IF(INDEX(I.Facility.P1IDNumber,615)="","",INDEX(I.Facility.P1IDNumber,615))</f>
        <v/>
      </c>
      <c r="G627" s="51"/>
      <c r="H627" s="46" t="str">
        <f>IF(AND(I.Developer.P1=TRUE,I.Facility.P1FacilityCount&gt;=615,F627=""),"Incomplete","Complete")</f>
        <v>Complete</v>
      </c>
      <c r="I627" s="48" t="s">
        <v>4992</v>
      </c>
    </row>
    <row r="628" spans="2:9" ht="15" customHeight="1" x14ac:dyDescent="0.25">
      <c r="B628" s="55" t="s">
        <v>279</v>
      </c>
      <c r="C628" s="46">
        <v>616</v>
      </c>
      <c r="D628" s="69" t="s">
        <v>29416</v>
      </c>
      <c r="E628" s="51"/>
      <c r="F628" s="114" t="str">
        <f>IF(INDEX(I.Facility.P1IDNumber,616)="","",INDEX(I.Facility.P1IDNumber,616))</f>
        <v/>
      </c>
      <c r="G628" s="51"/>
      <c r="H628" s="46" t="str">
        <f>IF(AND(I.Developer.P1=TRUE,I.Facility.P1FacilityCount&gt;=616,F628=""),"Incomplete","Complete")</f>
        <v>Complete</v>
      </c>
      <c r="I628" s="48" t="s">
        <v>4993</v>
      </c>
    </row>
    <row r="629" spans="2:9" ht="15" customHeight="1" x14ac:dyDescent="0.25">
      <c r="B629" s="55" t="s">
        <v>279</v>
      </c>
      <c r="C629" s="46">
        <v>617</v>
      </c>
      <c r="D629" s="69" t="s">
        <v>29416</v>
      </c>
      <c r="E629" s="51"/>
      <c r="F629" s="114" t="str">
        <f>IF(INDEX(I.Facility.P1IDNumber,617)="","",INDEX(I.Facility.P1IDNumber,617))</f>
        <v/>
      </c>
      <c r="G629" s="51"/>
      <c r="H629" s="46" t="str">
        <f>IF(AND(I.Developer.P1=TRUE,I.Facility.P1FacilityCount&gt;=617,F629=""),"Incomplete","Complete")</f>
        <v>Complete</v>
      </c>
      <c r="I629" s="48" t="s">
        <v>4994</v>
      </c>
    </row>
    <row r="630" spans="2:9" ht="15" customHeight="1" x14ac:dyDescent="0.25">
      <c r="B630" s="55" t="s">
        <v>279</v>
      </c>
      <c r="C630" s="46">
        <v>618</v>
      </c>
      <c r="D630" s="69" t="s">
        <v>29416</v>
      </c>
      <c r="E630" s="51"/>
      <c r="F630" s="114" t="str">
        <f>IF(INDEX(I.Facility.P1IDNumber,618)="","",INDEX(I.Facility.P1IDNumber,618))</f>
        <v/>
      </c>
      <c r="G630" s="51"/>
      <c r="H630" s="46" t="str">
        <f>IF(AND(I.Developer.P1=TRUE,I.Facility.P1FacilityCount&gt;=618,F630=""),"Incomplete","Complete")</f>
        <v>Complete</v>
      </c>
      <c r="I630" s="48" t="s">
        <v>4995</v>
      </c>
    </row>
    <row r="631" spans="2:9" ht="15" customHeight="1" x14ac:dyDescent="0.25">
      <c r="B631" s="55" t="s">
        <v>279</v>
      </c>
      <c r="C631" s="46">
        <v>619</v>
      </c>
      <c r="D631" s="69" t="s">
        <v>29416</v>
      </c>
      <c r="E631" s="51"/>
      <c r="F631" s="114" t="str">
        <f>IF(INDEX(I.Facility.P1IDNumber,619)="","",INDEX(I.Facility.P1IDNumber,619))</f>
        <v/>
      </c>
      <c r="G631" s="51"/>
      <c r="H631" s="46" t="str">
        <f>IF(AND(I.Developer.P1=TRUE,I.Facility.P1FacilityCount&gt;=619,F631=""),"Incomplete","Complete")</f>
        <v>Complete</v>
      </c>
      <c r="I631" s="48" t="s">
        <v>4996</v>
      </c>
    </row>
    <row r="632" spans="2:9" ht="15" customHeight="1" x14ac:dyDescent="0.25">
      <c r="B632" s="55" t="s">
        <v>279</v>
      </c>
      <c r="C632" s="46">
        <v>620</v>
      </c>
      <c r="D632" s="69" t="s">
        <v>29416</v>
      </c>
      <c r="E632" s="51"/>
      <c r="F632" s="114" t="str">
        <f>IF(INDEX(I.Facility.P1IDNumber,620)="","",INDEX(I.Facility.P1IDNumber,620))</f>
        <v/>
      </c>
      <c r="G632" s="51"/>
      <c r="H632" s="46" t="str">
        <f>IF(AND(I.Developer.P1=TRUE,I.Facility.P1FacilityCount&gt;=620,F632=""),"Incomplete","Complete")</f>
        <v>Complete</v>
      </c>
      <c r="I632" s="48" t="s">
        <v>4997</v>
      </c>
    </row>
    <row r="633" spans="2:9" ht="15" customHeight="1" x14ac:dyDescent="0.25">
      <c r="B633" s="55" t="s">
        <v>279</v>
      </c>
      <c r="C633" s="46">
        <v>621</v>
      </c>
      <c r="D633" s="69" t="s">
        <v>29416</v>
      </c>
      <c r="E633" s="51"/>
      <c r="F633" s="114" t="str">
        <f>IF(INDEX(I.Facility.P1IDNumber,621)="","",INDEX(I.Facility.P1IDNumber,621))</f>
        <v/>
      </c>
      <c r="G633" s="51"/>
      <c r="H633" s="46" t="str">
        <f>IF(AND(I.Developer.P1=TRUE,I.Facility.P1FacilityCount&gt;=621,F633=""),"Incomplete","Complete")</f>
        <v>Complete</v>
      </c>
      <c r="I633" s="48" t="s">
        <v>4998</v>
      </c>
    </row>
    <row r="634" spans="2:9" ht="15" customHeight="1" x14ac:dyDescent="0.25">
      <c r="B634" s="55" t="s">
        <v>279</v>
      </c>
      <c r="C634" s="46">
        <v>622</v>
      </c>
      <c r="D634" s="69" t="s">
        <v>29416</v>
      </c>
      <c r="E634" s="51"/>
      <c r="F634" s="114" t="str">
        <f>IF(INDEX(I.Facility.P1IDNumber,622)="","",INDEX(I.Facility.P1IDNumber,622))</f>
        <v/>
      </c>
      <c r="G634" s="51"/>
      <c r="H634" s="46" t="str">
        <f>IF(AND(I.Developer.P1=TRUE,I.Facility.P1FacilityCount&gt;=622,F634=""),"Incomplete","Complete")</f>
        <v>Complete</v>
      </c>
      <c r="I634" s="48" t="s">
        <v>4999</v>
      </c>
    </row>
    <row r="635" spans="2:9" ht="15" customHeight="1" x14ac:dyDescent="0.25">
      <c r="B635" s="55" t="s">
        <v>279</v>
      </c>
      <c r="C635" s="46">
        <v>623</v>
      </c>
      <c r="D635" s="69" t="s">
        <v>29416</v>
      </c>
      <c r="E635" s="51"/>
      <c r="F635" s="114" t="str">
        <f>IF(INDEX(I.Facility.P1IDNumber,623)="","",INDEX(I.Facility.P1IDNumber,623))</f>
        <v/>
      </c>
      <c r="G635" s="51"/>
      <c r="H635" s="46" t="str">
        <f>IF(AND(I.Developer.P1=TRUE,I.Facility.P1FacilityCount&gt;=623,F635=""),"Incomplete","Complete")</f>
        <v>Complete</v>
      </c>
      <c r="I635" s="48" t="s">
        <v>5000</v>
      </c>
    </row>
    <row r="636" spans="2:9" ht="15" customHeight="1" x14ac:dyDescent="0.25">
      <c r="B636" s="55" t="s">
        <v>279</v>
      </c>
      <c r="C636" s="46">
        <v>624</v>
      </c>
      <c r="D636" s="69" t="s">
        <v>29416</v>
      </c>
      <c r="E636" s="51"/>
      <c r="F636" s="114" t="str">
        <f>IF(INDEX(I.Facility.P1IDNumber,624)="","",INDEX(I.Facility.P1IDNumber,624))</f>
        <v/>
      </c>
      <c r="G636" s="51"/>
      <c r="H636" s="46" t="str">
        <f>IF(AND(I.Developer.P1=TRUE,I.Facility.P1FacilityCount&gt;=624,F636=""),"Incomplete","Complete")</f>
        <v>Complete</v>
      </c>
      <c r="I636" s="48" t="s">
        <v>5001</v>
      </c>
    </row>
    <row r="637" spans="2:9" ht="15" customHeight="1" x14ac:dyDescent="0.25">
      <c r="B637" s="55" t="s">
        <v>279</v>
      </c>
      <c r="C637" s="46">
        <v>625</v>
      </c>
      <c r="D637" s="69" t="s">
        <v>29416</v>
      </c>
      <c r="E637" s="51"/>
      <c r="F637" s="114" t="str">
        <f>IF(INDEX(I.Facility.P1IDNumber,625)="","",INDEX(I.Facility.P1IDNumber,625))</f>
        <v/>
      </c>
      <c r="G637" s="51"/>
      <c r="H637" s="46" t="str">
        <f>IF(AND(I.Developer.P1=TRUE,I.Facility.P1FacilityCount&gt;=625,F637=""),"Incomplete","Complete")</f>
        <v>Complete</v>
      </c>
      <c r="I637" s="48" t="s">
        <v>5002</v>
      </c>
    </row>
    <row r="638" spans="2:9" ht="15" customHeight="1" x14ac:dyDescent="0.25">
      <c r="B638" s="55" t="s">
        <v>279</v>
      </c>
      <c r="C638" s="46">
        <v>626</v>
      </c>
      <c r="D638" s="69" t="s">
        <v>29416</v>
      </c>
      <c r="E638" s="51"/>
      <c r="F638" s="114" t="str">
        <f>IF(INDEX(I.Facility.P1IDNumber,626)="","",INDEX(I.Facility.P1IDNumber,626))</f>
        <v/>
      </c>
      <c r="G638" s="51"/>
      <c r="H638" s="46" t="str">
        <f>IF(AND(I.Developer.P1=TRUE,I.Facility.P1FacilityCount&gt;=626,F638=""),"Incomplete","Complete")</f>
        <v>Complete</v>
      </c>
      <c r="I638" s="48" t="s">
        <v>5003</v>
      </c>
    </row>
    <row r="639" spans="2:9" ht="15" customHeight="1" x14ac:dyDescent="0.25">
      <c r="B639" s="55" t="s">
        <v>279</v>
      </c>
      <c r="C639" s="46">
        <v>627</v>
      </c>
      <c r="D639" s="69" t="s">
        <v>29416</v>
      </c>
      <c r="E639" s="51"/>
      <c r="F639" s="114" t="str">
        <f>IF(INDEX(I.Facility.P1IDNumber,627)="","",INDEX(I.Facility.P1IDNumber,627))</f>
        <v/>
      </c>
      <c r="G639" s="51"/>
      <c r="H639" s="46" t="str">
        <f>IF(AND(I.Developer.P1=TRUE,I.Facility.P1FacilityCount&gt;=627,F639=""),"Incomplete","Complete")</f>
        <v>Complete</v>
      </c>
      <c r="I639" s="48" t="s">
        <v>5004</v>
      </c>
    </row>
    <row r="640" spans="2:9" ht="15" customHeight="1" x14ac:dyDescent="0.25">
      <c r="B640" s="55" t="s">
        <v>279</v>
      </c>
      <c r="C640" s="46">
        <v>628</v>
      </c>
      <c r="D640" s="69" t="s">
        <v>29416</v>
      </c>
      <c r="E640" s="51"/>
      <c r="F640" s="114" t="str">
        <f>IF(INDEX(I.Facility.P1IDNumber,628)="","",INDEX(I.Facility.P1IDNumber,628))</f>
        <v/>
      </c>
      <c r="G640" s="51"/>
      <c r="H640" s="46" t="str">
        <f>IF(AND(I.Developer.P1=TRUE,I.Facility.P1FacilityCount&gt;=628,F640=""),"Incomplete","Complete")</f>
        <v>Complete</v>
      </c>
      <c r="I640" s="48" t="s">
        <v>5005</v>
      </c>
    </row>
    <row r="641" spans="2:9" ht="15" customHeight="1" x14ac:dyDescent="0.25">
      <c r="B641" s="55" t="s">
        <v>279</v>
      </c>
      <c r="C641" s="46">
        <v>629</v>
      </c>
      <c r="D641" s="69" t="s">
        <v>29416</v>
      </c>
      <c r="E641" s="51"/>
      <c r="F641" s="114" t="str">
        <f>IF(INDEX(I.Facility.P1IDNumber,629)="","",INDEX(I.Facility.P1IDNumber,629))</f>
        <v/>
      </c>
      <c r="G641" s="51"/>
      <c r="H641" s="46" t="str">
        <f>IF(AND(I.Developer.P1=TRUE,I.Facility.P1FacilityCount&gt;=629,F641=""),"Incomplete","Complete")</f>
        <v>Complete</v>
      </c>
      <c r="I641" s="48" t="s">
        <v>5006</v>
      </c>
    </row>
    <row r="642" spans="2:9" ht="15" customHeight="1" x14ac:dyDescent="0.25">
      <c r="B642" s="55" t="s">
        <v>279</v>
      </c>
      <c r="C642" s="46">
        <v>630</v>
      </c>
      <c r="D642" s="69" t="s">
        <v>29416</v>
      </c>
      <c r="E642" s="51"/>
      <c r="F642" s="114" t="str">
        <f>IF(INDEX(I.Facility.P1IDNumber,630)="","",INDEX(I.Facility.P1IDNumber,630))</f>
        <v/>
      </c>
      <c r="G642" s="51"/>
      <c r="H642" s="46" t="str">
        <f>IF(AND(I.Developer.P1=TRUE,I.Facility.P1FacilityCount&gt;=630,F642=""),"Incomplete","Complete")</f>
        <v>Complete</v>
      </c>
      <c r="I642" s="48" t="s">
        <v>5007</v>
      </c>
    </row>
    <row r="643" spans="2:9" ht="15" customHeight="1" x14ac:dyDescent="0.25">
      <c r="B643" s="55" t="s">
        <v>279</v>
      </c>
      <c r="C643" s="46">
        <v>631</v>
      </c>
      <c r="D643" s="69" t="s">
        <v>29416</v>
      </c>
      <c r="E643" s="51"/>
      <c r="F643" s="114" t="str">
        <f>IF(INDEX(I.Facility.P1IDNumber,631)="","",INDEX(I.Facility.P1IDNumber,631))</f>
        <v/>
      </c>
      <c r="G643" s="51"/>
      <c r="H643" s="46" t="str">
        <f>IF(AND(I.Developer.P1=TRUE,I.Facility.P1FacilityCount&gt;=631,F643=""),"Incomplete","Complete")</f>
        <v>Complete</v>
      </c>
      <c r="I643" s="48" t="s">
        <v>5008</v>
      </c>
    </row>
    <row r="644" spans="2:9" ht="15" customHeight="1" x14ac:dyDescent="0.25">
      <c r="B644" s="55" t="s">
        <v>279</v>
      </c>
      <c r="C644" s="46">
        <v>632</v>
      </c>
      <c r="D644" s="69" t="s">
        <v>29416</v>
      </c>
      <c r="E644" s="51"/>
      <c r="F644" s="114" t="str">
        <f>IF(INDEX(I.Facility.P1IDNumber,632)="","",INDEX(I.Facility.P1IDNumber,632))</f>
        <v/>
      </c>
      <c r="G644" s="51"/>
      <c r="H644" s="46" t="str">
        <f>IF(AND(I.Developer.P1=TRUE,I.Facility.P1FacilityCount&gt;=632,F644=""),"Incomplete","Complete")</f>
        <v>Complete</v>
      </c>
      <c r="I644" s="48" t="s">
        <v>5009</v>
      </c>
    </row>
    <row r="645" spans="2:9" ht="15" customHeight="1" x14ac:dyDescent="0.25">
      <c r="B645" s="55" t="s">
        <v>279</v>
      </c>
      <c r="C645" s="46">
        <v>633</v>
      </c>
      <c r="D645" s="69" t="s">
        <v>29416</v>
      </c>
      <c r="E645" s="51"/>
      <c r="F645" s="114" t="str">
        <f>IF(INDEX(I.Facility.P1IDNumber,633)="","",INDEX(I.Facility.P1IDNumber,633))</f>
        <v/>
      </c>
      <c r="G645" s="51"/>
      <c r="H645" s="46" t="str">
        <f>IF(AND(I.Developer.P1=TRUE,I.Facility.P1FacilityCount&gt;=633,F645=""),"Incomplete","Complete")</f>
        <v>Complete</v>
      </c>
      <c r="I645" s="48" t="s">
        <v>5010</v>
      </c>
    </row>
    <row r="646" spans="2:9" ht="15" customHeight="1" x14ac:dyDescent="0.25">
      <c r="B646" s="55" t="s">
        <v>279</v>
      </c>
      <c r="C646" s="46">
        <v>634</v>
      </c>
      <c r="D646" s="69" t="s">
        <v>29416</v>
      </c>
      <c r="E646" s="51"/>
      <c r="F646" s="114" t="str">
        <f>IF(INDEX(I.Facility.P1IDNumber,634)="","",INDEX(I.Facility.P1IDNumber,634))</f>
        <v/>
      </c>
      <c r="G646" s="51"/>
      <c r="H646" s="46" t="str">
        <f>IF(AND(I.Developer.P1=TRUE,I.Facility.P1FacilityCount&gt;=634,F646=""),"Incomplete","Complete")</f>
        <v>Complete</v>
      </c>
      <c r="I646" s="48" t="s">
        <v>5011</v>
      </c>
    </row>
    <row r="647" spans="2:9" ht="15" customHeight="1" x14ac:dyDescent="0.25">
      <c r="B647" s="55" t="s">
        <v>279</v>
      </c>
      <c r="C647" s="46">
        <v>635</v>
      </c>
      <c r="D647" s="69" t="s">
        <v>29416</v>
      </c>
      <c r="E647" s="51"/>
      <c r="F647" s="114" t="str">
        <f>IF(INDEX(I.Facility.P1IDNumber,635)="","",INDEX(I.Facility.P1IDNumber,635))</f>
        <v/>
      </c>
      <c r="G647" s="51"/>
      <c r="H647" s="46" t="str">
        <f>IF(AND(I.Developer.P1=TRUE,I.Facility.P1FacilityCount&gt;=635,F647=""),"Incomplete","Complete")</f>
        <v>Complete</v>
      </c>
      <c r="I647" s="48" t="s">
        <v>5012</v>
      </c>
    </row>
    <row r="648" spans="2:9" ht="15" customHeight="1" x14ac:dyDescent="0.25">
      <c r="B648" s="55" t="s">
        <v>279</v>
      </c>
      <c r="C648" s="46">
        <v>636</v>
      </c>
      <c r="D648" s="69" t="s">
        <v>29416</v>
      </c>
      <c r="E648" s="51"/>
      <c r="F648" s="114" t="str">
        <f>IF(INDEX(I.Facility.P1IDNumber,636)="","",INDEX(I.Facility.P1IDNumber,636))</f>
        <v/>
      </c>
      <c r="G648" s="51"/>
      <c r="H648" s="46" t="str">
        <f>IF(AND(I.Developer.P1=TRUE,I.Facility.P1FacilityCount&gt;=636,F648=""),"Incomplete","Complete")</f>
        <v>Complete</v>
      </c>
      <c r="I648" s="48" t="s">
        <v>5013</v>
      </c>
    </row>
    <row r="649" spans="2:9" ht="15" customHeight="1" x14ac:dyDescent="0.25">
      <c r="B649" s="55" t="s">
        <v>279</v>
      </c>
      <c r="C649" s="46">
        <v>637</v>
      </c>
      <c r="D649" s="69" t="s">
        <v>29416</v>
      </c>
      <c r="E649" s="51"/>
      <c r="F649" s="114" t="str">
        <f>IF(INDEX(I.Facility.P1IDNumber,637)="","",INDEX(I.Facility.P1IDNumber,637))</f>
        <v/>
      </c>
      <c r="G649" s="51"/>
      <c r="H649" s="46" t="str">
        <f>IF(AND(I.Developer.P1=TRUE,I.Facility.P1FacilityCount&gt;=637,F649=""),"Incomplete","Complete")</f>
        <v>Complete</v>
      </c>
      <c r="I649" s="48" t="s">
        <v>5014</v>
      </c>
    </row>
    <row r="650" spans="2:9" ht="15" customHeight="1" x14ac:dyDescent="0.25">
      <c r="B650" s="55" t="s">
        <v>279</v>
      </c>
      <c r="C650" s="46">
        <v>638</v>
      </c>
      <c r="D650" s="69" t="s">
        <v>29416</v>
      </c>
      <c r="E650" s="51"/>
      <c r="F650" s="114" t="str">
        <f>IF(INDEX(I.Facility.P1IDNumber,638)="","",INDEX(I.Facility.P1IDNumber,638))</f>
        <v/>
      </c>
      <c r="G650" s="51"/>
      <c r="H650" s="46" t="str">
        <f>IF(AND(I.Developer.P1=TRUE,I.Facility.P1FacilityCount&gt;=638,F650=""),"Incomplete","Complete")</f>
        <v>Complete</v>
      </c>
      <c r="I650" s="48" t="s">
        <v>5015</v>
      </c>
    </row>
    <row r="651" spans="2:9" ht="15" customHeight="1" x14ac:dyDescent="0.25">
      <c r="B651" s="55" t="s">
        <v>279</v>
      </c>
      <c r="C651" s="46">
        <v>639</v>
      </c>
      <c r="D651" s="69" t="s">
        <v>29416</v>
      </c>
      <c r="E651" s="51"/>
      <c r="F651" s="114" t="str">
        <f>IF(INDEX(I.Facility.P1IDNumber,639)="","",INDEX(I.Facility.P1IDNumber,639))</f>
        <v/>
      </c>
      <c r="G651" s="51"/>
      <c r="H651" s="46" t="str">
        <f>IF(AND(I.Developer.P1=TRUE,I.Facility.P1FacilityCount&gt;=639,F651=""),"Incomplete","Complete")</f>
        <v>Complete</v>
      </c>
      <c r="I651" s="48" t="s">
        <v>5016</v>
      </c>
    </row>
    <row r="652" spans="2:9" ht="15" customHeight="1" x14ac:dyDescent="0.25">
      <c r="B652" s="55" t="s">
        <v>279</v>
      </c>
      <c r="C652" s="46">
        <v>640</v>
      </c>
      <c r="D652" s="69" t="s">
        <v>29416</v>
      </c>
      <c r="E652" s="51"/>
      <c r="F652" s="114" t="str">
        <f>IF(INDEX(I.Facility.P1IDNumber,640)="","",INDEX(I.Facility.P1IDNumber,640))</f>
        <v/>
      </c>
      <c r="G652" s="51"/>
      <c r="H652" s="46" t="str">
        <f>IF(AND(I.Developer.P1=TRUE,I.Facility.P1FacilityCount&gt;=640,F652=""),"Incomplete","Complete")</f>
        <v>Complete</v>
      </c>
      <c r="I652" s="48" t="s">
        <v>5017</v>
      </c>
    </row>
    <row r="653" spans="2:9" ht="15" customHeight="1" x14ac:dyDescent="0.25">
      <c r="B653" s="55" t="s">
        <v>279</v>
      </c>
      <c r="C653" s="46">
        <v>641</v>
      </c>
      <c r="D653" s="69" t="s">
        <v>29416</v>
      </c>
      <c r="E653" s="51"/>
      <c r="F653" s="114" t="str">
        <f>IF(INDEX(I.Facility.P1IDNumber,641)="","",INDEX(I.Facility.P1IDNumber,641))</f>
        <v/>
      </c>
      <c r="G653" s="51"/>
      <c r="H653" s="46" t="str">
        <f>IF(AND(I.Developer.P1=TRUE,I.Facility.P1FacilityCount&gt;=641,F653=""),"Incomplete","Complete")</f>
        <v>Complete</v>
      </c>
      <c r="I653" s="48" t="s">
        <v>5018</v>
      </c>
    </row>
    <row r="654" spans="2:9" ht="15" customHeight="1" x14ac:dyDescent="0.25">
      <c r="B654" s="55" t="s">
        <v>279</v>
      </c>
      <c r="C654" s="46">
        <v>642</v>
      </c>
      <c r="D654" s="69" t="s">
        <v>29416</v>
      </c>
      <c r="E654" s="51"/>
      <c r="F654" s="114" t="str">
        <f>IF(INDEX(I.Facility.P1IDNumber,642)="","",INDEX(I.Facility.P1IDNumber,642))</f>
        <v/>
      </c>
      <c r="G654" s="51"/>
      <c r="H654" s="46" t="str">
        <f>IF(AND(I.Developer.P1=TRUE,I.Facility.P1FacilityCount&gt;=642,F654=""),"Incomplete","Complete")</f>
        <v>Complete</v>
      </c>
      <c r="I654" s="48" t="s">
        <v>5019</v>
      </c>
    </row>
    <row r="655" spans="2:9" ht="15" customHeight="1" x14ac:dyDescent="0.25">
      <c r="B655" s="55" t="s">
        <v>279</v>
      </c>
      <c r="C655" s="46">
        <v>643</v>
      </c>
      <c r="D655" s="69" t="s">
        <v>29416</v>
      </c>
      <c r="E655" s="51"/>
      <c r="F655" s="114" t="str">
        <f>IF(INDEX(I.Facility.P1IDNumber,643)="","",INDEX(I.Facility.P1IDNumber,643))</f>
        <v/>
      </c>
      <c r="G655" s="51"/>
      <c r="H655" s="46" t="str">
        <f>IF(AND(I.Developer.P1=TRUE,I.Facility.P1FacilityCount&gt;=643,F655=""),"Incomplete","Complete")</f>
        <v>Complete</v>
      </c>
      <c r="I655" s="48" t="s">
        <v>5020</v>
      </c>
    </row>
    <row r="656" spans="2:9" ht="15" customHeight="1" x14ac:dyDescent="0.25">
      <c r="B656" s="55" t="s">
        <v>279</v>
      </c>
      <c r="C656" s="46">
        <v>644</v>
      </c>
      <c r="D656" s="69" t="s">
        <v>29416</v>
      </c>
      <c r="E656" s="51"/>
      <c r="F656" s="114" t="str">
        <f>IF(INDEX(I.Facility.P1IDNumber,644)="","",INDEX(I.Facility.P1IDNumber,644))</f>
        <v/>
      </c>
      <c r="G656" s="51"/>
      <c r="H656" s="46" t="str">
        <f>IF(AND(I.Developer.P1=TRUE,I.Facility.P1FacilityCount&gt;=644,F656=""),"Incomplete","Complete")</f>
        <v>Complete</v>
      </c>
      <c r="I656" s="48" t="s">
        <v>5021</v>
      </c>
    </row>
    <row r="657" spans="2:9" ht="15" customHeight="1" x14ac:dyDescent="0.25">
      <c r="B657" s="55" t="s">
        <v>279</v>
      </c>
      <c r="C657" s="46">
        <v>645</v>
      </c>
      <c r="D657" s="69" t="s">
        <v>29416</v>
      </c>
      <c r="E657" s="51"/>
      <c r="F657" s="114" t="str">
        <f>IF(INDEX(I.Facility.P1IDNumber,645)="","",INDEX(I.Facility.P1IDNumber,645))</f>
        <v/>
      </c>
      <c r="G657" s="51"/>
      <c r="H657" s="46" t="str">
        <f>IF(AND(I.Developer.P1=TRUE,I.Facility.P1FacilityCount&gt;=645,F657=""),"Incomplete","Complete")</f>
        <v>Complete</v>
      </c>
      <c r="I657" s="48" t="s">
        <v>5022</v>
      </c>
    </row>
    <row r="658" spans="2:9" ht="15" customHeight="1" x14ac:dyDescent="0.25">
      <c r="B658" s="55" t="s">
        <v>279</v>
      </c>
      <c r="C658" s="46">
        <v>646</v>
      </c>
      <c r="D658" s="69" t="s">
        <v>29416</v>
      </c>
      <c r="E658" s="51"/>
      <c r="F658" s="114" t="str">
        <f>IF(INDEX(I.Facility.P1IDNumber,646)="","",INDEX(I.Facility.P1IDNumber,646))</f>
        <v/>
      </c>
      <c r="G658" s="51"/>
      <c r="H658" s="46" t="str">
        <f>IF(AND(I.Developer.P1=TRUE,I.Facility.P1FacilityCount&gt;=646,F658=""),"Incomplete","Complete")</f>
        <v>Complete</v>
      </c>
      <c r="I658" s="48" t="s">
        <v>5023</v>
      </c>
    </row>
    <row r="659" spans="2:9" ht="15" customHeight="1" x14ac:dyDescent="0.25">
      <c r="B659" s="55" t="s">
        <v>279</v>
      </c>
      <c r="C659" s="46">
        <v>647</v>
      </c>
      <c r="D659" s="69" t="s">
        <v>29416</v>
      </c>
      <c r="E659" s="51"/>
      <c r="F659" s="114" t="str">
        <f>IF(INDEX(I.Facility.P1IDNumber,647)="","",INDEX(I.Facility.P1IDNumber,647))</f>
        <v/>
      </c>
      <c r="G659" s="51"/>
      <c r="H659" s="46" t="str">
        <f>IF(AND(I.Developer.P1=TRUE,I.Facility.P1FacilityCount&gt;=647,F659=""),"Incomplete","Complete")</f>
        <v>Complete</v>
      </c>
      <c r="I659" s="48" t="s">
        <v>5024</v>
      </c>
    </row>
    <row r="660" spans="2:9" ht="15" customHeight="1" x14ac:dyDescent="0.25">
      <c r="B660" s="55" t="s">
        <v>279</v>
      </c>
      <c r="C660" s="46">
        <v>648</v>
      </c>
      <c r="D660" s="69" t="s">
        <v>29416</v>
      </c>
      <c r="E660" s="51"/>
      <c r="F660" s="114" t="str">
        <f>IF(INDEX(I.Facility.P1IDNumber,648)="","",INDEX(I.Facility.P1IDNumber,648))</f>
        <v/>
      </c>
      <c r="G660" s="51"/>
      <c r="H660" s="46" t="str">
        <f>IF(AND(I.Developer.P1=TRUE,I.Facility.P1FacilityCount&gt;=648,F660=""),"Incomplete","Complete")</f>
        <v>Complete</v>
      </c>
      <c r="I660" s="48" t="s">
        <v>5025</v>
      </c>
    </row>
    <row r="661" spans="2:9" ht="15" customHeight="1" x14ac:dyDescent="0.25">
      <c r="B661" s="55" t="s">
        <v>279</v>
      </c>
      <c r="C661" s="46">
        <v>649</v>
      </c>
      <c r="D661" s="69" t="s">
        <v>29416</v>
      </c>
      <c r="E661" s="51"/>
      <c r="F661" s="114" t="str">
        <f>IF(INDEX(I.Facility.P1IDNumber,649)="","",INDEX(I.Facility.P1IDNumber,649))</f>
        <v/>
      </c>
      <c r="G661" s="51"/>
      <c r="H661" s="46" t="str">
        <f>IF(AND(I.Developer.P1=TRUE,I.Facility.P1FacilityCount&gt;=649,F661=""),"Incomplete","Complete")</f>
        <v>Complete</v>
      </c>
      <c r="I661" s="48" t="s">
        <v>5026</v>
      </c>
    </row>
    <row r="662" spans="2:9" ht="15" customHeight="1" x14ac:dyDescent="0.25">
      <c r="B662" s="55" t="s">
        <v>279</v>
      </c>
      <c r="C662" s="46">
        <v>650</v>
      </c>
      <c r="D662" s="69" t="s">
        <v>29416</v>
      </c>
      <c r="E662" s="51"/>
      <c r="F662" s="114" t="str">
        <f>IF(INDEX(I.Facility.P1IDNumber,650)="","",INDEX(I.Facility.P1IDNumber,650))</f>
        <v/>
      </c>
      <c r="G662" s="51"/>
      <c r="H662" s="46" t="str">
        <f>IF(AND(I.Developer.P1=TRUE,I.Facility.P1FacilityCount&gt;=650,F662=""),"Incomplete","Complete")</f>
        <v>Complete</v>
      </c>
      <c r="I662" s="48" t="s">
        <v>5027</v>
      </c>
    </row>
    <row r="663" spans="2:9" ht="15" customHeight="1" x14ac:dyDescent="0.25">
      <c r="B663" s="55" t="s">
        <v>279</v>
      </c>
      <c r="C663" s="46">
        <v>651</v>
      </c>
      <c r="D663" s="69" t="s">
        <v>29416</v>
      </c>
      <c r="E663" s="51"/>
      <c r="F663" s="114" t="str">
        <f>IF(INDEX(I.Facility.P1IDNumber,651)="","",INDEX(I.Facility.P1IDNumber,651))</f>
        <v/>
      </c>
      <c r="G663" s="51"/>
      <c r="H663" s="46" t="str">
        <f>IF(AND(I.Developer.P1=TRUE,I.Facility.P1FacilityCount&gt;=651,F663=""),"Incomplete","Complete")</f>
        <v>Complete</v>
      </c>
      <c r="I663" s="48" t="s">
        <v>5028</v>
      </c>
    </row>
    <row r="664" spans="2:9" ht="15" customHeight="1" x14ac:dyDescent="0.25">
      <c r="B664" s="55" t="s">
        <v>279</v>
      </c>
      <c r="C664" s="46">
        <v>652</v>
      </c>
      <c r="D664" s="69" t="s">
        <v>29416</v>
      </c>
      <c r="E664" s="51"/>
      <c r="F664" s="114" t="str">
        <f>IF(INDEX(I.Facility.P1IDNumber,652)="","",INDEX(I.Facility.P1IDNumber,652))</f>
        <v/>
      </c>
      <c r="G664" s="51"/>
      <c r="H664" s="46" t="str">
        <f>IF(AND(I.Developer.P1=TRUE,I.Facility.P1FacilityCount&gt;=652,F664=""),"Incomplete","Complete")</f>
        <v>Complete</v>
      </c>
      <c r="I664" s="48" t="s">
        <v>5029</v>
      </c>
    </row>
    <row r="665" spans="2:9" ht="15" customHeight="1" x14ac:dyDescent="0.25">
      <c r="B665" s="55" t="s">
        <v>279</v>
      </c>
      <c r="C665" s="46">
        <v>653</v>
      </c>
      <c r="D665" s="69" t="s">
        <v>29416</v>
      </c>
      <c r="E665" s="51"/>
      <c r="F665" s="114" t="str">
        <f>IF(INDEX(I.Facility.P1IDNumber,653)="","",INDEX(I.Facility.P1IDNumber,653))</f>
        <v/>
      </c>
      <c r="G665" s="51"/>
      <c r="H665" s="46" t="str">
        <f>IF(AND(I.Developer.P1=TRUE,I.Facility.P1FacilityCount&gt;=653,F665=""),"Incomplete","Complete")</f>
        <v>Complete</v>
      </c>
      <c r="I665" s="48" t="s">
        <v>5030</v>
      </c>
    </row>
    <row r="666" spans="2:9" ht="15" customHeight="1" x14ac:dyDescent="0.25">
      <c r="B666" s="55" t="s">
        <v>279</v>
      </c>
      <c r="C666" s="46">
        <v>654</v>
      </c>
      <c r="D666" s="69" t="s">
        <v>29416</v>
      </c>
      <c r="E666" s="51"/>
      <c r="F666" s="114" t="str">
        <f>IF(INDEX(I.Facility.P1IDNumber,654)="","",INDEX(I.Facility.P1IDNumber,654))</f>
        <v/>
      </c>
      <c r="G666" s="51"/>
      <c r="H666" s="46" t="str">
        <f>IF(AND(I.Developer.P1=TRUE,I.Facility.P1FacilityCount&gt;=654,F666=""),"Incomplete","Complete")</f>
        <v>Complete</v>
      </c>
      <c r="I666" s="48" t="s">
        <v>5031</v>
      </c>
    </row>
    <row r="667" spans="2:9" ht="15" customHeight="1" x14ac:dyDescent="0.25">
      <c r="B667" s="55" t="s">
        <v>279</v>
      </c>
      <c r="C667" s="46">
        <v>655</v>
      </c>
      <c r="D667" s="69" t="s">
        <v>29416</v>
      </c>
      <c r="E667" s="51"/>
      <c r="F667" s="114" t="str">
        <f>IF(INDEX(I.Facility.P1IDNumber,655)="","",INDEX(I.Facility.P1IDNumber,655))</f>
        <v/>
      </c>
      <c r="G667" s="51"/>
      <c r="H667" s="46" t="str">
        <f>IF(AND(I.Developer.P1=TRUE,I.Facility.P1FacilityCount&gt;=655,F667=""),"Incomplete","Complete")</f>
        <v>Complete</v>
      </c>
      <c r="I667" s="48" t="s">
        <v>5032</v>
      </c>
    </row>
    <row r="668" spans="2:9" ht="15" customHeight="1" x14ac:dyDescent="0.25">
      <c r="B668" s="55" t="s">
        <v>279</v>
      </c>
      <c r="C668" s="46">
        <v>656</v>
      </c>
      <c r="D668" s="69" t="s">
        <v>29416</v>
      </c>
      <c r="E668" s="51"/>
      <c r="F668" s="114" t="str">
        <f>IF(INDEX(I.Facility.P1IDNumber,656)="","",INDEX(I.Facility.P1IDNumber,656))</f>
        <v/>
      </c>
      <c r="G668" s="51"/>
      <c r="H668" s="46" t="str">
        <f>IF(AND(I.Developer.P1=TRUE,I.Facility.P1FacilityCount&gt;=656,F668=""),"Incomplete","Complete")</f>
        <v>Complete</v>
      </c>
      <c r="I668" s="48" t="s">
        <v>5033</v>
      </c>
    </row>
    <row r="669" spans="2:9" ht="15" customHeight="1" x14ac:dyDescent="0.25">
      <c r="B669" s="55" t="s">
        <v>279</v>
      </c>
      <c r="C669" s="46">
        <v>657</v>
      </c>
      <c r="D669" s="69" t="s">
        <v>29416</v>
      </c>
      <c r="E669" s="51"/>
      <c r="F669" s="114" t="str">
        <f>IF(INDEX(I.Facility.P1IDNumber,657)="","",INDEX(I.Facility.P1IDNumber,657))</f>
        <v/>
      </c>
      <c r="G669" s="51"/>
      <c r="H669" s="46" t="str">
        <f>IF(AND(I.Developer.P1=TRUE,I.Facility.P1FacilityCount&gt;=657,F669=""),"Incomplete","Complete")</f>
        <v>Complete</v>
      </c>
      <c r="I669" s="48" t="s">
        <v>5034</v>
      </c>
    </row>
    <row r="670" spans="2:9" ht="15" customHeight="1" x14ac:dyDescent="0.25">
      <c r="B670" s="55" t="s">
        <v>279</v>
      </c>
      <c r="C670" s="46">
        <v>658</v>
      </c>
      <c r="D670" s="69" t="s">
        <v>29416</v>
      </c>
      <c r="E670" s="51"/>
      <c r="F670" s="114" t="str">
        <f>IF(INDEX(I.Facility.P1IDNumber,658)="","",INDEX(I.Facility.P1IDNumber,658))</f>
        <v/>
      </c>
      <c r="G670" s="51"/>
      <c r="H670" s="46" t="str">
        <f>IF(AND(I.Developer.P1=TRUE,I.Facility.P1FacilityCount&gt;=658,F670=""),"Incomplete","Complete")</f>
        <v>Complete</v>
      </c>
      <c r="I670" s="48" t="s">
        <v>5035</v>
      </c>
    </row>
    <row r="671" spans="2:9" ht="15" customHeight="1" x14ac:dyDescent="0.25">
      <c r="B671" s="55" t="s">
        <v>279</v>
      </c>
      <c r="C671" s="46">
        <v>659</v>
      </c>
      <c r="D671" s="69" t="s">
        <v>29416</v>
      </c>
      <c r="E671" s="51"/>
      <c r="F671" s="114" t="str">
        <f>IF(INDEX(I.Facility.P1IDNumber,659)="","",INDEX(I.Facility.P1IDNumber,659))</f>
        <v/>
      </c>
      <c r="G671" s="51"/>
      <c r="H671" s="46" t="str">
        <f>IF(AND(I.Developer.P1=TRUE,I.Facility.P1FacilityCount&gt;=659,F671=""),"Incomplete","Complete")</f>
        <v>Complete</v>
      </c>
      <c r="I671" s="48" t="s">
        <v>5036</v>
      </c>
    </row>
    <row r="672" spans="2:9" ht="15" customHeight="1" x14ac:dyDescent="0.25">
      <c r="B672" s="55" t="s">
        <v>279</v>
      </c>
      <c r="C672" s="46">
        <v>660</v>
      </c>
      <c r="D672" s="69" t="s">
        <v>29416</v>
      </c>
      <c r="E672" s="51"/>
      <c r="F672" s="114" t="str">
        <f>IF(INDEX(I.Facility.P1IDNumber,660)="","",INDEX(I.Facility.P1IDNumber,660))</f>
        <v/>
      </c>
      <c r="G672" s="51"/>
      <c r="H672" s="46" t="str">
        <f>IF(AND(I.Developer.P1=TRUE,I.Facility.P1FacilityCount&gt;=660,F672=""),"Incomplete","Complete")</f>
        <v>Complete</v>
      </c>
      <c r="I672" s="48" t="s">
        <v>5037</v>
      </c>
    </row>
    <row r="673" spans="2:9" ht="15" customHeight="1" x14ac:dyDescent="0.25">
      <c r="B673" s="55" t="s">
        <v>279</v>
      </c>
      <c r="C673" s="46">
        <v>661</v>
      </c>
      <c r="D673" s="69" t="s">
        <v>29416</v>
      </c>
      <c r="E673" s="51"/>
      <c r="F673" s="114" t="str">
        <f>IF(INDEX(I.Facility.P1IDNumber,661)="","",INDEX(I.Facility.P1IDNumber,661))</f>
        <v/>
      </c>
      <c r="G673" s="51"/>
      <c r="H673" s="46" t="str">
        <f>IF(AND(I.Developer.P1=TRUE,I.Facility.P1FacilityCount&gt;=661,F673=""),"Incomplete","Complete")</f>
        <v>Complete</v>
      </c>
      <c r="I673" s="48" t="s">
        <v>5038</v>
      </c>
    </row>
    <row r="674" spans="2:9" ht="15" customHeight="1" x14ac:dyDescent="0.25">
      <c r="B674" s="55" t="s">
        <v>279</v>
      </c>
      <c r="C674" s="46">
        <v>662</v>
      </c>
      <c r="D674" s="69" t="s">
        <v>29416</v>
      </c>
      <c r="E674" s="51"/>
      <c r="F674" s="114" t="str">
        <f>IF(INDEX(I.Facility.P1IDNumber,662)="","",INDEX(I.Facility.P1IDNumber,662))</f>
        <v/>
      </c>
      <c r="G674" s="51"/>
      <c r="H674" s="46" t="str">
        <f>IF(AND(I.Developer.P1=TRUE,I.Facility.P1FacilityCount&gt;=662,F674=""),"Incomplete","Complete")</f>
        <v>Complete</v>
      </c>
      <c r="I674" s="48" t="s">
        <v>5039</v>
      </c>
    </row>
    <row r="675" spans="2:9" ht="15" customHeight="1" x14ac:dyDescent="0.25">
      <c r="B675" s="55" t="s">
        <v>279</v>
      </c>
      <c r="C675" s="46">
        <v>663</v>
      </c>
      <c r="D675" s="69" t="s">
        <v>29416</v>
      </c>
      <c r="E675" s="51"/>
      <c r="F675" s="114" t="str">
        <f>IF(INDEX(I.Facility.P1IDNumber,663)="","",INDEX(I.Facility.P1IDNumber,663))</f>
        <v/>
      </c>
      <c r="G675" s="51"/>
      <c r="H675" s="46" t="str">
        <f>IF(AND(I.Developer.P1=TRUE,I.Facility.P1FacilityCount&gt;=663,F675=""),"Incomplete","Complete")</f>
        <v>Complete</v>
      </c>
      <c r="I675" s="48" t="s">
        <v>5040</v>
      </c>
    </row>
    <row r="676" spans="2:9" ht="15" customHeight="1" x14ac:dyDescent="0.25">
      <c r="B676" s="55" t="s">
        <v>279</v>
      </c>
      <c r="C676" s="46">
        <v>664</v>
      </c>
      <c r="D676" s="69" t="s">
        <v>29416</v>
      </c>
      <c r="E676" s="51"/>
      <c r="F676" s="114" t="str">
        <f>IF(INDEX(I.Facility.P1IDNumber,664)="","",INDEX(I.Facility.P1IDNumber,664))</f>
        <v/>
      </c>
      <c r="G676" s="51"/>
      <c r="H676" s="46" t="str">
        <f>IF(AND(I.Developer.P1=TRUE,I.Facility.P1FacilityCount&gt;=664,F676=""),"Incomplete","Complete")</f>
        <v>Complete</v>
      </c>
      <c r="I676" s="48" t="s">
        <v>5041</v>
      </c>
    </row>
    <row r="677" spans="2:9" ht="15" customHeight="1" x14ac:dyDescent="0.25">
      <c r="B677" s="55" t="s">
        <v>279</v>
      </c>
      <c r="C677" s="46">
        <v>665</v>
      </c>
      <c r="D677" s="69" t="s">
        <v>29416</v>
      </c>
      <c r="E677" s="51"/>
      <c r="F677" s="114" t="str">
        <f>IF(INDEX(I.Facility.P1IDNumber,665)="","",INDEX(I.Facility.P1IDNumber,665))</f>
        <v/>
      </c>
      <c r="G677" s="51"/>
      <c r="H677" s="46" t="str">
        <f>IF(AND(I.Developer.P1=TRUE,I.Facility.P1FacilityCount&gt;=665,F677=""),"Incomplete","Complete")</f>
        <v>Complete</v>
      </c>
      <c r="I677" s="48" t="s">
        <v>5042</v>
      </c>
    </row>
    <row r="678" spans="2:9" ht="15" customHeight="1" x14ac:dyDescent="0.25">
      <c r="B678" s="55" t="s">
        <v>279</v>
      </c>
      <c r="C678" s="46">
        <v>666</v>
      </c>
      <c r="D678" s="69" t="s">
        <v>29416</v>
      </c>
      <c r="E678" s="51"/>
      <c r="F678" s="114" t="str">
        <f>IF(INDEX(I.Facility.P1IDNumber,666)="","",INDEX(I.Facility.P1IDNumber,666))</f>
        <v/>
      </c>
      <c r="G678" s="51"/>
      <c r="H678" s="46" t="str">
        <f>IF(AND(I.Developer.P1=TRUE,I.Facility.P1FacilityCount&gt;=666,F678=""),"Incomplete","Complete")</f>
        <v>Complete</v>
      </c>
      <c r="I678" s="48" t="s">
        <v>5043</v>
      </c>
    </row>
    <row r="679" spans="2:9" ht="15" customHeight="1" x14ac:dyDescent="0.25">
      <c r="B679" s="55" t="s">
        <v>279</v>
      </c>
      <c r="C679" s="46">
        <v>667</v>
      </c>
      <c r="D679" s="69" t="s">
        <v>29416</v>
      </c>
      <c r="E679" s="51"/>
      <c r="F679" s="114" t="str">
        <f>IF(INDEX(I.Facility.P1IDNumber,667)="","",INDEX(I.Facility.P1IDNumber,667))</f>
        <v/>
      </c>
      <c r="G679" s="51"/>
      <c r="H679" s="46" t="str">
        <f>IF(AND(I.Developer.P1=TRUE,I.Facility.P1FacilityCount&gt;=667,F679=""),"Incomplete","Complete")</f>
        <v>Complete</v>
      </c>
      <c r="I679" s="48" t="s">
        <v>5044</v>
      </c>
    </row>
    <row r="680" spans="2:9" ht="15" customHeight="1" x14ac:dyDescent="0.25">
      <c r="B680" s="55" t="s">
        <v>279</v>
      </c>
      <c r="C680" s="46">
        <v>668</v>
      </c>
      <c r="D680" s="69" t="s">
        <v>29416</v>
      </c>
      <c r="E680" s="51"/>
      <c r="F680" s="114" t="str">
        <f>IF(INDEX(I.Facility.P1IDNumber,668)="","",INDEX(I.Facility.P1IDNumber,668))</f>
        <v/>
      </c>
      <c r="G680" s="51"/>
      <c r="H680" s="46" t="str">
        <f>IF(AND(I.Developer.P1=TRUE,I.Facility.P1FacilityCount&gt;=668,F680=""),"Incomplete","Complete")</f>
        <v>Complete</v>
      </c>
      <c r="I680" s="48" t="s">
        <v>5045</v>
      </c>
    </row>
    <row r="681" spans="2:9" ht="15" customHeight="1" x14ac:dyDescent="0.25">
      <c r="B681" s="55" t="s">
        <v>279</v>
      </c>
      <c r="C681" s="46">
        <v>669</v>
      </c>
      <c r="D681" s="69" t="s">
        <v>29416</v>
      </c>
      <c r="E681" s="51"/>
      <c r="F681" s="114" t="str">
        <f>IF(INDEX(I.Facility.P1IDNumber,669)="","",INDEX(I.Facility.P1IDNumber,669))</f>
        <v/>
      </c>
      <c r="G681" s="51"/>
      <c r="H681" s="46" t="str">
        <f>IF(AND(I.Developer.P1=TRUE,I.Facility.P1FacilityCount&gt;=669,F681=""),"Incomplete","Complete")</f>
        <v>Complete</v>
      </c>
      <c r="I681" s="48" t="s">
        <v>5046</v>
      </c>
    </row>
    <row r="682" spans="2:9" ht="15" customHeight="1" x14ac:dyDescent="0.25">
      <c r="B682" s="55" t="s">
        <v>279</v>
      </c>
      <c r="C682" s="46">
        <v>670</v>
      </c>
      <c r="D682" s="69" t="s">
        <v>29416</v>
      </c>
      <c r="E682" s="51"/>
      <c r="F682" s="114" t="str">
        <f>IF(INDEX(I.Facility.P1IDNumber,670)="","",INDEX(I.Facility.P1IDNumber,670))</f>
        <v/>
      </c>
      <c r="G682" s="51"/>
      <c r="H682" s="46" t="str">
        <f>IF(AND(I.Developer.P1=TRUE,I.Facility.P1FacilityCount&gt;=670,F682=""),"Incomplete","Complete")</f>
        <v>Complete</v>
      </c>
      <c r="I682" s="48" t="s">
        <v>5047</v>
      </c>
    </row>
    <row r="683" spans="2:9" ht="15" customHeight="1" x14ac:dyDescent="0.25">
      <c r="B683" s="55" t="s">
        <v>279</v>
      </c>
      <c r="C683" s="46">
        <v>671</v>
      </c>
      <c r="D683" s="69" t="s">
        <v>29416</v>
      </c>
      <c r="E683" s="51"/>
      <c r="F683" s="114" t="str">
        <f>IF(INDEX(I.Facility.P1IDNumber,671)="","",INDEX(I.Facility.P1IDNumber,671))</f>
        <v/>
      </c>
      <c r="G683" s="51"/>
      <c r="H683" s="46" t="str">
        <f>IF(AND(I.Developer.P1=TRUE,I.Facility.P1FacilityCount&gt;=671,F683=""),"Incomplete","Complete")</f>
        <v>Complete</v>
      </c>
      <c r="I683" s="48" t="s">
        <v>5048</v>
      </c>
    </row>
    <row r="684" spans="2:9" ht="15" customHeight="1" x14ac:dyDescent="0.25">
      <c r="B684" s="55" t="s">
        <v>279</v>
      </c>
      <c r="C684" s="46">
        <v>672</v>
      </c>
      <c r="D684" s="69" t="s">
        <v>29416</v>
      </c>
      <c r="E684" s="51"/>
      <c r="F684" s="114" t="str">
        <f>IF(INDEX(I.Facility.P1IDNumber,672)="","",INDEX(I.Facility.P1IDNumber,672))</f>
        <v/>
      </c>
      <c r="G684" s="51"/>
      <c r="H684" s="46" t="str">
        <f>IF(AND(I.Developer.P1=TRUE,I.Facility.P1FacilityCount&gt;=672,F684=""),"Incomplete","Complete")</f>
        <v>Complete</v>
      </c>
      <c r="I684" s="48" t="s">
        <v>5049</v>
      </c>
    </row>
    <row r="685" spans="2:9" ht="15" customHeight="1" x14ac:dyDescent="0.25">
      <c r="B685" s="55" t="s">
        <v>279</v>
      </c>
      <c r="C685" s="46">
        <v>673</v>
      </c>
      <c r="D685" s="69" t="s">
        <v>29416</v>
      </c>
      <c r="E685" s="51"/>
      <c r="F685" s="114" t="str">
        <f>IF(INDEX(I.Facility.P1IDNumber,673)="","",INDEX(I.Facility.P1IDNumber,673))</f>
        <v/>
      </c>
      <c r="G685" s="51"/>
      <c r="H685" s="46" t="str">
        <f>IF(AND(I.Developer.P1=TRUE,I.Facility.P1FacilityCount&gt;=673,F685=""),"Incomplete","Complete")</f>
        <v>Complete</v>
      </c>
      <c r="I685" s="48" t="s">
        <v>5050</v>
      </c>
    </row>
    <row r="686" spans="2:9" ht="15" customHeight="1" x14ac:dyDescent="0.25">
      <c r="B686" s="55" t="s">
        <v>279</v>
      </c>
      <c r="C686" s="46">
        <v>674</v>
      </c>
      <c r="D686" s="69" t="s">
        <v>29416</v>
      </c>
      <c r="E686" s="51"/>
      <c r="F686" s="114" t="str">
        <f>IF(INDEX(I.Facility.P1IDNumber,674)="","",INDEX(I.Facility.P1IDNumber,674))</f>
        <v/>
      </c>
      <c r="G686" s="51"/>
      <c r="H686" s="46" t="str">
        <f>IF(AND(I.Developer.P1=TRUE,I.Facility.P1FacilityCount&gt;=674,F686=""),"Incomplete","Complete")</f>
        <v>Complete</v>
      </c>
      <c r="I686" s="48" t="s">
        <v>5051</v>
      </c>
    </row>
    <row r="687" spans="2:9" ht="15" customHeight="1" x14ac:dyDescent="0.25">
      <c r="B687" s="55" t="s">
        <v>279</v>
      </c>
      <c r="C687" s="46">
        <v>675</v>
      </c>
      <c r="D687" s="69" t="s">
        <v>29416</v>
      </c>
      <c r="E687" s="51"/>
      <c r="F687" s="114" t="str">
        <f>IF(INDEX(I.Facility.P1IDNumber,675)="","",INDEX(I.Facility.P1IDNumber,675))</f>
        <v/>
      </c>
      <c r="G687" s="51"/>
      <c r="H687" s="46" t="str">
        <f>IF(AND(I.Developer.P1=TRUE,I.Facility.P1FacilityCount&gt;=675,F687=""),"Incomplete","Complete")</f>
        <v>Complete</v>
      </c>
      <c r="I687" s="48" t="s">
        <v>5052</v>
      </c>
    </row>
    <row r="688" spans="2:9" ht="15" customHeight="1" x14ac:dyDescent="0.25">
      <c r="B688" s="55" t="s">
        <v>279</v>
      </c>
      <c r="C688" s="46">
        <v>676</v>
      </c>
      <c r="D688" s="69" t="s">
        <v>29416</v>
      </c>
      <c r="E688" s="51"/>
      <c r="F688" s="114" t="str">
        <f>IF(INDEX(I.Facility.P1IDNumber,676)="","",INDEX(I.Facility.P1IDNumber,676))</f>
        <v/>
      </c>
      <c r="G688" s="51"/>
      <c r="H688" s="46" t="str">
        <f>IF(AND(I.Developer.P1=TRUE,I.Facility.P1FacilityCount&gt;=676,F688=""),"Incomplete","Complete")</f>
        <v>Complete</v>
      </c>
      <c r="I688" s="48" t="s">
        <v>5053</v>
      </c>
    </row>
    <row r="689" spans="2:9" ht="15" customHeight="1" x14ac:dyDescent="0.25">
      <c r="B689" s="55" t="s">
        <v>279</v>
      </c>
      <c r="C689" s="46">
        <v>677</v>
      </c>
      <c r="D689" s="69" t="s">
        <v>29416</v>
      </c>
      <c r="E689" s="51"/>
      <c r="F689" s="114" t="str">
        <f>IF(INDEX(I.Facility.P1IDNumber,677)="","",INDEX(I.Facility.P1IDNumber,677))</f>
        <v/>
      </c>
      <c r="G689" s="51"/>
      <c r="H689" s="46" t="str">
        <f>IF(AND(I.Developer.P1=TRUE,I.Facility.P1FacilityCount&gt;=677,F689=""),"Incomplete","Complete")</f>
        <v>Complete</v>
      </c>
      <c r="I689" s="48" t="s">
        <v>5054</v>
      </c>
    </row>
    <row r="690" spans="2:9" ht="15" customHeight="1" x14ac:dyDescent="0.25">
      <c r="B690" s="55" t="s">
        <v>279</v>
      </c>
      <c r="C690" s="46">
        <v>678</v>
      </c>
      <c r="D690" s="69" t="s">
        <v>29416</v>
      </c>
      <c r="E690" s="51"/>
      <c r="F690" s="114" t="str">
        <f>IF(INDEX(I.Facility.P1IDNumber,678)="","",INDEX(I.Facility.P1IDNumber,678))</f>
        <v/>
      </c>
      <c r="G690" s="51"/>
      <c r="H690" s="46" t="str">
        <f>IF(AND(I.Developer.P1=TRUE,I.Facility.P1FacilityCount&gt;=678,F690=""),"Incomplete","Complete")</f>
        <v>Complete</v>
      </c>
      <c r="I690" s="48" t="s">
        <v>5055</v>
      </c>
    </row>
    <row r="691" spans="2:9" ht="15" customHeight="1" x14ac:dyDescent="0.25">
      <c r="B691" s="55" t="s">
        <v>279</v>
      </c>
      <c r="C691" s="46">
        <v>679</v>
      </c>
      <c r="D691" s="69" t="s">
        <v>29416</v>
      </c>
      <c r="E691" s="51"/>
      <c r="F691" s="114" t="str">
        <f>IF(INDEX(I.Facility.P1IDNumber,679)="","",INDEX(I.Facility.P1IDNumber,679))</f>
        <v/>
      </c>
      <c r="G691" s="51"/>
      <c r="H691" s="46" t="str">
        <f>IF(AND(I.Developer.P1=TRUE,I.Facility.P1FacilityCount&gt;=679,F691=""),"Incomplete","Complete")</f>
        <v>Complete</v>
      </c>
      <c r="I691" s="48" t="s">
        <v>5056</v>
      </c>
    </row>
    <row r="692" spans="2:9" ht="15" customHeight="1" x14ac:dyDescent="0.25">
      <c r="B692" s="55" t="s">
        <v>279</v>
      </c>
      <c r="C692" s="46">
        <v>680</v>
      </c>
      <c r="D692" s="69" t="s">
        <v>29416</v>
      </c>
      <c r="E692" s="51"/>
      <c r="F692" s="114" t="str">
        <f>IF(INDEX(I.Facility.P1IDNumber,680)="","",INDEX(I.Facility.P1IDNumber,680))</f>
        <v/>
      </c>
      <c r="G692" s="51"/>
      <c r="H692" s="46" t="str">
        <f>IF(AND(I.Developer.P1=TRUE,I.Facility.P1FacilityCount&gt;=680,F692=""),"Incomplete","Complete")</f>
        <v>Complete</v>
      </c>
      <c r="I692" s="48" t="s">
        <v>5057</v>
      </c>
    </row>
    <row r="693" spans="2:9" ht="15" customHeight="1" x14ac:dyDescent="0.25">
      <c r="B693" s="55" t="s">
        <v>279</v>
      </c>
      <c r="C693" s="46">
        <v>681</v>
      </c>
      <c r="D693" s="69" t="s">
        <v>29416</v>
      </c>
      <c r="E693" s="51"/>
      <c r="F693" s="114" t="str">
        <f>IF(INDEX(I.Facility.P1IDNumber,681)="","",INDEX(I.Facility.P1IDNumber,681))</f>
        <v/>
      </c>
      <c r="G693" s="51"/>
      <c r="H693" s="46" t="str">
        <f>IF(AND(I.Developer.P1=TRUE,I.Facility.P1FacilityCount&gt;=681,F693=""),"Incomplete","Complete")</f>
        <v>Complete</v>
      </c>
      <c r="I693" s="48" t="s">
        <v>5058</v>
      </c>
    </row>
    <row r="694" spans="2:9" ht="15" customHeight="1" x14ac:dyDescent="0.25">
      <c r="B694" s="55" t="s">
        <v>279</v>
      </c>
      <c r="C694" s="46">
        <v>682</v>
      </c>
      <c r="D694" s="69" t="s">
        <v>29416</v>
      </c>
      <c r="E694" s="51"/>
      <c r="F694" s="114" t="str">
        <f>IF(INDEX(I.Facility.P1IDNumber,682)="","",INDEX(I.Facility.P1IDNumber,682))</f>
        <v/>
      </c>
      <c r="G694" s="51"/>
      <c r="H694" s="46" t="str">
        <f>IF(AND(I.Developer.P1=TRUE,I.Facility.P1FacilityCount&gt;=682,F694=""),"Incomplete","Complete")</f>
        <v>Complete</v>
      </c>
      <c r="I694" s="48" t="s">
        <v>5059</v>
      </c>
    </row>
    <row r="695" spans="2:9" ht="15" customHeight="1" x14ac:dyDescent="0.25">
      <c r="B695" s="55" t="s">
        <v>279</v>
      </c>
      <c r="C695" s="46">
        <v>683</v>
      </c>
      <c r="D695" s="69" t="s">
        <v>29416</v>
      </c>
      <c r="E695" s="51"/>
      <c r="F695" s="114" t="str">
        <f>IF(INDEX(I.Facility.P1IDNumber,683)="","",INDEX(I.Facility.P1IDNumber,683))</f>
        <v/>
      </c>
      <c r="G695" s="51"/>
      <c r="H695" s="46" t="str">
        <f>IF(AND(I.Developer.P1=TRUE,I.Facility.P1FacilityCount&gt;=683,F695=""),"Incomplete","Complete")</f>
        <v>Complete</v>
      </c>
      <c r="I695" s="48" t="s">
        <v>5060</v>
      </c>
    </row>
    <row r="696" spans="2:9" ht="15" customHeight="1" x14ac:dyDescent="0.25">
      <c r="B696" s="55" t="s">
        <v>279</v>
      </c>
      <c r="C696" s="46">
        <v>684</v>
      </c>
      <c r="D696" s="69" t="s">
        <v>29416</v>
      </c>
      <c r="E696" s="51"/>
      <c r="F696" s="114" t="str">
        <f>IF(INDEX(I.Facility.P1IDNumber,684)="","",INDEX(I.Facility.P1IDNumber,684))</f>
        <v/>
      </c>
      <c r="G696" s="51"/>
      <c r="H696" s="46" t="str">
        <f>IF(AND(I.Developer.P1=TRUE,I.Facility.P1FacilityCount&gt;=684,F696=""),"Incomplete","Complete")</f>
        <v>Complete</v>
      </c>
      <c r="I696" s="48" t="s">
        <v>5061</v>
      </c>
    </row>
    <row r="697" spans="2:9" ht="15" customHeight="1" x14ac:dyDescent="0.25">
      <c r="B697" s="55" t="s">
        <v>279</v>
      </c>
      <c r="C697" s="46">
        <v>685</v>
      </c>
      <c r="D697" s="69" t="s">
        <v>29416</v>
      </c>
      <c r="E697" s="51"/>
      <c r="F697" s="114" t="str">
        <f>IF(INDEX(I.Facility.P1IDNumber,685)="","",INDEX(I.Facility.P1IDNumber,685))</f>
        <v/>
      </c>
      <c r="G697" s="51"/>
      <c r="H697" s="46" t="str">
        <f>IF(AND(I.Developer.P1=TRUE,I.Facility.P1FacilityCount&gt;=685,F697=""),"Incomplete","Complete")</f>
        <v>Complete</v>
      </c>
      <c r="I697" s="48" t="s">
        <v>5062</v>
      </c>
    </row>
    <row r="698" spans="2:9" ht="15" customHeight="1" x14ac:dyDescent="0.25">
      <c r="B698" s="55" t="s">
        <v>279</v>
      </c>
      <c r="C698" s="46">
        <v>686</v>
      </c>
      <c r="D698" s="69" t="s">
        <v>29416</v>
      </c>
      <c r="E698" s="51"/>
      <c r="F698" s="114" t="str">
        <f>IF(INDEX(I.Facility.P1IDNumber,686)="","",INDEX(I.Facility.P1IDNumber,686))</f>
        <v/>
      </c>
      <c r="G698" s="51"/>
      <c r="H698" s="46" t="str">
        <f>IF(AND(I.Developer.P1=TRUE,I.Facility.P1FacilityCount&gt;=686,F698=""),"Incomplete","Complete")</f>
        <v>Complete</v>
      </c>
      <c r="I698" s="48" t="s">
        <v>5063</v>
      </c>
    </row>
    <row r="699" spans="2:9" ht="15" customHeight="1" x14ac:dyDescent="0.25">
      <c r="B699" s="55" t="s">
        <v>279</v>
      </c>
      <c r="C699" s="46">
        <v>687</v>
      </c>
      <c r="D699" s="69" t="s">
        <v>29416</v>
      </c>
      <c r="E699" s="51"/>
      <c r="F699" s="114" t="str">
        <f>IF(INDEX(I.Facility.P1IDNumber,687)="","",INDEX(I.Facility.P1IDNumber,687))</f>
        <v/>
      </c>
      <c r="G699" s="51"/>
      <c r="H699" s="46" t="str">
        <f>IF(AND(I.Developer.P1=TRUE,I.Facility.P1FacilityCount&gt;=687,F699=""),"Incomplete","Complete")</f>
        <v>Complete</v>
      </c>
      <c r="I699" s="48" t="s">
        <v>5064</v>
      </c>
    </row>
    <row r="700" spans="2:9" ht="15" customHeight="1" x14ac:dyDescent="0.25">
      <c r="B700" s="55" t="s">
        <v>279</v>
      </c>
      <c r="C700" s="46">
        <v>688</v>
      </c>
      <c r="D700" s="69" t="s">
        <v>29416</v>
      </c>
      <c r="E700" s="51"/>
      <c r="F700" s="114" t="str">
        <f>IF(INDEX(I.Facility.P1IDNumber,688)="","",INDEX(I.Facility.P1IDNumber,688))</f>
        <v/>
      </c>
      <c r="G700" s="51"/>
      <c r="H700" s="46" t="str">
        <f>IF(AND(I.Developer.P1=TRUE,I.Facility.P1FacilityCount&gt;=688,F700=""),"Incomplete","Complete")</f>
        <v>Complete</v>
      </c>
      <c r="I700" s="48" t="s">
        <v>5065</v>
      </c>
    </row>
    <row r="701" spans="2:9" ht="15" customHeight="1" x14ac:dyDescent="0.25">
      <c r="B701" s="55" t="s">
        <v>279</v>
      </c>
      <c r="C701" s="46">
        <v>689</v>
      </c>
      <c r="D701" s="69" t="s">
        <v>29416</v>
      </c>
      <c r="E701" s="51"/>
      <c r="F701" s="114" t="str">
        <f>IF(INDEX(I.Facility.P1IDNumber,689)="","",INDEX(I.Facility.P1IDNumber,689))</f>
        <v/>
      </c>
      <c r="G701" s="51"/>
      <c r="H701" s="46" t="str">
        <f>IF(AND(I.Developer.P1=TRUE,I.Facility.P1FacilityCount&gt;=689,F701=""),"Incomplete","Complete")</f>
        <v>Complete</v>
      </c>
      <c r="I701" s="48" t="s">
        <v>5066</v>
      </c>
    </row>
    <row r="702" spans="2:9" ht="15" customHeight="1" x14ac:dyDescent="0.25">
      <c r="B702" s="55" t="s">
        <v>279</v>
      </c>
      <c r="C702" s="46">
        <v>690</v>
      </c>
      <c r="D702" s="69" t="s">
        <v>29416</v>
      </c>
      <c r="E702" s="51"/>
      <c r="F702" s="114" t="str">
        <f>IF(INDEX(I.Facility.P1IDNumber,690)="","",INDEX(I.Facility.P1IDNumber,690))</f>
        <v/>
      </c>
      <c r="G702" s="51"/>
      <c r="H702" s="46" t="str">
        <f>IF(AND(I.Developer.P1=TRUE,I.Facility.P1FacilityCount&gt;=690,F702=""),"Incomplete","Complete")</f>
        <v>Complete</v>
      </c>
      <c r="I702" s="48" t="s">
        <v>5067</v>
      </c>
    </row>
    <row r="703" spans="2:9" ht="15" customHeight="1" x14ac:dyDescent="0.25">
      <c r="B703" s="55" t="s">
        <v>279</v>
      </c>
      <c r="C703" s="46">
        <v>691</v>
      </c>
      <c r="D703" s="69" t="s">
        <v>29416</v>
      </c>
      <c r="E703" s="51"/>
      <c r="F703" s="114" t="str">
        <f>IF(INDEX(I.Facility.P1IDNumber,691)="","",INDEX(I.Facility.P1IDNumber,691))</f>
        <v/>
      </c>
      <c r="G703" s="51"/>
      <c r="H703" s="46" t="str">
        <f>IF(AND(I.Developer.P1=TRUE,I.Facility.P1FacilityCount&gt;=691,F703=""),"Incomplete","Complete")</f>
        <v>Complete</v>
      </c>
      <c r="I703" s="48" t="s">
        <v>5068</v>
      </c>
    </row>
    <row r="704" spans="2:9" ht="15" customHeight="1" x14ac:dyDescent="0.25">
      <c r="B704" s="55" t="s">
        <v>279</v>
      </c>
      <c r="C704" s="46">
        <v>692</v>
      </c>
      <c r="D704" s="69" t="s">
        <v>29416</v>
      </c>
      <c r="E704" s="51"/>
      <c r="F704" s="114" t="str">
        <f>IF(INDEX(I.Facility.P1IDNumber,692)="","",INDEX(I.Facility.P1IDNumber,692))</f>
        <v/>
      </c>
      <c r="G704" s="51"/>
      <c r="H704" s="46" t="str">
        <f>IF(AND(I.Developer.P1=TRUE,I.Facility.P1FacilityCount&gt;=692,F704=""),"Incomplete","Complete")</f>
        <v>Complete</v>
      </c>
      <c r="I704" s="48" t="s">
        <v>5069</v>
      </c>
    </row>
    <row r="705" spans="2:9" ht="15" customHeight="1" x14ac:dyDescent="0.25">
      <c r="B705" s="55" t="s">
        <v>279</v>
      </c>
      <c r="C705" s="46">
        <v>693</v>
      </c>
      <c r="D705" s="69" t="s">
        <v>29416</v>
      </c>
      <c r="E705" s="51"/>
      <c r="F705" s="114" t="str">
        <f>IF(INDEX(I.Facility.P1IDNumber,693)="","",INDEX(I.Facility.P1IDNumber,693))</f>
        <v/>
      </c>
      <c r="G705" s="51"/>
      <c r="H705" s="46" t="str">
        <f>IF(AND(I.Developer.P1=TRUE,I.Facility.P1FacilityCount&gt;=693,F705=""),"Incomplete","Complete")</f>
        <v>Complete</v>
      </c>
      <c r="I705" s="48" t="s">
        <v>5070</v>
      </c>
    </row>
    <row r="706" spans="2:9" ht="15" customHeight="1" x14ac:dyDescent="0.25">
      <c r="B706" s="55" t="s">
        <v>279</v>
      </c>
      <c r="C706" s="46">
        <v>694</v>
      </c>
      <c r="D706" s="69" t="s">
        <v>29416</v>
      </c>
      <c r="E706" s="51"/>
      <c r="F706" s="114" t="str">
        <f>IF(INDEX(I.Facility.P1IDNumber,694)="","",INDEX(I.Facility.P1IDNumber,694))</f>
        <v/>
      </c>
      <c r="G706" s="51"/>
      <c r="H706" s="46" t="str">
        <f>IF(AND(I.Developer.P1=TRUE,I.Facility.P1FacilityCount&gt;=694,F706=""),"Incomplete","Complete")</f>
        <v>Complete</v>
      </c>
      <c r="I706" s="48" t="s">
        <v>5071</v>
      </c>
    </row>
    <row r="707" spans="2:9" ht="15" customHeight="1" x14ac:dyDescent="0.25">
      <c r="B707" s="55" t="s">
        <v>279</v>
      </c>
      <c r="C707" s="46">
        <v>695</v>
      </c>
      <c r="D707" s="69" t="s">
        <v>29416</v>
      </c>
      <c r="E707" s="51"/>
      <c r="F707" s="114" t="str">
        <f>IF(INDEX(I.Facility.P1IDNumber,695)="","",INDEX(I.Facility.P1IDNumber,695))</f>
        <v/>
      </c>
      <c r="G707" s="51"/>
      <c r="H707" s="46" t="str">
        <f>IF(AND(I.Developer.P1=TRUE,I.Facility.P1FacilityCount&gt;=695,F707=""),"Incomplete","Complete")</f>
        <v>Complete</v>
      </c>
      <c r="I707" s="48" t="s">
        <v>5072</v>
      </c>
    </row>
    <row r="708" spans="2:9" ht="15" customHeight="1" x14ac:dyDescent="0.25">
      <c r="B708" s="55" t="s">
        <v>279</v>
      </c>
      <c r="C708" s="46">
        <v>696</v>
      </c>
      <c r="D708" s="69" t="s">
        <v>29416</v>
      </c>
      <c r="E708" s="51"/>
      <c r="F708" s="114" t="str">
        <f>IF(INDEX(I.Facility.P1IDNumber,696)="","",INDEX(I.Facility.P1IDNumber,696))</f>
        <v/>
      </c>
      <c r="G708" s="51"/>
      <c r="H708" s="46" t="str">
        <f>IF(AND(I.Developer.P1=TRUE,I.Facility.P1FacilityCount&gt;=696,F708=""),"Incomplete","Complete")</f>
        <v>Complete</v>
      </c>
      <c r="I708" s="48" t="s">
        <v>5073</v>
      </c>
    </row>
    <row r="709" spans="2:9" ht="15" customHeight="1" x14ac:dyDescent="0.25">
      <c r="B709" s="55" t="s">
        <v>279</v>
      </c>
      <c r="C709" s="46">
        <v>697</v>
      </c>
      <c r="D709" s="69" t="s">
        <v>29416</v>
      </c>
      <c r="E709" s="51"/>
      <c r="F709" s="114" t="str">
        <f>IF(INDEX(I.Facility.P1IDNumber,697)="","",INDEX(I.Facility.P1IDNumber,697))</f>
        <v/>
      </c>
      <c r="G709" s="51"/>
      <c r="H709" s="46" t="str">
        <f>IF(AND(I.Developer.P1=TRUE,I.Facility.P1FacilityCount&gt;=697,F709=""),"Incomplete","Complete")</f>
        <v>Complete</v>
      </c>
      <c r="I709" s="48" t="s">
        <v>5074</v>
      </c>
    </row>
    <row r="710" spans="2:9" ht="15" customHeight="1" x14ac:dyDescent="0.25">
      <c r="B710" s="55" t="s">
        <v>279</v>
      </c>
      <c r="C710" s="46">
        <v>698</v>
      </c>
      <c r="D710" s="69" t="s">
        <v>29416</v>
      </c>
      <c r="E710" s="51"/>
      <c r="F710" s="114" t="str">
        <f>IF(INDEX(I.Facility.P1IDNumber,698)="","",INDEX(I.Facility.P1IDNumber,698))</f>
        <v/>
      </c>
      <c r="G710" s="51"/>
      <c r="H710" s="46" t="str">
        <f>IF(AND(I.Developer.P1=TRUE,I.Facility.P1FacilityCount&gt;=698,F710=""),"Incomplete","Complete")</f>
        <v>Complete</v>
      </c>
      <c r="I710" s="48" t="s">
        <v>5075</v>
      </c>
    </row>
    <row r="711" spans="2:9" ht="15" customHeight="1" x14ac:dyDescent="0.25">
      <c r="B711" s="55" t="s">
        <v>279</v>
      </c>
      <c r="C711" s="46">
        <v>699</v>
      </c>
      <c r="D711" s="69" t="s">
        <v>29416</v>
      </c>
      <c r="E711" s="51"/>
      <c r="F711" s="114" t="str">
        <f>IF(INDEX(I.Facility.P1IDNumber,699)="","",INDEX(I.Facility.P1IDNumber,699))</f>
        <v/>
      </c>
      <c r="G711" s="51"/>
      <c r="H711" s="46" t="str">
        <f>IF(AND(I.Developer.P1=TRUE,I.Facility.P1FacilityCount&gt;=699,F711=""),"Incomplete","Complete")</f>
        <v>Complete</v>
      </c>
      <c r="I711" s="48" t="s">
        <v>5076</v>
      </c>
    </row>
    <row r="712" spans="2:9" ht="15" customHeight="1" x14ac:dyDescent="0.25">
      <c r="B712" s="55" t="s">
        <v>279</v>
      </c>
      <c r="C712" s="46">
        <v>700</v>
      </c>
      <c r="D712" s="69" t="s">
        <v>29416</v>
      </c>
      <c r="E712" s="51"/>
      <c r="F712" s="114" t="str">
        <f>IF(INDEX(I.Facility.P1IDNumber,700)="","",INDEX(I.Facility.P1IDNumber,700))</f>
        <v/>
      </c>
      <c r="G712" s="51"/>
      <c r="H712" s="46" t="str">
        <f>IF(AND(I.Developer.P1=TRUE,I.Facility.P1FacilityCount&gt;=700,F712=""),"Incomplete","Complete")</f>
        <v>Complete</v>
      </c>
      <c r="I712" s="48" t="s">
        <v>5077</v>
      </c>
    </row>
    <row r="713" spans="2:9" ht="15" customHeight="1" x14ac:dyDescent="0.25">
      <c r="B713" s="55" t="s">
        <v>279</v>
      </c>
      <c r="C713" s="46">
        <v>701</v>
      </c>
      <c r="D713" s="69" t="s">
        <v>29416</v>
      </c>
      <c r="E713" s="51"/>
      <c r="F713" s="114" t="str">
        <f>IF(INDEX(I.Facility.P1IDNumber,701)="","",INDEX(I.Facility.P1IDNumber,701))</f>
        <v/>
      </c>
      <c r="G713" s="51"/>
      <c r="H713" s="46" t="str">
        <f>IF(AND(I.Developer.P1=TRUE,I.Facility.P1FacilityCount&gt;=701,F713=""),"Incomplete","Complete")</f>
        <v>Complete</v>
      </c>
      <c r="I713" s="48" t="s">
        <v>5078</v>
      </c>
    </row>
    <row r="714" spans="2:9" ht="15" customHeight="1" x14ac:dyDescent="0.25">
      <c r="B714" s="55" t="s">
        <v>279</v>
      </c>
      <c r="C714" s="46">
        <v>702</v>
      </c>
      <c r="D714" s="69" t="s">
        <v>29416</v>
      </c>
      <c r="E714" s="51"/>
      <c r="F714" s="114" t="str">
        <f>IF(INDEX(I.Facility.P1IDNumber,702)="","",INDEX(I.Facility.P1IDNumber,702))</f>
        <v/>
      </c>
      <c r="G714" s="51"/>
      <c r="H714" s="46" t="str">
        <f>IF(AND(I.Developer.P1=TRUE,I.Facility.P1FacilityCount&gt;=702,F714=""),"Incomplete","Complete")</f>
        <v>Complete</v>
      </c>
      <c r="I714" s="48" t="s">
        <v>5079</v>
      </c>
    </row>
    <row r="715" spans="2:9" ht="15" customHeight="1" x14ac:dyDescent="0.25">
      <c r="B715" s="55" t="s">
        <v>279</v>
      </c>
      <c r="C715" s="46">
        <v>703</v>
      </c>
      <c r="D715" s="69" t="s">
        <v>29416</v>
      </c>
      <c r="E715" s="51"/>
      <c r="F715" s="114" t="str">
        <f>IF(INDEX(I.Facility.P1IDNumber,703)="","",INDEX(I.Facility.P1IDNumber,703))</f>
        <v/>
      </c>
      <c r="G715" s="51"/>
      <c r="H715" s="46" t="str">
        <f>IF(AND(I.Developer.P1=TRUE,I.Facility.P1FacilityCount&gt;=703,F715=""),"Incomplete","Complete")</f>
        <v>Complete</v>
      </c>
      <c r="I715" s="48" t="s">
        <v>5080</v>
      </c>
    </row>
    <row r="716" spans="2:9" ht="15" customHeight="1" x14ac:dyDescent="0.25">
      <c r="B716" s="55" t="s">
        <v>279</v>
      </c>
      <c r="C716" s="46">
        <v>704</v>
      </c>
      <c r="D716" s="69" t="s">
        <v>29416</v>
      </c>
      <c r="E716" s="51"/>
      <c r="F716" s="114" t="str">
        <f>IF(INDEX(I.Facility.P1IDNumber,704)="","",INDEX(I.Facility.P1IDNumber,704))</f>
        <v/>
      </c>
      <c r="G716" s="51"/>
      <c r="H716" s="46" t="str">
        <f>IF(AND(I.Developer.P1=TRUE,I.Facility.P1FacilityCount&gt;=704,F716=""),"Incomplete","Complete")</f>
        <v>Complete</v>
      </c>
      <c r="I716" s="48" t="s">
        <v>5081</v>
      </c>
    </row>
    <row r="717" spans="2:9" ht="15" customHeight="1" x14ac:dyDescent="0.25">
      <c r="B717" s="55" t="s">
        <v>279</v>
      </c>
      <c r="C717" s="46">
        <v>705</v>
      </c>
      <c r="D717" s="69" t="s">
        <v>29416</v>
      </c>
      <c r="E717" s="51"/>
      <c r="F717" s="114" t="str">
        <f>IF(INDEX(I.Facility.P1IDNumber,705)="","",INDEX(I.Facility.P1IDNumber,705))</f>
        <v/>
      </c>
      <c r="G717" s="51"/>
      <c r="H717" s="46" t="str">
        <f>IF(AND(I.Developer.P1=TRUE,I.Facility.P1FacilityCount&gt;=705,F717=""),"Incomplete","Complete")</f>
        <v>Complete</v>
      </c>
      <c r="I717" s="48" t="s">
        <v>5082</v>
      </c>
    </row>
    <row r="718" spans="2:9" ht="15" customHeight="1" x14ac:dyDescent="0.25">
      <c r="B718" s="55" t="s">
        <v>279</v>
      </c>
      <c r="C718" s="46">
        <v>706</v>
      </c>
      <c r="D718" s="69" t="s">
        <v>29416</v>
      </c>
      <c r="E718" s="51"/>
      <c r="F718" s="114" t="str">
        <f>IF(INDEX(I.Facility.P1IDNumber,706)="","",INDEX(I.Facility.P1IDNumber,706))</f>
        <v/>
      </c>
      <c r="G718" s="51"/>
      <c r="H718" s="46" t="str">
        <f>IF(AND(I.Developer.P1=TRUE,I.Facility.P1FacilityCount&gt;=706,F718=""),"Incomplete","Complete")</f>
        <v>Complete</v>
      </c>
      <c r="I718" s="48" t="s">
        <v>5083</v>
      </c>
    </row>
    <row r="719" spans="2:9" ht="15" customHeight="1" x14ac:dyDescent="0.25">
      <c r="B719" s="55" t="s">
        <v>279</v>
      </c>
      <c r="C719" s="46">
        <v>707</v>
      </c>
      <c r="D719" s="69" t="s">
        <v>29416</v>
      </c>
      <c r="E719" s="51"/>
      <c r="F719" s="114" t="str">
        <f>IF(INDEX(I.Facility.P1IDNumber,707)="","",INDEX(I.Facility.P1IDNumber,707))</f>
        <v/>
      </c>
      <c r="G719" s="51"/>
      <c r="H719" s="46" t="str">
        <f>IF(AND(I.Developer.P1=TRUE,I.Facility.P1FacilityCount&gt;=707,F719=""),"Incomplete","Complete")</f>
        <v>Complete</v>
      </c>
      <c r="I719" s="48" t="s">
        <v>5084</v>
      </c>
    </row>
    <row r="720" spans="2:9" ht="15" customHeight="1" x14ac:dyDescent="0.25">
      <c r="B720" s="55" t="s">
        <v>279</v>
      </c>
      <c r="C720" s="46">
        <v>708</v>
      </c>
      <c r="D720" s="69" t="s">
        <v>29416</v>
      </c>
      <c r="E720" s="51"/>
      <c r="F720" s="114" t="str">
        <f>IF(INDEX(I.Facility.P1IDNumber,708)="","",INDEX(I.Facility.P1IDNumber,708))</f>
        <v/>
      </c>
      <c r="G720" s="51"/>
      <c r="H720" s="46" t="str">
        <f>IF(AND(I.Developer.P1=TRUE,I.Facility.P1FacilityCount&gt;=708,F720=""),"Incomplete","Complete")</f>
        <v>Complete</v>
      </c>
      <c r="I720" s="48" t="s">
        <v>5085</v>
      </c>
    </row>
    <row r="721" spans="2:9" ht="15" customHeight="1" x14ac:dyDescent="0.25">
      <c r="B721" s="55" t="s">
        <v>279</v>
      </c>
      <c r="C721" s="46">
        <v>709</v>
      </c>
      <c r="D721" s="69" t="s">
        <v>29416</v>
      </c>
      <c r="E721" s="51"/>
      <c r="F721" s="114" t="str">
        <f>IF(INDEX(I.Facility.P1IDNumber,709)="","",INDEX(I.Facility.P1IDNumber,709))</f>
        <v/>
      </c>
      <c r="G721" s="51"/>
      <c r="H721" s="46" t="str">
        <f>IF(AND(I.Developer.P1=TRUE,I.Facility.P1FacilityCount&gt;=709,F721=""),"Incomplete","Complete")</f>
        <v>Complete</v>
      </c>
      <c r="I721" s="48" t="s">
        <v>5086</v>
      </c>
    </row>
    <row r="722" spans="2:9" ht="15" customHeight="1" x14ac:dyDescent="0.25">
      <c r="B722" s="55" t="s">
        <v>279</v>
      </c>
      <c r="C722" s="46">
        <v>710</v>
      </c>
      <c r="D722" s="69" t="s">
        <v>29416</v>
      </c>
      <c r="E722" s="51"/>
      <c r="F722" s="114" t="str">
        <f>IF(INDEX(I.Facility.P1IDNumber,710)="","",INDEX(I.Facility.P1IDNumber,710))</f>
        <v/>
      </c>
      <c r="G722" s="51"/>
      <c r="H722" s="46" t="str">
        <f>IF(AND(I.Developer.P1=TRUE,I.Facility.P1FacilityCount&gt;=710,F722=""),"Incomplete","Complete")</f>
        <v>Complete</v>
      </c>
      <c r="I722" s="48" t="s">
        <v>5087</v>
      </c>
    </row>
    <row r="723" spans="2:9" ht="15" customHeight="1" x14ac:dyDescent="0.25">
      <c r="B723" s="55" t="s">
        <v>279</v>
      </c>
      <c r="C723" s="46">
        <v>711</v>
      </c>
      <c r="D723" s="69" t="s">
        <v>29416</v>
      </c>
      <c r="E723" s="51"/>
      <c r="F723" s="114" t="str">
        <f>IF(INDEX(I.Facility.P1IDNumber,711)="","",INDEX(I.Facility.P1IDNumber,711))</f>
        <v/>
      </c>
      <c r="G723" s="51"/>
      <c r="H723" s="46" t="str">
        <f>IF(AND(I.Developer.P1=TRUE,I.Facility.P1FacilityCount&gt;=711,F723=""),"Incomplete","Complete")</f>
        <v>Complete</v>
      </c>
      <c r="I723" s="48" t="s">
        <v>5088</v>
      </c>
    </row>
    <row r="724" spans="2:9" ht="15" customHeight="1" x14ac:dyDescent="0.25">
      <c r="B724" s="55" t="s">
        <v>279</v>
      </c>
      <c r="C724" s="46">
        <v>712</v>
      </c>
      <c r="D724" s="69" t="s">
        <v>29416</v>
      </c>
      <c r="E724" s="51"/>
      <c r="F724" s="114" t="str">
        <f>IF(INDEX(I.Facility.P1IDNumber,712)="","",INDEX(I.Facility.P1IDNumber,712))</f>
        <v/>
      </c>
      <c r="G724" s="51"/>
      <c r="H724" s="46" t="str">
        <f>IF(AND(I.Developer.P1=TRUE,I.Facility.P1FacilityCount&gt;=712,F724=""),"Incomplete","Complete")</f>
        <v>Complete</v>
      </c>
      <c r="I724" s="48" t="s">
        <v>5089</v>
      </c>
    </row>
    <row r="725" spans="2:9" ht="15" customHeight="1" x14ac:dyDescent="0.25">
      <c r="B725" s="55" t="s">
        <v>279</v>
      </c>
      <c r="C725" s="46">
        <v>713</v>
      </c>
      <c r="D725" s="69" t="s">
        <v>29416</v>
      </c>
      <c r="E725" s="51"/>
      <c r="F725" s="114" t="str">
        <f>IF(INDEX(I.Facility.P1IDNumber,713)="","",INDEX(I.Facility.P1IDNumber,713))</f>
        <v/>
      </c>
      <c r="G725" s="51"/>
      <c r="H725" s="46" t="str">
        <f>IF(AND(I.Developer.P1=TRUE,I.Facility.P1FacilityCount&gt;=713,F725=""),"Incomplete","Complete")</f>
        <v>Complete</v>
      </c>
      <c r="I725" s="48" t="s">
        <v>5090</v>
      </c>
    </row>
    <row r="726" spans="2:9" ht="15" customHeight="1" x14ac:dyDescent="0.25">
      <c r="B726" s="55" t="s">
        <v>279</v>
      </c>
      <c r="C726" s="46">
        <v>714</v>
      </c>
      <c r="D726" s="69" t="s">
        <v>29416</v>
      </c>
      <c r="E726" s="51"/>
      <c r="F726" s="114" t="str">
        <f>IF(INDEX(I.Facility.P1IDNumber,714)="","",INDEX(I.Facility.P1IDNumber,714))</f>
        <v/>
      </c>
      <c r="G726" s="51"/>
      <c r="H726" s="46" t="str">
        <f>IF(AND(I.Developer.P1=TRUE,I.Facility.P1FacilityCount&gt;=714,F726=""),"Incomplete","Complete")</f>
        <v>Complete</v>
      </c>
      <c r="I726" s="48" t="s">
        <v>5091</v>
      </c>
    </row>
    <row r="727" spans="2:9" ht="15" customHeight="1" x14ac:dyDescent="0.25">
      <c r="B727" s="55" t="s">
        <v>279</v>
      </c>
      <c r="C727" s="46">
        <v>715</v>
      </c>
      <c r="D727" s="69" t="s">
        <v>29416</v>
      </c>
      <c r="E727" s="51"/>
      <c r="F727" s="114" t="str">
        <f>IF(INDEX(I.Facility.P1IDNumber,715)="","",INDEX(I.Facility.P1IDNumber,715))</f>
        <v/>
      </c>
      <c r="G727" s="51"/>
      <c r="H727" s="46" t="str">
        <f>IF(AND(I.Developer.P1=TRUE,I.Facility.P1FacilityCount&gt;=715,F727=""),"Incomplete","Complete")</f>
        <v>Complete</v>
      </c>
      <c r="I727" s="48" t="s">
        <v>5092</v>
      </c>
    </row>
    <row r="728" spans="2:9" ht="15" customHeight="1" x14ac:dyDescent="0.25">
      <c r="B728" s="55" t="s">
        <v>279</v>
      </c>
      <c r="C728" s="46">
        <v>716</v>
      </c>
      <c r="D728" s="69" t="s">
        <v>29416</v>
      </c>
      <c r="E728" s="51"/>
      <c r="F728" s="114" t="str">
        <f>IF(INDEX(I.Facility.P1IDNumber,716)="","",INDEX(I.Facility.P1IDNumber,716))</f>
        <v/>
      </c>
      <c r="G728" s="51"/>
      <c r="H728" s="46" t="str">
        <f>IF(AND(I.Developer.P1=TRUE,I.Facility.P1FacilityCount&gt;=716,F728=""),"Incomplete","Complete")</f>
        <v>Complete</v>
      </c>
      <c r="I728" s="48" t="s">
        <v>5093</v>
      </c>
    </row>
    <row r="729" spans="2:9" ht="15" customHeight="1" x14ac:dyDescent="0.25">
      <c r="B729" s="55" t="s">
        <v>279</v>
      </c>
      <c r="C729" s="46">
        <v>717</v>
      </c>
      <c r="D729" s="69" t="s">
        <v>29416</v>
      </c>
      <c r="E729" s="51"/>
      <c r="F729" s="114" t="str">
        <f>IF(INDEX(I.Facility.P1IDNumber,717)="","",INDEX(I.Facility.P1IDNumber,717))</f>
        <v/>
      </c>
      <c r="G729" s="51"/>
      <c r="H729" s="46" t="str">
        <f>IF(AND(I.Developer.P1=TRUE,I.Facility.P1FacilityCount&gt;=717,F729=""),"Incomplete","Complete")</f>
        <v>Complete</v>
      </c>
      <c r="I729" s="48" t="s">
        <v>5094</v>
      </c>
    </row>
    <row r="730" spans="2:9" ht="15" customHeight="1" x14ac:dyDescent="0.25">
      <c r="B730" s="55" t="s">
        <v>279</v>
      </c>
      <c r="C730" s="46">
        <v>718</v>
      </c>
      <c r="D730" s="69" t="s">
        <v>29416</v>
      </c>
      <c r="E730" s="51"/>
      <c r="F730" s="114" t="str">
        <f>IF(INDEX(I.Facility.P1IDNumber,718)="","",INDEX(I.Facility.P1IDNumber,718))</f>
        <v/>
      </c>
      <c r="G730" s="51"/>
      <c r="H730" s="46" t="str">
        <f>IF(AND(I.Developer.P1=TRUE,I.Facility.P1FacilityCount&gt;=718,F730=""),"Incomplete","Complete")</f>
        <v>Complete</v>
      </c>
      <c r="I730" s="48" t="s">
        <v>5095</v>
      </c>
    </row>
    <row r="731" spans="2:9" ht="15" customHeight="1" x14ac:dyDescent="0.25">
      <c r="B731" s="55" t="s">
        <v>279</v>
      </c>
      <c r="C731" s="46">
        <v>719</v>
      </c>
      <c r="D731" s="69" t="s">
        <v>29416</v>
      </c>
      <c r="E731" s="51"/>
      <c r="F731" s="114" t="str">
        <f>IF(INDEX(I.Facility.P1IDNumber,719)="","",INDEX(I.Facility.P1IDNumber,719))</f>
        <v/>
      </c>
      <c r="G731" s="51"/>
      <c r="H731" s="46" t="str">
        <f>IF(AND(I.Developer.P1=TRUE,I.Facility.P1FacilityCount&gt;=719,F731=""),"Incomplete","Complete")</f>
        <v>Complete</v>
      </c>
      <c r="I731" s="48" t="s">
        <v>5096</v>
      </c>
    </row>
    <row r="732" spans="2:9" ht="15" customHeight="1" x14ac:dyDescent="0.25">
      <c r="B732" s="55" t="s">
        <v>279</v>
      </c>
      <c r="C732" s="46">
        <v>720</v>
      </c>
      <c r="D732" s="69" t="s">
        <v>29416</v>
      </c>
      <c r="E732" s="51"/>
      <c r="F732" s="114" t="str">
        <f>IF(INDEX(I.Facility.P1IDNumber,720)="","",INDEX(I.Facility.P1IDNumber,720))</f>
        <v/>
      </c>
      <c r="G732" s="51"/>
      <c r="H732" s="46" t="str">
        <f>IF(AND(I.Developer.P1=TRUE,I.Facility.P1FacilityCount&gt;=720,F732=""),"Incomplete","Complete")</f>
        <v>Complete</v>
      </c>
      <c r="I732" s="48" t="s">
        <v>5097</v>
      </c>
    </row>
    <row r="733" spans="2:9" ht="15" customHeight="1" x14ac:dyDescent="0.25">
      <c r="B733" s="55" t="s">
        <v>279</v>
      </c>
      <c r="C733" s="46">
        <v>721</v>
      </c>
      <c r="D733" s="69" t="s">
        <v>29416</v>
      </c>
      <c r="E733" s="51"/>
      <c r="F733" s="114" t="str">
        <f>IF(INDEX(I.Facility.P1IDNumber,721)="","",INDEX(I.Facility.P1IDNumber,721))</f>
        <v/>
      </c>
      <c r="G733" s="51"/>
      <c r="H733" s="46" t="str">
        <f>IF(AND(I.Developer.P1=TRUE,I.Facility.P1FacilityCount&gt;=721,F733=""),"Incomplete","Complete")</f>
        <v>Complete</v>
      </c>
      <c r="I733" s="48" t="s">
        <v>5098</v>
      </c>
    </row>
    <row r="734" spans="2:9" ht="15" customHeight="1" x14ac:dyDescent="0.25">
      <c r="B734" s="55" t="s">
        <v>279</v>
      </c>
      <c r="C734" s="46">
        <v>722</v>
      </c>
      <c r="D734" s="69" t="s">
        <v>29416</v>
      </c>
      <c r="E734" s="51"/>
      <c r="F734" s="114" t="str">
        <f>IF(INDEX(I.Facility.P1IDNumber,722)="","",INDEX(I.Facility.P1IDNumber,722))</f>
        <v/>
      </c>
      <c r="G734" s="51"/>
      <c r="H734" s="46" t="str">
        <f>IF(AND(I.Developer.P1=TRUE,I.Facility.P1FacilityCount&gt;=722,F734=""),"Incomplete","Complete")</f>
        <v>Complete</v>
      </c>
      <c r="I734" s="48" t="s">
        <v>5099</v>
      </c>
    </row>
    <row r="735" spans="2:9" ht="15" customHeight="1" x14ac:dyDescent="0.25">
      <c r="B735" s="55" t="s">
        <v>279</v>
      </c>
      <c r="C735" s="46">
        <v>723</v>
      </c>
      <c r="D735" s="69" t="s">
        <v>29416</v>
      </c>
      <c r="E735" s="51"/>
      <c r="F735" s="114" t="str">
        <f>IF(INDEX(I.Facility.P1IDNumber,723)="","",INDEX(I.Facility.P1IDNumber,723))</f>
        <v/>
      </c>
      <c r="G735" s="51"/>
      <c r="H735" s="46" t="str">
        <f>IF(AND(I.Developer.P1=TRUE,I.Facility.P1FacilityCount&gt;=723,F735=""),"Incomplete","Complete")</f>
        <v>Complete</v>
      </c>
      <c r="I735" s="48" t="s">
        <v>5100</v>
      </c>
    </row>
    <row r="736" spans="2:9" ht="15" customHeight="1" x14ac:dyDescent="0.25">
      <c r="B736" s="55" t="s">
        <v>279</v>
      </c>
      <c r="C736" s="46">
        <v>724</v>
      </c>
      <c r="D736" s="69" t="s">
        <v>29416</v>
      </c>
      <c r="E736" s="51"/>
      <c r="F736" s="114" t="str">
        <f>IF(INDEX(I.Facility.P1IDNumber,724)="","",INDEX(I.Facility.P1IDNumber,724))</f>
        <v/>
      </c>
      <c r="G736" s="51"/>
      <c r="H736" s="46" t="str">
        <f>IF(AND(I.Developer.P1=TRUE,I.Facility.P1FacilityCount&gt;=724,F736=""),"Incomplete","Complete")</f>
        <v>Complete</v>
      </c>
      <c r="I736" s="48" t="s">
        <v>5101</v>
      </c>
    </row>
    <row r="737" spans="2:9" ht="15" customHeight="1" x14ac:dyDescent="0.25">
      <c r="B737" s="55" t="s">
        <v>279</v>
      </c>
      <c r="C737" s="46">
        <v>725</v>
      </c>
      <c r="D737" s="69" t="s">
        <v>29416</v>
      </c>
      <c r="E737" s="51"/>
      <c r="F737" s="114" t="str">
        <f>IF(INDEX(I.Facility.P1IDNumber,725)="","",INDEX(I.Facility.P1IDNumber,725))</f>
        <v/>
      </c>
      <c r="G737" s="51"/>
      <c r="H737" s="46" t="str">
        <f>IF(AND(I.Developer.P1=TRUE,I.Facility.P1FacilityCount&gt;=725,F737=""),"Incomplete","Complete")</f>
        <v>Complete</v>
      </c>
      <c r="I737" s="48" t="s">
        <v>5102</v>
      </c>
    </row>
    <row r="738" spans="2:9" ht="15" customHeight="1" x14ac:dyDescent="0.25">
      <c r="B738" s="55" t="s">
        <v>279</v>
      </c>
      <c r="C738" s="46">
        <v>726</v>
      </c>
      <c r="D738" s="69" t="s">
        <v>29416</v>
      </c>
      <c r="E738" s="51"/>
      <c r="F738" s="114" t="str">
        <f>IF(INDEX(I.Facility.P1IDNumber,726)="","",INDEX(I.Facility.P1IDNumber,726))</f>
        <v/>
      </c>
      <c r="G738" s="51"/>
      <c r="H738" s="46" t="str">
        <f>IF(AND(I.Developer.P1=TRUE,I.Facility.P1FacilityCount&gt;=726,F738=""),"Incomplete","Complete")</f>
        <v>Complete</v>
      </c>
      <c r="I738" s="48" t="s">
        <v>5103</v>
      </c>
    </row>
    <row r="739" spans="2:9" ht="15" customHeight="1" x14ac:dyDescent="0.25">
      <c r="B739" s="55" t="s">
        <v>279</v>
      </c>
      <c r="C739" s="46">
        <v>727</v>
      </c>
      <c r="D739" s="69" t="s">
        <v>29416</v>
      </c>
      <c r="E739" s="51"/>
      <c r="F739" s="114" t="str">
        <f>IF(INDEX(I.Facility.P1IDNumber,727)="","",INDEX(I.Facility.P1IDNumber,727))</f>
        <v/>
      </c>
      <c r="G739" s="51"/>
      <c r="H739" s="46" t="str">
        <f>IF(AND(I.Developer.P1=TRUE,I.Facility.P1FacilityCount&gt;=727,F739=""),"Incomplete","Complete")</f>
        <v>Complete</v>
      </c>
      <c r="I739" s="48" t="s">
        <v>5104</v>
      </c>
    </row>
    <row r="740" spans="2:9" ht="15" customHeight="1" x14ac:dyDescent="0.25">
      <c r="B740" s="55" t="s">
        <v>279</v>
      </c>
      <c r="C740" s="46">
        <v>728</v>
      </c>
      <c r="D740" s="69" t="s">
        <v>29416</v>
      </c>
      <c r="E740" s="51"/>
      <c r="F740" s="114" t="str">
        <f>IF(INDEX(I.Facility.P1IDNumber,728)="","",INDEX(I.Facility.P1IDNumber,728))</f>
        <v/>
      </c>
      <c r="G740" s="51"/>
      <c r="H740" s="46" t="str">
        <f>IF(AND(I.Developer.P1=TRUE,I.Facility.P1FacilityCount&gt;=728,F740=""),"Incomplete","Complete")</f>
        <v>Complete</v>
      </c>
      <c r="I740" s="48" t="s">
        <v>5105</v>
      </c>
    </row>
    <row r="741" spans="2:9" ht="15" customHeight="1" x14ac:dyDescent="0.25">
      <c r="B741" s="55" t="s">
        <v>279</v>
      </c>
      <c r="C741" s="46">
        <v>729</v>
      </c>
      <c r="D741" s="69" t="s">
        <v>29416</v>
      </c>
      <c r="E741" s="51"/>
      <c r="F741" s="114" t="str">
        <f>IF(INDEX(I.Facility.P1IDNumber,729)="","",INDEX(I.Facility.P1IDNumber,729))</f>
        <v/>
      </c>
      <c r="G741" s="51"/>
      <c r="H741" s="46" t="str">
        <f>IF(AND(I.Developer.P1=TRUE,I.Facility.P1FacilityCount&gt;=729,F741=""),"Incomplete","Complete")</f>
        <v>Complete</v>
      </c>
      <c r="I741" s="48" t="s">
        <v>5106</v>
      </c>
    </row>
    <row r="742" spans="2:9" ht="15" customHeight="1" x14ac:dyDescent="0.25">
      <c r="B742" s="55" t="s">
        <v>279</v>
      </c>
      <c r="C742" s="46">
        <v>730</v>
      </c>
      <c r="D742" s="69" t="s">
        <v>29416</v>
      </c>
      <c r="E742" s="51"/>
      <c r="F742" s="114" t="str">
        <f>IF(INDEX(I.Facility.P1IDNumber,730)="","",INDEX(I.Facility.P1IDNumber,730))</f>
        <v/>
      </c>
      <c r="G742" s="51"/>
      <c r="H742" s="46" t="str">
        <f>IF(AND(I.Developer.P1=TRUE,I.Facility.P1FacilityCount&gt;=730,F742=""),"Incomplete","Complete")</f>
        <v>Complete</v>
      </c>
      <c r="I742" s="48" t="s">
        <v>5107</v>
      </c>
    </row>
    <row r="743" spans="2:9" ht="15" customHeight="1" x14ac:dyDescent="0.25">
      <c r="B743" s="55" t="s">
        <v>279</v>
      </c>
      <c r="C743" s="46">
        <v>731</v>
      </c>
      <c r="D743" s="69" t="s">
        <v>29416</v>
      </c>
      <c r="E743" s="51"/>
      <c r="F743" s="114" t="str">
        <f>IF(INDEX(I.Facility.P1IDNumber,731)="","",INDEX(I.Facility.P1IDNumber,731))</f>
        <v/>
      </c>
      <c r="G743" s="51"/>
      <c r="H743" s="46" t="str">
        <f>IF(AND(I.Developer.P1=TRUE,I.Facility.P1FacilityCount&gt;=731,F743=""),"Incomplete","Complete")</f>
        <v>Complete</v>
      </c>
      <c r="I743" s="48" t="s">
        <v>5108</v>
      </c>
    </row>
    <row r="744" spans="2:9" ht="15" customHeight="1" x14ac:dyDescent="0.25">
      <c r="B744" s="55" t="s">
        <v>279</v>
      </c>
      <c r="C744" s="46">
        <v>732</v>
      </c>
      <c r="D744" s="69" t="s">
        <v>29416</v>
      </c>
      <c r="E744" s="51"/>
      <c r="F744" s="114" t="str">
        <f>IF(INDEX(I.Facility.P1IDNumber,732)="","",INDEX(I.Facility.P1IDNumber,732))</f>
        <v/>
      </c>
      <c r="G744" s="51"/>
      <c r="H744" s="46" t="str">
        <f>IF(AND(I.Developer.P1=TRUE,I.Facility.P1FacilityCount&gt;=732,F744=""),"Incomplete","Complete")</f>
        <v>Complete</v>
      </c>
      <c r="I744" s="48" t="s">
        <v>5109</v>
      </c>
    </row>
    <row r="745" spans="2:9" ht="15" customHeight="1" x14ac:dyDescent="0.25">
      <c r="B745" s="55" t="s">
        <v>279</v>
      </c>
      <c r="C745" s="46">
        <v>733</v>
      </c>
      <c r="D745" s="69" t="s">
        <v>29416</v>
      </c>
      <c r="E745" s="51"/>
      <c r="F745" s="114" t="str">
        <f>IF(INDEX(I.Facility.P1IDNumber,733)="","",INDEX(I.Facility.P1IDNumber,733))</f>
        <v/>
      </c>
      <c r="G745" s="51"/>
      <c r="H745" s="46" t="str">
        <f>IF(AND(I.Developer.P1=TRUE,I.Facility.P1FacilityCount&gt;=733,F745=""),"Incomplete","Complete")</f>
        <v>Complete</v>
      </c>
      <c r="I745" s="48" t="s">
        <v>5110</v>
      </c>
    </row>
    <row r="746" spans="2:9" ht="15" customHeight="1" x14ac:dyDescent="0.25">
      <c r="B746" s="55" t="s">
        <v>279</v>
      </c>
      <c r="C746" s="46">
        <v>734</v>
      </c>
      <c r="D746" s="69" t="s">
        <v>29416</v>
      </c>
      <c r="E746" s="51"/>
      <c r="F746" s="114" t="str">
        <f>IF(INDEX(I.Facility.P1IDNumber,734)="","",INDEX(I.Facility.P1IDNumber,734))</f>
        <v/>
      </c>
      <c r="G746" s="51"/>
      <c r="H746" s="46" t="str">
        <f>IF(AND(I.Developer.P1=TRUE,I.Facility.P1FacilityCount&gt;=734,F746=""),"Incomplete","Complete")</f>
        <v>Complete</v>
      </c>
      <c r="I746" s="48" t="s">
        <v>5111</v>
      </c>
    </row>
    <row r="747" spans="2:9" ht="15" customHeight="1" x14ac:dyDescent="0.25">
      <c r="B747" s="55" t="s">
        <v>279</v>
      </c>
      <c r="C747" s="46">
        <v>735</v>
      </c>
      <c r="D747" s="69" t="s">
        <v>29416</v>
      </c>
      <c r="E747" s="51"/>
      <c r="F747" s="114" t="str">
        <f>IF(INDEX(I.Facility.P1IDNumber,735)="","",INDEX(I.Facility.P1IDNumber,735))</f>
        <v/>
      </c>
      <c r="G747" s="51"/>
      <c r="H747" s="46" t="str">
        <f>IF(AND(I.Developer.P1=TRUE,I.Facility.P1FacilityCount&gt;=735,F747=""),"Incomplete","Complete")</f>
        <v>Complete</v>
      </c>
      <c r="I747" s="48" t="s">
        <v>5112</v>
      </c>
    </row>
    <row r="748" spans="2:9" ht="15" customHeight="1" x14ac:dyDescent="0.25">
      <c r="B748" s="55" t="s">
        <v>279</v>
      </c>
      <c r="C748" s="46">
        <v>736</v>
      </c>
      <c r="D748" s="69" t="s">
        <v>29416</v>
      </c>
      <c r="E748" s="51"/>
      <c r="F748" s="114" t="str">
        <f>IF(INDEX(I.Facility.P1IDNumber,736)="","",INDEX(I.Facility.P1IDNumber,736))</f>
        <v/>
      </c>
      <c r="G748" s="51"/>
      <c r="H748" s="46" t="str">
        <f>IF(AND(I.Developer.P1=TRUE,I.Facility.P1FacilityCount&gt;=736,F748=""),"Incomplete","Complete")</f>
        <v>Complete</v>
      </c>
      <c r="I748" s="48" t="s">
        <v>5113</v>
      </c>
    </row>
    <row r="749" spans="2:9" ht="15" customHeight="1" x14ac:dyDescent="0.25">
      <c r="B749" s="55" t="s">
        <v>279</v>
      </c>
      <c r="C749" s="46">
        <v>737</v>
      </c>
      <c r="D749" s="69" t="s">
        <v>29416</v>
      </c>
      <c r="E749" s="51"/>
      <c r="F749" s="114" t="str">
        <f>IF(INDEX(I.Facility.P1IDNumber,737)="","",INDEX(I.Facility.P1IDNumber,737))</f>
        <v/>
      </c>
      <c r="G749" s="51"/>
      <c r="H749" s="46" t="str">
        <f>IF(AND(I.Developer.P1=TRUE,I.Facility.P1FacilityCount&gt;=737,F749=""),"Incomplete","Complete")</f>
        <v>Complete</v>
      </c>
      <c r="I749" s="48" t="s">
        <v>5114</v>
      </c>
    </row>
    <row r="750" spans="2:9" ht="15" customHeight="1" x14ac:dyDescent="0.25">
      <c r="B750" s="55" t="s">
        <v>279</v>
      </c>
      <c r="C750" s="46">
        <v>738</v>
      </c>
      <c r="D750" s="69" t="s">
        <v>29416</v>
      </c>
      <c r="E750" s="51"/>
      <c r="F750" s="114" t="str">
        <f>IF(INDEX(I.Facility.P1IDNumber,738)="","",INDEX(I.Facility.P1IDNumber,738))</f>
        <v/>
      </c>
      <c r="G750" s="51"/>
      <c r="H750" s="46" t="str">
        <f>IF(AND(I.Developer.P1=TRUE,I.Facility.P1FacilityCount&gt;=738,F750=""),"Incomplete","Complete")</f>
        <v>Complete</v>
      </c>
      <c r="I750" s="48" t="s">
        <v>5115</v>
      </c>
    </row>
    <row r="751" spans="2:9" ht="15" customHeight="1" x14ac:dyDescent="0.25">
      <c r="B751" s="55" t="s">
        <v>279</v>
      </c>
      <c r="C751" s="46">
        <v>739</v>
      </c>
      <c r="D751" s="69" t="s">
        <v>29416</v>
      </c>
      <c r="E751" s="51"/>
      <c r="F751" s="114" t="str">
        <f>IF(INDEX(I.Facility.P1IDNumber,739)="","",INDEX(I.Facility.P1IDNumber,739))</f>
        <v/>
      </c>
      <c r="G751" s="51"/>
      <c r="H751" s="46" t="str">
        <f>IF(AND(I.Developer.P1=TRUE,I.Facility.P1FacilityCount&gt;=739,F751=""),"Incomplete","Complete")</f>
        <v>Complete</v>
      </c>
      <c r="I751" s="48" t="s">
        <v>5116</v>
      </c>
    </row>
    <row r="752" spans="2:9" ht="15" customHeight="1" x14ac:dyDescent="0.25">
      <c r="B752" s="55" t="s">
        <v>279</v>
      </c>
      <c r="C752" s="46">
        <v>740</v>
      </c>
      <c r="D752" s="69" t="s">
        <v>29416</v>
      </c>
      <c r="E752" s="51"/>
      <c r="F752" s="114" t="str">
        <f>IF(INDEX(I.Facility.P1IDNumber,740)="","",INDEX(I.Facility.P1IDNumber,740))</f>
        <v/>
      </c>
      <c r="G752" s="51"/>
      <c r="H752" s="46" t="str">
        <f>IF(AND(I.Developer.P1=TRUE,I.Facility.P1FacilityCount&gt;=740,F752=""),"Incomplete","Complete")</f>
        <v>Complete</v>
      </c>
      <c r="I752" s="48" t="s">
        <v>5117</v>
      </c>
    </row>
    <row r="753" spans="2:9" ht="15" customHeight="1" x14ac:dyDescent="0.25">
      <c r="B753" s="55" t="s">
        <v>279</v>
      </c>
      <c r="C753" s="46">
        <v>741</v>
      </c>
      <c r="D753" s="69" t="s">
        <v>29416</v>
      </c>
      <c r="E753" s="51"/>
      <c r="F753" s="114" t="str">
        <f>IF(INDEX(I.Facility.P1IDNumber,741)="","",INDEX(I.Facility.P1IDNumber,741))</f>
        <v/>
      </c>
      <c r="G753" s="51"/>
      <c r="H753" s="46" t="str">
        <f>IF(AND(I.Developer.P1=TRUE,I.Facility.P1FacilityCount&gt;=741,F753=""),"Incomplete","Complete")</f>
        <v>Complete</v>
      </c>
      <c r="I753" s="48" t="s">
        <v>5118</v>
      </c>
    </row>
    <row r="754" spans="2:9" ht="15" customHeight="1" x14ac:dyDescent="0.25">
      <c r="B754" s="55" t="s">
        <v>279</v>
      </c>
      <c r="C754" s="46">
        <v>742</v>
      </c>
      <c r="D754" s="69" t="s">
        <v>29416</v>
      </c>
      <c r="E754" s="51"/>
      <c r="F754" s="114" t="str">
        <f>IF(INDEX(I.Facility.P1IDNumber,742)="","",INDEX(I.Facility.P1IDNumber,742))</f>
        <v/>
      </c>
      <c r="G754" s="51"/>
      <c r="H754" s="46" t="str">
        <f>IF(AND(I.Developer.P1=TRUE,I.Facility.P1FacilityCount&gt;=742,F754=""),"Incomplete","Complete")</f>
        <v>Complete</v>
      </c>
      <c r="I754" s="48" t="s">
        <v>5119</v>
      </c>
    </row>
    <row r="755" spans="2:9" ht="15" customHeight="1" x14ac:dyDescent="0.25">
      <c r="B755" s="55" t="s">
        <v>279</v>
      </c>
      <c r="C755" s="46">
        <v>743</v>
      </c>
      <c r="D755" s="69" t="s">
        <v>29416</v>
      </c>
      <c r="E755" s="51"/>
      <c r="F755" s="114" t="str">
        <f>IF(INDEX(I.Facility.P1IDNumber,743)="","",INDEX(I.Facility.P1IDNumber,743))</f>
        <v/>
      </c>
      <c r="G755" s="51"/>
      <c r="H755" s="46" t="str">
        <f>IF(AND(I.Developer.P1=TRUE,I.Facility.P1FacilityCount&gt;=743,F755=""),"Incomplete","Complete")</f>
        <v>Complete</v>
      </c>
      <c r="I755" s="48" t="s">
        <v>5120</v>
      </c>
    </row>
    <row r="756" spans="2:9" ht="15" customHeight="1" x14ac:dyDescent="0.25">
      <c r="B756" s="55" t="s">
        <v>279</v>
      </c>
      <c r="C756" s="46">
        <v>744</v>
      </c>
      <c r="D756" s="69" t="s">
        <v>29416</v>
      </c>
      <c r="E756" s="51"/>
      <c r="F756" s="114" t="str">
        <f>IF(INDEX(I.Facility.P1IDNumber,744)="","",INDEX(I.Facility.P1IDNumber,744))</f>
        <v/>
      </c>
      <c r="G756" s="51"/>
      <c r="H756" s="46" t="str">
        <f>IF(AND(I.Developer.P1=TRUE,I.Facility.P1FacilityCount&gt;=744,F756=""),"Incomplete","Complete")</f>
        <v>Complete</v>
      </c>
      <c r="I756" s="48" t="s">
        <v>5121</v>
      </c>
    </row>
    <row r="757" spans="2:9" ht="15" customHeight="1" x14ac:dyDescent="0.25">
      <c r="B757" s="55" t="s">
        <v>279</v>
      </c>
      <c r="C757" s="46">
        <v>745</v>
      </c>
      <c r="D757" s="69" t="s">
        <v>29416</v>
      </c>
      <c r="E757" s="51"/>
      <c r="F757" s="114" t="str">
        <f>IF(INDEX(I.Facility.P1IDNumber,745)="","",INDEX(I.Facility.P1IDNumber,745))</f>
        <v/>
      </c>
      <c r="G757" s="51"/>
      <c r="H757" s="46" t="str">
        <f>IF(AND(I.Developer.P1=TRUE,I.Facility.P1FacilityCount&gt;=745,F757=""),"Incomplete","Complete")</f>
        <v>Complete</v>
      </c>
      <c r="I757" s="48" t="s">
        <v>5122</v>
      </c>
    </row>
    <row r="758" spans="2:9" ht="15" customHeight="1" x14ac:dyDescent="0.25">
      <c r="B758" s="55" t="s">
        <v>279</v>
      </c>
      <c r="C758" s="46">
        <v>746</v>
      </c>
      <c r="D758" s="69" t="s">
        <v>29416</v>
      </c>
      <c r="E758" s="51"/>
      <c r="F758" s="114" t="str">
        <f>IF(INDEX(I.Facility.P1IDNumber,746)="","",INDEX(I.Facility.P1IDNumber,746))</f>
        <v/>
      </c>
      <c r="G758" s="51"/>
      <c r="H758" s="46" t="str">
        <f>IF(AND(I.Developer.P1=TRUE,I.Facility.P1FacilityCount&gt;=746,F758=""),"Incomplete","Complete")</f>
        <v>Complete</v>
      </c>
      <c r="I758" s="48" t="s">
        <v>5123</v>
      </c>
    </row>
    <row r="759" spans="2:9" ht="15" customHeight="1" x14ac:dyDescent="0.25">
      <c r="B759" s="55" t="s">
        <v>279</v>
      </c>
      <c r="C759" s="46">
        <v>747</v>
      </c>
      <c r="D759" s="69" t="s">
        <v>29416</v>
      </c>
      <c r="E759" s="51"/>
      <c r="F759" s="114" t="str">
        <f>IF(INDEX(I.Facility.P1IDNumber,747)="","",INDEX(I.Facility.P1IDNumber,747))</f>
        <v/>
      </c>
      <c r="G759" s="51"/>
      <c r="H759" s="46" t="str">
        <f>IF(AND(I.Developer.P1=TRUE,I.Facility.P1FacilityCount&gt;=747,F759=""),"Incomplete","Complete")</f>
        <v>Complete</v>
      </c>
      <c r="I759" s="48" t="s">
        <v>5124</v>
      </c>
    </row>
    <row r="760" spans="2:9" ht="15" customHeight="1" x14ac:dyDescent="0.25">
      <c r="B760" s="55" t="s">
        <v>279</v>
      </c>
      <c r="C760" s="46">
        <v>748</v>
      </c>
      <c r="D760" s="69" t="s">
        <v>29416</v>
      </c>
      <c r="E760" s="51"/>
      <c r="F760" s="114" t="str">
        <f>IF(INDEX(I.Facility.P1IDNumber,748)="","",INDEX(I.Facility.P1IDNumber,748))</f>
        <v/>
      </c>
      <c r="G760" s="51"/>
      <c r="H760" s="46" t="str">
        <f>IF(AND(I.Developer.P1=TRUE,I.Facility.P1FacilityCount&gt;=748,F760=""),"Incomplete","Complete")</f>
        <v>Complete</v>
      </c>
      <c r="I760" s="48" t="s">
        <v>5125</v>
      </c>
    </row>
    <row r="761" spans="2:9" ht="15" customHeight="1" x14ac:dyDescent="0.25">
      <c r="B761" s="55" t="s">
        <v>279</v>
      </c>
      <c r="C761" s="46">
        <v>749</v>
      </c>
      <c r="D761" s="69" t="s">
        <v>29416</v>
      </c>
      <c r="E761" s="51"/>
      <c r="F761" s="114" t="str">
        <f>IF(INDEX(I.Facility.P1IDNumber,749)="","",INDEX(I.Facility.P1IDNumber,749))</f>
        <v/>
      </c>
      <c r="G761" s="51"/>
      <c r="H761" s="46" t="str">
        <f>IF(AND(I.Developer.P1=TRUE,I.Facility.P1FacilityCount&gt;=749,F761=""),"Incomplete","Complete")</f>
        <v>Complete</v>
      </c>
      <c r="I761" s="48" t="s">
        <v>5126</v>
      </c>
    </row>
    <row r="762" spans="2:9" ht="15" customHeight="1" x14ac:dyDescent="0.25">
      <c r="B762" s="55" t="s">
        <v>279</v>
      </c>
      <c r="C762" s="46">
        <v>750</v>
      </c>
      <c r="D762" s="69" t="s">
        <v>29416</v>
      </c>
      <c r="E762" s="51"/>
      <c r="F762" s="114" t="str">
        <f>IF(INDEX(I.Facility.P1IDNumber,750)="","",INDEX(I.Facility.P1IDNumber,750))</f>
        <v/>
      </c>
      <c r="G762" s="51"/>
      <c r="H762" s="46" t="str">
        <f>IF(AND(I.Developer.P1=TRUE,I.Facility.P1FacilityCount&gt;=750,F762=""),"Incomplete","Complete")</f>
        <v>Complete</v>
      </c>
      <c r="I762" s="48" t="s">
        <v>5127</v>
      </c>
    </row>
    <row r="763" spans="2:9" ht="15" customHeight="1" x14ac:dyDescent="0.25">
      <c r="B763" s="55" t="s">
        <v>279</v>
      </c>
      <c r="C763" s="46">
        <v>751</v>
      </c>
      <c r="D763" s="69" t="s">
        <v>29416</v>
      </c>
      <c r="E763" s="51"/>
      <c r="F763" s="114" t="str">
        <f>IF(INDEX(I.Facility.P1IDNumber,751)="","",INDEX(I.Facility.P1IDNumber,751))</f>
        <v/>
      </c>
      <c r="G763" s="51"/>
      <c r="H763" s="46" t="str">
        <f>IF(AND(I.Developer.P1=TRUE,I.Facility.P1FacilityCount&gt;=751,F763=""),"Incomplete","Complete")</f>
        <v>Complete</v>
      </c>
      <c r="I763" s="48" t="s">
        <v>5128</v>
      </c>
    </row>
    <row r="764" spans="2:9" ht="15" customHeight="1" x14ac:dyDescent="0.25">
      <c r="B764" s="55" t="s">
        <v>279</v>
      </c>
      <c r="C764" s="46">
        <v>752</v>
      </c>
      <c r="D764" s="69" t="s">
        <v>29416</v>
      </c>
      <c r="E764" s="51"/>
      <c r="F764" s="114" t="str">
        <f>IF(INDEX(I.Facility.P1IDNumber,752)="","",INDEX(I.Facility.P1IDNumber,752))</f>
        <v/>
      </c>
      <c r="G764" s="51"/>
      <c r="H764" s="46" t="str">
        <f>IF(AND(I.Developer.P1=TRUE,I.Facility.P1FacilityCount&gt;=752,F764=""),"Incomplete","Complete")</f>
        <v>Complete</v>
      </c>
      <c r="I764" s="48" t="s">
        <v>5129</v>
      </c>
    </row>
    <row r="765" spans="2:9" ht="15" customHeight="1" x14ac:dyDescent="0.25">
      <c r="B765" s="55" t="s">
        <v>279</v>
      </c>
      <c r="C765" s="46">
        <v>753</v>
      </c>
      <c r="D765" s="69" t="s">
        <v>29416</v>
      </c>
      <c r="E765" s="51"/>
      <c r="F765" s="114" t="str">
        <f>IF(INDEX(I.Facility.P1IDNumber,753)="","",INDEX(I.Facility.P1IDNumber,753))</f>
        <v/>
      </c>
      <c r="G765" s="51"/>
      <c r="H765" s="46" t="str">
        <f>IF(AND(I.Developer.P1=TRUE,I.Facility.P1FacilityCount&gt;=753,F765=""),"Incomplete","Complete")</f>
        <v>Complete</v>
      </c>
      <c r="I765" s="48" t="s">
        <v>5130</v>
      </c>
    </row>
    <row r="766" spans="2:9" ht="15" customHeight="1" x14ac:dyDescent="0.25">
      <c r="B766" s="55" t="s">
        <v>279</v>
      </c>
      <c r="C766" s="46">
        <v>754</v>
      </c>
      <c r="D766" s="69" t="s">
        <v>29416</v>
      </c>
      <c r="E766" s="51"/>
      <c r="F766" s="114" t="str">
        <f>IF(INDEX(I.Facility.P1IDNumber,754)="","",INDEX(I.Facility.P1IDNumber,754))</f>
        <v/>
      </c>
      <c r="G766" s="51"/>
      <c r="H766" s="46" t="str">
        <f>IF(AND(I.Developer.P1=TRUE,I.Facility.P1FacilityCount&gt;=754,F766=""),"Incomplete","Complete")</f>
        <v>Complete</v>
      </c>
      <c r="I766" s="48" t="s">
        <v>5131</v>
      </c>
    </row>
    <row r="767" spans="2:9" ht="15" customHeight="1" x14ac:dyDescent="0.25">
      <c r="B767" s="55" t="s">
        <v>279</v>
      </c>
      <c r="C767" s="46">
        <v>755</v>
      </c>
      <c r="D767" s="69" t="s">
        <v>29416</v>
      </c>
      <c r="E767" s="51"/>
      <c r="F767" s="114" t="str">
        <f>IF(INDEX(I.Facility.P1IDNumber,755)="","",INDEX(I.Facility.P1IDNumber,755))</f>
        <v/>
      </c>
      <c r="G767" s="51"/>
      <c r="H767" s="46" t="str">
        <f>IF(AND(I.Developer.P1=TRUE,I.Facility.P1FacilityCount&gt;=755,F767=""),"Incomplete","Complete")</f>
        <v>Complete</v>
      </c>
      <c r="I767" s="48" t="s">
        <v>5132</v>
      </c>
    </row>
    <row r="768" spans="2:9" ht="15" customHeight="1" x14ac:dyDescent="0.25">
      <c r="B768" s="55" t="s">
        <v>279</v>
      </c>
      <c r="C768" s="46">
        <v>756</v>
      </c>
      <c r="D768" s="69" t="s">
        <v>29416</v>
      </c>
      <c r="E768" s="51"/>
      <c r="F768" s="114" t="str">
        <f>IF(INDEX(I.Facility.P1IDNumber,756)="","",INDEX(I.Facility.P1IDNumber,756))</f>
        <v/>
      </c>
      <c r="G768" s="51"/>
      <c r="H768" s="46" t="str">
        <f>IF(AND(I.Developer.P1=TRUE,I.Facility.P1FacilityCount&gt;=756,F768=""),"Incomplete","Complete")</f>
        <v>Complete</v>
      </c>
      <c r="I768" s="48" t="s">
        <v>5133</v>
      </c>
    </row>
    <row r="769" spans="2:9" ht="15" customHeight="1" x14ac:dyDescent="0.25">
      <c r="B769" s="55" t="s">
        <v>279</v>
      </c>
      <c r="C769" s="46">
        <v>757</v>
      </c>
      <c r="D769" s="69" t="s">
        <v>29416</v>
      </c>
      <c r="E769" s="51"/>
      <c r="F769" s="114" t="str">
        <f>IF(INDEX(I.Facility.P1IDNumber,757)="","",INDEX(I.Facility.P1IDNumber,757))</f>
        <v/>
      </c>
      <c r="G769" s="51"/>
      <c r="H769" s="46" t="str">
        <f>IF(AND(I.Developer.P1=TRUE,I.Facility.P1FacilityCount&gt;=757,F769=""),"Incomplete","Complete")</f>
        <v>Complete</v>
      </c>
      <c r="I769" s="48" t="s">
        <v>5134</v>
      </c>
    </row>
    <row r="770" spans="2:9" ht="15" customHeight="1" x14ac:dyDescent="0.25">
      <c r="B770" s="55" t="s">
        <v>279</v>
      </c>
      <c r="C770" s="46">
        <v>758</v>
      </c>
      <c r="D770" s="69" t="s">
        <v>29416</v>
      </c>
      <c r="E770" s="51"/>
      <c r="F770" s="114" t="str">
        <f>IF(INDEX(I.Facility.P1IDNumber,758)="","",INDEX(I.Facility.P1IDNumber,758))</f>
        <v/>
      </c>
      <c r="G770" s="51"/>
      <c r="H770" s="46" t="str">
        <f>IF(AND(I.Developer.P1=TRUE,I.Facility.P1FacilityCount&gt;=758,F770=""),"Incomplete","Complete")</f>
        <v>Complete</v>
      </c>
      <c r="I770" s="48" t="s">
        <v>5135</v>
      </c>
    </row>
    <row r="771" spans="2:9" ht="15" customHeight="1" x14ac:dyDescent="0.25">
      <c r="B771" s="55" t="s">
        <v>279</v>
      </c>
      <c r="C771" s="46">
        <v>759</v>
      </c>
      <c r="D771" s="69" t="s">
        <v>29416</v>
      </c>
      <c r="E771" s="51"/>
      <c r="F771" s="114" t="str">
        <f>IF(INDEX(I.Facility.P1IDNumber,759)="","",INDEX(I.Facility.P1IDNumber,759))</f>
        <v/>
      </c>
      <c r="G771" s="51"/>
      <c r="H771" s="46" t="str">
        <f>IF(AND(I.Developer.P1=TRUE,I.Facility.P1FacilityCount&gt;=759,F771=""),"Incomplete","Complete")</f>
        <v>Complete</v>
      </c>
      <c r="I771" s="48" t="s">
        <v>5136</v>
      </c>
    </row>
    <row r="772" spans="2:9" ht="15" customHeight="1" x14ac:dyDescent="0.25">
      <c r="B772" s="55" t="s">
        <v>279</v>
      </c>
      <c r="C772" s="46">
        <v>760</v>
      </c>
      <c r="D772" s="69" t="s">
        <v>29416</v>
      </c>
      <c r="E772" s="51"/>
      <c r="F772" s="114" t="str">
        <f>IF(INDEX(I.Facility.P1IDNumber,760)="","",INDEX(I.Facility.P1IDNumber,760))</f>
        <v/>
      </c>
      <c r="G772" s="51"/>
      <c r="H772" s="46" t="str">
        <f>IF(AND(I.Developer.P1=TRUE,I.Facility.P1FacilityCount&gt;=760,F772=""),"Incomplete","Complete")</f>
        <v>Complete</v>
      </c>
      <c r="I772" s="48" t="s">
        <v>5137</v>
      </c>
    </row>
    <row r="773" spans="2:9" ht="15" customHeight="1" x14ac:dyDescent="0.25">
      <c r="B773" s="55" t="s">
        <v>279</v>
      </c>
      <c r="C773" s="46">
        <v>761</v>
      </c>
      <c r="D773" s="69" t="s">
        <v>29416</v>
      </c>
      <c r="E773" s="51"/>
      <c r="F773" s="114" t="str">
        <f>IF(INDEX(I.Facility.P1IDNumber,761)="","",INDEX(I.Facility.P1IDNumber,761))</f>
        <v/>
      </c>
      <c r="G773" s="51"/>
      <c r="H773" s="46" t="str">
        <f>IF(AND(I.Developer.P1=TRUE,I.Facility.P1FacilityCount&gt;=761,F773=""),"Incomplete","Complete")</f>
        <v>Complete</v>
      </c>
      <c r="I773" s="48" t="s">
        <v>5138</v>
      </c>
    </row>
    <row r="774" spans="2:9" ht="15" customHeight="1" x14ac:dyDescent="0.25">
      <c r="B774" s="55" t="s">
        <v>279</v>
      </c>
      <c r="C774" s="46">
        <v>762</v>
      </c>
      <c r="D774" s="69" t="s">
        <v>29416</v>
      </c>
      <c r="E774" s="51"/>
      <c r="F774" s="114" t="str">
        <f>IF(INDEX(I.Facility.P1IDNumber,762)="","",INDEX(I.Facility.P1IDNumber,762))</f>
        <v/>
      </c>
      <c r="G774" s="51"/>
      <c r="H774" s="46" t="str">
        <f>IF(AND(I.Developer.P1=TRUE,I.Facility.P1FacilityCount&gt;=762,F774=""),"Incomplete","Complete")</f>
        <v>Complete</v>
      </c>
      <c r="I774" s="48" t="s">
        <v>5139</v>
      </c>
    </row>
    <row r="775" spans="2:9" ht="15" customHeight="1" x14ac:dyDescent="0.25">
      <c r="B775" s="55" t="s">
        <v>279</v>
      </c>
      <c r="C775" s="46">
        <v>763</v>
      </c>
      <c r="D775" s="69" t="s">
        <v>29416</v>
      </c>
      <c r="E775" s="51"/>
      <c r="F775" s="114" t="str">
        <f>IF(INDEX(I.Facility.P1IDNumber,763)="","",INDEX(I.Facility.P1IDNumber,763))</f>
        <v/>
      </c>
      <c r="G775" s="51"/>
      <c r="H775" s="46" t="str">
        <f>IF(AND(I.Developer.P1=TRUE,I.Facility.P1FacilityCount&gt;=763,F775=""),"Incomplete","Complete")</f>
        <v>Complete</v>
      </c>
      <c r="I775" s="48" t="s">
        <v>5140</v>
      </c>
    </row>
    <row r="776" spans="2:9" ht="15" customHeight="1" x14ac:dyDescent="0.25">
      <c r="B776" s="55" t="s">
        <v>279</v>
      </c>
      <c r="C776" s="46">
        <v>764</v>
      </c>
      <c r="D776" s="69" t="s">
        <v>29416</v>
      </c>
      <c r="E776" s="51"/>
      <c r="F776" s="114" t="str">
        <f>IF(INDEX(I.Facility.P1IDNumber,764)="","",INDEX(I.Facility.P1IDNumber,764))</f>
        <v/>
      </c>
      <c r="G776" s="51"/>
      <c r="H776" s="46" t="str">
        <f>IF(AND(I.Developer.P1=TRUE,I.Facility.P1FacilityCount&gt;=764,F776=""),"Incomplete","Complete")</f>
        <v>Complete</v>
      </c>
      <c r="I776" s="48" t="s">
        <v>5141</v>
      </c>
    </row>
    <row r="777" spans="2:9" ht="15" customHeight="1" x14ac:dyDescent="0.25">
      <c r="B777" s="55" t="s">
        <v>279</v>
      </c>
      <c r="C777" s="46">
        <v>765</v>
      </c>
      <c r="D777" s="69" t="s">
        <v>29416</v>
      </c>
      <c r="E777" s="51"/>
      <c r="F777" s="114" t="str">
        <f>IF(INDEX(I.Facility.P1IDNumber,765)="","",INDEX(I.Facility.P1IDNumber,765))</f>
        <v/>
      </c>
      <c r="G777" s="51"/>
      <c r="H777" s="46" t="str">
        <f>IF(AND(I.Developer.P1=TRUE,I.Facility.P1FacilityCount&gt;=765,F777=""),"Incomplete","Complete")</f>
        <v>Complete</v>
      </c>
      <c r="I777" s="48" t="s">
        <v>5142</v>
      </c>
    </row>
    <row r="778" spans="2:9" ht="15" customHeight="1" x14ac:dyDescent="0.25">
      <c r="B778" s="55" t="s">
        <v>279</v>
      </c>
      <c r="C778" s="46">
        <v>766</v>
      </c>
      <c r="D778" s="69" t="s">
        <v>29416</v>
      </c>
      <c r="E778" s="51"/>
      <c r="F778" s="114" t="str">
        <f>IF(INDEX(I.Facility.P1IDNumber,766)="","",INDEX(I.Facility.P1IDNumber,766))</f>
        <v/>
      </c>
      <c r="G778" s="51"/>
      <c r="H778" s="46" t="str">
        <f>IF(AND(I.Developer.P1=TRUE,I.Facility.P1FacilityCount&gt;=766,F778=""),"Incomplete","Complete")</f>
        <v>Complete</v>
      </c>
      <c r="I778" s="48" t="s">
        <v>5143</v>
      </c>
    </row>
    <row r="779" spans="2:9" ht="15" customHeight="1" x14ac:dyDescent="0.25">
      <c r="B779" s="55" t="s">
        <v>279</v>
      </c>
      <c r="C779" s="46">
        <v>767</v>
      </c>
      <c r="D779" s="69" t="s">
        <v>29416</v>
      </c>
      <c r="E779" s="51"/>
      <c r="F779" s="114" t="str">
        <f>IF(INDEX(I.Facility.P1IDNumber,767)="","",INDEX(I.Facility.P1IDNumber,767))</f>
        <v/>
      </c>
      <c r="G779" s="51"/>
      <c r="H779" s="46" t="str">
        <f>IF(AND(I.Developer.P1=TRUE,I.Facility.P1FacilityCount&gt;=767,F779=""),"Incomplete","Complete")</f>
        <v>Complete</v>
      </c>
      <c r="I779" s="48" t="s">
        <v>5144</v>
      </c>
    </row>
    <row r="780" spans="2:9" ht="15" customHeight="1" x14ac:dyDescent="0.25">
      <c r="B780" s="55" t="s">
        <v>279</v>
      </c>
      <c r="C780" s="46">
        <v>768</v>
      </c>
      <c r="D780" s="69" t="s">
        <v>29416</v>
      </c>
      <c r="E780" s="51"/>
      <c r="F780" s="114" t="str">
        <f>IF(INDEX(I.Facility.P1IDNumber,768)="","",INDEX(I.Facility.P1IDNumber,768))</f>
        <v/>
      </c>
      <c r="G780" s="51"/>
      <c r="H780" s="46" t="str">
        <f>IF(AND(I.Developer.P1=TRUE,I.Facility.P1FacilityCount&gt;=768,F780=""),"Incomplete","Complete")</f>
        <v>Complete</v>
      </c>
      <c r="I780" s="48" t="s">
        <v>5145</v>
      </c>
    </row>
    <row r="781" spans="2:9" ht="15" customHeight="1" x14ac:dyDescent="0.25">
      <c r="B781" s="55" t="s">
        <v>279</v>
      </c>
      <c r="C781" s="46">
        <v>769</v>
      </c>
      <c r="D781" s="69" t="s">
        <v>29416</v>
      </c>
      <c r="E781" s="51"/>
      <c r="F781" s="114" t="str">
        <f>IF(INDEX(I.Facility.P1IDNumber,769)="","",INDEX(I.Facility.P1IDNumber,769))</f>
        <v/>
      </c>
      <c r="G781" s="51"/>
      <c r="H781" s="46" t="str">
        <f>IF(AND(I.Developer.P1=TRUE,I.Facility.P1FacilityCount&gt;=769,F781=""),"Incomplete","Complete")</f>
        <v>Complete</v>
      </c>
      <c r="I781" s="48" t="s">
        <v>5146</v>
      </c>
    </row>
    <row r="782" spans="2:9" ht="15" customHeight="1" x14ac:dyDescent="0.25">
      <c r="B782" s="55" t="s">
        <v>279</v>
      </c>
      <c r="C782" s="46">
        <v>770</v>
      </c>
      <c r="D782" s="69" t="s">
        <v>29416</v>
      </c>
      <c r="E782" s="51"/>
      <c r="F782" s="114" t="str">
        <f>IF(INDEX(I.Facility.P1IDNumber,770)="","",INDEX(I.Facility.P1IDNumber,770))</f>
        <v/>
      </c>
      <c r="G782" s="51"/>
      <c r="H782" s="46" t="str">
        <f>IF(AND(I.Developer.P1=TRUE,I.Facility.P1FacilityCount&gt;=770,F782=""),"Incomplete","Complete")</f>
        <v>Complete</v>
      </c>
      <c r="I782" s="48" t="s">
        <v>5147</v>
      </c>
    </row>
    <row r="783" spans="2:9" ht="15" customHeight="1" x14ac:dyDescent="0.25">
      <c r="B783" s="55" t="s">
        <v>279</v>
      </c>
      <c r="C783" s="46">
        <v>771</v>
      </c>
      <c r="D783" s="69" t="s">
        <v>29416</v>
      </c>
      <c r="E783" s="51"/>
      <c r="F783" s="114" t="str">
        <f>IF(INDEX(I.Facility.P1IDNumber,771)="","",INDEX(I.Facility.P1IDNumber,771))</f>
        <v/>
      </c>
      <c r="G783" s="51"/>
      <c r="H783" s="46" t="str">
        <f>IF(AND(I.Developer.P1=TRUE,I.Facility.P1FacilityCount&gt;=771,F783=""),"Incomplete","Complete")</f>
        <v>Complete</v>
      </c>
      <c r="I783" s="48" t="s">
        <v>5148</v>
      </c>
    </row>
    <row r="784" spans="2:9" ht="15" customHeight="1" x14ac:dyDescent="0.25">
      <c r="B784" s="55" t="s">
        <v>279</v>
      </c>
      <c r="C784" s="46">
        <v>772</v>
      </c>
      <c r="D784" s="69" t="s">
        <v>29416</v>
      </c>
      <c r="E784" s="51"/>
      <c r="F784" s="114" t="str">
        <f>IF(INDEX(I.Facility.P1IDNumber,772)="","",INDEX(I.Facility.P1IDNumber,772))</f>
        <v/>
      </c>
      <c r="G784" s="51"/>
      <c r="H784" s="46" t="str">
        <f>IF(AND(I.Developer.P1=TRUE,I.Facility.P1FacilityCount&gt;=772,F784=""),"Incomplete","Complete")</f>
        <v>Complete</v>
      </c>
      <c r="I784" s="48" t="s">
        <v>5149</v>
      </c>
    </row>
    <row r="785" spans="2:9" ht="15" customHeight="1" x14ac:dyDescent="0.25">
      <c r="B785" s="55" t="s">
        <v>279</v>
      </c>
      <c r="C785" s="46">
        <v>773</v>
      </c>
      <c r="D785" s="69" t="s">
        <v>29416</v>
      </c>
      <c r="E785" s="51"/>
      <c r="F785" s="114" t="str">
        <f>IF(INDEX(I.Facility.P1IDNumber,773)="","",INDEX(I.Facility.P1IDNumber,773))</f>
        <v/>
      </c>
      <c r="G785" s="51"/>
      <c r="H785" s="46" t="str">
        <f>IF(AND(I.Developer.P1=TRUE,I.Facility.P1FacilityCount&gt;=773,F785=""),"Incomplete","Complete")</f>
        <v>Complete</v>
      </c>
      <c r="I785" s="48" t="s">
        <v>5150</v>
      </c>
    </row>
    <row r="786" spans="2:9" ht="15" customHeight="1" x14ac:dyDescent="0.25">
      <c r="B786" s="55" t="s">
        <v>279</v>
      </c>
      <c r="C786" s="46">
        <v>774</v>
      </c>
      <c r="D786" s="69" t="s">
        <v>29416</v>
      </c>
      <c r="E786" s="51"/>
      <c r="F786" s="114" t="str">
        <f>IF(INDEX(I.Facility.P1IDNumber,774)="","",INDEX(I.Facility.P1IDNumber,774))</f>
        <v/>
      </c>
      <c r="G786" s="51"/>
      <c r="H786" s="46" t="str">
        <f>IF(AND(I.Developer.P1=TRUE,I.Facility.P1FacilityCount&gt;=774,F786=""),"Incomplete","Complete")</f>
        <v>Complete</v>
      </c>
      <c r="I786" s="48" t="s">
        <v>5151</v>
      </c>
    </row>
    <row r="787" spans="2:9" ht="15" customHeight="1" x14ac:dyDescent="0.25">
      <c r="B787" s="55" t="s">
        <v>279</v>
      </c>
      <c r="C787" s="46">
        <v>775</v>
      </c>
      <c r="D787" s="69" t="s">
        <v>29416</v>
      </c>
      <c r="E787" s="51"/>
      <c r="F787" s="114" t="str">
        <f>IF(INDEX(I.Facility.P1IDNumber,775)="","",INDEX(I.Facility.P1IDNumber,775))</f>
        <v/>
      </c>
      <c r="G787" s="51"/>
      <c r="H787" s="46" t="str">
        <f>IF(AND(I.Developer.P1=TRUE,I.Facility.P1FacilityCount&gt;=775,F787=""),"Incomplete","Complete")</f>
        <v>Complete</v>
      </c>
      <c r="I787" s="48" t="s">
        <v>5152</v>
      </c>
    </row>
    <row r="788" spans="2:9" ht="15" customHeight="1" x14ac:dyDescent="0.25">
      <c r="B788" s="55" t="s">
        <v>279</v>
      </c>
      <c r="C788" s="46">
        <v>776</v>
      </c>
      <c r="D788" s="69" t="s">
        <v>29416</v>
      </c>
      <c r="E788" s="51"/>
      <c r="F788" s="114" t="str">
        <f>IF(INDEX(I.Facility.P1IDNumber,776)="","",INDEX(I.Facility.P1IDNumber,776))</f>
        <v/>
      </c>
      <c r="G788" s="51"/>
      <c r="H788" s="46" t="str">
        <f>IF(AND(I.Developer.P1=TRUE,I.Facility.P1FacilityCount&gt;=776,F788=""),"Incomplete","Complete")</f>
        <v>Complete</v>
      </c>
      <c r="I788" s="48" t="s">
        <v>5153</v>
      </c>
    </row>
    <row r="789" spans="2:9" ht="15" customHeight="1" x14ac:dyDescent="0.25">
      <c r="B789" s="55" t="s">
        <v>279</v>
      </c>
      <c r="C789" s="46">
        <v>777</v>
      </c>
      <c r="D789" s="69" t="s">
        <v>29416</v>
      </c>
      <c r="E789" s="51"/>
      <c r="F789" s="114" t="str">
        <f>IF(INDEX(I.Facility.P1IDNumber,777)="","",INDEX(I.Facility.P1IDNumber,777))</f>
        <v/>
      </c>
      <c r="G789" s="51"/>
      <c r="H789" s="46" t="str">
        <f>IF(AND(I.Developer.P1=TRUE,I.Facility.P1FacilityCount&gt;=777,F789=""),"Incomplete","Complete")</f>
        <v>Complete</v>
      </c>
      <c r="I789" s="48" t="s">
        <v>5154</v>
      </c>
    </row>
    <row r="790" spans="2:9" ht="15" customHeight="1" x14ac:dyDescent="0.25">
      <c r="B790" s="55" t="s">
        <v>279</v>
      </c>
      <c r="C790" s="46">
        <v>778</v>
      </c>
      <c r="D790" s="69" t="s">
        <v>29416</v>
      </c>
      <c r="E790" s="51"/>
      <c r="F790" s="114" t="str">
        <f>IF(INDEX(I.Facility.P1IDNumber,778)="","",INDEX(I.Facility.P1IDNumber,778))</f>
        <v/>
      </c>
      <c r="G790" s="51"/>
      <c r="H790" s="46" t="str">
        <f>IF(AND(I.Developer.P1=TRUE,I.Facility.P1FacilityCount&gt;=778,F790=""),"Incomplete","Complete")</f>
        <v>Complete</v>
      </c>
      <c r="I790" s="48" t="s">
        <v>5155</v>
      </c>
    </row>
    <row r="791" spans="2:9" ht="15" customHeight="1" x14ac:dyDescent="0.25">
      <c r="B791" s="55" t="s">
        <v>279</v>
      </c>
      <c r="C791" s="46">
        <v>779</v>
      </c>
      <c r="D791" s="69" t="s">
        <v>29416</v>
      </c>
      <c r="E791" s="51"/>
      <c r="F791" s="114" t="str">
        <f>IF(INDEX(I.Facility.P1IDNumber,779)="","",INDEX(I.Facility.P1IDNumber,779))</f>
        <v/>
      </c>
      <c r="G791" s="51"/>
      <c r="H791" s="46" t="str">
        <f>IF(AND(I.Developer.P1=TRUE,I.Facility.P1FacilityCount&gt;=779,F791=""),"Incomplete","Complete")</f>
        <v>Complete</v>
      </c>
      <c r="I791" s="48" t="s">
        <v>5156</v>
      </c>
    </row>
    <row r="792" spans="2:9" ht="15" customHeight="1" x14ac:dyDescent="0.25">
      <c r="B792" s="55" t="s">
        <v>279</v>
      </c>
      <c r="C792" s="46">
        <v>780</v>
      </c>
      <c r="D792" s="69" t="s">
        <v>29416</v>
      </c>
      <c r="E792" s="51"/>
      <c r="F792" s="114" t="str">
        <f>IF(INDEX(I.Facility.P1IDNumber,780)="","",INDEX(I.Facility.P1IDNumber,780))</f>
        <v/>
      </c>
      <c r="G792" s="51"/>
      <c r="H792" s="46" t="str">
        <f>IF(AND(I.Developer.P1=TRUE,I.Facility.P1FacilityCount&gt;=780,F792=""),"Incomplete","Complete")</f>
        <v>Complete</v>
      </c>
      <c r="I792" s="48" t="s">
        <v>5157</v>
      </c>
    </row>
    <row r="793" spans="2:9" ht="15" customHeight="1" x14ac:dyDescent="0.25">
      <c r="B793" s="55" t="s">
        <v>279</v>
      </c>
      <c r="C793" s="46">
        <v>781</v>
      </c>
      <c r="D793" s="69" t="s">
        <v>29416</v>
      </c>
      <c r="E793" s="51"/>
      <c r="F793" s="114" t="str">
        <f>IF(INDEX(I.Facility.P1IDNumber,781)="","",INDEX(I.Facility.P1IDNumber,781))</f>
        <v/>
      </c>
      <c r="G793" s="51"/>
      <c r="H793" s="46" t="str">
        <f>IF(AND(I.Developer.P1=TRUE,I.Facility.P1FacilityCount&gt;=781,F793=""),"Incomplete","Complete")</f>
        <v>Complete</v>
      </c>
      <c r="I793" s="48" t="s">
        <v>5158</v>
      </c>
    </row>
    <row r="794" spans="2:9" ht="15" customHeight="1" x14ac:dyDescent="0.25">
      <c r="B794" s="55" t="s">
        <v>279</v>
      </c>
      <c r="C794" s="46">
        <v>782</v>
      </c>
      <c r="D794" s="69" t="s">
        <v>29416</v>
      </c>
      <c r="E794" s="51"/>
      <c r="F794" s="114" t="str">
        <f>IF(INDEX(I.Facility.P1IDNumber,782)="","",INDEX(I.Facility.P1IDNumber,782))</f>
        <v/>
      </c>
      <c r="G794" s="51"/>
      <c r="H794" s="46" t="str">
        <f>IF(AND(I.Developer.P1=TRUE,I.Facility.P1FacilityCount&gt;=782,F794=""),"Incomplete","Complete")</f>
        <v>Complete</v>
      </c>
      <c r="I794" s="48" t="s">
        <v>5159</v>
      </c>
    </row>
    <row r="795" spans="2:9" ht="15" customHeight="1" x14ac:dyDescent="0.25">
      <c r="B795" s="55" t="s">
        <v>279</v>
      </c>
      <c r="C795" s="46">
        <v>783</v>
      </c>
      <c r="D795" s="69" t="s">
        <v>29416</v>
      </c>
      <c r="E795" s="51"/>
      <c r="F795" s="114" t="str">
        <f>IF(INDEX(I.Facility.P1IDNumber,783)="","",INDEX(I.Facility.P1IDNumber,783))</f>
        <v/>
      </c>
      <c r="G795" s="51"/>
      <c r="H795" s="46" t="str">
        <f>IF(AND(I.Developer.P1=TRUE,I.Facility.P1FacilityCount&gt;=783,F795=""),"Incomplete","Complete")</f>
        <v>Complete</v>
      </c>
      <c r="I795" s="48" t="s">
        <v>5160</v>
      </c>
    </row>
    <row r="796" spans="2:9" ht="15" customHeight="1" x14ac:dyDescent="0.25">
      <c r="B796" s="55" t="s">
        <v>279</v>
      </c>
      <c r="C796" s="46">
        <v>784</v>
      </c>
      <c r="D796" s="69" t="s">
        <v>29416</v>
      </c>
      <c r="E796" s="51"/>
      <c r="F796" s="114" t="str">
        <f>IF(INDEX(I.Facility.P1IDNumber,784)="","",INDEX(I.Facility.P1IDNumber,784))</f>
        <v/>
      </c>
      <c r="G796" s="51"/>
      <c r="H796" s="46" t="str">
        <f>IF(AND(I.Developer.P1=TRUE,I.Facility.P1FacilityCount&gt;=784,F796=""),"Incomplete","Complete")</f>
        <v>Complete</v>
      </c>
      <c r="I796" s="48" t="s">
        <v>5161</v>
      </c>
    </row>
    <row r="797" spans="2:9" ht="15" customHeight="1" x14ac:dyDescent="0.25">
      <c r="B797" s="55" t="s">
        <v>279</v>
      </c>
      <c r="C797" s="46">
        <v>785</v>
      </c>
      <c r="D797" s="69" t="s">
        <v>29416</v>
      </c>
      <c r="E797" s="51"/>
      <c r="F797" s="114" t="str">
        <f>IF(INDEX(I.Facility.P1IDNumber,785)="","",INDEX(I.Facility.P1IDNumber,785))</f>
        <v/>
      </c>
      <c r="G797" s="51"/>
      <c r="H797" s="46" t="str">
        <f>IF(AND(I.Developer.P1=TRUE,I.Facility.P1FacilityCount&gt;=785,F797=""),"Incomplete","Complete")</f>
        <v>Complete</v>
      </c>
      <c r="I797" s="48" t="s">
        <v>5162</v>
      </c>
    </row>
    <row r="798" spans="2:9" ht="15" customHeight="1" x14ac:dyDescent="0.25">
      <c r="B798" s="55" t="s">
        <v>279</v>
      </c>
      <c r="C798" s="46">
        <v>786</v>
      </c>
      <c r="D798" s="69" t="s">
        <v>29416</v>
      </c>
      <c r="E798" s="51"/>
      <c r="F798" s="114" t="str">
        <f>IF(INDEX(I.Facility.P1IDNumber,786)="","",INDEX(I.Facility.P1IDNumber,786))</f>
        <v/>
      </c>
      <c r="G798" s="51"/>
      <c r="H798" s="46" t="str">
        <f>IF(AND(I.Developer.P1=TRUE,I.Facility.P1FacilityCount&gt;=786,F798=""),"Incomplete","Complete")</f>
        <v>Complete</v>
      </c>
      <c r="I798" s="48" t="s">
        <v>5163</v>
      </c>
    </row>
    <row r="799" spans="2:9" ht="15" customHeight="1" x14ac:dyDescent="0.25">
      <c r="B799" s="55" t="s">
        <v>279</v>
      </c>
      <c r="C799" s="46">
        <v>787</v>
      </c>
      <c r="D799" s="69" t="s">
        <v>29416</v>
      </c>
      <c r="E799" s="51"/>
      <c r="F799" s="114" t="str">
        <f>IF(INDEX(I.Facility.P1IDNumber,787)="","",INDEX(I.Facility.P1IDNumber,787))</f>
        <v/>
      </c>
      <c r="G799" s="51"/>
      <c r="H799" s="46" t="str">
        <f>IF(AND(I.Developer.P1=TRUE,I.Facility.P1FacilityCount&gt;=787,F799=""),"Incomplete","Complete")</f>
        <v>Complete</v>
      </c>
      <c r="I799" s="48" t="s">
        <v>5164</v>
      </c>
    </row>
    <row r="800" spans="2:9" ht="15" customHeight="1" x14ac:dyDescent="0.25">
      <c r="B800" s="55" t="s">
        <v>279</v>
      </c>
      <c r="C800" s="46">
        <v>788</v>
      </c>
      <c r="D800" s="69" t="s">
        <v>29416</v>
      </c>
      <c r="E800" s="51"/>
      <c r="F800" s="114" t="str">
        <f>IF(INDEX(I.Facility.P1IDNumber,788)="","",INDEX(I.Facility.P1IDNumber,788))</f>
        <v/>
      </c>
      <c r="G800" s="51"/>
      <c r="H800" s="46" t="str">
        <f>IF(AND(I.Developer.P1=TRUE,I.Facility.P1FacilityCount&gt;=788,F800=""),"Incomplete","Complete")</f>
        <v>Complete</v>
      </c>
      <c r="I800" s="48" t="s">
        <v>5165</v>
      </c>
    </row>
    <row r="801" spans="2:9" ht="15" customHeight="1" x14ac:dyDescent="0.25">
      <c r="B801" s="55" t="s">
        <v>279</v>
      </c>
      <c r="C801" s="46">
        <v>789</v>
      </c>
      <c r="D801" s="69" t="s">
        <v>29416</v>
      </c>
      <c r="E801" s="51"/>
      <c r="F801" s="114" t="str">
        <f>IF(INDEX(I.Facility.P1IDNumber,789)="","",INDEX(I.Facility.P1IDNumber,789))</f>
        <v/>
      </c>
      <c r="G801" s="51"/>
      <c r="H801" s="46" t="str">
        <f>IF(AND(I.Developer.P1=TRUE,I.Facility.P1FacilityCount&gt;=789,F801=""),"Incomplete","Complete")</f>
        <v>Complete</v>
      </c>
      <c r="I801" s="48" t="s">
        <v>5166</v>
      </c>
    </row>
    <row r="802" spans="2:9" ht="15" customHeight="1" x14ac:dyDescent="0.25">
      <c r="B802" s="55" t="s">
        <v>279</v>
      </c>
      <c r="C802" s="46">
        <v>790</v>
      </c>
      <c r="D802" s="69" t="s">
        <v>29416</v>
      </c>
      <c r="E802" s="51"/>
      <c r="F802" s="114" t="str">
        <f>IF(INDEX(I.Facility.P1IDNumber,790)="","",INDEX(I.Facility.P1IDNumber,790))</f>
        <v/>
      </c>
      <c r="G802" s="51"/>
      <c r="H802" s="46" t="str">
        <f>IF(AND(I.Developer.P1=TRUE,I.Facility.P1FacilityCount&gt;=790,F802=""),"Incomplete","Complete")</f>
        <v>Complete</v>
      </c>
      <c r="I802" s="48" t="s">
        <v>5167</v>
      </c>
    </row>
    <row r="803" spans="2:9" ht="15" customHeight="1" x14ac:dyDescent="0.25">
      <c r="B803" s="55" t="s">
        <v>279</v>
      </c>
      <c r="C803" s="46">
        <v>791</v>
      </c>
      <c r="D803" s="69" t="s">
        <v>29416</v>
      </c>
      <c r="E803" s="51"/>
      <c r="F803" s="114" t="str">
        <f>IF(INDEX(I.Facility.P1IDNumber,791)="","",INDEX(I.Facility.P1IDNumber,791))</f>
        <v/>
      </c>
      <c r="G803" s="51"/>
      <c r="H803" s="46" t="str">
        <f>IF(AND(I.Developer.P1=TRUE,I.Facility.P1FacilityCount&gt;=791,F803=""),"Incomplete","Complete")</f>
        <v>Complete</v>
      </c>
      <c r="I803" s="48" t="s">
        <v>5168</v>
      </c>
    </row>
    <row r="804" spans="2:9" ht="15" customHeight="1" x14ac:dyDescent="0.25">
      <c r="B804" s="55" t="s">
        <v>279</v>
      </c>
      <c r="C804" s="46">
        <v>792</v>
      </c>
      <c r="D804" s="69" t="s">
        <v>29416</v>
      </c>
      <c r="E804" s="51"/>
      <c r="F804" s="114" t="str">
        <f>IF(INDEX(I.Facility.P1IDNumber,792)="","",INDEX(I.Facility.P1IDNumber,792))</f>
        <v/>
      </c>
      <c r="G804" s="51"/>
      <c r="H804" s="46" t="str">
        <f>IF(AND(I.Developer.P1=TRUE,I.Facility.P1FacilityCount&gt;=792,F804=""),"Incomplete","Complete")</f>
        <v>Complete</v>
      </c>
      <c r="I804" s="48" t="s">
        <v>5169</v>
      </c>
    </row>
    <row r="805" spans="2:9" ht="15" customHeight="1" x14ac:dyDescent="0.25">
      <c r="B805" s="55" t="s">
        <v>279</v>
      </c>
      <c r="C805" s="46">
        <v>793</v>
      </c>
      <c r="D805" s="69" t="s">
        <v>29416</v>
      </c>
      <c r="E805" s="51"/>
      <c r="F805" s="114" t="str">
        <f>IF(INDEX(I.Facility.P1IDNumber,793)="","",INDEX(I.Facility.P1IDNumber,793))</f>
        <v/>
      </c>
      <c r="G805" s="51"/>
      <c r="H805" s="46" t="str">
        <f>IF(AND(I.Developer.P1=TRUE,I.Facility.P1FacilityCount&gt;=793,F805=""),"Incomplete","Complete")</f>
        <v>Complete</v>
      </c>
      <c r="I805" s="48" t="s">
        <v>5170</v>
      </c>
    </row>
    <row r="806" spans="2:9" ht="15" customHeight="1" x14ac:dyDescent="0.25">
      <c r="B806" s="55" t="s">
        <v>279</v>
      </c>
      <c r="C806" s="46">
        <v>794</v>
      </c>
      <c r="D806" s="69" t="s">
        <v>29416</v>
      </c>
      <c r="E806" s="51"/>
      <c r="F806" s="114" t="str">
        <f>IF(INDEX(I.Facility.P1IDNumber,794)="","",INDEX(I.Facility.P1IDNumber,794))</f>
        <v/>
      </c>
      <c r="G806" s="51"/>
      <c r="H806" s="46" t="str">
        <f>IF(AND(I.Developer.P1=TRUE,I.Facility.P1FacilityCount&gt;=794,F806=""),"Incomplete","Complete")</f>
        <v>Complete</v>
      </c>
      <c r="I806" s="48" t="s">
        <v>5171</v>
      </c>
    </row>
    <row r="807" spans="2:9" ht="15" customHeight="1" x14ac:dyDescent="0.25">
      <c r="B807" s="55" t="s">
        <v>279</v>
      </c>
      <c r="C807" s="46">
        <v>795</v>
      </c>
      <c r="D807" s="69" t="s">
        <v>29416</v>
      </c>
      <c r="E807" s="51"/>
      <c r="F807" s="114" t="str">
        <f>IF(INDEX(I.Facility.P1IDNumber,795)="","",INDEX(I.Facility.P1IDNumber,795))</f>
        <v/>
      </c>
      <c r="G807" s="51"/>
      <c r="H807" s="46" t="str">
        <f>IF(AND(I.Developer.P1=TRUE,I.Facility.P1FacilityCount&gt;=795,F807=""),"Incomplete","Complete")</f>
        <v>Complete</v>
      </c>
      <c r="I807" s="48" t="s">
        <v>5172</v>
      </c>
    </row>
    <row r="808" spans="2:9" ht="15" customHeight="1" x14ac:dyDescent="0.25">
      <c r="B808" s="55" t="s">
        <v>279</v>
      </c>
      <c r="C808" s="46">
        <v>796</v>
      </c>
      <c r="D808" s="69" t="s">
        <v>29416</v>
      </c>
      <c r="E808" s="51"/>
      <c r="F808" s="114" t="str">
        <f>IF(INDEX(I.Facility.P1IDNumber,796)="","",INDEX(I.Facility.P1IDNumber,796))</f>
        <v/>
      </c>
      <c r="G808" s="51"/>
      <c r="H808" s="46" t="str">
        <f>IF(AND(I.Developer.P1=TRUE,I.Facility.P1FacilityCount&gt;=796,F808=""),"Incomplete","Complete")</f>
        <v>Complete</v>
      </c>
      <c r="I808" s="48" t="s">
        <v>5173</v>
      </c>
    </row>
    <row r="809" spans="2:9" ht="15" customHeight="1" x14ac:dyDescent="0.25">
      <c r="B809" s="55" t="s">
        <v>279</v>
      </c>
      <c r="C809" s="46">
        <v>797</v>
      </c>
      <c r="D809" s="69" t="s">
        <v>29416</v>
      </c>
      <c r="E809" s="51"/>
      <c r="F809" s="114" t="str">
        <f>IF(INDEX(I.Facility.P1IDNumber,797)="","",INDEX(I.Facility.P1IDNumber,797))</f>
        <v/>
      </c>
      <c r="G809" s="51"/>
      <c r="H809" s="46" t="str">
        <f>IF(AND(I.Developer.P1=TRUE,I.Facility.P1FacilityCount&gt;=797,F809=""),"Incomplete","Complete")</f>
        <v>Complete</v>
      </c>
      <c r="I809" s="48" t="s">
        <v>5174</v>
      </c>
    </row>
    <row r="810" spans="2:9" ht="15" customHeight="1" x14ac:dyDescent="0.25">
      <c r="B810" s="55" t="s">
        <v>279</v>
      </c>
      <c r="C810" s="46">
        <v>798</v>
      </c>
      <c r="D810" s="69" t="s">
        <v>29416</v>
      </c>
      <c r="E810" s="51"/>
      <c r="F810" s="114" t="str">
        <f>IF(INDEX(I.Facility.P1IDNumber,798)="","",INDEX(I.Facility.P1IDNumber,798))</f>
        <v/>
      </c>
      <c r="G810" s="51"/>
      <c r="H810" s="46" t="str">
        <f>IF(AND(I.Developer.P1=TRUE,I.Facility.P1FacilityCount&gt;=798,F810=""),"Incomplete","Complete")</f>
        <v>Complete</v>
      </c>
      <c r="I810" s="48" t="s">
        <v>5175</v>
      </c>
    </row>
    <row r="811" spans="2:9" ht="15" customHeight="1" x14ac:dyDescent="0.25">
      <c r="B811" s="55" t="s">
        <v>279</v>
      </c>
      <c r="C811" s="46">
        <v>799</v>
      </c>
      <c r="D811" s="69" t="s">
        <v>29416</v>
      </c>
      <c r="E811" s="51"/>
      <c r="F811" s="114" t="str">
        <f>IF(INDEX(I.Facility.P1IDNumber,799)="","",INDEX(I.Facility.P1IDNumber,799))</f>
        <v/>
      </c>
      <c r="G811" s="51"/>
      <c r="H811" s="46" t="str">
        <f>IF(AND(I.Developer.P1=TRUE,I.Facility.P1FacilityCount&gt;=799,F811=""),"Incomplete","Complete")</f>
        <v>Complete</v>
      </c>
      <c r="I811" s="48" t="s">
        <v>5176</v>
      </c>
    </row>
    <row r="812" spans="2:9" ht="15" customHeight="1" x14ac:dyDescent="0.25">
      <c r="B812" s="55" t="s">
        <v>279</v>
      </c>
      <c r="C812" s="46">
        <v>800</v>
      </c>
      <c r="D812" s="69" t="s">
        <v>29416</v>
      </c>
      <c r="E812" s="51"/>
      <c r="F812" s="114" t="str">
        <f>IF(INDEX(I.Facility.P1IDNumber,800)="","",INDEX(I.Facility.P1IDNumber,800))</f>
        <v/>
      </c>
      <c r="G812" s="51"/>
      <c r="H812" s="46" t="str">
        <f>IF(AND(I.Developer.P1=TRUE,I.Facility.P1FacilityCount&gt;=800,F812=""),"Incomplete","Complete")</f>
        <v>Complete</v>
      </c>
      <c r="I812" s="48" t="s">
        <v>5177</v>
      </c>
    </row>
    <row r="813" spans="2:9" ht="15" customHeight="1" x14ac:dyDescent="0.25">
      <c r="B813" s="55" t="s">
        <v>279</v>
      </c>
      <c r="C813" s="46">
        <v>801</v>
      </c>
      <c r="D813" s="69" t="s">
        <v>29416</v>
      </c>
      <c r="E813" s="51"/>
      <c r="F813" s="114" t="str">
        <f>IF(INDEX(I.Facility.P1IDNumber,801)="","",INDEX(I.Facility.P1IDNumber,801))</f>
        <v/>
      </c>
      <c r="G813" s="51"/>
      <c r="H813" s="46" t="str">
        <f>IF(AND(I.Developer.P1=TRUE,I.Facility.P1FacilityCount&gt;=801,F813=""),"Incomplete","Complete")</f>
        <v>Complete</v>
      </c>
      <c r="I813" s="48" t="s">
        <v>5178</v>
      </c>
    </row>
    <row r="814" spans="2:9" ht="15" customHeight="1" x14ac:dyDescent="0.25">
      <c r="B814" s="55" t="s">
        <v>279</v>
      </c>
      <c r="C814" s="46">
        <v>802</v>
      </c>
      <c r="D814" s="69" t="s">
        <v>29416</v>
      </c>
      <c r="E814" s="51"/>
      <c r="F814" s="114" t="str">
        <f>IF(INDEX(I.Facility.P1IDNumber,802)="","",INDEX(I.Facility.P1IDNumber,802))</f>
        <v/>
      </c>
      <c r="G814" s="51"/>
      <c r="H814" s="46" t="str">
        <f>IF(AND(I.Developer.P1=TRUE,I.Facility.P1FacilityCount&gt;=802,F814=""),"Incomplete","Complete")</f>
        <v>Complete</v>
      </c>
      <c r="I814" s="48" t="s">
        <v>5179</v>
      </c>
    </row>
    <row r="815" spans="2:9" ht="15" customHeight="1" x14ac:dyDescent="0.25">
      <c r="B815" s="55" t="s">
        <v>279</v>
      </c>
      <c r="C815" s="46">
        <v>803</v>
      </c>
      <c r="D815" s="69" t="s">
        <v>29416</v>
      </c>
      <c r="E815" s="51"/>
      <c r="F815" s="114" t="str">
        <f>IF(INDEX(I.Facility.P1IDNumber,803)="","",INDEX(I.Facility.P1IDNumber,803))</f>
        <v/>
      </c>
      <c r="G815" s="51"/>
      <c r="H815" s="46" t="str">
        <f>IF(AND(I.Developer.P1=TRUE,I.Facility.P1FacilityCount&gt;=803,F815=""),"Incomplete","Complete")</f>
        <v>Complete</v>
      </c>
      <c r="I815" s="48" t="s">
        <v>5180</v>
      </c>
    </row>
    <row r="816" spans="2:9" ht="15" customHeight="1" x14ac:dyDescent="0.25">
      <c r="B816" s="55" t="s">
        <v>279</v>
      </c>
      <c r="C816" s="46">
        <v>804</v>
      </c>
      <c r="D816" s="69" t="s">
        <v>29416</v>
      </c>
      <c r="E816" s="51"/>
      <c r="F816" s="114" t="str">
        <f>IF(INDEX(I.Facility.P1IDNumber,804)="","",INDEX(I.Facility.P1IDNumber,804))</f>
        <v/>
      </c>
      <c r="G816" s="51"/>
      <c r="H816" s="46" t="str">
        <f>IF(AND(I.Developer.P1=TRUE,I.Facility.P1FacilityCount&gt;=804,F816=""),"Incomplete","Complete")</f>
        <v>Complete</v>
      </c>
      <c r="I816" s="48" t="s">
        <v>5181</v>
      </c>
    </row>
    <row r="817" spans="2:9" ht="15" customHeight="1" x14ac:dyDescent="0.25">
      <c r="B817" s="55" t="s">
        <v>279</v>
      </c>
      <c r="C817" s="46">
        <v>805</v>
      </c>
      <c r="D817" s="69" t="s">
        <v>29416</v>
      </c>
      <c r="E817" s="51"/>
      <c r="F817" s="114" t="str">
        <f>IF(INDEX(I.Facility.P1IDNumber,805)="","",INDEX(I.Facility.P1IDNumber,805))</f>
        <v/>
      </c>
      <c r="G817" s="51"/>
      <c r="H817" s="46" t="str">
        <f>IF(AND(I.Developer.P1=TRUE,I.Facility.P1FacilityCount&gt;=805,F817=""),"Incomplete","Complete")</f>
        <v>Complete</v>
      </c>
      <c r="I817" s="48" t="s">
        <v>5182</v>
      </c>
    </row>
    <row r="818" spans="2:9" ht="15" customHeight="1" x14ac:dyDescent="0.25">
      <c r="B818" s="55" t="s">
        <v>279</v>
      </c>
      <c r="C818" s="46">
        <v>806</v>
      </c>
      <c r="D818" s="69" t="s">
        <v>29416</v>
      </c>
      <c r="E818" s="51"/>
      <c r="F818" s="114" t="str">
        <f>IF(INDEX(I.Facility.P1IDNumber,806)="","",INDEX(I.Facility.P1IDNumber,806))</f>
        <v/>
      </c>
      <c r="G818" s="51"/>
      <c r="H818" s="46" t="str">
        <f>IF(AND(I.Developer.P1=TRUE,I.Facility.P1FacilityCount&gt;=806,F818=""),"Incomplete","Complete")</f>
        <v>Complete</v>
      </c>
      <c r="I818" s="48" t="s">
        <v>5183</v>
      </c>
    </row>
    <row r="819" spans="2:9" ht="15" customHeight="1" x14ac:dyDescent="0.25">
      <c r="B819" s="55" t="s">
        <v>279</v>
      </c>
      <c r="C819" s="46">
        <v>807</v>
      </c>
      <c r="D819" s="69" t="s">
        <v>29416</v>
      </c>
      <c r="E819" s="51"/>
      <c r="F819" s="114" t="str">
        <f>IF(INDEX(I.Facility.P1IDNumber,807)="","",INDEX(I.Facility.P1IDNumber,807))</f>
        <v/>
      </c>
      <c r="G819" s="51"/>
      <c r="H819" s="46" t="str">
        <f>IF(AND(I.Developer.P1=TRUE,I.Facility.P1FacilityCount&gt;=807,F819=""),"Incomplete","Complete")</f>
        <v>Complete</v>
      </c>
      <c r="I819" s="48" t="s">
        <v>5184</v>
      </c>
    </row>
    <row r="820" spans="2:9" ht="15" customHeight="1" x14ac:dyDescent="0.25">
      <c r="B820" s="55" t="s">
        <v>279</v>
      </c>
      <c r="C820" s="46">
        <v>808</v>
      </c>
      <c r="D820" s="69" t="s">
        <v>29416</v>
      </c>
      <c r="E820" s="51"/>
      <c r="F820" s="114" t="str">
        <f>IF(INDEX(I.Facility.P1IDNumber,808)="","",INDEX(I.Facility.P1IDNumber,808))</f>
        <v/>
      </c>
      <c r="G820" s="51"/>
      <c r="H820" s="46" t="str">
        <f>IF(AND(I.Developer.P1=TRUE,I.Facility.P1FacilityCount&gt;=808,F820=""),"Incomplete","Complete")</f>
        <v>Complete</v>
      </c>
      <c r="I820" s="48" t="s">
        <v>5185</v>
      </c>
    </row>
    <row r="821" spans="2:9" ht="15" customHeight="1" x14ac:dyDescent="0.25">
      <c r="B821" s="55" t="s">
        <v>279</v>
      </c>
      <c r="C821" s="46">
        <v>809</v>
      </c>
      <c r="D821" s="69" t="s">
        <v>29416</v>
      </c>
      <c r="E821" s="51"/>
      <c r="F821" s="114" t="str">
        <f>IF(INDEX(I.Facility.P1IDNumber,809)="","",INDEX(I.Facility.P1IDNumber,809))</f>
        <v/>
      </c>
      <c r="G821" s="51"/>
      <c r="H821" s="46" t="str">
        <f>IF(AND(I.Developer.P1=TRUE,I.Facility.P1FacilityCount&gt;=809,F821=""),"Incomplete","Complete")</f>
        <v>Complete</v>
      </c>
      <c r="I821" s="48" t="s">
        <v>5186</v>
      </c>
    </row>
    <row r="822" spans="2:9" ht="15" customHeight="1" x14ac:dyDescent="0.25">
      <c r="B822" s="55" t="s">
        <v>279</v>
      </c>
      <c r="C822" s="46">
        <v>810</v>
      </c>
      <c r="D822" s="69" t="s">
        <v>29416</v>
      </c>
      <c r="E822" s="51"/>
      <c r="F822" s="114" t="str">
        <f>IF(INDEX(I.Facility.P1IDNumber,810)="","",INDEX(I.Facility.P1IDNumber,810))</f>
        <v/>
      </c>
      <c r="G822" s="51"/>
      <c r="H822" s="46" t="str">
        <f>IF(AND(I.Developer.P1=TRUE,I.Facility.P1FacilityCount&gt;=810,F822=""),"Incomplete","Complete")</f>
        <v>Complete</v>
      </c>
      <c r="I822" s="48" t="s">
        <v>5187</v>
      </c>
    </row>
    <row r="823" spans="2:9" ht="15" customHeight="1" x14ac:dyDescent="0.25">
      <c r="B823" s="55" t="s">
        <v>279</v>
      </c>
      <c r="C823" s="46">
        <v>811</v>
      </c>
      <c r="D823" s="69" t="s">
        <v>29416</v>
      </c>
      <c r="E823" s="51"/>
      <c r="F823" s="114" t="str">
        <f>IF(INDEX(I.Facility.P1IDNumber,811)="","",INDEX(I.Facility.P1IDNumber,811))</f>
        <v/>
      </c>
      <c r="G823" s="51"/>
      <c r="H823" s="46" t="str">
        <f>IF(AND(I.Developer.P1=TRUE,I.Facility.P1FacilityCount&gt;=811,F823=""),"Incomplete","Complete")</f>
        <v>Complete</v>
      </c>
      <c r="I823" s="48" t="s">
        <v>5188</v>
      </c>
    </row>
    <row r="824" spans="2:9" ht="15" customHeight="1" x14ac:dyDescent="0.25">
      <c r="B824" s="55" t="s">
        <v>279</v>
      </c>
      <c r="C824" s="46">
        <v>812</v>
      </c>
      <c r="D824" s="69" t="s">
        <v>29416</v>
      </c>
      <c r="E824" s="51"/>
      <c r="F824" s="114" t="str">
        <f>IF(INDEX(I.Facility.P1IDNumber,812)="","",INDEX(I.Facility.P1IDNumber,812))</f>
        <v/>
      </c>
      <c r="G824" s="51"/>
      <c r="H824" s="46" t="str">
        <f>IF(AND(I.Developer.P1=TRUE,I.Facility.P1FacilityCount&gt;=812,F824=""),"Incomplete","Complete")</f>
        <v>Complete</v>
      </c>
      <c r="I824" s="48" t="s">
        <v>5189</v>
      </c>
    </row>
    <row r="825" spans="2:9" ht="15" customHeight="1" x14ac:dyDescent="0.25">
      <c r="B825" s="55" t="s">
        <v>279</v>
      </c>
      <c r="C825" s="46">
        <v>813</v>
      </c>
      <c r="D825" s="69" t="s">
        <v>29416</v>
      </c>
      <c r="E825" s="51"/>
      <c r="F825" s="114" t="str">
        <f>IF(INDEX(I.Facility.P1IDNumber,813)="","",INDEX(I.Facility.P1IDNumber,813))</f>
        <v/>
      </c>
      <c r="G825" s="51"/>
      <c r="H825" s="46" t="str">
        <f>IF(AND(I.Developer.P1=TRUE,I.Facility.P1FacilityCount&gt;=813,F825=""),"Incomplete","Complete")</f>
        <v>Complete</v>
      </c>
      <c r="I825" s="48" t="s">
        <v>5190</v>
      </c>
    </row>
    <row r="826" spans="2:9" ht="15" customHeight="1" x14ac:dyDescent="0.25">
      <c r="B826" s="55" t="s">
        <v>279</v>
      </c>
      <c r="C826" s="46">
        <v>814</v>
      </c>
      <c r="D826" s="69" t="s">
        <v>29416</v>
      </c>
      <c r="E826" s="51"/>
      <c r="F826" s="114" t="str">
        <f>IF(INDEX(I.Facility.P1IDNumber,814)="","",INDEX(I.Facility.P1IDNumber,814))</f>
        <v/>
      </c>
      <c r="G826" s="51"/>
      <c r="H826" s="46" t="str">
        <f>IF(AND(I.Developer.P1=TRUE,I.Facility.P1FacilityCount&gt;=814,F826=""),"Incomplete","Complete")</f>
        <v>Complete</v>
      </c>
      <c r="I826" s="48" t="s">
        <v>5191</v>
      </c>
    </row>
    <row r="827" spans="2:9" ht="15" customHeight="1" x14ac:dyDescent="0.25">
      <c r="B827" s="55" t="s">
        <v>279</v>
      </c>
      <c r="C827" s="46">
        <v>815</v>
      </c>
      <c r="D827" s="69" t="s">
        <v>29416</v>
      </c>
      <c r="E827" s="51"/>
      <c r="F827" s="114" t="str">
        <f>IF(INDEX(I.Facility.P1IDNumber,815)="","",INDEX(I.Facility.P1IDNumber,815))</f>
        <v/>
      </c>
      <c r="G827" s="51"/>
      <c r="H827" s="46" t="str">
        <f>IF(AND(I.Developer.P1=TRUE,I.Facility.P1FacilityCount&gt;=815,F827=""),"Incomplete","Complete")</f>
        <v>Complete</v>
      </c>
      <c r="I827" s="48" t="s">
        <v>5192</v>
      </c>
    </row>
    <row r="828" spans="2:9" ht="15" customHeight="1" x14ac:dyDescent="0.25">
      <c r="B828" s="55" t="s">
        <v>279</v>
      </c>
      <c r="C828" s="46">
        <v>816</v>
      </c>
      <c r="D828" s="69" t="s">
        <v>29416</v>
      </c>
      <c r="E828" s="51"/>
      <c r="F828" s="114" t="str">
        <f>IF(INDEX(I.Facility.P1IDNumber,816)="","",INDEX(I.Facility.P1IDNumber,816))</f>
        <v/>
      </c>
      <c r="G828" s="51"/>
      <c r="H828" s="46" t="str">
        <f>IF(AND(I.Developer.P1=TRUE,I.Facility.P1FacilityCount&gt;=816,F828=""),"Incomplete","Complete")</f>
        <v>Complete</v>
      </c>
      <c r="I828" s="48" t="s">
        <v>5193</v>
      </c>
    </row>
    <row r="829" spans="2:9" ht="15" customHeight="1" x14ac:dyDescent="0.25">
      <c r="B829" s="55" t="s">
        <v>279</v>
      </c>
      <c r="C829" s="46">
        <v>817</v>
      </c>
      <c r="D829" s="69" t="s">
        <v>29416</v>
      </c>
      <c r="E829" s="51"/>
      <c r="F829" s="114" t="str">
        <f>IF(INDEX(I.Facility.P1IDNumber,817)="","",INDEX(I.Facility.P1IDNumber,817))</f>
        <v/>
      </c>
      <c r="G829" s="51"/>
      <c r="H829" s="46" t="str">
        <f>IF(AND(I.Developer.P1=TRUE,I.Facility.P1FacilityCount&gt;=817,F829=""),"Incomplete","Complete")</f>
        <v>Complete</v>
      </c>
      <c r="I829" s="48" t="s">
        <v>5194</v>
      </c>
    </row>
    <row r="830" spans="2:9" ht="15" customHeight="1" x14ac:dyDescent="0.25">
      <c r="B830" s="55" t="s">
        <v>279</v>
      </c>
      <c r="C830" s="46">
        <v>818</v>
      </c>
      <c r="D830" s="69" t="s">
        <v>29416</v>
      </c>
      <c r="E830" s="51"/>
      <c r="F830" s="114" t="str">
        <f>IF(INDEX(I.Facility.P1IDNumber,818)="","",INDEX(I.Facility.P1IDNumber,818))</f>
        <v/>
      </c>
      <c r="G830" s="51"/>
      <c r="H830" s="46" t="str">
        <f>IF(AND(I.Developer.P1=TRUE,I.Facility.P1FacilityCount&gt;=818,F830=""),"Incomplete","Complete")</f>
        <v>Complete</v>
      </c>
      <c r="I830" s="48" t="s">
        <v>5195</v>
      </c>
    </row>
    <row r="831" spans="2:9" ht="15" customHeight="1" x14ac:dyDescent="0.25">
      <c r="B831" s="55" t="s">
        <v>279</v>
      </c>
      <c r="C831" s="46">
        <v>819</v>
      </c>
      <c r="D831" s="69" t="s">
        <v>29416</v>
      </c>
      <c r="E831" s="51"/>
      <c r="F831" s="114" t="str">
        <f>IF(INDEX(I.Facility.P1IDNumber,819)="","",INDEX(I.Facility.P1IDNumber,819))</f>
        <v/>
      </c>
      <c r="G831" s="51"/>
      <c r="H831" s="46" t="str">
        <f>IF(AND(I.Developer.P1=TRUE,I.Facility.P1FacilityCount&gt;=819,F831=""),"Incomplete","Complete")</f>
        <v>Complete</v>
      </c>
      <c r="I831" s="48" t="s">
        <v>5196</v>
      </c>
    </row>
    <row r="832" spans="2:9" ht="15" customHeight="1" x14ac:dyDescent="0.25">
      <c r="B832" s="55" t="s">
        <v>279</v>
      </c>
      <c r="C832" s="46">
        <v>820</v>
      </c>
      <c r="D832" s="69" t="s">
        <v>29416</v>
      </c>
      <c r="E832" s="51"/>
      <c r="F832" s="114" t="str">
        <f>IF(INDEX(I.Facility.P1IDNumber,820)="","",INDEX(I.Facility.P1IDNumber,820))</f>
        <v/>
      </c>
      <c r="G832" s="51"/>
      <c r="H832" s="46" t="str">
        <f>IF(AND(I.Developer.P1=TRUE,I.Facility.P1FacilityCount&gt;=820,F832=""),"Incomplete","Complete")</f>
        <v>Complete</v>
      </c>
      <c r="I832" s="48" t="s">
        <v>5197</v>
      </c>
    </row>
    <row r="833" spans="2:9" ht="15" customHeight="1" x14ac:dyDescent="0.25">
      <c r="B833" s="55" t="s">
        <v>279</v>
      </c>
      <c r="C833" s="46">
        <v>821</v>
      </c>
      <c r="D833" s="69" t="s">
        <v>29416</v>
      </c>
      <c r="E833" s="51"/>
      <c r="F833" s="114" t="str">
        <f>IF(INDEX(I.Facility.P1IDNumber,821)="","",INDEX(I.Facility.P1IDNumber,821))</f>
        <v/>
      </c>
      <c r="G833" s="51"/>
      <c r="H833" s="46" t="str">
        <f>IF(AND(I.Developer.P1=TRUE,I.Facility.P1FacilityCount&gt;=821,F833=""),"Incomplete","Complete")</f>
        <v>Complete</v>
      </c>
      <c r="I833" s="48" t="s">
        <v>5198</v>
      </c>
    </row>
    <row r="834" spans="2:9" ht="15" customHeight="1" x14ac:dyDescent="0.25">
      <c r="B834" s="55" t="s">
        <v>279</v>
      </c>
      <c r="C834" s="46">
        <v>822</v>
      </c>
      <c r="D834" s="69" t="s">
        <v>29416</v>
      </c>
      <c r="E834" s="51"/>
      <c r="F834" s="114" t="str">
        <f>IF(INDEX(I.Facility.P1IDNumber,822)="","",INDEX(I.Facility.P1IDNumber,822))</f>
        <v/>
      </c>
      <c r="G834" s="51"/>
      <c r="H834" s="46" t="str">
        <f>IF(AND(I.Developer.P1=TRUE,I.Facility.P1FacilityCount&gt;=822,F834=""),"Incomplete","Complete")</f>
        <v>Complete</v>
      </c>
      <c r="I834" s="48" t="s">
        <v>5199</v>
      </c>
    </row>
    <row r="835" spans="2:9" ht="15" customHeight="1" x14ac:dyDescent="0.25">
      <c r="B835" s="55" t="s">
        <v>279</v>
      </c>
      <c r="C835" s="46">
        <v>823</v>
      </c>
      <c r="D835" s="69" t="s">
        <v>29416</v>
      </c>
      <c r="E835" s="51"/>
      <c r="F835" s="114" t="str">
        <f>IF(INDEX(I.Facility.P1IDNumber,823)="","",INDEX(I.Facility.P1IDNumber,823))</f>
        <v/>
      </c>
      <c r="G835" s="51"/>
      <c r="H835" s="46" t="str">
        <f>IF(AND(I.Developer.P1=TRUE,I.Facility.P1FacilityCount&gt;=823,F835=""),"Incomplete","Complete")</f>
        <v>Complete</v>
      </c>
      <c r="I835" s="48" t="s">
        <v>5200</v>
      </c>
    </row>
    <row r="836" spans="2:9" ht="15" customHeight="1" x14ac:dyDescent="0.25">
      <c r="B836" s="55" t="s">
        <v>279</v>
      </c>
      <c r="C836" s="46">
        <v>824</v>
      </c>
      <c r="D836" s="69" t="s">
        <v>29416</v>
      </c>
      <c r="E836" s="51"/>
      <c r="F836" s="114" t="str">
        <f>IF(INDEX(I.Facility.P1IDNumber,824)="","",INDEX(I.Facility.P1IDNumber,824))</f>
        <v/>
      </c>
      <c r="G836" s="51"/>
      <c r="H836" s="46" t="str">
        <f>IF(AND(I.Developer.P1=TRUE,I.Facility.P1FacilityCount&gt;=824,F836=""),"Incomplete","Complete")</f>
        <v>Complete</v>
      </c>
      <c r="I836" s="48" t="s">
        <v>5201</v>
      </c>
    </row>
    <row r="837" spans="2:9" ht="15" customHeight="1" x14ac:dyDescent="0.25">
      <c r="B837" s="55" t="s">
        <v>279</v>
      </c>
      <c r="C837" s="46">
        <v>825</v>
      </c>
      <c r="D837" s="69" t="s">
        <v>29416</v>
      </c>
      <c r="E837" s="51"/>
      <c r="F837" s="114" t="str">
        <f>IF(INDEX(I.Facility.P1IDNumber,825)="","",INDEX(I.Facility.P1IDNumber,825))</f>
        <v/>
      </c>
      <c r="G837" s="51"/>
      <c r="H837" s="46" t="str">
        <f>IF(AND(I.Developer.P1=TRUE,I.Facility.P1FacilityCount&gt;=825,F837=""),"Incomplete","Complete")</f>
        <v>Complete</v>
      </c>
      <c r="I837" s="48" t="s">
        <v>5202</v>
      </c>
    </row>
    <row r="838" spans="2:9" ht="15" customHeight="1" x14ac:dyDescent="0.25">
      <c r="B838" s="55" t="s">
        <v>279</v>
      </c>
      <c r="C838" s="46">
        <v>826</v>
      </c>
      <c r="D838" s="69" t="s">
        <v>29416</v>
      </c>
      <c r="E838" s="51"/>
      <c r="F838" s="114" t="str">
        <f>IF(INDEX(I.Facility.P1IDNumber,826)="","",INDEX(I.Facility.P1IDNumber,826))</f>
        <v/>
      </c>
      <c r="G838" s="51"/>
      <c r="H838" s="46" t="str">
        <f>IF(AND(I.Developer.P1=TRUE,I.Facility.P1FacilityCount&gt;=826,F838=""),"Incomplete","Complete")</f>
        <v>Complete</v>
      </c>
      <c r="I838" s="48" t="s">
        <v>5203</v>
      </c>
    </row>
    <row r="839" spans="2:9" ht="15" customHeight="1" x14ac:dyDescent="0.25">
      <c r="B839" s="55" t="s">
        <v>279</v>
      </c>
      <c r="C839" s="46">
        <v>827</v>
      </c>
      <c r="D839" s="69" t="s">
        <v>29416</v>
      </c>
      <c r="E839" s="51"/>
      <c r="F839" s="114" t="str">
        <f>IF(INDEX(I.Facility.P1IDNumber,827)="","",INDEX(I.Facility.P1IDNumber,827))</f>
        <v/>
      </c>
      <c r="G839" s="51"/>
      <c r="H839" s="46" t="str">
        <f>IF(AND(I.Developer.P1=TRUE,I.Facility.P1FacilityCount&gt;=827,F839=""),"Incomplete","Complete")</f>
        <v>Complete</v>
      </c>
      <c r="I839" s="48" t="s">
        <v>5204</v>
      </c>
    </row>
    <row r="840" spans="2:9" ht="15" customHeight="1" x14ac:dyDescent="0.25">
      <c r="B840" s="55" t="s">
        <v>279</v>
      </c>
      <c r="C840" s="46">
        <v>828</v>
      </c>
      <c r="D840" s="69" t="s">
        <v>29416</v>
      </c>
      <c r="E840" s="51"/>
      <c r="F840" s="114" t="str">
        <f>IF(INDEX(I.Facility.P1IDNumber,828)="","",INDEX(I.Facility.P1IDNumber,828))</f>
        <v/>
      </c>
      <c r="G840" s="51"/>
      <c r="H840" s="46" t="str">
        <f>IF(AND(I.Developer.P1=TRUE,I.Facility.P1FacilityCount&gt;=828,F840=""),"Incomplete","Complete")</f>
        <v>Complete</v>
      </c>
      <c r="I840" s="48" t="s">
        <v>5205</v>
      </c>
    </row>
    <row r="841" spans="2:9" ht="15" customHeight="1" x14ac:dyDescent="0.25">
      <c r="B841" s="55" t="s">
        <v>279</v>
      </c>
      <c r="C841" s="46">
        <v>829</v>
      </c>
      <c r="D841" s="69" t="s">
        <v>29416</v>
      </c>
      <c r="E841" s="51"/>
      <c r="F841" s="114" t="str">
        <f>IF(INDEX(I.Facility.P1IDNumber,829)="","",INDEX(I.Facility.P1IDNumber,829))</f>
        <v/>
      </c>
      <c r="G841" s="51"/>
      <c r="H841" s="46" t="str">
        <f>IF(AND(I.Developer.P1=TRUE,I.Facility.P1FacilityCount&gt;=829,F841=""),"Incomplete","Complete")</f>
        <v>Complete</v>
      </c>
      <c r="I841" s="48" t="s">
        <v>5206</v>
      </c>
    </row>
    <row r="842" spans="2:9" ht="15" customHeight="1" x14ac:dyDescent="0.25">
      <c r="B842" s="55" t="s">
        <v>279</v>
      </c>
      <c r="C842" s="46">
        <v>830</v>
      </c>
      <c r="D842" s="69" t="s">
        <v>29416</v>
      </c>
      <c r="E842" s="51"/>
      <c r="F842" s="114" t="str">
        <f>IF(INDEX(I.Facility.P1IDNumber,830)="","",INDEX(I.Facility.P1IDNumber,830))</f>
        <v/>
      </c>
      <c r="G842" s="51"/>
      <c r="H842" s="46" t="str">
        <f>IF(AND(I.Developer.P1=TRUE,I.Facility.P1FacilityCount&gt;=830,F842=""),"Incomplete","Complete")</f>
        <v>Complete</v>
      </c>
      <c r="I842" s="48" t="s">
        <v>5207</v>
      </c>
    </row>
    <row r="843" spans="2:9" ht="15" customHeight="1" x14ac:dyDescent="0.25">
      <c r="B843" s="55" t="s">
        <v>279</v>
      </c>
      <c r="C843" s="46">
        <v>831</v>
      </c>
      <c r="D843" s="69" t="s">
        <v>29416</v>
      </c>
      <c r="E843" s="51"/>
      <c r="F843" s="114" t="str">
        <f>IF(INDEX(I.Facility.P1IDNumber,831)="","",INDEX(I.Facility.P1IDNumber,831))</f>
        <v/>
      </c>
      <c r="G843" s="51"/>
      <c r="H843" s="46" t="str">
        <f>IF(AND(I.Developer.P1=TRUE,I.Facility.P1FacilityCount&gt;=831,F843=""),"Incomplete","Complete")</f>
        <v>Complete</v>
      </c>
      <c r="I843" s="48" t="s">
        <v>5208</v>
      </c>
    </row>
    <row r="844" spans="2:9" ht="15" customHeight="1" x14ac:dyDescent="0.25">
      <c r="B844" s="55" t="s">
        <v>279</v>
      </c>
      <c r="C844" s="46">
        <v>832</v>
      </c>
      <c r="D844" s="69" t="s">
        <v>29416</v>
      </c>
      <c r="E844" s="51"/>
      <c r="F844" s="114" t="str">
        <f>IF(INDEX(I.Facility.P1IDNumber,832)="","",INDEX(I.Facility.P1IDNumber,832))</f>
        <v/>
      </c>
      <c r="G844" s="51"/>
      <c r="H844" s="46" t="str">
        <f>IF(AND(I.Developer.P1=TRUE,I.Facility.P1FacilityCount&gt;=832,F844=""),"Incomplete","Complete")</f>
        <v>Complete</v>
      </c>
      <c r="I844" s="48" t="s">
        <v>5209</v>
      </c>
    </row>
    <row r="845" spans="2:9" ht="15" customHeight="1" x14ac:dyDescent="0.25">
      <c r="B845" s="55" t="s">
        <v>279</v>
      </c>
      <c r="C845" s="46">
        <v>833</v>
      </c>
      <c r="D845" s="69" t="s">
        <v>29416</v>
      </c>
      <c r="E845" s="51"/>
      <c r="F845" s="114" t="str">
        <f>IF(INDEX(I.Facility.P1IDNumber,833)="","",INDEX(I.Facility.P1IDNumber,833))</f>
        <v/>
      </c>
      <c r="G845" s="51"/>
      <c r="H845" s="46" t="str">
        <f>IF(AND(I.Developer.P1=TRUE,I.Facility.P1FacilityCount&gt;=833,F845=""),"Incomplete","Complete")</f>
        <v>Complete</v>
      </c>
      <c r="I845" s="48" t="s">
        <v>5210</v>
      </c>
    </row>
    <row r="846" spans="2:9" ht="15" customHeight="1" x14ac:dyDescent="0.25">
      <c r="B846" s="55" t="s">
        <v>279</v>
      </c>
      <c r="C846" s="46">
        <v>834</v>
      </c>
      <c r="D846" s="69" t="s">
        <v>29416</v>
      </c>
      <c r="E846" s="51"/>
      <c r="F846" s="114" t="str">
        <f>IF(INDEX(I.Facility.P1IDNumber,834)="","",INDEX(I.Facility.P1IDNumber,834))</f>
        <v/>
      </c>
      <c r="G846" s="51"/>
      <c r="H846" s="46" t="str">
        <f>IF(AND(I.Developer.P1=TRUE,I.Facility.P1FacilityCount&gt;=834,F846=""),"Incomplete","Complete")</f>
        <v>Complete</v>
      </c>
      <c r="I846" s="48" t="s">
        <v>5211</v>
      </c>
    </row>
    <row r="847" spans="2:9" ht="15" customHeight="1" x14ac:dyDescent="0.25">
      <c r="B847" s="55" t="s">
        <v>279</v>
      </c>
      <c r="C847" s="46">
        <v>835</v>
      </c>
      <c r="D847" s="69" t="s">
        <v>29416</v>
      </c>
      <c r="E847" s="51"/>
      <c r="F847" s="114" t="str">
        <f>IF(INDEX(I.Facility.P1IDNumber,835)="","",INDEX(I.Facility.P1IDNumber,835))</f>
        <v/>
      </c>
      <c r="G847" s="51"/>
      <c r="H847" s="46" t="str">
        <f>IF(AND(I.Developer.P1=TRUE,I.Facility.P1FacilityCount&gt;=835,F847=""),"Incomplete","Complete")</f>
        <v>Complete</v>
      </c>
      <c r="I847" s="48" t="s">
        <v>5212</v>
      </c>
    </row>
    <row r="848" spans="2:9" ht="15" customHeight="1" x14ac:dyDescent="0.25">
      <c r="B848" s="55" t="s">
        <v>279</v>
      </c>
      <c r="C848" s="46">
        <v>836</v>
      </c>
      <c r="D848" s="69" t="s">
        <v>29416</v>
      </c>
      <c r="E848" s="51"/>
      <c r="F848" s="114" t="str">
        <f>IF(INDEX(I.Facility.P1IDNumber,836)="","",INDEX(I.Facility.P1IDNumber,836))</f>
        <v/>
      </c>
      <c r="G848" s="51"/>
      <c r="H848" s="46" t="str">
        <f>IF(AND(I.Developer.P1=TRUE,I.Facility.P1FacilityCount&gt;=836,F848=""),"Incomplete","Complete")</f>
        <v>Complete</v>
      </c>
      <c r="I848" s="48" t="s">
        <v>5213</v>
      </c>
    </row>
    <row r="849" spans="2:9" ht="15" customHeight="1" x14ac:dyDescent="0.25">
      <c r="B849" s="55" t="s">
        <v>279</v>
      </c>
      <c r="C849" s="46">
        <v>837</v>
      </c>
      <c r="D849" s="69" t="s">
        <v>29416</v>
      </c>
      <c r="E849" s="51"/>
      <c r="F849" s="114" t="str">
        <f>IF(INDEX(I.Facility.P1IDNumber,837)="","",INDEX(I.Facility.P1IDNumber,837))</f>
        <v/>
      </c>
      <c r="G849" s="51"/>
      <c r="H849" s="46" t="str">
        <f>IF(AND(I.Developer.P1=TRUE,I.Facility.P1FacilityCount&gt;=837,F849=""),"Incomplete","Complete")</f>
        <v>Complete</v>
      </c>
      <c r="I849" s="48" t="s">
        <v>5214</v>
      </c>
    </row>
    <row r="850" spans="2:9" ht="15" customHeight="1" x14ac:dyDescent="0.25">
      <c r="B850" s="55" t="s">
        <v>279</v>
      </c>
      <c r="C850" s="46">
        <v>838</v>
      </c>
      <c r="D850" s="69" t="s">
        <v>29416</v>
      </c>
      <c r="E850" s="51"/>
      <c r="F850" s="114" t="str">
        <f>IF(INDEX(I.Facility.P1IDNumber,838)="","",INDEX(I.Facility.P1IDNumber,838))</f>
        <v/>
      </c>
      <c r="G850" s="51"/>
      <c r="H850" s="46" t="str">
        <f>IF(AND(I.Developer.P1=TRUE,I.Facility.P1FacilityCount&gt;=838,F850=""),"Incomplete","Complete")</f>
        <v>Complete</v>
      </c>
      <c r="I850" s="48" t="s">
        <v>5215</v>
      </c>
    </row>
    <row r="851" spans="2:9" ht="15" customHeight="1" x14ac:dyDescent="0.25">
      <c r="B851" s="55" t="s">
        <v>279</v>
      </c>
      <c r="C851" s="46">
        <v>839</v>
      </c>
      <c r="D851" s="69" t="s">
        <v>29416</v>
      </c>
      <c r="E851" s="51"/>
      <c r="F851" s="114" t="str">
        <f>IF(INDEX(I.Facility.P1IDNumber,839)="","",INDEX(I.Facility.P1IDNumber,839))</f>
        <v/>
      </c>
      <c r="G851" s="51"/>
      <c r="H851" s="46" t="str">
        <f>IF(AND(I.Developer.P1=TRUE,I.Facility.P1FacilityCount&gt;=839,F851=""),"Incomplete","Complete")</f>
        <v>Complete</v>
      </c>
      <c r="I851" s="48" t="s">
        <v>5216</v>
      </c>
    </row>
    <row r="852" spans="2:9" ht="15" customHeight="1" x14ac:dyDescent="0.25">
      <c r="B852" s="55" t="s">
        <v>279</v>
      </c>
      <c r="C852" s="46">
        <v>840</v>
      </c>
      <c r="D852" s="69" t="s">
        <v>29416</v>
      </c>
      <c r="E852" s="51"/>
      <c r="F852" s="114" t="str">
        <f>IF(INDEX(I.Facility.P1IDNumber,840)="","",INDEX(I.Facility.P1IDNumber,840))</f>
        <v/>
      </c>
      <c r="G852" s="51"/>
      <c r="H852" s="46" t="str">
        <f>IF(AND(I.Developer.P1=TRUE,I.Facility.P1FacilityCount&gt;=840,F852=""),"Incomplete","Complete")</f>
        <v>Complete</v>
      </c>
      <c r="I852" s="48" t="s">
        <v>5217</v>
      </c>
    </row>
    <row r="853" spans="2:9" ht="15" customHeight="1" x14ac:dyDescent="0.25">
      <c r="B853" s="55" t="s">
        <v>279</v>
      </c>
      <c r="C853" s="46">
        <v>841</v>
      </c>
      <c r="D853" s="69" t="s">
        <v>29416</v>
      </c>
      <c r="E853" s="51"/>
      <c r="F853" s="114" t="str">
        <f>IF(INDEX(I.Facility.P1IDNumber,841)="","",INDEX(I.Facility.P1IDNumber,841))</f>
        <v/>
      </c>
      <c r="G853" s="51"/>
      <c r="H853" s="46" t="str">
        <f>IF(AND(I.Developer.P1=TRUE,I.Facility.P1FacilityCount&gt;=841,F853=""),"Incomplete","Complete")</f>
        <v>Complete</v>
      </c>
      <c r="I853" s="48" t="s">
        <v>5218</v>
      </c>
    </row>
    <row r="854" spans="2:9" ht="15" customHeight="1" x14ac:dyDescent="0.25">
      <c r="B854" s="55" t="s">
        <v>279</v>
      </c>
      <c r="C854" s="46">
        <v>842</v>
      </c>
      <c r="D854" s="69" t="s">
        <v>29416</v>
      </c>
      <c r="E854" s="51"/>
      <c r="F854" s="114" t="str">
        <f>IF(INDEX(I.Facility.P1IDNumber,842)="","",INDEX(I.Facility.P1IDNumber,842))</f>
        <v/>
      </c>
      <c r="G854" s="51"/>
      <c r="H854" s="46" t="str">
        <f>IF(AND(I.Developer.P1=TRUE,I.Facility.P1FacilityCount&gt;=842,F854=""),"Incomplete","Complete")</f>
        <v>Complete</v>
      </c>
      <c r="I854" s="48" t="s">
        <v>5219</v>
      </c>
    </row>
    <row r="855" spans="2:9" ht="15" customHeight="1" x14ac:dyDescent="0.25">
      <c r="B855" s="55" t="s">
        <v>279</v>
      </c>
      <c r="C855" s="46">
        <v>843</v>
      </c>
      <c r="D855" s="69" t="s">
        <v>29416</v>
      </c>
      <c r="E855" s="51"/>
      <c r="F855" s="114" t="str">
        <f>IF(INDEX(I.Facility.P1IDNumber,843)="","",INDEX(I.Facility.P1IDNumber,843))</f>
        <v/>
      </c>
      <c r="G855" s="51"/>
      <c r="H855" s="46" t="str">
        <f>IF(AND(I.Developer.P1=TRUE,I.Facility.P1FacilityCount&gt;=843,F855=""),"Incomplete","Complete")</f>
        <v>Complete</v>
      </c>
      <c r="I855" s="48" t="s">
        <v>5220</v>
      </c>
    </row>
    <row r="856" spans="2:9" ht="15" customHeight="1" x14ac:dyDescent="0.25">
      <c r="B856" s="55" t="s">
        <v>279</v>
      </c>
      <c r="C856" s="46">
        <v>844</v>
      </c>
      <c r="D856" s="69" t="s">
        <v>29416</v>
      </c>
      <c r="E856" s="51"/>
      <c r="F856" s="114" t="str">
        <f>IF(INDEX(I.Facility.P1IDNumber,844)="","",INDEX(I.Facility.P1IDNumber,844))</f>
        <v/>
      </c>
      <c r="G856" s="51"/>
      <c r="H856" s="46" t="str">
        <f>IF(AND(I.Developer.P1=TRUE,I.Facility.P1FacilityCount&gt;=844,F856=""),"Incomplete","Complete")</f>
        <v>Complete</v>
      </c>
      <c r="I856" s="48" t="s">
        <v>5221</v>
      </c>
    </row>
    <row r="857" spans="2:9" ht="15" customHeight="1" x14ac:dyDescent="0.25">
      <c r="B857" s="55" t="s">
        <v>279</v>
      </c>
      <c r="C857" s="46">
        <v>845</v>
      </c>
      <c r="D857" s="69" t="s">
        <v>29416</v>
      </c>
      <c r="E857" s="51"/>
      <c r="F857" s="114" t="str">
        <f>IF(INDEX(I.Facility.P1IDNumber,845)="","",INDEX(I.Facility.P1IDNumber,845))</f>
        <v/>
      </c>
      <c r="G857" s="51"/>
      <c r="H857" s="46" t="str">
        <f>IF(AND(I.Developer.P1=TRUE,I.Facility.P1FacilityCount&gt;=845,F857=""),"Incomplete","Complete")</f>
        <v>Complete</v>
      </c>
      <c r="I857" s="48" t="s">
        <v>5222</v>
      </c>
    </row>
    <row r="858" spans="2:9" ht="15" customHeight="1" x14ac:dyDescent="0.25">
      <c r="B858" s="55" t="s">
        <v>279</v>
      </c>
      <c r="C858" s="46">
        <v>846</v>
      </c>
      <c r="D858" s="69" t="s">
        <v>29416</v>
      </c>
      <c r="E858" s="51"/>
      <c r="F858" s="114" t="str">
        <f>IF(INDEX(I.Facility.P1IDNumber,846)="","",INDEX(I.Facility.P1IDNumber,846))</f>
        <v/>
      </c>
      <c r="G858" s="51"/>
      <c r="H858" s="46" t="str">
        <f>IF(AND(I.Developer.P1=TRUE,I.Facility.P1FacilityCount&gt;=846,F858=""),"Incomplete","Complete")</f>
        <v>Complete</v>
      </c>
      <c r="I858" s="48" t="s">
        <v>5223</v>
      </c>
    </row>
    <row r="859" spans="2:9" ht="15" customHeight="1" x14ac:dyDescent="0.25">
      <c r="B859" s="55" t="s">
        <v>279</v>
      </c>
      <c r="C859" s="46">
        <v>847</v>
      </c>
      <c r="D859" s="69" t="s">
        <v>29416</v>
      </c>
      <c r="E859" s="51"/>
      <c r="F859" s="114" t="str">
        <f>IF(INDEX(I.Facility.P1IDNumber,847)="","",INDEX(I.Facility.P1IDNumber,847))</f>
        <v/>
      </c>
      <c r="G859" s="51"/>
      <c r="H859" s="46" t="str">
        <f>IF(AND(I.Developer.P1=TRUE,I.Facility.P1FacilityCount&gt;=847,F859=""),"Incomplete","Complete")</f>
        <v>Complete</v>
      </c>
      <c r="I859" s="48" t="s">
        <v>5224</v>
      </c>
    </row>
    <row r="860" spans="2:9" ht="15" customHeight="1" x14ac:dyDescent="0.25">
      <c r="B860" s="55" t="s">
        <v>279</v>
      </c>
      <c r="C860" s="46">
        <v>848</v>
      </c>
      <c r="D860" s="69" t="s">
        <v>29416</v>
      </c>
      <c r="E860" s="51"/>
      <c r="F860" s="114" t="str">
        <f>IF(INDEX(I.Facility.P1IDNumber,848)="","",INDEX(I.Facility.P1IDNumber,848))</f>
        <v/>
      </c>
      <c r="G860" s="51"/>
      <c r="H860" s="46" t="str">
        <f>IF(AND(I.Developer.P1=TRUE,I.Facility.P1FacilityCount&gt;=848,F860=""),"Incomplete","Complete")</f>
        <v>Complete</v>
      </c>
      <c r="I860" s="48" t="s">
        <v>5225</v>
      </c>
    </row>
    <row r="861" spans="2:9" ht="15" customHeight="1" x14ac:dyDescent="0.25">
      <c r="B861" s="55" t="s">
        <v>279</v>
      </c>
      <c r="C861" s="46">
        <v>849</v>
      </c>
      <c r="D861" s="69" t="s">
        <v>29416</v>
      </c>
      <c r="E861" s="51"/>
      <c r="F861" s="114" t="str">
        <f>IF(INDEX(I.Facility.P1IDNumber,849)="","",INDEX(I.Facility.P1IDNumber,849))</f>
        <v/>
      </c>
      <c r="G861" s="51"/>
      <c r="H861" s="46" t="str">
        <f>IF(AND(I.Developer.P1=TRUE,I.Facility.P1FacilityCount&gt;=849,F861=""),"Incomplete","Complete")</f>
        <v>Complete</v>
      </c>
      <c r="I861" s="48" t="s">
        <v>5226</v>
      </c>
    </row>
    <row r="862" spans="2:9" ht="15" customHeight="1" x14ac:dyDescent="0.25">
      <c r="B862" s="55" t="s">
        <v>279</v>
      </c>
      <c r="C862" s="46">
        <v>850</v>
      </c>
      <c r="D862" s="69" t="s">
        <v>29416</v>
      </c>
      <c r="E862" s="51"/>
      <c r="F862" s="114" t="str">
        <f>IF(INDEX(I.Facility.P1IDNumber,850)="","",INDEX(I.Facility.P1IDNumber,850))</f>
        <v/>
      </c>
      <c r="G862" s="51"/>
      <c r="H862" s="46" t="str">
        <f>IF(AND(I.Developer.P1=TRUE,I.Facility.P1FacilityCount&gt;=850,F862=""),"Incomplete","Complete")</f>
        <v>Complete</v>
      </c>
      <c r="I862" s="48" t="s">
        <v>5227</v>
      </c>
    </row>
    <row r="863" spans="2:9" ht="15" customHeight="1" x14ac:dyDescent="0.25">
      <c r="B863" s="55" t="s">
        <v>279</v>
      </c>
      <c r="C863" s="46">
        <v>851</v>
      </c>
      <c r="D863" s="69" t="s">
        <v>29416</v>
      </c>
      <c r="E863" s="51"/>
      <c r="F863" s="114" t="str">
        <f>IF(INDEX(I.Facility.P1IDNumber,851)="","",INDEX(I.Facility.P1IDNumber,851))</f>
        <v/>
      </c>
      <c r="G863" s="51"/>
      <c r="H863" s="46" t="str">
        <f>IF(AND(I.Developer.P1=TRUE,I.Facility.P1FacilityCount&gt;=851,F863=""),"Incomplete","Complete")</f>
        <v>Complete</v>
      </c>
      <c r="I863" s="48" t="s">
        <v>5228</v>
      </c>
    </row>
    <row r="864" spans="2:9" ht="15" customHeight="1" x14ac:dyDescent="0.25">
      <c r="B864" s="55" t="s">
        <v>279</v>
      </c>
      <c r="C864" s="46">
        <v>852</v>
      </c>
      <c r="D864" s="69" t="s">
        <v>29416</v>
      </c>
      <c r="E864" s="51"/>
      <c r="F864" s="114" t="str">
        <f>IF(INDEX(I.Facility.P1IDNumber,852)="","",INDEX(I.Facility.P1IDNumber,852))</f>
        <v/>
      </c>
      <c r="G864" s="51"/>
      <c r="H864" s="46" t="str">
        <f>IF(AND(I.Developer.P1=TRUE,I.Facility.P1FacilityCount&gt;=852,F864=""),"Incomplete","Complete")</f>
        <v>Complete</v>
      </c>
      <c r="I864" s="48" t="s">
        <v>5229</v>
      </c>
    </row>
    <row r="865" spans="2:9" ht="15" customHeight="1" x14ac:dyDescent="0.25">
      <c r="B865" s="55" t="s">
        <v>279</v>
      </c>
      <c r="C865" s="46">
        <v>853</v>
      </c>
      <c r="D865" s="69" t="s">
        <v>29416</v>
      </c>
      <c r="E865" s="51"/>
      <c r="F865" s="114" t="str">
        <f>IF(INDEX(I.Facility.P1IDNumber,853)="","",INDEX(I.Facility.P1IDNumber,853))</f>
        <v/>
      </c>
      <c r="G865" s="51"/>
      <c r="H865" s="46" t="str">
        <f>IF(AND(I.Developer.P1=TRUE,I.Facility.P1FacilityCount&gt;=853,F865=""),"Incomplete","Complete")</f>
        <v>Complete</v>
      </c>
      <c r="I865" s="48" t="s">
        <v>5230</v>
      </c>
    </row>
    <row r="866" spans="2:9" ht="15" customHeight="1" x14ac:dyDescent="0.25">
      <c r="B866" s="55" t="s">
        <v>279</v>
      </c>
      <c r="C866" s="46">
        <v>854</v>
      </c>
      <c r="D866" s="69" t="s">
        <v>29416</v>
      </c>
      <c r="E866" s="51"/>
      <c r="F866" s="114" t="str">
        <f>IF(INDEX(I.Facility.P1IDNumber,854)="","",INDEX(I.Facility.P1IDNumber,854))</f>
        <v/>
      </c>
      <c r="G866" s="51"/>
      <c r="H866" s="46" t="str">
        <f>IF(AND(I.Developer.P1=TRUE,I.Facility.P1FacilityCount&gt;=854,F866=""),"Incomplete","Complete")</f>
        <v>Complete</v>
      </c>
      <c r="I866" s="48" t="s">
        <v>5231</v>
      </c>
    </row>
    <row r="867" spans="2:9" ht="15" customHeight="1" x14ac:dyDescent="0.25">
      <c r="B867" s="55" t="s">
        <v>279</v>
      </c>
      <c r="C867" s="46">
        <v>855</v>
      </c>
      <c r="D867" s="69" t="s">
        <v>29416</v>
      </c>
      <c r="E867" s="51"/>
      <c r="F867" s="114" t="str">
        <f>IF(INDEX(I.Facility.P1IDNumber,855)="","",INDEX(I.Facility.P1IDNumber,855))</f>
        <v/>
      </c>
      <c r="G867" s="51"/>
      <c r="H867" s="46" t="str">
        <f>IF(AND(I.Developer.P1=TRUE,I.Facility.P1FacilityCount&gt;=855,F867=""),"Incomplete","Complete")</f>
        <v>Complete</v>
      </c>
      <c r="I867" s="48" t="s">
        <v>5232</v>
      </c>
    </row>
    <row r="868" spans="2:9" ht="15" customHeight="1" x14ac:dyDescent="0.25">
      <c r="B868" s="55" t="s">
        <v>279</v>
      </c>
      <c r="C868" s="46">
        <v>856</v>
      </c>
      <c r="D868" s="69" t="s">
        <v>29416</v>
      </c>
      <c r="E868" s="51"/>
      <c r="F868" s="114" t="str">
        <f>IF(INDEX(I.Facility.P1IDNumber,856)="","",INDEX(I.Facility.P1IDNumber,856))</f>
        <v/>
      </c>
      <c r="G868" s="51"/>
      <c r="H868" s="46" t="str">
        <f>IF(AND(I.Developer.P1=TRUE,I.Facility.P1FacilityCount&gt;=856,F868=""),"Incomplete","Complete")</f>
        <v>Complete</v>
      </c>
      <c r="I868" s="48" t="s">
        <v>5233</v>
      </c>
    </row>
    <row r="869" spans="2:9" ht="15" customHeight="1" x14ac:dyDescent="0.25">
      <c r="B869" s="55" t="s">
        <v>279</v>
      </c>
      <c r="C869" s="46">
        <v>857</v>
      </c>
      <c r="D869" s="69" t="s">
        <v>29416</v>
      </c>
      <c r="E869" s="51"/>
      <c r="F869" s="114" t="str">
        <f>IF(INDEX(I.Facility.P1IDNumber,857)="","",INDEX(I.Facility.P1IDNumber,857))</f>
        <v/>
      </c>
      <c r="G869" s="51"/>
      <c r="H869" s="46" t="str">
        <f>IF(AND(I.Developer.P1=TRUE,I.Facility.P1FacilityCount&gt;=857,F869=""),"Incomplete","Complete")</f>
        <v>Complete</v>
      </c>
      <c r="I869" s="48" t="s">
        <v>5234</v>
      </c>
    </row>
    <row r="870" spans="2:9" ht="15" customHeight="1" x14ac:dyDescent="0.25">
      <c r="B870" s="55" t="s">
        <v>279</v>
      </c>
      <c r="C870" s="46">
        <v>858</v>
      </c>
      <c r="D870" s="69" t="s">
        <v>29416</v>
      </c>
      <c r="E870" s="51"/>
      <c r="F870" s="114" t="str">
        <f>IF(INDEX(I.Facility.P1IDNumber,858)="","",INDEX(I.Facility.P1IDNumber,858))</f>
        <v/>
      </c>
      <c r="G870" s="51"/>
      <c r="H870" s="46" t="str">
        <f>IF(AND(I.Developer.P1=TRUE,I.Facility.P1FacilityCount&gt;=858,F870=""),"Incomplete","Complete")</f>
        <v>Complete</v>
      </c>
      <c r="I870" s="48" t="s">
        <v>5235</v>
      </c>
    </row>
    <row r="871" spans="2:9" ht="15" customHeight="1" x14ac:dyDescent="0.25">
      <c r="B871" s="55" t="s">
        <v>279</v>
      </c>
      <c r="C871" s="46">
        <v>859</v>
      </c>
      <c r="D871" s="69" t="s">
        <v>29416</v>
      </c>
      <c r="E871" s="51"/>
      <c r="F871" s="114" t="str">
        <f>IF(INDEX(I.Facility.P1IDNumber,859)="","",INDEX(I.Facility.P1IDNumber,859))</f>
        <v/>
      </c>
      <c r="G871" s="51"/>
      <c r="H871" s="46" t="str">
        <f>IF(AND(I.Developer.P1=TRUE,I.Facility.P1FacilityCount&gt;=859,F871=""),"Incomplete","Complete")</f>
        <v>Complete</v>
      </c>
      <c r="I871" s="48" t="s">
        <v>5236</v>
      </c>
    </row>
    <row r="872" spans="2:9" ht="15" customHeight="1" x14ac:dyDescent="0.25">
      <c r="B872" s="55" t="s">
        <v>279</v>
      </c>
      <c r="C872" s="46">
        <v>860</v>
      </c>
      <c r="D872" s="69" t="s">
        <v>29416</v>
      </c>
      <c r="E872" s="51"/>
      <c r="F872" s="114" t="str">
        <f>IF(INDEX(I.Facility.P1IDNumber,860)="","",INDEX(I.Facility.P1IDNumber,860))</f>
        <v/>
      </c>
      <c r="G872" s="51"/>
      <c r="H872" s="46" t="str">
        <f>IF(AND(I.Developer.P1=TRUE,I.Facility.P1FacilityCount&gt;=860,F872=""),"Incomplete","Complete")</f>
        <v>Complete</v>
      </c>
      <c r="I872" s="48" t="s">
        <v>5237</v>
      </c>
    </row>
    <row r="873" spans="2:9" ht="15" customHeight="1" x14ac:dyDescent="0.25">
      <c r="B873" s="55" t="s">
        <v>279</v>
      </c>
      <c r="C873" s="46">
        <v>861</v>
      </c>
      <c r="D873" s="69" t="s">
        <v>29416</v>
      </c>
      <c r="E873" s="51"/>
      <c r="F873" s="114" t="str">
        <f>IF(INDEX(I.Facility.P1IDNumber,861)="","",INDEX(I.Facility.P1IDNumber,861))</f>
        <v/>
      </c>
      <c r="G873" s="51"/>
      <c r="H873" s="46" t="str">
        <f>IF(AND(I.Developer.P1=TRUE,I.Facility.P1FacilityCount&gt;=861,F873=""),"Incomplete","Complete")</f>
        <v>Complete</v>
      </c>
      <c r="I873" s="48" t="s">
        <v>5238</v>
      </c>
    </row>
    <row r="874" spans="2:9" ht="15" customHeight="1" x14ac:dyDescent="0.25">
      <c r="B874" s="55" t="s">
        <v>279</v>
      </c>
      <c r="C874" s="46">
        <v>862</v>
      </c>
      <c r="D874" s="69" t="s">
        <v>29416</v>
      </c>
      <c r="E874" s="51"/>
      <c r="F874" s="114" t="str">
        <f>IF(INDEX(I.Facility.P1IDNumber,862)="","",INDEX(I.Facility.P1IDNumber,862))</f>
        <v/>
      </c>
      <c r="G874" s="51"/>
      <c r="H874" s="46" t="str">
        <f>IF(AND(I.Developer.P1=TRUE,I.Facility.P1FacilityCount&gt;=862,F874=""),"Incomplete","Complete")</f>
        <v>Complete</v>
      </c>
      <c r="I874" s="48" t="s">
        <v>5239</v>
      </c>
    </row>
    <row r="875" spans="2:9" ht="15" customHeight="1" x14ac:dyDescent="0.25">
      <c r="B875" s="55" t="s">
        <v>279</v>
      </c>
      <c r="C875" s="46">
        <v>863</v>
      </c>
      <c r="D875" s="69" t="s">
        <v>29416</v>
      </c>
      <c r="E875" s="51"/>
      <c r="F875" s="114" t="str">
        <f>IF(INDEX(I.Facility.P1IDNumber,863)="","",INDEX(I.Facility.P1IDNumber,863))</f>
        <v/>
      </c>
      <c r="G875" s="51"/>
      <c r="H875" s="46" t="str">
        <f>IF(AND(I.Developer.P1=TRUE,I.Facility.P1FacilityCount&gt;=863,F875=""),"Incomplete","Complete")</f>
        <v>Complete</v>
      </c>
      <c r="I875" s="48" t="s">
        <v>5240</v>
      </c>
    </row>
    <row r="876" spans="2:9" ht="15" customHeight="1" x14ac:dyDescent="0.25">
      <c r="B876" s="55" t="s">
        <v>279</v>
      </c>
      <c r="C876" s="46">
        <v>864</v>
      </c>
      <c r="D876" s="69" t="s">
        <v>29416</v>
      </c>
      <c r="E876" s="51"/>
      <c r="F876" s="114" t="str">
        <f>IF(INDEX(I.Facility.P1IDNumber,864)="","",INDEX(I.Facility.P1IDNumber,864))</f>
        <v/>
      </c>
      <c r="G876" s="51"/>
      <c r="H876" s="46" t="str">
        <f>IF(AND(I.Developer.P1=TRUE,I.Facility.P1FacilityCount&gt;=864,F876=""),"Incomplete","Complete")</f>
        <v>Complete</v>
      </c>
      <c r="I876" s="48" t="s">
        <v>5241</v>
      </c>
    </row>
    <row r="877" spans="2:9" ht="15" customHeight="1" x14ac:dyDescent="0.25">
      <c r="B877" s="55" t="s">
        <v>279</v>
      </c>
      <c r="C877" s="46">
        <v>865</v>
      </c>
      <c r="D877" s="69" t="s">
        <v>29416</v>
      </c>
      <c r="E877" s="51"/>
      <c r="F877" s="114" t="str">
        <f>IF(INDEX(I.Facility.P1IDNumber,865)="","",INDEX(I.Facility.P1IDNumber,865))</f>
        <v/>
      </c>
      <c r="G877" s="51"/>
      <c r="H877" s="46" t="str">
        <f>IF(AND(I.Developer.P1=TRUE,I.Facility.P1FacilityCount&gt;=865,F877=""),"Incomplete","Complete")</f>
        <v>Complete</v>
      </c>
      <c r="I877" s="48" t="s">
        <v>5242</v>
      </c>
    </row>
    <row r="878" spans="2:9" ht="15" customHeight="1" x14ac:dyDescent="0.25">
      <c r="B878" s="55" t="s">
        <v>279</v>
      </c>
      <c r="C878" s="46">
        <v>866</v>
      </c>
      <c r="D878" s="69" t="s">
        <v>29416</v>
      </c>
      <c r="E878" s="51"/>
      <c r="F878" s="114" t="str">
        <f>IF(INDEX(I.Facility.P1IDNumber,866)="","",INDEX(I.Facility.P1IDNumber,866))</f>
        <v/>
      </c>
      <c r="G878" s="51"/>
      <c r="H878" s="46" t="str">
        <f>IF(AND(I.Developer.P1=TRUE,I.Facility.P1FacilityCount&gt;=866,F878=""),"Incomplete","Complete")</f>
        <v>Complete</v>
      </c>
      <c r="I878" s="48" t="s">
        <v>5243</v>
      </c>
    </row>
    <row r="879" spans="2:9" ht="15" customHeight="1" x14ac:dyDescent="0.25">
      <c r="B879" s="55" t="s">
        <v>279</v>
      </c>
      <c r="C879" s="46">
        <v>867</v>
      </c>
      <c r="D879" s="69" t="s">
        <v>29416</v>
      </c>
      <c r="E879" s="51"/>
      <c r="F879" s="114" t="str">
        <f>IF(INDEX(I.Facility.P1IDNumber,867)="","",INDEX(I.Facility.P1IDNumber,867))</f>
        <v/>
      </c>
      <c r="G879" s="51"/>
      <c r="H879" s="46" t="str">
        <f>IF(AND(I.Developer.P1=TRUE,I.Facility.P1FacilityCount&gt;=867,F879=""),"Incomplete","Complete")</f>
        <v>Complete</v>
      </c>
      <c r="I879" s="48" t="s">
        <v>5244</v>
      </c>
    </row>
    <row r="880" spans="2:9" ht="15" customHeight="1" x14ac:dyDescent="0.25">
      <c r="B880" s="55" t="s">
        <v>279</v>
      </c>
      <c r="C880" s="46">
        <v>868</v>
      </c>
      <c r="D880" s="69" t="s">
        <v>29416</v>
      </c>
      <c r="E880" s="51"/>
      <c r="F880" s="114" t="str">
        <f>IF(INDEX(I.Facility.P1IDNumber,868)="","",INDEX(I.Facility.P1IDNumber,868))</f>
        <v/>
      </c>
      <c r="G880" s="51"/>
      <c r="H880" s="46" t="str">
        <f>IF(AND(I.Developer.P1=TRUE,I.Facility.P1FacilityCount&gt;=868,F880=""),"Incomplete","Complete")</f>
        <v>Complete</v>
      </c>
      <c r="I880" s="48" t="s">
        <v>5245</v>
      </c>
    </row>
    <row r="881" spans="2:9" ht="15" customHeight="1" x14ac:dyDescent="0.25">
      <c r="B881" s="55" t="s">
        <v>279</v>
      </c>
      <c r="C881" s="46">
        <v>869</v>
      </c>
      <c r="D881" s="69" t="s">
        <v>29416</v>
      </c>
      <c r="E881" s="51"/>
      <c r="F881" s="114" t="str">
        <f>IF(INDEX(I.Facility.P1IDNumber,869)="","",INDEX(I.Facility.P1IDNumber,869))</f>
        <v/>
      </c>
      <c r="G881" s="51"/>
      <c r="H881" s="46" t="str">
        <f>IF(AND(I.Developer.P1=TRUE,I.Facility.P1FacilityCount&gt;=869,F881=""),"Incomplete","Complete")</f>
        <v>Complete</v>
      </c>
      <c r="I881" s="48" t="s">
        <v>5246</v>
      </c>
    </row>
    <row r="882" spans="2:9" ht="15" customHeight="1" x14ac:dyDescent="0.25">
      <c r="B882" s="55" t="s">
        <v>279</v>
      </c>
      <c r="C882" s="46">
        <v>870</v>
      </c>
      <c r="D882" s="69" t="s">
        <v>29416</v>
      </c>
      <c r="E882" s="51"/>
      <c r="F882" s="114" t="str">
        <f>IF(INDEX(I.Facility.P1IDNumber,870)="","",INDEX(I.Facility.P1IDNumber,870))</f>
        <v/>
      </c>
      <c r="G882" s="51"/>
      <c r="H882" s="46" t="str">
        <f>IF(AND(I.Developer.P1=TRUE,I.Facility.P1FacilityCount&gt;=870,F882=""),"Incomplete","Complete")</f>
        <v>Complete</v>
      </c>
      <c r="I882" s="48" t="s">
        <v>5247</v>
      </c>
    </row>
    <row r="883" spans="2:9" ht="15" customHeight="1" x14ac:dyDescent="0.25">
      <c r="B883" s="55" t="s">
        <v>279</v>
      </c>
      <c r="C883" s="46">
        <v>871</v>
      </c>
      <c r="D883" s="69" t="s">
        <v>29416</v>
      </c>
      <c r="E883" s="51"/>
      <c r="F883" s="114" t="str">
        <f>IF(INDEX(I.Facility.P1IDNumber,871)="","",INDEX(I.Facility.P1IDNumber,871))</f>
        <v/>
      </c>
      <c r="G883" s="51"/>
      <c r="H883" s="46" t="str">
        <f>IF(AND(I.Developer.P1=TRUE,I.Facility.P1FacilityCount&gt;=871,F883=""),"Incomplete","Complete")</f>
        <v>Complete</v>
      </c>
      <c r="I883" s="48" t="s">
        <v>5248</v>
      </c>
    </row>
    <row r="884" spans="2:9" ht="15" customHeight="1" x14ac:dyDescent="0.25">
      <c r="B884" s="55" t="s">
        <v>279</v>
      </c>
      <c r="C884" s="46">
        <v>872</v>
      </c>
      <c r="D884" s="69" t="s">
        <v>29416</v>
      </c>
      <c r="E884" s="51"/>
      <c r="F884" s="114" t="str">
        <f>IF(INDEX(I.Facility.P1IDNumber,872)="","",INDEX(I.Facility.P1IDNumber,872))</f>
        <v/>
      </c>
      <c r="G884" s="51"/>
      <c r="H884" s="46" t="str">
        <f>IF(AND(I.Developer.P1=TRUE,I.Facility.P1FacilityCount&gt;=872,F884=""),"Incomplete","Complete")</f>
        <v>Complete</v>
      </c>
      <c r="I884" s="48" t="s">
        <v>5249</v>
      </c>
    </row>
    <row r="885" spans="2:9" ht="15" customHeight="1" x14ac:dyDescent="0.25">
      <c r="B885" s="55" t="s">
        <v>279</v>
      </c>
      <c r="C885" s="46">
        <v>873</v>
      </c>
      <c r="D885" s="69" t="s">
        <v>29416</v>
      </c>
      <c r="E885" s="51"/>
      <c r="F885" s="114" t="str">
        <f>IF(INDEX(I.Facility.P1IDNumber,873)="","",INDEX(I.Facility.P1IDNumber,873))</f>
        <v/>
      </c>
      <c r="G885" s="51"/>
      <c r="H885" s="46" t="str">
        <f>IF(AND(I.Developer.P1=TRUE,I.Facility.P1FacilityCount&gt;=873,F885=""),"Incomplete","Complete")</f>
        <v>Complete</v>
      </c>
      <c r="I885" s="48" t="s">
        <v>5250</v>
      </c>
    </row>
    <row r="886" spans="2:9" ht="15" customHeight="1" x14ac:dyDescent="0.25">
      <c r="B886" s="55" t="s">
        <v>279</v>
      </c>
      <c r="C886" s="46">
        <v>874</v>
      </c>
      <c r="D886" s="69" t="s">
        <v>29416</v>
      </c>
      <c r="E886" s="51"/>
      <c r="F886" s="114" t="str">
        <f>IF(INDEX(I.Facility.P1IDNumber,874)="","",INDEX(I.Facility.P1IDNumber,874))</f>
        <v/>
      </c>
      <c r="G886" s="51"/>
      <c r="H886" s="46" t="str">
        <f>IF(AND(I.Developer.P1=TRUE,I.Facility.P1FacilityCount&gt;=874,F886=""),"Incomplete","Complete")</f>
        <v>Complete</v>
      </c>
      <c r="I886" s="48" t="s">
        <v>5251</v>
      </c>
    </row>
    <row r="887" spans="2:9" ht="15" customHeight="1" x14ac:dyDescent="0.25">
      <c r="B887" s="55" t="s">
        <v>279</v>
      </c>
      <c r="C887" s="46">
        <v>875</v>
      </c>
      <c r="D887" s="69" t="s">
        <v>29416</v>
      </c>
      <c r="E887" s="51"/>
      <c r="F887" s="114" t="str">
        <f>IF(INDEX(I.Facility.P1IDNumber,875)="","",INDEX(I.Facility.P1IDNumber,875))</f>
        <v/>
      </c>
      <c r="G887" s="51"/>
      <c r="H887" s="46" t="str">
        <f>IF(AND(I.Developer.P1=TRUE,I.Facility.P1FacilityCount&gt;=875,F887=""),"Incomplete","Complete")</f>
        <v>Complete</v>
      </c>
      <c r="I887" s="48" t="s">
        <v>5252</v>
      </c>
    </row>
    <row r="888" spans="2:9" ht="15" customHeight="1" x14ac:dyDescent="0.25">
      <c r="B888" s="55" t="s">
        <v>279</v>
      </c>
      <c r="C888" s="46">
        <v>876</v>
      </c>
      <c r="D888" s="69" t="s">
        <v>29416</v>
      </c>
      <c r="E888" s="51"/>
      <c r="F888" s="114" t="str">
        <f>IF(INDEX(I.Facility.P1IDNumber,876)="","",INDEX(I.Facility.P1IDNumber,876))</f>
        <v/>
      </c>
      <c r="G888" s="51"/>
      <c r="H888" s="46" t="str">
        <f>IF(AND(I.Developer.P1=TRUE,I.Facility.P1FacilityCount&gt;=876,F888=""),"Incomplete","Complete")</f>
        <v>Complete</v>
      </c>
      <c r="I888" s="48" t="s">
        <v>5253</v>
      </c>
    </row>
    <row r="889" spans="2:9" ht="15" customHeight="1" x14ac:dyDescent="0.25">
      <c r="B889" s="55" t="s">
        <v>279</v>
      </c>
      <c r="C889" s="46">
        <v>877</v>
      </c>
      <c r="D889" s="69" t="s">
        <v>29416</v>
      </c>
      <c r="E889" s="51"/>
      <c r="F889" s="114" t="str">
        <f>IF(INDEX(I.Facility.P1IDNumber,877)="","",INDEX(I.Facility.P1IDNumber,877))</f>
        <v/>
      </c>
      <c r="G889" s="51"/>
      <c r="H889" s="46" t="str">
        <f>IF(AND(I.Developer.P1=TRUE,I.Facility.P1FacilityCount&gt;=877,F889=""),"Incomplete","Complete")</f>
        <v>Complete</v>
      </c>
      <c r="I889" s="48" t="s">
        <v>5254</v>
      </c>
    </row>
    <row r="890" spans="2:9" ht="15" customHeight="1" x14ac:dyDescent="0.25">
      <c r="B890" s="55" t="s">
        <v>279</v>
      </c>
      <c r="C890" s="46">
        <v>878</v>
      </c>
      <c r="D890" s="69" t="s">
        <v>29416</v>
      </c>
      <c r="E890" s="51"/>
      <c r="F890" s="114" t="str">
        <f>IF(INDEX(I.Facility.P1IDNumber,878)="","",INDEX(I.Facility.P1IDNumber,878))</f>
        <v/>
      </c>
      <c r="G890" s="51"/>
      <c r="H890" s="46" t="str">
        <f>IF(AND(I.Developer.P1=TRUE,I.Facility.P1FacilityCount&gt;=878,F890=""),"Incomplete","Complete")</f>
        <v>Complete</v>
      </c>
      <c r="I890" s="48" t="s">
        <v>5255</v>
      </c>
    </row>
    <row r="891" spans="2:9" ht="15" customHeight="1" x14ac:dyDescent="0.25">
      <c r="B891" s="55" t="s">
        <v>279</v>
      </c>
      <c r="C891" s="46">
        <v>879</v>
      </c>
      <c r="D891" s="69" t="s">
        <v>29416</v>
      </c>
      <c r="E891" s="51"/>
      <c r="F891" s="114" t="str">
        <f>IF(INDEX(I.Facility.P1IDNumber,879)="","",INDEX(I.Facility.P1IDNumber,879))</f>
        <v/>
      </c>
      <c r="G891" s="51"/>
      <c r="H891" s="46" t="str">
        <f>IF(AND(I.Developer.P1=TRUE,I.Facility.P1FacilityCount&gt;=879,F891=""),"Incomplete","Complete")</f>
        <v>Complete</v>
      </c>
      <c r="I891" s="48" t="s">
        <v>5256</v>
      </c>
    </row>
    <row r="892" spans="2:9" ht="15" customHeight="1" x14ac:dyDescent="0.25">
      <c r="B892" s="55" t="s">
        <v>279</v>
      </c>
      <c r="C892" s="46">
        <v>880</v>
      </c>
      <c r="D892" s="69" t="s">
        <v>29416</v>
      </c>
      <c r="E892" s="51"/>
      <c r="F892" s="114" t="str">
        <f>IF(INDEX(I.Facility.P1IDNumber,880)="","",INDEX(I.Facility.P1IDNumber,880))</f>
        <v/>
      </c>
      <c r="G892" s="51"/>
      <c r="H892" s="46" t="str">
        <f>IF(AND(I.Developer.P1=TRUE,I.Facility.P1FacilityCount&gt;=880,F892=""),"Incomplete","Complete")</f>
        <v>Complete</v>
      </c>
      <c r="I892" s="48" t="s">
        <v>5257</v>
      </c>
    </row>
    <row r="893" spans="2:9" ht="15" customHeight="1" x14ac:dyDescent="0.25">
      <c r="B893" s="55" t="s">
        <v>279</v>
      </c>
      <c r="C893" s="46">
        <v>881</v>
      </c>
      <c r="D893" s="69" t="s">
        <v>29416</v>
      </c>
      <c r="E893" s="51"/>
      <c r="F893" s="114" t="str">
        <f>IF(INDEX(I.Facility.P1IDNumber,881)="","",INDEX(I.Facility.P1IDNumber,881))</f>
        <v/>
      </c>
      <c r="G893" s="51"/>
      <c r="H893" s="46" t="str">
        <f>IF(AND(I.Developer.P1=TRUE,I.Facility.P1FacilityCount&gt;=881,F893=""),"Incomplete","Complete")</f>
        <v>Complete</v>
      </c>
      <c r="I893" s="48" t="s">
        <v>5258</v>
      </c>
    </row>
    <row r="894" spans="2:9" ht="15" customHeight="1" x14ac:dyDescent="0.25">
      <c r="B894" s="55" t="s">
        <v>279</v>
      </c>
      <c r="C894" s="46">
        <v>882</v>
      </c>
      <c r="D894" s="69" t="s">
        <v>29416</v>
      </c>
      <c r="E894" s="51"/>
      <c r="F894" s="114" t="str">
        <f>IF(INDEX(I.Facility.P1IDNumber,882)="","",INDEX(I.Facility.P1IDNumber,882))</f>
        <v/>
      </c>
      <c r="G894" s="51"/>
      <c r="H894" s="46" t="str">
        <f>IF(AND(I.Developer.P1=TRUE,I.Facility.P1FacilityCount&gt;=882,F894=""),"Incomplete","Complete")</f>
        <v>Complete</v>
      </c>
      <c r="I894" s="48" t="s">
        <v>5259</v>
      </c>
    </row>
    <row r="895" spans="2:9" ht="15" customHeight="1" x14ac:dyDescent="0.25">
      <c r="B895" s="55" t="s">
        <v>279</v>
      </c>
      <c r="C895" s="46">
        <v>883</v>
      </c>
      <c r="D895" s="69" t="s">
        <v>29416</v>
      </c>
      <c r="E895" s="51"/>
      <c r="F895" s="114" t="str">
        <f>IF(INDEX(I.Facility.P1IDNumber,883)="","",INDEX(I.Facility.P1IDNumber,883))</f>
        <v/>
      </c>
      <c r="G895" s="51"/>
      <c r="H895" s="46" t="str">
        <f>IF(AND(I.Developer.P1=TRUE,I.Facility.P1FacilityCount&gt;=883,F895=""),"Incomplete","Complete")</f>
        <v>Complete</v>
      </c>
      <c r="I895" s="48" t="s">
        <v>5260</v>
      </c>
    </row>
    <row r="896" spans="2:9" ht="15" customHeight="1" x14ac:dyDescent="0.25">
      <c r="B896" s="55" t="s">
        <v>279</v>
      </c>
      <c r="C896" s="46">
        <v>884</v>
      </c>
      <c r="D896" s="69" t="s">
        <v>29416</v>
      </c>
      <c r="E896" s="51"/>
      <c r="F896" s="114" t="str">
        <f>IF(INDEX(I.Facility.P1IDNumber,884)="","",INDEX(I.Facility.P1IDNumber,884))</f>
        <v/>
      </c>
      <c r="G896" s="51"/>
      <c r="H896" s="46" t="str">
        <f>IF(AND(I.Developer.P1=TRUE,I.Facility.P1FacilityCount&gt;=884,F896=""),"Incomplete","Complete")</f>
        <v>Complete</v>
      </c>
      <c r="I896" s="48" t="s">
        <v>5261</v>
      </c>
    </row>
    <row r="897" spans="2:9" ht="15" customHeight="1" x14ac:dyDescent="0.25">
      <c r="B897" s="55" t="s">
        <v>279</v>
      </c>
      <c r="C897" s="46">
        <v>885</v>
      </c>
      <c r="D897" s="69" t="s">
        <v>29416</v>
      </c>
      <c r="E897" s="51"/>
      <c r="F897" s="114" t="str">
        <f>IF(INDEX(I.Facility.P1IDNumber,885)="","",INDEX(I.Facility.P1IDNumber,885))</f>
        <v/>
      </c>
      <c r="G897" s="51"/>
      <c r="H897" s="46" t="str">
        <f>IF(AND(I.Developer.P1=TRUE,I.Facility.P1FacilityCount&gt;=885,F897=""),"Incomplete","Complete")</f>
        <v>Complete</v>
      </c>
      <c r="I897" s="48" t="s">
        <v>5262</v>
      </c>
    </row>
    <row r="898" spans="2:9" ht="15" customHeight="1" x14ac:dyDescent="0.25">
      <c r="B898" s="55" t="s">
        <v>279</v>
      </c>
      <c r="C898" s="46">
        <v>886</v>
      </c>
      <c r="D898" s="69" t="s">
        <v>29416</v>
      </c>
      <c r="E898" s="51"/>
      <c r="F898" s="114" t="str">
        <f>IF(INDEX(I.Facility.P1IDNumber,886)="","",INDEX(I.Facility.P1IDNumber,886))</f>
        <v/>
      </c>
      <c r="G898" s="51"/>
      <c r="H898" s="46" t="str">
        <f>IF(AND(I.Developer.P1=TRUE,I.Facility.P1FacilityCount&gt;=886,F898=""),"Incomplete","Complete")</f>
        <v>Complete</v>
      </c>
      <c r="I898" s="48" t="s">
        <v>5263</v>
      </c>
    </row>
    <row r="899" spans="2:9" ht="15" customHeight="1" x14ac:dyDescent="0.25">
      <c r="B899" s="55" t="s">
        <v>279</v>
      </c>
      <c r="C899" s="46">
        <v>887</v>
      </c>
      <c r="D899" s="69" t="s">
        <v>29416</v>
      </c>
      <c r="E899" s="51"/>
      <c r="F899" s="114" t="str">
        <f>IF(INDEX(I.Facility.P1IDNumber,887)="","",INDEX(I.Facility.P1IDNumber,887))</f>
        <v/>
      </c>
      <c r="G899" s="51"/>
      <c r="H899" s="46" t="str">
        <f>IF(AND(I.Developer.P1=TRUE,I.Facility.P1FacilityCount&gt;=887,F899=""),"Incomplete","Complete")</f>
        <v>Complete</v>
      </c>
      <c r="I899" s="48" t="s">
        <v>5264</v>
      </c>
    </row>
    <row r="900" spans="2:9" ht="15" customHeight="1" x14ac:dyDescent="0.25">
      <c r="B900" s="55" t="s">
        <v>279</v>
      </c>
      <c r="C900" s="46">
        <v>888</v>
      </c>
      <c r="D900" s="69" t="s">
        <v>29416</v>
      </c>
      <c r="E900" s="51"/>
      <c r="F900" s="114" t="str">
        <f>IF(INDEX(I.Facility.P1IDNumber,888)="","",INDEX(I.Facility.P1IDNumber,888))</f>
        <v/>
      </c>
      <c r="G900" s="51"/>
      <c r="H900" s="46" t="str">
        <f>IF(AND(I.Developer.P1=TRUE,I.Facility.P1FacilityCount&gt;=888,F900=""),"Incomplete","Complete")</f>
        <v>Complete</v>
      </c>
      <c r="I900" s="48" t="s">
        <v>5265</v>
      </c>
    </row>
    <row r="901" spans="2:9" ht="15" customHeight="1" x14ac:dyDescent="0.25">
      <c r="B901" s="55" t="s">
        <v>279</v>
      </c>
      <c r="C901" s="46">
        <v>889</v>
      </c>
      <c r="D901" s="69" t="s">
        <v>29416</v>
      </c>
      <c r="E901" s="51"/>
      <c r="F901" s="114" t="str">
        <f>IF(INDEX(I.Facility.P1IDNumber,889)="","",INDEX(I.Facility.P1IDNumber,889))</f>
        <v/>
      </c>
      <c r="G901" s="51"/>
      <c r="H901" s="46" t="str">
        <f>IF(AND(I.Developer.P1=TRUE,I.Facility.P1FacilityCount&gt;=889,F901=""),"Incomplete","Complete")</f>
        <v>Complete</v>
      </c>
      <c r="I901" s="48" t="s">
        <v>5266</v>
      </c>
    </row>
    <row r="902" spans="2:9" ht="15" customHeight="1" x14ac:dyDescent="0.25">
      <c r="B902" s="55" t="s">
        <v>279</v>
      </c>
      <c r="C902" s="46">
        <v>890</v>
      </c>
      <c r="D902" s="69" t="s">
        <v>29416</v>
      </c>
      <c r="E902" s="51"/>
      <c r="F902" s="114" t="str">
        <f>IF(INDEX(I.Facility.P1IDNumber,890)="","",INDEX(I.Facility.P1IDNumber,890))</f>
        <v/>
      </c>
      <c r="G902" s="51"/>
      <c r="H902" s="46" t="str">
        <f>IF(AND(I.Developer.P1=TRUE,I.Facility.P1FacilityCount&gt;=890,F902=""),"Incomplete","Complete")</f>
        <v>Complete</v>
      </c>
      <c r="I902" s="48" t="s">
        <v>5267</v>
      </c>
    </row>
    <row r="903" spans="2:9" ht="15" customHeight="1" x14ac:dyDescent="0.25">
      <c r="B903" s="55" t="s">
        <v>279</v>
      </c>
      <c r="C903" s="46">
        <v>891</v>
      </c>
      <c r="D903" s="69" t="s">
        <v>29416</v>
      </c>
      <c r="E903" s="51"/>
      <c r="F903" s="114" t="str">
        <f>IF(INDEX(I.Facility.P1IDNumber,891)="","",INDEX(I.Facility.P1IDNumber,891))</f>
        <v/>
      </c>
      <c r="G903" s="51"/>
      <c r="H903" s="46" t="str">
        <f>IF(AND(I.Developer.P1=TRUE,I.Facility.P1FacilityCount&gt;=891,F903=""),"Incomplete","Complete")</f>
        <v>Complete</v>
      </c>
      <c r="I903" s="48" t="s">
        <v>5268</v>
      </c>
    </row>
    <row r="904" spans="2:9" ht="15" customHeight="1" x14ac:dyDescent="0.25">
      <c r="B904" s="55" t="s">
        <v>279</v>
      </c>
      <c r="C904" s="46">
        <v>892</v>
      </c>
      <c r="D904" s="69" t="s">
        <v>29416</v>
      </c>
      <c r="E904" s="51"/>
      <c r="F904" s="114" t="str">
        <f>IF(INDEX(I.Facility.P1IDNumber,892)="","",INDEX(I.Facility.P1IDNumber,892))</f>
        <v/>
      </c>
      <c r="G904" s="51"/>
      <c r="H904" s="46" t="str">
        <f>IF(AND(I.Developer.P1=TRUE,I.Facility.P1FacilityCount&gt;=892,F904=""),"Incomplete","Complete")</f>
        <v>Complete</v>
      </c>
      <c r="I904" s="48" t="s">
        <v>5269</v>
      </c>
    </row>
    <row r="905" spans="2:9" ht="15" customHeight="1" x14ac:dyDescent="0.25">
      <c r="B905" s="55" t="s">
        <v>279</v>
      </c>
      <c r="C905" s="46">
        <v>893</v>
      </c>
      <c r="D905" s="69" t="s">
        <v>29416</v>
      </c>
      <c r="E905" s="51"/>
      <c r="F905" s="114" t="str">
        <f>IF(INDEX(I.Facility.P1IDNumber,893)="","",INDEX(I.Facility.P1IDNumber,893))</f>
        <v/>
      </c>
      <c r="G905" s="51"/>
      <c r="H905" s="46" t="str">
        <f>IF(AND(I.Developer.P1=TRUE,I.Facility.P1FacilityCount&gt;=893,F905=""),"Incomplete","Complete")</f>
        <v>Complete</v>
      </c>
      <c r="I905" s="48" t="s">
        <v>5270</v>
      </c>
    </row>
    <row r="906" spans="2:9" ht="15" customHeight="1" x14ac:dyDescent="0.25">
      <c r="B906" s="55" t="s">
        <v>279</v>
      </c>
      <c r="C906" s="46">
        <v>894</v>
      </c>
      <c r="D906" s="69" t="s">
        <v>29416</v>
      </c>
      <c r="E906" s="51"/>
      <c r="F906" s="114" t="str">
        <f>IF(INDEX(I.Facility.P1IDNumber,894)="","",INDEX(I.Facility.P1IDNumber,894))</f>
        <v/>
      </c>
      <c r="G906" s="51"/>
      <c r="H906" s="46" t="str">
        <f>IF(AND(I.Developer.P1=TRUE,I.Facility.P1FacilityCount&gt;=894,F906=""),"Incomplete","Complete")</f>
        <v>Complete</v>
      </c>
      <c r="I906" s="48" t="s">
        <v>5271</v>
      </c>
    </row>
    <row r="907" spans="2:9" ht="15" customHeight="1" x14ac:dyDescent="0.25">
      <c r="B907" s="55" t="s">
        <v>279</v>
      </c>
      <c r="C907" s="46">
        <v>895</v>
      </c>
      <c r="D907" s="69" t="s">
        <v>29416</v>
      </c>
      <c r="E907" s="51"/>
      <c r="F907" s="114" t="str">
        <f>IF(INDEX(I.Facility.P1IDNumber,895)="","",INDEX(I.Facility.P1IDNumber,895))</f>
        <v/>
      </c>
      <c r="G907" s="51"/>
      <c r="H907" s="46" t="str">
        <f>IF(AND(I.Developer.P1=TRUE,I.Facility.P1FacilityCount&gt;=895,F907=""),"Incomplete","Complete")</f>
        <v>Complete</v>
      </c>
      <c r="I907" s="48" t="s">
        <v>5272</v>
      </c>
    </row>
    <row r="908" spans="2:9" ht="15" customHeight="1" x14ac:dyDescent="0.25">
      <c r="B908" s="55" t="s">
        <v>279</v>
      </c>
      <c r="C908" s="46">
        <v>896</v>
      </c>
      <c r="D908" s="69" t="s">
        <v>29416</v>
      </c>
      <c r="E908" s="51"/>
      <c r="F908" s="114" t="str">
        <f>IF(INDEX(I.Facility.P1IDNumber,896)="","",INDEX(I.Facility.P1IDNumber,896))</f>
        <v/>
      </c>
      <c r="G908" s="51"/>
      <c r="H908" s="46" t="str">
        <f>IF(AND(I.Developer.P1=TRUE,I.Facility.P1FacilityCount&gt;=896,F908=""),"Incomplete","Complete")</f>
        <v>Complete</v>
      </c>
      <c r="I908" s="48" t="s">
        <v>5273</v>
      </c>
    </row>
    <row r="909" spans="2:9" ht="15" customHeight="1" x14ac:dyDescent="0.25">
      <c r="B909" s="55" t="s">
        <v>279</v>
      </c>
      <c r="C909" s="46">
        <v>897</v>
      </c>
      <c r="D909" s="69" t="s">
        <v>29416</v>
      </c>
      <c r="E909" s="51"/>
      <c r="F909" s="114" t="str">
        <f>IF(INDEX(I.Facility.P1IDNumber,897)="","",INDEX(I.Facility.P1IDNumber,897))</f>
        <v/>
      </c>
      <c r="G909" s="51"/>
      <c r="H909" s="46" t="str">
        <f>IF(AND(I.Developer.P1=TRUE,I.Facility.P1FacilityCount&gt;=897,F909=""),"Incomplete","Complete")</f>
        <v>Complete</v>
      </c>
      <c r="I909" s="48" t="s">
        <v>5274</v>
      </c>
    </row>
    <row r="910" spans="2:9" ht="15" customHeight="1" x14ac:dyDescent="0.25">
      <c r="B910" s="55" t="s">
        <v>279</v>
      </c>
      <c r="C910" s="46">
        <v>898</v>
      </c>
      <c r="D910" s="69" t="s">
        <v>29416</v>
      </c>
      <c r="E910" s="51"/>
      <c r="F910" s="114" t="str">
        <f>IF(INDEX(I.Facility.P1IDNumber,898)="","",INDEX(I.Facility.P1IDNumber,898))</f>
        <v/>
      </c>
      <c r="G910" s="51"/>
      <c r="H910" s="46" t="str">
        <f>IF(AND(I.Developer.P1=TRUE,I.Facility.P1FacilityCount&gt;=898,F910=""),"Incomplete","Complete")</f>
        <v>Complete</v>
      </c>
      <c r="I910" s="48" t="s">
        <v>5275</v>
      </c>
    </row>
    <row r="911" spans="2:9" ht="15" customHeight="1" x14ac:dyDescent="0.25">
      <c r="B911" s="55" t="s">
        <v>279</v>
      </c>
      <c r="C911" s="46">
        <v>899</v>
      </c>
      <c r="D911" s="69" t="s">
        <v>29416</v>
      </c>
      <c r="E911" s="51"/>
      <c r="F911" s="114" t="str">
        <f>IF(INDEX(I.Facility.P1IDNumber,899)="","",INDEX(I.Facility.P1IDNumber,899))</f>
        <v/>
      </c>
      <c r="G911" s="51"/>
      <c r="H911" s="46" t="str">
        <f>IF(AND(I.Developer.P1=TRUE,I.Facility.P1FacilityCount&gt;=899,F911=""),"Incomplete","Complete")</f>
        <v>Complete</v>
      </c>
      <c r="I911" s="48" t="s">
        <v>5276</v>
      </c>
    </row>
    <row r="912" spans="2:9" ht="15" customHeight="1" x14ac:dyDescent="0.25">
      <c r="B912" s="55" t="s">
        <v>279</v>
      </c>
      <c r="C912" s="46">
        <v>900</v>
      </c>
      <c r="D912" s="69" t="s">
        <v>29416</v>
      </c>
      <c r="E912" s="51"/>
      <c r="F912" s="114" t="str">
        <f>IF(INDEX(I.Facility.P1IDNumber,900)="","",INDEX(I.Facility.P1IDNumber,900))</f>
        <v/>
      </c>
      <c r="G912" s="51"/>
      <c r="H912" s="46" t="str">
        <f>IF(AND(I.Developer.P1=TRUE,I.Facility.P1FacilityCount&gt;=900,F912=""),"Incomplete","Complete")</f>
        <v>Complete</v>
      </c>
      <c r="I912" s="48" t="s">
        <v>5277</v>
      </c>
    </row>
    <row r="913" spans="2:9" ht="15" customHeight="1" x14ac:dyDescent="0.25">
      <c r="B913" s="55" t="s">
        <v>279</v>
      </c>
      <c r="C913" s="46">
        <v>901</v>
      </c>
      <c r="D913" s="69" t="s">
        <v>29416</v>
      </c>
      <c r="E913" s="51"/>
      <c r="F913" s="114" t="str">
        <f>IF(INDEX(I.Facility.P1IDNumber,901)="","",INDEX(I.Facility.P1IDNumber,901))</f>
        <v/>
      </c>
      <c r="G913" s="51"/>
      <c r="H913" s="46" t="str">
        <f>IF(AND(I.Developer.P1=TRUE,I.Facility.P1FacilityCount&gt;=901,F913=""),"Incomplete","Complete")</f>
        <v>Complete</v>
      </c>
      <c r="I913" s="48" t="s">
        <v>5278</v>
      </c>
    </row>
    <row r="914" spans="2:9" ht="15" customHeight="1" x14ac:dyDescent="0.25">
      <c r="B914" s="55" t="s">
        <v>279</v>
      </c>
      <c r="C914" s="46">
        <v>902</v>
      </c>
      <c r="D914" s="69" t="s">
        <v>29416</v>
      </c>
      <c r="E914" s="51"/>
      <c r="F914" s="114" t="str">
        <f>IF(INDEX(I.Facility.P1IDNumber,902)="","",INDEX(I.Facility.P1IDNumber,902))</f>
        <v/>
      </c>
      <c r="G914" s="51"/>
      <c r="H914" s="46" t="str">
        <f>IF(AND(I.Developer.P1=TRUE,I.Facility.P1FacilityCount&gt;=902,F914=""),"Incomplete","Complete")</f>
        <v>Complete</v>
      </c>
      <c r="I914" s="48" t="s">
        <v>5279</v>
      </c>
    </row>
    <row r="915" spans="2:9" ht="15" customHeight="1" x14ac:dyDescent="0.25">
      <c r="B915" s="55" t="s">
        <v>279</v>
      </c>
      <c r="C915" s="46">
        <v>903</v>
      </c>
      <c r="D915" s="69" t="s">
        <v>29416</v>
      </c>
      <c r="E915" s="51"/>
      <c r="F915" s="114" t="str">
        <f>IF(INDEX(I.Facility.P1IDNumber,903)="","",INDEX(I.Facility.P1IDNumber,903))</f>
        <v/>
      </c>
      <c r="G915" s="51"/>
      <c r="H915" s="46" t="str">
        <f>IF(AND(I.Developer.P1=TRUE,I.Facility.P1FacilityCount&gt;=903,F915=""),"Incomplete","Complete")</f>
        <v>Complete</v>
      </c>
      <c r="I915" s="48" t="s">
        <v>5280</v>
      </c>
    </row>
    <row r="916" spans="2:9" ht="15" customHeight="1" x14ac:dyDescent="0.25">
      <c r="B916" s="55" t="s">
        <v>279</v>
      </c>
      <c r="C916" s="46">
        <v>904</v>
      </c>
      <c r="D916" s="69" t="s">
        <v>29416</v>
      </c>
      <c r="E916" s="51"/>
      <c r="F916" s="114" t="str">
        <f>IF(INDEX(I.Facility.P1IDNumber,904)="","",INDEX(I.Facility.P1IDNumber,904))</f>
        <v/>
      </c>
      <c r="G916" s="51"/>
      <c r="H916" s="46" t="str">
        <f>IF(AND(I.Developer.P1=TRUE,I.Facility.P1FacilityCount&gt;=904,F916=""),"Incomplete","Complete")</f>
        <v>Complete</v>
      </c>
      <c r="I916" s="48" t="s">
        <v>5281</v>
      </c>
    </row>
    <row r="917" spans="2:9" ht="15" customHeight="1" x14ac:dyDescent="0.25">
      <c r="B917" s="55" t="s">
        <v>279</v>
      </c>
      <c r="C917" s="46">
        <v>905</v>
      </c>
      <c r="D917" s="69" t="s">
        <v>29416</v>
      </c>
      <c r="E917" s="51"/>
      <c r="F917" s="114" t="str">
        <f>IF(INDEX(I.Facility.P1IDNumber,905)="","",INDEX(I.Facility.P1IDNumber,905))</f>
        <v/>
      </c>
      <c r="G917" s="51"/>
      <c r="H917" s="46" t="str">
        <f>IF(AND(I.Developer.P1=TRUE,I.Facility.P1FacilityCount&gt;=905,F917=""),"Incomplete","Complete")</f>
        <v>Complete</v>
      </c>
      <c r="I917" s="48" t="s">
        <v>5282</v>
      </c>
    </row>
    <row r="918" spans="2:9" ht="15" customHeight="1" x14ac:dyDescent="0.25">
      <c r="B918" s="55" t="s">
        <v>279</v>
      </c>
      <c r="C918" s="46">
        <v>906</v>
      </c>
      <c r="D918" s="69" t="s">
        <v>29416</v>
      </c>
      <c r="E918" s="51"/>
      <c r="F918" s="114" t="str">
        <f>IF(INDEX(I.Facility.P1IDNumber,906)="","",INDEX(I.Facility.P1IDNumber,906))</f>
        <v/>
      </c>
      <c r="G918" s="51"/>
      <c r="H918" s="46" t="str">
        <f>IF(AND(I.Developer.P1=TRUE,I.Facility.P1FacilityCount&gt;=906,F918=""),"Incomplete","Complete")</f>
        <v>Complete</v>
      </c>
      <c r="I918" s="48" t="s">
        <v>5283</v>
      </c>
    </row>
    <row r="919" spans="2:9" ht="15" customHeight="1" x14ac:dyDescent="0.25">
      <c r="B919" s="55" t="s">
        <v>279</v>
      </c>
      <c r="C919" s="46">
        <v>907</v>
      </c>
      <c r="D919" s="69" t="s">
        <v>29416</v>
      </c>
      <c r="E919" s="51"/>
      <c r="F919" s="114" t="str">
        <f>IF(INDEX(I.Facility.P1IDNumber,907)="","",INDEX(I.Facility.P1IDNumber,907))</f>
        <v/>
      </c>
      <c r="G919" s="51"/>
      <c r="H919" s="46" t="str">
        <f>IF(AND(I.Developer.P1=TRUE,I.Facility.P1FacilityCount&gt;=907,F919=""),"Incomplete","Complete")</f>
        <v>Complete</v>
      </c>
      <c r="I919" s="48" t="s">
        <v>5284</v>
      </c>
    </row>
    <row r="920" spans="2:9" ht="15" customHeight="1" x14ac:dyDescent="0.25">
      <c r="B920" s="55" t="s">
        <v>279</v>
      </c>
      <c r="C920" s="46">
        <v>908</v>
      </c>
      <c r="D920" s="69" t="s">
        <v>29416</v>
      </c>
      <c r="E920" s="51"/>
      <c r="F920" s="114" t="str">
        <f>IF(INDEX(I.Facility.P1IDNumber,908)="","",INDEX(I.Facility.P1IDNumber,908))</f>
        <v/>
      </c>
      <c r="G920" s="51"/>
      <c r="H920" s="46" t="str">
        <f>IF(AND(I.Developer.P1=TRUE,I.Facility.P1FacilityCount&gt;=908,F920=""),"Incomplete","Complete")</f>
        <v>Complete</v>
      </c>
      <c r="I920" s="48" t="s">
        <v>5285</v>
      </c>
    </row>
    <row r="921" spans="2:9" ht="15" customHeight="1" x14ac:dyDescent="0.25">
      <c r="B921" s="55" t="s">
        <v>279</v>
      </c>
      <c r="C921" s="46">
        <v>909</v>
      </c>
      <c r="D921" s="69" t="s">
        <v>29416</v>
      </c>
      <c r="E921" s="51"/>
      <c r="F921" s="114" t="str">
        <f>IF(INDEX(I.Facility.P1IDNumber,909)="","",INDEX(I.Facility.P1IDNumber,909))</f>
        <v/>
      </c>
      <c r="G921" s="51"/>
      <c r="H921" s="46" t="str">
        <f>IF(AND(I.Developer.P1=TRUE,I.Facility.P1FacilityCount&gt;=909,F921=""),"Incomplete","Complete")</f>
        <v>Complete</v>
      </c>
      <c r="I921" s="48" t="s">
        <v>5286</v>
      </c>
    </row>
    <row r="922" spans="2:9" ht="15" customHeight="1" x14ac:dyDescent="0.25">
      <c r="B922" s="55" t="s">
        <v>279</v>
      </c>
      <c r="C922" s="46">
        <v>910</v>
      </c>
      <c r="D922" s="69" t="s">
        <v>29416</v>
      </c>
      <c r="E922" s="51"/>
      <c r="F922" s="114" t="str">
        <f>IF(INDEX(I.Facility.P1IDNumber,910)="","",INDEX(I.Facility.P1IDNumber,910))</f>
        <v/>
      </c>
      <c r="G922" s="51"/>
      <c r="H922" s="46" t="str">
        <f>IF(AND(I.Developer.P1=TRUE,I.Facility.P1FacilityCount&gt;=910,F922=""),"Incomplete","Complete")</f>
        <v>Complete</v>
      </c>
      <c r="I922" s="48" t="s">
        <v>5287</v>
      </c>
    </row>
    <row r="923" spans="2:9" ht="15" customHeight="1" x14ac:dyDescent="0.25">
      <c r="B923" s="55" t="s">
        <v>279</v>
      </c>
      <c r="C923" s="46">
        <v>911</v>
      </c>
      <c r="D923" s="69" t="s">
        <v>29416</v>
      </c>
      <c r="E923" s="51"/>
      <c r="F923" s="114" t="str">
        <f>IF(INDEX(I.Facility.P1IDNumber,911)="","",INDEX(I.Facility.P1IDNumber,911))</f>
        <v/>
      </c>
      <c r="G923" s="51"/>
      <c r="H923" s="46" t="str">
        <f>IF(AND(I.Developer.P1=TRUE,I.Facility.P1FacilityCount&gt;=911,F923=""),"Incomplete","Complete")</f>
        <v>Complete</v>
      </c>
      <c r="I923" s="48" t="s">
        <v>5288</v>
      </c>
    </row>
    <row r="924" spans="2:9" ht="15" customHeight="1" x14ac:dyDescent="0.25">
      <c r="B924" s="55" t="s">
        <v>279</v>
      </c>
      <c r="C924" s="46">
        <v>912</v>
      </c>
      <c r="D924" s="69" t="s">
        <v>29416</v>
      </c>
      <c r="E924" s="51"/>
      <c r="F924" s="114" t="str">
        <f>IF(INDEX(I.Facility.P1IDNumber,912)="","",INDEX(I.Facility.P1IDNumber,912))</f>
        <v/>
      </c>
      <c r="G924" s="51"/>
      <c r="H924" s="46" t="str">
        <f>IF(AND(I.Developer.P1=TRUE,I.Facility.P1FacilityCount&gt;=912,F924=""),"Incomplete","Complete")</f>
        <v>Complete</v>
      </c>
      <c r="I924" s="48" t="s">
        <v>5289</v>
      </c>
    </row>
    <row r="925" spans="2:9" ht="15" customHeight="1" x14ac:dyDescent="0.25">
      <c r="B925" s="55" t="s">
        <v>279</v>
      </c>
      <c r="C925" s="46">
        <v>913</v>
      </c>
      <c r="D925" s="69" t="s">
        <v>29416</v>
      </c>
      <c r="E925" s="51"/>
      <c r="F925" s="114" t="str">
        <f>IF(INDEX(I.Facility.P1IDNumber,913)="","",INDEX(I.Facility.P1IDNumber,913))</f>
        <v/>
      </c>
      <c r="G925" s="51"/>
      <c r="H925" s="46" t="str">
        <f>IF(AND(I.Developer.P1=TRUE,I.Facility.P1FacilityCount&gt;=913,F925=""),"Incomplete","Complete")</f>
        <v>Complete</v>
      </c>
      <c r="I925" s="48" t="s">
        <v>5290</v>
      </c>
    </row>
    <row r="926" spans="2:9" ht="15" customHeight="1" x14ac:dyDescent="0.25">
      <c r="B926" s="55" t="s">
        <v>279</v>
      </c>
      <c r="C926" s="46">
        <v>914</v>
      </c>
      <c r="D926" s="69" t="s">
        <v>29416</v>
      </c>
      <c r="E926" s="51"/>
      <c r="F926" s="114" t="str">
        <f>IF(INDEX(I.Facility.P1IDNumber,914)="","",INDEX(I.Facility.P1IDNumber,914))</f>
        <v/>
      </c>
      <c r="G926" s="51"/>
      <c r="H926" s="46" t="str">
        <f>IF(AND(I.Developer.P1=TRUE,I.Facility.P1FacilityCount&gt;=914,F926=""),"Incomplete","Complete")</f>
        <v>Complete</v>
      </c>
      <c r="I926" s="48" t="s">
        <v>5291</v>
      </c>
    </row>
    <row r="927" spans="2:9" ht="15" customHeight="1" x14ac:dyDescent="0.25">
      <c r="B927" s="55" t="s">
        <v>279</v>
      </c>
      <c r="C927" s="46">
        <v>915</v>
      </c>
      <c r="D927" s="69" t="s">
        <v>29416</v>
      </c>
      <c r="E927" s="51"/>
      <c r="F927" s="114" t="str">
        <f>IF(INDEX(I.Facility.P1IDNumber,915)="","",INDEX(I.Facility.P1IDNumber,915))</f>
        <v/>
      </c>
      <c r="G927" s="51"/>
      <c r="H927" s="46" t="str">
        <f>IF(AND(I.Developer.P1=TRUE,I.Facility.P1FacilityCount&gt;=915,F927=""),"Incomplete","Complete")</f>
        <v>Complete</v>
      </c>
      <c r="I927" s="48" t="s">
        <v>5292</v>
      </c>
    </row>
    <row r="928" spans="2:9" ht="15" customHeight="1" x14ac:dyDescent="0.25">
      <c r="B928" s="55" t="s">
        <v>279</v>
      </c>
      <c r="C928" s="46">
        <v>916</v>
      </c>
      <c r="D928" s="69" t="s">
        <v>29416</v>
      </c>
      <c r="E928" s="51"/>
      <c r="F928" s="114" t="str">
        <f>IF(INDEX(I.Facility.P1IDNumber,916)="","",INDEX(I.Facility.P1IDNumber,916))</f>
        <v/>
      </c>
      <c r="G928" s="51"/>
      <c r="H928" s="46" t="str">
        <f>IF(AND(I.Developer.P1=TRUE,I.Facility.P1FacilityCount&gt;=916,F928=""),"Incomplete","Complete")</f>
        <v>Complete</v>
      </c>
      <c r="I928" s="48" t="s">
        <v>5293</v>
      </c>
    </row>
    <row r="929" spans="2:9" ht="15" customHeight="1" x14ac:dyDescent="0.25">
      <c r="B929" s="55" t="s">
        <v>279</v>
      </c>
      <c r="C929" s="46">
        <v>917</v>
      </c>
      <c r="D929" s="69" t="s">
        <v>29416</v>
      </c>
      <c r="E929" s="51"/>
      <c r="F929" s="114" t="str">
        <f>IF(INDEX(I.Facility.P1IDNumber,917)="","",INDEX(I.Facility.P1IDNumber,917))</f>
        <v/>
      </c>
      <c r="G929" s="51"/>
      <c r="H929" s="46" t="str">
        <f>IF(AND(I.Developer.P1=TRUE,I.Facility.P1FacilityCount&gt;=917,F929=""),"Incomplete","Complete")</f>
        <v>Complete</v>
      </c>
      <c r="I929" s="48" t="s">
        <v>5294</v>
      </c>
    </row>
    <row r="930" spans="2:9" ht="15" customHeight="1" x14ac:dyDescent="0.25">
      <c r="B930" s="55" t="s">
        <v>279</v>
      </c>
      <c r="C930" s="46">
        <v>918</v>
      </c>
      <c r="D930" s="69" t="s">
        <v>29416</v>
      </c>
      <c r="E930" s="51"/>
      <c r="F930" s="114" t="str">
        <f>IF(INDEX(I.Facility.P1IDNumber,918)="","",INDEX(I.Facility.P1IDNumber,918))</f>
        <v/>
      </c>
      <c r="G930" s="51"/>
      <c r="H930" s="46" t="str">
        <f>IF(AND(I.Developer.P1=TRUE,I.Facility.P1FacilityCount&gt;=918,F930=""),"Incomplete","Complete")</f>
        <v>Complete</v>
      </c>
      <c r="I930" s="48" t="s">
        <v>5295</v>
      </c>
    </row>
    <row r="931" spans="2:9" ht="15" customHeight="1" x14ac:dyDescent="0.25">
      <c r="B931" s="55" t="s">
        <v>279</v>
      </c>
      <c r="C931" s="46">
        <v>919</v>
      </c>
      <c r="D931" s="69" t="s">
        <v>29416</v>
      </c>
      <c r="E931" s="51"/>
      <c r="F931" s="114" t="str">
        <f>IF(INDEX(I.Facility.P1IDNumber,919)="","",INDEX(I.Facility.P1IDNumber,919))</f>
        <v/>
      </c>
      <c r="G931" s="51"/>
      <c r="H931" s="46" t="str">
        <f>IF(AND(I.Developer.P1=TRUE,I.Facility.P1FacilityCount&gt;=919,F931=""),"Incomplete","Complete")</f>
        <v>Complete</v>
      </c>
      <c r="I931" s="48" t="s">
        <v>5296</v>
      </c>
    </row>
    <row r="932" spans="2:9" ht="15" customHeight="1" x14ac:dyDescent="0.25">
      <c r="B932" s="55" t="s">
        <v>279</v>
      </c>
      <c r="C932" s="46">
        <v>920</v>
      </c>
      <c r="D932" s="69" t="s">
        <v>29416</v>
      </c>
      <c r="E932" s="51"/>
      <c r="F932" s="114" t="str">
        <f>IF(INDEX(I.Facility.P1IDNumber,920)="","",INDEX(I.Facility.P1IDNumber,920))</f>
        <v/>
      </c>
      <c r="G932" s="51"/>
      <c r="H932" s="46" t="str">
        <f>IF(AND(I.Developer.P1=TRUE,I.Facility.P1FacilityCount&gt;=920,F932=""),"Incomplete","Complete")</f>
        <v>Complete</v>
      </c>
      <c r="I932" s="48" t="s">
        <v>5297</v>
      </c>
    </row>
    <row r="933" spans="2:9" ht="15" customHeight="1" x14ac:dyDescent="0.25">
      <c r="B933" s="55" t="s">
        <v>279</v>
      </c>
      <c r="C933" s="46">
        <v>921</v>
      </c>
      <c r="D933" s="69" t="s">
        <v>29416</v>
      </c>
      <c r="E933" s="51"/>
      <c r="F933" s="114" t="str">
        <f>IF(INDEX(I.Facility.P1IDNumber,921)="","",INDEX(I.Facility.P1IDNumber,921))</f>
        <v/>
      </c>
      <c r="G933" s="51"/>
      <c r="H933" s="46" t="str">
        <f>IF(AND(I.Developer.P1=TRUE,I.Facility.P1FacilityCount&gt;=921,F933=""),"Incomplete","Complete")</f>
        <v>Complete</v>
      </c>
      <c r="I933" s="48" t="s">
        <v>5298</v>
      </c>
    </row>
    <row r="934" spans="2:9" ht="15" customHeight="1" x14ac:dyDescent="0.25">
      <c r="B934" s="55" t="s">
        <v>279</v>
      </c>
      <c r="C934" s="46">
        <v>922</v>
      </c>
      <c r="D934" s="69" t="s">
        <v>29416</v>
      </c>
      <c r="E934" s="51"/>
      <c r="F934" s="114" t="str">
        <f>IF(INDEX(I.Facility.P1IDNumber,922)="","",INDEX(I.Facility.P1IDNumber,922))</f>
        <v/>
      </c>
      <c r="G934" s="51"/>
      <c r="H934" s="46" t="str">
        <f>IF(AND(I.Developer.P1=TRUE,I.Facility.P1FacilityCount&gt;=922,F934=""),"Incomplete","Complete")</f>
        <v>Complete</v>
      </c>
      <c r="I934" s="48" t="s">
        <v>5299</v>
      </c>
    </row>
    <row r="935" spans="2:9" ht="15" customHeight="1" x14ac:dyDescent="0.25">
      <c r="B935" s="55" t="s">
        <v>279</v>
      </c>
      <c r="C935" s="46">
        <v>923</v>
      </c>
      <c r="D935" s="69" t="s">
        <v>29416</v>
      </c>
      <c r="E935" s="51"/>
      <c r="F935" s="114" t="str">
        <f>IF(INDEX(I.Facility.P1IDNumber,923)="","",INDEX(I.Facility.P1IDNumber,923))</f>
        <v/>
      </c>
      <c r="G935" s="51"/>
      <c r="H935" s="46" t="str">
        <f>IF(AND(I.Developer.P1=TRUE,I.Facility.P1FacilityCount&gt;=923,F935=""),"Incomplete","Complete")</f>
        <v>Complete</v>
      </c>
      <c r="I935" s="48" t="s">
        <v>5300</v>
      </c>
    </row>
    <row r="936" spans="2:9" ht="15" customHeight="1" x14ac:dyDescent="0.25">
      <c r="B936" s="55" t="s">
        <v>279</v>
      </c>
      <c r="C936" s="46">
        <v>924</v>
      </c>
      <c r="D936" s="69" t="s">
        <v>29416</v>
      </c>
      <c r="E936" s="51"/>
      <c r="F936" s="114" t="str">
        <f>IF(INDEX(I.Facility.P1IDNumber,924)="","",INDEX(I.Facility.P1IDNumber,924))</f>
        <v/>
      </c>
      <c r="G936" s="51"/>
      <c r="H936" s="46" t="str">
        <f>IF(AND(I.Developer.P1=TRUE,I.Facility.P1FacilityCount&gt;=924,F936=""),"Incomplete","Complete")</f>
        <v>Complete</v>
      </c>
      <c r="I936" s="48" t="s">
        <v>5301</v>
      </c>
    </row>
    <row r="937" spans="2:9" ht="15" customHeight="1" x14ac:dyDescent="0.25">
      <c r="B937" s="55" t="s">
        <v>279</v>
      </c>
      <c r="C937" s="46">
        <v>925</v>
      </c>
      <c r="D937" s="69" t="s">
        <v>29416</v>
      </c>
      <c r="E937" s="51"/>
      <c r="F937" s="114" t="str">
        <f>IF(INDEX(I.Facility.P1IDNumber,925)="","",INDEX(I.Facility.P1IDNumber,925))</f>
        <v/>
      </c>
      <c r="G937" s="51"/>
      <c r="H937" s="46" t="str">
        <f>IF(AND(I.Developer.P1=TRUE,I.Facility.P1FacilityCount&gt;=925,F937=""),"Incomplete","Complete")</f>
        <v>Complete</v>
      </c>
      <c r="I937" s="48" t="s">
        <v>5302</v>
      </c>
    </row>
    <row r="938" spans="2:9" ht="15" customHeight="1" x14ac:dyDescent="0.25">
      <c r="B938" s="55" t="s">
        <v>279</v>
      </c>
      <c r="C938" s="46">
        <v>926</v>
      </c>
      <c r="D938" s="69" t="s">
        <v>29416</v>
      </c>
      <c r="E938" s="51"/>
      <c r="F938" s="114" t="str">
        <f>IF(INDEX(I.Facility.P1IDNumber,926)="","",INDEX(I.Facility.P1IDNumber,926))</f>
        <v/>
      </c>
      <c r="G938" s="51"/>
      <c r="H938" s="46" t="str">
        <f>IF(AND(I.Developer.P1=TRUE,I.Facility.P1FacilityCount&gt;=926,F938=""),"Incomplete","Complete")</f>
        <v>Complete</v>
      </c>
      <c r="I938" s="48" t="s">
        <v>5303</v>
      </c>
    </row>
    <row r="939" spans="2:9" ht="15" customHeight="1" x14ac:dyDescent="0.25">
      <c r="B939" s="55" t="s">
        <v>279</v>
      </c>
      <c r="C939" s="46">
        <v>927</v>
      </c>
      <c r="D939" s="69" t="s">
        <v>29416</v>
      </c>
      <c r="E939" s="51"/>
      <c r="F939" s="114" t="str">
        <f>IF(INDEX(I.Facility.P1IDNumber,927)="","",INDEX(I.Facility.P1IDNumber,927))</f>
        <v/>
      </c>
      <c r="G939" s="51"/>
      <c r="H939" s="46" t="str">
        <f>IF(AND(I.Developer.P1=TRUE,I.Facility.P1FacilityCount&gt;=927,F939=""),"Incomplete","Complete")</f>
        <v>Complete</v>
      </c>
      <c r="I939" s="48" t="s">
        <v>5304</v>
      </c>
    </row>
    <row r="940" spans="2:9" ht="15" customHeight="1" x14ac:dyDescent="0.25">
      <c r="B940" s="55" t="s">
        <v>279</v>
      </c>
      <c r="C940" s="46">
        <v>928</v>
      </c>
      <c r="D940" s="69" t="s">
        <v>29416</v>
      </c>
      <c r="E940" s="51"/>
      <c r="F940" s="114" t="str">
        <f>IF(INDEX(I.Facility.P1IDNumber,928)="","",INDEX(I.Facility.P1IDNumber,928))</f>
        <v/>
      </c>
      <c r="G940" s="51"/>
      <c r="H940" s="46" t="str">
        <f>IF(AND(I.Developer.P1=TRUE,I.Facility.P1FacilityCount&gt;=928,F940=""),"Incomplete","Complete")</f>
        <v>Complete</v>
      </c>
      <c r="I940" s="48" t="s">
        <v>5305</v>
      </c>
    </row>
    <row r="941" spans="2:9" ht="15" customHeight="1" x14ac:dyDescent="0.25">
      <c r="B941" s="55" t="s">
        <v>279</v>
      </c>
      <c r="C941" s="46">
        <v>929</v>
      </c>
      <c r="D941" s="69" t="s">
        <v>29416</v>
      </c>
      <c r="E941" s="51"/>
      <c r="F941" s="114" t="str">
        <f>IF(INDEX(I.Facility.P1IDNumber,929)="","",INDEX(I.Facility.P1IDNumber,929))</f>
        <v/>
      </c>
      <c r="G941" s="51"/>
      <c r="H941" s="46" t="str">
        <f>IF(AND(I.Developer.P1=TRUE,I.Facility.P1FacilityCount&gt;=929,F941=""),"Incomplete","Complete")</f>
        <v>Complete</v>
      </c>
      <c r="I941" s="48" t="s">
        <v>5306</v>
      </c>
    </row>
    <row r="942" spans="2:9" ht="15" customHeight="1" x14ac:dyDescent="0.25">
      <c r="B942" s="55" t="s">
        <v>279</v>
      </c>
      <c r="C942" s="46">
        <v>930</v>
      </c>
      <c r="D942" s="69" t="s">
        <v>29416</v>
      </c>
      <c r="E942" s="51"/>
      <c r="F942" s="114" t="str">
        <f>IF(INDEX(I.Facility.P1IDNumber,930)="","",INDEX(I.Facility.P1IDNumber,930))</f>
        <v/>
      </c>
      <c r="G942" s="51"/>
      <c r="H942" s="46" t="str">
        <f>IF(AND(I.Developer.P1=TRUE,I.Facility.P1FacilityCount&gt;=930,F942=""),"Incomplete","Complete")</f>
        <v>Complete</v>
      </c>
      <c r="I942" s="48" t="s">
        <v>5307</v>
      </c>
    </row>
    <row r="943" spans="2:9" ht="15" customHeight="1" x14ac:dyDescent="0.25">
      <c r="B943" s="55" t="s">
        <v>279</v>
      </c>
      <c r="C943" s="46">
        <v>931</v>
      </c>
      <c r="D943" s="69" t="s">
        <v>29416</v>
      </c>
      <c r="E943" s="51"/>
      <c r="F943" s="114" t="str">
        <f>IF(INDEX(I.Facility.P1IDNumber,931)="","",INDEX(I.Facility.P1IDNumber,931))</f>
        <v/>
      </c>
      <c r="G943" s="51"/>
      <c r="H943" s="46" t="str">
        <f>IF(AND(I.Developer.P1=TRUE,I.Facility.P1FacilityCount&gt;=931,F943=""),"Incomplete","Complete")</f>
        <v>Complete</v>
      </c>
      <c r="I943" s="48" t="s">
        <v>5308</v>
      </c>
    </row>
    <row r="944" spans="2:9" ht="15" customHeight="1" x14ac:dyDescent="0.25">
      <c r="B944" s="55" t="s">
        <v>279</v>
      </c>
      <c r="C944" s="46">
        <v>932</v>
      </c>
      <c r="D944" s="69" t="s">
        <v>29416</v>
      </c>
      <c r="E944" s="51"/>
      <c r="F944" s="114" t="str">
        <f>IF(INDEX(I.Facility.P1IDNumber,932)="","",INDEX(I.Facility.P1IDNumber,932))</f>
        <v/>
      </c>
      <c r="G944" s="51"/>
      <c r="H944" s="46" t="str">
        <f>IF(AND(I.Developer.P1=TRUE,I.Facility.P1FacilityCount&gt;=932,F944=""),"Incomplete","Complete")</f>
        <v>Complete</v>
      </c>
      <c r="I944" s="48" t="s">
        <v>5309</v>
      </c>
    </row>
    <row r="945" spans="2:9" ht="15" customHeight="1" x14ac:dyDescent="0.25">
      <c r="B945" s="55" t="s">
        <v>279</v>
      </c>
      <c r="C945" s="46">
        <v>933</v>
      </c>
      <c r="D945" s="69" t="s">
        <v>29416</v>
      </c>
      <c r="E945" s="51"/>
      <c r="F945" s="114" t="str">
        <f>IF(INDEX(I.Facility.P1IDNumber,933)="","",INDEX(I.Facility.P1IDNumber,933))</f>
        <v/>
      </c>
      <c r="G945" s="51"/>
      <c r="H945" s="46" t="str">
        <f>IF(AND(I.Developer.P1=TRUE,I.Facility.P1FacilityCount&gt;=933,F945=""),"Incomplete","Complete")</f>
        <v>Complete</v>
      </c>
      <c r="I945" s="48" t="s">
        <v>5310</v>
      </c>
    </row>
    <row r="946" spans="2:9" ht="15" customHeight="1" x14ac:dyDescent="0.25">
      <c r="B946" s="55" t="s">
        <v>279</v>
      </c>
      <c r="C946" s="46">
        <v>934</v>
      </c>
      <c r="D946" s="69" t="s">
        <v>29416</v>
      </c>
      <c r="E946" s="51"/>
      <c r="F946" s="114" t="str">
        <f>IF(INDEX(I.Facility.P1IDNumber,934)="","",INDEX(I.Facility.P1IDNumber,934))</f>
        <v/>
      </c>
      <c r="G946" s="51"/>
      <c r="H946" s="46" t="str">
        <f>IF(AND(I.Developer.P1=TRUE,I.Facility.P1FacilityCount&gt;=934,F946=""),"Incomplete","Complete")</f>
        <v>Complete</v>
      </c>
      <c r="I946" s="48" t="s">
        <v>5311</v>
      </c>
    </row>
    <row r="947" spans="2:9" ht="15" customHeight="1" x14ac:dyDescent="0.25">
      <c r="B947" s="55" t="s">
        <v>279</v>
      </c>
      <c r="C947" s="46">
        <v>935</v>
      </c>
      <c r="D947" s="69" t="s">
        <v>29416</v>
      </c>
      <c r="E947" s="51"/>
      <c r="F947" s="114" t="str">
        <f>IF(INDEX(I.Facility.P1IDNumber,935)="","",INDEX(I.Facility.P1IDNumber,935))</f>
        <v/>
      </c>
      <c r="G947" s="51"/>
      <c r="H947" s="46" t="str">
        <f>IF(AND(I.Developer.P1=TRUE,I.Facility.P1FacilityCount&gt;=935,F947=""),"Incomplete","Complete")</f>
        <v>Complete</v>
      </c>
      <c r="I947" s="48" t="s">
        <v>5312</v>
      </c>
    </row>
    <row r="948" spans="2:9" ht="15" customHeight="1" x14ac:dyDescent="0.25">
      <c r="B948" s="55" t="s">
        <v>279</v>
      </c>
      <c r="C948" s="46">
        <v>936</v>
      </c>
      <c r="D948" s="69" t="s">
        <v>29416</v>
      </c>
      <c r="E948" s="51"/>
      <c r="F948" s="114" t="str">
        <f>IF(INDEX(I.Facility.P1IDNumber,936)="","",INDEX(I.Facility.P1IDNumber,936))</f>
        <v/>
      </c>
      <c r="G948" s="51"/>
      <c r="H948" s="46" t="str">
        <f>IF(AND(I.Developer.P1=TRUE,I.Facility.P1FacilityCount&gt;=936,F948=""),"Incomplete","Complete")</f>
        <v>Complete</v>
      </c>
      <c r="I948" s="48" t="s">
        <v>5313</v>
      </c>
    </row>
    <row r="949" spans="2:9" ht="15" customHeight="1" x14ac:dyDescent="0.25">
      <c r="B949" s="55" t="s">
        <v>279</v>
      </c>
      <c r="C949" s="46">
        <v>937</v>
      </c>
      <c r="D949" s="69" t="s">
        <v>29416</v>
      </c>
      <c r="E949" s="51"/>
      <c r="F949" s="114" t="str">
        <f>IF(INDEX(I.Facility.P1IDNumber,937)="","",INDEX(I.Facility.P1IDNumber,937))</f>
        <v/>
      </c>
      <c r="G949" s="51"/>
      <c r="H949" s="46" t="str">
        <f>IF(AND(I.Developer.P1=TRUE,I.Facility.P1FacilityCount&gt;=937,F949=""),"Incomplete","Complete")</f>
        <v>Complete</v>
      </c>
      <c r="I949" s="48" t="s">
        <v>5314</v>
      </c>
    </row>
    <row r="950" spans="2:9" ht="15" customHeight="1" x14ac:dyDescent="0.25">
      <c r="B950" s="55" t="s">
        <v>279</v>
      </c>
      <c r="C950" s="46">
        <v>938</v>
      </c>
      <c r="D950" s="69" t="s">
        <v>29416</v>
      </c>
      <c r="E950" s="51"/>
      <c r="F950" s="114" t="str">
        <f>IF(INDEX(I.Facility.P1IDNumber,938)="","",INDEX(I.Facility.P1IDNumber,938))</f>
        <v/>
      </c>
      <c r="G950" s="51"/>
      <c r="H950" s="46" t="str">
        <f>IF(AND(I.Developer.P1=TRUE,I.Facility.P1FacilityCount&gt;=938,F950=""),"Incomplete","Complete")</f>
        <v>Complete</v>
      </c>
      <c r="I950" s="48" t="s">
        <v>5315</v>
      </c>
    </row>
    <row r="951" spans="2:9" ht="15" customHeight="1" x14ac:dyDescent="0.25">
      <c r="B951" s="55" t="s">
        <v>279</v>
      </c>
      <c r="C951" s="46">
        <v>939</v>
      </c>
      <c r="D951" s="69" t="s">
        <v>29416</v>
      </c>
      <c r="E951" s="51"/>
      <c r="F951" s="114" t="str">
        <f>IF(INDEX(I.Facility.P1IDNumber,939)="","",INDEX(I.Facility.P1IDNumber,939))</f>
        <v/>
      </c>
      <c r="G951" s="51"/>
      <c r="H951" s="46" t="str">
        <f>IF(AND(I.Developer.P1=TRUE,I.Facility.P1FacilityCount&gt;=939,F951=""),"Incomplete","Complete")</f>
        <v>Complete</v>
      </c>
      <c r="I951" s="48" t="s">
        <v>5316</v>
      </c>
    </row>
    <row r="952" spans="2:9" ht="15" customHeight="1" x14ac:dyDescent="0.25">
      <c r="B952" s="55" t="s">
        <v>279</v>
      </c>
      <c r="C952" s="46">
        <v>940</v>
      </c>
      <c r="D952" s="69" t="s">
        <v>29416</v>
      </c>
      <c r="E952" s="51"/>
      <c r="F952" s="114" t="str">
        <f>IF(INDEX(I.Facility.P1IDNumber,940)="","",INDEX(I.Facility.P1IDNumber,940))</f>
        <v/>
      </c>
      <c r="G952" s="51"/>
      <c r="H952" s="46" t="str">
        <f>IF(AND(I.Developer.P1=TRUE,I.Facility.P1FacilityCount&gt;=940,F952=""),"Incomplete","Complete")</f>
        <v>Complete</v>
      </c>
      <c r="I952" s="48" t="s">
        <v>5317</v>
      </c>
    </row>
    <row r="953" spans="2:9" ht="15" customHeight="1" x14ac:dyDescent="0.25">
      <c r="B953" s="55" t="s">
        <v>279</v>
      </c>
      <c r="C953" s="46">
        <v>941</v>
      </c>
      <c r="D953" s="69" t="s">
        <v>29416</v>
      </c>
      <c r="E953" s="51"/>
      <c r="F953" s="114" t="str">
        <f>IF(INDEX(I.Facility.P1IDNumber,941)="","",INDEX(I.Facility.P1IDNumber,941))</f>
        <v/>
      </c>
      <c r="G953" s="51"/>
      <c r="H953" s="46" t="str">
        <f>IF(AND(I.Developer.P1=TRUE,I.Facility.P1FacilityCount&gt;=941,F953=""),"Incomplete","Complete")</f>
        <v>Complete</v>
      </c>
      <c r="I953" s="48" t="s">
        <v>5318</v>
      </c>
    </row>
    <row r="954" spans="2:9" ht="15" customHeight="1" x14ac:dyDescent="0.25">
      <c r="B954" s="55" t="s">
        <v>279</v>
      </c>
      <c r="C954" s="46">
        <v>942</v>
      </c>
      <c r="D954" s="69" t="s">
        <v>29416</v>
      </c>
      <c r="E954" s="51"/>
      <c r="F954" s="114" t="str">
        <f>IF(INDEX(I.Facility.P1IDNumber,942)="","",INDEX(I.Facility.P1IDNumber,942))</f>
        <v/>
      </c>
      <c r="G954" s="51"/>
      <c r="H954" s="46" t="str">
        <f>IF(AND(I.Developer.P1=TRUE,I.Facility.P1FacilityCount&gt;=942,F954=""),"Incomplete","Complete")</f>
        <v>Complete</v>
      </c>
      <c r="I954" s="48" t="s">
        <v>5319</v>
      </c>
    </row>
    <row r="955" spans="2:9" ht="15" customHeight="1" x14ac:dyDescent="0.25">
      <c r="B955" s="55" t="s">
        <v>279</v>
      </c>
      <c r="C955" s="46">
        <v>943</v>
      </c>
      <c r="D955" s="69" t="s">
        <v>29416</v>
      </c>
      <c r="E955" s="51"/>
      <c r="F955" s="114" t="str">
        <f>IF(INDEX(I.Facility.P1IDNumber,943)="","",INDEX(I.Facility.P1IDNumber,943))</f>
        <v/>
      </c>
      <c r="G955" s="51"/>
      <c r="H955" s="46" t="str">
        <f>IF(AND(I.Developer.P1=TRUE,I.Facility.P1FacilityCount&gt;=943,F955=""),"Incomplete","Complete")</f>
        <v>Complete</v>
      </c>
      <c r="I955" s="48" t="s">
        <v>5320</v>
      </c>
    </row>
    <row r="956" spans="2:9" ht="15" customHeight="1" x14ac:dyDescent="0.25">
      <c r="B956" s="55" t="s">
        <v>279</v>
      </c>
      <c r="C956" s="46">
        <v>944</v>
      </c>
      <c r="D956" s="69" t="s">
        <v>29416</v>
      </c>
      <c r="E956" s="51"/>
      <c r="F956" s="114" t="str">
        <f>IF(INDEX(I.Facility.P1IDNumber,944)="","",INDEX(I.Facility.P1IDNumber,944))</f>
        <v/>
      </c>
      <c r="G956" s="51"/>
      <c r="H956" s="46" t="str">
        <f>IF(AND(I.Developer.P1=TRUE,I.Facility.P1FacilityCount&gt;=944,F956=""),"Incomplete","Complete")</f>
        <v>Complete</v>
      </c>
      <c r="I956" s="48" t="s">
        <v>5321</v>
      </c>
    </row>
    <row r="957" spans="2:9" ht="15" customHeight="1" x14ac:dyDescent="0.25">
      <c r="B957" s="55" t="s">
        <v>279</v>
      </c>
      <c r="C957" s="46">
        <v>945</v>
      </c>
      <c r="D957" s="69" t="s">
        <v>29416</v>
      </c>
      <c r="E957" s="51"/>
      <c r="F957" s="114" t="str">
        <f>IF(INDEX(I.Facility.P1IDNumber,945)="","",INDEX(I.Facility.P1IDNumber,945))</f>
        <v/>
      </c>
      <c r="G957" s="51"/>
      <c r="H957" s="46" t="str">
        <f>IF(AND(I.Developer.P1=TRUE,I.Facility.P1FacilityCount&gt;=945,F957=""),"Incomplete","Complete")</f>
        <v>Complete</v>
      </c>
      <c r="I957" s="48" t="s">
        <v>5322</v>
      </c>
    </row>
    <row r="958" spans="2:9" ht="15" customHeight="1" x14ac:dyDescent="0.25">
      <c r="B958" s="55" t="s">
        <v>279</v>
      </c>
      <c r="C958" s="46">
        <v>946</v>
      </c>
      <c r="D958" s="69" t="s">
        <v>29416</v>
      </c>
      <c r="E958" s="51"/>
      <c r="F958" s="114" t="str">
        <f>IF(INDEX(I.Facility.P1IDNumber,946)="","",INDEX(I.Facility.P1IDNumber,946))</f>
        <v/>
      </c>
      <c r="G958" s="51"/>
      <c r="H958" s="46" t="str">
        <f>IF(AND(I.Developer.P1=TRUE,I.Facility.P1FacilityCount&gt;=946,F958=""),"Incomplete","Complete")</f>
        <v>Complete</v>
      </c>
      <c r="I958" s="48" t="s">
        <v>5323</v>
      </c>
    </row>
    <row r="959" spans="2:9" ht="15" customHeight="1" x14ac:dyDescent="0.25">
      <c r="B959" s="55" t="s">
        <v>279</v>
      </c>
      <c r="C959" s="46">
        <v>947</v>
      </c>
      <c r="D959" s="69" t="s">
        <v>29416</v>
      </c>
      <c r="E959" s="51"/>
      <c r="F959" s="114" t="str">
        <f>IF(INDEX(I.Facility.P1IDNumber,947)="","",INDEX(I.Facility.P1IDNumber,947))</f>
        <v/>
      </c>
      <c r="G959" s="51"/>
      <c r="H959" s="46" t="str">
        <f>IF(AND(I.Developer.P1=TRUE,I.Facility.P1FacilityCount&gt;=947,F959=""),"Incomplete","Complete")</f>
        <v>Complete</v>
      </c>
      <c r="I959" s="48" t="s">
        <v>5324</v>
      </c>
    </row>
    <row r="960" spans="2:9" ht="15" customHeight="1" x14ac:dyDescent="0.25">
      <c r="B960" s="55" t="s">
        <v>279</v>
      </c>
      <c r="C960" s="46">
        <v>948</v>
      </c>
      <c r="D960" s="69" t="s">
        <v>29416</v>
      </c>
      <c r="E960" s="51"/>
      <c r="F960" s="114" t="str">
        <f>IF(INDEX(I.Facility.P1IDNumber,948)="","",INDEX(I.Facility.P1IDNumber,948))</f>
        <v/>
      </c>
      <c r="G960" s="51"/>
      <c r="H960" s="46" t="str">
        <f>IF(AND(I.Developer.P1=TRUE,I.Facility.P1FacilityCount&gt;=948,F960=""),"Incomplete","Complete")</f>
        <v>Complete</v>
      </c>
      <c r="I960" s="48" t="s">
        <v>5325</v>
      </c>
    </row>
    <row r="961" spans="2:9" ht="15" customHeight="1" x14ac:dyDescent="0.25">
      <c r="B961" s="55" t="s">
        <v>279</v>
      </c>
      <c r="C961" s="46">
        <v>949</v>
      </c>
      <c r="D961" s="69" t="s">
        <v>29416</v>
      </c>
      <c r="E961" s="51"/>
      <c r="F961" s="114" t="str">
        <f>IF(INDEX(I.Facility.P1IDNumber,949)="","",INDEX(I.Facility.P1IDNumber,949))</f>
        <v/>
      </c>
      <c r="G961" s="51"/>
      <c r="H961" s="46" t="str">
        <f>IF(AND(I.Developer.P1=TRUE,I.Facility.P1FacilityCount&gt;=949,F961=""),"Incomplete","Complete")</f>
        <v>Complete</v>
      </c>
      <c r="I961" s="48" t="s">
        <v>5326</v>
      </c>
    </row>
    <row r="962" spans="2:9" ht="15" customHeight="1" x14ac:dyDescent="0.25">
      <c r="B962" s="55" t="s">
        <v>279</v>
      </c>
      <c r="C962" s="46">
        <v>950</v>
      </c>
      <c r="D962" s="69" t="s">
        <v>29416</v>
      </c>
      <c r="E962" s="51"/>
      <c r="F962" s="114" t="str">
        <f>IF(INDEX(I.Facility.P1IDNumber,950)="","",INDEX(I.Facility.P1IDNumber,950))</f>
        <v/>
      </c>
      <c r="G962" s="51"/>
      <c r="H962" s="46" t="str">
        <f>IF(AND(I.Developer.P1=TRUE,I.Facility.P1FacilityCount&gt;=950,F962=""),"Incomplete","Complete")</f>
        <v>Complete</v>
      </c>
      <c r="I962" s="48" t="s">
        <v>5327</v>
      </c>
    </row>
    <row r="963" spans="2:9" ht="15" customHeight="1" x14ac:dyDescent="0.25">
      <c r="B963" s="55" t="s">
        <v>279</v>
      </c>
      <c r="C963" s="46">
        <v>951</v>
      </c>
      <c r="D963" s="69" t="s">
        <v>29416</v>
      </c>
      <c r="E963" s="51"/>
      <c r="F963" s="114" t="str">
        <f>IF(INDEX(I.Facility.P1IDNumber,951)="","",INDEX(I.Facility.P1IDNumber,951))</f>
        <v/>
      </c>
      <c r="G963" s="51"/>
      <c r="H963" s="46" t="str">
        <f>IF(AND(I.Developer.P1=TRUE,I.Facility.P1FacilityCount&gt;=951,F963=""),"Incomplete","Complete")</f>
        <v>Complete</v>
      </c>
      <c r="I963" s="48" t="s">
        <v>5328</v>
      </c>
    </row>
    <row r="964" spans="2:9" ht="15" customHeight="1" x14ac:dyDescent="0.25">
      <c r="B964" s="55" t="s">
        <v>279</v>
      </c>
      <c r="C964" s="46">
        <v>952</v>
      </c>
      <c r="D964" s="69" t="s">
        <v>29416</v>
      </c>
      <c r="E964" s="51"/>
      <c r="F964" s="114" t="str">
        <f>IF(INDEX(I.Facility.P1IDNumber,952)="","",INDEX(I.Facility.P1IDNumber,952))</f>
        <v/>
      </c>
      <c r="G964" s="51"/>
      <c r="H964" s="46" t="str">
        <f>IF(AND(I.Developer.P1=TRUE,I.Facility.P1FacilityCount&gt;=952,F964=""),"Incomplete","Complete")</f>
        <v>Complete</v>
      </c>
      <c r="I964" s="48" t="s">
        <v>5329</v>
      </c>
    </row>
    <row r="965" spans="2:9" ht="15" customHeight="1" x14ac:dyDescent="0.25">
      <c r="B965" s="55" t="s">
        <v>279</v>
      </c>
      <c r="C965" s="46">
        <v>953</v>
      </c>
      <c r="D965" s="69" t="s">
        <v>29416</v>
      </c>
      <c r="E965" s="51"/>
      <c r="F965" s="114" t="str">
        <f>IF(INDEX(I.Facility.P1IDNumber,953)="","",INDEX(I.Facility.P1IDNumber,953))</f>
        <v/>
      </c>
      <c r="G965" s="51"/>
      <c r="H965" s="46" t="str">
        <f>IF(AND(I.Developer.P1=TRUE,I.Facility.P1FacilityCount&gt;=953,F965=""),"Incomplete","Complete")</f>
        <v>Complete</v>
      </c>
      <c r="I965" s="48" t="s">
        <v>5330</v>
      </c>
    </row>
    <row r="966" spans="2:9" ht="15" customHeight="1" x14ac:dyDescent="0.25">
      <c r="B966" s="55" t="s">
        <v>279</v>
      </c>
      <c r="C966" s="46">
        <v>954</v>
      </c>
      <c r="D966" s="69" t="s">
        <v>29416</v>
      </c>
      <c r="E966" s="51"/>
      <c r="F966" s="114" t="str">
        <f>IF(INDEX(I.Facility.P1IDNumber,954)="","",INDEX(I.Facility.P1IDNumber,954))</f>
        <v/>
      </c>
      <c r="G966" s="51"/>
      <c r="H966" s="46" t="str">
        <f>IF(AND(I.Developer.P1=TRUE,I.Facility.P1FacilityCount&gt;=954,F966=""),"Incomplete","Complete")</f>
        <v>Complete</v>
      </c>
      <c r="I966" s="48" t="s">
        <v>5331</v>
      </c>
    </row>
    <row r="967" spans="2:9" ht="15" customHeight="1" x14ac:dyDescent="0.25">
      <c r="B967" s="55" t="s">
        <v>279</v>
      </c>
      <c r="C967" s="46">
        <v>955</v>
      </c>
      <c r="D967" s="69" t="s">
        <v>29416</v>
      </c>
      <c r="E967" s="51"/>
      <c r="F967" s="114" t="str">
        <f>IF(INDEX(I.Facility.P1IDNumber,955)="","",INDEX(I.Facility.P1IDNumber,955))</f>
        <v/>
      </c>
      <c r="G967" s="51"/>
      <c r="H967" s="46" t="str">
        <f>IF(AND(I.Developer.P1=TRUE,I.Facility.P1FacilityCount&gt;=955,F967=""),"Incomplete","Complete")</f>
        <v>Complete</v>
      </c>
      <c r="I967" s="48" t="s">
        <v>5332</v>
      </c>
    </row>
    <row r="968" spans="2:9" ht="15" customHeight="1" x14ac:dyDescent="0.25">
      <c r="B968" s="55" t="s">
        <v>279</v>
      </c>
      <c r="C968" s="46">
        <v>956</v>
      </c>
      <c r="D968" s="69" t="s">
        <v>29416</v>
      </c>
      <c r="E968" s="51"/>
      <c r="F968" s="114" t="str">
        <f>IF(INDEX(I.Facility.P1IDNumber,956)="","",INDEX(I.Facility.P1IDNumber,956))</f>
        <v/>
      </c>
      <c r="G968" s="51"/>
      <c r="H968" s="46" t="str">
        <f>IF(AND(I.Developer.P1=TRUE,I.Facility.P1FacilityCount&gt;=956,F968=""),"Incomplete","Complete")</f>
        <v>Complete</v>
      </c>
      <c r="I968" s="48" t="s">
        <v>5333</v>
      </c>
    </row>
    <row r="969" spans="2:9" ht="15" customHeight="1" x14ac:dyDescent="0.25">
      <c r="B969" s="55" t="s">
        <v>279</v>
      </c>
      <c r="C969" s="46">
        <v>957</v>
      </c>
      <c r="D969" s="69" t="s">
        <v>29416</v>
      </c>
      <c r="E969" s="51"/>
      <c r="F969" s="114" t="str">
        <f>IF(INDEX(I.Facility.P1IDNumber,957)="","",INDEX(I.Facility.P1IDNumber,957))</f>
        <v/>
      </c>
      <c r="G969" s="51"/>
      <c r="H969" s="46" t="str">
        <f>IF(AND(I.Developer.P1=TRUE,I.Facility.P1FacilityCount&gt;=957,F969=""),"Incomplete","Complete")</f>
        <v>Complete</v>
      </c>
      <c r="I969" s="48" t="s">
        <v>5334</v>
      </c>
    </row>
    <row r="970" spans="2:9" ht="15" customHeight="1" x14ac:dyDescent="0.25">
      <c r="B970" s="55" t="s">
        <v>279</v>
      </c>
      <c r="C970" s="46">
        <v>958</v>
      </c>
      <c r="D970" s="69" t="s">
        <v>29416</v>
      </c>
      <c r="E970" s="51"/>
      <c r="F970" s="114" t="str">
        <f>IF(INDEX(I.Facility.P1IDNumber,958)="","",INDEX(I.Facility.P1IDNumber,958))</f>
        <v/>
      </c>
      <c r="G970" s="51"/>
      <c r="H970" s="46" t="str">
        <f>IF(AND(I.Developer.P1=TRUE,I.Facility.P1FacilityCount&gt;=958,F970=""),"Incomplete","Complete")</f>
        <v>Complete</v>
      </c>
      <c r="I970" s="48" t="s">
        <v>5335</v>
      </c>
    </row>
    <row r="971" spans="2:9" ht="15" customHeight="1" x14ac:dyDescent="0.25">
      <c r="B971" s="55" t="s">
        <v>279</v>
      </c>
      <c r="C971" s="46">
        <v>959</v>
      </c>
      <c r="D971" s="69" t="s">
        <v>29416</v>
      </c>
      <c r="E971" s="51"/>
      <c r="F971" s="114" t="str">
        <f>IF(INDEX(I.Facility.P1IDNumber,959)="","",INDEX(I.Facility.P1IDNumber,959))</f>
        <v/>
      </c>
      <c r="G971" s="51"/>
      <c r="H971" s="46" t="str">
        <f>IF(AND(I.Developer.P1=TRUE,I.Facility.P1FacilityCount&gt;=959,F971=""),"Incomplete","Complete")</f>
        <v>Complete</v>
      </c>
      <c r="I971" s="48" t="s">
        <v>5336</v>
      </c>
    </row>
    <row r="972" spans="2:9" ht="15" customHeight="1" x14ac:dyDescent="0.25">
      <c r="B972" s="55" t="s">
        <v>279</v>
      </c>
      <c r="C972" s="46">
        <v>960</v>
      </c>
      <c r="D972" s="69" t="s">
        <v>29416</v>
      </c>
      <c r="E972" s="51"/>
      <c r="F972" s="114" t="str">
        <f>IF(INDEX(I.Facility.P1IDNumber,960)="","",INDEX(I.Facility.P1IDNumber,960))</f>
        <v/>
      </c>
      <c r="G972" s="51"/>
      <c r="H972" s="46" t="str">
        <f>IF(AND(I.Developer.P1=TRUE,I.Facility.P1FacilityCount&gt;=960,F972=""),"Incomplete","Complete")</f>
        <v>Complete</v>
      </c>
      <c r="I972" s="48" t="s">
        <v>5337</v>
      </c>
    </row>
    <row r="973" spans="2:9" ht="15" customHeight="1" x14ac:dyDescent="0.25">
      <c r="B973" s="55" t="s">
        <v>279</v>
      </c>
      <c r="C973" s="46">
        <v>961</v>
      </c>
      <c r="D973" s="69" t="s">
        <v>29416</v>
      </c>
      <c r="E973" s="51"/>
      <c r="F973" s="114" t="str">
        <f>IF(INDEX(I.Facility.P1IDNumber,961)="","",INDEX(I.Facility.P1IDNumber,961))</f>
        <v/>
      </c>
      <c r="G973" s="51"/>
      <c r="H973" s="46" t="str">
        <f>IF(AND(I.Developer.P1=TRUE,I.Facility.P1FacilityCount&gt;=961,F973=""),"Incomplete","Complete")</f>
        <v>Complete</v>
      </c>
      <c r="I973" s="48" t="s">
        <v>5338</v>
      </c>
    </row>
    <row r="974" spans="2:9" ht="15" customHeight="1" x14ac:dyDescent="0.25">
      <c r="B974" s="55" t="s">
        <v>279</v>
      </c>
      <c r="C974" s="46">
        <v>962</v>
      </c>
      <c r="D974" s="69" t="s">
        <v>29416</v>
      </c>
      <c r="E974" s="51"/>
      <c r="F974" s="114" t="str">
        <f>IF(INDEX(I.Facility.P1IDNumber,962)="","",INDEX(I.Facility.P1IDNumber,962))</f>
        <v/>
      </c>
      <c r="G974" s="51"/>
      <c r="H974" s="46" t="str">
        <f>IF(AND(I.Developer.P1=TRUE,I.Facility.P1FacilityCount&gt;=962,F974=""),"Incomplete","Complete")</f>
        <v>Complete</v>
      </c>
      <c r="I974" s="48" t="s">
        <v>5339</v>
      </c>
    </row>
    <row r="975" spans="2:9" ht="15" customHeight="1" x14ac:dyDescent="0.25">
      <c r="B975" s="55" t="s">
        <v>279</v>
      </c>
      <c r="C975" s="46">
        <v>963</v>
      </c>
      <c r="D975" s="69" t="s">
        <v>29416</v>
      </c>
      <c r="E975" s="51"/>
      <c r="F975" s="114" t="str">
        <f>IF(INDEX(I.Facility.P1IDNumber,963)="","",INDEX(I.Facility.P1IDNumber,963))</f>
        <v/>
      </c>
      <c r="G975" s="51"/>
      <c r="H975" s="46" t="str">
        <f>IF(AND(I.Developer.P1=TRUE,I.Facility.P1FacilityCount&gt;=963,F975=""),"Incomplete","Complete")</f>
        <v>Complete</v>
      </c>
      <c r="I975" s="48" t="s">
        <v>5340</v>
      </c>
    </row>
    <row r="976" spans="2:9" ht="15" customHeight="1" x14ac:dyDescent="0.25">
      <c r="B976" s="55" t="s">
        <v>279</v>
      </c>
      <c r="C976" s="46">
        <v>964</v>
      </c>
      <c r="D976" s="69" t="s">
        <v>29416</v>
      </c>
      <c r="E976" s="51"/>
      <c r="F976" s="114" t="str">
        <f>IF(INDEX(I.Facility.P1IDNumber,964)="","",INDEX(I.Facility.P1IDNumber,964))</f>
        <v/>
      </c>
      <c r="G976" s="51"/>
      <c r="H976" s="46" t="str">
        <f>IF(AND(I.Developer.P1=TRUE,I.Facility.P1FacilityCount&gt;=964,F976=""),"Incomplete","Complete")</f>
        <v>Complete</v>
      </c>
      <c r="I976" s="48" t="s">
        <v>5341</v>
      </c>
    </row>
    <row r="977" spans="2:9" ht="15" customHeight="1" x14ac:dyDescent="0.25">
      <c r="B977" s="55" t="s">
        <v>279</v>
      </c>
      <c r="C977" s="46">
        <v>965</v>
      </c>
      <c r="D977" s="69" t="s">
        <v>29416</v>
      </c>
      <c r="E977" s="51"/>
      <c r="F977" s="114" t="str">
        <f>IF(INDEX(I.Facility.P1IDNumber,965)="","",INDEX(I.Facility.P1IDNumber,965))</f>
        <v/>
      </c>
      <c r="G977" s="51"/>
      <c r="H977" s="46" t="str">
        <f>IF(AND(I.Developer.P1=TRUE,I.Facility.P1FacilityCount&gt;=965,F977=""),"Incomplete","Complete")</f>
        <v>Complete</v>
      </c>
      <c r="I977" s="48" t="s">
        <v>5342</v>
      </c>
    </row>
    <row r="978" spans="2:9" ht="15" customHeight="1" x14ac:dyDescent="0.25">
      <c r="B978" s="55" t="s">
        <v>279</v>
      </c>
      <c r="C978" s="46">
        <v>966</v>
      </c>
      <c r="D978" s="69" t="s">
        <v>29416</v>
      </c>
      <c r="E978" s="51"/>
      <c r="F978" s="114" t="str">
        <f>IF(INDEX(I.Facility.P1IDNumber,966)="","",INDEX(I.Facility.P1IDNumber,966))</f>
        <v/>
      </c>
      <c r="G978" s="51"/>
      <c r="H978" s="46" t="str">
        <f>IF(AND(I.Developer.P1=TRUE,I.Facility.P1FacilityCount&gt;=966,F978=""),"Incomplete","Complete")</f>
        <v>Complete</v>
      </c>
      <c r="I978" s="48" t="s">
        <v>5343</v>
      </c>
    </row>
    <row r="979" spans="2:9" ht="15" customHeight="1" x14ac:dyDescent="0.25">
      <c r="B979" s="55" t="s">
        <v>279</v>
      </c>
      <c r="C979" s="46">
        <v>967</v>
      </c>
      <c r="D979" s="69" t="s">
        <v>29416</v>
      </c>
      <c r="E979" s="51"/>
      <c r="F979" s="114" t="str">
        <f>IF(INDEX(I.Facility.P1IDNumber,967)="","",INDEX(I.Facility.P1IDNumber,967))</f>
        <v/>
      </c>
      <c r="G979" s="51"/>
      <c r="H979" s="46" t="str">
        <f>IF(AND(I.Developer.P1=TRUE,I.Facility.P1FacilityCount&gt;=967,F979=""),"Incomplete","Complete")</f>
        <v>Complete</v>
      </c>
      <c r="I979" s="48" t="s">
        <v>5344</v>
      </c>
    </row>
    <row r="980" spans="2:9" ht="15" customHeight="1" x14ac:dyDescent="0.25">
      <c r="B980" s="55" t="s">
        <v>279</v>
      </c>
      <c r="C980" s="46">
        <v>968</v>
      </c>
      <c r="D980" s="69" t="s">
        <v>29416</v>
      </c>
      <c r="E980" s="51"/>
      <c r="F980" s="114" t="str">
        <f>IF(INDEX(I.Facility.P1IDNumber,968)="","",INDEX(I.Facility.P1IDNumber,968))</f>
        <v/>
      </c>
      <c r="G980" s="51"/>
      <c r="H980" s="46" t="str">
        <f>IF(AND(I.Developer.P1=TRUE,I.Facility.P1FacilityCount&gt;=968,F980=""),"Incomplete","Complete")</f>
        <v>Complete</v>
      </c>
      <c r="I980" s="48" t="s">
        <v>5345</v>
      </c>
    </row>
    <row r="981" spans="2:9" ht="15" customHeight="1" x14ac:dyDescent="0.25">
      <c r="B981" s="55" t="s">
        <v>279</v>
      </c>
      <c r="C981" s="46">
        <v>969</v>
      </c>
      <c r="D981" s="69" t="s">
        <v>29416</v>
      </c>
      <c r="E981" s="51"/>
      <c r="F981" s="114" t="str">
        <f>IF(INDEX(I.Facility.P1IDNumber,969)="","",INDEX(I.Facility.P1IDNumber,969))</f>
        <v/>
      </c>
      <c r="G981" s="51"/>
      <c r="H981" s="46" t="str">
        <f>IF(AND(I.Developer.P1=TRUE,I.Facility.P1FacilityCount&gt;=969,F981=""),"Incomplete","Complete")</f>
        <v>Complete</v>
      </c>
      <c r="I981" s="48" t="s">
        <v>5346</v>
      </c>
    </row>
    <row r="982" spans="2:9" ht="15" customHeight="1" x14ac:dyDescent="0.25">
      <c r="B982" s="55" t="s">
        <v>279</v>
      </c>
      <c r="C982" s="46">
        <v>970</v>
      </c>
      <c r="D982" s="69" t="s">
        <v>29416</v>
      </c>
      <c r="E982" s="51"/>
      <c r="F982" s="114" t="str">
        <f>IF(INDEX(I.Facility.P1IDNumber,970)="","",INDEX(I.Facility.P1IDNumber,970))</f>
        <v/>
      </c>
      <c r="G982" s="51"/>
      <c r="H982" s="46" t="str">
        <f>IF(AND(I.Developer.P1=TRUE,I.Facility.P1FacilityCount&gt;=970,F982=""),"Incomplete","Complete")</f>
        <v>Complete</v>
      </c>
      <c r="I982" s="48" t="s">
        <v>5347</v>
      </c>
    </row>
    <row r="983" spans="2:9" ht="15" customHeight="1" x14ac:dyDescent="0.25">
      <c r="B983" s="55" t="s">
        <v>279</v>
      </c>
      <c r="C983" s="46">
        <v>971</v>
      </c>
      <c r="D983" s="69" t="s">
        <v>29416</v>
      </c>
      <c r="E983" s="51"/>
      <c r="F983" s="114" t="str">
        <f>IF(INDEX(I.Facility.P1IDNumber,971)="","",INDEX(I.Facility.P1IDNumber,971))</f>
        <v/>
      </c>
      <c r="G983" s="51"/>
      <c r="H983" s="46" t="str">
        <f>IF(AND(I.Developer.P1=TRUE,I.Facility.P1FacilityCount&gt;=971,F983=""),"Incomplete","Complete")</f>
        <v>Complete</v>
      </c>
      <c r="I983" s="48" t="s">
        <v>5348</v>
      </c>
    </row>
    <row r="984" spans="2:9" ht="15" customHeight="1" x14ac:dyDescent="0.25">
      <c r="B984" s="55" t="s">
        <v>279</v>
      </c>
      <c r="C984" s="46">
        <v>972</v>
      </c>
      <c r="D984" s="69" t="s">
        <v>29416</v>
      </c>
      <c r="E984" s="51"/>
      <c r="F984" s="114" t="str">
        <f>IF(INDEX(I.Facility.P1IDNumber,972)="","",INDEX(I.Facility.P1IDNumber,972))</f>
        <v/>
      </c>
      <c r="G984" s="51"/>
      <c r="H984" s="46" t="str">
        <f>IF(AND(I.Developer.P1=TRUE,I.Facility.P1FacilityCount&gt;=972,F984=""),"Incomplete","Complete")</f>
        <v>Complete</v>
      </c>
      <c r="I984" s="48" t="s">
        <v>5349</v>
      </c>
    </row>
    <row r="985" spans="2:9" ht="15" customHeight="1" x14ac:dyDescent="0.25">
      <c r="B985" s="55" t="s">
        <v>279</v>
      </c>
      <c r="C985" s="46">
        <v>973</v>
      </c>
      <c r="D985" s="69" t="s">
        <v>29416</v>
      </c>
      <c r="E985" s="51"/>
      <c r="F985" s="114" t="str">
        <f>IF(INDEX(I.Facility.P1IDNumber,973)="","",INDEX(I.Facility.P1IDNumber,973))</f>
        <v/>
      </c>
      <c r="G985" s="51"/>
      <c r="H985" s="46" t="str">
        <f>IF(AND(I.Developer.P1=TRUE,I.Facility.P1FacilityCount&gt;=973,F985=""),"Incomplete","Complete")</f>
        <v>Complete</v>
      </c>
      <c r="I985" s="48" t="s">
        <v>5350</v>
      </c>
    </row>
    <row r="986" spans="2:9" ht="15" customHeight="1" x14ac:dyDescent="0.25">
      <c r="B986" s="55" t="s">
        <v>279</v>
      </c>
      <c r="C986" s="46">
        <v>974</v>
      </c>
      <c r="D986" s="69" t="s">
        <v>29416</v>
      </c>
      <c r="E986" s="51"/>
      <c r="F986" s="114" t="str">
        <f>IF(INDEX(I.Facility.P1IDNumber,974)="","",INDEX(I.Facility.P1IDNumber,974))</f>
        <v/>
      </c>
      <c r="G986" s="51"/>
      <c r="H986" s="46" t="str">
        <f>IF(AND(I.Developer.P1=TRUE,I.Facility.P1FacilityCount&gt;=974,F986=""),"Incomplete","Complete")</f>
        <v>Complete</v>
      </c>
      <c r="I986" s="48" t="s">
        <v>5351</v>
      </c>
    </row>
    <row r="987" spans="2:9" ht="15" customHeight="1" x14ac:dyDescent="0.25">
      <c r="B987" s="55" t="s">
        <v>279</v>
      </c>
      <c r="C987" s="46">
        <v>975</v>
      </c>
      <c r="D987" s="69" t="s">
        <v>29416</v>
      </c>
      <c r="E987" s="51"/>
      <c r="F987" s="114" t="str">
        <f>IF(INDEX(I.Facility.P1IDNumber,975)="","",INDEX(I.Facility.P1IDNumber,975))</f>
        <v/>
      </c>
      <c r="G987" s="51"/>
      <c r="H987" s="46" t="str">
        <f>IF(AND(I.Developer.P1=TRUE,I.Facility.P1FacilityCount&gt;=975,F987=""),"Incomplete","Complete")</f>
        <v>Complete</v>
      </c>
      <c r="I987" s="48" t="s">
        <v>5352</v>
      </c>
    </row>
    <row r="988" spans="2:9" ht="15" customHeight="1" x14ac:dyDescent="0.25">
      <c r="B988" s="55" t="s">
        <v>279</v>
      </c>
      <c r="C988" s="46">
        <v>976</v>
      </c>
      <c r="D988" s="69" t="s">
        <v>29416</v>
      </c>
      <c r="E988" s="51"/>
      <c r="F988" s="114" t="str">
        <f>IF(INDEX(I.Facility.P1IDNumber,976)="","",INDEX(I.Facility.P1IDNumber,976))</f>
        <v/>
      </c>
      <c r="G988" s="51"/>
      <c r="H988" s="46" t="str">
        <f>IF(AND(I.Developer.P1=TRUE,I.Facility.P1FacilityCount&gt;=976,F988=""),"Incomplete","Complete")</f>
        <v>Complete</v>
      </c>
      <c r="I988" s="48" t="s">
        <v>5353</v>
      </c>
    </row>
    <row r="989" spans="2:9" ht="15" customHeight="1" x14ac:dyDescent="0.25">
      <c r="B989" s="55" t="s">
        <v>279</v>
      </c>
      <c r="C989" s="46">
        <v>977</v>
      </c>
      <c r="D989" s="69" t="s">
        <v>29416</v>
      </c>
      <c r="E989" s="51"/>
      <c r="F989" s="114" t="str">
        <f>IF(INDEX(I.Facility.P1IDNumber,977)="","",INDEX(I.Facility.P1IDNumber,977))</f>
        <v/>
      </c>
      <c r="G989" s="51"/>
      <c r="H989" s="46" t="str">
        <f>IF(AND(I.Developer.P1=TRUE,I.Facility.P1FacilityCount&gt;=977,F989=""),"Incomplete","Complete")</f>
        <v>Complete</v>
      </c>
      <c r="I989" s="48" t="s">
        <v>5354</v>
      </c>
    </row>
    <row r="990" spans="2:9" ht="15" customHeight="1" x14ac:dyDescent="0.25">
      <c r="B990" s="55" t="s">
        <v>279</v>
      </c>
      <c r="C990" s="46">
        <v>978</v>
      </c>
      <c r="D990" s="69" t="s">
        <v>29416</v>
      </c>
      <c r="E990" s="51"/>
      <c r="F990" s="114" t="str">
        <f>IF(INDEX(I.Facility.P1IDNumber,978)="","",INDEX(I.Facility.P1IDNumber,978))</f>
        <v/>
      </c>
      <c r="G990" s="51"/>
      <c r="H990" s="46" t="str">
        <f>IF(AND(I.Developer.P1=TRUE,I.Facility.P1FacilityCount&gt;=978,F990=""),"Incomplete","Complete")</f>
        <v>Complete</v>
      </c>
      <c r="I990" s="48" t="s">
        <v>5355</v>
      </c>
    </row>
    <row r="991" spans="2:9" ht="15" customHeight="1" x14ac:dyDescent="0.25">
      <c r="B991" s="55" t="s">
        <v>279</v>
      </c>
      <c r="C991" s="46">
        <v>979</v>
      </c>
      <c r="D991" s="69" t="s">
        <v>29416</v>
      </c>
      <c r="E991" s="51"/>
      <c r="F991" s="114" t="str">
        <f>IF(INDEX(I.Facility.P1IDNumber,979)="","",INDEX(I.Facility.P1IDNumber,979))</f>
        <v/>
      </c>
      <c r="G991" s="51"/>
      <c r="H991" s="46" t="str">
        <f>IF(AND(I.Developer.P1=TRUE,I.Facility.P1FacilityCount&gt;=979,F991=""),"Incomplete","Complete")</f>
        <v>Complete</v>
      </c>
      <c r="I991" s="48" t="s">
        <v>5356</v>
      </c>
    </row>
    <row r="992" spans="2:9" ht="15" customHeight="1" x14ac:dyDescent="0.25">
      <c r="B992" s="55" t="s">
        <v>279</v>
      </c>
      <c r="C992" s="46">
        <v>980</v>
      </c>
      <c r="D992" s="69" t="s">
        <v>29416</v>
      </c>
      <c r="E992" s="51"/>
      <c r="F992" s="114" t="str">
        <f>IF(INDEX(I.Facility.P1IDNumber,980)="","",INDEX(I.Facility.P1IDNumber,980))</f>
        <v/>
      </c>
      <c r="G992" s="51"/>
      <c r="H992" s="46" t="str">
        <f>IF(AND(I.Developer.P1=TRUE,I.Facility.P1FacilityCount&gt;=980,F992=""),"Incomplete","Complete")</f>
        <v>Complete</v>
      </c>
      <c r="I992" s="48" t="s">
        <v>5357</v>
      </c>
    </row>
    <row r="993" spans="2:9" ht="15" customHeight="1" x14ac:dyDescent="0.25">
      <c r="B993" s="55" t="s">
        <v>279</v>
      </c>
      <c r="C993" s="46">
        <v>981</v>
      </c>
      <c r="D993" s="69" t="s">
        <v>29416</v>
      </c>
      <c r="E993" s="51"/>
      <c r="F993" s="114" t="str">
        <f>IF(INDEX(I.Facility.P1IDNumber,981)="","",INDEX(I.Facility.P1IDNumber,981))</f>
        <v/>
      </c>
      <c r="G993" s="51"/>
      <c r="H993" s="46" t="str">
        <f>IF(AND(I.Developer.P1=TRUE,I.Facility.P1FacilityCount&gt;=981,F993=""),"Incomplete","Complete")</f>
        <v>Complete</v>
      </c>
      <c r="I993" s="48" t="s">
        <v>5358</v>
      </c>
    </row>
    <row r="994" spans="2:9" ht="15" customHeight="1" x14ac:dyDescent="0.25">
      <c r="B994" s="55" t="s">
        <v>279</v>
      </c>
      <c r="C994" s="46">
        <v>982</v>
      </c>
      <c r="D994" s="69" t="s">
        <v>29416</v>
      </c>
      <c r="E994" s="51"/>
      <c r="F994" s="114" t="str">
        <f>IF(INDEX(I.Facility.P1IDNumber,982)="","",INDEX(I.Facility.P1IDNumber,982))</f>
        <v/>
      </c>
      <c r="G994" s="51"/>
      <c r="H994" s="46" t="str">
        <f>IF(AND(I.Developer.P1=TRUE,I.Facility.P1FacilityCount&gt;=982,F994=""),"Incomplete","Complete")</f>
        <v>Complete</v>
      </c>
      <c r="I994" s="48" t="s">
        <v>5359</v>
      </c>
    </row>
    <row r="995" spans="2:9" ht="15" customHeight="1" x14ac:dyDescent="0.25">
      <c r="B995" s="55" t="s">
        <v>279</v>
      </c>
      <c r="C995" s="46">
        <v>983</v>
      </c>
      <c r="D995" s="69" t="s">
        <v>29416</v>
      </c>
      <c r="E995" s="51"/>
      <c r="F995" s="114" t="str">
        <f>IF(INDEX(I.Facility.P1IDNumber,983)="","",INDEX(I.Facility.P1IDNumber,983))</f>
        <v/>
      </c>
      <c r="G995" s="51"/>
      <c r="H995" s="46" t="str">
        <f>IF(AND(I.Developer.P1=TRUE,I.Facility.P1FacilityCount&gt;=983,F995=""),"Incomplete","Complete")</f>
        <v>Complete</v>
      </c>
      <c r="I995" s="48" t="s">
        <v>5360</v>
      </c>
    </row>
    <row r="996" spans="2:9" ht="15" customHeight="1" x14ac:dyDescent="0.25">
      <c r="B996" s="55" t="s">
        <v>279</v>
      </c>
      <c r="C996" s="46">
        <v>984</v>
      </c>
      <c r="D996" s="69" t="s">
        <v>29416</v>
      </c>
      <c r="E996" s="51"/>
      <c r="F996" s="114" t="str">
        <f>IF(INDEX(I.Facility.P1IDNumber,984)="","",INDEX(I.Facility.P1IDNumber,984))</f>
        <v/>
      </c>
      <c r="G996" s="51"/>
      <c r="H996" s="46" t="str">
        <f>IF(AND(I.Developer.P1=TRUE,I.Facility.P1FacilityCount&gt;=984,F996=""),"Incomplete","Complete")</f>
        <v>Complete</v>
      </c>
      <c r="I996" s="48" t="s">
        <v>5361</v>
      </c>
    </row>
    <row r="997" spans="2:9" ht="15" customHeight="1" x14ac:dyDescent="0.25">
      <c r="B997" s="55" t="s">
        <v>279</v>
      </c>
      <c r="C997" s="46">
        <v>985</v>
      </c>
      <c r="D997" s="69" t="s">
        <v>29416</v>
      </c>
      <c r="E997" s="51"/>
      <c r="F997" s="114" t="str">
        <f>IF(INDEX(I.Facility.P1IDNumber,985)="","",INDEX(I.Facility.P1IDNumber,985))</f>
        <v/>
      </c>
      <c r="G997" s="51"/>
      <c r="H997" s="46" t="str">
        <f>IF(AND(I.Developer.P1=TRUE,I.Facility.P1FacilityCount&gt;=985,F997=""),"Incomplete","Complete")</f>
        <v>Complete</v>
      </c>
      <c r="I997" s="48" t="s">
        <v>5362</v>
      </c>
    </row>
    <row r="998" spans="2:9" ht="15" customHeight="1" x14ac:dyDescent="0.25">
      <c r="B998" s="55" t="s">
        <v>279</v>
      </c>
      <c r="C998" s="46">
        <v>986</v>
      </c>
      <c r="D998" s="69" t="s">
        <v>29416</v>
      </c>
      <c r="E998" s="51"/>
      <c r="F998" s="114" t="str">
        <f>IF(INDEX(I.Facility.P1IDNumber,986)="","",INDEX(I.Facility.P1IDNumber,986))</f>
        <v/>
      </c>
      <c r="G998" s="51"/>
      <c r="H998" s="46" t="str">
        <f>IF(AND(I.Developer.P1=TRUE,I.Facility.P1FacilityCount&gt;=986,F998=""),"Incomplete","Complete")</f>
        <v>Complete</v>
      </c>
      <c r="I998" s="48" t="s">
        <v>5363</v>
      </c>
    </row>
    <row r="999" spans="2:9" ht="15" customHeight="1" x14ac:dyDescent="0.25">
      <c r="B999" s="55" t="s">
        <v>279</v>
      </c>
      <c r="C999" s="46">
        <v>987</v>
      </c>
      <c r="D999" s="69" t="s">
        <v>29416</v>
      </c>
      <c r="E999" s="51"/>
      <c r="F999" s="114" t="str">
        <f>IF(INDEX(I.Facility.P1IDNumber,987)="","",INDEX(I.Facility.P1IDNumber,987))</f>
        <v/>
      </c>
      <c r="G999" s="51"/>
      <c r="H999" s="46" t="str">
        <f>IF(AND(I.Developer.P1=TRUE,I.Facility.P1FacilityCount&gt;=987,F999=""),"Incomplete","Complete")</f>
        <v>Complete</v>
      </c>
      <c r="I999" s="48" t="s">
        <v>5364</v>
      </c>
    </row>
    <row r="1000" spans="2:9" ht="15" customHeight="1" x14ac:dyDescent="0.25">
      <c r="B1000" s="55" t="s">
        <v>279</v>
      </c>
      <c r="C1000" s="46">
        <v>988</v>
      </c>
      <c r="D1000" s="69" t="s">
        <v>29416</v>
      </c>
      <c r="E1000" s="51"/>
      <c r="F1000" s="114" t="str">
        <f>IF(INDEX(I.Facility.P1IDNumber,988)="","",INDEX(I.Facility.P1IDNumber,988))</f>
        <v/>
      </c>
      <c r="G1000" s="51"/>
      <c r="H1000" s="46" t="str">
        <f>IF(AND(I.Developer.P1=TRUE,I.Facility.P1FacilityCount&gt;=988,F1000=""),"Incomplete","Complete")</f>
        <v>Complete</v>
      </c>
      <c r="I1000" s="48" t="s">
        <v>5365</v>
      </c>
    </row>
    <row r="1001" spans="2:9" ht="15" customHeight="1" x14ac:dyDescent="0.25">
      <c r="B1001" s="55" t="s">
        <v>279</v>
      </c>
      <c r="C1001" s="46">
        <v>989</v>
      </c>
      <c r="D1001" s="69" t="s">
        <v>29416</v>
      </c>
      <c r="E1001" s="51"/>
      <c r="F1001" s="114" t="str">
        <f>IF(INDEX(I.Facility.P1IDNumber,989)="","",INDEX(I.Facility.P1IDNumber,989))</f>
        <v/>
      </c>
      <c r="G1001" s="51"/>
      <c r="H1001" s="46" t="str">
        <f>IF(AND(I.Developer.P1=TRUE,I.Facility.P1FacilityCount&gt;=989,F1001=""),"Incomplete","Complete")</f>
        <v>Complete</v>
      </c>
      <c r="I1001" s="48" t="s">
        <v>5366</v>
      </c>
    </row>
    <row r="1002" spans="2:9" ht="15" customHeight="1" x14ac:dyDescent="0.25">
      <c r="B1002" s="55" t="s">
        <v>279</v>
      </c>
      <c r="C1002" s="46">
        <v>990</v>
      </c>
      <c r="D1002" s="69" t="s">
        <v>29416</v>
      </c>
      <c r="E1002" s="51"/>
      <c r="F1002" s="114" t="str">
        <f>IF(INDEX(I.Facility.P1IDNumber,990)="","",INDEX(I.Facility.P1IDNumber,990))</f>
        <v/>
      </c>
      <c r="G1002" s="51"/>
      <c r="H1002" s="46" t="str">
        <f>IF(AND(I.Developer.P1=TRUE,I.Facility.P1FacilityCount&gt;=990,F1002=""),"Incomplete","Complete")</f>
        <v>Complete</v>
      </c>
      <c r="I1002" s="48" t="s">
        <v>5367</v>
      </c>
    </row>
    <row r="1003" spans="2:9" ht="15" customHeight="1" x14ac:dyDescent="0.25">
      <c r="B1003" s="55" t="s">
        <v>279</v>
      </c>
      <c r="C1003" s="46">
        <v>991</v>
      </c>
      <c r="D1003" s="69" t="s">
        <v>29416</v>
      </c>
      <c r="E1003" s="51"/>
      <c r="F1003" s="114" t="str">
        <f>IF(INDEX(I.Facility.P1IDNumber,991)="","",INDEX(I.Facility.P1IDNumber,991))</f>
        <v/>
      </c>
      <c r="G1003" s="51"/>
      <c r="H1003" s="46" t="str">
        <f>IF(AND(I.Developer.P1=TRUE,I.Facility.P1FacilityCount&gt;=991,F1003=""),"Incomplete","Complete")</f>
        <v>Complete</v>
      </c>
      <c r="I1003" s="48" t="s">
        <v>5368</v>
      </c>
    </row>
    <row r="1004" spans="2:9" ht="15" customHeight="1" x14ac:dyDescent="0.25">
      <c r="B1004" s="55" t="s">
        <v>279</v>
      </c>
      <c r="C1004" s="46">
        <v>992</v>
      </c>
      <c r="D1004" s="69" t="s">
        <v>29416</v>
      </c>
      <c r="E1004" s="51"/>
      <c r="F1004" s="114" t="str">
        <f>IF(INDEX(I.Facility.P1IDNumber,992)="","",INDEX(I.Facility.P1IDNumber,992))</f>
        <v/>
      </c>
      <c r="G1004" s="51"/>
      <c r="H1004" s="46" t="str">
        <f>IF(AND(I.Developer.P1=TRUE,I.Facility.P1FacilityCount&gt;=992,F1004=""),"Incomplete","Complete")</f>
        <v>Complete</v>
      </c>
      <c r="I1004" s="48" t="s">
        <v>5369</v>
      </c>
    </row>
    <row r="1005" spans="2:9" ht="15" customHeight="1" x14ac:dyDescent="0.25">
      <c r="B1005" s="55" t="s">
        <v>279</v>
      </c>
      <c r="C1005" s="46">
        <v>993</v>
      </c>
      <c r="D1005" s="69" t="s">
        <v>29416</v>
      </c>
      <c r="E1005" s="51"/>
      <c r="F1005" s="114" t="str">
        <f>IF(INDEX(I.Facility.P1IDNumber,993)="","",INDEX(I.Facility.P1IDNumber,993))</f>
        <v/>
      </c>
      <c r="G1005" s="51"/>
      <c r="H1005" s="46" t="str">
        <f>IF(AND(I.Developer.P1=TRUE,I.Facility.P1FacilityCount&gt;=993,F1005=""),"Incomplete","Complete")</f>
        <v>Complete</v>
      </c>
      <c r="I1005" s="48" t="s">
        <v>5370</v>
      </c>
    </row>
    <row r="1006" spans="2:9" ht="15" customHeight="1" x14ac:dyDescent="0.25">
      <c r="B1006" s="55" t="s">
        <v>279</v>
      </c>
      <c r="C1006" s="46">
        <v>994</v>
      </c>
      <c r="D1006" s="69" t="s">
        <v>29416</v>
      </c>
      <c r="E1006" s="51"/>
      <c r="F1006" s="114" t="str">
        <f>IF(INDEX(I.Facility.P1IDNumber,994)="","",INDEX(I.Facility.P1IDNumber,994))</f>
        <v/>
      </c>
      <c r="G1006" s="51"/>
      <c r="H1006" s="46" t="str">
        <f>IF(AND(I.Developer.P1=TRUE,I.Facility.P1FacilityCount&gt;=994,F1006=""),"Incomplete","Complete")</f>
        <v>Complete</v>
      </c>
      <c r="I1006" s="48" t="s">
        <v>5371</v>
      </c>
    </row>
    <row r="1007" spans="2:9" ht="15" customHeight="1" x14ac:dyDescent="0.25">
      <c r="B1007" s="55" t="s">
        <v>279</v>
      </c>
      <c r="C1007" s="46">
        <v>995</v>
      </c>
      <c r="D1007" s="69" t="s">
        <v>29416</v>
      </c>
      <c r="E1007" s="51"/>
      <c r="F1007" s="114" t="str">
        <f>IF(INDEX(I.Facility.P1IDNumber,995)="","",INDEX(I.Facility.P1IDNumber,995))</f>
        <v/>
      </c>
      <c r="G1007" s="51"/>
      <c r="H1007" s="46" t="str">
        <f>IF(AND(I.Developer.P1=TRUE,I.Facility.P1FacilityCount&gt;=995,F1007=""),"Incomplete","Complete")</f>
        <v>Complete</v>
      </c>
      <c r="I1007" s="48" t="s">
        <v>5372</v>
      </c>
    </row>
    <row r="1008" spans="2:9" ht="15" customHeight="1" x14ac:dyDescent="0.25">
      <c r="B1008" s="55" t="s">
        <v>279</v>
      </c>
      <c r="C1008" s="46">
        <v>996</v>
      </c>
      <c r="D1008" s="69" t="s">
        <v>29416</v>
      </c>
      <c r="E1008" s="51"/>
      <c r="F1008" s="114" t="str">
        <f>IF(INDEX(I.Facility.P1IDNumber,996)="","",INDEX(I.Facility.P1IDNumber,996))</f>
        <v/>
      </c>
      <c r="G1008" s="51"/>
      <c r="H1008" s="46" t="str">
        <f>IF(AND(I.Developer.P1=TRUE,I.Facility.P1FacilityCount&gt;=996,F1008=""),"Incomplete","Complete")</f>
        <v>Complete</v>
      </c>
      <c r="I1008" s="48" t="s">
        <v>5373</v>
      </c>
    </row>
    <row r="1009" spans="2:9" ht="15" customHeight="1" x14ac:dyDescent="0.25">
      <c r="B1009" s="55" t="s">
        <v>279</v>
      </c>
      <c r="C1009" s="46">
        <v>997</v>
      </c>
      <c r="D1009" s="69" t="s">
        <v>29416</v>
      </c>
      <c r="E1009" s="51"/>
      <c r="F1009" s="114" t="str">
        <f>IF(INDEX(I.Facility.P1IDNumber,997)="","",INDEX(I.Facility.P1IDNumber,997))</f>
        <v/>
      </c>
      <c r="G1009" s="51"/>
      <c r="H1009" s="46" t="str">
        <f>IF(AND(I.Developer.P1=TRUE,I.Facility.P1FacilityCount&gt;=997,F1009=""),"Incomplete","Complete")</f>
        <v>Complete</v>
      </c>
      <c r="I1009" s="48" t="s">
        <v>5374</v>
      </c>
    </row>
    <row r="1010" spans="2:9" ht="15" customHeight="1" x14ac:dyDescent="0.25">
      <c r="B1010" s="55" t="s">
        <v>279</v>
      </c>
      <c r="C1010" s="46">
        <v>998</v>
      </c>
      <c r="D1010" s="69" t="s">
        <v>29416</v>
      </c>
      <c r="E1010" s="51"/>
      <c r="F1010" s="114" t="str">
        <f>IF(INDEX(I.Facility.P1IDNumber,998)="","",INDEX(I.Facility.P1IDNumber,998))</f>
        <v/>
      </c>
      <c r="G1010" s="51"/>
      <c r="H1010" s="46" t="str">
        <f>IF(AND(I.Developer.P1=TRUE,I.Facility.P1FacilityCount&gt;=998,F1010=""),"Incomplete","Complete")</f>
        <v>Complete</v>
      </c>
      <c r="I1010" s="48" t="s">
        <v>5375</v>
      </c>
    </row>
    <row r="1011" spans="2:9" ht="15" customHeight="1" x14ac:dyDescent="0.25">
      <c r="B1011" s="55" t="s">
        <v>279</v>
      </c>
      <c r="C1011" s="46">
        <v>999</v>
      </c>
      <c r="D1011" s="69" t="s">
        <v>29416</v>
      </c>
      <c r="E1011" s="51"/>
      <c r="F1011" s="114" t="str">
        <f>IF(INDEX(I.Facility.P1IDNumber,999)="","",INDEX(I.Facility.P1IDNumber,999))</f>
        <v/>
      </c>
      <c r="G1011" s="51"/>
      <c r="H1011" s="46" t="str">
        <f>IF(AND(I.Developer.P1=TRUE,I.Facility.P1FacilityCount&gt;=999,F1011=""),"Incomplete","Complete")</f>
        <v>Complete</v>
      </c>
      <c r="I1011" s="48" t="s">
        <v>5376</v>
      </c>
    </row>
    <row r="1012" spans="2:9" ht="15" customHeight="1" x14ac:dyDescent="0.25">
      <c r="B1012" s="55" t="s">
        <v>279</v>
      </c>
      <c r="C1012" s="46">
        <v>1000</v>
      </c>
      <c r="D1012" s="69" t="s">
        <v>29416</v>
      </c>
      <c r="E1012" s="51"/>
      <c r="F1012" s="114" t="str">
        <f>IF(INDEX(I.Facility.P1IDNumber,1000)="","",INDEX(I.Facility.P1IDNumber,1000))</f>
        <v/>
      </c>
      <c r="G1012" s="51"/>
      <c r="H1012" s="46" t="str">
        <f>IF(AND(I.Developer.P1=TRUE,I.Facility.P1FacilityCount&gt;=1000,F1012=""),"Incomplete","Complete")</f>
        <v>Complete</v>
      </c>
      <c r="I1012" s="48" t="s">
        <v>5377</v>
      </c>
    </row>
    <row r="1013" spans="2:9" ht="15" customHeight="1" x14ac:dyDescent="0.25">
      <c r="B1013" s="55" t="s">
        <v>279</v>
      </c>
      <c r="C1013" s="46">
        <v>1001</v>
      </c>
      <c r="D1013" s="69" t="s">
        <v>29416</v>
      </c>
      <c r="E1013" s="51"/>
      <c r="F1013" s="114" t="str">
        <f>IF(INDEX(I.Facility.P1IDNumber,1001)="","",INDEX(I.Facility.P1IDNumber,1001))</f>
        <v/>
      </c>
      <c r="G1013" s="51"/>
      <c r="H1013" s="46" t="str">
        <f>IF(AND(I.Developer.P1=TRUE,I.Facility.P1FacilityCount&gt;=1001,F1013=""),"Incomplete","Complete")</f>
        <v>Complete</v>
      </c>
      <c r="I1013" s="48" t="s">
        <v>5378</v>
      </c>
    </row>
    <row r="1014" spans="2:9" ht="15" customHeight="1" x14ac:dyDescent="0.25">
      <c r="B1014" s="55" t="s">
        <v>279</v>
      </c>
      <c r="C1014" s="46">
        <v>1002</v>
      </c>
      <c r="D1014" s="69" t="s">
        <v>29416</v>
      </c>
      <c r="E1014" s="51"/>
      <c r="F1014" s="114" t="str">
        <f>IF(INDEX(I.Facility.P1IDNumber,1002)="","",INDEX(I.Facility.P1IDNumber,1002))</f>
        <v/>
      </c>
      <c r="G1014" s="51"/>
      <c r="H1014" s="46" t="str">
        <f>IF(AND(I.Developer.P1=TRUE,I.Facility.P1FacilityCount&gt;=1002,F1014=""),"Incomplete","Complete")</f>
        <v>Complete</v>
      </c>
      <c r="I1014" s="48" t="s">
        <v>5379</v>
      </c>
    </row>
    <row r="1015" spans="2:9" ht="15" customHeight="1" x14ac:dyDescent="0.25">
      <c r="B1015" s="55" t="s">
        <v>279</v>
      </c>
      <c r="C1015" s="46">
        <v>1003</v>
      </c>
      <c r="D1015" s="69" t="s">
        <v>29416</v>
      </c>
      <c r="E1015" s="51"/>
      <c r="F1015" s="114" t="str">
        <f>IF(INDEX(I.Facility.P1IDNumber,1003)="","",INDEX(I.Facility.P1IDNumber,1003))</f>
        <v/>
      </c>
      <c r="G1015" s="51"/>
      <c r="H1015" s="46" t="str">
        <f>IF(AND(I.Developer.P1=TRUE,I.Facility.P1FacilityCount&gt;=1003,F1015=""),"Incomplete","Complete")</f>
        <v>Complete</v>
      </c>
      <c r="I1015" s="48" t="s">
        <v>5380</v>
      </c>
    </row>
    <row r="1016" spans="2:9" ht="15" customHeight="1" x14ac:dyDescent="0.25">
      <c r="B1016" s="55" t="s">
        <v>279</v>
      </c>
      <c r="C1016" s="46">
        <v>1004</v>
      </c>
      <c r="D1016" s="69" t="s">
        <v>29416</v>
      </c>
      <c r="E1016" s="51"/>
      <c r="F1016" s="114" t="str">
        <f>IF(INDEX(I.Facility.P1IDNumber,1004)="","",INDEX(I.Facility.P1IDNumber,1004))</f>
        <v/>
      </c>
      <c r="G1016" s="51"/>
      <c r="H1016" s="46" t="str">
        <f>IF(AND(I.Developer.P1=TRUE,I.Facility.P1FacilityCount&gt;=1004,F1016=""),"Incomplete","Complete")</f>
        <v>Complete</v>
      </c>
      <c r="I1016" s="48" t="s">
        <v>5381</v>
      </c>
    </row>
    <row r="1017" spans="2:9" ht="15" customHeight="1" x14ac:dyDescent="0.25">
      <c r="B1017" s="55" t="s">
        <v>279</v>
      </c>
      <c r="C1017" s="46">
        <v>1005</v>
      </c>
      <c r="D1017" s="69" t="s">
        <v>29416</v>
      </c>
      <c r="E1017" s="51"/>
      <c r="F1017" s="114" t="str">
        <f>IF(INDEX(I.Facility.P1IDNumber,1005)="","",INDEX(I.Facility.P1IDNumber,1005))</f>
        <v/>
      </c>
      <c r="G1017" s="51"/>
      <c r="H1017" s="46" t="str">
        <f>IF(AND(I.Developer.P1=TRUE,I.Facility.P1FacilityCount&gt;=1005,F1017=""),"Incomplete","Complete")</f>
        <v>Complete</v>
      </c>
      <c r="I1017" s="48" t="s">
        <v>5382</v>
      </c>
    </row>
    <row r="1018" spans="2:9" ht="15" customHeight="1" x14ac:dyDescent="0.25">
      <c r="B1018" s="55" t="s">
        <v>279</v>
      </c>
      <c r="C1018" s="46">
        <v>1006</v>
      </c>
      <c r="D1018" s="69" t="s">
        <v>29416</v>
      </c>
      <c r="E1018" s="51"/>
      <c r="F1018" s="114" t="str">
        <f>IF(INDEX(I.Facility.P1IDNumber,1006)="","",INDEX(I.Facility.P1IDNumber,1006))</f>
        <v/>
      </c>
      <c r="G1018" s="51"/>
      <c r="H1018" s="46" t="str">
        <f>IF(AND(I.Developer.P1=TRUE,I.Facility.P1FacilityCount&gt;=1006,F1018=""),"Incomplete","Complete")</f>
        <v>Complete</v>
      </c>
      <c r="I1018" s="48" t="s">
        <v>5383</v>
      </c>
    </row>
    <row r="1019" spans="2:9" ht="15" customHeight="1" x14ac:dyDescent="0.25">
      <c r="B1019" s="55" t="s">
        <v>279</v>
      </c>
      <c r="C1019" s="46">
        <v>1007</v>
      </c>
      <c r="D1019" s="69" t="s">
        <v>29416</v>
      </c>
      <c r="E1019" s="51"/>
      <c r="F1019" s="114" t="str">
        <f>IF(INDEX(I.Facility.P1IDNumber,1007)="","",INDEX(I.Facility.P1IDNumber,1007))</f>
        <v/>
      </c>
      <c r="G1019" s="51"/>
      <c r="H1019" s="46" t="str">
        <f>IF(AND(I.Developer.P1=TRUE,I.Facility.P1FacilityCount&gt;=1007,F1019=""),"Incomplete","Complete")</f>
        <v>Complete</v>
      </c>
      <c r="I1019" s="48" t="s">
        <v>5384</v>
      </c>
    </row>
    <row r="1020" spans="2:9" ht="15" customHeight="1" x14ac:dyDescent="0.25">
      <c r="B1020" s="55" t="s">
        <v>279</v>
      </c>
      <c r="C1020" s="46">
        <v>1008</v>
      </c>
      <c r="D1020" s="69" t="s">
        <v>29416</v>
      </c>
      <c r="E1020" s="51"/>
      <c r="F1020" s="114" t="str">
        <f>IF(INDEX(I.Facility.P1IDNumber,1008)="","",INDEX(I.Facility.P1IDNumber,1008))</f>
        <v/>
      </c>
      <c r="G1020" s="51"/>
      <c r="H1020" s="46" t="str">
        <f>IF(AND(I.Developer.P1=TRUE,I.Facility.P1FacilityCount&gt;=1008,F1020=""),"Incomplete","Complete")</f>
        <v>Complete</v>
      </c>
      <c r="I1020" s="48" t="s">
        <v>5385</v>
      </c>
    </row>
    <row r="1021" spans="2:9" ht="15" customHeight="1" x14ac:dyDescent="0.25">
      <c r="B1021" s="55" t="s">
        <v>279</v>
      </c>
      <c r="C1021" s="46">
        <v>1009</v>
      </c>
      <c r="D1021" s="69" t="s">
        <v>29416</v>
      </c>
      <c r="E1021" s="51"/>
      <c r="F1021" s="114" t="str">
        <f>IF(INDEX(I.Facility.P1IDNumber,1009)="","",INDEX(I.Facility.P1IDNumber,1009))</f>
        <v/>
      </c>
      <c r="G1021" s="51"/>
      <c r="H1021" s="46" t="str">
        <f>IF(AND(I.Developer.P1=TRUE,I.Facility.P1FacilityCount&gt;=1009,F1021=""),"Incomplete","Complete")</f>
        <v>Complete</v>
      </c>
      <c r="I1021" s="48" t="s">
        <v>5386</v>
      </c>
    </row>
    <row r="1022" spans="2:9" ht="15" customHeight="1" x14ac:dyDescent="0.25">
      <c r="B1022" s="55" t="s">
        <v>279</v>
      </c>
      <c r="C1022" s="46">
        <v>1010</v>
      </c>
      <c r="D1022" s="69" t="s">
        <v>29416</v>
      </c>
      <c r="E1022" s="51"/>
      <c r="F1022" s="114" t="str">
        <f>IF(INDEX(I.Facility.P1IDNumber,1010)="","",INDEX(I.Facility.P1IDNumber,1010))</f>
        <v/>
      </c>
      <c r="G1022" s="51"/>
      <c r="H1022" s="46" t="str">
        <f>IF(AND(I.Developer.P1=TRUE,I.Facility.P1FacilityCount&gt;=1010,F1022=""),"Incomplete","Complete")</f>
        <v>Complete</v>
      </c>
      <c r="I1022" s="48" t="s">
        <v>5387</v>
      </c>
    </row>
    <row r="1023" spans="2:9" ht="15" customHeight="1" x14ac:dyDescent="0.25">
      <c r="B1023" s="55" t="s">
        <v>279</v>
      </c>
      <c r="C1023" s="46">
        <v>1011</v>
      </c>
      <c r="D1023" s="69" t="s">
        <v>29416</v>
      </c>
      <c r="E1023" s="51"/>
      <c r="F1023" s="114" t="str">
        <f>IF(INDEX(I.Facility.P1IDNumber,1011)="","",INDEX(I.Facility.P1IDNumber,1011))</f>
        <v/>
      </c>
      <c r="G1023" s="51"/>
      <c r="H1023" s="46" t="str">
        <f>IF(AND(I.Developer.P1=TRUE,I.Facility.P1FacilityCount&gt;=1011,F1023=""),"Incomplete","Complete")</f>
        <v>Complete</v>
      </c>
      <c r="I1023" s="48" t="s">
        <v>5388</v>
      </c>
    </row>
    <row r="1024" spans="2:9" ht="15" customHeight="1" x14ac:dyDescent="0.25">
      <c r="B1024" s="55" t="s">
        <v>279</v>
      </c>
      <c r="C1024" s="46">
        <v>1012</v>
      </c>
      <c r="D1024" s="69" t="s">
        <v>29416</v>
      </c>
      <c r="E1024" s="51"/>
      <c r="F1024" s="114" t="str">
        <f>IF(INDEX(I.Facility.P1IDNumber,1012)="","",INDEX(I.Facility.P1IDNumber,1012))</f>
        <v/>
      </c>
      <c r="G1024" s="51"/>
      <c r="H1024" s="46" t="str">
        <f>IF(AND(I.Developer.P1=TRUE,I.Facility.P1FacilityCount&gt;=1012,F1024=""),"Incomplete","Complete")</f>
        <v>Complete</v>
      </c>
      <c r="I1024" s="48" t="s">
        <v>5389</v>
      </c>
    </row>
    <row r="1025" spans="2:9" ht="15" customHeight="1" x14ac:dyDescent="0.25">
      <c r="B1025" s="55" t="s">
        <v>279</v>
      </c>
      <c r="C1025" s="46">
        <v>1013</v>
      </c>
      <c r="D1025" s="69" t="s">
        <v>29416</v>
      </c>
      <c r="E1025" s="51"/>
      <c r="F1025" s="114" t="str">
        <f>IF(INDEX(I.Facility.P1IDNumber,1013)="","",INDEX(I.Facility.P1IDNumber,1013))</f>
        <v/>
      </c>
      <c r="G1025" s="51"/>
      <c r="H1025" s="46" t="str">
        <f>IF(AND(I.Developer.P1=TRUE,I.Facility.P1FacilityCount&gt;=1013,F1025=""),"Incomplete","Complete")</f>
        <v>Complete</v>
      </c>
      <c r="I1025" s="48" t="s">
        <v>5390</v>
      </c>
    </row>
    <row r="1026" spans="2:9" ht="15" customHeight="1" x14ac:dyDescent="0.25">
      <c r="B1026" s="55" t="s">
        <v>279</v>
      </c>
      <c r="C1026" s="46">
        <v>1014</v>
      </c>
      <c r="D1026" s="69" t="s">
        <v>29416</v>
      </c>
      <c r="E1026" s="51"/>
      <c r="F1026" s="114" t="str">
        <f>IF(INDEX(I.Facility.P1IDNumber,1014)="","",INDEX(I.Facility.P1IDNumber,1014))</f>
        <v/>
      </c>
      <c r="G1026" s="51"/>
      <c r="H1026" s="46" t="str">
        <f>IF(AND(I.Developer.P1=TRUE,I.Facility.P1FacilityCount&gt;=1014,F1026=""),"Incomplete","Complete")</f>
        <v>Complete</v>
      </c>
      <c r="I1026" s="48" t="s">
        <v>5391</v>
      </c>
    </row>
    <row r="1027" spans="2:9" ht="15" customHeight="1" x14ac:dyDescent="0.25">
      <c r="B1027" s="55" t="s">
        <v>279</v>
      </c>
      <c r="C1027" s="46">
        <v>1015</v>
      </c>
      <c r="D1027" s="69" t="s">
        <v>29416</v>
      </c>
      <c r="E1027" s="51"/>
      <c r="F1027" s="114" t="str">
        <f>IF(INDEX(I.Facility.P1IDNumber,1015)="","",INDEX(I.Facility.P1IDNumber,1015))</f>
        <v/>
      </c>
      <c r="G1027" s="51"/>
      <c r="H1027" s="46" t="str">
        <f>IF(AND(I.Developer.P1=TRUE,I.Facility.P1FacilityCount&gt;=1015,F1027=""),"Incomplete","Complete")</f>
        <v>Complete</v>
      </c>
      <c r="I1027" s="48" t="s">
        <v>5392</v>
      </c>
    </row>
    <row r="1028" spans="2:9" ht="15" customHeight="1" x14ac:dyDescent="0.25">
      <c r="B1028" s="55" t="s">
        <v>279</v>
      </c>
      <c r="C1028" s="46">
        <v>1016</v>
      </c>
      <c r="D1028" s="69" t="s">
        <v>29416</v>
      </c>
      <c r="E1028" s="51"/>
      <c r="F1028" s="114" t="str">
        <f>IF(INDEX(I.Facility.P1IDNumber,1016)="","",INDEX(I.Facility.P1IDNumber,1016))</f>
        <v/>
      </c>
      <c r="G1028" s="51"/>
      <c r="H1028" s="46" t="str">
        <f>IF(AND(I.Developer.P1=TRUE,I.Facility.P1FacilityCount&gt;=1016,F1028=""),"Incomplete","Complete")</f>
        <v>Complete</v>
      </c>
      <c r="I1028" s="48" t="s">
        <v>5393</v>
      </c>
    </row>
    <row r="1029" spans="2:9" ht="15" customHeight="1" x14ac:dyDescent="0.25">
      <c r="B1029" s="55" t="s">
        <v>279</v>
      </c>
      <c r="C1029" s="46">
        <v>1017</v>
      </c>
      <c r="D1029" s="69" t="s">
        <v>29416</v>
      </c>
      <c r="E1029" s="51"/>
      <c r="F1029" s="114" t="str">
        <f>IF(INDEX(I.Facility.P1IDNumber,1017)="","",INDEX(I.Facility.P1IDNumber,1017))</f>
        <v/>
      </c>
      <c r="G1029" s="51"/>
      <c r="H1029" s="46" t="str">
        <f>IF(AND(I.Developer.P1=TRUE,I.Facility.P1FacilityCount&gt;=1017,F1029=""),"Incomplete","Complete")</f>
        <v>Complete</v>
      </c>
      <c r="I1029" s="48" t="s">
        <v>5394</v>
      </c>
    </row>
    <row r="1030" spans="2:9" ht="15" customHeight="1" x14ac:dyDescent="0.25">
      <c r="B1030" s="55" t="s">
        <v>279</v>
      </c>
      <c r="C1030" s="46">
        <v>1018</v>
      </c>
      <c r="D1030" s="69" t="s">
        <v>29416</v>
      </c>
      <c r="E1030" s="51"/>
      <c r="F1030" s="114" t="str">
        <f>IF(INDEX(I.Facility.P1IDNumber,1018)="","",INDEX(I.Facility.P1IDNumber,1018))</f>
        <v/>
      </c>
      <c r="G1030" s="51"/>
      <c r="H1030" s="46" t="str">
        <f>IF(AND(I.Developer.P1=TRUE,I.Facility.P1FacilityCount&gt;=1018,F1030=""),"Incomplete","Complete")</f>
        <v>Complete</v>
      </c>
      <c r="I1030" s="48" t="s">
        <v>5395</v>
      </c>
    </row>
    <row r="1031" spans="2:9" ht="15" customHeight="1" x14ac:dyDescent="0.25">
      <c r="B1031" s="55" t="s">
        <v>279</v>
      </c>
      <c r="C1031" s="46">
        <v>1019</v>
      </c>
      <c r="D1031" s="69" t="s">
        <v>29416</v>
      </c>
      <c r="E1031" s="51"/>
      <c r="F1031" s="114" t="str">
        <f>IF(INDEX(I.Facility.P1IDNumber,1019)="","",INDEX(I.Facility.P1IDNumber,1019))</f>
        <v/>
      </c>
      <c r="G1031" s="51"/>
      <c r="H1031" s="46" t="str">
        <f>IF(AND(I.Developer.P1=TRUE,I.Facility.P1FacilityCount&gt;=1019,F1031=""),"Incomplete","Complete")</f>
        <v>Complete</v>
      </c>
      <c r="I1031" s="48" t="s">
        <v>5396</v>
      </c>
    </row>
    <row r="1032" spans="2:9" ht="15" customHeight="1" x14ac:dyDescent="0.25">
      <c r="B1032" s="55" t="s">
        <v>279</v>
      </c>
      <c r="C1032" s="46">
        <v>1020</v>
      </c>
      <c r="D1032" s="69" t="s">
        <v>29416</v>
      </c>
      <c r="E1032" s="51"/>
      <c r="F1032" s="114" t="str">
        <f>IF(INDEX(I.Facility.P1IDNumber,1020)="","",INDEX(I.Facility.P1IDNumber,1020))</f>
        <v/>
      </c>
      <c r="G1032" s="51"/>
      <c r="H1032" s="46" t="str">
        <f>IF(AND(I.Developer.P1=TRUE,I.Facility.P1FacilityCount&gt;=1020,F1032=""),"Incomplete","Complete")</f>
        <v>Complete</v>
      </c>
      <c r="I1032" s="48" t="s">
        <v>5397</v>
      </c>
    </row>
    <row r="1033" spans="2:9" ht="15" customHeight="1" x14ac:dyDescent="0.25">
      <c r="B1033" s="55" t="s">
        <v>279</v>
      </c>
      <c r="C1033" s="46">
        <v>1021</v>
      </c>
      <c r="D1033" s="69" t="s">
        <v>29416</v>
      </c>
      <c r="E1033" s="51"/>
      <c r="F1033" s="114" t="str">
        <f>IF(INDEX(I.Facility.P1IDNumber,1021)="","",INDEX(I.Facility.P1IDNumber,1021))</f>
        <v/>
      </c>
      <c r="G1033" s="51"/>
      <c r="H1033" s="46" t="str">
        <f>IF(AND(I.Developer.P1=TRUE,I.Facility.P1FacilityCount&gt;=1021,F1033=""),"Incomplete","Complete")</f>
        <v>Complete</v>
      </c>
      <c r="I1033" s="48" t="s">
        <v>5398</v>
      </c>
    </row>
    <row r="1034" spans="2:9" ht="15" customHeight="1" x14ac:dyDescent="0.25">
      <c r="B1034" s="55" t="s">
        <v>279</v>
      </c>
      <c r="C1034" s="46">
        <v>1022</v>
      </c>
      <c r="D1034" s="69" t="s">
        <v>29416</v>
      </c>
      <c r="E1034" s="51"/>
      <c r="F1034" s="114" t="str">
        <f>IF(INDEX(I.Facility.P1IDNumber,1022)="","",INDEX(I.Facility.P1IDNumber,1022))</f>
        <v/>
      </c>
      <c r="G1034" s="51"/>
      <c r="H1034" s="46" t="str">
        <f>IF(AND(I.Developer.P1=TRUE,I.Facility.P1FacilityCount&gt;=1022,F1034=""),"Incomplete","Complete")</f>
        <v>Complete</v>
      </c>
      <c r="I1034" s="48" t="s">
        <v>5399</v>
      </c>
    </row>
    <row r="1035" spans="2:9" ht="15" customHeight="1" x14ac:dyDescent="0.25">
      <c r="B1035" s="55" t="s">
        <v>279</v>
      </c>
      <c r="C1035" s="46">
        <v>1023</v>
      </c>
      <c r="D1035" s="69" t="s">
        <v>29416</v>
      </c>
      <c r="E1035" s="51"/>
      <c r="F1035" s="114" t="str">
        <f>IF(INDEX(I.Facility.P1IDNumber,1023)="","",INDEX(I.Facility.P1IDNumber,1023))</f>
        <v/>
      </c>
      <c r="G1035" s="51"/>
      <c r="H1035" s="46" t="str">
        <f>IF(AND(I.Developer.P1=TRUE,I.Facility.P1FacilityCount&gt;=1023,F1035=""),"Incomplete","Complete")</f>
        <v>Complete</v>
      </c>
      <c r="I1035" s="48" t="s">
        <v>5400</v>
      </c>
    </row>
    <row r="1036" spans="2:9" ht="15" customHeight="1" x14ac:dyDescent="0.25">
      <c r="B1036" s="55" t="s">
        <v>279</v>
      </c>
      <c r="C1036" s="46">
        <v>1024</v>
      </c>
      <c r="D1036" s="69" t="s">
        <v>29416</v>
      </c>
      <c r="E1036" s="51"/>
      <c r="F1036" s="114" t="str">
        <f>IF(INDEX(I.Facility.P1IDNumber,1024)="","",INDEX(I.Facility.P1IDNumber,1024))</f>
        <v/>
      </c>
      <c r="G1036" s="51"/>
      <c r="H1036" s="46" t="str">
        <f>IF(AND(I.Developer.P1=TRUE,I.Facility.P1FacilityCount&gt;=1024,F1036=""),"Incomplete","Complete")</f>
        <v>Complete</v>
      </c>
      <c r="I1036" s="48" t="s">
        <v>5401</v>
      </c>
    </row>
    <row r="1037" spans="2:9" ht="15" customHeight="1" x14ac:dyDescent="0.25">
      <c r="B1037" s="55" t="s">
        <v>279</v>
      </c>
      <c r="C1037" s="46">
        <v>1025</v>
      </c>
      <c r="D1037" s="69" t="s">
        <v>29416</v>
      </c>
      <c r="E1037" s="51"/>
      <c r="F1037" s="114" t="str">
        <f>IF(INDEX(I.Facility.P1IDNumber,1025)="","",INDEX(I.Facility.P1IDNumber,1025))</f>
        <v/>
      </c>
      <c r="G1037" s="51"/>
      <c r="H1037" s="46" t="str">
        <f>IF(AND(I.Developer.P1=TRUE,I.Facility.P1FacilityCount&gt;=1025,F1037=""),"Incomplete","Complete")</f>
        <v>Complete</v>
      </c>
      <c r="I1037" s="48" t="s">
        <v>5402</v>
      </c>
    </row>
    <row r="1038" spans="2:9" ht="15" customHeight="1" x14ac:dyDescent="0.25">
      <c r="B1038" s="55" t="s">
        <v>279</v>
      </c>
      <c r="C1038" s="46">
        <v>1026</v>
      </c>
      <c r="D1038" s="69" t="s">
        <v>29416</v>
      </c>
      <c r="E1038" s="51"/>
      <c r="F1038" s="114" t="str">
        <f>IF(INDEX(I.Facility.P1IDNumber,1026)="","",INDEX(I.Facility.P1IDNumber,1026))</f>
        <v/>
      </c>
      <c r="G1038" s="51"/>
      <c r="H1038" s="46" t="str">
        <f>IF(AND(I.Developer.P1=TRUE,I.Facility.P1FacilityCount&gt;=1026,F1038=""),"Incomplete","Complete")</f>
        <v>Complete</v>
      </c>
      <c r="I1038" s="48" t="s">
        <v>5403</v>
      </c>
    </row>
    <row r="1039" spans="2:9" ht="15" customHeight="1" x14ac:dyDescent="0.25">
      <c r="B1039" s="55" t="s">
        <v>279</v>
      </c>
      <c r="C1039" s="46">
        <v>1027</v>
      </c>
      <c r="D1039" s="69" t="s">
        <v>29416</v>
      </c>
      <c r="E1039" s="51"/>
      <c r="F1039" s="114" t="str">
        <f>IF(INDEX(I.Facility.P1IDNumber,1027)="","",INDEX(I.Facility.P1IDNumber,1027))</f>
        <v/>
      </c>
      <c r="G1039" s="51"/>
      <c r="H1039" s="46" t="str">
        <f>IF(AND(I.Developer.P1=TRUE,I.Facility.P1FacilityCount&gt;=1027,F1039=""),"Incomplete","Complete")</f>
        <v>Complete</v>
      </c>
      <c r="I1039" s="48" t="s">
        <v>5404</v>
      </c>
    </row>
    <row r="1040" spans="2:9" ht="15" customHeight="1" x14ac:dyDescent="0.25">
      <c r="B1040" s="55" t="s">
        <v>279</v>
      </c>
      <c r="C1040" s="46">
        <v>1028</v>
      </c>
      <c r="D1040" s="69" t="s">
        <v>29416</v>
      </c>
      <c r="E1040" s="51"/>
      <c r="F1040" s="114" t="str">
        <f>IF(INDEX(I.Facility.P1IDNumber,1028)="","",INDEX(I.Facility.P1IDNumber,1028))</f>
        <v/>
      </c>
      <c r="G1040" s="51"/>
      <c r="H1040" s="46" t="str">
        <f>IF(AND(I.Developer.P1=TRUE,I.Facility.P1FacilityCount&gt;=1028,F1040=""),"Incomplete","Complete")</f>
        <v>Complete</v>
      </c>
      <c r="I1040" s="48" t="s">
        <v>5405</v>
      </c>
    </row>
    <row r="1041" spans="2:9" ht="15" customHeight="1" x14ac:dyDescent="0.25">
      <c r="B1041" s="55" t="s">
        <v>279</v>
      </c>
      <c r="C1041" s="46">
        <v>1029</v>
      </c>
      <c r="D1041" s="69" t="s">
        <v>29416</v>
      </c>
      <c r="E1041" s="51"/>
      <c r="F1041" s="114" t="str">
        <f>IF(INDEX(I.Facility.P1IDNumber,1029)="","",INDEX(I.Facility.P1IDNumber,1029))</f>
        <v/>
      </c>
      <c r="G1041" s="51"/>
      <c r="H1041" s="46" t="str">
        <f>IF(AND(I.Developer.P1=TRUE,I.Facility.P1FacilityCount&gt;=1029,F1041=""),"Incomplete","Complete")</f>
        <v>Complete</v>
      </c>
      <c r="I1041" s="48" t="s">
        <v>5406</v>
      </c>
    </row>
    <row r="1042" spans="2:9" ht="15" customHeight="1" x14ac:dyDescent="0.25">
      <c r="B1042" s="55" t="s">
        <v>279</v>
      </c>
      <c r="C1042" s="46">
        <v>1030</v>
      </c>
      <c r="D1042" s="69" t="s">
        <v>29416</v>
      </c>
      <c r="E1042" s="51"/>
      <c r="F1042" s="114" t="str">
        <f>IF(INDEX(I.Facility.P1IDNumber,1030)="","",INDEX(I.Facility.P1IDNumber,1030))</f>
        <v/>
      </c>
      <c r="G1042" s="51"/>
      <c r="H1042" s="46" t="str">
        <f>IF(AND(I.Developer.P1=TRUE,I.Facility.P1FacilityCount&gt;=1030,F1042=""),"Incomplete","Complete")</f>
        <v>Complete</v>
      </c>
      <c r="I1042" s="48" t="s">
        <v>5407</v>
      </c>
    </row>
    <row r="1043" spans="2:9" ht="15" customHeight="1" x14ac:dyDescent="0.25">
      <c r="B1043" s="55" t="s">
        <v>279</v>
      </c>
      <c r="C1043" s="46">
        <v>1031</v>
      </c>
      <c r="D1043" s="69" t="s">
        <v>29416</v>
      </c>
      <c r="E1043" s="51"/>
      <c r="F1043" s="114" t="str">
        <f>IF(INDEX(I.Facility.P1IDNumber,1031)="","",INDEX(I.Facility.P1IDNumber,1031))</f>
        <v/>
      </c>
      <c r="G1043" s="51"/>
      <c r="H1043" s="46" t="str">
        <f>IF(AND(I.Developer.P1=TRUE,I.Facility.P1FacilityCount&gt;=1031,F1043=""),"Incomplete","Complete")</f>
        <v>Complete</v>
      </c>
      <c r="I1043" s="48" t="s">
        <v>5408</v>
      </c>
    </row>
    <row r="1044" spans="2:9" ht="15" customHeight="1" x14ac:dyDescent="0.25">
      <c r="B1044" s="55" t="s">
        <v>279</v>
      </c>
      <c r="C1044" s="46">
        <v>1032</v>
      </c>
      <c r="D1044" s="69" t="s">
        <v>29416</v>
      </c>
      <c r="E1044" s="51"/>
      <c r="F1044" s="114" t="str">
        <f>IF(INDEX(I.Facility.P1IDNumber,1032)="","",INDEX(I.Facility.P1IDNumber,1032))</f>
        <v/>
      </c>
      <c r="G1044" s="51"/>
      <c r="H1044" s="46" t="str">
        <f>IF(AND(I.Developer.P1=TRUE,I.Facility.P1FacilityCount&gt;=1032,F1044=""),"Incomplete","Complete")</f>
        <v>Complete</v>
      </c>
      <c r="I1044" s="48" t="s">
        <v>5409</v>
      </c>
    </row>
    <row r="1045" spans="2:9" ht="15" customHeight="1" x14ac:dyDescent="0.25">
      <c r="B1045" s="55" t="s">
        <v>279</v>
      </c>
      <c r="C1045" s="46">
        <v>1033</v>
      </c>
      <c r="D1045" s="69" t="s">
        <v>29416</v>
      </c>
      <c r="E1045" s="51"/>
      <c r="F1045" s="114" t="str">
        <f>IF(INDEX(I.Facility.P1IDNumber,1033)="","",INDEX(I.Facility.P1IDNumber,1033))</f>
        <v/>
      </c>
      <c r="G1045" s="51"/>
      <c r="H1045" s="46" t="str">
        <f>IF(AND(I.Developer.P1=TRUE,I.Facility.P1FacilityCount&gt;=1033,F1045=""),"Incomplete","Complete")</f>
        <v>Complete</v>
      </c>
      <c r="I1045" s="48" t="s">
        <v>5410</v>
      </c>
    </row>
    <row r="1046" spans="2:9" ht="15" customHeight="1" x14ac:dyDescent="0.25">
      <c r="B1046" s="55" t="s">
        <v>279</v>
      </c>
      <c r="C1046" s="46">
        <v>1034</v>
      </c>
      <c r="D1046" s="69" t="s">
        <v>29416</v>
      </c>
      <c r="E1046" s="51"/>
      <c r="F1046" s="114" t="str">
        <f>IF(INDEX(I.Facility.P1IDNumber,1034)="","",INDEX(I.Facility.P1IDNumber,1034))</f>
        <v/>
      </c>
      <c r="G1046" s="51"/>
      <c r="H1046" s="46" t="str">
        <f>IF(AND(I.Developer.P1=TRUE,I.Facility.P1FacilityCount&gt;=1034,F1046=""),"Incomplete","Complete")</f>
        <v>Complete</v>
      </c>
      <c r="I1046" s="48" t="s">
        <v>5411</v>
      </c>
    </row>
    <row r="1047" spans="2:9" ht="15" customHeight="1" x14ac:dyDescent="0.25">
      <c r="B1047" s="55" t="s">
        <v>279</v>
      </c>
      <c r="C1047" s="46">
        <v>1035</v>
      </c>
      <c r="D1047" s="69" t="s">
        <v>29416</v>
      </c>
      <c r="E1047" s="51"/>
      <c r="F1047" s="114" t="str">
        <f>IF(INDEX(I.Facility.P1IDNumber,1035)="","",INDEX(I.Facility.P1IDNumber,1035))</f>
        <v/>
      </c>
      <c r="G1047" s="51"/>
      <c r="H1047" s="46" t="str">
        <f>IF(AND(I.Developer.P1=TRUE,I.Facility.P1FacilityCount&gt;=1035,F1047=""),"Incomplete","Complete")</f>
        <v>Complete</v>
      </c>
      <c r="I1047" s="48" t="s">
        <v>5412</v>
      </c>
    </row>
    <row r="1048" spans="2:9" ht="15" customHeight="1" x14ac:dyDescent="0.25">
      <c r="B1048" s="55" t="s">
        <v>279</v>
      </c>
      <c r="C1048" s="46">
        <v>1036</v>
      </c>
      <c r="D1048" s="69" t="s">
        <v>29416</v>
      </c>
      <c r="E1048" s="51"/>
      <c r="F1048" s="114" t="str">
        <f>IF(INDEX(I.Facility.P1IDNumber,1036)="","",INDEX(I.Facility.P1IDNumber,1036))</f>
        <v/>
      </c>
      <c r="G1048" s="51"/>
      <c r="H1048" s="46" t="str">
        <f>IF(AND(I.Developer.P1=TRUE,I.Facility.P1FacilityCount&gt;=1036,F1048=""),"Incomplete","Complete")</f>
        <v>Complete</v>
      </c>
      <c r="I1048" s="48" t="s">
        <v>5413</v>
      </c>
    </row>
    <row r="1049" spans="2:9" ht="15" customHeight="1" x14ac:dyDescent="0.25">
      <c r="B1049" s="55" t="s">
        <v>279</v>
      </c>
      <c r="C1049" s="46">
        <v>1037</v>
      </c>
      <c r="D1049" s="69" t="s">
        <v>29416</v>
      </c>
      <c r="E1049" s="51"/>
      <c r="F1049" s="114" t="str">
        <f>IF(INDEX(I.Facility.P1IDNumber,1037)="","",INDEX(I.Facility.P1IDNumber,1037))</f>
        <v/>
      </c>
      <c r="G1049" s="51"/>
      <c r="H1049" s="46" t="str">
        <f>IF(AND(I.Developer.P1=TRUE,I.Facility.P1FacilityCount&gt;=1037,F1049=""),"Incomplete","Complete")</f>
        <v>Complete</v>
      </c>
      <c r="I1049" s="48" t="s">
        <v>5414</v>
      </c>
    </row>
    <row r="1050" spans="2:9" ht="15" customHeight="1" x14ac:dyDescent="0.25">
      <c r="B1050" s="55" t="s">
        <v>279</v>
      </c>
      <c r="C1050" s="46">
        <v>1038</v>
      </c>
      <c r="D1050" s="69" t="s">
        <v>29416</v>
      </c>
      <c r="E1050" s="51"/>
      <c r="F1050" s="114" t="str">
        <f>IF(INDEX(I.Facility.P1IDNumber,1038)="","",INDEX(I.Facility.P1IDNumber,1038))</f>
        <v/>
      </c>
      <c r="G1050" s="51"/>
      <c r="H1050" s="46" t="str">
        <f>IF(AND(I.Developer.P1=TRUE,I.Facility.P1FacilityCount&gt;=1038,F1050=""),"Incomplete","Complete")</f>
        <v>Complete</v>
      </c>
      <c r="I1050" s="48" t="s">
        <v>5415</v>
      </c>
    </row>
    <row r="1051" spans="2:9" ht="15" customHeight="1" x14ac:dyDescent="0.25">
      <c r="B1051" s="55" t="s">
        <v>279</v>
      </c>
      <c r="C1051" s="46">
        <v>1039</v>
      </c>
      <c r="D1051" s="69" t="s">
        <v>29416</v>
      </c>
      <c r="E1051" s="51"/>
      <c r="F1051" s="114" t="str">
        <f>IF(INDEX(I.Facility.P1IDNumber,1039)="","",INDEX(I.Facility.P1IDNumber,1039))</f>
        <v/>
      </c>
      <c r="G1051" s="51"/>
      <c r="H1051" s="46" t="str">
        <f>IF(AND(I.Developer.P1=TRUE,I.Facility.P1FacilityCount&gt;=1039,F1051=""),"Incomplete","Complete")</f>
        <v>Complete</v>
      </c>
      <c r="I1051" s="48" t="s">
        <v>5416</v>
      </c>
    </row>
    <row r="1052" spans="2:9" ht="15" customHeight="1" x14ac:dyDescent="0.25">
      <c r="B1052" s="55" t="s">
        <v>279</v>
      </c>
      <c r="C1052" s="46">
        <v>1040</v>
      </c>
      <c r="D1052" s="69" t="s">
        <v>29416</v>
      </c>
      <c r="E1052" s="51"/>
      <c r="F1052" s="114" t="str">
        <f>IF(INDEX(I.Facility.P1IDNumber,1040)="","",INDEX(I.Facility.P1IDNumber,1040))</f>
        <v/>
      </c>
      <c r="G1052" s="51"/>
      <c r="H1052" s="46" t="str">
        <f>IF(AND(I.Developer.P1=TRUE,I.Facility.P1FacilityCount&gt;=1040,F1052=""),"Incomplete","Complete")</f>
        <v>Complete</v>
      </c>
      <c r="I1052" s="48" t="s">
        <v>5417</v>
      </c>
    </row>
    <row r="1053" spans="2:9" ht="15" customHeight="1" x14ac:dyDescent="0.25">
      <c r="B1053" s="55" t="s">
        <v>279</v>
      </c>
      <c r="C1053" s="46">
        <v>1041</v>
      </c>
      <c r="D1053" s="69" t="s">
        <v>29416</v>
      </c>
      <c r="E1053" s="51"/>
      <c r="F1053" s="114" t="str">
        <f>IF(INDEX(I.Facility.P1IDNumber,1041)="","",INDEX(I.Facility.P1IDNumber,1041))</f>
        <v/>
      </c>
      <c r="G1053" s="51"/>
      <c r="H1053" s="46" t="str">
        <f>IF(AND(I.Developer.P1=TRUE,I.Facility.P1FacilityCount&gt;=1041,F1053=""),"Incomplete","Complete")</f>
        <v>Complete</v>
      </c>
      <c r="I1053" s="48" t="s">
        <v>5418</v>
      </c>
    </row>
    <row r="1054" spans="2:9" ht="15" customHeight="1" x14ac:dyDescent="0.25">
      <c r="B1054" s="55" t="s">
        <v>279</v>
      </c>
      <c r="C1054" s="46">
        <v>1042</v>
      </c>
      <c r="D1054" s="69" t="s">
        <v>29416</v>
      </c>
      <c r="E1054" s="51"/>
      <c r="F1054" s="114" t="str">
        <f>IF(INDEX(I.Facility.P1IDNumber,1042)="","",INDEX(I.Facility.P1IDNumber,1042))</f>
        <v/>
      </c>
      <c r="G1054" s="51"/>
      <c r="H1054" s="46" t="str">
        <f>IF(AND(I.Developer.P1=TRUE,I.Facility.P1FacilityCount&gt;=1042,F1054=""),"Incomplete","Complete")</f>
        <v>Complete</v>
      </c>
      <c r="I1054" s="48" t="s">
        <v>5419</v>
      </c>
    </row>
    <row r="1055" spans="2:9" ht="15" customHeight="1" x14ac:dyDescent="0.25">
      <c r="B1055" s="55" t="s">
        <v>279</v>
      </c>
      <c r="C1055" s="46">
        <v>1043</v>
      </c>
      <c r="D1055" s="69" t="s">
        <v>29416</v>
      </c>
      <c r="E1055" s="51"/>
      <c r="F1055" s="114" t="str">
        <f>IF(INDEX(I.Facility.P1IDNumber,1043)="","",INDEX(I.Facility.P1IDNumber,1043))</f>
        <v/>
      </c>
      <c r="G1055" s="51"/>
      <c r="H1055" s="46" t="str">
        <f>IF(AND(I.Developer.P1=TRUE,I.Facility.P1FacilityCount&gt;=1043,F1055=""),"Incomplete","Complete")</f>
        <v>Complete</v>
      </c>
      <c r="I1055" s="48" t="s">
        <v>5420</v>
      </c>
    </row>
    <row r="1056" spans="2:9" ht="15" customHeight="1" x14ac:dyDescent="0.25">
      <c r="B1056" s="55" t="s">
        <v>279</v>
      </c>
      <c r="C1056" s="46">
        <v>1044</v>
      </c>
      <c r="D1056" s="69" t="s">
        <v>29416</v>
      </c>
      <c r="E1056" s="51"/>
      <c r="F1056" s="114" t="str">
        <f>IF(INDEX(I.Facility.P1IDNumber,1044)="","",INDEX(I.Facility.P1IDNumber,1044))</f>
        <v/>
      </c>
      <c r="G1056" s="51"/>
      <c r="H1056" s="46" t="str">
        <f>IF(AND(I.Developer.P1=TRUE,I.Facility.P1FacilityCount&gt;=1044,F1056=""),"Incomplete","Complete")</f>
        <v>Complete</v>
      </c>
      <c r="I1056" s="48" t="s">
        <v>5421</v>
      </c>
    </row>
    <row r="1057" spans="2:9" ht="15" customHeight="1" x14ac:dyDescent="0.25">
      <c r="B1057" s="55" t="s">
        <v>279</v>
      </c>
      <c r="C1057" s="46">
        <v>1045</v>
      </c>
      <c r="D1057" s="69" t="s">
        <v>29416</v>
      </c>
      <c r="E1057" s="51"/>
      <c r="F1057" s="114" t="str">
        <f>IF(INDEX(I.Facility.P1IDNumber,1045)="","",INDEX(I.Facility.P1IDNumber,1045))</f>
        <v/>
      </c>
      <c r="G1057" s="51"/>
      <c r="H1057" s="46" t="str">
        <f>IF(AND(I.Developer.P1=TRUE,I.Facility.P1FacilityCount&gt;=1045,F1057=""),"Incomplete","Complete")</f>
        <v>Complete</v>
      </c>
      <c r="I1057" s="48" t="s">
        <v>5422</v>
      </c>
    </row>
    <row r="1058" spans="2:9" ht="15" customHeight="1" x14ac:dyDescent="0.25">
      <c r="B1058" s="55" t="s">
        <v>279</v>
      </c>
      <c r="C1058" s="46">
        <v>1046</v>
      </c>
      <c r="D1058" s="69" t="s">
        <v>29416</v>
      </c>
      <c r="E1058" s="51"/>
      <c r="F1058" s="114" t="str">
        <f>IF(INDEX(I.Facility.P1IDNumber,1046)="","",INDEX(I.Facility.P1IDNumber,1046))</f>
        <v/>
      </c>
      <c r="G1058" s="51"/>
      <c r="H1058" s="46" t="str">
        <f>IF(AND(I.Developer.P1=TRUE,I.Facility.P1FacilityCount&gt;=1046,F1058=""),"Incomplete","Complete")</f>
        <v>Complete</v>
      </c>
      <c r="I1058" s="48" t="s">
        <v>5423</v>
      </c>
    </row>
    <row r="1059" spans="2:9" ht="15" customHeight="1" x14ac:dyDescent="0.25">
      <c r="B1059" s="55" t="s">
        <v>279</v>
      </c>
      <c r="C1059" s="46">
        <v>1047</v>
      </c>
      <c r="D1059" s="69" t="s">
        <v>29416</v>
      </c>
      <c r="E1059" s="51"/>
      <c r="F1059" s="114" t="str">
        <f>IF(INDEX(I.Facility.P1IDNumber,1047)="","",INDEX(I.Facility.P1IDNumber,1047))</f>
        <v/>
      </c>
      <c r="G1059" s="51"/>
      <c r="H1059" s="46" t="str">
        <f>IF(AND(I.Developer.P1=TRUE,I.Facility.P1FacilityCount&gt;=1047,F1059=""),"Incomplete","Complete")</f>
        <v>Complete</v>
      </c>
      <c r="I1059" s="48" t="s">
        <v>5424</v>
      </c>
    </row>
    <row r="1060" spans="2:9" ht="15" customHeight="1" x14ac:dyDescent="0.25">
      <c r="B1060" s="55" t="s">
        <v>279</v>
      </c>
      <c r="C1060" s="46">
        <v>1048</v>
      </c>
      <c r="D1060" s="69" t="s">
        <v>29416</v>
      </c>
      <c r="E1060" s="51"/>
      <c r="F1060" s="114" t="str">
        <f>IF(INDEX(I.Facility.P1IDNumber,1048)="","",INDEX(I.Facility.P1IDNumber,1048))</f>
        <v/>
      </c>
      <c r="G1060" s="51"/>
      <c r="H1060" s="46" t="str">
        <f>IF(AND(I.Developer.P1=TRUE,I.Facility.P1FacilityCount&gt;=1048,F1060=""),"Incomplete","Complete")</f>
        <v>Complete</v>
      </c>
      <c r="I1060" s="48" t="s">
        <v>5425</v>
      </c>
    </row>
    <row r="1061" spans="2:9" ht="15" customHeight="1" x14ac:dyDescent="0.25">
      <c r="B1061" s="55" t="s">
        <v>279</v>
      </c>
      <c r="C1061" s="46">
        <v>1049</v>
      </c>
      <c r="D1061" s="69" t="s">
        <v>29416</v>
      </c>
      <c r="E1061" s="51"/>
      <c r="F1061" s="114" t="str">
        <f>IF(INDEX(I.Facility.P1IDNumber,1049)="","",INDEX(I.Facility.P1IDNumber,1049))</f>
        <v/>
      </c>
      <c r="G1061" s="51"/>
      <c r="H1061" s="46" t="str">
        <f>IF(AND(I.Developer.P1=TRUE,I.Facility.P1FacilityCount&gt;=1049,F1061=""),"Incomplete","Complete")</f>
        <v>Complete</v>
      </c>
      <c r="I1061" s="48" t="s">
        <v>5426</v>
      </c>
    </row>
    <row r="1062" spans="2:9" ht="15" customHeight="1" x14ac:dyDescent="0.25">
      <c r="B1062" s="55" t="s">
        <v>279</v>
      </c>
      <c r="C1062" s="46">
        <v>1050</v>
      </c>
      <c r="D1062" s="69" t="s">
        <v>29416</v>
      </c>
      <c r="E1062" s="51"/>
      <c r="F1062" s="114" t="str">
        <f>IF(INDEX(I.Facility.P1IDNumber,1050)="","",INDEX(I.Facility.P1IDNumber,1050))</f>
        <v/>
      </c>
      <c r="G1062" s="51"/>
      <c r="H1062" s="46" t="str">
        <f>IF(AND(I.Developer.P1=TRUE,I.Facility.P1FacilityCount&gt;=1050,F1062=""),"Incomplete","Complete")</f>
        <v>Complete</v>
      </c>
      <c r="I1062" s="48" t="s">
        <v>5427</v>
      </c>
    </row>
    <row r="1063" spans="2:9" ht="15" customHeight="1" x14ac:dyDescent="0.25">
      <c r="B1063" s="55" t="s">
        <v>279</v>
      </c>
      <c r="C1063" s="46">
        <v>1051</v>
      </c>
      <c r="D1063" s="69" t="s">
        <v>29416</v>
      </c>
      <c r="E1063" s="51"/>
      <c r="F1063" s="114" t="str">
        <f>IF(INDEX(I.Facility.P1IDNumber,1051)="","",INDEX(I.Facility.P1IDNumber,1051))</f>
        <v/>
      </c>
      <c r="G1063" s="51"/>
      <c r="H1063" s="46" t="str">
        <f>IF(AND(I.Developer.P1=TRUE,I.Facility.P1FacilityCount&gt;=1051,F1063=""),"Incomplete","Complete")</f>
        <v>Complete</v>
      </c>
      <c r="I1063" s="48" t="s">
        <v>5428</v>
      </c>
    </row>
    <row r="1064" spans="2:9" ht="15" customHeight="1" x14ac:dyDescent="0.25">
      <c r="B1064" s="55" t="s">
        <v>279</v>
      </c>
      <c r="C1064" s="46">
        <v>1052</v>
      </c>
      <c r="D1064" s="69" t="s">
        <v>29416</v>
      </c>
      <c r="E1064" s="51"/>
      <c r="F1064" s="114" t="str">
        <f>IF(INDEX(I.Facility.P1IDNumber,1052)="","",INDEX(I.Facility.P1IDNumber,1052))</f>
        <v/>
      </c>
      <c r="G1064" s="51"/>
      <c r="H1064" s="46" t="str">
        <f>IF(AND(I.Developer.P1=TRUE,I.Facility.P1FacilityCount&gt;=1052,F1064=""),"Incomplete","Complete")</f>
        <v>Complete</v>
      </c>
      <c r="I1064" s="48" t="s">
        <v>5429</v>
      </c>
    </row>
    <row r="1065" spans="2:9" ht="15" customHeight="1" x14ac:dyDescent="0.25">
      <c r="B1065" s="55" t="s">
        <v>279</v>
      </c>
      <c r="C1065" s="46">
        <v>1053</v>
      </c>
      <c r="D1065" s="69" t="s">
        <v>29416</v>
      </c>
      <c r="E1065" s="51"/>
      <c r="F1065" s="114" t="str">
        <f>IF(INDEX(I.Facility.P1IDNumber,1053)="","",INDEX(I.Facility.P1IDNumber,1053))</f>
        <v/>
      </c>
      <c r="G1065" s="51"/>
      <c r="H1065" s="46" t="str">
        <f>IF(AND(I.Developer.P1=TRUE,I.Facility.P1FacilityCount&gt;=1053,F1065=""),"Incomplete","Complete")</f>
        <v>Complete</v>
      </c>
      <c r="I1065" s="48" t="s">
        <v>5430</v>
      </c>
    </row>
    <row r="1066" spans="2:9" ht="15" customHeight="1" x14ac:dyDescent="0.25">
      <c r="B1066" s="55" t="s">
        <v>279</v>
      </c>
      <c r="C1066" s="46">
        <v>1054</v>
      </c>
      <c r="D1066" s="69" t="s">
        <v>29416</v>
      </c>
      <c r="E1066" s="51"/>
      <c r="F1066" s="114" t="str">
        <f>IF(INDEX(I.Facility.P1IDNumber,1054)="","",INDEX(I.Facility.P1IDNumber,1054))</f>
        <v/>
      </c>
      <c r="G1066" s="51"/>
      <c r="H1066" s="46" t="str">
        <f>IF(AND(I.Developer.P1=TRUE,I.Facility.P1FacilityCount&gt;=1054,F1066=""),"Incomplete","Complete")</f>
        <v>Complete</v>
      </c>
      <c r="I1066" s="48" t="s">
        <v>5431</v>
      </c>
    </row>
    <row r="1067" spans="2:9" ht="15" customHeight="1" x14ac:dyDescent="0.25">
      <c r="B1067" s="55" t="s">
        <v>279</v>
      </c>
      <c r="C1067" s="46">
        <v>1055</v>
      </c>
      <c r="D1067" s="69" t="s">
        <v>29416</v>
      </c>
      <c r="E1067" s="51"/>
      <c r="F1067" s="114" t="str">
        <f>IF(INDEX(I.Facility.P1IDNumber,1055)="","",INDEX(I.Facility.P1IDNumber,1055))</f>
        <v/>
      </c>
      <c r="G1067" s="51"/>
      <c r="H1067" s="46" t="str">
        <f>IF(AND(I.Developer.P1=TRUE,I.Facility.P1FacilityCount&gt;=1055,F1067=""),"Incomplete","Complete")</f>
        <v>Complete</v>
      </c>
      <c r="I1067" s="48" t="s">
        <v>5432</v>
      </c>
    </row>
    <row r="1068" spans="2:9" ht="15" customHeight="1" x14ac:dyDescent="0.25">
      <c r="B1068" s="55" t="s">
        <v>279</v>
      </c>
      <c r="C1068" s="46">
        <v>1056</v>
      </c>
      <c r="D1068" s="69" t="s">
        <v>29416</v>
      </c>
      <c r="E1068" s="51"/>
      <c r="F1068" s="114" t="str">
        <f>IF(INDEX(I.Facility.P1IDNumber,1056)="","",INDEX(I.Facility.P1IDNumber,1056))</f>
        <v/>
      </c>
      <c r="G1068" s="51"/>
      <c r="H1068" s="46" t="str">
        <f>IF(AND(I.Developer.P1=TRUE,I.Facility.P1FacilityCount&gt;=1056,F1068=""),"Incomplete","Complete")</f>
        <v>Complete</v>
      </c>
      <c r="I1068" s="48" t="s">
        <v>5433</v>
      </c>
    </row>
    <row r="1069" spans="2:9" ht="15" customHeight="1" x14ac:dyDescent="0.25">
      <c r="B1069" s="55" t="s">
        <v>279</v>
      </c>
      <c r="C1069" s="46">
        <v>1057</v>
      </c>
      <c r="D1069" s="69" t="s">
        <v>29416</v>
      </c>
      <c r="E1069" s="51"/>
      <c r="F1069" s="114" t="str">
        <f>IF(INDEX(I.Facility.P1IDNumber,1057)="","",INDEX(I.Facility.P1IDNumber,1057))</f>
        <v/>
      </c>
      <c r="G1069" s="51"/>
      <c r="H1069" s="46" t="str">
        <f>IF(AND(I.Developer.P1=TRUE,I.Facility.P1FacilityCount&gt;=1057,F1069=""),"Incomplete","Complete")</f>
        <v>Complete</v>
      </c>
      <c r="I1069" s="48" t="s">
        <v>5434</v>
      </c>
    </row>
    <row r="1070" spans="2:9" ht="15" customHeight="1" x14ac:dyDescent="0.25">
      <c r="B1070" s="55" t="s">
        <v>279</v>
      </c>
      <c r="C1070" s="46">
        <v>1058</v>
      </c>
      <c r="D1070" s="69" t="s">
        <v>29416</v>
      </c>
      <c r="E1070" s="51"/>
      <c r="F1070" s="114" t="str">
        <f>IF(INDEX(I.Facility.P1IDNumber,1058)="","",INDEX(I.Facility.P1IDNumber,1058))</f>
        <v/>
      </c>
      <c r="G1070" s="51"/>
      <c r="H1070" s="46" t="str">
        <f>IF(AND(I.Developer.P1=TRUE,I.Facility.P1FacilityCount&gt;=1058,F1070=""),"Incomplete","Complete")</f>
        <v>Complete</v>
      </c>
      <c r="I1070" s="48" t="s">
        <v>5435</v>
      </c>
    </row>
    <row r="1071" spans="2:9" ht="15" customHeight="1" x14ac:dyDescent="0.25">
      <c r="B1071" s="55" t="s">
        <v>279</v>
      </c>
      <c r="C1071" s="46">
        <v>1059</v>
      </c>
      <c r="D1071" s="69" t="s">
        <v>29416</v>
      </c>
      <c r="E1071" s="51"/>
      <c r="F1071" s="114" t="str">
        <f>IF(INDEX(I.Facility.P1IDNumber,1059)="","",INDEX(I.Facility.P1IDNumber,1059))</f>
        <v/>
      </c>
      <c r="G1071" s="51"/>
      <c r="H1071" s="46" t="str">
        <f>IF(AND(I.Developer.P1=TRUE,I.Facility.P1FacilityCount&gt;=1059,F1071=""),"Incomplete","Complete")</f>
        <v>Complete</v>
      </c>
      <c r="I1071" s="48" t="s">
        <v>5436</v>
      </c>
    </row>
    <row r="1072" spans="2:9" ht="15" customHeight="1" x14ac:dyDescent="0.25">
      <c r="B1072" s="55" t="s">
        <v>279</v>
      </c>
      <c r="C1072" s="46">
        <v>1060</v>
      </c>
      <c r="D1072" s="69" t="s">
        <v>29416</v>
      </c>
      <c r="E1072" s="51"/>
      <c r="F1072" s="114" t="str">
        <f>IF(INDEX(I.Facility.P1IDNumber,1060)="","",INDEX(I.Facility.P1IDNumber,1060))</f>
        <v/>
      </c>
      <c r="G1072" s="51"/>
      <c r="H1072" s="46" t="str">
        <f>IF(AND(I.Developer.P1=TRUE,I.Facility.P1FacilityCount&gt;=1060,F1072=""),"Incomplete","Complete")</f>
        <v>Complete</v>
      </c>
      <c r="I1072" s="48" t="s">
        <v>5437</v>
      </c>
    </row>
    <row r="1073" spans="2:9" ht="15" customHeight="1" x14ac:dyDescent="0.25">
      <c r="B1073" s="55" t="s">
        <v>279</v>
      </c>
      <c r="C1073" s="46">
        <v>1061</v>
      </c>
      <c r="D1073" s="69" t="s">
        <v>29416</v>
      </c>
      <c r="E1073" s="51"/>
      <c r="F1073" s="114" t="str">
        <f>IF(INDEX(I.Facility.P1IDNumber,1061)="","",INDEX(I.Facility.P1IDNumber,1061))</f>
        <v/>
      </c>
      <c r="G1073" s="51"/>
      <c r="H1073" s="46" t="str">
        <f>IF(AND(I.Developer.P1=TRUE,I.Facility.P1FacilityCount&gt;=1061,F1073=""),"Incomplete","Complete")</f>
        <v>Complete</v>
      </c>
      <c r="I1073" s="48" t="s">
        <v>5438</v>
      </c>
    </row>
    <row r="1074" spans="2:9" ht="15" customHeight="1" x14ac:dyDescent="0.25">
      <c r="B1074" s="55" t="s">
        <v>279</v>
      </c>
      <c r="C1074" s="46">
        <v>1062</v>
      </c>
      <c r="D1074" s="69" t="s">
        <v>29416</v>
      </c>
      <c r="E1074" s="51"/>
      <c r="F1074" s="114" t="str">
        <f>IF(INDEX(I.Facility.P1IDNumber,1062)="","",INDEX(I.Facility.P1IDNumber,1062))</f>
        <v/>
      </c>
      <c r="G1074" s="51"/>
      <c r="H1074" s="46" t="str">
        <f>IF(AND(I.Developer.P1=TRUE,I.Facility.P1FacilityCount&gt;=1062,F1074=""),"Incomplete","Complete")</f>
        <v>Complete</v>
      </c>
      <c r="I1074" s="48" t="s">
        <v>5439</v>
      </c>
    </row>
    <row r="1075" spans="2:9" ht="15" customHeight="1" x14ac:dyDescent="0.25">
      <c r="B1075" s="55" t="s">
        <v>279</v>
      </c>
      <c r="C1075" s="46">
        <v>1063</v>
      </c>
      <c r="D1075" s="69" t="s">
        <v>29416</v>
      </c>
      <c r="E1075" s="51"/>
      <c r="F1075" s="114" t="str">
        <f>IF(INDEX(I.Facility.P1IDNumber,1063)="","",INDEX(I.Facility.P1IDNumber,1063))</f>
        <v/>
      </c>
      <c r="G1075" s="51"/>
      <c r="H1075" s="46" t="str">
        <f>IF(AND(I.Developer.P1=TRUE,I.Facility.P1FacilityCount&gt;=1063,F1075=""),"Incomplete","Complete")</f>
        <v>Complete</v>
      </c>
      <c r="I1075" s="48" t="s">
        <v>5440</v>
      </c>
    </row>
    <row r="1076" spans="2:9" ht="15" customHeight="1" x14ac:dyDescent="0.25">
      <c r="B1076" s="55" t="s">
        <v>279</v>
      </c>
      <c r="C1076" s="46">
        <v>1064</v>
      </c>
      <c r="D1076" s="69" t="s">
        <v>29416</v>
      </c>
      <c r="E1076" s="51"/>
      <c r="F1076" s="114" t="str">
        <f>IF(INDEX(I.Facility.P1IDNumber,1064)="","",INDEX(I.Facility.P1IDNumber,1064))</f>
        <v/>
      </c>
      <c r="G1076" s="51"/>
      <c r="H1076" s="46" t="str">
        <f>IF(AND(I.Developer.P1=TRUE,I.Facility.P1FacilityCount&gt;=1064,F1076=""),"Incomplete","Complete")</f>
        <v>Complete</v>
      </c>
      <c r="I1076" s="48" t="s">
        <v>5441</v>
      </c>
    </row>
    <row r="1077" spans="2:9" ht="15" customHeight="1" x14ac:dyDescent="0.25">
      <c r="B1077" s="55" t="s">
        <v>279</v>
      </c>
      <c r="C1077" s="46">
        <v>1065</v>
      </c>
      <c r="D1077" s="69" t="s">
        <v>29416</v>
      </c>
      <c r="E1077" s="51"/>
      <c r="F1077" s="114" t="str">
        <f>IF(INDEX(I.Facility.P1IDNumber,1065)="","",INDEX(I.Facility.P1IDNumber,1065))</f>
        <v/>
      </c>
      <c r="G1077" s="51"/>
      <c r="H1077" s="46" t="str">
        <f>IF(AND(I.Developer.P1=TRUE,I.Facility.P1FacilityCount&gt;=1065,F1077=""),"Incomplete","Complete")</f>
        <v>Complete</v>
      </c>
      <c r="I1077" s="48" t="s">
        <v>5442</v>
      </c>
    </row>
    <row r="1078" spans="2:9" ht="15" customHeight="1" x14ac:dyDescent="0.25">
      <c r="B1078" s="55" t="s">
        <v>279</v>
      </c>
      <c r="C1078" s="46">
        <v>1066</v>
      </c>
      <c r="D1078" s="69" t="s">
        <v>29416</v>
      </c>
      <c r="E1078" s="51"/>
      <c r="F1078" s="114" t="str">
        <f>IF(INDEX(I.Facility.P1IDNumber,1066)="","",INDEX(I.Facility.P1IDNumber,1066))</f>
        <v/>
      </c>
      <c r="G1078" s="51"/>
      <c r="H1078" s="46" t="str">
        <f>IF(AND(I.Developer.P1=TRUE,I.Facility.P1FacilityCount&gt;=1066,F1078=""),"Incomplete","Complete")</f>
        <v>Complete</v>
      </c>
      <c r="I1078" s="48" t="s">
        <v>5443</v>
      </c>
    </row>
    <row r="1079" spans="2:9" ht="15" customHeight="1" x14ac:dyDescent="0.25">
      <c r="B1079" s="55" t="s">
        <v>279</v>
      </c>
      <c r="C1079" s="46">
        <v>1067</v>
      </c>
      <c r="D1079" s="69" t="s">
        <v>29416</v>
      </c>
      <c r="E1079" s="51"/>
      <c r="F1079" s="114" t="str">
        <f>IF(INDEX(I.Facility.P1IDNumber,1067)="","",INDEX(I.Facility.P1IDNumber,1067))</f>
        <v/>
      </c>
      <c r="G1079" s="51"/>
      <c r="H1079" s="46" t="str">
        <f>IF(AND(I.Developer.P1=TRUE,I.Facility.P1FacilityCount&gt;=1067,F1079=""),"Incomplete","Complete")</f>
        <v>Complete</v>
      </c>
      <c r="I1079" s="48" t="s">
        <v>5444</v>
      </c>
    </row>
    <row r="1080" spans="2:9" ht="15" customHeight="1" x14ac:dyDescent="0.25">
      <c r="B1080" s="55" t="s">
        <v>279</v>
      </c>
      <c r="C1080" s="46">
        <v>1068</v>
      </c>
      <c r="D1080" s="69" t="s">
        <v>29416</v>
      </c>
      <c r="E1080" s="51"/>
      <c r="F1080" s="114" t="str">
        <f>IF(INDEX(I.Facility.P1IDNumber,1068)="","",INDEX(I.Facility.P1IDNumber,1068))</f>
        <v/>
      </c>
      <c r="G1080" s="51"/>
      <c r="H1080" s="46" t="str">
        <f>IF(AND(I.Developer.P1=TRUE,I.Facility.P1FacilityCount&gt;=1068,F1080=""),"Incomplete","Complete")</f>
        <v>Complete</v>
      </c>
      <c r="I1080" s="48" t="s">
        <v>5445</v>
      </c>
    </row>
    <row r="1081" spans="2:9" ht="15" customHeight="1" x14ac:dyDescent="0.25">
      <c r="B1081" s="55" t="s">
        <v>279</v>
      </c>
      <c r="C1081" s="46">
        <v>1069</v>
      </c>
      <c r="D1081" s="69" t="s">
        <v>29416</v>
      </c>
      <c r="E1081" s="51"/>
      <c r="F1081" s="114" t="str">
        <f>IF(INDEX(I.Facility.P1IDNumber,1069)="","",INDEX(I.Facility.P1IDNumber,1069))</f>
        <v/>
      </c>
      <c r="G1081" s="51"/>
      <c r="H1081" s="46" t="str">
        <f>IF(AND(I.Developer.P1=TRUE,I.Facility.P1FacilityCount&gt;=1069,F1081=""),"Incomplete","Complete")</f>
        <v>Complete</v>
      </c>
      <c r="I1081" s="48" t="s">
        <v>5446</v>
      </c>
    </row>
    <row r="1082" spans="2:9" ht="15" customHeight="1" x14ac:dyDescent="0.25">
      <c r="B1082" s="55" t="s">
        <v>279</v>
      </c>
      <c r="C1082" s="46">
        <v>1070</v>
      </c>
      <c r="D1082" s="69" t="s">
        <v>29416</v>
      </c>
      <c r="E1082" s="51"/>
      <c r="F1082" s="114" t="str">
        <f>IF(INDEX(I.Facility.P1IDNumber,1070)="","",INDEX(I.Facility.P1IDNumber,1070))</f>
        <v/>
      </c>
      <c r="G1082" s="51"/>
      <c r="H1082" s="46" t="str">
        <f>IF(AND(I.Developer.P1=TRUE,I.Facility.P1FacilityCount&gt;=1070,F1082=""),"Incomplete","Complete")</f>
        <v>Complete</v>
      </c>
      <c r="I1082" s="48" t="s">
        <v>5447</v>
      </c>
    </row>
    <row r="1083" spans="2:9" ht="15" customHeight="1" x14ac:dyDescent="0.25">
      <c r="B1083" s="55" t="s">
        <v>279</v>
      </c>
      <c r="C1083" s="46">
        <v>1071</v>
      </c>
      <c r="D1083" s="69" t="s">
        <v>29416</v>
      </c>
      <c r="E1083" s="51"/>
      <c r="F1083" s="114" t="str">
        <f>IF(INDEX(I.Facility.P1IDNumber,1071)="","",INDEX(I.Facility.P1IDNumber,1071))</f>
        <v/>
      </c>
      <c r="G1083" s="51"/>
      <c r="H1083" s="46" t="str">
        <f>IF(AND(I.Developer.P1=TRUE,I.Facility.P1FacilityCount&gt;=1071,F1083=""),"Incomplete","Complete")</f>
        <v>Complete</v>
      </c>
      <c r="I1083" s="48" t="s">
        <v>5448</v>
      </c>
    </row>
    <row r="1084" spans="2:9" ht="15" customHeight="1" x14ac:dyDescent="0.25">
      <c r="B1084" s="55" t="s">
        <v>279</v>
      </c>
      <c r="C1084" s="46">
        <v>1072</v>
      </c>
      <c r="D1084" s="69" t="s">
        <v>29416</v>
      </c>
      <c r="E1084" s="51"/>
      <c r="F1084" s="114" t="str">
        <f>IF(INDEX(I.Facility.P1IDNumber,1072)="","",INDEX(I.Facility.P1IDNumber,1072))</f>
        <v/>
      </c>
      <c r="G1084" s="51"/>
      <c r="H1084" s="46" t="str">
        <f>IF(AND(I.Developer.P1=TRUE,I.Facility.P1FacilityCount&gt;=1072,F1084=""),"Incomplete","Complete")</f>
        <v>Complete</v>
      </c>
      <c r="I1084" s="48" t="s">
        <v>5449</v>
      </c>
    </row>
    <row r="1085" spans="2:9" ht="15" customHeight="1" x14ac:dyDescent="0.25">
      <c r="B1085" s="55" t="s">
        <v>279</v>
      </c>
      <c r="C1085" s="46">
        <v>1073</v>
      </c>
      <c r="D1085" s="69" t="s">
        <v>29416</v>
      </c>
      <c r="E1085" s="51"/>
      <c r="F1085" s="114" t="str">
        <f>IF(INDEX(I.Facility.P1IDNumber,1073)="","",INDEX(I.Facility.P1IDNumber,1073))</f>
        <v/>
      </c>
      <c r="G1085" s="51"/>
      <c r="H1085" s="46" t="str">
        <f>IF(AND(I.Developer.P1=TRUE,I.Facility.P1FacilityCount&gt;=1073,F1085=""),"Incomplete","Complete")</f>
        <v>Complete</v>
      </c>
      <c r="I1085" s="48" t="s">
        <v>5450</v>
      </c>
    </row>
    <row r="1086" spans="2:9" ht="15" customHeight="1" x14ac:dyDescent="0.25">
      <c r="B1086" s="55" t="s">
        <v>279</v>
      </c>
      <c r="C1086" s="46">
        <v>1074</v>
      </c>
      <c r="D1086" s="69" t="s">
        <v>29416</v>
      </c>
      <c r="E1086" s="51"/>
      <c r="F1086" s="114" t="str">
        <f>IF(INDEX(I.Facility.P1IDNumber,1074)="","",INDEX(I.Facility.P1IDNumber,1074))</f>
        <v/>
      </c>
      <c r="G1086" s="51"/>
      <c r="H1086" s="46" t="str">
        <f>IF(AND(I.Developer.P1=TRUE,I.Facility.P1FacilityCount&gt;=1074,F1086=""),"Incomplete","Complete")</f>
        <v>Complete</v>
      </c>
      <c r="I1086" s="48" t="s">
        <v>5451</v>
      </c>
    </row>
    <row r="1087" spans="2:9" ht="15" customHeight="1" x14ac:dyDescent="0.25">
      <c r="B1087" s="55" t="s">
        <v>279</v>
      </c>
      <c r="C1087" s="46">
        <v>1075</v>
      </c>
      <c r="D1087" s="69" t="s">
        <v>29416</v>
      </c>
      <c r="E1087" s="51"/>
      <c r="F1087" s="114" t="str">
        <f>IF(INDEX(I.Facility.P1IDNumber,1075)="","",INDEX(I.Facility.P1IDNumber,1075))</f>
        <v/>
      </c>
      <c r="G1087" s="51"/>
      <c r="H1087" s="46" t="str">
        <f>IF(AND(I.Developer.P1=TRUE,I.Facility.P1FacilityCount&gt;=1075,F1087=""),"Incomplete","Complete")</f>
        <v>Complete</v>
      </c>
      <c r="I1087" s="48" t="s">
        <v>5452</v>
      </c>
    </row>
    <row r="1088" spans="2:9" ht="15" customHeight="1" x14ac:dyDescent="0.25">
      <c r="B1088" s="55" t="s">
        <v>279</v>
      </c>
      <c r="C1088" s="46">
        <v>1076</v>
      </c>
      <c r="D1088" s="69" t="s">
        <v>29416</v>
      </c>
      <c r="E1088" s="51"/>
      <c r="F1088" s="114" t="str">
        <f>IF(INDEX(I.Facility.P1IDNumber,1076)="","",INDEX(I.Facility.P1IDNumber,1076))</f>
        <v/>
      </c>
      <c r="G1088" s="51"/>
      <c r="H1088" s="46" t="str">
        <f>IF(AND(I.Developer.P1=TRUE,I.Facility.P1FacilityCount&gt;=1076,F1088=""),"Incomplete","Complete")</f>
        <v>Complete</v>
      </c>
      <c r="I1088" s="48" t="s">
        <v>5453</v>
      </c>
    </row>
    <row r="1089" spans="2:9" ht="15" customHeight="1" x14ac:dyDescent="0.25">
      <c r="B1089" s="55" t="s">
        <v>279</v>
      </c>
      <c r="C1089" s="46">
        <v>1077</v>
      </c>
      <c r="D1089" s="69" t="s">
        <v>29416</v>
      </c>
      <c r="E1089" s="51"/>
      <c r="F1089" s="114" t="str">
        <f>IF(INDEX(I.Facility.P1IDNumber,1077)="","",INDEX(I.Facility.P1IDNumber,1077))</f>
        <v/>
      </c>
      <c r="G1089" s="51"/>
      <c r="H1089" s="46" t="str">
        <f>IF(AND(I.Developer.P1=TRUE,I.Facility.P1FacilityCount&gt;=1077,F1089=""),"Incomplete","Complete")</f>
        <v>Complete</v>
      </c>
      <c r="I1089" s="48" t="s">
        <v>5454</v>
      </c>
    </row>
    <row r="1090" spans="2:9" ht="15" customHeight="1" x14ac:dyDescent="0.25">
      <c r="B1090" s="55" t="s">
        <v>279</v>
      </c>
      <c r="C1090" s="46">
        <v>1078</v>
      </c>
      <c r="D1090" s="69" t="s">
        <v>29416</v>
      </c>
      <c r="E1090" s="51"/>
      <c r="F1090" s="114" t="str">
        <f>IF(INDEX(I.Facility.P1IDNumber,1078)="","",INDEX(I.Facility.P1IDNumber,1078))</f>
        <v/>
      </c>
      <c r="G1090" s="51"/>
      <c r="H1090" s="46" t="str">
        <f>IF(AND(I.Developer.P1=TRUE,I.Facility.P1FacilityCount&gt;=1078,F1090=""),"Incomplete","Complete")</f>
        <v>Complete</v>
      </c>
      <c r="I1090" s="48" t="s">
        <v>5455</v>
      </c>
    </row>
    <row r="1091" spans="2:9" ht="15" customHeight="1" x14ac:dyDescent="0.25">
      <c r="B1091" s="55" t="s">
        <v>279</v>
      </c>
      <c r="C1091" s="46">
        <v>1079</v>
      </c>
      <c r="D1091" s="69" t="s">
        <v>29416</v>
      </c>
      <c r="E1091" s="51"/>
      <c r="F1091" s="114" t="str">
        <f>IF(INDEX(I.Facility.P1IDNumber,1079)="","",INDEX(I.Facility.P1IDNumber,1079))</f>
        <v/>
      </c>
      <c r="G1091" s="51"/>
      <c r="H1091" s="46" t="str">
        <f>IF(AND(I.Developer.P1=TRUE,I.Facility.P1FacilityCount&gt;=1079,F1091=""),"Incomplete","Complete")</f>
        <v>Complete</v>
      </c>
      <c r="I1091" s="48" t="s">
        <v>5456</v>
      </c>
    </row>
    <row r="1092" spans="2:9" ht="15" customHeight="1" x14ac:dyDescent="0.25">
      <c r="B1092" s="55" t="s">
        <v>279</v>
      </c>
      <c r="C1092" s="46">
        <v>1080</v>
      </c>
      <c r="D1092" s="69" t="s">
        <v>29416</v>
      </c>
      <c r="E1092" s="51"/>
      <c r="F1092" s="114" t="str">
        <f>IF(INDEX(I.Facility.P1IDNumber,1080)="","",INDEX(I.Facility.P1IDNumber,1080))</f>
        <v/>
      </c>
      <c r="G1092" s="51"/>
      <c r="H1092" s="46" t="str">
        <f>IF(AND(I.Developer.P1=TRUE,I.Facility.P1FacilityCount&gt;=1080,F1092=""),"Incomplete","Complete")</f>
        <v>Complete</v>
      </c>
      <c r="I1092" s="48" t="s">
        <v>5457</v>
      </c>
    </row>
    <row r="1093" spans="2:9" ht="15" customHeight="1" x14ac:dyDescent="0.25">
      <c r="B1093" s="55" t="s">
        <v>279</v>
      </c>
      <c r="C1093" s="46">
        <v>1081</v>
      </c>
      <c r="D1093" s="69" t="s">
        <v>29416</v>
      </c>
      <c r="E1093" s="51"/>
      <c r="F1093" s="114" t="str">
        <f>IF(INDEX(I.Facility.P1IDNumber,1081)="","",INDEX(I.Facility.P1IDNumber,1081))</f>
        <v/>
      </c>
      <c r="G1093" s="51"/>
      <c r="H1093" s="46" t="str">
        <f>IF(AND(I.Developer.P1=TRUE,I.Facility.P1FacilityCount&gt;=1081,F1093=""),"Incomplete","Complete")</f>
        <v>Complete</v>
      </c>
      <c r="I1093" s="48" t="s">
        <v>5458</v>
      </c>
    </row>
    <row r="1094" spans="2:9" ht="15" customHeight="1" x14ac:dyDescent="0.25">
      <c r="B1094" s="55" t="s">
        <v>279</v>
      </c>
      <c r="C1094" s="46">
        <v>1082</v>
      </c>
      <c r="D1094" s="69" t="s">
        <v>29416</v>
      </c>
      <c r="E1094" s="51"/>
      <c r="F1094" s="114" t="str">
        <f>IF(INDEX(I.Facility.P1IDNumber,1082)="","",INDEX(I.Facility.P1IDNumber,1082))</f>
        <v/>
      </c>
      <c r="G1094" s="51"/>
      <c r="H1094" s="46" t="str">
        <f>IF(AND(I.Developer.P1=TRUE,I.Facility.P1FacilityCount&gt;=1082,F1094=""),"Incomplete","Complete")</f>
        <v>Complete</v>
      </c>
      <c r="I1094" s="48" t="s">
        <v>5459</v>
      </c>
    </row>
    <row r="1095" spans="2:9" ht="15" customHeight="1" x14ac:dyDescent="0.25">
      <c r="B1095" s="55" t="s">
        <v>279</v>
      </c>
      <c r="C1095" s="46">
        <v>1083</v>
      </c>
      <c r="D1095" s="69" t="s">
        <v>29416</v>
      </c>
      <c r="E1095" s="51"/>
      <c r="F1095" s="114" t="str">
        <f>IF(INDEX(I.Facility.P1IDNumber,1083)="","",INDEX(I.Facility.P1IDNumber,1083))</f>
        <v/>
      </c>
      <c r="G1095" s="51"/>
      <c r="H1095" s="46" t="str">
        <f>IF(AND(I.Developer.P1=TRUE,I.Facility.P1FacilityCount&gt;=1083,F1095=""),"Incomplete","Complete")</f>
        <v>Complete</v>
      </c>
      <c r="I1095" s="48" t="s">
        <v>5460</v>
      </c>
    </row>
    <row r="1096" spans="2:9" ht="15" customHeight="1" x14ac:dyDescent="0.25">
      <c r="B1096" s="55" t="s">
        <v>279</v>
      </c>
      <c r="C1096" s="46">
        <v>1084</v>
      </c>
      <c r="D1096" s="69" t="s">
        <v>29416</v>
      </c>
      <c r="E1096" s="51"/>
      <c r="F1096" s="114" t="str">
        <f>IF(INDEX(I.Facility.P1IDNumber,1084)="","",INDEX(I.Facility.P1IDNumber,1084))</f>
        <v/>
      </c>
      <c r="G1096" s="51"/>
      <c r="H1096" s="46" t="str">
        <f>IF(AND(I.Developer.P1=TRUE,I.Facility.P1FacilityCount&gt;=1084,F1096=""),"Incomplete","Complete")</f>
        <v>Complete</v>
      </c>
      <c r="I1096" s="48" t="s">
        <v>5461</v>
      </c>
    </row>
    <row r="1097" spans="2:9" ht="15" customHeight="1" x14ac:dyDescent="0.25">
      <c r="B1097" s="55" t="s">
        <v>279</v>
      </c>
      <c r="C1097" s="46">
        <v>1085</v>
      </c>
      <c r="D1097" s="69" t="s">
        <v>29416</v>
      </c>
      <c r="E1097" s="51"/>
      <c r="F1097" s="114" t="str">
        <f>IF(INDEX(I.Facility.P1IDNumber,1085)="","",INDEX(I.Facility.P1IDNumber,1085))</f>
        <v/>
      </c>
      <c r="G1097" s="51"/>
      <c r="H1097" s="46" t="str">
        <f>IF(AND(I.Developer.P1=TRUE,I.Facility.P1FacilityCount&gt;=1085,F1097=""),"Incomplete","Complete")</f>
        <v>Complete</v>
      </c>
      <c r="I1097" s="48" t="s">
        <v>5462</v>
      </c>
    </row>
    <row r="1098" spans="2:9" ht="15" customHeight="1" x14ac:dyDescent="0.25">
      <c r="B1098" s="55" t="s">
        <v>279</v>
      </c>
      <c r="C1098" s="46">
        <v>1086</v>
      </c>
      <c r="D1098" s="69" t="s">
        <v>29416</v>
      </c>
      <c r="E1098" s="51"/>
      <c r="F1098" s="114" t="str">
        <f>IF(INDEX(I.Facility.P1IDNumber,1086)="","",INDEX(I.Facility.P1IDNumber,1086))</f>
        <v/>
      </c>
      <c r="G1098" s="51"/>
      <c r="H1098" s="46" t="str">
        <f>IF(AND(I.Developer.P1=TRUE,I.Facility.P1FacilityCount&gt;=1086,F1098=""),"Incomplete","Complete")</f>
        <v>Complete</v>
      </c>
      <c r="I1098" s="48" t="s">
        <v>5463</v>
      </c>
    </row>
    <row r="1099" spans="2:9" ht="15" customHeight="1" x14ac:dyDescent="0.25">
      <c r="B1099" s="55" t="s">
        <v>279</v>
      </c>
      <c r="C1099" s="46">
        <v>1087</v>
      </c>
      <c r="D1099" s="69" t="s">
        <v>29416</v>
      </c>
      <c r="E1099" s="51"/>
      <c r="F1099" s="114" t="str">
        <f>IF(INDEX(I.Facility.P1IDNumber,1087)="","",INDEX(I.Facility.P1IDNumber,1087))</f>
        <v/>
      </c>
      <c r="G1099" s="51"/>
      <c r="H1099" s="46" t="str">
        <f>IF(AND(I.Developer.P1=TRUE,I.Facility.P1FacilityCount&gt;=1087,F1099=""),"Incomplete","Complete")</f>
        <v>Complete</v>
      </c>
      <c r="I1099" s="48" t="s">
        <v>5464</v>
      </c>
    </row>
    <row r="1100" spans="2:9" ht="15" customHeight="1" x14ac:dyDescent="0.25">
      <c r="B1100" s="55" t="s">
        <v>279</v>
      </c>
      <c r="C1100" s="46">
        <v>1088</v>
      </c>
      <c r="D1100" s="69" t="s">
        <v>29416</v>
      </c>
      <c r="E1100" s="51"/>
      <c r="F1100" s="114" t="str">
        <f>IF(INDEX(I.Facility.P1IDNumber,1088)="","",INDEX(I.Facility.P1IDNumber,1088))</f>
        <v/>
      </c>
      <c r="G1100" s="51"/>
      <c r="H1100" s="46" t="str">
        <f>IF(AND(I.Developer.P1=TRUE,I.Facility.P1FacilityCount&gt;=1088,F1100=""),"Incomplete","Complete")</f>
        <v>Complete</v>
      </c>
      <c r="I1100" s="48" t="s">
        <v>5465</v>
      </c>
    </row>
    <row r="1101" spans="2:9" ht="15" customHeight="1" x14ac:dyDescent="0.25">
      <c r="B1101" s="55" t="s">
        <v>279</v>
      </c>
      <c r="C1101" s="46">
        <v>1089</v>
      </c>
      <c r="D1101" s="69" t="s">
        <v>29416</v>
      </c>
      <c r="E1101" s="51"/>
      <c r="F1101" s="114" t="str">
        <f>IF(INDEX(I.Facility.P1IDNumber,1089)="","",INDEX(I.Facility.P1IDNumber,1089))</f>
        <v/>
      </c>
      <c r="G1101" s="51"/>
      <c r="H1101" s="46" t="str">
        <f>IF(AND(I.Developer.P1=TRUE,I.Facility.P1FacilityCount&gt;=1089,F1101=""),"Incomplete","Complete")</f>
        <v>Complete</v>
      </c>
      <c r="I1101" s="48" t="s">
        <v>5466</v>
      </c>
    </row>
    <row r="1102" spans="2:9" ht="15" customHeight="1" x14ac:dyDescent="0.25">
      <c r="B1102" s="55" t="s">
        <v>279</v>
      </c>
      <c r="C1102" s="46">
        <v>1090</v>
      </c>
      <c r="D1102" s="69" t="s">
        <v>29416</v>
      </c>
      <c r="E1102" s="51"/>
      <c r="F1102" s="114" t="str">
        <f>IF(INDEX(I.Facility.P1IDNumber,1090)="","",INDEX(I.Facility.P1IDNumber,1090))</f>
        <v/>
      </c>
      <c r="G1102" s="51"/>
      <c r="H1102" s="46" t="str">
        <f>IF(AND(I.Developer.P1=TRUE,I.Facility.P1FacilityCount&gt;=1090,F1102=""),"Incomplete","Complete")</f>
        <v>Complete</v>
      </c>
      <c r="I1102" s="48" t="s">
        <v>5467</v>
      </c>
    </row>
    <row r="1103" spans="2:9" ht="15" customHeight="1" x14ac:dyDescent="0.25">
      <c r="B1103" s="55" t="s">
        <v>279</v>
      </c>
      <c r="C1103" s="46">
        <v>1091</v>
      </c>
      <c r="D1103" s="69" t="s">
        <v>29416</v>
      </c>
      <c r="E1103" s="51"/>
      <c r="F1103" s="114" t="str">
        <f>IF(INDEX(I.Facility.P1IDNumber,1091)="","",INDEX(I.Facility.P1IDNumber,1091))</f>
        <v/>
      </c>
      <c r="G1103" s="51"/>
      <c r="H1103" s="46" t="str">
        <f>IF(AND(I.Developer.P1=TRUE,I.Facility.P1FacilityCount&gt;=1091,F1103=""),"Incomplete","Complete")</f>
        <v>Complete</v>
      </c>
      <c r="I1103" s="48" t="s">
        <v>5468</v>
      </c>
    </row>
    <row r="1104" spans="2:9" ht="15" customHeight="1" x14ac:dyDescent="0.25">
      <c r="B1104" s="55" t="s">
        <v>279</v>
      </c>
      <c r="C1104" s="46">
        <v>1092</v>
      </c>
      <c r="D1104" s="69" t="s">
        <v>29416</v>
      </c>
      <c r="E1104" s="51"/>
      <c r="F1104" s="114" t="str">
        <f>IF(INDEX(I.Facility.P1IDNumber,1092)="","",INDEX(I.Facility.P1IDNumber,1092))</f>
        <v/>
      </c>
      <c r="G1104" s="51"/>
      <c r="H1104" s="46" t="str">
        <f>IF(AND(I.Developer.P1=TRUE,I.Facility.P1FacilityCount&gt;=1092,F1104=""),"Incomplete","Complete")</f>
        <v>Complete</v>
      </c>
      <c r="I1104" s="48" t="s">
        <v>5469</v>
      </c>
    </row>
    <row r="1105" spans="2:9" ht="15" customHeight="1" x14ac:dyDescent="0.25">
      <c r="B1105" s="55" t="s">
        <v>279</v>
      </c>
      <c r="C1105" s="46">
        <v>1093</v>
      </c>
      <c r="D1105" s="69" t="s">
        <v>29416</v>
      </c>
      <c r="E1105" s="51"/>
      <c r="F1105" s="114" t="str">
        <f>IF(INDEX(I.Facility.P1IDNumber,1093)="","",INDEX(I.Facility.P1IDNumber,1093))</f>
        <v/>
      </c>
      <c r="G1105" s="51"/>
      <c r="H1105" s="46" t="str">
        <f>IF(AND(I.Developer.P1=TRUE,I.Facility.P1FacilityCount&gt;=1093,F1105=""),"Incomplete","Complete")</f>
        <v>Complete</v>
      </c>
      <c r="I1105" s="48" t="s">
        <v>5470</v>
      </c>
    </row>
    <row r="1106" spans="2:9" ht="15" customHeight="1" x14ac:dyDescent="0.25">
      <c r="B1106" s="55" t="s">
        <v>279</v>
      </c>
      <c r="C1106" s="46">
        <v>1094</v>
      </c>
      <c r="D1106" s="69" t="s">
        <v>29416</v>
      </c>
      <c r="E1106" s="51"/>
      <c r="F1106" s="114" t="str">
        <f>IF(INDEX(I.Facility.P1IDNumber,1094)="","",INDEX(I.Facility.P1IDNumber,1094))</f>
        <v/>
      </c>
      <c r="G1106" s="51"/>
      <c r="H1106" s="46" t="str">
        <f>IF(AND(I.Developer.P1=TRUE,I.Facility.P1FacilityCount&gt;=1094,F1106=""),"Incomplete","Complete")</f>
        <v>Complete</v>
      </c>
      <c r="I1106" s="48" t="s">
        <v>5471</v>
      </c>
    </row>
    <row r="1107" spans="2:9" ht="15" customHeight="1" x14ac:dyDescent="0.25">
      <c r="B1107" s="55" t="s">
        <v>279</v>
      </c>
      <c r="C1107" s="46">
        <v>1095</v>
      </c>
      <c r="D1107" s="69" t="s">
        <v>29416</v>
      </c>
      <c r="E1107" s="51"/>
      <c r="F1107" s="114" t="str">
        <f>IF(INDEX(I.Facility.P1IDNumber,1095)="","",INDEX(I.Facility.P1IDNumber,1095))</f>
        <v/>
      </c>
      <c r="G1107" s="51"/>
      <c r="H1107" s="46" t="str">
        <f>IF(AND(I.Developer.P1=TRUE,I.Facility.P1FacilityCount&gt;=1095,F1107=""),"Incomplete","Complete")</f>
        <v>Complete</v>
      </c>
      <c r="I1107" s="48" t="s">
        <v>5472</v>
      </c>
    </row>
    <row r="1108" spans="2:9" ht="15" customHeight="1" x14ac:dyDescent="0.25">
      <c r="B1108" s="55" t="s">
        <v>279</v>
      </c>
      <c r="C1108" s="46">
        <v>1096</v>
      </c>
      <c r="D1108" s="69" t="s">
        <v>29416</v>
      </c>
      <c r="E1108" s="51"/>
      <c r="F1108" s="114" t="str">
        <f>IF(INDEX(I.Facility.P1IDNumber,1096)="","",INDEX(I.Facility.P1IDNumber,1096))</f>
        <v/>
      </c>
      <c r="G1108" s="51"/>
      <c r="H1108" s="46" t="str">
        <f>IF(AND(I.Developer.P1=TRUE,I.Facility.P1FacilityCount&gt;=1096,F1108=""),"Incomplete","Complete")</f>
        <v>Complete</v>
      </c>
      <c r="I1108" s="48" t="s">
        <v>5473</v>
      </c>
    </row>
    <row r="1109" spans="2:9" ht="15" customHeight="1" x14ac:dyDescent="0.25">
      <c r="B1109" s="55" t="s">
        <v>279</v>
      </c>
      <c r="C1109" s="46">
        <v>1097</v>
      </c>
      <c r="D1109" s="69" t="s">
        <v>29416</v>
      </c>
      <c r="E1109" s="51"/>
      <c r="F1109" s="114" t="str">
        <f>IF(INDEX(I.Facility.P1IDNumber,1097)="","",INDEX(I.Facility.P1IDNumber,1097))</f>
        <v/>
      </c>
      <c r="G1109" s="51"/>
      <c r="H1109" s="46" t="str">
        <f>IF(AND(I.Developer.P1=TRUE,I.Facility.P1FacilityCount&gt;=1097,F1109=""),"Incomplete","Complete")</f>
        <v>Complete</v>
      </c>
      <c r="I1109" s="48" t="s">
        <v>5474</v>
      </c>
    </row>
    <row r="1110" spans="2:9" ht="15" customHeight="1" x14ac:dyDescent="0.25">
      <c r="B1110" s="55" t="s">
        <v>279</v>
      </c>
      <c r="C1110" s="46">
        <v>1098</v>
      </c>
      <c r="D1110" s="69" t="s">
        <v>29416</v>
      </c>
      <c r="E1110" s="51"/>
      <c r="F1110" s="114" t="str">
        <f>IF(INDEX(I.Facility.P1IDNumber,1098)="","",INDEX(I.Facility.P1IDNumber,1098))</f>
        <v/>
      </c>
      <c r="G1110" s="51"/>
      <c r="H1110" s="46" t="str">
        <f>IF(AND(I.Developer.P1=TRUE,I.Facility.P1FacilityCount&gt;=1098,F1110=""),"Incomplete","Complete")</f>
        <v>Complete</v>
      </c>
      <c r="I1110" s="48" t="s">
        <v>5475</v>
      </c>
    </row>
    <row r="1111" spans="2:9" ht="15" customHeight="1" x14ac:dyDescent="0.25">
      <c r="B1111" s="55" t="s">
        <v>279</v>
      </c>
      <c r="C1111" s="46">
        <v>1099</v>
      </c>
      <c r="D1111" s="69" t="s">
        <v>29416</v>
      </c>
      <c r="E1111" s="51"/>
      <c r="F1111" s="114" t="str">
        <f>IF(INDEX(I.Facility.P1IDNumber,1099)="","",INDEX(I.Facility.P1IDNumber,1099))</f>
        <v/>
      </c>
      <c r="G1111" s="51"/>
      <c r="H1111" s="46" t="str">
        <f>IF(AND(I.Developer.P1=TRUE,I.Facility.P1FacilityCount&gt;=1099,F1111=""),"Incomplete","Complete")</f>
        <v>Complete</v>
      </c>
      <c r="I1111" s="48" t="s">
        <v>5476</v>
      </c>
    </row>
    <row r="1112" spans="2:9" ht="15" customHeight="1" x14ac:dyDescent="0.25">
      <c r="B1112" s="55" t="s">
        <v>279</v>
      </c>
      <c r="C1112" s="46">
        <v>1100</v>
      </c>
      <c r="D1112" s="69" t="s">
        <v>29416</v>
      </c>
      <c r="E1112" s="51"/>
      <c r="F1112" s="114" t="str">
        <f>IF(INDEX(I.Facility.P1IDNumber,1100)="","",INDEX(I.Facility.P1IDNumber,1100))</f>
        <v/>
      </c>
      <c r="G1112" s="51"/>
      <c r="H1112" s="46" t="str">
        <f>IF(AND(I.Developer.P1=TRUE,I.Facility.P1FacilityCount&gt;=1100,F1112=""),"Incomplete","Complete")</f>
        <v>Complete</v>
      </c>
      <c r="I1112" s="48" t="s">
        <v>5477</v>
      </c>
    </row>
    <row r="1113" spans="2:9" ht="15" customHeight="1" x14ac:dyDescent="0.25">
      <c r="B1113" s="55" t="s">
        <v>279</v>
      </c>
      <c r="C1113" s="46">
        <v>1101</v>
      </c>
      <c r="D1113" s="69" t="s">
        <v>29416</v>
      </c>
      <c r="E1113" s="51"/>
      <c r="F1113" s="114" t="str">
        <f>IF(INDEX(I.Facility.P1IDNumber,1101)="","",INDEX(I.Facility.P1IDNumber,1101))</f>
        <v/>
      </c>
      <c r="G1113" s="51"/>
      <c r="H1113" s="46" t="str">
        <f>IF(AND(I.Developer.P1=TRUE,I.Facility.P1FacilityCount&gt;=1101,F1113=""),"Incomplete","Complete")</f>
        <v>Complete</v>
      </c>
      <c r="I1113" s="48" t="s">
        <v>5478</v>
      </c>
    </row>
    <row r="1114" spans="2:9" ht="15" customHeight="1" x14ac:dyDescent="0.25">
      <c r="B1114" s="55" t="s">
        <v>279</v>
      </c>
      <c r="C1114" s="46">
        <v>1102</v>
      </c>
      <c r="D1114" s="69" t="s">
        <v>29416</v>
      </c>
      <c r="E1114" s="51"/>
      <c r="F1114" s="114" t="str">
        <f>IF(INDEX(I.Facility.P1IDNumber,1102)="","",INDEX(I.Facility.P1IDNumber,1102))</f>
        <v/>
      </c>
      <c r="G1114" s="51"/>
      <c r="H1114" s="46" t="str">
        <f>IF(AND(I.Developer.P1=TRUE,I.Facility.P1FacilityCount&gt;=1102,F1114=""),"Incomplete","Complete")</f>
        <v>Complete</v>
      </c>
      <c r="I1114" s="48" t="s">
        <v>5479</v>
      </c>
    </row>
    <row r="1115" spans="2:9" ht="15" customHeight="1" x14ac:dyDescent="0.25">
      <c r="B1115" s="55" t="s">
        <v>279</v>
      </c>
      <c r="C1115" s="46">
        <v>1103</v>
      </c>
      <c r="D1115" s="69" t="s">
        <v>29416</v>
      </c>
      <c r="E1115" s="51"/>
      <c r="F1115" s="114" t="str">
        <f>IF(INDEX(I.Facility.P1IDNumber,1103)="","",INDEX(I.Facility.P1IDNumber,1103))</f>
        <v/>
      </c>
      <c r="G1115" s="51"/>
      <c r="H1115" s="46" t="str">
        <f>IF(AND(I.Developer.P1=TRUE,I.Facility.P1FacilityCount&gt;=1103,F1115=""),"Incomplete","Complete")</f>
        <v>Complete</v>
      </c>
      <c r="I1115" s="48" t="s">
        <v>5480</v>
      </c>
    </row>
    <row r="1116" spans="2:9" ht="15" customHeight="1" x14ac:dyDescent="0.25">
      <c r="B1116" s="55" t="s">
        <v>279</v>
      </c>
      <c r="C1116" s="46">
        <v>1104</v>
      </c>
      <c r="D1116" s="69" t="s">
        <v>29416</v>
      </c>
      <c r="E1116" s="51"/>
      <c r="F1116" s="114" t="str">
        <f>IF(INDEX(I.Facility.P1IDNumber,1104)="","",INDEX(I.Facility.P1IDNumber,1104))</f>
        <v/>
      </c>
      <c r="G1116" s="51"/>
      <c r="H1116" s="46" t="str">
        <f>IF(AND(I.Developer.P1=TRUE,I.Facility.P1FacilityCount&gt;=1104,F1116=""),"Incomplete","Complete")</f>
        <v>Complete</v>
      </c>
      <c r="I1116" s="48" t="s">
        <v>5481</v>
      </c>
    </row>
    <row r="1117" spans="2:9" ht="15" customHeight="1" x14ac:dyDescent="0.25">
      <c r="B1117" s="55" t="s">
        <v>279</v>
      </c>
      <c r="C1117" s="46">
        <v>1105</v>
      </c>
      <c r="D1117" s="69" t="s">
        <v>29416</v>
      </c>
      <c r="E1117" s="51"/>
      <c r="F1117" s="114" t="str">
        <f>IF(INDEX(I.Facility.P1IDNumber,1105)="","",INDEX(I.Facility.P1IDNumber,1105))</f>
        <v/>
      </c>
      <c r="G1117" s="51"/>
      <c r="H1117" s="46" t="str">
        <f>IF(AND(I.Developer.P1=TRUE,I.Facility.P1FacilityCount&gt;=1105,F1117=""),"Incomplete","Complete")</f>
        <v>Complete</v>
      </c>
      <c r="I1117" s="48" t="s">
        <v>5482</v>
      </c>
    </row>
    <row r="1118" spans="2:9" ht="15" customHeight="1" x14ac:dyDescent="0.25">
      <c r="B1118" s="55" t="s">
        <v>279</v>
      </c>
      <c r="C1118" s="46">
        <v>1106</v>
      </c>
      <c r="D1118" s="69" t="s">
        <v>29416</v>
      </c>
      <c r="E1118" s="51"/>
      <c r="F1118" s="114" t="str">
        <f>IF(INDEX(I.Facility.P1IDNumber,1106)="","",INDEX(I.Facility.P1IDNumber,1106))</f>
        <v/>
      </c>
      <c r="G1118" s="51"/>
      <c r="H1118" s="46" t="str">
        <f>IF(AND(I.Developer.P1=TRUE,I.Facility.P1FacilityCount&gt;=1106,F1118=""),"Incomplete","Complete")</f>
        <v>Complete</v>
      </c>
      <c r="I1118" s="48" t="s">
        <v>5483</v>
      </c>
    </row>
    <row r="1119" spans="2:9" ht="15" customHeight="1" x14ac:dyDescent="0.25">
      <c r="B1119" s="55" t="s">
        <v>279</v>
      </c>
      <c r="C1119" s="46">
        <v>1107</v>
      </c>
      <c r="D1119" s="69" t="s">
        <v>29416</v>
      </c>
      <c r="E1119" s="51"/>
      <c r="F1119" s="114" t="str">
        <f>IF(INDEX(I.Facility.P1IDNumber,1107)="","",INDEX(I.Facility.P1IDNumber,1107))</f>
        <v/>
      </c>
      <c r="G1119" s="51"/>
      <c r="H1119" s="46" t="str">
        <f>IF(AND(I.Developer.P1=TRUE,I.Facility.P1FacilityCount&gt;=1107,F1119=""),"Incomplete","Complete")</f>
        <v>Complete</v>
      </c>
      <c r="I1119" s="48" t="s">
        <v>5484</v>
      </c>
    </row>
    <row r="1120" spans="2:9" ht="15" customHeight="1" x14ac:dyDescent="0.25">
      <c r="B1120" s="55" t="s">
        <v>279</v>
      </c>
      <c r="C1120" s="46">
        <v>1108</v>
      </c>
      <c r="D1120" s="69" t="s">
        <v>29416</v>
      </c>
      <c r="E1120" s="51"/>
      <c r="F1120" s="114" t="str">
        <f>IF(INDEX(I.Facility.P1IDNumber,1108)="","",INDEX(I.Facility.P1IDNumber,1108))</f>
        <v/>
      </c>
      <c r="G1120" s="51"/>
      <c r="H1120" s="46" t="str">
        <f>IF(AND(I.Developer.P1=TRUE,I.Facility.P1FacilityCount&gt;=1108,F1120=""),"Incomplete","Complete")</f>
        <v>Complete</v>
      </c>
      <c r="I1120" s="48" t="s">
        <v>5485</v>
      </c>
    </row>
    <row r="1121" spans="2:9" ht="15" customHeight="1" x14ac:dyDescent="0.25">
      <c r="B1121" s="55" t="s">
        <v>279</v>
      </c>
      <c r="C1121" s="46">
        <v>1109</v>
      </c>
      <c r="D1121" s="69" t="s">
        <v>29416</v>
      </c>
      <c r="E1121" s="51"/>
      <c r="F1121" s="114" t="str">
        <f>IF(INDEX(I.Facility.P1IDNumber,1109)="","",INDEX(I.Facility.P1IDNumber,1109))</f>
        <v/>
      </c>
      <c r="G1121" s="51"/>
      <c r="H1121" s="46" t="str">
        <f>IF(AND(I.Developer.P1=TRUE,I.Facility.P1FacilityCount&gt;=1109,F1121=""),"Incomplete","Complete")</f>
        <v>Complete</v>
      </c>
      <c r="I1121" s="48" t="s">
        <v>5486</v>
      </c>
    </row>
    <row r="1122" spans="2:9" ht="15" customHeight="1" x14ac:dyDescent="0.25">
      <c r="B1122" s="55" t="s">
        <v>279</v>
      </c>
      <c r="C1122" s="46">
        <v>1110</v>
      </c>
      <c r="D1122" s="69" t="s">
        <v>29416</v>
      </c>
      <c r="E1122" s="51"/>
      <c r="F1122" s="114" t="str">
        <f>IF(INDEX(I.Facility.P1IDNumber,1110)="","",INDEX(I.Facility.P1IDNumber,1110))</f>
        <v/>
      </c>
      <c r="G1122" s="51"/>
      <c r="H1122" s="46" t="str">
        <f>IF(AND(I.Developer.P1=TRUE,I.Facility.P1FacilityCount&gt;=1110,F1122=""),"Incomplete","Complete")</f>
        <v>Complete</v>
      </c>
      <c r="I1122" s="48" t="s">
        <v>5487</v>
      </c>
    </row>
    <row r="1123" spans="2:9" ht="15" customHeight="1" x14ac:dyDescent="0.25">
      <c r="B1123" s="55" t="s">
        <v>279</v>
      </c>
      <c r="C1123" s="46">
        <v>1111</v>
      </c>
      <c r="D1123" s="69" t="s">
        <v>29416</v>
      </c>
      <c r="E1123" s="51"/>
      <c r="F1123" s="114" t="str">
        <f>IF(INDEX(I.Facility.P1IDNumber,1111)="","",INDEX(I.Facility.P1IDNumber,1111))</f>
        <v/>
      </c>
      <c r="G1123" s="51"/>
      <c r="H1123" s="46" t="str">
        <f>IF(AND(I.Developer.P1=TRUE,I.Facility.P1FacilityCount&gt;=1111,F1123=""),"Incomplete","Complete")</f>
        <v>Complete</v>
      </c>
      <c r="I1123" s="48" t="s">
        <v>5488</v>
      </c>
    </row>
    <row r="1124" spans="2:9" ht="15" customHeight="1" x14ac:dyDescent="0.25">
      <c r="B1124" s="55" t="s">
        <v>279</v>
      </c>
      <c r="C1124" s="46">
        <v>1112</v>
      </c>
      <c r="D1124" s="69" t="s">
        <v>29416</v>
      </c>
      <c r="E1124" s="51"/>
      <c r="F1124" s="114" t="str">
        <f>IF(INDEX(I.Facility.P1IDNumber,1112)="","",INDEX(I.Facility.P1IDNumber,1112))</f>
        <v/>
      </c>
      <c r="G1124" s="51"/>
      <c r="H1124" s="46" t="str">
        <f>IF(AND(I.Developer.P1=TRUE,I.Facility.P1FacilityCount&gt;=1112,F1124=""),"Incomplete","Complete")</f>
        <v>Complete</v>
      </c>
      <c r="I1124" s="48" t="s">
        <v>5489</v>
      </c>
    </row>
    <row r="1125" spans="2:9" ht="15" customHeight="1" x14ac:dyDescent="0.25">
      <c r="B1125" s="55" t="s">
        <v>279</v>
      </c>
      <c r="C1125" s="46">
        <v>1113</v>
      </c>
      <c r="D1125" s="69" t="s">
        <v>29416</v>
      </c>
      <c r="E1125" s="51"/>
      <c r="F1125" s="114" t="str">
        <f>IF(INDEX(I.Facility.P1IDNumber,1113)="","",INDEX(I.Facility.P1IDNumber,1113))</f>
        <v/>
      </c>
      <c r="G1125" s="51"/>
      <c r="H1125" s="46" t="str">
        <f>IF(AND(I.Developer.P1=TRUE,I.Facility.P1FacilityCount&gt;=1113,F1125=""),"Incomplete","Complete")</f>
        <v>Complete</v>
      </c>
      <c r="I1125" s="48" t="s">
        <v>5490</v>
      </c>
    </row>
    <row r="1126" spans="2:9" ht="15" customHeight="1" x14ac:dyDescent="0.25">
      <c r="B1126" s="55" t="s">
        <v>279</v>
      </c>
      <c r="C1126" s="46">
        <v>1114</v>
      </c>
      <c r="D1126" s="69" t="s">
        <v>29416</v>
      </c>
      <c r="E1126" s="51"/>
      <c r="F1126" s="114" t="str">
        <f>IF(INDEX(I.Facility.P1IDNumber,1114)="","",INDEX(I.Facility.P1IDNumber,1114))</f>
        <v/>
      </c>
      <c r="G1126" s="51"/>
      <c r="H1126" s="46" t="str">
        <f>IF(AND(I.Developer.P1=TRUE,I.Facility.P1FacilityCount&gt;=1114,F1126=""),"Incomplete","Complete")</f>
        <v>Complete</v>
      </c>
      <c r="I1126" s="48" t="s">
        <v>5491</v>
      </c>
    </row>
    <row r="1127" spans="2:9" ht="15" customHeight="1" x14ac:dyDescent="0.25">
      <c r="B1127" s="55" t="s">
        <v>279</v>
      </c>
      <c r="C1127" s="46">
        <v>1115</v>
      </c>
      <c r="D1127" s="69" t="s">
        <v>29416</v>
      </c>
      <c r="E1127" s="51"/>
      <c r="F1127" s="114" t="str">
        <f>IF(INDEX(I.Facility.P1IDNumber,1115)="","",INDEX(I.Facility.P1IDNumber,1115))</f>
        <v/>
      </c>
      <c r="G1127" s="51"/>
      <c r="H1127" s="46" t="str">
        <f>IF(AND(I.Developer.P1=TRUE,I.Facility.P1FacilityCount&gt;=1115,F1127=""),"Incomplete","Complete")</f>
        <v>Complete</v>
      </c>
      <c r="I1127" s="48" t="s">
        <v>5492</v>
      </c>
    </row>
    <row r="1128" spans="2:9" ht="15" customHeight="1" x14ac:dyDescent="0.25">
      <c r="B1128" s="55" t="s">
        <v>279</v>
      </c>
      <c r="C1128" s="46">
        <v>1116</v>
      </c>
      <c r="D1128" s="69" t="s">
        <v>29416</v>
      </c>
      <c r="E1128" s="51"/>
      <c r="F1128" s="114" t="str">
        <f>IF(INDEX(I.Facility.P1IDNumber,1116)="","",INDEX(I.Facility.P1IDNumber,1116))</f>
        <v/>
      </c>
      <c r="G1128" s="51"/>
      <c r="H1128" s="46" t="str">
        <f>IF(AND(I.Developer.P1=TRUE,I.Facility.P1FacilityCount&gt;=1116,F1128=""),"Incomplete","Complete")</f>
        <v>Complete</v>
      </c>
      <c r="I1128" s="48" t="s">
        <v>5493</v>
      </c>
    </row>
    <row r="1129" spans="2:9" ht="15" customHeight="1" x14ac:dyDescent="0.25">
      <c r="B1129" s="55" t="s">
        <v>279</v>
      </c>
      <c r="C1129" s="46">
        <v>1117</v>
      </c>
      <c r="D1129" s="69" t="s">
        <v>29416</v>
      </c>
      <c r="E1129" s="51"/>
      <c r="F1129" s="114" t="str">
        <f>IF(INDEX(I.Facility.P1IDNumber,1117)="","",INDEX(I.Facility.P1IDNumber,1117))</f>
        <v/>
      </c>
      <c r="G1129" s="51"/>
      <c r="H1129" s="46" t="str">
        <f>IF(AND(I.Developer.P1=TRUE,I.Facility.P1FacilityCount&gt;=1117,F1129=""),"Incomplete","Complete")</f>
        <v>Complete</v>
      </c>
      <c r="I1129" s="48" t="s">
        <v>5494</v>
      </c>
    </row>
    <row r="1130" spans="2:9" ht="15" customHeight="1" x14ac:dyDescent="0.25">
      <c r="B1130" s="55" t="s">
        <v>279</v>
      </c>
      <c r="C1130" s="46">
        <v>1118</v>
      </c>
      <c r="D1130" s="69" t="s">
        <v>29416</v>
      </c>
      <c r="E1130" s="51"/>
      <c r="F1130" s="114" t="str">
        <f>IF(INDEX(I.Facility.P1IDNumber,1118)="","",INDEX(I.Facility.P1IDNumber,1118))</f>
        <v/>
      </c>
      <c r="G1130" s="51"/>
      <c r="H1130" s="46" t="str">
        <f>IF(AND(I.Developer.P1=TRUE,I.Facility.P1FacilityCount&gt;=1118,F1130=""),"Incomplete","Complete")</f>
        <v>Complete</v>
      </c>
      <c r="I1130" s="48" t="s">
        <v>5495</v>
      </c>
    </row>
    <row r="1131" spans="2:9" ht="15" customHeight="1" x14ac:dyDescent="0.25">
      <c r="B1131" s="55" t="s">
        <v>279</v>
      </c>
      <c r="C1131" s="46">
        <v>1119</v>
      </c>
      <c r="D1131" s="69" t="s">
        <v>29416</v>
      </c>
      <c r="E1131" s="51"/>
      <c r="F1131" s="114" t="str">
        <f>IF(INDEX(I.Facility.P1IDNumber,1119)="","",INDEX(I.Facility.P1IDNumber,1119))</f>
        <v/>
      </c>
      <c r="G1131" s="51"/>
      <c r="H1131" s="46" t="str">
        <f>IF(AND(I.Developer.P1=TRUE,I.Facility.P1FacilityCount&gt;=1119,F1131=""),"Incomplete","Complete")</f>
        <v>Complete</v>
      </c>
      <c r="I1131" s="48" t="s">
        <v>5496</v>
      </c>
    </row>
    <row r="1132" spans="2:9" ht="15" customHeight="1" x14ac:dyDescent="0.25">
      <c r="B1132" s="55" t="s">
        <v>279</v>
      </c>
      <c r="C1132" s="46">
        <v>1120</v>
      </c>
      <c r="D1132" s="69" t="s">
        <v>29416</v>
      </c>
      <c r="E1132" s="51"/>
      <c r="F1132" s="114" t="str">
        <f>IF(INDEX(I.Facility.P1IDNumber,1120)="","",INDEX(I.Facility.P1IDNumber,1120))</f>
        <v/>
      </c>
      <c r="G1132" s="51"/>
      <c r="H1132" s="46" t="str">
        <f>IF(AND(I.Developer.P1=TRUE,I.Facility.P1FacilityCount&gt;=1120,F1132=""),"Incomplete","Complete")</f>
        <v>Complete</v>
      </c>
      <c r="I1132" s="48" t="s">
        <v>5497</v>
      </c>
    </row>
    <row r="1133" spans="2:9" ht="15" customHeight="1" x14ac:dyDescent="0.25">
      <c r="B1133" s="55" t="s">
        <v>279</v>
      </c>
      <c r="C1133" s="46">
        <v>1121</v>
      </c>
      <c r="D1133" s="69" t="s">
        <v>29416</v>
      </c>
      <c r="E1133" s="51"/>
      <c r="F1133" s="114" t="str">
        <f>IF(INDEX(I.Facility.P1IDNumber,1121)="","",INDEX(I.Facility.P1IDNumber,1121))</f>
        <v/>
      </c>
      <c r="G1133" s="51"/>
      <c r="H1133" s="46" t="str">
        <f>IF(AND(I.Developer.P1=TRUE,I.Facility.P1FacilityCount&gt;=1121,F1133=""),"Incomplete","Complete")</f>
        <v>Complete</v>
      </c>
      <c r="I1133" s="48" t="s">
        <v>5498</v>
      </c>
    </row>
    <row r="1134" spans="2:9" ht="15" customHeight="1" x14ac:dyDescent="0.25">
      <c r="B1134" s="55" t="s">
        <v>279</v>
      </c>
      <c r="C1134" s="46">
        <v>1122</v>
      </c>
      <c r="D1134" s="69" t="s">
        <v>29416</v>
      </c>
      <c r="E1134" s="51"/>
      <c r="F1134" s="114" t="str">
        <f>IF(INDEX(I.Facility.P1IDNumber,1122)="","",INDEX(I.Facility.P1IDNumber,1122))</f>
        <v/>
      </c>
      <c r="G1134" s="51"/>
      <c r="H1134" s="46" t="str">
        <f>IF(AND(I.Developer.P1=TRUE,I.Facility.P1FacilityCount&gt;=1122,F1134=""),"Incomplete","Complete")</f>
        <v>Complete</v>
      </c>
      <c r="I1134" s="48" t="s">
        <v>5499</v>
      </c>
    </row>
    <row r="1135" spans="2:9" ht="15" customHeight="1" x14ac:dyDescent="0.25">
      <c r="B1135" s="55" t="s">
        <v>279</v>
      </c>
      <c r="C1135" s="46">
        <v>1123</v>
      </c>
      <c r="D1135" s="69" t="s">
        <v>29416</v>
      </c>
      <c r="E1135" s="51"/>
      <c r="F1135" s="114" t="str">
        <f>IF(INDEX(I.Facility.P1IDNumber,1123)="","",INDEX(I.Facility.P1IDNumber,1123))</f>
        <v/>
      </c>
      <c r="G1135" s="51"/>
      <c r="H1135" s="46" t="str">
        <f>IF(AND(I.Developer.P1=TRUE,I.Facility.P1FacilityCount&gt;=1123,F1135=""),"Incomplete","Complete")</f>
        <v>Complete</v>
      </c>
      <c r="I1135" s="48" t="s">
        <v>5500</v>
      </c>
    </row>
    <row r="1136" spans="2:9" ht="15" customHeight="1" x14ac:dyDescent="0.25">
      <c r="B1136" s="55" t="s">
        <v>279</v>
      </c>
      <c r="C1136" s="46">
        <v>1124</v>
      </c>
      <c r="D1136" s="69" t="s">
        <v>29416</v>
      </c>
      <c r="E1136" s="51"/>
      <c r="F1136" s="114" t="str">
        <f>IF(INDEX(I.Facility.P1IDNumber,1124)="","",INDEX(I.Facility.P1IDNumber,1124))</f>
        <v/>
      </c>
      <c r="G1136" s="51"/>
      <c r="H1136" s="46" t="str">
        <f>IF(AND(I.Developer.P1=TRUE,I.Facility.P1FacilityCount&gt;=1124,F1136=""),"Incomplete","Complete")</f>
        <v>Complete</v>
      </c>
      <c r="I1136" s="48" t="s">
        <v>5501</v>
      </c>
    </row>
    <row r="1137" spans="2:9" ht="15" customHeight="1" x14ac:dyDescent="0.25">
      <c r="B1137" s="55" t="s">
        <v>279</v>
      </c>
      <c r="C1137" s="46">
        <v>1125</v>
      </c>
      <c r="D1137" s="69" t="s">
        <v>29416</v>
      </c>
      <c r="E1137" s="51"/>
      <c r="F1137" s="114" t="str">
        <f>IF(INDEX(I.Facility.P1IDNumber,1125)="","",INDEX(I.Facility.P1IDNumber,1125))</f>
        <v/>
      </c>
      <c r="G1137" s="51"/>
      <c r="H1137" s="46" t="str">
        <f>IF(AND(I.Developer.P1=TRUE,I.Facility.P1FacilityCount&gt;=1125,F1137=""),"Incomplete","Complete")</f>
        <v>Complete</v>
      </c>
      <c r="I1137" s="48" t="s">
        <v>5502</v>
      </c>
    </row>
    <row r="1138" spans="2:9" ht="15" customHeight="1" x14ac:dyDescent="0.25">
      <c r="B1138" s="55" t="s">
        <v>279</v>
      </c>
      <c r="C1138" s="46">
        <v>1126</v>
      </c>
      <c r="D1138" s="69" t="s">
        <v>29416</v>
      </c>
      <c r="E1138" s="51"/>
      <c r="F1138" s="114" t="str">
        <f>IF(INDEX(I.Facility.P1IDNumber,1126)="","",INDEX(I.Facility.P1IDNumber,1126))</f>
        <v/>
      </c>
      <c r="G1138" s="51"/>
      <c r="H1138" s="46" t="str">
        <f>IF(AND(I.Developer.P1=TRUE,I.Facility.P1FacilityCount&gt;=1126,F1138=""),"Incomplete","Complete")</f>
        <v>Complete</v>
      </c>
      <c r="I1138" s="48" t="s">
        <v>5503</v>
      </c>
    </row>
    <row r="1139" spans="2:9" ht="15" customHeight="1" x14ac:dyDescent="0.25">
      <c r="B1139" s="55" t="s">
        <v>279</v>
      </c>
      <c r="C1139" s="46">
        <v>1127</v>
      </c>
      <c r="D1139" s="69" t="s">
        <v>29416</v>
      </c>
      <c r="E1139" s="51"/>
      <c r="F1139" s="114" t="str">
        <f>IF(INDEX(I.Facility.P1IDNumber,1127)="","",INDEX(I.Facility.P1IDNumber,1127))</f>
        <v/>
      </c>
      <c r="G1139" s="51"/>
      <c r="H1139" s="46" t="str">
        <f>IF(AND(I.Developer.P1=TRUE,I.Facility.P1FacilityCount&gt;=1127,F1139=""),"Incomplete","Complete")</f>
        <v>Complete</v>
      </c>
      <c r="I1139" s="48" t="s">
        <v>5504</v>
      </c>
    </row>
    <row r="1140" spans="2:9" ht="15" customHeight="1" x14ac:dyDescent="0.25">
      <c r="B1140" s="55" t="s">
        <v>279</v>
      </c>
      <c r="C1140" s="46">
        <v>1128</v>
      </c>
      <c r="D1140" s="69" t="s">
        <v>29416</v>
      </c>
      <c r="E1140" s="51"/>
      <c r="F1140" s="114" t="str">
        <f>IF(INDEX(I.Facility.P1IDNumber,1128)="","",INDEX(I.Facility.P1IDNumber,1128))</f>
        <v/>
      </c>
      <c r="G1140" s="51"/>
      <c r="H1140" s="46" t="str">
        <f>IF(AND(I.Developer.P1=TRUE,I.Facility.P1FacilityCount&gt;=1128,F1140=""),"Incomplete","Complete")</f>
        <v>Complete</v>
      </c>
      <c r="I1140" s="48" t="s">
        <v>5505</v>
      </c>
    </row>
    <row r="1141" spans="2:9" ht="15" customHeight="1" x14ac:dyDescent="0.25">
      <c r="B1141" s="55" t="s">
        <v>279</v>
      </c>
      <c r="C1141" s="46">
        <v>1129</v>
      </c>
      <c r="D1141" s="69" t="s">
        <v>29416</v>
      </c>
      <c r="E1141" s="51"/>
      <c r="F1141" s="114" t="str">
        <f>IF(INDEX(I.Facility.P1IDNumber,1129)="","",INDEX(I.Facility.P1IDNumber,1129))</f>
        <v/>
      </c>
      <c r="G1141" s="51"/>
      <c r="H1141" s="46" t="str">
        <f>IF(AND(I.Developer.P1=TRUE,I.Facility.P1FacilityCount&gt;=1129,F1141=""),"Incomplete","Complete")</f>
        <v>Complete</v>
      </c>
      <c r="I1141" s="48" t="s">
        <v>5506</v>
      </c>
    </row>
    <row r="1142" spans="2:9" ht="15" customHeight="1" x14ac:dyDescent="0.25">
      <c r="B1142" s="55" t="s">
        <v>279</v>
      </c>
      <c r="C1142" s="46">
        <v>1130</v>
      </c>
      <c r="D1142" s="69" t="s">
        <v>29416</v>
      </c>
      <c r="E1142" s="51"/>
      <c r="F1142" s="114" t="str">
        <f>IF(INDEX(I.Facility.P1IDNumber,1130)="","",INDEX(I.Facility.P1IDNumber,1130))</f>
        <v/>
      </c>
      <c r="G1142" s="51"/>
      <c r="H1142" s="46" t="str">
        <f>IF(AND(I.Developer.P1=TRUE,I.Facility.P1FacilityCount&gt;=1130,F1142=""),"Incomplete","Complete")</f>
        <v>Complete</v>
      </c>
      <c r="I1142" s="48" t="s">
        <v>5507</v>
      </c>
    </row>
    <row r="1143" spans="2:9" ht="15" customHeight="1" x14ac:dyDescent="0.25">
      <c r="B1143" s="55" t="s">
        <v>279</v>
      </c>
      <c r="C1143" s="46">
        <v>1131</v>
      </c>
      <c r="D1143" s="69" t="s">
        <v>29416</v>
      </c>
      <c r="E1143" s="51"/>
      <c r="F1143" s="114" t="str">
        <f>IF(INDEX(I.Facility.P1IDNumber,1131)="","",INDEX(I.Facility.P1IDNumber,1131))</f>
        <v/>
      </c>
      <c r="G1143" s="51"/>
      <c r="H1143" s="46" t="str">
        <f>IF(AND(I.Developer.P1=TRUE,I.Facility.P1FacilityCount&gt;=1131,F1143=""),"Incomplete","Complete")</f>
        <v>Complete</v>
      </c>
      <c r="I1143" s="48" t="s">
        <v>5508</v>
      </c>
    </row>
    <row r="1144" spans="2:9" ht="15" customHeight="1" x14ac:dyDescent="0.25">
      <c r="B1144" s="55" t="s">
        <v>279</v>
      </c>
      <c r="C1144" s="46">
        <v>1132</v>
      </c>
      <c r="D1144" s="69" t="s">
        <v>29416</v>
      </c>
      <c r="E1144" s="51"/>
      <c r="F1144" s="114" t="str">
        <f>IF(INDEX(I.Facility.P1IDNumber,1132)="","",INDEX(I.Facility.P1IDNumber,1132))</f>
        <v/>
      </c>
      <c r="G1144" s="51"/>
      <c r="H1144" s="46" t="str">
        <f>IF(AND(I.Developer.P1=TRUE,I.Facility.P1FacilityCount&gt;=1132,F1144=""),"Incomplete","Complete")</f>
        <v>Complete</v>
      </c>
      <c r="I1144" s="48" t="s">
        <v>5509</v>
      </c>
    </row>
    <row r="1145" spans="2:9" ht="15" customHeight="1" x14ac:dyDescent="0.25">
      <c r="B1145" s="55" t="s">
        <v>279</v>
      </c>
      <c r="C1145" s="46">
        <v>1133</v>
      </c>
      <c r="D1145" s="69" t="s">
        <v>29416</v>
      </c>
      <c r="E1145" s="51"/>
      <c r="F1145" s="114" t="str">
        <f>IF(INDEX(I.Facility.P1IDNumber,1133)="","",INDEX(I.Facility.P1IDNumber,1133))</f>
        <v/>
      </c>
      <c r="G1145" s="51"/>
      <c r="H1145" s="46" t="str">
        <f>IF(AND(I.Developer.P1=TRUE,I.Facility.P1FacilityCount&gt;=1133,F1145=""),"Incomplete","Complete")</f>
        <v>Complete</v>
      </c>
      <c r="I1145" s="48" t="s">
        <v>5510</v>
      </c>
    </row>
    <row r="1146" spans="2:9" ht="15" customHeight="1" x14ac:dyDescent="0.25">
      <c r="B1146" s="55" t="s">
        <v>279</v>
      </c>
      <c r="C1146" s="46">
        <v>1134</v>
      </c>
      <c r="D1146" s="69" t="s">
        <v>29416</v>
      </c>
      <c r="E1146" s="51"/>
      <c r="F1146" s="114" t="str">
        <f>IF(INDEX(I.Facility.P1IDNumber,1134)="","",INDEX(I.Facility.P1IDNumber,1134))</f>
        <v/>
      </c>
      <c r="G1146" s="51"/>
      <c r="H1146" s="46" t="str">
        <f>IF(AND(I.Developer.P1=TRUE,I.Facility.P1FacilityCount&gt;=1134,F1146=""),"Incomplete","Complete")</f>
        <v>Complete</v>
      </c>
      <c r="I1146" s="48" t="s">
        <v>5511</v>
      </c>
    </row>
    <row r="1147" spans="2:9" ht="15" customHeight="1" x14ac:dyDescent="0.25">
      <c r="B1147" s="55" t="s">
        <v>279</v>
      </c>
      <c r="C1147" s="46">
        <v>1135</v>
      </c>
      <c r="D1147" s="69" t="s">
        <v>29416</v>
      </c>
      <c r="E1147" s="51"/>
      <c r="F1147" s="114" t="str">
        <f>IF(INDEX(I.Facility.P1IDNumber,1135)="","",INDEX(I.Facility.P1IDNumber,1135))</f>
        <v/>
      </c>
      <c r="G1147" s="51"/>
      <c r="H1147" s="46" t="str">
        <f>IF(AND(I.Developer.P1=TRUE,I.Facility.P1FacilityCount&gt;=1135,F1147=""),"Incomplete","Complete")</f>
        <v>Complete</v>
      </c>
      <c r="I1147" s="48" t="s">
        <v>5512</v>
      </c>
    </row>
    <row r="1148" spans="2:9" ht="15" customHeight="1" x14ac:dyDescent="0.25">
      <c r="B1148" s="55" t="s">
        <v>279</v>
      </c>
      <c r="C1148" s="46">
        <v>1136</v>
      </c>
      <c r="D1148" s="69" t="s">
        <v>29416</v>
      </c>
      <c r="E1148" s="51"/>
      <c r="F1148" s="114" t="str">
        <f>IF(INDEX(I.Facility.P1IDNumber,1136)="","",INDEX(I.Facility.P1IDNumber,1136))</f>
        <v/>
      </c>
      <c r="G1148" s="51"/>
      <c r="H1148" s="46" t="str">
        <f>IF(AND(I.Developer.P1=TRUE,I.Facility.P1FacilityCount&gt;=1136,F1148=""),"Incomplete","Complete")</f>
        <v>Complete</v>
      </c>
      <c r="I1148" s="48" t="s">
        <v>5513</v>
      </c>
    </row>
    <row r="1149" spans="2:9" ht="15" customHeight="1" x14ac:dyDescent="0.25">
      <c r="B1149" s="55" t="s">
        <v>279</v>
      </c>
      <c r="C1149" s="46">
        <v>1137</v>
      </c>
      <c r="D1149" s="69" t="s">
        <v>29416</v>
      </c>
      <c r="E1149" s="51"/>
      <c r="F1149" s="114" t="str">
        <f>IF(INDEX(I.Facility.P1IDNumber,1137)="","",INDEX(I.Facility.P1IDNumber,1137))</f>
        <v/>
      </c>
      <c r="G1149" s="51"/>
      <c r="H1149" s="46" t="str">
        <f>IF(AND(I.Developer.P1=TRUE,I.Facility.P1FacilityCount&gt;=1137,F1149=""),"Incomplete","Complete")</f>
        <v>Complete</v>
      </c>
      <c r="I1149" s="48" t="s">
        <v>5514</v>
      </c>
    </row>
    <row r="1150" spans="2:9" ht="15" customHeight="1" x14ac:dyDescent="0.25">
      <c r="B1150" s="55" t="s">
        <v>279</v>
      </c>
      <c r="C1150" s="46">
        <v>1138</v>
      </c>
      <c r="D1150" s="69" t="s">
        <v>29416</v>
      </c>
      <c r="E1150" s="51"/>
      <c r="F1150" s="114" t="str">
        <f>IF(INDEX(I.Facility.P1IDNumber,1138)="","",INDEX(I.Facility.P1IDNumber,1138))</f>
        <v/>
      </c>
      <c r="G1150" s="51"/>
      <c r="H1150" s="46" t="str">
        <f>IF(AND(I.Developer.P1=TRUE,I.Facility.P1FacilityCount&gt;=1138,F1150=""),"Incomplete","Complete")</f>
        <v>Complete</v>
      </c>
      <c r="I1150" s="48" t="s">
        <v>5515</v>
      </c>
    </row>
    <row r="1151" spans="2:9" ht="15" customHeight="1" x14ac:dyDescent="0.25">
      <c r="B1151" s="55" t="s">
        <v>279</v>
      </c>
      <c r="C1151" s="46">
        <v>1139</v>
      </c>
      <c r="D1151" s="69" t="s">
        <v>29416</v>
      </c>
      <c r="E1151" s="51"/>
      <c r="F1151" s="114" t="str">
        <f>IF(INDEX(I.Facility.P1IDNumber,1139)="","",INDEX(I.Facility.P1IDNumber,1139))</f>
        <v/>
      </c>
      <c r="G1151" s="51"/>
      <c r="H1151" s="46" t="str">
        <f>IF(AND(I.Developer.P1=TRUE,I.Facility.P1FacilityCount&gt;=1139,F1151=""),"Incomplete","Complete")</f>
        <v>Complete</v>
      </c>
      <c r="I1151" s="48" t="s">
        <v>5516</v>
      </c>
    </row>
    <row r="1152" spans="2:9" ht="15" customHeight="1" x14ac:dyDescent="0.25">
      <c r="B1152" s="55" t="s">
        <v>279</v>
      </c>
      <c r="C1152" s="46">
        <v>1140</v>
      </c>
      <c r="D1152" s="69" t="s">
        <v>29416</v>
      </c>
      <c r="E1152" s="51"/>
      <c r="F1152" s="114" t="str">
        <f>IF(INDEX(I.Facility.P1IDNumber,1140)="","",INDEX(I.Facility.P1IDNumber,1140))</f>
        <v/>
      </c>
      <c r="G1152" s="51"/>
      <c r="H1152" s="46" t="str">
        <f>IF(AND(I.Developer.P1=TRUE,I.Facility.P1FacilityCount&gt;=1140,F1152=""),"Incomplete","Complete")</f>
        <v>Complete</v>
      </c>
      <c r="I1152" s="48" t="s">
        <v>5517</v>
      </c>
    </row>
    <row r="1153" spans="2:9" ht="15" customHeight="1" x14ac:dyDescent="0.25">
      <c r="B1153" s="55" t="s">
        <v>279</v>
      </c>
      <c r="C1153" s="46">
        <v>1141</v>
      </c>
      <c r="D1153" s="69" t="s">
        <v>29416</v>
      </c>
      <c r="E1153" s="51"/>
      <c r="F1153" s="114" t="str">
        <f>IF(INDEX(I.Facility.P1IDNumber,1141)="","",INDEX(I.Facility.P1IDNumber,1141))</f>
        <v/>
      </c>
      <c r="G1153" s="51"/>
      <c r="H1153" s="46" t="str">
        <f>IF(AND(I.Developer.P1=TRUE,I.Facility.P1FacilityCount&gt;=1141,F1153=""),"Incomplete","Complete")</f>
        <v>Complete</v>
      </c>
      <c r="I1153" s="48" t="s">
        <v>5518</v>
      </c>
    </row>
    <row r="1154" spans="2:9" ht="15" customHeight="1" x14ac:dyDescent="0.25">
      <c r="B1154" s="55" t="s">
        <v>279</v>
      </c>
      <c r="C1154" s="46">
        <v>1142</v>
      </c>
      <c r="D1154" s="69" t="s">
        <v>29416</v>
      </c>
      <c r="E1154" s="51"/>
      <c r="F1154" s="114" t="str">
        <f>IF(INDEX(I.Facility.P1IDNumber,1142)="","",INDEX(I.Facility.P1IDNumber,1142))</f>
        <v/>
      </c>
      <c r="G1154" s="51"/>
      <c r="H1154" s="46" t="str">
        <f>IF(AND(I.Developer.P1=TRUE,I.Facility.P1FacilityCount&gt;=1142,F1154=""),"Incomplete","Complete")</f>
        <v>Complete</v>
      </c>
      <c r="I1154" s="48" t="s">
        <v>5519</v>
      </c>
    </row>
    <row r="1155" spans="2:9" ht="15" customHeight="1" x14ac:dyDescent="0.25">
      <c r="B1155" s="55" t="s">
        <v>279</v>
      </c>
      <c r="C1155" s="46">
        <v>1143</v>
      </c>
      <c r="D1155" s="69" t="s">
        <v>29416</v>
      </c>
      <c r="E1155" s="51"/>
      <c r="F1155" s="114" t="str">
        <f>IF(INDEX(I.Facility.P1IDNumber,1143)="","",INDEX(I.Facility.P1IDNumber,1143))</f>
        <v/>
      </c>
      <c r="G1155" s="51"/>
      <c r="H1155" s="46" t="str">
        <f>IF(AND(I.Developer.P1=TRUE,I.Facility.P1FacilityCount&gt;=1143,F1155=""),"Incomplete","Complete")</f>
        <v>Complete</v>
      </c>
      <c r="I1155" s="48" t="s">
        <v>5520</v>
      </c>
    </row>
    <row r="1156" spans="2:9" ht="15" customHeight="1" x14ac:dyDescent="0.25">
      <c r="B1156" s="55" t="s">
        <v>279</v>
      </c>
      <c r="C1156" s="46">
        <v>1144</v>
      </c>
      <c r="D1156" s="69" t="s">
        <v>29416</v>
      </c>
      <c r="E1156" s="51"/>
      <c r="F1156" s="114" t="str">
        <f>IF(INDEX(I.Facility.P1IDNumber,1144)="","",INDEX(I.Facility.P1IDNumber,1144))</f>
        <v/>
      </c>
      <c r="G1156" s="51"/>
      <c r="H1156" s="46" t="str">
        <f>IF(AND(I.Developer.P1=TRUE,I.Facility.P1FacilityCount&gt;=1144,F1156=""),"Incomplete","Complete")</f>
        <v>Complete</v>
      </c>
      <c r="I1156" s="48" t="s">
        <v>5521</v>
      </c>
    </row>
    <row r="1157" spans="2:9" ht="15" customHeight="1" x14ac:dyDescent="0.25">
      <c r="B1157" s="55" t="s">
        <v>279</v>
      </c>
      <c r="C1157" s="46">
        <v>1145</v>
      </c>
      <c r="D1157" s="69" t="s">
        <v>29416</v>
      </c>
      <c r="E1157" s="51"/>
      <c r="F1157" s="114" t="str">
        <f>IF(INDEX(I.Facility.P1IDNumber,1145)="","",INDEX(I.Facility.P1IDNumber,1145))</f>
        <v/>
      </c>
      <c r="G1157" s="51"/>
      <c r="H1157" s="46" t="str">
        <f>IF(AND(I.Developer.P1=TRUE,I.Facility.P1FacilityCount&gt;=1145,F1157=""),"Incomplete","Complete")</f>
        <v>Complete</v>
      </c>
      <c r="I1157" s="48" t="s">
        <v>5522</v>
      </c>
    </row>
    <row r="1158" spans="2:9" ht="15" customHeight="1" x14ac:dyDescent="0.25">
      <c r="B1158" s="55" t="s">
        <v>279</v>
      </c>
      <c r="C1158" s="46">
        <v>1146</v>
      </c>
      <c r="D1158" s="69" t="s">
        <v>29416</v>
      </c>
      <c r="E1158" s="51"/>
      <c r="F1158" s="114" t="str">
        <f>IF(INDEX(I.Facility.P1IDNumber,1146)="","",INDEX(I.Facility.P1IDNumber,1146))</f>
        <v/>
      </c>
      <c r="G1158" s="51"/>
      <c r="H1158" s="46" t="str">
        <f>IF(AND(I.Developer.P1=TRUE,I.Facility.P1FacilityCount&gt;=1146,F1158=""),"Incomplete","Complete")</f>
        <v>Complete</v>
      </c>
      <c r="I1158" s="48" t="s">
        <v>5523</v>
      </c>
    </row>
    <row r="1159" spans="2:9" ht="15" customHeight="1" x14ac:dyDescent="0.25">
      <c r="B1159" s="55" t="s">
        <v>279</v>
      </c>
      <c r="C1159" s="46">
        <v>1147</v>
      </c>
      <c r="D1159" s="69" t="s">
        <v>29416</v>
      </c>
      <c r="E1159" s="51"/>
      <c r="F1159" s="114" t="str">
        <f>IF(INDEX(I.Facility.P1IDNumber,1147)="","",INDEX(I.Facility.P1IDNumber,1147))</f>
        <v/>
      </c>
      <c r="G1159" s="51"/>
      <c r="H1159" s="46" t="str">
        <f>IF(AND(I.Developer.P1=TRUE,I.Facility.P1FacilityCount&gt;=1147,F1159=""),"Incomplete","Complete")</f>
        <v>Complete</v>
      </c>
      <c r="I1159" s="48" t="s">
        <v>5524</v>
      </c>
    </row>
    <row r="1160" spans="2:9" ht="15" customHeight="1" x14ac:dyDescent="0.25">
      <c r="B1160" s="55" t="s">
        <v>279</v>
      </c>
      <c r="C1160" s="46">
        <v>1148</v>
      </c>
      <c r="D1160" s="69" t="s">
        <v>29416</v>
      </c>
      <c r="E1160" s="51"/>
      <c r="F1160" s="114" t="str">
        <f>IF(INDEX(I.Facility.P1IDNumber,1148)="","",INDEX(I.Facility.P1IDNumber,1148))</f>
        <v/>
      </c>
      <c r="G1160" s="51"/>
      <c r="H1160" s="46" t="str">
        <f>IF(AND(I.Developer.P1=TRUE,I.Facility.P1FacilityCount&gt;=1148,F1160=""),"Incomplete","Complete")</f>
        <v>Complete</v>
      </c>
      <c r="I1160" s="48" t="s">
        <v>5525</v>
      </c>
    </row>
    <row r="1161" spans="2:9" ht="15" customHeight="1" x14ac:dyDescent="0.25">
      <c r="B1161" s="55" t="s">
        <v>279</v>
      </c>
      <c r="C1161" s="46">
        <v>1149</v>
      </c>
      <c r="D1161" s="69" t="s">
        <v>29416</v>
      </c>
      <c r="E1161" s="51"/>
      <c r="F1161" s="114" t="str">
        <f>IF(INDEX(I.Facility.P1IDNumber,1149)="","",INDEX(I.Facility.P1IDNumber,1149))</f>
        <v/>
      </c>
      <c r="G1161" s="51"/>
      <c r="H1161" s="46" t="str">
        <f>IF(AND(I.Developer.P1=TRUE,I.Facility.P1FacilityCount&gt;=1149,F1161=""),"Incomplete","Complete")</f>
        <v>Complete</v>
      </c>
      <c r="I1161" s="48" t="s">
        <v>5526</v>
      </c>
    </row>
    <row r="1162" spans="2:9" ht="15" customHeight="1" x14ac:dyDescent="0.25">
      <c r="B1162" s="55" t="s">
        <v>279</v>
      </c>
      <c r="C1162" s="46">
        <v>1150</v>
      </c>
      <c r="D1162" s="69" t="s">
        <v>29416</v>
      </c>
      <c r="E1162" s="51"/>
      <c r="F1162" s="114" t="str">
        <f>IF(INDEX(I.Facility.P1IDNumber,1150)="","",INDEX(I.Facility.P1IDNumber,1150))</f>
        <v/>
      </c>
      <c r="G1162" s="51"/>
      <c r="H1162" s="46" t="str">
        <f>IF(AND(I.Developer.P1=TRUE,I.Facility.P1FacilityCount&gt;=1150,F1162=""),"Incomplete","Complete")</f>
        <v>Complete</v>
      </c>
      <c r="I1162" s="48" t="s">
        <v>5527</v>
      </c>
    </row>
    <row r="1163" spans="2:9" ht="15" customHeight="1" x14ac:dyDescent="0.25">
      <c r="B1163" s="55" t="s">
        <v>279</v>
      </c>
      <c r="C1163" s="46">
        <v>1151</v>
      </c>
      <c r="D1163" s="69" t="s">
        <v>29416</v>
      </c>
      <c r="E1163" s="51"/>
      <c r="F1163" s="114" t="str">
        <f>IF(INDEX(I.Facility.P1IDNumber,1151)="","",INDEX(I.Facility.P1IDNumber,1151))</f>
        <v/>
      </c>
      <c r="G1163" s="51"/>
      <c r="H1163" s="46" t="str">
        <f>IF(AND(I.Developer.P1=TRUE,I.Facility.P1FacilityCount&gt;=1151,F1163=""),"Incomplete","Complete")</f>
        <v>Complete</v>
      </c>
      <c r="I1163" s="48" t="s">
        <v>5528</v>
      </c>
    </row>
    <row r="1164" spans="2:9" ht="15" customHeight="1" x14ac:dyDescent="0.25">
      <c r="B1164" s="55" t="s">
        <v>279</v>
      </c>
      <c r="C1164" s="46">
        <v>1152</v>
      </c>
      <c r="D1164" s="69" t="s">
        <v>29416</v>
      </c>
      <c r="E1164" s="51"/>
      <c r="F1164" s="114" t="str">
        <f>IF(INDEX(I.Facility.P1IDNumber,1152)="","",INDEX(I.Facility.P1IDNumber,1152))</f>
        <v/>
      </c>
      <c r="G1164" s="51"/>
      <c r="H1164" s="46" t="str">
        <f>IF(AND(I.Developer.P1=TRUE,I.Facility.P1FacilityCount&gt;=1152,F1164=""),"Incomplete","Complete")</f>
        <v>Complete</v>
      </c>
      <c r="I1164" s="48" t="s">
        <v>5529</v>
      </c>
    </row>
    <row r="1165" spans="2:9" ht="15" customHeight="1" x14ac:dyDescent="0.25">
      <c r="B1165" s="55" t="s">
        <v>279</v>
      </c>
      <c r="C1165" s="46">
        <v>1153</v>
      </c>
      <c r="D1165" s="69" t="s">
        <v>29416</v>
      </c>
      <c r="E1165" s="51"/>
      <c r="F1165" s="114" t="str">
        <f>IF(INDEX(I.Facility.P1IDNumber,1153)="","",INDEX(I.Facility.P1IDNumber,1153))</f>
        <v/>
      </c>
      <c r="G1165" s="51"/>
      <c r="H1165" s="46" t="str">
        <f>IF(AND(I.Developer.P1=TRUE,I.Facility.P1FacilityCount&gt;=1153,F1165=""),"Incomplete","Complete")</f>
        <v>Complete</v>
      </c>
      <c r="I1165" s="48" t="s">
        <v>5530</v>
      </c>
    </row>
    <row r="1166" spans="2:9" ht="15" customHeight="1" x14ac:dyDescent="0.25">
      <c r="B1166" s="55" t="s">
        <v>279</v>
      </c>
      <c r="C1166" s="46">
        <v>1154</v>
      </c>
      <c r="D1166" s="69" t="s">
        <v>29416</v>
      </c>
      <c r="E1166" s="51"/>
      <c r="F1166" s="114" t="str">
        <f>IF(INDEX(I.Facility.P1IDNumber,1154)="","",INDEX(I.Facility.P1IDNumber,1154))</f>
        <v/>
      </c>
      <c r="G1166" s="51"/>
      <c r="H1166" s="46" t="str">
        <f>IF(AND(I.Developer.P1=TRUE,I.Facility.P1FacilityCount&gt;=1154,F1166=""),"Incomplete","Complete")</f>
        <v>Complete</v>
      </c>
      <c r="I1166" s="48" t="s">
        <v>5531</v>
      </c>
    </row>
    <row r="1167" spans="2:9" ht="15" customHeight="1" x14ac:dyDescent="0.25">
      <c r="B1167" s="55" t="s">
        <v>279</v>
      </c>
      <c r="C1167" s="46">
        <v>1155</v>
      </c>
      <c r="D1167" s="69" t="s">
        <v>29416</v>
      </c>
      <c r="E1167" s="51"/>
      <c r="F1167" s="114" t="str">
        <f>IF(INDEX(I.Facility.P1IDNumber,1155)="","",INDEX(I.Facility.P1IDNumber,1155))</f>
        <v/>
      </c>
      <c r="G1167" s="51"/>
      <c r="H1167" s="46" t="str">
        <f>IF(AND(I.Developer.P1=TRUE,I.Facility.P1FacilityCount&gt;=1155,F1167=""),"Incomplete","Complete")</f>
        <v>Complete</v>
      </c>
      <c r="I1167" s="48" t="s">
        <v>5532</v>
      </c>
    </row>
    <row r="1168" spans="2:9" ht="15" customHeight="1" x14ac:dyDescent="0.25">
      <c r="B1168" s="55" t="s">
        <v>279</v>
      </c>
      <c r="C1168" s="46">
        <v>1156</v>
      </c>
      <c r="D1168" s="69" t="s">
        <v>29416</v>
      </c>
      <c r="E1168" s="51"/>
      <c r="F1168" s="114" t="str">
        <f>IF(INDEX(I.Facility.P1IDNumber,1156)="","",INDEX(I.Facility.P1IDNumber,1156))</f>
        <v/>
      </c>
      <c r="G1168" s="51"/>
      <c r="H1168" s="46" t="str">
        <f>IF(AND(I.Developer.P1=TRUE,I.Facility.P1FacilityCount&gt;=1156,F1168=""),"Incomplete","Complete")</f>
        <v>Complete</v>
      </c>
      <c r="I1168" s="48" t="s">
        <v>5533</v>
      </c>
    </row>
    <row r="1169" spans="2:9" ht="15" customHeight="1" x14ac:dyDescent="0.25">
      <c r="B1169" s="55" t="s">
        <v>279</v>
      </c>
      <c r="C1169" s="46">
        <v>1157</v>
      </c>
      <c r="D1169" s="69" t="s">
        <v>29416</v>
      </c>
      <c r="E1169" s="51"/>
      <c r="F1169" s="114" t="str">
        <f>IF(INDEX(I.Facility.P1IDNumber,1157)="","",INDEX(I.Facility.P1IDNumber,1157))</f>
        <v/>
      </c>
      <c r="G1169" s="51"/>
      <c r="H1169" s="46" t="str">
        <f>IF(AND(I.Developer.P1=TRUE,I.Facility.P1FacilityCount&gt;=1157,F1169=""),"Incomplete","Complete")</f>
        <v>Complete</v>
      </c>
      <c r="I1169" s="48" t="s">
        <v>5534</v>
      </c>
    </row>
    <row r="1170" spans="2:9" ht="15" customHeight="1" x14ac:dyDescent="0.25">
      <c r="B1170" s="55" t="s">
        <v>279</v>
      </c>
      <c r="C1170" s="46">
        <v>1158</v>
      </c>
      <c r="D1170" s="69" t="s">
        <v>29416</v>
      </c>
      <c r="E1170" s="51"/>
      <c r="F1170" s="114" t="str">
        <f>IF(INDEX(I.Facility.P1IDNumber,1158)="","",INDEX(I.Facility.P1IDNumber,1158))</f>
        <v/>
      </c>
      <c r="G1170" s="51"/>
      <c r="H1170" s="46" t="str">
        <f>IF(AND(I.Developer.P1=TRUE,I.Facility.P1FacilityCount&gt;=1158,F1170=""),"Incomplete","Complete")</f>
        <v>Complete</v>
      </c>
      <c r="I1170" s="48" t="s">
        <v>5535</v>
      </c>
    </row>
    <row r="1171" spans="2:9" ht="15" customHeight="1" x14ac:dyDescent="0.25">
      <c r="B1171" s="55" t="s">
        <v>279</v>
      </c>
      <c r="C1171" s="46">
        <v>1159</v>
      </c>
      <c r="D1171" s="69" t="s">
        <v>29416</v>
      </c>
      <c r="E1171" s="51"/>
      <c r="F1171" s="114" t="str">
        <f>IF(INDEX(I.Facility.P1IDNumber,1159)="","",INDEX(I.Facility.P1IDNumber,1159))</f>
        <v/>
      </c>
      <c r="G1171" s="51"/>
      <c r="H1171" s="46" t="str">
        <f>IF(AND(I.Developer.P1=TRUE,I.Facility.P1FacilityCount&gt;=1159,F1171=""),"Incomplete","Complete")</f>
        <v>Complete</v>
      </c>
      <c r="I1171" s="48" t="s">
        <v>5536</v>
      </c>
    </row>
    <row r="1172" spans="2:9" ht="15" customHeight="1" x14ac:dyDescent="0.25">
      <c r="B1172" s="55" t="s">
        <v>279</v>
      </c>
      <c r="C1172" s="46">
        <v>1160</v>
      </c>
      <c r="D1172" s="69" t="s">
        <v>29416</v>
      </c>
      <c r="E1172" s="51"/>
      <c r="F1172" s="114" t="str">
        <f>IF(INDEX(I.Facility.P1IDNumber,1160)="","",INDEX(I.Facility.P1IDNumber,1160))</f>
        <v/>
      </c>
      <c r="G1172" s="51"/>
      <c r="H1172" s="46" t="str">
        <f>IF(AND(I.Developer.P1=TRUE,I.Facility.P1FacilityCount&gt;=1160,F1172=""),"Incomplete","Complete")</f>
        <v>Complete</v>
      </c>
      <c r="I1172" s="48" t="s">
        <v>5537</v>
      </c>
    </row>
    <row r="1173" spans="2:9" ht="15" customHeight="1" x14ac:dyDescent="0.25">
      <c r="B1173" s="55" t="s">
        <v>279</v>
      </c>
      <c r="C1173" s="46">
        <v>1161</v>
      </c>
      <c r="D1173" s="69" t="s">
        <v>29416</v>
      </c>
      <c r="E1173" s="51"/>
      <c r="F1173" s="114" t="str">
        <f>IF(INDEX(I.Facility.P1IDNumber,1161)="","",INDEX(I.Facility.P1IDNumber,1161))</f>
        <v/>
      </c>
      <c r="G1173" s="51"/>
      <c r="H1173" s="46" t="str">
        <f>IF(AND(I.Developer.P1=TRUE,I.Facility.P1FacilityCount&gt;=1161,F1173=""),"Incomplete","Complete")</f>
        <v>Complete</v>
      </c>
      <c r="I1173" s="48" t="s">
        <v>5538</v>
      </c>
    </row>
    <row r="1174" spans="2:9" ht="15" customHeight="1" x14ac:dyDescent="0.25">
      <c r="B1174" s="55" t="s">
        <v>279</v>
      </c>
      <c r="C1174" s="46">
        <v>1162</v>
      </c>
      <c r="D1174" s="69" t="s">
        <v>29416</v>
      </c>
      <c r="E1174" s="51"/>
      <c r="F1174" s="114" t="str">
        <f>IF(INDEX(I.Facility.P1IDNumber,1162)="","",INDEX(I.Facility.P1IDNumber,1162))</f>
        <v/>
      </c>
      <c r="G1174" s="51"/>
      <c r="H1174" s="46" t="str">
        <f>IF(AND(I.Developer.P1=TRUE,I.Facility.P1FacilityCount&gt;=1162,F1174=""),"Incomplete","Complete")</f>
        <v>Complete</v>
      </c>
      <c r="I1174" s="48" t="s">
        <v>5539</v>
      </c>
    </row>
    <row r="1175" spans="2:9" ht="15" customHeight="1" x14ac:dyDescent="0.25">
      <c r="B1175" s="55" t="s">
        <v>279</v>
      </c>
      <c r="C1175" s="46">
        <v>1163</v>
      </c>
      <c r="D1175" s="69" t="s">
        <v>29416</v>
      </c>
      <c r="E1175" s="51"/>
      <c r="F1175" s="114" t="str">
        <f>IF(INDEX(I.Facility.P1IDNumber,1163)="","",INDEX(I.Facility.P1IDNumber,1163))</f>
        <v/>
      </c>
      <c r="G1175" s="51"/>
      <c r="H1175" s="46" t="str">
        <f>IF(AND(I.Developer.P1=TRUE,I.Facility.P1FacilityCount&gt;=1163,F1175=""),"Incomplete","Complete")</f>
        <v>Complete</v>
      </c>
      <c r="I1175" s="48" t="s">
        <v>5540</v>
      </c>
    </row>
    <row r="1176" spans="2:9" ht="15" customHeight="1" x14ac:dyDescent="0.25">
      <c r="B1176" s="55" t="s">
        <v>279</v>
      </c>
      <c r="C1176" s="46">
        <v>1164</v>
      </c>
      <c r="D1176" s="69" t="s">
        <v>29416</v>
      </c>
      <c r="E1176" s="51"/>
      <c r="F1176" s="114" t="str">
        <f>IF(INDEX(I.Facility.P1IDNumber,1164)="","",INDEX(I.Facility.P1IDNumber,1164))</f>
        <v/>
      </c>
      <c r="G1176" s="51"/>
      <c r="H1176" s="46" t="str">
        <f>IF(AND(I.Developer.P1=TRUE,I.Facility.P1FacilityCount&gt;=1164,F1176=""),"Incomplete","Complete")</f>
        <v>Complete</v>
      </c>
      <c r="I1176" s="48" t="s">
        <v>5541</v>
      </c>
    </row>
    <row r="1177" spans="2:9" ht="15" customHeight="1" x14ac:dyDescent="0.25">
      <c r="B1177" s="55" t="s">
        <v>279</v>
      </c>
      <c r="C1177" s="46">
        <v>1165</v>
      </c>
      <c r="D1177" s="69" t="s">
        <v>29416</v>
      </c>
      <c r="E1177" s="51"/>
      <c r="F1177" s="114" t="str">
        <f>IF(INDEX(I.Facility.P1IDNumber,1165)="","",INDEX(I.Facility.P1IDNumber,1165))</f>
        <v/>
      </c>
      <c r="G1177" s="51"/>
      <c r="H1177" s="46" t="str">
        <f>IF(AND(I.Developer.P1=TRUE,I.Facility.P1FacilityCount&gt;=1165,F1177=""),"Incomplete","Complete")</f>
        <v>Complete</v>
      </c>
      <c r="I1177" s="48" t="s">
        <v>5542</v>
      </c>
    </row>
    <row r="1178" spans="2:9" ht="15" customHeight="1" x14ac:dyDescent="0.25">
      <c r="B1178" s="55" t="s">
        <v>279</v>
      </c>
      <c r="C1178" s="46">
        <v>1166</v>
      </c>
      <c r="D1178" s="69" t="s">
        <v>29416</v>
      </c>
      <c r="E1178" s="51"/>
      <c r="F1178" s="114" t="str">
        <f>IF(INDEX(I.Facility.P1IDNumber,1166)="","",INDEX(I.Facility.P1IDNumber,1166))</f>
        <v/>
      </c>
      <c r="G1178" s="51"/>
      <c r="H1178" s="46" t="str">
        <f>IF(AND(I.Developer.P1=TRUE,I.Facility.P1FacilityCount&gt;=1166,F1178=""),"Incomplete","Complete")</f>
        <v>Complete</v>
      </c>
      <c r="I1178" s="48" t="s">
        <v>5543</v>
      </c>
    </row>
    <row r="1179" spans="2:9" ht="15" customHeight="1" x14ac:dyDescent="0.25">
      <c r="B1179" s="55" t="s">
        <v>279</v>
      </c>
      <c r="C1179" s="46">
        <v>1167</v>
      </c>
      <c r="D1179" s="69" t="s">
        <v>29416</v>
      </c>
      <c r="E1179" s="51"/>
      <c r="F1179" s="114" t="str">
        <f>IF(INDEX(I.Facility.P1IDNumber,1167)="","",INDEX(I.Facility.P1IDNumber,1167))</f>
        <v/>
      </c>
      <c r="G1179" s="51"/>
      <c r="H1179" s="46" t="str">
        <f>IF(AND(I.Developer.P1=TRUE,I.Facility.P1FacilityCount&gt;=1167,F1179=""),"Incomplete","Complete")</f>
        <v>Complete</v>
      </c>
      <c r="I1179" s="48" t="s">
        <v>5544</v>
      </c>
    </row>
    <row r="1180" spans="2:9" ht="15" customHeight="1" x14ac:dyDescent="0.25">
      <c r="B1180" s="55" t="s">
        <v>279</v>
      </c>
      <c r="C1180" s="46">
        <v>1168</v>
      </c>
      <c r="D1180" s="69" t="s">
        <v>29416</v>
      </c>
      <c r="E1180" s="51"/>
      <c r="F1180" s="114" t="str">
        <f>IF(INDEX(I.Facility.P1IDNumber,1168)="","",INDEX(I.Facility.P1IDNumber,1168))</f>
        <v/>
      </c>
      <c r="G1180" s="51"/>
      <c r="H1180" s="46" t="str">
        <f>IF(AND(I.Developer.P1=TRUE,I.Facility.P1FacilityCount&gt;=1168,F1180=""),"Incomplete","Complete")</f>
        <v>Complete</v>
      </c>
      <c r="I1180" s="48" t="s">
        <v>5545</v>
      </c>
    </row>
    <row r="1181" spans="2:9" ht="15" customHeight="1" x14ac:dyDescent="0.25">
      <c r="B1181" s="55" t="s">
        <v>279</v>
      </c>
      <c r="C1181" s="46">
        <v>1169</v>
      </c>
      <c r="D1181" s="69" t="s">
        <v>29416</v>
      </c>
      <c r="E1181" s="51"/>
      <c r="F1181" s="114" t="str">
        <f>IF(INDEX(I.Facility.P1IDNumber,1169)="","",INDEX(I.Facility.P1IDNumber,1169))</f>
        <v/>
      </c>
      <c r="G1181" s="51"/>
      <c r="H1181" s="46" t="str">
        <f>IF(AND(I.Developer.P1=TRUE,I.Facility.P1FacilityCount&gt;=1169,F1181=""),"Incomplete","Complete")</f>
        <v>Complete</v>
      </c>
      <c r="I1181" s="48" t="s">
        <v>5546</v>
      </c>
    </row>
    <row r="1182" spans="2:9" ht="15" customHeight="1" x14ac:dyDescent="0.25">
      <c r="B1182" s="55" t="s">
        <v>279</v>
      </c>
      <c r="C1182" s="46">
        <v>1170</v>
      </c>
      <c r="D1182" s="69" t="s">
        <v>29416</v>
      </c>
      <c r="E1182" s="51"/>
      <c r="F1182" s="114" t="str">
        <f>IF(INDEX(I.Facility.P1IDNumber,1170)="","",INDEX(I.Facility.P1IDNumber,1170))</f>
        <v/>
      </c>
      <c r="G1182" s="51"/>
      <c r="H1182" s="46" t="str">
        <f>IF(AND(I.Developer.P1=TRUE,I.Facility.P1FacilityCount&gt;=1170,F1182=""),"Incomplete","Complete")</f>
        <v>Complete</v>
      </c>
      <c r="I1182" s="48" t="s">
        <v>5547</v>
      </c>
    </row>
    <row r="1183" spans="2:9" ht="15" customHeight="1" x14ac:dyDescent="0.25">
      <c r="B1183" s="55" t="s">
        <v>279</v>
      </c>
      <c r="C1183" s="46">
        <v>1171</v>
      </c>
      <c r="D1183" s="69" t="s">
        <v>29416</v>
      </c>
      <c r="E1183" s="51"/>
      <c r="F1183" s="114" t="str">
        <f>IF(INDEX(I.Facility.P1IDNumber,1171)="","",INDEX(I.Facility.P1IDNumber,1171))</f>
        <v/>
      </c>
      <c r="G1183" s="51"/>
      <c r="H1183" s="46" t="str">
        <f>IF(AND(I.Developer.P1=TRUE,I.Facility.P1FacilityCount&gt;=1171,F1183=""),"Incomplete","Complete")</f>
        <v>Complete</v>
      </c>
      <c r="I1183" s="48" t="s">
        <v>5548</v>
      </c>
    </row>
    <row r="1184" spans="2:9" ht="15" customHeight="1" x14ac:dyDescent="0.25">
      <c r="B1184" s="55" t="s">
        <v>279</v>
      </c>
      <c r="C1184" s="46">
        <v>1172</v>
      </c>
      <c r="D1184" s="69" t="s">
        <v>29416</v>
      </c>
      <c r="E1184" s="51"/>
      <c r="F1184" s="114" t="str">
        <f>IF(INDEX(I.Facility.P1IDNumber,1172)="","",INDEX(I.Facility.P1IDNumber,1172))</f>
        <v/>
      </c>
      <c r="G1184" s="51"/>
      <c r="H1184" s="46" t="str">
        <f>IF(AND(I.Developer.P1=TRUE,I.Facility.P1FacilityCount&gt;=1172,F1184=""),"Incomplete","Complete")</f>
        <v>Complete</v>
      </c>
      <c r="I1184" s="48" t="s">
        <v>5549</v>
      </c>
    </row>
    <row r="1185" spans="2:9" ht="15" customHeight="1" x14ac:dyDescent="0.25">
      <c r="B1185" s="55" t="s">
        <v>279</v>
      </c>
      <c r="C1185" s="46">
        <v>1173</v>
      </c>
      <c r="D1185" s="69" t="s">
        <v>29416</v>
      </c>
      <c r="E1185" s="51"/>
      <c r="F1185" s="114" t="str">
        <f>IF(INDEX(I.Facility.P1IDNumber,1173)="","",INDEX(I.Facility.P1IDNumber,1173))</f>
        <v/>
      </c>
      <c r="G1185" s="51"/>
      <c r="H1185" s="46" t="str">
        <f>IF(AND(I.Developer.P1=TRUE,I.Facility.P1FacilityCount&gt;=1173,F1185=""),"Incomplete","Complete")</f>
        <v>Complete</v>
      </c>
      <c r="I1185" s="48" t="s">
        <v>5550</v>
      </c>
    </row>
    <row r="1186" spans="2:9" ht="15" customHeight="1" x14ac:dyDescent="0.25">
      <c r="B1186" s="55" t="s">
        <v>279</v>
      </c>
      <c r="C1186" s="46">
        <v>1174</v>
      </c>
      <c r="D1186" s="69" t="s">
        <v>29416</v>
      </c>
      <c r="E1186" s="51"/>
      <c r="F1186" s="114" t="str">
        <f>IF(INDEX(I.Facility.P1IDNumber,1174)="","",INDEX(I.Facility.P1IDNumber,1174))</f>
        <v/>
      </c>
      <c r="G1186" s="51"/>
      <c r="H1186" s="46" t="str">
        <f>IF(AND(I.Developer.P1=TRUE,I.Facility.P1FacilityCount&gt;=1174,F1186=""),"Incomplete","Complete")</f>
        <v>Complete</v>
      </c>
      <c r="I1186" s="48" t="s">
        <v>5551</v>
      </c>
    </row>
    <row r="1187" spans="2:9" ht="15" customHeight="1" x14ac:dyDescent="0.25">
      <c r="B1187" s="55" t="s">
        <v>279</v>
      </c>
      <c r="C1187" s="46">
        <v>1175</v>
      </c>
      <c r="D1187" s="69" t="s">
        <v>29416</v>
      </c>
      <c r="E1187" s="51"/>
      <c r="F1187" s="114" t="str">
        <f>IF(INDEX(I.Facility.P1IDNumber,1175)="","",INDEX(I.Facility.P1IDNumber,1175))</f>
        <v/>
      </c>
      <c r="G1187" s="51"/>
      <c r="H1187" s="46" t="str">
        <f>IF(AND(I.Developer.P1=TRUE,I.Facility.P1FacilityCount&gt;=1175,F1187=""),"Incomplete","Complete")</f>
        <v>Complete</v>
      </c>
      <c r="I1187" s="48" t="s">
        <v>5552</v>
      </c>
    </row>
    <row r="1188" spans="2:9" ht="15" customHeight="1" x14ac:dyDescent="0.25">
      <c r="B1188" s="55" t="s">
        <v>279</v>
      </c>
      <c r="C1188" s="46">
        <v>1176</v>
      </c>
      <c r="D1188" s="69" t="s">
        <v>29416</v>
      </c>
      <c r="E1188" s="51"/>
      <c r="F1188" s="114" t="str">
        <f>IF(INDEX(I.Facility.P1IDNumber,1176)="","",INDEX(I.Facility.P1IDNumber,1176))</f>
        <v/>
      </c>
      <c r="G1188" s="51"/>
      <c r="H1188" s="46" t="str">
        <f>IF(AND(I.Developer.P1=TRUE,I.Facility.P1FacilityCount&gt;=1176,F1188=""),"Incomplete","Complete")</f>
        <v>Complete</v>
      </c>
      <c r="I1188" s="48" t="s">
        <v>5553</v>
      </c>
    </row>
    <row r="1189" spans="2:9" ht="15" customHeight="1" x14ac:dyDescent="0.25">
      <c r="B1189" s="55" t="s">
        <v>279</v>
      </c>
      <c r="C1189" s="46">
        <v>1177</v>
      </c>
      <c r="D1189" s="69" t="s">
        <v>29416</v>
      </c>
      <c r="E1189" s="51"/>
      <c r="F1189" s="114" t="str">
        <f>IF(INDEX(I.Facility.P1IDNumber,1177)="","",INDEX(I.Facility.P1IDNumber,1177))</f>
        <v/>
      </c>
      <c r="G1189" s="51"/>
      <c r="H1189" s="46" t="str">
        <f>IF(AND(I.Developer.P1=TRUE,I.Facility.P1FacilityCount&gt;=1177,F1189=""),"Incomplete","Complete")</f>
        <v>Complete</v>
      </c>
      <c r="I1189" s="48" t="s">
        <v>5554</v>
      </c>
    </row>
    <row r="1190" spans="2:9" ht="15" customHeight="1" x14ac:dyDescent="0.25">
      <c r="B1190" s="55" t="s">
        <v>279</v>
      </c>
      <c r="C1190" s="46">
        <v>1178</v>
      </c>
      <c r="D1190" s="69" t="s">
        <v>29416</v>
      </c>
      <c r="E1190" s="51"/>
      <c r="F1190" s="114" t="str">
        <f>IF(INDEX(I.Facility.P1IDNumber,1178)="","",INDEX(I.Facility.P1IDNumber,1178))</f>
        <v/>
      </c>
      <c r="G1190" s="51"/>
      <c r="H1190" s="46" t="str">
        <f>IF(AND(I.Developer.P1=TRUE,I.Facility.P1FacilityCount&gt;=1178,F1190=""),"Incomplete","Complete")</f>
        <v>Complete</v>
      </c>
      <c r="I1190" s="48" t="s">
        <v>5555</v>
      </c>
    </row>
    <row r="1191" spans="2:9" ht="15" customHeight="1" x14ac:dyDescent="0.25">
      <c r="B1191" s="55" t="s">
        <v>279</v>
      </c>
      <c r="C1191" s="46">
        <v>1179</v>
      </c>
      <c r="D1191" s="69" t="s">
        <v>29416</v>
      </c>
      <c r="E1191" s="51"/>
      <c r="F1191" s="114" t="str">
        <f>IF(INDEX(I.Facility.P1IDNumber,1179)="","",INDEX(I.Facility.P1IDNumber,1179))</f>
        <v/>
      </c>
      <c r="G1191" s="51"/>
      <c r="H1191" s="46" t="str">
        <f>IF(AND(I.Developer.P1=TRUE,I.Facility.P1FacilityCount&gt;=1179,F1191=""),"Incomplete","Complete")</f>
        <v>Complete</v>
      </c>
      <c r="I1191" s="48" t="s">
        <v>5556</v>
      </c>
    </row>
    <row r="1192" spans="2:9" ht="15" customHeight="1" x14ac:dyDescent="0.25">
      <c r="B1192" s="55" t="s">
        <v>279</v>
      </c>
      <c r="C1192" s="46">
        <v>1180</v>
      </c>
      <c r="D1192" s="69" t="s">
        <v>29416</v>
      </c>
      <c r="E1192" s="51"/>
      <c r="F1192" s="114" t="str">
        <f>IF(INDEX(I.Facility.P1IDNumber,1180)="","",INDEX(I.Facility.P1IDNumber,1180))</f>
        <v/>
      </c>
      <c r="G1192" s="51"/>
      <c r="H1192" s="46" t="str">
        <f>IF(AND(I.Developer.P1=TRUE,I.Facility.P1FacilityCount&gt;=1180,F1192=""),"Incomplete","Complete")</f>
        <v>Complete</v>
      </c>
      <c r="I1192" s="48" t="s">
        <v>5557</v>
      </c>
    </row>
    <row r="1193" spans="2:9" ht="15" customHeight="1" x14ac:dyDescent="0.25">
      <c r="B1193" s="55" t="s">
        <v>279</v>
      </c>
      <c r="C1193" s="46">
        <v>1181</v>
      </c>
      <c r="D1193" s="69" t="s">
        <v>29416</v>
      </c>
      <c r="E1193" s="51"/>
      <c r="F1193" s="114" t="str">
        <f>IF(INDEX(I.Facility.P1IDNumber,1181)="","",INDEX(I.Facility.P1IDNumber,1181))</f>
        <v/>
      </c>
      <c r="G1193" s="51"/>
      <c r="H1193" s="46" t="str">
        <f>IF(AND(I.Developer.P1=TRUE,I.Facility.P1FacilityCount&gt;=1181,F1193=""),"Incomplete","Complete")</f>
        <v>Complete</v>
      </c>
      <c r="I1193" s="48" t="s">
        <v>5558</v>
      </c>
    </row>
    <row r="1194" spans="2:9" ht="15" customHeight="1" x14ac:dyDescent="0.25">
      <c r="B1194" s="55" t="s">
        <v>279</v>
      </c>
      <c r="C1194" s="46">
        <v>1182</v>
      </c>
      <c r="D1194" s="69" t="s">
        <v>29416</v>
      </c>
      <c r="E1194" s="51"/>
      <c r="F1194" s="114" t="str">
        <f>IF(INDEX(I.Facility.P1IDNumber,1182)="","",INDEX(I.Facility.P1IDNumber,1182))</f>
        <v/>
      </c>
      <c r="G1194" s="51"/>
      <c r="H1194" s="46" t="str">
        <f>IF(AND(I.Developer.P1=TRUE,I.Facility.P1FacilityCount&gt;=1182,F1194=""),"Incomplete","Complete")</f>
        <v>Complete</v>
      </c>
      <c r="I1194" s="48" t="s">
        <v>5559</v>
      </c>
    </row>
    <row r="1195" spans="2:9" ht="15" customHeight="1" x14ac:dyDescent="0.25">
      <c r="B1195" s="55" t="s">
        <v>279</v>
      </c>
      <c r="C1195" s="46">
        <v>1183</v>
      </c>
      <c r="D1195" s="69" t="s">
        <v>29416</v>
      </c>
      <c r="E1195" s="51"/>
      <c r="F1195" s="114" t="str">
        <f>IF(INDEX(I.Facility.P1IDNumber,1183)="","",INDEX(I.Facility.P1IDNumber,1183))</f>
        <v/>
      </c>
      <c r="G1195" s="51"/>
      <c r="H1195" s="46" t="str">
        <f>IF(AND(I.Developer.P1=TRUE,I.Facility.P1FacilityCount&gt;=1183,F1195=""),"Incomplete","Complete")</f>
        <v>Complete</v>
      </c>
      <c r="I1195" s="48" t="s">
        <v>5560</v>
      </c>
    </row>
    <row r="1196" spans="2:9" ht="15" customHeight="1" x14ac:dyDescent="0.25">
      <c r="B1196" s="55" t="s">
        <v>279</v>
      </c>
      <c r="C1196" s="46">
        <v>1184</v>
      </c>
      <c r="D1196" s="69" t="s">
        <v>29416</v>
      </c>
      <c r="E1196" s="51"/>
      <c r="F1196" s="114" t="str">
        <f>IF(INDEX(I.Facility.P1IDNumber,1184)="","",INDEX(I.Facility.P1IDNumber,1184))</f>
        <v/>
      </c>
      <c r="G1196" s="51"/>
      <c r="H1196" s="46" t="str">
        <f>IF(AND(I.Developer.P1=TRUE,I.Facility.P1FacilityCount&gt;=1184,F1196=""),"Incomplete","Complete")</f>
        <v>Complete</v>
      </c>
      <c r="I1196" s="48" t="s">
        <v>5561</v>
      </c>
    </row>
    <row r="1197" spans="2:9" ht="15" customHeight="1" x14ac:dyDescent="0.25">
      <c r="B1197" s="55" t="s">
        <v>279</v>
      </c>
      <c r="C1197" s="46">
        <v>1185</v>
      </c>
      <c r="D1197" s="69" t="s">
        <v>29416</v>
      </c>
      <c r="E1197" s="51"/>
      <c r="F1197" s="114" t="str">
        <f>IF(INDEX(I.Facility.P1IDNumber,1185)="","",INDEX(I.Facility.P1IDNumber,1185))</f>
        <v/>
      </c>
      <c r="G1197" s="51"/>
      <c r="H1197" s="46" t="str">
        <f>IF(AND(I.Developer.P1=TRUE,I.Facility.P1FacilityCount&gt;=1185,F1197=""),"Incomplete","Complete")</f>
        <v>Complete</v>
      </c>
      <c r="I1197" s="48" t="s">
        <v>5562</v>
      </c>
    </row>
    <row r="1198" spans="2:9" ht="15" customHeight="1" x14ac:dyDescent="0.25">
      <c r="B1198" s="55" t="s">
        <v>279</v>
      </c>
      <c r="C1198" s="46">
        <v>1186</v>
      </c>
      <c r="D1198" s="69" t="s">
        <v>29416</v>
      </c>
      <c r="E1198" s="51"/>
      <c r="F1198" s="114" t="str">
        <f>IF(INDEX(I.Facility.P1IDNumber,1186)="","",INDEX(I.Facility.P1IDNumber,1186))</f>
        <v/>
      </c>
      <c r="G1198" s="51"/>
      <c r="H1198" s="46" t="str">
        <f>IF(AND(I.Developer.P1=TRUE,I.Facility.P1FacilityCount&gt;=1186,F1198=""),"Incomplete","Complete")</f>
        <v>Complete</v>
      </c>
      <c r="I1198" s="48" t="s">
        <v>5563</v>
      </c>
    </row>
    <row r="1199" spans="2:9" ht="15" customHeight="1" x14ac:dyDescent="0.25">
      <c r="B1199" s="55" t="s">
        <v>279</v>
      </c>
      <c r="C1199" s="46">
        <v>1187</v>
      </c>
      <c r="D1199" s="69" t="s">
        <v>29416</v>
      </c>
      <c r="E1199" s="51"/>
      <c r="F1199" s="114" t="str">
        <f>IF(INDEX(I.Facility.P1IDNumber,1187)="","",INDEX(I.Facility.P1IDNumber,1187))</f>
        <v/>
      </c>
      <c r="G1199" s="51"/>
      <c r="H1199" s="46" t="str">
        <f>IF(AND(I.Developer.P1=TRUE,I.Facility.P1FacilityCount&gt;=1187,F1199=""),"Incomplete","Complete")</f>
        <v>Complete</v>
      </c>
      <c r="I1199" s="48" t="s">
        <v>5564</v>
      </c>
    </row>
    <row r="1200" spans="2:9" ht="15" customHeight="1" x14ac:dyDescent="0.25">
      <c r="B1200" s="55" t="s">
        <v>279</v>
      </c>
      <c r="C1200" s="46">
        <v>1188</v>
      </c>
      <c r="D1200" s="69" t="s">
        <v>29416</v>
      </c>
      <c r="E1200" s="51"/>
      <c r="F1200" s="114" t="str">
        <f>IF(INDEX(I.Facility.P1IDNumber,1188)="","",INDEX(I.Facility.P1IDNumber,1188))</f>
        <v/>
      </c>
      <c r="G1200" s="51"/>
      <c r="H1200" s="46" t="str">
        <f>IF(AND(I.Developer.P1=TRUE,I.Facility.P1FacilityCount&gt;=1188,F1200=""),"Incomplete","Complete")</f>
        <v>Complete</v>
      </c>
      <c r="I1200" s="48" t="s">
        <v>5565</v>
      </c>
    </row>
    <row r="1201" spans="2:9" ht="15" customHeight="1" x14ac:dyDescent="0.25">
      <c r="B1201" s="55" t="s">
        <v>279</v>
      </c>
      <c r="C1201" s="46">
        <v>1189</v>
      </c>
      <c r="D1201" s="69" t="s">
        <v>29416</v>
      </c>
      <c r="E1201" s="51"/>
      <c r="F1201" s="114" t="str">
        <f>IF(INDEX(I.Facility.P1IDNumber,1189)="","",INDEX(I.Facility.P1IDNumber,1189))</f>
        <v/>
      </c>
      <c r="G1201" s="51"/>
      <c r="H1201" s="46" t="str">
        <f>IF(AND(I.Developer.P1=TRUE,I.Facility.P1FacilityCount&gt;=1189,F1201=""),"Incomplete","Complete")</f>
        <v>Complete</v>
      </c>
      <c r="I1201" s="48" t="s">
        <v>5566</v>
      </c>
    </row>
    <row r="1202" spans="2:9" ht="15" customHeight="1" x14ac:dyDescent="0.25">
      <c r="B1202" s="55" t="s">
        <v>279</v>
      </c>
      <c r="C1202" s="46">
        <v>1190</v>
      </c>
      <c r="D1202" s="69" t="s">
        <v>29416</v>
      </c>
      <c r="E1202" s="51"/>
      <c r="F1202" s="114" t="str">
        <f>IF(INDEX(I.Facility.P1IDNumber,1190)="","",INDEX(I.Facility.P1IDNumber,1190))</f>
        <v/>
      </c>
      <c r="G1202" s="51"/>
      <c r="H1202" s="46" t="str">
        <f>IF(AND(I.Developer.P1=TRUE,I.Facility.P1FacilityCount&gt;=1190,F1202=""),"Incomplete","Complete")</f>
        <v>Complete</v>
      </c>
      <c r="I1202" s="48" t="s">
        <v>5567</v>
      </c>
    </row>
    <row r="1203" spans="2:9" ht="15" customHeight="1" x14ac:dyDescent="0.25">
      <c r="B1203" s="55" t="s">
        <v>279</v>
      </c>
      <c r="C1203" s="46">
        <v>1191</v>
      </c>
      <c r="D1203" s="69" t="s">
        <v>29416</v>
      </c>
      <c r="E1203" s="51"/>
      <c r="F1203" s="114" t="str">
        <f>IF(INDEX(I.Facility.P1IDNumber,1191)="","",INDEX(I.Facility.P1IDNumber,1191))</f>
        <v/>
      </c>
      <c r="G1203" s="51"/>
      <c r="H1203" s="46" t="str">
        <f>IF(AND(I.Developer.P1=TRUE,I.Facility.P1FacilityCount&gt;=1191,F1203=""),"Incomplete","Complete")</f>
        <v>Complete</v>
      </c>
      <c r="I1203" s="48" t="s">
        <v>5568</v>
      </c>
    </row>
    <row r="1204" spans="2:9" ht="15" customHeight="1" x14ac:dyDescent="0.25">
      <c r="B1204" s="55" t="s">
        <v>279</v>
      </c>
      <c r="C1204" s="46">
        <v>1192</v>
      </c>
      <c r="D1204" s="69" t="s">
        <v>29416</v>
      </c>
      <c r="E1204" s="51"/>
      <c r="F1204" s="114" t="str">
        <f>IF(INDEX(I.Facility.P1IDNumber,1192)="","",INDEX(I.Facility.P1IDNumber,1192))</f>
        <v/>
      </c>
      <c r="G1204" s="51"/>
      <c r="H1204" s="46" t="str">
        <f>IF(AND(I.Developer.P1=TRUE,I.Facility.P1FacilityCount&gt;=1192,F1204=""),"Incomplete","Complete")</f>
        <v>Complete</v>
      </c>
      <c r="I1204" s="48" t="s">
        <v>5569</v>
      </c>
    </row>
    <row r="1205" spans="2:9" ht="15" customHeight="1" x14ac:dyDescent="0.25">
      <c r="B1205" s="55" t="s">
        <v>279</v>
      </c>
      <c r="C1205" s="46">
        <v>1193</v>
      </c>
      <c r="D1205" s="69" t="s">
        <v>29416</v>
      </c>
      <c r="E1205" s="51"/>
      <c r="F1205" s="114" t="str">
        <f>IF(INDEX(I.Facility.P1IDNumber,1193)="","",INDEX(I.Facility.P1IDNumber,1193))</f>
        <v/>
      </c>
      <c r="G1205" s="51"/>
      <c r="H1205" s="46" t="str">
        <f>IF(AND(I.Developer.P1=TRUE,I.Facility.P1FacilityCount&gt;=1193,F1205=""),"Incomplete","Complete")</f>
        <v>Complete</v>
      </c>
      <c r="I1205" s="48" t="s">
        <v>5570</v>
      </c>
    </row>
    <row r="1206" spans="2:9" ht="15" customHeight="1" x14ac:dyDescent="0.25">
      <c r="B1206" s="55" t="s">
        <v>279</v>
      </c>
      <c r="C1206" s="46">
        <v>1194</v>
      </c>
      <c r="D1206" s="69" t="s">
        <v>29416</v>
      </c>
      <c r="E1206" s="51"/>
      <c r="F1206" s="114" t="str">
        <f>IF(INDEX(I.Facility.P1IDNumber,1194)="","",INDEX(I.Facility.P1IDNumber,1194))</f>
        <v/>
      </c>
      <c r="G1206" s="51"/>
      <c r="H1206" s="46" t="str">
        <f>IF(AND(I.Developer.P1=TRUE,I.Facility.P1FacilityCount&gt;=1194,F1206=""),"Incomplete","Complete")</f>
        <v>Complete</v>
      </c>
      <c r="I1206" s="48" t="s">
        <v>5571</v>
      </c>
    </row>
    <row r="1207" spans="2:9" ht="15" customHeight="1" x14ac:dyDescent="0.25">
      <c r="B1207" s="55" t="s">
        <v>279</v>
      </c>
      <c r="C1207" s="46">
        <v>1195</v>
      </c>
      <c r="D1207" s="69" t="s">
        <v>29416</v>
      </c>
      <c r="E1207" s="51"/>
      <c r="F1207" s="114" t="str">
        <f>IF(INDEX(I.Facility.P1IDNumber,1195)="","",INDEX(I.Facility.P1IDNumber,1195))</f>
        <v/>
      </c>
      <c r="G1207" s="51"/>
      <c r="H1207" s="46" t="str">
        <f>IF(AND(I.Developer.P1=TRUE,I.Facility.P1FacilityCount&gt;=1195,F1207=""),"Incomplete","Complete")</f>
        <v>Complete</v>
      </c>
      <c r="I1207" s="48" t="s">
        <v>5572</v>
      </c>
    </row>
    <row r="1208" spans="2:9" ht="15" customHeight="1" x14ac:dyDescent="0.25">
      <c r="B1208" s="55" t="s">
        <v>279</v>
      </c>
      <c r="C1208" s="46">
        <v>1196</v>
      </c>
      <c r="D1208" s="69" t="s">
        <v>29416</v>
      </c>
      <c r="E1208" s="51"/>
      <c r="F1208" s="114" t="str">
        <f>IF(INDEX(I.Facility.P1IDNumber,1196)="","",INDEX(I.Facility.P1IDNumber,1196))</f>
        <v/>
      </c>
      <c r="G1208" s="51"/>
      <c r="H1208" s="46" t="str">
        <f>IF(AND(I.Developer.P1=TRUE,I.Facility.P1FacilityCount&gt;=1196,F1208=""),"Incomplete","Complete")</f>
        <v>Complete</v>
      </c>
      <c r="I1208" s="48" t="s">
        <v>5573</v>
      </c>
    </row>
    <row r="1209" spans="2:9" ht="15" customHeight="1" x14ac:dyDescent="0.25">
      <c r="B1209" s="55" t="s">
        <v>279</v>
      </c>
      <c r="C1209" s="46">
        <v>1197</v>
      </c>
      <c r="D1209" s="69" t="s">
        <v>29416</v>
      </c>
      <c r="E1209" s="51"/>
      <c r="F1209" s="114" t="str">
        <f>IF(INDEX(I.Facility.P1IDNumber,1197)="","",INDEX(I.Facility.P1IDNumber,1197))</f>
        <v/>
      </c>
      <c r="G1209" s="51"/>
      <c r="H1209" s="46" t="str">
        <f>IF(AND(I.Developer.P1=TRUE,I.Facility.P1FacilityCount&gt;=1197,F1209=""),"Incomplete","Complete")</f>
        <v>Complete</v>
      </c>
      <c r="I1209" s="48" t="s">
        <v>5574</v>
      </c>
    </row>
    <row r="1210" spans="2:9" ht="15" customHeight="1" x14ac:dyDescent="0.25">
      <c r="B1210" s="55" t="s">
        <v>279</v>
      </c>
      <c r="C1210" s="46">
        <v>1198</v>
      </c>
      <c r="D1210" s="69" t="s">
        <v>29416</v>
      </c>
      <c r="E1210" s="51"/>
      <c r="F1210" s="114" t="str">
        <f>IF(INDEX(I.Facility.P1IDNumber,1198)="","",INDEX(I.Facility.P1IDNumber,1198))</f>
        <v/>
      </c>
      <c r="G1210" s="51"/>
      <c r="H1210" s="46" t="str">
        <f>IF(AND(I.Developer.P1=TRUE,I.Facility.P1FacilityCount&gt;=1198,F1210=""),"Incomplete","Complete")</f>
        <v>Complete</v>
      </c>
      <c r="I1210" s="48" t="s">
        <v>5575</v>
      </c>
    </row>
    <row r="1211" spans="2:9" ht="15" customHeight="1" x14ac:dyDescent="0.25">
      <c r="B1211" s="55" t="s">
        <v>279</v>
      </c>
      <c r="C1211" s="46">
        <v>1199</v>
      </c>
      <c r="D1211" s="69" t="s">
        <v>29416</v>
      </c>
      <c r="E1211" s="51"/>
      <c r="F1211" s="114" t="str">
        <f>IF(INDEX(I.Facility.P1IDNumber,1199)="","",INDEX(I.Facility.P1IDNumber,1199))</f>
        <v/>
      </c>
      <c r="G1211" s="51"/>
      <c r="H1211" s="46" t="str">
        <f>IF(AND(I.Developer.P1=TRUE,I.Facility.P1FacilityCount&gt;=1199,F1211=""),"Incomplete","Complete")</f>
        <v>Complete</v>
      </c>
      <c r="I1211" s="48" t="s">
        <v>5576</v>
      </c>
    </row>
    <row r="1212" spans="2:9" ht="15" customHeight="1" x14ac:dyDescent="0.25">
      <c r="B1212" s="55" t="s">
        <v>279</v>
      </c>
      <c r="C1212" s="46">
        <v>1200</v>
      </c>
      <c r="D1212" s="69" t="s">
        <v>29416</v>
      </c>
      <c r="E1212" s="51"/>
      <c r="F1212" s="114" t="str">
        <f>IF(INDEX(I.Facility.P1IDNumber,1200)="","",INDEX(I.Facility.P1IDNumber,1200))</f>
        <v/>
      </c>
      <c r="G1212" s="51"/>
      <c r="H1212" s="46" t="str">
        <f>IF(AND(I.Developer.P1=TRUE,I.Facility.P1FacilityCount&gt;=1200,F1212=""),"Incomplete","Complete")</f>
        <v>Complete</v>
      </c>
      <c r="I1212" s="48" t="s">
        <v>5577</v>
      </c>
    </row>
    <row r="1213" spans="2:9" ht="15" customHeight="1" x14ac:dyDescent="0.25">
      <c r="B1213" s="55" t="s">
        <v>279</v>
      </c>
      <c r="C1213" s="46">
        <v>1201</v>
      </c>
      <c r="D1213" s="69" t="s">
        <v>29416</v>
      </c>
      <c r="E1213" s="51"/>
      <c r="F1213" s="114" t="str">
        <f>IF(INDEX(I.Facility.P1IDNumber,1201)="","",INDEX(I.Facility.P1IDNumber,1201))</f>
        <v/>
      </c>
      <c r="G1213" s="51"/>
      <c r="H1213" s="46" t="str">
        <f>IF(AND(I.Developer.P1=TRUE,I.Facility.P1FacilityCount&gt;=1201,F1213=""),"Incomplete","Complete")</f>
        <v>Complete</v>
      </c>
      <c r="I1213" s="48" t="s">
        <v>5578</v>
      </c>
    </row>
    <row r="1214" spans="2:9" ht="15" customHeight="1" x14ac:dyDescent="0.25">
      <c r="B1214" s="55" t="s">
        <v>279</v>
      </c>
      <c r="C1214" s="46">
        <v>1202</v>
      </c>
      <c r="D1214" s="69" t="s">
        <v>29416</v>
      </c>
      <c r="E1214" s="51"/>
      <c r="F1214" s="114" t="str">
        <f>IF(INDEX(I.Facility.P1IDNumber,1202)="","",INDEX(I.Facility.P1IDNumber,1202))</f>
        <v/>
      </c>
      <c r="G1214" s="51"/>
      <c r="H1214" s="46" t="str">
        <f>IF(AND(I.Developer.P1=TRUE,I.Facility.P1FacilityCount&gt;=1202,F1214=""),"Incomplete","Complete")</f>
        <v>Complete</v>
      </c>
      <c r="I1214" s="48" t="s">
        <v>5579</v>
      </c>
    </row>
    <row r="1215" spans="2:9" ht="15" customHeight="1" x14ac:dyDescent="0.25">
      <c r="B1215" s="55" t="s">
        <v>279</v>
      </c>
      <c r="C1215" s="46">
        <v>1203</v>
      </c>
      <c r="D1215" s="69" t="s">
        <v>29416</v>
      </c>
      <c r="E1215" s="51"/>
      <c r="F1215" s="114" t="str">
        <f>IF(INDEX(I.Facility.P1IDNumber,1203)="","",INDEX(I.Facility.P1IDNumber,1203))</f>
        <v/>
      </c>
      <c r="G1215" s="51"/>
      <c r="H1215" s="46" t="str">
        <f>IF(AND(I.Developer.P1=TRUE,I.Facility.P1FacilityCount&gt;=1203,F1215=""),"Incomplete","Complete")</f>
        <v>Complete</v>
      </c>
      <c r="I1215" s="48" t="s">
        <v>5580</v>
      </c>
    </row>
    <row r="1216" spans="2:9" ht="15" customHeight="1" x14ac:dyDescent="0.25">
      <c r="B1216" s="55" t="s">
        <v>279</v>
      </c>
      <c r="C1216" s="46">
        <v>1204</v>
      </c>
      <c r="D1216" s="69" t="s">
        <v>29416</v>
      </c>
      <c r="E1216" s="51"/>
      <c r="F1216" s="114" t="str">
        <f>IF(INDEX(I.Facility.P1IDNumber,1204)="","",INDEX(I.Facility.P1IDNumber,1204))</f>
        <v/>
      </c>
      <c r="G1216" s="51"/>
      <c r="H1216" s="46" t="str">
        <f>IF(AND(I.Developer.P1=TRUE,I.Facility.P1FacilityCount&gt;=1204,F1216=""),"Incomplete","Complete")</f>
        <v>Complete</v>
      </c>
      <c r="I1216" s="48" t="s">
        <v>5581</v>
      </c>
    </row>
    <row r="1217" spans="2:9" ht="15" customHeight="1" x14ac:dyDescent="0.25">
      <c r="B1217" s="55" t="s">
        <v>279</v>
      </c>
      <c r="C1217" s="46">
        <v>1205</v>
      </c>
      <c r="D1217" s="69" t="s">
        <v>29416</v>
      </c>
      <c r="E1217" s="51"/>
      <c r="F1217" s="114" t="str">
        <f>IF(INDEX(I.Facility.P1IDNumber,1205)="","",INDEX(I.Facility.P1IDNumber,1205))</f>
        <v/>
      </c>
      <c r="G1217" s="51"/>
      <c r="H1217" s="46" t="str">
        <f>IF(AND(I.Developer.P1=TRUE,I.Facility.P1FacilityCount&gt;=1205,F1217=""),"Incomplete","Complete")</f>
        <v>Complete</v>
      </c>
      <c r="I1217" s="48" t="s">
        <v>5582</v>
      </c>
    </row>
    <row r="1218" spans="2:9" ht="15" customHeight="1" x14ac:dyDescent="0.25">
      <c r="B1218" s="55" t="s">
        <v>279</v>
      </c>
      <c r="C1218" s="46">
        <v>1206</v>
      </c>
      <c r="D1218" s="69" t="s">
        <v>29416</v>
      </c>
      <c r="E1218" s="51"/>
      <c r="F1218" s="114" t="str">
        <f>IF(INDEX(I.Facility.P1IDNumber,1206)="","",INDEX(I.Facility.P1IDNumber,1206))</f>
        <v/>
      </c>
      <c r="G1218" s="51"/>
      <c r="H1218" s="46" t="str">
        <f>IF(AND(I.Developer.P1=TRUE,I.Facility.P1FacilityCount&gt;=1206,F1218=""),"Incomplete","Complete")</f>
        <v>Complete</v>
      </c>
      <c r="I1218" s="48" t="s">
        <v>5583</v>
      </c>
    </row>
    <row r="1219" spans="2:9" ht="15" customHeight="1" x14ac:dyDescent="0.25">
      <c r="B1219" s="55" t="s">
        <v>279</v>
      </c>
      <c r="C1219" s="46">
        <v>1207</v>
      </c>
      <c r="D1219" s="69" t="s">
        <v>29416</v>
      </c>
      <c r="E1219" s="51"/>
      <c r="F1219" s="114" t="str">
        <f>IF(INDEX(I.Facility.P1IDNumber,1207)="","",INDEX(I.Facility.P1IDNumber,1207))</f>
        <v/>
      </c>
      <c r="G1219" s="51"/>
      <c r="H1219" s="46" t="str">
        <f>IF(AND(I.Developer.P1=TRUE,I.Facility.P1FacilityCount&gt;=1207,F1219=""),"Incomplete","Complete")</f>
        <v>Complete</v>
      </c>
      <c r="I1219" s="48" t="s">
        <v>5584</v>
      </c>
    </row>
    <row r="1220" spans="2:9" ht="15" customHeight="1" x14ac:dyDescent="0.25">
      <c r="B1220" s="55" t="s">
        <v>279</v>
      </c>
      <c r="C1220" s="46">
        <v>1208</v>
      </c>
      <c r="D1220" s="69" t="s">
        <v>29416</v>
      </c>
      <c r="E1220" s="51"/>
      <c r="F1220" s="114" t="str">
        <f>IF(INDEX(I.Facility.P1IDNumber,1208)="","",INDEX(I.Facility.P1IDNumber,1208))</f>
        <v/>
      </c>
      <c r="G1220" s="51"/>
      <c r="H1220" s="46" t="str">
        <f>IF(AND(I.Developer.P1=TRUE,I.Facility.P1FacilityCount&gt;=1208,F1220=""),"Incomplete","Complete")</f>
        <v>Complete</v>
      </c>
      <c r="I1220" s="48" t="s">
        <v>5585</v>
      </c>
    </row>
    <row r="1221" spans="2:9" ht="15" customHeight="1" x14ac:dyDescent="0.25">
      <c r="B1221" s="55" t="s">
        <v>279</v>
      </c>
      <c r="C1221" s="46">
        <v>1209</v>
      </c>
      <c r="D1221" s="69" t="s">
        <v>29416</v>
      </c>
      <c r="E1221" s="51"/>
      <c r="F1221" s="114" t="str">
        <f>IF(INDEX(I.Facility.P1IDNumber,1209)="","",INDEX(I.Facility.P1IDNumber,1209))</f>
        <v/>
      </c>
      <c r="G1221" s="51"/>
      <c r="H1221" s="46" t="str">
        <f>IF(AND(I.Developer.P1=TRUE,I.Facility.P1FacilityCount&gt;=1209,F1221=""),"Incomplete","Complete")</f>
        <v>Complete</v>
      </c>
      <c r="I1221" s="48" t="s">
        <v>5586</v>
      </c>
    </row>
    <row r="1222" spans="2:9" ht="15" customHeight="1" x14ac:dyDescent="0.25">
      <c r="B1222" s="55" t="s">
        <v>279</v>
      </c>
      <c r="C1222" s="46">
        <v>1210</v>
      </c>
      <c r="D1222" s="69" t="s">
        <v>29416</v>
      </c>
      <c r="E1222" s="51"/>
      <c r="F1222" s="114" t="str">
        <f>IF(INDEX(I.Facility.P1IDNumber,1210)="","",INDEX(I.Facility.P1IDNumber,1210))</f>
        <v/>
      </c>
      <c r="G1222" s="51"/>
      <c r="H1222" s="46" t="str">
        <f>IF(AND(I.Developer.P1=TRUE,I.Facility.P1FacilityCount&gt;=1210,F1222=""),"Incomplete","Complete")</f>
        <v>Complete</v>
      </c>
      <c r="I1222" s="48" t="s">
        <v>5587</v>
      </c>
    </row>
    <row r="1223" spans="2:9" ht="15" customHeight="1" x14ac:dyDescent="0.25">
      <c r="B1223" s="55" t="s">
        <v>279</v>
      </c>
      <c r="C1223" s="46">
        <v>1211</v>
      </c>
      <c r="D1223" s="69" t="s">
        <v>29416</v>
      </c>
      <c r="E1223" s="51"/>
      <c r="F1223" s="114" t="str">
        <f>IF(INDEX(I.Facility.P1IDNumber,1211)="","",INDEX(I.Facility.P1IDNumber,1211))</f>
        <v/>
      </c>
      <c r="G1223" s="51"/>
      <c r="H1223" s="46" t="str">
        <f>IF(AND(I.Developer.P1=TRUE,I.Facility.P1FacilityCount&gt;=1211,F1223=""),"Incomplete","Complete")</f>
        <v>Complete</v>
      </c>
      <c r="I1223" s="48" t="s">
        <v>5588</v>
      </c>
    </row>
    <row r="1224" spans="2:9" ht="15" customHeight="1" x14ac:dyDescent="0.25">
      <c r="B1224" s="55" t="s">
        <v>279</v>
      </c>
      <c r="C1224" s="46">
        <v>1212</v>
      </c>
      <c r="D1224" s="69" t="s">
        <v>29416</v>
      </c>
      <c r="E1224" s="51"/>
      <c r="F1224" s="114" t="str">
        <f>IF(INDEX(I.Facility.P1IDNumber,1212)="","",INDEX(I.Facility.P1IDNumber,1212))</f>
        <v/>
      </c>
      <c r="G1224" s="51"/>
      <c r="H1224" s="46" t="str">
        <f>IF(AND(I.Developer.P1=TRUE,I.Facility.P1FacilityCount&gt;=1212,F1224=""),"Incomplete","Complete")</f>
        <v>Complete</v>
      </c>
      <c r="I1224" s="48" t="s">
        <v>5589</v>
      </c>
    </row>
    <row r="1225" spans="2:9" ht="15" customHeight="1" x14ac:dyDescent="0.25">
      <c r="B1225" s="55" t="s">
        <v>279</v>
      </c>
      <c r="C1225" s="46">
        <v>1213</v>
      </c>
      <c r="D1225" s="69" t="s">
        <v>29416</v>
      </c>
      <c r="E1225" s="51"/>
      <c r="F1225" s="114" t="str">
        <f>IF(INDEX(I.Facility.P1IDNumber,1213)="","",INDEX(I.Facility.P1IDNumber,1213))</f>
        <v/>
      </c>
      <c r="G1225" s="51"/>
      <c r="H1225" s="46" t="str">
        <f>IF(AND(I.Developer.P1=TRUE,I.Facility.P1FacilityCount&gt;=1213,F1225=""),"Incomplete","Complete")</f>
        <v>Complete</v>
      </c>
      <c r="I1225" s="48" t="s">
        <v>5590</v>
      </c>
    </row>
    <row r="1226" spans="2:9" ht="15" customHeight="1" x14ac:dyDescent="0.25">
      <c r="B1226" s="55" t="s">
        <v>279</v>
      </c>
      <c r="C1226" s="46">
        <v>1214</v>
      </c>
      <c r="D1226" s="69" t="s">
        <v>29416</v>
      </c>
      <c r="E1226" s="51"/>
      <c r="F1226" s="114" t="str">
        <f>IF(INDEX(I.Facility.P1IDNumber,1214)="","",INDEX(I.Facility.P1IDNumber,1214))</f>
        <v/>
      </c>
      <c r="G1226" s="51"/>
      <c r="H1226" s="46" t="str">
        <f>IF(AND(I.Developer.P1=TRUE,I.Facility.P1FacilityCount&gt;=1214,F1226=""),"Incomplete","Complete")</f>
        <v>Complete</v>
      </c>
      <c r="I1226" s="48" t="s">
        <v>5591</v>
      </c>
    </row>
    <row r="1227" spans="2:9" ht="15" customHeight="1" x14ac:dyDescent="0.25">
      <c r="B1227" s="55" t="s">
        <v>279</v>
      </c>
      <c r="C1227" s="46">
        <v>1215</v>
      </c>
      <c r="D1227" s="69" t="s">
        <v>29416</v>
      </c>
      <c r="E1227" s="51"/>
      <c r="F1227" s="114" t="str">
        <f>IF(INDEX(I.Facility.P1IDNumber,1215)="","",INDEX(I.Facility.P1IDNumber,1215))</f>
        <v/>
      </c>
      <c r="G1227" s="51"/>
      <c r="H1227" s="46" t="str">
        <f>IF(AND(I.Developer.P1=TRUE,I.Facility.P1FacilityCount&gt;=1215,F1227=""),"Incomplete","Complete")</f>
        <v>Complete</v>
      </c>
      <c r="I1227" s="48" t="s">
        <v>5592</v>
      </c>
    </row>
    <row r="1228" spans="2:9" ht="15" customHeight="1" x14ac:dyDescent="0.25">
      <c r="B1228" s="55" t="s">
        <v>279</v>
      </c>
      <c r="C1228" s="46">
        <v>1216</v>
      </c>
      <c r="D1228" s="69" t="s">
        <v>29416</v>
      </c>
      <c r="E1228" s="51"/>
      <c r="F1228" s="114" t="str">
        <f>IF(INDEX(I.Facility.P1IDNumber,1216)="","",INDEX(I.Facility.P1IDNumber,1216))</f>
        <v/>
      </c>
      <c r="G1228" s="51"/>
      <c r="H1228" s="46" t="str">
        <f>IF(AND(I.Developer.P1=TRUE,I.Facility.P1FacilityCount&gt;=1216,F1228=""),"Incomplete","Complete")</f>
        <v>Complete</v>
      </c>
      <c r="I1228" s="48" t="s">
        <v>5593</v>
      </c>
    </row>
    <row r="1229" spans="2:9" ht="15" customHeight="1" x14ac:dyDescent="0.25">
      <c r="B1229" s="55" t="s">
        <v>279</v>
      </c>
      <c r="C1229" s="46">
        <v>1217</v>
      </c>
      <c r="D1229" s="69" t="s">
        <v>29416</v>
      </c>
      <c r="E1229" s="51"/>
      <c r="F1229" s="114" t="str">
        <f>IF(INDEX(I.Facility.P1IDNumber,1217)="","",INDEX(I.Facility.P1IDNumber,1217))</f>
        <v/>
      </c>
      <c r="G1229" s="51"/>
      <c r="H1229" s="46" t="str">
        <f>IF(AND(I.Developer.P1=TRUE,I.Facility.P1FacilityCount&gt;=1217,F1229=""),"Incomplete","Complete")</f>
        <v>Complete</v>
      </c>
      <c r="I1229" s="48" t="s">
        <v>5594</v>
      </c>
    </row>
    <row r="1230" spans="2:9" ht="15" customHeight="1" x14ac:dyDescent="0.25">
      <c r="B1230" s="55" t="s">
        <v>279</v>
      </c>
      <c r="C1230" s="46">
        <v>1218</v>
      </c>
      <c r="D1230" s="69" t="s">
        <v>29416</v>
      </c>
      <c r="E1230" s="51"/>
      <c r="F1230" s="114" t="str">
        <f>IF(INDEX(I.Facility.P1IDNumber,1218)="","",INDEX(I.Facility.P1IDNumber,1218))</f>
        <v/>
      </c>
      <c r="G1230" s="51"/>
      <c r="H1230" s="46" t="str">
        <f>IF(AND(I.Developer.P1=TRUE,I.Facility.P1FacilityCount&gt;=1218,F1230=""),"Incomplete","Complete")</f>
        <v>Complete</v>
      </c>
      <c r="I1230" s="48" t="s">
        <v>5595</v>
      </c>
    </row>
    <row r="1231" spans="2:9" ht="15" customHeight="1" x14ac:dyDescent="0.25">
      <c r="B1231" s="55" t="s">
        <v>279</v>
      </c>
      <c r="C1231" s="46">
        <v>1219</v>
      </c>
      <c r="D1231" s="69" t="s">
        <v>29416</v>
      </c>
      <c r="E1231" s="51"/>
      <c r="F1231" s="114" t="str">
        <f>IF(INDEX(I.Facility.P1IDNumber,1219)="","",INDEX(I.Facility.P1IDNumber,1219))</f>
        <v/>
      </c>
      <c r="G1231" s="51"/>
      <c r="H1231" s="46" t="str">
        <f>IF(AND(I.Developer.P1=TRUE,I.Facility.P1FacilityCount&gt;=1219,F1231=""),"Incomplete","Complete")</f>
        <v>Complete</v>
      </c>
      <c r="I1231" s="48" t="s">
        <v>5596</v>
      </c>
    </row>
    <row r="1232" spans="2:9" ht="15" customHeight="1" x14ac:dyDescent="0.25">
      <c r="B1232" s="55" t="s">
        <v>279</v>
      </c>
      <c r="C1232" s="46">
        <v>1220</v>
      </c>
      <c r="D1232" s="69" t="s">
        <v>29416</v>
      </c>
      <c r="E1232" s="51"/>
      <c r="F1232" s="114" t="str">
        <f>IF(INDEX(I.Facility.P1IDNumber,1220)="","",INDEX(I.Facility.P1IDNumber,1220))</f>
        <v/>
      </c>
      <c r="G1232" s="51"/>
      <c r="H1232" s="46" t="str">
        <f>IF(AND(I.Developer.P1=TRUE,I.Facility.P1FacilityCount&gt;=1220,F1232=""),"Incomplete","Complete")</f>
        <v>Complete</v>
      </c>
      <c r="I1232" s="48" t="s">
        <v>5597</v>
      </c>
    </row>
    <row r="1233" spans="2:9" ht="15" customHeight="1" x14ac:dyDescent="0.25">
      <c r="B1233" s="55" t="s">
        <v>279</v>
      </c>
      <c r="C1233" s="46">
        <v>1221</v>
      </c>
      <c r="D1233" s="69" t="s">
        <v>29416</v>
      </c>
      <c r="E1233" s="51"/>
      <c r="F1233" s="114" t="str">
        <f>IF(INDEX(I.Facility.P1IDNumber,1221)="","",INDEX(I.Facility.P1IDNumber,1221))</f>
        <v/>
      </c>
      <c r="G1233" s="51"/>
      <c r="H1233" s="46" t="str">
        <f>IF(AND(I.Developer.P1=TRUE,I.Facility.P1FacilityCount&gt;=1221,F1233=""),"Incomplete","Complete")</f>
        <v>Complete</v>
      </c>
      <c r="I1233" s="48" t="s">
        <v>5598</v>
      </c>
    </row>
    <row r="1234" spans="2:9" ht="15" customHeight="1" x14ac:dyDescent="0.25">
      <c r="B1234" s="55" t="s">
        <v>279</v>
      </c>
      <c r="C1234" s="46">
        <v>1222</v>
      </c>
      <c r="D1234" s="69" t="s">
        <v>29416</v>
      </c>
      <c r="E1234" s="51"/>
      <c r="F1234" s="114" t="str">
        <f>IF(INDEX(I.Facility.P1IDNumber,1222)="","",INDEX(I.Facility.P1IDNumber,1222))</f>
        <v/>
      </c>
      <c r="G1234" s="51"/>
      <c r="H1234" s="46" t="str">
        <f>IF(AND(I.Developer.P1=TRUE,I.Facility.P1FacilityCount&gt;=1222,F1234=""),"Incomplete","Complete")</f>
        <v>Complete</v>
      </c>
      <c r="I1234" s="48" t="s">
        <v>5599</v>
      </c>
    </row>
    <row r="1235" spans="2:9" ht="15" customHeight="1" x14ac:dyDescent="0.25">
      <c r="B1235" s="55" t="s">
        <v>279</v>
      </c>
      <c r="C1235" s="46">
        <v>1223</v>
      </c>
      <c r="D1235" s="69" t="s">
        <v>29416</v>
      </c>
      <c r="E1235" s="51"/>
      <c r="F1235" s="114" t="str">
        <f>IF(INDEX(I.Facility.P1IDNumber,1223)="","",INDEX(I.Facility.P1IDNumber,1223))</f>
        <v/>
      </c>
      <c r="G1235" s="51"/>
      <c r="H1235" s="46" t="str">
        <f>IF(AND(I.Developer.P1=TRUE,I.Facility.P1FacilityCount&gt;=1223,F1235=""),"Incomplete","Complete")</f>
        <v>Complete</v>
      </c>
      <c r="I1235" s="48" t="s">
        <v>5600</v>
      </c>
    </row>
    <row r="1236" spans="2:9" ht="15" customHeight="1" x14ac:dyDescent="0.25">
      <c r="B1236" s="55" t="s">
        <v>279</v>
      </c>
      <c r="C1236" s="46">
        <v>1224</v>
      </c>
      <c r="D1236" s="69" t="s">
        <v>29416</v>
      </c>
      <c r="E1236" s="51"/>
      <c r="F1236" s="114" t="str">
        <f>IF(INDEX(I.Facility.P1IDNumber,1224)="","",INDEX(I.Facility.P1IDNumber,1224))</f>
        <v/>
      </c>
      <c r="G1236" s="51"/>
      <c r="H1236" s="46" t="str">
        <f>IF(AND(I.Developer.P1=TRUE,I.Facility.P1FacilityCount&gt;=1224,F1236=""),"Incomplete","Complete")</f>
        <v>Complete</v>
      </c>
      <c r="I1236" s="48" t="s">
        <v>5601</v>
      </c>
    </row>
    <row r="1237" spans="2:9" ht="15" customHeight="1" x14ac:dyDescent="0.25">
      <c r="B1237" s="55" t="s">
        <v>279</v>
      </c>
      <c r="C1237" s="46">
        <v>1225</v>
      </c>
      <c r="D1237" s="69" t="s">
        <v>29416</v>
      </c>
      <c r="E1237" s="51"/>
      <c r="F1237" s="114" t="str">
        <f>IF(INDEX(I.Facility.P1IDNumber,1225)="","",INDEX(I.Facility.P1IDNumber,1225))</f>
        <v/>
      </c>
      <c r="G1237" s="51"/>
      <c r="H1237" s="46" t="str">
        <f>IF(AND(I.Developer.P1=TRUE,I.Facility.P1FacilityCount&gt;=1225,F1237=""),"Incomplete","Complete")</f>
        <v>Complete</v>
      </c>
      <c r="I1237" s="48" t="s">
        <v>5602</v>
      </c>
    </row>
    <row r="1238" spans="2:9" ht="15" customHeight="1" x14ac:dyDescent="0.25">
      <c r="B1238" s="55" t="s">
        <v>279</v>
      </c>
      <c r="C1238" s="46">
        <v>1226</v>
      </c>
      <c r="D1238" s="69" t="s">
        <v>29416</v>
      </c>
      <c r="E1238" s="51"/>
      <c r="F1238" s="114" t="str">
        <f>IF(INDEX(I.Facility.P1IDNumber,1226)="","",INDEX(I.Facility.P1IDNumber,1226))</f>
        <v/>
      </c>
      <c r="G1238" s="51"/>
      <c r="H1238" s="46" t="str">
        <f>IF(AND(I.Developer.P1=TRUE,I.Facility.P1FacilityCount&gt;=1226,F1238=""),"Incomplete","Complete")</f>
        <v>Complete</v>
      </c>
      <c r="I1238" s="48" t="s">
        <v>5603</v>
      </c>
    </row>
    <row r="1239" spans="2:9" ht="15" customHeight="1" x14ac:dyDescent="0.25">
      <c r="B1239" s="55" t="s">
        <v>279</v>
      </c>
      <c r="C1239" s="46">
        <v>1227</v>
      </c>
      <c r="D1239" s="69" t="s">
        <v>29416</v>
      </c>
      <c r="E1239" s="51"/>
      <c r="F1239" s="114" t="str">
        <f>IF(INDEX(I.Facility.P1IDNumber,1227)="","",INDEX(I.Facility.P1IDNumber,1227))</f>
        <v/>
      </c>
      <c r="G1239" s="51"/>
      <c r="H1239" s="46" t="str">
        <f>IF(AND(I.Developer.P1=TRUE,I.Facility.P1FacilityCount&gt;=1227,F1239=""),"Incomplete","Complete")</f>
        <v>Complete</v>
      </c>
      <c r="I1239" s="48" t="s">
        <v>5604</v>
      </c>
    </row>
    <row r="1240" spans="2:9" ht="15" customHeight="1" x14ac:dyDescent="0.25">
      <c r="B1240" s="55" t="s">
        <v>279</v>
      </c>
      <c r="C1240" s="46">
        <v>1228</v>
      </c>
      <c r="D1240" s="69" t="s">
        <v>29416</v>
      </c>
      <c r="E1240" s="51"/>
      <c r="F1240" s="114" t="str">
        <f>IF(INDEX(I.Facility.P1IDNumber,1228)="","",INDEX(I.Facility.P1IDNumber,1228))</f>
        <v/>
      </c>
      <c r="G1240" s="51"/>
      <c r="H1240" s="46" t="str">
        <f>IF(AND(I.Developer.P1=TRUE,I.Facility.P1FacilityCount&gt;=1228,F1240=""),"Incomplete","Complete")</f>
        <v>Complete</v>
      </c>
      <c r="I1240" s="48" t="s">
        <v>5605</v>
      </c>
    </row>
    <row r="1241" spans="2:9" ht="15" customHeight="1" x14ac:dyDescent="0.25">
      <c r="B1241" s="55" t="s">
        <v>279</v>
      </c>
      <c r="C1241" s="46">
        <v>1229</v>
      </c>
      <c r="D1241" s="69" t="s">
        <v>29416</v>
      </c>
      <c r="E1241" s="51"/>
      <c r="F1241" s="114" t="str">
        <f>IF(INDEX(I.Facility.P1IDNumber,1229)="","",INDEX(I.Facility.P1IDNumber,1229))</f>
        <v/>
      </c>
      <c r="G1241" s="51"/>
      <c r="H1241" s="46" t="str">
        <f>IF(AND(I.Developer.P1=TRUE,I.Facility.P1FacilityCount&gt;=1229,F1241=""),"Incomplete","Complete")</f>
        <v>Complete</v>
      </c>
      <c r="I1241" s="48" t="s">
        <v>5606</v>
      </c>
    </row>
    <row r="1242" spans="2:9" ht="15" customHeight="1" x14ac:dyDescent="0.25">
      <c r="B1242" s="55" t="s">
        <v>279</v>
      </c>
      <c r="C1242" s="46">
        <v>1230</v>
      </c>
      <c r="D1242" s="69" t="s">
        <v>29416</v>
      </c>
      <c r="E1242" s="51"/>
      <c r="F1242" s="114" t="str">
        <f>IF(INDEX(I.Facility.P1IDNumber,1230)="","",INDEX(I.Facility.P1IDNumber,1230))</f>
        <v/>
      </c>
      <c r="G1242" s="51"/>
      <c r="H1242" s="46" t="str">
        <f>IF(AND(I.Developer.P1=TRUE,I.Facility.P1FacilityCount&gt;=1230,F1242=""),"Incomplete","Complete")</f>
        <v>Complete</v>
      </c>
      <c r="I1242" s="48" t="s">
        <v>5607</v>
      </c>
    </row>
    <row r="1243" spans="2:9" ht="15" customHeight="1" x14ac:dyDescent="0.25">
      <c r="B1243" s="55" t="s">
        <v>279</v>
      </c>
      <c r="C1243" s="46">
        <v>1231</v>
      </c>
      <c r="D1243" s="69" t="s">
        <v>29416</v>
      </c>
      <c r="E1243" s="51"/>
      <c r="F1243" s="114" t="str">
        <f>IF(INDEX(I.Facility.P1IDNumber,1231)="","",INDEX(I.Facility.P1IDNumber,1231))</f>
        <v/>
      </c>
      <c r="G1243" s="51"/>
      <c r="H1243" s="46" t="str">
        <f>IF(AND(I.Developer.P1=TRUE,I.Facility.P1FacilityCount&gt;=1231,F1243=""),"Incomplete","Complete")</f>
        <v>Complete</v>
      </c>
      <c r="I1243" s="48" t="s">
        <v>5608</v>
      </c>
    </row>
    <row r="1244" spans="2:9" ht="15" customHeight="1" x14ac:dyDescent="0.25">
      <c r="B1244" s="55" t="s">
        <v>279</v>
      </c>
      <c r="C1244" s="46">
        <v>1232</v>
      </c>
      <c r="D1244" s="69" t="s">
        <v>29416</v>
      </c>
      <c r="E1244" s="51"/>
      <c r="F1244" s="114" t="str">
        <f>IF(INDEX(I.Facility.P1IDNumber,1232)="","",INDEX(I.Facility.P1IDNumber,1232))</f>
        <v/>
      </c>
      <c r="G1244" s="51"/>
      <c r="H1244" s="46" t="str">
        <f>IF(AND(I.Developer.P1=TRUE,I.Facility.P1FacilityCount&gt;=1232,F1244=""),"Incomplete","Complete")</f>
        <v>Complete</v>
      </c>
      <c r="I1244" s="48" t="s">
        <v>5609</v>
      </c>
    </row>
    <row r="1245" spans="2:9" ht="15" customHeight="1" x14ac:dyDescent="0.25">
      <c r="B1245" s="55" t="s">
        <v>279</v>
      </c>
      <c r="C1245" s="46">
        <v>1233</v>
      </c>
      <c r="D1245" s="69" t="s">
        <v>29416</v>
      </c>
      <c r="E1245" s="51"/>
      <c r="F1245" s="114" t="str">
        <f>IF(INDEX(I.Facility.P1IDNumber,1233)="","",INDEX(I.Facility.P1IDNumber,1233))</f>
        <v/>
      </c>
      <c r="G1245" s="51"/>
      <c r="H1245" s="46" t="str">
        <f>IF(AND(I.Developer.P1=TRUE,I.Facility.P1FacilityCount&gt;=1233,F1245=""),"Incomplete","Complete")</f>
        <v>Complete</v>
      </c>
      <c r="I1245" s="48" t="s">
        <v>5610</v>
      </c>
    </row>
    <row r="1246" spans="2:9" ht="15" customHeight="1" x14ac:dyDescent="0.25">
      <c r="B1246" s="55" t="s">
        <v>279</v>
      </c>
      <c r="C1246" s="46">
        <v>1234</v>
      </c>
      <c r="D1246" s="69" t="s">
        <v>29416</v>
      </c>
      <c r="E1246" s="51"/>
      <c r="F1246" s="114" t="str">
        <f>IF(INDEX(I.Facility.P1IDNumber,1234)="","",INDEX(I.Facility.P1IDNumber,1234))</f>
        <v/>
      </c>
      <c r="G1246" s="51"/>
      <c r="H1246" s="46" t="str">
        <f>IF(AND(I.Developer.P1=TRUE,I.Facility.P1FacilityCount&gt;=1234,F1246=""),"Incomplete","Complete")</f>
        <v>Complete</v>
      </c>
      <c r="I1246" s="48" t="s">
        <v>5611</v>
      </c>
    </row>
    <row r="1247" spans="2:9" ht="15" customHeight="1" x14ac:dyDescent="0.25">
      <c r="B1247" s="55" t="s">
        <v>279</v>
      </c>
      <c r="C1247" s="46">
        <v>1235</v>
      </c>
      <c r="D1247" s="69" t="s">
        <v>29416</v>
      </c>
      <c r="E1247" s="51"/>
      <c r="F1247" s="114" t="str">
        <f>IF(INDEX(I.Facility.P1IDNumber,1235)="","",INDEX(I.Facility.P1IDNumber,1235))</f>
        <v/>
      </c>
      <c r="G1247" s="51"/>
      <c r="H1247" s="46" t="str">
        <f>IF(AND(I.Developer.P1=TRUE,I.Facility.P1FacilityCount&gt;=1235,F1247=""),"Incomplete","Complete")</f>
        <v>Complete</v>
      </c>
      <c r="I1247" s="48" t="s">
        <v>5612</v>
      </c>
    </row>
    <row r="1248" spans="2:9" ht="15" customHeight="1" x14ac:dyDescent="0.25">
      <c r="B1248" s="55" t="s">
        <v>279</v>
      </c>
      <c r="C1248" s="46">
        <v>1236</v>
      </c>
      <c r="D1248" s="69" t="s">
        <v>29416</v>
      </c>
      <c r="E1248" s="51"/>
      <c r="F1248" s="114" t="str">
        <f>IF(INDEX(I.Facility.P1IDNumber,1236)="","",INDEX(I.Facility.P1IDNumber,1236))</f>
        <v/>
      </c>
      <c r="G1248" s="51"/>
      <c r="H1248" s="46" t="str">
        <f>IF(AND(I.Developer.P1=TRUE,I.Facility.P1FacilityCount&gt;=1236,F1248=""),"Incomplete","Complete")</f>
        <v>Complete</v>
      </c>
      <c r="I1248" s="48" t="s">
        <v>5613</v>
      </c>
    </row>
    <row r="1249" spans="2:9" ht="15" customHeight="1" x14ac:dyDescent="0.25">
      <c r="B1249" s="55" t="s">
        <v>279</v>
      </c>
      <c r="C1249" s="46">
        <v>1237</v>
      </c>
      <c r="D1249" s="69" t="s">
        <v>29416</v>
      </c>
      <c r="E1249" s="51"/>
      <c r="F1249" s="114" t="str">
        <f>IF(INDEX(I.Facility.P1IDNumber,1237)="","",INDEX(I.Facility.P1IDNumber,1237))</f>
        <v/>
      </c>
      <c r="G1249" s="51"/>
      <c r="H1249" s="46" t="str">
        <f>IF(AND(I.Developer.P1=TRUE,I.Facility.P1FacilityCount&gt;=1237,F1249=""),"Incomplete","Complete")</f>
        <v>Complete</v>
      </c>
      <c r="I1249" s="48" t="s">
        <v>5614</v>
      </c>
    </row>
    <row r="1250" spans="2:9" ht="15" customHeight="1" x14ac:dyDescent="0.25">
      <c r="B1250" s="55" t="s">
        <v>279</v>
      </c>
      <c r="C1250" s="46">
        <v>1238</v>
      </c>
      <c r="D1250" s="69" t="s">
        <v>29416</v>
      </c>
      <c r="E1250" s="51"/>
      <c r="F1250" s="114" t="str">
        <f>IF(INDEX(I.Facility.P1IDNumber,1238)="","",INDEX(I.Facility.P1IDNumber,1238))</f>
        <v/>
      </c>
      <c r="G1250" s="51"/>
      <c r="H1250" s="46" t="str">
        <f>IF(AND(I.Developer.P1=TRUE,I.Facility.P1FacilityCount&gt;=1238,F1250=""),"Incomplete","Complete")</f>
        <v>Complete</v>
      </c>
      <c r="I1250" s="48" t="s">
        <v>5615</v>
      </c>
    </row>
    <row r="1251" spans="2:9" ht="15" customHeight="1" x14ac:dyDescent="0.25">
      <c r="B1251" s="55" t="s">
        <v>279</v>
      </c>
      <c r="C1251" s="46">
        <v>1239</v>
      </c>
      <c r="D1251" s="69" t="s">
        <v>29416</v>
      </c>
      <c r="E1251" s="51"/>
      <c r="F1251" s="114" t="str">
        <f>IF(INDEX(I.Facility.P1IDNumber,1239)="","",INDEX(I.Facility.P1IDNumber,1239))</f>
        <v/>
      </c>
      <c r="G1251" s="51"/>
      <c r="H1251" s="46" t="str">
        <f>IF(AND(I.Developer.P1=TRUE,I.Facility.P1FacilityCount&gt;=1239,F1251=""),"Incomplete","Complete")</f>
        <v>Complete</v>
      </c>
      <c r="I1251" s="48" t="s">
        <v>5616</v>
      </c>
    </row>
    <row r="1252" spans="2:9" ht="15" customHeight="1" x14ac:dyDescent="0.25">
      <c r="B1252" s="55" t="s">
        <v>279</v>
      </c>
      <c r="C1252" s="46">
        <v>1240</v>
      </c>
      <c r="D1252" s="69" t="s">
        <v>29416</v>
      </c>
      <c r="E1252" s="51"/>
      <c r="F1252" s="114" t="str">
        <f>IF(INDEX(I.Facility.P1IDNumber,1240)="","",INDEX(I.Facility.P1IDNumber,1240))</f>
        <v/>
      </c>
      <c r="G1252" s="51"/>
      <c r="H1252" s="46" t="str">
        <f>IF(AND(I.Developer.P1=TRUE,I.Facility.P1FacilityCount&gt;=1240,F1252=""),"Incomplete","Complete")</f>
        <v>Complete</v>
      </c>
      <c r="I1252" s="48" t="s">
        <v>5617</v>
      </c>
    </row>
    <row r="1253" spans="2:9" ht="15" customHeight="1" x14ac:dyDescent="0.25">
      <c r="B1253" s="55" t="s">
        <v>279</v>
      </c>
      <c r="C1253" s="46">
        <v>1241</v>
      </c>
      <c r="D1253" s="69" t="s">
        <v>29416</v>
      </c>
      <c r="E1253" s="51"/>
      <c r="F1253" s="114" t="str">
        <f>IF(INDEX(I.Facility.P1IDNumber,1241)="","",INDEX(I.Facility.P1IDNumber,1241))</f>
        <v/>
      </c>
      <c r="G1253" s="51"/>
      <c r="H1253" s="46" t="str">
        <f>IF(AND(I.Developer.P1=TRUE,I.Facility.P1FacilityCount&gt;=1241,F1253=""),"Incomplete","Complete")</f>
        <v>Complete</v>
      </c>
      <c r="I1253" s="48" t="s">
        <v>5618</v>
      </c>
    </row>
    <row r="1254" spans="2:9" ht="15" customHeight="1" x14ac:dyDescent="0.25">
      <c r="B1254" s="55" t="s">
        <v>279</v>
      </c>
      <c r="C1254" s="46">
        <v>1242</v>
      </c>
      <c r="D1254" s="69" t="s">
        <v>29416</v>
      </c>
      <c r="E1254" s="51"/>
      <c r="F1254" s="114" t="str">
        <f>IF(INDEX(I.Facility.P1IDNumber,1242)="","",INDEX(I.Facility.P1IDNumber,1242))</f>
        <v/>
      </c>
      <c r="G1254" s="51"/>
      <c r="H1254" s="46" t="str">
        <f>IF(AND(I.Developer.P1=TRUE,I.Facility.P1FacilityCount&gt;=1242,F1254=""),"Incomplete","Complete")</f>
        <v>Complete</v>
      </c>
      <c r="I1254" s="48" t="s">
        <v>5619</v>
      </c>
    </row>
    <row r="1255" spans="2:9" ht="15" customHeight="1" x14ac:dyDescent="0.25">
      <c r="B1255" s="55" t="s">
        <v>279</v>
      </c>
      <c r="C1255" s="46">
        <v>1243</v>
      </c>
      <c r="D1255" s="69" t="s">
        <v>29416</v>
      </c>
      <c r="E1255" s="51"/>
      <c r="F1255" s="114" t="str">
        <f>IF(INDEX(I.Facility.P1IDNumber,1243)="","",INDEX(I.Facility.P1IDNumber,1243))</f>
        <v/>
      </c>
      <c r="G1255" s="51"/>
      <c r="H1255" s="46" t="str">
        <f>IF(AND(I.Developer.P1=TRUE,I.Facility.P1FacilityCount&gt;=1243,F1255=""),"Incomplete","Complete")</f>
        <v>Complete</v>
      </c>
      <c r="I1255" s="48" t="s">
        <v>5620</v>
      </c>
    </row>
    <row r="1256" spans="2:9" ht="15" customHeight="1" x14ac:dyDescent="0.25">
      <c r="B1256" s="55" t="s">
        <v>279</v>
      </c>
      <c r="C1256" s="46">
        <v>1244</v>
      </c>
      <c r="D1256" s="69" t="s">
        <v>29416</v>
      </c>
      <c r="E1256" s="51"/>
      <c r="F1256" s="114" t="str">
        <f>IF(INDEX(I.Facility.P1IDNumber,1244)="","",INDEX(I.Facility.P1IDNumber,1244))</f>
        <v/>
      </c>
      <c r="G1256" s="51"/>
      <c r="H1256" s="46" t="str">
        <f>IF(AND(I.Developer.P1=TRUE,I.Facility.P1FacilityCount&gt;=1244,F1256=""),"Incomplete","Complete")</f>
        <v>Complete</v>
      </c>
      <c r="I1256" s="48" t="s">
        <v>5621</v>
      </c>
    </row>
    <row r="1257" spans="2:9" ht="15" customHeight="1" x14ac:dyDescent="0.25">
      <c r="B1257" s="55" t="s">
        <v>279</v>
      </c>
      <c r="C1257" s="46">
        <v>1245</v>
      </c>
      <c r="D1257" s="69" t="s">
        <v>29416</v>
      </c>
      <c r="E1257" s="51"/>
      <c r="F1257" s="114" t="str">
        <f>IF(INDEX(I.Facility.P1IDNumber,1245)="","",INDEX(I.Facility.P1IDNumber,1245))</f>
        <v/>
      </c>
      <c r="G1257" s="51"/>
      <c r="H1257" s="46" t="str">
        <f>IF(AND(I.Developer.P1=TRUE,I.Facility.P1FacilityCount&gt;=1245,F1257=""),"Incomplete","Complete")</f>
        <v>Complete</v>
      </c>
      <c r="I1257" s="48" t="s">
        <v>5622</v>
      </c>
    </row>
    <row r="1258" spans="2:9" ht="15" customHeight="1" x14ac:dyDescent="0.25">
      <c r="B1258" s="55" t="s">
        <v>279</v>
      </c>
      <c r="C1258" s="46">
        <v>1246</v>
      </c>
      <c r="D1258" s="69" t="s">
        <v>29416</v>
      </c>
      <c r="E1258" s="51"/>
      <c r="F1258" s="114" t="str">
        <f>IF(INDEX(I.Facility.P1IDNumber,1246)="","",INDEX(I.Facility.P1IDNumber,1246))</f>
        <v/>
      </c>
      <c r="G1258" s="51"/>
      <c r="H1258" s="46" t="str">
        <f>IF(AND(I.Developer.P1=TRUE,I.Facility.P1FacilityCount&gt;=1246,F1258=""),"Incomplete","Complete")</f>
        <v>Complete</v>
      </c>
      <c r="I1258" s="48" t="s">
        <v>5623</v>
      </c>
    </row>
    <row r="1259" spans="2:9" ht="15" customHeight="1" x14ac:dyDescent="0.25">
      <c r="B1259" s="55" t="s">
        <v>279</v>
      </c>
      <c r="C1259" s="46">
        <v>1247</v>
      </c>
      <c r="D1259" s="69" t="s">
        <v>29416</v>
      </c>
      <c r="E1259" s="51"/>
      <c r="F1259" s="114" t="str">
        <f>IF(INDEX(I.Facility.P1IDNumber,1247)="","",INDEX(I.Facility.P1IDNumber,1247))</f>
        <v/>
      </c>
      <c r="G1259" s="51"/>
      <c r="H1259" s="46" t="str">
        <f>IF(AND(I.Developer.P1=TRUE,I.Facility.P1FacilityCount&gt;=1247,F1259=""),"Incomplete","Complete")</f>
        <v>Complete</v>
      </c>
      <c r="I1259" s="48" t="s">
        <v>5624</v>
      </c>
    </row>
    <row r="1260" spans="2:9" ht="15" customHeight="1" x14ac:dyDescent="0.25">
      <c r="B1260" s="55" t="s">
        <v>279</v>
      </c>
      <c r="C1260" s="46">
        <v>1248</v>
      </c>
      <c r="D1260" s="69" t="s">
        <v>29416</v>
      </c>
      <c r="E1260" s="51"/>
      <c r="F1260" s="114" t="str">
        <f>IF(INDEX(I.Facility.P1IDNumber,1248)="","",INDEX(I.Facility.P1IDNumber,1248))</f>
        <v/>
      </c>
      <c r="G1260" s="51"/>
      <c r="H1260" s="46" t="str">
        <f>IF(AND(I.Developer.P1=TRUE,I.Facility.P1FacilityCount&gt;=1248,F1260=""),"Incomplete","Complete")</f>
        <v>Complete</v>
      </c>
      <c r="I1260" s="48" t="s">
        <v>5625</v>
      </c>
    </row>
    <row r="1261" spans="2:9" ht="15" customHeight="1" x14ac:dyDescent="0.25">
      <c r="B1261" s="55" t="s">
        <v>279</v>
      </c>
      <c r="C1261" s="46">
        <v>1249</v>
      </c>
      <c r="D1261" s="69" t="s">
        <v>29416</v>
      </c>
      <c r="E1261" s="51"/>
      <c r="F1261" s="114" t="str">
        <f>IF(INDEX(I.Facility.P1IDNumber,1249)="","",INDEX(I.Facility.P1IDNumber,1249))</f>
        <v/>
      </c>
      <c r="G1261" s="51"/>
      <c r="H1261" s="46" t="str">
        <f>IF(AND(I.Developer.P1=TRUE,I.Facility.P1FacilityCount&gt;=1249,F1261=""),"Incomplete","Complete")</f>
        <v>Complete</v>
      </c>
      <c r="I1261" s="48" t="s">
        <v>5626</v>
      </c>
    </row>
    <row r="1262" spans="2:9" ht="15" customHeight="1" x14ac:dyDescent="0.25">
      <c r="B1262" s="55" t="s">
        <v>279</v>
      </c>
      <c r="C1262" s="46">
        <v>1250</v>
      </c>
      <c r="D1262" s="69" t="s">
        <v>29416</v>
      </c>
      <c r="E1262" s="51"/>
      <c r="F1262" s="114" t="str">
        <f>IF(INDEX(I.Facility.P1IDNumber,1250)="","",INDEX(I.Facility.P1IDNumber,1250))</f>
        <v/>
      </c>
      <c r="G1262" s="51"/>
      <c r="H1262" s="46" t="str">
        <f>IF(AND(I.Developer.P1=TRUE,I.Facility.P1FacilityCount&gt;=1250,F1262=""),"Incomplete","Complete")</f>
        <v>Complete</v>
      </c>
      <c r="I1262" s="48" t="s">
        <v>5627</v>
      </c>
    </row>
    <row r="1263" spans="2:9" ht="15" customHeight="1" x14ac:dyDescent="0.25">
      <c r="B1263" s="55" t="s">
        <v>279</v>
      </c>
      <c r="C1263" s="46">
        <v>1251</v>
      </c>
      <c r="D1263" s="69" t="s">
        <v>29416</v>
      </c>
      <c r="E1263" s="51"/>
      <c r="F1263" s="114" t="str">
        <f>IF(INDEX(I.Facility.P1IDNumber,1251)="","",INDEX(I.Facility.P1IDNumber,1251))</f>
        <v/>
      </c>
      <c r="G1263" s="51"/>
      <c r="H1263" s="46" t="str">
        <f>IF(AND(I.Developer.P1=TRUE,I.Facility.P1FacilityCount&gt;=1251,F1263=""),"Incomplete","Complete")</f>
        <v>Complete</v>
      </c>
      <c r="I1263" s="48" t="s">
        <v>5628</v>
      </c>
    </row>
    <row r="1264" spans="2:9" ht="15" customHeight="1" x14ac:dyDescent="0.25">
      <c r="B1264" s="55" t="s">
        <v>279</v>
      </c>
      <c r="C1264" s="46">
        <v>1252</v>
      </c>
      <c r="D1264" s="69" t="s">
        <v>29416</v>
      </c>
      <c r="E1264" s="51"/>
      <c r="F1264" s="114" t="str">
        <f>IF(INDEX(I.Facility.P1IDNumber,1252)="","",INDEX(I.Facility.P1IDNumber,1252))</f>
        <v/>
      </c>
      <c r="G1264" s="51"/>
      <c r="H1264" s="46" t="str">
        <f>IF(AND(I.Developer.P1=TRUE,I.Facility.P1FacilityCount&gt;=1252,F1264=""),"Incomplete","Complete")</f>
        <v>Complete</v>
      </c>
      <c r="I1264" s="48" t="s">
        <v>5629</v>
      </c>
    </row>
    <row r="1265" spans="2:9" ht="15" customHeight="1" x14ac:dyDescent="0.25">
      <c r="B1265" s="55" t="s">
        <v>279</v>
      </c>
      <c r="C1265" s="46">
        <v>1253</v>
      </c>
      <c r="D1265" s="69" t="s">
        <v>29416</v>
      </c>
      <c r="E1265" s="51"/>
      <c r="F1265" s="114" t="str">
        <f>IF(INDEX(I.Facility.P1IDNumber,1253)="","",INDEX(I.Facility.P1IDNumber,1253))</f>
        <v/>
      </c>
      <c r="G1265" s="51"/>
      <c r="H1265" s="46" t="str">
        <f>IF(AND(I.Developer.P1=TRUE,I.Facility.P1FacilityCount&gt;=1253,F1265=""),"Incomplete","Complete")</f>
        <v>Complete</v>
      </c>
      <c r="I1265" s="48" t="s">
        <v>5630</v>
      </c>
    </row>
    <row r="1266" spans="2:9" ht="15" customHeight="1" x14ac:dyDescent="0.25">
      <c r="B1266" s="55" t="s">
        <v>279</v>
      </c>
      <c r="C1266" s="46">
        <v>1254</v>
      </c>
      <c r="D1266" s="69" t="s">
        <v>29416</v>
      </c>
      <c r="E1266" s="51"/>
      <c r="F1266" s="114" t="str">
        <f>IF(INDEX(I.Facility.P1IDNumber,1254)="","",INDEX(I.Facility.P1IDNumber,1254))</f>
        <v/>
      </c>
      <c r="G1266" s="51"/>
      <c r="H1266" s="46" t="str">
        <f>IF(AND(I.Developer.P1=TRUE,I.Facility.P1FacilityCount&gt;=1254,F1266=""),"Incomplete","Complete")</f>
        <v>Complete</v>
      </c>
      <c r="I1266" s="48" t="s">
        <v>5631</v>
      </c>
    </row>
    <row r="1267" spans="2:9" ht="15" customHeight="1" x14ac:dyDescent="0.25">
      <c r="B1267" s="55" t="s">
        <v>279</v>
      </c>
      <c r="C1267" s="46">
        <v>1255</v>
      </c>
      <c r="D1267" s="69" t="s">
        <v>29416</v>
      </c>
      <c r="E1267" s="51"/>
      <c r="F1267" s="114" t="str">
        <f>IF(INDEX(I.Facility.P1IDNumber,1255)="","",INDEX(I.Facility.P1IDNumber,1255))</f>
        <v/>
      </c>
      <c r="G1267" s="51"/>
      <c r="H1267" s="46" t="str">
        <f>IF(AND(I.Developer.P1=TRUE,I.Facility.P1FacilityCount&gt;=1255,F1267=""),"Incomplete","Complete")</f>
        <v>Complete</v>
      </c>
      <c r="I1267" s="48" t="s">
        <v>5632</v>
      </c>
    </row>
    <row r="1268" spans="2:9" ht="15" customHeight="1" x14ac:dyDescent="0.25">
      <c r="B1268" s="55" t="s">
        <v>279</v>
      </c>
      <c r="C1268" s="46">
        <v>1256</v>
      </c>
      <c r="D1268" s="69" t="s">
        <v>29416</v>
      </c>
      <c r="E1268" s="51"/>
      <c r="F1268" s="114" t="str">
        <f>IF(INDEX(I.Facility.P1IDNumber,1256)="","",INDEX(I.Facility.P1IDNumber,1256))</f>
        <v/>
      </c>
      <c r="G1268" s="51"/>
      <c r="H1268" s="46" t="str">
        <f>IF(AND(I.Developer.P1=TRUE,I.Facility.P1FacilityCount&gt;=1256,F1268=""),"Incomplete","Complete")</f>
        <v>Complete</v>
      </c>
      <c r="I1268" s="48" t="s">
        <v>5633</v>
      </c>
    </row>
    <row r="1269" spans="2:9" ht="15" customHeight="1" x14ac:dyDescent="0.25">
      <c r="B1269" s="55" t="s">
        <v>279</v>
      </c>
      <c r="C1269" s="46">
        <v>1257</v>
      </c>
      <c r="D1269" s="69" t="s">
        <v>29416</v>
      </c>
      <c r="E1269" s="51"/>
      <c r="F1269" s="114" t="str">
        <f>IF(INDEX(I.Facility.P1IDNumber,1257)="","",INDEX(I.Facility.P1IDNumber,1257))</f>
        <v/>
      </c>
      <c r="G1269" s="51"/>
      <c r="H1269" s="46" t="str">
        <f>IF(AND(I.Developer.P1=TRUE,I.Facility.P1FacilityCount&gt;=1257,F1269=""),"Incomplete","Complete")</f>
        <v>Complete</v>
      </c>
      <c r="I1269" s="48" t="s">
        <v>5634</v>
      </c>
    </row>
    <row r="1270" spans="2:9" ht="15" customHeight="1" x14ac:dyDescent="0.25">
      <c r="B1270" s="55" t="s">
        <v>279</v>
      </c>
      <c r="C1270" s="46">
        <v>1258</v>
      </c>
      <c r="D1270" s="69" t="s">
        <v>29416</v>
      </c>
      <c r="E1270" s="51"/>
      <c r="F1270" s="114" t="str">
        <f>IF(INDEX(I.Facility.P1IDNumber,1258)="","",INDEX(I.Facility.P1IDNumber,1258))</f>
        <v/>
      </c>
      <c r="G1270" s="51"/>
      <c r="H1270" s="46" t="str">
        <f>IF(AND(I.Developer.P1=TRUE,I.Facility.P1FacilityCount&gt;=1258,F1270=""),"Incomplete","Complete")</f>
        <v>Complete</v>
      </c>
      <c r="I1270" s="48" t="s">
        <v>5635</v>
      </c>
    </row>
    <row r="1271" spans="2:9" ht="15" customHeight="1" x14ac:dyDescent="0.25">
      <c r="B1271" s="55" t="s">
        <v>279</v>
      </c>
      <c r="C1271" s="46">
        <v>1259</v>
      </c>
      <c r="D1271" s="69" t="s">
        <v>29416</v>
      </c>
      <c r="E1271" s="51"/>
      <c r="F1271" s="114" t="str">
        <f>IF(INDEX(I.Facility.P1IDNumber,1259)="","",INDEX(I.Facility.P1IDNumber,1259))</f>
        <v/>
      </c>
      <c r="G1271" s="51"/>
      <c r="H1271" s="46" t="str">
        <f>IF(AND(I.Developer.P1=TRUE,I.Facility.P1FacilityCount&gt;=1259,F1271=""),"Incomplete","Complete")</f>
        <v>Complete</v>
      </c>
      <c r="I1271" s="48" t="s">
        <v>5636</v>
      </c>
    </row>
    <row r="1272" spans="2:9" ht="15" customHeight="1" x14ac:dyDescent="0.25">
      <c r="B1272" s="55" t="s">
        <v>279</v>
      </c>
      <c r="C1272" s="46">
        <v>1260</v>
      </c>
      <c r="D1272" s="69" t="s">
        <v>29416</v>
      </c>
      <c r="E1272" s="51"/>
      <c r="F1272" s="114" t="str">
        <f>IF(INDEX(I.Facility.P1IDNumber,1260)="","",INDEX(I.Facility.P1IDNumber,1260))</f>
        <v/>
      </c>
      <c r="G1272" s="51"/>
      <c r="H1272" s="46" t="str">
        <f>IF(AND(I.Developer.P1=TRUE,I.Facility.P1FacilityCount&gt;=1260,F1272=""),"Incomplete","Complete")</f>
        <v>Complete</v>
      </c>
      <c r="I1272" s="48" t="s">
        <v>5637</v>
      </c>
    </row>
    <row r="1273" spans="2:9" ht="15" customHeight="1" x14ac:dyDescent="0.25">
      <c r="B1273" s="55" t="s">
        <v>279</v>
      </c>
      <c r="C1273" s="46">
        <v>1261</v>
      </c>
      <c r="D1273" s="69" t="s">
        <v>29416</v>
      </c>
      <c r="E1273" s="51"/>
      <c r="F1273" s="114" t="str">
        <f>IF(INDEX(I.Facility.P1IDNumber,1261)="","",INDEX(I.Facility.P1IDNumber,1261))</f>
        <v/>
      </c>
      <c r="G1273" s="51"/>
      <c r="H1273" s="46" t="str">
        <f>IF(AND(I.Developer.P1=TRUE,I.Facility.P1FacilityCount&gt;=1261,F1273=""),"Incomplete","Complete")</f>
        <v>Complete</v>
      </c>
      <c r="I1273" s="48" t="s">
        <v>5638</v>
      </c>
    </row>
    <row r="1274" spans="2:9" ht="15" customHeight="1" x14ac:dyDescent="0.25">
      <c r="B1274" s="55" t="s">
        <v>279</v>
      </c>
      <c r="C1274" s="46">
        <v>1262</v>
      </c>
      <c r="D1274" s="69" t="s">
        <v>29416</v>
      </c>
      <c r="E1274" s="51"/>
      <c r="F1274" s="114" t="str">
        <f>IF(INDEX(I.Facility.P1IDNumber,1262)="","",INDEX(I.Facility.P1IDNumber,1262))</f>
        <v/>
      </c>
      <c r="G1274" s="51"/>
      <c r="H1274" s="46" t="str">
        <f>IF(AND(I.Developer.P1=TRUE,I.Facility.P1FacilityCount&gt;=1262,F1274=""),"Incomplete","Complete")</f>
        <v>Complete</v>
      </c>
      <c r="I1274" s="48" t="s">
        <v>5639</v>
      </c>
    </row>
    <row r="1275" spans="2:9" ht="15" customHeight="1" x14ac:dyDescent="0.25">
      <c r="B1275" s="55" t="s">
        <v>279</v>
      </c>
      <c r="C1275" s="46">
        <v>1263</v>
      </c>
      <c r="D1275" s="69" t="s">
        <v>29416</v>
      </c>
      <c r="E1275" s="51"/>
      <c r="F1275" s="114" t="str">
        <f>IF(INDEX(I.Facility.P1IDNumber,1263)="","",INDEX(I.Facility.P1IDNumber,1263))</f>
        <v/>
      </c>
      <c r="G1275" s="51"/>
      <c r="H1275" s="46" t="str">
        <f>IF(AND(I.Developer.P1=TRUE,I.Facility.P1FacilityCount&gt;=1263,F1275=""),"Incomplete","Complete")</f>
        <v>Complete</v>
      </c>
      <c r="I1275" s="48" t="s">
        <v>5640</v>
      </c>
    </row>
    <row r="1276" spans="2:9" ht="15" customHeight="1" x14ac:dyDescent="0.25">
      <c r="B1276" s="55" t="s">
        <v>279</v>
      </c>
      <c r="C1276" s="46">
        <v>1264</v>
      </c>
      <c r="D1276" s="69" t="s">
        <v>29416</v>
      </c>
      <c r="E1276" s="51"/>
      <c r="F1276" s="114" t="str">
        <f>IF(INDEX(I.Facility.P1IDNumber,1264)="","",INDEX(I.Facility.P1IDNumber,1264))</f>
        <v/>
      </c>
      <c r="G1276" s="51"/>
      <c r="H1276" s="46" t="str">
        <f>IF(AND(I.Developer.P1=TRUE,I.Facility.P1FacilityCount&gt;=1264,F1276=""),"Incomplete","Complete")</f>
        <v>Complete</v>
      </c>
      <c r="I1276" s="48" t="s">
        <v>5641</v>
      </c>
    </row>
    <row r="1277" spans="2:9" ht="15" customHeight="1" x14ac:dyDescent="0.25">
      <c r="B1277" s="55" t="s">
        <v>279</v>
      </c>
      <c r="C1277" s="46">
        <v>1265</v>
      </c>
      <c r="D1277" s="69" t="s">
        <v>29416</v>
      </c>
      <c r="E1277" s="51"/>
      <c r="F1277" s="114" t="str">
        <f>IF(INDEX(I.Facility.P1IDNumber,1265)="","",INDEX(I.Facility.P1IDNumber,1265))</f>
        <v/>
      </c>
      <c r="G1277" s="51"/>
      <c r="H1277" s="46" t="str">
        <f>IF(AND(I.Developer.P1=TRUE,I.Facility.P1FacilityCount&gt;=1265,F1277=""),"Incomplete","Complete")</f>
        <v>Complete</v>
      </c>
      <c r="I1277" s="48" t="s">
        <v>5642</v>
      </c>
    </row>
    <row r="1278" spans="2:9" ht="15" customHeight="1" x14ac:dyDescent="0.25">
      <c r="B1278" s="55" t="s">
        <v>279</v>
      </c>
      <c r="C1278" s="46">
        <v>1266</v>
      </c>
      <c r="D1278" s="69" t="s">
        <v>29416</v>
      </c>
      <c r="E1278" s="51"/>
      <c r="F1278" s="114" t="str">
        <f>IF(INDEX(I.Facility.P1IDNumber,1266)="","",INDEX(I.Facility.P1IDNumber,1266))</f>
        <v/>
      </c>
      <c r="G1278" s="51"/>
      <c r="H1278" s="46" t="str">
        <f>IF(AND(I.Developer.P1=TRUE,I.Facility.P1FacilityCount&gt;=1266,F1278=""),"Incomplete","Complete")</f>
        <v>Complete</v>
      </c>
      <c r="I1278" s="48" t="s">
        <v>5643</v>
      </c>
    </row>
    <row r="1279" spans="2:9" ht="15" customHeight="1" x14ac:dyDescent="0.25">
      <c r="B1279" s="55" t="s">
        <v>279</v>
      </c>
      <c r="C1279" s="46">
        <v>1267</v>
      </c>
      <c r="D1279" s="69" t="s">
        <v>29416</v>
      </c>
      <c r="E1279" s="51"/>
      <c r="F1279" s="114" t="str">
        <f>IF(INDEX(I.Facility.P1IDNumber,1267)="","",INDEX(I.Facility.P1IDNumber,1267))</f>
        <v/>
      </c>
      <c r="G1279" s="51"/>
      <c r="H1279" s="46" t="str">
        <f>IF(AND(I.Developer.P1=TRUE,I.Facility.P1FacilityCount&gt;=1267,F1279=""),"Incomplete","Complete")</f>
        <v>Complete</v>
      </c>
      <c r="I1279" s="48" t="s">
        <v>5644</v>
      </c>
    </row>
    <row r="1280" spans="2:9" ht="15" customHeight="1" x14ac:dyDescent="0.25">
      <c r="B1280" s="55" t="s">
        <v>279</v>
      </c>
      <c r="C1280" s="46">
        <v>1268</v>
      </c>
      <c r="D1280" s="69" t="s">
        <v>29416</v>
      </c>
      <c r="E1280" s="51"/>
      <c r="F1280" s="114" t="str">
        <f>IF(INDEX(I.Facility.P1IDNumber,1268)="","",INDEX(I.Facility.P1IDNumber,1268))</f>
        <v/>
      </c>
      <c r="G1280" s="51"/>
      <c r="H1280" s="46" t="str">
        <f>IF(AND(I.Developer.P1=TRUE,I.Facility.P1FacilityCount&gt;=1268,F1280=""),"Incomplete","Complete")</f>
        <v>Complete</v>
      </c>
      <c r="I1280" s="48" t="s">
        <v>5645</v>
      </c>
    </row>
    <row r="1281" spans="2:9" ht="15" customHeight="1" x14ac:dyDescent="0.25">
      <c r="B1281" s="55" t="s">
        <v>279</v>
      </c>
      <c r="C1281" s="46">
        <v>1269</v>
      </c>
      <c r="D1281" s="69" t="s">
        <v>29416</v>
      </c>
      <c r="E1281" s="51"/>
      <c r="F1281" s="114" t="str">
        <f>IF(INDEX(I.Facility.P1IDNumber,1269)="","",INDEX(I.Facility.P1IDNumber,1269))</f>
        <v/>
      </c>
      <c r="G1281" s="51"/>
      <c r="H1281" s="46" t="str">
        <f>IF(AND(I.Developer.P1=TRUE,I.Facility.P1FacilityCount&gt;=1269,F1281=""),"Incomplete","Complete")</f>
        <v>Complete</v>
      </c>
      <c r="I1281" s="48" t="s">
        <v>5646</v>
      </c>
    </row>
    <row r="1282" spans="2:9" ht="15" customHeight="1" x14ac:dyDescent="0.25">
      <c r="B1282" s="55" t="s">
        <v>279</v>
      </c>
      <c r="C1282" s="46">
        <v>1270</v>
      </c>
      <c r="D1282" s="69" t="s">
        <v>29416</v>
      </c>
      <c r="E1282" s="51"/>
      <c r="F1282" s="114" t="str">
        <f>IF(INDEX(I.Facility.P1IDNumber,1270)="","",INDEX(I.Facility.P1IDNumber,1270))</f>
        <v/>
      </c>
      <c r="G1282" s="51"/>
      <c r="H1282" s="46" t="str">
        <f>IF(AND(I.Developer.P1=TRUE,I.Facility.P1FacilityCount&gt;=1270,F1282=""),"Incomplete","Complete")</f>
        <v>Complete</v>
      </c>
      <c r="I1282" s="48" t="s">
        <v>5647</v>
      </c>
    </row>
    <row r="1283" spans="2:9" ht="15" customHeight="1" x14ac:dyDescent="0.25">
      <c r="B1283" s="55" t="s">
        <v>279</v>
      </c>
      <c r="C1283" s="46">
        <v>1271</v>
      </c>
      <c r="D1283" s="69" t="s">
        <v>29416</v>
      </c>
      <c r="E1283" s="51"/>
      <c r="F1283" s="114" t="str">
        <f>IF(INDEX(I.Facility.P1IDNumber,1271)="","",INDEX(I.Facility.P1IDNumber,1271))</f>
        <v/>
      </c>
      <c r="G1283" s="51"/>
      <c r="H1283" s="46" t="str">
        <f>IF(AND(I.Developer.P1=TRUE,I.Facility.P1FacilityCount&gt;=1271,F1283=""),"Incomplete","Complete")</f>
        <v>Complete</v>
      </c>
      <c r="I1283" s="48" t="s">
        <v>5648</v>
      </c>
    </row>
    <row r="1284" spans="2:9" ht="15" customHeight="1" x14ac:dyDescent="0.25">
      <c r="B1284" s="55" t="s">
        <v>279</v>
      </c>
      <c r="C1284" s="46">
        <v>1272</v>
      </c>
      <c r="D1284" s="69" t="s">
        <v>29416</v>
      </c>
      <c r="E1284" s="51"/>
      <c r="F1284" s="114" t="str">
        <f>IF(INDEX(I.Facility.P1IDNumber,1272)="","",INDEX(I.Facility.P1IDNumber,1272))</f>
        <v/>
      </c>
      <c r="G1284" s="51"/>
      <c r="H1284" s="46" t="str">
        <f>IF(AND(I.Developer.P1=TRUE,I.Facility.P1FacilityCount&gt;=1272,F1284=""),"Incomplete","Complete")</f>
        <v>Complete</v>
      </c>
      <c r="I1284" s="48" t="s">
        <v>5649</v>
      </c>
    </row>
    <row r="1285" spans="2:9" ht="15" customHeight="1" x14ac:dyDescent="0.25">
      <c r="B1285" s="55" t="s">
        <v>279</v>
      </c>
      <c r="C1285" s="46">
        <v>1273</v>
      </c>
      <c r="D1285" s="69" t="s">
        <v>29416</v>
      </c>
      <c r="E1285" s="51"/>
      <c r="F1285" s="114" t="str">
        <f>IF(INDEX(I.Facility.P1IDNumber,1273)="","",INDEX(I.Facility.P1IDNumber,1273))</f>
        <v/>
      </c>
      <c r="G1285" s="51"/>
      <c r="H1285" s="46" t="str">
        <f>IF(AND(I.Developer.P1=TRUE,I.Facility.P1FacilityCount&gt;=1273,F1285=""),"Incomplete","Complete")</f>
        <v>Complete</v>
      </c>
      <c r="I1285" s="48" t="s">
        <v>5650</v>
      </c>
    </row>
    <row r="1286" spans="2:9" ht="15" customHeight="1" x14ac:dyDescent="0.25">
      <c r="B1286" s="55" t="s">
        <v>279</v>
      </c>
      <c r="C1286" s="46">
        <v>1274</v>
      </c>
      <c r="D1286" s="69" t="s">
        <v>29416</v>
      </c>
      <c r="E1286" s="51"/>
      <c r="F1286" s="114" t="str">
        <f>IF(INDEX(I.Facility.P1IDNumber,1274)="","",INDEX(I.Facility.P1IDNumber,1274))</f>
        <v/>
      </c>
      <c r="G1286" s="51"/>
      <c r="H1286" s="46" t="str">
        <f>IF(AND(I.Developer.P1=TRUE,I.Facility.P1FacilityCount&gt;=1274,F1286=""),"Incomplete","Complete")</f>
        <v>Complete</v>
      </c>
      <c r="I1286" s="48" t="s">
        <v>5651</v>
      </c>
    </row>
    <row r="1287" spans="2:9" ht="15" customHeight="1" x14ac:dyDescent="0.25">
      <c r="B1287" s="55" t="s">
        <v>279</v>
      </c>
      <c r="C1287" s="46">
        <v>1275</v>
      </c>
      <c r="D1287" s="69" t="s">
        <v>29416</v>
      </c>
      <c r="E1287" s="51"/>
      <c r="F1287" s="114" t="str">
        <f>IF(INDEX(I.Facility.P1IDNumber,1275)="","",INDEX(I.Facility.P1IDNumber,1275))</f>
        <v/>
      </c>
      <c r="G1287" s="51"/>
      <c r="H1287" s="46" t="str">
        <f>IF(AND(I.Developer.P1=TRUE,I.Facility.P1FacilityCount&gt;=1275,F1287=""),"Incomplete","Complete")</f>
        <v>Complete</v>
      </c>
      <c r="I1287" s="48" t="s">
        <v>5652</v>
      </c>
    </row>
    <row r="1288" spans="2:9" ht="15" customHeight="1" x14ac:dyDescent="0.25">
      <c r="B1288" s="55" t="s">
        <v>279</v>
      </c>
      <c r="C1288" s="46">
        <v>1276</v>
      </c>
      <c r="D1288" s="69" t="s">
        <v>29416</v>
      </c>
      <c r="E1288" s="51"/>
      <c r="F1288" s="114" t="str">
        <f>IF(INDEX(I.Facility.P1IDNumber,1276)="","",INDEX(I.Facility.P1IDNumber,1276))</f>
        <v/>
      </c>
      <c r="G1288" s="51"/>
      <c r="H1288" s="46" t="str">
        <f>IF(AND(I.Developer.P1=TRUE,I.Facility.P1FacilityCount&gt;=1276,F1288=""),"Incomplete","Complete")</f>
        <v>Complete</v>
      </c>
      <c r="I1288" s="48" t="s">
        <v>5653</v>
      </c>
    </row>
    <row r="1289" spans="2:9" ht="15" customHeight="1" x14ac:dyDescent="0.25">
      <c r="B1289" s="55" t="s">
        <v>279</v>
      </c>
      <c r="C1289" s="46">
        <v>1277</v>
      </c>
      <c r="D1289" s="69" t="s">
        <v>29416</v>
      </c>
      <c r="E1289" s="51"/>
      <c r="F1289" s="114" t="str">
        <f>IF(INDEX(I.Facility.P1IDNumber,1277)="","",INDEX(I.Facility.P1IDNumber,1277))</f>
        <v/>
      </c>
      <c r="G1289" s="51"/>
      <c r="H1289" s="46" t="str">
        <f>IF(AND(I.Developer.P1=TRUE,I.Facility.P1FacilityCount&gt;=1277,F1289=""),"Incomplete","Complete")</f>
        <v>Complete</v>
      </c>
      <c r="I1289" s="48" t="s">
        <v>5654</v>
      </c>
    </row>
    <row r="1290" spans="2:9" ht="15" customHeight="1" x14ac:dyDescent="0.25">
      <c r="B1290" s="55" t="s">
        <v>279</v>
      </c>
      <c r="C1290" s="46">
        <v>1278</v>
      </c>
      <c r="D1290" s="69" t="s">
        <v>29416</v>
      </c>
      <c r="E1290" s="51"/>
      <c r="F1290" s="114" t="str">
        <f>IF(INDEX(I.Facility.P1IDNumber,1278)="","",INDEX(I.Facility.P1IDNumber,1278))</f>
        <v/>
      </c>
      <c r="G1290" s="51"/>
      <c r="H1290" s="46" t="str">
        <f>IF(AND(I.Developer.P1=TRUE,I.Facility.P1FacilityCount&gt;=1278,F1290=""),"Incomplete","Complete")</f>
        <v>Complete</v>
      </c>
      <c r="I1290" s="48" t="s">
        <v>5655</v>
      </c>
    </row>
    <row r="1291" spans="2:9" ht="15" customHeight="1" x14ac:dyDescent="0.25">
      <c r="B1291" s="55" t="s">
        <v>279</v>
      </c>
      <c r="C1291" s="46">
        <v>1279</v>
      </c>
      <c r="D1291" s="69" t="s">
        <v>29416</v>
      </c>
      <c r="E1291" s="51"/>
      <c r="F1291" s="114" t="str">
        <f>IF(INDEX(I.Facility.P1IDNumber,1279)="","",INDEX(I.Facility.P1IDNumber,1279))</f>
        <v/>
      </c>
      <c r="G1291" s="51"/>
      <c r="H1291" s="46" t="str">
        <f>IF(AND(I.Developer.P1=TRUE,I.Facility.P1FacilityCount&gt;=1279,F1291=""),"Incomplete","Complete")</f>
        <v>Complete</v>
      </c>
      <c r="I1291" s="48" t="s">
        <v>5656</v>
      </c>
    </row>
    <row r="1292" spans="2:9" ht="15" customHeight="1" x14ac:dyDescent="0.25">
      <c r="B1292" s="55" t="s">
        <v>279</v>
      </c>
      <c r="C1292" s="46">
        <v>1280</v>
      </c>
      <c r="D1292" s="69" t="s">
        <v>29416</v>
      </c>
      <c r="E1292" s="51"/>
      <c r="F1292" s="114" t="str">
        <f>IF(INDEX(I.Facility.P1IDNumber,1280)="","",INDEX(I.Facility.P1IDNumber,1280))</f>
        <v/>
      </c>
      <c r="G1292" s="51"/>
      <c r="H1292" s="46" t="str">
        <f>IF(AND(I.Developer.P1=TRUE,I.Facility.P1FacilityCount&gt;=1280,F1292=""),"Incomplete","Complete")</f>
        <v>Complete</v>
      </c>
      <c r="I1292" s="48" t="s">
        <v>5657</v>
      </c>
    </row>
    <row r="1293" spans="2:9" ht="15" customHeight="1" x14ac:dyDescent="0.25">
      <c r="B1293" s="55" t="s">
        <v>279</v>
      </c>
      <c r="C1293" s="46">
        <v>1281</v>
      </c>
      <c r="D1293" s="69" t="s">
        <v>29416</v>
      </c>
      <c r="E1293" s="51"/>
      <c r="F1293" s="114" t="str">
        <f>IF(INDEX(I.Facility.P1IDNumber,1281)="","",INDEX(I.Facility.P1IDNumber,1281))</f>
        <v/>
      </c>
      <c r="G1293" s="51"/>
      <c r="H1293" s="46" t="str">
        <f>IF(AND(I.Developer.P1=TRUE,I.Facility.P1FacilityCount&gt;=1281,F1293=""),"Incomplete","Complete")</f>
        <v>Complete</v>
      </c>
      <c r="I1293" s="48" t="s">
        <v>5658</v>
      </c>
    </row>
    <row r="1294" spans="2:9" ht="15" customHeight="1" x14ac:dyDescent="0.25">
      <c r="B1294" s="55" t="s">
        <v>279</v>
      </c>
      <c r="C1294" s="46">
        <v>1282</v>
      </c>
      <c r="D1294" s="69" t="s">
        <v>29416</v>
      </c>
      <c r="E1294" s="51"/>
      <c r="F1294" s="114" t="str">
        <f>IF(INDEX(I.Facility.P1IDNumber,1282)="","",INDEX(I.Facility.P1IDNumber,1282))</f>
        <v/>
      </c>
      <c r="G1294" s="51"/>
      <c r="H1294" s="46" t="str">
        <f>IF(AND(I.Developer.P1=TRUE,I.Facility.P1FacilityCount&gt;=1282,F1294=""),"Incomplete","Complete")</f>
        <v>Complete</v>
      </c>
      <c r="I1294" s="48" t="s">
        <v>5659</v>
      </c>
    </row>
    <row r="1295" spans="2:9" ht="15" customHeight="1" x14ac:dyDescent="0.25">
      <c r="B1295" s="55" t="s">
        <v>279</v>
      </c>
      <c r="C1295" s="46">
        <v>1283</v>
      </c>
      <c r="D1295" s="69" t="s">
        <v>29416</v>
      </c>
      <c r="E1295" s="51"/>
      <c r="F1295" s="114" t="str">
        <f>IF(INDEX(I.Facility.P1IDNumber,1283)="","",INDEX(I.Facility.P1IDNumber,1283))</f>
        <v/>
      </c>
      <c r="G1295" s="51"/>
      <c r="H1295" s="46" t="str">
        <f>IF(AND(I.Developer.P1=TRUE,I.Facility.P1FacilityCount&gt;=1283,F1295=""),"Incomplete","Complete")</f>
        <v>Complete</v>
      </c>
      <c r="I1295" s="48" t="s">
        <v>5660</v>
      </c>
    </row>
    <row r="1296" spans="2:9" ht="15" customHeight="1" x14ac:dyDescent="0.25">
      <c r="B1296" s="55" t="s">
        <v>279</v>
      </c>
      <c r="C1296" s="46">
        <v>1284</v>
      </c>
      <c r="D1296" s="69" t="s">
        <v>29416</v>
      </c>
      <c r="E1296" s="51"/>
      <c r="F1296" s="114" t="str">
        <f>IF(INDEX(I.Facility.P1IDNumber,1284)="","",INDEX(I.Facility.P1IDNumber,1284))</f>
        <v/>
      </c>
      <c r="G1296" s="51"/>
      <c r="H1296" s="46" t="str">
        <f>IF(AND(I.Developer.P1=TRUE,I.Facility.P1FacilityCount&gt;=1284,F1296=""),"Incomplete","Complete")</f>
        <v>Complete</v>
      </c>
      <c r="I1296" s="48" t="s">
        <v>5661</v>
      </c>
    </row>
    <row r="1297" spans="2:9" ht="15" customHeight="1" x14ac:dyDescent="0.25">
      <c r="B1297" s="55" t="s">
        <v>279</v>
      </c>
      <c r="C1297" s="46">
        <v>1285</v>
      </c>
      <c r="D1297" s="69" t="s">
        <v>29416</v>
      </c>
      <c r="E1297" s="51"/>
      <c r="F1297" s="114" t="str">
        <f>IF(INDEX(I.Facility.P1IDNumber,1285)="","",INDEX(I.Facility.P1IDNumber,1285))</f>
        <v/>
      </c>
      <c r="G1297" s="51"/>
      <c r="H1297" s="46" t="str">
        <f>IF(AND(I.Developer.P1=TRUE,I.Facility.P1FacilityCount&gt;=1285,F1297=""),"Incomplete","Complete")</f>
        <v>Complete</v>
      </c>
      <c r="I1297" s="48" t="s">
        <v>5662</v>
      </c>
    </row>
    <row r="1298" spans="2:9" ht="15" customHeight="1" x14ac:dyDescent="0.25">
      <c r="B1298" s="55" t="s">
        <v>279</v>
      </c>
      <c r="C1298" s="46">
        <v>1286</v>
      </c>
      <c r="D1298" s="69" t="s">
        <v>29416</v>
      </c>
      <c r="E1298" s="51"/>
      <c r="F1298" s="114" t="str">
        <f>IF(INDEX(I.Facility.P1IDNumber,1286)="","",INDEX(I.Facility.P1IDNumber,1286))</f>
        <v/>
      </c>
      <c r="G1298" s="51"/>
      <c r="H1298" s="46" t="str">
        <f>IF(AND(I.Developer.P1=TRUE,I.Facility.P1FacilityCount&gt;=1286,F1298=""),"Incomplete","Complete")</f>
        <v>Complete</v>
      </c>
      <c r="I1298" s="48" t="s">
        <v>5663</v>
      </c>
    </row>
    <row r="1299" spans="2:9" ht="15" customHeight="1" x14ac:dyDescent="0.25">
      <c r="B1299" s="55" t="s">
        <v>279</v>
      </c>
      <c r="C1299" s="46">
        <v>1287</v>
      </c>
      <c r="D1299" s="69" t="s">
        <v>29416</v>
      </c>
      <c r="E1299" s="51"/>
      <c r="F1299" s="114" t="str">
        <f>IF(INDEX(I.Facility.P1IDNumber,1287)="","",INDEX(I.Facility.P1IDNumber,1287))</f>
        <v/>
      </c>
      <c r="G1299" s="51"/>
      <c r="H1299" s="46" t="str">
        <f>IF(AND(I.Developer.P1=TRUE,I.Facility.P1FacilityCount&gt;=1287,F1299=""),"Incomplete","Complete")</f>
        <v>Complete</v>
      </c>
      <c r="I1299" s="48" t="s">
        <v>5664</v>
      </c>
    </row>
    <row r="1300" spans="2:9" ht="15" customHeight="1" x14ac:dyDescent="0.25">
      <c r="B1300" s="55" t="s">
        <v>279</v>
      </c>
      <c r="C1300" s="46">
        <v>1288</v>
      </c>
      <c r="D1300" s="69" t="s">
        <v>29416</v>
      </c>
      <c r="E1300" s="51"/>
      <c r="F1300" s="114" t="str">
        <f>IF(INDEX(I.Facility.P1IDNumber,1288)="","",INDEX(I.Facility.P1IDNumber,1288))</f>
        <v/>
      </c>
      <c r="G1300" s="51"/>
      <c r="H1300" s="46" t="str">
        <f>IF(AND(I.Developer.P1=TRUE,I.Facility.P1FacilityCount&gt;=1288,F1300=""),"Incomplete","Complete")</f>
        <v>Complete</v>
      </c>
      <c r="I1300" s="48" t="s">
        <v>5665</v>
      </c>
    </row>
    <row r="1301" spans="2:9" ht="15" customHeight="1" x14ac:dyDescent="0.25">
      <c r="B1301" s="55" t="s">
        <v>279</v>
      </c>
      <c r="C1301" s="46">
        <v>1289</v>
      </c>
      <c r="D1301" s="69" t="s">
        <v>29416</v>
      </c>
      <c r="E1301" s="51"/>
      <c r="F1301" s="114" t="str">
        <f>IF(INDEX(I.Facility.P1IDNumber,1289)="","",INDEX(I.Facility.P1IDNumber,1289))</f>
        <v/>
      </c>
      <c r="G1301" s="51"/>
      <c r="H1301" s="46" t="str">
        <f>IF(AND(I.Developer.P1=TRUE,I.Facility.P1FacilityCount&gt;=1289,F1301=""),"Incomplete","Complete")</f>
        <v>Complete</v>
      </c>
      <c r="I1301" s="48" t="s">
        <v>5666</v>
      </c>
    </row>
    <row r="1302" spans="2:9" ht="15" customHeight="1" x14ac:dyDescent="0.25">
      <c r="B1302" s="55" t="s">
        <v>279</v>
      </c>
      <c r="C1302" s="46">
        <v>1290</v>
      </c>
      <c r="D1302" s="69" t="s">
        <v>29416</v>
      </c>
      <c r="E1302" s="51"/>
      <c r="F1302" s="114" t="str">
        <f>IF(INDEX(I.Facility.P1IDNumber,1290)="","",INDEX(I.Facility.P1IDNumber,1290))</f>
        <v/>
      </c>
      <c r="G1302" s="51"/>
      <c r="H1302" s="46" t="str">
        <f>IF(AND(I.Developer.P1=TRUE,I.Facility.P1FacilityCount&gt;=1290,F1302=""),"Incomplete","Complete")</f>
        <v>Complete</v>
      </c>
      <c r="I1302" s="48" t="s">
        <v>5667</v>
      </c>
    </row>
    <row r="1303" spans="2:9" ht="15" customHeight="1" x14ac:dyDescent="0.25">
      <c r="B1303" s="55" t="s">
        <v>279</v>
      </c>
      <c r="C1303" s="46">
        <v>1291</v>
      </c>
      <c r="D1303" s="69" t="s">
        <v>29416</v>
      </c>
      <c r="E1303" s="51"/>
      <c r="F1303" s="114" t="str">
        <f>IF(INDEX(I.Facility.P1IDNumber,1291)="","",INDEX(I.Facility.P1IDNumber,1291))</f>
        <v/>
      </c>
      <c r="G1303" s="51"/>
      <c r="H1303" s="46" t="str">
        <f>IF(AND(I.Developer.P1=TRUE,I.Facility.P1FacilityCount&gt;=1291,F1303=""),"Incomplete","Complete")</f>
        <v>Complete</v>
      </c>
      <c r="I1303" s="48" t="s">
        <v>5668</v>
      </c>
    </row>
    <row r="1304" spans="2:9" ht="15" customHeight="1" x14ac:dyDescent="0.25">
      <c r="B1304" s="55" t="s">
        <v>279</v>
      </c>
      <c r="C1304" s="46">
        <v>1292</v>
      </c>
      <c r="D1304" s="69" t="s">
        <v>29416</v>
      </c>
      <c r="E1304" s="51"/>
      <c r="F1304" s="114" t="str">
        <f>IF(INDEX(I.Facility.P1IDNumber,1292)="","",INDEX(I.Facility.P1IDNumber,1292))</f>
        <v/>
      </c>
      <c r="G1304" s="51"/>
      <c r="H1304" s="46" t="str">
        <f>IF(AND(I.Developer.P1=TRUE,I.Facility.P1FacilityCount&gt;=1292,F1304=""),"Incomplete","Complete")</f>
        <v>Complete</v>
      </c>
      <c r="I1304" s="48" t="s">
        <v>5669</v>
      </c>
    </row>
    <row r="1305" spans="2:9" ht="15" customHeight="1" x14ac:dyDescent="0.25">
      <c r="B1305" s="55" t="s">
        <v>279</v>
      </c>
      <c r="C1305" s="46">
        <v>1293</v>
      </c>
      <c r="D1305" s="69" t="s">
        <v>29416</v>
      </c>
      <c r="E1305" s="51"/>
      <c r="F1305" s="114" t="str">
        <f>IF(INDEX(I.Facility.P1IDNumber,1293)="","",INDEX(I.Facility.P1IDNumber,1293))</f>
        <v/>
      </c>
      <c r="G1305" s="51"/>
      <c r="H1305" s="46" t="str">
        <f>IF(AND(I.Developer.P1=TRUE,I.Facility.P1FacilityCount&gt;=1293,F1305=""),"Incomplete","Complete")</f>
        <v>Complete</v>
      </c>
      <c r="I1305" s="48" t="s">
        <v>5670</v>
      </c>
    </row>
    <row r="1306" spans="2:9" ht="15" customHeight="1" x14ac:dyDescent="0.25">
      <c r="B1306" s="55" t="s">
        <v>279</v>
      </c>
      <c r="C1306" s="46">
        <v>1294</v>
      </c>
      <c r="D1306" s="69" t="s">
        <v>29416</v>
      </c>
      <c r="E1306" s="51"/>
      <c r="F1306" s="114" t="str">
        <f>IF(INDEX(I.Facility.P1IDNumber,1294)="","",INDEX(I.Facility.P1IDNumber,1294))</f>
        <v/>
      </c>
      <c r="G1306" s="51"/>
      <c r="H1306" s="46" t="str">
        <f>IF(AND(I.Developer.P1=TRUE,I.Facility.P1FacilityCount&gt;=1294,F1306=""),"Incomplete","Complete")</f>
        <v>Complete</v>
      </c>
      <c r="I1306" s="48" t="s">
        <v>5671</v>
      </c>
    </row>
    <row r="1307" spans="2:9" ht="15" customHeight="1" x14ac:dyDescent="0.25">
      <c r="B1307" s="55" t="s">
        <v>279</v>
      </c>
      <c r="C1307" s="46">
        <v>1295</v>
      </c>
      <c r="D1307" s="69" t="s">
        <v>29416</v>
      </c>
      <c r="E1307" s="51"/>
      <c r="F1307" s="114" t="str">
        <f>IF(INDEX(I.Facility.P1IDNumber,1295)="","",INDEX(I.Facility.P1IDNumber,1295))</f>
        <v/>
      </c>
      <c r="G1307" s="51"/>
      <c r="H1307" s="46" t="str">
        <f>IF(AND(I.Developer.P1=TRUE,I.Facility.P1FacilityCount&gt;=1295,F1307=""),"Incomplete","Complete")</f>
        <v>Complete</v>
      </c>
      <c r="I1307" s="48" t="s">
        <v>5672</v>
      </c>
    </row>
    <row r="1308" spans="2:9" ht="15" customHeight="1" x14ac:dyDescent="0.25">
      <c r="B1308" s="55" t="s">
        <v>279</v>
      </c>
      <c r="C1308" s="46">
        <v>1296</v>
      </c>
      <c r="D1308" s="69" t="s">
        <v>29416</v>
      </c>
      <c r="E1308" s="51"/>
      <c r="F1308" s="114" t="str">
        <f>IF(INDEX(I.Facility.P1IDNumber,1296)="","",INDEX(I.Facility.P1IDNumber,1296))</f>
        <v/>
      </c>
      <c r="G1308" s="51"/>
      <c r="H1308" s="46" t="str">
        <f>IF(AND(I.Developer.P1=TRUE,I.Facility.P1FacilityCount&gt;=1296,F1308=""),"Incomplete","Complete")</f>
        <v>Complete</v>
      </c>
      <c r="I1308" s="48" t="s">
        <v>5673</v>
      </c>
    </row>
    <row r="1309" spans="2:9" ht="15" customHeight="1" x14ac:dyDescent="0.25">
      <c r="B1309" s="55" t="s">
        <v>279</v>
      </c>
      <c r="C1309" s="46">
        <v>1297</v>
      </c>
      <c r="D1309" s="69" t="s">
        <v>29416</v>
      </c>
      <c r="E1309" s="51"/>
      <c r="F1309" s="114" t="str">
        <f>IF(INDEX(I.Facility.P1IDNumber,1297)="","",INDEX(I.Facility.P1IDNumber,1297))</f>
        <v/>
      </c>
      <c r="G1309" s="51"/>
      <c r="H1309" s="46" t="str">
        <f>IF(AND(I.Developer.P1=TRUE,I.Facility.P1FacilityCount&gt;=1297,F1309=""),"Incomplete","Complete")</f>
        <v>Complete</v>
      </c>
      <c r="I1309" s="48" t="s">
        <v>5674</v>
      </c>
    </row>
    <row r="1310" spans="2:9" ht="15" customHeight="1" x14ac:dyDescent="0.25">
      <c r="B1310" s="55" t="s">
        <v>279</v>
      </c>
      <c r="C1310" s="46">
        <v>1298</v>
      </c>
      <c r="D1310" s="69" t="s">
        <v>29416</v>
      </c>
      <c r="E1310" s="51"/>
      <c r="F1310" s="114" t="str">
        <f>IF(INDEX(I.Facility.P1IDNumber,1298)="","",INDEX(I.Facility.P1IDNumber,1298))</f>
        <v/>
      </c>
      <c r="G1310" s="51"/>
      <c r="H1310" s="46" t="str">
        <f>IF(AND(I.Developer.P1=TRUE,I.Facility.P1FacilityCount&gt;=1298,F1310=""),"Incomplete","Complete")</f>
        <v>Complete</v>
      </c>
      <c r="I1310" s="48" t="s">
        <v>5675</v>
      </c>
    </row>
    <row r="1311" spans="2:9" ht="15" customHeight="1" x14ac:dyDescent="0.25">
      <c r="B1311" s="55" t="s">
        <v>279</v>
      </c>
      <c r="C1311" s="46">
        <v>1299</v>
      </c>
      <c r="D1311" s="69" t="s">
        <v>29416</v>
      </c>
      <c r="E1311" s="51"/>
      <c r="F1311" s="114" t="str">
        <f>IF(INDEX(I.Facility.P1IDNumber,1299)="","",INDEX(I.Facility.P1IDNumber,1299))</f>
        <v/>
      </c>
      <c r="G1311" s="51"/>
      <c r="H1311" s="46" t="str">
        <f>IF(AND(I.Developer.P1=TRUE,I.Facility.P1FacilityCount&gt;=1299,F1311=""),"Incomplete","Complete")</f>
        <v>Complete</v>
      </c>
      <c r="I1311" s="48" t="s">
        <v>5676</v>
      </c>
    </row>
    <row r="1312" spans="2:9" ht="15" customHeight="1" x14ac:dyDescent="0.25">
      <c r="B1312" s="55" t="s">
        <v>279</v>
      </c>
      <c r="C1312" s="46">
        <v>1300</v>
      </c>
      <c r="D1312" s="69" t="s">
        <v>29416</v>
      </c>
      <c r="E1312" s="51"/>
      <c r="F1312" s="114" t="str">
        <f>IF(INDEX(I.Facility.P1IDNumber,1300)="","",INDEX(I.Facility.P1IDNumber,1300))</f>
        <v/>
      </c>
      <c r="G1312" s="51"/>
      <c r="H1312" s="46" t="str">
        <f>IF(AND(I.Developer.P1=TRUE,I.Facility.P1FacilityCount&gt;=1300,F1312=""),"Incomplete","Complete")</f>
        <v>Complete</v>
      </c>
      <c r="I1312" s="48" t="s">
        <v>5677</v>
      </c>
    </row>
    <row r="1313" spans="2:9" ht="15" customHeight="1" x14ac:dyDescent="0.25">
      <c r="B1313" s="55" t="s">
        <v>279</v>
      </c>
      <c r="C1313" s="46">
        <v>1301</v>
      </c>
      <c r="D1313" s="69" t="s">
        <v>29416</v>
      </c>
      <c r="E1313" s="51"/>
      <c r="F1313" s="114" t="str">
        <f>IF(INDEX(I.Facility.P1IDNumber,1301)="","",INDEX(I.Facility.P1IDNumber,1301))</f>
        <v/>
      </c>
      <c r="G1313" s="51"/>
      <c r="H1313" s="46" t="str">
        <f>IF(AND(I.Developer.P1=TRUE,I.Facility.P1FacilityCount&gt;=1301,F1313=""),"Incomplete","Complete")</f>
        <v>Complete</v>
      </c>
      <c r="I1313" s="48" t="s">
        <v>5678</v>
      </c>
    </row>
    <row r="1314" spans="2:9" ht="15" customHeight="1" x14ac:dyDescent="0.25">
      <c r="B1314" s="55" t="s">
        <v>279</v>
      </c>
      <c r="C1314" s="46">
        <v>1302</v>
      </c>
      <c r="D1314" s="69" t="s">
        <v>29416</v>
      </c>
      <c r="E1314" s="51"/>
      <c r="F1314" s="114" t="str">
        <f>IF(INDEX(I.Facility.P1IDNumber,1302)="","",INDEX(I.Facility.P1IDNumber,1302))</f>
        <v/>
      </c>
      <c r="G1314" s="51"/>
      <c r="H1314" s="46" t="str">
        <f>IF(AND(I.Developer.P1=TRUE,I.Facility.P1FacilityCount&gt;=1302,F1314=""),"Incomplete","Complete")</f>
        <v>Complete</v>
      </c>
      <c r="I1314" s="48" t="s">
        <v>5679</v>
      </c>
    </row>
    <row r="1315" spans="2:9" ht="15" customHeight="1" x14ac:dyDescent="0.25">
      <c r="B1315" s="55" t="s">
        <v>279</v>
      </c>
      <c r="C1315" s="46">
        <v>1303</v>
      </c>
      <c r="D1315" s="69" t="s">
        <v>29416</v>
      </c>
      <c r="E1315" s="51"/>
      <c r="F1315" s="114" t="str">
        <f>IF(INDEX(I.Facility.P1IDNumber,1303)="","",INDEX(I.Facility.P1IDNumber,1303))</f>
        <v/>
      </c>
      <c r="G1315" s="51"/>
      <c r="H1315" s="46" t="str">
        <f>IF(AND(I.Developer.P1=TRUE,I.Facility.P1FacilityCount&gt;=1303,F1315=""),"Incomplete","Complete")</f>
        <v>Complete</v>
      </c>
      <c r="I1315" s="48" t="s">
        <v>5680</v>
      </c>
    </row>
    <row r="1316" spans="2:9" ht="15" customHeight="1" x14ac:dyDescent="0.25">
      <c r="B1316" s="55" t="s">
        <v>279</v>
      </c>
      <c r="C1316" s="46">
        <v>1304</v>
      </c>
      <c r="D1316" s="69" t="s">
        <v>29416</v>
      </c>
      <c r="E1316" s="51"/>
      <c r="F1316" s="114" t="str">
        <f>IF(INDEX(I.Facility.P1IDNumber,1304)="","",INDEX(I.Facility.P1IDNumber,1304))</f>
        <v/>
      </c>
      <c r="G1316" s="51"/>
      <c r="H1316" s="46" t="str">
        <f>IF(AND(I.Developer.P1=TRUE,I.Facility.P1FacilityCount&gt;=1304,F1316=""),"Incomplete","Complete")</f>
        <v>Complete</v>
      </c>
      <c r="I1316" s="48" t="s">
        <v>5681</v>
      </c>
    </row>
    <row r="1317" spans="2:9" ht="15" customHeight="1" x14ac:dyDescent="0.25">
      <c r="B1317" s="55" t="s">
        <v>279</v>
      </c>
      <c r="C1317" s="46">
        <v>1305</v>
      </c>
      <c r="D1317" s="69" t="s">
        <v>29416</v>
      </c>
      <c r="E1317" s="51"/>
      <c r="F1317" s="114" t="str">
        <f>IF(INDEX(I.Facility.P1IDNumber,1305)="","",INDEX(I.Facility.P1IDNumber,1305))</f>
        <v/>
      </c>
      <c r="G1317" s="51"/>
      <c r="H1317" s="46" t="str">
        <f>IF(AND(I.Developer.P1=TRUE,I.Facility.P1FacilityCount&gt;=1305,F1317=""),"Incomplete","Complete")</f>
        <v>Complete</v>
      </c>
      <c r="I1317" s="48" t="s">
        <v>5682</v>
      </c>
    </row>
    <row r="1318" spans="2:9" ht="15" customHeight="1" x14ac:dyDescent="0.25">
      <c r="B1318" s="55" t="s">
        <v>279</v>
      </c>
      <c r="C1318" s="46">
        <v>1306</v>
      </c>
      <c r="D1318" s="69" t="s">
        <v>29416</v>
      </c>
      <c r="E1318" s="51"/>
      <c r="F1318" s="114" t="str">
        <f>IF(INDEX(I.Facility.P1IDNumber,1306)="","",INDEX(I.Facility.P1IDNumber,1306))</f>
        <v/>
      </c>
      <c r="G1318" s="51"/>
      <c r="H1318" s="46" t="str">
        <f>IF(AND(I.Developer.P1=TRUE,I.Facility.P1FacilityCount&gt;=1306,F1318=""),"Incomplete","Complete")</f>
        <v>Complete</v>
      </c>
      <c r="I1318" s="48" t="s">
        <v>5683</v>
      </c>
    </row>
    <row r="1319" spans="2:9" ht="15" customHeight="1" x14ac:dyDescent="0.25">
      <c r="B1319" s="55" t="s">
        <v>279</v>
      </c>
      <c r="C1319" s="46">
        <v>1307</v>
      </c>
      <c r="D1319" s="69" t="s">
        <v>29416</v>
      </c>
      <c r="E1319" s="51"/>
      <c r="F1319" s="114" t="str">
        <f>IF(INDEX(I.Facility.P1IDNumber,1307)="","",INDEX(I.Facility.P1IDNumber,1307))</f>
        <v/>
      </c>
      <c r="G1319" s="51"/>
      <c r="H1319" s="46" t="str">
        <f>IF(AND(I.Developer.P1=TRUE,I.Facility.P1FacilityCount&gt;=1307,F1319=""),"Incomplete","Complete")</f>
        <v>Complete</v>
      </c>
      <c r="I1319" s="48" t="s">
        <v>5684</v>
      </c>
    </row>
    <row r="1320" spans="2:9" ht="15" customHeight="1" x14ac:dyDescent="0.25">
      <c r="B1320" s="55" t="s">
        <v>279</v>
      </c>
      <c r="C1320" s="46">
        <v>1308</v>
      </c>
      <c r="D1320" s="69" t="s">
        <v>29416</v>
      </c>
      <c r="E1320" s="51"/>
      <c r="F1320" s="114" t="str">
        <f>IF(INDEX(I.Facility.P1IDNumber,1308)="","",INDEX(I.Facility.P1IDNumber,1308))</f>
        <v/>
      </c>
      <c r="G1320" s="51"/>
      <c r="H1320" s="46" t="str">
        <f>IF(AND(I.Developer.P1=TRUE,I.Facility.P1FacilityCount&gt;=1308,F1320=""),"Incomplete","Complete")</f>
        <v>Complete</v>
      </c>
      <c r="I1320" s="48" t="s">
        <v>5685</v>
      </c>
    </row>
    <row r="1321" spans="2:9" ht="15" customHeight="1" x14ac:dyDescent="0.25">
      <c r="B1321" s="55" t="s">
        <v>279</v>
      </c>
      <c r="C1321" s="46">
        <v>1309</v>
      </c>
      <c r="D1321" s="69" t="s">
        <v>29416</v>
      </c>
      <c r="E1321" s="51"/>
      <c r="F1321" s="114" t="str">
        <f>IF(INDEX(I.Facility.P1IDNumber,1309)="","",INDEX(I.Facility.P1IDNumber,1309))</f>
        <v/>
      </c>
      <c r="G1321" s="51"/>
      <c r="H1321" s="46" t="str">
        <f>IF(AND(I.Developer.P1=TRUE,I.Facility.P1FacilityCount&gt;=1309,F1321=""),"Incomplete","Complete")</f>
        <v>Complete</v>
      </c>
      <c r="I1321" s="48" t="s">
        <v>5686</v>
      </c>
    </row>
    <row r="1322" spans="2:9" ht="15" customHeight="1" x14ac:dyDescent="0.25">
      <c r="B1322" s="55" t="s">
        <v>279</v>
      </c>
      <c r="C1322" s="46">
        <v>1310</v>
      </c>
      <c r="D1322" s="69" t="s">
        <v>29416</v>
      </c>
      <c r="E1322" s="51"/>
      <c r="F1322" s="114" t="str">
        <f>IF(INDEX(I.Facility.P1IDNumber,1310)="","",INDEX(I.Facility.P1IDNumber,1310))</f>
        <v/>
      </c>
      <c r="G1322" s="51"/>
      <c r="H1322" s="46" t="str">
        <f>IF(AND(I.Developer.P1=TRUE,I.Facility.P1FacilityCount&gt;=1310,F1322=""),"Incomplete","Complete")</f>
        <v>Complete</v>
      </c>
      <c r="I1322" s="48" t="s">
        <v>5687</v>
      </c>
    </row>
    <row r="1323" spans="2:9" ht="15" customHeight="1" x14ac:dyDescent="0.25">
      <c r="B1323" s="55" t="s">
        <v>279</v>
      </c>
      <c r="C1323" s="46">
        <v>1311</v>
      </c>
      <c r="D1323" s="69" t="s">
        <v>29416</v>
      </c>
      <c r="E1323" s="51"/>
      <c r="F1323" s="114" t="str">
        <f>IF(INDEX(I.Facility.P1IDNumber,1311)="","",INDEX(I.Facility.P1IDNumber,1311))</f>
        <v/>
      </c>
      <c r="G1323" s="51"/>
      <c r="H1323" s="46" t="str">
        <f>IF(AND(I.Developer.P1=TRUE,I.Facility.P1FacilityCount&gt;=1311,F1323=""),"Incomplete","Complete")</f>
        <v>Complete</v>
      </c>
      <c r="I1323" s="48" t="s">
        <v>5688</v>
      </c>
    </row>
    <row r="1324" spans="2:9" ht="15" customHeight="1" x14ac:dyDescent="0.25">
      <c r="B1324" s="55" t="s">
        <v>279</v>
      </c>
      <c r="C1324" s="46">
        <v>1312</v>
      </c>
      <c r="D1324" s="69" t="s">
        <v>29416</v>
      </c>
      <c r="E1324" s="51"/>
      <c r="F1324" s="114" t="str">
        <f>IF(INDEX(I.Facility.P1IDNumber,1312)="","",INDEX(I.Facility.P1IDNumber,1312))</f>
        <v/>
      </c>
      <c r="G1324" s="51"/>
      <c r="H1324" s="46" t="str">
        <f>IF(AND(I.Developer.P1=TRUE,I.Facility.P1FacilityCount&gt;=1312,F1324=""),"Incomplete","Complete")</f>
        <v>Complete</v>
      </c>
      <c r="I1324" s="48" t="s">
        <v>5689</v>
      </c>
    </row>
    <row r="1325" spans="2:9" ht="15" customHeight="1" x14ac:dyDescent="0.25">
      <c r="B1325" s="55" t="s">
        <v>279</v>
      </c>
      <c r="C1325" s="46">
        <v>1313</v>
      </c>
      <c r="D1325" s="69" t="s">
        <v>29416</v>
      </c>
      <c r="E1325" s="51"/>
      <c r="F1325" s="114" t="str">
        <f>IF(INDEX(I.Facility.P1IDNumber,1313)="","",INDEX(I.Facility.P1IDNumber,1313))</f>
        <v/>
      </c>
      <c r="G1325" s="51"/>
      <c r="H1325" s="46" t="str">
        <f>IF(AND(I.Developer.P1=TRUE,I.Facility.P1FacilityCount&gt;=1313,F1325=""),"Incomplete","Complete")</f>
        <v>Complete</v>
      </c>
      <c r="I1325" s="48" t="s">
        <v>5690</v>
      </c>
    </row>
    <row r="1326" spans="2:9" ht="15" customHeight="1" x14ac:dyDescent="0.25">
      <c r="B1326" s="55" t="s">
        <v>279</v>
      </c>
      <c r="C1326" s="46">
        <v>1314</v>
      </c>
      <c r="D1326" s="69" t="s">
        <v>29416</v>
      </c>
      <c r="E1326" s="51"/>
      <c r="F1326" s="114" t="str">
        <f>IF(INDEX(I.Facility.P1IDNumber,1314)="","",INDEX(I.Facility.P1IDNumber,1314))</f>
        <v/>
      </c>
      <c r="G1326" s="51"/>
      <c r="H1326" s="46" t="str">
        <f>IF(AND(I.Developer.P1=TRUE,I.Facility.P1FacilityCount&gt;=1314,F1326=""),"Incomplete","Complete")</f>
        <v>Complete</v>
      </c>
      <c r="I1326" s="48" t="s">
        <v>5691</v>
      </c>
    </row>
    <row r="1327" spans="2:9" ht="15" customHeight="1" x14ac:dyDescent="0.25">
      <c r="B1327" s="55" t="s">
        <v>279</v>
      </c>
      <c r="C1327" s="46">
        <v>1315</v>
      </c>
      <c r="D1327" s="69" t="s">
        <v>29416</v>
      </c>
      <c r="E1327" s="51"/>
      <c r="F1327" s="114" t="str">
        <f>IF(INDEX(I.Facility.P1IDNumber,1315)="","",INDEX(I.Facility.P1IDNumber,1315))</f>
        <v/>
      </c>
      <c r="G1327" s="51"/>
      <c r="H1327" s="46" t="str">
        <f>IF(AND(I.Developer.P1=TRUE,I.Facility.P1FacilityCount&gt;=1315,F1327=""),"Incomplete","Complete")</f>
        <v>Complete</v>
      </c>
      <c r="I1327" s="48" t="s">
        <v>5692</v>
      </c>
    </row>
    <row r="1328" spans="2:9" ht="15" customHeight="1" x14ac:dyDescent="0.25">
      <c r="B1328" s="55" t="s">
        <v>279</v>
      </c>
      <c r="C1328" s="46">
        <v>1316</v>
      </c>
      <c r="D1328" s="69" t="s">
        <v>29416</v>
      </c>
      <c r="E1328" s="51"/>
      <c r="F1328" s="114" t="str">
        <f>IF(INDEX(I.Facility.P1IDNumber,1316)="","",INDEX(I.Facility.P1IDNumber,1316))</f>
        <v/>
      </c>
      <c r="G1328" s="51"/>
      <c r="H1328" s="46" t="str">
        <f>IF(AND(I.Developer.P1=TRUE,I.Facility.P1FacilityCount&gt;=1316,F1328=""),"Incomplete","Complete")</f>
        <v>Complete</v>
      </c>
      <c r="I1328" s="48" t="s">
        <v>5693</v>
      </c>
    </row>
    <row r="1329" spans="2:9" ht="15" customHeight="1" x14ac:dyDescent="0.25">
      <c r="B1329" s="55" t="s">
        <v>279</v>
      </c>
      <c r="C1329" s="46">
        <v>1317</v>
      </c>
      <c r="D1329" s="69" t="s">
        <v>29416</v>
      </c>
      <c r="E1329" s="51"/>
      <c r="F1329" s="114" t="str">
        <f>IF(INDEX(I.Facility.P1IDNumber,1317)="","",INDEX(I.Facility.P1IDNumber,1317))</f>
        <v/>
      </c>
      <c r="G1329" s="51"/>
      <c r="H1329" s="46" t="str">
        <f>IF(AND(I.Developer.P1=TRUE,I.Facility.P1FacilityCount&gt;=1317,F1329=""),"Incomplete","Complete")</f>
        <v>Complete</v>
      </c>
      <c r="I1329" s="48" t="s">
        <v>5694</v>
      </c>
    </row>
    <row r="1330" spans="2:9" ht="15" customHeight="1" x14ac:dyDescent="0.25">
      <c r="B1330" s="55" t="s">
        <v>279</v>
      </c>
      <c r="C1330" s="46">
        <v>1318</v>
      </c>
      <c r="D1330" s="69" t="s">
        <v>29416</v>
      </c>
      <c r="E1330" s="51"/>
      <c r="F1330" s="114" t="str">
        <f>IF(INDEX(I.Facility.P1IDNumber,1318)="","",INDEX(I.Facility.P1IDNumber,1318))</f>
        <v/>
      </c>
      <c r="G1330" s="51"/>
      <c r="H1330" s="46" t="str">
        <f>IF(AND(I.Developer.P1=TRUE,I.Facility.P1FacilityCount&gt;=1318,F1330=""),"Incomplete","Complete")</f>
        <v>Complete</v>
      </c>
      <c r="I1330" s="48" t="s">
        <v>5695</v>
      </c>
    </row>
    <row r="1331" spans="2:9" ht="15" customHeight="1" x14ac:dyDescent="0.25">
      <c r="B1331" s="55" t="s">
        <v>279</v>
      </c>
      <c r="C1331" s="46">
        <v>1319</v>
      </c>
      <c r="D1331" s="69" t="s">
        <v>29416</v>
      </c>
      <c r="E1331" s="51"/>
      <c r="F1331" s="114" t="str">
        <f>IF(INDEX(I.Facility.P1IDNumber,1319)="","",INDEX(I.Facility.P1IDNumber,1319))</f>
        <v/>
      </c>
      <c r="G1331" s="51"/>
      <c r="H1331" s="46" t="str">
        <f>IF(AND(I.Developer.P1=TRUE,I.Facility.P1FacilityCount&gt;=1319,F1331=""),"Incomplete","Complete")</f>
        <v>Complete</v>
      </c>
      <c r="I1331" s="48" t="s">
        <v>5696</v>
      </c>
    </row>
    <row r="1332" spans="2:9" ht="15" customHeight="1" x14ac:dyDescent="0.25">
      <c r="B1332" s="55" t="s">
        <v>279</v>
      </c>
      <c r="C1332" s="46">
        <v>1320</v>
      </c>
      <c r="D1332" s="69" t="s">
        <v>29416</v>
      </c>
      <c r="E1332" s="51"/>
      <c r="F1332" s="114" t="str">
        <f>IF(INDEX(I.Facility.P1IDNumber,1320)="","",INDEX(I.Facility.P1IDNumber,1320))</f>
        <v/>
      </c>
      <c r="G1332" s="51"/>
      <c r="H1332" s="46" t="str">
        <f>IF(AND(I.Developer.P1=TRUE,I.Facility.P1FacilityCount&gt;=1320,F1332=""),"Incomplete","Complete")</f>
        <v>Complete</v>
      </c>
      <c r="I1332" s="48" t="s">
        <v>5697</v>
      </c>
    </row>
    <row r="1333" spans="2:9" ht="15" customHeight="1" x14ac:dyDescent="0.25">
      <c r="B1333" s="55" t="s">
        <v>279</v>
      </c>
      <c r="C1333" s="46">
        <v>1321</v>
      </c>
      <c r="D1333" s="69" t="s">
        <v>29416</v>
      </c>
      <c r="E1333" s="51"/>
      <c r="F1333" s="114" t="str">
        <f>IF(INDEX(I.Facility.P1IDNumber,1321)="","",INDEX(I.Facility.P1IDNumber,1321))</f>
        <v/>
      </c>
      <c r="G1333" s="51"/>
      <c r="H1333" s="46" t="str">
        <f>IF(AND(I.Developer.P1=TRUE,I.Facility.P1FacilityCount&gt;=1321,F1333=""),"Incomplete","Complete")</f>
        <v>Complete</v>
      </c>
      <c r="I1333" s="48" t="s">
        <v>5698</v>
      </c>
    </row>
    <row r="1334" spans="2:9" ht="15" customHeight="1" x14ac:dyDescent="0.25">
      <c r="B1334" s="55" t="s">
        <v>279</v>
      </c>
      <c r="C1334" s="46">
        <v>1322</v>
      </c>
      <c r="D1334" s="69" t="s">
        <v>29416</v>
      </c>
      <c r="E1334" s="51"/>
      <c r="F1334" s="114" t="str">
        <f>IF(INDEX(I.Facility.P1IDNumber,1322)="","",INDEX(I.Facility.P1IDNumber,1322))</f>
        <v/>
      </c>
      <c r="G1334" s="51"/>
      <c r="H1334" s="46" t="str">
        <f>IF(AND(I.Developer.P1=TRUE,I.Facility.P1FacilityCount&gt;=1322,F1334=""),"Incomplete","Complete")</f>
        <v>Complete</v>
      </c>
      <c r="I1334" s="48" t="s">
        <v>5699</v>
      </c>
    </row>
    <row r="1335" spans="2:9" ht="15" customHeight="1" x14ac:dyDescent="0.25">
      <c r="B1335" s="55" t="s">
        <v>279</v>
      </c>
      <c r="C1335" s="46">
        <v>1323</v>
      </c>
      <c r="D1335" s="69" t="s">
        <v>29416</v>
      </c>
      <c r="E1335" s="51"/>
      <c r="F1335" s="114" t="str">
        <f>IF(INDEX(I.Facility.P1IDNumber,1323)="","",INDEX(I.Facility.P1IDNumber,1323))</f>
        <v/>
      </c>
      <c r="G1335" s="51"/>
      <c r="H1335" s="46" t="str">
        <f>IF(AND(I.Developer.P1=TRUE,I.Facility.P1FacilityCount&gt;=1323,F1335=""),"Incomplete","Complete")</f>
        <v>Complete</v>
      </c>
      <c r="I1335" s="48" t="s">
        <v>5700</v>
      </c>
    </row>
    <row r="1336" spans="2:9" ht="15" customHeight="1" x14ac:dyDescent="0.25">
      <c r="B1336" s="55" t="s">
        <v>279</v>
      </c>
      <c r="C1336" s="46">
        <v>1324</v>
      </c>
      <c r="D1336" s="69" t="s">
        <v>29416</v>
      </c>
      <c r="E1336" s="51"/>
      <c r="F1336" s="114" t="str">
        <f>IF(INDEX(I.Facility.P1IDNumber,1324)="","",INDEX(I.Facility.P1IDNumber,1324))</f>
        <v/>
      </c>
      <c r="G1336" s="51"/>
      <c r="H1336" s="46" t="str">
        <f>IF(AND(I.Developer.P1=TRUE,I.Facility.P1FacilityCount&gt;=1324,F1336=""),"Incomplete","Complete")</f>
        <v>Complete</v>
      </c>
      <c r="I1336" s="48" t="s">
        <v>5701</v>
      </c>
    </row>
    <row r="1337" spans="2:9" ht="15" customHeight="1" x14ac:dyDescent="0.25">
      <c r="B1337" s="55" t="s">
        <v>279</v>
      </c>
      <c r="C1337" s="46">
        <v>1325</v>
      </c>
      <c r="D1337" s="69" t="s">
        <v>29416</v>
      </c>
      <c r="E1337" s="51"/>
      <c r="F1337" s="114" t="str">
        <f>IF(INDEX(I.Facility.P1IDNumber,1325)="","",INDEX(I.Facility.P1IDNumber,1325))</f>
        <v/>
      </c>
      <c r="G1337" s="51"/>
      <c r="H1337" s="46" t="str">
        <f>IF(AND(I.Developer.P1=TRUE,I.Facility.P1FacilityCount&gt;=1325,F1337=""),"Incomplete","Complete")</f>
        <v>Complete</v>
      </c>
      <c r="I1337" s="48" t="s">
        <v>5702</v>
      </c>
    </row>
    <row r="1338" spans="2:9" ht="15" customHeight="1" x14ac:dyDescent="0.25">
      <c r="B1338" s="55" t="s">
        <v>279</v>
      </c>
      <c r="C1338" s="46">
        <v>1326</v>
      </c>
      <c r="D1338" s="69" t="s">
        <v>29416</v>
      </c>
      <c r="E1338" s="51"/>
      <c r="F1338" s="114" t="str">
        <f>IF(INDEX(I.Facility.P1IDNumber,1326)="","",INDEX(I.Facility.P1IDNumber,1326))</f>
        <v/>
      </c>
      <c r="G1338" s="51"/>
      <c r="H1338" s="46" t="str">
        <f>IF(AND(I.Developer.P1=TRUE,I.Facility.P1FacilityCount&gt;=1326,F1338=""),"Incomplete","Complete")</f>
        <v>Complete</v>
      </c>
      <c r="I1338" s="48" t="s">
        <v>5703</v>
      </c>
    </row>
    <row r="1339" spans="2:9" ht="15" customHeight="1" x14ac:dyDescent="0.25">
      <c r="B1339" s="55" t="s">
        <v>279</v>
      </c>
      <c r="C1339" s="46">
        <v>1327</v>
      </c>
      <c r="D1339" s="69" t="s">
        <v>29416</v>
      </c>
      <c r="E1339" s="51"/>
      <c r="F1339" s="114" t="str">
        <f>IF(INDEX(I.Facility.P1IDNumber,1327)="","",INDEX(I.Facility.P1IDNumber,1327))</f>
        <v/>
      </c>
      <c r="G1339" s="51"/>
      <c r="H1339" s="46" t="str">
        <f>IF(AND(I.Developer.P1=TRUE,I.Facility.P1FacilityCount&gt;=1327,F1339=""),"Incomplete","Complete")</f>
        <v>Complete</v>
      </c>
      <c r="I1339" s="48" t="s">
        <v>5704</v>
      </c>
    </row>
    <row r="1340" spans="2:9" ht="15" customHeight="1" x14ac:dyDescent="0.25">
      <c r="B1340" s="55" t="s">
        <v>279</v>
      </c>
      <c r="C1340" s="46">
        <v>1328</v>
      </c>
      <c r="D1340" s="69" t="s">
        <v>29416</v>
      </c>
      <c r="E1340" s="51"/>
      <c r="F1340" s="114" t="str">
        <f>IF(INDEX(I.Facility.P1IDNumber,1328)="","",INDEX(I.Facility.P1IDNumber,1328))</f>
        <v/>
      </c>
      <c r="G1340" s="51"/>
      <c r="H1340" s="46" t="str">
        <f>IF(AND(I.Developer.P1=TRUE,I.Facility.P1FacilityCount&gt;=1328,F1340=""),"Incomplete","Complete")</f>
        <v>Complete</v>
      </c>
      <c r="I1340" s="48" t="s">
        <v>5705</v>
      </c>
    </row>
    <row r="1341" spans="2:9" ht="15" customHeight="1" x14ac:dyDescent="0.25">
      <c r="B1341" s="55" t="s">
        <v>279</v>
      </c>
      <c r="C1341" s="46">
        <v>1329</v>
      </c>
      <c r="D1341" s="69" t="s">
        <v>29416</v>
      </c>
      <c r="E1341" s="51"/>
      <c r="F1341" s="114" t="str">
        <f>IF(INDEX(I.Facility.P1IDNumber,1329)="","",INDEX(I.Facility.P1IDNumber,1329))</f>
        <v/>
      </c>
      <c r="G1341" s="51"/>
      <c r="H1341" s="46" t="str">
        <f>IF(AND(I.Developer.P1=TRUE,I.Facility.P1FacilityCount&gt;=1329,F1341=""),"Incomplete","Complete")</f>
        <v>Complete</v>
      </c>
      <c r="I1341" s="48" t="s">
        <v>5706</v>
      </c>
    </row>
    <row r="1342" spans="2:9" ht="15" customHeight="1" x14ac:dyDescent="0.25">
      <c r="B1342" s="55" t="s">
        <v>279</v>
      </c>
      <c r="C1342" s="46">
        <v>1330</v>
      </c>
      <c r="D1342" s="69" t="s">
        <v>29416</v>
      </c>
      <c r="E1342" s="51"/>
      <c r="F1342" s="114" t="str">
        <f>IF(INDEX(I.Facility.P1IDNumber,1330)="","",INDEX(I.Facility.P1IDNumber,1330))</f>
        <v/>
      </c>
      <c r="G1342" s="51"/>
      <c r="H1342" s="46" t="str">
        <f>IF(AND(I.Developer.P1=TRUE,I.Facility.P1FacilityCount&gt;=1330,F1342=""),"Incomplete","Complete")</f>
        <v>Complete</v>
      </c>
      <c r="I1342" s="48" t="s">
        <v>5707</v>
      </c>
    </row>
    <row r="1343" spans="2:9" ht="15" customHeight="1" x14ac:dyDescent="0.25">
      <c r="B1343" s="55" t="s">
        <v>279</v>
      </c>
      <c r="C1343" s="46">
        <v>1331</v>
      </c>
      <c r="D1343" s="69" t="s">
        <v>29416</v>
      </c>
      <c r="E1343" s="51"/>
      <c r="F1343" s="114" t="str">
        <f>IF(INDEX(I.Facility.P1IDNumber,1331)="","",INDEX(I.Facility.P1IDNumber,1331))</f>
        <v/>
      </c>
      <c r="G1343" s="51"/>
      <c r="H1343" s="46" t="str">
        <f>IF(AND(I.Developer.P1=TRUE,I.Facility.P1FacilityCount&gt;=1331,F1343=""),"Incomplete","Complete")</f>
        <v>Complete</v>
      </c>
      <c r="I1343" s="48" t="s">
        <v>5708</v>
      </c>
    </row>
    <row r="1344" spans="2:9" ht="15" customHeight="1" x14ac:dyDescent="0.25">
      <c r="B1344" s="55" t="s">
        <v>279</v>
      </c>
      <c r="C1344" s="46">
        <v>1332</v>
      </c>
      <c r="D1344" s="69" t="s">
        <v>29416</v>
      </c>
      <c r="E1344" s="51"/>
      <c r="F1344" s="114" t="str">
        <f>IF(INDEX(I.Facility.P1IDNumber,1332)="","",INDEX(I.Facility.P1IDNumber,1332))</f>
        <v/>
      </c>
      <c r="G1344" s="51"/>
      <c r="H1344" s="46" t="str">
        <f>IF(AND(I.Developer.P1=TRUE,I.Facility.P1FacilityCount&gt;=1332,F1344=""),"Incomplete","Complete")</f>
        <v>Complete</v>
      </c>
      <c r="I1344" s="48" t="s">
        <v>5709</v>
      </c>
    </row>
    <row r="1345" spans="2:9" ht="15" customHeight="1" x14ac:dyDescent="0.25">
      <c r="B1345" s="55" t="s">
        <v>279</v>
      </c>
      <c r="C1345" s="46">
        <v>1333</v>
      </c>
      <c r="D1345" s="69" t="s">
        <v>29416</v>
      </c>
      <c r="E1345" s="51"/>
      <c r="F1345" s="114" t="str">
        <f>IF(INDEX(I.Facility.P1IDNumber,1333)="","",INDEX(I.Facility.P1IDNumber,1333))</f>
        <v/>
      </c>
      <c r="G1345" s="51"/>
      <c r="H1345" s="46" t="str">
        <f>IF(AND(I.Developer.P1=TRUE,I.Facility.P1FacilityCount&gt;=1333,F1345=""),"Incomplete","Complete")</f>
        <v>Complete</v>
      </c>
      <c r="I1345" s="48" t="s">
        <v>5710</v>
      </c>
    </row>
    <row r="1346" spans="2:9" ht="15" customHeight="1" x14ac:dyDescent="0.25">
      <c r="B1346" s="55" t="s">
        <v>279</v>
      </c>
      <c r="C1346" s="46">
        <v>1334</v>
      </c>
      <c r="D1346" s="69" t="s">
        <v>29416</v>
      </c>
      <c r="E1346" s="51"/>
      <c r="F1346" s="114" t="str">
        <f>IF(INDEX(I.Facility.P1IDNumber,1334)="","",INDEX(I.Facility.P1IDNumber,1334))</f>
        <v/>
      </c>
      <c r="G1346" s="51"/>
      <c r="H1346" s="46" t="str">
        <f>IF(AND(I.Developer.P1=TRUE,I.Facility.P1FacilityCount&gt;=1334,F1346=""),"Incomplete","Complete")</f>
        <v>Complete</v>
      </c>
      <c r="I1346" s="48" t="s">
        <v>5711</v>
      </c>
    </row>
    <row r="1347" spans="2:9" ht="15" customHeight="1" x14ac:dyDescent="0.25">
      <c r="B1347" s="55" t="s">
        <v>279</v>
      </c>
      <c r="C1347" s="46">
        <v>1335</v>
      </c>
      <c r="D1347" s="69" t="s">
        <v>29416</v>
      </c>
      <c r="E1347" s="51"/>
      <c r="F1347" s="114" t="str">
        <f>IF(INDEX(I.Facility.P1IDNumber,1335)="","",INDEX(I.Facility.P1IDNumber,1335))</f>
        <v/>
      </c>
      <c r="G1347" s="51"/>
      <c r="H1347" s="46" t="str">
        <f>IF(AND(I.Developer.P1=TRUE,I.Facility.P1FacilityCount&gt;=1335,F1347=""),"Incomplete","Complete")</f>
        <v>Complete</v>
      </c>
      <c r="I1347" s="48" t="s">
        <v>5712</v>
      </c>
    </row>
    <row r="1348" spans="2:9" ht="15" customHeight="1" x14ac:dyDescent="0.25">
      <c r="B1348" s="55" t="s">
        <v>279</v>
      </c>
      <c r="C1348" s="46">
        <v>1336</v>
      </c>
      <c r="D1348" s="69" t="s">
        <v>29416</v>
      </c>
      <c r="E1348" s="51"/>
      <c r="F1348" s="114" t="str">
        <f>IF(INDEX(I.Facility.P1IDNumber,1336)="","",INDEX(I.Facility.P1IDNumber,1336))</f>
        <v/>
      </c>
      <c r="G1348" s="51"/>
      <c r="H1348" s="46" t="str">
        <f>IF(AND(I.Developer.P1=TRUE,I.Facility.P1FacilityCount&gt;=1336,F1348=""),"Incomplete","Complete")</f>
        <v>Complete</v>
      </c>
      <c r="I1348" s="48" t="s">
        <v>5713</v>
      </c>
    </row>
    <row r="1349" spans="2:9" ht="15" customHeight="1" x14ac:dyDescent="0.25">
      <c r="B1349" s="55" t="s">
        <v>279</v>
      </c>
      <c r="C1349" s="46">
        <v>1337</v>
      </c>
      <c r="D1349" s="69" t="s">
        <v>29416</v>
      </c>
      <c r="E1349" s="51"/>
      <c r="F1349" s="114" t="str">
        <f>IF(INDEX(I.Facility.P1IDNumber,1337)="","",INDEX(I.Facility.P1IDNumber,1337))</f>
        <v/>
      </c>
      <c r="G1349" s="51"/>
      <c r="H1349" s="46" t="str">
        <f>IF(AND(I.Developer.P1=TRUE,I.Facility.P1FacilityCount&gt;=1337,F1349=""),"Incomplete","Complete")</f>
        <v>Complete</v>
      </c>
      <c r="I1349" s="48" t="s">
        <v>5714</v>
      </c>
    </row>
    <row r="1350" spans="2:9" ht="15" customHeight="1" x14ac:dyDescent="0.25">
      <c r="B1350" s="55" t="s">
        <v>279</v>
      </c>
      <c r="C1350" s="46">
        <v>1338</v>
      </c>
      <c r="D1350" s="69" t="s">
        <v>29416</v>
      </c>
      <c r="E1350" s="51"/>
      <c r="F1350" s="114" t="str">
        <f>IF(INDEX(I.Facility.P1IDNumber,1338)="","",INDEX(I.Facility.P1IDNumber,1338))</f>
        <v/>
      </c>
      <c r="G1350" s="51"/>
      <c r="H1350" s="46" t="str">
        <f>IF(AND(I.Developer.P1=TRUE,I.Facility.P1FacilityCount&gt;=1338,F1350=""),"Incomplete","Complete")</f>
        <v>Complete</v>
      </c>
      <c r="I1350" s="48" t="s">
        <v>5715</v>
      </c>
    </row>
    <row r="1351" spans="2:9" ht="15" customHeight="1" x14ac:dyDescent="0.25">
      <c r="B1351" s="55" t="s">
        <v>279</v>
      </c>
      <c r="C1351" s="46">
        <v>1339</v>
      </c>
      <c r="D1351" s="69" t="s">
        <v>29416</v>
      </c>
      <c r="E1351" s="51"/>
      <c r="F1351" s="114" t="str">
        <f>IF(INDEX(I.Facility.P1IDNumber,1339)="","",INDEX(I.Facility.P1IDNumber,1339))</f>
        <v/>
      </c>
      <c r="G1351" s="51"/>
      <c r="H1351" s="46" t="str">
        <f>IF(AND(I.Developer.P1=TRUE,I.Facility.P1FacilityCount&gt;=1339,F1351=""),"Incomplete","Complete")</f>
        <v>Complete</v>
      </c>
      <c r="I1351" s="48" t="s">
        <v>5716</v>
      </c>
    </row>
    <row r="1352" spans="2:9" ht="15" customHeight="1" x14ac:dyDescent="0.25">
      <c r="B1352" s="55" t="s">
        <v>279</v>
      </c>
      <c r="C1352" s="46">
        <v>1340</v>
      </c>
      <c r="D1352" s="69" t="s">
        <v>29416</v>
      </c>
      <c r="E1352" s="51"/>
      <c r="F1352" s="114" t="str">
        <f>IF(INDEX(I.Facility.P1IDNumber,1340)="","",INDEX(I.Facility.P1IDNumber,1340))</f>
        <v/>
      </c>
      <c r="G1352" s="51"/>
      <c r="H1352" s="46" t="str">
        <f>IF(AND(I.Developer.P1=TRUE,I.Facility.P1FacilityCount&gt;=1340,F1352=""),"Incomplete","Complete")</f>
        <v>Complete</v>
      </c>
      <c r="I1352" s="48" t="s">
        <v>5717</v>
      </c>
    </row>
    <row r="1353" spans="2:9" ht="15" customHeight="1" x14ac:dyDescent="0.25">
      <c r="B1353" s="55" t="s">
        <v>279</v>
      </c>
      <c r="C1353" s="46">
        <v>1341</v>
      </c>
      <c r="D1353" s="69" t="s">
        <v>29416</v>
      </c>
      <c r="E1353" s="51"/>
      <c r="F1353" s="114" t="str">
        <f>IF(INDEX(I.Facility.P1IDNumber,1341)="","",INDEX(I.Facility.P1IDNumber,1341))</f>
        <v/>
      </c>
      <c r="G1353" s="51"/>
      <c r="H1353" s="46" t="str">
        <f>IF(AND(I.Developer.P1=TRUE,I.Facility.P1FacilityCount&gt;=1341,F1353=""),"Incomplete","Complete")</f>
        <v>Complete</v>
      </c>
      <c r="I1353" s="48" t="s">
        <v>5718</v>
      </c>
    </row>
    <row r="1354" spans="2:9" ht="15" customHeight="1" x14ac:dyDescent="0.25">
      <c r="B1354" s="55" t="s">
        <v>279</v>
      </c>
      <c r="C1354" s="46">
        <v>1342</v>
      </c>
      <c r="D1354" s="69" t="s">
        <v>29416</v>
      </c>
      <c r="E1354" s="51"/>
      <c r="F1354" s="114" t="str">
        <f>IF(INDEX(I.Facility.P1IDNumber,1342)="","",INDEX(I.Facility.P1IDNumber,1342))</f>
        <v/>
      </c>
      <c r="G1354" s="51"/>
      <c r="H1354" s="46" t="str">
        <f>IF(AND(I.Developer.P1=TRUE,I.Facility.P1FacilityCount&gt;=1342,F1354=""),"Incomplete","Complete")</f>
        <v>Complete</v>
      </c>
      <c r="I1354" s="48" t="s">
        <v>5719</v>
      </c>
    </row>
    <row r="1355" spans="2:9" ht="15" customHeight="1" x14ac:dyDescent="0.25">
      <c r="B1355" s="55" t="s">
        <v>279</v>
      </c>
      <c r="C1355" s="46">
        <v>1343</v>
      </c>
      <c r="D1355" s="69" t="s">
        <v>29416</v>
      </c>
      <c r="E1355" s="51"/>
      <c r="F1355" s="114" t="str">
        <f>IF(INDEX(I.Facility.P1IDNumber,1343)="","",INDEX(I.Facility.P1IDNumber,1343))</f>
        <v/>
      </c>
      <c r="G1355" s="51"/>
      <c r="H1355" s="46" t="str">
        <f>IF(AND(I.Developer.P1=TRUE,I.Facility.P1FacilityCount&gt;=1343,F1355=""),"Incomplete","Complete")</f>
        <v>Complete</v>
      </c>
      <c r="I1355" s="48" t="s">
        <v>5720</v>
      </c>
    </row>
    <row r="1356" spans="2:9" ht="15" customHeight="1" x14ac:dyDescent="0.25">
      <c r="B1356" s="55" t="s">
        <v>279</v>
      </c>
      <c r="C1356" s="46">
        <v>1344</v>
      </c>
      <c r="D1356" s="69" t="s">
        <v>29416</v>
      </c>
      <c r="E1356" s="51"/>
      <c r="F1356" s="114" t="str">
        <f>IF(INDEX(I.Facility.P1IDNumber,1344)="","",INDEX(I.Facility.P1IDNumber,1344))</f>
        <v/>
      </c>
      <c r="G1356" s="51"/>
      <c r="H1356" s="46" t="str">
        <f>IF(AND(I.Developer.P1=TRUE,I.Facility.P1FacilityCount&gt;=1344,F1356=""),"Incomplete","Complete")</f>
        <v>Complete</v>
      </c>
      <c r="I1356" s="48" t="s">
        <v>5721</v>
      </c>
    </row>
    <row r="1357" spans="2:9" ht="15" customHeight="1" x14ac:dyDescent="0.25">
      <c r="B1357" s="55" t="s">
        <v>279</v>
      </c>
      <c r="C1357" s="46">
        <v>1345</v>
      </c>
      <c r="D1357" s="69" t="s">
        <v>29416</v>
      </c>
      <c r="E1357" s="51"/>
      <c r="F1357" s="114" t="str">
        <f>IF(INDEX(I.Facility.P1IDNumber,1345)="","",INDEX(I.Facility.P1IDNumber,1345))</f>
        <v/>
      </c>
      <c r="G1357" s="51"/>
      <c r="H1357" s="46" t="str">
        <f>IF(AND(I.Developer.P1=TRUE,I.Facility.P1FacilityCount&gt;=1345,F1357=""),"Incomplete","Complete")</f>
        <v>Complete</v>
      </c>
      <c r="I1357" s="48" t="s">
        <v>5722</v>
      </c>
    </row>
    <row r="1358" spans="2:9" ht="15" customHeight="1" x14ac:dyDescent="0.25">
      <c r="B1358" s="55" t="s">
        <v>279</v>
      </c>
      <c r="C1358" s="46">
        <v>1346</v>
      </c>
      <c r="D1358" s="69" t="s">
        <v>29416</v>
      </c>
      <c r="E1358" s="51"/>
      <c r="F1358" s="114" t="str">
        <f>IF(INDEX(I.Facility.P1IDNumber,1346)="","",INDEX(I.Facility.P1IDNumber,1346))</f>
        <v/>
      </c>
      <c r="G1358" s="51"/>
      <c r="H1358" s="46" t="str">
        <f>IF(AND(I.Developer.P1=TRUE,I.Facility.P1FacilityCount&gt;=1346,F1358=""),"Incomplete","Complete")</f>
        <v>Complete</v>
      </c>
      <c r="I1358" s="48" t="s">
        <v>5723</v>
      </c>
    </row>
    <row r="1359" spans="2:9" ht="15" customHeight="1" x14ac:dyDescent="0.25">
      <c r="B1359" s="55" t="s">
        <v>279</v>
      </c>
      <c r="C1359" s="46">
        <v>1347</v>
      </c>
      <c r="D1359" s="69" t="s">
        <v>29416</v>
      </c>
      <c r="E1359" s="51"/>
      <c r="F1359" s="114" t="str">
        <f>IF(INDEX(I.Facility.P1IDNumber,1347)="","",INDEX(I.Facility.P1IDNumber,1347))</f>
        <v/>
      </c>
      <c r="G1359" s="51"/>
      <c r="H1359" s="46" t="str">
        <f>IF(AND(I.Developer.P1=TRUE,I.Facility.P1FacilityCount&gt;=1347,F1359=""),"Incomplete","Complete")</f>
        <v>Complete</v>
      </c>
      <c r="I1359" s="48" t="s">
        <v>5724</v>
      </c>
    </row>
    <row r="1360" spans="2:9" ht="15" customHeight="1" x14ac:dyDescent="0.25">
      <c r="B1360" s="55" t="s">
        <v>279</v>
      </c>
      <c r="C1360" s="46">
        <v>1348</v>
      </c>
      <c r="D1360" s="69" t="s">
        <v>29416</v>
      </c>
      <c r="E1360" s="51"/>
      <c r="F1360" s="114" t="str">
        <f>IF(INDEX(I.Facility.P1IDNumber,1348)="","",INDEX(I.Facility.P1IDNumber,1348))</f>
        <v/>
      </c>
      <c r="G1360" s="51"/>
      <c r="H1360" s="46" t="str">
        <f>IF(AND(I.Developer.P1=TRUE,I.Facility.P1FacilityCount&gt;=1348,F1360=""),"Incomplete","Complete")</f>
        <v>Complete</v>
      </c>
      <c r="I1360" s="48" t="s">
        <v>5725</v>
      </c>
    </row>
    <row r="1361" spans="2:9" ht="15" customHeight="1" x14ac:dyDescent="0.25">
      <c r="B1361" s="55" t="s">
        <v>279</v>
      </c>
      <c r="C1361" s="46">
        <v>1349</v>
      </c>
      <c r="D1361" s="69" t="s">
        <v>29416</v>
      </c>
      <c r="E1361" s="51"/>
      <c r="F1361" s="114" t="str">
        <f>IF(INDEX(I.Facility.P1IDNumber,1349)="","",INDEX(I.Facility.P1IDNumber,1349))</f>
        <v/>
      </c>
      <c r="G1361" s="51"/>
      <c r="H1361" s="46" t="str">
        <f>IF(AND(I.Developer.P1=TRUE,I.Facility.P1FacilityCount&gt;=1349,F1361=""),"Incomplete","Complete")</f>
        <v>Complete</v>
      </c>
      <c r="I1361" s="48" t="s">
        <v>5726</v>
      </c>
    </row>
    <row r="1362" spans="2:9" ht="15" customHeight="1" x14ac:dyDescent="0.25">
      <c r="B1362" s="55" t="s">
        <v>279</v>
      </c>
      <c r="C1362" s="46">
        <v>1350</v>
      </c>
      <c r="D1362" s="69" t="s">
        <v>29416</v>
      </c>
      <c r="E1362" s="51"/>
      <c r="F1362" s="114" t="str">
        <f>IF(INDEX(I.Facility.P1IDNumber,1350)="","",INDEX(I.Facility.P1IDNumber,1350))</f>
        <v/>
      </c>
      <c r="G1362" s="51"/>
      <c r="H1362" s="46" t="str">
        <f>IF(AND(I.Developer.P1=TRUE,I.Facility.P1FacilityCount&gt;=1350,F1362=""),"Incomplete","Complete")</f>
        <v>Complete</v>
      </c>
      <c r="I1362" s="48" t="s">
        <v>5727</v>
      </c>
    </row>
    <row r="1363" spans="2:9" ht="15" customHeight="1" x14ac:dyDescent="0.25">
      <c r="B1363" s="55" t="s">
        <v>279</v>
      </c>
      <c r="C1363" s="46">
        <v>1351</v>
      </c>
      <c r="D1363" s="69" t="s">
        <v>29416</v>
      </c>
      <c r="E1363" s="51"/>
      <c r="F1363" s="114" t="str">
        <f>IF(INDEX(I.Facility.P1IDNumber,1351)="","",INDEX(I.Facility.P1IDNumber,1351))</f>
        <v/>
      </c>
      <c r="G1363" s="51"/>
      <c r="H1363" s="46" t="str">
        <f>IF(AND(I.Developer.P1=TRUE,I.Facility.P1FacilityCount&gt;=1351,F1363=""),"Incomplete","Complete")</f>
        <v>Complete</v>
      </c>
      <c r="I1363" s="48" t="s">
        <v>5728</v>
      </c>
    </row>
    <row r="1364" spans="2:9" ht="15" customHeight="1" x14ac:dyDescent="0.25">
      <c r="B1364" s="55" t="s">
        <v>279</v>
      </c>
      <c r="C1364" s="46">
        <v>1352</v>
      </c>
      <c r="D1364" s="69" t="s">
        <v>29416</v>
      </c>
      <c r="E1364" s="51"/>
      <c r="F1364" s="114" t="str">
        <f>IF(INDEX(I.Facility.P1IDNumber,1352)="","",INDEX(I.Facility.P1IDNumber,1352))</f>
        <v/>
      </c>
      <c r="G1364" s="51"/>
      <c r="H1364" s="46" t="str">
        <f>IF(AND(I.Developer.P1=TRUE,I.Facility.P1FacilityCount&gt;=1352,F1364=""),"Incomplete","Complete")</f>
        <v>Complete</v>
      </c>
      <c r="I1364" s="48" t="s">
        <v>5729</v>
      </c>
    </row>
    <row r="1365" spans="2:9" ht="15" customHeight="1" x14ac:dyDescent="0.25">
      <c r="B1365" s="55" t="s">
        <v>279</v>
      </c>
      <c r="C1365" s="46">
        <v>1353</v>
      </c>
      <c r="D1365" s="69" t="s">
        <v>29416</v>
      </c>
      <c r="E1365" s="51"/>
      <c r="F1365" s="114" t="str">
        <f>IF(INDEX(I.Facility.P1IDNumber,1353)="","",INDEX(I.Facility.P1IDNumber,1353))</f>
        <v/>
      </c>
      <c r="G1365" s="51"/>
      <c r="H1365" s="46" t="str">
        <f>IF(AND(I.Developer.P1=TRUE,I.Facility.P1FacilityCount&gt;=1353,F1365=""),"Incomplete","Complete")</f>
        <v>Complete</v>
      </c>
      <c r="I1365" s="48" t="s">
        <v>5730</v>
      </c>
    </row>
    <row r="1366" spans="2:9" ht="15" customHeight="1" x14ac:dyDescent="0.25">
      <c r="B1366" s="55" t="s">
        <v>279</v>
      </c>
      <c r="C1366" s="46">
        <v>1354</v>
      </c>
      <c r="D1366" s="69" t="s">
        <v>29416</v>
      </c>
      <c r="E1366" s="51"/>
      <c r="F1366" s="114" t="str">
        <f>IF(INDEX(I.Facility.P1IDNumber,1354)="","",INDEX(I.Facility.P1IDNumber,1354))</f>
        <v/>
      </c>
      <c r="G1366" s="51"/>
      <c r="H1366" s="46" t="str">
        <f>IF(AND(I.Developer.P1=TRUE,I.Facility.P1FacilityCount&gt;=1354,F1366=""),"Incomplete","Complete")</f>
        <v>Complete</v>
      </c>
      <c r="I1366" s="48" t="s">
        <v>5731</v>
      </c>
    </row>
    <row r="1367" spans="2:9" ht="15" customHeight="1" x14ac:dyDescent="0.25">
      <c r="B1367" s="55" t="s">
        <v>279</v>
      </c>
      <c r="C1367" s="46">
        <v>1355</v>
      </c>
      <c r="D1367" s="69" t="s">
        <v>29416</v>
      </c>
      <c r="E1367" s="51"/>
      <c r="F1367" s="114" t="str">
        <f>IF(INDEX(I.Facility.P1IDNumber,1355)="","",INDEX(I.Facility.P1IDNumber,1355))</f>
        <v/>
      </c>
      <c r="G1367" s="51"/>
      <c r="H1367" s="46" t="str">
        <f>IF(AND(I.Developer.P1=TRUE,I.Facility.P1FacilityCount&gt;=1355,F1367=""),"Incomplete","Complete")</f>
        <v>Complete</v>
      </c>
      <c r="I1367" s="48" t="s">
        <v>5732</v>
      </c>
    </row>
    <row r="1368" spans="2:9" ht="15" customHeight="1" x14ac:dyDescent="0.25">
      <c r="B1368" s="55" t="s">
        <v>279</v>
      </c>
      <c r="C1368" s="46">
        <v>1356</v>
      </c>
      <c r="D1368" s="69" t="s">
        <v>29416</v>
      </c>
      <c r="E1368" s="51"/>
      <c r="F1368" s="114" t="str">
        <f>IF(INDEX(I.Facility.P1IDNumber,1356)="","",INDEX(I.Facility.P1IDNumber,1356))</f>
        <v/>
      </c>
      <c r="G1368" s="51"/>
      <c r="H1368" s="46" t="str">
        <f>IF(AND(I.Developer.P1=TRUE,I.Facility.P1FacilityCount&gt;=1356,F1368=""),"Incomplete","Complete")</f>
        <v>Complete</v>
      </c>
      <c r="I1368" s="48" t="s">
        <v>5733</v>
      </c>
    </row>
    <row r="1369" spans="2:9" ht="15" customHeight="1" x14ac:dyDescent="0.25">
      <c r="B1369" s="55" t="s">
        <v>279</v>
      </c>
      <c r="C1369" s="46">
        <v>1357</v>
      </c>
      <c r="D1369" s="69" t="s">
        <v>29416</v>
      </c>
      <c r="E1369" s="51"/>
      <c r="F1369" s="114" t="str">
        <f>IF(INDEX(I.Facility.P1IDNumber,1357)="","",INDEX(I.Facility.P1IDNumber,1357))</f>
        <v/>
      </c>
      <c r="G1369" s="51"/>
      <c r="H1369" s="46" t="str">
        <f>IF(AND(I.Developer.P1=TRUE,I.Facility.P1FacilityCount&gt;=1357,F1369=""),"Incomplete","Complete")</f>
        <v>Complete</v>
      </c>
      <c r="I1369" s="48" t="s">
        <v>5734</v>
      </c>
    </row>
    <row r="1370" spans="2:9" ht="15" customHeight="1" x14ac:dyDescent="0.25">
      <c r="B1370" s="55" t="s">
        <v>279</v>
      </c>
      <c r="C1370" s="46">
        <v>1358</v>
      </c>
      <c r="D1370" s="69" t="s">
        <v>29416</v>
      </c>
      <c r="E1370" s="51"/>
      <c r="F1370" s="114" t="str">
        <f>IF(INDEX(I.Facility.P1IDNumber,1358)="","",INDEX(I.Facility.P1IDNumber,1358))</f>
        <v/>
      </c>
      <c r="G1370" s="51"/>
      <c r="H1370" s="46" t="str">
        <f>IF(AND(I.Developer.P1=TRUE,I.Facility.P1FacilityCount&gt;=1358,F1370=""),"Incomplete","Complete")</f>
        <v>Complete</v>
      </c>
      <c r="I1370" s="48" t="s">
        <v>5735</v>
      </c>
    </row>
    <row r="1371" spans="2:9" ht="15" customHeight="1" x14ac:dyDescent="0.25">
      <c r="B1371" s="55" t="s">
        <v>279</v>
      </c>
      <c r="C1371" s="46">
        <v>1359</v>
      </c>
      <c r="D1371" s="69" t="s">
        <v>29416</v>
      </c>
      <c r="E1371" s="51"/>
      <c r="F1371" s="114" t="str">
        <f>IF(INDEX(I.Facility.P1IDNumber,1359)="","",INDEX(I.Facility.P1IDNumber,1359))</f>
        <v/>
      </c>
      <c r="G1371" s="51"/>
      <c r="H1371" s="46" t="str">
        <f>IF(AND(I.Developer.P1=TRUE,I.Facility.P1FacilityCount&gt;=1359,F1371=""),"Incomplete","Complete")</f>
        <v>Complete</v>
      </c>
      <c r="I1371" s="48" t="s">
        <v>5736</v>
      </c>
    </row>
    <row r="1372" spans="2:9" ht="15" customHeight="1" x14ac:dyDescent="0.25">
      <c r="B1372" s="55" t="s">
        <v>279</v>
      </c>
      <c r="C1372" s="46">
        <v>1360</v>
      </c>
      <c r="D1372" s="69" t="s">
        <v>29416</v>
      </c>
      <c r="E1372" s="51"/>
      <c r="F1372" s="114" t="str">
        <f>IF(INDEX(I.Facility.P1IDNumber,1360)="","",INDEX(I.Facility.P1IDNumber,1360))</f>
        <v/>
      </c>
      <c r="G1372" s="51"/>
      <c r="H1372" s="46" t="str">
        <f>IF(AND(I.Developer.P1=TRUE,I.Facility.P1FacilityCount&gt;=1360,F1372=""),"Incomplete","Complete")</f>
        <v>Complete</v>
      </c>
      <c r="I1372" s="48" t="s">
        <v>5737</v>
      </c>
    </row>
    <row r="1373" spans="2:9" ht="15" customHeight="1" x14ac:dyDescent="0.25">
      <c r="B1373" s="55" t="s">
        <v>279</v>
      </c>
      <c r="C1373" s="46">
        <v>1361</v>
      </c>
      <c r="D1373" s="69" t="s">
        <v>29416</v>
      </c>
      <c r="E1373" s="51"/>
      <c r="F1373" s="114" t="str">
        <f>IF(INDEX(I.Facility.P1IDNumber,1361)="","",INDEX(I.Facility.P1IDNumber,1361))</f>
        <v/>
      </c>
      <c r="G1373" s="51"/>
      <c r="H1373" s="46" t="str">
        <f>IF(AND(I.Developer.P1=TRUE,I.Facility.P1FacilityCount&gt;=1361,F1373=""),"Incomplete","Complete")</f>
        <v>Complete</v>
      </c>
      <c r="I1373" s="48" t="s">
        <v>5738</v>
      </c>
    </row>
    <row r="1374" spans="2:9" ht="15" customHeight="1" x14ac:dyDescent="0.25">
      <c r="B1374" s="55" t="s">
        <v>279</v>
      </c>
      <c r="C1374" s="46">
        <v>1362</v>
      </c>
      <c r="D1374" s="69" t="s">
        <v>29416</v>
      </c>
      <c r="E1374" s="51"/>
      <c r="F1374" s="114" t="str">
        <f>IF(INDEX(I.Facility.P1IDNumber,1362)="","",INDEX(I.Facility.P1IDNumber,1362))</f>
        <v/>
      </c>
      <c r="G1374" s="51"/>
      <c r="H1374" s="46" t="str">
        <f>IF(AND(I.Developer.P1=TRUE,I.Facility.P1FacilityCount&gt;=1362,F1374=""),"Incomplete","Complete")</f>
        <v>Complete</v>
      </c>
      <c r="I1374" s="48" t="s">
        <v>5739</v>
      </c>
    </row>
    <row r="1375" spans="2:9" ht="15" customHeight="1" x14ac:dyDescent="0.25">
      <c r="B1375" s="55" t="s">
        <v>279</v>
      </c>
      <c r="C1375" s="46">
        <v>1363</v>
      </c>
      <c r="D1375" s="69" t="s">
        <v>29416</v>
      </c>
      <c r="E1375" s="51"/>
      <c r="F1375" s="114" t="str">
        <f>IF(INDEX(I.Facility.P1IDNumber,1363)="","",INDEX(I.Facility.P1IDNumber,1363))</f>
        <v/>
      </c>
      <c r="G1375" s="51"/>
      <c r="H1375" s="46" t="str">
        <f>IF(AND(I.Developer.P1=TRUE,I.Facility.P1FacilityCount&gt;=1363,F1375=""),"Incomplete","Complete")</f>
        <v>Complete</v>
      </c>
      <c r="I1375" s="48" t="s">
        <v>5740</v>
      </c>
    </row>
    <row r="1376" spans="2:9" ht="15" customHeight="1" x14ac:dyDescent="0.25">
      <c r="B1376" s="55" t="s">
        <v>279</v>
      </c>
      <c r="C1376" s="46">
        <v>1364</v>
      </c>
      <c r="D1376" s="69" t="s">
        <v>29416</v>
      </c>
      <c r="E1376" s="51"/>
      <c r="F1376" s="114" t="str">
        <f>IF(INDEX(I.Facility.P1IDNumber,1364)="","",INDEX(I.Facility.P1IDNumber,1364))</f>
        <v/>
      </c>
      <c r="G1376" s="51"/>
      <c r="H1376" s="46" t="str">
        <f>IF(AND(I.Developer.P1=TRUE,I.Facility.P1FacilityCount&gt;=1364,F1376=""),"Incomplete","Complete")</f>
        <v>Complete</v>
      </c>
      <c r="I1376" s="48" t="s">
        <v>5741</v>
      </c>
    </row>
    <row r="1377" spans="2:9" ht="15" customHeight="1" x14ac:dyDescent="0.25">
      <c r="B1377" s="55" t="s">
        <v>279</v>
      </c>
      <c r="C1377" s="46">
        <v>1365</v>
      </c>
      <c r="D1377" s="69" t="s">
        <v>29416</v>
      </c>
      <c r="E1377" s="51"/>
      <c r="F1377" s="114" t="str">
        <f>IF(INDEX(I.Facility.P1IDNumber,1365)="","",INDEX(I.Facility.P1IDNumber,1365))</f>
        <v/>
      </c>
      <c r="G1377" s="51"/>
      <c r="H1377" s="46" t="str">
        <f>IF(AND(I.Developer.P1=TRUE,I.Facility.P1FacilityCount&gt;=1365,F1377=""),"Incomplete","Complete")</f>
        <v>Complete</v>
      </c>
      <c r="I1377" s="48" t="s">
        <v>5742</v>
      </c>
    </row>
    <row r="1378" spans="2:9" ht="15" customHeight="1" x14ac:dyDescent="0.25">
      <c r="B1378" s="55" t="s">
        <v>279</v>
      </c>
      <c r="C1378" s="46">
        <v>1366</v>
      </c>
      <c r="D1378" s="69" t="s">
        <v>29416</v>
      </c>
      <c r="E1378" s="51"/>
      <c r="F1378" s="114" t="str">
        <f>IF(INDEX(I.Facility.P1IDNumber,1366)="","",INDEX(I.Facility.P1IDNumber,1366))</f>
        <v/>
      </c>
      <c r="G1378" s="51"/>
      <c r="H1378" s="46" t="str">
        <f>IF(AND(I.Developer.P1=TRUE,I.Facility.P1FacilityCount&gt;=1366,F1378=""),"Incomplete","Complete")</f>
        <v>Complete</v>
      </c>
      <c r="I1378" s="48" t="s">
        <v>5743</v>
      </c>
    </row>
    <row r="1379" spans="2:9" ht="15" customHeight="1" x14ac:dyDescent="0.25">
      <c r="B1379" s="55" t="s">
        <v>279</v>
      </c>
      <c r="C1379" s="46">
        <v>1367</v>
      </c>
      <c r="D1379" s="69" t="s">
        <v>29416</v>
      </c>
      <c r="E1379" s="51"/>
      <c r="F1379" s="114" t="str">
        <f>IF(INDEX(I.Facility.P1IDNumber,1367)="","",INDEX(I.Facility.P1IDNumber,1367))</f>
        <v/>
      </c>
      <c r="G1379" s="51"/>
      <c r="H1379" s="46" t="str">
        <f>IF(AND(I.Developer.P1=TRUE,I.Facility.P1FacilityCount&gt;=1367,F1379=""),"Incomplete","Complete")</f>
        <v>Complete</v>
      </c>
      <c r="I1379" s="48" t="s">
        <v>5744</v>
      </c>
    </row>
    <row r="1380" spans="2:9" ht="15" customHeight="1" x14ac:dyDescent="0.25">
      <c r="B1380" s="55" t="s">
        <v>279</v>
      </c>
      <c r="C1380" s="46">
        <v>1368</v>
      </c>
      <c r="D1380" s="69" t="s">
        <v>29416</v>
      </c>
      <c r="E1380" s="51"/>
      <c r="F1380" s="114" t="str">
        <f>IF(INDEX(I.Facility.P1IDNumber,1368)="","",INDEX(I.Facility.P1IDNumber,1368))</f>
        <v/>
      </c>
      <c r="G1380" s="51"/>
      <c r="H1380" s="46" t="str">
        <f>IF(AND(I.Developer.P1=TRUE,I.Facility.P1FacilityCount&gt;=1368,F1380=""),"Incomplete","Complete")</f>
        <v>Complete</v>
      </c>
      <c r="I1380" s="48" t="s">
        <v>5745</v>
      </c>
    </row>
    <row r="1381" spans="2:9" ht="15" customHeight="1" x14ac:dyDescent="0.25">
      <c r="B1381" s="55" t="s">
        <v>279</v>
      </c>
      <c r="C1381" s="46">
        <v>1369</v>
      </c>
      <c r="D1381" s="69" t="s">
        <v>29416</v>
      </c>
      <c r="E1381" s="51"/>
      <c r="F1381" s="114" t="str">
        <f>IF(INDEX(I.Facility.P1IDNumber,1369)="","",INDEX(I.Facility.P1IDNumber,1369))</f>
        <v/>
      </c>
      <c r="G1381" s="51"/>
      <c r="H1381" s="46" t="str">
        <f>IF(AND(I.Developer.P1=TRUE,I.Facility.P1FacilityCount&gt;=1369,F1381=""),"Incomplete","Complete")</f>
        <v>Complete</v>
      </c>
      <c r="I1381" s="48" t="s">
        <v>5746</v>
      </c>
    </row>
    <row r="1382" spans="2:9" ht="15" customHeight="1" x14ac:dyDescent="0.25">
      <c r="B1382" s="55" t="s">
        <v>279</v>
      </c>
      <c r="C1382" s="46">
        <v>1370</v>
      </c>
      <c r="D1382" s="69" t="s">
        <v>29416</v>
      </c>
      <c r="E1382" s="51"/>
      <c r="F1382" s="114" t="str">
        <f>IF(INDEX(I.Facility.P1IDNumber,1370)="","",INDEX(I.Facility.P1IDNumber,1370))</f>
        <v/>
      </c>
      <c r="G1382" s="51"/>
      <c r="H1382" s="46" t="str">
        <f>IF(AND(I.Developer.P1=TRUE,I.Facility.P1FacilityCount&gt;=1370,F1382=""),"Incomplete","Complete")</f>
        <v>Complete</v>
      </c>
      <c r="I1382" s="48" t="s">
        <v>5747</v>
      </c>
    </row>
    <row r="1383" spans="2:9" ht="15" customHeight="1" x14ac:dyDescent="0.25">
      <c r="B1383" s="55" t="s">
        <v>279</v>
      </c>
      <c r="C1383" s="46">
        <v>1371</v>
      </c>
      <c r="D1383" s="69" t="s">
        <v>29416</v>
      </c>
      <c r="E1383" s="51"/>
      <c r="F1383" s="114" t="str">
        <f>IF(INDEX(I.Facility.P1IDNumber,1371)="","",INDEX(I.Facility.P1IDNumber,1371))</f>
        <v/>
      </c>
      <c r="G1383" s="51"/>
      <c r="H1383" s="46" t="str">
        <f>IF(AND(I.Developer.P1=TRUE,I.Facility.P1FacilityCount&gt;=1371,F1383=""),"Incomplete","Complete")</f>
        <v>Complete</v>
      </c>
      <c r="I1383" s="48" t="s">
        <v>5748</v>
      </c>
    </row>
    <row r="1384" spans="2:9" ht="15" customHeight="1" x14ac:dyDescent="0.25">
      <c r="B1384" s="55" t="s">
        <v>279</v>
      </c>
      <c r="C1384" s="46">
        <v>1372</v>
      </c>
      <c r="D1384" s="69" t="s">
        <v>29416</v>
      </c>
      <c r="E1384" s="51"/>
      <c r="F1384" s="114" t="str">
        <f>IF(INDEX(I.Facility.P1IDNumber,1372)="","",INDEX(I.Facility.P1IDNumber,1372))</f>
        <v/>
      </c>
      <c r="G1384" s="51"/>
      <c r="H1384" s="46" t="str">
        <f>IF(AND(I.Developer.P1=TRUE,I.Facility.P1FacilityCount&gt;=1372,F1384=""),"Incomplete","Complete")</f>
        <v>Complete</v>
      </c>
      <c r="I1384" s="48" t="s">
        <v>5749</v>
      </c>
    </row>
    <row r="1385" spans="2:9" ht="15" customHeight="1" x14ac:dyDescent="0.25">
      <c r="B1385" s="55" t="s">
        <v>279</v>
      </c>
      <c r="C1385" s="46">
        <v>1373</v>
      </c>
      <c r="D1385" s="69" t="s">
        <v>29416</v>
      </c>
      <c r="E1385" s="51"/>
      <c r="F1385" s="114" t="str">
        <f>IF(INDEX(I.Facility.P1IDNumber,1373)="","",INDEX(I.Facility.P1IDNumber,1373))</f>
        <v/>
      </c>
      <c r="G1385" s="51"/>
      <c r="H1385" s="46" t="str">
        <f>IF(AND(I.Developer.P1=TRUE,I.Facility.P1FacilityCount&gt;=1373,F1385=""),"Incomplete","Complete")</f>
        <v>Complete</v>
      </c>
      <c r="I1385" s="48" t="s">
        <v>5750</v>
      </c>
    </row>
    <row r="1386" spans="2:9" ht="15" customHeight="1" x14ac:dyDescent="0.25">
      <c r="B1386" s="55" t="s">
        <v>279</v>
      </c>
      <c r="C1386" s="46">
        <v>1374</v>
      </c>
      <c r="D1386" s="69" t="s">
        <v>29416</v>
      </c>
      <c r="E1386" s="51"/>
      <c r="F1386" s="114" t="str">
        <f>IF(INDEX(I.Facility.P1IDNumber,1374)="","",INDEX(I.Facility.P1IDNumber,1374))</f>
        <v/>
      </c>
      <c r="G1386" s="51"/>
      <c r="H1386" s="46" t="str">
        <f>IF(AND(I.Developer.P1=TRUE,I.Facility.P1FacilityCount&gt;=1374,F1386=""),"Incomplete","Complete")</f>
        <v>Complete</v>
      </c>
      <c r="I1386" s="48" t="s">
        <v>5751</v>
      </c>
    </row>
    <row r="1387" spans="2:9" ht="15" customHeight="1" x14ac:dyDescent="0.25">
      <c r="B1387" s="55" t="s">
        <v>279</v>
      </c>
      <c r="C1387" s="46">
        <v>1375</v>
      </c>
      <c r="D1387" s="69" t="s">
        <v>29416</v>
      </c>
      <c r="E1387" s="51"/>
      <c r="F1387" s="114" t="str">
        <f>IF(INDEX(I.Facility.P1IDNumber,1375)="","",INDEX(I.Facility.P1IDNumber,1375))</f>
        <v/>
      </c>
      <c r="G1387" s="51"/>
      <c r="H1387" s="46" t="str">
        <f>IF(AND(I.Developer.P1=TRUE,I.Facility.P1FacilityCount&gt;=1375,F1387=""),"Incomplete","Complete")</f>
        <v>Complete</v>
      </c>
      <c r="I1387" s="48" t="s">
        <v>5752</v>
      </c>
    </row>
    <row r="1388" spans="2:9" ht="15" customHeight="1" x14ac:dyDescent="0.25">
      <c r="B1388" s="55" t="s">
        <v>279</v>
      </c>
      <c r="C1388" s="46">
        <v>1376</v>
      </c>
      <c r="D1388" s="69" t="s">
        <v>29416</v>
      </c>
      <c r="E1388" s="51"/>
      <c r="F1388" s="114" t="str">
        <f>IF(INDEX(I.Facility.P1IDNumber,1376)="","",INDEX(I.Facility.P1IDNumber,1376))</f>
        <v/>
      </c>
      <c r="G1388" s="51"/>
      <c r="H1388" s="46" t="str">
        <f>IF(AND(I.Developer.P1=TRUE,I.Facility.P1FacilityCount&gt;=1376,F1388=""),"Incomplete","Complete")</f>
        <v>Complete</v>
      </c>
      <c r="I1388" s="48" t="s">
        <v>5753</v>
      </c>
    </row>
    <row r="1389" spans="2:9" ht="15" customHeight="1" x14ac:dyDescent="0.25">
      <c r="B1389" s="55" t="s">
        <v>279</v>
      </c>
      <c r="C1389" s="46">
        <v>1377</v>
      </c>
      <c r="D1389" s="69" t="s">
        <v>29416</v>
      </c>
      <c r="E1389" s="51"/>
      <c r="F1389" s="114" t="str">
        <f>IF(INDEX(I.Facility.P1IDNumber,1377)="","",INDEX(I.Facility.P1IDNumber,1377))</f>
        <v/>
      </c>
      <c r="G1389" s="51"/>
      <c r="H1389" s="46" t="str">
        <f>IF(AND(I.Developer.P1=TRUE,I.Facility.P1FacilityCount&gt;=1377,F1389=""),"Incomplete","Complete")</f>
        <v>Complete</v>
      </c>
      <c r="I1389" s="48" t="s">
        <v>5754</v>
      </c>
    </row>
    <row r="1390" spans="2:9" ht="15" customHeight="1" x14ac:dyDescent="0.25">
      <c r="B1390" s="55" t="s">
        <v>279</v>
      </c>
      <c r="C1390" s="46">
        <v>1378</v>
      </c>
      <c r="D1390" s="69" t="s">
        <v>29416</v>
      </c>
      <c r="E1390" s="51"/>
      <c r="F1390" s="114" t="str">
        <f>IF(INDEX(I.Facility.P1IDNumber,1378)="","",INDEX(I.Facility.P1IDNumber,1378))</f>
        <v/>
      </c>
      <c r="G1390" s="51"/>
      <c r="H1390" s="46" t="str">
        <f>IF(AND(I.Developer.P1=TRUE,I.Facility.P1FacilityCount&gt;=1378,F1390=""),"Incomplete","Complete")</f>
        <v>Complete</v>
      </c>
      <c r="I1390" s="48" t="s">
        <v>5755</v>
      </c>
    </row>
    <row r="1391" spans="2:9" ht="15" customHeight="1" x14ac:dyDescent="0.25">
      <c r="B1391" s="55" t="s">
        <v>279</v>
      </c>
      <c r="C1391" s="46">
        <v>1379</v>
      </c>
      <c r="D1391" s="69" t="s">
        <v>29416</v>
      </c>
      <c r="E1391" s="51"/>
      <c r="F1391" s="114" t="str">
        <f>IF(INDEX(I.Facility.P1IDNumber,1379)="","",INDEX(I.Facility.P1IDNumber,1379))</f>
        <v/>
      </c>
      <c r="G1391" s="51"/>
      <c r="H1391" s="46" t="str">
        <f>IF(AND(I.Developer.P1=TRUE,I.Facility.P1FacilityCount&gt;=1379,F1391=""),"Incomplete","Complete")</f>
        <v>Complete</v>
      </c>
      <c r="I1391" s="48" t="s">
        <v>5756</v>
      </c>
    </row>
    <row r="1392" spans="2:9" ht="15" customHeight="1" x14ac:dyDescent="0.25">
      <c r="B1392" s="55" t="s">
        <v>279</v>
      </c>
      <c r="C1392" s="46">
        <v>1380</v>
      </c>
      <c r="D1392" s="69" t="s">
        <v>29416</v>
      </c>
      <c r="E1392" s="51"/>
      <c r="F1392" s="114" t="str">
        <f>IF(INDEX(I.Facility.P1IDNumber,1380)="","",INDEX(I.Facility.P1IDNumber,1380))</f>
        <v/>
      </c>
      <c r="G1392" s="51"/>
      <c r="H1392" s="46" t="str">
        <f>IF(AND(I.Developer.P1=TRUE,I.Facility.P1FacilityCount&gt;=1380,F1392=""),"Incomplete","Complete")</f>
        <v>Complete</v>
      </c>
      <c r="I1392" s="48" t="s">
        <v>5757</v>
      </c>
    </row>
    <row r="1393" spans="2:9" ht="15" customHeight="1" x14ac:dyDescent="0.25">
      <c r="B1393" s="55" t="s">
        <v>279</v>
      </c>
      <c r="C1393" s="46">
        <v>1381</v>
      </c>
      <c r="D1393" s="69" t="s">
        <v>29416</v>
      </c>
      <c r="E1393" s="51"/>
      <c r="F1393" s="114" t="str">
        <f>IF(INDEX(I.Facility.P1IDNumber,1381)="","",INDEX(I.Facility.P1IDNumber,1381))</f>
        <v/>
      </c>
      <c r="G1393" s="51"/>
      <c r="H1393" s="46" t="str">
        <f>IF(AND(I.Developer.P1=TRUE,I.Facility.P1FacilityCount&gt;=1381,F1393=""),"Incomplete","Complete")</f>
        <v>Complete</v>
      </c>
      <c r="I1393" s="48" t="s">
        <v>5758</v>
      </c>
    </row>
    <row r="1394" spans="2:9" ht="15" customHeight="1" x14ac:dyDescent="0.25">
      <c r="B1394" s="55" t="s">
        <v>279</v>
      </c>
      <c r="C1394" s="46">
        <v>1382</v>
      </c>
      <c r="D1394" s="69" t="s">
        <v>29416</v>
      </c>
      <c r="E1394" s="51"/>
      <c r="F1394" s="114" t="str">
        <f>IF(INDEX(I.Facility.P1IDNumber,1382)="","",INDEX(I.Facility.P1IDNumber,1382))</f>
        <v/>
      </c>
      <c r="G1394" s="51"/>
      <c r="H1394" s="46" t="str">
        <f>IF(AND(I.Developer.P1=TRUE,I.Facility.P1FacilityCount&gt;=1382,F1394=""),"Incomplete","Complete")</f>
        <v>Complete</v>
      </c>
      <c r="I1394" s="48" t="s">
        <v>5759</v>
      </c>
    </row>
    <row r="1395" spans="2:9" ht="15" customHeight="1" x14ac:dyDescent="0.25">
      <c r="B1395" s="55" t="s">
        <v>279</v>
      </c>
      <c r="C1395" s="46">
        <v>1383</v>
      </c>
      <c r="D1395" s="69" t="s">
        <v>29416</v>
      </c>
      <c r="E1395" s="51"/>
      <c r="F1395" s="114" t="str">
        <f>IF(INDEX(I.Facility.P1IDNumber,1383)="","",INDEX(I.Facility.P1IDNumber,1383))</f>
        <v/>
      </c>
      <c r="G1395" s="51"/>
      <c r="H1395" s="46" t="str">
        <f>IF(AND(I.Developer.P1=TRUE,I.Facility.P1FacilityCount&gt;=1383,F1395=""),"Incomplete","Complete")</f>
        <v>Complete</v>
      </c>
      <c r="I1395" s="48" t="s">
        <v>5760</v>
      </c>
    </row>
    <row r="1396" spans="2:9" ht="15" customHeight="1" x14ac:dyDescent="0.25">
      <c r="B1396" s="55" t="s">
        <v>279</v>
      </c>
      <c r="C1396" s="46">
        <v>1384</v>
      </c>
      <c r="D1396" s="69" t="s">
        <v>29416</v>
      </c>
      <c r="E1396" s="51"/>
      <c r="F1396" s="114" t="str">
        <f>IF(INDEX(I.Facility.P1IDNumber,1384)="","",INDEX(I.Facility.P1IDNumber,1384))</f>
        <v/>
      </c>
      <c r="G1396" s="51"/>
      <c r="H1396" s="46" t="str">
        <f>IF(AND(I.Developer.P1=TRUE,I.Facility.P1FacilityCount&gt;=1384,F1396=""),"Incomplete","Complete")</f>
        <v>Complete</v>
      </c>
      <c r="I1396" s="48" t="s">
        <v>5761</v>
      </c>
    </row>
    <row r="1397" spans="2:9" ht="15" customHeight="1" x14ac:dyDescent="0.25">
      <c r="B1397" s="55" t="s">
        <v>279</v>
      </c>
      <c r="C1397" s="46">
        <v>1385</v>
      </c>
      <c r="D1397" s="69" t="s">
        <v>29416</v>
      </c>
      <c r="E1397" s="51"/>
      <c r="F1397" s="114" t="str">
        <f>IF(INDEX(I.Facility.P1IDNumber,1385)="","",INDEX(I.Facility.P1IDNumber,1385))</f>
        <v/>
      </c>
      <c r="G1397" s="51"/>
      <c r="H1397" s="46" t="str">
        <f>IF(AND(I.Developer.P1=TRUE,I.Facility.P1FacilityCount&gt;=1385,F1397=""),"Incomplete","Complete")</f>
        <v>Complete</v>
      </c>
      <c r="I1397" s="48" t="s">
        <v>5762</v>
      </c>
    </row>
    <row r="1398" spans="2:9" ht="15" customHeight="1" x14ac:dyDescent="0.25">
      <c r="B1398" s="55" t="s">
        <v>279</v>
      </c>
      <c r="C1398" s="46">
        <v>1386</v>
      </c>
      <c r="D1398" s="69" t="s">
        <v>29416</v>
      </c>
      <c r="E1398" s="51"/>
      <c r="F1398" s="114" t="str">
        <f>IF(INDEX(I.Facility.P1IDNumber,1386)="","",INDEX(I.Facility.P1IDNumber,1386))</f>
        <v/>
      </c>
      <c r="G1398" s="51"/>
      <c r="H1398" s="46" t="str">
        <f>IF(AND(I.Developer.P1=TRUE,I.Facility.P1FacilityCount&gt;=1386,F1398=""),"Incomplete","Complete")</f>
        <v>Complete</v>
      </c>
      <c r="I1398" s="48" t="s">
        <v>5763</v>
      </c>
    </row>
    <row r="1399" spans="2:9" ht="15" customHeight="1" x14ac:dyDescent="0.25">
      <c r="B1399" s="55" t="s">
        <v>279</v>
      </c>
      <c r="C1399" s="46">
        <v>1387</v>
      </c>
      <c r="D1399" s="69" t="s">
        <v>29416</v>
      </c>
      <c r="E1399" s="51"/>
      <c r="F1399" s="114" t="str">
        <f>IF(INDEX(I.Facility.P1IDNumber,1387)="","",INDEX(I.Facility.P1IDNumber,1387))</f>
        <v/>
      </c>
      <c r="G1399" s="51"/>
      <c r="H1399" s="46" t="str">
        <f>IF(AND(I.Developer.P1=TRUE,I.Facility.P1FacilityCount&gt;=1387,F1399=""),"Incomplete","Complete")</f>
        <v>Complete</v>
      </c>
      <c r="I1399" s="48" t="s">
        <v>5764</v>
      </c>
    </row>
    <row r="1400" spans="2:9" ht="15" customHeight="1" x14ac:dyDescent="0.25">
      <c r="B1400" s="55" t="s">
        <v>279</v>
      </c>
      <c r="C1400" s="46">
        <v>1388</v>
      </c>
      <c r="D1400" s="69" t="s">
        <v>29416</v>
      </c>
      <c r="E1400" s="51"/>
      <c r="F1400" s="114" t="str">
        <f>IF(INDEX(I.Facility.P1IDNumber,1388)="","",INDEX(I.Facility.P1IDNumber,1388))</f>
        <v/>
      </c>
      <c r="G1400" s="51"/>
      <c r="H1400" s="46" t="str">
        <f>IF(AND(I.Developer.P1=TRUE,I.Facility.P1FacilityCount&gt;=1388,F1400=""),"Incomplete","Complete")</f>
        <v>Complete</v>
      </c>
      <c r="I1400" s="48" t="s">
        <v>5765</v>
      </c>
    </row>
    <row r="1401" spans="2:9" ht="15" customHeight="1" x14ac:dyDescent="0.25">
      <c r="B1401" s="55" t="s">
        <v>279</v>
      </c>
      <c r="C1401" s="46">
        <v>1389</v>
      </c>
      <c r="D1401" s="69" t="s">
        <v>29416</v>
      </c>
      <c r="E1401" s="51"/>
      <c r="F1401" s="114" t="str">
        <f>IF(INDEX(I.Facility.P1IDNumber,1389)="","",INDEX(I.Facility.P1IDNumber,1389))</f>
        <v/>
      </c>
      <c r="G1401" s="51"/>
      <c r="H1401" s="46" t="str">
        <f>IF(AND(I.Developer.P1=TRUE,I.Facility.P1FacilityCount&gt;=1389,F1401=""),"Incomplete","Complete")</f>
        <v>Complete</v>
      </c>
      <c r="I1401" s="48" t="s">
        <v>5766</v>
      </c>
    </row>
    <row r="1402" spans="2:9" ht="15" customHeight="1" x14ac:dyDescent="0.25">
      <c r="B1402" s="55" t="s">
        <v>279</v>
      </c>
      <c r="C1402" s="46">
        <v>1390</v>
      </c>
      <c r="D1402" s="69" t="s">
        <v>29416</v>
      </c>
      <c r="E1402" s="51"/>
      <c r="F1402" s="114" t="str">
        <f>IF(INDEX(I.Facility.P1IDNumber,1390)="","",INDEX(I.Facility.P1IDNumber,1390))</f>
        <v/>
      </c>
      <c r="G1402" s="51"/>
      <c r="H1402" s="46" t="str">
        <f>IF(AND(I.Developer.P1=TRUE,I.Facility.P1FacilityCount&gt;=1390,F1402=""),"Incomplete","Complete")</f>
        <v>Complete</v>
      </c>
      <c r="I1402" s="48" t="s">
        <v>5767</v>
      </c>
    </row>
    <row r="1403" spans="2:9" ht="15" customHeight="1" x14ac:dyDescent="0.25">
      <c r="B1403" s="55" t="s">
        <v>279</v>
      </c>
      <c r="C1403" s="46">
        <v>1391</v>
      </c>
      <c r="D1403" s="69" t="s">
        <v>29416</v>
      </c>
      <c r="E1403" s="51"/>
      <c r="F1403" s="114" t="str">
        <f>IF(INDEX(I.Facility.P1IDNumber,1391)="","",INDEX(I.Facility.P1IDNumber,1391))</f>
        <v/>
      </c>
      <c r="G1403" s="51"/>
      <c r="H1403" s="46" t="str">
        <f>IF(AND(I.Developer.P1=TRUE,I.Facility.P1FacilityCount&gt;=1391,F1403=""),"Incomplete","Complete")</f>
        <v>Complete</v>
      </c>
      <c r="I1403" s="48" t="s">
        <v>5768</v>
      </c>
    </row>
    <row r="1404" spans="2:9" ht="15" customHeight="1" x14ac:dyDescent="0.25">
      <c r="B1404" s="55" t="s">
        <v>279</v>
      </c>
      <c r="C1404" s="46">
        <v>1392</v>
      </c>
      <c r="D1404" s="69" t="s">
        <v>29416</v>
      </c>
      <c r="E1404" s="51"/>
      <c r="F1404" s="114" t="str">
        <f>IF(INDEX(I.Facility.P1IDNumber,1392)="","",INDEX(I.Facility.P1IDNumber,1392))</f>
        <v/>
      </c>
      <c r="G1404" s="51"/>
      <c r="H1404" s="46" t="str">
        <f>IF(AND(I.Developer.P1=TRUE,I.Facility.P1FacilityCount&gt;=1392,F1404=""),"Incomplete","Complete")</f>
        <v>Complete</v>
      </c>
      <c r="I1404" s="48" t="s">
        <v>5769</v>
      </c>
    </row>
    <row r="1405" spans="2:9" ht="15" customHeight="1" x14ac:dyDescent="0.25">
      <c r="B1405" s="55" t="s">
        <v>279</v>
      </c>
      <c r="C1405" s="46">
        <v>1393</v>
      </c>
      <c r="D1405" s="69" t="s">
        <v>29416</v>
      </c>
      <c r="E1405" s="51"/>
      <c r="F1405" s="114" t="str">
        <f>IF(INDEX(I.Facility.P1IDNumber,1393)="","",INDEX(I.Facility.P1IDNumber,1393))</f>
        <v/>
      </c>
      <c r="G1405" s="51"/>
      <c r="H1405" s="46" t="str">
        <f>IF(AND(I.Developer.P1=TRUE,I.Facility.P1FacilityCount&gt;=1393,F1405=""),"Incomplete","Complete")</f>
        <v>Complete</v>
      </c>
      <c r="I1405" s="48" t="s">
        <v>5770</v>
      </c>
    </row>
    <row r="1406" spans="2:9" ht="15" customHeight="1" x14ac:dyDescent="0.25">
      <c r="B1406" s="55" t="s">
        <v>279</v>
      </c>
      <c r="C1406" s="46">
        <v>1394</v>
      </c>
      <c r="D1406" s="69" t="s">
        <v>29416</v>
      </c>
      <c r="E1406" s="51"/>
      <c r="F1406" s="114" t="str">
        <f>IF(INDEX(I.Facility.P1IDNumber,1394)="","",INDEX(I.Facility.P1IDNumber,1394))</f>
        <v/>
      </c>
      <c r="G1406" s="51"/>
      <c r="H1406" s="46" t="str">
        <f>IF(AND(I.Developer.P1=TRUE,I.Facility.P1FacilityCount&gt;=1394,F1406=""),"Incomplete","Complete")</f>
        <v>Complete</v>
      </c>
      <c r="I1406" s="48" t="s">
        <v>5771</v>
      </c>
    </row>
    <row r="1407" spans="2:9" ht="15" customHeight="1" x14ac:dyDescent="0.25">
      <c r="B1407" s="55" t="s">
        <v>279</v>
      </c>
      <c r="C1407" s="46">
        <v>1395</v>
      </c>
      <c r="D1407" s="69" t="s">
        <v>29416</v>
      </c>
      <c r="E1407" s="51"/>
      <c r="F1407" s="114" t="str">
        <f>IF(INDEX(I.Facility.P1IDNumber,1395)="","",INDEX(I.Facility.P1IDNumber,1395))</f>
        <v/>
      </c>
      <c r="G1407" s="51"/>
      <c r="H1407" s="46" t="str">
        <f>IF(AND(I.Developer.P1=TRUE,I.Facility.P1FacilityCount&gt;=1395,F1407=""),"Incomplete","Complete")</f>
        <v>Complete</v>
      </c>
      <c r="I1407" s="48" t="s">
        <v>5772</v>
      </c>
    </row>
    <row r="1408" spans="2:9" ht="15" customHeight="1" x14ac:dyDescent="0.25">
      <c r="B1408" s="55" t="s">
        <v>279</v>
      </c>
      <c r="C1408" s="46">
        <v>1396</v>
      </c>
      <c r="D1408" s="69" t="s">
        <v>29416</v>
      </c>
      <c r="E1408" s="51"/>
      <c r="F1408" s="114" t="str">
        <f>IF(INDEX(I.Facility.P1IDNumber,1396)="","",INDEX(I.Facility.P1IDNumber,1396))</f>
        <v/>
      </c>
      <c r="G1408" s="51"/>
      <c r="H1408" s="46" t="str">
        <f>IF(AND(I.Developer.P1=TRUE,I.Facility.P1FacilityCount&gt;=1396,F1408=""),"Incomplete","Complete")</f>
        <v>Complete</v>
      </c>
      <c r="I1408" s="48" t="s">
        <v>5773</v>
      </c>
    </row>
    <row r="1409" spans="2:9" ht="15" customHeight="1" x14ac:dyDescent="0.25">
      <c r="B1409" s="55" t="s">
        <v>279</v>
      </c>
      <c r="C1409" s="46">
        <v>1397</v>
      </c>
      <c r="D1409" s="69" t="s">
        <v>29416</v>
      </c>
      <c r="E1409" s="51"/>
      <c r="F1409" s="114" t="str">
        <f>IF(INDEX(I.Facility.P1IDNumber,1397)="","",INDEX(I.Facility.P1IDNumber,1397))</f>
        <v/>
      </c>
      <c r="G1409" s="51"/>
      <c r="H1409" s="46" t="str">
        <f>IF(AND(I.Developer.P1=TRUE,I.Facility.P1FacilityCount&gt;=1397,F1409=""),"Incomplete","Complete")</f>
        <v>Complete</v>
      </c>
      <c r="I1409" s="48" t="s">
        <v>5774</v>
      </c>
    </row>
    <row r="1410" spans="2:9" ht="15" customHeight="1" x14ac:dyDescent="0.25">
      <c r="B1410" s="55" t="s">
        <v>279</v>
      </c>
      <c r="C1410" s="46">
        <v>1398</v>
      </c>
      <c r="D1410" s="69" t="s">
        <v>29416</v>
      </c>
      <c r="E1410" s="51"/>
      <c r="F1410" s="114" t="str">
        <f>IF(INDEX(I.Facility.P1IDNumber,1398)="","",INDEX(I.Facility.P1IDNumber,1398))</f>
        <v/>
      </c>
      <c r="G1410" s="51"/>
      <c r="H1410" s="46" t="str">
        <f>IF(AND(I.Developer.P1=TRUE,I.Facility.P1FacilityCount&gt;=1398,F1410=""),"Incomplete","Complete")</f>
        <v>Complete</v>
      </c>
      <c r="I1410" s="48" t="s">
        <v>5775</v>
      </c>
    </row>
    <row r="1411" spans="2:9" ht="15" customHeight="1" x14ac:dyDescent="0.25">
      <c r="B1411" s="55" t="s">
        <v>279</v>
      </c>
      <c r="C1411" s="46">
        <v>1399</v>
      </c>
      <c r="D1411" s="69" t="s">
        <v>29416</v>
      </c>
      <c r="E1411" s="51"/>
      <c r="F1411" s="114" t="str">
        <f>IF(INDEX(I.Facility.P1IDNumber,1399)="","",INDEX(I.Facility.P1IDNumber,1399))</f>
        <v/>
      </c>
      <c r="G1411" s="51"/>
      <c r="H1411" s="46" t="str">
        <f>IF(AND(I.Developer.P1=TRUE,I.Facility.P1FacilityCount&gt;=1399,F1411=""),"Incomplete","Complete")</f>
        <v>Complete</v>
      </c>
      <c r="I1411" s="48" t="s">
        <v>5776</v>
      </c>
    </row>
    <row r="1412" spans="2:9" ht="15" customHeight="1" x14ac:dyDescent="0.25">
      <c r="B1412" s="55" t="s">
        <v>279</v>
      </c>
      <c r="C1412" s="46">
        <v>1400</v>
      </c>
      <c r="D1412" s="69" t="s">
        <v>29416</v>
      </c>
      <c r="E1412" s="51"/>
      <c r="F1412" s="114" t="str">
        <f>IF(INDEX(I.Facility.P1IDNumber,1400)="","",INDEX(I.Facility.P1IDNumber,1400))</f>
        <v/>
      </c>
      <c r="G1412" s="51"/>
      <c r="H1412" s="46" t="str">
        <f>IF(AND(I.Developer.P1=TRUE,I.Facility.P1FacilityCount&gt;=1400,F1412=""),"Incomplete","Complete")</f>
        <v>Complete</v>
      </c>
      <c r="I1412" s="48" t="s">
        <v>5777</v>
      </c>
    </row>
    <row r="1413" spans="2:9" ht="15" customHeight="1" x14ac:dyDescent="0.25">
      <c r="B1413" s="55" t="s">
        <v>279</v>
      </c>
      <c r="C1413" s="46">
        <v>1401</v>
      </c>
      <c r="D1413" s="69" t="s">
        <v>29416</v>
      </c>
      <c r="E1413" s="51"/>
      <c r="F1413" s="114" t="str">
        <f>IF(INDEX(I.Facility.P1IDNumber,1401)="","",INDEX(I.Facility.P1IDNumber,1401))</f>
        <v/>
      </c>
      <c r="G1413" s="51"/>
      <c r="H1413" s="46" t="str">
        <f>IF(AND(I.Developer.P1=TRUE,I.Facility.P1FacilityCount&gt;=1401,F1413=""),"Incomplete","Complete")</f>
        <v>Complete</v>
      </c>
      <c r="I1413" s="48" t="s">
        <v>5778</v>
      </c>
    </row>
    <row r="1414" spans="2:9" ht="15" customHeight="1" x14ac:dyDescent="0.25">
      <c r="B1414" s="55" t="s">
        <v>279</v>
      </c>
      <c r="C1414" s="46">
        <v>1402</v>
      </c>
      <c r="D1414" s="69" t="s">
        <v>29416</v>
      </c>
      <c r="E1414" s="51"/>
      <c r="F1414" s="114" t="str">
        <f>IF(INDEX(I.Facility.P1IDNumber,1402)="","",INDEX(I.Facility.P1IDNumber,1402))</f>
        <v/>
      </c>
      <c r="G1414" s="51"/>
      <c r="H1414" s="46" t="str">
        <f>IF(AND(I.Developer.P1=TRUE,I.Facility.P1FacilityCount&gt;=1402,F1414=""),"Incomplete","Complete")</f>
        <v>Complete</v>
      </c>
      <c r="I1414" s="48" t="s">
        <v>5779</v>
      </c>
    </row>
    <row r="1415" spans="2:9" ht="15" customHeight="1" x14ac:dyDescent="0.25">
      <c r="B1415" s="55" t="s">
        <v>279</v>
      </c>
      <c r="C1415" s="46">
        <v>1403</v>
      </c>
      <c r="D1415" s="69" t="s">
        <v>29416</v>
      </c>
      <c r="E1415" s="51"/>
      <c r="F1415" s="114" t="str">
        <f>IF(INDEX(I.Facility.P1IDNumber,1403)="","",INDEX(I.Facility.P1IDNumber,1403))</f>
        <v/>
      </c>
      <c r="G1415" s="51"/>
      <c r="H1415" s="46" t="str">
        <f>IF(AND(I.Developer.P1=TRUE,I.Facility.P1FacilityCount&gt;=1403,F1415=""),"Incomplete","Complete")</f>
        <v>Complete</v>
      </c>
      <c r="I1415" s="48" t="s">
        <v>5780</v>
      </c>
    </row>
    <row r="1416" spans="2:9" ht="15" customHeight="1" x14ac:dyDescent="0.25">
      <c r="B1416" s="55" t="s">
        <v>279</v>
      </c>
      <c r="C1416" s="46">
        <v>1404</v>
      </c>
      <c r="D1416" s="69" t="s">
        <v>29416</v>
      </c>
      <c r="E1416" s="51"/>
      <c r="F1416" s="114" t="str">
        <f>IF(INDEX(I.Facility.P1IDNumber,1404)="","",INDEX(I.Facility.P1IDNumber,1404))</f>
        <v/>
      </c>
      <c r="G1416" s="51"/>
      <c r="H1416" s="46" t="str">
        <f>IF(AND(I.Developer.P1=TRUE,I.Facility.P1FacilityCount&gt;=1404,F1416=""),"Incomplete","Complete")</f>
        <v>Complete</v>
      </c>
      <c r="I1416" s="48" t="s">
        <v>5781</v>
      </c>
    </row>
    <row r="1417" spans="2:9" ht="15" customHeight="1" x14ac:dyDescent="0.25">
      <c r="B1417" s="55" t="s">
        <v>279</v>
      </c>
      <c r="C1417" s="46">
        <v>1405</v>
      </c>
      <c r="D1417" s="69" t="s">
        <v>29416</v>
      </c>
      <c r="E1417" s="51"/>
      <c r="F1417" s="114" t="str">
        <f>IF(INDEX(I.Facility.P1IDNumber,1405)="","",INDEX(I.Facility.P1IDNumber,1405))</f>
        <v/>
      </c>
      <c r="G1417" s="51"/>
      <c r="H1417" s="46" t="str">
        <f>IF(AND(I.Developer.P1=TRUE,I.Facility.P1FacilityCount&gt;=1405,F1417=""),"Incomplete","Complete")</f>
        <v>Complete</v>
      </c>
      <c r="I1417" s="48" t="s">
        <v>5782</v>
      </c>
    </row>
    <row r="1418" spans="2:9" ht="15" customHeight="1" x14ac:dyDescent="0.25">
      <c r="B1418" s="55" t="s">
        <v>279</v>
      </c>
      <c r="C1418" s="46">
        <v>1406</v>
      </c>
      <c r="D1418" s="69" t="s">
        <v>29416</v>
      </c>
      <c r="E1418" s="51"/>
      <c r="F1418" s="114" t="str">
        <f>IF(INDEX(I.Facility.P1IDNumber,1406)="","",INDEX(I.Facility.P1IDNumber,1406))</f>
        <v/>
      </c>
      <c r="G1418" s="51"/>
      <c r="H1418" s="46" t="str">
        <f>IF(AND(I.Developer.P1=TRUE,I.Facility.P1FacilityCount&gt;=1406,F1418=""),"Incomplete","Complete")</f>
        <v>Complete</v>
      </c>
      <c r="I1418" s="48" t="s">
        <v>5783</v>
      </c>
    </row>
    <row r="1419" spans="2:9" ht="15" customHeight="1" x14ac:dyDescent="0.25">
      <c r="B1419" s="55" t="s">
        <v>279</v>
      </c>
      <c r="C1419" s="46">
        <v>1407</v>
      </c>
      <c r="D1419" s="69" t="s">
        <v>29416</v>
      </c>
      <c r="E1419" s="51"/>
      <c r="F1419" s="114" t="str">
        <f>IF(INDEX(I.Facility.P1IDNumber,1407)="","",INDEX(I.Facility.P1IDNumber,1407))</f>
        <v/>
      </c>
      <c r="G1419" s="51"/>
      <c r="H1419" s="46" t="str">
        <f>IF(AND(I.Developer.P1=TRUE,I.Facility.P1FacilityCount&gt;=1407,F1419=""),"Incomplete","Complete")</f>
        <v>Complete</v>
      </c>
      <c r="I1419" s="48" t="s">
        <v>5784</v>
      </c>
    </row>
    <row r="1420" spans="2:9" ht="15" customHeight="1" x14ac:dyDescent="0.25">
      <c r="B1420" s="55" t="s">
        <v>279</v>
      </c>
      <c r="C1420" s="46">
        <v>1408</v>
      </c>
      <c r="D1420" s="69" t="s">
        <v>29416</v>
      </c>
      <c r="E1420" s="51"/>
      <c r="F1420" s="114" t="str">
        <f>IF(INDEX(I.Facility.P1IDNumber,1408)="","",INDEX(I.Facility.P1IDNumber,1408))</f>
        <v/>
      </c>
      <c r="G1420" s="51"/>
      <c r="H1420" s="46" t="str">
        <f>IF(AND(I.Developer.P1=TRUE,I.Facility.P1FacilityCount&gt;=1408,F1420=""),"Incomplete","Complete")</f>
        <v>Complete</v>
      </c>
      <c r="I1420" s="48" t="s">
        <v>5785</v>
      </c>
    </row>
    <row r="1421" spans="2:9" ht="15" customHeight="1" x14ac:dyDescent="0.25">
      <c r="B1421" s="55" t="s">
        <v>279</v>
      </c>
      <c r="C1421" s="46">
        <v>1409</v>
      </c>
      <c r="D1421" s="69" t="s">
        <v>29416</v>
      </c>
      <c r="E1421" s="51"/>
      <c r="F1421" s="114" t="str">
        <f>IF(INDEX(I.Facility.P1IDNumber,1409)="","",INDEX(I.Facility.P1IDNumber,1409))</f>
        <v/>
      </c>
      <c r="G1421" s="51"/>
      <c r="H1421" s="46" t="str">
        <f>IF(AND(I.Developer.P1=TRUE,I.Facility.P1FacilityCount&gt;=1409,F1421=""),"Incomplete","Complete")</f>
        <v>Complete</v>
      </c>
      <c r="I1421" s="48" t="s">
        <v>5786</v>
      </c>
    </row>
    <row r="1422" spans="2:9" ht="15" customHeight="1" x14ac:dyDescent="0.25">
      <c r="B1422" s="55" t="s">
        <v>279</v>
      </c>
      <c r="C1422" s="46">
        <v>1410</v>
      </c>
      <c r="D1422" s="69" t="s">
        <v>29416</v>
      </c>
      <c r="E1422" s="51"/>
      <c r="F1422" s="114" t="str">
        <f>IF(INDEX(I.Facility.P1IDNumber,1410)="","",INDEX(I.Facility.P1IDNumber,1410))</f>
        <v/>
      </c>
      <c r="G1422" s="51"/>
      <c r="H1422" s="46" t="str">
        <f>IF(AND(I.Developer.P1=TRUE,I.Facility.P1FacilityCount&gt;=1410,F1422=""),"Incomplete","Complete")</f>
        <v>Complete</v>
      </c>
      <c r="I1422" s="48" t="s">
        <v>5787</v>
      </c>
    </row>
    <row r="1423" spans="2:9" ht="15" customHeight="1" x14ac:dyDescent="0.25">
      <c r="B1423" s="55" t="s">
        <v>279</v>
      </c>
      <c r="C1423" s="46">
        <v>1411</v>
      </c>
      <c r="D1423" s="69" t="s">
        <v>29416</v>
      </c>
      <c r="E1423" s="51"/>
      <c r="F1423" s="114" t="str">
        <f>IF(INDEX(I.Facility.P1IDNumber,1411)="","",INDEX(I.Facility.P1IDNumber,1411))</f>
        <v/>
      </c>
      <c r="G1423" s="51"/>
      <c r="H1423" s="46" t="str">
        <f>IF(AND(I.Developer.P1=TRUE,I.Facility.P1FacilityCount&gt;=1411,F1423=""),"Incomplete","Complete")</f>
        <v>Complete</v>
      </c>
      <c r="I1423" s="48" t="s">
        <v>5788</v>
      </c>
    </row>
    <row r="1424" spans="2:9" ht="15" customHeight="1" x14ac:dyDescent="0.25">
      <c r="B1424" s="55" t="s">
        <v>279</v>
      </c>
      <c r="C1424" s="46">
        <v>1412</v>
      </c>
      <c r="D1424" s="69" t="s">
        <v>29416</v>
      </c>
      <c r="E1424" s="51"/>
      <c r="F1424" s="114" t="str">
        <f>IF(INDEX(I.Facility.P1IDNumber,1412)="","",INDEX(I.Facility.P1IDNumber,1412))</f>
        <v/>
      </c>
      <c r="G1424" s="51"/>
      <c r="H1424" s="46" t="str">
        <f>IF(AND(I.Developer.P1=TRUE,I.Facility.P1FacilityCount&gt;=1412,F1424=""),"Incomplete","Complete")</f>
        <v>Complete</v>
      </c>
      <c r="I1424" s="48" t="s">
        <v>5789</v>
      </c>
    </row>
    <row r="1425" spans="2:9" ht="15" customHeight="1" x14ac:dyDescent="0.25">
      <c r="B1425" s="55" t="s">
        <v>279</v>
      </c>
      <c r="C1425" s="46">
        <v>1413</v>
      </c>
      <c r="D1425" s="69" t="s">
        <v>29416</v>
      </c>
      <c r="E1425" s="51"/>
      <c r="F1425" s="114" t="str">
        <f>IF(INDEX(I.Facility.P1IDNumber,1413)="","",INDEX(I.Facility.P1IDNumber,1413))</f>
        <v/>
      </c>
      <c r="G1425" s="51"/>
      <c r="H1425" s="46" t="str">
        <f>IF(AND(I.Developer.P1=TRUE,I.Facility.P1FacilityCount&gt;=1413,F1425=""),"Incomplete","Complete")</f>
        <v>Complete</v>
      </c>
      <c r="I1425" s="48" t="s">
        <v>5790</v>
      </c>
    </row>
    <row r="1426" spans="2:9" ht="15" customHeight="1" x14ac:dyDescent="0.25">
      <c r="B1426" s="55" t="s">
        <v>279</v>
      </c>
      <c r="C1426" s="46">
        <v>1414</v>
      </c>
      <c r="D1426" s="69" t="s">
        <v>29416</v>
      </c>
      <c r="E1426" s="51"/>
      <c r="F1426" s="114" t="str">
        <f>IF(INDEX(I.Facility.P1IDNumber,1414)="","",INDEX(I.Facility.P1IDNumber,1414))</f>
        <v/>
      </c>
      <c r="G1426" s="51"/>
      <c r="H1426" s="46" t="str">
        <f>IF(AND(I.Developer.P1=TRUE,I.Facility.P1FacilityCount&gt;=1414,F1426=""),"Incomplete","Complete")</f>
        <v>Complete</v>
      </c>
      <c r="I1426" s="48" t="s">
        <v>5791</v>
      </c>
    </row>
    <row r="1427" spans="2:9" ht="15" customHeight="1" x14ac:dyDescent="0.25">
      <c r="B1427" s="55" t="s">
        <v>279</v>
      </c>
      <c r="C1427" s="46">
        <v>1415</v>
      </c>
      <c r="D1427" s="69" t="s">
        <v>29416</v>
      </c>
      <c r="E1427" s="51"/>
      <c r="F1427" s="114" t="str">
        <f>IF(INDEX(I.Facility.P1IDNumber,1415)="","",INDEX(I.Facility.P1IDNumber,1415))</f>
        <v/>
      </c>
      <c r="G1427" s="51"/>
      <c r="H1427" s="46" t="str">
        <f>IF(AND(I.Developer.P1=TRUE,I.Facility.P1FacilityCount&gt;=1415,F1427=""),"Incomplete","Complete")</f>
        <v>Complete</v>
      </c>
      <c r="I1427" s="48" t="s">
        <v>5792</v>
      </c>
    </row>
    <row r="1428" spans="2:9" ht="15" customHeight="1" x14ac:dyDescent="0.25">
      <c r="B1428" s="55" t="s">
        <v>279</v>
      </c>
      <c r="C1428" s="46">
        <v>1416</v>
      </c>
      <c r="D1428" s="69" t="s">
        <v>29416</v>
      </c>
      <c r="E1428" s="51"/>
      <c r="F1428" s="114" t="str">
        <f>IF(INDEX(I.Facility.P1IDNumber,1416)="","",INDEX(I.Facility.P1IDNumber,1416))</f>
        <v/>
      </c>
      <c r="G1428" s="51"/>
      <c r="H1428" s="46" t="str">
        <f>IF(AND(I.Developer.P1=TRUE,I.Facility.P1FacilityCount&gt;=1416,F1428=""),"Incomplete","Complete")</f>
        <v>Complete</v>
      </c>
      <c r="I1428" s="48" t="s">
        <v>5793</v>
      </c>
    </row>
    <row r="1429" spans="2:9" ht="15" customHeight="1" x14ac:dyDescent="0.25">
      <c r="B1429" s="55" t="s">
        <v>279</v>
      </c>
      <c r="C1429" s="46">
        <v>1417</v>
      </c>
      <c r="D1429" s="69" t="s">
        <v>29416</v>
      </c>
      <c r="E1429" s="51"/>
      <c r="F1429" s="114" t="str">
        <f>IF(INDEX(I.Facility.P1IDNumber,1417)="","",INDEX(I.Facility.P1IDNumber,1417))</f>
        <v/>
      </c>
      <c r="G1429" s="51"/>
      <c r="H1429" s="46" t="str">
        <f>IF(AND(I.Developer.P1=TRUE,I.Facility.P1FacilityCount&gt;=1417,F1429=""),"Incomplete","Complete")</f>
        <v>Complete</v>
      </c>
      <c r="I1429" s="48" t="s">
        <v>5794</v>
      </c>
    </row>
    <row r="1430" spans="2:9" ht="15" customHeight="1" x14ac:dyDescent="0.25">
      <c r="B1430" s="55" t="s">
        <v>279</v>
      </c>
      <c r="C1430" s="46">
        <v>1418</v>
      </c>
      <c r="D1430" s="69" t="s">
        <v>29416</v>
      </c>
      <c r="E1430" s="51"/>
      <c r="F1430" s="114" t="str">
        <f>IF(INDEX(I.Facility.P1IDNumber,1418)="","",INDEX(I.Facility.P1IDNumber,1418))</f>
        <v/>
      </c>
      <c r="G1430" s="51"/>
      <c r="H1430" s="46" t="str">
        <f>IF(AND(I.Developer.P1=TRUE,I.Facility.P1FacilityCount&gt;=1418,F1430=""),"Incomplete","Complete")</f>
        <v>Complete</v>
      </c>
      <c r="I1430" s="48" t="s">
        <v>5795</v>
      </c>
    </row>
    <row r="1431" spans="2:9" ht="15" customHeight="1" x14ac:dyDescent="0.25">
      <c r="B1431" s="55" t="s">
        <v>279</v>
      </c>
      <c r="C1431" s="46">
        <v>1419</v>
      </c>
      <c r="D1431" s="69" t="s">
        <v>29416</v>
      </c>
      <c r="E1431" s="51"/>
      <c r="F1431" s="114" t="str">
        <f>IF(INDEX(I.Facility.P1IDNumber,1419)="","",INDEX(I.Facility.P1IDNumber,1419))</f>
        <v/>
      </c>
      <c r="G1431" s="51"/>
      <c r="H1431" s="46" t="str">
        <f>IF(AND(I.Developer.P1=TRUE,I.Facility.P1FacilityCount&gt;=1419,F1431=""),"Incomplete","Complete")</f>
        <v>Complete</v>
      </c>
      <c r="I1431" s="48" t="s">
        <v>5796</v>
      </c>
    </row>
    <row r="1432" spans="2:9" ht="15" customHeight="1" x14ac:dyDescent="0.25">
      <c r="B1432" s="55" t="s">
        <v>279</v>
      </c>
      <c r="C1432" s="46">
        <v>1420</v>
      </c>
      <c r="D1432" s="69" t="s">
        <v>29416</v>
      </c>
      <c r="E1432" s="51"/>
      <c r="F1432" s="114" t="str">
        <f>IF(INDEX(I.Facility.P1IDNumber,1420)="","",INDEX(I.Facility.P1IDNumber,1420))</f>
        <v/>
      </c>
      <c r="G1432" s="51"/>
      <c r="H1432" s="46" t="str">
        <f>IF(AND(I.Developer.P1=TRUE,I.Facility.P1FacilityCount&gt;=1420,F1432=""),"Incomplete","Complete")</f>
        <v>Complete</v>
      </c>
      <c r="I1432" s="48" t="s">
        <v>5797</v>
      </c>
    </row>
    <row r="1433" spans="2:9" ht="15" customHeight="1" x14ac:dyDescent="0.25">
      <c r="B1433" s="55" t="s">
        <v>279</v>
      </c>
      <c r="C1433" s="46">
        <v>1421</v>
      </c>
      <c r="D1433" s="69" t="s">
        <v>29416</v>
      </c>
      <c r="E1433" s="51"/>
      <c r="F1433" s="114" t="str">
        <f>IF(INDEX(I.Facility.P1IDNumber,1421)="","",INDEX(I.Facility.P1IDNumber,1421))</f>
        <v/>
      </c>
      <c r="G1433" s="51"/>
      <c r="H1433" s="46" t="str">
        <f>IF(AND(I.Developer.P1=TRUE,I.Facility.P1FacilityCount&gt;=1421,F1433=""),"Incomplete","Complete")</f>
        <v>Complete</v>
      </c>
      <c r="I1433" s="48" t="s">
        <v>5798</v>
      </c>
    </row>
    <row r="1434" spans="2:9" ht="15" customHeight="1" x14ac:dyDescent="0.25">
      <c r="B1434" s="55" t="s">
        <v>279</v>
      </c>
      <c r="C1434" s="46">
        <v>1422</v>
      </c>
      <c r="D1434" s="69" t="s">
        <v>29416</v>
      </c>
      <c r="E1434" s="51"/>
      <c r="F1434" s="114" t="str">
        <f>IF(INDEX(I.Facility.P1IDNumber,1422)="","",INDEX(I.Facility.P1IDNumber,1422))</f>
        <v/>
      </c>
      <c r="G1434" s="51"/>
      <c r="H1434" s="46" t="str">
        <f>IF(AND(I.Developer.P1=TRUE,I.Facility.P1FacilityCount&gt;=1422,F1434=""),"Incomplete","Complete")</f>
        <v>Complete</v>
      </c>
      <c r="I1434" s="48" t="s">
        <v>5799</v>
      </c>
    </row>
    <row r="1435" spans="2:9" ht="15" customHeight="1" x14ac:dyDescent="0.25">
      <c r="B1435" s="55" t="s">
        <v>279</v>
      </c>
      <c r="C1435" s="46">
        <v>1423</v>
      </c>
      <c r="D1435" s="69" t="s">
        <v>29416</v>
      </c>
      <c r="E1435" s="51"/>
      <c r="F1435" s="114" t="str">
        <f>IF(INDEX(I.Facility.P1IDNumber,1423)="","",INDEX(I.Facility.P1IDNumber,1423))</f>
        <v/>
      </c>
      <c r="G1435" s="51"/>
      <c r="H1435" s="46" t="str">
        <f>IF(AND(I.Developer.P1=TRUE,I.Facility.P1FacilityCount&gt;=1423,F1435=""),"Incomplete","Complete")</f>
        <v>Complete</v>
      </c>
      <c r="I1435" s="48" t="s">
        <v>5800</v>
      </c>
    </row>
    <row r="1436" spans="2:9" ht="15" customHeight="1" x14ac:dyDescent="0.25">
      <c r="B1436" s="55" t="s">
        <v>279</v>
      </c>
      <c r="C1436" s="46">
        <v>1424</v>
      </c>
      <c r="D1436" s="69" t="s">
        <v>29416</v>
      </c>
      <c r="E1436" s="51"/>
      <c r="F1436" s="114" t="str">
        <f>IF(INDEX(I.Facility.P1IDNumber,1424)="","",INDEX(I.Facility.P1IDNumber,1424))</f>
        <v/>
      </c>
      <c r="G1436" s="51"/>
      <c r="H1436" s="46" t="str">
        <f>IF(AND(I.Developer.P1=TRUE,I.Facility.P1FacilityCount&gt;=1424,F1436=""),"Incomplete","Complete")</f>
        <v>Complete</v>
      </c>
      <c r="I1436" s="48" t="s">
        <v>5801</v>
      </c>
    </row>
    <row r="1437" spans="2:9" ht="15" customHeight="1" x14ac:dyDescent="0.25">
      <c r="B1437" s="55" t="s">
        <v>279</v>
      </c>
      <c r="C1437" s="46">
        <v>1425</v>
      </c>
      <c r="D1437" s="69" t="s">
        <v>29416</v>
      </c>
      <c r="E1437" s="51"/>
      <c r="F1437" s="114" t="str">
        <f>IF(INDEX(I.Facility.P1IDNumber,1425)="","",INDEX(I.Facility.P1IDNumber,1425))</f>
        <v/>
      </c>
      <c r="G1437" s="51"/>
      <c r="H1437" s="46" t="str">
        <f>IF(AND(I.Developer.P1=TRUE,I.Facility.P1FacilityCount&gt;=1425,F1437=""),"Incomplete","Complete")</f>
        <v>Complete</v>
      </c>
      <c r="I1437" s="48" t="s">
        <v>5802</v>
      </c>
    </row>
    <row r="1438" spans="2:9" ht="15" customHeight="1" x14ac:dyDescent="0.25">
      <c r="B1438" s="55" t="s">
        <v>279</v>
      </c>
      <c r="C1438" s="46">
        <v>1426</v>
      </c>
      <c r="D1438" s="69" t="s">
        <v>29416</v>
      </c>
      <c r="E1438" s="51"/>
      <c r="F1438" s="114" t="str">
        <f>IF(INDEX(I.Facility.P1IDNumber,1426)="","",INDEX(I.Facility.P1IDNumber,1426))</f>
        <v/>
      </c>
      <c r="G1438" s="51"/>
      <c r="H1438" s="46" t="str">
        <f>IF(AND(I.Developer.P1=TRUE,I.Facility.P1FacilityCount&gt;=1426,F1438=""),"Incomplete","Complete")</f>
        <v>Complete</v>
      </c>
      <c r="I1438" s="48" t="s">
        <v>5803</v>
      </c>
    </row>
    <row r="1439" spans="2:9" ht="15" customHeight="1" x14ac:dyDescent="0.25">
      <c r="B1439" s="55" t="s">
        <v>279</v>
      </c>
      <c r="C1439" s="46">
        <v>1427</v>
      </c>
      <c r="D1439" s="69" t="s">
        <v>29416</v>
      </c>
      <c r="E1439" s="51"/>
      <c r="F1439" s="114" t="str">
        <f>IF(INDEX(I.Facility.P1IDNumber,1427)="","",INDEX(I.Facility.P1IDNumber,1427))</f>
        <v/>
      </c>
      <c r="G1439" s="51"/>
      <c r="H1439" s="46" t="str">
        <f>IF(AND(I.Developer.P1=TRUE,I.Facility.P1FacilityCount&gt;=1427,F1439=""),"Incomplete","Complete")</f>
        <v>Complete</v>
      </c>
      <c r="I1439" s="48" t="s">
        <v>5804</v>
      </c>
    </row>
    <row r="1440" spans="2:9" ht="15" customHeight="1" x14ac:dyDescent="0.25">
      <c r="B1440" s="55" t="s">
        <v>279</v>
      </c>
      <c r="C1440" s="46">
        <v>1428</v>
      </c>
      <c r="D1440" s="69" t="s">
        <v>29416</v>
      </c>
      <c r="E1440" s="51"/>
      <c r="F1440" s="114" t="str">
        <f>IF(INDEX(I.Facility.P1IDNumber,1428)="","",INDEX(I.Facility.P1IDNumber,1428))</f>
        <v/>
      </c>
      <c r="G1440" s="51"/>
      <c r="H1440" s="46" t="str">
        <f>IF(AND(I.Developer.P1=TRUE,I.Facility.P1FacilityCount&gt;=1428,F1440=""),"Incomplete","Complete")</f>
        <v>Complete</v>
      </c>
      <c r="I1440" s="48" t="s">
        <v>5805</v>
      </c>
    </row>
    <row r="1441" spans="2:9" ht="15" customHeight="1" x14ac:dyDescent="0.25">
      <c r="B1441" s="55" t="s">
        <v>279</v>
      </c>
      <c r="C1441" s="46">
        <v>1429</v>
      </c>
      <c r="D1441" s="69" t="s">
        <v>29416</v>
      </c>
      <c r="E1441" s="51"/>
      <c r="F1441" s="114" t="str">
        <f>IF(INDEX(I.Facility.P1IDNumber,1429)="","",INDEX(I.Facility.P1IDNumber,1429))</f>
        <v/>
      </c>
      <c r="G1441" s="51"/>
      <c r="H1441" s="46" t="str">
        <f>IF(AND(I.Developer.P1=TRUE,I.Facility.P1FacilityCount&gt;=1429,F1441=""),"Incomplete","Complete")</f>
        <v>Complete</v>
      </c>
      <c r="I1441" s="48" t="s">
        <v>5806</v>
      </c>
    </row>
    <row r="1442" spans="2:9" ht="15" customHeight="1" x14ac:dyDescent="0.25">
      <c r="B1442" s="55" t="s">
        <v>279</v>
      </c>
      <c r="C1442" s="46">
        <v>1430</v>
      </c>
      <c r="D1442" s="69" t="s">
        <v>29416</v>
      </c>
      <c r="E1442" s="51"/>
      <c r="F1442" s="114" t="str">
        <f>IF(INDEX(I.Facility.P1IDNumber,1430)="","",INDEX(I.Facility.P1IDNumber,1430))</f>
        <v/>
      </c>
      <c r="G1442" s="51"/>
      <c r="H1442" s="46" t="str">
        <f>IF(AND(I.Developer.P1=TRUE,I.Facility.P1FacilityCount&gt;=1430,F1442=""),"Incomplete","Complete")</f>
        <v>Complete</v>
      </c>
      <c r="I1442" s="48" t="s">
        <v>5807</v>
      </c>
    </row>
    <row r="1443" spans="2:9" ht="15" customHeight="1" x14ac:dyDescent="0.25">
      <c r="B1443" s="55" t="s">
        <v>279</v>
      </c>
      <c r="C1443" s="46">
        <v>1431</v>
      </c>
      <c r="D1443" s="69" t="s">
        <v>29416</v>
      </c>
      <c r="E1443" s="51"/>
      <c r="F1443" s="114" t="str">
        <f>IF(INDEX(I.Facility.P1IDNumber,1431)="","",INDEX(I.Facility.P1IDNumber,1431))</f>
        <v/>
      </c>
      <c r="G1443" s="51"/>
      <c r="H1443" s="46" t="str">
        <f>IF(AND(I.Developer.P1=TRUE,I.Facility.P1FacilityCount&gt;=1431,F1443=""),"Incomplete","Complete")</f>
        <v>Complete</v>
      </c>
      <c r="I1443" s="48" t="s">
        <v>5808</v>
      </c>
    </row>
    <row r="1444" spans="2:9" ht="15" customHeight="1" x14ac:dyDescent="0.25">
      <c r="B1444" s="55" t="s">
        <v>279</v>
      </c>
      <c r="C1444" s="46">
        <v>1432</v>
      </c>
      <c r="D1444" s="69" t="s">
        <v>29416</v>
      </c>
      <c r="E1444" s="51"/>
      <c r="F1444" s="114" t="str">
        <f>IF(INDEX(I.Facility.P1IDNumber,1432)="","",INDEX(I.Facility.P1IDNumber,1432))</f>
        <v/>
      </c>
      <c r="G1444" s="51"/>
      <c r="H1444" s="46" t="str">
        <f>IF(AND(I.Developer.P1=TRUE,I.Facility.P1FacilityCount&gt;=1432,F1444=""),"Incomplete","Complete")</f>
        <v>Complete</v>
      </c>
      <c r="I1444" s="48" t="s">
        <v>5809</v>
      </c>
    </row>
    <row r="1445" spans="2:9" ht="15" customHeight="1" x14ac:dyDescent="0.25">
      <c r="B1445" s="55" t="s">
        <v>279</v>
      </c>
      <c r="C1445" s="46">
        <v>1433</v>
      </c>
      <c r="D1445" s="69" t="s">
        <v>29416</v>
      </c>
      <c r="E1445" s="51"/>
      <c r="F1445" s="114" t="str">
        <f>IF(INDEX(I.Facility.P1IDNumber,1433)="","",INDEX(I.Facility.P1IDNumber,1433))</f>
        <v/>
      </c>
      <c r="G1445" s="51"/>
      <c r="H1445" s="46" t="str">
        <f>IF(AND(I.Developer.P1=TRUE,I.Facility.P1FacilityCount&gt;=1433,F1445=""),"Incomplete","Complete")</f>
        <v>Complete</v>
      </c>
      <c r="I1445" s="48" t="s">
        <v>5810</v>
      </c>
    </row>
    <row r="1446" spans="2:9" ht="15" customHeight="1" x14ac:dyDescent="0.25">
      <c r="B1446" s="55" t="s">
        <v>279</v>
      </c>
      <c r="C1446" s="46">
        <v>1434</v>
      </c>
      <c r="D1446" s="69" t="s">
        <v>29416</v>
      </c>
      <c r="E1446" s="51"/>
      <c r="F1446" s="114" t="str">
        <f>IF(INDEX(I.Facility.P1IDNumber,1434)="","",INDEX(I.Facility.P1IDNumber,1434))</f>
        <v/>
      </c>
      <c r="G1446" s="51"/>
      <c r="H1446" s="46" t="str">
        <f>IF(AND(I.Developer.P1=TRUE,I.Facility.P1FacilityCount&gt;=1434,F1446=""),"Incomplete","Complete")</f>
        <v>Complete</v>
      </c>
      <c r="I1446" s="48" t="s">
        <v>5811</v>
      </c>
    </row>
    <row r="1447" spans="2:9" ht="15" customHeight="1" x14ac:dyDescent="0.25">
      <c r="B1447" s="55" t="s">
        <v>279</v>
      </c>
      <c r="C1447" s="46">
        <v>1435</v>
      </c>
      <c r="D1447" s="69" t="s">
        <v>29416</v>
      </c>
      <c r="E1447" s="51"/>
      <c r="F1447" s="114" t="str">
        <f>IF(INDEX(I.Facility.P1IDNumber,1435)="","",INDEX(I.Facility.P1IDNumber,1435))</f>
        <v/>
      </c>
      <c r="G1447" s="51"/>
      <c r="H1447" s="46" t="str">
        <f>IF(AND(I.Developer.P1=TRUE,I.Facility.P1FacilityCount&gt;=1435,F1447=""),"Incomplete","Complete")</f>
        <v>Complete</v>
      </c>
      <c r="I1447" s="48" t="s">
        <v>5812</v>
      </c>
    </row>
    <row r="1448" spans="2:9" ht="15" customHeight="1" x14ac:dyDescent="0.25">
      <c r="B1448" s="55" t="s">
        <v>279</v>
      </c>
      <c r="C1448" s="46">
        <v>1436</v>
      </c>
      <c r="D1448" s="69" t="s">
        <v>29416</v>
      </c>
      <c r="E1448" s="51"/>
      <c r="F1448" s="114" t="str">
        <f>IF(INDEX(I.Facility.P1IDNumber,1436)="","",INDEX(I.Facility.P1IDNumber,1436))</f>
        <v/>
      </c>
      <c r="G1448" s="51"/>
      <c r="H1448" s="46" t="str">
        <f>IF(AND(I.Developer.P1=TRUE,I.Facility.P1FacilityCount&gt;=1436,F1448=""),"Incomplete","Complete")</f>
        <v>Complete</v>
      </c>
      <c r="I1448" s="48" t="s">
        <v>5813</v>
      </c>
    </row>
    <row r="1449" spans="2:9" ht="15" customHeight="1" x14ac:dyDescent="0.25">
      <c r="B1449" s="55" t="s">
        <v>279</v>
      </c>
      <c r="C1449" s="46">
        <v>1437</v>
      </c>
      <c r="D1449" s="69" t="s">
        <v>29416</v>
      </c>
      <c r="E1449" s="51"/>
      <c r="F1449" s="114" t="str">
        <f>IF(INDEX(I.Facility.P1IDNumber,1437)="","",INDEX(I.Facility.P1IDNumber,1437))</f>
        <v/>
      </c>
      <c r="G1449" s="51"/>
      <c r="H1449" s="46" t="str">
        <f>IF(AND(I.Developer.P1=TRUE,I.Facility.P1FacilityCount&gt;=1437,F1449=""),"Incomplete","Complete")</f>
        <v>Complete</v>
      </c>
      <c r="I1449" s="48" t="s">
        <v>5814</v>
      </c>
    </row>
    <row r="1450" spans="2:9" ht="15" customHeight="1" x14ac:dyDescent="0.25">
      <c r="B1450" s="55" t="s">
        <v>279</v>
      </c>
      <c r="C1450" s="46">
        <v>1438</v>
      </c>
      <c r="D1450" s="69" t="s">
        <v>29416</v>
      </c>
      <c r="E1450" s="51"/>
      <c r="F1450" s="114" t="str">
        <f>IF(INDEX(I.Facility.P1IDNumber,1438)="","",INDEX(I.Facility.P1IDNumber,1438))</f>
        <v/>
      </c>
      <c r="G1450" s="51"/>
      <c r="H1450" s="46" t="str">
        <f>IF(AND(I.Developer.P1=TRUE,I.Facility.P1FacilityCount&gt;=1438,F1450=""),"Incomplete","Complete")</f>
        <v>Complete</v>
      </c>
      <c r="I1450" s="48" t="s">
        <v>5815</v>
      </c>
    </row>
    <row r="1451" spans="2:9" ht="15" customHeight="1" x14ac:dyDescent="0.25">
      <c r="B1451" s="55" t="s">
        <v>279</v>
      </c>
      <c r="C1451" s="46">
        <v>1439</v>
      </c>
      <c r="D1451" s="69" t="s">
        <v>29416</v>
      </c>
      <c r="E1451" s="51"/>
      <c r="F1451" s="114" t="str">
        <f>IF(INDEX(I.Facility.P1IDNumber,1439)="","",INDEX(I.Facility.P1IDNumber,1439))</f>
        <v/>
      </c>
      <c r="G1451" s="51"/>
      <c r="H1451" s="46" t="str">
        <f>IF(AND(I.Developer.P1=TRUE,I.Facility.P1FacilityCount&gt;=1439,F1451=""),"Incomplete","Complete")</f>
        <v>Complete</v>
      </c>
      <c r="I1451" s="48" t="s">
        <v>5816</v>
      </c>
    </row>
    <row r="1452" spans="2:9" ht="15" customHeight="1" x14ac:dyDescent="0.25">
      <c r="B1452" s="55" t="s">
        <v>279</v>
      </c>
      <c r="C1452" s="46">
        <v>1440</v>
      </c>
      <c r="D1452" s="69" t="s">
        <v>29416</v>
      </c>
      <c r="E1452" s="51"/>
      <c r="F1452" s="114" t="str">
        <f>IF(INDEX(I.Facility.P1IDNumber,1440)="","",INDEX(I.Facility.P1IDNumber,1440))</f>
        <v/>
      </c>
      <c r="G1452" s="51"/>
      <c r="H1452" s="46" t="str">
        <f>IF(AND(I.Developer.P1=TRUE,I.Facility.P1FacilityCount&gt;=1440,F1452=""),"Incomplete","Complete")</f>
        <v>Complete</v>
      </c>
      <c r="I1452" s="48" t="s">
        <v>5817</v>
      </c>
    </row>
    <row r="1453" spans="2:9" ht="15" customHeight="1" x14ac:dyDescent="0.25">
      <c r="B1453" s="55" t="s">
        <v>279</v>
      </c>
      <c r="C1453" s="46">
        <v>1441</v>
      </c>
      <c r="D1453" s="69" t="s">
        <v>29416</v>
      </c>
      <c r="E1453" s="51"/>
      <c r="F1453" s="114" t="str">
        <f>IF(INDEX(I.Facility.P1IDNumber,1441)="","",INDEX(I.Facility.P1IDNumber,1441))</f>
        <v/>
      </c>
      <c r="G1453" s="51"/>
      <c r="H1453" s="46" t="str">
        <f>IF(AND(I.Developer.P1=TRUE,I.Facility.P1FacilityCount&gt;=1441,F1453=""),"Incomplete","Complete")</f>
        <v>Complete</v>
      </c>
      <c r="I1453" s="48" t="s">
        <v>5818</v>
      </c>
    </row>
    <row r="1454" spans="2:9" ht="15" customHeight="1" x14ac:dyDescent="0.25">
      <c r="B1454" s="55" t="s">
        <v>279</v>
      </c>
      <c r="C1454" s="46">
        <v>1442</v>
      </c>
      <c r="D1454" s="69" t="s">
        <v>29416</v>
      </c>
      <c r="E1454" s="51"/>
      <c r="F1454" s="114" t="str">
        <f>IF(INDEX(I.Facility.P1IDNumber,1442)="","",INDEX(I.Facility.P1IDNumber,1442))</f>
        <v/>
      </c>
      <c r="G1454" s="51"/>
      <c r="H1454" s="46" t="str">
        <f>IF(AND(I.Developer.P1=TRUE,I.Facility.P1FacilityCount&gt;=1442,F1454=""),"Incomplete","Complete")</f>
        <v>Complete</v>
      </c>
      <c r="I1454" s="48" t="s">
        <v>5819</v>
      </c>
    </row>
    <row r="1455" spans="2:9" ht="15" customHeight="1" x14ac:dyDescent="0.25">
      <c r="B1455" s="55" t="s">
        <v>279</v>
      </c>
      <c r="C1455" s="46">
        <v>1443</v>
      </c>
      <c r="D1455" s="69" t="s">
        <v>29416</v>
      </c>
      <c r="E1455" s="51"/>
      <c r="F1455" s="114" t="str">
        <f>IF(INDEX(I.Facility.P1IDNumber,1443)="","",INDEX(I.Facility.P1IDNumber,1443))</f>
        <v/>
      </c>
      <c r="G1455" s="51"/>
      <c r="H1455" s="46" t="str">
        <f>IF(AND(I.Developer.P1=TRUE,I.Facility.P1FacilityCount&gt;=1443,F1455=""),"Incomplete","Complete")</f>
        <v>Complete</v>
      </c>
      <c r="I1455" s="48" t="s">
        <v>5820</v>
      </c>
    </row>
    <row r="1456" spans="2:9" ht="15" customHeight="1" x14ac:dyDescent="0.25">
      <c r="B1456" s="55" t="s">
        <v>279</v>
      </c>
      <c r="C1456" s="46">
        <v>1444</v>
      </c>
      <c r="D1456" s="69" t="s">
        <v>29416</v>
      </c>
      <c r="E1456" s="51"/>
      <c r="F1456" s="114" t="str">
        <f>IF(INDEX(I.Facility.P1IDNumber,1444)="","",INDEX(I.Facility.P1IDNumber,1444))</f>
        <v/>
      </c>
      <c r="G1456" s="51"/>
      <c r="H1456" s="46" t="str">
        <f>IF(AND(I.Developer.P1=TRUE,I.Facility.P1FacilityCount&gt;=1444,F1456=""),"Incomplete","Complete")</f>
        <v>Complete</v>
      </c>
      <c r="I1456" s="48" t="s">
        <v>5821</v>
      </c>
    </row>
    <row r="1457" spans="2:9" ht="15" customHeight="1" x14ac:dyDescent="0.25">
      <c r="B1457" s="55" t="s">
        <v>279</v>
      </c>
      <c r="C1457" s="46">
        <v>1445</v>
      </c>
      <c r="D1457" s="69" t="s">
        <v>29416</v>
      </c>
      <c r="E1457" s="51"/>
      <c r="F1457" s="114" t="str">
        <f>IF(INDEX(I.Facility.P1IDNumber,1445)="","",INDEX(I.Facility.P1IDNumber,1445))</f>
        <v/>
      </c>
      <c r="G1457" s="51"/>
      <c r="H1457" s="46" t="str">
        <f>IF(AND(I.Developer.P1=TRUE,I.Facility.P1FacilityCount&gt;=1445,F1457=""),"Incomplete","Complete")</f>
        <v>Complete</v>
      </c>
      <c r="I1457" s="48" t="s">
        <v>5822</v>
      </c>
    </row>
    <row r="1458" spans="2:9" ht="15" customHeight="1" x14ac:dyDescent="0.25">
      <c r="B1458" s="55" t="s">
        <v>279</v>
      </c>
      <c r="C1458" s="46">
        <v>1446</v>
      </c>
      <c r="D1458" s="69" t="s">
        <v>29416</v>
      </c>
      <c r="E1458" s="51"/>
      <c r="F1458" s="114" t="str">
        <f>IF(INDEX(I.Facility.P1IDNumber,1446)="","",INDEX(I.Facility.P1IDNumber,1446))</f>
        <v/>
      </c>
      <c r="G1458" s="51"/>
      <c r="H1458" s="46" t="str">
        <f>IF(AND(I.Developer.P1=TRUE,I.Facility.P1FacilityCount&gt;=1446,F1458=""),"Incomplete","Complete")</f>
        <v>Complete</v>
      </c>
      <c r="I1458" s="48" t="s">
        <v>5823</v>
      </c>
    </row>
    <row r="1459" spans="2:9" ht="15" customHeight="1" x14ac:dyDescent="0.25">
      <c r="B1459" s="55" t="s">
        <v>279</v>
      </c>
      <c r="C1459" s="46">
        <v>1447</v>
      </c>
      <c r="D1459" s="69" t="s">
        <v>29416</v>
      </c>
      <c r="E1459" s="51"/>
      <c r="F1459" s="114" t="str">
        <f>IF(INDEX(I.Facility.P1IDNumber,1447)="","",INDEX(I.Facility.P1IDNumber,1447))</f>
        <v/>
      </c>
      <c r="G1459" s="51"/>
      <c r="H1459" s="46" t="str">
        <f>IF(AND(I.Developer.P1=TRUE,I.Facility.P1FacilityCount&gt;=1447,F1459=""),"Incomplete","Complete")</f>
        <v>Complete</v>
      </c>
      <c r="I1459" s="48" t="s">
        <v>5824</v>
      </c>
    </row>
    <row r="1460" spans="2:9" ht="15" customHeight="1" x14ac:dyDescent="0.25">
      <c r="B1460" s="55" t="s">
        <v>279</v>
      </c>
      <c r="C1460" s="46">
        <v>1448</v>
      </c>
      <c r="D1460" s="69" t="s">
        <v>29416</v>
      </c>
      <c r="E1460" s="51"/>
      <c r="F1460" s="114" t="str">
        <f>IF(INDEX(I.Facility.P1IDNumber,1448)="","",INDEX(I.Facility.P1IDNumber,1448))</f>
        <v/>
      </c>
      <c r="G1460" s="51"/>
      <c r="H1460" s="46" t="str">
        <f>IF(AND(I.Developer.P1=TRUE,I.Facility.P1FacilityCount&gt;=1448,F1460=""),"Incomplete","Complete")</f>
        <v>Complete</v>
      </c>
      <c r="I1460" s="48" t="s">
        <v>5825</v>
      </c>
    </row>
    <row r="1461" spans="2:9" ht="15" customHeight="1" x14ac:dyDescent="0.25">
      <c r="B1461" s="55" t="s">
        <v>279</v>
      </c>
      <c r="C1461" s="46">
        <v>1449</v>
      </c>
      <c r="D1461" s="69" t="s">
        <v>29416</v>
      </c>
      <c r="E1461" s="51"/>
      <c r="F1461" s="114" t="str">
        <f>IF(INDEX(I.Facility.P1IDNumber,1449)="","",INDEX(I.Facility.P1IDNumber,1449))</f>
        <v/>
      </c>
      <c r="G1461" s="51"/>
      <c r="H1461" s="46" t="str">
        <f>IF(AND(I.Developer.P1=TRUE,I.Facility.P1FacilityCount&gt;=1449,F1461=""),"Incomplete","Complete")</f>
        <v>Complete</v>
      </c>
      <c r="I1461" s="48" t="s">
        <v>5826</v>
      </c>
    </row>
    <row r="1462" spans="2:9" ht="15" customHeight="1" x14ac:dyDescent="0.25">
      <c r="B1462" s="55" t="s">
        <v>279</v>
      </c>
      <c r="C1462" s="46">
        <v>1450</v>
      </c>
      <c r="D1462" s="69" t="s">
        <v>29416</v>
      </c>
      <c r="E1462" s="51"/>
      <c r="F1462" s="114" t="str">
        <f>IF(INDEX(I.Facility.P1IDNumber,1450)="","",INDEX(I.Facility.P1IDNumber,1450))</f>
        <v/>
      </c>
      <c r="G1462" s="51"/>
      <c r="H1462" s="46" t="str">
        <f>IF(AND(I.Developer.P1=TRUE,I.Facility.P1FacilityCount&gt;=1450,F1462=""),"Incomplete","Complete")</f>
        <v>Complete</v>
      </c>
      <c r="I1462" s="48" t="s">
        <v>5827</v>
      </c>
    </row>
    <row r="1463" spans="2:9" ht="15" customHeight="1" x14ac:dyDescent="0.25">
      <c r="B1463" s="55" t="s">
        <v>279</v>
      </c>
      <c r="C1463" s="46">
        <v>1451</v>
      </c>
      <c r="D1463" s="69" t="s">
        <v>29416</v>
      </c>
      <c r="E1463" s="51"/>
      <c r="F1463" s="114" t="str">
        <f>IF(INDEX(I.Facility.P1IDNumber,1451)="","",INDEX(I.Facility.P1IDNumber,1451))</f>
        <v/>
      </c>
      <c r="G1463" s="51"/>
      <c r="H1463" s="46" t="str">
        <f>IF(AND(I.Developer.P1=TRUE,I.Facility.P1FacilityCount&gt;=1451,F1463=""),"Incomplete","Complete")</f>
        <v>Complete</v>
      </c>
      <c r="I1463" s="48" t="s">
        <v>5828</v>
      </c>
    </row>
    <row r="1464" spans="2:9" ht="15" customHeight="1" x14ac:dyDescent="0.25">
      <c r="B1464" s="55" t="s">
        <v>279</v>
      </c>
      <c r="C1464" s="46">
        <v>1452</v>
      </c>
      <c r="D1464" s="69" t="s">
        <v>29416</v>
      </c>
      <c r="E1464" s="51"/>
      <c r="F1464" s="114" t="str">
        <f>IF(INDEX(I.Facility.P1IDNumber,1452)="","",INDEX(I.Facility.P1IDNumber,1452))</f>
        <v/>
      </c>
      <c r="G1464" s="51"/>
      <c r="H1464" s="46" t="str">
        <f>IF(AND(I.Developer.P1=TRUE,I.Facility.P1FacilityCount&gt;=1452,F1464=""),"Incomplete","Complete")</f>
        <v>Complete</v>
      </c>
      <c r="I1464" s="48" t="s">
        <v>5829</v>
      </c>
    </row>
    <row r="1465" spans="2:9" ht="15" customHeight="1" x14ac:dyDescent="0.25">
      <c r="B1465" s="55" t="s">
        <v>279</v>
      </c>
      <c r="C1465" s="46">
        <v>1453</v>
      </c>
      <c r="D1465" s="69" t="s">
        <v>29416</v>
      </c>
      <c r="E1465" s="51"/>
      <c r="F1465" s="114" t="str">
        <f>IF(INDEX(I.Facility.P1IDNumber,1453)="","",INDEX(I.Facility.P1IDNumber,1453))</f>
        <v/>
      </c>
      <c r="G1465" s="51"/>
      <c r="H1465" s="46" t="str">
        <f>IF(AND(I.Developer.P1=TRUE,I.Facility.P1FacilityCount&gt;=1453,F1465=""),"Incomplete","Complete")</f>
        <v>Complete</v>
      </c>
      <c r="I1465" s="48" t="s">
        <v>5830</v>
      </c>
    </row>
    <row r="1466" spans="2:9" ht="15" customHeight="1" x14ac:dyDescent="0.25">
      <c r="B1466" s="55" t="s">
        <v>279</v>
      </c>
      <c r="C1466" s="46">
        <v>1454</v>
      </c>
      <c r="D1466" s="69" t="s">
        <v>29416</v>
      </c>
      <c r="E1466" s="51"/>
      <c r="F1466" s="114" t="str">
        <f>IF(INDEX(I.Facility.P1IDNumber,1454)="","",INDEX(I.Facility.P1IDNumber,1454))</f>
        <v/>
      </c>
      <c r="G1466" s="51"/>
      <c r="H1466" s="46" t="str">
        <f>IF(AND(I.Developer.P1=TRUE,I.Facility.P1FacilityCount&gt;=1454,F1466=""),"Incomplete","Complete")</f>
        <v>Complete</v>
      </c>
      <c r="I1466" s="48" t="s">
        <v>5831</v>
      </c>
    </row>
    <row r="1467" spans="2:9" ht="15" customHeight="1" x14ac:dyDescent="0.25">
      <c r="B1467" s="55" t="s">
        <v>279</v>
      </c>
      <c r="C1467" s="46">
        <v>1455</v>
      </c>
      <c r="D1467" s="69" t="s">
        <v>29416</v>
      </c>
      <c r="E1467" s="51"/>
      <c r="F1467" s="114" t="str">
        <f>IF(INDEX(I.Facility.P1IDNumber,1455)="","",INDEX(I.Facility.P1IDNumber,1455))</f>
        <v/>
      </c>
      <c r="G1467" s="51"/>
      <c r="H1467" s="46" t="str">
        <f>IF(AND(I.Developer.P1=TRUE,I.Facility.P1FacilityCount&gt;=1455,F1467=""),"Incomplete","Complete")</f>
        <v>Complete</v>
      </c>
      <c r="I1467" s="48" t="s">
        <v>5832</v>
      </c>
    </row>
    <row r="1468" spans="2:9" ht="15" customHeight="1" x14ac:dyDescent="0.25">
      <c r="B1468" s="55" t="s">
        <v>279</v>
      </c>
      <c r="C1468" s="46">
        <v>1456</v>
      </c>
      <c r="D1468" s="69" t="s">
        <v>29416</v>
      </c>
      <c r="E1468" s="51"/>
      <c r="F1468" s="114" t="str">
        <f>IF(INDEX(I.Facility.P1IDNumber,1456)="","",INDEX(I.Facility.P1IDNumber,1456))</f>
        <v/>
      </c>
      <c r="G1468" s="51"/>
      <c r="H1468" s="46" t="str">
        <f>IF(AND(I.Developer.P1=TRUE,I.Facility.P1FacilityCount&gt;=1456,F1468=""),"Incomplete","Complete")</f>
        <v>Complete</v>
      </c>
      <c r="I1468" s="48" t="s">
        <v>5833</v>
      </c>
    </row>
    <row r="1469" spans="2:9" ht="15" customHeight="1" x14ac:dyDescent="0.25">
      <c r="B1469" s="55" t="s">
        <v>279</v>
      </c>
      <c r="C1469" s="46">
        <v>1457</v>
      </c>
      <c r="D1469" s="69" t="s">
        <v>29416</v>
      </c>
      <c r="E1469" s="51"/>
      <c r="F1469" s="114" t="str">
        <f>IF(INDEX(I.Facility.P1IDNumber,1457)="","",INDEX(I.Facility.P1IDNumber,1457))</f>
        <v/>
      </c>
      <c r="G1469" s="51"/>
      <c r="H1469" s="46" t="str">
        <f>IF(AND(I.Developer.P1=TRUE,I.Facility.P1FacilityCount&gt;=1457,F1469=""),"Incomplete","Complete")</f>
        <v>Complete</v>
      </c>
      <c r="I1469" s="48" t="s">
        <v>5834</v>
      </c>
    </row>
    <row r="1470" spans="2:9" ht="15" customHeight="1" x14ac:dyDescent="0.25">
      <c r="B1470" s="55" t="s">
        <v>279</v>
      </c>
      <c r="C1470" s="46">
        <v>1458</v>
      </c>
      <c r="D1470" s="69" t="s">
        <v>29416</v>
      </c>
      <c r="E1470" s="51"/>
      <c r="F1470" s="114" t="str">
        <f>IF(INDEX(I.Facility.P1IDNumber,1458)="","",INDEX(I.Facility.P1IDNumber,1458))</f>
        <v/>
      </c>
      <c r="G1470" s="51"/>
      <c r="H1470" s="46" t="str">
        <f>IF(AND(I.Developer.P1=TRUE,I.Facility.P1FacilityCount&gt;=1458,F1470=""),"Incomplete","Complete")</f>
        <v>Complete</v>
      </c>
      <c r="I1470" s="48" t="s">
        <v>5835</v>
      </c>
    </row>
    <row r="1471" spans="2:9" ht="15" customHeight="1" x14ac:dyDescent="0.25">
      <c r="B1471" s="55" t="s">
        <v>279</v>
      </c>
      <c r="C1471" s="46">
        <v>1459</v>
      </c>
      <c r="D1471" s="69" t="s">
        <v>29416</v>
      </c>
      <c r="E1471" s="51"/>
      <c r="F1471" s="114" t="str">
        <f>IF(INDEX(I.Facility.P1IDNumber,1459)="","",INDEX(I.Facility.P1IDNumber,1459))</f>
        <v/>
      </c>
      <c r="G1471" s="51"/>
      <c r="H1471" s="46" t="str">
        <f>IF(AND(I.Developer.P1=TRUE,I.Facility.P1FacilityCount&gt;=1459,F1471=""),"Incomplete","Complete")</f>
        <v>Complete</v>
      </c>
      <c r="I1471" s="48" t="s">
        <v>5836</v>
      </c>
    </row>
    <row r="1472" spans="2:9" ht="15" customHeight="1" x14ac:dyDescent="0.25">
      <c r="B1472" s="55" t="s">
        <v>279</v>
      </c>
      <c r="C1472" s="46">
        <v>1460</v>
      </c>
      <c r="D1472" s="69" t="s">
        <v>29416</v>
      </c>
      <c r="E1472" s="51"/>
      <c r="F1472" s="114" t="str">
        <f>IF(INDEX(I.Facility.P1IDNumber,1460)="","",INDEX(I.Facility.P1IDNumber,1460))</f>
        <v/>
      </c>
      <c r="G1472" s="51"/>
      <c r="H1472" s="46" t="str">
        <f>IF(AND(I.Developer.P1=TRUE,I.Facility.P1FacilityCount&gt;=1460,F1472=""),"Incomplete","Complete")</f>
        <v>Complete</v>
      </c>
      <c r="I1472" s="48" t="s">
        <v>5837</v>
      </c>
    </row>
    <row r="1473" spans="2:9" ht="15" customHeight="1" x14ac:dyDescent="0.25">
      <c r="B1473" s="55" t="s">
        <v>279</v>
      </c>
      <c r="C1473" s="46">
        <v>1461</v>
      </c>
      <c r="D1473" s="69" t="s">
        <v>29416</v>
      </c>
      <c r="E1473" s="51"/>
      <c r="F1473" s="114" t="str">
        <f>IF(INDEX(I.Facility.P1IDNumber,1461)="","",INDEX(I.Facility.P1IDNumber,1461))</f>
        <v/>
      </c>
      <c r="G1473" s="51"/>
      <c r="H1473" s="46" t="str">
        <f>IF(AND(I.Developer.P1=TRUE,I.Facility.P1FacilityCount&gt;=1461,F1473=""),"Incomplete","Complete")</f>
        <v>Complete</v>
      </c>
      <c r="I1473" s="48" t="s">
        <v>5838</v>
      </c>
    </row>
    <row r="1474" spans="2:9" ht="15" customHeight="1" x14ac:dyDescent="0.25">
      <c r="B1474" s="55" t="s">
        <v>279</v>
      </c>
      <c r="C1474" s="46">
        <v>1462</v>
      </c>
      <c r="D1474" s="69" t="s">
        <v>29416</v>
      </c>
      <c r="E1474" s="51"/>
      <c r="F1474" s="114" t="str">
        <f>IF(INDEX(I.Facility.P1IDNumber,1462)="","",INDEX(I.Facility.P1IDNumber,1462))</f>
        <v/>
      </c>
      <c r="G1474" s="51"/>
      <c r="H1474" s="46" t="str">
        <f>IF(AND(I.Developer.P1=TRUE,I.Facility.P1FacilityCount&gt;=1462,F1474=""),"Incomplete","Complete")</f>
        <v>Complete</v>
      </c>
      <c r="I1474" s="48" t="s">
        <v>5839</v>
      </c>
    </row>
    <row r="1475" spans="2:9" ht="15" customHeight="1" x14ac:dyDescent="0.25">
      <c r="B1475" s="55" t="s">
        <v>279</v>
      </c>
      <c r="C1475" s="46">
        <v>1463</v>
      </c>
      <c r="D1475" s="69" t="s">
        <v>29416</v>
      </c>
      <c r="E1475" s="51"/>
      <c r="F1475" s="114" t="str">
        <f>IF(INDEX(I.Facility.P1IDNumber,1463)="","",INDEX(I.Facility.P1IDNumber,1463))</f>
        <v/>
      </c>
      <c r="G1475" s="51"/>
      <c r="H1475" s="46" t="str">
        <f>IF(AND(I.Developer.P1=TRUE,I.Facility.P1FacilityCount&gt;=1463,F1475=""),"Incomplete","Complete")</f>
        <v>Complete</v>
      </c>
      <c r="I1475" s="48" t="s">
        <v>5840</v>
      </c>
    </row>
    <row r="1476" spans="2:9" ht="15" customHeight="1" x14ac:dyDescent="0.25">
      <c r="B1476" s="55" t="s">
        <v>279</v>
      </c>
      <c r="C1476" s="46">
        <v>1464</v>
      </c>
      <c r="D1476" s="69" t="s">
        <v>29416</v>
      </c>
      <c r="E1476" s="51"/>
      <c r="F1476" s="114" t="str">
        <f>IF(INDEX(I.Facility.P1IDNumber,1464)="","",INDEX(I.Facility.P1IDNumber,1464))</f>
        <v/>
      </c>
      <c r="G1476" s="51"/>
      <c r="H1476" s="46" t="str">
        <f>IF(AND(I.Developer.P1=TRUE,I.Facility.P1FacilityCount&gt;=1464,F1476=""),"Incomplete","Complete")</f>
        <v>Complete</v>
      </c>
      <c r="I1476" s="48" t="s">
        <v>5841</v>
      </c>
    </row>
    <row r="1477" spans="2:9" ht="15" customHeight="1" x14ac:dyDescent="0.25">
      <c r="B1477" s="55" t="s">
        <v>279</v>
      </c>
      <c r="C1477" s="46">
        <v>1465</v>
      </c>
      <c r="D1477" s="69" t="s">
        <v>29416</v>
      </c>
      <c r="E1477" s="51"/>
      <c r="F1477" s="114" t="str">
        <f>IF(INDEX(I.Facility.P1IDNumber,1465)="","",INDEX(I.Facility.P1IDNumber,1465))</f>
        <v/>
      </c>
      <c r="G1477" s="51"/>
      <c r="H1477" s="46" t="str">
        <f>IF(AND(I.Developer.P1=TRUE,I.Facility.P1FacilityCount&gt;=1465,F1477=""),"Incomplete","Complete")</f>
        <v>Complete</v>
      </c>
      <c r="I1477" s="48" t="s">
        <v>5842</v>
      </c>
    </row>
    <row r="1478" spans="2:9" ht="15" customHeight="1" x14ac:dyDescent="0.25">
      <c r="B1478" s="55" t="s">
        <v>279</v>
      </c>
      <c r="C1478" s="46">
        <v>1466</v>
      </c>
      <c r="D1478" s="69" t="s">
        <v>29416</v>
      </c>
      <c r="E1478" s="51"/>
      <c r="F1478" s="114" t="str">
        <f>IF(INDEX(I.Facility.P1IDNumber,1466)="","",INDEX(I.Facility.P1IDNumber,1466))</f>
        <v/>
      </c>
      <c r="G1478" s="51"/>
      <c r="H1478" s="46" t="str">
        <f>IF(AND(I.Developer.P1=TRUE,I.Facility.P1FacilityCount&gt;=1466,F1478=""),"Incomplete","Complete")</f>
        <v>Complete</v>
      </c>
      <c r="I1478" s="48" t="s">
        <v>5843</v>
      </c>
    </row>
    <row r="1479" spans="2:9" ht="15" customHeight="1" x14ac:dyDescent="0.25">
      <c r="B1479" s="55" t="s">
        <v>279</v>
      </c>
      <c r="C1479" s="46">
        <v>1467</v>
      </c>
      <c r="D1479" s="69" t="s">
        <v>29416</v>
      </c>
      <c r="E1479" s="51"/>
      <c r="F1479" s="114" t="str">
        <f>IF(INDEX(I.Facility.P1IDNumber,1467)="","",INDEX(I.Facility.P1IDNumber,1467))</f>
        <v/>
      </c>
      <c r="G1479" s="51"/>
      <c r="H1479" s="46" t="str">
        <f>IF(AND(I.Developer.P1=TRUE,I.Facility.P1FacilityCount&gt;=1467,F1479=""),"Incomplete","Complete")</f>
        <v>Complete</v>
      </c>
      <c r="I1479" s="48" t="s">
        <v>5844</v>
      </c>
    </row>
    <row r="1480" spans="2:9" ht="15" customHeight="1" x14ac:dyDescent="0.25">
      <c r="B1480" s="55" t="s">
        <v>279</v>
      </c>
      <c r="C1480" s="46">
        <v>1468</v>
      </c>
      <c r="D1480" s="69" t="s">
        <v>29416</v>
      </c>
      <c r="E1480" s="51"/>
      <c r="F1480" s="114" t="str">
        <f>IF(INDEX(I.Facility.P1IDNumber,1468)="","",INDEX(I.Facility.P1IDNumber,1468))</f>
        <v/>
      </c>
      <c r="G1480" s="51"/>
      <c r="H1480" s="46" t="str">
        <f>IF(AND(I.Developer.P1=TRUE,I.Facility.P1FacilityCount&gt;=1468,F1480=""),"Incomplete","Complete")</f>
        <v>Complete</v>
      </c>
      <c r="I1480" s="48" t="s">
        <v>5845</v>
      </c>
    </row>
    <row r="1481" spans="2:9" ht="15" customHeight="1" x14ac:dyDescent="0.25">
      <c r="B1481" s="55" t="s">
        <v>279</v>
      </c>
      <c r="C1481" s="46">
        <v>1469</v>
      </c>
      <c r="D1481" s="69" t="s">
        <v>29416</v>
      </c>
      <c r="E1481" s="51"/>
      <c r="F1481" s="114" t="str">
        <f>IF(INDEX(I.Facility.P1IDNumber,1469)="","",INDEX(I.Facility.P1IDNumber,1469))</f>
        <v/>
      </c>
      <c r="G1481" s="51"/>
      <c r="H1481" s="46" t="str">
        <f>IF(AND(I.Developer.P1=TRUE,I.Facility.P1FacilityCount&gt;=1469,F1481=""),"Incomplete","Complete")</f>
        <v>Complete</v>
      </c>
      <c r="I1481" s="48" t="s">
        <v>5846</v>
      </c>
    </row>
    <row r="1482" spans="2:9" ht="15" customHeight="1" x14ac:dyDescent="0.25">
      <c r="B1482" s="55" t="s">
        <v>279</v>
      </c>
      <c r="C1482" s="46">
        <v>1470</v>
      </c>
      <c r="D1482" s="69" t="s">
        <v>29416</v>
      </c>
      <c r="E1482" s="51"/>
      <c r="F1482" s="114" t="str">
        <f>IF(INDEX(I.Facility.P1IDNumber,1470)="","",INDEX(I.Facility.P1IDNumber,1470))</f>
        <v/>
      </c>
      <c r="G1482" s="51"/>
      <c r="H1482" s="46" t="str">
        <f>IF(AND(I.Developer.P1=TRUE,I.Facility.P1FacilityCount&gt;=1470,F1482=""),"Incomplete","Complete")</f>
        <v>Complete</v>
      </c>
      <c r="I1482" s="48" t="s">
        <v>5847</v>
      </c>
    </row>
    <row r="1483" spans="2:9" ht="15" customHeight="1" x14ac:dyDescent="0.25">
      <c r="B1483" s="55" t="s">
        <v>279</v>
      </c>
      <c r="C1483" s="46">
        <v>1471</v>
      </c>
      <c r="D1483" s="69" t="s">
        <v>29416</v>
      </c>
      <c r="E1483" s="51"/>
      <c r="F1483" s="114" t="str">
        <f>IF(INDEX(I.Facility.P1IDNumber,1471)="","",INDEX(I.Facility.P1IDNumber,1471))</f>
        <v/>
      </c>
      <c r="G1483" s="51"/>
      <c r="H1483" s="46" t="str">
        <f>IF(AND(I.Developer.P1=TRUE,I.Facility.P1FacilityCount&gt;=1471,F1483=""),"Incomplete","Complete")</f>
        <v>Complete</v>
      </c>
      <c r="I1483" s="48" t="s">
        <v>5848</v>
      </c>
    </row>
    <row r="1484" spans="2:9" ht="15" customHeight="1" x14ac:dyDescent="0.25">
      <c r="B1484" s="55" t="s">
        <v>279</v>
      </c>
      <c r="C1484" s="46">
        <v>1472</v>
      </c>
      <c r="D1484" s="69" t="s">
        <v>29416</v>
      </c>
      <c r="E1484" s="51"/>
      <c r="F1484" s="114" t="str">
        <f>IF(INDEX(I.Facility.P1IDNumber,1472)="","",INDEX(I.Facility.P1IDNumber,1472))</f>
        <v/>
      </c>
      <c r="G1484" s="51"/>
      <c r="H1484" s="46" t="str">
        <f>IF(AND(I.Developer.P1=TRUE,I.Facility.P1FacilityCount&gt;=1472,F1484=""),"Incomplete","Complete")</f>
        <v>Complete</v>
      </c>
      <c r="I1484" s="48" t="s">
        <v>5849</v>
      </c>
    </row>
    <row r="1485" spans="2:9" ht="15" customHeight="1" x14ac:dyDescent="0.25">
      <c r="B1485" s="55" t="s">
        <v>279</v>
      </c>
      <c r="C1485" s="46">
        <v>1473</v>
      </c>
      <c r="D1485" s="69" t="s">
        <v>29416</v>
      </c>
      <c r="E1485" s="51"/>
      <c r="F1485" s="114" t="str">
        <f>IF(INDEX(I.Facility.P1IDNumber,1473)="","",INDEX(I.Facility.P1IDNumber,1473))</f>
        <v/>
      </c>
      <c r="G1485" s="51"/>
      <c r="H1485" s="46" t="str">
        <f>IF(AND(I.Developer.P1=TRUE,I.Facility.P1FacilityCount&gt;=1473,F1485=""),"Incomplete","Complete")</f>
        <v>Complete</v>
      </c>
      <c r="I1485" s="48" t="s">
        <v>5850</v>
      </c>
    </row>
    <row r="1486" spans="2:9" ht="15" customHeight="1" x14ac:dyDescent="0.25">
      <c r="B1486" s="55" t="s">
        <v>279</v>
      </c>
      <c r="C1486" s="46">
        <v>1474</v>
      </c>
      <c r="D1486" s="69" t="s">
        <v>29416</v>
      </c>
      <c r="E1486" s="51"/>
      <c r="F1486" s="114" t="str">
        <f>IF(INDEX(I.Facility.P1IDNumber,1474)="","",INDEX(I.Facility.P1IDNumber,1474))</f>
        <v/>
      </c>
      <c r="G1486" s="51"/>
      <c r="H1486" s="46" t="str">
        <f>IF(AND(I.Developer.P1=TRUE,I.Facility.P1FacilityCount&gt;=1474,F1486=""),"Incomplete","Complete")</f>
        <v>Complete</v>
      </c>
      <c r="I1486" s="48" t="s">
        <v>5851</v>
      </c>
    </row>
    <row r="1487" spans="2:9" ht="15" customHeight="1" x14ac:dyDescent="0.25">
      <c r="B1487" s="55" t="s">
        <v>279</v>
      </c>
      <c r="C1487" s="46">
        <v>1475</v>
      </c>
      <c r="D1487" s="69" t="s">
        <v>29416</v>
      </c>
      <c r="E1487" s="51"/>
      <c r="F1487" s="114" t="str">
        <f>IF(INDEX(I.Facility.P1IDNumber,1475)="","",INDEX(I.Facility.P1IDNumber,1475))</f>
        <v/>
      </c>
      <c r="G1487" s="51"/>
      <c r="H1487" s="46" t="str">
        <f>IF(AND(I.Developer.P1=TRUE,I.Facility.P1FacilityCount&gt;=1475,F1487=""),"Incomplete","Complete")</f>
        <v>Complete</v>
      </c>
      <c r="I1487" s="48" t="s">
        <v>5852</v>
      </c>
    </row>
    <row r="1488" spans="2:9" ht="15" customHeight="1" x14ac:dyDescent="0.25">
      <c r="B1488" s="55" t="s">
        <v>279</v>
      </c>
      <c r="C1488" s="46">
        <v>1476</v>
      </c>
      <c r="D1488" s="69" t="s">
        <v>29416</v>
      </c>
      <c r="E1488" s="51"/>
      <c r="F1488" s="114" t="str">
        <f>IF(INDEX(I.Facility.P1IDNumber,1476)="","",INDEX(I.Facility.P1IDNumber,1476))</f>
        <v/>
      </c>
      <c r="G1488" s="51"/>
      <c r="H1488" s="46" t="str">
        <f>IF(AND(I.Developer.P1=TRUE,I.Facility.P1FacilityCount&gt;=1476,F1488=""),"Incomplete","Complete")</f>
        <v>Complete</v>
      </c>
      <c r="I1488" s="48" t="s">
        <v>5853</v>
      </c>
    </row>
    <row r="1489" spans="2:9" ht="15" customHeight="1" x14ac:dyDescent="0.25">
      <c r="B1489" s="55" t="s">
        <v>279</v>
      </c>
      <c r="C1489" s="46">
        <v>1477</v>
      </c>
      <c r="D1489" s="69" t="s">
        <v>29416</v>
      </c>
      <c r="E1489" s="51"/>
      <c r="F1489" s="114" t="str">
        <f>IF(INDEX(I.Facility.P1IDNumber,1477)="","",INDEX(I.Facility.P1IDNumber,1477))</f>
        <v/>
      </c>
      <c r="G1489" s="51"/>
      <c r="H1489" s="46" t="str">
        <f>IF(AND(I.Developer.P1=TRUE,I.Facility.P1FacilityCount&gt;=1477,F1489=""),"Incomplete","Complete")</f>
        <v>Complete</v>
      </c>
      <c r="I1489" s="48" t="s">
        <v>5854</v>
      </c>
    </row>
    <row r="1490" spans="2:9" ht="15" customHeight="1" x14ac:dyDescent="0.25">
      <c r="B1490" s="55" t="s">
        <v>279</v>
      </c>
      <c r="C1490" s="46">
        <v>1478</v>
      </c>
      <c r="D1490" s="69" t="s">
        <v>29416</v>
      </c>
      <c r="E1490" s="51"/>
      <c r="F1490" s="114" t="str">
        <f>IF(INDEX(I.Facility.P1IDNumber,1478)="","",INDEX(I.Facility.P1IDNumber,1478))</f>
        <v/>
      </c>
      <c r="G1490" s="51"/>
      <c r="H1490" s="46" t="str">
        <f>IF(AND(I.Developer.P1=TRUE,I.Facility.P1FacilityCount&gt;=1478,F1490=""),"Incomplete","Complete")</f>
        <v>Complete</v>
      </c>
      <c r="I1490" s="48" t="s">
        <v>5855</v>
      </c>
    </row>
    <row r="1491" spans="2:9" ht="15" customHeight="1" x14ac:dyDescent="0.25">
      <c r="B1491" s="55" t="s">
        <v>279</v>
      </c>
      <c r="C1491" s="46">
        <v>1479</v>
      </c>
      <c r="D1491" s="69" t="s">
        <v>29416</v>
      </c>
      <c r="E1491" s="51"/>
      <c r="F1491" s="114" t="str">
        <f>IF(INDEX(I.Facility.P1IDNumber,1479)="","",INDEX(I.Facility.P1IDNumber,1479))</f>
        <v/>
      </c>
      <c r="G1491" s="51"/>
      <c r="H1491" s="46" t="str">
        <f>IF(AND(I.Developer.P1=TRUE,I.Facility.P1FacilityCount&gt;=1479,F1491=""),"Incomplete","Complete")</f>
        <v>Complete</v>
      </c>
      <c r="I1491" s="48" t="s">
        <v>5856</v>
      </c>
    </row>
    <row r="1492" spans="2:9" ht="15" customHeight="1" x14ac:dyDescent="0.25">
      <c r="B1492" s="55" t="s">
        <v>279</v>
      </c>
      <c r="C1492" s="46">
        <v>1480</v>
      </c>
      <c r="D1492" s="69" t="s">
        <v>29416</v>
      </c>
      <c r="E1492" s="51"/>
      <c r="F1492" s="114" t="str">
        <f>IF(INDEX(I.Facility.P1IDNumber,1480)="","",INDEX(I.Facility.P1IDNumber,1480))</f>
        <v/>
      </c>
      <c r="G1492" s="51"/>
      <c r="H1492" s="46" t="str">
        <f>IF(AND(I.Developer.P1=TRUE,I.Facility.P1FacilityCount&gt;=1480,F1492=""),"Incomplete","Complete")</f>
        <v>Complete</v>
      </c>
      <c r="I1492" s="48" t="s">
        <v>5857</v>
      </c>
    </row>
    <row r="1493" spans="2:9" ht="15" customHeight="1" x14ac:dyDescent="0.25">
      <c r="B1493" s="55" t="s">
        <v>279</v>
      </c>
      <c r="C1493" s="46">
        <v>1481</v>
      </c>
      <c r="D1493" s="69" t="s">
        <v>29416</v>
      </c>
      <c r="E1493" s="51"/>
      <c r="F1493" s="114" t="str">
        <f>IF(INDEX(I.Facility.P1IDNumber,1481)="","",INDEX(I.Facility.P1IDNumber,1481))</f>
        <v/>
      </c>
      <c r="G1493" s="51"/>
      <c r="H1493" s="46" t="str">
        <f>IF(AND(I.Developer.P1=TRUE,I.Facility.P1FacilityCount&gt;=1481,F1493=""),"Incomplete","Complete")</f>
        <v>Complete</v>
      </c>
      <c r="I1493" s="48" t="s">
        <v>5858</v>
      </c>
    </row>
    <row r="1494" spans="2:9" ht="15" customHeight="1" x14ac:dyDescent="0.25">
      <c r="B1494" s="55" t="s">
        <v>279</v>
      </c>
      <c r="C1494" s="46">
        <v>1482</v>
      </c>
      <c r="D1494" s="69" t="s">
        <v>29416</v>
      </c>
      <c r="E1494" s="51"/>
      <c r="F1494" s="114" t="str">
        <f>IF(INDEX(I.Facility.P1IDNumber,1482)="","",INDEX(I.Facility.P1IDNumber,1482))</f>
        <v/>
      </c>
      <c r="G1494" s="51"/>
      <c r="H1494" s="46" t="str">
        <f>IF(AND(I.Developer.P1=TRUE,I.Facility.P1FacilityCount&gt;=1482,F1494=""),"Incomplete","Complete")</f>
        <v>Complete</v>
      </c>
      <c r="I1494" s="48" t="s">
        <v>5859</v>
      </c>
    </row>
    <row r="1495" spans="2:9" ht="15" customHeight="1" x14ac:dyDescent="0.25">
      <c r="B1495" s="55" t="s">
        <v>279</v>
      </c>
      <c r="C1495" s="46">
        <v>1483</v>
      </c>
      <c r="D1495" s="69" t="s">
        <v>29416</v>
      </c>
      <c r="E1495" s="51"/>
      <c r="F1495" s="114" t="str">
        <f>IF(INDEX(I.Facility.P1IDNumber,1483)="","",INDEX(I.Facility.P1IDNumber,1483))</f>
        <v/>
      </c>
      <c r="G1495" s="51"/>
      <c r="H1495" s="46" t="str">
        <f>IF(AND(I.Developer.P1=TRUE,I.Facility.P1FacilityCount&gt;=1483,F1495=""),"Incomplete","Complete")</f>
        <v>Complete</v>
      </c>
      <c r="I1495" s="48" t="s">
        <v>5860</v>
      </c>
    </row>
    <row r="1496" spans="2:9" ht="15" customHeight="1" x14ac:dyDescent="0.25">
      <c r="B1496" s="55" t="s">
        <v>279</v>
      </c>
      <c r="C1496" s="46">
        <v>1484</v>
      </c>
      <c r="D1496" s="69" t="s">
        <v>29416</v>
      </c>
      <c r="E1496" s="51"/>
      <c r="F1496" s="114" t="str">
        <f>IF(INDEX(I.Facility.P1IDNumber,1484)="","",INDEX(I.Facility.P1IDNumber,1484))</f>
        <v/>
      </c>
      <c r="G1496" s="51"/>
      <c r="H1496" s="46" t="str">
        <f>IF(AND(I.Developer.P1=TRUE,I.Facility.P1FacilityCount&gt;=1484,F1496=""),"Incomplete","Complete")</f>
        <v>Complete</v>
      </c>
      <c r="I1496" s="48" t="s">
        <v>5861</v>
      </c>
    </row>
    <row r="1497" spans="2:9" ht="15" customHeight="1" x14ac:dyDescent="0.25">
      <c r="B1497" s="55" t="s">
        <v>279</v>
      </c>
      <c r="C1497" s="46">
        <v>1485</v>
      </c>
      <c r="D1497" s="69" t="s">
        <v>29416</v>
      </c>
      <c r="E1497" s="51"/>
      <c r="F1497" s="114" t="str">
        <f>IF(INDEX(I.Facility.P1IDNumber,1485)="","",INDEX(I.Facility.P1IDNumber,1485))</f>
        <v/>
      </c>
      <c r="G1497" s="51"/>
      <c r="H1497" s="46" t="str">
        <f>IF(AND(I.Developer.P1=TRUE,I.Facility.P1FacilityCount&gt;=1485,F1497=""),"Incomplete","Complete")</f>
        <v>Complete</v>
      </c>
      <c r="I1497" s="48" t="s">
        <v>5862</v>
      </c>
    </row>
    <row r="1498" spans="2:9" ht="15" customHeight="1" x14ac:dyDescent="0.25">
      <c r="B1498" s="55" t="s">
        <v>279</v>
      </c>
      <c r="C1498" s="46">
        <v>1486</v>
      </c>
      <c r="D1498" s="69" t="s">
        <v>29416</v>
      </c>
      <c r="E1498" s="51"/>
      <c r="F1498" s="114" t="str">
        <f>IF(INDEX(I.Facility.P1IDNumber,1486)="","",INDEX(I.Facility.P1IDNumber,1486))</f>
        <v/>
      </c>
      <c r="G1498" s="51"/>
      <c r="H1498" s="46" t="str">
        <f>IF(AND(I.Developer.P1=TRUE,I.Facility.P1FacilityCount&gt;=1486,F1498=""),"Incomplete","Complete")</f>
        <v>Complete</v>
      </c>
      <c r="I1498" s="48" t="s">
        <v>5863</v>
      </c>
    </row>
    <row r="1499" spans="2:9" ht="15" customHeight="1" x14ac:dyDescent="0.25">
      <c r="B1499" s="55" t="s">
        <v>279</v>
      </c>
      <c r="C1499" s="46">
        <v>1487</v>
      </c>
      <c r="D1499" s="69" t="s">
        <v>29416</v>
      </c>
      <c r="E1499" s="51"/>
      <c r="F1499" s="114" t="str">
        <f>IF(INDEX(I.Facility.P1IDNumber,1487)="","",INDEX(I.Facility.P1IDNumber,1487))</f>
        <v/>
      </c>
      <c r="G1499" s="51"/>
      <c r="H1499" s="46" t="str">
        <f>IF(AND(I.Developer.P1=TRUE,I.Facility.P1FacilityCount&gt;=1487,F1499=""),"Incomplete","Complete")</f>
        <v>Complete</v>
      </c>
      <c r="I1499" s="48" t="s">
        <v>5864</v>
      </c>
    </row>
    <row r="1500" spans="2:9" ht="15" customHeight="1" x14ac:dyDescent="0.25">
      <c r="B1500" s="55" t="s">
        <v>279</v>
      </c>
      <c r="C1500" s="46">
        <v>1488</v>
      </c>
      <c r="D1500" s="69" t="s">
        <v>29416</v>
      </c>
      <c r="E1500" s="51"/>
      <c r="F1500" s="114" t="str">
        <f>IF(INDEX(I.Facility.P1IDNumber,1488)="","",INDEX(I.Facility.P1IDNumber,1488))</f>
        <v/>
      </c>
      <c r="G1500" s="51"/>
      <c r="H1500" s="46" t="str">
        <f>IF(AND(I.Developer.P1=TRUE,I.Facility.P1FacilityCount&gt;=1488,F1500=""),"Incomplete","Complete")</f>
        <v>Complete</v>
      </c>
      <c r="I1500" s="48" t="s">
        <v>5865</v>
      </c>
    </row>
    <row r="1501" spans="2:9" ht="15" customHeight="1" x14ac:dyDescent="0.25">
      <c r="B1501" s="55" t="s">
        <v>279</v>
      </c>
      <c r="C1501" s="46">
        <v>1489</v>
      </c>
      <c r="D1501" s="69" t="s">
        <v>29416</v>
      </c>
      <c r="E1501" s="51"/>
      <c r="F1501" s="114" t="str">
        <f>IF(INDEX(I.Facility.P1IDNumber,1489)="","",INDEX(I.Facility.P1IDNumber,1489))</f>
        <v/>
      </c>
      <c r="G1501" s="51"/>
      <c r="H1501" s="46" t="str">
        <f>IF(AND(I.Developer.P1=TRUE,I.Facility.P1FacilityCount&gt;=1489,F1501=""),"Incomplete","Complete")</f>
        <v>Complete</v>
      </c>
      <c r="I1501" s="48" t="s">
        <v>5866</v>
      </c>
    </row>
    <row r="1502" spans="2:9" ht="15" customHeight="1" x14ac:dyDescent="0.25">
      <c r="B1502" s="55" t="s">
        <v>279</v>
      </c>
      <c r="C1502" s="46">
        <v>1490</v>
      </c>
      <c r="D1502" s="69" t="s">
        <v>29416</v>
      </c>
      <c r="E1502" s="51"/>
      <c r="F1502" s="114" t="str">
        <f>IF(INDEX(I.Facility.P1IDNumber,1490)="","",INDEX(I.Facility.P1IDNumber,1490))</f>
        <v/>
      </c>
      <c r="G1502" s="51"/>
      <c r="H1502" s="46" t="str">
        <f>IF(AND(I.Developer.P1=TRUE,I.Facility.P1FacilityCount&gt;=1490,F1502=""),"Incomplete","Complete")</f>
        <v>Complete</v>
      </c>
      <c r="I1502" s="48" t="s">
        <v>5867</v>
      </c>
    </row>
    <row r="1503" spans="2:9" ht="15" customHeight="1" x14ac:dyDescent="0.25">
      <c r="B1503" s="55" t="s">
        <v>279</v>
      </c>
      <c r="C1503" s="46">
        <v>1491</v>
      </c>
      <c r="D1503" s="69" t="s">
        <v>29416</v>
      </c>
      <c r="E1503" s="51"/>
      <c r="F1503" s="114" t="str">
        <f>IF(INDEX(I.Facility.P1IDNumber,1491)="","",INDEX(I.Facility.P1IDNumber,1491))</f>
        <v/>
      </c>
      <c r="G1503" s="51"/>
      <c r="H1503" s="46" t="str">
        <f>IF(AND(I.Developer.P1=TRUE,I.Facility.P1FacilityCount&gt;=1491,F1503=""),"Incomplete","Complete")</f>
        <v>Complete</v>
      </c>
      <c r="I1503" s="48" t="s">
        <v>5868</v>
      </c>
    </row>
    <row r="1504" spans="2:9" ht="15" customHeight="1" x14ac:dyDescent="0.25">
      <c r="B1504" s="55" t="s">
        <v>279</v>
      </c>
      <c r="C1504" s="46">
        <v>1492</v>
      </c>
      <c r="D1504" s="69" t="s">
        <v>29416</v>
      </c>
      <c r="E1504" s="51"/>
      <c r="F1504" s="114" t="str">
        <f>IF(INDEX(I.Facility.P1IDNumber,1492)="","",INDEX(I.Facility.P1IDNumber,1492))</f>
        <v/>
      </c>
      <c r="G1504" s="51"/>
      <c r="H1504" s="46" t="str">
        <f>IF(AND(I.Developer.P1=TRUE,I.Facility.P1FacilityCount&gt;=1492,F1504=""),"Incomplete","Complete")</f>
        <v>Complete</v>
      </c>
      <c r="I1504" s="48" t="s">
        <v>5869</v>
      </c>
    </row>
    <row r="1505" spans="2:9" ht="15" customHeight="1" x14ac:dyDescent="0.25">
      <c r="B1505" s="55" t="s">
        <v>279</v>
      </c>
      <c r="C1505" s="46">
        <v>1493</v>
      </c>
      <c r="D1505" s="69" t="s">
        <v>29416</v>
      </c>
      <c r="E1505" s="51"/>
      <c r="F1505" s="114" t="str">
        <f>IF(INDEX(I.Facility.P1IDNumber,1493)="","",INDEX(I.Facility.P1IDNumber,1493))</f>
        <v/>
      </c>
      <c r="G1505" s="51"/>
      <c r="H1505" s="46" t="str">
        <f>IF(AND(I.Developer.P1=TRUE,I.Facility.P1FacilityCount&gt;=1493,F1505=""),"Incomplete","Complete")</f>
        <v>Complete</v>
      </c>
      <c r="I1505" s="48" t="s">
        <v>5870</v>
      </c>
    </row>
    <row r="1506" spans="2:9" ht="15" customHeight="1" x14ac:dyDescent="0.25">
      <c r="B1506" s="55" t="s">
        <v>279</v>
      </c>
      <c r="C1506" s="46">
        <v>1494</v>
      </c>
      <c r="D1506" s="69" t="s">
        <v>29416</v>
      </c>
      <c r="E1506" s="51"/>
      <c r="F1506" s="114" t="str">
        <f>IF(INDEX(I.Facility.P1IDNumber,1494)="","",INDEX(I.Facility.P1IDNumber,1494))</f>
        <v/>
      </c>
      <c r="G1506" s="51"/>
      <c r="H1506" s="46" t="str">
        <f>IF(AND(I.Developer.P1=TRUE,I.Facility.P1FacilityCount&gt;=1494,F1506=""),"Incomplete","Complete")</f>
        <v>Complete</v>
      </c>
      <c r="I1506" s="48" t="s">
        <v>5871</v>
      </c>
    </row>
    <row r="1507" spans="2:9" ht="15" customHeight="1" x14ac:dyDescent="0.25">
      <c r="B1507" s="55" t="s">
        <v>279</v>
      </c>
      <c r="C1507" s="46">
        <v>1495</v>
      </c>
      <c r="D1507" s="69" t="s">
        <v>29416</v>
      </c>
      <c r="E1507" s="51"/>
      <c r="F1507" s="114" t="str">
        <f>IF(INDEX(I.Facility.P1IDNumber,1495)="","",INDEX(I.Facility.P1IDNumber,1495))</f>
        <v/>
      </c>
      <c r="G1507" s="51"/>
      <c r="H1507" s="46" t="str">
        <f>IF(AND(I.Developer.P1=TRUE,I.Facility.P1FacilityCount&gt;=1495,F1507=""),"Incomplete","Complete")</f>
        <v>Complete</v>
      </c>
      <c r="I1507" s="48" t="s">
        <v>5872</v>
      </c>
    </row>
    <row r="1508" spans="2:9" ht="15" customHeight="1" x14ac:dyDescent="0.25">
      <c r="B1508" s="55" t="s">
        <v>279</v>
      </c>
      <c r="C1508" s="46">
        <v>1496</v>
      </c>
      <c r="D1508" s="69" t="s">
        <v>29416</v>
      </c>
      <c r="E1508" s="51"/>
      <c r="F1508" s="114" t="str">
        <f>IF(INDEX(I.Facility.P1IDNumber,1496)="","",INDEX(I.Facility.P1IDNumber,1496))</f>
        <v/>
      </c>
      <c r="G1508" s="51"/>
      <c r="H1508" s="46" t="str">
        <f>IF(AND(I.Developer.P1=TRUE,I.Facility.P1FacilityCount&gt;=1496,F1508=""),"Incomplete","Complete")</f>
        <v>Complete</v>
      </c>
      <c r="I1508" s="48" t="s">
        <v>5873</v>
      </c>
    </row>
    <row r="1509" spans="2:9" ht="15" customHeight="1" x14ac:dyDescent="0.25">
      <c r="B1509" s="55" t="s">
        <v>279</v>
      </c>
      <c r="C1509" s="46">
        <v>1497</v>
      </c>
      <c r="D1509" s="69" t="s">
        <v>29416</v>
      </c>
      <c r="E1509" s="51"/>
      <c r="F1509" s="114" t="str">
        <f>IF(INDEX(I.Facility.P1IDNumber,1497)="","",INDEX(I.Facility.P1IDNumber,1497))</f>
        <v/>
      </c>
      <c r="G1509" s="51"/>
      <c r="H1509" s="46" t="str">
        <f>IF(AND(I.Developer.P1=TRUE,I.Facility.P1FacilityCount&gt;=1497,F1509=""),"Incomplete","Complete")</f>
        <v>Complete</v>
      </c>
      <c r="I1509" s="48" t="s">
        <v>5874</v>
      </c>
    </row>
    <row r="1510" spans="2:9" ht="15" customHeight="1" x14ac:dyDescent="0.25">
      <c r="B1510" s="55" t="s">
        <v>279</v>
      </c>
      <c r="C1510" s="46">
        <v>1498</v>
      </c>
      <c r="D1510" s="69" t="s">
        <v>29416</v>
      </c>
      <c r="E1510" s="51"/>
      <c r="F1510" s="114" t="str">
        <f>IF(INDEX(I.Facility.P1IDNumber,1498)="","",INDEX(I.Facility.P1IDNumber,1498))</f>
        <v/>
      </c>
      <c r="G1510" s="51"/>
      <c r="H1510" s="46" t="str">
        <f>IF(AND(I.Developer.P1=TRUE,I.Facility.P1FacilityCount&gt;=1498,F1510=""),"Incomplete","Complete")</f>
        <v>Complete</v>
      </c>
      <c r="I1510" s="48" t="s">
        <v>5875</v>
      </c>
    </row>
    <row r="1511" spans="2:9" ht="15" customHeight="1" x14ac:dyDescent="0.25">
      <c r="B1511" s="55" t="s">
        <v>279</v>
      </c>
      <c r="C1511" s="46">
        <v>1499</v>
      </c>
      <c r="D1511" s="69" t="s">
        <v>29416</v>
      </c>
      <c r="E1511" s="51"/>
      <c r="F1511" s="114" t="str">
        <f>IF(INDEX(I.Facility.P1IDNumber,1499)="","",INDEX(I.Facility.P1IDNumber,1499))</f>
        <v/>
      </c>
      <c r="G1511" s="51"/>
      <c r="H1511" s="46" t="str">
        <f>IF(AND(I.Developer.P1=TRUE,I.Facility.P1FacilityCount&gt;=1499,F1511=""),"Incomplete","Complete")</f>
        <v>Complete</v>
      </c>
      <c r="I1511" s="48" t="s">
        <v>5876</v>
      </c>
    </row>
    <row r="1512" spans="2:9" ht="15" customHeight="1" x14ac:dyDescent="0.25">
      <c r="B1512" s="55" t="s">
        <v>279</v>
      </c>
      <c r="C1512" s="46">
        <v>1500</v>
      </c>
      <c r="D1512" s="69" t="s">
        <v>29416</v>
      </c>
      <c r="E1512" s="51"/>
      <c r="F1512" s="114" t="str">
        <f>IF(INDEX(I.Facility.P1IDNumber,1500)="","",INDEX(I.Facility.P1IDNumber,1500))</f>
        <v/>
      </c>
      <c r="G1512" s="51"/>
      <c r="H1512" s="46" t="str">
        <f>IF(AND(I.Developer.P1=TRUE,I.Facility.P1FacilityCount&gt;=1500,F1512=""),"Incomplete","Complete")</f>
        <v>Complete</v>
      </c>
      <c r="I1512" s="48" t="s">
        <v>5877</v>
      </c>
    </row>
    <row r="1513" spans="2:9" ht="15" customHeight="1" x14ac:dyDescent="0.25">
      <c r="B1513" s="55" t="s">
        <v>279</v>
      </c>
      <c r="C1513" s="46">
        <v>1501</v>
      </c>
      <c r="D1513" s="69" t="s">
        <v>29416</v>
      </c>
      <c r="E1513" s="51"/>
      <c r="F1513" s="114" t="str">
        <f>IF(INDEX(I.Facility.P1IDNumber,1501)="","",INDEX(I.Facility.P1IDNumber,1501))</f>
        <v/>
      </c>
      <c r="G1513" s="51"/>
      <c r="H1513" s="46" t="str">
        <f>IF(AND(I.Developer.P1=TRUE,I.Facility.P1FacilityCount&gt;=1501,F1513=""),"Incomplete","Complete")</f>
        <v>Complete</v>
      </c>
      <c r="I1513" s="48" t="s">
        <v>5878</v>
      </c>
    </row>
    <row r="1514" spans="2:9" ht="15" customHeight="1" x14ac:dyDescent="0.25">
      <c r="B1514" s="55" t="s">
        <v>279</v>
      </c>
      <c r="C1514" s="46">
        <v>1502</v>
      </c>
      <c r="D1514" s="69" t="s">
        <v>29416</v>
      </c>
      <c r="E1514" s="51"/>
      <c r="F1514" s="114" t="str">
        <f>IF(INDEX(I.Facility.P1IDNumber,1502)="","",INDEX(I.Facility.P1IDNumber,1502))</f>
        <v/>
      </c>
      <c r="G1514" s="51"/>
      <c r="H1514" s="46" t="str">
        <f>IF(AND(I.Developer.P1=TRUE,I.Facility.P1FacilityCount&gt;=1502,F1514=""),"Incomplete","Complete")</f>
        <v>Complete</v>
      </c>
      <c r="I1514" s="48" t="s">
        <v>5879</v>
      </c>
    </row>
    <row r="1515" spans="2:9" ht="15" customHeight="1" x14ac:dyDescent="0.25">
      <c r="B1515" s="55" t="s">
        <v>279</v>
      </c>
      <c r="C1515" s="46">
        <v>1503</v>
      </c>
      <c r="D1515" s="69" t="s">
        <v>29416</v>
      </c>
      <c r="E1515" s="51"/>
      <c r="F1515" s="114" t="str">
        <f>IF(INDEX(I.Facility.P1IDNumber,1503)="","",INDEX(I.Facility.P1IDNumber,1503))</f>
        <v/>
      </c>
      <c r="G1515" s="51"/>
      <c r="H1515" s="46" t="str">
        <f>IF(AND(I.Developer.P1=TRUE,I.Facility.P1FacilityCount&gt;=1503,F1515=""),"Incomplete","Complete")</f>
        <v>Complete</v>
      </c>
      <c r="I1515" s="48" t="s">
        <v>5880</v>
      </c>
    </row>
    <row r="1516" spans="2:9" ht="15" customHeight="1" x14ac:dyDescent="0.25">
      <c r="B1516" s="55" t="s">
        <v>279</v>
      </c>
      <c r="C1516" s="46">
        <v>1504</v>
      </c>
      <c r="D1516" s="69" t="s">
        <v>29416</v>
      </c>
      <c r="E1516" s="51"/>
      <c r="F1516" s="114" t="str">
        <f>IF(INDEX(I.Facility.P1IDNumber,1504)="","",INDEX(I.Facility.P1IDNumber,1504))</f>
        <v/>
      </c>
      <c r="G1516" s="51"/>
      <c r="H1516" s="46" t="str">
        <f>IF(AND(I.Developer.P1=TRUE,I.Facility.P1FacilityCount&gt;=1504,F1516=""),"Incomplete","Complete")</f>
        <v>Complete</v>
      </c>
      <c r="I1516" s="48" t="s">
        <v>5881</v>
      </c>
    </row>
    <row r="1517" spans="2:9" ht="15" customHeight="1" x14ac:dyDescent="0.25">
      <c r="B1517" s="55" t="s">
        <v>279</v>
      </c>
      <c r="C1517" s="46">
        <v>1505</v>
      </c>
      <c r="D1517" s="69" t="s">
        <v>29416</v>
      </c>
      <c r="E1517" s="51"/>
      <c r="F1517" s="114" t="str">
        <f>IF(INDEX(I.Facility.P1IDNumber,1505)="","",INDEX(I.Facility.P1IDNumber,1505))</f>
        <v/>
      </c>
      <c r="G1517" s="51"/>
      <c r="H1517" s="46" t="str">
        <f>IF(AND(I.Developer.P1=TRUE,I.Facility.P1FacilityCount&gt;=1505,F1517=""),"Incomplete","Complete")</f>
        <v>Complete</v>
      </c>
      <c r="I1517" s="48" t="s">
        <v>5882</v>
      </c>
    </row>
    <row r="1518" spans="2:9" ht="15" customHeight="1" x14ac:dyDescent="0.25">
      <c r="B1518" s="55" t="s">
        <v>279</v>
      </c>
      <c r="C1518" s="46">
        <v>1506</v>
      </c>
      <c r="D1518" s="69" t="s">
        <v>29416</v>
      </c>
      <c r="E1518" s="51"/>
      <c r="F1518" s="114" t="str">
        <f>IF(INDEX(I.Facility.P1IDNumber,1506)="","",INDEX(I.Facility.P1IDNumber,1506))</f>
        <v/>
      </c>
      <c r="G1518" s="51"/>
      <c r="H1518" s="46" t="str">
        <f>IF(AND(I.Developer.P1=TRUE,I.Facility.P1FacilityCount&gt;=1506,F1518=""),"Incomplete","Complete")</f>
        <v>Complete</v>
      </c>
      <c r="I1518" s="48" t="s">
        <v>5883</v>
      </c>
    </row>
    <row r="1519" spans="2:9" ht="15" customHeight="1" x14ac:dyDescent="0.25">
      <c r="B1519" s="55" t="s">
        <v>279</v>
      </c>
      <c r="C1519" s="46">
        <v>1507</v>
      </c>
      <c r="D1519" s="69" t="s">
        <v>29416</v>
      </c>
      <c r="E1519" s="51"/>
      <c r="F1519" s="114" t="str">
        <f>IF(INDEX(I.Facility.P1IDNumber,1507)="","",INDEX(I.Facility.P1IDNumber,1507))</f>
        <v/>
      </c>
      <c r="G1519" s="51"/>
      <c r="H1519" s="46" t="str">
        <f>IF(AND(I.Developer.P1=TRUE,I.Facility.P1FacilityCount&gt;=1507,F1519=""),"Incomplete","Complete")</f>
        <v>Complete</v>
      </c>
      <c r="I1519" s="48" t="s">
        <v>5884</v>
      </c>
    </row>
    <row r="1520" spans="2:9" ht="15" customHeight="1" x14ac:dyDescent="0.25">
      <c r="B1520" s="55" t="s">
        <v>279</v>
      </c>
      <c r="C1520" s="46">
        <v>1508</v>
      </c>
      <c r="D1520" s="69" t="s">
        <v>29416</v>
      </c>
      <c r="E1520" s="51"/>
      <c r="F1520" s="114" t="str">
        <f>IF(INDEX(I.Facility.P1IDNumber,1508)="","",INDEX(I.Facility.P1IDNumber,1508))</f>
        <v/>
      </c>
      <c r="G1520" s="51"/>
      <c r="H1520" s="46" t="str">
        <f>IF(AND(I.Developer.P1=TRUE,I.Facility.P1FacilityCount&gt;=1508,F1520=""),"Incomplete","Complete")</f>
        <v>Complete</v>
      </c>
      <c r="I1520" s="48" t="s">
        <v>5885</v>
      </c>
    </row>
    <row r="1521" spans="2:9" ht="15" customHeight="1" x14ac:dyDescent="0.25">
      <c r="B1521" s="55" t="s">
        <v>279</v>
      </c>
      <c r="C1521" s="46">
        <v>1509</v>
      </c>
      <c r="D1521" s="69" t="s">
        <v>29416</v>
      </c>
      <c r="E1521" s="51"/>
      <c r="F1521" s="114" t="str">
        <f>IF(INDEX(I.Facility.P1IDNumber,1509)="","",INDEX(I.Facility.P1IDNumber,1509))</f>
        <v/>
      </c>
      <c r="G1521" s="51"/>
      <c r="H1521" s="46" t="str">
        <f>IF(AND(I.Developer.P1=TRUE,I.Facility.P1FacilityCount&gt;=1509,F1521=""),"Incomplete","Complete")</f>
        <v>Complete</v>
      </c>
      <c r="I1521" s="48" t="s">
        <v>5886</v>
      </c>
    </row>
    <row r="1522" spans="2:9" ht="15" customHeight="1" x14ac:dyDescent="0.25">
      <c r="B1522" s="55" t="s">
        <v>279</v>
      </c>
      <c r="C1522" s="46">
        <v>1510</v>
      </c>
      <c r="D1522" s="69" t="s">
        <v>29416</v>
      </c>
      <c r="E1522" s="51"/>
      <c r="F1522" s="114" t="str">
        <f>IF(INDEX(I.Facility.P1IDNumber,1510)="","",INDEX(I.Facility.P1IDNumber,1510))</f>
        <v/>
      </c>
      <c r="G1522" s="51"/>
      <c r="H1522" s="46" t="str">
        <f>IF(AND(I.Developer.P1=TRUE,I.Facility.P1FacilityCount&gt;=1510,F1522=""),"Incomplete","Complete")</f>
        <v>Complete</v>
      </c>
      <c r="I1522" s="48" t="s">
        <v>5887</v>
      </c>
    </row>
    <row r="1523" spans="2:9" ht="15" customHeight="1" x14ac:dyDescent="0.25">
      <c r="B1523" s="55" t="s">
        <v>279</v>
      </c>
      <c r="C1523" s="46">
        <v>1511</v>
      </c>
      <c r="D1523" s="69" t="s">
        <v>29416</v>
      </c>
      <c r="E1523" s="51"/>
      <c r="F1523" s="114" t="str">
        <f>IF(INDEX(I.Facility.P1IDNumber,1511)="","",INDEX(I.Facility.P1IDNumber,1511))</f>
        <v/>
      </c>
      <c r="G1523" s="51"/>
      <c r="H1523" s="46" t="str">
        <f>IF(AND(I.Developer.P1=TRUE,I.Facility.P1FacilityCount&gt;=1511,F1523=""),"Incomplete","Complete")</f>
        <v>Complete</v>
      </c>
      <c r="I1523" s="48" t="s">
        <v>5888</v>
      </c>
    </row>
    <row r="1524" spans="2:9" ht="15" customHeight="1" x14ac:dyDescent="0.25">
      <c r="B1524" s="55" t="s">
        <v>279</v>
      </c>
      <c r="C1524" s="46">
        <v>1512</v>
      </c>
      <c r="D1524" s="69" t="s">
        <v>29416</v>
      </c>
      <c r="E1524" s="51"/>
      <c r="F1524" s="114" t="str">
        <f>IF(INDEX(I.Facility.P1IDNumber,1512)="","",INDEX(I.Facility.P1IDNumber,1512))</f>
        <v/>
      </c>
      <c r="G1524" s="51"/>
      <c r="H1524" s="46" t="str">
        <f>IF(AND(I.Developer.P1=TRUE,I.Facility.P1FacilityCount&gt;=1512,F1524=""),"Incomplete","Complete")</f>
        <v>Complete</v>
      </c>
      <c r="I1524" s="48" t="s">
        <v>5889</v>
      </c>
    </row>
    <row r="1525" spans="2:9" ht="15" customHeight="1" x14ac:dyDescent="0.25">
      <c r="B1525" s="55" t="s">
        <v>279</v>
      </c>
      <c r="C1525" s="46">
        <v>1513</v>
      </c>
      <c r="D1525" s="69" t="s">
        <v>29416</v>
      </c>
      <c r="E1525" s="51"/>
      <c r="F1525" s="114" t="str">
        <f>IF(INDEX(I.Facility.P1IDNumber,1513)="","",INDEX(I.Facility.P1IDNumber,1513))</f>
        <v/>
      </c>
      <c r="G1525" s="51"/>
      <c r="H1525" s="46" t="str">
        <f>IF(AND(I.Developer.P1=TRUE,I.Facility.P1FacilityCount&gt;=1513,F1525=""),"Incomplete","Complete")</f>
        <v>Complete</v>
      </c>
      <c r="I1525" s="48" t="s">
        <v>5890</v>
      </c>
    </row>
    <row r="1526" spans="2:9" ht="15" customHeight="1" x14ac:dyDescent="0.25">
      <c r="B1526" s="55" t="s">
        <v>279</v>
      </c>
      <c r="C1526" s="46">
        <v>1514</v>
      </c>
      <c r="D1526" s="69" t="s">
        <v>29416</v>
      </c>
      <c r="E1526" s="51"/>
      <c r="F1526" s="114" t="str">
        <f>IF(INDEX(I.Facility.P1IDNumber,1514)="","",INDEX(I.Facility.P1IDNumber,1514))</f>
        <v/>
      </c>
      <c r="G1526" s="51"/>
      <c r="H1526" s="46" t="str">
        <f>IF(AND(I.Developer.P1=TRUE,I.Facility.P1FacilityCount&gt;=1514,F1526=""),"Incomplete","Complete")</f>
        <v>Complete</v>
      </c>
      <c r="I1526" s="48" t="s">
        <v>5891</v>
      </c>
    </row>
    <row r="1527" spans="2:9" ht="15" customHeight="1" x14ac:dyDescent="0.25">
      <c r="B1527" s="55" t="s">
        <v>279</v>
      </c>
      <c r="C1527" s="46">
        <v>1515</v>
      </c>
      <c r="D1527" s="69" t="s">
        <v>29416</v>
      </c>
      <c r="E1527" s="51"/>
      <c r="F1527" s="114" t="str">
        <f>IF(INDEX(I.Facility.P1IDNumber,1515)="","",INDEX(I.Facility.P1IDNumber,1515))</f>
        <v/>
      </c>
      <c r="G1527" s="51"/>
      <c r="H1527" s="46" t="str">
        <f>IF(AND(I.Developer.P1=TRUE,I.Facility.P1FacilityCount&gt;=1515,F1527=""),"Incomplete","Complete")</f>
        <v>Complete</v>
      </c>
      <c r="I1527" s="48" t="s">
        <v>5892</v>
      </c>
    </row>
    <row r="1528" spans="2:9" ht="15" customHeight="1" x14ac:dyDescent="0.25">
      <c r="B1528" s="55" t="s">
        <v>279</v>
      </c>
      <c r="C1528" s="46">
        <v>1516</v>
      </c>
      <c r="D1528" s="69" t="s">
        <v>29416</v>
      </c>
      <c r="E1528" s="51"/>
      <c r="F1528" s="114" t="str">
        <f>IF(INDEX(I.Facility.P1IDNumber,1516)="","",INDEX(I.Facility.P1IDNumber,1516))</f>
        <v/>
      </c>
      <c r="G1528" s="51"/>
      <c r="H1528" s="46" t="str">
        <f>IF(AND(I.Developer.P1=TRUE,I.Facility.P1FacilityCount&gt;=1516,F1528=""),"Incomplete","Complete")</f>
        <v>Complete</v>
      </c>
      <c r="I1528" s="48" t="s">
        <v>5893</v>
      </c>
    </row>
    <row r="1529" spans="2:9" ht="15" customHeight="1" x14ac:dyDescent="0.25">
      <c r="B1529" s="55" t="s">
        <v>279</v>
      </c>
      <c r="C1529" s="46">
        <v>1517</v>
      </c>
      <c r="D1529" s="69" t="s">
        <v>29416</v>
      </c>
      <c r="E1529" s="51"/>
      <c r="F1529" s="114" t="str">
        <f>IF(INDEX(I.Facility.P1IDNumber,1517)="","",INDEX(I.Facility.P1IDNumber,1517))</f>
        <v/>
      </c>
      <c r="G1529" s="51"/>
      <c r="H1529" s="46" t="str">
        <f>IF(AND(I.Developer.P1=TRUE,I.Facility.P1FacilityCount&gt;=1517,F1529=""),"Incomplete","Complete")</f>
        <v>Complete</v>
      </c>
      <c r="I1529" s="48" t="s">
        <v>5894</v>
      </c>
    </row>
    <row r="1530" spans="2:9" ht="15" customHeight="1" x14ac:dyDescent="0.25">
      <c r="B1530" s="55" t="s">
        <v>279</v>
      </c>
      <c r="C1530" s="46">
        <v>1518</v>
      </c>
      <c r="D1530" s="69" t="s">
        <v>29416</v>
      </c>
      <c r="E1530" s="51"/>
      <c r="F1530" s="114" t="str">
        <f>IF(INDEX(I.Facility.P1IDNumber,1518)="","",INDEX(I.Facility.P1IDNumber,1518))</f>
        <v/>
      </c>
      <c r="G1530" s="51"/>
      <c r="H1530" s="46" t="str">
        <f>IF(AND(I.Developer.P1=TRUE,I.Facility.P1FacilityCount&gt;=1518,F1530=""),"Incomplete","Complete")</f>
        <v>Complete</v>
      </c>
      <c r="I1530" s="48" t="s">
        <v>5895</v>
      </c>
    </row>
    <row r="1531" spans="2:9" ht="15" customHeight="1" x14ac:dyDescent="0.25">
      <c r="B1531" s="55" t="s">
        <v>279</v>
      </c>
      <c r="C1531" s="46">
        <v>1519</v>
      </c>
      <c r="D1531" s="69" t="s">
        <v>29416</v>
      </c>
      <c r="E1531" s="51"/>
      <c r="F1531" s="114" t="str">
        <f>IF(INDEX(I.Facility.P1IDNumber,1519)="","",INDEX(I.Facility.P1IDNumber,1519))</f>
        <v/>
      </c>
      <c r="G1531" s="51"/>
      <c r="H1531" s="46" t="str">
        <f>IF(AND(I.Developer.P1=TRUE,I.Facility.P1FacilityCount&gt;=1519,F1531=""),"Incomplete","Complete")</f>
        <v>Complete</v>
      </c>
      <c r="I1531" s="48" t="s">
        <v>5896</v>
      </c>
    </row>
    <row r="1532" spans="2:9" ht="15" customHeight="1" x14ac:dyDescent="0.25">
      <c r="B1532" s="55" t="s">
        <v>279</v>
      </c>
      <c r="C1532" s="46">
        <v>1520</v>
      </c>
      <c r="D1532" s="69" t="s">
        <v>29416</v>
      </c>
      <c r="E1532" s="51"/>
      <c r="F1532" s="114" t="str">
        <f>IF(INDEX(I.Facility.P1IDNumber,1520)="","",INDEX(I.Facility.P1IDNumber,1520))</f>
        <v/>
      </c>
      <c r="G1532" s="51"/>
      <c r="H1532" s="46" t="str">
        <f>IF(AND(I.Developer.P1=TRUE,I.Facility.P1FacilityCount&gt;=1520,F1532=""),"Incomplete","Complete")</f>
        <v>Complete</v>
      </c>
      <c r="I1532" s="48" t="s">
        <v>5897</v>
      </c>
    </row>
    <row r="1533" spans="2:9" ht="15" customHeight="1" x14ac:dyDescent="0.25">
      <c r="B1533" s="55" t="s">
        <v>279</v>
      </c>
      <c r="C1533" s="46">
        <v>1521</v>
      </c>
      <c r="D1533" s="69" t="s">
        <v>29416</v>
      </c>
      <c r="E1533" s="51"/>
      <c r="F1533" s="114" t="str">
        <f>IF(INDEX(I.Facility.P1IDNumber,1521)="","",INDEX(I.Facility.P1IDNumber,1521))</f>
        <v/>
      </c>
      <c r="G1533" s="51"/>
      <c r="H1533" s="46" t="str">
        <f>IF(AND(I.Developer.P1=TRUE,I.Facility.P1FacilityCount&gt;=1521,F1533=""),"Incomplete","Complete")</f>
        <v>Complete</v>
      </c>
      <c r="I1533" s="48" t="s">
        <v>5898</v>
      </c>
    </row>
    <row r="1534" spans="2:9" ht="15" customHeight="1" x14ac:dyDescent="0.25">
      <c r="B1534" s="55" t="s">
        <v>279</v>
      </c>
      <c r="C1534" s="46">
        <v>1522</v>
      </c>
      <c r="D1534" s="69" t="s">
        <v>29416</v>
      </c>
      <c r="E1534" s="51"/>
      <c r="F1534" s="114" t="str">
        <f>IF(INDEX(I.Facility.P1IDNumber,1522)="","",INDEX(I.Facility.P1IDNumber,1522))</f>
        <v/>
      </c>
      <c r="G1534" s="51"/>
      <c r="H1534" s="46" t="str">
        <f>IF(AND(I.Developer.P1=TRUE,I.Facility.P1FacilityCount&gt;=1522,F1534=""),"Incomplete","Complete")</f>
        <v>Complete</v>
      </c>
      <c r="I1534" s="48" t="s">
        <v>5899</v>
      </c>
    </row>
    <row r="1535" spans="2:9" ht="15" customHeight="1" x14ac:dyDescent="0.25">
      <c r="B1535" s="55" t="s">
        <v>279</v>
      </c>
      <c r="C1535" s="46">
        <v>1523</v>
      </c>
      <c r="D1535" s="69" t="s">
        <v>29416</v>
      </c>
      <c r="E1535" s="51"/>
      <c r="F1535" s="114" t="str">
        <f>IF(INDEX(I.Facility.P1IDNumber,1523)="","",INDEX(I.Facility.P1IDNumber,1523))</f>
        <v/>
      </c>
      <c r="G1535" s="51"/>
      <c r="H1535" s="46" t="str">
        <f>IF(AND(I.Developer.P1=TRUE,I.Facility.P1FacilityCount&gt;=1523,F1535=""),"Incomplete","Complete")</f>
        <v>Complete</v>
      </c>
      <c r="I1535" s="48" t="s">
        <v>5900</v>
      </c>
    </row>
    <row r="1536" spans="2:9" ht="15" customHeight="1" x14ac:dyDescent="0.25">
      <c r="B1536" s="55" t="s">
        <v>279</v>
      </c>
      <c r="C1536" s="46">
        <v>1524</v>
      </c>
      <c r="D1536" s="69" t="s">
        <v>29416</v>
      </c>
      <c r="E1536" s="51"/>
      <c r="F1536" s="114" t="str">
        <f>IF(INDEX(I.Facility.P1IDNumber,1524)="","",INDEX(I.Facility.P1IDNumber,1524))</f>
        <v/>
      </c>
      <c r="G1536" s="51"/>
      <c r="H1536" s="46" t="str">
        <f>IF(AND(I.Developer.P1=TRUE,I.Facility.P1FacilityCount&gt;=1524,F1536=""),"Incomplete","Complete")</f>
        <v>Complete</v>
      </c>
      <c r="I1536" s="48" t="s">
        <v>5901</v>
      </c>
    </row>
    <row r="1537" spans="2:9" ht="15" customHeight="1" x14ac:dyDescent="0.25">
      <c r="B1537" s="55" t="s">
        <v>279</v>
      </c>
      <c r="C1537" s="46">
        <v>1525</v>
      </c>
      <c r="D1537" s="69" t="s">
        <v>29416</v>
      </c>
      <c r="E1537" s="51"/>
      <c r="F1537" s="114" t="str">
        <f>IF(INDEX(I.Facility.P1IDNumber,1525)="","",INDEX(I.Facility.P1IDNumber,1525))</f>
        <v/>
      </c>
      <c r="G1537" s="51"/>
      <c r="H1537" s="46" t="str">
        <f>IF(AND(I.Developer.P1=TRUE,I.Facility.P1FacilityCount&gt;=1525,F1537=""),"Incomplete","Complete")</f>
        <v>Complete</v>
      </c>
      <c r="I1537" s="48" t="s">
        <v>5902</v>
      </c>
    </row>
    <row r="1538" spans="2:9" ht="15" customHeight="1" x14ac:dyDescent="0.25">
      <c r="B1538" s="55" t="s">
        <v>279</v>
      </c>
      <c r="C1538" s="46">
        <v>1526</v>
      </c>
      <c r="D1538" s="69" t="s">
        <v>29416</v>
      </c>
      <c r="E1538" s="51"/>
      <c r="F1538" s="114" t="str">
        <f>IF(INDEX(I.Facility.P1IDNumber,1526)="","",INDEX(I.Facility.P1IDNumber,1526))</f>
        <v/>
      </c>
      <c r="G1538" s="51"/>
      <c r="H1538" s="46" t="str">
        <f>IF(AND(I.Developer.P1=TRUE,I.Facility.P1FacilityCount&gt;=1526,F1538=""),"Incomplete","Complete")</f>
        <v>Complete</v>
      </c>
      <c r="I1538" s="48" t="s">
        <v>5903</v>
      </c>
    </row>
    <row r="1539" spans="2:9" ht="15" customHeight="1" x14ac:dyDescent="0.25">
      <c r="B1539" s="55" t="s">
        <v>279</v>
      </c>
      <c r="C1539" s="46">
        <v>1527</v>
      </c>
      <c r="D1539" s="69" t="s">
        <v>29416</v>
      </c>
      <c r="E1539" s="51"/>
      <c r="F1539" s="114" t="str">
        <f>IF(INDEX(I.Facility.P1IDNumber,1527)="","",INDEX(I.Facility.P1IDNumber,1527))</f>
        <v/>
      </c>
      <c r="G1539" s="51"/>
      <c r="H1539" s="46" t="str">
        <f>IF(AND(I.Developer.P1=TRUE,I.Facility.P1FacilityCount&gt;=1527,F1539=""),"Incomplete","Complete")</f>
        <v>Complete</v>
      </c>
      <c r="I1539" s="48" t="s">
        <v>5904</v>
      </c>
    </row>
    <row r="1540" spans="2:9" ht="15" customHeight="1" x14ac:dyDescent="0.25">
      <c r="B1540" s="55" t="s">
        <v>279</v>
      </c>
      <c r="C1540" s="46">
        <v>1528</v>
      </c>
      <c r="D1540" s="69" t="s">
        <v>29416</v>
      </c>
      <c r="E1540" s="51"/>
      <c r="F1540" s="114" t="str">
        <f>IF(INDEX(I.Facility.P1IDNumber,1528)="","",INDEX(I.Facility.P1IDNumber,1528))</f>
        <v/>
      </c>
      <c r="G1540" s="51"/>
      <c r="H1540" s="46" t="str">
        <f>IF(AND(I.Developer.P1=TRUE,I.Facility.P1FacilityCount&gt;=1528,F1540=""),"Incomplete","Complete")</f>
        <v>Complete</v>
      </c>
      <c r="I1540" s="48" t="s">
        <v>5905</v>
      </c>
    </row>
    <row r="1541" spans="2:9" ht="15" customHeight="1" x14ac:dyDescent="0.25">
      <c r="B1541" s="55" t="s">
        <v>279</v>
      </c>
      <c r="C1541" s="46">
        <v>1529</v>
      </c>
      <c r="D1541" s="69" t="s">
        <v>29416</v>
      </c>
      <c r="E1541" s="51"/>
      <c r="F1541" s="114" t="str">
        <f>IF(INDEX(I.Facility.P1IDNumber,1529)="","",INDEX(I.Facility.P1IDNumber,1529))</f>
        <v/>
      </c>
      <c r="G1541" s="51"/>
      <c r="H1541" s="46" t="str">
        <f>IF(AND(I.Developer.P1=TRUE,I.Facility.P1FacilityCount&gt;=1529,F1541=""),"Incomplete","Complete")</f>
        <v>Complete</v>
      </c>
      <c r="I1541" s="48" t="s">
        <v>5906</v>
      </c>
    </row>
    <row r="1542" spans="2:9" ht="15" customHeight="1" x14ac:dyDescent="0.25">
      <c r="B1542" s="55" t="s">
        <v>279</v>
      </c>
      <c r="C1542" s="46">
        <v>1530</v>
      </c>
      <c r="D1542" s="69" t="s">
        <v>29416</v>
      </c>
      <c r="E1542" s="51"/>
      <c r="F1542" s="114" t="str">
        <f>IF(INDEX(I.Facility.P1IDNumber,1530)="","",INDEX(I.Facility.P1IDNumber,1530))</f>
        <v/>
      </c>
      <c r="G1542" s="51"/>
      <c r="H1542" s="46" t="str">
        <f>IF(AND(I.Developer.P1=TRUE,I.Facility.P1FacilityCount&gt;=1530,F1542=""),"Incomplete","Complete")</f>
        <v>Complete</v>
      </c>
      <c r="I1542" s="48" t="s">
        <v>5907</v>
      </c>
    </row>
    <row r="1543" spans="2:9" ht="15" customHeight="1" x14ac:dyDescent="0.25">
      <c r="B1543" s="55" t="s">
        <v>279</v>
      </c>
      <c r="C1543" s="46">
        <v>1531</v>
      </c>
      <c r="D1543" s="69" t="s">
        <v>29416</v>
      </c>
      <c r="E1543" s="51"/>
      <c r="F1543" s="114" t="str">
        <f>IF(INDEX(I.Facility.P1IDNumber,1531)="","",INDEX(I.Facility.P1IDNumber,1531))</f>
        <v/>
      </c>
      <c r="G1543" s="51"/>
      <c r="H1543" s="46" t="str">
        <f>IF(AND(I.Developer.P1=TRUE,I.Facility.P1FacilityCount&gt;=1531,F1543=""),"Incomplete","Complete")</f>
        <v>Complete</v>
      </c>
      <c r="I1543" s="48" t="s">
        <v>5908</v>
      </c>
    </row>
    <row r="1544" spans="2:9" ht="15" customHeight="1" x14ac:dyDescent="0.25">
      <c r="B1544" s="55" t="s">
        <v>279</v>
      </c>
      <c r="C1544" s="46">
        <v>1532</v>
      </c>
      <c r="D1544" s="69" t="s">
        <v>29416</v>
      </c>
      <c r="E1544" s="51"/>
      <c r="F1544" s="114" t="str">
        <f>IF(INDEX(I.Facility.P1IDNumber,1532)="","",INDEX(I.Facility.P1IDNumber,1532))</f>
        <v/>
      </c>
      <c r="G1544" s="51"/>
      <c r="H1544" s="46" t="str">
        <f>IF(AND(I.Developer.P1=TRUE,I.Facility.P1FacilityCount&gt;=1532,F1544=""),"Incomplete","Complete")</f>
        <v>Complete</v>
      </c>
      <c r="I1544" s="48" t="s">
        <v>5909</v>
      </c>
    </row>
    <row r="1545" spans="2:9" ht="15" customHeight="1" x14ac:dyDescent="0.25">
      <c r="B1545" s="55" t="s">
        <v>279</v>
      </c>
      <c r="C1545" s="46">
        <v>1533</v>
      </c>
      <c r="D1545" s="69" t="s">
        <v>29416</v>
      </c>
      <c r="E1545" s="51"/>
      <c r="F1545" s="114" t="str">
        <f>IF(INDEX(I.Facility.P1IDNumber,1533)="","",INDEX(I.Facility.P1IDNumber,1533))</f>
        <v/>
      </c>
      <c r="G1545" s="51"/>
      <c r="H1545" s="46" t="str">
        <f>IF(AND(I.Developer.P1=TRUE,I.Facility.P1FacilityCount&gt;=1533,F1545=""),"Incomplete","Complete")</f>
        <v>Complete</v>
      </c>
      <c r="I1545" s="48" t="s">
        <v>5910</v>
      </c>
    </row>
    <row r="1546" spans="2:9" ht="15" customHeight="1" x14ac:dyDescent="0.25">
      <c r="B1546" s="55" t="s">
        <v>279</v>
      </c>
      <c r="C1546" s="46">
        <v>1534</v>
      </c>
      <c r="D1546" s="69" t="s">
        <v>29416</v>
      </c>
      <c r="E1546" s="51"/>
      <c r="F1546" s="114" t="str">
        <f>IF(INDEX(I.Facility.P1IDNumber,1534)="","",INDEX(I.Facility.P1IDNumber,1534))</f>
        <v/>
      </c>
      <c r="G1546" s="51"/>
      <c r="H1546" s="46" t="str">
        <f>IF(AND(I.Developer.P1=TRUE,I.Facility.P1FacilityCount&gt;=1534,F1546=""),"Incomplete","Complete")</f>
        <v>Complete</v>
      </c>
      <c r="I1546" s="48" t="s">
        <v>5911</v>
      </c>
    </row>
    <row r="1547" spans="2:9" ht="15" customHeight="1" x14ac:dyDescent="0.25">
      <c r="B1547" s="55" t="s">
        <v>279</v>
      </c>
      <c r="C1547" s="46">
        <v>1535</v>
      </c>
      <c r="D1547" s="69" t="s">
        <v>29416</v>
      </c>
      <c r="E1547" s="51"/>
      <c r="F1547" s="114" t="str">
        <f>IF(INDEX(I.Facility.P1IDNumber,1535)="","",INDEX(I.Facility.P1IDNumber,1535))</f>
        <v/>
      </c>
      <c r="G1547" s="51"/>
      <c r="H1547" s="46" t="str">
        <f>IF(AND(I.Developer.P1=TRUE,I.Facility.P1FacilityCount&gt;=1535,F1547=""),"Incomplete","Complete")</f>
        <v>Complete</v>
      </c>
      <c r="I1547" s="48" t="s">
        <v>5912</v>
      </c>
    </row>
    <row r="1548" spans="2:9" ht="15" customHeight="1" x14ac:dyDescent="0.25">
      <c r="B1548" s="55" t="s">
        <v>279</v>
      </c>
      <c r="C1548" s="46">
        <v>1536</v>
      </c>
      <c r="D1548" s="69" t="s">
        <v>29416</v>
      </c>
      <c r="E1548" s="51"/>
      <c r="F1548" s="114" t="str">
        <f>IF(INDEX(I.Facility.P1IDNumber,1536)="","",INDEX(I.Facility.P1IDNumber,1536))</f>
        <v/>
      </c>
      <c r="G1548" s="51"/>
      <c r="H1548" s="46" t="str">
        <f>IF(AND(I.Developer.P1=TRUE,I.Facility.P1FacilityCount&gt;=1536,F1548=""),"Incomplete","Complete")</f>
        <v>Complete</v>
      </c>
      <c r="I1548" s="48" t="s">
        <v>5913</v>
      </c>
    </row>
    <row r="1549" spans="2:9" ht="15" customHeight="1" x14ac:dyDescent="0.25">
      <c r="B1549" s="55" t="s">
        <v>279</v>
      </c>
      <c r="C1549" s="46">
        <v>1537</v>
      </c>
      <c r="D1549" s="69" t="s">
        <v>29416</v>
      </c>
      <c r="E1549" s="51"/>
      <c r="F1549" s="114" t="str">
        <f>IF(INDEX(I.Facility.P1IDNumber,1537)="","",INDEX(I.Facility.P1IDNumber,1537))</f>
        <v/>
      </c>
      <c r="G1549" s="51"/>
      <c r="H1549" s="46" t="str">
        <f>IF(AND(I.Developer.P1=TRUE,I.Facility.P1FacilityCount&gt;=1537,F1549=""),"Incomplete","Complete")</f>
        <v>Complete</v>
      </c>
      <c r="I1549" s="48" t="s">
        <v>5914</v>
      </c>
    </row>
    <row r="1550" spans="2:9" ht="15" customHeight="1" x14ac:dyDescent="0.25">
      <c r="B1550" s="55" t="s">
        <v>279</v>
      </c>
      <c r="C1550" s="46">
        <v>1538</v>
      </c>
      <c r="D1550" s="69" t="s">
        <v>29416</v>
      </c>
      <c r="E1550" s="51"/>
      <c r="F1550" s="114" t="str">
        <f>IF(INDEX(I.Facility.P1IDNumber,1538)="","",INDEX(I.Facility.P1IDNumber,1538))</f>
        <v/>
      </c>
      <c r="G1550" s="51"/>
      <c r="H1550" s="46" t="str">
        <f>IF(AND(I.Developer.P1=TRUE,I.Facility.P1FacilityCount&gt;=1538,F1550=""),"Incomplete","Complete")</f>
        <v>Complete</v>
      </c>
      <c r="I1550" s="48" t="s">
        <v>5915</v>
      </c>
    </row>
    <row r="1551" spans="2:9" ht="15" customHeight="1" x14ac:dyDescent="0.25">
      <c r="B1551" s="55" t="s">
        <v>279</v>
      </c>
      <c r="C1551" s="46">
        <v>1539</v>
      </c>
      <c r="D1551" s="69" t="s">
        <v>29416</v>
      </c>
      <c r="E1551" s="51"/>
      <c r="F1551" s="114" t="str">
        <f>IF(INDEX(I.Facility.P1IDNumber,1539)="","",INDEX(I.Facility.P1IDNumber,1539))</f>
        <v/>
      </c>
      <c r="G1551" s="51"/>
      <c r="H1551" s="46" t="str">
        <f>IF(AND(I.Developer.P1=TRUE,I.Facility.P1FacilityCount&gt;=1539,F1551=""),"Incomplete","Complete")</f>
        <v>Complete</v>
      </c>
      <c r="I1551" s="48" t="s">
        <v>5916</v>
      </c>
    </row>
    <row r="1552" spans="2:9" ht="15" customHeight="1" x14ac:dyDescent="0.25">
      <c r="B1552" s="55" t="s">
        <v>279</v>
      </c>
      <c r="C1552" s="46">
        <v>1540</v>
      </c>
      <c r="D1552" s="69" t="s">
        <v>29416</v>
      </c>
      <c r="E1552" s="51"/>
      <c r="F1552" s="114" t="str">
        <f>IF(INDEX(I.Facility.P1IDNumber,1540)="","",INDEX(I.Facility.P1IDNumber,1540))</f>
        <v/>
      </c>
      <c r="G1552" s="51"/>
      <c r="H1552" s="46" t="str">
        <f>IF(AND(I.Developer.P1=TRUE,I.Facility.P1FacilityCount&gt;=1540,F1552=""),"Incomplete","Complete")</f>
        <v>Complete</v>
      </c>
      <c r="I1552" s="48" t="s">
        <v>5917</v>
      </c>
    </row>
    <row r="1553" spans="2:9" ht="15" customHeight="1" x14ac:dyDescent="0.25">
      <c r="B1553" s="55" t="s">
        <v>279</v>
      </c>
      <c r="C1553" s="46">
        <v>1541</v>
      </c>
      <c r="D1553" s="69" t="s">
        <v>29416</v>
      </c>
      <c r="E1553" s="51"/>
      <c r="F1553" s="114" t="str">
        <f>IF(INDEX(I.Facility.P1IDNumber,1541)="","",INDEX(I.Facility.P1IDNumber,1541))</f>
        <v/>
      </c>
      <c r="G1553" s="51"/>
      <c r="H1553" s="46" t="str">
        <f>IF(AND(I.Developer.P1=TRUE,I.Facility.P1FacilityCount&gt;=1541,F1553=""),"Incomplete","Complete")</f>
        <v>Complete</v>
      </c>
      <c r="I1553" s="48" t="s">
        <v>5918</v>
      </c>
    </row>
    <row r="1554" spans="2:9" ht="15" customHeight="1" x14ac:dyDescent="0.25">
      <c r="B1554" s="55" t="s">
        <v>279</v>
      </c>
      <c r="C1554" s="46">
        <v>1542</v>
      </c>
      <c r="D1554" s="69" t="s">
        <v>29416</v>
      </c>
      <c r="E1554" s="51"/>
      <c r="F1554" s="114" t="str">
        <f>IF(INDEX(I.Facility.P1IDNumber,1542)="","",INDEX(I.Facility.P1IDNumber,1542))</f>
        <v/>
      </c>
      <c r="G1554" s="51"/>
      <c r="H1554" s="46" t="str">
        <f>IF(AND(I.Developer.P1=TRUE,I.Facility.P1FacilityCount&gt;=1542,F1554=""),"Incomplete","Complete")</f>
        <v>Complete</v>
      </c>
      <c r="I1554" s="48" t="s">
        <v>5919</v>
      </c>
    </row>
    <row r="1555" spans="2:9" ht="15" customHeight="1" x14ac:dyDescent="0.25">
      <c r="B1555" s="55" t="s">
        <v>279</v>
      </c>
      <c r="C1555" s="46">
        <v>1543</v>
      </c>
      <c r="D1555" s="69" t="s">
        <v>29416</v>
      </c>
      <c r="E1555" s="51"/>
      <c r="F1555" s="114" t="str">
        <f>IF(INDEX(I.Facility.P1IDNumber,1543)="","",INDEX(I.Facility.P1IDNumber,1543))</f>
        <v/>
      </c>
      <c r="G1555" s="51"/>
      <c r="H1555" s="46" t="str">
        <f>IF(AND(I.Developer.P1=TRUE,I.Facility.P1FacilityCount&gt;=1543,F1555=""),"Incomplete","Complete")</f>
        <v>Complete</v>
      </c>
      <c r="I1555" s="48" t="s">
        <v>5920</v>
      </c>
    </row>
    <row r="1556" spans="2:9" ht="15" customHeight="1" x14ac:dyDescent="0.25">
      <c r="B1556" s="55" t="s">
        <v>279</v>
      </c>
      <c r="C1556" s="46">
        <v>1544</v>
      </c>
      <c r="D1556" s="69" t="s">
        <v>29416</v>
      </c>
      <c r="E1556" s="51"/>
      <c r="F1556" s="114" t="str">
        <f>IF(INDEX(I.Facility.P1IDNumber,1544)="","",INDEX(I.Facility.P1IDNumber,1544))</f>
        <v/>
      </c>
      <c r="G1556" s="51"/>
      <c r="H1556" s="46" t="str">
        <f>IF(AND(I.Developer.P1=TRUE,I.Facility.P1FacilityCount&gt;=1544,F1556=""),"Incomplete","Complete")</f>
        <v>Complete</v>
      </c>
      <c r="I1556" s="48" t="s">
        <v>5921</v>
      </c>
    </row>
    <row r="1557" spans="2:9" ht="15" customHeight="1" x14ac:dyDescent="0.25">
      <c r="B1557" s="55" t="s">
        <v>279</v>
      </c>
      <c r="C1557" s="46">
        <v>1545</v>
      </c>
      <c r="D1557" s="69" t="s">
        <v>29416</v>
      </c>
      <c r="E1557" s="51"/>
      <c r="F1557" s="114" t="str">
        <f>IF(INDEX(I.Facility.P1IDNumber,1545)="","",INDEX(I.Facility.P1IDNumber,1545))</f>
        <v/>
      </c>
      <c r="G1557" s="51"/>
      <c r="H1557" s="46" t="str">
        <f>IF(AND(I.Developer.P1=TRUE,I.Facility.P1FacilityCount&gt;=1545,F1557=""),"Incomplete","Complete")</f>
        <v>Complete</v>
      </c>
      <c r="I1557" s="48" t="s">
        <v>5922</v>
      </c>
    </row>
    <row r="1558" spans="2:9" ht="15" customHeight="1" x14ac:dyDescent="0.25">
      <c r="B1558" s="55" t="s">
        <v>279</v>
      </c>
      <c r="C1558" s="46">
        <v>1546</v>
      </c>
      <c r="D1558" s="69" t="s">
        <v>29416</v>
      </c>
      <c r="E1558" s="51"/>
      <c r="F1558" s="114" t="str">
        <f>IF(INDEX(I.Facility.P1IDNumber,1546)="","",INDEX(I.Facility.P1IDNumber,1546))</f>
        <v/>
      </c>
      <c r="G1558" s="51"/>
      <c r="H1558" s="46" t="str">
        <f>IF(AND(I.Developer.P1=TRUE,I.Facility.P1FacilityCount&gt;=1546,F1558=""),"Incomplete","Complete")</f>
        <v>Complete</v>
      </c>
      <c r="I1558" s="48" t="s">
        <v>5923</v>
      </c>
    </row>
    <row r="1559" spans="2:9" ht="15" customHeight="1" x14ac:dyDescent="0.25">
      <c r="B1559" s="55" t="s">
        <v>279</v>
      </c>
      <c r="C1559" s="46">
        <v>1547</v>
      </c>
      <c r="D1559" s="69" t="s">
        <v>29416</v>
      </c>
      <c r="E1559" s="51"/>
      <c r="F1559" s="114" t="str">
        <f>IF(INDEX(I.Facility.P1IDNumber,1547)="","",INDEX(I.Facility.P1IDNumber,1547))</f>
        <v/>
      </c>
      <c r="G1559" s="51"/>
      <c r="H1559" s="46" t="str">
        <f>IF(AND(I.Developer.P1=TRUE,I.Facility.P1FacilityCount&gt;=1547,F1559=""),"Incomplete","Complete")</f>
        <v>Complete</v>
      </c>
      <c r="I1559" s="48" t="s">
        <v>5924</v>
      </c>
    </row>
    <row r="1560" spans="2:9" ht="15" customHeight="1" x14ac:dyDescent="0.25">
      <c r="B1560" s="55" t="s">
        <v>279</v>
      </c>
      <c r="C1560" s="46">
        <v>1548</v>
      </c>
      <c r="D1560" s="69" t="s">
        <v>29416</v>
      </c>
      <c r="E1560" s="51"/>
      <c r="F1560" s="114" t="str">
        <f>IF(INDEX(I.Facility.P1IDNumber,1548)="","",INDEX(I.Facility.P1IDNumber,1548))</f>
        <v/>
      </c>
      <c r="G1560" s="51"/>
      <c r="H1560" s="46" t="str">
        <f>IF(AND(I.Developer.P1=TRUE,I.Facility.P1FacilityCount&gt;=1548,F1560=""),"Incomplete","Complete")</f>
        <v>Complete</v>
      </c>
      <c r="I1560" s="48" t="s">
        <v>5925</v>
      </c>
    </row>
    <row r="1561" spans="2:9" ht="15" customHeight="1" x14ac:dyDescent="0.25">
      <c r="B1561" s="55" t="s">
        <v>279</v>
      </c>
      <c r="C1561" s="46">
        <v>1549</v>
      </c>
      <c r="D1561" s="69" t="s">
        <v>29416</v>
      </c>
      <c r="E1561" s="51"/>
      <c r="F1561" s="114" t="str">
        <f>IF(INDEX(I.Facility.P1IDNumber,1549)="","",INDEX(I.Facility.P1IDNumber,1549))</f>
        <v/>
      </c>
      <c r="G1561" s="51"/>
      <c r="H1561" s="46" t="str">
        <f>IF(AND(I.Developer.P1=TRUE,I.Facility.P1FacilityCount&gt;=1549,F1561=""),"Incomplete","Complete")</f>
        <v>Complete</v>
      </c>
      <c r="I1561" s="48" t="s">
        <v>5926</v>
      </c>
    </row>
    <row r="1562" spans="2:9" ht="15" customHeight="1" x14ac:dyDescent="0.25">
      <c r="B1562" s="55" t="s">
        <v>279</v>
      </c>
      <c r="C1562" s="46">
        <v>1550</v>
      </c>
      <c r="D1562" s="69" t="s">
        <v>29416</v>
      </c>
      <c r="E1562" s="51"/>
      <c r="F1562" s="114" t="str">
        <f>IF(INDEX(I.Facility.P1IDNumber,1550)="","",INDEX(I.Facility.P1IDNumber,1550))</f>
        <v/>
      </c>
      <c r="G1562" s="51"/>
      <c r="H1562" s="46" t="str">
        <f>IF(AND(I.Developer.P1=TRUE,I.Facility.P1FacilityCount&gt;=1550,F1562=""),"Incomplete","Complete")</f>
        <v>Complete</v>
      </c>
      <c r="I1562" s="48" t="s">
        <v>5927</v>
      </c>
    </row>
    <row r="1563" spans="2:9" ht="15" customHeight="1" x14ac:dyDescent="0.25">
      <c r="B1563" s="55" t="s">
        <v>279</v>
      </c>
      <c r="C1563" s="46">
        <v>1551</v>
      </c>
      <c r="D1563" s="69" t="s">
        <v>29416</v>
      </c>
      <c r="E1563" s="51"/>
      <c r="F1563" s="114" t="str">
        <f>IF(INDEX(I.Facility.P1IDNumber,1551)="","",INDEX(I.Facility.P1IDNumber,1551))</f>
        <v/>
      </c>
      <c r="G1563" s="51"/>
      <c r="H1563" s="46" t="str">
        <f>IF(AND(I.Developer.P1=TRUE,I.Facility.P1FacilityCount&gt;=1551,F1563=""),"Incomplete","Complete")</f>
        <v>Complete</v>
      </c>
      <c r="I1563" s="48" t="s">
        <v>5928</v>
      </c>
    </row>
    <row r="1564" spans="2:9" ht="15" customHeight="1" x14ac:dyDescent="0.25">
      <c r="B1564" s="55" t="s">
        <v>279</v>
      </c>
      <c r="C1564" s="46">
        <v>1552</v>
      </c>
      <c r="D1564" s="69" t="s">
        <v>29416</v>
      </c>
      <c r="E1564" s="51"/>
      <c r="F1564" s="114" t="str">
        <f>IF(INDEX(I.Facility.P1IDNumber,1552)="","",INDEX(I.Facility.P1IDNumber,1552))</f>
        <v/>
      </c>
      <c r="G1564" s="51"/>
      <c r="H1564" s="46" t="str">
        <f>IF(AND(I.Developer.P1=TRUE,I.Facility.P1FacilityCount&gt;=1552,F1564=""),"Incomplete","Complete")</f>
        <v>Complete</v>
      </c>
      <c r="I1564" s="48" t="s">
        <v>5929</v>
      </c>
    </row>
    <row r="1565" spans="2:9" ht="15" customHeight="1" x14ac:dyDescent="0.25">
      <c r="B1565" s="55" t="s">
        <v>279</v>
      </c>
      <c r="C1565" s="46">
        <v>1553</v>
      </c>
      <c r="D1565" s="69" t="s">
        <v>29416</v>
      </c>
      <c r="E1565" s="51"/>
      <c r="F1565" s="114" t="str">
        <f>IF(INDEX(I.Facility.P1IDNumber,1553)="","",INDEX(I.Facility.P1IDNumber,1553))</f>
        <v/>
      </c>
      <c r="G1565" s="51"/>
      <c r="H1565" s="46" t="str">
        <f>IF(AND(I.Developer.P1=TRUE,I.Facility.P1FacilityCount&gt;=1553,F1565=""),"Incomplete","Complete")</f>
        <v>Complete</v>
      </c>
      <c r="I1565" s="48" t="s">
        <v>5930</v>
      </c>
    </row>
    <row r="1566" spans="2:9" ht="15" customHeight="1" x14ac:dyDescent="0.25">
      <c r="B1566" s="55" t="s">
        <v>279</v>
      </c>
      <c r="C1566" s="46">
        <v>1554</v>
      </c>
      <c r="D1566" s="69" t="s">
        <v>29416</v>
      </c>
      <c r="E1566" s="51"/>
      <c r="F1566" s="114" t="str">
        <f>IF(INDEX(I.Facility.P1IDNumber,1554)="","",INDEX(I.Facility.P1IDNumber,1554))</f>
        <v/>
      </c>
      <c r="G1566" s="51"/>
      <c r="H1566" s="46" t="str">
        <f>IF(AND(I.Developer.P1=TRUE,I.Facility.P1FacilityCount&gt;=1554,F1566=""),"Incomplete","Complete")</f>
        <v>Complete</v>
      </c>
      <c r="I1566" s="48" t="s">
        <v>5931</v>
      </c>
    </row>
    <row r="1567" spans="2:9" ht="15" customHeight="1" x14ac:dyDescent="0.25">
      <c r="B1567" s="55" t="s">
        <v>279</v>
      </c>
      <c r="C1567" s="46">
        <v>1555</v>
      </c>
      <c r="D1567" s="69" t="s">
        <v>29416</v>
      </c>
      <c r="E1567" s="51"/>
      <c r="F1567" s="114" t="str">
        <f>IF(INDEX(I.Facility.P1IDNumber,1555)="","",INDEX(I.Facility.P1IDNumber,1555))</f>
        <v/>
      </c>
      <c r="G1567" s="51"/>
      <c r="H1567" s="46" t="str">
        <f>IF(AND(I.Developer.P1=TRUE,I.Facility.P1FacilityCount&gt;=1555,F1567=""),"Incomplete","Complete")</f>
        <v>Complete</v>
      </c>
      <c r="I1567" s="48" t="s">
        <v>5932</v>
      </c>
    </row>
    <row r="1568" spans="2:9" ht="15" customHeight="1" x14ac:dyDescent="0.25">
      <c r="B1568" s="55" t="s">
        <v>279</v>
      </c>
      <c r="C1568" s="46">
        <v>1556</v>
      </c>
      <c r="D1568" s="69" t="s">
        <v>29416</v>
      </c>
      <c r="E1568" s="51"/>
      <c r="F1568" s="114" t="str">
        <f>IF(INDEX(I.Facility.P1IDNumber,1556)="","",INDEX(I.Facility.P1IDNumber,1556))</f>
        <v/>
      </c>
      <c r="G1568" s="51"/>
      <c r="H1568" s="46" t="str">
        <f>IF(AND(I.Developer.P1=TRUE,I.Facility.P1FacilityCount&gt;=1556,F1568=""),"Incomplete","Complete")</f>
        <v>Complete</v>
      </c>
      <c r="I1568" s="48" t="s">
        <v>5933</v>
      </c>
    </row>
    <row r="1569" spans="2:9" ht="15" customHeight="1" x14ac:dyDescent="0.25">
      <c r="B1569" s="55" t="s">
        <v>279</v>
      </c>
      <c r="C1569" s="46">
        <v>1557</v>
      </c>
      <c r="D1569" s="69" t="s">
        <v>29416</v>
      </c>
      <c r="E1569" s="51"/>
      <c r="F1569" s="114" t="str">
        <f>IF(INDEX(I.Facility.P1IDNumber,1557)="","",INDEX(I.Facility.P1IDNumber,1557))</f>
        <v/>
      </c>
      <c r="G1569" s="51"/>
      <c r="H1569" s="46" t="str">
        <f>IF(AND(I.Developer.P1=TRUE,I.Facility.P1FacilityCount&gt;=1557,F1569=""),"Incomplete","Complete")</f>
        <v>Complete</v>
      </c>
      <c r="I1569" s="48" t="s">
        <v>5934</v>
      </c>
    </row>
    <row r="1570" spans="2:9" ht="15" customHeight="1" x14ac:dyDescent="0.25">
      <c r="B1570" s="55" t="s">
        <v>279</v>
      </c>
      <c r="C1570" s="46">
        <v>1558</v>
      </c>
      <c r="D1570" s="69" t="s">
        <v>29416</v>
      </c>
      <c r="E1570" s="51"/>
      <c r="F1570" s="114" t="str">
        <f>IF(INDEX(I.Facility.P1IDNumber,1558)="","",INDEX(I.Facility.P1IDNumber,1558))</f>
        <v/>
      </c>
      <c r="G1570" s="51"/>
      <c r="H1570" s="46" t="str">
        <f>IF(AND(I.Developer.P1=TRUE,I.Facility.P1FacilityCount&gt;=1558,F1570=""),"Incomplete","Complete")</f>
        <v>Complete</v>
      </c>
      <c r="I1570" s="48" t="s">
        <v>5935</v>
      </c>
    </row>
    <row r="1571" spans="2:9" ht="15" customHeight="1" x14ac:dyDescent="0.25">
      <c r="B1571" s="55" t="s">
        <v>279</v>
      </c>
      <c r="C1571" s="46">
        <v>1559</v>
      </c>
      <c r="D1571" s="69" t="s">
        <v>29416</v>
      </c>
      <c r="E1571" s="51"/>
      <c r="F1571" s="114" t="str">
        <f>IF(INDEX(I.Facility.P1IDNumber,1559)="","",INDEX(I.Facility.P1IDNumber,1559))</f>
        <v/>
      </c>
      <c r="G1571" s="51"/>
      <c r="H1571" s="46" t="str">
        <f>IF(AND(I.Developer.P1=TRUE,I.Facility.P1FacilityCount&gt;=1559,F1571=""),"Incomplete","Complete")</f>
        <v>Complete</v>
      </c>
      <c r="I1571" s="48" t="s">
        <v>5936</v>
      </c>
    </row>
    <row r="1572" spans="2:9" ht="15" customHeight="1" x14ac:dyDescent="0.25">
      <c r="B1572" s="55" t="s">
        <v>279</v>
      </c>
      <c r="C1572" s="46">
        <v>1560</v>
      </c>
      <c r="D1572" s="69" t="s">
        <v>29416</v>
      </c>
      <c r="E1572" s="51"/>
      <c r="F1572" s="114" t="str">
        <f>IF(INDEX(I.Facility.P1IDNumber,1560)="","",INDEX(I.Facility.P1IDNumber,1560))</f>
        <v/>
      </c>
      <c r="G1572" s="51"/>
      <c r="H1572" s="46" t="str">
        <f>IF(AND(I.Developer.P1=TRUE,I.Facility.P1FacilityCount&gt;=1560,F1572=""),"Incomplete","Complete")</f>
        <v>Complete</v>
      </c>
      <c r="I1572" s="48" t="s">
        <v>5937</v>
      </c>
    </row>
    <row r="1573" spans="2:9" ht="15" customHeight="1" x14ac:dyDescent="0.25">
      <c r="B1573" s="55" t="s">
        <v>279</v>
      </c>
      <c r="C1573" s="46">
        <v>1561</v>
      </c>
      <c r="D1573" s="69" t="s">
        <v>29416</v>
      </c>
      <c r="E1573" s="51"/>
      <c r="F1573" s="114" t="str">
        <f>IF(INDEX(I.Facility.P1IDNumber,1561)="","",INDEX(I.Facility.P1IDNumber,1561))</f>
        <v/>
      </c>
      <c r="G1573" s="51"/>
      <c r="H1573" s="46" t="str">
        <f>IF(AND(I.Developer.P1=TRUE,I.Facility.P1FacilityCount&gt;=1561,F1573=""),"Incomplete","Complete")</f>
        <v>Complete</v>
      </c>
      <c r="I1573" s="48" t="s">
        <v>5938</v>
      </c>
    </row>
    <row r="1574" spans="2:9" ht="15" customHeight="1" x14ac:dyDescent="0.25">
      <c r="B1574" s="55" t="s">
        <v>279</v>
      </c>
      <c r="C1574" s="46">
        <v>1562</v>
      </c>
      <c r="D1574" s="69" t="s">
        <v>29416</v>
      </c>
      <c r="E1574" s="51"/>
      <c r="F1574" s="114" t="str">
        <f>IF(INDEX(I.Facility.P1IDNumber,1562)="","",INDEX(I.Facility.P1IDNumber,1562))</f>
        <v/>
      </c>
      <c r="G1574" s="51"/>
      <c r="H1574" s="46" t="str">
        <f>IF(AND(I.Developer.P1=TRUE,I.Facility.P1FacilityCount&gt;=1562,F1574=""),"Incomplete","Complete")</f>
        <v>Complete</v>
      </c>
      <c r="I1574" s="48" t="s">
        <v>5939</v>
      </c>
    </row>
    <row r="1575" spans="2:9" ht="15" customHeight="1" x14ac:dyDescent="0.25">
      <c r="B1575" s="55" t="s">
        <v>279</v>
      </c>
      <c r="C1575" s="46">
        <v>1563</v>
      </c>
      <c r="D1575" s="69" t="s">
        <v>29416</v>
      </c>
      <c r="E1575" s="51"/>
      <c r="F1575" s="114" t="str">
        <f>IF(INDEX(I.Facility.P1IDNumber,1563)="","",INDEX(I.Facility.P1IDNumber,1563))</f>
        <v/>
      </c>
      <c r="G1575" s="51"/>
      <c r="H1575" s="46" t="str">
        <f>IF(AND(I.Developer.P1=TRUE,I.Facility.P1FacilityCount&gt;=1563,F1575=""),"Incomplete","Complete")</f>
        <v>Complete</v>
      </c>
      <c r="I1575" s="48" t="s">
        <v>5940</v>
      </c>
    </row>
    <row r="1576" spans="2:9" ht="15" customHeight="1" x14ac:dyDescent="0.25">
      <c r="B1576" s="55" t="s">
        <v>279</v>
      </c>
      <c r="C1576" s="46">
        <v>1564</v>
      </c>
      <c r="D1576" s="69" t="s">
        <v>29416</v>
      </c>
      <c r="E1576" s="51"/>
      <c r="F1576" s="114" t="str">
        <f>IF(INDEX(I.Facility.P1IDNumber,1564)="","",INDEX(I.Facility.P1IDNumber,1564))</f>
        <v/>
      </c>
      <c r="G1576" s="51"/>
      <c r="H1576" s="46" t="str">
        <f>IF(AND(I.Developer.P1=TRUE,I.Facility.P1FacilityCount&gt;=1564,F1576=""),"Incomplete","Complete")</f>
        <v>Complete</v>
      </c>
      <c r="I1576" s="48" t="s">
        <v>5941</v>
      </c>
    </row>
    <row r="1577" spans="2:9" ht="15" customHeight="1" x14ac:dyDescent="0.25">
      <c r="B1577" s="55" t="s">
        <v>279</v>
      </c>
      <c r="C1577" s="46">
        <v>1565</v>
      </c>
      <c r="D1577" s="69" t="s">
        <v>29416</v>
      </c>
      <c r="E1577" s="51"/>
      <c r="F1577" s="114" t="str">
        <f>IF(INDEX(I.Facility.P1IDNumber,1565)="","",INDEX(I.Facility.P1IDNumber,1565))</f>
        <v/>
      </c>
      <c r="G1577" s="51"/>
      <c r="H1577" s="46" t="str">
        <f>IF(AND(I.Developer.P1=TRUE,I.Facility.P1FacilityCount&gt;=1565,F1577=""),"Incomplete","Complete")</f>
        <v>Complete</v>
      </c>
      <c r="I1577" s="48" t="s">
        <v>5942</v>
      </c>
    </row>
    <row r="1578" spans="2:9" ht="15" customHeight="1" x14ac:dyDescent="0.25">
      <c r="B1578" s="55" t="s">
        <v>279</v>
      </c>
      <c r="C1578" s="46">
        <v>1566</v>
      </c>
      <c r="D1578" s="69" t="s">
        <v>29416</v>
      </c>
      <c r="E1578" s="51"/>
      <c r="F1578" s="114" t="str">
        <f>IF(INDEX(I.Facility.P1IDNumber,1566)="","",INDEX(I.Facility.P1IDNumber,1566))</f>
        <v/>
      </c>
      <c r="G1578" s="51"/>
      <c r="H1578" s="46" t="str">
        <f>IF(AND(I.Developer.P1=TRUE,I.Facility.P1FacilityCount&gt;=1566,F1578=""),"Incomplete","Complete")</f>
        <v>Complete</v>
      </c>
      <c r="I1578" s="48" t="s">
        <v>5943</v>
      </c>
    </row>
    <row r="1579" spans="2:9" ht="15" customHeight="1" x14ac:dyDescent="0.25">
      <c r="B1579" s="55" t="s">
        <v>279</v>
      </c>
      <c r="C1579" s="46">
        <v>1567</v>
      </c>
      <c r="D1579" s="69" t="s">
        <v>29416</v>
      </c>
      <c r="E1579" s="51"/>
      <c r="F1579" s="114" t="str">
        <f>IF(INDEX(I.Facility.P1IDNumber,1567)="","",INDEX(I.Facility.P1IDNumber,1567))</f>
        <v/>
      </c>
      <c r="G1579" s="51"/>
      <c r="H1579" s="46" t="str">
        <f>IF(AND(I.Developer.P1=TRUE,I.Facility.P1FacilityCount&gt;=1567,F1579=""),"Incomplete","Complete")</f>
        <v>Complete</v>
      </c>
      <c r="I1579" s="48" t="s">
        <v>5944</v>
      </c>
    </row>
    <row r="1580" spans="2:9" ht="15" customHeight="1" x14ac:dyDescent="0.25">
      <c r="B1580" s="55" t="s">
        <v>279</v>
      </c>
      <c r="C1580" s="46">
        <v>1568</v>
      </c>
      <c r="D1580" s="69" t="s">
        <v>29416</v>
      </c>
      <c r="E1580" s="51"/>
      <c r="F1580" s="114" t="str">
        <f>IF(INDEX(I.Facility.P1IDNumber,1568)="","",INDEX(I.Facility.P1IDNumber,1568))</f>
        <v/>
      </c>
      <c r="G1580" s="51"/>
      <c r="H1580" s="46" t="str">
        <f>IF(AND(I.Developer.P1=TRUE,I.Facility.P1FacilityCount&gt;=1568,F1580=""),"Incomplete","Complete")</f>
        <v>Complete</v>
      </c>
      <c r="I1580" s="48" t="s">
        <v>5945</v>
      </c>
    </row>
    <row r="1581" spans="2:9" ht="15" customHeight="1" x14ac:dyDescent="0.25">
      <c r="B1581" s="55" t="s">
        <v>279</v>
      </c>
      <c r="C1581" s="46">
        <v>1569</v>
      </c>
      <c r="D1581" s="69" t="s">
        <v>29416</v>
      </c>
      <c r="E1581" s="51"/>
      <c r="F1581" s="114" t="str">
        <f>IF(INDEX(I.Facility.P1IDNumber,1569)="","",INDEX(I.Facility.P1IDNumber,1569))</f>
        <v/>
      </c>
      <c r="G1581" s="51"/>
      <c r="H1581" s="46" t="str">
        <f>IF(AND(I.Developer.P1=TRUE,I.Facility.P1FacilityCount&gt;=1569,F1581=""),"Incomplete","Complete")</f>
        <v>Complete</v>
      </c>
      <c r="I1581" s="48" t="s">
        <v>5946</v>
      </c>
    </row>
    <row r="1582" spans="2:9" ht="15" customHeight="1" x14ac:dyDescent="0.25">
      <c r="B1582" s="55" t="s">
        <v>279</v>
      </c>
      <c r="C1582" s="46">
        <v>1570</v>
      </c>
      <c r="D1582" s="69" t="s">
        <v>29416</v>
      </c>
      <c r="E1582" s="51"/>
      <c r="F1582" s="114" t="str">
        <f>IF(INDEX(I.Facility.P1IDNumber,1570)="","",INDEX(I.Facility.P1IDNumber,1570))</f>
        <v/>
      </c>
      <c r="G1582" s="51"/>
      <c r="H1582" s="46" t="str">
        <f>IF(AND(I.Developer.P1=TRUE,I.Facility.P1FacilityCount&gt;=1570,F1582=""),"Incomplete","Complete")</f>
        <v>Complete</v>
      </c>
      <c r="I1582" s="48" t="s">
        <v>5947</v>
      </c>
    </row>
    <row r="1583" spans="2:9" ht="15" customHeight="1" x14ac:dyDescent="0.25">
      <c r="B1583" s="55" t="s">
        <v>279</v>
      </c>
      <c r="C1583" s="46">
        <v>1571</v>
      </c>
      <c r="D1583" s="69" t="s">
        <v>29416</v>
      </c>
      <c r="E1583" s="51"/>
      <c r="F1583" s="114" t="str">
        <f>IF(INDEX(I.Facility.P1IDNumber,1571)="","",INDEX(I.Facility.P1IDNumber,1571))</f>
        <v/>
      </c>
      <c r="G1583" s="51"/>
      <c r="H1583" s="46" t="str">
        <f>IF(AND(I.Developer.P1=TRUE,I.Facility.P1FacilityCount&gt;=1571,F1583=""),"Incomplete","Complete")</f>
        <v>Complete</v>
      </c>
      <c r="I1583" s="48" t="s">
        <v>5948</v>
      </c>
    </row>
    <row r="1584" spans="2:9" ht="15" customHeight="1" x14ac:dyDescent="0.25">
      <c r="B1584" s="55" t="s">
        <v>279</v>
      </c>
      <c r="C1584" s="46">
        <v>1572</v>
      </c>
      <c r="D1584" s="69" t="s">
        <v>29416</v>
      </c>
      <c r="E1584" s="51"/>
      <c r="F1584" s="114" t="str">
        <f>IF(INDEX(I.Facility.P1IDNumber,1572)="","",INDEX(I.Facility.P1IDNumber,1572))</f>
        <v/>
      </c>
      <c r="G1584" s="51"/>
      <c r="H1584" s="46" t="str">
        <f>IF(AND(I.Developer.P1=TRUE,I.Facility.P1FacilityCount&gt;=1572,F1584=""),"Incomplete","Complete")</f>
        <v>Complete</v>
      </c>
      <c r="I1584" s="48" t="s">
        <v>5949</v>
      </c>
    </row>
    <row r="1585" spans="2:9" ht="15" customHeight="1" x14ac:dyDescent="0.25">
      <c r="B1585" s="55" t="s">
        <v>279</v>
      </c>
      <c r="C1585" s="46">
        <v>1573</v>
      </c>
      <c r="D1585" s="69" t="s">
        <v>29416</v>
      </c>
      <c r="E1585" s="51"/>
      <c r="F1585" s="114" t="str">
        <f>IF(INDEX(I.Facility.P1IDNumber,1573)="","",INDEX(I.Facility.P1IDNumber,1573))</f>
        <v/>
      </c>
      <c r="G1585" s="51"/>
      <c r="H1585" s="46" t="str">
        <f>IF(AND(I.Developer.P1=TRUE,I.Facility.P1FacilityCount&gt;=1573,F1585=""),"Incomplete","Complete")</f>
        <v>Complete</v>
      </c>
      <c r="I1585" s="48" t="s">
        <v>5950</v>
      </c>
    </row>
    <row r="1586" spans="2:9" ht="15" customHeight="1" x14ac:dyDescent="0.25">
      <c r="B1586" s="55" t="s">
        <v>279</v>
      </c>
      <c r="C1586" s="46">
        <v>1574</v>
      </c>
      <c r="D1586" s="69" t="s">
        <v>29416</v>
      </c>
      <c r="E1586" s="51"/>
      <c r="F1586" s="114" t="str">
        <f>IF(INDEX(I.Facility.P1IDNumber,1574)="","",INDEX(I.Facility.P1IDNumber,1574))</f>
        <v/>
      </c>
      <c r="G1586" s="51"/>
      <c r="H1586" s="46" t="str">
        <f>IF(AND(I.Developer.P1=TRUE,I.Facility.P1FacilityCount&gt;=1574,F1586=""),"Incomplete","Complete")</f>
        <v>Complete</v>
      </c>
      <c r="I1586" s="48" t="s">
        <v>5951</v>
      </c>
    </row>
    <row r="1587" spans="2:9" ht="15" customHeight="1" x14ac:dyDescent="0.25">
      <c r="B1587" s="55" t="s">
        <v>279</v>
      </c>
      <c r="C1587" s="46">
        <v>1575</v>
      </c>
      <c r="D1587" s="69" t="s">
        <v>29416</v>
      </c>
      <c r="E1587" s="51"/>
      <c r="F1587" s="114" t="str">
        <f>IF(INDEX(I.Facility.P1IDNumber,1575)="","",INDEX(I.Facility.P1IDNumber,1575))</f>
        <v/>
      </c>
      <c r="G1587" s="51"/>
      <c r="H1587" s="46" t="str">
        <f>IF(AND(I.Developer.P1=TRUE,I.Facility.P1FacilityCount&gt;=1575,F1587=""),"Incomplete","Complete")</f>
        <v>Complete</v>
      </c>
      <c r="I1587" s="48" t="s">
        <v>5952</v>
      </c>
    </row>
    <row r="1588" spans="2:9" ht="15" customHeight="1" x14ac:dyDescent="0.25">
      <c r="B1588" s="55" t="s">
        <v>279</v>
      </c>
      <c r="C1588" s="46">
        <v>1576</v>
      </c>
      <c r="D1588" s="69" t="s">
        <v>29416</v>
      </c>
      <c r="E1588" s="51"/>
      <c r="F1588" s="114" t="str">
        <f>IF(INDEX(I.Facility.P1IDNumber,1576)="","",INDEX(I.Facility.P1IDNumber,1576))</f>
        <v/>
      </c>
      <c r="G1588" s="51"/>
      <c r="H1588" s="46" t="str">
        <f>IF(AND(I.Developer.P1=TRUE,I.Facility.P1FacilityCount&gt;=1576,F1588=""),"Incomplete","Complete")</f>
        <v>Complete</v>
      </c>
      <c r="I1588" s="48" t="s">
        <v>5953</v>
      </c>
    </row>
    <row r="1589" spans="2:9" ht="15" customHeight="1" x14ac:dyDescent="0.25">
      <c r="B1589" s="55" t="s">
        <v>279</v>
      </c>
      <c r="C1589" s="46">
        <v>1577</v>
      </c>
      <c r="D1589" s="69" t="s">
        <v>29416</v>
      </c>
      <c r="E1589" s="51"/>
      <c r="F1589" s="114" t="str">
        <f>IF(INDEX(I.Facility.P1IDNumber,1577)="","",INDEX(I.Facility.P1IDNumber,1577))</f>
        <v/>
      </c>
      <c r="G1589" s="51"/>
      <c r="H1589" s="46" t="str">
        <f>IF(AND(I.Developer.P1=TRUE,I.Facility.P1FacilityCount&gt;=1577,F1589=""),"Incomplete","Complete")</f>
        <v>Complete</v>
      </c>
      <c r="I1589" s="48" t="s">
        <v>5954</v>
      </c>
    </row>
    <row r="1590" spans="2:9" ht="15" customHeight="1" x14ac:dyDescent="0.25">
      <c r="B1590" s="55" t="s">
        <v>279</v>
      </c>
      <c r="C1590" s="46">
        <v>1578</v>
      </c>
      <c r="D1590" s="69" t="s">
        <v>29416</v>
      </c>
      <c r="E1590" s="51"/>
      <c r="F1590" s="114" t="str">
        <f>IF(INDEX(I.Facility.P1IDNumber,1578)="","",INDEX(I.Facility.P1IDNumber,1578))</f>
        <v/>
      </c>
      <c r="G1590" s="51"/>
      <c r="H1590" s="46" t="str">
        <f>IF(AND(I.Developer.P1=TRUE,I.Facility.P1FacilityCount&gt;=1578,F1590=""),"Incomplete","Complete")</f>
        <v>Complete</v>
      </c>
      <c r="I1590" s="48" t="s">
        <v>5955</v>
      </c>
    </row>
    <row r="1591" spans="2:9" ht="15" customHeight="1" x14ac:dyDescent="0.25">
      <c r="B1591" s="55" t="s">
        <v>279</v>
      </c>
      <c r="C1591" s="46">
        <v>1579</v>
      </c>
      <c r="D1591" s="69" t="s">
        <v>29416</v>
      </c>
      <c r="E1591" s="51"/>
      <c r="F1591" s="114" t="str">
        <f>IF(INDEX(I.Facility.P1IDNumber,1579)="","",INDEX(I.Facility.P1IDNumber,1579))</f>
        <v/>
      </c>
      <c r="G1591" s="51"/>
      <c r="H1591" s="46" t="str">
        <f>IF(AND(I.Developer.P1=TRUE,I.Facility.P1FacilityCount&gt;=1579,F1591=""),"Incomplete","Complete")</f>
        <v>Complete</v>
      </c>
      <c r="I1591" s="48" t="s">
        <v>5956</v>
      </c>
    </row>
    <row r="1592" spans="2:9" ht="15" customHeight="1" x14ac:dyDescent="0.25">
      <c r="B1592" s="55" t="s">
        <v>279</v>
      </c>
      <c r="C1592" s="46">
        <v>1580</v>
      </c>
      <c r="D1592" s="69" t="s">
        <v>29416</v>
      </c>
      <c r="E1592" s="51"/>
      <c r="F1592" s="114" t="str">
        <f>IF(INDEX(I.Facility.P1IDNumber,1580)="","",INDEX(I.Facility.P1IDNumber,1580))</f>
        <v/>
      </c>
      <c r="G1592" s="51"/>
      <c r="H1592" s="46" t="str">
        <f>IF(AND(I.Developer.P1=TRUE,I.Facility.P1FacilityCount&gt;=1580,F1592=""),"Incomplete","Complete")</f>
        <v>Complete</v>
      </c>
      <c r="I1592" s="48" t="s">
        <v>5957</v>
      </c>
    </row>
    <row r="1593" spans="2:9" ht="15" customHeight="1" x14ac:dyDescent="0.25">
      <c r="B1593" s="55" t="s">
        <v>279</v>
      </c>
      <c r="C1593" s="46">
        <v>1581</v>
      </c>
      <c r="D1593" s="69" t="s">
        <v>29416</v>
      </c>
      <c r="E1593" s="51"/>
      <c r="F1593" s="114" t="str">
        <f>IF(INDEX(I.Facility.P1IDNumber,1581)="","",INDEX(I.Facility.P1IDNumber,1581))</f>
        <v/>
      </c>
      <c r="G1593" s="51"/>
      <c r="H1593" s="46" t="str">
        <f>IF(AND(I.Developer.P1=TRUE,I.Facility.P1FacilityCount&gt;=1581,F1593=""),"Incomplete","Complete")</f>
        <v>Complete</v>
      </c>
      <c r="I1593" s="48" t="s">
        <v>5958</v>
      </c>
    </row>
    <row r="1594" spans="2:9" ht="15" customHeight="1" x14ac:dyDescent="0.25">
      <c r="B1594" s="55" t="s">
        <v>279</v>
      </c>
      <c r="C1594" s="46">
        <v>1582</v>
      </c>
      <c r="D1594" s="69" t="s">
        <v>29416</v>
      </c>
      <c r="E1594" s="51"/>
      <c r="F1594" s="114" t="str">
        <f>IF(INDEX(I.Facility.P1IDNumber,1582)="","",INDEX(I.Facility.P1IDNumber,1582))</f>
        <v/>
      </c>
      <c r="G1594" s="51"/>
      <c r="H1594" s="46" t="str">
        <f>IF(AND(I.Developer.P1=TRUE,I.Facility.P1FacilityCount&gt;=1582,F1594=""),"Incomplete","Complete")</f>
        <v>Complete</v>
      </c>
      <c r="I1594" s="48" t="s">
        <v>5959</v>
      </c>
    </row>
    <row r="1595" spans="2:9" ht="15" customHeight="1" x14ac:dyDescent="0.25">
      <c r="B1595" s="55" t="s">
        <v>279</v>
      </c>
      <c r="C1595" s="46">
        <v>1583</v>
      </c>
      <c r="D1595" s="69" t="s">
        <v>29416</v>
      </c>
      <c r="E1595" s="51"/>
      <c r="F1595" s="114" t="str">
        <f>IF(INDEX(I.Facility.P1IDNumber,1583)="","",INDEX(I.Facility.P1IDNumber,1583))</f>
        <v/>
      </c>
      <c r="G1595" s="51"/>
      <c r="H1595" s="46" t="str">
        <f>IF(AND(I.Developer.P1=TRUE,I.Facility.P1FacilityCount&gt;=1583,F1595=""),"Incomplete","Complete")</f>
        <v>Complete</v>
      </c>
      <c r="I1595" s="48" t="s">
        <v>5960</v>
      </c>
    </row>
    <row r="1596" spans="2:9" ht="15" customHeight="1" x14ac:dyDescent="0.25">
      <c r="B1596" s="55" t="s">
        <v>279</v>
      </c>
      <c r="C1596" s="46">
        <v>1584</v>
      </c>
      <c r="D1596" s="69" t="s">
        <v>29416</v>
      </c>
      <c r="E1596" s="51"/>
      <c r="F1596" s="114" t="str">
        <f>IF(INDEX(I.Facility.P1IDNumber,1584)="","",INDEX(I.Facility.P1IDNumber,1584))</f>
        <v/>
      </c>
      <c r="G1596" s="51"/>
      <c r="H1596" s="46" t="str">
        <f>IF(AND(I.Developer.P1=TRUE,I.Facility.P1FacilityCount&gt;=1584,F1596=""),"Incomplete","Complete")</f>
        <v>Complete</v>
      </c>
      <c r="I1596" s="48" t="s">
        <v>5961</v>
      </c>
    </row>
    <row r="1597" spans="2:9" ht="15" customHeight="1" x14ac:dyDescent="0.25">
      <c r="B1597" s="55" t="s">
        <v>279</v>
      </c>
      <c r="C1597" s="46">
        <v>1585</v>
      </c>
      <c r="D1597" s="69" t="s">
        <v>29416</v>
      </c>
      <c r="E1597" s="51"/>
      <c r="F1597" s="114" t="str">
        <f>IF(INDEX(I.Facility.P1IDNumber,1585)="","",INDEX(I.Facility.P1IDNumber,1585))</f>
        <v/>
      </c>
      <c r="G1597" s="51"/>
      <c r="H1597" s="46" t="str">
        <f>IF(AND(I.Developer.P1=TRUE,I.Facility.P1FacilityCount&gt;=1585,F1597=""),"Incomplete","Complete")</f>
        <v>Complete</v>
      </c>
      <c r="I1597" s="48" t="s">
        <v>5962</v>
      </c>
    </row>
    <row r="1598" spans="2:9" ht="15" customHeight="1" x14ac:dyDescent="0.25">
      <c r="B1598" s="55" t="s">
        <v>279</v>
      </c>
      <c r="C1598" s="46">
        <v>1586</v>
      </c>
      <c r="D1598" s="69" t="s">
        <v>29416</v>
      </c>
      <c r="E1598" s="51"/>
      <c r="F1598" s="114" t="str">
        <f>IF(INDEX(I.Facility.P1IDNumber,1586)="","",INDEX(I.Facility.P1IDNumber,1586))</f>
        <v/>
      </c>
      <c r="G1598" s="51"/>
      <c r="H1598" s="46" t="str">
        <f>IF(AND(I.Developer.P1=TRUE,I.Facility.P1FacilityCount&gt;=1586,F1598=""),"Incomplete","Complete")</f>
        <v>Complete</v>
      </c>
      <c r="I1598" s="48" t="s">
        <v>5963</v>
      </c>
    </row>
    <row r="1599" spans="2:9" ht="15" customHeight="1" x14ac:dyDescent="0.25">
      <c r="B1599" s="55" t="s">
        <v>279</v>
      </c>
      <c r="C1599" s="46">
        <v>1587</v>
      </c>
      <c r="D1599" s="69" t="s">
        <v>29416</v>
      </c>
      <c r="E1599" s="51"/>
      <c r="F1599" s="114" t="str">
        <f>IF(INDEX(I.Facility.P1IDNumber,1587)="","",INDEX(I.Facility.P1IDNumber,1587))</f>
        <v/>
      </c>
      <c r="G1599" s="51"/>
      <c r="H1599" s="46" t="str">
        <f>IF(AND(I.Developer.P1=TRUE,I.Facility.P1FacilityCount&gt;=1587,F1599=""),"Incomplete","Complete")</f>
        <v>Complete</v>
      </c>
      <c r="I1599" s="48" t="s">
        <v>5964</v>
      </c>
    </row>
    <row r="1600" spans="2:9" ht="15" customHeight="1" x14ac:dyDescent="0.25">
      <c r="B1600" s="55" t="s">
        <v>279</v>
      </c>
      <c r="C1600" s="46">
        <v>1588</v>
      </c>
      <c r="D1600" s="69" t="s">
        <v>29416</v>
      </c>
      <c r="E1600" s="51"/>
      <c r="F1600" s="114" t="str">
        <f>IF(INDEX(I.Facility.P1IDNumber,1588)="","",INDEX(I.Facility.P1IDNumber,1588))</f>
        <v/>
      </c>
      <c r="G1600" s="51"/>
      <c r="H1600" s="46" t="str">
        <f>IF(AND(I.Developer.P1=TRUE,I.Facility.P1FacilityCount&gt;=1588,F1600=""),"Incomplete","Complete")</f>
        <v>Complete</v>
      </c>
      <c r="I1600" s="48" t="s">
        <v>5965</v>
      </c>
    </row>
    <row r="1601" spans="2:9" ht="15" customHeight="1" x14ac:dyDescent="0.25">
      <c r="B1601" s="55" t="s">
        <v>279</v>
      </c>
      <c r="C1601" s="46">
        <v>1589</v>
      </c>
      <c r="D1601" s="69" t="s">
        <v>29416</v>
      </c>
      <c r="E1601" s="51"/>
      <c r="F1601" s="114" t="str">
        <f>IF(INDEX(I.Facility.P1IDNumber,1589)="","",INDEX(I.Facility.P1IDNumber,1589))</f>
        <v/>
      </c>
      <c r="G1601" s="51"/>
      <c r="H1601" s="46" t="str">
        <f>IF(AND(I.Developer.P1=TRUE,I.Facility.P1FacilityCount&gt;=1589,F1601=""),"Incomplete","Complete")</f>
        <v>Complete</v>
      </c>
      <c r="I1601" s="48" t="s">
        <v>5966</v>
      </c>
    </row>
    <row r="1602" spans="2:9" ht="15" customHeight="1" x14ac:dyDescent="0.25">
      <c r="B1602" s="55" t="s">
        <v>279</v>
      </c>
      <c r="C1602" s="46">
        <v>1590</v>
      </c>
      <c r="D1602" s="69" t="s">
        <v>29416</v>
      </c>
      <c r="E1602" s="51"/>
      <c r="F1602" s="114" t="str">
        <f>IF(INDEX(I.Facility.P1IDNumber,1590)="","",INDEX(I.Facility.P1IDNumber,1590))</f>
        <v/>
      </c>
      <c r="G1602" s="51"/>
      <c r="H1602" s="46" t="str">
        <f>IF(AND(I.Developer.P1=TRUE,I.Facility.P1FacilityCount&gt;=1590,F1602=""),"Incomplete","Complete")</f>
        <v>Complete</v>
      </c>
      <c r="I1602" s="48" t="s">
        <v>5967</v>
      </c>
    </row>
    <row r="1603" spans="2:9" ht="15" customHeight="1" x14ac:dyDescent="0.25">
      <c r="B1603" s="55" t="s">
        <v>279</v>
      </c>
      <c r="C1603" s="46">
        <v>1591</v>
      </c>
      <c r="D1603" s="69" t="s">
        <v>29416</v>
      </c>
      <c r="E1603" s="51"/>
      <c r="F1603" s="114" t="str">
        <f>IF(INDEX(I.Facility.P1IDNumber,1591)="","",INDEX(I.Facility.P1IDNumber,1591))</f>
        <v/>
      </c>
      <c r="G1603" s="51"/>
      <c r="H1603" s="46" t="str">
        <f>IF(AND(I.Developer.P1=TRUE,I.Facility.P1FacilityCount&gt;=1591,F1603=""),"Incomplete","Complete")</f>
        <v>Complete</v>
      </c>
      <c r="I1603" s="48" t="s">
        <v>5968</v>
      </c>
    </row>
    <row r="1604" spans="2:9" ht="15" customHeight="1" x14ac:dyDescent="0.25">
      <c r="B1604" s="55" t="s">
        <v>279</v>
      </c>
      <c r="C1604" s="46">
        <v>1592</v>
      </c>
      <c r="D1604" s="69" t="s">
        <v>29416</v>
      </c>
      <c r="E1604" s="51"/>
      <c r="F1604" s="114" t="str">
        <f>IF(INDEX(I.Facility.P1IDNumber,1592)="","",INDEX(I.Facility.P1IDNumber,1592))</f>
        <v/>
      </c>
      <c r="G1604" s="51"/>
      <c r="H1604" s="46" t="str">
        <f>IF(AND(I.Developer.P1=TRUE,I.Facility.P1FacilityCount&gt;=1592,F1604=""),"Incomplete","Complete")</f>
        <v>Complete</v>
      </c>
      <c r="I1604" s="48" t="s">
        <v>5969</v>
      </c>
    </row>
    <row r="1605" spans="2:9" ht="15" customHeight="1" x14ac:dyDescent="0.25">
      <c r="B1605" s="55" t="s">
        <v>279</v>
      </c>
      <c r="C1605" s="46">
        <v>1593</v>
      </c>
      <c r="D1605" s="69" t="s">
        <v>29416</v>
      </c>
      <c r="E1605" s="51"/>
      <c r="F1605" s="114" t="str">
        <f>IF(INDEX(I.Facility.P1IDNumber,1593)="","",INDEX(I.Facility.P1IDNumber,1593))</f>
        <v/>
      </c>
      <c r="G1605" s="51"/>
      <c r="H1605" s="46" t="str">
        <f>IF(AND(I.Developer.P1=TRUE,I.Facility.P1FacilityCount&gt;=1593,F1605=""),"Incomplete","Complete")</f>
        <v>Complete</v>
      </c>
      <c r="I1605" s="48" t="s">
        <v>5970</v>
      </c>
    </row>
    <row r="1606" spans="2:9" ht="15" customHeight="1" x14ac:dyDescent="0.25">
      <c r="B1606" s="55" t="s">
        <v>279</v>
      </c>
      <c r="C1606" s="46">
        <v>1594</v>
      </c>
      <c r="D1606" s="69" t="s">
        <v>29416</v>
      </c>
      <c r="E1606" s="51"/>
      <c r="F1606" s="114" t="str">
        <f>IF(INDEX(I.Facility.P1IDNumber,1594)="","",INDEX(I.Facility.P1IDNumber,1594))</f>
        <v/>
      </c>
      <c r="G1606" s="51"/>
      <c r="H1606" s="46" t="str">
        <f>IF(AND(I.Developer.P1=TRUE,I.Facility.P1FacilityCount&gt;=1594,F1606=""),"Incomplete","Complete")</f>
        <v>Complete</v>
      </c>
      <c r="I1606" s="48" t="s">
        <v>5971</v>
      </c>
    </row>
    <row r="1607" spans="2:9" ht="15" customHeight="1" x14ac:dyDescent="0.25">
      <c r="B1607" s="55" t="s">
        <v>279</v>
      </c>
      <c r="C1607" s="46">
        <v>1595</v>
      </c>
      <c r="D1607" s="69" t="s">
        <v>29416</v>
      </c>
      <c r="E1607" s="51"/>
      <c r="F1607" s="114" t="str">
        <f>IF(INDEX(I.Facility.P1IDNumber,1595)="","",INDEX(I.Facility.P1IDNumber,1595))</f>
        <v/>
      </c>
      <c r="G1607" s="51"/>
      <c r="H1607" s="46" t="str">
        <f>IF(AND(I.Developer.P1=TRUE,I.Facility.P1FacilityCount&gt;=1595,F1607=""),"Incomplete","Complete")</f>
        <v>Complete</v>
      </c>
      <c r="I1607" s="48" t="s">
        <v>5972</v>
      </c>
    </row>
    <row r="1608" spans="2:9" ht="15" customHeight="1" x14ac:dyDescent="0.25">
      <c r="B1608" s="55" t="s">
        <v>279</v>
      </c>
      <c r="C1608" s="46">
        <v>1596</v>
      </c>
      <c r="D1608" s="69" t="s">
        <v>29416</v>
      </c>
      <c r="E1608" s="51"/>
      <c r="F1608" s="114" t="str">
        <f>IF(INDEX(I.Facility.P1IDNumber,1596)="","",INDEX(I.Facility.P1IDNumber,1596))</f>
        <v/>
      </c>
      <c r="G1608" s="51"/>
      <c r="H1608" s="46" t="str">
        <f>IF(AND(I.Developer.P1=TRUE,I.Facility.P1FacilityCount&gt;=1596,F1608=""),"Incomplete","Complete")</f>
        <v>Complete</v>
      </c>
      <c r="I1608" s="48" t="s">
        <v>5973</v>
      </c>
    </row>
    <row r="1609" spans="2:9" ht="15" customHeight="1" x14ac:dyDescent="0.25">
      <c r="B1609" s="55" t="s">
        <v>279</v>
      </c>
      <c r="C1609" s="46">
        <v>1597</v>
      </c>
      <c r="D1609" s="69" t="s">
        <v>29416</v>
      </c>
      <c r="E1609" s="51"/>
      <c r="F1609" s="114" t="str">
        <f>IF(INDEX(I.Facility.P1IDNumber,1597)="","",INDEX(I.Facility.P1IDNumber,1597))</f>
        <v/>
      </c>
      <c r="G1609" s="51"/>
      <c r="H1609" s="46" t="str">
        <f>IF(AND(I.Developer.P1=TRUE,I.Facility.P1FacilityCount&gt;=1597,F1609=""),"Incomplete","Complete")</f>
        <v>Complete</v>
      </c>
      <c r="I1609" s="48" t="s">
        <v>5974</v>
      </c>
    </row>
    <row r="1610" spans="2:9" ht="15" customHeight="1" x14ac:dyDescent="0.25">
      <c r="B1610" s="55" t="s">
        <v>279</v>
      </c>
      <c r="C1610" s="46">
        <v>1598</v>
      </c>
      <c r="D1610" s="69" t="s">
        <v>29416</v>
      </c>
      <c r="E1610" s="51"/>
      <c r="F1610" s="114" t="str">
        <f>IF(INDEX(I.Facility.P1IDNumber,1598)="","",INDEX(I.Facility.P1IDNumber,1598))</f>
        <v/>
      </c>
      <c r="G1610" s="51"/>
      <c r="H1610" s="46" t="str">
        <f>IF(AND(I.Developer.P1=TRUE,I.Facility.P1FacilityCount&gt;=1598,F1610=""),"Incomplete","Complete")</f>
        <v>Complete</v>
      </c>
      <c r="I1610" s="48" t="s">
        <v>5975</v>
      </c>
    </row>
    <row r="1611" spans="2:9" ht="15" customHeight="1" x14ac:dyDescent="0.25">
      <c r="B1611" s="55" t="s">
        <v>279</v>
      </c>
      <c r="C1611" s="46">
        <v>1599</v>
      </c>
      <c r="D1611" s="69" t="s">
        <v>29416</v>
      </c>
      <c r="E1611" s="51"/>
      <c r="F1611" s="114" t="str">
        <f>IF(INDEX(I.Facility.P1IDNumber,1599)="","",INDEX(I.Facility.P1IDNumber,1599))</f>
        <v/>
      </c>
      <c r="G1611" s="51"/>
      <c r="H1611" s="46" t="str">
        <f>IF(AND(I.Developer.P1=TRUE,I.Facility.P1FacilityCount&gt;=1599,F1611=""),"Incomplete","Complete")</f>
        <v>Complete</v>
      </c>
      <c r="I1611" s="48" t="s">
        <v>5976</v>
      </c>
    </row>
    <row r="1612" spans="2:9" ht="15" customHeight="1" x14ac:dyDescent="0.25">
      <c r="B1612" s="55" t="s">
        <v>279</v>
      </c>
      <c r="C1612" s="46">
        <v>1600</v>
      </c>
      <c r="D1612" s="69" t="s">
        <v>29416</v>
      </c>
      <c r="E1612" s="51"/>
      <c r="F1612" s="114" t="str">
        <f>IF(INDEX(I.Facility.P1IDNumber,1600)="","",INDEX(I.Facility.P1IDNumber,1600))</f>
        <v/>
      </c>
      <c r="G1612" s="51"/>
      <c r="H1612" s="46" t="str">
        <f>IF(AND(I.Developer.P1=TRUE,I.Facility.P1FacilityCount&gt;=1600,F1612=""),"Incomplete","Complete")</f>
        <v>Complete</v>
      </c>
      <c r="I1612" s="48" t="s">
        <v>5977</v>
      </c>
    </row>
    <row r="1613" spans="2:9" ht="15" customHeight="1" x14ac:dyDescent="0.25">
      <c r="B1613" s="55" t="s">
        <v>279</v>
      </c>
      <c r="C1613" s="46">
        <v>1601</v>
      </c>
      <c r="D1613" s="69" t="s">
        <v>29416</v>
      </c>
      <c r="E1613" s="51"/>
      <c r="F1613" s="114" t="str">
        <f>IF(INDEX(I.Facility.P1IDNumber,1601)="","",INDEX(I.Facility.P1IDNumber,1601))</f>
        <v/>
      </c>
      <c r="G1613" s="51"/>
      <c r="H1613" s="46" t="str">
        <f>IF(AND(I.Developer.P1=TRUE,I.Facility.P1FacilityCount&gt;=1601,F1613=""),"Incomplete","Complete")</f>
        <v>Complete</v>
      </c>
      <c r="I1613" s="48" t="s">
        <v>5978</v>
      </c>
    </row>
    <row r="1614" spans="2:9" ht="15" customHeight="1" x14ac:dyDescent="0.25">
      <c r="B1614" s="55" t="s">
        <v>279</v>
      </c>
      <c r="C1614" s="46">
        <v>1602</v>
      </c>
      <c r="D1614" s="69" t="s">
        <v>29416</v>
      </c>
      <c r="E1614" s="51"/>
      <c r="F1614" s="114" t="str">
        <f>IF(INDEX(I.Facility.P1IDNumber,1602)="","",INDEX(I.Facility.P1IDNumber,1602))</f>
        <v/>
      </c>
      <c r="G1614" s="51"/>
      <c r="H1614" s="46" t="str">
        <f>IF(AND(I.Developer.P1=TRUE,I.Facility.P1FacilityCount&gt;=1602,F1614=""),"Incomplete","Complete")</f>
        <v>Complete</v>
      </c>
      <c r="I1614" s="48" t="s">
        <v>5979</v>
      </c>
    </row>
    <row r="1615" spans="2:9" ht="15" customHeight="1" x14ac:dyDescent="0.25">
      <c r="B1615" s="55" t="s">
        <v>279</v>
      </c>
      <c r="C1615" s="46">
        <v>1603</v>
      </c>
      <c r="D1615" s="69" t="s">
        <v>29416</v>
      </c>
      <c r="E1615" s="51"/>
      <c r="F1615" s="114" t="str">
        <f>IF(INDEX(I.Facility.P1IDNumber,1603)="","",INDEX(I.Facility.P1IDNumber,1603))</f>
        <v/>
      </c>
      <c r="G1615" s="51"/>
      <c r="H1615" s="46" t="str">
        <f>IF(AND(I.Developer.P1=TRUE,I.Facility.P1FacilityCount&gt;=1603,F1615=""),"Incomplete","Complete")</f>
        <v>Complete</v>
      </c>
      <c r="I1615" s="48" t="s">
        <v>5980</v>
      </c>
    </row>
    <row r="1616" spans="2:9" ht="15" customHeight="1" x14ac:dyDescent="0.25">
      <c r="B1616" s="55" t="s">
        <v>279</v>
      </c>
      <c r="C1616" s="46">
        <v>1604</v>
      </c>
      <c r="D1616" s="69" t="s">
        <v>29416</v>
      </c>
      <c r="E1616" s="51"/>
      <c r="F1616" s="114" t="str">
        <f>IF(INDEX(I.Facility.P1IDNumber,1604)="","",INDEX(I.Facility.P1IDNumber,1604))</f>
        <v/>
      </c>
      <c r="G1616" s="51"/>
      <c r="H1616" s="46" t="str">
        <f>IF(AND(I.Developer.P1=TRUE,I.Facility.P1FacilityCount&gt;=1604,F1616=""),"Incomplete","Complete")</f>
        <v>Complete</v>
      </c>
      <c r="I1616" s="48" t="s">
        <v>5981</v>
      </c>
    </row>
    <row r="1617" spans="2:9" ht="15" customHeight="1" x14ac:dyDescent="0.25">
      <c r="B1617" s="55" t="s">
        <v>279</v>
      </c>
      <c r="C1617" s="46">
        <v>1605</v>
      </c>
      <c r="D1617" s="69" t="s">
        <v>29416</v>
      </c>
      <c r="E1617" s="51"/>
      <c r="F1617" s="114" t="str">
        <f>IF(INDEX(I.Facility.P1IDNumber,1605)="","",INDEX(I.Facility.P1IDNumber,1605))</f>
        <v/>
      </c>
      <c r="G1617" s="51"/>
      <c r="H1617" s="46" t="str">
        <f>IF(AND(I.Developer.P1=TRUE,I.Facility.P1FacilityCount&gt;=1605,F1617=""),"Incomplete","Complete")</f>
        <v>Complete</v>
      </c>
      <c r="I1617" s="48" t="s">
        <v>5982</v>
      </c>
    </row>
    <row r="1618" spans="2:9" ht="15" customHeight="1" x14ac:dyDescent="0.25">
      <c r="B1618" s="55" t="s">
        <v>279</v>
      </c>
      <c r="C1618" s="46">
        <v>1606</v>
      </c>
      <c r="D1618" s="69" t="s">
        <v>29416</v>
      </c>
      <c r="E1618" s="51"/>
      <c r="F1618" s="114" t="str">
        <f>IF(INDEX(I.Facility.P1IDNumber,1606)="","",INDEX(I.Facility.P1IDNumber,1606))</f>
        <v/>
      </c>
      <c r="G1618" s="51"/>
      <c r="H1618" s="46" t="str">
        <f>IF(AND(I.Developer.P1=TRUE,I.Facility.P1FacilityCount&gt;=1606,F1618=""),"Incomplete","Complete")</f>
        <v>Complete</v>
      </c>
      <c r="I1618" s="48" t="s">
        <v>5983</v>
      </c>
    </row>
    <row r="1619" spans="2:9" ht="15" customHeight="1" x14ac:dyDescent="0.25">
      <c r="B1619" s="55" t="s">
        <v>279</v>
      </c>
      <c r="C1619" s="46">
        <v>1607</v>
      </c>
      <c r="D1619" s="69" t="s">
        <v>29416</v>
      </c>
      <c r="E1619" s="51"/>
      <c r="F1619" s="114" t="str">
        <f>IF(INDEX(I.Facility.P1IDNumber,1607)="","",INDEX(I.Facility.P1IDNumber,1607))</f>
        <v/>
      </c>
      <c r="G1619" s="51"/>
      <c r="H1619" s="46" t="str">
        <f>IF(AND(I.Developer.P1=TRUE,I.Facility.P1FacilityCount&gt;=1607,F1619=""),"Incomplete","Complete")</f>
        <v>Complete</v>
      </c>
      <c r="I1619" s="48" t="s">
        <v>5984</v>
      </c>
    </row>
    <row r="1620" spans="2:9" ht="15" customHeight="1" x14ac:dyDescent="0.25">
      <c r="B1620" s="55" t="s">
        <v>279</v>
      </c>
      <c r="C1620" s="46">
        <v>1608</v>
      </c>
      <c r="D1620" s="69" t="s">
        <v>29416</v>
      </c>
      <c r="E1620" s="51"/>
      <c r="F1620" s="114" t="str">
        <f>IF(INDEX(I.Facility.P1IDNumber,1608)="","",INDEX(I.Facility.P1IDNumber,1608))</f>
        <v/>
      </c>
      <c r="G1620" s="51"/>
      <c r="H1620" s="46" t="str">
        <f>IF(AND(I.Developer.P1=TRUE,I.Facility.P1FacilityCount&gt;=1608,F1620=""),"Incomplete","Complete")</f>
        <v>Complete</v>
      </c>
      <c r="I1620" s="48" t="s">
        <v>5985</v>
      </c>
    </row>
    <row r="1621" spans="2:9" ht="15" customHeight="1" x14ac:dyDescent="0.25">
      <c r="B1621" s="55" t="s">
        <v>279</v>
      </c>
      <c r="C1621" s="46">
        <v>1609</v>
      </c>
      <c r="D1621" s="69" t="s">
        <v>29416</v>
      </c>
      <c r="E1621" s="51"/>
      <c r="F1621" s="114" t="str">
        <f>IF(INDEX(I.Facility.P1IDNumber,1609)="","",INDEX(I.Facility.P1IDNumber,1609))</f>
        <v/>
      </c>
      <c r="G1621" s="51"/>
      <c r="H1621" s="46" t="str">
        <f>IF(AND(I.Developer.P1=TRUE,I.Facility.P1FacilityCount&gt;=1609,F1621=""),"Incomplete","Complete")</f>
        <v>Complete</v>
      </c>
      <c r="I1621" s="48" t="s">
        <v>5986</v>
      </c>
    </row>
    <row r="1622" spans="2:9" ht="15" customHeight="1" x14ac:dyDescent="0.25">
      <c r="B1622" s="55" t="s">
        <v>279</v>
      </c>
      <c r="C1622" s="46">
        <v>1610</v>
      </c>
      <c r="D1622" s="69" t="s">
        <v>29416</v>
      </c>
      <c r="E1622" s="51"/>
      <c r="F1622" s="114" t="str">
        <f>IF(INDEX(I.Facility.P1IDNumber,1610)="","",INDEX(I.Facility.P1IDNumber,1610))</f>
        <v/>
      </c>
      <c r="G1622" s="51"/>
      <c r="H1622" s="46" t="str">
        <f>IF(AND(I.Developer.P1=TRUE,I.Facility.P1FacilityCount&gt;=1610,F1622=""),"Incomplete","Complete")</f>
        <v>Complete</v>
      </c>
      <c r="I1622" s="48" t="s">
        <v>5987</v>
      </c>
    </row>
    <row r="1623" spans="2:9" ht="15" customHeight="1" x14ac:dyDescent="0.25">
      <c r="B1623" s="55" t="s">
        <v>279</v>
      </c>
      <c r="C1623" s="46">
        <v>1611</v>
      </c>
      <c r="D1623" s="69" t="s">
        <v>29416</v>
      </c>
      <c r="E1623" s="51"/>
      <c r="F1623" s="114" t="str">
        <f>IF(INDEX(I.Facility.P1IDNumber,1611)="","",INDEX(I.Facility.P1IDNumber,1611))</f>
        <v/>
      </c>
      <c r="G1623" s="51"/>
      <c r="H1623" s="46" t="str">
        <f>IF(AND(I.Developer.P1=TRUE,I.Facility.P1FacilityCount&gt;=1611,F1623=""),"Incomplete","Complete")</f>
        <v>Complete</v>
      </c>
      <c r="I1623" s="48" t="s">
        <v>5988</v>
      </c>
    </row>
    <row r="1624" spans="2:9" ht="15" customHeight="1" x14ac:dyDescent="0.25">
      <c r="B1624" s="55" t="s">
        <v>279</v>
      </c>
      <c r="C1624" s="46">
        <v>1612</v>
      </c>
      <c r="D1624" s="69" t="s">
        <v>29416</v>
      </c>
      <c r="E1624" s="51"/>
      <c r="F1624" s="114" t="str">
        <f>IF(INDEX(I.Facility.P1IDNumber,1612)="","",INDEX(I.Facility.P1IDNumber,1612))</f>
        <v/>
      </c>
      <c r="G1624" s="51"/>
      <c r="H1624" s="46" t="str">
        <f>IF(AND(I.Developer.P1=TRUE,I.Facility.P1FacilityCount&gt;=1612,F1624=""),"Incomplete","Complete")</f>
        <v>Complete</v>
      </c>
      <c r="I1624" s="48" t="s">
        <v>5989</v>
      </c>
    </row>
    <row r="1625" spans="2:9" ht="15" customHeight="1" x14ac:dyDescent="0.25">
      <c r="B1625" s="55" t="s">
        <v>279</v>
      </c>
      <c r="C1625" s="46">
        <v>1613</v>
      </c>
      <c r="D1625" s="69" t="s">
        <v>29416</v>
      </c>
      <c r="E1625" s="51"/>
      <c r="F1625" s="114" t="str">
        <f>IF(INDEX(I.Facility.P1IDNumber,1613)="","",INDEX(I.Facility.P1IDNumber,1613))</f>
        <v/>
      </c>
      <c r="G1625" s="51"/>
      <c r="H1625" s="46" t="str">
        <f>IF(AND(I.Developer.P1=TRUE,I.Facility.P1FacilityCount&gt;=1613,F1625=""),"Incomplete","Complete")</f>
        <v>Complete</v>
      </c>
      <c r="I1625" s="48" t="s">
        <v>5990</v>
      </c>
    </row>
    <row r="1626" spans="2:9" ht="15" customHeight="1" x14ac:dyDescent="0.25">
      <c r="B1626" s="55" t="s">
        <v>279</v>
      </c>
      <c r="C1626" s="46">
        <v>1614</v>
      </c>
      <c r="D1626" s="69" t="s">
        <v>29416</v>
      </c>
      <c r="E1626" s="51"/>
      <c r="F1626" s="114" t="str">
        <f>IF(INDEX(I.Facility.P1IDNumber,1614)="","",INDEX(I.Facility.P1IDNumber,1614))</f>
        <v/>
      </c>
      <c r="G1626" s="51"/>
      <c r="H1626" s="46" t="str">
        <f>IF(AND(I.Developer.P1=TRUE,I.Facility.P1FacilityCount&gt;=1614,F1626=""),"Incomplete","Complete")</f>
        <v>Complete</v>
      </c>
      <c r="I1626" s="48" t="s">
        <v>5991</v>
      </c>
    </row>
    <row r="1627" spans="2:9" ht="15" customHeight="1" x14ac:dyDescent="0.25">
      <c r="B1627" s="55" t="s">
        <v>279</v>
      </c>
      <c r="C1627" s="46">
        <v>1615</v>
      </c>
      <c r="D1627" s="69" t="s">
        <v>29416</v>
      </c>
      <c r="E1627" s="51"/>
      <c r="F1627" s="114" t="str">
        <f>IF(INDEX(I.Facility.P1IDNumber,1615)="","",INDEX(I.Facility.P1IDNumber,1615))</f>
        <v/>
      </c>
      <c r="G1627" s="51"/>
      <c r="H1627" s="46" t="str">
        <f>IF(AND(I.Developer.P1=TRUE,I.Facility.P1FacilityCount&gt;=1615,F1627=""),"Incomplete","Complete")</f>
        <v>Complete</v>
      </c>
      <c r="I1627" s="48" t="s">
        <v>5992</v>
      </c>
    </row>
    <row r="1628" spans="2:9" ht="15" customHeight="1" x14ac:dyDescent="0.25">
      <c r="B1628" s="55" t="s">
        <v>279</v>
      </c>
      <c r="C1628" s="46">
        <v>1616</v>
      </c>
      <c r="D1628" s="69" t="s">
        <v>29416</v>
      </c>
      <c r="E1628" s="51"/>
      <c r="F1628" s="114" t="str">
        <f>IF(INDEX(I.Facility.P1IDNumber,1616)="","",INDEX(I.Facility.P1IDNumber,1616))</f>
        <v/>
      </c>
      <c r="G1628" s="51"/>
      <c r="H1628" s="46" t="str">
        <f>IF(AND(I.Developer.P1=TRUE,I.Facility.P1FacilityCount&gt;=1616,F1628=""),"Incomplete","Complete")</f>
        <v>Complete</v>
      </c>
      <c r="I1628" s="48" t="s">
        <v>5993</v>
      </c>
    </row>
    <row r="1629" spans="2:9" ht="15" customHeight="1" x14ac:dyDescent="0.25">
      <c r="B1629" s="55" t="s">
        <v>279</v>
      </c>
      <c r="C1629" s="46">
        <v>1617</v>
      </c>
      <c r="D1629" s="69" t="s">
        <v>29416</v>
      </c>
      <c r="E1629" s="51"/>
      <c r="F1629" s="114" t="str">
        <f>IF(INDEX(I.Facility.P1IDNumber,1617)="","",INDEX(I.Facility.P1IDNumber,1617))</f>
        <v/>
      </c>
      <c r="G1629" s="51"/>
      <c r="H1629" s="46" t="str">
        <f>IF(AND(I.Developer.P1=TRUE,I.Facility.P1FacilityCount&gt;=1617,F1629=""),"Incomplete","Complete")</f>
        <v>Complete</v>
      </c>
      <c r="I1629" s="48" t="s">
        <v>5994</v>
      </c>
    </row>
    <row r="1630" spans="2:9" ht="15" customHeight="1" x14ac:dyDescent="0.25">
      <c r="B1630" s="55" t="s">
        <v>279</v>
      </c>
      <c r="C1630" s="46">
        <v>1618</v>
      </c>
      <c r="D1630" s="69" t="s">
        <v>29416</v>
      </c>
      <c r="E1630" s="51"/>
      <c r="F1630" s="114" t="str">
        <f>IF(INDEX(I.Facility.P1IDNumber,1618)="","",INDEX(I.Facility.P1IDNumber,1618))</f>
        <v/>
      </c>
      <c r="G1630" s="51"/>
      <c r="H1630" s="46" t="str">
        <f>IF(AND(I.Developer.P1=TRUE,I.Facility.P1FacilityCount&gt;=1618,F1630=""),"Incomplete","Complete")</f>
        <v>Complete</v>
      </c>
      <c r="I1630" s="48" t="s">
        <v>5995</v>
      </c>
    </row>
    <row r="1631" spans="2:9" ht="15" customHeight="1" x14ac:dyDescent="0.25">
      <c r="B1631" s="55" t="s">
        <v>279</v>
      </c>
      <c r="C1631" s="46">
        <v>1619</v>
      </c>
      <c r="D1631" s="69" t="s">
        <v>29416</v>
      </c>
      <c r="E1631" s="51"/>
      <c r="F1631" s="114" t="str">
        <f>IF(INDEX(I.Facility.P1IDNumber,1619)="","",INDEX(I.Facility.P1IDNumber,1619))</f>
        <v/>
      </c>
      <c r="G1631" s="51"/>
      <c r="H1631" s="46" t="str">
        <f>IF(AND(I.Developer.P1=TRUE,I.Facility.P1FacilityCount&gt;=1619,F1631=""),"Incomplete","Complete")</f>
        <v>Complete</v>
      </c>
      <c r="I1631" s="48" t="s">
        <v>5996</v>
      </c>
    </row>
    <row r="1632" spans="2:9" ht="15" customHeight="1" x14ac:dyDescent="0.25">
      <c r="B1632" s="55" t="s">
        <v>279</v>
      </c>
      <c r="C1632" s="46">
        <v>1620</v>
      </c>
      <c r="D1632" s="69" t="s">
        <v>29416</v>
      </c>
      <c r="E1632" s="51"/>
      <c r="F1632" s="114" t="str">
        <f>IF(INDEX(I.Facility.P1IDNumber,1620)="","",INDEX(I.Facility.P1IDNumber,1620))</f>
        <v/>
      </c>
      <c r="G1632" s="51"/>
      <c r="H1632" s="46" t="str">
        <f>IF(AND(I.Developer.P1=TRUE,I.Facility.P1FacilityCount&gt;=1620,F1632=""),"Incomplete","Complete")</f>
        <v>Complete</v>
      </c>
      <c r="I1632" s="48" t="s">
        <v>5997</v>
      </c>
    </row>
    <row r="1633" spans="2:9" ht="15" customHeight="1" x14ac:dyDescent="0.25">
      <c r="B1633" s="55" t="s">
        <v>279</v>
      </c>
      <c r="C1633" s="46">
        <v>1621</v>
      </c>
      <c r="D1633" s="69" t="s">
        <v>29416</v>
      </c>
      <c r="E1633" s="51"/>
      <c r="F1633" s="114" t="str">
        <f>IF(INDEX(I.Facility.P1IDNumber,1621)="","",INDEX(I.Facility.P1IDNumber,1621))</f>
        <v/>
      </c>
      <c r="G1633" s="51"/>
      <c r="H1633" s="46" t="str">
        <f>IF(AND(I.Developer.P1=TRUE,I.Facility.P1FacilityCount&gt;=1621,F1633=""),"Incomplete","Complete")</f>
        <v>Complete</v>
      </c>
      <c r="I1633" s="48" t="s">
        <v>5998</v>
      </c>
    </row>
    <row r="1634" spans="2:9" ht="15" customHeight="1" x14ac:dyDescent="0.25">
      <c r="B1634" s="55" t="s">
        <v>279</v>
      </c>
      <c r="C1634" s="46">
        <v>1622</v>
      </c>
      <c r="D1634" s="69" t="s">
        <v>29416</v>
      </c>
      <c r="E1634" s="51"/>
      <c r="F1634" s="114" t="str">
        <f>IF(INDEX(I.Facility.P1IDNumber,1622)="","",INDEX(I.Facility.P1IDNumber,1622))</f>
        <v/>
      </c>
      <c r="G1634" s="51"/>
      <c r="H1634" s="46" t="str">
        <f>IF(AND(I.Developer.P1=TRUE,I.Facility.P1FacilityCount&gt;=1622,F1634=""),"Incomplete","Complete")</f>
        <v>Complete</v>
      </c>
      <c r="I1634" s="48" t="s">
        <v>5999</v>
      </c>
    </row>
    <row r="1635" spans="2:9" ht="15" customHeight="1" x14ac:dyDescent="0.25">
      <c r="B1635" s="55" t="s">
        <v>279</v>
      </c>
      <c r="C1635" s="46">
        <v>1623</v>
      </c>
      <c r="D1635" s="69" t="s">
        <v>29416</v>
      </c>
      <c r="E1635" s="51"/>
      <c r="F1635" s="114" t="str">
        <f>IF(INDEX(I.Facility.P1IDNumber,1623)="","",INDEX(I.Facility.P1IDNumber,1623))</f>
        <v/>
      </c>
      <c r="G1635" s="51"/>
      <c r="H1635" s="46" t="str">
        <f>IF(AND(I.Developer.P1=TRUE,I.Facility.P1FacilityCount&gt;=1623,F1635=""),"Incomplete","Complete")</f>
        <v>Complete</v>
      </c>
      <c r="I1635" s="48" t="s">
        <v>6000</v>
      </c>
    </row>
    <row r="1636" spans="2:9" ht="15" customHeight="1" x14ac:dyDescent="0.25">
      <c r="B1636" s="55" t="s">
        <v>279</v>
      </c>
      <c r="C1636" s="46">
        <v>1624</v>
      </c>
      <c r="D1636" s="69" t="s">
        <v>29416</v>
      </c>
      <c r="E1636" s="51"/>
      <c r="F1636" s="114" t="str">
        <f>IF(INDEX(I.Facility.P1IDNumber,1624)="","",INDEX(I.Facility.P1IDNumber,1624))</f>
        <v/>
      </c>
      <c r="G1636" s="51"/>
      <c r="H1636" s="46" t="str">
        <f>IF(AND(I.Developer.P1=TRUE,I.Facility.P1FacilityCount&gt;=1624,F1636=""),"Incomplete","Complete")</f>
        <v>Complete</v>
      </c>
      <c r="I1636" s="48" t="s">
        <v>6001</v>
      </c>
    </row>
    <row r="1637" spans="2:9" ht="15" customHeight="1" x14ac:dyDescent="0.25">
      <c r="B1637" s="55" t="s">
        <v>279</v>
      </c>
      <c r="C1637" s="46">
        <v>1625</v>
      </c>
      <c r="D1637" s="69" t="s">
        <v>29416</v>
      </c>
      <c r="E1637" s="51"/>
      <c r="F1637" s="114" t="str">
        <f>IF(INDEX(I.Facility.P1IDNumber,1625)="","",INDEX(I.Facility.P1IDNumber,1625))</f>
        <v/>
      </c>
      <c r="G1637" s="51"/>
      <c r="H1637" s="46" t="str">
        <f>IF(AND(I.Developer.P1=TRUE,I.Facility.P1FacilityCount&gt;=1625,F1637=""),"Incomplete","Complete")</f>
        <v>Complete</v>
      </c>
      <c r="I1637" s="48" t="s">
        <v>6002</v>
      </c>
    </row>
    <row r="1638" spans="2:9" ht="15" customHeight="1" x14ac:dyDescent="0.25">
      <c r="B1638" s="55" t="s">
        <v>279</v>
      </c>
      <c r="C1638" s="46">
        <v>1626</v>
      </c>
      <c r="D1638" s="69" t="s">
        <v>29416</v>
      </c>
      <c r="E1638" s="51"/>
      <c r="F1638" s="114" t="str">
        <f>IF(INDEX(I.Facility.P1IDNumber,1626)="","",INDEX(I.Facility.P1IDNumber,1626))</f>
        <v/>
      </c>
      <c r="G1638" s="51"/>
      <c r="H1638" s="46" t="str">
        <f>IF(AND(I.Developer.P1=TRUE,I.Facility.P1FacilityCount&gt;=1626,F1638=""),"Incomplete","Complete")</f>
        <v>Complete</v>
      </c>
      <c r="I1638" s="48" t="s">
        <v>6003</v>
      </c>
    </row>
    <row r="1639" spans="2:9" ht="15" customHeight="1" x14ac:dyDescent="0.25">
      <c r="B1639" s="55" t="s">
        <v>279</v>
      </c>
      <c r="C1639" s="46">
        <v>1627</v>
      </c>
      <c r="D1639" s="69" t="s">
        <v>29416</v>
      </c>
      <c r="E1639" s="51"/>
      <c r="F1639" s="114" t="str">
        <f>IF(INDEX(I.Facility.P1IDNumber,1627)="","",INDEX(I.Facility.P1IDNumber,1627))</f>
        <v/>
      </c>
      <c r="G1639" s="51"/>
      <c r="H1639" s="46" t="str">
        <f>IF(AND(I.Developer.P1=TRUE,I.Facility.P1FacilityCount&gt;=1627,F1639=""),"Incomplete","Complete")</f>
        <v>Complete</v>
      </c>
      <c r="I1639" s="48" t="s">
        <v>6004</v>
      </c>
    </row>
    <row r="1640" spans="2:9" ht="15" customHeight="1" x14ac:dyDescent="0.25">
      <c r="B1640" s="55" t="s">
        <v>279</v>
      </c>
      <c r="C1640" s="46">
        <v>1628</v>
      </c>
      <c r="D1640" s="69" t="s">
        <v>29416</v>
      </c>
      <c r="E1640" s="51"/>
      <c r="F1640" s="114" t="str">
        <f>IF(INDEX(I.Facility.P1IDNumber,1628)="","",INDEX(I.Facility.P1IDNumber,1628))</f>
        <v/>
      </c>
      <c r="G1640" s="51"/>
      <c r="H1640" s="46" t="str">
        <f>IF(AND(I.Developer.P1=TRUE,I.Facility.P1FacilityCount&gt;=1628,F1640=""),"Incomplete","Complete")</f>
        <v>Complete</v>
      </c>
      <c r="I1640" s="48" t="s">
        <v>6005</v>
      </c>
    </row>
    <row r="1641" spans="2:9" ht="15" customHeight="1" x14ac:dyDescent="0.25">
      <c r="B1641" s="55" t="s">
        <v>279</v>
      </c>
      <c r="C1641" s="46">
        <v>1629</v>
      </c>
      <c r="D1641" s="69" t="s">
        <v>29416</v>
      </c>
      <c r="E1641" s="51"/>
      <c r="F1641" s="114" t="str">
        <f>IF(INDEX(I.Facility.P1IDNumber,1629)="","",INDEX(I.Facility.P1IDNumber,1629))</f>
        <v/>
      </c>
      <c r="G1641" s="51"/>
      <c r="H1641" s="46" t="str">
        <f>IF(AND(I.Developer.P1=TRUE,I.Facility.P1FacilityCount&gt;=1629,F1641=""),"Incomplete","Complete")</f>
        <v>Complete</v>
      </c>
      <c r="I1641" s="48" t="s">
        <v>6006</v>
      </c>
    </row>
    <row r="1642" spans="2:9" ht="15" customHeight="1" x14ac:dyDescent="0.25">
      <c r="B1642" s="55" t="s">
        <v>279</v>
      </c>
      <c r="C1642" s="46">
        <v>1630</v>
      </c>
      <c r="D1642" s="69" t="s">
        <v>29416</v>
      </c>
      <c r="E1642" s="51"/>
      <c r="F1642" s="114" t="str">
        <f>IF(INDEX(I.Facility.P1IDNumber,1630)="","",INDEX(I.Facility.P1IDNumber,1630))</f>
        <v/>
      </c>
      <c r="G1642" s="51"/>
      <c r="H1642" s="46" t="str">
        <f>IF(AND(I.Developer.P1=TRUE,I.Facility.P1FacilityCount&gt;=1630,F1642=""),"Incomplete","Complete")</f>
        <v>Complete</v>
      </c>
      <c r="I1642" s="48" t="s">
        <v>6007</v>
      </c>
    </row>
    <row r="1643" spans="2:9" ht="15" customHeight="1" x14ac:dyDescent="0.25">
      <c r="B1643" s="55" t="s">
        <v>279</v>
      </c>
      <c r="C1643" s="46">
        <v>1631</v>
      </c>
      <c r="D1643" s="69" t="s">
        <v>29416</v>
      </c>
      <c r="E1643" s="51"/>
      <c r="F1643" s="114" t="str">
        <f>IF(INDEX(I.Facility.P1IDNumber,1631)="","",INDEX(I.Facility.P1IDNumber,1631))</f>
        <v/>
      </c>
      <c r="G1643" s="51"/>
      <c r="H1643" s="46" t="str">
        <f>IF(AND(I.Developer.P1=TRUE,I.Facility.P1FacilityCount&gt;=1631,F1643=""),"Incomplete","Complete")</f>
        <v>Complete</v>
      </c>
      <c r="I1643" s="48" t="s">
        <v>6008</v>
      </c>
    </row>
    <row r="1644" spans="2:9" ht="15" customHeight="1" x14ac:dyDescent="0.25">
      <c r="B1644" s="55" t="s">
        <v>279</v>
      </c>
      <c r="C1644" s="46">
        <v>1632</v>
      </c>
      <c r="D1644" s="69" t="s">
        <v>29416</v>
      </c>
      <c r="E1644" s="51"/>
      <c r="F1644" s="114" t="str">
        <f>IF(INDEX(I.Facility.P1IDNumber,1632)="","",INDEX(I.Facility.P1IDNumber,1632))</f>
        <v/>
      </c>
      <c r="G1644" s="51"/>
      <c r="H1644" s="46" t="str">
        <f>IF(AND(I.Developer.P1=TRUE,I.Facility.P1FacilityCount&gt;=1632,F1644=""),"Incomplete","Complete")</f>
        <v>Complete</v>
      </c>
      <c r="I1644" s="48" t="s">
        <v>6009</v>
      </c>
    </row>
    <row r="1645" spans="2:9" ht="15" customHeight="1" x14ac:dyDescent="0.25">
      <c r="B1645" s="55" t="s">
        <v>279</v>
      </c>
      <c r="C1645" s="46">
        <v>1633</v>
      </c>
      <c r="D1645" s="69" t="s">
        <v>29416</v>
      </c>
      <c r="E1645" s="51"/>
      <c r="F1645" s="114" t="str">
        <f>IF(INDEX(I.Facility.P1IDNumber,1633)="","",INDEX(I.Facility.P1IDNumber,1633))</f>
        <v/>
      </c>
      <c r="G1645" s="51"/>
      <c r="H1645" s="46" t="str">
        <f>IF(AND(I.Developer.P1=TRUE,I.Facility.P1FacilityCount&gt;=1633,F1645=""),"Incomplete","Complete")</f>
        <v>Complete</v>
      </c>
      <c r="I1645" s="48" t="s">
        <v>6010</v>
      </c>
    </row>
    <row r="1646" spans="2:9" ht="15" customHeight="1" x14ac:dyDescent="0.25">
      <c r="B1646" s="55" t="s">
        <v>279</v>
      </c>
      <c r="C1646" s="46">
        <v>1634</v>
      </c>
      <c r="D1646" s="69" t="s">
        <v>29416</v>
      </c>
      <c r="E1646" s="51"/>
      <c r="F1646" s="114" t="str">
        <f>IF(INDEX(I.Facility.P1IDNumber,1634)="","",INDEX(I.Facility.P1IDNumber,1634))</f>
        <v/>
      </c>
      <c r="G1646" s="51"/>
      <c r="H1646" s="46" t="str">
        <f>IF(AND(I.Developer.P1=TRUE,I.Facility.P1FacilityCount&gt;=1634,F1646=""),"Incomplete","Complete")</f>
        <v>Complete</v>
      </c>
      <c r="I1646" s="48" t="s">
        <v>6011</v>
      </c>
    </row>
    <row r="1647" spans="2:9" ht="15" customHeight="1" x14ac:dyDescent="0.25">
      <c r="B1647" s="55" t="s">
        <v>279</v>
      </c>
      <c r="C1647" s="46">
        <v>1635</v>
      </c>
      <c r="D1647" s="69" t="s">
        <v>29416</v>
      </c>
      <c r="E1647" s="51"/>
      <c r="F1647" s="114" t="str">
        <f>IF(INDEX(I.Facility.P1IDNumber,1635)="","",INDEX(I.Facility.P1IDNumber,1635))</f>
        <v/>
      </c>
      <c r="G1647" s="51"/>
      <c r="H1647" s="46" t="str">
        <f>IF(AND(I.Developer.P1=TRUE,I.Facility.P1FacilityCount&gt;=1635,F1647=""),"Incomplete","Complete")</f>
        <v>Complete</v>
      </c>
      <c r="I1647" s="48" t="s">
        <v>6012</v>
      </c>
    </row>
    <row r="1648" spans="2:9" ht="15" customHeight="1" x14ac:dyDescent="0.25">
      <c r="B1648" s="55" t="s">
        <v>279</v>
      </c>
      <c r="C1648" s="46">
        <v>1636</v>
      </c>
      <c r="D1648" s="69" t="s">
        <v>29416</v>
      </c>
      <c r="E1648" s="51"/>
      <c r="F1648" s="114" t="str">
        <f>IF(INDEX(I.Facility.P1IDNumber,1636)="","",INDEX(I.Facility.P1IDNumber,1636))</f>
        <v/>
      </c>
      <c r="G1648" s="51"/>
      <c r="H1648" s="46" t="str">
        <f>IF(AND(I.Developer.P1=TRUE,I.Facility.P1FacilityCount&gt;=1636,F1648=""),"Incomplete","Complete")</f>
        <v>Complete</v>
      </c>
      <c r="I1648" s="48" t="s">
        <v>6013</v>
      </c>
    </row>
    <row r="1649" spans="2:9" ht="15" customHeight="1" x14ac:dyDescent="0.25">
      <c r="B1649" s="55" t="s">
        <v>279</v>
      </c>
      <c r="C1649" s="46">
        <v>1637</v>
      </c>
      <c r="D1649" s="69" t="s">
        <v>29416</v>
      </c>
      <c r="E1649" s="51"/>
      <c r="F1649" s="114" t="str">
        <f>IF(INDEX(I.Facility.P1IDNumber,1637)="","",INDEX(I.Facility.P1IDNumber,1637))</f>
        <v/>
      </c>
      <c r="G1649" s="51"/>
      <c r="H1649" s="46" t="str">
        <f>IF(AND(I.Developer.P1=TRUE,I.Facility.P1FacilityCount&gt;=1637,F1649=""),"Incomplete","Complete")</f>
        <v>Complete</v>
      </c>
      <c r="I1649" s="48" t="s">
        <v>6014</v>
      </c>
    </row>
    <row r="1650" spans="2:9" ht="15" customHeight="1" x14ac:dyDescent="0.25">
      <c r="B1650" s="55" t="s">
        <v>279</v>
      </c>
      <c r="C1650" s="46">
        <v>1638</v>
      </c>
      <c r="D1650" s="69" t="s">
        <v>29416</v>
      </c>
      <c r="E1650" s="51"/>
      <c r="F1650" s="114" t="str">
        <f>IF(INDEX(I.Facility.P1IDNumber,1638)="","",INDEX(I.Facility.P1IDNumber,1638))</f>
        <v/>
      </c>
      <c r="G1650" s="51"/>
      <c r="H1650" s="46" t="str">
        <f>IF(AND(I.Developer.P1=TRUE,I.Facility.P1FacilityCount&gt;=1638,F1650=""),"Incomplete","Complete")</f>
        <v>Complete</v>
      </c>
      <c r="I1650" s="48" t="s">
        <v>6015</v>
      </c>
    </row>
    <row r="1651" spans="2:9" ht="15" customHeight="1" x14ac:dyDescent="0.25">
      <c r="B1651" s="55" t="s">
        <v>279</v>
      </c>
      <c r="C1651" s="46">
        <v>1639</v>
      </c>
      <c r="D1651" s="69" t="s">
        <v>29416</v>
      </c>
      <c r="E1651" s="51"/>
      <c r="F1651" s="114" t="str">
        <f>IF(INDEX(I.Facility.P1IDNumber,1639)="","",INDEX(I.Facility.P1IDNumber,1639))</f>
        <v/>
      </c>
      <c r="G1651" s="51"/>
      <c r="H1651" s="46" t="str">
        <f>IF(AND(I.Developer.P1=TRUE,I.Facility.P1FacilityCount&gt;=1639,F1651=""),"Incomplete","Complete")</f>
        <v>Complete</v>
      </c>
      <c r="I1651" s="48" t="s">
        <v>6016</v>
      </c>
    </row>
    <row r="1652" spans="2:9" ht="15" customHeight="1" x14ac:dyDescent="0.25">
      <c r="B1652" s="55" t="s">
        <v>279</v>
      </c>
      <c r="C1652" s="46">
        <v>1640</v>
      </c>
      <c r="D1652" s="69" t="s">
        <v>29416</v>
      </c>
      <c r="E1652" s="51"/>
      <c r="F1652" s="114" t="str">
        <f>IF(INDEX(I.Facility.P1IDNumber,1640)="","",INDEX(I.Facility.P1IDNumber,1640))</f>
        <v/>
      </c>
      <c r="G1652" s="51"/>
      <c r="H1652" s="46" t="str">
        <f>IF(AND(I.Developer.P1=TRUE,I.Facility.P1FacilityCount&gt;=1640,F1652=""),"Incomplete","Complete")</f>
        <v>Complete</v>
      </c>
      <c r="I1652" s="48" t="s">
        <v>6017</v>
      </c>
    </row>
    <row r="1653" spans="2:9" ht="15" customHeight="1" x14ac:dyDescent="0.25">
      <c r="B1653" s="55" t="s">
        <v>279</v>
      </c>
      <c r="C1653" s="46">
        <v>1641</v>
      </c>
      <c r="D1653" s="69" t="s">
        <v>29416</v>
      </c>
      <c r="E1653" s="51"/>
      <c r="F1653" s="114" t="str">
        <f>IF(INDEX(I.Facility.P1IDNumber,1641)="","",INDEX(I.Facility.P1IDNumber,1641))</f>
        <v/>
      </c>
      <c r="G1653" s="51"/>
      <c r="H1653" s="46" t="str">
        <f>IF(AND(I.Developer.P1=TRUE,I.Facility.P1FacilityCount&gt;=1641,F1653=""),"Incomplete","Complete")</f>
        <v>Complete</v>
      </c>
      <c r="I1653" s="48" t="s">
        <v>6018</v>
      </c>
    </row>
    <row r="1654" spans="2:9" ht="15" customHeight="1" x14ac:dyDescent="0.25">
      <c r="B1654" s="55" t="s">
        <v>279</v>
      </c>
      <c r="C1654" s="46">
        <v>1642</v>
      </c>
      <c r="D1654" s="69" t="s">
        <v>29416</v>
      </c>
      <c r="E1654" s="51"/>
      <c r="F1654" s="114" t="str">
        <f>IF(INDEX(I.Facility.P1IDNumber,1642)="","",INDEX(I.Facility.P1IDNumber,1642))</f>
        <v/>
      </c>
      <c r="G1654" s="51"/>
      <c r="H1654" s="46" t="str">
        <f>IF(AND(I.Developer.P1=TRUE,I.Facility.P1FacilityCount&gt;=1642,F1654=""),"Incomplete","Complete")</f>
        <v>Complete</v>
      </c>
      <c r="I1654" s="48" t="s">
        <v>6019</v>
      </c>
    </row>
    <row r="1655" spans="2:9" ht="15" customHeight="1" x14ac:dyDescent="0.25">
      <c r="B1655" s="55" t="s">
        <v>279</v>
      </c>
      <c r="C1655" s="46">
        <v>1643</v>
      </c>
      <c r="D1655" s="69" t="s">
        <v>29416</v>
      </c>
      <c r="E1655" s="51"/>
      <c r="F1655" s="114" t="str">
        <f>IF(INDEX(I.Facility.P1IDNumber,1643)="","",INDEX(I.Facility.P1IDNumber,1643))</f>
        <v/>
      </c>
      <c r="G1655" s="51"/>
      <c r="H1655" s="46" t="str">
        <f>IF(AND(I.Developer.P1=TRUE,I.Facility.P1FacilityCount&gt;=1643,F1655=""),"Incomplete","Complete")</f>
        <v>Complete</v>
      </c>
      <c r="I1655" s="48" t="s">
        <v>6020</v>
      </c>
    </row>
    <row r="1656" spans="2:9" ht="15" customHeight="1" x14ac:dyDescent="0.25">
      <c r="B1656" s="55" t="s">
        <v>279</v>
      </c>
      <c r="C1656" s="46">
        <v>1644</v>
      </c>
      <c r="D1656" s="69" t="s">
        <v>29416</v>
      </c>
      <c r="E1656" s="51"/>
      <c r="F1656" s="114" t="str">
        <f>IF(INDEX(I.Facility.P1IDNumber,1644)="","",INDEX(I.Facility.P1IDNumber,1644))</f>
        <v/>
      </c>
      <c r="G1656" s="51"/>
      <c r="H1656" s="46" t="str">
        <f>IF(AND(I.Developer.P1=TRUE,I.Facility.P1FacilityCount&gt;=1644,F1656=""),"Incomplete","Complete")</f>
        <v>Complete</v>
      </c>
      <c r="I1656" s="48" t="s">
        <v>6021</v>
      </c>
    </row>
    <row r="1657" spans="2:9" ht="15" customHeight="1" x14ac:dyDescent="0.25">
      <c r="B1657" s="55" t="s">
        <v>279</v>
      </c>
      <c r="C1657" s="46">
        <v>1645</v>
      </c>
      <c r="D1657" s="69" t="s">
        <v>29416</v>
      </c>
      <c r="E1657" s="51"/>
      <c r="F1657" s="114" t="str">
        <f>IF(INDEX(I.Facility.P1IDNumber,1645)="","",INDEX(I.Facility.P1IDNumber,1645))</f>
        <v/>
      </c>
      <c r="G1657" s="51"/>
      <c r="H1657" s="46" t="str">
        <f>IF(AND(I.Developer.P1=TRUE,I.Facility.P1FacilityCount&gt;=1645,F1657=""),"Incomplete","Complete")</f>
        <v>Complete</v>
      </c>
      <c r="I1657" s="48" t="s">
        <v>6022</v>
      </c>
    </row>
    <row r="1658" spans="2:9" ht="15" customHeight="1" x14ac:dyDescent="0.25">
      <c r="B1658" s="55" t="s">
        <v>279</v>
      </c>
      <c r="C1658" s="46">
        <v>1646</v>
      </c>
      <c r="D1658" s="69" t="s">
        <v>29416</v>
      </c>
      <c r="E1658" s="51"/>
      <c r="F1658" s="114" t="str">
        <f>IF(INDEX(I.Facility.P1IDNumber,1646)="","",INDEX(I.Facility.P1IDNumber,1646))</f>
        <v/>
      </c>
      <c r="G1658" s="51"/>
      <c r="H1658" s="46" t="str">
        <f>IF(AND(I.Developer.P1=TRUE,I.Facility.P1FacilityCount&gt;=1646,F1658=""),"Incomplete","Complete")</f>
        <v>Complete</v>
      </c>
      <c r="I1658" s="48" t="s">
        <v>6023</v>
      </c>
    </row>
    <row r="1659" spans="2:9" ht="15" customHeight="1" x14ac:dyDescent="0.25">
      <c r="B1659" s="55" t="s">
        <v>279</v>
      </c>
      <c r="C1659" s="46">
        <v>1647</v>
      </c>
      <c r="D1659" s="69" t="s">
        <v>29416</v>
      </c>
      <c r="E1659" s="51"/>
      <c r="F1659" s="114" t="str">
        <f>IF(INDEX(I.Facility.P1IDNumber,1647)="","",INDEX(I.Facility.P1IDNumber,1647))</f>
        <v/>
      </c>
      <c r="G1659" s="51"/>
      <c r="H1659" s="46" t="str">
        <f>IF(AND(I.Developer.P1=TRUE,I.Facility.P1FacilityCount&gt;=1647,F1659=""),"Incomplete","Complete")</f>
        <v>Complete</v>
      </c>
      <c r="I1659" s="48" t="s">
        <v>6024</v>
      </c>
    </row>
    <row r="1660" spans="2:9" ht="15" customHeight="1" x14ac:dyDescent="0.25">
      <c r="B1660" s="55" t="s">
        <v>279</v>
      </c>
      <c r="C1660" s="46">
        <v>1648</v>
      </c>
      <c r="D1660" s="69" t="s">
        <v>29416</v>
      </c>
      <c r="E1660" s="51"/>
      <c r="F1660" s="114" t="str">
        <f>IF(INDEX(I.Facility.P1IDNumber,1648)="","",INDEX(I.Facility.P1IDNumber,1648))</f>
        <v/>
      </c>
      <c r="G1660" s="51"/>
      <c r="H1660" s="46" t="str">
        <f>IF(AND(I.Developer.P1=TRUE,I.Facility.P1FacilityCount&gt;=1648,F1660=""),"Incomplete","Complete")</f>
        <v>Complete</v>
      </c>
      <c r="I1660" s="48" t="s">
        <v>6025</v>
      </c>
    </row>
    <row r="1661" spans="2:9" ht="15" customHeight="1" x14ac:dyDescent="0.25">
      <c r="B1661" s="55" t="s">
        <v>279</v>
      </c>
      <c r="C1661" s="46">
        <v>1649</v>
      </c>
      <c r="D1661" s="69" t="s">
        <v>29416</v>
      </c>
      <c r="E1661" s="51"/>
      <c r="F1661" s="114" t="str">
        <f>IF(INDEX(I.Facility.P1IDNumber,1649)="","",INDEX(I.Facility.P1IDNumber,1649))</f>
        <v/>
      </c>
      <c r="G1661" s="51"/>
      <c r="H1661" s="46" t="str">
        <f>IF(AND(I.Developer.P1=TRUE,I.Facility.P1FacilityCount&gt;=1649,F1661=""),"Incomplete","Complete")</f>
        <v>Complete</v>
      </c>
      <c r="I1661" s="48" t="s">
        <v>6026</v>
      </c>
    </row>
    <row r="1662" spans="2:9" ht="15" customHeight="1" x14ac:dyDescent="0.25">
      <c r="B1662" s="55" t="s">
        <v>279</v>
      </c>
      <c r="C1662" s="46">
        <v>1650</v>
      </c>
      <c r="D1662" s="69" t="s">
        <v>29416</v>
      </c>
      <c r="E1662" s="51"/>
      <c r="F1662" s="114" t="str">
        <f>IF(INDEX(I.Facility.P1IDNumber,1650)="","",INDEX(I.Facility.P1IDNumber,1650))</f>
        <v/>
      </c>
      <c r="G1662" s="51"/>
      <c r="H1662" s="46" t="str">
        <f>IF(AND(I.Developer.P1=TRUE,I.Facility.P1FacilityCount&gt;=1650,F1662=""),"Incomplete","Complete")</f>
        <v>Complete</v>
      </c>
      <c r="I1662" s="48" t="s">
        <v>6027</v>
      </c>
    </row>
    <row r="1663" spans="2:9" ht="15" customHeight="1" x14ac:dyDescent="0.25">
      <c r="B1663" s="55" t="s">
        <v>279</v>
      </c>
      <c r="C1663" s="46">
        <v>1651</v>
      </c>
      <c r="D1663" s="69" t="s">
        <v>29416</v>
      </c>
      <c r="E1663" s="51"/>
      <c r="F1663" s="114" t="str">
        <f>IF(INDEX(I.Facility.P1IDNumber,1651)="","",INDEX(I.Facility.P1IDNumber,1651))</f>
        <v/>
      </c>
      <c r="G1663" s="51"/>
      <c r="H1663" s="46" t="str">
        <f>IF(AND(I.Developer.P1=TRUE,I.Facility.P1FacilityCount&gt;=1651,F1663=""),"Incomplete","Complete")</f>
        <v>Complete</v>
      </c>
      <c r="I1663" s="48" t="s">
        <v>6028</v>
      </c>
    </row>
    <row r="1664" spans="2:9" ht="15" customHeight="1" x14ac:dyDescent="0.25">
      <c r="B1664" s="55" t="s">
        <v>279</v>
      </c>
      <c r="C1664" s="46">
        <v>1652</v>
      </c>
      <c r="D1664" s="69" t="s">
        <v>29416</v>
      </c>
      <c r="E1664" s="51"/>
      <c r="F1664" s="114" t="str">
        <f>IF(INDEX(I.Facility.P1IDNumber,1652)="","",INDEX(I.Facility.P1IDNumber,1652))</f>
        <v/>
      </c>
      <c r="G1664" s="51"/>
      <c r="H1664" s="46" t="str">
        <f>IF(AND(I.Developer.P1=TRUE,I.Facility.P1FacilityCount&gt;=1652,F1664=""),"Incomplete","Complete")</f>
        <v>Complete</v>
      </c>
      <c r="I1664" s="48" t="s">
        <v>6029</v>
      </c>
    </row>
    <row r="1665" spans="2:9" ht="15" customHeight="1" x14ac:dyDescent="0.25">
      <c r="B1665" s="55" t="s">
        <v>279</v>
      </c>
      <c r="C1665" s="46">
        <v>1653</v>
      </c>
      <c r="D1665" s="69" t="s">
        <v>29416</v>
      </c>
      <c r="E1665" s="51"/>
      <c r="F1665" s="114" t="str">
        <f>IF(INDEX(I.Facility.P1IDNumber,1653)="","",INDEX(I.Facility.P1IDNumber,1653))</f>
        <v/>
      </c>
      <c r="G1665" s="51"/>
      <c r="H1665" s="46" t="str">
        <f>IF(AND(I.Developer.P1=TRUE,I.Facility.P1FacilityCount&gt;=1653,F1665=""),"Incomplete","Complete")</f>
        <v>Complete</v>
      </c>
      <c r="I1665" s="48" t="s">
        <v>6030</v>
      </c>
    </row>
    <row r="1666" spans="2:9" ht="15" customHeight="1" x14ac:dyDescent="0.25">
      <c r="B1666" s="55" t="s">
        <v>279</v>
      </c>
      <c r="C1666" s="46">
        <v>1654</v>
      </c>
      <c r="D1666" s="69" t="s">
        <v>29416</v>
      </c>
      <c r="E1666" s="51"/>
      <c r="F1666" s="114" t="str">
        <f>IF(INDEX(I.Facility.P1IDNumber,1654)="","",INDEX(I.Facility.P1IDNumber,1654))</f>
        <v/>
      </c>
      <c r="G1666" s="51"/>
      <c r="H1666" s="46" t="str">
        <f>IF(AND(I.Developer.P1=TRUE,I.Facility.P1FacilityCount&gt;=1654,F1666=""),"Incomplete","Complete")</f>
        <v>Complete</v>
      </c>
      <c r="I1666" s="48" t="s">
        <v>6031</v>
      </c>
    </row>
    <row r="1667" spans="2:9" ht="15" customHeight="1" x14ac:dyDescent="0.25">
      <c r="B1667" s="55" t="s">
        <v>279</v>
      </c>
      <c r="C1667" s="46">
        <v>1655</v>
      </c>
      <c r="D1667" s="69" t="s">
        <v>29416</v>
      </c>
      <c r="E1667" s="51"/>
      <c r="F1667" s="114" t="str">
        <f>IF(INDEX(I.Facility.P1IDNumber,1655)="","",INDEX(I.Facility.P1IDNumber,1655))</f>
        <v/>
      </c>
      <c r="G1667" s="51"/>
      <c r="H1667" s="46" t="str">
        <f>IF(AND(I.Developer.P1=TRUE,I.Facility.P1FacilityCount&gt;=1655,F1667=""),"Incomplete","Complete")</f>
        <v>Complete</v>
      </c>
      <c r="I1667" s="48" t="s">
        <v>6032</v>
      </c>
    </row>
    <row r="1668" spans="2:9" ht="15" customHeight="1" x14ac:dyDescent="0.25">
      <c r="B1668" s="55" t="s">
        <v>279</v>
      </c>
      <c r="C1668" s="46">
        <v>1656</v>
      </c>
      <c r="D1668" s="69" t="s">
        <v>29416</v>
      </c>
      <c r="E1668" s="51"/>
      <c r="F1668" s="114" t="str">
        <f>IF(INDEX(I.Facility.P1IDNumber,1656)="","",INDEX(I.Facility.P1IDNumber,1656))</f>
        <v/>
      </c>
      <c r="G1668" s="51"/>
      <c r="H1668" s="46" t="str">
        <f>IF(AND(I.Developer.P1=TRUE,I.Facility.P1FacilityCount&gt;=1656,F1668=""),"Incomplete","Complete")</f>
        <v>Complete</v>
      </c>
      <c r="I1668" s="48" t="s">
        <v>6033</v>
      </c>
    </row>
    <row r="1669" spans="2:9" ht="15" customHeight="1" x14ac:dyDescent="0.25">
      <c r="B1669" s="55" t="s">
        <v>279</v>
      </c>
      <c r="C1669" s="46">
        <v>1657</v>
      </c>
      <c r="D1669" s="69" t="s">
        <v>29416</v>
      </c>
      <c r="E1669" s="51"/>
      <c r="F1669" s="114" t="str">
        <f>IF(INDEX(I.Facility.P1IDNumber,1657)="","",INDEX(I.Facility.P1IDNumber,1657))</f>
        <v/>
      </c>
      <c r="G1669" s="51"/>
      <c r="H1669" s="46" t="str">
        <f>IF(AND(I.Developer.P1=TRUE,I.Facility.P1FacilityCount&gt;=1657,F1669=""),"Incomplete","Complete")</f>
        <v>Complete</v>
      </c>
      <c r="I1669" s="48" t="s">
        <v>6034</v>
      </c>
    </row>
    <row r="1670" spans="2:9" ht="15" customHeight="1" x14ac:dyDescent="0.25">
      <c r="B1670" s="55" t="s">
        <v>279</v>
      </c>
      <c r="C1670" s="46">
        <v>1658</v>
      </c>
      <c r="D1670" s="69" t="s">
        <v>29416</v>
      </c>
      <c r="E1670" s="51"/>
      <c r="F1670" s="114" t="str">
        <f>IF(INDEX(I.Facility.P1IDNumber,1658)="","",INDEX(I.Facility.P1IDNumber,1658))</f>
        <v/>
      </c>
      <c r="G1670" s="51"/>
      <c r="H1670" s="46" t="str">
        <f>IF(AND(I.Developer.P1=TRUE,I.Facility.P1FacilityCount&gt;=1658,F1670=""),"Incomplete","Complete")</f>
        <v>Complete</v>
      </c>
      <c r="I1670" s="48" t="s">
        <v>6035</v>
      </c>
    </row>
    <row r="1671" spans="2:9" ht="15" customHeight="1" x14ac:dyDescent="0.25">
      <c r="B1671" s="55" t="s">
        <v>279</v>
      </c>
      <c r="C1671" s="46">
        <v>1659</v>
      </c>
      <c r="D1671" s="69" t="s">
        <v>29416</v>
      </c>
      <c r="E1671" s="51"/>
      <c r="F1671" s="114" t="str">
        <f>IF(INDEX(I.Facility.P1IDNumber,1659)="","",INDEX(I.Facility.P1IDNumber,1659))</f>
        <v/>
      </c>
      <c r="G1671" s="51"/>
      <c r="H1671" s="46" t="str">
        <f>IF(AND(I.Developer.P1=TRUE,I.Facility.P1FacilityCount&gt;=1659,F1671=""),"Incomplete","Complete")</f>
        <v>Complete</v>
      </c>
      <c r="I1671" s="48" t="s">
        <v>6036</v>
      </c>
    </row>
    <row r="1672" spans="2:9" ht="15" customHeight="1" x14ac:dyDescent="0.25">
      <c r="B1672" s="55" t="s">
        <v>279</v>
      </c>
      <c r="C1672" s="46">
        <v>1660</v>
      </c>
      <c r="D1672" s="69" t="s">
        <v>29416</v>
      </c>
      <c r="E1672" s="51"/>
      <c r="F1672" s="114" t="str">
        <f>IF(INDEX(I.Facility.P1IDNumber,1660)="","",INDEX(I.Facility.P1IDNumber,1660))</f>
        <v/>
      </c>
      <c r="G1672" s="51"/>
      <c r="H1672" s="46" t="str">
        <f>IF(AND(I.Developer.P1=TRUE,I.Facility.P1FacilityCount&gt;=1660,F1672=""),"Incomplete","Complete")</f>
        <v>Complete</v>
      </c>
      <c r="I1672" s="48" t="s">
        <v>6037</v>
      </c>
    </row>
    <row r="1673" spans="2:9" ht="15" customHeight="1" x14ac:dyDescent="0.25">
      <c r="B1673" s="55" t="s">
        <v>279</v>
      </c>
      <c r="C1673" s="46">
        <v>1661</v>
      </c>
      <c r="D1673" s="69" t="s">
        <v>29416</v>
      </c>
      <c r="E1673" s="51"/>
      <c r="F1673" s="114" t="str">
        <f>IF(INDEX(I.Facility.P1IDNumber,1661)="","",INDEX(I.Facility.P1IDNumber,1661))</f>
        <v/>
      </c>
      <c r="G1673" s="51"/>
      <c r="H1673" s="46" t="str">
        <f>IF(AND(I.Developer.P1=TRUE,I.Facility.P1FacilityCount&gt;=1661,F1673=""),"Incomplete","Complete")</f>
        <v>Complete</v>
      </c>
      <c r="I1673" s="48" t="s">
        <v>6038</v>
      </c>
    </row>
    <row r="1674" spans="2:9" ht="15" customHeight="1" x14ac:dyDescent="0.25">
      <c r="B1674" s="55" t="s">
        <v>279</v>
      </c>
      <c r="C1674" s="46">
        <v>1662</v>
      </c>
      <c r="D1674" s="69" t="s">
        <v>29416</v>
      </c>
      <c r="E1674" s="51"/>
      <c r="F1674" s="114" t="str">
        <f>IF(INDEX(I.Facility.P1IDNumber,1662)="","",INDEX(I.Facility.P1IDNumber,1662))</f>
        <v/>
      </c>
      <c r="G1674" s="51"/>
      <c r="H1674" s="46" t="str">
        <f>IF(AND(I.Developer.P1=TRUE,I.Facility.P1FacilityCount&gt;=1662,F1674=""),"Incomplete","Complete")</f>
        <v>Complete</v>
      </c>
      <c r="I1674" s="48" t="s">
        <v>6039</v>
      </c>
    </row>
    <row r="1675" spans="2:9" ht="15" customHeight="1" x14ac:dyDescent="0.25">
      <c r="B1675" s="55" t="s">
        <v>279</v>
      </c>
      <c r="C1675" s="46">
        <v>1663</v>
      </c>
      <c r="D1675" s="69" t="s">
        <v>29416</v>
      </c>
      <c r="E1675" s="51"/>
      <c r="F1675" s="114" t="str">
        <f>IF(INDEX(I.Facility.P1IDNumber,1663)="","",INDEX(I.Facility.P1IDNumber,1663))</f>
        <v/>
      </c>
      <c r="G1675" s="51"/>
      <c r="H1675" s="46" t="str">
        <f>IF(AND(I.Developer.P1=TRUE,I.Facility.P1FacilityCount&gt;=1663,F1675=""),"Incomplete","Complete")</f>
        <v>Complete</v>
      </c>
      <c r="I1675" s="48" t="s">
        <v>6040</v>
      </c>
    </row>
    <row r="1676" spans="2:9" ht="15" customHeight="1" x14ac:dyDescent="0.25">
      <c r="B1676" s="55" t="s">
        <v>279</v>
      </c>
      <c r="C1676" s="46">
        <v>1664</v>
      </c>
      <c r="D1676" s="69" t="s">
        <v>29416</v>
      </c>
      <c r="E1676" s="51"/>
      <c r="F1676" s="114" t="str">
        <f>IF(INDEX(I.Facility.P1IDNumber,1664)="","",INDEX(I.Facility.P1IDNumber,1664))</f>
        <v/>
      </c>
      <c r="G1676" s="51"/>
      <c r="H1676" s="46" t="str">
        <f>IF(AND(I.Developer.P1=TRUE,I.Facility.P1FacilityCount&gt;=1664,F1676=""),"Incomplete","Complete")</f>
        <v>Complete</v>
      </c>
      <c r="I1676" s="48" t="s">
        <v>6041</v>
      </c>
    </row>
    <row r="1677" spans="2:9" ht="15" customHeight="1" x14ac:dyDescent="0.25">
      <c r="B1677" s="55" t="s">
        <v>279</v>
      </c>
      <c r="C1677" s="46">
        <v>1665</v>
      </c>
      <c r="D1677" s="69" t="s">
        <v>29416</v>
      </c>
      <c r="E1677" s="51"/>
      <c r="F1677" s="114" t="str">
        <f>IF(INDEX(I.Facility.P1IDNumber,1665)="","",INDEX(I.Facility.P1IDNumber,1665))</f>
        <v/>
      </c>
      <c r="G1677" s="51"/>
      <c r="H1677" s="46" t="str">
        <f>IF(AND(I.Developer.P1=TRUE,I.Facility.P1FacilityCount&gt;=1665,F1677=""),"Incomplete","Complete")</f>
        <v>Complete</v>
      </c>
      <c r="I1677" s="48" t="s">
        <v>6042</v>
      </c>
    </row>
    <row r="1678" spans="2:9" ht="15" customHeight="1" x14ac:dyDescent="0.25">
      <c r="B1678" s="55" t="s">
        <v>279</v>
      </c>
      <c r="C1678" s="46">
        <v>1666</v>
      </c>
      <c r="D1678" s="69" t="s">
        <v>29416</v>
      </c>
      <c r="E1678" s="51"/>
      <c r="F1678" s="114" t="str">
        <f>IF(INDEX(I.Facility.P1IDNumber,1666)="","",INDEX(I.Facility.P1IDNumber,1666))</f>
        <v/>
      </c>
      <c r="G1678" s="51"/>
      <c r="H1678" s="46" t="str">
        <f>IF(AND(I.Developer.P1=TRUE,I.Facility.P1FacilityCount&gt;=1666,F1678=""),"Incomplete","Complete")</f>
        <v>Complete</v>
      </c>
      <c r="I1678" s="48" t="s">
        <v>6043</v>
      </c>
    </row>
    <row r="1679" spans="2:9" ht="15" customHeight="1" x14ac:dyDescent="0.25">
      <c r="B1679" s="55" t="s">
        <v>279</v>
      </c>
      <c r="C1679" s="46">
        <v>1667</v>
      </c>
      <c r="D1679" s="69" t="s">
        <v>29416</v>
      </c>
      <c r="E1679" s="51"/>
      <c r="F1679" s="114" t="str">
        <f>IF(INDEX(I.Facility.P1IDNumber,1667)="","",INDEX(I.Facility.P1IDNumber,1667))</f>
        <v/>
      </c>
      <c r="G1679" s="51"/>
      <c r="H1679" s="46" t="str">
        <f>IF(AND(I.Developer.P1=TRUE,I.Facility.P1FacilityCount&gt;=1667,F1679=""),"Incomplete","Complete")</f>
        <v>Complete</v>
      </c>
      <c r="I1679" s="48" t="s">
        <v>6044</v>
      </c>
    </row>
    <row r="1680" spans="2:9" ht="15" customHeight="1" x14ac:dyDescent="0.25">
      <c r="B1680" s="55" t="s">
        <v>279</v>
      </c>
      <c r="C1680" s="46">
        <v>1668</v>
      </c>
      <c r="D1680" s="69" t="s">
        <v>29416</v>
      </c>
      <c r="E1680" s="51"/>
      <c r="F1680" s="114" t="str">
        <f>IF(INDEX(I.Facility.P1IDNumber,1668)="","",INDEX(I.Facility.P1IDNumber,1668))</f>
        <v/>
      </c>
      <c r="G1680" s="51"/>
      <c r="H1680" s="46" t="str">
        <f>IF(AND(I.Developer.P1=TRUE,I.Facility.P1FacilityCount&gt;=1668,F1680=""),"Incomplete","Complete")</f>
        <v>Complete</v>
      </c>
      <c r="I1680" s="48" t="s">
        <v>6045</v>
      </c>
    </row>
    <row r="1681" spans="2:9" ht="15" customHeight="1" x14ac:dyDescent="0.25">
      <c r="B1681" s="55" t="s">
        <v>279</v>
      </c>
      <c r="C1681" s="46">
        <v>1669</v>
      </c>
      <c r="D1681" s="69" t="s">
        <v>29416</v>
      </c>
      <c r="E1681" s="51"/>
      <c r="F1681" s="114" t="str">
        <f>IF(INDEX(I.Facility.P1IDNumber,1669)="","",INDEX(I.Facility.P1IDNumber,1669))</f>
        <v/>
      </c>
      <c r="G1681" s="51"/>
      <c r="H1681" s="46" t="str">
        <f>IF(AND(I.Developer.P1=TRUE,I.Facility.P1FacilityCount&gt;=1669,F1681=""),"Incomplete","Complete")</f>
        <v>Complete</v>
      </c>
      <c r="I1681" s="48" t="s">
        <v>6046</v>
      </c>
    </row>
    <row r="1682" spans="2:9" ht="15" customHeight="1" x14ac:dyDescent="0.25">
      <c r="B1682" s="55" t="s">
        <v>279</v>
      </c>
      <c r="C1682" s="46">
        <v>1670</v>
      </c>
      <c r="D1682" s="69" t="s">
        <v>29416</v>
      </c>
      <c r="E1682" s="51"/>
      <c r="F1682" s="114" t="str">
        <f>IF(INDEX(I.Facility.P1IDNumber,1670)="","",INDEX(I.Facility.P1IDNumber,1670))</f>
        <v/>
      </c>
      <c r="G1682" s="51"/>
      <c r="H1682" s="46" t="str">
        <f>IF(AND(I.Developer.P1=TRUE,I.Facility.P1FacilityCount&gt;=1670,F1682=""),"Incomplete","Complete")</f>
        <v>Complete</v>
      </c>
      <c r="I1682" s="48" t="s">
        <v>6047</v>
      </c>
    </row>
    <row r="1683" spans="2:9" ht="15" customHeight="1" x14ac:dyDescent="0.25">
      <c r="B1683" s="55" t="s">
        <v>279</v>
      </c>
      <c r="C1683" s="46">
        <v>1671</v>
      </c>
      <c r="D1683" s="69" t="s">
        <v>29416</v>
      </c>
      <c r="E1683" s="51"/>
      <c r="F1683" s="114" t="str">
        <f>IF(INDEX(I.Facility.P1IDNumber,1671)="","",INDEX(I.Facility.P1IDNumber,1671))</f>
        <v/>
      </c>
      <c r="G1683" s="51"/>
      <c r="H1683" s="46" t="str">
        <f>IF(AND(I.Developer.P1=TRUE,I.Facility.P1FacilityCount&gt;=1671,F1683=""),"Incomplete","Complete")</f>
        <v>Complete</v>
      </c>
      <c r="I1683" s="48" t="s">
        <v>6048</v>
      </c>
    </row>
    <row r="1684" spans="2:9" ht="15" customHeight="1" x14ac:dyDescent="0.25">
      <c r="B1684" s="55" t="s">
        <v>279</v>
      </c>
      <c r="C1684" s="46">
        <v>1672</v>
      </c>
      <c r="D1684" s="69" t="s">
        <v>29416</v>
      </c>
      <c r="E1684" s="51"/>
      <c r="F1684" s="114" t="str">
        <f>IF(INDEX(I.Facility.P1IDNumber,1672)="","",INDEX(I.Facility.P1IDNumber,1672))</f>
        <v/>
      </c>
      <c r="G1684" s="51"/>
      <c r="H1684" s="46" t="str">
        <f>IF(AND(I.Developer.P1=TRUE,I.Facility.P1FacilityCount&gt;=1672,F1684=""),"Incomplete","Complete")</f>
        <v>Complete</v>
      </c>
      <c r="I1684" s="48" t="s">
        <v>6049</v>
      </c>
    </row>
    <row r="1685" spans="2:9" ht="15" customHeight="1" x14ac:dyDescent="0.25">
      <c r="B1685" s="55" t="s">
        <v>279</v>
      </c>
      <c r="C1685" s="46">
        <v>1673</v>
      </c>
      <c r="D1685" s="69" t="s">
        <v>29416</v>
      </c>
      <c r="E1685" s="51"/>
      <c r="F1685" s="114" t="str">
        <f>IF(INDEX(I.Facility.P1IDNumber,1673)="","",INDEX(I.Facility.P1IDNumber,1673))</f>
        <v/>
      </c>
      <c r="G1685" s="51"/>
      <c r="H1685" s="46" t="str">
        <f>IF(AND(I.Developer.P1=TRUE,I.Facility.P1FacilityCount&gt;=1673,F1685=""),"Incomplete","Complete")</f>
        <v>Complete</v>
      </c>
      <c r="I1685" s="48" t="s">
        <v>6050</v>
      </c>
    </row>
    <row r="1686" spans="2:9" ht="15" customHeight="1" x14ac:dyDescent="0.25">
      <c r="B1686" s="55" t="s">
        <v>279</v>
      </c>
      <c r="C1686" s="46">
        <v>1674</v>
      </c>
      <c r="D1686" s="69" t="s">
        <v>29416</v>
      </c>
      <c r="E1686" s="51"/>
      <c r="F1686" s="114" t="str">
        <f>IF(INDEX(I.Facility.P1IDNumber,1674)="","",INDEX(I.Facility.P1IDNumber,1674))</f>
        <v/>
      </c>
      <c r="G1686" s="51"/>
      <c r="H1686" s="46" t="str">
        <f>IF(AND(I.Developer.P1=TRUE,I.Facility.P1FacilityCount&gt;=1674,F1686=""),"Incomplete","Complete")</f>
        <v>Complete</v>
      </c>
      <c r="I1686" s="48" t="s">
        <v>6051</v>
      </c>
    </row>
    <row r="1687" spans="2:9" ht="15" customHeight="1" x14ac:dyDescent="0.25">
      <c r="B1687" s="55" t="s">
        <v>279</v>
      </c>
      <c r="C1687" s="46">
        <v>1675</v>
      </c>
      <c r="D1687" s="69" t="s">
        <v>29416</v>
      </c>
      <c r="E1687" s="51"/>
      <c r="F1687" s="114" t="str">
        <f>IF(INDEX(I.Facility.P1IDNumber,1675)="","",INDEX(I.Facility.P1IDNumber,1675))</f>
        <v/>
      </c>
      <c r="G1687" s="51"/>
      <c r="H1687" s="46" t="str">
        <f>IF(AND(I.Developer.P1=TRUE,I.Facility.P1FacilityCount&gt;=1675,F1687=""),"Incomplete","Complete")</f>
        <v>Complete</v>
      </c>
      <c r="I1687" s="48" t="s">
        <v>6052</v>
      </c>
    </row>
    <row r="1688" spans="2:9" ht="15" customHeight="1" x14ac:dyDescent="0.25">
      <c r="B1688" s="55" t="s">
        <v>279</v>
      </c>
      <c r="C1688" s="46">
        <v>1676</v>
      </c>
      <c r="D1688" s="69" t="s">
        <v>29416</v>
      </c>
      <c r="E1688" s="51"/>
      <c r="F1688" s="114" t="str">
        <f>IF(INDEX(I.Facility.P1IDNumber,1676)="","",INDEX(I.Facility.P1IDNumber,1676))</f>
        <v/>
      </c>
      <c r="G1688" s="51"/>
      <c r="H1688" s="46" t="str">
        <f>IF(AND(I.Developer.P1=TRUE,I.Facility.P1FacilityCount&gt;=1676,F1688=""),"Incomplete","Complete")</f>
        <v>Complete</v>
      </c>
      <c r="I1688" s="48" t="s">
        <v>6053</v>
      </c>
    </row>
    <row r="1689" spans="2:9" ht="15" customHeight="1" x14ac:dyDescent="0.25">
      <c r="B1689" s="55" t="s">
        <v>279</v>
      </c>
      <c r="C1689" s="46">
        <v>1677</v>
      </c>
      <c r="D1689" s="69" t="s">
        <v>29416</v>
      </c>
      <c r="E1689" s="51"/>
      <c r="F1689" s="114" t="str">
        <f>IF(INDEX(I.Facility.P1IDNumber,1677)="","",INDEX(I.Facility.P1IDNumber,1677))</f>
        <v/>
      </c>
      <c r="G1689" s="51"/>
      <c r="H1689" s="46" t="str">
        <f>IF(AND(I.Developer.P1=TRUE,I.Facility.P1FacilityCount&gt;=1677,F1689=""),"Incomplete","Complete")</f>
        <v>Complete</v>
      </c>
      <c r="I1689" s="48" t="s">
        <v>6054</v>
      </c>
    </row>
    <row r="1690" spans="2:9" ht="15" customHeight="1" x14ac:dyDescent="0.25">
      <c r="B1690" s="55" t="s">
        <v>279</v>
      </c>
      <c r="C1690" s="46">
        <v>1678</v>
      </c>
      <c r="D1690" s="69" t="s">
        <v>29416</v>
      </c>
      <c r="E1690" s="51"/>
      <c r="F1690" s="114" t="str">
        <f>IF(INDEX(I.Facility.P1IDNumber,1678)="","",INDEX(I.Facility.P1IDNumber,1678))</f>
        <v/>
      </c>
      <c r="G1690" s="51"/>
      <c r="H1690" s="46" t="str">
        <f>IF(AND(I.Developer.P1=TRUE,I.Facility.P1FacilityCount&gt;=1678,F1690=""),"Incomplete","Complete")</f>
        <v>Complete</v>
      </c>
      <c r="I1690" s="48" t="s">
        <v>6055</v>
      </c>
    </row>
    <row r="1691" spans="2:9" ht="15" customHeight="1" x14ac:dyDescent="0.25">
      <c r="B1691" s="55" t="s">
        <v>279</v>
      </c>
      <c r="C1691" s="46">
        <v>1679</v>
      </c>
      <c r="D1691" s="69" t="s">
        <v>29416</v>
      </c>
      <c r="E1691" s="51"/>
      <c r="F1691" s="114" t="str">
        <f>IF(INDEX(I.Facility.P1IDNumber,1679)="","",INDEX(I.Facility.P1IDNumber,1679))</f>
        <v/>
      </c>
      <c r="G1691" s="51"/>
      <c r="H1691" s="46" t="str">
        <f>IF(AND(I.Developer.P1=TRUE,I.Facility.P1FacilityCount&gt;=1679,F1691=""),"Incomplete","Complete")</f>
        <v>Complete</v>
      </c>
      <c r="I1691" s="48" t="s">
        <v>6056</v>
      </c>
    </row>
    <row r="1692" spans="2:9" ht="15" customHeight="1" x14ac:dyDescent="0.25">
      <c r="B1692" s="55" t="s">
        <v>279</v>
      </c>
      <c r="C1692" s="46">
        <v>1680</v>
      </c>
      <c r="D1692" s="69" t="s">
        <v>29416</v>
      </c>
      <c r="E1692" s="51"/>
      <c r="F1692" s="114" t="str">
        <f>IF(INDEX(I.Facility.P1IDNumber,1680)="","",INDEX(I.Facility.P1IDNumber,1680))</f>
        <v/>
      </c>
      <c r="G1692" s="51"/>
      <c r="H1692" s="46" t="str">
        <f>IF(AND(I.Developer.P1=TRUE,I.Facility.P1FacilityCount&gt;=1680,F1692=""),"Incomplete","Complete")</f>
        <v>Complete</v>
      </c>
      <c r="I1692" s="48" t="s">
        <v>6057</v>
      </c>
    </row>
    <row r="1693" spans="2:9" ht="15" customHeight="1" x14ac:dyDescent="0.25">
      <c r="B1693" s="55" t="s">
        <v>279</v>
      </c>
      <c r="C1693" s="46">
        <v>1681</v>
      </c>
      <c r="D1693" s="69" t="s">
        <v>29416</v>
      </c>
      <c r="E1693" s="51"/>
      <c r="F1693" s="114" t="str">
        <f>IF(INDEX(I.Facility.P1IDNumber,1681)="","",INDEX(I.Facility.P1IDNumber,1681))</f>
        <v/>
      </c>
      <c r="G1693" s="51"/>
      <c r="H1693" s="46" t="str">
        <f>IF(AND(I.Developer.P1=TRUE,I.Facility.P1FacilityCount&gt;=1681,F1693=""),"Incomplete","Complete")</f>
        <v>Complete</v>
      </c>
      <c r="I1693" s="48" t="s">
        <v>6058</v>
      </c>
    </row>
    <row r="1694" spans="2:9" ht="15" customHeight="1" x14ac:dyDescent="0.25">
      <c r="B1694" s="55" t="s">
        <v>279</v>
      </c>
      <c r="C1694" s="46">
        <v>1682</v>
      </c>
      <c r="D1694" s="69" t="s">
        <v>29416</v>
      </c>
      <c r="E1694" s="51"/>
      <c r="F1694" s="114" t="str">
        <f>IF(INDEX(I.Facility.P1IDNumber,1682)="","",INDEX(I.Facility.P1IDNumber,1682))</f>
        <v/>
      </c>
      <c r="G1694" s="51"/>
      <c r="H1694" s="46" t="str">
        <f>IF(AND(I.Developer.P1=TRUE,I.Facility.P1FacilityCount&gt;=1682,F1694=""),"Incomplete","Complete")</f>
        <v>Complete</v>
      </c>
      <c r="I1694" s="48" t="s">
        <v>6059</v>
      </c>
    </row>
    <row r="1695" spans="2:9" ht="15" customHeight="1" x14ac:dyDescent="0.25">
      <c r="B1695" s="55" t="s">
        <v>279</v>
      </c>
      <c r="C1695" s="46">
        <v>1683</v>
      </c>
      <c r="D1695" s="69" t="s">
        <v>29416</v>
      </c>
      <c r="E1695" s="51"/>
      <c r="F1695" s="114" t="str">
        <f>IF(INDEX(I.Facility.P1IDNumber,1683)="","",INDEX(I.Facility.P1IDNumber,1683))</f>
        <v/>
      </c>
      <c r="G1695" s="51"/>
      <c r="H1695" s="46" t="str">
        <f>IF(AND(I.Developer.P1=TRUE,I.Facility.P1FacilityCount&gt;=1683,F1695=""),"Incomplete","Complete")</f>
        <v>Complete</v>
      </c>
      <c r="I1695" s="48" t="s">
        <v>6060</v>
      </c>
    </row>
    <row r="1696" spans="2:9" ht="15" customHeight="1" x14ac:dyDescent="0.25">
      <c r="B1696" s="55" t="s">
        <v>279</v>
      </c>
      <c r="C1696" s="46">
        <v>1684</v>
      </c>
      <c r="D1696" s="69" t="s">
        <v>29416</v>
      </c>
      <c r="E1696" s="51"/>
      <c r="F1696" s="114" t="str">
        <f>IF(INDEX(I.Facility.P1IDNumber,1684)="","",INDEX(I.Facility.P1IDNumber,1684))</f>
        <v/>
      </c>
      <c r="G1696" s="51"/>
      <c r="H1696" s="46" t="str">
        <f>IF(AND(I.Developer.P1=TRUE,I.Facility.P1FacilityCount&gt;=1684,F1696=""),"Incomplete","Complete")</f>
        <v>Complete</v>
      </c>
      <c r="I1696" s="48" t="s">
        <v>6061</v>
      </c>
    </row>
    <row r="1697" spans="2:9" ht="15" customHeight="1" x14ac:dyDescent="0.25">
      <c r="B1697" s="55" t="s">
        <v>279</v>
      </c>
      <c r="C1697" s="46">
        <v>1685</v>
      </c>
      <c r="D1697" s="69" t="s">
        <v>29416</v>
      </c>
      <c r="E1697" s="51"/>
      <c r="F1697" s="114" t="str">
        <f>IF(INDEX(I.Facility.P1IDNumber,1685)="","",INDEX(I.Facility.P1IDNumber,1685))</f>
        <v/>
      </c>
      <c r="G1697" s="51"/>
      <c r="H1697" s="46" t="str">
        <f>IF(AND(I.Developer.P1=TRUE,I.Facility.P1FacilityCount&gt;=1685,F1697=""),"Incomplete","Complete")</f>
        <v>Complete</v>
      </c>
      <c r="I1697" s="48" t="s">
        <v>6062</v>
      </c>
    </row>
    <row r="1698" spans="2:9" ht="15" customHeight="1" x14ac:dyDescent="0.25">
      <c r="B1698" s="55" t="s">
        <v>279</v>
      </c>
      <c r="C1698" s="46">
        <v>1686</v>
      </c>
      <c r="D1698" s="69" t="s">
        <v>29416</v>
      </c>
      <c r="E1698" s="51"/>
      <c r="F1698" s="114" t="str">
        <f>IF(INDEX(I.Facility.P1IDNumber,1686)="","",INDEX(I.Facility.P1IDNumber,1686))</f>
        <v/>
      </c>
      <c r="G1698" s="51"/>
      <c r="H1698" s="46" t="str">
        <f>IF(AND(I.Developer.P1=TRUE,I.Facility.P1FacilityCount&gt;=1686,F1698=""),"Incomplete","Complete")</f>
        <v>Complete</v>
      </c>
      <c r="I1698" s="48" t="s">
        <v>6063</v>
      </c>
    </row>
    <row r="1699" spans="2:9" ht="15" customHeight="1" x14ac:dyDescent="0.25">
      <c r="B1699" s="55" t="s">
        <v>279</v>
      </c>
      <c r="C1699" s="46">
        <v>1687</v>
      </c>
      <c r="D1699" s="69" t="s">
        <v>29416</v>
      </c>
      <c r="E1699" s="51"/>
      <c r="F1699" s="114" t="str">
        <f>IF(INDEX(I.Facility.P1IDNumber,1687)="","",INDEX(I.Facility.P1IDNumber,1687))</f>
        <v/>
      </c>
      <c r="G1699" s="51"/>
      <c r="H1699" s="46" t="str">
        <f>IF(AND(I.Developer.P1=TRUE,I.Facility.P1FacilityCount&gt;=1687,F1699=""),"Incomplete","Complete")</f>
        <v>Complete</v>
      </c>
      <c r="I1699" s="48" t="s">
        <v>6064</v>
      </c>
    </row>
    <row r="1700" spans="2:9" ht="15" customHeight="1" x14ac:dyDescent="0.25">
      <c r="B1700" s="55" t="s">
        <v>279</v>
      </c>
      <c r="C1700" s="46">
        <v>1688</v>
      </c>
      <c r="D1700" s="69" t="s">
        <v>29416</v>
      </c>
      <c r="E1700" s="51"/>
      <c r="F1700" s="114" t="str">
        <f>IF(INDEX(I.Facility.P1IDNumber,1688)="","",INDEX(I.Facility.P1IDNumber,1688))</f>
        <v/>
      </c>
      <c r="G1700" s="51"/>
      <c r="H1700" s="46" t="str">
        <f>IF(AND(I.Developer.P1=TRUE,I.Facility.P1FacilityCount&gt;=1688,F1700=""),"Incomplete","Complete")</f>
        <v>Complete</v>
      </c>
      <c r="I1700" s="48" t="s">
        <v>6065</v>
      </c>
    </row>
    <row r="1701" spans="2:9" ht="15" customHeight="1" x14ac:dyDescent="0.25">
      <c r="B1701" s="55" t="s">
        <v>279</v>
      </c>
      <c r="C1701" s="46">
        <v>1689</v>
      </c>
      <c r="D1701" s="69" t="s">
        <v>29416</v>
      </c>
      <c r="E1701" s="51"/>
      <c r="F1701" s="114" t="str">
        <f>IF(INDEX(I.Facility.P1IDNumber,1689)="","",INDEX(I.Facility.P1IDNumber,1689))</f>
        <v/>
      </c>
      <c r="G1701" s="51"/>
      <c r="H1701" s="46" t="str">
        <f>IF(AND(I.Developer.P1=TRUE,I.Facility.P1FacilityCount&gt;=1689,F1701=""),"Incomplete","Complete")</f>
        <v>Complete</v>
      </c>
      <c r="I1701" s="48" t="s">
        <v>6066</v>
      </c>
    </row>
    <row r="1702" spans="2:9" ht="15" customHeight="1" x14ac:dyDescent="0.25">
      <c r="B1702" s="55" t="s">
        <v>279</v>
      </c>
      <c r="C1702" s="46">
        <v>1690</v>
      </c>
      <c r="D1702" s="69" t="s">
        <v>29416</v>
      </c>
      <c r="E1702" s="51"/>
      <c r="F1702" s="114" t="str">
        <f>IF(INDEX(I.Facility.P1IDNumber,1690)="","",INDEX(I.Facility.P1IDNumber,1690))</f>
        <v/>
      </c>
      <c r="G1702" s="51"/>
      <c r="H1702" s="46" t="str">
        <f>IF(AND(I.Developer.P1=TRUE,I.Facility.P1FacilityCount&gt;=1690,F1702=""),"Incomplete","Complete")</f>
        <v>Complete</v>
      </c>
      <c r="I1702" s="48" t="s">
        <v>6067</v>
      </c>
    </row>
    <row r="1703" spans="2:9" ht="15" customHeight="1" x14ac:dyDescent="0.25">
      <c r="B1703" s="55" t="s">
        <v>279</v>
      </c>
      <c r="C1703" s="46">
        <v>1691</v>
      </c>
      <c r="D1703" s="69" t="s">
        <v>29416</v>
      </c>
      <c r="E1703" s="51"/>
      <c r="F1703" s="114" t="str">
        <f>IF(INDEX(I.Facility.P1IDNumber,1691)="","",INDEX(I.Facility.P1IDNumber,1691))</f>
        <v/>
      </c>
      <c r="G1703" s="51"/>
      <c r="H1703" s="46" t="str">
        <f>IF(AND(I.Developer.P1=TRUE,I.Facility.P1FacilityCount&gt;=1691,F1703=""),"Incomplete","Complete")</f>
        <v>Complete</v>
      </c>
      <c r="I1703" s="48" t="s">
        <v>6068</v>
      </c>
    </row>
    <row r="1704" spans="2:9" ht="15" customHeight="1" x14ac:dyDescent="0.25">
      <c r="B1704" s="55" t="s">
        <v>279</v>
      </c>
      <c r="C1704" s="46">
        <v>1692</v>
      </c>
      <c r="D1704" s="69" t="s">
        <v>29416</v>
      </c>
      <c r="E1704" s="51"/>
      <c r="F1704" s="114" t="str">
        <f>IF(INDEX(I.Facility.P1IDNumber,1692)="","",INDEX(I.Facility.P1IDNumber,1692))</f>
        <v/>
      </c>
      <c r="G1704" s="51"/>
      <c r="H1704" s="46" t="str">
        <f>IF(AND(I.Developer.P1=TRUE,I.Facility.P1FacilityCount&gt;=1692,F1704=""),"Incomplete","Complete")</f>
        <v>Complete</v>
      </c>
      <c r="I1704" s="48" t="s">
        <v>6069</v>
      </c>
    </row>
    <row r="1705" spans="2:9" ht="15" customHeight="1" x14ac:dyDescent="0.25">
      <c r="B1705" s="55" t="s">
        <v>279</v>
      </c>
      <c r="C1705" s="46">
        <v>1693</v>
      </c>
      <c r="D1705" s="69" t="s">
        <v>29416</v>
      </c>
      <c r="E1705" s="51"/>
      <c r="F1705" s="114" t="str">
        <f>IF(INDEX(I.Facility.P1IDNumber,1693)="","",INDEX(I.Facility.P1IDNumber,1693))</f>
        <v/>
      </c>
      <c r="G1705" s="51"/>
      <c r="H1705" s="46" t="str">
        <f>IF(AND(I.Developer.P1=TRUE,I.Facility.P1FacilityCount&gt;=1693,F1705=""),"Incomplete","Complete")</f>
        <v>Complete</v>
      </c>
      <c r="I1705" s="48" t="s">
        <v>6070</v>
      </c>
    </row>
    <row r="1706" spans="2:9" ht="15" customHeight="1" x14ac:dyDescent="0.25">
      <c r="B1706" s="55" t="s">
        <v>279</v>
      </c>
      <c r="C1706" s="46">
        <v>1694</v>
      </c>
      <c r="D1706" s="69" t="s">
        <v>29416</v>
      </c>
      <c r="E1706" s="51"/>
      <c r="F1706" s="114" t="str">
        <f>IF(INDEX(I.Facility.P1IDNumber,1694)="","",INDEX(I.Facility.P1IDNumber,1694))</f>
        <v/>
      </c>
      <c r="G1706" s="51"/>
      <c r="H1706" s="46" t="str">
        <f>IF(AND(I.Developer.P1=TRUE,I.Facility.P1FacilityCount&gt;=1694,F1706=""),"Incomplete","Complete")</f>
        <v>Complete</v>
      </c>
      <c r="I1706" s="48" t="s">
        <v>6071</v>
      </c>
    </row>
    <row r="1707" spans="2:9" ht="15" customHeight="1" x14ac:dyDescent="0.25">
      <c r="B1707" s="55" t="s">
        <v>279</v>
      </c>
      <c r="C1707" s="46">
        <v>1695</v>
      </c>
      <c r="D1707" s="69" t="s">
        <v>29416</v>
      </c>
      <c r="E1707" s="51"/>
      <c r="F1707" s="114" t="str">
        <f>IF(INDEX(I.Facility.P1IDNumber,1695)="","",INDEX(I.Facility.P1IDNumber,1695))</f>
        <v/>
      </c>
      <c r="G1707" s="51"/>
      <c r="H1707" s="46" t="str">
        <f>IF(AND(I.Developer.P1=TRUE,I.Facility.P1FacilityCount&gt;=1695,F1707=""),"Incomplete","Complete")</f>
        <v>Complete</v>
      </c>
      <c r="I1707" s="48" t="s">
        <v>6072</v>
      </c>
    </row>
    <row r="1708" spans="2:9" ht="15" customHeight="1" x14ac:dyDescent="0.25">
      <c r="B1708" s="55" t="s">
        <v>279</v>
      </c>
      <c r="C1708" s="46">
        <v>1696</v>
      </c>
      <c r="D1708" s="69" t="s">
        <v>29416</v>
      </c>
      <c r="E1708" s="51"/>
      <c r="F1708" s="114" t="str">
        <f>IF(INDEX(I.Facility.P1IDNumber,1696)="","",INDEX(I.Facility.P1IDNumber,1696))</f>
        <v/>
      </c>
      <c r="G1708" s="51"/>
      <c r="H1708" s="46" t="str">
        <f>IF(AND(I.Developer.P1=TRUE,I.Facility.P1FacilityCount&gt;=1696,F1708=""),"Incomplete","Complete")</f>
        <v>Complete</v>
      </c>
      <c r="I1708" s="48" t="s">
        <v>6073</v>
      </c>
    </row>
    <row r="1709" spans="2:9" ht="15" customHeight="1" x14ac:dyDescent="0.25">
      <c r="B1709" s="55" t="s">
        <v>279</v>
      </c>
      <c r="C1709" s="46">
        <v>1697</v>
      </c>
      <c r="D1709" s="69" t="s">
        <v>29416</v>
      </c>
      <c r="E1709" s="51"/>
      <c r="F1709" s="114" t="str">
        <f>IF(INDEX(I.Facility.P1IDNumber,1697)="","",INDEX(I.Facility.P1IDNumber,1697))</f>
        <v/>
      </c>
      <c r="G1709" s="51"/>
      <c r="H1709" s="46" t="str">
        <f>IF(AND(I.Developer.P1=TRUE,I.Facility.P1FacilityCount&gt;=1697,F1709=""),"Incomplete","Complete")</f>
        <v>Complete</v>
      </c>
      <c r="I1709" s="48" t="s">
        <v>6074</v>
      </c>
    </row>
    <row r="1710" spans="2:9" ht="15" customHeight="1" x14ac:dyDescent="0.25">
      <c r="B1710" s="55" t="s">
        <v>279</v>
      </c>
      <c r="C1710" s="46">
        <v>1698</v>
      </c>
      <c r="D1710" s="69" t="s">
        <v>29416</v>
      </c>
      <c r="E1710" s="51"/>
      <c r="F1710" s="114" t="str">
        <f>IF(INDEX(I.Facility.P1IDNumber,1698)="","",INDEX(I.Facility.P1IDNumber,1698))</f>
        <v/>
      </c>
      <c r="G1710" s="51"/>
      <c r="H1710" s="46" t="str">
        <f>IF(AND(I.Developer.P1=TRUE,I.Facility.P1FacilityCount&gt;=1698,F1710=""),"Incomplete","Complete")</f>
        <v>Complete</v>
      </c>
      <c r="I1710" s="48" t="s">
        <v>6075</v>
      </c>
    </row>
    <row r="1711" spans="2:9" ht="15" customHeight="1" x14ac:dyDescent="0.25">
      <c r="B1711" s="55" t="s">
        <v>279</v>
      </c>
      <c r="C1711" s="46">
        <v>1699</v>
      </c>
      <c r="D1711" s="69" t="s">
        <v>29416</v>
      </c>
      <c r="E1711" s="51"/>
      <c r="F1711" s="114" t="str">
        <f>IF(INDEX(I.Facility.P1IDNumber,1699)="","",INDEX(I.Facility.P1IDNumber,1699))</f>
        <v/>
      </c>
      <c r="G1711" s="51"/>
      <c r="H1711" s="46" t="str">
        <f>IF(AND(I.Developer.P1=TRUE,I.Facility.P1FacilityCount&gt;=1699,F1711=""),"Incomplete","Complete")</f>
        <v>Complete</v>
      </c>
      <c r="I1711" s="48" t="s">
        <v>6076</v>
      </c>
    </row>
    <row r="1712" spans="2:9" ht="15" customHeight="1" x14ac:dyDescent="0.25">
      <c r="B1712" s="55" t="s">
        <v>279</v>
      </c>
      <c r="C1712" s="46">
        <v>1700</v>
      </c>
      <c r="D1712" s="69" t="s">
        <v>29416</v>
      </c>
      <c r="E1712" s="51"/>
      <c r="F1712" s="114" t="str">
        <f>IF(INDEX(I.Facility.P1IDNumber,1700)="","",INDEX(I.Facility.P1IDNumber,1700))</f>
        <v/>
      </c>
      <c r="G1712" s="51"/>
      <c r="H1712" s="46" t="str">
        <f>IF(AND(I.Developer.P1=TRUE,I.Facility.P1FacilityCount&gt;=1700,F1712=""),"Incomplete","Complete")</f>
        <v>Complete</v>
      </c>
      <c r="I1712" s="48" t="s">
        <v>6077</v>
      </c>
    </row>
    <row r="1713" spans="2:9" ht="15" customHeight="1" x14ac:dyDescent="0.25">
      <c r="B1713" s="55" t="s">
        <v>279</v>
      </c>
      <c r="C1713" s="46">
        <v>1701</v>
      </c>
      <c r="D1713" s="69" t="s">
        <v>29416</v>
      </c>
      <c r="E1713" s="51"/>
      <c r="F1713" s="114" t="str">
        <f>IF(INDEX(I.Facility.P1IDNumber,1701)="","",INDEX(I.Facility.P1IDNumber,1701))</f>
        <v/>
      </c>
      <c r="G1713" s="51"/>
      <c r="H1713" s="46" t="str">
        <f>IF(AND(I.Developer.P1=TRUE,I.Facility.P1FacilityCount&gt;=1701,F1713=""),"Incomplete","Complete")</f>
        <v>Complete</v>
      </c>
      <c r="I1713" s="48" t="s">
        <v>6078</v>
      </c>
    </row>
    <row r="1714" spans="2:9" ht="15" customHeight="1" x14ac:dyDescent="0.25">
      <c r="B1714" s="55" t="s">
        <v>279</v>
      </c>
      <c r="C1714" s="46">
        <v>1702</v>
      </c>
      <c r="D1714" s="69" t="s">
        <v>29416</v>
      </c>
      <c r="E1714" s="51"/>
      <c r="F1714" s="114" t="str">
        <f>IF(INDEX(I.Facility.P1IDNumber,1702)="","",INDEX(I.Facility.P1IDNumber,1702))</f>
        <v/>
      </c>
      <c r="G1714" s="51"/>
      <c r="H1714" s="46" t="str">
        <f>IF(AND(I.Developer.P1=TRUE,I.Facility.P1FacilityCount&gt;=1702,F1714=""),"Incomplete","Complete")</f>
        <v>Complete</v>
      </c>
      <c r="I1714" s="48" t="s">
        <v>6079</v>
      </c>
    </row>
    <row r="1715" spans="2:9" ht="15" customHeight="1" x14ac:dyDescent="0.25">
      <c r="B1715" s="55" t="s">
        <v>279</v>
      </c>
      <c r="C1715" s="46">
        <v>1703</v>
      </c>
      <c r="D1715" s="69" t="s">
        <v>29416</v>
      </c>
      <c r="E1715" s="51"/>
      <c r="F1715" s="114" t="str">
        <f>IF(INDEX(I.Facility.P1IDNumber,1703)="","",INDEX(I.Facility.P1IDNumber,1703))</f>
        <v/>
      </c>
      <c r="G1715" s="51"/>
      <c r="H1715" s="46" t="str">
        <f>IF(AND(I.Developer.P1=TRUE,I.Facility.P1FacilityCount&gt;=1703,F1715=""),"Incomplete","Complete")</f>
        <v>Complete</v>
      </c>
      <c r="I1715" s="48" t="s">
        <v>6080</v>
      </c>
    </row>
    <row r="1716" spans="2:9" ht="15" customHeight="1" x14ac:dyDescent="0.25">
      <c r="B1716" s="55" t="s">
        <v>279</v>
      </c>
      <c r="C1716" s="46">
        <v>1704</v>
      </c>
      <c r="D1716" s="69" t="s">
        <v>29416</v>
      </c>
      <c r="E1716" s="51"/>
      <c r="F1716" s="114" t="str">
        <f>IF(INDEX(I.Facility.P1IDNumber,1704)="","",INDEX(I.Facility.P1IDNumber,1704))</f>
        <v/>
      </c>
      <c r="G1716" s="51"/>
      <c r="H1716" s="46" t="str">
        <f>IF(AND(I.Developer.P1=TRUE,I.Facility.P1FacilityCount&gt;=1704,F1716=""),"Incomplete","Complete")</f>
        <v>Complete</v>
      </c>
      <c r="I1716" s="48" t="s">
        <v>6081</v>
      </c>
    </row>
    <row r="1717" spans="2:9" ht="15" customHeight="1" x14ac:dyDescent="0.25">
      <c r="B1717" s="55" t="s">
        <v>279</v>
      </c>
      <c r="C1717" s="46">
        <v>1705</v>
      </c>
      <c r="D1717" s="69" t="s">
        <v>29416</v>
      </c>
      <c r="E1717" s="51"/>
      <c r="F1717" s="114" t="str">
        <f>IF(INDEX(I.Facility.P1IDNumber,1705)="","",INDEX(I.Facility.P1IDNumber,1705))</f>
        <v/>
      </c>
      <c r="G1717" s="51"/>
      <c r="H1717" s="46" t="str">
        <f>IF(AND(I.Developer.P1=TRUE,I.Facility.P1FacilityCount&gt;=1705,F1717=""),"Incomplete","Complete")</f>
        <v>Complete</v>
      </c>
      <c r="I1717" s="48" t="s">
        <v>6082</v>
      </c>
    </row>
    <row r="1718" spans="2:9" ht="15" customHeight="1" x14ac:dyDescent="0.25">
      <c r="B1718" s="55" t="s">
        <v>279</v>
      </c>
      <c r="C1718" s="46">
        <v>1706</v>
      </c>
      <c r="D1718" s="69" t="s">
        <v>29416</v>
      </c>
      <c r="E1718" s="51"/>
      <c r="F1718" s="114" t="str">
        <f>IF(INDEX(I.Facility.P1IDNumber,1706)="","",INDEX(I.Facility.P1IDNumber,1706))</f>
        <v/>
      </c>
      <c r="G1718" s="51"/>
      <c r="H1718" s="46" t="str">
        <f>IF(AND(I.Developer.P1=TRUE,I.Facility.P1FacilityCount&gt;=1706,F1718=""),"Incomplete","Complete")</f>
        <v>Complete</v>
      </c>
      <c r="I1718" s="48" t="s">
        <v>6083</v>
      </c>
    </row>
    <row r="1719" spans="2:9" ht="15" customHeight="1" x14ac:dyDescent="0.25">
      <c r="B1719" s="55" t="s">
        <v>279</v>
      </c>
      <c r="C1719" s="46">
        <v>1707</v>
      </c>
      <c r="D1719" s="69" t="s">
        <v>29416</v>
      </c>
      <c r="E1719" s="51"/>
      <c r="F1719" s="114" t="str">
        <f>IF(INDEX(I.Facility.P1IDNumber,1707)="","",INDEX(I.Facility.P1IDNumber,1707))</f>
        <v/>
      </c>
      <c r="G1719" s="51"/>
      <c r="H1719" s="46" t="str">
        <f>IF(AND(I.Developer.P1=TRUE,I.Facility.P1FacilityCount&gt;=1707,F1719=""),"Incomplete","Complete")</f>
        <v>Complete</v>
      </c>
      <c r="I1719" s="48" t="s">
        <v>6084</v>
      </c>
    </row>
    <row r="1720" spans="2:9" ht="15" customHeight="1" x14ac:dyDescent="0.25">
      <c r="B1720" s="55" t="s">
        <v>279</v>
      </c>
      <c r="C1720" s="46">
        <v>1708</v>
      </c>
      <c r="D1720" s="69" t="s">
        <v>29416</v>
      </c>
      <c r="E1720" s="51"/>
      <c r="F1720" s="114" t="str">
        <f>IF(INDEX(I.Facility.P1IDNumber,1708)="","",INDEX(I.Facility.P1IDNumber,1708))</f>
        <v/>
      </c>
      <c r="G1720" s="51"/>
      <c r="H1720" s="46" t="str">
        <f>IF(AND(I.Developer.P1=TRUE,I.Facility.P1FacilityCount&gt;=1708,F1720=""),"Incomplete","Complete")</f>
        <v>Complete</v>
      </c>
      <c r="I1720" s="48" t="s">
        <v>6085</v>
      </c>
    </row>
    <row r="1721" spans="2:9" ht="15" customHeight="1" x14ac:dyDescent="0.25">
      <c r="B1721" s="55" t="s">
        <v>279</v>
      </c>
      <c r="C1721" s="46">
        <v>1709</v>
      </c>
      <c r="D1721" s="69" t="s">
        <v>29416</v>
      </c>
      <c r="E1721" s="51"/>
      <c r="F1721" s="114" t="str">
        <f>IF(INDEX(I.Facility.P1IDNumber,1709)="","",INDEX(I.Facility.P1IDNumber,1709))</f>
        <v/>
      </c>
      <c r="G1721" s="51"/>
      <c r="H1721" s="46" t="str">
        <f>IF(AND(I.Developer.P1=TRUE,I.Facility.P1FacilityCount&gt;=1709,F1721=""),"Incomplete","Complete")</f>
        <v>Complete</v>
      </c>
      <c r="I1721" s="48" t="s">
        <v>6086</v>
      </c>
    </row>
    <row r="1722" spans="2:9" ht="15" customHeight="1" x14ac:dyDescent="0.25">
      <c r="B1722" s="55" t="s">
        <v>279</v>
      </c>
      <c r="C1722" s="46">
        <v>1710</v>
      </c>
      <c r="D1722" s="69" t="s">
        <v>29416</v>
      </c>
      <c r="E1722" s="51"/>
      <c r="F1722" s="114" t="str">
        <f>IF(INDEX(I.Facility.P1IDNumber,1710)="","",INDEX(I.Facility.P1IDNumber,1710))</f>
        <v/>
      </c>
      <c r="G1722" s="51"/>
      <c r="H1722" s="46" t="str">
        <f>IF(AND(I.Developer.P1=TRUE,I.Facility.P1FacilityCount&gt;=1710,F1722=""),"Incomplete","Complete")</f>
        <v>Complete</v>
      </c>
      <c r="I1722" s="48" t="s">
        <v>6087</v>
      </c>
    </row>
    <row r="1723" spans="2:9" ht="15" customHeight="1" x14ac:dyDescent="0.25">
      <c r="B1723" s="55" t="s">
        <v>279</v>
      </c>
      <c r="C1723" s="46">
        <v>1711</v>
      </c>
      <c r="D1723" s="69" t="s">
        <v>29416</v>
      </c>
      <c r="E1723" s="51"/>
      <c r="F1723" s="114" t="str">
        <f>IF(INDEX(I.Facility.P1IDNumber,1711)="","",INDEX(I.Facility.P1IDNumber,1711))</f>
        <v/>
      </c>
      <c r="G1723" s="51"/>
      <c r="H1723" s="46" t="str">
        <f>IF(AND(I.Developer.P1=TRUE,I.Facility.P1FacilityCount&gt;=1711,F1723=""),"Incomplete","Complete")</f>
        <v>Complete</v>
      </c>
      <c r="I1723" s="48" t="s">
        <v>6088</v>
      </c>
    </row>
    <row r="1724" spans="2:9" ht="15" customHeight="1" x14ac:dyDescent="0.25">
      <c r="B1724" s="55" t="s">
        <v>279</v>
      </c>
      <c r="C1724" s="46">
        <v>1712</v>
      </c>
      <c r="D1724" s="69" t="s">
        <v>29416</v>
      </c>
      <c r="E1724" s="51"/>
      <c r="F1724" s="114" t="str">
        <f>IF(INDEX(I.Facility.P1IDNumber,1712)="","",INDEX(I.Facility.P1IDNumber,1712))</f>
        <v/>
      </c>
      <c r="G1724" s="51"/>
      <c r="H1724" s="46" t="str">
        <f>IF(AND(I.Developer.P1=TRUE,I.Facility.P1FacilityCount&gt;=1712,F1724=""),"Incomplete","Complete")</f>
        <v>Complete</v>
      </c>
      <c r="I1724" s="48" t="s">
        <v>6089</v>
      </c>
    </row>
    <row r="1725" spans="2:9" ht="15" customHeight="1" x14ac:dyDescent="0.25">
      <c r="B1725" s="55" t="s">
        <v>279</v>
      </c>
      <c r="C1725" s="46">
        <v>1713</v>
      </c>
      <c r="D1725" s="69" t="s">
        <v>29416</v>
      </c>
      <c r="E1725" s="51"/>
      <c r="F1725" s="114" t="str">
        <f>IF(INDEX(I.Facility.P1IDNumber,1713)="","",INDEX(I.Facility.P1IDNumber,1713))</f>
        <v/>
      </c>
      <c r="G1725" s="51"/>
      <c r="H1725" s="46" t="str">
        <f>IF(AND(I.Developer.P1=TRUE,I.Facility.P1FacilityCount&gt;=1713,F1725=""),"Incomplete","Complete")</f>
        <v>Complete</v>
      </c>
      <c r="I1725" s="48" t="s">
        <v>6090</v>
      </c>
    </row>
    <row r="1726" spans="2:9" ht="15" customHeight="1" x14ac:dyDescent="0.25">
      <c r="B1726" s="55" t="s">
        <v>279</v>
      </c>
      <c r="C1726" s="46">
        <v>1714</v>
      </c>
      <c r="D1726" s="69" t="s">
        <v>29416</v>
      </c>
      <c r="E1726" s="51"/>
      <c r="F1726" s="114" t="str">
        <f>IF(INDEX(I.Facility.P1IDNumber,1714)="","",INDEX(I.Facility.P1IDNumber,1714))</f>
        <v/>
      </c>
      <c r="G1726" s="51"/>
      <c r="H1726" s="46" t="str">
        <f>IF(AND(I.Developer.P1=TRUE,I.Facility.P1FacilityCount&gt;=1714,F1726=""),"Incomplete","Complete")</f>
        <v>Complete</v>
      </c>
      <c r="I1726" s="48" t="s">
        <v>6091</v>
      </c>
    </row>
    <row r="1727" spans="2:9" ht="15" customHeight="1" x14ac:dyDescent="0.25">
      <c r="B1727" s="55" t="s">
        <v>279</v>
      </c>
      <c r="C1727" s="46">
        <v>1715</v>
      </c>
      <c r="D1727" s="69" t="s">
        <v>29416</v>
      </c>
      <c r="E1727" s="51"/>
      <c r="F1727" s="114" t="str">
        <f>IF(INDEX(I.Facility.P1IDNumber,1715)="","",INDEX(I.Facility.P1IDNumber,1715))</f>
        <v/>
      </c>
      <c r="G1727" s="51"/>
      <c r="H1727" s="46" t="str">
        <f>IF(AND(I.Developer.P1=TRUE,I.Facility.P1FacilityCount&gt;=1715,F1727=""),"Incomplete","Complete")</f>
        <v>Complete</v>
      </c>
      <c r="I1727" s="48" t="s">
        <v>6092</v>
      </c>
    </row>
    <row r="1728" spans="2:9" ht="15" customHeight="1" x14ac:dyDescent="0.25">
      <c r="B1728" s="55" t="s">
        <v>279</v>
      </c>
      <c r="C1728" s="46">
        <v>1716</v>
      </c>
      <c r="D1728" s="69" t="s">
        <v>29416</v>
      </c>
      <c r="E1728" s="51"/>
      <c r="F1728" s="114" t="str">
        <f>IF(INDEX(I.Facility.P1IDNumber,1716)="","",INDEX(I.Facility.P1IDNumber,1716))</f>
        <v/>
      </c>
      <c r="G1728" s="51"/>
      <c r="H1728" s="46" t="str">
        <f>IF(AND(I.Developer.P1=TRUE,I.Facility.P1FacilityCount&gt;=1716,F1728=""),"Incomplete","Complete")</f>
        <v>Complete</v>
      </c>
      <c r="I1728" s="48" t="s">
        <v>6093</v>
      </c>
    </row>
    <row r="1729" spans="2:9" ht="15" customHeight="1" x14ac:dyDescent="0.25">
      <c r="B1729" s="55" t="s">
        <v>279</v>
      </c>
      <c r="C1729" s="46">
        <v>1717</v>
      </c>
      <c r="D1729" s="69" t="s">
        <v>29416</v>
      </c>
      <c r="E1729" s="51"/>
      <c r="F1729" s="114" t="str">
        <f>IF(INDEX(I.Facility.P1IDNumber,1717)="","",INDEX(I.Facility.P1IDNumber,1717))</f>
        <v/>
      </c>
      <c r="G1729" s="51"/>
      <c r="H1729" s="46" t="str">
        <f>IF(AND(I.Developer.P1=TRUE,I.Facility.P1FacilityCount&gt;=1717,F1729=""),"Incomplete","Complete")</f>
        <v>Complete</v>
      </c>
      <c r="I1729" s="48" t="s">
        <v>6094</v>
      </c>
    </row>
    <row r="1730" spans="2:9" ht="15" customHeight="1" x14ac:dyDescent="0.25">
      <c r="B1730" s="55" t="s">
        <v>279</v>
      </c>
      <c r="C1730" s="46">
        <v>1718</v>
      </c>
      <c r="D1730" s="69" t="s">
        <v>29416</v>
      </c>
      <c r="E1730" s="51"/>
      <c r="F1730" s="114" t="str">
        <f>IF(INDEX(I.Facility.P1IDNumber,1718)="","",INDEX(I.Facility.P1IDNumber,1718))</f>
        <v/>
      </c>
      <c r="G1730" s="51"/>
      <c r="H1730" s="46" t="str">
        <f>IF(AND(I.Developer.P1=TRUE,I.Facility.P1FacilityCount&gt;=1718,F1730=""),"Incomplete","Complete")</f>
        <v>Complete</v>
      </c>
      <c r="I1730" s="48" t="s">
        <v>6095</v>
      </c>
    </row>
    <row r="1731" spans="2:9" ht="15" customHeight="1" x14ac:dyDescent="0.25">
      <c r="B1731" s="55" t="s">
        <v>279</v>
      </c>
      <c r="C1731" s="46">
        <v>1719</v>
      </c>
      <c r="D1731" s="69" t="s">
        <v>29416</v>
      </c>
      <c r="E1731" s="51"/>
      <c r="F1731" s="114" t="str">
        <f>IF(INDEX(I.Facility.P1IDNumber,1719)="","",INDEX(I.Facility.P1IDNumber,1719))</f>
        <v/>
      </c>
      <c r="G1731" s="51"/>
      <c r="H1731" s="46" t="str">
        <f>IF(AND(I.Developer.P1=TRUE,I.Facility.P1FacilityCount&gt;=1719,F1731=""),"Incomplete","Complete")</f>
        <v>Complete</v>
      </c>
      <c r="I1731" s="48" t="s">
        <v>6096</v>
      </c>
    </row>
    <row r="1732" spans="2:9" ht="15" customHeight="1" x14ac:dyDescent="0.25">
      <c r="B1732" s="55" t="s">
        <v>279</v>
      </c>
      <c r="C1732" s="46">
        <v>1720</v>
      </c>
      <c r="D1732" s="69" t="s">
        <v>29416</v>
      </c>
      <c r="E1732" s="51"/>
      <c r="F1732" s="114" t="str">
        <f>IF(INDEX(I.Facility.P1IDNumber,1720)="","",INDEX(I.Facility.P1IDNumber,1720))</f>
        <v/>
      </c>
      <c r="G1732" s="51"/>
      <c r="H1732" s="46" t="str">
        <f>IF(AND(I.Developer.P1=TRUE,I.Facility.P1FacilityCount&gt;=1720,F1732=""),"Incomplete","Complete")</f>
        <v>Complete</v>
      </c>
      <c r="I1732" s="48" t="s">
        <v>6097</v>
      </c>
    </row>
    <row r="1733" spans="2:9" ht="15" customHeight="1" x14ac:dyDescent="0.25">
      <c r="B1733" s="55" t="s">
        <v>279</v>
      </c>
      <c r="C1733" s="46">
        <v>1721</v>
      </c>
      <c r="D1733" s="69" t="s">
        <v>29416</v>
      </c>
      <c r="E1733" s="51"/>
      <c r="F1733" s="114" t="str">
        <f>IF(INDEX(I.Facility.P1IDNumber,1721)="","",INDEX(I.Facility.P1IDNumber,1721))</f>
        <v/>
      </c>
      <c r="G1733" s="51"/>
      <c r="H1733" s="46" t="str">
        <f>IF(AND(I.Developer.P1=TRUE,I.Facility.P1FacilityCount&gt;=1721,F1733=""),"Incomplete","Complete")</f>
        <v>Complete</v>
      </c>
      <c r="I1733" s="48" t="s">
        <v>6098</v>
      </c>
    </row>
    <row r="1734" spans="2:9" ht="15" customHeight="1" x14ac:dyDescent="0.25">
      <c r="B1734" s="55" t="s">
        <v>279</v>
      </c>
      <c r="C1734" s="46">
        <v>1722</v>
      </c>
      <c r="D1734" s="69" t="s">
        <v>29416</v>
      </c>
      <c r="E1734" s="51"/>
      <c r="F1734" s="114" t="str">
        <f>IF(INDEX(I.Facility.P1IDNumber,1722)="","",INDEX(I.Facility.P1IDNumber,1722))</f>
        <v/>
      </c>
      <c r="G1734" s="51"/>
      <c r="H1734" s="46" t="str">
        <f>IF(AND(I.Developer.P1=TRUE,I.Facility.P1FacilityCount&gt;=1722,F1734=""),"Incomplete","Complete")</f>
        <v>Complete</v>
      </c>
      <c r="I1734" s="48" t="s">
        <v>6099</v>
      </c>
    </row>
    <row r="1735" spans="2:9" ht="15" customHeight="1" x14ac:dyDescent="0.25">
      <c r="B1735" s="55" t="s">
        <v>279</v>
      </c>
      <c r="C1735" s="46">
        <v>1723</v>
      </c>
      <c r="D1735" s="69" t="s">
        <v>29416</v>
      </c>
      <c r="E1735" s="51"/>
      <c r="F1735" s="114" t="str">
        <f>IF(INDEX(I.Facility.P1IDNumber,1723)="","",INDEX(I.Facility.P1IDNumber,1723))</f>
        <v/>
      </c>
      <c r="G1735" s="51"/>
      <c r="H1735" s="46" t="str">
        <f>IF(AND(I.Developer.P1=TRUE,I.Facility.P1FacilityCount&gt;=1723,F1735=""),"Incomplete","Complete")</f>
        <v>Complete</v>
      </c>
      <c r="I1735" s="48" t="s">
        <v>6100</v>
      </c>
    </row>
    <row r="1736" spans="2:9" ht="15" customHeight="1" x14ac:dyDescent="0.25">
      <c r="B1736" s="55" t="s">
        <v>279</v>
      </c>
      <c r="C1736" s="46">
        <v>1724</v>
      </c>
      <c r="D1736" s="69" t="s">
        <v>29416</v>
      </c>
      <c r="E1736" s="51"/>
      <c r="F1736" s="114" t="str">
        <f>IF(INDEX(I.Facility.P1IDNumber,1724)="","",INDEX(I.Facility.P1IDNumber,1724))</f>
        <v/>
      </c>
      <c r="G1736" s="51"/>
      <c r="H1736" s="46" t="str">
        <f>IF(AND(I.Developer.P1=TRUE,I.Facility.P1FacilityCount&gt;=1724,F1736=""),"Incomplete","Complete")</f>
        <v>Complete</v>
      </c>
      <c r="I1736" s="48" t="s">
        <v>6101</v>
      </c>
    </row>
    <row r="1737" spans="2:9" ht="15" customHeight="1" x14ac:dyDescent="0.25">
      <c r="B1737" s="55" t="s">
        <v>279</v>
      </c>
      <c r="C1737" s="46">
        <v>1725</v>
      </c>
      <c r="D1737" s="69" t="s">
        <v>29416</v>
      </c>
      <c r="E1737" s="51"/>
      <c r="F1737" s="114" t="str">
        <f>IF(INDEX(I.Facility.P1IDNumber,1725)="","",INDEX(I.Facility.P1IDNumber,1725))</f>
        <v/>
      </c>
      <c r="G1737" s="51"/>
      <c r="H1737" s="46" t="str">
        <f>IF(AND(I.Developer.P1=TRUE,I.Facility.P1FacilityCount&gt;=1725,F1737=""),"Incomplete","Complete")</f>
        <v>Complete</v>
      </c>
      <c r="I1737" s="48" t="s">
        <v>6102</v>
      </c>
    </row>
    <row r="1738" spans="2:9" ht="15" customHeight="1" x14ac:dyDescent="0.25">
      <c r="B1738" s="55" t="s">
        <v>279</v>
      </c>
      <c r="C1738" s="46">
        <v>1726</v>
      </c>
      <c r="D1738" s="69" t="s">
        <v>29416</v>
      </c>
      <c r="E1738" s="51"/>
      <c r="F1738" s="114" t="str">
        <f>IF(INDEX(I.Facility.P1IDNumber,1726)="","",INDEX(I.Facility.P1IDNumber,1726))</f>
        <v/>
      </c>
      <c r="G1738" s="51"/>
      <c r="H1738" s="46" t="str">
        <f>IF(AND(I.Developer.P1=TRUE,I.Facility.P1FacilityCount&gt;=1726,F1738=""),"Incomplete","Complete")</f>
        <v>Complete</v>
      </c>
      <c r="I1738" s="48" t="s">
        <v>6103</v>
      </c>
    </row>
    <row r="1739" spans="2:9" ht="15" customHeight="1" x14ac:dyDescent="0.25">
      <c r="B1739" s="55" t="s">
        <v>279</v>
      </c>
      <c r="C1739" s="46">
        <v>1727</v>
      </c>
      <c r="D1739" s="69" t="s">
        <v>29416</v>
      </c>
      <c r="E1739" s="51"/>
      <c r="F1739" s="114" t="str">
        <f>IF(INDEX(I.Facility.P1IDNumber,1727)="","",INDEX(I.Facility.P1IDNumber,1727))</f>
        <v/>
      </c>
      <c r="G1739" s="51"/>
      <c r="H1739" s="46" t="str">
        <f>IF(AND(I.Developer.P1=TRUE,I.Facility.P1FacilityCount&gt;=1727,F1739=""),"Incomplete","Complete")</f>
        <v>Complete</v>
      </c>
      <c r="I1739" s="48" t="s">
        <v>6104</v>
      </c>
    </row>
    <row r="1740" spans="2:9" ht="15" customHeight="1" x14ac:dyDescent="0.25">
      <c r="B1740" s="55" t="s">
        <v>279</v>
      </c>
      <c r="C1740" s="46">
        <v>1728</v>
      </c>
      <c r="D1740" s="69" t="s">
        <v>29416</v>
      </c>
      <c r="E1740" s="51"/>
      <c r="F1740" s="114" t="str">
        <f>IF(INDEX(I.Facility.P1IDNumber,1728)="","",INDEX(I.Facility.P1IDNumber,1728))</f>
        <v/>
      </c>
      <c r="G1740" s="51"/>
      <c r="H1740" s="46" t="str">
        <f>IF(AND(I.Developer.P1=TRUE,I.Facility.P1FacilityCount&gt;=1728,F1740=""),"Incomplete","Complete")</f>
        <v>Complete</v>
      </c>
      <c r="I1740" s="48" t="s">
        <v>6105</v>
      </c>
    </row>
    <row r="1741" spans="2:9" ht="15" customHeight="1" x14ac:dyDescent="0.25">
      <c r="B1741" s="55" t="s">
        <v>279</v>
      </c>
      <c r="C1741" s="46">
        <v>1729</v>
      </c>
      <c r="D1741" s="69" t="s">
        <v>29416</v>
      </c>
      <c r="E1741" s="51"/>
      <c r="F1741" s="114" t="str">
        <f>IF(INDEX(I.Facility.P1IDNumber,1729)="","",INDEX(I.Facility.P1IDNumber,1729))</f>
        <v/>
      </c>
      <c r="G1741" s="51"/>
      <c r="H1741" s="46" t="str">
        <f>IF(AND(I.Developer.P1=TRUE,I.Facility.P1FacilityCount&gt;=1729,F1741=""),"Incomplete","Complete")</f>
        <v>Complete</v>
      </c>
      <c r="I1741" s="48" t="s">
        <v>6106</v>
      </c>
    </row>
    <row r="1742" spans="2:9" ht="15" customHeight="1" x14ac:dyDescent="0.25">
      <c r="B1742" s="55" t="s">
        <v>279</v>
      </c>
      <c r="C1742" s="46">
        <v>1730</v>
      </c>
      <c r="D1742" s="69" t="s">
        <v>29416</v>
      </c>
      <c r="E1742" s="51"/>
      <c r="F1742" s="114" t="str">
        <f>IF(INDEX(I.Facility.P1IDNumber,1730)="","",INDEX(I.Facility.P1IDNumber,1730))</f>
        <v/>
      </c>
      <c r="G1742" s="51"/>
      <c r="H1742" s="46" t="str">
        <f>IF(AND(I.Developer.P1=TRUE,I.Facility.P1FacilityCount&gt;=1730,F1742=""),"Incomplete","Complete")</f>
        <v>Complete</v>
      </c>
      <c r="I1742" s="48" t="s">
        <v>6107</v>
      </c>
    </row>
    <row r="1743" spans="2:9" ht="15" customHeight="1" x14ac:dyDescent="0.25">
      <c r="B1743" s="55" t="s">
        <v>279</v>
      </c>
      <c r="C1743" s="46">
        <v>1731</v>
      </c>
      <c r="D1743" s="69" t="s">
        <v>29416</v>
      </c>
      <c r="E1743" s="51"/>
      <c r="F1743" s="114" t="str">
        <f>IF(INDEX(I.Facility.P1IDNumber,1731)="","",INDEX(I.Facility.P1IDNumber,1731))</f>
        <v/>
      </c>
      <c r="G1743" s="51"/>
      <c r="H1743" s="46" t="str">
        <f>IF(AND(I.Developer.P1=TRUE,I.Facility.P1FacilityCount&gt;=1731,F1743=""),"Incomplete","Complete")</f>
        <v>Complete</v>
      </c>
      <c r="I1743" s="48" t="s">
        <v>6108</v>
      </c>
    </row>
    <row r="1744" spans="2:9" ht="15" customHeight="1" x14ac:dyDescent="0.25">
      <c r="B1744" s="55" t="s">
        <v>279</v>
      </c>
      <c r="C1744" s="46">
        <v>1732</v>
      </c>
      <c r="D1744" s="69" t="s">
        <v>29416</v>
      </c>
      <c r="E1744" s="51"/>
      <c r="F1744" s="114" t="str">
        <f>IF(INDEX(I.Facility.P1IDNumber,1732)="","",INDEX(I.Facility.P1IDNumber,1732))</f>
        <v/>
      </c>
      <c r="G1744" s="51"/>
      <c r="H1744" s="46" t="str">
        <f>IF(AND(I.Developer.P1=TRUE,I.Facility.P1FacilityCount&gt;=1732,F1744=""),"Incomplete","Complete")</f>
        <v>Complete</v>
      </c>
      <c r="I1744" s="48" t="s">
        <v>6109</v>
      </c>
    </row>
    <row r="1745" spans="2:9" ht="15" customHeight="1" x14ac:dyDescent="0.25">
      <c r="B1745" s="55" t="s">
        <v>279</v>
      </c>
      <c r="C1745" s="46">
        <v>1733</v>
      </c>
      <c r="D1745" s="69" t="s">
        <v>29416</v>
      </c>
      <c r="E1745" s="51"/>
      <c r="F1745" s="114" t="str">
        <f>IF(INDEX(I.Facility.P1IDNumber,1733)="","",INDEX(I.Facility.P1IDNumber,1733))</f>
        <v/>
      </c>
      <c r="G1745" s="51"/>
      <c r="H1745" s="46" t="str">
        <f>IF(AND(I.Developer.P1=TRUE,I.Facility.P1FacilityCount&gt;=1733,F1745=""),"Incomplete","Complete")</f>
        <v>Complete</v>
      </c>
      <c r="I1745" s="48" t="s">
        <v>6110</v>
      </c>
    </row>
    <row r="1746" spans="2:9" ht="15" customHeight="1" x14ac:dyDescent="0.25">
      <c r="B1746" s="55" t="s">
        <v>279</v>
      </c>
      <c r="C1746" s="46">
        <v>1734</v>
      </c>
      <c r="D1746" s="69" t="s">
        <v>29416</v>
      </c>
      <c r="E1746" s="51"/>
      <c r="F1746" s="114" t="str">
        <f>IF(INDEX(I.Facility.P1IDNumber,1734)="","",INDEX(I.Facility.P1IDNumber,1734))</f>
        <v/>
      </c>
      <c r="G1746" s="51"/>
      <c r="H1746" s="46" t="str">
        <f>IF(AND(I.Developer.P1=TRUE,I.Facility.P1FacilityCount&gt;=1734,F1746=""),"Incomplete","Complete")</f>
        <v>Complete</v>
      </c>
      <c r="I1746" s="48" t="s">
        <v>6111</v>
      </c>
    </row>
    <row r="1747" spans="2:9" ht="15" customHeight="1" x14ac:dyDescent="0.25">
      <c r="B1747" s="55" t="s">
        <v>279</v>
      </c>
      <c r="C1747" s="46">
        <v>1735</v>
      </c>
      <c r="D1747" s="69" t="s">
        <v>29416</v>
      </c>
      <c r="E1747" s="51"/>
      <c r="F1747" s="114" t="str">
        <f>IF(INDEX(I.Facility.P1IDNumber,1735)="","",INDEX(I.Facility.P1IDNumber,1735))</f>
        <v/>
      </c>
      <c r="G1747" s="51"/>
      <c r="H1747" s="46" t="str">
        <f>IF(AND(I.Developer.P1=TRUE,I.Facility.P1FacilityCount&gt;=1735,F1747=""),"Incomplete","Complete")</f>
        <v>Complete</v>
      </c>
      <c r="I1747" s="48" t="s">
        <v>6112</v>
      </c>
    </row>
    <row r="1748" spans="2:9" ht="15" customHeight="1" x14ac:dyDescent="0.25">
      <c r="B1748" s="55" t="s">
        <v>279</v>
      </c>
      <c r="C1748" s="46">
        <v>1736</v>
      </c>
      <c r="D1748" s="69" t="s">
        <v>29416</v>
      </c>
      <c r="E1748" s="51"/>
      <c r="F1748" s="114" t="str">
        <f>IF(INDEX(I.Facility.P1IDNumber,1736)="","",INDEX(I.Facility.P1IDNumber,1736))</f>
        <v/>
      </c>
      <c r="G1748" s="51"/>
      <c r="H1748" s="46" t="str">
        <f>IF(AND(I.Developer.P1=TRUE,I.Facility.P1FacilityCount&gt;=1736,F1748=""),"Incomplete","Complete")</f>
        <v>Complete</v>
      </c>
      <c r="I1748" s="48" t="s">
        <v>6113</v>
      </c>
    </row>
    <row r="1749" spans="2:9" ht="15" customHeight="1" x14ac:dyDescent="0.25">
      <c r="B1749" s="55" t="s">
        <v>279</v>
      </c>
      <c r="C1749" s="46">
        <v>1737</v>
      </c>
      <c r="D1749" s="69" t="s">
        <v>29416</v>
      </c>
      <c r="E1749" s="51"/>
      <c r="F1749" s="114" t="str">
        <f>IF(INDEX(I.Facility.P1IDNumber,1737)="","",INDEX(I.Facility.P1IDNumber,1737))</f>
        <v/>
      </c>
      <c r="G1749" s="51"/>
      <c r="H1749" s="46" t="str">
        <f>IF(AND(I.Developer.P1=TRUE,I.Facility.P1FacilityCount&gt;=1737,F1749=""),"Incomplete","Complete")</f>
        <v>Complete</v>
      </c>
      <c r="I1749" s="48" t="s">
        <v>6114</v>
      </c>
    </row>
    <row r="1750" spans="2:9" ht="15" customHeight="1" x14ac:dyDescent="0.25">
      <c r="B1750" s="55" t="s">
        <v>279</v>
      </c>
      <c r="C1750" s="46">
        <v>1738</v>
      </c>
      <c r="D1750" s="69" t="s">
        <v>29416</v>
      </c>
      <c r="E1750" s="51"/>
      <c r="F1750" s="114" t="str">
        <f>IF(INDEX(I.Facility.P1IDNumber,1738)="","",INDEX(I.Facility.P1IDNumber,1738))</f>
        <v/>
      </c>
      <c r="G1750" s="51"/>
      <c r="H1750" s="46" t="str">
        <f>IF(AND(I.Developer.P1=TRUE,I.Facility.P1FacilityCount&gt;=1738,F1750=""),"Incomplete","Complete")</f>
        <v>Complete</v>
      </c>
      <c r="I1750" s="48" t="s">
        <v>6115</v>
      </c>
    </row>
    <row r="1751" spans="2:9" ht="15" customHeight="1" x14ac:dyDescent="0.25">
      <c r="B1751" s="55" t="s">
        <v>279</v>
      </c>
      <c r="C1751" s="46">
        <v>1739</v>
      </c>
      <c r="D1751" s="69" t="s">
        <v>29416</v>
      </c>
      <c r="E1751" s="51"/>
      <c r="F1751" s="114" t="str">
        <f>IF(INDEX(I.Facility.P1IDNumber,1739)="","",INDEX(I.Facility.P1IDNumber,1739))</f>
        <v/>
      </c>
      <c r="G1751" s="51"/>
      <c r="H1751" s="46" t="str">
        <f>IF(AND(I.Developer.P1=TRUE,I.Facility.P1FacilityCount&gt;=1739,F1751=""),"Incomplete","Complete")</f>
        <v>Complete</v>
      </c>
      <c r="I1751" s="48" t="s">
        <v>6116</v>
      </c>
    </row>
    <row r="1752" spans="2:9" ht="15" customHeight="1" x14ac:dyDescent="0.25">
      <c r="B1752" s="55" t="s">
        <v>279</v>
      </c>
      <c r="C1752" s="46">
        <v>1740</v>
      </c>
      <c r="D1752" s="69" t="s">
        <v>29416</v>
      </c>
      <c r="E1752" s="51"/>
      <c r="F1752" s="114" t="str">
        <f>IF(INDEX(I.Facility.P1IDNumber,1740)="","",INDEX(I.Facility.P1IDNumber,1740))</f>
        <v/>
      </c>
      <c r="G1752" s="51"/>
      <c r="H1752" s="46" t="str">
        <f>IF(AND(I.Developer.P1=TRUE,I.Facility.P1FacilityCount&gt;=1740,F1752=""),"Incomplete","Complete")</f>
        <v>Complete</v>
      </c>
      <c r="I1752" s="48" t="s">
        <v>6117</v>
      </c>
    </row>
    <row r="1753" spans="2:9" ht="15" customHeight="1" x14ac:dyDescent="0.25">
      <c r="B1753" s="55" t="s">
        <v>279</v>
      </c>
      <c r="C1753" s="46">
        <v>1741</v>
      </c>
      <c r="D1753" s="69" t="s">
        <v>29416</v>
      </c>
      <c r="E1753" s="51"/>
      <c r="F1753" s="114" t="str">
        <f>IF(INDEX(I.Facility.P1IDNumber,1741)="","",INDEX(I.Facility.P1IDNumber,1741))</f>
        <v/>
      </c>
      <c r="G1753" s="51"/>
      <c r="H1753" s="46" t="str">
        <f>IF(AND(I.Developer.P1=TRUE,I.Facility.P1FacilityCount&gt;=1741,F1753=""),"Incomplete","Complete")</f>
        <v>Complete</v>
      </c>
      <c r="I1753" s="48" t="s">
        <v>6118</v>
      </c>
    </row>
    <row r="1754" spans="2:9" ht="15" customHeight="1" x14ac:dyDescent="0.25">
      <c r="B1754" s="55" t="s">
        <v>279</v>
      </c>
      <c r="C1754" s="46">
        <v>1742</v>
      </c>
      <c r="D1754" s="69" t="s">
        <v>29416</v>
      </c>
      <c r="E1754" s="51"/>
      <c r="F1754" s="114" t="str">
        <f>IF(INDEX(I.Facility.P1IDNumber,1742)="","",INDEX(I.Facility.P1IDNumber,1742))</f>
        <v/>
      </c>
      <c r="G1754" s="51"/>
      <c r="H1754" s="46" t="str">
        <f>IF(AND(I.Developer.P1=TRUE,I.Facility.P1FacilityCount&gt;=1742,F1754=""),"Incomplete","Complete")</f>
        <v>Complete</v>
      </c>
      <c r="I1754" s="48" t="s">
        <v>6119</v>
      </c>
    </row>
    <row r="1755" spans="2:9" ht="15" customHeight="1" x14ac:dyDescent="0.25">
      <c r="B1755" s="55" t="s">
        <v>279</v>
      </c>
      <c r="C1755" s="46">
        <v>1743</v>
      </c>
      <c r="D1755" s="69" t="s">
        <v>29416</v>
      </c>
      <c r="E1755" s="51"/>
      <c r="F1755" s="114" t="str">
        <f>IF(INDEX(I.Facility.P1IDNumber,1743)="","",INDEX(I.Facility.P1IDNumber,1743))</f>
        <v/>
      </c>
      <c r="G1755" s="51"/>
      <c r="H1755" s="46" t="str">
        <f>IF(AND(I.Developer.P1=TRUE,I.Facility.P1FacilityCount&gt;=1743,F1755=""),"Incomplete","Complete")</f>
        <v>Complete</v>
      </c>
      <c r="I1755" s="48" t="s">
        <v>6120</v>
      </c>
    </row>
    <row r="1756" spans="2:9" ht="15" customHeight="1" x14ac:dyDescent="0.25">
      <c r="B1756" s="55" t="s">
        <v>279</v>
      </c>
      <c r="C1756" s="46">
        <v>1744</v>
      </c>
      <c r="D1756" s="69" t="s">
        <v>29416</v>
      </c>
      <c r="E1756" s="51"/>
      <c r="F1756" s="114" t="str">
        <f>IF(INDEX(I.Facility.P1IDNumber,1744)="","",INDEX(I.Facility.P1IDNumber,1744))</f>
        <v/>
      </c>
      <c r="G1756" s="51"/>
      <c r="H1756" s="46" t="str">
        <f>IF(AND(I.Developer.P1=TRUE,I.Facility.P1FacilityCount&gt;=1744,F1756=""),"Incomplete","Complete")</f>
        <v>Complete</v>
      </c>
      <c r="I1756" s="48" t="s">
        <v>6121</v>
      </c>
    </row>
    <row r="1757" spans="2:9" ht="15" customHeight="1" x14ac:dyDescent="0.25">
      <c r="B1757" s="55" t="s">
        <v>279</v>
      </c>
      <c r="C1757" s="46">
        <v>1745</v>
      </c>
      <c r="D1757" s="69" t="s">
        <v>29416</v>
      </c>
      <c r="E1757" s="51"/>
      <c r="F1757" s="114" t="str">
        <f>IF(INDEX(I.Facility.P1IDNumber,1745)="","",INDEX(I.Facility.P1IDNumber,1745))</f>
        <v/>
      </c>
      <c r="G1757" s="51"/>
      <c r="H1757" s="46" t="str">
        <f>IF(AND(I.Developer.P1=TRUE,I.Facility.P1FacilityCount&gt;=1745,F1757=""),"Incomplete","Complete")</f>
        <v>Complete</v>
      </c>
      <c r="I1757" s="48" t="s">
        <v>6122</v>
      </c>
    </row>
    <row r="1758" spans="2:9" ht="15" customHeight="1" x14ac:dyDescent="0.25">
      <c r="B1758" s="55" t="s">
        <v>279</v>
      </c>
      <c r="C1758" s="46">
        <v>1746</v>
      </c>
      <c r="D1758" s="69" t="s">
        <v>29416</v>
      </c>
      <c r="E1758" s="51"/>
      <c r="F1758" s="114" t="str">
        <f>IF(INDEX(I.Facility.P1IDNumber,1746)="","",INDEX(I.Facility.P1IDNumber,1746))</f>
        <v/>
      </c>
      <c r="G1758" s="51"/>
      <c r="H1758" s="46" t="str">
        <f>IF(AND(I.Developer.P1=TRUE,I.Facility.P1FacilityCount&gt;=1746,F1758=""),"Incomplete","Complete")</f>
        <v>Complete</v>
      </c>
      <c r="I1758" s="48" t="s">
        <v>6123</v>
      </c>
    </row>
    <row r="1759" spans="2:9" ht="15" customHeight="1" x14ac:dyDescent="0.25">
      <c r="B1759" s="55" t="s">
        <v>279</v>
      </c>
      <c r="C1759" s="46">
        <v>1747</v>
      </c>
      <c r="D1759" s="69" t="s">
        <v>29416</v>
      </c>
      <c r="E1759" s="51"/>
      <c r="F1759" s="114" t="str">
        <f>IF(INDEX(I.Facility.P1IDNumber,1747)="","",INDEX(I.Facility.P1IDNumber,1747))</f>
        <v/>
      </c>
      <c r="G1759" s="51"/>
      <c r="H1759" s="46" t="str">
        <f>IF(AND(I.Developer.P1=TRUE,I.Facility.P1FacilityCount&gt;=1747,F1759=""),"Incomplete","Complete")</f>
        <v>Complete</v>
      </c>
      <c r="I1759" s="48" t="s">
        <v>6124</v>
      </c>
    </row>
    <row r="1760" spans="2:9" ht="15" customHeight="1" x14ac:dyDescent="0.25">
      <c r="B1760" s="55" t="s">
        <v>279</v>
      </c>
      <c r="C1760" s="46">
        <v>1748</v>
      </c>
      <c r="D1760" s="69" t="s">
        <v>29416</v>
      </c>
      <c r="E1760" s="51"/>
      <c r="F1760" s="114" t="str">
        <f>IF(INDEX(I.Facility.P1IDNumber,1748)="","",INDEX(I.Facility.P1IDNumber,1748))</f>
        <v/>
      </c>
      <c r="G1760" s="51"/>
      <c r="H1760" s="46" t="str">
        <f>IF(AND(I.Developer.P1=TRUE,I.Facility.P1FacilityCount&gt;=1748,F1760=""),"Incomplete","Complete")</f>
        <v>Complete</v>
      </c>
      <c r="I1760" s="48" t="s">
        <v>6125</v>
      </c>
    </row>
    <row r="1761" spans="2:9" ht="15" customHeight="1" x14ac:dyDescent="0.25">
      <c r="B1761" s="55" t="s">
        <v>279</v>
      </c>
      <c r="C1761" s="46">
        <v>1749</v>
      </c>
      <c r="D1761" s="69" t="s">
        <v>29416</v>
      </c>
      <c r="E1761" s="51"/>
      <c r="F1761" s="114" t="str">
        <f>IF(INDEX(I.Facility.P1IDNumber,1749)="","",INDEX(I.Facility.P1IDNumber,1749))</f>
        <v/>
      </c>
      <c r="G1761" s="51"/>
      <c r="H1761" s="46" t="str">
        <f>IF(AND(I.Developer.P1=TRUE,I.Facility.P1FacilityCount&gt;=1749,F1761=""),"Incomplete","Complete")</f>
        <v>Complete</v>
      </c>
      <c r="I1761" s="48" t="s">
        <v>6126</v>
      </c>
    </row>
    <row r="1762" spans="2:9" ht="15" customHeight="1" x14ac:dyDescent="0.25">
      <c r="B1762" s="55" t="s">
        <v>279</v>
      </c>
      <c r="C1762" s="46">
        <v>1750</v>
      </c>
      <c r="D1762" s="69" t="s">
        <v>29416</v>
      </c>
      <c r="E1762" s="51"/>
      <c r="F1762" s="114" t="str">
        <f>IF(INDEX(I.Facility.P1IDNumber,1750)="","",INDEX(I.Facility.P1IDNumber,1750))</f>
        <v/>
      </c>
      <c r="G1762" s="51"/>
      <c r="H1762" s="46" t="str">
        <f>IF(AND(I.Developer.P1=TRUE,I.Facility.P1FacilityCount&gt;=1750,F1762=""),"Incomplete","Complete")</f>
        <v>Complete</v>
      </c>
      <c r="I1762" s="48" t="s">
        <v>6127</v>
      </c>
    </row>
    <row r="1763" spans="2:9" ht="15" customHeight="1" x14ac:dyDescent="0.25">
      <c r="B1763" s="55" t="s">
        <v>279</v>
      </c>
      <c r="C1763" s="46">
        <v>1751</v>
      </c>
      <c r="D1763" s="69" t="s">
        <v>29416</v>
      </c>
      <c r="E1763" s="51"/>
      <c r="F1763" s="114" t="str">
        <f>IF(INDEX(I.Facility.P1IDNumber,1751)="","",INDEX(I.Facility.P1IDNumber,1751))</f>
        <v/>
      </c>
      <c r="G1763" s="51"/>
      <c r="H1763" s="46" t="str">
        <f>IF(AND(I.Developer.P1=TRUE,I.Facility.P1FacilityCount&gt;=1751,F1763=""),"Incomplete","Complete")</f>
        <v>Complete</v>
      </c>
      <c r="I1763" s="48" t="s">
        <v>6128</v>
      </c>
    </row>
    <row r="1764" spans="2:9" ht="15" customHeight="1" x14ac:dyDescent="0.25">
      <c r="B1764" s="55" t="s">
        <v>279</v>
      </c>
      <c r="C1764" s="46">
        <v>1752</v>
      </c>
      <c r="D1764" s="69" t="s">
        <v>29416</v>
      </c>
      <c r="E1764" s="51"/>
      <c r="F1764" s="114" t="str">
        <f>IF(INDEX(I.Facility.P1IDNumber,1752)="","",INDEX(I.Facility.P1IDNumber,1752))</f>
        <v/>
      </c>
      <c r="G1764" s="51"/>
      <c r="H1764" s="46" t="str">
        <f>IF(AND(I.Developer.P1=TRUE,I.Facility.P1FacilityCount&gt;=1752,F1764=""),"Incomplete","Complete")</f>
        <v>Complete</v>
      </c>
      <c r="I1764" s="48" t="s">
        <v>6129</v>
      </c>
    </row>
    <row r="1765" spans="2:9" ht="15" customHeight="1" x14ac:dyDescent="0.25">
      <c r="B1765" s="55" t="s">
        <v>279</v>
      </c>
      <c r="C1765" s="46">
        <v>1753</v>
      </c>
      <c r="D1765" s="69" t="s">
        <v>29416</v>
      </c>
      <c r="E1765" s="51"/>
      <c r="F1765" s="114" t="str">
        <f>IF(INDEX(I.Facility.P1IDNumber,1753)="","",INDEX(I.Facility.P1IDNumber,1753))</f>
        <v/>
      </c>
      <c r="G1765" s="51"/>
      <c r="H1765" s="46" t="str">
        <f>IF(AND(I.Developer.P1=TRUE,I.Facility.P1FacilityCount&gt;=1753,F1765=""),"Incomplete","Complete")</f>
        <v>Complete</v>
      </c>
      <c r="I1765" s="48" t="s">
        <v>6130</v>
      </c>
    </row>
    <row r="1766" spans="2:9" ht="15" customHeight="1" x14ac:dyDescent="0.25">
      <c r="B1766" s="55" t="s">
        <v>279</v>
      </c>
      <c r="C1766" s="46">
        <v>1754</v>
      </c>
      <c r="D1766" s="69" t="s">
        <v>29416</v>
      </c>
      <c r="E1766" s="51"/>
      <c r="F1766" s="114" t="str">
        <f>IF(INDEX(I.Facility.P1IDNumber,1754)="","",INDEX(I.Facility.P1IDNumber,1754))</f>
        <v/>
      </c>
      <c r="G1766" s="51"/>
      <c r="H1766" s="46" t="str">
        <f>IF(AND(I.Developer.P1=TRUE,I.Facility.P1FacilityCount&gt;=1754,F1766=""),"Incomplete","Complete")</f>
        <v>Complete</v>
      </c>
      <c r="I1766" s="48" t="s">
        <v>6131</v>
      </c>
    </row>
    <row r="1767" spans="2:9" ht="15" customHeight="1" x14ac:dyDescent="0.25">
      <c r="B1767" s="55" t="s">
        <v>279</v>
      </c>
      <c r="C1767" s="46">
        <v>1755</v>
      </c>
      <c r="D1767" s="69" t="s">
        <v>29416</v>
      </c>
      <c r="E1767" s="51"/>
      <c r="F1767" s="114" t="str">
        <f>IF(INDEX(I.Facility.P1IDNumber,1755)="","",INDEX(I.Facility.P1IDNumber,1755))</f>
        <v/>
      </c>
      <c r="G1767" s="51"/>
      <c r="H1767" s="46" t="str">
        <f>IF(AND(I.Developer.P1=TRUE,I.Facility.P1FacilityCount&gt;=1755,F1767=""),"Incomplete","Complete")</f>
        <v>Complete</v>
      </c>
      <c r="I1767" s="48" t="s">
        <v>6132</v>
      </c>
    </row>
    <row r="1768" spans="2:9" ht="15" customHeight="1" x14ac:dyDescent="0.25">
      <c r="B1768" s="55" t="s">
        <v>279</v>
      </c>
      <c r="C1768" s="46">
        <v>1756</v>
      </c>
      <c r="D1768" s="69" t="s">
        <v>29416</v>
      </c>
      <c r="E1768" s="51"/>
      <c r="F1768" s="114" t="str">
        <f>IF(INDEX(I.Facility.P1IDNumber,1756)="","",INDEX(I.Facility.P1IDNumber,1756))</f>
        <v/>
      </c>
      <c r="G1768" s="51"/>
      <c r="H1768" s="46" t="str">
        <f>IF(AND(I.Developer.P1=TRUE,I.Facility.P1FacilityCount&gt;=1756,F1768=""),"Incomplete","Complete")</f>
        <v>Complete</v>
      </c>
      <c r="I1768" s="48" t="s">
        <v>6133</v>
      </c>
    </row>
    <row r="1769" spans="2:9" ht="15" customHeight="1" x14ac:dyDescent="0.25">
      <c r="B1769" s="55" t="s">
        <v>279</v>
      </c>
      <c r="C1769" s="46">
        <v>1757</v>
      </c>
      <c r="D1769" s="69" t="s">
        <v>29416</v>
      </c>
      <c r="E1769" s="51"/>
      <c r="F1769" s="114" t="str">
        <f>IF(INDEX(I.Facility.P1IDNumber,1757)="","",INDEX(I.Facility.P1IDNumber,1757))</f>
        <v/>
      </c>
      <c r="G1769" s="51"/>
      <c r="H1769" s="46" t="str">
        <f>IF(AND(I.Developer.P1=TRUE,I.Facility.P1FacilityCount&gt;=1757,F1769=""),"Incomplete","Complete")</f>
        <v>Complete</v>
      </c>
      <c r="I1769" s="48" t="s">
        <v>6134</v>
      </c>
    </row>
    <row r="1770" spans="2:9" ht="15" customHeight="1" x14ac:dyDescent="0.25">
      <c r="B1770" s="55" t="s">
        <v>279</v>
      </c>
      <c r="C1770" s="46">
        <v>1758</v>
      </c>
      <c r="D1770" s="69" t="s">
        <v>29416</v>
      </c>
      <c r="E1770" s="51"/>
      <c r="F1770" s="114" t="str">
        <f>IF(INDEX(I.Facility.P1IDNumber,1758)="","",INDEX(I.Facility.P1IDNumber,1758))</f>
        <v/>
      </c>
      <c r="G1770" s="51"/>
      <c r="H1770" s="46" t="str">
        <f>IF(AND(I.Developer.P1=TRUE,I.Facility.P1FacilityCount&gt;=1758,F1770=""),"Incomplete","Complete")</f>
        <v>Complete</v>
      </c>
      <c r="I1770" s="48" t="s">
        <v>6135</v>
      </c>
    </row>
    <row r="1771" spans="2:9" ht="15" customHeight="1" x14ac:dyDescent="0.25">
      <c r="B1771" s="55" t="s">
        <v>279</v>
      </c>
      <c r="C1771" s="46">
        <v>1759</v>
      </c>
      <c r="D1771" s="69" t="s">
        <v>29416</v>
      </c>
      <c r="E1771" s="51"/>
      <c r="F1771" s="114" t="str">
        <f>IF(INDEX(I.Facility.P1IDNumber,1759)="","",INDEX(I.Facility.P1IDNumber,1759))</f>
        <v/>
      </c>
      <c r="G1771" s="51"/>
      <c r="H1771" s="46" t="str">
        <f>IF(AND(I.Developer.P1=TRUE,I.Facility.P1FacilityCount&gt;=1759,F1771=""),"Incomplete","Complete")</f>
        <v>Complete</v>
      </c>
      <c r="I1771" s="48" t="s">
        <v>6136</v>
      </c>
    </row>
    <row r="1772" spans="2:9" ht="15" customHeight="1" x14ac:dyDescent="0.25">
      <c r="B1772" s="55" t="s">
        <v>279</v>
      </c>
      <c r="C1772" s="46">
        <v>1760</v>
      </c>
      <c r="D1772" s="69" t="s">
        <v>29416</v>
      </c>
      <c r="E1772" s="51"/>
      <c r="F1772" s="114" t="str">
        <f>IF(INDEX(I.Facility.P1IDNumber,1760)="","",INDEX(I.Facility.P1IDNumber,1760))</f>
        <v/>
      </c>
      <c r="G1772" s="51"/>
      <c r="H1772" s="46" t="str">
        <f>IF(AND(I.Developer.P1=TRUE,I.Facility.P1FacilityCount&gt;=1760,F1772=""),"Incomplete","Complete")</f>
        <v>Complete</v>
      </c>
      <c r="I1772" s="48" t="s">
        <v>6137</v>
      </c>
    </row>
    <row r="1773" spans="2:9" ht="15" customHeight="1" x14ac:dyDescent="0.25">
      <c r="B1773" s="55" t="s">
        <v>279</v>
      </c>
      <c r="C1773" s="46">
        <v>1761</v>
      </c>
      <c r="D1773" s="69" t="s">
        <v>29416</v>
      </c>
      <c r="E1773" s="51"/>
      <c r="F1773" s="114" t="str">
        <f>IF(INDEX(I.Facility.P1IDNumber,1761)="","",INDEX(I.Facility.P1IDNumber,1761))</f>
        <v/>
      </c>
      <c r="G1773" s="51"/>
      <c r="H1773" s="46" t="str">
        <f>IF(AND(I.Developer.P1=TRUE,I.Facility.P1FacilityCount&gt;=1761,F1773=""),"Incomplete","Complete")</f>
        <v>Complete</v>
      </c>
      <c r="I1773" s="48" t="s">
        <v>6138</v>
      </c>
    </row>
    <row r="1774" spans="2:9" ht="15" customHeight="1" x14ac:dyDescent="0.25">
      <c r="B1774" s="55" t="s">
        <v>279</v>
      </c>
      <c r="C1774" s="46">
        <v>1762</v>
      </c>
      <c r="D1774" s="69" t="s">
        <v>29416</v>
      </c>
      <c r="E1774" s="51"/>
      <c r="F1774" s="114" t="str">
        <f>IF(INDEX(I.Facility.P1IDNumber,1762)="","",INDEX(I.Facility.P1IDNumber,1762))</f>
        <v/>
      </c>
      <c r="G1774" s="51"/>
      <c r="H1774" s="46" t="str">
        <f>IF(AND(I.Developer.P1=TRUE,I.Facility.P1FacilityCount&gt;=1762,F1774=""),"Incomplete","Complete")</f>
        <v>Complete</v>
      </c>
      <c r="I1774" s="48" t="s">
        <v>6139</v>
      </c>
    </row>
    <row r="1775" spans="2:9" ht="15" customHeight="1" x14ac:dyDescent="0.25">
      <c r="B1775" s="55" t="s">
        <v>279</v>
      </c>
      <c r="C1775" s="46">
        <v>1763</v>
      </c>
      <c r="D1775" s="69" t="s">
        <v>29416</v>
      </c>
      <c r="E1775" s="51"/>
      <c r="F1775" s="114" t="str">
        <f>IF(INDEX(I.Facility.P1IDNumber,1763)="","",INDEX(I.Facility.P1IDNumber,1763))</f>
        <v/>
      </c>
      <c r="G1775" s="51"/>
      <c r="H1775" s="46" t="str">
        <f>IF(AND(I.Developer.P1=TRUE,I.Facility.P1FacilityCount&gt;=1763,F1775=""),"Incomplete","Complete")</f>
        <v>Complete</v>
      </c>
      <c r="I1775" s="48" t="s">
        <v>6140</v>
      </c>
    </row>
    <row r="1776" spans="2:9" ht="15" customHeight="1" x14ac:dyDescent="0.25">
      <c r="B1776" s="55" t="s">
        <v>279</v>
      </c>
      <c r="C1776" s="46">
        <v>1764</v>
      </c>
      <c r="D1776" s="69" t="s">
        <v>29416</v>
      </c>
      <c r="E1776" s="51"/>
      <c r="F1776" s="114" t="str">
        <f>IF(INDEX(I.Facility.P1IDNumber,1764)="","",INDEX(I.Facility.P1IDNumber,1764))</f>
        <v/>
      </c>
      <c r="G1776" s="51"/>
      <c r="H1776" s="46" t="str">
        <f>IF(AND(I.Developer.P1=TRUE,I.Facility.P1FacilityCount&gt;=1764,F1776=""),"Incomplete","Complete")</f>
        <v>Complete</v>
      </c>
      <c r="I1776" s="48" t="s">
        <v>6141</v>
      </c>
    </row>
    <row r="1777" spans="2:9" ht="15" customHeight="1" x14ac:dyDescent="0.25">
      <c r="B1777" s="55" t="s">
        <v>279</v>
      </c>
      <c r="C1777" s="46">
        <v>1765</v>
      </c>
      <c r="D1777" s="69" t="s">
        <v>29416</v>
      </c>
      <c r="E1777" s="51"/>
      <c r="F1777" s="114" t="str">
        <f>IF(INDEX(I.Facility.P1IDNumber,1765)="","",INDEX(I.Facility.P1IDNumber,1765))</f>
        <v/>
      </c>
      <c r="G1777" s="51"/>
      <c r="H1777" s="46" t="str">
        <f>IF(AND(I.Developer.P1=TRUE,I.Facility.P1FacilityCount&gt;=1765,F1777=""),"Incomplete","Complete")</f>
        <v>Complete</v>
      </c>
      <c r="I1777" s="48" t="s">
        <v>6142</v>
      </c>
    </row>
    <row r="1778" spans="2:9" ht="15" customHeight="1" x14ac:dyDescent="0.25">
      <c r="B1778" s="55" t="s">
        <v>279</v>
      </c>
      <c r="C1778" s="46">
        <v>1766</v>
      </c>
      <c r="D1778" s="69" t="s">
        <v>29416</v>
      </c>
      <c r="E1778" s="51"/>
      <c r="F1778" s="114" t="str">
        <f>IF(INDEX(I.Facility.P1IDNumber,1766)="","",INDEX(I.Facility.P1IDNumber,1766))</f>
        <v/>
      </c>
      <c r="G1778" s="51"/>
      <c r="H1778" s="46" t="str">
        <f>IF(AND(I.Developer.P1=TRUE,I.Facility.P1FacilityCount&gt;=1766,F1778=""),"Incomplete","Complete")</f>
        <v>Complete</v>
      </c>
      <c r="I1778" s="48" t="s">
        <v>6143</v>
      </c>
    </row>
    <row r="1779" spans="2:9" ht="15" customHeight="1" x14ac:dyDescent="0.25">
      <c r="B1779" s="55" t="s">
        <v>279</v>
      </c>
      <c r="C1779" s="46">
        <v>1767</v>
      </c>
      <c r="D1779" s="69" t="s">
        <v>29416</v>
      </c>
      <c r="E1779" s="51"/>
      <c r="F1779" s="114" t="str">
        <f>IF(INDEX(I.Facility.P1IDNumber,1767)="","",INDEX(I.Facility.P1IDNumber,1767))</f>
        <v/>
      </c>
      <c r="G1779" s="51"/>
      <c r="H1779" s="46" t="str">
        <f>IF(AND(I.Developer.P1=TRUE,I.Facility.P1FacilityCount&gt;=1767,F1779=""),"Incomplete","Complete")</f>
        <v>Complete</v>
      </c>
      <c r="I1779" s="48" t="s">
        <v>6144</v>
      </c>
    </row>
    <row r="1780" spans="2:9" ht="15" customHeight="1" x14ac:dyDescent="0.25">
      <c r="B1780" s="55" t="s">
        <v>279</v>
      </c>
      <c r="C1780" s="46">
        <v>1768</v>
      </c>
      <c r="D1780" s="69" t="s">
        <v>29416</v>
      </c>
      <c r="E1780" s="51"/>
      <c r="F1780" s="114" t="str">
        <f>IF(INDEX(I.Facility.P1IDNumber,1768)="","",INDEX(I.Facility.P1IDNumber,1768))</f>
        <v/>
      </c>
      <c r="G1780" s="51"/>
      <c r="H1780" s="46" t="str">
        <f>IF(AND(I.Developer.P1=TRUE,I.Facility.P1FacilityCount&gt;=1768,F1780=""),"Incomplete","Complete")</f>
        <v>Complete</v>
      </c>
      <c r="I1780" s="48" t="s">
        <v>6145</v>
      </c>
    </row>
    <row r="1781" spans="2:9" ht="15" customHeight="1" x14ac:dyDescent="0.25">
      <c r="B1781" s="55" t="s">
        <v>279</v>
      </c>
      <c r="C1781" s="46">
        <v>1769</v>
      </c>
      <c r="D1781" s="69" t="s">
        <v>29416</v>
      </c>
      <c r="E1781" s="51"/>
      <c r="F1781" s="114" t="str">
        <f>IF(INDEX(I.Facility.P1IDNumber,1769)="","",INDEX(I.Facility.P1IDNumber,1769))</f>
        <v/>
      </c>
      <c r="G1781" s="51"/>
      <c r="H1781" s="46" t="str">
        <f>IF(AND(I.Developer.P1=TRUE,I.Facility.P1FacilityCount&gt;=1769,F1781=""),"Incomplete","Complete")</f>
        <v>Complete</v>
      </c>
      <c r="I1781" s="48" t="s">
        <v>6146</v>
      </c>
    </row>
    <row r="1782" spans="2:9" ht="15" customHeight="1" x14ac:dyDescent="0.25">
      <c r="B1782" s="55" t="s">
        <v>279</v>
      </c>
      <c r="C1782" s="46">
        <v>1770</v>
      </c>
      <c r="D1782" s="69" t="s">
        <v>29416</v>
      </c>
      <c r="E1782" s="51"/>
      <c r="F1782" s="114" t="str">
        <f>IF(INDEX(I.Facility.P1IDNumber,1770)="","",INDEX(I.Facility.P1IDNumber,1770))</f>
        <v/>
      </c>
      <c r="G1782" s="51"/>
      <c r="H1782" s="46" t="str">
        <f>IF(AND(I.Developer.P1=TRUE,I.Facility.P1FacilityCount&gt;=1770,F1782=""),"Incomplete","Complete")</f>
        <v>Complete</v>
      </c>
      <c r="I1782" s="48" t="s">
        <v>6147</v>
      </c>
    </row>
    <row r="1783" spans="2:9" ht="15" customHeight="1" x14ac:dyDescent="0.25">
      <c r="B1783" s="55" t="s">
        <v>279</v>
      </c>
      <c r="C1783" s="46">
        <v>1771</v>
      </c>
      <c r="D1783" s="69" t="s">
        <v>29416</v>
      </c>
      <c r="E1783" s="51"/>
      <c r="F1783" s="114" t="str">
        <f>IF(INDEX(I.Facility.P1IDNumber,1771)="","",INDEX(I.Facility.P1IDNumber,1771))</f>
        <v/>
      </c>
      <c r="G1783" s="51"/>
      <c r="H1783" s="46" t="str">
        <f>IF(AND(I.Developer.P1=TRUE,I.Facility.P1FacilityCount&gt;=1771,F1783=""),"Incomplete","Complete")</f>
        <v>Complete</v>
      </c>
      <c r="I1783" s="48" t="s">
        <v>6148</v>
      </c>
    </row>
    <row r="1784" spans="2:9" ht="15" customHeight="1" x14ac:dyDescent="0.25">
      <c r="B1784" s="55" t="s">
        <v>279</v>
      </c>
      <c r="C1784" s="46">
        <v>1772</v>
      </c>
      <c r="D1784" s="69" t="s">
        <v>29416</v>
      </c>
      <c r="E1784" s="51"/>
      <c r="F1784" s="114" t="str">
        <f>IF(INDEX(I.Facility.P1IDNumber,1772)="","",INDEX(I.Facility.P1IDNumber,1772))</f>
        <v/>
      </c>
      <c r="G1784" s="51"/>
      <c r="H1784" s="46" t="str">
        <f>IF(AND(I.Developer.P1=TRUE,I.Facility.P1FacilityCount&gt;=1772,F1784=""),"Incomplete","Complete")</f>
        <v>Complete</v>
      </c>
      <c r="I1784" s="48" t="s">
        <v>6149</v>
      </c>
    </row>
    <row r="1785" spans="2:9" ht="15" customHeight="1" x14ac:dyDescent="0.25">
      <c r="B1785" s="55" t="s">
        <v>279</v>
      </c>
      <c r="C1785" s="46">
        <v>1773</v>
      </c>
      <c r="D1785" s="69" t="s">
        <v>29416</v>
      </c>
      <c r="E1785" s="51"/>
      <c r="F1785" s="114" t="str">
        <f>IF(INDEX(I.Facility.P1IDNumber,1773)="","",INDEX(I.Facility.P1IDNumber,1773))</f>
        <v/>
      </c>
      <c r="G1785" s="51"/>
      <c r="H1785" s="46" t="str">
        <f>IF(AND(I.Developer.P1=TRUE,I.Facility.P1FacilityCount&gt;=1773,F1785=""),"Incomplete","Complete")</f>
        <v>Complete</v>
      </c>
      <c r="I1785" s="48" t="s">
        <v>6150</v>
      </c>
    </row>
    <row r="1786" spans="2:9" ht="15" customHeight="1" x14ac:dyDescent="0.25">
      <c r="B1786" s="55" t="s">
        <v>279</v>
      </c>
      <c r="C1786" s="46">
        <v>1774</v>
      </c>
      <c r="D1786" s="69" t="s">
        <v>29416</v>
      </c>
      <c r="E1786" s="51"/>
      <c r="F1786" s="114" t="str">
        <f>IF(INDEX(I.Facility.P1IDNumber,1774)="","",INDEX(I.Facility.P1IDNumber,1774))</f>
        <v/>
      </c>
      <c r="G1786" s="51"/>
      <c r="H1786" s="46" t="str">
        <f>IF(AND(I.Developer.P1=TRUE,I.Facility.P1FacilityCount&gt;=1774,F1786=""),"Incomplete","Complete")</f>
        <v>Complete</v>
      </c>
      <c r="I1786" s="48" t="s">
        <v>6151</v>
      </c>
    </row>
    <row r="1787" spans="2:9" ht="15" customHeight="1" x14ac:dyDescent="0.25">
      <c r="B1787" s="55" t="s">
        <v>279</v>
      </c>
      <c r="C1787" s="46">
        <v>1775</v>
      </c>
      <c r="D1787" s="69" t="s">
        <v>29416</v>
      </c>
      <c r="E1787" s="51"/>
      <c r="F1787" s="114" t="str">
        <f>IF(INDEX(I.Facility.P1IDNumber,1775)="","",INDEX(I.Facility.P1IDNumber,1775))</f>
        <v/>
      </c>
      <c r="G1787" s="51"/>
      <c r="H1787" s="46" t="str">
        <f>IF(AND(I.Developer.P1=TRUE,I.Facility.P1FacilityCount&gt;=1775,F1787=""),"Incomplete","Complete")</f>
        <v>Complete</v>
      </c>
      <c r="I1787" s="48" t="s">
        <v>6152</v>
      </c>
    </row>
    <row r="1788" spans="2:9" ht="15" customHeight="1" x14ac:dyDescent="0.25">
      <c r="B1788" s="55" t="s">
        <v>279</v>
      </c>
      <c r="C1788" s="46">
        <v>1776</v>
      </c>
      <c r="D1788" s="69" t="s">
        <v>29416</v>
      </c>
      <c r="E1788" s="51"/>
      <c r="F1788" s="114" t="str">
        <f>IF(INDEX(I.Facility.P1IDNumber,1776)="","",INDEX(I.Facility.P1IDNumber,1776))</f>
        <v/>
      </c>
      <c r="G1788" s="51"/>
      <c r="H1788" s="46" t="str">
        <f>IF(AND(I.Developer.P1=TRUE,I.Facility.P1FacilityCount&gt;=1776,F1788=""),"Incomplete","Complete")</f>
        <v>Complete</v>
      </c>
      <c r="I1788" s="48" t="s">
        <v>6153</v>
      </c>
    </row>
    <row r="1789" spans="2:9" ht="15" customHeight="1" x14ac:dyDescent="0.25">
      <c r="B1789" s="55" t="s">
        <v>279</v>
      </c>
      <c r="C1789" s="46">
        <v>1777</v>
      </c>
      <c r="D1789" s="69" t="s">
        <v>29416</v>
      </c>
      <c r="E1789" s="51"/>
      <c r="F1789" s="114" t="str">
        <f>IF(INDEX(I.Facility.P1IDNumber,1777)="","",INDEX(I.Facility.P1IDNumber,1777))</f>
        <v/>
      </c>
      <c r="G1789" s="51"/>
      <c r="H1789" s="46" t="str">
        <f>IF(AND(I.Developer.P1=TRUE,I.Facility.P1FacilityCount&gt;=1777,F1789=""),"Incomplete","Complete")</f>
        <v>Complete</v>
      </c>
      <c r="I1789" s="48" t="s">
        <v>6154</v>
      </c>
    </row>
    <row r="1790" spans="2:9" ht="15" customHeight="1" x14ac:dyDescent="0.25">
      <c r="B1790" s="55" t="s">
        <v>279</v>
      </c>
      <c r="C1790" s="46">
        <v>1778</v>
      </c>
      <c r="D1790" s="69" t="s">
        <v>29416</v>
      </c>
      <c r="E1790" s="51"/>
      <c r="F1790" s="114" t="str">
        <f>IF(INDEX(I.Facility.P1IDNumber,1778)="","",INDEX(I.Facility.P1IDNumber,1778))</f>
        <v/>
      </c>
      <c r="G1790" s="51"/>
      <c r="H1790" s="46" t="str">
        <f>IF(AND(I.Developer.P1=TRUE,I.Facility.P1FacilityCount&gt;=1778,F1790=""),"Incomplete","Complete")</f>
        <v>Complete</v>
      </c>
      <c r="I1790" s="48" t="s">
        <v>6155</v>
      </c>
    </row>
    <row r="1791" spans="2:9" ht="15" customHeight="1" x14ac:dyDescent="0.25">
      <c r="B1791" s="55" t="s">
        <v>279</v>
      </c>
      <c r="C1791" s="46">
        <v>1779</v>
      </c>
      <c r="D1791" s="69" t="s">
        <v>29416</v>
      </c>
      <c r="E1791" s="51"/>
      <c r="F1791" s="114" t="str">
        <f>IF(INDEX(I.Facility.P1IDNumber,1779)="","",INDEX(I.Facility.P1IDNumber,1779))</f>
        <v/>
      </c>
      <c r="G1791" s="51"/>
      <c r="H1791" s="46" t="str">
        <f>IF(AND(I.Developer.P1=TRUE,I.Facility.P1FacilityCount&gt;=1779,F1791=""),"Incomplete","Complete")</f>
        <v>Complete</v>
      </c>
      <c r="I1791" s="48" t="s">
        <v>6156</v>
      </c>
    </row>
    <row r="1792" spans="2:9" ht="15" customHeight="1" x14ac:dyDescent="0.25">
      <c r="B1792" s="55" t="s">
        <v>279</v>
      </c>
      <c r="C1792" s="46">
        <v>1780</v>
      </c>
      <c r="D1792" s="69" t="s">
        <v>29416</v>
      </c>
      <c r="E1792" s="51"/>
      <c r="F1792" s="114" t="str">
        <f>IF(INDEX(I.Facility.P1IDNumber,1780)="","",INDEX(I.Facility.P1IDNumber,1780))</f>
        <v/>
      </c>
      <c r="G1792" s="51"/>
      <c r="H1792" s="46" t="str">
        <f>IF(AND(I.Developer.P1=TRUE,I.Facility.P1FacilityCount&gt;=1780,F1792=""),"Incomplete","Complete")</f>
        <v>Complete</v>
      </c>
      <c r="I1792" s="48" t="s">
        <v>6157</v>
      </c>
    </row>
    <row r="1793" spans="2:9" ht="15" customHeight="1" x14ac:dyDescent="0.25">
      <c r="B1793" s="55" t="s">
        <v>279</v>
      </c>
      <c r="C1793" s="46">
        <v>1781</v>
      </c>
      <c r="D1793" s="69" t="s">
        <v>29416</v>
      </c>
      <c r="E1793" s="51"/>
      <c r="F1793" s="114" t="str">
        <f>IF(INDEX(I.Facility.P1IDNumber,1781)="","",INDEX(I.Facility.P1IDNumber,1781))</f>
        <v/>
      </c>
      <c r="G1793" s="51"/>
      <c r="H1793" s="46" t="str">
        <f>IF(AND(I.Developer.P1=TRUE,I.Facility.P1FacilityCount&gt;=1781,F1793=""),"Incomplete","Complete")</f>
        <v>Complete</v>
      </c>
      <c r="I1793" s="48" t="s">
        <v>6158</v>
      </c>
    </row>
    <row r="1794" spans="2:9" ht="15" customHeight="1" x14ac:dyDescent="0.25">
      <c r="B1794" s="55" t="s">
        <v>279</v>
      </c>
      <c r="C1794" s="46">
        <v>1782</v>
      </c>
      <c r="D1794" s="69" t="s">
        <v>29416</v>
      </c>
      <c r="E1794" s="51"/>
      <c r="F1794" s="114" t="str">
        <f>IF(INDEX(I.Facility.P1IDNumber,1782)="","",INDEX(I.Facility.P1IDNumber,1782))</f>
        <v/>
      </c>
      <c r="G1794" s="51"/>
      <c r="H1794" s="46" t="str">
        <f>IF(AND(I.Developer.P1=TRUE,I.Facility.P1FacilityCount&gt;=1782,F1794=""),"Incomplete","Complete")</f>
        <v>Complete</v>
      </c>
      <c r="I1794" s="48" t="s">
        <v>6159</v>
      </c>
    </row>
    <row r="1795" spans="2:9" ht="15" customHeight="1" x14ac:dyDescent="0.25">
      <c r="B1795" s="55" t="s">
        <v>279</v>
      </c>
      <c r="C1795" s="46">
        <v>1783</v>
      </c>
      <c r="D1795" s="69" t="s">
        <v>29416</v>
      </c>
      <c r="E1795" s="51"/>
      <c r="F1795" s="114" t="str">
        <f>IF(INDEX(I.Facility.P1IDNumber,1783)="","",INDEX(I.Facility.P1IDNumber,1783))</f>
        <v/>
      </c>
      <c r="G1795" s="51"/>
      <c r="H1795" s="46" t="str">
        <f>IF(AND(I.Developer.P1=TRUE,I.Facility.P1FacilityCount&gt;=1783,F1795=""),"Incomplete","Complete")</f>
        <v>Complete</v>
      </c>
      <c r="I1795" s="48" t="s">
        <v>6160</v>
      </c>
    </row>
    <row r="1796" spans="2:9" ht="15" customHeight="1" x14ac:dyDescent="0.25">
      <c r="B1796" s="55" t="s">
        <v>279</v>
      </c>
      <c r="C1796" s="46">
        <v>1784</v>
      </c>
      <c r="D1796" s="69" t="s">
        <v>29416</v>
      </c>
      <c r="E1796" s="51"/>
      <c r="F1796" s="114" t="str">
        <f>IF(INDEX(I.Facility.P1IDNumber,1784)="","",INDEX(I.Facility.P1IDNumber,1784))</f>
        <v/>
      </c>
      <c r="G1796" s="51"/>
      <c r="H1796" s="46" t="str">
        <f>IF(AND(I.Developer.P1=TRUE,I.Facility.P1FacilityCount&gt;=1784,F1796=""),"Incomplete","Complete")</f>
        <v>Complete</v>
      </c>
      <c r="I1796" s="48" t="s">
        <v>6161</v>
      </c>
    </row>
    <row r="1797" spans="2:9" ht="15" customHeight="1" x14ac:dyDescent="0.25">
      <c r="B1797" s="55" t="s">
        <v>279</v>
      </c>
      <c r="C1797" s="46">
        <v>1785</v>
      </c>
      <c r="D1797" s="69" t="s">
        <v>29416</v>
      </c>
      <c r="E1797" s="51"/>
      <c r="F1797" s="114" t="str">
        <f>IF(INDEX(I.Facility.P1IDNumber,1785)="","",INDEX(I.Facility.P1IDNumber,1785))</f>
        <v/>
      </c>
      <c r="G1797" s="51"/>
      <c r="H1797" s="46" t="str">
        <f>IF(AND(I.Developer.P1=TRUE,I.Facility.P1FacilityCount&gt;=1785,F1797=""),"Incomplete","Complete")</f>
        <v>Complete</v>
      </c>
      <c r="I1797" s="48" t="s">
        <v>6162</v>
      </c>
    </row>
    <row r="1798" spans="2:9" ht="15" customHeight="1" x14ac:dyDescent="0.25">
      <c r="B1798" s="55" t="s">
        <v>279</v>
      </c>
      <c r="C1798" s="46">
        <v>1786</v>
      </c>
      <c r="D1798" s="69" t="s">
        <v>29416</v>
      </c>
      <c r="E1798" s="51"/>
      <c r="F1798" s="114" t="str">
        <f>IF(INDEX(I.Facility.P1IDNumber,1786)="","",INDEX(I.Facility.P1IDNumber,1786))</f>
        <v/>
      </c>
      <c r="G1798" s="51"/>
      <c r="H1798" s="46" t="str">
        <f>IF(AND(I.Developer.P1=TRUE,I.Facility.P1FacilityCount&gt;=1786,F1798=""),"Incomplete","Complete")</f>
        <v>Complete</v>
      </c>
      <c r="I1798" s="48" t="s">
        <v>6163</v>
      </c>
    </row>
    <row r="1799" spans="2:9" ht="15" customHeight="1" x14ac:dyDescent="0.25">
      <c r="B1799" s="55" t="s">
        <v>279</v>
      </c>
      <c r="C1799" s="46">
        <v>1787</v>
      </c>
      <c r="D1799" s="69" t="s">
        <v>29416</v>
      </c>
      <c r="E1799" s="51"/>
      <c r="F1799" s="114" t="str">
        <f>IF(INDEX(I.Facility.P1IDNumber,1787)="","",INDEX(I.Facility.P1IDNumber,1787))</f>
        <v/>
      </c>
      <c r="G1799" s="51"/>
      <c r="H1799" s="46" t="str">
        <f>IF(AND(I.Developer.P1=TRUE,I.Facility.P1FacilityCount&gt;=1787,F1799=""),"Incomplete","Complete")</f>
        <v>Complete</v>
      </c>
      <c r="I1799" s="48" t="s">
        <v>6164</v>
      </c>
    </row>
    <row r="1800" spans="2:9" ht="15" customHeight="1" x14ac:dyDescent="0.25">
      <c r="B1800" s="55" t="s">
        <v>279</v>
      </c>
      <c r="C1800" s="46">
        <v>1788</v>
      </c>
      <c r="D1800" s="69" t="s">
        <v>29416</v>
      </c>
      <c r="E1800" s="51"/>
      <c r="F1800" s="114" t="str">
        <f>IF(INDEX(I.Facility.P1IDNumber,1788)="","",INDEX(I.Facility.P1IDNumber,1788))</f>
        <v/>
      </c>
      <c r="G1800" s="51"/>
      <c r="H1800" s="46" t="str">
        <f>IF(AND(I.Developer.P1=TRUE,I.Facility.P1FacilityCount&gt;=1788,F1800=""),"Incomplete","Complete")</f>
        <v>Complete</v>
      </c>
      <c r="I1800" s="48" t="s">
        <v>6165</v>
      </c>
    </row>
    <row r="1801" spans="2:9" ht="15" customHeight="1" x14ac:dyDescent="0.25">
      <c r="B1801" s="55" t="s">
        <v>279</v>
      </c>
      <c r="C1801" s="46">
        <v>1789</v>
      </c>
      <c r="D1801" s="69" t="s">
        <v>29416</v>
      </c>
      <c r="E1801" s="51"/>
      <c r="F1801" s="114" t="str">
        <f>IF(INDEX(I.Facility.P1IDNumber,1789)="","",INDEX(I.Facility.P1IDNumber,1789))</f>
        <v/>
      </c>
      <c r="G1801" s="51"/>
      <c r="H1801" s="46" t="str">
        <f>IF(AND(I.Developer.P1=TRUE,I.Facility.P1FacilityCount&gt;=1789,F1801=""),"Incomplete","Complete")</f>
        <v>Complete</v>
      </c>
      <c r="I1801" s="48" t="s">
        <v>6166</v>
      </c>
    </row>
    <row r="1802" spans="2:9" ht="15" customHeight="1" x14ac:dyDescent="0.25">
      <c r="B1802" s="55" t="s">
        <v>279</v>
      </c>
      <c r="C1802" s="46">
        <v>1790</v>
      </c>
      <c r="D1802" s="69" t="s">
        <v>29416</v>
      </c>
      <c r="E1802" s="51"/>
      <c r="F1802" s="114" t="str">
        <f>IF(INDEX(I.Facility.P1IDNumber,1790)="","",INDEX(I.Facility.P1IDNumber,1790))</f>
        <v/>
      </c>
      <c r="G1802" s="51"/>
      <c r="H1802" s="46" t="str">
        <f>IF(AND(I.Developer.P1=TRUE,I.Facility.P1FacilityCount&gt;=1790,F1802=""),"Incomplete","Complete")</f>
        <v>Complete</v>
      </c>
      <c r="I1802" s="48" t="s">
        <v>6167</v>
      </c>
    </row>
    <row r="1803" spans="2:9" ht="15" customHeight="1" x14ac:dyDescent="0.25">
      <c r="B1803" s="55" t="s">
        <v>279</v>
      </c>
      <c r="C1803" s="46">
        <v>1791</v>
      </c>
      <c r="D1803" s="69" t="s">
        <v>29416</v>
      </c>
      <c r="E1803" s="51"/>
      <c r="F1803" s="114" t="str">
        <f>IF(INDEX(I.Facility.P1IDNumber,1791)="","",INDEX(I.Facility.P1IDNumber,1791))</f>
        <v/>
      </c>
      <c r="G1803" s="51"/>
      <c r="H1803" s="46" t="str">
        <f>IF(AND(I.Developer.P1=TRUE,I.Facility.P1FacilityCount&gt;=1791,F1803=""),"Incomplete","Complete")</f>
        <v>Complete</v>
      </c>
      <c r="I1803" s="48" t="s">
        <v>6168</v>
      </c>
    </row>
    <row r="1804" spans="2:9" ht="15" customHeight="1" x14ac:dyDescent="0.25">
      <c r="B1804" s="55" t="s">
        <v>279</v>
      </c>
      <c r="C1804" s="46">
        <v>1792</v>
      </c>
      <c r="D1804" s="69" t="s">
        <v>29416</v>
      </c>
      <c r="E1804" s="51"/>
      <c r="F1804" s="114" t="str">
        <f>IF(INDEX(I.Facility.P1IDNumber,1792)="","",INDEX(I.Facility.P1IDNumber,1792))</f>
        <v/>
      </c>
      <c r="G1804" s="51"/>
      <c r="H1804" s="46" t="str">
        <f>IF(AND(I.Developer.P1=TRUE,I.Facility.P1FacilityCount&gt;=1792,F1804=""),"Incomplete","Complete")</f>
        <v>Complete</v>
      </c>
      <c r="I1804" s="48" t="s">
        <v>6169</v>
      </c>
    </row>
    <row r="1805" spans="2:9" ht="15" customHeight="1" x14ac:dyDescent="0.25">
      <c r="B1805" s="55" t="s">
        <v>279</v>
      </c>
      <c r="C1805" s="46">
        <v>1793</v>
      </c>
      <c r="D1805" s="69" t="s">
        <v>29416</v>
      </c>
      <c r="E1805" s="51"/>
      <c r="F1805" s="114" t="str">
        <f>IF(INDEX(I.Facility.P1IDNumber,1793)="","",INDEX(I.Facility.P1IDNumber,1793))</f>
        <v/>
      </c>
      <c r="G1805" s="51"/>
      <c r="H1805" s="46" t="str">
        <f>IF(AND(I.Developer.P1=TRUE,I.Facility.P1FacilityCount&gt;=1793,F1805=""),"Incomplete","Complete")</f>
        <v>Complete</v>
      </c>
      <c r="I1805" s="48" t="s">
        <v>6170</v>
      </c>
    </row>
    <row r="1806" spans="2:9" ht="15" customHeight="1" x14ac:dyDescent="0.25">
      <c r="B1806" s="55" t="s">
        <v>279</v>
      </c>
      <c r="C1806" s="46">
        <v>1794</v>
      </c>
      <c r="D1806" s="69" t="s">
        <v>29416</v>
      </c>
      <c r="E1806" s="51"/>
      <c r="F1806" s="114" t="str">
        <f>IF(INDEX(I.Facility.P1IDNumber,1794)="","",INDEX(I.Facility.P1IDNumber,1794))</f>
        <v/>
      </c>
      <c r="G1806" s="51"/>
      <c r="H1806" s="46" t="str">
        <f>IF(AND(I.Developer.P1=TRUE,I.Facility.P1FacilityCount&gt;=1794,F1806=""),"Incomplete","Complete")</f>
        <v>Complete</v>
      </c>
      <c r="I1806" s="48" t="s">
        <v>6171</v>
      </c>
    </row>
    <row r="1807" spans="2:9" ht="15" customHeight="1" x14ac:dyDescent="0.25">
      <c r="B1807" s="55" t="s">
        <v>279</v>
      </c>
      <c r="C1807" s="46">
        <v>1795</v>
      </c>
      <c r="D1807" s="69" t="s">
        <v>29416</v>
      </c>
      <c r="E1807" s="51"/>
      <c r="F1807" s="114" t="str">
        <f>IF(INDEX(I.Facility.P1IDNumber,1795)="","",INDEX(I.Facility.P1IDNumber,1795))</f>
        <v/>
      </c>
      <c r="G1807" s="51"/>
      <c r="H1807" s="46" t="str">
        <f>IF(AND(I.Developer.P1=TRUE,I.Facility.P1FacilityCount&gt;=1795,F1807=""),"Incomplete","Complete")</f>
        <v>Complete</v>
      </c>
      <c r="I1807" s="48" t="s">
        <v>6172</v>
      </c>
    </row>
    <row r="1808" spans="2:9" ht="15" customHeight="1" x14ac:dyDescent="0.25">
      <c r="B1808" s="55" t="s">
        <v>279</v>
      </c>
      <c r="C1808" s="46">
        <v>1796</v>
      </c>
      <c r="D1808" s="69" t="s">
        <v>29416</v>
      </c>
      <c r="E1808" s="51"/>
      <c r="F1808" s="114" t="str">
        <f>IF(INDEX(I.Facility.P1IDNumber,1796)="","",INDEX(I.Facility.P1IDNumber,1796))</f>
        <v/>
      </c>
      <c r="G1808" s="51"/>
      <c r="H1808" s="46" t="str">
        <f>IF(AND(I.Developer.P1=TRUE,I.Facility.P1FacilityCount&gt;=1796,F1808=""),"Incomplete","Complete")</f>
        <v>Complete</v>
      </c>
      <c r="I1808" s="48" t="s">
        <v>6173</v>
      </c>
    </row>
    <row r="1809" spans="2:9" ht="15" customHeight="1" x14ac:dyDescent="0.25">
      <c r="B1809" s="55" t="s">
        <v>279</v>
      </c>
      <c r="C1809" s="46">
        <v>1797</v>
      </c>
      <c r="D1809" s="69" t="s">
        <v>29416</v>
      </c>
      <c r="E1809" s="51"/>
      <c r="F1809" s="114" t="str">
        <f>IF(INDEX(I.Facility.P1IDNumber,1797)="","",INDEX(I.Facility.P1IDNumber,1797))</f>
        <v/>
      </c>
      <c r="G1809" s="51"/>
      <c r="H1809" s="46" t="str">
        <f>IF(AND(I.Developer.P1=TRUE,I.Facility.P1FacilityCount&gt;=1797,F1809=""),"Incomplete","Complete")</f>
        <v>Complete</v>
      </c>
      <c r="I1809" s="48" t="s">
        <v>6174</v>
      </c>
    </row>
    <row r="1810" spans="2:9" ht="15" customHeight="1" x14ac:dyDescent="0.25">
      <c r="B1810" s="55" t="s">
        <v>279</v>
      </c>
      <c r="C1810" s="46">
        <v>1798</v>
      </c>
      <c r="D1810" s="69" t="s">
        <v>29416</v>
      </c>
      <c r="E1810" s="51"/>
      <c r="F1810" s="114" t="str">
        <f>IF(INDEX(I.Facility.P1IDNumber,1798)="","",INDEX(I.Facility.P1IDNumber,1798))</f>
        <v/>
      </c>
      <c r="G1810" s="51"/>
      <c r="H1810" s="46" t="str">
        <f>IF(AND(I.Developer.P1=TRUE,I.Facility.P1FacilityCount&gt;=1798,F1810=""),"Incomplete","Complete")</f>
        <v>Complete</v>
      </c>
      <c r="I1810" s="48" t="s">
        <v>6175</v>
      </c>
    </row>
    <row r="1811" spans="2:9" ht="15" customHeight="1" x14ac:dyDescent="0.25">
      <c r="B1811" s="55" t="s">
        <v>279</v>
      </c>
      <c r="C1811" s="46">
        <v>1799</v>
      </c>
      <c r="D1811" s="69" t="s">
        <v>29416</v>
      </c>
      <c r="E1811" s="51"/>
      <c r="F1811" s="114" t="str">
        <f>IF(INDEX(I.Facility.P1IDNumber,1799)="","",INDEX(I.Facility.P1IDNumber,1799))</f>
        <v/>
      </c>
      <c r="G1811" s="51"/>
      <c r="H1811" s="46" t="str">
        <f>IF(AND(I.Developer.P1=TRUE,I.Facility.P1FacilityCount&gt;=1799,F1811=""),"Incomplete","Complete")</f>
        <v>Complete</v>
      </c>
      <c r="I1811" s="48" t="s">
        <v>6176</v>
      </c>
    </row>
    <row r="1812" spans="2:9" ht="15" customHeight="1" x14ac:dyDescent="0.25">
      <c r="B1812" s="55" t="s">
        <v>279</v>
      </c>
      <c r="C1812" s="46">
        <v>1800</v>
      </c>
      <c r="D1812" s="69" t="s">
        <v>29416</v>
      </c>
      <c r="E1812" s="51"/>
      <c r="F1812" s="114" t="str">
        <f>IF(INDEX(I.Facility.P1IDNumber,1800)="","",INDEX(I.Facility.P1IDNumber,1800))</f>
        <v/>
      </c>
      <c r="G1812" s="51"/>
      <c r="H1812" s="46" t="str">
        <f>IF(AND(I.Developer.P1=TRUE,I.Facility.P1FacilityCount&gt;=1800,F1812=""),"Incomplete","Complete")</f>
        <v>Complete</v>
      </c>
      <c r="I1812" s="48" t="s">
        <v>6177</v>
      </c>
    </row>
    <row r="1813" spans="2:9" ht="15" customHeight="1" x14ac:dyDescent="0.25">
      <c r="B1813" s="55" t="s">
        <v>279</v>
      </c>
      <c r="C1813" s="46">
        <v>1801</v>
      </c>
      <c r="D1813" s="69" t="s">
        <v>29416</v>
      </c>
      <c r="E1813" s="51"/>
      <c r="F1813" s="114" t="str">
        <f>IF(INDEX(I.Facility.P1IDNumber,1801)="","",INDEX(I.Facility.P1IDNumber,1801))</f>
        <v/>
      </c>
      <c r="G1813" s="51"/>
      <c r="H1813" s="46" t="str">
        <f>IF(AND(I.Developer.P1=TRUE,I.Facility.P1FacilityCount&gt;=1801,F1813=""),"Incomplete","Complete")</f>
        <v>Complete</v>
      </c>
      <c r="I1813" s="48" t="s">
        <v>6178</v>
      </c>
    </row>
    <row r="1814" spans="2:9" ht="15" customHeight="1" x14ac:dyDescent="0.25">
      <c r="B1814" s="55" t="s">
        <v>279</v>
      </c>
      <c r="C1814" s="46">
        <v>1802</v>
      </c>
      <c r="D1814" s="69" t="s">
        <v>29416</v>
      </c>
      <c r="E1814" s="51"/>
      <c r="F1814" s="114" t="str">
        <f>IF(INDEX(I.Facility.P1IDNumber,1802)="","",INDEX(I.Facility.P1IDNumber,1802))</f>
        <v/>
      </c>
      <c r="G1814" s="51"/>
      <c r="H1814" s="46" t="str">
        <f>IF(AND(I.Developer.P1=TRUE,I.Facility.P1FacilityCount&gt;=1802,F1814=""),"Incomplete","Complete")</f>
        <v>Complete</v>
      </c>
      <c r="I1814" s="48" t="s">
        <v>6179</v>
      </c>
    </row>
    <row r="1815" spans="2:9" ht="15" customHeight="1" x14ac:dyDescent="0.25">
      <c r="B1815" s="55" t="s">
        <v>279</v>
      </c>
      <c r="C1815" s="46">
        <v>1803</v>
      </c>
      <c r="D1815" s="69" t="s">
        <v>29416</v>
      </c>
      <c r="E1815" s="51"/>
      <c r="F1815" s="114" t="str">
        <f>IF(INDEX(I.Facility.P1IDNumber,1803)="","",INDEX(I.Facility.P1IDNumber,1803))</f>
        <v/>
      </c>
      <c r="G1815" s="51"/>
      <c r="H1815" s="46" t="str">
        <f>IF(AND(I.Developer.P1=TRUE,I.Facility.P1FacilityCount&gt;=1803,F1815=""),"Incomplete","Complete")</f>
        <v>Complete</v>
      </c>
      <c r="I1815" s="48" t="s">
        <v>6180</v>
      </c>
    </row>
    <row r="1816" spans="2:9" ht="15" customHeight="1" x14ac:dyDescent="0.25">
      <c r="B1816" s="55" t="s">
        <v>279</v>
      </c>
      <c r="C1816" s="46">
        <v>1804</v>
      </c>
      <c r="D1816" s="69" t="s">
        <v>29416</v>
      </c>
      <c r="E1816" s="51"/>
      <c r="F1816" s="114" t="str">
        <f>IF(INDEX(I.Facility.P1IDNumber,1804)="","",INDEX(I.Facility.P1IDNumber,1804))</f>
        <v/>
      </c>
      <c r="G1816" s="51"/>
      <c r="H1816" s="46" t="str">
        <f>IF(AND(I.Developer.P1=TRUE,I.Facility.P1FacilityCount&gt;=1804,F1816=""),"Incomplete","Complete")</f>
        <v>Complete</v>
      </c>
      <c r="I1816" s="48" t="s">
        <v>6181</v>
      </c>
    </row>
    <row r="1817" spans="2:9" ht="15" customHeight="1" x14ac:dyDescent="0.25">
      <c r="B1817" s="55" t="s">
        <v>279</v>
      </c>
      <c r="C1817" s="46">
        <v>1805</v>
      </c>
      <c r="D1817" s="69" t="s">
        <v>29416</v>
      </c>
      <c r="E1817" s="51"/>
      <c r="F1817" s="114" t="str">
        <f>IF(INDEX(I.Facility.P1IDNumber,1805)="","",INDEX(I.Facility.P1IDNumber,1805))</f>
        <v/>
      </c>
      <c r="G1817" s="51"/>
      <c r="H1817" s="46" t="str">
        <f>IF(AND(I.Developer.P1=TRUE,I.Facility.P1FacilityCount&gt;=1805,F1817=""),"Incomplete","Complete")</f>
        <v>Complete</v>
      </c>
      <c r="I1817" s="48" t="s">
        <v>6182</v>
      </c>
    </row>
    <row r="1818" spans="2:9" ht="15" customHeight="1" x14ac:dyDescent="0.25">
      <c r="B1818" s="55" t="s">
        <v>279</v>
      </c>
      <c r="C1818" s="46">
        <v>1806</v>
      </c>
      <c r="D1818" s="69" t="s">
        <v>29416</v>
      </c>
      <c r="E1818" s="51"/>
      <c r="F1818" s="114" t="str">
        <f>IF(INDEX(I.Facility.P1IDNumber,1806)="","",INDEX(I.Facility.P1IDNumber,1806))</f>
        <v/>
      </c>
      <c r="G1818" s="51"/>
      <c r="H1818" s="46" t="str">
        <f>IF(AND(I.Developer.P1=TRUE,I.Facility.P1FacilityCount&gt;=1806,F1818=""),"Incomplete","Complete")</f>
        <v>Complete</v>
      </c>
      <c r="I1818" s="48" t="s">
        <v>6183</v>
      </c>
    </row>
    <row r="1819" spans="2:9" ht="15" customHeight="1" x14ac:dyDescent="0.25">
      <c r="B1819" s="55" t="s">
        <v>279</v>
      </c>
      <c r="C1819" s="46">
        <v>1807</v>
      </c>
      <c r="D1819" s="69" t="s">
        <v>29416</v>
      </c>
      <c r="E1819" s="51"/>
      <c r="F1819" s="114" t="str">
        <f>IF(INDEX(I.Facility.P1IDNumber,1807)="","",INDEX(I.Facility.P1IDNumber,1807))</f>
        <v/>
      </c>
      <c r="G1819" s="51"/>
      <c r="H1819" s="46" t="str">
        <f>IF(AND(I.Developer.P1=TRUE,I.Facility.P1FacilityCount&gt;=1807,F1819=""),"Incomplete","Complete")</f>
        <v>Complete</v>
      </c>
      <c r="I1819" s="48" t="s">
        <v>6184</v>
      </c>
    </row>
    <row r="1820" spans="2:9" ht="15" customHeight="1" x14ac:dyDescent="0.25">
      <c r="B1820" s="55" t="s">
        <v>279</v>
      </c>
      <c r="C1820" s="46">
        <v>1808</v>
      </c>
      <c r="D1820" s="69" t="s">
        <v>29416</v>
      </c>
      <c r="E1820" s="51"/>
      <c r="F1820" s="114" t="str">
        <f>IF(INDEX(I.Facility.P1IDNumber,1808)="","",INDEX(I.Facility.P1IDNumber,1808))</f>
        <v/>
      </c>
      <c r="G1820" s="51"/>
      <c r="H1820" s="46" t="str">
        <f>IF(AND(I.Developer.P1=TRUE,I.Facility.P1FacilityCount&gt;=1808,F1820=""),"Incomplete","Complete")</f>
        <v>Complete</v>
      </c>
      <c r="I1820" s="48" t="s">
        <v>6185</v>
      </c>
    </row>
    <row r="1821" spans="2:9" ht="15" customHeight="1" x14ac:dyDescent="0.25">
      <c r="B1821" s="55" t="s">
        <v>279</v>
      </c>
      <c r="C1821" s="46">
        <v>1809</v>
      </c>
      <c r="D1821" s="69" t="s">
        <v>29416</v>
      </c>
      <c r="E1821" s="51"/>
      <c r="F1821" s="114" t="str">
        <f>IF(INDEX(I.Facility.P1IDNumber,1809)="","",INDEX(I.Facility.P1IDNumber,1809))</f>
        <v/>
      </c>
      <c r="G1821" s="51"/>
      <c r="H1821" s="46" t="str">
        <f>IF(AND(I.Developer.P1=TRUE,I.Facility.P1FacilityCount&gt;=1809,F1821=""),"Incomplete","Complete")</f>
        <v>Complete</v>
      </c>
      <c r="I1821" s="48" t="s">
        <v>6186</v>
      </c>
    </row>
    <row r="1822" spans="2:9" ht="15" customHeight="1" x14ac:dyDescent="0.25">
      <c r="B1822" s="55" t="s">
        <v>279</v>
      </c>
      <c r="C1822" s="46">
        <v>1810</v>
      </c>
      <c r="D1822" s="69" t="s">
        <v>29416</v>
      </c>
      <c r="E1822" s="51"/>
      <c r="F1822" s="114" t="str">
        <f>IF(INDEX(I.Facility.P1IDNumber,1810)="","",INDEX(I.Facility.P1IDNumber,1810))</f>
        <v/>
      </c>
      <c r="G1822" s="51"/>
      <c r="H1822" s="46" t="str">
        <f>IF(AND(I.Developer.P1=TRUE,I.Facility.P1FacilityCount&gt;=1810,F1822=""),"Incomplete","Complete")</f>
        <v>Complete</v>
      </c>
      <c r="I1822" s="48" t="s">
        <v>6187</v>
      </c>
    </row>
    <row r="1823" spans="2:9" ht="15" customHeight="1" x14ac:dyDescent="0.25">
      <c r="B1823" s="55" t="s">
        <v>279</v>
      </c>
      <c r="C1823" s="46">
        <v>1811</v>
      </c>
      <c r="D1823" s="69" t="s">
        <v>29416</v>
      </c>
      <c r="E1823" s="51"/>
      <c r="F1823" s="114" t="str">
        <f>IF(INDEX(I.Facility.P1IDNumber,1811)="","",INDEX(I.Facility.P1IDNumber,1811))</f>
        <v/>
      </c>
      <c r="G1823" s="51"/>
      <c r="H1823" s="46" t="str">
        <f>IF(AND(I.Developer.P1=TRUE,I.Facility.P1FacilityCount&gt;=1811,F1823=""),"Incomplete","Complete")</f>
        <v>Complete</v>
      </c>
      <c r="I1823" s="48" t="s">
        <v>6188</v>
      </c>
    </row>
    <row r="1824" spans="2:9" ht="15" customHeight="1" x14ac:dyDescent="0.25">
      <c r="B1824" s="55" t="s">
        <v>279</v>
      </c>
      <c r="C1824" s="46">
        <v>1812</v>
      </c>
      <c r="D1824" s="69" t="s">
        <v>29416</v>
      </c>
      <c r="E1824" s="51"/>
      <c r="F1824" s="114" t="str">
        <f>IF(INDEX(I.Facility.P1IDNumber,1812)="","",INDEX(I.Facility.P1IDNumber,1812))</f>
        <v/>
      </c>
      <c r="G1824" s="51"/>
      <c r="H1824" s="46" t="str">
        <f>IF(AND(I.Developer.P1=TRUE,I.Facility.P1FacilityCount&gt;=1812,F1824=""),"Incomplete","Complete")</f>
        <v>Complete</v>
      </c>
      <c r="I1824" s="48" t="s">
        <v>6189</v>
      </c>
    </row>
    <row r="1825" spans="2:9" ht="15" customHeight="1" x14ac:dyDescent="0.25">
      <c r="B1825" s="55" t="s">
        <v>279</v>
      </c>
      <c r="C1825" s="46">
        <v>1813</v>
      </c>
      <c r="D1825" s="69" t="s">
        <v>29416</v>
      </c>
      <c r="E1825" s="51"/>
      <c r="F1825" s="114" t="str">
        <f>IF(INDEX(I.Facility.P1IDNumber,1813)="","",INDEX(I.Facility.P1IDNumber,1813))</f>
        <v/>
      </c>
      <c r="G1825" s="51"/>
      <c r="H1825" s="46" t="str">
        <f>IF(AND(I.Developer.P1=TRUE,I.Facility.P1FacilityCount&gt;=1813,F1825=""),"Incomplete","Complete")</f>
        <v>Complete</v>
      </c>
      <c r="I1825" s="48" t="s">
        <v>6190</v>
      </c>
    </row>
    <row r="1826" spans="2:9" ht="15" customHeight="1" x14ac:dyDescent="0.25">
      <c r="B1826" s="55" t="s">
        <v>279</v>
      </c>
      <c r="C1826" s="46">
        <v>1814</v>
      </c>
      <c r="D1826" s="69" t="s">
        <v>29416</v>
      </c>
      <c r="E1826" s="51"/>
      <c r="F1826" s="114" t="str">
        <f>IF(INDEX(I.Facility.P1IDNumber,1814)="","",INDEX(I.Facility.P1IDNumber,1814))</f>
        <v/>
      </c>
      <c r="G1826" s="51"/>
      <c r="H1826" s="46" t="str">
        <f>IF(AND(I.Developer.P1=TRUE,I.Facility.P1FacilityCount&gt;=1814,F1826=""),"Incomplete","Complete")</f>
        <v>Complete</v>
      </c>
      <c r="I1826" s="48" t="s">
        <v>6191</v>
      </c>
    </row>
    <row r="1827" spans="2:9" ht="15" customHeight="1" x14ac:dyDescent="0.25">
      <c r="B1827" s="55" t="s">
        <v>279</v>
      </c>
      <c r="C1827" s="46">
        <v>1815</v>
      </c>
      <c r="D1827" s="69" t="s">
        <v>29416</v>
      </c>
      <c r="E1827" s="51"/>
      <c r="F1827" s="114" t="str">
        <f>IF(INDEX(I.Facility.P1IDNumber,1815)="","",INDEX(I.Facility.P1IDNumber,1815))</f>
        <v/>
      </c>
      <c r="G1827" s="51"/>
      <c r="H1827" s="46" t="str">
        <f>IF(AND(I.Developer.P1=TRUE,I.Facility.P1FacilityCount&gt;=1815,F1827=""),"Incomplete","Complete")</f>
        <v>Complete</v>
      </c>
      <c r="I1827" s="48" t="s">
        <v>6192</v>
      </c>
    </row>
    <row r="1828" spans="2:9" ht="15" customHeight="1" x14ac:dyDescent="0.25">
      <c r="B1828" s="55" t="s">
        <v>279</v>
      </c>
      <c r="C1828" s="46">
        <v>1816</v>
      </c>
      <c r="D1828" s="69" t="s">
        <v>29416</v>
      </c>
      <c r="E1828" s="51"/>
      <c r="F1828" s="114" t="str">
        <f>IF(INDEX(I.Facility.P1IDNumber,1816)="","",INDEX(I.Facility.P1IDNumber,1816))</f>
        <v/>
      </c>
      <c r="G1828" s="51"/>
      <c r="H1828" s="46" t="str">
        <f>IF(AND(I.Developer.P1=TRUE,I.Facility.P1FacilityCount&gt;=1816,F1828=""),"Incomplete","Complete")</f>
        <v>Complete</v>
      </c>
      <c r="I1828" s="48" t="s">
        <v>6193</v>
      </c>
    </row>
    <row r="1829" spans="2:9" ht="15" customHeight="1" x14ac:dyDescent="0.25">
      <c r="B1829" s="55" t="s">
        <v>279</v>
      </c>
      <c r="C1829" s="46">
        <v>1817</v>
      </c>
      <c r="D1829" s="69" t="s">
        <v>29416</v>
      </c>
      <c r="E1829" s="51"/>
      <c r="F1829" s="114" t="str">
        <f>IF(INDEX(I.Facility.P1IDNumber,1817)="","",INDEX(I.Facility.P1IDNumber,1817))</f>
        <v/>
      </c>
      <c r="G1829" s="51"/>
      <c r="H1829" s="46" t="str">
        <f>IF(AND(I.Developer.P1=TRUE,I.Facility.P1FacilityCount&gt;=1817,F1829=""),"Incomplete","Complete")</f>
        <v>Complete</v>
      </c>
      <c r="I1829" s="48" t="s">
        <v>6194</v>
      </c>
    </row>
    <row r="1830" spans="2:9" ht="15" customHeight="1" x14ac:dyDescent="0.25">
      <c r="B1830" s="55" t="s">
        <v>279</v>
      </c>
      <c r="C1830" s="46">
        <v>1818</v>
      </c>
      <c r="D1830" s="69" t="s">
        <v>29416</v>
      </c>
      <c r="E1830" s="51"/>
      <c r="F1830" s="114" t="str">
        <f>IF(INDEX(I.Facility.P1IDNumber,1818)="","",INDEX(I.Facility.P1IDNumber,1818))</f>
        <v/>
      </c>
      <c r="G1830" s="51"/>
      <c r="H1830" s="46" t="str">
        <f>IF(AND(I.Developer.P1=TRUE,I.Facility.P1FacilityCount&gt;=1818,F1830=""),"Incomplete","Complete")</f>
        <v>Complete</v>
      </c>
      <c r="I1830" s="48" t="s">
        <v>6195</v>
      </c>
    </row>
    <row r="1831" spans="2:9" ht="15" customHeight="1" x14ac:dyDescent="0.25">
      <c r="B1831" s="55" t="s">
        <v>279</v>
      </c>
      <c r="C1831" s="46">
        <v>1819</v>
      </c>
      <c r="D1831" s="69" t="s">
        <v>29416</v>
      </c>
      <c r="E1831" s="51"/>
      <c r="F1831" s="114" t="str">
        <f>IF(INDEX(I.Facility.P1IDNumber,1819)="","",INDEX(I.Facility.P1IDNumber,1819))</f>
        <v/>
      </c>
      <c r="G1831" s="51"/>
      <c r="H1831" s="46" t="str">
        <f>IF(AND(I.Developer.P1=TRUE,I.Facility.P1FacilityCount&gt;=1819,F1831=""),"Incomplete","Complete")</f>
        <v>Complete</v>
      </c>
      <c r="I1831" s="48" t="s">
        <v>6196</v>
      </c>
    </row>
    <row r="1832" spans="2:9" ht="15" customHeight="1" x14ac:dyDescent="0.25">
      <c r="B1832" s="55" t="s">
        <v>279</v>
      </c>
      <c r="C1832" s="46">
        <v>1820</v>
      </c>
      <c r="D1832" s="69" t="s">
        <v>29416</v>
      </c>
      <c r="E1832" s="51"/>
      <c r="F1832" s="114" t="str">
        <f>IF(INDEX(I.Facility.P1IDNumber,1820)="","",INDEX(I.Facility.P1IDNumber,1820))</f>
        <v/>
      </c>
      <c r="G1832" s="51"/>
      <c r="H1832" s="46" t="str">
        <f>IF(AND(I.Developer.P1=TRUE,I.Facility.P1FacilityCount&gt;=1820,F1832=""),"Incomplete","Complete")</f>
        <v>Complete</v>
      </c>
      <c r="I1832" s="48" t="s">
        <v>6197</v>
      </c>
    </row>
    <row r="1833" spans="2:9" ht="15" customHeight="1" x14ac:dyDescent="0.25">
      <c r="B1833" s="55" t="s">
        <v>279</v>
      </c>
      <c r="C1833" s="46">
        <v>1821</v>
      </c>
      <c r="D1833" s="69" t="s">
        <v>29416</v>
      </c>
      <c r="E1833" s="51"/>
      <c r="F1833" s="114" t="str">
        <f>IF(INDEX(I.Facility.P1IDNumber,1821)="","",INDEX(I.Facility.P1IDNumber,1821))</f>
        <v/>
      </c>
      <c r="G1833" s="51"/>
      <c r="H1833" s="46" t="str">
        <f>IF(AND(I.Developer.P1=TRUE,I.Facility.P1FacilityCount&gt;=1821,F1833=""),"Incomplete","Complete")</f>
        <v>Complete</v>
      </c>
      <c r="I1833" s="48" t="s">
        <v>6198</v>
      </c>
    </row>
    <row r="1834" spans="2:9" ht="15" customHeight="1" x14ac:dyDescent="0.25">
      <c r="B1834" s="55" t="s">
        <v>279</v>
      </c>
      <c r="C1834" s="46">
        <v>1822</v>
      </c>
      <c r="D1834" s="69" t="s">
        <v>29416</v>
      </c>
      <c r="E1834" s="51"/>
      <c r="F1834" s="114" t="str">
        <f>IF(INDEX(I.Facility.P1IDNumber,1822)="","",INDEX(I.Facility.P1IDNumber,1822))</f>
        <v/>
      </c>
      <c r="G1834" s="51"/>
      <c r="H1834" s="46" t="str">
        <f>IF(AND(I.Developer.P1=TRUE,I.Facility.P1FacilityCount&gt;=1822,F1834=""),"Incomplete","Complete")</f>
        <v>Complete</v>
      </c>
      <c r="I1834" s="48" t="s">
        <v>6199</v>
      </c>
    </row>
    <row r="1835" spans="2:9" ht="15" customHeight="1" x14ac:dyDescent="0.25">
      <c r="B1835" s="55" t="s">
        <v>279</v>
      </c>
      <c r="C1835" s="46">
        <v>1823</v>
      </c>
      <c r="D1835" s="69" t="s">
        <v>29416</v>
      </c>
      <c r="E1835" s="51"/>
      <c r="F1835" s="114" t="str">
        <f>IF(INDEX(I.Facility.P1IDNumber,1823)="","",INDEX(I.Facility.P1IDNumber,1823))</f>
        <v/>
      </c>
      <c r="G1835" s="51"/>
      <c r="H1835" s="46" t="str">
        <f>IF(AND(I.Developer.P1=TRUE,I.Facility.P1FacilityCount&gt;=1823,F1835=""),"Incomplete","Complete")</f>
        <v>Complete</v>
      </c>
      <c r="I1835" s="48" t="s">
        <v>6200</v>
      </c>
    </row>
    <row r="1836" spans="2:9" ht="15" customHeight="1" x14ac:dyDescent="0.25">
      <c r="B1836" s="55" t="s">
        <v>279</v>
      </c>
      <c r="C1836" s="46">
        <v>1824</v>
      </c>
      <c r="D1836" s="69" t="s">
        <v>29416</v>
      </c>
      <c r="E1836" s="51"/>
      <c r="F1836" s="114" t="str">
        <f>IF(INDEX(I.Facility.P1IDNumber,1824)="","",INDEX(I.Facility.P1IDNumber,1824))</f>
        <v/>
      </c>
      <c r="G1836" s="51"/>
      <c r="H1836" s="46" t="str">
        <f>IF(AND(I.Developer.P1=TRUE,I.Facility.P1FacilityCount&gt;=1824,F1836=""),"Incomplete","Complete")</f>
        <v>Complete</v>
      </c>
      <c r="I1836" s="48" t="s">
        <v>6201</v>
      </c>
    </row>
    <row r="1837" spans="2:9" ht="15" customHeight="1" x14ac:dyDescent="0.25">
      <c r="B1837" s="55" t="s">
        <v>279</v>
      </c>
      <c r="C1837" s="46">
        <v>1825</v>
      </c>
      <c r="D1837" s="69" t="s">
        <v>29416</v>
      </c>
      <c r="E1837" s="51"/>
      <c r="F1837" s="114" t="str">
        <f>IF(INDEX(I.Facility.P1IDNumber,1825)="","",INDEX(I.Facility.P1IDNumber,1825))</f>
        <v/>
      </c>
      <c r="G1837" s="51"/>
      <c r="H1837" s="46" t="str">
        <f>IF(AND(I.Developer.P1=TRUE,I.Facility.P1FacilityCount&gt;=1825,F1837=""),"Incomplete","Complete")</f>
        <v>Complete</v>
      </c>
      <c r="I1837" s="48" t="s">
        <v>6202</v>
      </c>
    </row>
    <row r="1838" spans="2:9" ht="15" customHeight="1" x14ac:dyDescent="0.25">
      <c r="B1838" s="55" t="s">
        <v>279</v>
      </c>
      <c r="C1838" s="46">
        <v>1826</v>
      </c>
      <c r="D1838" s="69" t="s">
        <v>29416</v>
      </c>
      <c r="E1838" s="51"/>
      <c r="F1838" s="114" t="str">
        <f>IF(INDEX(I.Facility.P1IDNumber,1826)="","",INDEX(I.Facility.P1IDNumber,1826))</f>
        <v/>
      </c>
      <c r="G1838" s="51"/>
      <c r="H1838" s="46" t="str">
        <f>IF(AND(I.Developer.P1=TRUE,I.Facility.P1FacilityCount&gt;=1826,F1838=""),"Incomplete","Complete")</f>
        <v>Complete</v>
      </c>
      <c r="I1838" s="48" t="s">
        <v>6203</v>
      </c>
    </row>
    <row r="1839" spans="2:9" ht="15" customHeight="1" x14ac:dyDescent="0.25">
      <c r="B1839" s="55" t="s">
        <v>279</v>
      </c>
      <c r="C1839" s="46">
        <v>1827</v>
      </c>
      <c r="D1839" s="69" t="s">
        <v>29416</v>
      </c>
      <c r="E1839" s="51"/>
      <c r="F1839" s="114" t="str">
        <f>IF(INDEX(I.Facility.P1IDNumber,1827)="","",INDEX(I.Facility.P1IDNumber,1827))</f>
        <v/>
      </c>
      <c r="G1839" s="51"/>
      <c r="H1839" s="46" t="str">
        <f>IF(AND(I.Developer.P1=TRUE,I.Facility.P1FacilityCount&gt;=1827,F1839=""),"Incomplete","Complete")</f>
        <v>Complete</v>
      </c>
      <c r="I1839" s="48" t="s">
        <v>6204</v>
      </c>
    </row>
    <row r="1840" spans="2:9" ht="15" customHeight="1" x14ac:dyDescent="0.25">
      <c r="B1840" s="55" t="s">
        <v>279</v>
      </c>
      <c r="C1840" s="46">
        <v>1828</v>
      </c>
      <c r="D1840" s="69" t="s">
        <v>29416</v>
      </c>
      <c r="E1840" s="51"/>
      <c r="F1840" s="114" t="str">
        <f>IF(INDEX(I.Facility.P1IDNumber,1828)="","",INDEX(I.Facility.P1IDNumber,1828))</f>
        <v/>
      </c>
      <c r="G1840" s="51"/>
      <c r="H1840" s="46" t="str">
        <f>IF(AND(I.Developer.P1=TRUE,I.Facility.P1FacilityCount&gt;=1828,F1840=""),"Incomplete","Complete")</f>
        <v>Complete</v>
      </c>
      <c r="I1840" s="48" t="s">
        <v>6205</v>
      </c>
    </row>
    <row r="1841" spans="2:9" ht="15" customHeight="1" x14ac:dyDescent="0.25">
      <c r="B1841" s="55" t="s">
        <v>279</v>
      </c>
      <c r="C1841" s="46">
        <v>1829</v>
      </c>
      <c r="D1841" s="69" t="s">
        <v>29416</v>
      </c>
      <c r="E1841" s="51"/>
      <c r="F1841" s="114" t="str">
        <f>IF(INDEX(I.Facility.P1IDNumber,1829)="","",INDEX(I.Facility.P1IDNumber,1829))</f>
        <v/>
      </c>
      <c r="G1841" s="51"/>
      <c r="H1841" s="46" t="str">
        <f>IF(AND(I.Developer.P1=TRUE,I.Facility.P1FacilityCount&gt;=1829,F1841=""),"Incomplete","Complete")</f>
        <v>Complete</v>
      </c>
      <c r="I1841" s="48" t="s">
        <v>6206</v>
      </c>
    </row>
    <row r="1842" spans="2:9" ht="15" customHeight="1" x14ac:dyDescent="0.25">
      <c r="B1842" s="55" t="s">
        <v>279</v>
      </c>
      <c r="C1842" s="46">
        <v>1830</v>
      </c>
      <c r="D1842" s="69" t="s">
        <v>29416</v>
      </c>
      <c r="E1842" s="51"/>
      <c r="F1842" s="114" t="str">
        <f>IF(INDEX(I.Facility.P1IDNumber,1830)="","",INDEX(I.Facility.P1IDNumber,1830))</f>
        <v/>
      </c>
      <c r="G1842" s="51"/>
      <c r="H1842" s="46" t="str">
        <f>IF(AND(I.Developer.P1=TRUE,I.Facility.P1FacilityCount&gt;=1830,F1842=""),"Incomplete","Complete")</f>
        <v>Complete</v>
      </c>
      <c r="I1842" s="48" t="s">
        <v>6207</v>
      </c>
    </row>
    <row r="1843" spans="2:9" ht="15" customHeight="1" x14ac:dyDescent="0.25">
      <c r="B1843" s="55" t="s">
        <v>279</v>
      </c>
      <c r="C1843" s="46">
        <v>1831</v>
      </c>
      <c r="D1843" s="69" t="s">
        <v>29416</v>
      </c>
      <c r="E1843" s="51"/>
      <c r="F1843" s="114" t="str">
        <f>IF(INDEX(I.Facility.P1IDNumber,1831)="","",INDEX(I.Facility.P1IDNumber,1831))</f>
        <v/>
      </c>
      <c r="G1843" s="51"/>
      <c r="H1843" s="46" t="str">
        <f>IF(AND(I.Developer.P1=TRUE,I.Facility.P1FacilityCount&gt;=1831,F1843=""),"Incomplete","Complete")</f>
        <v>Complete</v>
      </c>
      <c r="I1843" s="48" t="s">
        <v>6208</v>
      </c>
    </row>
    <row r="1844" spans="2:9" ht="15" customHeight="1" x14ac:dyDescent="0.25">
      <c r="B1844" s="55" t="s">
        <v>279</v>
      </c>
      <c r="C1844" s="46">
        <v>1832</v>
      </c>
      <c r="D1844" s="69" t="s">
        <v>29416</v>
      </c>
      <c r="E1844" s="51"/>
      <c r="F1844" s="114" t="str">
        <f>IF(INDEX(I.Facility.P1IDNumber,1832)="","",INDEX(I.Facility.P1IDNumber,1832))</f>
        <v/>
      </c>
      <c r="G1844" s="51"/>
      <c r="H1844" s="46" t="str">
        <f>IF(AND(I.Developer.P1=TRUE,I.Facility.P1FacilityCount&gt;=1832,F1844=""),"Incomplete","Complete")</f>
        <v>Complete</v>
      </c>
      <c r="I1844" s="48" t="s">
        <v>6209</v>
      </c>
    </row>
    <row r="1845" spans="2:9" ht="15" customHeight="1" x14ac:dyDescent="0.25">
      <c r="B1845" s="55" t="s">
        <v>279</v>
      </c>
      <c r="C1845" s="46">
        <v>1833</v>
      </c>
      <c r="D1845" s="69" t="s">
        <v>29416</v>
      </c>
      <c r="E1845" s="51"/>
      <c r="F1845" s="114" t="str">
        <f>IF(INDEX(I.Facility.P1IDNumber,1833)="","",INDEX(I.Facility.P1IDNumber,1833))</f>
        <v/>
      </c>
      <c r="G1845" s="51"/>
      <c r="H1845" s="46" t="str">
        <f>IF(AND(I.Developer.P1=TRUE,I.Facility.P1FacilityCount&gt;=1833,F1845=""),"Incomplete","Complete")</f>
        <v>Complete</v>
      </c>
      <c r="I1845" s="48" t="s">
        <v>6210</v>
      </c>
    </row>
    <row r="1846" spans="2:9" ht="15" customHeight="1" x14ac:dyDescent="0.25">
      <c r="B1846" s="55" t="s">
        <v>279</v>
      </c>
      <c r="C1846" s="46">
        <v>1834</v>
      </c>
      <c r="D1846" s="69" t="s">
        <v>29416</v>
      </c>
      <c r="E1846" s="51"/>
      <c r="F1846" s="114" t="str">
        <f>IF(INDEX(I.Facility.P1IDNumber,1834)="","",INDEX(I.Facility.P1IDNumber,1834))</f>
        <v/>
      </c>
      <c r="G1846" s="51"/>
      <c r="H1846" s="46" t="str">
        <f>IF(AND(I.Developer.P1=TRUE,I.Facility.P1FacilityCount&gt;=1834,F1846=""),"Incomplete","Complete")</f>
        <v>Complete</v>
      </c>
      <c r="I1846" s="48" t="s">
        <v>6211</v>
      </c>
    </row>
    <row r="1847" spans="2:9" ht="15" customHeight="1" x14ac:dyDescent="0.25">
      <c r="B1847" s="55" t="s">
        <v>279</v>
      </c>
      <c r="C1847" s="46">
        <v>1835</v>
      </c>
      <c r="D1847" s="69" t="s">
        <v>29416</v>
      </c>
      <c r="E1847" s="51"/>
      <c r="F1847" s="114" t="str">
        <f>IF(INDEX(I.Facility.P1IDNumber,1835)="","",INDEX(I.Facility.P1IDNumber,1835))</f>
        <v/>
      </c>
      <c r="G1847" s="51"/>
      <c r="H1847" s="46" t="str">
        <f>IF(AND(I.Developer.P1=TRUE,I.Facility.P1FacilityCount&gt;=1835,F1847=""),"Incomplete","Complete")</f>
        <v>Complete</v>
      </c>
      <c r="I1847" s="48" t="s">
        <v>6212</v>
      </c>
    </row>
    <row r="1848" spans="2:9" ht="15" customHeight="1" x14ac:dyDescent="0.25">
      <c r="B1848" s="55" t="s">
        <v>279</v>
      </c>
      <c r="C1848" s="46">
        <v>1836</v>
      </c>
      <c r="D1848" s="69" t="s">
        <v>29416</v>
      </c>
      <c r="E1848" s="51"/>
      <c r="F1848" s="114" t="str">
        <f>IF(INDEX(I.Facility.P1IDNumber,1836)="","",INDEX(I.Facility.P1IDNumber,1836))</f>
        <v/>
      </c>
      <c r="G1848" s="51"/>
      <c r="H1848" s="46" t="str">
        <f>IF(AND(I.Developer.P1=TRUE,I.Facility.P1FacilityCount&gt;=1836,F1848=""),"Incomplete","Complete")</f>
        <v>Complete</v>
      </c>
      <c r="I1848" s="48" t="s">
        <v>6213</v>
      </c>
    </row>
    <row r="1849" spans="2:9" ht="15" customHeight="1" x14ac:dyDescent="0.25">
      <c r="B1849" s="55" t="s">
        <v>279</v>
      </c>
      <c r="C1849" s="46">
        <v>1837</v>
      </c>
      <c r="D1849" s="69" t="s">
        <v>29416</v>
      </c>
      <c r="E1849" s="51"/>
      <c r="F1849" s="114" t="str">
        <f>IF(INDEX(I.Facility.P1IDNumber,1837)="","",INDEX(I.Facility.P1IDNumber,1837))</f>
        <v/>
      </c>
      <c r="G1849" s="51"/>
      <c r="H1849" s="46" t="str">
        <f>IF(AND(I.Developer.P1=TRUE,I.Facility.P1FacilityCount&gt;=1837,F1849=""),"Incomplete","Complete")</f>
        <v>Complete</v>
      </c>
      <c r="I1849" s="48" t="s">
        <v>6214</v>
      </c>
    </row>
    <row r="1850" spans="2:9" ht="15" customHeight="1" x14ac:dyDescent="0.25">
      <c r="B1850" s="55" t="s">
        <v>279</v>
      </c>
      <c r="C1850" s="46">
        <v>1838</v>
      </c>
      <c r="D1850" s="69" t="s">
        <v>29416</v>
      </c>
      <c r="E1850" s="51"/>
      <c r="F1850" s="114" t="str">
        <f>IF(INDEX(I.Facility.P1IDNumber,1838)="","",INDEX(I.Facility.P1IDNumber,1838))</f>
        <v/>
      </c>
      <c r="G1850" s="51"/>
      <c r="H1850" s="46" t="str">
        <f>IF(AND(I.Developer.P1=TRUE,I.Facility.P1FacilityCount&gt;=1838,F1850=""),"Incomplete","Complete")</f>
        <v>Complete</v>
      </c>
      <c r="I1850" s="48" t="s">
        <v>6215</v>
      </c>
    </row>
    <row r="1851" spans="2:9" ht="15" customHeight="1" x14ac:dyDescent="0.25">
      <c r="B1851" s="55" t="s">
        <v>279</v>
      </c>
      <c r="C1851" s="46">
        <v>1839</v>
      </c>
      <c r="D1851" s="69" t="s">
        <v>29416</v>
      </c>
      <c r="E1851" s="51"/>
      <c r="F1851" s="114" t="str">
        <f>IF(INDEX(I.Facility.P1IDNumber,1839)="","",INDEX(I.Facility.P1IDNumber,1839))</f>
        <v/>
      </c>
      <c r="G1851" s="51"/>
      <c r="H1851" s="46" t="str">
        <f>IF(AND(I.Developer.P1=TRUE,I.Facility.P1FacilityCount&gt;=1839,F1851=""),"Incomplete","Complete")</f>
        <v>Complete</v>
      </c>
      <c r="I1851" s="48" t="s">
        <v>6216</v>
      </c>
    </row>
    <row r="1852" spans="2:9" ht="15" customHeight="1" x14ac:dyDescent="0.25">
      <c r="B1852" s="55" t="s">
        <v>279</v>
      </c>
      <c r="C1852" s="46">
        <v>1840</v>
      </c>
      <c r="D1852" s="69" t="s">
        <v>29416</v>
      </c>
      <c r="E1852" s="51"/>
      <c r="F1852" s="114" t="str">
        <f>IF(INDEX(I.Facility.P1IDNumber,1840)="","",INDEX(I.Facility.P1IDNumber,1840))</f>
        <v/>
      </c>
      <c r="G1852" s="51"/>
      <c r="H1852" s="46" t="str">
        <f>IF(AND(I.Developer.P1=TRUE,I.Facility.P1FacilityCount&gt;=1840,F1852=""),"Incomplete","Complete")</f>
        <v>Complete</v>
      </c>
      <c r="I1852" s="48" t="s">
        <v>6217</v>
      </c>
    </row>
    <row r="1853" spans="2:9" ht="15" customHeight="1" x14ac:dyDescent="0.25">
      <c r="B1853" s="55" t="s">
        <v>279</v>
      </c>
      <c r="C1853" s="46">
        <v>1841</v>
      </c>
      <c r="D1853" s="69" t="s">
        <v>29416</v>
      </c>
      <c r="E1853" s="51"/>
      <c r="F1853" s="114" t="str">
        <f>IF(INDEX(I.Facility.P1IDNumber,1841)="","",INDEX(I.Facility.P1IDNumber,1841))</f>
        <v/>
      </c>
      <c r="G1853" s="51"/>
      <c r="H1853" s="46" t="str">
        <f>IF(AND(I.Developer.P1=TRUE,I.Facility.P1FacilityCount&gt;=1841,F1853=""),"Incomplete","Complete")</f>
        <v>Complete</v>
      </c>
      <c r="I1853" s="48" t="s">
        <v>6218</v>
      </c>
    </row>
    <row r="1854" spans="2:9" ht="15" customHeight="1" x14ac:dyDescent="0.25">
      <c r="B1854" s="55" t="s">
        <v>279</v>
      </c>
      <c r="C1854" s="46">
        <v>1842</v>
      </c>
      <c r="D1854" s="69" t="s">
        <v>29416</v>
      </c>
      <c r="E1854" s="51"/>
      <c r="F1854" s="114" t="str">
        <f>IF(INDEX(I.Facility.P1IDNumber,1842)="","",INDEX(I.Facility.P1IDNumber,1842))</f>
        <v/>
      </c>
      <c r="G1854" s="51"/>
      <c r="H1854" s="46" t="str">
        <f>IF(AND(I.Developer.P1=TRUE,I.Facility.P1FacilityCount&gt;=1842,F1854=""),"Incomplete","Complete")</f>
        <v>Complete</v>
      </c>
      <c r="I1854" s="48" t="s">
        <v>6219</v>
      </c>
    </row>
    <row r="1855" spans="2:9" ht="15" customHeight="1" x14ac:dyDescent="0.25">
      <c r="B1855" s="55" t="s">
        <v>279</v>
      </c>
      <c r="C1855" s="46">
        <v>1843</v>
      </c>
      <c r="D1855" s="69" t="s">
        <v>29416</v>
      </c>
      <c r="E1855" s="51"/>
      <c r="F1855" s="114" t="str">
        <f>IF(INDEX(I.Facility.P1IDNumber,1843)="","",INDEX(I.Facility.P1IDNumber,1843))</f>
        <v/>
      </c>
      <c r="G1855" s="51"/>
      <c r="H1855" s="46" t="str">
        <f>IF(AND(I.Developer.P1=TRUE,I.Facility.P1FacilityCount&gt;=1843,F1855=""),"Incomplete","Complete")</f>
        <v>Complete</v>
      </c>
      <c r="I1855" s="48" t="s">
        <v>6220</v>
      </c>
    </row>
    <row r="1856" spans="2:9" ht="15" customHeight="1" x14ac:dyDescent="0.25">
      <c r="B1856" s="55" t="s">
        <v>279</v>
      </c>
      <c r="C1856" s="46">
        <v>1844</v>
      </c>
      <c r="D1856" s="69" t="s">
        <v>29416</v>
      </c>
      <c r="E1856" s="51"/>
      <c r="F1856" s="114" t="str">
        <f>IF(INDEX(I.Facility.P1IDNumber,1844)="","",INDEX(I.Facility.P1IDNumber,1844))</f>
        <v/>
      </c>
      <c r="G1856" s="51"/>
      <c r="H1856" s="46" t="str">
        <f>IF(AND(I.Developer.P1=TRUE,I.Facility.P1FacilityCount&gt;=1844,F1856=""),"Incomplete","Complete")</f>
        <v>Complete</v>
      </c>
      <c r="I1856" s="48" t="s">
        <v>6221</v>
      </c>
    </row>
    <row r="1857" spans="2:9" ht="15" customHeight="1" x14ac:dyDescent="0.25">
      <c r="B1857" s="55" t="s">
        <v>279</v>
      </c>
      <c r="C1857" s="46">
        <v>1845</v>
      </c>
      <c r="D1857" s="69" t="s">
        <v>29416</v>
      </c>
      <c r="E1857" s="51"/>
      <c r="F1857" s="114" t="str">
        <f>IF(INDEX(I.Facility.P1IDNumber,1845)="","",INDEX(I.Facility.P1IDNumber,1845))</f>
        <v/>
      </c>
      <c r="G1857" s="51"/>
      <c r="H1857" s="46" t="str">
        <f>IF(AND(I.Developer.P1=TRUE,I.Facility.P1FacilityCount&gt;=1845,F1857=""),"Incomplete","Complete")</f>
        <v>Complete</v>
      </c>
      <c r="I1857" s="48" t="s">
        <v>6222</v>
      </c>
    </row>
    <row r="1858" spans="2:9" ht="15" customHeight="1" x14ac:dyDescent="0.25">
      <c r="B1858" s="55" t="s">
        <v>279</v>
      </c>
      <c r="C1858" s="46">
        <v>1846</v>
      </c>
      <c r="D1858" s="69" t="s">
        <v>29416</v>
      </c>
      <c r="E1858" s="51"/>
      <c r="F1858" s="114" t="str">
        <f>IF(INDEX(I.Facility.P1IDNumber,1846)="","",INDEX(I.Facility.P1IDNumber,1846))</f>
        <v/>
      </c>
      <c r="G1858" s="51"/>
      <c r="H1858" s="46" t="str">
        <f>IF(AND(I.Developer.P1=TRUE,I.Facility.P1FacilityCount&gt;=1846,F1858=""),"Incomplete","Complete")</f>
        <v>Complete</v>
      </c>
      <c r="I1858" s="48" t="s">
        <v>6223</v>
      </c>
    </row>
    <row r="1859" spans="2:9" ht="15" customHeight="1" x14ac:dyDescent="0.25">
      <c r="B1859" s="55" t="s">
        <v>279</v>
      </c>
      <c r="C1859" s="46">
        <v>1847</v>
      </c>
      <c r="D1859" s="69" t="s">
        <v>29416</v>
      </c>
      <c r="E1859" s="51"/>
      <c r="F1859" s="114" t="str">
        <f>IF(INDEX(I.Facility.P1IDNumber,1847)="","",INDEX(I.Facility.P1IDNumber,1847))</f>
        <v/>
      </c>
      <c r="G1859" s="51"/>
      <c r="H1859" s="46" t="str">
        <f>IF(AND(I.Developer.P1=TRUE,I.Facility.P1FacilityCount&gt;=1847,F1859=""),"Incomplete","Complete")</f>
        <v>Complete</v>
      </c>
      <c r="I1859" s="48" t="s">
        <v>6224</v>
      </c>
    </row>
    <row r="1860" spans="2:9" ht="15" customHeight="1" x14ac:dyDescent="0.25">
      <c r="B1860" s="55" t="s">
        <v>279</v>
      </c>
      <c r="C1860" s="46">
        <v>1848</v>
      </c>
      <c r="D1860" s="69" t="s">
        <v>29416</v>
      </c>
      <c r="E1860" s="51"/>
      <c r="F1860" s="114" t="str">
        <f>IF(INDEX(I.Facility.P1IDNumber,1848)="","",INDEX(I.Facility.P1IDNumber,1848))</f>
        <v/>
      </c>
      <c r="G1860" s="51"/>
      <c r="H1860" s="46" t="str">
        <f>IF(AND(I.Developer.P1=TRUE,I.Facility.P1FacilityCount&gt;=1848,F1860=""),"Incomplete","Complete")</f>
        <v>Complete</v>
      </c>
      <c r="I1860" s="48" t="s">
        <v>6225</v>
      </c>
    </row>
    <row r="1861" spans="2:9" ht="15" customHeight="1" x14ac:dyDescent="0.25">
      <c r="B1861" s="55" t="s">
        <v>279</v>
      </c>
      <c r="C1861" s="46">
        <v>1849</v>
      </c>
      <c r="D1861" s="69" t="s">
        <v>29416</v>
      </c>
      <c r="E1861" s="51"/>
      <c r="F1861" s="114" t="str">
        <f>IF(INDEX(I.Facility.P1IDNumber,1849)="","",INDEX(I.Facility.P1IDNumber,1849))</f>
        <v/>
      </c>
      <c r="G1861" s="51"/>
      <c r="H1861" s="46" t="str">
        <f>IF(AND(I.Developer.P1=TRUE,I.Facility.P1FacilityCount&gt;=1849,F1861=""),"Incomplete","Complete")</f>
        <v>Complete</v>
      </c>
      <c r="I1861" s="48" t="s">
        <v>6226</v>
      </c>
    </row>
    <row r="1862" spans="2:9" ht="15" customHeight="1" x14ac:dyDescent="0.25">
      <c r="B1862" s="55" t="s">
        <v>279</v>
      </c>
      <c r="C1862" s="46">
        <v>1850</v>
      </c>
      <c r="D1862" s="69" t="s">
        <v>29416</v>
      </c>
      <c r="E1862" s="51"/>
      <c r="F1862" s="114" t="str">
        <f>IF(INDEX(I.Facility.P1IDNumber,1850)="","",INDEX(I.Facility.P1IDNumber,1850))</f>
        <v/>
      </c>
      <c r="G1862" s="51"/>
      <c r="H1862" s="46" t="str">
        <f>IF(AND(I.Developer.P1=TRUE,I.Facility.P1FacilityCount&gt;=1850,F1862=""),"Incomplete","Complete")</f>
        <v>Complete</v>
      </c>
      <c r="I1862" s="48" t="s">
        <v>6227</v>
      </c>
    </row>
    <row r="1863" spans="2:9" ht="15" customHeight="1" x14ac:dyDescent="0.25">
      <c r="B1863" s="55" t="s">
        <v>279</v>
      </c>
      <c r="C1863" s="46">
        <v>1851</v>
      </c>
      <c r="D1863" s="69" t="s">
        <v>29416</v>
      </c>
      <c r="E1863" s="51"/>
      <c r="F1863" s="114" t="str">
        <f>IF(INDEX(I.Facility.P1IDNumber,1851)="","",INDEX(I.Facility.P1IDNumber,1851))</f>
        <v/>
      </c>
      <c r="G1863" s="51"/>
      <c r="H1863" s="46" t="str">
        <f>IF(AND(I.Developer.P1=TRUE,I.Facility.P1FacilityCount&gt;=1851,F1863=""),"Incomplete","Complete")</f>
        <v>Complete</v>
      </c>
      <c r="I1863" s="48" t="s">
        <v>6228</v>
      </c>
    </row>
    <row r="1864" spans="2:9" ht="15" customHeight="1" x14ac:dyDescent="0.25">
      <c r="B1864" s="55" t="s">
        <v>279</v>
      </c>
      <c r="C1864" s="46">
        <v>1852</v>
      </c>
      <c r="D1864" s="69" t="s">
        <v>29416</v>
      </c>
      <c r="E1864" s="51"/>
      <c r="F1864" s="114" t="str">
        <f>IF(INDEX(I.Facility.P1IDNumber,1852)="","",INDEX(I.Facility.P1IDNumber,1852))</f>
        <v/>
      </c>
      <c r="G1864" s="51"/>
      <c r="H1864" s="46" t="str">
        <f>IF(AND(I.Developer.P1=TRUE,I.Facility.P1FacilityCount&gt;=1852,F1864=""),"Incomplete","Complete")</f>
        <v>Complete</v>
      </c>
      <c r="I1864" s="48" t="s">
        <v>6229</v>
      </c>
    </row>
    <row r="1865" spans="2:9" ht="15" customHeight="1" x14ac:dyDescent="0.25">
      <c r="B1865" s="55" t="s">
        <v>279</v>
      </c>
      <c r="C1865" s="46">
        <v>1853</v>
      </c>
      <c r="D1865" s="69" t="s">
        <v>29416</v>
      </c>
      <c r="E1865" s="51"/>
      <c r="F1865" s="114" t="str">
        <f>IF(INDEX(I.Facility.P1IDNumber,1853)="","",INDEX(I.Facility.P1IDNumber,1853))</f>
        <v/>
      </c>
      <c r="G1865" s="51"/>
      <c r="H1865" s="46" t="str">
        <f>IF(AND(I.Developer.P1=TRUE,I.Facility.P1FacilityCount&gt;=1853,F1865=""),"Incomplete","Complete")</f>
        <v>Complete</v>
      </c>
      <c r="I1865" s="48" t="s">
        <v>6230</v>
      </c>
    </row>
    <row r="1866" spans="2:9" ht="15" customHeight="1" x14ac:dyDescent="0.25">
      <c r="B1866" s="55" t="s">
        <v>279</v>
      </c>
      <c r="C1866" s="46">
        <v>1854</v>
      </c>
      <c r="D1866" s="69" t="s">
        <v>29416</v>
      </c>
      <c r="E1866" s="51"/>
      <c r="F1866" s="114" t="str">
        <f>IF(INDEX(I.Facility.P1IDNumber,1854)="","",INDEX(I.Facility.P1IDNumber,1854))</f>
        <v/>
      </c>
      <c r="G1866" s="51"/>
      <c r="H1866" s="46" t="str">
        <f>IF(AND(I.Developer.P1=TRUE,I.Facility.P1FacilityCount&gt;=1854,F1866=""),"Incomplete","Complete")</f>
        <v>Complete</v>
      </c>
      <c r="I1866" s="48" t="s">
        <v>6231</v>
      </c>
    </row>
    <row r="1867" spans="2:9" ht="15" customHeight="1" x14ac:dyDescent="0.25">
      <c r="B1867" s="55" t="s">
        <v>279</v>
      </c>
      <c r="C1867" s="46">
        <v>1855</v>
      </c>
      <c r="D1867" s="69" t="s">
        <v>29416</v>
      </c>
      <c r="E1867" s="51"/>
      <c r="F1867" s="114" t="str">
        <f>IF(INDEX(I.Facility.P1IDNumber,1855)="","",INDEX(I.Facility.P1IDNumber,1855))</f>
        <v/>
      </c>
      <c r="G1867" s="51"/>
      <c r="H1867" s="46" t="str">
        <f>IF(AND(I.Developer.P1=TRUE,I.Facility.P1FacilityCount&gt;=1855,F1867=""),"Incomplete","Complete")</f>
        <v>Complete</v>
      </c>
      <c r="I1867" s="48" t="s">
        <v>6232</v>
      </c>
    </row>
    <row r="1868" spans="2:9" ht="15" customHeight="1" x14ac:dyDescent="0.25">
      <c r="B1868" s="55" t="s">
        <v>279</v>
      </c>
      <c r="C1868" s="46">
        <v>1856</v>
      </c>
      <c r="D1868" s="69" t="s">
        <v>29416</v>
      </c>
      <c r="E1868" s="51"/>
      <c r="F1868" s="114" t="str">
        <f>IF(INDEX(I.Facility.P1IDNumber,1856)="","",INDEX(I.Facility.P1IDNumber,1856))</f>
        <v/>
      </c>
      <c r="G1868" s="51"/>
      <c r="H1868" s="46" t="str">
        <f>IF(AND(I.Developer.P1=TRUE,I.Facility.P1FacilityCount&gt;=1856,F1868=""),"Incomplete","Complete")</f>
        <v>Complete</v>
      </c>
      <c r="I1868" s="48" t="s">
        <v>6233</v>
      </c>
    </row>
    <row r="1869" spans="2:9" ht="15" customHeight="1" x14ac:dyDescent="0.25">
      <c r="B1869" s="55" t="s">
        <v>279</v>
      </c>
      <c r="C1869" s="46">
        <v>1857</v>
      </c>
      <c r="D1869" s="69" t="s">
        <v>29416</v>
      </c>
      <c r="E1869" s="51"/>
      <c r="F1869" s="114" t="str">
        <f>IF(INDEX(I.Facility.P1IDNumber,1857)="","",INDEX(I.Facility.P1IDNumber,1857))</f>
        <v/>
      </c>
      <c r="G1869" s="51"/>
      <c r="H1869" s="46" t="str">
        <f>IF(AND(I.Developer.P1=TRUE,I.Facility.P1FacilityCount&gt;=1857,F1869=""),"Incomplete","Complete")</f>
        <v>Complete</v>
      </c>
      <c r="I1869" s="48" t="s">
        <v>6234</v>
      </c>
    </row>
    <row r="1870" spans="2:9" ht="15" customHeight="1" x14ac:dyDescent="0.25">
      <c r="B1870" s="55" t="s">
        <v>279</v>
      </c>
      <c r="C1870" s="46">
        <v>1858</v>
      </c>
      <c r="D1870" s="69" t="s">
        <v>29416</v>
      </c>
      <c r="E1870" s="51"/>
      <c r="F1870" s="114" t="str">
        <f>IF(INDEX(I.Facility.P1IDNumber,1858)="","",INDEX(I.Facility.P1IDNumber,1858))</f>
        <v/>
      </c>
      <c r="G1870" s="51"/>
      <c r="H1870" s="46" t="str">
        <f>IF(AND(I.Developer.P1=TRUE,I.Facility.P1FacilityCount&gt;=1858,F1870=""),"Incomplete","Complete")</f>
        <v>Complete</v>
      </c>
      <c r="I1870" s="48" t="s">
        <v>6235</v>
      </c>
    </row>
    <row r="1871" spans="2:9" ht="15" customHeight="1" x14ac:dyDescent="0.25">
      <c r="B1871" s="55" t="s">
        <v>279</v>
      </c>
      <c r="C1871" s="46">
        <v>1859</v>
      </c>
      <c r="D1871" s="69" t="s">
        <v>29416</v>
      </c>
      <c r="E1871" s="51"/>
      <c r="F1871" s="114" t="str">
        <f>IF(INDEX(I.Facility.P1IDNumber,1859)="","",INDEX(I.Facility.P1IDNumber,1859))</f>
        <v/>
      </c>
      <c r="G1871" s="51"/>
      <c r="H1871" s="46" t="str">
        <f>IF(AND(I.Developer.P1=TRUE,I.Facility.P1FacilityCount&gt;=1859,F1871=""),"Incomplete","Complete")</f>
        <v>Complete</v>
      </c>
      <c r="I1871" s="48" t="s">
        <v>6236</v>
      </c>
    </row>
    <row r="1872" spans="2:9" ht="15" customHeight="1" x14ac:dyDescent="0.25">
      <c r="B1872" s="55" t="s">
        <v>279</v>
      </c>
      <c r="C1872" s="46">
        <v>1860</v>
      </c>
      <c r="D1872" s="69" t="s">
        <v>29416</v>
      </c>
      <c r="E1872" s="51"/>
      <c r="F1872" s="114" t="str">
        <f>IF(INDEX(I.Facility.P1IDNumber,1860)="","",INDEX(I.Facility.P1IDNumber,1860))</f>
        <v/>
      </c>
      <c r="G1872" s="51"/>
      <c r="H1872" s="46" t="str">
        <f>IF(AND(I.Developer.P1=TRUE,I.Facility.P1FacilityCount&gt;=1860,F1872=""),"Incomplete","Complete")</f>
        <v>Complete</v>
      </c>
      <c r="I1872" s="48" t="s">
        <v>6237</v>
      </c>
    </row>
    <row r="1873" spans="2:9" ht="15" customHeight="1" x14ac:dyDescent="0.25">
      <c r="B1873" s="55" t="s">
        <v>279</v>
      </c>
      <c r="C1873" s="46">
        <v>1861</v>
      </c>
      <c r="D1873" s="69" t="s">
        <v>29416</v>
      </c>
      <c r="E1873" s="51"/>
      <c r="F1873" s="114" t="str">
        <f>IF(INDEX(I.Facility.P1IDNumber,1861)="","",INDEX(I.Facility.P1IDNumber,1861))</f>
        <v/>
      </c>
      <c r="G1873" s="51"/>
      <c r="H1873" s="46" t="str">
        <f>IF(AND(I.Developer.P1=TRUE,I.Facility.P1FacilityCount&gt;=1861,F1873=""),"Incomplete","Complete")</f>
        <v>Complete</v>
      </c>
      <c r="I1873" s="48" t="s">
        <v>6238</v>
      </c>
    </row>
    <row r="1874" spans="2:9" ht="15" customHeight="1" x14ac:dyDescent="0.25">
      <c r="B1874" s="55" t="s">
        <v>279</v>
      </c>
      <c r="C1874" s="46">
        <v>1862</v>
      </c>
      <c r="D1874" s="69" t="s">
        <v>29416</v>
      </c>
      <c r="E1874" s="51"/>
      <c r="F1874" s="114" t="str">
        <f>IF(INDEX(I.Facility.P1IDNumber,1862)="","",INDEX(I.Facility.P1IDNumber,1862))</f>
        <v/>
      </c>
      <c r="G1874" s="51"/>
      <c r="H1874" s="46" t="str">
        <f>IF(AND(I.Developer.P1=TRUE,I.Facility.P1FacilityCount&gt;=1862,F1874=""),"Incomplete","Complete")</f>
        <v>Complete</v>
      </c>
      <c r="I1874" s="48" t="s">
        <v>6239</v>
      </c>
    </row>
    <row r="1875" spans="2:9" ht="15" customHeight="1" x14ac:dyDescent="0.25">
      <c r="B1875" s="55" t="s">
        <v>279</v>
      </c>
      <c r="C1875" s="46">
        <v>1863</v>
      </c>
      <c r="D1875" s="69" t="s">
        <v>29416</v>
      </c>
      <c r="E1875" s="51"/>
      <c r="F1875" s="114" t="str">
        <f>IF(INDEX(I.Facility.P1IDNumber,1863)="","",INDEX(I.Facility.P1IDNumber,1863))</f>
        <v/>
      </c>
      <c r="G1875" s="51"/>
      <c r="H1875" s="46" t="str">
        <f>IF(AND(I.Developer.P1=TRUE,I.Facility.P1FacilityCount&gt;=1863,F1875=""),"Incomplete","Complete")</f>
        <v>Complete</v>
      </c>
      <c r="I1875" s="48" t="s">
        <v>6240</v>
      </c>
    </row>
    <row r="1876" spans="2:9" ht="15" customHeight="1" x14ac:dyDescent="0.25">
      <c r="B1876" s="55" t="s">
        <v>279</v>
      </c>
      <c r="C1876" s="46">
        <v>1864</v>
      </c>
      <c r="D1876" s="69" t="s">
        <v>29416</v>
      </c>
      <c r="E1876" s="51"/>
      <c r="F1876" s="114" t="str">
        <f>IF(INDEX(I.Facility.P1IDNumber,1864)="","",INDEX(I.Facility.P1IDNumber,1864))</f>
        <v/>
      </c>
      <c r="G1876" s="51"/>
      <c r="H1876" s="46" t="str">
        <f>IF(AND(I.Developer.P1=TRUE,I.Facility.P1FacilityCount&gt;=1864,F1876=""),"Incomplete","Complete")</f>
        <v>Complete</v>
      </c>
      <c r="I1876" s="48" t="s">
        <v>6241</v>
      </c>
    </row>
    <row r="1877" spans="2:9" ht="15" customHeight="1" x14ac:dyDescent="0.25">
      <c r="B1877" s="55" t="s">
        <v>279</v>
      </c>
      <c r="C1877" s="46">
        <v>1865</v>
      </c>
      <c r="D1877" s="69" t="s">
        <v>29416</v>
      </c>
      <c r="E1877" s="51"/>
      <c r="F1877" s="114" t="str">
        <f>IF(INDEX(I.Facility.P1IDNumber,1865)="","",INDEX(I.Facility.P1IDNumber,1865))</f>
        <v/>
      </c>
      <c r="G1877" s="51"/>
      <c r="H1877" s="46" t="str">
        <f>IF(AND(I.Developer.P1=TRUE,I.Facility.P1FacilityCount&gt;=1865,F1877=""),"Incomplete","Complete")</f>
        <v>Complete</v>
      </c>
      <c r="I1877" s="48" t="s">
        <v>6242</v>
      </c>
    </row>
    <row r="1878" spans="2:9" ht="15" customHeight="1" x14ac:dyDescent="0.25">
      <c r="B1878" s="55" t="s">
        <v>279</v>
      </c>
      <c r="C1878" s="46">
        <v>1866</v>
      </c>
      <c r="D1878" s="69" t="s">
        <v>29416</v>
      </c>
      <c r="E1878" s="51"/>
      <c r="F1878" s="114" t="str">
        <f>IF(INDEX(I.Facility.P1IDNumber,1866)="","",INDEX(I.Facility.P1IDNumber,1866))</f>
        <v/>
      </c>
      <c r="G1878" s="51"/>
      <c r="H1878" s="46" t="str">
        <f>IF(AND(I.Developer.P1=TRUE,I.Facility.P1FacilityCount&gt;=1866,F1878=""),"Incomplete","Complete")</f>
        <v>Complete</v>
      </c>
      <c r="I1878" s="48" t="s">
        <v>6243</v>
      </c>
    </row>
    <row r="1879" spans="2:9" ht="15" customHeight="1" x14ac:dyDescent="0.25">
      <c r="B1879" s="55" t="s">
        <v>279</v>
      </c>
      <c r="C1879" s="46">
        <v>1867</v>
      </c>
      <c r="D1879" s="69" t="s">
        <v>29416</v>
      </c>
      <c r="E1879" s="51"/>
      <c r="F1879" s="114" t="str">
        <f>IF(INDEX(I.Facility.P1IDNumber,1867)="","",INDEX(I.Facility.P1IDNumber,1867))</f>
        <v/>
      </c>
      <c r="G1879" s="51"/>
      <c r="H1879" s="46" t="str">
        <f>IF(AND(I.Developer.P1=TRUE,I.Facility.P1FacilityCount&gt;=1867,F1879=""),"Incomplete","Complete")</f>
        <v>Complete</v>
      </c>
      <c r="I1879" s="48" t="s">
        <v>6244</v>
      </c>
    </row>
    <row r="1880" spans="2:9" ht="15" customHeight="1" x14ac:dyDescent="0.25">
      <c r="B1880" s="55" t="s">
        <v>279</v>
      </c>
      <c r="C1880" s="46">
        <v>1868</v>
      </c>
      <c r="D1880" s="69" t="s">
        <v>29416</v>
      </c>
      <c r="E1880" s="51"/>
      <c r="F1880" s="114" t="str">
        <f>IF(INDEX(I.Facility.P1IDNumber,1868)="","",INDEX(I.Facility.P1IDNumber,1868))</f>
        <v/>
      </c>
      <c r="G1880" s="51"/>
      <c r="H1880" s="46" t="str">
        <f>IF(AND(I.Developer.P1=TRUE,I.Facility.P1FacilityCount&gt;=1868,F1880=""),"Incomplete","Complete")</f>
        <v>Complete</v>
      </c>
      <c r="I1880" s="48" t="s">
        <v>6245</v>
      </c>
    </row>
    <row r="1881" spans="2:9" ht="15" customHeight="1" x14ac:dyDescent="0.25">
      <c r="B1881" s="55" t="s">
        <v>279</v>
      </c>
      <c r="C1881" s="46">
        <v>1869</v>
      </c>
      <c r="D1881" s="69" t="s">
        <v>29416</v>
      </c>
      <c r="E1881" s="51"/>
      <c r="F1881" s="114" t="str">
        <f>IF(INDEX(I.Facility.P1IDNumber,1869)="","",INDEX(I.Facility.P1IDNumber,1869))</f>
        <v/>
      </c>
      <c r="G1881" s="51"/>
      <c r="H1881" s="46" t="str">
        <f>IF(AND(I.Developer.P1=TRUE,I.Facility.P1FacilityCount&gt;=1869,F1881=""),"Incomplete","Complete")</f>
        <v>Complete</v>
      </c>
      <c r="I1881" s="48" t="s">
        <v>6246</v>
      </c>
    </row>
    <row r="1882" spans="2:9" ht="15" customHeight="1" x14ac:dyDescent="0.25">
      <c r="B1882" s="55" t="s">
        <v>279</v>
      </c>
      <c r="C1882" s="46">
        <v>1870</v>
      </c>
      <c r="D1882" s="69" t="s">
        <v>29416</v>
      </c>
      <c r="E1882" s="51"/>
      <c r="F1882" s="114" t="str">
        <f>IF(INDEX(I.Facility.P1IDNumber,1870)="","",INDEX(I.Facility.P1IDNumber,1870))</f>
        <v/>
      </c>
      <c r="G1882" s="51"/>
      <c r="H1882" s="46" t="str">
        <f>IF(AND(I.Developer.P1=TRUE,I.Facility.P1FacilityCount&gt;=1870,F1882=""),"Incomplete","Complete")</f>
        <v>Complete</v>
      </c>
      <c r="I1882" s="48" t="s">
        <v>6247</v>
      </c>
    </row>
    <row r="1883" spans="2:9" ht="15" customHeight="1" x14ac:dyDescent="0.25">
      <c r="B1883" s="55" t="s">
        <v>279</v>
      </c>
      <c r="C1883" s="46">
        <v>1871</v>
      </c>
      <c r="D1883" s="69" t="s">
        <v>29416</v>
      </c>
      <c r="E1883" s="51"/>
      <c r="F1883" s="114" t="str">
        <f>IF(INDEX(I.Facility.P1IDNumber,1871)="","",INDEX(I.Facility.P1IDNumber,1871))</f>
        <v/>
      </c>
      <c r="G1883" s="51"/>
      <c r="H1883" s="46" t="str">
        <f>IF(AND(I.Developer.P1=TRUE,I.Facility.P1FacilityCount&gt;=1871,F1883=""),"Incomplete","Complete")</f>
        <v>Complete</v>
      </c>
      <c r="I1883" s="48" t="s">
        <v>6248</v>
      </c>
    </row>
    <row r="1884" spans="2:9" ht="15" customHeight="1" x14ac:dyDescent="0.25">
      <c r="B1884" s="55" t="s">
        <v>279</v>
      </c>
      <c r="C1884" s="46">
        <v>1872</v>
      </c>
      <c r="D1884" s="69" t="s">
        <v>29416</v>
      </c>
      <c r="E1884" s="51"/>
      <c r="F1884" s="114" t="str">
        <f>IF(INDEX(I.Facility.P1IDNumber,1872)="","",INDEX(I.Facility.P1IDNumber,1872))</f>
        <v/>
      </c>
      <c r="G1884" s="51"/>
      <c r="H1884" s="46" t="str">
        <f>IF(AND(I.Developer.P1=TRUE,I.Facility.P1FacilityCount&gt;=1872,F1884=""),"Incomplete","Complete")</f>
        <v>Complete</v>
      </c>
      <c r="I1884" s="48" t="s">
        <v>6249</v>
      </c>
    </row>
    <row r="1885" spans="2:9" ht="15" customHeight="1" x14ac:dyDescent="0.25">
      <c r="B1885" s="55" t="s">
        <v>279</v>
      </c>
      <c r="C1885" s="46">
        <v>1873</v>
      </c>
      <c r="D1885" s="69" t="s">
        <v>29416</v>
      </c>
      <c r="E1885" s="51"/>
      <c r="F1885" s="114" t="str">
        <f>IF(INDEX(I.Facility.P1IDNumber,1873)="","",INDEX(I.Facility.P1IDNumber,1873))</f>
        <v/>
      </c>
      <c r="G1885" s="51"/>
      <c r="H1885" s="46" t="str">
        <f>IF(AND(I.Developer.P1=TRUE,I.Facility.P1FacilityCount&gt;=1873,F1885=""),"Incomplete","Complete")</f>
        <v>Complete</v>
      </c>
      <c r="I1885" s="48" t="s">
        <v>6250</v>
      </c>
    </row>
    <row r="1886" spans="2:9" ht="15" customHeight="1" x14ac:dyDescent="0.25">
      <c r="B1886" s="55" t="s">
        <v>279</v>
      </c>
      <c r="C1886" s="46">
        <v>1874</v>
      </c>
      <c r="D1886" s="69" t="s">
        <v>29416</v>
      </c>
      <c r="E1886" s="51"/>
      <c r="F1886" s="114" t="str">
        <f>IF(INDEX(I.Facility.P1IDNumber,1874)="","",INDEX(I.Facility.P1IDNumber,1874))</f>
        <v/>
      </c>
      <c r="G1886" s="51"/>
      <c r="H1886" s="46" t="str">
        <f>IF(AND(I.Developer.P1=TRUE,I.Facility.P1FacilityCount&gt;=1874,F1886=""),"Incomplete","Complete")</f>
        <v>Complete</v>
      </c>
      <c r="I1886" s="48" t="s">
        <v>6251</v>
      </c>
    </row>
    <row r="1887" spans="2:9" ht="15" customHeight="1" x14ac:dyDescent="0.25">
      <c r="B1887" s="55" t="s">
        <v>279</v>
      </c>
      <c r="C1887" s="46">
        <v>1875</v>
      </c>
      <c r="D1887" s="69" t="s">
        <v>29416</v>
      </c>
      <c r="E1887" s="51"/>
      <c r="F1887" s="114" t="str">
        <f>IF(INDEX(I.Facility.P1IDNumber,1875)="","",INDEX(I.Facility.P1IDNumber,1875))</f>
        <v/>
      </c>
      <c r="G1887" s="51"/>
      <c r="H1887" s="46" t="str">
        <f>IF(AND(I.Developer.P1=TRUE,I.Facility.P1FacilityCount&gt;=1875,F1887=""),"Incomplete","Complete")</f>
        <v>Complete</v>
      </c>
      <c r="I1887" s="48" t="s">
        <v>6252</v>
      </c>
    </row>
    <row r="1888" spans="2:9" ht="15" customHeight="1" x14ac:dyDescent="0.25">
      <c r="B1888" s="55" t="s">
        <v>279</v>
      </c>
      <c r="C1888" s="46">
        <v>1876</v>
      </c>
      <c r="D1888" s="69" t="s">
        <v>29416</v>
      </c>
      <c r="E1888" s="51"/>
      <c r="F1888" s="114" t="str">
        <f>IF(INDEX(I.Facility.P1IDNumber,1876)="","",INDEX(I.Facility.P1IDNumber,1876))</f>
        <v/>
      </c>
      <c r="G1888" s="51"/>
      <c r="H1888" s="46" t="str">
        <f>IF(AND(I.Developer.P1=TRUE,I.Facility.P1FacilityCount&gt;=1876,F1888=""),"Incomplete","Complete")</f>
        <v>Complete</v>
      </c>
      <c r="I1888" s="48" t="s">
        <v>6253</v>
      </c>
    </row>
    <row r="1889" spans="2:9" ht="15" customHeight="1" x14ac:dyDescent="0.25">
      <c r="B1889" s="55" t="s">
        <v>279</v>
      </c>
      <c r="C1889" s="46">
        <v>1877</v>
      </c>
      <c r="D1889" s="69" t="s">
        <v>29416</v>
      </c>
      <c r="E1889" s="51"/>
      <c r="F1889" s="114" t="str">
        <f>IF(INDEX(I.Facility.P1IDNumber,1877)="","",INDEX(I.Facility.P1IDNumber,1877))</f>
        <v/>
      </c>
      <c r="G1889" s="51"/>
      <c r="H1889" s="46" t="str">
        <f>IF(AND(I.Developer.P1=TRUE,I.Facility.P1FacilityCount&gt;=1877,F1889=""),"Incomplete","Complete")</f>
        <v>Complete</v>
      </c>
      <c r="I1889" s="48" t="s">
        <v>6254</v>
      </c>
    </row>
    <row r="1890" spans="2:9" ht="15" customHeight="1" x14ac:dyDescent="0.25">
      <c r="B1890" s="55" t="s">
        <v>279</v>
      </c>
      <c r="C1890" s="46">
        <v>1878</v>
      </c>
      <c r="D1890" s="69" t="s">
        <v>29416</v>
      </c>
      <c r="E1890" s="51"/>
      <c r="F1890" s="114" t="str">
        <f>IF(INDEX(I.Facility.P1IDNumber,1878)="","",INDEX(I.Facility.P1IDNumber,1878))</f>
        <v/>
      </c>
      <c r="G1890" s="51"/>
      <c r="H1890" s="46" t="str">
        <f>IF(AND(I.Developer.P1=TRUE,I.Facility.P1FacilityCount&gt;=1878,F1890=""),"Incomplete","Complete")</f>
        <v>Complete</v>
      </c>
      <c r="I1890" s="48" t="s">
        <v>6255</v>
      </c>
    </row>
    <row r="1891" spans="2:9" ht="15" customHeight="1" x14ac:dyDescent="0.25">
      <c r="B1891" s="55" t="s">
        <v>279</v>
      </c>
      <c r="C1891" s="46">
        <v>1879</v>
      </c>
      <c r="D1891" s="69" t="s">
        <v>29416</v>
      </c>
      <c r="E1891" s="51"/>
      <c r="F1891" s="114" t="str">
        <f>IF(INDEX(I.Facility.P1IDNumber,1879)="","",INDEX(I.Facility.P1IDNumber,1879))</f>
        <v/>
      </c>
      <c r="G1891" s="51"/>
      <c r="H1891" s="46" t="str">
        <f>IF(AND(I.Developer.P1=TRUE,I.Facility.P1FacilityCount&gt;=1879,F1891=""),"Incomplete","Complete")</f>
        <v>Complete</v>
      </c>
      <c r="I1891" s="48" t="s">
        <v>6256</v>
      </c>
    </row>
    <row r="1892" spans="2:9" ht="15" customHeight="1" x14ac:dyDescent="0.25">
      <c r="B1892" s="55" t="s">
        <v>279</v>
      </c>
      <c r="C1892" s="46">
        <v>1880</v>
      </c>
      <c r="D1892" s="69" t="s">
        <v>29416</v>
      </c>
      <c r="E1892" s="51"/>
      <c r="F1892" s="114" t="str">
        <f>IF(INDEX(I.Facility.P1IDNumber,1880)="","",INDEX(I.Facility.P1IDNumber,1880))</f>
        <v/>
      </c>
      <c r="G1892" s="51"/>
      <c r="H1892" s="46" t="str">
        <f>IF(AND(I.Developer.P1=TRUE,I.Facility.P1FacilityCount&gt;=1880,F1892=""),"Incomplete","Complete")</f>
        <v>Complete</v>
      </c>
      <c r="I1892" s="48" t="s">
        <v>6257</v>
      </c>
    </row>
    <row r="1893" spans="2:9" ht="15" customHeight="1" x14ac:dyDescent="0.25">
      <c r="B1893" s="55" t="s">
        <v>279</v>
      </c>
      <c r="C1893" s="46">
        <v>1881</v>
      </c>
      <c r="D1893" s="69" t="s">
        <v>29416</v>
      </c>
      <c r="E1893" s="51"/>
      <c r="F1893" s="114" t="str">
        <f>IF(INDEX(I.Facility.P1IDNumber,1881)="","",INDEX(I.Facility.P1IDNumber,1881))</f>
        <v/>
      </c>
      <c r="G1893" s="51"/>
      <c r="H1893" s="46" t="str">
        <f>IF(AND(I.Developer.P1=TRUE,I.Facility.P1FacilityCount&gt;=1881,F1893=""),"Incomplete","Complete")</f>
        <v>Complete</v>
      </c>
      <c r="I1893" s="48" t="s">
        <v>6258</v>
      </c>
    </row>
    <row r="1894" spans="2:9" ht="15" customHeight="1" x14ac:dyDescent="0.25">
      <c r="B1894" s="55" t="s">
        <v>279</v>
      </c>
      <c r="C1894" s="46">
        <v>1882</v>
      </c>
      <c r="D1894" s="69" t="s">
        <v>29416</v>
      </c>
      <c r="E1894" s="51"/>
      <c r="F1894" s="114" t="str">
        <f>IF(INDEX(I.Facility.P1IDNumber,1882)="","",INDEX(I.Facility.P1IDNumber,1882))</f>
        <v/>
      </c>
      <c r="G1894" s="51"/>
      <c r="H1894" s="46" t="str">
        <f>IF(AND(I.Developer.P1=TRUE,I.Facility.P1FacilityCount&gt;=1882,F1894=""),"Incomplete","Complete")</f>
        <v>Complete</v>
      </c>
      <c r="I1894" s="48" t="s">
        <v>6259</v>
      </c>
    </row>
    <row r="1895" spans="2:9" ht="15" customHeight="1" x14ac:dyDescent="0.25">
      <c r="B1895" s="55" t="s">
        <v>279</v>
      </c>
      <c r="C1895" s="46">
        <v>1883</v>
      </c>
      <c r="D1895" s="69" t="s">
        <v>29416</v>
      </c>
      <c r="E1895" s="51"/>
      <c r="F1895" s="114" t="str">
        <f>IF(INDEX(I.Facility.P1IDNumber,1883)="","",INDEX(I.Facility.P1IDNumber,1883))</f>
        <v/>
      </c>
      <c r="G1895" s="51"/>
      <c r="H1895" s="46" t="str">
        <f>IF(AND(I.Developer.P1=TRUE,I.Facility.P1FacilityCount&gt;=1883,F1895=""),"Incomplete","Complete")</f>
        <v>Complete</v>
      </c>
      <c r="I1895" s="48" t="s">
        <v>6260</v>
      </c>
    </row>
    <row r="1896" spans="2:9" ht="15" customHeight="1" x14ac:dyDescent="0.25">
      <c r="B1896" s="55" t="s">
        <v>279</v>
      </c>
      <c r="C1896" s="46">
        <v>1884</v>
      </c>
      <c r="D1896" s="69" t="s">
        <v>29416</v>
      </c>
      <c r="E1896" s="51"/>
      <c r="F1896" s="114" t="str">
        <f>IF(INDEX(I.Facility.P1IDNumber,1884)="","",INDEX(I.Facility.P1IDNumber,1884))</f>
        <v/>
      </c>
      <c r="G1896" s="51"/>
      <c r="H1896" s="46" t="str">
        <f>IF(AND(I.Developer.P1=TRUE,I.Facility.P1FacilityCount&gt;=1884,F1896=""),"Incomplete","Complete")</f>
        <v>Complete</v>
      </c>
      <c r="I1896" s="48" t="s">
        <v>6261</v>
      </c>
    </row>
    <row r="1897" spans="2:9" ht="15" customHeight="1" x14ac:dyDescent="0.25">
      <c r="B1897" s="55" t="s">
        <v>279</v>
      </c>
      <c r="C1897" s="46">
        <v>1885</v>
      </c>
      <c r="D1897" s="69" t="s">
        <v>29416</v>
      </c>
      <c r="E1897" s="51"/>
      <c r="F1897" s="114" t="str">
        <f>IF(INDEX(I.Facility.P1IDNumber,1885)="","",INDEX(I.Facility.P1IDNumber,1885))</f>
        <v/>
      </c>
      <c r="G1897" s="51"/>
      <c r="H1897" s="46" t="str">
        <f>IF(AND(I.Developer.P1=TRUE,I.Facility.P1FacilityCount&gt;=1885,F1897=""),"Incomplete","Complete")</f>
        <v>Complete</v>
      </c>
      <c r="I1897" s="48" t="s">
        <v>6262</v>
      </c>
    </row>
    <row r="1898" spans="2:9" ht="15" customHeight="1" x14ac:dyDescent="0.25">
      <c r="B1898" s="55" t="s">
        <v>279</v>
      </c>
      <c r="C1898" s="46">
        <v>1886</v>
      </c>
      <c r="D1898" s="69" t="s">
        <v>29416</v>
      </c>
      <c r="E1898" s="51"/>
      <c r="F1898" s="114" t="str">
        <f>IF(INDEX(I.Facility.P1IDNumber,1886)="","",INDEX(I.Facility.P1IDNumber,1886))</f>
        <v/>
      </c>
      <c r="G1898" s="51"/>
      <c r="H1898" s="46" t="str">
        <f>IF(AND(I.Developer.P1=TRUE,I.Facility.P1FacilityCount&gt;=1886,F1898=""),"Incomplete","Complete")</f>
        <v>Complete</v>
      </c>
      <c r="I1898" s="48" t="s">
        <v>6263</v>
      </c>
    </row>
    <row r="1899" spans="2:9" ht="15" customHeight="1" x14ac:dyDescent="0.25">
      <c r="B1899" s="55" t="s">
        <v>279</v>
      </c>
      <c r="C1899" s="46">
        <v>1887</v>
      </c>
      <c r="D1899" s="69" t="s">
        <v>29416</v>
      </c>
      <c r="E1899" s="51"/>
      <c r="F1899" s="114" t="str">
        <f>IF(INDEX(I.Facility.P1IDNumber,1887)="","",INDEX(I.Facility.P1IDNumber,1887))</f>
        <v/>
      </c>
      <c r="G1899" s="51"/>
      <c r="H1899" s="46" t="str">
        <f>IF(AND(I.Developer.P1=TRUE,I.Facility.P1FacilityCount&gt;=1887,F1899=""),"Incomplete","Complete")</f>
        <v>Complete</v>
      </c>
      <c r="I1899" s="48" t="s">
        <v>6264</v>
      </c>
    </row>
    <row r="1900" spans="2:9" ht="15" customHeight="1" x14ac:dyDescent="0.25">
      <c r="B1900" s="55" t="s">
        <v>279</v>
      </c>
      <c r="C1900" s="46">
        <v>1888</v>
      </c>
      <c r="D1900" s="69" t="s">
        <v>29416</v>
      </c>
      <c r="E1900" s="51"/>
      <c r="F1900" s="114" t="str">
        <f>IF(INDEX(I.Facility.P1IDNumber,1888)="","",INDEX(I.Facility.P1IDNumber,1888))</f>
        <v/>
      </c>
      <c r="G1900" s="51"/>
      <c r="H1900" s="46" t="str">
        <f>IF(AND(I.Developer.P1=TRUE,I.Facility.P1FacilityCount&gt;=1888,F1900=""),"Incomplete","Complete")</f>
        <v>Complete</v>
      </c>
      <c r="I1900" s="48" t="s">
        <v>6265</v>
      </c>
    </row>
    <row r="1901" spans="2:9" ht="15" customHeight="1" x14ac:dyDescent="0.25">
      <c r="B1901" s="55" t="s">
        <v>279</v>
      </c>
      <c r="C1901" s="46">
        <v>1889</v>
      </c>
      <c r="D1901" s="69" t="s">
        <v>29416</v>
      </c>
      <c r="E1901" s="51"/>
      <c r="F1901" s="114" t="str">
        <f>IF(INDEX(I.Facility.P1IDNumber,1889)="","",INDEX(I.Facility.P1IDNumber,1889))</f>
        <v/>
      </c>
      <c r="G1901" s="51"/>
      <c r="H1901" s="46" t="str">
        <f>IF(AND(I.Developer.P1=TRUE,I.Facility.P1FacilityCount&gt;=1889,F1901=""),"Incomplete","Complete")</f>
        <v>Complete</v>
      </c>
      <c r="I1901" s="48" t="s">
        <v>6266</v>
      </c>
    </row>
    <row r="1902" spans="2:9" ht="15" customHeight="1" x14ac:dyDescent="0.25">
      <c r="B1902" s="55" t="s">
        <v>279</v>
      </c>
      <c r="C1902" s="46">
        <v>1890</v>
      </c>
      <c r="D1902" s="69" t="s">
        <v>29416</v>
      </c>
      <c r="E1902" s="51"/>
      <c r="F1902" s="114" t="str">
        <f>IF(INDEX(I.Facility.P1IDNumber,1890)="","",INDEX(I.Facility.P1IDNumber,1890))</f>
        <v/>
      </c>
      <c r="G1902" s="51"/>
      <c r="H1902" s="46" t="str">
        <f>IF(AND(I.Developer.P1=TRUE,I.Facility.P1FacilityCount&gt;=1890,F1902=""),"Incomplete","Complete")</f>
        <v>Complete</v>
      </c>
      <c r="I1902" s="48" t="s">
        <v>6267</v>
      </c>
    </row>
    <row r="1903" spans="2:9" ht="15" customHeight="1" x14ac:dyDescent="0.25">
      <c r="B1903" s="55" t="s">
        <v>279</v>
      </c>
      <c r="C1903" s="46">
        <v>1891</v>
      </c>
      <c r="D1903" s="69" t="s">
        <v>29416</v>
      </c>
      <c r="E1903" s="51"/>
      <c r="F1903" s="114" t="str">
        <f>IF(INDEX(I.Facility.P1IDNumber,1891)="","",INDEX(I.Facility.P1IDNumber,1891))</f>
        <v/>
      </c>
      <c r="G1903" s="51"/>
      <c r="H1903" s="46" t="str">
        <f>IF(AND(I.Developer.P1=TRUE,I.Facility.P1FacilityCount&gt;=1891,F1903=""),"Incomplete","Complete")</f>
        <v>Complete</v>
      </c>
      <c r="I1903" s="48" t="s">
        <v>6268</v>
      </c>
    </row>
    <row r="1904" spans="2:9" ht="15" customHeight="1" x14ac:dyDescent="0.25">
      <c r="B1904" s="55" t="s">
        <v>279</v>
      </c>
      <c r="C1904" s="46">
        <v>1892</v>
      </c>
      <c r="D1904" s="69" t="s">
        <v>29416</v>
      </c>
      <c r="E1904" s="51"/>
      <c r="F1904" s="114" t="str">
        <f>IF(INDEX(I.Facility.P1IDNumber,1892)="","",INDEX(I.Facility.P1IDNumber,1892))</f>
        <v/>
      </c>
      <c r="G1904" s="51"/>
      <c r="H1904" s="46" t="str">
        <f>IF(AND(I.Developer.P1=TRUE,I.Facility.P1FacilityCount&gt;=1892,F1904=""),"Incomplete","Complete")</f>
        <v>Complete</v>
      </c>
      <c r="I1904" s="48" t="s">
        <v>6269</v>
      </c>
    </row>
    <row r="1905" spans="2:9" ht="15" customHeight="1" x14ac:dyDescent="0.25">
      <c r="B1905" s="55" t="s">
        <v>279</v>
      </c>
      <c r="C1905" s="46">
        <v>1893</v>
      </c>
      <c r="D1905" s="69" t="s">
        <v>29416</v>
      </c>
      <c r="E1905" s="51"/>
      <c r="F1905" s="114" t="str">
        <f>IF(INDEX(I.Facility.P1IDNumber,1893)="","",INDEX(I.Facility.P1IDNumber,1893))</f>
        <v/>
      </c>
      <c r="G1905" s="51"/>
      <c r="H1905" s="46" t="str">
        <f>IF(AND(I.Developer.P1=TRUE,I.Facility.P1FacilityCount&gt;=1893,F1905=""),"Incomplete","Complete")</f>
        <v>Complete</v>
      </c>
      <c r="I1905" s="48" t="s">
        <v>6270</v>
      </c>
    </row>
    <row r="1906" spans="2:9" ht="15" customHeight="1" x14ac:dyDescent="0.25">
      <c r="B1906" s="55" t="s">
        <v>279</v>
      </c>
      <c r="C1906" s="46">
        <v>1894</v>
      </c>
      <c r="D1906" s="69" t="s">
        <v>29416</v>
      </c>
      <c r="E1906" s="51"/>
      <c r="F1906" s="114" t="str">
        <f>IF(INDEX(I.Facility.P1IDNumber,1894)="","",INDEX(I.Facility.P1IDNumber,1894))</f>
        <v/>
      </c>
      <c r="G1906" s="51"/>
      <c r="H1906" s="46" t="str">
        <f>IF(AND(I.Developer.P1=TRUE,I.Facility.P1FacilityCount&gt;=1894,F1906=""),"Incomplete","Complete")</f>
        <v>Complete</v>
      </c>
      <c r="I1906" s="48" t="s">
        <v>6271</v>
      </c>
    </row>
    <row r="1907" spans="2:9" ht="15" customHeight="1" x14ac:dyDescent="0.25">
      <c r="B1907" s="55" t="s">
        <v>279</v>
      </c>
      <c r="C1907" s="46">
        <v>1895</v>
      </c>
      <c r="D1907" s="69" t="s">
        <v>29416</v>
      </c>
      <c r="E1907" s="51"/>
      <c r="F1907" s="114" t="str">
        <f>IF(INDEX(I.Facility.P1IDNumber,1895)="","",INDEX(I.Facility.P1IDNumber,1895))</f>
        <v/>
      </c>
      <c r="G1907" s="51"/>
      <c r="H1907" s="46" t="str">
        <f>IF(AND(I.Developer.P1=TRUE,I.Facility.P1FacilityCount&gt;=1895,F1907=""),"Incomplete","Complete")</f>
        <v>Complete</v>
      </c>
      <c r="I1907" s="48" t="s">
        <v>6272</v>
      </c>
    </row>
    <row r="1908" spans="2:9" ht="15" customHeight="1" x14ac:dyDescent="0.25">
      <c r="B1908" s="55" t="s">
        <v>279</v>
      </c>
      <c r="C1908" s="46">
        <v>1896</v>
      </c>
      <c r="D1908" s="69" t="s">
        <v>29416</v>
      </c>
      <c r="E1908" s="51"/>
      <c r="F1908" s="114" t="str">
        <f>IF(INDEX(I.Facility.P1IDNumber,1896)="","",INDEX(I.Facility.P1IDNumber,1896))</f>
        <v/>
      </c>
      <c r="G1908" s="51"/>
      <c r="H1908" s="46" t="str">
        <f>IF(AND(I.Developer.P1=TRUE,I.Facility.P1FacilityCount&gt;=1896,F1908=""),"Incomplete","Complete")</f>
        <v>Complete</v>
      </c>
      <c r="I1908" s="48" t="s">
        <v>6273</v>
      </c>
    </row>
    <row r="1909" spans="2:9" ht="15" customHeight="1" x14ac:dyDescent="0.25">
      <c r="B1909" s="55" t="s">
        <v>279</v>
      </c>
      <c r="C1909" s="46">
        <v>1897</v>
      </c>
      <c r="D1909" s="69" t="s">
        <v>29416</v>
      </c>
      <c r="E1909" s="51"/>
      <c r="F1909" s="114" t="str">
        <f>IF(INDEX(I.Facility.P1IDNumber,1897)="","",INDEX(I.Facility.P1IDNumber,1897))</f>
        <v/>
      </c>
      <c r="G1909" s="51"/>
      <c r="H1909" s="46" t="str">
        <f>IF(AND(I.Developer.P1=TRUE,I.Facility.P1FacilityCount&gt;=1897,F1909=""),"Incomplete","Complete")</f>
        <v>Complete</v>
      </c>
      <c r="I1909" s="48" t="s">
        <v>6274</v>
      </c>
    </row>
    <row r="1910" spans="2:9" ht="15" customHeight="1" x14ac:dyDescent="0.25">
      <c r="B1910" s="55" t="s">
        <v>279</v>
      </c>
      <c r="C1910" s="46">
        <v>1898</v>
      </c>
      <c r="D1910" s="69" t="s">
        <v>29416</v>
      </c>
      <c r="E1910" s="51"/>
      <c r="F1910" s="114" t="str">
        <f>IF(INDEX(I.Facility.P1IDNumber,1898)="","",INDEX(I.Facility.P1IDNumber,1898))</f>
        <v/>
      </c>
      <c r="G1910" s="51"/>
      <c r="H1910" s="46" t="str">
        <f>IF(AND(I.Developer.P1=TRUE,I.Facility.P1FacilityCount&gt;=1898,F1910=""),"Incomplete","Complete")</f>
        <v>Complete</v>
      </c>
      <c r="I1910" s="48" t="s">
        <v>6275</v>
      </c>
    </row>
    <row r="1911" spans="2:9" ht="15" customHeight="1" x14ac:dyDescent="0.25">
      <c r="B1911" s="55" t="s">
        <v>279</v>
      </c>
      <c r="C1911" s="46">
        <v>1899</v>
      </c>
      <c r="D1911" s="69" t="s">
        <v>29416</v>
      </c>
      <c r="E1911" s="51"/>
      <c r="F1911" s="114" t="str">
        <f>IF(INDEX(I.Facility.P1IDNumber,1899)="","",INDEX(I.Facility.P1IDNumber,1899))</f>
        <v/>
      </c>
      <c r="G1911" s="51"/>
      <c r="H1911" s="46" t="str">
        <f>IF(AND(I.Developer.P1=TRUE,I.Facility.P1FacilityCount&gt;=1899,F1911=""),"Incomplete","Complete")</f>
        <v>Complete</v>
      </c>
      <c r="I1911" s="48" t="s">
        <v>6276</v>
      </c>
    </row>
    <row r="1912" spans="2:9" ht="15" customHeight="1" x14ac:dyDescent="0.25">
      <c r="B1912" s="55" t="s">
        <v>279</v>
      </c>
      <c r="C1912" s="46">
        <v>1900</v>
      </c>
      <c r="D1912" s="69" t="s">
        <v>29416</v>
      </c>
      <c r="E1912" s="51"/>
      <c r="F1912" s="114" t="str">
        <f>IF(INDEX(I.Facility.P1IDNumber,1900)="","",INDEX(I.Facility.P1IDNumber,1900))</f>
        <v/>
      </c>
      <c r="G1912" s="51"/>
      <c r="H1912" s="46" t="str">
        <f>IF(AND(I.Developer.P1=TRUE,I.Facility.P1FacilityCount&gt;=1900,F1912=""),"Incomplete","Complete")</f>
        <v>Complete</v>
      </c>
      <c r="I1912" s="48" t="s">
        <v>6277</v>
      </c>
    </row>
    <row r="1913" spans="2:9" ht="15" customHeight="1" x14ac:dyDescent="0.25">
      <c r="B1913" s="55" t="s">
        <v>279</v>
      </c>
      <c r="C1913" s="46">
        <v>1901</v>
      </c>
      <c r="D1913" s="69" t="s">
        <v>29416</v>
      </c>
      <c r="E1913" s="51"/>
      <c r="F1913" s="114" t="str">
        <f>IF(INDEX(I.Facility.P1IDNumber,1901)="","",INDEX(I.Facility.P1IDNumber,1901))</f>
        <v/>
      </c>
      <c r="G1913" s="51"/>
      <c r="H1913" s="46" t="str">
        <f>IF(AND(I.Developer.P1=TRUE,I.Facility.P1FacilityCount&gt;=1901,F1913=""),"Incomplete","Complete")</f>
        <v>Complete</v>
      </c>
      <c r="I1913" s="48" t="s">
        <v>6278</v>
      </c>
    </row>
    <row r="1914" spans="2:9" ht="15" customHeight="1" x14ac:dyDescent="0.25">
      <c r="B1914" s="55" t="s">
        <v>279</v>
      </c>
      <c r="C1914" s="46">
        <v>1902</v>
      </c>
      <c r="D1914" s="69" t="s">
        <v>29416</v>
      </c>
      <c r="E1914" s="51"/>
      <c r="F1914" s="114" t="str">
        <f>IF(INDEX(I.Facility.P1IDNumber,1902)="","",INDEX(I.Facility.P1IDNumber,1902))</f>
        <v/>
      </c>
      <c r="G1914" s="51"/>
      <c r="H1914" s="46" t="str">
        <f>IF(AND(I.Developer.P1=TRUE,I.Facility.P1FacilityCount&gt;=1902,F1914=""),"Incomplete","Complete")</f>
        <v>Complete</v>
      </c>
      <c r="I1914" s="48" t="s">
        <v>6279</v>
      </c>
    </row>
    <row r="1915" spans="2:9" ht="15" customHeight="1" x14ac:dyDescent="0.25">
      <c r="B1915" s="55" t="s">
        <v>279</v>
      </c>
      <c r="C1915" s="46">
        <v>1903</v>
      </c>
      <c r="D1915" s="69" t="s">
        <v>29416</v>
      </c>
      <c r="E1915" s="51"/>
      <c r="F1915" s="114" t="str">
        <f>IF(INDEX(I.Facility.P1IDNumber,1903)="","",INDEX(I.Facility.P1IDNumber,1903))</f>
        <v/>
      </c>
      <c r="G1915" s="51"/>
      <c r="H1915" s="46" t="str">
        <f>IF(AND(I.Developer.P1=TRUE,I.Facility.P1FacilityCount&gt;=1903,F1915=""),"Incomplete","Complete")</f>
        <v>Complete</v>
      </c>
      <c r="I1915" s="48" t="s">
        <v>6280</v>
      </c>
    </row>
    <row r="1916" spans="2:9" ht="15" customHeight="1" x14ac:dyDescent="0.25">
      <c r="B1916" s="55" t="s">
        <v>279</v>
      </c>
      <c r="C1916" s="46">
        <v>1904</v>
      </c>
      <c r="D1916" s="69" t="s">
        <v>29416</v>
      </c>
      <c r="E1916" s="51"/>
      <c r="F1916" s="114" t="str">
        <f>IF(INDEX(I.Facility.P1IDNumber,1904)="","",INDEX(I.Facility.P1IDNumber,1904))</f>
        <v/>
      </c>
      <c r="G1916" s="51"/>
      <c r="H1916" s="46" t="str">
        <f>IF(AND(I.Developer.P1=TRUE,I.Facility.P1FacilityCount&gt;=1904,F1916=""),"Incomplete","Complete")</f>
        <v>Complete</v>
      </c>
      <c r="I1916" s="48" t="s">
        <v>6281</v>
      </c>
    </row>
    <row r="1917" spans="2:9" ht="15" customHeight="1" x14ac:dyDescent="0.25">
      <c r="B1917" s="55" t="s">
        <v>279</v>
      </c>
      <c r="C1917" s="46">
        <v>1905</v>
      </c>
      <c r="D1917" s="69" t="s">
        <v>29416</v>
      </c>
      <c r="E1917" s="51"/>
      <c r="F1917" s="114" t="str">
        <f>IF(INDEX(I.Facility.P1IDNumber,1905)="","",INDEX(I.Facility.P1IDNumber,1905))</f>
        <v/>
      </c>
      <c r="G1917" s="51"/>
      <c r="H1917" s="46" t="str">
        <f>IF(AND(I.Developer.P1=TRUE,I.Facility.P1FacilityCount&gt;=1905,F1917=""),"Incomplete","Complete")</f>
        <v>Complete</v>
      </c>
      <c r="I1917" s="48" t="s">
        <v>6282</v>
      </c>
    </row>
    <row r="1918" spans="2:9" ht="15" customHeight="1" x14ac:dyDescent="0.25">
      <c r="B1918" s="55" t="s">
        <v>279</v>
      </c>
      <c r="C1918" s="46">
        <v>1906</v>
      </c>
      <c r="D1918" s="69" t="s">
        <v>29416</v>
      </c>
      <c r="E1918" s="51"/>
      <c r="F1918" s="114" t="str">
        <f>IF(INDEX(I.Facility.P1IDNumber,1906)="","",INDEX(I.Facility.P1IDNumber,1906))</f>
        <v/>
      </c>
      <c r="G1918" s="51"/>
      <c r="H1918" s="46" t="str">
        <f>IF(AND(I.Developer.P1=TRUE,I.Facility.P1FacilityCount&gt;=1906,F1918=""),"Incomplete","Complete")</f>
        <v>Complete</v>
      </c>
      <c r="I1918" s="48" t="s">
        <v>6283</v>
      </c>
    </row>
    <row r="1919" spans="2:9" ht="15" customHeight="1" x14ac:dyDescent="0.25">
      <c r="B1919" s="55" t="s">
        <v>279</v>
      </c>
      <c r="C1919" s="46">
        <v>1907</v>
      </c>
      <c r="D1919" s="69" t="s">
        <v>29416</v>
      </c>
      <c r="E1919" s="51"/>
      <c r="F1919" s="114" t="str">
        <f>IF(INDEX(I.Facility.P1IDNumber,1907)="","",INDEX(I.Facility.P1IDNumber,1907))</f>
        <v/>
      </c>
      <c r="G1919" s="51"/>
      <c r="H1919" s="46" t="str">
        <f>IF(AND(I.Developer.P1=TRUE,I.Facility.P1FacilityCount&gt;=1907,F1919=""),"Incomplete","Complete")</f>
        <v>Complete</v>
      </c>
      <c r="I1919" s="48" t="s">
        <v>6284</v>
      </c>
    </row>
    <row r="1920" spans="2:9" ht="15" customHeight="1" x14ac:dyDescent="0.25">
      <c r="B1920" s="55" t="s">
        <v>279</v>
      </c>
      <c r="C1920" s="46">
        <v>1908</v>
      </c>
      <c r="D1920" s="69" t="s">
        <v>29416</v>
      </c>
      <c r="E1920" s="51"/>
      <c r="F1920" s="114" t="str">
        <f>IF(INDEX(I.Facility.P1IDNumber,1908)="","",INDEX(I.Facility.P1IDNumber,1908))</f>
        <v/>
      </c>
      <c r="G1920" s="51"/>
      <c r="H1920" s="46" t="str">
        <f>IF(AND(I.Developer.P1=TRUE,I.Facility.P1FacilityCount&gt;=1908,F1920=""),"Incomplete","Complete")</f>
        <v>Complete</v>
      </c>
      <c r="I1920" s="48" t="s">
        <v>6285</v>
      </c>
    </row>
    <row r="1921" spans="2:9" ht="15" customHeight="1" x14ac:dyDescent="0.25">
      <c r="B1921" s="55" t="s">
        <v>279</v>
      </c>
      <c r="C1921" s="46">
        <v>1909</v>
      </c>
      <c r="D1921" s="69" t="s">
        <v>29416</v>
      </c>
      <c r="E1921" s="51"/>
      <c r="F1921" s="114" t="str">
        <f>IF(INDEX(I.Facility.P1IDNumber,1909)="","",INDEX(I.Facility.P1IDNumber,1909))</f>
        <v/>
      </c>
      <c r="G1921" s="51"/>
      <c r="H1921" s="46" t="str">
        <f>IF(AND(I.Developer.P1=TRUE,I.Facility.P1FacilityCount&gt;=1909,F1921=""),"Incomplete","Complete")</f>
        <v>Complete</v>
      </c>
      <c r="I1921" s="48" t="s">
        <v>6286</v>
      </c>
    </row>
    <row r="1922" spans="2:9" ht="15" customHeight="1" x14ac:dyDescent="0.25">
      <c r="B1922" s="55" t="s">
        <v>279</v>
      </c>
      <c r="C1922" s="46">
        <v>1910</v>
      </c>
      <c r="D1922" s="69" t="s">
        <v>29416</v>
      </c>
      <c r="E1922" s="51"/>
      <c r="F1922" s="114" t="str">
        <f>IF(INDEX(I.Facility.P1IDNumber,1910)="","",INDEX(I.Facility.P1IDNumber,1910))</f>
        <v/>
      </c>
      <c r="G1922" s="51"/>
      <c r="H1922" s="46" t="str">
        <f>IF(AND(I.Developer.P1=TRUE,I.Facility.P1FacilityCount&gt;=1910,F1922=""),"Incomplete","Complete")</f>
        <v>Complete</v>
      </c>
      <c r="I1922" s="48" t="s">
        <v>6287</v>
      </c>
    </row>
    <row r="1923" spans="2:9" ht="15" customHeight="1" x14ac:dyDescent="0.25">
      <c r="B1923" s="55" t="s">
        <v>279</v>
      </c>
      <c r="C1923" s="46">
        <v>1911</v>
      </c>
      <c r="D1923" s="69" t="s">
        <v>29416</v>
      </c>
      <c r="E1923" s="51"/>
      <c r="F1923" s="114" t="str">
        <f>IF(INDEX(I.Facility.P1IDNumber,1911)="","",INDEX(I.Facility.P1IDNumber,1911))</f>
        <v/>
      </c>
      <c r="G1923" s="51"/>
      <c r="H1923" s="46" t="str">
        <f>IF(AND(I.Developer.P1=TRUE,I.Facility.P1FacilityCount&gt;=1911,F1923=""),"Incomplete","Complete")</f>
        <v>Complete</v>
      </c>
      <c r="I1923" s="48" t="s">
        <v>6288</v>
      </c>
    </row>
    <row r="1924" spans="2:9" ht="15" customHeight="1" x14ac:dyDescent="0.25">
      <c r="B1924" s="55" t="s">
        <v>279</v>
      </c>
      <c r="C1924" s="46">
        <v>1912</v>
      </c>
      <c r="D1924" s="69" t="s">
        <v>29416</v>
      </c>
      <c r="E1924" s="51"/>
      <c r="F1924" s="114" t="str">
        <f>IF(INDEX(I.Facility.P1IDNumber,1912)="","",INDEX(I.Facility.P1IDNumber,1912))</f>
        <v/>
      </c>
      <c r="G1924" s="51"/>
      <c r="H1924" s="46" t="str">
        <f>IF(AND(I.Developer.P1=TRUE,I.Facility.P1FacilityCount&gt;=1912,F1924=""),"Incomplete","Complete")</f>
        <v>Complete</v>
      </c>
      <c r="I1924" s="48" t="s">
        <v>6289</v>
      </c>
    </row>
    <row r="1925" spans="2:9" ht="15" customHeight="1" x14ac:dyDescent="0.25">
      <c r="B1925" s="55" t="s">
        <v>279</v>
      </c>
      <c r="C1925" s="46">
        <v>1913</v>
      </c>
      <c r="D1925" s="69" t="s">
        <v>29416</v>
      </c>
      <c r="E1925" s="51"/>
      <c r="F1925" s="114" t="str">
        <f>IF(INDEX(I.Facility.P1IDNumber,1913)="","",INDEX(I.Facility.P1IDNumber,1913))</f>
        <v/>
      </c>
      <c r="G1925" s="51"/>
      <c r="H1925" s="46" t="str">
        <f>IF(AND(I.Developer.P1=TRUE,I.Facility.P1FacilityCount&gt;=1913,F1925=""),"Incomplete","Complete")</f>
        <v>Complete</v>
      </c>
      <c r="I1925" s="48" t="s">
        <v>6290</v>
      </c>
    </row>
    <row r="1926" spans="2:9" ht="15" customHeight="1" x14ac:dyDescent="0.25">
      <c r="B1926" s="55" t="s">
        <v>279</v>
      </c>
      <c r="C1926" s="46">
        <v>1914</v>
      </c>
      <c r="D1926" s="69" t="s">
        <v>29416</v>
      </c>
      <c r="E1926" s="51"/>
      <c r="F1926" s="114" t="str">
        <f>IF(INDEX(I.Facility.P1IDNumber,1914)="","",INDEX(I.Facility.P1IDNumber,1914))</f>
        <v/>
      </c>
      <c r="G1926" s="51"/>
      <c r="H1926" s="46" t="str">
        <f>IF(AND(I.Developer.P1=TRUE,I.Facility.P1FacilityCount&gt;=1914,F1926=""),"Incomplete","Complete")</f>
        <v>Complete</v>
      </c>
      <c r="I1926" s="48" t="s">
        <v>6291</v>
      </c>
    </row>
    <row r="1927" spans="2:9" ht="15" customHeight="1" x14ac:dyDescent="0.25">
      <c r="B1927" s="55" t="s">
        <v>279</v>
      </c>
      <c r="C1927" s="46">
        <v>1915</v>
      </c>
      <c r="D1927" s="69" t="s">
        <v>29416</v>
      </c>
      <c r="E1927" s="51"/>
      <c r="F1927" s="114" t="str">
        <f>IF(INDEX(I.Facility.P1IDNumber,1915)="","",INDEX(I.Facility.P1IDNumber,1915))</f>
        <v/>
      </c>
      <c r="G1927" s="51"/>
      <c r="H1927" s="46" t="str">
        <f>IF(AND(I.Developer.P1=TRUE,I.Facility.P1FacilityCount&gt;=1915,F1927=""),"Incomplete","Complete")</f>
        <v>Complete</v>
      </c>
      <c r="I1927" s="48" t="s">
        <v>6292</v>
      </c>
    </row>
    <row r="1928" spans="2:9" ht="15" customHeight="1" x14ac:dyDescent="0.25">
      <c r="B1928" s="55" t="s">
        <v>279</v>
      </c>
      <c r="C1928" s="46">
        <v>1916</v>
      </c>
      <c r="D1928" s="69" t="s">
        <v>29416</v>
      </c>
      <c r="E1928" s="51"/>
      <c r="F1928" s="114" t="str">
        <f>IF(INDEX(I.Facility.P1IDNumber,1916)="","",INDEX(I.Facility.P1IDNumber,1916))</f>
        <v/>
      </c>
      <c r="G1928" s="51"/>
      <c r="H1928" s="46" t="str">
        <f>IF(AND(I.Developer.P1=TRUE,I.Facility.P1FacilityCount&gt;=1916,F1928=""),"Incomplete","Complete")</f>
        <v>Complete</v>
      </c>
      <c r="I1928" s="48" t="s">
        <v>6293</v>
      </c>
    </row>
    <row r="1929" spans="2:9" ht="15" customHeight="1" x14ac:dyDescent="0.25">
      <c r="B1929" s="55" t="s">
        <v>279</v>
      </c>
      <c r="C1929" s="46">
        <v>1917</v>
      </c>
      <c r="D1929" s="69" t="s">
        <v>29416</v>
      </c>
      <c r="E1929" s="51"/>
      <c r="F1929" s="114" t="str">
        <f>IF(INDEX(I.Facility.P1IDNumber,1917)="","",INDEX(I.Facility.P1IDNumber,1917))</f>
        <v/>
      </c>
      <c r="G1929" s="51"/>
      <c r="H1929" s="46" t="str">
        <f>IF(AND(I.Developer.P1=TRUE,I.Facility.P1FacilityCount&gt;=1917,F1929=""),"Incomplete","Complete")</f>
        <v>Complete</v>
      </c>
      <c r="I1929" s="48" t="s">
        <v>6294</v>
      </c>
    </row>
    <row r="1930" spans="2:9" ht="15" customHeight="1" x14ac:dyDescent="0.25">
      <c r="B1930" s="55" t="s">
        <v>279</v>
      </c>
      <c r="C1930" s="46">
        <v>1918</v>
      </c>
      <c r="D1930" s="69" t="s">
        <v>29416</v>
      </c>
      <c r="E1930" s="51"/>
      <c r="F1930" s="114" t="str">
        <f>IF(INDEX(I.Facility.P1IDNumber,1918)="","",INDEX(I.Facility.P1IDNumber,1918))</f>
        <v/>
      </c>
      <c r="G1930" s="51"/>
      <c r="H1930" s="46" t="str">
        <f>IF(AND(I.Developer.P1=TRUE,I.Facility.P1FacilityCount&gt;=1918,F1930=""),"Incomplete","Complete")</f>
        <v>Complete</v>
      </c>
      <c r="I1930" s="48" t="s">
        <v>6295</v>
      </c>
    </row>
    <row r="1931" spans="2:9" ht="15" customHeight="1" x14ac:dyDescent="0.25">
      <c r="B1931" s="55" t="s">
        <v>279</v>
      </c>
      <c r="C1931" s="46">
        <v>1919</v>
      </c>
      <c r="D1931" s="69" t="s">
        <v>29416</v>
      </c>
      <c r="E1931" s="51"/>
      <c r="F1931" s="114" t="str">
        <f>IF(INDEX(I.Facility.P1IDNumber,1919)="","",INDEX(I.Facility.P1IDNumber,1919))</f>
        <v/>
      </c>
      <c r="G1931" s="51"/>
      <c r="H1931" s="46" t="str">
        <f>IF(AND(I.Developer.P1=TRUE,I.Facility.P1FacilityCount&gt;=1919,F1931=""),"Incomplete","Complete")</f>
        <v>Complete</v>
      </c>
      <c r="I1931" s="48" t="s">
        <v>6296</v>
      </c>
    </row>
    <row r="1932" spans="2:9" ht="15" customHeight="1" x14ac:dyDescent="0.25">
      <c r="B1932" s="55" t="s">
        <v>279</v>
      </c>
      <c r="C1932" s="46">
        <v>1920</v>
      </c>
      <c r="D1932" s="69" t="s">
        <v>29416</v>
      </c>
      <c r="E1932" s="51"/>
      <c r="F1932" s="114" t="str">
        <f>IF(INDEX(I.Facility.P1IDNumber,1920)="","",INDEX(I.Facility.P1IDNumber,1920))</f>
        <v/>
      </c>
      <c r="G1932" s="51"/>
      <c r="H1932" s="46" t="str">
        <f>IF(AND(I.Developer.P1=TRUE,I.Facility.P1FacilityCount&gt;=1920,F1932=""),"Incomplete","Complete")</f>
        <v>Complete</v>
      </c>
      <c r="I1932" s="48" t="s">
        <v>6297</v>
      </c>
    </row>
    <row r="1933" spans="2:9" ht="15" customHeight="1" x14ac:dyDescent="0.25">
      <c r="B1933" s="55" t="s">
        <v>279</v>
      </c>
      <c r="C1933" s="46">
        <v>1921</v>
      </c>
      <c r="D1933" s="69" t="s">
        <v>29416</v>
      </c>
      <c r="E1933" s="51"/>
      <c r="F1933" s="114" t="str">
        <f>IF(INDEX(I.Facility.P1IDNumber,1921)="","",INDEX(I.Facility.P1IDNumber,1921))</f>
        <v/>
      </c>
      <c r="G1933" s="51"/>
      <c r="H1933" s="46" t="str">
        <f>IF(AND(I.Developer.P1=TRUE,I.Facility.P1FacilityCount&gt;=1921,F1933=""),"Incomplete","Complete")</f>
        <v>Complete</v>
      </c>
      <c r="I1933" s="48" t="s">
        <v>6298</v>
      </c>
    </row>
    <row r="1934" spans="2:9" ht="15" customHeight="1" x14ac:dyDescent="0.25">
      <c r="B1934" s="55" t="s">
        <v>279</v>
      </c>
      <c r="C1934" s="46">
        <v>1922</v>
      </c>
      <c r="D1934" s="69" t="s">
        <v>29416</v>
      </c>
      <c r="E1934" s="51"/>
      <c r="F1934" s="114" t="str">
        <f>IF(INDEX(I.Facility.P1IDNumber,1922)="","",INDEX(I.Facility.P1IDNumber,1922))</f>
        <v/>
      </c>
      <c r="G1934" s="51"/>
      <c r="H1934" s="46" t="str">
        <f>IF(AND(I.Developer.P1=TRUE,I.Facility.P1FacilityCount&gt;=1922,F1934=""),"Incomplete","Complete")</f>
        <v>Complete</v>
      </c>
      <c r="I1934" s="48" t="s">
        <v>6299</v>
      </c>
    </row>
    <row r="1935" spans="2:9" ht="15" customHeight="1" x14ac:dyDescent="0.25">
      <c r="B1935" s="55" t="s">
        <v>279</v>
      </c>
      <c r="C1935" s="46">
        <v>1923</v>
      </c>
      <c r="D1935" s="69" t="s">
        <v>29416</v>
      </c>
      <c r="E1935" s="51"/>
      <c r="F1935" s="114" t="str">
        <f>IF(INDEX(I.Facility.P1IDNumber,1923)="","",INDEX(I.Facility.P1IDNumber,1923))</f>
        <v/>
      </c>
      <c r="G1935" s="51"/>
      <c r="H1935" s="46" t="str">
        <f>IF(AND(I.Developer.P1=TRUE,I.Facility.P1FacilityCount&gt;=1923,F1935=""),"Incomplete","Complete")</f>
        <v>Complete</v>
      </c>
      <c r="I1935" s="48" t="s">
        <v>6300</v>
      </c>
    </row>
    <row r="1936" spans="2:9" ht="15" customHeight="1" x14ac:dyDescent="0.25">
      <c r="B1936" s="55" t="s">
        <v>279</v>
      </c>
      <c r="C1936" s="46">
        <v>1924</v>
      </c>
      <c r="D1936" s="69" t="s">
        <v>29416</v>
      </c>
      <c r="E1936" s="51"/>
      <c r="F1936" s="114" t="str">
        <f>IF(INDEX(I.Facility.P1IDNumber,1924)="","",INDEX(I.Facility.P1IDNumber,1924))</f>
        <v/>
      </c>
      <c r="G1936" s="51"/>
      <c r="H1936" s="46" t="str">
        <f>IF(AND(I.Developer.P1=TRUE,I.Facility.P1FacilityCount&gt;=1924,F1936=""),"Incomplete","Complete")</f>
        <v>Complete</v>
      </c>
      <c r="I1936" s="48" t="s">
        <v>6301</v>
      </c>
    </row>
    <row r="1937" spans="2:9" ht="15" customHeight="1" x14ac:dyDescent="0.25">
      <c r="B1937" s="55" t="s">
        <v>279</v>
      </c>
      <c r="C1937" s="46">
        <v>1925</v>
      </c>
      <c r="D1937" s="69" t="s">
        <v>29416</v>
      </c>
      <c r="E1937" s="51"/>
      <c r="F1937" s="114" t="str">
        <f>IF(INDEX(I.Facility.P1IDNumber,1925)="","",INDEX(I.Facility.P1IDNumber,1925))</f>
        <v/>
      </c>
      <c r="G1937" s="51"/>
      <c r="H1937" s="46" t="str">
        <f>IF(AND(I.Developer.P1=TRUE,I.Facility.P1FacilityCount&gt;=1925,F1937=""),"Incomplete","Complete")</f>
        <v>Complete</v>
      </c>
      <c r="I1937" s="48" t="s">
        <v>6302</v>
      </c>
    </row>
    <row r="1938" spans="2:9" ht="15" customHeight="1" x14ac:dyDescent="0.25">
      <c r="B1938" s="55" t="s">
        <v>279</v>
      </c>
      <c r="C1938" s="46">
        <v>1926</v>
      </c>
      <c r="D1938" s="69" t="s">
        <v>29416</v>
      </c>
      <c r="E1938" s="51"/>
      <c r="F1938" s="114" t="str">
        <f>IF(INDEX(I.Facility.P1IDNumber,1926)="","",INDEX(I.Facility.P1IDNumber,1926))</f>
        <v/>
      </c>
      <c r="G1938" s="51"/>
      <c r="H1938" s="46" t="str">
        <f>IF(AND(I.Developer.P1=TRUE,I.Facility.P1FacilityCount&gt;=1926,F1938=""),"Incomplete","Complete")</f>
        <v>Complete</v>
      </c>
      <c r="I1938" s="48" t="s">
        <v>6303</v>
      </c>
    </row>
    <row r="1939" spans="2:9" ht="15" customHeight="1" x14ac:dyDescent="0.25">
      <c r="B1939" s="55" t="s">
        <v>279</v>
      </c>
      <c r="C1939" s="46">
        <v>1927</v>
      </c>
      <c r="D1939" s="69" t="s">
        <v>29416</v>
      </c>
      <c r="E1939" s="51"/>
      <c r="F1939" s="114" t="str">
        <f>IF(INDEX(I.Facility.P1IDNumber,1927)="","",INDEX(I.Facility.P1IDNumber,1927))</f>
        <v/>
      </c>
      <c r="G1939" s="51"/>
      <c r="H1939" s="46" t="str">
        <f>IF(AND(I.Developer.P1=TRUE,I.Facility.P1FacilityCount&gt;=1927,F1939=""),"Incomplete","Complete")</f>
        <v>Complete</v>
      </c>
      <c r="I1939" s="48" t="s">
        <v>6304</v>
      </c>
    </row>
    <row r="1940" spans="2:9" ht="15" customHeight="1" x14ac:dyDescent="0.25">
      <c r="B1940" s="55" t="s">
        <v>279</v>
      </c>
      <c r="C1940" s="46">
        <v>1928</v>
      </c>
      <c r="D1940" s="69" t="s">
        <v>29416</v>
      </c>
      <c r="E1940" s="51"/>
      <c r="F1940" s="114" t="str">
        <f>IF(INDEX(I.Facility.P1IDNumber,1928)="","",INDEX(I.Facility.P1IDNumber,1928))</f>
        <v/>
      </c>
      <c r="G1940" s="51"/>
      <c r="H1940" s="46" t="str">
        <f>IF(AND(I.Developer.P1=TRUE,I.Facility.P1FacilityCount&gt;=1928,F1940=""),"Incomplete","Complete")</f>
        <v>Complete</v>
      </c>
      <c r="I1940" s="48" t="s">
        <v>6305</v>
      </c>
    </row>
    <row r="1941" spans="2:9" ht="15" customHeight="1" x14ac:dyDescent="0.25">
      <c r="B1941" s="55" t="s">
        <v>279</v>
      </c>
      <c r="C1941" s="46">
        <v>1929</v>
      </c>
      <c r="D1941" s="69" t="s">
        <v>29416</v>
      </c>
      <c r="E1941" s="51"/>
      <c r="F1941" s="114" t="str">
        <f>IF(INDEX(I.Facility.P1IDNumber,1929)="","",INDEX(I.Facility.P1IDNumber,1929))</f>
        <v/>
      </c>
      <c r="G1941" s="51"/>
      <c r="H1941" s="46" t="str">
        <f>IF(AND(I.Developer.P1=TRUE,I.Facility.P1FacilityCount&gt;=1929,F1941=""),"Incomplete","Complete")</f>
        <v>Complete</v>
      </c>
      <c r="I1941" s="48" t="s">
        <v>6306</v>
      </c>
    </row>
    <row r="1942" spans="2:9" ht="15" customHeight="1" x14ac:dyDescent="0.25">
      <c r="B1942" s="55" t="s">
        <v>279</v>
      </c>
      <c r="C1942" s="46">
        <v>1930</v>
      </c>
      <c r="D1942" s="69" t="s">
        <v>29416</v>
      </c>
      <c r="E1942" s="51"/>
      <c r="F1942" s="114" t="str">
        <f>IF(INDEX(I.Facility.P1IDNumber,1930)="","",INDEX(I.Facility.P1IDNumber,1930))</f>
        <v/>
      </c>
      <c r="G1942" s="51"/>
      <c r="H1942" s="46" t="str">
        <f>IF(AND(I.Developer.P1=TRUE,I.Facility.P1FacilityCount&gt;=1930,F1942=""),"Incomplete","Complete")</f>
        <v>Complete</v>
      </c>
      <c r="I1942" s="48" t="s">
        <v>6307</v>
      </c>
    </row>
    <row r="1943" spans="2:9" ht="15" customHeight="1" x14ac:dyDescent="0.25">
      <c r="B1943" s="55" t="s">
        <v>279</v>
      </c>
      <c r="C1943" s="46">
        <v>1931</v>
      </c>
      <c r="D1943" s="69" t="s">
        <v>29416</v>
      </c>
      <c r="E1943" s="51"/>
      <c r="F1943" s="114" t="str">
        <f>IF(INDEX(I.Facility.P1IDNumber,1931)="","",INDEX(I.Facility.P1IDNumber,1931))</f>
        <v/>
      </c>
      <c r="G1943" s="51"/>
      <c r="H1943" s="46" t="str">
        <f>IF(AND(I.Developer.P1=TRUE,I.Facility.P1FacilityCount&gt;=1931,F1943=""),"Incomplete","Complete")</f>
        <v>Complete</v>
      </c>
      <c r="I1943" s="48" t="s">
        <v>6308</v>
      </c>
    </row>
    <row r="1944" spans="2:9" ht="15" customHeight="1" x14ac:dyDescent="0.25">
      <c r="B1944" s="55" t="s">
        <v>279</v>
      </c>
      <c r="C1944" s="46">
        <v>1932</v>
      </c>
      <c r="D1944" s="69" t="s">
        <v>29416</v>
      </c>
      <c r="E1944" s="51"/>
      <c r="F1944" s="114" t="str">
        <f>IF(INDEX(I.Facility.P1IDNumber,1932)="","",INDEX(I.Facility.P1IDNumber,1932))</f>
        <v/>
      </c>
      <c r="G1944" s="51"/>
      <c r="H1944" s="46" t="str">
        <f>IF(AND(I.Developer.P1=TRUE,I.Facility.P1FacilityCount&gt;=1932,F1944=""),"Incomplete","Complete")</f>
        <v>Complete</v>
      </c>
      <c r="I1944" s="48" t="s">
        <v>6309</v>
      </c>
    </row>
    <row r="1945" spans="2:9" ht="15" customHeight="1" x14ac:dyDescent="0.25">
      <c r="B1945" s="55" t="s">
        <v>279</v>
      </c>
      <c r="C1945" s="46">
        <v>1933</v>
      </c>
      <c r="D1945" s="69" t="s">
        <v>29416</v>
      </c>
      <c r="E1945" s="51"/>
      <c r="F1945" s="114" t="str">
        <f>IF(INDEX(I.Facility.P1IDNumber,1933)="","",INDEX(I.Facility.P1IDNumber,1933))</f>
        <v/>
      </c>
      <c r="G1945" s="51"/>
      <c r="H1945" s="46" t="str">
        <f>IF(AND(I.Developer.P1=TRUE,I.Facility.P1FacilityCount&gt;=1933,F1945=""),"Incomplete","Complete")</f>
        <v>Complete</v>
      </c>
      <c r="I1945" s="48" t="s">
        <v>6310</v>
      </c>
    </row>
    <row r="1946" spans="2:9" ht="15" customHeight="1" x14ac:dyDescent="0.25">
      <c r="B1946" s="55" t="s">
        <v>279</v>
      </c>
      <c r="C1946" s="46">
        <v>1934</v>
      </c>
      <c r="D1946" s="69" t="s">
        <v>29416</v>
      </c>
      <c r="E1946" s="51"/>
      <c r="F1946" s="114" t="str">
        <f>IF(INDEX(I.Facility.P1IDNumber,1934)="","",INDEX(I.Facility.P1IDNumber,1934))</f>
        <v/>
      </c>
      <c r="G1946" s="51"/>
      <c r="H1946" s="46" t="str">
        <f>IF(AND(I.Developer.P1=TRUE,I.Facility.P1FacilityCount&gt;=1934,F1946=""),"Incomplete","Complete")</f>
        <v>Complete</v>
      </c>
      <c r="I1946" s="48" t="s">
        <v>6311</v>
      </c>
    </row>
    <row r="1947" spans="2:9" ht="15" customHeight="1" x14ac:dyDescent="0.25">
      <c r="B1947" s="55" t="s">
        <v>279</v>
      </c>
      <c r="C1947" s="46">
        <v>1935</v>
      </c>
      <c r="D1947" s="69" t="s">
        <v>29416</v>
      </c>
      <c r="E1947" s="51"/>
      <c r="F1947" s="114" t="str">
        <f>IF(INDEX(I.Facility.P1IDNumber,1935)="","",INDEX(I.Facility.P1IDNumber,1935))</f>
        <v/>
      </c>
      <c r="G1947" s="51"/>
      <c r="H1947" s="46" t="str">
        <f>IF(AND(I.Developer.P1=TRUE,I.Facility.P1FacilityCount&gt;=1935,F1947=""),"Incomplete","Complete")</f>
        <v>Complete</v>
      </c>
      <c r="I1947" s="48" t="s">
        <v>6312</v>
      </c>
    </row>
    <row r="1948" spans="2:9" ht="15" customHeight="1" x14ac:dyDescent="0.25">
      <c r="B1948" s="55" t="s">
        <v>279</v>
      </c>
      <c r="C1948" s="46">
        <v>1936</v>
      </c>
      <c r="D1948" s="69" t="s">
        <v>29416</v>
      </c>
      <c r="E1948" s="51"/>
      <c r="F1948" s="114" t="str">
        <f>IF(INDEX(I.Facility.P1IDNumber,1936)="","",INDEX(I.Facility.P1IDNumber,1936))</f>
        <v/>
      </c>
      <c r="G1948" s="51"/>
      <c r="H1948" s="46" t="str">
        <f>IF(AND(I.Developer.P1=TRUE,I.Facility.P1FacilityCount&gt;=1936,F1948=""),"Incomplete","Complete")</f>
        <v>Complete</v>
      </c>
      <c r="I1948" s="48" t="s">
        <v>6313</v>
      </c>
    </row>
    <row r="1949" spans="2:9" ht="15" customHeight="1" x14ac:dyDescent="0.25">
      <c r="B1949" s="55" t="s">
        <v>279</v>
      </c>
      <c r="C1949" s="46">
        <v>1937</v>
      </c>
      <c r="D1949" s="69" t="s">
        <v>29416</v>
      </c>
      <c r="E1949" s="51"/>
      <c r="F1949" s="114" t="str">
        <f>IF(INDEX(I.Facility.P1IDNumber,1937)="","",INDEX(I.Facility.P1IDNumber,1937))</f>
        <v/>
      </c>
      <c r="G1949" s="51"/>
      <c r="H1949" s="46" t="str">
        <f>IF(AND(I.Developer.P1=TRUE,I.Facility.P1FacilityCount&gt;=1937,F1949=""),"Incomplete","Complete")</f>
        <v>Complete</v>
      </c>
      <c r="I1949" s="48" t="s">
        <v>6314</v>
      </c>
    </row>
    <row r="1950" spans="2:9" ht="15" customHeight="1" x14ac:dyDescent="0.25">
      <c r="B1950" s="55" t="s">
        <v>279</v>
      </c>
      <c r="C1950" s="46">
        <v>1938</v>
      </c>
      <c r="D1950" s="69" t="s">
        <v>29416</v>
      </c>
      <c r="E1950" s="51"/>
      <c r="F1950" s="114" t="str">
        <f>IF(INDEX(I.Facility.P1IDNumber,1938)="","",INDEX(I.Facility.P1IDNumber,1938))</f>
        <v/>
      </c>
      <c r="G1950" s="51"/>
      <c r="H1950" s="46" t="str">
        <f>IF(AND(I.Developer.P1=TRUE,I.Facility.P1FacilityCount&gt;=1938,F1950=""),"Incomplete","Complete")</f>
        <v>Complete</v>
      </c>
      <c r="I1950" s="48" t="s">
        <v>6315</v>
      </c>
    </row>
    <row r="1951" spans="2:9" ht="15" customHeight="1" x14ac:dyDescent="0.25">
      <c r="B1951" s="55" t="s">
        <v>279</v>
      </c>
      <c r="C1951" s="46">
        <v>1939</v>
      </c>
      <c r="D1951" s="69" t="s">
        <v>29416</v>
      </c>
      <c r="E1951" s="51"/>
      <c r="F1951" s="114" t="str">
        <f>IF(INDEX(I.Facility.P1IDNumber,1939)="","",INDEX(I.Facility.P1IDNumber,1939))</f>
        <v/>
      </c>
      <c r="G1951" s="51"/>
      <c r="H1951" s="46" t="str">
        <f>IF(AND(I.Developer.P1=TRUE,I.Facility.P1FacilityCount&gt;=1939,F1951=""),"Incomplete","Complete")</f>
        <v>Complete</v>
      </c>
      <c r="I1951" s="48" t="s">
        <v>6316</v>
      </c>
    </row>
    <row r="1952" spans="2:9" ht="15" customHeight="1" x14ac:dyDescent="0.25">
      <c r="B1952" s="55" t="s">
        <v>279</v>
      </c>
      <c r="C1952" s="46">
        <v>1940</v>
      </c>
      <c r="D1952" s="69" t="s">
        <v>29416</v>
      </c>
      <c r="E1952" s="51"/>
      <c r="F1952" s="114" t="str">
        <f>IF(INDEX(I.Facility.P1IDNumber,1940)="","",INDEX(I.Facility.P1IDNumber,1940))</f>
        <v/>
      </c>
      <c r="G1952" s="51"/>
      <c r="H1952" s="46" t="str">
        <f>IF(AND(I.Developer.P1=TRUE,I.Facility.P1FacilityCount&gt;=1940,F1952=""),"Incomplete","Complete")</f>
        <v>Complete</v>
      </c>
      <c r="I1952" s="48" t="s">
        <v>6317</v>
      </c>
    </row>
    <row r="1953" spans="2:9" ht="15" customHeight="1" x14ac:dyDescent="0.25">
      <c r="B1953" s="55" t="s">
        <v>279</v>
      </c>
      <c r="C1953" s="46">
        <v>1941</v>
      </c>
      <c r="D1953" s="69" t="s">
        <v>29416</v>
      </c>
      <c r="E1953" s="51"/>
      <c r="F1953" s="114" t="str">
        <f>IF(INDEX(I.Facility.P1IDNumber,1941)="","",INDEX(I.Facility.P1IDNumber,1941))</f>
        <v/>
      </c>
      <c r="G1953" s="51"/>
      <c r="H1953" s="46" t="str">
        <f>IF(AND(I.Developer.P1=TRUE,I.Facility.P1FacilityCount&gt;=1941,F1953=""),"Incomplete","Complete")</f>
        <v>Complete</v>
      </c>
      <c r="I1953" s="48" t="s">
        <v>6318</v>
      </c>
    </row>
    <row r="1954" spans="2:9" ht="15" customHeight="1" x14ac:dyDescent="0.25">
      <c r="B1954" s="55" t="s">
        <v>279</v>
      </c>
      <c r="C1954" s="46">
        <v>1942</v>
      </c>
      <c r="D1954" s="69" t="s">
        <v>29416</v>
      </c>
      <c r="E1954" s="51"/>
      <c r="F1954" s="114" t="str">
        <f>IF(INDEX(I.Facility.P1IDNumber,1942)="","",INDEX(I.Facility.P1IDNumber,1942))</f>
        <v/>
      </c>
      <c r="G1954" s="51"/>
      <c r="H1954" s="46" t="str">
        <f>IF(AND(I.Developer.P1=TRUE,I.Facility.P1FacilityCount&gt;=1942,F1954=""),"Incomplete","Complete")</f>
        <v>Complete</v>
      </c>
      <c r="I1954" s="48" t="s">
        <v>6319</v>
      </c>
    </row>
    <row r="1955" spans="2:9" ht="15" customHeight="1" x14ac:dyDescent="0.25">
      <c r="B1955" s="55" t="s">
        <v>279</v>
      </c>
      <c r="C1955" s="46">
        <v>1943</v>
      </c>
      <c r="D1955" s="69" t="s">
        <v>29416</v>
      </c>
      <c r="E1955" s="51"/>
      <c r="F1955" s="114" t="str">
        <f>IF(INDEX(I.Facility.P1IDNumber,1943)="","",INDEX(I.Facility.P1IDNumber,1943))</f>
        <v/>
      </c>
      <c r="G1955" s="51"/>
      <c r="H1955" s="46" t="str">
        <f>IF(AND(I.Developer.P1=TRUE,I.Facility.P1FacilityCount&gt;=1943,F1955=""),"Incomplete","Complete")</f>
        <v>Complete</v>
      </c>
      <c r="I1955" s="48" t="s">
        <v>6320</v>
      </c>
    </row>
    <row r="1956" spans="2:9" ht="15" customHeight="1" x14ac:dyDescent="0.25">
      <c r="B1956" s="55" t="s">
        <v>279</v>
      </c>
      <c r="C1956" s="46">
        <v>1944</v>
      </c>
      <c r="D1956" s="69" t="s">
        <v>29416</v>
      </c>
      <c r="E1956" s="51"/>
      <c r="F1956" s="114" t="str">
        <f>IF(INDEX(I.Facility.P1IDNumber,1944)="","",INDEX(I.Facility.P1IDNumber,1944))</f>
        <v/>
      </c>
      <c r="G1956" s="51"/>
      <c r="H1956" s="46" t="str">
        <f>IF(AND(I.Developer.P1=TRUE,I.Facility.P1FacilityCount&gt;=1944,F1956=""),"Incomplete","Complete")</f>
        <v>Complete</v>
      </c>
      <c r="I1956" s="48" t="s">
        <v>6321</v>
      </c>
    </row>
    <row r="1957" spans="2:9" ht="15" customHeight="1" x14ac:dyDescent="0.25">
      <c r="B1957" s="55" t="s">
        <v>279</v>
      </c>
      <c r="C1957" s="46">
        <v>1945</v>
      </c>
      <c r="D1957" s="69" t="s">
        <v>29416</v>
      </c>
      <c r="E1957" s="51"/>
      <c r="F1957" s="114" t="str">
        <f>IF(INDEX(I.Facility.P1IDNumber,1945)="","",INDEX(I.Facility.P1IDNumber,1945))</f>
        <v/>
      </c>
      <c r="G1957" s="51"/>
      <c r="H1957" s="46" t="str">
        <f>IF(AND(I.Developer.P1=TRUE,I.Facility.P1FacilityCount&gt;=1945,F1957=""),"Incomplete","Complete")</f>
        <v>Complete</v>
      </c>
      <c r="I1957" s="48" t="s">
        <v>6322</v>
      </c>
    </row>
    <row r="1958" spans="2:9" ht="15" customHeight="1" x14ac:dyDescent="0.25">
      <c r="B1958" s="55" t="s">
        <v>279</v>
      </c>
      <c r="C1958" s="46">
        <v>1946</v>
      </c>
      <c r="D1958" s="69" t="s">
        <v>29416</v>
      </c>
      <c r="E1958" s="51"/>
      <c r="F1958" s="114" t="str">
        <f>IF(INDEX(I.Facility.P1IDNumber,1946)="","",INDEX(I.Facility.P1IDNumber,1946))</f>
        <v/>
      </c>
      <c r="G1958" s="51"/>
      <c r="H1958" s="46" t="str">
        <f>IF(AND(I.Developer.P1=TRUE,I.Facility.P1FacilityCount&gt;=1946,F1958=""),"Incomplete","Complete")</f>
        <v>Complete</v>
      </c>
      <c r="I1958" s="48" t="s">
        <v>6323</v>
      </c>
    </row>
    <row r="1959" spans="2:9" ht="15" customHeight="1" x14ac:dyDescent="0.25">
      <c r="B1959" s="55" t="s">
        <v>279</v>
      </c>
      <c r="C1959" s="46">
        <v>1947</v>
      </c>
      <c r="D1959" s="69" t="s">
        <v>29416</v>
      </c>
      <c r="E1959" s="51"/>
      <c r="F1959" s="114" t="str">
        <f>IF(INDEX(I.Facility.P1IDNumber,1947)="","",INDEX(I.Facility.P1IDNumber,1947))</f>
        <v/>
      </c>
      <c r="G1959" s="51"/>
      <c r="H1959" s="46" t="str">
        <f>IF(AND(I.Developer.P1=TRUE,I.Facility.P1FacilityCount&gt;=1947,F1959=""),"Incomplete","Complete")</f>
        <v>Complete</v>
      </c>
      <c r="I1959" s="48" t="s">
        <v>6324</v>
      </c>
    </row>
    <row r="1960" spans="2:9" ht="15" customHeight="1" x14ac:dyDescent="0.25">
      <c r="B1960" s="55" t="s">
        <v>279</v>
      </c>
      <c r="C1960" s="46">
        <v>1948</v>
      </c>
      <c r="D1960" s="69" t="s">
        <v>29416</v>
      </c>
      <c r="E1960" s="51"/>
      <c r="F1960" s="114" t="str">
        <f>IF(INDEX(I.Facility.P1IDNumber,1948)="","",INDEX(I.Facility.P1IDNumber,1948))</f>
        <v/>
      </c>
      <c r="G1960" s="51"/>
      <c r="H1960" s="46" t="str">
        <f>IF(AND(I.Developer.P1=TRUE,I.Facility.P1FacilityCount&gt;=1948,F1960=""),"Incomplete","Complete")</f>
        <v>Complete</v>
      </c>
      <c r="I1960" s="48" t="s">
        <v>6325</v>
      </c>
    </row>
    <row r="1961" spans="2:9" ht="15" customHeight="1" x14ac:dyDescent="0.25">
      <c r="B1961" s="55" t="s">
        <v>279</v>
      </c>
      <c r="C1961" s="46">
        <v>1949</v>
      </c>
      <c r="D1961" s="69" t="s">
        <v>29416</v>
      </c>
      <c r="E1961" s="51"/>
      <c r="F1961" s="114" t="str">
        <f>IF(INDEX(I.Facility.P1IDNumber,1949)="","",INDEX(I.Facility.P1IDNumber,1949))</f>
        <v/>
      </c>
      <c r="G1961" s="51"/>
      <c r="H1961" s="46" t="str">
        <f>IF(AND(I.Developer.P1=TRUE,I.Facility.P1FacilityCount&gt;=1949,F1961=""),"Incomplete","Complete")</f>
        <v>Complete</v>
      </c>
      <c r="I1961" s="48" t="s">
        <v>6326</v>
      </c>
    </row>
    <row r="1962" spans="2:9" ht="15" customHeight="1" x14ac:dyDescent="0.25">
      <c r="B1962" s="55" t="s">
        <v>279</v>
      </c>
      <c r="C1962" s="46">
        <v>1950</v>
      </c>
      <c r="D1962" s="69" t="s">
        <v>29416</v>
      </c>
      <c r="E1962" s="51"/>
      <c r="F1962" s="114" t="str">
        <f>IF(INDEX(I.Facility.P1IDNumber,1950)="","",INDEX(I.Facility.P1IDNumber,1950))</f>
        <v/>
      </c>
      <c r="G1962" s="51"/>
      <c r="H1962" s="46" t="str">
        <f>IF(AND(I.Developer.P1=TRUE,I.Facility.P1FacilityCount&gt;=1950,F1962=""),"Incomplete","Complete")</f>
        <v>Complete</v>
      </c>
      <c r="I1962" s="48" t="s">
        <v>6327</v>
      </c>
    </row>
    <row r="1963" spans="2:9" ht="15" customHeight="1" x14ac:dyDescent="0.25">
      <c r="B1963" s="55" t="s">
        <v>279</v>
      </c>
      <c r="C1963" s="46">
        <v>1951</v>
      </c>
      <c r="D1963" s="69" t="s">
        <v>29416</v>
      </c>
      <c r="E1963" s="51"/>
      <c r="F1963" s="114" t="str">
        <f>IF(INDEX(I.Facility.P1IDNumber,1951)="","",INDEX(I.Facility.P1IDNumber,1951))</f>
        <v/>
      </c>
      <c r="G1963" s="51"/>
      <c r="H1963" s="46" t="str">
        <f>IF(AND(I.Developer.P1=TRUE,I.Facility.P1FacilityCount&gt;=1951,F1963=""),"Incomplete","Complete")</f>
        <v>Complete</v>
      </c>
      <c r="I1963" s="48" t="s">
        <v>6328</v>
      </c>
    </row>
    <row r="1964" spans="2:9" ht="15" customHeight="1" x14ac:dyDescent="0.25">
      <c r="B1964" s="55" t="s">
        <v>279</v>
      </c>
      <c r="C1964" s="46">
        <v>1952</v>
      </c>
      <c r="D1964" s="69" t="s">
        <v>29416</v>
      </c>
      <c r="E1964" s="51"/>
      <c r="F1964" s="114" t="str">
        <f>IF(INDEX(I.Facility.P1IDNumber,1952)="","",INDEX(I.Facility.P1IDNumber,1952))</f>
        <v/>
      </c>
      <c r="G1964" s="51"/>
      <c r="H1964" s="46" t="str">
        <f>IF(AND(I.Developer.P1=TRUE,I.Facility.P1FacilityCount&gt;=1952,F1964=""),"Incomplete","Complete")</f>
        <v>Complete</v>
      </c>
      <c r="I1964" s="48" t="s">
        <v>6329</v>
      </c>
    </row>
    <row r="1965" spans="2:9" ht="15" customHeight="1" x14ac:dyDescent="0.25">
      <c r="B1965" s="55" t="s">
        <v>279</v>
      </c>
      <c r="C1965" s="46">
        <v>1953</v>
      </c>
      <c r="D1965" s="69" t="s">
        <v>29416</v>
      </c>
      <c r="E1965" s="51"/>
      <c r="F1965" s="114" t="str">
        <f>IF(INDEX(I.Facility.P1IDNumber,1953)="","",INDEX(I.Facility.P1IDNumber,1953))</f>
        <v/>
      </c>
      <c r="G1965" s="51"/>
      <c r="H1965" s="46" t="str">
        <f>IF(AND(I.Developer.P1=TRUE,I.Facility.P1FacilityCount&gt;=1953,F1965=""),"Incomplete","Complete")</f>
        <v>Complete</v>
      </c>
      <c r="I1965" s="48" t="s">
        <v>6330</v>
      </c>
    </row>
    <row r="1966" spans="2:9" ht="15" customHeight="1" x14ac:dyDescent="0.25">
      <c r="B1966" s="55" t="s">
        <v>279</v>
      </c>
      <c r="C1966" s="46">
        <v>1954</v>
      </c>
      <c r="D1966" s="69" t="s">
        <v>29416</v>
      </c>
      <c r="E1966" s="51"/>
      <c r="F1966" s="114" t="str">
        <f>IF(INDEX(I.Facility.P1IDNumber,1954)="","",INDEX(I.Facility.P1IDNumber,1954))</f>
        <v/>
      </c>
      <c r="G1966" s="51"/>
      <c r="H1966" s="46" t="str">
        <f>IF(AND(I.Developer.P1=TRUE,I.Facility.P1FacilityCount&gt;=1954,F1966=""),"Incomplete","Complete")</f>
        <v>Complete</v>
      </c>
      <c r="I1966" s="48" t="s">
        <v>6331</v>
      </c>
    </row>
    <row r="1967" spans="2:9" ht="15" customHeight="1" x14ac:dyDescent="0.25">
      <c r="B1967" s="55" t="s">
        <v>279</v>
      </c>
      <c r="C1967" s="46">
        <v>1955</v>
      </c>
      <c r="D1967" s="69" t="s">
        <v>29416</v>
      </c>
      <c r="E1967" s="51"/>
      <c r="F1967" s="114" t="str">
        <f>IF(INDEX(I.Facility.P1IDNumber,1955)="","",INDEX(I.Facility.P1IDNumber,1955))</f>
        <v/>
      </c>
      <c r="G1967" s="51"/>
      <c r="H1967" s="46" t="str">
        <f>IF(AND(I.Developer.P1=TRUE,I.Facility.P1FacilityCount&gt;=1955,F1967=""),"Incomplete","Complete")</f>
        <v>Complete</v>
      </c>
      <c r="I1967" s="48" t="s">
        <v>6332</v>
      </c>
    </row>
    <row r="1968" spans="2:9" ht="15" customHeight="1" x14ac:dyDescent="0.25">
      <c r="B1968" s="55" t="s">
        <v>279</v>
      </c>
      <c r="C1968" s="46">
        <v>1956</v>
      </c>
      <c r="D1968" s="69" t="s">
        <v>29416</v>
      </c>
      <c r="E1968" s="51"/>
      <c r="F1968" s="114" t="str">
        <f>IF(INDEX(I.Facility.P1IDNumber,1956)="","",INDEX(I.Facility.P1IDNumber,1956))</f>
        <v/>
      </c>
      <c r="G1968" s="51"/>
      <c r="H1968" s="46" t="str">
        <f>IF(AND(I.Developer.P1=TRUE,I.Facility.P1FacilityCount&gt;=1956,F1968=""),"Incomplete","Complete")</f>
        <v>Complete</v>
      </c>
      <c r="I1968" s="48" t="s">
        <v>6333</v>
      </c>
    </row>
    <row r="1969" spans="2:9" ht="15" customHeight="1" x14ac:dyDescent="0.25">
      <c r="B1969" s="55" t="s">
        <v>279</v>
      </c>
      <c r="C1969" s="46">
        <v>1957</v>
      </c>
      <c r="D1969" s="69" t="s">
        <v>29416</v>
      </c>
      <c r="E1969" s="51"/>
      <c r="F1969" s="114" t="str">
        <f>IF(INDEX(I.Facility.P1IDNumber,1957)="","",INDEX(I.Facility.P1IDNumber,1957))</f>
        <v/>
      </c>
      <c r="G1969" s="51"/>
      <c r="H1969" s="46" t="str">
        <f>IF(AND(I.Developer.P1=TRUE,I.Facility.P1FacilityCount&gt;=1957,F1969=""),"Incomplete","Complete")</f>
        <v>Complete</v>
      </c>
      <c r="I1969" s="48" t="s">
        <v>6334</v>
      </c>
    </row>
    <row r="1970" spans="2:9" ht="15" customHeight="1" x14ac:dyDescent="0.25">
      <c r="B1970" s="55" t="s">
        <v>279</v>
      </c>
      <c r="C1970" s="46">
        <v>1958</v>
      </c>
      <c r="D1970" s="69" t="s">
        <v>29416</v>
      </c>
      <c r="E1970" s="51"/>
      <c r="F1970" s="114" t="str">
        <f>IF(INDEX(I.Facility.P1IDNumber,1958)="","",INDEX(I.Facility.P1IDNumber,1958))</f>
        <v/>
      </c>
      <c r="G1970" s="51"/>
      <c r="H1970" s="46" t="str">
        <f>IF(AND(I.Developer.P1=TRUE,I.Facility.P1FacilityCount&gt;=1958,F1970=""),"Incomplete","Complete")</f>
        <v>Complete</v>
      </c>
      <c r="I1970" s="48" t="s">
        <v>6335</v>
      </c>
    </row>
    <row r="1971" spans="2:9" ht="15" customHeight="1" x14ac:dyDescent="0.25">
      <c r="B1971" s="55" t="s">
        <v>279</v>
      </c>
      <c r="C1971" s="46">
        <v>1959</v>
      </c>
      <c r="D1971" s="69" t="s">
        <v>29416</v>
      </c>
      <c r="E1971" s="51"/>
      <c r="F1971" s="114" t="str">
        <f>IF(INDEX(I.Facility.P1IDNumber,1959)="","",INDEX(I.Facility.P1IDNumber,1959))</f>
        <v/>
      </c>
      <c r="G1971" s="51"/>
      <c r="H1971" s="46" t="str">
        <f>IF(AND(I.Developer.P1=TRUE,I.Facility.P1FacilityCount&gt;=1959,F1971=""),"Incomplete","Complete")</f>
        <v>Complete</v>
      </c>
      <c r="I1971" s="48" t="s">
        <v>6336</v>
      </c>
    </row>
    <row r="1972" spans="2:9" ht="15" customHeight="1" x14ac:dyDescent="0.25">
      <c r="B1972" s="55" t="s">
        <v>279</v>
      </c>
      <c r="C1972" s="46">
        <v>1960</v>
      </c>
      <c r="D1972" s="69" t="s">
        <v>29416</v>
      </c>
      <c r="E1972" s="51"/>
      <c r="F1972" s="114" t="str">
        <f>IF(INDEX(I.Facility.P1IDNumber,1960)="","",INDEX(I.Facility.P1IDNumber,1960))</f>
        <v/>
      </c>
      <c r="G1972" s="51"/>
      <c r="H1972" s="46" t="str">
        <f>IF(AND(I.Developer.P1=TRUE,I.Facility.P1FacilityCount&gt;=1960,F1972=""),"Incomplete","Complete")</f>
        <v>Complete</v>
      </c>
      <c r="I1972" s="48" t="s">
        <v>6337</v>
      </c>
    </row>
    <row r="1973" spans="2:9" ht="15" customHeight="1" x14ac:dyDescent="0.25">
      <c r="B1973" s="55" t="s">
        <v>279</v>
      </c>
      <c r="C1973" s="46">
        <v>1961</v>
      </c>
      <c r="D1973" s="69" t="s">
        <v>29416</v>
      </c>
      <c r="E1973" s="51"/>
      <c r="F1973" s="114" t="str">
        <f>IF(INDEX(I.Facility.P1IDNumber,1961)="","",INDEX(I.Facility.P1IDNumber,1961))</f>
        <v/>
      </c>
      <c r="G1973" s="51"/>
      <c r="H1973" s="46" t="str">
        <f>IF(AND(I.Developer.P1=TRUE,I.Facility.P1FacilityCount&gt;=1961,F1973=""),"Incomplete","Complete")</f>
        <v>Complete</v>
      </c>
      <c r="I1973" s="48" t="s">
        <v>6338</v>
      </c>
    </row>
    <row r="1974" spans="2:9" ht="15" customHeight="1" x14ac:dyDescent="0.25">
      <c r="B1974" s="55" t="s">
        <v>279</v>
      </c>
      <c r="C1974" s="46">
        <v>1962</v>
      </c>
      <c r="D1974" s="69" t="s">
        <v>29416</v>
      </c>
      <c r="E1974" s="51"/>
      <c r="F1974" s="114" t="str">
        <f>IF(INDEX(I.Facility.P1IDNumber,1962)="","",INDEX(I.Facility.P1IDNumber,1962))</f>
        <v/>
      </c>
      <c r="G1974" s="51"/>
      <c r="H1974" s="46" t="str">
        <f>IF(AND(I.Developer.P1=TRUE,I.Facility.P1FacilityCount&gt;=1962,F1974=""),"Incomplete","Complete")</f>
        <v>Complete</v>
      </c>
      <c r="I1974" s="48" t="s">
        <v>6339</v>
      </c>
    </row>
    <row r="1975" spans="2:9" ht="15" customHeight="1" x14ac:dyDescent="0.25">
      <c r="B1975" s="55" t="s">
        <v>279</v>
      </c>
      <c r="C1975" s="46">
        <v>1963</v>
      </c>
      <c r="D1975" s="69" t="s">
        <v>29416</v>
      </c>
      <c r="E1975" s="51"/>
      <c r="F1975" s="114" t="str">
        <f>IF(INDEX(I.Facility.P1IDNumber,1963)="","",INDEX(I.Facility.P1IDNumber,1963))</f>
        <v/>
      </c>
      <c r="G1975" s="51"/>
      <c r="H1975" s="46" t="str">
        <f>IF(AND(I.Developer.P1=TRUE,I.Facility.P1FacilityCount&gt;=1963,F1975=""),"Incomplete","Complete")</f>
        <v>Complete</v>
      </c>
      <c r="I1975" s="48" t="s">
        <v>6340</v>
      </c>
    </row>
    <row r="1976" spans="2:9" ht="15" customHeight="1" x14ac:dyDescent="0.25">
      <c r="B1976" s="55" t="s">
        <v>279</v>
      </c>
      <c r="C1976" s="46">
        <v>1964</v>
      </c>
      <c r="D1976" s="69" t="s">
        <v>29416</v>
      </c>
      <c r="E1976" s="51"/>
      <c r="F1976" s="114" t="str">
        <f>IF(INDEX(I.Facility.P1IDNumber,1964)="","",INDEX(I.Facility.P1IDNumber,1964))</f>
        <v/>
      </c>
      <c r="G1976" s="51"/>
      <c r="H1976" s="46" t="str">
        <f>IF(AND(I.Developer.P1=TRUE,I.Facility.P1FacilityCount&gt;=1964,F1976=""),"Incomplete","Complete")</f>
        <v>Complete</v>
      </c>
      <c r="I1976" s="48" t="s">
        <v>6341</v>
      </c>
    </row>
    <row r="1977" spans="2:9" ht="15" customHeight="1" x14ac:dyDescent="0.25">
      <c r="B1977" s="55" t="s">
        <v>279</v>
      </c>
      <c r="C1977" s="46">
        <v>1965</v>
      </c>
      <c r="D1977" s="69" t="s">
        <v>29416</v>
      </c>
      <c r="E1977" s="51"/>
      <c r="F1977" s="114" t="str">
        <f>IF(INDEX(I.Facility.P1IDNumber,1965)="","",INDEX(I.Facility.P1IDNumber,1965))</f>
        <v/>
      </c>
      <c r="G1977" s="51"/>
      <c r="H1977" s="46" t="str">
        <f>IF(AND(I.Developer.P1=TRUE,I.Facility.P1FacilityCount&gt;=1965,F1977=""),"Incomplete","Complete")</f>
        <v>Complete</v>
      </c>
      <c r="I1977" s="48" t="s">
        <v>6342</v>
      </c>
    </row>
    <row r="1978" spans="2:9" ht="15" customHeight="1" x14ac:dyDescent="0.25">
      <c r="B1978" s="55" t="s">
        <v>279</v>
      </c>
      <c r="C1978" s="46">
        <v>1966</v>
      </c>
      <c r="D1978" s="69" t="s">
        <v>29416</v>
      </c>
      <c r="E1978" s="51"/>
      <c r="F1978" s="114" t="str">
        <f>IF(INDEX(I.Facility.P1IDNumber,1966)="","",INDEX(I.Facility.P1IDNumber,1966))</f>
        <v/>
      </c>
      <c r="G1978" s="51"/>
      <c r="H1978" s="46" t="str">
        <f>IF(AND(I.Developer.P1=TRUE,I.Facility.P1FacilityCount&gt;=1966,F1978=""),"Incomplete","Complete")</f>
        <v>Complete</v>
      </c>
      <c r="I1978" s="48" t="s">
        <v>6343</v>
      </c>
    </row>
    <row r="1979" spans="2:9" ht="15" customHeight="1" x14ac:dyDescent="0.25">
      <c r="B1979" s="55" t="s">
        <v>279</v>
      </c>
      <c r="C1979" s="46">
        <v>1967</v>
      </c>
      <c r="D1979" s="69" t="s">
        <v>29416</v>
      </c>
      <c r="E1979" s="51"/>
      <c r="F1979" s="114" t="str">
        <f>IF(INDEX(I.Facility.P1IDNumber,1967)="","",INDEX(I.Facility.P1IDNumber,1967))</f>
        <v/>
      </c>
      <c r="G1979" s="51"/>
      <c r="H1979" s="46" t="str">
        <f>IF(AND(I.Developer.P1=TRUE,I.Facility.P1FacilityCount&gt;=1967,F1979=""),"Incomplete","Complete")</f>
        <v>Complete</v>
      </c>
      <c r="I1979" s="48" t="s">
        <v>6344</v>
      </c>
    </row>
    <row r="1980" spans="2:9" ht="15" customHeight="1" x14ac:dyDescent="0.25">
      <c r="B1980" s="55" t="s">
        <v>279</v>
      </c>
      <c r="C1980" s="46">
        <v>1968</v>
      </c>
      <c r="D1980" s="69" t="s">
        <v>29416</v>
      </c>
      <c r="E1980" s="51"/>
      <c r="F1980" s="114" t="str">
        <f>IF(INDEX(I.Facility.P1IDNumber,1968)="","",INDEX(I.Facility.P1IDNumber,1968))</f>
        <v/>
      </c>
      <c r="G1980" s="51"/>
      <c r="H1980" s="46" t="str">
        <f>IF(AND(I.Developer.P1=TRUE,I.Facility.P1FacilityCount&gt;=1968,F1980=""),"Incomplete","Complete")</f>
        <v>Complete</v>
      </c>
      <c r="I1980" s="48" t="s">
        <v>6345</v>
      </c>
    </row>
    <row r="1981" spans="2:9" ht="15" customHeight="1" x14ac:dyDescent="0.25">
      <c r="B1981" s="55" t="s">
        <v>279</v>
      </c>
      <c r="C1981" s="46">
        <v>1969</v>
      </c>
      <c r="D1981" s="69" t="s">
        <v>29416</v>
      </c>
      <c r="E1981" s="51"/>
      <c r="F1981" s="114" t="str">
        <f>IF(INDEX(I.Facility.P1IDNumber,1969)="","",INDEX(I.Facility.P1IDNumber,1969))</f>
        <v/>
      </c>
      <c r="G1981" s="51"/>
      <c r="H1981" s="46" t="str">
        <f>IF(AND(I.Developer.P1=TRUE,I.Facility.P1FacilityCount&gt;=1969,F1981=""),"Incomplete","Complete")</f>
        <v>Complete</v>
      </c>
      <c r="I1981" s="48" t="s">
        <v>6346</v>
      </c>
    </row>
    <row r="1982" spans="2:9" ht="15" customHeight="1" x14ac:dyDescent="0.25">
      <c r="B1982" s="55" t="s">
        <v>279</v>
      </c>
      <c r="C1982" s="46">
        <v>1970</v>
      </c>
      <c r="D1982" s="69" t="s">
        <v>29416</v>
      </c>
      <c r="E1982" s="51"/>
      <c r="F1982" s="114" t="str">
        <f>IF(INDEX(I.Facility.P1IDNumber,1970)="","",INDEX(I.Facility.P1IDNumber,1970))</f>
        <v/>
      </c>
      <c r="G1982" s="51"/>
      <c r="H1982" s="46" t="str">
        <f>IF(AND(I.Developer.P1=TRUE,I.Facility.P1FacilityCount&gt;=1970,F1982=""),"Incomplete","Complete")</f>
        <v>Complete</v>
      </c>
      <c r="I1982" s="48" t="s">
        <v>6347</v>
      </c>
    </row>
    <row r="1983" spans="2:9" ht="15" customHeight="1" x14ac:dyDescent="0.25">
      <c r="B1983" s="55" t="s">
        <v>279</v>
      </c>
      <c r="C1983" s="46">
        <v>1971</v>
      </c>
      <c r="D1983" s="69" t="s">
        <v>29416</v>
      </c>
      <c r="E1983" s="51"/>
      <c r="F1983" s="114" t="str">
        <f>IF(INDEX(I.Facility.P1IDNumber,1971)="","",INDEX(I.Facility.P1IDNumber,1971))</f>
        <v/>
      </c>
      <c r="G1983" s="51"/>
      <c r="H1983" s="46" t="str">
        <f>IF(AND(I.Developer.P1=TRUE,I.Facility.P1FacilityCount&gt;=1971,F1983=""),"Incomplete","Complete")</f>
        <v>Complete</v>
      </c>
      <c r="I1983" s="48" t="s">
        <v>6348</v>
      </c>
    </row>
    <row r="1984" spans="2:9" ht="15" customHeight="1" x14ac:dyDescent="0.25">
      <c r="B1984" s="55" t="s">
        <v>279</v>
      </c>
      <c r="C1984" s="46">
        <v>1972</v>
      </c>
      <c r="D1984" s="69" t="s">
        <v>29416</v>
      </c>
      <c r="E1984" s="51"/>
      <c r="F1984" s="114" t="str">
        <f>IF(INDEX(I.Facility.P1IDNumber,1972)="","",INDEX(I.Facility.P1IDNumber,1972))</f>
        <v/>
      </c>
      <c r="G1984" s="51"/>
      <c r="H1984" s="46" t="str">
        <f>IF(AND(I.Developer.P1=TRUE,I.Facility.P1FacilityCount&gt;=1972,F1984=""),"Incomplete","Complete")</f>
        <v>Complete</v>
      </c>
      <c r="I1984" s="48" t="s">
        <v>6349</v>
      </c>
    </row>
    <row r="1985" spans="2:9" ht="15" customHeight="1" x14ac:dyDescent="0.25">
      <c r="B1985" s="55" t="s">
        <v>279</v>
      </c>
      <c r="C1985" s="46">
        <v>1973</v>
      </c>
      <c r="D1985" s="69" t="s">
        <v>29416</v>
      </c>
      <c r="E1985" s="51"/>
      <c r="F1985" s="114" t="str">
        <f>IF(INDEX(I.Facility.P1IDNumber,1973)="","",INDEX(I.Facility.P1IDNumber,1973))</f>
        <v/>
      </c>
      <c r="G1985" s="51"/>
      <c r="H1985" s="46" t="str">
        <f>IF(AND(I.Developer.P1=TRUE,I.Facility.P1FacilityCount&gt;=1973,F1985=""),"Incomplete","Complete")</f>
        <v>Complete</v>
      </c>
      <c r="I1985" s="48" t="s">
        <v>6350</v>
      </c>
    </row>
    <row r="1986" spans="2:9" ht="15" customHeight="1" x14ac:dyDescent="0.25">
      <c r="B1986" s="55" t="s">
        <v>279</v>
      </c>
      <c r="C1986" s="46">
        <v>1974</v>
      </c>
      <c r="D1986" s="69" t="s">
        <v>29416</v>
      </c>
      <c r="E1986" s="51"/>
      <c r="F1986" s="114" t="str">
        <f>IF(INDEX(I.Facility.P1IDNumber,1974)="","",INDEX(I.Facility.P1IDNumber,1974))</f>
        <v/>
      </c>
      <c r="G1986" s="51"/>
      <c r="H1986" s="46" t="str">
        <f>IF(AND(I.Developer.P1=TRUE,I.Facility.P1FacilityCount&gt;=1974,F1986=""),"Incomplete","Complete")</f>
        <v>Complete</v>
      </c>
      <c r="I1986" s="48" t="s">
        <v>6351</v>
      </c>
    </row>
    <row r="1987" spans="2:9" ht="15" customHeight="1" x14ac:dyDescent="0.25">
      <c r="B1987" s="55" t="s">
        <v>279</v>
      </c>
      <c r="C1987" s="46">
        <v>1975</v>
      </c>
      <c r="D1987" s="69" t="s">
        <v>29416</v>
      </c>
      <c r="E1987" s="51"/>
      <c r="F1987" s="114" t="str">
        <f>IF(INDEX(I.Facility.P1IDNumber,1975)="","",INDEX(I.Facility.P1IDNumber,1975))</f>
        <v/>
      </c>
      <c r="G1987" s="51"/>
      <c r="H1987" s="46" t="str">
        <f>IF(AND(I.Developer.P1=TRUE,I.Facility.P1FacilityCount&gt;=1975,F1987=""),"Incomplete","Complete")</f>
        <v>Complete</v>
      </c>
      <c r="I1987" s="48" t="s">
        <v>6352</v>
      </c>
    </row>
    <row r="1988" spans="2:9" ht="15" customHeight="1" x14ac:dyDescent="0.25">
      <c r="B1988" s="55" t="s">
        <v>279</v>
      </c>
      <c r="C1988" s="46">
        <v>1976</v>
      </c>
      <c r="D1988" s="69" t="s">
        <v>29416</v>
      </c>
      <c r="E1988" s="51"/>
      <c r="F1988" s="114" t="str">
        <f>IF(INDEX(I.Facility.P1IDNumber,1976)="","",INDEX(I.Facility.P1IDNumber,1976))</f>
        <v/>
      </c>
      <c r="G1988" s="51"/>
      <c r="H1988" s="46" t="str">
        <f>IF(AND(I.Developer.P1=TRUE,I.Facility.P1FacilityCount&gt;=1976,F1988=""),"Incomplete","Complete")</f>
        <v>Complete</v>
      </c>
      <c r="I1988" s="48" t="s">
        <v>6353</v>
      </c>
    </row>
    <row r="1989" spans="2:9" ht="15" customHeight="1" x14ac:dyDescent="0.25">
      <c r="B1989" s="55" t="s">
        <v>279</v>
      </c>
      <c r="C1989" s="46">
        <v>1977</v>
      </c>
      <c r="D1989" s="69" t="s">
        <v>29416</v>
      </c>
      <c r="E1989" s="51"/>
      <c r="F1989" s="114" t="str">
        <f>IF(INDEX(I.Facility.P1IDNumber,1977)="","",INDEX(I.Facility.P1IDNumber,1977))</f>
        <v/>
      </c>
      <c r="G1989" s="51"/>
      <c r="H1989" s="46" t="str">
        <f>IF(AND(I.Developer.P1=TRUE,I.Facility.P1FacilityCount&gt;=1977,F1989=""),"Incomplete","Complete")</f>
        <v>Complete</v>
      </c>
      <c r="I1989" s="48" t="s">
        <v>6354</v>
      </c>
    </row>
    <row r="1990" spans="2:9" ht="15" customHeight="1" x14ac:dyDescent="0.25">
      <c r="B1990" s="55" t="s">
        <v>279</v>
      </c>
      <c r="C1990" s="46">
        <v>1978</v>
      </c>
      <c r="D1990" s="69" t="s">
        <v>29416</v>
      </c>
      <c r="E1990" s="51"/>
      <c r="F1990" s="114" t="str">
        <f>IF(INDEX(I.Facility.P1IDNumber,1978)="","",INDEX(I.Facility.P1IDNumber,1978))</f>
        <v/>
      </c>
      <c r="G1990" s="51"/>
      <c r="H1990" s="46" t="str">
        <f>IF(AND(I.Developer.P1=TRUE,I.Facility.P1FacilityCount&gt;=1978,F1990=""),"Incomplete","Complete")</f>
        <v>Complete</v>
      </c>
      <c r="I1990" s="48" t="s">
        <v>6355</v>
      </c>
    </row>
    <row r="1991" spans="2:9" ht="15" customHeight="1" x14ac:dyDescent="0.25">
      <c r="B1991" s="55" t="s">
        <v>279</v>
      </c>
      <c r="C1991" s="46">
        <v>1979</v>
      </c>
      <c r="D1991" s="69" t="s">
        <v>29416</v>
      </c>
      <c r="E1991" s="51"/>
      <c r="F1991" s="114" t="str">
        <f>IF(INDEX(I.Facility.P1IDNumber,1979)="","",INDEX(I.Facility.P1IDNumber,1979))</f>
        <v/>
      </c>
      <c r="G1991" s="51"/>
      <c r="H1991" s="46" t="str">
        <f>IF(AND(I.Developer.P1=TRUE,I.Facility.P1FacilityCount&gt;=1979,F1991=""),"Incomplete","Complete")</f>
        <v>Complete</v>
      </c>
      <c r="I1991" s="48" t="s">
        <v>6356</v>
      </c>
    </row>
    <row r="1992" spans="2:9" ht="15" customHeight="1" x14ac:dyDescent="0.25">
      <c r="B1992" s="55" t="s">
        <v>279</v>
      </c>
      <c r="C1992" s="46">
        <v>1980</v>
      </c>
      <c r="D1992" s="69" t="s">
        <v>29416</v>
      </c>
      <c r="E1992" s="51"/>
      <c r="F1992" s="114" t="str">
        <f>IF(INDEX(I.Facility.P1IDNumber,1980)="","",INDEX(I.Facility.P1IDNumber,1980))</f>
        <v/>
      </c>
      <c r="G1992" s="51"/>
      <c r="H1992" s="46" t="str">
        <f>IF(AND(I.Developer.P1=TRUE,I.Facility.P1FacilityCount&gt;=1980,F1992=""),"Incomplete","Complete")</f>
        <v>Complete</v>
      </c>
      <c r="I1992" s="48" t="s">
        <v>6357</v>
      </c>
    </row>
    <row r="1993" spans="2:9" ht="15" customHeight="1" x14ac:dyDescent="0.25">
      <c r="B1993" s="55" t="s">
        <v>279</v>
      </c>
      <c r="C1993" s="46">
        <v>1981</v>
      </c>
      <c r="D1993" s="69" t="s">
        <v>29416</v>
      </c>
      <c r="E1993" s="51"/>
      <c r="F1993" s="114" t="str">
        <f>IF(INDEX(I.Facility.P1IDNumber,1981)="","",INDEX(I.Facility.P1IDNumber,1981))</f>
        <v/>
      </c>
      <c r="G1993" s="51"/>
      <c r="H1993" s="46" t="str">
        <f>IF(AND(I.Developer.P1=TRUE,I.Facility.P1FacilityCount&gt;=1981,F1993=""),"Incomplete","Complete")</f>
        <v>Complete</v>
      </c>
      <c r="I1993" s="48" t="s">
        <v>6358</v>
      </c>
    </row>
    <row r="1994" spans="2:9" ht="15" customHeight="1" x14ac:dyDescent="0.25">
      <c r="B1994" s="55" t="s">
        <v>279</v>
      </c>
      <c r="C1994" s="46">
        <v>1982</v>
      </c>
      <c r="D1994" s="69" t="s">
        <v>29416</v>
      </c>
      <c r="E1994" s="51"/>
      <c r="F1994" s="114" t="str">
        <f>IF(INDEX(I.Facility.P1IDNumber,1982)="","",INDEX(I.Facility.P1IDNumber,1982))</f>
        <v/>
      </c>
      <c r="G1994" s="51"/>
      <c r="H1994" s="46" t="str">
        <f>IF(AND(I.Developer.P1=TRUE,I.Facility.P1FacilityCount&gt;=1982,F1994=""),"Incomplete","Complete")</f>
        <v>Complete</v>
      </c>
      <c r="I1994" s="48" t="s">
        <v>6359</v>
      </c>
    </row>
    <row r="1995" spans="2:9" ht="15" customHeight="1" x14ac:dyDescent="0.25">
      <c r="B1995" s="55" t="s">
        <v>279</v>
      </c>
      <c r="C1995" s="46">
        <v>1983</v>
      </c>
      <c r="D1995" s="69" t="s">
        <v>29416</v>
      </c>
      <c r="E1995" s="51"/>
      <c r="F1995" s="114" t="str">
        <f>IF(INDEX(I.Facility.P1IDNumber,1983)="","",INDEX(I.Facility.P1IDNumber,1983))</f>
        <v/>
      </c>
      <c r="G1995" s="51"/>
      <c r="H1995" s="46" t="str">
        <f>IF(AND(I.Developer.P1=TRUE,I.Facility.P1FacilityCount&gt;=1983,F1995=""),"Incomplete","Complete")</f>
        <v>Complete</v>
      </c>
      <c r="I1995" s="48" t="s">
        <v>6360</v>
      </c>
    </row>
    <row r="1996" spans="2:9" ht="15" customHeight="1" x14ac:dyDescent="0.25">
      <c r="B1996" s="55" t="s">
        <v>279</v>
      </c>
      <c r="C1996" s="46">
        <v>1984</v>
      </c>
      <c r="D1996" s="69" t="s">
        <v>29416</v>
      </c>
      <c r="E1996" s="51"/>
      <c r="F1996" s="114" t="str">
        <f>IF(INDEX(I.Facility.P1IDNumber,1984)="","",INDEX(I.Facility.P1IDNumber,1984))</f>
        <v/>
      </c>
      <c r="G1996" s="51"/>
      <c r="H1996" s="46" t="str">
        <f>IF(AND(I.Developer.P1=TRUE,I.Facility.P1FacilityCount&gt;=1984,F1996=""),"Incomplete","Complete")</f>
        <v>Complete</v>
      </c>
      <c r="I1996" s="48" t="s">
        <v>6361</v>
      </c>
    </row>
    <row r="1997" spans="2:9" ht="15" customHeight="1" x14ac:dyDescent="0.25">
      <c r="B1997" s="55" t="s">
        <v>279</v>
      </c>
      <c r="C1997" s="46">
        <v>1985</v>
      </c>
      <c r="D1997" s="69" t="s">
        <v>29416</v>
      </c>
      <c r="E1997" s="51"/>
      <c r="F1997" s="114" t="str">
        <f>IF(INDEX(I.Facility.P1IDNumber,1985)="","",INDEX(I.Facility.P1IDNumber,1985))</f>
        <v/>
      </c>
      <c r="G1997" s="51"/>
      <c r="H1997" s="46" t="str">
        <f>IF(AND(I.Developer.P1=TRUE,I.Facility.P1FacilityCount&gt;=1985,F1997=""),"Incomplete","Complete")</f>
        <v>Complete</v>
      </c>
      <c r="I1997" s="48" t="s">
        <v>6362</v>
      </c>
    </row>
    <row r="1998" spans="2:9" ht="15" customHeight="1" x14ac:dyDescent="0.25">
      <c r="B1998" s="55" t="s">
        <v>279</v>
      </c>
      <c r="C1998" s="46">
        <v>1986</v>
      </c>
      <c r="D1998" s="69" t="s">
        <v>29416</v>
      </c>
      <c r="E1998" s="51"/>
      <c r="F1998" s="114" t="str">
        <f>IF(INDEX(I.Facility.P1IDNumber,1986)="","",INDEX(I.Facility.P1IDNumber,1986))</f>
        <v/>
      </c>
      <c r="G1998" s="51"/>
      <c r="H1998" s="46" t="str">
        <f>IF(AND(I.Developer.P1=TRUE,I.Facility.P1FacilityCount&gt;=1986,F1998=""),"Incomplete","Complete")</f>
        <v>Complete</v>
      </c>
      <c r="I1998" s="48" t="s">
        <v>6363</v>
      </c>
    </row>
    <row r="1999" spans="2:9" ht="15" customHeight="1" x14ac:dyDescent="0.25">
      <c r="B1999" s="55" t="s">
        <v>279</v>
      </c>
      <c r="C1999" s="46">
        <v>1987</v>
      </c>
      <c r="D1999" s="69" t="s">
        <v>29416</v>
      </c>
      <c r="E1999" s="51"/>
      <c r="F1999" s="114" t="str">
        <f>IF(INDEX(I.Facility.P1IDNumber,1987)="","",INDEX(I.Facility.P1IDNumber,1987))</f>
        <v/>
      </c>
      <c r="G1999" s="51"/>
      <c r="H1999" s="46" t="str">
        <f>IF(AND(I.Developer.P1=TRUE,I.Facility.P1FacilityCount&gt;=1987,F1999=""),"Incomplete","Complete")</f>
        <v>Complete</v>
      </c>
      <c r="I1999" s="48" t="s">
        <v>6364</v>
      </c>
    </row>
    <row r="2000" spans="2:9" ht="15" customHeight="1" x14ac:dyDescent="0.25">
      <c r="B2000" s="55" t="s">
        <v>279</v>
      </c>
      <c r="C2000" s="46">
        <v>1988</v>
      </c>
      <c r="D2000" s="69" t="s">
        <v>29416</v>
      </c>
      <c r="E2000" s="51"/>
      <c r="F2000" s="114" t="str">
        <f>IF(INDEX(I.Facility.P1IDNumber,1988)="","",INDEX(I.Facility.P1IDNumber,1988))</f>
        <v/>
      </c>
      <c r="G2000" s="51"/>
      <c r="H2000" s="46" t="str">
        <f>IF(AND(I.Developer.P1=TRUE,I.Facility.P1FacilityCount&gt;=1988,F2000=""),"Incomplete","Complete")</f>
        <v>Complete</v>
      </c>
      <c r="I2000" s="48" t="s">
        <v>6365</v>
      </c>
    </row>
    <row r="2001" spans="2:9" ht="15" customHeight="1" x14ac:dyDescent="0.25">
      <c r="B2001" s="55" t="s">
        <v>279</v>
      </c>
      <c r="C2001" s="46">
        <v>1989</v>
      </c>
      <c r="D2001" s="69" t="s">
        <v>29416</v>
      </c>
      <c r="E2001" s="51"/>
      <c r="F2001" s="114" t="str">
        <f>IF(INDEX(I.Facility.P1IDNumber,1989)="","",INDEX(I.Facility.P1IDNumber,1989))</f>
        <v/>
      </c>
      <c r="G2001" s="51"/>
      <c r="H2001" s="46" t="str">
        <f>IF(AND(I.Developer.P1=TRUE,I.Facility.P1FacilityCount&gt;=1989,F2001=""),"Incomplete","Complete")</f>
        <v>Complete</v>
      </c>
      <c r="I2001" s="48" t="s">
        <v>6366</v>
      </c>
    </row>
    <row r="2002" spans="2:9" ht="15" customHeight="1" x14ac:dyDescent="0.25">
      <c r="B2002" s="55" t="s">
        <v>279</v>
      </c>
      <c r="C2002" s="46">
        <v>1990</v>
      </c>
      <c r="D2002" s="69" t="s">
        <v>29416</v>
      </c>
      <c r="E2002" s="51"/>
      <c r="F2002" s="114" t="str">
        <f>IF(INDEX(I.Facility.P1IDNumber,1990)="","",INDEX(I.Facility.P1IDNumber,1990))</f>
        <v/>
      </c>
      <c r="G2002" s="51"/>
      <c r="H2002" s="46" t="str">
        <f>IF(AND(I.Developer.P1=TRUE,I.Facility.P1FacilityCount&gt;=1990,F2002=""),"Incomplete","Complete")</f>
        <v>Complete</v>
      </c>
      <c r="I2002" s="48" t="s">
        <v>6367</v>
      </c>
    </row>
    <row r="2003" spans="2:9" ht="15" customHeight="1" x14ac:dyDescent="0.25">
      <c r="B2003" s="55" t="s">
        <v>279</v>
      </c>
      <c r="C2003" s="46">
        <v>1991</v>
      </c>
      <c r="D2003" s="69" t="s">
        <v>29416</v>
      </c>
      <c r="E2003" s="51"/>
      <c r="F2003" s="114" t="str">
        <f>IF(INDEX(I.Facility.P1IDNumber,1991)="","",INDEX(I.Facility.P1IDNumber,1991))</f>
        <v/>
      </c>
      <c r="G2003" s="51"/>
      <c r="H2003" s="46" t="str">
        <f>IF(AND(I.Developer.P1=TRUE,I.Facility.P1FacilityCount&gt;=1991,F2003=""),"Incomplete","Complete")</f>
        <v>Complete</v>
      </c>
      <c r="I2003" s="48" t="s">
        <v>6368</v>
      </c>
    </row>
    <row r="2004" spans="2:9" ht="15" customHeight="1" x14ac:dyDescent="0.25">
      <c r="B2004" s="55" t="s">
        <v>279</v>
      </c>
      <c r="C2004" s="46">
        <v>1992</v>
      </c>
      <c r="D2004" s="69" t="s">
        <v>29416</v>
      </c>
      <c r="E2004" s="51"/>
      <c r="F2004" s="114" t="str">
        <f>IF(INDEX(I.Facility.P1IDNumber,1992)="","",INDEX(I.Facility.P1IDNumber,1992))</f>
        <v/>
      </c>
      <c r="G2004" s="51"/>
      <c r="H2004" s="46" t="str">
        <f>IF(AND(I.Developer.P1=TRUE,I.Facility.P1FacilityCount&gt;=1992,F2004=""),"Incomplete","Complete")</f>
        <v>Complete</v>
      </c>
      <c r="I2004" s="48" t="s">
        <v>6369</v>
      </c>
    </row>
    <row r="2005" spans="2:9" ht="15" customHeight="1" x14ac:dyDescent="0.25">
      <c r="B2005" s="55" t="s">
        <v>279</v>
      </c>
      <c r="C2005" s="46">
        <v>1993</v>
      </c>
      <c r="D2005" s="69" t="s">
        <v>29416</v>
      </c>
      <c r="E2005" s="51"/>
      <c r="F2005" s="114" t="str">
        <f>IF(INDEX(I.Facility.P1IDNumber,1993)="","",INDEX(I.Facility.P1IDNumber,1993))</f>
        <v/>
      </c>
      <c r="G2005" s="51"/>
      <c r="H2005" s="46" t="str">
        <f>IF(AND(I.Developer.P1=TRUE,I.Facility.P1FacilityCount&gt;=1993,F2005=""),"Incomplete","Complete")</f>
        <v>Complete</v>
      </c>
      <c r="I2005" s="48" t="s">
        <v>6370</v>
      </c>
    </row>
    <row r="2006" spans="2:9" ht="15" customHeight="1" x14ac:dyDescent="0.25">
      <c r="B2006" s="55" t="s">
        <v>279</v>
      </c>
      <c r="C2006" s="46">
        <v>1994</v>
      </c>
      <c r="D2006" s="69" t="s">
        <v>29416</v>
      </c>
      <c r="E2006" s="51"/>
      <c r="F2006" s="114" t="str">
        <f>IF(INDEX(I.Facility.P1IDNumber,1994)="","",INDEX(I.Facility.P1IDNumber,1994))</f>
        <v/>
      </c>
      <c r="G2006" s="51"/>
      <c r="H2006" s="46" t="str">
        <f>IF(AND(I.Developer.P1=TRUE,I.Facility.P1FacilityCount&gt;=1994,F2006=""),"Incomplete","Complete")</f>
        <v>Complete</v>
      </c>
      <c r="I2006" s="48" t="s">
        <v>6371</v>
      </c>
    </row>
    <row r="2007" spans="2:9" ht="15" customHeight="1" x14ac:dyDescent="0.25">
      <c r="B2007" s="55" t="s">
        <v>279</v>
      </c>
      <c r="C2007" s="46">
        <v>1995</v>
      </c>
      <c r="D2007" s="69" t="s">
        <v>29416</v>
      </c>
      <c r="E2007" s="51"/>
      <c r="F2007" s="114" t="str">
        <f>IF(INDEX(I.Facility.P1IDNumber,1995)="","",INDEX(I.Facility.P1IDNumber,1995))</f>
        <v/>
      </c>
      <c r="G2007" s="51"/>
      <c r="H2007" s="46" t="str">
        <f>IF(AND(I.Developer.P1=TRUE,I.Facility.P1FacilityCount&gt;=1995,F2007=""),"Incomplete","Complete")</f>
        <v>Complete</v>
      </c>
      <c r="I2007" s="48" t="s">
        <v>6372</v>
      </c>
    </row>
    <row r="2008" spans="2:9" ht="15" customHeight="1" x14ac:dyDescent="0.25">
      <c r="B2008" s="55" t="s">
        <v>279</v>
      </c>
      <c r="C2008" s="46">
        <v>1996</v>
      </c>
      <c r="D2008" s="69" t="s">
        <v>29416</v>
      </c>
      <c r="E2008" s="51"/>
      <c r="F2008" s="114" t="str">
        <f>IF(INDEX(I.Facility.P1IDNumber,1996)="","",INDEX(I.Facility.P1IDNumber,1996))</f>
        <v/>
      </c>
      <c r="G2008" s="51"/>
      <c r="H2008" s="46" t="str">
        <f>IF(AND(I.Developer.P1=TRUE,I.Facility.P1FacilityCount&gt;=1996,F2008=""),"Incomplete","Complete")</f>
        <v>Complete</v>
      </c>
      <c r="I2008" s="48" t="s">
        <v>6373</v>
      </c>
    </row>
    <row r="2009" spans="2:9" ht="15" customHeight="1" x14ac:dyDescent="0.25">
      <c r="B2009" s="55" t="s">
        <v>279</v>
      </c>
      <c r="C2009" s="46">
        <v>1997</v>
      </c>
      <c r="D2009" s="69" t="s">
        <v>29416</v>
      </c>
      <c r="E2009" s="51"/>
      <c r="F2009" s="114" t="str">
        <f>IF(INDEX(I.Facility.P1IDNumber,1997)="","",INDEX(I.Facility.P1IDNumber,1997))</f>
        <v/>
      </c>
      <c r="G2009" s="51"/>
      <c r="H2009" s="46" t="str">
        <f>IF(AND(I.Developer.P1=TRUE,I.Facility.P1FacilityCount&gt;=1997,F2009=""),"Incomplete","Complete")</f>
        <v>Complete</v>
      </c>
      <c r="I2009" s="48" t="s">
        <v>6374</v>
      </c>
    </row>
    <row r="2010" spans="2:9" ht="15" customHeight="1" x14ac:dyDescent="0.25">
      <c r="B2010" s="55" t="s">
        <v>279</v>
      </c>
      <c r="C2010" s="46">
        <v>1998</v>
      </c>
      <c r="D2010" s="69" t="s">
        <v>29416</v>
      </c>
      <c r="E2010" s="51"/>
      <c r="F2010" s="114" t="str">
        <f>IF(INDEX(I.Facility.P1IDNumber,1998)="","",INDEX(I.Facility.P1IDNumber,1998))</f>
        <v/>
      </c>
      <c r="G2010" s="51"/>
      <c r="H2010" s="46" t="str">
        <f>IF(AND(I.Developer.P1=TRUE,I.Facility.P1FacilityCount&gt;=1998,F2010=""),"Incomplete","Complete")</f>
        <v>Complete</v>
      </c>
      <c r="I2010" s="48" t="s">
        <v>6375</v>
      </c>
    </row>
    <row r="2011" spans="2:9" ht="15" customHeight="1" x14ac:dyDescent="0.25">
      <c r="B2011" s="55" t="s">
        <v>279</v>
      </c>
      <c r="C2011" s="46">
        <v>1999</v>
      </c>
      <c r="D2011" s="69" t="s">
        <v>29416</v>
      </c>
      <c r="E2011" s="51"/>
      <c r="F2011" s="114" t="str">
        <f>IF(INDEX(I.Facility.P1IDNumber,1999)="","",INDEX(I.Facility.P1IDNumber,1999))</f>
        <v/>
      </c>
      <c r="G2011" s="51"/>
      <c r="H2011" s="46" t="str">
        <f>IF(AND(I.Developer.P1=TRUE,I.Facility.P1FacilityCount&gt;=1999,F2011=""),"Incomplete","Complete")</f>
        <v>Complete</v>
      </c>
      <c r="I2011" s="48" t="s">
        <v>6376</v>
      </c>
    </row>
    <row r="2012" spans="2:9" ht="15" customHeight="1" x14ac:dyDescent="0.25">
      <c r="B2012" s="55" t="s">
        <v>279</v>
      </c>
      <c r="C2012" s="46">
        <v>2000</v>
      </c>
      <c r="D2012" s="69" t="s">
        <v>29416</v>
      </c>
      <c r="E2012" s="51"/>
      <c r="F2012" s="114" t="str">
        <f>IF(INDEX(I.Facility.P1IDNumber,2000)="","",INDEX(I.Facility.P1IDNumber,2000))</f>
        <v/>
      </c>
      <c r="G2012" s="51"/>
      <c r="H2012" s="46" t="str">
        <f>IF(AND(I.Developer.P1=TRUE,I.Facility.P1FacilityCount&gt;=2000,F2012=""),"Incomplete","Complete")</f>
        <v>Complete</v>
      </c>
      <c r="I2012" s="48" t="s">
        <v>6377</v>
      </c>
    </row>
    <row r="2013" spans="2:9" ht="15" customHeight="1" x14ac:dyDescent="0.25">
      <c r="B2013" s="55" t="s">
        <v>279</v>
      </c>
      <c r="C2013" s="46">
        <v>2001</v>
      </c>
      <c r="D2013" s="69" t="s">
        <v>29416</v>
      </c>
      <c r="E2013" s="51"/>
      <c r="F2013" s="114" t="str">
        <f>IF(INDEX(I.Facility.P1IDNumber,2001)="","",INDEX(I.Facility.P1IDNumber,2001))</f>
        <v/>
      </c>
      <c r="G2013" s="51"/>
      <c r="H2013" s="46" t="str">
        <f>IF(AND(I.Developer.P1=TRUE,I.Facility.P1FacilityCount&gt;=2001,F2013=""),"Incomplete","Complete")</f>
        <v>Complete</v>
      </c>
      <c r="I2013" s="48" t="s">
        <v>6378</v>
      </c>
    </row>
    <row r="2014" spans="2:9" ht="15" customHeight="1" x14ac:dyDescent="0.25">
      <c r="B2014" s="55" t="s">
        <v>279</v>
      </c>
      <c r="C2014" s="46">
        <v>2002</v>
      </c>
      <c r="D2014" s="69" t="s">
        <v>29416</v>
      </c>
      <c r="E2014" s="51"/>
      <c r="F2014" s="114" t="str">
        <f>IF(INDEX(I.Facility.P1IDNumber,2002)="","",INDEX(I.Facility.P1IDNumber,2002))</f>
        <v/>
      </c>
      <c r="G2014" s="51"/>
      <c r="H2014" s="46" t="str">
        <f>IF(AND(I.Developer.P1=TRUE,I.Facility.P1FacilityCount&gt;=2002,F2014=""),"Incomplete","Complete")</f>
        <v>Complete</v>
      </c>
      <c r="I2014" s="48" t="s">
        <v>6379</v>
      </c>
    </row>
    <row r="2015" spans="2:9" ht="15" customHeight="1" x14ac:dyDescent="0.25">
      <c r="B2015" s="55" t="s">
        <v>279</v>
      </c>
      <c r="C2015" s="46">
        <v>2003</v>
      </c>
      <c r="D2015" s="69" t="s">
        <v>29416</v>
      </c>
      <c r="E2015" s="51"/>
      <c r="F2015" s="114" t="str">
        <f>IF(INDEX(I.Facility.P1IDNumber,2003)="","",INDEX(I.Facility.P1IDNumber,2003))</f>
        <v/>
      </c>
      <c r="G2015" s="51"/>
      <c r="H2015" s="46" t="str">
        <f>IF(AND(I.Developer.P1=TRUE,I.Facility.P1FacilityCount&gt;=2003,F2015=""),"Incomplete","Complete")</f>
        <v>Complete</v>
      </c>
      <c r="I2015" s="48" t="s">
        <v>6380</v>
      </c>
    </row>
    <row r="2016" spans="2:9" ht="15" customHeight="1" x14ac:dyDescent="0.25">
      <c r="B2016" s="55" t="s">
        <v>279</v>
      </c>
      <c r="C2016" s="46">
        <v>2004</v>
      </c>
      <c r="D2016" s="69" t="s">
        <v>29416</v>
      </c>
      <c r="E2016" s="51"/>
      <c r="F2016" s="114" t="str">
        <f>IF(INDEX(I.Facility.P1IDNumber,2004)="","",INDEX(I.Facility.P1IDNumber,2004))</f>
        <v/>
      </c>
      <c r="G2016" s="51"/>
      <c r="H2016" s="46" t="str">
        <f>IF(AND(I.Developer.P1=TRUE,I.Facility.P1FacilityCount&gt;=2004,F2016=""),"Incomplete","Complete")</f>
        <v>Complete</v>
      </c>
      <c r="I2016" s="48" t="s">
        <v>6381</v>
      </c>
    </row>
    <row r="2017" spans="2:9" ht="15" customHeight="1" x14ac:dyDescent="0.25">
      <c r="B2017" s="55" t="s">
        <v>279</v>
      </c>
      <c r="C2017" s="46">
        <v>2005</v>
      </c>
      <c r="D2017" s="69" t="s">
        <v>29416</v>
      </c>
      <c r="E2017" s="51"/>
      <c r="F2017" s="114" t="str">
        <f>IF(INDEX(I.Facility.P1IDNumber,2005)="","",INDEX(I.Facility.P1IDNumber,2005))</f>
        <v/>
      </c>
      <c r="G2017" s="51"/>
      <c r="H2017" s="46" t="str">
        <f>IF(AND(I.Developer.P1=TRUE,I.Facility.P1FacilityCount&gt;=2005,F2017=""),"Incomplete","Complete")</f>
        <v>Complete</v>
      </c>
      <c r="I2017" s="48" t="s">
        <v>6382</v>
      </c>
    </row>
    <row r="2018" spans="2:9" ht="15" customHeight="1" x14ac:dyDescent="0.25">
      <c r="B2018" s="55" t="s">
        <v>279</v>
      </c>
      <c r="C2018" s="46">
        <v>2006</v>
      </c>
      <c r="D2018" s="69" t="s">
        <v>29416</v>
      </c>
      <c r="E2018" s="51"/>
      <c r="F2018" s="114" t="str">
        <f>IF(INDEX(I.Facility.P1IDNumber,2006)="","",INDEX(I.Facility.P1IDNumber,2006))</f>
        <v/>
      </c>
      <c r="G2018" s="51"/>
      <c r="H2018" s="46" t="str">
        <f>IF(AND(I.Developer.P1=TRUE,I.Facility.P1FacilityCount&gt;=2006,F2018=""),"Incomplete","Complete")</f>
        <v>Complete</v>
      </c>
      <c r="I2018" s="48" t="s">
        <v>6383</v>
      </c>
    </row>
    <row r="2019" spans="2:9" ht="15" customHeight="1" x14ac:dyDescent="0.25">
      <c r="B2019" s="55" t="s">
        <v>279</v>
      </c>
      <c r="C2019" s="46">
        <v>2007</v>
      </c>
      <c r="D2019" s="69" t="s">
        <v>29416</v>
      </c>
      <c r="E2019" s="51"/>
      <c r="F2019" s="114" t="str">
        <f>IF(INDEX(I.Facility.P1IDNumber,2007)="","",INDEX(I.Facility.P1IDNumber,2007))</f>
        <v/>
      </c>
      <c r="G2019" s="51"/>
      <c r="H2019" s="46" t="str">
        <f>IF(AND(I.Developer.P1=TRUE,I.Facility.P1FacilityCount&gt;=2007,F2019=""),"Incomplete","Complete")</f>
        <v>Complete</v>
      </c>
      <c r="I2019" s="48" t="s">
        <v>6384</v>
      </c>
    </row>
    <row r="2020" spans="2:9" ht="15" customHeight="1" x14ac:dyDescent="0.25">
      <c r="B2020" s="55" t="s">
        <v>279</v>
      </c>
      <c r="C2020" s="46">
        <v>2008</v>
      </c>
      <c r="D2020" s="69" t="s">
        <v>29416</v>
      </c>
      <c r="E2020" s="51"/>
      <c r="F2020" s="114" t="str">
        <f>IF(INDEX(I.Facility.P1IDNumber,2008)="","",INDEX(I.Facility.P1IDNumber,2008))</f>
        <v/>
      </c>
      <c r="G2020" s="51"/>
      <c r="H2020" s="46" t="str">
        <f>IF(AND(I.Developer.P1=TRUE,I.Facility.P1FacilityCount&gt;=2008,F2020=""),"Incomplete","Complete")</f>
        <v>Complete</v>
      </c>
      <c r="I2020" s="48" t="s">
        <v>6385</v>
      </c>
    </row>
    <row r="2021" spans="2:9" ht="15" customHeight="1" x14ac:dyDescent="0.25">
      <c r="B2021" s="55" t="s">
        <v>279</v>
      </c>
      <c r="C2021" s="46">
        <v>2009</v>
      </c>
      <c r="D2021" s="69" t="s">
        <v>29416</v>
      </c>
      <c r="E2021" s="51"/>
      <c r="F2021" s="114" t="str">
        <f>IF(INDEX(I.Facility.P1IDNumber,2009)="","",INDEX(I.Facility.P1IDNumber,2009))</f>
        <v/>
      </c>
      <c r="G2021" s="51"/>
      <c r="H2021" s="46" t="str">
        <f>IF(AND(I.Developer.P1=TRUE,I.Facility.P1FacilityCount&gt;=2009,F2021=""),"Incomplete","Complete")</f>
        <v>Complete</v>
      </c>
      <c r="I2021" s="48" t="s">
        <v>6386</v>
      </c>
    </row>
    <row r="2022" spans="2:9" ht="15" customHeight="1" x14ac:dyDescent="0.25">
      <c r="B2022" s="55" t="s">
        <v>279</v>
      </c>
      <c r="C2022" s="46">
        <v>2010</v>
      </c>
      <c r="D2022" s="69" t="s">
        <v>29416</v>
      </c>
      <c r="E2022" s="51"/>
      <c r="F2022" s="114" t="str">
        <f>IF(INDEX(I.Facility.P1IDNumber,2010)="","",INDEX(I.Facility.P1IDNumber,2010))</f>
        <v/>
      </c>
      <c r="G2022" s="51"/>
      <c r="H2022" s="46" t="str">
        <f>IF(AND(I.Developer.P1=TRUE,I.Facility.P1FacilityCount&gt;=2010,F2022=""),"Incomplete","Complete")</f>
        <v>Complete</v>
      </c>
      <c r="I2022" s="48" t="s">
        <v>6387</v>
      </c>
    </row>
    <row r="2023" spans="2:9" ht="15" customHeight="1" x14ac:dyDescent="0.25">
      <c r="B2023" s="55" t="s">
        <v>279</v>
      </c>
      <c r="C2023" s="46">
        <v>2011</v>
      </c>
      <c r="D2023" s="69" t="s">
        <v>29416</v>
      </c>
      <c r="E2023" s="51"/>
      <c r="F2023" s="114" t="str">
        <f>IF(INDEX(I.Facility.P1IDNumber,2011)="","",INDEX(I.Facility.P1IDNumber,2011))</f>
        <v/>
      </c>
      <c r="G2023" s="51"/>
      <c r="H2023" s="46" t="str">
        <f>IF(AND(I.Developer.P1=TRUE,I.Facility.P1FacilityCount&gt;=2011,F2023=""),"Incomplete","Complete")</f>
        <v>Complete</v>
      </c>
      <c r="I2023" s="48" t="s">
        <v>6388</v>
      </c>
    </row>
    <row r="2024" spans="2:9" ht="15" customHeight="1" x14ac:dyDescent="0.25">
      <c r="B2024" s="55" t="s">
        <v>279</v>
      </c>
      <c r="C2024" s="46">
        <v>2012</v>
      </c>
      <c r="D2024" s="69" t="s">
        <v>29416</v>
      </c>
      <c r="E2024" s="51"/>
      <c r="F2024" s="114" t="str">
        <f>IF(INDEX(I.Facility.P1IDNumber,2012)="","",INDEX(I.Facility.P1IDNumber,2012))</f>
        <v/>
      </c>
      <c r="G2024" s="51"/>
      <c r="H2024" s="46" t="str">
        <f>IF(AND(I.Developer.P1=TRUE,I.Facility.P1FacilityCount&gt;=2012,F2024=""),"Incomplete","Complete")</f>
        <v>Complete</v>
      </c>
      <c r="I2024" s="48" t="s">
        <v>6389</v>
      </c>
    </row>
    <row r="2025" spans="2:9" ht="15" customHeight="1" x14ac:dyDescent="0.25">
      <c r="B2025" s="55" t="s">
        <v>279</v>
      </c>
      <c r="C2025" s="46">
        <v>2013</v>
      </c>
      <c r="D2025" s="69" t="s">
        <v>29416</v>
      </c>
      <c r="E2025" s="51"/>
      <c r="F2025" s="114" t="str">
        <f>IF(INDEX(I.Facility.P1IDNumber,2013)="","",INDEX(I.Facility.P1IDNumber,2013))</f>
        <v/>
      </c>
      <c r="G2025" s="51"/>
      <c r="H2025" s="46" t="str">
        <f>IF(AND(I.Developer.P1=TRUE,I.Facility.P1FacilityCount&gt;=2013,F2025=""),"Incomplete","Complete")</f>
        <v>Complete</v>
      </c>
      <c r="I2025" s="48" t="s">
        <v>6390</v>
      </c>
    </row>
    <row r="2026" spans="2:9" ht="15" customHeight="1" x14ac:dyDescent="0.25">
      <c r="B2026" s="55" t="s">
        <v>279</v>
      </c>
      <c r="C2026" s="46">
        <v>2014</v>
      </c>
      <c r="D2026" s="69" t="s">
        <v>29416</v>
      </c>
      <c r="E2026" s="51"/>
      <c r="F2026" s="114" t="str">
        <f>IF(INDEX(I.Facility.P1IDNumber,2014)="","",INDEX(I.Facility.P1IDNumber,2014))</f>
        <v/>
      </c>
      <c r="G2026" s="51"/>
      <c r="H2026" s="46" t="str">
        <f>IF(AND(I.Developer.P1=TRUE,I.Facility.P1FacilityCount&gt;=2014,F2026=""),"Incomplete","Complete")</f>
        <v>Complete</v>
      </c>
      <c r="I2026" s="48" t="s">
        <v>6391</v>
      </c>
    </row>
    <row r="2027" spans="2:9" ht="15" customHeight="1" x14ac:dyDescent="0.25">
      <c r="B2027" s="55" t="s">
        <v>279</v>
      </c>
      <c r="C2027" s="46">
        <v>2015</v>
      </c>
      <c r="D2027" s="69" t="s">
        <v>29416</v>
      </c>
      <c r="E2027" s="51"/>
      <c r="F2027" s="114" t="str">
        <f>IF(INDEX(I.Facility.P1IDNumber,2015)="","",INDEX(I.Facility.P1IDNumber,2015))</f>
        <v/>
      </c>
      <c r="G2027" s="51"/>
      <c r="H2027" s="46" t="str">
        <f>IF(AND(I.Developer.P1=TRUE,I.Facility.P1FacilityCount&gt;=2015,F2027=""),"Incomplete","Complete")</f>
        <v>Complete</v>
      </c>
      <c r="I2027" s="48" t="s">
        <v>6392</v>
      </c>
    </row>
    <row r="2028" spans="2:9" ht="15" customHeight="1" x14ac:dyDescent="0.25">
      <c r="B2028" s="55" t="s">
        <v>279</v>
      </c>
      <c r="C2028" s="46">
        <v>2016</v>
      </c>
      <c r="D2028" s="69" t="s">
        <v>29416</v>
      </c>
      <c r="E2028" s="51"/>
      <c r="F2028" s="114" t="str">
        <f>IF(INDEX(I.Facility.P1IDNumber,2016)="","",INDEX(I.Facility.P1IDNumber,2016))</f>
        <v/>
      </c>
      <c r="G2028" s="51"/>
      <c r="H2028" s="46" t="str">
        <f>IF(AND(I.Developer.P1=TRUE,I.Facility.P1FacilityCount&gt;=2016,F2028=""),"Incomplete","Complete")</f>
        <v>Complete</v>
      </c>
      <c r="I2028" s="48" t="s">
        <v>6393</v>
      </c>
    </row>
    <row r="2029" spans="2:9" ht="15" customHeight="1" x14ac:dyDescent="0.25">
      <c r="B2029" s="55" t="s">
        <v>279</v>
      </c>
      <c r="C2029" s="46">
        <v>2017</v>
      </c>
      <c r="D2029" s="69" t="s">
        <v>29416</v>
      </c>
      <c r="E2029" s="51"/>
      <c r="F2029" s="114" t="str">
        <f>IF(INDEX(I.Facility.P1IDNumber,2017)="","",INDEX(I.Facility.P1IDNumber,2017))</f>
        <v/>
      </c>
      <c r="G2029" s="51"/>
      <c r="H2029" s="46" t="str">
        <f>IF(AND(I.Developer.P1=TRUE,I.Facility.P1FacilityCount&gt;=2017,F2029=""),"Incomplete","Complete")</f>
        <v>Complete</v>
      </c>
      <c r="I2029" s="48" t="s">
        <v>6394</v>
      </c>
    </row>
    <row r="2030" spans="2:9" ht="15" customHeight="1" x14ac:dyDescent="0.25">
      <c r="B2030" s="55" t="s">
        <v>279</v>
      </c>
      <c r="C2030" s="46">
        <v>2018</v>
      </c>
      <c r="D2030" s="69" t="s">
        <v>29416</v>
      </c>
      <c r="E2030" s="51"/>
      <c r="F2030" s="114" t="str">
        <f>IF(INDEX(I.Facility.P1IDNumber,2018)="","",INDEX(I.Facility.P1IDNumber,2018))</f>
        <v/>
      </c>
      <c r="G2030" s="51"/>
      <c r="H2030" s="46" t="str">
        <f>IF(AND(I.Developer.P1=TRUE,I.Facility.P1FacilityCount&gt;=2018,F2030=""),"Incomplete","Complete")</f>
        <v>Complete</v>
      </c>
      <c r="I2030" s="48" t="s">
        <v>6395</v>
      </c>
    </row>
    <row r="2031" spans="2:9" ht="15" customHeight="1" x14ac:dyDescent="0.25">
      <c r="B2031" s="55" t="s">
        <v>279</v>
      </c>
      <c r="C2031" s="46">
        <v>2019</v>
      </c>
      <c r="D2031" s="69" t="s">
        <v>29416</v>
      </c>
      <c r="E2031" s="51"/>
      <c r="F2031" s="114" t="str">
        <f>IF(INDEX(I.Facility.P1IDNumber,2019)="","",INDEX(I.Facility.P1IDNumber,2019))</f>
        <v/>
      </c>
      <c r="G2031" s="51"/>
      <c r="H2031" s="46" t="str">
        <f>IF(AND(I.Developer.P1=TRUE,I.Facility.P1FacilityCount&gt;=2019,F2031=""),"Incomplete","Complete")</f>
        <v>Complete</v>
      </c>
      <c r="I2031" s="48" t="s">
        <v>6396</v>
      </c>
    </row>
    <row r="2032" spans="2:9" ht="15" customHeight="1" x14ac:dyDescent="0.25">
      <c r="B2032" s="55" t="s">
        <v>279</v>
      </c>
      <c r="C2032" s="46">
        <v>2020</v>
      </c>
      <c r="D2032" s="69" t="s">
        <v>29416</v>
      </c>
      <c r="E2032" s="51"/>
      <c r="F2032" s="114" t="str">
        <f>IF(INDEX(I.Facility.P1IDNumber,2020)="","",INDEX(I.Facility.P1IDNumber,2020))</f>
        <v/>
      </c>
      <c r="G2032" s="51"/>
      <c r="H2032" s="46" t="str">
        <f>IF(AND(I.Developer.P1=TRUE,I.Facility.P1FacilityCount&gt;=2020,F2032=""),"Incomplete","Complete")</f>
        <v>Complete</v>
      </c>
      <c r="I2032" s="48" t="s">
        <v>6397</v>
      </c>
    </row>
    <row r="2033" spans="2:9" ht="15" customHeight="1" x14ac:dyDescent="0.25">
      <c r="B2033" s="55" t="s">
        <v>279</v>
      </c>
      <c r="C2033" s="46">
        <v>2021</v>
      </c>
      <c r="D2033" s="69" t="s">
        <v>29416</v>
      </c>
      <c r="E2033" s="51"/>
      <c r="F2033" s="114" t="str">
        <f>IF(INDEX(I.Facility.P1IDNumber,2021)="","",INDEX(I.Facility.P1IDNumber,2021))</f>
        <v/>
      </c>
      <c r="G2033" s="51"/>
      <c r="H2033" s="46" t="str">
        <f>IF(AND(I.Developer.P1=TRUE,I.Facility.P1FacilityCount&gt;=2021,F2033=""),"Incomplete","Complete")</f>
        <v>Complete</v>
      </c>
      <c r="I2033" s="48" t="s">
        <v>6398</v>
      </c>
    </row>
    <row r="2034" spans="2:9" ht="15" customHeight="1" x14ac:dyDescent="0.25">
      <c r="B2034" s="55" t="s">
        <v>279</v>
      </c>
      <c r="C2034" s="46">
        <v>2022</v>
      </c>
      <c r="D2034" s="69" t="s">
        <v>29416</v>
      </c>
      <c r="E2034" s="51"/>
      <c r="F2034" s="114" t="str">
        <f>IF(INDEX(I.Facility.P1IDNumber,2022)="","",INDEX(I.Facility.P1IDNumber,2022))</f>
        <v/>
      </c>
      <c r="G2034" s="51"/>
      <c r="H2034" s="46" t="str">
        <f>IF(AND(I.Developer.P1=TRUE,I.Facility.P1FacilityCount&gt;=2022,F2034=""),"Incomplete","Complete")</f>
        <v>Complete</v>
      </c>
      <c r="I2034" s="48" t="s">
        <v>6399</v>
      </c>
    </row>
    <row r="2035" spans="2:9" ht="15" customHeight="1" x14ac:dyDescent="0.25">
      <c r="B2035" s="55" t="s">
        <v>279</v>
      </c>
      <c r="C2035" s="46">
        <v>2023</v>
      </c>
      <c r="D2035" s="69" t="s">
        <v>29416</v>
      </c>
      <c r="E2035" s="51"/>
      <c r="F2035" s="114" t="str">
        <f>IF(INDEX(I.Facility.P1IDNumber,2023)="","",INDEX(I.Facility.P1IDNumber,2023))</f>
        <v/>
      </c>
      <c r="G2035" s="51"/>
      <c r="H2035" s="46" t="str">
        <f>IF(AND(I.Developer.P1=TRUE,I.Facility.P1FacilityCount&gt;=2023,F2035=""),"Incomplete","Complete")</f>
        <v>Complete</v>
      </c>
      <c r="I2035" s="48" t="s">
        <v>6400</v>
      </c>
    </row>
    <row r="2036" spans="2:9" ht="15" customHeight="1" x14ac:dyDescent="0.25">
      <c r="B2036" s="55" t="s">
        <v>279</v>
      </c>
      <c r="C2036" s="46">
        <v>2024</v>
      </c>
      <c r="D2036" s="69" t="s">
        <v>29416</v>
      </c>
      <c r="E2036" s="51"/>
      <c r="F2036" s="114" t="str">
        <f>IF(INDEX(I.Facility.P1IDNumber,2024)="","",INDEX(I.Facility.P1IDNumber,2024))</f>
        <v/>
      </c>
      <c r="G2036" s="51"/>
      <c r="H2036" s="46" t="str">
        <f>IF(AND(I.Developer.P1=TRUE,I.Facility.P1FacilityCount&gt;=2024,F2036=""),"Incomplete","Complete")</f>
        <v>Complete</v>
      </c>
      <c r="I2036" s="48" t="s">
        <v>6401</v>
      </c>
    </row>
    <row r="2037" spans="2:9" ht="15" customHeight="1" x14ac:dyDescent="0.25">
      <c r="B2037" s="55" t="s">
        <v>279</v>
      </c>
      <c r="C2037" s="46">
        <v>2025</v>
      </c>
      <c r="D2037" s="69" t="s">
        <v>29416</v>
      </c>
      <c r="E2037" s="51"/>
      <c r="F2037" s="114" t="str">
        <f>IF(INDEX(I.Facility.P1IDNumber,2025)="","",INDEX(I.Facility.P1IDNumber,2025))</f>
        <v/>
      </c>
      <c r="G2037" s="51"/>
      <c r="H2037" s="46" t="str">
        <f>IF(AND(I.Developer.P1=TRUE,I.Facility.P1FacilityCount&gt;=2025,F2037=""),"Incomplete","Complete")</f>
        <v>Complete</v>
      </c>
      <c r="I2037" s="48" t="s">
        <v>6402</v>
      </c>
    </row>
    <row r="2038" spans="2:9" ht="15" customHeight="1" x14ac:dyDescent="0.25">
      <c r="B2038" s="55" t="s">
        <v>279</v>
      </c>
      <c r="C2038" s="46">
        <v>2026</v>
      </c>
      <c r="D2038" s="69" t="s">
        <v>29416</v>
      </c>
      <c r="E2038" s="51"/>
      <c r="F2038" s="114" t="str">
        <f>IF(INDEX(I.Facility.P1IDNumber,2026)="","",INDEX(I.Facility.P1IDNumber,2026))</f>
        <v/>
      </c>
      <c r="G2038" s="51"/>
      <c r="H2038" s="46" t="str">
        <f>IF(AND(I.Developer.P1=TRUE,I.Facility.P1FacilityCount&gt;=2026,F2038=""),"Incomplete","Complete")</f>
        <v>Complete</v>
      </c>
      <c r="I2038" s="48" t="s">
        <v>6403</v>
      </c>
    </row>
    <row r="2039" spans="2:9" ht="15" customHeight="1" x14ac:dyDescent="0.25">
      <c r="B2039" s="55" t="s">
        <v>279</v>
      </c>
      <c r="C2039" s="46">
        <v>2027</v>
      </c>
      <c r="D2039" s="69" t="s">
        <v>29416</v>
      </c>
      <c r="E2039" s="51"/>
      <c r="F2039" s="114" t="str">
        <f>IF(INDEX(I.Facility.P1IDNumber,2027)="","",INDEX(I.Facility.P1IDNumber,2027))</f>
        <v/>
      </c>
      <c r="G2039" s="51"/>
      <c r="H2039" s="46" t="str">
        <f>IF(AND(I.Developer.P1=TRUE,I.Facility.P1FacilityCount&gt;=2027,F2039=""),"Incomplete","Complete")</f>
        <v>Complete</v>
      </c>
      <c r="I2039" s="48" t="s">
        <v>6404</v>
      </c>
    </row>
    <row r="2040" spans="2:9" ht="15" customHeight="1" x14ac:dyDescent="0.25">
      <c r="B2040" s="55" t="s">
        <v>279</v>
      </c>
      <c r="C2040" s="46">
        <v>2028</v>
      </c>
      <c r="D2040" s="69" t="s">
        <v>29416</v>
      </c>
      <c r="E2040" s="51"/>
      <c r="F2040" s="114" t="str">
        <f>IF(INDEX(I.Facility.P1IDNumber,2028)="","",INDEX(I.Facility.P1IDNumber,2028))</f>
        <v/>
      </c>
      <c r="G2040" s="51"/>
      <c r="H2040" s="46" t="str">
        <f>IF(AND(I.Developer.P1=TRUE,I.Facility.P1FacilityCount&gt;=2028,F2040=""),"Incomplete","Complete")</f>
        <v>Complete</v>
      </c>
      <c r="I2040" s="48" t="s">
        <v>6405</v>
      </c>
    </row>
    <row r="2041" spans="2:9" ht="15" customHeight="1" x14ac:dyDescent="0.25">
      <c r="B2041" s="55" t="s">
        <v>279</v>
      </c>
      <c r="C2041" s="46">
        <v>2029</v>
      </c>
      <c r="D2041" s="69" t="s">
        <v>29416</v>
      </c>
      <c r="E2041" s="51"/>
      <c r="F2041" s="114" t="str">
        <f>IF(INDEX(I.Facility.P1IDNumber,2029)="","",INDEX(I.Facility.P1IDNumber,2029))</f>
        <v/>
      </c>
      <c r="G2041" s="51"/>
      <c r="H2041" s="46" t="str">
        <f>IF(AND(I.Developer.P1=TRUE,I.Facility.P1FacilityCount&gt;=2029,F2041=""),"Incomplete","Complete")</f>
        <v>Complete</v>
      </c>
      <c r="I2041" s="48" t="s">
        <v>6406</v>
      </c>
    </row>
    <row r="2042" spans="2:9" ht="15" customHeight="1" x14ac:dyDescent="0.25">
      <c r="B2042" s="55" t="s">
        <v>279</v>
      </c>
      <c r="C2042" s="46">
        <v>2030</v>
      </c>
      <c r="D2042" s="69" t="s">
        <v>29416</v>
      </c>
      <c r="E2042" s="51"/>
      <c r="F2042" s="114" t="str">
        <f>IF(INDEX(I.Facility.P1IDNumber,2030)="","",INDEX(I.Facility.P1IDNumber,2030))</f>
        <v/>
      </c>
      <c r="G2042" s="51"/>
      <c r="H2042" s="46" t="str">
        <f>IF(AND(I.Developer.P1=TRUE,I.Facility.P1FacilityCount&gt;=2030,F2042=""),"Incomplete","Complete")</f>
        <v>Complete</v>
      </c>
      <c r="I2042" s="48" t="s">
        <v>6407</v>
      </c>
    </row>
    <row r="2043" spans="2:9" ht="15" customHeight="1" x14ac:dyDescent="0.25">
      <c r="B2043" s="55" t="s">
        <v>279</v>
      </c>
      <c r="C2043" s="46">
        <v>2031</v>
      </c>
      <c r="D2043" s="69" t="s">
        <v>29416</v>
      </c>
      <c r="E2043" s="51"/>
      <c r="F2043" s="114" t="str">
        <f>IF(INDEX(I.Facility.P1IDNumber,2031)="","",INDEX(I.Facility.P1IDNumber,2031))</f>
        <v/>
      </c>
      <c r="G2043" s="51"/>
      <c r="H2043" s="46" t="str">
        <f>IF(AND(I.Developer.P1=TRUE,I.Facility.P1FacilityCount&gt;=2031,F2043=""),"Incomplete","Complete")</f>
        <v>Complete</v>
      </c>
      <c r="I2043" s="48" t="s">
        <v>6408</v>
      </c>
    </row>
    <row r="2044" spans="2:9" ht="15" customHeight="1" x14ac:dyDescent="0.25">
      <c r="B2044" s="55" t="s">
        <v>279</v>
      </c>
      <c r="C2044" s="46">
        <v>2032</v>
      </c>
      <c r="D2044" s="69" t="s">
        <v>29416</v>
      </c>
      <c r="E2044" s="51"/>
      <c r="F2044" s="114" t="str">
        <f>IF(INDEX(I.Facility.P1IDNumber,2032)="","",INDEX(I.Facility.P1IDNumber,2032))</f>
        <v/>
      </c>
      <c r="G2044" s="51"/>
      <c r="H2044" s="46" t="str">
        <f>IF(AND(I.Developer.P1=TRUE,I.Facility.P1FacilityCount&gt;=2032,F2044=""),"Incomplete","Complete")</f>
        <v>Complete</v>
      </c>
      <c r="I2044" s="48" t="s">
        <v>6409</v>
      </c>
    </row>
    <row r="2045" spans="2:9" ht="15" customHeight="1" x14ac:dyDescent="0.25">
      <c r="B2045" s="55" t="s">
        <v>279</v>
      </c>
      <c r="C2045" s="46">
        <v>2033</v>
      </c>
      <c r="D2045" s="69" t="s">
        <v>29416</v>
      </c>
      <c r="E2045" s="51"/>
      <c r="F2045" s="114" t="str">
        <f>IF(INDEX(I.Facility.P1IDNumber,2033)="","",INDEX(I.Facility.P1IDNumber,2033))</f>
        <v/>
      </c>
      <c r="G2045" s="51"/>
      <c r="H2045" s="46" t="str">
        <f>IF(AND(I.Developer.P1=TRUE,I.Facility.P1FacilityCount&gt;=2033,F2045=""),"Incomplete","Complete")</f>
        <v>Complete</v>
      </c>
      <c r="I2045" s="48" t="s">
        <v>6410</v>
      </c>
    </row>
    <row r="2046" spans="2:9" ht="15" customHeight="1" x14ac:dyDescent="0.25">
      <c r="B2046" s="55" t="s">
        <v>279</v>
      </c>
      <c r="C2046" s="46">
        <v>2034</v>
      </c>
      <c r="D2046" s="69" t="s">
        <v>29416</v>
      </c>
      <c r="E2046" s="51"/>
      <c r="F2046" s="114" t="str">
        <f>IF(INDEX(I.Facility.P1IDNumber,2034)="","",INDEX(I.Facility.P1IDNumber,2034))</f>
        <v/>
      </c>
      <c r="G2046" s="51"/>
      <c r="H2046" s="46" t="str">
        <f>IF(AND(I.Developer.P1=TRUE,I.Facility.P1FacilityCount&gt;=2034,F2046=""),"Incomplete","Complete")</f>
        <v>Complete</v>
      </c>
      <c r="I2046" s="48" t="s">
        <v>6411</v>
      </c>
    </row>
    <row r="2047" spans="2:9" ht="15" customHeight="1" x14ac:dyDescent="0.25">
      <c r="B2047" s="55" t="s">
        <v>279</v>
      </c>
      <c r="C2047" s="46">
        <v>2035</v>
      </c>
      <c r="D2047" s="69" t="s">
        <v>29416</v>
      </c>
      <c r="E2047" s="51"/>
      <c r="F2047" s="114" t="str">
        <f>IF(INDEX(I.Facility.P1IDNumber,2035)="","",INDEX(I.Facility.P1IDNumber,2035))</f>
        <v/>
      </c>
      <c r="G2047" s="51"/>
      <c r="H2047" s="46" t="str">
        <f>IF(AND(I.Developer.P1=TRUE,I.Facility.P1FacilityCount&gt;=2035,F2047=""),"Incomplete","Complete")</f>
        <v>Complete</v>
      </c>
      <c r="I2047" s="48" t="s">
        <v>6412</v>
      </c>
    </row>
    <row r="2048" spans="2:9" ht="15" customHeight="1" x14ac:dyDescent="0.25">
      <c r="B2048" s="55" t="s">
        <v>279</v>
      </c>
      <c r="C2048" s="46">
        <v>2036</v>
      </c>
      <c r="D2048" s="69" t="s">
        <v>29416</v>
      </c>
      <c r="E2048" s="51"/>
      <c r="F2048" s="114" t="str">
        <f>IF(INDEX(I.Facility.P1IDNumber,2036)="","",INDEX(I.Facility.P1IDNumber,2036))</f>
        <v/>
      </c>
      <c r="G2048" s="51"/>
      <c r="H2048" s="46" t="str">
        <f>IF(AND(I.Developer.P1=TRUE,I.Facility.P1FacilityCount&gt;=2036,F2048=""),"Incomplete","Complete")</f>
        <v>Complete</v>
      </c>
      <c r="I2048" s="48" t="s">
        <v>6413</v>
      </c>
    </row>
    <row r="2049" spans="2:9" ht="15" customHeight="1" x14ac:dyDescent="0.25">
      <c r="B2049" s="55" t="s">
        <v>279</v>
      </c>
      <c r="C2049" s="46">
        <v>2037</v>
      </c>
      <c r="D2049" s="69" t="s">
        <v>29416</v>
      </c>
      <c r="E2049" s="51"/>
      <c r="F2049" s="114" t="str">
        <f>IF(INDEX(I.Facility.P1IDNumber,2037)="","",INDEX(I.Facility.P1IDNumber,2037))</f>
        <v/>
      </c>
      <c r="G2049" s="51"/>
      <c r="H2049" s="46" t="str">
        <f>IF(AND(I.Developer.P1=TRUE,I.Facility.P1FacilityCount&gt;=2037,F2049=""),"Incomplete","Complete")</f>
        <v>Complete</v>
      </c>
      <c r="I2049" s="48" t="s">
        <v>6414</v>
      </c>
    </row>
    <row r="2050" spans="2:9" ht="15" customHeight="1" x14ac:dyDescent="0.25">
      <c r="B2050" s="55" t="s">
        <v>279</v>
      </c>
      <c r="C2050" s="46">
        <v>2038</v>
      </c>
      <c r="D2050" s="69" t="s">
        <v>29416</v>
      </c>
      <c r="E2050" s="51"/>
      <c r="F2050" s="114" t="str">
        <f>IF(INDEX(I.Facility.P1IDNumber,2038)="","",INDEX(I.Facility.P1IDNumber,2038))</f>
        <v/>
      </c>
      <c r="G2050" s="51"/>
      <c r="H2050" s="46" t="str">
        <f>IF(AND(I.Developer.P1=TRUE,I.Facility.P1FacilityCount&gt;=2038,F2050=""),"Incomplete","Complete")</f>
        <v>Complete</v>
      </c>
      <c r="I2050" s="48" t="s">
        <v>6415</v>
      </c>
    </row>
    <row r="2051" spans="2:9" ht="15" customHeight="1" x14ac:dyDescent="0.25">
      <c r="B2051" s="55" t="s">
        <v>279</v>
      </c>
      <c r="C2051" s="46">
        <v>2039</v>
      </c>
      <c r="D2051" s="69" t="s">
        <v>29416</v>
      </c>
      <c r="E2051" s="51"/>
      <c r="F2051" s="114" t="str">
        <f>IF(INDEX(I.Facility.P1IDNumber,2039)="","",INDEX(I.Facility.P1IDNumber,2039))</f>
        <v/>
      </c>
      <c r="G2051" s="51"/>
      <c r="H2051" s="46" t="str">
        <f>IF(AND(I.Developer.P1=TRUE,I.Facility.P1FacilityCount&gt;=2039,F2051=""),"Incomplete","Complete")</f>
        <v>Complete</v>
      </c>
      <c r="I2051" s="48" t="s">
        <v>6416</v>
      </c>
    </row>
    <row r="2052" spans="2:9" ht="15" customHeight="1" x14ac:dyDescent="0.25">
      <c r="B2052" s="55" t="s">
        <v>279</v>
      </c>
      <c r="C2052" s="46">
        <v>2040</v>
      </c>
      <c r="D2052" s="69" t="s">
        <v>29416</v>
      </c>
      <c r="E2052" s="51"/>
      <c r="F2052" s="114" t="str">
        <f>IF(INDEX(I.Facility.P1IDNumber,2040)="","",INDEX(I.Facility.P1IDNumber,2040))</f>
        <v/>
      </c>
      <c r="G2052" s="51"/>
      <c r="H2052" s="46" t="str">
        <f>IF(AND(I.Developer.P1=TRUE,I.Facility.P1FacilityCount&gt;=2040,F2052=""),"Incomplete","Complete")</f>
        <v>Complete</v>
      </c>
      <c r="I2052" s="48" t="s">
        <v>6417</v>
      </c>
    </row>
    <row r="2053" spans="2:9" ht="15" customHeight="1" x14ac:dyDescent="0.25">
      <c r="B2053" s="55" t="s">
        <v>279</v>
      </c>
      <c r="C2053" s="46">
        <v>2041</v>
      </c>
      <c r="D2053" s="69" t="s">
        <v>29416</v>
      </c>
      <c r="E2053" s="51"/>
      <c r="F2053" s="114" t="str">
        <f>IF(INDEX(I.Facility.P1IDNumber,2041)="","",INDEX(I.Facility.P1IDNumber,2041))</f>
        <v/>
      </c>
      <c r="G2053" s="51"/>
      <c r="H2053" s="46" t="str">
        <f>IF(AND(I.Developer.P1=TRUE,I.Facility.P1FacilityCount&gt;=2041,F2053=""),"Incomplete","Complete")</f>
        <v>Complete</v>
      </c>
      <c r="I2053" s="48" t="s">
        <v>6418</v>
      </c>
    </row>
    <row r="2054" spans="2:9" ht="15" customHeight="1" x14ac:dyDescent="0.25">
      <c r="B2054" s="55" t="s">
        <v>279</v>
      </c>
      <c r="C2054" s="46">
        <v>2042</v>
      </c>
      <c r="D2054" s="69" t="s">
        <v>29416</v>
      </c>
      <c r="E2054" s="51"/>
      <c r="F2054" s="114" t="str">
        <f>IF(INDEX(I.Facility.P1IDNumber,2042)="","",INDEX(I.Facility.P1IDNumber,2042))</f>
        <v/>
      </c>
      <c r="G2054" s="51"/>
      <c r="H2054" s="46" t="str">
        <f>IF(AND(I.Developer.P1=TRUE,I.Facility.P1FacilityCount&gt;=2042,F2054=""),"Incomplete","Complete")</f>
        <v>Complete</v>
      </c>
      <c r="I2054" s="48" t="s">
        <v>6419</v>
      </c>
    </row>
    <row r="2055" spans="2:9" ht="15" customHeight="1" x14ac:dyDescent="0.25">
      <c r="B2055" s="55" t="s">
        <v>279</v>
      </c>
      <c r="C2055" s="46">
        <v>2043</v>
      </c>
      <c r="D2055" s="69" t="s">
        <v>29416</v>
      </c>
      <c r="E2055" s="51"/>
      <c r="F2055" s="114" t="str">
        <f>IF(INDEX(I.Facility.P1IDNumber,2043)="","",INDEX(I.Facility.P1IDNumber,2043))</f>
        <v/>
      </c>
      <c r="G2055" s="51"/>
      <c r="H2055" s="46" t="str">
        <f>IF(AND(I.Developer.P1=TRUE,I.Facility.P1FacilityCount&gt;=2043,F2055=""),"Incomplete","Complete")</f>
        <v>Complete</v>
      </c>
      <c r="I2055" s="48" t="s">
        <v>6420</v>
      </c>
    </row>
    <row r="2056" spans="2:9" ht="15" customHeight="1" x14ac:dyDescent="0.25">
      <c r="B2056" s="55" t="s">
        <v>279</v>
      </c>
      <c r="C2056" s="46">
        <v>2044</v>
      </c>
      <c r="D2056" s="69" t="s">
        <v>29416</v>
      </c>
      <c r="E2056" s="51"/>
      <c r="F2056" s="114" t="str">
        <f>IF(INDEX(I.Facility.P1IDNumber,2044)="","",INDEX(I.Facility.P1IDNumber,2044))</f>
        <v/>
      </c>
      <c r="G2056" s="51"/>
      <c r="H2056" s="46" t="str">
        <f>IF(AND(I.Developer.P1=TRUE,I.Facility.P1FacilityCount&gt;=2044,F2056=""),"Incomplete","Complete")</f>
        <v>Complete</v>
      </c>
      <c r="I2056" s="48" t="s">
        <v>6421</v>
      </c>
    </row>
    <row r="2057" spans="2:9" ht="15" customHeight="1" x14ac:dyDescent="0.25">
      <c r="B2057" s="55" t="s">
        <v>279</v>
      </c>
      <c r="C2057" s="46">
        <v>2045</v>
      </c>
      <c r="D2057" s="69" t="s">
        <v>29416</v>
      </c>
      <c r="E2057" s="51"/>
      <c r="F2057" s="114" t="str">
        <f>IF(INDEX(I.Facility.P1IDNumber,2045)="","",INDEX(I.Facility.P1IDNumber,2045))</f>
        <v/>
      </c>
      <c r="G2057" s="51"/>
      <c r="H2057" s="46" t="str">
        <f>IF(AND(I.Developer.P1=TRUE,I.Facility.P1FacilityCount&gt;=2045,F2057=""),"Incomplete","Complete")</f>
        <v>Complete</v>
      </c>
      <c r="I2057" s="48" t="s">
        <v>6422</v>
      </c>
    </row>
    <row r="2058" spans="2:9" ht="15" customHeight="1" x14ac:dyDescent="0.25">
      <c r="B2058" s="55" t="s">
        <v>279</v>
      </c>
      <c r="C2058" s="46">
        <v>2046</v>
      </c>
      <c r="D2058" s="69" t="s">
        <v>29416</v>
      </c>
      <c r="E2058" s="51"/>
      <c r="F2058" s="114" t="str">
        <f>IF(INDEX(I.Facility.P1IDNumber,2046)="","",INDEX(I.Facility.P1IDNumber,2046))</f>
        <v/>
      </c>
      <c r="G2058" s="51"/>
      <c r="H2058" s="46" t="str">
        <f>IF(AND(I.Developer.P1=TRUE,I.Facility.P1FacilityCount&gt;=2046,F2058=""),"Incomplete","Complete")</f>
        <v>Complete</v>
      </c>
      <c r="I2058" s="48" t="s">
        <v>6423</v>
      </c>
    </row>
    <row r="2059" spans="2:9" ht="15" customHeight="1" x14ac:dyDescent="0.25">
      <c r="B2059" s="55" t="s">
        <v>279</v>
      </c>
      <c r="C2059" s="46">
        <v>2047</v>
      </c>
      <c r="D2059" s="69" t="s">
        <v>29416</v>
      </c>
      <c r="E2059" s="51"/>
      <c r="F2059" s="114" t="str">
        <f>IF(INDEX(I.Facility.P1IDNumber,2047)="","",INDEX(I.Facility.P1IDNumber,2047))</f>
        <v/>
      </c>
      <c r="G2059" s="51"/>
      <c r="H2059" s="46" t="str">
        <f>IF(AND(I.Developer.P1=TRUE,I.Facility.P1FacilityCount&gt;=2047,F2059=""),"Incomplete","Complete")</f>
        <v>Complete</v>
      </c>
      <c r="I2059" s="48" t="s">
        <v>6424</v>
      </c>
    </row>
    <row r="2060" spans="2:9" ht="15" customHeight="1" x14ac:dyDescent="0.25">
      <c r="B2060" s="55" t="s">
        <v>279</v>
      </c>
      <c r="C2060" s="46">
        <v>2048</v>
      </c>
      <c r="D2060" s="69" t="s">
        <v>29416</v>
      </c>
      <c r="E2060" s="51"/>
      <c r="F2060" s="114" t="str">
        <f>IF(INDEX(I.Facility.P1IDNumber,2048)="","",INDEX(I.Facility.P1IDNumber,2048))</f>
        <v/>
      </c>
      <c r="G2060" s="51"/>
      <c r="H2060" s="46" t="str">
        <f>IF(AND(I.Developer.P1=TRUE,I.Facility.P1FacilityCount&gt;=2048,F2060=""),"Incomplete","Complete")</f>
        <v>Complete</v>
      </c>
      <c r="I2060" s="48" t="s">
        <v>6425</v>
      </c>
    </row>
    <row r="2061" spans="2:9" ht="15" customHeight="1" x14ac:dyDescent="0.25">
      <c r="B2061" s="55" t="s">
        <v>279</v>
      </c>
      <c r="C2061" s="46">
        <v>2049</v>
      </c>
      <c r="D2061" s="69" t="s">
        <v>29416</v>
      </c>
      <c r="E2061" s="51"/>
      <c r="F2061" s="114" t="str">
        <f>IF(INDEX(I.Facility.P1IDNumber,2049)="","",INDEX(I.Facility.P1IDNumber,2049))</f>
        <v/>
      </c>
      <c r="G2061" s="51"/>
      <c r="H2061" s="46" t="str">
        <f>IF(AND(I.Developer.P1=TRUE,I.Facility.P1FacilityCount&gt;=2049,F2061=""),"Incomplete","Complete")</f>
        <v>Complete</v>
      </c>
      <c r="I2061" s="48" t="s">
        <v>6426</v>
      </c>
    </row>
    <row r="2062" spans="2:9" ht="15" customHeight="1" x14ac:dyDescent="0.25">
      <c r="B2062" s="55" t="s">
        <v>279</v>
      </c>
      <c r="C2062" s="46">
        <v>2050</v>
      </c>
      <c r="D2062" s="69" t="s">
        <v>29416</v>
      </c>
      <c r="E2062" s="51"/>
      <c r="F2062" s="114" t="str">
        <f>IF(INDEX(I.Facility.P1IDNumber,2050)="","",INDEX(I.Facility.P1IDNumber,2050))</f>
        <v/>
      </c>
      <c r="G2062" s="51"/>
      <c r="H2062" s="46" t="str">
        <f>IF(AND(I.Developer.P1=TRUE,I.Facility.P1FacilityCount&gt;=2050,F2062=""),"Incomplete","Complete")</f>
        <v>Complete</v>
      </c>
      <c r="I2062" s="48" t="s">
        <v>6427</v>
      </c>
    </row>
    <row r="2063" spans="2:9" ht="15" customHeight="1" x14ac:dyDescent="0.25">
      <c r="B2063" s="55" t="s">
        <v>279</v>
      </c>
      <c r="C2063" s="46">
        <v>2051</v>
      </c>
      <c r="D2063" s="69" t="s">
        <v>29416</v>
      </c>
      <c r="E2063" s="51"/>
      <c r="F2063" s="114" t="str">
        <f>IF(INDEX(I.Facility.P1IDNumber,2051)="","",INDEX(I.Facility.P1IDNumber,2051))</f>
        <v/>
      </c>
      <c r="G2063" s="51"/>
      <c r="H2063" s="46" t="str">
        <f>IF(AND(I.Developer.P1=TRUE,I.Facility.P1FacilityCount&gt;=2051,F2063=""),"Incomplete","Complete")</f>
        <v>Complete</v>
      </c>
      <c r="I2063" s="48" t="s">
        <v>6428</v>
      </c>
    </row>
    <row r="2064" spans="2:9" ht="15" customHeight="1" x14ac:dyDescent="0.25">
      <c r="B2064" s="55" t="s">
        <v>279</v>
      </c>
      <c r="C2064" s="46">
        <v>2052</v>
      </c>
      <c r="D2064" s="69" t="s">
        <v>29416</v>
      </c>
      <c r="E2064" s="51"/>
      <c r="F2064" s="114" t="str">
        <f>IF(INDEX(I.Facility.P1IDNumber,2052)="","",INDEX(I.Facility.P1IDNumber,2052))</f>
        <v/>
      </c>
      <c r="G2064" s="51"/>
      <c r="H2064" s="46" t="str">
        <f>IF(AND(I.Developer.P1=TRUE,I.Facility.P1FacilityCount&gt;=2052,F2064=""),"Incomplete","Complete")</f>
        <v>Complete</v>
      </c>
      <c r="I2064" s="48" t="s">
        <v>6429</v>
      </c>
    </row>
    <row r="2065" spans="2:9" ht="15" customHeight="1" x14ac:dyDescent="0.25">
      <c r="B2065" s="55" t="s">
        <v>279</v>
      </c>
      <c r="C2065" s="46">
        <v>2053</v>
      </c>
      <c r="D2065" s="69" t="s">
        <v>29416</v>
      </c>
      <c r="E2065" s="51"/>
      <c r="F2065" s="114" t="str">
        <f>IF(INDEX(I.Facility.P1IDNumber,2053)="","",INDEX(I.Facility.P1IDNumber,2053))</f>
        <v/>
      </c>
      <c r="G2065" s="51"/>
      <c r="H2065" s="46" t="str">
        <f>IF(AND(I.Developer.P1=TRUE,I.Facility.P1FacilityCount&gt;=2053,F2065=""),"Incomplete","Complete")</f>
        <v>Complete</v>
      </c>
      <c r="I2065" s="48" t="s">
        <v>6430</v>
      </c>
    </row>
    <row r="2066" spans="2:9" ht="15" customHeight="1" x14ac:dyDescent="0.25">
      <c r="B2066" s="55" t="s">
        <v>279</v>
      </c>
      <c r="C2066" s="46">
        <v>2054</v>
      </c>
      <c r="D2066" s="69" t="s">
        <v>29416</v>
      </c>
      <c r="E2066" s="51"/>
      <c r="F2066" s="114" t="str">
        <f>IF(INDEX(I.Facility.P1IDNumber,2054)="","",INDEX(I.Facility.P1IDNumber,2054))</f>
        <v/>
      </c>
      <c r="G2066" s="51"/>
      <c r="H2066" s="46" t="str">
        <f>IF(AND(I.Developer.P1=TRUE,I.Facility.P1FacilityCount&gt;=2054,F2066=""),"Incomplete","Complete")</f>
        <v>Complete</v>
      </c>
      <c r="I2066" s="48" t="s">
        <v>6431</v>
      </c>
    </row>
    <row r="2067" spans="2:9" ht="15" customHeight="1" x14ac:dyDescent="0.25">
      <c r="B2067" s="55" t="s">
        <v>279</v>
      </c>
      <c r="C2067" s="46">
        <v>2055</v>
      </c>
      <c r="D2067" s="69" t="s">
        <v>29416</v>
      </c>
      <c r="E2067" s="51"/>
      <c r="F2067" s="114" t="str">
        <f>IF(INDEX(I.Facility.P1IDNumber,2055)="","",INDEX(I.Facility.P1IDNumber,2055))</f>
        <v/>
      </c>
      <c r="G2067" s="51"/>
      <c r="H2067" s="46" t="str">
        <f>IF(AND(I.Developer.P1=TRUE,I.Facility.P1FacilityCount&gt;=2055,F2067=""),"Incomplete","Complete")</f>
        <v>Complete</v>
      </c>
      <c r="I2067" s="48" t="s">
        <v>6432</v>
      </c>
    </row>
    <row r="2068" spans="2:9" ht="15" customHeight="1" x14ac:dyDescent="0.25">
      <c r="B2068" s="55" t="s">
        <v>279</v>
      </c>
      <c r="C2068" s="46">
        <v>2056</v>
      </c>
      <c r="D2068" s="69" t="s">
        <v>29416</v>
      </c>
      <c r="E2068" s="51"/>
      <c r="F2068" s="114" t="str">
        <f>IF(INDEX(I.Facility.P1IDNumber,2056)="","",INDEX(I.Facility.P1IDNumber,2056))</f>
        <v/>
      </c>
      <c r="G2068" s="51"/>
      <c r="H2068" s="46" t="str">
        <f>IF(AND(I.Developer.P1=TRUE,I.Facility.P1FacilityCount&gt;=2056,F2068=""),"Incomplete","Complete")</f>
        <v>Complete</v>
      </c>
      <c r="I2068" s="48" t="s">
        <v>6433</v>
      </c>
    </row>
    <row r="2069" spans="2:9" ht="15" customHeight="1" x14ac:dyDescent="0.25">
      <c r="B2069" s="55" t="s">
        <v>279</v>
      </c>
      <c r="C2069" s="46">
        <v>2057</v>
      </c>
      <c r="D2069" s="69" t="s">
        <v>29416</v>
      </c>
      <c r="E2069" s="51"/>
      <c r="F2069" s="114" t="str">
        <f>IF(INDEX(I.Facility.P1IDNumber,2057)="","",INDEX(I.Facility.P1IDNumber,2057))</f>
        <v/>
      </c>
      <c r="G2069" s="51"/>
      <c r="H2069" s="46" t="str">
        <f>IF(AND(I.Developer.P1=TRUE,I.Facility.P1FacilityCount&gt;=2057,F2069=""),"Incomplete","Complete")</f>
        <v>Complete</v>
      </c>
      <c r="I2069" s="48" t="s">
        <v>6434</v>
      </c>
    </row>
    <row r="2070" spans="2:9" ht="15" customHeight="1" x14ac:dyDescent="0.25">
      <c r="B2070" s="55" t="s">
        <v>279</v>
      </c>
      <c r="C2070" s="46">
        <v>2058</v>
      </c>
      <c r="D2070" s="69" t="s">
        <v>29416</v>
      </c>
      <c r="E2070" s="51"/>
      <c r="F2070" s="114" t="str">
        <f>IF(INDEX(I.Facility.P1IDNumber,2058)="","",INDEX(I.Facility.P1IDNumber,2058))</f>
        <v/>
      </c>
      <c r="G2070" s="51"/>
      <c r="H2070" s="46" t="str">
        <f>IF(AND(I.Developer.P1=TRUE,I.Facility.P1FacilityCount&gt;=2058,F2070=""),"Incomplete","Complete")</f>
        <v>Complete</v>
      </c>
      <c r="I2070" s="48" t="s">
        <v>6435</v>
      </c>
    </row>
    <row r="2071" spans="2:9" ht="15" customHeight="1" x14ac:dyDescent="0.25">
      <c r="B2071" s="55" t="s">
        <v>279</v>
      </c>
      <c r="C2071" s="46">
        <v>2059</v>
      </c>
      <c r="D2071" s="69" t="s">
        <v>29416</v>
      </c>
      <c r="E2071" s="51"/>
      <c r="F2071" s="114" t="str">
        <f>IF(INDEX(I.Facility.P1IDNumber,2059)="","",INDEX(I.Facility.P1IDNumber,2059))</f>
        <v/>
      </c>
      <c r="G2071" s="51"/>
      <c r="H2071" s="46" t="str">
        <f>IF(AND(I.Developer.P1=TRUE,I.Facility.P1FacilityCount&gt;=2059,F2071=""),"Incomplete","Complete")</f>
        <v>Complete</v>
      </c>
      <c r="I2071" s="48" t="s">
        <v>6436</v>
      </c>
    </row>
    <row r="2072" spans="2:9" ht="15" customHeight="1" x14ac:dyDescent="0.25">
      <c r="B2072" s="55" t="s">
        <v>279</v>
      </c>
      <c r="C2072" s="46">
        <v>2060</v>
      </c>
      <c r="D2072" s="69" t="s">
        <v>29416</v>
      </c>
      <c r="E2072" s="51"/>
      <c r="F2072" s="114" t="str">
        <f>IF(INDEX(I.Facility.P1IDNumber,2060)="","",INDEX(I.Facility.P1IDNumber,2060))</f>
        <v/>
      </c>
      <c r="G2072" s="51"/>
      <c r="H2072" s="46" t="str">
        <f>IF(AND(I.Developer.P1=TRUE,I.Facility.P1FacilityCount&gt;=2060,F2072=""),"Incomplete","Complete")</f>
        <v>Complete</v>
      </c>
      <c r="I2072" s="48" t="s">
        <v>6437</v>
      </c>
    </row>
    <row r="2073" spans="2:9" ht="15" customHeight="1" x14ac:dyDescent="0.25">
      <c r="B2073" s="55" t="s">
        <v>279</v>
      </c>
      <c r="C2073" s="46">
        <v>2061</v>
      </c>
      <c r="D2073" s="69" t="s">
        <v>29416</v>
      </c>
      <c r="E2073" s="51"/>
      <c r="F2073" s="114" t="str">
        <f>IF(INDEX(I.Facility.P1IDNumber,2061)="","",INDEX(I.Facility.P1IDNumber,2061))</f>
        <v/>
      </c>
      <c r="G2073" s="51"/>
      <c r="H2073" s="46" t="str">
        <f>IF(AND(I.Developer.P1=TRUE,I.Facility.P1FacilityCount&gt;=2061,F2073=""),"Incomplete","Complete")</f>
        <v>Complete</v>
      </c>
      <c r="I2073" s="48" t="s">
        <v>6438</v>
      </c>
    </row>
    <row r="2074" spans="2:9" ht="15" customHeight="1" x14ac:dyDescent="0.25">
      <c r="B2074" s="55" t="s">
        <v>279</v>
      </c>
      <c r="C2074" s="46">
        <v>2062</v>
      </c>
      <c r="D2074" s="69" t="s">
        <v>29416</v>
      </c>
      <c r="E2074" s="51"/>
      <c r="F2074" s="114" t="str">
        <f>IF(INDEX(I.Facility.P1IDNumber,2062)="","",INDEX(I.Facility.P1IDNumber,2062))</f>
        <v/>
      </c>
      <c r="G2074" s="51"/>
      <c r="H2074" s="46" t="str">
        <f>IF(AND(I.Developer.P1=TRUE,I.Facility.P1FacilityCount&gt;=2062,F2074=""),"Incomplete","Complete")</f>
        <v>Complete</v>
      </c>
      <c r="I2074" s="48" t="s">
        <v>6439</v>
      </c>
    </row>
    <row r="2075" spans="2:9" ht="15" customHeight="1" x14ac:dyDescent="0.25">
      <c r="B2075" s="55" t="s">
        <v>279</v>
      </c>
      <c r="C2075" s="46">
        <v>2063</v>
      </c>
      <c r="D2075" s="69" t="s">
        <v>29416</v>
      </c>
      <c r="E2075" s="51"/>
      <c r="F2075" s="114" t="str">
        <f>IF(INDEX(I.Facility.P1IDNumber,2063)="","",INDEX(I.Facility.P1IDNumber,2063))</f>
        <v/>
      </c>
      <c r="G2075" s="51"/>
      <c r="H2075" s="46" t="str">
        <f>IF(AND(I.Developer.P1=TRUE,I.Facility.P1FacilityCount&gt;=2063,F2075=""),"Incomplete","Complete")</f>
        <v>Complete</v>
      </c>
      <c r="I2075" s="48" t="s">
        <v>6440</v>
      </c>
    </row>
    <row r="2076" spans="2:9" ht="15" customHeight="1" x14ac:dyDescent="0.25">
      <c r="B2076" s="55" t="s">
        <v>279</v>
      </c>
      <c r="C2076" s="46">
        <v>2064</v>
      </c>
      <c r="D2076" s="69" t="s">
        <v>29416</v>
      </c>
      <c r="E2076" s="51"/>
      <c r="F2076" s="114" t="str">
        <f>IF(INDEX(I.Facility.P1IDNumber,2064)="","",INDEX(I.Facility.P1IDNumber,2064))</f>
        <v/>
      </c>
      <c r="G2076" s="51"/>
      <c r="H2076" s="46" t="str">
        <f>IF(AND(I.Developer.P1=TRUE,I.Facility.P1FacilityCount&gt;=2064,F2076=""),"Incomplete","Complete")</f>
        <v>Complete</v>
      </c>
      <c r="I2076" s="48" t="s">
        <v>6441</v>
      </c>
    </row>
    <row r="2077" spans="2:9" ht="15" customHeight="1" x14ac:dyDescent="0.25">
      <c r="B2077" s="55" t="s">
        <v>279</v>
      </c>
      <c r="C2077" s="46">
        <v>2065</v>
      </c>
      <c r="D2077" s="69" t="s">
        <v>29416</v>
      </c>
      <c r="E2077" s="51"/>
      <c r="F2077" s="114" t="str">
        <f>IF(INDEX(I.Facility.P1IDNumber,2065)="","",INDEX(I.Facility.P1IDNumber,2065))</f>
        <v/>
      </c>
      <c r="G2077" s="51"/>
      <c r="H2077" s="46" t="str">
        <f>IF(AND(I.Developer.P1=TRUE,I.Facility.P1FacilityCount&gt;=2065,F2077=""),"Incomplete","Complete")</f>
        <v>Complete</v>
      </c>
      <c r="I2077" s="48" t="s">
        <v>6442</v>
      </c>
    </row>
    <row r="2078" spans="2:9" ht="15" customHeight="1" x14ac:dyDescent="0.25">
      <c r="B2078" s="55" t="s">
        <v>279</v>
      </c>
      <c r="C2078" s="46">
        <v>2066</v>
      </c>
      <c r="D2078" s="69" t="s">
        <v>29416</v>
      </c>
      <c r="E2078" s="51"/>
      <c r="F2078" s="114" t="str">
        <f>IF(INDEX(I.Facility.P1IDNumber,2066)="","",INDEX(I.Facility.P1IDNumber,2066))</f>
        <v/>
      </c>
      <c r="G2078" s="51"/>
      <c r="H2078" s="46" t="str">
        <f>IF(AND(I.Developer.P1=TRUE,I.Facility.P1FacilityCount&gt;=2066,F2078=""),"Incomplete","Complete")</f>
        <v>Complete</v>
      </c>
      <c r="I2078" s="48" t="s">
        <v>6443</v>
      </c>
    </row>
    <row r="2079" spans="2:9" ht="15" customHeight="1" x14ac:dyDescent="0.25">
      <c r="B2079" s="55" t="s">
        <v>279</v>
      </c>
      <c r="C2079" s="46">
        <v>2067</v>
      </c>
      <c r="D2079" s="69" t="s">
        <v>29416</v>
      </c>
      <c r="E2079" s="51"/>
      <c r="F2079" s="114" t="str">
        <f>IF(INDEX(I.Facility.P1IDNumber,2067)="","",INDEX(I.Facility.P1IDNumber,2067))</f>
        <v/>
      </c>
      <c r="G2079" s="51"/>
      <c r="H2079" s="46" t="str">
        <f>IF(AND(I.Developer.P1=TRUE,I.Facility.P1FacilityCount&gt;=2067,F2079=""),"Incomplete","Complete")</f>
        <v>Complete</v>
      </c>
      <c r="I2079" s="48" t="s">
        <v>6444</v>
      </c>
    </row>
    <row r="2080" spans="2:9" ht="15" customHeight="1" x14ac:dyDescent="0.25">
      <c r="B2080" s="55" t="s">
        <v>279</v>
      </c>
      <c r="C2080" s="46">
        <v>2068</v>
      </c>
      <c r="D2080" s="69" t="s">
        <v>29416</v>
      </c>
      <c r="E2080" s="51"/>
      <c r="F2080" s="114" t="str">
        <f>IF(INDEX(I.Facility.P1IDNumber,2068)="","",INDEX(I.Facility.P1IDNumber,2068))</f>
        <v/>
      </c>
      <c r="G2080" s="51"/>
      <c r="H2080" s="46" t="str">
        <f>IF(AND(I.Developer.P1=TRUE,I.Facility.P1FacilityCount&gt;=2068,F2080=""),"Incomplete","Complete")</f>
        <v>Complete</v>
      </c>
      <c r="I2080" s="48" t="s">
        <v>6445</v>
      </c>
    </row>
    <row r="2081" spans="2:9" ht="15" customHeight="1" x14ac:dyDescent="0.25">
      <c r="B2081" s="55" t="s">
        <v>279</v>
      </c>
      <c r="C2081" s="46">
        <v>2069</v>
      </c>
      <c r="D2081" s="69" t="s">
        <v>29416</v>
      </c>
      <c r="E2081" s="51"/>
      <c r="F2081" s="114" t="str">
        <f>IF(INDEX(I.Facility.P1IDNumber,2069)="","",INDEX(I.Facility.P1IDNumber,2069))</f>
        <v/>
      </c>
      <c r="G2081" s="51"/>
      <c r="H2081" s="46" t="str">
        <f>IF(AND(I.Developer.P1=TRUE,I.Facility.P1FacilityCount&gt;=2069,F2081=""),"Incomplete","Complete")</f>
        <v>Complete</v>
      </c>
      <c r="I2081" s="48" t="s">
        <v>6446</v>
      </c>
    </row>
    <row r="2082" spans="2:9" ht="15" customHeight="1" x14ac:dyDescent="0.25">
      <c r="B2082" s="55" t="s">
        <v>279</v>
      </c>
      <c r="C2082" s="46">
        <v>2070</v>
      </c>
      <c r="D2082" s="69" t="s">
        <v>29416</v>
      </c>
      <c r="E2082" s="51"/>
      <c r="F2082" s="114" t="str">
        <f>IF(INDEX(I.Facility.P1IDNumber,2070)="","",INDEX(I.Facility.P1IDNumber,2070))</f>
        <v/>
      </c>
      <c r="G2082" s="51"/>
      <c r="H2082" s="46" t="str">
        <f>IF(AND(I.Developer.P1=TRUE,I.Facility.P1FacilityCount&gt;=2070,F2082=""),"Incomplete","Complete")</f>
        <v>Complete</v>
      </c>
      <c r="I2082" s="48" t="s">
        <v>6447</v>
      </c>
    </row>
    <row r="2083" spans="2:9" ht="15" customHeight="1" x14ac:dyDescent="0.25">
      <c r="B2083" s="55" t="s">
        <v>279</v>
      </c>
      <c r="C2083" s="46">
        <v>2071</v>
      </c>
      <c r="D2083" s="69" t="s">
        <v>29416</v>
      </c>
      <c r="E2083" s="51"/>
      <c r="F2083" s="114" t="str">
        <f>IF(INDEX(I.Facility.P1IDNumber,2071)="","",INDEX(I.Facility.P1IDNumber,2071))</f>
        <v/>
      </c>
      <c r="G2083" s="51"/>
      <c r="H2083" s="46" t="str">
        <f>IF(AND(I.Developer.P1=TRUE,I.Facility.P1FacilityCount&gt;=2071,F2083=""),"Incomplete","Complete")</f>
        <v>Complete</v>
      </c>
      <c r="I2083" s="48" t="s">
        <v>6448</v>
      </c>
    </row>
    <row r="2084" spans="2:9" ht="15" customHeight="1" x14ac:dyDescent="0.25">
      <c r="B2084" s="55" t="s">
        <v>279</v>
      </c>
      <c r="C2084" s="46">
        <v>2072</v>
      </c>
      <c r="D2084" s="69" t="s">
        <v>29416</v>
      </c>
      <c r="E2084" s="51"/>
      <c r="F2084" s="114" t="str">
        <f>IF(INDEX(I.Facility.P1IDNumber,2072)="","",INDEX(I.Facility.P1IDNumber,2072))</f>
        <v/>
      </c>
      <c r="G2084" s="51"/>
      <c r="H2084" s="46" t="str">
        <f>IF(AND(I.Developer.P1=TRUE,I.Facility.P1FacilityCount&gt;=2072,F2084=""),"Incomplete","Complete")</f>
        <v>Complete</v>
      </c>
      <c r="I2084" s="48" t="s">
        <v>6449</v>
      </c>
    </row>
    <row r="2085" spans="2:9" ht="15" customHeight="1" x14ac:dyDescent="0.25">
      <c r="B2085" s="55" t="s">
        <v>279</v>
      </c>
      <c r="C2085" s="46">
        <v>2073</v>
      </c>
      <c r="D2085" s="69" t="s">
        <v>29416</v>
      </c>
      <c r="E2085" s="51"/>
      <c r="F2085" s="114" t="str">
        <f>IF(INDEX(I.Facility.P1IDNumber,2073)="","",INDEX(I.Facility.P1IDNumber,2073))</f>
        <v/>
      </c>
      <c r="G2085" s="51"/>
      <c r="H2085" s="46" t="str">
        <f>IF(AND(I.Developer.P1=TRUE,I.Facility.P1FacilityCount&gt;=2073,F2085=""),"Incomplete","Complete")</f>
        <v>Complete</v>
      </c>
      <c r="I2085" s="48" t="s">
        <v>6450</v>
      </c>
    </row>
    <row r="2086" spans="2:9" ht="15" customHeight="1" x14ac:dyDescent="0.25">
      <c r="B2086" s="55" t="s">
        <v>279</v>
      </c>
      <c r="C2086" s="46">
        <v>2074</v>
      </c>
      <c r="D2086" s="69" t="s">
        <v>29416</v>
      </c>
      <c r="E2086" s="51"/>
      <c r="F2086" s="114" t="str">
        <f>IF(INDEX(I.Facility.P1IDNumber,2074)="","",INDEX(I.Facility.P1IDNumber,2074))</f>
        <v/>
      </c>
      <c r="G2086" s="51"/>
      <c r="H2086" s="46" t="str">
        <f>IF(AND(I.Developer.P1=TRUE,I.Facility.P1FacilityCount&gt;=2074,F2086=""),"Incomplete","Complete")</f>
        <v>Complete</v>
      </c>
      <c r="I2086" s="48" t="s">
        <v>6451</v>
      </c>
    </row>
    <row r="2087" spans="2:9" ht="15" customHeight="1" x14ac:dyDescent="0.25">
      <c r="B2087" s="55" t="s">
        <v>279</v>
      </c>
      <c r="C2087" s="46">
        <v>2075</v>
      </c>
      <c r="D2087" s="69" t="s">
        <v>29416</v>
      </c>
      <c r="E2087" s="51"/>
      <c r="F2087" s="114" t="str">
        <f>IF(INDEX(I.Facility.P1IDNumber,2075)="","",INDEX(I.Facility.P1IDNumber,2075))</f>
        <v/>
      </c>
      <c r="G2087" s="51"/>
      <c r="H2087" s="46" t="str">
        <f>IF(AND(I.Developer.P1=TRUE,I.Facility.P1FacilityCount&gt;=2075,F2087=""),"Incomplete","Complete")</f>
        <v>Complete</v>
      </c>
      <c r="I2087" s="48" t="s">
        <v>6452</v>
      </c>
    </row>
    <row r="2088" spans="2:9" ht="15" customHeight="1" x14ac:dyDescent="0.25">
      <c r="B2088" s="55" t="s">
        <v>279</v>
      </c>
      <c r="C2088" s="46">
        <v>2076</v>
      </c>
      <c r="D2088" s="69" t="s">
        <v>29416</v>
      </c>
      <c r="E2088" s="51"/>
      <c r="F2088" s="114" t="str">
        <f>IF(INDEX(I.Facility.P1IDNumber,2076)="","",INDEX(I.Facility.P1IDNumber,2076))</f>
        <v/>
      </c>
      <c r="G2088" s="51"/>
      <c r="H2088" s="46" t="str">
        <f>IF(AND(I.Developer.P1=TRUE,I.Facility.P1FacilityCount&gt;=2076,F2088=""),"Incomplete","Complete")</f>
        <v>Complete</v>
      </c>
      <c r="I2088" s="48" t="s">
        <v>6453</v>
      </c>
    </row>
    <row r="2089" spans="2:9" ht="15" customHeight="1" x14ac:dyDescent="0.25">
      <c r="B2089" s="55" t="s">
        <v>279</v>
      </c>
      <c r="C2089" s="46">
        <v>2077</v>
      </c>
      <c r="D2089" s="69" t="s">
        <v>29416</v>
      </c>
      <c r="E2089" s="51"/>
      <c r="F2089" s="114" t="str">
        <f>IF(INDEX(I.Facility.P1IDNumber,2077)="","",INDEX(I.Facility.P1IDNumber,2077))</f>
        <v/>
      </c>
      <c r="G2089" s="51"/>
      <c r="H2089" s="46" t="str">
        <f>IF(AND(I.Developer.P1=TRUE,I.Facility.P1FacilityCount&gt;=2077,F2089=""),"Incomplete","Complete")</f>
        <v>Complete</v>
      </c>
      <c r="I2089" s="48" t="s">
        <v>6454</v>
      </c>
    </row>
    <row r="2090" spans="2:9" ht="15" customHeight="1" x14ac:dyDescent="0.25">
      <c r="B2090" s="55" t="s">
        <v>279</v>
      </c>
      <c r="C2090" s="46">
        <v>2078</v>
      </c>
      <c r="D2090" s="69" t="s">
        <v>29416</v>
      </c>
      <c r="E2090" s="51"/>
      <c r="F2090" s="114" t="str">
        <f>IF(INDEX(I.Facility.P1IDNumber,2078)="","",INDEX(I.Facility.P1IDNumber,2078))</f>
        <v/>
      </c>
      <c r="G2090" s="51"/>
      <c r="H2090" s="46" t="str">
        <f>IF(AND(I.Developer.P1=TRUE,I.Facility.P1FacilityCount&gt;=2078,F2090=""),"Incomplete","Complete")</f>
        <v>Complete</v>
      </c>
      <c r="I2090" s="48" t="s">
        <v>6455</v>
      </c>
    </row>
    <row r="2091" spans="2:9" ht="15" customHeight="1" x14ac:dyDescent="0.25">
      <c r="B2091" s="55" t="s">
        <v>279</v>
      </c>
      <c r="C2091" s="46">
        <v>2079</v>
      </c>
      <c r="D2091" s="69" t="s">
        <v>29416</v>
      </c>
      <c r="E2091" s="51"/>
      <c r="F2091" s="114" t="str">
        <f>IF(INDEX(I.Facility.P1IDNumber,2079)="","",INDEX(I.Facility.P1IDNumber,2079))</f>
        <v/>
      </c>
      <c r="G2091" s="51"/>
      <c r="H2091" s="46" t="str">
        <f>IF(AND(I.Developer.P1=TRUE,I.Facility.P1FacilityCount&gt;=2079,F2091=""),"Incomplete","Complete")</f>
        <v>Complete</v>
      </c>
      <c r="I2091" s="48" t="s">
        <v>6456</v>
      </c>
    </row>
    <row r="2092" spans="2:9" ht="15" customHeight="1" x14ac:dyDescent="0.25">
      <c r="B2092" s="55" t="s">
        <v>279</v>
      </c>
      <c r="C2092" s="46">
        <v>2080</v>
      </c>
      <c r="D2092" s="69" t="s">
        <v>29416</v>
      </c>
      <c r="E2092" s="51"/>
      <c r="F2092" s="114" t="str">
        <f>IF(INDEX(I.Facility.P1IDNumber,2080)="","",INDEX(I.Facility.P1IDNumber,2080))</f>
        <v/>
      </c>
      <c r="G2092" s="51"/>
      <c r="H2092" s="46" t="str">
        <f>IF(AND(I.Developer.P1=TRUE,I.Facility.P1FacilityCount&gt;=2080,F2092=""),"Incomplete","Complete")</f>
        <v>Complete</v>
      </c>
      <c r="I2092" s="48" t="s">
        <v>6457</v>
      </c>
    </row>
    <row r="2093" spans="2:9" ht="15" customHeight="1" x14ac:dyDescent="0.25">
      <c r="B2093" s="55" t="s">
        <v>279</v>
      </c>
      <c r="C2093" s="46">
        <v>2081</v>
      </c>
      <c r="D2093" s="69" t="s">
        <v>29416</v>
      </c>
      <c r="E2093" s="51"/>
      <c r="F2093" s="114" t="str">
        <f>IF(INDEX(I.Facility.P1IDNumber,2081)="","",INDEX(I.Facility.P1IDNumber,2081))</f>
        <v/>
      </c>
      <c r="G2093" s="51"/>
      <c r="H2093" s="46" t="str">
        <f>IF(AND(I.Developer.P1=TRUE,I.Facility.P1FacilityCount&gt;=2081,F2093=""),"Incomplete","Complete")</f>
        <v>Complete</v>
      </c>
      <c r="I2093" s="48" t="s">
        <v>6458</v>
      </c>
    </row>
    <row r="2094" spans="2:9" ht="15" customHeight="1" x14ac:dyDescent="0.25">
      <c r="B2094" s="55" t="s">
        <v>279</v>
      </c>
      <c r="C2094" s="46">
        <v>2082</v>
      </c>
      <c r="D2094" s="69" t="s">
        <v>29416</v>
      </c>
      <c r="E2094" s="51"/>
      <c r="F2094" s="114" t="str">
        <f>IF(INDEX(I.Facility.P1IDNumber,2082)="","",INDEX(I.Facility.P1IDNumber,2082))</f>
        <v/>
      </c>
      <c r="G2094" s="51"/>
      <c r="H2094" s="46" t="str">
        <f>IF(AND(I.Developer.P1=TRUE,I.Facility.P1FacilityCount&gt;=2082,F2094=""),"Incomplete","Complete")</f>
        <v>Complete</v>
      </c>
      <c r="I2094" s="48" t="s">
        <v>6459</v>
      </c>
    </row>
    <row r="2095" spans="2:9" ht="15" customHeight="1" x14ac:dyDescent="0.25">
      <c r="B2095" s="55" t="s">
        <v>279</v>
      </c>
      <c r="C2095" s="46">
        <v>2083</v>
      </c>
      <c r="D2095" s="69" t="s">
        <v>29416</v>
      </c>
      <c r="E2095" s="51"/>
      <c r="F2095" s="114" t="str">
        <f>IF(INDEX(I.Facility.P1IDNumber,2083)="","",INDEX(I.Facility.P1IDNumber,2083))</f>
        <v/>
      </c>
      <c r="G2095" s="51"/>
      <c r="H2095" s="46" t="str">
        <f>IF(AND(I.Developer.P1=TRUE,I.Facility.P1FacilityCount&gt;=2083,F2095=""),"Incomplete","Complete")</f>
        <v>Complete</v>
      </c>
      <c r="I2095" s="48" t="s">
        <v>6460</v>
      </c>
    </row>
    <row r="2096" spans="2:9" ht="15" customHeight="1" x14ac:dyDescent="0.25">
      <c r="B2096" s="55" t="s">
        <v>279</v>
      </c>
      <c r="C2096" s="46">
        <v>2084</v>
      </c>
      <c r="D2096" s="69" t="s">
        <v>29416</v>
      </c>
      <c r="E2096" s="51"/>
      <c r="F2096" s="114" t="str">
        <f>IF(INDEX(I.Facility.P1IDNumber,2084)="","",INDEX(I.Facility.P1IDNumber,2084))</f>
        <v/>
      </c>
      <c r="G2096" s="51"/>
      <c r="H2096" s="46" t="str">
        <f>IF(AND(I.Developer.P1=TRUE,I.Facility.P1FacilityCount&gt;=2084,F2096=""),"Incomplete","Complete")</f>
        <v>Complete</v>
      </c>
      <c r="I2096" s="48" t="s">
        <v>6461</v>
      </c>
    </row>
    <row r="2097" spans="2:9" ht="15" customHeight="1" x14ac:dyDescent="0.25">
      <c r="B2097" s="55" t="s">
        <v>279</v>
      </c>
      <c r="C2097" s="46">
        <v>2085</v>
      </c>
      <c r="D2097" s="69" t="s">
        <v>29416</v>
      </c>
      <c r="E2097" s="51"/>
      <c r="F2097" s="114" t="str">
        <f>IF(INDEX(I.Facility.P1IDNumber,2085)="","",INDEX(I.Facility.P1IDNumber,2085))</f>
        <v/>
      </c>
      <c r="G2097" s="51"/>
      <c r="H2097" s="46" t="str">
        <f>IF(AND(I.Developer.P1=TRUE,I.Facility.P1FacilityCount&gt;=2085,F2097=""),"Incomplete","Complete")</f>
        <v>Complete</v>
      </c>
      <c r="I2097" s="48" t="s">
        <v>6462</v>
      </c>
    </row>
    <row r="2098" spans="2:9" ht="15" customHeight="1" x14ac:dyDescent="0.25">
      <c r="B2098" s="55" t="s">
        <v>279</v>
      </c>
      <c r="C2098" s="46">
        <v>2086</v>
      </c>
      <c r="D2098" s="69" t="s">
        <v>29416</v>
      </c>
      <c r="E2098" s="51"/>
      <c r="F2098" s="114" t="str">
        <f>IF(INDEX(I.Facility.P1IDNumber,2086)="","",INDEX(I.Facility.P1IDNumber,2086))</f>
        <v/>
      </c>
      <c r="G2098" s="51"/>
      <c r="H2098" s="46" t="str">
        <f>IF(AND(I.Developer.P1=TRUE,I.Facility.P1FacilityCount&gt;=2086,F2098=""),"Incomplete","Complete")</f>
        <v>Complete</v>
      </c>
      <c r="I2098" s="48" t="s">
        <v>6463</v>
      </c>
    </row>
    <row r="2099" spans="2:9" ht="15" customHeight="1" x14ac:dyDescent="0.25">
      <c r="B2099" s="55" t="s">
        <v>279</v>
      </c>
      <c r="C2099" s="46">
        <v>2087</v>
      </c>
      <c r="D2099" s="69" t="s">
        <v>29416</v>
      </c>
      <c r="E2099" s="51"/>
      <c r="F2099" s="114" t="str">
        <f>IF(INDEX(I.Facility.P1IDNumber,2087)="","",INDEX(I.Facility.P1IDNumber,2087))</f>
        <v/>
      </c>
      <c r="G2099" s="51"/>
      <c r="H2099" s="46" t="str">
        <f>IF(AND(I.Developer.P1=TRUE,I.Facility.P1FacilityCount&gt;=2087,F2099=""),"Incomplete","Complete")</f>
        <v>Complete</v>
      </c>
      <c r="I2099" s="48" t="s">
        <v>6464</v>
      </c>
    </row>
    <row r="2100" spans="2:9" ht="15" customHeight="1" x14ac:dyDescent="0.25">
      <c r="B2100" s="55" t="s">
        <v>279</v>
      </c>
      <c r="C2100" s="46">
        <v>2088</v>
      </c>
      <c r="D2100" s="69" t="s">
        <v>29416</v>
      </c>
      <c r="E2100" s="51"/>
      <c r="F2100" s="114" t="str">
        <f>IF(INDEX(I.Facility.P1IDNumber,2088)="","",INDEX(I.Facility.P1IDNumber,2088))</f>
        <v/>
      </c>
      <c r="G2100" s="51"/>
      <c r="H2100" s="46" t="str">
        <f>IF(AND(I.Developer.P1=TRUE,I.Facility.P1FacilityCount&gt;=2088,F2100=""),"Incomplete","Complete")</f>
        <v>Complete</v>
      </c>
      <c r="I2100" s="48" t="s">
        <v>6465</v>
      </c>
    </row>
    <row r="2101" spans="2:9" ht="15" customHeight="1" x14ac:dyDescent="0.25">
      <c r="B2101" s="55" t="s">
        <v>279</v>
      </c>
      <c r="C2101" s="46">
        <v>2089</v>
      </c>
      <c r="D2101" s="69" t="s">
        <v>29416</v>
      </c>
      <c r="E2101" s="51"/>
      <c r="F2101" s="114" t="str">
        <f>IF(INDEX(I.Facility.P1IDNumber,2089)="","",INDEX(I.Facility.P1IDNumber,2089))</f>
        <v/>
      </c>
      <c r="G2101" s="51"/>
      <c r="H2101" s="46" t="str">
        <f>IF(AND(I.Developer.P1=TRUE,I.Facility.P1FacilityCount&gt;=2089,F2101=""),"Incomplete","Complete")</f>
        <v>Complete</v>
      </c>
      <c r="I2101" s="48" t="s">
        <v>6466</v>
      </c>
    </row>
    <row r="2102" spans="2:9" ht="15" customHeight="1" x14ac:dyDescent="0.25">
      <c r="B2102" s="55" t="s">
        <v>279</v>
      </c>
      <c r="C2102" s="46">
        <v>2090</v>
      </c>
      <c r="D2102" s="69" t="s">
        <v>29416</v>
      </c>
      <c r="E2102" s="51"/>
      <c r="F2102" s="114" t="str">
        <f>IF(INDEX(I.Facility.P1IDNumber,2090)="","",INDEX(I.Facility.P1IDNumber,2090))</f>
        <v/>
      </c>
      <c r="G2102" s="51"/>
      <c r="H2102" s="46" t="str">
        <f>IF(AND(I.Developer.P1=TRUE,I.Facility.P1FacilityCount&gt;=2090,F2102=""),"Incomplete","Complete")</f>
        <v>Complete</v>
      </c>
      <c r="I2102" s="48" t="s">
        <v>6467</v>
      </c>
    </row>
    <row r="2103" spans="2:9" ht="15" customHeight="1" x14ac:dyDescent="0.25">
      <c r="B2103" s="55" t="s">
        <v>279</v>
      </c>
      <c r="C2103" s="46">
        <v>2091</v>
      </c>
      <c r="D2103" s="69" t="s">
        <v>29416</v>
      </c>
      <c r="E2103" s="51"/>
      <c r="F2103" s="114" t="str">
        <f>IF(INDEX(I.Facility.P1IDNumber,2091)="","",INDEX(I.Facility.P1IDNumber,2091))</f>
        <v/>
      </c>
      <c r="G2103" s="51"/>
      <c r="H2103" s="46" t="str">
        <f>IF(AND(I.Developer.P1=TRUE,I.Facility.P1FacilityCount&gt;=2091,F2103=""),"Incomplete","Complete")</f>
        <v>Complete</v>
      </c>
      <c r="I2103" s="48" t="s">
        <v>6468</v>
      </c>
    </row>
    <row r="2104" spans="2:9" ht="15" customHeight="1" x14ac:dyDescent="0.25">
      <c r="B2104" s="55" t="s">
        <v>279</v>
      </c>
      <c r="C2104" s="46">
        <v>2092</v>
      </c>
      <c r="D2104" s="69" t="s">
        <v>29416</v>
      </c>
      <c r="E2104" s="51"/>
      <c r="F2104" s="114" t="str">
        <f>IF(INDEX(I.Facility.P1IDNumber,2092)="","",INDEX(I.Facility.P1IDNumber,2092))</f>
        <v/>
      </c>
      <c r="G2104" s="51"/>
      <c r="H2104" s="46" t="str">
        <f>IF(AND(I.Developer.P1=TRUE,I.Facility.P1FacilityCount&gt;=2092,F2104=""),"Incomplete","Complete")</f>
        <v>Complete</v>
      </c>
      <c r="I2104" s="48" t="s">
        <v>6469</v>
      </c>
    </row>
    <row r="2105" spans="2:9" ht="15" customHeight="1" x14ac:dyDescent="0.25">
      <c r="B2105" s="55" t="s">
        <v>279</v>
      </c>
      <c r="C2105" s="46">
        <v>2093</v>
      </c>
      <c r="D2105" s="69" t="s">
        <v>29416</v>
      </c>
      <c r="E2105" s="51"/>
      <c r="F2105" s="114" t="str">
        <f>IF(INDEX(I.Facility.P1IDNumber,2093)="","",INDEX(I.Facility.P1IDNumber,2093))</f>
        <v/>
      </c>
      <c r="G2105" s="51"/>
      <c r="H2105" s="46" t="str">
        <f>IF(AND(I.Developer.P1=TRUE,I.Facility.P1FacilityCount&gt;=2093,F2105=""),"Incomplete","Complete")</f>
        <v>Complete</v>
      </c>
      <c r="I2105" s="48" t="s">
        <v>6470</v>
      </c>
    </row>
    <row r="2106" spans="2:9" ht="15" customHeight="1" x14ac:dyDescent="0.25">
      <c r="B2106" s="55" t="s">
        <v>279</v>
      </c>
      <c r="C2106" s="46">
        <v>2094</v>
      </c>
      <c r="D2106" s="69" t="s">
        <v>29416</v>
      </c>
      <c r="E2106" s="51"/>
      <c r="F2106" s="114" t="str">
        <f>IF(INDEX(I.Facility.P1IDNumber,2094)="","",INDEX(I.Facility.P1IDNumber,2094))</f>
        <v/>
      </c>
      <c r="G2106" s="51"/>
      <c r="H2106" s="46" t="str">
        <f>IF(AND(I.Developer.P1=TRUE,I.Facility.P1FacilityCount&gt;=2094,F2106=""),"Incomplete","Complete")</f>
        <v>Complete</v>
      </c>
      <c r="I2106" s="48" t="s">
        <v>6471</v>
      </c>
    </row>
    <row r="2107" spans="2:9" ht="15" customHeight="1" x14ac:dyDescent="0.25">
      <c r="B2107" s="55" t="s">
        <v>279</v>
      </c>
      <c r="C2107" s="46">
        <v>2095</v>
      </c>
      <c r="D2107" s="69" t="s">
        <v>29416</v>
      </c>
      <c r="E2107" s="51"/>
      <c r="F2107" s="114" t="str">
        <f>IF(INDEX(I.Facility.P1IDNumber,2095)="","",INDEX(I.Facility.P1IDNumber,2095))</f>
        <v/>
      </c>
      <c r="G2107" s="51"/>
      <c r="H2107" s="46" t="str">
        <f>IF(AND(I.Developer.P1=TRUE,I.Facility.P1FacilityCount&gt;=2095,F2107=""),"Incomplete","Complete")</f>
        <v>Complete</v>
      </c>
      <c r="I2107" s="48" t="s">
        <v>6472</v>
      </c>
    </row>
    <row r="2108" spans="2:9" ht="15" customHeight="1" x14ac:dyDescent="0.25">
      <c r="B2108" s="55" t="s">
        <v>279</v>
      </c>
      <c r="C2108" s="46">
        <v>2096</v>
      </c>
      <c r="D2108" s="69" t="s">
        <v>29416</v>
      </c>
      <c r="E2108" s="51"/>
      <c r="F2108" s="114" t="str">
        <f>IF(INDEX(I.Facility.P1IDNumber,2096)="","",INDEX(I.Facility.P1IDNumber,2096))</f>
        <v/>
      </c>
      <c r="G2108" s="51"/>
      <c r="H2108" s="46" t="str">
        <f>IF(AND(I.Developer.P1=TRUE,I.Facility.P1FacilityCount&gt;=2096,F2108=""),"Incomplete","Complete")</f>
        <v>Complete</v>
      </c>
      <c r="I2108" s="48" t="s">
        <v>6473</v>
      </c>
    </row>
    <row r="2109" spans="2:9" ht="15" customHeight="1" x14ac:dyDescent="0.25">
      <c r="B2109" s="55" t="s">
        <v>279</v>
      </c>
      <c r="C2109" s="46">
        <v>2097</v>
      </c>
      <c r="D2109" s="69" t="s">
        <v>29416</v>
      </c>
      <c r="E2109" s="51"/>
      <c r="F2109" s="114" t="str">
        <f>IF(INDEX(I.Facility.P1IDNumber,2097)="","",INDEX(I.Facility.P1IDNumber,2097))</f>
        <v/>
      </c>
      <c r="G2109" s="51"/>
      <c r="H2109" s="46" t="str">
        <f>IF(AND(I.Developer.P1=TRUE,I.Facility.P1FacilityCount&gt;=2097,F2109=""),"Incomplete","Complete")</f>
        <v>Complete</v>
      </c>
      <c r="I2109" s="48" t="s">
        <v>6474</v>
      </c>
    </row>
    <row r="2110" spans="2:9" ht="15" customHeight="1" x14ac:dyDescent="0.25">
      <c r="B2110" s="55" t="s">
        <v>279</v>
      </c>
      <c r="C2110" s="46">
        <v>2098</v>
      </c>
      <c r="D2110" s="69" t="s">
        <v>29416</v>
      </c>
      <c r="E2110" s="51"/>
      <c r="F2110" s="114" t="str">
        <f>IF(INDEX(I.Facility.P1IDNumber,2098)="","",INDEX(I.Facility.P1IDNumber,2098))</f>
        <v/>
      </c>
      <c r="G2110" s="51"/>
      <c r="H2110" s="46" t="str">
        <f>IF(AND(I.Developer.P1=TRUE,I.Facility.P1FacilityCount&gt;=2098,F2110=""),"Incomplete","Complete")</f>
        <v>Complete</v>
      </c>
      <c r="I2110" s="48" t="s">
        <v>6475</v>
      </c>
    </row>
    <row r="2111" spans="2:9" ht="15" customHeight="1" x14ac:dyDescent="0.25">
      <c r="B2111" s="55" t="s">
        <v>279</v>
      </c>
      <c r="C2111" s="46">
        <v>2099</v>
      </c>
      <c r="D2111" s="69" t="s">
        <v>29416</v>
      </c>
      <c r="E2111" s="51"/>
      <c r="F2111" s="114" t="str">
        <f>IF(INDEX(I.Facility.P1IDNumber,2099)="","",INDEX(I.Facility.P1IDNumber,2099))</f>
        <v/>
      </c>
      <c r="G2111" s="51"/>
      <c r="H2111" s="46" t="str">
        <f>IF(AND(I.Developer.P1=TRUE,I.Facility.P1FacilityCount&gt;=2099,F2111=""),"Incomplete","Complete")</f>
        <v>Complete</v>
      </c>
      <c r="I2111" s="48" t="s">
        <v>6476</v>
      </c>
    </row>
    <row r="2112" spans="2:9" ht="15" customHeight="1" x14ac:dyDescent="0.25">
      <c r="B2112" s="55" t="s">
        <v>279</v>
      </c>
      <c r="C2112" s="46">
        <v>2100</v>
      </c>
      <c r="D2112" s="69" t="s">
        <v>29416</v>
      </c>
      <c r="E2112" s="51"/>
      <c r="F2112" s="114" t="str">
        <f>IF(INDEX(I.Facility.P1IDNumber,2100)="","",INDEX(I.Facility.P1IDNumber,2100))</f>
        <v/>
      </c>
      <c r="G2112" s="51"/>
      <c r="H2112" s="46" t="str">
        <f>IF(AND(I.Developer.P1=TRUE,I.Facility.P1FacilityCount&gt;=2100,F2112=""),"Incomplete","Complete")</f>
        <v>Complete</v>
      </c>
      <c r="I2112" s="48" t="s">
        <v>6477</v>
      </c>
    </row>
    <row r="2113" spans="2:9" ht="15" customHeight="1" x14ac:dyDescent="0.25">
      <c r="B2113" s="55" t="s">
        <v>279</v>
      </c>
      <c r="C2113" s="46">
        <v>2101</v>
      </c>
      <c r="D2113" s="69" t="s">
        <v>29416</v>
      </c>
      <c r="E2113" s="51"/>
      <c r="F2113" s="114" t="str">
        <f>IF(INDEX(I.Facility.P1IDNumber,2101)="","",INDEX(I.Facility.P1IDNumber,2101))</f>
        <v/>
      </c>
      <c r="G2113" s="51"/>
      <c r="H2113" s="46" t="str">
        <f>IF(AND(I.Developer.P1=TRUE,I.Facility.P1FacilityCount&gt;=2101,F2113=""),"Incomplete","Complete")</f>
        <v>Complete</v>
      </c>
      <c r="I2113" s="48" t="s">
        <v>6478</v>
      </c>
    </row>
    <row r="2114" spans="2:9" ht="15" customHeight="1" x14ac:dyDescent="0.25">
      <c r="B2114" s="55" t="s">
        <v>279</v>
      </c>
      <c r="C2114" s="46">
        <v>2102</v>
      </c>
      <c r="D2114" s="69" t="s">
        <v>29416</v>
      </c>
      <c r="E2114" s="51"/>
      <c r="F2114" s="114" t="str">
        <f>IF(INDEX(I.Facility.P1IDNumber,2102)="","",INDEX(I.Facility.P1IDNumber,2102))</f>
        <v/>
      </c>
      <c r="G2114" s="51"/>
      <c r="H2114" s="46" t="str">
        <f>IF(AND(I.Developer.P1=TRUE,I.Facility.P1FacilityCount&gt;=2102,F2114=""),"Incomplete","Complete")</f>
        <v>Complete</v>
      </c>
      <c r="I2114" s="48" t="s">
        <v>6479</v>
      </c>
    </row>
    <row r="2115" spans="2:9" ht="15" customHeight="1" x14ac:dyDescent="0.25">
      <c r="B2115" s="55" t="s">
        <v>279</v>
      </c>
      <c r="C2115" s="46">
        <v>2103</v>
      </c>
      <c r="D2115" s="69" t="s">
        <v>29416</v>
      </c>
      <c r="E2115" s="51"/>
      <c r="F2115" s="114" t="str">
        <f>IF(INDEX(I.Facility.P1IDNumber,2103)="","",INDEX(I.Facility.P1IDNumber,2103))</f>
        <v/>
      </c>
      <c r="G2115" s="51"/>
      <c r="H2115" s="46" t="str">
        <f>IF(AND(I.Developer.P1=TRUE,I.Facility.P1FacilityCount&gt;=2103,F2115=""),"Incomplete","Complete")</f>
        <v>Complete</v>
      </c>
      <c r="I2115" s="48" t="s">
        <v>6480</v>
      </c>
    </row>
    <row r="2116" spans="2:9" ht="15" customHeight="1" x14ac:dyDescent="0.25">
      <c r="B2116" s="55" t="s">
        <v>279</v>
      </c>
      <c r="C2116" s="46">
        <v>2104</v>
      </c>
      <c r="D2116" s="69" t="s">
        <v>29416</v>
      </c>
      <c r="E2116" s="51"/>
      <c r="F2116" s="114" t="str">
        <f>IF(INDEX(I.Facility.P1IDNumber,2104)="","",INDEX(I.Facility.P1IDNumber,2104))</f>
        <v/>
      </c>
      <c r="G2116" s="51"/>
      <c r="H2116" s="46" t="str">
        <f>IF(AND(I.Developer.P1=TRUE,I.Facility.P1FacilityCount&gt;=2104,F2116=""),"Incomplete","Complete")</f>
        <v>Complete</v>
      </c>
      <c r="I2116" s="48" t="s">
        <v>6481</v>
      </c>
    </row>
    <row r="2117" spans="2:9" ht="15" customHeight="1" x14ac:dyDescent="0.25">
      <c r="B2117" s="55" t="s">
        <v>279</v>
      </c>
      <c r="C2117" s="46">
        <v>2105</v>
      </c>
      <c r="D2117" s="69" t="s">
        <v>29416</v>
      </c>
      <c r="E2117" s="51"/>
      <c r="F2117" s="114" t="str">
        <f>IF(INDEX(I.Facility.P1IDNumber,2105)="","",INDEX(I.Facility.P1IDNumber,2105))</f>
        <v/>
      </c>
      <c r="G2117" s="51"/>
      <c r="H2117" s="46" t="str">
        <f>IF(AND(I.Developer.P1=TRUE,I.Facility.P1FacilityCount&gt;=2105,F2117=""),"Incomplete","Complete")</f>
        <v>Complete</v>
      </c>
      <c r="I2117" s="48" t="s">
        <v>6482</v>
      </c>
    </row>
    <row r="2118" spans="2:9" ht="15" customHeight="1" x14ac:dyDescent="0.25">
      <c r="B2118" s="55" t="s">
        <v>279</v>
      </c>
      <c r="C2118" s="46">
        <v>2106</v>
      </c>
      <c r="D2118" s="69" t="s">
        <v>29416</v>
      </c>
      <c r="E2118" s="51"/>
      <c r="F2118" s="114" t="str">
        <f>IF(INDEX(I.Facility.P1IDNumber,2106)="","",INDEX(I.Facility.P1IDNumber,2106))</f>
        <v/>
      </c>
      <c r="G2118" s="51"/>
      <c r="H2118" s="46" t="str">
        <f>IF(AND(I.Developer.P1=TRUE,I.Facility.P1FacilityCount&gt;=2106,F2118=""),"Incomplete","Complete")</f>
        <v>Complete</v>
      </c>
      <c r="I2118" s="48" t="s">
        <v>6483</v>
      </c>
    </row>
    <row r="2119" spans="2:9" ht="15" customHeight="1" x14ac:dyDescent="0.25">
      <c r="B2119" s="55" t="s">
        <v>279</v>
      </c>
      <c r="C2119" s="46">
        <v>2107</v>
      </c>
      <c r="D2119" s="69" t="s">
        <v>29416</v>
      </c>
      <c r="E2119" s="51"/>
      <c r="F2119" s="114" t="str">
        <f>IF(INDEX(I.Facility.P1IDNumber,2107)="","",INDEX(I.Facility.P1IDNumber,2107))</f>
        <v/>
      </c>
      <c r="G2119" s="51"/>
      <c r="H2119" s="46" t="str">
        <f>IF(AND(I.Developer.P1=TRUE,I.Facility.P1FacilityCount&gt;=2107,F2119=""),"Incomplete","Complete")</f>
        <v>Complete</v>
      </c>
      <c r="I2119" s="48" t="s">
        <v>6484</v>
      </c>
    </row>
    <row r="2120" spans="2:9" ht="15" customHeight="1" x14ac:dyDescent="0.25">
      <c r="B2120" s="55" t="s">
        <v>279</v>
      </c>
      <c r="C2120" s="46">
        <v>2108</v>
      </c>
      <c r="D2120" s="69" t="s">
        <v>29416</v>
      </c>
      <c r="E2120" s="51"/>
      <c r="F2120" s="114" t="str">
        <f>IF(INDEX(I.Facility.P1IDNumber,2108)="","",INDEX(I.Facility.P1IDNumber,2108))</f>
        <v/>
      </c>
      <c r="G2120" s="51"/>
      <c r="H2120" s="46" t="str">
        <f>IF(AND(I.Developer.P1=TRUE,I.Facility.P1FacilityCount&gt;=2108,F2120=""),"Incomplete","Complete")</f>
        <v>Complete</v>
      </c>
      <c r="I2120" s="48" t="s">
        <v>6485</v>
      </c>
    </row>
    <row r="2121" spans="2:9" ht="15" customHeight="1" x14ac:dyDescent="0.25">
      <c r="B2121" s="55" t="s">
        <v>279</v>
      </c>
      <c r="C2121" s="46">
        <v>2109</v>
      </c>
      <c r="D2121" s="69" t="s">
        <v>29416</v>
      </c>
      <c r="E2121" s="51"/>
      <c r="F2121" s="114" t="str">
        <f>IF(INDEX(I.Facility.P1IDNumber,2109)="","",INDEX(I.Facility.P1IDNumber,2109))</f>
        <v/>
      </c>
      <c r="G2121" s="51"/>
      <c r="H2121" s="46" t="str">
        <f>IF(AND(I.Developer.P1=TRUE,I.Facility.P1FacilityCount&gt;=2109,F2121=""),"Incomplete","Complete")</f>
        <v>Complete</v>
      </c>
      <c r="I2121" s="48" t="s">
        <v>6486</v>
      </c>
    </row>
    <row r="2122" spans="2:9" ht="15" customHeight="1" x14ac:dyDescent="0.25">
      <c r="B2122" s="55" t="s">
        <v>279</v>
      </c>
      <c r="C2122" s="46">
        <v>2110</v>
      </c>
      <c r="D2122" s="69" t="s">
        <v>29416</v>
      </c>
      <c r="E2122" s="51"/>
      <c r="F2122" s="114" t="str">
        <f>IF(INDEX(I.Facility.P1IDNumber,2110)="","",INDEX(I.Facility.P1IDNumber,2110))</f>
        <v/>
      </c>
      <c r="G2122" s="51"/>
      <c r="H2122" s="46" t="str">
        <f>IF(AND(I.Developer.P1=TRUE,I.Facility.P1FacilityCount&gt;=2110,F2122=""),"Incomplete","Complete")</f>
        <v>Complete</v>
      </c>
      <c r="I2122" s="48" t="s">
        <v>6487</v>
      </c>
    </row>
    <row r="2123" spans="2:9" ht="15" customHeight="1" x14ac:dyDescent="0.25">
      <c r="B2123" s="55" t="s">
        <v>279</v>
      </c>
      <c r="C2123" s="46">
        <v>2111</v>
      </c>
      <c r="D2123" s="69" t="s">
        <v>29416</v>
      </c>
      <c r="E2123" s="51"/>
      <c r="F2123" s="114" t="str">
        <f>IF(INDEX(I.Facility.P1IDNumber,2111)="","",INDEX(I.Facility.P1IDNumber,2111))</f>
        <v/>
      </c>
      <c r="G2123" s="51"/>
      <c r="H2123" s="46" t="str">
        <f>IF(AND(I.Developer.P1=TRUE,I.Facility.P1FacilityCount&gt;=2111,F2123=""),"Incomplete","Complete")</f>
        <v>Complete</v>
      </c>
      <c r="I2123" s="48" t="s">
        <v>6488</v>
      </c>
    </row>
    <row r="2124" spans="2:9" ht="15" customHeight="1" x14ac:dyDescent="0.25">
      <c r="B2124" s="55" t="s">
        <v>279</v>
      </c>
      <c r="C2124" s="46">
        <v>2112</v>
      </c>
      <c r="D2124" s="69" t="s">
        <v>29416</v>
      </c>
      <c r="E2124" s="51"/>
      <c r="F2124" s="114" t="str">
        <f>IF(INDEX(I.Facility.P1IDNumber,2112)="","",INDEX(I.Facility.P1IDNumber,2112))</f>
        <v/>
      </c>
      <c r="G2124" s="51"/>
      <c r="H2124" s="46" t="str">
        <f>IF(AND(I.Developer.P1=TRUE,I.Facility.P1FacilityCount&gt;=2112,F2124=""),"Incomplete","Complete")</f>
        <v>Complete</v>
      </c>
      <c r="I2124" s="48" t="s">
        <v>6489</v>
      </c>
    </row>
    <row r="2125" spans="2:9" ht="15" customHeight="1" x14ac:dyDescent="0.25">
      <c r="B2125" s="55" t="s">
        <v>279</v>
      </c>
      <c r="C2125" s="46">
        <v>2113</v>
      </c>
      <c r="D2125" s="69" t="s">
        <v>29416</v>
      </c>
      <c r="E2125" s="51"/>
      <c r="F2125" s="114" t="str">
        <f>IF(INDEX(I.Facility.P1IDNumber,2113)="","",INDEX(I.Facility.P1IDNumber,2113))</f>
        <v/>
      </c>
      <c r="G2125" s="51"/>
      <c r="H2125" s="46" t="str">
        <f>IF(AND(I.Developer.P1=TRUE,I.Facility.P1FacilityCount&gt;=2113,F2125=""),"Incomplete","Complete")</f>
        <v>Complete</v>
      </c>
      <c r="I2125" s="48" t="s">
        <v>6490</v>
      </c>
    </row>
    <row r="2126" spans="2:9" ht="15" customHeight="1" x14ac:dyDescent="0.25">
      <c r="B2126" s="55" t="s">
        <v>279</v>
      </c>
      <c r="C2126" s="46">
        <v>2114</v>
      </c>
      <c r="D2126" s="69" t="s">
        <v>29416</v>
      </c>
      <c r="E2126" s="51"/>
      <c r="F2126" s="114" t="str">
        <f>IF(INDEX(I.Facility.P1IDNumber,2114)="","",INDEX(I.Facility.P1IDNumber,2114))</f>
        <v/>
      </c>
      <c r="G2126" s="51"/>
      <c r="H2126" s="46" t="str">
        <f>IF(AND(I.Developer.P1=TRUE,I.Facility.P1FacilityCount&gt;=2114,F2126=""),"Incomplete","Complete")</f>
        <v>Complete</v>
      </c>
      <c r="I2126" s="48" t="s">
        <v>6491</v>
      </c>
    </row>
    <row r="2127" spans="2:9" ht="15" customHeight="1" x14ac:dyDescent="0.25">
      <c r="B2127" s="55" t="s">
        <v>279</v>
      </c>
      <c r="C2127" s="46">
        <v>2115</v>
      </c>
      <c r="D2127" s="69" t="s">
        <v>29416</v>
      </c>
      <c r="E2127" s="51"/>
      <c r="F2127" s="114" t="str">
        <f>IF(INDEX(I.Facility.P1IDNumber,2115)="","",INDEX(I.Facility.P1IDNumber,2115))</f>
        <v/>
      </c>
      <c r="G2127" s="51"/>
      <c r="H2127" s="46" t="str">
        <f>IF(AND(I.Developer.P1=TRUE,I.Facility.P1FacilityCount&gt;=2115,F2127=""),"Incomplete","Complete")</f>
        <v>Complete</v>
      </c>
      <c r="I2127" s="48" t="s">
        <v>6492</v>
      </c>
    </row>
    <row r="2128" spans="2:9" ht="15" customHeight="1" x14ac:dyDescent="0.25">
      <c r="B2128" s="55" t="s">
        <v>279</v>
      </c>
      <c r="C2128" s="46">
        <v>2116</v>
      </c>
      <c r="D2128" s="69" t="s">
        <v>29416</v>
      </c>
      <c r="E2128" s="51"/>
      <c r="F2128" s="114" t="str">
        <f>IF(INDEX(I.Facility.P1IDNumber,2116)="","",INDEX(I.Facility.P1IDNumber,2116))</f>
        <v/>
      </c>
      <c r="G2128" s="51"/>
      <c r="H2128" s="46" t="str">
        <f>IF(AND(I.Developer.P1=TRUE,I.Facility.P1FacilityCount&gt;=2116,F2128=""),"Incomplete","Complete")</f>
        <v>Complete</v>
      </c>
      <c r="I2128" s="48" t="s">
        <v>6493</v>
      </c>
    </row>
    <row r="2129" spans="2:9" ht="15" customHeight="1" x14ac:dyDescent="0.25">
      <c r="B2129" s="55" t="s">
        <v>279</v>
      </c>
      <c r="C2129" s="46">
        <v>2117</v>
      </c>
      <c r="D2129" s="69" t="s">
        <v>29416</v>
      </c>
      <c r="E2129" s="51"/>
      <c r="F2129" s="114" t="str">
        <f>IF(INDEX(I.Facility.P1IDNumber,2117)="","",INDEX(I.Facility.P1IDNumber,2117))</f>
        <v/>
      </c>
      <c r="G2129" s="51"/>
      <c r="H2129" s="46" t="str">
        <f>IF(AND(I.Developer.P1=TRUE,I.Facility.P1FacilityCount&gt;=2117,F2129=""),"Incomplete","Complete")</f>
        <v>Complete</v>
      </c>
      <c r="I2129" s="48" t="s">
        <v>6494</v>
      </c>
    </row>
    <row r="2130" spans="2:9" ht="15" customHeight="1" x14ac:dyDescent="0.25">
      <c r="B2130" s="55" t="s">
        <v>279</v>
      </c>
      <c r="C2130" s="46">
        <v>2118</v>
      </c>
      <c r="D2130" s="69" t="s">
        <v>29416</v>
      </c>
      <c r="E2130" s="51"/>
      <c r="F2130" s="114" t="str">
        <f>IF(INDEX(I.Facility.P1IDNumber,2118)="","",INDEX(I.Facility.P1IDNumber,2118))</f>
        <v/>
      </c>
      <c r="G2130" s="51"/>
      <c r="H2130" s="46" t="str">
        <f>IF(AND(I.Developer.P1=TRUE,I.Facility.P1FacilityCount&gt;=2118,F2130=""),"Incomplete","Complete")</f>
        <v>Complete</v>
      </c>
      <c r="I2130" s="48" t="s">
        <v>6495</v>
      </c>
    </row>
    <row r="2131" spans="2:9" ht="15" customHeight="1" x14ac:dyDescent="0.25">
      <c r="B2131" s="55" t="s">
        <v>279</v>
      </c>
      <c r="C2131" s="46">
        <v>2119</v>
      </c>
      <c r="D2131" s="69" t="s">
        <v>29416</v>
      </c>
      <c r="E2131" s="51"/>
      <c r="F2131" s="114" t="str">
        <f>IF(INDEX(I.Facility.P1IDNumber,2119)="","",INDEX(I.Facility.P1IDNumber,2119))</f>
        <v/>
      </c>
      <c r="G2131" s="51"/>
      <c r="H2131" s="46" t="str">
        <f>IF(AND(I.Developer.P1=TRUE,I.Facility.P1FacilityCount&gt;=2119,F2131=""),"Incomplete","Complete")</f>
        <v>Complete</v>
      </c>
      <c r="I2131" s="48" t="s">
        <v>6496</v>
      </c>
    </row>
    <row r="2132" spans="2:9" ht="15" customHeight="1" x14ac:dyDescent="0.25">
      <c r="B2132" s="55" t="s">
        <v>279</v>
      </c>
      <c r="C2132" s="46">
        <v>2120</v>
      </c>
      <c r="D2132" s="69" t="s">
        <v>29416</v>
      </c>
      <c r="E2132" s="51"/>
      <c r="F2132" s="114" t="str">
        <f>IF(INDEX(I.Facility.P1IDNumber,2120)="","",INDEX(I.Facility.P1IDNumber,2120))</f>
        <v/>
      </c>
      <c r="G2132" s="51"/>
      <c r="H2132" s="46" t="str">
        <f>IF(AND(I.Developer.P1=TRUE,I.Facility.P1FacilityCount&gt;=2120,F2132=""),"Incomplete","Complete")</f>
        <v>Complete</v>
      </c>
      <c r="I2132" s="48" t="s">
        <v>6497</v>
      </c>
    </row>
    <row r="2133" spans="2:9" ht="15" customHeight="1" x14ac:dyDescent="0.25">
      <c r="B2133" s="55" t="s">
        <v>279</v>
      </c>
      <c r="C2133" s="46">
        <v>2121</v>
      </c>
      <c r="D2133" s="69" t="s">
        <v>29416</v>
      </c>
      <c r="E2133" s="51"/>
      <c r="F2133" s="114" t="str">
        <f>IF(INDEX(I.Facility.P1IDNumber,2121)="","",INDEX(I.Facility.P1IDNumber,2121))</f>
        <v/>
      </c>
      <c r="G2133" s="51"/>
      <c r="H2133" s="46" t="str">
        <f>IF(AND(I.Developer.P1=TRUE,I.Facility.P1FacilityCount&gt;=2121,F2133=""),"Incomplete","Complete")</f>
        <v>Complete</v>
      </c>
      <c r="I2133" s="48" t="s">
        <v>6498</v>
      </c>
    </row>
    <row r="2134" spans="2:9" ht="15" customHeight="1" x14ac:dyDescent="0.25">
      <c r="B2134" s="55" t="s">
        <v>279</v>
      </c>
      <c r="C2134" s="46">
        <v>2122</v>
      </c>
      <c r="D2134" s="69" t="s">
        <v>29416</v>
      </c>
      <c r="E2134" s="51"/>
      <c r="F2134" s="114" t="str">
        <f>IF(INDEX(I.Facility.P1IDNumber,2122)="","",INDEX(I.Facility.P1IDNumber,2122))</f>
        <v/>
      </c>
      <c r="G2134" s="51"/>
      <c r="H2134" s="46" t="str">
        <f>IF(AND(I.Developer.P1=TRUE,I.Facility.P1FacilityCount&gt;=2122,F2134=""),"Incomplete","Complete")</f>
        <v>Complete</v>
      </c>
      <c r="I2134" s="48" t="s">
        <v>6499</v>
      </c>
    </row>
    <row r="2135" spans="2:9" ht="15" customHeight="1" x14ac:dyDescent="0.25">
      <c r="B2135" s="55" t="s">
        <v>279</v>
      </c>
      <c r="C2135" s="46">
        <v>2123</v>
      </c>
      <c r="D2135" s="69" t="s">
        <v>29416</v>
      </c>
      <c r="E2135" s="51"/>
      <c r="F2135" s="114" t="str">
        <f>IF(INDEX(I.Facility.P1IDNumber,2123)="","",INDEX(I.Facility.P1IDNumber,2123))</f>
        <v/>
      </c>
      <c r="G2135" s="51"/>
      <c r="H2135" s="46" t="str">
        <f>IF(AND(I.Developer.P1=TRUE,I.Facility.P1FacilityCount&gt;=2123,F2135=""),"Incomplete","Complete")</f>
        <v>Complete</v>
      </c>
      <c r="I2135" s="48" t="s">
        <v>6500</v>
      </c>
    </row>
    <row r="2136" spans="2:9" ht="15" customHeight="1" x14ac:dyDescent="0.25">
      <c r="B2136" s="55" t="s">
        <v>279</v>
      </c>
      <c r="C2136" s="46">
        <v>2124</v>
      </c>
      <c r="D2136" s="69" t="s">
        <v>29416</v>
      </c>
      <c r="E2136" s="51"/>
      <c r="F2136" s="114" t="str">
        <f>IF(INDEX(I.Facility.P1IDNumber,2124)="","",INDEX(I.Facility.P1IDNumber,2124))</f>
        <v/>
      </c>
      <c r="G2136" s="51"/>
      <c r="H2136" s="46" t="str">
        <f>IF(AND(I.Developer.P1=TRUE,I.Facility.P1FacilityCount&gt;=2124,F2136=""),"Incomplete","Complete")</f>
        <v>Complete</v>
      </c>
      <c r="I2136" s="48" t="s">
        <v>6501</v>
      </c>
    </row>
    <row r="2137" spans="2:9" ht="15" customHeight="1" x14ac:dyDescent="0.25">
      <c r="B2137" s="55" t="s">
        <v>279</v>
      </c>
      <c r="C2137" s="46">
        <v>2125</v>
      </c>
      <c r="D2137" s="69" t="s">
        <v>29416</v>
      </c>
      <c r="E2137" s="51"/>
      <c r="F2137" s="114" t="str">
        <f>IF(INDEX(I.Facility.P1IDNumber,2125)="","",INDEX(I.Facility.P1IDNumber,2125))</f>
        <v/>
      </c>
      <c r="G2137" s="51"/>
      <c r="H2137" s="46" t="str">
        <f>IF(AND(I.Developer.P1=TRUE,I.Facility.P1FacilityCount&gt;=2125,F2137=""),"Incomplete","Complete")</f>
        <v>Complete</v>
      </c>
      <c r="I2137" s="48" t="s">
        <v>6502</v>
      </c>
    </row>
    <row r="2138" spans="2:9" ht="15" customHeight="1" x14ac:dyDescent="0.25">
      <c r="B2138" s="55" t="s">
        <v>279</v>
      </c>
      <c r="C2138" s="46">
        <v>2126</v>
      </c>
      <c r="D2138" s="69" t="s">
        <v>29416</v>
      </c>
      <c r="E2138" s="51"/>
      <c r="F2138" s="114" t="str">
        <f>IF(INDEX(I.Facility.P1IDNumber,2126)="","",INDEX(I.Facility.P1IDNumber,2126))</f>
        <v/>
      </c>
      <c r="G2138" s="51"/>
      <c r="H2138" s="46" t="str">
        <f>IF(AND(I.Developer.P1=TRUE,I.Facility.P1FacilityCount&gt;=2126,F2138=""),"Incomplete","Complete")</f>
        <v>Complete</v>
      </c>
      <c r="I2138" s="48" t="s">
        <v>6503</v>
      </c>
    </row>
    <row r="2139" spans="2:9" ht="15" customHeight="1" x14ac:dyDescent="0.25">
      <c r="B2139" s="55" t="s">
        <v>279</v>
      </c>
      <c r="C2139" s="46">
        <v>2127</v>
      </c>
      <c r="D2139" s="69" t="s">
        <v>29416</v>
      </c>
      <c r="E2139" s="51"/>
      <c r="F2139" s="114" t="str">
        <f>IF(INDEX(I.Facility.P1IDNumber,2127)="","",INDEX(I.Facility.P1IDNumber,2127))</f>
        <v/>
      </c>
      <c r="G2139" s="51"/>
      <c r="H2139" s="46" t="str">
        <f>IF(AND(I.Developer.P1=TRUE,I.Facility.P1FacilityCount&gt;=2127,F2139=""),"Incomplete","Complete")</f>
        <v>Complete</v>
      </c>
      <c r="I2139" s="48" t="s">
        <v>6504</v>
      </c>
    </row>
    <row r="2140" spans="2:9" ht="15" customHeight="1" x14ac:dyDescent="0.25">
      <c r="B2140" s="55" t="s">
        <v>279</v>
      </c>
      <c r="C2140" s="46">
        <v>2128</v>
      </c>
      <c r="D2140" s="69" t="s">
        <v>29416</v>
      </c>
      <c r="E2140" s="51"/>
      <c r="F2140" s="114" t="str">
        <f>IF(INDEX(I.Facility.P1IDNumber,2128)="","",INDEX(I.Facility.P1IDNumber,2128))</f>
        <v/>
      </c>
      <c r="G2140" s="51"/>
      <c r="H2140" s="46" t="str">
        <f>IF(AND(I.Developer.P1=TRUE,I.Facility.P1FacilityCount&gt;=2128,F2140=""),"Incomplete","Complete")</f>
        <v>Complete</v>
      </c>
      <c r="I2140" s="48" t="s">
        <v>6505</v>
      </c>
    </row>
    <row r="2141" spans="2:9" ht="15" customHeight="1" x14ac:dyDescent="0.25">
      <c r="B2141" s="55" t="s">
        <v>279</v>
      </c>
      <c r="C2141" s="46">
        <v>2129</v>
      </c>
      <c r="D2141" s="69" t="s">
        <v>29416</v>
      </c>
      <c r="E2141" s="51"/>
      <c r="F2141" s="114" t="str">
        <f>IF(INDEX(I.Facility.P1IDNumber,2129)="","",INDEX(I.Facility.P1IDNumber,2129))</f>
        <v/>
      </c>
      <c r="G2141" s="51"/>
      <c r="H2141" s="46" t="str">
        <f>IF(AND(I.Developer.P1=TRUE,I.Facility.P1FacilityCount&gt;=2129,F2141=""),"Incomplete","Complete")</f>
        <v>Complete</v>
      </c>
      <c r="I2141" s="48" t="s">
        <v>6506</v>
      </c>
    </row>
    <row r="2142" spans="2:9" ht="15" customHeight="1" x14ac:dyDescent="0.25">
      <c r="B2142" s="55" t="s">
        <v>279</v>
      </c>
      <c r="C2142" s="46">
        <v>2130</v>
      </c>
      <c r="D2142" s="69" t="s">
        <v>29416</v>
      </c>
      <c r="E2142" s="51"/>
      <c r="F2142" s="114" t="str">
        <f>IF(INDEX(I.Facility.P1IDNumber,2130)="","",INDEX(I.Facility.P1IDNumber,2130))</f>
        <v/>
      </c>
      <c r="G2142" s="51"/>
      <c r="H2142" s="46" t="str">
        <f>IF(AND(I.Developer.P1=TRUE,I.Facility.P1FacilityCount&gt;=2130,F2142=""),"Incomplete","Complete")</f>
        <v>Complete</v>
      </c>
      <c r="I2142" s="48" t="s">
        <v>6507</v>
      </c>
    </row>
    <row r="2143" spans="2:9" ht="15" customHeight="1" x14ac:dyDescent="0.25">
      <c r="B2143" s="55" t="s">
        <v>279</v>
      </c>
      <c r="C2143" s="46">
        <v>2131</v>
      </c>
      <c r="D2143" s="69" t="s">
        <v>29416</v>
      </c>
      <c r="E2143" s="51"/>
      <c r="F2143" s="114" t="str">
        <f>IF(INDEX(I.Facility.P1IDNumber,2131)="","",INDEX(I.Facility.P1IDNumber,2131))</f>
        <v/>
      </c>
      <c r="G2143" s="51"/>
      <c r="H2143" s="46" t="str">
        <f>IF(AND(I.Developer.P1=TRUE,I.Facility.P1FacilityCount&gt;=2131,F2143=""),"Incomplete","Complete")</f>
        <v>Complete</v>
      </c>
      <c r="I2143" s="48" t="s">
        <v>6508</v>
      </c>
    </row>
    <row r="2144" spans="2:9" ht="15" customHeight="1" x14ac:dyDescent="0.25">
      <c r="B2144" s="55" t="s">
        <v>279</v>
      </c>
      <c r="C2144" s="46">
        <v>2132</v>
      </c>
      <c r="D2144" s="69" t="s">
        <v>29416</v>
      </c>
      <c r="E2144" s="51"/>
      <c r="F2144" s="114" t="str">
        <f>IF(INDEX(I.Facility.P1IDNumber,2132)="","",INDEX(I.Facility.P1IDNumber,2132))</f>
        <v/>
      </c>
      <c r="G2144" s="51"/>
      <c r="H2144" s="46" t="str">
        <f>IF(AND(I.Developer.P1=TRUE,I.Facility.P1FacilityCount&gt;=2132,F2144=""),"Incomplete","Complete")</f>
        <v>Complete</v>
      </c>
      <c r="I2144" s="48" t="s">
        <v>6509</v>
      </c>
    </row>
    <row r="2145" spans="2:9" ht="15" customHeight="1" x14ac:dyDescent="0.25">
      <c r="B2145" s="55" t="s">
        <v>279</v>
      </c>
      <c r="C2145" s="46">
        <v>2133</v>
      </c>
      <c r="D2145" s="69" t="s">
        <v>29416</v>
      </c>
      <c r="E2145" s="51"/>
      <c r="F2145" s="114" t="str">
        <f>IF(INDEX(I.Facility.P1IDNumber,2133)="","",INDEX(I.Facility.P1IDNumber,2133))</f>
        <v/>
      </c>
      <c r="G2145" s="51"/>
      <c r="H2145" s="46" t="str">
        <f>IF(AND(I.Developer.P1=TRUE,I.Facility.P1FacilityCount&gt;=2133,F2145=""),"Incomplete","Complete")</f>
        <v>Complete</v>
      </c>
      <c r="I2145" s="48" t="s">
        <v>6510</v>
      </c>
    </row>
    <row r="2146" spans="2:9" ht="15" customHeight="1" x14ac:dyDescent="0.25">
      <c r="B2146" s="55" t="s">
        <v>279</v>
      </c>
      <c r="C2146" s="46">
        <v>2134</v>
      </c>
      <c r="D2146" s="69" t="s">
        <v>29416</v>
      </c>
      <c r="E2146" s="51"/>
      <c r="F2146" s="114" t="str">
        <f>IF(INDEX(I.Facility.P1IDNumber,2134)="","",INDEX(I.Facility.P1IDNumber,2134))</f>
        <v/>
      </c>
      <c r="G2146" s="51"/>
      <c r="H2146" s="46" t="str">
        <f>IF(AND(I.Developer.P1=TRUE,I.Facility.P1FacilityCount&gt;=2134,F2146=""),"Incomplete","Complete")</f>
        <v>Complete</v>
      </c>
      <c r="I2146" s="48" t="s">
        <v>6511</v>
      </c>
    </row>
    <row r="2147" spans="2:9" ht="15" customHeight="1" x14ac:dyDescent="0.25">
      <c r="B2147" s="55" t="s">
        <v>279</v>
      </c>
      <c r="C2147" s="46">
        <v>2135</v>
      </c>
      <c r="D2147" s="69" t="s">
        <v>29416</v>
      </c>
      <c r="E2147" s="51"/>
      <c r="F2147" s="114" t="str">
        <f>IF(INDEX(I.Facility.P1IDNumber,2135)="","",INDEX(I.Facility.P1IDNumber,2135))</f>
        <v/>
      </c>
      <c r="G2147" s="51"/>
      <c r="H2147" s="46" t="str">
        <f>IF(AND(I.Developer.P1=TRUE,I.Facility.P1FacilityCount&gt;=2135,F2147=""),"Incomplete","Complete")</f>
        <v>Complete</v>
      </c>
      <c r="I2147" s="48" t="s">
        <v>6512</v>
      </c>
    </row>
    <row r="2148" spans="2:9" ht="15" customHeight="1" x14ac:dyDescent="0.25">
      <c r="B2148" s="55" t="s">
        <v>279</v>
      </c>
      <c r="C2148" s="46">
        <v>2136</v>
      </c>
      <c r="D2148" s="69" t="s">
        <v>29416</v>
      </c>
      <c r="E2148" s="51"/>
      <c r="F2148" s="114" t="str">
        <f>IF(INDEX(I.Facility.P1IDNumber,2136)="","",INDEX(I.Facility.P1IDNumber,2136))</f>
        <v/>
      </c>
      <c r="G2148" s="51"/>
      <c r="H2148" s="46" t="str">
        <f>IF(AND(I.Developer.P1=TRUE,I.Facility.P1FacilityCount&gt;=2136,F2148=""),"Incomplete","Complete")</f>
        <v>Complete</v>
      </c>
      <c r="I2148" s="48" t="s">
        <v>6513</v>
      </c>
    </row>
    <row r="2149" spans="2:9" ht="15" customHeight="1" x14ac:dyDescent="0.25">
      <c r="B2149" s="55" t="s">
        <v>279</v>
      </c>
      <c r="C2149" s="46">
        <v>2137</v>
      </c>
      <c r="D2149" s="69" t="s">
        <v>29416</v>
      </c>
      <c r="E2149" s="51"/>
      <c r="F2149" s="114" t="str">
        <f>IF(INDEX(I.Facility.P1IDNumber,2137)="","",INDEX(I.Facility.P1IDNumber,2137))</f>
        <v/>
      </c>
      <c r="G2149" s="51"/>
      <c r="H2149" s="46" t="str">
        <f>IF(AND(I.Developer.P1=TRUE,I.Facility.P1FacilityCount&gt;=2137,F2149=""),"Incomplete","Complete")</f>
        <v>Complete</v>
      </c>
      <c r="I2149" s="48" t="s">
        <v>6514</v>
      </c>
    </row>
    <row r="2150" spans="2:9" ht="15" customHeight="1" x14ac:dyDescent="0.25">
      <c r="B2150" s="55" t="s">
        <v>279</v>
      </c>
      <c r="C2150" s="46">
        <v>2138</v>
      </c>
      <c r="D2150" s="69" t="s">
        <v>29416</v>
      </c>
      <c r="E2150" s="51"/>
      <c r="F2150" s="114" t="str">
        <f>IF(INDEX(I.Facility.P1IDNumber,2138)="","",INDEX(I.Facility.P1IDNumber,2138))</f>
        <v/>
      </c>
      <c r="G2150" s="51"/>
      <c r="H2150" s="46" t="str">
        <f>IF(AND(I.Developer.P1=TRUE,I.Facility.P1FacilityCount&gt;=2138,F2150=""),"Incomplete","Complete")</f>
        <v>Complete</v>
      </c>
      <c r="I2150" s="48" t="s">
        <v>6515</v>
      </c>
    </row>
    <row r="2151" spans="2:9" ht="15" customHeight="1" x14ac:dyDescent="0.25">
      <c r="B2151" s="55" t="s">
        <v>279</v>
      </c>
      <c r="C2151" s="46">
        <v>2139</v>
      </c>
      <c r="D2151" s="69" t="s">
        <v>29416</v>
      </c>
      <c r="E2151" s="51"/>
      <c r="F2151" s="114" t="str">
        <f>IF(INDEX(I.Facility.P1IDNumber,2139)="","",INDEX(I.Facility.P1IDNumber,2139))</f>
        <v/>
      </c>
      <c r="G2151" s="51"/>
      <c r="H2151" s="46" t="str">
        <f>IF(AND(I.Developer.P1=TRUE,I.Facility.P1FacilityCount&gt;=2139,F2151=""),"Incomplete","Complete")</f>
        <v>Complete</v>
      </c>
      <c r="I2151" s="48" t="s">
        <v>6516</v>
      </c>
    </row>
    <row r="2152" spans="2:9" ht="15" customHeight="1" x14ac:dyDescent="0.25">
      <c r="B2152" s="55" t="s">
        <v>279</v>
      </c>
      <c r="C2152" s="46">
        <v>2140</v>
      </c>
      <c r="D2152" s="69" t="s">
        <v>29416</v>
      </c>
      <c r="E2152" s="51"/>
      <c r="F2152" s="114" t="str">
        <f>IF(INDEX(I.Facility.P1IDNumber,2140)="","",INDEX(I.Facility.P1IDNumber,2140))</f>
        <v/>
      </c>
      <c r="G2152" s="51"/>
      <c r="H2152" s="46" t="str">
        <f>IF(AND(I.Developer.P1=TRUE,I.Facility.P1FacilityCount&gt;=2140,F2152=""),"Incomplete","Complete")</f>
        <v>Complete</v>
      </c>
      <c r="I2152" s="48" t="s">
        <v>6517</v>
      </c>
    </row>
    <row r="2153" spans="2:9" ht="15" customHeight="1" x14ac:dyDescent="0.25">
      <c r="B2153" s="55" t="s">
        <v>279</v>
      </c>
      <c r="C2153" s="46">
        <v>2141</v>
      </c>
      <c r="D2153" s="69" t="s">
        <v>29416</v>
      </c>
      <c r="E2153" s="51"/>
      <c r="F2153" s="114" t="str">
        <f>IF(INDEX(I.Facility.P1IDNumber,2141)="","",INDEX(I.Facility.P1IDNumber,2141))</f>
        <v/>
      </c>
      <c r="G2153" s="51"/>
      <c r="H2153" s="46" t="str">
        <f>IF(AND(I.Developer.P1=TRUE,I.Facility.P1FacilityCount&gt;=2141,F2153=""),"Incomplete","Complete")</f>
        <v>Complete</v>
      </c>
      <c r="I2153" s="48" t="s">
        <v>6518</v>
      </c>
    </row>
    <row r="2154" spans="2:9" ht="15" customHeight="1" x14ac:dyDescent="0.25">
      <c r="B2154" s="55" t="s">
        <v>279</v>
      </c>
      <c r="C2154" s="46">
        <v>2142</v>
      </c>
      <c r="D2154" s="69" t="s">
        <v>29416</v>
      </c>
      <c r="E2154" s="51"/>
      <c r="F2154" s="114" t="str">
        <f>IF(INDEX(I.Facility.P1IDNumber,2142)="","",INDEX(I.Facility.P1IDNumber,2142))</f>
        <v/>
      </c>
      <c r="G2154" s="51"/>
      <c r="H2154" s="46" t="str">
        <f>IF(AND(I.Developer.P1=TRUE,I.Facility.P1FacilityCount&gt;=2142,F2154=""),"Incomplete","Complete")</f>
        <v>Complete</v>
      </c>
      <c r="I2154" s="48" t="s">
        <v>6519</v>
      </c>
    </row>
    <row r="2155" spans="2:9" ht="15" customHeight="1" x14ac:dyDescent="0.25">
      <c r="B2155" s="55" t="s">
        <v>279</v>
      </c>
      <c r="C2155" s="46">
        <v>2143</v>
      </c>
      <c r="D2155" s="69" t="s">
        <v>29416</v>
      </c>
      <c r="E2155" s="51"/>
      <c r="F2155" s="114" t="str">
        <f>IF(INDEX(I.Facility.P1IDNumber,2143)="","",INDEX(I.Facility.P1IDNumber,2143))</f>
        <v/>
      </c>
      <c r="G2155" s="51"/>
      <c r="H2155" s="46" t="str">
        <f>IF(AND(I.Developer.P1=TRUE,I.Facility.P1FacilityCount&gt;=2143,F2155=""),"Incomplete","Complete")</f>
        <v>Complete</v>
      </c>
      <c r="I2155" s="48" t="s">
        <v>6520</v>
      </c>
    </row>
    <row r="2156" spans="2:9" ht="15" customHeight="1" x14ac:dyDescent="0.25">
      <c r="B2156" s="55" t="s">
        <v>279</v>
      </c>
      <c r="C2156" s="46">
        <v>2144</v>
      </c>
      <c r="D2156" s="69" t="s">
        <v>29416</v>
      </c>
      <c r="E2156" s="51"/>
      <c r="F2156" s="114" t="str">
        <f>IF(INDEX(I.Facility.P1IDNumber,2144)="","",INDEX(I.Facility.P1IDNumber,2144))</f>
        <v/>
      </c>
      <c r="G2156" s="51"/>
      <c r="H2156" s="46" t="str">
        <f>IF(AND(I.Developer.P1=TRUE,I.Facility.P1FacilityCount&gt;=2144,F2156=""),"Incomplete","Complete")</f>
        <v>Complete</v>
      </c>
      <c r="I2156" s="48" t="s">
        <v>6521</v>
      </c>
    </row>
    <row r="2157" spans="2:9" ht="15" customHeight="1" x14ac:dyDescent="0.25">
      <c r="B2157" s="55" t="s">
        <v>279</v>
      </c>
      <c r="C2157" s="46">
        <v>2145</v>
      </c>
      <c r="D2157" s="69" t="s">
        <v>29416</v>
      </c>
      <c r="E2157" s="51"/>
      <c r="F2157" s="114" t="str">
        <f>IF(INDEX(I.Facility.P1IDNumber,2145)="","",INDEX(I.Facility.P1IDNumber,2145))</f>
        <v/>
      </c>
      <c r="G2157" s="51"/>
      <c r="H2157" s="46" t="str">
        <f>IF(AND(I.Developer.P1=TRUE,I.Facility.P1FacilityCount&gt;=2145,F2157=""),"Incomplete","Complete")</f>
        <v>Complete</v>
      </c>
      <c r="I2157" s="48" t="s">
        <v>6522</v>
      </c>
    </row>
    <row r="2158" spans="2:9" ht="15" customHeight="1" x14ac:dyDescent="0.25">
      <c r="B2158" s="55" t="s">
        <v>279</v>
      </c>
      <c r="C2158" s="46">
        <v>2146</v>
      </c>
      <c r="D2158" s="69" t="s">
        <v>29416</v>
      </c>
      <c r="E2158" s="51"/>
      <c r="F2158" s="114" t="str">
        <f>IF(INDEX(I.Facility.P1IDNumber,2146)="","",INDEX(I.Facility.P1IDNumber,2146))</f>
        <v/>
      </c>
      <c r="G2158" s="51"/>
      <c r="H2158" s="46" t="str">
        <f>IF(AND(I.Developer.P1=TRUE,I.Facility.P1FacilityCount&gt;=2146,F2158=""),"Incomplete","Complete")</f>
        <v>Complete</v>
      </c>
      <c r="I2158" s="48" t="s">
        <v>6523</v>
      </c>
    </row>
    <row r="2159" spans="2:9" ht="15" customHeight="1" x14ac:dyDescent="0.25">
      <c r="B2159" s="55" t="s">
        <v>279</v>
      </c>
      <c r="C2159" s="46">
        <v>2147</v>
      </c>
      <c r="D2159" s="69" t="s">
        <v>29416</v>
      </c>
      <c r="E2159" s="51"/>
      <c r="F2159" s="114" t="str">
        <f>IF(INDEX(I.Facility.P1IDNumber,2147)="","",INDEX(I.Facility.P1IDNumber,2147))</f>
        <v/>
      </c>
      <c r="G2159" s="51"/>
      <c r="H2159" s="46" t="str">
        <f>IF(AND(I.Developer.P1=TRUE,I.Facility.P1FacilityCount&gt;=2147,F2159=""),"Incomplete","Complete")</f>
        <v>Complete</v>
      </c>
      <c r="I2159" s="48" t="s">
        <v>6524</v>
      </c>
    </row>
    <row r="2160" spans="2:9" ht="15" customHeight="1" x14ac:dyDescent="0.25">
      <c r="B2160" s="55" t="s">
        <v>279</v>
      </c>
      <c r="C2160" s="46">
        <v>2148</v>
      </c>
      <c r="D2160" s="69" t="s">
        <v>29416</v>
      </c>
      <c r="E2160" s="51"/>
      <c r="F2160" s="114" t="str">
        <f>IF(INDEX(I.Facility.P1IDNumber,2148)="","",INDEX(I.Facility.P1IDNumber,2148))</f>
        <v/>
      </c>
      <c r="G2160" s="51"/>
      <c r="H2160" s="46" t="str">
        <f>IF(AND(I.Developer.P1=TRUE,I.Facility.P1FacilityCount&gt;=2148,F2160=""),"Incomplete","Complete")</f>
        <v>Complete</v>
      </c>
      <c r="I2160" s="48" t="s">
        <v>6525</v>
      </c>
    </row>
    <row r="2161" spans="2:9" ht="15" customHeight="1" x14ac:dyDescent="0.25">
      <c r="B2161" s="55" t="s">
        <v>279</v>
      </c>
      <c r="C2161" s="46">
        <v>2149</v>
      </c>
      <c r="D2161" s="69" t="s">
        <v>29416</v>
      </c>
      <c r="E2161" s="51"/>
      <c r="F2161" s="114" t="str">
        <f>IF(INDEX(I.Facility.P1IDNumber,2149)="","",INDEX(I.Facility.P1IDNumber,2149))</f>
        <v/>
      </c>
      <c r="G2161" s="51"/>
      <c r="H2161" s="46" t="str">
        <f>IF(AND(I.Developer.P1=TRUE,I.Facility.P1FacilityCount&gt;=2149,F2161=""),"Incomplete","Complete")</f>
        <v>Complete</v>
      </c>
      <c r="I2161" s="48" t="s">
        <v>6526</v>
      </c>
    </row>
    <row r="2162" spans="2:9" ht="15" customHeight="1" x14ac:dyDescent="0.25">
      <c r="B2162" s="55" t="s">
        <v>279</v>
      </c>
      <c r="C2162" s="46">
        <v>2150</v>
      </c>
      <c r="D2162" s="69" t="s">
        <v>29416</v>
      </c>
      <c r="E2162" s="51"/>
      <c r="F2162" s="114" t="str">
        <f>IF(INDEX(I.Facility.P1IDNumber,2150)="","",INDEX(I.Facility.P1IDNumber,2150))</f>
        <v/>
      </c>
      <c r="G2162" s="51"/>
      <c r="H2162" s="46" t="str">
        <f>IF(AND(I.Developer.P1=TRUE,I.Facility.P1FacilityCount&gt;=2150,F2162=""),"Incomplete","Complete")</f>
        <v>Complete</v>
      </c>
      <c r="I2162" s="48" t="s">
        <v>6527</v>
      </c>
    </row>
    <row r="2163" spans="2:9" ht="15" customHeight="1" x14ac:dyDescent="0.25">
      <c r="B2163" s="55" t="s">
        <v>279</v>
      </c>
      <c r="C2163" s="46">
        <v>2151</v>
      </c>
      <c r="D2163" s="69" t="s">
        <v>29416</v>
      </c>
      <c r="E2163" s="51"/>
      <c r="F2163" s="114" t="str">
        <f>IF(INDEX(I.Facility.P1IDNumber,2151)="","",INDEX(I.Facility.P1IDNumber,2151))</f>
        <v/>
      </c>
      <c r="G2163" s="51"/>
      <c r="H2163" s="46" t="str">
        <f>IF(AND(I.Developer.P1=TRUE,I.Facility.P1FacilityCount&gt;=2151,F2163=""),"Incomplete","Complete")</f>
        <v>Complete</v>
      </c>
      <c r="I2163" s="48" t="s">
        <v>6528</v>
      </c>
    </row>
    <row r="2164" spans="2:9" ht="15" customHeight="1" x14ac:dyDescent="0.25">
      <c r="B2164" s="55" t="s">
        <v>279</v>
      </c>
      <c r="C2164" s="46">
        <v>2152</v>
      </c>
      <c r="D2164" s="69" t="s">
        <v>29416</v>
      </c>
      <c r="E2164" s="51"/>
      <c r="F2164" s="114" t="str">
        <f>IF(INDEX(I.Facility.P1IDNumber,2152)="","",INDEX(I.Facility.P1IDNumber,2152))</f>
        <v/>
      </c>
      <c r="G2164" s="51"/>
      <c r="H2164" s="46" t="str">
        <f>IF(AND(I.Developer.P1=TRUE,I.Facility.P1FacilityCount&gt;=2152,F2164=""),"Incomplete","Complete")</f>
        <v>Complete</v>
      </c>
      <c r="I2164" s="48" t="s">
        <v>6529</v>
      </c>
    </row>
    <row r="2165" spans="2:9" ht="15" customHeight="1" x14ac:dyDescent="0.25">
      <c r="B2165" s="55" t="s">
        <v>279</v>
      </c>
      <c r="C2165" s="46">
        <v>2153</v>
      </c>
      <c r="D2165" s="69" t="s">
        <v>29416</v>
      </c>
      <c r="E2165" s="51"/>
      <c r="F2165" s="114" t="str">
        <f>IF(INDEX(I.Facility.P1IDNumber,2153)="","",INDEX(I.Facility.P1IDNumber,2153))</f>
        <v/>
      </c>
      <c r="G2165" s="51"/>
      <c r="H2165" s="46" t="str">
        <f>IF(AND(I.Developer.P1=TRUE,I.Facility.P1FacilityCount&gt;=2153,F2165=""),"Incomplete","Complete")</f>
        <v>Complete</v>
      </c>
      <c r="I2165" s="48" t="s">
        <v>6530</v>
      </c>
    </row>
    <row r="2166" spans="2:9" ht="15" customHeight="1" x14ac:dyDescent="0.25">
      <c r="B2166" s="55" t="s">
        <v>279</v>
      </c>
      <c r="C2166" s="46">
        <v>2154</v>
      </c>
      <c r="D2166" s="69" t="s">
        <v>29416</v>
      </c>
      <c r="E2166" s="51"/>
      <c r="F2166" s="114" t="str">
        <f>IF(INDEX(I.Facility.P1IDNumber,2154)="","",INDEX(I.Facility.P1IDNumber,2154))</f>
        <v/>
      </c>
      <c r="G2166" s="51"/>
      <c r="H2166" s="46" t="str">
        <f>IF(AND(I.Developer.P1=TRUE,I.Facility.P1FacilityCount&gt;=2154,F2166=""),"Incomplete","Complete")</f>
        <v>Complete</v>
      </c>
      <c r="I2166" s="48" t="s">
        <v>6531</v>
      </c>
    </row>
    <row r="2167" spans="2:9" ht="15" customHeight="1" x14ac:dyDescent="0.25">
      <c r="B2167" s="55" t="s">
        <v>279</v>
      </c>
      <c r="C2167" s="46">
        <v>2155</v>
      </c>
      <c r="D2167" s="69" t="s">
        <v>29416</v>
      </c>
      <c r="E2167" s="51"/>
      <c r="F2167" s="114" t="str">
        <f>IF(INDEX(I.Facility.P1IDNumber,2155)="","",INDEX(I.Facility.P1IDNumber,2155))</f>
        <v/>
      </c>
      <c r="G2167" s="51"/>
      <c r="H2167" s="46" t="str">
        <f>IF(AND(I.Developer.P1=TRUE,I.Facility.P1FacilityCount&gt;=2155,F2167=""),"Incomplete","Complete")</f>
        <v>Complete</v>
      </c>
      <c r="I2167" s="48" t="s">
        <v>6532</v>
      </c>
    </row>
    <row r="2168" spans="2:9" ht="15" customHeight="1" x14ac:dyDescent="0.25">
      <c r="B2168" s="55" t="s">
        <v>279</v>
      </c>
      <c r="C2168" s="46">
        <v>2156</v>
      </c>
      <c r="D2168" s="69" t="s">
        <v>29416</v>
      </c>
      <c r="E2168" s="51"/>
      <c r="F2168" s="114" t="str">
        <f>IF(INDEX(I.Facility.P1IDNumber,2156)="","",INDEX(I.Facility.P1IDNumber,2156))</f>
        <v/>
      </c>
      <c r="G2168" s="51"/>
      <c r="H2168" s="46" t="str">
        <f>IF(AND(I.Developer.P1=TRUE,I.Facility.P1FacilityCount&gt;=2156,F2168=""),"Incomplete","Complete")</f>
        <v>Complete</v>
      </c>
      <c r="I2168" s="48" t="s">
        <v>6533</v>
      </c>
    </row>
    <row r="2169" spans="2:9" ht="15" customHeight="1" x14ac:dyDescent="0.25">
      <c r="B2169" s="55" t="s">
        <v>279</v>
      </c>
      <c r="C2169" s="46">
        <v>2157</v>
      </c>
      <c r="D2169" s="69" t="s">
        <v>29416</v>
      </c>
      <c r="E2169" s="51"/>
      <c r="F2169" s="114" t="str">
        <f>IF(INDEX(I.Facility.P1IDNumber,2157)="","",INDEX(I.Facility.P1IDNumber,2157))</f>
        <v/>
      </c>
      <c r="G2169" s="51"/>
      <c r="H2169" s="46" t="str">
        <f>IF(AND(I.Developer.P1=TRUE,I.Facility.P1FacilityCount&gt;=2157,F2169=""),"Incomplete","Complete")</f>
        <v>Complete</v>
      </c>
      <c r="I2169" s="48" t="s">
        <v>6534</v>
      </c>
    </row>
    <row r="2170" spans="2:9" ht="15" customHeight="1" x14ac:dyDescent="0.25">
      <c r="B2170" s="55" t="s">
        <v>279</v>
      </c>
      <c r="C2170" s="46">
        <v>2158</v>
      </c>
      <c r="D2170" s="69" t="s">
        <v>29416</v>
      </c>
      <c r="E2170" s="51"/>
      <c r="F2170" s="114" t="str">
        <f>IF(INDEX(I.Facility.P1IDNumber,2158)="","",INDEX(I.Facility.P1IDNumber,2158))</f>
        <v/>
      </c>
      <c r="G2170" s="51"/>
      <c r="H2170" s="46" t="str">
        <f>IF(AND(I.Developer.P1=TRUE,I.Facility.P1FacilityCount&gt;=2158,F2170=""),"Incomplete","Complete")</f>
        <v>Complete</v>
      </c>
      <c r="I2170" s="48" t="s">
        <v>6535</v>
      </c>
    </row>
    <row r="2171" spans="2:9" ht="15" customHeight="1" x14ac:dyDescent="0.25">
      <c r="B2171" s="55" t="s">
        <v>279</v>
      </c>
      <c r="C2171" s="46">
        <v>2159</v>
      </c>
      <c r="D2171" s="69" t="s">
        <v>29416</v>
      </c>
      <c r="E2171" s="51"/>
      <c r="F2171" s="114" t="str">
        <f>IF(INDEX(I.Facility.P1IDNumber,2159)="","",INDEX(I.Facility.P1IDNumber,2159))</f>
        <v/>
      </c>
      <c r="G2171" s="51"/>
      <c r="H2171" s="46" t="str">
        <f>IF(AND(I.Developer.P1=TRUE,I.Facility.P1FacilityCount&gt;=2159,F2171=""),"Incomplete","Complete")</f>
        <v>Complete</v>
      </c>
      <c r="I2171" s="48" t="s">
        <v>6536</v>
      </c>
    </row>
    <row r="2172" spans="2:9" ht="15" customHeight="1" x14ac:dyDescent="0.25">
      <c r="B2172" s="55" t="s">
        <v>279</v>
      </c>
      <c r="C2172" s="46">
        <v>2160</v>
      </c>
      <c r="D2172" s="69" t="s">
        <v>29416</v>
      </c>
      <c r="E2172" s="51"/>
      <c r="F2172" s="114" t="str">
        <f>IF(INDEX(I.Facility.P1IDNumber,2160)="","",INDEX(I.Facility.P1IDNumber,2160))</f>
        <v/>
      </c>
      <c r="G2172" s="51"/>
      <c r="H2172" s="46" t="str">
        <f>IF(AND(I.Developer.P1=TRUE,I.Facility.P1FacilityCount&gt;=2160,F2172=""),"Incomplete","Complete")</f>
        <v>Complete</v>
      </c>
      <c r="I2172" s="48" t="s">
        <v>6537</v>
      </c>
    </row>
    <row r="2173" spans="2:9" ht="15" customHeight="1" x14ac:dyDescent="0.25">
      <c r="B2173" s="55" t="s">
        <v>279</v>
      </c>
      <c r="C2173" s="46">
        <v>2161</v>
      </c>
      <c r="D2173" s="69" t="s">
        <v>29416</v>
      </c>
      <c r="E2173" s="51"/>
      <c r="F2173" s="114" t="str">
        <f>IF(INDEX(I.Facility.P1IDNumber,2161)="","",INDEX(I.Facility.P1IDNumber,2161))</f>
        <v/>
      </c>
      <c r="G2173" s="51"/>
      <c r="H2173" s="46" t="str">
        <f>IF(AND(I.Developer.P1=TRUE,I.Facility.P1FacilityCount&gt;=2161,F2173=""),"Incomplete","Complete")</f>
        <v>Complete</v>
      </c>
      <c r="I2173" s="48" t="s">
        <v>6538</v>
      </c>
    </row>
    <row r="2174" spans="2:9" ht="15" customHeight="1" x14ac:dyDescent="0.25">
      <c r="B2174" s="55" t="s">
        <v>279</v>
      </c>
      <c r="C2174" s="46">
        <v>2162</v>
      </c>
      <c r="D2174" s="69" t="s">
        <v>29416</v>
      </c>
      <c r="E2174" s="51"/>
      <c r="F2174" s="114" t="str">
        <f>IF(INDEX(I.Facility.P1IDNumber,2162)="","",INDEX(I.Facility.P1IDNumber,2162))</f>
        <v/>
      </c>
      <c r="G2174" s="51"/>
      <c r="H2174" s="46" t="str">
        <f>IF(AND(I.Developer.P1=TRUE,I.Facility.P1FacilityCount&gt;=2162,F2174=""),"Incomplete","Complete")</f>
        <v>Complete</v>
      </c>
      <c r="I2174" s="48" t="s">
        <v>6539</v>
      </c>
    </row>
    <row r="2175" spans="2:9" ht="15" customHeight="1" x14ac:dyDescent="0.25">
      <c r="B2175" s="55" t="s">
        <v>279</v>
      </c>
      <c r="C2175" s="46">
        <v>2163</v>
      </c>
      <c r="D2175" s="69" t="s">
        <v>29416</v>
      </c>
      <c r="E2175" s="51"/>
      <c r="F2175" s="114" t="str">
        <f>IF(INDEX(I.Facility.P1IDNumber,2163)="","",INDEX(I.Facility.P1IDNumber,2163))</f>
        <v/>
      </c>
      <c r="G2175" s="51"/>
      <c r="H2175" s="46" t="str">
        <f>IF(AND(I.Developer.P1=TRUE,I.Facility.P1FacilityCount&gt;=2163,F2175=""),"Incomplete","Complete")</f>
        <v>Complete</v>
      </c>
      <c r="I2175" s="48" t="s">
        <v>6540</v>
      </c>
    </row>
    <row r="2176" spans="2:9" ht="15" customHeight="1" x14ac:dyDescent="0.25">
      <c r="B2176" s="55" t="s">
        <v>279</v>
      </c>
      <c r="C2176" s="46">
        <v>2164</v>
      </c>
      <c r="D2176" s="69" t="s">
        <v>29416</v>
      </c>
      <c r="E2176" s="51"/>
      <c r="F2176" s="114" t="str">
        <f>IF(INDEX(I.Facility.P1IDNumber,2164)="","",INDEX(I.Facility.P1IDNumber,2164))</f>
        <v/>
      </c>
      <c r="G2176" s="51"/>
      <c r="H2176" s="46" t="str">
        <f>IF(AND(I.Developer.P1=TRUE,I.Facility.P1FacilityCount&gt;=2164,F2176=""),"Incomplete","Complete")</f>
        <v>Complete</v>
      </c>
      <c r="I2176" s="48" t="s">
        <v>6541</v>
      </c>
    </row>
    <row r="2177" spans="2:9" ht="15" customHeight="1" x14ac:dyDescent="0.25">
      <c r="B2177" s="55" t="s">
        <v>279</v>
      </c>
      <c r="C2177" s="46">
        <v>2165</v>
      </c>
      <c r="D2177" s="69" t="s">
        <v>29416</v>
      </c>
      <c r="E2177" s="51"/>
      <c r="F2177" s="114" t="str">
        <f>IF(INDEX(I.Facility.P1IDNumber,2165)="","",INDEX(I.Facility.P1IDNumber,2165))</f>
        <v/>
      </c>
      <c r="G2177" s="51"/>
      <c r="H2177" s="46" t="str">
        <f>IF(AND(I.Developer.P1=TRUE,I.Facility.P1FacilityCount&gt;=2165,F2177=""),"Incomplete","Complete")</f>
        <v>Complete</v>
      </c>
      <c r="I2177" s="48" t="s">
        <v>6542</v>
      </c>
    </row>
    <row r="2178" spans="2:9" ht="15" customHeight="1" x14ac:dyDescent="0.25">
      <c r="B2178" s="55" t="s">
        <v>279</v>
      </c>
      <c r="C2178" s="46">
        <v>2166</v>
      </c>
      <c r="D2178" s="69" t="s">
        <v>29416</v>
      </c>
      <c r="E2178" s="51"/>
      <c r="F2178" s="114" t="str">
        <f>IF(INDEX(I.Facility.P1IDNumber,2166)="","",INDEX(I.Facility.P1IDNumber,2166))</f>
        <v/>
      </c>
      <c r="G2178" s="51"/>
      <c r="H2178" s="46" t="str">
        <f>IF(AND(I.Developer.P1=TRUE,I.Facility.P1FacilityCount&gt;=2166,F2178=""),"Incomplete","Complete")</f>
        <v>Complete</v>
      </c>
      <c r="I2178" s="48" t="s">
        <v>6543</v>
      </c>
    </row>
    <row r="2179" spans="2:9" ht="15" customHeight="1" x14ac:dyDescent="0.25">
      <c r="B2179" s="55" t="s">
        <v>279</v>
      </c>
      <c r="C2179" s="46">
        <v>2167</v>
      </c>
      <c r="D2179" s="69" t="s">
        <v>29416</v>
      </c>
      <c r="E2179" s="51"/>
      <c r="F2179" s="114" t="str">
        <f>IF(INDEX(I.Facility.P1IDNumber,2167)="","",INDEX(I.Facility.P1IDNumber,2167))</f>
        <v/>
      </c>
      <c r="G2179" s="51"/>
      <c r="H2179" s="46" t="str">
        <f>IF(AND(I.Developer.P1=TRUE,I.Facility.P1FacilityCount&gt;=2167,F2179=""),"Incomplete","Complete")</f>
        <v>Complete</v>
      </c>
      <c r="I2179" s="48" t="s">
        <v>6544</v>
      </c>
    </row>
    <row r="2180" spans="2:9" ht="15" customHeight="1" x14ac:dyDescent="0.25">
      <c r="B2180" s="55" t="s">
        <v>279</v>
      </c>
      <c r="C2180" s="46">
        <v>2168</v>
      </c>
      <c r="D2180" s="69" t="s">
        <v>29416</v>
      </c>
      <c r="E2180" s="51"/>
      <c r="F2180" s="114" t="str">
        <f>IF(INDEX(I.Facility.P1IDNumber,2168)="","",INDEX(I.Facility.P1IDNumber,2168))</f>
        <v/>
      </c>
      <c r="G2180" s="51"/>
      <c r="H2180" s="46" t="str">
        <f>IF(AND(I.Developer.P1=TRUE,I.Facility.P1FacilityCount&gt;=2168,F2180=""),"Incomplete","Complete")</f>
        <v>Complete</v>
      </c>
      <c r="I2180" s="48" t="s">
        <v>6545</v>
      </c>
    </row>
    <row r="2181" spans="2:9" ht="15" customHeight="1" x14ac:dyDescent="0.25">
      <c r="B2181" s="55" t="s">
        <v>279</v>
      </c>
      <c r="C2181" s="46">
        <v>2169</v>
      </c>
      <c r="D2181" s="69" t="s">
        <v>29416</v>
      </c>
      <c r="E2181" s="51"/>
      <c r="F2181" s="114" t="str">
        <f>IF(INDEX(I.Facility.P1IDNumber,2169)="","",INDEX(I.Facility.P1IDNumber,2169))</f>
        <v/>
      </c>
      <c r="G2181" s="51"/>
      <c r="H2181" s="46" t="str">
        <f>IF(AND(I.Developer.P1=TRUE,I.Facility.P1FacilityCount&gt;=2169,F2181=""),"Incomplete","Complete")</f>
        <v>Complete</v>
      </c>
      <c r="I2181" s="48" t="s">
        <v>6546</v>
      </c>
    </row>
    <row r="2182" spans="2:9" ht="15" customHeight="1" x14ac:dyDescent="0.25">
      <c r="B2182" s="55" t="s">
        <v>279</v>
      </c>
      <c r="C2182" s="46">
        <v>2170</v>
      </c>
      <c r="D2182" s="69" t="s">
        <v>29416</v>
      </c>
      <c r="E2182" s="51"/>
      <c r="F2182" s="114" t="str">
        <f>IF(INDEX(I.Facility.P1IDNumber,2170)="","",INDEX(I.Facility.P1IDNumber,2170))</f>
        <v/>
      </c>
      <c r="G2182" s="51"/>
      <c r="H2182" s="46" t="str">
        <f>IF(AND(I.Developer.P1=TRUE,I.Facility.P1FacilityCount&gt;=2170,F2182=""),"Incomplete","Complete")</f>
        <v>Complete</v>
      </c>
      <c r="I2182" s="48" t="s">
        <v>6547</v>
      </c>
    </row>
    <row r="2183" spans="2:9" ht="15" customHeight="1" x14ac:dyDescent="0.25">
      <c r="B2183" s="55" t="s">
        <v>279</v>
      </c>
      <c r="C2183" s="46">
        <v>2171</v>
      </c>
      <c r="D2183" s="69" t="s">
        <v>29416</v>
      </c>
      <c r="E2183" s="51"/>
      <c r="F2183" s="114" t="str">
        <f>IF(INDEX(I.Facility.P1IDNumber,2171)="","",INDEX(I.Facility.P1IDNumber,2171))</f>
        <v/>
      </c>
      <c r="G2183" s="51"/>
      <c r="H2183" s="46" t="str">
        <f>IF(AND(I.Developer.P1=TRUE,I.Facility.P1FacilityCount&gt;=2171,F2183=""),"Incomplete","Complete")</f>
        <v>Complete</v>
      </c>
      <c r="I2183" s="48" t="s">
        <v>6548</v>
      </c>
    </row>
    <row r="2184" spans="2:9" ht="15" customHeight="1" x14ac:dyDescent="0.25">
      <c r="B2184" s="55" t="s">
        <v>279</v>
      </c>
      <c r="C2184" s="46">
        <v>2172</v>
      </c>
      <c r="D2184" s="69" t="s">
        <v>29416</v>
      </c>
      <c r="E2184" s="51"/>
      <c r="F2184" s="114" t="str">
        <f>IF(INDEX(I.Facility.P1IDNumber,2172)="","",INDEX(I.Facility.P1IDNumber,2172))</f>
        <v/>
      </c>
      <c r="G2184" s="51"/>
      <c r="H2184" s="46" t="str">
        <f>IF(AND(I.Developer.P1=TRUE,I.Facility.P1FacilityCount&gt;=2172,F2184=""),"Incomplete","Complete")</f>
        <v>Complete</v>
      </c>
      <c r="I2184" s="48" t="s">
        <v>6549</v>
      </c>
    </row>
    <row r="2185" spans="2:9" ht="15" customHeight="1" x14ac:dyDescent="0.25">
      <c r="B2185" s="55" t="s">
        <v>279</v>
      </c>
      <c r="C2185" s="46">
        <v>2173</v>
      </c>
      <c r="D2185" s="69" t="s">
        <v>29416</v>
      </c>
      <c r="E2185" s="51"/>
      <c r="F2185" s="114" t="str">
        <f>IF(INDEX(I.Facility.P1IDNumber,2173)="","",INDEX(I.Facility.P1IDNumber,2173))</f>
        <v/>
      </c>
      <c r="G2185" s="51"/>
      <c r="H2185" s="46" t="str">
        <f>IF(AND(I.Developer.P1=TRUE,I.Facility.P1FacilityCount&gt;=2173,F2185=""),"Incomplete","Complete")</f>
        <v>Complete</v>
      </c>
      <c r="I2185" s="48" t="s">
        <v>6550</v>
      </c>
    </row>
    <row r="2186" spans="2:9" ht="15" customHeight="1" x14ac:dyDescent="0.25">
      <c r="B2186" s="55" t="s">
        <v>279</v>
      </c>
      <c r="C2186" s="46">
        <v>2174</v>
      </c>
      <c r="D2186" s="69" t="s">
        <v>29416</v>
      </c>
      <c r="E2186" s="51"/>
      <c r="F2186" s="114" t="str">
        <f>IF(INDEX(I.Facility.P1IDNumber,2174)="","",INDEX(I.Facility.P1IDNumber,2174))</f>
        <v/>
      </c>
      <c r="G2186" s="51"/>
      <c r="H2186" s="46" t="str">
        <f>IF(AND(I.Developer.P1=TRUE,I.Facility.P1FacilityCount&gt;=2174,F2186=""),"Incomplete","Complete")</f>
        <v>Complete</v>
      </c>
      <c r="I2186" s="48" t="s">
        <v>6551</v>
      </c>
    </row>
    <row r="2187" spans="2:9" ht="15" customHeight="1" x14ac:dyDescent="0.25">
      <c r="B2187" s="55" t="s">
        <v>279</v>
      </c>
      <c r="C2187" s="46">
        <v>2175</v>
      </c>
      <c r="D2187" s="69" t="s">
        <v>29416</v>
      </c>
      <c r="E2187" s="51"/>
      <c r="F2187" s="114" t="str">
        <f>IF(INDEX(I.Facility.P1IDNumber,2175)="","",INDEX(I.Facility.P1IDNumber,2175))</f>
        <v/>
      </c>
      <c r="G2187" s="51"/>
      <c r="H2187" s="46" t="str">
        <f>IF(AND(I.Developer.P1=TRUE,I.Facility.P1FacilityCount&gt;=2175,F2187=""),"Incomplete","Complete")</f>
        <v>Complete</v>
      </c>
      <c r="I2187" s="48" t="s">
        <v>6552</v>
      </c>
    </row>
    <row r="2188" spans="2:9" ht="15" customHeight="1" x14ac:dyDescent="0.25">
      <c r="B2188" s="55" t="s">
        <v>279</v>
      </c>
      <c r="C2188" s="46">
        <v>2176</v>
      </c>
      <c r="D2188" s="69" t="s">
        <v>29416</v>
      </c>
      <c r="E2188" s="51"/>
      <c r="F2188" s="114" t="str">
        <f>IF(INDEX(I.Facility.P1IDNumber,2176)="","",INDEX(I.Facility.P1IDNumber,2176))</f>
        <v/>
      </c>
      <c r="G2188" s="51"/>
      <c r="H2188" s="46" t="str">
        <f>IF(AND(I.Developer.P1=TRUE,I.Facility.P1FacilityCount&gt;=2176,F2188=""),"Incomplete","Complete")</f>
        <v>Complete</v>
      </c>
      <c r="I2188" s="48" t="s">
        <v>6553</v>
      </c>
    </row>
    <row r="2189" spans="2:9" ht="15" customHeight="1" x14ac:dyDescent="0.25">
      <c r="B2189" s="55" t="s">
        <v>279</v>
      </c>
      <c r="C2189" s="46">
        <v>2177</v>
      </c>
      <c r="D2189" s="69" t="s">
        <v>29416</v>
      </c>
      <c r="E2189" s="51"/>
      <c r="F2189" s="114" t="str">
        <f>IF(INDEX(I.Facility.P1IDNumber,2177)="","",INDEX(I.Facility.P1IDNumber,2177))</f>
        <v/>
      </c>
      <c r="G2189" s="51"/>
      <c r="H2189" s="46" t="str">
        <f>IF(AND(I.Developer.P1=TRUE,I.Facility.P1FacilityCount&gt;=2177,F2189=""),"Incomplete","Complete")</f>
        <v>Complete</v>
      </c>
      <c r="I2189" s="48" t="s">
        <v>6554</v>
      </c>
    </row>
    <row r="2190" spans="2:9" ht="15" customHeight="1" x14ac:dyDescent="0.25">
      <c r="B2190" s="55" t="s">
        <v>279</v>
      </c>
      <c r="C2190" s="46">
        <v>2178</v>
      </c>
      <c r="D2190" s="69" t="s">
        <v>29416</v>
      </c>
      <c r="E2190" s="51"/>
      <c r="F2190" s="114" t="str">
        <f>IF(INDEX(I.Facility.P1IDNumber,2178)="","",INDEX(I.Facility.P1IDNumber,2178))</f>
        <v/>
      </c>
      <c r="G2190" s="51"/>
      <c r="H2190" s="46" t="str">
        <f>IF(AND(I.Developer.P1=TRUE,I.Facility.P1FacilityCount&gt;=2178,F2190=""),"Incomplete","Complete")</f>
        <v>Complete</v>
      </c>
      <c r="I2190" s="48" t="s">
        <v>6555</v>
      </c>
    </row>
    <row r="2191" spans="2:9" ht="15" customHeight="1" x14ac:dyDescent="0.25">
      <c r="B2191" s="55" t="s">
        <v>279</v>
      </c>
      <c r="C2191" s="46">
        <v>2179</v>
      </c>
      <c r="D2191" s="69" t="s">
        <v>29416</v>
      </c>
      <c r="E2191" s="51"/>
      <c r="F2191" s="114" t="str">
        <f>IF(INDEX(I.Facility.P1IDNumber,2179)="","",INDEX(I.Facility.P1IDNumber,2179))</f>
        <v/>
      </c>
      <c r="G2191" s="51"/>
      <c r="H2191" s="46" t="str">
        <f>IF(AND(I.Developer.P1=TRUE,I.Facility.P1FacilityCount&gt;=2179,F2191=""),"Incomplete","Complete")</f>
        <v>Complete</v>
      </c>
      <c r="I2191" s="48" t="s">
        <v>6556</v>
      </c>
    </row>
    <row r="2192" spans="2:9" ht="15" customHeight="1" x14ac:dyDescent="0.25">
      <c r="B2192" s="55" t="s">
        <v>279</v>
      </c>
      <c r="C2192" s="46">
        <v>2180</v>
      </c>
      <c r="D2192" s="69" t="s">
        <v>29416</v>
      </c>
      <c r="E2192" s="51"/>
      <c r="F2192" s="114" t="str">
        <f>IF(INDEX(I.Facility.P1IDNumber,2180)="","",INDEX(I.Facility.P1IDNumber,2180))</f>
        <v/>
      </c>
      <c r="G2192" s="51"/>
      <c r="H2192" s="46" t="str">
        <f>IF(AND(I.Developer.P1=TRUE,I.Facility.P1FacilityCount&gt;=2180,F2192=""),"Incomplete","Complete")</f>
        <v>Complete</v>
      </c>
      <c r="I2192" s="48" t="s">
        <v>6557</v>
      </c>
    </row>
    <row r="2193" spans="2:9" ht="15" customHeight="1" x14ac:dyDescent="0.25">
      <c r="B2193" s="55" t="s">
        <v>279</v>
      </c>
      <c r="C2193" s="46">
        <v>2181</v>
      </c>
      <c r="D2193" s="69" t="s">
        <v>29416</v>
      </c>
      <c r="E2193" s="51"/>
      <c r="F2193" s="114" t="str">
        <f>IF(INDEX(I.Facility.P1IDNumber,2181)="","",INDEX(I.Facility.P1IDNumber,2181))</f>
        <v/>
      </c>
      <c r="G2193" s="51"/>
      <c r="H2193" s="46" t="str">
        <f>IF(AND(I.Developer.P1=TRUE,I.Facility.P1FacilityCount&gt;=2181,F2193=""),"Incomplete","Complete")</f>
        <v>Complete</v>
      </c>
      <c r="I2193" s="48" t="s">
        <v>6558</v>
      </c>
    </row>
    <row r="2194" spans="2:9" ht="15" customHeight="1" x14ac:dyDescent="0.25">
      <c r="B2194" s="55" t="s">
        <v>279</v>
      </c>
      <c r="C2194" s="46">
        <v>2182</v>
      </c>
      <c r="D2194" s="69" t="s">
        <v>29416</v>
      </c>
      <c r="E2194" s="51"/>
      <c r="F2194" s="114" t="str">
        <f>IF(INDEX(I.Facility.P1IDNumber,2182)="","",INDEX(I.Facility.P1IDNumber,2182))</f>
        <v/>
      </c>
      <c r="G2194" s="51"/>
      <c r="H2194" s="46" t="str">
        <f>IF(AND(I.Developer.P1=TRUE,I.Facility.P1FacilityCount&gt;=2182,F2194=""),"Incomplete","Complete")</f>
        <v>Complete</v>
      </c>
      <c r="I2194" s="48" t="s">
        <v>6559</v>
      </c>
    </row>
    <row r="2195" spans="2:9" ht="15" customHeight="1" x14ac:dyDescent="0.25">
      <c r="B2195" s="55" t="s">
        <v>279</v>
      </c>
      <c r="C2195" s="46">
        <v>2183</v>
      </c>
      <c r="D2195" s="69" t="s">
        <v>29416</v>
      </c>
      <c r="E2195" s="51"/>
      <c r="F2195" s="114" t="str">
        <f>IF(INDEX(I.Facility.P1IDNumber,2183)="","",INDEX(I.Facility.P1IDNumber,2183))</f>
        <v/>
      </c>
      <c r="G2195" s="51"/>
      <c r="H2195" s="46" t="str">
        <f>IF(AND(I.Developer.P1=TRUE,I.Facility.P1FacilityCount&gt;=2183,F2195=""),"Incomplete","Complete")</f>
        <v>Complete</v>
      </c>
      <c r="I2195" s="48" t="s">
        <v>6560</v>
      </c>
    </row>
    <row r="2196" spans="2:9" ht="15" customHeight="1" x14ac:dyDescent="0.25">
      <c r="B2196" s="55" t="s">
        <v>279</v>
      </c>
      <c r="C2196" s="46">
        <v>2184</v>
      </c>
      <c r="D2196" s="69" t="s">
        <v>29416</v>
      </c>
      <c r="E2196" s="51"/>
      <c r="F2196" s="114" t="str">
        <f>IF(INDEX(I.Facility.P1IDNumber,2184)="","",INDEX(I.Facility.P1IDNumber,2184))</f>
        <v/>
      </c>
      <c r="G2196" s="51"/>
      <c r="H2196" s="46" t="str">
        <f>IF(AND(I.Developer.P1=TRUE,I.Facility.P1FacilityCount&gt;=2184,F2196=""),"Incomplete","Complete")</f>
        <v>Complete</v>
      </c>
      <c r="I2196" s="48" t="s">
        <v>6561</v>
      </c>
    </row>
    <row r="2197" spans="2:9" ht="15" customHeight="1" x14ac:dyDescent="0.25">
      <c r="B2197" s="55" t="s">
        <v>279</v>
      </c>
      <c r="C2197" s="46">
        <v>2185</v>
      </c>
      <c r="D2197" s="69" t="s">
        <v>29416</v>
      </c>
      <c r="E2197" s="51"/>
      <c r="F2197" s="114" t="str">
        <f>IF(INDEX(I.Facility.P1IDNumber,2185)="","",INDEX(I.Facility.P1IDNumber,2185))</f>
        <v/>
      </c>
      <c r="G2197" s="51"/>
      <c r="H2197" s="46" t="str">
        <f>IF(AND(I.Developer.P1=TRUE,I.Facility.P1FacilityCount&gt;=2185,F2197=""),"Incomplete","Complete")</f>
        <v>Complete</v>
      </c>
      <c r="I2197" s="48" t="s">
        <v>6562</v>
      </c>
    </row>
    <row r="2198" spans="2:9" ht="15" customHeight="1" x14ac:dyDescent="0.25">
      <c r="B2198" s="55" t="s">
        <v>279</v>
      </c>
      <c r="C2198" s="46">
        <v>2186</v>
      </c>
      <c r="D2198" s="69" t="s">
        <v>29416</v>
      </c>
      <c r="E2198" s="51"/>
      <c r="F2198" s="114" t="str">
        <f>IF(INDEX(I.Facility.P1IDNumber,2186)="","",INDEX(I.Facility.P1IDNumber,2186))</f>
        <v/>
      </c>
      <c r="G2198" s="51"/>
      <c r="H2198" s="46" t="str">
        <f>IF(AND(I.Developer.P1=TRUE,I.Facility.P1FacilityCount&gt;=2186,F2198=""),"Incomplete","Complete")</f>
        <v>Complete</v>
      </c>
      <c r="I2198" s="48" t="s">
        <v>6563</v>
      </c>
    </row>
    <row r="2199" spans="2:9" ht="15" customHeight="1" x14ac:dyDescent="0.25">
      <c r="B2199" s="55" t="s">
        <v>279</v>
      </c>
      <c r="C2199" s="46">
        <v>2187</v>
      </c>
      <c r="D2199" s="69" t="s">
        <v>29416</v>
      </c>
      <c r="E2199" s="51"/>
      <c r="F2199" s="114" t="str">
        <f>IF(INDEX(I.Facility.P1IDNumber,2187)="","",INDEX(I.Facility.P1IDNumber,2187))</f>
        <v/>
      </c>
      <c r="G2199" s="51"/>
      <c r="H2199" s="46" t="str">
        <f>IF(AND(I.Developer.P1=TRUE,I.Facility.P1FacilityCount&gt;=2187,F2199=""),"Incomplete","Complete")</f>
        <v>Complete</v>
      </c>
      <c r="I2199" s="48" t="s">
        <v>6564</v>
      </c>
    </row>
    <row r="2200" spans="2:9" ht="15" customHeight="1" x14ac:dyDescent="0.25">
      <c r="B2200" s="55" t="s">
        <v>279</v>
      </c>
      <c r="C2200" s="46">
        <v>2188</v>
      </c>
      <c r="D2200" s="69" t="s">
        <v>29416</v>
      </c>
      <c r="E2200" s="51"/>
      <c r="F2200" s="114" t="str">
        <f>IF(INDEX(I.Facility.P1IDNumber,2188)="","",INDEX(I.Facility.P1IDNumber,2188))</f>
        <v/>
      </c>
      <c r="G2200" s="51"/>
      <c r="H2200" s="46" t="str">
        <f>IF(AND(I.Developer.P1=TRUE,I.Facility.P1FacilityCount&gt;=2188,F2200=""),"Incomplete","Complete")</f>
        <v>Complete</v>
      </c>
      <c r="I2200" s="48" t="s">
        <v>6565</v>
      </c>
    </row>
    <row r="2201" spans="2:9" ht="15" customHeight="1" x14ac:dyDescent="0.25">
      <c r="B2201" s="55" t="s">
        <v>279</v>
      </c>
      <c r="C2201" s="46">
        <v>2189</v>
      </c>
      <c r="D2201" s="69" t="s">
        <v>29416</v>
      </c>
      <c r="E2201" s="51"/>
      <c r="F2201" s="114" t="str">
        <f>IF(INDEX(I.Facility.P1IDNumber,2189)="","",INDEX(I.Facility.P1IDNumber,2189))</f>
        <v/>
      </c>
      <c r="G2201" s="51"/>
      <c r="H2201" s="46" t="str">
        <f>IF(AND(I.Developer.P1=TRUE,I.Facility.P1FacilityCount&gt;=2189,F2201=""),"Incomplete","Complete")</f>
        <v>Complete</v>
      </c>
      <c r="I2201" s="48" t="s">
        <v>6566</v>
      </c>
    </row>
    <row r="2202" spans="2:9" ht="15" customHeight="1" x14ac:dyDescent="0.25">
      <c r="B2202" s="55" t="s">
        <v>279</v>
      </c>
      <c r="C2202" s="46">
        <v>2190</v>
      </c>
      <c r="D2202" s="69" t="s">
        <v>29416</v>
      </c>
      <c r="E2202" s="51"/>
      <c r="F2202" s="114" t="str">
        <f>IF(INDEX(I.Facility.P1IDNumber,2190)="","",INDEX(I.Facility.P1IDNumber,2190))</f>
        <v/>
      </c>
      <c r="G2202" s="51"/>
      <c r="H2202" s="46" t="str">
        <f>IF(AND(I.Developer.P1=TRUE,I.Facility.P1FacilityCount&gt;=2190,F2202=""),"Incomplete","Complete")</f>
        <v>Complete</v>
      </c>
      <c r="I2202" s="48" t="s">
        <v>6567</v>
      </c>
    </row>
    <row r="2203" spans="2:9" ht="15" customHeight="1" x14ac:dyDescent="0.25">
      <c r="B2203" s="55" t="s">
        <v>279</v>
      </c>
      <c r="C2203" s="46">
        <v>2191</v>
      </c>
      <c r="D2203" s="69" t="s">
        <v>29416</v>
      </c>
      <c r="E2203" s="51"/>
      <c r="F2203" s="114" t="str">
        <f>IF(INDEX(I.Facility.P1IDNumber,2191)="","",INDEX(I.Facility.P1IDNumber,2191))</f>
        <v/>
      </c>
      <c r="G2203" s="51"/>
      <c r="H2203" s="46" t="str">
        <f>IF(AND(I.Developer.P1=TRUE,I.Facility.P1FacilityCount&gt;=2191,F2203=""),"Incomplete","Complete")</f>
        <v>Complete</v>
      </c>
      <c r="I2203" s="48" t="s">
        <v>6568</v>
      </c>
    </row>
    <row r="2204" spans="2:9" ht="15" customHeight="1" x14ac:dyDescent="0.25">
      <c r="B2204" s="55" t="s">
        <v>279</v>
      </c>
      <c r="C2204" s="46">
        <v>2192</v>
      </c>
      <c r="D2204" s="69" t="s">
        <v>29416</v>
      </c>
      <c r="E2204" s="51"/>
      <c r="F2204" s="114" t="str">
        <f>IF(INDEX(I.Facility.P1IDNumber,2192)="","",INDEX(I.Facility.P1IDNumber,2192))</f>
        <v/>
      </c>
      <c r="G2204" s="51"/>
      <c r="H2204" s="46" t="str">
        <f>IF(AND(I.Developer.P1=TRUE,I.Facility.P1FacilityCount&gt;=2192,F2204=""),"Incomplete","Complete")</f>
        <v>Complete</v>
      </c>
      <c r="I2204" s="48" t="s">
        <v>6569</v>
      </c>
    </row>
    <row r="2205" spans="2:9" ht="15" customHeight="1" x14ac:dyDescent="0.25">
      <c r="B2205" s="55" t="s">
        <v>279</v>
      </c>
      <c r="C2205" s="46">
        <v>2193</v>
      </c>
      <c r="D2205" s="69" t="s">
        <v>29416</v>
      </c>
      <c r="E2205" s="51"/>
      <c r="F2205" s="114" t="str">
        <f>IF(INDEX(I.Facility.P1IDNumber,2193)="","",INDEX(I.Facility.P1IDNumber,2193))</f>
        <v/>
      </c>
      <c r="G2205" s="51"/>
      <c r="H2205" s="46" t="str">
        <f>IF(AND(I.Developer.P1=TRUE,I.Facility.P1FacilityCount&gt;=2193,F2205=""),"Incomplete","Complete")</f>
        <v>Complete</v>
      </c>
      <c r="I2205" s="48" t="s">
        <v>6570</v>
      </c>
    </row>
    <row r="2206" spans="2:9" ht="15" customHeight="1" x14ac:dyDescent="0.25">
      <c r="B2206" s="55" t="s">
        <v>279</v>
      </c>
      <c r="C2206" s="46">
        <v>2194</v>
      </c>
      <c r="D2206" s="69" t="s">
        <v>29416</v>
      </c>
      <c r="E2206" s="51"/>
      <c r="F2206" s="114" t="str">
        <f>IF(INDEX(I.Facility.P1IDNumber,2194)="","",INDEX(I.Facility.P1IDNumber,2194))</f>
        <v/>
      </c>
      <c r="G2206" s="51"/>
      <c r="H2206" s="46" t="str">
        <f>IF(AND(I.Developer.P1=TRUE,I.Facility.P1FacilityCount&gt;=2194,F2206=""),"Incomplete","Complete")</f>
        <v>Complete</v>
      </c>
      <c r="I2206" s="48" t="s">
        <v>6571</v>
      </c>
    </row>
    <row r="2207" spans="2:9" ht="15" customHeight="1" x14ac:dyDescent="0.25">
      <c r="B2207" s="55" t="s">
        <v>279</v>
      </c>
      <c r="C2207" s="46">
        <v>2195</v>
      </c>
      <c r="D2207" s="69" t="s">
        <v>29416</v>
      </c>
      <c r="E2207" s="51"/>
      <c r="F2207" s="114" t="str">
        <f>IF(INDEX(I.Facility.P1IDNumber,2195)="","",INDEX(I.Facility.P1IDNumber,2195))</f>
        <v/>
      </c>
      <c r="G2207" s="51"/>
      <c r="H2207" s="46" t="str">
        <f>IF(AND(I.Developer.P1=TRUE,I.Facility.P1FacilityCount&gt;=2195,F2207=""),"Incomplete","Complete")</f>
        <v>Complete</v>
      </c>
      <c r="I2207" s="48" t="s">
        <v>6572</v>
      </c>
    </row>
    <row r="2208" spans="2:9" ht="15" customHeight="1" x14ac:dyDescent="0.25">
      <c r="B2208" s="55" t="s">
        <v>279</v>
      </c>
      <c r="C2208" s="46">
        <v>2196</v>
      </c>
      <c r="D2208" s="69" t="s">
        <v>29416</v>
      </c>
      <c r="E2208" s="51"/>
      <c r="F2208" s="114" t="str">
        <f>IF(INDEX(I.Facility.P1IDNumber,2196)="","",INDEX(I.Facility.P1IDNumber,2196))</f>
        <v/>
      </c>
      <c r="G2208" s="51"/>
      <c r="H2208" s="46" t="str">
        <f>IF(AND(I.Developer.P1=TRUE,I.Facility.P1FacilityCount&gt;=2196,F2208=""),"Incomplete","Complete")</f>
        <v>Complete</v>
      </c>
      <c r="I2208" s="48" t="s">
        <v>6573</v>
      </c>
    </row>
    <row r="2209" spans="2:9" ht="15" customHeight="1" x14ac:dyDescent="0.25">
      <c r="B2209" s="55" t="s">
        <v>279</v>
      </c>
      <c r="C2209" s="46">
        <v>2197</v>
      </c>
      <c r="D2209" s="69" t="s">
        <v>29416</v>
      </c>
      <c r="E2209" s="51"/>
      <c r="F2209" s="114" t="str">
        <f>IF(INDEX(I.Facility.P1IDNumber,2197)="","",INDEX(I.Facility.P1IDNumber,2197))</f>
        <v/>
      </c>
      <c r="G2209" s="51"/>
      <c r="H2209" s="46" t="str">
        <f>IF(AND(I.Developer.P1=TRUE,I.Facility.P1FacilityCount&gt;=2197,F2209=""),"Incomplete","Complete")</f>
        <v>Complete</v>
      </c>
      <c r="I2209" s="48" t="s">
        <v>6574</v>
      </c>
    </row>
    <row r="2210" spans="2:9" ht="15" customHeight="1" x14ac:dyDescent="0.25">
      <c r="B2210" s="55" t="s">
        <v>279</v>
      </c>
      <c r="C2210" s="46">
        <v>2198</v>
      </c>
      <c r="D2210" s="69" t="s">
        <v>29416</v>
      </c>
      <c r="E2210" s="51"/>
      <c r="F2210" s="114" t="str">
        <f>IF(INDEX(I.Facility.P1IDNumber,2198)="","",INDEX(I.Facility.P1IDNumber,2198))</f>
        <v/>
      </c>
      <c r="G2210" s="51"/>
      <c r="H2210" s="46" t="str">
        <f>IF(AND(I.Developer.P1=TRUE,I.Facility.P1FacilityCount&gt;=2198,F2210=""),"Incomplete","Complete")</f>
        <v>Complete</v>
      </c>
      <c r="I2210" s="48" t="s">
        <v>6575</v>
      </c>
    </row>
    <row r="2211" spans="2:9" ht="15" customHeight="1" x14ac:dyDescent="0.25">
      <c r="B2211" s="55" t="s">
        <v>279</v>
      </c>
      <c r="C2211" s="46">
        <v>2199</v>
      </c>
      <c r="D2211" s="69" t="s">
        <v>29416</v>
      </c>
      <c r="E2211" s="51"/>
      <c r="F2211" s="114" t="str">
        <f>IF(INDEX(I.Facility.P1IDNumber,2199)="","",INDEX(I.Facility.P1IDNumber,2199))</f>
        <v/>
      </c>
      <c r="G2211" s="51"/>
      <c r="H2211" s="46" t="str">
        <f>IF(AND(I.Developer.P1=TRUE,I.Facility.P1FacilityCount&gt;=2199,F2211=""),"Incomplete","Complete")</f>
        <v>Complete</v>
      </c>
      <c r="I2211" s="48" t="s">
        <v>6576</v>
      </c>
    </row>
    <row r="2212" spans="2:9" ht="15" customHeight="1" x14ac:dyDescent="0.25">
      <c r="B2212" s="55" t="s">
        <v>279</v>
      </c>
      <c r="C2212" s="46">
        <v>2200</v>
      </c>
      <c r="D2212" s="69" t="s">
        <v>29416</v>
      </c>
      <c r="E2212" s="51"/>
      <c r="F2212" s="114" t="str">
        <f>IF(INDEX(I.Facility.P1IDNumber,2200)="","",INDEX(I.Facility.P1IDNumber,2200))</f>
        <v/>
      </c>
      <c r="G2212" s="51"/>
      <c r="H2212" s="46" t="str">
        <f>IF(AND(I.Developer.P1=TRUE,I.Facility.P1FacilityCount&gt;=2200,F2212=""),"Incomplete","Complete")</f>
        <v>Complete</v>
      </c>
      <c r="I2212" s="48" t="s">
        <v>6577</v>
      </c>
    </row>
    <row r="2213" spans="2:9" ht="15" customHeight="1" x14ac:dyDescent="0.25">
      <c r="B2213" s="55" t="s">
        <v>279</v>
      </c>
      <c r="C2213" s="46">
        <v>2201</v>
      </c>
      <c r="D2213" s="69" t="s">
        <v>29416</v>
      </c>
      <c r="E2213" s="51"/>
      <c r="F2213" s="114" t="str">
        <f>IF(INDEX(I.Facility.P1IDNumber,2201)="","",INDEX(I.Facility.P1IDNumber,2201))</f>
        <v/>
      </c>
      <c r="G2213" s="51"/>
      <c r="H2213" s="46" t="str">
        <f>IF(AND(I.Developer.P1=TRUE,I.Facility.P1FacilityCount&gt;=2201,F2213=""),"Incomplete","Complete")</f>
        <v>Complete</v>
      </c>
      <c r="I2213" s="48" t="s">
        <v>6578</v>
      </c>
    </row>
    <row r="2214" spans="2:9" ht="15" customHeight="1" x14ac:dyDescent="0.25">
      <c r="B2214" s="55" t="s">
        <v>279</v>
      </c>
      <c r="C2214" s="46">
        <v>2202</v>
      </c>
      <c r="D2214" s="69" t="s">
        <v>29416</v>
      </c>
      <c r="E2214" s="51"/>
      <c r="F2214" s="114" t="str">
        <f>IF(INDEX(I.Facility.P1IDNumber,2202)="","",INDEX(I.Facility.P1IDNumber,2202))</f>
        <v/>
      </c>
      <c r="G2214" s="51"/>
      <c r="H2214" s="46" t="str">
        <f>IF(AND(I.Developer.P1=TRUE,I.Facility.P1FacilityCount&gt;=2202,F2214=""),"Incomplete","Complete")</f>
        <v>Complete</v>
      </c>
      <c r="I2214" s="48" t="s">
        <v>6579</v>
      </c>
    </row>
    <row r="2215" spans="2:9" ht="15" customHeight="1" x14ac:dyDescent="0.25">
      <c r="B2215" s="55" t="s">
        <v>279</v>
      </c>
      <c r="C2215" s="46">
        <v>2203</v>
      </c>
      <c r="D2215" s="69" t="s">
        <v>29416</v>
      </c>
      <c r="E2215" s="51"/>
      <c r="F2215" s="114" t="str">
        <f>IF(INDEX(I.Facility.P1IDNumber,2203)="","",INDEX(I.Facility.P1IDNumber,2203))</f>
        <v/>
      </c>
      <c r="G2215" s="51"/>
      <c r="H2215" s="46" t="str">
        <f>IF(AND(I.Developer.P1=TRUE,I.Facility.P1FacilityCount&gt;=2203,F2215=""),"Incomplete","Complete")</f>
        <v>Complete</v>
      </c>
      <c r="I2215" s="48" t="s">
        <v>6580</v>
      </c>
    </row>
    <row r="2216" spans="2:9" ht="15" customHeight="1" x14ac:dyDescent="0.25">
      <c r="B2216" s="55" t="s">
        <v>279</v>
      </c>
      <c r="C2216" s="46">
        <v>2204</v>
      </c>
      <c r="D2216" s="69" t="s">
        <v>29416</v>
      </c>
      <c r="E2216" s="51"/>
      <c r="F2216" s="114" t="str">
        <f>IF(INDEX(I.Facility.P1IDNumber,2204)="","",INDEX(I.Facility.P1IDNumber,2204))</f>
        <v/>
      </c>
      <c r="G2216" s="51"/>
      <c r="H2216" s="46" t="str">
        <f>IF(AND(I.Developer.P1=TRUE,I.Facility.P1FacilityCount&gt;=2204,F2216=""),"Incomplete","Complete")</f>
        <v>Complete</v>
      </c>
      <c r="I2216" s="48" t="s">
        <v>6581</v>
      </c>
    </row>
    <row r="2217" spans="2:9" ht="15" customHeight="1" x14ac:dyDescent="0.25">
      <c r="B2217" s="55" t="s">
        <v>279</v>
      </c>
      <c r="C2217" s="46">
        <v>2205</v>
      </c>
      <c r="D2217" s="69" t="s">
        <v>29416</v>
      </c>
      <c r="E2217" s="51"/>
      <c r="F2217" s="114" t="str">
        <f>IF(INDEX(I.Facility.P1IDNumber,2205)="","",INDEX(I.Facility.P1IDNumber,2205))</f>
        <v/>
      </c>
      <c r="G2217" s="51"/>
      <c r="H2217" s="46" t="str">
        <f>IF(AND(I.Developer.P1=TRUE,I.Facility.P1FacilityCount&gt;=2205,F2217=""),"Incomplete","Complete")</f>
        <v>Complete</v>
      </c>
      <c r="I2217" s="48" t="s">
        <v>6582</v>
      </c>
    </row>
    <row r="2218" spans="2:9" ht="15" customHeight="1" x14ac:dyDescent="0.25">
      <c r="B2218" s="55" t="s">
        <v>279</v>
      </c>
      <c r="C2218" s="46">
        <v>2206</v>
      </c>
      <c r="D2218" s="69" t="s">
        <v>29416</v>
      </c>
      <c r="E2218" s="51"/>
      <c r="F2218" s="114" t="str">
        <f>IF(INDEX(I.Facility.P1IDNumber,2206)="","",INDEX(I.Facility.P1IDNumber,2206))</f>
        <v/>
      </c>
      <c r="G2218" s="51"/>
      <c r="H2218" s="46" t="str">
        <f>IF(AND(I.Developer.P1=TRUE,I.Facility.P1FacilityCount&gt;=2206,F2218=""),"Incomplete","Complete")</f>
        <v>Complete</v>
      </c>
      <c r="I2218" s="48" t="s">
        <v>6583</v>
      </c>
    </row>
    <row r="2219" spans="2:9" ht="15" customHeight="1" x14ac:dyDescent="0.25">
      <c r="B2219" s="55" t="s">
        <v>279</v>
      </c>
      <c r="C2219" s="46">
        <v>2207</v>
      </c>
      <c r="D2219" s="69" t="s">
        <v>29416</v>
      </c>
      <c r="E2219" s="51"/>
      <c r="F2219" s="114" t="str">
        <f>IF(INDEX(I.Facility.P1IDNumber,2207)="","",INDEX(I.Facility.P1IDNumber,2207))</f>
        <v/>
      </c>
      <c r="G2219" s="51"/>
      <c r="H2219" s="46" t="str">
        <f>IF(AND(I.Developer.P1=TRUE,I.Facility.P1FacilityCount&gt;=2207,F2219=""),"Incomplete","Complete")</f>
        <v>Complete</v>
      </c>
      <c r="I2219" s="48" t="s">
        <v>6584</v>
      </c>
    </row>
    <row r="2220" spans="2:9" ht="15" customHeight="1" x14ac:dyDescent="0.25">
      <c r="B2220" s="55" t="s">
        <v>279</v>
      </c>
      <c r="C2220" s="46">
        <v>2208</v>
      </c>
      <c r="D2220" s="69" t="s">
        <v>29416</v>
      </c>
      <c r="E2220" s="51"/>
      <c r="F2220" s="114" t="str">
        <f>IF(INDEX(I.Facility.P1IDNumber,2208)="","",INDEX(I.Facility.P1IDNumber,2208))</f>
        <v/>
      </c>
      <c r="G2220" s="51"/>
      <c r="H2220" s="46" t="str">
        <f>IF(AND(I.Developer.P1=TRUE,I.Facility.P1FacilityCount&gt;=2208,F2220=""),"Incomplete","Complete")</f>
        <v>Complete</v>
      </c>
      <c r="I2220" s="48" t="s">
        <v>6585</v>
      </c>
    </row>
    <row r="2221" spans="2:9" ht="15" customHeight="1" x14ac:dyDescent="0.25">
      <c r="B2221" s="55" t="s">
        <v>279</v>
      </c>
      <c r="C2221" s="46">
        <v>2209</v>
      </c>
      <c r="D2221" s="69" t="s">
        <v>29416</v>
      </c>
      <c r="E2221" s="51"/>
      <c r="F2221" s="114" t="str">
        <f>IF(INDEX(I.Facility.P1IDNumber,2209)="","",INDEX(I.Facility.P1IDNumber,2209))</f>
        <v/>
      </c>
      <c r="G2221" s="51"/>
      <c r="H2221" s="46" t="str">
        <f>IF(AND(I.Developer.P1=TRUE,I.Facility.P1FacilityCount&gt;=2209,F2221=""),"Incomplete","Complete")</f>
        <v>Complete</v>
      </c>
      <c r="I2221" s="48" t="s">
        <v>6586</v>
      </c>
    </row>
    <row r="2222" spans="2:9" ht="15" customHeight="1" x14ac:dyDescent="0.25">
      <c r="B2222" s="55" t="s">
        <v>279</v>
      </c>
      <c r="C2222" s="46">
        <v>2210</v>
      </c>
      <c r="D2222" s="69" t="s">
        <v>29416</v>
      </c>
      <c r="E2222" s="51"/>
      <c r="F2222" s="114" t="str">
        <f>IF(INDEX(I.Facility.P1IDNumber,2210)="","",INDEX(I.Facility.P1IDNumber,2210))</f>
        <v/>
      </c>
      <c r="G2222" s="51"/>
      <c r="H2222" s="46" t="str">
        <f>IF(AND(I.Developer.P1=TRUE,I.Facility.P1FacilityCount&gt;=2210,F2222=""),"Incomplete","Complete")</f>
        <v>Complete</v>
      </c>
      <c r="I2222" s="48" t="s">
        <v>6587</v>
      </c>
    </row>
    <row r="2223" spans="2:9" ht="15" customHeight="1" x14ac:dyDescent="0.25">
      <c r="B2223" s="55" t="s">
        <v>279</v>
      </c>
      <c r="C2223" s="46">
        <v>2211</v>
      </c>
      <c r="D2223" s="69" t="s">
        <v>29416</v>
      </c>
      <c r="E2223" s="51"/>
      <c r="F2223" s="114" t="str">
        <f>IF(INDEX(I.Facility.P1IDNumber,2211)="","",INDEX(I.Facility.P1IDNumber,2211))</f>
        <v/>
      </c>
      <c r="G2223" s="51"/>
      <c r="H2223" s="46" t="str">
        <f>IF(AND(I.Developer.P1=TRUE,I.Facility.P1FacilityCount&gt;=2211,F2223=""),"Incomplete","Complete")</f>
        <v>Complete</v>
      </c>
      <c r="I2223" s="48" t="s">
        <v>6588</v>
      </c>
    </row>
    <row r="2224" spans="2:9" ht="15" customHeight="1" x14ac:dyDescent="0.25">
      <c r="B2224" s="55" t="s">
        <v>279</v>
      </c>
      <c r="C2224" s="46">
        <v>2212</v>
      </c>
      <c r="D2224" s="69" t="s">
        <v>29416</v>
      </c>
      <c r="E2224" s="51"/>
      <c r="F2224" s="114" t="str">
        <f>IF(INDEX(I.Facility.P1IDNumber,2212)="","",INDEX(I.Facility.P1IDNumber,2212))</f>
        <v/>
      </c>
      <c r="G2224" s="51"/>
      <c r="H2224" s="46" t="str">
        <f>IF(AND(I.Developer.P1=TRUE,I.Facility.P1FacilityCount&gt;=2212,F2224=""),"Incomplete","Complete")</f>
        <v>Complete</v>
      </c>
      <c r="I2224" s="48" t="s">
        <v>6589</v>
      </c>
    </row>
    <row r="2225" spans="2:9" ht="15" customHeight="1" x14ac:dyDescent="0.25">
      <c r="B2225" s="55" t="s">
        <v>279</v>
      </c>
      <c r="C2225" s="46">
        <v>2213</v>
      </c>
      <c r="D2225" s="69" t="s">
        <v>29416</v>
      </c>
      <c r="E2225" s="51"/>
      <c r="F2225" s="114" t="str">
        <f>IF(INDEX(I.Facility.P1IDNumber,2213)="","",INDEX(I.Facility.P1IDNumber,2213))</f>
        <v/>
      </c>
      <c r="G2225" s="51"/>
      <c r="H2225" s="46" t="str">
        <f>IF(AND(I.Developer.P1=TRUE,I.Facility.P1FacilityCount&gt;=2213,F2225=""),"Incomplete","Complete")</f>
        <v>Complete</v>
      </c>
      <c r="I2225" s="48" t="s">
        <v>6590</v>
      </c>
    </row>
    <row r="2226" spans="2:9" ht="15" customHeight="1" x14ac:dyDescent="0.25">
      <c r="B2226" s="55" t="s">
        <v>279</v>
      </c>
      <c r="C2226" s="46">
        <v>2214</v>
      </c>
      <c r="D2226" s="69" t="s">
        <v>29416</v>
      </c>
      <c r="E2226" s="51"/>
      <c r="F2226" s="114" t="str">
        <f>IF(INDEX(I.Facility.P1IDNumber,2214)="","",INDEX(I.Facility.P1IDNumber,2214))</f>
        <v/>
      </c>
      <c r="G2226" s="51"/>
      <c r="H2226" s="46" t="str">
        <f>IF(AND(I.Developer.P1=TRUE,I.Facility.P1FacilityCount&gt;=2214,F2226=""),"Incomplete","Complete")</f>
        <v>Complete</v>
      </c>
      <c r="I2226" s="48" t="s">
        <v>6591</v>
      </c>
    </row>
    <row r="2227" spans="2:9" ht="15" customHeight="1" x14ac:dyDescent="0.25">
      <c r="B2227" s="55" t="s">
        <v>279</v>
      </c>
      <c r="C2227" s="46">
        <v>2215</v>
      </c>
      <c r="D2227" s="69" t="s">
        <v>29416</v>
      </c>
      <c r="E2227" s="51"/>
      <c r="F2227" s="114" t="str">
        <f>IF(INDEX(I.Facility.P1IDNumber,2215)="","",INDEX(I.Facility.P1IDNumber,2215))</f>
        <v/>
      </c>
      <c r="G2227" s="51"/>
      <c r="H2227" s="46" t="str">
        <f>IF(AND(I.Developer.P1=TRUE,I.Facility.P1FacilityCount&gt;=2215,F2227=""),"Incomplete","Complete")</f>
        <v>Complete</v>
      </c>
      <c r="I2227" s="48" t="s">
        <v>6592</v>
      </c>
    </row>
    <row r="2228" spans="2:9" ht="15" customHeight="1" x14ac:dyDescent="0.25">
      <c r="B2228" s="55" t="s">
        <v>279</v>
      </c>
      <c r="C2228" s="46">
        <v>2216</v>
      </c>
      <c r="D2228" s="69" t="s">
        <v>29416</v>
      </c>
      <c r="E2228" s="51"/>
      <c r="F2228" s="114" t="str">
        <f>IF(INDEX(I.Facility.P1IDNumber,2216)="","",INDEX(I.Facility.P1IDNumber,2216))</f>
        <v/>
      </c>
      <c r="G2228" s="51"/>
      <c r="H2228" s="46" t="str">
        <f>IF(AND(I.Developer.P1=TRUE,I.Facility.P1FacilityCount&gt;=2216,F2228=""),"Incomplete","Complete")</f>
        <v>Complete</v>
      </c>
      <c r="I2228" s="48" t="s">
        <v>6593</v>
      </c>
    </row>
    <row r="2229" spans="2:9" ht="15" customHeight="1" x14ac:dyDescent="0.25">
      <c r="B2229" s="55" t="s">
        <v>279</v>
      </c>
      <c r="C2229" s="46">
        <v>2217</v>
      </c>
      <c r="D2229" s="69" t="s">
        <v>29416</v>
      </c>
      <c r="E2229" s="51"/>
      <c r="F2229" s="114" t="str">
        <f>IF(INDEX(I.Facility.P1IDNumber,2217)="","",INDEX(I.Facility.P1IDNumber,2217))</f>
        <v/>
      </c>
      <c r="G2229" s="51"/>
      <c r="H2229" s="46" t="str">
        <f>IF(AND(I.Developer.P1=TRUE,I.Facility.P1FacilityCount&gt;=2217,F2229=""),"Incomplete","Complete")</f>
        <v>Complete</v>
      </c>
      <c r="I2229" s="48" t="s">
        <v>6594</v>
      </c>
    </row>
    <row r="2230" spans="2:9" ht="15" customHeight="1" x14ac:dyDescent="0.25">
      <c r="B2230" s="55" t="s">
        <v>279</v>
      </c>
      <c r="C2230" s="46">
        <v>2218</v>
      </c>
      <c r="D2230" s="69" t="s">
        <v>29416</v>
      </c>
      <c r="E2230" s="51"/>
      <c r="F2230" s="114" t="str">
        <f>IF(INDEX(I.Facility.P1IDNumber,2218)="","",INDEX(I.Facility.P1IDNumber,2218))</f>
        <v/>
      </c>
      <c r="G2230" s="51"/>
      <c r="H2230" s="46" t="str">
        <f>IF(AND(I.Developer.P1=TRUE,I.Facility.P1FacilityCount&gt;=2218,F2230=""),"Incomplete","Complete")</f>
        <v>Complete</v>
      </c>
      <c r="I2230" s="48" t="s">
        <v>6595</v>
      </c>
    </row>
    <row r="2231" spans="2:9" ht="15" customHeight="1" x14ac:dyDescent="0.25">
      <c r="B2231" s="55" t="s">
        <v>279</v>
      </c>
      <c r="C2231" s="46">
        <v>2219</v>
      </c>
      <c r="D2231" s="69" t="s">
        <v>29416</v>
      </c>
      <c r="E2231" s="51"/>
      <c r="F2231" s="114" t="str">
        <f>IF(INDEX(I.Facility.P1IDNumber,2219)="","",INDEX(I.Facility.P1IDNumber,2219))</f>
        <v/>
      </c>
      <c r="G2231" s="51"/>
      <c r="H2231" s="46" t="str">
        <f>IF(AND(I.Developer.P1=TRUE,I.Facility.P1FacilityCount&gt;=2219,F2231=""),"Incomplete","Complete")</f>
        <v>Complete</v>
      </c>
      <c r="I2231" s="48" t="s">
        <v>6596</v>
      </c>
    </row>
    <row r="2232" spans="2:9" ht="15" customHeight="1" x14ac:dyDescent="0.25">
      <c r="B2232" s="55" t="s">
        <v>279</v>
      </c>
      <c r="C2232" s="46">
        <v>2220</v>
      </c>
      <c r="D2232" s="69" t="s">
        <v>29416</v>
      </c>
      <c r="E2232" s="51"/>
      <c r="F2232" s="114" t="str">
        <f>IF(INDEX(I.Facility.P1IDNumber,2220)="","",INDEX(I.Facility.P1IDNumber,2220))</f>
        <v/>
      </c>
      <c r="G2232" s="51"/>
      <c r="H2232" s="46" t="str">
        <f>IF(AND(I.Developer.P1=TRUE,I.Facility.P1FacilityCount&gt;=2220,F2232=""),"Incomplete","Complete")</f>
        <v>Complete</v>
      </c>
      <c r="I2232" s="48" t="s">
        <v>6597</v>
      </c>
    </row>
    <row r="2233" spans="2:9" ht="15" customHeight="1" x14ac:dyDescent="0.25">
      <c r="B2233" s="55" t="s">
        <v>279</v>
      </c>
      <c r="C2233" s="46">
        <v>2221</v>
      </c>
      <c r="D2233" s="69" t="s">
        <v>29416</v>
      </c>
      <c r="E2233" s="51"/>
      <c r="F2233" s="114" t="str">
        <f>IF(INDEX(I.Facility.P1IDNumber,2221)="","",INDEX(I.Facility.P1IDNumber,2221))</f>
        <v/>
      </c>
      <c r="G2233" s="51"/>
      <c r="H2233" s="46" t="str">
        <f>IF(AND(I.Developer.P1=TRUE,I.Facility.P1FacilityCount&gt;=2221,F2233=""),"Incomplete","Complete")</f>
        <v>Complete</v>
      </c>
      <c r="I2233" s="48" t="s">
        <v>6598</v>
      </c>
    </row>
    <row r="2234" spans="2:9" ht="15" customHeight="1" x14ac:dyDescent="0.25">
      <c r="B2234" s="55" t="s">
        <v>279</v>
      </c>
      <c r="C2234" s="46">
        <v>2222</v>
      </c>
      <c r="D2234" s="69" t="s">
        <v>29416</v>
      </c>
      <c r="E2234" s="51"/>
      <c r="F2234" s="114" t="str">
        <f>IF(INDEX(I.Facility.P1IDNumber,2222)="","",INDEX(I.Facility.P1IDNumber,2222))</f>
        <v/>
      </c>
      <c r="G2234" s="51"/>
      <c r="H2234" s="46" t="str">
        <f>IF(AND(I.Developer.P1=TRUE,I.Facility.P1FacilityCount&gt;=2222,F2234=""),"Incomplete","Complete")</f>
        <v>Complete</v>
      </c>
      <c r="I2234" s="48" t="s">
        <v>6599</v>
      </c>
    </row>
    <row r="2235" spans="2:9" ht="15" customHeight="1" x14ac:dyDescent="0.25">
      <c r="B2235" s="55" t="s">
        <v>279</v>
      </c>
      <c r="C2235" s="46">
        <v>2223</v>
      </c>
      <c r="D2235" s="69" t="s">
        <v>29416</v>
      </c>
      <c r="E2235" s="51"/>
      <c r="F2235" s="114" t="str">
        <f>IF(INDEX(I.Facility.P1IDNumber,2223)="","",INDEX(I.Facility.P1IDNumber,2223))</f>
        <v/>
      </c>
      <c r="G2235" s="51"/>
      <c r="H2235" s="46" t="str">
        <f>IF(AND(I.Developer.P1=TRUE,I.Facility.P1FacilityCount&gt;=2223,F2235=""),"Incomplete","Complete")</f>
        <v>Complete</v>
      </c>
      <c r="I2235" s="48" t="s">
        <v>6600</v>
      </c>
    </row>
    <row r="2236" spans="2:9" ht="15" customHeight="1" x14ac:dyDescent="0.25">
      <c r="B2236" s="55" t="s">
        <v>279</v>
      </c>
      <c r="C2236" s="46">
        <v>2224</v>
      </c>
      <c r="D2236" s="69" t="s">
        <v>29416</v>
      </c>
      <c r="E2236" s="51"/>
      <c r="F2236" s="114" t="str">
        <f>IF(INDEX(I.Facility.P1IDNumber,2224)="","",INDEX(I.Facility.P1IDNumber,2224))</f>
        <v/>
      </c>
      <c r="G2236" s="51"/>
      <c r="H2236" s="46" t="str">
        <f>IF(AND(I.Developer.P1=TRUE,I.Facility.P1FacilityCount&gt;=2224,F2236=""),"Incomplete","Complete")</f>
        <v>Complete</v>
      </c>
      <c r="I2236" s="48" t="s">
        <v>6601</v>
      </c>
    </row>
    <row r="2237" spans="2:9" ht="15" customHeight="1" x14ac:dyDescent="0.25">
      <c r="B2237" s="55" t="s">
        <v>279</v>
      </c>
      <c r="C2237" s="46">
        <v>2225</v>
      </c>
      <c r="D2237" s="69" t="s">
        <v>29416</v>
      </c>
      <c r="E2237" s="51"/>
      <c r="F2237" s="114" t="str">
        <f>IF(INDEX(I.Facility.P1IDNumber,2225)="","",INDEX(I.Facility.P1IDNumber,2225))</f>
        <v/>
      </c>
      <c r="G2237" s="51"/>
      <c r="H2237" s="46" t="str">
        <f>IF(AND(I.Developer.P1=TRUE,I.Facility.P1FacilityCount&gt;=2225,F2237=""),"Incomplete","Complete")</f>
        <v>Complete</v>
      </c>
      <c r="I2237" s="48" t="s">
        <v>6602</v>
      </c>
    </row>
    <row r="2238" spans="2:9" ht="15" customHeight="1" x14ac:dyDescent="0.25">
      <c r="B2238" s="55" t="s">
        <v>279</v>
      </c>
      <c r="C2238" s="46">
        <v>2226</v>
      </c>
      <c r="D2238" s="69" t="s">
        <v>29416</v>
      </c>
      <c r="E2238" s="51"/>
      <c r="F2238" s="114" t="str">
        <f>IF(INDEX(I.Facility.P1IDNumber,2226)="","",INDEX(I.Facility.P1IDNumber,2226))</f>
        <v/>
      </c>
      <c r="G2238" s="51"/>
      <c r="H2238" s="46" t="str">
        <f>IF(AND(I.Developer.P1=TRUE,I.Facility.P1FacilityCount&gt;=2226,F2238=""),"Incomplete","Complete")</f>
        <v>Complete</v>
      </c>
      <c r="I2238" s="48" t="s">
        <v>6603</v>
      </c>
    </row>
    <row r="2239" spans="2:9" ht="15" customHeight="1" x14ac:dyDescent="0.25">
      <c r="B2239" s="55" t="s">
        <v>279</v>
      </c>
      <c r="C2239" s="46">
        <v>2227</v>
      </c>
      <c r="D2239" s="69" t="s">
        <v>29416</v>
      </c>
      <c r="E2239" s="51"/>
      <c r="F2239" s="114" t="str">
        <f>IF(INDEX(I.Facility.P1IDNumber,2227)="","",INDEX(I.Facility.P1IDNumber,2227))</f>
        <v/>
      </c>
      <c r="G2239" s="51"/>
      <c r="H2239" s="46" t="str">
        <f>IF(AND(I.Developer.P1=TRUE,I.Facility.P1FacilityCount&gt;=2227,F2239=""),"Incomplete","Complete")</f>
        <v>Complete</v>
      </c>
      <c r="I2239" s="48" t="s">
        <v>6604</v>
      </c>
    </row>
    <row r="2240" spans="2:9" ht="15" customHeight="1" x14ac:dyDescent="0.25">
      <c r="B2240" s="55" t="s">
        <v>279</v>
      </c>
      <c r="C2240" s="46">
        <v>2228</v>
      </c>
      <c r="D2240" s="69" t="s">
        <v>29416</v>
      </c>
      <c r="E2240" s="51"/>
      <c r="F2240" s="114" t="str">
        <f>IF(INDEX(I.Facility.P1IDNumber,2228)="","",INDEX(I.Facility.P1IDNumber,2228))</f>
        <v/>
      </c>
      <c r="G2240" s="51"/>
      <c r="H2240" s="46" t="str">
        <f>IF(AND(I.Developer.P1=TRUE,I.Facility.P1FacilityCount&gt;=2228,F2240=""),"Incomplete","Complete")</f>
        <v>Complete</v>
      </c>
      <c r="I2240" s="48" t="s">
        <v>6605</v>
      </c>
    </row>
    <row r="2241" spans="2:9" ht="15" customHeight="1" x14ac:dyDescent="0.25">
      <c r="B2241" s="55" t="s">
        <v>279</v>
      </c>
      <c r="C2241" s="46">
        <v>2229</v>
      </c>
      <c r="D2241" s="69" t="s">
        <v>29416</v>
      </c>
      <c r="E2241" s="51"/>
      <c r="F2241" s="114" t="str">
        <f>IF(INDEX(I.Facility.P1IDNumber,2229)="","",INDEX(I.Facility.P1IDNumber,2229))</f>
        <v/>
      </c>
      <c r="G2241" s="51"/>
      <c r="H2241" s="46" t="str">
        <f>IF(AND(I.Developer.P1=TRUE,I.Facility.P1FacilityCount&gt;=2229,F2241=""),"Incomplete","Complete")</f>
        <v>Complete</v>
      </c>
      <c r="I2241" s="48" t="s">
        <v>6606</v>
      </c>
    </row>
    <row r="2242" spans="2:9" ht="15" customHeight="1" x14ac:dyDescent="0.25">
      <c r="B2242" s="55" t="s">
        <v>279</v>
      </c>
      <c r="C2242" s="46">
        <v>2230</v>
      </c>
      <c r="D2242" s="69" t="s">
        <v>29416</v>
      </c>
      <c r="E2242" s="51"/>
      <c r="F2242" s="114" t="str">
        <f>IF(INDEX(I.Facility.P1IDNumber,2230)="","",INDEX(I.Facility.P1IDNumber,2230))</f>
        <v/>
      </c>
      <c r="G2242" s="51"/>
      <c r="H2242" s="46" t="str">
        <f>IF(AND(I.Developer.P1=TRUE,I.Facility.P1FacilityCount&gt;=2230,F2242=""),"Incomplete","Complete")</f>
        <v>Complete</v>
      </c>
      <c r="I2242" s="48" t="s">
        <v>6607</v>
      </c>
    </row>
    <row r="2243" spans="2:9" ht="15" customHeight="1" x14ac:dyDescent="0.25">
      <c r="B2243" s="55" t="s">
        <v>279</v>
      </c>
      <c r="C2243" s="46">
        <v>2231</v>
      </c>
      <c r="D2243" s="69" t="s">
        <v>29416</v>
      </c>
      <c r="E2243" s="51"/>
      <c r="F2243" s="114" t="str">
        <f>IF(INDEX(I.Facility.P1IDNumber,2231)="","",INDEX(I.Facility.P1IDNumber,2231))</f>
        <v/>
      </c>
      <c r="G2243" s="51"/>
      <c r="H2243" s="46" t="str">
        <f>IF(AND(I.Developer.P1=TRUE,I.Facility.P1FacilityCount&gt;=2231,F2243=""),"Incomplete","Complete")</f>
        <v>Complete</v>
      </c>
      <c r="I2243" s="48" t="s">
        <v>6608</v>
      </c>
    </row>
    <row r="2244" spans="2:9" ht="15" customHeight="1" x14ac:dyDescent="0.25">
      <c r="B2244" s="55" t="s">
        <v>279</v>
      </c>
      <c r="C2244" s="46">
        <v>2232</v>
      </c>
      <c r="D2244" s="69" t="s">
        <v>29416</v>
      </c>
      <c r="E2244" s="51"/>
      <c r="F2244" s="114" t="str">
        <f>IF(INDEX(I.Facility.P1IDNumber,2232)="","",INDEX(I.Facility.P1IDNumber,2232))</f>
        <v/>
      </c>
      <c r="G2244" s="51"/>
      <c r="H2244" s="46" t="str">
        <f>IF(AND(I.Developer.P1=TRUE,I.Facility.P1FacilityCount&gt;=2232,F2244=""),"Incomplete","Complete")</f>
        <v>Complete</v>
      </c>
      <c r="I2244" s="48" t="s">
        <v>6609</v>
      </c>
    </row>
    <row r="2245" spans="2:9" ht="15" customHeight="1" x14ac:dyDescent="0.25">
      <c r="B2245" s="55" t="s">
        <v>279</v>
      </c>
      <c r="C2245" s="46">
        <v>2233</v>
      </c>
      <c r="D2245" s="69" t="s">
        <v>29416</v>
      </c>
      <c r="E2245" s="51"/>
      <c r="F2245" s="114" t="str">
        <f>IF(INDEX(I.Facility.P1IDNumber,2233)="","",INDEX(I.Facility.P1IDNumber,2233))</f>
        <v/>
      </c>
      <c r="G2245" s="51"/>
      <c r="H2245" s="46" t="str">
        <f>IF(AND(I.Developer.P1=TRUE,I.Facility.P1FacilityCount&gt;=2233,F2245=""),"Incomplete","Complete")</f>
        <v>Complete</v>
      </c>
      <c r="I2245" s="48" t="s">
        <v>6610</v>
      </c>
    </row>
    <row r="2246" spans="2:9" ht="15" customHeight="1" x14ac:dyDescent="0.25">
      <c r="B2246" s="55" t="s">
        <v>279</v>
      </c>
      <c r="C2246" s="46">
        <v>2234</v>
      </c>
      <c r="D2246" s="69" t="s">
        <v>29416</v>
      </c>
      <c r="E2246" s="51"/>
      <c r="F2246" s="114" t="str">
        <f>IF(INDEX(I.Facility.P1IDNumber,2234)="","",INDEX(I.Facility.P1IDNumber,2234))</f>
        <v/>
      </c>
      <c r="G2246" s="51"/>
      <c r="H2246" s="46" t="str">
        <f>IF(AND(I.Developer.P1=TRUE,I.Facility.P1FacilityCount&gt;=2234,F2246=""),"Incomplete","Complete")</f>
        <v>Complete</v>
      </c>
      <c r="I2246" s="48" t="s">
        <v>6611</v>
      </c>
    </row>
    <row r="2247" spans="2:9" ht="15" customHeight="1" x14ac:dyDescent="0.25">
      <c r="B2247" s="55" t="s">
        <v>279</v>
      </c>
      <c r="C2247" s="46">
        <v>2235</v>
      </c>
      <c r="D2247" s="69" t="s">
        <v>29416</v>
      </c>
      <c r="E2247" s="51"/>
      <c r="F2247" s="114" t="str">
        <f>IF(INDEX(I.Facility.P1IDNumber,2235)="","",INDEX(I.Facility.P1IDNumber,2235))</f>
        <v/>
      </c>
      <c r="G2247" s="51"/>
      <c r="H2247" s="46" t="str">
        <f>IF(AND(I.Developer.P1=TRUE,I.Facility.P1FacilityCount&gt;=2235,F2247=""),"Incomplete","Complete")</f>
        <v>Complete</v>
      </c>
      <c r="I2247" s="48" t="s">
        <v>6612</v>
      </c>
    </row>
    <row r="2248" spans="2:9" ht="15" customHeight="1" x14ac:dyDescent="0.25">
      <c r="B2248" s="55" t="s">
        <v>279</v>
      </c>
      <c r="C2248" s="46">
        <v>2236</v>
      </c>
      <c r="D2248" s="69" t="s">
        <v>29416</v>
      </c>
      <c r="E2248" s="51"/>
      <c r="F2248" s="114" t="str">
        <f>IF(INDEX(I.Facility.P1IDNumber,2236)="","",INDEX(I.Facility.P1IDNumber,2236))</f>
        <v/>
      </c>
      <c r="G2248" s="51"/>
      <c r="H2248" s="46" t="str">
        <f>IF(AND(I.Developer.P1=TRUE,I.Facility.P1FacilityCount&gt;=2236,F2248=""),"Incomplete","Complete")</f>
        <v>Complete</v>
      </c>
      <c r="I2248" s="48" t="s">
        <v>6613</v>
      </c>
    </row>
    <row r="2249" spans="2:9" ht="15" customHeight="1" x14ac:dyDescent="0.25">
      <c r="B2249" s="55" t="s">
        <v>279</v>
      </c>
      <c r="C2249" s="46">
        <v>2237</v>
      </c>
      <c r="D2249" s="69" t="s">
        <v>29416</v>
      </c>
      <c r="E2249" s="51"/>
      <c r="F2249" s="114" t="str">
        <f>IF(INDEX(I.Facility.P1IDNumber,2237)="","",INDEX(I.Facility.P1IDNumber,2237))</f>
        <v/>
      </c>
      <c r="G2249" s="51"/>
      <c r="H2249" s="46" t="str">
        <f>IF(AND(I.Developer.P1=TRUE,I.Facility.P1FacilityCount&gt;=2237,F2249=""),"Incomplete","Complete")</f>
        <v>Complete</v>
      </c>
      <c r="I2249" s="48" t="s">
        <v>6614</v>
      </c>
    </row>
    <row r="2250" spans="2:9" ht="15" customHeight="1" x14ac:dyDescent="0.25">
      <c r="B2250" s="55" t="s">
        <v>279</v>
      </c>
      <c r="C2250" s="46">
        <v>2238</v>
      </c>
      <c r="D2250" s="69" t="s">
        <v>29416</v>
      </c>
      <c r="E2250" s="51"/>
      <c r="F2250" s="114" t="str">
        <f>IF(INDEX(I.Facility.P1IDNumber,2238)="","",INDEX(I.Facility.P1IDNumber,2238))</f>
        <v/>
      </c>
      <c r="G2250" s="51"/>
      <c r="H2250" s="46" t="str">
        <f>IF(AND(I.Developer.P1=TRUE,I.Facility.P1FacilityCount&gt;=2238,F2250=""),"Incomplete","Complete")</f>
        <v>Complete</v>
      </c>
      <c r="I2250" s="48" t="s">
        <v>6615</v>
      </c>
    </row>
    <row r="2251" spans="2:9" ht="15" customHeight="1" x14ac:dyDescent="0.25">
      <c r="B2251" s="55" t="s">
        <v>279</v>
      </c>
      <c r="C2251" s="46">
        <v>2239</v>
      </c>
      <c r="D2251" s="69" t="s">
        <v>29416</v>
      </c>
      <c r="E2251" s="51"/>
      <c r="F2251" s="114" t="str">
        <f>IF(INDEX(I.Facility.P1IDNumber,2239)="","",INDEX(I.Facility.P1IDNumber,2239))</f>
        <v/>
      </c>
      <c r="G2251" s="51"/>
      <c r="H2251" s="46" t="str">
        <f>IF(AND(I.Developer.P1=TRUE,I.Facility.P1FacilityCount&gt;=2239,F2251=""),"Incomplete","Complete")</f>
        <v>Complete</v>
      </c>
      <c r="I2251" s="48" t="s">
        <v>6616</v>
      </c>
    </row>
    <row r="2252" spans="2:9" ht="15" customHeight="1" x14ac:dyDescent="0.25">
      <c r="B2252" s="55" t="s">
        <v>279</v>
      </c>
      <c r="C2252" s="46">
        <v>2240</v>
      </c>
      <c r="D2252" s="69" t="s">
        <v>29416</v>
      </c>
      <c r="E2252" s="51"/>
      <c r="F2252" s="114" t="str">
        <f>IF(INDEX(I.Facility.P1IDNumber,2240)="","",INDEX(I.Facility.P1IDNumber,2240))</f>
        <v/>
      </c>
      <c r="G2252" s="51"/>
      <c r="H2252" s="46" t="str">
        <f>IF(AND(I.Developer.P1=TRUE,I.Facility.P1FacilityCount&gt;=2240,F2252=""),"Incomplete","Complete")</f>
        <v>Complete</v>
      </c>
      <c r="I2252" s="48" t="s">
        <v>6617</v>
      </c>
    </row>
    <row r="2253" spans="2:9" ht="15" customHeight="1" x14ac:dyDescent="0.25">
      <c r="B2253" s="55" t="s">
        <v>279</v>
      </c>
      <c r="C2253" s="46">
        <v>2241</v>
      </c>
      <c r="D2253" s="69" t="s">
        <v>29416</v>
      </c>
      <c r="E2253" s="51"/>
      <c r="F2253" s="114" t="str">
        <f>IF(INDEX(I.Facility.P1IDNumber,2241)="","",INDEX(I.Facility.P1IDNumber,2241))</f>
        <v/>
      </c>
      <c r="G2253" s="51"/>
      <c r="H2253" s="46" t="str">
        <f>IF(AND(I.Developer.P1=TRUE,I.Facility.P1FacilityCount&gt;=2241,F2253=""),"Incomplete","Complete")</f>
        <v>Complete</v>
      </c>
      <c r="I2253" s="48" t="s">
        <v>6618</v>
      </c>
    </row>
    <row r="2254" spans="2:9" ht="15" customHeight="1" x14ac:dyDescent="0.25">
      <c r="B2254" s="55" t="s">
        <v>279</v>
      </c>
      <c r="C2254" s="46">
        <v>2242</v>
      </c>
      <c r="D2254" s="69" t="s">
        <v>29416</v>
      </c>
      <c r="E2254" s="51"/>
      <c r="F2254" s="114" t="str">
        <f>IF(INDEX(I.Facility.P1IDNumber,2242)="","",INDEX(I.Facility.P1IDNumber,2242))</f>
        <v/>
      </c>
      <c r="G2254" s="51"/>
      <c r="H2254" s="46" t="str">
        <f>IF(AND(I.Developer.P1=TRUE,I.Facility.P1FacilityCount&gt;=2242,F2254=""),"Incomplete","Complete")</f>
        <v>Complete</v>
      </c>
      <c r="I2254" s="48" t="s">
        <v>6619</v>
      </c>
    </row>
    <row r="2255" spans="2:9" ht="15" customHeight="1" x14ac:dyDescent="0.25">
      <c r="B2255" s="55" t="s">
        <v>279</v>
      </c>
      <c r="C2255" s="46">
        <v>2243</v>
      </c>
      <c r="D2255" s="69" t="s">
        <v>29416</v>
      </c>
      <c r="E2255" s="51"/>
      <c r="F2255" s="114" t="str">
        <f>IF(INDEX(I.Facility.P1IDNumber,2243)="","",INDEX(I.Facility.P1IDNumber,2243))</f>
        <v/>
      </c>
      <c r="G2255" s="51"/>
      <c r="H2255" s="46" t="str">
        <f>IF(AND(I.Developer.P1=TRUE,I.Facility.P1FacilityCount&gt;=2243,F2255=""),"Incomplete","Complete")</f>
        <v>Complete</v>
      </c>
      <c r="I2255" s="48" t="s">
        <v>6620</v>
      </c>
    </row>
    <row r="2256" spans="2:9" ht="15" customHeight="1" x14ac:dyDescent="0.25">
      <c r="B2256" s="55" t="s">
        <v>279</v>
      </c>
      <c r="C2256" s="46">
        <v>2244</v>
      </c>
      <c r="D2256" s="69" t="s">
        <v>29416</v>
      </c>
      <c r="E2256" s="51"/>
      <c r="F2256" s="114" t="str">
        <f>IF(INDEX(I.Facility.P1IDNumber,2244)="","",INDEX(I.Facility.P1IDNumber,2244))</f>
        <v/>
      </c>
      <c r="G2256" s="51"/>
      <c r="H2256" s="46" t="str">
        <f>IF(AND(I.Developer.P1=TRUE,I.Facility.P1FacilityCount&gt;=2244,F2256=""),"Incomplete","Complete")</f>
        <v>Complete</v>
      </c>
      <c r="I2256" s="48" t="s">
        <v>6621</v>
      </c>
    </row>
    <row r="2257" spans="2:9" ht="15" customHeight="1" x14ac:dyDescent="0.25">
      <c r="B2257" s="55" t="s">
        <v>279</v>
      </c>
      <c r="C2257" s="46">
        <v>2245</v>
      </c>
      <c r="D2257" s="69" t="s">
        <v>29416</v>
      </c>
      <c r="E2257" s="51"/>
      <c r="F2257" s="114" t="str">
        <f>IF(INDEX(I.Facility.P1IDNumber,2245)="","",INDEX(I.Facility.P1IDNumber,2245))</f>
        <v/>
      </c>
      <c r="G2257" s="51"/>
      <c r="H2257" s="46" t="str">
        <f>IF(AND(I.Developer.P1=TRUE,I.Facility.P1FacilityCount&gt;=2245,F2257=""),"Incomplete","Complete")</f>
        <v>Complete</v>
      </c>
      <c r="I2257" s="48" t="s">
        <v>6622</v>
      </c>
    </row>
    <row r="2258" spans="2:9" ht="15" customHeight="1" x14ac:dyDescent="0.25">
      <c r="B2258" s="55" t="s">
        <v>279</v>
      </c>
      <c r="C2258" s="46">
        <v>2246</v>
      </c>
      <c r="D2258" s="69" t="s">
        <v>29416</v>
      </c>
      <c r="E2258" s="51"/>
      <c r="F2258" s="114" t="str">
        <f>IF(INDEX(I.Facility.P1IDNumber,2246)="","",INDEX(I.Facility.P1IDNumber,2246))</f>
        <v/>
      </c>
      <c r="G2258" s="51"/>
      <c r="H2258" s="46" t="str">
        <f>IF(AND(I.Developer.P1=TRUE,I.Facility.P1FacilityCount&gt;=2246,F2258=""),"Incomplete","Complete")</f>
        <v>Complete</v>
      </c>
      <c r="I2258" s="48" t="s">
        <v>6623</v>
      </c>
    </row>
    <row r="2259" spans="2:9" ht="15" customHeight="1" x14ac:dyDescent="0.25">
      <c r="B2259" s="55" t="s">
        <v>279</v>
      </c>
      <c r="C2259" s="46">
        <v>2247</v>
      </c>
      <c r="D2259" s="69" t="s">
        <v>29416</v>
      </c>
      <c r="E2259" s="51"/>
      <c r="F2259" s="114" t="str">
        <f>IF(INDEX(I.Facility.P1IDNumber,2247)="","",INDEX(I.Facility.P1IDNumber,2247))</f>
        <v/>
      </c>
      <c r="G2259" s="51"/>
      <c r="H2259" s="46" t="str">
        <f>IF(AND(I.Developer.P1=TRUE,I.Facility.P1FacilityCount&gt;=2247,F2259=""),"Incomplete","Complete")</f>
        <v>Complete</v>
      </c>
      <c r="I2259" s="48" t="s">
        <v>6624</v>
      </c>
    </row>
    <row r="2260" spans="2:9" ht="15" customHeight="1" x14ac:dyDescent="0.25">
      <c r="B2260" s="55" t="s">
        <v>279</v>
      </c>
      <c r="C2260" s="46">
        <v>2248</v>
      </c>
      <c r="D2260" s="69" t="s">
        <v>29416</v>
      </c>
      <c r="E2260" s="51"/>
      <c r="F2260" s="114" t="str">
        <f>IF(INDEX(I.Facility.P1IDNumber,2248)="","",INDEX(I.Facility.P1IDNumber,2248))</f>
        <v/>
      </c>
      <c r="G2260" s="51"/>
      <c r="H2260" s="46" t="str">
        <f>IF(AND(I.Developer.P1=TRUE,I.Facility.P1FacilityCount&gt;=2248,F2260=""),"Incomplete","Complete")</f>
        <v>Complete</v>
      </c>
      <c r="I2260" s="48" t="s">
        <v>6625</v>
      </c>
    </row>
    <row r="2261" spans="2:9" ht="15" customHeight="1" x14ac:dyDescent="0.25">
      <c r="B2261" s="55" t="s">
        <v>279</v>
      </c>
      <c r="C2261" s="46">
        <v>2249</v>
      </c>
      <c r="D2261" s="69" t="s">
        <v>29416</v>
      </c>
      <c r="E2261" s="51"/>
      <c r="F2261" s="114" t="str">
        <f>IF(INDEX(I.Facility.P1IDNumber,2249)="","",INDEX(I.Facility.P1IDNumber,2249))</f>
        <v/>
      </c>
      <c r="G2261" s="51"/>
      <c r="H2261" s="46" t="str">
        <f>IF(AND(I.Developer.P1=TRUE,I.Facility.P1FacilityCount&gt;=2249,F2261=""),"Incomplete","Complete")</f>
        <v>Complete</v>
      </c>
      <c r="I2261" s="48" t="s">
        <v>6626</v>
      </c>
    </row>
    <row r="2262" spans="2:9" ht="15" customHeight="1" x14ac:dyDescent="0.25">
      <c r="B2262" s="55" t="s">
        <v>279</v>
      </c>
      <c r="C2262" s="46">
        <v>2250</v>
      </c>
      <c r="D2262" s="69" t="s">
        <v>29416</v>
      </c>
      <c r="E2262" s="51"/>
      <c r="F2262" s="114" t="str">
        <f>IF(INDEX(I.Facility.P1IDNumber,2250)="","",INDEX(I.Facility.P1IDNumber,2250))</f>
        <v/>
      </c>
      <c r="G2262" s="51"/>
      <c r="H2262" s="46" t="str">
        <f>IF(AND(I.Developer.P1=TRUE,I.Facility.P1FacilityCount&gt;=2250,F2262=""),"Incomplete","Complete")</f>
        <v>Complete</v>
      </c>
      <c r="I2262" s="48" t="s">
        <v>6627</v>
      </c>
    </row>
    <row r="2263" spans="2:9" ht="15" customHeight="1" x14ac:dyDescent="0.25">
      <c r="B2263" s="55" t="s">
        <v>279</v>
      </c>
      <c r="C2263" s="46">
        <v>2251</v>
      </c>
      <c r="D2263" s="69" t="s">
        <v>29416</v>
      </c>
      <c r="E2263" s="51"/>
      <c r="F2263" s="114" t="str">
        <f>IF(INDEX(I.Facility.P1IDNumber,2251)="","",INDEX(I.Facility.P1IDNumber,2251))</f>
        <v/>
      </c>
      <c r="G2263" s="51"/>
      <c r="H2263" s="46" t="str">
        <f>IF(AND(I.Developer.P1=TRUE,I.Facility.P1FacilityCount&gt;=2251,F2263=""),"Incomplete","Complete")</f>
        <v>Complete</v>
      </c>
      <c r="I2263" s="48" t="s">
        <v>6628</v>
      </c>
    </row>
    <row r="2264" spans="2:9" ht="15" customHeight="1" x14ac:dyDescent="0.25">
      <c r="B2264" s="55" t="s">
        <v>279</v>
      </c>
      <c r="C2264" s="46">
        <v>2252</v>
      </c>
      <c r="D2264" s="69" t="s">
        <v>29416</v>
      </c>
      <c r="E2264" s="51"/>
      <c r="F2264" s="114" t="str">
        <f>IF(INDEX(I.Facility.P1IDNumber,2252)="","",INDEX(I.Facility.P1IDNumber,2252))</f>
        <v/>
      </c>
      <c r="G2264" s="51"/>
      <c r="H2264" s="46" t="str">
        <f>IF(AND(I.Developer.P1=TRUE,I.Facility.P1FacilityCount&gt;=2252,F2264=""),"Incomplete","Complete")</f>
        <v>Complete</v>
      </c>
      <c r="I2264" s="48" t="s">
        <v>6629</v>
      </c>
    </row>
    <row r="2265" spans="2:9" ht="15" customHeight="1" x14ac:dyDescent="0.25">
      <c r="B2265" s="55" t="s">
        <v>279</v>
      </c>
      <c r="C2265" s="46">
        <v>2253</v>
      </c>
      <c r="D2265" s="69" t="s">
        <v>29416</v>
      </c>
      <c r="E2265" s="51"/>
      <c r="F2265" s="114" t="str">
        <f>IF(INDEX(I.Facility.P1IDNumber,2253)="","",INDEX(I.Facility.P1IDNumber,2253))</f>
        <v/>
      </c>
      <c r="G2265" s="51"/>
      <c r="H2265" s="46" t="str">
        <f>IF(AND(I.Developer.P1=TRUE,I.Facility.P1FacilityCount&gt;=2253,F2265=""),"Incomplete","Complete")</f>
        <v>Complete</v>
      </c>
      <c r="I2265" s="48" t="s">
        <v>6630</v>
      </c>
    </row>
    <row r="2266" spans="2:9" ht="15" customHeight="1" x14ac:dyDescent="0.25">
      <c r="B2266" s="55" t="s">
        <v>279</v>
      </c>
      <c r="C2266" s="46">
        <v>2254</v>
      </c>
      <c r="D2266" s="69" t="s">
        <v>29416</v>
      </c>
      <c r="E2266" s="51"/>
      <c r="F2266" s="114" t="str">
        <f>IF(INDEX(I.Facility.P1IDNumber,2254)="","",INDEX(I.Facility.P1IDNumber,2254))</f>
        <v/>
      </c>
      <c r="G2266" s="51"/>
      <c r="H2266" s="46" t="str">
        <f>IF(AND(I.Developer.P1=TRUE,I.Facility.P1FacilityCount&gt;=2254,F2266=""),"Incomplete","Complete")</f>
        <v>Complete</v>
      </c>
      <c r="I2266" s="48" t="s">
        <v>6631</v>
      </c>
    </row>
    <row r="2267" spans="2:9" ht="15" customHeight="1" x14ac:dyDescent="0.25">
      <c r="B2267" s="55" t="s">
        <v>279</v>
      </c>
      <c r="C2267" s="46">
        <v>2255</v>
      </c>
      <c r="D2267" s="69" t="s">
        <v>29416</v>
      </c>
      <c r="E2267" s="51"/>
      <c r="F2267" s="114" t="str">
        <f>IF(INDEX(I.Facility.P1IDNumber,2255)="","",INDEX(I.Facility.P1IDNumber,2255))</f>
        <v/>
      </c>
      <c r="G2267" s="51"/>
      <c r="H2267" s="46" t="str">
        <f>IF(AND(I.Developer.P1=TRUE,I.Facility.P1FacilityCount&gt;=2255,F2267=""),"Incomplete","Complete")</f>
        <v>Complete</v>
      </c>
      <c r="I2267" s="48" t="s">
        <v>6632</v>
      </c>
    </row>
    <row r="2268" spans="2:9" ht="15" customHeight="1" x14ac:dyDescent="0.25">
      <c r="B2268" s="55" t="s">
        <v>279</v>
      </c>
      <c r="C2268" s="46">
        <v>2256</v>
      </c>
      <c r="D2268" s="69" t="s">
        <v>29416</v>
      </c>
      <c r="E2268" s="51"/>
      <c r="F2268" s="114" t="str">
        <f>IF(INDEX(I.Facility.P1IDNumber,2256)="","",INDEX(I.Facility.P1IDNumber,2256))</f>
        <v/>
      </c>
      <c r="G2268" s="51"/>
      <c r="H2268" s="46" t="str">
        <f>IF(AND(I.Developer.P1=TRUE,I.Facility.P1FacilityCount&gt;=2256,F2268=""),"Incomplete","Complete")</f>
        <v>Complete</v>
      </c>
      <c r="I2268" s="48" t="s">
        <v>6633</v>
      </c>
    </row>
    <row r="2269" spans="2:9" ht="15" customHeight="1" x14ac:dyDescent="0.25">
      <c r="B2269" s="55" t="s">
        <v>279</v>
      </c>
      <c r="C2269" s="46">
        <v>2257</v>
      </c>
      <c r="D2269" s="69" t="s">
        <v>29416</v>
      </c>
      <c r="E2269" s="51"/>
      <c r="F2269" s="114" t="str">
        <f>IF(INDEX(I.Facility.P1IDNumber,2257)="","",INDEX(I.Facility.P1IDNumber,2257))</f>
        <v/>
      </c>
      <c r="G2269" s="51"/>
      <c r="H2269" s="46" t="str">
        <f>IF(AND(I.Developer.P1=TRUE,I.Facility.P1FacilityCount&gt;=2257,F2269=""),"Incomplete","Complete")</f>
        <v>Complete</v>
      </c>
      <c r="I2269" s="48" t="s">
        <v>6634</v>
      </c>
    </row>
    <row r="2270" spans="2:9" ht="15" customHeight="1" x14ac:dyDescent="0.25">
      <c r="B2270" s="55" t="s">
        <v>279</v>
      </c>
      <c r="C2270" s="46">
        <v>2258</v>
      </c>
      <c r="D2270" s="69" t="s">
        <v>29416</v>
      </c>
      <c r="E2270" s="51"/>
      <c r="F2270" s="114" t="str">
        <f>IF(INDEX(I.Facility.P1IDNumber,2258)="","",INDEX(I.Facility.P1IDNumber,2258))</f>
        <v/>
      </c>
      <c r="G2270" s="51"/>
      <c r="H2270" s="46" t="str">
        <f>IF(AND(I.Developer.P1=TRUE,I.Facility.P1FacilityCount&gt;=2258,F2270=""),"Incomplete","Complete")</f>
        <v>Complete</v>
      </c>
      <c r="I2270" s="48" t="s">
        <v>6635</v>
      </c>
    </row>
    <row r="2271" spans="2:9" ht="15" customHeight="1" x14ac:dyDescent="0.25">
      <c r="B2271" s="55" t="s">
        <v>279</v>
      </c>
      <c r="C2271" s="46">
        <v>2259</v>
      </c>
      <c r="D2271" s="69" t="s">
        <v>29416</v>
      </c>
      <c r="E2271" s="51"/>
      <c r="F2271" s="114" t="str">
        <f>IF(INDEX(I.Facility.P1IDNumber,2259)="","",INDEX(I.Facility.P1IDNumber,2259))</f>
        <v/>
      </c>
      <c r="G2271" s="51"/>
      <c r="H2271" s="46" t="str">
        <f>IF(AND(I.Developer.P1=TRUE,I.Facility.P1FacilityCount&gt;=2259,F2271=""),"Incomplete","Complete")</f>
        <v>Complete</v>
      </c>
      <c r="I2271" s="48" t="s">
        <v>6636</v>
      </c>
    </row>
    <row r="2272" spans="2:9" ht="15" customHeight="1" x14ac:dyDescent="0.25">
      <c r="B2272" s="55" t="s">
        <v>279</v>
      </c>
      <c r="C2272" s="46">
        <v>2260</v>
      </c>
      <c r="D2272" s="69" t="s">
        <v>29416</v>
      </c>
      <c r="E2272" s="51"/>
      <c r="F2272" s="114" t="str">
        <f>IF(INDEX(I.Facility.P1IDNumber,2260)="","",INDEX(I.Facility.P1IDNumber,2260))</f>
        <v/>
      </c>
      <c r="G2272" s="51"/>
      <c r="H2272" s="46" t="str">
        <f>IF(AND(I.Developer.P1=TRUE,I.Facility.P1FacilityCount&gt;=2260,F2272=""),"Incomplete","Complete")</f>
        <v>Complete</v>
      </c>
      <c r="I2272" s="48" t="s">
        <v>6637</v>
      </c>
    </row>
    <row r="2273" spans="2:9" ht="15" customHeight="1" x14ac:dyDescent="0.25">
      <c r="B2273" s="55" t="s">
        <v>279</v>
      </c>
      <c r="C2273" s="46">
        <v>2261</v>
      </c>
      <c r="D2273" s="69" t="s">
        <v>29416</v>
      </c>
      <c r="E2273" s="51"/>
      <c r="F2273" s="114" t="str">
        <f>IF(INDEX(I.Facility.P1IDNumber,2261)="","",INDEX(I.Facility.P1IDNumber,2261))</f>
        <v/>
      </c>
      <c r="G2273" s="51"/>
      <c r="H2273" s="46" t="str">
        <f>IF(AND(I.Developer.P1=TRUE,I.Facility.P1FacilityCount&gt;=2261,F2273=""),"Incomplete","Complete")</f>
        <v>Complete</v>
      </c>
      <c r="I2273" s="48" t="s">
        <v>6638</v>
      </c>
    </row>
    <row r="2274" spans="2:9" ht="15" customHeight="1" x14ac:dyDescent="0.25">
      <c r="B2274" s="55" t="s">
        <v>279</v>
      </c>
      <c r="C2274" s="46">
        <v>2262</v>
      </c>
      <c r="D2274" s="69" t="s">
        <v>29416</v>
      </c>
      <c r="E2274" s="51"/>
      <c r="F2274" s="114" t="str">
        <f>IF(INDEX(I.Facility.P1IDNumber,2262)="","",INDEX(I.Facility.P1IDNumber,2262))</f>
        <v/>
      </c>
      <c r="G2274" s="51"/>
      <c r="H2274" s="46" t="str">
        <f>IF(AND(I.Developer.P1=TRUE,I.Facility.P1FacilityCount&gt;=2262,F2274=""),"Incomplete","Complete")</f>
        <v>Complete</v>
      </c>
      <c r="I2274" s="48" t="s">
        <v>6639</v>
      </c>
    </row>
    <row r="2275" spans="2:9" ht="15" customHeight="1" x14ac:dyDescent="0.25">
      <c r="B2275" s="55" t="s">
        <v>279</v>
      </c>
      <c r="C2275" s="46">
        <v>2263</v>
      </c>
      <c r="D2275" s="69" t="s">
        <v>29416</v>
      </c>
      <c r="E2275" s="51"/>
      <c r="F2275" s="114" t="str">
        <f>IF(INDEX(I.Facility.P1IDNumber,2263)="","",INDEX(I.Facility.P1IDNumber,2263))</f>
        <v/>
      </c>
      <c r="G2275" s="51"/>
      <c r="H2275" s="46" t="str">
        <f>IF(AND(I.Developer.P1=TRUE,I.Facility.P1FacilityCount&gt;=2263,F2275=""),"Incomplete","Complete")</f>
        <v>Complete</v>
      </c>
      <c r="I2275" s="48" t="s">
        <v>6640</v>
      </c>
    </row>
    <row r="2276" spans="2:9" ht="15" customHeight="1" x14ac:dyDescent="0.25">
      <c r="B2276" s="55" t="s">
        <v>279</v>
      </c>
      <c r="C2276" s="46">
        <v>2264</v>
      </c>
      <c r="D2276" s="69" t="s">
        <v>29416</v>
      </c>
      <c r="E2276" s="51"/>
      <c r="F2276" s="114" t="str">
        <f>IF(INDEX(I.Facility.P1IDNumber,2264)="","",INDEX(I.Facility.P1IDNumber,2264))</f>
        <v/>
      </c>
      <c r="G2276" s="51"/>
      <c r="H2276" s="46" t="str">
        <f>IF(AND(I.Developer.P1=TRUE,I.Facility.P1FacilityCount&gt;=2264,F2276=""),"Incomplete","Complete")</f>
        <v>Complete</v>
      </c>
      <c r="I2276" s="48" t="s">
        <v>6641</v>
      </c>
    </row>
    <row r="2277" spans="2:9" ht="15" customHeight="1" x14ac:dyDescent="0.25">
      <c r="B2277" s="55" t="s">
        <v>279</v>
      </c>
      <c r="C2277" s="46">
        <v>2265</v>
      </c>
      <c r="D2277" s="69" t="s">
        <v>29416</v>
      </c>
      <c r="E2277" s="51"/>
      <c r="F2277" s="114" t="str">
        <f>IF(INDEX(I.Facility.P1IDNumber,2265)="","",INDEX(I.Facility.P1IDNumber,2265))</f>
        <v/>
      </c>
      <c r="G2277" s="51"/>
      <c r="H2277" s="46" t="str">
        <f>IF(AND(I.Developer.P1=TRUE,I.Facility.P1FacilityCount&gt;=2265,F2277=""),"Incomplete","Complete")</f>
        <v>Complete</v>
      </c>
      <c r="I2277" s="48" t="s">
        <v>6642</v>
      </c>
    </row>
    <row r="2278" spans="2:9" ht="15" customHeight="1" x14ac:dyDescent="0.25">
      <c r="B2278" s="55" t="s">
        <v>279</v>
      </c>
      <c r="C2278" s="46">
        <v>2266</v>
      </c>
      <c r="D2278" s="69" t="s">
        <v>29416</v>
      </c>
      <c r="E2278" s="51"/>
      <c r="F2278" s="114" t="str">
        <f>IF(INDEX(I.Facility.P1IDNumber,2266)="","",INDEX(I.Facility.P1IDNumber,2266))</f>
        <v/>
      </c>
      <c r="G2278" s="51"/>
      <c r="H2278" s="46" t="str">
        <f>IF(AND(I.Developer.P1=TRUE,I.Facility.P1FacilityCount&gt;=2266,F2278=""),"Incomplete","Complete")</f>
        <v>Complete</v>
      </c>
      <c r="I2278" s="48" t="s">
        <v>6643</v>
      </c>
    </row>
    <row r="2279" spans="2:9" ht="15" customHeight="1" x14ac:dyDescent="0.25">
      <c r="B2279" s="55" t="s">
        <v>279</v>
      </c>
      <c r="C2279" s="46">
        <v>2267</v>
      </c>
      <c r="D2279" s="69" t="s">
        <v>29416</v>
      </c>
      <c r="E2279" s="51"/>
      <c r="F2279" s="114" t="str">
        <f>IF(INDEX(I.Facility.P1IDNumber,2267)="","",INDEX(I.Facility.P1IDNumber,2267))</f>
        <v/>
      </c>
      <c r="G2279" s="51"/>
      <c r="H2279" s="46" t="str">
        <f>IF(AND(I.Developer.P1=TRUE,I.Facility.P1FacilityCount&gt;=2267,F2279=""),"Incomplete","Complete")</f>
        <v>Complete</v>
      </c>
      <c r="I2279" s="48" t="s">
        <v>6644</v>
      </c>
    </row>
    <row r="2280" spans="2:9" ht="15" customHeight="1" x14ac:dyDescent="0.25">
      <c r="B2280" s="55" t="s">
        <v>279</v>
      </c>
      <c r="C2280" s="46">
        <v>2268</v>
      </c>
      <c r="D2280" s="69" t="s">
        <v>29416</v>
      </c>
      <c r="E2280" s="51"/>
      <c r="F2280" s="114" t="str">
        <f>IF(INDEX(I.Facility.P1IDNumber,2268)="","",INDEX(I.Facility.P1IDNumber,2268))</f>
        <v/>
      </c>
      <c r="G2280" s="51"/>
      <c r="H2280" s="46" t="str">
        <f>IF(AND(I.Developer.P1=TRUE,I.Facility.P1FacilityCount&gt;=2268,F2280=""),"Incomplete","Complete")</f>
        <v>Complete</v>
      </c>
      <c r="I2280" s="48" t="s">
        <v>6645</v>
      </c>
    </row>
    <row r="2281" spans="2:9" ht="15" customHeight="1" x14ac:dyDescent="0.25">
      <c r="B2281" s="55" t="s">
        <v>279</v>
      </c>
      <c r="C2281" s="46">
        <v>2269</v>
      </c>
      <c r="D2281" s="69" t="s">
        <v>29416</v>
      </c>
      <c r="E2281" s="51"/>
      <c r="F2281" s="114" t="str">
        <f>IF(INDEX(I.Facility.P1IDNumber,2269)="","",INDEX(I.Facility.P1IDNumber,2269))</f>
        <v/>
      </c>
      <c r="G2281" s="51"/>
      <c r="H2281" s="46" t="str">
        <f>IF(AND(I.Developer.P1=TRUE,I.Facility.P1FacilityCount&gt;=2269,F2281=""),"Incomplete","Complete")</f>
        <v>Complete</v>
      </c>
      <c r="I2281" s="48" t="s">
        <v>6646</v>
      </c>
    </row>
    <row r="2282" spans="2:9" ht="15" customHeight="1" x14ac:dyDescent="0.25">
      <c r="B2282" s="55" t="s">
        <v>279</v>
      </c>
      <c r="C2282" s="46">
        <v>2270</v>
      </c>
      <c r="D2282" s="69" t="s">
        <v>29416</v>
      </c>
      <c r="E2282" s="51"/>
      <c r="F2282" s="114" t="str">
        <f>IF(INDEX(I.Facility.P1IDNumber,2270)="","",INDEX(I.Facility.P1IDNumber,2270))</f>
        <v/>
      </c>
      <c r="G2282" s="51"/>
      <c r="H2282" s="46" t="str">
        <f>IF(AND(I.Developer.P1=TRUE,I.Facility.P1FacilityCount&gt;=2270,F2282=""),"Incomplete","Complete")</f>
        <v>Complete</v>
      </c>
      <c r="I2282" s="48" t="s">
        <v>6647</v>
      </c>
    </row>
    <row r="2283" spans="2:9" ht="15" customHeight="1" x14ac:dyDescent="0.25">
      <c r="B2283" s="55" t="s">
        <v>279</v>
      </c>
      <c r="C2283" s="46">
        <v>2271</v>
      </c>
      <c r="D2283" s="69" t="s">
        <v>29416</v>
      </c>
      <c r="E2283" s="51"/>
      <c r="F2283" s="114" t="str">
        <f>IF(INDEX(I.Facility.P1IDNumber,2271)="","",INDEX(I.Facility.P1IDNumber,2271))</f>
        <v/>
      </c>
      <c r="G2283" s="51"/>
      <c r="H2283" s="46" t="str">
        <f>IF(AND(I.Developer.P1=TRUE,I.Facility.P1FacilityCount&gt;=2271,F2283=""),"Incomplete","Complete")</f>
        <v>Complete</v>
      </c>
      <c r="I2283" s="48" t="s">
        <v>6648</v>
      </c>
    </row>
    <row r="2284" spans="2:9" ht="15" customHeight="1" x14ac:dyDescent="0.25">
      <c r="B2284" s="55" t="s">
        <v>279</v>
      </c>
      <c r="C2284" s="46">
        <v>2272</v>
      </c>
      <c r="D2284" s="69" t="s">
        <v>29416</v>
      </c>
      <c r="E2284" s="51"/>
      <c r="F2284" s="114" t="str">
        <f>IF(INDEX(I.Facility.P1IDNumber,2272)="","",INDEX(I.Facility.P1IDNumber,2272))</f>
        <v/>
      </c>
      <c r="G2284" s="51"/>
      <c r="H2284" s="46" t="str">
        <f>IF(AND(I.Developer.P1=TRUE,I.Facility.P1FacilityCount&gt;=2272,F2284=""),"Incomplete","Complete")</f>
        <v>Complete</v>
      </c>
      <c r="I2284" s="48" t="s">
        <v>6649</v>
      </c>
    </row>
    <row r="2285" spans="2:9" ht="15" customHeight="1" x14ac:dyDescent="0.25">
      <c r="B2285" s="55" t="s">
        <v>279</v>
      </c>
      <c r="C2285" s="46">
        <v>2273</v>
      </c>
      <c r="D2285" s="69" t="s">
        <v>29416</v>
      </c>
      <c r="E2285" s="51"/>
      <c r="F2285" s="114" t="str">
        <f>IF(INDEX(I.Facility.P1IDNumber,2273)="","",INDEX(I.Facility.P1IDNumber,2273))</f>
        <v/>
      </c>
      <c r="G2285" s="51"/>
      <c r="H2285" s="46" t="str">
        <f>IF(AND(I.Developer.P1=TRUE,I.Facility.P1FacilityCount&gt;=2273,F2285=""),"Incomplete","Complete")</f>
        <v>Complete</v>
      </c>
      <c r="I2285" s="48" t="s">
        <v>6650</v>
      </c>
    </row>
    <row r="2286" spans="2:9" ht="15" customHeight="1" x14ac:dyDescent="0.25">
      <c r="B2286" s="55" t="s">
        <v>279</v>
      </c>
      <c r="C2286" s="46">
        <v>2274</v>
      </c>
      <c r="D2286" s="69" t="s">
        <v>29416</v>
      </c>
      <c r="E2286" s="51"/>
      <c r="F2286" s="114" t="str">
        <f>IF(INDEX(I.Facility.P1IDNumber,2274)="","",INDEX(I.Facility.P1IDNumber,2274))</f>
        <v/>
      </c>
      <c r="G2286" s="51"/>
      <c r="H2286" s="46" t="str">
        <f>IF(AND(I.Developer.P1=TRUE,I.Facility.P1FacilityCount&gt;=2274,F2286=""),"Incomplete","Complete")</f>
        <v>Complete</v>
      </c>
      <c r="I2286" s="48" t="s">
        <v>6651</v>
      </c>
    </row>
    <row r="2287" spans="2:9" ht="15" customHeight="1" x14ac:dyDescent="0.25">
      <c r="B2287" s="55" t="s">
        <v>279</v>
      </c>
      <c r="C2287" s="46">
        <v>2275</v>
      </c>
      <c r="D2287" s="69" t="s">
        <v>29416</v>
      </c>
      <c r="E2287" s="51"/>
      <c r="F2287" s="114" t="str">
        <f>IF(INDEX(I.Facility.P1IDNumber,2275)="","",INDEX(I.Facility.P1IDNumber,2275))</f>
        <v/>
      </c>
      <c r="G2287" s="51"/>
      <c r="H2287" s="46" t="str">
        <f>IF(AND(I.Developer.P1=TRUE,I.Facility.P1FacilityCount&gt;=2275,F2287=""),"Incomplete","Complete")</f>
        <v>Complete</v>
      </c>
      <c r="I2287" s="48" t="s">
        <v>6652</v>
      </c>
    </row>
    <row r="2288" spans="2:9" ht="15" customHeight="1" x14ac:dyDescent="0.25">
      <c r="B2288" s="55" t="s">
        <v>279</v>
      </c>
      <c r="C2288" s="46">
        <v>2276</v>
      </c>
      <c r="D2288" s="69" t="s">
        <v>29416</v>
      </c>
      <c r="E2288" s="51"/>
      <c r="F2288" s="114" t="str">
        <f>IF(INDEX(I.Facility.P1IDNumber,2276)="","",INDEX(I.Facility.P1IDNumber,2276))</f>
        <v/>
      </c>
      <c r="G2288" s="51"/>
      <c r="H2288" s="46" t="str">
        <f>IF(AND(I.Developer.P1=TRUE,I.Facility.P1FacilityCount&gt;=2276,F2288=""),"Incomplete","Complete")</f>
        <v>Complete</v>
      </c>
      <c r="I2288" s="48" t="s">
        <v>6653</v>
      </c>
    </row>
    <row r="2289" spans="2:9" ht="15" customHeight="1" x14ac:dyDescent="0.25">
      <c r="B2289" s="55" t="s">
        <v>279</v>
      </c>
      <c r="C2289" s="46">
        <v>2277</v>
      </c>
      <c r="D2289" s="69" t="s">
        <v>29416</v>
      </c>
      <c r="E2289" s="51"/>
      <c r="F2289" s="114" t="str">
        <f>IF(INDEX(I.Facility.P1IDNumber,2277)="","",INDEX(I.Facility.P1IDNumber,2277))</f>
        <v/>
      </c>
      <c r="G2289" s="51"/>
      <c r="H2289" s="46" t="str">
        <f>IF(AND(I.Developer.P1=TRUE,I.Facility.P1FacilityCount&gt;=2277,F2289=""),"Incomplete","Complete")</f>
        <v>Complete</v>
      </c>
      <c r="I2289" s="48" t="s">
        <v>6654</v>
      </c>
    </row>
    <row r="2290" spans="2:9" ht="15" customHeight="1" x14ac:dyDescent="0.25">
      <c r="B2290" s="55" t="s">
        <v>279</v>
      </c>
      <c r="C2290" s="46">
        <v>2278</v>
      </c>
      <c r="D2290" s="69" t="s">
        <v>29416</v>
      </c>
      <c r="E2290" s="51"/>
      <c r="F2290" s="114" t="str">
        <f>IF(INDEX(I.Facility.P1IDNumber,2278)="","",INDEX(I.Facility.P1IDNumber,2278))</f>
        <v/>
      </c>
      <c r="G2290" s="51"/>
      <c r="H2290" s="46" t="str">
        <f>IF(AND(I.Developer.P1=TRUE,I.Facility.P1FacilityCount&gt;=2278,F2290=""),"Incomplete","Complete")</f>
        <v>Complete</v>
      </c>
      <c r="I2290" s="48" t="s">
        <v>6655</v>
      </c>
    </row>
    <row r="2291" spans="2:9" ht="15" customHeight="1" x14ac:dyDescent="0.25">
      <c r="B2291" s="55" t="s">
        <v>279</v>
      </c>
      <c r="C2291" s="46">
        <v>2279</v>
      </c>
      <c r="D2291" s="69" t="s">
        <v>29416</v>
      </c>
      <c r="E2291" s="51"/>
      <c r="F2291" s="114" t="str">
        <f>IF(INDEX(I.Facility.P1IDNumber,2279)="","",INDEX(I.Facility.P1IDNumber,2279))</f>
        <v/>
      </c>
      <c r="G2291" s="51"/>
      <c r="H2291" s="46" t="str">
        <f>IF(AND(I.Developer.P1=TRUE,I.Facility.P1FacilityCount&gt;=2279,F2291=""),"Incomplete","Complete")</f>
        <v>Complete</v>
      </c>
      <c r="I2291" s="48" t="s">
        <v>6656</v>
      </c>
    </row>
    <row r="2292" spans="2:9" ht="15" customHeight="1" x14ac:dyDescent="0.25">
      <c r="B2292" s="55" t="s">
        <v>279</v>
      </c>
      <c r="C2292" s="46">
        <v>2280</v>
      </c>
      <c r="D2292" s="69" t="s">
        <v>29416</v>
      </c>
      <c r="E2292" s="51"/>
      <c r="F2292" s="114" t="str">
        <f>IF(INDEX(I.Facility.P1IDNumber,2280)="","",INDEX(I.Facility.P1IDNumber,2280))</f>
        <v/>
      </c>
      <c r="G2292" s="51"/>
      <c r="H2292" s="46" t="str">
        <f>IF(AND(I.Developer.P1=TRUE,I.Facility.P1FacilityCount&gt;=2280,F2292=""),"Incomplete","Complete")</f>
        <v>Complete</v>
      </c>
      <c r="I2292" s="48" t="s">
        <v>6657</v>
      </c>
    </row>
    <row r="2293" spans="2:9" ht="15" customHeight="1" x14ac:dyDescent="0.25">
      <c r="B2293" s="55" t="s">
        <v>279</v>
      </c>
      <c r="C2293" s="46">
        <v>2281</v>
      </c>
      <c r="D2293" s="69" t="s">
        <v>29416</v>
      </c>
      <c r="E2293" s="51"/>
      <c r="F2293" s="114" t="str">
        <f>IF(INDEX(I.Facility.P1IDNumber,2281)="","",INDEX(I.Facility.P1IDNumber,2281))</f>
        <v/>
      </c>
      <c r="G2293" s="51"/>
      <c r="H2293" s="46" t="str">
        <f>IF(AND(I.Developer.P1=TRUE,I.Facility.P1FacilityCount&gt;=2281,F2293=""),"Incomplete","Complete")</f>
        <v>Complete</v>
      </c>
      <c r="I2293" s="48" t="s">
        <v>6658</v>
      </c>
    </row>
    <row r="2294" spans="2:9" ht="15" customHeight="1" x14ac:dyDescent="0.25">
      <c r="B2294" s="55" t="s">
        <v>279</v>
      </c>
      <c r="C2294" s="46">
        <v>2282</v>
      </c>
      <c r="D2294" s="69" t="s">
        <v>29416</v>
      </c>
      <c r="E2294" s="51"/>
      <c r="F2294" s="114" t="str">
        <f>IF(INDEX(I.Facility.P1IDNumber,2282)="","",INDEX(I.Facility.P1IDNumber,2282))</f>
        <v/>
      </c>
      <c r="G2294" s="51"/>
      <c r="H2294" s="46" t="str">
        <f>IF(AND(I.Developer.P1=TRUE,I.Facility.P1FacilityCount&gt;=2282,F2294=""),"Incomplete","Complete")</f>
        <v>Complete</v>
      </c>
      <c r="I2294" s="48" t="s">
        <v>6659</v>
      </c>
    </row>
    <row r="2295" spans="2:9" ht="15" customHeight="1" x14ac:dyDescent="0.25">
      <c r="B2295" s="55" t="s">
        <v>279</v>
      </c>
      <c r="C2295" s="46">
        <v>2283</v>
      </c>
      <c r="D2295" s="69" t="s">
        <v>29416</v>
      </c>
      <c r="E2295" s="51"/>
      <c r="F2295" s="114" t="str">
        <f>IF(INDEX(I.Facility.P1IDNumber,2283)="","",INDEX(I.Facility.P1IDNumber,2283))</f>
        <v/>
      </c>
      <c r="G2295" s="51"/>
      <c r="H2295" s="46" t="str">
        <f>IF(AND(I.Developer.P1=TRUE,I.Facility.P1FacilityCount&gt;=2283,F2295=""),"Incomplete","Complete")</f>
        <v>Complete</v>
      </c>
      <c r="I2295" s="48" t="s">
        <v>6660</v>
      </c>
    </row>
    <row r="2296" spans="2:9" ht="15" customHeight="1" x14ac:dyDescent="0.25">
      <c r="B2296" s="55" t="s">
        <v>279</v>
      </c>
      <c r="C2296" s="46">
        <v>2284</v>
      </c>
      <c r="D2296" s="69" t="s">
        <v>29416</v>
      </c>
      <c r="E2296" s="51"/>
      <c r="F2296" s="114" t="str">
        <f>IF(INDEX(I.Facility.P1IDNumber,2284)="","",INDEX(I.Facility.P1IDNumber,2284))</f>
        <v/>
      </c>
      <c r="G2296" s="51"/>
      <c r="H2296" s="46" t="str">
        <f>IF(AND(I.Developer.P1=TRUE,I.Facility.P1FacilityCount&gt;=2284,F2296=""),"Incomplete","Complete")</f>
        <v>Complete</v>
      </c>
      <c r="I2296" s="48" t="s">
        <v>6661</v>
      </c>
    </row>
    <row r="2297" spans="2:9" ht="15" customHeight="1" x14ac:dyDescent="0.25">
      <c r="B2297" s="55" t="s">
        <v>279</v>
      </c>
      <c r="C2297" s="46">
        <v>2285</v>
      </c>
      <c r="D2297" s="69" t="s">
        <v>29416</v>
      </c>
      <c r="E2297" s="51"/>
      <c r="F2297" s="114" t="str">
        <f>IF(INDEX(I.Facility.P1IDNumber,2285)="","",INDEX(I.Facility.P1IDNumber,2285))</f>
        <v/>
      </c>
      <c r="G2297" s="51"/>
      <c r="H2297" s="46" t="str">
        <f>IF(AND(I.Developer.P1=TRUE,I.Facility.P1FacilityCount&gt;=2285,F2297=""),"Incomplete","Complete")</f>
        <v>Complete</v>
      </c>
      <c r="I2297" s="48" t="s">
        <v>6662</v>
      </c>
    </row>
    <row r="2298" spans="2:9" ht="15" customHeight="1" x14ac:dyDescent="0.25">
      <c r="B2298" s="55" t="s">
        <v>279</v>
      </c>
      <c r="C2298" s="46">
        <v>2286</v>
      </c>
      <c r="D2298" s="69" t="s">
        <v>29416</v>
      </c>
      <c r="E2298" s="51"/>
      <c r="F2298" s="114" t="str">
        <f>IF(INDEX(I.Facility.P1IDNumber,2286)="","",INDEX(I.Facility.P1IDNumber,2286))</f>
        <v/>
      </c>
      <c r="G2298" s="51"/>
      <c r="H2298" s="46" t="str">
        <f>IF(AND(I.Developer.P1=TRUE,I.Facility.P1FacilityCount&gt;=2286,F2298=""),"Incomplete","Complete")</f>
        <v>Complete</v>
      </c>
      <c r="I2298" s="48" t="s">
        <v>6663</v>
      </c>
    </row>
    <row r="2299" spans="2:9" ht="15" customHeight="1" x14ac:dyDescent="0.25">
      <c r="B2299" s="55" t="s">
        <v>279</v>
      </c>
      <c r="C2299" s="46">
        <v>2287</v>
      </c>
      <c r="D2299" s="69" t="s">
        <v>29416</v>
      </c>
      <c r="E2299" s="51"/>
      <c r="F2299" s="114" t="str">
        <f>IF(INDEX(I.Facility.P1IDNumber,2287)="","",INDEX(I.Facility.P1IDNumber,2287))</f>
        <v/>
      </c>
      <c r="G2299" s="51"/>
      <c r="H2299" s="46" t="str">
        <f>IF(AND(I.Developer.P1=TRUE,I.Facility.P1FacilityCount&gt;=2287,F2299=""),"Incomplete","Complete")</f>
        <v>Complete</v>
      </c>
      <c r="I2299" s="48" t="s">
        <v>6664</v>
      </c>
    </row>
    <row r="2300" spans="2:9" ht="15" customHeight="1" x14ac:dyDescent="0.25">
      <c r="B2300" s="55" t="s">
        <v>279</v>
      </c>
      <c r="C2300" s="46">
        <v>2288</v>
      </c>
      <c r="D2300" s="69" t="s">
        <v>29416</v>
      </c>
      <c r="E2300" s="51"/>
      <c r="F2300" s="114" t="str">
        <f>IF(INDEX(I.Facility.P1IDNumber,2288)="","",INDEX(I.Facility.P1IDNumber,2288))</f>
        <v/>
      </c>
      <c r="G2300" s="51"/>
      <c r="H2300" s="46" t="str">
        <f>IF(AND(I.Developer.P1=TRUE,I.Facility.P1FacilityCount&gt;=2288,F2300=""),"Incomplete","Complete")</f>
        <v>Complete</v>
      </c>
      <c r="I2300" s="48" t="s">
        <v>6665</v>
      </c>
    </row>
    <row r="2301" spans="2:9" ht="15" customHeight="1" x14ac:dyDescent="0.25">
      <c r="B2301" s="55" t="s">
        <v>279</v>
      </c>
      <c r="C2301" s="46">
        <v>2289</v>
      </c>
      <c r="D2301" s="69" t="s">
        <v>29416</v>
      </c>
      <c r="E2301" s="51"/>
      <c r="F2301" s="114" t="str">
        <f>IF(INDEX(I.Facility.P1IDNumber,2289)="","",INDEX(I.Facility.P1IDNumber,2289))</f>
        <v/>
      </c>
      <c r="G2301" s="51"/>
      <c r="H2301" s="46" t="str">
        <f>IF(AND(I.Developer.P1=TRUE,I.Facility.P1FacilityCount&gt;=2289,F2301=""),"Incomplete","Complete")</f>
        <v>Complete</v>
      </c>
      <c r="I2301" s="48" t="s">
        <v>6666</v>
      </c>
    </row>
    <row r="2302" spans="2:9" ht="15" customHeight="1" x14ac:dyDescent="0.25">
      <c r="B2302" s="55" t="s">
        <v>279</v>
      </c>
      <c r="C2302" s="46">
        <v>2290</v>
      </c>
      <c r="D2302" s="69" t="s">
        <v>29416</v>
      </c>
      <c r="E2302" s="51"/>
      <c r="F2302" s="114" t="str">
        <f>IF(INDEX(I.Facility.P1IDNumber,2290)="","",INDEX(I.Facility.P1IDNumber,2290))</f>
        <v/>
      </c>
      <c r="G2302" s="51"/>
      <c r="H2302" s="46" t="str">
        <f>IF(AND(I.Developer.P1=TRUE,I.Facility.P1FacilityCount&gt;=2290,F2302=""),"Incomplete","Complete")</f>
        <v>Complete</v>
      </c>
      <c r="I2302" s="48" t="s">
        <v>6667</v>
      </c>
    </row>
    <row r="2303" spans="2:9" ht="15" customHeight="1" x14ac:dyDescent="0.25">
      <c r="B2303" s="55" t="s">
        <v>279</v>
      </c>
      <c r="C2303" s="46">
        <v>2291</v>
      </c>
      <c r="D2303" s="69" t="s">
        <v>29416</v>
      </c>
      <c r="E2303" s="51"/>
      <c r="F2303" s="114" t="str">
        <f>IF(INDEX(I.Facility.P1IDNumber,2291)="","",INDEX(I.Facility.P1IDNumber,2291))</f>
        <v/>
      </c>
      <c r="G2303" s="51"/>
      <c r="H2303" s="46" t="str">
        <f>IF(AND(I.Developer.P1=TRUE,I.Facility.P1FacilityCount&gt;=2291,F2303=""),"Incomplete","Complete")</f>
        <v>Complete</v>
      </c>
      <c r="I2303" s="48" t="s">
        <v>6668</v>
      </c>
    </row>
    <row r="2304" spans="2:9" ht="15" customHeight="1" x14ac:dyDescent="0.25">
      <c r="B2304" s="55" t="s">
        <v>279</v>
      </c>
      <c r="C2304" s="46">
        <v>2292</v>
      </c>
      <c r="D2304" s="69" t="s">
        <v>29416</v>
      </c>
      <c r="E2304" s="51"/>
      <c r="F2304" s="114" t="str">
        <f>IF(INDEX(I.Facility.P1IDNumber,2292)="","",INDEX(I.Facility.P1IDNumber,2292))</f>
        <v/>
      </c>
      <c r="G2304" s="51"/>
      <c r="H2304" s="46" t="str">
        <f>IF(AND(I.Developer.P1=TRUE,I.Facility.P1FacilityCount&gt;=2292,F2304=""),"Incomplete","Complete")</f>
        <v>Complete</v>
      </c>
      <c r="I2304" s="48" t="s">
        <v>6669</v>
      </c>
    </row>
    <row r="2305" spans="2:9" ht="15" customHeight="1" x14ac:dyDescent="0.25">
      <c r="B2305" s="55" t="s">
        <v>279</v>
      </c>
      <c r="C2305" s="46">
        <v>2293</v>
      </c>
      <c r="D2305" s="69" t="s">
        <v>29416</v>
      </c>
      <c r="E2305" s="51"/>
      <c r="F2305" s="114" t="str">
        <f>IF(INDEX(I.Facility.P1IDNumber,2293)="","",INDEX(I.Facility.P1IDNumber,2293))</f>
        <v/>
      </c>
      <c r="G2305" s="51"/>
      <c r="H2305" s="46" t="str">
        <f>IF(AND(I.Developer.P1=TRUE,I.Facility.P1FacilityCount&gt;=2293,F2305=""),"Incomplete","Complete")</f>
        <v>Complete</v>
      </c>
      <c r="I2305" s="48" t="s">
        <v>6670</v>
      </c>
    </row>
    <row r="2306" spans="2:9" ht="15" customHeight="1" x14ac:dyDescent="0.25">
      <c r="B2306" s="55" t="s">
        <v>279</v>
      </c>
      <c r="C2306" s="46">
        <v>2294</v>
      </c>
      <c r="D2306" s="69" t="s">
        <v>29416</v>
      </c>
      <c r="E2306" s="51"/>
      <c r="F2306" s="114" t="str">
        <f>IF(INDEX(I.Facility.P1IDNumber,2294)="","",INDEX(I.Facility.P1IDNumber,2294))</f>
        <v/>
      </c>
      <c r="G2306" s="51"/>
      <c r="H2306" s="46" t="str">
        <f>IF(AND(I.Developer.P1=TRUE,I.Facility.P1FacilityCount&gt;=2294,F2306=""),"Incomplete","Complete")</f>
        <v>Complete</v>
      </c>
      <c r="I2306" s="48" t="s">
        <v>6671</v>
      </c>
    </row>
    <row r="2307" spans="2:9" ht="15" customHeight="1" x14ac:dyDescent="0.25">
      <c r="B2307" s="55" t="s">
        <v>279</v>
      </c>
      <c r="C2307" s="46">
        <v>2295</v>
      </c>
      <c r="D2307" s="69" t="s">
        <v>29416</v>
      </c>
      <c r="E2307" s="51"/>
      <c r="F2307" s="114" t="str">
        <f>IF(INDEX(I.Facility.P1IDNumber,2295)="","",INDEX(I.Facility.P1IDNumber,2295))</f>
        <v/>
      </c>
      <c r="G2307" s="51"/>
      <c r="H2307" s="46" t="str">
        <f>IF(AND(I.Developer.P1=TRUE,I.Facility.P1FacilityCount&gt;=2295,F2307=""),"Incomplete","Complete")</f>
        <v>Complete</v>
      </c>
      <c r="I2307" s="48" t="s">
        <v>6672</v>
      </c>
    </row>
    <row r="2308" spans="2:9" ht="15" customHeight="1" x14ac:dyDescent="0.25">
      <c r="B2308" s="55" t="s">
        <v>279</v>
      </c>
      <c r="C2308" s="46">
        <v>2296</v>
      </c>
      <c r="D2308" s="69" t="s">
        <v>29416</v>
      </c>
      <c r="E2308" s="51"/>
      <c r="F2308" s="114" t="str">
        <f>IF(INDEX(I.Facility.P1IDNumber,2296)="","",INDEX(I.Facility.P1IDNumber,2296))</f>
        <v/>
      </c>
      <c r="G2308" s="51"/>
      <c r="H2308" s="46" t="str">
        <f>IF(AND(I.Developer.P1=TRUE,I.Facility.P1FacilityCount&gt;=2296,F2308=""),"Incomplete","Complete")</f>
        <v>Complete</v>
      </c>
      <c r="I2308" s="48" t="s">
        <v>6673</v>
      </c>
    </row>
    <row r="2309" spans="2:9" ht="15" customHeight="1" x14ac:dyDescent="0.25">
      <c r="B2309" s="55" t="s">
        <v>279</v>
      </c>
      <c r="C2309" s="46">
        <v>2297</v>
      </c>
      <c r="D2309" s="69" t="s">
        <v>29416</v>
      </c>
      <c r="E2309" s="51"/>
      <c r="F2309" s="114" t="str">
        <f>IF(INDEX(I.Facility.P1IDNumber,2297)="","",INDEX(I.Facility.P1IDNumber,2297))</f>
        <v/>
      </c>
      <c r="G2309" s="51"/>
      <c r="H2309" s="46" t="str">
        <f>IF(AND(I.Developer.P1=TRUE,I.Facility.P1FacilityCount&gt;=2297,F2309=""),"Incomplete","Complete")</f>
        <v>Complete</v>
      </c>
      <c r="I2309" s="48" t="s">
        <v>6674</v>
      </c>
    </row>
    <row r="2310" spans="2:9" ht="15" customHeight="1" x14ac:dyDescent="0.25">
      <c r="B2310" s="55" t="s">
        <v>279</v>
      </c>
      <c r="C2310" s="46">
        <v>2298</v>
      </c>
      <c r="D2310" s="69" t="s">
        <v>29416</v>
      </c>
      <c r="E2310" s="51"/>
      <c r="F2310" s="114" t="str">
        <f>IF(INDEX(I.Facility.P1IDNumber,2298)="","",INDEX(I.Facility.P1IDNumber,2298))</f>
        <v/>
      </c>
      <c r="G2310" s="51"/>
      <c r="H2310" s="46" t="str">
        <f>IF(AND(I.Developer.P1=TRUE,I.Facility.P1FacilityCount&gt;=2298,F2310=""),"Incomplete","Complete")</f>
        <v>Complete</v>
      </c>
      <c r="I2310" s="48" t="s">
        <v>6675</v>
      </c>
    </row>
    <row r="2311" spans="2:9" ht="15" customHeight="1" x14ac:dyDescent="0.25">
      <c r="B2311" s="55" t="s">
        <v>279</v>
      </c>
      <c r="C2311" s="46">
        <v>2299</v>
      </c>
      <c r="D2311" s="69" t="s">
        <v>29416</v>
      </c>
      <c r="E2311" s="51"/>
      <c r="F2311" s="114" t="str">
        <f>IF(INDEX(I.Facility.P1IDNumber,2299)="","",INDEX(I.Facility.P1IDNumber,2299))</f>
        <v/>
      </c>
      <c r="G2311" s="51"/>
      <c r="H2311" s="46" t="str">
        <f>IF(AND(I.Developer.P1=TRUE,I.Facility.P1FacilityCount&gt;=2299,F2311=""),"Incomplete","Complete")</f>
        <v>Complete</v>
      </c>
      <c r="I2311" s="48" t="s">
        <v>6676</v>
      </c>
    </row>
    <row r="2312" spans="2:9" ht="15" customHeight="1" x14ac:dyDescent="0.25">
      <c r="B2312" s="55" t="s">
        <v>279</v>
      </c>
      <c r="C2312" s="46">
        <v>2300</v>
      </c>
      <c r="D2312" s="69" t="s">
        <v>29416</v>
      </c>
      <c r="E2312" s="51"/>
      <c r="F2312" s="114" t="str">
        <f>IF(INDEX(I.Facility.P1IDNumber,2300)="","",INDEX(I.Facility.P1IDNumber,2300))</f>
        <v/>
      </c>
      <c r="G2312" s="51"/>
      <c r="H2312" s="46" t="str">
        <f>IF(AND(I.Developer.P1=TRUE,I.Facility.P1FacilityCount&gt;=2300,F2312=""),"Incomplete","Complete")</f>
        <v>Complete</v>
      </c>
      <c r="I2312" s="48" t="s">
        <v>6677</v>
      </c>
    </row>
    <row r="2313" spans="2:9" ht="15" customHeight="1" x14ac:dyDescent="0.25">
      <c r="B2313" s="55" t="s">
        <v>279</v>
      </c>
      <c r="C2313" s="46">
        <v>2301</v>
      </c>
      <c r="D2313" s="69" t="s">
        <v>29416</v>
      </c>
      <c r="E2313" s="51"/>
      <c r="F2313" s="114" t="str">
        <f>IF(INDEX(I.Facility.P1IDNumber,2301)="","",INDEX(I.Facility.P1IDNumber,2301))</f>
        <v/>
      </c>
      <c r="G2313" s="51"/>
      <c r="H2313" s="46" t="str">
        <f>IF(AND(I.Developer.P1=TRUE,I.Facility.P1FacilityCount&gt;=2301,F2313=""),"Incomplete","Complete")</f>
        <v>Complete</v>
      </c>
      <c r="I2313" s="48" t="s">
        <v>6678</v>
      </c>
    </row>
    <row r="2314" spans="2:9" ht="15" customHeight="1" x14ac:dyDescent="0.25">
      <c r="B2314" s="55" t="s">
        <v>279</v>
      </c>
      <c r="C2314" s="46">
        <v>2302</v>
      </c>
      <c r="D2314" s="69" t="s">
        <v>29416</v>
      </c>
      <c r="E2314" s="51"/>
      <c r="F2314" s="114" t="str">
        <f>IF(INDEX(I.Facility.P1IDNumber,2302)="","",INDEX(I.Facility.P1IDNumber,2302))</f>
        <v/>
      </c>
      <c r="G2314" s="51"/>
      <c r="H2314" s="46" t="str">
        <f>IF(AND(I.Developer.P1=TRUE,I.Facility.P1FacilityCount&gt;=2302,F2314=""),"Incomplete","Complete")</f>
        <v>Complete</v>
      </c>
      <c r="I2314" s="48" t="s">
        <v>6679</v>
      </c>
    </row>
    <row r="2315" spans="2:9" ht="15" customHeight="1" x14ac:dyDescent="0.25">
      <c r="B2315" s="55" t="s">
        <v>279</v>
      </c>
      <c r="C2315" s="46">
        <v>2303</v>
      </c>
      <c r="D2315" s="69" t="s">
        <v>29416</v>
      </c>
      <c r="E2315" s="51"/>
      <c r="F2315" s="114" t="str">
        <f>IF(INDEX(I.Facility.P1IDNumber,2303)="","",INDEX(I.Facility.P1IDNumber,2303))</f>
        <v/>
      </c>
      <c r="G2315" s="51"/>
      <c r="H2315" s="46" t="str">
        <f>IF(AND(I.Developer.P1=TRUE,I.Facility.P1FacilityCount&gt;=2303,F2315=""),"Incomplete","Complete")</f>
        <v>Complete</v>
      </c>
      <c r="I2315" s="48" t="s">
        <v>6680</v>
      </c>
    </row>
    <row r="2316" spans="2:9" ht="15" customHeight="1" x14ac:dyDescent="0.25">
      <c r="B2316" s="55" t="s">
        <v>279</v>
      </c>
      <c r="C2316" s="46">
        <v>2304</v>
      </c>
      <c r="D2316" s="69" t="s">
        <v>29416</v>
      </c>
      <c r="E2316" s="51"/>
      <c r="F2316" s="114" t="str">
        <f>IF(INDEX(I.Facility.P1IDNumber,2304)="","",INDEX(I.Facility.P1IDNumber,2304))</f>
        <v/>
      </c>
      <c r="G2316" s="51"/>
      <c r="H2316" s="46" t="str">
        <f>IF(AND(I.Developer.P1=TRUE,I.Facility.P1FacilityCount&gt;=2304,F2316=""),"Incomplete","Complete")</f>
        <v>Complete</v>
      </c>
      <c r="I2316" s="48" t="s">
        <v>6681</v>
      </c>
    </row>
    <row r="2317" spans="2:9" ht="15" customHeight="1" x14ac:dyDescent="0.25">
      <c r="B2317" s="55" t="s">
        <v>279</v>
      </c>
      <c r="C2317" s="46">
        <v>2305</v>
      </c>
      <c r="D2317" s="69" t="s">
        <v>29416</v>
      </c>
      <c r="E2317" s="51"/>
      <c r="F2317" s="114" t="str">
        <f>IF(INDEX(I.Facility.P1IDNumber,2305)="","",INDEX(I.Facility.P1IDNumber,2305))</f>
        <v/>
      </c>
      <c r="G2317" s="51"/>
      <c r="H2317" s="46" t="str">
        <f>IF(AND(I.Developer.P1=TRUE,I.Facility.P1FacilityCount&gt;=2305,F2317=""),"Incomplete","Complete")</f>
        <v>Complete</v>
      </c>
      <c r="I2317" s="48" t="s">
        <v>6682</v>
      </c>
    </row>
    <row r="2318" spans="2:9" ht="15" customHeight="1" x14ac:dyDescent="0.25">
      <c r="B2318" s="55" t="s">
        <v>279</v>
      </c>
      <c r="C2318" s="46">
        <v>2306</v>
      </c>
      <c r="D2318" s="69" t="s">
        <v>29416</v>
      </c>
      <c r="E2318" s="51"/>
      <c r="F2318" s="114" t="str">
        <f>IF(INDEX(I.Facility.P1IDNumber,2306)="","",INDEX(I.Facility.P1IDNumber,2306))</f>
        <v/>
      </c>
      <c r="G2318" s="51"/>
      <c r="H2318" s="46" t="str">
        <f>IF(AND(I.Developer.P1=TRUE,I.Facility.P1FacilityCount&gt;=2306,F2318=""),"Incomplete","Complete")</f>
        <v>Complete</v>
      </c>
      <c r="I2318" s="48" t="s">
        <v>6683</v>
      </c>
    </row>
    <row r="2319" spans="2:9" ht="15" customHeight="1" x14ac:dyDescent="0.25">
      <c r="B2319" s="55" t="s">
        <v>279</v>
      </c>
      <c r="C2319" s="46">
        <v>2307</v>
      </c>
      <c r="D2319" s="69" t="s">
        <v>29416</v>
      </c>
      <c r="E2319" s="51"/>
      <c r="F2319" s="114" t="str">
        <f>IF(INDEX(I.Facility.P1IDNumber,2307)="","",INDEX(I.Facility.P1IDNumber,2307))</f>
        <v/>
      </c>
      <c r="G2319" s="51"/>
      <c r="H2319" s="46" t="str">
        <f>IF(AND(I.Developer.P1=TRUE,I.Facility.P1FacilityCount&gt;=2307,F2319=""),"Incomplete","Complete")</f>
        <v>Complete</v>
      </c>
      <c r="I2319" s="48" t="s">
        <v>6684</v>
      </c>
    </row>
    <row r="2320" spans="2:9" ht="15" customHeight="1" x14ac:dyDescent="0.25">
      <c r="B2320" s="55" t="s">
        <v>279</v>
      </c>
      <c r="C2320" s="46">
        <v>2308</v>
      </c>
      <c r="D2320" s="69" t="s">
        <v>29416</v>
      </c>
      <c r="E2320" s="51"/>
      <c r="F2320" s="114" t="str">
        <f>IF(INDEX(I.Facility.P1IDNumber,2308)="","",INDEX(I.Facility.P1IDNumber,2308))</f>
        <v/>
      </c>
      <c r="G2320" s="51"/>
      <c r="H2320" s="46" t="str">
        <f>IF(AND(I.Developer.P1=TRUE,I.Facility.P1FacilityCount&gt;=2308,F2320=""),"Incomplete","Complete")</f>
        <v>Complete</v>
      </c>
      <c r="I2320" s="48" t="s">
        <v>6685</v>
      </c>
    </row>
    <row r="2321" spans="2:9" ht="15" customHeight="1" x14ac:dyDescent="0.25">
      <c r="B2321" s="55" t="s">
        <v>279</v>
      </c>
      <c r="C2321" s="46">
        <v>2309</v>
      </c>
      <c r="D2321" s="69" t="s">
        <v>29416</v>
      </c>
      <c r="E2321" s="51"/>
      <c r="F2321" s="114" t="str">
        <f>IF(INDEX(I.Facility.P1IDNumber,2309)="","",INDEX(I.Facility.P1IDNumber,2309))</f>
        <v/>
      </c>
      <c r="G2321" s="51"/>
      <c r="H2321" s="46" t="str">
        <f>IF(AND(I.Developer.P1=TRUE,I.Facility.P1FacilityCount&gt;=2309,F2321=""),"Incomplete","Complete")</f>
        <v>Complete</v>
      </c>
      <c r="I2321" s="48" t="s">
        <v>6686</v>
      </c>
    </row>
    <row r="2322" spans="2:9" ht="15" customHeight="1" x14ac:dyDescent="0.25">
      <c r="B2322" s="55" t="s">
        <v>279</v>
      </c>
      <c r="C2322" s="46">
        <v>2310</v>
      </c>
      <c r="D2322" s="69" t="s">
        <v>29416</v>
      </c>
      <c r="E2322" s="51"/>
      <c r="F2322" s="114" t="str">
        <f>IF(INDEX(I.Facility.P1IDNumber,2310)="","",INDEX(I.Facility.P1IDNumber,2310))</f>
        <v/>
      </c>
      <c r="G2322" s="51"/>
      <c r="H2322" s="46" t="str">
        <f>IF(AND(I.Developer.P1=TRUE,I.Facility.P1FacilityCount&gt;=2310,F2322=""),"Incomplete","Complete")</f>
        <v>Complete</v>
      </c>
      <c r="I2322" s="48" t="s">
        <v>6687</v>
      </c>
    </row>
    <row r="2323" spans="2:9" ht="15" customHeight="1" x14ac:dyDescent="0.25">
      <c r="B2323" s="55" t="s">
        <v>279</v>
      </c>
      <c r="C2323" s="46">
        <v>2311</v>
      </c>
      <c r="D2323" s="69" t="s">
        <v>29416</v>
      </c>
      <c r="E2323" s="51"/>
      <c r="F2323" s="114" t="str">
        <f>IF(INDEX(I.Facility.P1IDNumber,2311)="","",INDEX(I.Facility.P1IDNumber,2311))</f>
        <v/>
      </c>
      <c r="G2323" s="51"/>
      <c r="H2323" s="46" t="str">
        <f>IF(AND(I.Developer.P1=TRUE,I.Facility.P1FacilityCount&gt;=2311,F2323=""),"Incomplete","Complete")</f>
        <v>Complete</v>
      </c>
      <c r="I2323" s="48" t="s">
        <v>6688</v>
      </c>
    </row>
    <row r="2324" spans="2:9" ht="15" customHeight="1" x14ac:dyDescent="0.25">
      <c r="B2324" s="55" t="s">
        <v>279</v>
      </c>
      <c r="C2324" s="46">
        <v>2312</v>
      </c>
      <c r="D2324" s="69" t="s">
        <v>29416</v>
      </c>
      <c r="E2324" s="51"/>
      <c r="F2324" s="114" t="str">
        <f>IF(INDEX(I.Facility.P1IDNumber,2312)="","",INDEX(I.Facility.P1IDNumber,2312))</f>
        <v/>
      </c>
      <c r="G2324" s="51"/>
      <c r="H2324" s="46" t="str">
        <f>IF(AND(I.Developer.P1=TRUE,I.Facility.P1FacilityCount&gt;=2312,F2324=""),"Incomplete","Complete")</f>
        <v>Complete</v>
      </c>
      <c r="I2324" s="48" t="s">
        <v>6689</v>
      </c>
    </row>
    <row r="2325" spans="2:9" ht="15" customHeight="1" x14ac:dyDescent="0.25">
      <c r="B2325" s="55" t="s">
        <v>279</v>
      </c>
      <c r="C2325" s="46">
        <v>2313</v>
      </c>
      <c r="D2325" s="69" t="s">
        <v>29416</v>
      </c>
      <c r="E2325" s="51"/>
      <c r="F2325" s="114" t="str">
        <f>IF(INDEX(I.Facility.P1IDNumber,2313)="","",INDEX(I.Facility.P1IDNumber,2313))</f>
        <v/>
      </c>
      <c r="G2325" s="51"/>
      <c r="H2325" s="46" t="str">
        <f>IF(AND(I.Developer.P1=TRUE,I.Facility.P1FacilityCount&gt;=2313,F2325=""),"Incomplete","Complete")</f>
        <v>Complete</v>
      </c>
      <c r="I2325" s="48" t="s">
        <v>6690</v>
      </c>
    </row>
    <row r="2326" spans="2:9" ht="15" customHeight="1" x14ac:dyDescent="0.25">
      <c r="B2326" s="55" t="s">
        <v>279</v>
      </c>
      <c r="C2326" s="46">
        <v>2314</v>
      </c>
      <c r="D2326" s="69" t="s">
        <v>29416</v>
      </c>
      <c r="E2326" s="51"/>
      <c r="F2326" s="114" t="str">
        <f>IF(INDEX(I.Facility.P1IDNumber,2314)="","",INDEX(I.Facility.P1IDNumber,2314))</f>
        <v/>
      </c>
      <c r="G2326" s="51"/>
      <c r="H2326" s="46" t="str">
        <f>IF(AND(I.Developer.P1=TRUE,I.Facility.P1FacilityCount&gt;=2314,F2326=""),"Incomplete","Complete")</f>
        <v>Complete</v>
      </c>
      <c r="I2326" s="48" t="s">
        <v>6691</v>
      </c>
    </row>
    <row r="2327" spans="2:9" ht="15" customHeight="1" x14ac:dyDescent="0.25">
      <c r="B2327" s="55" t="s">
        <v>279</v>
      </c>
      <c r="C2327" s="46">
        <v>2315</v>
      </c>
      <c r="D2327" s="69" t="s">
        <v>29416</v>
      </c>
      <c r="E2327" s="51"/>
      <c r="F2327" s="114" t="str">
        <f>IF(INDEX(I.Facility.P1IDNumber,2315)="","",INDEX(I.Facility.P1IDNumber,2315))</f>
        <v/>
      </c>
      <c r="G2327" s="51"/>
      <c r="H2327" s="46" t="str">
        <f>IF(AND(I.Developer.P1=TRUE,I.Facility.P1FacilityCount&gt;=2315,F2327=""),"Incomplete","Complete")</f>
        <v>Complete</v>
      </c>
      <c r="I2327" s="48" t="s">
        <v>6692</v>
      </c>
    </row>
    <row r="2328" spans="2:9" ht="15" customHeight="1" x14ac:dyDescent="0.25">
      <c r="B2328" s="55" t="s">
        <v>279</v>
      </c>
      <c r="C2328" s="46">
        <v>2316</v>
      </c>
      <c r="D2328" s="69" t="s">
        <v>29416</v>
      </c>
      <c r="E2328" s="51"/>
      <c r="F2328" s="114" t="str">
        <f>IF(INDEX(I.Facility.P1IDNumber,2316)="","",INDEX(I.Facility.P1IDNumber,2316))</f>
        <v/>
      </c>
      <c r="G2328" s="51"/>
      <c r="H2328" s="46" t="str">
        <f>IF(AND(I.Developer.P1=TRUE,I.Facility.P1FacilityCount&gt;=2316,F2328=""),"Incomplete","Complete")</f>
        <v>Complete</v>
      </c>
      <c r="I2328" s="48" t="s">
        <v>6693</v>
      </c>
    </row>
    <row r="2329" spans="2:9" ht="15" customHeight="1" x14ac:dyDescent="0.25">
      <c r="B2329" s="55" t="s">
        <v>279</v>
      </c>
      <c r="C2329" s="46">
        <v>2317</v>
      </c>
      <c r="D2329" s="69" t="s">
        <v>29416</v>
      </c>
      <c r="E2329" s="51"/>
      <c r="F2329" s="114" t="str">
        <f>IF(INDEX(I.Facility.P1IDNumber,2317)="","",INDEX(I.Facility.P1IDNumber,2317))</f>
        <v/>
      </c>
      <c r="G2329" s="51"/>
      <c r="H2329" s="46" t="str">
        <f>IF(AND(I.Developer.P1=TRUE,I.Facility.P1FacilityCount&gt;=2317,F2329=""),"Incomplete","Complete")</f>
        <v>Complete</v>
      </c>
      <c r="I2329" s="48" t="s">
        <v>6694</v>
      </c>
    </row>
    <row r="2330" spans="2:9" ht="15" customHeight="1" x14ac:dyDescent="0.25">
      <c r="B2330" s="55" t="s">
        <v>279</v>
      </c>
      <c r="C2330" s="46">
        <v>2318</v>
      </c>
      <c r="D2330" s="69" t="s">
        <v>29416</v>
      </c>
      <c r="E2330" s="51"/>
      <c r="F2330" s="114" t="str">
        <f>IF(INDEX(I.Facility.P1IDNumber,2318)="","",INDEX(I.Facility.P1IDNumber,2318))</f>
        <v/>
      </c>
      <c r="G2330" s="51"/>
      <c r="H2330" s="46" t="str">
        <f>IF(AND(I.Developer.P1=TRUE,I.Facility.P1FacilityCount&gt;=2318,F2330=""),"Incomplete","Complete")</f>
        <v>Complete</v>
      </c>
      <c r="I2330" s="48" t="s">
        <v>6695</v>
      </c>
    </row>
    <row r="2331" spans="2:9" ht="15" customHeight="1" x14ac:dyDescent="0.25">
      <c r="B2331" s="55" t="s">
        <v>279</v>
      </c>
      <c r="C2331" s="46">
        <v>2319</v>
      </c>
      <c r="D2331" s="69" t="s">
        <v>29416</v>
      </c>
      <c r="E2331" s="51"/>
      <c r="F2331" s="114" t="str">
        <f>IF(INDEX(I.Facility.P1IDNumber,2319)="","",INDEX(I.Facility.P1IDNumber,2319))</f>
        <v/>
      </c>
      <c r="G2331" s="51"/>
      <c r="H2331" s="46" t="str">
        <f>IF(AND(I.Developer.P1=TRUE,I.Facility.P1FacilityCount&gt;=2319,F2331=""),"Incomplete","Complete")</f>
        <v>Complete</v>
      </c>
      <c r="I2331" s="48" t="s">
        <v>6696</v>
      </c>
    </row>
    <row r="2332" spans="2:9" ht="15" customHeight="1" x14ac:dyDescent="0.25">
      <c r="B2332" s="55" t="s">
        <v>279</v>
      </c>
      <c r="C2332" s="46">
        <v>2320</v>
      </c>
      <c r="D2332" s="69" t="s">
        <v>29416</v>
      </c>
      <c r="E2332" s="51"/>
      <c r="F2332" s="114" t="str">
        <f>IF(INDEX(I.Facility.P1IDNumber,2320)="","",INDEX(I.Facility.P1IDNumber,2320))</f>
        <v/>
      </c>
      <c r="G2332" s="51"/>
      <c r="H2332" s="46" t="str">
        <f>IF(AND(I.Developer.P1=TRUE,I.Facility.P1FacilityCount&gt;=2320,F2332=""),"Incomplete","Complete")</f>
        <v>Complete</v>
      </c>
      <c r="I2332" s="48" t="s">
        <v>6697</v>
      </c>
    </row>
    <row r="2333" spans="2:9" ht="15" customHeight="1" x14ac:dyDescent="0.25">
      <c r="B2333" s="55" t="s">
        <v>279</v>
      </c>
      <c r="C2333" s="46">
        <v>2321</v>
      </c>
      <c r="D2333" s="69" t="s">
        <v>29416</v>
      </c>
      <c r="E2333" s="51"/>
      <c r="F2333" s="114" t="str">
        <f>IF(INDEX(I.Facility.P1IDNumber,2321)="","",INDEX(I.Facility.P1IDNumber,2321))</f>
        <v/>
      </c>
      <c r="G2333" s="51"/>
      <c r="H2333" s="46" t="str">
        <f>IF(AND(I.Developer.P1=TRUE,I.Facility.P1FacilityCount&gt;=2321,F2333=""),"Incomplete","Complete")</f>
        <v>Complete</v>
      </c>
      <c r="I2333" s="48" t="s">
        <v>6698</v>
      </c>
    </row>
    <row r="2334" spans="2:9" ht="15" customHeight="1" x14ac:dyDescent="0.25">
      <c r="B2334" s="55" t="s">
        <v>279</v>
      </c>
      <c r="C2334" s="46">
        <v>2322</v>
      </c>
      <c r="D2334" s="69" t="s">
        <v>29416</v>
      </c>
      <c r="E2334" s="51"/>
      <c r="F2334" s="114" t="str">
        <f>IF(INDEX(I.Facility.P1IDNumber,2322)="","",INDEX(I.Facility.P1IDNumber,2322))</f>
        <v/>
      </c>
      <c r="G2334" s="51"/>
      <c r="H2334" s="46" t="str">
        <f>IF(AND(I.Developer.P1=TRUE,I.Facility.P1FacilityCount&gt;=2322,F2334=""),"Incomplete","Complete")</f>
        <v>Complete</v>
      </c>
      <c r="I2334" s="48" t="s">
        <v>6699</v>
      </c>
    </row>
    <row r="2335" spans="2:9" ht="15" customHeight="1" x14ac:dyDescent="0.25">
      <c r="B2335" s="55" t="s">
        <v>279</v>
      </c>
      <c r="C2335" s="46">
        <v>2323</v>
      </c>
      <c r="D2335" s="69" t="s">
        <v>29416</v>
      </c>
      <c r="E2335" s="51"/>
      <c r="F2335" s="114" t="str">
        <f>IF(INDEX(I.Facility.P1IDNumber,2323)="","",INDEX(I.Facility.P1IDNumber,2323))</f>
        <v/>
      </c>
      <c r="G2335" s="51"/>
      <c r="H2335" s="46" t="str">
        <f>IF(AND(I.Developer.P1=TRUE,I.Facility.P1FacilityCount&gt;=2323,F2335=""),"Incomplete","Complete")</f>
        <v>Complete</v>
      </c>
      <c r="I2335" s="48" t="s">
        <v>6700</v>
      </c>
    </row>
    <row r="2336" spans="2:9" ht="15" customHeight="1" x14ac:dyDescent="0.25">
      <c r="B2336" s="55" t="s">
        <v>279</v>
      </c>
      <c r="C2336" s="46">
        <v>2324</v>
      </c>
      <c r="D2336" s="69" t="s">
        <v>29416</v>
      </c>
      <c r="E2336" s="51"/>
      <c r="F2336" s="114" t="str">
        <f>IF(INDEX(I.Facility.P1IDNumber,2324)="","",INDEX(I.Facility.P1IDNumber,2324))</f>
        <v/>
      </c>
      <c r="G2336" s="51"/>
      <c r="H2336" s="46" t="str">
        <f>IF(AND(I.Developer.P1=TRUE,I.Facility.P1FacilityCount&gt;=2324,F2336=""),"Incomplete","Complete")</f>
        <v>Complete</v>
      </c>
      <c r="I2336" s="48" t="s">
        <v>6701</v>
      </c>
    </row>
    <row r="2337" spans="2:9" ht="15" customHeight="1" x14ac:dyDescent="0.25">
      <c r="B2337" s="55" t="s">
        <v>279</v>
      </c>
      <c r="C2337" s="46">
        <v>2325</v>
      </c>
      <c r="D2337" s="69" t="s">
        <v>29416</v>
      </c>
      <c r="E2337" s="51"/>
      <c r="F2337" s="114" t="str">
        <f>IF(INDEX(I.Facility.P1IDNumber,2325)="","",INDEX(I.Facility.P1IDNumber,2325))</f>
        <v/>
      </c>
      <c r="G2337" s="51"/>
      <c r="H2337" s="46" t="str">
        <f>IF(AND(I.Developer.P1=TRUE,I.Facility.P1FacilityCount&gt;=2325,F2337=""),"Incomplete","Complete")</f>
        <v>Complete</v>
      </c>
      <c r="I2337" s="48" t="s">
        <v>6702</v>
      </c>
    </row>
    <row r="2338" spans="2:9" ht="15" customHeight="1" x14ac:dyDescent="0.25">
      <c r="B2338" s="55" t="s">
        <v>279</v>
      </c>
      <c r="C2338" s="46">
        <v>2326</v>
      </c>
      <c r="D2338" s="69" t="s">
        <v>29416</v>
      </c>
      <c r="E2338" s="51"/>
      <c r="F2338" s="114" t="str">
        <f>IF(INDEX(I.Facility.P1IDNumber,2326)="","",INDEX(I.Facility.P1IDNumber,2326))</f>
        <v/>
      </c>
      <c r="G2338" s="51"/>
      <c r="H2338" s="46" t="str">
        <f>IF(AND(I.Developer.P1=TRUE,I.Facility.P1FacilityCount&gt;=2326,F2338=""),"Incomplete","Complete")</f>
        <v>Complete</v>
      </c>
      <c r="I2338" s="48" t="s">
        <v>6703</v>
      </c>
    </row>
    <row r="2339" spans="2:9" ht="15" customHeight="1" x14ac:dyDescent="0.25">
      <c r="B2339" s="55" t="s">
        <v>279</v>
      </c>
      <c r="C2339" s="46">
        <v>2327</v>
      </c>
      <c r="D2339" s="69" t="s">
        <v>29416</v>
      </c>
      <c r="E2339" s="51"/>
      <c r="F2339" s="114" t="str">
        <f>IF(INDEX(I.Facility.P1IDNumber,2327)="","",INDEX(I.Facility.P1IDNumber,2327))</f>
        <v/>
      </c>
      <c r="G2339" s="51"/>
      <c r="H2339" s="46" t="str">
        <f>IF(AND(I.Developer.P1=TRUE,I.Facility.P1FacilityCount&gt;=2327,F2339=""),"Incomplete","Complete")</f>
        <v>Complete</v>
      </c>
      <c r="I2339" s="48" t="s">
        <v>6704</v>
      </c>
    </row>
    <row r="2340" spans="2:9" ht="15" customHeight="1" x14ac:dyDescent="0.25">
      <c r="B2340" s="55" t="s">
        <v>279</v>
      </c>
      <c r="C2340" s="46">
        <v>2328</v>
      </c>
      <c r="D2340" s="69" t="s">
        <v>29416</v>
      </c>
      <c r="E2340" s="51"/>
      <c r="F2340" s="114" t="str">
        <f>IF(INDEX(I.Facility.P1IDNumber,2328)="","",INDEX(I.Facility.P1IDNumber,2328))</f>
        <v/>
      </c>
      <c r="G2340" s="51"/>
      <c r="H2340" s="46" t="str">
        <f>IF(AND(I.Developer.P1=TRUE,I.Facility.P1FacilityCount&gt;=2328,F2340=""),"Incomplete","Complete")</f>
        <v>Complete</v>
      </c>
      <c r="I2340" s="48" t="s">
        <v>6705</v>
      </c>
    </row>
    <row r="2341" spans="2:9" ht="15" customHeight="1" x14ac:dyDescent="0.25">
      <c r="B2341" s="55" t="s">
        <v>279</v>
      </c>
      <c r="C2341" s="46">
        <v>2329</v>
      </c>
      <c r="D2341" s="69" t="s">
        <v>29416</v>
      </c>
      <c r="E2341" s="51"/>
      <c r="F2341" s="114" t="str">
        <f>IF(INDEX(I.Facility.P1IDNumber,2329)="","",INDEX(I.Facility.P1IDNumber,2329))</f>
        <v/>
      </c>
      <c r="G2341" s="51"/>
      <c r="H2341" s="46" t="str">
        <f>IF(AND(I.Developer.P1=TRUE,I.Facility.P1FacilityCount&gt;=2329,F2341=""),"Incomplete","Complete")</f>
        <v>Complete</v>
      </c>
      <c r="I2341" s="48" t="s">
        <v>6706</v>
      </c>
    </row>
    <row r="2342" spans="2:9" ht="15" customHeight="1" x14ac:dyDescent="0.25">
      <c r="B2342" s="55" t="s">
        <v>279</v>
      </c>
      <c r="C2342" s="46">
        <v>2330</v>
      </c>
      <c r="D2342" s="69" t="s">
        <v>29416</v>
      </c>
      <c r="E2342" s="51"/>
      <c r="F2342" s="114" t="str">
        <f>IF(INDEX(I.Facility.P1IDNumber,2330)="","",INDEX(I.Facility.P1IDNumber,2330))</f>
        <v/>
      </c>
      <c r="G2342" s="51"/>
      <c r="H2342" s="46" t="str">
        <f>IF(AND(I.Developer.P1=TRUE,I.Facility.P1FacilityCount&gt;=2330,F2342=""),"Incomplete","Complete")</f>
        <v>Complete</v>
      </c>
      <c r="I2342" s="48" t="s">
        <v>6707</v>
      </c>
    </row>
    <row r="2343" spans="2:9" ht="15" customHeight="1" x14ac:dyDescent="0.25">
      <c r="B2343" s="55" t="s">
        <v>279</v>
      </c>
      <c r="C2343" s="46">
        <v>2331</v>
      </c>
      <c r="D2343" s="69" t="s">
        <v>29416</v>
      </c>
      <c r="E2343" s="51"/>
      <c r="F2343" s="114" t="str">
        <f>IF(INDEX(I.Facility.P1IDNumber,2331)="","",INDEX(I.Facility.P1IDNumber,2331))</f>
        <v/>
      </c>
      <c r="G2343" s="51"/>
      <c r="H2343" s="46" t="str">
        <f>IF(AND(I.Developer.P1=TRUE,I.Facility.P1FacilityCount&gt;=2331,F2343=""),"Incomplete","Complete")</f>
        <v>Complete</v>
      </c>
      <c r="I2343" s="48" t="s">
        <v>6708</v>
      </c>
    </row>
    <row r="2344" spans="2:9" ht="15" customHeight="1" x14ac:dyDescent="0.25">
      <c r="B2344" s="55" t="s">
        <v>279</v>
      </c>
      <c r="C2344" s="46">
        <v>2332</v>
      </c>
      <c r="D2344" s="69" t="s">
        <v>29416</v>
      </c>
      <c r="E2344" s="51"/>
      <c r="F2344" s="114" t="str">
        <f>IF(INDEX(I.Facility.P1IDNumber,2332)="","",INDEX(I.Facility.P1IDNumber,2332))</f>
        <v/>
      </c>
      <c r="G2344" s="51"/>
      <c r="H2344" s="46" t="str">
        <f>IF(AND(I.Developer.P1=TRUE,I.Facility.P1FacilityCount&gt;=2332,F2344=""),"Incomplete","Complete")</f>
        <v>Complete</v>
      </c>
      <c r="I2344" s="48" t="s">
        <v>6709</v>
      </c>
    </row>
    <row r="2345" spans="2:9" ht="15" customHeight="1" x14ac:dyDescent="0.25">
      <c r="B2345" s="55" t="s">
        <v>279</v>
      </c>
      <c r="C2345" s="46">
        <v>2333</v>
      </c>
      <c r="D2345" s="69" t="s">
        <v>29416</v>
      </c>
      <c r="E2345" s="51"/>
      <c r="F2345" s="114" t="str">
        <f>IF(INDEX(I.Facility.P1IDNumber,2333)="","",INDEX(I.Facility.P1IDNumber,2333))</f>
        <v/>
      </c>
      <c r="G2345" s="51"/>
      <c r="H2345" s="46" t="str">
        <f>IF(AND(I.Developer.P1=TRUE,I.Facility.P1FacilityCount&gt;=2333,F2345=""),"Incomplete","Complete")</f>
        <v>Complete</v>
      </c>
      <c r="I2345" s="48" t="s">
        <v>6710</v>
      </c>
    </row>
    <row r="2346" spans="2:9" ht="15" customHeight="1" x14ac:dyDescent="0.25">
      <c r="B2346" s="55" t="s">
        <v>279</v>
      </c>
      <c r="C2346" s="46">
        <v>2334</v>
      </c>
      <c r="D2346" s="69" t="s">
        <v>29416</v>
      </c>
      <c r="E2346" s="51"/>
      <c r="F2346" s="114" t="str">
        <f>IF(INDEX(I.Facility.P1IDNumber,2334)="","",INDEX(I.Facility.P1IDNumber,2334))</f>
        <v/>
      </c>
      <c r="G2346" s="51"/>
      <c r="H2346" s="46" t="str">
        <f>IF(AND(I.Developer.P1=TRUE,I.Facility.P1FacilityCount&gt;=2334,F2346=""),"Incomplete","Complete")</f>
        <v>Complete</v>
      </c>
      <c r="I2346" s="48" t="s">
        <v>6711</v>
      </c>
    </row>
    <row r="2347" spans="2:9" ht="15" customHeight="1" x14ac:dyDescent="0.25">
      <c r="B2347" s="55" t="s">
        <v>279</v>
      </c>
      <c r="C2347" s="46">
        <v>2335</v>
      </c>
      <c r="D2347" s="69" t="s">
        <v>29416</v>
      </c>
      <c r="E2347" s="51"/>
      <c r="F2347" s="114" t="str">
        <f>IF(INDEX(I.Facility.P1IDNumber,2335)="","",INDEX(I.Facility.P1IDNumber,2335))</f>
        <v/>
      </c>
      <c r="G2347" s="51"/>
      <c r="H2347" s="46" t="str">
        <f>IF(AND(I.Developer.P1=TRUE,I.Facility.P1FacilityCount&gt;=2335,F2347=""),"Incomplete","Complete")</f>
        <v>Complete</v>
      </c>
      <c r="I2347" s="48" t="s">
        <v>6712</v>
      </c>
    </row>
    <row r="2348" spans="2:9" ht="15" customHeight="1" x14ac:dyDescent="0.25">
      <c r="B2348" s="55" t="s">
        <v>279</v>
      </c>
      <c r="C2348" s="46">
        <v>2336</v>
      </c>
      <c r="D2348" s="69" t="s">
        <v>29416</v>
      </c>
      <c r="E2348" s="51"/>
      <c r="F2348" s="114" t="str">
        <f>IF(INDEX(I.Facility.P1IDNumber,2336)="","",INDEX(I.Facility.P1IDNumber,2336))</f>
        <v/>
      </c>
      <c r="G2348" s="51"/>
      <c r="H2348" s="46" t="str">
        <f>IF(AND(I.Developer.P1=TRUE,I.Facility.P1FacilityCount&gt;=2336,F2348=""),"Incomplete","Complete")</f>
        <v>Complete</v>
      </c>
      <c r="I2348" s="48" t="s">
        <v>6713</v>
      </c>
    </row>
    <row r="2349" spans="2:9" ht="15" customHeight="1" x14ac:dyDescent="0.25">
      <c r="B2349" s="55" t="s">
        <v>279</v>
      </c>
      <c r="C2349" s="46">
        <v>2337</v>
      </c>
      <c r="D2349" s="69" t="s">
        <v>29416</v>
      </c>
      <c r="E2349" s="51"/>
      <c r="F2349" s="114" t="str">
        <f>IF(INDEX(I.Facility.P1IDNumber,2337)="","",INDEX(I.Facility.P1IDNumber,2337))</f>
        <v/>
      </c>
      <c r="G2349" s="51"/>
      <c r="H2349" s="46" t="str">
        <f>IF(AND(I.Developer.P1=TRUE,I.Facility.P1FacilityCount&gt;=2337,F2349=""),"Incomplete","Complete")</f>
        <v>Complete</v>
      </c>
      <c r="I2349" s="48" t="s">
        <v>6714</v>
      </c>
    </row>
    <row r="2350" spans="2:9" ht="15" customHeight="1" x14ac:dyDescent="0.25">
      <c r="B2350" s="55" t="s">
        <v>279</v>
      </c>
      <c r="C2350" s="46">
        <v>2338</v>
      </c>
      <c r="D2350" s="69" t="s">
        <v>29416</v>
      </c>
      <c r="E2350" s="51"/>
      <c r="F2350" s="114" t="str">
        <f>IF(INDEX(I.Facility.P1IDNumber,2338)="","",INDEX(I.Facility.P1IDNumber,2338))</f>
        <v/>
      </c>
      <c r="G2350" s="51"/>
      <c r="H2350" s="46" t="str">
        <f>IF(AND(I.Developer.P1=TRUE,I.Facility.P1FacilityCount&gt;=2338,F2350=""),"Incomplete","Complete")</f>
        <v>Complete</v>
      </c>
      <c r="I2350" s="48" t="s">
        <v>6715</v>
      </c>
    </row>
    <row r="2351" spans="2:9" ht="15" customHeight="1" x14ac:dyDescent="0.25">
      <c r="B2351" s="55" t="s">
        <v>279</v>
      </c>
      <c r="C2351" s="46">
        <v>2339</v>
      </c>
      <c r="D2351" s="69" t="s">
        <v>29416</v>
      </c>
      <c r="E2351" s="51"/>
      <c r="F2351" s="114" t="str">
        <f>IF(INDEX(I.Facility.P1IDNumber,2339)="","",INDEX(I.Facility.P1IDNumber,2339))</f>
        <v/>
      </c>
      <c r="G2351" s="51"/>
      <c r="H2351" s="46" t="str">
        <f>IF(AND(I.Developer.P1=TRUE,I.Facility.P1FacilityCount&gt;=2339,F2351=""),"Incomplete","Complete")</f>
        <v>Complete</v>
      </c>
      <c r="I2351" s="48" t="s">
        <v>6716</v>
      </c>
    </row>
    <row r="2352" spans="2:9" ht="15" customHeight="1" x14ac:dyDescent="0.25">
      <c r="B2352" s="55" t="s">
        <v>279</v>
      </c>
      <c r="C2352" s="46">
        <v>2340</v>
      </c>
      <c r="D2352" s="69" t="s">
        <v>29416</v>
      </c>
      <c r="E2352" s="51"/>
      <c r="F2352" s="114" t="str">
        <f>IF(INDEX(I.Facility.P1IDNumber,2340)="","",INDEX(I.Facility.P1IDNumber,2340))</f>
        <v/>
      </c>
      <c r="G2352" s="51"/>
      <c r="H2352" s="46" t="str">
        <f>IF(AND(I.Developer.P1=TRUE,I.Facility.P1FacilityCount&gt;=2340,F2352=""),"Incomplete","Complete")</f>
        <v>Complete</v>
      </c>
      <c r="I2352" s="48" t="s">
        <v>6717</v>
      </c>
    </row>
    <row r="2353" spans="2:9" ht="15" customHeight="1" x14ac:dyDescent="0.25">
      <c r="B2353" s="55" t="s">
        <v>279</v>
      </c>
      <c r="C2353" s="46">
        <v>2341</v>
      </c>
      <c r="D2353" s="69" t="s">
        <v>29416</v>
      </c>
      <c r="E2353" s="51"/>
      <c r="F2353" s="114" t="str">
        <f>IF(INDEX(I.Facility.P1IDNumber,2341)="","",INDEX(I.Facility.P1IDNumber,2341))</f>
        <v/>
      </c>
      <c r="G2353" s="51"/>
      <c r="H2353" s="46" t="str">
        <f>IF(AND(I.Developer.P1=TRUE,I.Facility.P1FacilityCount&gt;=2341,F2353=""),"Incomplete","Complete")</f>
        <v>Complete</v>
      </c>
      <c r="I2353" s="48" t="s">
        <v>6718</v>
      </c>
    </row>
    <row r="2354" spans="2:9" ht="15" customHeight="1" x14ac:dyDescent="0.25">
      <c r="B2354" s="55" t="s">
        <v>279</v>
      </c>
      <c r="C2354" s="46">
        <v>2342</v>
      </c>
      <c r="D2354" s="69" t="s">
        <v>29416</v>
      </c>
      <c r="E2354" s="51"/>
      <c r="F2354" s="114" t="str">
        <f>IF(INDEX(I.Facility.P1IDNumber,2342)="","",INDEX(I.Facility.P1IDNumber,2342))</f>
        <v/>
      </c>
      <c r="G2354" s="51"/>
      <c r="H2354" s="46" t="str">
        <f>IF(AND(I.Developer.P1=TRUE,I.Facility.P1FacilityCount&gt;=2342,F2354=""),"Incomplete","Complete")</f>
        <v>Complete</v>
      </c>
      <c r="I2354" s="48" t="s">
        <v>6719</v>
      </c>
    </row>
    <row r="2355" spans="2:9" ht="15" customHeight="1" x14ac:dyDescent="0.25">
      <c r="B2355" s="55" t="s">
        <v>279</v>
      </c>
      <c r="C2355" s="46">
        <v>2343</v>
      </c>
      <c r="D2355" s="69" t="s">
        <v>29416</v>
      </c>
      <c r="E2355" s="51"/>
      <c r="F2355" s="114" t="str">
        <f>IF(INDEX(I.Facility.P1IDNumber,2343)="","",INDEX(I.Facility.P1IDNumber,2343))</f>
        <v/>
      </c>
      <c r="G2355" s="51"/>
      <c r="H2355" s="46" t="str">
        <f>IF(AND(I.Developer.P1=TRUE,I.Facility.P1FacilityCount&gt;=2343,F2355=""),"Incomplete","Complete")</f>
        <v>Complete</v>
      </c>
      <c r="I2355" s="48" t="s">
        <v>6720</v>
      </c>
    </row>
    <row r="2356" spans="2:9" ht="15" customHeight="1" x14ac:dyDescent="0.25">
      <c r="B2356" s="55" t="s">
        <v>279</v>
      </c>
      <c r="C2356" s="46">
        <v>2344</v>
      </c>
      <c r="D2356" s="69" t="s">
        <v>29416</v>
      </c>
      <c r="E2356" s="51"/>
      <c r="F2356" s="114" t="str">
        <f>IF(INDEX(I.Facility.P1IDNumber,2344)="","",INDEX(I.Facility.P1IDNumber,2344))</f>
        <v/>
      </c>
      <c r="G2356" s="51"/>
      <c r="H2356" s="46" t="str">
        <f>IF(AND(I.Developer.P1=TRUE,I.Facility.P1FacilityCount&gt;=2344,F2356=""),"Incomplete","Complete")</f>
        <v>Complete</v>
      </c>
      <c r="I2356" s="48" t="s">
        <v>6721</v>
      </c>
    </row>
    <row r="2357" spans="2:9" ht="15" customHeight="1" x14ac:dyDescent="0.25">
      <c r="B2357" s="55" t="s">
        <v>279</v>
      </c>
      <c r="C2357" s="46">
        <v>2345</v>
      </c>
      <c r="D2357" s="69" t="s">
        <v>29416</v>
      </c>
      <c r="E2357" s="51"/>
      <c r="F2357" s="114" t="str">
        <f>IF(INDEX(I.Facility.P1IDNumber,2345)="","",INDEX(I.Facility.P1IDNumber,2345))</f>
        <v/>
      </c>
      <c r="G2357" s="51"/>
      <c r="H2357" s="46" t="str">
        <f>IF(AND(I.Developer.P1=TRUE,I.Facility.P1FacilityCount&gt;=2345,F2357=""),"Incomplete","Complete")</f>
        <v>Complete</v>
      </c>
      <c r="I2357" s="48" t="s">
        <v>6722</v>
      </c>
    </row>
    <row r="2358" spans="2:9" ht="15" customHeight="1" x14ac:dyDescent="0.25">
      <c r="B2358" s="55" t="s">
        <v>279</v>
      </c>
      <c r="C2358" s="46">
        <v>2346</v>
      </c>
      <c r="D2358" s="69" t="s">
        <v>29416</v>
      </c>
      <c r="E2358" s="51"/>
      <c r="F2358" s="114" t="str">
        <f>IF(INDEX(I.Facility.P1IDNumber,2346)="","",INDEX(I.Facility.P1IDNumber,2346))</f>
        <v/>
      </c>
      <c r="G2358" s="51"/>
      <c r="H2358" s="46" t="str">
        <f>IF(AND(I.Developer.P1=TRUE,I.Facility.P1FacilityCount&gt;=2346,F2358=""),"Incomplete","Complete")</f>
        <v>Complete</v>
      </c>
      <c r="I2358" s="48" t="s">
        <v>6723</v>
      </c>
    </row>
    <row r="2359" spans="2:9" ht="15" customHeight="1" x14ac:dyDescent="0.25">
      <c r="B2359" s="55" t="s">
        <v>279</v>
      </c>
      <c r="C2359" s="46">
        <v>2347</v>
      </c>
      <c r="D2359" s="69" t="s">
        <v>29416</v>
      </c>
      <c r="E2359" s="51"/>
      <c r="F2359" s="114" t="str">
        <f>IF(INDEX(I.Facility.P1IDNumber,2347)="","",INDEX(I.Facility.P1IDNumber,2347))</f>
        <v/>
      </c>
      <c r="G2359" s="51"/>
      <c r="H2359" s="46" t="str">
        <f>IF(AND(I.Developer.P1=TRUE,I.Facility.P1FacilityCount&gt;=2347,F2359=""),"Incomplete","Complete")</f>
        <v>Complete</v>
      </c>
      <c r="I2359" s="48" t="s">
        <v>6724</v>
      </c>
    </row>
    <row r="2360" spans="2:9" ht="15" customHeight="1" x14ac:dyDescent="0.25">
      <c r="B2360" s="55" t="s">
        <v>279</v>
      </c>
      <c r="C2360" s="46">
        <v>2348</v>
      </c>
      <c r="D2360" s="69" t="s">
        <v>29416</v>
      </c>
      <c r="E2360" s="51"/>
      <c r="F2360" s="114" t="str">
        <f>IF(INDEX(I.Facility.P1IDNumber,2348)="","",INDEX(I.Facility.P1IDNumber,2348))</f>
        <v/>
      </c>
      <c r="G2360" s="51"/>
      <c r="H2360" s="46" t="str">
        <f>IF(AND(I.Developer.P1=TRUE,I.Facility.P1FacilityCount&gt;=2348,F2360=""),"Incomplete","Complete")</f>
        <v>Complete</v>
      </c>
      <c r="I2360" s="48" t="s">
        <v>6725</v>
      </c>
    </row>
    <row r="2361" spans="2:9" ht="15" customHeight="1" x14ac:dyDescent="0.25">
      <c r="B2361" s="55" t="s">
        <v>279</v>
      </c>
      <c r="C2361" s="46">
        <v>2349</v>
      </c>
      <c r="D2361" s="69" t="s">
        <v>29416</v>
      </c>
      <c r="E2361" s="51"/>
      <c r="F2361" s="114" t="str">
        <f>IF(INDEX(I.Facility.P1IDNumber,2349)="","",INDEX(I.Facility.P1IDNumber,2349))</f>
        <v/>
      </c>
      <c r="G2361" s="51"/>
      <c r="H2361" s="46" t="str">
        <f>IF(AND(I.Developer.P1=TRUE,I.Facility.P1FacilityCount&gt;=2349,F2361=""),"Incomplete","Complete")</f>
        <v>Complete</v>
      </c>
      <c r="I2361" s="48" t="s">
        <v>6726</v>
      </c>
    </row>
    <row r="2362" spans="2:9" ht="15" customHeight="1" x14ac:dyDescent="0.25">
      <c r="B2362" s="55" t="s">
        <v>279</v>
      </c>
      <c r="C2362" s="46">
        <v>2350</v>
      </c>
      <c r="D2362" s="69" t="s">
        <v>29416</v>
      </c>
      <c r="E2362" s="51"/>
      <c r="F2362" s="114" t="str">
        <f>IF(INDEX(I.Facility.P1IDNumber,2350)="","",INDEX(I.Facility.P1IDNumber,2350))</f>
        <v/>
      </c>
      <c r="G2362" s="51"/>
      <c r="H2362" s="46" t="str">
        <f>IF(AND(I.Developer.P1=TRUE,I.Facility.P1FacilityCount&gt;=2350,F2362=""),"Incomplete","Complete")</f>
        <v>Complete</v>
      </c>
      <c r="I2362" s="48" t="s">
        <v>6727</v>
      </c>
    </row>
    <row r="2363" spans="2:9" ht="15" customHeight="1" x14ac:dyDescent="0.25">
      <c r="B2363" s="55" t="s">
        <v>279</v>
      </c>
      <c r="C2363" s="46">
        <v>2351</v>
      </c>
      <c r="D2363" s="69" t="s">
        <v>29416</v>
      </c>
      <c r="E2363" s="51"/>
      <c r="F2363" s="114" t="str">
        <f>IF(INDEX(I.Facility.P1IDNumber,2351)="","",INDEX(I.Facility.P1IDNumber,2351))</f>
        <v/>
      </c>
      <c r="G2363" s="51"/>
      <c r="H2363" s="46" t="str">
        <f>IF(AND(I.Developer.P1=TRUE,I.Facility.P1FacilityCount&gt;=2351,F2363=""),"Incomplete","Complete")</f>
        <v>Complete</v>
      </c>
      <c r="I2363" s="48" t="s">
        <v>6728</v>
      </c>
    </row>
    <row r="2364" spans="2:9" ht="15" customHeight="1" x14ac:dyDescent="0.25">
      <c r="B2364" s="55" t="s">
        <v>279</v>
      </c>
      <c r="C2364" s="46">
        <v>2352</v>
      </c>
      <c r="D2364" s="69" t="s">
        <v>29416</v>
      </c>
      <c r="E2364" s="51"/>
      <c r="F2364" s="114" t="str">
        <f>IF(INDEX(I.Facility.P1IDNumber,2352)="","",INDEX(I.Facility.P1IDNumber,2352))</f>
        <v/>
      </c>
      <c r="G2364" s="51"/>
      <c r="H2364" s="46" t="str">
        <f>IF(AND(I.Developer.P1=TRUE,I.Facility.P1FacilityCount&gt;=2352,F2364=""),"Incomplete","Complete")</f>
        <v>Complete</v>
      </c>
      <c r="I2364" s="48" t="s">
        <v>6729</v>
      </c>
    </row>
    <row r="2365" spans="2:9" ht="15" customHeight="1" x14ac:dyDescent="0.25">
      <c r="B2365" s="55" t="s">
        <v>279</v>
      </c>
      <c r="C2365" s="46">
        <v>2353</v>
      </c>
      <c r="D2365" s="69" t="s">
        <v>29416</v>
      </c>
      <c r="E2365" s="51"/>
      <c r="F2365" s="114" t="str">
        <f>IF(INDEX(I.Facility.P1IDNumber,2353)="","",INDEX(I.Facility.P1IDNumber,2353))</f>
        <v/>
      </c>
      <c r="G2365" s="51"/>
      <c r="H2365" s="46" t="str">
        <f>IF(AND(I.Developer.P1=TRUE,I.Facility.P1FacilityCount&gt;=2353,F2365=""),"Incomplete","Complete")</f>
        <v>Complete</v>
      </c>
      <c r="I2365" s="48" t="s">
        <v>6730</v>
      </c>
    </row>
    <row r="2366" spans="2:9" ht="15" customHeight="1" x14ac:dyDescent="0.25">
      <c r="B2366" s="55" t="s">
        <v>279</v>
      </c>
      <c r="C2366" s="46">
        <v>2354</v>
      </c>
      <c r="D2366" s="69" t="s">
        <v>29416</v>
      </c>
      <c r="E2366" s="51"/>
      <c r="F2366" s="114" t="str">
        <f>IF(INDEX(I.Facility.P1IDNumber,2354)="","",INDEX(I.Facility.P1IDNumber,2354))</f>
        <v/>
      </c>
      <c r="G2366" s="51"/>
      <c r="H2366" s="46" t="str">
        <f>IF(AND(I.Developer.P1=TRUE,I.Facility.P1FacilityCount&gt;=2354,F2366=""),"Incomplete","Complete")</f>
        <v>Complete</v>
      </c>
      <c r="I2366" s="48" t="s">
        <v>6731</v>
      </c>
    </row>
    <row r="2367" spans="2:9" ht="15" customHeight="1" x14ac:dyDescent="0.25">
      <c r="B2367" s="55" t="s">
        <v>279</v>
      </c>
      <c r="C2367" s="46">
        <v>2355</v>
      </c>
      <c r="D2367" s="69" t="s">
        <v>29416</v>
      </c>
      <c r="E2367" s="51"/>
      <c r="F2367" s="114" t="str">
        <f>IF(INDEX(I.Facility.P1IDNumber,2355)="","",INDEX(I.Facility.P1IDNumber,2355))</f>
        <v/>
      </c>
      <c r="G2367" s="51"/>
      <c r="H2367" s="46" t="str">
        <f>IF(AND(I.Developer.P1=TRUE,I.Facility.P1FacilityCount&gt;=2355,F2367=""),"Incomplete","Complete")</f>
        <v>Complete</v>
      </c>
      <c r="I2367" s="48" t="s">
        <v>6732</v>
      </c>
    </row>
    <row r="2368" spans="2:9" ht="15" customHeight="1" x14ac:dyDescent="0.25">
      <c r="B2368" s="55" t="s">
        <v>279</v>
      </c>
      <c r="C2368" s="46">
        <v>2356</v>
      </c>
      <c r="D2368" s="69" t="s">
        <v>29416</v>
      </c>
      <c r="E2368" s="51"/>
      <c r="F2368" s="114" t="str">
        <f>IF(INDEX(I.Facility.P1IDNumber,2356)="","",INDEX(I.Facility.P1IDNumber,2356))</f>
        <v/>
      </c>
      <c r="G2368" s="51"/>
      <c r="H2368" s="46" t="str">
        <f>IF(AND(I.Developer.P1=TRUE,I.Facility.P1FacilityCount&gt;=2356,F2368=""),"Incomplete","Complete")</f>
        <v>Complete</v>
      </c>
      <c r="I2368" s="48" t="s">
        <v>6733</v>
      </c>
    </row>
    <row r="2369" spans="2:9" ht="15" customHeight="1" x14ac:dyDescent="0.25">
      <c r="B2369" s="55" t="s">
        <v>279</v>
      </c>
      <c r="C2369" s="46">
        <v>2357</v>
      </c>
      <c r="D2369" s="69" t="s">
        <v>29416</v>
      </c>
      <c r="E2369" s="51"/>
      <c r="F2369" s="114" t="str">
        <f>IF(INDEX(I.Facility.P1IDNumber,2357)="","",INDEX(I.Facility.P1IDNumber,2357))</f>
        <v/>
      </c>
      <c r="G2369" s="51"/>
      <c r="H2369" s="46" t="str">
        <f>IF(AND(I.Developer.P1=TRUE,I.Facility.P1FacilityCount&gt;=2357,F2369=""),"Incomplete","Complete")</f>
        <v>Complete</v>
      </c>
      <c r="I2369" s="48" t="s">
        <v>6734</v>
      </c>
    </row>
    <row r="2370" spans="2:9" ht="15" customHeight="1" x14ac:dyDescent="0.25">
      <c r="B2370" s="55" t="s">
        <v>279</v>
      </c>
      <c r="C2370" s="46">
        <v>2358</v>
      </c>
      <c r="D2370" s="69" t="s">
        <v>29416</v>
      </c>
      <c r="E2370" s="51"/>
      <c r="F2370" s="114" t="str">
        <f>IF(INDEX(I.Facility.P1IDNumber,2358)="","",INDEX(I.Facility.P1IDNumber,2358))</f>
        <v/>
      </c>
      <c r="G2370" s="51"/>
      <c r="H2370" s="46" t="str">
        <f>IF(AND(I.Developer.P1=TRUE,I.Facility.P1FacilityCount&gt;=2358,F2370=""),"Incomplete","Complete")</f>
        <v>Complete</v>
      </c>
      <c r="I2370" s="48" t="s">
        <v>6735</v>
      </c>
    </row>
    <row r="2371" spans="2:9" ht="15" customHeight="1" x14ac:dyDescent="0.25">
      <c r="B2371" s="55" t="s">
        <v>279</v>
      </c>
      <c r="C2371" s="46">
        <v>2359</v>
      </c>
      <c r="D2371" s="69" t="s">
        <v>29416</v>
      </c>
      <c r="E2371" s="51"/>
      <c r="F2371" s="114" t="str">
        <f>IF(INDEX(I.Facility.P1IDNumber,2359)="","",INDEX(I.Facility.P1IDNumber,2359))</f>
        <v/>
      </c>
      <c r="G2371" s="51"/>
      <c r="H2371" s="46" t="str">
        <f>IF(AND(I.Developer.P1=TRUE,I.Facility.P1FacilityCount&gt;=2359,F2371=""),"Incomplete","Complete")</f>
        <v>Complete</v>
      </c>
      <c r="I2371" s="48" t="s">
        <v>6736</v>
      </c>
    </row>
    <row r="2372" spans="2:9" ht="15" customHeight="1" x14ac:dyDescent="0.25">
      <c r="B2372" s="55" t="s">
        <v>279</v>
      </c>
      <c r="C2372" s="46">
        <v>2360</v>
      </c>
      <c r="D2372" s="69" t="s">
        <v>29416</v>
      </c>
      <c r="E2372" s="51"/>
      <c r="F2372" s="114" t="str">
        <f>IF(INDEX(I.Facility.P1IDNumber,2360)="","",INDEX(I.Facility.P1IDNumber,2360))</f>
        <v/>
      </c>
      <c r="G2372" s="51"/>
      <c r="H2372" s="46" t="str">
        <f>IF(AND(I.Developer.P1=TRUE,I.Facility.P1FacilityCount&gt;=2360,F2372=""),"Incomplete","Complete")</f>
        <v>Complete</v>
      </c>
      <c r="I2372" s="48" t="s">
        <v>6737</v>
      </c>
    </row>
    <row r="2373" spans="2:9" ht="15" customHeight="1" x14ac:dyDescent="0.25">
      <c r="B2373" s="55" t="s">
        <v>279</v>
      </c>
      <c r="C2373" s="46">
        <v>2361</v>
      </c>
      <c r="D2373" s="69" t="s">
        <v>29416</v>
      </c>
      <c r="E2373" s="51"/>
      <c r="F2373" s="114" t="str">
        <f>IF(INDEX(I.Facility.P1IDNumber,2361)="","",INDEX(I.Facility.P1IDNumber,2361))</f>
        <v/>
      </c>
      <c r="G2373" s="51"/>
      <c r="H2373" s="46" t="str">
        <f>IF(AND(I.Developer.P1=TRUE,I.Facility.P1FacilityCount&gt;=2361,F2373=""),"Incomplete","Complete")</f>
        <v>Complete</v>
      </c>
      <c r="I2373" s="48" t="s">
        <v>6738</v>
      </c>
    </row>
    <row r="2374" spans="2:9" ht="15" customHeight="1" x14ac:dyDescent="0.25">
      <c r="B2374" s="55" t="s">
        <v>279</v>
      </c>
      <c r="C2374" s="46">
        <v>2362</v>
      </c>
      <c r="D2374" s="69" t="s">
        <v>29416</v>
      </c>
      <c r="E2374" s="51"/>
      <c r="F2374" s="114" t="str">
        <f>IF(INDEX(I.Facility.P1IDNumber,2362)="","",INDEX(I.Facility.P1IDNumber,2362))</f>
        <v/>
      </c>
      <c r="G2374" s="51"/>
      <c r="H2374" s="46" t="str">
        <f>IF(AND(I.Developer.P1=TRUE,I.Facility.P1FacilityCount&gt;=2362,F2374=""),"Incomplete","Complete")</f>
        <v>Complete</v>
      </c>
      <c r="I2374" s="48" t="s">
        <v>6739</v>
      </c>
    </row>
    <row r="2375" spans="2:9" ht="15" customHeight="1" x14ac:dyDescent="0.25">
      <c r="B2375" s="55" t="s">
        <v>279</v>
      </c>
      <c r="C2375" s="46">
        <v>2363</v>
      </c>
      <c r="D2375" s="69" t="s">
        <v>29416</v>
      </c>
      <c r="E2375" s="51"/>
      <c r="F2375" s="114" t="str">
        <f>IF(INDEX(I.Facility.P1IDNumber,2363)="","",INDEX(I.Facility.P1IDNumber,2363))</f>
        <v/>
      </c>
      <c r="G2375" s="51"/>
      <c r="H2375" s="46" t="str">
        <f>IF(AND(I.Developer.P1=TRUE,I.Facility.P1FacilityCount&gt;=2363,F2375=""),"Incomplete","Complete")</f>
        <v>Complete</v>
      </c>
      <c r="I2375" s="48" t="s">
        <v>6740</v>
      </c>
    </row>
    <row r="2376" spans="2:9" ht="15" customHeight="1" x14ac:dyDescent="0.25">
      <c r="B2376" s="55" t="s">
        <v>279</v>
      </c>
      <c r="C2376" s="46">
        <v>2364</v>
      </c>
      <c r="D2376" s="69" t="s">
        <v>29416</v>
      </c>
      <c r="E2376" s="51"/>
      <c r="F2376" s="114" t="str">
        <f>IF(INDEX(I.Facility.P1IDNumber,2364)="","",INDEX(I.Facility.P1IDNumber,2364))</f>
        <v/>
      </c>
      <c r="G2376" s="51"/>
      <c r="H2376" s="46" t="str">
        <f>IF(AND(I.Developer.P1=TRUE,I.Facility.P1FacilityCount&gt;=2364,F2376=""),"Incomplete","Complete")</f>
        <v>Complete</v>
      </c>
      <c r="I2376" s="48" t="s">
        <v>6741</v>
      </c>
    </row>
    <row r="2377" spans="2:9" ht="15" customHeight="1" x14ac:dyDescent="0.25">
      <c r="B2377" s="55" t="s">
        <v>279</v>
      </c>
      <c r="C2377" s="46">
        <v>2365</v>
      </c>
      <c r="D2377" s="69" t="s">
        <v>29416</v>
      </c>
      <c r="E2377" s="51"/>
      <c r="F2377" s="114" t="str">
        <f>IF(INDEX(I.Facility.P1IDNumber,2365)="","",INDEX(I.Facility.P1IDNumber,2365))</f>
        <v/>
      </c>
      <c r="G2377" s="51"/>
      <c r="H2377" s="46" t="str">
        <f>IF(AND(I.Developer.P1=TRUE,I.Facility.P1FacilityCount&gt;=2365,F2377=""),"Incomplete","Complete")</f>
        <v>Complete</v>
      </c>
      <c r="I2377" s="48" t="s">
        <v>6742</v>
      </c>
    </row>
    <row r="2378" spans="2:9" ht="15" customHeight="1" x14ac:dyDescent="0.25">
      <c r="B2378" s="55" t="s">
        <v>279</v>
      </c>
      <c r="C2378" s="46">
        <v>2366</v>
      </c>
      <c r="D2378" s="69" t="s">
        <v>29416</v>
      </c>
      <c r="E2378" s="51"/>
      <c r="F2378" s="114" t="str">
        <f>IF(INDEX(I.Facility.P1IDNumber,2366)="","",INDEX(I.Facility.P1IDNumber,2366))</f>
        <v/>
      </c>
      <c r="G2378" s="51"/>
      <c r="H2378" s="46" t="str">
        <f>IF(AND(I.Developer.P1=TRUE,I.Facility.P1FacilityCount&gt;=2366,F2378=""),"Incomplete","Complete")</f>
        <v>Complete</v>
      </c>
      <c r="I2378" s="48" t="s">
        <v>6743</v>
      </c>
    </row>
    <row r="2379" spans="2:9" ht="15" customHeight="1" x14ac:dyDescent="0.25">
      <c r="B2379" s="55" t="s">
        <v>279</v>
      </c>
      <c r="C2379" s="46">
        <v>2367</v>
      </c>
      <c r="D2379" s="69" t="s">
        <v>29416</v>
      </c>
      <c r="E2379" s="51"/>
      <c r="F2379" s="114" t="str">
        <f>IF(INDEX(I.Facility.P1IDNumber,2367)="","",INDEX(I.Facility.P1IDNumber,2367))</f>
        <v/>
      </c>
      <c r="G2379" s="51"/>
      <c r="H2379" s="46" t="str">
        <f>IF(AND(I.Developer.P1=TRUE,I.Facility.P1FacilityCount&gt;=2367,F2379=""),"Incomplete","Complete")</f>
        <v>Complete</v>
      </c>
      <c r="I2379" s="48" t="s">
        <v>6744</v>
      </c>
    </row>
    <row r="2380" spans="2:9" ht="15" customHeight="1" x14ac:dyDescent="0.25">
      <c r="B2380" s="55" t="s">
        <v>279</v>
      </c>
      <c r="C2380" s="46">
        <v>2368</v>
      </c>
      <c r="D2380" s="69" t="s">
        <v>29416</v>
      </c>
      <c r="E2380" s="51"/>
      <c r="F2380" s="114" t="str">
        <f>IF(INDEX(I.Facility.P1IDNumber,2368)="","",INDEX(I.Facility.P1IDNumber,2368))</f>
        <v/>
      </c>
      <c r="G2380" s="51"/>
      <c r="H2380" s="46" t="str">
        <f>IF(AND(I.Developer.P1=TRUE,I.Facility.P1FacilityCount&gt;=2368,F2380=""),"Incomplete","Complete")</f>
        <v>Complete</v>
      </c>
      <c r="I2380" s="48" t="s">
        <v>6745</v>
      </c>
    </row>
    <row r="2381" spans="2:9" ht="15" customHeight="1" x14ac:dyDescent="0.25">
      <c r="B2381" s="55" t="s">
        <v>279</v>
      </c>
      <c r="C2381" s="46">
        <v>2369</v>
      </c>
      <c r="D2381" s="69" t="s">
        <v>29416</v>
      </c>
      <c r="E2381" s="51"/>
      <c r="F2381" s="114" t="str">
        <f>IF(INDEX(I.Facility.P1IDNumber,2369)="","",INDEX(I.Facility.P1IDNumber,2369))</f>
        <v/>
      </c>
      <c r="G2381" s="51"/>
      <c r="H2381" s="46" t="str">
        <f>IF(AND(I.Developer.P1=TRUE,I.Facility.P1FacilityCount&gt;=2369,F2381=""),"Incomplete","Complete")</f>
        <v>Complete</v>
      </c>
      <c r="I2381" s="48" t="s">
        <v>6746</v>
      </c>
    </row>
    <row r="2382" spans="2:9" ht="15" customHeight="1" x14ac:dyDescent="0.25">
      <c r="B2382" s="55" t="s">
        <v>279</v>
      </c>
      <c r="C2382" s="46">
        <v>2370</v>
      </c>
      <c r="D2382" s="69" t="s">
        <v>29416</v>
      </c>
      <c r="E2382" s="51"/>
      <c r="F2382" s="114" t="str">
        <f>IF(INDEX(I.Facility.P1IDNumber,2370)="","",INDEX(I.Facility.P1IDNumber,2370))</f>
        <v/>
      </c>
      <c r="G2382" s="51"/>
      <c r="H2382" s="46" t="str">
        <f>IF(AND(I.Developer.P1=TRUE,I.Facility.P1FacilityCount&gt;=2370,F2382=""),"Incomplete","Complete")</f>
        <v>Complete</v>
      </c>
      <c r="I2382" s="48" t="s">
        <v>6747</v>
      </c>
    </row>
    <row r="2383" spans="2:9" ht="15" customHeight="1" x14ac:dyDescent="0.25">
      <c r="B2383" s="55" t="s">
        <v>279</v>
      </c>
      <c r="C2383" s="46">
        <v>2371</v>
      </c>
      <c r="D2383" s="69" t="s">
        <v>29416</v>
      </c>
      <c r="E2383" s="51"/>
      <c r="F2383" s="114" t="str">
        <f>IF(INDEX(I.Facility.P1IDNumber,2371)="","",INDEX(I.Facility.P1IDNumber,2371))</f>
        <v/>
      </c>
      <c r="G2383" s="51"/>
      <c r="H2383" s="46" t="str">
        <f>IF(AND(I.Developer.P1=TRUE,I.Facility.P1FacilityCount&gt;=2371,F2383=""),"Incomplete","Complete")</f>
        <v>Complete</v>
      </c>
      <c r="I2383" s="48" t="s">
        <v>6748</v>
      </c>
    </row>
    <row r="2384" spans="2:9" ht="15" customHeight="1" x14ac:dyDescent="0.25">
      <c r="B2384" s="55" t="s">
        <v>279</v>
      </c>
      <c r="C2384" s="46">
        <v>2372</v>
      </c>
      <c r="D2384" s="69" t="s">
        <v>29416</v>
      </c>
      <c r="E2384" s="51"/>
      <c r="F2384" s="114" t="str">
        <f>IF(INDEX(I.Facility.P1IDNumber,2372)="","",INDEX(I.Facility.P1IDNumber,2372))</f>
        <v/>
      </c>
      <c r="G2384" s="51"/>
      <c r="H2384" s="46" t="str">
        <f>IF(AND(I.Developer.P1=TRUE,I.Facility.P1FacilityCount&gt;=2372,F2384=""),"Incomplete","Complete")</f>
        <v>Complete</v>
      </c>
      <c r="I2384" s="48" t="s">
        <v>6749</v>
      </c>
    </row>
    <row r="2385" spans="2:9" ht="15" customHeight="1" x14ac:dyDescent="0.25">
      <c r="B2385" s="55" t="s">
        <v>279</v>
      </c>
      <c r="C2385" s="46">
        <v>2373</v>
      </c>
      <c r="D2385" s="69" t="s">
        <v>29416</v>
      </c>
      <c r="E2385" s="51"/>
      <c r="F2385" s="114" t="str">
        <f>IF(INDEX(I.Facility.P1IDNumber,2373)="","",INDEX(I.Facility.P1IDNumber,2373))</f>
        <v/>
      </c>
      <c r="G2385" s="51"/>
      <c r="H2385" s="46" t="str">
        <f>IF(AND(I.Developer.P1=TRUE,I.Facility.P1FacilityCount&gt;=2373,F2385=""),"Incomplete","Complete")</f>
        <v>Complete</v>
      </c>
      <c r="I2385" s="48" t="s">
        <v>6750</v>
      </c>
    </row>
    <row r="2386" spans="2:9" ht="15" customHeight="1" x14ac:dyDescent="0.25">
      <c r="B2386" s="55" t="s">
        <v>279</v>
      </c>
      <c r="C2386" s="46">
        <v>2374</v>
      </c>
      <c r="D2386" s="69" t="s">
        <v>29416</v>
      </c>
      <c r="E2386" s="51"/>
      <c r="F2386" s="114" t="str">
        <f>IF(INDEX(I.Facility.P1IDNumber,2374)="","",INDEX(I.Facility.P1IDNumber,2374))</f>
        <v/>
      </c>
      <c r="G2386" s="51"/>
      <c r="H2386" s="46" t="str">
        <f>IF(AND(I.Developer.P1=TRUE,I.Facility.P1FacilityCount&gt;=2374,F2386=""),"Incomplete","Complete")</f>
        <v>Complete</v>
      </c>
      <c r="I2386" s="48" t="s">
        <v>6751</v>
      </c>
    </row>
    <row r="2387" spans="2:9" ht="15" customHeight="1" x14ac:dyDescent="0.25">
      <c r="B2387" s="55" t="s">
        <v>279</v>
      </c>
      <c r="C2387" s="46">
        <v>2375</v>
      </c>
      <c r="D2387" s="69" t="s">
        <v>29416</v>
      </c>
      <c r="E2387" s="51"/>
      <c r="F2387" s="114" t="str">
        <f>IF(INDEX(I.Facility.P1IDNumber,2375)="","",INDEX(I.Facility.P1IDNumber,2375))</f>
        <v/>
      </c>
      <c r="G2387" s="51"/>
      <c r="H2387" s="46" t="str">
        <f>IF(AND(I.Developer.P1=TRUE,I.Facility.P1FacilityCount&gt;=2375,F2387=""),"Incomplete","Complete")</f>
        <v>Complete</v>
      </c>
      <c r="I2387" s="48" t="s">
        <v>6752</v>
      </c>
    </row>
    <row r="2388" spans="2:9" ht="15" customHeight="1" x14ac:dyDescent="0.25">
      <c r="B2388" s="55" t="s">
        <v>279</v>
      </c>
      <c r="C2388" s="46">
        <v>2376</v>
      </c>
      <c r="D2388" s="69" t="s">
        <v>29416</v>
      </c>
      <c r="E2388" s="51"/>
      <c r="F2388" s="114" t="str">
        <f>IF(INDEX(I.Facility.P1IDNumber,2376)="","",INDEX(I.Facility.P1IDNumber,2376))</f>
        <v/>
      </c>
      <c r="G2388" s="51"/>
      <c r="H2388" s="46" t="str">
        <f>IF(AND(I.Developer.P1=TRUE,I.Facility.P1FacilityCount&gt;=2376,F2388=""),"Incomplete","Complete")</f>
        <v>Complete</v>
      </c>
      <c r="I2388" s="48" t="s">
        <v>6753</v>
      </c>
    </row>
    <row r="2389" spans="2:9" ht="15" customHeight="1" x14ac:dyDescent="0.25">
      <c r="B2389" s="55" t="s">
        <v>279</v>
      </c>
      <c r="C2389" s="46">
        <v>2377</v>
      </c>
      <c r="D2389" s="69" t="s">
        <v>29416</v>
      </c>
      <c r="E2389" s="51"/>
      <c r="F2389" s="114" t="str">
        <f>IF(INDEX(I.Facility.P1IDNumber,2377)="","",INDEX(I.Facility.P1IDNumber,2377))</f>
        <v/>
      </c>
      <c r="G2389" s="51"/>
      <c r="H2389" s="46" t="str">
        <f>IF(AND(I.Developer.P1=TRUE,I.Facility.P1FacilityCount&gt;=2377,F2389=""),"Incomplete","Complete")</f>
        <v>Complete</v>
      </c>
      <c r="I2389" s="48" t="s">
        <v>6754</v>
      </c>
    </row>
    <row r="2390" spans="2:9" ht="15" customHeight="1" x14ac:dyDescent="0.25">
      <c r="B2390" s="55" t="s">
        <v>279</v>
      </c>
      <c r="C2390" s="46">
        <v>2378</v>
      </c>
      <c r="D2390" s="69" t="s">
        <v>29416</v>
      </c>
      <c r="E2390" s="51"/>
      <c r="F2390" s="114" t="str">
        <f>IF(INDEX(I.Facility.P1IDNumber,2378)="","",INDEX(I.Facility.P1IDNumber,2378))</f>
        <v/>
      </c>
      <c r="G2390" s="51"/>
      <c r="H2390" s="46" t="str">
        <f>IF(AND(I.Developer.P1=TRUE,I.Facility.P1FacilityCount&gt;=2378,F2390=""),"Incomplete","Complete")</f>
        <v>Complete</v>
      </c>
      <c r="I2390" s="48" t="s">
        <v>6755</v>
      </c>
    </row>
    <row r="2391" spans="2:9" ht="15" customHeight="1" x14ac:dyDescent="0.25">
      <c r="B2391" s="55" t="s">
        <v>279</v>
      </c>
      <c r="C2391" s="46">
        <v>2379</v>
      </c>
      <c r="D2391" s="69" t="s">
        <v>29416</v>
      </c>
      <c r="E2391" s="51"/>
      <c r="F2391" s="114" t="str">
        <f>IF(INDEX(I.Facility.P1IDNumber,2379)="","",INDEX(I.Facility.P1IDNumber,2379))</f>
        <v/>
      </c>
      <c r="G2391" s="51"/>
      <c r="H2391" s="46" t="str">
        <f>IF(AND(I.Developer.P1=TRUE,I.Facility.P1FacilityCount&gt;=2379,F2391=""),"Incomplete","Complete")</f>
        <v>Complete</v>
      </c>
      <c r="I2391" s="48" t="s">
        <v>6756</v>
      </c>
    </row>
    <row r="2392" spans="2:9" ht="15" customHeight="1" x14ac:dyDescent="0.25">
      <c r="B2392" s="55" t="s">
        <v>279</v>
      </c>
      <c r="C2392" s="46">
        <v>2380</v>
      </c>
      <c r="D2392" s="69" t="s">
        <v>29416</v>
      </c>
      <c r="E2392" s="51"/>
      <c r="F2392" s="114" t="str">
        <f>IF(INDEX(I.Facility.P1IDNumber,2380)="","",INDEX(I.Facility.P1IDNumber,2380))</f>
        <v/>
      </c>
      <c r="G2392" s="51"/>
      <c r="H2392" s="46" t="str">
        <f>IF(AND(I.Developer.P1=TRUE,I.Facility.P1FacilityCount&gt;=2380,F2392=""),"Incomplete","Complete")</f>
        <v>Complete</v>
      </c>
      <c r="I2392" s="48" t="s">
        <v>6757</v>
      </c>
    </row>
    <row r="2393" spans="2:9" ht="15" customHeight="1" x14ac:dyDescent="0.25">
      <c r="B2393" s="55" t="s">
        <v>279</v>
      </c>
      <c r="C2393" s="46">
        <v>2381</v>
      </c>
      <c r="D2393" s="69" t="s">
        <v>29416</v>
      </c>
      <c r="E2393" s="51"/>
      <c r="F2393" s="114" t="str">
        <f>IF(INDEX(I.Facility.P1IDNumber,2381)="","",INDEX(I.Facility.P1IDNumber,2381))</f>
        <v/>
      </c>
      <c r="G2393" s="51"/>
      <c r="H2393" s="46" t="str">
        <f>IF(AND(I.Developer.P1=TRUE,I.Facility.P1FacilityCount&gt;=2381,F2393=""),"Incomplete","Complete")</f>
        <v>Complete</v>
      </c>
      <c r="I2393" s="48" t="s">
        <v>6758</v>
      </c>
    </row>
    <row r="2394" spans="2:9" ht="15" customHeight="1" x14ac:dyDescent="0.25">
      <c r="B2394" s="55" t="s">
        <v>279</v>
      </c>
      <c r="C2394" s="46">
        <v>2382</v>
      </c>
      <c r="D2394" s="69" t="s">
        <v>29416</v>
      </c>
      <c r="E2394" s="51"/>
      <c r="F2394" s="114" t="str">
        <f>IF(INDEX(I.Facility.P1IDNumber,2382)="","",INDEX(I.Facility.P1IDNumber,2382))</f>
        <v/>
      </c>
      <c r="G2394" s="51"/>
      <c r="H2394" s="46" t="str">
        <f>IF(AND(I.Developer.P1=TRUE,I.Facility.P1FacilityCount&gt;=2382,F2394=""),"Incomplete","Complete")</f>
        <v>Complete</v>
      </c>
      <c r="I2394" s="48" t="s">
        <v>6759</v>
      </c>
    </row>
    <row r="2395" spans="2:9" ht="15" customHeight="1" x14ac:dyDescent="0.25">
      <c r="B2395" s="55" t="s">
        <v>279</v>
      </c>
      <c r="C2395" s="46">
        <v>2383</v>
      </c>
      <c r="D2395" s="69" t="s">
        <v>29416</v>
      </c>
      <c r="E2395" s="51"/>
      <c r="F2395" s="114" t="str">
        <f>IF(INDEX(I.Facility.P1IDNumber,2383)="","",INDEX(I.Facility.P1IDNumber,2383))</f>
        <v/>
      </c>
      <c r="G2395" s="51"/>
      <c r="H2395" s="46" t="str">
        <f>IF(AND(I.Developer.P1=TRUE,I.Facility.P1FacilityCount&gt;=2383,F2395=""),"Incomplete","Complete")</f>
        <v>Complete</v>
      </c>
      <c r="I2395" s="48" t="s">
        <v>6760</v>
      </c>
    </row>
    <row r="2396" spans="2:9" ht="15" customHeight="1" x14ac:dyDescent="0.25">
      <c r="B2396" s="55" t="s">
        <v>279</v>
      </c>
      <c r="C2396" s="46">
        <v>2384</v>
      </c>
      <c r="D2396" s="69" t="s">
        <v>29416</v>
      </c>
      <c r="E2396" s="51"/>
      <c r="F2396" s="114" t="str">
        <f>IF(INDEX(I.Facility.P1IDNumber,2384)="","",INDEX(I.Facility.P1IDNumber,2384))</f>
        <v/>
      </c>
      <c r="G2396" s="51"/>
      <c r="H2396" s="46" t="str">
        <f>IF(AND(I.Developer.P1=TRUE,I.Facility.P1FacilityCount&gt;=2384,F2396=""),"Incomplete","Complete")</f>
        <v>Complete</v>
      </c>
      <c r="I2396" s="48" t="s">
        <v>6761</v>
      </c>
    </row>
    <row r="2397" spans="2:9" ht="15" customHeight="1" x14ac:dyDescent="0.25">
      <c r="B2397" s="55" t="s">
        <v>279</v>
      </c>
      <c r="C2397" s="46">
        <v>2385</v>
      </c>
      <c r="D2397" s="69" t="s">
        <v>29416</v>
      </c>
      <c r="E2397" s="51"/>
      <c r="F2397" s="114" t="str">
        <f>IF(INDEX(I.Facility.P1IDNumber,2385)="","",INDEX(I.Facility.P1IDNumber,2385))</f>
        <v/>
      </c>
      <c r="G2397" s="51"/>
      <c r="H2397" s="46" t="str">
        <f>IF(AND(I.Developer.P1=TRUE,I.Facility.P1FacilityCount&gt;=2385,F2397=""),"Incomplete","Complete")</f>
        <v>Complete</v>
      </c>
      <c r="I2397" s="48" t="s">
        <v>6762</v>
      </c>
    </row>
    <row r="2398" spans="2:9" ht="15" customHeight="1" x14ac:dyDescent="0.25">
      <c r="B2398" s="55" t="s">
        <v>279</v>
      </c>
      <c r="C2398" s="46">
        <v>2386</v>
      </c>
      <c r="D2398" s="69" t="s">
        <v>29416</v>
      </c>
      <c r="E2398" s="51"/>
      <c r="F2398" s="114" t="str">
        <f>IF(INDEX(I.Facility.P1IDNumber,2386)="","",INDEX(I.Facility.P1IDNumber,2386))</f>
        <v/>
      </c>
      <c r="G2398" s="51"/>
      <c r="H2398" s="46" t="str">
        <f>IF(AND(I.Developer.P1=TRUE,I.Facility.P1FacilityCount&gt;=2386,F2398=""),"Incomplete","Complete")</f>
        <v>Complete</v>
      </c>
      <c r="I2398" s="48" t="s">
        <v>6763</v>
      </c>
    </row>
    <row r="2399" spans="2:9" ht="15" customHeight="1" x14ac:dyDescent="0.25">
      <c r="B2399" s="55" t="s">
        <v>279</v>
      </c>
      <c r="C2399" s="46">
        <v>2387</v>
      </c>
      <c r="D2399" s="69" t="s">
        <v>29416</v>
      </c>
      <c r="E2399" s="51"/>
      <c r="F2399" s="114" t="str">
        <f>IF(INDEX(I.Facility.P1IDNumber,2387)="","",INDEX(I.Facility.P1IDNumber,2387))</f>
        <v/>
      </c>
      <c r="G2399" s="51"/>
      <c r="H2399" s="46" t="str">
        <f>IF(AND(I.Developer.P1=TRUE,I.Facility.P1FacilityCount&gt;=2387,F2399=""),"Incomplete","Complete")</f>
        <v>Complete</v>
      </c>
      <c r="I2399" s="48" t="s">
        <v>6764</v>
      </c>
    </row>
    <row r="2400" spans="2:9" ht="15" customHeight="1" x14ac:dyDescent="0.25">
      <c r="B2400" s="55" t="s">
        <v>279</v>
      </c>
      <c r="C2400" s="46">
        <v>2388</v>
      </c>
      <c r="D2400" s="69" t="s">
        <v>29416</v>
      </c>
      <c r="E2400" s="51"/>
      <c r="F2400" s="114" t="str">
        <f>IF(INDEX(I.Facility.P1IDNumber,2388)="","",INDEX(I.Facility.P1IDNumber,2388))</f>
        <v/>
      </c>
      <c r="G2400" s="51"/>
      <c r="H2400" s="46" t="str">
        <f>IF(AND(I.Developer.P1=TRUE,I.Facility.P1FacilityCount&gt;=2388,F2400=""),"Incomplete","Complete")</f>
        <v>Complete</v>
      </c>
      <c r="I2400" s="48" t="s">
        <v>6765</v>
      </c>
    </row>
    <row r="2401" spans="2:9" ht="15" customHeight="1" x14ac:dyDescent="0.25">
      <c r="B2401" s="55" t="s">
        <v>279</v>
      </c>
      <c r="C2401" s="46">
        <v>2389</v>
      </c>
      <c r="D2401" s="69" t="s">
        <v>29416</v>
      </c>
      <c r="E2401" s="51"/>
      <c r="F2401" s="114" t="str">
        <f>IF(INDEX(I.Facility.P1IDNumber,2389)="","",INDEX(I.Facility.P1IDNumber,2389))</f>
        <v/>
      </c>
      <c r="G2401" s="51"/>
      <c r="H2401" s="46" t="str">
        <f>IF(AND(I.Developer.P1=TRUE,I.Facility.P1FacilityCount&gt;=2389,F2401=""),"Incomplete","Complete")</f>
        <v>Complete</v>
      </c>
      <c r="I2401" s="48" t="s">
        <v>6766</v>
      </c>
    </row>
    <row r="2402" spans="2:9" ht="15" customHeight="1" x14ac:dyDescent="0.25">
      <c r="B2402" s="55" t="s">
        <v>279</v>
      </c>
      <c r="C2402" s="46">
        <v>2390</v>
      </c>
      <c r="D2402" s="69" t="s">
        <v>29416</v>
      </c>
      <c r="E2402" s="51"/>
      <c r="F2402" s="114" t="str">
        <f>IF(INDEX(I.Facility.P1IDNumber,2390)="","",INDEX(I.Facility.P1IDNumber,2390))</f>
        <v/>
      </c>
      <c r="G2402" s="51"/>
      <c r="H2402" s="46" t="str">
        <f>IF(AND(I.Developer.P1=TRUE,I.Facility.P1FacilityCount&gt;=2390,F2402=""),"Incomplete","Complete")</f>
        <v>Complete</v>
      </c>
      <c r="I2402" s="48" t="s">
        <v>6767</v>
      </c>
    </row>
    <row r="2403" spans="2:9" ht="15" customHeight="1" x14ac:dyDescent="0.25">
      <c r="B2403" s="55" t="s">
        <v>279</v>
      </c>
      <c r="C2403" s="46">
        <v>2391</v>
      </c>
      <c r="D2403" s="69" t="s">
        <v>29416</v>
      </c>
      <c r="E2403" s="51"/>
      <c r="F2403" s="114" t="str">
        <f>IF(INDEX(I.Facility.P1IDNumber,2391)="","",INDEX(I.Facility.P1IDNumber,2391))</f>
        <v/>
      </c>
      <c r="G2403" s="51"/>
      <c r="H2403" s="46" t="str">
        <f>IF(AND(I.Developer.P1=TRUE,I.Facility.P1FacilityCount&gt;=2391,F2403=""),"Incomplete","Complete")</f>
        <v>Complete</v>
      </c>
      <c r="I2403" s="48" t="s">
        <v>6768</v>
      </c>
    </row>
    <row r="2404" spans="2:9" ht="15" customHeight="1" x14ac:dyDescent="0.25">
      <c r="B2404" s="55" t="s">
        <v>279</v>
      </c>
      <c r="C2404" s="46">
        <v>2392</v>
      </c>
      <c r="D2404" s="69" t="s">
        <v>29416</v>
      </c>
      <c r="E2404" s="51"/>
      <c r="F2404" s="114" t="str">
        <f>IF(INDEX(I.Facility.P1IDNumber,2392)="","",INDEX(I.Facility.P1IDNumber,2392))</f>
        <v/>
      </c>
      <c r="G2404" s="51"/>
      <c r="H2404" s="46" t="str">
        <f>IF(AND(I.Developer.P1=TRUE,I.Facility.P1FacilityCount&gt;=2392,F2404=""),"Incomplete","Complete")</f>
        <v>Complete</v>
      </c>
      <c r="I2404" s="48" t="s">
        <v>6769</v>
      </c>
    </row>
    <row r="2405" spans="2:9" ht="15" customHeight="1" x14ac:dyDescent="0.25">
      <c r="B2405" s="55" t="s">
        <v>279</v>
      </c>
      <c r="C2405" s="46">
        <v>2393</v>
      </c>
      <c r="D2405" s="69" t="s">
        <v>29416</v>
      </c>
      <c r="E2405" s="51"/>
      <c r="F2405" s="114" t="str">
        <f>IF(INDEX(I.Facility.P1IDNumber,2393)="","",INDEX(I.Facility.P1IDNumber,2393))</f>
        <v/>
      </c>
      <c r="G2405" s="51"/>
      <c r="H2405" s="46" t="str">
        <f>IF(AND(I.Developer.P1=TRUE,I.Facility.P1FacilityCount&gt;=2393,F2405=""),"Incomplete","Complete")</f>
        <v>Complete</v>
      </c>
      <c r="I2405" s="48" t="s">
        <v>6770</v>
      </c>
    </row>
    <row r="2406" spans="2:9" ht="15" customHeight="1" x14ac:dyDescent="0.25">
      <c r="B2406" s="55" t="s">
        <v>279</v>
      </c>
      <c r="C2406" s="46">
        <v>2394</v>
      </c>
      <c r="D2406" s="69" t="s">
        <v>29416</v>
      </c>
      <c r="E2406" s="51"/>
      <c r="F2406" s="114" t="str">
        <f>IF(INDEX(I.Facility.P1IDNumber,2394)="","",INDEX(I.Facility.P1IDNumber,2394))</f>
        <v/>
      </c>
      <c r="G2406" s="51"/>
      <c r="H2406" s="46" t="str">
        <f>IF(AND(I.Developer.P1=TRUE,I.Facility.P1FacilityCount&gt;=2394,F2406=""),"Incomplete","Complete")</f>
        <v>Complete</v>
      </c>
      <c r="I2406" s="48" t="s">
        <v>6771</v>
      </c>
    </row>
    <row r="2407" spans="2:9" ht="15" customHeight="1" x14ac:dyDescent="0.25">
      <c r="B2407" s="55" t="s">
        <v>279</v>
      </c>
      <c r="C2407" s="46">
        <v>2395</v>
      </c>
      <c r="D2407" s="69" t="s">
        <v>29416</v>
      </c>
      <c r="E2407" s="51"/>
      <c r="F2407" s="114" t="str">
        <f>IF(INDEX(I.Facility.P1IDNumber,2395)="","",INDEX(I.Facility.P1IDNumber,2395))</f>
        <v/>
      </c>
      <c r="G2407" s="51"/>
      <c r="H2407" s="46" t="str">
        <f>IF(AND(I.Developer.P1=TRUE,I.Facility.P1FacilityCount&gt;=2395,F2407=""),"Incomplete","Complete")</f>
        <v>Complete</v>
      </c>
      <c r="I2407" s="48" t="s">
        <v>6772</v>
      </c>
    </row>
    <row r="2408" spans="2:9" ht="15" customHeight="1" x14ac:dyDescent="0.25">
      <c r="B2408" s="55" t="s">
        <v>279</v>
      </c>
      <c r="C2408" s="46">
        <v>2396</v>
      </c>
      <c r="D2408" s="69" t="s">
        <v>29416</v>
      </c>
      <c r="E2408" s="51"/>
      <c r="F2408" s="114" t="str">
        <f>IF(INDEX(I.Facility.P1IDNumber,2396)="","",INDEX(I.Facility.P1IDNumber,2396))</f>
        <v/>
      </c>
      <c r="G2408" s="51"/>
      <c r="H2408" s="46" t="str">
        <f>IF(AND(I.Developer.P1=TRUE,I.Facility.P1FacilityCount&gt;=2396,F2408=""),"Incomplete","Complete")</f>
        <v>Complete</v>
      </c>
      <c r="I2408" s="48" t="s">
        <v>6773</v>
      </c>
    </row>
    <row r="2409" spans="2:9" ht="15" customHeight="1" x14ac:dyDescent="0.25">
      <c r="B2409" s="55" t="s">
        <v>279</v>
      </c>
      <c r="C2409" s="46">
        <v>2397</v>
      </c>
      <c r="D2409" s="69" t="s">
        <v>29416</v>
      </c>
      <c r="E2409" s="51"/>
      <c r="F2409" s="114" t="str">
        <f>IF(INDEX(I.Facility.P1IDNumber,2397)="","",INDEX(I.Facility.P1IDNumber,2397))</f>
        <v/>
      </c>
      <c r="G2409" s="51"/>
      <c r="H2409" s="46" t="str">
        <f>IF(AND(I.Developer.P1=TRUE,I.Facility.P1FacilityCount&gt;=2397,F2409=""),"Incomplete","Complete")</f>
        <v>Complete</v>
      </c>
      <c r="I2409" s="48" t="s">
        <v>6774</v>
      </c>
    </row>
    <row r="2410" spans="2:9" ht="15" customHeight="1" x14ac:dyDescent="0.25">
      <c r="B2410" s="55" t="s">
        <v>279</v>
      </c>
      <c r="C2410" s="46">
        <v>2398</v>
      </c>
      <c r="D2410" s="69" t="s">
        <v>29416</v>
      </c>
      <c r="E2410" s="51"/>
      <c r="F2410" s="114" t="str">
        <f>IF(INDEX(I.Facility.P1IDNumber,2398)="","",INDEX(I.Facility.P1IDNumber,2398))</f>
        <v/>
      </c>
      <c r="G2410" s="51"/>
      <c r="H2410" s="46" t="str">
        <f>IF(AND(I.Developer.P1=TRUE,I.Facility.P1FacilityCount&gt;=2398,F2410=""),"Incomplete","Complete")</f>
        <v>Complete</v>
      </c>
      <c r="I2410" s="48" t="s">
        <v>6775</v>
      </c>
    </row>
    <row r="2411" spans="2:9" ht="15" customHeight="1" x14ac:dyDescent="0.25">
      <c r="B2411" s="55" t="s">
        <v>279</v>
      </c>
      <c r="C2411" s="46">
        <v>2399</v>
      </c>
      <c r="D2411" s="69" t="s">
        <v>29416</v>
      </c>
      <c r="E2411" s="51"/>
      <c r="F2411" s="114" t="str">
        <f>IF(INDEX(I.Facility.P1IDNumber,2399)="","",INDEX(I.Facility.P1IDNumber,2399))</f>
        <v/>
      </c>
      <c r="G2411" s="51"/>
      <c r="H2411" s="46" t="str">
        <f>IF(AND(I.Developer.P1=TRUE,I.Facility.P1FacilityCount&gt;=2399,F2411=""),"Incomplete","Complete")</f>
        <v>Complete</v>
      </c>
      <c r="I2411" s="48" t="s">
        <v>6776</v>
      </c>
    </row>
    <row r="2412" spans="2:9" ht="15" customHeight="1" x14ac:dyDescent="0.25">
      <c r="B2412" s="55" t="s">
        <v>279</v>
      </c>
      <c r="C2412" s="46">
        <v>2400</v>
      </c>
      <c r="D2412" s="69" t="s">
        <v>29416</v>
      </c>
      <c r="E2412" s="51"/>
      <c r="F2412" s="114" t="str">
        <f>IF(INDEX(I.Facility.P1IDNumber,2400)="","",INDEX(I.Facility.P1IDNumber,2400))</f>
        <v/>
      </c>
      <c r="G2412" s="51"/>
      <c r="H2412" s="46" t="str">
        <f>IF(AND(I.Developer.P1=TRUE,I.Facility.P1FacilityCount&gt;=2400,F2412=""),"Incomplete","Complete")</f>
        <v>Complete</v>
      </c>
      <c r="I2412" s="48" t="s">
        <v>6777</v>
      </c>
    </row>
    <row r="2413" spans="2:9" ht="15" customHeight="1" x14ac:dyDescent="0.25">
      <c r="B2413" s="55" t="s">
        <v>279</v>
      </c>
      <c r="C2413" s="46">
        <v>2401</v>
      </c>
      <c r="D2413" s="69" t="s">
        <v>29416</v>
      </c>
      <c r="E2413" s="51"/>
      <c r="F2413" s="114" t="str">
        <f>IF(INDEX(I.Facility.P1IDNumber,2401)="","",INDEX(I.Facility.P1IDNumber,2401))</f>
        <v/>
      </c>
      <c r="G2413" s="51"/>
      <c r="H2413" s="46" t="str">
        <f>IF(AND(I.Developer.P1=TRUE,I.Facility.P1FacilityCount&gt;=2401,F2413=""),"Incomplete","Complete")</f>
        <v>Complete</v>
      </c>
      <c r="I2413" s="48" t="s">
        <v>6778</v>
      </c>
    </row>
    <row r="2414" spans="2:9" ht="15" customHeight="1" x14ac:dyDescent="0.25">
      <c r="B2414" s="55" t="s">
        <v>279</v>
      </c>
      <c r="C2414" s="46">
        <v>2402</v>
      </c>
      <c r="D2414" s="69" t="s">
        <v>29416</v>
      </c>
      <c r="E2414" s="51"/>
      <c r="F2414" s="114" t="str">
        <f>IF(INDEX(I.Facility.P1IDNumber,2402)="","",INDEX(I.Facility.P1IDNumber,2402))</f>
        <v/>
      </c>
      <c r="G2414" s="51"/>
      <c r="H2414" s="46" t="str">
        <f>IF(AND(I.Developer.P1=TRUE,I.Facility.P1FacilityCount&gt;=2402,F2414=""),"Incomplete","Complete")</f>
        <v>Complete</v>
      </c>
      <c r="I2414" s="48" t="s">
        <v>6779</v>
      </c>
    </row>
    <row r="2415" spans="2:9" ht="15" customHeight="1" x14ac:dyDescent="0.25">
      <c r="B2415" s="55" t="s">
        <v>279</v>
      </c>
      <c r="C2415" s="46">
        <v>2403</v>
      </c>
      <c r="D2415" s="69" t="s">
        <v>29416</v>
      </c>
      <c r="E2415" s="51"/>
      <c r="F2415" s="114" t="str">
        <f>IF(INDEX(I.Facility.P1IDNumber,2403)="","",INDEX(I.Facility.P1IDNumber,2403))</f>
        <v/>
      </c>
      <c r="G2415" s="51"/>
      <c r="H2415" s="46" t="str">
        <f>IF(AND(I.Developer.P1=TRUE,I.Facility.P1FacilityCount&gt;=2403,F2415=""),"Incomplete","Complete")</f>
        <v>Complete</v>
      </c>
      <c r="I2415" s="48" t="s">
        <v>6780</v>
      </c>
    </row>
    <row r="2416" spans="2:9" ht="15" customHeight="1" x14ac:dyDescent="0.25">
      <c r="B2416" s="55" t="s">
        <v>279</v>
      </c>
      <c r="C2416" s="46">
        <v>2404</v>
      </c>
      <c r="D2416" s="69" t="s">
        <v>29416</v>
      </c>
      <c r="E2416" s="51"/>
      <c r="F2416" s="114" t="str">
        <f>IF(INDEX(I.Facility.P1IDNumber,2404)="","",INDEX(I.Facility.P1IDNumber,2404))</f>
        <v/>
      </c>
      <c r="G2416" s="51"/>
      <c r="H2416" s="46" t="str">
        <f>IF(AND(I.Developer.P1=TRUE,I.Facility.P1FacilityCount&gt;=2404,F2416=""),"Incomplete","Complete")</f>
        <v>Complete</v>
      </c>
      <c r="I2416" s="48" t="s">
        <v>6781</v>
      </c>
    </row>
    <row r="2417" spans="2:9" ht="15" customHeight="1" x14ac:dyDescent="0.25">
      <c r="B2417" s="55" t="s">
        <v>279</v>
      </c>
      <c r="C2417" s="46">
        <v>2405</v>
      </c>
      <c r="D2417" s="69" t="s">
        <v>29416</v>
      </c>
      <c r="E2417" s="51"/>
      <c r="F2417" s="114" t="str">
        <f>IF(INDEX(I.Facility.P1IDNumber,2405)="","",INDEX(I.Facility.P1IDNumber,2405))</f>
        <v/>
      </c>
      <c r="G2417" s="51"/>
      <c r="H2417" s="46" t="str">
        <f>IF(AND(I.Developer.P1=TRUE,I.Facility.P1FacilityCount&gt;=2405,F2417=""),"Incomplete","Complete")</f>
        <v>Complete</v>
      </c>
      <c r="I2417" s="48" t="s">
        <v>6782</v>
      </c>
    </row>
    <row r="2418" spans="2:9" ht="15" customHeight="1" x14ac:dyDescent="0.25">
      <c r="B2418" s="55" t="s">
        <v>279</v>
      </c>
      <c r="C2418" s="46">
        <v>2406</v>
      </c>
      <c r="D2418" s="69" t="s">
        <v>29416</v>
      </c>
      <c r="E2418" s="51"/>
      <c r="F2418" s="114" t="str">
        <f>IF(INDEX(I.Facility.P1IDNumber,2406)="","",INDEX(I.Facility.P1IDNumber,2406))</f>
        <v/>
      </c>
      <c r="G2418" s="51"/>
      <c r="H2418" s="46" t="str">
        <f>IF(AND(I.Developer.P1=TRUE,I.Facility.P1FacilityCount&gt;=2406,F2418=""),"Incomplete","Complete")</f>
        <v>Complete</v>
      </c>
      <c r="I2418" s="48" t="s">
        <v>6783</v>
      </c>
    </row>
    <row r="2419" spans="2:9" ht="15" customHeight="1" x14ac:dyDescent="0.25">
      <c r="B2419" s="55" t="s">
        <v>279</v>
      </c>
      <c r="C2419" s="46">
        <v>2407</v>
      </c>
      <c r="D2419" s="69" t="s">
        <v>29416</v>
      </c>
      <c r="E2419" s="51"/>
      <c r="F2419" s="114" t="str">
        <f>IF(INDEX(I.Facility.P1IDNumber,2407)="","",INDEX(I.Facility.P1IDNumber,2407))</f>
        <v/>
      </c>
      <c r="G2419" s="51"/>
      <c r="H2419" s="46" t="str">
        <f>IF(AND(I.Developer.P1=TRUE,I.Facility.P1FacilityCount&gt;=2407,F2419=""),"Incomplete","Complete")</f>
        <v>Complete</v>
      </c>
      <c r="I2419" s="48" t="s">
        <v>6784</v>
      </c>
    </row>
    <row r="2420" spans="2:9" ht="15" customHeight="1" x14ac:dyDescent="0.25">
      <c r="B2420" s="55" t="s">
        <v>279</v>
      </c>
      <c r="C2420" s="46">
        <v>2408</v>
      </c>
      <c r="D2420" s="69" t="s">
        <v>29416</v>
      </c>
      <c r="E2420" s="51"/>
      <c r="F2420" s="114" t="str">
        <f>IF(INDEX(I.Facility.P1IDNumber,2408)="","",INDEX(I.Facility.P1IDNumber,2408))</f>
        <v/>
      </c>
      <c r="G2420" s="51"/>
      <c r="H2420" s="46" t="str">
        <f>IF(AND(I.Developer.P1=TRUE,I.Facility.P1FacilityCount&gt;=2408,F2420=""),"Incomplete","Complete")</f>
        <v>Complete</v>
      </c>
      <c r="I2420" s="48" t="s">
        <v>6785</v>
      </c>
    </row>
    <row r="2421" spans="2:9" ht="15" customHeight="1" x14ac:dyDescent="0.25">
      <c r="B2421" s="55" t="s">
        <v>279</v>
      </c>
      <c r="C2421" s="46">
        <v>2409</v>
      </c>
      <c r="D2421" s="69" t="s">
        <v>29416</v>
      </c>
      <c r="E2421" s="51"/>
      <c r="F2421" s="114" t="str">
        <f>IF(INDEX(I.Facility.P1IDNumber,2409)="","",INDEX(I.Facility.P1IDNumber,2409))</f>
        <v/>
      </c>
      <c r="G2421" s="51"/>
      <c r="H2421" s="46" t="str">
        <f>IF(AND(I.Developer.P1=TRUE,I.Facility.P1FacilityCount&gt;=2409,F2421=""),"Incomplete","Complete")</f>
        <v>Complete</v>
      </c>
      <c r="I2421" s="48" t="s">
        <v>6786</v>
      </c>
    </row>
    <row r="2422" spans="2:9" ht="15" customHeight="1" x14ac:dyDescent="0.25">
      <c r="B2422" s="55" t="s">
        <v>279</v>
      </c>
      <c r="C2422" s="46">
        <v>2410</v>
      </c>
      <c r="D2422" s="69" t="s">
        <v>29416</v>
      </c>
      <c r="E2422" s="51"/>
      <c r="F2422" s="114" t="str">
        <f>IF(INDEX(I.Facility.P1IDNumber,2410)="","",INDEX(I.Facility.P1IDNumber,2410))</f>
        <v/>
      </c>
      <c r="G2422" s="51"/>
      <c r="H2422" s="46" t="str">
        <f>IF(AND(I.Developer.P1=TRUE,I.Facility.P1FacilityCount&gt;=2410,F2422=""),"Incomplete","Complete")</f>
        <v>Complete</v>
      </c>
      <c r="I2422" s="48" t="s">
        <v>6787</v>
      </c>
    </row>
    <row r="2423" spans="2:9" ht="15" customHeight="1" x14ac:dyDescent="0.25">
      <c r="B2423" s="55" t="s">
        <v>279</v>
      </c>
      <c r="C2423" s="46">
        <v>2411</v>
      </c>
      <c r="D2423" s="69" t="s">
        <v>29416</v>
      </c>
      <c r="E2423" s="51"/>
      <c r="F2423" s="114" t="str">
        <f>IF(INDEX(I.Facility.P1IDNumber,2411)="","",INDEX(I.Facility.P1IDNumber,2411))</f>
        <v/>
      </c>
      <c r="G2423" s="51"/>
      <c r="H2423" s="46" t="str">
        <f>IF(AND(I.Developer.P1=TRUE,I.Facility.P1FacilityCount&gt;=2411,F2423=""),"Incomplete","Complete")</f>
        <v>Complete</v>
      </c>
      <c r="I2423" s="48" t="s">
        <v>6788</v>
      </c>
    </row>
    <row r="2424" spans="2:9" ht="15" customHeight="1" x14ac:dyDescent="0.25">
      <c r="B2424" s="55" t="s">
        <v>279</v>
      </c>
      <c r="C2424" s="46">
        <v>2412</v>
      </c>
      <c r="D2424" s="69" t="s">
        <v>29416</v>
      </c>
      <c r="E2424" s="51"/>
      <c r="F2424" s="114" t="str">
        <f>IF(INDEX(I.Facility.P1IDNumber,2412)="","",INDEX(I.Facility.P1IDNumber,2412))</f>
        <v/>
      </c>
      <c r="G2424" s="51"/>
      <c r="H2424" s="46" t="str">
        <f>IF(AND(I.Developer.P1=TRUE,I.Facility.P1FacilityCount&gt;=2412,F2424=""),"Incomplete","Complete")</f>
        <v>Complete</v>
      </c>
      <c r="I2424" s="48" t="s">
        <v>6789</v>
      </c>
    </row>
    <row r="2425" spans="2:9" ht="15" customHeight="1" x14ac:dyDescent="0.25">
      <c r="B2425" s="55" t="s">
        <v>279</v>
      </c>
      <c r="C2425" s="46">
        <v>2413</v>
      </c>
      <c r="D2425" s="69" t="s">
        <v>29416</v>
      </c>
      <c r="E2425" s="51"/>
      <c r="F2425" s="114" t="str">
        <f>IF(INDEX(I.Facility.P1IDNumber,2413)="","",INDEX(I.Facility.P1IDNumber,2413))</f>
        <v/>
      </c>
      <c r="G2425" s="51"/>
      <c r="H2425" s="46" t="str">
        <f>IF(AND(I.Developer.P1=TRUE,I.Facility.P1FacilityCount&gt;=2413,F2425=""),"Incomplete","Complete")</f>
        <v>Complete</v>
      </c>
      <c r="I2425" s="48" t="s">
        <v>6790</v>
      </c>
    </row>
    <row r="2426" spans="2:9" ht="15" customHeight="1" x14ac:dyDescent="0.25">
      <c r="B2426" s="55" t="s">
        <v>279</v>
      </c>
      <c r="C2426" s="46">
        <v>2414</v>
      </c>
      <c r="D2426" s="69" t="s">
        <v>29416</v>
      </c>
      <c r="E2426" s="51"/>
      <c r="F2426" s="114" t="str">
        <f>IF(INDEX(I.Facility.P1IDNumber,2414)="","",INDEX(I.Facility.P1IDNumber,2414))</f>
        <v/>
      </c>
      <c r="G2426" s="51"/>
      <c r="H2426" s="46" t="str">
        <f>IF(AND(I.Developer.P1=TRUE,I.Facility.P1FacilityCount&gt;=2414,F2426=""),"Incomplete","Complete")</f>
        <v>Complete</v>
      </c>
      <c r="I2426" s="48" t="s">
        <v>6791</v>
      </c>
    </row>
    <row r="2427" spans="2:9" ht="15" customHeight="1" x14ac:dyDescent="0.25">
      <c r="B2427" s="55" t="s">
        <v>279</v>
      </c>
      <c r="C2427" s="46">
        <v>2415</v>
      </c>
      <c r="D2427" s="69" t="s">
        <v>29416</v>
      </c>
      <c r="E2427" s="51"/>
      <c r="F2427" s="114" t="str">
        <f>IF(INDEX(I.Facility.P1IDNumber,2415)="","",INDEX(I.Facility.P1IDNumber,2415))</f>
        <v/>
      </c>
      <c r="G2427" s="51"/>
      <c r="H2427" s="46" t="str">
        <f>IF(AND(I.Developer.P1=TRUE,I.Facility.P1FacilityCount&gt;=2415,F2427=""),"Incomplete","Complete")</f>
        <v>Complete</v>
      </c>
      <c r="I2427" s="48" t="s">
        <v>6792</v>
      </c>
    </row>
    <row r="2428" spans="2:9" ht="15" customHeight="1" x14ac:dyDescent="0.25">
      <c r="B2428" s="55" t="s">
        <v>279</v>
      </c>
      <c r="C2428" s="46">
        <v>2416</v>
      </c>
      <c r="D2428" s="69" t="s">
        <v>29416</v>
      </c>
      <c r="E2428" s="51"/>
      <c r="F2428" s="114" t="str">
        <f>IF(INDEX(I.Facility.P1IDNumber,2416)="","",INDEX(I.Facility.P1IDNumber,2416))</f>
        <v/>
      </c>
      <c r="G2428" s="51"/>
      <c r="H2428" s="46" t="str">
        <f>IF(AND(I.Developer.P1=TRUE,I.Facility.P1FacilityCount&gt;=2416,F2428=""),"Incomplete","Complete")</f>
        <v>Complete</v>
      </c>
      <c r="I2428" s="48" t="s">
        <v>6793</v>
      </c>
    </row>
    <row r="2429" spans="2:9" ht="15" customHeight="1" x14ac:dyDescent="0.25">
      <c r="B2429" s="55" t="s">
        <v>279</v>
      </c>
      <c r="C2429" s="46">
        <v>2417</v>
      </c>
      <c r="D2429" s="69" t="s">
        <v>29416</v>
      </c>
      <c r="E2429" s="51"/>
      <c r="F2429" s="114" t="str">
        <f>IF(INDEX(I.Facility.P1IDNumber,2417)="","",INDEX(I.Facility.P1IDNumber,2417))</f>
        <v/>
      </c>
      <c r="G2429" s="51"/>
      <c r="H2429" s="46" t="str">
        <f>IF(AND(I.Developer.P1=TRUE,I.Facility.P1FacilityCount&gt;=2417,F2429=""),"Incomplete","Complete")</f>
        <v>Complete</v>
      </c>
      <c r="I2429" s="48" t="s">
        <v>6794</v>
      </c>
    </row>
    <row r="2430" spans="2:9" ht="15" customHeight="1" x14ac:dyDescent="0.25">
      <c r="B2430" s="55" t="s">
        <v>279</v>
      </c>
      <c r="C2430" s="46">
        <v>2418</v>
      </c>
      <c r="D2430" s="69" t="s">
        <v>29416</v>
      </c>
      <c r="E2430" s="51"/>
      <c r="F2430" s="114" t="str">
        <f>IF(INDEX(I.Facility.P1IDNumber,2418)="","",INDEX(I.Facility.P1IDNumber,2418))</f>
        <v/>
      </c>
      <c r="G2430" s="51"/>
      <c r="H2430" s="46" t="str">
        <f>IF(AND(I.Developer.P1=TRUE,I.Facility.P1FacilityCount&gt;=2418,F2430=""),"Incomplete","Complete")</f>
        <v>Complete</v>
      </c>
      <c r="I2430" s="48" t="s">
        <v>6795</v>
      </c>
    </row>
    <row r="2431" spans="2:9" ht="15" customHeight="1" x14ac:dyDescent="0.25">
      <c r="B2431" s="55" t="s">
        <v>279</v>
      </c>
      <c r="C2431" s="46">
        <v>2419</v>
      </c>
      <c r="D2431" s="69" t="s">
        <v>29416</v>
      </c>
      <c r="E2431" s="51"/>
      <c r="F2431" s="114" t="str">
        <f>IF(INDEX(I.Facility.P1IDNumber,2419)="","",INDEX(I.Facility.P1IDNumber,2419))</f>
        <v/>
      </c>
      <c r="G2431" s="51"/>
      <c r="H2431" s="46" t="str">
        <f>IF(AND(I.Developer.P1=TRUE,I.Facility.P1FacilityCount&gt;=2419,F2431=""),"Incomplete","Complete")</f>
        <v>Complete</v>
      </c>
      <c r="I2431" s="48" t="s">
        <v>6796</v>
      </c>
    </row>
    <row r="2432" spans="2:9" ht="15" customHeight="1" x14ac:dyDescent="0.25">
      <c r="B2432" s="55" t="s">
        <v>279</v>
      </c>
      <c r="C2432" s="46">
        <v>2420</v>
      </c>
      <c r="D2432" s="69" t="s">
        <v>29416</v>
      </c>
      <c r="E2432" s="51"/>
      <c r="F2432" s="114" t="str">
        <f>IF(INDEX(I.Facility.P1IDNumber,2420)="","",INDEX(I.Facility.P1IDNumber,2420))</f>
        <v/>
      </c>
      <c r="G2432" s="51"/>
      <c r="H2432" s="46" t="str">
        <f>IF(AND(I.Developer.P1=TRUE,I.Facility.P1FacilityCount&gt;=2420,F2432=""),"Incomplete","Complete")</f>
        <v>Complete</v>
      </c>
      <c r="I2432" s="48" t="s">
        <v>6797</v>
      </c>
    </row>
    <row r="2433" spans="2:9" ht="15" customHeight="1" x14ac:dyDescent="0.25">
      <c r="B2433" s="55" t="s">
        <v>279</v>
      </c>
      <c r="C2433" s="46">
        <v>2421</v>
      </c>
      <c r="D2433" s="69" t="s">
        <v>29416</v>
      </c>
      <c r="E2433" s="51"/>
      <c r="F2433" s="114" t="str">
        <f>IF(INDEX(I.Facility.P1IDNumber,2421)="","",INDEX(I.Facility.P1IDNumber,2421))</f>
        <v/>
      </c>
      <c r="G2433" s="51"/>
      <c r="H2433" s="46" t="str">
        <f>IF(AND(I.Developer.P1=TRUE,I.Facility.P1FacilityCount&gt;=2421,F2433=""),"Incomplete","Complete")</f>
        <v>Complete</v>
      </c>
      <c r="I2433" s="48" t="s">
        <v>6798</v>
      </c>
    </row>
    <row r="2434" spans="2:9" ht="15" customHeight="1" x14ac:dyDescent="0.25">
      <c r="B2434" s="55" t="s">
        <v>279</v>
      </c>
      <c r="C2434" s="46">
        <v>2422</v>
      </c>
      <c r="D2434" s="69" t="s">
        <v>29416</v>
      </c>
      <c r="E2434" s="51"/>
      <c r="F2434" s="114" t="str">
        <f>IF(INDEX(I.Facility.P1IDNumber,2422)="","",INDEX(I.Facility.P1IDNumber,2422))</f>
        <v/>
      </c>
      <c r="G2434" s="51"/>
      <c r="H2434" s="46" t="str">
        <f>IF(AND(I.Developer.P1=TRUE,I.Facility.P1FacilityCount&gt;=2422,F2434=""),"Incomplete","Complete")</f>
        <v>Complete</v>
      </c>
      <c r="I2434" s="48" t="s">
        <v>6799</v>
      </c>
    </row>
    <row r="2435" spans="2:9" ht="15" customHeight="1" x14ac:dyDescent="0.25">
      <c r="B2435" s="55" t="s">
        <v>279</v>
      </c>
      <c r="C2435" s="46">
        <v>2423</v>
      </c>
      <c r="D2435" s="69" t="s">
        <v>29416</v>
      </c>
      <c r="E2435" s="51"/>
      <c r="F2435" s="114" t="str">
        <f>IF(INDEX(I.Facility.P1IDNumber,2423)="","",INDEX(I.Facility.P1IDNumber,2423))</f>
        <v/>
      </c>
      <c r="G2435" s="51"/>
      <c r="H2435" s="46" t="str">
        <f>IF(AND(I.Developer.P1=TRUE,I.Facility.P1FacilityCount&gt;=2423,F2435=""),"Incomplete","Complete")</f>
        <v>Complete</v>
      </c>
      <c r="I2435" s="48" t="s">
        <v>6800</v>
      </c>
    </row>
    <row r="2436" spans="2:9" ht="15" customHeight="1" x14ac:dyDescent="0.25">
      <c r="B2436" s="55" t="s">
        <v>279</v>
      </c>
      <c r="C2436" s="46">
        <v>2424</v>
      </c>
      <c r="D2436" s="69" t="s">
        <v>29416</v>
      </c>
      <c r="E2436" s="51"/>
      <c r="F2436" s="114" t="str">
        <f>IF(INDEX(I.Facility.P1IDNumber,2424)="","",INDEX(I.Facility.P1IDNumber,2424))</f>
        <v/>
      </c>
      <c r="G2436" s="51"/>
      <c r="H2436" s="46" t="str">
        <f>IF(AND(I.Developer.P1=TRUE,I.Facility.P1FacilityCount&gt;=2424,F2436=""),"Incomplete","Complete")</f>
        <v>Complete</v>
      </c>
      <c r="I2436" s="48" t="s">
        <v>6801</v>
      </c>
    </row>
    <row r="2437" spans="2:9" ht="15" customHeight="1" x14ac:dyDescent="0.25">
      <c r="B2437" s="55" t="s">
        <v>279</v>
      </c>
      <c r="C2437" s="46">
        <v>2425</v>
      </c>
      <c r="D2437" s="69" t="s">
        <v>29416</v>
      </c>
      <c r="E2437" s="51"/>
      <c r="F2437" s="114" t="str">
        <f>IF(INDEX(I.Facility.P1IDNumber,2425)="","",INDEX(I.Facility.P1IDNumber,2425))</f>
        <v/>
      </c>
      <c r="G2437" s="51"/>
      <c r="H2437" s="46" t="str">
        <f>IF(AND(I.Developer.P1=TRUE,I.Facility.P1FacilityCount&gt;=2425,F2437=""),"Incomplete","Complete")</f>
        <v>Complete</v>
      </c>
      <c r="I2437" s="48" t="s">
        <v>6802</v>
      </c>
    </row>
    <row r="2438" spans="2:9" ht="15" customHeight="1" x14ac:dyDescent="0.25">
      <c r="B2438" s="55" t="s">
        <v>279</v>
      </c>
      <c r="C2438" s="46">
        <v>2426</v>
      </c>
      <c r="D2438" s="69" t="s">
        <v>29416</v>
      </c>
      <c r="E2438" s="51"/>
      <c r="F2438" s="114" t="str">
        <f>IF(INDEX(I.Facility.P1IDNumber,2426)="","",INDEX(I.Facility.P1IDNumber,2426))</f>
        <v/>
      </c>
      <c r="G2438" s="51"/>
      <c r="H2438" s="46" t="str">
        <f>IF(AND(I.Developer.P1=TRUE,I.Facility.P1FacilityCount&gt;=2426,F2438=""),"Incomplete","Complete")</f>
        <v>Complete</v>
      </c>
      <c r="I2438" s="48" t="s">
        <v>6803</v>
      </c>
    </row>
    <row r="2439" spans="2:9" ht="15" customHeight="1" x14ac:dyDescent="0.25">
      <c r="B2439" s="55" t="s">
        <v>279</v>
      </c>
      <c r="C2439" s="46">
        <v>2427</v>
      </c>
      <c r="D2439" s="69" t="s">
        <v>29416</v>
      </c>
      <c r="E2439" s="51"/>
      <c r="F2439" s="114" t="str">
        <f>IF(INDEX(I.Facility.P1IDNumber,2427)="","",INDEX(I.Facility.P1IDNumber,2427))</f>
        <v/>
      </c>
      <c r="G2439" s="51"/>
      <c r="H2439" s="46" t="str">
        <f>IF(AND(I.Developer.P1=TRUE,I.Facility.P1FacilityCount&gt;=2427,F2439=""),"Incomplete","Complete")</f>
        <v>Complete</v>
      </c>
      <c r="I2439" s="48" t="s">
        <v>6804</v>
      </c>
    </row>
    <row r="2440" spans="2:9" ht="15" customHeight="1" x14ac:dyDescent="0.25">
      <c r="B2440" s="55" t="s">
        <v>279</v>
      </c>
      <c r="C2440" s="46">
        <v>2428</v>
      </c>
      <c r="D2440" s="69" t="s">
        <v>29416</v>
      </c>
      <c r="E2440" s="51"/>
      <c r="F2440" s="114" t="str">
        <f>IF(INDEX(I.Facility.P1IDNumber,2428)="","",INDEX(I.Facility.P1IDNumber,2428))</f>
        <v/>
      </c>
      <c r="G2440" s="51"/>
      <c r="H2440" s="46" t="str">
        <f>IF(AND(I.Developer.P1=TRUE,I.Facility.P1FacilityCount&gt;=2428,F2440=""),"Incomplete","Complete")</f>
        <v>Complete</v>
      </c>
      <c r="I2440" s="48" t="s">
        <v>6805</v>
      </c>
    </row>
    <row r="2441" spans="2:9" ht="15" customHeight="1" x14ac:dyDescent="0.25">
      <c r="B2441" s="55" t="s">
        <v>279</v>
      </c>
      <c r="C2441" s="46">
        <v>2429</v>
      </c>
      <c r="D2441" s="69" t="s">
        <v>29416</v>
      </c>
      <c r="E2441" s="51"/>
      <c r="F2441" s="114" t="str">
        <f>IF(INDEX(I.Facility.P1IDNumber,2429)="","",INDEX(I.Facility.P1IDNumber,2429))</f>
        <v/>
      </c>
      <c r="G2441" s="51"/>
      <c r="H2441" s="46" t="str">
        <f>IF(AND(I.Developer.P1=TRUE,I.Facility.P1FacilityCount&gt;=2429,F2441=""),"Incomplete","Complete")</f>
        <v>Complete</v>
      </c>
      <c r="I2441" s="48" t="s">
        <v>6806</v>
      </c>
    </row>
    <row r="2442" spans="2:9" ht="15" customHeight="1" x14ac:dyDescent="0.25">
      <c r="B2442" s="55" t="s">
        <v>279</v>
      </c>
      <c r="C2442" s="46">
        <v>2430</v>
      </c>
      <c r="D2442" s="69" t="s">
        <v>29416</v>
      </c>
      <c r="E2442" s="51"/>
      <c r="F2442" s="114" t="str">
        <f>IF(INDEX(I.Facility.P1IDNumber,2430)="","",INDEX(I.Facility.P1IDNumber,2430))</f>
        <v/>
      </c>
      <c r="G2442" s="51"/>
      <c r="H2442" s="46" t="str">
        <f>IF(AND(I.Developer.P1=TRUE,I.Facility.P1FacilityCount&gt;=2430,F2442=""),"Incomplete","Complete")</f>
        <v>Complete</v>
      </c>
      <c r="I2442" s="48" t="s">
        <v>6807</v>
      </c>
    </row>
    <row r="2443" spans="2:9" ht="15" customHeight="1" x14ac:dyDescent="0.25">
      <c r="B2443" s="55" t="s">
        <v>279</v>
      </c>
      <c r="C2443" s="46">
        <v>2431</v>
      </c>
      <c r="D2443" s="69" t="s">
        <v>29416</v>
      </c>
      <c r="E2443" s="51"/>
      <c r="F2443" s="114" t="str">
        <f>IF(INDEX(I.Facility.P1IDNumber,2431)="","",INDEX(I.Facility.P1IDNumber,2431))</f>
        <v/>
      </c>
      <c r="G2443" s="51"/>
      <c r="H2443" s="46" t="str">
        <f>IF(AND(I.Developer.P1=TRUE,I.Facility.P1FacilityCount&gt;=2431,F2443=""),"Incomplete","Complete")</f>
        <v>Complete</v>
      </c>
      <c r="I2443" s="48" t="s">
        <v>6808</v>
      </c>
    </row>
    <row r="2444" spans="2:9" ht="15" customHeight="1" x14ac:dyDescent="0.25">
      <c r="B2444" s="55" t="s">
        <v>279</v>
      </c>
      <c r="C2444" s="46">
        <v>2432</v>
      </c>
      <c r="D2444" s="69" t="s">
        <v>29416</v>
      </c>
      <c r="E2444" s="51"/>
      <c r="F2444" s="114" t="str">
        <f>IF(INDEX(I.Facility.P1IDNumber,2432)="","",INDEX(I.Facility.P1IDNumber,2432))</f>
        <v/>
      </c>
      <c r="G2444" s="51"/>
      <c r="H2444" s="46" t="str">
        <f>IF(AND(I.Developer.P1=TRUE,I.Facility.P1FacilityCount&gt;=2432,F2444=""),"Incomplete","Complete")</f>
        <v>Complete</v>
      </c>
      <c r="I2444" s="48" t="s">
        <v>6809</v>
      </c>
    </row>
    <row r="2445" spans="2:9" ht="15" customHeight="1" x14ac:dyDescent="0.25">
      <c r="B2445" s="55" t="s">
        <v>279</v>
      </c>
      <c r="C2445" s="46">
        <v>2433</v>
      </c>
      <c r="D2445" s="69" t="s">
        <v>29416</v>
      </c>
      <c r="E2445" s="51"/>
      <c r="F2445" s="114" t="str">
        <f>IF(INDEX(I.Facility.P1IDNumber,2433)="","",INDEX(I.Facility.P1IDNumber,2433))</f>
        <v/>
      </c>
      <c r="G2445" s="51"/>
      <c r="H2445" s="46" t="str">
        <f>IF(AND(I.Developer.P1=TRUE,I.Facility.P1FacilityCount&gt;=2433,F2445=""),"Incomplete","Complete")</f>
        <v>Complete</v>
      </c>
      <c r="I2445" s="48" t="s">
        <v>6810</v>
      </c>
    </row>
    <row r="2446" spans="2:9" ht="15" customHeight="1" x14ac:dyDescent="0.25">
      <c r="B2446" s="55" t="s">
        <v>279</v>
      </c>
      <c r="C2446" s="46">
        <v>2434</v>
      </c>
      <c r="D2446" s="69" t="s">
        <v>29416</v>
      </c>
      <c r="E2446" s="51"/>
      <c r="F2446" s="114" t="str">
        <f>IF(INDEX(I.Facility.P1IDNumber,2434)="","",INDEX(I.Facility.P1IDNumber,2434))</f>
        <v/>
      </c>
      <c r="G2446" s="51"/>
      <c r="H2446" s="46" t="str">
        <f>IF(AND(I.Developer.P1=TRUE,I.Facility.P1FacilityCount&gt;=2434,F2446=""),"Incomplete","Complete")</f>
        <v>Complete</v>
      </c>
      <c r="I2446" s="48" t="s">
        <v>6811</v>
      </c>
    </row>
    <row r="2447" spans="2:9" ht="15" customHeight="1" x14ac:dyDescent="0.25">
      <c r="B2447" s="55" t="s">
        <v>279</v>
      </c>
      <c r="C2447" s="46">
        <v>2435</v>
      </c>
      <c r="D2447" s="69" t="s">
        <v>29416</v>
      </c>
      <c r="E2447" s="51"/>
      <c r="F2447" s="114" t="str">
        <f>IF(INDEX(I.Facility.P1IDNumber,2435)="","",INDEX(I.Facility.P1IDNumber,2435))</f>
        <v/>
      </c>
      <c r="G2447" s="51"/>
      <c r="H2447" s="46" t="str">
        <f>IF(AND(I.Developer.P1=TRUE,I.Facility.P1FacilityCount&gt;=2435,F2447=""),"Incomplete","Complete")</f>
        <v>Complete</v>
      </c>
      <c r="I2447" s="48" t="s">
        <v>6812</v>
      </c>
    </row>
    <row r="2448" spans="2:9" ht="15" customHeight="1" x14ac:dyDescent="0.25">
      <c r="B2448" s="55" t="s">
        <v>279</v>
      </c>
      <c r="C2448" s="46">
        <v>2436</v>
      </c>
      <c r="D2448" s="69" t="s">
        <v>29416</v>
      </c>
      <c r="E2448" s="51"/>
      <c r="F2448" s="114" t="str">
        <f>IF(INDEX(I.Facility.P1IDNumber,2436)="","",INDEX(I.Facility.P1IDNumber,2436))</f>
        <v/>
      </c>
      <c r="G2448" s="51"/>
      <c r="H2448" s="46" t="str">
        <f>IF(AND(I.Developer.P1=TRUE,I.Facility.P1FacilityCount&gt;=2436,F2448=""),"Incomplete","Complete")</f>
        <v>Complete</v>
      </c>
      <c r="I2448" s="48" t="s">
        <v>6813</v>
      </c>
    </row>
    <row r="2449" spans="2:9" ht="15" customHeight="1" x14ac:dyDescent="0.25">
      <c r="B2449" s="55" t="s">
        <v>279</v>
      </c>
      <c r="C2449" s="46">
        <v>2437</v>
      </c>
      <c r="D2449" s="69" t="s">
        <v>29416</v>
      </c>
      <c r="E2449" s="51"/>
      <c r="F2449" s="114" t="str">
        <f>IF(INDEX(I.Facility.P1IDNumber,2437)="","",INDEX(I.Facility.P1IDNumber,2437))</f>
        <v/>
      </c>
      <c r="G2449" s="51"/>
      <c r="H2449" s="46" t="str">
        <f>IF(AND(I.Developer.P1=TRUE,I.Facility.P1FacilityCount&gt;=2437,F2449=""),"Incomplete","Complete")</f>
        <v>Complete</v>
      </c>
      <c r="I2449" s="48" t="s">
        <v>6814</v>
      </c>
    </row>
    <row r="2450" spans="2:9" ht="15" customHeight="1" x14ac:dyDescent="0.25">
      <c r="B2450" s="55" t="s">
        <v>279</v>
      </c>
      <c r="C2450" s="46">
        <v>2438</v>
      </c>
      <c r="D2450" s="69" t="s">
        <v>29416</v>
      </c>
      <c r="E2450" s="51"/>
      <c r="F2450" s="114" t="str">
        <f>IF(INDEX(I.Facility.P1IDNumber,2438)="","",INDEX(I.Facility.P1IDNumber,2438))</f>
        <v/>
      </c>
      <c r="G2450" s="51"/>
      <c r="H2450" s="46" t="str">
        <f>IF(AND(I.Developer.P1=TRUE,I.Facility.P1FacilityCount&gt;=2438,F2450=""),"Incomplete","Complete")</f>
        <v>Complete</v>
      </c>
      <c r="I2450" s="48" t="s">
        <v>6815</v>
      </c>
    </row>
    <row r="2451" spans="2:9" ht="15" customHeight="1" x14ac:dyDescent="0.25">
      <c r="B2451" s="55" t="s">
        <v>279</v>
      </c>
      <c r="C2451" s="46">
        <v>2439</v>
      </c>
      <c r="D2451" s="69" t="s">
        <v>29416</v>
      </c>
      <c r="E2451" s="51"/>
      <c r="F2451" s="114" t="str">
        <f>IF(INDEX(I.Facility.P1IDNumber,2439)="","",INDEX(I.Facility.P1IDNumber,2439))</f>
        <v/>
      </c>
      <c r="G2451" s="51"/>
      <c r="H2451" s="46" t="str">
        <f>IF(AND(I.Developer.P1=TRUE,I.Facility.P1FacilityCount&gt;=2439,F2451=""),"Incomplete","Complete")</f>
        <v>Complete</v>
      </c>
      <c r="I2451" s="48" t="s">
        <v>6816</v>
      </c>
    </row>
    <row r="2452" spans="2:9" ht="15" customHeight="1" x14ac:dyDescent="0.25">
      <c r="B2452" s="55" t="s">
        <v>279</v>
      </c>
      <c r="C2452" s="46">
        <v>2440</v>
      </c>
      <c r="D2452" s="69" t="s">
        <v>29416</v>
      </c>
      <c r="E2452" s="51"/>
      <c r="F2452" s="114" t="str">
        <f>IF(INDEX(I.Facility.P1IDNumber,2440)="","",INDEX(I.Facility.P1IDNumber,2440))</f>
        <v/>
      </c>
      <c r="G2452" s="51"/>
      <c r="H2452" s="46" t="str">
        <f>IF(AND(I.Developer.P1=TRUE,I.Facility.P1FacilityCount&gt;=2440,F2452=""),"Incomplete","Complete")</f>
        <v>Complete</v>
      </c>
      <c r="I2452" s="48" t="s">
        <v>6817</v>
      </c>
    </row>
    <row r="2453" spans="2:9" ht="15" customHeight="1" x14ac:dyDescent="0.25">
      <c r="B2453" s="55" t="s">
        <v>279</v>
      </c>
      <c r="C2453" s="46">
        <v>2441</v>
      </c>
      <c r="D2453" s="69" t="s">
        <v>29416</v>
      </c>
      <c r="E2453" s="51"/>
      <c r="F2453" s="114" t="str">
        <f>IF(INDEX(I.Facility.P1IDNumber,2441)="","",INDEX(I.Facility.P1IDNumber,2441))</f>
        <v/>
      </c>
      <c r="G2453" s="51"/>
      <c r="H2453" s="46" t="str">
        <f>IF(AND(I.Developer.P1=TRUE,I.Facility.P1FacilityCount&gt;=2441,F2453=""),"Incomplete","Complete")</f>
        <v>Complete</v>
      </c>
      <c r="I2453" s="48" t="s">
        <v>6818</v>
      </c>
    </row>
    <row r="2454" spans="2:9" ht="15" customHeight="1" x14ac:dyDescent="0.25">
      <c r="B2454" s="55" t="s">
        <v>279</v>
      </c>
      <c r="C2454" s="46">
        <v>2442</v>
      </c>
      <c r="D2454" s="69" t="s">
        <v>29416</v>
      </c>
      <c r="E2454" s="51"/>
      <c r="F2454" s="114" t="str">
        <f>IF(INDEX(I.Facility.P1IDNumber,2442)="","",INDEX(I.Facility.P1IDNumber,2442))</f>
        <v/>
      </c>
      <c r="G2454" s="51"/>
      <c r="H2454" s="46" t="str">
        <f>IF(AND(I.Developer.P1=TRUE,I.Facility.P1FacilityCount&gt;=2442,F2454=""),"Incomplete","Complete")</f>
        <v>Complete</v>
      </c>
      <c r="I2454" s="48" t="s">
        <v>6819</v>
      </c>
    </row>
    <row r="2455" spans="2:9" ht="15" customHeight="1" x14ac:dyDescent="0.25">
      <c r="B2455" s="55" t="s">
        <v>279</v>
      </c>
      <c r="C2455" s="46">
        <v>2443</v>
      </c>
      <c r="D2455" s="69" t="s">
        <v>29416</v>
      </c>
      <c r="E2455" s="51"/>
      <c r="F2455" s="114" t="str">
        <f>IF(INDEX(I.Facility.P1IDNumber,2443)="","",INDEX(I.Facility.P1IDNumber,2443))</f>
        <v/>
      </c>
      <c r="G2455" s="51"/>
      <c r="H2455" s="46" t="str">
        <f>IF(AND(I.Developer.P1=TRUE,I.Facility.P1FacilityCount&gt;=2443,F2455=""),"Incomplete","Complete")</f>
        <v>Complete</v>
      </c>
      <c r="I2455" s="48" t="s">
        <v>6820</v>
      </c>
    </row>
    <row r="2456" spans="2:9" ht="15" customHeight="1" x14ac:dyDescent="0.25">
      <c r="B2456" s="55" t="s">
        <v>279</v>
      </c>
      <c r="C2456" s="46">
        <v>2444</v>
      </c>
      <c r="D2456" s="69" t="s">
        <v>29416</v>
      </c>
      <c r="E2456" s="51"/>
      <c r="F2456" s="114" t="str">
        <f>IF(INDEX(I.Facility.P1IDNumber,2444)="","",INDEX(I.Facility.P1IDNumber,2444))</f>
        <v/>
      </c>
      <c r="G2456" s="51"/>
      <c r="H2456" s="46" t="str">
        <f>IF(AND(I.Developer.P1=TRUE,I.Facility.P1FacilityCount&gt;=2444,F2456=""),"Incomplete","Complete")</f>
        <v>Complete</v>
      </c>
      <c r="I2456" s="48" t="s">
        <v>6821</v>
      </c>
    </row>
    <row r="2457" spans="2:9" ht="15" customHeight="1" x14ac:dyDescent="0.25">
      <c r="B2457" s="55" t="s">
        <v>279</v>
      </c>
      <c r="C2457" s="46">
        <v>2445</v>
      </c>
      <c r="D2457" s="69" t="s">
        <v>29416</v>
      </c>
      <c r="E2457" s="51"/>
      <c r="F2457" s="114" t="str">
        <f>IF(INDEX(I.Facility.P1IDNumber,2445)="","",INDEX(I.Facility.P1IDNumber,2445))</f>
        <v/>
      </c>
      <c r="G2457" s="51"/>
      <c r="H2457" s="46" t="str">
        <f>IF(AND(I.Developer.P1=TRUE,I.Facility.P1FacilityCount&gt;=2445,F2457=""),"Incomplete","Complete")</f>
        <v>Complete</v>
      </c>
      <c r="I2457" s="48" t="s">
        <v>6822</v>
      </c>
    </row>
    <row r="2458" spans="2:9" ht="15" customHeight="1" x14ac:dyDescent="0.25">
      <c r="B2458" s="55" t="s">
        <v>279</v>
      </c>
      <c r="C2458" s="46">
        <v>2446</v>
      </c>
      <c r="D2458" s="69" t="s">
        <v>29416</v>
      </c>
      <c r="E2458" s="51"/>
      <c r="F2458" s="114" t="str">
        <f>IF(INDEX(I.Facility.P1IDNumber,2446)="","",INDEX(I.Facility.P1IDNumber,2446))</f>
        <v/>
      </c>
      <c r="G2458" s="51"/>
      <c r="H2458" s="46" t="str">
        <f>IF(AND(I.Developer.P1=TRUE,I.Facility.P1FacilityCount&gt;=2446,F2458=""),"Incomplete","Complete")</f>
        <v>Complete</v>
      </c>
      <c r="I2458" s="48" t="s">
        <v>6823</v>
      </c>
    </row>
    <row r="2459" spans="2:9" ht="15" customHeight="1" x14ac:dyDescent="0.25">
      <c r="B2459" s="55" t="s">
        <v>279</v>
      </c>
      <c r="C2459" s="46">
        <v>2447</v>
      </c>
      <c r="D2459" s="69" t="s">
        <v>29416</v>
      </c>
      <c r="E2459" s="51"/>
      <c r="F2459" s="114" t="str">
        <f>IF(INDEX(I.Facility.P1IDNumber,2447)="","",INDEX(I.Facility.P1IDNumber,2447))</f>
        <v/>
      </c>
      <c r="G2459" s="51"/>
      <c r="H2459" s="46" t="str">
        <f>IF(AND(I.Developer.P1=TRUE,I.Facility.P1FacilityCount&gt;=2447,F2459=""),"Incomplete","Complete")</f>
        <v>Complete</v>
      </c>
      <c r="I2459" s="48" t="s">
        <v>6824</v>
      </c>
    </row>
    <row r="2460" spans="2:9" ht="15" customHeight="1" x14ac:dyDescent="0.25">
      <c r="B2460" s="55" t="s">
        <v>279</v>
      </c>
      <c r="C2460" s="46">
        <v>2448</v>
      </c>
      <c r="D2460" s="69" t="s">
        <v>29416</v>
      </c>
      <c r="E2460" s="51"/>
      <c r="F2460" s="114" t="str">
        <f>IF(INDEX(I.Facility.P1IDNumber,2448)="","",INDEX(I.Facility.P1IDNumber,2448))</f>
        <v/>
      </c>
      <c r="G2460" s="51"/>
      <c r="H2460" s="46" t="str">
        <f>IF(AND(I.Developer.P1=TRUE,I.Facility.P1FacilityCount&gt;=2448,F2460=""),"Incomplete","Complete")</f>
        <v>Complete</v>
      </c>
      <c r="I2460" s="48" t="s">
        <v>6825</v>
      </c>
    </row>
    <row r="2461" spans="2:9" ht="15" customHeight="1" x14ac:dyDescent="0.25">
      <c r="B2461" s="55" t="s">
        <v>279</v>
      </c>
      <c r="C2461" s="46">
        <v>2449</v>
      </c>
      <c r="D2461" s="69" t="s">
        <v>29416</v>
      </c>
      <c r="E2461" s="51"/>
      <c r="F2461" s="114" t="str">
        <f>IF(INDEX(I.Facility.P1IDNumber,2449)="","",INDEX(I.Facility.P1IDNumber,2449))</f>
        <v/>
      </c>
      <c r="G2461" s="51"/>
      <c r="H2461" s="46" t="str">
        <f>IF(AND(I.Developer.P1=TRUE,I.Facility.P1FacilityCount&gt;=2449,F2461=""),"Incomplete","Complete")</f>
        <v>Complete</v>
      </c>
      <c r="I2461" s="48" t="s">
        <v>6826</v>
      </c>
    </row>
    <row r="2462" spans="2:9" ht="15" customHeight="1" x14ac:dyDescent="0.25">
      <c r="B2462" s="55" t="s">
        <v>279</v>
      </c>
      <c r="C2462" s="46">
        <v>2450</v>
      </c>
      <c r="D2462" s="69" t="s">
        <v>29416</v>
      </c>
      <c r="E2462" s="51"/>
      <c r="F2462" s="114" t="str">
        <f>IF(INDEX(I.Facility.P1IDNumber,2450)="","",INDEX(I.Facility.P1IDNumber,2450))</f>
        <v/>
      </c>
      <c r="G2462" s="51"/>
      <c r="H2462" s="46" t="str">
        <f>IF(AND(I.Developer.P1=TRUE,I.Facility.P1FacilityCount&gt;=2450,F2462=""),"Incomplete","Complete")</f>
        <v>Complete</v>
      </c>
      <c r="I2462" s="48" t="s">
        <v>6827</v>
      </c>
    </row>
    <row r="2463" spans="2:9" ht="15" customHeight="1" x14ac:dyDescent="0.25">
      <c r="B2463" s="55" t="s">
        <v>279</v>
      </c>
      <c r="C2463" s="46">
        <v>2451</v>
      </c>
      <c r="D2463" s="69" t="s">
        <v>29416</v>
      </c>
      <c r="E2463" s="51"/>
      <c r="F2463" s="114" t="str">
        <f>IF(INDEX(I.Facility.P1IDNumber,2451)="","",INDEX(I.Facility.P1IDNumber,2451))</f>
        <v/>
      </c>
      <c r="G2463" s="51"/>
      <c r="H2463" s="46" t="str">
        <f>IF(AND(I.Developer.P1=TRUE,I.Facility.P1FacilityCount&gt;=2451,F2463=""),"Incomplete","Complete")</f>
        <v>Complete</v>
      </c>
      <c r="I2463" s="48" t="s">
        <v>6828</v>
      </c>
    </row>
    <row r="2464" spans="2:9" ht="15" customHeight="1" x14ac:dyDescent="0.25">
      <c r="B2464" s="55" t="s">
        <v>279</v>
      </c>
      <c r="C2464" s="46">
        <v>2452</v>
      </c>
      <c r="D2464" s="69" t="s">
        <v>29416</v>
      </c>
      <c r="E2464" s="51"/>
      <c r="F2464" s="114" t="str">
        <f>IF(INDEX(I.Facility.P1IDNumber,2452)="","",INDEX(I.Facility.P1IDNumber,2452))</f>
        <v/>
      </c>
      <c r="G2464" s="51"/>
      <c r="H2464" s="46" t="str">
        <f>IF(AND(I.Developer.P1=TRUE,I.Facility.P1FacilityCount&gt;=2452,F2464=""),"Incomplete","Complete")</f>
        <v>Complete</v>
      </c>
      <c r="I2464" s="48" t="s">
        <v>6829</v>
      </c>
    </row>
    <row r="2465" spans="2:9" ht="15" customHeight="1" x14ac:dyDescent="0.25">
      <c r="B2465" s="55" t="s">
        <v>279</v>
      </c>
      <c r="C2465" s="46">
        <v>2453</v>
      </c>
      <c r="D2465" s="69" t="s">
        <v>29416</v>
      </c>
      <c r="E2465" s="51"/>
      <c r="F2465" s="114" t="str">
        <f>IF(INDEX(I.Facility.P1IDNumber,2453)="","",INDEX(I.Facility.P1IDNumber,2453))</f>
        <v/>
      </c>
      <c r="G2465" s="51"/>
      <c r="H2465" s="46" t="str">
        <f>IF(AND(I.Developer.P1=TRUE,I.Facility.P1FacilityCount&gt;=2453,F2465=""),"Incomplete","Complete")</f>
        <v>Complete</v>
      </c>
      <c r="I2465" s="48" t="s">
        <v>6830</v>
      </c>
    </row>
    <row r="2466" spans="2:9" ht="15" customHeight="1" x14ac:dyDescent="0.25">
      <c r="B2466" s="55" t="s">
        <v>279</v>
      </c>
      <c r="C2466" s="46">
        <v>2454</v>
      </c>
      <c r="D2466" s="69" t="s">
        <v>29416</v>
      </c>
      <c r="E2466" s="51"/>
      <c r="F2466" s="114" t="str">
        <f>IF(INDEX(I.Facility.P1IDNumber,2454)="","",INDEX(I.Facility.P1IDNumber,2454))</f>
        <v/>
      </c>
      <c r="G2466" s="51"/>
      <c r="H2466" s="46" t="str">
        <f>IF(AND(I.Developer.P1=TRUE,I.Facility.P1FacilityCount&gt;=2454,F2466=""),"Incomplete","Complete")</f>
        <v>Complete</v>
      </c>
      <c r="I2466" s="48" t="s">
        <v>6831</v>
      </c>
    </row>
    <row r="2467" spans="2:9" ht="15" customHeight="1" x14ac:dyDescent="0.25">
      <c r="B2467" s="55" t="s">
        <v>279</v>
      </c>
      <c r="C2467" s="46">
        <v>2455</v>
      </c>
      <c r="D2467" s="69" t="s">
        <v>29416</v>
      </c>
      <c r="E2467" s="51"/>
      <c r="F2467" s="114" t="str">
        <f>IF(INDEX(I.Facility.P1IDNumber,2455)="","",INDEX(I.Facility.P1IDNumber,2455))</f>
        <v/>
      </c>
      <c r="G2467" s="51"/>
      <c r="H2467" s="46" t="str">
        <f>IF(AND(I.Developer.P1=TRUE,I.Facility.P1FacilityCount&gt;=2455,F2467=""),"Incomplete","Complete")</f>
        <v>Complete</v>
      </c>
      <c r="I2467" s="48" t="s">
        <v>6832</v>
      </c>
    </row>
    <row r="2468" spans="2:9" ht="15" customHeight="1" x14ac:dyDescent="0.25">
      <c r="B2468" s="55" t="s">
        <v>279</v>
      </c>
      <c r="C2468" s="46">
        <v>2456</v>
      </c>
      <c r="D2468" s="69" t="s">
        <v>29416</v>
      </c>
      <c r="E2468" s="51"/>
      <c r="F2468" s="114" t="str">
        <f>IF(INDEX(I.Facility.P1IDNumber,2456)="","",INDEX(I.Facility.P1IDNumber,2456))</f>
        <v/>
      </c>
      <c r="G2468" s="51"/>
      <c r="H2468" s="46" t="str">
        <f>IF(AND(I.Developer.P1=TRUE,I.Facility.P1FacilityCount&gt;=2456,F2468=""),"Incomplete","Complete")</f>
        <v>Complete</v>
      </c>
      <c r="I2468" s="48" t="s">
        <v>6833</v>
      </c>
    </row>
    <row r="2469" spans="2:9" ht="15" customHeight="1" x14ac:dyDescent="0.25">
      <c r="B2469" s="55" t="s">
        <v>279</v>
      </c>
      <c r="C2469" s="46">
        <v>2457</v>
      </c>
      <c r="D2469" s="69" t="s">
        <v>29416</v>
      </c>
      <c r="E2469" s="51"/>
      <c r="F2469" s="114" t="str">
        <f>IF(INDEX(I.Facility.P1IDNumber,2457)="","",INDEX(I.Facility.P1IDNumber,2457))</f>
        <v/>
      </c>
      <c r="G2469" s="51"/>
      <c r="H2469" s="46" t="str">
        <f>IF(AND(I.Developer.P1=TRUE,I.Facility.P1FacilityCount&gt;=2457,F2469=""),"Incomplete","Complete")</f>
        <v>Complete</v>
      </c>
      <c r="I2469" s="48" t="s">
        <v>6834</v>
      </c>
    </row>
    <row r="2470" spans="2:9" ht="15" customHeight="1" x14ac:dyDescent="0.25">
      <c r="B2470" s="55" t="s">
        <v>279</v>
      </c>
      <c r="C2470" s="46">
        <v>2458</v>
      </c>
      <c r="D2470" s="69" t="s">
        <v>29416</v>
      </c>
      <c r="E2470" s="51"/>
      <c r="F2470" s="114" t="str">
        <f>IF(INDEX(I.Facility.P1IDNumber,2458)="","",INDEX(I.Facility.P1IDNumber,2458))</f>
        <v/>
      </c>
      <c r="G2470" s="51"/>
      <c r="H2470" s="46" t="str">
        <f>IF(AND(I.Developer.P1=TRUE,I.Facility.P1FacilityCount&gt;=2458,F2470=""),"Incomplete","Complete")</f>
        <v>Complete</v>
      </c>
      <c r="I2470" s="48" t="s">
        <v>6835</v>
      </c>
    </row>
    <row r="2471" spans="2:9" ht="15" customHeight="1" x14ac:dyDescent="0.25">
      <c r="B2471" s="55" t="s">
        <v>279</v>
      </c>
      <c r="C2471" s="46">
        <v>2459</v>
      </c>
      <c r="D2471" s="69" t="s">
        <v>29416</v>
      </c>
      <c r="E2471" s="51"/>
      <c r="F2471" s="114" t="str">
        <f>IF(INDEX(I.Facility.P1IDNumber,2459)="","",INDEX(I.Facility.P1IDNumber,2459))</f>
        <v/>
      </c>
      <c r="G2471" s="51"/>
      <c r="H2471" s="46" t="str">
        <f>IF(AND(I.Developer.P1=TRUE,I.Facility.P1FacilityCount&gt;=2459,F2471=""),"Incomplete","Complete")</f>
        <v>Complete</v>
      </c>
      <c r="I2471" s="48" t="s">
        <v>6836</v>
      </c>
    </row>
    <row r="2472" spans="2:9" ht="15" customHeight="1" x14ac:dyDescent="0.25">
      <c r="B2472" s="55" t="s">
        <v>279</v>
      </c>
      <c r="C2472" s="46">
        <v>2460</v>
      </c>
      <c r="D2472" s="69" t="s">
        <v>29416</v>
      </c>
      <c r="E2472" s="51"/>
      <c r="F2472" s="114" t="str">
        <f>IF(INDEX(I.Facility.P1IDNumber,2460)="","",INDEX(I.Facility.P1IDNumber,2460))</f>
        <v/>
      </c>
      <c r="G2472" s="51"/>
      <c r="H2472" s="46" t="str">
        <f>IF(AND(I.Developer.P1=TRUE,I.Facility.P1FacilityCount&gt;=2460,F2472=""),"Incomplete","Complete")</f>
        <v>Complete</v>
      </c>
      <c r="I2472" s="48" t="s">
        <v>6837</v>
      </c>
    </row>
    <row r="2473" spans="2:9" ht="15" customHeight="1" x14ac:dyDescent="0.25">
      <c r="B2473" s="55" t="s">
        <v>279</v>
      </c>
      <c r="C2473" s="46">
        <v>2461</v>
      </c>
      <c r="D2473" s="69" t="s">
        <v>29416</v>
      </c>
      <c r="E2473" s="51"/>
      <c r="F2473" s="114" t="str">
        <f>IF(INDEX(I.Facility.P1IDNumber,2461)="","",INDEX(I.Facility.P1IDNumber,2461))</f>
        <v/>
      </c>
      <c r="G2473" s="51"/>
      <c r="H2473" s="46" t="str">
        <f>IF(AND(I.Developer.P1=TRUE,I.Facility.P1FacilityCount&gt;=2461,F2473=""),"Incomplete","Complete")</f>
        <v>Complete</v>
      </c>
      <c r="I2473" s="48" t="s">
        <v>6838</v>
      </c>
    </row>
    <row r="2474" spans="2:9" ht="15" customHeight="1" x14ac:dyDescent="0.25">
      <c r="B2474" s="55" t="s">
        <v>279</v>
      </c>
      <c r="C2474" s="46">
        <v>2462</v>
      </c>
      <c r="D2474" s="69" t="s">
        <v>29416</v>
      </c>
      <c r="E2474" s="51"/>
      <c r="F2474" s="114" t="str">
        <f>IF(INDEX(I.Facility.P1IDNumber,2462)="","",INDEX(I.Facility.P1IDNumber,2462))</f>
        <v/>
      </c>
      <c r="G2474" s="51"/>
      <c r="H2474" s="46" t="str">
        <f>IF(AND(I.Developer.P1=TRUE,I.Facility.P1FacilityCount&gt;=2462,F2474=""),"Incomplete","Complete")</f>
        <v>Complete</v>
      </c>
      <c r="I2474" s="48" t="s">
        <v>6839</v>
      </c>
    </row>
    <row r="2475" spans="2:9" ht="15" customHeight="1" x14ac:dyDescent="0.25">
      <c r="B2475" s="55" t="s">
        <v>279</v>
      </c>
      <c r="C2475" s="46">
        <v>2463</v>
      </c>
      <c r="D2475" s="69" t="s">
        <v>29416</v>
      </c>
      <c r="E2475" s="51"/>
      <c r="F2475" s="114" t="str">
        <f>IF(INDEX(I.Facility.P1IDNumber,2463)="","",INDEX(I.Facility.P1IDNumber,2463))</f>
        <v/>
      </c>
      <c r="G2475" s="51"/>
      <c r="H2475" s="46" t="str">
        <f>IF(AND(I.Developer.P1=TRUE,I.Facility.P1FacilityCount&gt;=2463,F2475=""),"Incomplete","Complete")</f>
        <v>Complete</v>
      </c>
      <c r="I2475" s="48" t="s">
        <v>6840</v>
      </c>
    </row>
    <row r="2476" spans="2:9" ht="15" customHeight="1" x14ac:dyDescent="0.25">
      <c r="B2476" s="55" t="s">
        <v>279</v>
      </c>
      <c r="C2476" s="46">
        <v>2464</v>
      </c>
      <c r="D2476" s="69" t="s">
        <v>29416</v>
      </c>
      <c r="E2476" s="51"/>
      <c r="F2476" s="114" t="str">
        <f>IF(INDEX(I.Facility.P1IDNumber,2464)="","",INDEX(I.Facility.P1IDNumber,2464))</f>
        <v/>
      </c>
      <c r="G2476" s="51"/>
      <c r="H2476" s="46" t="str">
        <f>IF(AND(I.Developer.P1=TRUE,I.Facility.P1FacilityCount&gt;=2464,F2476=""),"Incomplete","Complete")</f>
        <v>Complete</v>
      </c>
      <c r="I2476" s="48" t="s">
        <v>6841</v>
      </c>
    </row>
    <row r="2477" spans="2:9" ht="15" customHeight="1" x14ac:dyDescent="0.25">
      <c r="B2477" s="55" t="s">
        <v>279</v>
      </c>
      <c r="C2477" s="46">
        <v>2465</v>
      </c>
      <c r="D2477" s="69" t="s">
        <v>29416</v>
      </c>
      <c r="E2477" s="51"/>
      <c r="F2477" s="114" t="str">
        <f>IF(INDEX(I.Facility.P1IDNumber,2465)="","",INDEX(I.Facility.P1IDNumber,2465))</f>
        <v/>
      </c>
      <c r="G2477" s="51"/>
      <c r="H2477" s="46" t="str">
        <f>IF(AND(I.Developer.P1=TRUE,I.Facility.P1FacilityCount&gt;=2465,F2477=""),"Incomplete","Complete")</f>
        <v>Complete</v>
      </c>
      <c r="I2477" s="48" t="s">
        <v>6842</v>
      </c>
    </row>
    <row r="2478" spans="2:9" ht="15" customHeight="1" x14ac:dyDescent="0.25">
      <c r="B2478" s="55" t="s">
        <v>279</v>
      </c>
      <c r="C2478" s="46">
        <v>2466</v>
      </c>
      <c r="D2478" s="69" t="s">
        <v>29416</v>
      </c>
      <c r="E2478" s="51"/>
      <c r="F2478" s="114" t="str">
        <f>IF(INDEX(I.Facility.P1IDNumber,2466)="","",INDEX(I.Facility.P1IDNumber,2466))</f>
        <v/>
      </c>
      <c r="G2478" s="51"/>
      <c r="H2478" s="46" t="str">
        <f>IF(AND(I.Developer.P1=TRUE,I.Facility.P1FacilityCount&gt;=2466,F2478=""),"Incomplete","Complete")</f>
        <v>Complete</v>
      </c>
      <c r="I2478" s="48" t="s">
        <v>6843</v>
      </c>
    </row>
    <row r="2479" spans="2:9" ht="15" customHeight="1" x14ac:dyDescent="0.25">
      <c r="B2479" s="55" t="s">
        <v>279</v>
      </c>
      <c r="C2479" s="46">
        <v>2467</v>
      </c>
      <c r="D2479" s="69" t="s">
        <v>29416</v>
      </c>
      <c r="E2479" s="51"/>
      <c r="F2479" s="114" t="str">
        <f>IF(INDEX(I.Facility.P1IDNumber,2467)="","",INDEX(I.Facility.P1IDNumber,2467))</f>
        <v/>
      </c>
      <c r="G2479" s="51"/>
      <c r="H2479" s="46" t="str">
        <f>IF(AND(I.Developer.P1=TRUE,I.Facility.P1FacilityCount&gt;=2467,F2479=""),"Incomplete","Complete")</f>
        <v>Complete</v>
      </c>
      <c r="I2479" s="48" t="s">
        <v>6844</v>
      </c>
    </row>
    <row r="2480" spans="2:9" ht="15" customHeight="1" x14ac:dyDescent="0.25">
      <c r="B2480" s="55" t="s">
        <v>279</v>
      </c>
      <c r="C2480" s="46">
        <v>2468</v>
      </c>
      <c r="D2480" s="69" t="s">
        <v>29416</v>
      </c>
      <c r="E2480" s="51"/>
      <c r="F2480" s="114" t="str">
        <f>IF(INDEX(I.Facility.P1IDNumber,2468)="","",INDEX(I.Facility.P1IDNumber,2468))</f>
        <v/>
      </c>
      <c r="G2480" s="51"/>
      <c r="H2480" s="46" t="str">
        <f>IF(AND(I.Developer.P1=TRUE,I.Facility.P1FacilityCount&gt;=2468,F2480=""),"Incomplete","Complete")</f>
        <v>Complete</v>
      </c>
      <c r="I2480" s="48" t="s">
        <v>6845</v>
      </c>
    </row>
    <row r="2481" spans="2:9" ht="15" customHeight="1" x14ac:dyDescent="0.25">
      <c r="B2481" s="55" t="s">
        <v>279</v>
      </c>
      <c r="C2481" s="46">
        <v>2469</v>
      </c>
      <c r="D2481" s="69" t="s">
        <v>29416</v>
      </c>
      <c r="E2481" s="51"/>
      <c r="F2481" s="114" t="str">
        <f>IF(INDEX(I.Facility.P1IDNumber,2469)="","",INDEX(I.Facility.P1IDNumber,2469))</f>
        <v/>
      </c>
      <c r="G2481" s="51"/>
      <c r="H2481" s="46" t="str">
        <f>IF(AND(I.Developer.P1=TRUE,I.Facility.P1FacilityCount&gt;=2469,F2481=""),"Incomplete","Complete")</f>
        <v>Complete</v>
      </c>
      <c r="I2481" s="48" t="s">
        <v>6846</v>
      </c>
    </row>
    <row r="2482" spans="2:9" ht="15" customHeight="1" x14ac:dyDescent="0.25">
      <c r="B2482" s="55" t="s">
        <v>279</v>
      </c>
      <c r="C2482" s="46">
        <v>2470</v>
      </c>
      <c r="D2482" s="69" t="s">
        <v>29416</v>
      </c>
      <c r="E2482" s="51"/>
      <c r="F2482" s="114" t="str">
        <f>IF(INDEX(I.Facility.P1IDNumber,2470)="","",INDEX(I.Facility.P1IDNumber,2470))</f>
        <v/>
      </c>
      <c r="G2482" s="51"/>
      <c r="H2482" s="46" t="str">
        <f>IF(AND(I.Developer.P1=TRUE,I.Facility.P1FacilityCount&gt;=2470,F2482=""),"Incomplete","Complete")</f>
        <v>Complete</v>
      </c>
      <c r="I2482" s="48" t="s">
        <v>6847</v>
      </c>
    </row>
    <row r="2483" spans="2:9" ht="15" customHeight="1" x14ac:dyDescent="0.25">
      <c r="B2483" s="55" t="s">
        <v>279</v>
      </c>
      <c r="C2483" s="46">
        <v>2471</v>
      </c>
      <c r="D2483" s="69" t="s">
        <v>29416</v>
      </c>
      <c r="E2483" s="51"/>
      <c r="F2483" s="114" t="str">
        <f>IF(INDEX(I.Facility.P1IDNumber,2471)="","",INDEX(I.Facility.P1IDNumber,2471))</f>
        <v/>
      </c>
      <c r="G2483" s="51"/>
      <c r="H2483" s="46" t="str">
        <f>IF(AND(I.Developer.P1=TRUE,I.Facility.P1FacilityCount&gt;=2471,F2483=""),"Incomplete","Complete")</f>
        <v>Complete</v>
      </c>
      <c r="I2483" s="48" t="s">
        <v>6848</v>
      </c>
    </row>
    <row r="2484" spans="2:9" ht="15" customHeight="1" x14ac:dyDescent="0.25">
      <c r="B2484" s="55" t="s">
        <v>279</v>
      </c>
      <c r="C2484" s="46">
        <v>2472</v>
      </c>
      <c r="D2484" s="69" t="s">
        <v>29416</v>
      </c>
      <c r="E2484" s="51"/>
      <c r="F2484" s="114" t="str">
        <f>IF(INDEX(I.Facility.P1IDNumber,2472)="","",INDEX(I.Facility.P1IDNumber,2472))</f>
        <v/>
      </c>
      <c r="G2484" s="51"/>
      <c r="H2484" s="46" t="str">
        <f>IF(AND(I.Developer.P1=TRUE,I.Facility.P1FacilityCount&gt;=2472,F2484=""),"Incomplete","Complete")</f>
        <v>Complete</v>
      </c>
      <c r="I2484" s="48" t="s">
        <v>6849</v>
      </c>
    </row>
    <row r="2485" spans="2:9" ht="15" customHeight="1" x14ac:dyDescent="0.25">
      <c r="B2485" s="55" t="s">
        <v>279</v>
      </c>
      <c r="C2485" s="46">
        <v>2473</v>
      </c>
      <c r="D2485" s="69" t="s">
        <v>29416</v>
      </c>
      <c r="E2485" s="51"/>
      <c r="F2485" s="114" t="str">
        <f>IF(INDEX(I.Facility.P1IDNumber,2473)="","",INDEX(I.Facility.P1IDNumber,2473))</f>
        <v/>
      </c>
      <c r="G2485" s="51"/>
      <c r="H2485" s="46" t="str">
        <f>IF(AND(I.Developer.P1=TRUE,I.Facility.P1FacilityCount&gt;=2473,F2485=""),"Incomplete","Complete")</f>
        <v>Complete</v>
      </c>
      <c r="I2485" s="48" t="s">
        <v>6850</v>
      </c>
    </row>
    <row r="2486" spans="2:9" ht="15" customHeight="1" x14ac:dyDescent="0.25">
      <c r="B2486" s="55" t="s">
        <v>279</v>
      </c>
      <c r="C2486" s="46">
        <v>2474</v>
      </c>
      <c r="D2486" s="69" t="s">
        <v>29416</v>
      </c>
      <c r="E2486" s="51"/>
      <c r="F2486" s="114" t="str">
        <f>IF(INDEX(I.Facility.P1IDNumber,2474)="","",INDEX(I.Facility.P1IDNumber,2474))</f>
        <v/>
      </c>
      <c r="G2486" s="51"/>
      <c r="H2486" s="46" t="str">
        <f>IF(AND(I.Developer.P1=TRUE,I.Facility.P1FacilityCount&gt;=2474,F2486=""),"Incomplete","Complete")</f>
        <v>Complete</v>
      </c>
      <c r="I2486" s="48" t="s">
        <v>6851</v>
      </c>
    </row>
    <row r="2487" spans="2:9" ht="15" customHeight="1" x14ac:dyDescent="0.25">
      <c r="B2487" s="55" t="s">
        <v>279</v>
      </c>
      <c r="C2487" s="46">
        <v>2475</v>
      </c>
      <c r="D2487" s="69" t="s">
        <v>29416</v>
      </c>
      <c r="E2487" s="51"/>
      <c r="F2487" s="114" t="str">
        <f>IF(INDEX(I.Facility.P1IDNumber,2475)="","",INDEX(I.Facility.P1IDNumber,2475))</f>
        <v/>
      </c>
      <c r="G2487" s="51"/>
      <c r="H2487" s="46" t="str">
        <f>IF(AND(I.Developer.P1=TRUE,I.Facility.P1FacilityCount&gt;=2475,F2487=""),"Incomplete","Complete")</f>
        <v>Complete</v>
      </c>
      <c r="I2487" s="48" t="s">
        <v>6852</v>
      </c>
    </row>
    <row r="2488" spans="2:9" ht="15" customHeight="1" x14ac:dyDescent="0.25">
      <c r="B2488" s="55" t="s">
        <v>279</v>
      </c>
      <c r="C2488" s="46">
        <v>2476</v>
      </c>
      <c r="D2488" s="69" t="s">
        <v>29416</v>
      </c>
      <c r="E2488" s="51"/>
      <c r="F2488" s="114" t="str">
        <f>IF(INDEX(I.Facility.P1IDNumber,2476)="","",INDEX(I.Facility.P1IDNumber,2476))</f>
        <v/>
      </c>
      <c r="G2488" s="51"/>
      <c r="H2488" s="46" t="str">
        <f>IF(AND(I.Developer.P1=TRUE,I.Facility.P1FacilityCount&gt;=2476,F2488=""),"Incomplete","Complete")</f>
        <v>Complete</v>
      </c>
      <c r="I2488" s="48" t="s">
        <v>6853</v>
      </c>
    </row>
    <row r="2489" spans="2:9" ht="15" customHeight="1" x14ac:dyDescent="0.25">
      <c r="B2489" s="55" t="s">
        <v>279</v>
      </c>
      <c r="C2489" s="46">
        <v>2477</v>
      </c>
      <c r="D2489" s="69" t="s">
        <v>29416</v>
      </c>
      <c r="E2489" s="51"/>
      <c r="F2489" s="114" t="str">
        <f>IF(INDEX(I.Facility.P1IDNumber,2477)="","",INDEX(I.Facility.P1IDNumber,2477))</f>
        <v/>
      </c>
      <c r="G2489" s="51"/>
      <c r="H2489" s="46" t="str">
        <f>IF(AND(I.Developer.P1=TRUE,I.Facility.P1FacilityCount&gt;=2477,F2489=""),"Incomplete","Complete")</f>
        <v>Complete</v>
      </c>
      <c r="I2489" s="48" t="s">
        <v>6854</v>
      </c>
    </row>
    <row r="2490" spans="2:9" ht="15" customHeight="1" x14ac:dyDescent="0.25">
      <c r="B2490" s="55" t="s">
        <v>279</v>
      </c>
      <c r="C2490" s="46">
        <v>2478</v>
      </c>
      <c r="D2490" s="69" t="s">
        <v>29416</v>
      </c>
      <c r="E2490" s="51"/>
      <c r="F2490" s="114" t="str">
        <f>IF(INDEX(I.Facility.P1IDNumber,2478)="","",INDEX(I.Facility.P1IDNumber,2478))</f>
        <v/>
      </c>
      <c r="G2490" s="51"/>
      <c r="H2490" s="46" t="str">
        <f>IF(AND(I.Developer.P1=TRUE,I.Facility.P1FacilityCount&gt;=2478,F2490=""),"Incomplete","Complete")</f>
        <v>Complete</v>
      </c>
      <c r="I2490" s="48" t="s">
        <v>6855</v>
      </c>
    </row>
    <row r="2491" spans="2:9" ht="15" customHeight="1" x14ac:dyDescent="0.25">
      <c r="B2491" s="55" t="s">
        <v>279</v>
      </c>
      <c r="C2491" s="46">
        <v>2479</v>
      </c>
      <c r="D2491" s="69" t="s">
        <v>29416</v>
      </c>
      <c r="E2491" s="51"/>
      <c r="F2491" s="114" t="str">
        <f>IF(INDEX(I.Facility.P1IDNumber,2479)="","",INDEX(I.Facility.P1IDNumber,2479))</f>
        <v/>
      </c>
      <c r="G2491" s="51"/>
      <c r="H2491" s="46" t="str">
        <f>IF(AND(I.Developer.P1=TRUE,I.Facility.P1FacilityCount&gt;=2479,F2491=""),"Incomplete","Complete")</f>
        <v>Complete</v>
      </c>
      <c r="I2491" s="48" t="s">
        <v>6856</v>
      </c>
    </row>
    <row r="2492" spans="2:9" ht="15" customHeight="1" x14ac:dyDescent="0.25">
      <c r="B2492" s="55" t="s">
        <v>279</v>
      </c>
      <c r="C2492" s="46">
        <v>2480</v>
      </c>
      <c r="D2492" s="69" t="s">
        <v>29416</v>
      </c>
      <c r="E2492" s="51"/>
      <c r="F2492" s="114" t="str">
        <f>IF(INDEX(I.Facility.P1IDNumber,2480)="","",INDEX(I.Facility.P1IDNumber,2480))</f>
        <v/>
      </c>
      <c r="G2492" s="51"/>
      <c r="H2492" s="46" t="str">
        <f>IF(AND(I.Developer.P1=TRUE,I.Facility.P1FacilityCount&gt;=2480,F2492=""),"Incomplete","Complete")</f>
        <v>Complete</v>
      </c>
      <c r="I2492" s="48" t="s">
        <v>6857</v>
      </c>
    </row>
    <row r="2493" spans="2:9" ht="15" customHeight="1" x14ac:dyDescent="0.25">
      <c r="B2493" s="55" t="s">
        <v>279</v>
      </c>
      <c r="C2493" s="46">
        <v>2481</v>
      </c>
      <c r="D2493" s="69" t="s">
        <v>29416</v>
      </c>
      <c r="E2493" s="51"/>
      <c r="F2493" s="114" t="str">
        <f>IF(INDEX(I.Facility.P1IDNumber,2481)="","",INDEX(I.Facility.P1IDNumber,2481))</f>
        <v/>
      </c>
      <c r="G2493" s="51"/>
      <c r="H2493" s="46" t="str">
        <f>IF(AND(I.Developer.P1=TRUE,I.Facility.P1FacilityCount&gt;=2481,F2493=""),"Incomplete","Complete")</f>
        <v>Complete</v>
      </c>
      <c r="I2493" s="48" t="s">
        <v>6858</v>
      </c>
    </row>
    <row r="2494" spans="2:9" ht="15" customHeight="1" x14ac:dyDescent="0.25">
      <c r="B2494" s="55" t="s">
        <v>279</v>
      </c>
      <c r="C2494" s="46">
        <v>2482</v>
      </c>
      <c r="D2494" s="69" t="s">
        <v>29416</v>
      </c>
      <c r="E2494" s="51"/>
      <c r="F2494" s="114" t="str">
        <f>IF(INDEX(I.Facility.P1IDNumber,2482)="","",INDEX(I.Facility.P1IDNumber,2482))</f>
        <v/>
      </c>
      <c r="G2494" s="51"/>
      <c r="H2494" s="46" t="str">
        <f>IF(AND(I.Developer.P1=TRUE,I.Facility.P1FacilityCount&gt;=2482,F2494=""),"Incomplete","Complete")</f>
        <v>Complete</v>
      </c>
      <c r="I2494" s="48" t="s">
        <v>6859</v>
      </c>
    </row>
    <row r="2495" spans="2:9" ht="15" customHeight="1" x14ac:dyDescent="0.25">
      <c r="B2495" s="55" t="s">
        <v>279</v>
      </c>
      <c r="C2495" s="46">
        <v>2483</v>
      </c>
      <c r="D2495" s="69" t="s">
        <v>29416</v>
      </c>
      <c r="E2495" s="51"/>
      <c r="F2495" s="114" t="str">
        <f>IF(INDEX(I.Facility.P1IDNumber,2483)="","",INDEX(I.Facility.P1IDNumber,2483))</f>
        <v/>
      </c>
      <c r="G2495" s="51"/>
      <c r="H2495" s="46" t="str">
        <f>IF(AND(I.Developer.P1=TRUE,I.Facility.P1FacilityCount&gt;=2483,F2495=""),"Incomplete","Complete")</f>
        <v>Complete</v>
      </c>
      <c r="I2495" s="48" t="s">
        <v>6860</v>
      </c>
    </row>
    <row r="2496" spans="2:9" ht="15" customHeight="1" x14ac:dyDescent="0.25">
      <c r="B2496" s="55" t="s">
        <v>279</v>
      </c>
      <c r="C2496" s="46">
        <v>2484</v>
      </c>
      <c r="D2496" s="69" t="s">
        <v>29416</v>
      </c>
      <c r="E2496" s="51"/>
      <c r="F2496" s="114" t="str">
        <f>IF(INDEX(I.Facility.P1IDNumber,2484)="","",INDEX(I.Facility.P1IDNumber,2484))</f>
        <v/>
      </c>
      <c r="G2496" s="51"/>
      <c r="H2496" s="46" t="str">
        <f>IF(AND(I.Developer.P1=TRUE,I.Facility.P1FacilityCount&gt;=2484,F2496=""),"Incomplete","Complete")</f>
        <v>Complete</v>
      </c>
      <c r="I2496" s="48" t="s">
        <v>6861</v>
      </c>
    </row>
    <row r="2497" spans="2:9" ht="15" customHeight="1" x14ac:dyDescent="0.25">
      <c r="B2497" s="55" t="s">
        <v>279</v>
      </c>
      <c r="C2497" s="46">
        <v>2485</v>
      </c>
      <c r="D2497" s="69" t="s">
        <v>29416</v>
      </c>
      <c r="E2497" s="51"/>
      <c r="F2497" s="114" t="str">
        <f>IF(INDEX(I.Facility.P1IDNumber,2485)="","",INDEX(I.Facility.P1IDNumber,2485))</f>
        <v/>
      </c>
      <c r="G2497" s="51"/>
      <c r="H2497" s="46" t="str">
        <f>IF(AND(I.Developer.P1=TRUE,I.Facility.P1FacilityCount&gt;=2485,F2497=""),"Incomplete","Complete")</f>
        <v>Complete</v>
      </c>
      <c r="I2497" s="48" t="s">
        <v>6862</v>
      </c>
    </row>
    <row r="2498" spans="2:9" ht="15" customHeight="1" x14ac:dyDescent="0.25">
      <c r="B2498" s="55" t="s">
        <v>279</v>
      </c>
      <c r="C2498" s="46">
        <v>2486</v>
      </c>
      <c r="D2498" s="69" t="s">
        <v>29416</v>
      </c>
      <c r="E2498" s="51"/>
      <c r="F2498" s="114" t="str">
        <f>IF(INDEX(I.Facility.P1IDNumber,2486)="","",INDEX(I.Facility.P1IDNumber,2486))</f>
        <v/>
      </c>
      <c r="G2498" s="51"/>
      <c r="H2498" s="46" t="str">
        <f>IF(AND(I.Developer.P1=TRUE,I.Facility.P1FacilityCount&gt;=2486,F2498=""),"Incomplete","Complete")</f>
        <v>Complete</v>
      </c>
      <c r="I2498" s="48" t="s">
        <v>6863</v>
      </c>
    </row>
    <row r="2499" spans="2:9" ht="15" customHeight="1" x14ac:dyDescent="0.25">
      <c r="B2499" s="55" t="s">
        <v>279</v>
      </c>
      <c r="C2499" s="46">
        <v>2487</v>
      </c>
      <c r="D2499" s="69" t="s">
        <v>29416</v>
      </c>
      <c r="E2499" s="51"/>
      <c r="F2499" s="114" t="str">
        <f>IF(INDEX(I.Facility.P1IDNumber,2487)="","",INDEX(I.Facility.P1IDNumber,2487))</f>
        <v/>
      </c>
      <c r="G2499" s="51"/>
      <c r="H2499" s="46" t="str">
        <f>IF(AND(I.Developer.P1=TRUE,I.Facility.P1FacilityCount&gt;=2487,F2499=""),"Incomplete","Complete")</f>
        <v>Complete</v>
      </c>
      <c r="I2499" s="48" t="s">
        <v>6864</v>
      </c>
    </row>
    <row r="2500" spans="2:9" ht="15" customHeight="1" x14ac:dyDescent="0.25">
      <c r="B2500" s="55" t="s">
        <v>279</v>
      </c>
      <c r="C2500" s="46">
        <v>2488</v>
      </c>
      <c r="D2500" s="69" t="s">
        <v>29416</v>
      </c>
      <c r="E2500" s="51"/>
      <c r="F2500" s="114" t="str">
        <f>IF(INDEX(I.Facility.P1IDNumber,2488)="","",INDEX(I.Facility.P1IDNumber,2488))</f>
        <v/>
      </c>
      <c r="G2500" s="51"/>
      <c r="H2500" s="46" t="str">
        <f>IF(AND(I.Developer.P1=TRUE,I.Facility.P1FacilityCount&gt;=2488,F2500=""),"Incomplete","Complete")</f>
        <v>Complete</v>
      </c>
      <c r="I2500" s="48" t="s">
        <v>6865</v>
      </c>
    </row>
    <row r="2501" spans="2:9" ht="15" customHeight="1" x14ac:dyDescent="0.25">
      <c r="B2501" s="55" t="s">
        <v>279</v>
      </c>
      <c r="C2501" s="46">
        <v>2489</v>
      </c>
      <c r="D2501" s="69" t="s">
        <v>29416</v>
      </c>
      <c r="E2501" s="51"/>
      <c r="F2501" s="114" t="str">
        <f>IF(INDEX(I.Facility.P1IDNumber,2489)="","",INDEX(I.Facility.P1IDNumber,2489))</f>
        <v/>
      </c>
      <c r="G2501" s="51"/>
      <c r="H2501" s="46" t="str">
        <f>IF(AND(I.Developer.P1=TRUE,I.Facility.P1FacilityCount&gt;=2489,F2501=""),"Incomplete","Complete")</f>
        <v>Complete</v>
      </c>
      <c r="I2501" s="48" t="s">
        <v>6866</v>
      </c>
    </row>
    <row r="2502" spans="2:9" ht="15" customHeight="1" x14ac:dyDescent="0.25">
      <c r="B2502" s="55" t="s">
        <v>279</v>
      </c>
      <c r="C2502" s="46">
        <v>2490</v>
      </c>
      <c r="D2502" s="69" t="s">
        <v>29416</v>
      </c>
      <c r="E2502" s="51"/>
      <c r="F2502" s="114" t="str">
        <f>IF(INDEX(I.Facility.P1IDNumber,2490)="","",INDEX(I.Facility.P1IDNumber,2490))</f>
        <v/>
      </c>
      <c r="G2502" s="51"/>
      <c r="H2502" s="46" t="str">
        <f>IF(AND(I.Developer.P1=TRUE,I.Facility.P1FacilityCount&gt;=2490,F2502=""),"Incomplete","Complete")</f>
        <v>Complete</v>
      </c>
      <c r="I2502" s="48" t="s">
        <v>6867</v>
      </c>
    </row>
    <row r="2503" spans="2:9" ht="15" customHeight="1" x14ac:dyDescent="0.25">
      <c r="B2503" s="55" t="s">
        <v>279</v>
      </c>
      <c r="C2503" s="46">
        <v>2491</v>
      </c>
      <c r="D2503" s="69" t="s">
        <v>29416</v>
      </c>
      <c r="E2503" s="51"/>
      <c r="F2503" s="114" t="str">
        <f>IF(INDEX(I.Facility.P1IDNumber,2491)="","",INDEX(I.Facility.P1IDNumber,2491))</f>
        <v/>
      </c>
      <c r="G2503" s="51"/>
      <c r="H2503" s="46" t="str">
        <f>IF(AND(I.Developer.P1=TRUE,I.Facility.P1FacilityCount&gt;=2491,F2503=""),"Incomplete","Complete")</f>
        <v>Complete</v>
      </c>
      <c r="I2503" s="48" t="s">
        <v>6868</v>
      </c>
    </row>
    <row r="2504" spans="2:9" ht="15" customHeight="1" x14ac:dyDescent="0.25">
      <c r="B2504" s="55" t="s">
        <v>279</v>
      </c>
      <c r="C2504" s="46">
        <v>2492</v>
      </c>
      <c r="D2504" s="69" t="s">
        <v>29416</v>
      </c>
      <c r="E2504" s="51"/>
      <c r="F2504" s="114" t="str">
        <f>IF(INDEX(I.Facility.P1IDNumber,2492)="","",INDEX(I.Facility.P1IDNumber,2492))</f>
        <v/>
      </c>
      <c r="G2504" s="51"/>
      <c r="H2504" s="46" t="str">
        <f>IF(AND(I.Developer.P1=TRUE,I.Facility.P1FacilityCount&gt;=2492,F2504=""),"Incomplete","Complete")</f>
        <v>Complete</v>
      </c>
      <c r="I2504" s="48" t="s">
        <v>6869</v>
      </c>
    </row>
    <row r="2505" spans="2:9" ht="15" customHeight="1" x14ac:dyDescent="0.25">
      <c r="B2505" s="55" t="s">
        <v>279</v>
      </c>
      <c r="C2505" s="46">
        <v>2493</v>
      </c>
      <c r="D2505" s="69" t="s">
        <v>29416</v>
      </c>
      <c r="E2505" s="51"/>
      <c r="F2505" s="114" t="str">
        <f>IF(INDEX(I.Facility.P1IDNumber,2493)="","",INDEX(I.Facility.P1IDNumber,2493))</f>
        <v/>
      </c>
      <c r="G2505" s="51"/>
      <c r="H2505" s="46" t="str">
        <f>IF(AND(I.Developer.P1=TRUE,I.Facility.P1FacilityCount&gt;=2493,F2505=""),"Incomplete","Complete")</f>
        <v>Complete</v>
      </c>
      <c r="I2505" s="48" t="s">
        <v>6870</v>
      </c>
    </row>
    <row r="2506" spans="2:9" ht="15" customHeight="1" x14ac:dyDescent="0.25">
      <c r="B2506" s="55" t="s">
        <v>279</v>
      </c>
      <c r="C2506" s="46">
        <v>2494</v>
      </c>
      <c r="D2506" s="69" t="s">
        <v>29416</v>
      </c>
      <c r="E2506" s="51"/>
      <c r="F2506" s="114" t="str">
        <f>IF(INDEX(I.Facility.P1IDNumber,2494)="","",INDEX(I.Facility.P1IDNumber,2494))</f>
        <v/>
      </c>
      <c r="G2506" s="51"/>
      <c r="H2506" s="46" t="str">
        <f>IF(AND(I.Developer.P1=TRUE,I.Facility.P1FacilityCount&gt;=2494,F2506=""),"Incomplete","Complete")</f>
        <v>Complete</v>
      </c>
      <c r="I2506" s="48" t="s">
        <v>6871</v>
      </c>
    </row>
    <row r="2507" spans="2:9" ht="15" customHeight="1" x14ac:dyDescent="0.25">
      <c r="B2507" s="55" t="s">
        <v>279</v>
      </c>
      <c r="C2507" s="46">
        <v>2495</v>
      </c>
      <c r="D2507" s="69" t="s">
        <v>29416</v>
      </c>
      <c r="E2507" s="51"/>
      <c r="F2507" s="114" t="str">
        <f>IF(INDEX(I.Facility.P1IDNumber,2495)="","",INDEX(I.Facility.P1IDNumber,2495))</f>
        <v/>
      </c>
      <c r="G2507" s="51"/>
      <c r="H2507" s="46" t="str">
        <f>IF(AND(I.Developer.P1=TRUE,I.Facility.P1FacilityCount&gt;=2495,F2507=""),"Incomplete","Complete")</f>
        <v>Complete</v>
      </c>
      <c r="I2507" s="48" t="s">
        <v>6872</v>
      </c>
    </row>
    <row r="2508" spans="2:9" ht="15" customHeight="1" x14ac:dyDescent="0.25">
      <c r="B2508" s="55" t="s">
        <v>279</v>
      </c>
      <c r="C2508" s="46">
        <v>2496</v>
      </c>
      <c r="D2508" s="69" t="s">
        <v>29416</v>
      </c>
      <c r="E2508" s="51"/>
      <c r="F2508" s="114" t="str">
        <f>IF(INDEX(I.Facility.P1IDNumber,2496)="","",INDEX(I.Facility.P1IDNumber,2496))</f>
        <v/>
      </c>
      <c r="G2508" s="51"/>
      <c r="H2508" s="46" t="str">
        <f>IF(AND(I.Developer.P1=TRUE,I.Facility.P1FacilityCount&gt;=2496,F2508=""),"Incomplete","Complete")</f>
        <v>Complete</v>
      </c>
      <c r="I2508" s="48" t="s">
        <v>6873</v>
      </c>
    </row>
    <row r="2509" spans="2:9" ht="15" customHeight="1" x14ac:dyDescent="0.25">
      <c r="B2509" s="55" t="s">
        <v>279</v>
      </c>
      <c r="C2509" s="46">
        <v>2497</v>
      </c>
      <c r="D2509" s="69" t="s">
        <v>29416</v>
      </c>
      <c r="E2509" s="51"/>
      <c r="F2509" s="114" t="str">
        <f>IF(INDEX(I.Facility.P1IDNumber,2497)="","",INDEX(I.Facility.P1IDNumber,2497))</f>
        <v/>
      </c>
      <c r="G2509" s="51"/>
      <c r="H2509" s="46" t="str">
        <f>IF(AND(I.Developer.P1=TRUE,I.Facility.P1FacilityCount&gt;=2497,F2509=""),"Incomplete","Complete")</f>
        <v>Complete</v>
      </c>
      <c r="I2509" s="48" t="s">
        <v>6874</v>
      </c>
    </row>
    <row r="2510" spans="2:9" ht="15" customHeight="1" x14ac:dyDescent="0.25">
      <c r="B2510" s="55" t="s">
        <v>279</v>
      </c>
      <c r="C2510" s="46">
        <v>2498</v>
      </c>
      <c r="D2510" s="69" t="s">
        <v>29416</v>
      </c>
      <c r="E2510" s="51"/>
      <c r="F2510" s="114" t="str">
        <f>IF(INDEX(I.Facility.P1IDNumber,2498)="","",INDEX(I.Facility.P1IDNumber,2498))</f>
        <v/>
      </c>
      <c r="G2510" s="51"/>
      <c r="H2510" s="46" t="str">
        <f>IF(AND(I.Developer.P1=TRUE,I.Facility.P1FacilityCount&gt;=2498,F2510=""),"Incomplete","Complete")</f>
        <v>Complete</v>
      </c>
      <c r="I2510" s="48" t="s">
        <v>6875</v>
      </c>
    </row>
    <row r="2511" spans="2:9" ht="15" customHeight="1" x14ac:dyDescent="0.25">
      <c r="B2511" s="55" t="s">
        <v>279</v>
      </c>
      <c r="C2511" s="46">
        <v>2499</v>
      </c>
      <c r="D2511" s="69" t="s">
        <v>29416</v>
      </c>
      <c r="E2511" s="51"/>
      <c r="F2511" s="114" t="str">
        <f>IF(INDEX(I.Facility.P1IDNumber,2499)="","",INDEX(I.Facility.P1IDNumber,2499))</f>
        <v/>
      </c>
      <c r="G2511" s="51"/>
      <c r="H2511" s="46" t="str">
        <f>IF(AND(I.Developer.P1=TRUE,I.Facility.P1FacilityCount&gt;=2499,F2511=""),"Incomplete","Complete")</f>
        <v>Complete</v>
      </c>
      <c r="I2511" s="48" t="s">
        <v>6876</v>
      </c>
    </row>
    <row r="2512" spans="2:9" ht="15" customHeight="1" x14ac:dyDescent="0.25">
      <c r="B2512" s="55" t="s">
        <v>279</v>
      </c>
      <c r="C2512" s="46">
        <v>2500</v>
      </c>
      <c r="D2512" s="69" t="s">
        <v>29416</v>
      </c>
      <c r="E2512" s="51"/>
      <c r="F2512" s="114" t="str">
        <f>IF(INDEX(I.Facility.P1IDNumber,2500)="","",INDEX(I.Facility.P1IDNumber,2500))</f>
        <v/>
      </c>
      <c r="G2512" s="51"/>
      <c r="H2512" s="46" t="str">
        <f>IF(AND(I.Developer.P1=TRUE,I.Facility.P1FacilityCount&gt;=2500,F2512=""),"Incomplete","Complete")</f>
        <v>Complete</v>
      </c>
      <c r="I2512" s="48" t="s">
        <v>6877</v>
      </c>
    </row>
    <row r="2513" spans="2:9" ht="15" customHeight="1" x14ac:dyDescent="0.25">
      <c r="B2513" s="55" t="s">
        <v>279</v>
      </c>
      <c r="C2513" s="46">
        <v>2501</v>
      </c>
      <c r="D2513" s="69" t="s">
        <v>29416</v>
      </c>
      <c r="E2513" s="51"/>
      <c r="F2513" s="114" t="str">
        <f>IF(INDEX(I.Facility.P1IDNumber,2501)="","",INDEX(I.Facility.P1IDNumber,2501))</f>
        <v/>
      </c>
      <c r="G2513" s="51"/>
      <c r="H2513" s="46" t="str">
        <f>IF(AND(I.Developer.P1=TRUE,I.Facility.P1FacilityCount&gt;=2501,F2513=""),"Incomplete","Complete")</f>
        <v>Complete</v>
      </c>
      <c r="I2513" s="48" t="s">
        <v>6878</v>
      </c>
    </row>
    <row r="2514" spans="2:9" ht="15" customHeight="1" x14ac:dyDescent="0.25">
      <c r="B2514" s="55" t="s">
        <v>279</v>
      </c>
      <c r="C2514" s="46">
        <v>2502</v>
      </c>
      <c r="D2514" s="69" t="s">
        <v>29416</v>
      </c>
      <c r="E2514" s="51"/>
      <c r="F2514" s="114" t="str">
        <f>IF(INDEX(I.Facility.P1IDNumber,2502)="","",INDEX(I.Facility.P1IDNumber,2502))</f>
        <v/>
      </c>
      <c r="G2514" s="51"/>
      <c r="H2514" s="46" t="str">
        <f>IF(AND(I.Developer.P1=TRUE,I.Facility.P1FacilityCount&gt;=2502,F2514=""),"Incomplete","Complete")</f>
        <v>Complete</v>
      </c>
      <c r="I2514" s="48" t="s">
        <v>6879</v>
      </c>
    </row>
    <row r="2515" spans="2:9" ht="15" customHeight="1" x14ac:dyDescent="0.25">
      <c r="B2515" s="55" t="s">
        <v>279</v>
      </c>
      <c r="C2515" s="46">
        <v>2503</v>
      </c>
      <c r="D2515" s="69" t="s">
        <v>29416</v>
      </c>
      <c r="E2515" s="51"/>
      <c r="F2515" s="114" t="str">
        <f>IF(INDEX(I.Facility.P1IDNumber,2503)="","",INDEX(I.Facility.P1IDNumber,2503))</f>
        <v/>
      </c>
      <c r="G2515" s="51"/>
      <c r="H2515" s="46" t="str">
        <f>IF(AND(I.Developer.P1=TRUE,I.Facility.P1FacilityCount&gt;=2503,F2515=""),"Incomplete","Complete")</f>
        <v>Complete</v>
      </c>
      <c r="I2515" s="48" t="s">
        <v>6880</v>
      </c>
    </row>
    <row r="2516" spans="2:9" ht="15" customHeight="1" x14ac:dyDescent="0.25">
      <c r="B2516" s="55" t="s">
        <v>279</v>
      </c>
      <c r="C2516" s="46">
        <v>2504</v>
      </c>
      <c r="D2516" s="69" t="s">
        <v>29416</v>
      </c>
      <c r="E2516" s="51"/>
      <c r="F2516" s="114" t="str">
        <f>IF(INDEX(I.Facility.P1IDNumber,2504)="","",INDEX(I.Facility.P1IDNumber,2504))</f>
        <v/>
      </c>
      <c r="G2516" s="51"/>
      <c r="H2516" s="46" t="str">
        <f>IF(AND(I.Developer.P1=TRUE,I.Facility.P1FacilityCount&gt;=2504,F2516=""),"Incomplete","Complete")</f>
        <v>Complete</v>
      </c>
      <c r="I2516" s="48" t="s">
        <v>6881</v>
      </c>
    </row>
    <row r="2517" spans="2:9" ht="15" customHeight="1" x14ac:dyDescent="0.25">
      <c r="B2517" s="55" t="s">
        <v>279</v>
      </c>
      <c r="C2517" s="46">
        <v>2505</v>
      </c>
      <c r="D2517" s="69" t="s">
        <v>29416</v>
      </c>
      <c r="E2517" s="51"/>
      <c r="F2517" s="114" t="str">
        <f>IF(INDEX(I.Facility.P1IDNumber,2505)="","",INDEX(I.Facility.P1IDNumber,2505))</f>
        <v/>
      </c>
      <c r="G2517" s="51"/>
      <c r="H2517" s="46" t="str">
        <f>IF(AND(I.Developer.P1=TRUE,I.Facility.P1FacilityCount&gt;=2505,F2517=""),"Incomplete","Complete")</f>
        <v>Complete</v>
      </c>
      <c r="I2517" s="48" t="s">
        <v>6882</v>
      </c>
    </row>
    <row r="2518" spans="2:9" ht="15" customHeight="1" x14ac:dyDescent="0.25">
      <c r="B2518" s="55" t="s">
        <v>279</v>
      </c>
      <c r="C2518" s="46">
        <v>2506</v>
      </c>
      <c r="D2518" s="69" t="s">
        <v>29416</v>
      </c>
      <c r="E2518" s="51"/>
      <c r="F2518" s="114" t="str">
        <f>IF(INDEX(I.Facility.P1IDNumber,2506)="","",INDEX(I.Facility.P1IDNumber,2506))</f>
        <v/>
      </c>
      <c r="G2518" s="51"/>
      <c r="H2518" s="46" t="str">
        <f>IF(AND(I.Developer.P1=TRUE,I.Facility.P1FacilityCount&gt;=2506,F2518=""),"Incomplete","Complete")</f>
        <v>Complete</v>
      </c>
      <c r="I2518" s="48" t="s">
        <v>6883</v>
      </c>
    </row>
    <row r="2519" spans="2:9" ht="15" customHeight="1" x14ac:dyDescent="0.25">
      <c r="B2519" s="55" t="s">
        <v>279</v>
      </c>
      <c r="C2519" s="46">
        <v>2507</v>
      </c>
      <c r="D2519" s="69" t="s">
        <v>29416</v>
      </c>
      <c r="E2519" s="51"/>
      <c r="F2519" s="114" t="str">
        <f>IF(INDEX(I.Facility.P1IDNumber,2507)="","",INDEX(I.Facility.P1IDNumber,2507))</f>
        <v/>
      </c>
      <c r="G2519" s="51"/>
      <c r="H2519" s="46" t="str">
        <f>IF(AND(I.Developer.P1=TRUE,I.Facility.P1FacilityCount&gt;=2507,F2519=""),"Incomplete","Complete")</f>
        <v>Complete</v>
      </c>
      <c r="I2519" s="48" t="s">
        <v>6884</v>
      </c>
    </row>
    <row r="2520" spans="2:9" ht="15" customHeight="1" x14ac:dyDescent="0.25">
      <c r="B2520" s="55" t="s">
        <v>279</v>
      </c>
      <c r="C2520" s="46">
        <v>2508</v>
      </c>
      <c r="D2520" s="69" t="s">
        <v>29416</v>
      </c>
      <c r="E2520" s="51"/>
      <c r="F2520" s="114" t="str">
        <f>IF(INDEX(I.Facility.P1IDNumber,2508)="","",INDEX(I.Facility.P1IDNumber,2508))</f>
        <v/>
      </c>
      <c r="G2520" s="51"/>
      <c r="H2520" s="46" t="str">
        <f>IF(AND(I.Developer.P1=TRUE,I.Facility.P1FacilityCount&gt;=2508,F2520=""),"Incomplete","Complete")</f>
        <v>Complete</v>
      </c>
      <c r="I2520" s="48" t="s">
        <v>6885</v>
      </c>
    </row>
    <row r="2521" spans="2:9" ht="15" customHeight="1" x14ac:dyDescent="0.25">
      <c r="B2521" s="55" t="s">
        <v>279</v>
      </c>
      <c r="C2521" s="46">
        <v>2509</v>
      </c>
      <c r="D2521" s="69" t="s">
        <v>29416</v>
      </c>
      <c r="E2521" s="51"/>
      <c r="F2521" s="114" t="str">
        <f>IF(INDEX(I.Facility.P1IDNumber,2509)="","",INDEX(I.Facility.P1IDNumber,2509))</f>
        <v/>
      </c>
      <c r="G2521" s="51"/>
      <c r="H2521" s="46" t="str">
        <f>IF(AND(I.Developer.P1=TRUE,I.Facility.P1FacilityCount&gt;=2509,F2521=""),"Incomplete","Complete")</f>
        <v>Complete</v>
      </c>
      <c r="I2521" s="48" t="s">
        <v>6886</v>
      </c>
    </row>
    <row r="2522" spans="2:9" ht="15" customHeight="1" x14ac:dyDescent="0.25">
      <c r="B2522" s="55" t="s">
        <v>279</v>
      </c>
      <c r="C2522" s="46">
        <v>2510</v>
      </c>
      <c r="D2522" s="69" t="s">
        <v>29416</v>
      </c>
      <c r="E2522" s="51"/>
      <c r="F2522" s="114" t="str">
        <f>IF(INDEX(I.Facility.P1IDNumber,2510)="","",INDEX(I.Facility.P1IDNumber,2510))</f>
        <v/>
      </c>
      <c r="G2522" s="51"/>
      <c r="H2522" s="46" t="str">
        <f>IF(AND(I.Developer.P1=TRUE,I.Facility.P1FacilityCount&gt;=2510,F2522=""),"Incomplete","Complete")</f>
        <v>Complete</v>
      </c>
      <c r="I2522" s="48" t="s">
        <v>6887</v>
      </c>
    </row>
    <row r="2523" spans="2:9" ht="15" customHeight="1" x14ac:dyDescent="0.25">
      <c r="B2523" s="55" t="s">
        <v>279</v>
      </c>
      <c r="C2523" s="46">
        <v>2511</v>
      </c>
      <c r="D2523" s="69" t="s">
        <v>29416</v>
      </c>
      <c r="E2523" s="51"/>
      <c r="F2523" s="114" t="str">
        <f>IF(INDEX(I.Facility.P1IDNumber,2511)="","",INDEX(I.Facility.P1IDNumber,2511))</f>
        <v/>
      </c>
      <c r="G2523" s="51"/>
      <c r="H2523" s="46" t="str">
        <f>IF(AND(I.Developer.P1=TRUE,I.Facility.P1FacilityCount&gt;=2511,F2523=""),"Incomplete","Complete")</f>
        <v>Complete</v>
      </c>
      <c r="I2523" s="48" t="s">
        <v>6888</v>
      </c>
    </row>
    <row r="2524" spans="2:9" ht="15" customHeight="1" x14ac:dyDescent="0.25">
      <c r="B2524" s="55" t="s">
        <v>279</v>
      </c>
      <c r="C2524" s="46">
        <v>2512</v>
      </c>
      <c r="D2524" s="69" t="s">
        <v>29416</v>
      </c>
      <c r="E2524" s="51"/>
      <c r="F2524" s="114" t="str">
        <f>IF(INDEX(I.Facility.P1IDNumber,2512)="","",INDEX(I.Facility.P1IDNumber,2512))</f>
        <v/>
      </c>
      <c r="G2524" s="51"/>
      <c r="H2524" s="46" t="str">
        <f>IF(AND(I.Developer.P1=TRUE,I.Facility.P1FacilityCount&gt;=2512,F2524=""),"Incomplete","Complete")</f>
        <v>Complete</v>
      </c>
      <c r="I2524" s="48" t="s">
        <v>6889</v>
      </c>
    </row>
    <row r="2525" spans="2:9" ht="15" customHeight="1" x14ac:dyDescent="0.25">
      <c r="B2525" s="55" t="s">
        <v>279</v>
      </c>
      <c r="C2525" s="46">
        <v>2513</v>
      </c>
      <c r="D2525" s="69" t="s">
        <v>29416</v>
      </c>
      <c r="E2525" s="51"/>
      <c r="F2525" s="114" t="str">
        <f>IF(INDEX(I.Facility.P1IDNumber,2513)="","",INDEX(I.Facility.P1IDNumber,2513))</f>
        <v/>
      </c>
      <c r="G2525" s="51"/>
      <c r="H2525" s="46" t="str">
        <f>IF(AND(I.Developer.P1=TRUE,I.Facility.P1FacilityCount&gt;=2513,F2525=""),"Incomplete","Complete")</f>
        <v>Complete</v>
      </c>
      <c r="I2525" s="48" t="s">
        <v>6890</v>
      </c>
    </row>
    <row r="2526" spans="2:9" ht="15" customHeight="1" x14ac:dyDescent="0.25">
      <c r="B2526" s="55" t="s">
        <v>279</v>
      </c>
      <c r="C2526" s="46">
        <v>2514</v>
      </c>
      <c r="D2526" s="69" t="s">
        <v>29416</v>
      </c>
      <c r="E2526" s="51"/>
      <c r="F2526" s="114" t="str">
        <f>IF(INDEX(I.Facility.P1IDNumber,2514)="","",INDEX(I.Facility.P1IDNumber,2514))</f>
        <v/>
      </c>
      <c r="G2526" s="51"/>
      <c r="H2526" s="46" t="str">
        <f>IF(AND(I.Developer.P1=TRUE,I.Facility.P1FacilityCount&gt;=2514,F2526=""),"Incomplete","Complete")</f>
        <v>Complete</v>
      </c>
      <c r="I2526" s="48" t="s">
        <v>6891</v>
      </c>
    </row>
    <row r="2527" spans="2:9" ht="15" customHeight="1" x14ac:dyDescent="0.25">
      <c r="B2527" s="55" t="s">
        <v>279</v>
      </c>
      <c r="C2527" s="46">
        <v>2515</v>
      </c>
      <c r="D2527" s="69" t="s">
        <v>29416</v>
      </c>
      <c r="E2527" s="51"/>
      <c r="F2527" s="114" t="str">
        <f>IF(INDEX(I.Facility.P1IDNumber,2515)="","",INDEX(I.Facility.P1IDNumber,2515))</f>
        <v/>
      </c>
      <c r="G2527" s="51"/>
      <c r="H2527" s="46" t="str">
        <f>IF(AND(I.Developer.P1=TRUE,I.Facility.P1FacilityCount&gt;=2515,F2527=""),"Incomplete","Complete")</f>
        <v>Complete</v>
      </c>
      <c r="I2527" s="48" t="s">
        <v>6892</v>
      </c>
    </row>
    <row r="2528" spans="2:9" ht="15" customHeight="1" x14ac:dyDescent="0.25">
      <c r="B2528" s="55" t="s">
        <v>279</v>
      </c>
      <c r="C2528" s="46">
        <v>2516</v>
      </c>
      <c r="D2528" s="69" t="s">
        <v>29416</v>
      </c>
      <c r="E2528" s="51"/>
      <c r="F2528" s="114" t="str">
        <f>IF(INDEX(I.Facility.P1IDNumber,2516)="","",INDEX(I.Facility.P1IDNumber,2516))</f>
        <v/>
      </c>
      <c r="G2528" s="51"/>
      <c r="H2528" s="46" t="str">
        <f>IF(AND(I.Developer.P1=TRUE,I.Facility.P1FacilityCount&gt;=2516,F2528=""),"Incomplete","Complete")</f>
        <v>Complete</v>
      </c>
      <c r="I2528" s="48" t="s">
        <v>6893</v>
      </c>
    </row>
    <row r="2529" spans="2:9" ht="15" customHeight="1" x14ac:dyDescent="0.25">
      <c r="B2529" s="55" t="s">
        <v>279</v>
      </c>
      <c r="C2529" s="46">
        <v>2517</v>
      </c>
      <c r="D2529" s="69" t="s">
        <v>29416</v>
      </c>
      <c r="E2529" s="51"/>
      <c r="F2529" s="114" t="str">
        <f>IF(INDEX(I.Facility.P1IDNumber,2517)="","",INDEX(I.Facility.P1IDNumber,2517))</f>
        <v/>
      </c>
      <c r="G2529" s="51"/>
      <c r="H2529" s="46" t="str">
        <f>IF(AND(I.Developer.P1=TRUE,I.Facility.P1FacilityCount&gt;=2517,F2529=""),"Incomplete","Complete")</f>
        <v>Complete</v>
      </c>
      <c r="I2529" s="48" t="s">
        <v>6894</v>
      </c>
    </row>
    <row r="2530" spans="2:9" ht="15" customHeight="1" x14ac:dyDescent="0.25">
      <c r="B2530" s="55" t="s">
        <v>279</v>
      </c>
      <c r="C2530" s="46">
        <v>2518</v>
      </c>
      <c r="D2530" s="69" t="s">
        <v>29416</v>
      </c>
      <c r="E2530" s="51"/>
      <c r="F2530" s="114" t="str">
        <f>IF(INDEX(I.Facility.P1IDNumber,2518)="","",INDEX(I.Facility.P1IDNumber,2518))</f>
        <v/>
      </c>
      <c r="G2530" s="51"/>
      <c r="H2530" s="46" t="str">
        <f>IF(AND(I.Developer.P1=TRUE,I.Facility.P1FacilityCount&gt;=2518,F2530=""),"Incomplete","Complete")</f>
        <v>Complete</v>
      </c>
      <c r="I2530" s="48" t="s">
        <v>6895</v>
      </c>
    </row>
    <row r="2531" spans="2:9" ht="15" customHeight="1" x14ac:dyDescent="0.25">
      <c r="B2531" s="55" t="s">
        <v>279</v>
      </c>
      <c r="C2531" s="46">
        <v>2519</v>
      </c>
      <c r="D2531" s="69" t="s">
        <v>29416</v>
      </c>
      <c r="E2531" s="51"/>
      <c r="F2531" s="114" t="str">
        <f>IF(INDEX(I.Facility.P1IDNumber,2519)="","",INDEX(I.Facility.P1IDNumber,2519))</f>
        <v/>
      </c>
      <c r="G2531" s="51"/>
      <c r="H2531" s="46" t="str">
        <f>IF(AND(I.Developer.P1=TRUE,I.Facility.P1FacilityCount&gt;=2519,F2531=""),"Incomplete","Complete")</f>
        <v>Complete</v>
      </c>
      <c r="I2531" s="48" t="s">
        <v>6896</v>
      </c>
    </row>
    <row r="2532" spans="2:9" ht="15" customHeight="1" x14ac:dyDescent="0.25">
      <c r="B2532" s="55" t="s">
        <v>279</v>
      </c>
      <c r="C2532" s="46">
        <v>2520</v>
      </c>
      <c r="D2532" s="69" t="s">
        <v>29416</v>
      </c>
      <c r="E2532" s="51"/>
      <c r="F2532" s="114" t="str">
        <f>IF(INDEX(I.Facility.P1IDNumber,2520)="","",INDEX(I.Facility.P1IDNumber,2520))</f>
        <v/>
      </c>
      <c r="G2532" s="51"/>
      <c r="H2532" s="46" t="str">
        <f>IF(AND(I.Developer.P1=TRUE,I.Facility.P1FacilityCount&gt;=2520,F2532=""),"Incomplete","Complete")</f>
        <v>Complete</v>
      </c>
      <c r="I2532" s="48" t="s">
        <v>6897</v>
      </c>
    </row>
    <row r="2533" spans="2:9" ht="15" customHeight="1" x14ac:dyDescent="0.25">
      <c r="B2533" s="55" t="s">
        <v>279</v>
      </c>
      <c r="C2533" s="46">
        <v>2521</v>
      </c>
      <c r="D2533" s="69" t="s">
        <v>29416</v>
      </c>
      <c r="E2533" s="51"/>
      <c r="F2533" s="114" t="str">
        <f>IF(INDEX(I.Facility.P1IDNumber,2521)="","",INDEX(I.Facility.P1IDNumber,2521))</f>
        <v/>
      </c>
      <c r="G2533" s="51"/>
      <c r="H2533" s="46" t="str">
        <f>IF(AND(I.Developer.P1=TRUE,I.Facility.P1FacilityCount&gt;=2521,F2533=""),"Incomplete","Complete")</f>
        <v>Complete</v>
      </c>
      <c r="I2533" s="48" t="s">
        <v>6898</v>
      </c>
    </row>
    <row r="2534" spans="2:9" ht="15" customHeight="1" x14ac:dyDescent="0.25">
      <c r="B2534" s="55" t="s">
        <v>279</v>
      </c>
      <c r="C2534" s="46">
        <v>2522</v>
      </c>
      <c r="D2534" s="69" t="s">
        <v>29416</v>
      </c>
      <c r="E2534" s="51"/>
      <c r="F2534" s="114" t="str">
        <f>IF(INDEX(I.Facility.P1IDNumber,2522)="","",INDEX(I.Facility.P1IDNumber,2522))</f>
        <v/>
      </c>
      <c r="G2534" s="51"/>
      <c r="H2534" s="46" t="str">
        <f>IF(AND(I.Developer.P1=TRUE,I.Facility.P1FacilityCount&gt;=2522,F2534=""),"Incomplete","Complete")</f>
        <v>Complete</v>
      </c>
      <c r="I2534" s="48" t="s">
        <v>6899</v>
      </c>
    </row>
    <row r="2535" spans="2:9" ht="15" customHeight="1" x14ac:dyDescent="0.25">
      <c r="B2535" s="55" t="s">
        <v>279</v>
      </c>
      <c r="C2535" s="46">
        <v>2523</v>
      </c>
      <c r="D2535" s="69" t="s">
        <v>29416</v>
      </c>
      <c r="E2535" s="51"/>
      <c r="F2535" s="114" t="str">
        <f>IF(INDEX(I.Facility.P1IDNumber,2523)="","",INDEX(I.Facility.P1IDNumber,2523))</f>
        <v/>
      </c>
      <c r="G2535" s="51"/>
      <c r="H2535" s="46" t="str">
        <f>IF(AND(I.Developer.P1=TRUE,I.Facility.P1FacilityCount&gt;=2523,F2535=""),"Incomplete","Complete")</f>
        <v>Complete</v>
      </c>
      <c r="I2535" s="48" t="s">
        <v>6900</v>
      </c>
    </row>
    <row r="2536" spans="2:9" ht="15" customHeight="1" x14ac:dyDescent="0.25">
      <c r="B2536" s="55" t="s">
        <v>279</v>
      </c>
      <c r="C2536" s="46">
        <v>2524</v>
      </c>
      <c r="D2536" s="69" t="s">
        <v>29416</v>
      </c>
      <c r="E2536" s="51"/>
      <c r="F2536" s="114" t="str">
        <f>IF(INDEX(I.Facility.P1IDNumber,2524)="","",INDEX(I.Facility.P1IDNumber,2524))</f>
        <v/>
      </c>
      <c r="G2536" s="51"/>
      <c r="H2536" s="46" t="str">
        <f>IF(AND(I.Developer.P1=TRUE,I.Facility.P1FacilityCount&gt;=2524,F2536=""),"Incomplete","Complete")</f>
        <v>Complete</v>
      </c>
      <c r="I2536" s="48" t="s">
        <v>6901</v>
      </c>
    </row>
    <row r="2537" spans="2:9" ht="15" customHeight="1" x14ac:dyDescent="0.25">
      <c r="B2537" s="55" t="s">
        <v>279</v>
      </c>
      <c r="C2537" s="46">
        <v>2525</v>
      </c>
      <c r="D2537" s="69" t="s">
        <v>29416</v>
      </c>
      <c r="E2537" s="51"/>
      <c r="F2537" s="114" t="str">
        <f>IF(INDEX(I.Facility.P1IDNumber,2525)="","",INDEX(I.Facility.P1IDNumber,2525))</f>
        <v/>
      </c>
      <c r="G2537" s="51"/>
      <c r="H2537" s="46" t="str">
        <f>IF(AND(I.Developer.P1=TRUE,I.Facility.P1FacilityCount&gt;=2525,F2537=""),"Incomplete","Complete")</f>
        <v>Complete</v>
      </c>
      <c r="I2537" s="48" t="s">
        <v>6902</v>
      </c>
    </row>
    <row r="2538" spans="2:9" ht="15" customHeight="1" x14ac:dyDescent="0.25">
      <c r="B2538" s="55" t="s">
        <v>279</v>
      </c>
      <c r="C2538" s="46">
        <v>2526</v>
      </c>
      <c r="D2538" s="69" t="s">
        <v>29416</v>
      </c>
      <c r="E2538" s="51"/>
      <c r="F2538" s="114" t="str">
        <f>IF(INDEX(I.Facility.P1IDNumber,2526)="","",INDEX(I.Facility.P1IDNumber,2526))</f>
        <v/>
      </c>
      <c r="G2538" s="51"/>
      <c r="H2538" s="46" t="str">
        <f>IF(AND(I.Developer.P1=TRUE,I.Facility.P1FacilityCount&gt;=2526,F2538=""),"Incomplete","Complete")</f>
        <v>Complete</v>
      </c>
      <c r="I2538" s="48" t="s">
        <v>6903</v>
      </c>
    </row>
    <row r="2539" spans="2:9" ht="15" customHeight="1" x14ac:dyDescent="0.25">
      <c r="B2539" s="55" t="s">
        <v>279</v>
      </c>
      <c r="C2539" s="46">
        <v>2527</v>
      </c>
      <c r="D2539" s="69" t="s">
        <v>29416</v>
      </c>
      <c r="E2539" s="51"/>
      <c r="F2539" s="114" t="str">
        <f>IF(INDEX(I.Facility.P1IDNumber,2527)="","",INDEX(I.Facility.P1IDNumber,2527))</f>
        <v/>
      </c>
      <c r="G2539" s="51"/>
      <c r="H2539" s="46" t="str">
        <f>IF(AND(I.Developer.P1=TRUE,I.Facility.P1FacilityCount&gt;=2527,F2539=""),"Incomplete","Complete")</f>
        <v>Complete</v>
      </c>
      <c r="I2539" s="48" t="s">
        <v>6904</v>
      </c>
    </row>
    <row r="2540" spans="2:9" ht="15" customHeight="1" x14ac:dyDescent="0.25">
      <c r="B2540" s="55" t="s">
        <v>279</v>
      </c>
      <c r="C2540" s="46">
        <v>2528</v>
      </c>
      <c r="D2540" s="69" t="s">
        <v>29416</v>
      </c>
      <c r="E2540" s="51"/>
      <c r="F2540" s="114" t="str">
        <f>IF(INDEX(I.Facility.P1IDNumber,2528)="","",INDEX(I.Facility.P1IDNumber,2528))</f>
        <v/>
      </c>
      <c r="G2540" s="51"/>
      <c r="H2540" s="46" t="str">
        <f>IF(AND(I.Developer.P1=TRUE,I.Facility.P1FacilityCount&gt;=2528,F2540=""),"Incomplete","Complete")</f>
        <v>Complete</v>
      </c>
      <c r="I2540" s="48" t="s">
        <v>6905</v>
      </c>
    </row>
    <row r="2541" spans="2:9" ht="15" customHeight="1" x14ac:dyDescent="0.25">
      <c r="B2541" s="55" t="s">
        <v>279</v>
      </c>
      <c r="C2541" s="46">
        <v>2529</v>
      </c>
      <c r="D2541" s="69" t="s">
        <v>29416</v>
      </c>
      <c r="E2541" s="51"/>
      <c r="F2541" s="114" t="str">
        <f>IF(INDEX(I.Facility.P1IDNumber,2529)="","",INDEX(I.Facility.P1IDNumber,2529))</f>
        <v/>
      </c>
      <c r="G2541" s="51"/>
      <c r="H2541" s="46" t="str">
        <f>IF(AND(I.Developer.P1=TRUE,I.Facility.P1FacilityCount&gt;=2529,F2541=""),"Incomplete","Complete")</f>
        <v>Complete</v>
      </c>
      <c r="I2541" s="48" t="s">
        <v>6906</v>
      </c>
    </row>
    <row r="2542" spans="2:9" ht="15" customHeight="1" x14ac:dyDescent="0.25">
      <c r="B2542" s="55" t="s">
        <v>279</v>
      </c>
      <c r="C2542" s="46">
        <v>2530</v>
      </c>
      <c r="D2542" s="69" t="s">
        <v>29416</v>
      </c>
      <c r="E2542" s="51"/>
      <c r="F2542" s="114" t="str">
        <f>IF(INDEX(I.Facility.P1IDNumber,2530)="","",INDEX(I.Facility.P1IDNumber,2530))</f>
        <v/>
      </c>
      <c r="G2542" s="51"/>
      <c r="H2542" s="46" t="str">
        <f>IF(AND(I.Developer.P1=TRUE,I.Facility.P1FacilityCount&gt;=2530,F2542=""),"Incomplete","Complete")</f>
        <v>Complete</v>
      </c>
      <c r="I2542" s="48" t="s">
        <v>6907</v>
      </c>
    </row>
    <row r="2543" spans="2:9" ht="15" customHeight="1" x14ac:dyDescent="0.25">
      <c r="B2543" s="55" t="s">
        <v>279</v>
      </c>
      <c r="C2543" s="46">
        <v>2531</v>
      </c>
      <c r="D2543" s="69" t="s">
        <v>29416</v>
      </c>
      <c r="E2543" s="51"/>
      <c r="F2543" s="114" t="str">
        <f>IF(INDEX(I.Facility.P1IDNumber,2531)="","",INDEX(I.Facility.P1IDNumber,2531))</f>
        <v/>
      </c>
      <c r="G2543" s="51"/>
      <c r="H2543" s="46" t="str">
        <f>IF(AND(I.Developer.P1=TRUE,I.Facility.P1FacilityCount&gt;=2531,F2543=""),"Incomplete","Complete")</f>
        <v>Complete</v>
      </c>
      <c r="I2543" s="48" t="s">
        <v>6908</v>
      </c>
    </row>
    <row r="2544" spans="2:9" ht="15" customHeight="1" x14ac:dyDescent="0.25">
      <c r="B2544" s="55" t="s">
        <v>279</v>
      </c>
      <c r="C2544" s="46">
        <v>2532</v>
      </c>
      <c r="D2544" s="69" t="s">
        <v>29416</v>
      </c>
      <c r="E2544" s="51"/>
      <c r="F2544" s="114" t="str">
        <f>IF(INDEX(I.Facility.P1IDNumber,2532)="","",INDEX(I.Facility.P1IDNumber,2532))</f>
        <v/>
      </c>
      <c r="G2544" s="51"/>
      <c r="H2544" s="46" t="str">
        <f>IF(AND(I.Developer.P1=TRUE,I.Facility.P1FacilityCount&gt;=2532,F2544=""),"Incomplete","Complete")</f>
        <v>Complete</v>
      </c>
      <c r="I2544" s="48" t="s">
        <v>6909</v>
      </c>
    </row>
    <row r="2545" spans="2:9" ht="15" customHeight="1" x14ac:dyDescent="0.25">
      <c r="B2545" s="55" t="s">
        <v>279</v>
      </c>
      <c r="C2545" s="46">
        <v>2533</v>
      </c>
      <c r="D2545" s="69" t="s">
        <v>29416</v>
      </c>
      <c r="E2545" s="51"/>
      <c r="F2545" s="114" t="str">
        <f>IF(INDEX(I.Facility.P1IDNumber,2533)="","",INDEX(I.Facility.P1IDNumber,2533))</f>
        <v/>
      </c>
      <c r="G2545" s="51"/>
      <c r="H2545" s="46" t="str">
        <f>IF(AND(I.Developer.P1=TRUE,I.Facility.P1FacilityCount&gt;=2533,F2545=""),"Incomplete","Complete")</f>
        <v>Complete</v>
      </c>
      <c r="I2545" s="48" t="s">
        <v>6910</v>
      </c>
    </row>
    <row r="2546" spans="2:9" ht="15" customHeight="1" x14ac:dyDescent="0.25">
      <c r="B2546" s="55" t="s">
        <v>279</v>
      </c>
      <c r="C2546" s="46">
        <v>2534</v>
      </c>
      <c r="D2546" s="69" t="s">
        <v>29416</v>
      </c>
      <c r="E2546" s="51"/>
      <c r="F2546" s="114" t="str">
        <f>IF(INDEX(I.Facility.P1IDNumber,2534)="","",INDEX(I.Facility.P1IDNumber,2534))</f>
        <v/>
      </c>
      <c r="G2546" s="51"/>
      <c r="H2546" s="46" t="str">
        <f>IF(AND(I.Developer.P1=TRUE,I.Facility.P1FacilityCount&gt;=2534,F2546=""),"Incomplete","Complete")</f>
        <v>Complete</v>
      </c>
      <c r="I2546" s="48" t="s">
        <v>6911</v>
      </c>
    </row>
    <row r="2547" spans="2:9" ht="15" customHeight="1" x14ac:dyDescent="0.25">
      <c r="B2547" s="55" t="s">
        <v>279</v>
      </c>
      <c r="C2547" s="46">
        <v>2535</v>
      </c>
      <c r="D2547" s="69" t="s">
        <v>29416</v>
      </c>
      <c r="E2547" s="51"/>
      <c r="F2547" s="114" t="str">
        <f>IF(INDEX(I.Facility.P1IDNumber,2535)="","",INDEX(I.Facility.P1IDNumber,2535))</f>
        <v/>
      </c>
      <c r="G2547" s="51"/>
      <c r="H2547" s="46" t="str">
        <f>IF(AND(I.Developer.P1=TRUE,I.Facility.P1FacilityCount&gt;=2535,F2547=""),"Incomplete","Complete")</f>
        <v>Complete</v>
      </c>
      <c r="I2547" s="48" t="s">
        <v>6912</v>
      </c>
    </row>
    <row r="2548" spans="2:9" ht="15" customHeight="1" x14ac:dyDescent="0.25">
      <c r="B2548" s="55" t="s">
        <v>279</v>
      </c>
      <c r="C2548" s="46">
        <v>2536</v>
      </c>
      <c r="D2548" s="69" t="s">
        <v>29416</v>
      </c>
      <c r="E2548" s="51"/>
      <c r="F2548" s="114" t="str">
        <f>IF(INDEX(I.Facility.P1IDNumber,2536)="","",INDEX(I.Facility.P1IDNumber,2536))</f>
        <v/>
      </c>
      <c r="G2548" s="51"/>
      <c r="H2548" s="46" t="str">
        <f>IF(AND(I.Developer.P1=TRUE,I.Facility.P1FacilityCount&gt;=2536,F2548=""),"Incomplete","Complete")</f>
        <v>Complete</v>
      </c>
      <c r="I2548" s="48" t="s">
        <v>6913</v>
      </c>
    </row>
    <row r="2549" spans="2:9" ht="15" customHeight="1" x14ac:dyDescent="0.25">
      <c r="B2549" s="55" t="s">
        <v>279</v>
      </c>
      <c r="C2549" s="46">
        <v>2537</v>
      </c>
      <c r="D2549" s="69" t="s">
        <v>29416</v>
      </c>
      <c r="E2549" s="51"/>
      <c r="F2549" s="114" t="str">
        <f>IF(INDEX(I.Facility.P1IDNumber,2537)="","",INDEX(I.Facility.P1IDNumber,2537))</f>
        <v/>
      </c>
      <c r="G2549" s="51"/>
      <c r="H2549" s="46" t="str">
        <f>IF(AND(I.Developer.P1=TRUE,I.Facility.P1FacilityCount&gt;=2537,F2549=""),"Incomplete","Complete")</f>
        <v>Complete</v>
      </c>
      <c r="I2549" s="48" t="s">
        <v>6914</v>
      </c>
    </row>
    <row r="2550" spans="2:9" ht="15" customHeight="1" x14ac:dyDescent="0.25">
      <c r="B2550" s="55" t="s">
        <v>279</v>
      </c>
      <c r="C2550" s="46">
        <v>2538</v>
      </c>
      <c r="D2550" s="69" t="s">
        <v>29416</v>
      </c>
      <c r="E2550" s="51"/>
      <c r="F2550" s="114" t="str">
        <f>IF(INDEX(I.Facility.P1IDNumber,2538)="","",INDEX(I.Facility.P1IDNumber,2538))</f>
        <v/>
      </c>
      <c r="G2550" s="51"/>
      <c r="H2550" s="46" t="str">
        <f>IF(AND(I.Developer.P1=TRUE,I.Facility.P1FacilityCount&gt;=2538,F2550=""),"Incomplete","Complete")</f>
        <v>Complete</v>
      </c>
      <c r="I2550" s="48" t="s">
        <v>6915</v>
      </c>
    </row>
    <row r="2551" spans="2:9" ht="15" customHeight="1" x14ac:dyDescent="0.25">
      <c r="B2551" s="55" t="s">
        <v>279</v>
      </c>
      <c r="C2551" s="46">
        <v>2539</v>
      </c>
      <c r="D2551" s="69" t="s">
        <v>29416</v>
      </c>
      <c r="E2551" s="51"/>
      <c r="F2551" s="114" t="str">
        <f>IF(INDEX(I.Facility.P1IDNumber,2539)="","",INDEX(I.Facility.P1IDNumber,2539))</f>
        <v/>
      </c>
      <c r="G2551" s="51"/>
      <c r="H2551" s="46" t="str">
        <f>IF(AND(I.Developer.P1=TRUE,I.Facility.P1FacilityCount&gt;=2539,F2551=""),"Incomplete","Complete")</f>
        <v>Complete</v>
      </c>
      <c r="I2551" s="48" t="s">
        <v>6916</v>
      </c>
    </row>
    <row r="2552" spans="2:9" ht="15" customHeight="1" x14ac:dyDescent="0.25">
      <c r="B2552" s="55" t="s">
        <v>279</v>
      </c>
      <c r="C2552" s="46">
        <v>2540</v>
      </c>
      <c r="D2552" s="69" t="s">
        <v>29416</v>
      </c>
      <c r="E2552" s="51"/>
      <c r="F2552" s="114" t="str">
        <f>IF(INDEX(I.Facility.P1IDNumber,2540)="","",INDEX(I.Facility.P1IDNumber,2540))</f>
        <v/>
      </c>
      <c r="G2552" s="51"/>
      <c r="H2552" s="46" t="str">
        <f>IF(AND(I.Developer.P1=TRUE,I.Facility.P1FacilityCount&gt;=2540,F2552=""),"Incomplete","Complete")</f>
        <v>Complete</v>
      </c>
      <c r="I2552" s="48" t="s">
        <v>6917</v>
      </c>
    </row>
    <row r="2553" spans="2:9" ht="15" customHeight="1" x14ac:dyDescent="0.25">
      <c r="B2553" s="55" t="s">
        <v>279</v>
      </c>
      <c r="C2553" s="46">
        <v>2541</v>
      </c>
      <c r="D2553" s="69" t="s">
        <v>29416</v>
      </c>
      <c r="E2553" s="51"/>
      <c r="F2553" s="114" t="str">
        <f>IF(INDEX(I.Facility.P1IDNumber,2541)="","",INDEX(I.Facility.P1IDNumber,2541))</f>
        <v/>
      </c>
      <c r="G2553" s="51"/>
      <c r="H2553" s="46" t="str">
        <f>IF(AND(I.Developer.P1=TRUE,I.Facility.P1FacilityCount&gt;=2541,F2553=""),"Incomplete","Complete")</f>
        <v>Complete</v>
      </c>
      <c r="I2553" s="48" t="s">
        <v>6918</v>
      </c>
    </row>
    <row r="2554" spans="2:9" ht="15" customHeight="1" x14ac:dyDescent="0.25">
      <c r="B2554" s="55" t="s">
        <v>279</v>
      </c>
      <c r="C2554" s="46">
        <v>2542</v>
      </c>
      <c r="D2554" s="69" t="s">
        <v>29416</v>
      </c>
      <c r="E2554" s="51"/>
      <c r="F2554" s="114" t="str">
        <f>IF(INDEX(I.Facility.P1IDNumber,2542)="","",INDEX(I.Facility.P1IDNumber,2542))</f>
        <v/>
      </c>
      <c r="G2554" s="51"/>
      <c r="H2554" s="46" t="str">
        <f>IF(AND(I.Developer.P1=TRUE,I.Facility.P1FacilityCount&gt;=2542,F2554=""),"Incomplete","Complete")</f>
        <v>Complete</v>
      </c>
      <c r="I2554" s="48" t="s">
        <v>6919</v>
      </c>
    </row>
    <row r="2555" spans="2:9" ht="15" customHeight="1" x14ac:dyDescent="0.25">
      <c r="B2555" s="55" t="s">
        <v>279</v>
      </c>
      <c r="C2555" s="46">
        <v>2543</v>
      </c>
      <c r="D2555" s="69" t="s">
        <v>29416</v>
      </c>
      <c r="E2555" s="51"/>
      <c r="F2555" s="114" t="str">
        <f>IF(INDEX(I.Facility.P1IDNumber,2543)="","",INDEX(I.Facility.P1IDNumber,2543))</f>
        <v/>
      </c>
      <c r="G2555" s="51"/>
      <c r="H2555" s="46" t="str">
        <f>IF(AND(I.Developer.P1=TRUE,I.Facility.P1FacilityCount&gt;=2543,F2555=""),"Incomplete","Complete")</f>
        <v>Complete</v>
      </c>
      <c r="I2555" s="48" t="s">
        <v>6920</v>
      </c>
    </row>
    <row r="2556" spans="2:9" ht="15" customHeight="1" x14ac:dyDescent="0.25">
      <c r="B2556" s="55" t="s">
        <v>279</v>
      </c>
      <c r="C2556" s="46">
        <v>2544</v>
      </c>
      <c r="D2556" s="69" t="s">
        <v>29416</v>
      </c>
      <c r="E2556" s="51"/>
      <c r="F2556" s="114" t="str">
        <f>IF(INDEX(I.Facility.P1IDNumber,2544)="","",INDEX(I.Facility.P1IDNumber,2544))</f>
        <v/>
      </c>
      <c r="G2556" s="51"/>
      <c r="H2556" s="46" t="str">
        <f>IF(AND(I.Developer.P1=TRUE,I.Facility.P1FacilityCount&gt;=2544,F2556=""),"Incomplete","Complete")</f>
        <v>Complete</v>
      </c>
      <c r="I2556" s="48" t="s">
        <v>6921</v>
      </c>
    </row>
    <row r="2557" spans="2:9" ht="15" customHeight="1" x14ac:dyDescent="0.25">
      <c r="B2557" s="55" t="s">
        <v>279</v>
      </c>
      <c r="C2557" s="46">
        <v>2545</v>
      </c>
      <c r="D2557" s="69" t="s">
        <v>29416</v>
      </c>
      <c r="E2557" s="51"/>
      <c r="F2557" s="114" t="str">
        <f>IF(INDEX(I.Facility.P1IDNumber,2545)="","",INDEX(I.Facility.P1IDNumber,2545))</f>
        <v/>
      </c>
      <c r="G2557" s="51"/>
      <c r="H2557" s="46" t="str">
        <f>IF(AND(I.Developer.P1=TRUE,I.Facility.P1FacilityCount&gt;=2545,F2557=""),"Incomplete","Complete")</f>
        <v>Complete</v>
      </c>
      <c r="I2557" s="48" t="s">
        <v>6922</v>
      </c>
    </row>
    <row r="2558" spans="2:9" ht="15" customHeight="1" x14ac:dyDescent="0.25">
      <c r="B2558" s="55" t="s">
        <v>279</v>
      </c>
      <c r="C2558" s="46">
        <v>2546</v>
      </c>
      <c r="D2558" s="69" t="s">
        <v>29416</v>
      </c>
      <c r="E2558" s="51"/>
      <c r="F2558" s="114" t="str">
        <f>IF(INDEX(I.Facility.P1IDNumber,2546)="","",INDEX(I.Facility.P1IDNumber,2546))</f>
        <v/>
      </c>
      <c r="G2558" s="51"/>
      <c r="H2558" s="46" t="str">
        <f>IF(AND(I.Developer.P1=TRUE,I.Facility.P1FacilityCount&gt;=2546,F2558=""),"Incomplete","Complete")</f>
        <v>Complete</v>
      </c>
      <c r="I2558" s="48" t="s">
        <v>6923</v>
      </c>
    </row>
    <row r="2559" spans="2:9" ht="15" customHeight="1" x14ac:dyDescent="0.25">
      <c r="B2559" s="55" t="s">
        <v>279</v>
      </c>
      <c r="C2559" s="46">
        <v>2547</v>
      </c>
      <c r="D2559" s="69" t="s">
        <v>29416</v>
      </c>
      <c r="E2559" s="51"/>
      <c r="F2559" s="114" t="str">
        <f>IF(INDEX(I.Facility.P1IDNumber,2547)="","",INDEX(I.Facility.P1IDNumber,2547))</f>
        <v/>
      </c>
      <c r="G2559" s="51"/>
      <c r="H2559" s="46" t="str">
        <f>IF(AND(I.Developer.P1=TRUE,I.Facility.P1FacilityCount&gt;=2547,F2559=""),"Incomplete","Complete")</f>
        <v>Complete</v>
      </c>
      <c r="I2559" s="48" t="s">
        <v>6924</v>
      </c>
    </row>
    <row r="2560" spans="2:9" ht="15" customHeight="1" x14ac:dyDescent="0.25">
      <c r="B2560" s="55" t="s">
        <v>279</v>
      </c>
      <c r="C2560" s="46">
        <v>2548</v>
      </c>
      <c r="D2560" s="69" t="s">
        <v>29416</v>
      </c>
      <c r="E2560" s="51"/>
      <c r="F2560" s="114" t="str">
        <f>IF(INDEX(I.Facility.P1IDNumber,2548)="","",INDEX(I.Facility.P1IDNumber,2548))</f>
        <v/>
      </c>
      <c r="G2560" s="51"/>
      <c r="H2560" s="46" t="str">
        <f>IF(AND(I.Developer.P1=TRUE,I.Facility.P1FacilityCount&gt;=2548,F2560=""),"Incomplete","Complete")</f>
        <v>Complete</v>
      </c>
      <c r="I2560" s="48" t="s">
        <v>6925</v>
      </c>
    </row>
    <row r="2561" spans="2:9" ht="15" customHeight="1" x14ac:dyDescent="0.25">
      <c r="B2561" s="55" t="s">
        <v>279</v>
      </c>
      <c r="C2561" s="46">
        <v>2549</v>
      </c>
      <c r="D2561" s="69" t="s">
        <v>29416</v>
      </c>
      <c r="E2561" s="51"/>
      <c r="F2561" s="114" t="str">
        <f>IF(INDEX(I.Facility.P1IDNumber,2549)="","",INDEX(I.Facility.P1IDNumber,2549))</f>
        <v/>
      </c>
      <c r="G2561" s="51"/>
      <c r="H2561" s="46" t="str">
        <f>IF(AND(I.Developer.P1=TRUE,I.Facility.P1FacilityCount&gt;=2549,F2561=""),"Incomplete","Complete")</f>
        <v>Complete</v>
      </c>
      <c r="I2561" s="48" t="s">
        <v>6926</v>
      </c>
    </row>
    <row r="2562" spans="2:9" ht="15" customHeight="1" x14ac:dyDescent="0.25">
      <c r="B2562" s="55" t="s">
        <v>279</v>
      </c>
      <c r="C2562" s="46">
        <v>2550</v>
      </c>
      <c r="D2562" s="69" t="s">
        <v>29416</v>
      </c>
      <c r="E2562" s="51"/>
      <c r="F2562" s="114" t="str">
        <f>IF(INDEX(I.Facility.P1IDNumber,2550)="","",INDEX(I.Facility.P1IDNumber,2550))</f>
        <v/>
      </c>
      <c r="G2562" s="51"/>
      <c r="H2562" s="46" t="str">
        <f>IF(AND(I.Developer.P1=TRUE,I.Facility.P1FacilityCount&gt;=2550,F2562=""),"Incomplete","Complete")</f>
        <v>Complete</v>
      </c>
      <c r="I2562" s="48" t="s">
        <v>6927</v>
      </c>
    </row>
    <row r="2563" spans="2:9" ht="15" customHeight="1" x14ac:dyDescent="0.25">
      <c r="B2563" s="55" t="s">
        <v>279</v>
      </c>
      <c r="C2563" s="46">
        <v>2551</v>
      </c>
      <c r="D2563" s="69" t="s">
        <v>29416</v>
      </c>
      <c r="E2563" s="51"/>
      <c r="F2563" s="114" t="str">
        <f>IF(INDEX(I.Facility.P1IDNumber,2551)="","",INDEX(I.Facility.P1IDNumber,2551))</f>
        <v/>
      </c>
      <c r="G2563" s="51"/>
      <c r="H2563" s="46" t="str">
        <f>IF(AND(I.Developer.P1=TRUE,I.Facility.P1FacilityCount&gt;=2551,F2563=""),"Incomplete","Complete")</f>
        <v>Complete</v>
      </c>
      <c r="I2563" s="48" t="s">
        <v>6928</v>
      </c>
    </row>
    <row r="2564" spans="2:9" ht="15" customHeight="1" x14ac:dyDescent="0.25">
      <c r="B2564" s="55" t="s">
        <v>279</v>
      </c>
      <c r="C2564" s="46">
        <v>2552</v>
      </c>
      <c r="D2564" s="69" t="s">
        <v>29416</v>
      </c>
      <c r="E2564" s="51"/>
      <c r="F2564" s="114" t="str">
        <f>IF(INDEX(I.Facility.P1IDNumber,2552)="","",INDEX(I.Facility.P1IDNumber,2552))</f>
        <v/>
      </c>
      <c r="G2564" s="51"/>
      <c r="H2564" s="46" t="str">
        <f>IF(AND(I.Developer.P1=TRUE,I.Facility.P1FacilityCount&gt;=2552,F2564=""),"Incomplete","Complete")</f>
        <v>Complete</v>
      </c>
      <c r="I2564" s="48" t="s">
        <v>6929</v>
      </c>
    </row>
    <row r="2565" spans="2:9" ht="15" customHeight="1" x14ac:dyDescent="0.25">
      <c r="B2565" s="55" t="s">
        <v>279</v>
      </c>
      <c r="C2565" s="46">
        <v>2553</v>
      </c>
      <c r="D2565" s="69" t="s">
        <v>29416</v>
      </c>
      <c r="E2565" s="51"/>
      <c r="F2565" s="114" t="str">
        <f>IF(INDEX(I.Facility.P1IDNumber,2553)="","",INDEX(I.Facility.P1IDNumber,2553))</f>
        <v/>
      </c>
      <c r="G2565" s="51"/>
      <c r="H2565" s="46" t="str">
        <f>IF(AND(I.Developer.P1=TRUE,I.Facility.P1FacilityCount&gt;=2553,F2565=""),"Incomplete","Complete")</f>
        <v>Complete</v>
      </c>
      <c r="I2565" s="48" t="s">
        <v>6930</v>
      </c>
    </row>
    <row r="2566" spans="2:9" ht="15" customHeight="1" x14ac:dyDescent="0.25">
      <c r="B2566" s="55" t="s">
        <v>279</v>
      </c>
      <c r="C2566" s="46">
        <v>2554</v>
      </c>
      <c r="D2566" s="69" t="s">
        <v>29416</v>
      </c>
      <c r="E2566" s="51"/>
      <c r="F2566" s="114" t="str">
        <f>IF(INDEX(I.Facility.P1IDNumber,2554)="","",INDEX(I.Facility.P1IDNumber,2554))</f>
        <v/>
      </c>
      <c r="G2566" s="51"/>
      <c r="H2566" s="46" t="str">
        <f>IF(AND(I.Developer.P1=TRUE,I.Facility.P1FacilityCount&gt;=2554,F2566=""),"Incomplete","Complete")</f>
        <v>Complete</v>
      </c>
      <c r="I2566" s="48" t="s">
        <v>6931</v>
      </c>
    </row>
    <row r="2567" spans="2:9" ht="15" customHeight="1" x14ac:dyDescent="0.25">
      <c r="B2567" s="55" t="s">
        <v>279</v>
      </c>
      <c r="C2567" s="46">
        <v>2555</v>
      </c>
      <c r="D2567" s="69" t="s">
        <v>29416</v>
      </c>
      <c r="E2567" s="51"/>
      <c r="F2567" s="114" t="str">
        <f>IF(INDEX(I.Facility.P1IDNumber,2555)="","",INDEX(I.Facility.P1IDNumber,2555))</f>
        <v/>
      </c>
      <c r="G2567" s="51"/>
      <c r="H2567" s="46" t="str">
        <f>IF(AND(I.Developer.P1=TRUE,I.Facility.P1FacilityCount&gt;=2555,F2567=""),"Incomplete","Complete")</f>
        <v>Complete</v>
      </c>
      <c r="I2567" s="48" t="s">
        <v>6932</v>
      </c>
    </row>
    <row r="2568" spans="2:9" ht="15" customHeight="1" x14ac:dyDescent="0.25">
      <c r="B2568" s="55" t="s">
        <v>279</v>
      </c>
      <c r="C2568" s="46">
        <v>2556</v>
      </c>
      <c r="D2568" s="69" t="s">
        <v>29416</v>
      </c>
      <c r="E2568" s="51"/>
      <c r="F2568" s="114" t="str">
        <f>IF(INDEX(I.Facility.P1IDNumber,2556)="","",INDEX(I.Facility.P1IDNumber,2556))</f>
        <v/>
      </c>
      <c r="G2568" s="51"/>
      <c r="H2568" s="46" t="str">
        <f>IF(AND(I.Developer.P1=TRUE,I.Facility.P1FacilityCount&gt;=2556,F2568=""),"Incomplete","Complete")</f>
        <v>Complete</v>
      </c>
      <c r="I2568" s="48" t="s">
        <v>6933</v>
      </c>
    </row>
    <row r="2569" spans="2:9" ht="15" customHeight="1" x14ac:dyDescent="0.25">
      <c r="B2569" s="55" t="s">
        <v>279</v>
      </c>
      <c r="C2569" s="46">
        <v>2557</v>
      </c>
      <c r="D2569" s="69" t="s">
        <v>29416</v>
      </c>
      <c r="E2569" s="51"/>
      <c r="F2569" s="114" t="str">
        <f>IF(INDEX(I.Facility.P1IDNumber,2557)="","",INDEX(I.Facility.P1IDNumber,2557))</f>
        <v/>
      </c>
      <c r="G2569" s="51"/>
      <c r="H2569" s="46" t="str">
        <f>IF(AND(I.Developer.P1=TRUE,I.Facility.P1FacilityCount&gt;=2557,F2569=""),"Incomplete","Complete")</f>
        <v>Complete</v>
      </c>
      <c r="I2569" s="48" t="s">
        <v>6934</v>
      </c>
    </row>
    <row r="2570" spans="2:9" ht="15" customHeight="1" x14ac:dyDescent="0.25">
      <c r="B2570" s="55" t="s">
        <v>279</v>
      </c>
      <c r="C2570" s="46">
        <v>2558</v>
      </c>
      <c r="D2570" s="69" t="s">
        <v>29416</v>
      </c>
      <c r="E2570" s="51"/>
      <c r="F2570" s="114" t="str">
        <f>IF(INDEX(I.Facility.P1IDNumber,2558)="","",INDEX(I.Facility.P1IDNumber,2558))</f>
        <v/>
      </c>
      <c r="G2570" s="51"/>
      <c r="H2570" s="46" t="str">
        <f>IF(AND(I.Developer.P1=TRUE,I.Facility.P1FacilityCount&gt;=2558,F2570=""),"Incomplete","Complete")</f>
        <v>Complete</v>
      </c>
      <c r="I2570" s="48" t="s">
        <v>6935</v>
      </c>
    </row>
    <row r="2571" spans="2:9" ht="15" customHeight="1" x14ac:dyDescent="0.25">
      <c r="B2571" s="55" t="s">
        <v>279</v>
      </c>
      <c r="C2571" s="46">
        <v>2559</v>
      </c>
      <c r="D2571" s="69" t="s">
        <v>29416</v>
      </c>
      <c r="E2571" s="51"/>
      <c r="F2571" s="114" t="str">
        <f>IF(INDEX(I.Facility.P1IDNumber,2559)="","",INDEX(I.Facility.P1IDNumber,2559))</f>
        <v/>
      </c>
      <c r="G2571" s="51"/>
      <c r="H2571" s="46" t="str">
        <f>IF(AND(I.Developer.P1=TRUE,I.Facility.P1FacilityCount&gt;=2559,F2571=""),"Incomplete","Complete")</f>
        <v>Complete</v>
      </c>
      <c r="I2571" s="48" t="s">
        <v>6936</v>
      </c>
    </row>
    <row r="2572" spans="2:9" ht="15" customHeight="1" x14ac:dyDescent="0.25">
      <c r="B2572" s="55" t="s">
        <v>279</v>
      </c>
      <c r="C2572" s="46">
        <v>2560</v>
      </c>
      <c r="D2572" s="69" t="s">
        <v>29416</v>
      </c>
      <c r="E2572" s="51"/>
      <c r="F2572" s="114" t="str">
        <f>IF(INDEX(I.Facility.P1IDNumber,2560)="","",INDEX(I.Facility.P1IDNumber,2560))</f>
        <v/>
      </c>
      <c r="G2572" s="51"/>
      <c r="H2572" s="46" t="str">
        <f>IF(AND(I.Developer.P1=TRUE,I.Facility.P1FacilityCount&gt;=2560,F2572=""),"Incomplete","Complete")</f>
        <v>Complete</v>
      </c>
      <c r="I2572" s="48" t="s">
        <v>6937</v>
      </c>
    </row>
    <row r="2573" spans="2:9" ht="15" customHeight="1" x14ac:dyDescent="0.25">
      <c r="B2573" s="55" t="s">
        <v>279</v>
      </c>
      <c r="C2573" s="46">
        <v>2561</v>
      </c>
      <c r="D2573" s="69" t="s">
        <v>29416</v>
      </c>
      <c r="E2573" s="51"/>
      <c r="F2573" s="114" t="str">
        <f>IF(INDEX(I.Facility.P1IDNumber,2561)="","",INDEX(I.Facility.P1IDNumber,2561))</f>
        <v/>
      </c>
      <c r="G2573" s="51"/>
      <c r="H2573" s="46" t="str">
        <f>IF(AND(I.Developer.P1=TRUE,I.Facility.P1FacilityCount&gt;=2561,F2573=""),"Incomplete","Complete")</f>
        <v>Complete</v>
      </c>
      <c r="I2573" s="48" t="s">
        <v>6938</v>
      </c>
    </row>
    <row r="2574" spans="2:9" ht="15" customHeight="1" x14ac:dyDescent="0.25">
      <c r="B2574" s="55" t="s">
        <v>279</v>
      </c>
      <c r="C2574" s="46">
        <v>2562</v>
      </c>
      <c r="D2574" s="69" t="s">
        <v>29416</v>
      </c>
      <c r="E2574" s="51"/>
      <c r="F2574" s="114" t="str">
        <f>IF(INDEX(I.Facility.P1IDNumber,2562)="","",INDEX(I.Facility.P1IDNumber,2562))</f>
        <v/>
      </c>
      <c r="G2574" s="51"/>
      <c r="H2574" s="46" t="str">
        <f>IF(AND(I.Developer.P1=TRUE,I.Facility.P1FacilityCount&gt;=2562,F2574=""),"Incomplete","Complete")</f>
        <v>Complete</v>
      </c>
      <c r="I2574" s="48" t="s">
        <v>6939</v>
      </c>
    </row>
    <row r="2575" spans="2:9" ht="15" customHeight="1" x14ac:dyDescent="0.25">
      <c r="B2575" s="55" t="s">
        <v>279</v>
      </c>
      <c r="C2575" s="46">
        <v>2563</v>
      </c>
      <c r="D2575" s="69" t="s">
        <v>29416</v>
      </c>
      <c r="E2575" s="51"/>
      <c r="F2575" s="114" t="str">
        <f>IF(INDEX(I.Facility.P1IDNumber,2563)="","",INDEX(I.Facility.P1IDNumber,2563))</f>
        <v/>
      </c>
      <c r="G2575" s="51"/>
      <c r="H2575" s="46" t="str">
        <f>IF(AND(I.Developer.P1=TRUE,I.Facility.P1FacilityCount&gt;=2563,F2575=""),"Incomplete","Complete")</f>
        <v>Complete</v>
      </c>
      <c r="I2575" s="48" t="s">
        <v>6940</v>
      </c>
    </row>
    <row r="2576" spans="2:9" ht="15" customHeight="1" x14ac:dyDescent="0.25">
      <c r="B2576" s="55" t="s">
        <v>279</v>
      </c>
      <c r="C2576" s="46">
        <v>2564</v>
      </c>
      <c r="D2576" s="69" t="s">
        <v>29416</v>
      </c>
      <c r="E2576" s="51"/>
      <c r="F2576" s="114" t="str">
        <f>IF(INDEX(I.Facility.P1IDNumber,2564)="","",INDEX(I.Facility.P1IDNumber,2564))</f>
        <v/>
      </c>
      <c r="G2576" s="51"/>
      <c r="H2576" s="46" t="str">
        <f>IF(AND(I.Developer.P1=TRUE,I.Facility.P1FacilityCount&gt;=2564,F2576=""),"Incomplete","Complete")</f>
        <v>Complete</v>
      </c>
      <c r="I2576" s="48" t="s">
        <v>6941</v>
      </c>
    </row>
    <row r="2577" spans="2:9" ht="15" customHeight="1" x14ac:dyDescent="0.25">
      <c r="B2577" s="55" t="s">
        <v>279</v>
      </c>
      <c r="C2577" s="46">
        <v>2565</v>
      </c>
      <c r="D2577" s="69" t="s">
        <v>29416</v>
      </c>
      <c r="E2577" s="51"/>
      <c r="F2577" s="114" t="str">
        <f>IF(INDEX(I.Facility.P1IDNumber,2565)="","",INDEX(I.Facility.P1IDNumber,2565))</f>
        <v/>
      </c>
      <c r="G2577" s="51"/>
      <c r="H2577" s="46" t="str">
        <f>IF(AND(I.Developer.P1=TRUE,I.Facility.P1FacilityCount&gt;=2565,F2577=""),"Incomplete","Complete")</f>
        <v>Complete</v>
      </c>
      <c r="I2577" s="48" t="s">
        <v>6942</v>
      </c>
    </row>
    <row r="2578" spans="2:9" ht="15" customHeight="1" x14ac:dyDescent="0.25">
      <c r="B2578" s="55" t="s">
        <v>279</v>
      </c>
      <c r="C2578" s="46">
        <v>2566</v>
      </c>
      <c r="D2578" s="69" t="s">
        <v>29416</v>
      </c>
      <c r="E2578" s="51"/>
      <c r="F2578" s="114" t="str">
        <f>IF(INDEX(I.Facility.P1IDNumber,2566)="","",INDEX(I.Facility.P1IDNumber,2566))</f>
        <v/>
      </c>
      <c r="G2578" s="51"/>
      <c r="H2578" s="46" t="str">
        <f>IF(AND(I.Developer.P1=TRUE,I.Facility.P1FacilityCount&gt;=2566,F2578=""),"Incomplete","Complete")</f>
        <v>Complete</v>
      </c>
      <c r="I2578" s="48" t="s">
        <v>6943</v>
      </c>
    </row>
    <row r="2579" spans="2:9" ht="15" customHeight="1" x14ac:dyDescent="0.25">
      <c r="B2579" s="55" t="s">
        <v>279</v>
      </c>
      <c r="C2579" s="46">
        <v>2567</v>
      </c>
      <c r="D2579" s="69" t="s">
        <v>29416</v>
      </c>
      <c r="E2579" s="51"/>
      <c r="F2579" s="114" t="str">
        <f>IF(INDEX(I.Facility.P1IDNumber,2567)="","",INDEX(I.Facility.P1IDNumber,2567))</f>
        <v/>
      </c>
      <c r="G2579" s="51"/>
      <c r="H2579" s="46" t="str">
        <f>IF(AND(I.Developer.P1=TRUE,I.Facility.P1FacilityCount&gt;=2567,F2579=""),"Incomplete","Complete")</f>
        <v>Complete</v>
      </c>
      <c r="I2579" s="48" t="s">
        <v>6944</v>
      </c>
    </row>
    <row r="2580" spans="2:9" ht="15" customHeight="1" x14ac:dyDescent="0.25">
      <c r="B2580" s="55" t="s">
        <v>279</v>
      </c>
      <c r="C2580" s="46">
        <v>2568</v>
      </c>
      <c r="D2580" s="69" t="s">
        <v>29416</v>
      </c>
      <c r="E2580" s="51"/>
      <c r="F2580" s="114" t="str">
        <f>IF(INDEX(I.Facility.P1IDNumber,2568)="","",INDEX(I.Facility.P1IDNumber,2568))</f>
        <v/>
      </c>
      <c r="G2580" s="51"/>
      <c r="H2580" s="46" t="str">
        <f>IF(AND(I.Developer.P1=TRUE,I.Facility.P1FacilityCount&gt;=2568,F2580=""),"Incomplete","Complete")</f>
        <v>Complete</v>
      </c>
      <c r="I2580" s="48" t="s">
        <v>6945</v>
      </c>
    </row>
    <row r="2581" spans="2:9" ht="15" customHeight="1" x14ac:dyDescent="0.25">
      <c r="B2581" s="55" t="s">
        <v>279</v>
      </c>
      <c r="C2581" s="46">
        <v>2569</v>
      </c>
      <c r="D2581" s="69" t="s">
        <v>29416</v>
      </c>
      <c r="E2581" s="51"/>
      <c r="F2581" s="114" t="str">
        <f>IF(INDEX(I.Facility.P1IDNumber,2569)="","",INDEX(I.Facility.P1IDNumber,2569))</f>
        <v/>
      </c>
      <c r="G2581" s="51"/>
      <c r="H2581" s="46" t="str">
        <f>IF(AND(I.Developer.P1=TRUE,I.Facility.P1FacilityCount&gt;=2569,F2581=""),"Incomplete","Complete")</f>
        <v>Complete</v>
      </c>
      <c r="I2581" s="48" t="s">
        <v>6946</v>
      </c>
    </row>
    <row r="2582" spans="2:9" ht="15" customHeight="1" x14ac:dyDescent="0.25">
      <c r="B2582" s="55" t="s">
        <v>279</v>
      </c>
      <c r="C2582" s="46">
        <v>2570</v>
      </c>
      <c r="D2582" s="69" t="s">
        <v>29416</v>
      </c>
      <c r="E2582" s="51"/>
      <c r="F2582" s="114" t="str">
        <f>IF(INDEX(I.Facility.P1IDNumber,2570)="","",INDEX(I.Facility.P1IDNumber,2570))</f>
        <v/>
      </c>
      <c r="G2582" s="51"/>
      <c r="H2582" s="46" t="str">
        <f>IF(AND(I.Developer.P1=TRUE,I.Facility.P1FacilityCount&gt;=2570,F2582=""),"Incomplete","Complete")</f>
        <v>Complete</v>
      </c>
      <c r="I2582" s="48" t="s">
        <v>6947</v>
      </c>
    </row>
    <row r="2583" spans="2:9" ht="15" customHeight="1" x14ac:dyDescent="0.25">
      <c r="B2583" s="55" t="s">
        <v>279</v>
      </c>
      <c r="C2583" s="46">
        <v>2571</v>
      </c>
      <c r="D2583" s="69" t="s">
        <v>29416</v>
      </c>
      <c r="E2583" s="51"/>
      <c r="F2583" s="114" t="str">
        <f>IF(INDEX(I.Facility.P1IDNumber,2571)="","",INDEX(I.Facility.P1IDNumber,2571))</f>
        <v/>
      </c>
      <c r="G2583" s="51"/>
      <c r="H2583" s="46" t="str">
        <f>IF(AND(I.Developer.P1=TRUE,I.Facility.P1FacilityCount&gt;=2571,F2583=""),"Incomplete","Complete")</f>
        <v>Complete</v>
      </c>
      <c r="I2583" s="48" t="s">
        <v>6948</v>
      </c>
    </row>
    <row r="2584" spans="2:9" ht="15" customHeight="1" x14ac:dyDescent="0.25">
      <c r="B2584" s="55" t="s">
        <v>279</v>
      </c>
      <c r="C2584" s="46">
        <v>2572</v>
      </c>
      <c r="D2584" s="69" t="s">
        <v>29416</v>
      </c>
      <c r="E2584" s="51"/>
      <c r="F2584" s="114" t="str">
        <f>IF(INDEX(I.Facility.P1IDNumber,2572)="","",INDEX(I.Facility.P1IDNumber,2572))</f>
        <v/>
      </c>
      <c r="G2584" s="51"/>
      <c r="H2584" s="46" t="str">
        <f>IF(AND(I.Developer.P1=TRUE,I.Facility.P1FacilityCount&gt;=2572,F2584=""),"Incomplete","Complete")</f>
        <v>Complete</v>
      </c>
      <c r="I2584" s="48" t="s">
        <v>6949</v>
      </c>
    </row>
    <row r="2585" spans="2:9" ht="15" customHeight="1" x14ac:dyDescent="0.25">
      <c r="B2585" s="55" t="s">
        <v>279</v>
      </c>
      <c r="C2585" s="46">
        <v>2573</v>
      </c>
      <c r="D2585" s="69" t="s">
        <v>29416</v>
      </c>
      <c r="E2585" s="51"/>
      <c r="F2585" s="114" t="str">
        <f>IF(INDEX(I.Facility.P1IDNumber,2573)="","",INDEX(I.Facility.P1IDNumber,2573))</f>
        <v/>
      </c>
      <c r="G2585" s="51"/>
      <c r="H2585" s="46" t="str">
        <f>IF(AND(I.Developer.P1=TRUE,I.Facility.P1FacilityCount&gt;=2573,F2585=""),"Incomplete","Complete")</f>
        <v>Complete</v>
      </c>
      <c r="I2585" s="48" t="s">
        <v>6950</v>
      </c>
    </row>
    <row r="2586" spans="2:9" ht="15" customHeight="1" x14ac:dyDescent="0.25">
      <c r="B2586" s="55" t="s">
        <v>279</v>
      </c>
      <c r="C2586" s="46">
        <v>2574</v>
      </c>
      <c r="D2586" s="69" t="s">
        <v>29416</v>
      </c>
      <c r="E2586" s="51"/>
      <c r="F2586" s="114" t="str">
        <f>IF(INDEX(I.Facility.P1IDNumber,2574)="","",INDEX(I.Facility.P1IDNumber,2574))</f>
        <v/>
      </c>
      <c r="G2586" s="51"/>
      <c r="H2586" s="46" t="str">
        <f>IF(AND(I.Developer.P1=TRUE,I.Facility.P1FacilityCount&gt;=2574,F2586=""),"Incomplete","Complete")</f>
        <v>Complete</v>
      </c>
      <c r="I2586" s="48" t="s">
        <v>6951</v>
      </c>
    </row>
    <row r="2587" spans="2:9" ht="15" customHeight="1" x14ac:dyDescent="0.25">
      <c r="B2587" s="55" t="s">
        <v>279</v>
      </c>
      <c r="C2587" s="46">
        <v>2575</v>
      </c>
      <c r="D2587" s="69" t="s">
        <v>29416</v>
      </c>
      <c r="E2587" s="51"/>
      <c r="F2587" s="114" t="str">
        <f>IF(INDEX(I.Facility.P1IDNumber,2575)="","",INDEX(I.Facility.P1IDNumber,2575))</f>
        <v/>
      </c>
      <c r="G2587" s="51"/>
      <c r="H2587" s="46" t="str">
        <f>IF(AND(I.Developer.P1=TRUE,I.Facility.P1FacilityCount&gt;=2575,F2587=""),"Incomplete","Complete")</f>
        <v>Complete</v>
      </c>
      <c r="I2587" s="48" t="s">
        <v>6952</v>
      </c>
    </row>
    <row r="2588" spans="2:9" ht="15" customHeight="1" x14ac:dyDescent="0.25">
      <c r="B2588" s="55" t="s">
        <v>279</v>
      </c>
      <c r="C2588" s="46">
        <v>2576</v>
      </c>
      <c r="D2588" s="69" t="s">
        <v>29416</v>
      </c>
      <c r="E2588" s="51"/>
      <c r="F2588" s="114" t="str">
        <f>IF(INDEX(I.Facility.P1IDNumber,2576)="","",INDEX(I.Facility.P1IDNumber,2576))</f>
        <v/>
      </c>
      <c r="G2588" s="51"/>
      <c r="H2588" s="46" t="str">
        <f>IF(AND(I.Developer.P1=TRUE,I.Facility.P1FacilityCount&gt;=2576,F2588=""),"Incomplete","Complete")</f>
        <v>Complete</v>
      </c>
      <c r="I2588" s="48" t="s">
        <v>6953</v>
      </c>
    </row>
    <row r="2589" spans="2:9" ht="15" customHeight="1" x14ac:dyDescent="0.25">
      <c r="B2589" s="55" t="s">
        <v>279</v>
      </c>
      <c r="C2589" s="46">
        <v>2577</v>
      </c>
      <c r="D2589" s="69" t="s">
        <v>29416</v>
      </c>
      <c r="E2589" s="51"/>
      <c r="F2589" s="114" t="str">
        <f>IF(INDEX(I.Facility.P1IDNumber,2577)="","",INDEX(I.Facility.P1IDNumber,2577))</f>
        <v/>
      </c>
      <c r="G2589" s="51"/>
      <c r="H2589" s="46" t="str">
        <f>IF(AND(I.Developer.P1=TRUE,I.Facility.P1FacilityCount&gt;=2577,F2589=""),"Incomplete","Complete")</f>
        <v>Complete</v>
      </c>
      <c r="I2589" s="48" t="s">
        <v>6954</v>
      </c>
    </row>
    <row r="2590" spans="2:9" ht="15" customHeight="1" x14ac:dyDescent="0.25">
      <c r="B2590" s="55" t="s">
        <v>279</v>
      </c>
      <c r="C2590" s="46">
        <v>2578</v>
      </c>
      <c r="D2590" s="69" t="s">
        <v>29416</v>
      </c>
      <c r="E2590" s="51"/>
      <c r="F2590" s="114" t="str">
        <f>IF(INDEX(I.Facility.P1IDNumber,2578)="","",INDEX(I.Facility.P1IDNumber,2578))</f>
        <v/>
      </c>
      <c r="G2590" s="51"/>
      <c r="H2590" s="46" t="str">
        <f>IF(AND(I.Developer.P1=TRUE,I.Facility.P1FacilityCount&gt;=2578,F2590=""),"Incomplete","Complete")</f>
        <v>Complete</v>
      </c>
      <c r="I2590" s="48" t="s">
        <v>6955</v>
      </c>
    </row>
    <row r="2591" spans="2:9" ht="15" customHeight="1" x14ac:dyDescent="0.25">
      <c r="B2591" s="55" t="s">
        <v>279</v>
      </c>
      <c r="C2591" s="46">
        <v>2579</v>
      </c>
      <c r="D2591" s="69" t="s">
        <v>29416</v>
      </c>
      <c r="E2591" s="51"/>
      <c r="F2591" s="114" t="str">
        <f>IF(INDEX(I.Facility.P1IDNumber,2579)="","",INDEX(I.Facility.P1IDNumber,2579))</f>
        <v/>
      </c>
      <c r="G2591" s="51"/>
      <c r="H2591" s="46" t="str">
        <f>IF(AND(I.Developer.P1=TRUE,I.Facility.P1FacilityCount&gt;=2579,F2591=""),"Incomplete","Complete")</f>
        <v>Complete</v>
      </c>
      <c r="I2591" s="48" t="s">
        <v>6956</v>
      </c>
    </row>
    <row r="2592" spans="2:9" ht="15" customHeight="1" x14ac:dyDescent="0.25">
      <c r="B2592" s="55" t="s">
        <v>279</v>
      </c>
      <c r="C2592" s="46">
        <v>2580</v>
      </c>
      <c r="D2592" s="69" t="s">
        <v>29416</v>
      </c>
      <c r="E2592" s="51"/>
      <c r="F2592" s="114" t="str">
        <f>IF(INDEX(I.Facility.P1IDNumber,2580)="","",INDEX(I.Facility.P1IDNumber,2580))</f>
        <v/>
      </c>
      <c r="G2592" s="51"/>
      <c r="H2592" s="46" t="str">
        <f>IF(AND(I.Developer.P1=TRUE,I.Facility.P1FacilityCount&gt;=2580,F2592=""),"Incomplete","Complete")</f>
        <v>Complete</v>
      </c>
      <c r="I2592" s="48" t="s">
        <v>6957</v>
      </c>
    </row>
    <row r="2593" spans="2:9" ht="15" customHeight="1" x14ac:dyDescent="0.25">
      <c r="B2593" s="55" t="s">
        <v>279</v>
      </c>
      <c r="C2593" s="46">
        <v>2581</v>
      </c>
      <c r="D2593" s="69" t="s">
        <v>29416</v>
      </c>
      <c r="E2593" s="51"/>
      <c r="F2593" s="114" t="str">
        <f>IF(INDEX(I.Facility.P1IDNumber,2581)="","",INDEX(I.Facility.P1IDNumber,2581))</f>
        <v/>
      </c>
      <c r="G2593" s="51"/>
      <c r="H2593" s="46" t="str">
        <f>IF(AND(I.Developer.P1=TRUE,I.Facility.P1FacilityCount&gt;=2581,F2593=""),"Incomplete","Complete")</f>
        <v>Complete</v>
      </c>
      <c r="I2593" s="48" t="s">
        <v>6958</v>
      </c>
    </row>
    <row r="2594" spans="2:9" ht="15" customHeight="1" x14ac:dyDescent="0.25">
      <c r="B2594" s="55" t="s">
        <v>279</v>
      </c>
      <c r="C2594" s="46">
        <v>2582</v>
      </c>
      <c r="D2594" s="69" t="s">
        <v>29416</v>
      </c>
      <c r="E2594" s="51"/>
      <c r="F2594" s="114" t="str">
        <f>IF(INDEX(I.Facility.P1IDNumber,2582)="","",INDEX(I.Facility.P1IDNumber,2582))</f>
        <v/>
      </c>
      <c r="G2594" s="51"/>
      <c r="H2594" s="46" t="str">
        <f>IF(AND(I.Developer.P1=TRUE,I.Facility.P1FacilityCount&gt;=2582,F2594=""),"Incomplete","Complete")</f>
        <v>Complete</v>
      </c>
      <c r="I2594" s="48" t="s">
        <v>6959</v>
      </c>
    </row>
    <row r="2595" spans="2:9" ht="15" customHeight="1" x14ac:dyDescent="0.25">
      <c r="B2595" s="55" t="s">
        <v>279</v>
      </c>
      <c r="C2595" s="46">
        <v>2583</v>
      </c>
      <c r="D2595" s="69" t="s">
        <v>29416</v>
      </c>
      <c r="E2595" s="51"/>
      <c r="F2595" s="114" t="str">
        <f>IF(INDEX(I.Facility.P1IDNumber,2583)="","",INDEX(I.Facility.P1IDNumber,2583))</f>
        <v/>
      </c>
      <c r="G2595" s="51"/>
      <c r="H2595" s="46" t="str">
        <f>IF(AND(I.Developer.P1=TRUE,I.Facility.P1FacilityCount&gt;=2583,F2595=""),"Incomplete","Complete")</f>
        <v>Complete</v>
      </c>
      <c r="I2595" s="48" t="s">
        <v>6960</v>
      </c>
    </row>
    <row r="2596" spans="2:9" ht="15" customHeight="1" x14ac:dyDescent="0.25">
      <c r="B2596" s="55" t="s">
        <v>279</v>
      </c>
      <c r="C2596" s="46">
        <v>2584</v>
      </c>
      <c r="D2596" s="69" t="s">
        <v>29416</v>
      </c>
      <c r="E2596" s="51"/>
      <c r="F2596" s="114" t="str">
        <f>IF(INDEX(I.Facility.P1IDNumber,2584)="","",INDEX(I.Facility.P1IDNumber,2584))</f>
        <v/>
      </c>
      <c r="G2596" s="51"/>
      <c r="H2596" s="46" t="str">
        <f>IF(AND(I.Developer.P1=TRUE,I.Facility.P1FacilityCount&gt;=2584,F2596=""),"Incomplete","Complete")</f>
        <v>Complete</v>
      </c>
      <c r="I2596" s="48" t="s">
        <v>6961</v>
      </c>
    </row>
    <row r="2597" spans="2:9" ht="15" customHeight="1" x14ac:dyDescent="0.25">
      <c r="B2597" s="55" t="s">
        <v>279</v>
      </c>
      <c r="C2597" s="46">
        <v>2585</v>
      </c>
      <c r="D2597" s="69" t="s">
        <v>29416</v>
      </c>
      <c r="E2597" s="51"/>
      <c r="F2597" s="114" t="str">
        <f>IF(INDEX(I.Facility.P1IDNumber,2585)="","",INDEX(I.Facility.P1IDNumber,2585))</f>
        <v/>
      </c>
      <c r="G2597" s="51"/>
      <c r="H2597" s="46" t="str">
        <f>IF(AND(I.Developer.P1=TRUE,I.Facility.P1FacilityCount&gt;=2585,F2597=""),"Incomplete","Complete")</f>
        <v>Complete</v>
      </c>
      <c r="I2597" s="48" t="s">
        <v>6962</v>
      </c>
    </row>
    <row r="2598" spans="2:9" ht="15" customHeight="1" x14ac:dyDescent="0.25">
      <c r="B2598" s="55" t="s">
        <v>279</v>
      </c>
      <c r="C2598" s="46">
        <v>2586</v>
      </c>
      <c r="D2598" s="69" t="s">
        <v>29416</v>
      </c>
      <c r="E2598" s="51"/>
      <c r="F2598" s="114" t="str">
        <f>IF(INDEX(I.Facility.P1IDNumber,2586)="","",INDEX(I.Facility.P1IDNumber,2586))</f>
        <v/>
      </c>
      <c r="G2598" s="51"/>
      <c r="H2598" s="46" t="str">
        <f>IF(AND(I.Developer.P1=TRUE,I.Facility.P1FacilityCount&gt;=2586,F2598=""),"Incomplete","Complete")</f>
        <v>Complete</v>
      </c>
      <c r="I2598" s="48" t="s">
        <v>6963</v>
      </c>
    </row>
    <row r="2599" spans="2:9" ht="15" customHeight="1" x14ac:dyDescent="0.25">
      <c r="B2599" s="55" t="s">
        <v>279</v>
      </c>
      <c r="C2599" s="46">
        <v>2587</v>
      </c>
      <c r="D2599" s="69" t="s">
        <v>29416</v>
      </c>
      <c r="E2599" s="51"/>
      <c r="F2599" s="114" t="str">
        <f>IF(INDEX(I.Facility.P1IDNumber,2587)="","",INDEX(I.Facility.P1IDNumber,2587))</f>
        <v/>
      </c>
      <c r="G2599" s="51"/>
      <c r="H2599" s="46" t="str">
        <f>IF(AND(I.Developer.P1=TRUE,I.Facility.P1FacilityCount&gt;=2587,F2599=""),"Incomplete","Complete")</f>
        <v>Complete</v>
      </c>
      <c r="I2599" s="48" t="s">
        <v>6964</v>
      </c>
    </row>
    <row r="2600" spans="2:9" ht="15" customHeight="1" x14ac:dyDescent="0.25">
      <c r="B2600" s="55" t="s">
        <v>279</v>
      </c>
      <c r="C2600" s="46">
        <v>2588</v>
      </c>
      <c r="D2600" s="69" t="s">
        <v>29416</v>
      </c>
      <c r="E2600" s="51"/>
      <c r="F2600" s="114" t="str">
        <f>IF(INDEX(I.Facility.P1IDNumber,2588)="","",INDEX(I.Facility.P1IDNumber,2588))</f>
        <v/>
      </c>
      <c r="G2600" s="51"/>
      <c r="H2600" s="46" t="str">
        <f>IF(AND(I.Developer.P1=TRUE,I.Facility.P1FacilityCount&gt;=2588,F2600=""),"Incomplete","Complete")</f>
        <v>Complete</v>
      </c>
      <c r="I2600" s="48" t="s">
        <v>6965</v>
      </c>
    </row>
    <row r="2601" spans="2:9" ht="15" customHeight="1" x14ac:dyDescent="0.25">
      <c r="B2601" s="55" t="s">
        <v>279</v>
      </c>
      <c r="C2601" s="46">
        <v>2589</v>
      </c>
      <c r="D2601" s="69" t="s">
        <v>29416</v>
      </c>
      <c r="E2601" s="51"/>
      <c r="F2601" s="114" t="str">
        <f>IF(INDEX(I.Facility.P1IDNumber,2589)="","",INDEX(I.Facility.P1IDNumber,2589))</f>
        <v/>
      </c>
      <c r="G2601" s="51"/>
      <c r="H2601" s="46" t="str">
        <f>IF(AND(I.Developer.P1=TRUE,I.Facility.P1FacilityCount&gt;=2589,F2601=""),"Incomplete","Complete")</f>
        <v>Complete</v>
      </c>
      <c r="I2601" s="48" t="s">
        <v>6966</v>
      </c>
    </row>
    <row r="2602" spans="2:9" ht="15" customHeight="1" x14ac:dyDescent="0.25">
      <c r="B2602" s="55" t="s">
        <v>279</v>
      </c>
      <c r="C2602" s="46">
        <v>2590</v>
      </c>
      <c r="D2602" s="69" t="s">
        <v>29416</v>
      </c>
      <c r="E2602" s="51"/>
      <c r="F2602" s="114" t="str">
        <f>IF(INDEX(I.Facility.P1IDNumber,2590)="","",INDEX(I.Facility.P1IDNumber,2590))</f>
        <v/>
      </c>
      <c r="G2602" s="51"/>
      <c r="H2602" s="46" t="str">
        <f>IF(AND(I.Developer.P1=TRUE,I.Facility.P1FacilityCount&gt;=2590,F2602=""),"Incomplete","Complete")</f>
        <v>Complete</v>
      </c>
      <c r="I2602" s="48" t="s">
        <v>6967</v>
      </c>
    </row>
    <row r="2603" spans="2:9" ht="15" customHeight="1" x14ac:dyDescent="0.25">
      <c r="B2603" s="55" t="s">
        <v>279</v>
      </c>
      <c r="C2603" s="46">
        <v>2591</v>
      </c>
      <c r="D2603" s="69" t="s">
        <v>29416</v>
      </c>
      <c r="E2603" s="51"/>
      <c r="F2603" s="114" t="str">
        <f>IF(INDEX(I.Facility.P1IDNumber,2591)="","",INDEX(I.Facility.P1IDNumber,2591))</f>
        <v/>
      </c>
      <c r="G2603" s="51"/>
      <c r="H2603" s="46" t="str">
        <f>IF(AND(I.Developer.P1=TRUE,I.Facility.P1FacilityCount&gt;=2591,F2603=""),"Incomplete","Complete")</f>
        <v>Complete</v>
      </c>
      <c r="I2603" s="48" t="s">
        <v>6968</v>
      </c>
    </row>
    <row r="2604" spans="2:9" ht="15" customHeight="1" x14ac:dyDescent="0.25">
      <c r="B2604" s="55" t="s">
        <v>279</v>
      </c>
      <c r="C2604" s="46">
        <v>2592</v>
      </c>
      <c r="D2604" s="69" t="s">
        <v>29416</v>
      </c>
      <c r="E2604" s="51"/>
      <c r="F2604" s="114" t="str">
        <f>IF(INDEX(I.Facility.P1IDNumber,2592)="","",INDEX(I.Facility.P1IDNumber,2592))</f>
        <v/>
      </c>
      <c r="G2604" s="51"/>
      <c r="H2604" s="46" t="str">
        <f>IF(AND(I.Developer.P1=TRUE,I.Facility.P1FacilityCount&gt;=2592,F2604=""),"Incomplete","Complete")</f>
        <v>Complete</v>
      </c>
      <c r="I2604" s="48" t="s">
        <v>6969</v>
      </c>
    </row>
    <row r="2605" spans="2:9" ht="15" customHeight="1" x14ac:dyDescent="0.25">
      <c r="B2605" s="55" t="s">
        <v>279</v>
      </c>
      <c r="C2605" s="46">
        <v>2593</v>
      </c>
      <c r="D2605" s="69" t="s">
        <v>29416</v>
      </c>
      <c r="E2605" s="51"/>
      <c r="F2605" s="114" t="str">
        <f>IF(INDEX(I.Facility.P1IDNumber,2593)="","",INDEX(I.Facility.P1IDNumber,2593))</f>
        <v/>
      </c>
      <c r="G2605" s="51"/>
      <c r="H2605" s="46" t="str">
        <f>IF(AND(I.Developer.P1=TRUE,I.Facility.P1FacilityCount&gt;=2593,F2605=""),"Incomplete","Complete")</f>
        <v>Complete</v>
      </c>
      <c r="I2605" s="48" t="s">
        <v>6970</v>
      </c>
    </row>
    <row r="2606" spans="2:9" ht="15" customHeight="1" x14ac:dyDescent="0.25">
      <c r="B2606" s="55" t="s">
        <v>279</v>
      </c>
      <c r="C2606" s="46">
        <v>2594</v>
      </c>
      <c r="D2606" s="69" t="s">
        <v>29416</v>
      </c>
      <c r="E2606" s="51"/>
      <c r="F2606" s="114" t="str">
        <f>IF(INDEX(I.Facility.P1IDNumber,2594)="","",INDEX(I.Facility.P1IDNumber,2594))</f>
        <v/>
      </c>
      <c r="G2606" s="51"/>
      <c r="H2606" s="46" t="str">
        <f>IF(AND(I.Developer.P1=TRUE,I.Facility.P1FacilityCount&gt;=2594,F2606=""),"Incomplete","Complete")</f>
        <v>Complete</v>
      </c>
      <c r="I2606" s="48" t="s">
        <v>6971</v>
      </c>
    </row>
    <row r="2607" spans="2:9" ht="15" customHeight="1" x14ac:dyDescent="0.25">
      <c r="B2607" s="55" t="s">
        <v>279</v>
      </c>
      <c r="C2607" s="46">
        <v>2595</v>
      </c>
      <c r="D2607" s="69" t="s">
        <v>29416</v>
      </c>
      <c r="E2607" s="51"/>
      <c r="F2607" s="114" t="str">
        <f>IF(INDEX(I.Facility.P1IDNumber,2595)="","",INDEX(I.Facility.P1IDNumber,2595))</f>
        <v/>
      </c>
      <c r="G2607" s="51"/>
      <c r="H2607" s="46" t="str">
        <f>IF(AND(I.Developer.P1=TRUE,I.Facility.P1FacilityCount&gt;=2595,F2607=""),"Incomplete","Complete")</f>
        <v>Complete</v>
      </c>
      <c r="I2607" s="48" t="s">
        <v>6972</v>
      </c>
    </row>
    <row r="2608" spans="2:9" ht="15" customHeight="1" x14ac:dyDescent="0.25">
      <c r="B2608" s="55" t="s">
        <v>279</v>
      </c>
      <c r="C2608" s="46">
        <v>2596</v>
      </c>
      <c r="D2608" s="69" t="s">
        <v>29416</v>
      </c>
      <c r="E2608" s="51"/>
      <c r="F2608" s="114" t="str">
        <f>IF(INDEX(I.Facility.P1IDNumber,2596)="","",INDEX(I.Facility.P1IDNumber,2596))</f>
        <v/>
      </c>
      <c r="G2608" s="51"/>
      <c r="H2608" s="46" t="str">
        <f>IF(AND(I.Developer.P1=TRUE,I.Facility.P1FacilityCount&gt;=2596,F2608=""),"Incomplete","Complete")</f>
        <v>Complete</v>
      </c>
      <c r="I2608" s="48" t="s">
        <v>6973</v>
      </c>
    </row>
    <row r="2609" spans="2:9" ht="15" customHeight="1" x14ac:dyDescent="0.25">
      <c r="B2609" s="55" t="s">
        <v>279</v>
      </c>
      <c r="C2609" s="46">
        <v>2597</v>
      </c>
      <c r="D2609" s="69" t="s">
        <v>29416</v>
      </c>
      <c r="E2609" s="51"/>
      <c r="F2609" s="114" t="str">
        <f>IF(INDEX(I.Facility.P1IDNumber,2597)="","",INDEX(I.Facility.P1IDNumber,2597))</f>
        <v/>
      </c>
      <c r="G2609" s="51"/>
      <c r="H2609" s="46" t="str">
        <f>IF(AND(I.Developer.P1=TRUE,I.Facility.P1FacilityCount&gt;=2597,F2609=""),"Incomplete","Complete")</f>
        <v>Complete</v>
      </c>
      <c r="I2609" s="48" t="s">
        <v>6974</v>
      </c>
    </row>
    <row r="2610" spans="2:9" ht="15" customHeight="1" x14ac:dyDescent="0.25">
      <c r="B2610" s="55" t="s">
        <v>279</v>
      </c>
      <c r="C2610" s="46">
        <v>2598</v>
      </c>
      <c r="D2610" s="69" t="s">
        <v>29416</v>
      </c>
      <c r="E2610" s="51"/>
      <c r="F2610" s="114" t="str">
        <f>IF(INDEX(I.Facility.P1IDNumber,2598)="","",INDEX(I.Facility.P1IDNumber,2598))</f>
        <v/>
      </c>
      <c r="G2610" s="51"/>
      <c r="H2610" s="46" t="str">
        <f>IF(AND(I.Developer.P1=TRUE,I.Facility.P1FacilityCount&gt;=2598,F2610=""),"Incomplete","Complete")</f>
        <v>Complete</v>
      </c>
      <c r="I2610" s="48" t="s">
        <v>6975</v>
      </c>
    </row>
    <row r="2611" spans="2:9" ht="15" customHeight="1" x14ac:dyDescent="0.25">
      <c r="B2611" s="55" t="s">
        <v>279</v>
      </c>
      <c r="C2611" s="46">
        <v>2599</v>
      </c>
      <c r="D2611" s="69" t="s">
        <v>29416</v>
      </c>
      <c r="E2611" s="51"/>
      <c r="F2611" s="114" t="str">
        <f>IF(INDEX(I.Facility.P1IDNumber,2599)="","",INDEX(I.Facility.P1IDNumber,2599))</f>
        <v/>
      </c>
      <c r="G2611" s="51"/>
      <c r="H2611" s="46" t="str">
        <f>IF(AND(I.Developer.P1=TRUE,I.Facility.P1FacilityCount&gt;=2599,F2611=""),"Incomplete","Complete")</f>
        <v>Complete</v>
      </c>
      <c r="I2611" s="48" t="s">
        <v>6976</v>
      </c>
    </row>
    <row r="2612" spans="2:9" ht="15" customHeight="1" x14ac:dyDescent="0.25">
      <c r="B2612" s="55" t="s">
        <v>279</v>
      </c>
      <c r="C2612" s="46">
        <v>2600</v>
      </c>
      <c r="D2612" s="69" t="s">
        <v>29416</v>
      </c>
      <c r="E2612" s="51"/>
      <c r="F2612" s="114" t="str">
        <f>IF(INDEX(I.Facility.P1IDNumber,2600)="","",INDEX(I.Facility.P1IDNumber,2600))</f>
        <v/>
      </c>
      <c r="G2612" s="51"/>
      <c r="H2612" s="46" t="str">
        <f>IF(AND(I.Developer.P1=TRUE,I.Facility.P1FacilityCount&gt;=2600,F2612=""),"Incomplete","Complete")</f>
        <v>Complete</v>
      </c>
      <c r="I2612" s="48" t="s">
        <v>6977</v>
      </c>
    </row>
    <row r="2613" spans="2:9" ht="15" customHeight="1" x14ac:dyDescent="0.25">
      <c r="B2613" s="55" t="s">
        <v>279</v>
      </c>
      <c r="C2613" s="46">
        <v>2601</v>
      </c>
      <c r="D2613" s="69" t="s">
        <v>29416</v>
      </c>
      <c r="E2613" s="51"/>
      <c r="F2613" s="114" t="str">
        <f>IF(INDEX(I.Facility.P1IDNumber,2601)="","",INDEX(I.Facility.P1IDNumber,2601))</f>
        <v/>
      </c>
      <c r="G2613" s="51"/>
      <c r="H2613" s="46" t="str">
        <f>IF(AND(I.Developer.P1=TRUE,I.Facility.P1FacilityCount&gt;=2601,F2613=""),"Incomplete","Complete")</f>
        <v>Complete</v>
      </c>
      <c r="I2613" s="48" t="s">
        <v>6978</v>
      </c>
    </row>
    <row r="2614" spans="2:9" ht="15" customHeight="1" x14ac:dyDescent="0.25">
      <c r="B2614" s="55" t="s">
        <v>279</v>
      </c>
      <c r="C2614" s="46">
        <v>2602</v>
      </c>
      <c r="D2614" s="69" t="s">
        <v>29416</v>
      </c>
      <c r="E2614" s="51"/>
      <c r="F2614" s="114" t="str">
        <f>IF(INDEX(I.Facility.P1IDNumber,2602)="","",INDEX(I.Facility.P1IDNumber,2602))</f>
        <v/>
      </c>
      <c r="G2614" s="51"/>
      <c r="H2614" s="46" t="str">
        <f>IF(AND(I.Developer.P1=TRUE,I.Facility.P1FacilityCount&gt;=2602,F2614=""),"Incomplete","Complete")</f>
        <v>Complete</v>
      </c>
      <c r="I2614" s="48" t="s">
        <v>6979</v>
      </c>
    </row>
    <row r="2615" spans="2:9" ht="15" customHeight="1" x14ac:dyDescent="0.25">
      <c r="B2615" s="55" t="s">
        <v>279</v>
      </c>
      <c r="C2615" s="46">
        <v>2603</v>
      </c>
      <c r="D2615" s="69" t="s">
        <v>29416</v>
      </c>
      <c r="E2615" s="51"/>
      <c r="F2615" s="114" t="str">
        <f>IF(INDEX(I.Facility.P1IDNumber,2603)="","",INDEX(I.Facility.P1IDNumber,2603))</f>
        <v/>
      </c>
      <c r="G2615" s="51"/>
      <c r="H2615" s="46" t="str">
        <f>IF(AND(I.Developer.P1=TRUE,I.Facility.P1FacilityCount&gt;=2603,F2615=""),"Incomplete","Complete")</f>
        <v>Complete</v>
      </c>
      <c r="I2615" s="48" t="s">
        <v>6980</v>
      </c>
    </row>
    <row r="2616" spans="2:9" ht="15" customHeight="1" x14ac:dyDescent="0.25">
      <c r="B2616" s="55" t="s">
        <v>279</v>
      </c>
      <c r="C2616" s="46">
        <v>2604</v>
      </c>
      <c r="D2616" s="69" t="s">
        <v>29416</v>
      </c>
      <c r="E2616" s="51"/>
      <c r="F2616" s="114" t="str">
        <f>IF(INDEX(I.Facility.P1IDNumber,2604)="","",INDEX(I.Facility.P1IDNumber,2604))</f>
        <v/>
      </c>
      <c r="G2616" s="51"/>
      <c r="H2616" s="46" t="str">
        <f>IF(AND(I.Developer.P1=TRUE,I.Facility.P1FacilityCount&gt;=2604,F2616=""),"Incomplete","Complete")</f>
        <v>Complete</v>
      </c>
      <c r="I2616" s="48" t="s">
        <v>6981</v>
      </c>
    </row>
    <row r="2617" spans="2:9" ht="15" customHeight="1" x14ac:dyDescent="0.25">
      <c r="B2617" s="55" t="s">
        <v>279</v>
      </c>
      <c r="C2617" s="46">
        <v>2605</v>
      </c>
      <c r="D2617" s="69" t="s">
        <v>29416</v>
      </c>
      <c r="E2617" s="51"/>
      <c r="F2617" s="114" t="str">
        <f>IF(INDEX(I.Facility.P1IDNumber,2605)="","",INDEX(I.Facility.P1IDNumber,2605))</f>
        <v/>
      </c>
      <c r="G2617" s="51"/>
      <c r="H2617" s="46" t="str">
        <f>IF(AND(I.Developer.P1=TRUE,I.Facility.P1FacilityCount&gt;=2605,F2617=""),"Incomplete","Complete")</f>
        <v>Complete</v>
      </c>
      <c r="I2617" s="48" t="s">
        <v>6982</v>
      </c>
    </row>
    <row r="2618" spans="2:9" ht="15" customHeight="1" x14ac:dyDescent="0.25">
      <c r="B2618" s="55" t="s">
        <v>279</v>
      </c>
      <c r="C2618" s="46">
        <v>2606</v>
      </c>
      <c r="D2618" s="69" t="s">
        <v>29416</v>
      </c>
      <c r="E2618" s="51"/>
      <c r="F2618" s="114" t="str">
        <f>IF(INDEX(I.Facility.P1IDNumber,2606)="","",INDEX(I.Facility.P1IDNumber,2606))</f>
        <v/>
      </c>
      <c r="G2618" s="51"/>
      <c r="H2618" s="46" t="str">
        <f>IF(AND(I.Developer.P1=TRUE,I.Facility.P1FacilityCount&gt;=2606,F2618=""),"Incomplete","Complete")</f>
        <v>Complete</v>
      </c>
      <c r="I2618" s="48" t="s">
        <v>6983</v>
      </c>
    </row>
    <row r="2619" spans="2:9" ht="15" customHeight="1" x14ac:dyDescent="0.25">
      <c r="B2619" s="55" t="s">
        <v>279</v>
      </c>
      <c r="C2619" s="46">
        <v>2607</v>
      </c>
      <c r="D2619" s="69" t="s">
        <v>29416</v>
      </c>
      <c r="E2619" s="51"/>
      <c r="F2619" s="114" t="str">
        <f>IF(INDEX(I.Facility.P1IDNumber,2607)="","",INDEX(I.Facility.P1IDNumber,2607))</f>
        <v/>
      </c>
      <c r="G2619" s="51"/>
      <c r="H2619" s="46" t="str">
        <f>IF(AND(I.Developer.P1=TRUE,I.Facility.P1FacilityCount&gt;=2607,F2619=""),"Incomplete","Complete")</f>
        <v>Complete</v>
      </c>
      <c r="I2619" s="48" t="s">
        <v>6984</v>
      </c>
    </row>
    <row r="2620" spans="2:9" ht="15" customHeight="1" x14ac:dyDescent="0.25">
      <c r="B2620" s="55" t="s">
        <v>279</v>
      </c>
      <c r="C2620" s="46">
        <v>2608</v>
      </c>
      <c r="D2620" s="69" t="s">
        <v>29416</v>
      </c>
      <c r="E2620" s="51"/>
      <c r="F2620" s="114" t="str">
        <f>IF(INDEX(I.Facility.P1IDNumber,2608)="","",INDEX(I.Facility.P1IDNumber,2608))</f>
        <v/>
      </c>
      <c r="G2620" s="51"/>
      <c r="H2620" s="46" t="str">
        <f>IF(AND(I.Developer.P1=TRUE,I.Facility.P1FacilityCount&gt;=2608,F2620=""),"Incomplete","Complete")</f>
        <v>Complete</v>
      </c>
      <c r="I2620" s="48" t="s">
        <v>6985</v>
      </c>
    </row>
    <row r="2621" spans="2:9" ht="15" customHeight="1" x14ac:dyDescent="0.25">
      <c r="B2621" s="55" t="s">
        <v>279</v>
      </c>
      <c r="C2621" s="46">
        <v>2609</v>
      </c>
      <c r="D2621" s="69" t="s">
        <v>29416</v>
      </c>
      <c r="E2621" s="51"/>
      <c r="F2621" s="114" t="str">
        <f>IF(INDEX(I.Facility.P1IDNumber,2609)="","",INDEX(I.Facility.P1IDNumber,2609))</f>
        <v/>
      </c>
      <c r="G2621" s="51"/>
      <c r="H2621" s="46" t="str">
        <f>IF(AND(I.Developer.P1=TRUE,I.Facility.P1FacilityCount&gt;=2609,F2621=""),"Incomplete","Complete")</f>
        <v>Complete</v>
      </c>
      <c r="I2621" s="48" t="s">
        <v>6986</v>
      </c>
    </row>
    <row r="2622" spans="2:9" ht="15" customHeight="1" x14ac:dyDescent="0.25">
      <c r="B2622" s="55" t="s">
        <v>279</v>
      </c>
      <c r="C2622" s="46">
        <v>2610</v>
      </c>
      <c r="D2622" s="69" t="s">
        <v>29416</v>
      </c>
      <c r="E2622" s="51"/>
      <c r="F2622" s="114" t="str">
        <f>IF(INDEX(I.Facility.P1IDNumber,2610)="","",INDEX(I.Facility.P1IDNumber,2610))</f>
        <v/>
      </c>
      <c r="G2622" s="51"/>
      <c r="H2622" s="46" t="str">
        <f>IF(AND(I.Developer.P1=TRUE,I.Facility.P1FacilityCount&gt;=2610,F2622=""),"Incomplete","Complete")</f>
        <v>Complete</v>
      </c>
      <c r="I2622" s="48" t="s">
        <v>6987</v>
      </c>
    </row>
    <row r="2623" spans="2:9" ht="15" customHeight="1" x14ac:dyDescent="0.25">
      <c r="B2623" s="55" t="s">
        <v>279</v>
      </c>
      <c r="C2623" s="46">
        <v>2611</v>
      </c>
      <c r="D2623" s="69" t="s">
        <v>29416</v>
      </c>
      <c r="E2623" s="51"/>
      <c r="F2623" s="114" t="str">
        <f>IF(INDEX(I.Facility.P1IDNumber,2611)="","",INDEX(I.Facility.P1IDNumber,2611))</f>
        <v/>
      </c>
      <c r="G2623" s="51"/>
      <c r="H2623" s="46" t="str">
        <f>IF(AND(I.Developer.P1=TRUE,I.Facility.P1FacilityCount&gt;=2611,F2623=""),"Incomplete","Complete")</f>
        <v>Complete</v>
      </c>
      <c r="I2623" s="48" t="s">
        <v>6988</v>
      </c>
    </row>
    <row r="2624" spans="2:9" ht="15" customHeight="1" x14ac:dyDescent="0.25">
      <c r="B2624" s="55" t="s">
        <v>279</v>
      </c>
      <c r="C2624" s="46">
        <v>2612</v>
      </c>
      <c r="D2624" s="69" t="s">
        <v>29416</v>
      </c>
      <c r="E2624" s="51"/>
      <c r="F2624" s="114" t="str">
        <f>IF(INDEX(I.Facility.P1IDNumber,2612)="","",INDEX(I.Facility.P1IDNumber,2612))</f>
        <v/>
      </c>
      <c r="G2624" s="51"/>
      <c r="H2624" s="46" t="str">
        <f>IF(AND(I.Developer.P1=TRUE,I.Facility.P1FacilityCount&gt;=2612,F2624=""),"Incomplete","Complete")</f>
        <v>Complete</v>
      </c>
      <c r="I2624" s="48" t="s">
        <v>6989</v>
      </c>
    </row>
    <row r="2625" spans="2:9" ht="15" customHeight="1" x14ac:dyDescent="0.25">
      <c r="B2625" s="55" t="s">
        <v>279</v>
      </c>
      <c r="C2625" s="46">
        <v>2613</v>
      </c>
      <c r="D2625" s="69" t="s">
        <v>29416</v>
      </c>
      <c r="E2625" s="51"/>
      <c r="F2625" s="114" t="str">
        <f>IF(INDEX(I.Facility.P1IDNumber,2613)="","",INDEX(I.Facility.P1IDNumber,2613))</f>
        <v/>
      </c>
      <c r="G2625" s="51"/>
      <c r="H2625" s="46" t="str">
        <f>IF(AND(I.Developer.P1=TRUE,I.Facility.P1FacilityCount&gt;=2613,F2625=""),"Incomplete","Complete")</f>
        <v>Complete</v>
      </c>
      <c r="I2625" s="48" t="s">
        <v>6990</v>
      </c>
    </row>
    <row r="2626" spans="2:9" ht="15" customHeight="1" x14ac:dyDescent="0.25">
      <c r="B2626" s="55" t="s">
        <v>279</v>
      </c>
      <c r="C2626" s="46">
        <v>2614</v>
      </c>
      <c r="D2626" s="69" t="s">
        <v>29416</v>
      </c>
      <c r="E2626" s="51"/>
      <c r="F2626" s="114" t="str">
        <f>IF(INDEX(I.Facility.P1IDNumber,2614)="","",INDEX(I.Facility.P1IDNumber,2614))</f>
        <v/>
      </c>
      <c r="G2626" s="51"/>
      <c r="H2626" s="46" t="str">
        <f>IF(AND(I.Developer.P1=TRUE,I.Facility.P1FacilityCount&gt;=2614,F2626=""),"Incomplete","Complete")</f>
        <v>Complete</v>
      </c>
      <c r="I2626" s="48" t="s">
        <v>6991</v>
      </c>
    </row>
    <row r="2627" spans="2:9" ht="15" customHeight="1" x14ac:dyDescent="0.25">
      <c r="B2627" s="55" t="s">
        <v>279</v>
      </c>
      <c r="C2627" s="46">
        <v>2615</v>
      </c>
      <c r="D2627" s="69" t="s">
        <v>29416</v>
      </c>
      <c r="E2627" s="51"/>
      <c r="F2627" s="114" t="str">
        <f>IF(INDEX(I.Facility.P1IDNumber,2615)="","",INDEX(I.Facility.P1IDNumber,2615))</f>
        <v/>
      </c>
      <c r="G2627" s="51"/>
      <c r="H2627" s="46" t="str">
        <f>IF(AND(I.Developer.P1=TRUE,I.Facility.P1FacilityCount&gt;=2615,F2627=""),"Incomplete","Complete")</f>
        <v>Complete</v>
      </c>
      <c r="I2627" s="48" t="s">
        <v>6992</v>
      </c>
    </row>
    <row r="2628" spans="2:9" ht="15" customHeight="1" x14ac:dyDescent="0.25">
      <c r="B2628" s="55" t="s">
        <v>279</v>
      </c>
      <c r="C2628" s="46">
        <v>2616</v>
      </c>
      <c r="D2628" s="69" t="s">
        <v>29416</v>
      </c>
      <c r="E2628" s="51"/>
      <c r="F2628" s="114" t="str">
        <f>IF(INDEX(I.Facility.P1IDNumber,2616)="","",INDEX(I.Facility.P1IDNumber,2616))</f>
        <v/>
      </c>
      <c r="G2628" s="51"/>
      <c r="H2628" s="46" t="str">
        <f>IF(AND(I.Developer.P1=TRUE,I.Facility.P1FacilityCount&gt;=2616,F2628=""),"Incomplete","Complete")</f>
        <v>Complete</v>
      </c>
      <c r="I2628" s="48" t="s">
        <v>6993</v>
      </c>
    </row>
    <row r="2629" spans="2:9" ht="15" customHeight="1" x14ac:dyDescent="0.25">
      <c r="B2629" s="55" t="s">
        <v>279</v>
      </c>
      <c r="C2629" s="46">
        <v>2617</v>
      </c>
      <c r="D2629" s="69" t="s">
        <v>29416</v>
      </c>
      <c r="E2629" s="51"/>
      <c r="F2629" s="114" t="str">
        <f>IF(INDEX(I.Facility.P1IDNumber,2617)="","",INDEX(I.Facility.P1IDNumber,2617))</f>
        <v/>
      </c>
      <c r="G2629" s="51"/>
      <c r="H2629" s="46" t="str">
        <f>IF(AND(I.Developer.P1=TRUE,I.Facility.P1FacilityCount&gt;=2617,F2629=""),"Incomplete","Complete")</f>
        <v>Complete</v>
      </c>
      <c r="I2629" s="48" t="s">
        <v>6994</v>
      </c>
    </row>
    <row r="2630" spans="2:9" ht="15" customHeight="1" x14ac:dyDescent="0.25">
      <c r="B2630" s="55" t="s">
        <v>279</v>
      </c>
      <c r="C2630" s="46">
        <v>2618</v>
      </c>
      <c r="D2630" s="69" t="s">
        <v>29416</v>
      </c>
      <c r="E2630" s="51"/>
      <c r="F2630" s="114" t="str">
        <f>IF(INDEX(I.Facility.P1IDNumber,2618)="","",INDEX(I.Facility.P1IDNumber,2618))</f>
        <v/>
      </c>
      <c r="G2630" s="51"/>
      <c r="H2630" s="46" t="str">
        <f>IF(AND(I.Developer.P1=TRUE,I.Facility.P1FacilityCount&gt;=2618,F2630=""),"Incomplete","Complete")</f>
        <v>Complete</v>
      </c>
      <c r="I2630" s="48" t="s">
        <v>6995</v>
      </c>
    </row>
    <row r="2631" spans="2:9" ht="15" customHeight="1" x14ac:dyDescent="0.25">
      <c r="B2631" s="55" t="s">
        <v>279</v>
      </c>
      <c r="C2631" s="46">
        <v>2619</v>
      </c>
      <c r="D2631" s="69" t="s">
        <v>29416</v>
      </c>
      <c r="E2631" s="51"/>
      <c r="F2631" s="114" t="str">
        <f>IF(INDEX(I.Facility.P1IDNumber,2619)="","",INDEX(I.Facility.P1IDNumber,2619))</f>
        <v/>
      </c>
      <c r="G2631" s="51"/>
      <c r="H2631" s="46" t="str">
        <f>IF(AND(I.Developer.P1=TRUE,I.Facility.P1FacilityCount&gt;=2619,F2631=""),"Incomplete","Complete")</f>
        <v>Complete</v>
      </c>
      <c r="I2631" s="48" t="s">
        <v>6996</v>
      </c>
    </row>
    <row r="2632" spans="2:9" ht="15" customHeight="1" x14ac:dyDescent="0.25">
      <c r="B2632" s="55" t="s">
        <v>279</v>
      </c>
      <c r="C2632" s="46">
        <v>2620</v>
      </c>
      <c r="D2632" s="69" t="s">
        <v>29416</v>
      </c>
      <c r="E2632" s="51"/>
      <c r="F2632" s="114" t="str">
        <f>IF(INDEX(I.Facility.P1IDNumber,2620)="","",INDEX(I.Facility.P1IDNumber,2620))</f>
        <v/>
      </c>
      <c r="G2632" s="51"/>
      <c r="H2632" s="46" t="str">
        <f>IF(AND(I.Developer.P1=TRUE,I.Facility.P1FacilityCount&gt;=2620,F2632=""),"Incomplete","Complete")</f>
        <v>Complete</v>
      </c>
      <c r="I2632" s="48" t="s">
        <v>6997</v>
      </c>
    </row>
    <row r="2633" spans="2:9" ht="15" customHeight="1" x14ac:dyDescent="0.25">
      <c r="B2633" s="55" t="s">
        <v>279</v>
      </c>
      <c r="C2633" s="46">
        <v>2621</v>
      </c>
      <c r="D2633" s="69" t="s">
        <v>29416</v>
      </c>
      <c r="E2633" s="51"/>
      <c r="F2633" s="114" t="str">
        <f>IF(INDEX(I.Facility.P1IDNumber,2621)="","",INDEX(I.Facility.P1IDNumber,2621))</f>
        <v/>
      </c>
      <c r="G2633" s="51"/>
      <c r="H2633" s="46" t="str">
        <f>IF(AND(I.Developer.P1=TRUE,I.Facility.P1FacilityCount&gt;=2621,F2633=""),"Incomplete","Complete")</f>
        <v>Complete</v>
      </c>
      <c r="I2633" s="48" t="s">
        <v>6998</v>
      </c>
    </row>
    <row r="2634" spans="2:9" ht="15" customHeight="1" x14ac:dyDescent="0.25">
      <c r="B2634" s="55" t="s">
        <v>279</v>
      </c>
      <c r="C2634" s="46">
        <v>2622</v>
      </c>
      <c r="D2634" s="69" t="s">
        <v>29416</v>
      </c>
      <c r="E2634" s="51"/>
      <c r="F2634" s="114" t="str">
        <f>IF(INDEX(I.Facility.P1IDNumber,2622)="","",INDEX(I.Facility.P1IDNumber,2622))</f>
        <v/>
      </c>
      <c r="G2634" s="51"/>
      <c r="H2634" s="46" t="str">
        <f>IF(AND(I.Developer.P1=TRUE,I.Facility.P1FacilityCount&gt;=2622,F2634=""),"Incomplete","Complete")</f>
        <v>Complete</v>
      </c>
      <c r="I2634" s="48" t="s">
        <v>6999</v>
      </c>
    </row>
    <row r="2635" spans="2:9" ht="15" customHeight="1" x14ac:dyDescent="0.25">
      <c r="B2635" s="55" t="s">
        <v>279</v>
      </c>
      <c r="C2635" s="46">
        <v>2623</v>
      </c>
      <c r="D2635" s="69" t="s">
        <v>29416</v>
      </c>
      <c r="E2635" s="51"/>
      <c r="F2635" s="114" t="str">
        <f>IF(INDEX(I.Facility.P1IDNumber,2623)="","",INDEX(I.Facility.P1IDNumber,2623))</f>
        <v/>
      </c>
      <c r="G2635" s="51"/>
      <c r="H2635" s="46" t="str">
        <f>IF(AND(I.Developer.P1=TRUE,I.Facility.P1FacilityCount&gt;=2623,F2635=""),"Incomplete","Complete")</f>
        <v>Complete</v>
      </c>
      <c r="I2635" s="48" t="s">
        <v>7000</v>
      </c>
    </row>
    <row r="2636" spans="2:9" ht="15" customHeight="1" x14ac:dyDescent="0.25">
      <c r="B2636" s="55" t="s">
        <v>279</v>
      </c>
      <c r="C2636" s="46">
        <v>2624</v>
      </c>
      <c r="D2636" s="69" t="s">
        <v>29416</v>
      </c>
      <c r="E2636" s="51"/>
      <c r="F2636" s="114" t="str">
        <f>IF(INDEX(I.Facility.P1IDNumber,2624)="","",INDEX(I.Facility.P1IDNumber,2624))</f>
        <v/>
      </c>
      <c r="G2636" s="51"/>
      <c r="H2636" s="46" t="str">
        <f>IF(AND(I.Developer.P1=TRUE,I.Facility.P1FacilityCount&gt;=2624,F2636=""),"Incomplete","Complete")</f>
        <v>Complete</v>
      </c>
      <c r="I2636" s="48" t="s">
        <v>7001</v>
      </c>
    </row>
    <row r="2637" spans="2:9" ht="15" customHeight="1" x14ac:dyDescent="0.25">
      <c r="B2637" s="55" t="s">
        <v>279</v>
      </c>
      <c r="C2637" s="46">
        <v>2625</v>
      </c>
      <c r="D2637" s="69" t="s">
        <v>29416</v>
      </c>
      <c r="E2637" s="51"/>
      <c r="F2637" s="114" t="str">
        <f>IF(INDEX(I.Facility.P1IDNumber,2625)="","",INDEX(I.Facility.P1IDNumber,2625))</f>
        <v/>
      </c>
      <c r="G2637" s="51"/>
      <c r="H2637" s="46" t="str">
        <f>IF(AND(I.Developer.P1=TRUE,I.Facility.P1FacilityCount&gt;=2625,F2637=""),"Incomplete","Complete")</f>
        <v>Complete</v>
      </c>
      <c r="I2637" s="48" t="s">
        <v>7002</v>
      </c>
    </row>
    <row r="2638" spans="2:9" ht="15" customHeight="1" x14ac:dyDescent="0.25">
      <c r="B2638" s="55" t="s">
        <v>279</v>
      </c>
      <c r="C2638" s="46">
        <v>2626</v>
      </c>
      <c r="D2638" s="69" t="s">
        <v>29416</v>
      </c>
      <c r="E2638" s="51"/>
      <c r="F2638" s="114" t="str">
        <f>IF(INDEX(I.Facility.P1IDNumber,2626)="","",INDEX(I.Facility.P1IDNumber,2626))</f>
        <v/>
      </c>
      <c r="G2638" s="51"/>
      <c r="H2638" s="46" t="str">
        <f>IF(AND(I.Developer.P1=TRUE,I.Facility.P1FacilityCount&gt;=2626,F2638=""),"Incomplete","Complete")</f>
        <v>Complete</v>
      </c>
      <c r="I2638" s="48" t="s">
        <v>7003</v>
      </c>
    </row>
    <row r="2639" spans="2:9" ht="15" customHeight="1" x14ac:dyDescent="0.25">
      <c r="B2639" s="55" t="s">
        <v>279</v>
      </c>
      <c r="C2639" s="46">
        <v>2627</v>
      </c>
      <c r="D2639" s="69" t="s">
        <v>29416</v>
      </c>
      <c r="E2639" s="51"/>
      <c r="F2639" s="114" t="str">
        <f>IF(INDEX(I.Facility.P1IDNumber,2627)="","",INDEX(I.Facility.P1IDNumber,2627))</f>
        <v/>
      </c>
      <c r="G2639" s="51"/>
      <c r="H2639" s="46" t="str">
        <f>IF(AND(I.Developer.P1=TRUE,I.Facility.P1FacilityCount&gt;=2627,F2639=""),"Incomplete","Complete")</f>
        <v>Complete</v>
      </c>
      <c r="I2639" s="48" t="s">
        <v>7004</v>
      </c>
    </row>
    <row r="2640" spans="2:9" ht="15" customHeight="1" x14ac:dyDescent="0.25">
      <c r="B2640" s="55" t="s">
        <v>279</v>
      </c>
      <c r="C2640" s="46">
        <v>2628</v>
      </c>
      <c r="D2640" s="69" t="s">
        <v>29416</v>
      </c>
      <c r="E2640" s="51"/>
      <c r="F2640" s="114" t="str">
        <f>IF(INDEX(I.Facility.P1IDNumber,2628)="","",INDEX(I.Facility.P1IDNumber,2628))</f>
        <v/>
      </c>
      <c r="G2640" s="51"/>
      <c r="H2640" s="46" t="str">
        <f>IF(AND(I.Developer.P1=TRUE,I.Facility.P1FacilityCount&gt;=2628,F2640=""),"Incomplete","Complete")</f>
        <v>Complete</v>
      </c>
      <c r="I2640" s="48" t="s">
        <v>7005</v>
      </c>
    </row>
    <row r="2641" spans="2:9" ht="15" customHeight="1" x14ac:dyDescent="0.25">
      <c r="B2641" s="55" t="s">
        <v>279</v>
      </c>
      <c r="C2641" s="46">
        <v>2629</v>
      </c>
      <c r="D2641" s="69" t="s">
        <v>29416</v>
      </c>
      <c r="E2641" s="51"/>
      <c r="F2641" s="114" t="str">
        <f>IF(INDEX(I.Facility.P1IDNumber,2629)="","",INDEX(I.Facility.P1IDNumber,2629))</f>
        <v/>
      </c>
      <c r="G2641" s="51"/>
      <c r="H2641" s="46" t="str">
        <f>IF(AND(I.Developer.P1=TRUE,I.Facility.P1FacilityCount&gt;=2629,F2641=""),"Incomplete","Complete")</f>
        <v>Complete</v>
      </c>
      <c r="I2641" s="48" t="s">
        <v>7006</v>
      </c>
    </row>
    <row r="2642" spans="2:9" ht="15" customHeight="1" x14ac:dyDescent="0.25">
      <c r="B2642" s="55" t="s">
        <v>279</v>
      </c>
      <c r="C2642" s="46">
        <v>2630</v>
      </c>
      <c r="D2642" s="69" t="s">
        <v>29416</v>
      </c>
      <c r="E2642" s="51"/>
      <c r="F2642" s="114" t="str">
        <f>IF(INDEX(I.Facility.P1IDNumber,2630)="","",INDEX(I.Facility.P1IDNumber,2630))</f>
        <v/>
      </c>
      <c r="G2642" s="51"/>
      <c r="H2642" s="46" t="str">
        <f>IF(AND(I.Developer.P1=TRUE,I.Facility.P1FacilityCount&gt;=2630,F2642=""),"Incomplete","Complete")</f>
        <v>Complete</v>
      </c>
      <c r="I2642" s="48" t="s">
        <v>7007</v>
      </c>
    </row>
    <row r="2643" spans="2:9" ht="15" customHeight="1" x14ac:dyDescent="0.25">
      <c r="B2643" s="55" t="s">
        <v>279</v>
      </c>
      <c r="C2643" s="46">
        <v>2631</v>
      </c>
      <c r="D2643" s="69" t="s">
        <v>29416</v>
      </c>
      <c r="E2643" s="51"/>
      <c r="F2643" s="114" t="str">
        <f>IF(INDEX(I.Facility.P1IDNumber,2631)="","",INDEX(I.Facility.P1IDNumber,2631))</f>
        <v/>
      </c>
      <c r="G2643" s="51"/>
      <c r="H2643" s="46" t="str">
        <f>IF(AND(I.Developer.P1=TRUE,I.Facility.P1FacilityCount&gt;=2631,F2643=""),"Incomplete","Complete")</f>
        <v>Complete</v>
      </c>
      <c r="I2643" s="48" t="s">
        <v>7008</v>
      </c>
    </row>
    <row r="2644" spans="2:9" ht="15" customHeight="1" x14ac:dyDescent="0.25">
      <c r="B2644" s="55" t="s">
        <v>279</v>
      </c>
      <c r="C2644" s="46">
        <v>2632</v>
      </c>
      <c r="D2644" s="69" t="s">
        <v>29416</v>
      </c>
      <c r="E2644" s="51"/>
      <c r="F2644" s="114" t="str">
        <f>IF(INDEX(I.Facility.P1IDNumber,2632)="","",INDEX(I.Facility.P1IDNumber,2632))</f>
        <v/>
      </c>
      <c r="G2644" s="51"/>
      <c r="H2644" s="46" t="str">
        <f>IF(AND(I.Developer.P1=TRUE,I.Facility.P1FacilityCount&gt;=2632,F2644=""),"Incomplete","Complete")</f>
        <v>Complete</v>
      </c>
      <c r="I2644" s="48" t="s">
        <v>7009</v>
      </c>
    </row>
    <row r="2645" spans="2:9" ht="15" customHeight="1" x14ac:dyDescent="0.25">
      <c r="B2645" s="55" t="s">
        <v>279</v>
      </c>
      <c r="C2645" s="46">
        <v>2633</v>
      </c>
      <c r="D2645" s="69" t="s">
        <v>29416</v>
      </c>
      <c r="E2645" s="51"/>
      <c r="F2645" s="114" t="str">
        <f>IF(INDEX(I.Facility.P1IDNumber,2633)="","",INDEX(I.Facility.P1IDNumber,2633))</f>
        <v/>
      </c>
      <c r="G2645" s="51"/>
      <c r="H2645" s="46" t="str">
        <f>IF(AND(I.Developer.P1=TRUE,I.Facility.P1FacilityCount&gt;=2633,F2645=""),"Incomplete","Complete")</f>
        <v>Complete</v>
      </c>
      <c r="I2645" s="48" t="s">
        <v>7010</v>
      </c>
    </row>
    <row r="2646" spans="2:9" ht="15" customHeight="1" x14ac:dyDescent="0.25">
      <c r="B2646" s="55" t="s">
        <v>279</v>
      </c>
      <c r="C2646" s="46">
        <v>2634</v>
      </c>
      <c r="D2646" s="69" t="s">
        <v>29416</v>
      </c>
      <c r="E2646" s="51"/>
      <c r="F2646" s="114" t="str">
        <f>IF(INDEX(I.Facility.P1IDNumber,2634)="","",INDEX(I.Facility.P1IDNumber,2634))</f>
        <v/>
      </c>
      <c r="G2646" s="51"/>
      <c r="H2646" s="46" t="str">
        <f>IF(AND(I.Developer.P1=TRUE,I.Facility.P1FacilityCount&gt;=2634,F2646=""),"Incomplete","Complete")</f>
        <v>Complete</v>
      </c>
      <c r="I2646" s="48" t="s">
        <v>7011</v>
      </c>
    </row>
    <row r="2647" spans="2:9" ht="15" customHeight="1" x14ac:dyDescent="0.25">
      <c r="B2647" s="55" t="s">
        <v>279</v>
      </c>
      <c r="C2647" s="46">
        <v>2635</v>
      </c>
      <c r="D2647" s="69" t="s">
        <v>29416</v>
      </c>
      <c r="E2647" s="51"/>
      <c r="F2647" s="114" t="str">
        <f>IF(INDEX(I.Facility.P1IDNumber,2635)="","",INDEX(I.Facility.P1IDNumber,2635))</f>
        <v/>
      </c>
      <c r="G2647" s="51"/>
      <c r="H2647" s="46" t="str">
        <f>IF(AND(I.Developer.P1=TRUE,I.Facility.P1FacilityCount&gt;=2635,F2647=""),"Incomplete","Complete")</f>
        <v>Complete</v>
      </c>
      <c r="I2647" s="48" t="s">
        <v>7012</v>
      </c>
    </row>
    <row r="2648" spans="2:9" ht="15" customHeight="1" x14ac:dyDescent="0.25">
      <c r="B2648" s="55" t="s">
        <v>279</v>
      </c>
      <c r="C2648" s="46">
        <v>2636</v>
      </c>
      <c r="D2648" s="69" t="s">
        <v>29416</v>
      </c>
      <c r="E2648" s="51"/>
      <c r="F2648" s="114" t="str">
        <f>IF(INDEX(I.Facility.P1IDNumber,2636)="","",INDEX(I.Facility.P1IDNumber,2636))</f>
        <v/>
      </c>
      <c r="G2648" s="51"/>
      <c r="H2648" s="46" t="str">
        <f>IF(AND(I.Developer.P1=TRUE,I.Facility.P1FacilityCount&gt;=2636,F2648=""),"Incomplete","Complete")</f>
        <v>Complete</v>
      </c>
      <c r="I2648" s="48" t="s">
        <v>7013</v>
      </c>
    </row>
    <row r="2649" spans="2:9" ht="15" customHeight="1" x14ac:dyDescent="0.25">
      <c r="B2649" s="55" t="s">
        <v>279</v>
      </c>
      <c r="C2649" s="46">
        <v>2637</v>
      </c>
      <c r="D2649" s="69" t="s">
        <v>29416</v>
      </c>
      <c r="E2649" s="51"/>
      <c r="F2649" s="114" t="str">
        <f>IF(INDEX(I.Facility.P1IDNumber,2637)="","",INDEX(I.Facility.P1IDNumber,2637))</f>
        <v/>
      </c>
      <c r="G2649" s="51"/>
      <c r="H2649" s="46" t="str">
        <f>IF(AND(I.Developer.P1=TRUE,I.Facility.P1FacilityCount&gt;=2637,F2649=""),"Incomplete","Complete")</f>
        <v>Complete</v>
      </c>
      <c r="I2649" s="48" t="s">
        <v>7014</v>
      </c>
    </row>
    <row r="2650" spans="2:9" ht="15" customHeight="1" x14ac:dyDescent="0.25">
      <c r="B2650" s="55" t="s">
        <v>279</v>
      </c>
      <c r="C2650" s="46">
        <v>2638</v>
      </c>
      <c r="D2650" s="69" t="s">
        <v>29416</v>
      </c>
      <c r="E2650" s="51"/>
      <c r="F2650" s="114" t="str">
        <f>IF(INDEX(I.Facility.P1IDNumber,2638)="","",INDEX(I.Facility.P1IDNumber,2638))</f>
        <v/>
      </c>
      <c r="G2650" s="51"/>
      <c r="H2650" s="46" t="str">
        <f>IF(AND(I.Developer.P1=TRUE,I.Facility.P1FacilityCount&gt;=2638,F2650=""),"Incomplete","Complete")</f>
        <v>Complete</v>
      </c>
      <c r="I2650" s="48" t="s">
        <v>7015</v>
      </c>
    </row>
    <row r="2651" spans="2:9" ht="15" customHeight="1" x14ac:dyDescent="0.25">
      <c r="B2651" s="55" t="s">
        <v>279</v>
      </c>
      <c r="C2651" s="46">
        <v>2639</v>
      </c>
      <c r="D2651" s="69" t="s">
        <v>29416</v>
      </c>
      <c r="E2651" s="51"/>
      <c r="F2651" s="114" t="str">
        <f>IF(INDEX(I.Facility.P1IDNumber,2639)="","",INDEX(I.Facility.P1IDNumber,2639))</f>
        <v/>
      </c>
      <c r="G2651" s="51"/>
      <c r="H2651" s="46" t="str">
        <f>IF(AND(I.Developer.P1=TRUE,I.Facility.P1FacilityCount&gt;=2639,F2651=""),"Incomplete","Complete")</f>
        <v>Complete</v>
      </c>
      <c r="I2651" s="48" t="s">
        <v>7016</v>
      </c>
    </row>
    <row r="2652" spans="2:9" ht="15" customHeight="1" x14ac:dyDescent="0.25">
      <c r="B2652" s="55" t="s">
        <v>279</v>
      </c>
      <c r="C2652" s="46">
        <v>2640</v>
      </c>
      <c r="D2652" s="69" t="s">
        <v>29416</v>
      </c>
      <c r="E2652" s="51"/>
      <c r="F2652" s="114" t="str">
        <f>IF(INDEX(I.Facility.P1IDNumber,2640)="","",INDEX(I.Facility.P1IDNumber,2640))</f>
        <v/>
      </c>
      <c r="G2652" s="51"/>
      <c r="H2652" s="46" t="str">
        <f>IF(AND(I.Developer.P1=TRUE,I.Facility.P1FacilityCount&gt;=2640,F2652=""),"Incomplete","Complete")</f>
        <v>Complete</v>
      </c>
      <c r="I2652" s="48" t="s">
        <v>7017</v>
      </c>
    </row>
    <row r="2653" spans="2:9" ht="15" customHeight="1" x14ac:dyDescent="0.25">
      <c r="B2653" s="55" t="s">
        <v>279</v>
      </c>
      <c r="C2653" s="46">
        <v>2641</v>
      </c>
      <c r="D2653" s="69" t="s">
        <v>29416</v>
      </c>
      <c r="E2653" s="51"/>
      <c r="F2653" s="114" t="str">
        <f>IF(INDEX(I.Facility.P1IDNumber,2641)="","",INDEX(I.Facility.P1IDNumber,2641))</f>
        <v/>
      </c>
      <c r="G2653" s="51"/>
      <c r="H2653" s="46" t="str">
        <f>IF(AND(I.Developer.P1=TRUE,I.Facility.P1FacilityCount&gt;=2641,F2653=""),"Incomplete","Complete")</f>
        <v>Complete</v>
      </c>
      <c r="I2653" s="48" t="s">
        <v>7018</v>
      </c>
    </row>
    <row r="2654" spans="2:9" ht="15" customHeight="1" x14ac:dyDescent="0.25">
      <c r="B2654" s="55" t="s">
        <v>279</v>
      </c>
      <c r="C2654" s="46">
        <v>2642</v>
      </c>
      <c r="D2654" s="69" t="s">
        <v>29416</v>
      </c>
      <c r="E2654" s="51"/>
      <c r="F2654" s="114" t="str">
        <f>IF(INDEX(I.Facility.P1IDNumber,2642)="","",INDEX(I.Facility.P1IDNumber,2642))</f>
        <v/>
      </c>
      <c r="G2654" s="51"/>
      <c r="H2654" s="46" t="str">
        <f>IF(AND(I.Developer.P1=TRUE,I.Facility.P1FacilityCount&gt;=2642,F2654=""),"Incomplete","Complete")</f>
        <v>Complete</v>
      </c>
      <c r="I2654" s="48" t="s">
        <v>7019</v>
      </c>
    </row>
    <row r="2655" spans="2:9" ht="15" customHeight="1" x14ac:dyDescent="0.25">
      <c r="B2655" s="55" t="s">
        <v>279</v>
      </c>
      <c r="C2655" s="46">
        <v>2643</v>
      </c>
      <c r="D2655" s="69" t="s">
        <v>29416</v>
      </c>
      <c r="E2655" s="51"/>
      <c r="F2655" s="114" t="str">
        <f>IF(INDEX(I.Facility.P1IDNumber,2643)="","",INDEX(I.Facility.P1IDNumber,2643))</f>
        <v/>
      </c>
      <c r="G2655" s="51"/>
      <c r="H2655" s="46" t="str">
        <f>IF(AND(I.Developer.P1=TRUE,I.Facility.P1FacilityCount&gt;=2643,F2655=""),"Incomplete","Complete")</f>
        <v>Complete</v>
      </c>
      <c r="I2655" s="48" t="s">
        <v>7020</v>
      </c>
    </row>
    <row r="2656" spans="2:9" ht="15" customHeight="1" x14ac:dyDescent="0.25">
      <c r="B2656" s="55" t="s">
        <v>279</v>
      </c>
      <c r="C2656" s="46">
        <v>2644</v>
      </c>
      <c r="D2656" s="69" t="s">
        <v>29416</v>
      </c>
      <c r="E2656" s="51"/>
      <c r="F2656" s="114" t="str">
        <f>IF(INDEX(I.Facility.P1IDNumber,2644)="","",INDEX(I.Facility.P1IDNumber,2644))</f>
        <v/>
      </c>
      <c r="G2656" s="51"/>
      <c r="H2656" s="46" t="str">
        <f>IF(AND(I.Developer.P1=TRUE,I.Facility.P1FacilityCount&gt;=2644,F2656=""),"Incomplete","Complete")</f>
        <v>Complete</v>
      </c>
      <c r="I2656" s="48" t="s">
        <v>7021</v>
      </c>
    </row>
    <row r="2657" spans="2:9" ht="15" customHeight="1" x14ac:dyDescent="0.25">
      <c r="B2657" s="55" t="s">
        <v>279</v>
      </c>
      <c r="C2657" s="46">
        <v>2645</v>
      </c>
      <c r="D2657" s="69" t="s">
        <v>29416</v>
      </c>
      <c r="E2657" s="51"/>
      <c r="F2657" s="114" t="str">
        <f>IF(INDEX(I.Facility.P1IDNumber,2645)="","",INDEX(I.Facility.P1IDNumber,2645))</f>
        <v/>
      </c>
      <c r="G2657" s="51"/>
      <c r="H2657" s="46" t="str">
        <f>IF(AND(I.Developer.P1=TRUE,I.Facility.P1FacilityCount&gt;=2645,F2657=""),"Incomplete","Complete")</f>
        <v>Complete</v>
      </c>
      <c r="I2657" s="48" t="s">
        <v>7022</v>
      </c>
    </row>
    <row r="2658" spans="2:9" ht="15" customHeight="1" x14ac:dyDescent="0.25">
      <c r="B2658" s="55" t="s">
        <v>279</v>
      </c>
      <c r="C2658" s="46">
        <v>2646</v>
      </c>
      <c r="D2658" s="69" t="s">
        <v>29416</v>
      </c>
      <c r="E2658" s="51"/>
      <c r="F2658" s="114" t="str">
        <f>IF(INDEX(I.Facility.P1IDNumber,2646)="","",INDEX(I.Facility.P1IDNumber,2646))</f>
        <v/>
      </c>
      <c r="G2658" s="51"/>
      <c r="H2658" s="46" t="str">
        <f>IF(AND(I.Developer.P1=TRUE,I.Facility.P1FacilityCount&gt;=2646,F2658=""),"Incomplete","Complete")</f>
        <v>Complete</v>
      </c>
      <c r="I2658" s="48" t="s">
        <v>7023</v>
      </c>
    </row>
    <row r="2659" spans="2:9" ht="15" customHeight="1" x14ac:dyDescent="0.25">
      <c r="B2659" s="55" t="s">
        <v>279</v>
      </c>
      <c r="C2659" s="46">
        <v>2647</v>
      </c>
      <c r="D2659" s="69" t="s">
        <v>29416</v>
      </c>
      <c r="E2659" s="51"/>
      <c r="F2659" s="114" t="str">
        <f>IF(INDEX(I.Facility.P1IDNumber,2647)="","",INDEX(I.Facility.P1IDNumber,2647))</f>
        <v/>
      </c>
      <c r="G2659" s="51"/>
      <c r="H2659" s="46" t="str">
        <f>IF(AND(I.Developer.P1=TRUE,I.Facility.P1FacilityCount&gt;=2647,F2659=""),"Incomplete","Complete")</f>
        <v>Complete</v>
      </c>
      <c r="I2659" s="48" t="s">
        <v>7024</v>
      </c>
    </row>
    <row r="2660" spans="2:9" ht="15" customHeight="1" x14ac:dyDescent="0.25">
      <c r="B2660" s="55" t="s">
        <v>279</v>
      </c>
      <c r="C2660" s="46">
        <v>2648</v>
      </c>
      <c r="D2660" s="69" t="s">
        <v>29416</v>
      </c>
      <c r="E2660" s="51"/>
      <c r="F2660" s="114" t="str">
        <f>IF(INDEX(I.Facility.P1IDNumber,2648)="","",INDEX(I.Facility.P1IDNumber,2648))</f>
        <v/>
      </c>
      <c r="G2660" s="51"/>
      <c r="H2660" s="46" t="str">
        <f>IF(AND(I.Developer.P1=TRUE,I.Facility.P1FacilityCount&gt;=2648,F2660=""),"Incomplete","Complete")</f>
        <v>Complete</v>
      </c>
      <c r="I2660" s="48" t="s">
        <v>7025</v>
      </c>
    </row>
    <row r="2661" spans="2:9" ht="15" customHeight="1" x14ac:dyDescent="0.25">
      <c r="B2661" s="55" t="s">
        <v>279</v>
      </c>
      <c r="C2661" s="46">
        <v>2649</v>
      </c>
      <c r="D2661" s="69" t="s">
        <v>29416</v>
      </c>
      <c r="E2661" s="51"/>
      <c r="F2661" s="114" t="str">
        <f>IF(INDEX(I.Facility.P1IDNumber,2649)="","",INDEX(I.Facility.P1IDNumber,2649))</f>
        <v/>
      </c>
      <c r="G2661" s="51"/>
      <c r="H2661" s="46" t="str">
        <f>IF(AND(I.Developer.P1=TRUE,I.Facility.P1FacilityCount&gt;=2649,F2661=""),"Incomplete","Complete")</f>
        <v>Complete</v>
      </c>
      <c r="I2661" s="48" t="s">
        <v>7026</v>
      </c>
    </row>
    <row r="2662" spans="2:9" ht="15" customHeight="1" x14ac:dyDescent="0.25">
      <c r="B2662" s="55" t="s">
        <v>279</v>
      </c>
      <c r="C2662" s="46">
        <v>2650</v>
      </c>
      <c r="D2662" s="69" t="s">
        <v>29416</v>
      </c>
      <c r="E2662" s="51"/>
      <c r="F2662" s="114" t="str">
        <f>IF(INDEX(I.Facility.P1IDNumber,2650)="","",INDEX(I.Facility.P1IDNumber,2650))</f>
        <v/>
      </c>
      <c r="G2662" s="51"/>
      <c r="H2662" s="46" t="str">
        <f>IF(AND(I.Developer.P1=TRUE,I.Facility.P1FacilityCount&gt;=2650,F2662=""),"Incomplete","Complete")</f>
        <v>Complete</v>
      </c>
      <c r="I2662" s="48" t="s">
        <v>7027</v>
      </c>
    </row>
    <row r="2663" spans="2:9" ht="15" customHeight="1" x14ac:dyDescent="0.25">
      <c r="B2663" s="55" t="s">
        <v>279</v>
      </c>
      <c r="C2663" s="46">
        <v>2651</v>
      </c>
      <c r="D2663" s="69" t="s">
        <v>29416</v>
      </c>
      <c r="E2663" s="51"/>
      <c r="F2663" s="114" t="str">
        <f>IF(INDEX(I.Facility.P1IDNumber,2651)="","",INDEX(I.Facility.P1IDNumber,2651))</f>
        <v/>
      </c>
      <c r="G2663" s="51"/>
      <c r="H2663" s="46" t="str">
        <f>IF(AND(I.Developer.P1=TRUE,I.Facility.P1FacilityCount&gt;=2651,F2663=""),"Incomplete","Complete")</f>
        <v>Complete</v>
      </c>
      <c r="I2663" s="48" t="s">
        <v>7028</v>
      </c>
    </row>
    <row r="2664" spans="2:9" ht="15" customHeight="1" x14ac:dyDescent="0.25">
      <c r="B2664" s="55" t="s">
        <v>279</v>
      </c>
      <c r="C2664" s="46">
        <v>2652</v>
      </c>
      <c r="D2664" s="69" t="s">
        <v>29416</v>
      </c>
      <c r="E2664" s="51"/>
      <c r="F2664" s="114" t="str">
        <f>IF(INDEX(I.Facility.P1IDNumber,2652)="","",INDEX(I.Facility.P1IDNumber,2652))</f>
        <v/>
      </c>
      <c r="G2664" s="51"/>
      <c r="H2664" s="46" t="str">
        <f>IF(AND(I.Developer.P1=TRUE,I.Facility.P1FacilityCount&gt;=2652,F2664=""),"Incomplete","Complete")</f>
        <v>Complete</v>
      </c>
      <c r="I2664" s="48" t="s">
        <v>7029</v>
      </c>
    </row>
    <row r="2665" spans="2:9" ht="15" customHeight="1" x14ac:dyDescent="0.25">
      <c r="B2665" s="55" t="s">
        <v>279</v>
      </c>
      <c r="C2665" s="46">
        <v>2653</v>
      </c>
      <c r="D2665" s="69" t="s">
        <v>29416</v>
      </c>
      <c r="E2665" s="51"/>
      <c r="F2665" s="114" t="str">
        <f>IF(INDEX(I.Facility.P1IDNumber,2653)="","",INDEX(I.Facility.P1IDNumber,2653))</f>
        <v/>
      </c>
      <c r="G2665" s="51"/>
      <c r="H2665" s="46" t="str">
        <f>IF(AND(I.Developer.P1=TRUE,I.Facility.P1FacilityCount&gt;=2653,F2665=""),"Incomplete","Complete")</f>
        <v>Complete</v>
      </c>
      <c r="I2665" s="48" t="s">
        <v>7030</v>
      </c>
    </row>
    <row r="2666" spans="2:9" ht="15" customHeight="1" x14ac:dyDescent="0.25">
      <c r="B2666" s="55" t="s">
        <v>279</v>
      </c>
      <c r="C2666" s="46">
        <v>2654</v>
      </c>
      <c r="D2666" s="69" t="s">
        <v>29416</v>
      </c>
      <c r="E2666" s="51"/>
      <c r="F2666" s="114" t="str">
        <f>IF(INDEX(I.Facility.P1IDNumber,2654)="","",INDEX(I.Facility.P1IDNumber,2654))</f>
        <v/>
      </c>
      <c r="G2666" s="51"/>
      <c r="H2666" s="46" t="str">
        <f>IF(AND(I.Developer.P1=TRUE,I.Facility.P1FacilityCount&gt;=2654,F2666=""),"Incomplete","Complete")</f>
        <v>Complete</v>
      </c>
      <c r="I2666" s="48" t="s">
        <v>7031</v>
      </c>
    </row>
    <row r="2667" spans="2:9" ht="15" customHeight="1" x14ac:dyDescent="0.25">
      <c r="B2667" s="55" t="s">
        <v>279</v>
      </c>
      <c r="C2667" s="46">
        <v>2655</v>
      </c>
      <c r="D2667" s="69" t="s">
        <v>29416</v>
      </c>
      <c r="E2667" s="51"/>
      <c r="F2667" s="114" t="str">
        <f>IF(INDEX(I.Facility.P1IDNumber,2655)="","",INDEX(I.Facility.P1IDNumber,2655))</f>
        <v/>
      </c>
      <c r="G2667" s="51"/>
      <c r="H2667" s="46" t="str">
        <f>IF(AND(I.Developer.P1=TRUE,I.Facility.P1FacilityCount&gt;=2655,F2667=""),"Incomplete","Complete")</f>
        <v>Complete</v>
      </c>
      <c r="I2667" s="48" t="s">
        <v>7032</v>
      </c>
    </row>
    <row r="2668" spans="2:9" ht="15" customHeight="1" x14ac:dyDescent="0.25">
      <c r="B2668" s="55" t="s">
        <v>279</v>
      </c>
      <c r="C2668" s="46">
        <v>2656</v>
      </c>
      <c r="D2668" s="69" t="s">
        <v>29416</v>
      </c>
      <c r="E2668" s="51"/>
      <c r="F2668" s="114" t="str">
        <f>IF(INDEX(I.Facility.P1IDNumber,2656)="","",INDEX(I.Facility.P1IDNumber,2656))</f>
        <v/>
      </c>
      <c r="G2668" s="51"/>
      <c r="H2668" s="46" t="str">
        <f>IF(AND(I.Developer.P1=TRUE,I.Facility.P1FacilityCount&gt;=2656,F2668=""),"Incomplete","Complete")</f>
        <v>Complete</v>
      </c>
      <c r="I2668" s="48" t="s">
        <v>7033</v>
      </c>
    </row>
    <row r="2669" spans="2:9" ht="15" customHeight="1" x14ac:dyDescent="0.25">
      <c r="B2669" s="55" t="s">
        <v>279</v>
      </c>
      <c r="C2669" s="46">
        <v>2657</v>
      </c>
      <c r="D2669" s="69" t="s">
        <v>29416</v>
      </c>
      <c r="E2669" s="51"/>
      <c r="F2669" s="114" t="str">
        <f>IF(INDEX(I.Facility.P1IDNumber,2657)="","",INDEX(I.Facility.P1IDNumber,2657))</f>
        <v/>
      </c>
      <c r="G2669" s="51"/>
      <c r="H2669" s="46" t="str">
        <f>IF(AND(I.Developer.P1=TRUE,I.Facility.P1FacilityCount&gt;=2657,F2669=""),"Incomplete","Complete")</f>
        <v>Complete</v>
      </c>
      <c r="I2669" s="48" t="s">
        <v>7034</v>
      </c>
    </row>
    <row r="2670" spans="2:9" ht="15" customHeight="1" x14ac:dyDescent="0.25">
      <c r="B2670" s="55" t="s">
        <v>279</v>
      </c>
      <c r="C2670" s="46">
        <v>2658</v>
      </c>
      <c r="D2670" s="69" t="s">
        <v>29416</v>
      </c>
      <c r="E2670" s="51"/>
      <c r="F2670" s="114" t="str">
        <f>IF(INDEX(I.Facility.P1IDNumber,2658)="","",INDEX(I.Facility.P1IDNumber,2658))</f>
        <v/>
      </c>
      <c r="G2670" s="51"/>
      <c r="H2670" s="46" t="str">
        <f>IF(AND(I.Developer.P1=TRUE,I.Facility.P1FacilityCount&gt;=2658,F2670=""),"Incomplete","Complete")</f>
        <v>Complete</v>
      </c>
      <c r="I2670" s="48" t="s">
        <v>7035</v>
      </c>
    </row>
    <row r="2671" spans="2:9" ht="15" customHeight="1" x14ac:dyDescent="0.25">
      <c r="B2671" s="55" t="s">
        <v>279</v>
      </c>
      <c r="C2671" s="46">
        <v>2659</v>
      </c>
      <c r="D2671" s="69" t="s">
        <v>29416</v>
      </c>
      <c r="E2671" s="51"/>
      <c r="F2671" s="114" t="str">
        <f>IF(INDEX(I.Facility.P1IDNumber,2659)="","",INDEX(I.Facility.P1IDNumber,2659))</f>
        <v/>
      </c>
      <c r="G2671" s="51"/>
      <c r="H2671" s="46" t="str">
        <f>IF(AND(I.Developer.P1=TRUE,I.Facility.P1FacilityCount&gt;=2659,F2671=""),"Incomplete","Complete")</f>
        <v>Complete</v>
      </c>
      <c r="I2671" s="48" t="s">
        <v>7036</v>
      </c>
    </row>
    <row r="2672" spans="2:9" ht="15" customHeight="1" x14ac:dyDescent="0.25">
      <c r="B2672" s="55" t="s">
        <v>279</v>
      </c>
      <c r="C2672" s="46">
        <v>2660</v>
      </c>
      <c r="D2672" s="69" t="s">
        <v>29416</v>
      </c>
      <c r="E2672" s="51"/>
      <c r="F2672" s="114" t="str">
        <f>IF(INDEX(I.Facility.P1IDNumber,2660)="","",INDEX(I.Facility.P1IDNumber,2660))</f>
        <v/>
      </c>
      <c r="G2672" s="51"/>
      <c r="H2672" s="46" t="str">
        <f>IF(AND(I.Developer.P1=TRUE,I.Facility.P1FacilityCount&gt;=2660,F2672=""),"Incomplete","Complete")</f>
        <v>Complete</v>
      </c>
      <c r="I2672" s="48" t="s">
        <v>7037</v>
      </c>
    </row>
    <row r="2673" spans="2:9" ht="15" customHeight="1" x14ac:dyDescent="0.25">
      <c r="B2673" s="55" t="s">
        <v>279</v>
      </c>
      <c r="C2673" s="46">
        <v>2661</v>
      </c>
      <c r="D2673" s="69" t="s">
        <v>29416</v>
      </c>
      <c r="E2673" s="51"/>
      <c r="F2673" s="114" t="str">
        <f>IF(INDEX(I.Facility.P1IDNumber,2661)="","",INDEX(I.Facility.P1IDNumber,2661))</f>
        <v/>
      </c>
      <c r="G2673" s="51"/>
      <c r="H2673" s="46" t="str">
        <f>IF(AND(I.Developer.P1=TRUE,I.Facility.P1FacilityCount&gt;=2661,F2673=""),"Incomplete","Complete")</f>
        <v>Complete</v>
      </c>
      <c r="I2673" s="48" t="s">
        <v>7038</v>
      </c>
    </row>
    <row r="2674" spans="2:9" ht="15" customHeight="1" x14ac:dyDescent="0.25">
      <c r="B2674" s="55" t="s">
        <v>279</v>
      </c>
      <c r="C2674" s="46">
        <v>2662</v>
      </c>
      <c r="D2674" s="69" t="s">
        <v>29416</v>
      </c>
      <c r="E2674" s="51"/>
      <c r="F2674" s="114" t="str">
        <f>IF(INDEX(I.Facility.P1IDNumber,2662)="","",INDEX(I.Facility.P1IDNumber,2662))</f>
        <v/>
      </c>
      <c r="G2674" s="51"/>
      <c r="H2674" s="46" t="str">
        <f>IF(AND(I.Developer.P1=TRUE,I.Facility.P1FacilityCount&gt;=2662,F2674=""),"Incomplete","Complete")</f>
        <v>Complete</v>
      </c>
      <c r="I2674" s="48" t="s">
        <v>7039</v>
      </c>
    </row>
    <row r="2675" spans="2:9" ht="15" customHeight="1" x14ac:dyDescent="0.25">
      <c r="B2675" s="55" t="s">
        <v>279</v>
      </c>
      <c r="C2675" s="46">
        <v>2663</v>
      </c>
      <c r="D2675" s="69" t="s">
        <v>29416</v>
      </c>
      <c r="E2675" s="51"/>
      <c r="F2675" s="114" t="str">
        <f>IF(INDEX(I.Facility.P1IDNumber,2663)="","",INDEX(I.Facility.P1IDNumber,2663))</f>
        <v/>
      </c>
      <c r="G2675" s="51"/>
      <c r="H2675" s="46" t="str">
        <f>IF(AND(I.Developer.P1=TRUE,I.Facility.P1FacilityCount&gt;=2663,F2675=""),"Incomplete","Complete")</f>
        <v>Complete</v>
      </c>
      <c r="I2675" s="48" t="s">
        <v>7040</v>
      </c>
    </row>
    <row r="2676" spans="2:9" ht="15" customHeight="1" x14ac:dyDescent="0.25">
      <c r="B2676" s="55" t="s">
        <v>279</v>
      </c>
      <c r="C2676" s="46">
        <v>2664</v>
      </c>
      <c r="D2676" s="69" t="s">
        <v>29416</v>
      </c>
      <c r="E2676" s="51"/>
      <c r="F2676" s="114" t="str">
        <f>IF(INDEX(I.Facility.P1IDNumber,2664)="","",INDEX(I.Facility.P1IDNumber,2664))</f>
        <v/>
      </c>
      <c r="G2676" s="51"/>
      <c r="H2676" s="46" t="str">
        <f>IF(AND(I.Developer.P1=TRUE,I.Facility.P1FacilityCount&gt;=2664,F2676=""),"Incomplete","Complete")</f>
        <v>Complete</v>
      </c>
      <c r="I2676" s="48" t="s">
        <v>7041</v>
      </c>
    </row>
    <row r="2677" spans="2:9" ht="15" customHeight="1" x14ac:dyDescent="0.25">
      <c r="B2677" s="55" t="s">
        <v>279</v>
      </c>
      <c r="C2677" s="46">
        <v>2665</v>
      </c>
      <c r="D2677" s="69" t="s">
        <v>29416</v>
      </c>
      <c r="E2677" s="51"/>
      <c r="F2677" s="114" t="str">
        <f>IF(INDEX(I.Facility.P1IDNumber,2665)="","",INDEX(I.Facility.P1IDNumber,2665))</f>
        <v/>
      </c>
      <c r="G2677" s="51"/>
      <c r="H2677" s="46" t="str">
        <f>IF(AND(I.Developer.P1=TRUE,I.Facility.P1FacilityCount&gt;=2665,F2677=""),"Incomplete","Complete")</f>
        <v>Complete</v>
      </c>
      <c r="I2677" s="48" t="s">
        <v>7042</v>
      </c>
    </row>
    <row r="2678" spans="2:9" ht="15" customHeight="1" x14ac:dyDescent="0.25">
      <c r="B2678" s="55" t="s">
        <v>279</v>
      </c>
      <c r="C2678" s="46">
        <v>2666</v>
      </c>
      <c r="D2678" s="69" t="s">
        <v>29416</v>
      </c>
      <c r="E2678" s="51"/>
      <c r="F2678" s="114" t="str">
        <f>IF(INDEX(I.Facility.P1IDNumber,2666)="","",INDEX(I.Facility.P1IDNumber,2666))</f>
        <v/>
      </c>
      <c r="G2678" s="51"/>
      <c r="H2678" s="46" t="str">
        <f>IF(AND(I.Developer.P1=TRUE,I.Facility.P1FacilityCount&gt;=2666,F2678=""),"Incomplete","Complete")</f>
        <v>Complete</v>
      </c>
      <c r="I2678" s="48" t="s">
        <v>7043</v>
      </c>
    </row>
    <row r="2679" spans="2:9" ht="15" customHeight="1" x14ac:dyDescent="0.25">
      <c r="B2679" s="55" t="s">
        <v>279</v>
      </c>
      <c r="C2679" s="46">
        <v>2667</v>
      </c>
      <c r="D2679" s="69" t="s">
        <v>29416</v>
      </c>
      <c r="E2679" s="51"/>
      <c r="F2679" s="114" t="str">
        <f>IF(INDEX(I.Facility.P1IDNumber,2667)="","",INDEX(I.Facility.P1IDNumber,2667))</f>
        <v/>
      </c>
      <c r="G2679" s="51"/>
      <c r="H2679" s="46" t="str">
        <f>IF(AND(I.Developer.P1=TRUE,I.Facility.P1FacilityCount&gt;=2667,F2679=""),"Incomplete","Complete")</f>
        <v>Complete</v>
      </c>
      <c r="I2679" s="48" t="s">
        <v>7044</v>
      </c>
    </row>
    <row r="2680" spans="2:9" ht="15" customHeight="1" x14ac:dyDescent="0.25">
      <c r="B2680" s="55" t="s">
        <v>279</v>
      </c>
      <c r="C2680" s="46">
        <v>2668</v>
      </c>
      <c r="D2680" s="69" t="s">
        <v>29416</v>
      </c>
      <c r="E2680" s="51"/>
      <c r="F2680" s="114" t="str">
        <f>IF(INDEX(I.Facility.P1IDNumber,2668)="","",INDEX(I.Facility.P1IDNumber,2668))</f>
        <v/>
      </c>
      <c r="G2680" s="51"/>
      <c r="H2680" s="46" t="str">
        <f>IF(AND(I.Developer.P1=TRUE,I.Facility.P1FacilityCount&gt;=2668,F2680=""),"Incomplete","Complete")</f>
        <v>Complete</v>
      </c>
      <c r="I2680" s="48" t="s">
        <v>7045</v>
      </c>
    </row>
    <row r="2681" spans="2:9" ht="15" customHeight="1" x14ac:dyDescent="0.25">
      <c r="B2681" s="55" t="s">
        <v>279</v>
      </c>
      <c r="C2681" s="46">
        <v>2669</v>
      </c>
      <c r="D2681" s="69" t="s">
        <v>29416</v>
      </c>
      <c r="E2681" s="51"/>
      <c r="F2681" s="114" t="str">
        <f>IF(INDEX(I.Facility.P1IDNumber,2669)="","",INDEX(I.Facility.P1IDNumber,2669))</f>
        <v/>
      </c>
      <c r="G2681" s="51"/>
      <c r="H2681" s="46" t="str">
        <f>IF(AND(I.Developer.P1=TRUE,I.Facility.P1FacilityCount&gt;=2669,F2681=""),"Incomplete","Complete")</f>
        <v>Complete</v>
      </c>
      <c r="I2681" s="48" t="s">
        <v>7046</v>
      </c>
    </row>
    <row r="2682" spans="2:9" ht="15" customHeight="1" x14ac:dyDescent="0.25">
      <c r="B2682" s="55" t="s">
        <v>279</v>
      </c>
      <c r="C2682" s="46">
        <v>2670</v>
      </c>
      <c r="D2682" s="69" t="s">
        <v>29416</v>
      </c>
      <c r="E2682" s="51"/>
      <c r="F2682" s="114" t="str">
        <f>IF(INDEX(I.Facility.P1IDNumber,2670)="","",INDEX(I.Facility.P1IDNumber,2670))</f>
        <v/>
      </c>
      <c r="G2682" s="51"/>
      <c r="H2682" s="46" t="str">
        <f>IF(AND(I.Developer.P1=TRUE,I.Facility.P1FacilityCount&gt;=2670,F2682=""),"Incomplete","Complete")</f>
        <v>Complete</v>
      </c>
      <c r="I2682" s="48" t="s">
        <v>7047</v>
      </c>
    </row>
    <row r="2683" spans="2:9" ht="15" customHeight="1" x14ac:dyDescent="0.25">
      <c r="B2683" s="55" t="s">
        <v>279</v>
      </c>
      <c r="C2683" s="46">
        <v>2671</v>
      </c>
      <c r="D2683" s="69" t="s">
        <v>29416</v>
      </c>
      <c r="E2683" s="51"/>
      <c r="F2683" s="114" t="str">
        <f>IF(INDEX(I.Facility.P1IDNumber,2671)="","",INDEX(I.Facility.P1IDNumber,2671))</f>
        <v/>
      </c>
      <c r="G2683" s="51"/>
      <c r="H2683" s="46" t="str">
        <f>IF(AND(I.Developer.P1=TRUE,I.Facility.P1FacilityCount&gt;=2671,F2683=""),"Incomplete","Complete")</f>
        <v>Complete</v>
      </c>
      <c r="I2683" s="48" t="s">
        <v>7048</v>
      </c>
    </row>
    <row r="2684" spans="2:9" ht="15" customHeight="1" x14ac:dyDescent="0.25">
      <c r="B2684" s="55" t="s">
        <v>279</v>
      </c>
      <c r="C2684" s="46">
        <v>2672</v>
      </c>
      <c r="D2684" s="69" t="s">
        <v>29416</v>
      </c>
      <c r="E2684" s="51"/>
      <c r="F2684" s="114" t="str">
        <f>IF(INDEX(I.Facility.P1IDNumber,2672)="","",INDEX(I.Facility.P1IDNumber,2672))</f>
        <v/>
      </c>
      <c r="G2684" s="51"/>
      <c r="H2684" s="46" t="str">
        <f>IF(AND(I.Developer.P1=TRUE,I.Facility.P1FacilityCount&gt;=2672,F2684=""),"Incomplete","Complete")</f>
        <v>Complete</v>
      </c>
      <c r="I2684" s="48" t="s">
        <v>7049</v>
      </c>
    </row>
    <row r="2685" spans="2:9" ht="15" customHeight="1" x14ac:dyDescent="0.25">
      <c r="B2685" s="55" t="s">
        <v>279</v>
      </c>
      <c r="C2685" s="46">
        <v>2673</v>
      </c>
      <c r="D2685" s="69" t="s">
        <v>29416</v>
      </c>
      <c r="E2685" s="51"/>
      <c r="F2685" s="114" t="str">
        <f>IF(INDEX(I.Facility.P1IDNumber,2673)="","",INDEX(I.Facility.P1IDNumber,2673))</f>
        <v/>
      </c>
      <c r="G2685" s="51"/>
      <c r="H2685" s="46" t="str">
        <f>IF(AND(I.Developer.P1=TRUE,I.Facility.P1FacilityCount&gt;=2673,F2685=""),"Incomplete","Complete")</f>
        <v>Complete</v>
      </c>
      <c r="I2685" s="48" t="s">
        <v>7050</v>
      </c>
    </row>
    <row r="2686" spans="2:9" ht="15" customHeight="1" x14ac:dyDescent="0.25">
      <c r="B2686" s="55" t="s">
        <v>279</v>
      </c>
      <c r="C2686" s="46">
        <v>2674</v>
      </c>
      <c r="D2686" s="69" t="s">
        <v>29416</v>
      </c>
      <c r="E2686" s="51"/>
      <c r="F2686" s="114" t="str">
        <f>IF(INDEX(I.Facility.P1IDNumber,2674)="","",INDEX(I.Facility.P1IDNumber,2674))</f>
        <v/>
      </c>
      <c r="G2686" s="51"/>
      <c r="H2686" s="46" t="str">
        <f>IF(AND(I.Developer.P1=TRUE,I.Facility.P1FacilityCount&gt;=2674,F2686=""),"Incomplete","Complete")</f>
        <v>Complete</v>
      </c>
      <c r="I2686" s="48" t="s">
        <v>7051</v>
      </c>
    </row>
    <row r="2687" spans="2:9" ht="15" customHeight="1" x14ac:dyDescent="0.25">
      <c r="B2687" s="55" t="s">
        <v>279</v>
      </c>
      <c r="C2687" s="46">
        <v>2675</v>
      </c>
      <c r="D2687" s="69" t="s">
        <v>29416</v>
      </c>
      <c r="E2687" s="51"/>
      <c r="F2687" s="114" t="str">
        <f>IF(INDEX(I.Facility.P1IDNumber,2675)="","",INDEX(I.Facility.P1IDNumber,2675))</f>
        <v/>
      </c>
      <c r="G2687" s="51"/>
      <c r="H2687" s="46" t="str">
        <f>IF(AND(I.Developer.P1=TRUE,I.Facility.P1FacilityCount&gt;=2675,F2687=""),"Incomplete","Complete")</f>
        <v>Complete</v>
      </c>
      <c r="I2687" s="48" t="s">
        <v>7052</v>
      </c>
    </row>
    <row r="2688" spans="2:9" ht="15" customHeight="1" x14ac:dyDescent="0.25">
      <c r="B2688" s="55" t="s">
        <v>279</v>
      </c>
      <c r="C2688" s="46">
        <v>2676</v>
      </c>
      <c r="D2688" s="69" t="s">
        <v>29416</v>
      </c>
      <c r="E2688" s="51"/>
      <c r="F2688" s="114" t="str">
        <f>IF(INDEX(I.Facility.P1IDNumber,2676)="","",INDEX(I.Facility.P1IDNumber,2676))</f>
        <v/>
      </c>
      <c r="G2688" s="51"/>
      <c r="H2688" s="46" t="str">
        <f>IF(AND(I.Developer.P1=TRUE,I.Facility.P1FacilityCount&gt;=2676,F2688=""),"Incomplete","Complete")</f>
        <v>Complete</v>
      </c>
      <c r="I2688" s="48" t="s">
        <v>7053</v>
      </c>
    </row>
    <row r="2689" spans="2:9" ht="15" customHeight="1" x14ac:dyDescent="0.25">
      <c r="B2689" s="55" t="s">
        <v>279</v>
      </c>
      <c r="C2689" s="46">
        <v>2677</v>
      </c>
      <c r="D2689" s="69" t="s">
        <v>29416</v>
      </c>
      <c r="E2689" s="51"/>
      <c r="F2689" s="114" t="str">
        <f>IF(INDEX(I.Facility.P1IDNumber,2677)="","",INDEX(I.Facility.P1IDNumber,2677))</f>
        <v/>
      </c>
      <c r="G2689" s="51"/>
      <c r="H2689" s="46" t="str">
        <f>IF(AND(I.Developer.P1=TRUE,I.Facility.P1FacilityCount&gt;=2677,F2689=""),"Incomplete","Complete")</f>
        <v>Complete</v>
      </c>
      <c r="I2689" s="48" t="s">
        <v>7054</v>
      </c>
    </row>
    <row r="2690" spans="2:9" ht="15" customHeight="1" x14ac:dyDescent="0.25">
      <c r="B2690" s="55" t="s">
        <v>279</v>
      </c>
      <c r="C2690" s="46">
        <v>2678</v>
      </c>
      <c r="D2690" s="69" t="s">
        <v>29416</v>
      </c>
      <c r="E2690" s="51"/>
      <c r="F2690" s="114" t="str">
        <f>IF(INDEX(I.Facility.P1IDNumber,2678)="","",INDEX(I.Facility.P1IDNumber,2678))</f>
        <v/>
      </c>
      <c r="G2690" s="51"/>
      <c r="H2690" s="46" t="str">
        <f>IF(AND(I.Developer.P1=TRUE,I.Facility.P1FacilityCount&gt;=2678,F2690=""),"Incomplete","Complete")</f>
        <v>Complete</v>
      </c>
      <c r="I2690" s="48" t="s">
        <v>7055</v>
      </c>
    </row>
    <row r="2691" spans="2:9" ht="15" customHeight="1" x14ac:dyDescent="0.25">
      <c r="B2691" s="55" t="s">
        <v>279</v>
      </c>
      <c r="C2691" s="46">
        <v>2679</v>
      </c>
      <c r="D2691" s="69" t="s">
        <v>29416</v>
      </c>
      <c r="E2691" s="51"/>
      <c r="F2691" s="114" t="str">
        <f>IF(INDEX(I.Facility.P1IDNumber,2679)="","",INDEX(I.Facility.P1IDNumber,2679))</f>
        <v/>
      </c>
      <c r="G2691" s="51"/>
      <c r="H2691" s="46" t="str">
        <f>IF(AND(I.Developer.P1=TRUE,I.Facility.P1FacilityCount&gt;=2679,F2691=""),"Incomplete","Complete")</f>
        <v>Complete</v>
      </c>
      <c r="I2691" s="48" t="s">
        <v>7056</v>
      </c>
    </row>
    <row r="2692" spans="2:9" ht="15" customHeight="1" x14ac:dyDescent="0.25">
      <c r="B2692" s="55" t="s">
        <v>279</v>
      </c>
      <c r="C2692" s="46">
        <v>2680</v>
      </c>
      <c r="D2692" s="69" t="s">
        <v>29416</v>
      </c>
      <c r="E2692" s="51"/>
      <c r="F2692" s="114" t="str">
        <f>IF(INDEX(I.Facility.P1IDNumber,2680)="","",INDEX(I.Facility.P1IDNumber,2680))</f>
        <v/>
      </c>
      <c r="G2692" s="51"/>
      <c r="H2692" s="46" t="str">
        <f>IF(AND(I.Developer.P1=TRUE,I.Facility.P1FacilityCount&gt;=2680,F2692=""),"Incomplete","Complete")</f>
        <v>Complete</v>
      </c>
      <c r="I2692" s="48" t="s">
        <v>7057</v>
      </c>
    </row>
    <row r="2693" spans="2:9" ht="15" customHeight="1" x14ac:dyDescent="0.25">
      <c r="B2693" s="55" t="s">
        <v>279</v>
      </c>
      <c r="C2693" s="46">
        <v>2681</v>
      </c>
      <c r="D2693" s="69" t="s">
        <v>29416</v>
      </c>
      <c r="E2693" s="51"/>
      <c r="F2693" s="114" t="str">
        <f>IF(INDEX(I.Facility.P1IDNumber,2681)="","",INDEX(I.Facility.P1IDNumber,2681))</f>
        <v/>
      </c>
      <c r="G2693" s="51"/>
      <c r="H2693" s="46" t="str">
        <f>IF(AND(I.Developer.P1=TRUE,I.Facility.P1FacilityCount&gt;=2681,F2693=""),"Incomplete","Complete")</f>
        <v>Complete</v>
      </c>
      <c r="I2693" s="48" t="s">
        <v>7058</v>
      </c>
    </row>
    <row r="2694" spans="2:9" ht="15" customHeight="1" x14ac:dyDescent="0.25">
      <c r="B2694" s="55" t="s">
        <v>279</v>
      </c>
      <c r="C2694" s="46">
        <v>2682</v>
      </c>
      <c r="D2694" s="69" t="s">
        <v>29416</v>
      </c>
      <c r="E2694" s="51"/>
      <c r="F2694" s="114" t="str">
        <f>IF(INDEX(I.Facility.P1IDNumber,2682)="","",INDEX(I.Facility.P1IDNumber,2682))</f>
        <v/>
      </c>
      <c r="G2694" s="51"/>
      <c r="H2694" s="46" t="str">
        <f>IF(AND(I.Developer.P1=TRUE,I.Facility.P1FacilityCount&gt;=2682,F2694=""),"Incomplete","Complete")</f>
        <v>Complete</v>
      </c>
      <c r="I2694" s="48" t="s">
        <v>7059</v>
      </c>
    </row>
    <row r="2695" spans="2:9" ht="15" customHeight="1" x14ac:dyDescent="0.25">
      <c r="B2695" s="55" t="s">
        <v>279</v>
      </c>
      <c r="C2695" s="46">
        <v>2683</v>
      </c>
      <c r="D2695" s="69" t="s">
        <v>29416</v>
      </c>
      <c r="E2695" s="51"/>
      <c r="F2695" s="114" t="str">
        <f>IF(INDEX(I.Facility.P1IDNumber,2683)="","",INDEX(I.Facility.P1IDNumber,2683))</f>
        <v/>
      </c>
      <c r="G2695" s="51"/>
      <c r="H2695" s="46" t="str">
        <f>IF(AND(I.Developer.P1=TRUE,I.Facility.P1FacilityCount&gt;=2683,F2695=""),"Incomplete","Complete")</f>
        <v>Complete</v>
      </c>
      <c r="I2695" s="48" t="s">
        <v>7060</v>
      </c>
    </row>
    <row r="2696" spans="2:9" ht="15" customHeight="1" x14ac:dyDescent="0.25">
      <c r="B2696" s="55" t="s">
        <v>279</v>
      </c>
      <c r="C2696" s="46">
        <v>2684</v>
      </c>
      <c r="D2696" s="69" t="s">
        <v>29416</v>
      </c>
      <c r="E2696" s="51"/>
      <c r="F2696" s="114" t="str">
        <f>IF(INDEX(I.Facility.P1IDNumber,2684)="","",INDEX(I.Facility.P1IDNumber,2684))</f>
        <v/>
      </c>
      <c r="G2696" s="51"/>
      <c r="H2696" s="46" t="str">
        <f>IF(AND(I.Developer.P1=TRUE,I.Facility.P1FacilityCount&gt;=2684,F2696=""),"Incomplete","Complete")</f>
        <v>Complete</v>
      </c>
      <c r="I2696" s="48" t="s">
        <v>7061</v>
      </c>
    </row>
    <row r="2697" spans="2:9" ht="15" customHeight="1" x14ac:dyDescent="0.25">
      <c r="B2697" s="55" t="s">
        <v>279</v>
      </c>
      <c r="C2697" s="46">
        <v>2685</v>
      </c>
      <c r="D2697" s="69" t="s">
        <v>29416</v>
      </c>
      <c r="E2697" s="51"/>
      <c r="F2697" s="114" t="str">
        <f>IF(INDEX(I.Facility.P1IDNumber,2685)="","",INDEX(I.Facility.P1IDNumber,2685))</f>
        <v/>
      </c>
      <c r="G2697" s="51"/>
      <c r="H2697" s="46" t="str">
        <f>IF(AND(I.Developer.P1=TRUE,I.Facility.P1FacilityCount&gt;=2685,F2697=""),"Incomplete","Complete")</f>
        <v>Complete</v>
      </c>
      <c r="I2697" s="48" t="s">
        <v>7062</v>
      </c>
    </row>
    <row r="2698" spans="2:9" ht="15" customHeight="1" x14ac:dyDescent="0.25">
      <c r="B2698" s="55" t="s">
        <v>279</v>
      </c>
      <c r="C2698" s="46">
        <v>2686</v>
      </c>
      <c r="D2698" s="69" t="s">
        <v>29416</v>
      </c>
      <c r="E2698" s="51"/>
      <c r="F2698" s="114" t="str">
        <f>IF(INDEX(I.Facility.P1IDNumber,2686)="","",INDEX(I.Facility.P1IDNumber,2686))</f>
        <v/>
      </c>
      <c r="G2698" s="51"/>
      <c r="H2698" s="46" t="str">
        <f>IF(AND(I.Developer.P1=TRUE,I.Facility.P1FacilityCount&gt;=2686,F2698=""),"Incomplete","Complete")</f>
        <v>Complete</v>
      </c>
      <c r="I2698" s="48" t="s">
        <v>7063</v>
      </c>
    </row>
    <row r="2699" spans="2:9" ht="15" customHeight="1" x14ac:dyDescent="0.25">
      <c r="B2699" s="55" t="s">
        <v>279</v>
      </c>
      <c r="C2699" s="46">
        <v>2687</v>
      </c>
      <c r="D2699" s="69" t="s">
        <v>29416</v>
      </c>
      <c r="E2699" s="51"/>
      <c r="F2699" s="114" t="str">
        <f>IF(INDEX(I.Facility.P1IDNumber,2687)="","",INDEX(I.Facility.P1IDNumber,2687))</f>
        <v/>
      </c>
      <c r="G2699" s="51"/>
      <c r="H2699" s="46" t="str">
        <f>IF(AND(I.Developer.P1=TRUE,I.Facility.P1FacilityCount&gt;=2687,F2699=""),"Incomplete","Complete")</f>
        <v>Complete</v>
      </c>
      <c r="I2699" s="48" t="s">
        <v>7064</v>
      </c>
    </row>
    <row r="2700" spans="2:9" ht="15" customHeight="1" x14ac:dyDescent="0.25">
      <c r="B2700" s="55" t="s">
        <v>279</v>
      </c>
      <c r="C2700" s="46">
        <v>2688</v>
      </c>
      <c r="D2700" s="69" t="s">
        <v>29416</v>
      </c>
      <c r="E2700" s="51"/>
      <c r="F2700" s="114" t="str">
        <f>IF(INDEX(I.Facility.P1IDNumber,2688)="","",INDEX(I.Facility.P1IDNumber,2688))</f>
        <v/>
      </c>
      <c r="G2700" s="51"/>
      <c r="H2700" s="46" t="str">
        <f>IF(AND(I.Developer.P1=TRUE,I.Facility.P1FacilityCount&gt;=2688,F2700=""),"Incomplete","Complete")</f>
        <v>Complete</v>
      </c>
      <c r="I2700" s="48" t="s">
        <v>7065</v>
      </c>
    </row>
    <row r="2701" spans="2:9" ht="15" customHeight="1" x14ac:dyDescent="0.25">
      <c r="B2701" s="55" t="s">
        <v>279</v>
      </c>
      <c r="C2701" s="46">
        <v>2689</v>
      </c>
      <c r="D2701" s="69" t="s">
        <v>29416</v>
      </c>
      <c r="E2701" s="51"/>
      <c r="F2701" s="114" t="str">
        <f>IF(INDEX(I.Facility.P1IDNumber,2689)="","",INDEX(I.Facility.P1IDNumber,2689))</f>
        <v/>
      </c>
      <c r="G2701" s="51"/>
      <c r="H2701" s="46" t="str">
        <f>IF(AND(I.Developer.P1=TRUE,I.Facility.P1FacilityCount&gt;=2689,F2701=""),"Incomplete","Complete")</f>
        <v>Complete</v>
      </c>
      <c r="I2701" s="48" t="s">
        <v>7066</v>
      </c>
    </row>
    <row r="2702" spans="2:9" ht="15" customHeight="1" x14ac:dyDescent="0.25">
      <c r="B2702" s="55" t="s">
        <v>279</v>
      </c>
      <c r="C2702" s="46">
        <v>2690</v>
      </c>
      <c r="D2702" s="69" t="s">
        <v>29416</v>
      </c>
      <c r="E2702" s="51"/>
      <c r="F2702" s="114" t="str">
        <f>IF(INDEX(I.Facility.P1IDNumber,2690)="","",INDEX(I.Facility.P1IDNumber,2690))</f>
        <v/>
      </c>
      <c r="G2702" s="51"/>
      <c r="H2702" s="46" t="str">
        <f>IF(AND(I.Developer.P1=TRUE,I.Facility.P1FacilityCount&gt;=2690,F2702=""),"Incomplete","Complete")</f>
        <v>Complete</v>
      </c>
      <c r="I2702" s="48" t="s">
        <v>7067</v>
      </c>
    </row>
    <row r="2703" spans="2:9" ht="15" customHeight="1" x14ac:dyDescent="0.25">
      <c r="B2703" s="55" t="s">
        <v>279</v>
      </c>
      <c r="C2703" s="46">
        <v>2691</v>
      </c>
      <c r="D2703" s="69" t="s">
        <v>29416</v>
      </c>
      <c r="E2703" s="51"/>
      <c r="F2703" s="114" t="str">
        <f>IF(INDEX(I.Facility.P1IDNumber,2691)="","",INDEX(I.Facility.P1IDNumber,2691))</f>
        <v/>
      </c>
      <c r="G2703" s="51"/>
      <c r="H2703" s="46" t="str">
        <f>IF(AND(I.Developer.P1=TRUE,I.Facility.P1FacilityCount&gt;=2691,F2703=""),"Incomplete","Complete")</f>
        <v>Complete</v>
      </c>
      <c r="I2703" s="48" t="s">
        <v>7068</v>
      </c>
    </row>
    <row r="2704" spans="2:9" ht="15" customHeight="1" x14ac:dyDescent="0.25">
      <c r="B2704" s="55" t="s">
        <v>279</v>
      </c>
      <c r="C2704" s="46">
        <v>2692</v>
      </c>
      <c r="D2704" s="69" t="s">
        <v>29416</v>
      </c>
      <c r="E2704" s="51"/>
      <c r="F2704" s="114" t="str">
        <f>IF(INDEX(I.Facility.P1IDNumber,2692)="","",INDEX(I.Facility.P1IDNumber,2692))</f>
        <v/>
      </c>
      <c r="G2704" s="51"/>
      <c r="H2704" s="46" t="str">
        <f>IF(AND(I.Developer.P1=TRUE,I.Facility.P1FacilityCount&gt;=2692,F2704=""),"Incomplete","Complete")</f>
        <v>Complete</v>
      </c>
      <c r="I2704" s="48" t="s">
        <v>7069</v>
      </c>
    </row>
    <row r="2705" spans="2:9" ht="15" customHeight="1" x14ac:dyDescent="0.25">
      <c r="B2705" s="55" t="s">
        <v>279</v>
      </c>
      <c r="C2705" s="46">
        <v>2693</v>
      </c>
      <c r="D2705" s="69" t="s">
        <v>29416</v>
      </c>
      <c r="E2705" s="51"/>
      <c r="F2705" s="114" t="str">
        <f>IF(INDEX(I.Facility.P1IDNumber,2693)="","",INDEX(I.Facility.P1IDNumber,2693))</f>
        <v/>
      </c>
      <c r="G2705" s="51"/>
      <c r="H2705" s="46" t="str">
        <f>IF(AND(I.Developer.P1=TRUE,I.Facility.P1FacilityCount&gt;=2693,F2705=""),"Incomplete","Complete")</f>
        <v>Complete</v>
      </c>
      <c r="I2705" s="48" t="s">
        <v>7070</v>
      </c>
    </row>
    <row r="2706" spans="2:9" ht="15" customHeight="1" x14ac:dyDescent="0.25">
      <c r="B2706" s="55" t="s">
        <v>279</v>
      </c>
      <c r="C2706" s="46">
        <v>2694</v>
      </c>
      <c r="D2706" s="69" t="s">
        <v>29416</v>
      </c>
      <c r="E2706" s="51"/>
      <c r="F2706" s="114" t="str">
        <f>IF(INDEX(I.Facility.P1IDNumber,2694)="","",INDEX(I.Facility.P1IDNumber,2694))</f>
        <v/>
      </c>
      <c r="G2706" s="51"/>
      <c r="H2706" s="46" t="str">
        <f>IF(AND(I.Developer.P1=TRUE,I.Facility.P1FacilityCount&gt;=2694,F2706=""),"Incomplete","Complete")</f>
        <v>Complete</v>
      </c>
      <c r="I2706" s="48" t="s">
        <v>7071</v>
      </c>
    </row>
    <row r="2707" spans="2:9" ht="15" customHeight="1" x14ac:dyDescent="0.25">
      <c r="B2707" s="55" t="s">
        <v>279</v>
      </c>
      <c r="C2707" s="46">
        <v>2695</v>
      </c>
      <c r="D2707" s="69" t="s">
        <v>29416</v>
      </c>
      <c r="E2707" s="51"/>
      <c r="F2707" s="114" t="str">
        <f>IF(INDEX(I.Facility.P1IDNumber,2695)="","",INDEX(I.Facility.P1IDNumber,2695))</f>
        <v/>
      </c>
      <c r="G2707" s="51"/>
      <c r="H2707" s="46" t="str">
        <f>IF(AND(I.Developer.P1=TRUE,I.Facility.P1FacilityCount&gt;=2695,F2707=""),"Incomplete","Complete")</f>
        <v>Complete</v>
      </c>
      <c r="I2707" s="48" t="s">
        <v>7072</v>
      </c>
    </row>
    <row r="2708" spans="2:9" ht="15" customHeight="1" x14ac:dyDescent="0.25">
      <c r="B2708" s="55" t="s">
        <v>279</v>
      </c>
      <c r="C2708" s="46">
        <v>2696</v>
      </c>
      <c r="D2708" s="69" t="s">
        <v>29416</v>
      </c>
      <c r="E2708" s="51"/>
      <c r="F2708" s="114" t="str">
        <f>IF(INDEX(I.Facility.P1IDNumber,2696)="","",INDEX(I.Facility.P1IDNumber,2696))</f>
        <v/>
      </c>
      <c r="G2708" s="51"/>
      <c r="H2708" s="46" t="str">
        <f>IF(AND(I.Developer.P1=TRUE,I.Facility.P1FacilityCount&gt;=2696,F2708=""),"Incomplete","Complete")</f>
        <v>Complete</v>
      </c>
      <c r="I2708" s="48" t="s">
        <v>7073</v>
      </c>
    </row>
    <row r="2709" spans="2:9" ht="15" customHeight="1" x14ac:dyDescent="0.25">
      <c r="B2709" s="55" t="s">
        <v>279</v>
      </c>
      <c r="C2709" s="46">
        <v>2697</v>
      </c>
      <c r="D2709" s="69" t="s">
        <v>29416</v>
      </c>
      <c r="E2709" s="51"/>
      <c r="F2709" s="114" t="str">
        <f>IF(INDEX(I.Facility.P1IDNumber,2697)="","",INDEX(I.Facility.P1IDNumber,2697))</f>
        <v/>
      </c>
      <c r="G2709" s="51"/>
      <c r="H2709" s="46" t="str">
        <f>IF(AND(I.Developer.P1=TRUE,I.Facility.P1FacilityCount&gt;=2697,F2709=""),"Incomplete","Complete")</f>
        <v>Complete</v>
      </c>
      <c r="I2709" s="48" t="s">
        <v>7074</v>
      </c>
    </row>
    <row r="2710" spans="2:9" ht="15" customHeight="1" x14ac:dyDescent="0.25">
      <c r="B2710" s="55" t="s">
        <v>279</v>
      </c>
      <c r="C2710" s="46">
        <v>2698</v>
      </c>
      <c r="D2710" s="69" t="s">
        <v>29416</v>
      </c>
      <c r="E2710" s="51"/>
      <c r="F2710" s="114" t="str">
        <f>IF(INDEX(I.Facility.P1IDNumber,2698)="","",INDEX(I.Facility.P1IDNumber,2698))</f>
        <v/>
      </c>
      <c r="G2710" s="51"/>
      <c r="H2710" s="46" t="str">
        <f>IF(AND(I.Developer.P1=TRUE,I.Facility.P1FacilityCount&gt;=2698,F2710=""),"Incomplete","Complete")</f>
        <v>Complete</v>
      </c>
      <c r="I2710" s="48" t="s">
        <v>7075</v>
      </c>
    </row>
    <row r="2711" spans="2:9" ht="15" customHeight="1" x14ac:dyDescent="0.25">
      <c r="B2711" s="55" t="s">
        <v>279</v>
      </c>
      <c r="C2711" s="46">
        <v>2699</v>
      </c>
      <c r="D2711" s="69" t="s">
        <v>29416</v>
      </c>
      <c r="E2711" s="51"/>
      <c r="F2711" s="114" t="str">
        <f>IF(INDEX(I.Facility.P1IDNumber,2699)="","",INDEX(I.Facility.P1IDNumber,2699))</f>
        <v/>
      </c>
      <c r="G2711" s="51"/>
      <c r="H2711" s="46" t="str">
        <f>IF(AND(I.Developer.P1=TRUE,I.Facility.P1FacilityCount&gt;=2699,F2711=""),"Incomplete","Complete")</f>
        <v>Complete</v>
      </c>
      <c r="I2711" s="48" t="s">
        <v>7076</v>
      </c>
    </row>
    <row r="2712" spans="2:9" ht="15" customHeight="1" x14ac:dyDescent="0.25">
      <c r="B2712" s="55" t="s">
        <v>279</v>
      </c>
      <c r="C2712" s="46">
        <v>2700</v>
      </c>
      <c r="D2712" s="69" t="s">
        <v>29416</v>
      </c>
      <c r="E2712" s="51"/>
      <c r="F2712" s="114" t="str">
        <f>IF(INDEX(I.Facility.P1IDNumber,2700)="","",INDEX(I.Facility.P1IDNumber,2700))</f>
        <v/>
      </c>
      <c r="G2712" s="51"/>
      <c r="H2712" s="46" t="str">
        <f>IF(AND(I.Developer.P1=TRUE,I.Facility.P1FacilityCount&gt;=2700,F2712=""),"Incomplete","Complete")</f>
        <v>Complete</v>
      </c>
      <c r="I2712" s="48" t="s">
        <v>7077</v>
      </c>
    </row>
    <row r="2713" spans="2:9" ht="15" customHeight="1" x14ac:dyDescent="0.25">
      <c r="B2713" s="55" t="s">
        <v>279</v>
      </c>
      <c r="C2713" s="46">
        <v>2701</v>
      </c>
      <c r="D2713" s="69" t="s">
        <v>29416</v>
      </c>
      <c r="E2713" s="51"/>
      <c r="F2713" s="114" t="str">
        <f>IF(INDEX(I.Facility.P1IDNumber,2701)="","",INDEX(I.Facility.P1IDNumber,2701))</f>
        <v/>
      </c>
      <c r="G2713" s="51"/>
      <c r="H2713" s="46" t="str">
        <f>IF(AND(I.Developer.P1=TRUE,I.Facility.P1FacilityCount&gt;=2701,F2713=""),"Incomplete","Complete")</f>
        <v>Complete</v>
      </c>
      <c r="I2713" s="48" t="s">
        <v>7078</v>
      </c>
    </row>
    <row r="2714" spans="2:9" ht="15" customHeight="1" x14ac:dyDescent="0.25">
      <c r="B2714" s="55" t="s">
        <v>279</v>
      </c>
      <c r="C2714" s="46">
        <v>2702</v>
      </c>
      <c r="D2714" s="69" t="s">
        <v>29416</v>
      </c>
      <c r="E2714" s="51"/>
      <c r="F2714" s="114" t="str">
        <f>IF(INDEX(I.Facility.P1IDNumber,2702)="","",INDEX(I.Facility.P1IDNumber,2702))</f>
        <v/>
      </c>
      <c r="G2714" s="51"/>
      <c r="H2714" s="46" t="str">
        <f>IF(AND(I.Developer.P1=TRUE,I.Facility.P1FacilityCount&gt;=2702,F2714=""),"Incomplete","Complete")</f>
        <v>Complete</v>
      </c>
      <c r="I2714" s="48" t="s">
        <v>7079</v>
      </c>
    </row>
    <row r="2715" spans="2:9" ht="15" customHeight="1" x14ac:dyDescent="0.25">
      <c r="B2715" s="55" t="s">
        <v>279</v>
      </c>
      <c r="C2715" s="46">
        <v>2703</v>
      </c>
      <c r="D2715" s="69" t="s">
        <v>29416</v>
      </c>
      <c r="E2715" s="51"/>
      <c r="F2715" s="114" t="str">
        <f>IF(INDEX(I.Facility.P1IDNumber,2703)="","",INDEX(I.Facility.P1IDNumber,2703))</f>
        <v/>
      </c>
      <c r="G2715" s="51"/>
      <c r="H2715" s="46" t="str">
        <f>IF(AND(I.Developer.P1=TRUE,I.Facility.P1FacilityCount&gt;=2703,F2715=""),"Incomplete","Complete")</f>
        <v>Complete</v>
      </c>
      <c r="I2715" s="48" t="s">
        <v>7080</v>
      </c>
    </row>
    <row r="2716" spans="2:9" ht="15" customHeight="1" x14ac:dyDescent="0.25">
      <c r="B2716" s="55" t="s">
        <v>279</v>
      </c>
      <c r="C2716" s="46">
        <v>2704</v>
      </c>
      <c r="D2716" s="69" t="s">
        <v>29416</v>
      </c>
      <c r="E2716" s="51"/>
      <c r="F2716" s="114" t="str">
        <f>IF(INDEX(I.Facility.P1IDNumber,2704)="","",INDEX(I.Facility.P1IDNumber,2704))</f>
        <v/>
      </c>
      <c r="G2716" s="51"/>
      <c r="H2716" s="46" t="str">
        <f>IF(AND(I.Developer.P1=TRUE,I.Facility.P1FacilityCount&gt;=2704,F2716=""),"Incomplete","Complete")</f>
        <v>Complete</v>
      </c>
      <c r="I2716" s="48" t="s">
        <v>7081</v>
      </c>
    </row>
    <row r="2717" spans="2:9" ht="15" customHeight="1" x14ac:dyDescent="0.25">
      <c r="B2717" s="55" t="s">
        <v>279</v>
      </c>
      <c r="C2717" s="46">
        <v>2705</v>
      </c>
      <c r="D2717" s="69" t="s">
        <v>29416</v>
      </c>
      <c r="E2717" s="51"/>
      <c r="F2717" s="114" t="str">
        <f>IF(INDEX(I.Facility.P1IDNumber,2705)="","",INDEX(I.Facility.P1IDNumber,2705))</f>
        <v/>
      </c>
      <c r="G2717" s="51"/>
      <c r="H2717" s="46" t="str">
        <f>IF(AND(I.Developer.P1=TRUE,I.Facility.P1FacilityCount&gt;=2705,F2717=""),"Incomplete","Complete")</f>
        <v>Complete</v>
      </c>
      <c r="I2717" s="48" t="s">
        <v>7082</v>
      </c>
    </row>
    <row r="2718" spans="2:9" ht="15" customHeight="1" x14ac:dyDescent="0.25">
      <c r="B2718" s="55" t="s">
        <v>279</v>
      </c>
      <c r="C2718" s="46">
        <v>2706</v>
      </c>
      <c r="D2718" s="69" t="s">
        <v>29416</v>
      </c>
      <c r="E2718" s="51"/>
      <c r="F2718" s="114" t="str">
        <f>IF(INDEX(I.Facility.P1IDNumber,2706)="","",INDEX(I.Facility.P1IDNumber,2706))</f>
        <v/>
      </c>
      <c r="G2718" s="51"/>
      <c r="H2718" s="46" t="str">
        <f>IF(AND(I.Developer.P1=TRUE,I.Facility.P1FacilityCount&gt;=2706,F2718=""),"Incomplete","Complete")</f>
        <v>Complete</v>
      </c>
      <c r="I2718" s="48" t="s">
        <v>7083</v>
      </c>
    </row>
    <row r="2719" spans="2:9" ht="15" customHeight="1" x14ac:dyDescent="0.25">
      <c r="B2719" s="55" t="s">
        <v>279</v>
      </c>
      <c r="C2719" s="46">
        <v>2707</v>
      </c>
      <c r="D2719" s="69" t="s">
        <v>29416</v>
      </c>
      <c r="E2719" s="51"/>
      <c r="F2719" s="114" t="str">
        <f>IF(INDEX(I.Facility.P1IDNumber,2707)="","",INDEX(I.Facility.P1IDNumber,2707))</f>
        <v/>
      </c>
      <c r="G2719" s="51"/>
      <c r="H2719" s="46" t="str">
        <f>IF(AND(I.Developer.P1=TRUE,I.Facility.P1FacilityCount&gt;=2707,F2719=""),"Incomplete","Complete")</f>
        <v>Complete</v>
      </c>
      <c r="I2719" s="48" t="s">
        <v>7084</v>
      </c>
    </row>
    <row r="2720" spans="2:9" ht="15" customHeight="1" x14ac:dyDescent="0.25">
      <c r="B2720" s="55" t="s">
        <v>279</v>
      </c>
      <c r="C2720" s="46">
        <v>2708</v>
      </c>
      <c r="D2720" s="69" t="s">
        <v>29416</v>
      </c>
      <c r="E2720" s="51"/>
      <c r="F2720" s="114" t="str">
        <f>IF(INDEX(I.Facility.P1IDNumber,2708)="","",INDEX(I.Facility.P1IDNumber,2708))</f>
        <v/>
      </c>
      <c r="G2720" s="51"/>
      <c r="H2720" s="46" t="str">
        <f>IF(AND(I.Developer.P1=TRUE,I.Facility.P1FacilityCount&gt;=2708,F2720=""),"Incomplete","Complete")</f>
        <v>Complete</v>
      </c>
      <c r="I2720" s="48" t="s">
        <v>7085</v>
      </c>
    </row>
    <row r="2721" spans="2:9" ht="15" customHeight="1" x14ac:dyDescent="0.25">
      <c r="B2721" s="55" t="s">
        <v>279</v>
      </c>
      <c r="C2721" s="46">
        <v>2709</v>
      </c>
      <c r="D2721" s="69" t="s">
        <v>29416</v>
      </c>
      <c r="E2721" s="51"/>
      <c r="F2721" s="114" t="str">
        <f>IF(INDEX(I.Facility.P1IDNumber,2709)="","",INDEX(I.Facility.P1IDNumber,2709))</f>
        <v/>
      </c>
      <c r="G2721" s="51"/>
      <c r="H2721" s="46" t="str">
        <f>IF(AND(I.Developer.P1=TRUE,I.Facility.P1FacilityCount&gt;=2709,F2721=""),"Incomplete","Complete")</f>
        <v>Complete</v>
      </c>
      <c r="I2721" s="48" t="s">
        <v>7086</v>
      </c>
    </row>
    <row r="2722" spans="2:9" ht="15" customHeight="1" x14ac:dyDescent="0.25">
      <c r="B2722" s="55" t="s">
        <v>279</v>
      </c>
      <c r="C2722" s="46">
        <v>2710</v>
      </c>
      <c r="D2722" s="69" t="s">
        <v>29416</v>
      </c>
      <c r="E2722" s="51"/>
      <c r="F2722" s="114" t="str">
        <f>IF(INDEX(I.Facility.P1IDNumber,2710)="","",INDEX(I.Facility.P1IDNumber,2710))</f>
        <v/>
      </c>
      <c r="G2722" s="51"/>
      <c r="H2722" s="46" t="str">
        <f>IF(AND(I.Developer.P1=TRUE,I.Facility.P1FacilityCount&gt;=2710,F2722=""),"Incomplete","Complete")</f>
        <v>Complete</v>
      </c>
      <c r="I2722" s="48" t="s">
        <v>7087</v>
      </c>
    </row>
    <row r="2723" spans="2:9" ht="15" customHeight="1" x14ac:dyDescent="0.25">
      <c r="B2723" s="55" t="s">
        <v>279</v>
      </c>
      <c r="C2723" s="46">
        <v>2711</v>
      </c>
      <c r="D2723" s="69" t="s">
        <v>29416</v>
      </c>
      <c r="E2723" s="51"/>
      <c r="F2723" s="114" t="str">
        <f>IF(INDEX(I.Facility.P1IDNumber,2711)="","",INDEX(I.Facility.P1IDNumber,2711))</f>
        <v/>
      </c>
      <c r="G2723" s="51"/>
      <c r="H2723" s="46" t="str">
        <f>IF(AND(I.Developer.P1=TRUE,I.Facility.P1FacilityCount&gt;=2711,F2723=""),"Incomplete","Complete")</f>
        <v>Complete</v>
      </c>
      <c r="I2723" s="48" t="s">
        <v>7088</v>
      </c>
    </row>
    <row r="2724" spans="2:9" ht="15" customHeight="1" x14ac:dyDescent="0.25">
      <c r="B2724" s="55" t="s">
        <v>279</v>
      </c>
      <c r="C2724" s="46">
        <v>2712</v>
      </c>
      <c r="D2724" s="69" t="s">
        <v>29416</v>
      </c>
      <c r="E2724" s="51"/>
      <c r="F2724" s="114" t="str">
        <f>IF(INDEX(I.Facility.P1IDNumber,2712)="","",INDEX(I.Facility.P1IDNumber,2712))</f>
        <v/>
      </c>
      <c r="G2724" s="51"/>
      <c r="H2724" s="46" t="str">
        <f>IF(AND(I.Developer.P1=TRUE,I.Facility.P1FacilityCount&gt;=2712,F2724=""),"Incomplete","Complete")</f>
        <v>Complete</v>
      </c>
      <c r="I2724" s="48" t="s">
        <v>7089</v>
      </c>
    </row>
    <row r="2725" spans="2:9" ht="15" customHeight="1" x14ac:dyDescent="0.25">
      <c r="B2725" s="55" t="s">
        <v>279</v>
      </c>
      <c r="C2725" s="46">
        <v>2713</v>
      </c>
      <c r="D2725" s="69" t="s">
        <v>29416</v>
      </c>
      <c r="E2725" s="51"/>
      <c r="F2725" s="114" t="str">
        <f>IF(INDEX(I.Facility.P1IDNumber,2713)="","",INDEX(I.Facility.P1IDNumber,2713))</f>
        <v/>
      </c>
      <c r="G2725" s="51"/>
      <c r="H2725" s="46" t="str">
        <f>IF(AND(I.Developer.P1=TRUE,I.Facility.P1FacilityCount&gt;=2713,F2725=""),"Incomplete","Complete")</f>
        <v>Complete</v>
      </c>
      <c r="I2725" s="48" t="s">
        <v>7090</v>
      </c>
    </row>
    <row r="2726" spans="2:9" ht="15" customHeight="1" x14ac:dyDescent="0.25">
      <c r="B2726" s="55" t="s">
        <v>279</v>
      </c>
      <c r="C2726" s="46">
        <v>2714</v>
      </c>
      <c r="D2726" s="69" t="s">
        <v>29416</v>
      </c>
      <c r="E2726" s="51"/>
      <c r="F2726" s="114" t="str">
        <f>IF(INDEX(I.Facility.P1IDNumber,2714)="","",INDEX(I.Facility.P1IDNumber,2714))</f>
        <v/>
      </c>
      <c r="G2726" s="51"/>
      <c r="H2726" s="46" t="str">
        <f>IF(AND(I.Developer.P1=TRUE,I.Facility.P1FacilityCount&gt;=2714,F2726=""),"Incomplete","Complete")</f>
        <v>Complete</v>
      </c>
      <c r="I2726" s="48" t="s">
        <v>7091</v>
      </c>
    </row>
    <row r="2727" spans="2:9" ht="15" customHeight="1" x14ac:dyDescent="0.25">
      <c r="B2727" s="55" t="s">
        <v>279</v>
      </c>
      <c r="C2727" s="46">
        <v>2715</v>
      </c>
      <c r="D2727" s="69" t="s">
        <v>29416</v>
      </c>
      <c r="E2727" s="51"/>
      <c r="F2727" s="114" t="str">
        <f>IF(INDEX(I.Facility.P1IDNumber,2715)="","",INDEX(I.Facility.P1IDNumber,2715))</f>
        <v/>
      </c>
      <c r="G2727" s="51"/>
      <c r="H2727" s="46" t="str">
        <f>IF(AND(I.Developer.P1=TRUE,I.Facility.P1FacilityCount&gt;=2715,F2727=""),"Incomplete","Complete")</f>
        <v>Complete</v>
      </c>
      <c r="I2727" s="48" t="s">
        <v>7092</v>
      </c>
    </row>
    <row r="2728" spans="2:9" ht="15" customHeight="1" x14ac:dyDescent="0.25">
      <c r="B2728" s="55" t="s">
        <v>279</v>
      </c>
      <c r="C2728" s="46">
        <v>2716</v>
      </c>
      <c r="D2728" s="69" t="s">
        <v>29416</v>
      </c>
      <c r="E2728" s="51"/>
      <c r="F2728" s="114" t="str">
        <f>IF(INDEX(I.Facility.P1IDNumber,2716)="","",INDEX(I.Facility.P1IDNumber,2716))</f>
        <v/>
      </c>
      <c r="G2728" s="51"/>
      <c r="H2728" s="46" t="str">
        <f>IF(AND(I.Developer.P1=TRUE,I.Facility.P1FacilityCount&gt;=2716,F2728=""),"Incomplete","Complete")</f>
        <v>Complete</v>
      </c>
      <c r="I2728" s="48" t="s">
        <v>7093</v>
      </c>
    </row>
    <row r="2729" spans="2:9" ht="15" customHeight="1" x14ac:dyDescent="0.25">
      <c r="B2729" s="55" t="s">
        <v>279</v>
      </c>
      <c r="C2729" s="46">
        <v>2717</v>
      </c>
      <c r="D2729" s="69" t="s">
        <v>29416</v>
      </c>
      <c r="E2729" s="51"/>
      <c r="F2729" s="114" t="str">
        <f>IF(INDEX(I.Facility.P1IDNumber,2717)="","",INDEX(I.Facility.P1IDNumber,2717))</f>
        <v/>
      </c>
      <c r="G2729" s="51"/>
      <c r="H2729" s="46" t="str">
        <f>IF(AND(I.Developer.P1=TRUE,I.Facility.P1FacilityCount&gt;=2717,F2729=""),"Incomplete","Complete")</f>
        <v>Complete</v>
      </c>
      <c r="I2729" s="48" t="s">
        <v>7094</v>
      </c>
    </row>
    <row r="2730" spans="2:9" ht="15" customHeight="1" x14ac:dyDescent="0.25">
      <c r="B2730" s="55" t="s">
        <v>279</v>
      </c>
      <c r="C2730" s="46">
        <v>2718</v>
      </c>
      <c r="D2730" s="69" t="s">
        <v>29416</v>
      </c>
      <c r="E2730" s="51"/>
      <c r="F2730" s="114" t="str">
        <f>IF(INDEX(I.Facility.P1IDNumber,2718)="","",INDEX(I.Facility.P1IDNumber,2718))</f>
        <v/>
      </c>
      <c r="G2730" s="51"/>
      <c r="H2730" s="46" t="str">
        <f>IF(AND(I.Developer.P1=TRUE,I.Facility.P1FacilityCount&gt;=2718,F2730=""),"Incomplete","Complete")</f>
        <v>Complete</v>
      </c>
      <c r="I2730" s="48" t="s">
        <v>7095</v>
      </c>
    </row>
    <row r="2731" spans="2:9" ht="15" customHeight="1" x14ac:dyDescent="0.25">
      <c r="B2731" s="55" t="s">
        <v>279</v>
      </c>
      <c r="C2731" s="46">
        <v>2719</v>
      </c>
      <c r="D2731" s="69" t="s">
        <v>29416</v>
      </c>
      <c r="E2731" s="51"/>
      <c r="F2731" s="114" t="str">
        <f>IF(INDEX(I.Facility.P1IDNumber,2719)="","",INDEX(I.Facility.P1IDNumber,2719))</f>
        <v/>
      </c>
      <c r="G2731" s="51"/>
      <c r="H2731" s="46" t="str">
        <f>IF(AND(I.Developer.P1=TRUE,I.Facility.P1FacilityCount&gt;=2719,F2731=""),"Incomplete","Complete")</f>
        <v>Complete</v>
      </c>
      <c r="I2731" s="48" t="s">
        <v>7096</v>
      </c>
    </row>
    <row r="2732" spans="2:9" ht="15" customHeight="1" x14ac:dyDescent="0.25">
      <c r="B2732" s="55" t="s">
        <v>279</v>
      </c>
      <c r="C2732" s="46">
        <v>2720</v>
      </c>
      <c r="D2732" s="69" t="s">
        <v>29416</v>
      </c>
      <c r="E2732" s="51"/>
      <c r="F2732" s="114" t="str">
        <f>IF(INDEX(I.Facility.P1IDNumber,2720)="","",INDEX(I.Facility.P1IDNumber,2720))</f>
        <v/>
      </c>
      <c r="G2732" s="51"/>
      <c r="H2732" s="46" t="str">
        <f>IF(AND(I.Developer.P1=TRUE,I.Facility.P1FacilityCount&gt;=2720,F2732=""),"Incomplete","Complete")</f>
        <v>Complete</v>
      </c>
      <c r="I2732" s="48" t="s">
        <v>7097</v>
      </c>
    </row>
    <row r="2733" spans="2:9" ht="15" customHeight="1" x14ac:dyDescent="0.25">
      <c r="B2733" s="55" t="s">
        <v>279</v>
      </c>
      <c r="C2733" s="46">
        <v>2721</v>
      </c>
      <c r="D2733" s="69" t="s">
        <v>29416</v>
      </c>
      <c r="E2733" s="51"/>
      <c r="F2733" s="114" t="str">
        <f>IF(INDEX(I.Facility.P1IDNumber,2721)="","",INDEX(I.Facility.P1IDNumber,2721))</f>
        <v/>
      </c>
      <c r="G2733" s="51"/>
      <c r="H2733" s="46" t="str">
        <f>IF(AND(I.Developer.P1=TRUE,I.Facility.P1FacilityCount&gt;=2721,F2733=""),"Incomplete","Complete")</f>
        <v>Complete</v>
      </c>
      <c r="I2733" s="48" t="s">
        <v>7098</v>
      </c>
    </row>
    <row r="2734" spans="2:9" ht="15" customHeight="1" x14ac:dyDescent="0.25">
      <c r="B2734" s="55" t="s">
        <v>279</v>
      </c>
      <c r="C2734" s="46">
        <v>2722</v>
      </c>
      <c r="D2734" s="69" t="s">
        <v>29416</v>
      </c>
      <c r="E2734" s="51"/>
      <c r="F2734" s="114" t="str">
        <f>IF(INDEX(I.Facility.P1IDNumber,2722)="","",INDEX(I.Facility.P1IDNumber,2722))</f>
        <v/>
      </c>
      <c r="G2734" s="51"/>
      <c r="H2734" s="46" t="str">
        <f>IF(AND(I.Developer.P1=TRUE,I.Facility.P1FacilityCount&gt;=2722,F2734=""),"Incomplete","Complete")</f>
        <v>Complete</v>
      </c>
      <c r="I2734" s="48" t="s">
        <v>7099</v>
      </c>
    </row>
    <row r="2735" spans="2:9" ht="15" customHeight="1" x14ac:dyDescent="0.25">
      <c r="B2735" s="55" t="s">
        <v>279</v>
      </c>
      <c r="C2735" s="46">
        <v>2723</v>
      </c>
      <c r="D2735" s="69" t="s">
        <v>29416</v>
      </c>
      <c r="E2735" s="51"/>
      <c r="F2735" s="114" t="str">
        <f>IF(INDEX(I.Facility.P1IDNumber,2723)="","",INDEX(I.Facility.P1IDNumber,2723))</f>
        <v/>
      </c>
      <c r="G2735" s="51"/>
      <c r="H2735" s="46" t="str">
        <f>IF(AND(I.Developer.P1=TRUE,I.Facility.P1FacilityCount&gt;=2723,F2735=""),"Incomplete","Complete")</f>
        <v>Complete</v>
      </c>
      <c r="I2735" s="48" t="s">
        <v>7100</v>
      </c>
    </row>
    <row r="2736" spans="2:9" ht="15" customHeight="1" x14ac:dyDescent="0.25">
      <c r="B2736" s="55" t="s">
        <v>279</v>
      </c>
      <c r="C2736" s="46">
        <v>2724</v>
      </c>
      <c r="D2736" s="69" t="s">
        <v>29416</v>
      </c>
      <c r="E2736" s="51"/>
      <c r="F2736" s="114" t="str">
        <f>IF(INDEX(I.Facility.P1IDNumber,2724)="","",INDEX(I.Facility.P1IDNumber,2724))</f>
        <v/>
      </c>
      <c r="G2736" s="51"/>
      <c r="H2736" s="46" t="str">
        <f>IF(AND(I.Developer.P1=TRUE,I.Facility.P1FacilityCount&gt;=2724,F2736=""),"Incomplete","Complete")</f>
        <v>Complete</v>
      </c>
      <c r="I2736" s="48" t="s">
        <v>7101</v>
      </c>
    </row>
    <row r="2737" spans="2:9" ht="15" customHeight="1" x14ac:dyDescent="0.25">
      <c r="B2737" s="55" t="s">
        <v>279</v>
      </c>
      <c r="C2737" s="46">
        <v>2725</v>
      </c>
      <c r="D2737" s="69" t="s">
        <v>29416</v>
      </c>
      <c r="E2737" s="51"/>
      <c r="F2737" s="114" t="str">
        <f>IF(INDEX(I.Facility.P1IDNumber,2725)="","",INDEX(I.Facility.P1IDNumber,2725))</f>
        <v/>
      </c>
      <c r="G2737" s="51"/>
      <c r="H2737" s="46" t="str">
        <f>IF(AND(I.Developer.P1=TRUE,I.Facility.P1FacilityCount&gt;=2725,F2737=""),"Incomplete","Complete")</f>
        <v>Complete</v>
      </c>
      <c r="I2737" s="48" t="s">
        <v>7102</v>
      </c>
    </row>
    <row r="2738" spans="2:9" ht="15" customHeight="1" x14ac:dyDescent="0.25">
      <c r="B2738" s="55" t="s">
        <v>279</v>
      </c>
      <c r="C2738" s="46">
        <v>2726</v>
      </c>
      <c r="D2738" s="69" t="s">
        <v>29416</v>
      </c>
      <c r="E2738" s="51"/>
      <c r="F2738" s="114" t="str">
        <f>IF(INDEX(I.Facility.P1IDNumber,2726)="","",INDEX(I.Facility.P1IDNumber,2726))</f>
        <v/>
      </c>
      <c r="G2738" s="51"/>
      <c r="H2738" s="46" t="str">
        <f>IF(AND(I.Developer.P1=TRUE,I.Facility.P1FacilityCount&gt;=2726,F2738=""),"Incomplete","Complete")</f>
        <v>Complete</v>
      </c>
      <c r="I2738" s="48" t="s">
        <v>7103</v>
      </c>
    </row>
    <row r="2739" spans="2:9" ht="15" customHeight="1" x14ac:dyDescent="0.25">
      <c r="B2739" s="55" t="s">
        <v>279</v>
      </c>
      <c r="C2739" s="46">
        <v>2727</v>
      </c>
      <c r="D2739" s="69" t="s">
        <v>29416</v>
      </c>
      <c r="E2739" s="51"/>
      <c r="F2739" s="114" t="str">
        <f>IF(INDEX(I.Facility.P1IDNumber,2727)="","",INDEX(I.Facility.P1IDNumber,2727))</f>
        <v/>
      </c>
      <c r="G2739" s="51"/>
      <c r="H2739" s="46" t="str">
        <f>IF(AND(I.Developer.P1=TRUE,I.Facility.P1FacilityCount&gt;=2727,F2739=""),"Incomplete","Complete")</f>
        <v>Complete</v>
      </c>
      <c r="I2739" s="48" t="s">
        <v>7104</v>
      </c>
    </row>
    <row r="2740" spans="2:9" ht="15" customHeight="1" x14ac:dyDescent="0.25">
      <c r="B2740" s="55" t="s">
        <v>279</v>
      </c>
      <c r="C2740" s="46">
        <v>2728</v>
      </c>
      <c r="D2740" s="69" t="s">
        <v>29416</v>
      </c>
      <c r="E2740" s="51"/>
      <c r="F2740" s="114" t="str">
        <f>IF(INDEX(I.Facility.P1IDNumber,2728)="","",INDEX(I.Facility.P1IDNumber,2728))</f>
        <v/>
      </c>
      <c r="G2740" s="51"/>
      <c r="H2740" s="46" t="str">
        <f>IF(AND(I.Developer.P1=TRUE,I.Facility.P1FacilityCount&gt;=2728,F2740=""),"Incomplete","Complete")</f>
        <v>Complete</v>
      </c>
      <c r="I2740" s="48" t="s">
        <v>7105</v>
      </c>
    </row>
    <row r="2741" spans="2:9" ht="15" customHeight="1" x14ac:dyDescent="0.25">
      <c r="B2741" s="55" t="s">
        <v>279</v>
      </c>
      <c r="C2741" s="46">
        <v>2729</v>
      </c>
      <c r="D2741" s="69" t="s">
        <v>29416</v>
      </c>
      <c r="E2741" s="51"/>
      <c r="F2741" s="114" t="str">
        <f>IF(INDEX(I.Facility.P1IDNumber,2729)="","",INDEX(I.Facility.P1IDNumber,2729))</f>
        <v/>
      </c>
      <c r="G2741" s="51"/>
      <c r="H2741" s="46" t="str">
        <f>IF(AND(I.Developer.P1=TRUE,I.Facility.P1FacilityCount&gt;=2729,F2741=""),"Incomplete","Complete")</f>
        <v>Complete</v>
      </c>
      <c r="I2741" s="48" t="s">
        <v>7106</v>
      </c>
    </row>
    <row r="2742" spans="2:9" ht="15" customHeight="1" x14ac:dyDescent="0.25">
      <c r="B2742" s="55" t="s">
        <v>279</v>
      </c>
      <c r="C2742" s="46">
        <v>2730</v>
      </c>
      <c r="D2742" s="69" t="s">
        <v>29416</v>
      </c>
      <c r="E2742" s="51"/>
      <c r="F2742" s="114" t="str">
        <f>IF(INDEX(I.Facility.P1IDNumber,2730)="","",INDEX(I.Facility.P1IDNumber,2730))</f>
        <v/>
      </c>
      <c r="G2742" s="51"/>
      <c r="H2742" s="46" t="str">
        <f>IF(AND(I.Developer.P1=TRUE,I.Facility.P1FacilityCount&gt;=2730,F2742=""),"Incomplete","Complete")</f>
        <v>Complete</v>
      </c>
      <c r="I2742" s="48" t="s">
        <v>7107</v>
      </c>
    </row>
    <row r="2743" spans="2:9" ht="15" customHeight="1" x14ac:dyDescent="0.25">
      <c r="B2743" s="55" t="s">
        <v>279</v>
      </c>
      <c r="C2743" s="46">
        <v>2731</v>
      </c>
      <c r="D2743" s="69" t="s">
        <v>29416</v>
      </c>
      <c r="E2743" s="51"/>
      <c r="F2743" s="114" t="str">
        <f>IF(INDEX(I.Facility.P1IDNumber,2731)="","",INDEX(I.Facility.P1IDNumber,2731))</f>
        <v/>
      </c>
      <c r="G2743" s="51"/>
      <c r="H2743" s="46" t="str">
        <f>IF(AND(I.Developer.P1=TRUE,I.Facility.P1FacilityCount&gt;=2731,F2743=""),"Incomplete","Complete")</f>
        <v>Complete</v>
      </c>
      <c r="I2743" s="48" t="s">
        <v>7108</v>
      </c>
    </row>
    <row r="2744" spans="2:9" ht="15" customHeight="1" x14ac:dyDescent="0.25">
      <c r="B2744" s="55" t="s">
        <v>279</v>
      </c>
      <c r="C2744" s="46">
        <v>2732</v>
      </c>
      <c r="D2744" s="69" t="s">
        <v>29416</v>
      </c>
      <c r="E2744" s="51"/>
      <c r="F2744" s="114" t="str">
        <f>IF(INDEX(I.Facility.P1IDNumber,2732)="","",INDEX(I.Facility.P1IDNumber,2732))</f>
        <v/>
      </c>
      <c r="G2744" s="51"/>
      <c r="H2744" s="46" t="str">
        <f>IF(AND(I.Developer.P1=TRUE,I.Facility.P1FacilityCount&gt;=2732,F2744=""),"Incomplete","Complete")</f>
        <v>Complete</v>
      </c>
      <c r="I2744" s="48" t="s">
        <v>7109</v>
      </c>
    </row>
    <row r="2745" spans="2:9" ht="15" customHeight="1" x14ac:dyDescent="0.25">
      <c r="B2745" s="55" t="s">
        <v>279</v>
      </c>
      <c r="C2745" s="46">
        <v>2733</v>
      </c>
      <c r="D2745" s="69" t="s">
        <v>29416</v>
      </c>
      <c r="E2745" s="51"/>
      <c r="F2745" s="114" t="str">
        <f>IF(INDEX(I.Facility.P1IDNumber,2733)="","",INDEX(I.Facility.P1IDNumber,2733))</f>
        <v/>
      </c>
      <c r="G2745" s="51"/>
      <c r="H2745" s="46" t="str">
        <f>IF(AND(I.Developer.P1=TRUE,I.Facility.P1FacilityCount&gt;=2733,F2745=""),"Incomplete","Complete")</f>
        <v>Complete</v>
      </c>
      <c r="I2745" s="48" t="s">
        <v>7110</v>
      </c>
    </row>
    <row r="2746" spans="2:9" ht="15" customHeight="1" x14ac:dyDescent="0.25">
      <c r="B2746" s="55" t="s">
        <v>279</v>
      </c>
      <c r="C2746" s="46">
        <v>2734</v>
      </c>
      <c r="D2746" s="69" t="s">
        <v>29416</v>
      </c>
      <c r="E2746" s="51"/>
      <c r="F2746" s="114" t="str">
        <f>IF(INDEX(I.Facility.P1IDNumber,2734)="","",INDEX(I.Facility.P1IDNumber,2734))</f>
        <v/>
      </c>
      <c r="G2746" s="51"/>
      <c r="H2746" s="46" t="str">
        <f>IF(AND(I.Developer.P1=TRUE,I.Facility.P1FacilityCount&gt;=2734,F2746=""),"Incomplete","Complete")</f>
        <v>Complete</v>
      </c>
      <c r="I2746" s="48" t="s">
        <v>7111</v>
      </c>
    </row>
    <row r="2747" spans="2:9" ht="15" customHeight="1" x14ac:dyDescent="0.25">
      <c r="B2747" s="55" t="s">
        <v>279</v>
      </c>
      <c r="C2747" s="46">
        <v>2735</v>
      </c>
      <c r="D2747" s="69" t="s">
        <v>29416</v>
      </c>
      <c r="E2747" s="51"/>
      <c r="F2747" s="114" t="str">
        <f>IF(INDEX(I.Facility.P1IDNumber,2735)="","",INDEX(I.Facility.P1IDNumber,2735))</f>
        <v/>
      </c>
      <c r="G2747" s="51"/>
      <c r="H2747" s="46" t="str">
        <f>IF(AND(I.Developer.P1=TRUE,I.Facility.P1FacilityCount&gt;=2735,F2747=""),"Incomplete","Complete")</f>
        <v>Complete</v>
      </c>
      <c r="I2747" s="48" t="s">
        <v>7112</v>
      </c>
    </row>
    <row r="2748" spans="2:9" ht="15" customHeight="1" x14ac:dyDescent="0.25">
      <c r="B2748" s="55" t="s">
        <v>279</v>
      </c>
      <c r="C2748" s="46">
        <v>2736</v>
      </c>
      <c r="D2748" s="69" t="s">
        <v>29416</v>
      </c>
      <c r="E2748" s="51"/>
      <c r="F2748" s="114" t="str">
        <f>IF(INDEX(I.Facility.P1IDNumber,2736)="","",INDEX(I.Facility.P1IDNumber,2736))</f>
        <v/>
      </c>
      <c r="G2748" s="51"/>
      <c r="H2748" s="46" t="str">
        <f>IF(AND(I.Developer.P1=TRUE,I.Facility.P1FacilityCount&gt;=2736,F2748=""),"Incomplete","Complete")</f>
        <v>Complete</v>
      </c>
      <c r="I2748" s="48" t="s">
        <v>7113</v>
      </c>
    </row>
    <row r="2749" spans="2:9" ht="15" customHeight="1" x14ac:dyDescent="0.25">
      <c r="B2749" s="55" t="s">
        <v>279</v>
      </c>
      <c r="C2749" s="46">
        <v>2737</v>
      </c>
      <c r="D2749" s="69" t="s">
        <v>29416</v>
      </c>
      <c r="E2749" s="51"/>
      <c r="F2749" s="114" t="str">
        <f>IF(INDEX(I.Facility.P1IDNumber,2737)="","",INDEX(I.Facility.P1IDNumber,2737))</f>
        <v/>
      </c>
      <c r="G2749" s="51"/>
      <c r="H2749" s="46" t="str">
        <f>IF(AND(I.Developer.P1=TRUE,I.Facility.P1FacilityCount&gt;=2737,F2749=""),"Incomplete","Complete")</f>
        <v>Complete</v>
      </c>
      <c r="I2749" s="48" t="s">
        <v>7114</v>
      </c>
    </row>
    <row r="2750" spans="2:9" ht="15" customHeight="1" x14ac:dyDescent="0.25">
      <c r="B2750" s="55" t="s">
        <v>279</v>
      </c>
      <c r="C2750" s="46">
        <v>2738</v>
      </c>
      <c r="D2750" s="69" t="s">
        <v>29416</v>
      </c>
      <c r="E2750" s="51"/>
      <c r="F2750" s="114" t="str">
        <f>IF(INDEX(I.Facility.P1IDNumber,2738)="","",INDEX(I.Facility.P1IDNumber,2738))</f>
        <v/>
      </c>
      <c r="G2750" s="51"/>
      <c r="H2750" s="46" t="str">
        <f>IF(AND(I.Developer.P1=TRUE,I.Facility.P1FacilityCount&gt;=2738,F2750=""),"Incomplete","Complete")</f>
        <v>Complete</v>
      </c>
      <c r="I2750" s="48" t="s">
        <v>7115</v>
      </c>
    </row>
    <row r="2751" spans="2:9" ht="15" customHeight="1" x14ac:dyDescent="0.25">
      <c r="B2751" s="55" t="s">
        <v>279</v>
      </c>
      <c r="C2751" s="46">
        <v>2739</v>
      </c>
      <c r="D2751" s="69" t="s">
        <v>29416</v>
      </c>
      <c r="E2751" s="51"/>
      <c r="F2751" s="114" t="str">
        <f>IF(INDEX(I.Facility.P1IDNumber,2739)="","",INDEX(I.Facility.P1IDNumber,2739))</f>
        <v/>
      </c>
      <c r="G2751" s="51"/>
      <c r="H2751" s="46" t="str">
        <f>IF(AND(I.Developer.P1=TRUE,I.Facility.P1FacilityCount&gt;=2739,F2751=""),"Incomplete","Complete")</f>
        <v>Complete</v>
      </c>
      <c r="I2751" s="48" t="s">
        <v>7116</v>
      </c>
    </row>
    <row r="2752" spans="2:9" ht="15" customHeight="1" x14ac:dyDescent="0.25">
      <c r="B2752" s="55" t="s">
        <v>279</v>
      </c>
      <c r="C2752" s="46">
        <v>2740</v>
      </c>
      <c r="D2752" s="69" t="s">
        <v>29416</v>
      </c>
      <c r="E2752" s="51"/>
      <c r="F2752" s="114" t="str">
        <f>IF(INDEX(I.Facility.P1IDNumber,2740)="","",INDEX(I.Facility.P1IDNumber,2740))</f>
        <v/>
      </c>
      <c r="G2752" s="51"/>
      <c r="H2752" s="46" t="str">
        <f>IF(AND(I.Developer.P1=TRUE,I.Facility.P1FacilityCount&gt;=2740,F2752=""),"Incomplete","Complete")</f>
        <v>Complete</v>
      </c>
      <c r="I2752" s="48" t="s">
        <v>7117</v>
      </c>
    </row>
    <row r="2753" spans="2:9" ht="15" customHeight="1" x14ac:dyDescent="0.25">
      <c r="B2753" s="55" t="s">
        <v>279</v>
      </c>
      <c r="C2753" s="46">
        <v>2741</v>
      </c>
      <c r="D2753" s="69" t="s">
        <v>29416</v>
      </c>
      <c r="E2753" s="51"/>
      <c r="F2753" s="114" t="str">
        <f>IF(INDEX(I.Facility.P1IDNumber,2741)="","",INDEX(I.Facility.P1IDNumber,2741))</f>
        <v/>
      </c>
      <c r="G2753" s="51"/>
      <c r="H2753" s="46" t="str">
        <f>IF(AND(I.Developer.P1=TRUE,I.Facility.P1FacilityCount&gt;=2741,F2753=""),"Incomplete","Complete")</f>
        <v>Complete</v>
      </c>
      <c r="I2753" s="48" t="s">
        <v>7118</v>
      </c>
    </row>
    <row r="2754" spans="2:9" ht="15" customHeight="1" x14ac:dyDescent="0.25">
      <c r="B2754" s="55" t="s">
        <v>279</v>
      </c>
      <c r="C2754" s="46">
        <v>2742</v>
      </c>
      <c r="D2754" s="69" t="s">
        <v>29416</v>
      </c>
      <c r="E2754" s="51"/>
      <c r="F2754" s="114" t="str">
        <f>IF(INDEX(I.Facility.P1IDNumber,2742)="","",INDEX(I.Facility.P1IDNumber,2742))</f>
        <v/>
      </c>
      <c r="G2754" s="51"/>
      <c r="H2754" s="46" t="str">
        <f>IF(AND(I.Developer.P1=TRUE,I.Facility.P1FacilityCount&gt;=2742,F2754=""),"Incomplete","Complete")</f>
        <v>Complete</v>
      </c>
      <c r="I2754" s="48" t="s">
        <v>7119</v>
      </c>
    </row>
    <row r="2755" spans="2:9" ht="15" customHeight="1" x14ac:dyDescent="0.25">
      <c r="B2755" s="55" t="s">
        <v>279</v>
      </c>
      <c r="C2755" s="46">
        <v>2743</v>
      </c>
      <c r="D2755" s="69" t="s">
        <v>29416</v>
      </c>
      <c r="E2755" s="51"/>
      <c r="F2755" s="114" t="str">
        <f>IF(INDEX(I.Facility.P1IDNumber,2743)="","",INDEX(I.Facility.P1IDNumber,2743))</f>
        <v/>
      </c>
      <c r="G2755" s="51"/>
      <c r="H2755" s="46" t="str">
        <f>IF(AND(I.Developer.P1=TRUE,I.Facility.P1FacilityCount&gt;=2743,F2755=""),"Incomplete","Complete")</f>
        <v>Complete</v>
      </c>
      <c r="I2755" s="48" t="s">
        <v>7120</v>
      </c>
    </row>
    <row r="2756" spans="2:9" ht="15" customHeight="1" x14ac:dyDescent="0.25">
      <c r="B2756" s="55" t="s">
        <v>279</v>
      </c>
      <c r="C2756" s="46">
        <v>2744</v>
      </c>
      <c r="D2756" s="69" t="s">
        <v>29416</v>
      </c>
      <c r="E2756" s="51"/>
      <c r="F2756" s="114" t="str">
        <f>IF(INDEX(I.Facility.P1IDNumber,2744)="","",INDEX(I.Facility.P1IDNumber,2744))</f>
        <v/>
      </c>
      <c r="G2756" s="51"/>
      <c r="H2756" s="46" t="str">
        <f>IF(AND(I.Developer.P1=TRUE,I.Facility.P1FacilityCount&gt;=2744,F2756=""),"Incomplete","Complete")</f>
        <v>Complete</v>
      </c>
      <c r="I2756" s="48" t="s">
        <v>7121</v>
      </c>
    </row>
    <row r="2757" spans="2:9" ht="15" customHeight="1" x14ac:dyDescent="0.25">
      <c r="B2757" s="55" t="s">
        <v>279</v>
      </c>
      <c r="C2757" s="46">
        <v>2745</v>
      </c>
      <c r="D2757" s="69" t="s">
        <v>29416</v>
      </c>
      <c r="E2757" s="51"/>
      <c r="F2757" s="114" t="str">
        <f>IF(INDEX(I.Facility.P1IDNumber,2745)="","",INDEX(I.Facility.P1IDNumber,2745))</f>
        <v/>
      </c>
      <c r="G2757" s="51"/>
      <c r="H2757" s="46" t="str">
        <f>IF(AND(I.Developer.P1=TRUE,I.Facility.P1FacilityCount&gt;=2745,F2757=""),"Incomplete","Complete")</f>
        <v>Complete</v>
      </c>
      <c r="I2757" s="48" t="s">
        <v>7122</v>
      </c>
    </row>
    <row r="2758" spans="2:9" ht="15" customHeight="1" x14ac:dyDescent="0.25">
      <c r="B2758" s="55" t="s">
        <v>279</v>
      </c>
      <c r="C2758" s="46">
        <v>2746</v>
      </c>
      <c r="D2758" s="69" t="s">
        <v>29416</v>
      </c>
      <c r="E2758" s="51"/>
      <c r="F2758" s="114" t="str">
        <f>IF(INDEX(I.Facility.P1IDNumber,2746)="","",INDEX(I.Facility.P1IDNumber,2746))</f>
        <v/>
      </c>
      <c r="G2758" s="51"/>
      <c r="H2758" s="46" t="str">
        <f>IF(AND(I.Developer.P1=TRUE,I.Facility.P1FacilityCount&gt;=2746,F2758=""),"Incomplete","Complete")</f>
        <v>Complete</v>
      </c>
      <c r="I2758" s="48" t="s">
        <v>7123</v>
      </c>
    </row>
    <row r="2759" spans="2:9" ht="15" customHeight="1" x14ac:dyDescent="0.25">
      <c r="B2759" s="55" t="s">
        <v>279</v>
      </c>
      <c r="C2759" s="46">
        <v>2747</v>
      </c>
      <c r="D2759" s="69" t="s">
        <v>29416</v>
      </c>
      <c r="E2759" s="51"/>
      <c r="F2759" s="114" t="str">
        <f>IF(INDEX(I.Facility.P1IDNumber,2747)="","",INDEX(I.Facility.P1IDNumber,2747))</f>
        <v/>
      </c>
      <c r="G2759" s="51"/>
      <c r="H2759" s="46" t="str">
        <f>IF(AND(I.Developer.P1=TRUE,I.Facility.P1FacilityCount&gt;=2747,F2759=""),"Incomplete","Complete")</f>
        <v>Complete</v>
      </c>
      <c r="I2759" s="48" t="s">
        <v>7124</v>
      </c>
    </row>
    <row r="2760" spans="2:9" ht="15" customHeight="1" x14ac:dyDescent="0.25">
      <c r="B2760" s="55" t="s">
        <v>279</v>
      </c>
      <c r="C2760" s="46">
        <v>2748</v>
      </c>
      <c r="D2760" s="69" t="s">
        <v>29416</v>
      </c>
      <c r="E2760" s="51"/>
      <c r="F2760" s="114" t="str">
        <f>IF(INDEX(I.Facility.P1IDNumber,2748)="","",INDEX(I.Facility.P1IDNumber,2748))</f>
        <v/>
      </c>
      <c r="G2760" s="51"/>
      <c r="H2760" s="46" t="str">
        <f>IF(AND(I.Developer.P1=TRUE,I.Facility.P1FacilityCount&gt;=2748,F2760=""),"Incomplete","Complete")</f>
        <v>Complete</v>
      </c>
      <c r="I2760" s="48" t="s">
        <v>7125</v>
      </c>
    </row>
    <row r="2761" spans="2:9" ht="15" customHeight="1" x14ac:dyDescent="0.25">
      <c r="B2761" s="55" t="s">
        <v>279</v>
      </c>
      <c r="C2761" s="46">
        <v>2749</v>
      </c>
      <c r="D2761" s="69" t="s">
        <v>29416</v>
      </c>
      <c r="E2761" s="51"/>
      <c r="F2761" s="114" t="str">
        <f>IF(INDEX(I.Facility.P1IDNumber,2749)="","",INDEX(I.Facility.P1IDNumber,2749))</f>
        <v/>
      </c>
      <c r="G2761" s="51"/>
      <c r="H2761" s="46" t="str">
        <f>IF(AND(I.Developer.P1=TRUE,I.Facility.P1FacilityCount&gt;=2749,F2761=""),"Incomplete","Complete")</f>
        <v>Complete</v>
      </c>
      <c r="I2761" s="48" t="s">
        <v>7126</v>
      </c>
    </row>
    <row r="2762" spans="2:9" ht="15" customHeight="1" x14ac:dyDescent="0.25">
      <c r="B2762" s="55" t="s">
        <v>279</v>
      </c>
      <c r="C2762" s="46">
        <v>2750</v>
      </c>
      <c r="D2762" s="69" t="s">
        <v>29416</v>
      </c>
      <c r="E2762" s="51"/>
      <c r="F2762" s="114" t="str">
        <f>IF(INDEX(I.Facility.P1IDNumber,2750)="","",INDEX(I.Facility.P1IDNumber,2750))</f>
        <v/>
      </c>
      <c r="G2762" s="51"/>
      <c r="H2762" s="46" t="str">
        <f>IF(AND(I.Developer.P1=TRUE,I.Facility.P1FacilityCount&gt;=2750,F2762=""),"Incomplete","Complete")</f>
        <v>Complete</v>
      </c>
      <c r="I2762" s="48" t="s">
        <v>7127</v>
      </c>
    </row>
    <row r="2763" spans="2:9" ht="15" customHeight="1" x14ac:dyDescent="0.25">
      <c r="B2763" s="55" t="s">
        <v>279</v>
      </c>
      <c r="C2763" s="46">
        <v>2751</v>
      </c>
      <c r="D2763" s="69" t="s">
        <v>29416</v>
      </c>
      <c r="E2763" s="51"/>
      <c r="F2763" s="114" t="str">
        <f>IF(INDEX(I.Facility.P1IDNumber,2751)="","",INDEX(I.Facility.P1IDNumber,2751))</f>
        <v/>
      </c>
      <c r="G2763" s="51"/>
      <c r="H2763" s="46" t="str">
        <f>IF(AND(I.Developer.P1=TRUE,I.Facility.P1FacilityCount&gt;=2751,F2763=""),"Incomplete","Complete")</f>
        <v>Complete</v>
      </c>
      <c r="I2763" s="48" t="s">
        <v>7128</v>
      </c>
    </row>
    <row r="2764" spans="2:9" ht="15" customHeight="1" x14ac:dyDescent="0.25">
      <c r="B2764" s="55" t="s">
        <v>279</v>
      </c>
      <c r="C2764" s="46">
        <v>2752</v>
      </c>
      <c r="D2764" s="69" t="s">
        <v>29416</v>
      </c>
      <c r="E2764" s="51"/>
      <c r="F2764" s="114" t="str">
        <f>IF(INDEX(I.Facility.P1IDNumber,2752)="","",INDEX(I.Facility.P1IDNumber,2752))</f>
        <v/>
      </c>
      <c r="G2764" s="51"/>
      <c r="H2764" s="46" t="str">
        <f>IF(AND(I.Developer.P1=TRUE,I.Facility.P1FacilityCount&gt;=2752,F2764=""),"Incomplete","Complete")</f>
        <v>Complete</v>
      </c>
      <c r="I2764" s="48" t="s">
        <v>7129</v>
      </c>
    </row>
    <row r="2765" spans="2:9" ht="15" customHeight="1" x14ac:dyDescent="0.25">
      <c r="B2765" s="55" t="s">
        <v>279</v>
      </c>
      <c r="C2765" s="46">
        <v>2753</v>
      </c>
      <c r="D2765" s="69" t="s">
        <v>29416</v>
      </c>
      <c r="E2765" s="51"/>
      <c r="F2765" s="114" t="str">
        <f>IF(INDEX(I.Facility.P1IDNumber,2753)="","",INDEX(I.Facility.P1IDNumber,2753))</f>
        <v/>
      </c>
      <c r="G2765" s="51"/>
      <c r="H2765" s="46" t="str">
        <f>IF(AND(I.Developer.P1=TRUE,I.Facility.P1FacilityCount&gt;=2753,F2765=""),"Incomplete","Complete")</f>
        <v>Complete</v>
      </c>
      <c r="I2765" s="48" t="s">
        <v>7130</v>
      </c>
    </row>
    <row r="2766" spans="2:9" ht="15" customHeight="1" x14ac:dyDescent="0.25">
      <c r="B2766" s="55" t="s">
        <v>279</v>
      </c>
      <c r="C2766" s="46">
        <v>2754</v>
      </c>
      <c r="D2766" s="69" t="s">
        <v>29416</v>
      </c>
      <c r="E2766" s="51"/>
      <c r="F2766" s="114" t="str">
        <f>IF(INDEX(I.Facility.P1IDNumber,2754)="","",INDEX(I.Facility.P1IDNumber,2754))</f>
        <v/>
      </c>
      <c r="G2766" s="51"/>
      <c r="H2766" s="46" t="str">
        <f>IF(AND(I.Developer.P1=TRUE,I.Facility.P1FacilityCount&gt;=2754,F2766=""),"Incomplete","Complete")</f>
        <v>Complete</v>
      </c>
      <c r="I2766" s="48" t="s">
        <v>7131</v>
      </c>
    </row>
    <row r="2767" spans="2:9" ht="15" customHeight="1" x14ac:dyDescent="0.25">
      <c r="B2767" s="55" t="s">
        <v>279</v>
      </c>
      <c r="C2767" s="46">
        <v>2755</v>
      </c>
      <c r="D2767" s="69" t="s">
        <v>29416</v>
      </c>
      <c r="E2767" s="51"/>
      <c r="F2767" s="114" t="str">
        <f>IF(INDEX(I.Facility.P1IDNumber,2755)="","",INDEX(I.Facility.P1IDNumber,2755))</f>
        <v/>
      </c>
      <c r="G2767" s="51"/>
      <c r="H2767" s="46" t="str">
        <f>IF(AND(I.Developer.P1=TRUE,I.Facility.P1FacilityCount&gt;=2755,F2767=""),"Incomplete","Complete")</f>
        <v>Complete</v>
      </c>
      <c r="I2767" s="48" t="s">
        <v>7132</v>
      </c>
    </row>
    <row r="2768" spans="2:9" ht="15" customHeight="1" x14ac:dyDescent="0.25">
      <c r="B2768" s="55" t="s">
        <v>279</v>
      </c>
      <c r="C2768" s="46">
        <v>2756</v>
      </c>
      <c r="D2768" s="69" t="s">
        <v>29416</v>
      </c>
      <c r="E2768" s="51"/>
      <c r="F2768" s="114" t="str">
        <f>IF(INDEX(I.Facility.P1IDNumber,2756)="","",INDEX(I.Facility.P1IDNumber,2756))</f>
        <v/>
      </c>
      <c r="G2768" s="51"/>
      <c r="H2768" s="46" t="str">
        <f>IF(AND(I.Developer.P1=TRUE,I.Facility.P1FacilityCount&gt;=2756,F2768=""),"Incomplete","Complete")</f>
        <v>Complete</v>
      </c>
      <c r="I2768" s="48" t="s">
        <v>7133</v>
      </c>
    </row>
    <row r="2769" spans="2:9" ht="15" customHeight="1" x14ac:dyDescent="0.25">
      <c r="B2769" s="55" t="s">
        <v>279</v>
      </c>
      <c r="C2769" s="46">
        <v>2757</v>
      </c>
      <c r="D2769" s="69" t="s">
        <v>29416</v>
      </c>
      <c r="E2769" s="51"/>
      <c r="F2769" s="114" t="str">
        <f>IF(INDEX(I.Facility.P1IDNumber,2757)="","",INDEX(I.Facility.P1IDNumber,2757))</f>
        <v/>
      </c>
      <c r="G2769" s="51"/>
      <c r="H2769" s="46" t="str">
        <f>IF(AND(I.Developer.P1=TRUE,I.Facility.P1FacilityCount&gt;=2757,F2769=""),"Incomplete","Complete")</f>
        <v>Complete</v>
      </c>
      <c r="I2769" s="48" t="s">
        <v>7134</v>
      </c>
    </row>
    <row r="2770" spans="2:9" ht="15" customHeight="1" x14ac:dyDescent="0.25">
      <c r="B2770" s="55" t="s">
        <v>279</v>
      </c>
      <c r="C2770" s="46">
        <v>2758</v>
      </c>
      <c r="D2770" s="69" t="s">
        <v>29416</v>
      </c>
      <c r="E2770" s="51"/>
      <c r="F2770" s="114" t="str">
        <f>IF(INDEX(I.Facility.P1IDNumber,2758)="","",INDEX(I.Facility.P1IDNumber,2758))</f>
        <v/>
      </c>
      <c r="G2770" s="51"/>
      <c r="H2770" s="46" t="str">
        <f>IF(AND(I.Developer.P1=TRUE,I.Facility.P1FacilityCount&gt;=2758,F2770=""),"Incomplete","Complete")</f>
        <v>Complete</v>
      </c>
      <c r="I2770" s="48" t="s">
        <v>7135</v>
      </c>
    </row>
    <row r="2771" spans="2:9" ht="15" customHeight="1" x14ac:dyDescent="0.25">
      <c r="B2771" s="55" t="s">
        <v>279</v>
      </c>
      <c r="C2771" s="46">
        <v>2759</v>
      </c>
      <c r="D2771" s="69" t="s">
        <v>29416</v>
      </c>
      <c r="E2771" s="51"/>
      <c r="F2771" s="114" t="str">
        <f>IF(INDEX(I.Facility.P1IDNumber,2759)="","",INDEX(I.Facility.P1IDNumber,2759))</f>
        <v/>
      </c>
      <c r="G2771" s="51"/>
      <c r="H2771" s="46" t="str">
        <f>IF(AND(I.Developer.P1=TRUE,I.Facility.P1FacilityCount&gt;=2759,F2771=""),"Incomplete","Complete")</f>
        <v>Complete</v>
      </c>
      <c r="I2771" s="48" t="s">
        <v>7136</v>
      </c>
    </row>
    <row r="2772" spans="2:9" ht="15" customHeight="1" x14ac:dyDescent="0.25">
      <c r="B2772" s="55" t="s">
        <v>279</v>
      </c>
      <c r="C2772" s="46">
        <v>2760</v>
      </c>
      <c r="D2772" s="69" t="s">
        <v>29416</v>
      </c>
      <c r="E2772" s="51"/>
      <c r="F2772" s="114" t="str">
        <f>IF(INDEX(I.Facility.P1IDNumber,2760)="","",INDEX(I.Facility.P1IDNumber,2760))</f>
        <v/>
      </c>
      <c r="G2772" s="51"/>
      <c r="H2772" s="46" t="str">
        <f>IF(AND(I.Developer.P1=TRUE,I.Facility.P1FacilityCount&gt;=2760,F2772=""),"Incomplete","Complete")</f>
        <v>Complete</v>
      </c>
      <c r="I2772" s="48" t="s">
        <v>7137</v>
      </c>
    </row>
    <row r="2773" spans="2:9" ht="15" customHeight="1" x14ac:dyDescent="0.25">
      <c r="B2773" s="55" t="s">
        <v>279</v>
      </c>
      <c r="C2773" s="46">
        <v>2761</v>
      </c>
      <c r="D2773" s="69" t="s">
        <v>29416</v>
      </c>
      <c r="E2773" s="51"/>
      <c r="F2773" s="114" t="str">
        <f>IF(INDEX(I.Facility.P1IDNumber,2761)="","",INDEX(I.Facility.P1IDNumber,2761))</f>
        <v/>
      </c>
      <c r="G2773" s="51"/>
      <c r="H2773" s="46" t="str">
        <f>IF(AND(I.Developer.P1=TRUE,I.Facility.P1FacilityCount&gt;=2761,F2773=""),"Incomplete","Complete")</f>
        <v>Complete</v>
      </c>
      <c r="I2773" s="48" t="s">
        <v>7138</v>
      </c>
    </row>
    <row r="2774" spans="2:9" ht="15" customHeight="1" x14ac:dyDescent="0.25">
      <c r="B2774" s="55" t="s">
        <v>279</v>
      </c>
      <c r="C2774" s="46">
        <v>2762</v>
      </c>
      <c r="D2774" s="69" t="s">
        <v>29416</v>
      </c>
      <c r="E2774" s="51"/>
      <c r="F2774" s="114" t="str">
        <f>IF(INDEX(I.Facility.P1IDNumber,2762)="","",INDEX(I.Facility.P1IDNumber,2762))</f>
        <v/>
      </c>
      <c r="G2774" s="51"/>
      <c r="H2774" s="46" t="str">
        <f>IF(AND(I.Developer.P1=TRUE,I.Facility.P1FacilityCount&gt;=2762,F2774=""),"Incomplete","Complete")</f>
        <v>Complete</v>
      </c>
      <c r="I2774" s="48" t="s">
        <v>7139</v>
      </c>
    </row>
    <row r="2775" spans="2:9" ht="15" customHeight="1" x14ac:dyDescent="0.25">
      <c r="B2775" s="55" t="s">
        <v>279</v>
      </c>
      <c r="C2775" s="46">
        <v>2763</v>
      </c>
      <c r="D2775" s="69" t="s">
        <v>29416</v>
      </c>
      <c r="E2775" s="51"/>
      <c r="F2775" s="114" t="str">
        <f>IF(INDEX(I.Facility.P1IDNumber,2763)="","",INDEX(I.Facility.P1IDNumber,2763))</f>
        <v/>
      </c>
      <c r="G2775" s="51"/>
      <c r="H2775" s="46" t="str">
        <f>IF(AND(I.Developer.P1=TRUE,I.Facility.P1FacilityCount&gt;=2763,F2775=""),"Incomplete","Complete")</f>
        <v>Complete</v>
      </c>
      <c r="I2775" s="48" t="s">
        <v>7140</v>
      </c>
    </row>
    <row r="2776" spans="2:9" ht="15" customHeight="1" x14ac:dyDescent="0.25">
      <c r="B2776" s="55" t="s">
        <v>279</v>
      </c>
      <c r="C2776" s="46">
        <v>2764</v>
      </c>
      <c r="D2776" s="69" t="s">
        <v>29416</v>
      </c>
      <c r="E2776" s="51"/>
      <c r="F2776" s="114" t="str">
        <f>IF(INDEX(I.Facility.P1IDNumber,2764)="","",INDEX(I.Facility.P1IDNumber,2764))</f>
        <v/>
      </c>
      <c r="G2776" s="51"/>
      <c r="H2776" s="46" t="str">
        <f>IF(AND(I.Developer.P1=TRUE,I.Facility.P1FacilityCount&gt;=2764,F2776=""),"Incomplete","Complete")</f>
        <v>Complete</v>
      </c>
      <c r="I2776" s="48" t="s">
        <v>7141</v>
      </c>
    </row>
    <row r="2777" spans="2:9" ht="15" customHeight="1" x14ac:dyDescent="0.25">
      <c r="B2777" s="55" t="s">
        <v>279</v>
      </c>
      <c r="C2777" s="46">
        <v>2765</v>
      </c>
      <c r="D2777" s="69" t="s">
        <v>29416</v>
      </c>
      <c r="E2777" s="51"/>
      <c r="F2777" s="114" t="str">
        <f>IF(INDEX(I.Facility.P1IDNumber,2765)="","",INDEX(I.Facility.P1IDNumber,2765))</f>
        <v/>
      </c>
      <c r="G2777" s="51"/>
      <c r="H2777" s="46" t="str">
        <f>IF(AND(I.Developer.P1=TRUE,I.Facility.P1FacilityCount&gt;=2765,F2777=""),"Incomplete","Complete")</f>
        <v>Complete</v>
      </c>
      <c r="I2777" s="48" t="s">
        <v>7142</v>
      </c>
    </row>
    <row r="2778" spans="2:9" ht="15" customHeight="1" x14ac:dyDescent="0.25">
      <c r="B2778" s="55" t="s">
        <v>279</v>
      </c>
      <c r="C2778" s="46">
        <v>2766</v>
      </c>
      <c r="D2778" s="69" t="s">
        <v>29416</v>
      </c>
      <c r="E2778" s="51"/>
      <c r="F2778" s="114" t="str">
        <f>IF(INDEX(I.Facility.P1IDNumber,2766)="","",INDEX(I.Facility.P1IDNumber,2766))</f>
        <v/>
      </c>
      <c r="G2778" s="51"/>
      <c r="H2778" s="46" t="str">
        <f>IF(AND(I.Developer.P1=TRUE,I.Facility.P1FacilityCount&gt;=2766,F2778=""),"Incomplete","Complete")</f>
        <v>Complete</v>
      </c>
      <c r="I2778" s="48" t="s">
        <v>7143</v>
      </c>
    </row>
    <row r="2779" spans="2:9" ht="15" customHeight="1" x14ac:dyDescent="0.25">
      <c r="B2779" s="55" t="s">
        <v>279</v>
      </c>
      <c r="C2779" s="46">
        <v>2767</v>
      </c>
      <c r="D2779" s="69" t="s">
        <v>29416</v>
      </c>
      <c r="E2779" s="51"/>
      <c r="F2779" s="114" t="str">
        <f>IF(INDEX(I.Facility.P1IDNumber,2767)="","",INDEX(I.Facility.P1IDNumber,2767))</f>
        <v/>
      </c>
      <c r="G2779" s="51"/>
      <c r="H2779" s="46" t="str">
        <f>IF(AND(I.Developer.P1=TRUE,I.Facility.P1FacilityCount&gt;=2767,F2779=""),"Incomplete","Complete")</f>
        <v>Complete</v>
      </c>
      <c r="I2779" s="48" t="s">
        <v>7144</v>
      </c>
    </row>
    <row r="2780" spans="2:9" ht="15" customHeight="1" x14ac:dyDescent="0.25">
      <c r="B2780" s="55" t="s">
        <v>279</v>
      </c>
      <c r="C2780" s="46">
        <v>2768</v>
      </c>
      <c r="D2780" s="69" t="s">
        <v>29416</v>
      </c>
      <c r="E2780" s="51"/>
      <c r="F2780" s="114" t="str">
        <f>IF(INDEX(I.Facility.P1IDNumber,2768)="","",INDEX(I.Facility.P1IDNumber,2768))</f>
        <v/>
      </c>
      <c r="G2780" s="51"/>
      <c r="H2780" s="46" t="str">
        <f>IF(AND(I.Developer.P1=TRUE,I.Facility.P1FacilityCount&gt;=2768,F2780=""),"Incomplete","Complete")</f>
        <v>Complete</v>
      </c>
      <c r="I2780" s="48" t="s">
        <v>7145</v>
      </c>
    </row>
    <row r="2781" spans="2:9" ht="15" customHeight="1" x14ac:dyDescent="0.25">
      <c r="B2781" s="55" t="s">
        <v>279</v>
      </c>
      <c r="C2781" s="46">
        <v>2769</v>
      </c>
      <c r="D2781" s="69" t="s">
        <v>29416</v>
      </c>
      <c r="E2781" s="51"/>
      <c r="F2781" s="114" t="str">
        <f>IF(INDEX(I.Facility.P1IDNumber,2769)="","",INDEX(I.Facility.P1IDNumber,2769))</f>
        <v/>
      </c>
      <c r="G2781" s="51"/>
      <c r="H2781" s="46" t="str">
        <f>IF(AND(I.Developer.P1=TRUE,I.Facility.P1FacilityCount&gt;=2769,F2781=""),"Incomplete","Complete")</f>
        <v>Complete</v>
      </c>
      <c r="I2781" s="48" t="s">
        <v>7146</v>
      </c>
    </row>
    <row r="2782" spans="2:9" ht="15" customHeight="1" x14ac:dyDescent="0.25">
      <c r="B2782" s="55" t="s">
        <v>279</v>
      </c>
      <c r="C2782" s="46">
        <v>2770</v>
      </c>
      <c r="D2782" s="69" t="s">
        <v>29416</v>
      </c>
      <c r="E2782" s="51"/>
      <c r="F2782" s="114" t="str">
        <f>IF(INDEX(I.Facility.P1IDNumber,2770)="","",INDEX(I.Facility.P1IDNumber,2770))</f>
        <v/>
      </c>
      <c r="G2782" s="51"/>
      <c r="H2782" s="46" t="str">
        <f>IF(AND(I.Developer.P1=TRUE,I.Facility.P1FacilityCount&gt;=2770,F2782=""),"Incomplete","Complete")</f>
        <v>Complete</v>
      </c>
      <c r="I2782" s="48" t="s">
        <v>7147</v>
      </c>
    </row>
    <row r="2783" spans="2:9" ht="15" customHeight="1" x14ac:dyDescent="0.25">
      <c r="B2783" s="55" t="s">
        <v>279</v>
      </c>
      <c r="C2783" s="46">
        <v>2771</v>
      </c>
      <c r="D2783" s="69" t="s">
        <v>29416</v>
      </c>
      <c r="E2783" s="51"/>
      <c r="F2783" s="114" t="str">
        <f>IF(INDEX(I.Facility.P1IDNumber,2771)="","",INDEX(I.Facility.P1IDNumber,2771))</f>
        <v/>
      </c>
      <c r="G2783" s="51"/>
      <c r="H2783" s="46" t="str">
        <f>IF(AND(I.Developer.P1=TRUE,I.Facility.P1FacilityCount&gt;=2771,F2783=""),"Incomplete","Complete")</f>
        <v>Complete</v>
      </c>
      <c r="I2783" s="48" t="s">
        <v>7148</v>
      </c>
    </row>
    <row r="2784" spans="2:9" ht="15" customHeight="1" x14ac:dyDescent="0.25">
      <c r="B2784" s="55" t="s">
        <v>279</v>
      </c>
      <c r="C2784" s="46">
        <v>2772</v>
      </c>
      <c r="D2784" s="69" t="s">
        <v>29416</v>
      </c>
      <c r="E2784" s="51"/>
      <c r="F2784" s="114" t="str">
        <f>IF(INDEX(I.Facility.P1IDNumber,2772)="","",INDEX(I.Facility.P1IDNumber,2772))</f>
        <v/>
      </c>
      <c r="G2784" s="51"/>
      <c r="H2784" s="46" t="str">
        <f>IF(AND(I.Developer.P1=TRUE,I.Facility.P1FacilityCount&gt;=2772,F2784=""),"Incomplete","Complete")</f>
        <v>Complete</v>
      </c>
      <c r="I2784" s="48" t="s">
        <v>7149</v>
      </c>
    </row>
    <row r="2785" spans="2:9" ht="15" customHeight="1" x14ac:dyDescent="0.25">
      <c r="B2785" s="55" t="s">
        <v>279</v>
      </c>
      <c r="C2785" s="46">
        <v>2773</v>
      </c>
      <c r="D2785" s="69" t="s">
        <v>29416</v>
      </c>
      <c r="E2785" s="51"/>
      <c r="F2785" s="114" t="str">
        <f>IF(INDEX(I.Facility.P1IDNumber,2773)="","",INDEX(I.Facility.P1IDNumber,2773))</f>
        <v/>
      </c>
      <c r="G2785" s="51"/>
      <c r="H2785" s="46" t="str">
        <f>IF(AND(I.Developer.P1=TRUE,I.Facility.P1FacilityCount&gt;=2773,F2785=""),"Incomplete","Complete")</f>
        <v>Complete</v>
      </c>
      <c r="I2785" s="48" t="s">
        <v>7150</v>
      </c>
    </row>
    <row r="2786" spans="2:9" ht="15" customHeight="1" x14ac:dyDescent="0.25">
      <c r="B2786" s="55" t="s">
        <v>279</v>
      </c>
      <c r="C2786" s="46">
        <v>2774</v>
      </c>
      <c r="D2786" s="69" t="s">
        <v>29416</v>
      </c>
      <c r="E2786" s="51"/>
      <c r="F2786" s="114" t="str">
        <f>IF(INDEX(I.Facility.P1IDNumber,2774)="","",INDEX(I.Facility.P1IDNumber,2774))</f>
        <v/>
      </c>
      <c r="G2786" s="51"/>
      <c r="H2786" s="46" t="str">
        <f>IF(AND(I.Developer.P1=TRUE,I.Facility.P1FacilityCount&gt;=2774,F2786=""),"Incomplete","Complete")</f>
        <v>Complete</v>
      </c>
      <c r="I2786" s="48" t="s">
        <v>7151</v>
      </c>
    </row>
    <row r="2787" spans="2:9" ht="15" customHeight="1" x14ac:dyDescent="0.25">
      <c r="B2787" s="55" t="s">
        <v>279</v>
      </c>
      <c r="C2787" s="46">
        <v>2775</v>
      </c>
      <c r="D2787" s="69" t="s">
        <v>29416</v>
      </c>
      <c r="E2787" s="51"/>
      <c r="F2787" s="114" t="str">
        <f>IF(INDEX(I.Facility.P1IDNumber,2775)="","",INDEX(I.Facility.P1IDNumber,2775))</f>
        <v/>
      </c>
      <c r="G2787" s="51"/>
      <c r="H2787" s="46" t="str">
        <f>IF(AND(I.Developer.P1=TRUE,I.Facility.P1FacilityCount&gt;=2775,F2787=""),"Incomplete","Complete")</f>
        <v>Complete</v>
      </c>
      <c r="I2787" s="48" t="s">
        <v>7152</v>
      </c>
    </row>
    <row r="2788" spans="2:9" ht="15" customHeight="1" x14ac:dyDescent="0.25">
      <c r="B2788" s="55" t="s">
        <v>279</v>
      </c>
      <c r="C2788" s="46">
        <v>2776</v>
      </c>
      <c r="D2788" s="69" t="s">
        <v>29416</v>
      </c>
      <c r="E2788" s="51"/>
      <c r="F2788" s="114" t="str">
        <f>IF(INDEX(I.Facility.P1IDNumber,2776)="","",INDEX(I.Facility.P1IDNumber,2776))</f>
        <v/>
      </c>
      <c r="G2788" s="51"/>
      <c r="H2788" s="46" t="str">
        <f>IF(AND(I.Developer.P1=TRUE,I.Facility.P1FacilityCount&gt;=2776,F2788=""),"Incomplete","Complete")</f>
        <v>Complete</v>
      </c>
      <c r="I2788" s="48" t="s">
        <v>7153</v>
      </c>
    </row>
    <row r="2789" spans="2:9" ht="15" customHeight="1" x14ac:dyDescent="0.25">
      <c r="B2789" s="55" t="s">
        <v>279</v>
      </c>
      <c r="C2789" s="46">
        <v>2777</v>
      </c>
      <c r="D2789" s="69" t="s">
        <v>29416</v>
      </c>
      <c r="E2789" s="51"/>
      <c r="F2789" s="114" t="str">
        <f>IF(INDEX(I.Facility.P1IDNumber,2777)="","",INDEX(I.Facility.P1IDNumber,2777))</f>
        <v/>
      </c>
      <c r="G2789" s="51"/>
      <c r="H2789" s="46" t="str">
        <f>IF(AND(I.Developer.P1=TRUE,I.Facility.P1FacilityCount&gt;=2777,F2789=""),"Incomplete","Complete")</f>
        <v>Complete</v>
      </c>
      <c r="I2789" s="48" t="s">
        <v>7154</v>
      </c>
    </row>
    <row r="2790" spans="2:9" ht="15" customHeight="1" x14ac:dyDescent="0.25">
      <c r="B2790" s="55" t="s">
        <v>279</v>
      </c>
      <c r="C2790" s="46">
        <v>2778</v>
      </c>
      <c r="D2790" s="69" t="s">
        <v>29416</v>
      </c>
      <c r="E2790" s="51"/>
      <c r="F2790" s="114" t="str">
        <f>IF(INDEX(I.Facility.P1IDNumber,2778)="","",INDEX(I.Facility.P1IDNumber,2778))</f>
        <v/>
      </c>
      <c r="G2790" s="51"/>
      <c r="H2790" s="46" t="str">
        <f>IF(AND(I.Developer.P1=TRUE,I.Facility.P1FacilityCount&gt;=2778,F2790=""),"Incomplete","Complete")</f>
        <v>Complete</v>
      </c>
      <c r="I2790" s="48" t="s">
        <v>7155</v>
      </c>
    </row>
    <row r="2791" spans="2:9" ht="15" customHeight="1" x14ac:dyDescent="0.25">
      <c r="B2791" s="55" t="s">
        <v>279</v>
      </c>
      <c r="C2791" s="46">
        <v>2779</v>
      </c>
      <c r="D2791" s="69" t="s">
        <v>29416</v>
      </c>
      <c r="E2791" s="51"/>
      <c r="F2791" s="114" t="str">
        <f>IF(INDEX(I.Facility.P1IDNumber,2779)="","",INDEX(I.Facility.P1IDNumber,2779))</f>
        <v/>
      </c>
      <c r="G2791" s="51"/>
      <c r="H2791" s="46" t="str">
        <f>IF(AND(I.Developer.P1=TRUE,I.Facility.P1FacilityCount&gt;=2779,F2791=""),"Incomplete","Complete")</f>
        <v>Complete</v>
      </c>
      <c r="I2791" s="48" t="s">
        <v>7156</v>
      </c>
    </row>
    <row r="2792" spans="2:9" ht="15" customHeight="1" x14ac:dyDescent="0.25">
      <c r="B2792" s="55" t="s">
        <v>279</v>
      </c>
      <c r="C2792" s="46">
        <v>2780</v>
      </c>
      <c r="D2792" s="69" t="s">
        <v>29416</v>
      </c>
      <c r="E2792" s="51"/>
      <c r="F2792" s="114" t="str">
        <f>IF(INDEX(I.Facility.P1IDNumber,2780)="","",INDEX(I.Facility.P1IDNumber,2780))</f>
        <v/>
      </c>
      <c r="G2792" s="51"/>
      <c r="H2792" s="46" t="str">
        <f>IF(AND(I.Developer.P1=TRUE,I.Facility.P1FacilityCount&gt;=2780,F2792=""),"Incomplete","Complete")</f>
        <v>Complete</v>
      </c>
      <c r="I2792" s="48" t="s">
        <v>7157</v>
      </c>
    </row>
    <row r="2793" spans="2:9" ht="15" customHeight="1" x14ac:dyDescent="0.25">
      <c r="B2793" s="55" t="s">
        <v>279</v>
      </c>
      <c r="C2793" s="46">
        <v>2781</v>
      </c>
      <c r="D2793" s="69" t="s">
        <v>29416</v>
      </c>
      <c r="E2793" s="51"/>
      <c r="F2793" s="114" t="str">
        <f>IF(INDEX(I.Facility.P1IDNumber,2781)="","",INDEX(I.Facility.P1IDNumber,2781))</f>
        <v/>
      </c>
      <c r="G2793" s="51"/>
      <c r="H2793" s="46" t="str">
        <f>IF(AND(I.Developer.P1=TRUE,I.Facility.P1FacilityCount&gt;=2781,F2793=""),"Incomplete","Complete")</f>
        <v>Complete</v>
      </c>
      <c r="I2793" s="48" t="s">
        <v>7158</v>
      </c>
    </row>
    <row r="2794" spans="2:9" ht="15" customHeight="1" x14ac:dyDescent="0.25">
      <c r="B2794" s="55" t="s">
        <v>279</v>
      </c>
      <c r="C2794" s="46">
        <v>2782</v>
      </c>
      <c r="D2794" s="69" t="s">
        <v>29416</v>
      </c>
      <c r="E2794" s="51"/>
      <c r="F2794" s="114" t="str">
        <f>IF(INDEX(I.Facility.P1IDNumber,2782)="","",INDEX(I.Facility.P1IDNumber,2782))</f>
        <v/>
      </c>
      <c r="G2794" s="51"/>
      <c r="H2794" s="46" t="str">
        <f>IF(AND(I.Developer.P1=TRUE,I.Facility.P1FacilityCount&gt;=2782,F2794=""),"Incomplete","Complete")</f>
        <v>Complete</v>
      </c>
      <c r="I2794" s="48" t="s">
        <v>7159</v>
      </c>
    </row>
    <row r="2795" spans="2:9" ht="15" customHeight="1" x14ac:dyDescent="0.25">
      <c r="B2795" s="55" t="s">
        <v>279</v>
      </c>
      <c r="C2795" s="46">
        <v>2783</v>
      </c>
      <c r="D2795" s="69" t="s">
        <v>29416</v>
      </c>
      <c r="E2795" s="51"/>
      <c r="F2795" s="114" t="str">
        <f>IF(INDEX(I.Facility.P1IDNumber,2783)="","",INDEX(I.Facility.P1IDNumber,2783))</f>
        <v/>
      </c>
      <c r="G2795" s="51"/>
      <c r="H2795" s="46" t="str">
        <f>IF(AND(I.Developer.P1=TRUE,I.Facility.P1FacilityCount&gt;=2783,F2795=""),"Incomplete","Complete")</f>
        <v>Complete</v>
      </c>
      <c r="I2795" s="48" t="s">
        <v>7160</v>
      </c>
    </row>
    <row r="2796" spans="2:9" ht="15" customHeight="1" x14ac:dyDescent="0.25">
      <c r="B2796" s="55" t="s">
        <v>279</v>
      </c>
      <c r="C2796" s="46">
        <v>2784</v>
      </c>
      <c r="D2796" s="69" t="s">
        <v>29416</v>
      </c>
      <c r="E2796" s="51"/>
      <c r="F2796" s="114" t="str">
        <f>IF(INDEX(I.Facility.P1IDNumber,2784)="","",INDEX(I.Facility.P1IDNumber,2784))</f>
        <v/>
      </c>
      <c r="G2796" s="51"/>
      <c r="H2796" s="46" t="str">
        <f>IF(AND(I.Developer.P1=TRUE,I.Facility.P1FacilityCount&gt;=2784,F2796=""),"Incomplete","Complete")</f>
        <v>Complete</v>
      </c>
      <c r="I2796" s="48" t="s">
        <v>7161</v>
      </c>
    </row>
    <row r="2797" spans="2:9" ht="15" customHeight="1" x14ac:dyDescent="0.25">
      <c r="B2797" s="55" t="s">
        <v>279</v>
      </c>
      <c r="C2797" s="46">
        <v>2785</v>
      </c>
      <c r="D2797" s="69" t="s">
        <v>29416</v>
      </c>
      <c r="E2797" s="51"/>
      <c r="F2797" s="114" t="str">
        <f>IF(INDEX(I.Facility.P1IDNumber,2785)="","",INDEX(I.Facility.P1IDNumber,2785))</f>
        <v/>
      </c>
      <c r="G2797" s="51"/>
      <c r="H2797" s="46" t="str">
        <f>IF(AND(I.Developer.P1=TRUE,I.Facility.P1FacilityCount&gt;=2785,F2797=""),"Incomplete","Complete")</f>
        <v>Complete</v>
      </c>
      <c r="I2797" s="48" t="s">
        <v>7162</v>
      </c>
    </row>
    <row r="2798" spans="2:9" ht="15" customHeight="1" x14ac:dyDescent="0.25">
      <c r="B2798" s="55" t="s">
        <v>279</v>
      </c>
      <c r="C2798" s="46">
        <v>2786</v>
      </c>
      <c r="D2798" s="69" t="s">
        <v>29416</v>
      </c>
      <c r="E2798" s="51"/>
      <c r="F2798" s="114" t="str">
        <f>IF(INDEX(I.Facility.P1IDNumber,2786)="","",INDEX(I.Facility.P1IDNumber,2786))</f>
        <v/>
      </c>
      <c r="G2798" s="51"/>
      <c r="H2798" s="46" t="str">
        <f>IF(AND(I.Developer.P1=TRUE,I.Facility.P1FacilityCount&gt;=2786,F2798=""),"Incomplete","Complete")</f>
        <v>Complete</v>
      </c>
      <c r="I2798" s="48" t="s">
        <v>7163</v>
      </c>
    </row>
    <row r="2799" spans="2:9" ht="15" customHeight="1" x14ac:dyDescent="0.25">
      <c r="B2799" s="55" t="s">
        <v>279</v>
      </c>
      <c r="C2799" s="46">
        <v>2787</v>
      </c>
      <c r="D2799" s="69" t="s">
        <v>29416</v>
      </c>
      <c r="E2799" s="51"/>
      <c r="F2799" s="114" t="str">
        <f>IF(INDEX(I.Facility.P1IDNumber,2787)="","",INDEX(I.Facility.P1IDNumber,2787))</f>
        <v/>
      </c>
      <c r="G2799" s="51"/>
      <c r="H2799" s="46" t="str">
        <f>IF(AND(I.Developer.P1=TRUE,I.Facility.P1FacilityCount&gt;=2787,F2799=""),"Incomplete","Complete")</f>
        <v>Complete</v>
      </c>
      <c r="I2799" s="48" t="s">
        <v>7164</v>
      </c>
    </row>
    <row r="2800" spans="2:9" ht="15" customHeight="1" x14ac:dyDescent="0.25">
      <c r="B2800" s="55" t="s">
        <v>279</v>
      </c>
      <c r="C2800" s="46">
        <v>2788</v>
      </c>
      <c r="D2800" s="69" t="s">
        <v>29416</v>
      </c>
      <c r="E2800" s="51"/>
      <c r="F2800" s="114" t="str">
        <f>IF(INDEX(I.Facility.P1IDNumber,2788)="","",INDEX(I.Facility.P1IDNumber,2788))</f>
        <v/>
      </c>
      <c r="G2800" s="51"/>
      <c r="H2800" s="46" t="str">
        <f>IF(AND(I.Developer.P1=TRUE,I.Facility.P1FacilityCount&gt;=2788,F2800=""),"Incomplete","Complete")</f>
        <v>Complete</v>
      </c>
      <c r="I2800" s="48" t="s">
        <v>7165</v>
      </c>
    </row>
    <row r="2801" spans="2:9" ht="15" customHeight="1" x14ac:dyDescent="0.25">
      <c r="B2801" s="55" t="s">
        <v>279</v>
      </c>
      <c r="C2801" s="46">
        <v>2789</v>
      </c>
      <c r="D2801" s="69" t="s">
        <v>29416</v>
      </c>
      <c r="E2801" s="51"/>
      <c r="F2801" s="114" t="str">
        <f>IF(INDEX(I.Facility.P1IDNumber,2789)="","",INDEX(I.Facility.P1IDNumber,2789))</f>
        <v/>
      </c>
      <c r="G2801" s="51"/>
      <c r="H2801" s="46" t="str">
        <f>IF(AND(I.Developer.P1=TRUE,I.Facility.P1FacilityCount&gt;=2789,F2801=""),"Incomplete","Complete")</f>
        <v>Complete</v>
      </c>
      <c r="I2801" s="48" t="s">
        <v>7166</v>
      </c>
    </row>
    <row r="2802" spans="2:9" ht="15" customHeight="1" x14ac:dyDescent="0.25">
      <c r="B2802" s="55" t="s">
        <v>279</v>
      </c>
      <c r="C2802" s="46">
        <v>2790</v>
      </c>
      <c r="D2802" s="69" t="s">
        <v>29416</v>
      </c>
      <c r="E2802" s="51"/>
      <c r="F2802" s="114" t="str">
        <f>IF(INDEX(I.Facility.P1IDNumber,2790)="","",INDEX(I.Facility.P1IDNumber,2790))</f>
        <v/>
      </c>
      <c r="G2802" s="51"/>
      <c r="H2802" s="46" t="str">
        <f>IF(AND(I.Developer.P1=TRUE,I.Facility.P1FacilityCount&gt;=2790,F2802=""),"Incomplete","Complete")</f>
        <v>Complete</v>
      </c>
      <c r="I2802" s="48" t="s">
        <v>7167</v>
      </c>
    </row>
    <row r="2803" spans="2:9" ht="15" customHeight="1" x14ac:dyDescent="0.25">
      <c r="B2803" s="55" t="s">
        <v>279</v>
      </c>
      <c r="C2803" s="46">
        <v>2791</v>
      </c>
      <c r="D2803" s="69" t="s">
        <v>29416</v>
      </c>
      <c r="E2803" s="51"/>
      <c r="F2803" s="114" t="str">
        <f>IF(INDEX(I.Facility.P1IDNumber,2791)="","",INDEX(I.Facility.P1IDNumber,2791))</f>
        <v/>
      </c>
      <c r="G2803" s="51"/>
      <c r="H2803" s="46" t="str">
        <f>IF(AND(I.Developer.P1=TRUE,I.Facility.P1FacilityCount&gt;=2791,F2803=""),"Incomplete","Complete")</f>
        <v>Complete</v>
      </c>
      <c r="I2803" s="48" t="s">
        <v>7168</v>
      </c>
    </row>
    <row r="2804" spans="2:9" ht="15" customHeight="1" x14ac:dyDescent="0.25">
      <c r="B2804" s="55" t="s">
        <v>279</v>
      </c>
      <c r="C2804" s="46">
        <v>2792</v>
      </c>
      <c r="D2804" s="69" t="s">
        <v>29416</v>
      </c>
      <c r="E2804" s="51"/>
      <c r="F2804" s="114" t="str">
        <f>IF(INDEX(I.Facility.P1IDNumber,2792)="","",INDEX(I.Facility.P1IDNumber,2792))</f>
        <v/>
      </c>
      <c r="G2804" s="51"/>
      <c r="H2804" s="46" t="str">
        <f>IF(AND(I.Developer.P1=TRUE,I.Facility.P1FacilityCount&gt;=2792,F2804=""),"Incomplete","Complete")</f>
        <v>Complete</v>
      </c>
      <c r="I2804" s="48" t="s">
        <v>7169</v>
      </c>
    </row>
    <row r="2805" spans="2:9" ht="15" customHeight="1" x14ac:dyDescent="0.25">
      <c r="B2805" s="55" t="s">
        <v>279</v>
      </c>
      <c r="C2805" s="46">
        <v>2793</v>
      </c>
      <c r="D2805" s="69" t="s">
        <v>29416</v>
      </c>
      <c r="E2805" s="51"/>
      <c r="F2805" s="114" t="str">
        <f>IF(INDEX(I.Facility.P1IDNumber,2793)="","",INDEX(I.Facility.P1IDNumber,2793))</f>
        <v/>
      </c>
      <c r="G2805" s="51"/>
      <c r="H2805" s="46" t="str">
        <f>IF(AND(I.Developer.P1=TRUE,I.Facility.P1FacilityCount&gt;=2793,F2805=""),"Incomplete","Complete")</f>
        <v>Complete</v>
      </c>
      <c r="I2805" s="48" t="s">
        <v>7170</v>
      </c>
    </row>
    <row r="2806" spans="2:9" ht="15" customHeight="1" x14ac:dyDescent="0.25">
      <c r="B2806" s="55" t="s">
        <v>279</v>
      </c>
      <c r="C2806" s="46">
        <v>2794</v>
      </c>
      <c r="D2806" s="69" t="s">
        <v>29416</v>
      </c>
      <c r="E2806" s="51"/>
      <c r="F2806" s="114" t="str">
        <f>IF(INDEX(I.Facility.P1IDNumber,2794)="","",INDEX(I.Facility.P1IDNumber,2794))</f>
        <v/>
      </c>
      <c r="G2806" s="51"/>
      <c r="H2806" s="46" t="str">
        <f>IF(AND(I.Developer.P1=TRUE,I.Facility.P1FacilityCount&gt;=2794,F2806=""),"Incomplete","Complete")</f>
        <v>Complete</v>
      </c>
      <c r="I2806" s="48" t="s">
        <v>7171</v>
      </c>
    </row>
    <row r="2807" spans="2:9" ht="15" customHeight="1" x14ac:dyDescent="0.25">
      <c r="B2807" s="55" t="s">
        <v>279</v>
      </c>
      <c r="C2807" s="46">
        <v>2795</v>
      </c>
      <c r="D2807" s="69" t="s">
        <v>29416</v>
      </c>
      <c r="E2807" s="51"/>
      <c r="F2807" s="114" t="str">
        <f>IF(INDEX(I.Facility.P1IDNumber,2795)="","",INDEX(I.Facility.P1IDNumber,2795))</f>
        <v/>
      </c>
      <c r="G2807" s="51"/>
      <c r="H2807" s="46" t="str">
        <f>IF(AND(I.Developer.P1=TRUE,I.Facility.P1FacilityCount&gt;=2795,F2807=""),"Incomplete","Complete")</f>
        <v>Complete</v>
      </c>
      <c r="I2807" s="48" t="s">
        <v>7172</v>
      </c>
    </row>
    <row r="2808" spans="2:9" ht="15" customHeight="1" x14ac:dyDescent="0.25">
      <c r="B2808" s="55" t="s">
        <v>279</v>
      </c>
      <c r="C2808" s="46">
        <v>2796</v>
      </c>
      <c r="D2808" s="69" t="s">
        <v>29416</v>
      </c>
      <c r="E2808" s="51"/>
      <c r="F2808" s="114" t="str">
        <f>IF(INDEX(I.Facility.P1IDNumber,2796)="","",INDEX(I.Facility.P1IDNumber,2796))</f>
        <v/>
      </c>
      <c r="G2808" s="51"/>
      <c r="H2808" s="46" t="str">
        <f>IF(AND(I.Developer.P1=TRUE,I.Facility.P1FacilityCount&gt;=2796,F2808=""),"Incomplete","Complete")</f>
        <v>Complete</v>
      </c>
      <c r="I2808" s="48" t="s">
        <v>7173</v>
      </c>
    </row>
    <row r="2809" spans="2:9" ht="15" customHeight="1" x14ac:dyDescent="0.25">
      <c r="B2809" s="55" t="s">
        <v>279</v>
      </c>
      <c r="C2809" s="46">
        <v>2797</v>
      </c>
      <c r="D2809" s="69" t="s">
        <v>29416</v>
      </c>
      <c r="E2809" s="51"/>
      <c r="F2809" s="114" t="str">
        <f>IF(INDEX(I.Facility.P1IDNumber,2797)="","",INDEX(I.Facility.P1IDNumber,2797))</f>
        <v/>
      </c>
      <c r="G2809" s="51"/>
      <c r="H2809" s="46" t="str">
        <f>IF(AND(I.Developer.P1=TRUE,I.Facility.P1FacilityCount&gt;=2797,F2809=""),"Incomplete","Complete")</f>
        <v>Complete</v>
      </c>
      <c r="I2809" s="48" t="s">
        <v>7174</v>
      </c>
    </row>
    <row r="2810" spans="2:9" ht="15" customHeight="1" x14ac:dyDescent="0.25">
      <c r="B2810" s="55" t="s">
        <v>279</v>
      </c>
      <c r="C2810" s="46">
        <v>2798</v>
      </c>
      <c r="D2810" s="69" t="s">
        <v>29416</v>
      </c>
      <c r="E2810" s="51"/>
      <c r="F2810" s="114" t="str">
        <f>IF(INDEX(I.Facility.P1IDNumber,2798)="","",INDEX(I.Facility.P1IDNumber,2798))</f>
        <v/>
      </c>
      <c r="G2810" s="51"/>
      <c r="H2810" s="46" t="str">
        <f>IF(AND(I.Developer.P1=TRUE,I.Facility.P1FacilityCount&gt;=2798,F2810=""),"Incomplete","Complete")</f>
        <v>Complete</v>
      </c>
      <c r="I2810" s="48" t="s">
        <v>7175</v>
      </c>
    </row>
    <row r="2811" spans="2:9" ht="15" customHeight="1" x14ac:dyDescent="0.25">
      <c r="B2811" s="55" t="s">
        <v>279</v>
      </c>
      <c r="C2811" s="46">
        <v>2799</v>
      </c>
      <c r="D2811" s="69" t="s">
        <v>29416</v>
      </c>
      <c r="E2811" s="51"/>
      <c r="F2811" s="114" t="str">
        <f>IF(INDEX(I.Facility.P1IDNumber,2799)="","",INDEX(I.Facility.P1IDNumber,2799))</f>
        <v/>
      </c>
      <c r="G2811" s="51"/>
      <c r="H2811" s="46" t="str">
        <f>IF(AND(I.Developer.P1=TRUE,I.Facility.P1FacilityCount&gt;=2799,F2811=""),"Incomplete","Complete")</f>
        <v>Complete</v>
      </c>
      <c r="I2811" s="48" t="s">
        <v>7176</v>
      </c>
    </row>
    <row r="2812" spans="2:9" ht="15" customHeight="1" x14ac:dyDescent="0.25">
      <c r="B2812" s="55" t="s">
        <v>279</v>
      </c>
      <c r="C2812" s="46">
        <v>2800</v>
      </c>
      <c r="D2812" s="69" t="s">
        <v>29416</v>
      </c>
      <c r="E2812" s="51"/>
      <c r="F2812" s="114" t="str">
        <f>IF(INDEX(I.Facility.P1IDNumber,2800)="","",INDEX(I.Facility.P1IDNumber,2800))</f>
        <v/>
      </c>
      <c r="G2812" s="51"/>
      <c r="H2812" s="46" t="str">
        <f>IF(AND(I.Developer.P1=TRUE,I.Facility.P1FacilityCount&gt;=2800,F2812=""),"Incomplete","Complete")</f>
        <v>Complete</v>
      </c>
      <c r="I2812" s="48" t="s">
        <v>7177</v>
      </c>
    </row>
    <row r="2813" spans="2:9" ht="15" customHeight="1" x14ac:dyDescent="0.25">
      <c r="B2813" s="55" t="s">
        <v>279</v>
      </c>
      <c r="C2813" s="46">
        <v>2801</v>
      </c>
      <c r="D2813" s="69" t="s">
        <v>29416</v>
      </c>
      <c r="E2813" s="51"/>
      <c r="F2813" s="114" t="str">
        <f>IF(INDEX(I.Facility.P1IDNumber,2801)="","",INDEX(I.Facility.P1IDNumber,2801))</f>
        <v/>
      </c>
      <c r="G2813" s="51"/>
      <c r="H2813" s="46" t="str">
        <f>IF(AND(I.Developer.P1=TRUE,I.Facility.P1FacilityCount&gt;=2801,F2813=""),"Incomplete","Complete")</f>
        <v>Complete</v>
      </c>
      <c r="I2813" s="48" t="s">
        <v>7178</v>
      </c>
    </row>
    <row r="2814" spans="2:9" ht="15" customHeight="1" x14ac:dyDescent="0.25">
      <c r="B2814" s="55" t="s">
        <v>279</v>
      </c>
      <c r="C2814" s="46">
        <v>2802</v>
      </c>
      <c r="D2814" s="69" t="s">
        <v>29416</v>
      </c>
      <c r="E2814" s="51"/>
      <c r="F2814" s="114" t="str">
        <f>IF(INDEX(I.Facility.P1IDNumber,2802)="","",INDEX(I.Facility.P1IDNumber,2802))</f>
        <v/>
      </c>
      <c r="G2814" s="51"/>
      <c r="H2814" s="46" t="str">
        <f>IF(AND(I.Developer.P1=TRUE,I.Facility.P1FacilityCount&gt;=2802,F2814=""),"Incomplete","Complete")</f>
        <v>Complete</v>
      </c>
      <c r="I2814" s="48" t="s">
        <v>7179</v>
      </c>
    </row>
    <row r="2815" spans="2:9" ht="15" customHeight="1" x14ac:dyDescent="0.25">
      <c r="B2815" s="55" t="s">
        <v>279</v>
      </c>
      <c r="C2815" s="46">
        <v>2803</v>
      </c>
      <c r="D2815" s="69" t="s">
        <v>29416</v>
      </c>
      <c r="E2815" s="51"/>
      <c r="F2815" s="114" t="str">
        <f>IF(INDEX(I.Facility.P1IDNumber,2803)="","",INDEX(I.Facility.P1IDNumber,2803))</f>
        <v/>
      </c>
      <c r="G2815" s="51"/>
      <c r="H2815" s="46" t="str">
        <f>IF(AND(I.Developer.P1=TRUE,I.Facility.P1FacilityCount&gt;=2803,F2815=""),"Incomplete","Complete")</f>
        <v>Complete</v>
      </c>
      <c r="I2815" s="48" t="s">
        <v>7180</v>
      </c>
    </row>
    <row r="2816" spans="2:9" ht="15" customHeight="1" x14ac:dyDescent="0.25">
      <c r="B2816" s="55" t="s">
        <v>279</v>
      </c>
      <c r="C2816" s="46">
        <v>2804</v>
      </c>
      <c r="D2816" s="69" t="s">
        <v>29416</v>
      </c>
      <c r="E2816" s="51"/>
      <c r="F2816" s="114" t="str">
        <f>IF(INDEX(I.Facility.P1IDNumber,2804)="","",INDEX(I.Facility.P1IDNumber,2804))</f>
        <v/>
      </c>
      <c r="G2816" s="51"/>
      <c r="H2816" s="46" t="str">
        <f>IF(AND(I.Developer.P1=TRUE,I.Facility.P1FacilityCount&gt;=2804,F2816=""),"Incomplete","Complete")</f>
        <v>Complete</v>
      </c>
      <c r="I2816" s="48" t="s">
        <v>7181</v>
      </c>
    </row>
    <row r="2817" spans="2:9" ht="15" customHeight="1" x14ac:dyDescent="0.25">
      <c r="B2817" s="55" t="s">
        <v>279</v>
      </c>
      <c r="C2817" s="46">
        <v>2805</v>
      </c>
      <c r="D2817" s="69" t="s">
        <v>29416</v>
      </c>
      <c r="E2817" s="51"/>
      <c r="F2817" s="114" t="str">
        <f>IF(INDEX(I.Facility.P1IDNumber,2805)="","",INDEX(I.Facility.P1IDNumber,2805))</f>
        <v/>
      </c>
      <c r="G2817" s="51"/>
      <c r="H2817" s="46" t="str">
        <f>IF(AND(I.Developer.P1=TRUE,I.Facility.P1FacilityCount&gt;=2805,F2817=""),"Incomplete","Complete")</f>
        <v>Complete</v>
      </c>
      <c r="I2817" s="48" t="s">
        <v>7182</v>
      </c>
    </row>
    <row r="2818" spans="2:9" ht="15" customHeight="1" x14ac:dyDescent="0.25">
      <c r="B2818" s="55" t="s">
        <v>279</v>
      </c>
      <c r="C2818" s="46">
        <v>2806</v>
      </c>
      <c r="D2818" s="69" t="s">
        <v>29416</v>
      </c>
      <c r="E2818" s="51"/>
      <c r="F2818" s="114" t="str">
        <f>IF(INDEX(I.Facility.P1IDNumber,2806)="","",INDEX(I.Facility.P1IDNumber,2806))</f>
        <v/>
      </c>
      <c r="G2818" s="51"/>
      <c r="H2818" s="46" t="str">
        <f>IF(AND(I.Developer.P1=TRUE,I.Facility.P1FacilityCount&gt;=2806,F2818=""),"Incomplete","Complete")</f>
        <v>Complete</v>
      </c>
      <c r="I2818" s="48" t="s">
        <v>7183</v>
      </c>
    </row>
    <row r="2819" spans="2:9" ht="15" customHeight="1" x14ac:dyDescent="0.25">
      <c r="B2819" s="55" t="s">
        <v>279</v>
      </c>
      <c r="C2819" s="46">
        <v>2807</v>
      </c>
      <c r="D2819" s="69" t="s">
        <v>29416</v>
      </c>
      <c r="E2819" s="51"/>
      <c r="F2819" s="114" t="str">
        <f>IF(INDEX(I.Facility.P1IDNumber,2807)="","",INDEX(I.Facility.P1IDNumber,2807))</f>
        <v/>
      </c>
      <c r="G2819" s="51"/>
      <c r="H2819" s="46" t="str">
        <f>IF(AND(I.Developer.P1=TRUE,I.Facility.P1FacilityCount&gt;=2807,F2819=""),"Incomplete","Complete")</f>
        <v>Complete</v>
      </c>
      <c r="I2819" s="48" t="s">
        <v>7184</v>
      </c>
    </row>
    <row r="2820" spans="2:9" ht="15" customHeight="1" x14ac:dyDescent="0.25">
      <c r="B2820" s="55" t="s">
        <v>279</v>
      </c>
      <c r="C2820" s="46">
        <v>2808</v>
      </c>
      <c r="D2820" s="69" t="s">
        <v>29416</v>
      </c>
      <c r="E2820" s="51"/>
      <c r="F2820" s="114" t="str">
        <f>IF(INDEX(I.Facility.P1IDNumber,2808)="","",INDEX(I.Facility.P1IDNumber,2808))</f>
        <v/>
      </c>
      <c r="G2820" s="51"/>
      <c r="H2820" s="46" t="str">
        <f>IF(AND(I.Developer.P1=TRUE,I.Facility.P1FacilityCount&gt;=2808,F2820=""),"Incomplete","Complete")</f>
        <v>Complete</v>
      </c>
      <c r="I2820" s="48" t="s">
        <v>7185</v>
      </c>
    </row>
    <row r="2821" spans="2:9" ht="15" customHeight="1" x14ac:dyDescent="0.25">
      <c r="B2821" s="55" t="s">
        <v>279</v>
      </c>
      <c r="C2821" s="46">
        <v>2809</v>
      </c>
      <c r="D2821" s="69" t="s">
        <v>29416</v>
      </c>
      <c r="E2821" s="51"/>
      <c r="F2821" s="114" t="str">
        <f>IF(INDEX(I.Facility.P1IDNumber,2809)="","",INDEX(I.Facility.P1IDNumber,2809))</f>
        <v/>
      </c>
      <c r="G2821" s="51"/>
      <c r="H2821" s="46" t="str">
        <f>IF(AND(I.Developer.P1=TRUE,I.Facility.P1FacilityCount&gt;=2809,F2821=""),"Incomplete","Complete")</f>
        <v>Complete</v>
      </c>
      <c r="I2821" s="48" t="s">
        <v>7186</v>
      </c>
    </row>
    <row r="2822" spans="2:9" ht="15" customHeight="1" x14ac:dyDescent="0.25">
      <c r="B2822" s="55" t="s">
        <v>279</v>
      </c>
      <c r="C2822" s="46">
        <v>2810</v>
      </c>
      <c r="D2822" s="69" t="s">
        <v>29416</v>
      </c>
      <c r="E2822" s="51"/>
      <c r="F2822" s="114" t="str">
        <f>IF(INDEX(I.Facility.P1IDNumber,2810)="","",INDEX(I.Facility.P1IDNumber,2810))</f>
        <v/>
      </c>
      <c r="G2822" s="51"/>
      <c r="H2822" s="46" t="str">
        <f>IF(AND(I.Developer.P1=TRUE,I.Facility.P1FacilityCount&gt;=2810,F2822=""),"Incomplete","Complete")</f>
        <v>Complete</v>
      </c>
      <c r="I2822" s="48" t="s">
        <v>7187</v>
      </c>
    </row>
    <row r="2823" spans="2:9" ht="15" customHeight="1" x14ac:dyDescent="0.25">
      <c r="B2823" s="55" t="s">
        <v>279</v>
      </c>
      <c r="C2823" s="46">
        <v>2811</v>
      </c>
      <c r="D2823" s="69" t="s">
        <v>29416</v>
      </c>
      <c r="E2823" s="51"/>
      <c r="F2823" s="114" t="str">
        <f>IF(INDEX(I.Facility.P1IDNumber,2811)="","",INDEX(I.Facility.P1IDNumber,2811))</f>
        <v/>
      </c>
      <c r="G2823" s="51"/>
      <c r="H2823" s="46" t="str">
        <f>IF(AND(I.Developer.P1=TRUE,I.Facility.P1FacilityCount&gt;=2811,F2823=""),"Incomplete","Complete")</f>
        <v>Complete</v>
      </c>
      <c r="I2823" s="48" t="s">
        <v>7188</v>
      </c>
    </row>
    <row r="2824" spans="2:9" ht="15" customHeight="1" x14ac:dyDescent="0.25">
      <c r="B2824" s="55" t="s">
        <v>279</v>
      </c>
      <c r="C2824" s="46">
        <v>2812</v>
      </c>
      <c r="D2824" s="69" t="s">
        <v>29416</v>
      </c>
      <c r="E2824" s="51"/>
      <c r="F2824" s="114" t="str">
        <f>IF(INDEX(I.Facility.P1IDNumber,2812)="","",INDEX(I.Facility.P1IDNumber,2812))</f>
        <v/>
      </c>
      <c r="G2824" s="51"/>
      <c r="H2824" s="46" t="str">
        <f>IF(AND(I.Developer.P1=TRUE,I.Facility.P1FacilityCount&gt;=2812,F2824=""),"Incomplete","Complete")</f>
        <v>Complete</v>
      </c>
      <c r="I2824" s="48" t="s">
        <v>7189</v>
      </c>
    </row>
    <row r="2825" spans="2:9" ht="15" customHeight="1" x14ac:dyDescent="0.25">
      <c r="B2825" s="55" t="s">
        <v>279</v>
      </c>
      <c r="C2825" s="46">
        <v>2813</v>
      </c>
      <c r="D2825" s="69" t="s">
        <v>29416</v>
      </c>
      <c r="E2825" s="51"/>
      <c r="F2825" s="114" t="str">
        <f>IF(INDEX(I.Facility.P1IDNumber,2813)="","",INDEX(I.Facility.P1IDNumber,2813))</f>
        <v/>
      </c>
      <c r="G2825" s="51"/>
      <c r="H2825" s="46" t="str">
        <f>IF(AND(I.Developer.P1=TRUE,I.Facility.P1FacilityCount&gt;=2813,F2825=""),"Incomplete","Complete")</f>
        <v>Complete</v>
      </c>
      <c r="I2825" s="48" t="s">
        <v>7190</v>
      </c>
    </row>
    <row r="2826" spans="2:9" ht="15" customHeight="1" x14ac:dyDescent="0.25">
      <c r="B2826" s="55" t="s">
        <v>279</v>
      </c>
      <c r="C2826" s="46">
        <v>2814</v>
      </c>
      <c r="D2826" s="69" t="s">
        <v>29416</v>
      </c>
      <c r="E2826" s="51"/>
      <c r="F2826" s="114" t="str">
        <f>IF(INDEX(I.Facility.P1IDNumber,2814)="","",INDEX(I.Facility.P1IDNumber,2814))</f>
        <v/>
      </c>
      <c r="G2826" s="51"/>
      <c r="H2826" s="46" t="str">
        <f>IF(AND(I.Developer.P1=TRUE,I.Facility.P1FacilityCount&gt;=2814,F2826=""),"Incomplete","Complete")</f>
        <v>Complete</v>
      </c>
      <c r="I2826" s="48" t="s">
        <v>7191</v>
      </c>
    </row>
    <row r="2827" spans="2:9" ht="15" customHeight="1" x14ac:dyDescent="0.25">
      <c r="B2827" s="55" t="s">
        <v>279</v>
      </c>
      <c r="C2827" s="46">
        <v>2815</v>
      </c>
      <c r="D2827" s="69" t="s">
        <v>29416</v>
      </c>
      <c r="E2827" s="51"/>
      <c r="F2827" s="114" t="str">
        <f>IF(INDEX(I.Facility.P1IDNumber,2815)="","",INDEX(I.Facility.P1IDNumber,2815))</f>
        <v/>
      </c>
      <c r="G2827" s="51"/>
      <c r="H2827" s="46" t="str">
        <f>IF(AND(I.Developer.P1=TRUE,I.Facility.P1FacilityCount&gt;=2815,F2827=""),"Incomplete","Complete")</f>
        <v>Complete</v>
      </c>
      <c r="I2827" s="48" t="s">
        <v>7192</v>
      </c>
    </row>
    <row r="2828" spans="2:9" ht="15" customHeight="1" x14ac:dyDescent="0.25">
      <c r="B2828" s="55" t="s">
        <v>279</v>
      </c>
      <c r="C2828" s="46">
        <v>2816</v>
      </c>
      <c r="D2828" s="69" t="s">
        <v>29416</v>
      </c>
      <c r="E2828" s="51"/>
      <c r="F2828" s="114" t="str">
        <f>IF(INDEX(I.Facility.P1IDNumber,2816)="","",INDEX(I.Facility.P1IDNumber,2816))</f>
        <v/>
      </c>
      <c r="G2828" s="51"/>
      <c r="H2828" s="46" t="str">
        <f>IF(AND(I.Developer.P1=TRUE,I.Facility.P1FacilityCount&gt;=2816,F2828=""),"Incomplete","Complete")</f>
        <v>Complete</v>
      </c>
      <c r="I2828" s="48" t="s">
        <v>7193</v>
      </c>
    </row>
    <row r="2829" spans="2:9" ht="15" customHeight="1" x14ac:dyDescent="0.25">
      <c r="B2829" s="55" t="s">
        <v>279</v>
      </c>
      <c r="C2829" s="46">
        <v>2817</v>
      </c>
      <c r="D2829" s="69" t="s">
        <v>29416</v>
      </c>
      <c r="E2829" s="51"/>
      <c r="F2829" s="114" t="str">
        <f>IF(INDEX(I.Facility.P1IDNumber,2817)="","",INDEX(I.Facility.P1IDNumber,2817))</f>
        <v/>
      </c>
      <c r="G2829" s="51"/>
      <c r="H2829" s="46" t="str">
        <f>IF(AND(I.Developer.P1=TRUE,I.Facility.P1FacilityCount&gt;=2817,F2829=""),"Incomplete","Complete")</f>
        <v>Complete</v>
      </c>
      <c r="I2829" s="48" t="s">
        <v>7194</v>
      </c>
    </row>
    <row r="2830" spans="2:9" ht="15" customHeight="1" x14ac:dyDescent="0.25">
      <c r="B2830" s="55" t="s">
        <v>279</v>
      </c>
      <c r="C2830" s="46">
        <v>2818</v>
      </c>
      <c r="D2830" s="69" t="s">
        <v>29416</v>
      </c>
      <c r="E2830" s="51"/>
      <c r="F2830" s="114" t="str">
        <f>IF(INDEX(I.Facility.P1IDNumber,2818)="","",INDEX(I.Facility.P1IDNumber,2818))</f>
        <v/>
      </c>
      <c r="G2830" s="51"/>
      <c r="H2830" s="46" t="str">
        <f>IF(AND(I.Developer.P1=TRUE,I.Facility.P1FacilityCount&gt;=2818,F2830=""),"Incomplete","Complete")</f>
        <v>Complete</v>
      </c>
      <c r="I2830" s="48" t="s">
        <v>7195</v>
      </c>
    </row>
    <row r="2831" spans="2:9" ht="15" customHeight="1" x14ac:dyDescent="0.25">
      <c r="B2831" s="55" t="s">
        <v>279</v>
      </c>
      <c r="C2831" s="46">
        <v>2819</v>
      </c>
      <c r="D2831" s="69" t="s">
        <v>29416</v>
      </c>
      <c r="E2831" s="51"/>
      <c r="F2831" s="114" t="str">
        <f>IF(INDEX(I.Facility.P1IDNumber,2819)="","",INDEX(I.Facility.P1IDNumber,2819))</f>
        <v/>
      </c>
      <c r="G2831" s="51"/>
      <c r="H2831" s="46" t="str">
        <f>IF(AND(I.Developer.P1=TRUE,I.Facility.P1FacilityCount&gt;=2819,F2831=""),"Incomplete","Complete")</f>
        <v>Complete</v>
      </c>
      <c r="I2831" s="48" t="s">
        <v>7196</v>
      </c>
    </row>
    <row r="2832" spans="2:9" ht="15" customHeight="1" x14ac:dyDescent="0.25">
      <c r="B2832" s="55" t="s">
        <v>279</v>
      </c>
      <c r="C2832" s="46">
        <v>2820</v>
      </c>
      <c r="D2832" s="69" t="s">
        <v>29416</v>
      </c>
      <c r="E2832" s="51"/>
      <c r="F2832" s="114" t="str">
        <f>IF(INDEX(I.Facility.P1IDNumber,2820)="","",INDEX(I.Facility.P1IDNumber,2820))</f>
        <v/>
      </c>
      <c r="G2832" s="51"/>
      <c r="H2832" s="46" t="str">
        <f>IF(AND(I.Developer.P1=TRUE,I.Facility.P1FacilityCount&gt;=2820,F2832=""),"Incomplete","Complete")</f>
        <v>Complete</v>
      </c>
      <c r="I2832" s="48" t="s">
        <v>7197</v>
      </c>
    </row>
    <row r="2833" spans="2:9" ht="15" customHeight="1" x14ac:dyDescent="0.25">
      <c r="B2833" s="55" t="s">
        <v>279</v>
      </c>
      <c r="C2833" s="46">
        <v>2821</v>
      </c>
      <c r="D2833" s="69" t="s">
        <v>29416</v>
      </c>
      <c r="E2833" s="51"/>
      <c r="F2833" s="114" t="str">
        <f>IF(INDEX(I.Facility.P1IDNumber,2821)="","",INDEX(I.Facility.P1IDNumber,2821))</f>
        <v/>
      </c>
      <c r="G2833" s="51"/>
      <c r="H2833" s="46" t="str">
        <f>IF(AND(I.Developer.P1=TRUE,I.Facility.P1FacilityCount&gt;=2821,F2833=""),"Incomplete","Complete")</f>
        <v>Complete</v>
      </c>
      <c r="I2833" s="48" t="s">
        <v>7198</v>
      </c>
    </row>
    <row r="2834" spans="2:9" ht="15" customHeight="1" x14ac:dyDescent="0.25">
      <c r="B2834" s="55" t="s">
        <v>279</v>
      </c>
      <c r="C2834" s="46">
        <v>2822</v>
      </c>
      <c r="D2834" s="69" t="s">
        <v>29416</v>
      </c>
      <c r="E2834" s="51"/>
      <c r="F2834" s="114" t="str">
        <f>IF(INDEX(I.Facility.P1IDNumber,2822)="","",INDEX(I.Facility.P1IDNumber,2822))</f>
        <v/>
      </c>
      <c r="G2834" s="51"/>
      <c r="H2834" s="46" t="str">
        <f>IF(AND(I.Developer.P1=TRUE,I.Facility.P1FacilityCount&gt;=2822,F2834=""),"Incomplete","Complete")</f>
        <v>Complete</v>
      </c>
      <c r="I2834" s="48" t="s">
        <v>7199</v>
      </c>
    </row>
    <row r="2835" spans="2:9" ht="15" customHeight="1" x14ac:dyDescent="0.25">
      <c r="B2835" s="55" t="s">
        <v>279</v>
      </c>
      <c r="C2835" s="46">
        <v>2823</v>
      </c>
      <c r="D2835" s="69" t="s">
        <v>29416</v>
      </c>
      <c r="E2835" s="51"/>
      <c r="F2835" s="114" t="str">
        <f>IF(INDEX(I.Facility.P1IDNumber,2823)="","",INDEX(I.Facility.P1IDNumber,2823))</f>
        <v/>
      </c>
      <c r="G2835" s="51"/>
      <c r="H2835" s="46" t="str">
        <f>IF(AND(I.Developer.P1=TRUE,I.Facility.P1FacilityCount&gt;=2823,F2835=""),"Incomplete","Complete")</f>
        <v>Complete</v>
      </c>
      <c r="I2835" s="48" t="s">
        <v>7200</v>
      </c>
    </row>
    <row r="2836" spans="2:9" ht="15" customHeight="1" x14ac:dyDescent="0.25">
      <c r="B2836" s="55" t="s">
        <v>279</v>
      </c>
      <c r="C2836" s="46">
        <v>2824</v>
      </c>
      <c r="D2836" s="69" t="s">
        <v>29416</v>
      </c>
      <c r="E2836" s="51"/>
      <c r="F2836" s="114" t="str">
        <f>IF(INDEX(I.Facility.P1IDNumber,2824)="","",INDEX(I.Facility.P1IDNumber,2824))</f>
        <v/>
      </c>
      <c r="G2836" s="51"/>
      <c r="H2836" s="46" t="str">
        <f>IF(AND(I.Developer.P1=TRUE,I.Facility.P1FacilityCount&gt;=2824,F2836=""),"Incomplete","Complete")</f>
        <v>Complete</v>
      </c>
      <c r="I2836" s="48" t="s">
        <v>7201</v>
      </c>
    </row>
    <row r="2837" spans="2:9" ht="15" customHeight="1" x14ac:dyDescent="0.25">
      <c r="B2837" s="55" t="s">
        <v>279</v>
      </c>
      <c r="C2837" s="46">
        <v>2825</v>
      </c>
      <c r="D2837" s="69" t="s">
        <v>29416</v>
      </c>
      <c r="E2837" s="51"/>
      <c r="F2837" s="114" t="str">
        <f>IF(INDEX(I.Facility.P1IDNumber,2825)="","",INDEX(I.Facility.P1IDNumber,2825))</f>
        <v/>
      </c>
      <c r="G2837" s="51"/>
      <c r="H2837" s="46" t="str">
        <f>IF(AND(I.Developer.P1=TRUE,I.Facility.P1FacilityCount&gt;=2825,F2837=""),"Incomplete","Complete")</f>
        <v>Complete</v>
      </c>
      <c r="I2837" s="48" t="s">
        <v>7202</v>
      </c>
    </row>
    <row r="2838" spans="2:9" ht="15" customHeight="1" x14ac:dyDescent="0.25">
      <c r="B2838" s="55" t="s">
        <v>279</v>
      </c>
      <c r="C2838" s="46">
        <v>2826</v>
      </c>
      <c r="D2838" s="69" t="s">
        <v>29416</v>
      </c>
      <c r="E2838" s="51"/>
      <c r="F2838" s="114" t="str">
        <f>IF(INDEX(I.Facility.P1IDNumber,2826)="","",INDEX(I.Facility.P1IDNumber,2826))</f>
        <v/>
      </c>
      <c r="G2838" s="51"/>
      <c r="H2838" s="46" t="str">
        <f>IF(AND(I.Developer.P1=TRUE,I.Facility.P1FacilityCount&gt;=2826,F2838=""),"Incomplete","Complete")</f>
        <v>Complete</v>
      </c>
      <c r="I2838" s="48" t="s">
        <v>7203</v>
      </c>
    </row>
    <row r="2839" spans="2:9" ht="15" customHeight="1" x14ac:dyDescent="0.25">
      <c r="B2839" s="55" t="s">
        <v>279</v>
      </c>
      <c r="C2839" s="46">
        <v>2827</v>
      </c>
      <c r="D2839" s="69" t="s">
        <v>29416</v>
      </c>
      <c r="E2839" s="51"/>
      <c r="F2839" s="114" t="str">
        <f>IF(INDEX(I.Facility.P1IDNumber,2827)="","",INDEX(I.Facility.P1IDNumber,2827))</f>
        <v/>
      </c>
      <c r="G2839" s="51"/>
      <c r="H2839" s="46" t="str">
        <f>IF(AND(I.Developer.P1=TRUE,I.Facility.P1FacilityCount&gt;=2827,F2839=""),"Incomplete","Complete")</f>
        <v>Complete</v>
      </c>
      <c r="I2839" s="48" t="s">
        <v>7204</v>
      </c>
    </row>
    <row r="2840" spans="2:9" ht="15" customHeight="1" x14ac:dyDescent="0.25">
      <c r="B2840" s="55" t="s">
        <v>279</v>
      </c>
      <c r="C2840" s="46">
        <v>2828</v>
      </c>
      <c r="D2840" s="69" t="s">
        <v>29416</v>
      </c>
      <c r="E2840" s="51"/>
      <c r="F2840" s="114" t="str">
        <f>IF(INDEX(I.Facility.P1IDNumber,2828)="","",INDEX(I.Facility.P1IDNumber,2828))</f>
        <v/>
      </c>
      <c r="G2840" s="51"/>
      <c r="H2840" s="46" t="str">
        <f>IF(AND(I.Developer.P1=TRUE,I.Facility.P1FacilityCount&gt;=2828,F2840=""),"Incomplete","Complete")</f>
        <v>Complete</v>
      </c>
      <c r="I2840" s="48" t="s">
        <v>7205</v>
      </c>
    </row>
    <row r="2841" spans="2:9" ht="15" customHeight="1" x14ac:dyDescent="0.25">
      <c r="B2841" s="55" t="s">
        <v>279</v>
      </c>
      <c r="C2841" s="46">
        <v>2829</v>
      </c>
      <c r="D2841" s="69" t="s">
        <v>29416</v>
      </c>
      <c r="E2841" s="51"/>
      <c r="F2841" s="114" t="str">
        <f>IF(INDEX(I.Facility.P1IDNumber,2829)="","",INDEX(I.Facility.P1IDNumber,2829))</f>
        <v/>
      </c>
      <c r="G2841" s="51"/>
      <c r="H2841" s="46" t="str">
        <f>IF(AND(I.Developer.P1=TRUE,I.Facility.P1FacilityCount&gt;=2829,F2841=""),"Incomplete","Complete")</f>
        <v>Complete</v>
      </c>
      <c r="I2841" s="48" t="s">
        <v>7206</v>
      </c>
    </row>
    <row r="2842" spans="2:9" ht="15" customHeight="1" x14ac:dyDescent="0.25">
      <c r="B2842" s="55" t="s">
        <v>279</v>
      </c>
      <c r="C2842" s="46">
        <v>2830</v>
      </c>
      <c r="D2842" s="69" t="s">
        <v>29416</v>
      </c>
      <c r="E2842" s="51"/>
      <c r="F2842" s="114" t="str">
        <f>IF(INDEX(I.Facility.P1IDNumber,2830)="","",INDEX(I.Facility.P1IDNumber,2830))</f>
        <v/>
      </c>
      <c r="G2842" s="51"/>
      <c r="H2842" s="46" t="str">
        <f>IF(AND(I.Developer.P1=TRUE,I.Facility.P1FacilityCount&gt;=2830,F2842=""),"Incomplete","Complete")</f>
        <v>Complete</v>
      </c>
      <c r="I2842" s="48" t="s">
        <v>7207</v>
      </c>
    </row>
    <row r="2843" spans="2:9" ht="15" customHeight="1" x14ac:dyDescent="0.25">
      <c r="B2843" s="55" t="s">
        <v>279</v>
      </c>
      <c r="C2843" s="46">
        <v>2831</v>
      </c>
      <c r="D2843" s="69" t="s">
        <v>29416</v>
      </c>
      <c r="E2843" s="51"/>
      <c r="F2843" s="114" t="str">
        <f>IF(INDEX(I.Facility.P1IDNumber,2831)="","",INDEX(I.Facility.P1IDNumber,2831))</f>
        <v/>
      </c>
      <c r="G2843" s="51"/>
      <c r="H2843" s="46" t="str">
        <f>IF(AND(I.Developer.P1=TRUE,I.Facility.P1FacilityCount&gt;=2831,F2843=""),"Incomplete","Complete")</f>
        <v>Complete</v>
      </c>
      <c r="I2843" s="48" t="s">
        <v>7208</v>
      </c>
    </row>
    <row r="2844" spans="2:9" ht="15" customHeight="1" x14ac:dyDescent="0.25">
      <c r="B2844" s="55" t="s">
        <v>279</v>
      </c>
      <c r="C2844" s="46">
        <v>2832</v>
      </c>
      <c r="D2844" s="69" t="s">
        <v>29416</v>
      </c>
      <c r="E2844" s="51"/>
      <c r="F2844" s="114" t="str">
        <f>IF(INDEX(I.Facility.P1IDNumber,2832)="","",INDEX(I.Facility.P1IDNumber,2832))</f>
        <v/>
      </c>
      <c r="G2844" s="51"/>
      <c r="H2844" s="46" t="str">
        <f>IF(AND(I.Developer.P1=TRUE,I.Facility.P1FacilityCount&gt;=2832,F2844=""),"Incomplete","Complete")</f>
        <v>Complete</v>
      </c>
      <c r="I2844" s="48" t="s">
        <v>7209</v>
      </c>
    </row>
    <row r="2845" spans="2:9" ht="15" customHeight="1" x14ac:dyDescent="0.25">
      <c r="B2845" s="55" t="s">
        <v>279</v>
      </c>
      <c r="C2845" s="46">
        <v>2833</v>
      </c>
      <c r="D2845" s="69" t="s">
        <v>29416</v>
      </c>
      <c r="E2845" s="51"/>
      <c r="F2845" s="114" t="str">
        <f>IF(INDEX(I.Facility.P1IDNumber,2833)="","",INDEX(I.Facility.P1IDNumber,2833))</f>
        <v/>
      </c>
      <c r="G2845" s="51"/>
      <c r="H2845" s="46" t="str">
        <f>IF(AND(I.Developer.P1=TRUE,I.Facility.P1FacilityCount&gt;=2833,F2845=""),"Incomplete","Complete")</f>
        <v>Complete</v>
      </c>
      <c r="I2845" s="48" t="s">
        <v>7210</v>
      </c>
    </row>
    <row r="2846" spans="2:9" ht="15" customHeight="1" x14ac:dyDescent="0.25">
      <c r="B2846" s="55" t="s">
        <v>279</v>
      </c>
      <c r="C2846" s="46">
        <v>2834</v>
      </c>
      <c r="D2846" s="69" t="s">
        <v>29416</v>
      </c>
      <c r="E2846" s="51"/>
      <c r="F2846" s="114" t="str">
        <f>IF(INDEX(I.Facility.P1IDNumber,2834)="","",INDEX(I.Facility.P1IDNumber,2834))</f>
        <v/>
      </c>
      <c r="G2846" s="51"/>
      <c r="H2846" s="46" t="str">
        <f>IF(AND(I.Developer.P1=TRUE,I.Facility.P1FacilityCount&gt;=2834,F2846=""),"Incomplete","Complete")</f>
        <v>Complete</v>
      </c>
      <c r="I2846" s="48" t="s">
        <v>7211</v>
      </c>
    </row>
    <row r="2847" spans="2:9" ht="15" customHeight="1" x14ac:dyDescent="0.25">
      <c r="B2847" s="55" t="s">
        <v>279</v>
      </c>
      <c r="C2847" s="46">
        <v>2835</v>
      </c>
      <c r="D2847" s="69" t="s">
        <v>29416</v>
      </c>
      <c r="E2847" s="51"/>
      <c r="F2847" s="114" t="str">
        <f>IF(INDEX(I.Facility.P1IDNumber,2835)="","",INDEX(I.Facility.P1IDNumber,2835))</f>
        <v/>
      </c>
      <c r="G2847" s="51"/>
      <c r="H2847" s="46" t="str">
        <f>IF(AND(I.Developer.P1=TRUE,I.Facility.P1FacilityCount&gt;=2835,F2847=""),"Incomplete","Complete")</f>
        <v>Complete</v>
      </c>
      <c r="I2847" s="48" t="s">
        <v>7212</v>
      </c>
    </row>
    <row r="2848" spans="2:9" ht="15" customHeight="1" x14ac:dyDescent="0.25">
      <c r="B2848" s="55" t="s">
        <v>279</v>
      </c>
      <c r="C2848" s="46">
        <v>2836</v>
      </c>
      <c r="D2848" s="69" t="s">
        <v>29416</v>
      </c>
      <c r="E2848" s="51"/>
      <c r="F2848" s="114" t="str">
        <f>IF(INDEX(I.Facility.P1IDNumber,2836)="","",INDEX(I.Facility.P1IDNumber,2836))</f>
        <v/>
      </c>
      <c r="G2848" s="51"/>
      <c r="H2848" s="46" t="str">
        <f>IF(AND(I.Developer.P1=TRUE,I.Facility.P1FacilityCount&gt;=2836,F2848=""),"Incomplete","Complete")</f>
        <v>Complete</v>
      </c>
      <c r="I2848" s="48" t="s">
        <v>7213</v>
      </c>
    </row>
    <row r="2849" spans="2:9" ht="15" customHeight="1" x14ac:dyDescent="0.25">
      <c r="B2849" s="55" t="s">
        <v>279</v>
      </c>
      <c r="C2849" s="46">
        <v>2837</v>
      </c>
      <c r="D2849" s="69" t="s">
        <v>29416</v>
      </c>
      <c r="E2849" s="51"/>
      <c r="F2849" s="114" t="str">
        <f>IF(INDEX(I.Facility.P1IDNumber,2837)="","",INDEX(I.Facility.P1IDNumber,2837))</f>
        <v/>
      </c>
      <c r="G2849" s="51"/>
      <c r="H2849" s="46" t="str">
        <f>IF(AND(I.Developer.P1=TRUE,I.Facility.P1FacilityCount&gt;=2837,F2849=""),"Incomplete","Complete")</f>
        <v>Complete</v>
      </c>
      <c r="I2849" s="48" t="s">
        <v>7214</v>
      </c>
    </row>
    <row r="2850" spans="2:9" ht="15" customHeight="1" x14ac:dyDescent="0.25">
      <c r="B2850" s="55" t="s">
        <v>279</v>
      </c>
      <c r="C2850" s="46">
        <v>2838</v>
      </c>
      <c r="D2850" s="69" t="s">
        <v>29416</v>
      </c>
      <c r="E2850" s="51"/>
      <c r="F2850" s="114" t="str">
        <f>IF(INDEX(I.Facility.P1IDNumber,2838)="","",INDEX(I.Facility.P1IDNumber,2838))</f>
        <v/>
      </c>
      <c r="G2850" s="51"/>
      <c r="H2850" s="46" t="str">
        <f>IF(AND(I.Developer.P1=TRUE,I.Facility.P1FacilityCount&gt;=2838,F2850=""),"Incomplete","Complete")</f>
        <v>Complete</v>
      </c>
      <c r="I2850" s="48" t="s">
        <v>7215</v>
      </c>
    </row>
    <row r="2851" spans="2:9" ht="15" customHeight="1" x14ac:dyDescent="0.25">
      <c r="B2851" s="55" t="s">
        <v>279</v>
      </c>
      <c r="C2851" s="46">
        <v>2839</v>
      </c>
      <c r="D2851" s="69" t="s">
        <v>29416</v>
      </c>
      <c r="E2851" s="51"/>
      <c r="F2851" s="114" t="str">
        <f>IF(INDEX(I.Facility.P1IDNumber,2839)="","",INDEX(I.Facility.P1IDNumber,2839))</f>
        <v/>
      </c>
      <c r="G2851" s="51"/>
      <c r="H2851" s="46" t="str">
        <f>IF(AND(I.Developer.P1=TRUE,I.Facility.P1FacilityCount&gt;=2839,F2851=""),"Incomplete","Complete")</f>
        <v>Complete</v>
      </c>
      <c r="I2851" s="48" t="s">
        <v>7216</v>
      </c>
    </row>
    <row r="2852" spans="2:9" ht="15" customHeight="1" x14ac:dyDescent="0.25">
      <c r="B2852" s="55" t="s">
        <v>279</v>
      </c>
      <c r="C2852" s="46">
        <v>2840</v>
      </c>
      <c r="D2852" s="69" t="s">
        <v>29416</v>
      </c>
      <c r="E2852" s="51"/>
      <c r="F2852" s="114" t="str">
        <f>IF(INDEX(I.Facility.P1IDNumber,2840)="","",INDEX(I.Facility.P1IDNumber,2840))</f>
        <v/>
      </c>
      <c r="G2852" s="51"/>
      <c r="H2852" s="46" t="str">
        <f>IF(AND(I.Developer.P1=TRUE,I.Facility.P1FacilityCount&gt;=2840,F2852=""),"Incomplete","Complete")</f>
        <v>Complete</v>
      </c>
      <c r="I2852" s="48" t="s">
        <v>7217</v>
      </c>
    </row>
    <row r="2853" spans="2:9" ht="15" customHeight="1" x14ac:dyDescent="0.25">
      <c r="B2853" s="55" t="s">
        <v>279</v>
      </c>
      <c r="C2853" s="46">
        <v>2841</v>
      </c>
      <c r="D2853" s="69" t="s">
        <v>29416</v>
      </c>
      <c r="E2853" s="51"/>
      <c r="F2853" s="114" t="str">
        <f>IF(INDEX(I.Facility.P1IDNumber,2841)="","",INDEX(I.Facility.P1IDNumber,2841))</f>
        <v/>
      </c>
      <c r="G2853" s="51"/>
      <c r="H2853" s="46" t="str">
        <f>IF(AND(I.Developer.P1=TRUE,I.Facility.P1FacilityCount&gt;=2841,F2853=""),"Incomplete","Complete")</f>
        <v>Complete</v>
      </c>
      <c r="I2853" s="48" t="s">
        <v>7218</v>
      </c>
    </row>
    <row r="2854" spans="2:9" ht="15" customHeight="1" x14ac:dyDescent="0.25">
      <c r="B2854" s="55" t="s">
        <v>279</v>
      </c>
      <c r="C2854" s="46">
        <v>2842</v>
      </c>
      <c r="D2854" s="69" t="s">
        <v>29416</v>
      </c>
      <c r="E2854" s="51"/>
      <c r="F2854" s="114" t="str">
        <f>IF(INDEX(I.Facility.P1IDNumber,2842)="","",INDEX(I.Facility.P1IDNumber,2842))</f>
        <v/>
      </c>
      <c r="G2854" s="51"/>
      <c r="H2854" s="46" t="str">
        <f>IF(AND(I.Developer.P1=TRUE,I.Facility.P1FacilityCount&gt;=2842,F2854=""),"Incomplete","Complete")</f>
        <v>Complete</v>
      </c>
      <c r="I2854" s="48" t="s">
        <v>7219</v>
      </c>
    </row>
    <row r="2855" spans="2:9" ht="15" customHeight="1" x14ac:dyDescent="0.25">
      <c r="B2855" s="55" t="s">
        <v>279</v>
      </c>
      <c r="C2855" s="46">
        <v>2843</v>
      </c>
      <c r="D2855" s="69" t="s">
        <v>29416</v>
      </c>
      <c r="E2855" s="51"/>
      <c r="F2855" s="114" t="str">
        <f>IF(INDEX(I.Facility.P1IDNumber,2843)="","",INDEX(I.Facility.P1IDNumber,2843))</f>
        <v/>
      </c>
      <c r="G2855" s="51"/>
      <c r="H2855" s="46" t="str">
        <f>IF(AND(I.Developer.P1=TRUE,I.Facility.P1FacilityCount&gt;=2843,F2855=""),"Incomplete","Complete")</f>
        <v>Complete</v>
      </c>
      <c r="I2855" s="48" t="s">
        <v>7220</v>
      </c>
    </row>
    <row r="2856" spans="2:9" ht="15" customHeight="1" x14ac:dyDescent="0.25">
      <c r="B2856" s="55" t="s">
        <v>279</v>
      </c>
      <c r="C2856" s="46">
        <v>2844</v>
      </c>
      <c r="D2856" s="69" t="s">
        <v>29416</v>
      </c>
      <c r="E2856" s="51"/>
      <c r="F2856" s="114" t="str">
        <f>IF(INDEX(I.Facility.P1IDNumber,2844)="","",INDEX(I.Facility.P1IDNumber,2844))</f>
        <v/>
      </c>
      <c r="G2856" s="51"/>
      <c r="H2856" s="46" t="str">
        <f>IF(AND(I.Developer.P1=TRUE,I.Facility.P1FacilityCount&gt;=2844,F2856=""),"Incomplete","Complete")</f>
        <v>Complete</v>
      </c>
      <c r="I2856" s="48" t="s">
        <v>7221</v>
      </c>
    </row>
    <row r="2857" spans="2:9" ht="15" customHeight="1" x14ac:dyDescent="0.25">
      <c r="B2857" s="55" t="s">
        <v>279</v>
      </c>
      <c r="C2857" s="46">
        <v>2845</v>
      </c>
      <c r="D2857" s="69" t="s">
        <v>29416</v>
      </c>
      <c r="E2857" s="51"/>
      <c r="F2857" s="114" t="str">
        <f>IF(INDEX(I.Facility.P1IDNumber,2845)="","",INDEX(I.Facility.P1IDNumber,2845))</f>
        <v/>
      </c>
      <c r="G2857" s="51"/>
      <c r="H2857" s="46" t="str">
        <f>IF(AND(I.Developer.P1=TRUE,I.Facility.P1FacilityCount&gt;=2845,F2857=""),"Incomplete","Complete")</f>
        <v>Complete</v>
      </c>
      <c r="I2857" s="48" t="s">
        <v>7222</v>
      </c>
    </row>
    <row r="2858" spans="2:9" ht="15" customHeight="1" x14ac:dyDescent="0.25">
      <c r="B2858" s="55" t="s">
        <v>279</v>
      </c>
      <c r="C2858" s="46">
        <v>2846</v>
      </c>
      <c r="D2858" s="69" t="s">
        <v>29416</v>
      </c>
      <c r="E2858" s="51"/>
      <c r="F2858" s="114" t="str">
        <f>IF(INDEX(I.Facility.P1IDNumber,2846)="","",INDEX(I.Facility.P1IDNumber,2846))</f>
        <v/>
      </c>
      <c r="G2858" s="51"/>
      <c r="H2858" s="46" t="str">
        <f>IF(AND(I.Developer.P1=TRUE,I.Facility.P1FacilityCount&gt;=2846,F2858=""),"Incomplete","Complete")</f>
        <v>Complete</v>
      </c>
      <c r="I2858" s="48" t="s">
        <v>7223</v>
      </c>
    </row>
    <row r="2859" spans="2:9" ht="15" customHeight="1" x14ac:dyDescent="0.25">
      <c r="B2859" s="55" t="s">
        <v>279</v>
      </c>
      <c r="C2859" s="46">
        <v>2847</v>
      </c>
      <c r="D2859" s="69" t="s">
        <v>29416</v>
      </c>
      <c r="E2859" s="51"/>
      <c r="F2859" s="114" t="str">
        <f>IF(INDEX(I.Facility.P1IDNumber,2847)="","",INDEX(I.Facility.P1IDNumber,2847))</f>
        <v/>
      </c>
      <c r="G2859" s="51"/>
      <c r="H2859" s="46" t="str">
        <f>IF(AND(I.Developer.P1=TRUE,I.Facility.P1FacilityCount&gt;=2847,F2859=""),"Incomplete","Complete")</f>
        <v>Complete</v>
      </c>
      <c r="I2859" s="48" t="s">
        <v>7224</v>
      </c>
    </row>
    <row r="2860" spans="2:9" ht="15" customHeight="1" x14ac:dyDescent="0.25">
      <c r="B2860" s="55" t="s">
        <v>279</v>
      </c>
      <c r="C2860" s="46">
        <v>2848</v>
      </c>
      <c r="D2860" s="69" t="s">
        <v>29416</v>
      </c>
      <c r="E2860" s="51"/>
      <c r="F2860" s="114" t="str">
        <f>IF(INDEX(I.Facility.P1IDNumber,2848)="","",INDEX(I.Facility.P1IDNumber,2848))</f>
        <v/>
      </c>
      <c r="G2860" s="51"/>
      <c r="H2860" s="46" t="str">
        <f>IF(AND(I.Developer.P1=TRUE,I.Facility.P1FacilityCount&gt;=2848,F2860=""),"Incomplete","Complete")</f>
        <v>Complete</v>
      </c>
      <c r="I2860" s="48" t="s">
        <v>7225</v>
      </c>
    </row>
    <row r="2861" spans="2:9" ht="15" customHeight="1" x14ac:dyDescent="0.25">
      <c r="B2861" s="55" t="s">
        <v>279</v>
      </c>
      <c r="C2861" s="46">
        <v>2849</v>
      </c>
      <c r="D2861" s="69" t="s">
        <v>29416</v>
      </c>
      <c r="E2861" s="51"/>
      <c r="F2861" s="114" t="str">
        <f>IF(INDEX(I.Facility.P1IDNumber,2849)="","",INDEX(I.Facility.P1IDNumber,2849))</f>
        <v/>
      </c>
      <c r="G2861" s="51"/>
      <c r="H2861" s="46" t="str">
        <f>IF(AND(I.Developer.P1=TRUE,I.Facility.P1FacilityCount&gt;=2849,F2861=""),"Incomplete","Complete")</f>
        <v>Complete</v>
      </c>
      <c r="I2861" s="48" t="s">
        <v>7226</v>
      </c>
    </row>
    <row r="2862" spans="2:9" ht="15" customHeight="1" x14ac:dyDescent="0.25">
      <c r="B2862" s="55" t="s">
        <v>279</v>
      </c>
      <c r="C2862" s="46">
        <v>2850</v>
      </c>
      <c r="D2862" s="69" t="s">
        <v>29416</v>
      </c>
      <c r="E2862" s="51"/>
      <c r="F2862" s="114" t="str">
        <f>IF(INDEX(I.Facility.P1IDNumber,2850)="","",INDEX(I.Facility.P1IDNumber,2850))</f>
        <v/>
      </c>
      <c r="G2862" s="51"/>
      <c r="H2862" s="46" t="str">
        <f>IF(AND(I.Developer.P1=TRUE,I.Facility.P1FacilityCount&gt;=2850,F2862=""),"Incomplete","Complete")</f>
        <v>Complete</v>
      </c>
      <c r="I2862" s="48" t="s">
        <v>7227</v>
      </c>
    </row>
    <row r="2863" spans="2:9" ht="15" customHeight="1" x14ac:dyDescent="0.25">
      <c r="B2863" s="55" t="s">
        <v>279</v>
      </c>
      <c r="C2863" s="46">
        <v>2851</v>
      </c>
      <c r="D2863" s="69" t="s">
        <v>29416</v>
      </c>
      <c r="E2863" s="51"/>
      <c r="F2863" s="114" t="str">
        <f>IF(INDEX(I.Facility.P1IDNumber,2851)="","",INDEX(I.Facility.P1IDNumber,2851))</f>
        <v/>
      </c>
      <c r="G2863" s="51"/>
      <c r="H2863" s="46" t="str">
        <f>IF(AND(I.Developer.P1=TRUE,I.Facility.P1FacilityCount&gt;=2851,F2863=""),"Incomplete","Complete")</f>
        <v>Complete</v>
      </c>
      <c r="I2863" s="48" t="s">
        <v>7228</v>
      </c>
    </row>
    <row r="2864" spans="2:9" ht="15" customHeight="1" x14ac:dyDescent="0.25">
      <c r="B2864" s="55" t="s">
        <v>279</v>
      </c>
      <c r="C2864" s="46">
        <v>2852</v>
      </c>
      <c r="D2864" s="69" t="s">
        <v>29416</v>
      </c>
      <c r="E2864" s="51"/>
      <c r="F2864" s="114" t="str">
        <f>IF(INDEX(I.Facility.P1IDNumber,2852)="","",INDEX(I.Facility.P1IDNumber,2852))</f>
        <v/>
      </c>
      <c r="G2864" s="51"/>
      <c r="H2864" s="46" t="str">
        <f>IF(AND(I.Developer.P1=TRUE,I.Facility.P1FacilityCount&gt;=2852,F2864=""),"Incomplete","Complete")</f>
        <v>Complete</v>
      </c>
      <c r="I2864" s="48" t="s">
        <v>7229</v>
      </c>
    </row>
    <row r="2865" spans="2:9" ht="15" customHeight="1" x14ac:dyDescent="0.25">
      <c r="B2865" s="55" t="s">
        <v>279</v>
      </c>
      <c r="C2865" s="46">
        <v>2853</v>
      </c>
      <c r="D2865" s="69" t="s">
        <v>29416</v>
      </c>
      <c r="E2865" s="51"/>
      <c r="F2865" s="114" t="str">
        <f>IF(INDEX(I.Facility.P1IDNumber,2853)="","",INDEX(I.Facility.P1IDNumber,2853))</f>
        <v/>
      </c>
      <c r="G2865" s="51"/>
      <c r="H2865" s="46" t="str">
        <f>IF(AND(I.Developer.P1=TRUE,I.Facility.P1FacilityCount&gt;=2853,F2865=""),"Incomplete","Complete")</f>
        <v>Complete</v>
      </c>
      <c r="I2865" s="48" t="s">
        <v>7230</v>
      </c>
    </row>
    <row r="2866" spans="2:9" ht="15" customHeight="1" x14ac:dyDescent="0.25">
      <c r="B2866" s="55" t="s">
        <v>279</v>
      </c>
      <c r="C2866" s="46">
        <v>2854</v>
      </c>
      <c r="D2866" s="69" t="s">
        <v>29416</v>
      </c>
      <c r="E2866" s="51"/>
      <c r="F2866" s="114" t="str">
        <f>IF(INDEX(I.Facility.P1IDNumber,2854)="","",INDEX(I.Facility.P1IDNumber,2854))</f>
        <v/>
      </c>
      <c r="G2866" s="51"/>
      <c r="H2866" s="46" t="str">
        <f>IF(AND(I.Developer.P1=TRUE,I.Facility.P1FacilityCount&gt;=2854,F2866=""),"Incomplete","Complete")</f>
        <v>Complete</v>
      </c>
      <c r="I2866" s="48" t="s">
        <v>7231</v>
      </c>
    </row>
    <row r="2867" spans="2:9" ht="15" customHeight="1" x14ac:dyDescent="0.25">
      <c r="B2867" s="55" t="s">
        <v>279</v>
      </c>
      <c r="C2867" s="46">
        <v>2855</v>
      </c>
      <c r="D2867" s="69" t="s">
        <v>29416</v>
      </c>
      <c r="E2867" s="51"/>
      <c r="F2867" s="114" t="str">
        <f>IF(INDEX(I.Facility.P1IDNumber,2855)="","",INDEX(I.Facility.P1IDNumber,2855))</f>
        <v/>
      </c>
      <c r="G2867" s="51"/>
      <c r="H2867" s="46" t="str">
        <f>IF(AND(I.Developer.P1=TRUE,I.Facility.P1FacilityCount&gt;=2855,F2867=""),"Incomplete","Complete")</f>
        <v>Complete</v>
      </c>
      <c r="I2867" s="48" t="s">
        <v>7232</v>
      </c>
    </row>
    <row r="2868" spans="2:9" ht="15" customHeight="1" x14ac:dyDescent="0.25">
      <c r="B2868" s="55" t="s">
        <v>279</v>
      </c>
      <c r="C2868" s="46">
        <v>2856</v>
      </c>
      <c r="D2868" s="69" t="s">
        <v>29416</v>
      </c>
      <c r="E2868" s="51"/>
      <c r="F2868" s="114" t="str">
        <f>IF(INDEX(I.Facility.P1IDNumber,2856)="","",INDEX(I.Facility.P1IDNumber,2856))</f>
        <v/>
      </c>
      <c r="G2868" s="51"/>
      <c r="H2868" s="46" t="str">
        <f>IF(AND(I.Developer.P1=TRUE,I.Facility.P1FacilityCount&gt;=2856,F2868=""),"Incomplete","Complete")</f>
        <v>Complete</v>
      </c>
      <c r="I2868" s="48" t="s">
        <v>7233</v>
      </c>
    </row>
    <row r="2869" spans="2:9" ht="15" customHeight="1" x14ac:dyDescent="0.25">
      <c r="B2869" s="55" t="s">
        <v>279</v>
      </c>
      <c r="C2869" s="46">
        <v>2857</v>
      </c>
      <c r="D2869" s="69" t="s">
        <v>29416</v>
      </c>
      <c r="E2869" s="51"/>
      <c r="F2869" s="114" t="str">
        <f>IF(INDEX(I.Facility.P1IDNumber,2857)="","",INDEX(I.Facility.P1IDNumber,2857))</f>
        <v/>
      </c>
      <c r="G2869" s="51"/>
      <c r="H2869" s="46" t="str">
        <f>IF(AND(I.Developer.P1=TRUE,I.Facility.P1FacilityCount&gt;=2857,F2869=""),"Incomplete","Complete")</f>
        <v>Complete</v>
      </c>
      <c r="I2869" s="48" t="s">
        <v>7234</v>
      </c>
    </row>
    <row r="2870" spans="2:9" ht="15" customHeight="1" x14ac:dyDescent="0.25">
      <c r="B2870" s="55" t="s">
        <v>279</v>
      </c>
      <c r="C2870" s="46">
        <v>2858</v>
      </c>
      <c r="D2870" s="69" t="s">
        <v>29416</v>
      </c>
      <c r="E2870" s="51"/>
      <c r="F2870" s="114" t="str">
        <f>IF(INDEX(I.Facility.P1IDNumber,2858)="","",INDEX(I.Facility.P1IDNumber,2858))</f>
        <v/>
      </c>
      <c r="G2870" s="51"/>
      <c r="H2870" s="46" t="str">
        <f>IF(AND(I.Developer.P1=TRUE,I.Facility.P1FacilityCount&gt;=2858,F2870=""),"Incomplete","Complete")</f>
        <v>Complete</v>
      </c>
      <c r="I2870" s="48" t="s">
        <v>7235</v>
      </c>
    </row>
    <row r="2871" spans="2:9" ht="15" customHeight="1" x14ac:dyDescent="0.25">
      <c r="B2871" s="55" t="s">
        <v>279</v>
      </c>
      <c r="C2871" s="46">
        <v>2859</v>
      </c>
      <c r="D2871" s="69" t="s">
        <v>29416</v>
      </c>
      <c r="E2871" s="51"/>
      <c r="F2871" s="114" t="str">
        <f>IF(INDEX(I.Facility.P1IDNumber,2859)="","",INDEX(I.Facility.P1IDNumber,2859))</f>
        <v/>
      </c>
      <c r="G2871" s="51"/>
      <c r="H2871" s="46" t="str">
        <f>IF(AND(I.Developer.P1=TRUE,I.Facility.P1FacilityCount&gt;=2859,F2871=""),"Incomplete","Complete")</f>
        <v>Complete</v>
      </c>
      <c r="I2871" s="48" t="s">
        <v>7236</v>
      </c>
    </row>
    <row r="2872" spans="2:9" ht="15" customHeight="1" x14ac:dyDescent="0.25">
      <c r="B2872" s="55" t="s">
        <v>279</v>
      </c>
      <c r="C2872" s="46">
        <v>2860</v>
      </c>
      <c r="D2872" s="69" t="s">
        <v>29416</v>
      </c>
      <c r="E2872" s="51"/>
      <c r="F2872" s="114" t="str">
        <f>IF(INDEX(I.Facility.P1IDNumber,2860)="","",INDEX(I.Facility.P1IDNumber,2860))</f>
        <v/>
      </c>
      <c r="G2872" s="51"/>
      <c r="H2872" s="46" t="str">
        <f>IF(AND(I.Developer.P1=TRUE,I.Facility.P1FacilityCount&gt;=2860,F2872=""),"Incomplete","Complete")</f>
        <v>Complete</v>
      </c>
      <c r="I2872" s="48" t="s">
        <v>7237</v>
      </c>
    </row>
    <row r="2873" spans="2:9" ht="15" customHeight="1" x14ac:dyDescent="0.25">
      <c r="B2873" s="55" t="s">
        <v>279</v>
      </c>
      <c r="C2873" s="46">
        <v>2861</v>
      </c>
      <c r="D2873" s="69" t="s">
        <v>29416</v>
      </c>
      <c r="E2873" s="51"/>
      <c r="F2873" s="114" t="str">
        <f>IF(INDEX(I.Facility.P1IDNumber,2861)="","",INDEX(I.Facility.P1IDNumber,2861))</f>
        <v/>
      </c>
      <c r="G2873" s="51"/>
      <c r="H2873" s="46" t="str">
        <f>IF(AND(I.Developer.P1=TRUE,I.Facility.P1FacilityCount&gt;=2861,F2873=""),"Incomplete","Complete")</f>
        <v>Complete</v>
      </c>
      <c r="I2873" s="48" t="s">
        <v>7238</v>
      </c>
    </row>
    <row r="2874" spans="2:9" ht="15" customHeight="1" x14ac:dyDescent="0.25">
      <c r="B2874" s="55" t="s">
        <v>279</v>
      </c>
      <c r="C2874" s="46">
        <v>2862</v>
      </c>
      <c r="D2874" s="69" t="s">
        <v>29416</v>
      </c>
      <c r="E2874" s="51"/>
      <c r="F2874" s="114" t="str">
        <f>IF(INDEX(I.Facility.P1IDNumber,2862)="","",INDEX(I.Facility.P1IDNumber,2862))</f>
        <v/>
      </c>
      <c r="G2874" s="51"/>
      <c r="H2874" s="46" t="str">
        <f>IF(AND(I.Developer.P1=TRUE,I.Facility.P1FacilityCount&gt;=2862,F2874=""),"Incomplete","Complete")</f>
        <v>Complete</v>
      </c>
      <c r="I2874" s="48" t="s">
        <v>7239</v>
      </c>
    </row>
    <row r="2875" spans="2:9" ht="15" customHeight="1" x14ac:dyDescent="0.25">
      <c r="B2875" s="55" t="s">
        <v>279</v>
      </c>
      <c r="C2875" s="46">
        <v>2863</v>
      </c>
      <c r="D2875" s="69" t="s">
        <v>29416</v>
      </c>
      <c r="E2875" s="51"/>
      <c r="F2875" s="114" t="str">
        <f>IF(INDEX(I.Facility.P1IDNumber,2863)="","",INDEX(I.Facility.P1IDNumber,2863))</f>
        <v/>
      </c>
      <c r="G2875" s="51"/>
      <c r="H2875" s="46" t="str">
        <f>IF(AND(I.Developer.P1=TRUE,I.Facility.P1FacilityCount&gt;=2863,F2875=""),"Incomplete","Complete")</f>
        <v>Complete</v>
      </c>
      <c r="I2875" s="48" t="s">
        <v>7240</v>
      </c>
    </row>
    <row r="2876" spans="2:9" ht="15" customHeight="1" x14ac:dyDescent="0.25">
      <c r="B2876" s="55" t="s">
        <v>279</v>
      </c>
      <c r="C2876" s="46">
        <v>2864</v>
      </c>
      <c r="D2876" s="69" t="s">
        <v>29416</v>
      </c>
      <c r="E2876" s="51"/>
      <c r="F2876" s="114" t="str">
        <f>IF(INDEX(I.Facility.P1IDNumber,2864)="","",INDEX(I.Facility.P1IDNumber,2864))</f>
        <v/>
      </c>
      <c r="G2876" s="51"/>
      <c r="H2876" s="46" t="str">
        <f>IF(AND(I.Developer.P1=TRUE,I.Facility.P1FacilityCount&gt;=2864,F2876=""),"Incomplete","Complete")</f>
        <v>Complete</v>
      </c>
      <c r="I2876" s="48" t="s">
        <v>7241</v>
      </c>
    </row>
    <row r="2877" spans="2:9" ht="15" customHeight="1" x14ac:dyDescent="0.25">
      <c r="B2877" s="55" t="s">
        <v>279</v>
      </c>
      <c r="C2877" s="46">
        <v>2865</v>
      </c>
      <c r="D2877" s="69" t="s">
        <v>29416</v>
      </c>
      <c r="E2877" s="51"/>
      <c r="F2877" s="114" t="str">
        <f>IF(INDEX(I.Facility.P1IDNumber,2865)="","",INDEX(I.Facility.P1IDNumber,2865))</f>
        <v/>
      </c>
      <c r="G2877" s="51"/>
      <c r="H2877" s="46" t="str">
        <f>IF(AND(I.Developer.P1=TRUE,I.Facility.P1FacilityCount&gt;=2865,F2877=""),"Incomplete","Complete")</f>
        <v>Complete</v>
      </c>
      <c r="I2877" s="48" t="s">
        <v>7242</v>
      </c>
    </row>
    <row r="2878" spans="2:9" ht="15" customHeight="1" x14ac:dyDescent="0.25">
      <c r="B2878" s="55" t="s">
        <v>279</v>
      </c>
      <c r="C2878" s="46">
        <v>2866</v>
      </c>
      <c r="D2878" s="69" t="s">
        <v>29416</v>
      </c>
      <c r="E2878" s="51"/>
      <c r="F2878" s="114" t="str">
        <f>IF(INDEX(I.Facility.P1IDNumber,2866)="","",INDEX(I.Facility.P1IDNumber,2866))</f>
        <v/>
      </c>
      <c r="G2878" s="51"/>
      <c r="H2878" s="46" t="str">
        <f>IF(AND(I.Developer.P1=TRUE,I.Facility.P1FacilityCount&gt;=2866,F2878=""),"Incomplete","Complete")</f>
        <v>Complete</v>
      </c>
      <c r="I2878" s="48" t="s">
        <v>7243</v>
      </c>
    </row>
    <row r="2879" spans="2:9" ht="15" customHeight="1" x14ac:dyDescent="0.25">
      <c r="B2879" s="55" t="s">
        <v>279</v>
      </c>
      <c r="C2879" s="46">
        <v>2867</v>
      </c>
      <c r="D2879" s="69" t="s">
        <v>29416</v>
      </c>
      <c r="E2879" s="51"/>
      <c r="F2879" s="114" t="str">
        <f>IF(INDEX(I.Facility.P1IDNumber,2867)="","",INDEX(I.Facility.P1IDNumber,2867))</f>
        <v/>
      </c>
      <c r="G2879" s="51"/>
      <c r="H2879" s="46" t="str">
        <f>IF(AND(I.Developer.P1=TRUE,I.Facility.P1FacilityCount&gt;=2867,F2879=""),"Incomplete","Complete")</f>
        <v>Complete</v>
      </c>
      <c r="I2879" s="48" t="s">
        <v>7244</v>
      </c>
    </row>
    <row r="2880" spans="2:9" ht="15" customHeight="1" x14ac:dyDescent="0.25">
      <c r="B2880" s="55" t="s">
        <v>279</v>
      </c>
      <c r="C2880" s="46">
        <v>2868</v>
      </c>
      <c r="D2880" s="69" t="s">
        <v>29416</v>
      </c>
      <c r="E2880" s="51"/>
      <c r="F2880" s="114" t="str">
        <f>IF(INDEX(I.Facility.P1IDNumber,2868)="","",INDEX(I.Facility.P1IDNumber,2868))</f>
        <v/>
      </c>
      <c r="G2880" s="51"/>
      <c r="H2880" s="46" t="str">
        <f>IF(AND(I.Developer.P1=TRUE,I.Facility.P1FacilityCount&gt;=2868,F2880=""),"Incomplete","Complete")</f>
        <v>Complete</v>
      </c>
      <c r="I2880" s="48" t="s">
        <v>7245</v>
      </c>
    </row>
    <row r="2881" spans="2:9" ht="15" customHeight="1" x14ac:dyDescent="0.25">
      <c r="B2881" s="55" t="s">
        <v>279</v>
      </c>
      <c r="C2881" s="46">
        <v>2869</v>
      </c>
      <c r="D2881" s="69" t="s">
        <v>29416</v>
      </c>
      <c r="E2881" s="51"/>
      <c r="F2881" s="114" t="str">
        <f>IF(INDEX(I.Facility.P1IDNumber,2869)="","",INDEX(I.Facility.P1IDNumber,2869))</f>
        <v/>
      </c>
      <c r="G2881" s="51"/>
      <c r="H2881" s="46" t="str">
        <f>IF(AND(I.Developer.P1=TRUE,I.Facility.P1FacilityCount&gt;=2869,F2881=""),"Incomplete","Complete")</f>
        <v>Complete</v>
      </c>
      <c r="I2881" s="48" t="s">
        <v>7246</v>
      </c>
    </row>
    <row r="2882" spans="2:9" ht="15" customHeight="1" x14ac:dyDescent="0.25">
      <c r="B2882" s="55" t="s">
        <v>279</v>
      </c>
      <c r="C2882" s="46">
        <v>2870</v>
      </c>
      <c r="D2882" s="69" t="s">
        <v>29416</v>
      </c>
      <c r="E2882" s="51"/>
      <c r="F2882" s="114" t="str">
        <f>IF(INDEX(I.Facility.P1IDNumber,2870)="","",INDEX(I.Facility.P1IDNumber,2870))</f>
        <v/>
      </c>
      <c r="G2882" s="51"/>
      <c r="H2882" s="46" t="str">
        <f>IF(AND(I.Developer.P1=TRUE,I.Facility.P1FacilityCount&gt;=2870,F2882=""),"Incomplete","Complete")</f>
        <v>Complete</v>
      </c>
      <c r="I2882" s="48" t="s">
        <v>7247</v>
      </c>
    </row>
    <row r="2883" spans="2:9" ht="15" customHeight="1" x14ac:dyDescent="0.25">
      <c r="B2883" s="55" t="s">
        <v>279</v>
      </c>
      <c r="C2883" s="46">
        <v>2871</v>
      </c>
      <c r="D2883" s="69" t="s">
        <v>29416</v>
      </c>
      <c r="E2883" s="51"/>
      <c r="F2883" s="114" t="str">
        <f>IF(INDEX(I.Facility.P1IDNumber,2871)="","",INDEX(I.Facility.P1IDNumber,2871))</f>
        <v/>
      </c>
      <c r="G2883" s="51"/>
      <c r="H2883" s="46" t="str">
        <f>IF(AND(I.Developer.P1=TRUE,I.Facility.P1FacilityCount&gt;=2871,F2883=""),"Incomplete","Complete")</f>
        <v>Complete</v>
      </c>
      <c r="I2883" s="48" t="s">
        <v>7248</v>
      </c>
    </row>
    <row r="2884" spans="2:9" ht="15" customHeight="1" x14ac:dyDescent="0.25">
      <c r="B2884" s="55" t="s">
        <v>279</v>
      </c>
      <c r="C2884" s="46">
        <v>2872</v>
      </c>
      <c r="D2884" s="69" t="s">
        <v>29416</v>
      </c>
      <c r="E2884" s="51"/>
      <c r="F2884" s="114" t="str">
        <f>IF(INDEX(I.Facility.P1IDNumber,2872)="","",INDEX(I.Facility.P1IDNumber,2872))</f>
        <v/>
      </c>
      <c r="G2884" s="51"/>
      <c r="H2884" s="46" t="str">
        <f>IF(AND(I.Developer.P1=TRUE,I.Facility.P1FacilityCount&gt;=2872,F2884=""),"Incomplete","Complete")</f>
        <v>Complete</v>
      </c>
      <c r="I2884" s="48" t="s">
        <v>7249</v>
      </c>
    </row>
    <row r="2885" spans="2:9" ht="15" customHeight="1" x14ac:dyDescent="0.25">
      <c r="B2885" s="55" t="s">
        <v>279</v>
      </c>
      <c r="C2885" s="46">
        <v>2873</v>
      </c>
      <c r="D2885" s="69" t="s">
        <v>29416</v>
      </c>
      <c r="E2885" s="51"/>
      <c r="F2885" s="114" t="str">
        <f>IF(INDEX(I.Facility.P1IDNumber,2873)="","",INDEX(I.Facility.P1IDNumber,2873))</f>
        <v/>
      </c>
      <c r="G2885" s="51"/>
      <c r="H2885" s="46" t="str">
        <f>IF(AND(I.Developer.P1=TRUE,I.Facility.P1FacilityCount&gt;=2873,F2885=""),"Incomplete","Complete")</f>
        <v>Complete</v>
      </c>
      <c r="I2885" s="48" t="s">
        <v>7250</v>
      </c>
    </row>
    <row r="2886" spans="2:9" ht="15" customHeight="1" x14ac:dyDescent="0.25">
      <c r="B2886" s="55" t="s">
        <v>279</v>
      </c>
      <c r="C2886" s="46">
        <v>2874</v>
      </c>
      <c r="D2886" s="69" t="s">
        <v>29416</v>
      </c>
      <c r="E2886" s="51"/>
      <c r="F2886" s="114" t="str">
        <f>IF(INDEX(I.Facility.P1IDNumber,2874)="","",INDEX(I.Facility.P1IDNumber,2874))</f>
        <v/>
      </c>
      <c r="G2886" s="51"/>
      <c r="H2886" s="46" t="str">
        <f>IF(AND(I.Developer.P1=TRUE,I.Facility.P1FacilityCount&gt;=2874,F2886=""),"Incomplete","Complete")</f>
        <v>Complete</v>
      </c>
      <c r="I2886" s="48" t="s">
        <v>7251</v>
      </c>
    </row>
    <row r="2887" spans="2:9" ht="15" customHeight="1" x14ac:dyDescent="0.25">
      <c r="B2887" s="55" t="s">
        <v>279</v>
      </c>
      <c r="C2887" s="46">
        <v>2875</v>
      </c>
      <c r="D2887" s="69" t="s">
        <v>29416</v>
      </c>
      <c r="E2887" s="51"/>
      <c r="F2887" s="114" t="str">
        <f>IF(INDEX(I.Facility.P1IDNumber,2875)="","",INDEX(I.Facility.P1IDNumber,2875))</f>
        <v/>
      </c>
      <c r="G2887" s="51"/>
      <c r="H2887" s="46" t="str">
        <f>IF(AND(I.Developer.P1=TRUE,I.Facility.P1FacilityCount&gt;=2875,F2887=""),"Incomplete","Complete")</f>
        <v>Complete</v>
      </c>
      <c r="I2887" s="48" t="s">
        <v>7252</v>
      </c>
    </row>
    <row r="2888" spans="2:9" ht="15" customHeight="1" x14ac:dyDescent="0.25">
      <c r="B2888" s="55" t="s">
        <v>279</v>
      </c>
      <c r="C2888" s="46">
        <v>2876</v>
      </c>
      <c r="D2888" s="69" t="s">
        <v>29416</v>
      </c>
      <c r="E2888" s="51"/>
      <c r="F2888" s="114" t="str">
        <f>IF(INDEX(I.Facility.P1IDNumber,2876)="","",INDEX(I.Facility.P1IDNumber,2876))</f>
        <v/>
      </c>
      <c r="G2888" s="51"/>
      <c r="H2888" s="46" t="str">
        <f>IF(AND(I.Developer.P1=TRUE,I.Facility.P1FacilityCount&gt;=2876,F2888=""),"Incomplete","Complete")</f>
        <v>Complete</v>
      </c>
      <c r="I2888" s="48" t="s">
        <v>7253</v>
      </c>
    </row>
    <row r="2889" spans="2:9" ht="15" customHeight="1" x14ac:dyDescent="0.25">
      <c r="B2889" s="55" t="s">
        <v>279</v>
      </c>
      <c r="C2889" s="46">
        <v>2877</v>
      </c>
      <c r="D2889" s="69" t="s">
        <v>29416</v>
      </c>
      <c r="E2889" s="51"/>
      <c r="F2889" s="114" t="str">
        <f>IF(INDEX(I.Facility.P1IDNumber,2877)="","",INDEX(I.Facility.P1IDNumber,2877))</f>
        <v/>
      </c>
      <c r="G2889" s="51"/>
      <c r="H2889" s="46" t="str">
        <f>IF(AND(I.Developer.P1=TRUE,I.Facility.P1FacilityCount&gt;=2877,F2889=""),"Incomplete","Complete")</f>
        <v>Complete</v>
      </c>
      <c r="I2889" s="48" t="s">
        <v>7254</v>
      </c>
    </row>
    <row r="2890" spans="2:9" ht="15" customHeight="1" x14ac:dyDescent="0.25">
      <c r="B2890" s="55" t="s">
        <v>279</v>
      </c>
      <c r="C2890" s="46">
        <v>2878</v>
      </c>
      <c r="D2890" s="69" t="s">
        <v>29416</v>
      </c>
      <c r="E2890" s="51"/>
      <c r="F2890" s="114" t="str">
        <f>IF(INDEX(I.Facility.P1IDNumber,2878)="","",INDEX(I.Facility.P1IDNumber,2878))</f>
        <v/>
      </c>
      <c r="G2890" s="51"/>
      <c r="H2890" s="46" t="str">
        <f>IF(AND(I.Developer.P1=TRUE,I.Facility.P1FacilityCount&gt;=2878,F2890=""),"Incomplete","Complete")</f>
        <v>Complete</v>
      </c>
      <c r="I2890" s="48" t="s">
        <v>7255</v>
      </c>
    </row>
    <row r="2891" spans="2:9" ht="15" customHeight="1" x14ac:dyDescent="0.25">
      <c r="B2891" s="55" t="s">
        <v>279</v>
      </c>
      <c r="C2891" s="46">
        <v>2879</v>
      </c>
      <c r="D2891" s="69" t="s">
        <v>29416</v>
      </c>
      <c r="E2891" s="51"/>
      <c r="F2891" s="114" t="str">
        <f>IF(INDEX(I.Facility.P1IDNumber,2879)="","",INDEX(I.Facility.P1IDNumber,2879))</f>
        <v/>
      </c>
      <c r="G2891" s="51"/>
      <c r="H2891" s="46" t="str">
        <f>IF(AND(I.Developer.P1=TRUE,I.Facility.P1FacilityCount&gt;=2879,F2891=""),"Incomplete","Complete")</f>
        <v>Complete</v>
      </c>
      <c r="I2891" s="48" t="s">
        <v>7256</v>
      </c>
    </row>
    <row r="2892" spans="2:9" ht="15" customHeight="1" x14ac:dyDescent="0.25">
      <c r="B2892" s="55" t="s">
        <v>279</v>
      </c>
      <c r="C2892" s="46">
        <v>2880</v>
      </c>
      <c r="D2892" s="69" t="s">
        <v>29416</v>
      </c>
      <c r="E2892" s="51"/>
      <c r="F2892" s="114" t="str">
        <f>IF(INDEX(I.Facility.P1IDNumber,2880)="","",INDEX(I.Facility.P1IDNumber,2880))</f>
        <v/>
      </c>
      <c r="G2892" s="51"/>
      <c r="H2892" s="46" t="str">
        <f>IF(AND(I.Developer.P1=TRUE,I.Facility.P1FacilityCount&gt;=2880,F2892=""),"Incomplete","Complete")</f>
        <v>Complete</v>
      </c>
      <c r="I2892" s="48" t="s">
        <v>7257</v>
      </c>
    </row>
    <row r="2893" spans="2:9" ht="15" customHeight="1" x14ac:dyDescent="0.25">
      <c r="B2893" s="55" t="s">
        <v>279</v>
      </c>
      <c r="C2893" s="46">
        <v>2881</v>
      </c>
      <c r="D2893" s="69" t="s">
        <v>29416</v>
      </c>
      <c r="E2893" s="51"/>
      <c r="F2893" s="114" t="str">
        <f>IF(INDEX(I.Facility.P1IDNumber,2881)="","",INDEX(I.Facility.P1IDNumber,2881))</f>
        <v/>
      </c>
      <c r="G2893" s="51"/>
      <c r="H2893" s="46" t="str">
        <f>IF(AND(I.Developer.P1=TRUE,I.Facility.P1FacilityCount&gt;=2881,F2893=""),"Incomplete","Complete")</f>
        <v>Complete</v>
      </c>
      <c r="I2893" s="48" t="s">
        <v>7258</v>
      </c>
    </row>
    <row r="2894" spans="2:9" ht="15" customHeight="1" x14ac:dyDescent="0.25">
      <c r="B2894" s="55" t="s">
        <v>279</v>
      </c>
      <c r="C2894" s="46">
        <v>2882</v>
      </c>
      <c r="D2894" s="69" t="s">
        <v>29416</v>
      </c>
      <c r="E2894" s="51"/>
      <c r="F2894" s="114" t="str">
        <f>IF(INDEX(I.Facility.P1IDNumber,2882)="","",INDEX(I.Facility.P1IDNumber,2882))</f>
        <v/>
      </c>
      <c r="G2894" s="51"/>
      <c r="H2894" s="46" t="str">
        <f>IF(AND(I.Developer.P1=TRUE,I.Facility.P1FacilityCount&gt;=2882,F2894=""),"Incomplete","Complete")</f>
        <v>Complete</v>
      </c>
      <c r="I2894" s="48" t="s">
        <v>7259</v>
      </c>
    </row>
    <row r="2895" spans="2:9" ht="15" customHeight="1" x14ac:dyDescent="0.25">
      <c r="B2895" s="55" t="s">
        <v>279</v>
      </c>
      <c r="C2895" s="46">
        <v>2883</v>
      </c>
      <c r="D2895" s="69" t="s">
        <v>29416</v>
      </c>
      <c r="E2895" s="51"/>
      <c r="F2895" s="114" t="str">
        <f>IF(INDEX(I.Facility.P1IDNumber,2883)="","",INDEX(I.Facility.P1IDNumber,2883))</f>
        <v/>
      </c>
      <c r="G2895" s="51"/>
      <c r="H2895" s="46" t="str">
        <f>IF(AND(I.Developer.P1=TRUE,I.Facility.P1FacilityCount&gt;=2883,F2895=""),"Incomplete","Complete")</f>
        <v>Complete</v>
      </c>
      <c r="I2895" s="48" t="s">
        <v>7260</v>
      </c>
    </row>
    <row r="2896" spans="2:9" ht="15" customHeight="1" x14ac:dyDescent="0.25">
      <c r="B2896" s="55" t="s">
        <v>279</v>
      </c>
      <c r="C2896" s="46">
        <v>2884</v>
      </c>
      <c r="D2896" s="69" t="s">
        <v>29416</v>
      </c>
      <c r="E2896" s="51"/>
      <c r="F2896" s="114" t="str">
        <f>IF(INDEX(I.Facility.P1IDNumber,2884)="","",INDEX(I.Facility.P1IDNumber,2884))</f>
        <v/>
      </c>
      <c r="G2896" s="51"/>
      <c r="H2896" s="46" t="str">
        <f>IF(AND(I.Developer.P1=TRUE,I.Facility.P1FacilityCount&gt;=2884,F2896=""),"Incomplete","Complete")</f>
        <v>Complete</v>
      </c>
      <c r="I2896" s="48" t="s">
        <v>7261</v>
      </c>
    </row>
    <row r="2897" spans="2:9" ht="15" customHeight="1" x14ac:dyDescent="0.25">
      <c r="B2897" s="55" t="s">
        <v>279</v>
      </c>
      <c r="C2897" s="46">
        <v>2885</v>
      </c>
      <c r="D2897" s="69" t="s">
        <v>29416</v>
      </c>
      <c r="E2897" s="51"/>
      <c r="F2897" s="114" t="str">
        <f>IF(INDEX(I.Facility.P1IDNumber,2885)="","",INDEX(I.Facility.P1IDNumber,2885))</f>
        <v/>
      </c>
      <c r="G2897" s="51"/>
      <c r="H2897" s="46" t="str">
        <f>IF(AND(I.Developer.P1=TRUE,I.Facility.P1FacilityCount&gt;=2885,F2897=""),"Incomplete","Complete")</f>
        <v>Complete</v>
      </c>
      <c r="I2897" s="48" t="s">
        <v>7262</v>
      </c>
    </row>
    <row r="2898" spans="2:9" ht="15" customHeight="1" x14ac:dyDescent="0.25">
      <c r="B2898" s="55" t="s">
        <v>279</v>
      </c>
      <c r="C2898" s="46">
        <v>2886</v>
      </c>
      <c r="D2898" s="69" t="s">
        <v>29416</v>
      </c>
      <c r="E2898" s="51"/>
      <c r="F2898" s="114" t="str">
        <f>IF(INDEX(I.Facility.P1IDNumber,2886)="","",INDEX(I.Facility.P1IDNumber,2886))</f>
        <v/>
      </c>
      <c r="G2898" s="51"/>
      <c r="H2898" s="46" t="str">
        <f>IF(AND(I.Developer.P1=TRUE,I.Facility.P1FacilityCount&gt;=2886,F2898=""),"Incomplete","Complete")</f>
        <v>Complete</v>
      </c>
      <c r="I2898" s="48" t="s">
        <v>7263</v>
      </c>
    </row>
    <row r="2899" spans="2:9" ht="15" customHeight="1" x14ac:dyDescent="0.25">
      <c r="B2899" s="55" t="s">
        <v>279</v>
      </c>
      <c r="C2899" s="46">
        <v>2887</v>
      </c>
      <c r="D2899" s="69" t="s">
        <v>29416</v>
      </c>
      <c r="E2899" s="51"/>
      <c r="F2899" s="114" t="str">
        <f>IF(INDEX(I.Facility.P1IDNumber,2887)="","",INDEX(I.Facility.P1IDNumber,2887))</f>
        <v/>
      </c>
      <c r="G2899" s="51"/>
      <c r="H2899" s="46" t="str">
        <f>IF(AND(I.Developer.P1=TRUE,I.Facility.P1FacilityCount&gt;=2887,F2899=""),"Incomplete","Complete")</f>
        <v>Complete</v>
      </c>
      <c r="I2899" s="48" t="s">
        <v>7264</v>
      </c>
    </row>
    <row r="2900" spans="2:9" ht="15" customHeight="1" x14ac:dyDescent="0.25">
      <c r="B2900" s="55" t="s">
        <v>279</v>
      </c>
      <c r="C2900" s="46">
        <v>2888</v>
      </c>
      <c r="D2900" s="69" t="s">
        <v>29416</v>
      </c>
      <c r="E2900" s="51"/>
      <c r="F2900" s="114" t="str">
        <f>IF(INDEX(I.Facility.P1IDNumber,2888)="","",INDEX(I.Facility.P1IDNumber,2888))</f>
        <v/>
      </c>
      <c r="G2900" s="51"/>
      <c r="H2900" s="46" t="str">
        <f>IF(AND(I.Developer.P1=TRUE,I.Facility.P1FacilityCount&gt;=2888,F2900=""),"Incomplete","Complete")</f>
        <v>Complete</v>
      </c>
      <c r="I2900" s="48" t="s">
        <v>7265</v>
      </c>
    </row>
    <row r="2901" spans="2:9" ht="15" customHeight="1" x14ac:dyDescent="0.25">
      <c r="B2901" s="55" t="s">
        <v>279</v>
      </c>
      <c r="C2901" s="46">
        <v>2889</v>
      </c>
      <c r="D2901" s="69" t="s">
        <v>29416</v>
      </c>
      <c r="E2901" s="51"/>
      <c r="F2901" s="114" t="str">
        <f>IF(INDEX(I.Facility.P1IDNumber,2889)="","",INDEX(I.Facility.P1IDNumber,2889))</f>
        <v/>
      </c>
      <c r="G2901" s="51"/>
      <c r="H2901" s="46" t="str">
        <f>IF(AND(I.Developer.P1=TRUE,I.Facility.P1FacilityCount&gt;=2889,F2901=""),"Incomplete","Complete")</f>
        <v>Complete</v>
      </c>
      <c r="I2901" s="48" t="s">
        <v>7266</v>
      </c>
    </row>
    <row r="2902" spans="2:9" ht="15" customHeight="1" x14ac:dyDescent="0.25">
      <c r="B2902" s="55" t="s">
        <v>279</v>
      </c>
      <c r="C2902" s="46">
        <v>2890</v>
      </c>
      <c r="D2902" s="69" t="s">
        <v>29416</v>
      </c>
      <c r="E2902" s="51"/>
      <c r="F2902" s="114" t="str">
        <f>IF(INDEX(I.Facility.P1IDNumber,2890)="","",INDEX(I.Facility.P1IDNumber,2890))</f>
        <v/>
      </c>
      <c r="G2902" s="51"/>
      <c r="H2902" s="46" t="str">
        <f>IF(AND(I.Developer.P1=TRUE,I.Facility.P1FacilityCount&gt;=2890,F2902=""),"Incomplete","Complete")</f>
        <v>Complete</v>
      </c>
      <c r="I2902" s="48" t="s">
        <v>7267</v>
      </c>
    </row>
    <row r="2903" spans="2:9" ht="15" customHeight="1" x14ac:dyDescent="0.25">
      <c r="B2903" s="55" t="s">
        <v>279</v>
      </c>
      <c r="C2903" s="46">
        <v>2891</v>
      </c>
      <c r="D2903" s="69" t="s">
        <v>29416</v>
      </c>
      <c r="E2903" s="51"/>
      <c r="F2903" s="114" t="str">
        <f>IF(INDEX(I.Facility.P1IDNumber,2891)="","",INDEX(I.Facility.P1IDNumber,2891))</f>
        <v/>
      </c>
      <c r="G2903" s="51"/>
      <c r="H2903" s="46" t="str">
        <f>IF(AND(I.Developer.P1=TRUE,I.Facility.P1FacilityCount&gt;=2891,F2903=""),"Incomplete","Complete")</f>
        <v>Complete</v>
      </c>
      <c r="I2903" s="48" t="s">
        <v>7268</v>
      </c>
    </row>
    <row r="2904" spans="2:9" ht="15" customHeight="1" x14ac:dyDescent="0.25">
      <c r="B2904" s="55" t="s">
        <v>279</v>
      </c>
      <c r="C2904" s="46">
        <v>2892</v>
      </c>
      <c r="D2904" s="69" t="s">
        <v>29416</v>
      </c>
      <c r="E2904" s="51"/>
      <c r="F2904" s="114" t="str">
        <f>IF(INDEX(I.Facility.P1IDNumber,2892)="","",INDEX(I.Facility.P1IDNumber,2892))</f>
        <v/>
      </c>
      <c r="G2904" s="51"/>
      <c r="H2904" s="46" t="str">
        <f>IF(AND(I.Developer.P1=TRUE,I.Facility.P1FacilityCount&gt;=2892,F2904=""),"Incomplete","Complete")</f>
        <v>Complete</v>
      </c>
      <c r="I2904" s="48" t="s">
        <v>7269</v>
      </c>
    </row>
    <row r="2905" spans="2:9" ht="15" customHeight="1" x14ac:dyDescent="0.25">
      <c r="B2905" s="55" t="s">
        <v>279</v>
      </c>
      <c r="C2905" s="46">
        <v>2893</v>
      </c>
      <c r="D2905" s="69" t="s">
        <v>29416</v>
      </c>
      <c r="E2905" s="51"/>
      <c r="F2905" s="114" t="str">
        <f>IF(INDEX(I.Facility.P1IDNumber,2893)="","",INDEX(I.Facility.P1IDNumber,2893))</f>
        <v/>
      </c>
      <c r="G2905" s="51"/>
      <c r="H2905" s="46" t="str">
        <f>IF(AND(I.Developer.P1=TRUE,I.Facility.P1FacilityCount&gt;=2893,F2905=""),"Incomplete","Complete")</f>
        <v>Complete</v>
      </c>
      <c r="I2905" s="48" t="s">
        <v>7270</v>
      </c>
    </row>
    <row r="2906" spans="2:9" ht="15" customHeight="1" x14ac:dyDescent="0.25">
      <c r="B2906" s="55" t="s">
        <v>279</v>
      </c>
      <c r="C2906" s="46">
        <v>2894</v>
      </c>
      <c r="D2906" s="69" t="s">
        <v>29416</v>
      </c>
      <c r="E2906" s="51"/>
      <c r="F2906" s="114" t="str">
        <f>IF(INDEX(I.Facility.P1IDNumber,2894)="","",INDEX(I.Facility.P1IDNumber,2894))</f>
        <v/>
      </c>
      <c r="G2906" s="51"/>
      <c r="H2906" s="46" t="str">
        <f>IF(AND(I.Developer.P1=TRUE,I.Facility.P1FacilityCount&gt;=2894,F2906=""),"Incomplete","Complete")</f>
        <v>Complete</v>
      </c>
      <c r="I2906" s="48" t="s">
        <v>7271</v>
      </c>
    </row>
    <row r="2907" spans="2:9" ht="15" customHeight="1" x14ac:dyDescent="0.25">
      <c r="B2907" s="55" t="s">
        <v>279</v>
      </c>
      <c r="C2907" s="46">
        <v>2895</v>
      </c>
      <c r="D2907" s="69" t="s">
        <v>29416</v>
      </c>
      <c r="E2907" s="51"/>
      <c r="F2907" s="114" t="str">
        <f>IF(INDEX(I.Facility.P1IDNumber,2895)="","",INDEX(I.Facility.P1IDNumber,2895))</f>
        <v/>
      </c>
      <c r="G2907" s="51"/>
      <c r="H2907" s="46" t="str">
        <f>IF(AND(I.Developer.P1=TRUE,I.Facility.P1FacilityCount&gt;=2895,F2907=""),"Incomplete","Complete")</f>
        <v>Complete</v>
      </c>
      <c r="I2907" s="48" t="s">
        <v>7272</v>
      </c>
    </row>
    <row r="2908" spans="2:9" ht="15" customHeight="1" x14ac:dyDescent="0.25">
      <c r="B2908" s="55" t="s">
        <v>279</v>
      </c>
      <c r="C2908" s="46">
        <v>2896</v>
      </c>
      <c r="D2908" s="69" t="s">
        <v>29416</v>
      </c>
      <c r="E2908" s="51"/>
      <c r="F2908" s="114" t="str">
        <f>IF(INDEX(I.Facility.P1IDNumber,2896)="","",INDEX(I.Facility.P1IDNumber,2896))</f>
        <v/>
      </c>
      <c r="G2908" s="51"/>
      <c r="H2908" s="46" t="str">
        <f>IF(AND(I.Developer.P1=TRUE,I.Facility.P1FacilityCount&gt;=2896,F2908=""),"Incomplete","Complete")</f>
        <v>Complete</v>
      </c>
      <c r="I2908" s="48" t="s">
        <v>7273</v>
      </c>
    </row>
    <row r="2909" spans="2:9" ht="15" customHeight="1" x14ac:dyDescent="0.25">
      <c r="B2909" s="55" t="s">
        <v>279</v>
      </c>
      <c r="C2909" s="46">
        <v>2897</v>
      </c>
      <c r="D2909" s="69" t="s">
        <v>29416</v>
      </c>
      <c r="E2909" s="51"/>
      <c r="F2909" s="114" t="str">
        <f>IF(INDEX(I.Facility.P1IDNumber,2897)="","",INDEX(I.Facility.P1IDNumber,2897))</f>
        <v/>
      </c>
      <c r="G2909" s="51"/>
      <c r="H2909" s="46" t="str">
        <f>IF(AND(I.Developer.P1=TRUE,I.Facility.P1FacilityCount&gt;=2897,F2909=""),"Incomplete","Complete")</f>
        <v>Complete</v>
      </c>
      <c r="I2909" s="48" t="s">
        <v>7274</v>
      </c>
    </row>
    <row r="2910" spans="2:9" ht="15" customHeight="1" x14ac:dyDescent="0.25">
      <c r="B2910" s="55" t="s">
        <v>279</v>
      </c>
      <c r="C2910" s="46">
        <v>2898</v>
      </c>
      <c r="D2910" s="69" t="s">
        <v>29416</v>
      </c>
      <c r="E2910" s="51"/>
      <c r="F2910" s="114" t="str">
        <f>IF(INDEX(I.Facility.P1IDNumber,2898)="","",INDEX(I.Facility.P1IDNumber,2898))</f>
        <v/>
      </c>
      <c r="G2910" s="51"/>
      <c r="H2910" s="46" t="str">
        <f>IF(AND(I.Developer.P1=TRUE,I.Facility.P1FacilityCount&gt;=2898,F2910=""),"Incomplete","Complete")</f>
        <v>Complete</v>
      </c>
      <c r="I2910" s="48" t="s">
        <v>7275</v>
      </c>
    </row>
    <row r="2911" spans="2:9" ht="15" customHeight="1" x14ac:dyDescent="0.25">
      <c r="B2911" s="55" t="s">
        <v>279</v>
      </c>
      <c r="C2911" s="46">
        <v>2899</v>
      </c>
      <c r="D2911" s="69" t="s">
        <v>29416</v>
      </c>
      <c r="E2911" s="51"/>
      <c r="F2911" s="114" t="str">
        <f>IF(INDEX(I.Facility.P1IDNumber,2899)="","",INDEX(I.Facility.P1IDNumber,2899))</f>
        <v/>
      </c>
      <c r="G2911" s="51"/>
      <c r="H2911" s="46" t="str">
        <f>IF(AND(I.Developer.P1=TRUE,I.Facility.P1FacilityCount&gt;=2899,F2911=""),"Incomplete","Complete")</f>
        <v>Complete</v>
      </c>
      <c r="I2911" s="48" t="s">
        <v>7276</v>
      </c>
    </row>
    <row r="2912" spans="2:9" ht="15" customHeight="1" x14ac:dyDescent="0.25">
      <c r="B2912" s="55" t="s">
        <v>279</v>
      </c>
      <c r="C2912" s="46">
        <v>2900</v>
      </c>
      <c r="D2912" s="69" t="s">
        <v>29416</v>
      </c>
      <c r="E2912" s="51"/>
      <c r="F2912" s="114" t="str">
        <f>IF(INDEX(I.Facility.P1IDNumber,2900)="","",INDEX(I.Facility.P1IDNumber,2900))</f>
        <v/>
      </c>
      <c r="G2912" s="51"/>
      <c r="H2912" s="46" t="str">
        <f>IF(AND(I.Developer.P1=TRUE,I.Facility.P1FacilityCount&gt;=2900,F2912=""),"Incomplete","Complete")</f>
        <v>Complete</v>
      </c>
      <c r="I2912" s="48" t="s">
        <v>7277</v>
      </c>
    </row>
    <row r="2913" spans="2:9" ht="15" customHeight="1" x14ac:dyDescent="0.25">
      <c r="B2913" s="55" t="s">
        <v>279</v>
      </c>
      <c r="C2913" s="46">
        <v>2901</v>
      </c>
      <c r="D2913" s="69" t="s">
        <v>29416</v>
      </c>
      <c r="E2913" s="51"/>
      <c r="F2913" s="114" t="str">
        <f>IF(INDEX(I.Facility.P1IDNumber,2901)="","",INDEX(I.Facility.P1IDNumber,2901))</f>
        <v/>
      </c>
      <c r="G2913" s="51"/>
      <c r="H2913" s="46" t="str">
        <f>IF(AND(I.Developer.P1=TRUE,I.Facility.P1FacilityCount&gt;=2901,F2913=""),"Incomplete","Complete")</f>
        <v>Complete</v>
      </c>
      <c r="I2913" s="48" t="s">
        <v>7278</v>
      </c>
    </row>
    <row r="2914" spans="2:9" ht="15" customHeight="1" x14ac:dyDescent="0.25">
      <c r="B2914" s="55" t="s">
        <v>279</v>
      </c>
      <c r="C2914" s="46">
        <v>2902</v>
      </c>
      <c r="D2914" s="69" t="s">
        <v>29416</v>
      </c>
      <c r="E2914" s="51"/>
      <c r="F2914" s="114" t="str">
        <f>IF(INDEX(I.Facility.P1IDNumber,2902)="","",INDEX(I.Facility.P1IDNumber,2902))</f>
        <v/>
      </c>
      <c r="G2914" s="51"/>
      <c r="H2914" s="46" t="str">
        <f>IF(AND(I.Developer.P1=TRUE,I.Facility.P1FacilityCount&gt;=2902,F2914=""),"Incomplete","Complete")</f>
        <v>Complete</v>
      </c>
      <c r="I2914" s="48" t="s">
        <v>7279</v>
      </c>
    </row>
    <row r="2915" spans="2:9" ht="15" customHeight="1" x14ac:dyDescent="0.25">
      <c r="B2915" s="55" t="s">
        <v>279</v>
      </c>
      <c r="C2915" s="46">
        <v>2903</v>
      </c>
      <c r="D2915" s="69" t="s">
        <v>29416</v>
      </c>
      <c r="E2915" s="51"/>
      <c r="F2915" s="114" t="str">
        <f>IF(INDEX(I.Facility.P1IDNumber,2903)="","",INDEX(I.Facility.P1IDNumber,2903))</f>
        <v/>
      </c>
      <c r="G2915" s="51"/>
      <c r="H2915" s="46" t="str">
        <f>IF(AND(I.Developer.P1=TRUE,I.Facility.P1FacilityCount&gt;=2903,F2915=""),"Incomplete","Complete")</f>
        <v>Complete</v>
      </c>
      <c r="I2915" s="48" t="s">
        <v>7280</v>
      </c>
    </row>
    <row r="2916" spans="2:9" ht="15" customHeight="1" x14ac:dyDescent="0.25">
      <c r="B2916" s="55" t="s">
        <v>279</v>
      </c>
      <c r="C2916" s="46">
        <v>2904</v>
      </c>
      <c r="D2916" s="69" t="s">
        <v>29416</v>
      </c>
      <c r="E2916" s="51"/>
      <c r="F2916" s="114" t="str">
        <f>IF(INDEX(I.Facility.P1IDNumber,2904)="","",INDEX(I.Facility.P1IDNumber,2904))</f>
        <v/>
      </c>
      <c r="G2916" s="51"/>
      <c r="H2916" s="46" t="str">
        <f>IF(AND(I.Developer.P1=TRUE,I.Facility.P1FacilityCount&gt;=2904,F2916=""),"Incomplete","Complete")</f>
        <v>Complete</v>
      </c>
      <c r="I2916" s="48" t="s">
        <v>7281</v>
      </c>
    </row>
    <row r="2917" spans="2:9" ht="15" customHeight="1" x14ac:dyDescent="0.25">
      <c r="B2917" s="55" t="s">
        <v>279</v>
      </c>
      <c r="C2917" s="46">
        <v>2905</v>
      </c>
      <c r="D2917" s="69" t="s">
        <v>29416</v>
      </c>
      <c r="E2917" s="51"/>
      <c r="F2917" s="114" t="str">
        <f>IF(INDEX(I.Facility.P1IDNumber,2905)="","",INDEX(I.Facility.P1IDNumber,2905))</f>
        <v/>
      </c>
      <c r="G2917" s="51"/>
      <c r="H2917" s="46" t="str">
        <f>IF(AND(I.Developer.P1=TRUE,I.Facility.P1FacilityCount&gt;=2905,F2917=""),"Incomplete","Complete")</f>
        <v>Complete</v>
      </c>
      <c r="I2917" s="48" t="s">
        <v>7282</v>
      </c>
    </row>
    <row r="2918" spans="2:9" ht="15" customHeight="1" x14ac:dyDescent="0.25">
      <c r="B2918" s="55" t="s">
        <v>279</v>
      </c>
      <c r="C2918" s="46">
        <v>2906</v>
      </c>
      <c r="D2918" s="69" t="s">
        <v>29416</v>
      </c>
      <c r="E2918" s="51"/>
      <c r="F2918" s="114" t="str">
        <f>IF(INDEX(I.Facility.P1IDNumber,2906)="","",INDEX(I.Facility.P1IDNumber,2906))</f>
        <v/>
      </c>
      <c r="G2918" s="51"/>
      <c r="H2918" s="46" t="str">
        <f>IF(AND(I.Developer.P1=TRUE,I.Facility.P1FacilityCount&gt;=2906,F2918=""),"Incomplete","Complete")</f>
        <v>Complete</v>
      </c>
      <c r="I2918" s="48" t="s">
        <v>7283</v>
      </c>
    </row>
    <row r="2919" spans="2:9" ht="15" customHeight="1" x14ac:dyDescent="0.25">
      <c r="B2919" s="55" t="s">
        <v>279</v>
      </c>
      <c r="C2919" s="46">
        <v>2907</v>
      </c>
      <c r="D2919" s="69" t="s">
        <v>29416</v>
      </c>
      <c r="E2919" s="51"/>
      <c r="F2919" s="114" t="str">
        <f>IF(INDEX(I.Facility.P1IDNumber,2907)="","",INDEX(I.Facility.P1IDNumber,2907))</f>
        <v/>
      </c>
      <c r="G2919" s="51"/>
      <c r="H2919" s="46" t="str">
        <f>IF(AND(I.Developer.P1=TRUE,I.Facility.P1FacilityCount&gt;=2907,F2919=""),"Incomplete","Complete")</f>
        <v>Complete</v>
      </c>
      <c r="I2919" s="48" t="s">
        <v>7284</v>
      </c>
    </row>
    <row r="2920" spans="2:9" ht="15" customHeight="1" x14ac:dyDescent="0.25">
      <c r="B2920" s="55" t="s">
        <v>279</v>
      </c>
      <c r="C2920" s="46">
        <v>2908</v>
      </c>
      <c r="D2920" s="69" t="s">
        <v>29416</v>
      </c>
      <c r="E2920" s="51"/>
      <c r="F2920" s="114" t="str">
        <f>IF(INDEX(I.Facility.P1IDNumber,2908)="","",INDEX(I.Facility.P1IDNumber,2908))</f>
        <v/>
      </c>
      <c r="G2920" s="51"/>
      <c r="H2920" s="46" t="str">
        <f>IF(AND(I.Developer.P1=TRUE,I.Facility.P1FacilityCount&gt;=2908,F2920=""),"Incomplete","Complete")</f>
        <v>Complete</v>
      </c>
      <c r="I2920" s="48" t="s">
        <v>7285</v>
      </c>
    </row>
    <row r="2921" spans="2:9" ht="15" customHeight="1" x14ac:dyDescent="0.25">
      <c r="B2921" s="55" t="s">
        <v>279</v>
      </c>
      <c r="C2921" s="46">
        <v>2909</v>
      </c>
      <c r="D2921" s="69" t="s">
        <v>29416</v>
      </c>
      <c r="E2921" s="51"/>
      <c r="F2921" s="114" t="str">
        <f>IF(INDEX(I.Facility.P1IDNumber,2909)="","",INDEX(I.Facility.P1IDNumber,2909))</f>
        <v/>
      </c>
      <c r="G2921" s="51"/>
      <c r="H2921" s="46" t="str">
        <f>IF(AND(I.Developer.P1=TRUE,I.Facility.P1FacilityCount&gt;=2909,F2921=""),"Incomplete","Complete")</f>
        <v>Complete</v>
      </c>
      <c r="I2921" s="48" t="s">
        <v>7286</v>
      </c>
    </row>
    <row r="2922" spans="2:9" ht="15" customHeight="1" x14ac:dyDescent="0.25">
      <c r="B2922" s="55" t="s">
        <v>279</v>
      </c>
      <c r="C2922" s="46">
        <v>2910</v>
      </c>
      <c r="D2922" s="69" t="s">
        <v>29416</v>
      </c>
      <c r="E2922" s="51"/>
      <c r="F2922" s="114" t="str">
        <f>IF(INDEX(I.Facility.P1IDNumber,2910)="","",INDEX(I.Facility.P1IDNumber,2910))</f>
        <v/>
      </c>
      <c r="G2922" s="51"/>
      <c r="H2922" s="46" t="str">
        <f>IF(AND(I.Developer.P1=TRUE,I.Facility.P1FacilityCount&gt;=2910,F2922=""),"Incomplete","Complete")</f>
        <v>Complete</v>
      </c>
      <c r="I2922" s="48" t="s">
        <v>7287</v>
      </c>
    </row>
    <row r="2923" spans="2:9" ht="15" customHeight="1" x14ac:dyDescent="0.25">
      <c r="B2923" s="55" t="s">
        <v>279</v>
      </c>
      <c r="C2923" s="46">
        <v>2911</v>
      </c>
      <c r="D2923" s="69" t="s">
        <v>29416</v>
      </c>
      <c r="E2923" s="51"/>
      <c r="F2923" s="114" t="str">
        <f>IF(INDEX(I.Facility.P1IDNumber,2911)="","",INDEX(I.Facility.P1IDNumber,2911))</f>
        <v/>
      </c>
      <c r="G2923" s="51"/>
      <c r="H2923" s="46" t="str">
        <f>IF(AND(I.Developer.P1=TRUE,I.Facility.P1FacilityCount&gt;=2911,F2923=""),"Incomplete","Complete")</f>
        <v>Complete</v>
      </c>
      <c r="I2923" s="48" t="s">
        <v>7288</v>
      </c>
    </row>
    <row r="2924" spans="2:9" ht="15" customHeight="1" x14ac:dyDescent="0.25">
      <c r="B2924" s="55" t="s">
        <v>279</v>
      </c>
      <c r="C2924" s="46">
        <v>2912</v>
      </c>
      <c r="D2924" s="69" t="s">
        <v>29416</v>
      </c>
      <c r="E2924" s="51"/>
      <c r="F2924" s="114" t="str">
        <f>IF(INDEX(I.Facility.P1IDNumber,2912)="","",INDEX(I.Facility.P1IDNumber,2912))</f>
        <v/>
      </c>
      <c r="G2924" s="51"/>
      <c r="H2924" s="46" t="str">
        <f>IF(AND(I.Developer.P1=TRUE,I.Facility.P1FacilityCount&gt;=2912,F2924=""),"Incomplete","Complete")</f>
        <v>Complete</v>
      </c>
      <c r="I2924" s="48" t="s">
        <v>7289</v>
      </c>
    </row>
    <row r="2925" spans="2:9" ht="15" customHeight="1" x14ac:dyDescent="0.25">
      <c r="B2925" s="55" t="s">
        <v>279</v>
      </c>
      <c r="C2925" s="46">
        <v>2913</v>
      </c>
      <c r="D2925" s="69" t="s">
        <v>29416</v>
      </c>
      <c r="E2925" s="51"/>
      <c r="F2925" s="114" t="str">
        <f>IF(INDEX(I.Facility.P1IDNumber,2913)="","",INDEX(I.Facility.P1IDNumber,2913))</f>
        <v/>
      </c>
      <c r="G2925" s="51"/>
      <c r="H2925" s="46" t="str">
        <f>IF(AND(I.Developer.P1=TRUE,I.Facility.P1FacilityCount&gt;=2913,F2925=""),"Incomplete","Complete")</f>
        <v>Complete</v>
      </c>
      <c r="I2925" s="48" t="s">
        <v>7290</v>
      </c>
    </row>
    <row r="2926" spans="2:9" ht="15" customHeight="1" x14ac:dyDescent="0.25">
      <c r="B2926" s="55" t="s">
        <v>279</v>
      </c>
      <c r="C2926" s="46">
        <v>2914</v>
      </c>
      <c r="D2926" s="69" t="s">
        <v>29416</v>
      </c>
      <c r="E2926" s="51"/>
      <c r="F2926" s="114" t="str">
        <f>IF(INDEX(I.Facility.P1IDNumber,2914)="","",INDEX(I.Facility.P1IDNumber,2914))</f>
        <v/>
      </c>
      <c r="G2926" s="51"/>
      <c r="H2926" s="46" t="str">
        <f>IF(AND(I.Developer.P1=TRUE,I.Facility.P1FacilityCount&gt;=2914,F2926=""),"Incomplete","Complete")</f>
        <v>Complete</v>
      </c>
      <c r="I2926" s="48" t="s">
        <v>7291</v>
      </c>
    </row>
    <row r="2927" spans="2:9" ht="15" customHeight="1" x14ac:dyDescent="0.25">
      <c r="B2927" s="55" t="s">
        <v>279</v>
      </c>
      <c r="C2927" s="46">
        <v>2915</v>
      </c>
      <c r="D2927" s="69" t="s">
        <v>29416</v>
      </c>
      <c r="E2927" s="51"/>
      <c r="F2927" s="114" t="str">
        <f>IF(INDEX(I.Facility.P1IDNumber,2915)="","",INDEX(I.Facility.P1IDNumber,2915))</f>
        <v/>
      </c>
      <c r="G2927" s="51"/>
      <c r="H2927" s="46" t="str">
        <f>IF(AND(I.Developer.P1=TRUE,I.Facility.P1FacilityCount&gt;=2915,F2927=""),"Incomplete","Complete")</f>
        <v>Complete</v>
      </c>
      <c r="I2927" s="48" t="s">
        <v>7292</v>
      </c>
    </row>
    <row r="2928" spans="2:9" ht="15" customHeight="1" x14ac:dyDescent="0.25">
      <c r="B2928" s="55" t="s">
        <v>279</v>
      </c>
      <c r="C2928" s="46">
        <v>2916</v>
      </c>
      <c r="D2928" s="69" t="s">
        <v>29416</v>
      </c>
      <c r="E2928" s="51"/>
      <c r="F2928" s="114" t="str">
        <f>IF(INDEX(I.Facility.P1IDNumber,2916)="","",INDEX(I.Facility.P1IDNumber,2916))</f>
        <v/>
      </c>
      <c r="G2928" s="51"/>
      <c r="H2928" s="46" t="str">
        <f>IF(AND(I.Developer.P1=TRUE,I.Facility.P1FacilityCount&gt;=2916,F2928=""),"Incomplete","Complete")</f>
        <v>Complete</v>
      </c>
      <c r="I2928" s="48" t="s">
        <v>7293</v>
      </c>
    </row>
    <row r="2929" spans="2:9" ht="15" customHeight="1" x14ac:dyDescent="0.25">
      <c r="B2929" s="55" t="s">
        <v>279</v>
      </c>
      <c r="C2929" s="46">
        <v>2917</v>
      </c>
      <c r="D2929" s="69" t="s">
        <v>29416</v>
      </c>
      <c r="E2929" s="51"/>
      <c r="F2929" s="114" t="str">
        <f>IF(INDEX(I.Facility.P1IDNumber,2917)="","",INDEX(I.Facility.P1IDNumber,2917))</f>
        <v/>
      </c>
      <c r="G2929" s="51"/>
      <c r="H2929" s="46" t="str">
        <f>IF(AND(I.Developer.P1=TRUE,I.Facility.P1FacilityCount&gt;=2917,F2929=""),"Incomplete","Complete")</f>
        <v>Complete</v>
      </c>
      <c r="I2929" s="48" t="s">
        <v>7294</v>
      </c>
    </row>
    <row r="2930" spans="2:9" ht="15" customHeight="1" x14ac:dyDescent="0.25">
      <c r="B2930" s="55" t="s">
        <v>279</v>
      </c>
      <c r="C2930" s="46">
        <v>2918</v>
      </c>
      <c r="D2930" s="69" t="s">
        <v>29416</v>
      </c>
      <c r="E2930" s="51"/>
      <c r="F2930" s="114" t="str">
        <f>IF(INDEX(I.Facility.P1IDNumber,2918)="","",INDEX(I.Facility.P1IDNumber,2918))</f>
        <v/>
      </c>
      <c r="G2930" s="51"/>
      <c r="H2930" s="46" t="str">
        <f>IF(AND(I.Developer.P1=TRUE,I.Facility.P1FacilityCount&gt;=2918,F2930=""),"Incomplete","Complete")</f>
        <v>Complete</v>
      </c>
      <c r="I2930" s="48" t="s">
        <v>7295</v>
      </c>
    </row>
    <row r="2931" spans="2:9" ht="15" customHeight="1" x14ac:dyDescent="0.25">
      <c r="B2931" s="55" t="s">
        <v>279</v>
      </c>
      <c r="C2931" s="46">
        <v>2919</v>
      </c>
      <c r="D2931" s="69" t="s">
        <v>29416</v>
      </c>
      <c r="E2931" s="51"/>
      <c r="F2931" s="114" t="str">
        <f>IF(INDEX(I.Facility.P1IDNumber,2919)="","",INDEX(I.Facility.P1IDNumber,2919))</f>
        <v/>
      </c>
      <c r="G2931" s="51"/>
      <c r="H2931" s="46" t="str">
        <f>IF(AND(I.Developer.P1=TRUE,I.Facility.P1FacilityCount&gt;=2919,F2931=""),"Incomplete","Complete")</f>
        <v>Complete</v>
      </c>
      <c r="I2931" s="48" t="s">
        <v>7296</v>
      </c>
    </row>
    <row r="2932" spans="2:9" ht="15" customHeight="1" x14ac:dyDescent="0.25">
      <c r="B2932" s="55" t="s">
        <v>279</v>
      </c>
      <c r="C2932" s="46">
        <v>2920</v>
      </c>
      <c r="D2932" s="69" t="s">
        <v>29416</v>
      </c>
      <c r="E2932" s="51"/>
      <c r="F2932" s="114" t="str">
        <f>IF(INDEX(I.Facility.P1IDNumber,2920)="","",INDEX(I.Facility.P1IDNumber,2920))</f>
        <v/>
      </c>
      <c r="G2932" s="51"/>
      <c r="H2932" s="46" t="str">
        <f>IF(AND(I.Developer.P1=TRUE,I.Facility.P1FacilityCount&gt;=2920,F2932=""),"Incomplete","Complete")</f>
        <v>Complete</v>
      </c>
      <c r="I2932" s="48" t="s">
        <v>7297</v>
      </c>
    </row>
    <row r="2933" spans="2:9" ht="15" customHeight="1" x14ac:dyDescent="0.25">
      <c r="B2933" s="55" t="s">
        <v>279</v>
      </c>
      <c r="C2933" s="46">
        <v>2921</v>
      </c>
      <c r="D2933" s="69" t="s">
        <v>29416</v>
      </c>
      <c r="E2933" s="51"/>
      <c r="F2933" s="114" t="str">
        <f>IF(INDEX(I.Facility.P1IDNumber,2921)="","",INDEX(I.Facility.P1IDNumber,2921))</f>
        <v/>
      </c>
      <c r="G2933" s="51"/>
      <c r="H2933" s="46" t="str">
        <f>IF(AND(I.Developer.P1=TRUE,I.Facility.P1FacilityCount&gt;=2921,F2933=""),"Incomplete","Complete")</f>
        <v>Complete</v>
      </c>
      <c r="I2933" s="48" t="s">
        <v>7298</v>
      </c>
    </row>
    <row r="2934" spans="2:9" ht="15" customHeight="1" x14ac:dyDescent="0.25">
      <c r="B2934" s="55" t="s">
        <v>279</v>
      </c>
      <c r="C2934" s="46">
        <v>2922</v>
      </c>
      <c r="D2934" s="69" t="s">
        <v>29416</v>
      </c>
      <c r="E2934" s="51"/>
      <c r="F2934" s="114" t="str">
        <f>IF(INDEX(I.Facility.P1IDNumber,2922)="","",INDEX(I.Facility.P1IDNumber,2922))</f>
        <v/>
      </c>
      <c r="G2934" s="51"/>
      <c r="H2934" s="46" t="str">
        <f>IF(AND(I.Developer.P1=TRUE,I.Facility.P1FacilityCount&gt;=2922,F2934=""),"Incomplete","Complete")</f>
        <v>Complete</v>
      </c>
      <c r="I2934" s="48" t="s">
        <v>7299</v>
      </c>
    </row>
    <row r="2935" spans="2:9" ht="15" customHeight="1" x14ac:dyDescent="0.25">
      <c r="B2935" s="55" t="s">
        <v>279</v>
      </c>
      <c r="C2935" s="46">
        <v>2923</v>
      </c>
      <c r="D2935" s="69" t="s">
        <v>29416</v>
      </c>
      <c r="E2935" s="51"/>
      <c r="F2935" s="114" t="str">
        <f>IF(INDEX(I.Facility.P1IDNumber,2923)="","",INDEX(I.Facility.P1IDNumber,2923))</f>
        <v/>
      </c>
      <c r="G2935" s="51"/>
      <c r="H2935" s="46" t="str">
        <f>IF(AND(I.Developer.P1=TRUE,I.Facility.P1FacilityCount&gt;=2923,F2935=""),"Incomplete","Complete")</f>
        <v>Complete</v>
      </c>
      <c r="I2935" s="48" t="s">
        <v>7300</v>
      </c>
    </row>
    <row r="2936" spans="2:9" ht="15" customHeight="1" x14ac:dyDescent="0.25">
      <c r="B2936" s="55" t="s">
        <v>279</v>
      </c>
      <c r="C2936" s="46">
        <v>2924</v>
      </c>
      <c r="D2936" s="69" t="s">
        <v>29416</v>
      </c>
      <c r="E2936" s="51"/>
      <c r="F2936" s="114" t="str">
        <f>IF(INDEX(I.Facility.P1IDNumber,2924)="","",INDEX(I.Facility.P1IDNumber,2924))</f>
        <v/>
      </c>
      <c r="G2936" s="51"/>
      <c r="H2936" s="46" t="str">
        <f>IF(AND(I.Developer.P1=TRUE,I.Facility.P1FacilityCount&gt;=2924,F2936=""),"Incomplete","Complete")</f>
        <v>Complete</v>
      </c>
      <c r="I2936" s="48" t="s">
        <v>7301</v>
      </c>
    </row>
    <row r="2937" spans="2:9" ht="15" customHeight="1" x14ac:dyDescent="0.25">
      <c r="B2937" s="55" t="s">
        <v>279</v>
      </c>
      <c r="C2937" s="46">
        <v>2925</v>
      </c>
      <c r="D2937" s="69" t="s">
        <v>29416</v>
      </c>
      <c r="E2937" s="51"/>
      <c r="F2937" s="114" t="str">
        <f>IF(INDEX(I.Facility.P1IDNumber,2925)="","",INDEX(I.Facility.P1IDNumber,2925))</f>
        <v/>
      </c>
      <c r="G2937" s="51"/>
      <c r="H2937" s="46" t="str">
        <f>IF(AND(I.Developer.P1=TRUE,I.Facility.P1FacilityCount&gt;=2925,F2937=""),"Incomplete","Complete")</f>
        <v>Complete</v>
      </c>
      <c r="I2937" s="48" t="s">
        <v>7302</v>
      </c>
    </row>
    <row r="2938" spans="2:9" ht="15" customHeight="1" x14ac:dyDescent="0.25">
      <c r="B2938" s="55" t="s">
        <v>279</v>
      </c>
      <c r="C2938" s="46">
        <v>2926</v>
      </c>
      <c r="D2938" s="69" t="s">
        <v>29416</v>
      </c>
      <c r="E2938" s="51"/>
      <c r="F2938" s="114" t="str">
        <f>IF(INDEX(I.Facility.P1IDNumber,2926)="","",INDEX(I.Facility.P1IDNumber,2926))</f>
        <v/>
      </c>
      <c r="G2938" s="51"/>
      <c r="H2938" s="46" t="str">
        <f>IF(AND(I.Developer.P1=TRUE,I.Facility.P1FacilityCount&gt;=2926,F2938=""),"Incomplete","Complete")</f>
        <v>Complete</v>
      </c>
      <c r="I2938" s="48" t="s">
        <v>7303</v>
      </c>
    </row>
    <row r="2939" spans="2:9" ht="15" customHeight="1" x14ac:dyDescent="0.25">
      <c r="B2939" s="55" t="s">
        <v>279</v>
      </c>
      <c r="C2939" s="46">
        <v>2927</v>
      </c>
      <c r="D2939" s="69" t="s">
        <v>29416</v>
      </c>
      <c r="E2939" s="51"/>
      <c r="F2939" s="114" t="str">
        <f>IF(INDEX(I.Facility.P1IDNumber,2927)="","",INDEX(I.Facility.P1IDNumber,2927))</f>
        <v/>
      </c>
      <c r="G2939" s="51"/>
      <c r="H2939" s="46" t="str">
        <f>IF(AND(I.Developer.P1=TRUE,I.Facility.P1FacilityCount&gt;=2927,F2939=""),"Incomplete","Complete")</f>
        <v>Complete</v>
      </c>
      <c r="I2939" s="48" t="s">
        <v>7304</v>
      </c>
    </row>
    <row r="2940" spans="2:9" ht="15" customHeight="1" x14ac:dyDescent="0.25">
      <c r="B2940" s="55" t="s">
        <v>279</v>
      </c>
      <c r="C2940" s="46">
        <v>2928</v>
      </c>
      <c r="D2940" s="69" t="s">
        <v>29416</v>
      </c>
      <c r="E2940" s="51"/>
      <c r="F2940" s="114" t="str">
        <f>IF(INDEX(I.Facility.P1IDNumber,2928)="","",INDEX(I.Facility.P1IDNumber,2928))</f>
        <v/>
      </c>
      <c r="G2940" s="51"/>
      <c r="H2940" s="46" t="str">
        <f>IF(AND(I.Developer.P1=TRUE,I.Facility.P1FacilityCount&gt;=2928,F2940=""),"Incomplete","Complete")</f>
        <v>Complete</v>
      </c>
      <c r="I2940" s="48" t="s">
        <v>7305</v>
      </c>
    </row>
    <row r="2941" spans="2:9" ht="15" customHeight="1" x14ac:dyDescent="0.25">
      <c r="B2941" s="55" t="s">
        <v>279</v>
      </c>
      <c r="C2941" s="46">
        <v>2929</v>
      </c>
      <c r="D2941" s="69" t="s">
        <v>29416</v>
      </c>
      <c r="E2941" s="51"/>
      <c r="F2941" s="114" t="str">
        <f>IF(INDEX(I.Facility.P1IDNumber,2929)="","",INDEX(I.Facility.P1IDNumber,2929))</f>
        <v/>
      </c>
      <c r="G2941" s="51"/>
      <c r="H2941" s="46" t="str">
        <f>IF(AND(I.Developer.P1=TRUE,I.Facility.P1FacilityCount&gt;=2929,F2941=""),"Incomplete","Complete")</f>
        <v>Complete</v>
      </c>
      <c r="I2941" s="48" t="s">
        <v>7306</v>
      </c>
    </row>
    <row r="2942" spans="2:9" ht="15" customHeight="1" x14ac:dyDescent="0.25">
      <c r="B2942" s="55" t="s">
        <v>279</v>
      </c>
      <c r="C2942" s="46">
        <v>2930</v>
      </c>
      <c r="D2942" s="69" t="s">
        <v>29416</v>
      </c>
      <c r="E2942" s="51"/>
      <c r="F2942" s="114" t="str">
        <f>IF(INDEX(I.Facility.P1IDNumber,2930)="","",INDEX(I.Facility.P1IDNumber,2930))</f>
        <v/>
      </c>
      <c r="G2942" s="51"/>
      <c r="H2942" s="46" t="str">
        <f>IF(AND(I.Developer.P1=TRUE,I.Facility.P1FacilityCount&gt;=2930,F2942=""),"Incomplete","Complete")</f>
        <v>Complete</v>
      </c>
      <c r="I2942" s="48" t="s">
        <v>7307</v>
      </c>
    </row>
    <row r="2943" spans="2:9" ht="15" customHeight="1" x14ac:dyDescent="0.25">
      <c r="B2943" s="55" t="s">
        <v>279</v>
      </c>
      <c r="C2943" s="46">
        <v>2931</v>
      </c>
      <c r="D2943" s="69" t="s">
        <v>29416</v>
      </c>
      <c r="E2943" s="51"/>
      <c r="F2943" s="114" t="str">
        <f>IF(INDEX(I.Facility.P1IDNumber,2931)="","",INDEX(I.Facility.P1IDNumber,2931))</f>
        <v/>
      </c>
      <c r="G2943" s="51"/>
      <c r="H2943" s="46" t="str">
        <f>IF(AND(I.Developer.P1=TRUE,I.Facility.P1FacilityCount&gt;=2931,F2943=""),"Incomplete","Complete")</f>
        <v>Complete</v>
      </c>
      <c r="I2943" s="48" t="s">
        <v>7308</v>
      </c>
    </row>
    <row r="2944" spans="2:9" ht="15" customHeight="1" x14ac:dyDescent="0.25">
      <c r="B2944" s="55" t="s">
        <v>279</v>
      </c>
      <c r="C2944" s="46">
        <v>2932</v>
      </c>
      <c r="D2944" s="69" t="s">
        <v>29416</v>
      </c>
      <c r="E2944" s="51"/>
      <c r="F2944" s="114" t="str">
        <f>IF(INDEX(I.Facility.P1IDNumber,2932)="","",INDEX(I.Facility.P1IDNumber,2932))</f>
        <v/>
      </c>
      <c r="G2944" s="51"/>
      <c r="H2944" s="46" t="str">
        <f>IF(AND(I.Developer.P1=TRUE,I.Facility.P1FacilityCount&gt;=2932,F2944=""),"Incomplete","Complete")</f>
        <v>Complete</v>
      </c>
      <c r="I2944" s="48" t="s">
        <v>7309</v>
      </c>
    </row>
    <row r="2945" spans="2:9" ht="15" customHeight="1" x14ac:dyDescent="0.25">
      <c r="B2945" s="55" t="s">
        <v>279</v>
      </c>
      <c r="C2945" s="46">
        <v>2933</v>
      </c>
      <c r="D2945" s="69" t="s">
        <v>29416</v>
      </c>
      <c r="E2945" s="51"/>
      <c r="F2945" s="114" t="str">
        <f>IF(INDEX(I.Facility.P1IDNumber,2933)="","",INDEX(I.Facility.P1IDNumber,2933))</f>
        <v/>
      </c>
      <c r="G2945" s="51"/>
      <c r="H2945" s="46" t="str">
        <f>IF(AND(I.Developer.P1=TRUE,I.Facility.P1FacilityCount&gt;=2933,F2945=""),"Incomplete","Complete")</f>
        <v>Complete</v>
      </c>
      <c r="I2945" s="48" t="s">
        <v>7310</v>
      </c>
    </row>
    <row r="2946" spans="2:9" ht="15" customHeight="1" x14ac:dyDescent="0.25">
      <c r="B2946" s="55" t="s">
        <v>279</v>
      </c>
      <c r="C2946" s="46">
        <v>2934</v>
      </c>
      <c r="D2946" s="69" t="s">
        <v>29416</v>
      </c>
      <c r="E2946" s="51"/>
      <c r="F2946" s="114" t="str">
        <f>IF(INDEX(I.Facility.P1IDNumber,2934)="","",INDEX(I.Facility.P1IDNumber,2934))</f>
        <v/>
      </c>
      <c r="G2946" s="51"/>
      <c r="H2946" s="46" t="str">
        <f>IF(AND(I.Developer.P1=TRUE,I.Facility.P1FacilityCount&gt;=2934,F2946=""),"Incomplete","Complete")</f>
        <v>Complete</v>
      </c>
      <c r="I2946" s="48" t="s">
        <v>7311</v>
      </c>
    </row>
    <row r="2947" spans="2:9" ht="15" customHeight="1" x14ac:dyDescent="0.25">
      <c r="B2947" s="55" t="s">
        <v>279</v>
      </c>
      <c r="C2947" s="46">
        <v>2935</v>
      </c>
      <c r="D2947" s="69" t="s">
        <v>29416</v>
      </c>
      <c r="E2947" s="51"/>
      <c r="F2947" s="114" t="str">
        <f>IF(INDEX(I.Facility.P1IDNumber,2935)="","",INDEX(I.Facility.P1IDNumber,2935))</f>
        <v/>
      </c>
      <c r="G2947" s="51"/>
      <c r="H2947" s="46" t="str">
        <f>IF(AND(I.Developer.P1=TRUE,I.Facility.P1FacilityCount&gt;=2935,F2947=""),"Incomplete","Complete")</f>
        <v>Complete</v>
      </c>
      <c r="I2947" s="48" t="s">
        <v>7312</v>
      </c>
    </row>
    <row r="2948" spans="2:9" ht="15" customHeight="1" x14ac:dyDescent="0.25">
      <c r="B2948" s="55" t="s">
        <v>279</v>
      </c>
      <c r="C2948" s="46">
        <v>2936</v>
      </c>
      <c r="D2948" s="69" t="s">
        <v>29416</v>
      </c>
      <c r="E2948" s="51"/>
      <c r="F2948" s="114" t="str">
        <f>IF(INDEX(I.Facility.P1IDNumber,2936)="","",INDEX(I.Facility.P1IDNumber,2936))</f>
        <v/>
      </c>
      <c r="G2948" s="51"/>
      <c r="H2948" s="46" t="str">
        <f>IF(AND(I.Developer.P1=TRUE,I.Facility.P1FacilityCount&gt;=2936,F2948=""),"Incomplete","Complete")</f>
        <v>Complete</v>
      </c>
      <c r="I2948" s="48" t="s">
        <v>7313</v>
      </c>
    </row>
    <row r="2949" spans="2:9" ht="15" customHeight="1" x14ac:dyDescent="0.25">
      <c r="B2949" s="55" t="s">
        <v>279</v>
      </c>
      <c r="C2949" s="46">
        <v>2937</v>
      </c>
      <c r="D2949" s="69" t="s">
        <v>29416</v>
      </c>
      <c r="E2949" s="51"/>
      <c r="F2949" s="114" t="str">
        <f>IF(INDEX(I.Facility.P1IDNumber,2937)="","",INDEX(I.Facility.P1IDNumber,2937))</f>
        <v/>
      </c>
      <c r="G2949" s="51"/>
      <c r="H2949" s="46" t="str">
        <f>IF(AND(I.Developer.P1=TRUE,I.Facility.P1FacilityCount&gt;=2937,F2949=""),"Incomplete","Complete")</f>
        <v>Complete</v>
      </c>
      <c r="I2949" s="48" t="s">
        <v>7314</v>
      </c>
    </row>
    <row r="2950" spans="2:9" ht="15" customHeight="1" x14ac:dyDescent="0.25">
      <c r="B2950" s="55" t="s">
        <v>279</v>
      </c>
      <c r="C2950" s="46">
        <v>2938</v>
      </c>
      <c r="D2950" s="69" t="s">
        <v>29416</v>
      </c>
      <c r="E2950" s="51"/>
      <c r="F2950" s="114" t="str">
        <f>IF(INDEX(I.Facility.P1IDNumber,2938)="","",INDEX(I.Facility.P1IDNumber,2938))</f>
        <v/>
      </c>
      <c r="G2950" s="51"/>
      <c r="H2950" s="46" t="str">
        <f>IF(AND(I.Developer.P1=TRUE,I.Facility.P1FacilityCount&gt;=2938,F2950=""),"Incomplete","Complete")</f>
        <v>Complete</v>
      </c>
      <c r="I2950" s="48" t="s">
        <v>7315</v>
      </c>
    </row>
    <row r="2951" spans="2:9" ht="15" customHeight="1" x14ac:dyDescent="0.25">
      <c r="B2951" s="55" t="s">
        <v>279</v>
      </c>
      <c r="C2951" s="46">
        <v>2939</v>
      </c>
      <c r="D2951" s="69" t="s">
        <v>29416</v>
      </c>
      <c r="E2951" s="51"/>
      <c r="F2951" s="114" t="str">
        <f>IF(INDEX(I.Facility.P1IDNumber,2939)="","",INDEX(I.Facility.P1IDNumber,2939))</f>
        <v/>
      </c>
      <c r="G2951" s="51"/>
      <c r="H2951" s="46" t="str">
        <f>IF(AND(I.Developer.P1=TRUE,I.Facility.P1FacilityCount&gt;=2939,F2951=""),"Incomplete","Complete")</f>
        <v>Complete</v>
      </c>
      <c r="I2951" s="48" t="s">
        <v>7316</v>
      </c>
    </row>
    <row r="2952" spans="2:9" ht="15" customHeight="1" x14ac:dyDescent="0.25">
      <c r="B2952" s="55" t="s">
        <v>279</v>
      </c>
      <c r="C2952" s="46">
        <v>2940</v>
      </c>
      <c r="D2952" s="69" t="s">
        <v>29416</v>
      </c>
      <c r="E2952" s="51"/>
      <c r="F2952" s="114" t="str">
        <f>IF(INDEX(I.Facility.P1IDNumber,2940)="","",INDEX(I.Facility.P1IDNumber,2940))</f>
        <v/>
      </c>
      <c r="G2952" s="51"/>
      <c r="H2952" s="46" t="str">
        <f>IF(AND(I.Developer.P1=TRUE,I.Facility.P1FacilityCount&gt;=2940,F2952=""),"Incomplete","Complete")</f>
        <v>Complete</v>
      </c>
      <c r="I2952" s="48" t="s">
        <v>7317</v>
      </c>
    </row>
    <row r="2953" spans="2:9" ht="15" customHeight="1" x14ac:dyDescent="0.25">
      <c r="B2953" s="55" t="s">
        <v>279</v>
      </c>
      <c r="C2953" s="46">
        <v>2941</v>
      </c>
      <c r="D2953" s="69" t="s">
        <v>29416</v>
      </c>
      <c r="E2953" s="51"/>
      <c r="F2953" s="114" t="str">
        <f>IF(INDEX(I.Facility.P1IDNumber,2941)="","",INDEX(I.Facility.P1IDNumber,2941))</f>
        <v/>
      </c>
      <c r="G2953" s="51"/>
      <c r="H2953" s="46" t="str">
        <f>IF(AND(I.Developer.P1=TRUE,I.Facility.P1FacilityCount&gt;=2941,F2953=""),"Incomplete","Complete")</f>
        <v>Complete</v>
      </c>
      <c r="I2953" s="48" t="s">
        <v>7318</v>
      </c>
    </row>
    <row r="2954" spans="2:9" ht="15" customHeight="1" x14ac:dyDescent="0.25">
      <c r="B2954" s="55" t="s">
        <v>279</v>
      </c>
      <c r="C2954" s="46">
        <v>2942</v>
      </c>
      <c r="D2954" s="69" t="s">
        <v>29416</v>
      </c>
      <c r="E2954" s="51"/>
      <c r="F2954" s="114" t="str">
        <f>IF(INDEX(I.Facility.P1IDNumber,2942)="","",INDEX(I.Facility.P1IDNumber,2942))</f>
        <v/>
      </c>
      <c r="G2954" s="51"/>
      <c r="H2954" s="46" t="str">
        <f>IF(AND(I.Developer.P1=TRUE,I.Facility.P1FacilityCount&gt;=2942,F2954=""),"Incomplete","Complete")</f>
        <v>Complete</v>
      </c>
      <c r="I2954" s="48" t="s">
        <v>7319</v>
      </c>
    </row>
    <row r="2955" spans="2:9" ht="15" customHeight="1" x14ac:dyDescent="0.25">
      <c r="B2955" s="55" t="s">
        <v>279</v>
      </c>
      <c r="C2955" s="46">
        <v>2943</v>
      </c>
      <c r="D2955" s="69" t="s">
        <v>29416</v>
      </c>
      <c r="E2955" s="51"/>
      <c r="F2955" s="114" t="str">
        <f>IF(INDEX(I.Facility.P1IDNumber,2943)="","",INDEX(I.Facility.P1IDNumber,2943))</f>
        <v/>
      </c>
      <c r="G2955" s="51"/>
      <c r="H2955" s="46" t="str">
        <f>IF(AND(I.Developer.P1=TRUE,I.Facility.P1FacilityCount&gt;=2943,F2955=""),"Incomplete","Complete")</f>
        <v>Complete</v>
      </c>
      <c r="I2955" s="48" t="s">
        <v>7320</v>
      </c>
    </row>
    <row r="2956" spans="2:9" ht="15" customHeight="1" x14ac:dyDescent="0.25">
      <c r="B2956" s="55" t="s">
        <v>279</v>
      </c>
      <c r="C2956" s="46">
        <v>2944</v>
      </c>
      <c r="D2956" s="69" t="s">
        <v>29416</v>
      </c>
      <c r="E2956" s="51"/>
      <c r="F2956" s="114" t="str">
        <f>IF(INDEX(I.Facility.P1IDNumber,2944)="","",INDEX(I.Facility.P1IDNumber,2944))</f>
        <v/>
      </c>
      <c r="G2956" s="51"/>
      <c r="H2956" s="46" t="str">
        <f>IF(AND(I.Developer.P1=TRUE,I.Facility.P1FacilityCount&gt;=2944,F2956=""),"Incomplete","Complete")</f>
        <v>Complete</v>
      </c>
      <c r="I2956" s="48" t="s">
        <v>7321</v>
      </c>
    </row>
    <row r="2957" spans="2:9" ht="15" customHeight="1" x14ac:dyDescent="0.25">
      <c r="B2957" s="55" t="s">
        <v>279</v>
      </c>
      <c r="C2957" s="46">
        <v>2945</v>
      </c>
      <c r="D2957" s="69" t="s">
        <v>29416</v>
      </c>
      <c r="E2957" s="51"/>
      <c r="F2957" s="114" t="str">
        <f>IF(INDEX(I.Facility.P1IDNumber,2945)="","",INDEX(I.Facility.P1IDNumber,2945))</f>
        <v/>
      </c>
      <c r="G2957" s="51"/>
      <c r="H2957" s="46" t="str">
        <f>IF(AND(I.Developer.P1=TRUE,I.Facility.P1FacilityCount&gt;=2945,F2957=""),"Incomplete","Complete")</f>
        <v>Complete</v>
      </c>
      <c r="I2957" s="48" t="s">
        <v>7322</v>
      </c>
    </row>
    <row r="2958" spans="2:9" ht="15" customHeight="1" x14ac:dyDescent="0.25">
      <c r="B2958" s="55" t="s">
        <v>279</v>
      </c>
      <c r="C2958" s="46">
        <v>2946</v>
      </c>
      <c r="D2958" s="69" t="s">
        <v>29416</v>
      </c>
      <c r="E2958" s="51"/>
      <c r="F2958" s="114" t="str">
        <f>IF(INDEX(I.Facility.P1IDNumber,2946)="","",INDEX(I.Facility.P1IDNumber,2946))</f>
        <v/>
      </c>
      <c r="G2958" s="51"/>
      <c r="H2958" s="46" t="str">
        <f>IF(AND(I.Developer.P1=TRUE,I.Facility.P1FacilityCount&gt;=2946,F2958=""),"Incomplete","Complete")</f>
        <v>Complete</v>
      </c>
      <c r="I2958" s="48" t="s">
        <v>7323</v>
      </c>
    </row>
    <row r="2959" spans="2:9" ht="15" customHeight="1" x14ac:dyDescent="0.25">
      <c r="B2959" s="55" t="s">
        <v>279</v>
      </c>
      <c r="C2959" s="46">
        <v>2947</v>
      </c>
      <c r="D2959" s="69" t="s">
        <v>29416</v>
      </c>
      <c r="E2959" s="51"/>
      <c r="F2959" s="114" t="str">
        <f>IF(INDEX(I.Facility.P1IDNumber,2947)="","",INDEX(I.Facility.P1IDNumber,2947))</f>
        <v/>
      </c>
      <c r="G2959" s="51"/>
      <c r="H2959" s="46" t="str">
        <f>IF(AND(I.Developer.P1=TRUE,I.Facility.P1FacilityCount&gt;=2947,F2959=""),"Incomplete","Complete")</f>
        <v>Complete</v>
      </c>
      <c r="I2959" s="48" t="s">
        <v>7324</v>
      </c>
    </row>
    <row r="2960" spans="2:9" ht="15" customHeight="1" x14ac:dyDescent="0.25">
      <c r="B2960" s="55" t="s">
        <v>279</v>
      </c>
      <c r="C2960" s="46">
        <v>2948</v>
      </c>
      <c r="D2960" s="69" t="s">
        <v>29416</v>
      </c>
      <c r="E2960" s="51"/>
      <c r="F2960" s="114" t="str">
        <f>IF(INDEX(I.Facility.P1IDNumber,2948)="","",INDEX(I.Facility.P1IDNumber,2948))</f>
        <v/>
      </c>
      <c r="G2960" s="51"/>
      <c r="H2960" s="46" t="str">
        <f>IF(AND(I.Developer.P1=TRUE,I.Facility.P1FacilityCount&gt;=2948,F2960=""),"Incomplete","Complete")</f>
        <v>Complete</v>
      </c>
      <c r="I2960" s="48" t="s">
        <v>7325</v>
      </c>
    </row>
    <row r="2961" spans="2:9" ht="15" customHeight="1" x14ac:dyDescent="0.25">
      <c r="B2961" s="55" t="s">
        <v>279</v>
      </c>
      <c r="C2961" s="46">
        <v>2949</v>
      </c>
      <c r="D2961" s="69" t="s">
        <v>29416</v>
      </c>
      <c r="E2961" s="51"/>
      <c r="F2961" s="114" t="str">
        <f>IF(INDEX(I.Facility.P1IDNumber,2949)="","",INDEX(I.Facility.P1IDNumber,2949))</f>
        <v/>
      </c>
      <c r="G2961" s="51"/>
      <c r="H2961" s="46" t="str">
        <f>IF(AND(I.Developer.P1=TRUE,I.Facility.P1FacilityCount&gt;=2949,F2961=""),"Incomplete","Complete")</f>
        <v>Complete</v>
      </c>
      <c r="I2961" s="48" t="s">
        <v>7326</v>
      </c>
    </row>
    <row r="2962" spans="2:9" ht="15" customHeight="1" x14ac:dyDescent="0.25">
      <c r="B2962" s="55" t="s">
        <v>279</v>
      </c>
      <c r="C2962" s="46">
        <v>2950</v>
      </c>
      <c r="D2962" s="69" t="s">
        <v>29416</v>
      </c>
      <c r="E2962" s="51"/>
      <c r="F2962" s="114" t="str">
        <f>IF(INDEX(I.Facility.P1IDNumber,2950)="","",INDEX(I.Facility.P1IDNumber,2950))</f>
        <v/>
      </c>
      <c r="G2962" s="51"/>
      <c r="H2962" s="46" t="str">
        <f>IF(AND(I.Developer.P1=TRUE,I.Facility.P1FacilityCount&gt;=2950,F2962=""),"Incomplete","Complete")</f>
        <v>Complete</v>
      </c>
      <c r="I2962" s="48" t="s">
        <v>7327</v>
      </c>
    </row>
    <row r="2963" spans="2:9" ht="15" customHeight="1" x14ac:dyDescent="0.25">
      <c r="B2963" s="55" t="s">
        <v>279</v>
      </c>
      <c r="C2963" s="46">
        <v>2951</v>
      </c>
      <c r="D2963" s="69" t="s">
        <v>29416</v>
      </c>
      <c r="E2963" s="51"/>
      <c r="F2963" s="114" t="str">
        <f>IF(INDEX(I.Facility.P1IDNumber,2951)="","",INDEX(I.Facility.P1IDNumber,2951))</f>
        <v/>
      </c>
      <c r="G2963" s="51"/>
      <c r="H2963" s="46" t="str">
        <f>IF(AND(I.Developer.P1=TRUE,I.Facility.P1FacilityCount&gt;=2951,F2963=""),"Incomplete","Complete")</f>
        <v>Complete</v>
      </c>
      <c r="I2963" s="48" t="s">
        <v>7328</v>
      </c>
    </row>
    <row r="2964" spans="2:9" ht="15" customHeight="1" x14ac:dyDescent="0.25">
      <c r="B2964" s="55" t="s">
        <v>279</v>
      </c>
      <c r="C2964" s="46">
        <v>2952</v>
      </c>
      <c r="D2964" s="69" t="s">
        <v>29416</v>
      </c>
      <c r="E2964" s="51"/>
      <c r="F2964" s="114" t="str">
        <f>IF(INDEX(I.Facility.P1IDNumber,2952)="","",INDEX(I.Facility.P1IDNumber,2952))</f>
        <v/>
      </c>
      <c r="G2964" s="51"/>
      <c r="H2964" s="46" t="str">
        <f>IF(AND(I.Developer.P1=TRUE,I.Facility.P1FacilityCount&gt;=2952,F2964=""),"Incomplete","Complete")</f>
        <v>Complete</v>
      </c>
      <c r="I2964" s="48" t="s">
        <v>7329</v>
      </c>
    </row>
    <row r="2965" spans="2:9" ht="15" customHeight="1" x14ac:dyDescent="0.25">
      <c r="B2965" s="55" t="s">
        <v>279</v>
      </c>
      <c r="C2965" s="46">
        <v>2953</v>
      </c>
      <c r="D2965" s="69" t="s">
        <v>29416</v>
      </c>
      <c r="E2965" s="51"/>
      <c r="F2965" s="114" t="str">
        <f>IF(INDEX(I.Facility.P1IDNumber,2953)="","",INDEX(I.Facility.P1IDNumber,2953))</f>
        <v/>
      </c>
      <c r="G2965" s="51"/>
      <c r="H2965" s="46" t="str">
        <f>IF(AND(I.Developer.P1=TRUE,I.Facility.P1FacilityCount&gt;=2953,F2965=""),"Incomplete","Complete")</f>
        <v>Complete</v>
      </c>
      <c r="I2965" s="48" t="s">
        <v>7330</v>
      </c>
    </row>
    <row r="2966" spans="2:9" ht="15" customHeight="1" x14ac:dyDescent="0.25">
      <c r="B2966" s="55" t="s">
        <v>279</v>
      </c>
      <c r="C2966" s="46">
        <v>2954</v>
      </c>
      <c r="D2966" s="69" t="s">
        <v>29416</v>
      </c>
      <c r="E2966" s="51"/>
      <c r="F2966" s="114" t="str">
        <f>IF(INDEX(I.Facility.P1IDNumber,2954)="","",INDEX(I.Facility.P1IDNumber,2954))</f>
        <v/>
      </c>
      <c r="G2966" s="51"/>
      <c r="H2966" s="46" t="str">
        <f>IF(AND(I.Developer.P1=TRUE,I.Facility.P1FacilityCount&gt;=2954,F2966=""),"Incomplete","Complete")</f>
        <v>Complete</v>
      </c>
      <c r="I2966" s="48" t="s">
        <v>7331</v>
      </c>
    </row>
    <row r="2967" spans="2:9" ht="15" customHeight="1" x14ac:dyDescent="0.25">
      <c r="B2967" s="55" t="s">
        <v>279</v>
      </c>
      <c r="C2967" s="46">
        <v>2955</v>
      </c>
      <c r="D2967" s="69" t="s">
        <v>29416</v>
      </c>
      <c r="E2967" s="51"/>
      <c r="F2967" s="114" t="str">
        <f>IF(INDEX(I.Facility.P1IDNumber,2955)="","",INDEX(I.Facility.P1IDNumber,2955))</f>
        <v/>
      </c>
      <c r="G2967" s="51"/>
      <c r="H2967" s="46" t="str">
        <f>IF(AND(I.Developer.P1=TRUE,I.Facility.P1FacilityCount&gt;=2955,F2967=""),"Incomplete","Complete")</f>
        <v>Complete</v>
      </c>
      <c r="I2967" s="48" t="s">
        <v>7332</v>
      </c>
    </row>
    <row r="2968" spans="2:9" ht="15" customHeight="1" x14ac:dyDescent="0.25">
      <c r="B2968" s="55" t="s">
        <v>279</v>
      </c>
      <c r="C2968" s="46">
        <v>2956</v>
      </c>
      <c r="D2968" s="69" t="s">
        <v>29416</v>
      </c>
      <c r="E2968" s="51"/>
      <c r="F2968" s="114" t="str">
        <f>IF(INDEX(I.Facility.P1IDNumber,2956)="","",INDEX(I.Facility.P1IDNumber,2956))</f>
        <v/>
      </c>
      <c r="G2968" s="51"/>
      <c r="H2968" s="46" t="str">
        <f>IF(AND(I.Developer.P1=TRUE,I.Facility.P1FacilityCount&gt;=2956,F2968=""),"Incomplete","Complete")</f>
        <v>Complete</v>
      </c>
      <c r="I2968" s="48" t="s">
        <v>7333</v>
      </c>
    </row>
    <row r="2969" spans="2:9" ht="15" customHeight="1" x14ac:dyDescent="0.25">
      <c r="B2969" s="55" t="s">
        <v>279</v>
      </c>
      <c r="C2969" s="46">
        <v>2957</v>
      </c>
      <c r="D2969" s="69" t="s">
        <v>29416</v>
      </c>
      <c r="E2969" s="51"/>
      <c r="F2969" s="114" t="str">
        <f>IF(INDEX(I.Facility.P1IDNumber,2957)="","",INDEX(I.Facility.P1IDNumber,2957))</f>
        <v/>
      </c>
      <c r="G2969" s="51"/>
      <c r="H2969" s="46" t="str">
        <f>IF(AND(I.Developer.P1=TRUE,I.Facility.P1FacilityCount&gt;=2957,F2969=""),"Incomplete","Complete")</f>
        <v>Complete</v>
      </c>
      <c r="I2969" s="48" t="s">
        <v>7334</v>
      </c>
    </row>
    <row r="2970" spans="2:9" ht="15" customHeight="1" x14ac:dyDescent="0.25">
      <c r="B2970" s="55" t="s">
        <v>279</v>
      </c>
      <c r="C2970" s="46">
        <v>2958</v>
      </c>
      <c r="D2970" s="69" t="s">
        <v>29416</v>
      </c>
      <c r="E2970" s="51"/>
      <c r="F2970" s="114" t="str">
        <f>IF(INDEX(I.Facility.P1IDNumber,2958)="","",INDEX(I.Facility.P1IDNumber,2958))</f>
        <v/>
      </c>
      <c r="G2970" s="51"/>
      <c r="H2970" s="46" t="str">
        <f>IF(AND(I.Developer.P1=TRUE,I.Facility.P1FacilityCount&gt;=2958,F2970=""),"Incomplete","Complete")</f>
        <v>Complete</v>
      </c>
      <c r="I2970" s="48" t="s">
        <v>7335</v>
      </c>
    </row>
    <row r="2971" spans="2:9" ht="15" customHeight="1" x14ac:dyDescent="0.25">
      <c r="B2971" s="55" t="s">
        <v>279</v>
      </c>
      <c r="C2971" s="46">
        <v>2959</v>
      </c>
      <c r="D2971" s="69" t="s">
        <v>29416</v>
      </c>
      <c r="E2971" s="51"/>
      <c r="F2971" s="114" t="str">
        <f>IF(INDEX(I.Facility.P1IDNumber,2959)="","",INDEX(I.Facility.P1IDNumber,2959))</f>
        <v/>
      </c>
      <c r="G2971" s="51"/>
      <c r="H2971" s="46" t="str">
        <f>IF(AND(I.Developer.P1=TRUE,I.Facility.P1FacilityCount&gt;=2959,F2971=""),"Incomplete","Complete")</f>
        <v>Complete</v>
      </c>
      <c r="I2971" s="48" t="s">
        <v>7336</v>
      </c>
    </row>
    <row r="2972" spans="2:9" ht="15" customHeight="1" x14ac:dyDescent="0.25">
      <c r="B2972" s="55" t="s">
        <v>279</v>
      </c>
      <c r="C2972" s="46">
        <v>2960</v>
      </c>
      <c r="D2972" s="69" t="s">
        <v>29416</v>
      </c>
      <c r="E2972" s="51"/>
      <c r="F2972" s="114" t="str">
        <f>IF(INDEX(I.Facility.P1IDNumber,2960)="","",INDEX(I.Facility.P1IDNumber,2960))</f>
        <v/>
      </c>
      <c r="G2972" s="51"/>
      <c r="H2972" s="46" t="str">
        <f>IF(AND(I.Developer.P1=TRUE,I.Facility.P1FacilityCount&gt;=2960,F2972=""),"Incomplete","Complete")</f>
        <v>Complete</v>
      </c>
      <c r="I2972" s="48" t="s">
        <v>7337</v>
      </c>
    </row>
    <row r="2973" spans="2:9" ht="15" customHeight="1" x14ac:dyDescent="0.25">
      <c r="B2973" s="55" t="s">
        <v>279</v>
      </c>
      <c r="C2973" s="46">
        <v>2961</v>
      </c>
      <c r="D2973" s="69" t="s">
        <v>29416</v>
      </c>
      <c r="E2973" s="51"/>
      <c r="F2973" s="114" t="str">
        <f>IF(INDEX(I.Facility.P1IDNumber,2961)="","",INDEX(I.Facility.P1IDNumber,2961))</f>
        <v/>
      </c>
      <c r="G2973" s="51"/>
      <c r="H2973" s="46" t="str">
        <f>IF(AND(I.Developer.P1=TRUE,I.Facility.P1FacilityCount&gt;=2961,F2973=""),"Incomplete","Complete")</f>
        <v>Complete</v>
      </c>
      <c r="I2973" s="48" t="s">
        <v>7338</v>
      </c>
    </row>
    <row r="2974" spans="2:9" ht="15" customHeight="1" x14ac:dyDescent="0.25">
      <c r="B2974" s="55" t="s">
        <v>279</v>
      </c>
      <c r="C2974" s="46">
        <v>2962</v>
      </c>
      <c r="D2974" s="69" t="s">
        <v>29416</v>
      </c>
      <c r="E2974" s="51"/>
      <c r="F2974" s="114" t="str">
        <f>IF(INDEX(I.Facility.P1IDNumber,2962)="","",INDEX(I.Facility.P1IDNumber,2962))</f>
        <v/>
      </c>
      <c r="G2974" s="51"/>
      <c r="H2974" s="46" t="str">
        <f>IF(AND(I.Developer.P1=TRUE,I.Facility.P1FacilityCount&gt;=2962,F2974=""),"Incomplete","Complete")</f>
        <v>Complete</v>
      </c>
      <c r="I2974" s="48" t="s">
        <v>7339</v>
      </c>
    </row>
    <row r="2975" spans="2:9" ht="15" customHeight="1" x14ac:dyDescent="0.25">
      <c r="B2975" s="55" t="s">
        <v>279</v>
      </c>
      <c r="C2975" s="46">
        <v>2963</v>
      </c>
      <c r="D2975" s="69" t="s">
        <v>29416</v>
      </c>
      <c r="E2975" s="51"/>
      <c r="F2975" s="114" t="str">
        <f>IF(INDEX(I.Facility.P1IDNumber,2963)="","",INDEX(I.Facility.P1IDNumber,2963))</f>
        <v/>
      </c>
      <c r="G2975" s="51"/>
      <c r="H2975" s="46" t="str">
        <f>IF(AND(I.Developer.P1=TRUE,I.Facility.P1FacilityCount&gt;=2963,F2975=""),"Incomplete","Complete")</f>
        <v>Complete</v>
      </c>
      <c r="I2975" s="48" t="s">
        <v>7340</v>
      </c>
    </row>
    <row r="2976" spans="2:9" ht="15" customHeight="1" x14ac:dyDescent="0.25">
      <c r="B2976" s="55" t="s">
        <v>279</v>
      </c>
      <c r="C2976" s="46">
        <v>2964</v>
      </c>
      <c r="D2976" s="69" t="s">
        <v>29416</v>
      </c>
      <c r="E2976" s="51"/>
      <c r="F2976" s="114" t="str">
        <f>IF(INDEX(I.Facility.P1IDNumber,2964)="","",INDEX(I.Facility.P1IDNumber,2964))</f>
        <v/>
      </c>
      <c r="G2976" s="51"/>
      <c r="H2976" s="46" t="str">
        <f>IF(AND(I.Developer.P1=TRUE,I.Facility.P1FacilityCount&gt;=2964,F2976=""),"Incomplete","Complete")</f>
        <v>Complete</v>
      </c>
      <c r="I2976" s="48" t="s">
        <v>7341</v>
      </c>
    </row>
    <row r="2977" spans="2:9" ht="15" customHeight="1" x14ac:dyDescent="0.25">
      <c r="B2977" s="55" t="s">
        <v>279</v>
      </c>
      <c r="C2977" s="46">
        <v>2965</v>
      </c>
      <c r="D2977" s="69" t="s">
        <v>29416</v>
      </c>
      <c r="E2977" s="51"/>
      <c r="F2977" s="114" t="str">
        <f>IF(INDEX(I.Facility.P1IDNumber,2965)="","",INDEX(I.Facility.P1IDNumber,2965))</f>
        <v/>
      </c>
      <c r="G2977" s="51"/>
      <c r="H2977" s="46" t="str">
        <f>IF(AND(I.Developer.P1=TRUE,I.Facility.P1FacilityCount&gt;=2965,F2977=""),"Incomplete","Complete")</f>
        <v>Complete</v>
      </c>
      <c r="I2977" s="48" t="s">
        <v>7342</v>
      </c>
    </row>
    <row r="2978" spans="2:9" ht="15" customHeight="1" x14ac:dyDescent="0.25">
      <c r="B2978" s="55" t="s">
        <v>279</v>
      </c>
      <c r="C2978" s="46">
        <v>2966</v>
      </c>
      <c r="D2978" s="69" t="s">
        <v>29416</v>
      </c>
      <c r="E2978" s="51"/>
      <c r="F2978" s="114" t="str">
        <f>IF(INDEX(I.Facility.P1IDNumber,2966)="","",INDEX(I.Facility.P1IDNumber,2966))</f>
        <v/>
      </c>
      <c r="G2978" s="51"/>
      <c r="H2978" s="46" t="str">
        <f>IF(AND(I.Developer.P1=TRUE,I.Facility.P1FacilityCount&gt;=2966,F2978=""),"Incomplete","Complete")</f>
        <v>Complete</v>
      </c>
      <c r="I2978" s="48" t="s">
        <v>7343</v>
      </c>
    </row>
    <row r="2979" spans="2:9" ht="15" customHeight="1" x14ac:dyDescent="0.25">
      <c r="B2979" s="55" t="s">
        <v>279</v>
      </c>
      <c r="C2979" s="46">
        <v>2967</v>
      </c>
      <c r="D2979" s="69" t="s">
        <v>29416</v>
      </c>
      <c r="E2979" s="51"/>
      <c r="F2979" s="114" t="str">
        <f>IF(INDEX(I.Facility.P1IDNumber,2967)="","",INDEX(I.Facility.P1IDNumber,2967))</f>
        <v/>
      </c>
      <c r="G2979" s="51"/>
      <c r="H2979" s="46" t="str">
        <f>IF(AND(I.Developer.P1=TRUE,I.Facility.P1FacilityCount&gt;=2967,F2979=""),"Incomplete","Complete")</f>
        <v>Complete</v>
      </c>
      <c r="I2979" s="48" t="s">
        <v>7344</v>
      </c>
    </row>
    <row r="2980" spans="2:9" ht="15" customHeight="1" x14ac:dyDescent="0.25">
      <c r="B2980" s="55" t="s">
        <v>279</v>
      </c>
      <c r="C2980" s="46">
        <v>2968</v>
      </c>
      <c r="D2980" s="69" t="s">
        <v>29416</v>
      </c>
      <c r="E2980" s="51"/>
      <c r="F2980" s="114" t="str">
        <f>IF(INDEX(I.Facility.P1IDNumber,2968)="","",INDEX(I.Facility.P1IDNumber,2968))</f>
        <v/>
      </c>
      <c r="G2980" s="51"/>
      <c r="H2980" s="46" t="str">
        <f>IF(AND(I.Developer.P1=TRUE,I.Facility.P1FacilityCount&gt;=2968,F2980=""),"Incomplete","Complete")</f>
        <v>Complete</v>
      </c>
      <c r="I2980" s="48" t="s">
        <v>7345</v>
      </c>
    </row>
    <row r="2981" spans="2:9" ht="15" customHeight="1" x14ac:dyDescent="0.25">
      <c r="B2981" s="55" t="s">
        <v>279</v>
      </c>
      <c r="C2981" s="46">
        <v>2969</v>
      </c>
      <c r="D2981" s="69" t="s">
        <v>29416</v>
      </c>
      <c r="E2981" s="51"/>
      <c r="F2981" s="114" t="str">
        <f>IF(INDEX(I.Facility.P1IDNumber,2969)="","",INDEX(I.Facility.P1IDNumber,2969))</f>
        <v/>
      </c>
      <c r="G2981" s="51"/>
      <c r="H2981" s="46" t="str">
        <f>IF(AND(I.Developer.P1=TRUE,I.Facility.P1FacilityCount&gt;=2969,F2981=""),"Incomplete","Complete")</f>
        <v>Complete</v>
      </c>
      <c r="I2981" s="48" t="s">
        <v>7346</v>
      </c>
    </row>
    <row r="2982" spans="2:9" ht="15" customHeight="1" x14ac:dyDescent="0.25">
      <c r="B2982" s="55" t="s">
        <v>279</v>
      </c>
      <c r="C2982" s="46">
        <v>2970</v>
      </c>
      <c r="D2982" s="69" t="s">
        <v>29416</v>
      </c>
      <c r="E2982" s="51"/>
      <c r="F2982" s="114" t="str">
        <f>IF(INDEX(I.Facility.P1IDNumber,2970)="","",INDEX(I.Facility.P1IDNumber,2970))</f>
        <v/>
      </c>
      <c r="G2982" s="51"/>
      <c r="H2982" s="46" t="str">
        <f>IF(AND(I.Developer.P1=TRUE,I.Facility.P1FacilityCount&gt;=2970,F2982=""),"Incomplete","Complete")</f>
        <v>Complete</v>
      </c>
      <c r="I2982" s="48" t="s">
        <v>7347</v>
      </c>
    </row>
    <row r="2983" spans="2:9" ht="15" customHeight="1" x14ac:dyDescent="0.25">
      <c r="B2983" s="55" t="s">
        <v>279</v>
      </c>
      <c r="C2983" s="46">
        <v>2971</v>
      </c>
      <c r="D2983" s="69" t="s">
        <v>29416</v>
      </c>
      <c r="E2983" s="51"/>
      <c r="F2983" s="114" t="str">
        <f>IF(INDEX(I.Facility.P1IDNumber,2971)="","",INDEX(I.Facility.P1IDNumber,2971))</f>
        <v/>
      </c>
      <c r="G2983" s="51"/>
      <c r="H2983" s="46" t="str">
        <f>IF(AND(I.Developer.P1=TRUE,I.Facility.P1FacilityCount&gt;=2971,F2983=""),"Incomplete","Complete")</f>
        <v>Complete</v>
      </c>
      <c r="I2983" s="48" t="s">
        <v>7348</v>
      </c>
    </row>
    <row r="2984" spans="2:9" ht="15" customHeight="1" x14ac:dyDescent="0.25">
      <c r="B2984" s="55" t="s">
        <v>279</v>
      </c>
      <c r="C2984" s="46">
        <v>2972</v>
      </c>
      <c r="D2984" s="69" t="s">
        <v>29416</v>
      </c>
      <c r="E2984" s="51"/>
      <c r="F2984" s="114" t="str">
        <f>IF(INDEX(I.Facility.P1IDNumber,2972)="","",INDEX(I.Facility.P1IDNumber,2972))</f>
        <v/>
      </c>
      <c r="G2984" s="51"/>
      <c r="H2984" s="46" t="str">
        <f>IF(AND(I.Developer.P1=TRUE,I.Facility.P1FacilityCount&gt;=2972,F2984=""),"Incomplete","Complete")</f>
        <v>Complete</v>
      </c>
      <c r="I2984" s="48" t="s">
        <v>7349</v>
      </c>
    </row>
    <row r="2985" spans="2:9" ht="15" customHeight="1" x14ac:dyDescent="0.25">
      <c r="B2985" s="55" t="s">
        <v>279</v>
      </c>
      <c r="C2985" s="46">
        <v>2973</v>
      </c>
      <c r="D2985" s="69" t="s">
        <v>29416</v>
      </c>
      <c r="E2985" s="51"/>
      <c r="F2985" s="114" t="str">
        <f>IF(INDEX(I.Facility.P1IDNumber,2973)="","",INDEX(I.Facility.P1IDNumber,2973))</f>
        <v/>
      </c>
      <c r="G2985" s="51"/>
      <c r="H2985" s="46" t="str">
        <f>IF(AND(I.Developer.P1=TRUE,I.Facility.P1FacilityCount&gt;=2973,F2985=""),"Incomplete","Complete")</f>
        <v>Complete</v>
      </c>
      <c r="I2985" s="48" t="s">
        <v>7350</v>
      </c>
    </row>
    <row r="2986" spans="2:9" ht="15" customHeight="1" x14ac:dyDescent="0.25">
      <c r="B2986" s="55" t="s">
        <v>279</v>
      </c>
      <c r="C2986" s="46">
        <v>2974</v>
      </c>
      <c r="D2986" s="69" t="s">
        <v>29416</v>
      </c>
      <c r="E2986" s="51"/>
      <c r="F2986" s="114" t="str">
        <f>IF(INDEX(I.Facility.P1IDNumber,2974)="","",INDEX(I.Facility.P1IDNumber,2974))</f>
        <v/>
      </c>
      <c r="G2986" s="51"/>
      <c r="H2986" s="46" t="str">
        <f>IF(AND(I.Developer.P1=TRUE,I.Facility.P1FacilityCount&gt;=2974,F2986=""),"Incomplete","Complete")</f>
        <v>Complete</v>
      </c>
      <c r="I2986" s="48" t="s">
        <v>7351</v>
      </c>
    </row>
    <row r="2987" spans="2:9" ht="15" customHeight="1" x14ac:dyDescent="0.25">
      <c r="B2987" s="55" t="s">
        <v>279</v>
      </c>
      <c r="C2987" s="46">
        <v>2975</v>
      </c>
      <c r="D2987" s="69" t="s">
        <v>29416</v>
      </c>
      <c r="E2987" s="51"/>
      <c r="F2987" s="114" t="str">
        <f>IF(INDEX(I.Facility.P1IDNumber,2975)="","",INDEX(I.Facility.P1IDNumber,2975))</f>
        <v/>
      </c>
      <c r="G2987" s="51"/>
      <c r="H2987" s="46" t="str">
        <f>IF(AND(I.Developer.P1=TRUE,I.Facility.P1FacilityCount&gt;=2975,F2987=""),"Incomplete","Complete")</f>
        <v>Complete</v>
      </c>
      <c r="I2987" s="48" t="s">
        <v>7352</v>
      </c>
    </row>
    <row r="2988" spans="2:9" ht="15" customHeight="1" x14ac:dyDescent="0.25">
      <c r="B2988" s="55" t="s">
        <v>279</v>
      </c>
      <c r="C2988" s="46">
        <v>2976</v>
      </c>
      <c r="D2988" s="69" t="s">
        <v>29416</v>
      </c>
      <c r="E2988" s="51"/>
      <c r="F2988" s="114" t="str">
        <f>IF(INDEX(I.Facility.P1IDNumber,2976)="","",INDEX(I.Facility.P1IDNumber,2976))</f>
        <v/>
      </c>
      <c r="G2988" s="51"/>
      <c r="H2988" s="46" t="str">
        <f>IF(AND(I.Developer.P1=TRUE,I.Facility.P1FacilityCount&gt;=2976,F2988=""),"Incomplete","Complete")</f>
        <v>Complete</v>
      </c>
      <c r="I2988" s="48" t="s">
        <v>7353</v>
      </c>
    </row>
    <row r="2989" spans="2:9" ht="15" customHeight="1" x14ac:dyDescent="0.25">
      <c r="B2989" s="55" t="s">
        <v>279</v>
      </c>
      <c r="C2989" s="46">
        <v>2977</v>
      </c>
      <c r="D2989" s="69" t="s">
        <v>29416</v>
      </c>
      <c r="E2989" s="51"/>
      <c r="F2989" s="114" t="str">
        <f>IF(INDEX(I.Facility.P1IDNumber,2977)="","",INDEX(I.Facility.P1IDNumber,2977))</f>
        <v/>
      </c>
      <c r="G2989" s="51"/>
      <c r="H2989" s="46" t="str">
        <f>IF(AND(I.Developer.P1=TRUE,I.Facility.P1FacilityCount&gt;=2977,F2989=""),"Incomplete","Complete")</f>
        <v>Complete</v>
      </c>
      <c r="I2989" s="48" t="s">
        <v>7354</v>
      </c>
    </row>
    <row r="2990" spans="2:9" ht="15" customHeight="1" x14ac:dyDescent="0.25">
      <c r="B2990" s="55" t="s">
        <v>279</v>
      </c>
      <c r="C2990" s="46">
        <v>2978</v>
      </c>
      <c r="D2990" s="69" t="s">
        <v>29416</v>
      </c>
      <c r="E2990" s="51"/>
      <c r="F2990" s="114" t="str">
        <f>IF(INDEX(I.Facility.P1IDNumber,2978)="","",INDEX(I.Facility.P1IDNumber,2978))</f>
        <v/>
      </c>
      <c r="G2990" s="51"/>
      <c r="H2990" s="46" t="str">
        <f>IF(AND(I.Developer.P1=TRUE,I.Facility.P1FacilityCount&gt;=2978,F2990=""),"Incomplete","Complete")</f>
        <v>Complete</v>
      </c>
      <c r="I2990" s="48" t="s">
        <v>7355</v>
      </c>
    </row>
    <row r="2991" spans="2:9" ht="15" customHeight="1" x14ac:dyDescent="0.25">
      <c r="B2991" s="55" t="s">
        <v>279</v>
      </c>
      <c r="C2991" s="46">
        <v>2979</v>
      </c>
      <c r="D2991" s="69" t="s">
        <v>29416</v>
      </c>
      <c r="E2991" s="51"/>
      <c r="F2991" s="114" t="str">
        <f>IF(INDEX(I.Facility.P1IDNumber,2979)="","",INDEX(I.Facility.P1IDNumber,2979))</f>
        <v/>
      </c>
      <c r="G2991" s="51"/>
      <c r="H2991" s="46" t="str">
        <f>IF(AND(I.Developer.P1=TRUE,I.Facility.P1FacilityCount&gt;=2979,F2991=""),"Incomplete","Complete")</f>
        <v>Complete</v>
      </c>
      <c r="I2991" s="48" t="s">
        <v>7356</v>
      </c>
    </row>
    <row r="2992" spans="2:9" ht="15" customHeight="1" x14ac:dyDescent="0.25">
      <c r="B2992" s="55" t="s">
        <v>279</v>
      </c>
      <c r="C2992" s="46">
        <v>2980</v>
      </c>
      <c r="D2992" s="69" t="s">
        <v>29416</v>
      </c>
      <c r="E2992" s="51"/>
      <c r="F2992" s="114" t="str">
        <f>IF(INDEX(I.Facility.P1IDNumber,2980)="","",INDEX(I.Facility.P1IDNumber,2980))</f>
        <v/>
      </c>
      <c r="G2992" s="51"/>
      <c r="H2992" s="46" t="str">
        <f>IF(AND(I.Developer.P1=TRUE,I.Facility.P1FacilityCount&gt;=2980,F2992=""),"Incomplete","Complete")</f>
        <v>Complete</v>
      </c>
      <c r="I2992" s="48" t="s">
        <v>7357</v>
      </c>
    </row>
    <row r="2993" spans="2:9" ht="15" customHeight="1" x14ac:dyDescent="0.25">
      <c r="B2993" s="55" t="s">
        <v>279</v>
      </c>
      <c r="C2993" s="46">
        <v>2981</v>
      </c>
      <c r="D2993" s="69" t="s">
        <v>29416</v>
      </c>
      <c r="E2993" s="51"/>
      <c r="F2993" s="114" t="str">
        <f>IF(INDEX(I.Facility.P1IDNumber,2981)="","",INDEX(I.Facility.P1IDNumber,2981))</f>
        <v/>
      </c>
      <c r="G2993" s="51"/>
      <c r="H2993" s="46" t="str">
        <f>IF(AND(I.Developer.P1=TRUE,I.Facility.P1FacilityCount&gt;=2981,F2993=""),"Incomplete","Complete")</f>
        <v>Complete</v>
      </c>
      <c r="I2993" s="48" t="s">
        <v>7358</v>
      </c>
    </row>
    <row r="2994" spans="2:9" ht="15" customHeight="1" x14ac:dyDescent="0.25">
      <c r="B2994" s="55" t="s">
        <v>279</v>
      </c>
      <c r="C2994" s="46">
        <v>2982</v>
      </c>
      <c r="D2994" s="69" t="s">
        <v>29416</v>
      </c>
      <c r="E2994" s="51"/>
      <c r="F2994" s="114" t="str">
        <f>IF(INDEX(I.Facility.P1IDNumber,2982)="","",INDEX(I.Facility.P1IDNumber,2982))</f>
        <v/>
      </c>
      <c r="G2994" s="51"/>
      <c r="H2994" s="46" t="str">
        <f>IF(AND(I.Developer.P1=TRUE,I.Facility.P1FacilityCount&gt;=2982,F2994=""),"Incomplete","Complete")</f>
        <v>Complete</v>
      </c>
      <c r="I2994" s="48" t="s">
        <v>7359</v>
      </c>
    </row>
    <row r="2995" spans="2:9" ht="15" customHeight="1" x14ac:dyDescent="0.25">
      <c r="B2995" s="55" t="s">
        <v>279</v>
      </c>
      <c r="C2995" s="46">
        <v>2983</v>
      </c>
      <c r="D2995" s="69" t="s">
        <v>29416</v>
      </c>
      <c r="E2995" s="51"/>
      <c r="F2995" s="114" t="str">
        <f>IF(INDEX(I.Facility.P1IDNumber,2983)="","",INDEX(I.Facility.P1IDNumber,2983))</f>
        <v/>
      </c>
      <c r="G2995" s="51"/>
      <c r="H2995" s="46" t="str">
        <f>IF(AND(I.Developer.P1=TRUE,I.Facility.P1FacilityCount&gt;=2983,F2995=""),"Incomplete","Complete")</f>
        <v>Complete</v>
      </c>
      <c r="I2995" s="48" t="s">
        <v>7360</v>
      </c>
    </row>
    <row r="2996" spans="2:9" ht="15" customHeight="1" x14ac:dyDescent="0.25">
      <c r="B2996" s="55" t="s">
        <v>279</v>
      </c>
      <c r="C2996" s="46">
        <v>2984</v>
      </c>
      <c r="D2996" s="69" t="s">
        <v>29416</v>
      </c>
      <c r="E2996" s="51"/>
      <c r="F2996" s="114" t="str">
        <f>IF(INDEX(I.Facility.P1IDNumber,2984)="","",INDEX(I.Facility.P1IDNumber,2984))</f>
        <v/>
      </c>
      <c r="G2996" s="51"/>
      <c r="H2996" s="46" t="str">
        <f>IF(AND(I.Developer.P1=TRUE,I.Facility.P1FacilityCount&gt;=2984,F2996=""),"Incomplete","Complete")</f>
        <v>Complete</v>
      </c>
      <c r="I2996" s="48" t="s">
        <v>7361</v>
      </c>
    </row>
    <row r="2997" spans="2:9" ht="15" customHeight="1" x14ac:dyDescent="0.25">
      <c r="B2997" s="55" t="s">
        <v>279</v>
      </c>
      <c r="C2997" s="46">
        <v>2985</v>
      </c>
      <c r="D2997" s="69" t="s">
        <v>29416</v>
      </c>
      <c r="E2997" s="51"/>
      <c r="F2997" s="114" t="str">
        <f>IF(INDEX(I.Facility.P1IDNumber,2985)="","",INDEX(I.Facility.P1IDNumber,2985))</f>
        <v/>
      </c>
      <c r="G2997" s="51"/>
      <c r="H2997" s="46" t="str">
        <f>IF(AND(I.Developer.P1=TRUE,I.Facility.P1FacilityCount&gt;=2985,F2997=""),"Incomplete","Complete")</f>
        <v>Complete</v>
      </c>
      <c r="I2997" s="48" t="s">
        <v>7362</v>
      </c>
    </row>
    <row r="2998" spans="2:9" ht="15" customHeight="1" x14ac:dyDescent="0.25">
      <c r="B2998" s="55" t="s">
        <v>279</v>
      </c>
      <c r="C2998" s="46">
        <v>2986</v>
      </c>
      <c r="D2998" s="69" t="s">
        <v>29416</v>
      </c>
      <c r="E2998" s="51"/>
      <c r="F2998" s="114" t="str">
        <f>IF(INDEX(I.Facility.P1IDNumber,2986)="","",INDEX(I.Facility.P1IDNumber,2986))</f>
        <v/>
      </c>
      <c r="G2998" s="51"/>
      <c r="H2998" s="46" t="str">
        <f>IF(AND(I.Developer.P1=TRUE,I.Facility.P1FacilityCount&gt;=2986,F2998=""),"Incomplete","Complete")</f>
        <v>Complete</v>
      </c>
      <c r="I2998" s="48" t="s">
        <v>7363</v>
      </c>
    </row>
    <row r="2999" spans="2:9" ht="15" customHeight="1" x14ac:dyDescent="0.25">
      <c r="B2999" s="55" t="s">
        <v>279</v>
      </c>
      <c r="C2999" s="46">
        <v>2987</v>
      </c>
      <c r="D2999" s="69" t="s">
        <v>29416</v>
      </c>
      <c r="E2999" s="51"/>
      <c r="F2999" s="114" t="str">
        <f>IF(INDEX(I.Facility.P1IDNumber,2987)="","",INDEX(I.Facility.P1IDNumber,2987))</f>
        <v/>
      </c>
      <c r="G2999" s="51"/>
      <c r="H2999" s="46" t="str">
        <f>IF(AND(I.Developer.P1=TRUE,I.Facility.P1FacilityCount&gt;=2987,F2999=""),"Incomplete","Complete")</f>
        <v>Complete</v>
      </c>
      <c r="I2999" s="48" t="s">
        <v>7364</v>
      </c>
    </row>
    <row r="3000" spans="2:9" ht="15" customHeight="1" x14ac:dyDescent="0.25">
      <c r="B3000" s="55" t="s">
        <v>279</v>
      </c>
      <c r="C3000" s="46">
        <v>2988</v>
      </c>
      <c r="D3000" s="69" t="s">
        <v>29416</v>
      </c>
      <c r="E3000" s="51"/>
      <c r="F3000" s="114" t="str">
        <f>IF(INDEX(I.Facility.P1IDNumber,2988)="","",INDEX(I.Facility.P1IDNumber,2988))</f>
        <v/>
      </c>
      <c r="G3000" s="51"/>
      <c r="H3000" s="46" t="str">
        <f>IF(AND(I.Developer.P1=TRUE,I.Facility.P1FacilityCount&gt;=2988,F3000=""),"Incomplete","Complete")</f>
        <v>Complete</v>
      </c>
      <c r="I3000" s="48" t="s">
        <v>7365</v>
      </c>
    </row>
    <row r="3001" spans="2:9" ht="15" customHeight="1" x14ac:dyDescent="0.25">
      <c r="B3001" s="55" t="s">
        <v>279</v>
      </c>
      <c r="C3001" s="46">
        <v>2989</v>
      </c>
      <c r="D3001" s="69" t="s">
        <v>29416</v>
      </c>
      <c r="E3001" s="51"/>
      <c r="F3001" s="114" t="str">
        <f>IF(INDEX(I.Facility.P1IDNumber,2989)="","",INDEX(I.Facility.P1IDNumber,2989))</f>
        <v/>
      </c>
      <c r="G3001" s="51"/>
      <c r="H3001" s="46" t="str">
        <f>IF(AND(I.Developer.P1=TRUE,I.Facility.P1FacilityCount&gt;=2989,F3001=""),"Incomplete","Complete")</f>
        <v>Complete</v>
      </c>
      <c r="I3001" s="48" t="s">
        <v>7366</v>
      </c>
    </row>
    <row r="3002" spans="2:9" ht="15" customHeight="1" x14ac:dyDescent="0.25">
      <c r="B3002" s="55" t="s">
        <v>279</v>
      </c>
      <c r="C3002" s="46">
        <v>2990</v>
      </c>
      <c r="D3002" s="69" t="s">
        <v>29416</v>
      </c>
      <c r="E3002" s="51"/>
      <c r="F3002" s="114" t="str">
        <f>IF(INDEX(I.Facility.P1IDNumber,2990)="","",INDEX(I.Facility.P1IDNumber,2990))</f>
        <v/>
      </c>
      <c r="G3002" s="51"/>
      <c r="H3002" s="46" t="str">
        <f>IF(AND(I.Developer.P1=TRUE,I.Facility.P1FacilityCount&gt;=2990,F3002=""),"Incomplete","Complete")</f>
        <v>Complete</v>
      </c>
      <c r="I3002" s="48" t="s">
        <v>7367</v>
      </c>
    </row>
    <row r="3003" spans="2:9" ht="15" customHeight="1" x14ac:dyDescent="0.25">
      <c r="B3003" s="55" t="s">
        <v>279</v>
      </c>
      <c r="C3003" s="46">
        <v>2991</v>
      </c>
      <c r="D3003" s="69" t="s">
        <v>29416</v>
      </c>
      <c r="E3003" s="51"/>
      <c r="F3003" s="114" t="str">
        <f>IF(INDEX(I.Facility.P1IDNumber,2991)="","",INDEX(I.Facility.P1IDNumber,2991))</f>
        <v/>
      </c>
      <c r="G3003" s="51"/>
      <c r="H3003" s="46" t="str">
        <f>IF(AND(I.Developer.P1=TRUE,I.Facility.P1FacilityCount&gt;=2991,F3003=""),"Incomplete","Complete")</f>
        <v>Complete</v>
      </c>
      <c r="I3003" s="48" t="s">
        <v>7368</v>
      </c>
    </row>
    <row r="3004" spans="2:9" ht="15" customHeight="1" x14ac:dyDescent="0.25">
      <c r="B3004" s="55" t="s">
        <v>279</v>
      </c>
      <c r="C3004" s="46">
        <v>2992</v>
      </c>
      <c r="D3004" s="69" t="s">
        <v>29416</v>
      </c>
      <c r="E3004" s="51"/>
      <c r="F3004" s="114" t="str">
        <f>IF(INDEX(I.Facility.P1IDNumber,2992)="","",INDEX(I.Facility.P1IDNumber,2992))</f>
        <v/>
      </c>
      <c r="G3004" s="51"/>
      <c r="H3004" s="46" t="str">
        <f>IF(AND(I.Developer.P1=TRUE,I.Facility.P1FacilityCount&gt;=2992,F3004=""),"Incomplete","Complete")</f>
        <v>Complete</v>
      </c>
      <c r="I3004" s="48" t="s">
        <v>7369</v>
      </c>
    </row>
    <row r="3005" spans="2:9" ht="15" customHeight="1" x14ac:dyDescent="0.25">
      <c r="B3005" s="55" t="s">
        <v>279</v>
      </c>
      <c r="C3005" s="46">
        <v>2993</v>
      </c>
      <c r="D3005" s="69" t="s">
        <v>29416</v>
      </c>
      <c r="E3005" s="51"/>
      <c r="F3005" s="114" t="str">
        <f>IF(INDEX(I.Facility.P1IDNumber,2993)="","",INDEX(I.Facility.P1IDNumber,2993))</f>
        <v/>
      </c>
      <c r="G3005" s="51"/>
      <c r="H3005" s="46" t="str">
        <f>IF(AND(I.Developer.P1=TRUE,I.Facility.P1FacilityCount&gt;=2993,F3005=""),"Incomplete","Complete")</f>
        <v>Complete</v>
      </c>
      <c r="I3005" s="48" t="s">
        <v>7370</v>
      </c>
    </row>
    <row r="3006" spans="2:9" ht="15" customHeight="1" x14ac:dyDescent="0.25">
      <c r="B3006" s="55" t="s">
        <v>279</v>
      </c>
      <c r="C3006" s="46">
        <v>2994</v>
      </c>
      <c r="D3006" s="69" t="s">
        <v>29416</v>
      </c>
      <c r="E3006" s="51"/>
      <c r="F3006" s="114" t="str">
        <f>IF(INDEX(I.Facility.P1IDNumber,2994)="","",INDEX(I.Facility.P1IDNumber,2994))</f>
        <v/>
      </c>
      <c r="G3006" s="51"/>
      <c r="H3006" s="46" t="str">
        <f>IF(AND(I.Developer.P1=TRUE,I.Facility.P1FacilityCount&gt;=2994,F3006=""),"Incomplete","Complete")</f>
        <v>Complete</v>
      </c>
      <c r="I3006" s="48" t="s">
        <v>7371</v>
      </c>
    </row>
    <row r="3007" spans="2:9" ht="15" customHeight="1" x14ac:dyDescent="0.25">
      <c r="B3007" s="55" t="s">
        <v>279</v>
      </c>
      <c r="C3007" s="46">
        <v>2995</v>
      </c>
      <c r="D3007" s="69" t="s">
        <v>29416</v>
      </c>
      <c r="E3007" s="51"/>
      <c r="F3007" s="114" t="str">
        <f>IF(INDEX(I.Facility.P1IDNumber,2995)="","",INDEX(I.Facility.P1IDNumber,2995))</f>
        <v/>
      </c>
      <c r="G3007" s="51"/>
      <c r="H3007" s="46" t="str">
        <f>IF(AND(I.Developer.P1=TRUE,I.Facility.P1FacilityCount&gt;=2995,F3007=""),"Incomplete","Complete")</f>
        <v>Complete</v>
      </c>
      <c r="I3007" s="48" t="s">
        <v>7372</v>
      </c>
    </row>
    <row r="3008" spans="2:9" ht="15" customHeight="1" x14ac:dyDescent="0.25">
      <c r="B3008" s="55" t="s">
        <v>279</v>
      </c>
      <c r="C3008" s="46">
        <v>2996</v>
      </c>
      <c r="D3008" s="69" t="s">
        <v>29416</v>
      </c>
      <c r="E3008" s="51"/>
      <c r="F3008" s="114" t="str">
        <f>IF(INDEX(I.Facility.P1IDNumber,2996)="","",INDEX(I.Facility.P1IDNumber,2996))</f>
        <v/>
      </c>
      <c r="G3008" s="51"/>
      <c r="H3008" s="46" t="str">
        <f>IF(AND(I.Developer.P1=TRUE,I.Facility.P1FacilityCount&gt;=2996,F3008=""),"Incomplete","Complete")</f>
        <v>Complete</v>
      </c>
      <c r="I3008" s="48" t="s">
        <v>7373</v>
      </c>
    </row>
    <row r="3009" spans="2:9" ht="15" customHeight="1" x14ac:dyDescent="0.25">
      <c r="B3009" s="55" t="s">
        <v>279</v>
      </c>
      <c r="C3009" s="46">
        <v>2997</v>
      </c>
      <c r="D3009" s="69" t="s">
        <v>29416</v>
      </c>
      <c r="E3009" s="51"/>
      <c r="F3009" s="114" t="str">
        <f>IF(INDEX(I.Facility.P1IDNumber,2997)="","",INDEX(I.Facility.P1IDNumber,2997))</f>
        <v/>
      </c>
      <c r="G3009" s="51"/>
      <c r="H3009" s="46" t="str">
        <f>IF(AND(I.Developer.P1=TRUE,I.Facility.P1FacilityCount&gt;=2997,F3009=""),"Incomplete","Complete")</f>
        <v>Complete</v>
      </c>
      <c r="I3009" s="48" t="s">
        <v>7374</v>
      </c>
    </row>
    <row r="3010" spans="2:9" ht="15" customHeight="1" x14ac:dyDescent="0.25">
      <c r="B3010" s="55" t="s">
        <v>279</v>
      </c>
      <c r="C3010" s="46">
        <v>2998</v>
      </c>
      <c r="D3010" s="69" t="s">
        <v>29416</v>
      </c>
      <c r="E3010" s="51"/>
      <c r="F3010" s="114" t="str">
        <f>IF(INDEX(I.Facility.P1IDNumber,2998)="","",INDEX(I.Facility.P1IDNumber,2998))</f>
        <v/>
      </c>
      <c r="G3010" s="51"/>
      <c r="H3010" s="46" t="str">
        <f>IF(AND(I.Developer.P1=TRUE,I.Facility.P1FacilityCount&gt;=2998,F3010=""),"Incomplete","Complete")</f>
        <v>Complete</v>
      </c>
      <c r="I3010" s="48" t="s">
        <v>7375</v>
      </c>
    </row>
    <row r="3011" spans="2:9" ht="15" customHeight="1" x14ac:dyDescent="0.25">
      <c r="B3011" s="55" t="s">
        <v>279</v>
      </c>
      <c r="C3011" s="46">
        <v>2999</v>
      </c>
      <c r="D3011" s="69" t="s">
        <v>29416</v>
      </c>
      <c r="E3011" s="51"/>
      <c r="F3011" s="114" t="str">
        <f>IF(INDEX(I.Facility.P1IDNumber,2999)="","",INDEX(I.Facility.P1IDNumber,2999))</f>
        <v/>
      </c>
      <c r="G3011" s="51"/>
      <c r="H3011" s="46" t="str">
        <f>IF(AND(I.Developer.P1=TRUE,I.Facility.P1FacilityCount&gt;=2999,F3011=""),"Incomplete","Complete")</f>
        <v>Complete</v>
      </c>
      <c r="I3011" s="48" t="s">
        <v>7376</v>
      </c>
    </row>
    <row r="3012" spans="2:9" ht="15" customHeight="1" x14ac:dyDescent="0.25">
      <c r="B3012" s="55" t="s">
        <v>279</v>
      </c>
      <c r="C3012" s="46">
        <v>3000</v>
      </c>
      <c r="D3012" s="69" t="s">
        <v>29416</v>
      </c>
      <c r="E3012" s="51"/>
      <c r="F3012" s="114" t="str">
        <f>IF(INDEX(I.Facility.P1IDNumber,3000)="","",INDEX(I.Facility.P1IDNumber,3000))</f>
        <v/>
      </c>
      <c r="G3012" s="51"/>
      <c r="H3012" s="46" t="str">
        <f>IF(AND(I.Developer.P1=TRUE,I.Facility.P1FacilityCount&gt;=3000,F3012=""),"Incomplete","Complete")</f>
        <v>Complete</v>
      </c>
      <c r="I3012" s="48" t="s">
        <v>7377</v>
      </c>
    </row>
    <row r="3013" spans="2:9" ht="15" customHeight="1" x14ac:dyDescent="0.25">
      <c r="B3013" s="55" t="s">
        <v>279</v>
      </c>
      <c r="C3013" s="46">
        <v>3001</v>
      </c>
      <c r="D3013" s="69" t="s">
        <v>29416</v>
      </c>
      <c r="E3013" s="51"/>
      <c r="F3013" s="114" t="str">
        <f>IF(INDEX(I.Facility.P1IDNumber,3001)="","",INDEX(I.Facility.P1IDNumber,3001))</f>
        <v/>
      </c>
      <c r="G3013" s="51"/>
      <c r="H3013" s="46" t="str">
        <f>IF(AND(I.Developer.P1=TRUE,I.Facility.P1FacilityCount&gt;=3001,F3013=""),"Incomplete","Complete")</f>
        <v>Complete</v>
      </c>
      <c r="I3013" s="48" t="s">
        <v>7378</v>
      </c>
    </row>
    <row r="3014" spans="2:9" ht="15" customHeight="1" x14ac:dyDescent="0.25">
      <c r="B3014" s="55" t="s">
        <v>279</v>
      </c>
      <c r="C3014" s="46">
        <v>3002</v>
      </c>
      <c r="D3014" s="69" t="s">
        <v>29416</v>
      </c>
      <c r="E3014" s="51"/>
      <c r="F3014" s="114" t="str">
        <f>IF(INDEX(I.Facility.P1IDNumber,3002)="","",INDEX(I.Facility.P1IDNumber,3002))</f>
        <v/>
      </c>
      <c r="G3014" s="51"/>
      <c r="H3014" s="46" t="str">
        <f>IF(AND(I.Developer.P1=TRUE,I.Facility.P1FacilityCount&gt;=3002,F3014=""),"Incomplete","Complete")</f>
        <v>Complete</v>
      </c>
      <c r="I3014" s="48" t="s">
        <v>7379</v>
      </c>
    </row>
    <row r="3015" spans="2:9" ht="15" customHeight="1" x14ac:dyDescent="0.25">
      <c r="B3015" s="55" t="s">
        <v>279</v>
      </c>
      <c r="C3015" s="46">
        <v>3003</v>
      </c>
      <c r="D3015" s="69" t="s">
        <v>29416</v>
      </c>
      <c r="E3015" s="51"/>
      <c r="F3015" s="114" t="str">
        <f>IF(INDEX(I.Facility.P1IDNumber,3003)="","",INDEX(I.Facility.P1IDNumber,3003))</f>
        <v/>
      </c>
      <c r="G3015" s="51"/>
      <c r="H3015" s="46" t="str">
        <f>IF(AND(I.Developer.P1=TRUE,I.Facility.P1FacilityCount&gt;=3003,F3015=""),"Incomplete","Complete")</f>
        <v>Complete</v>
      </c>
      <c r="I3015" s="48" t="s">
        <v>7380</v>
      </c>
    </row>
    <row r="3016" spans="2:9" ht="15" customHeight="1" x14ac:dyDescent="0.25">
      <c r="B3016" s="55" t="s">
        <v>279</v>
      </c>
      <c r="C3016" s="46">
        <v>3004</v>
      </c>
      <c r="D3016" s="69" t="s">
        <v>29416</v>
      </c>
      <c r="E3016" s="51"/>
      <c r="F3016" s="114" t="str">
        <f>IF(INDEX(I.Facility.P1IDNumber,3004)="","",INDEX(I.Facility.P1IDNumber,3004))</f>
        <v/>
      </c>
      <c r="G3016" s="51"/>
      <c r="H3016" s="46" t="str">
        <f>IF(AND(I.Developer.P1=TRUE,I.Facility.P1FacilityCount&gt;=3004,F3016=""),"Incomplete","Complete")</f>
        <v>Complete</v>
      </c>
      <c r="I3016" s="48" t="s">
        <v>7381</v>
      </c>
    </row>
    <row r="3017" spans="2:9" ht="15" customHeight="1" x14ac:dyDescent="0.25">
      <c r="B3017" s="55" t="s">
        <v>279</v>
      </c>
      <c r="C3017" s="46">
        <v>3005</v>
      </c>
      <c r="D3017" s="69" t="s">
        <v>29416</v>
      </c>
      <c r="E3017" s="51"/>
      <c r="F3017" s="114" t="str">
        <f>IF(INDEX(I.Facility.P1IDNumber,3005)="","",INDEX(I.Facility.P1IDNumber,3005))</f>
        <v/>
      </c>
      <c r="G3017" s="51"/>
      <c r="H3017" s="46" t="str">
        <f>IF(AND(I.Developer.P1=TRUE,I.Facility.P1FacilityCount&gt;=3005,F3017=""),"Incomplete","Complete")</f>
        <v>Complete</v>
      </c>
      <c r="I3017" s="48" t="s">
        <v>7382</v>
      </c>
    </row>
    <row r="3018" spans="2:9" ht="15" customHeight="1" x14ac:dyDescent="0.25">
      <c r="B3018" s="55" t="s">
        <v>279</v>
      </c>
      <c r="C3018" s="46">
        <v>3006</v>
      </c>
      <c r="D3018" s="69" t="s">
        <v>29416</v>
      </c>
      <c r="E3018" s="51"/>
      <c r="F3018" s="114" t="str">
        <f>IF(INDEX(I.Facility.P1IDNumber,3006)="","",INDEX(I.Facility.P1IDNumber,3006))</f>
        <v/>
      </c>
      <c r="G3018" s="51"/>
      <c r="H3018" s="46" t="str">
        <f>IF(AND(I.Developer.P1=TRUE,I.Facility.P1FacilityCount&gt;=3006,F3018=""),"Incomplete","Complete")</f>
        <v>Complete</v>
      </c>
      <c r="I3018" s="48" t="s">
        <v>7383</v>
      </c>
    </row>
    <row r="3019" spans="2:9" ht="15" customHeight="1" x14ac:dyDescent="0.25">
      <c r="B3019" s="55" t="s">
        <v>279</v>
      </c>
      <c r="C3019" s="46">
        <v>3007</v>
      </c>
      <c r="D3019" s="69" t="s">
        <v>29416</v>
      </c>
      <c r="E3019" s="51"/>
      <c r="F3019" s="114" t="str">
        <f>IF(INDEX(I.Facility.P1IDNumber,3007)="","",INDEX(I.Facility.P1IDNumber,3007))</f>
        <v/>
      </c>
      <c r="G3019" s="51"/>
      <c r="H3019" s="46" t="str">
        <f>IF(AND(I.Developer.P1=TRUE,I.Facility.P1FacilityCount&gt;=3007,F3019=""),"Incomplete","Complete")</f>
        <v>Complete</v>
      </c>
      <c r="I3019" s="48" t="s">
        <v>7384</v>
      </c>
    </row>
    <row r="3020" spans="2:9" ht="15" customHeight="1" x14ac:dyDescent="0.25">
      <c r="B3020" s="55" t="s">
        <v>279</v>
      </c>
      <c r="C3020" s="46">
        <v>3008</v>
      </c>
      <c r="D3020" s="69" t="s">
        <v>29416</v>
      </c>
      <c r="E3020" s="51"/>
      <c r="F3020" s="114" t="str">
        <f>IF(INDEX(I.Facility.P1IDNumber,3008)="","",INDEX(I.Facility.P1IDNumber,3008))</f>
        <v/>
      </c>
      <c r="G3020" s="51"/>
      <c r="H3020" s="46" t="str">
        <f>IF(AND(I.Developer.P1=TRUE,I.Facility.P1FacilityCount&gt;=3008,F3020=""),"Incomplete","Complete")</f>
        <v>Complete</v>
      </c>
      <c r="I3020" s="48" t="s">
        <v>7385</v>
      </c>
    </row>
    <row r="3021" spans="2:9" ht="15" customHeight="1" x14ac:dyDescent="0.25">
      <c r="B3021" s="55" t="s">
        <v>279</v>
      </c>
      <c r="C3021" s="46">
        <v>3009</v>
      </c>
      <c r="D3021" s="69" t="s">
        <v>29416</v>
      </c>
      <c r="E3021" s="51"/>
      <c r="F3021" s="114" t="str">
        <f>IF(INDEX(I.Facility.P1IDNumber,3009)="","",INDEX(I.Facility.P1IDNumber,3009))</f>
        <v/>
      </c>
      <c r="G3021" s="51"/>
      <c r="H3021" s="46" t="str">
        <f>IF(AND(I.Developer.P1=TRUE,I.Facility.P1FacilityCount&gt;=3009,F3021=""),"Incomplete","Complete")</f>
        <v>Complete</v>
      </c>
      <c r="I3021" s="48" t="s">
        <v>7386</v>
      </c>
    </row>
    <row r="3022" spans="2:9" ht="15" customHeight="1" x14ac:dyDescent="0.25">
      <c r="B3022" s="55" t="s">
        <v>279</v>
      </c>
      <c r="C3022" s="46">
        <v>3010</v>
      </c>
      <c r="D3022" s="69" t="s">
        <v>29416</v>
      </c>
      <c r="E3022" s="51"/>
      <c r="F3022" s="114" t="str">
        <f>IF(INDEX(I.Facility.P1IDNumber,3010)="","",INDEX(I.Facility.P1IDNumber,3010))</f>
        <v/>
      </c>
      <c r="G3022" s="51"/>
      <c r="H3022" s="46" t="str">
        <f>IF(AND(I.Developer.P1=TRUE,I.Facility.P1FacilityCount&gt;=3010,F3022=""),"Incomplete","Complete")</f>
        <v>Complete</v>
      </c>
      <c r="I3022" s="48" t="s">
        <v>7387</v>
      </c>
    </row>
    <row r="3023" spans="2:9" ht="15" customHeight="1" x14ac:dyDescent="0.25">
      <c r="B3023" s="55" t="s">
        <v>279</v>
      </c>
      <c r="C3023" s="46">
        <v>3011</v>
      </c>
      <c r="D3023" s="69" t="s">
        <v>29416</v>
      </c>
      <c r="E3023" s="51"/>
      <c r="F3023" s="114" t="str">
        <f>IF(INDEX(I.Facility.P1IDNumber,3011)="","",INDEX(I.Facility.P1IDNumber,3011))</f>
        <v/>
      </c>
      <c r="G3023" s="51"/>
      <c r="H3023" s="46" t="str">
        <f>IF(AND(I.Developer.P1=TRUE,I.Facility.P1FacilityCount&gt;=3011,F3023=""),"Incomplete","Complete")</f>
        <v>Complete</v>
      </c>
      <c r="I3023" s="48" t="s">
        <v>7388</v>
      </c>
    </row>
    <row r="3024" spans="2:9" ht="15" customHeight="1" x14ac:dyDescent="0.25">
      <c r="B3024" s="55" t="s">
        <v>279</v>
      </c>
      <c r="C3024" s="46">
        <v>3012</v>
      </c>
      <c r="D3024" s="69" t="s">
        <v>29416</v>
      </c>
      <c r="E3024" s="51"/>
      <c r="F3024" s="114" t="str">
        <f>IF(INDEX(I.Facility.P1IDNumber,3012)="","",INDEX(I.Facility.P1IDNumber,3012))</f>
        <v/>
      </c>
      <c r="G3024" s="51"/>
      <c r="H3024" s="46" t="str">
        <f>IF(AND(I.Developer.P1=TRUE,I.Facility.P1FacilityCount&gt;=3012,F3024=""),"Incomplete","Complete")</f>
        <v>Complete</v>
      </c>
      <c r="I3024" s="48" t="s">
        <v>7389</v>
      </c>
    </row>
    <row r="3025" spans="2:9" ht="15" customHeight="1" x14ac:dyDescent="0.25">
      <c r="B3025" s="55" t="s">
        <v>279</v>
      </c>
      <c r="C3025" s="46">
        <v>3013</v>
      </c>
      <c r="D3025" s="69" t="s">
        <v>29416</v>
      </c>
      <c r="E3025" s="51"/>
      <c r="F3025" s="114" t="str">
        <f>IF(INDEX(I.Facility.P1IDNumber,3013)="","",INDEX(I.Facility.P1IDNumber,3013))</f>
        <v/>
      </c>
      <c r="G3025" s="51"/>
      <c r="H3025" s="46" t="str">
        <f>IF(AND(I.Developer.P1=TRUE,I.Facility.P1FacilityCount&gt;=3013,F3025=""),"Incomplete","Complete")</f>
        <v>Complete</v>
      </c>
      <c r="I3025" s="48" t="s">
        <v>7390</v>
      </c>
    </row>
    <row r="3026" spans="2:9" ht="15" customHeight="1" x14ac:dyDescent="0.25">
      <c r="B3026" s="55" t="s">
        <v>279</v>
      </c>
      <c r="C3026" s="46">
        <v>3014</v>
      </c>
      <c r="D3026" s="69" t="s">
        <v>29416</v>
      </c>
      <c r="E3026" s="51"/>
      <c r="F3026" s="114" t="str">
        <f>IF(INDEX(I.Facility.P1IDNumber,3014)="","",INDEX(I.Facility.P1IDNumber,3014))</f>
        <v/>
      </c>
      <c r="G3026" s="51"/>
      <c r="H3026" s="46" t="str">
        <f>IF(AND(I.Developer.P1=TRUE,I.Facility.P1FacilityCount&gt;=3014,F3026=""),"Incomplete","Complete")</f>
        <v>Complete</v>
      </c>
      <c r="I3026" s="48" t="s">
        <v>7391</v>
      </c>
    </row>
    <row r="3027" spans="2:9" ht="15" customHeight="1" x14ac:dyDescent="0.25">
      <c r="B3027" s="55" t="s">
        <v>279</v>
      </c>
      <c r="C3027" s="46">
        <v>3015</v>
      </c>
      <c r="D3027" s="69" t="s">
        <v>29416</v>
      </c>
      <c r="E3027" s="51"/>
      <c r="F3027" s="114" t="str">
        <f>IF(INDEX(I.Facility.P1IDNumber,3015)="","",INDEX(I.Facility.P1IDNumber,3015))</f>
        <v/>
      </c>
      <c r="G3027" s="51"/>
      <c r="H3027" s="46" t="str">
        <f>IF(AND(I.Developer.P1=TRUE,I.Facility.P1FacilityCount&gt;=3015,F3027=""),"Incomplete","Complete")</f>
        <v>Complete</v>
      </c>
      <c r="I3027" s="48" t="s">
        <v>7392</v>
      </c>
    </row>
    <row r="3028" spans="2:9" ht="15" customHeight="1" x14ac:dyDescent="0.25">
      <c r="B3028" s="55" t="s">
        <v>279</v>
      </c>
      <c r="C3028" s="46">
        <v>3016</v>
      </c>
      <c r="D3028" s="69" t="s">
        <v>29416</v>
      </c>
      <c r="E3028" s="51"/>
      <c r="F3028" s="114" t="str">
        <f>IF(INDEX(I.Facility.P1IDNumber,3016)="","",INDEX(I.Facility.P1IDNumber,3016))</f>
        <v/>
      </c>
      <c r="G3028" s="51"/>
      <c r="H3028" s="46" t="str">
        <f>IF(AND(I.Developer.P1=TRUE,I.Facility.P1FacilityCount&gt;=3016,F3028=""),"Incomplete","Complete")</f>
        <v>Complete</v>
      </c>
      <c r="I3028" s="48" t="s">
        <v>7393</v>
      </c>
    </row>
    <row r="3029" spans="2:9" ht="15" customHeight="1" x14ac:dyDescent="0.25">
      <c r="B3029" s="55" t="s">
        <v>279</v>
      </c>
      <c r="C3029" s="46">
        <v>3017</v>
      </c>
      <c r="D3029" s="69" t="s">
        <v>29416</v>
      </c>
      <c r="E3029" s="51"/>
      <c r="F3029" s="114" t="str">
        <f>IF(INDEX(I.Facility.P1IDNumber,3017)="","",INDEX(I.Facility.P1IDNumber,3017))</f>
        <v/>
      </c>
      <c r="G3029" s="51"/>
      <c r="H3029" s="46" t="str">
        <f>IF(AND(I.Developer.P1=TRUE,I.Facility.P1FacilityCount&gt;=3017,F3029=""),"Incomplete","Complete")</f>
        <v>Complete</v>
      </c>
      <c r="I3029" s="48" t="s">
        <v>7394</v>
      </c>
    </row>
    <row r="3030" spans="2:9" ht="15" customHeight="1" x14ac:dyDescent="0.25">
      <c r="B3030" s="55" t="s">
        <v>279</v>
      </c>
      <c r="C3030" s="46">
        <v>3018</v>
      </c>
      <c r="D3030" s="69" t="s">
        <v>29416</v>
      </c>
      <c r="E3030" s="51"/>
      <c r="F3030" s="114" t="str">
        <f>IF(INDEX(I.Facility.P1IDNumber,3018)="","",INDEX(I.Facility.P1IDNumber,3018))</f>
        <v/>
      </c>
      <c r="G3030" s="51"/>
      <c r="H3030" s="46" t="str">
        <f>IF(AND(I.Developer.P1=TRUE,I.Facility.P1FacilityCount&gt;=3018,F3030=""),"Incomplete","Complete")</f>
        <v>Complete</v>
      </c>
      <c r="I3030" s="48" t="s">
        <v>7395</v>
      </c>
    </row>
    <row r="3031" spans="2:9" ht="15" customHeight="1" x14ac:dyDescent="0.25">
      <c r="B3031" s="55" t="s">
        <v>279</v>
      </c>
      <c r="C3031" s="46">
        <v>3019</v>
      </c>
      <c r="D3031" s="69" t="s">
        <v>29416</v>
      </c>
      <c r="E3031" s="51"/>
      <c r="F3031" s="114" t="str">
        <f>IF(INDEX(I.Facility.P1IDNumber,3019)="","",INDEX(I.Facility.P1IDNumber,3019))</f>
        <v/>
      </c>
      <c r="G3031" s="51"/>
      <c r="H3031" s="46" t="str">
        <f>IF(AND(I.Developer.P1=TRUE,I.Facility.P1FacilityCount&gt;=3019,F3031=""),"Incomplete","Complete")</f>
        <v>Complete</v>
      </c>
      <c r="I3031" s="48" t="s">
        <v>7396</v>
      </c>
    </row>
    <row r="3032" spans="2:9" ht="15" customHeight="1" x14ac:dyDescent="0.25">
      <c r="B3032" s="55" t="s">
        <v>279</v>
      </c>
      <c r="C3032" s="46">
        <v>3020</v>
      </c>
      <c r="D3032" s="69" t="s">
        <v>29416</v>
      </c>
      <c r="E3032" s="51"/>
      <c r="F3032" s="114" t="str">
        <f>IF(INDEX(I.Facility.P1IDNumber,3020)="","",INDEX(I.Facility.P1IDNumber,3020))</f>
        <v/>
      </c>
      <c r="G3032" s="51"/>
      <c r="H3032" s="46" t="str">
        <f>IF(AND(I.Developer.P1=TRUE,I.Facility.P1FacilityCount&gt;=3020,F3032=""),"Incomplete","Complete")</f>
        <v>Complete</v>
      </c>
      <c r="I3032" s="48" t="s">
        <v>7397</v>
      </c>
    </row>
    <row r="3033" spans="2:9" ht="15" customHeight="1" x14ac:dyDescent="0.25">
      <c r="B3033" s="55" t="s">
        <v>279</v>
      </c>
      <c r="C3033" s="46">
        <v>3021</v>
      </c>
      <c r="D3033" s="69" t="s">
        <v>29416</v>
      </c>
      <c r="E3033" s="51"/>
      <c r="F3033" s="114" t="str">
        <f>IF(INDEX(I.Facility.P1IDNumber,3021)="","",INDEX(I.Facility.P1IDNumber,3021))</f>
        <v/>
      </c>
      <c r="G3033" s="51"/>
      <c r="H3033" s="46" t="str">
        <f>IF(AND(I.Developer.P1=TRUE,I.Facility.P1FacilityCount&gt;=3021,F3033=""),"Incomplete","Complete")</f>
        <v>Complete</v>
      </c>
      <c r="I3033" s="48" t="s">
        <v>7398</v>
      </c>
    </row>
    <row r="3034" spans="2:9" ht="15" customHeight="1" x14ac:dyDescent="0.25">
      <c r="B3034" s="55" t="s">
        <v>279</v>
      </c>
      <c r="C3034" s="46">
        <v>3022</v>
      </c>
      <c r="D3034" s="69" t="s">
        <v>29416</v>
      </c>
      <c r="E3034" s="51"/>
      <c r="F3034" s="114" t="str">
        <f>IF(INDEX(I.Facility.P1IDNumber,3022)="","",INDEX(I.Facility.P1IDNumber,3022))</f>
        <v/>
      </c>
      <c r="G3034" s="51"/>
      <c r="H3034" s="46" t="str">
        <f>IF(AND(I.Developer.P1=TRUE,I.Facility.P1FacilityCount&gt;=3022,F3034=""),"Incomplete","Complete")</f>
        <v>Complete</v>
      </c>
      <c r="I3034" s="48" t="s">
        <v>7399</v>
      </c>
    </row>
    <row r="3035" spans="2:9" ht="15" customHeight="1" x14ac:dyDescent="0.25">
      <c r="B3035" s="55" t="s">
        <v>279</v>
      </c>
      <c r="C3035" s="46">
        <v>3023</v>
      </c>
      <c r="D3035" s="69" t="s">
        <v>29416</v>
      </c>
      <c r="E3035" s="51"/>
      <c r="F3035" s="114" t="str">
        <f>IF(INDEX(I.Facility.P1IDNumber,3023)="","",INDEX(I.Facility.P1IDNumber,3023))</f>
        <v/>
      </c>
      <c r="G3035" s="51"/>
      <c r="H3035" s="46" t="str">
        <f>IF(AND(I.Developer.P1=TRUE,I.Facility.P1FacilityCount&gt;=3023,F3035=""),"Incomplete","Complete")</f>
        <v>Complete</v>
      </c>
      <c r="I3035" s="48" t="s">
        <v>7400</v>
      </c>
    </row>
    <row r="3036" spans="2:9" ht="15" customHeight="1" x14ac:dyDescent="0.25">
      <c r="B3036" s="55" t="s">
        <v>279</v>
      </c>
      <c r="C3036" s="46">
        <v>3024</v>
      </c>
      <c r="D3036" s="69" t="s">
        <v>29416</v>
      </c>
      <c r="E3036" s="51"/>
      <c r="F3036" s="114" t="str">
        <f>IF(INDEX(I.Facility.P1IDNumber,3024)="","",INDEX(I.Facility.P1IDNumber,3024))</f>
        <v/>
      </c>
      <c r="G3036" s="51"/>
      <c r="H3036" s="46" t="str">
        <f>IF(AND(I.Developer.P1=TRUE,I.Facility.P1FacilityCount&gt;=3024,F3036=""),"Incomplete","Complete")</f>
        <v>Complete</v>
      </c>
      <c r="I3036" s="48" t="s">
        <v>7401</v>
      </c>
    </row>
    <row r="3037" spans="2:9" ht="15" customHeight="1" x14ac:dyDescent="0.25">
      <c r="B3037" s="55" t="s">
        <v>279</v>
      </c>
      <c r="C3037" s="46">
        <v>3025</v>
      </c>
      <c r="D3037" s="69" t="s">
        <v>29416</v>
      </c>
      <c r="E3037" s="51"/>
      <c r="F3037" s="114" t="str">
        <f>IF(INDEX(I.Facility.P1IDNumber,3025)="","",INDEX(I.Facility.P1IDNumber,3025))</f>
        <v/>
      </c>
      <c r="G3037" s="51"/>
      <c r="H3037" s="46" t="str">
        <f>IF(AND(I.Developer.P1=TRUE,I.Facility.P1FacilityCount&gt;=3025,F3037=""),"Incomplete","Complete")</f>
        <v>Complete</v>
      </c>
      <c r="I3037" s="48" t="s">
        <v>7402</v>
      </c>
    </row>
    <row r="3038" spans="2:9" ht="15" customHeight="1" x14ac:dyDescent="0.25">
      <c r="B3038" s="55" t="s">
        <v>279</v>
      </c>
      <c r="C3038" s="46">
        <v>3026</v>
      </c>
      <c r="D3038" s="69" t="s">
        <v>29416</v>
      </c>
      <c r="E3038" s="51"/>
      <c r="F3038" s="114" t="str">
        <f>IF(INDEX(I.Facility.P1IDNumber,3026)="","",INDEX(I.Facility.P1IDNumber,3026))</f>
        <v/>
      </c>
      <c r="G3038" s="51"/>
      <c r="H3038" s="46" t="str">
        <f>IF(AND(I.Developer.P1=TRUE,I.Facility.P1FacilityCount&gt;=3026,F3038=""),"Incomplete","Complete")</f>
        <v>Complete</v>
      </c>
      <c r="I3038" s="48" t="s">
        <v>7403</v>
      </c>
    </row>
    <row r="3039" spans="2:9" ht="15" customHeight="1" x14ac:dyDescent="0.25">
      <c r="B3039" s="55" t="s">
        <v>279</v>
      </c>
      <c r="C3039" s="46">
        <v>3027</v>
      </c>
      <c r="D3039" s="69" t="s">
        <v>29416</v>
      </c>
      <c r="E3039" s="51"/>
      <c r="F3039" s="114" t="str">
        <f>IF(INDEX(I.Facility.P1IDNumber,3027)="","",INDEX(I.Facility.P1IDNumber,3027))</f>
        <v/>
      </c>
      <c r="G3039" s="51"/>
      <c r="H3039" s="46" t="str">
        <f>IF(AND(I.Developer.P1=TRUE,I.Facility.P1FacilityCount&gt;=3027,F3039=""),"Incomplete","Complete")</f>
        <v>Complete</v>
      </c>
      <c r="I3039" s="48" t="s">
        <v>7404</v>
      </c>
    </row>
    <row r="3040" spans="2:9" ht="15" customHeight="1" x14ac:dyDescent="0.25">
      <c r="B3040" s="55" t="s">
        <v>279</v>
      </c>
      <c r="C3040" s="46">
        <v>3028</v>
      </c>
      <c r="D3040" s="69" t="s">
        <v>29416</v>
      </c>
      <c r="E3040" s="51"/>
      <c r="F3040" s="114" t="str">
        <f>IF(INDEX(I.Facility.P1IDNumber,3028)="","",INDEX(I.Facility.P1IDNumber,3028))</f>
        <v/>
      </c>
      <c r="G3040" s="51"/>
      <c r="H3040" s="46" t="str">
        <f>IF(AND(I.Developer.P1=TRUE,I.Facility.P1FacilityCount&gt;=3028,F3040=""),"Incomplete","Complete")</f>
        <v>Complete</v>
      </c>
      <c r="I3040" s="48" t="s">
        <v>7405</v>
      </c>
    </row>
    <row r="3041" spans="2:9" ht="15" customHeight="1" x14ac:dyDescent="0.25">
      <c r="B3041" s="55" t="s">
        <v>279</v>
      </c>
      <c r="C3041" s="46">
        <v>3029</v>
      </c>
      <c r="D3041" s="69" t="s">
        <v>29416</v>
      </c>
      <c r="E3041" s="51"/>
      <c r="F3041" s="114" t="str">
        <f>IF(INDEX(I.Facility.P1IDNumber,3029)="","",INDEX(I.Facility.P1IDNumber,3029))</f>
        <v/>
      </c>
      <c r="G3041" s="51"/>
      <c r="H3041" s="46" t="str">
        <f>IF(AND(I.Developer.P1=TRUE,I.Facility.P1FacilityCount&gt;=3029,F3041=""),"Incomplete","Complete")</f>
        <v>Complete</v>
      </c>
      <c r="I3041" s="48" t="s">
        <v>7406</v>
      </c>
    </row>
    <row r="3042" spans="2:9" ht="15" customHeight="1" x14ac:dyDescent="0.25">
      <c r="B3042" s="55" t="s">
        <v>279</v>
      </c>
      <c r="C3042" s="46">
        <v>3030</v>
      </c>
      <c r="D3042" s="69" t="s">
        <v>29416</v>
      </c>
      <c r="E3042" s="51"/>
      <c r="F3042" s="114" t="str">
        <f>IF(INDEX(I.Facility.P1IDNumber,3030)="","",INDEX(I.Facility.P1IDNumber,3030))</f>
        <v/>
      </c>
      <c r="G3042" s="51"/>
      <c r="H3042" s="46" t="str">
        <f>IF(AND(I.Developer.P1=TRUE,I.Facility.P1FacilityCount&gt;=3030,F3042=""),"Incomplete","Complete")</f>
        <v>Complete</v>
      </c>
      <c r="I3042" s="48" t="s">
        <v>7407</v>
      </c>
    </row>
    <row r="3043" spans="2:9" ht="15" customHeight="1" x14ac:dyDescent="0.25">
      <c r="B3043" s="55" t="s">
        <v>279</v>
      </c>
      <c r="C3043" s="46">
        <v>3031</v>
      </c>
      <c r="D3043" s="69" t="s">
        <v>29416</v>
      </c>
      <c r="E3043" s="51"/>
      <c r="F3043" s="114" t="str">
        <f>IF(INDEX(I.Facility.P1IDNumber,3031)="","",INDEX(I.Facility.P1IDNumber,3031))</f>
        <v/>
      </c>
      <c r="G3043" s="51"/>
      <c r="H3043" s="46" t="str">
        <f>IF(AND(I.Developer.P1=TRUE,I.Facility.P1FacilityCount&gt;=3031,F3043=""),"Incomplete","Complete")</f>
        <v>Complete</v>
      </c>
      <c r="I3043" s="48" t="s">
        <v>7408</v>
      </c>
    </row>
    <row r="3044" spans="2:9" ht="15" customHeight="1" x14ac:dyDescent="0.25">
      <c r="B3044" s="55" t="s">
        <v>279</v>
      </c>
      <c r="C3044" s="46">
        <v>3032</v>
      </c>
      <c r="D3044" s="69" t="s">
        <v>29416</v>
      </c>
      <c r="E3044" s="51"/>
      <c r="F3044" s="114" t="str">
        <f>IF(INDEX(I.Facility.P1IDNumber,3032)="","",INDEX(I.Facility.P1IDNumber,3032))</f>
        <v/>
      </c>
      <c r="G3044" s="51"/>
      <c r="H3044" s="46" t="str">
        <f>IF(AND(I.Developer.P1=TRUE,I.Facility.P1FacilityCount&gt;=3032,F3044=""),"Incomplete","Complete")</f>
        <v>Complete</v>
      </c>
      <c r="I3044" s="48" t="s">
        <v>7409</v>
      </c>
    </row>
    <row r="3045" spans="2:9" ht="15" customHeight="1" x14ac:dyDescent="0.25">
      <c r="B3045" s="55" t="s">
        <v>279</v>
      </c>
      <c r="C3045" s="46">
        <v>3033</v>
      </c>
      <c r="D3045" s="69" t="s">
        <v>29416</v>
      </c>
      <c r="E3045" s="51"/>
      <c r="F3045" s="114" t="str">
        <f>IF(INDEX(I.Facility.P1IDNumber,3033)="","",INDEX(I.Facility.P1IDNumber,3033))</f>
        <v/>
      </c>
      <c r="G3045" s="51"/>
      <c r="H3045" s="46" t="str">
        <f>IF(AND(I.Developer.P1=TRUE,I.Facility.P1FacilityCount&gt;=3033,F3045=""),"Incomplete","Complete")</f>
        <v>Complete</v>
      </c>
      <c r="I3045" s="48" t="s">
        <v>7410</v>
      </c>
    </row>
    <row r="3046" spans="2:9" ht="15" customHeight="1" x14ac:dyDescent="0.25">
      <c r="B3046" s="55" t="s">
        <v>279</v>
      </c>
      <c r="C3046" s="46">
        <v>3034</v>
      </c>
      <c r="D3046" s="69" t="s">
        <v>29416</v>
      </c>
      <c r="E3046" s="51"/>
      <c r="F3046" s="114" t="str">
        <f>IF(INDEX(I.Facility.P1IDNumber,3034)="","",INDEX(I.Facility.P1IDNumber,3034))</f>
        <v/>
      </c>
      <c r="G3046" s="51"/>
      <c r="H3046" s="46" t="str">
        <f>IF(AND(I.Developer.P1=TRUE,I.Facility.P1FacilityCount&gt;=3034,F3046=""),"Incomplete","Complete")</f>
        <v>Complete</v>
      </c>
      <c r="I3046" s="48" t="s">
        <v>7411</v>
      </c>
    </row>
    <row r="3047" spans="2:9" ht="15" customHeight="1" x14ac:dyDescent="0.25">
      <c r="B3047" s="55" t="s">
        <v>279</v>
      </c>
      <c r="C3047" s="46">
        <v>3035</v>
      </c>
      <c r="D3047" s="69" t="s">
        <v>29416</v>
      </c>
      <c r="E3047" s="51"/>
      <c r="F3047" s="114" t="str">
        <f>IF(INDEX(I.Facility.P1IDNumber,3035)="","",INDEX(I.Facility.P1IDNumber,3035))</f>
        <v/>
      </c>
      <c r="G3047" s="51"/>
      <c r="H3047" s="46" t="str">
        <f>IF(AND(I.Developer.P1=TRUE,I.Facility.P1FacilityCount&gt;=3035,F3047=""),"Incomplete","Complete")</f>
        <v>Complete</v>
      </c>
      <c r="I3047" s="48" t="s">
        <v>7412</v>
      </c>
    </row>
    <row r="3048" spans="2:9" ht="15" customHeight="1" x14ac:dyDescent="0.25">
      <c r="B3048" s="55" t="s">
        <v>279</v>
      </c>
      <c r="C3048" s="46">
        <v>3036</v>
      </c>
      <c r="D3048" s="69" t="s">
        <v>29416</v>
      </c>
      <c r="E3048" s="51"/>
      <c r="F3048" s="114" t="str">
        <f>IF(INDEX(I.Facility.P1IDNumber,3036)="","",INDEX(I.Facility.P1IDNumber,3036))</f>
        <v/>
      </c>
      <c r="G3048" s="51"/>
      <c r="H3048" s="46" t="str">
        <f>IF(AND(I.Developer.P1=TRUE,I.Facility.P1FacilityCount&gt;=3036,F3048=""),"Incomplete","Complete")</f>
        <v>Complete</v>
      </c>
      <c r="I3048" s="48" t="s">
        <v>7413</v>
      </c>
    </row>
    <row r="3049" spans="2:9" ht="15" customHeight="1" x14ac:dyDescent="0.25">
      <c r="B3049" s="55" t="s">
        <v>279</v>
      </c>
      <c r="C3049" s="46">
        <v>3037</v>
      </c>
      <c r="D3049" s="69" t="s">
        <v>29416</v>
      </c>
      <c r="E3049" s="51"/>
      <c r="F3049" s="114" t="str">
        <f>IF(INDEX(I.Facility.P1IDNumber,3037)="","",INDEX(I.Facility.P1IDNumber,3037))</f>
        <v/>
      </c>
      <c r="G3049" s="51"/>
      <c r="H3049" s="46" t="str">
        <f>IF(AND(I.Developer.P1=TRUE,I.Facility.P1FacilityCount&gt;=3037,F3049=""),"Incomplete","Complete")</f>
        <v>Complete</v>
      </c>
      <c r="I3049" s="48" t="s">
        <v>7414</v>
      </c>
    </row>
    <row r="3050" spans="2:9" ht="15" customHeight="1" x14ac:dyDescent="0.25">
      <c r="B3050" s="55" t="s">
        <v>279</v>
      </c>
      <c r="C3050" s="46">
        <v>3038</v>
      </c>
      <c r="D3050" s="69" t="s">
        <v>29416</v>
      </c>
      <c r="E3050" s="51"/>
      <c r="F3050" s="114" t="str">
        <f>IF(INDEX(I.Facility.P1IDNumber,3038)="","",INDEX(I.Facility.P1IDNumber,3038))</f>
        <v/>
      </c>
      <c r="G3050" s="51"/>
      <c r="H3050" s="46" t="str">
        <f>IF(AND(I.Developer.P1=TRUE,I.Facility.P1FacilityCount&gt;=3038,F3050=""),"Incomplete","Complete")</f>
        <v>Complete</v>
      </c>
      <c r="I3050" s="48" t="s">
        <v>7415</v>
      </c>
    </row>
    <row r="3051" spans="2:9" ht="15" customHeight="1" x14ac:dyDescent="0.25">
      <c r="B3051" s="55" t="s">
        <v>279</v>
      </c>
      <c r="C3051" s="46">
        <v>3039</v>
      </c>
      <c r="D3051" s="69" t="s">
        <v>29416</v>
      </c>
      <c r="E3051" s="51"/>
      <c r="F3051" s="114" t="str">
        <f>IF(INDEX(I.Facility.P1IDNumber,3039)="","",INDEX(I.Facility.P1IDNumber,3039))</f>
        <v/>
      </c>
      <c r="G3051" s="51"/>
      <c r="H3051" s="46" t="str">
        <f>IF(AND(I.Developer.P1=TRUE,I.Facility.P1FacilityCount&gt;=3039,F3051=""),"Incomplete","Complete")</f>
        <v>Complete</v>
      </c>
      <c r="I3051" s="48" t="s">
        <v>7416</v>
      </c>
    </row>
    <row r="3052" spans="2:9" ht="15" customHeight="1" x14ac:dyDescent="0.25">
      <c r="B3052" s="55" t="s">
        <v>279</v>
      </c>
      <c r="C3052" s="46">
        <v>3040</v>
      </c>
      <c r="D3052" s="69" t="s">
        <v>29416</v>
      </c>
      <c r="E3052" s="51"/>
      <c r="F3052" s="114" t="str">
        <f>IF(INDEX(I.Facility.P1IDNumber,3040)="","",INDEX(I.Facility.P1IDNumber,3040))</f>
        <v/>
      </c>
      <c r="G3052" s="51"/>
      <c r="H3052" s="46" t="str">
        <f>IF(AND(I.Developer.P1=TRUE,I.Facility.P1FacilityCount&gt;=3040,F3052=""),"Incomplete","Complete")</f>
        <v>Complete</v>
      </c>
      <c r="I3052" s="48" t="s">
        <v>7417</v>
      </c>
    </row>
    <row r="3053" spans="2:9" ht="15" customHeight="1" x14ac:dyDescent="0.25">
      <c r="B3053" s="55" t="s">
        <v>279</v>
      </c>
      <c r="C3053" s="46">
        <v>3041</v>
      </c>
      <c r="D3053" s="69" t="s">
        <v>29416</v>
      </c>
      <c r="E3053" s="51"/>
      <c r="F3053" s="114" t="str">
        <f>IF(INDEX(I.Facility.P1IDNumber,3041)="","",INDEX(I.Facility.P1IDNumber,3041))</f>
        <v/>
      </c>
      <c r="G3053" s="51"/>
      <c r="H3053" s="46" t="str">
        <f>IF(AND(I.Developer.P1=TRUE,I.Facility.P1FacilityCount&gt;=3041,F3053=""),"Incomplete","Complete")</f>
        <v>Complete</v>
      </c>
      <c r="I3053" s="48" t="s">
        <v>7418</v>
      </c>
    </row>
    <row r="3054" spans="2:9" ht="15" customHeight="1" x14ac:dyDescent="0.25">
      <c r="B3054" s="55" t="s">
        <v>279</v>
      </c>
      <c r="C3054" s="46">
        <v>3042</v>
      </c>
      <c r="D3054" s="69" t="s">
        <v>29416</v>
      </c>
      <c r="E3054" s="51"/>
      <c r="F3054" s="114" t="str">
        <f>IF(INDEX(I.Facility.P1IDNumber,3042)="","",INDEX(I.Facility.P1IDNumber,3042))</f>
        <v/>
      </c>
      <c r="G3054" s="51"/>
      <c r="H3054" s="46" t="str">
        <f>IF(AND(I.Developer.P1=TRUE,I.Facility.P1FacilityCount&gt;=3042,F3054=""),"Incomplete","Complete")</f>
        <v>Complete</v>
      </c>
      <c r="I3054" s="48" t="s">
        <v>7419</v>
      </c>
    </row>
    <row r="3055" spans="2:9" ht="15" customHeight="1" x14ac:dyDescent="0.25">
      <c r="B3055" s="55" t="s">
        <v>279</v>
      </c>
      <c r="C3055" s="46">
        <v>3043</v>
      </c>
      <c r="D3055" s="69" t="s">
        <v>29416</v>
      </c>
      <c r="E3055" s="51"/>
      <c r="F3055" s="114" t="str">
        <f>IF(INDEX(I.Facility.P1IDNumber,3043)="","",INDEX(I.Facility.P1IDNumber,3043))</f>
        <v/>
      </c>
      <c r="G3055" s="51"/>
      <c r="H3055" s="46" t="str">
        <f>IF(AND(I.Developer.P1=TRUE,I.Facility.P1FacilityCount&gt;=3043,F3055=""),"Incomplete","Complete")</f>
        <v>Complete</v>
      </c>
      <c r="I3055" s="48" t="s">
        <v>7420</v>
      </c>
    </row>
    <row r="3056" spans="2:9" ht="15" customHeight="1" x14ac:dyDescent="0.25">
      <c r="B3056" s="55" t="s">
        <v>279</v>
      </c>
      <c r="C3056" s="46">
        <v>3044</v>
      </c>
      <c r="D3056" s="69" t="s">
        <v>29416</v>
      </c>
      <c r="E3056" s="51"/>
      <c r="F3056" s="114" t="str">
        <f>IF(INDEX(I.Facility.P1IDNumber,3044)="","",INDEX(I.Facility.P1IDNumber,3044))</f>
        <v/>
      </c>
      <c r="G3056" s="51"/>
      <c r="H3056" s="46" t="str">
        <f>IF(AND(I.Developer.P1=TRUE,I.Facility.P1FacilityCount&gt;=3044,F3056=""),"Incomplete","Complete")</f>
        <v>Complete</v>
      </c>
      <c r="I3056" s="48" t="s">
        <v>7421</v>
      </c>
    </row>
    <row r="3057" spans="2:9" ht="15" customHeight="1" x14ac:dyDescent="0.25">
      <c r="B3057" s="55" t="s">
        <v>279</v>
      </c>
      <c r="C3057" s="46">
        <v>3045</v>
      </c>
      <c r="D3057" s="69" t="s">
        <v>29416</v>
      </c>
      <c r="E3057" s="51"/>
      <c r="F3057" s="114" t="str">
        <f>IF(INDEX(I.Facility.P1IDNumber,3045)="","",INDEX(I.Facility.P1IDNumber,3045))</f>
        <v/>
      </c>
      <c r="G3057" s="51"/>
      <c r="H3057" s="46" t="str">
        <f>IF(AND(I.Developer.P1=TRUE,I.Facility.P1FacilityCount&gt;=3045,F3057=""),"Incomplete","Complete")</f>
        <v>Complete</v>
      </c>
      <c r="I3057" s="48" t="s">
        <v>7422</v>
      </c>
    </row>
    <row r="3058" spans="2:9" ht="15" customHeight="1" x14ac:dyDescent="0.25">
      <c r="B3058" s="55" t="s">
        <v>279</v>
      </c>
      <c r="C3058" s="46">
        <v>3046</v>
      </c>
      <c r="D3058" s="69" t="s">
        <v>29416</v>
      </c>
      <c r="E3058" s="51"/>
      <c r="F3058" s="114" t="str">
        <f>IF(INDEX(I.Facility.P1IDNumber,3046)="","",INDEX(I.Facility.P1IDNumber,3046))</f>
        <v/>
      </c>
      <c r="G3058" s="51"/>
      <c r="H3058" s="46" t="str">
        <f>IF(AND(I.Developer.P1=TRUE,I.Facility.P1FacilityCount&gt;=3046,F3058=""),"Incomplete","Complete")</f>
        <v>Complete</v>
      </c>
      <c r="I3058" s="48" t="s">
        <v>7423</v>
      </c>
    </row>
    <row r="3059" spans="2:9" ht="15" customHeight="1" x14ac:dyDescent="0.25">
      <c r="B3059" s="55" t="s">
        <v>279</v>
      </c>
      <c r="C3059" s="46">
        <v>3047</v>
      </c>
      <c r="D3059" s="69" t="s">
        <v>29416</v>
      </c>
      <c r="E3059" s="51"/>
      <c r="F3059" s="114" t="str">
        <f>IF(INDEX(I.Facility.P1IDNumber,3047)="","",INDEX(I.Facility.P1IDNumber,3047))</f>
        <v/>
      </c>
      <c r="G3059" s="51"/>
      <c r="H3059" s="46" t="str">
        <f>IF(AND(I.Developer.P1=TRUE,I.Facility.P1FacilityCount&gt;=3047,F3059=""),"Incomplete","Complete")</f>
        <v>Complete</v>
      </c>
      <c r="I3059" s="48" t="s">
        <v>7424</v>
      </c>
    </row>
    <row r="3060" spans="2:9" ht="15" customHeight="1" x14ac:dyDescent="0.25">
      <c r="B3060" s="55" t="s">
        <v>279</v>
      </c>
      <c r="C3060" s="46">
        <v>3048</v>
      </c>
      <c r="D3060" s="69" t="s">
        <v>29416</v>
      </c>
      <c r="E3060" s="51"/>
      <c r="F3060" s="114" t="str">
        <f>IF(INDEX(I.Facility.P1IDNumber,3048)="","",INDEX(I.Facility.P1IDNumber,3048))</f>
        <v/>
      </c>
      <c r="G3060" s="51"/>
      <c r="H3060" s="46" t="str">
        <f>IF(AND(I.Developer.P1=TRUE,I.Facility.P1FacilityCount&gt;=3048,F3060=""),"Incomplete","Complete")</f>
        <v>Complete</v>
      </c>
      <c r="I3060" s="48" t="s">
        <v>7425</v>
      </c>
    </row>
    <row r="3061" spans="2:9" ht="15" customHeight="1" x14ac:dyDescent="0.25">
      <c r="B3061" s="55" t="s">
        <v>279</v>
      </c>
      <c r="C3061" s="46">
        <v>3049</v>
      </c>
      <c r="D3061" s="69" t="s">
        <v>29416</v>
      </c>
      <c r="E3061" s="51"/>
      <c r="F3061" s="114" t="str">
        <f>IF(INDEX(I.Facility.P1IDNumber,3049)="","",INDEX(I.Facility.P1IDNumber,3049))</f>
        <v/>
      </c>
      <c r="G3061" s="51"/>
      <c r="H3061" s="46" t="str">
        <f>IF(AND(I.Developer.P1=TRUE,I.Facility.P1FacilityCount&gt;=3049,F3061=""),"Incomplete","Complete")</f>
        <v>Complete</v>
      </c>
      <c r="I3061" s="48" t="s">
        <v>7426</v>
      </c>
    </row>
    <row r="3062" spans="2:9" ht="15" customHeight="1" x14ac:dyDescent="0.25">
      <c r="B3062" s="55" t="s">
        <v>279</v>
      </c>
      <c r="C3062" s="46">
        <v>3050</v>
      </c>
      <c r="D3062" s="69" t="s">
        <v>29416</v>
      </c>
      <c r="E3062" s="51"/>
      <c r="F3062" s="114" t="str">
        <f>IF(INDEX(I.Facility.P1IDNumber,3050)="","",INDEX(I.Facility.P1IDNumber,3050))</f>
        <v/>
      </c>
      <c r="G3062" s="51"/>
      <c r="H3062" s="46" t="str">
        <f>IF(AND(I.Developer.P1=TRUE,I.Facility.P1FacilityCount&gt;=3050,F3062=""),"Incomplete","Complete")</f>
        <v>Complete</v>
      </c>
      <c r="I3062" s="48" t="s">
        <v>7427</v>
      </c>
    </row>
    <row r="3063" spans="2:9" ht="15" customHeight="1" x14ac:dyDescent="0.25">
      <c r="B3063" s="55" t="s">
        <v>279</v>
      </c>
      <c r="C3063" s="46">
        <v>3051</v>
      </c>
      <c r="D3063" s="69" t="s">
        <v>29416</v>
      </c>
      <c r="E3063" s="51"/>
      <c r="F3063" s="114" t="str">
        <f>IF(INDEX(I.Facility.P1IDNumber,3051)="","",INDEX(I.Facility.P1IDNumber,3051))</f>
        <v/>
      </c>
      <c r="G3063" s="51"/>
      <c r="H3063" s="46" t="str">
        <f>IF(AND(I.Developer.P1=TRUE,I.Facility.P1FacilityCount&gt;=3051,F3063=""),"Incomplete","Complete")</f>
        <v>Complete</v>
      </c>
      <c r="I3063" s="48" t="s">
        <v>7428</v>
      </c>
    </row>
    <row r="3064" spans="2:9" ht="15" customHeight="1" x14ac:dyDescent="0.25">
      <c r="B3064" s="55" t="s">
        <v>279</v>
      </c>
      <c r="C3064" s="46">
        <v>3052</v>
      </c>
      <c r="D3064" s="69" t="s">
        <v>29416</v>
      </c>
      <c r="E3064" s="51"/>
      <c r="F3064" s="114" t="str">
        <f>IF(INDEX(I.Facility.P1IDNumber,3052)="","",INDEX(I.Facility.P1IDNumber,3052))</f>
        <v/>
      </c>
      <c r="G3064" s="51"/>
      <c r="H3064" s="46" t="str">
        <f>IF(AND(I.Developer.P1=TRUE,I.Facility.P1FacilityCount&gt;=3052,F3064=""),"Incomplete","Complete")</f>
        <v>Complete</v>
      </c>
      <c r="I3064" s="48" t="s">
        <v>7429</v>
      </c>
    </row>
    <row r="3065" spans="2:9" ht="15" customHeight="1" x14ac:dyDescent="0.25">
      <c r="B3065" s="55" t="s">
        <v>279</v>
      </c>
      <c r="C3065" s="46">
        <v>3053</v>
      </c>
      <c r="D3065" s="69" t="s">
        <v>29416</v>
      </c>
      <c r="E3065" s="51"/>
      <c r="F3065" s="114" t="str">
        <f>IF(INDEX(I.Facility.P1IDNumber,3053)="","",INDEX(I.Facility.P1IDNumber,3053))</f>
        <v/>
      </c>
      <c r="G3065" s="51"/>
      <c r="H3065" s="46" t="str">
        <f>IF(AND(I.Developer.P1=TRUE,I.Facility.P1FacilityCount&gt;=3053,F3065=""),"Incomplete","Complete")</f>
        <v>Complete</v>
      </c>
      <c r="I3065" s="48" t="s">
        <v>7430</v>
      </c>
    </row>
    <row r="3066" spans="2:9" ht="15" customHeight="1" x14ac:dyDescent="0.25">
      <c r="B3066" s="55" t="s">
        <v>279</v>
      </c>
      <c r="C3066" s="46">
        <v>3054</v>
      </c>
      <c r="D3066" s="69" t="s">
        <v>29416</v>
      </c>
      <c r="E3066" s="51"/>
      <c r="F3066" s="114" t="str">
        <f>IF(INDEX(I.Facility.P1IDNumber,3054)="","",INDEX(I.Facility.P1IDNumber,3054))</f>
        <v/>
      </c>
      <c r="G3066" s="51"/>
      <c r="H3066" s="46" t="str">
        <f>IF(AND(I.Developer.P1=TRUE,I.Facility.P1FacilityCount&gt;=3054,F3066=""),"Incomplete","Complete")</f>
        <v>Complete</v>
      </c>
      <c r="I3066" s="48" t="s">
        <v>7431</v>
      </c>
    </row>
    <row r="3067" spans="2:9" ht="15" customHeight="1" x14ac:dyDescent="0.25">
      <c r="B3067" s="55" t="s">
        <v>279</v>
      </c>
      <c r="C3067" s="46">
        <v>3055</v>
      </c>
      <c r="D3067" s="69" t="s">
        <v>29416</v>
      </c>
      <c r="E3067" s="51"/>
      <c r="F3067" s="114" t="str">
        <f>IF(INDEX(I.Facility.P1IDNumber,3055)="","",INDEX(I.Facility.P1IDNumber,3055))</f>
        <v/>
      </c>
      <c r="G3067" s="51"/>
      <c r="H3067" s="46" t="str">
        <f>IF(AND(I.Developer.P1=TRUE,I.Facility.P1FacilityCount&gt;=3055,F3067=""),"Incomplete","Complete")</f>
        <v>Complete</v>
      </c>
      <c r="I3067" s="48" t="s">
        <v>7432</v>
      </c>
    </row>
    <row r="3068" spans="2:9" ht="15" customHeight="1" x14ac:dyDescent="0.25">
      <c r="B3068" s="55" t="s">
        <v>279</v>
      </c>
      <c r="C3068" s="46">
        <v>3056</v>
      </c>
      <c r="D3068" s="69" t="s">
        <v>29416</v>
      </c>
      <c r="E3068" s="51"/>
      <c r="F3068" s="114" t="str">
        <f>IF(INDEX(I.Facility.P1IDNumber,3056)="","",INDEX(I.Facility.P1IDNumber,3056))</f>
        <v/>
      </c>
      <c r="G3068" s="51"/>
      <c r="H3068" s="46" t="str">
        <f>IF(AND(I.Developer.P1=TRUE,I.Facility.P1FacilityCount&gt;=3056,F3068=""),"Incomplete","Complete")</f>
        <v>Complete</v>
      </c>
      <c r="I3068" s="48" t="s">
        <v>7433</v>
      </c>
    </row>
    <row r="3069" spans="2:9" ht="15" customHeight="1" x14ac:dyDescent="0.25">
      <c r="B3069" s="55" t="s">
        <v>279</v>
      </c>
      <c r="C3069" s="46">
        <v>3057</v>
      </c>
      <c r="D3069" s="69" t="s">
        <v>29416</v>
      </c>
      <c r="E3069" s="51"/>
      <c r="F3069" s="114" t="str">
        <f>IF(INDEX(I.Facility.P1IDNumber,3057)="","",INDEX(I.Facility.P1IDNumber,3057))</f>
        <v/>
      </c>
      <c r="G3069" s="51"/>
      <c r="H3069" s="46" t="str">
        <f>IF(AND(I.Developer.P1=TRUE,I.Facility.P1FacilityCount&gt;=3057,F3069=""),"Incomplete","Complete")</f>
        <v>Complete</v>
      </c>
      <c r="I3069" s="48" t="s">
        <v>7434</v>
      </c>
    </row>
    <row r="3070" spans="2:9" ht="15" customHeight="1" x14ac:dyDescent="0.25">
      <c r="B3070" s="55" t="s">
        <v>279</v>
      </c>
      <c r="C3070" s="46">
        <v>3058</v>
      </c>
      <c r="D3070" s="69" t="s">
        <v>29416</v>
      </c>
      <c r="E3070" s="51"/>
      <c r="F3070" s="114" t="str">
        <f>IF(INDEX(I.Facility.P1IDNumber,3058)="","",INDEX(I.Facility.P1IDNumber,3058))</f>
        <v/>
      </c>
      <c r="G3070" s="51"/>
      <c r="H3070" s="46" t="str">
        <f>IF(AND(I.Developer.P1=TRUE,I.Facility.P1FacilityCount&gt;=3058,F3070=""),"Incomplete","Complete")</f>
        <v>Complete</v>
      </c>
      <c r="I3070" s="48" t="s">
        <v>7435</v>
      </c>
    </row>
    <row r="3071" spans="2:9" ht="15" customHeight="1" x14ac:dyDescent="0.25">
      <c r="B3071" s="55" t="s">
        <v>279</v>
      </c>
      <c r="C3071" s="46">
        <v>3059</v>
      </c>
      <c r="D3071" s="69" t="s">
        <v>29416</v>
      </c>
      <c r="E3071" s="51"/>
      <c r="F3071" s="114" t="str">
        <f>IF(INDEX(I.Facility.P1IDNumber,3059)="","",INDEX(I.Facility.P1IDNumber,3059))</f>
        <v/>
      </c>
      <c r="G3071" s="51"/>
      <c r="H3071" s="46" t="str">
        <f>IF(AND(I.Developer.P1=TRUE,I.Facility.P1FacilityCount&gt;=3059,F3071=""),"Incomplete","Complete")</f>
        <v>Complete</v>
      </c>
      <c r="I3071" s="48" t="s">
        <v>7436</v>
      </c>
    </row>
    <row r="3072" spans="2:9" ht="15" customHeight="1" x14ac:dyDescent="0.25">
      <c r="B3072" s="55" t="s">
        <v>279</v>
      </c>
      <c r="C3072" s="46">
        <v>3060</v>
      </c>
      <c r="D3072" s="69" t="s">
        <v>29416</v>
      </c>
      <c r="E3072" s="51"/>
      <c r="F3072" s="114" t="str">
        <f>IF(INDEX(I.Facility.P1IDNumber,3060)="","",INDEX(I.Facility.P1IDNumber,3060))</f>
        <v/>
      </c>
      <c r="G3072" s="51"/>
      <c r="H3072" s="46" t="str">
        <f>IF(AND(I.Developer.P1=TRUE,I.Facility.P1FacilityCount&gt;=3060,F3072=""),"Incomplete","Complete")</f>
        <v>Complete</v>
      </c>
      <c r="I3072" s="48" t="s">
        <v>7437</v>
      </c>
    </row>
    <row r="3073" spans="2:9" ht="15" customHeight="1" x14ac:dyDescent="0.25">
      <c r="B3073" s="55" t="s">
        <v>279</v>
      </c>
      <c r="C3073" s="46">
        <v>3061</v>
      </c>
      <c r="D3073" s="69" t="s">
        <v>29416</v>
      </c>
      <c r="E3073" s="51"/>
      <c r="F3073" s="114" t="str">
        <f>IF(INDEX(I.Facility.P1IDNumber,3061)="","",INDEX(I.Facility.P1IDNumber,3061))</f>
        <v/>
      </c>
      <c r="G3073" s="51"/>
      <c r="H3073" s="46" t="str">
        <f>IF(AND(I.Developer.P1=TRUE,I.Facility.P1FacilityCount&gt;=3061,F3073=""),"Incomplete","Complete")</f>
        <v>Complete</v>
      </c>
      <c r="I3073" s="48" t="s">
        <v>7438</v>
      </c>
    </row>
    <row r="3074" spans="2:9" ht="15" customHeight="1" x14ac:dyDescent="0.25">
      <c r="B3074" s="55" t="s">
        <v>279</v>
      </c>
      <c r="C3074" s="46">
        <v>3062</v>
      </c>
      <c r="D3074" s="69" t="s">
        <v>29416</v>
      </c>
      <c r="E3074" s="51"/>
      <c r="F3074" s="114" t="str">
        <f>IF(INDEX(I.Facility.P1IDNumber,3062)="","",INDEX(I.Facility.P1IDNumber,3062))</f>
        <v/>
      </c>
      <c r="G3074" s="51"/>
      <c r="H3074" s="46" t="str">
        <f>IF(AND(I.Developer.P1=TRUE,I.Facility.P1FacilityCount&gt;=3062,F3074=""),"Incomplete","Complete")</f>
        <v>Complete</v>
      </c>
      <c r="I3074" s="48" t="s">
        <v>7439</v>
      </c>
    </row>
    <row r="3075" spans="2:9" ht="15" customHeight="1" x14ac:dyDescent="0.25">
      <c r="B3075" s="55" t="s">
        <v>279</v>
      </c>
      <c r="C3075" s="46">
        <v>3063</v>
      </c>
      <c r="D3075" s="69" t="s">
        <v>29416</v>
      </c>
      <c r="E3075" s="51"/>
      <c r="F3075" s="114" t="str">
        <f>IF(INDEX(I.Facility.P1IDNumber,3063)="","",INDEX(I.Facility.P1IDNumber,3063))</f>
        <v/>
      </c>
      <c r="G3075" s="51"/>
      <c r="H3075" s="46" t="str">
        <f>IF(AND(I.Developer.P1=TRUE,I.Facility.P1FacilityCount&gt;=3063,F3075=""),"Incomplete","Complete")</f>
        <v>Complete</v>
      </c>
      <c r="I3075" s="48" t="s">
        <v>7440</v>
      </c>
    </row>
    <row r="3076" spans="2:9" ht="15" customHeight="1" x14ac:dyDescent="0.25">
      <c r="B3076" s="55" t="s">
        <v>279</v>
      </c>
      <c r="C3076" s="46">
        <v>3064</v>
      </c>
      <c r="D3076" s="69" t="s">
        <v>29416</v>
      </c>
      <c r="E3076" s="51"/>
      <c r="F3076" s="114" t="str">
        <f>IF(INDEX(I.Facility.P1IDNumber,3064)="","",INDEX(I.Facility.P1IDNumber,3064))</f>
        <v/>
      </c>
      <c r="G3076" s="51"/>
      <c r="H3076" s="46" t="str">
        <f>IF(AND(I.Developer.P1=TRUE,I.Facility.P1FacilityCount&gt;=3064,F3076=""),"Incomplete","Complete")</f>
        <v>Complete</v>
      </c>
      <c r="I3076" s="48" t="s">
        <v>7441</v>
      </c>
    </row>
    <row r="3077" spans="2:9" ht="15" customHeight="1" x14ac:dyDescent="0.25">
      <c r="B3077" s="55" t="s">
        <v>279</v>
      </c>
      <c r="C3077" s="46">
        <v>3065</v>
      </c>
      <c r="D3077" s="69" t="s">
        <v>29416</v>
      </c>
      <c r="E3077" s="51"/>
      <c r="F3077" s="114" t="str">
        <f>IF(INDEX(I.Facility.P1IDNumber,3065)="","",INDEX(I.Facility.P1IDNumber,3065))</f>
        <v/>
      </c>
      <c r="G3077" s="51"/>
      <c r="H3077" s="46" t="str">
        <f>IF(AND(I.Developer.P1=TRUE,I.Facility.P1FacilityCount&gt;=3065,F3077=""),"Incomplete","Complete")</f>
        <v>Complete</v>
      </c>
      <c r="I3077" s="48" t="s">
        <v>7442</v>
      </c>
    </row>
    <row r="3078" spans="2:9" ht="15" customHeight="1" x14ac:dyDescent="0.25">
      <c r="B3078" s="55" t="s">
        <v>279</v>
      </c>
      <c r="C3078" s="46">
        <v>3066</v>
      </c>
      <c r="D3078" s="69" t="s">
        <v>29416</v>
      </c>
      <c r="E3078" s="51"/>
      <c r="F3078" s="114" t="str">
        <f>IF(INDEX(I.Facility.P1IDNumber,3066)="","",INDEX(I.Facility.P1IDNumber,3066))</f>
        <v/>
      </c>
      <c r="G3078" s="51"/>
      <c r="H3078" s="46" t="str">
        <f>IF(AND(I.Developer.P1=TRUE,I.Facility.P1FacilityCount&gt;=3066,F3078=""),"Incomplete","Complete")</f>
        <v>Complete</v>
      </c>
      <c r="I3078" s="48" t="s">
        <v>7443</v>
      </c>
    </row>
    <row r="3079" spans="2:9" ht="15" customHeight="1" x14ac:dyDescent="0.25">
      <c r="B3079" s="55" t="s">
        <v>279</v>
      </c>
      <c r="C3079" s="46">
        <v>3067</v>
      </c>
      <c r="D3079" s="69" t="s">
        <v>29416</v>
      </c>
      <c r="E3079" s="51"/>
      <c r="F3079" s="114" t="str">
        <f>IF(INDEX(I.Facility.P1IDNumber,3067)="","",INDEX(I.Facility.P1IDNumber,3067))</f>
        <v/>
      </c>
      <c r="G3079" s="51"/>
      <c r="H3079" s="46" t="str">
        <f>IF(AND(I.Developer.P1=TRUE,I.Facility.P1FacilityCount&gt;=3067,F3079=""),"Incomplete","Complete")</f>
        <v>Complete</v>
      </c>
      <c r="I3079" s="48" t="s">
        <v>7444</v>
      </c>
    </row>
    <row r="3080" spans="2:9" ht="15" customHeight="1" x14ac:dyDescent="0.25">
      <c r="B3080" s="55" t="s">
        <v>279</v>
      </c>
      <c r="C3080" s="46">
        <v>3068</v>
      </c>
      <c r="D3080" s="69" t="s">
        <v>29416</v>
      </c>
      <c r="E3080" s="51"/>
      <c r="F3080" s="114" t="str">
        <f>IF(INDEX(I.Facility.P1IDNumber,3068)="","",INDEX(I.Facility.P1IDNumber,3068))</f>
        <v/>
      </c>
      <c r="G3080" s="51"/>
      <c r="H3080" s="46" t="str">
        <f>IF(AND(I.Developer.P1=TRUE,I.Facility.P1FacilityCount&gt;=3068,F3080=""),"Incomplete","Complete")</f>
        <v>Complete</v>
      </c>
      <c r="I3080" s="48" t="s">
        <v>7445</v>
      </c>
    </row>
    <row r="3081" spans="2:9" ht="15" customHeight="1" x14ac:dyDescent="0.25">
      <c r="B3081" s="55" t="s">
        <v>279</v>
      </c>
      <c r="C3081" s="46">
        <v>3069</v>
      </c>
      <c r="D3081" s="69" t="s">
        <v>29416</v>
      </c>
      <c r="E3081" s="51"/>
      <c r="F3081" s="114" t="str">
        <f>IF(INDEX(I.Facility.P1IDNumber,3069)="","",INDEX(I.Facility.P1IDNumber,3069))</f>
        <v/>
      </c>
      <c r="G3081" s="51"/>
      <c r="H3081" s="46" t="str">
        <f>IF(AND(I.Developer.P1=TRUE,I.Facility.P1FacilityCount&gt;=3069,F3081=""),"Incomplete","Complete")</f>
        <v>Complete</v>
      </c>
      <c r="I3081" s="48" t="s">
        <v>7446</v>
      </c>
    </row>
    <row r="3082" spans="2:9" ht="15" customHeight="1" x14ac:dyDescent="0.25">
      <c r="B3082" s="55" t="s">
        <v>279</v>
      </c>
      <c r="C3082" s="46">
        <v>3070</v>
      </c>
      <c r="D3082" s="69" t="s">
        <v>29416</v>
      </c>
      <c r="E3082" s="51"/>
      <c r="F3082" s="114" t="str">
        <f>IF(INDEX(I.Facility.P1IDNumber,3070)="","",INDEX(I.Facility.P1IDNumber,3070))</f>
        <v/>
      </c>
      <c r="G3082" s="51"/>
      <c r="H3082" s="46" t="str">
        <f>IF(AND(I.Developer.P1=TRUE,I.Facility.P1FacilityCount&gt;=3070,F3082=""),"Incomplete","Complete")</f>
        <v>Complete</v>
      </c>
      <c r="I3082" s="48" t="s">
        <v>7447</v>
      </c>
    </row>
    <row r="3083" spans="2:9" ht="15" customHeight="1" x14ac:dyDescent="0.25">
      <c r="B3083" s="55" t="s">
        <v>279</v>
      </c>
      <c r="C3083" s="46">
        <v>3071</v>
      </c>
      <c r="D3083" s="69" t="s">
        <v>29416</v>
      </c>
      <c r="E3083" s="51"/>
      <c r="F3083" s="114" t="str">
        <f>IF(INDEX(I.Facility.P1IDNumber,3071)="","",INDEX(I.Facility.P1IDNumber,3071))</f>
        <v/>
      </c>
      <c r="G3083" s="51"/>
      <c r="H3083" s="46" t="str">
        <f>IF(AND(I.Developer.P1=TRUE,I.Facility.P1FacilityCount&gt;=3071,F3083=""),"Incomplete","Complete")</f>
        <v>Complete</v>
      </c>
      <c r="I3083" s="48" t="s">
        <v>7448</v>
      </c>
    </row>
    <row r="3084" spans="2:9" ht="15" customHeight="1" x14ac:dyDescent="0.25">
      <c r="B3084" s="55" t="s">
        <v>279</v>
      </c>
      <c r="C3084" s="46">
        <v>3072</v>
      </c>
      <c r="D3084" s="69" t="s">
        <v>29416</v>
      </c>
      <c r="E3084" s="51"/>
      <c r="F3084" s="114" t="str">
        <f>IF(INDEX(I.Facility.P1IDNumber,3072)="","",INDEX(I.Facility.P1IDNumber,3072))</f>
        <v/>
      </c>
      <c r="G3084" s="51"/>
      <c r="H3084" s="46" t="str">
        <f>IF(AND(I.Developer.P1=TRUE,I.Facility.P1FacilityCount&gt;=3072,F3084=""),"Incomplete","Complete")</f>
        <v>Complete</v>
      </c>
      <c r="I3084" s="48" t="s">
        <v>7449</v>
      </c>
    </row>
    <row r="3085" spans="2:9" ht="15" customHeight="1" x14ac:dyDescent="0.25">
      <c r="B3085" s="55" t="s">
        <v>279</v>
      </c>
      <c r="C3085" s="46">
        <v>3073</v>
      </c>
      <c r="D3085" s="69" t="s">
        <v>29416</v>
      </c>
      <c r="E3085" s="51"/>
      <c r="F3085" s="114" t="str">
        <f>IF(INDEX(I.Facility.P1IDNumber,3073)="","",INDEX(I.Facility.P1IDNumber,3073))</f>
        <v/>
      </c>
      <c r="G3085" s="51"/>
      <c r="H3085" s="46" t="str">
        <f>IF(AND(I.Developer.P1=TRUE,I.Facility.P1FacilityCount&gt;=3073,F3085=""),"Incomplete","Complete")</f>
        <v>Complete</v>
      </c>
      <c r="I3085" s="48" t="s">
        <v>7450</v>
      </c>
    </row>
    <row r="3086" spans="2:9" ht="15" customHeight="1" x14ac:dyDescent="0.25">
      <c r="B3086" s="55" t="s">
        <v>279</v>
      </c>
      <c r="C3086" s="46">
        <v>3074</v>
      </c>
      <c r="D3086" s="69" t="s">
        <v>29416</v>
      </c>
      <c r="E3086" s="51"/>
      <c r="F3086" s="114" t="str">
        <f>IF(INDEX(I.Facility.P1IDNumber,3074)="","",INDEX(I.Facility.P1IDNumber,3074))</f>
        <v/>
      </c>
      <c r="G3086" s="51"/>
      <c r="H3086" s="46" t="str">
        <f>IF(AND(I.Developer.P1=TRUE,I.Facility.P1FacilityCount&gt;=3074,F3086=""),"Incomplete","Complete")</f>
        <v>Complete</v>
      </c>
      <c r="I3086" s="48" t="s">
        <v>7451</v>
      </c>
    </row>
    <row r="3087" spans="2:9" ht="15" customHeight="1" x14ac:dyDescent="0.25">
      <c r="B3087" s="55" t="s">
        <v>279</v>
      </c>
      <c r="C3087" s="46">
        <v>3075</v>
      </c>
      <c r="D3087" s="69" t="s">
        <v>29416</v>
      </c>
      <c r="E3087" s="51"/>
      <c r="F3087" s="114" t="str">
        <f>IF(INDEX(I.Facility.P1IDNumber,3075)="","",INDEX(I.Facility.P1IDNumber,3075))</f>
        <v/>
      </c>
      <c r="G3087" s="51"/>
      <c r="H3087" s="46" t="str">
        <f>IF(AND(I.Developer.P1=TRUE,I.Facility.P1FacilityCount&gt;=3075,F3087=""),"Incomplete","Complete")</f>
        <v>Complete</v>
      </c>
      <c r="I3087" s="48" t="s">
        <v>7452</v>
      </c>
    </row>
    <row r="3088" spans="2:9" ht="15" customHeight="1" x14ac:dyDescent="0.25">
      <c r="B3088" s="55" t="s">
        <v>279</v>
      </c>
      <c r="C3088" s="46">
        <v>3076</v>
      </c>
      <c r="D3088" s="69" t="s">
        <v>29416</v>
      </c>
      <c r="E3088" s="51"/>
      <c r="F3088" s="114" t="str">
        <f>IF(INDEX(I.Facility.P1IDNumber,3076)="","",INDEX(I.Facility.P1IDNumber,3076))</f>
        <v/>
      </c>
      <c r="G3088" s="51"/>
      <c r="H3088" s="46" t="str">
        <f>IF(AND(I.Developer.P1=TRUE,I.Facility.P1FacilityCount&gt;=3076,F3088=""),"Incomplete","Complete")</f>
        <v>Complete</v>
      </c>
      <c r="I3088" s="48" t="s">
        <v>7453</v>
      </c>
    </row>
    <row r="3089" spans="2:9" ht="15" customHeight="1" x14ac:dyDescent="0.25">
      <c r="B3089" s="55" t="s">
        <v>279</v>
      </c>
      <c r="C3089" s="46">
        <v>3077</v>
      </c>
      <c r="D3089" s="69" t="s">
        <v>29416</v>
      </c>
      <c r="E3089" s="51"/>
      <c r="F3089" s="114" t="str">
        <f>IF(INDEX(I.Facility.P1IDNumber,3077)="","",INDEX(I.Facility.P1IDNumber,3077))</f>
        <v/>
      </c>
      <c r="G3089" s="51"/>
      <c r="H3089" s="46" t="str">
        <f>IF(AND(I.Developer.P1=TRUE,I.Facility.P1FacilityCount&gt;=3077,F3089=""),"Incomplete","Complete")</f>
        <v>Complete</v>
      </c>
      <c r="I3089" s="48" t="s">
        <v>7454</v>
      </c>
    </row>
    <row r="3090" spans="2:9" ht="15" customHeight="1" x14ac:dyDescent="0.25">
      <c r="B3090" s="55" t="s">
        <v>279</v>
      </c>
      <c r="C3090" s="46">
        <v>3078</v>
      </c>
      <c r="D3090" s="69" t="s">
        <v>29416</v>
      </c>
      <c r="E3090" s="51"/>
      <c r="F3090" s="114" t="str">
        <f>IF(INDEX(I.Facility.P1IDNumber,3078)="","",INDEX(I.Facility.P1IDNumber,3078))</f>
        <v/>
      </c>
      <c r="G3090" s="51"/>
      <c r="H3090" s="46" t="str">
        <f>IF(AND(I.Developer.P1=TRUE,I.Facility.P1FacilityCount&gt;=3078,F3090=""),"Incomplete","Complete")</f>
        <v>Complete</v>
      </c>
      <c r="I3090" s="48" t="s">
        <v>7455</v>
      </c>
    </row>
    <row r="3091" spans="2:9" ht="15" customHeight="1" x14ac:dyDescent="0.25">
      <c r="B3091" s="55" t="s">
        <v>279</v>
      </c>
      <c r="C3091" s="46">
        <v>3079</v>
      </c>
      <c r="D3091" s="69" t="s">
        <v>29416</v>
      </c>
      <c r="E3091" s="51"/>
      <c r="F3091" s="114" t="str">
        <f>IF(INDEX(I.Facility.P1IDNumber,3079)="","",INDEX(I.Facility.P1IDNumber,3079))</f>
        <v/>
      </c>
      <c r="G3091" s="51"/>
      <c r="H3091" s="46" t="str">
        <f>IF(AND(I.Developer.P1=TRUE,I.Facility.P1FacilityCount&gt;=3079,F3091=""),"Incomplete","Complete")</f>
        <v>Complete</v>
      </c>
      <c r="I3091" s="48" t="s">
        <v>7456</v>
      </c>
    </row>
    <row r="3092" spans="2:9" ht="15" customHeight="1" x14ac:dyDescent="0.25">
      <c r="B3092" s="55" t="s">
        <v>279</v>
      </c>
      <c r="C3092" s="46">
        <v>3080</v>
      </c>
      <c r="D3092" s="69" t="s">
        <v>29416</v>
      </c>
      <c r="E3092" s="51"/>
      <c r="F3092" s="114" t="str">
        <f>IF(INDEX(I.Facility.P1IDNumber,3080)="","",INDEX(I.Facility.P1IDNumber,3080))</f>
        <v/>
      </c>
      <c r="G3092" s="51"/>
      <c r="H3092" s="46" t="str">
        <f>IF(AND(I.Developer.P1=TRUE,I.Facility.P1FacilityCount&gt;=3080,F3092=""),"Incomplete","Complete")</f>
        <v>Complete</v>
      </c>
      <c r="I3092" s="48" t="s">
        <v>7457</v>
      </c>
    </row>
    <row r="3093" spans="2:9" ht="15" customHeight="1" x14ac:dyDescent="0.25">
      <c r="B3093" s="55" t="s">
        <v>279</v>
      </c>
      <c r="C3093" s="46">
        <v>3081</v>
      </c>
      <c r="D3093" s="69" t="s">
        <v>29416</v>
      </c>
      <c r="E3093" s="51"/>
      <c r="F3093" s="114" t="str">
        <f>IF(INDEX(I.Facility.P1IDNumber,3081)="","",INDEX(I.Facility.P1IDNumber,3081))</f>
        <v/>
      </c>
      <c r="G3093" s="51"/>
      <c r="H3093" s="46" t="str">
        <f>IF(AND(I.Developer.P1=TRUE,I.Facility.P1FacilityCount&gt;=3081,F3093=""),"Incomplete","Complete")</f>
        <v>Complete</v>
      </c>
      <c r="I3093" s="48" t="s">
        <v>7458</v>
      </c>
    </row>
    <row r="3094" spans="2:9" ht="15" customHeight="1" x14ac:dyDescent="0.25">
      <c r="B3094" s="55" t="s">
        <v>279</v>
      </c>
      <c r="C3094" s="46">
        <v>3082</v>
      </c>
      <c r="D3094" s="69" t="s">
        <v>29416</v>
      </c>
      <c r="E3094" s="51"/>
      <c r="F3094" s="114" t="str">
        <f>IF(INDEX(I.Facility.P1IDNumber,3082)="","",INDEX(I.Facility.P1IDNumber,3082))</f>
        <v/>
      </c>
      <c r="G3094" s="51"/>
      <c r="H3094" s="46" t="str">
        <f>IF(AND(I.Developer.P1=TRUE,I.Facility.P1FacilityCount&gt;=3082,F3094=""),"Incomplete","Complete")</f>
        <v>Complete</v>
      </c>
      <c r="I3094" s="48" t="s">
        <v>7459</v>
      </c>
    </row>
    <row r="3095" spans="2:9" ht="15" customHeight="1" x14ac:dyDescent="0.25">
      <c r="B3095" s="55" t="s">
        <v>279</v>
      </c>
      <c r="C3095" s="46">
        <v>3083</v>
      </c>
      <c r="D3095" s="69" t="s">
        <v>29416</v>
      </c>
      <c r="E3095" s="51"/>
      <c r="F3095" s="114" t="str">
        <f>IF(INDEX(I.Facility.P1IDNumber,3083)="","",INDEX(I.Facility.P1IDNumber,3083))</f>
        <v/>
      </c>
      <c r="G3095" s="51"/>
      <c r="H3095" s="46" t="str">
        <f>IF(AND(I.Developer.P1=TRUE,I.Facility.P1FacilityCount&gt;=3083,F3095=""),"Incomplete","Complete")</f>
        <v>Complete</v>
      </c>
      <c r="I3095" s="48" t="s">
        <v>7460</v>
      </c>
    </row>
    <row r="3096" spans="2:9" ht="15" customHeight="1" x14ac:dyDescent="0.25">
      <c r="B3096" s="55" t="s">
        <v>279</v>
      </c>
      <c r="C3096" s="46">
        <v>3084</v>
      </c>
      <c r="D3096" s="69" t="s">
        <v>29416</v>
      </c>
      <c r="E3096" s="51"/>
      <c r="F3096" s="114" t="str">
        <f>IF(INDEX(I.Facility.P1IDNumber,3084)="","",INDEX(I.Facility.P1IDNumber,3084))</f>
        <v/>
      </c>
      <c r="G3096" s="51"/>
      <c r="H3096" s="46" t="str">
        <f>IF(AND(I.Developer.P1=TRUE,I.Facility.P1FacilityCount&gt;=3084,F3096=""),"Incomplete","Complete")</f>
        <v>Complete</v>
      </c>
      <c r="I3096" s="48" t="s">
        <v>7461</v>
      </c>
    </row>
    <row r="3097" spans="2:9" ht="15" customHeight="1" x14ac:dyDescent="0.25">
      <c r="B3097" s="55" t="s">
        <v>279</v>
      </c>
      <c r="C3097" s="46">
        <v>3085</v>
      </c>
      <c r="D3097" s="69" t="s">
        <v>29416</v>
      </c>
      <c r="E3097" s="51"/>
      <c r="F3097" s="114" t="str">
        <f>IF(INDEX(I.Facility.P1IDNumber,3085)="","",INDEX(I.Facility.P1IDNumber,3085))</f>
        <v/>
      </c>
      <c r="G3097" s="51"/>
      <c r="H3097" s="46" t="str">
        <f>IF(AND(I.Developer.P1=TRUE,I.Facility.P1FacilityCount&gt;=3085,F3097=""),"Incomplete","Complete")</f>
        <v>Complete</v>
      </c>
      <c r="I3097" s="48" t="s">
        <v>7462</v>
      </c>
    </row>
    <row r="3098" spans="2:9" ht="15" customHeight="1" x14ac:dyDescent="0.25">
      <c r="B3098" s="55" t="s">
        <v>279</v>
      </c>
      <c r="C3098" s="46">
        <v>3086</v>
      </c>
      <c r="D3098" s="69" t="s">
        <v>29416</v>
      </c>
      <c r="E3098" s="51"/>
      <c r="F3098" s="114" t="str">
        <f>IF(INDEX(I.Facility.P1IDNumber,3086)="","",INDEX(I.Facility.P1IDNumber,3086))</f>
        <v/>
      </c>
      <c r="G3098" s="51"/>
      <c r="H3098" s="46" t="str">
        <f>IF(AND(I.Developer.P1=TRUE,I.Facility.P1FacilityCount&gt;=3086,F3098=""),"Incomplete","Complete")</f>
        <v>Complete</v>
      </c>
      <c r="I3098" s="48" t="s">
        <v>7463</v>
      </c>
    </row>
    <row r="3099" spans="2:9" ht="15" customHeight="1" x14ac:dyDescent="0.25">
      <c r="B3099" s="55" t="s">
        <v>279</v>
      </c>
      <c r="C3099" s="46">
        <v>3087</v>
      </c>
      <c r="D3099" s="69" t="s">
        <v>29416</v>
      </c>
      <c r="E3099" s="51"/>
      <c r="F3099" s="114" t="str">
        <f>IF(INDEX(I.Facility.P1IDNumber,3087)="","",INDEX(I.Facility.P1IDNumber,3087))</f>
        <v/>
      </c>
      <c r="G3099" s="51"/>
      <c r="H3099" s="46" t="str">
        <f>IF(AND(I.Developer.P1=TRUE,I.Facility.P1FacilityCount&gt;=3087,F3099=""),"Incomplete","Complete")</f>
        <v>Complete</v>
      </c>
      <c r="I3099" s="48" t="s">
        <v>7464</v>
      </c>
    </row>
    <row r="3100" spans="2:9" ht="15" customHeight="1" x14ac:dyDescent="0.25">
      <c r="B3100" s="55" t="s">
        <v>279</v>
      </c>
      <c r="C3100" s="46">
        <v>3088</v>
      </c>
      <c r="D3100" s="69" t="s">
        <v>29416</v>
      </c>
      <c r="E3100" s="51"/>
      <c r="F3100" s="114" t="str">
        <f>IF(INDEX(I.Facility.P1IDNumber,3088)="","",INDEX(I.Facility.P1IDNumber,3088))</f>
        <v/>
      </c>
      <c r="G3100" s="51"/>
      <c r="H3100" s="46" t="str">
        <f>IF(AND(I.Developer.P1=TRUE,I.Facility.P1FacilityCount&gt;=3088,F3100=""),"Incomplete","Complete")</f>
        <v>Complete</v>
      </c>
      <c r="I3100" s="48" t="s">
        <v>7465</v>
      </c>
    </row>
    <row r="3101" spans="2:9" ht="15" customHeight="1" x14ac:dyDescent="0.25">
      <c r="B3101" s="55" t="s">
        <v>279</v>
      </c>
      <c r="C3101" s="46">
        <v>3089</v>
      </c>
      <c r="D3101" s="69" t="s">
        <v>29416</v>
      </c>
      <c r="E3101" s="51"/>
      <c r="F3101" s="114" t="str">
        <f>IF(INDEX(I.Facility.P1IDNumber,3089)="","",INDEX(I.Facility.P1IDNumber,3089))</f>
        <v/>
      </c>
      <c r="G3101" s="51"/>
      <c r="H3101" s="46" t="str">
        <f>IF(AND(I.Developer.P1=TRUE,I.Facility.P1FacilityCount&gt;=3089,F3101=""),"Incomplete","Complete")</f>
        <v>Complete</v>
      </c>
      <c r="I3101" s="48" t="s">
        <v>7466</v>
      </c>
    </row>
    <row r="3102" spans="2:9" ht="15" customHeight="1" x14ac:dyDescent="0.25">
      <c r="B3102" s="55" t="s">
        <v>279</v>
      </c>
      <c r="C3102" s="46">
        <v>3090</v>
      </c>
      <c r="D3102" s="69" t="s">
        <v>29416</v>
      </c>
      <c r="E3102" s="51"/>
      <c r="F3102" s="114" t="str">
        <f>IF(INDEX(I.Facility.P1IDNumber,3090)="","",INDEX(I.Facility.P1IDNumber,3090))</f>
        <v/>
      </c>
      <c r="G3102" s="51"/>
      <c r="H3102" s="46" t="str">
        <f>IF(AND(I.Developer.P1=TRUE,I.Facility.P1FacilityCount&gt;=3090,F3102=""),"Incomplete","Complete")</f>
        <v>Complete</v>
      </c>
      <c r="I3102" s="48" t="s">
        <v>7467</v>
      </c>
    </row>
    <row r="3103" spans="2:9" ht="15" customHeight="1" x14ac:dyDescent="0.25">
      <c r="B3103" s="55" t="s">
        <v>279</v>
      </c>
      <c r="C3103" s="46">
        <v>3091</v>
      </c>
      <c r="D3103" s="69" t="s">
        <v>29416</v>
      </c>
      <c r="E3103" s="51"/>
      <c r="F3103" s="114" t="str">
        <f>IF(INDEX(I.Facility.P1IDNumber,3091)="","",INDEX(I.Facility.P1IDNumber,3091))</f>
        <v/>
      </c>
      <c r="G3103" s="51"/>
      <c r="H3103" s="46" t="str">
        <f>IF(AND(I.Developer.P1=TRUE,I.Facility.P1FacilityCount&gt;=3091,F3103=""),"Incomplete","Complete")</f>
        <v>Complete</v>
      </c>
      <c r="I3103" s="48" t="s">
        <v>7468</v>
      </c>
    </row>
    <row r="3104" spans="2:9" ht="15" customHeight="1" x14ac:dyDescent="0.25">
      <c r="B3104" s="55" t="s">
        <v>279</v>
      </c>
      <c r="C3104" s="46">
        <v>3092</v>
      </c>
      <c r="D3104" s="69" t="s">
        <v>29416</v>
      </c>
      <c r="E3104" s="51"/>
      <c r="F3104" s="114" t="str">
        <f>IF(INDEX(I.Facility.P1IDNumber,3092)="","",INDEX(I.Facility.P1IDNumber,3092))</f>
        <v/>
      </c>
      <c r="G3104" s="51"/>
      <c r="H3104" s="46" t="str">
        <f>IF(AND(I.Developer.P1=TRUE,I.Facility.P1FacilityCount&gt;=3092,F3104=""),"Incomplete","Complete")</f>
        <v>Complete</v>
      </c>
      <c r="I3104" s="48" t="s">
        <v>7469</v>
      </c>
    </row>
    <row r="3105" spans="2:9" ht="15" customHeight="1" x14ac:dyDescent="0.25">
      <c r="B3105" s="55" t="s">
        <v>279</v>
      </c>
      <c r="C3105" s="46">
        <v>3093</v>
      </c>
      <c r="D3105" s="69" t="s">
        <v>29416</v>
      </c>
      <c r="E3105" s="51"/>
      <c r="F3105" s="114" t="str">
        <f>IF(INDEX(I.Facility.P1IDNumber,3093)="","",INDEX(I.Facility.P1IDNumber,3093))</f>
        <v/>
      </c>
      <c r="G3105" s="51"/>
      <c r="H3105" s="46" t="str">
        <f>IF(AND(I.Developer.P1=TRUE,I.Facility.P1FacilityCount&gt;=3093,F3105=""),"Incomplete","Complete")</f>
        <v>Complete</v>
      </c>
      <c r="I3105" s="48" t="s">
        <v>7470</v>
      </c>
    </row>
    <row r="3106" spans="2:9" ht="15" customHeight="1" x14ac:dyDescent="0.25">
      <c r="B3106" s="55" t="s">
        <v>279</v>
      </c>
      <c r="C3106" s="46">
        <v>3094</v>
      </c>
      <c r="D3106" s="69" t="s">
        <v>29416</v>
      </c>
      <c r="E3106" s="51"/>
      <c r="F3106" s="114" t="str">
        <f>IF(INDEX(I.Facility.P1IDNumber,3094)="","",INDEX(I.Facility.P1IDNumber,3094))</f>
        <v/>
      </c>
      <c r="G3106" s="51"/>
      <c r="H3106" s="46" t="str">
        <f>IF(AND(I.Developer.P1=TRUE,I.Facility.P1FacilityCount&gt;=3094,F3106=""),"Incomplete","Complete")</f>
        <v>Complete</v>
      </c>
      <c r="I3106" s="48" t="s">
        <v>7471</v>
      </c>
    </row>
    <row r="3107" spans="2:9" ht="15" customHeight="1" x14ac:dyDescent="0.25">
      <c r="B3107" s="55" t="s">
        <v>279</v>
      </c>
      <c r="C3107" s="46">
        <v>3095</v>
      </c>
      <c r="D3107" s="69" t="s">
        <v>29416</v>
      </c>
      <c r="E3107" s="51"/>
      <c r="F3107" s="114" t="str">
        <f>IF(INDEX(I.Facility.P1IDNumber,3095)="","",INDEX(I.Facility.P1IDNumber,3095))</f>
        <v/>
      </c>
      <c r="G3107" s="51"/>
      <c r="H3107" s="46" t="str">
        <f>IF(AND(I.Developer.P1=TRUE,I.Facility.P1FacilityCount&gt;=3095,F3107=""),"Incomplete","Complete")</f>
        <v>Complete</v>
      </c>
      <c r="I3107" s="48" t="s">
        <v>7472</v>
      </c>
    </row>
    <row r="3108" spans="2:9" ht="15" customHeight="1" x14ac:dyDescent="0.25">
      <c r="B3108" s="55" t="s">
        <v>279</v>
      </c>
      <c r="C3108" s="46">
        <v>3096</v>
      </c>
      <c r="D3108" s="69" t="s">
        <v>29416</v>
      </c>
      <c r="E3108" s="51"/>
      <c r="F3108" s="114" t="str">
        <f>IF(INDEX(I.Facility.P1IDNumber,3096)="","",INDEX(I.Facility.P1IDNumber,3096))</f>
        <v/>
      </c>
      <c r="G3108" s="51"/>
      <c r="H3108" s="46" t="str">
        <f>IF(AND(I.Developer.P1=TRUE,I.Facility.P1FacilityCount&gt;=3096,F3108=""),"Incomplete","Complete")</f>
        <v>Complete</v>
      </c>
      <c r="I3108" s="48" t="s">
        <v>7473</v>
      </c>
    </row>
    <row r="3109" spans="2:9" ht="15" customHeight="1" x14ac:dyDescent="0.25">
      <c r="B3109" s="55" t="s">
        <v>279</v>
      </c>
      <c r="C3109" s="46">
        <v>3097</v>
      </c>
      <c r="D3109" s="69" t="s">
        <v>29416</v>
      </c>
      <c r="E3109" s="51"/>
      <c r="F3109" s="114" t="str">
        <f>IF(INDEX(I.Facility.P1IDNumber,3097)="","",INDEX(I.Facility.P1IDNumber,3097))</f>
        <v/>
      </c>
      <c r="G3109" s="51"/>
      <c r="H3109" s="46" t="str">
        <f>IF(AND(I.Developer.P1=TRUE,I.Facility.P1FacilityCount&gt;=3097,F3109=""),"Incomplete","Complete")</f>
        <v>Complete</v>
      </c>
      <c r="I3109" s="48" t="s">
        <v>7474</v>
      </c>
    </row>
    <row r="3110" spans="2:9" ht="15" customHeight="1" x14ac:dyDescent="0.25">
      <c r="B3110" s="55" t="s">
        <v>279</v>
      </c>
      <c r="C3110" s="46">
        <v>3098</v>
      </c>
      <c r="D3110" s="69" t="s">
        <v>29416</v>
      </c>
      <c r="E3110" s="51"/>
      <c r="F3110" s="114" t="str">
        <f>IF(INDEX(I.Facility.P1IDNumber,3098)="","",INDEX(I.Facility.P1IDNumber,3098))</f>
        <v/>
      </c>
      <c r="G3110" s="51"/>
      <c r="H3110" s="46" t="str">
        <f>IF(AND(I.Developer.P1=TRUE,I.Facility.P1FacilityCount&gt;=3098,F3110=""),"Incomplete","Complete")</f>
        <v>Complete</v>
      </c>
      <c r="I3110" s="48" t="s">
        <v>7475</v>
      </c>
    </row>
    <row r="3111" spans="2:9" ht="15" customHeight="1" x14ac:dyDescent="0.25">
      <c r="B3111" s="55" t="s">
        <v>279</v>
      </c>
      <c r="C3111" s="46">
        <v>3099</v>
      </c>
      <c r="D3111" s="69" t="s">
        <v>29416</v>
      </c>
      <c r="E3111" s="51"/>
      <c r="F3111" s="114" t="str">
        <f>IF(INDEX(I.Facility.P1IDNumber,3099)="","",INDEX(I.Facility.P1IDNumber,3099))</f>
        <v/>
      </c>
      <c r="G3111" s="51"/>
      <c r="H3111" s="46" t="str">
        <f>IF(AND(I.Developer.P1=TRUE,I.Facility.P1FacilityCount&gt;=3099,F3111=""),"Incomplete","Complete")</f>
        <v>Complete</v>
      </c>
      <c r="I3111" s="48" t="s">
        <v>7476</v>
      </c>
    </row>
    <row r="3112" spans="2:9" ht="15" customHeight="1" x14ac:dyDescent="0.25">
      <c r="B3112" s="55" t="s">
        <v>279</v>
      </c>
      <c r="C3112" s="46">
        <v>3100</v>
      </c>
      <c r="D3112" s="69" t="s">
        <v>29416</v>
      </c>
      <c r="E3112" s="51"/>
      <c r="F3112" s="114" t="str">
        <f>IF(INDEX(I.Facility.P1IDNumber,3100)="","",INDEX(I.Facility.P1IDNumber,3100))</f>
        <v/>
      </c>
      <c r="G3112" s="51"/>
      <c r="H3112" s="46" t="str">
        <f>IF(AND(I.Developer.P1=TRUE,I.Facility.P1FacilityCount&gt;=3100,F3112=""),"Incomplete","Complete")</f>
        <v>Complete</v>
      </c>
      <c r="I3112" s="48" t="s">
        <v>7477</v>
      </c>
    </row>
    <row r="3113" spans="2:9" ht="15" customHeight="1" x14ac:dyDescent="0.25">
      <c r="B3113" s="55" t="s">
        <v>279</v>
      </c>
      <c r="C3113" s="46">
        <v>3101</v>
      </c>
      <c r="D3113" s="69" t="s">
        <v>29416</v>
      </c>
      <c r="E3113" s="51"/>
      <c r="F3113" s="114" t="str">
        <f>IF(INDEX(I.Facility.P1IDNumber,3101)="","",INDEX(I.Facility.P1IDNumber,3101))</f>
        <v/>
      </c>
      <c r="G3113" s="51"/>
      <c r="H3113" s="46" t="str">
        <f>IF(AND(I.Developer.P1=TRUE,I.Facility.P1FacilityCount&gt;=3101,F3113=""),"Incomplete","Complete")</f>
        <v>Complete</v>
      </c>
      <c r="I3113" s="48" t="s">
        <v>7478</v>
      </c>
    </row>
    <row r="3114" spans="2:9" ht="15" customHeight="1" x14ac:dyDescent="0.25">
      <c r="B3114" s="55" t="s">
        <v>279</v>
      </c>
      <c r="C3114" s="46">
        <v>3102</v>
      </c>
      <c r="D3114" s="69" t="s">
        <v>29416</v>
      </c>
      <c r="E3114" s="51"/>
      <c r="F3114" s="114" t="str">
        <f>IF(INDEX(I.Facility.P1IDNumber,3102)="","",INDEX(I.Facility.P1IDNumber,3102))</f>
        <v/>
      </c>
      <c r="G3114" s="51"/>
      <c r="H3114" s="46" t="str">
        <f>IF(AND(I.Developer.P1=TRUE,I.Facility.P1FacilityCount&gt;=3102,F3114=""),"Incomplete","Complete")</f>
        <v>Complete</v>
      </c>
      <c r="I3114" s="48" t="s">
        <v>7479</v>
      </c>
    </row>
    <row r="3115" spans="2:9" ht="15" customHeight="1" x14ac:dyDescent="0.25">
      <c r="B3115" s="55" t="s">
        <v>279</v>
      </c>
      <c r="C3115" s="46">
        <v>3103</v>
      </c>
      <c r="D3115" s="69" t="s">
        <v>29416</v>
      </c>
      <c r="E3115" s="51"/>
      <c r="F3115" s="114" t="str">
        <f>IF(INDEX(I.Facility.P1IDNumber,3103)="","",INDEX(I.Facility.P1IDNumber,3103))</f>
        <v/>
      </c>
      <c r="G3115" s="51"/>
      <c r="H3115" s="46" t="str">
        <f>IF(AND(I.Developer.P1=TRUE,I.Facility.P1FacilityCount&gt;=3103,F3115=""),"Incomplete","Complete")</f>
        <v>Complete</v>
      </c>
      <c r="I3115" s="48" t="s">
        <v>7480</v>
      </c>
    </row>
    <row r="3116" spans="2:9" ht="15" customHeight="1" x14ac:dyDescent="0.25">
      <c r="B3116" s="55" t="s">
        <v>279</v>
      </c>
      <c r="C3116" s="46">
        <v>3104</v>
      </c>
      <c r="D3116" s="69" t="s">
        <v>29416</v>
      </c>
      <c r="E3116" s="51"/>
      <c r="F3116" s="114" t="str">
        <f>IF(INDEX(I.Facility.P1IDNumber,3104)="","",INDEX(I.Facility.P1IDNumber,3104))</f>
        <v/>
      </c>
      <c r="G3116" s="51"/>
      <c r="H3116" s="46" t="str">
        <f>IF(AND(I.Developer.P1=TRUE,I.Facility.P1FacilityCount&gt;=3104,F3116=""),"Incomplete","Complete")</f>
        <v>Complete</v>
      </c>
      <c r="I3116" s="48" t="s">
        <v>7481</v>
      </c>
    </row>
    <row r="3117" spans="2:9" ht="15" customHeight="1" x14ac:dyDescent="0.25">
      <c r="B3117" s="55" t="s">
        <v>279</v>
      </c>
      <c r="C3117" s="46">
        <v>3105</v>
      </c>
      <c r="D3117" s="69" t="s">
        <v>29416</v>
      </c>
      <c r="E3117" s="51"/>
      <c r="F3117" s="114" t="str">
        <f>IF(INDEX(I.Facility.P1IDNumber,3105)="","",INDEX(I.Facility.P1IDNumber,3105))</f>
        <v/>
      </c>
      <c r="G3117" s="51"/>
      <c r="H3117" s="46" t="str">
        <f>IF(AND(I.Developer.P1=TRUE,I.Facility.P1FacilityCount&gt;=3105,F3117=""),"Incomplete","Complete")</f>
        <v>Complete</v>
      </c>
      <c r="I3117" s="48" t="s">
        <v>7482</v>
      </c>
    </row>
    <row r="3118" spans="2:9" ht="15" customHeight="1" x14ac:dyDescent="0.25">
      <c r="B3118" s="55" t="s">
        <v>279</v>
      </c>
      <c r="C3118" s="46">
        <v>3106</v>
      </c>
      <c r="D3118" s="69" t="s">
        <v>29416</v>
      </c>
      <c r="E3118" s="51"/>
      <c r="F3118" s="114" t="str">
        <f>IF(INDEX(I.Facility.P1IDNumber,3106)="","",INDEX(I.Facility.P1IDNumber,3106))</f>
        <v/>
      </c>
      <c r="G3118" s="51"/>
      <c r="H3118" s="46" t="str">
        <f>IF(AND(I.Developer.P1=TRUE,I.Facility.P1FacilityCount&gt;=3106,F3118=""),"Incomplete","Complete")</f>
        <v>Complete</v>
      </c>
      <c r="I3118" s="48" t="s">
        <v>7483</v>
      </c>
    </row>
    <row r="3119" spans="2:9" ht="15" customHeight="1" x14ac:dyDescent="0.25">
      <c r="B3119" s="55" t="s">
        <v>279</v>
      </c>
      <c r="C3119" s="46">
        <v>3107</v>
      </c>
      <c r="D3119" s="69" t="s">
        <v>29416</v>
      </c>
      <c r="E3119" s="51"/>
      <c r="F3119" s="114" t="str">
        <f>IF(INDEX(I.Facility.P1IDNumber,3107)="","",INDEX(I.Facility.P1IDNumber,3107))</f>
        <v/>
      </c>
      <c r="G3119" s="51"/>
      <c r="H3119" s="46" t="str">
        <f>IF(AND(I.Developer.P1=TRUE,I.Facility.P1FacilityCount&gt;=3107,F3119=""),"Incomplete","Complete")</f>
        <v>Complete</v>
      </c>
      <c r="I3119" s="48" t="s">
        <v>7484</v>
      </c>
    </row>
    <row r="3120" spans="2:9" ht="15" customHeight="1" x14ac:dyDescent="0.25">
      <c r="B3120" s="55" t="s">
        <v>279</v>
      </c>
      <c r="C3120" s="46">
        <v>3108</v>
      </c>
      <c r="D3120" s="69" t="s">
        <v>29416</v>
      </c>
      <c r="E3120" s="51"/>
      <c r="F3120" s="114" t="str">
        <f>IF(INDEX(I.Facility.P1IDNumber,3108)="","",INDEX(I.Facility.P1IDNumber,3108))</f>
        <v/>
      </c>
      <c r="G3120" s="51"/>
      <c r="H3120" s="46" t="str">
        <f>IF(AND(I.Developer.P1=TRUE,I.Facility.P1FacilityCount&gt;=3108,F3120=""),"Incomplete","Complete")</f>
        <v>Complete</v>
      </c>
      <c r="I3120" s="48" t="s">
        <v>7485</v>
      </c>
    </row>
    <row r="3121" spans="2:9" ht="15" customHeight="1" x14ac:dyDescent="0.25">
      <c r="B3121" s="55" t="s">
        <v>279</v>
      </c>
      <c r="C3121" s="46">
        <v>3109</v>
      </c>
      <c r="D3121" s="69" t="s">
        <v>29416</v>
      </c>
      <c r="E3121" s="51"/>
      <c r="F3121" s="114" t="str">
        <f>IF(INDEX(I.Facility.P1IDNumber,3109)="","",INDEX(I.Facility.P1IDNumber,3109))</f>
        <v/>
      </c>
      <c r="G3121" s="51"/>
      <c r="H3121" s="46" t="str">
        <f>IF(AND(I.Developer.P1=TRUE,I.Facility.P1FacilityCount&gt;=3109,F3121=""),"Incomplete","Complete")</f>
        <v>Complete</v>
      </c>
      <c r="I3121" s="48" t="s">
        <v>7486</v>
      </c>
    </row>
    <row r="3122" spans="2:9" ht="15" customHeight="1" x14ac:dyDescent="0.25">
      <c r="B3122" s="55" t="s">
        <v>279</v>
      </c>
      <c r="C3122" s="46">
        <v>3110</v>
      </c>
      <c r="D3122" s="69" t="s">
        <v>29416</v>
      </c>
      <c r="E3122" s="51"/>
      <c r="F3122" s="114" t="str">
        <f>IF(INDEX(I.Facility.P1IDNumber,3110)="","",INDEX(I.Facility.P1IDNumber,3110))</f>
        <v/>
      </c>
      <c r="G3122" s="51"/>
      <c r="H3122" s="46" t="str">
        <f>IF(AND(I.Developer.P1=TRUE,I.Facility.P1FacilityCount&gt;=3110,F3122=""),"Incomplete","Complete")</f>
        <v>Complete</v>
      </c>
      <c r="I3122" s="48" t="s">
        <v>7487</v>
      </c>
    </row>
    <row r="3123" spans="2:9" ht="15" customHeight="1" x14ac:dyDescent="0.25">
      <c r="B3123" s="55" t="s">
        <v>279</v>
      </c>
      <c r="C3123" s="46">
        <v>3111</v>
      </c>
      <c r="D3123" s="69" t="s">
        <v>29416</v>
      </c>
      <c r="E3123" s="51"/>
      <c r="F3123" s="114" t="str">
        <f>IF(INDEX(I.Facility.P1IDNumber,3111)="","",INDEX(I.Facility.P1IDNumber,3111))</f>
        <v/>
      </c>
      <c r="G3123" s="51"/>
      <c r="H3123" s="46" t="str">
        <f>IF(AND(I.Developer.P1=TRUE,I.Facility.P1FacilityCount&gt;=3111,F3123=""),"Incomplete","Complete")</f>
        <v>Complete</v>
      </c>
      <c r="I3123" s="48" t="s">
        <v>7488</v>
      </c>
    </row>
    <row r="3124" spans="2:9" ht="15" customHeight="1" x14ac:dyDescent="0.25">
      <c r="B3124" s="55" t="s">
        <v>279</v>
      </c>
      <c r="C3124" s="46">
        <v>3112</v>
      </c>
      <c r="D3124" s="69" t="s">
        <v>29416</v>
      </c>
      <c r="E3124" s="51"/>
      <c r="F3124" s="114" t="str">
        <f>IF(INDEX(I.Facility.P1IDNumber,3112)="","",INDEX(I.Facility.P1IDNumber,3112))</f>
        <v/>
      </c>
      <c r="G3124" s="51"/>
      <c r="H3124" s="46" t="str">
        <f>IF(AND(I.Developer.P1=TRUE,I.Facility.P1FacilityCount&gt;=3112,F3124=""),"Incomplete","Complete")</f>
        <v>Complete</v>
      </c>
      <c r="I3124" s="48" t="s">
        <v>7489</v>
      </c>
    </row>
    <row r="3125" spans="2:9" ht="15" customHeight="1" x14ac:dyDescent="0.25">
      <c r="B3125" s="55" t="s">
        <v>279</v>
      </c>
      <c r="C3125" s="46">
        <v>3113</v>
      </c>
      <c r="D3125" s="69" t="s">
        <v>29416</v>
      </c>
      <c r="E3125" s="51"/>
      <c r="F3125" s="114" t="str">
        <f>IF(INDEX(I.Facility.P1IDNumber,3113)="","",INDEX(I.Facility.P1IDNumber,3113))</f>
        <v/>
      </c>
      <c r="G3125" s="51"/>
      <c r="H3125" s="46" t="str">
        <f>IF(AND(I.Developer.P1=TRUE,I.Facility.P1FacilityCount&gt;=3113,F3125=""),"Incomplete","Complete")</f>
        <v>Complete</v>
      </c>
      <c r="I3125" s="48" t="s">
        <v>7490</v>
      </c>
    </row>
    <row r="3126" spans="2:9" ht="15" customHeight="1" x14ac:dyDescent="0.25">
      <c r="B3126" s="55" t="s">
        <v>279</v>
      </c>
      <c r="C3126" s="46">
        <v>3114</v>
      </c>
      <c r="D3126" s="69" t="s">
        <v>29416</v>
      </c>
      <c r="E3126" s="51"/>
      <c r="F3126" s="114" t="str">
        <f>IF(INDEX(I.Facility.P1IDNumber,3114)="","",INDEX(I.Facility.P1IDNumber,3114))</f>
        <v/>
      </c>
      <c r="G3126" s="51"/>
      <c r="H3126" s="46" t="str">
        <f>IF(AND(I.Developer.P1=TRUE,I.Facility.P1FacilityCount&gt;=3114,F3126=""),"Incomplete","Complete")</f>
        <v>Complete</v>
      </c>
      <c r="I3126" s="48" t="s">
        <v>7491</v>
      </c>
    </row>
    <row r="3127" spans="2:9" ht="15" customHeight="1" x14ac:dyDescent="0.25">
      <c r="B3127" s="55" t="s">
        <v>279</v>
      </c>
      <c r="C3127" s="46">
        <v>3115</v>
      </c>
      <c r="D3127" s="69" t="s">
        <v>29416</v>
      </c>
      <c r="E3127" s="51"/>
      <c r="F3127" s="114" t="str">
        <f>IF(INDEX(I.Facility.P1IDNumber,3115)="","",INDEX(I.Facility.P1IDNumber,3115))</f>
        <v/>
      </c>
      <c r="G3127" s="51"/>
      <c r="H3127" s="46" t="str">
        <f>IF(AND(I.Developer.P1=TRUE,I.Facility.P1FacilityCount&gt;=3115,F3127=""),"Incomplete","Complete")</f>
        <v>Complete</v>
      </c>
      <c r="I3127" s="48" t="s">
        <v>7492</v>
      </c>
    </row>
    <row r="3128" spans="2:9" ht="15" customHeight="1" x14ac:dyDescent="0.25">
      <c r="B3128" s="55" t="s">
        <v>279</v>
      </c>
      <c r="C3128" s="46">
        <v>3116</v>
      </c>
      <c r="D3128" s="69" t="s">
        <v>29416</v>
      </c>
      <c r="E3128" s="51"/>
      <c r="F3128" s="114" t="str">
        <f>IF(INDEX(I.Facility.P1IDNumber,3116)="","",INDEX(I.Facility.P1IDNumber,3116))</f>
        <v/>
      </c>
      <c r="G3128" s="51"/>
      <c r="H3128" s="46" t="str">
        <f>IF(AND(I.Developer.P1=TRUE,I.Facility.P1FacilityCount&gt;=3116,F3128=""),"Incomplete","Complete")</f>
        <v>Complete</v>
      </c>
      <c r="I3128" s="48" t="s">
        <v>7493</v>
      </c>
    </row>
    <row r="3129" spans="2:9" ht="15" customHeight="1" x14ac:dyDescent="0.25">
      <c r="B3129" s="55" t="s">
        <v>279</v>
      </c>
      <c r="C3129" s="46">
        <v>3117</v>
      </c>
      <c r="D3129" s="69" t="s">
        <v>29416</v>
      </c>
      <c r="E3129" s="51"/>
      <c r="F3129" s="114" t="str">
        <f>IF(INDEX(I.Facility.P1IDNumber,3117)="","",INDEX(I.Facility.P1IDNumber,3117))</f>
        <v/>
      </c>
      <c r="G3129" s="51"/>
      <c r="H3129" s="46" t="str">
        <f>IF(AND(I.Developer.P1=TRUE,I.Facility.P1FacilityCount&gt;=3117,F3129=""),"Incomplete","Complete")</f>
        <v>Complete</v>
      </c>
      <c r="I3129" s="48" t="s">
        <v>7494</v>
      </c>
    </row>
    <row r="3130" spans="2:9" ht="15" customHeight="1" x14ac:dyDescent="0.25">
      <c r="B3130" s="55" t="s">
        <v>279</v>
      </c>
      <c r="C3130" s="46">
        <v>3118</v>
      </c>
      <c r="D3130" s="69" t="s">
        <v>29416</v>
      </c>
      <c r="E3130" s="51"/>
      <c r="F3130" s="114" t="str">
        <f>IF(INDEX(I.Facility.P1IDNumber,3118)="","",INDEX(I.Facility.P1IDNumber,3118))</f>
        <v/>
      </c>
      <c r="G3130" s="51"/>
      <c r="H3130" s="46" t="str">
        <f>IF(AND(I.Developer.P1=TRUE,I.Facility.P1FacilityCount&gt;=3118,F3130=""),"Incomplete","Complete")</f>
        <v>Complete</v>
      </c>
      <c r="I3130" s="48" t="s">
        <v>7495</v>
      </c>
    </row>
    <row r="3131" spans="2:9" ht="15" customHeight="1" x14ac:dyDescent="0.25">
      <c r="B3131" s="55" t="s">
        <v>279</v>
      </c>
      <c r="C3131" s="46">
        <v>3119</v>
      </c>
      <c r="D3131" s="69" t="s">
        <v>29416</v>
      </c>
      <c r="E3131" s="51"/>
      <c r="F3131" s="114" t="str">
        <f>IF(INDEX(I.Facility.P1IDNumber,3119)="","",INDEX(I.Facility.P1IDNumber,3119))</f>
        <v/>
      </c>
      <c r="G3131" s="51"/>
      <c r="H3131" s="46" t="str">
        <f>IF(AND(I.Developer.P1=TRUE,I.Facility.P1FacilityCount&gt;=3119,F3131=""),"Incomplete","Complete")</f>
        <v>Complete</v>
      </c>
      <c r="I3131" s="48" t="s">
        <v>7496</v>
      </c>
    </row>
    <row r="3132" spans="2:9" ht="15" customHeight="1" x14ac:dyDescent="0.25">
      <c r="B3132" s="55" t="s">
        <v>279</v>
      </c>
      <c r="C3132" s="46">
        <v>3120</v>
      </c>
      <c r="D3132" s="69" t="s">
        <v>29416</v>
      </c>
      <c r="E3132" s="51"/>
      <c r="F3132" s="114" t="str">
        <f>IF(INDEX(I.Facility.P1IDNumber,3120)="","",INDEX(I.Facility.P1IDNumber,3120))</f>
        <v/>
      </c>
      <c r="G3132" s="51"/>
      <c r="H3132" s="46" t="str">
        <f>IF(AND(I.Developer.P1=TRUE,I.Facility.P1FacilityCount&gt;=3120,F3132=""),"Incomplete","Complete")</f>
        <v>Complete</v>
      </c>
      <c r="I3132" s="48" t="s">
        <v>7497</v>
      </c>
    </row>
    <row r="3133" spans="2:9" ht="15" customHeight="1" x14ac:dyDescent="0.25">
      <c r="B3133" s="55" t="s">
        <v>279</v>
      </c>
      <c r="C3133" s="46">
        <v>3121</v>
      </c>
      <c r="D3133" s="69" t="s">
        <v>29416</v>
      </c>
      <c r="E3133" s="51"/>
      <c r="F3133" s="114" t="str">
        <f>IF(INDEX(I.Facility.P1IDNumber,3121)="","",INDEX(I.Facility.P1IDNumber,3121))</f>
        <v/>
      </c>
      <c r="G3133" s="51"/>
      <c r="H3133" s="46" t="str">
        <f>IF(AND(I.Developer.P1=TRUE,I.Facility.P1FacilityCount&gt;=3121,F3133=""),"Incomplete","Complete")</f>
        <v>Complete</v>
      </c>
      <c r="I3133" s="48" t="s">
        <v>7498</v>
      </c>
    </row>
    <row r="3134" spans="2:9" ht="15" customHeight="1" x14ac:dyDescent="0.25">
      <c r="B3134" s="55" t="s">
        <v>279</v>
      </c>
      <c r="C3134" s="46">
        <v>3122</v>
      </c>
      <c r="D3134" s="69" t="s">
        <v>29416</v>
      </c>
      <c r="E3134" s="51"/>
      <c r="F3134" s="114" t="str">
        <f>IF(INDEX(I.Facility.P1IDNumber,3122)="","",INDEX(I.Facility.P1IDNumber,3122))</f>
        <v/>
      </c>
      <c r="G3134" s="51"/>
      <c r="H3134" s="46" t="str">
        <f>IF(AND(I.Developer.P1=TRUE,I.Facility.P1FacilityCount&gt;=3122,F3134=""),"Incomplete","Complete")</f>
        <v>Complete</v>
      </c>
      <c r="I3134" s="48" t="s">
        <v>7499</v>
      </c>
    </row>
    <row r="3135" spans="2:9" ht="15" customHeight="1" x14ac:dyDescent="0.25">
      <c r="B3135" s="55" t="s">
        <v>279</v>
      </c>
      <c r="C3135" s="46">
        <v>3123</v>
      </c>
      <c r="D3135" s="69" t="s">
        <v>29416</v>
      </c>
      <c r="E3135" s="51"/>
      <c r="F3135" s="114" t="str">
        <f>IF(INDEX(I.Facility.P1IDNumber,3123)="","",INDEX(I.Facility.P1IDNumber,3123))</f>
        <v/>
      </c>
      <c r="G3135" s="51"/>
      <c r="H3135" s="46" t="str">
        <f>IF(AND(I.Developer.P1=TRUE,I.Facility.P1FacilityCount&gt;=3123,F3135=""),"Incomplete","Complete")</f>
        <v>Complete</v>
      </c>
      <c r="I3135" s="48" t="s">
        <v>7500</v>
      </c>
    </row>
    <row r="3136" spans="2:9" ht="15" customHeight="1" x14ac:dyDescent="0.25">
      <c r="B3136" s="55" t="s">
        <v>279</v>
      </c>
      <c r="C3136" s="46">
        <v>3124</v>
      </c>
      <c r="D3136" s="69" t="s">
        <v>29416</v>
      </c>
      <c r="E3136" s="51"/>
      <c r="F3136" s="114" t="str">
        <f>IF(INDEX(I.Facility.P1IDNumber,3124)="","",INDEX(I.Facility.P1IDNumber,3124))</f>
        <v/>
      </c>
      <c r="G3136" s="51"/>
      <c r="H3136" s="46" t="str">
        <f>IF(AND(I.Developer.P1=TRUE,I.Facility.P1FacilityCount&gt;=3124,F3136=""),"Incomplete","Complete")</f>
        <v>Complete</v>
      </c>
      <c r="I3136" s="48" t="s">
        <v>7501</v>
      </c>
    </row>
    <row r="3137" spans="2:9" ht="15" customHeight="1" x14ac:dyDescent="0.25">
      <c r="B3137" s="55" t="s">
        <v>279</v>
      </c>
      <c r="C3137" s="46">
        <v>3125</v>
      </c>
      <c r="D3137" s="69" t="s">
        <v>29416</v>
      </c>
      <c r="E3137" s="51"/>
      <c r="F3137" s="114" t="str">
        <f>IF(INDEX(I.Facility.P1IDNumber,3125)="","",INDEX(I.Facility.P1IDNumber,3125))</f>
        <v/>
      </c>
      <c r="G3137" s="51"/>
      <c r="H3137" s="46" t="str">
        <f>IF(AND(I.Developer.P1=TRUE,I.Facility.P1FacilityCount&gt;=3125,F3137=""),"Incomplete","Complete")</f>
        <v>Complete</v>
      </c>
      <c r="I3137" s="48" t="s">
        <v>7502</v>
      </c>
    </row>
    <row r="3138" spans="2:9" ht="15" customHeight="1" x14ac:dyDescent="0.25">
      <c r="B3138" s="55" t="s">
        <v>279</v>
      </c>
      <c r="C3138" s="46">
        <v>3126</v>
      </c>
      <c r="D3138" s="69" t="s">
        <v>29416</v>
      </c>
      <c r="E3138" s="51"/>
      <c r="F3138" s="114" t="str">
        <f>IF(INDEX(I.Facility.P1IDNumber,3126)="","",INDEX(I.Facility.P1IDNumber,3126))</f>
        <v/>
      </c>
      <c r="G3138" s="51"/>
      <c r="H3138" s="46" t="str">
        <f>IF(AND(I.Developer.P1=TRUE,I.Facility.P1FacilityCount&gt;=3126,F3138=""),"Incomplete","Complete")</f>
        <v>Complete</v>
      </c>
      <c r="I3138" s="48" t="s">
        <v>7503</v>
      </c>
    </row>
    <row r="3139" spans="2:9" ht="15" customHeight="1" x14ac:dyDescent="0.25">
      <c r="B3139" s="55" t="s">
        <v>279</v>
      </c>
      <c r="C3139" s="46">
        <v>3127</v>
      </c>
      <c r="D3139" s="69" t="s">
        <v>29416</v>
      </c>
      <c r="E3139" s="51"/>
      <c r="F3139" s="114" t="str">
        <f>IF(INDEX(I.Facility.P1IDNumber,3127)="","",INDEX(I.Facility.P1IDNumber,3127))</f>
        <v/>
      </c>
      <c r="G3139" s="51"/>
      <c r="H3139" s="46" t="str">
        <f>IF(AND(I.Developer.P1=TRUE,I.Facility.P1FacilityCount&gt;=3127,F3139=""),"Incomplete","Complete")</f>
        <v>Complete</v>
      </c>
      <c r="I3139" s="48" t="s">
        <v>7504</v>
      </c>
    </row>
    <row r="3140" spans="2:9" ht="15" customHeight="1" x14ac:dyDescent="0.25">
      <c r="B3140" s="55" t="s">
        <v>279</v>
      </c>
      <c r="C3140" s="46">
        <v>3128</v>
      </c>
      <c r="D3140" s="69" t="s">
        <v>29416</v>
      </c>
      <c r="E3140" s="51"/>
      <c r="F3140" s="114" t="str">
        <f>IF(INDEX(I.Facility.P1IDNumber,3128)="","",INDEX(I.Facility.P1IDNumber,3128))</f>
        <v/>
      </c>
      <c r="G3140" s="51"/>
      <c r="H3140" s="46" t="str">
        <f>IF(AND(I.Developer.P1=TRUE,I.Facility.P1FacilityCount&gt;=3128,F3140=""),"Incomplete","Complete")</f>
        <v>Complete</v>
      </c>
      <c r="I3140" s="48" t="s">
        <v>7505</v>
      </c>
    </row>
    <row r="3141" spans="2:9" ht="15" customHeight="1" x14ac:dyDescent="0.25">
      <c r="B3141" s="55" t="s">
        <v>279</v>
      </c>
      <c r="C3141" s="46">
        <v>3129</v>
      </c>
      <c r="D3141" s="69" t="s">
        <v>29416</v>
      </c>
      <c r="E3141" s="51"/>
      <c r="F3141" s="114" t="str">
        <f>IF(INDEX(I.Facility.P1IDNumber,3129)="","",INDEX(I.Facility.P1IDNumber,3129))</f>
        <v/>
      </c>
      <c r="G3141" s="51"/>
      <c r="H3141" s="46" t="str">
        <f>IF(AND(I.Developer.P1=TRUE,I.Facility.P1FacilityCount&gt;=3129,F3141=""),"Incomplete","Complete")</f>
        <v>Complete</v>
      </c>
      <c r="I3141" s="48" t="s">
        <v>7506</v>
      </c>
    </row>
    <row r="3142" spans="2:9" ht="15" customHeight="1" x14ac:dyDescent="0.25">
      <c r="B3142" s="55" t="s">
        <v>279</v>
      </c>
      <c r="C3142" s="46">
        <v>3130</v>
      </c>
      <c r="D3142" s="69" t="s">
        <v>29416</v>
      </c>
      <c r="E3142" s="51"/>
      <c r="F3142" s="114" t="str">
        <f>IF(INDEX(I.Facility.P1IDNumber,3130)="","",INDEX(I.Facility.P1IDNumber,3130))</f>
        <v/>
      </c>
      <c r="G3142" s="51"/>
      <c r="H3142" s="46" t="str">
        <f>IF(AND(I.Developer.P1=TRUE,I.Facility.P1FacilityCount&gt;=3130,F3142=""),"Incomplete","Complete")</f>
        <v>Complete</v>
      </c>
      <c r="I3142" s="48" t="s">
        <v>7507</v>
      </c>
    </row>
    <row r="3143" spans="2:9" ht="15" customHeight="1" x14ac:dyDescent="0.25">
      <c r="B3143" s="55" t="s">
        <v>279</v>
      </c>
      <c r="C3143" s="46">
        <v>3131</v>
      </c>
      <c r="D3143" s="69" t="s">
        <v>29416</v>
      </c>
      <c r="E3143" s="51"/>
      <c r="F3143" s="114" t="str">
        <f>IF(INDEX(I.Facility.P1IDNumber,3131)="","",INDEX(I.Facility.P1IDNumber,3131))</f>
        <v/>
      </c>
      <c r="G3143" s="51"/>
      <c r="H3143" s="46" t="str">
        <f>IF(AND(I.Developer.P1=TRUE,I.Facility.P1FacilityCount&gt;=3131,F3143=""),"Incomplete","Complete")</f>
        <v>Complete</v>
      </c>
      <c r="I3143" s="48" t="s">
        <v>7508</v>
      </c>
    </row>
    <row r="3144" spans="2:9" ht="15" customHeight="1" x14ac:dyDescent="0.25">
      <c r="B3144" s="55" t="s">
        <v>279</v>
      </c>
      <c r="C3144" s="46">
        <v>3132</v>
      </c>
      <c r="D3144" s="69" t="s">
        <v>29416</v>
      </c>
      <c r="E3144" s="51"/>
      <c r="F3144" s="114" t="str">
        <f>IF(INDEX(I.Facility.P1IDNumber,3132)="","",INDEX(I.Facility.P1IDNumber,3132))</f>
        <v/>
      </c>
      <c r="G3144" s="51"/>
      <c r="H3144" s="46" t="str">
        <f>IF(AND(I.Developer.P1=TRUE,I.Facility.P1FacilityCount&gt;=3132,F3144=""),"Incomplete","Complete")</f>
        <v>Complete</v>
      </c>
      <c r="I3144" s="48" t="s">
        <v>7509</v>
      </c>
    </row>
    <row r="3145" spans="2:9" ht="15" customHeight="1" x14ac:dyDescent="0.25">
      <c r="B3145" s="55" t="s">
        <v>279</v>
      </c>
      <c r="C3145" s="46">
        <v>3133</v>
      </c>
      <c r="D3145" s="69" t="s">
        <v>29416</v>
      </c>
      <c r="E3145" s="51"/>
      <c r="F3145" s="114" t="str">
        <f>IF(INDEX(I.Facility.P1IDNumber,3133)="","",INDEX(I.Facility.P1IDNumber,3133))</f>
        <v/>
      </c>
      <c r="G3145" s="51"/>
      <c r="H3145" s="46" t="str">
        <f>IF(AND(I.Developer.P1=TRUE,I.Facility.P1FacilityCount&gt;=3133,F3145=""),"Incomplete","Complete")</f>
        <v>Complete</v>
      </c>
      <c r="I3145" s="48" t="s">
        <v>7510</v>
      </c>
    </row>
    <row r="3146" spans="2:9" ht="15" customHeight="1" x14ac:dyDescent="0.25">
      <c r="B3146" s="55" t="s">
        <v>279</v>
      </c>
      <c r="C3146" s="46">
        <v>3134</v>
      </c>
      <c r="D3146" s="69" t="s">
        <v>29416</v>
      </c>
      <c r="E3146" s="51"/>
      <c r="F3146" s="114" t="str">
        <f>IF(INDEX(I.Facility.P1IDNumber,3134)="","",INDEX(I.Facility.P1IDNumber,3134))</f>
        <v/>
      </c>
      <c r="G3146" s="51"/>
      <c r="H3146" s="46" t="str">
        <f>IF(AND(I.Developer.P1=TRUE,I.Facility.P1FacilityCount&gt;=3134,F3146=""),"Incomplete","Complete")</f>
        <v>Complete</v>
      </c>
      <c r="I3146" s="48" t="s">
        <v>7511</v>
      </c>
    </row>
    <row r="3147" spans="2:9" ht="15" customHeight="1" x14ac:dyDescent="0.25">
      <c r="B3147" s="55" t="s">
        <v>279</v>
      </c>
      <c r="C3147" s="46">
        <v>3135</v>
      </c>
      <c r="D3147" s="69" t="s">
        <v>29416</v>
      </c>
      <c r="E3147" s="51"/>
      <c r="F3147" s="114" t="str">
        <f>IF(INDEX(I.Facility.P1IDNumber,3135)="","",INDEX(I.Facility.P1IDNumber,3135))</f>
        <v/>
      </c>
      <c r="G3147" s="51"/>
      <c r="H3147" s="46" t="str">
        <f>IF(AND(I.Developer.P1=TRUE,I.Facility.P1FacilityCount&gt;=3135,F3147=""),"Incomplete","Complete")</f>
        <v>Complete</v>
      </c>
      <c r="I3147" s="48" t="s">
        <v>7512</v>
      </c>
    </row>
    <row r="3148" spans="2:9" ht="15" customHeight="1" x14ac:dyDescent="0.25">
      <c r="B3148" s="55" t="s">
        <v>279</v>
      </c>
      <c r="C3148" s="46">
        <v>3136</v>
      </c>
      <c r="D3148" s="69" t="s">
        <v>29416</v>
      </c>
      <c r="E3148" s="51"/>
      <c r="F3148" s="114" t="str">
        <f>IF(INDEX(I.Facility.P1IDNumber,3136)="","",INDEX(I.Facility.P1IDNumber,3136))</f>
        <v/>
      </c>
      <c r="G3148" s="51"/>
      <c r="H3148" s="46" t="str">
        <f>IF(AND(I.Developer.P1=TRUE,I.Facility.P1FacilityCount&gt;=3136,F3148=""),"Incomplete","Complete")</f>
        <v>Complete</v>
      </c>
      <c r="I3148" s="48" t="s">
        <v>7513</v>
      </c>
    </row>
    <row r="3149" spans="2:9" ht="15" customHeight="1" x14ac:dyDescent="0.25">
      <c r="B3149" s="55" t="s">
        <v>279</v>
      </c>
      <c r="C3149" s="46">
        <v>3137</v>
      </c>
      <c r="D3149" s="69" t="s">
        <v>29416</v>
      </c>
      <c r="E3149" s="51"/>
      <c r="F3149" s="114" t="str">
        <f>IF(INDEX(I.Facility.P1IDNumber,3137)="","",INDEX(I.Facility.P1IDNumber,3137))</f>
        <v/>
      </c>
      <c r="G3149" s="51"/>
      <c r="H3149" s="46" t="str">
        <f>IF(AND(I.Developer.P1=TRUE,I.Facility.P1FacilityCount&gt;=3137,F3149=""),"Incomplete","Complete")</f>
        <v>Complete</v>
      </c>
      <c r="I3149" s="48" t="s">
        <v>7514</v>
      </c>
    </row>
    <row r="3150" spans="2:9" ht="15" customHeight="1" x14ac:dyDescent="0.25">
      <c r="B3150" s="55" t="s">
        <v>279</v>
      </c>
      <c r="C3150" s="46">
        <v>3138</v>
      </c>
      <c r="D3150" s="69" t="s">
        <v>29416</v>
      </c>
      <c r="E3150" s="51"/>
      <c r="F3150" s="114" t="str">
        <f>IF(INDEX(I.Facility.P1IDNumber,3138)="","",INDEX(I.Facility.P1IDNumber,3138))</f>
        <v/>
      </c>
      <c r="G3150" s="51"/>
      <c r="H3150" s="46" t="str">
        <f>IF(AND(I.Developer.P1=TRUE,I.Facility.P1FacilityCount&gt;=3138,F3150=""),"Incomplete","Complete")</f>
        <v>Complete</v>
      </c>
      <c r="I3150" s="48" t="s">
        <v>7515</v>
      </c>
    </row>
    <row r="3151" spans="2:9" ht="15" customHeight="1" x14ac:dyDescent="0.25">
      <c r="B3151" s="55" t="s">
        <v>279</v>
      </c>
      <c r="C3151" s="46">
        <v>3139</v>
      </c>
      <c r="D3151" s="69" t="s">
        <v>29416</v>
      </c>
      <c r="E3151" s="51"/>
      <c r="F3151" s="114" t="str">
        <f>IF(INDEX(I.Facility.P1IDNumber,3139)="","",INDEX(I.Facility.P1IDNumber,3139))</f>
        <v/>
      </c>
      <c r="G3151" s="51"/>
      <c r="H3151" s="46" t="str">
        <f>IF(AND(I.Developer.P1=TRUE,I.Facility.P1FacilityCount&gt;=3139,F3151=""),"Incomplete","Complete")</f>
        <v>Complete</v>
      </c>
      <c r="I3151" s="48" t="s">
        <v>7516</v>
      </c>
    </row>
    <row r="3152" spans="2:9" ht="15" customHeight="1" x14ac:dyDescent="0.25">
      <c r="B3152" s="55" t="s">
        <v>279</v>
      </c>
      <c r="C3152" s="46">
        <v>3140</v>
      </c>
      <c r="D3152" s="69" t="s">
        <v>29416</v>
      </c>
      <c r="E3152" s="51"/>
      <c r="F3152" s="114" t="str">
        <f>IF(INDEX(I.Facility.P1IDNumber,3140)="","",INDEX(I.Facility.P1IDNumber,3140))</f>
        <v/>
      </c>
      <c r="G3152" s="51"/>
      <c r="H3152" s="46" t="str">
        <f>IF(AND(I.Developer.P1=TRUE,I.Facility.P1FacilityCount&gt;=3140,F3152=""),"Incomplete","Complete")</f>
        <v>Complete</v>
      </c>
      <c r="I3152" s="48" t="s">
        <v>7517</v>
      </c>
    </row>
    <row r="3153" spans="2:9" ht="15" customHeight="1" x14ac:dyDescent="0.25">
      <c r="B3153" s="55" t="s">
        <v>279</v>
      </c>
      <c r="C3153" s="46">
        <v>3141</v>
      </c>
      <c r="D3153" s="69" t="s">
        <v>29416</v>
      </c>
      <c r="E3153" s="51"/>
      <c r="F3153" s="114" t="str">
        <f>IF(INDEX(I.Facility.P1IDNumber,3141)="","",INDEX(I.Facility.P1IDNumber,3141))</f>
        <v/>
      </c>
      <c r="G3153" s="51"/>
      <c r="H3153" s="46" t="str">
        <f>IF(AND(I.Developer.P1=TRUE,I.Facility.P1FacilityCount&gt;=3141,F3153=""),"Incomplete","Complete")</f>
        <v>Complete</v>
      </c>
      <c r="I3153" s="48" t="s">
        <v>7518</v>
      </c>
    </row>
    <row r="3154" spans="2:9" ht="15" customHeight="1" x14ac:dyDescent="0.25">
      <c r="B3154" s="55" t="s">
        <v>279</v>
      </c>
      <c r="C3154" s="46">
        <v>3142</v>
      </c>
      <c r="D3154" s="69" t="s">
        <v>29416</v>
      </c>
      <c r="E3154" s="51"/>
      <c r="F3154" s="114" t="str">
        <f>IF(INDEX(I.Facility.P1IDNumber,3142)="","",INDEX(I.Facility.P1IDNumber,3142))</f>
        <v/>
      </c>
      <c r="G3154" s="51"/>
      <c r="H3154" s="46" t="str">
        <f>IF(AND(I.Developer.P1=TRUE,I.Facility.P1FacilityCount&gt;=3142,F3154=""),"Incomplete","Complete")</f>
        <v>Complete</v>
      </c>
      <c r="I3154" s="48" t="s">
        <v>7519</v>
      </c>
    </row>
    <row r="3155" spans="2:9" ht="15" customHeight="1" x14ac:dyDescent="0.25">
      <c r="B3155" s="55" t="s">
        <v>279</v>
      </c>
      <c r="C3155" s="46">
        <v>3143</v>
      </c>
      <c r="D3155" s="69" t="s">
        <v>29416</v>
      </c>
      <c r="E3155" s="51"/>
      <c r="F3155" s="114" t="str">
        <f>IF(INDEX(I.Facility.P1IDNumber,3143)="","",INDEX(I.Facility.P1IDNumber,3143))</f>
        <v/>
      </c>
      <c r="G3155" s="51"/>
      <c r="H3155" s="46" t="str">
        <f>IF(AND(I.Developer.P1=TRUE,I.Facility.P1FacilityCount&gt;=3143,F3155=""),"Incomplete","Complete")</f>
        <v>Complete</v>
      </c>
      <c r="I3155" s="48" t="s">
        <v>7520</v>
      </c>
    </row>
    <row r="3156" spans="2:9" ht="15" customHeight="1" x14ac:dyDescent="0.25">
      <c r="B3156" s="55" t="s">
        <v>279</v>
      </c>
      <c r="C3156" s="46">
        <v>3144</v>
      </c>
      <c r="D3156" s="69" t="s">
        <v>29416</v>
      </c>
      <c r="E3156" s="51"/>
      <c r="F3156" s="114" t="str">
        <f>IF(INDEX(I.Facility.P1IDNumber,3144)="","",INDEX(I.Facility.P1IDNumber,3144))</f>
        <v/>
      </c>
      <c r="G3156" s="51"/>
      <c r="H3156" s="46" t="str">
        <f>IF(AND(I.Developer.P1=TRUE,I.Facility.P1FacilityCount&gt;=3144,F3156=""),"Incomplete","Complete")</f>
        <v>Complete</v>
      </c>
      <c r="I3156" s="48" t="s">
        <v>7521</v>
      </c>
    </row>
    <row r="3157" spans="2:9" ht="15" customHeight="1" x14ac:dyDescent="0.25">
      <c r="B3157" s="55" t="s">
        <v>279</v>
      </c>
      <c r="C3157" s="46">
        <v>3145</v>
      </c>
      <c r="D3157" s="69" t="s">
        <v>29416</v>
      </c>
      <c r="E3157" s="51"/>
      <c r="F3157" s="114" t="str">
        <f>IF(INDEX(I.Facility.P1IDNumber,3145)="","",INDEX(I.Facility.P1IDNumber,3145))</f>
        <v/>
      </c>
      <c r="G3157" s="51"/>
      <c r="H3157" s="46" t="str">
        <f>IF(AND(I.Developer.P1=TRUE,I.Facility.P1FacilityCount&gt;=3145,F3157=""),"Incomplete","Complete")</f>
        <v>Complete</v>
      </c>
      <c r="I3157" s="48" t="s">
        <v>7522</v>
      </c>
    </row>
    <row r="3158" spans="2:9" ht="15" customHeight="1" x14ac:dyDescent="0.25">
      <c r="B3158" s="55" t="s">
        <v>279</v>
      </c>
      <c r="C3158" s="46">
        <v>3146</v>
      </c>
      <c r="D3158" s="69" t="s">
        <v>29416</v>
      </c>
      <c r="E3158" s="51"/>
      <c r="F3158" s="114" t="str">
        <f>IF(INDEX(I.Facility.P1IDNumber,3146)="","",INDEX(I.Facility.P1IDNumber,3146))</f>
        <v/>
      </c>
      <c r="G3158" s="51"/>
      <c r="H3158" s="46" t="str">
        <f>IF(AND(I.Developer.P1=TRUE,I.Facility.P1FacilityCount&gt;=3146,F3158=""),"Incomplete","Complete")</f>
        <v>Complete</v>
      </c>
      <c r="I3158" s="48" t="s">
        <v>7523</v>
      </c>
    </row>
    <row r="3159" spans="2:9" ht="15" customHeight="1" x14ac:dyDescent="0.25">
      <c r="B3159" s="55" t="s">
        <v>279</v>
      </c>
      <c r="C3159" s="46">
        <v>3147</v>
      </c>
      <c r="D3159" s="69" t="s">
        <v>29416</v>
      </c>
      <c r="E3159" s="51"/>
      <c r="F3159" s="114" t="str">
        <f>IF(INDEX(I.Facility.P1IDNumber,3147)="","",INDEX(I.Facility.P1IDNumber,3147))</f>
        <v/>
      </c>
      <c r="G3159" s="51"/>
      <c r="H3159" s="46" t="str">
        <f>IF(AND(I.Developer.P1=TRUE,I.Facility.P1FacilityCount&gt;=3147,F3159=""),"Incomplete","Complete")</f>
        <v>Complete</v>
      </c>
      <c r="I3159" s="48" t="s">
        <v>7524</v>
      </c>
    </row>
    <row r="3160" spans="2:9" ht="15" customHeight="1" x14ac:dyDescent="0.25">
      <c r="B3160" s="55" t="s">
        <v>279</v>
      </c>
      <c r="C3160" s="46">
        <v>3148</v>
      </c>
      <c r="D3160" s="69" t="s">
        <v>29416</v>
      </c>
      <c r="E3160" s="51"/>
      <c r="F3160" s="114" t="str">
        <f>IF(INDEX(I.Facility.P1IDNumber,3148)="","",INDEX(I.Facility.P1IDNumber,3148))</f>
        <v/>
      </c>
      <c r="G3160" s="51"/>
      <c r="H3160" s="46" t="str">
        <f>IF(AND(I.Developer.P1=TRUE,I.Facility.P1FacilityCount&gt;=3148,F3160=""),"Incomplete","Complete")</f>
        <v>Complete</v>
      </c>
      <c r="I3160" s="48" t="s">
        <v>7525</v>
      </c>
    </row>
    <row r="3161" spans="2:9" ht="15" customHeight="1" x14ac:dyDescent="0.25">
      <c r="B3161" s="55" t="s">
        <v>279</v>
      </c>
      <c r="C3161" s="46">
        <v>3149</v>
      </c>
      <c r="D3161" s="69" t="s">
        <v>29416</v>
      </c>
      <c r="E3161" s="51"/>
      <c r="F3161" s="114" t="str">
        <f>IF(INDEX(I.Facility.P1IDNumber,3149)="","",INDEX(I.Facility.P1IDNumber,3149))</f>
        <v/>
      </c>
      <c r="G3161" s="51"/>
      <c r="H3161" s="46" t="str">
        <f>IF(AND(I.Developer.P1=TRUE,I.Facility.P1FacilityCount&gt;=3149,F3161=""),"Incomplete","Complete")</f>
        <v>Complete</v>
      </c>
      <c r="I3161" s="48" t="s">
        <v>7526</v>
      </c>
    </row>
    <row r="3162" spans="2:9" ht="15" customHeight="1" x14ac:dyDescent="0.25">
      <c r="B3162" s="55" t="s">
        <v>279</v>
      </c>
      <c r="C3162" s="46">
        <v>3150</v>
      </c>
      <c r="D3162" s="69" t="s">
        <v>29416</v>
      </c>
      <c r="E3162" s="51"/>
      <c r="F3162" s="114" t="str">
        <f>IF(INDEX(I.Facility.P1IDNumber,3150)="","",INDEX(I.Facility.P1IDNumber,3150))</f>
        <v/>
      </c>
      <c r="G3162" s="51"/>
      <c r="H3162" s="46" t="str">
        <f>IF(AND(I.Developer.P1=TRUE,I.Facility.P1FacilityCount&gt;=3150,F3162=""),"Incomplete","Complete")</f>
        <v>Complete</v>
      </c>
      <c r="I3162" s="48" t="s">
        <v>7527</v>
      </c>
    </row>
    <row r="3163" spans="2:9" ht="15" customHeight="1" x14ac:dyDescent="0.25">
      <c r="B3163" s="55" t="s">
        <v>279</v>
      </c>
      <c r="C3163" s="46">
        <v>3151</v>
      </c>
      <c r="D3163" s="69" t="s">
        <v>29416</v>
      </c>
      <c r="E3163" s="51"/>
      <c r="F3163" s="114" t="str">
        <f>IF(INDEX(I.Facility.P1IDNumber,3151)="","",INDEX(I.Facility.P1IDNumber,3151))</f>
        <v/>
      </c>
      <c r="G3163" s="51"/>
      <c r="H3163" s="46" t="str">
        <f>IF(AND(I.Developer.P1=TRUE,I.Facility.P1FacilityCount&gt;=3151,F3163=""),"Incomplete","Complete")</f>
        <v>Complete</v>
      </c>
      <c r="I3163" s="48" t="s">
        <v>7528</v>
      </c>
    </row>
    <row r="3164" spans="2:9" ht="15" customHeight="1" x14ac:dyDescent="0.25">
      <c r="B3164" s="55" t="s">
        <v>279</v>
      </c>
      <c r="C3164" s="46">
        <v>3152</v>
      </c>
      <c r="D3164" s="69" t="s">
        <v>29416</v>
      </c>
      <c r="E3164" s="51"/>
      <c r="F3164" s="114" t="str">
        <f>IF(INDEX(I.Facility.P1IDNumber,3152)="","",INDEX(I.Facility.P1IDNumber,3152))</f>
        <v/>
      </c>
      <c r="G3164" s="51"/>
      <c r="H3164" s="46" t="str">
        <f>IF(AND(I.Developer.P1=TRUE,I.Facility.P1FacilityCount&gt;=3152,F3164=""),"Incomplete","Complete")</f>
        <v>Complete</v>
      </c>
      <c r="I3164" s="48" t="s">
        <v>7529</v>
      </c>
    </row>
    <row r="3165" spans="2:9" ht="15" customHeight="1" x14ac:dyDescent="0.25">
      <c r="B3165" s="55" t="s">
        <v>279</v>
      </c>
      <c r="C3165" s="46">
        <v>3153</v>
      </c>
      <c r="D3165" s="69" t="s">
        <v>29416</v>
      </c>
      <c r="E3165" s="51"/>
      <c r="F3165" s="114" t="str">
        <f>IF(INDEX(I.Facility.P1IDNumber,3153)="","",INDEX(I.Facility.P1IDNumber,3153))</f>
        <v/>
      </c>
      <c r="G3165" s="51"/>
      <c r="H3165" s="46" t="str">
        <f>IF(AND(I.Developer.P1=TRUE,I.Facility.P1FacilityCount&gt;=3153,F3165=""),"Incomplete","Complete")</f>
        <v>Complete</v>
      </c>
      <c r="I3165" s="48" t="s">
        <v>7530</v>
      </c>
    </row>
    <row r="3166" spans="2:9" ht="15" customHeight="1" x14ac:dyDescent="0.25">
      <c r="B3166" s="55" t="s">
        <v>279</v>
      </c>
      <c r="C3166" s="46">
        <v>3154</v>
      </c>
      <c r="D3166" s="69" t="s">
        <v>29416</v>
      </c>
      <c r="E3166" s="51"/>
      <c r="F3166" s="114" t="str">
        <f>IF(INDEX(I.Facility.P1IDNumber,3154)="","",INDEX(I.Facility.P1IDNumber,3154))</f>
        <v/>
      </c>
      <c r="G3166" s="51"/>
      <c r="H3166" s="46" t="str">
        <f>IF(AND(I.Developer.P1=TRUE,I.Facility.P1FacilityCount&gt;=3154,F3166=""),"Incomplete","Complete")</f>
        <v>Complete</v>
      </c>
      <c r="I3166" s="48" t="s">
        <v>7531</v>
      </c>
    </row>
    <row r="3167" spans="2:9" ht="15" customHeight="1" x14ac:dyDescent="0.25">
      <c r="B3167" s="55" t="s">
        <v>279</v>
      </c>
      <c r="C3167" s="46">
        <v>3155</v>
      </c>
      <c r="D3167" s="69" t="s">
        <v>29416</v>
      </c>
      <c r="E3167" s="51"/>
      <c r="F3167" s="114" t="str">
        <f>IF(INDEX(I.Facility.P1IDNumber,3155)="","",INDEX(I.Facility.P1IDNumber,3155))</f>
        <v/>
      </c>
      <c r="G3167" s="51"/>
      <c r="H3167" s="46" t="str">
        <f>IF(AND(I.Developer.P1=TRUE,I.Facility.P1FacilityCount&gt;=3155,F3167=""),"Incomplete","Complete")</f>
        <v>Complete</v>
      </c>
      <c r="I3167" s="48" t="s">
        <v>7532</v>
      </c>
    </row>
    <row r="3168" spans="2:9" ht="15" customHeight="1" x14ac:dyDescent="0.25">
      <c r="B3168" s="55" t="s">
        <v>279</v>
      </c>
      <c r="C3168" s="46">
        <v>3156</v>
      </c>
      <c r="D3168" s="69" t="s">
        <v>29416</v>
      </c>
      <c r="E3168" s="51"/>
      <c r="F3168" s="114" t="str">
        <f>IF(INDEX(I.Facility.P1IDNumber,3156)="","",INDEX(I.Facility.P1IDNumber,3156))</f>
        <v/>
      </c>
      <c r="G3168" s="51"/>
      <c r="H3168" s="46" t="str">
        <f>IF(AND(I.Developer.P1=TRUE,I.Facility.P1FacilityCount&gt;=3156,F3168=""),"Incomplete","Complete")</f>
        <v>Complete</v>
      </c>
      <c r="I3168" s="48" t="s">
        <v>7533</v>
      </c>
    </row>
    <row r="3169" spans="2:9" ht="15" customHeight="1" x14ac:dyDescent="0.25">
      <c r="B3169" s="55" t="s">
        <v>279</v>
      </c>
      <c r="C3169" s="46">
        <v>3157</v>
      </c>
      <c r="D3169" s="69" t="s">
        <v>29416</v>
      </c>
      <c r="E3169" s="51"/>
      <c r="F3169" s="114" t="str">
        <f>IF(INDEX(I.Facility.P1IDNumber,3157)="","",INDEX(I.Facility.P1IDNumber,3157))</f>
        <v/>
      </c>
      <c r="G3169" s="51"/>
      <c r="H3169" s="46" t="str">
        <f>IF(AND(I.Developer.P1=TRUE,I.Facility.P1FacilityCount&gt;=3157,F3169=""),"Incomplete","Complete")</f>
        <v>Complete</v>
      </c>
      <c r="I3169" s="48" t="s">
        <v>7534</v>
      </c>
    </row>
    <row r="3170" spans="2:9" ht="15" customHeight="1" x14ac:dyDescent="0.25">
      <c r="B3170" s="55" t="s">
        <v>279</v>
      </c>
      <c r="C3170" s="46">
        <v>3158</v>
      </c>
      <c r="D3170" s="69" t="s">
        <v>29416</v>
      </c>
      <c r="E3170" s="51"/>
      <c r="F3170" s="114" t="str">
        <f>IF(INDEX(I.Facility.P1IDNumber,3158)="","",INDEX(I.Facility.P1IDNumber,3158))</f>
        <v/>
      </c>
      <c r="G3170" s="51"/>
      <c r="H3170" s="46" t="str">
        <f>IF(AND(I.Developer.P1=TRUE,I.Facility.P1FacilityCount&gt;=3158,F3170=""),"Incomplete","Complete")</f>
        <v>Complete</v>
      </c>
      <c r="I3170" s="48" t="s">
        <v>7535</v>
      </c>
    </row>
    <row r="3171" spans="2:9" ht="15" customHeight="1" x14ac:dyDescent="0.25">
      <c r="B3171" s="55" t="s">
        <v>279</v>
      </c>
      <c r="C3171" s="46">
        <v>3159</v>
      </c>
      <c r="D3171" s="69" t="s">
        <v>29416</v>
      </c>
      <c r="E3171" s="51"/>
      <c r="F3171" s="114" t="str">
        <f>IF(INDEX(I.Facility.P1IDNumber,3159)="","",INDEX(I.Facility.P1IDNumber,3159))</f>
        <v/>
      </c>
      <c r="G3171" s="51"/>
      <c r="H3171" s="46" t="str">
        <f>IF(AND(I.Developer.P1=TRUE,I.Facility.P1FacilityCount&gt;=3159,F3171=""),"Incomplete","Complete")</f>
        <v>Complete</v>
      </c>
      <c r="I3171" s="48" t="s">
        <v>7536</v>
      </c>
    </row>
    <row r="3172" spans="2:9" ht="15" customHeight="1" x14ac:dyDescent="0.25">
      <c r="B3172" s="55" t="s">
        <v>279</v>
      </c>
      <c r="C3172" s="46">
        <v>3160</v>
      </c>
      <c r="D3172" s="69" t="s">
        <v>29416</v>
      </c>
      <c r="E3172" s="51"/>
      <c r="F3172" s="114" t="str">
        <f>IF(INDEX(I.Facility.P1IDNumber,3160)="","",INDEX(I.Facility.P1IDNumber,3160))</f>
        <v/>
      </c>
      <c r="G3172" s="51"/>
      <c r="H3172" s="46" t="str">
        <f>IF(AND(I.Developer.P1=TRUE,I.Facility.P1FacilityCount&gt;=3160,F3172=""),"Incomplete","Complete")</f>
        <v>Complete</v>
      </c>
      <c r="I3172" s="48" t="s">
        <v>7537</v>
      </c>
    </row>
    <row r="3173" spans="2:9" ht="15" customHeight="1" x14ac:dyDescent="0.25">
      <c r="B3173" s="55" t="s">
        <v>279</v>
      </c>
      <c r="C3173" s="46">
        <v>3161</v>
      </c>
      <c r="D3173" s="69" t="s">
        <v>29416</v>
      </c>
      <c r="E3173" s="51"/>
      <c r="F3173" s="114" t="str">
        <f>IF(INDEX(I.Facility.P1IDNumber,3161)="","",INDEX(I.Facility.P1IDNumber,3161))</f>
        <v/>
      </c>
      <c r="G3173" s="51"/>
      <c r="H3173" s="46" t="str">
        <f>IF(AND(I.Developer.P1=TRUE,I.Facility.P1FacilityCount&gt;=3161,F3173=""),"Incomplete","Complete")</f>
        <v>Complete</v>
      </c>
      <c r="I3173" s="48" t="s">
        <v>7538</v>
      </c>
    </row>
    <row r="3174" spans="2:9" ht="15" customHeight="1" x14ac:dyDescent="0.25">
      <c r="B3174" s="55" t="s">
        <v>279</v>
      </c>
      <c r="C3174" s="46">
        <v>3162</v>
      </c>
      <c r="D3174" s="69" t="s">
        <v>29416</v>
      </c>
      <c r="E3174" s="51"/>
      <c r="F3174" s="114" t="str">
        <f>IF(INDEX(I.Facility.P1IDNumber,3162)="","",INDEX(I.Facility.P1IDNumber,3162))</f>
        <v/>
      </c>
      <c r="G3174" s="51"/>
      <c r="H3174" s="46" t="str">
        <f>IF(AND(I.Developer.P1=TRUE,I.Facility.P1FacilityCount&gt;=3162,F3174=""),"Incomplete","Complete")</f>
        <v>Complete</v>
      </c>
      <c r="I3174" s="48" t="s">
        <v>7539</v>
      </c>
    </row>
    <row r="3175" spans="2:9" ht="15" customHeight="1" x14ac:dyDescent="0.25">
      <c r="B3175" s="55" t="s">
        <v>279</v>
      </c>
      <c r="C3175" s="46">
        <v>3163</v>
      </c>
      <c r="D3175" s="69" t="s">
        <v>29416</v>
      </c>
      <c r="E3175" s="51"/>
      <c r="F3175" s="114" t="str">
        <f>IF(INDEX(I.Facility.P1IDNumber,3163)="","",INDEX(I.Facility.P1IDNumber,3163))</f>
        <v/>
      </c>
      <c r="G3175" s="51"/>
      <c r="H3175" s="46" t="str">
        <f>IF(AND(I.Developer.P1=TRUE,I.Facility.P1FacilityCount&gt;=3163,F3175=""),"Incomplete","Complete")</f>
        <v>Complete</v>
      </c>
      <c r="I3175" s="48" t="s">
        <v>7540</v>
      </c>
    </row>
    <row r="3176" spans="2:9" ht="15" customHeight="1" x14ac:dyDescent="0.25">
      <c r="B3176" s="55" t="s">
        <v>279</v>
      </c>
      <c r="C3176" s="46">
        <v>3164</v>
      </c>
      <c r="D3176" s="69" t="s">
        <v>29416</v>
      </c>
      <c r="E3176" s="51"/>
      <c r="F3176" s="114" t="str">
        <f>IF(INDEX(I.Facility.P1IDNumber,3164)="","",INDEX(I.Facility.P1IDNumber,3164))</f>
        <v/>
      </c>
      <c r="G3176" s="51"/>
      <c r="H3176" s="46" t="str">
        <f>IF(AND(I.Developer.P1=TRUE,I.Facility.P1FacilityCount&gt;=3164,F3176=""),"Incomplete","Complete")</f>
        <v>Complete</v>
      </c>
      <c r="I3176" s="48" t="s">
        <v>7541</v>
      </c>
    </row>
    <row r="3177" spans="2:9" ht="15" customHeight="1" x14ac:dyDescent="0.25">
      <c r="B3177" s="55" t="s">
        <v>279</v>
      </c>
      <c r="C3177" s="46">
        <v>3165</v>
      </c>
      <c r="D3177" s="69" t="s">
        <v>29416</v>
      </c>
      <c r="E3177" s="51"/>
      <c r="F3177" s="114" t="str">
        <f>IF(INDEX(I.Facility.P1IDNumber,3165)="","",INDEX(I.Facility.P1IDNumber,3165))</f>
        <v/>
      </c>
      <c r="G3177" s="51"/>
      <c r="H3177" s="46" t="str">
        <f>IF(AND(I.Developer.P1=TRUE,I.Facility.P1FacilityCount&gt;=3165,F3177=""),"Incomplete","Complete")</f>
        <v>Complete</v>
      </c>
      <c r="I3177" s="48" t="s">
        <v>7542</v>
      </c>
    </row>
    <row r="3178" spans="2:9" ht="15" customHeight="1" x14ac:dyDescent="0.25">
      <c r="B3178" s="55" t="s">
        <v>279</v>
      </c>
      <c r="C3178" s="46">
        <v>3166</v>
      </c>
      <c r="D3178" s="69" t="s">
        <v>29416</v>
      </c>
      <c r="E3178" s="51"/>
      <c r="F3178" s="114" t="str">
        <f>IF(INDEX(I.Facility.P1IDNumber,3166)="","",INDEX(I.Facility.P1IDNumber,3166))</f>
        <v/>
      </c>
      <c r="G3178" s="51"/>
      <c r="H3178" s="46" t="str">
        <f>IF(AND(I.Developer.P1=TRUE,I.Facility.P1FacilityCount&gt;=3166,F3178=""),"Incomplete","Complete")</f>
        <v>Complete</v>
      </c>
      <c r="I3178" s="48" t="s">
        <v>7543</v>
      </c>
    </row>
    <row r="3179" spans="2:9" ht="15" customHeight="1" x14ac:dyDescent="0.25">
      <c r="B3179" s="55" t="s">
        <v>279</v>
      </c>
      <c r="C3179" s="46">
        <v>3167</v>
      </c>
      <c r="D3179" s="69" t="s">
        <v>29416</v>
      </c>
      <c r="E3179" s="51"/>
      <c r="F3179" s="114" t="str">
        <f>IF(INDEX(I.Facility.P1IDNumber,3167)="","",INDEX(I.Facility.P1IDNumber,3167))</f>
        <v/>
      </c>
      <c r="G3179" s="51"/>
      <c r="H3179" s="46" t="str">
        <f>IF(AND(I.Developer.P1=TRUE,I.Facility.P1FacilityCount&gt;=3167,F3179=""),"Incomplete","Complete")</f>
        <v>Complete</v>
      </c>
      <c r="I3179" s="48" t="s">
        <v>7544</v>
      </c>
    </row>
    <row r="3180" spans="2:9" ht="15" customHeight="1" x14ac:dyDescent="0.25">
      <c r="B3180" s="55" t="s">
        <v>279</v>
      </c>
      <c r="C3180" s="46">
        <v>3168</v>
      </c>
      <c r="D3180" s="69" t="s">
        <v>29416</v>
      </c>
      <c r="E3180" s="51"/>
      <c r="F3180" s="114" t="str">
        <f>IF(INDEX(I.Facility.P1IDNumber,3168)="","",INDEX(I.Facility.P1IDNumber,3168))</f>
        <v/>
      </c>
      <c r="G3180" s="51"/>
      <c r="H3180" s="46" t="str">
        <f>IF(AND(I.Developer.P1=TRUE,I.Facility.P1FacilityCount&gt;=3168,F3180=""),"Incomplete","Complete")</f>
        <v>Complete</v>
      </c>
      <c r="I3180" s="48" t="s">
        <v>7545</v>
      </c>
    </row>
    <row r="3181" spans="2:9" ht="15" customHeight="1" x14ac:dyDescent="0.25">
      <c r="B3181" s="55" t="s">
        <v>279</v>
      </c>
      <c r="C3181" s="46">
        <v>3169</v>
      </c>
      <c r="D3181" s="69" t="s">
        <v>29416</v>
      </c>
      <c r="E3181" s="51"/>
      <c r="F3181" s="114" t="str">
        <f>IF(INDEX(I.Facility.P1IDNumber,3169)="","",INDEX(I.Facility.P1IDNumber,3169))</f>
        <v/>
      </c>
      <c r="G3181" s="51"/>
      <c r="H3181" s="46" t="str">
        <f>IF(AND(I.Developer.P1=TRUE,I.Facility.P1FacilityCount&gt;=3169,F3181=""),"Incomplete","Complete")</f>
        <v>Complete</v>
      </c>
      <c r="I3181" s="48" t="s">
        <v>7546</v>
      </c>
    </row>
    <row r="3182" spans="2:9" ht="15" customHeight="1" x14ac:dyDescent="0.25">
      <c r="B3182" s="55" t="s">
        <v>279</v>
      </c>
      <c r="C3182" s="46">
        <v>3170</v>
      </c>
      <c r="D3182" s="69" t="s">
        <v>29416</v>
      </c>
      <c r="E3182" s="51"/>
      <c r="F3182" s="114" t="str">
        <f>IF(INDEX(I.Facility.P1IDNumber,3170)="","",INDEX(I.Facility.P1IDNumber,3170))</f>
        <v/>
      </c>
      <c r="G3182" s="51"/>
      <c r="H3182" s="46" t="str">
        <f>IF(AND(I.Developer.P1=TRUE,I.Facility.P1FacilityCount&gt;=3170,F3182=""),"Incomplete","Complete")</f>
        <v>Complete</v>
      </c>
      <c r="I3182" s="48" t="s">
        <v>7547</v>
      </c>
    </row>
    <row r="3183" spans="2:9" ht="15" customHeight="1" x14ac:dyDescent="0.25">
      <c r="B3183" s="55" t="s">
        <v>279</v>
      </c>
      <c r="C3183" s="46">
        <v>3171</v>
      </c>
      <c r="D3183" s="69" t="s">
        <v>29416</v>
      </c>
      <c r="E3183" s="51"/>
      <c r="F3183" s="114" t="str">
        <f>IF(INDEX(I.Facility.P1IDNumber,3171)="","",INDEX(I.Facility.P1IDNumber,3171))</f>
        <v/>
      </c>
      <c r="G3183" s="51"/>
      <c r="H3183" s="46" t="str">
        <f>IF(AND(I.Developer.P1=TRUE,I.Facility.P1FacilityCount&gt;=3171,F3183=""),"Incomplete","Complete")</f>
        <v>Complete</v>
      </c>
      <c r="I3183" s="48" t="s">
        <v>7548</v>
      </c>
    </row>
    <row r="3184" spans="2:9" ht="15" customHeight="1" x14ac:dyDescent="0.25">
      <c r="B3184" s="55" t="s">
        <v>279</v>
      </c>
      <c r="C3184" s="46">
        <v>3172</v>
      </c>
      <c r="D3184" s="69" t="s">
        <v>29416</v>
      </c>
      <c r="E3184" s="51"/>
      <c r="F3184" s="114" t="str">
        <f>IF(INDEX(I.Facility.P1IDNumber,3172)="","",INDEX(I.Facility.P1IDNumber,3172))</f>
        <v/>
      </c>
      <c r="G3184" s="51"/>
      <c r="H3184" s="46" t="str">
        <f>IF(AND(I.Developer.P1=TRUE,I.Facility.P1FacilityCount&gt;=3172,F3184=""),"Incomplete","Complete")</f>
        <v>Complete</v>
      </c>
      <c r="I3184" s="48" t="s">
        <v>7549</v>
      </c>
    </row>
    <row r="3185" spans="2:9" ht="15" customHeight="1" x14ac:dyDescent="0.25">
      <c r="B3185" s="55" t="s">
        <v>279</v>
      </c>
      <c r="C3185" s="46">
        <v>3173</v>
      </c>
      <c r="D3185" s="69" t="s">
        <v>29416</v>
      </c>
      <c r="E3185" s="51"/>
      <c r="F3185" s="114" t="str">
        <f>IF(INDEX(I.Facility.P1IDNumber,3173)="","",INDEX(I.Facility.P1IDNumber,3173))</f>
        <v/>
      </c>
      <c r="G3185" s="51"/>
      <c r="H3185" s="46" t="str">
        <f>IF(AND(I.Developer.P1=TRUE,I.Facility.P1FacilityCount&gt;=3173,F3185=""),"Incomplete","Complete")</f>
        <v>Complete</v>
      </c>
      <c r="I3185" s="48" t="s">
        <v>7550</v>
      </c>
    </row>
    <row r="3186" spans="2:9" ht="15" customHeight="1" x14ac:dyDescent="0.25">
      <c r="B3186" s="55" t="s">
        <v>279</v>
      </c>
      <c r="C3186" s="46">
        <v>3174</v>
      </c>
      <c r="D3186" s="69" t="s">
        <v>29416</v>
      </c>
      <c r="E3186" s="51"/>
      <c r="F3186" s="114" t="str">
        <f>IF(INDEX(I.Facility.P1IDNumber,3174)="","",INDEX(I.Facility.P1IDNumber,3174))</f>
        <v/>
      </c>
      <c r="G3186" s="51"/>
      <c r="H3186" s="46" t="str">
        <f>IF(AND(I.Developer.P1=TRUE,I.Facility.P1FacilityCount&gt;=3174,F3186=""),"Incomplete","Complete")</f>
        <v>Complete</v>
      </c>
      <c r="I3186" s="48" t="s">
        <v>7551</v>
      </c>
    </row>
    <row r="3187" spans="2:9" ht="15" customHeight="1" x14ac:dyDescent="0.25">
      <c r="B3187" s="55" t="s">
        <v>279</v>
      </c>
      <c r="C3187" s="46">
        <v>3175</v>
      </c>
      <c r="D3187" s="69" t="s">
        <v>29416</v>
      </c>
      <c r="E3187" s="51"/>
      <c r="F3187" s="114" t="str">
        <f>IF(INDEX(I.Facility.P1IDNumber,3175)="","",INDEX(I.Facility.P1IDNumber,3175))</f>
        <v/>
      </c>
      <c r="G3187" s="51"/>
      <c r="H3187" s="46" t="str">
        <f>IF(AND(I.Developer.P1=TRUE,I.Facility.P1FacilityCount&gt;=3175,F3187=""),"Incomplete","Complete")</f>
        <v>Complete</v>
      </c>
      <c r="I3187" s="48" t="s">
        <v>7552</v>
      </c>
    </row>
    <row r="3188" spans="2:9" ht="15" customHeight="1" x14ac:dyDescent="0.25">
      <c r="B3188" s="55" t="s">
        <v>279</v>
      </c>
      <c r="C3188" s="46">
        <v>3176</v>
      </c>
      <c r="D3188" s="69" t="s">
        <v>29416</v>
      </c>
      <c r="E3188" s="51"/>
      <c r="F3188" s="114" t="str">
        <f>IF(INDEX(I.Facility.P1IDNumber,3176)="","",INDEX(I.Facility.P1IDNumber,3176))</f>
        <v/>
      </c>
      <c r="G3188" s="51"/>
      <c r="H3188" s="46" t="str">
        <f>IF(AND(I.Developer.P1=TRUE,I.Facility.P1FacilityCount&gt;=3176,F3188=""),"Incomplete","Complete")</f>
        <v>Complete</v>
      </c>
      <c r="I3188" s="48" t="s">
        <v>7553</v>
      </c>
    </row>
    <row r="3189" spans="2:9" ht="15" customHeight="1" x14ac:dyDescent="0.25">
      <c r="B3189" s="55" t="s">
        <v>279</v>
      </c>
      <c r="C3189" s="46">
        <v>3177</v>
      </c>
      <c r="D3189" s="69" t="s">
        <v>29416</v>
      </c>
      <c r="E3189" s="51"/>
      <c r="F3189" s="114" t="str">
        <f>IF(INDEX(I.Facility.P1IDNumber,3177)="","",INDEX(I.Facility.P1IDNumber,3177))</f>
        <v/>
      </c>
      <c r="G3189" s="51"/>
      <c r="H3189" s="46" t="str">
        <f>IF(AND(I.Developer.P1=TRUE,I.Facility.P1FacilityCount&gt;=3177,F3189=""),"Incomplete","Complete")</f>
        <v>Complete</v>
      </c>
      <c r="I3189" s="48" t="s">
        <v>7554</v>
      </c>
    </row>
    <row r="3190" spans="2:9" ht="15" customHeight="1" x14ac:dyDescent="0.25">
      <c r="B3190" s="55" t="s">
        <v>279</v>
      </c>
      <c r="C3190" s="46">
        <v>3178</v>
      </c>
      <c r="D3190" s="69" t="s">
        <v>29416</v>
      </c>
      <c r="E3190" s="51"/>
      <c r="F3190" s="114" t="str">
        <f>IF(INDEX(I.Facility.P1IDNumber,3178)="","",INDEX(I.Facility.P1IDNumber,3178))</f>
        <v/>
      </c>
      <c r="G3190" s="51"/>
      <c r="H3190" s="46" t="str">
        <f>IF(AND(I.Developer.P1=TRUE,I.Facility.P1FacilityCount&gt;=3178,F3190=""),"Incomplete","Complete")</f>
        <v>Complete</v>
      </c>
      <c r="I3190" s="48" t="s">
        <v>7555</v>
      </c>
    </row>
    <row r="3191" spans="2:9" ht="15" customHeight="1" x14ac:dyDescent="0.25">
      <c r="B3191" s="55" t="s">
        <v>279</v>
      </c>
      <c r="C3191" s="46">
        <v>3179</v>
      </c>
      <c r="D3191" s="69" t="s">
        <v>29416</v>
      </c>
      <c r="E3191" s="51"/>
      <c r="F3191" s="114" t="str">
        <f>IF(INDEX(I.Facility.P1IDNumber,3179)="","",INDEX(I.Facility.P1IDNumber,3179))</f>
        <v/>
      </c>
      <c r="G3191" s="51"/>
      <c r="H3191" s="46" t="str">
        <f>IF(AND(I.Developer.P1=TRUE,I.Facility.P1FacilityCount&gt;=3179,F3191=""),"Incomplete","Complete")</f>
        <v>Complete</v>
      </c>
      <c r="I3191" s="48" t="s">
        <v>7556</v>
      </c>
    </row>
    <row r="3192" spans="2:9" ht="15" customHeight="1" x14ac:dyDescent="0.25">
      <c r="B3192" s="55" t="s">
        <v>279</v>
      </c>
      <c r="C3192" s="46">
        <v>3180</v>
      </c>
      <c r="D3192" s="69" t="s">
        <v>29416</v>
      </c>
      <c r="E3192" s="51"/>
      <c r="F3192" s="114" t="str">
        <f>IF(INDEX(I.Facility.P1IDNumber,3180)="","",INDEX(I.Facility.P1IDNumber,3180))</f>
        <v/>
      </c>
      <c r="G3192" s="51"/>
      <c r="H3192" s="46" t="str">
        <f>IF(AND(I.Developer.P1=TRUE,I.Facility.P1FacilityCount&gt;=3180,F3192=""),"Incomplete","Complete")</f>
        <v>Complete</v>
      </c>
      <c r="I3192" s="48" t="s">
        <v>7557</v>
      </c>
    </row>
    <row r="3193" spans="2:9" ht="15" customHeight="1" x14ac:dyDescent="0.25">
      <c r="B3193" s="55" t="s">
        <v>279</v>
      </c>
      <c r="C3193" s="46">
        <v>3181</v>
      </c>
      <c r="D3193" s="69" t="s">
        <v>29416</v>
      </c>
      <c r="E3193" s="51"/>
      <c r="F3193" s="114" t="str">
        <f>IF(INDEX(I.Facility.P1IDNumber,3181)="","",INDEX(I.Facility.P1IDNumber,3181))</f>
        <v/>
      </c>
      <c r="G3193" s="51"/>
      <c r="H3193" s="46" t="str">
        <f>IF(AND(I.Developer.P1=TRUE,I.Facility.P1FacilityCount&gt;=3181,F3193=""),"Incomplete","Complete")</f>
        <v>Complete</v>
      </c>
      <c r="I3193" s="48" t="s">
        <v>7558</v>
      </c>
    </row>
    <row r="3194" spans="2:9" ht="15" customHeight="1" x14ac:dyDescent="0.25">
      <c r="B3194" s="55" t="s">
        <v>279</v>
      </c>
      <c r="C3194" s="46">
        <v>3182</v>
      </c>
      <c r="D3194" s="69" t="s">
        <v>29416</v>
      </c>
      <c r="E3194" s="51"/>
      <c r="F3194" s="114" t="str">
        <f>IF(INDEX(I.Facility.P1IDNumber,3182)="","",INDEX(I.Facility.P1IDNumber,3182))</f>
        <v/>
      </c>
      <c r="G3194" s="51"/>
      <c r="H3194" s="46" t="str">
        <f>IF(AND(I.Developer.P1=TRUE,I.Facility.P1FacilityCount&gt;=3182,F3194=""),"Incomplete","Complete")</f>
        <v>Complete</v>
      </c>
      <c r="I3194" s="48" t="s">
        <v>7559</v>
      </c>
    </row>
    <row r="3195" spans="2:9" ht="15" customHeight="1" x14ac:dyDescent="0.25">
      <c r="B3195" s="55" t="s">
        <v>279</v>
      </c>
      <c r="C3195" s="46">
        <v>3183</v>
      </c>
      <c r="D3195" s="69" t="s">
        <v>29416</v>
      </c>
      <c r="E3195" s="51"/>
      <c r="F3195" s="114" t="str">
        <f>IF(INDEX(I.Facility.P1IDNumber,3183)="","",INDEX(I.Facility.P1IDNumber,3183))</f>
        <v/>
      </c>
      <c r="G3195" s="51"/>
      <c r="H3195" s="46" t="str">
        <f>IF(AND(I.Developer.P1=TRUE,I.Facility.P1FacilityCount&gt;=3183,F3195=""),"Incomplete","Complete")</f>
        <v>Complete</v>
      </c>
      <c r="I3195" s="48" t="s">
        <v>7560</v>
      </c>
    </row>
    <row r="3196" spans="2:9" ht="15" customHeight="1" x14ac:dyDescent="0.25">
      <c r="B3196" s="55" t="s">
        <v>279</v>
      </c>
      <c r="C3196" s="46">
        <v>3184</v>
      </c>
      <c r="D3196" s="69" t="s">
        <v>29416</v>
      </c>
      <c r="E3196" s="51"/>
      <c r="F3196" s="114" t="str">
        <f>IF(INDEX(I.Facility.P1IDNumber,3184)="","",INDEX(I.Facility.P1IDNumber,3184))</f>
        <v/>
      </c>
      <c r="G3196" s="51"/>
      <c r="H3196" s="46" t="str">
        <f>IF(AND(I.Developer.P1=TRUE,I.Facility.P1FacilityCount&gt;=3184,F3196=""),"Incomplete","Complete")</f>
        <v>Complete</v>
      </c>
      <c r="I3196" s="48" t="s">
        <v>7561</v>
      </c>
    </row>
    <row r="3197" spans="2:9" ht="15" customHeight="1" x14ac:dyDescent="0.25">
      <c r="B3197" s="55" t="s">
        <v>279</v>
      </c>
      <c r="C3197" s="46">
        <v>3185</v>
      </c>
      <c r="D3197" s="69" t="s">
        <v>29416</v>
      </c>
      <c r="E3197" s="51"/>
      <c r="F3197" s="114" t="str">
        <f>IF(INDEX(I.Facility.P1IDNumber,3185)="","",INDEX(I.Facility.P1IDNumber,3185))</f>
        <v/>
      </c>
      <c r="G3197" s="51"/>
      <c r="H3197" s="46" t="str">
        <f>IF(AND(I.Developer.P1=TRUE,I.Facility.P1FacilityCount&gt;=3185,F3197=""),"Incomplete","Complete")</f>
        <v>Complete</v>
      </c>
      <c r="I3197" s="48" t="s">
        <v>7562</v>
      </c>
    </row>
    <row r="3198" spans="2:9" ht="15" customHeight="1" x14ac:dyDescent="0.25">
      <c r="B3198" s="55" t="s">
        <v>279</v>
      </c>
      <c r="C3198" s="46">
        <v>3186</v>
      </c>
      <c r="D3198" s="69" t="s">
        <v>29416</v>
      </c>
      <c r="E3198" s="51"/>
      <c r="F3198" s="114" t="str">
        <f>IF(INDEX(I.Facility.P1IDNumber,3186)="","",INDEX(I.Facility.P1IDNumber,3186))</f>
        <v/>
      </c>
      <c r="G3198" s="51"/>
      <c r="H3198" s="46" t="str">
        <f>IF(AND(I.Developer.P1=TRUE,I.Facility.P1FacilityCount&gt;=3186,F3198=""),"Incomplete","Complete")</f>
        <v>Complete</v>
      </c>
      <c r="I3198" s="48" t="s">
        <v>7563</v>
      </c>
    </row>
    <row r="3199" spans="2:9" ht="15" customHeight="1" x14ac:dyDescent="0.25">
      <c r="B3199" s="55" t="s">
        <v>279</v>
      </c>
      <c r="C3199" s="46">
        <v>3187</v>
      </c>
      <c r="D3199" s="69" t="s">
        <v>29416</v>
      </c>
      <c r="E3199" s="51"/>
      <c r="F3199" s="114" t="str">
        <f>IF(INDEX(I.Facility.P1IDNumber,3187)="","",INDEX(I.Facility.P1IDNumber,3187))</f>
        <v/>
      </c>
      <c r="G3199" s="51"/>
      <c r="H3199" s="46" t="str">
        <f>IF(AND(I.Developer.P1=TRUE,I.Facility.P1FacilityCount&gt;=3187,F3199=""),"Incomplete","Complete")</f>
        <v>Complete</v>
      </c>
      <c r="I3199" s="48" t="s">
        <v>7564</v>
      </c>
    </row>
    <row r="3200" spans="2:9" ht="15" customHeight="1" x14ac:dyDescent="0.25">
      <c r="B3200" s="55" t="s">
        <v>279</v>
      </c>
      <c r="C3200" s="46">
        <v>3188</v>
      </c>
      <c r="D3200" s="69" t="s">
        <v>29416</v>
      </c>
      <c r="E3200" s="51"/>
      <c r="F3200" s="114" t="str">
        <f>IF(INDEX(I.Facility.P1IDNumber,3188)="","",INDEX(I.Facility.P1IDNumber,3188))</f>
        <v/>
      </c>
      <c r="G3200" s="51"/>
      <c r="H3200" s="46" t="str">
        <f>IF(AND(I.Developer.P1=TRUE,I.Facility.P1FacilityCount&gt;=3188,F3200=""),"Incomplete","Complete")</f>
        <v>Complete</v>
      </c>
      <c r="I3200" s="48" t="s">
        <v>7565</v>
      </c>
    </row>
    <row r="3201" spans="2:9" ht="15" customHeight="1" x14ac:dyDescent="0.25">
      <c r="B3201" s="55" t="s">
        <v>279</v>
      </c>
      <c r="C3201" s="46">
        <v>3189</v>
      </c>
      <c r="D3201" s="69" t="s">
        <v>29416</v>
      </c>
      <c r="E3201" s="51"/>
      <c r="F3201" s="114" t="str">
        <f>IF(INDEX(I.Facility.P1IDNumber,3189)="","",INDEX(I.Facility.P1IDNumber,3189))</f>
        <v/>
      </c>
      <c r="G3201" s="51"/>
      <c r="H3201" s="46" t="str">
        <f>IF(AND(I.Developer.P1=TRUE,I.Facility.P1FacilityCount&gt;=3189,F3201=""),"Incomplete","Complete")</f>
        <v>Complete</v>
      </c>
      <c r="I3201" s="48" t="s">
        <v>7566</v>
      </c>
    </row>
    <row r="3202" spans="2:9" ht="15" customHeight="1" x14ac:dyDescent="0.25">
      <c r="B3202" s="55" t="s">
        <v>279</v>
      </c>
      <c r="C3202" s="46">
        <v>3190</v>
      </c>
      <c r="D3202" s="69" t="s">
        <v>29416</v>
      </c>
      <c r="E3202" s="51"/>
      <c r="F3202" s="114" t="str">
        <f>IF(INDEX(I.Facility.P1IDNumber,3190)="","",INDEX(I.Facility.P1IDNumber,3190))</f>
        <v/>
      </c>
      <c r="G3202" s="51"/>
      <c r="H3202" s="46" t="str">
        <f>IF(AND(I.Developer.P1=TRUE,I.Facility.P1FacilityCount&gt;=3190,F3202=""),"Incomplete","Complete")</f>
        <v>Complete</v>
      </c>
      <c r="I3202" s="48" t="s">
        <v>7567</v>
      </c>
    </row>
    <row r="3203" spans="2:9" ht="15" customHeight="1" x14ac:dyDescent="0.25">
      <c r="B3203" s="55" t="s">
        <v>279</v>
      </c>
      <c r="C3203" s="46">
        <v>3191</v>
      </c>
      <c r="D3203" s="69" t="s">
        <v>29416</v>
      </c>
      <c r="E3203" s="51"/>
      <c r="F3203" s="114" t="str">
        <f>IF(INDEX(I.Facility.P1IDNumber,3191)="","",INDEX(I.Facility.P1IDNumber,3191))</f>
        <v/>
      </c>
      <c r="G3203" s="51"/>
      <c r="H3203" s="46" t="str">
        <f>IF(AND(I.Developer.P1=TRUE,I.Facility.P1FacilityCount&gt;=3191,F3203=""),"Incomplete","Complete")</f>
        <v>Complete</v>
      </c>
      <c r="I3203" s="48" t="s">
        <v>7568</v>
      </c>
    </row>
    <row r="3204" spans="2:9" ht="15" customHeight="1" x14ac:dyDescent="0.25">
      <c r="B3204" s="55" t="s">
        <v>279</v>
      </c>
      <c r="C3204" s="46">
        <v>3192</v>
      </c>
      <c r="D3204" s="69" t="s">
        <v>29416</v>
      </c>
      <c r="E3204" s="51"/>
      <c r="F3204" s="114" t="str">
        <f>IF(INDEX(I.Facility.P1IDNumber,3192)="","",INDEX(I.Facility.P1IDNumber,3192))</f>
        <v/>
      </c>
      <c r="G3204" s="51"/>
      <c r="H3204" s="46" t="str">
        <f>IF(AND(I.Developer.P1=TRUE,I.Facility.P1FacilityCount&gt;=3192,F3204=""),"Incomplete","Complete")</f>
        <v>Complete</v>
      </c>
      <c r="I3204" s="48" t="s">
        <v>7569</v>
      </c>
    </row>
    <row r="3205" spans="2:9" ht="15" customHeight="1" x14ac:dyDescent="0.25">
      <c r="B3205" s="55" t="s">
        <v>279</v>
      </c>
      <c r="C3205" s="46">
        <v>3193</v>
      </c>
      <c r="D3205" s="69" t="s">
        <v>29416</v>
      </c>
      <c r="E3205" s="51"/>
      <c r="F3205" s="114" t="str">
        <f>IF(INDEX(I.Facility.P1IDNumber,3193)="","",INDEX(I.Facility.P1IDNumber,3193))</f>
        <v/>
      </c>
      <c r="G3205" s="51"/>
      <c r="H3205" s="46" t="str">
        <f>IF(AND(I.Developer.P1=TRUE,I.Facility.P1FacilityCount&gt;=3193,F3205=""),"Incomplete","Complete")</f>
        <v>Complete</v>
      </c>
      <c r="I3205" s="48" t="s">
        <v>7570</v>
      </c>
    </row>
    <row r="3206" spans="2:9" ht="15" customHeight="1" x14ac:dyDescent="0.25">
      <c r="B3206" s="55" t="s">
        <v>279</v>
      </c>
      <c r="C3206" s="46">
        <v>3194</v>
      </c>
      <c r="D3206" s="69" t="s">
        <v>29416</v>
      </c>
      <c r="E3206" s="51"/>
      <c r="F3206" s="114" t="str">
        <f>IF(INDEX(I.Facility.P1IDNumber,3194)="","",INDEX(I.Facility.P1IDNumber,3194))</f>
        <v/>
      </c>
      <c r="G3206" s="51"/>
      <c r="H3206" s="46" t="str">
        <f>IF(AND(I.Developer.P1=TRUE,I.Facility.P1FacilityCount&gt;=3194,F3206=""),"Incomplete","Complete")</f>
        <v>Complete</v>
      </c>
      <c r="I3206" s="48" t="s">
        <v>7571</v>
      </c>
    </row>
    <row r="3207" spans="2:9" ht="15" customHeight="1" x14ac:dyDescent="0.25">
      <c r="B3207" s="55" t="s">
        <v>279</v>
      </c>
      <c r="C3207" s="46">
        <v>3195</v>
      </c>
      <c r="D3207" s="69" t="s">
        <v>29416</v>
      </c>
      <c r="E3207" s="51"/>
      <c r="F3207" s="114" t="str">
        <f>IF(INDEX(I.Facility.P1IDNumber,3195)="","",INDEX(I.Facility.P1IDNumber,3195))</f>
        <v/>
      </c>
      <c r="G3207" s="51"/>
      <c r="H3207" s="46" t="str">
        <f>IF(AND(I.Developer.P1=TRUE,I.Facility.P1FacilityCount&gt;=3195,F3207=""),"Incomplete","Complete")</f>
        <v>Complete</v>
      </c>
      <c r="I3207" s="48" t="s">
        <v>7572</v>
      </c>
    </row>
    <row r="3208" spans="2:9" ht="15" customHeight="1" x14ac:dyDescent="0.25">
      <c r="B3208" s="55" t="s">
        <v>279</v>
      </c>
      <c r="C3208" s="46">
        <v>3196</v>
      </c>
      <c r="D3208" s="69" t="s">
        <v>29416</v>
      </c>
      <c r="E3208" s="51"/>
      <c r="F3208" s="114" t="str">
        <f>IF(INDEX(I.Facility.P1IDNumber,3196)="","",INDEX(I.Facility.P1IDNumber,3196))</f>
        <v/>
      </c>
      <c r="G3208" s="51"/>
      <c r="H3208" s="46" t="str">
        <f>IF(AND(I.Developer.P1=TRUE,I.Facility.P1FacilityCount&gt;=3196,F3208=""),"Incomplete","Complete")</f>
        <v>Complete</v>
      </c>
      <c r="I3208" s="48" t="s">
        <v>7573</v>
      </c>
    </row>
    <row r="3209" spans="2:9" ht="15" customHeight="1" x14ac:dyDescent="0.25">
      <c r="B3209" s="55" t="s">
        <v>279</v>
      </c>
      <c r="C3209" s="46">
        <v>3197</v>
      </c>
      <c r="D3209" s="69" t="s">
        <v>29416</v>
      </c>
      <c r="E3209" s="51"/>
      <c r="F3209" s="114" t="str">
        <f>IF(INDEX(I.Facility.P1IDNumber,3197)="","",INDEX(I.Facility.P1IDNumber,3197))</f>
        <v/>
      </c>
      <c r="G3209" s="51"/>
      <c r="H3209" s="46" t="str">
        <f>IF(AND(I.Developer.P1=TRUE,I.Facility.P1FacilityCount&gt;=3197,F3209=""),"Incomplete","Complete")</f>
        <v>Complete</v>
      </c>
      <c r="I3209" s="48" t="s">
        <v>7574</v>
      </c>
    </row>
    <row r="3210" spans="2:9" ht="15" customHeight="1" x14ac:dyDescent="0.25">
      <c r="B3210" s="55" t="s">
        <v>279</v>
      </c>
      <c r="C3210" s="46">
        <v>3198</v>
      </c>
      <c r="D3210" s="69" t="s">
        <v>29416</v>
      </c>
      <c r="E3210" s="51"/>
      <c r="F3210" s="114" t="str">
        <f>IF(INDEX(I.Facility.P1IDNumber,3198)="","",INDEX(I.Facility.P1IDNumber,3198))</f>
        <v/>
      </c>
      <c r="G3210" s="51"/>
      <c r="H3210" s="46" t="str">
        <f>IF(AND(I.Developer.P1=TRUE,I.Facility.P1FacilityCount&gt;=3198,F3210=""),"Incomplete","Complete")</f>
        <v>Complete</v>
      </c>
      <c r="I3210" s="48" t="s">
        <v>7575</v>
      </c>
    </row>
    <row r="3211" spans="2:9" ht="15" customHeight="1" x14ac:dyDescent="0.25">
      <c r="B3211" s="55" t="s">
        <v>279</v>
      </c>
      <c r="C3211" s="46">
        <v>3199</v>
      </c>
      <c r="D3211" s="69" t="s">
        <v>29416</v>
      </c>
      <c r="E3211" s="51"/>
      <c r="F3211" s="114" t="str">
        <f>IF(INDEX(I.Facility.P1IDNumber,3199)="","",INDEX(I.Facility.P1IDNumber,3199))</f>
        <v/>
      </c>
      <c r="G3211" s="51"/>
      <c r="H3211" s="46" t="str">
        <f>IF(AND(I.Developer.P1=TRUE,I.Facility.P1FacilityCount&gt;=3199,F3211=""),"Incomplete","Complete")</f>
        <v>Complete</v>
      </c>
      <c r="I3211" s="48" t="s">
        <v>7576</v>
      </c>
    </row>
    <row r="3212" spans="2:9" ht="15" customHeight="1" x14ac:dyDescent="0.25">
      <c r="B3212" s="55" t="s">
        <v>279</v>
      </c>
      <c r="C3212" s="46">
        <v>3200</v>
      </c>
      <c r="D3212" s="69" t="s">
        <v>29416</v>
      </c>
      <c r="E3212" s="51"/>
      <c r="F3212" s="114" t="str">
        <f>IF(INDEX(I.Facility.P1IDNumber,3200)="","",INDEX(I.Facility.P1IDNumber,3200))</f>
        <v/>
      </c>
      <c r="G3212" s="51"/>
      <c r="H3212" s="46" t="str">
        <f>IF(AND(I.Developer.P1=TRUE,I.Facility.P1FacilityCount&gt;=3200,F3212=""),"Incomplete","Complete")</f>
        <v>Complete</v>
      </c>
      <c r="I3212" s="48" t="s">
        <v>7577</v>
      </c>
    </row>
    <row r="3213" spans="2:9" ht="15" customHeight="1" x14ac:dyDescent="0.25">
      <c r="B3213" s="55" t="s">
        <v>279</v>
      </c>
      <c r="C3213" s="46">
        <v>3201</v>
      </c>
      <c r="D3213" s="69" t="s">
        <v>29416</v>
      </c>
      <c r="E3213" s="51"/>
      <c r="F3213" s="114" t="str">
        <f>IF(INDEX(I.Facility.P1IDNumber,3201)="","",INDEX(I.Facility.P1IDNumber,3201))</f>
        <v/>
      </c>
      <c r="G3213" s="51"/>
      <c r="H3213" s="46" t="str">
        <f>IF(AND(I.Developer.P1=TRUE,I.Facility.P1FacilityCount&gt;=3201,F3213=""),"Incomplete","Complete")</f>
        <v>Complete</v>
      </c>
      <c r="I3213" s="48" t="s">
        <v>7578</v>
      </c>
    </row>
    <row r="3214" spans="2:9" ht="15" customHeight="1" x14ac:dyDescent="0.25">
      <c r="B3214" s="55" t="s">
        <v>279</v>
      </c>
      <c r="C3214" s="46">
        <v>3202</v>
      </c>
      <c r="D3214" s="69" t="s">
        <v>29416</v>
      </c>
      <c r="E3214" s="51"/>
      <c r="F3214" s="114" t="str">
        <f>IF(INDEX(I.Facility.P1IDNumber,3202)="","",INDEX(I.Facility.P1IDNumber,3202))</f>
        <v/>
      </c>
      <c r="G3214" s="51"/>
      <c r="H3214" s="46" t="str">
        <f>IF(AND(I.Developer.P1=TRUE,I.Facility.P1FacilityCount&gt;=3202,F3214=""),"Incomplete","Complete")</f>
        <v>Complete</v>
      </c>
      <c r="I3214" s="48" t="s">
        <v>7579</v>
      </c>
    </row>
    <row r="3215" spans="2:9" ht="15" customHeight="1" x14ac:dyDescent="0.25">
      <c r="B3215" s="55" t="s">
        <v>279</v>
      </c>
      <c r="C3215" s="46">
        <v>3203</v>
      </c>
      <c r="D3215" s="69" t="s">
        <v>29416</v>
      </c>
      <c r="E3215" s="51"/>
      <c r="F3215" s="114" t="str">
        <f>IF(INDEX(I.Facility.P1IDNumber,3203)="","",INDEX(I.Facility.P1IDNumber,3203))</f>
        <v/>
      </c>
      <c r="G3215" s="51"/>
      <c r="H3215" s="46" t="str">
        <f>IF(AND(I.Developer.P1=TRUE,I.Facility.P1FacilityCount&gt;=3203,F3215=""),"Incomplete","Complete")</f>
        <v>Complete</v>
      </c>
      <c r="I3215" s="48" t="s">
        <v>7580</v>
      </c>
    </row>
    <row r="3216" spans="2:9" ht="15" customHeight="1" x14ac:dyDescent="0.25">
      <c r="B3216" s="55" t="s">
        <v>279</v>
      </c>
      <c r="C3216" s="46">
        <v>3204</v>
      </c>
      <c r="D3216" s="69" t="s">
        <v>29416</v>
      </c>
      <c r="E3216" s="51"/>
      <c r="F3216" s="114" t="str">
        <f>IF(INDEX(I.Facility.P1IDNumber,3204)="","",INDEX(I.Facility.P1IDNumber,3204))</f>
        <v/>
      </c>
      <c r="G3216" s="51"/>
      <c r="H3216" s="46" t="str">
        <f>IF(AND(I.Developer.P1=TRUE,I.Facility.P1FacilityCount&gt;=3204,F3216=""),"Incomplete","Complete")</f>
        <v>Complete</v>
      </c>
      <c r="I3216" s="48" t="s">
        <v>7581</v>
      </c>
    </row>
    <row r="3217" spans="2:9" ht="15" customHeight="1" x14ac:dyDescent="0.25">
      <c r="B3217" s="55" t="s">
        <v>279</v>
      </c>
      <c r="C3217" s="46">
        <v>3205</v>
      </c>
      <c r="D3217" s="69" t="s">
        <v>29416</v>
      </c>
      <c r="E3217" s="51"/>
      <c r="F3217" s="114" t="str">
        <f>IF(INDEX(I.Facility.P1IDNumber,3205)="","",INDEX(I.Facility.P1IDNumber,3205))</f>
        <v/>
      </c>
      <c r="G3217" s="51"/>
      <c r="H3217" s="46" t="str">
        <f>IF(AND(I.Developer.P1=TRUE,I.Facility.P1FacilityCount&gt;=3205,F3217=""),"Incomplete","Complete")</f>
        <v>Complete</v>
      </c>
      <c r="I3217" s="48" t="s">
        <v>7582</v>
      </c>
    </row>
    <row r="3218" spans="2:9" ht="15" customHeight="1" x14ac:dyDescent="0.25">
      <c r="B3218" s="55" t="s">
        <v>279</v>
      </c>
      <c r="C3218" s="46">
        <v>3206</v>
      </c>
      <c r="D3218" s="69" t="s">
        <v>29416</v>
      </c>
      <c r="E3218" s="51"/>
      <c r="F3218" s="114" t="str">
        <f>IF(INDEX(I.Facility.P1IDNumber,3206)="","",INDEX(I.Facility.P1IDNumber,3206))</f>
        <v/>
      </c>
      <c r="G3218" s="51"/>
      <c r="H3218" s="46" t="str">
        <f>IF(AND(I.Developer.P1=TRUE,I.Facility.P1FacilityCount&gt;=3206,F3218=""),"Incomplete","Complete")</f>
        <v>Complete</v>
      </c>
      <c r="I3218" s="48" t="s">
        <v>7583</v>
      </c>
    </row>
    <row r="3219" spans="2:9" ht="15" customHeight="1" x14ac:dyDescent="0.25">
      <c r="B3219" s="55" t="s">
        <v>279</v>
      </c>
      <c r="C3219" s="46">
        <v>3207</v>
      </c>
      <c r="D3219" s="69" t="s">
        <v>29416</v>
      </c>
      <c r="E3219" s="51"/>
      <c r="F3219" s="114" t="str">
        <f>IF(INDEX(I.Facility.P1IDNumber,3207)="","",INDEX(I.Facility.P1IDNumber,3207))</f>
        <v/>
      </c>
      <c r="G3219" s="51"/>
      <c r="H3219" s="46" t="str">
        <f>IF(AND(I.Developer.P1=TRUE,I.Facility.P1FacilityCount&gt;=3207,F3219=""),"Incomplete","Complete")</f>
        <v>Complete</v>
      </c>
      <c r="I3219" s="48" t="s">
        <v>7584</v>
      </c>
    </row>
    <row r="3220" spans="2:9" ht="15" customHeight="1" x14ac:dyDescent="0.25">
      <c r="B3220" s="55" t="s">
        <v>279</v>
      </c>
      <c r="C3220" s="46">
        <v>3208</v>
      </c>
      <c r="D3220" s="69" t="s">
        <v>29416</v>
      </c>
      <c r="E3220" s="51"/>
      <c r="F3220" s="114" t="str">
        <f>IF(INDEX(I.Facility.P1IDNumber,3208)="","",INDEX(I.Facility.P1IDNumber,3208))</f>
        <v/>
      </c>
      <c r="G3220" s="51"/>
      <c r="H3220" s="46" t="str">
        <f>IF(AND(I.Developer.P1=TRUE,I.Facility.P1FacilityCount&gt;=3208,F3220=""),"Incomplete","Complete")</f>
        <v>Complete</v>
      </c>
      <c r="I3220" s="48" t="s">
        <v>7585</v>
      </c>
    </row>
    <row r="3221" spans="2:9" ht="15" customHeight="1" x14ac:dyDescent="0.25">
      <c r="B3221" s="55" t="s">
        <v>279</v>
      </c>
      <c r="C3221" s="46">
        <v>3209</v>
      </c>
      <c r="D3221" s="69" t="s">
        <v>29416</v>
      </c>
      <c r="E3221" s="51"/>
      <c r="F3221" s="114" t="str">
        <f>IF(INDEX(I.Facility.P1IDNumber,3209)="","",INDEX(I.Facility.P1IDNumber,3209))</f>
        <v/>
      </c>
      <c r="G3221" s="51"/>
      <c r="H3221" s="46" t="str">
        <f>IF(AND(I.Developer.P1=TRUE,I.Facility.P1FacilityCount&gt;=3209,F3221=""),"Incomplete","Complete")</f>
        <v>Complete</v>
      </c>
      <c r="I3221" s="48" t="s">
        <v>7586</v>
      </c>
    </row>
    <row r="3222" spans="2:9" ht="15" customHeight="1" x14ac:dyDescent="0.25">
      <c r="B3222" s="55" t="s">
        <v>279</v>
      </c>
      <c r="C3222" s="46">
        <v>3210</v>
      </c>
      <c r="D3222" s="69" t="s">
        <v>29416</v>
      </c>
      <c r="E3222" s="51"/>
      <c r="F3222" s="114" t="str">
        <f>IF(INDEX(I.Facility.P1IDNumber,3210)="","",INDEX(I.Facility.P1IDNumber,3210))</f>
        <v/>
      </c>
      <c r="G3222" s="51"/>
      <c r="H3222" s="46" t="str">
        <f>IF(AND(I.Developer.P1=TRUE,I.Facility.P1FacilityCount&gt;=3210,F3222=""),"Incomplete","Complete")</f>
        <v>Complete</v>
      </c>
      <c r="I3222" s="48" t="s">
        <v>7587</v>
      </c>
    </row>
    <row r="3223" spans="2:9" ht="15" customHeight="1" x14ac:dyDescent="0.25">
      <c r="B3223" s="55" t="s">
        <v>279</v>
      </c>
      <c r="C3223" s="46">
        <v>3211</v>
      </c>
      <c r="D3223" s="69" t="s">
        <v>29416</v>
      </c>
      <c r="E3223" s="51"/>
      <c r="F3223" s="114" t="str">
        <f>IF(INDEX(I.Facility.P1IDNumber,3211)="","",INDEX(I.Facility.P1IDNumber,3211))</f>
        <v/>
      </c>
      <c r="G3223" s="51"/>
      <c r="H3223" s="46" t="str">
        <f>IF(AND(I.Developer.P1=TRUE,I.Facility.P1FacilityCount&gt;=3211,F3223=""),"Incomplete","Complete")</f>
        <v>Complete</v>
      </c>
      <c r="I3223" s="48" t="s">
        <v>7588</v>
      </c>
    </row>
    <row r="3224" spans="2:9" ht="15" customHeight="1" x14ac:dyDescent="0.25">
      <c r="B3224" s="55" t="s">
        <v>279</v>
      </c>
      <c r="C3224" s="46">
        <v>3212</v>
      </c>
      <c r="D3224" s="69" t="s">
        <v>29416</v>
      </c>
      <c r="E3224" s="51"/>
      <c r="F3224" s="114" t="str">
        <f>IF(INDEX(I.Facility.P1IDNumber,3212)="","",INDEX(I.Facility.P1IDNumber,3212))</f>
        <v/>
      </c>
      <c r="G3224" s="51"/>
      <c r="H3224" s="46" t="str">
        <f>IF(AND(I.Developer.P1=TRUE,I.Facility.P1FacilityCount&gt;=3212,F3224=""),"Incomplete","Complete")</f>
        <v>Complete</v>
      </c>
      <c r="I3224" s="48" t="s">
        <v>7589</v>
      </c>
    </row>
    <row r="3225" spans="2:9" ht="15" customHeight="1" x14ac:dyDescent="0.25">
      <c r="B3225" s="55" t="s">
        <v>279</v>
      </c>
      <c r="C3225" s="46">
        <v>3213</v>
      </c>
      <c r="D3225" s="69" t="s">
        <v>29416</v>
      </c>
      <c r="E3225" s="51"/>
      <c r="F3225" s="114" t="str">
        <f>IF(INDEX(I.Facility.P1IDNumber,3213)="","",INDEX(I.Facility.P1IDNumber,3213))</f>
        <v/>
      </c>
      <c r="G3225" s="51"/>
      <c r="H3225" s="46" t="str">
        <f>IF(AND(I.Developer.P1=TRUE,I.Facility.P1FacilityCount&gt;=3213,F3225=""),"Incomplete","Complete")</f>
        <v>Complete</v>
      </c>
      <c r="I3225" s="48" t="s">
        <v>7590</v>
      </c>
    </row>
    <row r="3226" spans="2:9" ht="15" customHeight="1" x14ac:dyDescent="0.25">
      <c r="B3226" s="55" t="s">
        <v>279</v>
      </c>
      <c r="C3226" s="46">
        <v>3214</v>
      </c>
      <c r="D3226" s="69" t="s">
        <v>29416</v>
      </c>
      <c r="E3226" s="51"/>
      <c r="F3226" s="114" t="str">
        <f>IF(INDEX(I.Facility.P1IDNumber,3214)="","",INDEX(I.Facility.P1IDNumber,3214))</f>
        <v/>
      </c>
      <c r="G3226" s="51"/>
      <c r="H3226" s="46" t="str">
        <f>IF(AND(I.Developer.P1=TRUE,I.Facility.P1FacilityCount&gt;=3214,F3226=""),"Incomplete","Complete")</f>
        <v>Complete</v>
      </c>
      <c r="I3226" s="48" t="s">
        <v>7591</v>
      </c>
    </row>
    <row r="3227" spans="2:9" ht="15" customHeight="1" x14ac:dyDescent="0.25">
      <c r="B3227" s="55" t="s">
        <v>279</v>
      </c>
      <c r="C3227" s="46">
        <v>3215</v>
      </c>
      <c r="D3227" s="69" t="s">
        <v>29416</v>
      </c>
      <c r="E3227" s="51"/>
      <c r="F3227" s="114" t="str">
        <f>IF(INDEX(I.Facility.P1IDNumber,3215)="","",INDEX(I.Facility.P1IDNumber,3215))</f>
        <v/>
      </c>
      <c r="G3227" s="51"/>
      <c r="H3227" s="46" t="str">
        <f>IF(AND(I.Developer.P1=TRUE,I.Facility.P1FacilityCount&gt;=3215,F3227=""),"Incomplete","Complete")</f>
        <v>Complete</v>
      </c>
      <c r="I3227" s="48" t="s">
        <v>7592</v>
      </c>
    </row>
    <row r="3228" spans="2:9" ht="15" customHeight="1" x14ac:dyDescent="0.25">
      <c r="B3228" s="55" t="s">
        <v>279</v>
      </c>
      <c r="C3228" s="46">
        <v>3216</v>
      </c>
      <c r="D3228" s="69" t="s">
        <v>29416</v>
      </c>
      <c r="E3228" s="51"/>
      <c r="F3228" s="114" t="str">
        <f>IF(INDEX(I.Facility.P1IDNumber,3216)="","",INDEX(I.Facility.P1IDNumber,3216))</f>
        <v/>
      </c>
      <c r="G3228" s="51"/>
      <c r="H3228" s="46" t="str">
        <f>IF(AND(I.Developer.P1=TRUE,I.Facility.P1FacilityCount&gt;=3216,F3228=""),"Incomplete","Complete")</f>
        <v>Complete</v>
      </c>
      <c r="I3228" s="48" t="s">
        <v>7593</v>
      </c>
    </row>
    <row r="3229" spans="2:9" ht="15" customHeight="1" x14ac:dyDescent="0.25">
      <c r="B3229" s="55" t="s">
        <v>279</v>
      </c>
      <c r="C3229" s="46">
        <v>3217</v>
      </c>
      <c r="D3229" s="69" t="s">
        <v>29416</v>
      </c>
      <c r="E3229" s="51"/>
      <c r="F3229" s="114" t="str">
        <f>IF(INDEX(I.Facility.P1IDNumber,3217)="","",INDEX(I.Facility.P1IDNumber,3217))</f>
        <v/>
      </c>
      <c r="G3229" s="51"/>
      <c r="H3229" s="46" t="str">
        <f>IF(AND(I.Developer.P1=TRUE,I.Facility.P1FacilityCount&gt;=3217,F3229=""),"Incomplete","Complete")</f>
        <v>Complete</v>
      </c>
      <c r="I3229" s="48" t="s">
        <v>7594</v>
      </c>
    </row>
    <row r="3230" spans="2:9" ht="15" customHeight="1" x14ac:dyDescent="0.25">
      <c r="B3230" s="55" t="s">
        <v>279</v>
      </c>
      <c r="C3230" s="46">
        <v>3218</v>
      </c>
      <c r="D3230" s="69" t="s">
        <v>29416</v>
      </c>
      <c r="E3230" s="51"/>
      <c r="F3230" s="114" t="str">
        <f>IF(INDEX(I.Facility.P1IDNumber,3218)="","",INDEX(I.Facility.P1IDNumber,3218))</f>
        <v/>
      </c>
      <c r="G3230" s="51"/>
      <c r="H3230" s="46" t="str">
        <f>IF(AND(I.Developer.P1=TRUE,I.Facility.P1FacilityCount&gt;=3218,F3230=""),"Incomplete","Complete")</f>
        <v>Complete</v>
      </c>
      <c r="I3230" s="48" t="s">
        <v>7595</v>
      </c>
    </row>
    <row r="3231" spans="2:9" ht="15" customHeight="1" x14ac:dyDescent="0.25">
      <c r="B3231" s="55" t="s">
        <v>279</v>
      </c>
      <c r="C3231" s="46">
        <v>3219</v>
      </c>
      <c r="D3231" s="69" t="s">
        <v>29416</v>
      </c>
      <c r="E3231" s="51"/>
      <c r="F3231" s="114" t="str">
        <f>IF(INDEX(I.Facility.P1IDNumber,3219)="","",INDEX(I.Facility.P1IDNumber,3219))</f>
        <v/>
      </c>
      <c r="G3231" s="51"/>
      <c r="H3231" s="46" t="str">
        <f>IF(AND(I.Developer.P1=TRUE,I.Facility.P1FacilityCount&gt;=3219,F3231=""),"Incomplete","Complete")</f>
        <v>Complete</v>
      </c>
      <c r="I3231" s="48" t="s">
        <v>7596</v>
      </c>
    </row>
    <row r="3232" spans="2:9" ht="15" customHeight="1" x14ac:dyDescent="0.25">
      <c r="B3232" s="55" t="s">
        <v>279</v>
      </c>
      <c r="C3232" s="46">
        <v>3220</v>
      </c>
      <c r="D3232" s="69" t="s">
        <v>29416</v>
      </c>
      <c r="E3232" s="51"/>
      <c r="F3232" s="114" t="str">
        <f>IF(INDEX(I.Facility.P1IDNumber,3220)="","",INDEX(I.Facility.P1IDNumber,3220))</f>
        <v/>
      </c>
      <c r="G3232" s="51"/>
      <c r="H3232" s="46" t="str">
        <f>IF(AND(I.Developer.P1=TRUE,I.Facility.P1FacilityCount&gt;=3220,F3232=""),"Incomplete","Complete")</f>
        <v>Complete</v>
      </c>
      <c r="I3232" s="48" t="s">
        <v>7597</v>
      </c>
    </row>
    <row r="3233" spans="2:9" ht="15" customHeight="1" x14ac:dyDescent="0.25">
      <c r="B3233" s="55" t="s">
        <v>279</v>
      </c>
      <c r="C3233" s="46">
        <v>3221</v>
      </c>
      <c r="D3233" s="69" t="s">
        <v>29416</v>
      </c>
      <c r="E3233" s="51"/>
      <c r="F3233" s="114" t="str">
        <f>IF(INDEX(I.Facility.P1IDNumber,3221)="","",INDEX(I.Facility.P1IDNumber,3221))</f>
        <v/>
      </c>
      <c r="G3233" s="51"/>
      <c r="H3233" s="46" t="str">
        <f>IF(AND(I.Developer.P1=TRUE,I.Facility.P1FacilityCount&gt;=3221,F3233=""),"Incomplete","Complete")</f>
        <v>Complete</v>
      </c>
      <c r="I3233" s="48" t="s">
        <v>7598</v>
      </c>
    </row>
    <row r="3234" spans="2:9" ht="15" customHeight="1" x14ac:dyDescent="0.25">
      <c r="B3234" s="55" t="s">
        <v>279</v>
      </c>
      <c r="C3234" s="46">
        <v>3222</v>
      </c>
      <c r="D3234" s="69" t="s">
        <v>29416</v>
      </c>
      <c r="E3234" s="51"/>
      <c r="F3234" s="114" t="str">
        <f>IF(INDEX(I.Facility.P1IDNumber,3222)="","",INDEX(I.Facility.P1IDNumber,3222))</f>
        <v/>
      </c>
      <c r="G3234" s="51"/>
      <c r="H3234" s="46" t="str">
        <f>IF(AND(I.Developer.P1=TRUE,I.Facility.P1FacilityCount&gt;=3222,F3234=""),"Incomplete","Complete")</f>
        <v>Complete</v>
      </c>
      <c r="I3234" s="48" t="s">
        <v>7599</v>
      </c>
    </row>
    <row r="3235" spans="2:9" ht="15" customHeight="1" x14ac:dyDescent="0.25">
      <c r="B3235" s="55" t="s">
        <v>279</v>
      </c>
      <c r="C3235" s="46">
        <v>3223</v>
      </c>
      <c r="D3235" s="69" t="s">
        <v>29416</v>
      </c>
      <c r="E3235" s="51"/>
      <c r="F3235" s="114" t="str">
        <f>IF(INDEX(I.Facility.P1IDNumber,3223)="","",INDEX(I.Facility.P1IDNumber,3223))</f>
        <v/>
      </c>
      <c r="G3235" s="51"/>
      <c r="H3235" s="46" t="str">
        <f>IF(AND(I.Developer.P1=TRUE,I.Facility.P1FacilityCount&gt;=3223,F3235=""),"Incomplete","Complete")</f>
        <v>Complete</v>
      </c>
      <c r="I3235" s="48" t="s">
        <v>7600</v>
      </c>
    </row>
    <row r="3236" spans="2:9" ht="15" customHeight="1" x14ac:dyDescent="0.25">
      <c r="B3236" s="55" t="s">
        <v>279</v>
      </c>
      <c r="C3236" s="46">
        <v>3224</v>
      </c>
      <c r="D3236" s="69" t="s">
        <v>29416</v>
      </c>
      <c r="E3236" s="51"/>
      <c r="F3236" s="114" t="str">
        <f>IF(INDEX(I.Facility.P1IDNumber,3224)="","",INDEX(I.Facility.P1IDNumber,3224))</f>
        <v/>
      </c>
      <c r="G3236" s="51"/>
      <c r="H3236" s="46" t="str">
        <f>IF(AND(I.Developer.P1=TRUE,I.Facility.P1FacilityCount&gt;=3224,F3236=""),"Incomplete","Complete")</f>
        <v>Complete</v>
      </c>
      <c r="I3236" s="48" t="s">
        <v>7601</v>
      </c>
    </row>
    <row r="3237" spans="2:9" ht="15" customHeight="1" x14ac:dyDescent="0.25">
      <c r="B3237" s="55" t="s">
        <v>279</v>
      </c>
      <c r="C3237" s="46">
        <v>3225</v>
      </c>
      <c r="D3237" s="69" t="s">
        <v>29416</v>
      </c>
      <c r="E3237" s="51"/>
      <c r="F3237" s="114" t="str">
        <f>IF(INDEX(I.Facility.P1IDNumber,3225)="","",INDEX(I.Facility.P1IDNumber,3225))</f>
        <v/>
      </c>
      <c r="G3237" s="51"/>
      <c r="H3237" s="46" t="str">
        <f>IF(AND(I.Developer.P1=TRUE,I.Facility.P1FacilityCount&gt;=3225,F3237=""),"Incomplete","Complete")</f>
        <v>Complete</v>
      </c>
      <c r="I3237" s="48" t="s">
        <v>7602</v>
      </c>
    </row>
    <row r="3238" spans="2:9" ht="15" customHeight="1" x14ac:dyDescent="0.25">
      <c r="B3238" s="55" t="s">
        <v>279</v>
      </c>
      <c r="C3238" s="46">
        <v>3226</v>
      </c>
      <c r="D3238" s="69" t="s">
        <v>29416</v>
      </c>
      <c r="E3238" s="51"/>
      <c r="F3238" s="114" t="str">
        <f>IF(INDEX(I.Facility.P1IDNumber,3226)="","",INDEX(I.Facility.P1IDNumber,3226))</f>
        <v/>
      </c>
      <c r="G3238" s="51"/>
      <c r="H3238" s="46" t="str">
        <f>IF(AND(I.Developer.P1=TRUE,I.Facility.P1FacilityCount&gt;=3226,F3238=""),"Incomplete","Complete")</f>
        <v>Complete</v>
      </c>
      <c r="I3238" s="48" t="s">
        <v>7603</v>
      </c>
    </row>
    <row r="3239" spans="2:9" ht="15" customHeight="1" x14ac:dyDescent="0.25">
      <c r="B3239" s="55" t="s">
        <v>279</v>
      </c>
      <c r="C3239" s="46">
        <v>3227</v>
      </c>
      <c r="D3239" s="69" t="s">
        <v>29416</v>
      </c>
      <c r="E3239" s="51"/>
      <c r="F3239" s="114" t="str">
        <f>IF(INDEX(I.Facility.P1IDNumber,3227)="","",INDEX(I.Facility.P1IDNumber,3227))</f>
        <v/>
      </c>
      <c r="G3239" s="51"/>
      <c r="H3239" s="46" t="str">
        <f>IF(AND(I.Developer.P1=TRUE,I.Facility.P1FacilityCount&gt;=3227,F3239=""),"Incomplete","Complete")</f>
        <v>Complete</v>
      </c>
      <c r="I3239" s="48" t="s">
        <v>7604</v>
      </c>
    </row>
    <row r="3240" spans="2:9" ht="15" customHeight="1" x14ac:dyDescent="0.25">
      <c r="B3240" s="55" t="s">
        <v>279</v>
      </c>
      <c r="C3240" s="46">
        <v>3228</v>
      </c>
      <c r="D3240" s="69" t="s">
        <v>29416</v>
      </c>
      <c r="E3240" s="51"/>
      <c r="F3240" s="114" t="str">
        <f>IF(INDEX(I.Facility.P1IDNumber,3228)="","",INDEX(I.Facility.P1IDNumber,3228))</f>
        <v/>
      </c>
      <c r="G3240" s="51"/>
      <c r="H3240" s="46" t="str">
        <f>IF(AND(I.Developer.P1=TRUE,I.Facility.P1FacilityCount&gt;=3228,F3240=""),"Incomplete","Complete")</f>
        <v>Complete</v>
      </c>
      <c r="I3240" s="48" t="s">
        <v>7605</v>
      </c>
    </row>
    <row r="3241" spans="2:9" ht="15" customHeight="1" x14ac:dyDescent="0.25">
      <c r="B3241" s="55" t="s">
        <v>279</v>
      </c>
      <c r="C3241" s="46">
        <v>3229</v>
      </c>
      <c r="D3241" s="69" t="s">
        <v>29416</v>
      </c>
      <c r="E3241" s="51"/>
      <c r="F3241" s="114" t="str">
        <f>IF(INDEX(I.Facility.P1IDNumber,3229)="","",INDEX(I.Facility.P1IDNumber,3229))</f>
        <v/>
      </c>
      <c r="G3241" s="51"/>
      <c r="H3241" s="46" t="str">
        <f>IF(AND(I.Developer.P1=TRUE,I.Facility.P1FacilityCount&gt;=3229,F3241=""),"Incomplete","Complete")</f>
        <v>Complete</v>
      </c>
      <c r="I3241" s="48" t="s">
        <v>7606</v>
      </c>
    </row>
    <row r="3242" spans="2:9" ht="15" customHeight="1" x14ac:dyDescent="0.25">
      <c r="B3242" s="55" t="s">
        <v>279</v>
      </c>
      <c r="C3242" s="46">
        <v>3230</v>
      </c>
      <c r="D3242" s="69" t="s">
        <v>29416</v>
      </c>
      <c r="E3242" s="51"/>
      <c r="F3242" s="114" t="str">
        <f>IF(INDEX(I.Facility.P1IDNumber,3230)="","",INDEX(I.Facility.P1IDNumber,3230))</f>
        <v/>
      </c>
      <c r="G3242" s="51"/>
      <c r="H3242" s="46" t="str">
        <f>IF(AND(I.Developer.P1=TRUE,I.Facility.P1FacilityCount&gt;=3230,F3242=""),"Incomplete","Complete")</f>
        <v>Complete</v>
      </c>
      <c r="I3242" s="48" t="s">
        <v>7607</v>
      </c>
    </row>
    <row r="3243" spans="2:9" ht="15" customHeight="1" x14ac:dyDescent="0.25">
      <c r="B3243" s="55" t="s">
        <v>279</v>
      </c>
      <c r="C3243" s="46">
        <v>3231</v>
      </c>
      <c r="D3243" s="69" t="s">
        <v>29416</v>
      </c>
      <c r="E3243" s="51"/>
      <c r="F3243" s="114" t="str">
        <f>IF(INDEX(I.Facility.P1IDNumber,3231)="","",INDEX(I.Facility.P1IDNumber,3231))</f>
        <v/>
      </c>
      <c r="G3243" s="51"/>
      <c r="H3243" s="46" t="str">
        <f>IF(AND(I.Developer.P1=TRUE,I.Facility.P1FacilityCount&gt;=3231,F3243=""),"Incomplete","Complete")</f>
        <v>Complete</v>
      </c>
      <c r="I3243" s="48" t="s">
        <v>7608</v>
      </c>
    </row>
    <row r="3244" spans="2:9" ht="15" customHeight="1" x14ac:dyDescent="0.25">
      <c r="B3244" s="55" t="s">
        <v>279</v>
      </c>
      <c r="C3244" s="46">
        <v>3232</v>
      </c>
      <c r="D3244" s="69" t="s">
        <v>29416</v>
      </c>
      <c r="E3244" s="51"/>
      <c r="F3244" s="114" t="str">
        <f>IF(INDEX(I.Facility.P1IDNumber,3232)="","",INDEX(I.Facility.P1IDNumber,3232))</f>
        <v/>
      </c>
      <c r="G3244" s="51"/>
      <c r="H3244" s="46" t="str">
        <f>IF(AND(I.Developer.P1=TRUE,I.Facility.P1FacilityCount&gt;=3232,F3244=""),"Incomplete","Complete")</f>
        <v>Complete</v>
      </c>
      <c r="I3244" s="48" t="s">
        <v>7609</v>
      </c>
    </row>
    <row r="3245" spans="2:9" ht="15" customHeight="1" x14ac:dyDescent="0.25">
      <c r="B3245" s="55" t="s">
        <v>279</v>
      </c>
      <c r="C3245" s="46">
        <v>3233</v>
      </c>
      <c r="D3245" s="69" t="s">
        <v>29416</v>
      </c>
      <c r="E3245" s="51"/>
      <c r="F3245" s="114" t="str">
        <f>IF(INDEX(I.Facility.P1IDNumber,3233)="","",INDEX(I.Facility.P1IDNumber,3233))</f>
        <v/>
      </c>
      <c r="G3245" s="51"/>
      <c r="H3245" s="46" t="str">
        <f>IF(AND(I.Developer.P1=TRUE,I.Facility.P1FacilityCount&gt;=3233,F3245=""),"Incomplete","Complete")</f>
        <v>Complete</v>
      </c>
      <c r="I3245" s="48" t="s">
        <v>7610</v>
      </c>
    </row>
    <row r="3246" spans="2:9" ht="15" customHeight="1" x14ac:dyDescent="0.25">
      <c r="B3246" s="55" t="s">
        <v>279</v>
      </c>
      <c r="C3246" s="46">
        <v>3234</v>
      </c>
      <c r="D3246" s="69" t="s">
        <v>29416</v>
      </c>
      <c r="E3246" s="51"/>
      <c r="F3246" s="114" t="str">
        <f>IF(INDEX(I.Facility.P1IDNumber,3234)="","",INDEX(I.Facility.P1IDNumber,3234))</f>
        <v/>
      </c>
      <c r="G3246" s="51"/>
      <c r="H3246" s="46" t="str">
        <f>IF(AND(I.Developer.P1=TRUE,I.Facility.P1FacilityCount&gt;=3234,F3246=""),"Incomplete","Complete")</f>
        <v>Complete</v>
      </c>
      <c r="I3246" s="48" t="s">
        <v>7611</v>
      </c>
    </row>
    <row r="3247" spans="2:9" ht="15" customHeight="1" x14ac:dyDescent="0.25">
      <c r="B3247" s="55" t="s">
        <v>279</v>
      </c>
      <c r="C3247" s="46">
        <v>3235</v>
      </c>
      <c r="D3247" s="69" t="s">
        <v>29416</v>
      </c>
      <c r="E3247" s="51"/>
      <c r="F3247" s="114" t="str">
        <f>IF(INDEX(I.Facility.P1IDNumber,3235)="","",INDEX(I.Facility.P1IDNumber,3235))</f>
        <v/>
      </c>
      <c r="G3247" s="51"/>
      <c r="H3247" s="46" t="str">
        <f>IF(AND(I.Developer.P1=TRUE,I.Facility.P1FacilityCount&gt;=3235,F3247=""),"Incomplete","Complete")</f>
        <v>Complete</v>
      </c>
      <c r="I3247" s="48" t="s">
        <v>7612</v>
      </c>
    </row>
    <row r="3248" spans="2:9" ht="15" customHeight="1" x14ac:dyDescent="0.25">
      <c r="B3248" s="55" t="s">
        <v>279</v>
      </c>
      <c r="C3248" s="46">
        <v>3236</v>
      </c>
      <c r="D3248" s="69" t="s">
        <v>29416</v>
      </c>
      <c r="E3248" s="51"/>
      <c r="F3248" s="114" t="str">
        <f>IF(INDEX(I.Facility.P1IDNumber,3236)="","",INDEX(I.Facility.P1IDNumber,3236))</f>
        <v/>
      </c>
      <c r="G3248" s="51"/>
      <c r="H3248" s="46" t="str">
        <f>IF(AND(I.Developer.P1=TRUE,I.Facility.P1FacilityCount&gt;=3236,F3248=""),"Incomplete","Complete")</f>
        <v>Complete</v>
      </c>
      <c r="I3248" s="48" t="s">
        <v>7613</v>
      </c>
    </row>
    <row r="3249" spans="2:9" ht="15" customHeight="1" x14ac:dyDescent="0.25">
      <c r="B3249" s="55" t="s">
        <v>279</v>
      </c>
      <c r="C3249" s="46">
        <v>3237</v>
      </c>
      <c r="D3249" s="69" t="s">
        <v>29416</v>
      </c>
      <c r="E3249" s="51"/>
      <c r="F3249" s="114" t="str">
        <f>IF(INDEX(I.Facility.P1IDNumber,3237)="","",INDEX(I.Facility.P1IDNumber,3237))</f>
        <v/>
      </c>
      <c r="G3249" s="51"/>
      <c r="H3249" s="46" t="str">
        <f>IF(AND(I.Developer.P1=TRUE,I.Facility.P1FacilityCount&gt;=3237,F3249=""),"Incomplete","Complete")</f>
        <v>Complete</v>
      </c>
      <c r="I3249" s="48" t="s">
        <v>7614</v>
      </c>
    </row>
    <row r="3250" spans="2:9" ht="15" customHeight="1" x14ac:dyDescent="0.25">
      <c r="B3250" s="55" t="s">
        <v>279</v>
      </c>
      <c r="C3250" s="46">
        <v>3238</v>
      </c>
      <c r="D3250" s="69" t="s">
        <v>29416</v>
      </c>
      <c r="E3250" s="51"/>
      <c r="F3250" s="114" t="str">
        <f>IF(INDEX(I.Facility.P1IDNumber,3238)="","",INDEX(I.Facility.P1IDNumber,3238))</f>
        <v/>
      </c>
      <c r="G3250" s="51"/>
      <c r="H3250" s="46" t="str">
        <f>IF(AND(I.Developer.P1=TRUE,I.Facility.P1FacilityCount&gt;=3238,F3250=""),"Incomplete","Complete")</f>
        <v>Complete</v>
      </c>
      <c r="I3250" s="48" t="s">
        <v>7615</v>
      </c>
    </row>
    <row r="3251" spans="2:9" ht="15" customHeight="1" x14ac:dyDescent="0.25">
      <c r="B3251" s="55" t="s">
        <v>279</v>
      </c>
      <c r="C3251" s="46">
        <v>3239</v>
      </c>
      <c r="D3251" s="69" t="s">
        <v>29416</v>
      </c>
      <c r="E3251" s="51"/>
      <c r="F3251" s="114" t="str">
        <f>IF(INDEX(I.Facility.P1IDNumber,3239)="","",INDEX(I.Facility.P1IDNumber,3239))</f>
        <v/>
      </c>
      <c r="G3251" s="51"/>
      <c r="H3251" s="46" t="str">
        <f>IF(AND(I.Developer.P1=TRUE,I.Facility.P1FacilityCount&gt;=3239,F3251=""),"Incomplete","Complete")</f>
        <v>Complete</v>
      </c>
      <c r="I3251" s="48" t="s">
        <v>7616</v>
      </c>
    </row>
    <row r="3252" spans="2:9" ht="15" customHeight="1" x14ac:dyDescent="0.25">
      <c r="B3252" s="55" t="s">
        <v>279</v>
      </c>
      <c r="C3252" s="46">
        <v>3240</v>
      </c>
      <c r="D3252" s="69" t="s">
        <v>29416</v>
      </c>
      <c r="E3252" s="51"/>
      <c r="F3252" s="114" t="str">
        <f>IF(INDEX(I.Facility.P1IDNumber,3240)="","",INDEX(I.Facility.P1IDNumber,3240))</f>
        <v/>
      </c>
      <c r="G3252" s="51"/>
      <c r="H3252" s="46" t="str">
        <f>IF(AND(I.Developer.P1=TRUE,I.Facility.P1FacilityCount&gt;=3240,F3252=""),"Incomplete","Complete")</f>
        <v>Complete</v>
      </c>
      <c r="I3252" s="48" t="s">
        <v>7617</v>
      </c>
    </row>
    <row r="3253" spans="2:9" ht="15" customHeight="1" x14ac:dyDescent="0.25">
      <c r="B3253" s="55" t="s">
        <v>279</v>
      </c>
      <c r="C3253" s="46">
        <v>3241</v>
      </c>
      <c r="D3253" s="69" t="s">
        <v>29416</v>
      </c>
      <c r="E3253" s="51"/>
      <c r="F3253" s="114" t="str">
        <f>IF(INDEX(I.Facility.P1IDNumber,3241)="","",INDEX(I.Facility.P1IDNumber,3241))</f>
        <v/>
      </c>
      <c r="G3253" s="51"/>
      <c r="H3253" s="46" t="str">
        <f>IF(AND(I.Developer.P1=TRUE,I.Facility.P1FacilityCount&gt;=3241,F3253=""),"Incomplete","Complete")</f>
        <v>Complete</v>
      </c>
      <c r="I3253" s="48" t="s">
        <v>7618</v>
      </c>
    </row>
    <row r="3254" spans="2:9" ht="15" customHeight="1" x14ac:dyDescent="0.25">
      <c r="B3254" s="55" t="s">
        <v>279</v>
      </c>
      <c r="C3254" s="46">
        <v>3242</v>
      </c>
      <c r="D3254" s="69" t="s">
        <v>29416</v>
      </c>
      <c r="E3254" s="51"/>
      <c r="F3254" s="114" t="str">
        <f>IF(INDEX(I.Facility.P1IDNumber,3242)="","",INDEX(I.Facility.P1IDNumber,3242))</f>
        <v/>
      </c>
      <c r="G3254" s="51"/>
      <c r="H3254" s="46" t="str">
        <f>IF(AND(I.Developer.P1=TRUE,I.Facility.P1FacilityCount&gt;=3242,F3254=""),"Incomplete","Complete")</f>
        <v>Complete</v>
      </c>
      <c r="I3254" s="48" t="s">
        <v>7619</v>
      </c>
    </row>
    <row r="3255" spans="2:9" ht="15" customHeight="1" x14ac:dyDescent="0.25">
      <c r="B3255" s="55" t="s">
        <v>279</v>
      </c>
      <c r="C3255" s="46">
        <v>3243</v>
      </c>
      <c r="D3255" s="69" t="s">
        <v>29416</v>
      </c>
      <c r="E3255" s="51"/>
      <c r="F3255" s="114" t="str">
        <f>IF(INDEX(I.Facility.P1IDNumber,3243)="","",INDEX(I.Facility.P1IDNumber,3243))</f>
        <v/>
      </c>
      <c r="G3255" s="51"/>
      <c r="H3255" s="46" t="str">
        <f>IF(AND(I.Developer.P1=TRUE,I.Facility.P1FacilityCount&gt;=3243,F3255=""),"Incomplete","Complete")</f>
        <v>Complete</v>
      </c>
      <c r="I3255" s="48" t="s">
        <v>7620</v>
      </c>
    </row>
    <row r="3256" spans="2:9" ht="15" customHeight="1" x14ac:dyDescent="0.25">
      <c r="B3256" s="55" t="s">
        <v>279</v>
      </c>
      <c r="C3256" s="46">
        <v>3244</v>
      </c>
      <c r="D3256" s="69" t="s">
        <v>29416</v>
      </c>
      <c r="E3256" s="51"/>
      <c r="F3256" s="114" t="str">
        <f>IF(INDEX(I.Facility.P1IDNumber,3244)="","",INDEX(I.Facility.P1IDNumber,3244))</f>
        <v/>
      </c>
      <c r="G3256" s="51"/>
      <c r="H3256" s="46" t="str">
        <f>IF(AND(I.Developer.P1=TRUE,I.Facility.P1FacilityCount&gt;=3244,F3256=""),"Incomplete","Complete")</f>
        <v>Complete</v>
      </c>
      <c r="I3256" s="48" t="s">
        <v>7621</v>
      </c>
    </row>
    <row r="3257" spans="2:9" ht="15" customHeight="1" x14ac:dyDescent="0.25">
      <c r="B3257" s="55" t="s">
        <v>279</v>
      </c>
      <c r="C3257" s="46">
        <v>3245</v>
      </c>
      <c r="D3257" s="69" t="s">
        <v>29416</v>
      </c>
      <c r="E3257" s="51"/>
      <c r="F3257" s="114" t="str">
        <f>IF(INDEX(I.Facility.P1IDNumber,3245)="","",INDEX(I.Facility.P1IDNumber,3245))</f>
        <v/>
      </c>
      <c r="G3257" s="51"/>
      <c r="H3257" s="46" t="str">
        <f>IF(AND(I.Developer.P1=TRUE,I.Facility.P1FacilityCount&gt;=3245,F3257=""),"Incomplete","Complete")</f>
        <v>Complete</v>
      </c>
      <c r="I3257" s="48" t="s">
        <v>7622</v>
      </c>
    </row>
    <row r="3258" spans="2:9" ht="15" customHeight="1" x14ac:dyDescent="0.25">
      <c r="B3258" s="55" t="s">
        <v>279</v>
      </c>
      <c r="C3258" s="46">
        <v>3246</v>
      </c>
      <c r="D3258" s="69" t="s">
        <v>29416</v>
      </c>
      <c r="E3258" s="51"/>
      <c r="F3258" s="114" t="str">
        <f>IF(INDEX(I.Facility.P1IDNumber,3246)="","",INDEX(I.Facility.P1IDNumber,3246))</f>
        <v/>
      </c>
      <c r="G3258" s="51"/>
      <c r="H3258" s="46" t="str">
        <f>IF(AND(I.Developer.P1=TRUE,I.Facility.P1FacilityCount&gt;=3246,F3258=""),"Incomplete","Complete")</f>
        <v>Complete</v>
      </c>
      <c r="I3258" s="48" t="s">
        <v>7623</v>
      </c>
    </row>
    <row r="3259" spans="2:9" ht="15" customHeight="1" x14ac:dyDescent="0.25">
      <c r="B3259" s="55" t="s">
        <v>279</v>
      </c>
      <c r="C3259" s="46">
        <v>3247</v>
      </c>
      <c r="D3259" s="69" t="s">
        <v>29416</v>
      </c>
      <c r="E3259" s="51"/>
      <c r="F3259" s="114" t="str">
        <f>IF(INDEX(I.Facility.P1IDNumber,3247)="","",INDEX(I.Facility.P1IDNumber,3247))</f>
        <v/>
      </c>
      <c r="G3259" s="51"/>
      <c r="H3259" s="46" t="str">
        <f>IF(AND(I.Developer.P1=TRUE,I.Facility.P1FacilityCount&gt;=3247,F3259=""),"Incomplete","Complete")</f>
        <v>Complete</v>
      </c>
      <c r="I3259" s="48" t="s">
        <v>7624</v>
      </c>
    </row>
    <row r="3260" spans="2:9" ht="15" customHeight="1" x14ac:dyDescent="0.25">
      <c r="B3260" s="55" t="s">
        <v>279</v>
      </c>
      <c r="C3260" s="46">
        <v>3248</v>
      </c>
      <c r="D3260" s="69" t="s">
        <v>29416</v>
      </c>
      <c r="E3260" s="51"/>
      <c r="F3260" s="114" t="str">
        <f>IF(INDEX(I.Facility.P1IDNumber,3248)="","",INDEX(I.Facility.P1IDNumber,3248))</f>
        <v/>
      </c>
      <c r="G3260" s="51"/>
      <c r="H3260" s="46" t="str">
        <f>IF(AND(I.Developer.P1=TRUE,I.Facility.P1FacilityCount&gt;=3248,F3260=""),"Incomplete","Complete")</f>
        <v>Complete</v>
      </c>
      <c r="I3260" s="48" t="s">
        <v>7625</v>
      </c>
    </row>
    <row r="3261" spans="2:9" ht="15" customHeight="1" x14ac:dyDescent="0.25">
      <c r="B3261" s="55" t="s">
        <v>279</v>
      </c>
      <c r="C3261" s="46">
        <v>3249</v>
      </c>
      <c r="D3261" s="69" t="s">
        <v>29416</v>
      </c>
      <c r="E3261" s="51"/>
      <c r="F3261" s="114" t="str">
        <f>IF(INDEX(I.Facility.P1IDNumber,3249)="","",INDEX(I.Facility.P1IDNumber,3249))</f>
        <v/>
      </c>
      <c r="G3261" s="51"/>
      <c r="H3261" s="46" t="str">
        <f>IF(AND(I.Developer.P1=TRUE,I.Facility.P1FacilityCount&gt;=3249,F3261=""),"Incomplete","Complete")</f>
        <v>Complete</v>
      </c>
      <c r="I3261" s="48" t="s">
        <v>7626</v>
      </c>
    </row>
    <row r="3262" spans="2:9" ht="15" customHeight="1" x14ac:dyDescent="0.25">
      <c r="B3262" s="55" t="s">
        <v>279</v>
      </c>
      <c r="C3262" s="46">
        <v>3250</v>
      </c>
      <c r="D3262" s="69" t="s">
        <v>29416</v>
      </c>
      <c r="E3262" s="51"/>
      <c r="F3262" s="114" t="str">
        <f>IF(INDEX(I.Facility.P1IDNumber,3250)="","",INDEX(I.Facility.P1IDNumber,3250))</f>
        <v/>
      </c>
      <c r="G3262" s="51"/>
      <c r="H3262" s="46" t="str">
        <f>IF(AND(I.Developer.P1=TRUE,I.Facility.P1FacilityCount&gt;=3250,F3262=""),"Incomplete","Complete")</f>
        <v>Complete</v>
      </c>
      <c r="I3262" s="48" t="s">
        <v>7627</v>
      </c>
    </row>
    <row r="3263" spans="2:9" ht="15" customHeight="1" x14ac:dyDescent="0.25">
      <c r="B3263" s="55" t="s">
        <v>279</v>
      </c>
      <c r="C3263" s="46">
        <v>3251</v>
      </c>
      <c r="D3263" s="69" t="s">
        <v>29416</v>
      </c>
      <c r="E3263" s="51"/>
      <c r="F3263" s="114" t="str">
        <f>IF(INDEX(I.Facility.P1IDNumber,3251)="","",INDEX(I.Facility.P1IDNumber,3251))</f>
        <v/>
      </c>
      <c r="G3263" s="51"/>
      <c r="H3263" s="46" t="str">
        <f>IF(AND(I.Developer.P1=TRUE,I.Facility.P1FacilityCount&gt;=3251,F3263=""),"Incomplete","Complete")</f>
        <v>Complete</v>
      </c>
      <c r="I3263" s="48" t="s">
        <v>7628</v>
      </c>
    </row>
    <row r="3264" spans="2:9" ht="15" customHeight="1" x14ac:dyDescent="0.25">
      <c r="B3264" s="55" t="s">
        <v>279</v>
      </c>
      <c r="C3264" s="46">
        <v>3252</v>
      </c>
      <c r="D3264" s="69" t="s">
        <v>29416</v>
      </c>
      <c r="E3264" s="51"/>
      <c r="F3264" s="114" t="str">
        <f>IF(INDEX(I.Facility.P1IDNumber,3252)="","",INDEX(I.Facility.P1IDNumber,3252))</f>
        <v/>
      </c>
      <c r="G3264" s="51"/>
      <c r="H3264" s="46" t="str">
        <f>IF(AND(I.Developer.P1=TRUE,I.Facility.P1FacilityCount&gt;=3252,F3264=""),"Incomplete","Complete")</f>
        <v>Complete</v>
      </c>
      <c r="I3264" s="48" t="s">
        <v>7629</v>
      </c>
    </row>
    <row r="3265" spans="2:9" ht="15" customHeight="1" x14ac:dyDescent="0.25">
      <c r="B3265" s="55" t="s">
        <v>279</v>
      </c>
      <c r="C3265" s="46">
        <v>3253</v>
      </c>
      <c r="D3265" s="69" t="s">
        <v>29416</v>
      </c>
      <c r="E3265" s="51"/>
      <c r="F3265" s="114" t="str">
        <f>IF(INDEX(I.Facility.P1IDNumber,3253)="","",INDEX(I.Facility.P1IDNumber,3253))</f>
        <v/>
      </c>
      <c r="G3265" s="51"/>
      <c r="H3265" s="46" t="str">
        <f>IF(AND(I.Developer.P1=TRUE,I.Facility.P1FacilityCount&gt;=3253,F3265=""),"Incomplete","Complete")</f>
        <v>Complete</v>
      </c>
      <c r="I3265" s="48" t="s">
        <v>7630</v>
      </c>
    </row>
    <row r="3266" spans="2:9" ht="15" customHeight="1" x14ac:dyDescent="0.25">
      <c r="B3266" s="55" t="s">
        <v>279</v>
      </c>
      <c r="C3266" s="46">
        <v>3254</v>
      </c>
      <c r="D3266" s="69" t="s">
        <v>29416</v>
      </c>
      <c r="E3266" s="51"/>
      <c r="F3266" s="114" t="str">
        <f>IF(INDEX(I.Facility.P1IDNumber,3254)="","",INDEX(I.Facility.P1IDNumber,3254))</f>
        <v/>
      </c>
      <c r="G3266" s="51"/>
      <c r="H3266" s="46" t="str">
        <f>IF(AND(I.Developer.P1=TRUE,I.Facility.P1FacilityCount&gt;=3254,F3266=""),"Incomplete","Complete")</f>
        <v>Complete</v>
      </c>
      <c r="I3266" s="48" t="s">
        <v>7631</v>
      </c>
    </row>
    <row r="3267" spans="2:9" ht="15" customHeight="1" x14ac:dyDescent="0.25">
      <c r="B3267" s="55" t="s">
        <v>279</v>
      </c>
      <c r="C3267" s="46">
        <v>3255</v>
      </c>
      <c r="D3267" s="69" t="s">
        <v>29416</v>
      </c>
      <c r="E3267" s="51"/>
      <c r="F3267" s="114" t="str">
        <f>IF(INDEX(I.Facility.P1IDNumber,3255)="","",INDEX(I.Facility.P1IDNumber,3255))</f>
        <v/>
      </c>
      <c r="G3267" s="51"/>
      <c r="H3267" s="46" t="str">
        <f>IF(AND(I.Developer.P1=TRUE,I.Facility.P1FacilityCount&gt;=3255,F3267=""),"Incomplete","Complete")</f>
        <v>Complete</v>
      </c>
      <c r="I3267" s="48" t="s">
        <v>7632</v>
      </c>
    </row>
    <row r="3268" spans="2:9" ht="15" customHeight="1" x14ac:dyDescent="0.25">
      <c r="B3268" s="55" t="s">
        <v>279</v>
      </c>
      <c r="C3268" s="46">
        <v>3256</v>
      </c>
      <c r="D3268" s="69" t="s">
        <v>29416</v>
      </c>
      <c r="E3268" s="51"/>
      <c r="F3268" s="114" t="str">
        <f>IF(INDEX(I.Facility.P1IDNumber,3256)="","",INDEX(I.Facility.P1IDNumber,3256))</f>
        <v/>
      </c>
      <c r="G3268" s="51"/>
      <c r="H3268" s="46" t="str">
        <f>IF(AND(I.Developer.P1=TRUE,I.Facility.P1FacilityCount&gt;=3256,F3268=""),"Incomplete","Complete")</f>
        <v>Complete</v>
      </c>
      <c r="I3268" s="48" t="s">
        <v>7633</v>
      </c>
    </row>
    <row r="3269" spans="2:9" ht="15" customHeight="1" x14ac:dyDescent="0.25">
      <c r="B3269" s="55" t="s">
        <v>279</v>
      </c>
      <c r="C3269" s="46">
        <v>3257</v>
      </c>
      <c r="D3269" s="69" t="s">
        <v>29416</v>
      </c>
      <c r="E3269" s="51"/>
      <c r="F3269" s="114" t="str">
        <f>IF(INDEX(I.Facility.P1IDNumber,3257)="","",INDEX(I.Facility.P1IDNumber,3257))</f>
        <v/>
      </c>
      <c r="G3269" s="51"/>
      <c r="H3269" s="46" t="str">
        <f>IF(AND(I.Developer.P1=TRUE,I.Facility.P1FacilityCount&gt;=3257,F3269=""),"Incomplete","Complete")</f>
        <v>Complete</v>
      </c>
      <c r="I3269" s="48" t="s">
        <v>7634</v>
      </c>
    </row>
    <row r="3270" spans="2:9" ht="15" customHeight="1" x14ac:dyDescent="0.25">
      <c r="B3270" s="55" t="s">
        <v>279</v>
      </c>
      <c r="C3270" s="46">
        <v>3258</v>
      </c>
      <c r="D3270" s="69" t="s">
        <v>29416</v>
      </c>
      <c r="E3270" s="51"/>
      <c r="F3270" s="114" t="str">
        <f>IF(INDEX(I.Facility.P1IDNumber,3258)="","",INDEX(I.Facility.P1IDNumber,3258))</f>
        <v/>
      </c>
      <c r="G3270" s="51"/>
      <c r="H3270" s="46" t="str">
        <f>IF(AND(I.Developer.P1=TRUE,I.Facility.P1FacilityCount&gt;=3258,F3270=""),"Incomplete","Complete")</f>
        <v>Complete</v>
      </c>
      <c r="I3270" s="48" t="s">
        <v>7635</v>
      </c>
    </row>
    <row r="3271" spans="2:9" ht="15" customHeight="1" x14ac:dyDescent="0.25">
      <c r="B3271" s="55" t="s">
        <v>279</v>
      </c>
      <c r="C3271" s="46">
        <v>3259</v>
      </c>
      <c r="D3271" s="69" t="s">
        <v>29416</v>
      </c>
      <c r="E3271" s="51"/>
      <c r="F3271" s="114" t="str">
        <f>IF(INDEX(I.Facility.P1IDNumber,3259)="","",INDEX(I.Facility.P1IDNumber,3259))</f>
        <v/>
      </c>
      <c r="G3271" s="51"/>
      <c r="H3271" s="46" t="str">
        <f>IF(AND(I.Developer.P1=TRUE,I.Facility.P1FacilityCount&gt;=3259,F3271=""),"Incomplete","Complete")</f>
        <v>Complete</v>
      </c>
      <c r="I3271" s="48" t="s">
        <v>7636</v>
      </c>
    </row>
    <row r="3272" spans="2:9" ht="15" customHeight="1" x14ac:dyDescent="0.25">
      <c r="B3272" s="55" t="s">
        <v>279</v>
      </c>
      <c r="C3272" s="46">
        <v>3260</v>
      </c>
      <c r="D3272" s="69" t="s">
        <v>29416</v>
      </c>
      <c r="E3272" s="51"/>
      <c r="F3272" s="114" t="str">
        <f>IF(INDEX(I.Facility.P1IDNumber,3260)="","",INDEX(I.Facility.P1IDNumber,3260))</f>
        <v/>
      </c>
      <c r="G3272" s="51"/>
      <c r="H3272" s="46" t="str">
        <f>IF(AND(I.Developer.P1=TRUE,I.Facility.P1FacilityCount&gt;=3260,F3272=""),"Incomplete","Complete")</f>
        <v>Complete</v>
      </c>
      <c r="I3272" s="48" t="s">
        <v>7637</v>
      </c>
    </row>
    <row r="3273" spans="2:9" ht="15" customHeight="1" x14ac:dyDescent="0.25">
      <c r="B3273" s="55" t="s">
        <v>279</v>
      </c>
      <c r="C3273" s="46">
        <v>3261</v>
      </c>
      <c r="D3273" s="69" t="s">
        <v>29416</v>
      </c>
      <c r="E3273" s="51"/>
      <c r="F3273" s="114" t="str">
        <f>IF(INDEX(I.Facility.P1IDNumber,3261)="","",INDEX(I.Facility.P1IDNumber,3261))</f>
        <v/>
      </c>
      <c r="G3273" s="51"/>
      <c r="H3273" s="46" t="str">
        <f>IF(AND(I.Developer.P1=TRUE,I.Facility.P1FacilityCount&gt;=3261,F3273=""),"Incomplete","Complete")</f>
        <v>Complete</v>
      </c>
      <c r="I3273" s="48" t="s">
        <v>7638</v>
      </c>
    </row>
    <row r="3274" spans="2:9" ht="15" customHeight="1" x14ac:dyDescent="0.25">
      <c r="B3274" s="55" t="s">
        <v>279</v>
      </c>
      <c r="C3274" s="46">
        <v>3262</v>
      </c>
      <c r="D3274" s="69" t="s">
        <v>29416</v>
      </c>
      <c r="E3274" s="51"/>
      <c r="F3274" s="114" t="str">
        <f>IF(INDEX(I.Facility.P1IDNumber,3262)="","",INDEX(I.Facility.P1IDNumber,3262))</f>
        <v/>
      </c>
      <c r="G3274" s="51"/>
      <c r="H3274" s="46" t="str">
        <f>IF(AND(I.Developer.P1=TRUE,I.Facility.P1FacilityCount&gt;=3262,F3274=""),"Incomplete","Complete")</f>
        <v>Complete</v>
      </c>
      <c r="I3274" s="48" t="s">
        <v>7639</v>
      </c>
    </row>
    <row r="3275" spans="2:9" ht="15" customHeight="1" x14ac:dyDescent="0.25">
      <c r="B3275" s="55" t="s">
        <v>279</v>
      </c>
      <c r="C3275" s="46">
        <v>3263</v>
      </c>
      <c r="D3275" s="69" t="s">
        <v>29416</v>
      </c>
      <c r="E3275" s="51"/>
      <c r="F3275" s="114" t="str">
        <f>IF(INDEX(I.Facility.P1IDNumber,3263)="","",INDEX(I.Facility.P1IDNumber,3263))</f>
        <v/>
      </c>
      <c r="G3275" s="51"/>
      <c r="H3275" s="46" t="str">
        <f>IF(AND(I.Developer.P1=TRUE,I.Facility.P1FacilityCount&gt;=3263,F3275=""),"Incomplete","Complete")</f>
        <v>Complete</v>
      </c>
      <c r="I3275" s="48" t="s">
        <v>7640</v>
      </c>
    </row>
    <row r="3276" spans="2:9" ht="15" customHeight="1" x14ac:dyDescent="0.25">
      <c r="B3276" s="55" t="s">
        <v>279</v>
      </c>
      <c r="C3276" s="46">
        <v>3264</v>
      </c>
      <c r="D3276" s="69" t="s">
        <v>29416</v>
      </c>
      <c r="E3276" s="51"/>
      <c r="F3276" s="114" t="str">
        <f>IF(INDEX(I.Facility.P1IDNumber,3264)="","",INDEX(I.Facility.P1IDNumber,3264))</f>
        <v/>
      </c>
      <c r="G3276" s="51"/>
      <c r="H3276" s="46" t="str">
        <f>IF(AND(I.Developer.P1=TRUE,I.Facility.P1FacilityCount&gt;=3264,F3276=""),"Incomplete","Complete")</f>
        <v>Complete</v>
      </c>
      <c r="I3276" s="48" t="s">
        <v>7641</v>
      </c>
    </row>
    <row r="3277" spans="2:9" ht="15" customHeight="1" x14ac:dyDescent="0.25">
      <c r="B3277" s="55" t="s">
        <v>279</v>
      </c>
      <c r="C3277" s="46">
        <v>3265</v>
      </c>
      <c r="D3277" s="69" t="s">
        <v>29416</v>
      </c>
      <c r="E3277" s="51"/>
      <c r="F3277" s="114" t="str">
        <f>IF(INDEX(I.Facility.P1IDNumber,3265)="","",INDEX(I.Facility.P1IDNumber,3265))</f>
        <v/>
      </c>
      <c r="G3277" s="51"/>
      <c r="H3277" s="46" t="str">
        <f>IF(AND(I.Developer.P1=TRUE,I.Facility.P1FacilityCount&gt;=3265,F3277=""),"Incomplete","Complete")</f>
        <v>Complete</v>
      </c>
      <c r="I3277" s="48" t="s">
        <v>7642</v>
      </c>
    </row>
    <row r="3278" spans="2:9" ht="15" customHeight="1" x14ac:dyDescent="0.25">
      <c r="B3278" s="55" t="s">
        <v>279</v>
      </c>
      <c r="C3278" s="46">
        <v>3266</v>
      </c>
      <c r="D3278" s="69" t="s">
        <v>29416</v>
      </c>
      <c r="E3278" s="51"/>
      <c r="F3278" s="114" t="str">
        <f>IF(INDEX(I.Facility.P1IDNumber,3266)="","",INDEX(I.Facility.P1IDNumber,3266))</f>
        <v/>
      </c>
      <c r="G3278" s="51"/>
      <c r="H3278" s="46" t="str">
        <f>IF(AND(I.Developer.P1=TRUE,I.Facility.P1FacilityCount&gt;=3266,F3278=""),"Incomplete","Complete")</f>
        <v>Complete</v>
      </c>
      <c r="I3278" s="48" t="s">
        <v>7643</v>
      </c>
    </row>
    <row r="3279" spans="2:9" ht="15" customHeight="1" x14ac:dyDescent="0.25">
      <c r="B3279" s="55" t="s">
        <v>279</v>
      </c>
      <c r="C3279" s="46">
        <v>3267</v>
      </c>
      <c r="D3279" s="69" t="s">
        <v>29416</v>
      </c>
      <c r="E3279" s="51"/>
      <c r="F3279" s="114" t="str">
        <f>IF(INDEX(I.Facility.P1IDNumber,3267)="","",INDEX(I.Facility.P1IDNumber,3267))</f>
        <v/>
      </c>
      <c r="G3279" s="51"/>
      <c r="H3279" s="46" t="str">
        <f>IF(AND(I.Developer.P1=TRUE,I.Facility.P1FacilityCount&gt;=3267,F3279=""),"Incomplete","Complete")</f>
        <v>Complete</v>
      </c>
      <c r="I3279" s="48" t="s">
        <v>7644</v>
      </c>
    </row>
    <row r="3280" spans="2:9" ht="15" customHeight="1" x14ac:dyDescent="0.25">
      <c r="B3280" s="55" t="s">
        <v>279</v>
      </c>
      <c r="C3280" s="46">
        <v>3268</v>
      </c>
      <c r="D3280" s="69" t="s">
        <v>29416</v>
      </c>
      <c r="E3280" s="51"/>
      <c r="F3280" s="114" t="str">
        <f>IF(INDEX(I.Facility.P1IDNumber,3268)="","",INDEX(I.Facility.P1IDNumber,3268))</f>
        <v/>
      </c>
      <c r="G3280" s="51"/>
      <c r="H3280" s="46" t="str">
        <f>IF(AND(I.Developer.P1=TRUE,I.Facility.P1FacilityCount&gt;=3268,F3280=""),"Incomplete","Complete")</f>
        <v>Complete</v>
      </c>
      <c r="I3280" s="48" t="s">
        <v>7645</v>
      </c>
    </row>
    <row r="3281" spans="2:9" ht="15" customHeight="1" x14ac:dyDescent="0.25">
      <c r="B3281" s="55" t="s">
        <v>279</v>
      </c>
      <c r="C3281" s="46">
        <v>3269</v>
      </c>
      <c r="D3281" s="69" t="s">
        <v>29416</v>
      </c>
      <c r="E3281" s="51"/>
      <c r="F3281" s="114" t="str">
        <f>IF(INDEX(I.Facility.P1IDNumber,3269)="","",INDEX(I.Facility.P1IDNumber,3269))</f>
        <v/>
      </c>
      <c r="G3281" s="51"/>
      <c r="H3281" s="46" t="str">
        <f>IF(AND(I.Developer.P1=TRUE,I.Facility.P1FacilityCount&gt;=3269,F3281=""),"Incomplete","Complete")</f>
        <v>Complete</v>
      </c>
      <c r="I3281" s="48" t="s">
        <v>7646</v>
      </c>
    </row>
    <row r="3282" spans="2:9" ht="15" customHeight="1" x14ac:dyDescent="0.25">
      <c r="B3282" s="55" t="s">
        <v>279</v>
      </c>
      <c r="C3282" s="46">
        <v>3270</v>
      </c>
      <c r="D3282" s="69" t="s">
        <v>29416</v>
      </c>
      <c r="E3282" s="51"/>
      <c r="F3282" s="114" t="str">
        <f>IF(INDEX(I.Facility.P1IDNumber,3270)="","",INDEX(I.Facility.P1IDNumber,3270))</f>
        <v/>
      </c>
      <c r="G3282" s="51"/>
      <c r="H3282" s="46" t="str">
        <f>IF(AND(I.Developer.P1=TRUE,I.Facility.P1FacilityCount&gt;=3270,F3282=""),"Incomplete","Complete")</f>
        <v>Complete</v>
      </c>
      <c r="I3282" s="48" t="s">
        <v>7647</v>
      </c>
    </row>
    <row r="3283" spans="2:9" ht="15" customHeight="1" x14ac:dyDescent="0.25">
      <c r="B3283" s="55" t="s">
        <v>279</v>
      </c>
      <c r="C3283" s="46">
        <v>3271</v>
      </c>
      <c r="D3283" s="69" t="s">
        <v>29416</v>
      </c>
      <c r="E3283" s="51"/>
      <c r="F3283" s="114" t="str">
        <f>IF(INDEX(I.Facility.P1IDNumber,3271)="","",INDEX(I.Facility.P1IDNumber,3271))</f>
        <v/>
      </c>
      <c r="G3283" s="51"/>
      <c r="H3283" s="46" t="str">
        <f>IF(AND(I.Developer.P1=TRUE,I.Facility.P1FacilityCount&gt;=3271,F3283=""),"Incomplete","Complete")</f>
        <v>Complete</v>
      </c>
      <c r="I3283" s="48" t="s">
        <v>7648</v>
      </c>
    </row>
    <row r="3284" spans="2:9" ht="15" customHeight="1" x14ac:dyDescent="0.25">
      <c r="B3284" s="55" t="s">
        <v>279</v>
      </c>
      <c r="C3284" s="46">
        <v>3272</v>
      </c>
      <c r="D3284" s="69" t="s">
        <v>29416</v>
      </c>
      <c r="E3284" s="51"/>
      <c r="F3284" s="114" t="str">
        <f>IF(INDEX(I.Facility.P1IDNumber,3272)="","",INDEX(I.Facility.P1IDNumber,3272))</f>
        <v/>
      </c>
      <c r="G3284" s="51"/>
      <c r="H3284" s="46" t="str">
        <f>IF(AND(I.Developer.P1=TRUE,I.Facility.P1FacilityCount&gt;=3272,F3284=""),"Incomplete","Complete")</f>
        <v>Complete</v>
      </c>
      <c r="I3284" s="48" t="s">
        <v>7649</v>
      </c>
    </row>
    <row r="3285" spans="2:9" ht="15" customHeight="1" x14ac:dyDescent="0.25">
      <c r="B3285" s="55" t="s">
        <v>279</v>
      </c>
      <c r="C3285" s="46">
        <v>3273</v>
      </c>
      <c r="D3285" s="69" t="s">
        <v>29416</v>
      </c>
      <c r="E3285" s="51"/>
      <c r="F3285" s="114" t="str">
        <f>IF(INDEX(I.Facility.P1IDNumber,3273)="","",INDEX(I.Facility.P1IDNumber,3273))</f>
        <v/>
      </c>
      <c r="G3285" s="51"/>
      <c r="H3285" s="46" t="str">
        <f>IF(AND(I.Developer.P1=TRUE,I.Facility.P1FacilityCount&gt;=3273,F3285=""),"Incomplete","Complete")</f>
        <v>Complete</v>
      </c>
      <c r="I3285" s="48" t="s">
        <v>7650</v>
      </c>
    </row>
    <row r="3286" spans="2:9" ht="15" customHeight="1" x14ac:dyDescent="0.25">
      <c r="B3286" s="55" t="s">
        <v>279</v>
      </c>
      <c r="C3286" s="46">
        <v>3274</v>
      </c>
      <c r="D3286" s="69" t="s">
        <v>29416</v>
      </c>
      <c r="E3286" s="51"/>
      <c r="F3286" s="114" t="str">
        <f>IF(INDEX(I.Facility.P1IDNumber,3274)="","",INDEX(I.Facility.P1IDNumber,3274))</f>
        <v/>
      </c>
      <c r="G3286" s="51"/>
      <c r="H3286" s="46" t="str">
        <f>IF(AND(I.Developer.P1=TRUE,I.Facility.P1FacilityCount&gt;=3274,F3286=""),"Incomplete","Complete")</f>
        <v>Complete</v>
      </c>
      <c r="I3286" s="48" t="s">
        <v>7651</v>
      </c>
    </row>
    <row r="3287" spans="2:9" ht="15" customHeight="1" x14ac:dyDescent="0.25">
      <c r="B3287" s="55" t="s">
        <v>279</v>
      </c>
      <c r="C3287" s="46">
        <v>3275</v>
      </c>
      <c r="D3287" s="69" t="s">
        <v>29416</v>
      </c>
      <c r="E3287" s="51"/>
      <c r="F3287" s="114" t="str">
        <f>IF(INDEX(I.Facility.P1IDNumber,3275)="","",INDEX(I.Facility.P1IDNumber,3275))</f>
        <v/>
      </c>
      <c r="G3287" s="51"/>
      <c r="H3287" s="46" t="str">
        <f>IF(AND(I.Developer.P1=TRUE,I.Facility.P1FacilityCount&gt;=3275,F3287=""),"Incomplete","Complete")</f>
        <v>Complete</v>
      </c>
      <c r="I3287" s="48" t="s">
        <v>7652</v>
      </c>
    </row>
    <row r="3288" spans="2:9" ht="15" customHeight="1" x14ac:dyDescent="0.25">
      <c r="B3288" s="55" t="s">
        <v>279</v>
      </c>
      <c r="C3288" s="46">
        <v>3276</v>
      </c>
      <c r="D3288" s="69" t="s">
        <v>29416</v>
      </c>
      <c r="E3288" s="51"/>
      <c r="F3288" s="114" t="str">
        <f>IF(INDEX(I.Facility.P1IDNumber,3276)="","",INDEX(I.Facility.P1IDNumber,3276))</f>
        <v/>
      </c>
      <c r="G3288" s="51"/>
      <c r="H3288" s="46" t="str">
        <f>IF(AND(I.Developer.P1=TRUE,I.Facility.P1FacilityCount&gt;=3276,F3288=""),"Incomplete","Complete")</f>
        <v>Complete</v>
      </c>
      <c r="I3288" s="48" t="s">
        <v>7653</v>
      </c>
    </row>
    <row r="3289" spans="2:9" ht="15" customHeight="1" x14ac:dyDescent="0.25">
      <c r="B3289" s="55" t="s">
        <v>279</v>
      </c>
      <c r="C3289" s="46">
        <v>3277</v>
      </c>
      <c r="D3289" s="69" t="s">
        <v>29416</v>
      </c>
      <c r="E3289" s="51"/>
      <c r="F3289" s="114" t="str">
        <f>IF(INDEX(I.Facility.P1IDNumber,3277)="","",INDEX(I.Facility.P1IDNumber,3277))</f>
        <v/>
      </c>
      <c r="G3289" s="51"/>
      <c r="H3289" s="46" t="str">
        <f>IF(AND(I.Developer.P1=TRUE,I.Facility.P1FacilityCount&gt;=3277,F3289=""),"Incomplete","Complete")</f>
        <v>Complete</v>
      </c>
      <c r="I3289" s="48" t="s">
        <v>7654</v>
      </c>
    </row>
    <row r="3290" spans="2:9" ht="15" customHeight="1" x14ac:dyDescent="0.25">
      <c r="B3290" s="55" t="s">
        <v>279</v>
      </c>
      <c r="C3290" s="46">
        <v>3278</v>
      </c>
      <c r="D3290" s="69" t="s">
        <v>29416</v>
      </c>
      <c r="E3290" s="51"/>
      <c r="F3290" s="114" t="str">
        <f>IF(INDEX(I.Facility.P1IDNumber,3278)="","",INDEX(I.Facility.P1IDNumber,3278))</f>
        <v/>
      </c>
      <c r="G3290" s="51"/>
      <c r="H3290" s="46" t="str">
        <f>IF(AND(I.Developer.P1=TRUE,I.Facility.P1FacilityCount&gt;=3278,F3290=""),"Incomplete","Complete")</f>
        <v>Complete</v>
      </c>
      <c r="I3290" s="48" t="s">
        <v>7655</v>
      </c>
    </row>
    <row r="3291" spans="2:9" ht="15" customHeight="1" x14ac:dyDescent="0.25">
      <c r="B3291" s="55" t="s">
        <v>279</v>
      </c>
      <c r="C3291" s="46">
        <v>3279</v>
      </c>
      <c r="D3291" s="69" t="s">
        <v>29416</v>
      </c>
      <c r="E3291" s="51"/>
      <c r="F3291" s="114" t="str">
        <f>IF(INDEX(I.Facility.P1IDNumber,3279)="","",INDEX(I.Facility.P1IDNumber,3279))</f>
        <v/>
      </c>
      <c r="G3291" s="51"/>
      <c r="H3291" s="46" t="str">
        <f>IF(AND(I.Developer.P1=TRUE,I.Facility.P1FacilityCount&gt;=3279,F3291=""),"Incomplete","Complete")</f>
        <v>Complete</v>
      </c>
      <c r="I3291" s="48" t="s">
        <v>7656</v>
      </c>
    </row>
    <row r="3292" spans="2:9" ht="15" customHeight="1" x14ac:dyDescent="0.25">
      <c r="B3292" s="55" t="s">
        <v>279</v>
      </c>
      <c r="C3292" s="46">
        <v>3280</v>
      </c>
      <c r="D3292" s="69" t="s">
        <v>29416</v>
      </c>
      <c r="E3292" s="51"/>
      <c r="F3292" s="114" t="str">
        <f>IF(INDEX(I.Facility.P1IDNumber,3280)="","",INDEX(I.Facility.P1IDNumber,3280))</f>
        <v/>
      </c>
      <c r="G3292" s="51"/>
      <c r="H3292" s="46" t="str">
        <f>IF(AND(I.Developer.P1=TRUE,I.Facility.P1FacilityCount&gt;=3280,F3292=""),"Incomplete","Complete")</f>
        <v>Complete</v>
      </c>
      <c r="I3292" s="48" t="s">
        <v>7657</v>
      </c>
    </row>
    <row r="3293" spans="2:9" ht="15" customHeight="1" x14ac:dyDescent="0.25">
      <c r="B3293" s="55" t="s">
        <v>279</v>
      </c>
      <c r="C3293" s="46">
        <v>3281</v>
      </c>
      <c r="D3293" s="69" t="s">
        <v>29416</v>
      </c>
      <c r="E3293" s="51"/>
      <c r="F3293" s="114" t="str">
        <f>IF(INDEX(I.Facility.P1IDNumber,3281)="","",INDEX(I.Facility.P1IDNumber,3281))</f>
        <v/>
      </c>
      <c r="G3293" s="51"/>
      <c r="H3293" s="46" t="str">
        <f>IF(AND(I.Developer.P1=TRUE,I.Facility.P1FacilityCount&gt;=3281,F3293=""),"Incomplete","Complete")</f>
        <v>Complete</v>
      </c>
      <c r="I3293" s="48" t="s">
        <v>7658</v>
      </c>
    </row>
    <row r="3294" spans="2:9" ht="15" customHeight="1" x14ac:dyDescent="0.25">
      <c r="B3294" s="55" t="s">
        <v>279</v>
      </c>
      <c r="C3294" s="46">
        <v>3282</v>
      </c>
      <c r="D3294" s="69" t="s">
        <v>29416</v>
      </c>
      <c r="E3294" s="51"/>
      <c r="F3294" s="114" t="str">
        <f>IF(INDEX(I.Facility.P1IDNumber,3282)="","",INDEX(I.Facility.P1IDNumber,3282))</f>
        <v/>
      </c>
      <c r="G3294" s="51"/>
      <c r="H3294" s="46" t="str">
        <f>IF(AND(I.Developer.P1=TRUE,I.Facility.P1FacilityCount&gt;=3282,F3294=""),"Incomplete","Complete")</f>
        <v>Complete</v>
      </c>
      <c r="I3294" s="48" t="s">
        <v>7659</v>
      </c>
    </row>
    <row r="3295" spans="2:9" ht="15" customHeight="1" x14ac:dyDescent="0.25">
      <c r="B3295" s="55" t="s">
        <v>279</v>
      </c>
      <c r="C3295" s="46">
        <v>3283</v>
      </c>
      <c r="D3295" s="69" t="s">
        <v>29416</v>
      </c>
      <c r="E3295" s="51"/>
      <c r="F3295" s="114" t="str">
        <f>IF(INDEX(I.Facility.P1IDNumber,3283)="","",INDEX(I.Facility.P1IDNumber,3283))</f>
        <v/>
      </c>
      <c r="G3295" s="51"/>
      <c r="H3295" s="46" t="str">
        <f>IF(AND(I.Developer.P1=TRUE,I.Facility.P1FacilityCount&gt;=3283,F3295=""),"Incomplete","Complete")</f>
        <v>Complete</v>
      </c>
      <c r="I3295" s="48" t="s">
        <v>7660</v>
      </c>
    </row>
    <row r="3296" spans="2:9" ht="15" customHeight="1" x14ac:dyDescent="0.25">
      <c r="B3296" s="55" t="s">
        <v>279</v>
      </c>
      <c r="C3296" s="46">
        <v>3284</v>
      </c>
      <c r="D3296" s="69" t="s">
        <v>29416</v>
      </c>
      <c r="E3296" s="51"/>
      <c r="F3296" s="114" t="str">
        <f>IF(INDEX(I.Facility.P1IDNumber,3284)="","",INDEX(I.Facility.P1IDNumber,3284))</f>
        <v/>
      </c>
      <c r="G3296" s="51"/>
      <c r="H3296" s="46" t="str">
        <f>IF(AND(I.Developer.P1=TRUE,I.Facility.P1FacilityCount&gt;=3284,F3296=""),"Incomplete","Complete")</f>
        <v>Complete</v>
      </c>
      <c r="I3296" s="48" t="s">
        <v>7661</v>
      </c>
    </row>
    <row r="3297" spans="2:9" ht="15" customHeight="1" x14ac:dyDescent="0.25">
      <c r="B3297" s="55" t="s">
        <v>279</v>
      </c>
      <c r="C3297" s="46">
        <v>3285</v>
      </c>
      <c r="D3297" s="69" t="s">
        <v>29416</v>
      </c>
      <c r="E3297" s="51"/>
      <c r="F3297" s="114" t="str">
        <f>IF(INDEX(I.Facility.P1IDNumber,3285)="","",INDEX(I.Facility.P1IDNumber,3285))</f>
        <v/>
      </c>
      <c r="G3297" s="51"/>
      <c r="H3297" s="46" t="str">
        <f>IF(AND(I.Developer.P1=TRUE,I.Facility.P1FacilityCount&gt;=3285,F3297=""),"Incomplete","Complete")</f>
        <v>Complete</v>
      </c>
      <c r="I3297" s="48" t="s">
        <v>7662</v>
      </c>
    </row>
    <row r="3298" spans="2:9" ht="15" customHeight="1" x14ac:dyDescent="0.25">
      <c r="B3298" s="55" t="s">
        <v>279</v>
      </c>
      <c r="C3298" s="46">
        <v>3286</v>
      </c>
      <c r="D3298" s="69" t="s">
        <v>29416</v>
      </c>
      <c r="E3298" s="51"/>
      <c r="F3298" s="114" t="str">
        <f>IF(INDEX(I.Facility.P1IDNumber,3286)="","",INDEX(I.Facility.P1IDNumber,3286))</f>
        <v/>
      </c>
      <c r="G3298" s="51"/>
      <c r="H3298" s="46" t="str">
        <f>IF(AND(I.Developer.P1=TRUE,I.Facility.P1FacilityCount&gt;=3286,F3298=""),"Incomplete","Complete")</f>
        <v>Complete</v>
      </c>
      <c r="I3298" s="48" t="s">
        <v>7663</v>
      </c>
    </row>
    <row r="3299" spans="2:9" ht="15" customHeight="1" x14ac:dyDescent="0.25">
      <c r="B3299" s="55" t="s">
        <v>279</v>
      </c>
      <c r="C3299" s="46">
        <v>3287</v>
      </c>
      <c r="D3299" s="69" t="s">
        <v>29416</v>
      </c>
      <c r="E3299" s="51"/>
      <c r="F3299" s="114" t="str">
        <f>IF(INDEX(I.Facility.P1IDNumber,3287)="","",INDEX(I.Facility.P1IDNumber,3287))</f>
        <v/>
      </c>
      <c r="G3299" s="51"/>
      <c r="H3299" s="46" t="str">
        <f>IF(AND(I.Developer.P1=TRUE,I.Facility.P1FacilityCount&gt;=3287,F3299=""),"Incomplete","Complete")</f>
        <v>Complete</v>
      </c>
      <c r="I3299" s="48" t="s">
        <v>7664</v>
      </c>
    </row>
    <row r="3300" spans="2:9" ht="15" customHeight="1" x14ac:dyDescent="0.25">
      <c r="B3300" s="55" t="s">
        <v>279</v>
      </c>
      <c r="C3300" s="46">
        <v>3288</v>
      </c>
      <c r="D3300" s="69" t="s">
        <v>29416</v>
      </c>
      <c r="E3300" s="51"/>
      <c r="F3300" s="114" t="str">
        <f>IF(INDEX(I.Facility.P1IDNumber,3288)="","",INDEX(I.Facility.P1IDNumber,3288))</f>
        <v/>
      </c>
      <c r="G3300" s="51"/>
      <c r="H3300" s="46" t="str">
        <f>IF(AND(I.Developer.P1=TRUE,I.Facility.P1FacilityCount&gt;=3288,F3300=""),"Incomplete","Complete")</f>
        <v>Complete</v>
      </c>
      <c r="I3300" s="48" t="s">
        <v>7665</v>
      </c>
    </row>
    <row r="3301" spans="2:9" ht="15" customHeight="1" x14ac:dyDescent="0.25">
      <c r="B3301" s="55" t="s">
        <v>279</v>
      </c>
      <c r="C3301" s="46">
        <v>3289</v>
      </c>
      <c r="D3301" s="69" t="s">
        <v>29416</v>
      </c>
      <c r="E3301" s="51"/>
      <c r="F3301" s="114" t="str">
        <f>IF(INDEX(I.Facility.P1IDNumber,3289)="","",INDEX(I.Facility.P1IDNumber,3289))</f>
        <v/>
      </c>
      <c r="G3301" s="51"/>
      <c r="H3301" s="46" t="str">
        <f>IF(AND(I.Developer.P1=TRUE,I.Facility.P1FacilityCount&gt;=3289,F3301=""),"Incomplete","Complete")</f>
        <v>Complete</v>
      </c>
      <c r="I3301" s="48" t="s">
        <v>7666</v>
      </c>
    </row>
    <row r="3302" spans="2:9" ht="15" customHeight="1" x14ac:dyDescent="0.25">
      <c r="B3302" s="55" t="s">
        <v>279</v>
      </c>
      <c r="C3302" s="46">
        <v>3290</v>
      </c>
      <c r="D3302" s="69" t="s">
        <v>29416</v>
      </c>
      <c r="E3302" s="51"/>
      <c r="F3302" s="114" t="str">
        <f>IF(INDEX(I.Facility.P1IDNumber,3290)="","",INDEX(I.Facility.P1IDNumber,3290))</f>
        <v/>
      </c>
      <c r="G3302" s="51"/>
      <c r="H3302" s="46" t="str">
        <f>IF(AND(I.Developer.P1=TRUE,I.Facility.P1FacilityCount&gt;=3290,F3302=""),"Incomplete","Complete")</f>
        <v>Complete</v>
      </c>
      <c r="I3302" s="48" t="s">
        <v>7667</v>
      </c>
    </row>
    <row r="3303" spans="2:9" ht="15" customHeight="1" x14ac:dyDescent="0.25">
      <c r="B3303" s="55" t="s">
        <v>279</v>
      </c>
      <c r="C3303" s="46">
        <v>3291</v>
      </c>
      <c r="D3303" s="69" t="s">
        <v>29416</v>
      </c>
      <c r="E3303" s="51"/>
      <c r="F3303" s="114" t="str">
        <f>IF(INDEX(I.Facility.P1IDNumber,3291)="","",INDEX(I.Facility.P1IDNumber,3291))</f>
        <v/>
      </c>
      <c r="G3303" s="51"/>
      <c r="H3303" s="46" t="str">
        <f>IF(AND(I.Developer.P1=TRUE,I.Facility.P1FacilityCount&gt;=3291,F3303=""),"Incomplete","Complete")</f>
        <v>Complete</v>
      </c>
      <c r="I3303" s="48" t="s">
        <v>7668</v>
      </c>
    </row>
    <row r="3304" spans="2:9" ht="15" customHeight="1" x14ac:dyDescent="0.25">
      <c r="B3304" s="55" t="s">
        <v>279</v>
      </c>
      <c r="C3304" s="46">
        <v>3292</v>
      </c>
      <c r="D3304" s="69" t="s">
        <v>29416</v>
      </c>
      <c r="E3304" s="51"/>
      <c r="F3304" s="114" t="str">
        <f>IF(INDEX(I.Facility.P1IDNumber,3292)="","",INDEX(I.Facility.P1IDNumber,3292))</f>
        <v/>
      </c>
      <c r="G3304" s="51"/>
      <c r="H3304" s="46" t="str">
        <f>IF(AND(I.Developer.P1=TRUE,I.Facility.P1FacilityCount&gt;=3292,F3304=""),"Incomplete","Complete")</f>
        <v>Complete</v>
      </c>
      <c r="I3304" s="48" t="s">
        <v>7669</v>
      </c>
    </row>
    <row r="3305" spans="2:9" ht="15" customHeight="1" x14ac:dyDescent="0.25">
      <c r="B3305" s="55" t="s">
        <v>279</v>
      </c>
      <c r="C3305" s="46">
        <v>3293</v>
      </c>
      <c r="D3305" s="69" t="s">
        <v>29416</v>
      </c>
      <c r="E3305" s="51"/>
      <c r="F3305" s="114" t="str">
        <f>IF(INDEX(I.Facility.P1IDNumber,3293)="","",INDEX(I.Facility.P1IDNumber,3293))</f>
        <v/>
      </c>
      <c r="G3305" s="51"/>
      <c r="H3305" s="46" t="str">
        <f>IF(AND(I.Developer.P1=TRUE,I.Facility.P1FacilityCount&gt;=3293,F3305=""),"Incomplete","Complete")</f>
        <v>Complete</v>
      </c>
      <c r="I3305" s="48" t="s">
        <v>7670</v>
      </c>
    </row>
    <row r="3306" spans="2:9" ht="15" customHeight="1" x14ac:dyDescent="0.25">
      <c r="B3306" s="55" t="s">
        <v>279</v>
      </c>
      <c r="C3306" s="46">
        <v>3294</v>
      </c>
      <c r="D3306" s="69" t="s">
        <v>29416</v>
      </c>
      <c r="E3306" s="51"/>
      <c r="F3306" s="114" t="str">
        <f>IF(INDEX(I.Facility.P1IDNumber,3294)="","",INDEX(I.Facility.P1IDNumber,3294))</f>
        <v/>
      </c>
      <c r="G3306" s="51"/>
      <c r="H3306" s="46" t="str">
        <f>IF(AND(I.Developer.P1=TRUE,I.Facility.P1FacilityCount&gt;=3294,F3306=""),"Incomplete","Complete")</f>
        <v>Complete</v>
      </c>
      <c r="I3306" s="48" t="s">
        <v>7671</v>
      </c>
    </row>
    <row r="3307" spans="2:9" ht="15" customHeight="1" x14ac:dyDescent="0.25">
      <c r="B3307" s="55" t="s">
        <v>279</v>
      </c>
      <c r="C3307" s="46">
        <v>3295</v>
      </c>
      <c r="D3307" s="69" t="s">
        <v>29416</v>
      </c>
      <c r="E3307" s="51"/>
      <c r="F3307" s="114" t="str">
        <f>IF(INDEX(I.Facility.P1IDNumber,3295)="","",INDEX(I.Facility.P1IDNumber,3295))</f>
        <v/>
      </c>
      <c r="G3307" s="51"/>
      <c r="H3307" s="46" t="str">
        <f>IF(AND(I.Developer.P1=TRUE,I.Facility.P1FacilityCount&gt;=3295,F3307=""),"Incomplete","Complete")</f>
        <v>Complete</v>
      </c>
      <c r="I3307" s="48" t="s">
        <v>7672</v>
      </c>
    </row>
    <row r="3308" spans="2:9" ht="15" customHeight="1" x14ac:dyDescent="0.25">
      <c r="B3308" s="55" t="s">
        <v>279</v>
      </c>
      <c r="C3308" s="46">
        <v>3296</v>
      </c>
      <c r="D3308" s="69" t="s">
        <v>29416</v>
      </c>
      <c r="E3308" s="51"/>
      <c r="F3308" s="114" t="str">
        <f>IF(INDEX(I.Facility.P1IDNumber,3296)="","",INDEX(I.Facility.P1IDNumber,3296))</f>
        <v/>
      </c>
      <c r="G3308" s="51"/>
      <c r="H3308" s="46" t="str">
        <f>IF(AND(I.Developer.P1=TRUE,I.Facility.P1FacilityCount&gt;=3296,F3308=""),"Incomplete","Complete")</f>
        <v>Complete</v>
      </c>
      <c r="I3308" s="48" t="s">
        <v>7673</v>
      </c>
    </row>
    <row r="3309" spans="2:9" ht="15" customHeight="1" x14ac:dyDescent="0.25">
      <c r="B3309" s="55" t="s">
        <v>279</v>
      </c>
      <c r="C3309" s="46">
        <v>3297</v>
      </c>
      <c r="D3309" s="69" t="s">
        <v>29416</v>
      </c>
      <c r="E3309" s="51"/>
      <c r="F3309" s="114" t="str">
        <f>IF(INDEX(I.Facility.P1IDNumber,3297)="","",INDEX(I.Facility.P1IDNumber,3297))</f>
        <v/>
      </c>
      <c r="G3309" s="51"/>
      <c r="H3309" s="46" t="str">
        <f>IF(AND(I.Developer.P1=TRUE,I.Facility.P1FacilityCount&gt;=3297,F3309=""),"Incomplete","Complete")</f>
        <v>Complete</v>
      </c>
      <c r="I3309" s="48" t="s">
        <v>7674</v>
      </c>
    </row>
    <row r="3310" spans="2:9" ht="15" customHeight="1" x14ac:dyDescent="0.25">
      <c r="B3310" s="55" t="s">
        <v>279</v>
      </c>
      <c r="C3310" s="46">
        <v>3298</v>
      </c>
      <c r="D3310" s="69" t="s">
        <v>29416</v>
      </c>
      <c r="E3310" s="51"/>
      <c r="F3310" s="114" t="str">
        <f>IF(INDEX(I.Facility.P1IDNumber,3298)="","",INDEX(I.Facility.P1IDNumber,3298))</f>
        <v/>
      </c>
      <c r="G3310" s="51"/>
      <c r="H3310" s="46" t="str">
        <f>IF(AND(I.Developer.P1=TRUE,I.Facility.P1FacilityCount&gt;=3298,F3310=""),"Incomplete","Complete")</f>
        <v>Complete</v>
      </c>
      <c r="I3310" s="48" t="s">
        <v>7675</v>
      </c>
    </row>
    <row r="3311" spans="2:9" ht="15" customHeight="1" x14ac:dyDescent="0.25">
      <c r="B3311" s="55" t="s">
        <v>279</v>
      </c>
      <c r="C3311" s="46">
        <v>3299</v>
      </c>
      <c r="D3311" s="69" t="s">
        <v>29416</v>
      </c>
      <c r="E3311" s="51"/>
      <c r="F3311" s="114" t="str">
        <f>IF(INDEX(I.Facility.P1IDNumber,3299)="","",INDEX(I.Facility.P1IDNumber,3299))</f>
        <v/>
      </c>
      <c r="G3311" s="51"/>
      <c r="H3311" s="46" t="str">
        <f>IF(AND(I.Developer.P1=TRUE,I.Facility.P1FacilityCount&gt;=3299,F3311=""),"Incomplete","Complete")</f>
        <v>Complete</v>
      </c>
      <c r="I3311" s="48" t="s">
        <v>7676</v>
      </c>
    </row>
    <row r="3312" spans="2:9" ht="15" customHeight="1" x14ac:dyDescent="0.25">
      <c r="B3312" s="55" t="s">
        <v>279</v>
      </c>
      <c r="C3312" s="46">
        <v>3300</v>
      </c>
      <c r="D3312" s="69" t="s">
        <v>29416</v>
      </c>
      <c r="E3312" s="51"/>
      <c r="F3312" s="114" t="str">
        <f>IF(INDEX(I.Facility.P1IDNumber,3300)="","",INDEX(I.Facility.P1IDNumber,3300))</f>
        <v/>
      </c>
      <c r="G3312" s="51"/>
      <c r="H3312" s="46" t="str">
        <f>IF(AND(I.Developer.P1=TRUE,I.Facility.P1FacilityCount&gt;=3300,F3312=""),"Incomplete","Complete")</f>
        <v>Complete</v>
      </c>
      <c r="I3312" s="48" t="s">
        <v>7677</v>
      </c>
    </row>
    <row r="3313" spans="2:9" ht="15" customHeight="1" x14ac:dyDescent="0.25">
      <c r="B3313" s="55" t="s">
        <v>279</v>
      </c>
      <c r="C3313" s="46">
        <v>3301</v>
      </c>
      <c r="D3313" s="69" t="s">
        <v>29416</v>
      </c>
      <c r="E3313" s="51"/>
      <c r="F3313" s="114" t="str">
        <f>IF(INDEX(I.Facility.P1IDNumber,3301)="","",INDEX(I.Facility.P1IDNumber,3301))</f>
        <v/>
      </c>
      <c r="G3313" s="51"/>
      <c r="H3313" s="46" t="str">
        <f>IF(AND(I.Developer.P1=TRUE,I.Facility.P1FacilityCount&gt;=3301,F3313=""),"Incomplete","Complete")</f>
        <v>Complete</v>
      </c>
      <c r="I3313" s="48" t="s">
        <v>7678</v>
      </c>
    </row>
    <row r="3314" spans="2:9" ht="15" customHeight="1" x14ac:dyDescent="0.25">
      <c r="B3314" s="55" t="s">
        <v>279</v>
      </c>
      <c r="C3314" s="46">
        <v>3302</v>
      </c>
      <c r="D3314" s="69" t="s">
        <v>29416</v>
      </c>
      <c r="E3314" s="51"/>
      <c r="F3314" s="114" t="str">
        <f>IF(INDEX(I.Facility.P1IDNumber,3302)="","",INDEX(I.Facility.P1IDNumber,3302))</f>
        <v/>
      </c>
      <c r="G3314" s="51"/>
      <c r="H3314" s="46" t="str">
        <f>IF(AND(I.Developer.P1=TRUE,I.Facility.P1FacilityCount&gt;=3302,F3314=""),"Incomplete","Complete")</f>
        <v>Complete</v>
      </c>
      <c r="I3314" s="48" t="s">
        <v>7679</v>
      </c>
    </row>
    <row r="3315" spans="2:9" ht="15" customHeight="1" x14ac:dyDescent="0.25">
      <c r="B3315" s="55" t="s">
        <v>279</v>
      </c>
      <c r="C3315" s="46">
        <v>3303</v>
      </c>
      <c r="D3315" s="69" t="s">
        <v>29416</v>
      </c>
      <c r="E3315" s="51"/>
      <c r="F3315" s="114" t="str">
        <f>IF(INDEX(I.Facility.P1IDNumber,3303)="","",INDEX(I.Facility.P1IDNumber,3303))</f>
        <v/>
      </c>
      <c r="G3315" s="51"/>
      <c r="H3315" s="46" t="str">
        <f>IF(AND(I.Developer.P1=TRUE,I.Facility.P1FacilityCount&gt;=3303,F3315=""),"Incomplete","Complete")</f>
        <v>Complete</v>
      </c>
      <c r="I3315" s="48" t="s">
        <v>7680</v>
      </c>
    </row>
    <row r="3316" spans="2:9" ht="15" customHeight="1" x14ac:dyDescent="0.25">
      <c r="B3316" s="55" t="s">
        <v>279</v>
      </c>
      <c r="C3316" s="46">
        <v>3304</v>
      </c>
      <c r="D3316" s="69" t="s">
        <v>29416</v>
      </c>
      <c r="E3316" s="51"/>
      <c r="F3316" s="114" t="str">
        <f>IF(INDEX(I.Facility.P1IDNumber,3304)="","",INDEX(I.Facility.P1IDNumber,3304))</f>
        <v/>
      </c>
      <c r="G3316" s="51"/>
      <c r="H3316" s="46" t="str">
        <f>IF(AND(I.Developer.P1=TRUE,I.Facility.P1FacilityCount&gt;=3304,F3316=""),"Incomplete","Complete")</f>
        <v>Complete</v>
      </c>
      <c r="I3316" s="48" t="s">
        <v>7681</v>
      </c>
    </row>
    <row r="3317" spans="2:9" ht="15" customHeight="1" x14ac:dyDescent="0.25">
      <c r="B3317" s="55" t="s">
        <v>279</v>
      </c>
      <c r="C3317" s="46">
        <v>3305</v>
      </c>
      <c r="D3317" s="69" t="s">
        <v>29416</v>
      </c>
      <c r="E3317" s="51"/>
      <c r="F3317" s="114" t="str">
        <f>IF(INDEX(I.Facility.P1IDNumber,3305)="","",INDEX(I.Facility.P1IDNumber,3305))</f>
        <v/>
      </c>
      <c r="G3317" s="51"/>
      <c r="H3317" s="46" t="str">
        <f>IF(AND(I.Developer.P1=TRUE,I.Facility.P1FacilityCount&gt;=3305,F3317=""),"Incomplete","Complete")</f>
        <v>Complete</v>
      </c>
      <c r="I3317" s="48" t="s">
        <v>7682</v>
      </c>
    </row>
    <row r="3318" spans="2:9" ht="15" customHeight="1" x14ac:dyDescent="0.25">
      <c r="B3318" s="55" t="s">
        <v>279</v>
      </c>
      <c r="C3318" s="46">
        <v>3306</v>
      </c>
      <c r="D3318" s="69" t="s">
        <v>29416</v>
      </c>
      <c r="E3318" s="51"/>
      <c r="F3318" s="114" t="str">
        <f>IF(INDEX(I.Facility.P1IDNumber,3306)="","",INDEX(I.Facility.P1IDNumber,3306))</f>
        <v/>
      </c>
      <c r="G3318" s="51"/>
      <c r="H3318" s="46" t="str">
        <f>IF(AND(I.Developer.P1=TRUE,I.Facility.P1FacilityCount&gt;=3306,F3318=""),"Incomplete","Complete")</f>
        <v>Complete</v>
      </c>
      <c r="I3318" s="48" t="s">
        <v>7683</v>
      </c>
    </row>
    <row r="3319" spans="2:9" ht="15" customHeight="1" x14ac:dyDescent="0.25">
      <c r="B3319" s="55" t="s">
        <v>279</v>
      </c>
      <c r="C3319" s="46">
        <v>3307</v>
      </c>
      <c r="D3319" s="69" t="s">
        <v>29416</v>
      </c>
      <c r="E3319" s="51"/>
      <c r="F3319" s="114" t="str">
        <f>IF(INDEX(I.Facility.P1IDNumber,3307)="","",INDEX(I.Facility.P1IDNumber,3307))</f>
        <v/>
      </c>
      <c r="G3319" s="51"/>
      <c r="H3319" s="46" t="str">
        <f>IF(AND(I.Developer.P1=TRUE,I.Facility.P1FacilityCount&gt;=3307,F3319=""),"Incomplete","Complete")</f>
        <v>Complete</v>
      </c>
      <c r="I3319" s="48" t="s">
        <v>7684</v>
      </c>
    </row>
    <row r="3320" spans="2:9" ht="15" customHeight="1" x14ac:dyDescent="0.25">
      <c r="B3320" s="55" t="s">
        <v>279</v>
      </c>
      <c r="C3320" s="46">
        <v>3308</v>
      </c>
      <c r="D3320" s="69" t="s">
        <v>29416</v>
      </c>
      <c r="E3320" s="51"/>
      <c r="F3320" s="114" t="str">
        <f>IF(INDEX(I.Facility.P1IDNumber,3308)="","",INDEX(I.Facility.P1IDNumber,3308))</f>
        <v/>
      </c>
      <c r="G3320" s="51"/>
      <c r="H3320" s="46" t="str">
        <f>IF(AND(I.Developer.P1=TRUE,I.Facility.P1FacilityCount&gt;=3308,F3320=""),"Incomplete","Complete")</f>
        <v>Complete</v>
      </c>
      <c r="I3320" s="48" t="s">
        <v>7685</v>
      </c>
    </row>
    <row r="3321" spans="2:9" ht="15" customHeight="1" x14ac:dyDescent="0.25">
      <c r="B3321" s="55" t="s">
        <v>279</v>
      </c>
      <c r="C3321" s="46">
        <v>3309</v>
      </c>
      <c r="D3321" s="69" t="s">
        <v>29416</v>
      </c>
      <c r="E3321" s="51"/>
      <c r="F3321" s="114" t="str">
        <f>IF(INDEX(I.Facility.P1IDNumber,3309)="","",INDEX(I.Facility.P1IDNumber,3309))</f>
        <v/>
      </c>
      <c r="G3321" s="51"/>
      <c r="H3321" s="46" t="str">
        <f>IF(AND(I.Developer.P1=TRUE,I.Facility.P1FacilityCount&gt;=3309,F3321=""),"Incomplete","Complete")</f>
        <v>Complete</v>
      </c>
      <c r="I3321" s="48" t="s">
        <v>7686</v>
      </c>
    </row>
    <row r="3322" spans="2:9" ht="15" customHeight="1" x14ac:dyDescent="0.25">
      <c r="B3322" s="55" t="s">
        <v>279</v>
      </c>
      <c r="C3322" s="46">
        <v>3310</v>
      </c>
      <c r="D3322" s="69" t="s">
        <v>29416</v>
      </c>
      <c r="E3322" s="51"/>
      <c r="F3322" s="114" t="str">
        <f>IF(INDEX(I.Facility.P1IDNumber,3310)="","",INDEX(I.Facility.P1IDNumber,3310))</f>
        <v/>
      </c>
      <c r="G3322" s="51"/>
      <c r="H3322" s="46" t="str">
        <f>IF(AND(I.Developer.P1=TRUE,I.Facility.P1FacilityCount&gt;=3310,F3322=""),"Incomplete","Complete")</f>
        <v>Complete</v>
      </c>
      <c r="I3322" s="48" t="s">
        <v>7687</v>
      </c>
    </row>
    <row r="3323" spans="2:9" ht="15" customHeight="1" x14ac:dyDescent="0.25">
      <c r="B3323" s="55" t="s">
        <v>279</v>
      </c>
      <c r="C3323" s="46">
        <v>3311</v>
      </c>
      <c r="D3323" s="69" t="s">
        <v>29416</v>
      </c>
      <c r="E3323" s="51"/>
      <c r="F3323" s="114" t="str">
        <f>IF(INDEX(I.Facility.P1IDNumber,3311)="","",INDEX(I.Facility.P1IDNumber,3311))</f>
        <v/>
      </c>
      <c r="G3323" s="51"/>
      <c r="H3323" s="46" t="str">
        <f>IF(AND(I.Developer.P1=TRUE,I.Facility.P1FacilityCount&gt;=3311,F3323=""),"Incomplete","Complete")</f>
        <v>Complete</v>
      </c>
      <c r="I3323" s="48" t="s">
        <v>7688</v>
      </c>
    </row>
    <row r="3324" spans="2:9" ht="15" customHeight="1" x14ac:dyDescent="0.25">
      <c r="B3324" s="55" t="s">
        <v>279</v>
      </c>
      <c r="C3324" s="46">
        <v>3312</v>
      </c>
      <c r="D3324" s="69" t="s">
        <v>29416</v>
      </c>
      <c r="E3324" s="51"/>
      <c r="F3324" s="114" t="str">
        <f>IF(INDEX(I.Facility.P1IDNumber,3312)="","",INDEX(I.Facility.P1IDNumber,3312))</f>
        <v/>
      </c>
      <c r="G3324" s="51"/>
      <c r="H3324" s="46" t="str">
        <f>IF(AND(I.Developer.P1=TRUE,I.Facility.P1FacilityCount&gt;=3312,F3324=""),"Incomplete","Complete")</f>
        <v>Complete</v>
      </c>
      <c r="I3324" s="48" t="s">
        <v>7689</v>
      </c>
    </row>
    <row r="3325" spans="2:9" ht="15" customHeight="1" x14ac:dyDescent="0.25">
      <c r="B3325" s="55" t="s">
        <v>279</v>
      </c>
      <c r="C3325" s="46">
        <v>3313</v>
      </c>
      <c r="D3325" s="69" t="s">
        <v>29416</v>
      </c>
      <c r="E3325" s="51"/>
      <c r="F3325" s="114" t="str">
        <f>IF(INDEX(I.Facility.P1IDNumber,3313)="","",INDEX(I.Facility.P1IDNumber,3313))</f>
        <v/>
      </c>
      <c r="G3325" s="51"/>
      <c r="H3325" s="46" t="str">
        <f>IF(AND(I.Developer.P1=TRUE,I.Facility.P1FacilityCount&gt;=3313,F3325=""),"Incomplete","Complete")</f>
        <v>Complete</v>
      </c>
      <c r="I3325" s="48" t="s">
        <v>7690</v>
      </c>
    </row>
    <row r="3326" spans="2:9" ht="15" customHeight="1" x14ac:dyDescent="0.25">
      <c r="B3326" s="55" t="s">
        <v>279</v>
      </c>
      <c r="C3326" s="46">
        <v>3314</v>
      </c>
      <c r="D3326" s="69" t="s">
        <v>29416</v>
      </c>
      <c r="E3326" s="51"/>
      <c r="F3326" s="114" t="str">
        <f>IF(INDEX(I.Facility.P1IDNumber,3314)="","",INDEX(I.Facility.P1IDNumber,3314))</f>
        <v/>
      </c>
      <c r="G3326" s="51"/>
      <c r="H3326" s="46" t="str">
        <f>IF(AND(I.Developer.P1=TRUE,I.Facility.P1FacilityCount&gt;=3314,F3326=""),"Incomplete","Complete")</f>
        <v>Complete</v>
      </c>
      <c r="I3326" s="48" t="s">
        <v>7691</v>
      </c>
    </row>
    <row r="3327" spans="2:9" ht="15" customHeight="1" x14ac:dyDescent="0.25">
      <c r="B3327" s="55" t="s">
        <v>279</v>
      </c>
      <c r="C3327" s="46">
        <v>3315</v>
      </c>
      <c r="D3327" s="69" t="s">
        <v>29416</v>
      </c>
      <c r="E3327" s="51"/>
      <c r="F3327" s="114" t="str">
        <f>IF(INDEX(I.Facility.P1IDNumber,3315)="","",INDEX(I.Facility.P1IDNumber,3315))</f>
        <v/>
      </c>
      <c r="G3327" s="51"/>
      <c r="H3327" s="46" t="str">
        <f>IF(AND(I.Developer.P1=TRUE,I.Facility.P1FacilityCount&gt;=3315,F3327=""),"Incomplete","Complete")</f>
        <v>Complete</v>
      </c>
      <c r="I3327" s="48" t="s">
        <v>7692</v>
      </c>
    </row>
    <row r="3328" spans="2:9" ht="15" customHeight="1" x14ac:dyDescent="0.25">
      <c r="B3328" s="55" t="s">
        <v>279</v>
      </c>
      <c r="C3328" s="46">
        <v>3316</v>
      </c>
      <c r="D3328" s="69" t="s">
        <v>29416</v>
      </c>
      <c r="E3328" s="51"/>
      <c r="F3328" s="114" t="str">
        <f>IF(INDEX(I.Facility.P1IDNumber,3316)="","",INDEX(I.Facility.P1IDNumber,3316))</f>
        <v/>
      </c>
      <c r="G3328" s="51"/>
      <c r="H3328" s="46" t="str">
        <f>IF(AND(I.Developer.P1=TRUE,I.Facility.P1FacilityCount&gt;=3316,F3328=""),"Incomplete","Complete")</f>
        <v>Complete</v>
      </c>
      <c r="I3328" s="48" t="s">
        <v>7693</v>
      </c>
    </row>
    <row r="3329" spans="2:9" ht="15" customHeight="1" x14ac:dyDescent="0.25">
      <c r="B3329" s="55" t="s">
        <v>279</v>
      </c>
      <c r="C3329" s="46">
        <v>3317</v>
      </c>
      <c r="D3329" s="69" t="s">
        <v>29416</v>
      </c>
      <c r="E3329" s="51"/>
      <c r="F3329" s="114" t="str">
        <f>IF(INDEX(I.Facility.P1IDNumber,3317)="","",INDEX(I.Facility.P1IDNumber,3317))</f>
        <v/>
      </c>
      <c r="G3329" s="51"/>
      <c r="H3329" s="46" t="str">
        <f>IF(AND(I.Developer.P1=TRUE,I.Facility.P1FacilityCount&gt;=3317,F3329=""),"Incomplete","Complete")</f>
        <v>Complete</v>
      </c>
      <c r="I3329" s="48" t="s">
        <v>7694</v>
      </c>
    </row>
    <row r="3330" spans="2:9" ht="15" customHeight="1" x14ac:dyDescent="0.25">
      <c r="B3330" s="55" t="s">
        <v>279</v>
      </c>
      <c r="C3330" s="46">
        <v>3318</v>
      </c>
      <c r="D3330" s="69" t="s">
        <v>29416</v>
      </c>
      <c r="E3330" s="51"/>
      <c r="F3330" s="114" t="str">
        <f>IF(INDEX(I.Facility.P1IDNumber,3318)="","",INDEX(I.Facility.P1IDNumber,3318))</f>
        <v/>
      </c>
      <c r="G3330" s="51"/>
      <c r="H3330" s="46" t="str">
        <f>IF(AND(I.Developer.P1=TRUE,I.Facility.P1FacilityCount&gt;=3318,F3330=""),"Incomplete","Complete")</f>
        <v>Complete</v>
      </c>
      <c r="I3330" s="48" t="s">
        <v>7695</v>
      </c>
    </row>
    <row r="3331" spans="2:9" ht="15" customHeight="1" x14ac:dyDescent="0.25">
      <c r="B3331" s="55" t="s">
        <v>279</v>
      </c>
      <c r="C3331" s="46">
        <v>3319</v>
      </c>
      <c r="D3331" s="69" t="s">
        <v>29416</v>
      </c>
      <c r="E3331" s="51"/>
      <c r="F3331" s="114" t="str">
        <f>IF(INDEX(I.Facility.P1IDNumber,3319)="","",INDEX(I.Facility.P1IDNumber,3319))</f>
        <v/>
      </c>
      <c r="G3331" s="51"/>
      <c r="H3331" s="46" t="str">
        <f>IF(AND(I.Developer.P1=TRUE,I.Facility.P1FacilityCount&gt;=3319,F3331=""),"Incomplete","Complete")</f>
        <v>Complete</v>
      </c>
      <c r="I3331" s="48" t="s">
        <v>7696</v>
      </c>
    </row>
    <row r="3332" spans="2:9" ht="15" customHeight="1" x14ac:dyDescent="0.25">
      <c r="B3332" s="55" t="s">
        <v>279</v>
      </c>
      <c r="C3332" s="46">
        <v>3320</v>
      </c>
      <c r="D3332" s="69" t="s">
        <v>29416</v>
      </c>
      <c r="E3332" s="51"/>
      <c r="F3332" s="114" t="str">
        <f>IF(INDEX(I.Facility.P1IDNumber,3320)="","",INDEX(I.Facility.P1IDNumber,3320))</f>
        <v/>
      </c>
      <c r="G3332" s="51"/>
      <c r="H3332" s="46" t="str">
        <f>IF(AND(I.Developer.P1=TRUE,I.Facility.P1FacilityCount&gt;=3320,F3332=""),"Incomplete","Complete")</f>
        <v>Complete</v>
      </c>
      <c r="I3332" s="48" t="s">
        <v>7697</v>
      </c>
    </row>
    <row r="3333" spans="2:9" ht="15" customHeight="1" x14ac:dyDescent="0.25">
      <c r="B3333" s="55" t="s">
        <v>279</v>
      </c>
      <c r="C3333" s="46">
        <v>3321</v>
      </c>
      <c r="D3333" s="69" t="s">
        <v>29416</v>
      </c>
      <c r="E3333" s="51"/>
      <c r="F3333" s="114" t="str">
        <f>IF(INDEX(I.Facility.P1IDNumber,3321)="","",INDEX(I.Facility.P1IDNumber,3321))</f>
        <v/>
      </c>
      <c r="G3333" s="51"/>
      <c r="H3333" s="46" t="str">
        <f>IF(AND(I.Developer.P1=TRUE,I.Facility.P1FacilityCount&gt;=3321,F3333=""),"Incomplete","Complete")</f>
        <v>Complete</v>
      </c>
      <c r="I3333" s="48" t="s">
        <v>7698</v>
      </c>
    </row>
    <row r="3334" spans="2:9" ht="15" customHeight="1" x14ac:dyDescent="0.25">
      <c r="B3334" s="55" t="s">
        <v>279</v>
      </c>
      <c r="C3334" s="46">
        <v>3322</v>
      </c>
      <c r="D3334" s="69" t="s">
        <v>29416</v>
      </c>
      <c r="E3334" s="51"/>
      <c r="F3334" s="114" t="str">
        <f>IF(INDEX(I.Facility.P1IDNumber,3322)="","",INDEX(I.Facility.P1IDNumber,3322))</f>
        <v/>
      </c>
      <c r="G3334" s="51"/>
      <c r="H3334" s="46" t="str">
        <f>IF(AND(I.Developer.P1=TRUE,I.Facility.P1FacilityCount&gt;=3322,F3334=""),"Incomplete","Complete")</f>
        <v>Complete</v>
      </c>
      <c r="I3334" s="48" t="s">
        <v>7699</v>
      </c>
    </row>
    <row r="3335" spans="2:9" ht="15" customHeight="1" x14ac:dyDescent="0.25">
      <c r="B3335" s="55" t="s">
        <v>279</v>
      </c>
      <c r="C3335" s="46">
        <v>3323</v>
      </c>
      <c r="D3335" s="69" t="s">
        <v>29416</v>
      </c>
      <c r="E3335" s="51"/>
      <c r="F3335" s="114" t="str">
        <f>IF(INDEX(I.Facility.P1IDNumber,3323)="","",INDEX(I.Facility.P1IDNumber,3323))</f>
        <v/>
      </c>
      <c r="G3335" s="51"/>
      <c r="H3335" s="46" t="str">
        <f>IF(AND(I.Developer.P1=TRUE,I.Facility.P1FacilityCount&gt;=3323,F3335=""),"Incomplete","Complete")</f>
        <v>Complete</v>
      </c>
      <c r="I3335" s="48" t="s">
        <v>7700</v>
      </c>
    </row>
    <row r="3336" spans="2:9" ht="15" customHeight="1" x14ac:dyDescent="0.25">
      <c r="B3336" s="55" t="s">
        <v>279</v>
      </c>
      <c r="C3336" s="46">
        <v>3324</v>
      </c>
      <c r="D3336" s="69" t="s">
        <v>29416</v>
      </c>
      <c r="E3336" s="51"/>
      <c r="F3336" s="114" t="str">
        <f>IF(INDEX(I.Facility.P1IDNumber,3324)="","",INDEX(I.Facility.P1IDNumber,3324))</f>
        <v/>
      </c>
      <c r="G3336" s="51"/>
      <c r="H3336" s="46" t="str">
        <f>IF(AND(I.Developer.P1=TRUE,I.Facility.P1FacilityCount&gt;=3324,F3336=""),"Incomplete","Complete")</f>
        <v>Complete</v>
      </c>
      <c r="I3336" s="48" t="s">
        <v>7701</v>
      </c>
    </row>
    <row r="3337" spans="2:9" ht="15" customHeight="1" x14ac:dyDescent="0.25">
      <c r="B3337" s="55" t="s">
        <v>279</v>
      </c>
      <c r="C3337" s="46">
        <v>3325</v>
      </c>
      <c r="D3337" s="69" t="s">
        <v>29416</v>
      </c>
      <c r="E3337" s="51"/>
      <c r="F3337" s="114" t="str">
        <f>IF(INDEX(I.Facility.P1IDNumber,3325)="","",INDEX(I.Facility.P1IDNumber,3325))</f>
        <v/>
      </c>
      <c r="G3337" s="51"/>
      <c r="H3337" s="46" t="str">
        <f>IF(AND(I.Developer.P1=TRUE,I.Facility.P1FacilityCount&gt;=3325,F3337=""),"Incomplete","Complete")</f>
        <v>Complete</v>
      </c>
      <c r="I3337" s="48" t="s">
        <v>7702</v>
      </c>
    </row>
    <row r="3338" spans="2:9" ht="15" customHeight="1" x14ac:dyDescent="0.25">
      <c r="B3338" s="55" t="s">
        <v>279</v>
      </c>
      <c r="C3338" s="46">
        <v>3326</v>
      </c>
      <c r="D3338" s="69" t="s">
        <v>29416</v>
      </c>
      <c r="E3338" s="51"/>
      <c r="F3338" s="114" t="str">
        <f>IF(INDEX(I.Facility.P1IDNumber,3326)="","",INDEX(I.Facility.P1IDNumber,3326))</f>
        <v/>
      </c>
      <c r="G3338" s="51"/>
      <c r="H3338" s="46" t="str">
        <f>IF(AND(I.Developer.P1=TRUE,I.Facility.P1FacilityCount&gt;=3326,F3338=""),"Incomplete","Complete")</f>
        <v>Complete</v>
      </c>
      <c r="I3338" s="48" t="s">
        <v>7703</v>
      </c>
    </row>
    <row r="3339" spans="2:9" ht="15" customHeight="1" x14ac:dyDescent="0.25">
      <c r="B3339" s="55" t="s">
        <v>279</v>
      </c>
      <c r="C3339" s="46">
        <v>3327</v>
      </c>
      <c r="D3339" s="69" t="s">
        <v>29416</v>
      </c>
      <c r="E3339" s="51"/>
      <c r="F3339" s="114" t="str">
        <f>IF(INDEX(I.Facility.P1IDNumber,3327)="","",INDEX(I.Facility.P1IDNumber,3327))</f>
        <v/>
      </c>
      <c r="G3339" s="51"/>
      <c r="H3339" s="46" t="str">
        <f>IF(AND(I.Developer.P1=TRUE,I.Facility.P1FacilityCount&gt;=3327,F3339=""),"Incomplete","Complete")</f>
        <v>Complete</v>
      </c>
      <c r="I3339" s="48" t="s">
        <v>7704</v>
      </c>
    </row>
    <row r="3340" spans="2:9" ht="15" customHeight="1" x14ac:dyDescent="0.25">
      <c r="B3340" s="55" t="s">
        <v>279</v>
      </c>
      <c r="C3340" s="46">
        <v>3328</v>
      </c>
      <c r="D3340" s="69" t="s">
        <v>29416</v>
      </c>
      <c r="E3340" s="51"/>
      <c r="F3340" s="114" t="str">
        <f>IF(INDEX(I.Facility.P1IDNumber,3328)="","",INDEX(I.Facility.P1IDNumber,3328))</f>
        <v/>
      </c>
      <c r="G3340" s="51"/>
      <c r="H3340" s="46" t="str">
        <f>IF(AND(I.Developer.P1=TRUE,I.Facility.P1FacilityCount&gt;=3328,F3340=""),"Incomplete","Complete")</f>
        <v>Complete</v>
      </c>
      <c r="I3340" s="48" t="s">
        <v>7705</v>
      </c>
    </row>
    <row r="3341" spans="2:9" ht="15" customHeight="1" x14ac:dyDescent="0.25">
      <c r="B3341" s="55" t="s">
        <v>279</v>
      </c>
      <c r="C3341" s="46">
        <v>3329</v>
      </c>
      <c r="D3341" s="69" t="s">
        <v>29416</v>
      </c>
      <c r="E3341" s="51"/>
      <c r="F3341" s="114" t="str">
        <f>IF(INDEX(I.Facility.P1IDNumber,3329)="","",INDEX(I.Facility.P1IDNumber,3329))</f>
        <v/>
      </c>
      <c r="G3341" s="51"/>
      <c r="H3341" s="46" t="str">
        <f>IF(AND(I.Developer.P1=TRUE,I.Facility.P1FacilityCount&gt;=3329,F3341=""),"Incomplete","Complete")</f>
        <v>Complete</v>
      </c>
      <c r="I3341" s="48" t="s">
        <v>7706</v>
      </c>
    </row>
    <row r="3342" spans="2:9" ht="15" customHeight="1" x14ac:dyDescent="0.25">
      <c r="B3342" s="55" t="s">
        <v>279</v>
      </c>
      <c r="C3342" s="46">
        <v>3330</v>
      </c>
      <c r="D3342" s="69" t="s">
        <v>29416</v>
      </c>
      <c r="E3342" s="51"/>
      <c r="F3342" s="114" t="str">
        <f>IF(INDEX(I.Facility.P1IDNumber,3330)="","",INDEX(I.Facility.P1IDNumber,3330))</f>
        <v/>
      </c>
      <c r="G3342" s="51"/>
      <c r="H3342" s="46" t="str">
        <f>IF(AND(I.Developer.P1=TRUE,I.Facility.P1FacilityCount&gt;=3330,F3342=""),"Incomplete","Complete")</f>
        <v>Complete</v>
      </c>
      <c r="I3342" s="48" t="s">
        <v>7707</v>
      </c>
    </row>
    <row r="3343" spans="2:9" ht="15" customHeight="1" x14ac:dyDescent="0.25">
      <c r="B3343" s="55" t="s">
        <v>279</v>
      </c>
      <c r="C3343" s="46">
        <v>3331</v>
      </c>
      <c r="D3343" s="69" t="s">
        <v>29416</v>
      </c>
      <c r="E3343" s="51"/>
      <c r="F3343" s="114" t="str">
        <f>IF(INDEX(I.Facility.P1IDNumber,3331)="","",INDEX(I.Facility.P1IDNumber,3331))</f>
        <v/>
      </c>
      <c r="G3343" s="51"/>
      <c r="H3343" s="46" t="str">
        <f>IF(AND(I.Developer.P1=TRUE,I.Facility.P1FacilityCount&gt;=3331,F3343=""),"Incomplete","Complete")</f>
        <v>Complete</v>
      </c>
      <c r="I3343" s="48" t="s">
        <v>7708</v>
      </c>
    </row>
    <row r="3344" spans="2:9" ht="15" customHeight="1" x14ac:dyDescent="0.25">
      <c r="B3344" s="55" t="s">
        <v>279</v>
      </c>
      <c r="C3344" s="46">
        <v>3332</v>
      </c>
      <c r="D3344" s="69" t="s">
        <v>29416</v>
      </c>
      <c r="E3344" s="51"/>
      <c r="F3344" s="114" t="str">
        <f>IF(INDEX(I.Facility.P1IDNumber,3332)="","",INDEX(I.Facility.P1IDNumber,3332))</f>
        <v/>
      </c>
      <c r="G3344" s="51"/>
      <c r="H3344" s="46" t="str">
        <f>IF(AND(I.Developer.P1=TRUE,I.Facility.P1FacilityCount&gt;=3332,F3344=""),"Incomplete","Complete")</f>
        <v>Complete</v>
      </c>
      <c r="I3344" s="48" t="s">
        <v>7709</v>
      </c>
    </row>
    <row r="3345" spans="2:9" ht="15" customHeight="1" x14ac:dyDescent="0.25">
      <c r="B3345" s="55" t="s">
        <v>279</v>
      </c>
      <c r="C3345" s="46">
        <v>3333</v>
      </c>
      <c r="D3345" s="69" t="s">
        <v>29416</v>
      </c>
      <c r="E3345" s="51"/>
      <c r="F3345" s="114" t="str">
        <f>IF(INDEX(I.Facility.P1IDNumber,3333)="","",INDEX(I.Facility.P1IDNumber,3333))</f>
        <v/>
      </c>
      <c r="G3345" s="51"/>
      <c r="H3345" s="46" t="str">
        <f>IF(AND(I.Developer.P1=TRUE,I.Facility.P1FacilityCount&gt;=3333,F3345=""),"Incomplete","Complete")</f>
        <v>Complete</v>
      </c>
      <c r="I3345" s="48" t="s">
        <v>7710</v>
      </c>
    </row>
    <row r="3346" spans="2:9" ht="15" customHeight="1" x14ac:dyDescent="0.25">
      <c r="B3346" s="55" t="s">
        <v>279</v>
      </c>
      <c r="C3346" s="46">
        <v>3334</v>
      </c>
      <c r="D3346" s="69" t="s">
        <v>29416</v>
      </c>
      <c r="E3346" s="51"/>
      <c r="F3346" s="114" t="str">
        <f>IF(INDEX(I.Facility.P1IDNumber,3334)="","",INDEX(I.Facility.P1IDNumber,3334))</f>
        <v/>
      </c>
      <c r="G3346" s="51"/>
      <c r="H3346" s="46" t="str">
        <f>IF(AND(I.Developer.P1=TRUE,I.Facility.P1FacilityCount&gt;=3334,F3346=""),"Incomplete","Complete")</f>
        <v>Complete</v>
      </c>
      <c r="I3346" s="48" t="s">
        <v>7711</v>
      </c>
    </row>
    <row r="3347" spans="2:9" ht="15" customHeight="1" x14ac:dyDescent="0.25">
      <c r="B3347" s="55" t="s">
        <v>279</v>
      </c>
      <c r="C3347" s="46">
        <v>3335</v>
      </c>
      <c r="D3347" s="69" t="s">
        <v>29416</v>
      </c>
      <c r="E3347" s="51"/>
      <c r="F3347" s="114" t="str">
        <f>IF(INDEX(I.Facility.P1IDNumber,3335)="","",INDEX(I.Facility.P1IDNumber,3335))</f>
        <v/>
      </c>
      <c r="G3347" s="51"/>
      <c r="H3347" s="46" t="str">
        <f>IF(AND(I.Developer.P1=TRUE,I.Facility.P1FacilityCount&gt;=3335,F3347=""),"Incomplete","Complete")</f>
        <v>Complete</v>
      </c>
      <c r="I3347" s="48" t="s">
        <v>7712</v>
      </c>
    </row>
    <row r="3348" spans="2:9" ht="15" customHeight="1" x14ac:dyDescent="0.25">
      <c r="B3348" s="55" t="s">
        <v>279</v>
      </c>
      <c r="C3348" s="46">
        <v>3336</v>
      </c>
      <c r="D3348" s="69" t="s">
        <v>29416</v>
      </c>
      <c r="E3348" s="51"/>
      <c r="F3348" s="114" t="str">
        <f>IF(INDEX(I.Facility.P1IDNumber,3336)="","",INDEX(I.Facility.P1IDNumber,3336))</f>
        <v/>
      </c>
      <c r="G3348" s="51"/>
      <c r="H3348" s="46" t="str">
        <f>IF(AND(I.Developer.P1=TRUE,I.Facility.P1FacilityCount&gt;=3336,F3348=""),"Incomplete","Complete")</f>
        <v>Complete</v>
      </c>
      <c r="I3348" s="48" t="s">
        <v>7713</v>
      </c>
    </row>
    <row r="3349" spans="2:9" ht="15" customHeight="1" x14ac:dyDescent="0.25">
      <c r="B3349" s="55" t="s">
        <v>279</v>
      </c>
      <c r="C3349" s="46">
        <v>3337</v>
      </c>
      <c r="D3349" s="69" t="s">
        <v>29416</v>
      </c>
      <c r="E3349" s="51"/>
      <c r="F3349" s="114" t="str">
        <f>IF(INDEX(I.Facility.P1IDNumber,3337)="","",INDEX(I.Facility.P1IDNumber,3337))</f>
        <v/>
      </c>
      <c r="G3349" s="51"/>
      <c r="H3349" s="46" t="str">
        <f>IF(AND(I.Developer.P1=TRUE,I.Facility.P1FacilityCount&gt;=3337,F3349=""),"Incomplete","Complete")</f>
        <v>Complete</v>
      </c>
      <c r="I3349" s="48" t="s">
        <v>7714</v>
      </c>
    </row>
    <row r="3350" spans="2:9" ht="15" customHeight="1" x14ac:dyDescent="0.25">
      <c r="B3350" s="55" t="s">
        <v>279</v>
      </c>
      <c r="C3350" s="46">
        <v>3338</v>
      </c>
      <c r="D3350" s="69" t="s">
        <v>29416</v>
      </c>
      <c r="E3350" s="51"/>
      <c r="F3350" s="114" t="str">
        <f>IF(INDEX(I.Facility.P1IDNumber,3338)="","",INDEX(I.Facility.P1IDNumber,3338))</f>
        <v/>
      </c>
      <c r="G3350" s="51"/>
      <c r="H3350" s="46" t="str">
        <f>IF(AND(I.Developer.P1=TRUE,I.Facility.P1FacilityCount&gt;=3338,F3350=""),"Incomplete","Complete")</f>
        <v>Complete</v>
      </c>
      <c r="I3350" s="48" t="s">
        <v>7715</v>
      </c>
    </row>
    <row r="3351" spans="2:9" ht="15" customHeight="1" x14ac:dyDescent="0.25">
      <c r="B3351" s="55" t="s">
        <v>279</v>
      </c>
      <c r="C3351" s="46">
        <v>3339</v>
      </c>
      <c r="D3351" s="69" t="s">
        <v>29416</v>
      </c>
      <c r="E3351" s="51"/>
      <c r="F3351" s="114" t="str">
        <f>IF(INDEX(I.Facility.P1IDNumber,3339)="","",INDEX(I.Facility.P1IDNumber,3339))</f>
        <v/>
      </c>
      <c r="G3351" s="51"/>
      <c r="H3351" s="46" t="str">
        <f>IF(AND(I.Developer.P1=TRUE,I.Facility.P1FacilityCount&gt;=3339,F3351=""),"Incomplete","Complete")</f>
        <v>Complete</v>
      </c>
      <c r="I3351" s="48" t="s">
        <v>7716</v>
      </c>
    </row>
    <row r="3352" spans="2:9" ht="15" customHeight="1" x14ac:dyDescent="0.25">
      <c r="B3352" s="55" t="s">
        <v>279</v>
      </c>
      <c r="C3352" s="46">
        <v>3340</v>
      </c>
      <c r="D3352" s="69" t="s">
        <v>29416</v>
      </c>
      <c r="E3352" s="51"/>
      <c r="F3352" s="114" t="str">
        <f>IF(INDEX(I.Facility.P1IDNumber,3340)="","",INDEX(I.Facility.P1IDNumber,3340))</f>
        <v/>
      </c>
      <c r="G3352" s="51"/>
      <c r="H3352" s="46" t="str">
        <f>IF(AND(I.Developer.P1=TRUE,I.Facility.P1FacilityCount&gt;=3340,F3352=""),"Incomplete","Complete")</f>
        <v>Complete</v>
      </c>
      <c r="I3352" s="48" t="s">
        <v>7717</v>
      </c>
    </row>
    <row r="3353" spans="2:9" ht="15" customHeight="1" x14ac:dyDescent="0.25">
      <c r="B3353" s="55" t="s">
        <v>279</v>
      </c>
      <c r="C3353" s="46">
        <v>3341</v>
      </c>
      <c r="D3353" s="69" t="s">
        <v>29416</v>
      </c>
      <c r="E3353" s="51"/>
      <c r="F3353" s="114" t="str">
        <f>IF(INDEX(I.Facility.P1IDNumber,3341)="","",INDEX(I.Facility.P1IDNumber,3341))</f>
        <v/>
      </c>
      <c r="G3353" s="51"/>
      <c r="H3353" s="46" t="str">
        <f>IF(AND(I.Developer.P1=TRUE,I.Facility.P1FacilityCount&gt;=3341,F3353=""),"Incomplete","Complete")</f>
        <v>Complete</v>
      </c>
      <c r="I3353" s="48" t="s">
        <v>7718</v>
      </c>
    </row>
    <row r="3354" spans="2:9" ht="15" customHeight="1" x14ac:dyDescent="0.25">
      <c r="B3354" s="55" t="s">
        <v>279</v>
      </c>
      <c r="C3354" s="46">
        <v>3342</v>
      </c>
      <c r="D3354" s="69" t="s">
        <v>29416</v>
      </c>
      <c r="E3354" s="51"/>
      <c r="F3354" s="114" t="str">
        <f>IF(INDEX(I.Facility.P1IDNumber,3342)="","",INDEX(I.Facility.P1IDNumber,3342))</f>
        <v/>
      </c>
      <c r="G3354" s="51"/>
      <c r="H3354" s="46" t="str">
        <f>IF(AND(I.Developer.P1=TRUE,I.Facility.P1FacilityCount&gt;=3342,F3354=""),"Incomplete","Complete")</f>
        <v>Complete</v>
      </c>
      <c r="I3354" s="48" t="s">
        <v>7719</v>
      </c>
    </row>
    <row r="3355" spans="2:9" ht="15" customHeight="1" x14ac:dyDescent="0.25">
      <c r="B3355" s="55" t="s">
        <v>279</v>
      </c>
      <c r="C3355" s="46">
        <v>3343</v>
      </c>
      <c r="D3355" s="69" t="s">
        <v>29416</v>
      </c>
      <c r="E3355" s="51"/>
      <c r="F3355" s="114" t="str">
        <f>IF(INDEX(I.Facility.P1IDNumber,3343)="","",INDEX(I.Facility.P1IDNumber,3343))</f>
        <v/>
      </c>
      <c r="G3355" s="51"/>
      <c r="H3355" s="46" t="str">
        <f>IF(AND(I.Developer.P1=TRUE,I.Facility.P1FacilityCount&gt;=3343,F3355=""),"Incomplete","Complete")</f>
        <v>Complete</v>
      </c>
      <c r="I3355" s="48" t="s">
        <v>7720</v>
      </c>
    </row>
    <row r="3356" spans="2:9" ht="15" customHeight="1" x14ac:dyDescent="0.25">
      <c r="B3356" s="55" t="s">
        <v>279</v>
      </c>
      <c r="C3356" s="46">
        <v>3344</v>
      </c>
      <c r="D3356" s="69" t="s">
        <v>29416</v>
      </c>
      <c r="E3356" s="51"/>
      <c r="F3356" s="114" t="str">
        <f>IF(INDEX(I.Facility.P1IDNumber,3344)="","",INDEX(I.Facility.P1IDNumber,3344))</f>
        <v/>
      </c>
      <c r="G3356" s="51"/>
      <c r="H3356" s="46" t="str">
        <f>IF(AND(I.Developer.P1=TRUE,I.Facility.P1FacilityCount&gt;=3344,F3356=""),"Incomplete","Complete")</f>
        <v>Complete</v>
      </c>
      <c r="I3356" s="48" t="s">
        <v>7721</v>
      </c>
    </row>
    <row r="3357" spans="2:9" ht="15" customHeight="1" x14ac:dyDescent="0.25">
      <c r="B3357" s="55" t="s">
        <v>279</v>
      </c>
      <c r="C3357" s="46">
        <v>3345</v>
      </c>
      <c r="D3357" s="69" t="s">
        <v>29416</v>
      </c>
      <c r="E3357" s="51"/>
      <c r="F3357" s="114" t="str">
        <f>IF(INDEX(I.Facility.P1IDNumber,3345)="","",INDEX(I.Facility.P1IDNumber,3345))</f>
        <v/>
      </c>
      <c r="G3357" s="51"/>
      <c r="H3357" s="46" t="str">
        <f>IF(AND(I.Developer.P1=TRUE,I.Facility.P1FacilityCount&gt;=3345,F3357=""),"Incomplete","Complete")</f>
        <v>Complete</v>
      </c>
      <c r="I3357" s="48" t="s">
        <v>7722</v>
      </c>
    </row>
    <row r="3358" spans="2:9" ht="15" customHeight="1" x14ac:dyDescent="0.25">
      <c r="B3358" s="55" t="s">
        <v>279</v>
      </c>
      <c r="C3358" s="46">
        <v>3346</v>
      </c>
      <c r="D3358" s="69" t="s">
        <v>29416</v>
      </c>
      <c r="E3358" s="51"/>
      <c r="F3358" s="114" t="str">
        <f>IF(INDEX(I.Facility.P1IDNumber,3346)="","",INDEX(I.Facility.P1IDNumber,3346))</f>
        <v/>
      </c>
      <c r="G3358" s="51"/>
      <c r="H3358" s="46" t="str">
        <f>IF(AND(I.Developer.P1=TRUE,I.Facility.P1FacilityCount&gt;=3346,F3358=""),"Incomplete","Complete")</f>
        <v>Complete</v>
      </c>
      <c r="I3358" s="48" t="s">
        <v>7723</v>
      </c>
    </row>
    <row r="3359" spans="2:9" ht="15" customHeight="1" x14ac:dyDescent="0.25">
      <c r="B3359" s="55" t="s">
        <v>279</v>
      </c>
      <c r="C3359" s="46">
        <v>3347</v>
      </c>
      <c r="D3359" s="69" t="s">
        <v>29416</v>
      </c>
      <c r="E3359" s="51"/>
      <c r="F3359" s="114" t="str">
        <f>IF(INDEX(I.Facility.P1IDNumber,3347)="","",INDEX(I.Facility.P1IDNumber,3347))</f>
        <v/>
      </c>
      <c r="G3359" s="51"/>
      <c r="H3359" s="46" t="str">
        <f>IF(AND(I.Developer.P1=TRUE,I.Facility.P1FacilityCount&gt;=3347,F3359=""),"Incomplete","Complete")</f>
        <v>Complete</v>
      </c>
      <c r="I3359" s="48" t="s">
        <v>7724</v>
      </c>
    </row>
    <row r="3360" spans="2:9" ht="15" customHeight="1" x14ac:dyDescent="0.25">
      <c r="B3360" s="55" t="s">
        <v>279</v>
      </c>
      <c r="C3360" s="46">
        <v>3348</v>
      </c>
      <c r="D3360" s="69" t="s">
        <v>29416</v>
      </c>
      <c r="E3360" s="51"/>
      <c r="F3360" s="114" t="str">
        <f>IF(INDEX(I.Facility.P1IDNumber,3348)="","",INDEX(I.Facility.P1IDNumber,3348))</f>
        <v/>
      </c>
      <c r="G3360" s="51"/>
      <c r="H3360" s="46" t="str">
        <f>IF(AND(I.Developer.P1=TRUE,I.Facility.P1FacilityCount&gt;=3348,F3360=""),"Incomplete","Complete")</f>
        <v>Complete</v>
      </c>
      <c r="I3360" s="48" t="s">
        <v>7725</v>
      </c>
    </row>
    <row r="3361" spans="2:9" ht="15" customHeight="1" x14ac:dyDescent="0.25">
      <c r="B3361" s="55" t="s">
        <v>279</v>
      </c>
      <c r="C3361" s="46">
        <v>3349</v>
      </c>
      <c r="D3361" s="69" t="s">
        <v>29416</v>
      </c>
      <c r="E3361" s="51"/>
      <c r="F3361" s="114" t="str">
        <f>IF(INDEX(I.Facility.P1IDNumber,3349)="","",INDEX(I.Facility.P1IDNumber,3349))</f>
        <v/>
      </c>
      <c r="G3361" s="51"/>
      <c r="H3361" s="46" t="str">
        <f>IF(AND(I.Developer.P1=TRUE,I.Facility.P1FacilityCount&gt;=3349,F3361=""),"Incomplete","Complete")</f>
        <v>Complete</v>
      </c>
      <c r="I3361" s="48" t="s">
        <v>7726</v>
      </c>
    </row>
    <row r="3362" spans="2:9" ht="15" customHeight="1" x14ac:dyDescent="0.25">
      <c r="B3362" s="55" t="s">
        <v>279</v>
      </c>
      <c r="C3362" s="46">
        <v>3350</v>
      </c>
      <c r="D3362" s="69" t="s">
        <v>29416</v>
      </c>
      <c r="E3362" s="51"/>
      <c r="F3362" s="114" t="str">
        <f>IF(INDEX(I.Facility.P1IDNumber,3350)="","",INDEX(I.Facility.P1IDNumber,3350))</f>
        <v/>
      </c>
      <c r="G3362" s="51"/>
      <c r="H3362" s="46" t="str">
        <f>IF(AND(I.Developer.P1=TRUE,I.Facility.P1FacilityCount&gt;=3350,F3362=""),"Incomplete","Complete")</f>
        <v>Complete</v>
      </c>
      <c r="I3362" s="48" t="s">
        <v>7727</v>
      </c>
    </row>
    <row r="3363" spans="2:9" ht="15" customHeight="1" x14ac:dyDescent="0.25">
      <c r="B3363" s="55" t="s">
        <v>279</v>
      </c>
      <c r="C3363" s="46">
        <v>3351</v>
      </c>
      <c r="D3363" s="69" t="s">
        <v>29416</v>
      </c>
      <c r="E3363" s="51"/>
      <c r="F3363" s="114" t="str">
        <f>IF(INDEX(I.Facility.P1IDNumber,3351)="","",INDEX(I.Facility.P1IDNumber,3351))</f>
        <v/>
      </c>
      <c r="G3363" s="51"/>
      <c r="H3363" s="46" t="str">
        <f>IF(AND(I.Developer.P1=TRUE,I.Facility.P1FacilityCount&gt;=3351,F3363=""),"Incomplete","Complete")</f>
        <v>Complete</v>
      </c>
      <c r="I3363" s="48" t="s">
        <v>7728</v>
      </c>
    </row>
    <row r="3364" spans="2:9" ht="15" customHeight="1" x14ac:dyDescent="0.25">
      <c r="B3364" s="55" t="s">
        <v>279</v>
      </c>
      <c r="C3364" s="46">
        <v>3352</v>
      </c>
      <c r="D3364" s="69" t="s">
        <v>29416</v>
      </c>
      <c r="E3364" s="51"/>
      <c r="F3364" s="114" t="str">
        <f>IF(INDEX(I.Facility.P1IDNumber,3352)="","",INDEX(I.Facility.P1IDNumber,3352))</f>
        <v/>
      </c>
      <c r="G3364" s="51"/>
      <c r="H3364" s="46" t="str">
        <f>IF(AND(I.Developer.P1=TRUE,I.Facility.P1FacilityCount&gt;=3352,F3364=""),"Incomplete","Complete")</f>
        <v>Complete</v>
      </c>
      <c r="I3364" s="48" t="s">
        <v>7729</v>
      </c>
    </row>
    <row r="3365" spans="2:9" ht="15" customHeight="1" x14ac:dyDescent="0.25">
      <c r="B3365" s="55" t="s">
        <v>279</v>
      </c>
      <c r="C3365" s="46">
        <v>3353</v>
      </c>
      <c r="D3365" s="69" t="s">
        <v>29416</v>
      </c>
      <c r="E3365" s="51"/>
      <c r="F3365" s="114" t="str">
        <f>IF(INDEX(I.Facility.P1IDNumber,3353)="","",INDEX(I.Facility.P1IDNumber,3353))</f>
        <v/>
      </c>
      <c r="G3365" s="51"/>
      <c r="H3365" s="46" t="str">
        <f>IF(AND(I.Developer.P1=TRUE,I.Facility.P1FacilityCount&gt;=3353,F3365=""),"Incomplete","Complete")</f>
        <v>Complete</v>
      </c>
      <c r="I3365" s="48" t="s">
        <v>7730</v>
      </c>
    </row>
    <row r="3366" spans="2:9" ht="15" customHeight="1" x14ac:dyDescent="0.25">
      <c r="B3366" s="55" t="s">
        <v>279</v>
      </c>
      <c r="C3366" s="46">
        <v>3354</v>
      </c>
      <c r="D3366" s="69" t="s">
        <v>29416</v>
      </c>
      <c r="E3366" s="51"/>
      <c r="F3366" s="114" t="str">
        <f>IF(INDEX(I.Facility.P1IDNumber,3354)="","",INDEX(I.Facility.P1IDNumber,3354))</f>
        <v/>
      </c>
      <c r="G3366" s="51"/>
      <c r="H3366" s="46" t="str">
        <f>IF(AND(I.Developer.P1=TRUE,I.Facility.P1FacilityCount&gt;=3354,F3366=""),"Incomplete","Complete")</f>
        <v>Complete</v>
      </c>
      <c r="I3366" s="48" t="s">
        <v>7731</v>
      </c>
    </row>
    <row r="3367" spans="2:9" ht="15" customHeight="1" x14ac:dyDescent="0.25">
      <c r="B3367" s="55" t="s">
        <v>279</v>
      </c>
      <c r="C3367" s="46">
        <v>3355</v>
      </c>
      <c r="D3367" s="69" t="s">
        <v>29416</v>
      </c>
      <c r="E3367" s="51"/>
      <c r="F3367" s="114" t="str">
        <f>IF(INDEX(I.Facility.P1IDNumber,3355)="","",INDEX(I.Facility.P1IDNumber,3355))</f>
        <v/>
      </c>
      <c r="G3367" s="51"/>
      <c r="H3367" s="46" t="str">
        <f>IF(AND(I.Developer.P1=TRUE,I.Facility.P1FacilityCount&gt;=3355,F3367=""),"Incomplete","Complete")</f>
        <v>Complete</v>
      </c>
      <c r="I3367" s="48" t="s">
        <v>7732</v>
      </c>
    </row>
    <row r="3368" spans="2:9" ht="15" customHeight="1" x14ac:dyDescent="0.25">
      <c r="B3368" s="55" t="s">
        <v>279</v>
      </c>
      <c r="C3368" s="46">
        <v>3356</v>
      </c>
      <c r="D3368" s="69" t="s">
        <v>29416</v>
      </c>
      <c r="E3368" s="51"/>
      <c r="F3368" s="114" t="str">
        <f>IF(INDEX(I.Facility.P1IDNumber,3356)="","",INDEX(I.Facility.P1IDNumber,3356))</f>
        <v/>
      </c>
      <c r="G3368" s="51"/>
      <c r="H3368" s="46" t="str">
        <f>IF(AND(I.Developer.P1=TRUE,I.Facility.P1FacilityCount&gt;=3356,F3368=""),"Incomplete","Complete")</f>
        <v>Complete</v>
      </c>
      <c r="I3368" s="48" t="s">
        <v>7733</v>
      </c>
    </row>
    <row r="3369" spans="2:9" ht="15" customHeight="1" x14ac:dyDescent="0.25">
      <c r="B3369" s="55" t="s">
        <v>279</v>
      </c>
      <c r="C3369" s="46">
        <v>3357</v>
      </c>
      <c r="D3369" s="69" t="s">
        <v>29416</v>
      </c>
      <c r="E3369" s="51"/>
      <c r="F3369" s="114" t="str">
        <f>IF(INDEX(I.Facility.P1IDNumber,3357)="","",INDEX(I.Facility.P1IDNumber,3357))</f>
        <v/>
      </c>
      <c r="G3369" s="51"/>
      <c r="H3369" s="46" t="str">
        <f>IF(AND(I.Developer.P1=TRUE,I.Facility.P1FacilityCount&gt;=3357,F3369=""),"Incomplete","Complete")</f>
        <v>Complete</v>
      </c>
      <c r="I3369" s="48" t="s">
        <v>7734</v>
      </c>
    </row>
    <row r="3370" spans="2:9" ht="15" customHeight="1" x14ac:dyDescent="0.25">
      <c r="B3370" s="55" t="s">
        <v>279</v>
      </c>
      <c r="C3370" s="46">
        <v>3358</v>
      </c>
      <c r="D3370" s="69" t="s">
        <v>29416</v>
      </c>
      <c r="E3370" s="51"/>
      <c r="F3370" s="114" t="str">
        <f>IF(INDEX(I.Facility.P1IDNumber,3358)="","",INDEX(I.Facility.P1IDNumber,3358))</f>
        <v/>
      </c>
      <c r="G3370" s="51"/>
      <c r="H3370" s="46" t="str">
        <f>IF(AND(I.Developer.P1=TRUE,I.Facility.P1FacilityCount&gt;=3358,F3370=""),"Incomplete","Complete")</f>
        <v>Complete</v>
      </c>
      <c r="I3370" s="48" t="s">
        <v>7735</v>
      </c>
    </row>
    <row r="3371" spans="2:9" ht="15" customHeight="1" x14ac:dyDescent="0.25">
      <c r="B3371" s="55" t="s">
        <v>279</v>
      </c>
      <c r="C3371" s="46">
        <v>3359</v>
      </c>
      <c r="D3371" s="69" t="s">
        <v>29416</v>
      </c>
      <c r="E3371" s="51"/>
      <c r="F3371" s="114" t="str">
        <f>IF(INDEX(I.Facility.P1IDNumber,3359)="","",INDEX(I.Facility.P1IDNumber,3359))</f>
        <v/>
      </c>
      <c r="G3371" s="51"/>
      <c r="H3371" s="46" t="str">
        <f>IF(AND(I.Developer.P1=TRUE,I.Facility.P1FacilityCount&gt;=3359,F3371=""),"Incomplete","Complete")</f>
        <v>Complete</v>
      </c>
      <c r="I3371" s="48" t="s">
        <v>7736</v>
      </c>
    </row>
    <row r="3372" spans="2:9" ht="15" customHeight="1" x14ac:dyDescent="0.25">
      <c r="B3372" s="55" t="s">
        <v>279</v>
      </c>
      <c r="C3372" s="46">
        <v>3360</v>
      </c>
      <c r="D3372" s="69" t="s">
        <v>29416</v>
      </c>
      <c r="E3372" s="51"/>
      <c r="F3372" s="114" t="str">
        <f>IF(INDEX(I.Facility.P1IDNumber,3360)="","",INDEX(I.Facility.P1IDNumber,3360))</f>
        <v/>
      </c>
      <c r="G3372" s="51"/>
      <c r="H3372" s="46" t="str">
        <f>IF(AND(I.Developer.P1=TRUE,I.Facility.P1FacilityCount&gt;=3360,F3372=""),"Incomplete","Complete")</f>
        <v>Complete</v>
      </c>
      <c r="I3372" s="48" t="s">
        <v>7737</v>
      </c>
    </row>
    <row r="3373" spans="2:9" ht="15" customHeight="1" x14ac:dyDescent="0.25">
      <c r="B3373" s="55" t="s">
        <v>279</v>
      </c>
      <c r="C3373" s="46">
        <v>3361</v>
      </c>
      <c r="D3373" s="69" t="s">
        <v>29416</v>
      </c>
      <c r="E3373" s="51"/>
      <c r="F3373" s="114" t="str">
        <f>IF(INDEX(I.Facility.P1IDNumber,3361)="","",INDEX(I.Facility.P1IDNumber,3361))</f>
        <v/>
      </c>
      <c r="G3373" s="51"/>
      <c r="H3373" s="46" t="str">
        <f>IF(AND(I.Developer.P1=TRUE,I.Facility.P1FacilityCount&gt;=3361,F3373=""),"Incomplete","Complete")</f>
        <v>Complete</v>
      </c>
      <c r="I3373" s="48" t="s">
        <v>7738</v>
      </c>
    </row>
    <row r="3374" spans="2:9" ht="15" customHeight="1" x14ac:dyDescent="0.25">
      <c r="B3374" s="55" t="s">
        <v>279</v>
      </c>
      <c r="C3374" s="46">
        <v>3362</v>
      </c>
      <c r="D3374" s="69" t="s">
        <v>29416</v>
      </c>
      <c r="E3374" s="51"/>
      <c r="F3374" s="114" t="str">
        <f>IF(INDEX(I.Facility.P1IDNumber,3362)="","",INDEX(I.Facility.P1IDNumber,3362))</f>
        <v/>
      </c>
      <c r="G3374" s="51"/>
      <c r="H3374" s="46" t="str">
        <f>IF(AND(I.Developer.P1=TRUE,I.Facility.P1FacilityCount&gt;=3362,F3374=""),"Incomplete","Complete")</f>
        <v>Complete</v>
      </c>
      <c r="I3374" s="48" t="s">
        <v>7739</v>
      </c>
    </row>
    <row r="3375" spans="2:9" ht="15" customHeight="1" x14ac:dyDescent="0.25">
      <c r="B3375" s="55" t="s">
        <v>279</v>
      </c>
      <c r="C3375" s="46">
        <v>3363</v>
      </c>
      <c r="D3375" s="69" t="s">
        <v>29416</v>
      </c>
      <c r="E3375" s="51"/>
      <c r="F3375" s="114" t="str">
        <f>IF(INDEX(I.Facility.P1IDNumber,3363)="","",INDEX(I.Facility.P1IDNumber,3363))</f>
        <v/>
      </c>
      <c r="G3375" s="51"/>
      <c r="H3375" s="46" t="str">
        <f>IF(AND(I.Developer.P1=TRUE,I.Facility.P1FacilityCount&gt;=3363,F3375=""),"Incomplete","Complete")</f>
        <v>Complete</v>
      </c>
      <c r="I3375" s="48" t="s">
        <v>7740</v>
      </c>
    </row>
    <row r="3376" spans="2:9" ht="15" customHeight="1" x14ac:dyDescent="0.25">
      <c r="B3376" s="55" t="s">
        <v>279</v>
      </c>
      <c r="C3376" s="46">
        <v>3364</v>
      </c>
      <c r="D3376" s="69" t="s">
        <v>29416</v>
      </c>
      <c r="E3376" s="51"/>
      <c r="F3376" s="114" t="str">
        <f>IF(INDEX(I.Facility.P1IDNumber,3364)="","",INDEX(I.Facility.P1IDNumber,3364))</f>
        <v/>
      </c>
      <c r="G3376" s="51"/>
      <c r="H3376" s="46" t="str">
        <f>IF(AND(I.Developer.P1=TRUE,I.Facility.P1FacilityCount&gt;=3364,F3376=""),"Incomplete","Complete")</f>
        <v>Complete</v>
      </c>
      <c r="I3376" s="48" t="s">
        <v>7741</v>
      </c>
    </row>
    <row r="3377" spans="2:9" ht="15" customHeight="1" x14ac:dyDescent="0.25">
      <c r="B3377" s="55" t="s">
        <v>279</v>
      </c>
      <c r="C3377" s="46">
        <v>3365</v>
      </c>
      <c r="D3377" s="69" t="s">
        <v>29416</v>
      </c>
      <c r="E3377" s="51"/>
      <c r="F3377" s="114" t="str">
        <f>IF(INDEX(I.Facility.P1IDNumber,3365)="","",INDEX(I.Facility.P1IDNumber,3365))</f>
        <v/>
      </c>
      <c r="G3377" s="51"/>
      <c r="H3377" s="46" t="str">
        <f>IF(AND(I.Developer.P1=TRUE,I.Facility.P1FacilityCount&gt;=3365,F3377=""),"Incomplete","Complete")</f>
        <v>Complete</v>
      </c>
      <c r="I3377" s="48" t="s">
        <v>7742</v>
      </c>
    </row>
    <row r="3378" spans="2:9" ht="15" customHeight="1" x14ac:dyDescent="0.25">
      <c r="B3378" s="55" t="s">
        <v>279</v>
      </c>
      <c r="C3378" s="46">
        <v>3366</v>
      </c>
      <c r="D3378" s="69" t="s">
        <v>29416</v>
      </c>
      <c r="E3378" s="51"/>
      <c r="F3378" s="114" t="str">
        <f>IF(INDEX(I.Facility.P1IDNumber,3366)="","",INDEX(I.Facility.P1IDNumber,3366))</f>
        <v/>
      </c>
      <c r="G3378" s="51"/>
      <c r="H3378" s="46" t="str">
        <f>IF(AND(I.Developer.P1=TRUE,I.Facility.P1FacilityCount&gt;=3366,F3378=""),"Incomplete","Complete")</f>
        <v>Complete</v>
      </c>
      <c r="I3378" s="48" t="s">
        <v>7743</v>
      </c>
    </row>
    <row r="3379" spans="2:9" ht="15" customHeight="1" x14ac:dyDescent="0.25">
      <c r="B3379" s="55" t="s">
        <v>279</v>
      </c>
      <c r="C3379" s="46">
        <v>3367</v>
      </c>
      <c r="D3379" s="69" t="s">
        <v>29416</v>
      </c>
      <c r="E3379" s="51"/>
      <c r="F3379" s="114" t="str">
        <f>IF(INDEX(I.Facility.P1IDNumber,3367)="","",INDEX(I.Facility.P1IDNumber,3367))</f>
        <v/>
      </c>
      <c r="G3379" s="51"/>
      <c r="H3379" s="46" t="str">
        <f>IF(AND(I.Developer.P1=TRUE,I.Facility.P1FacilityCount&gt;=3367,F3379=""),"Incomplete","Complete")</f>
        <v>Complete</v>
      </c>
      <c r="I3379" s="48" t="s">
        <v>7744</v>
      </c>
    </row>
    <row r="3380" spans="2:9" ht="15" customHeight="1" x14ac:dyDescent="0.25">
      <c r="B3380" s="55" t="s">
        <v>279</v>
      </c>
      <c r="C3380" s="46">
        <v>3368</v>
      </c>
      <c r="D3380" s="69" t="s">
        <v>29416</v>
      </c>
      <c r="E3380" s="51"/>
      <c r="F3380" s="114" t="str">
        <f>IF(INDEX(I.Facility.P1IDNumber,3368)="","",INDEX(I.Facility.P1IDNumber,3368))</f>
        <v/>
      </c>
      <c r="G3380" s="51"/>
      <c r="H3380" s="46" t="str">
        <f>IF(AND(I.Developer.P1=TRUE,I.Facility.P1FacilityCount&gt;=3368,F3380=""),"Incomplete","Complete")</f>
        <v>Complete</v>
      </c>
      <c r="I3380" s="48" t="s">
        <v>7745</v>
      </c>
    </row>
    <row r="3381" spans="2:9" ht="15" customHeight="1" x14ac:dyDescent="0.25">
      <c r="B3381" s="55" t="s">
        <v>279</v>
      </c>
      <c r="C3381" s="46">
        <v>3369</v>
      </c>
      <c r="D3381" s="69" t="s">
        <v>29416</v>
      </c>
      <c r="E3381" s="51"/>
      <c r="F3381" s="114" t="str">
        <f>IF(INDEX(I.Facility.P1IDNumber,3369)="","",INDEX(I.Facility.P1IDNumber,3369))</f>
        <v/>
      </c>
      <c r="G3381" s="51"/>
      <c r="H3381" s="46" t="str">
        <f>IF(AND(I.Developer.P1=TRUE,I.Facility.P1FacilityCount&gt;=3369,F3381=""),"Incomplete","Complete")</f>
        <v>Complete</v>
      </c>
      <c r="I3381" s="48" t="s">
        <v>7746</v>
      </c>
    </row>
    <row r="3382" spans="2:9" ht="15" customHeight="1" x14ac:dyDescent="0.25">
      <c r="B3382" s="55" t="s">
        <v>279</v>
      </c>
      <c r="C3382" s="46">
        <v>3370</v>
      </c>
      <c r="D3382" s="69" t="s">
        <v>29416</v>
      </c>
      <c r="E3382" s="51"/>
      <c r="F3382" s="114" t="str">
        <f>IF(INDEX(I.Facility.P1IDNumber,3370)="","",INDEX(I.Facility.P1IDNumber,3370))</f>
        <v/>
      </c>
      <c r="G3382" s="51"/>
      <c r="H3382" s="46" t="str">
        <f>IF(AND(I.Developer.P1=TRUE,I.Facility.P1FacilityCount&gt;=3370,F3382=""),"Incomplete","Complete")</f>
        <v>Complete</v>
      </c>
      <c r="I3382" s="48" t="s">
        <v>7747</v>
      </c>
    </row>
    <row r="3383" spans="2:9" ht="15" customHeight="1" x14ac:dyDescent="0.25">
      <c r="B3383" s="55" t="s">
        <v>279</v>
      </c>
      <c r="C3383" s="46">
        <v>3371</v>
      </c>
      <c r="D3383" s="69" t="s">
        <v>29416</v>
      </c>
      <c r="E3383" s="51"/>
      <c r="F3383" s="114" t="str">
        <f>IF(INDEX(I.Facility.P1IDNumber,3371)="","",INDEX(I.Facility.P1IDNumber,3371))</f>
        <v/>
      </c>
      <c r="G3383" s="51"/>
      <c r="H3383" s="46" t="str">
        <f>IF(AND(I.Developer.P1=TRUE,I.Facility.P1FacilityCount&gt;=3371,F3383=""),"Incomplete","Complete")</f>
        <v>Complete</v>
      </c>
      <c r="I3383" s="48" t="s">
        <v>7748</v>
      </c>
    </row>
    <row r="3384" spans="2:9" ht="15" customHeight="1" x14ac:dyDescent="0.25">
      <c r="B3384" s="55" t="s">
        <v>279</v>
      </c>
      <c r="C3384" s="46">
        <v>3372</v>
      </c>
      <c r="D3384" s="69" t="s">
        <v>29416</v>
      </c>
      <c r="E3384" s="51"/>
      <c r="F3384" s="114" t="str">
        <f>IF(INDEX(I.Facility.P1IDNumber,3372)="","",INDEX(I.Facility.P1IDNumber,3372))</f>
        <v/>
      </c>
      <c r="G3384" s="51"/>
      <c r="H3384" s="46" t="str">
        <f>IF(AND(I.Developer.P1=TRUE,I.Facility.P1FacilityCount&gt;=3372,F3384=""),"Incomplete","Complete")</f>
        <v>Complete</v>
      </c>
      <c r="I3384" s="48" t="s">
        <v>7749</v>
      </c>
    </row>
    <row r="3385" spans="2:9" ht="15" customHeight="1" x14ac:dyDescent="0.25">
      <c r="B3385" s="55" t="s">
        <v>279</v>
      </c>
      <c r="C3385" s="46">
        <v>3373</v>
      </c>
      <c r="D3385" s="69" t="s">
        <v>29416</v>
      </c>
      <c r="E3385" s="51"/>
      <c r="F3385" s="114" t="str">
        <f>IF(INDEX(I.Facility.P1IDNumber,3373)="","",INDEX(I.Facility.P1IDNumber,3373))</f>
        <v/>
      </c>
      <c r="G3385" s="51"/>
      <c r="H3385" s="46" t="str">
        <f>IF(AND(I.Developer.P1=TRUE,I.Facility.P1FacilityCount&gt;=3373,F3385=""),"Incomplete","Complete")</f>
        <v>Complete</v>
      </c>
      <c r="I3385" s="48" t="s">
        <v>7750</v>
      </c>
    </row>
    <row r="3386" spans="2:9" ht="15" customHeight="1" x14ac:dyDescent="0.25">
      <c r="B3386" s="55" t="s">
        <v>279</v>
      </c>
      <c r="C3386" s="46">
        <v>3374</v>
      </c>
      <c r="D3386" s="69" t="s">
        <v>29416</v>
      </c>
      <c r="E3386" s="51"/>
      <c r="F3386" s="114" t="str">
        <f>IF(INDEX(I.Facility.P1IDNumber,3374)="","",INDEX(I.Facility.P1IDNumber,3374))</f>
        <v/>
      </c>
      <c r="G3386" s="51"/>
      <c r="H3386" s="46" t="str">
        <f>IF(AND(I.Developer.P1=TRUE,I.Facility.P1FacilityCount&gt;=3374,F3386=""),"Incomplete","Complete")</f>
        <v>Complete</v>
      </c>
      <c r="I3386" s="48" t="s">
        <v>7751</v>
      </c>
    </row>
    <row r="3387" spans="2:9" ht="15" customHeight="1" x14ac:dyDescent="0.25">
      <c r="B3387" s="55" t="s">
        <v>279</v>
      </c>
      <c r="C3387" s="46">
        <v>3375</v>
      </c>
      <c r="D3387" s="69" t="s">
        <v>29416</v>
      </c>
      <c r="E3387" s="51"/>
      <c r="F3387" s="114" t="str">
        <f>IF(INDEX(I.Facility.P1IDNumber,3375)="","",INDEX(I.Facility.P1IDNumber,3375))</f>
        <v/>
      </c>
      <c r="G3387" s="51"/>
      <c r="H3387" s="46" t="str">
        <f>IF(AND(I.Developer.P1=TRUE,I.Facility.P1FacilityCount&gt;=3375,F3387=""),"Incomplete","Complete")</f>
        <v>Complete</v>
      </c>
      <c r="I3387" s="48" t="s">
        <v>7752</v>
      </c>
    </row>
    <row r="3388" spans="2:9" ht="15" customHeight="1" x14ac:dyDescent="0.25">
      <c r="B3388" s="55" t="s">
        <v>279</v>
      </c>
      <c r="C3388" s="46">
        <v>3376</v>
      </c>
      <c r="D3388" s="69" t="s">
        <v>29416</v>
      </c>
      <c r="E3388" s="51"/>
      <c r="F3388" s="114" t="str">
        <f>IF(INDEX(I.Facility.P1IDNumber,3376)="","",INDEX(I.Facility.P1IDNumber,3376))</f>
        <v/>
      </c>
      <c r="G3388" s="51"/>
      <c r="H3388" s="46" t="str">
        <f>IF(AND(I.Developer.P1=TRUE,I.Facility.P1FacilityCount&gt;=3376,F3388=""),"Incomplete","Complete")</f>
        <v>Complete</v>
      </c>
      <c r="I3388" s="48" t="s">
        <v>7753</v>
      </c>
    </row>
    <row r="3389" spans="2:9" ht="15" customHeight="1" x14ac:dyDescent="0.25">
      <c r="B3389" s="55" t="s">
        <v>279</v>
      </c>
      <c r="C3389" s="46">
        <v>3377</v>
      </c>
      <c r="D3389" s="69" t="s">
        <v>29416</v>
      </c>
      <c r="E3389" s="51"/>
      <c r="F3389" s="114" t="str">
        <f>IF(INDEX(I.Facility.P1IDNumber,3377)="","",INDEX(I.Facility.P1IDNumber,3377))</f>
        <v/>
      </c>
      <c r="G3389" s="51"/>
      <c r="H3389" s="46" t="str">
        <f>IF(AND(I.Developer.P1=TRUE,I.Facility.P1FacilityCount&gt;=3377,F3389=""),"Incomplete","Complete")</f>
        <v>Complete</v>
      </c>
      <c r="I3389" s="48" t="s">
        <v>7754</v>
      </c>
    </row>
    <row r="3390" spans="2:9" ht="15" customHeight="1" x14ac:dyDescent="0.25">
      <c r="B3390" s="55" t="s">
        <v>279</v>
      </c>
      <c r="C3390" s="46">
        <v>3378</v>
      </c>
      <c r="D3390" s="69" t="s">
        <v>29416</v>
      </c>
      <c r="E3390" s="51"/>
      <c r="F3390" s="114" t="str">
        <f>IF(INDEX(I.Facility.P1IDNumber,3378)="","",INDEX(I.Facility.P1IDNumber,3378))</f>
        <v/>
      </c>
      <c r="G3390" s="51"/>
      <c r="H3390" s="46" t="str">
        <f>IF(AND(I.Developer.P1=TRUE,I.Facility.P1FacilityCount&gt;=3378,F3390=""),"Incomplete","Complete")</f>
        <v>Complete</v>
      </c>
      <c r="I3390" s="48" t="s">
        <v>7755</v>
      </c>
    </row>
    <row r="3391" spans="2:9" ht="15" customHeight="1" x14ac:dyDescent="0.25">
      <c r="B3391" s="55" t="s">
        <v>279</v>
      </c>
      <c r="C3391" s="46">
        <v>3379</v>
      </c>
      <c r="D3391" s="69" t="s">
        <v>29416</v>
      </c>
      <c r="E3391" s="51"/>
      <c r="F3391" s="114" t="str">
        <f>IF(INDEX(I.Facility.P1IDNumber,3379)="","",INDEX(I.Facility.P1IDNumber,3379))</f>
        <v/>
      </c>
      <c r="G3391" s="51"/>
      <c r="H3391" s="46" t="str">
        <f>IF(AND(I.Developer.P1=TRUE,I.Facility.P1FacilityCount&gt;=3379,F3391=""),"Incomplete","Complete")</f>
        <v>Complete</v>
      </c>
      <c r="I3391" s="48" t="s">
        <v>7756</v>
      </c>
    </row>
    <row r="3392" spans="2:9" ht="15" customHeight="1" x14ac:dyDescent="0.25">
      <c r="B3392" s="55" t="s">
        <v>279</v>
      </c>
      <c r="C3392" s="46">
        <v>3380</v>
      </c>
      <c r="D3392" s="69" t="s">
        <v>29416</v>
      </c>
      <c r="E3392" s="51"/>
      <c r="F3392" s="114" t="str">
        <f>IF(INDEX(I.Facility.P1IDNumber,3380)="","",INDEX(I.Facility.P1IDNumber,3380))</f>
        <v/>
      </c>
      <c r="G3392" s="51"/>
      <c r="H3392" s="46" t="str">
        <f>IF(AND(I.Developer.P1=TRUE,I.Facility.P1FacilityCount&gt;=3380,F3392=""),"Incomplete","Complete")</f>
        <v>Complete</v>
      </c>
      <c r="I3392" s="48" t="s">
        <v>7757</v>
      </c>
    </row>
    <row r="3393" spans="2:9" ht="15" customHeight="1" x14ac:dyDescent="0.25">
      <c r="B3393" s="55" t="s">
        <v>279</v>
      </c>
      <c r="C3393" s="46">
        <v>3381</v>
      </c>
      <c r="D3393" s="69" t="s">
        <v>29416</v>
      </c>
      <c r="E3393" s="51"/>
      <c r="F3393" s="114" t="str">
        <f>IF(INDEX(I.Facility.P1IDNumber,3381)="","",INDEX(I.Facility.P1IDNumber,3381))</f>
        <v/>
      </c>
      <c r="G3393" s="51"/>
      <c r="H3393" s="46" t="str">
        <f>IF(AND(I.Developer.P1=TRUE,I.Facility.P1FacilityCount&gt;=3381,F3393=""),"Incomplete","Complete")</f>
        <v>Complete</v>
      </c>
      <c r="I3393" s="48" t="s">
        <v>7758</v>
      </c>
    </row>
    <row r="3394" spans="2:9" ht="15" customHeight="1" x14ac:dyDescent="0.25">
      <c r="B3394" s="55" t="s">
        <v>279</v>
      </c>
      <c r="C3394" s="46">
        <v>3382</v>
      </c>
      <c r="D3394" s="69" t="s">
        <v>29416</v>
      </c>
      <c r="E3394" s="51"/>
      <c r="F3394" s="114" t="str">
        <f>IF(INDEX(I.Facility.P1IDNumber,3382)="","",INDEX(I.Facility.P1IDNumber,3382))</f>
        <v/>
      </c>
      <c r="G3394" s="51"/>
      <c r="H3394" s="46" t="str">
        <f>IF(AND(I.Developer.P1=TRUE,I.Facility.P1FacilityCount&gt;=3382,F3394=""),"Incomplete","Complete")</f>
        <v>Complete</v>
      </c>
      <c r="I3394" s="48" t="s">
        <v>7759</v>
      </c>
    </row>
    <row r="3395" spans="2:9" ht="15" customHeight="1" x14ac:dyDescent="0.25">
      <c r="B3395" s="55" t="s">
        <v>279</v>
      </c>
      <c r="C3395" s="46">
        <v>3383</v>
      </c>
      <c r="D3395" s="69" t="s">
        <v>29416</v>
      </c>
      <c r="E3395" s="51"/>
      <c r="F3395" s="114" t="str">
        <f>IF(INDEX(I.Facility.P1IDNumber,3383)="","",INDEX(I.Facility.P1IDNumber,3383))</f>
        <v/>
      </c>
      <c r="G3395" s="51"/>
      <c r="H3395" s="46" t="str">
        <f>IF(AND(I.Developer.P1=TRUE,I.Facility.P1FacilityCount&gt;=3383,F3395=""),"Incomplete","Complete")</f>
        <v>Complete</v>
      </c>
      <c r="I3395" s="48" t="s">
        <v>7760</v>
      </c>
    </row>
    <row r="3396" spans="2:9" ht="15" customHeight="1" x14ac:dyDescent="0.25">
      <c r="B3396" s="55" t="s">
        <v>279</v>
      </c>
      <c r="C3396" s="46">
        <v>3384</v>
      </c>
      <c r="D3396" s="69" t="s">
        <v>29416</v>
      </c>
      <c r="E3396" s="51"/>
      <c r="F3396" s="114" t="str">
        <f>IF(INDEX(I.Facility.P1IDNumber,3384)="","",INDEX(I.Facility.P1IDNumber,3384))</f>
        <v/>
      </c>
      <c r="G3396" s="51"/>
      <c r="H3396" s="46" t="str">
        <f>IF(AND(I.Developer.P1=TRUE,I.Facility.P1FacilityCount&gt;=3384,F3396=""),"Incomplete","Complete")</f>
        <v>Complete</v>
      </c>
      <c r="I3396" s="48" t="s">
        <v>7761</v>
      </c>
    </row>
    <row r="3397" spans="2:9" ht="15" customHeight="1" x14ac:dyDescent="0.25">
      <c r="B3397" s="55" t="s">
        <v>279</v>
      </c>
      <c r="C3397" s="46">
        <v>3385</v>
      </c>
      <c r="D3397" s="69" t="s">
        <v>29416</v>
      </c>
      <c r="E3397" s="51"/>
      <c r="F3397" s="114" t="str">
        <f>IF(INDEX(I.Facility.P1IDNumber,3385)="","",INDEX(I.Facility.P1IDNumber,3385))</f>
        <v/>
      </c>
      <c r="G3397" s="51"/>
      <c r="H3397" s="46" t="str">
        <f>IF(AND(I.Developer.P1=TRUE,I.Facility.P1FacilityCount&gt;=3385,F3397=""),"Incomplete","Complete")</f>
        <v>Complete</v>
      </c>
      <c r="I3397" s="48" t="s">
        <v>7762</v>
      </c>
    </row>
    <row r="3398" spans="2:9" ht="15" customHeight="1" x14ac:dyDescent="0.25">
      <c r="B3398" s="55" t="s">
        <v>279</v>
      </c>
      <c r="C3398" s="46">
        <v>3386</v>
      </c>
      <c r="D3398" s="69" t="s">
        <v>29416</v>
      </c>
      <c r="E3398" s="51"/>
      <c r="F3398" s="114" t="str">
        <f>IF(INDEX(I.Facility.P1IDNumber,3386)="","",INDEX(I.Facility.P1IDNumber,3386))</f>
        <v/>
      </c>
      <c r="G3398" s="51"/>
      <c r="H3398" s="46" t="str">
        <f>IF(AND(I.Developer.P1=TRUE,I.Facility.P1FacilityCount&gt;=3386,F3398=""),"Incomplete","Complete")</f>
        <v>Complete</v>
      </c>
      <c r="I3398" s="48" t="s">
        <v>7763</v>
      </c>
    </row>
    <row r="3399" spans="2:9" ht="15" customHeight="1" x14ac:dyDescent="0.25">
      <c r="B3399" s="55" t="s">
        <v>279</v>
      </c>
      <c r="C3399" s="46">
        <v>3387</v>
      </c>
      <c r="D3399" s="69" t="s">
        <v>29416</v>
      </c>
      <c r="E3399" s="51"/>
      <c r="F3399" s="114" t="str">
        <f>IF(INDEX(I.Facility.P1IDNumber,3387)="","",INDEX(I.Facility.P1IDNumber,3387))</f>
        <v/>
      </c>
      <c r="G3399" s="51"/>
      <c r="H3399" s="46" t="str">
        <f>IF(AND(I.Developer.P1=TRUE,I.Facility.P1FacilityCount&gt;=3387,F3399=""),"Incomplete","Complete")</f>
        <v>Complete</v>
      </c>
      <c r="I3399" s="48" t="s">
        <v>7764</v>
      </c>
    </row>
    <row r="3400" spans="2:9" ht="15" customHeight="1" x14ac:dyDescent="0.25">
      <c r="B3400" s="55" t="s">
        <v>279</v>
      </c>
      <c r="C3400" s="46">
        <v>3388</v>
      </c>
      <c r="D3400" s="69" t="s">
        <v>29416</v>
      </c>
      <c r="E3400" s="51"/>
      <c r="F3400" s="114" t="str">
        <f>IF(INDEX(I.Facility.P1IDNumber,3388)="","",INDEX(I.Facility.P1IDNumber,3388))</f>
        <v/>
      </c>
      <c r="G3400" s="51"/>
      <c r="H3400" s="46" t="str">
        <f>IF(AND(I.Developer.P1=TRUE,I.Facility.P1FacilityCount&gt;=3388,F3400=""),"Incomplete","Complete")</f>
        <v>Complete</v>
      </c>
      <c r="I3400" s="48" t="s">
        <v>7765</v>
      </c>
    </row>
    <row r="3401" spans="2:9" ht="15" customHeight="1" x14ac:dyDescent="0.25">
      <c r="B3401" s="55" t="s">
        <v>279</v>
      </c>
      <c r="C3401" s="46">
        <v>3389</v>
      </c>
      <c r="D3401" s="69" t="s">
        <v>29416</v>
      </c>
      <c r="E3401" s="51"/>
      <c r="F3401" s="114" t="str">
        <f>IF(INDEX(I.Facility.P1IDNumber,3389)="","",INDEX(I.Facility.P1IDNumber,3389))</f>
        <v/>
      </c>
      <c r="G3401" s="51"/>
      <c r="H3401" s="46" t="str">
        <f>IF(AND(I.Developer.P1=TRUE,I.Facility.P1FacilityCount&gt;=3389,F3401=""),"Incomplete","Complete")</f>
        <v>Complete</v>
      </c>
      <c r="I3401" s="48" t="s">
        <v>7766</v>
      </c>
    </row>
    <row r="3402" spans="2:9" ht="15" customHeight="1" x14ac:dyDescent="0.25">
      <c r="B3402" s="55" t="s">
        <v>279</v>
      </c>
      <c r="C3402" s="46">
        <v>3390</v>
      </c>
      <c r="D3402" s="69" t="s">
        <v>29416</v>
      </c>
      <c r="E3402" s="51"/>
      <c r="F3402" s="114" t="str">
        <f>IF(INDEX(I.Facility.P1IDNumber,3390)="","",INDEX(I.Facility.P1IDNumber,3390))</f>
        <v/>
      </c>
      <c r="G3402" s="51"/>
      <c r="H3402" s="46" t="str">
        <f>IF(AND(I.Developer.P1=TRUE,I.Facility.P1FacilityCount&gt;=3390,F3402=""),"Incomplete","Complete")</f>
        <v>Complete</v>
      </c>
      <c r="I3402" s="48" t="s">
        <v>7767</v>
      </c>
    </row>
    <row r="3403" spans="2:9" ht="15" customHeight="1" x14ac:dyDescent="0.25">
      <c r="B3403" s="55" t="s">
        <v>279</v>
      </c>
      <c r="C3403" s="46">
        <v>3391</v>
      </c>
      <c r="D3403" s="69" t="s">
        <v>29416</v>
      </c>
      <c r="E3403" s="51"/>
      <c r="F3403" s="114" t="str">
        <f>IF(INDEX(I.Facility.P1IDNumber,3391)="","",INDEX(I.Facility.P1IDNumber,3391))</f>
        <v/>
      </c>
      <c r="G3403" s="51"/>
      <c r="H3403" s="46" t="str">
        <f>IF(AND(I.Developer.P1=TRUE,I.Facility.P1FacilityCount&gt;=3391,F3403=""),"Incomplete","Complete")</f>
        <v>Complete</v>
      </c>
      <c r="I3403" s="48" t="s">
        <v>7768</v>
      </c>
    </row>
    <row r="3404" spans="2:9" ht="15" customHeight="1" x14ac:dyDescent="0.25">
      <c r="B3404" s="55" t="s">
        <v>279</v>
      </c>
      <c r="C3404" s="46">
        <v>3392</v>
      </c>
      <c r="D3404" s="69" t="s">
        <v>29416</v>
      </c>
      <c r="E3404" s="51"/>
      <c r="F3404" s="114" t="str">
        <f>IF(INDEX(I.Facility.P1IDNumber,3392)="","",INDEX(I.Facility.P1IDNumber,3392))</f>
        <v/>
      </c>
      <c r="G3404" s="51"/>
      <c r="H3404" s="46" t="str">
        <f>IF(AND(I.Developer.P1=TRUE,I.Facility.P1FacilityCount&gt;=3392,F3404=""),"Incomplete","Complete")</f>
        <v>Complete</v>
      </c>
      <c r="I3404" s="48" t="s">
        <v>7769</v>
      </c>
    </row>
    <row r="3405" spans="2:9" ht="15" customHeight="1" x14ac:dyDescent="0.25">
      <c r="B3405" s="55" t="s">
        <v>279</v>
      </c>
      <c r="C3405" s="46">
        <v>3393</v>
      </c>
      <c r="D3405" s="69" t="s">
        <v>29416</v>
      </c>
      <c r="E3405" s="51"/>
      <c r="F3405" s="114" t="str">
        <f>IF(INDEX(I.Facility.P1IDNumber,3393)="","",INDEX(I.Facility.P1IDNumber,3393))</f>
        <v/>
      </c>
      <c r="G3405" s="51"/>
      <c r="H3405" s="46" t="str">
        <f>IF(AND(I.Developer.P1=TRUE,I.Facility.P1FacilityCount&gt;=3393,F3405=""),"Incomplete","Complete")</f>
        <v>Complete</v>
      </c>
      <c r="I3405" s="48" t="s">
        <v>7770</v>
      </c>
    </row>
    <row r="3406" spans="2:9" ht="15" customHeight="1" x14ac:dyDescent="0.25">
      <c r="B3406" s="55" t="s">
        <v>279</v>
      </c>
      <c r="C3406" s="46">
        <v>3394</v>
      </c>
      <c r="D3406" s="69" t="s">
        <v>29416</v>
      </c>
      <c r="E3406" s="51"/>
      <c r="F3406" s="114" t="str">
        <f>IF(INDEX(I.Facility.P1IDNumber,3394)="","",INDEX(I.Facility.P1IDNumber,3394))</f>
        <v/>
      </c>
      <c r="G3406" s="51"/>
      <c r="H3406" s="46" t="str">
        <f>IF(AND(I.Developer.P1=TRUE,I.Facility.P1FacilityCount&gt;=3394,F3406=""),"Incomplete","Complete")</f>
        <v>Complete</v>
      </c>
      <c r="I3406" s="48" t="s">
        <v>7771</v>
      </c>
    </row>
    <row r="3407" spans="2:9" ht="15" customHeight="1" x14ac:dyDescent="0.25">
      <c r="B3407" s="55" t="s">
        <v>279</v>
      </c>
      <c r="C3407" s="46">
        <v>3395</v>
      </c>
      <c r="D3407" s="69" t="s">
        <v>29416</v>
      </c>
      <c r="E3407" s="51"/>
      <c r="F3407" s="114" t="str">
        <f>IF(INDEX(I.Facility.P1IDNumber,3395)="","",INDEX(I.Facility.P1IDNumber,3395))</f>
        <v/>
      </c>
      <c r="G3407" s="51"/>
      <c r="H3407" s="46" t="str">
        <f>IF(AND(I.Developer.P1=TRUE,I.Facility.P1FacilityCount&gt;=3395,F3407=""),"Incomplete","Complete")</f>
        <v>Complete</v>
      </c>
      <c r="I3407" s="48" t="s">
        <v>7772</v>
      </c>
    </row>
    <row r="3408" spans="2:9" ht="15" customHeight="1" x14ac:dyDescent="0.25">
      <c r="B3408" s="55" t="s">
        <v>279</v>
      </c>
      <c r="C3408" s="46">
        <v>3396</v>
      </c>
      <c r="D3408" s="69" t="s">
        <v>29416</v>
      </c>
      <c r="E3408" s="51"/>
      <c r="F3408" s="114" t="str">
        <f>IF(INDEX(I.Facility.P1IDNumber,3396)="","",INDEX(I.Facility.P1IDNumber,3396))</f>
        <v/>
      </c>
      <c r="G3408" s="51"/>
      <c r="H3408" s="46" t="str">
        <f>IF(AND(I.Developer.P1=TRUE,I.Facility.P1FacilityCount&gt;=3396,F3408=""),"Incomplete","Complete")</f>
        <v>Complete</v>
      </c>
      <c r="I3408" s="48" t="s">
        <v>7773</v>
      </c>
    </row>
    <row r="3409" spans="2:9" ht="15" customHeight="1" x14ac:dyDescent="0.25">
      <c r="B3409" s="55" t="s">
        <v>279</v>
      </c>
      <c r="C3409" s="46">
        <v>3397</v>
      </c>
      <c r="D3409" s="69" t="s">
        <v>29416</v>
      </c>
      <c r="E3409" s="51"/>
      <c r="F3409" s="114" t="str">
        <f>IF(INDEX(I.Facility.P1IDNumber,3397)="","",INDEX(I.Facility.P1IDNumber,3397))</f>
        <v/>
      </c>
      <c r="G3409" s="51"/>
      <c r="H3409" s="46" t="str">
        <f>IF(AND(I.Developer.P1=TRUE,I.Facility.P1FacilityCount&gt;=3397,F3409=""),"Incomplete","Complete")</f>
        <v>Complete</v>
      </c>
      <c r="I3409" s="48" t="s">
        <v>7774</v>
      </c>
    </row>
    <row r="3410" spans="2:9" ht="15" customHeight="1" x14ac:dyDescent="0.25">
      <c r="B3410" s="55" t="s">
        <v>279</v>
      </c>
      <c r="C3410" s="46">
        <v>3398</v>
      </c>
      <c r="D3410" s="69" t="s">
        <v>29416</v>
      </c>
      <c r="E3410" s="51"/>
      <c r="F3410" s="114" t="str">
        <f>IF(INDEX(I.Facility.P1IDNumber,3398)="","",INDEX(I.Facility.P1IDNumber,3398))</f>
        <v/>
      </c>
      <c r="G3410" s="51"/>
      <c r="H3410" s="46" t="str">
        <f>IF(AND(I.Developer.P1=TRUE,I.Facility.P1FacilityCount&gt;=3398,F3410=""),"Incomplete","Complete")</f>
        <v>Complete</v>
      </c>
      <c r="I3410" s="48" t="s">
        <v>7775</v>
      </c>
    </row>
    <row r="3411" spans="2:9" ht="15" customHeight="1" x14ac:dyDescent="0.25">
      <c r="B3411" s="55" t="s">
        <v>279</v>
      </c>
      <c r="C3411" s="46">
        <v>3399</v>
      </c>
      <c r="D3411" s="69" t="s">
        <v>29416</v>
      </c>
      <c r="E3411" s="51"/>
      <c r="F3411" s="114" t="str">
        <f>IF(INDEX(I.Facility.P1IDNumber,3399)="","",INDEX(I.Facility.P1IDNumber,3399))</f>
        <v/>
      </c>
      <c r="G3411" s="51"/>
      <c r="H3411" s="46" t="str">
        <f>IF(AND(I.Developer.P1=TRUE,I.Facility.P1FacilityCount&gt;=3399,F3411=""),"Incomplete","Complete")</f>
        <v>Complete</v>
      </c>
      <c r="I3411" s="48" t="s">
        <v>7776</v>
      </c>
    </row>
    <row r="3412" spans="2:9" ht="15" customHeight="1" x14ac:dyDescent="0.25">
      <c r="B3412" s="55" t="s">
        <v>279</v>
      </c>
      <c r="C3412" s="46">
        <v>3400</v>
      </c>
      <c r="D3412" s="69" t="s">
        <v>29416</v>
      </c>
      <c r="E3412" s="51"/>
      <c r="F3412" s="114" t="str">
        <f>IF(INDEX(I.Facility.P1IDNumber,3400)="","",INDEX(I.Facility.P1IDNumber,3400))</f>
        <v/>
      </c>
      <c r="G3412" s="51"/>
      <c r="H3412" s="46" t="str">
        <f>IF(AND(I.Developer.P1=TRUE,I.Facility.P1FacilityCount&gt;=3400,F3412=""),"Incomplete","Complete")</f>
        <v>Complete</v>
      </c>
      <c r="I3412" s="48" t="s">
        <v>7777</v>
      </c>
    </row>
    <row r="3413" spans="2:9" ht="15" customHeight="1" x14ac:dyDescent="0.25">
      <c r="B3413" s="55" t="s">
        <v>279</v>
      </c>
      <c r="C3413" s="46">
        <v>3401</v>
      </c>
      <c r="D3413" s="69" t="s">
        <v>29416</v>
      </c>
      <c r="E3413" s="51"/>
      <c r="F3413" s="114" t="str">
        <f>IF(INDEX(I.Facility.P1IDNumber,3401)="","",INDEX(I.Facility.P1IDNumber,3401))</f>
        <v/>
      </c>
      <c r="G3413" s="51"/>
      <c r="H3413" s="46" t="str">
        <f>IF(AND(I.Developer.P1=TRUE,I.Facility.P1FacilityCount&gt;=3401,F3413=""),"Incomplete","Complete")</f>
        <v>Complete</v>
      </c>
      <c r="I3413" s="48" t="s">
        <v>7778</v>
      </c>
    </row>
    <row r="3414" spans="2:9" ht="15" customHeight="1" x14ac:dyDescent="0.25">
      <c r="B3414" s="55" t="s">
        <v>279</v>
      </c>
      <c r="C3414" s="46">
        <v>3402</v>
      </c>
      <c r="D3414" s="69" t="s">
        <v>29416</v>
      </c>
      <c r="E3414" s="51"/>
      <c r="F3414" s="114" t="str">
        <f>IF(INDEX(I.Facility.P1IDNumber,3402)="","",INDEX(I.Facility.P1IDNumber,3402))</f>
        <v/>
      </c>
      <c r="G3414" s="51"/>
      <c r="H3414" s="46" t="str">
        <f>IF(AND(I.Developer.P1=TRUE,I.Facility.P1FacilityCount&gt;=3402,F3414=""),"Incomplete","Complete")</f>
        <v>Complete</v>
      </c>
      <c r="I3414" s="48" t="s">
        <v>7779</v>
      </c>
    </row>
    <row r="3415" spans="2:9" ht="15" customHeight="1" x14ac:dyDescent="0.25">
      <c r="B3415" s="55" t="s">
        <v>279</v>
      </c>
      <c r="C3415" s="46">
        <v>3403</v>
      </c>
      <c r="D3415" s="69" t="s">
        <v>29416</v>
      </c>
      <c r="E3415" s="51"/>
      <c r="F3415" s="114" t="str">
        <f>IF(INDEX(I.Facility.P1IDNumber,3403)="","",INDEX(I.Facility.P1IDNumber,3403))</f>
        <v/>
      </c>
      <c r="G3415" s="51"/>
      <c r="H3415" s="46" t="str">
        <f>IF(AND(I.Developer.P1=TRUE,I.Facility.P1FacilityCount&gt;=3403,F3415=""),"Incomplete","Complete")</f>
        <v>Complete</v>
      </c>
      <c r="I3415" s="48" t="s">
        <v>7780</v>
      </c>
    </row>
    <row r="3416" spans="2:9" ht="15" customHeight="1" x14ac:dyDescent="0.25">
      <c r="B3416" s="55" t="s">
        <v>279</v>
      </c>
      <c r="C3416" s="46">
        <v>3404</v>
      </c>
      <c r="D3416" s="69" t="s">
        <v>29416</v>
      </c>
      <c r="E3416" s="51"/>
      <c r="F3416" s="114" t="str">
        <f>IF(INDEX(I.Facility.P1IDNumber,3404)="","",INDEX(I.Facility.P1IDNumber,3404))</f>
        <v/>
      </c>
      <c r="G3416" s="51"/>
      <c r="H3416" s="46" t="str">
        <f>IF(AND(I.Developer.P1=TRUE,I.Facility.P1FacilityCount&gt;=3404,F3416=""),"Incomplete","Complete")</f>
        <v>Complete</v>
      </c>
      <c r="I3416" s="48" t="s">
        <v>7781</v>
      </c>
    </row>
    <row r="3417" spans="2:9" ht="15" customHeight="1" x14ac:dyDescent="0.25">
      <c r="B3417" s="55" t="s">
        <v>279</v>
      </c>
      <c r="C3417" s="46">
        <v>3405</v>
      </c>
      <c r="D3417" s="69" t="s">
        <v>29416</v>
      </c>
      <c r="E3417" s="51"/>
      <c r="F3417" s="114" t="str">
        <f>IF(INDEX(I.Facility.P1IDNumber,3405)="","",INDEX(I.Facility.P1IDNumber,3405))</f>
        <v/>
      </c>
      <c r="G3417" s="51"/>
      <c r="H3417" s="46" t="str">
        <f>IF(AND(I.Developer.P1=TRUE,I.Facility.P1FacilityCount&gt;=3405,F3417=""),"Incomplete","Complete")</f>
        <v>Complete</v>
      </c>
      <c r="I3417" s="48" t="s">
        <v>7782</v>
      </c>
    </row>
    <row r="3418" spans="2:9" ht="15" customHeight="1" x14ac:dyDescent="0.25">
      <c r="B3418" s="55" t="s">
        <v>279</v>
      </c>
      <c r="C3418" s="46">
        <v>3406</v>
      </c>
      <c r="D3418" s="69" t="s">
        <v>29416</v>
      </c>
      <c r="E3418" s="51"/>
      <c r="F3418" s="114" t="str">
        <f>IF(INDEX(I.Facility.P1IDNumber,3406)="","",INDEX(I.Facility.P1IDNumber,3406))</f>
        <v/>
      </c>
      <c r="G3418" s="51"/>
      <c r="H3418" s="46" t="str">
        <f>IF(AND(I.Developer.P1=TRUE,I.Facility.P1FacilityCount&gt;=3406,F3418=""),"Incomplete","Complete")</f>
        <v>Complete</v>
      </c>
      <c r="I3418" s="48" t="s">
        <v>7783</v>
      </c>
    </row>
    <row r="3419" spans="2:9" ht="15" customHeight="1" x14ac:dyDescent="0.25">
      <c r="B3419" s="55" t="s">
        <v>279</v>
      </c>
      <c r="C3419" s="46">
        <v>3407</v>
      </c>
      <c r="D3419" s="69" t="s">
        <v>29416</v>
      </c>
      <c r="E3419" s="51"/>
      <c r="F3419" s="114" t="str">
        <f>IF(INDEX(I.Facility.P1IDNumber,3407)="","",INDEX(I.Facility.P1IDNumber,3407))</f>
        <v/>
      </c>
      <c r="G3419" s="51"/>
      <c r="H3419" s="46" t="str">
        <f>IF(AND(I.Developer.P1=TRUE,I.Facility.P1FacilityCount&gt;=3407,F3419=""),"Incomplete","Complete")</f>
        <v>Complete</v>
      </c>
      <c r="I3419" s="48" t="s">
        <v>7784</v>
      </c>
    </row>
    <row r="3420" spans="2:9" ht="15" customHeight="1" x14ac:dyDescent="0.25">
      <c r="B3420" s="55" t="s">
        <v>279</v>
      </c>
      <c r="C3420" s="46">
        <v>3408</v>
      </c>
      <c r="D3420" s="69" t="s">
        <v>29416</v>
      </c>
      <c r="E3420" s="51"/>
      <c r="F3420" s="114" t="str">
        <f>IF(INDEX(I.Facility.P1IDNumber,3408)="","",INDEX(I.Facility.P1IDNumber,3408))</f>
        <v/>
      </c>
      <c r="G3420" s="51"/>
      <c r="H3420" s="46" t="str">
        <f>IF(AND(I.Developer.P1=TRUE,I.Facility.P1FacilityCount&gt;=3408,F3420=""),"Incomplete","Complete")</f>
        <v>Complete</v>
      </c>
      <c r="I3420" s="48" t="s">
        <v>7785</v>
      </c>
    </row>
    <row r="3421" spans="2:9" ht="15" customHeight="1" x14ac:dyDescent="0.25">
      <c r="B3421" s="55" t="s">
        <v>279</v>
      </c>
      <c r="C3421" s="46">
        <v>3409</v>
      </c>
      <c r="D3421" s="69" t="s">
        <v>29416</v>
      </c>
      <c r="E3421" s="51"/>
      <c r="F3421" s="114" t="str">
        <f>IF(INDEX(I.Facility.P1IDNumber,3409)="","",INDEX(I.Facility.P1IDNumber,3409))</f>
        <v/>
      </c>
      <c r="G3421" s="51"/>
      <c r="H3421" s="46" t="str">
        <f>IF(AND(I.Developer.P1=TRUE,I.Facility.P1FacilityCount&gt;=3409,F3421=""),"Incomplete","Complete")</f>
        <v>Complete</v>
      </c>
      <c r="I3421" s="48" t="s">
        <v>7786</v>
      </c>
    </row>
    <row r="3422" spans="2:9" ht="15" customHeight="1" x14ac:dyDescent="0.25">
      <c r="B3422" s="55" t="s">
        <v>279</v>
      </c>
      <c r="C3422" s="46">
        <v>3410</v>
      </c>
      <c r="D3422" s="69" t="s">
        <v>29416</v>
      </c>
      <c r="E3422" s="51"/>
      <c r="F3422" s="114" t="str">
        <f>IF(INDEX(I.Facility.P1IDNumber,3410)="","",INDEX(I.Facility.P1IDNumber,3410))</f>
        <v/>
      </c>
      <c r="G3422" s="51"/>
      <c r="H3422" s="46" t="str">
        <f>IF(AND(I.Developer.P1=TRUE,I.Facility.P1FacilityCount&gt;=3410,F3422=""),"Incomplete","Complete")</f>
        <v>Complete</v>
      </c>
      <c r="I3422" s="48" t="s">
        <v>7787</v>
      </c>
    </row>
    <row r="3423" spans="2:9" ht="15" customHeight="1" x14ac:dyDescent="0.25">
      <c r="B3423" s="55" t="s">
        <v>279</v>
      </c>
      <c r="C3423" s="46">
        <v>3411</v>
      </c>
      <c r="D3423" s="69" t="s">
        <v>29416</v>
      </c>
      <c r="E3423" s="51"/>
      <c r="F3423" s="114" t="str">
        <f>IF(INDEX(I.Facility.P1IDNumber,3411)="","",INDEX(I.Facility.P1IDNumber,3411))</f>
        <v/>
      </c>
      <c r="G3423" s="51"/>
      <c r="H3423" s="46" t="str">
        <f>IF(AND(I.Developer.P1=TRUE,I.Facility.P1FacilityCount&gt;=3411,F3423=""),"Incomplete","Complete")</f>
        <v>Complete</v>
      </c>
      <c r="I3423" s="48" t="s">
        <v>7788</v>
      </c>
    </row>
    <row r="3424" spans="2:9" ht="15" customHeight="1" x14ac:dyDescent="0.25">
      <c r="B3424" s="55" t="s">
        <v>279</v>
      </c>
      <c r="C3424" s="46">
        <v>3412</v>
      </c>
      <c r="D3424" s="69" t="s">
        <v>29416</v>
      </c>
      <c r="E3424" s="51"/>
      <c r="F3424" s="114" t="str">
        <f>IF(INDEX(I.Facility.P1IDNumber,3412)="","",INDEX(I.Facility.P1IDNumber,3412))</f>
        <v/>
      </c>
      <c r="G3424" s="51"/>
      <c r="H3424" s="46" t="str">
        <f>IF(AND(I.Developer.P1=TRUE,I.Facility.P1FacilityCount&gt;=3412,F3424=""),"Incomplete","Complete")</f>
        <v>Complete</v>
      </c>
      <c r="I3424" s="48" t="s">
        <v>7789</v>
      </c>
    </row>
    <row r="3425" spans="2:9" ht="15" customHeight="1" x14ac:dyDescent="0.25">
      <c r="B3425" s="55" t="s">
        <v>279</v>
      </c>
      <c r="C3425" s="46">
        <v>3413</v>
      </c>
      <c r="D3425" s="69" t="s">
        <v>29416</v>
      </c>
      <c r="E3425" s="51"/>
      <c r="F3425" s="114" t="str">
        <f>IF(INDEX(I.Facility.P1IDNumber,3413)="","",INDEX(I.Facility.P1IDNumber,3413))</f>
        <v/>
      </c>
      <c r="G3425" s="51"/>
      <c r="H3425" s="46" t="str">
        <f>IF(AND(I.Developer.P1=TRUE,I.Facility.P1FacilityCount&gt;=3413,F3425=""),"Incomplete","Complete")</f>
        <v>Complete</v>
      </c>
      <c r="I3425" s="48" t="s">
        <v>7790</v>
      </c>
    </row>
    <row r="3426" spans="2:9" ht="15" customHeight="1" x14ac:dyDescent="0.25">
      <c r="B3426" s="55" t="s">
        <v>279</v>
      </c>
      <c r="C3426" s="46">
        <v>3414</v>
      </c>
      <c r="D3426" s="69" t="s">
        <v>29416</v>
      </c>
      <c r="E3426" s="51"/>
      <c r="F3426" s="114" t="str">
        <f>IF(INDEX(I.Facility.P1IDNumber,3414)="","",INDEX(I.Facility.P1IDNumber,3414))</f>
        <v/>
      </c>
      <c r="G3426" s="51"/>
      <c r="H3426" s="46" t="str">
        <f>IF(AND(I.Developer.P1=TRUE,I.Facility.P1FacilityCount&gt;=3414,F3426=""),"Incomplete","Complete")</f>
        <v>Complete</v>
      </c>
      <c r="I3426" s="48" t="s">
        <v>7791</v>
      </c>
    </row>
    <row r="3427" spans="2:9" ht="15" customHeight="1" x14ac:dyDescent="0.25">
      <c r="B3427" s="55" t="s">
        <v>279</v>
      </c>
      <c r="C3427" s="46">
        <v>3415</v>
      </c>
      <c r="D3427" s="69" t="s">
        <v>29416</v>
      </c>
      <c r="E3427" s="51"/>
      <c r="F3427" s="114" t="str">
        <f>IF(INDEX(I.Facility.P1IDNumber,3415)="","",INDEX(I.Facility.P1IDNumber,3415))</f>
        <v/>
      </c>
      <c r="G3427" s="51"/>
      <c r="H3427" s="46" t="str">
        <f>IF(AND(I.Developer.P1=TRUE,I.Facility.P1FacilityCount&gt;=3415,F3427=""),"Incomplete","Complete")</f>
        <v>Complete</v>
      </c>
      <c r="I3427" s="48" t="s">
        <v>7792</v>
      </c>
    </row>
    <row r="3428" spans="2:9" ht="15" customHeight="1" x14ac:dyDescent="0.25">
      <c r="B3428" s="55" t="s">
        <v>279</v>
      </c>
      <c r="C3428" s="46">
        <v>3416</v>
      </c>
      <c r="D3428" s="69" t="s">
        <v>29416</v>
      </c>
      <c r="E3428" s="51"/>
      <c r="F3428" s="114" t="str">
        <f>IF(INDEX(I.Facility.P1IDNumber,3416)="","",INDEX(I.Facility.P1IDNumber,3416))</f>
        <v/>
      </c>
      <c r="G3428" s="51"/>
      <c r="H3428" s="46" t="str">
        <f>IF(AND(I.Developer.P1=TRUE,I.Facility.P1FacilityCount&gt;=3416,F3428=""),"Incomplete","Complete")</f>
        <v>Complete</v>
      </c>
      <c r="I3428" s="48" t="s">
        <v>7793</v>
      </c>
    </row>
    <row r="3429" spans="2:9" ht="15" customHeight="1" x14ac:dyDescent="0.25">
      <c r="B3429" s="55" t="s">
        <v>279</v>
      </c>
      <c r="C3429" s="46">
        <v>3417</v>
      </c>
      <c r="D3429" s="69" t="s">
        <v>29416</v>
      </c>
      <c r="E3429" s="51"/>
      <c r="F3429" s="114" t="str">
        <f>IF(INDEX(I.Facility.P1IDNumber,3417)="","",INDEX(I.Facility.P1IDNumber,3417))</f>
        <v/>
      </c>
      <c r="G3429" s="51"/>
      <c r="H3429" s="46" t="str">
        <f>IF(AND(I.Developer.P1=TRUE,I.Facility.P1FacilityCount&gt;=3417,F3429=""),"Incomplete","Complete")</f>
        <v>Complete</v>
      </c>
      <c r="I3429" s="48" t="s">
        <v>7794</v>
      </c>
    </row>
    <row r="3430" spans="2:9" ht="15" customHeight="1" x14ac:dyDescent="0.25">
      <c r="B3430" s="55" t="s">
        <v>279</v>
      </c>
      <c r="C3430" s="46">
        <v>3418</v>
      </c>
      <c r="D3430" s="69" t="s">
        <v>29416</v>
      </c>
      <c r="E3430" s="51"/>
      <c r="F3430" s="114" t="str">
        <f>IF(INDEX(I.Facility.P1IDNumber,3418)="","",INDEX(I.Facility.P1IDNumber,3418))</f>
        <v/>
      </c>
      <c r="G3430" s="51"/>
      <c r="H3430" s="46" t="str">
        <f>IF(AND(I.Developer.P1=TRUE,I.Facility.P1FacilityCount&gt;=3418,F3430=""),"Incomplete","Complete")</f>
        <v>Complete</v>
      </c>
      <c r="I3430" s="48" t="s">
        <v>7795</v>
      </c>
    </row>
    <row r="3431" spans="2:9" ht="15" customHeight="1" x14ac:dyDescent="0.25">
      <c r="B3431" s="55" t="s">
        <v>279</v>
      </c>
      <c r="C3431" s="46">
        <v>3419</v>
      </c>
      <c r="D3431" s="69" t="s">
        <v>29416</v>
      </c>
      <c r="E3431" s="51"/>
      <c r="F3431" s="114" t="str">
        <f>IF(INDEX(I.Facility.P1IDNumber,3419)="","",INDEX(I.Facility.P1IDNumber,3419))</f>
        <v/>
      </c>
      <c r="G3431" s="51"/>
      <c r="H3431" s="46" t="str">
        <f>IF(AND(I.Developer.P1=TRUE,I.Facility.P1FacilityCount&gt;=3419,F3431=""),"Incomplete","Complete")</f>
        <v>Complete</v>
      </c>
      <c r="I3431" s="48" t="s">
        <v>7796</v>
      </c>
    </row>
    <row r="3432" spans="2:9" ht="15" customHeight="1" x14ac:dyDescent="0.25">
      <c r="B3432" s="55" t="s">
        <v>279</v>
      </c>
      <c r="C3432" s="46">
        <v>3420</v>
      </c>
      <c r="D3432" s="69" t="s">
        <v>29416</v>
      </c>
      <c r="E3432" s="51"/>
      <c r="F3432" s="114" t="str">
        <f>IF(INDEX(I.Facility.P1IDNumber,3420)="","",INDEX(I.Facility.P1IDNumber,3420))</f>
        <v/>
      </c>
      <c r="G3432" s="51"/>
      <c r="H3432" s="46" t="str">
        <f>IF(AND(I.Developer.P1=TRUE,I.Facility.P1FacilityCount&gt;=3420,F3432=""),"Incomplete","Complete")</f>
        <v>Complete</v>
      </c>
      <c r="I3432" s="48" t="s">
        <v>7797</v>
      </c>
    </row>
    <row r="3433" spans="2:9" ht="15" customHeight="1" x14ac:dyDescent="0.25">
      <c r="B3433" s="55" t="s">
        <v>279</v>
      </c>
      <c r="C3433" s="46">
        <v>3421</v>
      </c>
      <c r="D3433" s="69" t="s">
        <v>29416</v>
      </c>
      <c r="E3433" s="51"/>
      <c r="F3433" s="114" t="str">
        <f>IF(INDEX(I.Facility.P1IDNumber,3421)="","",INDEX(I.Facility.P1IDNumber,3421))</f>
        <v/>
      </c>
      <c r="G3433" s="51"/>
      <c r="H3433" s="46" t="str">
        <f>IF(AND(I.Developer.P1=TRUE,I.Facility.P1FacilityCount&gt;=3421,F3433=""),"Incomplete","Complete")</f>
        <v>Complete</v>
      </c>
      <c r="I3433" s="48" t="s">
        <v>7798</v>
      </c>
    </row>
    <row r="3434" spans="2:9" ht="15" customHeight="1" x14ac:dyDescent="0.25">
      <c r="B3434" s="55" t="s">
        <v>279</v>
      </c>
      <c r="C3434" s="46">
        <v>3422</v>
      </c>
      <c r="D3434" s="69" t="s">
        <v>29416</v>
      </c>
      <c r="E3434" s="51"/>
      <c r="F3434" s="114" t="str">
        <f>IF(INDEX(I.Facility.P1IDNumber,3422)="","",INDEX(I.Facility.P1IDNumber,3422))</f>
        <v/>
      </c>
      <c r="G3434" s="51"/>
      <c r="H3434" s="46" t="str">
        <f>IF(AND(I.Developer.P1=TRUE,I.Facility.P1FacilityCount&gt;=3422,F3434=""),"Incomplete","Complete")</f>
        <v>Complete</v>
      </c>
      <c r="I3434" s="48" t="s">
        <v>7799</v>
      </c>
    </row>
    <row r="3435" spans="2:9" ht="15" customHeight="1" x14ac:dyDescent="0.25">
      <c r="B3435" s="55" t="s">
        <v>279</v>
      </c>
      <c r="C3435" s="46">
        <v>3423</v>
      </c>
      <c r="D3435" s="69" t="s">
        <v>29416</v>
      </c>
      <c r="E3435" s="51"/>
      <c r="F3435" s="114" t="str">
        <f>IF(INDEX(I.Facility.P1IDNumber,3423)="","",INDEX(I.Facility.P1IDNumber,3423))</f>
        <v/>
      </c>
      <c r="G3435" s="51"/>
      <c r="H3435" s="46" t="str">
        <f>IF(AND(I.Developer.P1=TRUE,I.Facility.P1FacilityCount&gt;=3423,F3435=""),"Incomplete","Complete")</f>
        <v>Complete</v>
      </c>
      <c r="I3435" s="48" t="s">
        <v>7800</v>
      </c>
    </row>
    <row r="3436" spans="2:9" ht="15" customHeight="1" x14ac:dyDescent="0.25">
      <c r="B3436" s="55" t="s">
        <v>279</v>
      </c>
      <c r="C3436" s="46">
        <v>3424</v>
      </c>
      <c r="D3436" s="69" t="s">
        <v>29416</v>
      </c>
      <c r="E3436" s="51"/>
      <c r="F3436" s="114" t="str">
        <f>IF(INDEX(I.Facility.P1IDNumber,3424)="","",INDEX(I.Facility.P1IDNumber,3424))</f>
        <v/>
      </c>
      <c r="G3436" s="51"/>
      <c r="H3436" s="46" t="str">
        <f>IF(AND(I.Developer.P1=TRUE,I.Facility.P1FacilityCount&gt;=3424,F3436=""),"Incomplete","Complete")</f>
        <v>Complete</v>
      </c>
      <c r="I3436" s="48" t="s">
        <v>7801</v>
      </c>
    </row>
    <row r="3437" spans="2:9" ht="15" customHeight="1" x14ac:dyDescent="0.25">
      <c r="B3437" s="55" t="s">
        <v>279</v>
      </c>
      <c r="C3437" s="46">
        <v>3425</v>
      </c>
      <c r="D3437" s="69" t="s">
        <v>29416</v>
      </c>
      <c r="E3437" s="51"/>
      <c r="F3437" s="114" t="str">
        <f>IF(INDEX(I.Facility.P1IDNumber,3425)="","",INDEX(I.Facility.P1IDNumber,3425))</f>
        <v/>
      </c>
      <c r="G3437" s="51"/>
      <c r="H3437" s="46" t="str">
        <f>IF(AND(I.Developer.P1=TRUE,I.Facility.P1FacilityCount&gt;=3425,F3437=""),"Incomplete","Complete")</f>
        <v>Complete</v>
      </c>
      <c r="I3437" s="48" t="s">
        <v>7802</v>
      </c>
    </row>
    <row r="3438" spans="2:9" ht="15" customHeight="1" x14ac:dyDescent="0.25">
      <c r="B3438" s="55" t="s">
        <v>279</v>
      </c>
      <c r="C3438" s="46">
        <v>3426</v>
      </c>
      <c r="D3438" s="69" t="s">
        <v>29416</v>
      </c>
      <c r="E3438" s="51"/>
      <c r="F3438" s="114" t="str">
        <f>IF(INDEX(I.Facility.P1IDNumber,3426)="","",INDEX(I.Facility.P1IDNumber,3426))</f>
        <v/>
      </c>
      <c r="G3438" s="51"/>
      <c r="H3438" s="46" t="str">
        <f>IF(AND(I.Developer.P1=TRUE,I.Facility.P1FacilityCount&gt;=3426,F3438=""),"Incomplete","Complete")</f>
        <v>Complete</v>
      </c>
      <c r="I3438" s="48" t="s">
        <v>7803</v>
      </c>
    </row>
    <row r="3439" spans="2:9" ht="15" customHeight="1" x14ac:dyDescent="0.25">
      <c r="B3439" s="55" t="s">
        <v>279</v>
      </c>
      <c r="C3439" s="46">
        <v>3427</v>
      </c>
      <c r="D3439" s="69" t="s">
        <v>29416</v>
      </c>
      <c r="E3439" s="51"/>
      <c r="F3439" s="114" t="str">
        <f>IF(INDEX(I.Facility.P1IDNumber,3427)="","",INDEX(I.Facility.P1IDNumber,3427))</f>
        <v/>
      </c>
      <c r="G3439" s="51"/>
      <c r="H3439" s="46" t="str">
        <f>IF(AND(I.Developer.P1=TRUE,I.Facility.P1FacilityCount&gt;=3427,F3439=""),"Incomplete","Complete")</f>
        <v>Complete</v>
      </c>
      <c r="I3439" s="48" t="s">
        <v>7804</v>
      </c>
    </row>
    <row r="3440" spans="2:9" ht="15" customHeight="1" x14ac:dyDescent="0.25">
      <c r="B3440" s="55" t="s">
        <v>279</v>
      </c>
      <c r="C3440" s="46">
        <v>3428</v>
      </c>
      <c r="D3440" s="69" t="s">
        <v>29416</v>
      </c>
      <c r="E3440" s="51"/>
      <c r="F3440" s="114" t="str">
        <f>IF(INDEX(I.Facility.P1IDNumber,3428)="","",INDEX(I.Facility.P1IDNumber,3428))</f>
        <v/>
      </c>
      <c r="G3440" s="51"/>
      <c r="H3440" s="46" t="str">
        <f>IF(AND(I.Developer.P1=TRUE,I.Facility.P1FacilityCount&gt;=3428,F3440=""),"Incomplete","Complete")</f>
        <v>Complete</v>
      </c>
      <c r="I3440" s="48" t="s">
        <v>7805</v>
      </c>
    </row>
    <row r="3441" spans="2:9" ht="15" customHeight="1" x14ac:dyDescent="0.25">
      <c r="B3441" s="55" t="s">
        <v>279</v>
      </c>
      <c r="C3441" s="46">
        <v>3429</v>
      </c>
      <c r="D3441" s="69" t="s">
        <v>29416</v>
      </c>
      <c r="E3441" s="51"/>
      <c r="F3441" s="114" t="str">
        <f>IF(INDEX(I.Facility.P1IDNumber,3429)="","",INDEX(I.Facility.P1IDNumber,3429))</f>
        <v/>
      </c>
      <c r="G3441" s="51"/>
      <c r="H3441" s="46" t="str">
        <f>IF(AND(I.Developer.P1=TRUE,I.Facility.P1FacilityCount&gt;=3429,F3441=""),"Incomplete","Complete")</f>
        <v>Complete</v>
      </c>
      <c r="I3441" s="48" t="s">
        <v>7806</v>
      </c>
    </row>
    <row r="3442" spans="2:9" ht="15" customHeight="1" x14ac:dyDescent="0.25">
      <c r="B3442" s="55" t="s">
        <v>279</v>
      </c>
      <c r="C3442" s="46">
        <v>3430</v>
      </c>
      <c r="D3442" s="69" t="s">
        <v>29416</v>
      </c>
      <c r="E3442" s="51"/>
      <c r="F3442" s="114" t="str">
        <f>IF(INDEX(I.Facility.P1IDNumber,3430)="","",INDEX(I.Facility.P1IDNumber,3430))</f>
        <v/>
      </c>
      <c r="G3442" s="51"/>
      <c r="H3442" s="46" t="str">
        <f>IF(AND(I.Developer.P1=TRUE,I.Facility.P1FacilityCount&gt;=3430,F3442=""),"Incomplete","Complete")</f>
        <v>Complete</v>
      </c>
      <c r="I3442" s="48" t="s">
        <v>7807</v>
      </c>
    </row>
    <row r="3443" spans="2:9" ht="15" customHeight="1" x14ac:dyDescent="0.25">
      <c r="B3443" s="55" t="s">
        <v>279</v>
      </c>
      <c r="C3443" s="46">
        <v>3431</v>
      </c>
      <c r="D3443" s="69" t="s">
        <v>29416</v>
      </c>
      <c r="E3443" s="51"/>
      <c r="F3443" s="114" t="str">
        <f>IF(INDEX(I.Facility.P1IDNumber,3431)="","",INDEX(I.Facility.P1IDNumber,3431))</f>
        <v/>
      </c>
      <c r="G3443" s="51"/>
      <c r="H3443" s="46" t="str">
        <f>IF(AND(I.Developer.P1=TRUE,I.Facility.P1FacilityCount&gt;=3431,F3443=""),"Incomplete","Complete")</f>
        <v>Complete</v>
      </c>
      <c r="I3443" s="48" t="s">
        <v>7808</v>
      </c>
    </row>
    <row r="3444" spans="2:9" ht="15" customHeight="1" x14ac:dyDescent="0.25">
      <c r="B3444" s="55" t="s">
        <v>279</v>
      </c>
      <c r="C3444" s="46">
        <v>3432</v>
      </c>
      <c r="D3444" s="69" t="s">
        <v>29416</v>
      </c>
      <c r="E3444" s="51"/>
      <c r="F3444" s="114" t="str">
        <f>IF(INDEX(I.Facility.P1IDNumber,3432)="","",INDEX(I.Facility.P1IDNumber,3432))</f>
        <v/>
      </c>
      <c r="G3444" s="51"/>
      <c r="H3444" s="46" t="str">
        <f>IF(AND(I.Developer.P1=TRUE,I.Facility.P1FacilityCount&gt;=3432,F3444=""),"Incomplete","Complete")</f>
        <v>Complete</v>
      </c>
      <c r="I3444" s="48" t="s">
        <v>7809</v>
      </c>
    </row>
    <row r="3445" spans="2:9" ht="15" customHeight="1" x14ac:dyDescent="0.25">
      <c r="B3445" s="55" t="s">
        <v>279</v>
      </c>
      <c r="C3445" s="46">
        <v>3433</v>
      </c>
      <c r="D3445" s="69" t="s">
        <v>29416</v>
      </c>
      <c r="E3445" s="51"/>
      <c r="F3445" s="114" t="str">
        <f>IF(INDEX(I.Facility.P1IDNumber,3433)="","",INDEX(I.Facility.P1IDNumber,3433))</f>
        <v/>
      </c>
      <c r="G3445" s="51"/>
      <c r="H3445" s="46" t="str">
        <f>IF(AND(I.Developer.P1=TRUE,I.Facility.P1FacilityCount&gt;=3433,F3445=""),"Incomplete","Complete")</f>
        <v>Complete</v>
      </c>
      <c r="I3445" s="48" t="s">
        <v>7810</v>
      </c>
    </row>
    <row r="3446" spans="2:9" ht="15" customHeight="1" x14ac:dyDescent="0.25">
      <c r="B3446" s="55" t="s">
        <v>279</v>
      </c>
      <c r="C3446" s="46">
        <v>3434</v>
      </c>
      <c r="D3446" s="69" t="s">
        <v>29416</v>
      </c>
      <c r="E3446" s="51"/>
      <c r="F3446" s="114" t="str">
        <f>IF(INDEX(I.Facility.P1IDNumber,3434)="","",INDEX(I.Facility.P1IDNumber,3434))</f>
        <v/>
      </c>
      <c r="G3446" s="51"/>
      <c r="H3446" s="46" t="str">
        <f>IF(AND(I.Developer.P1=TRUE,I.Facility.P1FacilityCount&gt;=3434,F3446=""),"Incomplete","Complete")</f>
        <v>Complete</v>
      </c>
      <c r="I3446" s="48" t="s">
        <v>7811</v>
      </c>
    </row>
    <row r="3447" spans="2:9" ht="15" customHeight="1" x14ac:dyDescent="0.25">
      <c r="B3447" s="55" t="s">
        <v>279</v>
      </c>
      <c r="C3447" s="46">
        <v>3435</v>
      </c>
      <c r="D3447" s="69" t="s">
        <v>29416</v>
      </c>
      <c r="E3447" s="51"/>
      <c r="F3447" s="114" t="str">
        <f>IF(INDEX(I.Facility.P1IDNumber,3435)="","",INDEX(I.Facility.P1IDNumber,3435))</f>
        <v/>
      </c>
      <c r="G3447" s="51"/>
      <c r="H3447" s="46" t="str">
        <f>IF(AND(I.Developer.P1=TRUE,I.Facility.P1FacilityCount&gt;=3435,F3447=""),"Incomplete","Complete")</f>
        <v>Complete</v>
      </c>
      <c r="I3447" s="48" t="s">
        <v>7812</v>
      </c>
    </row>
    <row r="3448" spans="2:9" ht="15" customHeight="1" x14ac:dyDescent="0.25">
      <c r="B3448" s="55" t="s">
        <v>279</v>
      </c>
      <c r="C3448" s="46">
        <v>3436</v>
      </c>
      <c r="D3448" s="69" t="s">
        <v>29416</v>
      </c>
      <c r="E3448" s="51"/>
      <c r="F3448" s="114" t="str">
        <f>IF(INDEX(I.Facility.P1IDNumber,3436)="","",INDEX(I.Facility.P1IDNumber,3436))</f>
        <v/>
      </c>
      <c r="G3448" s="51"/>
      <c r="H3448" s="46" t="str">
        <f>IF(AND(I.Developer.P1=TRUE,I.Facility.P1FacilityCount&gt;=3436,F3448=""),"Incomplete","Complete")</f>
        <v>Complete</v>
      </c>
      <c r="I3448" s="48" t="s">
        <v>7813</v>
      </c>
    </row>
    <row r="3449" spans="2:9" ht="15" customHeight="1" x14ac:dyDescent="0.25">
      <c r="B3449" s="55" t="s">
        <v>279</v>
      </c>
      <c r="C3449" s="46">
        <v>3437</v>
      </c>
      <c r="D3449" s="69" t="s">
        <v>29416</v>
      </c>
      <c r="E3449" s="51"/>
      <c r="F3449" s="114" t="str">
        <f>IF(INDEX(I.Facility.P1IDNumber,3437)="","",INDEX(I.Facility.P1IDNumber,3437))</f>
        <v/>
      </c>
      <c r="G3449" s="51"/>
      <c r="H3449" s="46" t="str">
        <f>IF(AND(I.Developer.P1=TRUE,I.Facility.P1FacilityCount&gt;=3437,F3449=""),"Incomplete","Complete")</f>
        <v>Complete</v>
      </c>
      <c r="I3449" s="48" t="s">
        <v>7814</v>
      </c>
    </row>
    <row r="3450" spans="2:9" ht="15" customHeight="1" x14ac:dyDescent="0.25">
      <c r="B3450" s="55" t="s">
        <v>279</v>
      </c>
      <c r="C3450" s="46">
        <v>3438</v>
      </c>
      <c r="D3450" s="69" t="s">
        <v>29416</v>
      </c>
      <c r="E3450" s="51"/>
      <c r="F3450" s="114" t="str">
        <f>IF(INDEX(I.Facility.P1IDNumber,3438)="","",INDEX(I.Facility.P1IDNumber,3438))</f>
        <v/>
      </c>
      <c r="G3450" s="51"/>
      <c r="H3450" s="46" t="str">
        <f>IF(AND(I.Developer.P1=TRUE,I.Facility.P1FacilityCount&gt;=3438,F3450=""),"Incomplete","Complete")</f>
        <v>Complete</v>
      </c>
      <c r="I3450" s="48" t="s">
        <v>7815</v>
      </c>
    </row>
    <row r="3451" spans="2:9" ht="15" customHeight="1" x14ac:dyDescent="0.25">
      <c r="B3451" s="55" t="s">
        <v>279</v>
      </c>
      <c r="C3451" s="46">
        <v>3439</v>
      </c>
      <c r="D3451" s="69" t="s">
        <v>29416</v>
      </c>
      <c r="E3451" s="51"/>
      <c r="F3451" s="114" t="str">
        <f>IF(INDEX(I.Facility.P1IDNumber,3439)="","",INDEX(I.Facility.P1IDNumber,3439))</f>
        <v/>
      </c>
      <c r="G3451" s="51"/>
      <c r="H3451" s="46" t="str">
        <f>IF(AND(I.Developer.P1=TRUE,I.Facility.P1FacilityCount&gt;=3439,F3451=""),"Incomplete","Complete")</f>
        <v>Complete</v>
      </c>
      <c r="I3451" s="48" t="s">
        <v>7816</v>
      </c>
    </row>
    <row r="3452" spans="2:9" ht="15" customHeight="1" x14ac:dyDescent="0.25">
      <c r="B3452" s="55" t="s">
        <v>279</v>
      </c>
      <c r="C3452" s="46">
        <v>3440</v>
      </c>
      <c r="D3452" s="69" t="s">
        <v>29416</v>
      </c>
      <c r="E3452" s="51"/>
      <c r="F3452" s="114" t="str">
        <f>IF(INDEX(I.Facility.P1IDNumber,3440)="","",INDEX(I.Facility.P1IDNumber,3440))</f>
        <v/>
      </c>
      <c r="G3452" s="51"/>
      <c r="H3452" s="46" t="str">
        <f>IF(AND(I.Developer.P1=TRUE,I.Facility.P1FacilityCount&gt;=3440,F3452=""),"Incomplete","Complete")</f>
        <v>Complete</v>
      </c>
      <c r="I3452" s="48" t="s">
        <v>7817</v>
      </c>
    </row>
    <row r="3453" spans="2:9" ht="15" customHeight="1" x14ac:dyDescent="0.25">
      <c r="B3453" s="55" t="s">
        <v>279</v>
      </c>
      <c r="C3453" s="46">
        <v>3441</v>
      </c>
      <c r="D3453" s="69" t="s">
        <v>29416</v>
      </c>
      <c r="E3453" s="51"/>
      <c r="F3453" s="114" t="str">
        <f>IF(INDEX(I.Facility.P1IDNumber,3441)="","",INDEX(I.Facility.P1IDNumber,3441))</f>
        <v/>
      </c>
      <c r="G3453" s="51"/>
      <c r="H3453" s="46" t="str">
        <f>IF(AND(I.Developer.P1=TRUE,I.Facility.P1FacilityCount&gt;=3441,F3453=""),"Incomplete","Complete")</f>
        <v>Complete</v>
      </c>
      <c r="I3453" s="48" t="s">
        <v>7818</v>
      </c>
    </row>
    <row r="3454" spans="2:9" ht="15" customHeight="1" x14ac:dyDescent="0.25">
      <c r="B3454" s="55" t="s">
        <v>279</v>
      </c>
      <c r="C3454" s="46">
        <v>3442</v>
      </c>
      <c r="D3454" s="69" t="s">
        <v>29416</v>
      </c>
      <c r="E3454" s="51"/>
      <c r="F3454" s="114" t="str">
        <f>IF(INDEX(I.Facility.P1IDNumber,3442)="","",INDEX(I.Facility.P1IDNumber,3442))</f>
        <v/>
      </c>
      <c r="G3454" s="51"/>
      <c r="H3454" s="46" t="str">
        <f>IF(AND(I.Developer.P1=TRUE,I.Facility.P1FacilityCount&gt;=3442,F3454=""),"Incomplete","Complete")</f>
        <v>Complete</v>
      </c>
      <c r="I3454" s="48" t="s">
        <v>7819</v>
      </c>
    </row>
    <row r="3455" spans="2:9" ht="15" customHeight="1" x14ac:dyDescent="0.25">
      <c r="B3455" s="55" t="s">
        <v>279</v>
      </c>
      <c r="C3455" s="46">
        <v>3443</v>
      </c>
      <c r="D3455" s="69" t="s">
        <v>29416</v>
      </c>
      <c r="E3455" s="51"/>
      <c r="F3455" s="114" t="str">
        <f>IF(INDEX(I.Facility.P1IDNumber,3443)="","",INDEX(I.Facility.P1IDNumber,3443))</f>
        <v/>
      </c>
      <c r="G3455" s="51"/>
      <c r="H3455" s="46" t="str">
        <f>IF(AND(I.Developer.P1=TRUE,I.Facility.P1FacilityCount&gt;=3443,F3455=""),"Incomplete","Complete")</f>
        <v>Complete</v>
      </c>
      <c r="I3455" s="48" t="s">
        <v>7820</v>
      </c>
    </row>
    <row r="3456" spans="2:9" ht="15" customHeight="1" x14ac:dyDescent="0.25">
      <c r="B3456" s="55" t="s">
        <v>279</v>
      </c>
      <c r="C3456" s="46">
        <v>3444</v>
      </c>
      <c r="D3456" s="69" t="s">
        <v>29416</v>
      </c>
      <c r="E3456" s="51"/>
      <c r="F3456" s="114" t="str">
        <f>IF(INDEX(I.Facility.P1IDNumber,3444)="","",INDEX(I.Facility.P1IDNumber,3444))</f>
        <v/>
      </c>
      <c r="G3456" s="51"/>
      <c r="H3456" s="46" t="str">
        <f>IF(AND(I.Developer.P1=TRUE,I.Facility.P1FacilityCount&gt;=3444,F3456=""),"Incomplete","Complete")</f>
        <v>Complete</v>
      </c>
      <c r="I3456" s="48" t="s">
        <v>7821</v>
      </c>
    </row>
    <row r="3457" spans="2:9" ht="15" customHeight="1" x14ac:dyDescent="0.25">
      <c r="B3457" s="55" t="s">
        <v>279</v>
      </c>
      <c r="C3457" s="46">
        <v>3445</v>
      </c>
      <c r="D3457" s="69" t="s">
        <v>29416</v>
      </c>
      <c r="E3457" s="51"/>
      <c r="F3457" s="114" t="str">
        <f>IF(INDEX(I.Facility.P1IDNumber,3445)="","",INDEX(I.Facility.P1IDNumber,3445))</f>
        <v/>
      </c>
      <c r="G3457" s="51"/>
      <c r="H3457" s="46" t="str">
        <f>IF(AND(I.Developer.P1=TRUE,I.Facility.P1FacilityCount&gt;=3445,F3457=""),"Incomplete","Complete")</f>
        <v>Complete</v>
      </c>
      <c r="I3457" s="48" t="s">
        <v>7822</v>
      </c>
    </row>
    <row r="3458" spans="2:9" ht="15" customHeight="1" x14ac:dyDescent="0.25">
      <c r="B3458" s="55" t="s">
        <v>279</v>
      </c>
      <c r="C3458" s="46">
        <v>3446</v>
      </c>
      <c r="D3458" s="69" t="s">
        <v>29416</v>
      </c>
      <c r="E3458" s="51"/>
      <c r="F3458" s="114" t="str">
        <f>IF(INDEX(I.Facility.P1IDNumber,3446)="","",INDEX(I.Facility.P1IDNumber,3446))</f>
        <v/>
      </c>
      <c r="G3458" s="51"/>
      <c r="H3458" s="46" t="str">
        <f>IF(AND(I.Developer.P1=TRUE,I.Facility.P1FacilityCount&gt;=3446,F3458=""),"Incomplete","Complete")</f>
        <v>Complete</v>
      </c>
      <c r="I3458" s="48" t="s">
        <v>7823</v>
      </c>
    </row>
    <row r="3459" spans="2:9" ht="15" customHeight="1" x14ac:dyDescent="0.25">
      <c r="B3459" s="55" t="s">
        <v>279</v>
      </c>
      <c r="C3459" s="46">
        <v>3447</v>
      </c>
      <c r="D3459" s="69" t="s">
        <v>29416</v>
      </c>
      <c r="E3459" s="51"/>
      <c r="F3459" s="114" t="str">
        <f>IF(INDEX(I.Facility.P1IDNumber,3447)="","",INDEX(I.Facility.P1IDNumber,3447))</f>
        <v/>
      </c>
      <c r="G3459" s="51"/>
      <c r="H3459" s="46" t="str">
        <f>IF(AND(I.Developer.P1=TRUE,I.Facility.P1FacilityCount&gt;=3447,F3459=""),"Incomplete","Complete")</f>
        <v>Complete</v>
      </c>
      <c r="I3459" s="48" t="s">
        <v>7824</v>
      </c>
    </row>
    <row r="3460" spans="2:9" ht="15" customHeight="1" x14ac:dyDescent="0.25">
      <c r="B3460" s="55" t="s">
        <v>279</v>
      </c>
      <c r="C3460" s="46">
        <v>3448</v>
      </c>
      <c r="D3460" s="69" t="s">
        <v>29416</v>
      </c>
      <c r="E3460" s="51"/>
      <c r="F3460" s="114" t="str">
        <f>IF(INDEX(I.Facility.P1IDNumber,3448)="","",INDEX(I.Facility.P1IDNumber,3448))</f>
        <v/>
      </c>
      <c r="G3460" s="51"/>
      <c r="H3460" s="46" t="str">
        <f>IF(AND(I.Developer.P1=TRUE,I.Facility.P1FacilityCount&gt;=3448,F3460=""),"Incomplete","Complete")</f>
        <v>Complete</v>
      </c>
      <c r="I3460" s="48" t="s">
        <v>7825</v>
      </c>
    </row>
    <row r="3461" spans="2:9" ht="15" customHeight="1" x14ac:dyDescent="0.25">
      <c r="B3461" s="55" t="s">
        <v>279</v>
      </c>
      <c r="C3461" s="46">
        <v>3449</v>
      </c>
      <c r="D3461" s="69" t="s">
        <v>29416</v>
      </c>
      <c r="E3461" s="51"/>
      <c r="F3461" s="114" t="str">
        <f>IF(INDEX(I.Facility.P1IDNumber,3449)="","",INDEX(I.Facility.P1IDNumber,3449))</f>
        <v/>
      </c>
      <c r="G3461" s="51"/>
      <c r="H3461" s="46" t="str">
        <f>IF(AND(I.Developer.P1=TRUE,I.Facility.P1FacilityCount&gt;=3449,F3461=""),"Incomplete","Complete")</f>
        <v>Complete</v>
      </c>
      <c r="I3461" s="48" t="s">
        <v>7826</v>
      </c>
    </row>
    <row r="3462" spans="2:9" ht="15" customHeight="1" x14ac:dyDescent="0.25">
      <c r="B3462" s="55" t="s">
        <v>279</v>
      </c>
      <c r="C3462" s="46">
        <v>3450</v>
      </c>
      <c r="D3462" s="69" t="s">
        <v>29416</v>
      </c>
      <c r="E3462" s="51"/>
      <c r="F3462" s="114" t="str">
        <f>IF(INDEX(I.Facility.P1IDNumber,3450)="","",INDEX(I.Facility.P1IDNumber,3450))</f>
        <v/>
      </c>
      <c r="G3462" s="51"/>
      <c r="H3462" s="46" t="str">
        <f>IF(AND(I.Developer.P1=TRUE,I.Facility.P1FacilityCount&gt;=3450,F3462=""),"Incomplete","Complete")</f>
        <v>Complete</v>
      </c>
      <c r="I3462" s="48" t="s">
        <v>7827</v>
      </c>
    </row>
    <row r="3463" spans="2:9" ht="15" customHeight="1" x14ac:dyDescent="0.25">
      <c r="B3463" s="55" t="s">
        <v>279</v>
      </c>
      <c r="C3463" s="46">
        <v>3451</v>
      </c>
      <c r="D3463" s="69" t="s">
        <v>29416</v>
      </c>
      <c r="E3463" s="51"/>
      <c r="F3463" s="114" t="str">
        <f>IF(INDEX(I.Facility.P1IDNumber,3451)="","",INDEX(I.Facility.P1IDNumber,3451))</f>
        <v/>
      </c>
      <c r="G3463" s="51"/>
      <c r="H3463" s="46" t="str">
        <f>IF(AND(I.Developer.P1=TRUE,I.Facility.P1FacilityCount&gt;=3451,F3463=""),"Incomplete","Complete")</f>
        <v>Complete</v>
      </c>
      <c r="I3463" s="48" t="s">
        <v>7828</v>
      </c>
    </row>
    <row r="3464" spans="2:9" ht="15" customHeight="1" x14ac:dyDescent="0.25">
      <c r="B3464" s="55" t="s">
        <v>279</v>
      </c>
      <c r="C3464" s="46">
        <v>3452</v>
      </c>
      <c r="D3464" s="69" t="s">
        <v>29416</v>
      </c>
      <c r="E3464" s="51"/>
      <c r="F3464" s="114" t="str">
        <f>IF(INDEX(I.Facility.P1IDNumber,3452)="","",INDEX(I.Facility.P1IDNumber,3452))</f>
        <v/>
      </c>
      <c r="G3464" s="51"/>
      <c r="H3464" s="46" t="str">
        <f>IF(AND(I.Developer.P1=TRUE,I.Facility.P1FacilityCount&gt;=3452,F3464=""),"Incomplete","Complete")</f>
        <v>Complete</v>
      </c>
      <c r="I3464" s="48" t="s">
        <v>7829</v>
      </c>
    </row>
    <row r="3465" spans="2:9" ht="15" customHeight="1" x14ac:dyDescent="0.25">
      <c r="B3465" s="55" t="s">
        <v>279</v>
      </c>
      <c r="C3465" s="46">
        <v>3453</v>
      </c>
      <c r="D3465" s="69" t="s">
        <v>29416</v>
      </c>
      <c r="E3465" s="51"/>
      <c r="F3465" s="114" t="str">
        <f>IF(INDEX(I.Facility.P1IDNumber,3453)="","",INDEX(I.Facility.P1IDNumber,3453))</f>
        <v/>
      </c>
      <c r="G3465" s="51"/>
      <c r="H3465" s="46" t="str">
        <f>IF(AND(I.Developer.P1=TRUE,I.Facility.P1FacilityCount&gt;=3453,F3465=""),"Incomplete","Complete")</f>
        <v>Complete</v>
      </c>
      <c r="I3465" s="48" t="s">
        <v>7830</v>
      </c>
    </row>
    <row r="3466" spans="2:9" ht="15" customHeight="1" x14ac:dyDescent="0.25">
      <c r="B3466" s="55" t="s">
        <v>279</v>
      </c>
      <c r="C3466" s="46">
        <v>3454</v>
      </c>
      <c r="D3466" s="69" t="s">
        <v>29416</v>
      </c>
      <c r="E3466" s="51"/>
      <c r="F3466" s="114" t="str">
        <f>IF(INDEX(I.Facility.P1IDNumber,3454)="","",INDEX(I.Facility.P1IDNumber,3454))</f>
        <v/>
      </c>
      <c r="G3466" s="51"/>
      <c r="H3466" s="46" t="str">
        <f>IF(AND(I.Developer.P1=TRUE,I.Facility.P1FacilityCount&gt;=3454,F3466=""),"Incomplete","Complete")</f>
        <v>Complete</v>
      </c>
      <c r="I3466" s="48" t="s">
        <v>7831</v>
      </c>
    </row>
    <row r="3467" spans="2:9" ht="15" customHeight="1" x14ac:dyDescent="0.25">
      <c r="B3467" s="55" t="s">
        <v>279</v>
      </c>
      <c r="C3467" s="46">
        <v>3455</v>
      </c>
      <c r="D3467" s="69" t="s">
        <v>29416</v>
      </c>
      <c r="E3467" s="51"/>
      <c r="F3467" s="114" t="str">
        <f>IF(INDEX(I.Facility.P1IDNumber,3455)="","",INDEX(I.Facility.P1IDNumber,3455))</f>
        <v/>
      </c>
      <c r="G3467" s="51"/>
      <c r="H3467" s="46" t="str">
        <f>IF(AND(I.Developer.P1=TRUE,I.Facility.P1FacilityCount&gt;=3455,F3467=""),"Incomplete","Complete")</f>
        <v>Complete</v>
      </c>
      <c r="I3467" s="48" t="s">
        <v>7832</v>
      </c>
    </row>
    <row r="3468" spans="2:9" ht="15" customHeight="1" x14ac:dyDescent="0.25">
      <c r="B3468" s="55" t="s">
        <v>279</v>
      </c>
      <c r="C3468" s="46">
        <v>3456</v>
      </c>
      <c r="D3468" s="69" t="s">
        <v>29416</v>
      </c>
      <c r="E3468" s="51"/>
      <c r="F3468" s="114" t="str">
        <f>IF(INDEX(I.Facility.P1IDNumber,3456)="","",INDEX(I.Facility.P1IDNumber,3456))</f>
        <v/>
      </c>
      <c r="G3468" s="51"/>
      <c r="H3468" s="46" t="str">
        <f>IF(AND(I.Developer.P1=TRUE,I.Facility.P1FacilityCount&gt;=3456,F3468=""),"Incomplete","Complete")</f>
        <v>Complete</v>
      </c>
      <c r="I3468" s="48" t="s">
        <v>7833</v>
      </c>
    </row>
    <row r="3469" spans="2:9" ht="15" customHeight="1" x14ac:dyDescent="0.25">
      <c r="B3469" s="55" t="s">
        <v>279</v>
      </c>
      <c r="C3469" s="46">
        <v>3457</v>
      </c>
      <c r="D3469" s="69" t="s">
        <v>29416</v>
      </c>
      <c r="E3469" s="51"/>
      <c r="F3469" s="114" t="str">
        <f>IF(INDEX(I.Facility.P1IDNumber,3457)="","",INDEX(I.Facility.P1IDNumber,3457))</f>
        <v/>
      </c>
      <c r="G3469" s="51"/>
      <c r="H3469" s="46" t="str">
        <f>IF(AND(I.Developer.P1=TRUE,I.Facility.P1FacilityCount&gt;=3457,F3469=""),"Incomplete","Complete")</f>
        <v>Complete</v>
      </c>
      <c r="I3469" s="48" t="s">
        <v>7834</v>
      </c>
    </row>
    <row r="3470" spans="2:9" ht="15" customHeight="1" x14ac:dyDescent="0.25">
      <c r="B3470" s="55" t="s">
        <v>279</v>
      </c>
      <c r="C3470" s="46">
        <v>3458</v>
      </c>
      <c r="D3470" s="69" t="s">
        <v>29416</v>
      </c>
      <c r="E3470" s="51"/>
      <c r="F3470" s="114" t="str">
        <f>IF(INDEX(I.Facility.P1IDNumber,3458)="","",INDEX(I.Facility.P1IDNumber,3458))</f>
        <v/>
      </c>
      <c r="G3470" s="51"/>
      <c r="H3470" s="46" t="str">
        <f>IF(AND(I.Developer.P1=TRUE,I.Facility.P1FacilityCount&gt;=3458,F3470=""),"Incomplete","Complete")</f>
        <v>Complete</v>
      </c>
      <c r="I3470" s="48" t="s">
        <v>7835</v>
      </c>
    </row>
    <row r="3471" spans="2:9" ht="15" customHeight="1" x14ac:dyDescent="0.25">
      <c r="B3471" s="55" t="s">
        <v>279</v>
      </c>
      <c r="C3471" s="46">
        <v>3459</v>
      </c>
      <c r="D3471" s="69" t="s">
        <v>29416</v>
      </c>
      <c r="E3471" s="51"/>
      <c r="F3471" s="114" t="str">
        <f>IF(INDEX(I.Facility.P1IDNumber,3459)="","",INDEX(I.Facility.P1IDNumber,3459))</f>
        <v/>
      </c>
      <c r="G3471" s="51"/>
      <c r="H3471" s="46" t="str">
        <f>IF(AND(I.Developer.P1=TRUE,I.Facility.P1FacilityCount&gt;=3459,F3471=""),"Incomplete","Complete")</f>
        <v>Complete</v>
      </c>
      <c r="I3471" s="48" t="s">
        <v>7836</v>
      </c>
    </row>
    <row r="3472" spans="2:9" ht="15" customHeight="1" x14ac:dyDescent="0.25">
      <c r="B3472" s="55" t="s">
        <v>279</v>
      </c>
      <c r="C3472" s="46">
        <v>3460</v>
      </c>
      <c r="D3472" s="69" t="s">
        <v>29416</v>
      </c>
      <c r="E3472" s="51"/>
      <c r="F3472" s="114" t="str">
        <f>IF(INDEX(I.Facility.P1IDNumber,3460)="","",INDEX(I.Facility.P1IDNumber,3460))</f>
        <v/>
      </c>
      <c r="G3472" s="51"/>
      <c r="H3472" s="46" t="str">
        <f>IF(AND(I.Developer.P1=TRUE,I.Facility.P1FacilityCount&gt;=3460,F3472=""),"Incomplete","Complete")</f>
        <v>Complete</v>
      </c>
      <c r="I3472" s="48" t="s">
        <v>7837</v>
      </c>
    </row>
    <row r="3473" spans="2:9" ht="15" customHeight="1" x14ac:dyDescent="0.25">
      <c r="B3473" s="55" t="s">
        <v>279</v>
      </c>
      <c r="C3473" s="46">
        <v>3461</v>
      </c>
      <c r="D3473" s="69" t="s">
        <v>29416</v>
      </c>
      <c r="E3473" s="51"/>
      <c r="F3473" s="114" t="str">
        <f>IF(INDEX(I.Facility.P1IDNumber,3461)="","",INDEX(I.Facility.P1IDNumber,3461))</f>
        <v/>
      </c>
      <c r="G3473" s="51"/>
      <c r="H3473" s="46" t="str">
        <f>IF(AND(I.Developer.P1=TRUE,I.Facility.P1FacilityCount&gt;=3461,F3473=""),"Incomplete","Complete")</f>
        <v>Complete</v>
      </c>
      <c r="I3473" s="48" t="s">
        <v>7838</v>
      </c>
    </row>
    <row r="3474" spans="2:9" ht="15" customHeight="1" x14ac:dyDescent="0.25">
      <c r="B3474" s="55" t="s">
        <v>279</v>
      </c>
      <c r="C3474" s="46">
        <v>3462</v>
      </c>
      <c r="D3474" s="69" t="s">
        <v>29416</v>
      </c>
      <c r="E3474" s="51"/>
      <c r="F3474" s="114" t="str">
        <f>IF(INDEX(I.Facility.P1IDNumber,3462)="","",INDEX(I.Facility.P1IDNumber,3462))</f>
        <v/>
      </c>
      <c r="G3474" s="51"/>
      <c r="H3474" s="46" t="str">
        <f>IF(AND(I.Developer.P1=TRUE,I.Facility.P1FacilityCount&gt;=3462,F3474=""),"Incomplete","Complete")</f>
        <v>Complete</v>
      </c>
      <c r="I3474" s="48" t="s">
        <v>7839</v>
      </c>
    </row>
    <row r="3475" spans="2:9" ht="15" customHeight="1" x14ac:dyDescent="0.25">
      <c r="B3475" s="55" t="s">
        <v>279</v>
      </c>
      <c r="C3475" s="46">
        <v>3463</v>
      </c>
      <c r="D3475" s="69" t="s">
        <v>29416</v>
      </c>
      <c r="E3475" s="51"/>
      <c r="F3475" s="114" t="str">
        <f>IF(INDEX(I.Facility.P1IDNumber,3463)="","",INDEX(I.Facility.P1IDNumber,3463))</f>
        <v/>
      </c>
      <c r="G3475" s="51"/>
      <c r="H3475" s="46" t="str">
        <f>IF(AND(I.Developer.P1=TRUE,I.Facility.P1FacilityCount&gt;=3463,F3475=""),"Incomplete","Complete")</f>
        <v>Complete</v>
      </c>
      <c r="I3475" s="48" t="s">
        <v>7840</v>
      </c>
    </row>
    <row r="3476" spans="2:9" ht="15" customHeight="1" x14ac:dyDescent="0.25">
      <c r="B3476" s="55" t="s">
        <v>279</v>
      </c>
      <c r="C3476" s="46">
        <v>3464</v>
      </c>
      <c r="D3476" s="69" t="s">
        <v>29416</v>
      </c>
      <c r="E3476" s="51"/>
      <c r="F3476" s="114" t="str">
        <f>IF(INDEX(I.Facility.P1IDNumber,3464)="","",INDEX(I.Facility.P1IDNumber,3464))</f>
        <v/>
      </c>
      <c r="G3476" s="51"/>
      <c r="H3476" s="46" t="str">
        <f>IF(AND(I.Developer.P1=TRUE,I.Facility.P1FacilityCount&gt;=3464,F3476=""),"Incomplete","Complete")</f>
        <v>Complete</v>
      </c>
      <c r="I3476" s="48" t="s">
        <v>7841</v>
      </c>
    </row>
    <row r="3477" spans="2:9" ht="15" customHeight="1" x14ac:dyDescent="0.25">
      <c r="B3477" s="55" t="s">
        <v>279</v>
      </c>
      <c r="C3477" s="46">
        <v>3465</v>
      </c>
      <c r="D3477" s="69" t="s">
        <v>29416</v>
      </c>
      <c r="E3477" s="51"/>
      <c r="F3477" s="114" t="str">
        <f>IF(INDEX(I.Facility.P1IDNumber,3465)="","",INDEX(I.Facility.P1IDNumber,3465))</f>
        <v/>
      </c>
      <c r="G3477" s="51"/>
      <c r="H3477" s="46" t="str">
        <f>IF(AND(I.Developer.P1=TRUE,I.Facility.P1FacilityCount&gt;=3465,F3477=""),"Incomplete","Complete")</f>
        <v>Complete</v>
      </c>
      <c r="I3477" s="48" t="s">
        <v>7842</v>
      </c>
    </row>
    <row r="3478" spans="2:9" ht="15" customHeight="1" x14ac:dyDescent="0.25">
      <c r="B3478" s="55" t="s">
        <v>279</v>
      </c>
      <c r="C3478" s="46">
        <v>3466</v>
      </c>
      <c r="D3478" s="69" t="s">
        <v>29416</v>
      </c>
      <c r="E3478" s="51"/>
      <c r="F3478" s="114" t="str">
        <f>IF(INDEX(I.Facility.P1IDNumber,3466)="","",INDEX(I.Facility.P1IDNumber,3466))</f>
        <v/>
      </c>
      <c r="G3478" s="51"/>
      <c r="H3478" s="46" t="str">
        <f>IF(AND(I.Developer.P1=TRUE,I.Facility.P1FacilityCount&gt;=3466,F3478=""),"Incomplete","Complete")</f>
        <v>Complete</v>
      </c>
      <c r="I3478" s="48" t="s">
        <v>7843</v>
      </c>
    </row>
    <row r="3479" spans="2:9" ht="15" customHeight="1" x14ac:dyDescent="0.25">
      <c r="B3479" s="55" t="s">
        <v>279</v>
      </c>
      <c r="C3479" s="46">
        <v>3467</v>
      </c>
      <c r="D3479" s="69" t="s">
        <v>29416</v>
      </c>
      <c r="E3479" s="51"/>
      <c r="F3479" s="114" t="str">
        <f>IF(INDEX(I.Facility.P1IDNumber,3467)="","",INDEX(I.Facility.P1IDNumber,3467))</f>
        <v/>
      </c>
      <c r="G3479" s="51"/>
      <c r="H3479" s="46" t="str">
        <f>IF(AND(I.Developer.P1=TRUE,I.Facility.P1FacilityCount&gt;=3467,F3479=""),"Incomplete","Complete")</f>
        <v>Complete</v>
      </c>
      <c r="I3479" s="48" t="s">
        <v>7844</v>
      </c>
    </row>
    <row r="3480" spans="2:9" ht="15" customHeight="1" x14ac:dyDescent="0.25">
      <c r="B3480" s="55" t="s">
        <v>279</v>
      </c>
      <c r="C3480" s="46">
        <v>3468</v>
      </c>
      <c r="D3480" s="69" t="s">
        <v>29416</v>
      </c>
      <c r="E3480" s="51"/>
      <c r="F3480" s="114" t="str">
        <f>IF(INDEX(I.Facility.P1IDNumber,3468)="","",INDEX(I.Facility.P1IDNumber,3468))</f>
        <v/>
      </c>
      <c r="G3480" s="51"/>
      <c r="H3480" s="46" t="str">
        <f>IF(AND(I.Developer.P1=TRUE,I.Facility.P1FacilityCount&gt;=3468,F3480=""),"Incomplete","Complete")</f>
        <v>Complete</v>
      </c>
      <c r="I3480" s="48" t="s">
        <v>7845</v>
      </c>
    </row>
    <row r="3481" spans="2:9" ht="15" customHeight="1" x14ac:dyDescent="0.25">
      <c r="B3481" s="55" t="s">
        <v>279</v>
      </c>
      <c r="C3481" s="46">
        <v>3469</v>
      </c>
      <c r="D3481" s="69" t="s">
        <v>29416</v>
      </c>
      <c r="E3481" s="51"/>
      <c r="F3481" s="114" t="str">
        <f>IF(INDEX(I.Facility.P1IDNumber,3469)="","",INDEX(I.Facility.P1IDNumber,3469))</f>
        <v/>
      </c>
      <c r="G3481" s="51"/>
      <c r="H3481" s="46" t="str">
        <f>IF(AND(I.Developer.P1=TRUE,I.Facility.P1FacilityCount&gt;=3469,F3481=""),"Incomplete","Complete")</f>
        <v>Complete</v>
      </c>
      <c r="I3481" s="48" t="s">
        <v>7846</v>
      </c>
    </row>
    <row r="3482" spans="2:9" ht="15" customHeight="1" x14ac:dyDescent="0.25">
      <c r="B3482" s="55" t="s">
        <v>279</v>
      </c>
      <c r="C3482" s="46">
        <v>3470</v>
      </c>
      <c r="D3482" s="69" t="s">
        <v>29416</v>
      </c>
      <c r="E3482" s="51"/>
      <c r="F3482" s="114" t="str">
        <f>IF(INDEX(I.Facility.P1IDNumber,3470)="","",INDEX(I.Facility.P1IDNumber,3470))</f>
        <v/>
      </c>
      <c r="G3482" s="51"/>
      <c r="H3482" s="46" t="str">
        <f>IF(AND(I.Developer.P1=TRUE,I.Facility.P1FacilityCount&gt;=3470,F3482=""),"Incomplete","Complete")</f>
        <v>Complete</v>
      </c>
      <c r="I3482" s="48" t="s">
        <v>7847</v>
      </c>
    </row>
    <row r="3483" spans="2:9" ht="15" customHeight="1" x14ac:dyDescent="0.25">
      <c r="B3483" s="55" t="s">
        <v>279</v>
      </c>
      <c r="C3483" s="46">
        <v>3471</v>
      </c>
      <c r="D3483" s="69" t="s">
        <v>29416</v>
      </c>
      <c r="E3483" s="51"/>
      <c r="F3483" s="114" t="str">
        <f>IF(INDEX(I.Facility.P1IDNumber,3471)="","",INDEX(I.Facility.P1IDNumber,3471))</f>
        <v/>
      </c>
      <c r="G3483" s="51"/>
      <c r="H3483" s="46" t="str">
        <f>IF(AND(I.Developer.P1=TRUE,I.Facility.P1FacilityCount&gt;=3471,F3483=""),"Incomplete","Complete")</f>
        <v>Complete</v>
      </c>
      <c r="I3483" s="48" t="s">
        <v>7848</v>
      </c>
    </row>
    <row r="3484" spans="2:9" ht="15" customHeight="1" x14ac:dyDescent="0.25">
      <c r="B3484" s="55" t="s">
        <v>279</v>
      </c>
      <c r="C3484" s="46">
        <v>3472</v>
      </c>
      <c r="D3484" s="69" t="s">
        <v>29416</v>
      </c>
      <c r="E3484" s="51"/>
      <c r="F3484" s="114" t="str">
        <f>IF(INDEX(I.Facility.P1IDNumber,3472)="","",INDEX(I.Facility.P1IDNumber,3472))</f>
        <v/>
      </c>
      <c r="G3484" s="51"/>
      <c r="H3484" s="46" t="str">
        <f>IF(AND(I.Developer.P1=TRUE,I.Facility.P1FacilityCount&gt;=3472,F3484=""),"Incomplete","Complete")</f>
        <v>Complete</v>
      </c>
      <c r="I3484" s="48" t="s">
        <v>7849</v>
      </c>
    </row>
    <row r="3485" spans="2:9" ht="15" customHeight="1" x14ac:dyDescent="0.25">
      <c r="B3485" s="55" t="s">
        <v>279</v>
      </c>
      <c r="C3485" s="46">
        <v>3473</v>
      </c>
      <c r="D3485" s="69" t="s">
        <v>29416</v>
      </c>
      <c r="E3485" s="51"/>
      <c r="F3485" s="114" t="str">
        <f>IF(INDEX(I.Facility.P1IDNumber,3473)="","",INDEX(I.Facility.P1IDNumber,3473))</f>
        <v/>
      </c>
      <c r="G3485" s="51"/>
      <c r="H3485" s="46" t="str">
        <f>IF(AND(I.Developer.P1=TRUE,I.Facility.P1FacilityCount&gt;=3473,F3485=""),"Incomplete","Complete")</f>
        <v>Complete</v>
      </c>
      <c r="I3485" s="48" t="s">
        <v>7850</v>
      </c>
    </row>
    <row r="3486" spans="2:9" ht="15" customHeight="1" x14ac:dyDescent="0.25">
      <c r="B3486" s="55" t="s">
        <v>279</v>
      </c>
      <c r="C3486" s="46">
        <v>3474</v>
      </c>
      <c r="D3486" s="69" t="s">
        <v>29416</v>
      </c>
      <c r="E3486" s="51"/>
      <c r="F3486" s="114" t="str">
        <f>IF(INDEX(I.Facility.P1IDNumber,3474)="","",INDEX(I.Facility.P1IDNumber,3474))</f>
        <v/>
      </c>
      <c r="G3486" s="51"/>
      <c r="H3486" s="46" t="str">
        <f>IF(AND(I.Developer.P1=TRUE,I.Facility.P1FacilityCount&gt;=3474,F3486=""),"Incomplete","Complete")</f>
        <v>Complete</v>
      </c>
      <c r="I3486" s="48" t="s">
        <v>7851</v>
      </c>
    </row>
    <row r="3487" spans="2:9" ht="15" customHeight="1" x14ac:dyDescent="0.25">
      <c r="B3487" s="55" t="s">
        <v>279</v>
      </c>
      <c r="C3487" s="46">
        <v>3475</v>
      </c>
      <c r="D3487" s="69" t="s">
        <v>29416</v>
      </c>
      <c r="E3487" s="51"/>
      <c r="F3487" s="114" t="str">
        <f>IF(INDEX(I.Facility.P1IDNumber,3475)="","",INDEX(I.Facility.P1IDNumber,3475))</f>
        <v/>
      </c>
      <c r="G3487" s="51"/>
      <c r="H3487" s="46" t="str">
        <f>IF(AND(I.Developer.P1=TRUE,I.Facility.P1FacilityCount&gt;=3475,F3487=""),"Incomplete","Complete")</f>
        <v>Complete</v>
      </c>
      <c r="I3487" s="48" t="s">
        <v>7852</v>
      </c>
    </row>
    <row r="3488" spans="2:9" ht="15" customHeight="1" x14ac:dyDescent="0.25">
      <c r="B3488" s="55" t="s">
        <v>279</v>
      </c>
      <c r="C3488" s="46">
        <v>3476</v>
      </c>
      <c r="D3488" s="69" t="s">
        <v>29416</v>
      </c>
      <c r="E3488" s="51"/>
      <c r="F3488" s="114" t="str">
        <f>IF(INDEX(I.Facility.P1IDNumber,3476)="","",INDEX(I.Facility.P1IDNumber,3476))</f>
        <v/>
      </c>
      <c r="G3488" s="51"/>
      <c r="H3488" s="46" t="str">
        <f>IF(AND(I.Developer.P1=TRUE,I.Facility.P1FacilityCount&gt;=3476,F3488=""),"Incomplete","Complete")</f>
        <v>Complete</v>
      </c>
      <c r="I3488" s="48" t="s">
        <v>7853</v>
      </c>
    </row>
    <row r="3489" spans="2:9" ht="15" customHeight="1" x14ac:dyDescent="0.25">
      <c r="B3489" s="55" t="s">
        <v>279</v>
      </c>
      <c r="C3489" s="46">
        <v>3477</v>
      </c>
      <c r="D3489" s="69" t="s">
        <v>29416</v>
      </c>
      <c r="E3489" s="51"/>
      <c r="F3489" s="114" t="str">
        <f>IF(INDEX(I.Facility.P1IDNumber,3477)="","",INDEX(I.Facility.P1IDNumber,3477))</f>
        <v/>
      </c>
      <c r="G3489" s="51"/>
      <c r="H3489" s="46" t="str">
        <f>IF(AND(I.Developer.P1=TRUE,I.Facility.P1FacilityCount&gt;=3477,F3489=""),"Incomplete","Complete")</f>
        <v>Complete</v>
      </c>
      <c r="I3489" s="48" t="s">
        <v>7854</v>
      </c>
    </row>
    <row r="3490" spans="2:9" ht="15" customHeight="1" x14ac:dyDescent="0.25">
      <c r="B3490" s="55" t="s">
        <v>279</v>
      </c>
      <c r="C3490" s="46">
        <v>3478</v>
      </c>
      <c r="D3490" s="69" t="s">
        <v>29416</v>
      </c>
      <c r="E3490" s="51"/>
      <c r="F3490" s="114" t="str">
        <f>IF(INDEX(I.Facility.P1IDNumber,3478)="","",INDEX(I.Facility.P1IDNumber,3478))</f>
        <v/>
      </c>
      <c r="G3490" s="51"/>
      <c r="H3490" s="46" t="str">
        <f>IF(AND(I.Developer.P1=TRUE,I.Facility.P1FacilityCount&gt;=3478,F3490=""),"Incomplete","Complete")</f>
        <v>Complete</v>
      </c>
      <c r="I3490" s="48" t="s">
        <v>7855</v>
      </c>
    </row>
    <row r="3491" spans="2:9" ht="15" customHeight="1" x14ac:dyDescent="0.25">
      <c r="B3491" s="55" t="s">
        <v>279</v>
      </c>
      <c r="C3491" s="46">
        <v>3479</v>
      </c>
      <c r="D3491" s="69" t="s">
        <v>29416</v>
      </c>
      <c r="E3491" s="51"/>
      <c r="F3491" s="114" t="str">
        <f>IF(INDEX(I.Facility.P1IDNumber,3479)="","",INDEX(I.Facility.P1IDNumber,3479))</f>
        <v/>
      </c>
      <c r="G3491" s="51"/>
      <c r="H3491" s="46" t="str">
        <f>IF(AND(I.Developer.P1=TRUE,I.Facility.P1FacilityCount&gt;=3479,F3491=""),"Incomplete","Complete")</f>
        <v>Complete</v>
      </c>
      <c r="I3491" s="48" t="s">
        <v>7856</v>
      </c>
    </row>
    <row r="3492" spans="2:9" ht="15" customHeight="1" x14ac:dyDescent="0.25">
      <c r="B3492" s="55" t="s">
        <v>279</v>
      </c>
      <c r="C3492" s="46">
        <v>3480</v>
      </c>
      <c r="D3492" s="69" t="s">
        <v>29416</v>
      </c>
      <c r="E3492" s="51"/>
      <c r="F3492" s="114" t="str">
        <f>IF(INDEX(I.Facility.P1IDNumber,3480)="","",INDEX(I.Facility.P1IDNumber,3480))</f>
        <v/>
      </c>
      <c r="G3492" s="51"/>
      <c r="H3492" s="46" t="str">
        <f>IF(AND(I.Developer.P1=TRUE,I.Facility.P1FacilityCount&gt;=3480,F3492=""),"Incomplete","Complete")</f>
        <v>Complete</v>
      </c>
      <c r="I3492" s="48" t="s">
        <v>7857</v>
      </c>
    </row>
    <row r="3493" spans="2:9" ht="15" customHeight="1" x14ac:dyDescent="0.25">
      <c r="B3493" s="55" t="s">
        <v>279</v>
      </c>
      <c r="C3493" s="46">
        <v>3481</v>
      </c>
      <c r="D3493" s="69" t="s">
        <v>29416</v>
      </c>
      <c r="E3493" s="51"/>
      <c r="F3493" s="114" t="str">
        <f>IF(INDEX(I.Facility.P1IDNumber,3481)="","",INDEX(I.Facility.P1IDNumber,3481))</f>
        <v/>
      </c>
      <c r="G3493" s="51"/>
      <c r="H3493" s="46" t="str">
        <f>IF(AND(I.Developer.P1=TRUE,I.Facility.P1FacilityCount&gt;=3481,F3493=""),"Incomplete","Complete")</f>
        <v>Complete</v>
      </c>
      <c r="I3493" s="48" t="s">
        <v>7858</v>
      </c>
    </row>
    <row r="3494" spans="2:9" ht="15" customHeight="1" x14ac:dyDescent="0.25">
      <c r="B3494" s="55" t="s">
        <v>279</v>
      </c>
      <c r="C3494" s="46">
        <v>3482</v>
      </c>
      <c r="D3494" s="69" t="s">
        <v>29416</v>
      </c>
      <c r="E3494" s="51"/>
      <c r="F3494" s="114" t="str">
        <f>IF(INDEX(I.Facility.P1IDNumber,3482)="","",INDEX(I.Facility.P1IDNumber,3482))</f>
        <v/>
      </c>
      <c r="G3494" s="51"/>
      <c r="H3494" s="46" t="str">
        <f>IF(AND(I.Developer.P1=TRUE,I.Facility.P1FacilityCount&gt;=3482,F3494=""),"Incomplete","Complete")</f>
        <v>Complete</v>
      </c>
      <c r="I3494" s="48" t="s">
        <v>7859</v>
      </c>
    </row>
    <row r="3495" spans="2:9" ht="15" customHeight="1" x14ac:dyDescent="0.25">
      <c r="B3495" s="55" t="s">
        <v>279</v>
      </c>
      <c r="C3495" s="46">
        <v>3483</v>
      </c>
      <c r="D3495" s="69" t="s">
        <v>29416</v>
      </c>
      <c r="E3495" s="51"/>
      <c r="F3495" s="114" t="str">
        <f>IF(INDEX(I.Facility.P1IDNumber,3483)="","",INDEX(I.Facility.P1IDNumber,3483))</f>
        <v/>
      </c>
      <c r="G3495" s="51"/>
      <c r="H3495" s="46" t="str">
        <f>IF(AND(I.Developer.P1=TRUE,I.Facility.P1FacilityCount&gt;=3483,F3495=""),"Incomplete","Complete")</f>
        <v>Complete</v>
      </c>
      <c r="I3495" s="48" t="s">
        <v>7860</v>
      </c>
    </row>
    <row r="3496" spans="2:9" ht="15" customHeight="1" x14ac:dyDescent="0.25">
      <c r="B3496" s="55" t="s">
        <v>279</v>
      </c>
      <c r="C3496" s="46">
        <v>3484</v>
      </c>
      <c r="D3496" s="69" t="s">
        <v>29416</v>
      </c>
      <c r="E3496" s="51"/>
      <c r="F3496" s="114" t="str">
        <f>IF(INDEX(I.Facility.P1IDNumber,3484)="","",INDEX(I.Facility.P1IDNumber,3484))</f>
        <v/>
      </c>
      <c r="G3496" s="51"/>
      <c r="H3496" s="46" t="str">
        <f>IF(AND(I.Developer.P1=TRUE,I.Facility.P1FacilityCount&gt;=3484,F3496=""),"Incomplete","Complete")</f>
        <v>Complete</v>
      </c>
      <c r="I3496" s="48" t="s">
        <v>7861</v>
      </c>
    </row>
    <row r="3497" spans="2:9" ht="15" customHeight="1" x14ac:dyDescent="0.25">
      <c r="B3497" s="55" t="s">
        <v>279</v>
      </c>
      <c r="C3497" s="46">
        <v>3485</v>
      </c>
      <c r="D3497" s="69" t="s">
        <v>29416</v>
      </c>
      <c r="E3497" s="51"/>
      <c r="F3497" s="114" t="str">
        <f>IF(INDEX(I.Facility.P1IDNumber,3485)="","",INDEX(I.Facility.P1IDNumber,3485))</f>
        <v/>
      </c>
      <c r="G3497" s="51"/>
      <c r="H3497" s="46" t="str">
        <f>IF(AND(I.Developer.P1=TRUE,I.Facility.P1FacilityCount&gt;=3485,F3497=""),"Incomplete","Complete")</f>
        <v>Complete</v>
      </c>
      <c r="I3497" s="48" t="s">
        <v>7862</v>
      </c>
    </row>
    <row r="3498" spans="2:9" ht="15" customHeight="1" x14ac:dyDescent="0.25">
      <c r="B3498" s="55" t="s">
        <v>279</v>
      </c>
      <c r="C3498" s="46">
        <v>3486</v>
      </c>
      <c r="D3498" s="69" t="s">
        <v>29416</v>
      </c>
      <c r="E3498" s="51"/>
      <c r="F3498" s="114" t="str">
        <f>IF(INDEX(I.Facility.P1IDNumber,3486)="","",INDEX(I.Facility.P1IDNumber,3486))</f>
        <v/>
      </c>
      <c r="G3498" s="51"/>
      <c r="H3498" s="46" t="str">
        <f>IF(AND(I.Developer.P1=TRUE,I.Facility.P1FacilityCount&gt;=3486,F3498=""),"Incomplete","Complete")</f>
        <v>Complete</v>
      </c>
      <c r="I3498" s="48" t="s">
        <v>7863</v>
      </c>
    </row>
    <row r="3499" spans="2:9" ht="15" customHeight="1" x14ac:dyDescent="0.25">
      <c r="B3499" s="55" t="s">
        <v>279</v>
      </c>
      <c r="C3499" s="46">
        <v>3487</v>
      </c>
      <c r="D3499" s="69" t="s">
        <v>29416</v>
      </c>
      <c r="E3499" s="51"/>
      <c r="F3499" s="114" t="str">
        <f>IF(INDEX(I.Facility.P1IDNumber,3487)="","",INDEX(I.Facility.P1IDNumber,3487))</f>
        <v/>
      </c>
      <c r="G3499" s="51"/>
      <c r="H3499" s="46" t="str">
        <f>IF(AND(I.Developer.P1=TRUE,I.Facility.P1FacilityCount&gt;=3487,F3499=""),"Incomplete","Complete")</f>
        <v>Complete</v>
      </c>
      <c r="I3499" s="48" t="s">
        <v>7864</v>
      </c>
    </row>
    <row r="3500" spans="2:9" ht="15" customHeight="1" x14ac:dyDescent="0.25">
      <c r="B3500" s="55" t="s">
        <v>279</v>
      </c>
      <c r="C3500" s="46">
        <v>3488</v>
      </c>
      <c r="D3500" s="69" t="s">
        <v>29416</v>
      </c>
      <c r="E3500" s="51"/>
      <c r="F3500" s="114" t="str">
        <f>IF(INDEX(I.Facility.P1IDNumber,3488)="","",INDEX(I.Facility.P1IDNumber,3488))</f>
        <v/>
      </c>
      <c r="G3500" s="51"/>
      <c r="H3500" s="46" t="str">
        <f>IF(AND(I.Developer.P1=TRUE,I.Facility.P1FacilityCount&gt;=3488,F3500=""),"Incomplete","Complete")</f>
        <v>Complete</v>
      </c>
      <c r="I3500" s="48" t="s">
        <v>7865</v>
      </c>
    </row>
    <row r="3501" spans="2:9" ht="15" customHeight="1" x14ac:dyDescent="0.25">
      <c r="B3501" s="55" t="s">
        <v>279</v>
      </c>
      <c r="C3501" s="46">
        <v>3489</v>
      </c>
      <c r="D3501" s="69" t="s">
        <v>29416</v>
      </c>
      <c r="E3501" s="51"/>
      <c r="F3501" s="114" t="str">
        <f>IF(INDEX(I.Facility.P1IDNumber,3489)="","",INDEX(I.Facility.P1IDNumber,3489))</f>
        <v/>
      </c>
      <c r="G3501" s="51"/>
      <c r="H3501" s="46" t="str">
        <f>IF(AND(I.Developer.P1=TRUE,I.Facility.P1FacilityCount&gt;=3489,F3501=""),"Incomplete","Complete")</f>
        <v>Complete</v>
      </c>
      <c r="I3501" s="48" t="s">
        <v>7866</v>
      </c>
    </row>
    <row r="3502" spans="2:9" ht="15" customHeight="1" x14ac:dyDescent="0.25">
      <c r="B3502" s="55" t="s">
        <v>279</v>
      </c>
      <c r="C3502" s="46">
        <v>3490</v>
      </c>
      <c r="D3502" s="69" t="s">
        <v>29416</v>
      </c>
      <c r="E3502" s="51"/>
      <c r="F3502" s="114" t="str">
        <f>IF(INDEX(I.Facility.P1IDNumber,3490)="","",INDEX(I.Facility.P1IDNumber,3490))</f>
        <v/>
      </c>
      <c r="G3502" s="51"/>
      <c r="H3502" s="46" t="str">
        <f>IF(AND(I.Developer.P1=TRUE,I.Facility.P1FacilityCount&gt;=3490,F3502=""),"Incomplete","Complete")</f>
        <v>Complete</v>
      </c>
      <c r="I3502" s="48" t="s">
        <v>7867</v>
      </c>
    </row>
    <row r="3503" spans="2:9" ht="15" customHeight="1" x14ac:dyDescent="0.25">
      <c r="B3503" s="55" t="s">
        <v>279</v>
      </c>
      <c r="C3503" s="46">
        <v>3491</v>
      </c>
      <c r="D3503" s="69" t="s">
        <v>29416</v>
      </c>
      <c r="E3503" s="51"/>
      <c r="F3503" s="114" t="str">
        <f>IF(INDEX(I.Facility.P1IDNumber,3491)="","",INDEX(I.Facility.P1IDNumber,3491))</f>
        <v/>
      </c>
      <c r="G3503" s="51"/>
      <c r="H3503" s="46" t="str">
        <f>IF(AND(I.Developer.P1=TRUE,I.Facility.P1FacilityCount&gt;=3491,F3503=""),"Incomplete","Complete")</f>
        <v>Complete</v>
      </c>
      <c r="I3503" s="48" t="s">
        <v>7868</v>
      </c>
    </row>
    <row r="3504" spans="2:9" ht="15" customHeight="1" x14ac:dyDescent="0.25">
      <c r="B3504" s="55" t="s">
        <v>279</v>
      </c>
      <c r="C3504" s="46">
        <v>3492</v>
      </c>
      <c r="D3504" s="69" t="s">
        <v>29416</v>
      </c>
      <c r="E3504" s="51"/>
      <c r="F3504" s="114" t="str">
        <f>IF(INDEX(I.Facility.P1IDNumber,3492)="","",INDEX(I.Facility.P1IDNumber,3492))</f>
        <v/>
      </c>
      <c r="G3504" s="51"/>
      <c r="H3504" s="46" t="str">
        <f>IF(AND(I.Developer.P1=TRUE,I.Facility.P1FacilityCount&gt;=3492,F3504=""),"Incomplete","Complete")</f>
        <v>Complete</v>
      </c>
      <c r="I3504" s="48" t="s">
        <v>7869</v>
      </c>
    </row>
    <row r="3505" spans="2:9" ht="15" customHeight="1" x14ac:dyDescent="0.25">
      <c r="B3505" s="55" t="s">
        <v>279</v>
      </c>
      <c r="C3505" s="46">
        <v>3493</v>
      </c>
      <c r="D3505" s="69" t="s">
        <v>29416</v>
      </c>
      <c r="E3505" s="51"/>
      <c r="F3505" s="114" t="str">
        <f>IF(INDEX(I.Facility.P1IDNumber,3493)="","",INDEX(I.Facility.P1IDNumber,3493))</f>
        <v/>
      </c>
      <c r="G3505" s="51"/>
      <c r="H3505" s="46" t="str">
        <f>IF(AND(I.Developer.P1=TRUE,I.Facility.P1FacilityCount&gt;=3493,F3505=""),"Incomplete","Complete")</f>
        <v>Complete</v>
      </c>
      <c r="I3505" s="48" t="s">
        <v>7870</v>
      </c>
    </row>
    <row r="3506" spans="2:9" ht="15" customHeight="1" x14ac:dyDescent="0.25">
      <c r="B3506" s="55" t="s">
        <v>279</v>
      </c>
      <c r="C3506" s="46">
        <v>3494</v>
      </c>
      <c r="D3506" s="69" t="s">
        <v>29416</v>
      </c>
      <c r="E3506" s="51"/>
      <c r="F3506" s="114" t="str">
        <f>IF(INDEX(I.Facility.P1IDNumber,3494)="","",INDEX(I.Facility.P1IDNumber,3494))</f>
        <v/>
      </c>
      <c r="G3506" s="51"/>
      <c r="H3506" s="46" t="str">
        <f>IF(AND(I.Developer.P1=TRUE,I.Facility.P1FacilityCount&gt;=3494,F3506=""),"Incomplete","Complete")</f>
        <v>Complete</v>
      </c>
      <c r="I3506" s="48" t="s">
        <v>7871</v>
      </c>
    </row>
    <row r="3507" spans="2:9" ht="15" customHeight="1" x14ac:dyDescent="0.25">
      <c r="B3507" s="55" t="s">
        <v>279</v>
      </c>
      <c r="C3507" s="46">
        <v>3495</v>
      </c>
      <c r="D3507" s="69" t="s">
        <v>29416</v>
      </c>
      <c r="E3507" s="51"/>
      <c r="F3507" s="114" t="str">
        <f>IF(INDEX(I.Facility.P1IDNumber,3495)="","",INDEX(I.Facility.P1IDNumber,3495))</f>
        <v/>
      </c>
      <c r="G3507" s="51"/>
      <c r="H3507" s="46" t="str">
        <f>IF(AND(I.Developer.P1=TRUE,I.Facility.P1FacilityCount&gt;=3495,F3507=""),"Incomplete","Complete")</f>
        <v>Complete</v>
      </c>
      <c r="I3507" s="48" t="s">
        <v>7872</v>
      </c>
    </row>
    <row r="3508" spans="2:9" ht="15" customHeight="1" x14ac:dyDescent="0.25">
      <c r="B3508" s="55" t="s">
        <v>279</v>
      </c>
      <c r="C3508" s="46">
        <v>3496</v>
      </c>
      <c r="D3508" s="69" t="s">
        <v>29416</v>
      </c>
      <c r="E3508" s="51"/>
      <c r="F3508" s="114" t="str">
        <f>IF(INDEX(I.Facility.P1IDNumber,3496)="","",INDEX(I.Facility.P1IDNumber,3496))</f>
        <v/>
      </c>
      <c r="G3508" s="51"/>
      <c r="H3508" s="46" t="str">
        <f>IF(AND(I.Developer.P1=TRUE,I.Facility.P1FacilityCount&gt;=3496,F3508=""),"Incomplete","Complete")</f>
        <v>Complete</v>
      </c>
      <c r="I3508" s="48" t="s">
        <v>7873</v>
      </c>
    </row>
    <row r="3509" spans="2:9" ht="15" customHeight="1" x14ac:dyDescent="0.25">
      <c r="B3509" s="55" t="s">
        <v>279</v>
      </c>
      <c r="C3509" s="46">
        <v>3497</v>
      </c>
      <c r="D3509" s="69" t="s">
        <v>29416</v>
      </c>
      <c r="E3509" s="51"/>
      <c r="F3509" s="114" t="str">
        <f>IF(INDEX(I.Facility.P1IDNumber,3497)="","",INDEX(I.Facility.P1IDNumber,3497))</f>
        <v/>
      </c>
      <c r="G3509" s="51"/>
      <c r="H3509" s="46" t="str">
        <f>IF(AND(I.Developer.P1=TRUE,I.Facility.P1FacilityCount&gt;=3497,F3509=""),"Incomplete","Complete")</f>
        <v>Complete</v>
      </c>
      <c r="I3509" s="48" t="s">
        <v>7874</v>
      </c>
    </row>
    <row r="3510" spans="2:9" ht="15" customHeight="1" x14ac:dyDescent="0.25">
      <c r="B3510" s="55" t="s">
        <v>279</v>
      </c>
      <c r="C3510" s="46">
        <v>3498</v>
      </c>
      <c r="D3510" s="69" t="s">
        <v>29416</v>
      </c>
      <c r="E3510" s="51"/>
      <c r="F3510" s="114" t="str">
        <f>IF(INDEX(I.Facility.P1IDNumber,3498)="","",INDEX(I.Facility.P1IDNumber,3498))</f>
        <v/>
      </c>
      <c r="G3510" s="51"/>
      <c r="H3510" s="46" t="str">
        <f>IF(AND(I.Developer.P1=TRUE,I.Facility.P1FacilityCount&gt;=3498,F3510=""),"Incomplete","Complete")</f>
        <v>Complete</v>
      </c>
      <c r="I3510" s="48" t="s">
        <v>7875</v>
      </c>
    </row>
    <row r="3511" spans="2:9" ht="15" customHeight="1" x14ac:dyDescent="0.25">
      <c r="B3511" s="55" t="s">
        <v>279</v>
      </c>
      <c r="C3511" s="46">
        <v>3499</v>
      </c>
      <c r="D3511" s="69" t="s">
        <v>29416</v>
      </c>
      <c r="E3511" s="51"/>
      <c r="F3511" s="114" t="str">
        <f>IF(INDEX(I.Facility.P1IDNumber,3499)="","",INDEX(I.Facility.P1IDNumber,3499))</f>
        <v/>
      </c>
      <c r="G3511" s="51"/>
      <c r="H3511" s="46" t="str">
        <f>IF(AND(I.Developer.P1=TRUE,I.Facility.P1FacilityCount&gt;=3499,F3511=""),"Incomplete","Complete")</f>
        <v>Complete</v>
      </c>
      <c r="I3511" s="48" t="s">
        <v>7876</v>
      </c>
    </row>
    <row r="3512" spans="2:9" ht="15" customHeight="1" x14ac:dyDescent="0.25">
      <c r="B3512" s="55" t="s">
        <v>279</v>
      </c>
      <c r="C3512" s="46">
        <v>3500</v>
      </c>
      <c r="D3512" s="69" t="s">
        <v>29416</v>
      </c>
      <c r="E3512" s="51"/>
      <c r="F3512" s="114" t="str">
        <f>IF(INDEX(I.Facility.P1IDNumber,3500)="","",INDEX(I.Facility.P1IDNumber,3500))</f>
        <v/>
      </c>
      <c r="G3512" s="51"/>
      <c r="H3512" s="46" t="str">
        <f>IF(AND(I.Developer.P1=TRUE,I.Facility.P1FacilityCount&gt;=3500,F3512=""),"Incomplete","Complete")</f>
        <v>Complete</v>
      </c>
      <c r="I3512" s="48" t="s">
        <v>7877</v>
      </c>
    </row>
    <row r="3513" spans="2:9" ht="15" customHeight="1" x14ac:dyDescent="0.25">
      <c r="B3513" s="55" t="s">
        <v>279</v>
      </c>
      <c r="C3513" s="46">
        <v>3501</v>
      </c>
      <c r="D3513" s="69" t="s">
        <v>29416</v>
      </c>
      <c r="E3513" s="51"/>
      <c r="F3513" s="114" t="str">
        <f>IF(INDEX(I.Facility.P1IDNumber,3501)="","",INDEX(I.Facility.P1IDNumber,3501))</f>
        <v/>
      </c>
      <c r="G3513" s="51"/>
      <c r="H3513" s="46" t="str">
        <f>IF(AND(I.Developer.P1=TRUE,I.Facility.P1FacilityCount&gt;=3501,F3513=""),"Incomplete","Complete")</f>
        <v>Complete</v>
      </c>
      <c r="I3513" s="48" t="s">
        <v>7878</v>
      </c>
    </row>
    <row r="3514" spans="2:9" ht="15" customHeight="1" x14ac:dyDescent="0.25">
      <c r="B3514" s="55" t="s">
        <v>279</v>
      </c>
      <c r="C3514" s="46">
        <v>3502</v>
      </c>
      <c r="D3514" s="69" t="s">
        <v>29416</v>
      </c>
      <c r="E3514" s="51"/>
      <c r="F3514" s="114" t="str">
        <f>IF(INDEX(I.Facility.P1IDNumber,3502)="","",INDEX(I.Facility.P1IDNumber,3502))</f>
        <v/>
      </c>
      <c r="G3514" s="51"/>
      <c r="H3514" s="46" t="str">
        <f>IF(AND(I.Developer.P1=TRUE,I.Facility.P1FacilityCount&gt;=3502,F3514=""),"Incomplete","Complete")</f>
        <v>Complete</v>
      </c>
      <c r="I3514" s="48" t="s">
        <v>7879</v>
      </c>
    </row>
    <row r="3515" spans="2:9" ht="15" customHeight="1" x14ac:dyDescent="0.25">
      <c r="B3515" s="55" t="s">
        <v>279</v>
      </c>
      <c r="C3515" s="46">
        <v>3503</v>
      </c>
      <c r="D3515" s="69" t="s">
        <v>29416</v>
      </c>
      <c r="E3515" s="51"/>
      <c r="F3515" s="114" t="str">
        <f>IF(INDEX(I.Facility.P1IDNumber,3503)="","",INDEX(I.Facility.P1IDNumber,3503))</f>
        <v/>
      </c>
      <c r="G3515" s="51"/>
      <c r="H3515" s="46" t="str">
        <f>IF(AND(I.Developer.P1=TRUE,I.Facility.P1FacilityCount&gt;=3503,F3515=""),"Incomplete","Complete")</f>
        <v>Complete</v>
      </c>
      <c r="I3515" s="48" t="s">
        <v>7880</v>
      </c>
    </row>
    <row r="3516" spans="2:9" ht="15" customHeight="1" x14ac:dyDescent="0.25">
      <c r="B3516" s="55" t="s">
        <v>279</v>
      </c>
      <c r="C3516" s="46">
        <v>3504</v>
      </c>
      <c r="D3516" s="69" t="s">
        <v>29416</v>
      </c>
      <c r="E3516" s="51"/>
      <c r="F3516" s="114" t="str">
        <f>IF(INDEX(I.Facility.P1IDNumber,3504)="","",INDEX(I.Facility.P1IDNumber,3504))</f>
        <v/>
      </c>
      <c r="G3516" s="51"/>
      <c r="H3516" s="46" t="str">
        <f>IF(AND(I.Developer.P1=TRUE,I.Facility.P1FacilityCount&gt;=3504,F3516=""),"Incomplete","Complete")</f>
        <v>Complete</v>
      </c>
      <c r="I3516" s="48" t="s">
        <v>7881</v>
      </c>
    </row>
    <row r="3517" spans="2:9" ht="15" customHeight="1" x14ac:dyDescent="0.25">
      <c r="B3517" s="55" t="s">
        <v>279</v>
      </c>
      <c r="C3517" s="46">
        <v>3505</v>
      </c>
      <c r="D3517" s="69" t="s">
        <v>29416</v>
      </c>
      <c r="E3517" s="51"/>
      <c r="F3517" s="114" t="str">
        <f>IF(INDEX(I.Facility.P1IDNumber,3505)="","",INDEX(I.Facility.P1IDNumber,3505))</f>
        <v/>
      </c>
      <c r="G3517" s="51"/>
      <c r="H3517" s="46" t="str">
        <f>IF(AND(I.Developer.P1=TRUE,I.Facility.P1FacilityCount&gt;=3505,F3517=""),"Incomplete","Complete")</f>
        <v>Complete</v>
      </c>
      <c r="I3517" s="48" t="s">
        <v>7882</v>
      </c>
    </row>
    <row r="3518" spans="2:9" ht="15" customHeight="1" x14ac:dyDescent="0.25">
      <c r="B3518" s="55" t="s">
        <v>279</v>
      </c>
      <c r="C3518" s="46">
        <v>3506</v>
      </c>
      <c r="D3518" s="69" t="s">
        <v>29416</v>
      </c>
      <c r="E3518" s="51"/>
      <c r="F3518" s="114" t="str">
        <f>IF(INDEX(I.Facility.P1IDNumber,3506)="","",INDEX(I.Facility.P1IDNumber,3506))</f>
        <v/>
      </c>
      <c r="G3518" s="51"/>
      <c r="H3518" s="46" t="str">
        <f>IF(AND(I.Developer.P1=TRUE,I.Facility.P1FacilityCount&gt;=3506,F3518=""),"Incomplete","Complete")</f>
        <v>Complete</v>
      </c>
      <c r="I3518" s="48" t="s">
        <v>7883</v>
      </c>
    </row>
    <row r="3519" spans="2:9" ht="15" customHeight="1" x14ac:dyDescent="0.25">
      <c r="B3519" s="55" t="s">
        <v>279</v>
      </c>
      <c r="C3519" s="46">
        <v>3507</v>
      </c>
      <c r="D3519" s="69" t="s">
        <v>29416</v>
      </c>
      <c r="E3519" s="51"/>
      <c r="F3519" s="114" t="str">
        <f>IF(INDEX(I.Facility.P1IDNumber,3507)="","",INDEX(I.Facility.P1IDNumber,3507))</f>
        <v/>
      </c>
      <c r="G3519" s="51"/>
      <c r="H3519" s="46" t="str">
        <f>IF(AND(I.Developer.P1=TRUE,I.Facility.P1FacilityCount&gt;=3507,F3519=""),"Incomplete","Complete")</f>
        <v>Complete</v>
      </c>
      <c r="I3519" s="48" t="s">
        <v>7884</v>
      </c>
    </row>
    <row r="3520" spans="2:9" ht="15" customHeight="1" x14ac:dyDescent="0.25">
      <c r="B3520" s="55" t="s">
        <v>279</v>
      </c>
      <c r="C3520" s="46">
        <v>3508</v>
      </c>
      <c r="D3520" s="69" t="s">
        <v>29416</v>
      </c>
      <c r="E3520" s="51"/>
      <c r="F3520" s="114" t="str">
        <f>IF(INDEX(I.Facility.P1IDNumber,3508)="","",INDEX(I.Facility.P1IDNumber,3508))</f>
        <v/>
      </c>
      <c r="G3520" s="51"/>
      <c r="H3520" s="46" t="str">
        <f>IF(AND(I.Developer.P1=TRUE,I.Facility.P1FacilityCount&gt;=3508,F3520=""),"Incomplete","Complete")</f>
        <v>Complete</v>
      </c>
      <c r="I3520" s="48" t="s">
        <v>7885</v>
      </c>
    </row>
    <row r="3521" spans="2:9" ht="15" customHeight="1" x14ac:dyDescent="0.25">
      <c r="B3521" s="55" t="s">
        <v>279</v>
      </c>
      <c r="C3521" s="46">
        <v>3509</v>
      </c>
      <c r="D3521" s="69" t="s">
        <v>29416</v>
      </c>
      <c r="E3521" s="51"/>
      <c r="F3521" s="114" t="str">
        <f>IF(INDEX(I.Facility.P1IDNumber,3509)="","",INDEX(I.Facility.P1IDNumber,3509))</f>
        <v/>
      </c>
      <c r="G3521" s="51"/>
      <c r="H3521" s="46" t="str">
        <f>IF(AND(I.Developer.P1=TRUE,I.Facility.P1FacilityCount&gt;=3509,F3521=""),"Incomplete","Complete")</f>
        <v>Complete</v>
      </c>
      <c r="I3521" s="48" t="s">
        <v>7886</v>
      </c>
    </row>
    <row r="3522" spans="2:9" ht="15" customHeight="1" x14ac:dyDescent="0.25">
      <c r="B3522" s="55" t="s">
        <v>279</v>
      </c>
      <c r="C3522" s="46">
        <v>3510</v>
      </c>
      <c r="D3522" s="69" t="s">
        <v>29416</v>
      </c>
      <c r="E3522" s="51"/>
      <c r="F3522" s="114" t="str">
        <f>IF(INDEX(I.Facility.P1IDNumber,3510)="","",INDEX(I.Facility.P1IDNumber,3510))</f>
        <v/>
      </c>
      <c r="G3522" s="51"/>
      <c r="H3522" s="46" t="str">
        <f>IF(AND(I.Developer.P1=TRUE,I.Facility.P1FacilityCount&gt;=3510,F3522=""),"Incomplete","Complete")</f>
        <v>Complete</v>
      </c>
      <c r="I3522" s="48" t="s">
        <v>7887</v>
      </c>
    </row>
    <row r="3523" spans="2:9" ht="15" customHeight="1" x14ac:dyDescent="0.25">
      <c r="B3523" s="55" t="s">
        <v>279</v>
      </c>
      <c r="C3523" s="46">
        <v>3511</v>
      </c>
      <c r="D3523" s="69" t="s">
        <v>29416</v>
      </c>
      <c r="E3523" s="51"/>
      <c r="F3523" s="114" t="str">
        <f>IF(INDEX(I.Facility.P1IDNumber,3511)="","",INDEX(I.Facility.P1IDNumber,3511))</f>
        <v/>
      </c>
      <c r="G3523" s="51"/>
      <c r="H3523" s="46" t="str">
        <f>IF(AND(I.Developer.P1=TRUE,I.Facility.P1FacilityCount&gt;=3511,F3523=""),"Incomplete","Complete")</f>
        <v>Complete</v>
      </c>
      <c r="I3523" s="48" t="s">
        <v>7888</v>
      </c>
    </row>
    <row r="3524" spans="2:9" ht="15" customHeight="1" x14ac:dyDescent="0.25">
      <c r="B3524" s="55" t="s">
        <v>279</v>
      </c>
      <c r="C3524" s="46">
        <v>3512</v>
      </c>
      <c r="D3524" s="69" t="s">
        <v>29416</v>
      </c>
      <c r="E3524" s="51"/>
      <c r="F3524" s="114" t="str">
        <f>IF(INDEX(I.Facility.P1IDNumber,3512)="","",INDEX(I.Facility.P1IDNumber,3512))</f>
        <v/>
      </c>
      <c r="G3524" s="51"/>
      <c r="H3524" s="46" t="str">
        <f>IF(AND(I.Developer.P1=TRUE,I.Facility.P1FacilityCount&gt;=3512,F3524=""),"Incomplete","Complete")</f>
        <v>Complete</v>
      </c>
      <c r="I3524" s="48" t="s">
        <v>7889</v>
      </c>
    </row>
    <row r="3525" spans="2:9" ht="15" customHeight="1" x14ac:dyDescent="0.25">
      <c r="B3525" s="55" t="s">
        <v>279</v>
      </c>
      <c r="C3525" s="46">
        <v>3513</v>
      </c>
      <c r="D3525" s="69" t="s">
        <v>29416</v>
      </c>
      <c r="E3525" s="51"/>
      <c r="F3525" s="114" t="str">
        <f>IF(INDEX(I.Facility.P1IDNumber,3513)="","",INDEX(I.Facility.P1IDNumber,3513))</f>
        <v/>
      </c>
      <c r="G3525" s="51"/>
      <c r="H3525" s="46" t="str">
        <f>IF(AND(I.Developer.P1=TRUE,I.Facility.P1FacilityCount&gt;=3513,F3525=""),"Incomplete","Complete")</f>
        <v>Complete</v>
      </c>
      <c r="I3525" s="48" t="s">
        <v>7890</v>
      </c>
    </row>
    <row r="3526" spans="2:9" ht="15" customHeight="1" x14ac:dyDescent="0.25">
      <c r="B3526" s="55" t="s">
        <v>279</v>
      </c>
      <c r="C3526" s="46">
        <v>3514</v>
      </c>
      <c r="D3526" s="69" t="s">
        <v>29416</v>
      </c>
      <c r="E3526" s="51"/>
      <c r="F3526" s="114" t="str">
        <f>IF(INDEX(I.Facility.P1IDNumber,3514)="","",INDEX(I.Facility.P1IDNumber,3514))</f>
        <v/>
      </c>
      <c r="G3526" s="51"/>
      <c r="H3526" s="46" t="str">
        <f>IF(AND(I.Developer.P1=TRUE,I.Facility.P1FacilityCount&gt;=3514,F3526=""),"Incomplete","Complete")</f>
        <v>Complete</v>
      </c>
      <c r="I3526" s="48" t="s">
        <v>7891</v>
      </c>
    </row>
    <row r="3527" spans="2:9" ht="15" customHeight="1" x14ac:dyDescent="0.25">
      <c r="B3527" s="55" t="s">
        <v>279</v>
      </c>
      <c r="C3527" s="46">
        <v>3515</v>
      </c>
      <c r="D3527" s="69" t="s">
        <v>29416</v>
      </c>
      <c r="E3527" s="51"/>
      <c r="F3527" s="114" t="str">
        <f>IF(INDEX(I.Facility.P1IDNumber,3515)="","",INDEX(I.Facility.P1IDNumber,3515))</f>
        <v/>
      </c>
      <c r="G3527" s="51"/>
      <c r="H3527" s="46" t="str">
        <f>IF(AND(I.Developer.P1=TRUE,I.Facility.P1FacilityCount&gt;=3515,F3527=""),"Incomplete","Complete")</f>
        <v>Complete</v>
      </c>
      <c r="I3527" s="48" t="s">
        <v>7892</v>
      </c>
    </row>
    <row r="3528" spans="2:9" ht="15" customHeight="1" x14ac:dyDescent="0.25">
      <c r="B3528" s="55" t="s">
        <v>279</v>
      </c>
      <c r="C3528" s="46">
        <v>3516</v>
      </c>
      <c r="D3528" s="69" t="s">
        <v>29416</v>
      </c>
      <c r="E3528" s="51"/>
      <c r="F3528" s="114" t="str">
        <f>IF(INDEX(I.Facility.P1IDNumber,3516)="","",INDEX(I.Facility.P1IDNumber,3516))</f>
        <v/>
      </c>
      <c r="G3528" s="51"/>
      <c r="H3528" s="46" t="str">
        <f>IF(AND(I.Developer.P1=TRUE,I.Facility.P1FacilityCount&gt;=3516,F3528=""),"Incomplete","Complete")</f>
        <v>Complete</v>
      </c>
      <c r="I3528" s="48" t="s">
        <v>7893</v>
      </c>
    </row>
    <row r="3529" spans="2:9" ht="15" customHeight="1" x14ac:dyDescent="0.25">
      <c r="B3529" s="55" t="s">
        <v>279</v>
      </c>
      <c r="C3529" s="46">
        <v>3517</v>
      </c>
      <c r="D3529" s="69" t="s">
        <v>29416</v>
      </c>
      <c r="E3529" s="51"/>
      <c r="F3529" s="114" t="str">
        <f>IF(INDEX(I.Facility.P1IDNumber,3517)="","",INDEX(I.Facility.P1IDNumber,3517))</f>
        <v/>
      </c>
      <c r="G3529" s="51"/>
      <c r="H3529" s="46" t="str">
        <f>IF(AND(I.Developer.P1=TRUE,I.Facility.P1FacilityCount&gt;=3517,F3529=""),"Incomplete","Complete")</f>
        <v>Complete</v>
      </c>
      <c r="I3529" s="48" t="s">
        <v>7894</v>
      </c>
    </row>
    <row r="3530" spans="2:9" ht="15" customHeight="1" x14ac:dyDescent="0.25">
      <c r="B3530" s="55" t="s">
        <v>279</v>
      </c>
      <c r="C3530" s="46">
        <v>3518</v>
      </c>
      <c r="D3530" s="69" t="s">
        <v>29416</v>
      </c>
      <c r="E3530" s="51"/>
      <c r="F3530" s="114" t="str">
        <f>IF(INDEX(I.Facility.P1IDNumber,3518)="","",INDEX(I.Facility.P1IDNumber,3518))</f>
        <v/>
      </c>
      <c r="G3530" s="51"/>
      <c r="H3530" s="46" t="str">
        <f>IF(AND(I.Developer.P1=TRUE,I.Facility.P1FacilityCount&gt;=3518,F3530=""),"Incomplete","Complete")</f>
        <v>Complete</v>
      </c>
      <c r="I3530" s="48" t="s">
        <v>7895</v>
      </c>
    </row>
    <row r="3531" spans="2:9" ht="15" customHeight="1" x14ac:dyDescent="0.25">
      <c r="B3531" s="55" t="s">
        <v>279</v>
      </c>
      <c r="C3531" s="46">
        <v>3519</v>
      </c>
      <c r="D3531" s="69" t="s">
        <v>29416</v>
      </c>
      <c r="E3531" s="51"/>
      <c r="F3531" s="114" t="str">
        <f>IF(INDEX(I.Facility.P1IDNumber,3519)="","",INDEX(I.Facility.P1IDNumber,3519))</f>
        <v/>
      </c>
      <c r="G3531" s="51"/>
      <c r="H3531" s="46" t="str">
        <f>IF(AND(I.Developer.P1=TRUE,I.Facility.P1FacilityCount&gt;=3519,F3531=""),"Incomplete","Complete")</f>
        <v>Complete</v>
      </c>
      <c r="I3531" s="48" t="s">
        <v>7896</v>
      </c>
    </row>
    <row r="3532" spans="2:9" ht="15" customHeight="1" x14ac:dyDescent="0.25">
      <c r="B3532" s="55" t="s">
        <v>279</v>
      </c>
      <c r="C3532" s="46">
        <v>3520</v>
      </c>
      <c r="D3532" s="69" t="s">
        <v>29416</v>
      </c>
      <c r="E3532" s="51"/>
      <c r="F3532" s="114" t="str">
        <f>IF(INDEX(I.Facility.P1IDNumber,3520)="","",INDEX(I.Facility.P1IDNumber,3520))</f>
        <v/>
      </c>
      <c r="G3532" s="51"/>
      <c r="H3532" s="46" t="str">
        <f>IF(AND(I.Developer.P1=TRUE,I.Facility.P1FacilityCount&gt;=3520,F3532=""),"Incomplete","Complete")</f>
        <v>Complete</v>
      </c>
      <c r="I3532" s="48" t="s">
        <v>7897</v>
      </c>
    </row>
    <row r="3533" spans="2:9" ht="15" customHeight="1" x14ac:dyDescent="0.25">
      <c r="B3533" s="55" t="s">
        <v>279</v>
      </c>
      <c r="C3533" s="46">
        <v>3521</v>
      </c>
      <c r="D3533" s="69" t="s">
        <v>29416</v>
      </c>
      <c r="E3533" s="51"/>
      <c r="F3533" s="114" t="str">
        <f>IF(INDEX(I.Facility.P1IDNumber,3521)="","",INDEX(I.Facility.P1IDNumber,3521))</f>
        <v/>
      </c>
      <c r="G3533" s="51"/>
      <c r="H3533" s="46" t="str">
        <f>IF(AND(I.Developer.P1=TRUE,I.Facility.P1FacilityCount&gt;=3521,F3533=""),"Incomplete","Complete")</f>
        <v>Complete</v>
      </c>
      <c r="I3533" s="48" t="s">
        <v>7898</v>
      </c>
    </row>
    <row r="3534" spans="2:9" ht="15" customHeight="1" x14ac:dyDescent="0.25">
      <c r="B3534" s="55" t="s">
        <v>279</v>
      </c>
      <c r="C3534" s="46">
        <v>3522</v>
      </c>
      <c r="D3534" s="69" t="s">
        <v>29416</v>
      </c>
      <c r="E3534" s="51"/>
      <c r="F3534" s="114" t="str">
        <f>IF(INDEX(I.Facility.P1IDNumber,3522)="","",INDEX(I.Facility.P1IDNumber,3522))</f>
        <v/>
      </c>
      <c r="G3534" s="51"/>
      <c r="H3534" s="46" t="str">
        <f>IF(AND(I.Developer.P1=TRUE,I.Facility.P1FacilityCount&gt;=3522,F3534=""),"Incomplete","Complete")</f>
        <v>Complete</v>
      </c>
      <c r="I3534" s="48" t="s">
        <v>7899</v>
      </c>
    </row>
    <row r="3535" spans="2:9" ht="15" customHeight="1" x14ac:dyDescent="0.25">
      <c r="B3535" s="55" t="s">
        <v>279</v>
      </c>
      <c r="C3535" s="46">
        <v>3523</v>
      </c>
      <c r="D3535" s="69" t="s">
        <v>29416</v>
      </c>
      <c r="E3535" s="51"/>
      <c r="F3535" s="114" t="str">
        <f>IF(INDEX(I.Facility.P1IDNumber,3523)="","",INDEX(I.Facility.P1IDNumber,3523))</f>
        <v/>
      </c>
      <c r="G3535" s="51"/>
      <c r="H3535" s="46" t="str">
        <f>IF(AND(I.Developer.P1=TRUE,I.Facility.P1FacilityCount&gt;=3523,F3535=""),"Incomplete","Complete")</f>
        <v>Complete</v>
      </c>
      <c r="I3535" s="48" t="s">
        <v>7900</v>
      </c>
    </row>
    <row r="3536" spans="2:9" ht="15" customHeight="1" x14ac:dyDescent="0.25">
      <c r="B3536" s="55" t="s">
        <v>279</v>
      </c>
      <c r="C3536" s="46">
        <v>3524</v>
      </c>
      <c r="D3536" s="69" t="s">
        <v>29416</v>
      </c>
      <c r="E3536" s="51"/>
      <c r="F3536" s="114" t="str">
        <f>IF(INDEX(I.Facility.P1IDNumber,3524)="","",INDEX(I.Facility.P1IDNumber,3524))</f>
        <v/>
      </c>
      <c r="G3536" s="51"/>
      <c r="H3536" s="46" t="str">
        <f>IF(AND(I.Developer.P1=TRUE,I.Facility.P1FacilityCount&gt;=3524,F3536=""),"Incomplete","Complete")</f>
        <v>Complete</v>
      </c>
      <c r="I3536" s="48" t="s">
        <v>7901</v>
      </c>
    </row>
    <row r="3537" spans="2:9" ht="15" customHeight="1" x14ac:dyDescent="0.25">
      <c r="B3537" s="55" t="s">
        <v>279</v>
      </c>
      <c r="C3537" s="46">
        <v>3525</v>
      </c>
      <c r="D3537" s="69" t="s">
        <v>29416</v>
      </c>
      <c r="E3537" s="51"/>
      <c r="F3537" s="114" t="str">
        <f>IF(INDEX(I.Facility.P1IDNumber,3525)="","",INDEX(I.Facility.P1IDNumber,3525))</f>
        <v/>
      </c>
      <c r="G3537" s="51"/>
      <c r="H3537" s="46" t="str">
        <f>IF(AND(I.Developer.P1=TRUE,I.Facility.P1FacilityCount&gt;=3525,F3537=""),"Incomplete","Complete")</f>
        <v>Complete</v>
      </c>
      <c r="I3537" s="48" t="s">
        <v>7902</v>
      </c>
    </row>
    <row r="3538" spans="2:9" ht="15" customHeight="1" x14ac:dyDescent="0.25">
      <c r="B3538" s="55" t="s">
        <v>279</v>
      </c>
      <c r="C3538" s="46">
        <v>3526</v>
      </c>
      <c r="D3538" s="69" t="s">
        <v>29416</v>
      </c>
      <c r="E3538" s="51"/>
      <c r="F3538" s="114" t="str">
        <f>IF(INDEX(I.Facility.P1IDNumber,3526)="","",INDEX(I.Facility.P1IDNumber,3526))</f>
        <v/>
      </c>
      <c r="G3538" s="51"/>
      <c r="H3538" s="46" t="str">
        <f>IF(AND(I.Developer.P1=TRUE,I.Facility.P1FacilityCount&gt;=3526,F3538=""),"Incomplete","Complete")</f>
        <v>Complete</v>
      </c>
      <c r="I3538" s="48" t="s">
        <v>7903</v>
      </c>
    </row>
    <row r="3539" spans="2:9" ht="15" customHeight="1" x14ac:dyDescent="0.25">
      <c r="B3539" s="55" t="s">
        <v>279</v>
      </c>
      <c r="C3539" s="46">
        <v>3527</v>
      </c>
      <c r="D3539" s="69" t="s">
        <v>29416</v>
      </c>
      <c r="E3539" s="51"/>
      <c r="F3539" s="114" t="str">
        <f>IF(INDEX(I.Facility.P1IDNumber,3527)="","",INDEX(I.Facility.P1IDNumber,3527))</f>
        <v/>
      </c>
      <c r="G3539" s="51"/>
      <c r="H3539" s="46" t="str">
        <f>IF(AND(I.Developer.P1=TRUE,I.Facility.P1FacilityCount&gt;=3527,F3539=""),"Incomplete","Complete")</f>
        <v>Complete</v>
      </c>
      <c r="I3539" s="48" t="s">
        <v>7904</v>
      </c>
    </row>
    <row r="3540" spans="2:9" ht="15" customHeight="1" x14ac:dyDescent="0.25">
      <c r="B3540" s="55" t="s">
        <v>279</v>
      </c>
      <c r="C3540" s="46">
        <v>3528</v>
      </c>
      <c r="D3540" s="69" t="s">
        <v>29416</v>
      </c>
      <c r="E3540" s="51"/>
      <c r="F3540" s="114" t="str">
        <f>IF(INDEX(I.Facility.P1IDNumber,3528)="","",INDEX(I.Facility.P1IDNumber,3528))</f>
        <v/>
      </c>
      <c r="G3540" s="51"/>
      <c r="H3540" s="46" t="str">
        <f>IF(AND(I.Developer.P1=TRUE,I.Facility.P1FacilityCount&gt;=3528,F3540=""),"Incomplete","Complete")</f>
        <v>Complete</v>
      </c>
      <c r="I3540" s="48" t="s">
        <v>7905</v>
      </c>
    </row>
    <row r="3541" spans="2:9" ht="15" customHeight="1" x14ac:dyDescent="0.25">
      <c r="B3541" s="55" t="s">
        <v>279</v>
      </c>
      <c r="C3541" s="46">
        <v>3529</v>
      </c>
      <c r="D3541" s="69" t="s">
        <v>29416</v>
      </c>
      <c r="E3541" s="51"/>
      <c r="F3541" s="114" t="str">
        <f>IF(INDEX(I.Facility.P1IDNumber,3529)="","",INDEX(I.Facility.P1IDNumber,3529))</f>
        <v/>
      </c>
      <c r="G3541" s="51"/>
      <c r="H3541" s="46" t="str">
        <f>IF(AND(I.Developer.P1=TRUE,I.Facility.P1FacilityCount&gt;=3529,F3541=""),"Incomplete","Complete")</f>
        <v>Complete</v>
      </c>
      <c r="I3541" s="48" t="s">
        <v>7906</v>
      </c>
    </row>
    <row r="3542" spans="2:9" ht="15" customHeight="1" x14ac:dyDescent="0.25">
      <c r="B3542" s="55" t="s">
        <v>279</v>
      </c>
      <c r="C3542" s="46">
        <v>3530</v>
      </c>
      <c r="D3542" s="69" t="s">
        <v>29416</v>
      </c>
      <c r="E3542" s="51"/>
      <c r="F3542" s="114" t="str">
        <f>IF(INDEX(I.Facility.P1IDNumber,3530)="","",INDEX(I.Facility.P1IDNumber,3530))</f>
        <v/>
      </c>
      <c r="G3542" s="51"/>
      <c r="H3542" s="46" t="str">
        <f>IF(AND(I.Developer.P1=TRUE,I.Facility.P1FacilityCount&gt;=3530,F3542=""),"Incomplete","Complete")</f>
        <v>Complete</v>
      </c>
      <c r="I3542" s="48" t="s">
        <v>7907</v>
      </c>
    </row>
    <row r="3543" spans="2:9" ht="15" customHeight="1" x14ac:dyDescent="0.25">
      <c r="B3543" s="55" t="s">
        <v>279</v>
      </c>
      <c r="C3543" s="46">
        <v>3531</v>
      </c>
      <c r="D3543" s="69" t="s">
        <v>29416</v>
      </c>
      <c r="E3543" s="51"/>
      <c r="F3543" s="114" t="str">
        <f>IF(INDEX(I.Facility.P1IDNumber,3531)="","",INDEX(I.Facility.P1IDNumber,3531))</f>
        <v/>
      </c>
      <c r="G3543" s="51"/>
      <c r="H3543" s="46" t="str">
        <f>IF(AND(I.Developer.P1=TRUE,I.Facility.P1FacilityCount&gt;=3531,F3543=""),"Incomplete","Complete")</f>
        <v>Complete</v>
      </c>
      <c r="I3543" s="48" t="s">
        <v>7908</v>
      </c>
    </row>
    <row r="3544" spans="2:9" ht="15" customHeight="1" x14ac:dyDescent="0.25">
      <c r="B3544" s="55" t="s">
        <v>279</v>
      </c>
      <c r="C3544" s="46">
        <v>3532</v>
      </c>
      <c r="D3544" s="69" t="s">
        <v>29416</v>
      </c>
      <c r="E3544" s="51"/>
      <c r="F3544" s="114" t="str">
        <f>IF(INDEX(I.Facility.P1IDNumber,3532)="","",INDEX(I.Facility.P1IDNumber,3532))</f>
        <v/>
      </c>
      <c r="G3544" s="51"/>
      <c r="H3544" s="46" t="str">
        <f>IF(AND(I.Developer.P1=TRUE,I.Facility.P1FacilityCount&gt;=3532,F3544=""),"Incomplete","Complete")</f>
        <v>Complete</v>
      </c>
      <c r="I3544" s="48" t="s">
        <v>7909</v>
      </c>
    </row>
    <row r="3545" spans="2:9" ht="15" customHeight="1" x14ac:dyDescent="0.25">
      <c r="B3545" s="55" t="s">
        <v>279</v>
      </c>
      <c r="C3545" s="46">
        <v>3533</v>
      </c>
      <c r="D3545" s="69" t="s">
        <v>29416</v>
      </c>
      <c r="E3545" s="51"/>
      <c r="F3545" s="114" t="str">
        <f>IF(INDEX(I.Facility.P1IDNumber,3533)="","",INDEX(I.Facility.P1IDNumber,3533))</f>
        <v/>
      </c>
      <c r="G3545" s="51"/>
      <c r="H3545" s="46" t="str">
        <f>IF(AND(I.Developer.P1=TRUE,I.Facility.P1FacilityCount&gt;=3533,F3545=""),"Incomplete","Complete")</f>
        <v>Complete</v>
      </c>
      <c r="I3545" s="48" t="s">
        <v>7910</v>
      </c>
    </row>
    <row r="3546" spans="2:9" ht="15" customHeight="1" x14ac:dyDescent="0.25">
      <c r="B3546" s="55" t="s">
        <v>279</v>
      </c>
      <c r="C3546" s="46">
        <v>3534</v>
      </c>
      <c r="D3546" s="69" t="s">
        <v>29416</v>
      </c>
      <c r="E3546" s="51"/>
      <c r="F3546" s="114" t="str">
        <f>IF(INDEX(I.Facility.P1IDNumber,3534)="","",INDEX(I.Facility.P1IDNumber,3534))</f>
        <v/>
      </c>
      <c r="G3546" s="51"/>
      <c r="H3546" s="46" t="str">
        <f>IF(AND(I.Developer.P1=TRUE,I.Facility.P1FacilityCount&gt;=3534,F3546=""),"Incomplete","Complete")</f>
        <v>Complete</v>
      </c>
      <c r="I3546" s="48" t="s">
        <v>7911</v>
      </c>
    </row>
    <row r="3547" spans="2:9" ht="15" customHeight="1" x14ac:dyDescent="0.25">
      <c r="B3547" s="55" t="s">
        <v>279</v>
      </c>
      <c r="C3547" s="46">
        <v>3535</v>
      </c>
      <c r="D3547" s="69" t="s">
        <v>29416</v>
      </c>
      <c r="E3547" s="51"/>
      <c r="F3547" s="114" t="str">
        <f>IF(INDEX(I.Facility.P1IDNumber,3535)="","",INDEX(I.Facility.P1IDNumber,3535))</f>
        <v/>
      </c>
      <c r="G3547" s="51"/>
      <c r="H3547" s="46" t="str">
        <f>IF(AND(I.Developer.P1=TRUE,I.Facility.P1FacilityCount&gt;=3535,F3547=""),"Incomplete","Complete")</f>
        <v>Complete</v>
      </c>
      <c r="I3547" s="48" t="s">
        <v>7912</v>
      </c>
    </row>
    <row r="3548" spans="2:9" ht="15" customHeight="1" x14ac:dyDescent="0.25">
      <c r="B3548" s="55" t="s">
        <v>279</v>
      </c>
      <c r="C3548" s="46">
        <v>3536</v>
      </c>
      <c r="D3548" s="69" t="s">
        <v>29416</v>
      </c>
      <c r="E3548" s="51"/>
      <c r="F3548" s="114" t="str">
        <f>IF(INDEX(I.Facility.P1IDNumber,3536)="","",INDEX(I.Facility.P1IDNumber,3536))</f>
        <v/>
      </c>
      <c r="G3548" s="51"/>
      <c r="H3548" s="46" t="str">
        <f>IF(AND(I.Developer.P1=TRUE,I.Facility.P1FacilityCount&gt;=3536,F3548=""),"Incomplete","Complete")</f>
        <v>Complete</v>
      </c>
      <c r="I3548" s="48" t="s">
        <v>7913</v>
      </c>
    </row>
    <row r="3549" spans="2:9" ht="15" customHeight="1" x14ac:dyDescent="0.25">
      <c r="B3549" s="55" t="s">
        <v>279</v>
      </c>
      <c r="C3549" s="46">
        <v>3537</v>
      </c>
      <c r="D3549" s="69" t="s">
        <v>29416</v>
      </c>
      <c r="E3549" s="51"/>
      <c r="F3549" s="114" t="str">
        <f>IF(INDEX(I.Facility.P1IDNumber,3537)="","",INDEX(I.Facility.P1IDNumber,3537))</f>
        <v/>
      </c>
      <c r="G3549" s="51"/>
      <c r="H3549" s="46" t="str">
        <f>IF(AND(I.Developer.P1=TRUE,I.Facility.P1FacilityCount&gt;=3537,F3549=""),"Incomplete","Complete")</f>
        <v>Complete</v>
      </c>
      <c r="I3549" s="48" t="s">
        <v>7914</v>
      </c>
    </row>
    <row r="3550" spans="2:9" ht="15" customHeight="1" x14ac:dyDescent="0.25">
      <c r="B3550" s="55" t="s">
        <v>279</v>
      </c>
      <c r="C3550" s="46">
        <v>3538</v>
      </c>
      <c r="D3550" s="69" t="s">
        <v>29416</v>
      </c>
      <c r="E3550" s="51"/>
      <c r="F3550" s="114" t="str">
        <f>IF(INDEX(I.Facility.P1IDNumber,3538)="","",INDEX(I.Facility.P1IDNumber,3538))</f>
        <v/>
      </c>
      <c r="G3550" s="51"/>
      <c r="H3550" s="46" t="str">
        <f>IF(AND(I.Developer.P1=TRUE,I.Facility.P1FacilityCount&gt;=3538,F3550=""),"Incomplete","Complete")</f>
        <v>Complete</v>
      </c>
      <c r="I3550" s="48" t="s">
        <v>7915</v>
      </c>
    </row>
    <row r="3551" spans="2:9" ht="15" customHeight="1" x14ac:dyDescent="0.25">
      <c r="B3551" s="55" t="s">
        <v>279</v>
      </c>
      <c r="C3551" s="46">
        <v>3539</v>
      </c>
      <c r="D3551" s="69" t="s">
        <v>29416</v>
      </c>
      <c r="E3551" s="51"/>
      <c r="F3551" s="114" t="str">
        <f>IF(INDEX(I.Facility.P1IDNumber,3539)="","",INDEX(I.Facility.P1IDNumber,3539))</f>
        <v/>
      </c>
      <c r="G3551" s="51"/>
      <c r="H3551" s="46" t="str">
        <f>IF(AND(I.Developer.P1=TRUE,I.Facility.P1FacilityCount&gt;=3539,F3551=""),"Incomplete","Complete")</f>
        <v>Complete</v>
      </c>
      <c r="I3551" s="48" t="s">
        <v>7916</v>
      </c>
    </row>
    <row r="3552" spans="2:9" ht="15" customHeight="1" x14ac:dyDescent="0.25">
      <c r="B3552" s="55" t="s">
        <v>279</v>
      </c>
      <c r="C3552" s="46">
        <v>3540</v>
      </c>
      <c r="D3552" s="69" t="s">
        <v>29416</v>
      </c>
      <c r="E3552" s="51"/>
      <c r="F3552" s="114" t="str">
        <f>IF(INDEX(I.Facility.P1IDNumber,3540)="","",INDEX(I.Facility.P1IDNumber,3540))</f>
        <v/>
      </c>
      <c r="G3552" s="51"/>
      <c r="H3552" s="46" t="str">
        <f>IF(AND(I.Developer.P1=TRUE,I.Facility.P1FacilityCount&gt;=3540,F3552=""),"Incomplete","Complete")</f>
        <v>Complete</v>
      </c>
      <c r="I3552" s="48" t="s">
        <v>7917</v>
      </c>
    </row>
    <row r="3553" spans="2:9" ht="15" customHeight="1" x14ac:dyDescent="0.25">
      <c r="B3553" s="55" t="s">
        <v>279</v>
      </c>
      <c r="C3553" s="46">
        <v>3541</v>
      </c>
      <c r="D3553" s="69" t="s">
        <v>29416</v>
      </c>
      <c r="E3553" s="51"/>
      <c r="F3553" s="114" t="str">
        <f>IF(INDEX(I.Facility.P1IDNumber,3541)="","",INDEX(I.Facility.P1IDNumber,3541))</f>
        <v/>
      </c>
      <c r="G3553" s="51"/>
      <c r="H3553" s="46" t="str">
        <f>IF(AND(I.Developer.P1=TRUE,I.Facility.P1FacilityCount&gt;=3541,F3553=""),"Incomplete","Complete")</f>
        <v>Complete</v>
      </c>
      <c r="I3553" s="48" t="s">
        <v>7918</v>
      </c>
    </row>
    <row r="3554" spans="2:9" ht="15" customHeight="1" x14ac:dyDescent="0.25">
      <c r="B3554" s="55" t="s">
        <v>279</v>
      </c>
      <c r="C3554" s="46">
        <v>3542</v>
      </c>
      <c r="D3554" s="69" t="s">
        <v>29416</v>
      </c>
      <c r="E3554" s="51"/>
      <c r="F3554" s="114" t="str">
        <f>IF(INDEX(I.Facility.P1IDNumber,3542)="","",INDEX(I.Facility.P1IDNumber,3542))</f>
        <v/>
      </c>
      <c r="G3554" s="51"/>
      <c r="H3554" s="46" t="str">
        <f>IF(AND(I.Developer.P1=TRUE,I.Facility.P1FacilityCount&gt;=3542,F3554=""),"Incomplete","Complete")</f>
        <v>Complete</v>
      </c>
      <c r="I3554" s="48" t="s">
        <v>7919</v>
      </c>
    </row>
    <row r="3555" spans="2:9" ht="15" customHeight="1" x14ac:dyDescent="0.25">
      <c r="B3555" s="55" t="s">
        <v>279</v>
      </c>
      <c r="C3555" s="46">
        <v>3543</v>
      </c>
      <c r="D3555" s="69" t="s">
        <v>29416</v>
      </c>
      <c r="E3555" s="51"/>
      <c r="F3555" s="114" t="str">
        <f>IF(INDEX(I.Facility.P1IDNumber,3543)="","",INDEX(I.Facility.P1IDNumber,3543))</f>
        <v/>
      </c>
      <c r="G3555" s="51"/>
      <c r="H3555" s="46" t="str">
        <f>IF(AND(I.Developer.P1=TRUE,I.Facility.P1FacilityCount&gt;=3543,F3555=""),"Incomplete","Complete")</f>
        <v>Complete</v>
      </c>
      <c r="I3555" s="48" t="s">
        <v>7920</v>
      </c>
    </row>
    <row r="3556" spans="2:9" ht="15" customHeight="1" x14ac:dyDescent="0.25">
      <c r="B3556" s="55" t="s">
        <v>279</v>
      </c>
      <c r="C3556" s="46">
        <v>3544</v>
      </c>
      <c r="D3556" s="69" t="s">
        <v>29416</v>
      </c>
      <c r="E3556" s="51"/>
      <c r="F3556" s="114" t="str">
        <f>IF(INDEX(I.Facility.P1IDNumber,3544)="","",INDEX(I.Facility.P1IDNumber,3544))</f>
        <v/>
      </c>
      <c r="G3556" s="51"/>
      <c r="H3556" s="46" t="str">
        <f>IF(AND(I.Developer.P1=TRUE,I.Facility.P1FacilityCount&gt;=3544,F3556=""),"Incomplete","Complete")</f>
        <v>Complete</v>
      </c>
      <c r="I3556" s="48" t="s">
        <v>7921</v>
      </c>
    </row>
    <row r="3557" spans="2:9" ht="15" customHeight="1" x14ac:dyDescent="0.25">
      <c r="B3557" s="55" t="s">
        <v>279</v>
      </c>
      <c r="C3557" s="46">
        <v>3545</v>
      </c>
      <c r="D3557" s="69" t="s">
        <v>29416</v>
      </c>
      <c r="E3557" s="51"/>
      <c r="F3557" s="114" t="str">
        <f>IF(INDEX(I.Facility.P1IDNumber,3545)="","",INDEX(I.Facility.P1IDNumber,3545))</f>
        <v/>
      </c>
      <c r="G3557" s="51"/>
      <c r="H3557" s="46" t="str">
        <f>IF(AND(I.Developer.P1=TRUE,I.Facility.P1FacilityCount&gt;=3545,F3557=""),"Incomplete","Complete")</f>
        <v>Complete</v>
      </c>
      <c r="I3557" s="48" t="s">
        <v>7922</v>
      </c>
    </row>
    <row r="3558" spans="2:9" ht="15" customHeight="1" x14ac:dyDescent="0.25">
      <c r="B3558" s="55" t="s">
        <v>279</v>
      </c>
      <c r="C3558" s="46">
        <v>3546</v>
      </c>
      <c r="D3558" s="69" t="s">
        <v>29416</v>
      </c>
      <c r="E3558" s="51"/>
      <c r="F3558" s="114" t="str">
        <f>IF(INDEX(I.Facility.P1IDNumber,3546)="","",INDEX(I.Facility.P1IDNumber,3546))</f>
        <v/>
      </c>
      <c r="G3558" s="51"/>
      <c r="H3558" s="46" t="str">
        <f>IF(AND(I.Developer.P1=TRUE,I.Facility.P1FacilityCount&gt;=3546,F3558=""),"Incomplete","Complete")</f>
        <v>Complete</v>
      </c>
      <c r="I3558" s="48" t="s">
        <v>7923</v>
      </c>
    </row>
    <row r="3559" spans="2:9" ht="15" customHeight="1" x14ac:dyDescent="0.25">
      <c r="B3559" s="55" t="s">
        <v>279</v>
      </c>
      <c r="C3559" s="46">
        <v>3547</v>
      </c>
      <c r="D3559" s="69" t="s">
        <v>29416</v>
      </c>
      <c r="E3559" s="51"/>
      <c r="F3559" s="114" t="str">
        <f>IF(INDEX(I.Facility.P1IDNumber,3547)="","",INDEX(I.Facility.P1IDNumber,3547))</f>
        <v/>
      </c>
      <c r="G3559" s="51"/>
      <c r="H3559" s="46" t="str">
        <f>IF(AND(I.Developer.P1=TRUE,I.Facility.P1FacilityCount&gt;=3547,F3559=""),"Incomplete","Complete")</f>
        <v>Complete</v>
      </c>
      <c r="I3559" s="48" t="s">
        <v>7924</v>
      </c>
    </row>
    <row r="3560" spans="2:9" ht="15" customHeight="1" x14ac:dyDescent="0.25">
      <c r="B3560" s="55" t="s">
        <v>279</v>
      </c>
      <c r="C3560" s="46">
        <v>3548</v>
      </c>
      <c r="D3560" s="69" t="s">
        <v>29416</v>
      </c>
      <c r="E3560" s="51"/>
      <c r="F3560" s="114" t="str">
        <f>IF(INDEX(I.Facility.P1IDNumber,3548)="","",INDEX(I.Facility.P1IDNumber,3548))</f>
        <v/>
      </c>
      <c r="G3560" s="51"/>
      <c r="H3560" s="46" t="str">
        <f>IF(AND(I.Developer.P1=TRUE,I.Facility.P1FacilityCount&gt;=3548,F3560=""),"Incomplete","Complete")</f>
        <v>Complete</v>
      </c>
      <c r="I3560" s="48" t="s">
        <v>7925</v>
      </c>
    </row>
    <row r="3561" spans="2:9" ht="15" customHeight="1" x14ac:dyDescent="0.25">
      <c r="B3561" s="55" t="s">
        <v>279</v>
      </c>
      <c r="C3561" s="46">
        <v>3549</v>
      </c>
      <c r="D3561" s="69" t="s">
        <v>29416</v>
      </c>
      <c r="E3561" s="51"/>
      <c r="F3561" s="114" t="str">
        <f>IF(INDEX(I.Facility.P1IDNumber,3549)="","",INDEX(I.Facility.P1IDNumber,3549))</f>
        <v/>
      </c>
      <c r="G3561" s="51"/>
      <c r="H3561" s="46" t="str">
        <f>IF(AND(I.Developer.P1=TRUE,I.Facility.P1FacilityCount&gt;=3549,F3561=""),"Incomplete","Complete")</f>
        <v>Complete</v>
      </c>
      <c r="I3561" s="48" t="s">
        <v>7926</v>
      </c>
    </row>
    <row r="3562" spans="2:9" ht="15" customHeight="1" x14ac:dyDescent="0.25">
      <c r="B3562" s="55" t="s">
        <v>279</v>
      </c>
      <c r="C3562" s="46">
        <v>3550</v>
      </c>
      <c r="D3562" s="69" t="s">
        <v>29416</v>
      </c>
      <c r="E3562" s="51"/>
      <c r="F3562" s="114" t="str">
        <f>IF(INDEX(I.Facility.P1IDNumber,3550)="","",INDEX(I.Facility.P1IDNumber,3550))</f>
        <v/>
      </c>
      <c r="G3562" s="51"/>
      <c r="H3562" s="46" t="str">
        <f>IF(AND(I.Developer.P1=TRUE,I.Facility.P1FacilityCount&gt;=3550,F3562=""),"Incomplete","Complete")</f>
        <v>Complete</v>
      </c>
      <c r="I3562" s="48" t="s">
        <v>7927</v>
      </c>
    </row>
    <row r="3563" spans="2:9" ht="15" customHeight="1" x14ac:dyDescent="0.25">
      <c r="B3563" s="55" t="s">
        <v>279</v>
      </c>
      <c r="C3563" s="46">
        <v>3551</v>
      </c>
      <c r="D3563" s="69" t="s">
        <v>29416</v>
      </c>
      <c r="E3563" s="51"/>
      <c r="F3563" s="114" t="str">
        <f>IF(INDEX(I.Facility.P1IDNumber,3551)="","",INDEX(I.Facility.P1IDNumber,3551))</f>
        <v/>
      </c>
      <c r="G3563" s="51"/>
      <c r="H3563" s="46" t="str">
        <f>IF(AND(I.Developer.P1=TRUE,I.Facility.P1FacilityCount&gt;=3551,F3563=""),"Incomplete","Complete")</f>
        <v>Complete</v>
      </c>
      <c r="I3563" s="48" t="s">
        <v>7928</v>
      </c>
    </row>
    <row r="3564" spans="2:9" ht="15" customHeight="1" x14ac:dyDescent="0.25">
      <c r="B3564" s="55" t="s">
        <v>279</v>
      </c>
      <c r="C3564" s="46">
        <v>3552</v>
      </c>
      <c r="D3564" s="69" t="s">
        <v>29416</v>
      </c>
      <c r="E3564" s="51"/>
      <c r="F3564" s="114" t="str">
        <f>IF(INDEX(I.Facility.P1IDNumber,3552)="","",INDEX(I.Facility.P1IDNumber,3552))</f>
        <v/>
      </c>
      <c r="G3564" s="51"/>
      <c r="H3564" s="46" t="str">
        <f>IF(AND(I.Developer.P1=TRUE,I.Facility.P1FacilityCount&gt;=3552,F3564=""),"Incomplete","Complete")</f>
        <v>Complete</v>
      </c>
      <c r="I3564" s="48" t="s">
        <v>7929</v>
      </c>
    </row>
    <row r="3565" spans="2:9" ht="15" customHeight="1" x14ac:dyDescent="0.25">
      <c r="B3565" s="55" t="s">
        <v>279</v>
      </c>
      <c r="C3565" s="46">
        <v>3553</v>
      </c>
      <c r="D3565" s="69" t="s">
        <v>29416</v>
      </c>
      <c r="E3565" s="51"/>
      <c r="F3565" s="114" t="str">
        <f>IF(INDEX(I.Facility.P1IDNumber,3553)="","",INDEX(I.Facility.P1IDNumber,3553))</f>
        <v/>
      </c>
      <c r="G3565" s="51"/>
      <c r="H3565" s="46" t="str">
        <f>IF(AND(I.Developer.P1=TRUE,I.Facility.P1FacilityCount&gt;=3553,F3565=""),"Incomplete","Complete")</f>
        <v>Complete</v>
      </c>
      <c r="I3565" s="48" t="s">
        <v>7930</v>
      </c>
    </row>
    <row r="3566" spans="2:9" ht="15" customHeight="1" x14ac:dyDescent="0.25">
      <c r="B3566" s="55" t="s">
        <v>279</v>
      </c>
      <c r="C3566" s="46">
        <v>3554</v>
      </c>
      <c r="D3566" s="69" t="s">
        <v>29416</v>
      </c>
      <c r="E3566" s="51"/>
      <c r="F3566" s="114" t="str">
        <f>IF(INDEX(I.Facility.P1IDNumber,3554)="","",INDEX(I.Facility.P1IDNumber,3554))</f>
        <v/>
      </c>
      <c r="G3566" s="51"/>
      <c r="H3566" s="46" t="str">
        <f>IF(AND(I.Developer.P1=TRUE,I.Facility.P1FacilityCount&gt;=3554,F3566=""),"Incomplete","Complete")</f>
        <v>Complete</v>
      </c>
      <c r="I3566" s="48" t="s">
        <v>7931</v>
      </c>
    </row>
    <row r="3567" spans="2:9" ht="15" customHeight="1" x14ac:dyDescent="0.25">
      <c r="B3567" s="55" t="s">
        <v>279</v>
      </c>
      <c r="C3567" s="46">
        <v>3555</v>
      </c>
      <c r="D3567" s="69" t="s">
        <v>29416</v>
      </c>
      <c r="E3567" s="51"/>
      <c r="F3567" s="114" t="str">
        <f>IF(INDEX(I.Facility.P1IDNumber,3555)="","",INDEX(I.Facility.P1IDNumber,3555))</f>
        <v/>
      </c>
      <c r="G3567" s="51"/>
      <c r="H3567" s="46" t="str">
        <f>IF(AND(I.Developer.P1=TRUE,I.Facility.P1FacilityCount&gt;=3555,F3567=""),"Incomplete","Complete")</f>
        <v>Complete</v>
      </c>
      <c r="I3567" s="48" t="s">
        <v>7932</v>
      </c>
    </row>
    <row r="3568" spans="2:9" ht="15" customHeight="1" x14ac:dyDescent="0.25">
      <c r="B3568" s="55" t="s">
        <v>279</v>
      </c>
      <c r="C3568" s="46">
        <v>3556</v>
      </c>
      <c r="D3568" s="69" t="s">
        <v>29416</v>
      </c>
      <c r="E3568" s="51"/>
      <c r="F3568" s="114" t="str">
        <f>IF(INDEX(I.Facility.P1IDNumber,3556)="","",INDEX(I.Facility.P1IDNumber,3556))</f>
        <v/>
      </c>
      <c r="G3568" s="51"/>
      <c r="H3568" s="46" t="str">
        <f>IF(AND(I.Developer.P1=TRUE,I.Facility.P1FacilityCount&gt;=3556,F3568=""),"Incomplete","Complete")</f>
        <v>Complete</v>
      </c>
      <c r="I3568" s="48" t="s">
        <v>7933</v>
      </c>
    </row>
    <row r="3569" spans="2:9" ht="15" customHeight="1" x14ac:dyDescent="0.25">
      <c r="B3569" s="55" t="s">
        <v>279</v>
      </c>
      <c r="C3569" s="46">
        <v>3557</v>
      </c>
      <c r="D3569" s="69" t="s">
        <v>29416</v>
      </c>
      <c r="E3569" s="51"/>
      <c r="F3569" s="114" t="str">
        <f>IF(INDEX(I.Facility.P1IDNumber,3557)="","",INDEX(I.Facility.P1IDNumber,3557))</f>
        <v/>
      </c>
      <c r="G3569" s="51"/>
      <c r="H3569" s="46" t="str">
        <f>IF(AND(I.Developer.P1=TRUE,I.Facility.P1FacilityCount&gt;=3557,F3569=""),"Incomplete","Complete")</f>
        <v>Complete</v>
      </c>
      <c r="I3569" s="48" t="s">
        <v>7934</v>
      </c>
    </row>
    <row r="3570" spans="2:9" ht="15" customHeight="1" x14ac:dyDescent="0.25">
      <c r="B3570" s="55" t="s">
        <v>279</v>
      </c>
      <c r="C3570" s="46">
        <v>3558</v>
      </c>
      <c r="D3570" s="69" t="s">
        <v>29416</v>
      </c>
      <c r="E3570" s="51"/>
      <c r="F3570" s="114" t="str">
        <f>IF(INDEX(I.Facility.P1IDNumber,3558)="","",INDEX(I.Facility.P1IDNumber,3558))</f>
        <v/>
      </c>
      <c r="G3570" s="51"/>
      <c r="H3570" s="46" t="str">
        <f>IF(AND(I.Developer.P1=TRUE,I.Facility.P1FacilityCount&gt;=3558,F3570=""),"Incomplete","Complete")</f>
        <v>Complete</v>
      </c>
      <c r="I3570" s="48" t="s">
        <v>7935</v>
      </c>
    </row>
    <row r="3571" spans="2:9" ht="15" customHeight="1" x14ac:dyDescent="0.25">
      <c r="B3571" s="55" t="s">
        <v>279</v>
      </c>
      <c r="C3571" s="46">
        <v>3559</v>
      </c>
      <c r="D3571" s="69" t="s">
        <v>29416</v>
      </c>
      <c r="E3571" s="51"/>
      <c r="F3571" s="114" t="str">
        <f>IF(INDEX(I.Facility.P1IDNumber,3559)="","",INDEX(I.Facility.P1IDNumber,3559))</f>
        <v/>
      </c>
      <c r="G3571" s="51"/>
      <c r="H3571" s="46" t="str">
        <f>IF(AND(I.Developer.P1=TRUE,I.Facility.P1FacilityCount&gt;=3559,F3571=""),"Incomplete","Complete")</f>
        <v>Complete</v>
      </c>
      <c r="I3571" s="48" t="s">
        <v>7936</v>
      </c>
    </row>
    <row r="3572" spans="2:9" ht="15" customHeight="1" x14ac:dyDescent="0.25">
      <c r="B3572" s="55" t="s">
        <v>279</v>
      </c>
      <c r="C3572" s="46">
        <v>3560</v>
      </c>
      <c r="D3572" s="69" t="s">
        <v>29416</v>
      </c>
      <c r="E3572" s="51"/>
      <c r="F3572" s="114" t="str">
        <f>IF(INDEX(I.Facility.P1IDNumber,3560)="","",INDEX(I.Facility.P1IDNumber,3560))</f>
        <v/>
      </c>
      <c r="G3572" s="51"/>
      <c r="H3572" s="46" t="str">
        <f>IF(AND(I.Developer.P1=TRUE,I.Facility.P1FacilityCount&gt;=3560,F3572=""),"Incomplete","Complete")</f>
        <v>Complete</v>
      </c>
      <c r="I3572" s="48" t="s">
        <v>7937</v>
      </c>
    </row>
    <row r="3573" spans="2:9" ht="15" customHeight="1" x14ac:dyDescent="0.25">
      <c r="B3573" s="55" t="s">
        <v>279</v>
      </c>
      <c r="C3573" s="46">
        <v>3561</v>
      </c>
      <c r="D3573" s="69" t="s">
        <v>29416</v>
      </c>
      <c r="E3573" s="51"/>
      <c r="F3573" s="114" t="str">
        <f>IF(INDEX(I.Facility.P1IDNumber,3561)="","",INDEX(I.Facility.P1IDNumber,3561))</f>
        <v/>
      </c>
      <c r="G3573" s="51"/>
      <c r="H3573" s="46" t="str">
        <f>IF(AND(I.Developer.P1=TRUE,I.Facility.P1FacilityCount&gt;=3561,F3573=""),"Incomplete","Complete")</f>
        <v>Complete</v>
      </c>
      <c r="I3573" s="48" t="s">
        <v>7938</v>
      </c>
    </row>
    <row r="3574" spans="2:9" ht="15" customHeight="1" x14ac:dyDescent="0.25">
      <c r="B3574" s="55" t="s">
        <v>279</v>
      </c>
      <c r="C3574" s="46">
        <v>3562</v>
      </c>
      <c r="D3574" s="69" t="s">
        <v>29416</v>
      </c>
      <c r="E3574" s="51"/>
      <c r="F3574" s="114" t="str">
        <f>IF(INDEX(I.Facility.P1IDNumber,3562)="","",INDEX(I.Facility.P1IDNumber,3562))</f>
        <v/>
      </c>
      <c r="G3574" s="51"/>
      <c r="H3574" s="46" t="str">
        <f>IF(AND(I.Developer.P1=TRUE,I.Facility.P1FacilityCount&gt;=3562,F3574=""),"Incomplete","Complete")</f>
        <v>Complete</v>
      </c>
      <c r="I3574" s="48" t="s">
        <v>7939</v>
      </c>
    </row>
    <row r="3575" spans="2:9" ht="15" customHeight="1" x14ac:dyDescent="0.25">
      <c r="B3575" s="55" t="s">
        <v>279</v>
      </c>
      <c r="C3575" s="46">
        <v>3563</v>
      </c>
      <c r="D3575" s="69" t="s">
        <v>29416</v>
      </c>
      <c r="E3575" s="51"/>
      <c r="F3575" s="114" t="str">
        <f>IF(INDEX(I.Facility.P1IDNumber,3563)="","",INDEX(I.Facility.P1IDNumber,3563))</f>
        <v/>
      </c>
      <c r="G3575" s="51"/>
      <c r="H3575" s="46" t="str">
        <f>IF(AND(I.Developer.P1=TRUE,I.Facility.P1FacilityCount&gt;=3563,F3575=""),"Incomplete","Complete")</f>
        <v>Complete</v>
      </c>
      <c r="I3575" s="48" t="s">
        <v>7940</v>
      </c>
    </row>
    <row r="3576" spans="2:9" ht="15" customHeight="1" x14ac:dyDescent="0.25">
      <c r="B3576" s="55" t="s">
        <v>279</v>
      </c>
      <c r="C3576" s="46">
        <v>3564</v>
      </c>
      <c r="D3576" s="69" t="s">
        <v>29416</v>
      </c>
      <c r="E3576" s="51"/>
      <c r="F3576" s="114" t="str">
        <f>IF(INDEX(I.Facility.P1IDNumber,3564)="","",INDEX(I.Facility.P1IDNumber,3564))</f>
        <v/>
      </c>
      <c r="G3576" s="51"/>
      <c r="H3576" s="46" t="str">
        <f>IF(AND(I.Developer.P1=TRUE,I.Facility.P1FacilityCount&gt;=3564,F3576=""),"Incomplete","Complete")</f>
        <v>Complete</v>
      </c>
      <c r="I3576" s="48" t="s">
        <v>7941</v>
      </c>
    </row>
    <row r="3577" spans="2:9" ht="15" customHeight="1" x14ac:dyDescent="0.25">
      <c r="B3577" s="55" t="s">
        <v>279</v>
      </c>
      <c r="C3577" s="46">
        <v>3565</v>
      </c>
      <c r="D3577" s="69" t="s">
        <v>29416</v>
      </c>
      <c r="E3577" s="51"/>
      <c r="F3577" s="114" t="str">
        <f>IF(INDEX(I.Facility.P1IDNumber,3565)="","",INDEX(I.Facility.P1IDNumber,3565))</f>
        <v/>
      </c>
      <c r="G3577" s="51"/>
      <c r="H3577" s="46" t="str">
        <f>IF(AND(I.Developer.P1=TRUE,I.Facility.P1FacilityCount&gt;=3565,F3577=""),"Incomplete","Complete")</f>
        <v>Complete</v>
      </c>
      <c r="I3577" s="48" t="s">
        <v>7942</v>
      </c>
    </row>
    <row r="3578" spans="2:9" ht="15" customHeight="1" x14ac:dyDescent="0.25">
      <c r="B3578" s="55" t="s">
        <v>279</v>
      </c>
      <c r="C3578" s="46">
        <v>3566</v>
      </c>
      <c r="D3578" s="69" t="s">
        <v>29416</v>
      </c>
      <c r="E3578" s="51"/>
      <c r="F3578" s="114" t="str">
        <f>IF(INDEX(I.Facility.P1IDNumber,3566)="","",INDEX(I.Facility.P1IDNumber,3566))</f>
        <v/>
      </c>
      <c r="G3578" s="51"/>
      <c r="H3578" s="46" t="str">
        <f>IF(AND(I.Developer.P1=TRUE,I.Facility.P1FacilityCount&gt;=3566,F3578=""),"Incomplete","Complete")</f>
        <v>Complete</v>
      </c>
      <c r="I3578" s="48" t="s">
        <v>7943</v>
      </c>
    </row>
    <row r="3579" spans="2:9" ht="15" customHeight="1" x14ac:dyDescent="0.25">
      <c r="B3579" s="55" t="s">
        <v>279</v>
      </c>
      <c r="C3579" s="46">
        <v>3567</v>
      </c>
      <c r="D3579" s="69" t="s">
        <v>29416</v>
      </c>
      <c r="E3579" s="51"/>
      <c r="F3579" s="114" t="str">
        <f>IF(INDEX(I.Facility.P1IDNumber,3567)="","",INDEX(I.Facility.P1IDNumber,3567))</f>
        <v/>
      </c>
      <c r="G3579" s="51"/>
      <c r="H3579" s="46" t="str">
        <f>IF(AND(I.Developer.P1=TRUE,I.Facility.P1FacilityCount&gt;=3567,F3579=""),"Incomplete","Complete")</f>
        <v>Complete</v>
      </c>
      <c r="I3579" s="48" t="s">
        <v>7944</v>
      </c>
    </row>
    <row r="3580" spans="2:9" ht="15" customHeight="1" x14ac:dyDescent="0.25">
      <c r="B3580" s="55" t="s">
        <v>279</v>
      </c>
      <c r="C3580" s="46">
        <v>3568</v>
      </c>
      <c r="D3580" s="69" t="s">
        <v>29416</v>
      </c>
      <c r="E3580" s="51"/>
      <c r="F3580" s="114" t="str">
        <f>IF(INDEX(I.Facility.P1IDNumber,3568)="","",INDEX(I.Facility.P1IDNumber,3568))</f>
        <v/>
      </c>
      <c r="G3580" s="51"/>
      <c r="H3580" s="46" t="str">
        <f>IF(AND(I.Developer.P1=TRUE,I.Facility.P1FacilityCount&gt;=3568,F3580=""),"Incomplete","Complete")</f>
        <v>Complete</v>
      </c>
      <c r="I3580" s="48" t="s">
        <v>7945</v>
      </c>
    </row>
    <row r="3581" spans="2:9" ht="15" customHeight="1" x14ac:dyDescent="0.25">
      <c r="B3581" s="55" t="s">
        <v>279</v>
      </c>
      <c r="C3581" s="46">
        <v>3569</v>
      </c>
      <c r="D3581" s="69" t="s">
        <v>29416</v>
      </c>
      <c r="E3581" s="51"/>
      <c r="F3581" s="114" t="str">
        <f>IF(INDEX(I.Facility.P1IDNumber,3569)="","",INDEX(I.Facility.P1IDNumber,3569))</f>
        <v/>
      </c>
      <c r="G3581" s="51"/>
      <c r="H3581" s="46" t="str">
        <f>IF(AND(I.Developer.P1=TRUE,I.Facility.P1FacilityCount&gt;=3569,F3581=""),"Incomplete","Complete")</f>
        <v>Complete</v>
      </c>
      <c r="I3581" s="48" t="s">
        <v>7946</v>
      </c>
    </row>
    <row r="3582" spans="2:9" ht="15" customHeight="1" x14ac:dyDescent="0.25">
      <c r="B3582" s="55" t="s">
        <v>279</v>
      </c>
      <c r="C3582" s="46">
        <v>3570</v>
      </c>
      <c r="D3582" s="69" t="s">
        <v>29416</v>
      </c>
      <c r="E3582" s="51"/>
      <c r="F3582" s="114" t="str">
        <f>IF(INDEX(I.Facility.P1IDNumber,3570)="","",INDEX(I.Facility.P1IDNumber,3570))</f>
        <v/>
      </c>
      <c r="G3582" s="51"/>
      <c r="H3582" s="46" t="str">
        <f>IF(AND(I.Developer.P1=TRUE,I.Facility.P1FacilityCount&gt;=3570,F3582=""),"Incomplete","Complete")</f>
        <v>Complete</v>
      </c>
      <c r="I3582" s="48" t="s">
        <v>7947</v>
      </c>
    </row>
    <row r="3583" spans="2:9" ht="15" customHeight="1" x14ac:dyDescent="0.25">
      <c r="B3583" s="55" t="s">
        <v>279</v>
      </c>
      <c r="C3583" s="46">
        <v>3571</v>
      </c>
      <c r="D3583" s="69" t="s">
        <v>29416</v>
      </c>
      <c r="E3583" s="51"/>
      <c r="F3583" s="114" t="str">
        <f>IF(INDEX(I.Facility.P1IDNumber,3571)="","",INDEX(I.Facility.P1IDNumber,3571))</f>
        <v/>
      </c>
      <c r="G3583" s="51"/>
      <c r="H3583" s="46" t="str">
        <f>IF(AND(I.Developer.P1=TRUE,I.Facility.P1FacilityCount&gt;=3571,F3583=""),"Incomplete","Complete")</f>
        <v>Complete</v>
      </c>
      <c r="I3583" s="48" t="s">
        <v>7948</v>
      </c>
    </row>
    <row r="3584" spans="2:9" ht="15" customHeight="1" x14ac:dyDescent="0.25">
      <c r="B3584" s="55" t="s">
        <v>279</v>
      </c>
      <c r="C3584" s="46">
        <v>3572</v>
      </c>
      <c r="D3584" s="69" t="s">
        <v>29416</v>
      </c>
      <c r="E3584" s="51"/>
      <c r="F3584" s="114" t="str">
        <f>IF(INDEX(I.Facility.P1IDNumber,3572)="","",INDEX(I.Facility.P1IDNumber,3572))</f>
        <v/>
      </c>
      <c r="G3584" s="51"/>
      <c r="H3584" s="46" t="str">
        <f>IF(AND(I.Developer.P1=TRUE,I.Facility.P1FacilityCount&gt;=3572,F3584=""),"Incomplete","Complete")</f>
        <v>Complete</v>
      </c>
      <c r="I3584" s="48" t="s">
        <v>7949</v>
      </c>
    </row>
    <row r="3585" spans="2:9" ht="15" customHeight="1" x14ac:dyDescent="0.25">
      <c r="B3585" s="55" t="s">
        <v>279</v>
      </c>
      <c r="C3585" s="46">
        <v>3573</v>
      </c>
      <c r="D3585" s="69" t="s">
        <v>29416</v>
      </c>
      <c r="E3585" s="51"/>
      <c r="F3585" s="114" t="str">
        <f>IF(INDEX(I.Facility.P1IDNumber,3573)="","",INDEX(I.Facility.P1IDNumber,3573))</f>
        <v/>
      </c>
      <c r="G3585" s="51"/>
      <c r="H3585" s="46" t="str">
        <f>IF(AND(I.Developer.P1=TRUE,I.Facility.P1FacilityCount&gt;=3573,F3585=""),"Incomplete","Complete")</f>
        <v>Complete</v>
      </c>
      <c r="I3585" s="48" t="s">
        <v>7950</v>
      </c>
    </row>
    <row r="3586" spans="2:9" ht="15" customHeight="1" x14ac:dyDescent="0.25">
      <c r="B3586" s="55" t="s">
        <v>279</v>
      </c>
      <c r="C3586" s="46">
        <v>3574</v>
      </c>
      <c r="D3586" s="69" t="s">
        <v>29416</v>
      </c>
      <c r="E3586" s="51"/>
      <c r="F3586" s="114" t="str">
        <f>IF(INDEX(I.Facility.P1IDNumber,3574)="","",INDEX(I.Facility.P1IDNumber,3574))</f>
        <v/>
      </c>
      <c r="G3586" s="51"/>
      <c r="H3586" s="46" t="str">
        <f>IF(AND(I.Developer.P1=TRUE,I.Facility.P1FacilityCount&gt;=3574,F3586=""),"Incomplete","Complete")</f>
        <v>Complete</v>
      </c>
      <c r="I3586" s="48" t="s">
        <v>7951</v>
      </c>
    </row>
    <row r="3587" spans="2:9" ht="15" customHeight="1" x14ac:dyDescent="0.25">
      <c r="B3587" s="55" t="s">
        <v>279</v>
      </c>
      <c r="C3587" s="46">
        <v>3575</v>
      </c>
      <c r="D3587" s="69" t="s">
        <v>29416</v>
      </c>
      <c r="E3587" s="51"/>
      <c r="F3587" s="114" t="str">
        <f>IF(INDEX(I.Facility.P1IDNumber,3575)="","",INDEX(I.Facility.P1IDNumber,3575))</f>
        <v/>
      </c>
      <c r="G3587" s="51"/>
      <c r="H3587" s="46" t="str">
        <f>IF(AND(I.Developer.P1=TRUE,I.Facility.P1FacilityCount&gt;=3575,F3587=""),"Incomplete","Complete")</f>
        <v>Complete</v>
      </c>
      <c r="I3587" s="48" t="s">
        <v>7952</v>
      </c>
    </row>
    <row r="3588" spans="2:9" ht="15" customHeight="1" x14ac:dyDescent="0.25">
      <c r="B3588" s="55" t="s">
        <v>279</v>
      </c>
      <c r="C3588" s="46">
        <v>3576</v>
      </c>
      <c r="D3588" s="69" t="s">
        <v>29416</v>
      </c>
      <c r="E3588" s="51"/>
      <c r="F3588" s="114" t="str">
        <f>IF(INDEX(I.Facility.P1IDNumber,3576)="","",INDEX(I.Facility.P1IDNumber,3576))</f>
        <v/>
      </c>
      <c r="G3588" s="51"/>
      <c r="H3588" s="46" t="str">
        <f>IF(AND(I.Developer.P1=TRUE,I.Facility.P1FacilityCount&gt;=3576,F3588=""),"Incomplete","Complete")</f>
        <v>Complete</v>
      </c>
      <c r="I3588" s="48" t="s">
        <v>7953</v>
      </c>
    </row>
    <row r="3589" spans="2:9" ht="15" customHeight="1" x14ac:dyDescent="0.25">
      <c r="B3589" s="55" t="s">
        <v>279</v>
      </c>
      <c r="C3589" s="46">
        <v>3577</v>
      </c>
      <c r="D3589" s="69" t="s">
        <v>29416</v>
      </c>
      <c r="E3589" s="51"/>
      <c r="F3589" s="114" t="str">
        <f>IF(INDEX(I.Facility.P1IDNumber,3577)="","",INDEX(I.Facility.P1IDNumber,3577))</f>
        <v/>
      </c>
      <c r="G3589" s="51"/>
      <c r="H3589" s="46" t="str">
        <f>IF(AND(I.Developer.P1=TRUE,I.Facility.P1FacilityCount&gt;=3577,F3589=""),"Incomplete","Complete")</f>
        <v>Complete</v>
      </c>
      <c r="I3589" s="48" t="s">
        <v>7954</v>
      </c>
    </row>
    <row r="3590" spans="2:9" ht="15" customHeight="1" x14ac:dyDescent="0.25">
      <c r="B3590" s="55" t="s">
        <v>279</v>
      </c>
      <c r="C3590" s="46">
        <v>3578</v>
      </c>
      <c r="D3590" s="69" t="s">
        <v>29416</v>
      </c>
      <c r="E3590" s="51"/>
      <c r="F3590" s="114" t="str">
        <f>IF(INDEX(I.Facility.P1IDNumber,3578)="","",INDEX(I.Facility.P1IDNumber,3578))</f>
        <v/>
      </c>
      <c r="G3590" s="51"/>
      <c r="H3590" s="46" t="str">
        <f>IF(AND(I.Developer.P1=TRUE,I.Facility.P1FacilityCount&gt;=3578,F3590=""),"Incomplete","Complete")</f>
        <v>Complete</v>
      </c>
      <c r="I3590" s="48" t="s">
        <v>7955</v>
      </c>
    </row>
    <row r="3591" spans="2:9" ht="15" customHeight="1" x14ac:dyDescent="0.25">
      <c r="B3591" s="55" t="s">
        <v>279</v>
      </c>
      <c r="C3591" s="46">
        <v>3579</v>
      </c>
      <c r="D3591" s="69" t="s">
        <v>29416</v>
      </c>
      <c r="E3591" s="51"/>
      <c r="F3591" s="114" t="str">
        <f>IF(INDEX(I.Facility.P1IDNumber,3579)="","",INDEX(I.Facility.P1IDNumber,3579))</f>
        <v/>
      </c>
      <c r="G3591" s="51"/>
      <c r="H3591" s="46" t="str">
        <f>IF(AND(I.Developer.P1=TRUE,I.Facility.P1FacilityCount&gt;=3579,F3591=""),"Incomplete","Complete")</f>
        <v>Complete</v>
      </c>
      <c r="I3591" s="48" t="s">
        <v>7956</v>
      </c>
    </row>
    <row r="3592" spans="2:9" ht="15" customHeight="1" x14ac:dyDescent="0.25">
      <c r="B3592" s="55" t="s">
        <v>279</v>
      </c>
      <c r="C3592" s="46">
        <v>3580</v>
      </c>
      <c r="D3592" s="69" t="s">
        <v>29416</v>
      </c>
      <c r="E3592" s="51"/>
      <c r="F3592" s="114" t="str">
        <f>IF(INDEX(I.Facility.P1IDNumber,3580)="","",INDEX(I.Facility.P1IDNumber,3580))</f>
        <v/>
      </c>
      <c r="G3592" s="51"/>
      <c r="H3592" s="46" t="str">
        <f>IF(AND(I.Developer.P1=TRUE,I.Facility.P1FacilityCount&gt;=3580,F3592=""),"Incomplete","Complete")</f>
        <v>Complete</v>
      </c>
      <c r="I3592" s="48" t="s">
        <v>7957</v>
      </c>
    </row>
    <row r="3593" spans="2:9" ht="15" customHeight="1" x14ac:dyDescent="0.25">
      <c r="B3593" s="55" t="s">
        <v>279</v>
      </c>
      <c r="C3593" s="46">
        <v>3581</v>
      </c>
      <c r="D3593" s="69" t="s">
        <v>29416</v>
      </c>
      <c r="E3593" s="51"/>
      <c r="F3593" s="114" t="str">
        <f>IF(INDEX(I.Facility.P1IDNumber,3581)="","",INDEX(I.Facility.P1IDNumber,3581))</f>
        <v/>
      </c>
      <c r="G3593" s="51"/>
      <c r="H3593" s="46" t="str">
        <f>IF(AND(I.Developer.P1=TRUE,I.Facility.P1FacilityCount&gt;=3581,F3593=""),"Incomplete","Complete")</f>
        <v>Complete</v>
      </c>
      <c r="I3593" s="48" t="s">
        <v>7958</v>
      </c>
    </row>
    <row r="3594" spans="2:9" ht="15" customHeight="1" x14ac:dyDescent="0.25">
      <c r="B3594" s="55" t="s">
        <v>279</v>
      </c>
      <c r="C3594" s="46">
        <v>3582</v>
      </c>
      <c r="D3594" s="69" t="s">
        <v>29416</v>
      </c>
      <c r="E3594" s="51"/>
      <c r="F3594" s="114" t="str">
        <f>IF(INDEX(I.Facility.P1IDNumber,3582)="","",INDEX(I.Facility.P1IDNumber,3582))</f>
        <v/>
      </c>
      <c r="G3594" s="51"/>
      <c r="H3594" s="46" t="str">
        <f>IF(AND(I.Developer.P1=TRUE,I.Facility.P1FacilityCount&gt;=3582,F3594=""),"Incomplete","Complete")</f>
        <v>Complete</v>
      </c>
      <c r="I3594" s="48" t="s">
        <v>7959</v>
      </c>
    </row>
    <row r="3595" spans="2:9" ht="15" customHeight="1" x14ac:dyDescent="0.25">
      <c r="B3595" s="55" t="s">
        <v>279</v>
      </c>
      <c r="C3595" s="46">
        <v>3583</v>
      </c>
      <c r="D3595" s="69" t="s">
        <v>29416</v>
      </c>
      <c r="E3595" s="51"/>
      <c r="F3595" s="114" t="str">
        <f>IF(INDEX(I.Facility.P1IDNumber,3583)="","",INDEX(I.Facility.P1IDNumber,3583))</f>
        <v/>
      </c>
      <c r="G3595" s="51"/>
      <c r="H3595" s="46" t="str">
        <f>IF(AND(I.Developer.P1=TRUE,I.Facility.P1FacilityCount&gt;=3583,F3595=""),"Incomplete","Complete")</f>
        <v>Complete</v>
      </c>
      <c r="I3595" s="48" t="s">
        <v>7960</v>
      </c>
    </row>
    <row r="3596" spans="2:9" ht="15" customHeight="1" x14ac:dyDescent="0.25">
      <c r="B3596" s="55" t="s">
        <v>279</v>
      </c>
      <c r="C3596" s="46">
        <v>3584</v>
      </c>
      <c r="D3596" s="69" t="s">
        <v>29416</v>
      </c>
      <c r="E3596" s="51"/>
      <c r="F3596" s="114" t="str">
        <f>IF(INDEX(I.Facility.P1IDNumber,3584)="","",INDEX(I.Facility.P1IDNumber,3584))</f>
        <v/>
      </c>
      <c r="G3596" s="51"/>
      <c r="H3596" s="46" t="str">
        <f>IF(AND(I.Developer.P1=TRUE,I.Facility.P1FacilityCount&gt;=3584,F3596=""),"Incomplete","Complete")</f>
        <v>Complete</v>
      </c>
      <c r="I3596" s="48" t="s">
        <v>7961</v>
      </c>
    </row>
    <row r="3597" spans="2:9" ht="15" customHeight="1" x14ac:dyDescent="0.25">
      <c r="B3597" s="55" t="s">
        <v>279</v>
      </c>
      <c r="C3597" s="46">
        <v>3585</v>
      </c>
      <c r="D3597" s="69" t="s">
        <v>29416</v>
      </c>
      <c r="E3597" s="51"/>
      <c r="F3597" s="114" t="str">
        <f>IF(INDEX(I.Facility.P1IDNumber,3585)="","",INDEX(I.Facility.P1IDNumber,3585))</f>
        <v/>
      </c>
      <c r="G3597" s="51"/>
      <c r="H3597" s="46" t="str">
        <f>IF(AND(I.Developer.P1=TRUE,I.Facility.P1FacilityCount&gt;=3585,F3597=""),"Incomplete","Complete")</f>
        <v>Complete</v>
      </c>
      <c r="I3597" s="48" t="s">
        <v>7962</v>
      </c>
    </row>
    <row r="3598" spans="2:9" ht="15" customHeight="1" x14ac:dyDescent="0.25">
      <c r="B3598" s="55" t="s">
        <v>279</v>
      </c>
      <c r="C3598" s="46">
        <v>3586</v>
      </c>
      <c r="D3598" s="69" t="s">
        <v>29416</v>
      </c>
      <c r="E3598" s="51"/>
      <c r="F3598" s="114" t="str">
        <f>IF(INDEX(I.Facility.P1IDNumber,3586)="","",INDEX(I.Facility.P1IDNumber,3586))</f>
        <v/>
      </c>
      <c r="G3598" s="51"/>
      <c r="H3598" s="46" t="str">
        <f>IF(AND(I.Developer.P1=TRUE,I.Facility.P1FacilityCount&gt;=3586,F3598=""),"Incomplete","Complete")</f>
        <v>Complete</v>
      </c>
      <c r="I3598" s="48" t="s">
        <v>7963</v>
      </c>
    </row>
    <row r="3599" spans="2:9" ht="15" customHeight="1" x14ac:dyDescent="0.25">
      <c r="B3599" s="55" t="s">
        <v>279</v>
      </c>
      <c r="C3599" s="46">
        <v>3587</v>
      </c>
      <c r="D3599" s="69" t="s">
        <v>29416</v>
      </c>
      <c r="E3599" s="51"/>
      <c r="F3599" s="114" t="str">
        <f>IF(INDEX(I.Facility.P1IDNumber,3587)="","",INDEX(I.Facility.P1IDNumber,3587))</f>
        <v/>
      </c>
      <c r="G3599" s="51"/>
      <c r="H3599" s="46" t="str">
        <f>IF(AND(I.Developer.P1=TRUE,I.Facility.P1FacilityCount&gt;=3587,F3599=""),"Incomplete","Complete")</f>
        <v>Complete</v>
      </c>
      <c r="I3599" s="48" t="s">
        <v>7964</v>
      </c>
    </row>
    <row r="3600" spans="2:9" ht="15" customHeight="1" x14ac:dyDescent="0.25">
      <c r="B3600" s="55" t="s">
        <v>279</v>
      </c>
      <c r="C3600" s="46">
        <v>3588</v>
      </c>
      <c r="D3600" s="69" t="s">
        <v>29416</v>
      </c>
      <c r="E3600" s="51"/>
      <c r="F3600" s="114" t="str">
        <f>IF(INDEX(I.Facility.P1IDNumber,3588)="","",INDEX(I.Facility.P1IDNumber,3588))</f>
        <v/>
      </c>
      <c r="G3600" s="51"/>
      <c r="H3600" s="46" t="str">
        <f>IF(AND(I.Developer.P1=TRUE,I.Facility.P1FacilityCount&gt;=3588,F3600=""),"Incomplete","Complete")</f>
        <v>Complete</v>
      </c>
      <c r="I3600" s="48" t="s">
        <v>7965</v>
      </c>
    </row>
    <row r="3601" spans="2:9" ht="15" customHeight="1" x14ac:dyDescent="0.25">
      <c r="B3601" s="55" t="s">
        <v>279</v>
      </c>
      <c r="C3601" s="46">
        <v>3589</v>
      </c>
      <c r="D3601" s="69" t="s">
        <v>29416</v>
      </c>
      <c r="E3601" s="51"/>
      <c r="F3601" s="114" t="str">
        <f>IF(INDEX(I.Facility.P1IDNumber,3589)="","",INDEX(I.Facility.P1IDNumber,3589))</f>
        <v/>
      </c>
      <c r="G3601" s="51"/>
      <c r="H3601" s="46" t="str">
        <f>IF(AND(I.Developer.P1=TRUE,I.Facility.P1FacilityCount&gt;=3589,F3601=""),"Incomplete","Complete")</f>
        <v>Complete</v>
      </c>
      <c r="I3601" s="48" t="s">
        <v>7966</v>
      </c>
    </row>
    <row r="3602" spans="2:9" ht="15" customHeight="1" x14ac:dyDescent="0.25">
      <c r="B3602" s="55" t="s">
        <v>279</v>
      </c>
      <c r="C3602" s="46">
        <v>3590</v>
      </c>
      <c r="D3602" s="69" t="s">
        <v>29416</v>
      </c>
      <c r="E3602" s="51"/>
      <c r="F3602" s="114" t="str">
        <f>IF(INDEX(I.Facility.P1IDNumber,3590)="","",INDEX(I.Facility.P1IDNumber,3590))</f>
        <v/>
      </c>
      <c r="G3602" s="51"/>
      <c r="H3602" s="46" t="str">
        <f>IF(AND(I.Developer.P1=TRUE,I.Facility.P1FacilityCount&gt;=3590,F3602=""),"Incomplete","Complete")</f>
        <v>Complete</v>
      </c>
      <c r="I3602" s="48" t="s">
        <v>7967</v>
      </c>
    </row>
    <row r="3603" spans="2:9" ht="15" customHeight="1" x14ac:dyDescent="0.25">
      <c r="B3603" s="55" t="s">
        <v>279</v>
      </c>
      <c r="C3603" s="46">
        <v>3591</v>
      </c>
      <c r="D3603" s="69" t="s">
        <v>29416</v>
      </c>
      <c r="E3603" s="51"/>
      <c r="F3603" s="114" t="str">
        <f>IF(INDEX(I.Facility.P1IDNumber,3591)="","",INDEX(I.Facility.P1IDNumber,3591))</f>
        <v/>
      </c>
      <c r="G3603" s="51"/>
      <c r="H3603" s="46" t="str">
        <f>IF(AND(I.Developer.P1=TRUE,I.Facility.P1FacilityCount&gt;=3591,F3603=""),"Incomplete","Complete")</f>
        <v>Complete</v>
      </c>
      <c r="I3603" s="48" t="s">
        <v>7968</v>
      </c>
    </row>
    <row r="3604" spans="2:9" ht="15" customHeight="1" x14ac:dyDescent="0.25">
      <c r="B3604" s="55" t="s">
        <v>279</v>
      </c>
      <c r="C3604" s="46">
        <v>3592</v>
      </c>
      <c r="D3604" s="69" t="s">
        <v>29416</v>
      </c>
      <c r="E3604" s="51"/>
      <c r="F3604" s="114" t="str">
        <f>IF(INDEX(I.Facility.P1IDNumber,3592)="","",INDEX(I.Facility.P1IDNumber,3592))</f>
        <v/>
      </c>
      <c r="G3604" s="51"/>
      <c r="H3604" s="46" t="str">
        <f>IF(AND(I.Developer.P1=TRUE,I.Facility.P1FacilityCount&gt;=3592,F3604=""),"Incomplete","Complete")</f>
        <v>Complete</v>
      </c>
      <c r="I3604" s="48" t="s">
        <v>7969</v>
      </c>
    </row>
    <row r="3605" spans="2:9" ht="15" customHeight="1" x14ac:dyDescent="0.25">
      <c r="B3605" s="55" t="s">
        <v>279</v>
      </c>
      <c r="C3605" s="46">
        <v>3593</v>
      </c>
      <c r="D3605" s="69" t="s">
        <v>29416</v>
      </c>
      <c r="E3605" s="51"/>
      <c r="F3605" s="114" t="str">
        <f>IF(INDEX(I.Facility.P1IDNumber,3593)="","",INDEX(I.Facility.P1IDNumber,3593))</f>
        <v/>
      </c>
      <c r="G3605" s="51"/>
      <c r="H3605" s="46" t="str">
        <f>IF(AND(I.Developer.P1=TRUE,I.Facility.P1FacilityCount&gt;=3593,F3605=""),"Incomplete","Complete")</f>
        <v>Complete</v>
      </c>
      <c r="I3605" s="48" t="s">
        <v>7970</v>
      </c>
    </row>
    <row r="3606" spans="2:9" ht="15" customHeight="1" x14ac:dyDescent="0.25">
      <c r="B3606" s="55" t="s">
        <v>279</v>
      </c>
      <c r="C3606" s="46">
        <v>3594</v>
      </c>
      <c r="D3606" s="69" t="s">
        <v>29416</v>
      </c>
      <c r="E3606" s="51"/>
      <c r="F3606" s="114" t="str">
        <f>IF(INDEX(I.Facility.P1IDNumber,3594)="","",INDEX(I.Facility.P1IDNumber,3594))</f>
        <v/>
      </c>
      <c r="G3606" s="51"/>
      <c r="H3606" s="46" t="str">
        <f>IF(AND(I.Developer.P1=TRUE,I.Facility.P1FacilityCount&gt;=3594,F3606=""),"Incomplete","Complete")</f>
        <v>Complete</v>
      </c>
      <c r="I3606" s="48" t="s">
        <v>7971</v>
      </c>
    </row>
    <row r="3607" spans="2:9" ht="15" customHeight="1" x14ac:dyDescent="0.25">
      <c r="B3607" s="55" t="s">
        <v>279</v>
      </c>
      <c r="C3607" s="46">
        <v>3595</v>
      </c>
      <c r="D3607" s="69" t="s">
        <v>29416</v>
      </c>
      <c r="E3607" s="51"/>
      <c r="F3607" s="114" t="str">
        <f>IF(INDEX(I.Facility.P1IDNumber,3595)="","",INDEX(I.Facility.P1IDNumber,3595))</f>
        <v/>
      </c>
      <c r="G3607" s="51"/>
      <c r="H3607" s="46" t="str">
        <f>IF(AND(I.Developer.P1=TRUE,I.Facility.P1FacilityCount&gt;=3595,F3607=""),"Incomplete","Complete")</f>
        <v>Complete</v>
      </c>
      <c r="I3607" s="48" t="s">
        <v>7972</v>
      </c>
    </row>
    <row r="3608" spans="2:9" ht="15" customHeight="1" x14ac:dyDescent="0.25">
      <c r="B3608" s="55" t="s">
        <v>279</v>
      </c>
      <c r="C3608" s="46">
        <v>3596</v>
      </c>
      <c r="D3608" s="69" t="s">
        <v>29416</v>
      </c>
      <c r="E3608" s="51"/>
      <c r="F3608" s="114" t="str">
        <f>IF(INDEX(I.Facility.P1IDNumber,3596)="","",INDEX(I.Facility.P1IDNumber,3596))</f>
        <v/>
      </c>
      <c r="G3608" s="51"/>
      <c r="H3608" s="46" t="str">
        <f>IF(AND(I.Developer.P1=TRUE,I.Facility.P1FacilityCount&gt;=3596,F3608=""),"Incomplete","Complete")</f>
        <v>Complete</v>
      </c>
      <c r="I3608" s="48" t="s">
        <v>7973</v>
      </c>
    </row>
    <row r="3609" spans="2:9" ht="15" customHeight="1" x14ac:dyDescent="0.25">
      <c r="B3609" s="55" t="s">
        <v>279</v>
      </c>
      <c r="C3609" s="46">
        <v>3597</v>
      </c>
      <c r="D3609" s="69" t="s">
        <v>29416</v>
      </c>
      <c r="E3609" s="51"/>
      <c r="F3609" s="114" t="str">
        <f>IF(INDEX(I.Facility.P1IDNumber,3597)="","",INDEX(I.Facility.P1IDNumber,3597))</f>
        <v/>
      </c>
      <c r="G3609" s="51"/>
      <c r="H3609" s="46" t="str">
        <f>IF(AND(I.Developer.P1=TRUE,I.Facility.P1FacilityCount&gt;=3597,F3609=""),"Incomplete","Complete")</f>
        <v>Complete</v>
      </c>
      <c r="I3609" s="48" t="s">
        <v>7974</v>
      </c>
    </row>
    <row r="3610" spans="2:9" ht="15" customHeight="1" x14ac:dyDescent="0.25">
      <c r="B3610" s="55" t="s">
        <v>279</v>
      </c>
      <c r="C3610" s="46">
        <v>3598</v>
      </c>
      <c r="D3610" s="69" t="s">
        <v>29416</v>
      </c>
      <c r="E3610" s="51"/>
      <c r="F3610" s="114" t="str">
        <f>IF(INDEX(I.Facility.P1IDNumber,3598)="","",INDEX(I.Facility.P1IDNumber,3598))</f>
        <v/>
      </c>
      <c r="G3610" s="51"/>
      <c r="H3610" s="46" t="str">
        <f>IF(AND(I.Developer.P1=TRUE,I.Facility.P1FacilityCount&gt;=3598,F3610=""),"Incomplete","Complete")</f>
        <v>Complete</v>
      </c>
      <c r="I3610" s="48" t="s">
        <v>7975</v>
      </c>
    </row>
    <row r="3611" spans="2:9" ht="15" customHeight="1" x14ac:dyDescent="0.25">
      <c r="B3611" s="55" t="s">
        <v>279</v>
      </c>
      <c r="C3611" s="46">
        <v>3599</v>
      </c>
      <c r="D3611" s="69" t="s">
        <v>29416</v>
      </c>
      <c r="E3611" s="51"/>
      <c r="F3611" s="114" t="str">
        <f>IF(INDEX(I.Facility.P1IDNumber,3599)="","",INDEX(I.Facility.P1IDNumber,3599))</f>
        <v/>
      </c>
      <c r="G3611" s="51"/>
      <c r="H3611" s="46" t="str">
        <f>IF(AND(I.Developer.P1=TRUE,I.Facility.P1FacilityCount&gt;=3599,F3611=""),"Incomplete","Complete")</f>
        <v>Complete</v>
      </c>
      <c r="I3611" s="48" t="s">
        <v>7976</v>
      </c>
    </row>
    <row r="3612" spans="2:9" ht="15" customHeight="1" x14ac:dyDescent="0.25">
      <c r="B3612" s="55" t="s">
        <v>279</v>
      </c>
      <c r="C3612" s="46">
        <v>3600</v>
      </c>
      <c r="D3612" s="69" t="s">
        <v>29416</v>
      </c>
      <c r="E3612" s="51"/>
      <c r="F3612" s="114" t="str">
        <f>IF(INDEX(I.Facility.P1IDNumber,3600)="","",INDEX(I.Facility.P1IDNumber,3600))</f>
        <v/>
      </c>
      <c r="G3612" s="51"/>
      <c r="H3612" s="46" t="str">
        <f>IF(AND(I.Developer.P1=TRUE,I.Facility.P1FacilityCount&gt;=3600,F3612=""),"Incomplete","Complete")</f>
        <v>Complete</v>
      </c>
      <c r="I3612" s="48" t="s">
        <v>7977</v>
      </c>
    </row>
    <row r="3613" spans="2:9" ht="15" customHeight="1" x14ac:dyDescent="0.25">
      <c r="B3613" s="55" t="s">
        <v>279</v>
      </c>
      <c r="C3613" s="46">
        <v>3601</v>
      </c>
      <c r="D3613" s="69" t="s">
        <v>29416</v>
      </c>
      <c r="E3613" s="51"/>
      <c r="F3613" s="114" t="str">
        <f>IF(INDEX(I.Facility.P1IDNumber,3601)="","",INDEX(I.Facility.P1IDNumber,3601))</f>
        <v/>
      </c>
      <c r="G3613" s="51"/>
      <c r="H3613" s="46" t="str">
        <f>IF(AND(I.Developer.P1=TRUE,I.Facility.P1FacilityCount&gt;=3601,F3613=""),"Incomplete","Complete")</f>
        <v>Complete</v>
      </c>
      <c r="I3613" s="48" t="s">
        <v>7978</v>
      </c>
    </row>
    <row r="3614" spans="2:9" ht="15" customHeight="1" x14ac:dyDescent="0.25">
      <c r="B3614" s="55" t="s">
        <v>279</v>
      </c>
      <c r="C3614" s="46">
        <v>3602</v>
      </c>
      <c r="D3614" s="69" t="s">
        <v>29416</v>
      </c>
      <c r="E3614" s="51"/>
      <c r="F3614" s="114" t="str">
        <f>IF(INDEX(I.Facility.P1IDNumber,3602)="","",INDEX(I.Facility.P1IDNumber,3602))</f>
        <v/>
      </c>
      <c r="G3614" s="51"/>
      <c r="H3614" s="46" t="str">
        <f>IF(AND(I.Developer.P1=TRUE,I.Facility.P1FacilityCount&gt;=3602,F3614=""),"Incomplete","Complete")</f>
        <v>Complete</v>
      </c>
      <c r="I3614" s="48" t="s">
        <v>7979</v>
      </c>
    </row>
    <row r="3615" spans="2:9" ht="15" customHeight="1" x14ac:dyDescent="0.25">
      <c r="B3615" s="55" t="s">
        <v>279</v>
      </c>
      <c r="C3615" s="46">
        <v>3603</v>
      </c>
      <c r="D3615" s="69" t="s">
        <v>29416</v>
      </c>
      <c r="E3615" s="51"/>
      <c r="F3615" s="114" t="str">
        <f>IF(INDEX(I.Facility.P1IDNumber,3603)="","",INDEX(I.Facility.P1IDNumber,3603))</f>
        <v/>
      </c>
      <c r="G3615" s="51"/>
      <c r="H3615" s="46" t="str">
        <f>IF(AND(I.Developer.P1=TRUE,I.Facility.P1FacilityCount&gt;=3603,F3615=""),"Incomplete","Complete")</f>
        <v>Complete</v>
      </c>
      <c r="I3615" s="48" t="s">
        <v>7980</v>
      </c>
    </row>
    <row r="3616" spans="2:9" ht="15" customHeight="1" x14ac:dyDescent="0.25">
      <c r="B3616" s="55" t="s">
        <v>279</v>
      </c>
      <c r="C3616" s="46">
        <v>3604</v>
      </c>
      <c r="D3616" s="69" t="s">
        <v>29416</v>
      </c>
      <c r="E3616" s="51"/>
      <c r="F3616" s="114" t="str">
        <f>IF(INDEX(I.Facility.P1IDNumber,3604)="","",INDEX(I.Facility.P1IDNumber,3604))</f>
        <v/>
      </c>
      <c r="G3616" s="51"/>
      <c r="H3616" s="46" t="str">
        <f>IF(AND(I.Developer.P1=TRUE,I.Facility.P1FacilityCount&gt;=3604,F3616=""),"Incomplete","Complete")</f>
        <v>Complete</v>
      </c>
      <c r="I3616" s="48" t="s">
        <v>7981</v>
      </c>
    </row>
    <row r="3617" spans="2:9" ht="15" customHeight="1" x14ac:dyDescent="0.25">
      <c r="B3617" s="55" t="s">
        <v>279</v>
      </c>
      <c r="C3617" s="46">
        <v>3605</v>
      </c>
      <c r="D3617" s="69" t="s">
        <v>29416</v>
      </c>
      <c r="E3617" s="51"/>
      <c r="F3617" s="114" t="str">
        <f>IF(INDEX(I.Facility.P1IDNumber,3605)="","",INDEX(I.Facility.P1IDNumber,3605))</f>
        <v/>
      </c>
      <c r="G3617" s="51"/>
      <c r="H3617" s="46" t="str">
        <f>IF(AND(I.Developer.P1=TRUE,I.Facility.P1FacilityCount&gt;=3605,F3617=""),"Incomplete","Complete")</f>
        <v>Complete</v>
      </c>
      <c r="I3617" s="48" t="s">
        <v>7982</v>
      </c>
    </row>
    <row r="3618" spans="2:9" ht="15" customHeight="1" x14ac:dyDescent="0.25">
      <c r="B3618" s="55" t="s">
        <v>279</v>
      </c>
      <c r="C3618" s="46">
        <v>3606</v>
      </c>
      <c r="D3618" s="69" t="s">
        <v>29416</v>
      </c>
      <c r="E3618" s="51"/>
      <c r="F3618" s="114" t="str">
        <f>IF(INDEX(I.Facility.P1IDNumber,3606)="","",INDEX(I.Facility.P1IDNumber,3606))</f>
        <v/>
      </c>
      <c r="G3618" s="51"/>
      <c r="H3618" s="46" t="str">
        <f>IF(AND(I.Developer.P1=TRUE,I.Facility.P1FacilityCount&gt;=3606,F3618=""),"Incomplete","Complete")</f>
        <v>Complete</v>
      </c>
      <c r="I3618" s="48" t="s">
        <v>7983</v>
      </c>
    </row>
    <row r="3619" spans="2:9" ht="15" customHeight="1" x14ac:dyDescent="0.25">
      <c r="B3619" s="55" t="s">
        <v>279</v>
      </c>
      <c r="C3619" s="46">
        <v>3607</v>
      </c>
      <c r="D3619" s="69" t="s">
        <v>29416</v>
      </c>
      <c r="E3619" s="51"/>
      <c r="F3619" s="114" t="str">
        <f>IF(INDEX(I.Facility.P1IDNumber,3607)="","",INDEX(I.Facility.P1IDNumber,3607))</f>
        <v/>
      </c>
      <c r="G3619" s="51"/>
      <c r="H3619" s="46" t="str">
        <f>IF(AND(I.Developer.P1=TRUE,I.Facility.P1FacilityCount&gt;=3607,F3619=""),"Incomplete","Complete")</f>
        <v>Complete</v>
      </c>
      <c r="I3619" s="48" t="s">
        <v>7984</v>
      </c>
    </row>
    <row r="3620" spans="2:9" ht="15" customHeight="1" x14ac:dyDescent="0.25">
      <c r="B3620" s="55" t="s">
        <v>279</v>
      </c>
      <c r="C3620" s="46">
        <v>3608</v>
      </c>
      <c r="D3620" s="69" t="s">
        <v>29416</v>
      </c>
      <c r="E3620" s="51"/>
      <c r="F3620" s="114" t="str">
        <f>IF(INDEX(I.Facility.P1IDNumber,3608)="","",INDEX(I.Facility.P1IDNumber,3608))</f>
        <v/>
      </c>
      <c r="G3620" s="51"/>
      <c r="H3620" s="46" t="str">
        <f>IF(AND(I.Developer.P1=TRUE,I.Facility.P1FacilityCount&gt;=3608,F3620=""),"Incomplete","Complete")</f>
        <v>Complete</v>
      </c>
      <c r="I3620" s="48" t="s">
        <v>7985</v>
      </c>
    </row>
    <row r="3621" spans="2:9" ht="15" customHeight="1" x14ac:dyDescent="0.25">
      <c r="B3621" s="55" t="s">
        <v>279</v>
      </c>
      <c r="C3621" s="46">
        <v>3609</v>
      </c>
      <c r="D3621" s="69" t="s">
        <v>29416</v>
      </c>
      <c r="E3621" s="51"/>
      <c r="F3621" s="114" t="str">
        <f>IF(INDEX(I.Facility.P1IDNumber,3609)="","",INDEX(I.Facility.P1IDNumber,3609))</f>
        <v/>
      </c>
      <c r="G3621" s="51"/>
      <c r="H3621" s="46" t="str">
        <f>IF(AND(I.Developer.P1=TRUE,I.Facility.P1FacilityCount&gt;=3609,F3621=""),"Incomplete","Complete")</f>
        <v>Complete</v>
      </c>
      <c r="I3621" s="48" t="s">
        <v>7986</v>
      </c>
    </row>
    <row r="3622" spans="2:9" ht="15" customHeight="1" x14ac:dyDescent="0.25">
      <c r="B3622" s="55" t="s">
        <v>279</v>
      </c>
      <c r="C3622" s="46">
        <v>3610</v>
      </c>
      <c r="D3622" s="69" t="s">
        <v>29416</v>
      </c>
      <c r="E3622" s="51"/>
      <c r="F3622" s="114" t="str">
        <f>IF(INDEX(I.Facility.P1IDNumber,3610)="","",INDEX(I.Facility.P1IDNumber,3610))</f>
        <v/>
      </c>
      <c r="G3622" s="51"/>
      <c r="H3622" s="46" t="str">
        <f>IF(AND(I.Developer.P1=TRUE,I.Facility.P1FacilityCount&gt;=3610,F3622=""),"Incomplete","Complete")</f>
        <v>Complete</v>
      </c>
      <c r="I3622" s="48" t="s">
        <v>7987</v>
      </c>
    </row>
    <row r="3623" spans="2:9" ht="15" customHeight="1" x14ac:dyDescent="0.25">
      <c r="B3623" s="55" t="s">
        <v>279</v>
      </c>
      <c r="C3623" s="46">
        <v>3611</v>
      </c>
      <c r="D3623" s="69" t="s">
        <v>29416</v>
      </c>
      <c r="E3623" s="51"/>
      <c r="F3623" s="114" t="str">
        <f>IF(INDEX(I.Facility.P1IDNumber,3611)="","",INDEX(I.Facility.P1IDNumber,3611))</f>
        <v/>
      </c>
      <c r="G3623" s="51"/>
      <c r="H3623" s="46" t="str">
        <f>IF(AND(I.Developer.P1=TRUE,I.Facility.P1FacilityCount&gt;=3611,F3623=""),"Incomplete","Complete")</f>
        <v>Complete</v>
      </c>
      <c r="I3623" s="48" t="s">
        <v>7988</v>
      </c>
    </row>
    <row r="3624" spans="2:9" ht="15" customHeight="1" x14ac:dyDescent="0.25">
      <c r="B3624" s="55" t="s">
        <v>279</v>
      </c>
      <c r="C3624" s="46">
        <v>3612</v>
      </c>
      <c r="D3624" s="69" t="s">
        <v>29416</v>
      </c>
      <c r="E3624" s="51"/>
      <c r="F3624" s="114" t="str">
        <f>IF(INDEX(I.Facility.P1IDNumber,3612)="","",INDEX(I.Facility.P1IDNumber,3612))</f>
        <v/>
      </c>
      <c r="G3624" s="51"/>
      <c r="H3624" s="46" t="str">
        <f>IF(AND(I.Developer.P1=TRUE,I.Facility.P1FacilityCount&gt;=3612,F3624=""),"Incomplete","Complete")</f>
        <v>Complete</v>
      </c>
      <c r="I3624" s="48" t="s">
        <v>7989</v>
      </c>
    </row>
    <row r="3625" spans="2:9" ht="15" customHeight="1" x14ac:dyDescent="0.25">
      <c r="B3625" s="55" t="s">
        <v>279</v>
      </c>
      <c r="C3625" s="46">
        <v>3613</v>
      </c>
      <c r="D3625" s="69" t="s">
        <v>29416</v>
      </c>
      <c r="E3625" s="51"/>
      <c r="F3625" s="114" t="str">
        <f>IF(INDEX(I.Facility.P1IDNumber,3613)="","",INDEX(I.Facility.P1IDNumber,3613))</f>
        <v/>
      </c>
      <c r="G3625" s="51"/>
      <c r="H3625" s="46" t="str">
        <f>IF(AND(I.Developer.P1=TRUE,I.Facility.P1FacilityCount&gt;=3613,F3625=""),"Incomplete","Complete")</f>
        <v>Complete</v>
      </c>
      <c r="I3625" s="48" t="s">
        <v>7990</v>
      </c>
    </row>
    <row r="3626" spans="2:9" ht="15" customHeight="1" x14ac:dyDescent="0.25">
      <c r="B3626" s="55" t="s">
        <v>279</v>
      </c>
      <c r="C3626" s="46">
        <v>3614</v>
      </c>
      <c r="D3626" s="69" t="s">
        <v>29416</v>
      </c>
      <c r="E3626" s="51"/>
      <c r="F3626" s="114" t="str">
        <f>IF(INDEX(I.Facility.P1IDNumber,3614)="","",INDEX(I.Facility.P1IDNumber,3614))</f>
        <v/>
      </c>
      <c r="G3626" s="51"/>
      <c r="H3626" s="46" t="str">
        <f>IF(AND(I.Developer.P1=TRUE,I.Facility.P1FacilityCount&gt;=3614,F3626=""),"Incomplete","Complete")</f>
        <v>Complete</v>
      </c>
      <c r="I3626" s="48" t="s">
        <v>7991</v>
      </c>
    </row>
    <row r="3627" spans="2:9" ht="15" customHeight="1" x14ac:dyDescent="0.25">
      <c r="B3627" s="55" t="s">
        <v>279</v>
      </c>
      <c r="C3627" s="46">
        <v>3615</v>
      </c>
      <c r="D3627" s="69" t="s">
        <v>29416</v>
      </c>
      <c r="E3627" s="51"/>
      <c r="F3627" s="114" t="str">
        <f>IF(INDEX(I.Facility.P1IDNumber,3615)="","",INDEX(I.Facility.P1IDNumber,3615))</f>
        <v/>
      </c>
      <c r="G3627" s="51"/>
      <c r="H3627" s="46" t="str">
        <f>IF(AND(I.Developer.P1=TRUE,I.Facility.P1FacilityCount&gt;=3615,F3627=""),"Incomplete","Complete")</f>
        <v>Complete</v>
      </c>
      <c r="I3627" s="48" t="s">
        <v>7992</v>
      </c>
    </row>
    <row r="3628" spans="2:9" ht="15" customHeight="1" x14ac:dyDescent="0.25">
      <c r="B3628" s="55" t="s">
        <v>279</v>
      </c>
      <c r="C3628" s="46">
        <v>3616</v>
      </c>
      <c r="D3628" s="69" t="s">
        <v>29416</v>
      </c>
      <c r="E3628" s="51"/>
      <c r="F3628" s="114" t="str">
        <f>IF(INDEX(I.Facility.P1IDNumber,3616)="","",INDEX(I.Facility.P1IDNumber,3616))</f>
        <v/>
      </c>
      <c r="G3628" s="51"/>
      <c r="H3628" s="46" t="str">
        <f>IF(AND(I.Developer.P1=TRUE,I.Facility.P1FacilityCount&gt;=3616,F3628=""),"Incomplete","Complete")</f>
        <v>Complete</v>
      </c>
      <c r="I3628" s="48" t="s">
        <v>7993</v>
      </c>
    </row>
    <row r="3629" spans="2:9" ht="15" customHeight="1" x14ac:dyDescent="0.25">
      <c r="B3629" s="55" t="s">
        <v>279</v>
      </c>
      <c r="C3629" s="46">
        <v>3617</v>
      </c>
      <c r="D3629" s="69" t="s">
        <v>29416</v>
      </c>
      <c r="E3629" s="51"/>
      <c r="F3629" s="114" t="str">
        <f>IF(INDEX(I.Facility.P1IDNumber,3617)="","",INDEX(I.Facility.P1IDNumber,3617))</f>
        <v/>
      </c>
      <c r="G3629" s="51"/>
      <c r="H3629" s="46" t="str">
        <f>IF(AND(I.Developer.P1=TRUE,I.Facility.P1FacilityCount&gt;=3617,F3629=""),"Incomplete","Complete")</f>
        <v>Complete</v>
      </c>
      <c r="I3629" s="48" t="s">
        <v>7994</v>
      </c>
    </row>
    <row r="3630" spans="2:9" ht="15" customHeight="1" x14ac:dyDescent="0.25">
      <c r="B3630" s="55" t="s">
        <v>279</v>
      </c>
      <c r="C3630" s="46">
        <v>3618</v>
      </c>
      <c r="D3630" s="69" t="s">
        <v>29416</v>
      </c>
      <c r="E3630" s="51"/>
      <c r="F3630" s="114" t="str">
        <f>IF(INDEX(I.Facility.P1IDNumber,3618)="","",INDEX(I.Facility.P1IDNumber,3618))</f>
        <v/>
      </c>
      <c r="G3630" s="51"/>
      <c r="H3630" s="46" t="str">
        <f>IF(AND(I.Developer.P1=TRUE,I.Facility.P1FacilityCount&gt;=3618,F3630=""),"Incomplete","Complete")</f>
        <v>Complete</v>
      </c>
      <c r="I3630" s="48" t="s">
        <v>7995</v>
      </c>
    </row>
    <row r="3631" spans="2:9" ht="15" customHeight="1" x14ac:dyDescent="0.25">
      <c r="B3631" s="55" t="s">
        <v>279</v>
      </c>
      <c r="C3631" s="46">
        <v>3619</v>
      </c>
      <c r="D3631" s="69" t="s">
        <v>29416</v>
      </c>
      <c r="E3631" s="51"/>
      <c r="F3631" s="114" t="str">
        <f>IF(INDEX(I.Facility.P1IDNumber,3619)="","",INDEX(I.Facility.P1IDNumber,3619))</f>
        <v/>
      </c>
      <c r="G3631" s="51"/>
      <c r="H3631" s="46" t="str">
        <f>IF(AND(I.Developer.P1=TRUE,I.Facility.P1FacilityCount&gt;=3619,F3631=""),"Incomplete","Complete")</f>
        <v>Complete</v>
      </c>
      <c r="I3631" s="48" t="s">
        <v>7996</v>
      </c>
    </row>
    <row r="3632" spans="2:9" ht="15" customHeight="1" x14ac:dyDescent="0.25">
      <c r="B3632" s="55" t="s">
        <v>279</v>
      </c>
      <c r="C3632" s="46">
        <v>3620</v>
      </c>
      <c r="D3632" s="69" t="s">
        <v>29416</v>
      </c>
      <c r="E3632" s="51"/>
      <c r="F3632" s="114" t="str">
        <f>IF(INDEX(I.Facility.P1IDNumber,3620)="","",INDEX(I.Facility.P1IDNumber,3620))</f>
        <v/>
      </c>
      <c r="G3632" s="51"/>
      <c r="H3632" s="46" t="str">
        <f>IF(AND(I.Developer.P1=TRUE,I.Facility.P1FacilityCount&gt;=3620,F3632=""),"Incomplete","Complete")</f>
        <v>Complete</v>
      </c>
      <c r="I3632" s="48" t="s">
        <v>7997</v>
      </c>
    </row>
    <row r="3633" spans="2:9" ht="15" customHeight="1" x14ac:dyDescent="0.25">
      <c r="B3633" s="55" t="s">
        <v>279</v>
      </c>
      <c r="C3633" s="46">
        <v>3621</v>
      </c>
      <c r="D3633" s="69" t="s">
        <v>29416</v>
      </c>
      <c r="E3633" s="51"/>
      <c r="F3633" s="114" t="str">
        <f>IF(INDEX(I.Facility.P1IDNumber,3621)="","",INDEX(I.Facility.P1IDNumber,3621))</f>
        <v/>
      </c>
      <c r="G3633" s="51"/>
      <c r="H3633" s="46" t="str">
        <f>IF(AND(I.Developer.P1=TRUE,I.Facility.P1FacilityCount&gt;=3621,F3633=""),"Incomplete","Complete")</f>
        <v>Complete</v>
      </c>
      <c r="I3633" s="48" t="s">
        <v>7998</v>
      </c>
    </row>
    <row r="3634" spans="2:9" ht="15" customHeight="1" x14ac:dyDescent="0.25">
      <c r="B3634" s="55" t="s">
        <v>279</v>
      </c>
      <c r="C3634" s="46">
        <v>3622</v>
      </c>
      <c r="D3634" s="69" t="s">
        <v>29416</v>
      </c>
      <c r="E3634" s="51"/>
      <c r="F3634" s="114" t="str">
        <f>IF(INDEX(I.Facility.P1IDNumber,3622)="","",INDEX(I.Facility.P1IDNumber,3622))</f>
        <v/>
      </c>
      <c r="G3634" s="51"/>
      <c r="H3634" s="46" t="str">
        <f>IF(AND(I.Developer.P1=TRUE,I.Facility.P1FacilityCount&gt;=3622,F3634=""),"Incomplete","Complete")</f>
        <v>Complete</v>
      </c>
      <c r="I3634" s="48" t="s">
        <v>7999</v>
      </c>
    </row>
    <row r="3635" spans="2:9" ht="15" customHeight="1" x14ac:dyDescent="0.25">
      <c r="B3635" s="55" t="s">
        <v>279</v>
      </c>
      <c r="C3635" s="46">
        <v>3623</v>
      </c>
      <c r="D3635" s="69" t="s">
        <v>29416</v>
      </c>
      <c r="E3635" s="51"/>
      <c r="F3635" s="114" t="str">
        <f>IF(INDEX(I.Facility.P1IDNumber,3623)="","",INDEX(I.Facility.P1IDNumber,3623))</f>
        <v/>
      </c>
      <c r="G3635" s="51"/>
      <c r="H3635" s="46" t="str">
        <f>IF(AND(I.Developer.P1=TRUE,I.Facility.P1FacilityCount&gt;=3623,F3635=""),"Incomplete","Complete")</f>
        <v>Complete</v>
      </c>
      <c r="I3635" s="48" t="s">
        <v>8000</v>
      </c>
    </row>
    <row r="3636" spans="2:9" ht="15" customHeight="1" x14ac:dyDescent="0.25">
      <c r="B3636" s="55" t="s">
        <v>279</v>
      </c>
      <c r="C3636" s="46">
        <v>3624</v>
      </c>
      <c r="D3636" s="69" t="s">
        <v>29416</v>
      </c>
      <c r="E3636" s="51"/>
      <c r="F3636" s="114" t="str">
        <f>IF(INDEX(I.Facility.P1IDNumber,3624)="","",INDEX(I.Facility.P1IDNumber,3624))</f>
        <v/>
      </c>
      <c r="G3636" s="51"/>
      <c r="H3636" s="46" t="str">
        <f>IF(AND(I.Developer.P1=TRUE,I.Facility.P1FacilityCount&gt;=3624,F3636=""),"Incomplete","Complete")</f>
        <v>Complete</v>
      </c>
      <c r="I3636" s="48" t="s">
        <v>8001</v>
      </c>
    </row>
    <row r="3637" spans="2:9" ht="15" customHeight="1" x14ac:dyDescent="0.25">
      <c r="B3637" s="55" t="s">
        <v>279</v>
      </c>
      <c r="C3637" s="46">
        <v>3625</v>
      </c>
      <c r="D3637" s="69" t="s">
        <v>29416</v>
      </c>
      <c r="E3637" s="51"/>
      <c r="F3637" s="114" t="str">
        <f>IF(INDEX(I.Facility.P1IDNumber,3625)="","",INDEX(I.Facility.P1IDNumber,3625))</f>
        <v/>
      </c>
      <c r="G3637" s="51"/>
      <c r="H3637" s="46" t="str">
        <f>IF(AND(I.Developer.P1=TRUE,I.Facility.P1FacilityCount&gt;=3625,F3637=""),"Incomplete","Complete")</f>
        <v>Complete</v>
      </c>
      <c r="I3637" s="48" t="s">
        <v>8002</v>
      </c>
    </row>
    <row r="3638" spans="2:9" ht="15" customHeight="1" x14ac:dyDescent="0.25">
      <c r="B3638" s="55" t="s">
        <v>279</v>
      </c>
      <c r="C3638" s="46">
        <v>3626</v>
      </c>
      <c r="D3638" s="69" t="s">
        <v>29416</v>
      </c>
      <c r="E3638" s="51"/>
      <c r="F3638" s="114" t="str">
        <f>IF(INDEX(I.Facility.P1IDNumber,3626)="","",INDEX(I.Facility.P1IDNumber,3626))</f>
        <v/>
      </c>
      <c r="G3638" s="51"/>
      <c r="H3638" s="46" t="str">
        <f>IF(AND(I.Developer.P1=TRUE,I.Facility.P1FacilityCount&gt;=3626,F3638=""),"Incomplete","Complete")</f>
        <v>Complete</v>
      </c>
      <c r="I3638" s="48" t="s">
        <v>8003</v>
      </c>
    </row>
    <row r="3639" spans="2:9" ht="15" customHeight="1" x14ac:dyDescent="0.25">
      <c r="B3639" s="55" t="s">
        <v>279</v>
      </c>
      <c r="C3639" s="46">
        <v>3627</v>
      </c>
      <c r="D3639" s="69" t="s">
        <v>29416</v>
      </c>
      <c r="E3639" s="51"/>
      <c r="F3639" s="114" t="str">
        <f>IF(INDEX(I.Facility.P1IDNumber,3627)="","",INDEX(I.Facility.P1IDNumber,3627))</f>
        <v/>
      </c>
      <c r="G3639" s="51"/>
      <c r="H3639" s="46" t="str">
        <f>IF(AND(I.Developer.P1=TRUE,I.Facility.P1FacilityCount&gt;=3627,F3639=""),"Incomplete","Complete")</f>
        <v>Complete</v>
      </c>
      <c r="I3639" s="48" t="s">
        <v>8004</v>
      </c>
    </row>
    <row r="3640" spans="2:9" ht="15" customHeight="1" x14ac:dyDescent="0.25">
      <c r="B3640" s="55" t="s">
        <v>279</v>
      </c>
      <c r="C3640" s="46">
        <v>3628</v>
      </c>
      <c r="D3640" s="69" t="s">
        <v>29416</v>
      </c>
      <c r="E3640" s="51"/>
      <c r="F3640" s="114" t="str">
        <f>IF(INDEX(I.Facility.P1IDNumber,3628)="","",INDEX(I.Facility.P1IDNumber,3628))</f>
        <v/>
      </c>
      <c r="G3640" s="51"/>
      <c r="H3640" s="46" t="str">
        <f>IF(AND(I.Developer.P1=TRUE,I.Facility.P1FacilityCount&gt;=3628,F3640=""),"Incomplete","Complete")</f>
        <v>Complete</v>
      </c>
      <c r="I3640" s="48" t="s">
        <v>8005</v>
      </c>
    </row>
    <row r="3641" spans="2:9" ht="15" customHeight="1" x14ac:dyDescent="0.25">
      <c r="B3641" s="55" t="s">
        <v>279</v>
      </c>
      <c r="C3641" s="46">
        <v>3629</v>
      </c>
      <c r="D3641" s="69" t="s">
        <v>29416</v>
      </c>
      <c r="E3641" s="51"/>
      <c r="F3641" s="114" t="str">
        <f>IF(INDEX(I.Facility.P1IDNumber,3629)="","",INDEX(I.Facility.P1IDNumber,3629))</f>
        <v/>
      </c>
      <c r="G3641" s="51"/>
      <c r="H3641" s="46" t="str">
        <f>IF(AND(I.Developer.P1=TRUE,I.Facility.P1FacilityCount&gt;=3629,F3641=""),"Incomplete","Complete")</f>
        <v>Complete</v>
      </c>
      <c r="I3641" s="48" t="s">
        <v>8006</v>
      </c>
    </row>
    <row r="3642" spans="2:9" ht="15" customHeight="1" x14ac:dyDescent="0.25">
      <c r="B3642" s="55" t="s">
        <v>279</v>
      </c>
      <c r="C3642" s="46">
        <v>3630</v>
      </c>
      <c r="D3642" s="69" t="s">
        <v>29416</v>
      </c>
      <c r="E3642" s="51"/>
      <c r="F3642" s="114" t="str">
        <f>IF(INDEX(I.Facility.P1IDNumber,3630)="","",INDEX(I.Facility.P1IDNumber,3630))</f>
        <v/>
      </c>
      <c r="G3642" s="51"/>
      <c r="H3642" s="46" t="str">
        <f>IF(AND(I.Developer.P1=TRUE,I.Facility.P1FacilityCount&gt;=3630,F3642=""),"Incomplete","Complete")</f>
        <v>Complete</v>
      </c>
      <c r="I3642" s="48" t="s">
        <v>8007</v>
      </c>
    </row>
    <row r="3643" spans="2:9" ht="15" customHeight="1" x14ac:dyDescent="0.25">
      <c r="B3643" s="55" t="s">
        <v>279</v>
      </c>
      <c r="C3643" s="46">
        <v>3631</v>
      </c>
      <c r="D3643" s="69" t="s">
        <v>29416</v>
      </c>
      <c r="E3643" s="51"/>
      <c r="F3643" s="114" t="str">
        <f>IF(INDEX(I.Facility.P1IDNumber,3631)="","",INDEX(I.Facility.P1IDNumber,3631))</f>
        <v/>
      </c>
      <c r="G3643" s="51"/>
      <c r="H3643" s="46" t="str">
        <f>IF(AND(I.Developer.P1=TRUE,I.Facility.P1FacilityCount&gt;=3631,F3643=""),"Incomplete","Complete")</f>
        <v>Complete</v>
      </c>
      <c r="I3643" s="48" t="s">
        <v>8008</v>
      </c>
    </row>
    <row r="3644" spans="2:9" ht="15" customHeight="1" x14ac:dyDescent="0.25">
      <c r="B3644" s="55" t="s">
        <v>279</v>
      </c>
      <c r="C3644" s="46">
        <v>3632</v>
      </c>
      <c r="D3644" s="69" t="s">
        <v>29416</v>
      </c>
      <c r="E3644" s="51"/>
      <c r="F3644" s="114" t="str">
        <f>IF(INDEX(I.Facility.P1IDNumber,3632)="","",INDEX(I.Facility.P1IDNumber,3632))</f>
        <v/>
      </c>
      <c r="G3644" s="51"/>
      <c r="H3644" s="46" t="str">
        <f>IF(AND(I.Developer.P1=TRUE,I.Facility.P1FacilityCount&gt;=3632,F3644=""),"Incomplete","Complete")</f>
        <v>Complete</v>
      </c>
      <c r="I3644" s="48" t="s">
        <v>8009</v>
      </c>
    </row>
    <row r="3645" spans="2:9" ht="15" customHeight="1" x14ac:dyDescent="0.25">
      <c r="B3645" s="55" t="s">
        <v>279</v>
      </c>
      <c r="C3645" s="46">
        <v>3633</v>
      </c>
      <c r="D3645" s="69" t="s">
        <v>29416</v>
      </c>
      <c r="E3645" s="51"/>
      <c r="F3645" s="114" t="str">
        <f>IF(INDEX(I.Facility.P1IDNumber,3633)="","",INDEX(I.Facility.P1IDNumber,3633))</f>
        <v/>
      </c>
      <c r="G3645" s="51"/>
      <c r="H3645" s="46" t="str">
        <f>IF(AND(I.Developer.P1=TRUE,I.Facility.P1FacilityCount&gt;=3633,F3645=""),"Incomplete","Complete")</f>
        <v>Complete</v>
      </c>
      <c r="I3645" s="48" t="s">
        <v>8010</v>
      </c>
    </row>
    <row r="3646" spans="2:9" ht="15" customHeight="1" x14ac:dyDescent="0.25">
      <c r="B3646" s="55" t="s">
        <v>279</v>
      </c>
      <c r="C3646" s="46">
        <v>3634</v>
      </c>
      <c r="D3646" s="69" t="s">
        <v>29416</v>
      </c>
      <c r="E3646" s="51"/>
      <c r="F3646" s="114" t="str">
        <f>IF(INDEX(I.Facility.P1IDNumber,3634)="","",INDEX(I.Facility.P1IDNumber,3634))</f>
        <v/>
      </c>
      <c r="G3646" s="51"/>
      <c r="H3646" s="46" t="str">
        <f>IF(AND(I.Developer.P1=TRUE,I.Facility.P1FacilityCount&gt;=3634,F3646=""),"Incomplete","Complete")</f>
        <v>Complete</v>
      </c>
      <c r="I3646" s="48" t="s">
        <v>8011</v>
      </c>
    </row>
    <row r="3647" spans="2:9" ht="15" customHeight="1" x14ac:dyDescent="0.25">
      <c r="B3647" s="55" t="s">
        <v>279</v>
      </c>
      <c r="C3647" s="46">
        <v>3635</v>
      </c>
      <c r="D3647" s="69" t="s">
        <v>29416</v>
      </c>
      <c r="E3647" s="51"/>
      <c r="F3647" s="114" t="str">
        <f>IF(INDEX(I.Facility.P1IDNumber,3635)="","",INDEX(I.Facility.P1IDNumber,3635))</f>
        <v/>
      </c>
      <c r="G3647" s="51"/>
      <c r="H3647" s="46" t="str">
        <f>IF(AND(I.Developer.P1=TRUE,I.Facility.P1FacilityCount&gt;=3635,F3647=""),"Incomplete","Complete")</f>
        <v>Complete</v>
      </c>
      <c r="I3647" s="48" t="s">
        <v>8012</v>
      </c>
    </row>
    <row r="3648" spans="2:9" ht="15" customHeight="1" x14ac:dyDescent="0.25">
      <c r="B3648" s="55" t="s">
        <v>279</v>
      </c>
      <c r="C3648" s="46">
        <v>3636</v>
      </c>
      <c r="D3648" s="69" t="s">
        <v>29416</v>
      </c>
      <c r="E3648" s="51"/>
      <c r="F3648" s="114" t="str">
        <f>IF(INDEX(I.Facility.P1IDNumber,3636)="","",INDEX(I.Facility.P1IDNumber,3636))</f>
        <v/>
      </c>
      <c r="G3648" s="51"/>
      <c r="H3648" s="46" t="str">
        <f>IF(AND(I.Developer.P1=TRUE,I.Facility.P1FacilityCount&gt;=3636,F3648=""),"Incomplete","Complete")</f>
        <v>Complete</v>
      </c>
      <c r="I3648" s="48" t="s">
        <v>8013</v>
      </c>
    </row>
    <row r="3649" spans="2:9" ht="15" customHeight="1" x14ac:dyDescent="0.25">
      <c r="B3649" s="55" t="s">
        <v>279</v>
      </c>
      <c r="C3649" s="46">
        <v>3637</v>
      </c>
      <c r="D3649" s="69" t="s">
        <v>29416</v>
      </c>
      <c r="E3649" s="51"/>
      <c r="F3649" s="114" t="str">
        <f>IF(INDEX(I.Facility.P1IDNumber,3637)="","",INDEX(I.Facility.P1IDNumber,3637))</f>
        <v/>
      </c>
      <c r="G3649" s="51"/>
      <c r="H3649" s="46" t="str">
        <f>IF(AND(I.Developer.P1=TRUE,I.Facility.P1FacilityCount&gt;=3637,F3649=""),"Incomplete","Complete")</f>
        <v>Complete</v>
      </c>
      <c r="I3649" s="48" t="s">
        <v>8014</v>
      </c>
    </row>
    <row r="3650" spans="2:9" ht="15" customHeight="1" x14ac:dyDescent="0.25">
      <c r="B3650" s="55" t="s">
        <v>279</v>
      </c>
      <c r="C3650" s="46">
        <v>3638</v>
      </c>
      <c r="D3650" s="69" t="s">
        <v>29416</v>
      </c>
      <c r="E3650" s="51"/>
      <c r="F3650" s="114" t="str">
        <f>IF(INDEX(I.Facility.P1IDNumber,3638)="","",INDEX(I.Facility.P1IDNumber,3638))</f>
        <v/>
      </c>
      <c r="G3650" s="51"/>
      <c r="H3650" s="46" t="str">
        <f>IF(AND(I.Developer.P1=TRUE,I.Facility.P1FacilityCount&gt;=3638,F3650=""),"Incomplete","Complete")</f>
        <v>Complete</v>
      </c>
      <c r="I3650" s="48" t="s">
        <v>8015</v>
      </c>
    </row>
    <row r="3651" spans="2:9" ht="15" customHeight="1" x14ac:dyDescent="0.25">
      <c r="B3651" s="55" t="s">
        <v>279</v>
      </c>
      <c r="C3651" s="46">
        <v>3639</v>
      </c>
      <c r="D3651" s="69" t="s">
        <v>29416</v>
      </c>
      <c r="E3651" s="51"/>
      <c r="F3651" s="114" t="str">
        <f>IF(INDEX(I.Facility.P1IDNumber,3639)="","",INDEX(I.Facility.P1IDNumber,3639))</f>
        <v/>
      </c>
      <c r="G3651" s="51"/>
      <c r="H3651" s="46" t="str">
        <f>IF(AND(I.Developer.P1=TRUE,I.Facility.P1FacilityCount&gt;=3639,F3651=""),"Incomplete","Complete")</f>
        <v>Complete</v>
      </c>
      <c r="I3651" s="48" t="s">
        <v>8016</v>
      </c>
    </row>
    <row r="3652" spans="2:9" ht="15" customHeight="1" x14ac:dyDescent="0.25">
      <c r="B3652" s="55" t="s">
        <v>279</v>
      </c>
      <c r="C3652" s="46">
        <v>3640</v>
      </c>
      <c r="D3652" s="69" t="s">
        <v>29416</v>
      </c>
      <c r="E3652" s="51"/>
      <c r="F3652" s="114" t="str">
        <f>IF(INDEX(I.Facility.P1IDNumber,3640)="","",INDEX(I.Facility.P1IDNumber,3640))</f>
        <v/>
      </c>
      <c r="G3652" s="51"/>
      <c r="H3652" s="46" t="str">
        <f>IF(AND(I.Developer.P1=TRUE,I.Facility.P1FacilityCount&gt;=3640,F3652=""),"Incomplete","Complete")</f>
        <v>Complete</v>
      </c>
      <c r="I3652" s="48" t="s">
        <v>8017</v>
      </c>
    </row>
    <row r="3653" spans="2:9" ht="15" customHeight="1" x14ac:dyDescent="0.25">
      <c r="B3653" s="55" t="s">
        <v>279</v>
      </c>
      <c r="C3653" s="46">
        <v>3641</v>
      </c>
      <c r="D3653" s="69" t="s">
        <v>29416</v>
      </c>
      <c r="E3653" s="51"/>
      <c r="F3653" s="114" t="str">
        <f>IF(INDEX(I.Facility.P1IDNumber,3641)="","",INDEX(I.Facility.P1IDNumber,3641))</f>
        <v/>
      </c>
      <c r="G3653" s="51"/>
      <c r="H3653" s="46" t="str">
        <f>IF(AND(I.Developer.P1=TRUE,I.Facility.P1FacilityCount&gt;=3641,F3653=""),"Incomplete","Complete")</f>
        <v>Complete</v>
      </c>
      <c r="I3653" s="48" t="s">
        <v>8018</v>
      </c>
    </row>
    <row r="3654" spans="2:9" ht="15" customHeight="1" x14ac:dyDescent="0.25">
      <c r="B3654" s="55" t="s">
        <v>279</v>
      </c>
      <c r="C3654" s="46">
        <v>3642</v>
      </c>
      <c r="D3654" s="69" t="s">
        <v>29416</v>
      </c>
      <c r="E3654" s="51"/>
      <c r="F3654" s="114" t="str">
        <f>IF(INDEX(I.Facility.P1IDNumber,3642)="","",INDEX(I.Facility.P1IDNumber,3642))</f>
        <v/>
      </c>
      <c r="G3654" s="51"/>
      <c r="H3654" s="46" t="str">
        <f>IF(AND(I.Developer.P1=TRUE,I.Facility.P1FacilityCount&gt;=3642,F3654=""),"Incomplete","Complete")</f>
        <v>Complete</v>
      </c>
      <c r="I3654" s="48" t="s">
        <v>8019</v>
      </c>
    </row>
    <row r="3655" spans="2:9" ht="15" customHeight="1" x14ac:dyDescent="0.25">
      <c r="B3655" s="55" t="s">
        <v>279</v>
      </c>
      <c r="C3655" s="46">
        <v>3643</v>
      </c>
      <c r="D3655" s="69" t="s">
        <v>29416</v>
      </c>
      <c r="E3655" s="51"/>
      <c r="F3655" s="114" t="str">
        <f>IF(INDEX(I.Facility.P1IDNumber,3643)="","",INDEX(I.Facility.P1IDNumber,3643))</f>
        <v/>
      </c>
      <c r="G3655" s="51"/>
      <c r="H3655" s="46" t="str">
        <f>IF(AND(I.Developer.P1=TRUE,I.Facility.P1FacilityCount&gt;=3643,F3655=""),"Incomplete","Complete")</f>
        <v>Complete</v>
      </c>
      <c r="I3655" s="48" t="s">
        <v>8020</v>
      </c>
    </row>
    <row r="3656" spans="2:9" ht="15" customHeight="1" x14ac:dyDescent="0.25">
      <c r="B3656" s="55" t="s">
        <v>279</v>
      </c>
      <c r="C3656" s="46">
        <v>3644</v>
      </c>
      <c r="D3656" s="69" t="s">
        <v>29416</v>
      </c>
      <c r="E3656" s="51"/>
      <c r="F3656" s="114" t="str">
        <f>IF(INDEX(I.Facility.P1IDNumber,3644)="","",INDEX(I.Facility.P1IDNumber,3644))</f>
        <v/>
      </c>
      <c r="G3656" s="51"/>
      <c r="H3656" s="46" t="str">
        <f>IF(AND(I.Developer.P1=TRUE,I.Facility.P1FacilityCount&gt;=3644,F3656=""),"Incomplete","Complete")</f>
        <v>Complete</v>
      </c>
      <c r="I3656" s="48" t="s">
        <v>8021</v>
      </c>
    </row>
    <row r="3657" spans="2:9" ht="15" customHeight="1" x14ac:dyDescent="0.25">
      <c r="B3657" s="55" t="s">
        <v>279</v>
      </c>
      <c r="C3657" s="46">
        <v>3645</v>
      </c>
      <c r="D3657" s="69" t="s">
        <v>29416</v>
      </c>
      <c r="E3657" s="51"/>
      <c r="F3657" s="114" t="str">
        <f>IF(INDEX(I.Facility.P1IDNumber,3645)="","",INDEX(I.Facility.P1IDNumber,3645))</f>
        <v/>
      </c>
      <c r="G3657" s="51"/>
      <c r="H3657" s="46" t="str">
        <f>IF(AND(I.Developer.P1=TRUE,I.Facility.P1FacilityCount&gt;=3645,F3657=""),"Incomplete","Complete")</f>
        <v>Complete</v>
      </c>
      <c r="I3657" s="48" t="s">
        <v>8022</v>
      </c>
    </row>
    <row r="3658" spans="2:9" ht="15" customHeight="1" x14ac:dyDescent="0.25">
      <c r="B3658" s="55" t="s">
        <v>279</v>
      </c>
      <c r="C3658" s="46">
        <v>3646</v>
      </c>
      <c r="D3658" s="69" t="s">
        <v>29416</v>
      </c>
      <c r="E3658" s="51"/>
      <c r="F3658" s="114" t="str">
        <f>IF(INDEX(I.Facility.P1IDNumber,3646)="","",INDEX(I.Facility.P1IDNumber,3646))</f>
        <v/>
      </c>
      <c r="G3658" s="51"/>
      <c r="H3658" s="46" t="str">
        <f>IF(AND(I.Developer.P1=TRUE,I.Facility.P1FacilityCount&gt;=3646,F3658=""),"Incomplete","Complete")</f>
        <v>Complete</v>
      </c>
      <c r="I3658" s="48" t="s">
        <v>8023</v>
      </c>
    </row>
    <row r="3659" spans="2:9" ht="15" customHeight="1" x14ac:dyDescent="0.25">
      <c r="B3659" s="55" t="s">
        <v>279</v>
      </c>
      <c r="C3659" s="46">
        <v>3647</v>
      </c>
      <c r="D3659" s="69" t="s">
        <v>29416</v>
      </c>
      <c r="E3659" s="51"/>
      <c r="F3659" s="114" t="str">
        <f>IF(INDEX(I.Facility.P1IDNumber,3647)="","",INDEX(I.Facility.P1IDNumber,3647))</f>
        <v/>
      </c>
      <c r="G3659" s="51"/>
      <c r="H3659" s="46" t="str">
        <f>IF(AND(I.Developer.P1=TRUE,I.Facility.P1FacilityCount&gt;=3647,F3659=""),"Incomplete","Complete")</f>
        <v>Complete</v>
      </c>
      <c r="I3659" s="48" t="s">
        <v>8024</v>
      </c>
    </row>
    <row r="3660" spans="2:9" ht="15" customHeight="1" x14ac:dyDescent="0.25">
      <c r="B3660" s="55" t="s">
        <v>279</v>
      </c>
      <c r="C3660" s="46">
        <v>3648</v>
      </c>
      <c r="D3660" s="69" t="s">
        <v>29416</v>
      </c>
      <c r="E3660" s="51"/>
      <c r="F3660" s="114" t="str">
        <f>IF(INDEX(I.Facility.P1IDNumber,3648)="","",INDEX(I.Facility.P1IDNumber,3648))</f>
        <v/>
      </c>
      <c r="G3660" s="51"/>
      <c r="H3660" s="46" t="str">
        <f>IF(AND(I.Developer.P1=TRUE,I.Facility.P1FacilityCount&gt;=3648,F3660=""),"Incomplete","Complete")</f>
        <v>Complete</v>
      </c>
      <c r="I3660" s="48" t="s">
        <v>8025</v>
      </c>
    </row>
    <row r="3661" spans="2:9" ht="15" customHeight="1" x14ac:dyDescent="0.25">
      <c r="B3661" s="55" t="s">
        <v>279</v>
      </c>
      <c r="C3661" s="46">
        <v>3649</v>
      </c>
      <c r="D3661" s="69" t="s">
        <v>29416</v>
      </c>
      <c r="E3661" s="51"/>
      <c r="F3661" s="114" t="str">
        <f>IF(INDEX(I.Facility.P1IDNumber,3649)="","",INDEX(I.Facility.P1IDNumber,3649))</f>
        <v/>
      </c>
      <c r="G3661" s="51"/>
      <c r="H3661" s="46" t="str">
        <f>IF(AND(I.Developer.P1=TRUE,I.Facility.P1FacilityCount&gt;=3649,F3661=""),"Incomplete","Complete")</f>
        <v>Complete</v>
      </c>
      <c r="I3661" s="48" t="s">
        <v>8026</v>
      </c>
    </row>
    <row r="3662" spans="2:9" ht="15" customHeight="1" x14ac:dyDescent="0.25">
      <c r="B3662" s="55" t="s">
        <v>279</v>
      </c>
      <c r="C3662" s="46">
        <v>3650</v>
      </c>
      <c r="D3662" s="69" t="s">
        <v>29416</v>
      </c>
      <c r="E3662" s="51"/>
      <c r="F3662" s="114" t="str">
        <f>IF(INDEX(I.Facility.P1IDNumber,3650)="","",INDEX(I.Facility.P1IDNumber,3650))</f>
        <v/>
      </c>
      <c r="G3662" s="51"/>
      <c r="H3662" s="46" t="str">
        <f>IF(AND(I.Developer.P1=TRUE,I.Facility.P1FacilityCount&gt;=3650,F3662=""),"Incomplete","Complete")</f>
        <v>Complete</v>
      </c>
      <c r="I3662" s="48" t="s">
        <v>8027</v>
      </c>
    </row>
    <row r="3663" spans="2:9" ht="15" customHeight="1" x14ac:dyDescent="0.25">
      <c r="B3663" s="55" t="s">
        <v>279</v>
      </c>
      <c r="C3663" s="46">
        <v>3651</v>
      </c>
      <c r="D3663" s="69" t="s">
        <v>29416</v>
      </c>
      <c r="E3663" s="51"/>
      <c r="F3663" s="114" t="str">
        <f>IF(INDEX(I.Facility.P1IDNumber,3651)="","",INDEX(I.Facility.P1IDNumber,3651))</f>
        <v/>
      </c>
      <c r="G3663" s="51"/>
      <c r="H3663" s="46" t="str">
        <f>IF(AND(I.Developer.P1=TRUE,I.Facility.P1FacilityCount&gt;=3651,F3663=""),"Incomplete","Complete")</f>
        <v>Complete</v>
      </c>
      <c r="I3663" s="48" t="s">
        <v>8028</v>
      </c>
    </row>
    <row r="3664" spans="2:9" ht="15" customHeight="1" x14ac:dyDescent="0.25">
      <c r="B3664" s="55" t="s">
        <v>279</v>
      </c>
      <c r="C3664" s="46">
        <v>3652</v>
      </c>
      <c r="D3664" s="69" t="s">
        <v>29416</v>
      </c>
      <c r="E3664" s="51"/>
      <c r="F3664" s="114" t="str">
        <f>IF(INDEX(I.Facility.P1IDNumber,3652)="","",INDEX(I.Facility.P1IDNumber,3652))</f>
        <v/>
      </c>
      <c r="G3664" s="51"/>
      <c r="H3664" s="46" t="str">
        <f>IF(AND(I.Developer.P1=TRUE,I.Facility.P1FacilityCount&gt;=3652,F3664=""),"Incomplete","Complete")</f>
        <v>Complete</v>
      </c>
      <c r="I3664" s="48" t="s">
        <v>8029</v>
      </c>
    </row>
    <row r="3665" spans="2:9" ht="15" customHeight="1" x14ac:dyDescent="0.25">
      <c r="B3665" s="55" t="s">
        <v>279</v>
      </c>
      <c r="C3665" s="46">
        <v>3653</v>
      </c>
      <c r="D3665" s="69" t="s">
        <v>29416</v>
      </c>
      <c r="E3665" s="51"/>
      <c r="F3665" s="114" t="str">
        <f>IF(INDEX(I.Facility.P1IDNumber,3653)="","",INDEX(I.Facility.P1IDNumber,3653))</f>
        <v/>
      </c>
      <c r="G3665" s="51"/>
      <c r="H3665" s="46" t="str">
        <f>IF(AND(I.Developer.P1=TRUE,I.Facility.P1FacilityCount&gt;=3653,F3665=""),"Incomplete","Complete")</f>
        <v>Complete</v>
      </c>
      <c r="I3665" s="48" t="s">
        <v>8030</v>
      </c>
    </row>
    <row r="3666" spans="2:9" ht="15" customHeight="1" x14ac:dyDescent="0.25">
      <c r="B3666" s="55" t="s">
        <v>279</v>
      </c>
      <c r="C3666" s="46">
        <v>3654</v>
      </c>
      <c r="D3666" s="69" t="s">
        <v>29416</v>
      </c>
      <c r="E3666" s="51"/>
      <c r="F3666" s="114" t="str">
        <f>IF(INDEX(I.Facility.P1IDNumber,3654)="","",INDEX(I.Facility.P1IDNumber,3654))</f>
        <v/>
      </c>
      <c r="G3666" s="51"/>
      <c r="H3666" s="46" t="str">
        <f>IF(AND(I.Developer.P1=TRUE,I.Facility.P1FacilityCount&gt;=3654,F3666=""),"Incomplete","Complete")</f>
        <v>Complete</v>
      </c>
      <c r="I3666" s="48" t="s">
        <v>8031</v>
      </c>
    </row>
    <row r="3667" spans="2:9" ht="15" customHeight="1" x14ac:dyDescent="0.25">
      <c r="B3667" s="55" t="s">
        <v>279</v>
      </c>
      <c r="C3667" s="46">
        <v>3655</v>
      </c>
      <c r="D3667" s="69" t="s">
        <v>29416</v>
      </c>
      <c r="E3667" s="51"/>
      <c r="F3667" s="114" t="str">
        <f>IF(INDEX(I.Facility.P1IDNumber,3655)="","",INDEX(I.Facility.P1IDNumber,3655))</f>
        <v/>
      </c>
      <c r="G3667" s="51"/>
      <c r="H3667" s="46" t="str">
        <f>IF(AND(I.Developer.P1=TRUE,I.Facility.P1FacilityCount&gt;=3655,F3667=""),"Incomplete","Complete")</f>
        <v>Complete</v>
      </c>
      <c r="I3667" s="48" t="s">
        <v>8032</v>
      </c>
    </row>
    <row r="3668" spans="2:9" ht="15" customHeight="1" x14ac:dyDescent="0.25">
      <c r="B3668" s="55" t="s">
        <v>279</v>
      </c>
      <c r="C3668" s="46">
        <v>3656</v>
      </c>
      <c r="D3668" s="69" t="s">
        <v>29416</v>
      </c>
      <c r="E3668" s="51"/>
      <c r="F3668" s="114" t="str">
        <f>IF(INDEX(I.Facility.P1IDNumber,3656)="","",INDEX(I.Facility.P1IDNumber,3656))</f>
        <v/>
      </c>
      <c r="G3668" s="51"/>
      <c r="H3668" s="46" t="str">
        <f>IF(AND(I.Developer.P1=TRUE,I.Facility.P1FacilityCount&gt;=3656,F3668=""),"Incomplete","Complete")</f>
        <v>Complete</v>
      </c>
      <c r="I3668" s="48" t="s">
        <v>8033</v>
      </c>
    </row>
    <row r="3669" spans="2:9" ht="15" customHeight="1" x14ac:dyDescent="0.25">
      <c r="B3669" s="55" t="s">
        <v>279</v>
      </c>
      <c r="C3669" s="46">
        <v>3657</v>
      </c>
      <c r="D3669" s="69" t="s">
        <v>29416</v>
      </c>
      <c r="E3669" s="51"/>
      <c r="F3669" s="114" t="str">
        <f>IF(INDEX(I.Facility.P1IDNumber,3657)="","",INDEX(I.Facility.P1IDNumber,3657))</f>
        <v/>
      </c>
      <c r="G3669" s="51"/>
      <c r="H3669" s="46" t="str">
        <f>IF(AND(I.Developer.P1=TRUE,I.Facility.P1FacilityCount&gt;=3657,F3669=""),"Incomplete","Complete")</f>
        <v>Complete</v>
      </c>
      <c r="I3669" s="48" t="s">
        <v>8034</v>
      </c>
    </row>
    <row r="3670" spans="2:9" ht="15" customHeight="1" x14ac:dyDescent="0.25">
      <c r="B3670" s="55" t="s">
        <v>279</v>
      </c>
      <c r="C3670" s="46">
        <v>3658</v>
      </c>
      <c r="D3670" s="69" t="s">
        <v>29416</v>
      </c>
      <c r="E3670" s="51"/>
      <c r="F3670" s="114" t="str">
        <f>IF(INDEX(I.Facility.P1IDNumber,3658)="","",INDEX(I.Facility.P1IDNumber,3658))</f>
        <v/>
      </c>
      <c r="G3670" s="51"/>
      <c r="H3670" s="46" t="str">
        <f>IF(AND(I.Developer.P1=TRUE,I.Facility.P1FacilityCount&gt;=3658,F3670=""),"Incomplete","Complete")</f>
        <v>Complete</v>
      </c>
      <c r="I3670" s="48" t="s">
        <v>8035</v>
      </c>
    </row>
    <row r="3671" spans="2:9" ht="15" customHeight="1" x14ac:dyDescent="0.25">
      <c r="B3671" s="55" t="s">
        <v>279</v>
      </c>
      <c r="C3671" s="46">
        <v>3659</v>
      </c>
      <c r="D3671" s="69" t="s">
        <v>29416</v>
      </c>
      <c r="E3671" s="51"/>
      <c r="F3671" s="114" t="str">
        <f>IF(INDEX(I.Facility.P1IDNumber,3659)="","",INDEX(I.Facility.P1IDNumber,3659))</f>
        <v/>
      </c>
      <c r="G3671" s="51"/>
      <c r="H3671" s="46" t="str">
        <f>IF(AND(I.Developer.P1=TRUE,I.Facility.P1FacilityCount&gt;=3659,F3671=""),"Incomplete","Complete")</f>
        <v>Complete</v>
      </c>
      <c r="I3671" s="48" t="s">
        <v>8036</v>
      </c>
    </row>
    <row r="3672" spans="2:9" ht="15" customHeight="1" x14ac:dyDescent="0.25">
      <c r="B3672" s="55" t="s">
        <v>279</v>
      </c>
      <c r="C3672" s="46">
        <v>3660</v>
      </c>
      <c r="D3672" s="69" t="s">
        <v>29416</v>
      </c>
      <c r="E3672" s="51"/>
      <c r="F3672" s="114" t="str">
        <f>IF(INDEX(I.Facility.P1IDNumber,3660)="","",INDEX(I.Facility.P1IDNumber,3660))</f>
        <v/>
      </c>
      <c r="G3672" s="51"/>
      <c r="H3672" s="46" t="str">
        <f>IF(AND(I.Developer.P1=TRUE,I.Facility.P1FacilityCount&gt;=3660,F3672=""),"Incomplete","Complete")</f>
        <v>Complete</v>
      </c>
      <c r="I3672" s="48" t="s">
        <v>8037</v>
      </c>
    </row>
    <row r="3673" spans="2:9" ht="15" customHeight="1" x14ac:dyDescent="0.25">
      <c r="B3673" s="55" t="s">
        <v>279</v>
      </c>
      <c r="C3673" s="46">
        <v>3661</v>
      </c>
      <c r="D3673" s="69" t="s">
        <v>29416</v>
      </c>
      <c r="E3673" s="51"/>
      <c r="F3673" s="114" t="str">
        <f>IF(INDEX(I.Facility.P1IDNumber,3661)="","",INDEX(I.Facility.P1IDNumber,3661))</f>
        <v/>
      </c>
      <c r="G3673" s="51"/>
      <c r="H3673" s="46" t="str">
        <f>IF(AND(I.Developer.P1=TRUE,I.Facility.P1FacilityCount&gt;=3661,F3673=""),"Incomplete","Complete")</f>
        <v>Complete</v>
      </c>
      <c r="I3673" s="48" t="s">
        <v>8038</v>
      </c>
    </row>
    <row r="3674" spans="2:9" ht="15" customHeight="1" x14ac:dyDescent="0.25">
      <c r="B3674" s="55" t="s">
        <v>279</v>
      </c>
      <c r="C3674" s="46">
        <v>3662</v>
      </c>
      <c r="D3674" s="69" t="s">
        <v>29416</v>
      </c>
      <c r="E3674" s="51"/>
      <c r="F3674" s="114" t="str">
        <f>IF(INDEX(I.Facility.P1IDNumber,3662)="","",INDEX(I.Facility.P1IDNumber,3662))</f>
        <v/>
      </c>
      <c r="G3674" s="51"/>
      <c r="H3674" s="46" t="str">
        <f>IF(AND(I.Developer.P1=TRUE,I.Facility.P1FacilityCount&gt;=3662,F3674=""),"Incomplete","Complete")</f>
        <v>Complete</v>
      </c>
      <c r="I3674" s="48" t="s">
        <v>8039</v>
      </c>
    </row>
    <row r="3675" spans="2:9" ht="15" customHeight="1" x14ac:dyDescent="0.25">
      <c r="B3675" s="55" t="s">
        <v>279</v>
      </c>
      <c r="C3675" s="46">
        <v>3663</v>
      </c>
      <c r="D3675" s="69" t="s">
        <v>29416</v>
      </c>
      <c r="E3675" s="51"/>
      <c r="F3675" s="114" t="str">
        <f>IF(INDEX(I.Facility.P1IDNumber,3663)="","",INDEX(I.Facility.P1IDNumber,3663))</f>
        <v/>
      </c>
      <c r="G3675" s="51"/>
      <c r="H3675" s="46" t="str">
        <f>IF(AND(I.Developer.P1=TRUE,I.Facility.P1FacilityCount&gt;=3663,F3675=""),"Incomplete","Complete")</f>
        <v>Complete</v>
      </c>
      <c r="I3675" s="48" t="s">
        <v>8040</v>
      </c>
    </row>
    <row r="3676" spans="2:9" ht="15" customHeight="1" x14ac:dyDescent="0.25">
      <c r="B3676" s="55" t="s">
        <v>279</v>
      </c>
      <c r="C3676" s="46">
        <v>3664</v>
      </c>
      <c r="D3676" s="69" t="s">
        <v>29416</v>
      </c>
      <c r="E3676" s="51"/>
      <c r="F3676" s="114" t="str">
        <f>IF(INDEX(I.Facility.P1IDNumber,3664)="","",INDEX(I.Facility.P1IDNumber,3664))</f>
        <v/>
      </c>
      <c r="G3676" s="51"/>
      <c r="H3676" s="46" t="str">
        <f>IF(AND(I.Developer.P1=TRUE,I.Facility.P1FacilityCount&gt;=3664,F3676=""),"Incomplete","Complete")</f>
        <v>Complete</v>
      </c>
      <c r="I3676" s="48" t="s">
        <v>8041</v>
      </c>
    </row>
    <row r="3677" spans="2:9" ht="15" customHeight="1" x14ac:dyDescent="0.25">
      <c r="B3677" s="55" t="s">
        <v>279</v>
      </c>
      <c r="C3677" s="46">
        <v>3665</v>
      </c>
      <c r="D3677" s="69" t="s">
        <v>29416</v>
      </c>
      <c r="E3677" s="51"/>
      <c r="F3677" s="114" t="str">
        <f>IF(INDEX(I.Facility.P1IDNumber,3665)="","",INDEX(I.Facility.P1IDNumber,3665))</f>
        <v/>
      </c>
      <c r="G3677" s="51"/>
      <c r="H3677" s="46" t="str">
        <f>IF(AND(I.Developer.P1=TRUE,I.Facility.P1FacilityCount&gt;=3665,F3677=""),"Incomplete","Complete")</f>
        <v>Complete</v>
      </c>
      <c r="I3677" s="48" t="s">
        <v>8042</v>
      </c>
    </row>
    <row r="3678" spans="2:9" ht="15" customHeight="1" x14ac:dyDescent="0.25">
      <c r="B3678" s="55" t="s">
        <v>279</v>
      </c>
      <c r="C3678" s="46">
        <v>3666</v>
      </c>
      <c r="D3678" s="69" t="s">
        <v>29416</v>
      </c>
      <c r="E3678" s="51"/>
      <c r="F3678" s="114" t="str">
        <f>IF(INDEX(I.Facility.P1IDNumber,3666)="","",INDEX(I.Facility.P1IDNumber,3666))</f>
        <v/>
      </c>
      <c r="G3678" s="51"/>
      <c r="H3678" s="46" t="str">
        <f>IF(AND(I.Developer.P1=TRUE,I.Facility.P1FacilityCount&gt;=3666,F3678=""),"Incomplete","Complete")</f>
        <v>Complete</v>
      </c>
      <c r="I3678" s="48" t="s">
        <v>8043</v>
      </c>
    </row>
    <row r="3679" spans="2:9" ht="15" customHeight="1" x14ac:dyDescent="0.25">
      <c r="B3679" s="55" t="s">
        <v>279</v>
      </c>
      <c r="C3679" s="46">
        <v>3667</v>
      </c>
      <c r="D3679" s="69" t="s">
        <v>29416</v>
      </c>
      <c r="E3679" s="51"/>
      <c r="F3679" s="114" t="str">
        <f>IF(INDEX(I.Facility.P1IDNumber,3667)="","",INDEX(I.Facility.P1IDNumber,3667))</f>
        <v/>
      </c>
      <c r="G3679" s="51"/>
      <c r="H3679" s="46" t="str">
        <f>IF(AND(I.Developer.P1=TRUE,I.Facility.P1FacilityCount&gt;=3667,F3679=""),"Incomplete","Complete")</f>
        <v>Complete</v>
      </c>
      <c r="I3679" s="48" t="s">
        <v>8044</v>
      </c>
    </row>
    <row r="3680" spans="2:9" ht="15" customHeight="1" x14ac:dyDescent="0.25">
      <c r="B3680" s="55" t="s">
        <v>279</v>
      </c>
      <c r="C3680" s="46">
        <v>3668</v>
      </c>
      <c r="D3680" s="69" t="s">
        <v>29416</v>
      </c>
      <c r="E3680" s="51"/>
      <c r="F3680" s="114" t="str">
        <f>IF(INDEX(I.Facility.P1IDNumber,3668)="","",INDEX(I.Facility.P1IDNumber,3668))</f>
        <v/>
      </c>
      <c r="G3680" s="51"/>
      <c r="H3680" s="46" t="str">
        <f>IF(AND(I.Developer.P1=TRUE,I.Facility.P1FacilityCount&gt;=3668,F3680=""),"Incomplete","Complete")</f>
        <v>Complete</v>
      </c>
      <c r="I3680" s="48" t="s">
        <v>8045</v>
      </c>
    </row>
    <row r="3681" spans="2:9" ht="15" customHeight="1" x14ac:dyDescent="0.25">
      <c r="B3681" s="55" t="s">
        <v>279</v>
      </c>
      <c r="C3681" s="46">
        <v>3669</v>
      </c>
      <c r="D3681" s="69" t="s">
        <v>29416</v>
      </c>
      <c r="E3681" s="51"/>
      <c r="F3681" s="114" t="str">
        <f>IF(INDEX(I.Facility.P1IDNumber,3669)="","",INDEX(I.Facility.P1IDNumber,3669))</f>
        <v/>
      </c>
      <c r="G3681" s="51"/>
      <c r="H3681" s="46" t="str">
        <f>IF(AND(I.Developer.P1=TRUE,I.Facility.P1FacilityCount&gt;=3669,F3681=""),"Incomplete","Complete")</f>
        <v>Complete</v>
      </c>
      <c r="I3681" s="48" t="s">
        <v>8046</v>
      </c>
    </row>
    <row r="3682" spans="2:9" ht="15" customHeight="1" x14ac:dyDescent="0.25">
      <c r="B3682" s="55" t="s">
        <v>279</v>
      </c>
      <c r="C3682" s="46">
        <v>3670</v>
      </c>
      <c r="D3682" s="69" t="s">
        <v>29416</v>
      </c>
      <c r="E3682" s="51"/>
      <c r="F3682" s="114" t="str">
        <f>IF(INDEX(I.Facility.P1IDNumber,3670)="","",INDEX(I.Facility.P1IDNumber,3670))</f>
        <v/>
      </c>
      <c r="G3682" s="51"/>
      <c r="H3682" s="46" t="str">
        <f>IF(AND(I.Developer.P1=TRUE,I.Facility.P1FacilityCount&gt;=3670,F3682=""),"Incomplete","Complete")</f>
        <v>Complete</v>
      </c>
      <c r="I3682" s="48" t="s">
        <v>8047</v>
      </c>
    </row>
    <row r="3683" spans="2:9" ht="15" customHeight="1" x14ac:dyDescent="0.25">
      <c r="B3683" s="55" t="s">
        <v>279</v>
      </c>
      <c r="C3683" s="46">
        <v>3671</v>
      </c>
      <c r="D3683" s="69" t="s">
        <v>29416</v>
      </c>
      <c r="E3683" s="51"/>
      <c r="F3683" s="114" t="str">
        <f>IF(INDEX(I.Facility.P1IDNumber,3671)="","",INDEX(I.Facility.P1IDNumber,3671))</f>
        <v/>
      </c>
      <c r="G3683" s="51"/>
      <c r="H3683" s="46" t="str">
        <f>IF(AND(I.Developer.P1=TRUE,I.Facility.P1FacilityCount&gt;=3671,F3683=""),"Incomplete","Complete")</f>
        <v>Complete</v>
      </c>
      <c r="I3683" s="48" t="s">
        <v>8048</v>
      </c>
    </row>
    <row r="3684" spans="2:9" ht="15" customHeight="1" x14ac:dyDescent="0.25">
      <c r="B3684" s="55" t="s">
        <v>279</v>
      </c>
      <c r="C3684" s="46">
        <v>3672</v>
      </c>
      <c r="D3684" s="69" t="s">
        <v>29416</v>
      </c>
      <c r="E3684" s="51"/>
      <c r="F3684" s="114" t="str">
        <f>IF(INDEX(I.Facility.P1IDNumber,3672)="","",INDEX(I.Facility.P1IDNumber,3672))</f>
        <v/>
      </c>
      <c r="G3684" s="51"/>
      <c r="H3684" s="46" t="str">
        <f>IF(AND(I.Developer.P1=TRUE,I.Facility.P1FacilityCount&gt;=3672,F3684=""),"Incomplete","Complete")</f>
        <v>Complete</v>
      </c>
      <c r="I3684" s="48" t="s">
        <v>8049</v>
      </c>
    </row>
    <row r="3685" spans="2:9" ht="15" customHeight="1" x14ac:dyDescent="0.25">
      <c r="B3685" s="55" t="s">
        <v>279</v>
      </c>
      <c r="C3685" s="46">
        <v>3673</v>
      </c>
      <c r="D3685" s="69" t="s">
        <v>29416</v>
      </c>
      <c r="E3685" s="51"/>
      <c r="F3685" s="114" t="str">
        <f>IF(INDEX(I.Facility.P1IDNumber,3673)="","",INDEX(I.Facility.P1IDNumber,3673))</f>
        <v/>
      </c>
      <c r="G3685" s="51"/>
      <c r="H3685" s="46" t="str">
        <f>IF(AND(I.Developer.P1=TRUE,I.Facility.P1FacilityCount&gt;=3673,F3685=""),"Incomplete","Complete")</f>
        <v>Complete</v>
      </c>
      <c r="I3685" s="48" t="s">
        <v>8050</v>
      </c>
    </row>
    <row r="3686" spans="2:9" ht="15" customHeight="1" x14ac:dyDescent="0.25">
      <c r="B3686" s="55" t="s">
        <v>279</v>
      </c>
      <c r="C3686" s="46">
        <v>3674</v>
      </c>
      <c r="D3686" s="69" t="s">
        <v>29416</v>
      </c>
      <c r="E3686" s="51"/>
      <c r="F3686" s="114" t="str">
        <f>IF(INDEX(I.Facility.P1IDNumber,3674)="","",INDEX(I.Facility.P1IDNumber,3674))</f>
        <v/>
      </c>
      <c r="G3686" s="51"/>
      <c r="H3686" s="46" t="str">
        <f>IF(AND(I.Developer.P1=TRUE,I.Facility.P1FacilityCount&gt;=3674,F3686=""),"Incomplete","Complete")</f>
        <v>Complete</v>
      </c>
      <c r="I3686" s="48" t="s">
        <v>8051</v>
      </c>
    </row>
    <row r="3687" spans="2:9" ht="15" customHeight="1" x14ac:dyDescent="0.25">
      <c r="B3687" s="55" t="s">
        <v>279</v>
      </c>
      <c r="C3687" s="46">
        <v>3675</v>
      </c>
      <c r="D3687" s="69" t="s">
        <v>29416</v>
      </c>
      <c r="E3687" s="51"/>
      <c r="F3687" s="114" t="str">
        <f>IF(INDEX(I.Facility.P1IDNumber,3675)="","",INDEX(I.Facility.P1IDNumber,3675))</f>
        <v/>
      </c>
      <c r="G3687" s="51"/>
      <c r="H3687" s="46" t="str">
        <f>IF(AND(I.Developer.P1=TRUE,I.Facility.P1FacilityCount&gt;=3675,F3687=""),"Incomplete","Complete")</f>
        <v>Complete</v>
      </c>
      <c r="I3687" s="48" t="s">
        <v>8052</v>
      </c>
    </row>
    <row r="3688" spans="2:9" ht="15" customHeight="1" x14ac:dyDescent="0.25">
      <c r="B3688" s="55" t="s">
        <v>279</v>
      </c>
      <c r="C3688" s="46">
        <v>3676</v>
      </c>
      <c r="D3688" s="69" t="s">
        <v>29416</v>
      </c>
      <c r="E3688" s="51"/>
      <c r="F3688" s="114" t="str">
        <f>IF(INDEX(I.Facility.P1IDNumber,3676)="","",INDEX(I.Facility.P1IDNumber,3676))</f>
        <v/>
      </c>
      <c r="G3688" s="51"/>
      <c r="H3688" s="46" t="str">
        <f>IF(AND(I.Developer.P1=TRUE,I.Facility.P1FacilityCount&gt;=3676,F3688=""),"Incomplete","Complete")</f>
        <v>Complete</v>
      </c>
      <c r="I3688" s="48" t="s">
        <v>8053</v>
      </c>
    </row>
    <row r="3689" spans="2:9" ht="15" customHeight="1" x14ac:dyDescent="0.25">
      <c r="B3689" s="55" t="s">
        <v>279</v>
      </c>
      <c r="C3689" s="46">
        <v>3677</v>
      </c>
      <c r="D3689" s="69" t="s">
        <v>29416</v>
      </c>
      <c r="E3689" s="51"/>
      <c r="F3689" s="114" t="str">
        <f>IF(INDEX(I.Facility.P1IDNumber,3677)="","",INDEX(I.Facility.P1IDNumber,3677))</f>
        <v/>
      </c>
      <c r="G3689" s="51"/>
      <c r="H3689" s="46" t="str">
        <f>IF(AND(I.Developer.P1=TRUE,I.Facility.P1FacilityCount&gt;=3677,F3689=""),"Incomplete","Complete")</f>
        <v>Complete</v>
      </c>
      <c r="I3689" s="48" t="s">
        <v>8054</v>
      </c>
    </row>
    <row r="3690" spans="2:9" ht="15" customHeight="1" x14ac:dyDescent="0.25">
      <c r="B3690" s="55" t="s">
        <v>279</v>
      </c>
      <c r="C3690" s="46">
        <v>3678</v>
      </c>
      <c r="D3690" s="69" t="s">
        <v>29416</v>
      </c>
      <c r="E3690" s="51"/>
      <c r="F3690" s="114" t="str">
        <f>IF(INDEX(I.Facility.P1IDNumber,3678)="","",INDEX(I.Facility.P1IDNumber,3678))</f>
        <v/>
      </c>
      <c r="G3690" s="51"/>
      <c r="H3690" s="46" t="str">
        <f>IF(AND(I.Developer.P1=TRUE,I.Facility.P1FacilityCount&gt;=3678,F3690=""),"Incomplete","Complete")</f>
        <v>Complete</v>
      </c>
      <c r="I3690" s="48" t="s">
        <v>8055</v>
      </c>
    </row>
    <row r="3691" spans="2:9" ht="15" customHeight="1" x14ac:dyDescent="0.25">
      <c r="B3691" s="55" t="s">
        <v>279</v>
      </c>
      <c r="C3691" s="46">
        <v>3679</v>
      </c>
      <c r="D3691" s="69" t="s">
        <v>29416</v>
      </c>
      <c r="E3691" s="51"/>
      <c r="F3691" s="114" t="str">
        <f>IF(INDEX(I.Facility.P1IDNumber,3679)="","",INDEX(I.Facility.P1IDNumber,3679))</f>
        <v/>
      </c>
      <c r="G3691" s="51"/>
      <c r="H3691" s="46" t="str">
        <f>IF(AND(I.Developer.P1=TRUE,I.Facility.P1FacilityCount&gt;=3679,F3691=""),"Incomplete","Complete")</f>
        <v>Complete</v>
      </c>
      <c r="I3691" s="48" t="s">
        <v>8056</v>
      </c>
    </row>
    <row r="3692" spans="2:9" ht="15" customHeight="1" x14ac:dyDescent="0.25">
      <c r="B3692" s="55" t="s">
        <v>279</v>
      </c>
      <c r="C3692" s="46">
        <v>3680</v>
      </c>
      <c r="D3692" s="69" t="s">
        <v>29416</v>
      </c>
      <c r="E3692" s="51"/>
      <c r="F3692" s="114" t="str">
        <f>IF(INDEX(I.Facility.P1IDNumber,3680)="","",INDEX(I.Facility.P1IDNumber,3680))</f>
        <v/>
      </c>
      <c r="G3692" s="51"/>
      <c r="H3692" s="46" t="str">
        <f>IF(AND(I.Developer.P1=TRUE,I.Facility.P1FacilityCount&gt;=3680,F3692=""),"Incomplete","Complete")</f>
        <v>Complete</v>
      </c>
      <c r="I3692" s="48" t="s">
        <v>8057</v>
      </c>
    </row>
    <row r="3693" spans="2:9" ht="15" customHeight="1" x14ac:dyDescent="0.25">
      <c r="B3693" s="55" t="s">
        <v>279</v>
      </c>
      <c r="C3693" s="46">
        <v>3681</v>
      </c>
      <c r="D3693" s="69" t="s">
        <v>29416</v>
      </c>
      <c r="E3693" s="51"/>
      <c r="F3693" s="114" t="str">
        <f>IF(INDEX(I.Facility.P1IDNumber,3681)="","",INDEX(I.Facility.P1IDNumber,3681))</f>
        <v/>
      </c>
      <c r="G3693" s="51"/>
      <c r="H3693" s="46" t="str">
        <f>IF(AND(I.Developer.P1=TRUE,I.Facility.P1FacilityCount&gt;=3681,F3693=""),"Incomplete","Complete")</f>
        <v>Complete</v>
      </c>
      <c r="I3693" s="48" t="s">
        <v>8058</v>
      </c>
    </row>
    <row r="3694" spans="2:9" ht="15" customHeight="1" x14ac:dyDescent="0.25">
      <c r="B3694" s="55" t="s">
        <v>279</v>
      </c>
      <c r="C3694" s="46">
        <v>3682</v>
      </c>
      <c r="D3694" s="69" t="s">
        <v>29416</v>
      </c>
      <c r="E3694" s="51"/>
      <c r="F3694" s="114" t="str">
        <f>IF(INDEX(I.Facility.P1IDNumber,3682)="","",INDEX(I.Facility.P1IDNumber,3682))</f>
        <v/>
      </c>
      <c r="G3694" s="51"/>
      <c r="H3694" s="46" t="str">
        <f>IF(AND(I.Developer.P1=TRUE,I.Facility.P1FacilityCount&gt;=3682,F3694=""),"Incomplete","Complete")</f>
        <v>Complete</v>
      </c>
      <c r="I3694" s="48" t="s">
        <v>8059</v>
      </c>
    </row>
    <row r="3695" spans="2:9" ht="15" customHeight="1" x14ac:dyDescent="0.25">
      <c r="B3695" s="55" t="s">
        <v>279</v>
      </c>
      <c r="C3695" s="46">
        <v>3683</v>
      </c>
      <c r="D3695" s="69" t="s">
        <v>29416</v>
      </c>
      <c r="E3695" s="51"/>
      <c r="F3695" s="114" t="str">
        <f>IF(INDEX(I.Facility.P1IDNumber,3683)="","",INDEX(I.Facility.P1IDNumber,3683))</f>
        <v/>
      </c>
      <c r="G3695" s="51"/>
      <c r="H3695" s="46" t="str">
        <f>IF(AND(I.Developer.P1=TRUE,I.Facility.P1FacilityCount&gt;=3683,F3695=""),"Incomplete","Complete")</f>
        <v>Complete</v>
      </c>
      <c r="I3695" s="48" t="s">
        <v>8060</v>
      </c>
    </row>
    <row r="3696" spans="2:9" ht="15" customHeight="1" x14ac:dyDescent="0.25">
      <c r="B3696" s="55" t="s">
        <v>279</v>
      </c>
      <c r="C3696" s="46">
        <v>3684</v>
      </c>
      <c r="D3696" s="69" t="s">
        <v>29416</v>
      </c>
      <c r="E3696" s="51"/>
      <c r="F3696" s="114" t="str">
        <f>IF(INDEX(I.Facility.P1IDNumber,3684)="","",INDEX(I.Facility.P1IDNumber,3684))</f>
        <v/>
      </c>
      <c r="G3696" s="51"/>
      <c r="H3696" s="46" t="str">
        <f>IF(AND(I.Developer.P1=TRUE,I.Facility.P1FacilityCount&gt;=3684,F3696=""),"Incomplete","Complete")</f>
        <v>Complete</v>
      </c>
      <c r="I3696" s="48" t="s">
        <v>8061</v>
      </c>
    </row>
    <row r="3697" spans="2:9" ht="15" customHeight="1" x14ac:dyDescent="0.25">
      <c r="B3697" s="55" t="s">
        <v>279</v>
      </c>
      <c r="C3697" s="46">
        <v>3685</v>
      </c>
      <c r="D3697" s="69" t="s">
        <v>29416</v>
      </c>
      <c r="E3697" s="51"/>
      <c r="F3697" s="114" t="str">
        <f>IF(INDEX(I.Facility.P1IDNumber,3685)="","",INDEX(I.Facility.P1IDNumber,3685))</f>
        <v/>
      </c>
      <c r="G3697" s="51"/>
      <c r="H3697" s="46" t="str">
        <f>IF(AND(I.Developer.P1=TRUE,I.Facility.P1FacilityCount&gt;=3685,F3697=""),"Incomplete","Complete")</f>
        <v>Complete</v>
      </c>
      <c r="I3697" s="48" t="s">
        <v>8062</v>
      </c>
    </row>
    <row r="3698" spans="2:9" ht="15" customHeight="1" x14ac:dyDescent="0.25">
      <c r="B3698" s="55" t="s">
        <v>279</v>
      </c>
      <c r="C3698" s="46">
        <v>3686</v>
      </c>
      <c r="D3698" s="69" t="s">
        <v>29416</v>
      </c>
      <c r="E3698" s="51"/>
      <c r="F3698" s="114" t="str">
        <f>IF(INDEX(I.Facility.P1IDNumber,3686)="","",INDEX(I.Facility.P1IDNumber,3686))</f>
        <v/>
      </c>
      <c r="G3698" s="51"/>
      <c r="H3698" s="46" t="str">
        <f>IF(AND(I.Developer.P1=TRUE,I.Facility.P1FacilityCount&gt;=3686,F3698=""),"Incomplete","Complete")</f>
        <v>Complete</v>
      </c>
      <c r="I3698" s="48" t="s">
        <v>8063</v>
      </c>
    </row>
    <row r="3699" spans="2:9" ht="15" customHeight="1" x14ac:dyDescent="0.25">
      <c r="B3699" s="55" t="s">
        <v>279</v>
      </c>
      <c r="C3699" s="46">
        <v>3687</v>
      </c>
      <c r="D3699" s="69" t="s">
        <v>29416</v>
      </c>
      <c r="E3699" s="51"/>
      <c r="F3699" s="114" t="str">
        <f>IF(INDEX(I.Facility.P1IDNumber,3687)="","",INDEX(I.Facility.P1IDNumber,3687))</f>
        <v/>
      </c>
      <c r="G3699" s="51"/>
      <c r="H3699" s="46" t="str">
        <f>IF(AND(I.Developer.P1=TRUE,I.Facility.P1FacilityCount&gt;=3687,F3699=""),"Incomplete","Complete")</f>
        <v>Complete</v>
      </c>
      <c r="I3699" s="48" t="s">
        <v>8064</v>
      </c>
    </row>
    <row r="3700" spans="2:9" ht="15" customHeight="1" x14ac:dyDescent="0.25">
      <c r="B3700" s="55" t="s">
        <v>279</v>
      </c>
      <c r="C3700" s="46">
        <v>3688</v>
      </c>
      <c r="D3700" s="69" t="s">
        <v>29416</v>
      </c>
      <c r="E3700" s="51"/>
      <c r="F3700" s="114" t="str">
        <f>IF(INDEX(I.Facility.P1IDNumber,3688)="","",INDEX(I.Facility.P1IDNumber,3688))</f>
        <v/>
      </c>
      <c r="G3700" s="51"/>
      <c r="H3700" s="46" t="str">
        <f>IF(AND(I.Developer.P1=TRUE,I.Facility.P1FacilityCount&gt;=3688,F3700=""),"Incomplete","Complete")</f>
        <v>Complete</v>
      </c>
      <c r="I3700" s="48" t="s">
        <v>8065</v>
      </c>
    </row>
    <row r="3701" spans="2:9" ht="15" customHeight="1" x14ac:dyDescent="0.25">
      <c r="B3701" s="55" t="s">
        <v>279</v>
      </c>
      <c r="C3701" s="46">
        <v>3689</v>
      </c>
      <c r="D3701" s="69" t="s">
        <v>29416</v>
      </c>
      <c r="E3701" s="51"/>
      <c r="F3701" s="114" t="str">
        <f>IF(INDEX(I.Facility.P1IDNumber,3689)="","",INDEX(I.Facility.P1IDNumber,3689))</f>
        <v/>
      </c>
      <c r="G3701" s="51"/>
      <c r="H3701" s="46" t="str">
        <f>IF(AND(I.Developer.P1=TRUE,I.Facility.P1FacilityCount&gt;=3689,F3701=""),"Incomplete","Complete")</f>
        <v>Complete</v>
      </c>
      <c r="I3701" s="48" t="s">
        <v>8066</v>
      </c>
    </row>
    <row r="3702" spans="2:9" ht="15" customHeight="1" x14ac:dyDescent="0.25">
      <c r="B3702" s="55" t="s">
        <v>279</v>
      </c>
      <c r="C3702" s="46">
        <v>3690</v>
      </c>
      <c r="D3702" s="69" t="s">
        <v>29416</v>
      </c>
      <c r="E3702" s="51"/>
      <c r="F3702" s="114" t="str">
        <f>IF(INDEX(I.Facility.P1IDNumber,3690)="","",INDEX(I.Facility.P1IDNumber,3690))</f>
        <v/>
      </c>
      <c r="G3702" s="51"/>
      <c r="H3702" s="46" t="str">
        <f>IF(AND(I.Developer.P1=TRUE,I.Facility.P1FacilityCount&gt;=3690,F3702=""),"Incomplete","Complete")</f>
        <v>Complete</v>
      </c>
      <c r="I3702" s="48" t="s">
        <v>8067</v>
      </c>
    </row>
    <row r="3703" spans="2:9" ht="15" customHeight="1" x14ac:dyDescent="0.25">
      <c r="B3703" s="55" t="s">
        <v>279</v>
      </c>
      <c r="C3703" s="46">
        <v>3691</v>
      </c>
      <c r="D3703" s="69" t="s">
        <v>29416</v>
      </c>
      <c r="E3703" s="51"/>
      <c r="F3703" s="114" t="str">
        <f>IF(INDEX(I.Facility.P1IDNumber,3691)="","",INDEX(I.Facility.P1IDNumber,3691))</f>
        <v/>
      </c>
      <c r="G3703" s="51"/>
      <c r="H3703" s="46" t="str">
        <f>IF(AND(I.Developer.P1=TRUE,I.Facility.P1FacilityCount&gt;=3691,F3703=""),"Incomplete","Complete")</f>
        <v>Complete</v>
      </c>
      <c r="I3703" s="48" t="s">
        <v>8068</v>
      </c>
    </row>
    <row r="3704" spans="2:9" ht="15" customHeight="1" x14ac:dyDescent="0.25">
      <c r="B3704" s="55" t="s">
        <v>279</v>
      </c>
      <c r="C3704" s="46">
        <v>3692</v>
      </c>
      <c r="D3704" s="69" t="s">
        <v>29416</v>
      </c>
      <c r="E3704" s="51"/>
      <c r="F3704" s="114" t="str">
        <f>IF(INDEX(I.Facility.P1IDNumber,3692)="","",INDEX(I.Facility.P1IDNumber,3692))</f>
        <v/>
      </c>
      <c r="G3704" s="51"/>
      <c r="H3704" s="46" t="str">
        <f>IF(AND(I.Developer.P1=TRUE,I.Facility.P1FacilityCount&gt;=3692,F3704=""),"Incomplete","Complete")</f>
        <v>Complete</v>
      </c>
      <c r="I3704" s="48" t="s">
        <v>8069</v>
      </c>
    </row>
    <row r="3705" spans="2:9" ht="15" customHeight="1" x14ac:dyDescent="0.25">
      <c r="B3705" s="55" t="s">
        <v>279</v>
      </c>
      <c r="C3705" s="46">
        <v>3693</v>
      </c>
      <c r="D3705" s="69" t="s">
        <v>29416</v>
      </c>
      <c r="E3705" s="51"/>
      <c r="F3705" s="114" t="str">
        <f>IF(INDEX(I.Facility.P1IDNumber,3693)="","",INDEX(I.Facility.P1IDNumber,3693))</f>
        <v/>
      </c>
      <c r="G3705" s="51"/>
      <c r="H3705" s="46" t="str">
        <f>IF(AND(I.Developer.P1=TRUE,I.Facility.P1FacilityCount&gt;=3693,F3705=""),"Incomplete","Complete")</f>
        <v>Complete</v>
      </c>
      <c r="I3705" s="48" t="s">
        <v>8070</v>
      </c>
    </row>
    <row r="3706" spans="2:9" ht="15" customHeight="1" x14ac:dyDescent="0.25">
      <c r="B3706" s="55" t="s">
        <v>279</v>
      </c>
      <c r="C3706" s="46">
        <v>3694</v>
      </c>
      <c r="D3706" s="69" t="s">
        <v>29416</v>
      </c>
      <c r="E3706" s="51"/>
      <c r="F3706" s="114" t="str">
        <f>IF(INDEX(I.Facility.P1IDNumber,3694)="","",INDEX(I.Facility.P1IDNumber,3694))</f>
        <v/>
      </c>
      <c r="G3706" s="51"/>
      <c r="H3706" s="46" t="str">
        <f>IF(AND(I.Developer.P1=TRUE,I.Facility.P1FacilityCount&gt;=3694,F3706=""),"Incomplete","Complete")</f>
        <v>Complete</v>
      </c>
      <c r="I3706" s="48" t="s">
        <v>8071</v>
      </c>
    </row>
    <row r="3707" spans="2:9" ht="15" customHeight="1" x14ac:dyDescent="0.25">
      <c r="B3707" s="55" t="s">
        <v>279</v>
      </c>
      <c r="C3707" s="46">
        <v>3695</v>
      </c>
      <c r="D3707" s="69" t="s">
        <v>29416</v>
      </c>
      <c r="E3707" s="51"/>
      <c r="F3707" s="114" t="str">
        <f>IF(INDEX(I.Facility.P1IDNumber,3695)="","",INDEX(I.Facility.P1IDNumber,3695))</f>
        <v/>
      </c>
      <c r="G3707" s="51"/>
      <c r="H3707" s="46" t="str">
        <f>IF(AND(I.Developer.P1=TRUE,I.Facility.P1FacilityCount&gt;=3695,F3707=""),"Incomplete","Complete")</f>
        <v>Complete</v>
      </c>
      <c r="I3707" s="48" t="s">
        <v>8072</v>
      </c>
    </row>
    <row r="3708" spans="2:9" ht="15" customHeight="1" x14ac:dyDescent="0.25">
      <c r="B3708" s="55" t="s">
        <v>279</v>
      </c>
      <c r="C3708" s="46">
        <v>3696</v>
      </c>
      <c r="D3708" s="69" t="s">
        <v>29416</v>
      </c>
      <c r="E3708" s="51"/>
      <c r="F3708" s="114" t="str">
        <f>IF(INDEX(I.Facility.P1IDNumber,3696)="","",INDEX(I.Facility.P1IDNumber,3696))</f>
        <v/>
      </c>
      <c r="G3708" s="51"/>
      <c r="H3708" s="46" t="str">
        <f>IF(AND(I.Developer.P1=TRUE,I.Facility.P1FacilityCount&gt;=3696,F3708=""),"Incomplete","Complete")</f>
        <v>Complete</v>
      </c>
      <c r="I3708" s="48" t="s">
        <v>8073</v>
      </c>
    </row>
    <row r="3709" spans="2:9" ht="15" customHeight="1" x14ac:dyDescent="0.25">
      <c r="B3709" s="55" t="s">
        <v>279</v>
      </c>
      <c r="C3709" s="46">
        <v>3697</v>
      </c>
      <c r="D3709" s="69" t="s">
        <v>29416</v>
      </c>
      <c r="E3709" s="51"/>
      <c r="F3709" s="114" t="str">
        <f>IF(INDEX(I.Facility.P1IDNumber,3697)="","",INDEX(I.Facility.P1IDNumber,3697))</f>
        <v/>
      </c>
      <c r="G3709" s="51"/>
      <c r="H3709" s="46" t="str">
        <f>IF(AND(I.Developer.P1=TRUE,I.Facility.P1FacilityCount&gt;=3697,F3709=""),"Incomplete","Complete")</f>
        <v>Complete</v>
      </c>
      <c r="I3709" s="48" t="s">
        <v>8074</v>
      </c>
    </row>
    <row r="3710" spans="2:9" ht="15" customHeight="1" x14ac:dyDescent="0.25">
      <c r="B3710" s="55" t="s">
        <v>279</v>
      </c>
      <c r="C3710" s="46">
        <v>3698</v>
      </c>
      <c r="D3710" s="69" t="s">
        <v>29416</v>
      </c>
      <c r="E3710" s="51"/>
      <c r="F3710" s="114" t="str">
        <f>IF(INDEX(I.Facility.P1IDNumber,3698)="","",INDEX(I.Facility.P1IDNumber,3698))</f>
        <v/>
      </c>
      <c r="G3710" s="51"/>
      <c r="H3710" s="46" t="str">
        <f>IF(AND(I.Developer.P1=TRUE,I.Facility.P1FacilityCount&gt;=3698,F3710=""),"Incomplete","Complete")</f>
        <v>Complete</v>
      </c>
      <c r="I3710" s="48" t="s">
        <v>8075</v>
      </c>
    </row>
    <row r="3711" spans="2:9" ht="15" customHeight="1" x14ac:dyDescent="0.25">
      <c r="B3711" s="55" t="s">
        <v>279</v>
      </c>
      <c r="C3711" s="46">
        <v>3699</v>
      </c>
      <c r="D3711" s="69" t="s">
        <v>29416</v>
      </c>
      <c r="E3711" s="51"/>
      <c r="F3711" s="114" t="str">
        <f>IF(INDEX(I.Facility.P1IDNumber,3699)="","",INDEX(I.Facility.P1IDNumber,3699))</f>
        <v/>
      </c>
      <c r="G3711" s="51"/>
      <c r="H3711" s="46" t="str">
        <f>IF(AND(I.Developer.P1=TRUE,I.Facility.P1FacilityCount&gt;=3699,F3711=""),"Incomplete","Complete")</f>
        <v>Complete</v>
      </c>
      <c r="I3711" s="48" t="s">
        <v>8076</v>
      </c>
    </row>
    <row r="3712" spans="2:9" ht="15" customHeight="1" x14ac:dyDescent="0.25">
      <c r="B3712" s="55" t="s">
        <v>279</v>
      </c>
      <c r="C3712" s="46">
        <v>3700</v>
      </c>
      <c r="D3712" s="69" t="s">
        <v>29416</v>
      </c>
      <c r="E3712" s="51"/>
      <c r="F3712" s="114" t="str">
        <f>IF(INDEX(I.Facility.P1IDNumber,3700)="","",INDEX(I.Facility.P1IDNumber,3700))</f>
        <v/>
      </c>
      <c r="G3712" s="51"/>
      <c r="H3712" s="46" t="str">
        <f>IF(AND(I.Developer.P1=TRUE,I.Facility.P1FacilityCount&gt;=3700,F3712=""),"Incomplete","Complete")</f>
        <v>Complete</v>
      </c>
      <c r="I3712" s="48" t="s">
        <v>8077</v>
      </c>
    </row>
    <row r="3713" spans="2:9" ht="15" customHeight="1" x14ac:dyDescent="0.25">
      <c r="B3713" s="55" t="s">
        <v>279</v>
      </c>
      <c r="C3713" s="46">
        <v>3701</v>
      </c>
      <c r="D3713" s="69" t="s">
        <v>29416</v>
      </c>
      <c r="E3713" s="51"/>
      <c r="F3713" s="114" t="str">
        <f>IF(INDEX(I.Facility.P1IDNumber,3701)="","",INDEX(I.Facility.P1IDNumber,3701))</f>
        <v/>
      </c>
      <c r="G3713" s="51"/>
      <c r="H3713" s="46" t="str">
        <f>IF(AND(I.Developer.P1=TRUE,I.Facility.P1FacilityCount&gt;=3701,F3713=""),"Incomplete","Complete")</f>
        <v>Complete</v>
      </c>
      <c r="I3713" s="48" t="s">
        <v>8078</v>
      </c>
    </row>
    <row r="3714" spans="2:9" ht="15" customHeight="1" x14ac:dyDescent="0.25">
      <c r="B3714" s="55" t="s">
        <v>279</v>
      </c>
      <c r="C3714" s="46">
        <v>3702</v>
      </c>
      <c r="D3714" s="69" t="s">
        <v>29416</v>
      </c>
      <c r="E3714" s="51"/>
      <c r="F3714" s="114" t="str">
        <f>IF(INDEX(I.Facility.P1IDNumber,3702)="","",INDEX(I.Facility.P1IDNumber,3702))</f>
        <v/>
      </c>
      <c r="G3714" s="51"/>
      <c r="H3714" s="46" t="str">
        <f>IF(AND(I.Developer.P1=TRUE,I.Facility.P1FacilityCount&gt;=3702,F3714=""),"Incomplete","Complete")</f>
        <v>Complete</v>
      </c>
      <c r="I3714" s="48" t="s">
        <v>8079</v>
      </c>
    </row>
    <row r="3715" spans="2:9" ht="15" customHeight="1" x14ac:dyDescent="0.25">
      <c r="B3715" s="55" t="s">
        <v>279</v>
      </c>
      <c r="C3715" s="46">
        <v>3703</v>
      </c>
      <c r="D3715" s="69" t="s">
        <v>29416</v>
      </c>
      <c r="E3715" s="51"/>
      <c r="F3715" s="114" t="str">
        <f>IF(INDEX(I.Facility.P1IDNumber,3703)="","",INDEX(I.Facility.P1IDNumber,3703))</f>
        <v/>
      </c>
      <c r="G3715" s="51"/>
      <c r="H3715" s="46" t="str">
        <f>IF(AND(I.Developer.P1=TRUE,I.Facility.P1FacilityCount&gt;=3703,F3715=""),"Incomplete","Complete")</f>
        <v>Complete</v>
      </c>
      <c r="I3715" s="48" t="s">
        <v>8080</v>
      </c>
    </row>
    <row r="3716" spans="2:9" ht="15" customHeight="1" x14ac:dyDescent="0.25">
      <c r="B3716" s="55" t="s">
        <v>279</v>
      </c>
      <c r="C3716" s="46">
        <v>3704</v>
      </c>
      <c r="D3716" s="69" t="s">
        <v>29416</v>
      </c>
      <c r="E3716" s="51"/>
      <c r="F3716" s="114" t="str">
        <f>IF(INDEX(I.Facility.P1IDNumber,3704)="","",INDEX(I.Facility.P1IDNumber,3704))</f>
        <v/>
      </c>
      <c r="G3716" s="51"/>
      <c r="H3716" s="46" t="str">
        <f>IF(AND(I.Developer.P1=TRUE,I.Facility.P1FacilityCount&gt;=3704,F3716=""),"Incomplete","Complete")</f>
        <v>Complete</v>
      </c>
      <c r="I3716" s="48" t="s">
        <v>8081</v>
      </c>
    </row>
    <row r="3717" spans="2:9" ht="15" customHeight="1" x14ac:dyDescent="0.25">
      <c r="B3717" s="55" t="s">
        <v>279</v>
      </c>
      <c r="C3717" s="46">
        <v>3705</v>
      </c>
      <c r="D3717" s="69" t="s">
        <v>29416</v>
      </c>
      <c r="E3717" s="51"/>
      <c r="F3717" s="114" t="str">
        <f>IF(INDEX(I.Facility.P1IDNumber,3705)="","",INDEX(I.Facility.P1IDNumber,3705))</f>
        <v/>
      </c>
      <c r="G3717" s="51"/>
      <c r="H3717" s="46" t="str">
        <f>IF(AND(I.Developer.P1=TRUE,I.Facility.P1FacilityCount&gt;=3705,F3717=""),"Incomplete","Complete")</f>
        <v>Complete</v>
      </c>
      <c r="I3717" s="48" t="s">
        <v>8082</v>
      </c>
    </row>
    <row r="3718" spans="2:9" ht="15" customHeight="1" x14ac:dyDescent="0.25">
      <c r="B3718" s="55" t="s">
        <v>279</v>
      </c>
      <c r="C3718" s="46">
        <v>3706</v>
      </c>
      <c r="D3718" s="69" t="s">
        <v>29416</v>
      </c>
      <c r="E3718" s="51"/>
      <c r="F3718" s="114" t="str">
        <f>IF(INDEX(I.Facility.P1IDNumber,3706)="","",INDEX(I.Facility.P1IDNumber,3706))</f>
        <v/>
      </c>
      <c r="G3718" s="51"/>
      <c r="H3718" s="46" t="str">
        <f>IF(AND(I.Developer.P1=TRUE,I.Facility.P1FacilityCount&gt;=3706,F3718=""),"Incomplete","Complete")</f>
        <v>Complete</v>
      </c>
      <c r="I3718" s="48" t="s">
        <v>8083</v>
      </c>
    </row>
    <row r="3719" spans="2:9" ht="15" customHeight="1" x14ac:dyDescent="0.25">
      <c r="B3719" s="55" t="s">
        <v>279</v>
      </c>
      <c r="C3719" s="46">
        <v>3707</v>
      </c>
      <c r="D3719" s="69" t="s">
        <v>29416</v>
      </c>
      <c r="E3719" s="51"/>
      <c r="F3719" s="114" t="str">
        <f>IF(INDEX(I.Facility.P1IDNumber,3707)="","",INDEX(I.Facility.P1IDNumber,3707))</f>
        <v/>
      </c>
      <c r="G3719" s="51"/>
      <c r="H3719" s="46" t="str">
        <f>IF(AND(I.Developer.P1=TRUE,I.Facility.P1FacilityCount&gt;=3707,F3719=""),"Incomplete","Complete")</f>
        <v>Complete</v>
      </c>
      <c r="I3719" s="48" t="s">
        <v>8084</v>
      </c>
    </row>
    <row r="3720" spans="2:9" ht="15" customHeight="1" x14ac:dyDescent="0.25">
      <c r="B3720" s="55" t="s">
        <v>279</v>
      </c>
      <c r="C3720" s="46">
        <v>3708</v>
      </c>
      <c r="D3720" s="69" t="s">
        <v>29416</v>
      </c>
      <c r="E3720" s="51"/>
      <c r="F3720" s="114" t="str">
        <f>IF(INDEX(I.Facility.P1IDNumber,3708)="","",INDEX(I.Facility.P1IDNumber,3708))</f>
        <v/>
      </c>
      <c r="G3720" s="51"/>
      <c r="H3720" s="46" t="str">
        <f>IF(AND(I.Developer.P1=TRUE,I.Facility.P1FacilityCount&gt;=3708,F3720=""),"Incomplete","Complete")</f>
        <v>Complete</v>
      </c>
      <c r="I3720" s="48" t="s">
        <v>8085</v>
      </c>
    </row>
    <row r="3721" spans="2:9" ht="15" customHeight="1" x14ac:dyDescent="0.25">
      <c r="B3721" s="55" t="s">
        <v>279</v>
      </c>
      <c r="C3721" s="46">
        <v>3709</v>
      </c>
      <c r="D3721" s="69" t="s">
        <v>29416</v>
      </c>
      <c r="E3721" s="51"/>
      <c r="F3721" s="114" t="str">
        <f>IF(INDEX(I.Facility.P1IDNumber,3709)="","",INDEX(I.Facility.P1IDNumber,3709))</f>
        <v/>
      </c>
      <c r="G3721" s="51"/>
      <c r="H3721" s="46" t="str">
        <f>IF(AND(I.Developer.P1=TRUE,I.Facility.P1FacilityCount&gt;=3709,F3721=""),"Incomplete","Complete")</f>
        <v>Complete</v>
      </c>
      <c r="I3721" s="48" t="s">
        <v>8086</v>
      </c>
    </row>
    <row r="3722" spans="2:9" ht="15" customHeight="1" x14ac:dyDescent="0.25">
      <c r="B3722" s="55" t="s">
        <v>279</v>
      </c>
      <c r="C3722" s="46">
        <v>3710</v>
      </c>
      <c r="D3722" s="69" t="s">
        <v>29416</v>
      </c>
      <c r="E3722" s="51"/>
      <c r="F3722" s="114" t="str">
        <f>IF(INDEX(I.Facility.P1IDNumber,3710)="","",INDEX(I.Facility.P1IDNumber,3710))</f>
        <v/>
      </c>
      <c r="G3722" s="51"/>
      <c r="H3722" s="46" t="str">
        <f>IF(AND(I.Developer.P1=TRUE,I.Facility.P1FacilityCount&gt;=3710,F3722=""),"Incomplete","Complete")</f>
        <v>Complete</v>
      </c>
      <c r="I3722" s="48" t="s">
        <v>8087</v>
      </c>
    </row>
    <row r="3723" spans="2:9" ht="15" customHeight="1" x14ac:dyDescent="0.25">
      <c r="B3723" s="55" t="s">
        <v>279</v>
      </c>
      <c r="C3723" s="46">
        <v>3711</v>
      </c>
      <c r="D3723" s="69" t="s">
        <v>29416</v>
      </c>
      <c r="E3723" s="51"/>
      <c r="F3723" s="114" t="str">
        <f>IF(INDEX(I.Facility.P1IDNumber,3711)="","",INDEX(I.Facility.P1IDNumber,3711))</f>
        <v/>
      </c>
      <c r="G3723" s="51"/>
      <c r="H3723" s="46" t="str">
        <f>IF(AND(I.Developer.P1=TRUE,I.Facility.P1FacilityCount&gt;=3711,F3723=""),"Incomplete","Complete")</f>
        <v>Complete</v>
      </c>
      <c r="I3723" s="48" t="s">
        <v>8088</v>
      </c>
    </row>
    <row r="3724" spans="2:9" ht="15" customHeight="1" x14ac:dyDescent="0.25">
      <c r="B3724" s="55" t="s">
        <v>279</v>
      </c>
      <c r="C3724" s="46">
        <v>3712</v>
      </c>
      <c r="D3724" s="69" t="s">
        <v>29416</v>
      </c>
      <c r="E3724" s="51"/>
      <c r="F3724" s="114" t="str">
        <f>IF(INDEX(I.Facility.P1IDNumber,3712)="","",INDEX(I.Facility.P1IDNumber,3712))</f>
        <v/>
      </c>
      <c r="G3724" s="51"/>
      <c r="H3724" s="46" t="str">
        <f>IF(AND(I.Developer.P1=TRUE,I.Facility.P1FacilityCount&gt;=3712,F3724=""),"Incomplete","Complete")</f>
        <v>Complete</v>
      </c>
      <c r="I3724" s="48" t="s">
        <v>8089</v>
      </c>
    </row>
    <row r="3725" spans="2:9" ht="15" customHeight="1" x14ac:dyDescent="0.25">
      <c r="B3725" s="55" t="s">
        <v>279</v>
      </c>
      <c r="C3725" s="46">
        <v>3713</v>
      </c>
      <c r="D3725" s="69" t="s">
        <v>29416</v>
      </c>
      <c r="E3725" s="51"/>
      <c r="F3725" s="114" t="str">
        <f>IF(INDEX(I.Facility.P1IDNumber,3713)="","",INDEX(I.Facility.P1IDNumber,3713))</f>
        <v/>
      </c>
      <c r="G3725" s="51"/>
      <c r="H3725" s="46" t="str">
        <f>IF(AND(I.Developer.P1=TRUE,I.Facility.P1FacilityCount&gt;=3713,F3725=""),"Incomplete","Complete")</f>
        <v>Complete</v>
      </c>
      <c r="I3725" s="48" t="s">
        <v>8090</v>
      </c>
    </row>
    <row r="3726" spans="2:9" ht="15" customHeight="1" x14ac:dyDescent="0.25">
      <c r="B3726" s="55" t="s">
        <v>279</v>
      </c>
      <c r="C3726" s="46">
        <v>3714</v>
      </c>
      <c r="D3726" s="69" t="s">
        <v>29416</v>
      </c>
      <c r="E3726" s="51"/>
      <c r="F3726" s="114" t="str">
        <f>IF(INDEX(I.Facility.P1IDNumber,3714)="","",INDEX(I.Facility.P1IDNumber,3714))</f>
        <v/>
      </c>
      <c r="G3726" s="51"/>
      <c r="H3726" s="46" t="str">
        <f>IF(AND(I.Developer.P1=TRUE,I.Facility.P1FacilityCount&gt;=3714,F3726=""),"Incomplete","Complete")</f>
        <v>Complete</v>
      </c>
      <c r="I3726" s="48" t="s">
        <v>8091</v>
      </c>
    </row>
    <row r="3727" spans="2:9" ht="15" customHeight="1" x14ac:dyDescent="0.25">
      <c r="B3727" s="55" t="s">
        <v>279</v>
      </c>
      <c r="C3727" s="46">
        <v>3715</v>
      </c>
      <c r="D3727" s="69" t="s">
        <v>29416</v>
      </c>
      <c r="E3727" s="51"/>
      <c r="F3727" s="114" t="str">
        <f>IF(INDEX(I.Facility.P1IDNumber,3715)="","",INDEX(I.Facility.P1IDNumber,3715))</f>
        <v/>
      </c>
      <c r="G3727" s="51"/>
      <c r="H3727" s="46" t="str">
        <f>IF(AND(I.Developer.P1=TRUE,I.Facility.P1FacilityCount&gt;=3715,F3727=""),"Incomplete","Complete")</f>
        <v>Complete</v>
      </c>
      <c r="I3727" s="48" t="s">
        <v>8092</v>
      </c>
    </row>
    <row r="3728" spans="2:9" ht="15" customHeight="1" x14ac:dyDescent="0.25">
      <c r="B3728" s="55" t="s">
        <v>279</v>
      </c>
      <c r="C3728" s="46">
        <v>3716</v>
      </c>
      <c r="D3728" s="69" t="s">
        <v>29416</v>
      </c>
      <c r="E3728" s="51"/>
      <c r="F3728" s="114" t="str">
        <f>IF(INDEX(I.Facility.P1IDNumber,3716)="","",INDEX(I.Facility.P1IDNumber,3716))</f>
        <v/>
      </c>
      <c r="G3728" s="51"/>
      <c r="H3728" s="46" t="str">
        <f>IF(AND(I.Developer.P1=TRUE,I.Facility.P1FacilityCount&gt;=3716,F3728=""),"Incomplete","Complete")</f>
        <v>Complete</v>
      </c>
      <c r="I3728" s="48" t="s">
        <v>8093</v>
      </c>
    </row>
    <row r="3729" spans="2:9" ht="15" customHeight="1" x14ac:dyDescent="0.25">
      <c r="B3729" s="55" t="s">
        <v>279</v>
      </c>
      <c r="C3729" s="46">
        <v>3717</v>
      </c>
      <c r="D3729" s="69" t="s">
        <v>29416</v>
      </c>
      <c r="E3729" s="51"/>
      <c r="F3729" s="114" t="str">
        <f>IF(INDEX(I.Facility.P1IDNumber,3717)="","",INDEX(I.Facility.P1IDNumber,3717))</f>
        <v/>
      </c>
      <c r="G3729" s="51"/>
      <c r="H3729" s="46" t="str">
        <f>IF(AND(I.Developer.P1=TRUE,I.Facility.P1FacilityCount&gt;=3717,F3729=""),"Incomplete","Complete")</f>
        <v>Complete</v>
      </c>
      <c r="I3729" s="48" t="s">
        <v>8094</v>
      </c>
    </row>
    <row r="3730" spans="2:9" ht="15" customHeight="1" x14ac:dyDescent="0.25">
      <c r="B3730" s="55" t="s">
        <v>279</v>
      </c>
      <c r="C3730" s="46">
        <v>3718</v>
      </c>
      <c r="D3730" s="69" t="s">
        <v>29416</v>
      </c>
      <c r="E3730" s="51"/>
      <c r="F3730" s="114" t="str">
        <f>IF(INDEX(I.Facility.P1IDNumber,3718)="","",INDEX(I.Facility.P1IDNumber,3718))</f>
        <v/>
      </c>
      <c r="G3730" s="51"/>
      <c r="H3730" s="46" t="str">
        <f>IF(AND(I.Developer.P1=TRUE,I.Facility.P1FacilityCount&gt;=3718,F3730=""),"Incomplete","Complete")</f>
        <v>Complete</v>
      </c>
      <c r="I3730" s="48" t="s">
        <v>8095</v>
      </c>
    </row>
    <row r="3731" spans="2:9" ht="15" customHeight="1" x14ac:dyDescent="0.25">
      <c r="B3731" s="55" t="s">
        <v>279</v>
      </c>
      <c r="C3731" s="46">
        <v>3719</v>
      </c>
      <c r="D3731" s="69" t="s">
        <v>29416</v>
      </c>
      <c r="E3731" s="51"/>
      <c r="F3731" s="114" t="str">
        <f>IF(INDEX(I.Facility.P1IDNumber,3719)="","",INDEX(I.Facility.P1IDNumber,3719))</f>
        <v/>
      </c>
      <c r="G3731" s="51"/>
      <c r="H3731" s="46" t="str">
        <f>IF(AND(I.Developer.P1=TRUE,I.Facility.P1FacilityCount&gt;=3719,F3731=""),"Incomplete","Complete")</f>
        <v>Complete</v>
      </c>
      <c r="I3731" s="48" t="s">
        <v>8096</v>
      </c>
    </row>
    <row r="3732" spans="2:9" ht="15" customHeight="1" x14ac:dyDescent="0.25">
      <c r="B3732" s="55" t="s">
        <v>279</v>
      </c>
      <c r="C3732" s="46">
        <v>3720</v>
      </c>
      <c r="D3732" s="69" t="s">
        <v>29416</v>
      </c>
      <c r="E3732" s="51"/>
      <c r="F3732" s="114" t="str">
        <f>IF(INDEX(I.Facility.P1IDNumber,3720)="","",INDEX(I.Facility.P1IDNumber,3720))</f>
        <v/>
      </c>
      <c r="G3732" s="51"/>
      <c r="H3732" s="46" t="str">
        <f>IF(AND(I.Developer.P1=TRUE,I.Facility.P1FacilityCount&gt;=3720,F3732=""),"Incomplete","Complete")</f>
        <v>Complete</v>
      </c>
      <c r="I3732" s="48" t="s">
        <v>8097</v>
      </c>
    </row>
    <row r="3733" spans="2:9" ht="15" customHeight="1" x14ac:dyDescent="0.25">
      <c r="B3733" s="55" t="s">
        <v>279</v>
      </c>
      <c r="C3733" s="46">
        <v>3721</v>
      </c>
      <c r="D3733" s="69" t="s">
        <v>29416</v>
      </c>
      <c r="E3733" s="51"/>
      <c r="F3733" s="114" t="str">
        <f>IF(INDEX(I.Facility.P1IDNumber,3721)="","",INDEX(I.Facility.P1IDNumber,3721))</f>
        <v/>
      </c>
      <c r="G3733" s="51"/>
      <c r="H3733" s="46" t="str">
        <f>IF(AND(I.Developer.P1=TRUE,I.Facility.P1FacilityCount&gt;=3721,F3733=""),"Incomplete","Complete")</f>
        <v>Complete</v>
      </c>
      <c r="I3733" s="48" t="s">
        <v>8098</v>
      </c>
    </row>
    <row r="3734" spans="2:9" ht="15" customHeight="1" x14ac:dyDescent="0.25">
      <c r="B3734" s="55" t="s">
        <v>279</v>
      </c>
      <c r="C3734" s="46">
        <v>3722</v>
      </c>
      <c r="D3734" s="69" t="s">
        <v>29416</v>
      </c>
      <c r="E3734" s="51"/>
      <c r="F3734" s="114" t="str">
        <f>IF(INDEX(I.Facility.P1IDNumber,3722)="","",INDEX(I.Facility.P1IDNumber,3722))</f>
        <v/>
      </c>
      <c r="G3734" s="51"/>
      <c r="H3734" s="46" t="str">
        <f>IF(AND(I.Developer.P1=TRUE,I.Facility.P1FacilityCount&gt;=3722,F3734=""),"Incomplete","Complete")</f>
        <v>Complete</v>
      </c>
      <c r="I3734" s="48" t="s">
        <v>8099</v>
      </c>
    </row>
    <row r="3735" spans="2:9" ht="15" customHeight="1" x14ac:dyDescent="0.25">
      <c r="B3735" s="55" t="s">
        <v>279</v>
      </c>
      <c r="C3735" s="46">
        <v>3723</v>
      </c>
      <c r="D3735" s="69" t="s">
        <v>29416</v>
      </c>
      <c r="E3735" s="51"/>
      <c r="F3735" s="114" t="str">
        <f>IF(INDEX(I.Facility.P1IDNumber,3723)="","",INDEX(I.Facility.P1IDNumber,3723))</f>
        <v/>
      </c>
      <c r="G3735" s="51"/>
      <c r="H3735" s="46" t="str">
        <f>IF(AND(I.Developer.P1=TRUE,I.Facility.P1FacilityCount&gt;=3723,F3735=""),"Incomplete","Complete")</f>
        <v>Complete</v>
      </c>
      <c r="I3735" s="48" t="s">
        <v>8100</v>
      </c>
    </row>
    <row r="3736" spans="2:9" ht="15" customHeight="1" x14ac:dyDescent="0.25">
      <c r="B3736" s="55" t="s">
        <v>279</v>
      </c>
      <c r="C3736" s="46">
        <v>3724</v>
      </c>
      <c r="D3736" s="69" t="s">
        <v>29416</v>
      </c>
      <c r="E3736" s="51"/>
      <c r="F3736" s="114" t="str">
        <f>IF(INDEX(I.Facility.P1IDNumber,3724)="","",INDEX(I.Facility.P1IDNumber,3724))</f>
        <v/>
      </c>
      <c r="G3736" s="51"/>
      <c r="H3736" s="46" t="str">
        <f>IF(AND(I.Developer.P1=TRUE,I.Facility.P1FacilityCount&gt;=3724,F3736=""),"Incomplete","Complete")</f>
        <v>Complete</v>
      </c>
      <c r="I3736" s="48" t="s">
        <v>8101</v>
      </c>
    </row>
    <row r="3737" spans="2:9" ht="15" customHeight="1" x14ac:dyDescent="0.25">
      <c r="B3737" s="55" t="s">
        <v>279</v>
      </c>
      <c r="C3737" s="46">
        <v>3725</v>
      </c>
      <c r="D3737" s="69" t="s">
        <v>29416</v>
      </c>
      <c r="E3737" s="51"/>
      <c r="F3737" s="114" t="str">
        <f>IF(INDEX(I.Facility.P1IDNumber,3725)="","",INDEX(I.Facility.P1IDNumber,3725))</f>
        <v/>
      </c>
      <c r="G3737" s="51"/>
      <c r="H3737" s="46" t="str">
        <f>IF(AND(I.Developer.P1=TRUE,I.Facility.P1FacilityCount&gt;=3725,F3737=""),"Incomplete","Complete")</f>
        <v>Complete</v>
      </c>
      <c r="I3737" s="48" t="s">
        <v>8102</v>
      </c>
    </row>
    <row r="3738" spans="2:9" ht="15" customHeight="1" x14ac:dyDescent="0.25">
      <c r="B3738" s="55" t="s">
        <v>279</v>
      </c>
      <c r="C3738" s="46">
        <v>3726</v>
      </c>
      <c r="D3738" s="69" t="s">
        <v>29416</v>
      </c>
      <c r="E3738" s="51"/>
      <c r="F3738" s="114" t="str">
        <f>IF(INDEX(I.Facility.P1IDNumber,3726)="","",INDEX(I.Facility.P1IDNumber,3726))</f>
        <v/>
      </c>
      <c r="G3738" s="51"/>
      <c r="H3738" s="46" t="str">
        <f>IF(AND(I.Developer.P1=TRUE,I.Facility.P1FacilityCount&gt;=3726,F3738=""),"Incomplete","Complete")</f>
        <v>Complete</v>
      </c>
      <c r="I3738" s="48" t="s">
        <v>8103</v>
      </c>
    </row>
    <row r="3739" spans="2:9" ht="15" customHeight="1" x14ac:dyDescent="0.25">
      <c r="B3739" s="55" t="s">
        <v>279</v>
      </c>
      <c r="C3739" s="46">
        <v>3727</v>
      </c>
      <c r="D3739" s="69" t="s">
        <v>29416</v>
      </c>
      <c r="E3739" s="51"/>
      <c r="F3739" s="114" t="str">
        <f>IF(INDEX(I.Facility.P1IDNumber,3727)="","",INDEX(I.Facility.P1IDNumber,3727))</f>
        <v/>
      </c>
      <c r="G3739" s="51"/>
      <c r="H3739" s="46" t="str">
        <f>IF(AND(I.Developer.P1=TRUE,I.Facility.P1FacilityCount&gt;=3727,F3739=""),"Incomplete","Complete")</f>
        <v>Complete</v>
      </c>
      <c r="I3739" s="48" t="s">
        <v>8104</v>
      </c>
    </row>
    <row r="3740" spans="2:9" ht="15" customHeight="1" x14ac:dyDescent="0.25">
      <c r="B3740" s="55" t="s">
        <v>279</v>
      </c>
      <c r="C3740" s="46">
        <v>3728</v>
      </c>
      <c r="D3740" s="69" t="s">
        <v>29416</v>
      </c>
      <c r="E3740" s="51"/>
      <c r="F3740" s="114" t="str">
        <f>IF(INDEX(I.Facility.P1IDNumber,3728)="","",INDEX(I.Facility.P1IDNumber,3728))</f>
        <v/>
      </c>
      <c r="G3740" s="51"/>
      <c r="H3740" s="46" t="str">
        <f>IF(AND(I.Developer.P1=TRUE,I.Facility.P1FacilityCount&gt;=3728,F3740=""),"Incomplete","Complete")</f>
        <v>Complete</v>
      </c>
      <c r="I3740" s="48" t="s">
        <v>8105</v>
      </c>
    </row>
    <row r="3741" spans="2:9" ht="15" customHeight="1" x14ac:dyDescent="0.25">
      <c r="B3741" s="55" t="s">
        <v>279</v>
      </c>
      <c r="C3741" s="46">
        <v>3729</v>
      </c>
      <c r="D3741" s="69" t="s">
        <v>29416</v>
      </c>
      <c r="E3741" s="51"/>
      <c r="F3741" s="114" t="str">
        <f>IF(INDEX(I.Facility.P1IDNumber,3729)="","",INDEX(I.Facility.P1IDNumber,3729))</f>
        <v/>
      </c>
      <c r="G3741" s="51"/>
      <c r="H3741" s="46" t="str">
        <f>IF(AND(I.Developer.P1=TRUE,I.Facility.P1FacilityCount&gt;=3729,F3741=""),"Incomplete","Complete")</f>
        <v>Complete</v>
      </c>
      <c r="I3741" s="48" t="s">
        <v>8106</v>
      </c>
    </row>
    <row r="3742" spans="2:9" ht="15" customHeight="1" x14ac:dyDescent="0.25">
      <c r="B3742" s="55" t="s">
        <v>279</v>
      </c>
      <c r="C3742" s="46">
        <v>3730</v>
      </c>
      <c r="D3742" s="69" t="s">
        <v>29416</v>
      </c>
      <c r="E3742" s="51"/>
      <c r="F3742" s="114" t="str">
        <f>IF(INDEX(I.Facility.P1IDNumber,3730)="","",INDEX(I.Facility.P1IDNumber,3730))</f>
        <v/>
      </c>
      <c r="G3742" s="51"/>
      <c r="H3742" s="46" t="str">
        <f>IF(AND(I.Developer.P1=TRUE,I.Facility.P1FacilityCount&gt;=3730,F3742=""),"Incomplete","Complete")</f>
        <v>Complete</v>
      </c>
      <c r="I3742" s="48" t="s">
        <v>8107</v>
      </c>
    </row>
    <row r="3743" spans="2:9" ht="15" customHeight="1" x14ac:dyDescent="0.25">
      <c r="B3743" s="55" t="s">
        <v>279</v>
      </c>
      <c r="C3743" s="46">
        <v>3731</v>
      </c>
      <c r="D3743" s="69" t="s">
        <v>29416</v>
      </c>
      <c r="E3743" s="51"/>
      <c r="F3743" s="114" t="str">
        <f>IF(INDEX(I.Facility.P1IDNumber,3731)="","",INDEX(I.Facility.P1IDNumber,3731))</f>
        <v/>
      </c>
      <c r="G3743" s="51"/>
      <c r="H3743" s="46" t="str">
        <f>IF(AND(I.Developer.P1=TRUE,I.Facility.P1FacilityCount&gt;=3731,F3743=""),"Incomplete","Complete")</f>
        <v>Complete</v>
      </c>
      <c r="I3743" s="48" t="s">
        <v>8108</v>
      </c>
    </row>
    <row r="3744" spans="2:9" ht="15" customHeight="1" x14ac:dyDescent="0.25">
      <c r="B3744" s="55" t="s">
        <v>279</v>
      </c>
      <c r="C3744" s="46">
        <v>3732</v>
      </c>
      <c r="D3744" s="69" t="s">
        <v>29416</v>
      </c>
      <c r="E3744" s="51"/>
      <c r="F3744" s="114" t="str">
        <f>IF(INDEX(I.Facility.P1IDNumber,3732)="","",INDEX(I.Facility.P1IDNumber,3732))</f>
        <v/>
      </c>
      <c r="G3744" s="51"/>
      <c r="H3744" s="46" t="str">
        <f>IF(AND(I.Developer.P1=TRUE,I.Facility.P1FacilityCount&gt;=3732,F3744=""),"Incomplete","Complete")</f>
        <v>Complete</v>
      </c>
      <c r="I3744" s="48" t="s">
        <v>8109</v>
      </c>
    </row>
    <row r="3745" spans="2:9" ht="15" customHeight="1" x14ac:dyDescent="0.25">
      <c r="B3745" s="55" t="s">
        <v>279</v>
      </c>
      <c r="C3745" s="46">
        <v>3733</v>
      </c>
      <c r="D3745" s="69" t="s">
        <v>29416</v>
      </c>
      <c r="E3745" s="51"/>
      <c r="F3745" s="114" t="str">
        <f>IF(INDEX(I.Facility.P1IDNumber,3733)="","",INDEX(I.Facility.P1IDNumber,3733))</f>
        <v/>
      </c>
      <c r="G3745" s="51"/>
      <c r="H3745" s="46" t="str">
        <f>IF(AND(I.Developer.P1=TRUE,I.Facility.P1FacilityCount&gt;=3733,F3745=""),"Incomplete","Complete")</f>
        <v>Complete</v>
      </c>
      <c r="I3745" s="48" t="s">
        <v>8110</v>
      </c>
    </row>
    <row r="3746" spans="2:9" ht="15" customHeight="1" x14ac:dyDescent="0.25">
      <c r="B3746" s="55" t="s">
        <v>279</v>
      </c>
      <c r="C3746" s="46">
        <v>3734</v>
      </c>
      <c r="D3746" s="69" t="s">
        <v>29416</v>
      </c>
      <c r="E3746" s="51"/>
      <c r="F3746" s="114" t="str">
        <f>IF(INDEX(I.Facility.P1IDNumber,3734)="","",INDEX(I.Facility.P1IDNumber,3734))</f>
        <v/>
      </c>
      <c r="G3746" s="51"/>
      <c r="H3746" s="46" t="str">
        <f>IF(AND(I.Developer.P1=TRUE,I.Facility.P1FacilityCount&gt;=3734,F3746=""),"Incomplete","Complete")</f>
        <v>Complete</v>
      </c>
      <c r="I3746" s="48" t="s">
        <v>8111</v>
      </c>
    </row>
    <row r="3747" spans="2:9" ht="15" customHeight="1" x14ac:dyDescent="0.25">
      <c r="B3747" s="55" t="s">
        <v>279</v>
      </c>
      <c r="C3747" s="46">
        <v>3735</v>
      </c>
      <c r="D3747" s="69" t="s">
        <v>29416</v>
      </c>
      <c r="E3747" s="51"/>
      <c r="F3747" s="114" t="str">
        <f>IF(INDEX(I.Facility.P1IDNumber,3735)="","",INDEX(I.Facility.P1IDNumber,3735))</f>
        <v/>
      </c>
      <c r="G3747" s="51"/>
      <c r="H3747" s="46" t="str">
        <f>IF(AND(I.Developer.P1=TRUE,I.Facility.P1FacilityCount&gt;=3735,F3747=""),"Incomplete","Complete")</f>
        <v>Complete</v>
      </c>
      <c r="I3747" s="48" t="s">
        <v>8112</v>
      </c>
    </row>
    <row r="3748" spans="2:9" ht="15" customHeight="1" x14ac:dyDescent="0.25">
      <c r="B3748" s="55" t="s">
        <v>279</v>
      </c>
      <c r="C3748" s="46">
        <v>3736</v>
      </c>
      <c r="D3748" s="69" t="s">
        <v>29416</v>
      </c>
      <c r="E3748" s="51"/>
      <c r="F3748" s="114" t="str">
        <f>IF(INDEX(I.Facility.P1IDNumber,3736)="","",INDEX(I.Facility.P1IDNumber,3736))</f>
        <v/>
      </c>
      <c r="G3748" s="51"/>
      <c r="H3748" s="46" t="str">
        <f>IF(AND(I.Developer.P1=TRUE,I.Facility.P1FacilityCount&gt;=3736,F3748=""),"Incomplete","Complete")</f>
        <v>Complete</v>
      </c>
      <c r="I3748" s="48" t="s">
        <v>8113</v>
      </c>
    </row>
    <row r="3749" spans="2:9" ht="15" customHeight="1" x14ac:dyDescent="0.25">
      <c r="B3749" s="55" t="s">
        <v>279</v>
      </c>
      <c r="C3749" s="46">
        <v>3737</v>
      </c>
      <c r="D3749" s="69" t="s">
        <v>29416</v>
      </c>
      <c r="E3749" s="51"/>
      <c r="F3749" s="114" t="str">
        <f>IF(INDEX(I.Facility.P1IDNumber,3737)="","",INDEX(I.Facility.P1IDNumber,3737))</f>
        <v/>
      </c>
      <c r="G3749" s="51"/>
      <c r="H3749" s="46" t="str">
        <f>IF(AND(I.Developer.P1=TRUE,I.Facility.P1FacilityCount&gt;=3737,F3749=""),"Incomplete","Complete")</f>
        <v>Complete</v>
      </c>
      <c r="I3749" s="48" t="s">
        <v>8114</v>
      </c>
    </row>
    <row r="3750" spans="2:9" ht="15" customHeight="1" x14ac:dyDescent="0.25">
      <c r="B3750" s="55" t="s">
        <v>279</v>
      </c>
      <c r="C3750" s="46">
        <v>3738</v>
      </c>
      <c r="D3750" s="69" t="s">
        <v>29416</v>
      </c>
      <c r="E3750" s="51"/>
      <c r="F3750" s="114" t="str">
        <f>IF(INDEX(I.Facility.P1IDNumber,3738)="","",INDEX(I.Facility.P1IDNumber,3738))</f>
        <v/>
      </c>
      <c r="G3750" s="51"/>
      <c r="H3750" s="46" t="str">
        <f>IF(AND(I.Developer.P1=TRUE,I.Facility.P1FacilityCount&gt;=3738,F3750=""),"Incomplete","Complete")</f>
        <v>Complete</v>
      </c>
      <c r="I3750" s="48" t="s">
        <v>8115</v>
      </c>
    </row>
    <row r="3751" spans="2:9" ht="15" customHeight="1" x14ac:dyDescent="0.25">
      <c r="B3751" s="55" t="s">
        <v>279</v>
      </c>
      <c r="C3751" s="46">
        <v>3739</v>
      </c>
      <c r="D3751" s="69" t="s">
        <v>29416</v>
      </c>
      <c r="E3751" s="51"/>
      <c r="F3751" s="114" t="str">
        <f>IF(INDEX(I.Facility.P1IDNumber,3739)="","",INDEX(I.Facility.P1IDNumber,3739))</f>
        <v/>
      </c>
      <c r="G3751" s="51"/>
      <c r="H3751" s="46" t="str">
        <f>IF(AND(I.Developer.P1=TRUE,I.Facility.P1FacilityCount&gt;=3739,F3751=""),"Incomplete","Complete")</f>
        <v>Complete</v>
      </c>
      <c r="I3751" s="48" t="s">
        <v>8116</v>
      </c>
    </row>
    <row r="3752" spans="2:9" ht="15" customHeight="1" x14ac:dyDescent="0.25">
      <c r="B3752" s="55" t="s">
        <v>279</v>
      </c>
      <c r="C3752" s="46">
        <v>3740</v>
      </c>
      <c r="D3752" s="69" t="s">
        <v>29416</v>
      </c>
      <c r="E3752" s="51"/>
      <c r="F3752" s="114" t="str">
        <f>IF(INDEX(I.Facility.P1IDNumber,3740)="","",INDEX(I.Facility.P1IDNumber,3740))</f>
        <v/>
      </c>
      <c r="G3752" s="51"/>
      <c r="H3752" s="46" t="str">
        <f>IF(AND(I.Developer.P1=TRUE,I.Facility.P1FacilityCount&gt;=3740,F3752=""),"Incomplete","Complete")</f>
        <v>Complete</v>
      </c>
      <c r="I3752" s="48" t="s">
        <v>8117</v>
      </c>
    </row>
    <row r="3753" spans="2:9" ht="15" customHeight="1" x14ac:dyDescent="0.25">
      <c r="B3753" s="55" t="s">
        <v>279</v>
      </c>
      <c r="C3753" s="46">
        <v>3741</v>
      </c>
      <c r="D3753" s="69" t="s">
        <v>29416</v>
      </c>
      <c r="E3753" s="51"/>
      <c r="F3753" s="114" t="str">
        <f>IF(INDEX(I.Facility.P1IDNumber,3741)="","",INDEX(I.Facility.P1IDNumber,3741))</f>
        <v/>
      </c>
      <c r="G3753" s="51"/>
      <c r="H3753" s="46" t="str">
        <f>IF(AND(I.Developer.P1=TRUE,I.Facility.P1FacilityCount&gt;=3741,F3753=""),"Incomplete","Complete")</f>
        <v>Complete</v>
      </c>
      <c r="I3753" s="48" t="s">
        <v>8118</v>
      </c>
    </row>
    <row r="3754" spans="2:9" ht="15" customHeight="1" x14ac:dyDescent="0.25">
      <c r="B3754" s="55" t="s">
        <v>279</v>
      </c>
      <c r="C3754" s="46">
        <v>3742</v>
      </c>
      <c r="D3754" s="69" t="s">
        <v>29416</v>
      </c>
      <c r="E3754" s="51"/>
      <c r="F3754" s="114" t="str">
        <f>IF(INDEX(I.Facility.P1IDNumber,3742)="","",INDEX(I.Facility.P1IDNumber,3742))</f>
        <v/>
      </c>
      <c r="G3754" s="51"/>
      <c r="H3754" s="46" t="str">
        <f>IF(AND(I.Developer.P1=TRUE,I.Facility.P1FacilityCount&gt;=3742,F3754=""),"Incomplete","Complete")</f>
        <v>Complete</v>
      </c>
      <c r="I3754" s="48" t="s">
        <v>8119</v>
      </c>
    </row>
    <row r="3755" spans="2:9" ht="15" customHeight="1" x14ac:dyDescent="0.25">
      <c r="B3755" s="55" t="s">
        <v>279</v>
      </c>
      <c r="C3755" s="46">
        <v>3743</v>
      </c>
      <c r="D3755" s="69" t="s">
        <v>29416</v>
      </c>
      <c r="E3755" s="51"/>
      <c r="F3755" s="114" t="str">
        <f>IF(INDEX(I.Facility.P1IDNumber,3743)="","",INDEX(I.Facility.P1IDNumber,3743))</f>
        <v/>
      </c>
      <c r="G3755" s="51"/>
      <c r="H3755" s="46" t="str">
        <f>IF(AND(I.Developer.P1=TRUE,I.Facility.P1FacilityCount&gt;=3743,F3755=""),"Incomplete","Complete")</f>
        <v>Complete</v>
      </c>
      <c r="I3755" s="48" t="s">
        <v>8120</v>
      </c>
    </row>
    <row r="3756" spans="2:9" ht="15" customHeight="1" x14ac:dyDescent="0.25">
      <c r="B3756" s="55" t="s">
        <v>279</v>
      </c>
      <c r="C3756" s="46">
        <v>3744</v>
      </c>
      <c r="D3756" s="69" t="s">
        <v>29416</v>
      </c>
      <c r="E3756" s="51"/>
      <c r="F3756" s="114" t="str">
        <f>IF(INDEX(I.Facility.P1IDNumber,3744)="","",INDEX(I.Facility.P1IDNumber,3744))</f>
        <v/>
      </c>
      <c r="G3756" s="51"/>
      <c r="H3756" s="46" t="str">
        <f>IF(AND(I.Developer.P1=TRUE,I.Facility.P1FacilityCount&gt;=3744,F3756=""),"Incomplete","Complete")</f>
        <v>Complete</v>
      </c>
      <c r="I3756" s="48" t="s">
        <v>8121</v>
      </c>
    </row>
    <row r="3757" spans="2:9" ht="15" customHeight="1" x14ac:dyDescent="0.25">
      <c r="B3757" s="55" t="s">
        <v>279</v>
      </c>
      <c r="C3757" s="46">
        <v>3745</v>
      </c>
      <c r="D3757" s="69" t="s">
        <v>29416</v>
      </c>
      <c r="E3757" s="51"/>
      <c r="F3757" s="114" t="str">
        <f>IF(INDEX(I.Facility.P1IDNumber,3745)="","",INDEX(I.Facility.P1IDNumber,3745))</f>
        <v/>
      </c>
      <c r="G3757" s="51"/>
      <c r="H3757" s="46" t="str">
        <f>IF(AND(I.Developer.P1=TRUE,I.Facility.P1FacilityCount&gt;=3745,F3757=""),"Incomplete","Complete")</f>
        <v>Complete</v>
      </c>
      <c r="I3757" s="48" t="s">
        <v>8122</v>
      </c>
    </row>
    <row r="3758" spans="2:9" ht="15" customHeight="1" x14ac:dyDescent="0.25">
      <c r="B3758" s="55" t="s">
        <v>279</v>
      </c>
      <c r="C3758" s="46">
        <v>3746</v>
      </c>
      <c r="D3758" s="69" t="s">
        <v>29416</v>
      </c>
      <c r="E3758" s="51"/>
      <c r="F3758" s="114" t="str">
        <f>IF(INDEX(I.Facility.P1IDNumber,3746)="","",INDEX(I.Facility.P1IDNumber,3746))</f>
        <v/>
      </c>
      <c r="G3758" s="51"/>
      <c r="H3758" s="46" t="str">
        <f>IF(AND(I.Developer.P1=TRUE,I.Facility.P1FacilityCount&gt;=3746,F3758=""),"Incomplete","Complete")</f>
        <v>Complete</v>
      </c>
      <c r="I3758" s="48" t="s">
        <v>8123</v>
      </c>
    </row>
    <row r="3759" spans="2:9" ht="15" customHeight="1" x14ac:dyDescent="0.25">
      <c r="B3759" s="55" t="s">
        <v>279</v>
      </c>
      <c r="C3759" s="46">
        <v>3747</v>
      </c>
      <c r="D3759" s="69" t="s">
        <v>29416</v>
      </c>
      <c r="E3759" s="51"/>
      <c r="F3759" s="114" t="str">
        <f>IF(INDEX(I.Facility.P1IDNumber,3747)="","",INDEX(I.Facility.P1IDNumber,3747))</f>
        <v/>
      </c>
      <c r="G3759" s="51"/>
      <c r="H3759" s="46" t="str">
        <f>IF(AND(I.Developer.P1=TRUE,I.Facility.P1FacilityCount&gt;=3747,F3759=""),"Incomplete","Complete")</f>
        <v>Complete</v>
      </c>
      <c r="I3759" s="48" t="s">
        <v>8124</v>
      </c>
    </row>
    <row r="3760" spans="2:9" ht="15" customHeight="1" x14ac:dyDescent="0.25">
      <c r="B3760" s="55" t="s">
        <v>279</v>
      </c>
      <c r="C3760" s="46">
        <v>3748</v>
      </c>
      <c r="D3760" s="69" t="s">
        <v>29416</v>
      </c>
      <c r="E3760" s="51"/>
      <c r="F3760" s="114" t="str">
        <f>IF(INDEX(I.Facility.P1IDNumber,3748)="","",INDEX(I.Facility.P1IDNumber,3748))</f>
        <v/>
      </c>
      <c r="G3760" s="51"/>
      <c r="H3760" s="46" t="str">
        <f>IF(AND(I.Developer.P1=TRUE,I.Facility.P1FacilityCount&gt;=3748,F3760=""),"Incomplete","Complete")</f>
        <v>Complete</v>
      </c>
      <c r="I3760" s="48" t="s">
        <v>8125</v>
      </c>
    </row>
    <row r="3761" spans="2:9" ht="15" customHeight="1" x14ac:dyDescent="0.25">
      <c r="B3761" s="55" t="s">
        <v>279</v>
      </c>
      <c r="C3761" s="46">
        <v>3749</v>
      </c>
      <c r="D3761" s="69" t="s">
        <v>29416</v>
      </c>
      <c r="E3761" s="51"/>
      <c r="F3761" s="114" t="str">
        <f>IF(INDEX(I.Facility.P1IDNumber,3749)="","",INDEX(I.Facility.P1IDNumber,3749))</f>
        <v/>
      </c>
      <c r="G3761" s="51"/>
      <c r="H3761" s="46" t="str">
        <f>IF(AND(I.Developer.P1=TRUE,I.Facility.P1FacilityCount&gt;=3749,F3761=""),"Incomplete","Complete")</f>
        <v>Complete</v>
      </c>
      <c r="I3761" s="48" t="s">
        <v>8126</v>
      </c>
    </row>
    <row r="3762" spans="2:9" ht="15" customHeight="1" x14ac:dyDescent="0.25">
      <c r="B3762" s="55" t="s">
        <v>279</v>
      </c>
      <c r="C3762" s="46">
        <v>3750</v>
      </c>
      <c r="D3762" s="69" t="s">
        <v>29416</v>
      </c>
      <c r="E3762" s="51"/>
      <c r="F3762" s="114" t="str">
        <f>IF(INDEX(I.Facility.P1IDNumber,3750)="","",INDEX(I.Facility.P1IDNumber,3750))</f>
        <v/>
      </c>
      <c r="G3762" s="51"/>
      <c r="H3762" s="46" t="str">
        <f>IF(AND(I.Developer.P1=TRUE,I.Facility.P1FacilityCount&gt;=3750,F3762=""),"Incomplete","Complete")</f>
        <v>Complete</v>
      </c>
      <c r="I3762" s="48" t="s">
        <v>8127</v>
      </c>
    </row>
    <row r="3763" spans="2:9" ht="15" customHeight="1" x14ac:dyDescent="0.25">
      <c r="B3763" s="55" t="s">
        <v>279</v>
      </c>
      <c r="C3763" s="46">
        <v>3751</v>
      </c>
      <c r="D3763" s="69" t="s">
        <v>29416</v>
      </c>
      <c r="E3763" s="51"/>
      <c r="F3763" s="114" t="str">
        <f>IF(INDEX(I.Facility.P1IDNumber,3751)="","",INDEX(I.Facility.P1IDNumber,3751))</f>
        <v/>
      </c>
      <c r="G3763" s="51"/>
      <c r="H3763" s="46" t="str">
        <f>IF(AND(I.Developer.P1=TRUE,I.Facility.P1FacilityCount&gt;=3751,F3763=""),"Incomplete","Complete")</f>
        <v>Complete</v>
      </c>
      <c r="I3763" s="48" t="s">
        <v>8128</v>
      </c>
    </row>
    <row r="3764" spans="2:9" ht="15" customHeight="1" x14ac:dyDescent="0.25">
      <c r="B3764" s="55" t="s">
        <v>279</v>
      </c>
      <c r="C3764" s="46">
        <v>3752</v>
      </c>
      <c r="D3764" s="69" t="s">
        <v>29416</v>
      </c>
      <c r="E3764" s="51"/>
      <c r="F3764" s="114" t="str">
        <f>IF(INDEX(I.Facility.P1IDNumber,3752)="","",INDEX(I.Facility.P1IDNumber,3752))</f>
        <v/>
      </c>
      <c r="G3764" s="51"/>
      <c r="H3764" s="46" t="str">
        <f>IF(AND(I.Developer.P1=TRUE,I.Facility.P1FacilityCount&gt;=3752,F3764=""),"Incomplete","Complete")</f>
        <v>Complete</v>
      </c>
      <c r="I3764" s="48" t="s">
        <v>8129</v>
      </c>
    </row>
    <row r="3765" spans="2:9" ht="15" customHeight="1" x14ac:dyDescent="0.25">
      <c r="B3765" s="55" t="s">
        <v>279</v>
      </c>
      <c r="C3765" s="46">
        <v>3753</v>
      </c>
      <c r="D3765" s="69" t="s">
        <v>29416</v>
      </c>
      <c r="E3765" s="51"/>
      <c r="F3765" s="114" t="str">
        <f>IF(INDEX(I.Facility.P1IDNumber,3753)="","",INDEX(I.Facility.P1IDNumber,3753))</f>
        <v/>
      </c>
      <c r="G3765" s="51"/>
      <c r="H3765" s="46" t="str">
        <f>IF(AND(I.Developer.P1=TRUE,I.Facility.P1FacilityCount&gt;=3753,F3765=""),"Incomplete","Complete")</f>
        <v>Complete</v>
      </c>
      <c r="I3765" s="48" t="s">
        <v>8130</v>
      </c>
    </row>
    <row r="3766" spans="2:9" ht="15" customHeight="1" x14ac:dyDescent="0.25">
      <c r="B3766" s="55" t="s">
        <v>279</v>
      </c>
      <c r="C3766" s="46">
        <v>3754</v>
      </c>
      <c r="D3766" s="69" t="s">
        <v>29416</v>
      </c>
      <c r="E3766" s="51"/>
      <c r="F3766" s="114" t="str">
        <f>IF(INDEX(I.Facility.P1IDNumber,3754)="","",INDEX(I.Facility.P1IDNumber,3754))</f>
        <v/>
      </c>
      <c r="G3766" s="51"/>
      <c r="H3766" s="46" t="str">
        <f>IF(AND(I.Developer.P1=TRUE,I.Facility.P1FacilityCount&gt;=3754,F3766=""),"Incomplete","Complete")</f>
        <v>Complete</v>
      </c>
      <c r="I3766" s="48" t="s">
        <v>8131</v>
      </c>
    </row>
    <row r="3767" spans="2:9" ht="15" customHeight="1" x14ac:dyDescent="0.25">
      <c r="B3767" s="55" t="s">
        <v>279</v>
      </c>
      <c r="C3767" s="46">
        <v>3755</v>
      </c>
      <c r="D3767" s="69" t="s">
        <v>29416</v>
      </c>
      <c r="E3767" s="51"/>
      <c r="F3767" s="114" t="str">
        <f>IF(INDEX(I.Facility.P1IDNumber,3755)="","",INDEX(I.Facility.P1IDNumber,3755))</f>
        <v/>
      </c>
      <c r="G3767" s="51"/>
      <c r="H3767" s="46" t="str">
        <f>IF(AND(I.Developer.P1=TRUE,I.Facility.P1FacilityCount&gt;=3755,F3767=""),"Incomplete","Complete")</f>
        <v>Complete</v>
      </c>
      <c r="I3767" s="48" t="s">
        <v>8132</v>
      </c>
    </row>
    <row r="3768" spans="2:9" ht="15" customHeight="1" x14ac:dyDescent="0.25">
      <c r="B3768" s="55" t="s">
        <v>279</v>
      </c>
      <c r="C3768" s="46">
        <v>3756</v>
      </c>
      <c r="D3768" s="69" t="s">
        <v>29416</v>
      </c>
      <c r="E3768" s="51"/>
      <c r="F3768" s="114" t="str">
        <f>IF(INDEX(I.Facility.P1IDNumber,3756)="","",INDEX(I.Facility.P1IDNumber,3756))</f>
        <v/>
      </c>
      <c r="G3768" s="51"/>
      <c r="H3768" s="46" t="str">
        <f>IF(AND(I.Developer.P1=TRUE,I.Facility.P1FacilityCount&gt;=3756,F3768=""),"Incomplete","Complete")</f>
        <v>Complete</v>
      </c>
      <c r="I3768" s="48" t="s">
        <v>8133</v>
      </c>
    </row>
    <row r="3769" spans="2:9" ht="15" customHeight="1" x14ac:dyDescent="0.25">
      <c r="B3769" s="55" t="s">
        <v>279</v>
      </c>
      <c r="C3769" s="46">
        <v>3757</v>
      </c>
      <c r="D3769" s="69" t="s">
        <v>29416</v>
      </c>
      <c r="E3769" s="51"/>
      <c r="F3769" s="114" t="str">
        <f>IF(INDEX(I.Facility.P1IDNumber,3757)="","",INDEX(I.Facility.P1IDNumber,3757))</f>
        <v/>
      </c>
      <c r="G3769" s="51"/>
      <c r="H3769" s="46" t="str">
        <f>IF(AND(I.Developer.P1=TRUE,I.Facility.P1FacilityCount&gt;=3757,F3769=""),"Incomplete","Complete")</f>
        <v>Complete</v>
      </c>
      <c r="I3769" s="48" t="s">
        <v>8134</v>
      </c>
    </row>
    <row r="3770" spans="2:9" ht="15" customHeight="1" x14ac:dyDescent="0.25">
      <c r="B3770" s="55" t="s">
        <v>279</v>
      </c>
      <c r="C3770" s="46">
        <v>3758</v>
      </c>
      <c r="D3770" s="69" t="s">
        <v>29416</v>
      </c>
      <c r="E3770" s="51"/>
      <c r="F3770" s="114" t="str">
        <f>IF(INDEX(I.Facility.P1IDNumber,3758)="","",INDEX(I.Facility.P1IDNumber,3758))</f>
        <v/>
      </c>
      <c r="G3770" s="51"/>
      <c r="H3770" s="46" t="str">
        <f>IF(AND(I.Developer.P1=TRUE,I.Facility.P1FacilityCount&gt;=3758,F3770=""),"Incomplete","Complete")</f>
        <v>Complete</v>
      </c>
      <c r="I3770" s="48" t="s">
        <v>8135</v>
      </c>
    </row>
    <row r="3771" spans="2:9" ht="15" customHeight="1" x14ac:dyDescent="0.25">
      <c r="B3771" s="55" t="s">
        <v>279</v>
      </c>
      <c r="C3771" s="46">
        <v>3759</v>
      </c>
      <c r="D3771" s="69" t="s">
        <v>29416</v>
      </c>
      <c r="E3771" s="51"/>
      <c r="F3771" s="114" t="str">
        <f>IF(INDEX(I.Facility.P1IDNumber,3759)="","",INDEX(I.Facility.P1IDNumber,3759))</f>
        <v/>
      </c>
      <c r="G3771" s="51"/>
      <c r="H3771" s="46" t="str">
        <f>IF(AND(I.Developer.P1=TRUE,I.Facility.P1FacilityCount&gt;=3759,F3771=""),"Incomplete","Complete")</f>
        <v>Complete</v>
      </c>
      <c r="I3771" s="48" t="s">
        <v>8136</v>
      </c>
    </row>
    <row r="3772" spans="2:9" ht="15" customHeight="1" x14ac:dyDescent="0.25">
      <c r="B3772" s="55" t="s">
        <v>279</v>
      </c>
      <c r="C3772" s="46">
        <v>3760</v>
      </c>
      <c r="D3772" s="69" t="s">
        <v>29416</v>
      </c>
      <c r="E3772" s="51"/>
      <c r="F3772" s="114" t="str">
        <f>IF(INDEX(I.Facility.P1IDNumber,3760)="","",INDEX(I.Facility.P1IDNumber,3760))</f>
        <v/>
      </c>
      <c r="G3772" s="51"/>
      <c r="H3772" s="46" t="str">
        <f>IF(AND(I.Developer.P1=TRUE,I.Facility.P1FacilityCount&gt;=3760,F3772=""),"Incomplete","Complete")</f>
        <v>Complete</v>
      </c>
      <c r="I3772" s="48" t="s">
        <v>8137</v>
      </c>
    </row>
    <row r="3773" spans="2:9" ht="15" customHeight="1" x14ac:dyDescent="0.25">
      <c r="B3773" s="55" t="s">
        <v>279</v>
      </c>
      <c r="C3773" s="46">
        <v>3761</v>
      </c>
      <c r="D3773" s="69" t="s">
        <v>29416</v>
      </c>
      <c r="E3773" s="51"/>
      <c r="F3773" s="114" t="str">
        <f>IF(INDEX(I.Facility.P1IDNumber,3761)="","",INDEX(I.Facility.P1IDNumber,3761))</f>
        <v/>
      </c>
      <c r="G3773" s="51"/>
      <c r="H3773" s="46" t="str">
        <f>IF(AND(I.Developer.P1=TRUE,I.Facility.P1FacilityCount&gt;=3761,F3773=""),"Incomplete","Complete")</f>
        <v>Complete</v>
      </c>
      <c r="I3773" s="48" t="s">
        <v>8138</v>
      </c>
    </row>
    <row r="3774" spans="2:9" ht="15" customHeight="1" x14ac:dyDescent="0.25">
      <c r="B3774" s="55" t="s">
        <v>279</v>
      </c>
      <c r="C3774" s="46">
        <v>3762</v>
      </c>
      <c r="D3774" s="69" t="s">
        <v>29416</v>
      </c>
      <c r="E3774" s="51"/>
      <c r="F3774" s="114" t="str">
        <f>IF(INDEX(I.Facility.P1IDNumber,3762)="","",INDEX(I.Facility.P1IDNumber,3762))</f>
        <v/>
      </c>
      <c r="G3774" s="51"/>
      <c r="H3774" s="46" t="str">
        <f>IF(AND(I.Developer.P1=TRUE,I.Facility.P1FacilityCount&gt;=3762,F3774=""),"Incomplete","Complete")</f>
        <v>Complete</v>
      </c>
      <c r="I3774" s="48" t="s">
        <v>8139</v>
      </c>
    </row>
    <row r="3775" spans="2:9" ht="15" customHeight="1" x14ac:dyDescent="0.25">
      <c r="B3775" s="55" t="s">
        <v>279</v>
      </c>
      <c r="C3775" s="46">
        <v>3763</v>
      </c>
      <c r="D3775" s="69" t="s">
        <v>29416</v>
      </c>
      <c r="E3775" s="51"/>
      <c r="F3775" s="114" t="str">
        <f>IF(INDEX(I.Facility.P1IDNumber,3763)="","",INDEX(I.Facility.P1IDNumber,3763))</f>
        <v/>
      </c>
      <c r="G3775" s="51"/>
      <c r="H3775" s="46" t="str">
        <f>IF(AND(I.Developer.P1=TRUE,I.Facility.P1FacilityCount&gt;=3763,F3775=""),"Incomplete","Complete")</f>
        <v>Complete</v>
      </c>
      <c r="I3775" s="48" t="s">
        <v>8140</v>
      </c>
    </row>
    <row r="3776" spans="2:9" ht="15" customHeight="1" x14ac:dyDescent="0.25">
      <c r="B3776" s="55" t="s">
        <v>279</v>
      </c>
      <c r="C3776" s="46">
        <v>3764</v>
      </c>
      <c r="D3776" s="69" t="s">
        <v>29416</v>
      </c>
      <c r="E3776" s="51"/>
      <c r="F3776" s="114" t="str">
        <f>IF(INDEX(I.Facility.P1IDNumber,3764)="","",INDEX(I.Facility.P1IDNumber,3764))</f>
        <v/>
      </c>
      <c r="G3776" s="51"/>
      <c r="H3776" s="46" t="str">
        <f>IF(AND(I.Developer.P1=TRUE,I.Facility.P1FacilityCount&gt;=3764,F3776=""),"Incomplete","Complete")</f>
        <v>Complete</v>
      </c>
      <c r="I3776" s="48" t="s">
        <v>8141</v>
      </c>
    </row>
    <row r="3777" spans="2:9" ht="15" customHeight="1" x14ac:dyDescent="0.25">
      <c r="B3777" s="55" t="s">
        <v>279</v>
      </c>
      <c r="C3777" s="46">
        <v>3765</v>
      </c>
      <c r="D3777" s="69" t="s">
        <v>29416</v>
      </c>
      <c r="E3777" s="51"/>
      <c r="F3777" s="114" t="str">
        <f>IF(INDEX(I.Facility.P1IDNumber,3765)="","",INDEX(I.Facility.P1IDNumber,3765))</f>
        <v/>
      </c>
      <c r="G3777" s="51"/>
      <c r="H3777" s="46" t="str">
        <f>IF(AND(I.Developer.P1=TRUE,I.Facility.P1FacilityCount&gt;=3765,F3777=""),"Incomplete","Complete")</f>
        <v>Complete</v>
      </c>
      <c r="I3777" s="48" t="s">
        <v>8142</v>
      </c>
    </row>
    <row r="3778" spans="2:9" ht="15" customHeight="1" x14ac:dyDescent="0.25">
      <c r="B3778" s="55" t="s">
        <v>279</v>
      </c>
      <c r="C3778" s="46">
        <v>3766</v>
      </c>
      <c r="D3778" s="69" t="s">
        <v>29416</v>
      </c>
      <c r="E3778" s="51"/>
      <c r="F3778" s="114" t="str">
        <f>IF(INDEX(I.Facility.P1IDNumber,3766)="","",INDEX(I.Facility.P1IDNumber,3766))</f>
        <v/>
      </c>
      <c r="G3778" s="51"/>
      <c r="H3778" s="46" t="str">
        <f>IF(AND(I.Developer.P1=TRUE,I.Facility.P1FacilityCount&gt;=3766,F3778=""),"Incomplete","Complete")</f>
        <v>Complete</v>
      </c>
      <c r="I3778" s="48" t="s">
        <v>8143</v>
      </c>
    </row>
    <row r="3779" spans="2:9" ht="15" customHeight="1" x14ac:dyDescent="0.25">
      <c r="B3779" s="55" t="s">
        <v>279</v>
      </c>
      <c r="C3779" s="46">
        <v>3767</v>
      </c>
      <c r="D3779" s="69" t="s">
        <v>29416</v>
      </c>
      <c r="E3779" s="51"/>
      <c r="F3779" s="114" t="str">
        <f>IF(INDEX(I.Facility.P1IDNumber,3767)="","",INDEX(I.Facility.P1IDNumber,3767))</f>
        <v/>
      </c>
      <c r="G3779" s="51"/>
      <c r="H3779" s="46" t="str">
        <f>IF(AND(I.Developer.P1=TRUE,I.Facility.P1FacilityCount&gt;=3767,F3779=""),"Incomplete","Complete")</f>
        <v>Complete</v>
      </c>
      <c r="I3779" s="48" t="s">
        <v>8144</v>
      </c>
    </row>
    <row r="3780" spans="2:9" ht="15" customHeight="1" x14ac:dyDescent="0.25">
      <c r="B3780" s="55" t="s">
        <v>279</v>
      </c>
      <c r="C3780" s="46">
        <v>3768</v>
      </c>
      <c r="D3780" s="69" t="s">
        <v>29416</v>
      </c>
      <c r="E3780" s="51"/>
      <c r="F3780" s="114" t="str">
        <f>IF(INDEX(I.Facility.P1IDNumber,3768)="","",INDEX(I.Facility.P1IDNumber,3768))</f>
        <v/>
      </c>
      <c r="G3780" s="51"/>
      <c r="H3780" s="46" t="str">
        <f>IF(AND(I.Developer.P1=TRUE,I.Facility.P1FacilityCount&gt;=3768,F3780=""),"Incomplete","Complete")</f>
        <v>Complete</v>
      </c>
      <c r="I3780" s="48" t="s">
        <v>8145</v>
      </c>
    </row>
    <row r="3781" spans="2:9" ht="15" customHeight="1" x14ac:dyDescent="0.25">
      <c r="B3781" s="55" t="s">
        <v>279</v>
      </c>
      <c r="C3781" s="46">
        <v>3769</v>
      </c>
      <c r="D3781" s="69" t="s">
        <v>29416</v>
      </c>
      <c r="E3781" s="51"/>
      <c r="F3781" s="114" t="str">
        <f>IF(INDEX(I.Facility.P1IDNumber,3769)="","",INDEX(I.Facility.P1IDNumber,3769))</f>
        <v/>
      </c>
      <c r="G3781" s="51"/>
      <c r="H3781" s="46" t="str">
        <f>IF(AND(I.Developer.P1=TRUE,I.Facility.P1FacilityCount&gt;=3769,F3781=""),"Incomplete","Complete")</f>
        <v>Complete</v>
      </c>
      <c r="I3781" s="48" t="s">
        <v>8146</v>
      </c>
    </row>
    <row r="3782" spans="2:9" ht="15" customHeight="1" x14ac:dyDescent="0.25">
      <c r="B3782" s="55" t="s">
        <v>279</v>
      </c>
      <c r="C3782" s="46">
        <v>3770</v>
      </c>
      <c r="D3782" s="69" t="s">
        <v>29416</v>
      </c>
      <c r="E3782" s="51"/>
      <c r="F3782" s="114" t="str">
        <f>IF(INDEX(I.Facility.P1IDNumber,3770)="","",INDEX(I.Facility.P1IDNumber,3770))</f>
        <v/>
      </c>
      <c r="G3782" s="51"/>
      <c r="H3782" s="46" t="str">
        <f>IF(AND(I.Developer.P1=TRUE,I.Facility.P1FacilityCount&gt;=3770,F3782=""),"Incomplete","Complete")</f>
        <v>Complete</v>
      </c>
      <c r="I3782" s="48" t="s">
        <v>8147</v>
      </c>
    </row>
    <row r="3783" spans="2:9" ht="15" customHeight="1" x14ac:dyDescent="0.25">
      <c r="B3783" s="55" t="s">
        <v>279</v>
      </c>
      <c r="C3783" s="46">
        <v>3771</v>
      </c>
      <c r="D3783" s="69" t="s">
        <v>29416</v>
      </c>
      <c r="E3783" s="51"/>
      <c r="F3783" s="114" t="str">
        <f>IF(INDEX(I.Facility.P1IDNumber,3771)="","",INDEX(I.Facility.P1IDNumber,3771))</f>
        <v/>
      </c>
      <c r="G3783" s="51"/>
      <c r="H3783" s="46" t="str">
        <f>IF(AND(I.Developer.P1=TRUE,I.Facility.P1FacilityCount&gt;=3771,F3783=""),"Incomplete","Complete")</f>
        <v>Complete</v>
      </c>
      <c r="I3783" s="48" t="s">
        <v>8148</v>
      </c>
    </row>
    <row r="3784" spans="2:9" ht="15" customHeight="1" x14ac:dyDescent="0.25">
      <c r="B3784" s="55" t="s">
        <v>279</v>
      </c>
      <c r="C3784" s="46">
        <v>3772</v>
      </c>
      <c r="D3784" s="69" t="s">
        <v>29416</v>
      </c>
      <c r="E3784" s="51"/>
      <c r="F3784" s="114" t="str">
        <f>IF(INDEX(I.Facility.P1IDNumber,3772)="","",INDEX(I.Facility.P1IDNumber,3772))</f>
        <v/>
      </c>
      <c r="G3784" s="51"/>
      <c r="H3784" s="46" t="str">
        <f>IF(AND(I.Developer.P1=TRUE,I.Facility.P1FacilityCount&gt;=3772,F3784=""),"Incomplete","Complete")</f>
        <v>Complete</v>
      </c>
      <c r="I3784" s="48" t="s">
        <v>8149</v>
      </c>
    </row>
    <row r="3785" spans="2:9" ht="15" customHeight="1" x14ac:dyDescent="0.25">
      <c r="B3785" s="55" t="s">
        <v>279</v>
      </c>
      <c r="C3785" s="46">
        <v>3773</v>
      </c>
      <c r="D3785" s="69" t="s">
        <v>29416</v>
      </c>
      <c r="E3785" s="51"/>
      <c r="F3785" s="114" t="str">
        <f>IF(INDEX(I.Facility.P1IDNumber,3773)="","",INDEX(I.Facility.P1IDNumber,3773))</f>
        <v/>
      </c>
      <c r="G3785" s="51"/>
      <c r="H3785" s="46" t="str">
        <f>IF(AND(I.Developer.P1=TRUE,I.Facility.P1FacilityCount&gt;=3773,F3785=""),"Incomplete","Complete")</f>
        <v>Complete</v>
      </c>
      <c r="I3785" s="48" t="s">
        <v>8150</v>
      </c>
    </row>
    <row r="3786" spans="2:9" ht="15" customHeight="1" x14ac:dyDescent="0.25">
      <c r="B3786" s="55" t="s">
        <v>279</v>
      </c>
      <c r="C3786" s="46">
        <v>3774</v>
      </c>
      <c r="D3786" s="69" t="s">
        <v>29416</v>
      </c>
      <c r="E3786" s="51"/>
      <c r="F3786" s="114" t="str">
        <f>IF(INDEX(I.Facility.P1IDNumber,3774)="","",INDEX(I.Facility.P1IDNumber,3774))</f>
        <v/>
      </c>
      <c r="G3786" s="51"/>
      <c r="H3786" s="46" t="str">
        <f>IF(AND(I.Developer.P1=TRUE,I.Facility.P1FacilityCount&gt;=3774,F3786=""),"Incomplete","Complete")</f>
        <v>Complete</v>
      </c>
      <c r="I3786" s="48" t="s">
        <v>8151</v>
      </c>
    </row>
    <row r="3787" spans="2:9" ht="15" customHeight="1" x14ac:dyDescent="0.25">
      <c r="B3787" s="55" t="s">
        <v>279</v>
      </c>
      <c r="C3787" s="46">
        <v>3775</v>
      </c>
      <c r="D3787" s="69" t="s">
        <v>29416</v>
      </c>
      <c r="E3787" s="51"/>
      <c r="F3787" s="114" t="str">
        <f>IF(INDEX(I.Facility.P1IDNumber,3775)="","",INDEX(I.Facility.P1IDNumber,3775))</f>
        <v/>
      </c>
      <c r="G3787" s="51"/>
      <c r="H3787" s="46" t="str">
        <f>IF(AND(I.Developer.P1=TRUE,I.Facility.P1FacilityCount&gt;=3775,F3787=""),"Incomplete","Complete")</f>
        <v>Complete</v>
      </c>
      <c r="I3787" s="48" t="s">
        <v>8152</v>
      </c>
    </row>
    <row r="3788" spans="2:9" ht="15" customHeight="1" x14ac:dyDescent="0.25">
      <c r="B3788" s="55" t="s">
        <v>279</v>
      </c>
      <c r="C3788" s="46">
        <v>3776</v>
      </c>
      <c r="D3788" s="69" t="s">
        <v>29416</v>
      </c>
      <c r="E3788" s="51"/>
      <c r="F3788" s="114" t="str">
        <f>IF(INDEX(I.Facility.P1IDNumber,3776)="","",INDEX(I.Facility.P1IDNumber,3776))</f>
        <v/>
      </c>
      <c r="G3788" s="51"/>
      <c r="H3788" s="46" t="str">
        <f>IF(AND(I.Developer.P1=TRUE,I.Facility.P1FacilityCount&gt;=3776,F3788=""),"Incomplete","Complete")</f>
        <v>Complete</v>
      </c>
      <c r="I3788" s="48" t="s">
        <v>8153</v>
      </c>
    </row>
    <row r="3789" spans="2:9" ht="15" customHeight="1" x14ac:dyDescent="0.25">
      <c r="B3789" s="55" t="s">
        <v>279</v>
      </c>
      <c r="C3789" s="46">
        <v>3777</v>
      </c>
      <c r="D3789" s="69" t="s">
        <v>29416</v>
      </c>
      <c r="E3789" s="51"/>
      <c r="F3789" s="114" t="str">
        <f>IF(INDEX(I.Facility.P1IDNumber,3777)="","",INDEX(I.Facility.P1IDNumber,3777))</f>
        <v/>
      </c>
      <c r="G3789" s="51"/>
      <c r="H3789" s="46" t="str">
        <f>IF(AND(I.Developer.P1=TRUE,I.Facility.P1FacilityCount&gt;=3777,F3789=""),"Incomplete","Complete")</f>
        <v>Complete</v>
      </c>
      <c r="I3789" s="48" t="s">
        <v>8154</v>
      </c>
    </row>
    <row r="3790" spans="2:9" ht="15" customHeight="1" x14ac:dyDescent="0.25">
      <c r="B3790" s="55" t="s">
        <v>279</v>
      </c>
      <c r="C3790" s="46">
        <v>3778</v>
      </c>
      <c r="D3790" s="69" t="s">
        <v>29416</v>
      </c>
      <c r="E3790" s="51"/>
      <c r="F3790" s="114" t="str">
        <f>IF(INDEX(I.Facility.P1IDNumber,3778)="","",INDEX(I.Facility.P1IDNumber,3778))</f>
        <v/>
      </c>
      <c r="G3790" s="51"/>
      <c r="H3790" s="46" t="str">
        <f>IF(AND(I.Developer.P1=TRUE,I.Facility.P1FacilityCount&gt;=3778,F3790=""),"Incomplete","Complete")</f>
        <v>Complete</v>
      </c>
      <c r="I3790" s="48" t="s">
        <v>8155</v>
      </c>
    </row>
    <row r="3791" spans="2:9" ht="15" customHeight="1" x14ac:dyDescent="0.25">
      <c r="B3791" s="55" t="s">
        <v>279</v>
      </c>
      <c r="C3791" s="46">
        <v>3779</v>
      </c>
      <c r="D3791" s="69" t="s">
        <v>29416</v>
      </c>
      <c r="E3791" s="51"/>
      <c r="F3791" s="114" t="str">
        <f>IF(INDEX(I.Facility.P1IDNumber,3779)="","",INDEX(I.Facility.P1IDNumber,3779))</f>
        <v/>
      </c>
      <c r="G3791" s="51"/>
      <c r="H3791" s="46" t="str">
        <f>IF(AND(I.Developer.P1=TRUE,I.Facility.P1FacilityCount&gt;=3779,F3791=""),"Incomplete","Complete")</f>
        <v>Complete</v>
      </c>
      <c r="I3791" s="48" t="s">
        <v>8156</v>
      </c>
    </row>
    <row r="3792" spans="2:9" ht="15" customHeight="1" x14ac:dyDescent="0.25">
      <c r="B3792" s="55" t="s">
        <v>279</v>
      </c>
      <c r="C3792" s="46">
        <v>3780</v>
      </c>
      <c r="D3792" s="69" t="s">
        <v>29416</v>
      </c>
      <c r="E3792" s="51"/>
      <c r="F3792" s="114" t="str">
        <f>IF(INDEX(I.Facility.P1IDNumber,3780)="","",INDEX(I.Facility.P1IDNumber,3780))</f>
        <v/>
      </c>
      <c r="G3792" s="51"/>
      <c r="H3792" s="46" t="str">
        <f>IF(AND(I.Developer.P1=TRUE,I.Facility.P1FacilityCount&gt;=3780,F3792=""),"Incomplete","Complete")</f>
        <v>Complete</v>
      </c>
      <c r="I3792" s="48" t="s">
        <v>8157</v>
      </c>
    </row>
    <row r="3793" spans="2:9" ht="15" customHeight="1" x14ac:dyDescent="0.25">
      <c r="B3793" s="55" t="s">
        <v>279</v>
      </c>
      <c r="C3793" s="46">
        <v>3781</v>
      </c>
      <c r="D3793" s="69" t="s">
        <v>29416</v>
      </c>
      <c r="E3793" s="51"/>
      <c r="F3793" s="114" t="str">
        <f>IF(INDEX(I.Facility.P1IDNumber,3781)="","",INDEX(I.Facility.P1IDNumber,3781))</f>
        <v/>
      </c>
      <c r="G3793" s="51"/>
      <c r="H3793" s="46" t="str">
        <f>IF(AND(I.Developer.P1=TRUE,I.Facility.P1FacilityCount&gt;=3781,F3793=""),"Incomplete","Complete")</f>
        <v>Complete</v>
      </c>
      <c r="I3793" s="48" t="s">
        <v>8158</v>
      </c>
    </row>
    <row r="3794" spans="2:9" ht="15" customHeight="1" x14ac:dyDescent="0.25">
      <c r="B3794" s="55" t="s">
        <v>279</v>
      </c>
      <c r="C3794" s="46">
        <v>3782</v>
      </c>
      <c r="D3794" s="69" t="s">
        <v>29416</v>
      </c>
      <c r="E3794" s="51"/>
      <c r="F3794" s="114" t="str">
        <f>IF(INDEX(I.Facility.P1IDNumber,3782)="","",INDEX(I.Facility.P1IDNumber,3782))</f>
        <v/>
      </c>
      <c r="G3794" s="51"/>
      <c r="H3794" s="46" t="str">
        <f>IF(AND(I.Developer.P1=TRUE,I.Facility.P1FacilityCount&gt;=3782,F3794=""),"Incomplete","Complete")</f>
        <v>Complete</v>
      </c>
      <c r="I3794" s="48" t="s">
        <v>8159</v>
      </c>
    </row>
    <row r="3795" spans="2:9" ht="15" customHeight="1" x14ac:dyDescent="0.25">
      <c r="B3795" s="55" t="s">
        <v>279</v>
      </c>
      <c r="C3795" s="46">
        <v>3783</v>
      </c>
      <c r="D3795" s="69" t="s">
        <v>29416</v>
      </c>
      <c r="E3795" s="51"/>
      <c r="F3795" s="114" t="str">
        <f>IF(INDEX(I.Facility.P1IDNumber,3783)="","",INDEX(I.Facility.P1IDNumber,3783))</f>
        <v/>
      </c>
      <c r="G3795" s="51"/>
      <c r="H3795" s="46" t="str">
        <f>IF(AND(I.Developer.P1=TRUE,I.Facility.P1FacilityCount&gt;=3783,F3795=""),"Incomplete","Complete")</f>
        <v>Complete</v>
      </c>
      <c r="I3795" s="48" t="s">
        <v>8160</v>
      </c>
    </row>
    <row r="3796" spans="2:9" ht="15" customHeight="1" x14ac:dyDescent="0.25">
      <c r="B3796" s="55" t="s">
        <v>279</v>
      </c>
      <c r="C3796" s="46">
        <v>3784</v>
      </c>
      <c r="D3796" s="69" t="s">
        <v>29416</v>
      </c>
      <c r="E3796" s="51"/>
      <c r="F3796" s="114" t="str">
        <f>IF(INDEX(I.Facility.P1IDNumber,3784)="","",INDEX(I.Facility.P1IDNumber,3784))</f>
        <v/>
      </c>
      <c r="G3796" s="51"/>
      <c r="H3796" s="46" t="str">
        <f>IF(AND(I.Developer.P1=TRUE,I.Facility.P1FacilityCount&gt;=3784,F3796=""),"Incomplete","Complete")</f>
        <v>Complete</v>
      </c>
      <c r="I3796" s="48" t="s">
        <v>8161</v>
      </c>
    </row>
    <row r="3797" spans="2:9" ht="15" customHeight="1" x14ac:dyDescent="0.25">
      <c r="B3797" s="55" t="s">
        <v>279</v>
      </c>
      <c r="C3797" s="46">
        <v>3785</v>
      </c>
      <c r="D3797" s="69" t="s">
        <v>29416</v>
      </c>
      <c r="E3797" s="51"/>
      <c r="F3797" s="114" t="str">
        <f>IF(INDEX(I.Facility.P1IDNumber,3785)="","",INDEX(I.Facility.P1IDNumber,3785))</f>
        <v/>
      </c>
      <c r="G3797" s="51"/>
      <c r="H3797" s="46" t="str">
        <f>IF(AND(I.Developer.P1=TRUE,I.Facility.P1FacilityCount&gt;=3785,F3797=""),"Incomplete","Complete")</f>
        <v>Complete</v>
      </c>
      <c r="I3797" s="48" t="s">
        <v>8162</v>
      </c>
    </row>
    <row r="3798" spans="2:9" ht="15" customHeight="1" x14ac:dyDescent="0.25">
      <c r="B3798" s="55" t="s">
        <v>279</v>
      </c>
      <c r="C3798" s="46">
        <v>3786</v>
      </c>
      <c r="D3798" s="69" t="s">
        <v>29416</v>
      </c>
      <c r="E3798" s="51"/>
      <c r="F3798" s="114" t="str">
        <f>IF(INDEX(I.Facility.P1IDNumber,3786)="","",INDEX(I.Facility.P1IDNumber,3786))</f>
        <v/>
      </c>
      <c r="G3798" s="51"/>
      <c r="H3798" s="46" t="str">
        <f>IF(AND(I.Developer.P1=TRUE,I.Facility.P1FacilityCount&gt;=3786,F3798=""),"Incomplete","Complete")</f>
        <v>Complete</v>
      </c>
      <c r="I3798" s="48" t="s">
        <v>8163</v>
      </c>
    </row>
    <row r="3799" spans="2:9" ht="15" customHeight="1" x14ac:dyDescent="0.25">
      <c r="B3799" s="55" t="s">
        <v>279</v>
      </c>
      <c r="C3799" s="46">
        <v>3787</v>
      </c>
      <c r="D3799" s="69" t="s">
        <v>29416</v>
      </c>
      <c r="E3799" s="51"/>
      <c r="F3799" s="114" t="str">
        <f>IF(INDEX(I.Facility.P1IDNumber,3787)="","",INDEX(I.Facility.P1IDNumber,3787))</f>
        <v/>
      </c>
      <c r="G3799" s="51"/>
      <c r="H3799" s="46" t="str">
        <f>IF(AND(I.Developer.P1=TRUE,I.Facility.P1FacilityCount&gt;=3787,F3799=""),"Incomplete","Complete")</f>
        <v>Complete</v>
      </c>
      <c r="I3799" s="48" t="s">
        <v>8164</v>
      </c>
    </row>
    <row r="3800" spans="2:9" ht="15" customHeight="1" x14ac:dyDescent="0.25">
      <c r="B3800" s="55" t="s">
        <v>279</v>
      </c>
      <c r="C3800" s="46">
        <v>3788</v>
      </c>
      <c r="D3800" s="69" t="s">
        <v>29416</v>
      </c>
      <c r="E3800" s="51"/>
      <c r="F3800" s="114" t="str">
        <f>IF(INDEX(I.Facility.P1IDNumber,3788)="","",INDEX(I.Facility.P1IDNumber,3788))</f>
        <v/>
      </c>
      <c r="G3800" s="51"/>
      <c r="H3800" s="46" t="str">
        <f>IF(AND(I.Developer.P1=TRUE,I.Facility.P1FacilityCount&gt;=3788,F3800=""),"Incomplete","Complete")</f>
        <v>Complete</v>
      </c>
      <c r="I3800" s="48" t="s">
        <v>8165</v>
      </c>
    </row>
    <row r="3801" spans="2:9" ht="15" customHeight="1" x14ac:dyDescent="0.25">
      <c r="B3801" s="55" t="s">
        <v>279</v>
      </c>
      <c r="C3801" s="46">
        <v>3789</v>
      </c>
      <c r="D3801" s="69" t="s">
        <v>29416</v>
      </c>
      <c r="E3801" s="51"/>
      <c r="F3801" s="114" t="str">
        <f>IF(INDEX(I.Facility.P1IDNumber,3789)="","",INDEX(I.Facility.P1IDNumber,3789))</f>
        <v/>
      </c>
      <c r="G3801" s="51"/>
      <c r="H3801" s="46" t="str">
        <f>IF(AND(I.Developer.P1=TRUE,I.Facility.P1FacilityCount&gt;=3789,F3801=""),"Incomplete","Complete")</f>
        <v>Complete</v>
      </c>
      <c r="I3801" s="48" t="s">
        <v>8166</v>
      </c>
    </row>
    <row r="3802" spans="2:9" ht="15" customHeight="1" x14ac:dyDescent="0.25">
      <c r="B3802" s="55" t="s">
        <v>279</v>
      </c>
      <c r="C3802" s="46">
        <v>3790</v>
      </c>
      <c r="D3802" s="69" t="s">
        <v>29416</v>
      </c>
      <c r="E3802" s="51"/>
      <c r="F3802" s="114" t="str">
        <f>IF(INDEX(I.Facility.P1IDNumber,3790)="","",INDEX(I.Facility.P1IDNumber,3790))</f>
        <v/>
      </c>
      <c r="G3802" s="51"/>
      <c r="H3802" s="46" t="str">
        <f>IF(AND(I.Developer.P1=TRUE,I.Facility.P1FacilityCount&gt;=3790,F3802=""),"Incomplete","Complete")</f>
        <v>Complete</v>
      </c>
      <c r="I3802" s="48" t="s">
        <v>8167</v>
      </c>
    </row>
    <row r="3803" spans="2:9" ht="15" customHeight="1" x14ac:dyDescent="0.25">
      <c r="B3803" s="55" t="s">
        <v>279</v>
      </c>
      <c r="C3803" s="46">
        <v>3791</v>
      </c>
      <c r="D3803" s="69" t="s">
        <v>29416</v>
      </c>
      <c r="E3803" s="51"/>
      <c r="F3803" s="114" t="str">
        <f>IF(INDEX(I.Facility.P1IDNumber,3791)="","",INDEX(I.Facility.P1IDNumber,3791))</f>
        <v/>
      </c>
      <c r="G3803" s="51"/>
      <c r="H3803" s="46" t="str">
        <f>IF(AND(I.Developer.P1=TRUE,I.Facility.P1FacilityCount&gt;=3791,F3803=""),"Incomplete","Complete")</f>
        <v>Complete</v>
      </c>
      <c r="I3803" s="48" t="s">
        <v>8168</v>
      </c>
    </row>
    <row r="3804" spans="2:9" ht="15" customHeight="1" x14ac:dyDescent="0.25">
      <c r="B3804" s="55" t="s">
        <v>279</v>
      </c>
      <c r="C3804" s="46">
        <v>3792</v>
      </c>
      <c r="D3804" s="69" t="s">
        <v>29416</v>
      </c>
      <c r="E3804" s="51"/>
      <c r="F3804" s="114" t="str">
        <f>IF(INDEX(I.Facility.P1IDNumber,3792)="","",INDEX(I.Facility.P1IDNumber,3792))</f>
        <v/>
      </c>
      <c r="G3804" s="51"/>
      <c r="H3804" s="46" t="str">
        <f>IF(AND(I.Developer.P1=TRUE,I.Facility.P1FacilityCount&gt;=3792,F3804=""),"Incomplete","Complete")</f>
        <v>Complete</v>
      </c>
      <c r="I3804" s="48" t="s">
        <v>8169</v>
      </c>
    </row>
    <row r="3805" spans="2:9" ht="15" customHeight="1" x14ac:dyDescent="0.25">
      <c r="B3805" s="55" t="s">
        <v>279</v>
      </c>
      <c r="C3805" s="46">
        <v>3793</v>
      </c>
      <c r="D3805" s="69" t="s">
        <v>29416</v>
      </c>
      <c r="E3805" s="51"/>
      <c r="F3805" s="114" t="str">
        <f>IF(INDEX(I.Facility.P1IDNumber,3793)="","",INDEX(I.Facility.P1IDNumber,3793))</f>
        <v/>
      </c>
      <c r="G3805" s="51"/>
      <c r="H3805" s="46" t="str">
        <f>IF(AND(I.Developer.P1=TRUE,I.Facility.P1FacilityCount&gt;=3793,F3805=""),"Incomplete","Complete")</f>
        <v>Complete</v>
      </c>
      <c r="I3805" s="48" t="s">
        <v>8170</v>
      </c>
    </row>
    <row r="3806" spans="2:9" ht="15" customHeight="1" x14ac:dyDescent="0.25">
      <c r="B3806" s="55" t="s">
        <v>279</v>
      </c>
      <c r="C3806" s="46">
        <v>3794</v>
      </c>
      <c r="D3806" s="69" t="s">
        <v>29416</v>
      </c>
      <c r="E3806" s="51"/>
      <c r="F3806" s="114" t="str">
        <f>IF(INDEX(I.Facility.P1IDNumber,3794)="","",INDEX(I.Facility.P1IDNumber,3794))</f>
        <v/>
      </c>
      <c r="G3806" s="51"/>
      <c r="H3806" s="46" t="str">
        <f>IF(AND(I.Developer.P1=TRUE,I.Facility.P1FacilityCount&gt;=3794,F3806=""),"Incomplete","Complete")</f>
        <v>Complete</v>
      </c>
      <c r="I3806" s="48" t="s">
        <v>8171</v>
      </c>
    </row>
    <row r="3807" spans="2:9" ht="15" customHeight="1" x14ac:dyDescent="0.25">
      <c r="B3807" s="55" t="s">
        <v>279</v>
      </c>
      <c r="C3807" s="46">
        <v>3795</v>
      </c>
      <c r="D3807" s="69" t="s">
        <v>29416</v>
      </c>
      <c r="E3807" s="51"/>
      <c r="F3807" s="114" t="str">
        <f>IF(INDEX(I.Facility.P1IDNumber,3795)="","",INDEX(I.Facility.P1IDNumber,3795))</f>
        <v/>
      </c>
      <c r="G3807" s="51"/>
      <c r="H3807" s="46" t="str">
        <f>IF(AND(I.Developer.P1=TRUE,I.Facility.P1FacilityCount&gt;=3795,F3807=""),"Incomplete","Complete")</f>
        <v>Complete</v>
      </c>
      <c r="I3807" s="48" t="s">
        <v>8172</v>
      </c>
    </row>
    <row r="3808" spans="2:9" ht="15" customHeight="1" x14ac:dyDescent="0.25">
      <c r="B3808" s="55" t="s">
        <v>279</v>
      </c>
      <c r="C3808" s="46">
        <v>3796</v>
      </c>
      <c r="D3808" s="69" t="s">
        <v>29416</v>
      </c>
      <c r="E3808" s="51"/>
      <c r="F3808" s="114" t="str">
        <f>IF(INDEX(I.Facility.P1IDNumber,3796)="","",INDEX(I.Facility.P1IDNumber,3796))</f>
        <v/>
      </c>
      <c r="G3808" s="51"/>
      <c r="H3808" s="46" t="str">
        <f>IF(AND(I.Developer.P1=TRUE,I.Facility.P1FacilityCount&gt;=3796,F3808=""),"Incomplete","Complete")</f>
        <v>Complete</v>
      </c>
      <c r="I3808" s="48" t="s">
        <v>8173</v>
      </c>
    </row>
    <row r="3809" spans="2:9" ht="15" customHeight="1" x14ac:dyDescent="0.25">
      <c r="B3809" s="55" t="s">
        <v>279</v>
      </c>
      <c r="C3809" s="46">
        <v>3797</v>
      </c>
      <c r="D3809" s="69" t="s">
        <v>29416</v>
      </c>
      <c r="E3809" s="51"/>
      <c r="F3809" s="114" t="str">
        <f>IF(INDEX(I.Facility.P1IDNumber,3797)="","",INDEX(I.Facility.P1IDNumber,3797))</f>
        <v/>
      </c>
      <c r="G3809" s="51"/>
      <c r="H3809" s="46" t="str">
        <f>IF(AND(I.Developer.P1=TRUE,I.Facility.P1FacilityCount&gt;=3797,F3809=""),"Incomplete","Complete")</f>
        <v>Complete</v>
      </c>
      <c r="I3809" s="48" t="s">
        <v>8174</v>
      </c>
    </row>
    <row r="3810" spans="2:9" ht="15" customHeight="1" x14ac:dyDescent="0.25">
      <c r="B3810" s="55" t="s">
        <v>279</v>
      </c>
      <c r="C3810" s="46">
        <v>3798</v>
      </c>
      <c r="D3810" s="69" t="s">
        <v>29416</v>
      </c>
      <c r="E3810" s="51"/>
      <c r="F3810" s="114" t="str">
        <f>IF(INDEX(I.Facility.P1IDNumber,3798)="","",INDEX(I.Facility.P1IDNumber,3798))</f>
        <v/>
      </c>
      <c r="G3810" s="51"/>
      <c r="H3810" s="46" t="str">
        <f>IF(AND(I.Developer.P1=TRUE,I.Facility.P1FacilityCount&gt;=3798,F3810=""),"Incomplete","Complete")</f>
        <v>Complete</v>
      </c>
      <c r="I3810" s="48" t="s">
        <v>8175</v>
      </c>
    </row>
    <row r="3811" spans="2:9" ht="15" customHeight="1" x14ac:dyDescent="0.25">
      <c r="B3811" s="55" t="s">
        <v>279</v>
      </c>
      <c r="C3811" s="46">
        <v>3799</v>
      </c>
      <c r="D3811" s="69" t="s">
        <v>29416</v>
      </c>
      <c r="E3811" s="51"/>
      <c r="F3811" s="114" t="str">
        <f>IF(INDEX(I.Facility.P1IDNumber,3799)="","",INDEX(I.Facility.P1IDNumber,3799))</f>
        <v/>
      </c>
      <c r="G3811" s="51"/>
      <c r="H3811" s="46" t="str">
        <f>IF(AND(I.Developer.P1=TRUE,I.Facility.P1FacilityCount&gt;=3799,F3811=""),"Incomplete","Complete")</f>
        <v>Complete</v>
      </c>
      <c r="I3811" s="48" t="s">
        <v>8176</v>
      </c>
    </row>
    <row r="3812" spans="2:9" ht="15" customHeight="1" x14ac:dyDescent="0.25">
      <c r="B3812" s="55" t="s">
        <v>279</v>
      </c>
      <c r="C3812" s="46">
        <v>3800</v>
      </c>
      <c r="D3812" s="69" t="s">
        <v>29416</v>
      </c>
      <c r="E3812" s="51"/>
      <c r="F3812" s="114" t="str">
        <f>IF(INDEX(I.Facility.P1IDNumber,3800)="","",INDEX(I.Facility.P1IDNumber,3800))</f>
        <v/>
      </c>
      <c r="G3812" s="51"/>
      <c r="H3812" s="46" t="str">
        <f>IF(AND(I.Developer.P1=TRUE,I.Facility.P1FacilityCount&gt;=3800,F3812=""),"Incomplete","Complete")</f>
        <v>Complete</v>
      </c>
      <c r="I3812" s="48" t="s">
        <v>8177</v>
      </c>
    </row>
    <row r="3813" spans="2:9" ht="15" customHeight="1" x14ac:dyDescent="0.25">
      <c r="B3813" s="55" t="s">
        <v>279</v>
      </c>
      <c r="C3813" s="46">
        <v>3801</v>
      </c>
      <c r="D3813" s="69" t="s">
        <v>29416</v>
      </c>
      <c r="E3813" s="51"/>
      <c r="F3813" s="114" t="str">
        <f>IF(INDEX(I.Facility.P1IDNumber,3801)="","",INDEX(I.Facility.P1IDNumber,3801))</f>
        <v/>
      </c>
      <c r="G3813" s="51"/>
      <c r="H3813" s="46" t="str">
        <f>IF(AND(I.Developer.P1=TRUE,I.Facility.P1FacilityCount&gt;=3801,F3813=""),"Incomplete","Complete")</f>
        <v>Complete</v>
      </c>
      <c r="I3813" s="48" t="s">
        <v>8178</v>
      </c>
    </row>
    <row r="3814" spans="2:9" ht="15" customHeight="1" x14ac:dyDescent="0.25">
      <c r="B3814" s="55" t="s">
        <v>279</v>
      </c>
      <c r="C3814" s="46">
        <v>3802</v>
      </c>
      <c r="D3814" s="69" t="s">
        <v>29416</v>
      </c>
      <c r="E3814" s="51"/>
      <c r="F3814" s="114" t="str">
        <f>IF(INDEX(I.Facility.P1IDNumber,3802)="","",INDEX(I.Facility.P1IDNumber,3802))</f>
        <v/>
      </c>
      <c r="G3814" s="51"/>
      <c r="H3814" s="46" t="str">
        <f>IF(AND(I.Developer.P1=TRUE,I.Facility.P1FacilityCount&gt;=3802,F3814=""),"Incomplete","Complete")</f>
        <v>Complete</v>
      </c>
      <c r="I3814" s="48" t="s">
        <v>8179</v>
      </c>
    </row>
    <row r="3815" spans="2:9" ht="15" customHeight="1" x14ac:dyDescent="0.25">
      <c r="B3815" s="55" t="s">
        <v>279</v>
      </c>
      <c r="C3815" s="46">
        <v>3803</v>
      </c>
      <c r="D3815" s="69" t="s">
        <v>29416</v>
      </c>
      <c r="E3815" s="51"/>
      <c r="F3815" s="114" t="str">
        <f>IF(INDEX(I.Facility.P1IDNumber,3803)="","",INDEX(I.Facility.P1IDNumber,3803))</f>
        <v/>
      </c>
      <c r="G3815" s="51"/>
      <c r="H3815" s="46" t="str">
        <f>IF(AND(I.Developer.P1=TRUE,I.Facility.P1FacilityCount&gt;=3803,F3815=""),"Incomplete","Complete")</f>
        <v>Complete</v>
      </c>
      <c r="I3815" s="48" t="s">
        <v>8180</v>
      </c>
    </row>
    <row r="3816" spans="2:9" ht="15" customHeight="1" x14ac:dyDescent="0.25">
      <c r="B3816" s="55" t="s">
        <v>279</v>
      </c>
      <c r="C3816" s="46">
        <v>3804</v>
      </c>
      <c r="D3816" s="69" t="s">
        <v>29416</v>
      </c>
      <c r="E3816" s="51"/>
      <c r="F3816" s="114" t="str">
        <f>IF(INDEX(I.Facility.P1IDNumber,3804)="","",INDEX(I.Facility.P1IDNumber,3804))</f>
        <v/>
      </c>
      <c r="G3816" s="51"/>
      <c r="H3816" s="46" t="str">
        <f>IF(AND(I.Developer.P1=TRUE,I.Facility.P1FacilityCount&gt;=3804,F3816=""),"Incomplete","Complete")</f>
        <v>Complete</v>
      </c>
      <c r="I3816" s="48" t="s">
        <v>8181</v>
      </c>
    </row>
    <row r="3817" spans="2:9" ht="15" customHeight="1" x14ac:dyDescent="0.25">
      <c r="B3817" s="55" t="s">
        <v>279</v>
      </c>
      <c r="C3817" s="46">
        <v>3805</v>
      </c>
      <c r="D3817" s="69" t="s">
        <v>29416</v>
      </c>
      <c r="E3817" s="51"/>
      <c r="F3817" s="114" t="str">
        <f>IF(INDEX(I.Facility.P1IDNumber,3805)="","",INDEX(I.Facility.P1IDNumber,3805))</f>
        <v/>
      </c>
      <c r="G3817" s="51"/>
      <c r="H3817" s="46" t="str">
        <f>IF(AND(I.Developer.P1=TRUE,I.Facility.P1FacilityCount&gt;=3805,F3817=""),"Incomplete","Complete")</f>
        <v>Complete</v>
      </c>
      <c r="I3817" s="48" t="s">
        <v>8182</v>
      </c>
    </row>
    <row r="3818" spans="2:9" ht="15" customHeight="1" x14ac:dyDescent="0.25">
      <c r="B3818" s="55" t="s">
        <v>279</v>
      </c>
      <c r="C3818" s="46">
        <v>3806</v>
      </c>
      <c r="D3818" s="69" t="s">
        <v>29416</v>
      </c>
      <c r="E3818" s="51"/>
      <c r="F3818" s="114" t="str">
        <f>IF(INDEX(I.Facility.P1IDNumber,3806)="","",INDEX(I.Facility.P1IDNumber,3806))</f>
        <v/>
      </c>
      <c r="G3818" s="51"/>
      <c r="H3818" s="46" t="str">
        <f>IF(AND(I.Developer.P1=TRUE,I.Facility.P1FacilityCount&gt;=3806,F3818=""),"Incomplete","Complete")</f>
        <v>Complete</v>
      </c>
      <c r="I3818" s="48" t="s">
        <v>8183</v>
      </c>
    </row>
    <row r="3819" spans="2:9" ht="15" customHeight="1" x14ac:dyDescent="0.25">
      <c r="B3819" s="55" t="s">
        <v>279</v>
      </c>
      <c r="C3819" s="46">
        <v>3807</v>
      </c>
      <c r="D3819" s="69" t="s">
        <v>29416</v>
      </c>
      <c r="E3819" s="51"/>
      <c r="F3819" s="114" t="str">
        <f>IF(INDEX(I.Facility.P1IDNumber,3807)="","",INDEX(I.Facility.P1IDNumber,3807))</f>
        <v/>
      </c>
      <c r="G3819" s="51"/>
      <c r="H3819" s="46" t="str">
        <f>IF(AND(I.Developer.P1=TRUE,I.Facility.P1FacilityCount&gt;=3807,F3819=""),"Incomplete","Complete")</f>
        <v>Complete</v>
      </c>
      <c r="I3819" s="48" t="s">
        <v>8184</v>
      </c>
    </row>
    <row r="3820" spans="2:9" ht="15" customHeight="1" x14ac:dyDescent="0.25">
      <c r="B3820" s="55" t="s">
        <v>279</v>
      </c>
      <c r="C3820" s="46">
        <v>3808</v>
      </c>
      <c r="D3820" s="69" t="s">
        <v>29416</v>
      </c>
      <c r="E3820" s="51"/>
      <c r="F3820" s="114" t="str">
        <f>IF(INDEX(I.Facility.P1IDNumber,3808)="","",INDEX(I.Facility.P1IDNumber,3808))</f>
        <v/>
      </c>
      <c r="G3820" s="51"/>
      <c r="H3820" s="46" t="str">
        <f>IF(AND(I.Developer.P1=TRUE,I.Facility.P1FacilityCount&gt;=3808,F3820=""),"Incomplete","Complete")</f>
        <v>Complete</v>
      </c>
      <c r="I3820" s="48" t="s">
        <v>8185</v>
      </c>
    </row>
    <row r="3821" spans="2:9" ht="15" customHeight="1" x14ac:dyDescent="0.25">
      <c r="B3821" s="55" t="s">
        <v>279</v>
      </c>
      <c r="C3821" s="46">
        <v>3809</v>
      </c>
      <c r="D3821" s="69" t="s">
        <v>29416</v>
      </c>
      <c r="E3821" s="51"/>
      <c r="F3821" s="114" t="str">
        <f>IF(INDEX(I.Facility.P1IDNumber,3809)="","",INDEX(I.Facility.P1IDNumber,3809))</f>
        <v/>
      </c>
      <c r="G3821" s="51"/>
      <c r="H3821" s="46" t="str">
        <f>IF(AND(I.Developer.P1=TRUE,I.Facility.P1FacilityCount&gt;=3809,F3821=""),"Incomplete","Complete")</f>
        <v>Complete</v>
      </c>
      <c r="I3821" s="48" t="s">
        <v>8186</v>
      </c>
    </row>
    <row r="3822" spans="2:9" ht="15" customHeight="1" x14ac:dyDescent="0.25">
      <c r="B3822" s="55" t="s">
        <v>279</v>
      </c>
      <c r="C3822" s="46">
        <v>3810</v>
      </c>
      <c r="D3822" s="69" t="s">
        <v>29416</v>
      </c>
      <c r="E3822" s="51"/>
      <c r="F3822" s="114" t="str">
        <f>IF(INDEX(I.Facility.P1IDNumber,3810)="","",INDEX(I.Facility.P1IDNumber,3810))</f>
        <v/>
      </c>
      <c r="G3822" s="51"/>
      <c r="H3822" s="46" t="str">
        <f>IF(AND(I.Developer.P1=TRUE,I.Facility.P1FacilityCount&gt;=3810,F3822=""),"Incomplete","Complete")</f>
        <v>Complete</v>
      </c>
      <c r="I3822" s="48" t="s">
        <v>8187</v>
      </c>
    </row>
    <row r="3823" spans="2:9" ht="15" customHeight="1" x14ac:dyDescent="0.25">
      <c r="B3823" s="55" t="s">
        <v>279</v>
      </c>
      <c r="C3823" s="46">
        <v>3811</v>
      </c>
      <c r="D3823" s="69" t="s">
        <v>29416</v>
      </c>
      <c r="E3823" s="51"/>
      <c r="F3823" s="114" t="str">
        <f>IF(INDEX(I.Facility.P1IDNumber,3811)="","",INDEX(I.Facility.P1IDNumber,3811))</f>
        <v/>
      </c>
      <c r="G3823" s="51"/>
      <c r="H3823" s="46" t="str">
        <f>IF(AND(I.Developer.P1=TRUE,I.Facility.P1FacilityCount&gt;=3811,F3823=""),"Incomplete","Complete")</f>
        <v>Complete</v>
      </c>
      <c r="I3823" s="48" t="s">
        <v>8188</v>
      </c>
    </row>
    <row r="3824" spans="2:9" ht="15" customHeight="1" x14ac:dyDescent="0.25">
      <c r="B3824" s="55" t="s">
        <v>279</v>
      </c>
      <c r="C3824" s="46">
        <v>3812</v>
      </c>
      <c r="D3824" s="69" t="s">
        <v>29416</v>
      </c>
      <c r="E3824" s="51"/>
      <c r="F3824" s="114" t="str">
        <f>IF(INDEX(I.Facility.P1IDNumber,3812)="","",INDEX(I.Facility.P1IDNumber,3812))</f>
        <v/>
      </c>
      <c r="G3824" s="51"/>
      <c r="H3824" s="46" t="str">
        <f>IF(AND(I.Developer.P1=TRUE,I.Facility.P1FacilityCount&gt;=3812,F3824=""),"Incomplete","Complete")</f>
        <v>Complete</v>
      </c>
      <c r="I3824" s="48" t="s">
        <v>8189</v>
      </c>
    </row>
    <row r="3825" spans="2:9" ht="15" customHeight="1" x14ac:dyDescent="0.25">
      <c r="B3825" s="55" t="s">
        <v>279</v>
      </c>
      <c r="C3825" s="46">
        <v>3813</v>
      </c>
      <c r="D3825" s="69" t="s">
        <v>29416</v>
      </c>
      <c r="E3825" s="51"/>
      <c r="F3825" s="114" t="str">
        <f>IF(INDEX(I.Facility.P1IDNumber,3813)="","",INDEX(I.Facility.P1IDNumber,3813))</f>
        <v/>
      </c>
      <c r="G3825" s="51"/>
      <c r="H3825" s="46" t="str">
        <f>IF(AND(I.Developer.P1=TRUE,I.Facility.P1FacilityCount&gt;=3813,F3825=""),"Incomplete","Complete")</f>
        <v>Complete</v>
      </c>
      <c r="I3825" s="48" t="s">
        <v>8190</v>
      </c>
    </row>
    <row r="3826" spans="2:9" ht="15" customHeight="1" x14ac:dyDescent="0.25">
      <c r="B3826" s="55" t="s">
        <v>279</v>
      </c>
      <c r="C3826" s="46">
        <v>3814</v>
      </c>
      <c r="D3826" s="69" t="s">
        <v>29416</v>
      </c>
      <c r="E3826" s="51"/>
      <c r="F3826" s="114" t="str">
        <f>IF(INDEX(I.Facility.P1IDNumber,3814)="","",INDEX(I.Facility.P1IDNumber,3814))</f>
        <v/>
      </c>
      <c r="G3826" s="51"/>
      <c r="H3826" s="46" t="str">
        <f>IF(AND(I.Developer.P1=TRUE,I.Facility.P1FacilityCount&gt;=3814,F3826=""),"Incomplete","Complete")</f>
        <v>Complete</v>
      </c>
      <c r="I3826" s="48" t="s">
        <v>8191</v>
      </c>
    </row>
    <row r="3827" spans="2:9" ht="15" customHeight="1" x14ac:dyDescent="0.25">
      <c r="B3827" s="55" t="s">
        <v>279</v>
      </c>
      <c r="C3827" s="46">
        <v>3815</v>
      </c>
      <c r="D3827" s="69" t="s">
        <v>29416</v>
      </c>
      <c r="E3827" s="51"/>
      <c r="F3827" s="114" t="str">
        <f>IF(INDEX(I.Facility.P1IDNumber,3815)="","",INDEX(I.Facility.P1IDNumber,3815))</f>
        <v/>
      </c>
      <c r="G3827" s="51"/>
      <c r="H3827" s="46" t="str">
        <f>IF(AND(I.Developer.P1=TRUE,I.Facility.P1FacilityCount&gt;=3815,F3827=""),"Incomplete","Complete")</f>
        <v>Complete</v>
      </c>
      <c r="I3827" s="48" t="s">
        <v>8192</v>
      </c>
    </row>
    <row r="3828" spans="2:9" ht="15" customHeight="1" x14ac:dyDescent="0.25">
      <c r="B3828" s="55" t="s">
        <v>279</v>
      </c>
      <c r="C3828" s="46">
        <v>3816</v>
      </c>
      <c r="D3828" s="69" t="s">
        <v>29416</v>
      </c>
      <c r="E3828" s="51"/>
      <c r="F3828" s="114" t="str">
        <f>IF(INDEX(I.Facility.P1IDNumber,3816)="","",INDEX(I.Facility.P1IDNumber,3816))</f>
        <v/>
      </c>
      <c r="G3828" s="51"/>
      <c r="H3828" s="46" t="str">
        <f>IF(AND(I.Developer.P1=TRUE,I.Facility.P1FacilityCount&gt;=3816,F3828=""),"Incomplete","Complete")</f>
        <v>Complete</v>
      </c>
      <c r="I3828" s="48" t="s">
        <v>8193</v>
      </c>
    </row>
    <row r="3829" spans="2:9" ht="15" customHeight="1" x14ac:dyDescent="0.25">
      <c r="B3829" s="55" t="s">
        <v>279</v>
      </c>
      <c r="C3829" s="46">
        <v>3817</v>
      </c>
      <c r="D3829" s="69" t="s">
        <v>29416</v>
      </c>
      <c r="E3829" s="51"/>
      <c r="F3829" s="114" t="str">
        <f>IF(INDEX(I.Facility.P1IDNumber,3817)="","",INDEX(I.Facility.P1IDNumber,3817))</f>
        <v/>
      </c>
      <c r="G3829" s="51"/>
      <c r="H3829" s="46" t="str">
        <f>IF(AND(I.Developer.P1=TRUE,I.Facility.P1FacilityCount&gt;=3817,F3829=""),"Incomplete","Complete")</f>
        <v>Complete</v>
      </c>
      <c r="I3829" s="48" t="s">
        <v>8194</v>
      </c>
    </row>
    <row r="3830" spans="2:9" ht="15" customHeight="1" x14ac:dyDescent="0.25">
      <c r="B3830" s="55" t="s">
        <v>279</v>
      </c>
      <c r="C3830" s="46">
        <v>3818</v>
      </c>
      <c r="D3830" s="69" t="s">
        <v>29416</v>
      </c>
      <c r="E3830" s="51"/>
      <c r="F3830" s="114" t="str">
        <f>IF(INDEX(I.Facility.P1IDNumber,3818)="","",INDEX(I.Facility.P1IDNumber,3818))</f>
        <v/>
      </c>
      <c r="G3830" s="51"/>
      <c r="H3830" s="46" t="str">
        <f>IF(AND(I.Developer.P1=TRUE,I.Facility.P1FacilityCount&gt;=3818,F3830=""),"Incomplete","Complete")</f>
        <v>Complete</v>
      </c>
      <c r="I3830" s="48" t="s">
        <v>8195</v>
      </c>
    </row>
    <row r="3831" spans="2:9" ht="15" customHeight="1" x14ac:dyDescent="0.25">
      <c r="B3831" s="55" t="s">
        <v>279</v>
      </c>
      <c r="C3831" s="46">
        <v>3819</v>
      </c>
      <c r="D3831" s="69" t="s">
        <v>29416</v>
      </c>
      <c r="E3831" s="51"/>
      <c r="F3831" s="114" t="str">
        <f>IF(INDEX(I.Facility.P1IDNumber,3819)="","",INDEX(I.Facility.P1IDNumber,3819))</f>
        <v/>
      </c>
      <c r="G3831" s="51"/>
      <c r="H3831" s="46" t="str">
        <f>IF(AND(I.Developer.P1=TRUE,I.Facility.P1FacilityCount&gt;=3819,F3831=""),"Incomplete","Complete")</f>
        <v>Complete</v>
      </c>
      <c r="I3831" s="48" t="s">
        <v>8196</v>
      </c>
    </row>
    <row r="3832" spans="2:9" ht="15" customHeight="1" x14ac:dyDescent="0.25">
      <c r="B3832" s="55" t="s">
        <v>279</v>
      </c>
      <c r="C3832" s="46">
        <v>3820</v>
      </c>
      <c r="D3832" s="69" t="s">
        <v>29416</v>
      </c>
      <c r="E3832" s="51"/>
      <c r="F3832" s="114" t="str">
        <f>IF(INDEX(I.Facility.P1IDNumber,3820)="","",INDEX(I.Facility.P1IDNumber,3820))</f>
        <v/>
      </c>
      <c r="G3832" s="51"/>
      <c r="H3832" s="46" t="str">
        <f>IF(AND(I.Developer.P1=TRUE,I.Facility.P1FacilityCount&gt;=3820,F3832=""),"Incomplete","Complete")</f>
        <v>Complete</v>
      </c>
      <c r="I3832" s="48" t="s">
        <v>8197</v>
      </c>
    </row>
    <row r="3833" spans="2:9" ht="15" customHeight="1" x14ac:dyDescent="0.25">
      <c r="B3833" s="55" t="s">
        <v>279</v>
      </c>
      <c r="C3833" s="46">
        <v>3821</v>
      </c>
      <c r="D3833" s="69" t="s">
        <v>29416</v>
      </c>
      <c r="E3833" s="51"/>
      <c r="F3833" s="114" t="str">
        <f>IF(INDEX(I.Facility.P1IDNumber,3821)="","",INDEX(I.Facility.P1IDNumber,3821))</f>
        <v/>
      </c>
      <c r="G3833" s="51"/>
      <c r="H3833" s="46" t="str">
        <f>IF(AND(I.Developer.P1=TRUE,I.Facility.P1FacilityCount&gt;=3821,F3833=""),"Incomplete","Complete")</f>
        <v>Complete</v>
      </c>
      <c r="I3833" s="48" t="s">
        <v>8198</v>
      </c>
    </row>
    <row r="3834" spans="2:9" ht="15" customHeight="1" x14ac:dyDescent="0.25">
      <c r="B3834" s="55" t="s">
        <v>279</v>
      </c>
      <c r="C3834" s="46">
        <v>3822</v>
      </c>
      <c r="D3834" s="69" t="s">
        <v>29416</v>
      </c>
      <c r="E3834" s="51"/>
      <c r="F3834" s="114" t="str">
        <f>IF(INDEX(I.Facility.P1IDNumber,3822)="","",INDEX(I.Facility.P1IDNumber,3822))</f>
        <v/>
      </c>
      <c r="G3834" s="51"/>
      <c r="H3834" s="46" t="str">
        <f>IF(AND(I.Developer.P1=TRUE,I.Facility.P1FacilityCount&gt;=3822,F3834=""),"Incomplete","Complete")</f>
        <v>Complete</v>
      </c>
      <c r="I3834" s="48" t="s">
        <v>8199</v>
      </c>
    </row>
    <row r="3835" spans="2:9" ht="15" customHeight="1" x14ac:dyDescent="0.25">
      <c r="B3835" s="55" t="s">
        <v>279</v>
      </c>
      <c r="C3835" s="46">
        <v>3823</v>
      </c>
      <c r="D3835" s="69" t="s">
        <v>29416</v>
      </c>
      <c r="E3835" s="51"/>
      <c r="F3835" s="114" t="str">
        <f>IF(INDEX(I.Facility.P1IDNumber,3823)="","",INDEX(I.Facility.P1IDNumber,3823))</f>
        <v/>
      </c>
      <c r="G3835" s="51"/>
      <c r="H3835" s="46" t="str">
        <f>IF(AND(I.Developer.P1=TRUE,I.Facility.P1FacilityCount&gt;=3823,F3835=""),"Incomplete","Complete")</f>
        <v>Complete</v>
      </c>
      <c r="I3835" s="48" t="s">
        <v>8200</v>
      </c>
    </row>
    <row r="3836" spans="2:9" ht="15" customHeight="1" x14ac:dyDescent="0.25">
      <c r="B3836" s="55" t="s">
        <v>279</v>
      </c>
      <c r="C3836" s="46">
        <v>3824</v>
      </c>
      <c r="D3836" s="69" t="s">
        <v>29416</v>
      </c>
      <c r="E3836" s="51"/>
      <c r="F3836" s="114" t="str">
        <f>IF(INDEX(I.Facility.P1IDNumber,3824)="","",INDEX(I.Facility.P1IDNumber,3824))</f>
        <v/>
      </c>
      <c r="G3836" s="51"/>
      <c r="H3836" s="46" t="str">
        <f>IF(AND(I.Developer.P1=TRUE,I.Facility.P1FacilityCount&gt;=3824,F3836=""),"Incomplete","Complete")</f>
        <v>Complete</v>
      </c>
      <c r="I3836" s="48" t="s">
        <v>8201</v>
      </c>
    </row>
    <row r="3837" spans="2:9" ht="15" customHeight="1" x14ac:dyDescent="0.25">
      <c r="B3837" s="55" t="s">
        <v>279</v>
      </c>
      <c r="C3837" s="46">
        <v>3825</v>
      </c>
      <c r="D3837" s="69" t="s">
        <v>29416</v>
      </c>
      <c r="E3837" s="51"/>
      <c r="F3837" s="114" t="str">
        <f>IF(INDEX(I.Facility.P1IDNumber,3825)="","",INDEX(I.Facility.P1IDNumber,3825))</f>
        <v/>
      </c>
      <c r="G3837" s="51"/>
      <c r="H3837" s="46" t="str">
        <f>IF(AND(I.Developer.P1=TRUE,I.Facility.P1FacilityCount&gt;=3825,F3837=""),"Incomplete","Complete")</f>
        <v>Complete</v>
      </c>
      <c r="I3837" s="48" t="s">
        <v>8202</v>
      </c>
    </row>
    <row r="3838" spans="2:9" ht="15" customHeight="1" x14ac:dyDescent="0.25">
      <c r="B3838" s="55" t="s">
        <v>279</v>
      </c>
      <c r="C3838" s="46">
        <v>3826</v>
      </c>
      <c r="D3838" s="69" t="s">
        <v>29416</v>
      </c>
      <c r="E3838" s="51"/>
      <c r="F3838" s="114" t="str">
        <f>IF(INDEX(I.Facility.P1IDNumber,3826)="","",INDEX(I.Facility.P1IDNumber,3826))</f>
        <v/>
      </c>
      <c r="G3838" s="51"/>
      <c r="H3838" s="46" t="str">
        <f>IF(AND(I.Developer.P1=TRUE,I.Facility.P1FacilityCount&gt;=3826,F3838=""),"Incomplete","Complete")</f>
        <v>Complete</v>
      </c>
      <c r="I3838" s="48" t="s">
        <v>8203</v>
      </c>
    </row>
    <row r="3839" spans="2:9" ht="15" customHeight="1" x14ac:dyDescent="0.25">
      <c r="B3839" s="55" t="s">
        <v>279</v>
      </c>
      <c r="C3839" s="46">
        <v>3827</v>
      </c>
      <c r="D3839" s="69" t="s">
        <v>29416</v>
      </c>
      <c r="E3839" s="51"/>
      <c r="F3839" s="114" t="str">
        <f>IF(INDEX(I.Facility.P1IDNumber,3827)="","",INDEX(I.Facility.P1IDNumber,3827))</f>
        <v/>
      </c>
      <c r="G3839" s="51"/>
      <c r="H3839" s="46" t="str">
        <f>IF(AND(I.Developer.P1=TRUE,I.Facility.P1FacilityCount&gt;=3827,F3839=""),"Incomplete","Complete")</f>
        <v>Complete</v>
      </c>
      <c r="I3839" s="48" t="s">
        <v>8204</v>
      </c>
    </row>
    <row r="3840" spans="2:9" ht="15" customHeight="1" x14ac:dyDescent="0.25">
      <c r="B3840" s="55" t="s">
        <v>279</v>
      </c>
      <c r="C3840" s="46">
        <v>3828</v>
      </c>
      <c r="D3840" s="69" t="s">
        <v>29416</v>
      </c>
      <c r="E3840" s="51"/>
      <c r="F3840" s="114" t="str">
        <f>IF(INDEX(I.Facility.P1IDNumber,3828)="","",INDEX(I.Facility.P1IDNumber,3828))</f>
        <v/>
      </c>
      <c r="G3840" s="51"/>
      <c r="H3840" s="46" t="str">
        <f>IF(AND(I.Developer.P1=TRUE,I.Facility.P1FacilityCount&gt;=3828,F3840=""),"Incomplete","Complete")</f>
        <v>Complete</v>
      </c>
      <c r="I3840" s="48" t="s">
        <v>8205</v>
      </c>
    </row>
    <row r="3841" spans="2:9" ht="15" customHeight="1" x14ac:dyDescent="0.25">
      <c r="B3841" s="55" t="s">
        <v>279</v>
      </c>
      <c r="C3841" s="46">
        <v>3829</v>
      </c>
      <c r="D3841" s="69" t="s">
        <v>29416</v>
      </c>
      <c r="E3841" s="51"/>
      <c r="F3841" s="114" t="str">
        <f>IF(INDEX(I.Facility.P1IDNumber,3829)="","",INDEX(I.Facility.P1IDNumber,3829))</f>
        <v/>
      </c>
      <c r="G3841" s="51"/>
      <c r="H3841" s="46" t="str">
        <f>IF(AND(I.Developer.P1=TRUE,I.Facility.P1FacilityCount&gt;=3829,F3841=""),"Incomplete","Complete")</f>
        <v>Complete</v>
      </c>
      <c r="I3841" s="48" t="s">
        <v>8206</v>
      </c>
    </row>
    <row r="3842" spans="2:9" ht="15" customHeight="1" x14ac:dyDescent="0.25">
      <c r="B3842" s="55" t="s">
        <v>279</v>
      </c>
      <c r="C3842" s="46">
        <v>3830</v>
      </c>
      <c r="D3842" s="69" t="s">
        <v>29416</v>
      </c>
      <c r="E3842" s="51"/>
      <c r="F3842" s="114" t="str">
        <f>IF(INDEX(I.Facility.P1IDNumber,3830)="","",INDEX(I.Facility.P1IDNumber,3830))</f>
        <v/>
      </c>
      <c r="G3842" s="51"/>
      <c r="H3842" s="46" t="str">
        <f>IF(AND(I.Developer.P1=TRUE,I.Facility.P1FacilityCount&gt;=3830,F3842=""),"Incomplete","Complete")</f>
        <v>Complete</v>
      </c>
      <c r="I3842" s="48" t="s">
        <v>8207</v>
      </c>
    </row>
    <row r="3843" spans="2:9" ht="15" customHeight="1" x14ac:dyDescent="0.25">
      <c r="B3843" s="55" t="s">
        <v>279</v>
      </c>
      <c r="C3843" s="46">
        <v>3831</v>
      </c>
      <c r="D3843" s="69" t="s">
        <v>29416</v>
      </c>
      <c r="E3843" s="51"/>
      <c r="F3843" s="114" t="str">
        <f>IF(INDEX(I.Facility.P1IDNumber,3831)="","",INDEX(I.Facility.P1IDNumber,3831))</f>
        <v/>
      </c>
      <c r="G3843" s="51"/>
      <c r="H3843" s="46" t="str">
        <f>IF(AND(I.Developer.P1=TRUE,I.Facility.P1FacilityCount&gt;=3831,F3843=""),"Incomplete","Complete")</f>
        <v>Complete</v>
      </c>
      <c r="I3843" s="48" t="s">
        <v>8208</v>
      </c>
    </row>
    <row r="3844" spans="2:9" ht="15" customHeight="1" x14ac:dyDescent="0.25">
      <c r="B3844" s="55" t="s">
        <v>279</v>
      </c>
      <c r="C3844" s="46">
        <v>3832</v>
      </c>
      <c r="D3844" s="69" t="s">
        <v>29416</v>
      </c>
      <c r="E3844" s="51"/>
      <c r="F3844" s="114" t="str">
        <f>IF(INDEX(I.Facility.P1IDNumber,3832)="","",INDEX(I.Facility.P1IDNumber,3832))</f>
        <v/>
      </c>
      <c r="G3844" s="51"/>
      <c r="H3844" s="46" t="str">
        <f>IF(AND(I.Developer.P1=TRUE,I.Facility.P1FacilityCount&gt;=3832,F3844=""),"Incomplete","Complete")</f>
        <v>Complete</v>
      </c>
      <c r="I3844" s="48" t="s">
        <v>8209</v>
      </c>
    </row>
    <row r="3845" spans="2:9" ht="15" customHeight="1" x14ac:dyDescent="0.25">
      <c r="B3845" s="55" t="s">
        <v>279</v>
      </c>
      <c r="C3845" s="46">
        <v>3833</v>
      </c>
      <c r="D3845" s="69" t="s">
        <v>29416</v>
      </c>
      <c r="E3845" s="51"/>
      <c r="F3845" s="114" t="str">
        <f>IF(INDEX(I.Facility.P1IDNumber,3833)="","",INDEX(I.Facility.P1IDNumber,3833))</f>
        <v/>
      </c>
      <c r="G3845" s="51"/>
      <c r="H3845" s="46" t="str">
        <f>IF(AND(I.Developer.P1=TRUE,I.Facility.P1FacilityCount&gt;=3833,F3845=""),"Incomplete","Complete")</f>
        <v>Complete</v>
      </c>
      <c r="I3845" s="48" t="s">
        <v>8210</v>
      </c>
    </row>
    <row r="3846" spans="2:9" ht="15" customHeight="1" x14ac:dyDescent="0.25">
      <c r="B3846" s="55" t="s">
        <v>279</v>
      </c>
      <c r="C3846" s="46">
        <v>3834</v>
      </c>
      <c r="D3846" s="69" t="s">
        <v>29416</v>
      </c>
      <c r="E3846" s="51"/>
      <c r="F3846" s="114" t="str">
        <f>IF(INDEX(I.Facility.P1IDNumber,3834)="","",INDEX(I.Facility.P1IDNumber,3834))</f>
        <v/>
      </c>
      <c r="G3846" s="51"/>
      <c r="H3846" s="46" t="str">
        <f>IF(AND(I.Developer.P1=TRUE,I.Facility.P1FacilityCount&gt;=3834,F3846=""),"Incomplete","Complete")</f>
        <v>Complete</v>
      </c>
      <c r="I3846" s="48" t="s">
        <v>8211</v>
      </c>
    </row>
    <row r="3847" spans="2:9" ht="15" customHeight="1" x14ac:dyDescent="0.25">
      <c r="B3847" s="55" t="s">
        <v>279</v>
      </c>
      <c r="C3847" s="46">
        <v>3835</v>
      </c>
      <c r="D3847" s="69" t="s">
        <v>29416</v>
      </c>
      <c r="E3847" s="51"/>
      <c r="F3847" s="114" t="str">
        <f>IF(INDEX(I.Facility.P1IDNumber,3835)="","",INDEX(I.Facility.P1IDNumber,3835))</f>
        <v/>
      </c>
      <c r="G3847" s="51"/>
      <c r="H3847" s="46" t="str">
        <f>IF(AND(I.Developer.P1=TRUE,I.Facility.P1FacilityCount&gt;=3835,F3847=""),"Incomplete","Complete")</f>
        <v>Complete</v>
      </c>
      <c r="I3847" s="48" t="s">
        <v>8212</v>
      </c>
    </row>
    <row r="3848" spans="2:9" ht="15" customHeight="1" x14ac:dyDescent="0.25">
      <c r="B3848" s="55" t="s">
        <v>279</v>
      </c>
      <c r="C3848" s="46">
        <v>3836</v>
      </c>
      <c r="D3848" s="69" t="s">
        <v>29416</v>
      </c>
      <c r="E3848" s="51"/>
      <c r="F3848" s="114" t="str">
        <f>IF(INDEX(I.Facility.P1IDNumber,3836)="","",INDEX(I.Facility.P1IDNumber,3836))</f>
        <v/>
      </c>
      <c r="G3848" s="51"/>
      <c r="H3848" s="46" t="str">
        <f>IF(AND(I.Developer.P1=TRUE,I.Facility.P1FacilityCount&gt;=3836,F3848=""),"Incomplete","Complete")</f>
        <v>Complete</v>
      </c>
      <c r="I3848" s="48" t="s">
        <v>8213</v>
      </c>
    </row>
    <row r="3849" spans="2:9" ht="15" customHeight="1" x14ac:dyDescent="0.25">
      <c r="B3849" s="55" t="s">
        <v>279</v>
      </c>
      <c r="C3849" s="46">
        <v>3837</v>
      </c>
      <c r="D3849" s="69" t="s">
        <v>29416</v>
      </c>
      <c r="E3849" s="51"/>
      <c r="F3849" s="114" t="str">
        <f>IF(INDEX(I.Facility.P1IDNumber,3837)="","",INDEX(I.Facility.P1IDNumber,3837))</f>
        <v/>
      </c>
      <c r="G3849" s="51"/>
      <c r="H3849" s="46" t="str">
        <f>IF(AND(I.Developer.P1=TRUE,I.Facility.P1FacilityCount&gt;=3837,F3849=""),"Incomplete","Complete")</f>
        <v>Complete</v>
      </c>
      <c r="I3849" s="48" t="s">
        <v>8214</v>
      </c>
    </row>
    <row r="3850" spans="2:9" ht="15" customHeight="1" x14ac:dyDescent="0.25">
      <c r="B3850" s="55" t="s">
        <v>279</v>
      </c>
      <c r="C3850" s="46">
        <v>3838</v>
      </c>
      <c r="D3850" s="69" t="s">
        <v>29416</v>
      </c>
      <c r="E3850" s="51"/>
      <c r="F3850" s="114" t="str">
        <f>IF(INDEX(I.Facility.P1IDNumber,3838)="","",INDEX(I.Facility.P1IDNumber,3838))</f>
        <v/>
      </c>
      <c r="G3850" s="51"/>
      <c r="H3850" s="46" t="str">
        <f>IF(AND(I.Developer.P1=TRUE,I.Facility.P1FacilityCount&gt;=3838,F3850=""),"Incomplete","Complete")</f>
        <v>Complete</v>
      </c>
      <c r="I3850" s="48" t="s">
        <v>8215</v>
      </c>
    </row>
    <row r="3851" spans="2:9" ht="15" customHeight="1" x14ac:dyDescent="0.25">
      <c r="B3851" s="55" t="s">
        <v>279</v>
      </c>
      <c r="C3851" s="46">
        <v>3839</v>
      </c>
      <c r="D3851" s="69" t="s">
        <v>29416</v>
      </c>
      <c r="E3851" s="51"/>
      <c r="F3851" s="114" t="str">
        <f>IF(INDEX(I.Facility.P1IDNumber,3839)="","",INDEX(I.Facility.P1IDNumber,3839))</f>
        <v/>
      </c>
      <c r="G3851" s="51"/>
      <c r="H3851" s="46" t="str">
        <f>IF(AND(I.Developer.P1=TRUE,I.Facility.P1FacilityCount&gt;=3839,F3851=""),"Incomplete","Complete")</f>
        <v>Complete</v>
      </c>
      <c r="I3851" s="48" t="s">
        <v>8216</v>
      </c>
    </row>
    <row r="3852" spans="2:9" ht="15" customHeight="1" x14ac:dyDescent="0.25">
      <c r="B3852" s="55" t="s">
        <v>279</v>
      </c>
      <c r="C3852" s="46">
        <v>3840</v>
      </c>
      <c r="D3852" s="69" t="s">
        <v>29416</v>
      </c>
      <c r="E3852" s="51"/>
      <c r="F3852" s="114" t="str">
        <f>IF(INDEX(I.Facility.P1IDNumber,3840)="","",INDEX(I.Facility.P1IDNumber,3840))</f>
        <v/>
      </c>
      <c r="G3852" s="51"/>
      <c r="H3852" s="46" t="str">
        <f>IF(AND(I.Developer.P1=TRUE,I.Facility.P1FacilityCount&gt;=3840,F3852=""),"Incomplete","Complete")</f>
        <v>Complete</v>
      </c>
      <c r="I3852" s="48" t="s">
        <v>8217</v>
      </c>
    </row>
    <row r="3853" spans="2:9" ht="15" customHeight="1" x14ac:dyDescent="0.25">
      <c r="B3853" s="55" t="s">
        <v>279</v>
      </c>
      <c r="C3853" s="46">
        <v>3841</v>
      </c>
      <c r="D3853" s="69" t="s">
        <v>29416</v>
      </c>
      <c r="E3853" s="51"/>
      <c r="F3853" s="114" t="str">
        <f>IF(INDEX(I.Facility.P1IDNumber,3841)="","",INDEX(I.Facility.P1IDNumber,3841))</f>
        <v/>
      </c>
      <c r="G3853" s="51"/>
      <c r="H3853" s="46" t="str">
        <f>IF(AND(I.Developer.P1=TRUE,I.Facility.P1FacilityCount&gt;=3841,F3853=""),"Incomplete","Complete")</f>
        <v>Complete</v>
      </c>
      <c r="I3853" s="48" t="s">
        <v>8218</v>
      </c>
    </row>
    <row r="3854" spans="2:9" ht="15" customHeight="1" x14ac:dyDescent="0.25">
      <c r="B3854" s="55" t="s">
        <v>279</v>
      </c>
      <c r="C3854" s="46">
        <v>3842</v>
      </c>
      <c r="D3854" s="69" t="s">
        <v>29416</v>
      </c>
      <c r="E3854" s="51"/>
      <c r="F3854" s="114" t="str">
        <f>IF(INDEX(I.Facility.P1IDNumber,3842)="","",INDEX(I.Facility.P1IDNumber,3842))</f>
        <v/>
      </c>
      <c r="G3854" s="51"/>
      <c r="H3854" s="46" t="str">
        <f>IF(AND(I.Developer.P1=TRUE,I.Facility.P1FacilityCount&gt;=3842,F3854=""),"Incomplete","Complete")</f>
        <v>Complete</v>
      </c>
      <c r="I3854" s="48" t="s">
        <v>8219</v>
      </c>
    </row>
    <row r="3855" spans="2:9" ht="15" customHeight="1" x14ac:dyDescent="0.25">
      <c r="B3855" s="55" t="s">
        <v>279</v>
      </c>
      <c r="C3855" s="46">
        <v>3843</v>
      </c>
      <c r="D3855" s="69" t="s">
        <v>29416</v>
      </c>
      <c r="E3855" s="51"/>
      <c r="F3855" s="114" t="str">
        <f>IF(INDEX(I.Facility.P1IDNumber,3843)="","",INDEX(I.Facility.P1IDNumber,3843))</f>
        <v/>
      </c>
      <c r="G3855" s="51"/>
      <c r="H3855" s="46" t="str">
        <f>IF(AND(I.Developer.P1=TRUE,I.Facility.P1FacilityCount&gt;=3843,F3855=""),"Incomplete","Complete")</f>
        <v>Complete</v>
      </c>
      <c r="I3855" s="48" t="s">
        <v>8220</v>
      </c>
    </row>
    <row r="3856" spans="2:9" ht="15" customHeight="1" x14ac:dyDescent="0.25">
      <c r="B3856" s="55" t="s">
        <v>279</v>
      </c>
      <c r="C3856" s="46">
        <v>3844</v>
      </c>
      <c r="D3856" s="69" t="s">
        <v>29416</v>
      </c>
      <c r="E3856" s="51"/>
      <c r="F3856" s="114" t="str">
        <f>IF(INDEX(I.Facility.P1IDNumber,3844)="","",INDEX(I.Facility.P1IDNumber,3844))</f>
        <v/>
      </c>
      <c r="G3856" s="51"/>
      <c r="H3856" s="46" t="str">
        <f>IF(AND(I.Developer.P1=TRUE,I.Facility.P1FacilityCount&gt;=3844,F3856=""),"Incomplete","Complete")</f>
        <v>Complete</v>
      </c>
      <c r="I3856" s="48" t="s">
        <v>8221</v>
      </c>
    </row>
    <row r="3857" spans="2:9" ht="15" customHeight="1" x14ac:dyDescent="0.25">
      <c r="B3857" s="55" t="s">
        <v>279</v>
      </c>
      <c r="C3857" s="46">
        <v>3845</v>
      </c>
      <c r="D3857" s="69" t="s">
        <v>29416</v>
      </c>
      <c r="E3857" s="51"/>
      <c r="F3857" s="114" t="str">
        <f>IF(INDEX(I.Facility.P1IDNumber,3845)="","",INDEX(I.Facility.P1IDNumber,3845))</f>
        <v/>
      </c>
      <c r="G3857" s="51"/>
      <c r="H3857" s="46" t="str">
        <f>IF(AND(I.Developer.P1=TRUE,I.Facility.P1FacilityCount&gt;=3845,F3857=""),"Incomplete","Complete")</f>
        <v>Complete</v>
      </c>
      <c r="I3857" s="48" t="s">
        <v>8222</v>
      </c>
    </row>
    <row r="3858" spans="2:9" ht="15" customHeight="1" x14ac:dyDescent="0.25">
      <c r="B3858" s="55" t="s">
        <v>279</v>
      </c>
      <c r="C3858" s="46">
        <v>3846</v>
      </c>
      <c r="D3858" s="69" t="s">
        <v>29416</v>
      </c>
      <c r="E3858" s="51"/>
      <c r="F3858" s="114" t="str">
        <f>IF(INDEX(I.Facility.P1IDNumber,3846)="","",INDEX(I.Facility.P1IDNumber,3846))</f>
        <v/>
      </c>
      <c r="G3858" s="51"/>
      <c r="H3858" s="46" t="str">
        <f>IF(AND(I.Developer.P1=TRUE,I.Facility.P1FacilityCount&gt;=3846,F3858=""),"Incomplete","Complete")</f>
        <v>Complete</v>
      </c>
      <c r="I3858" s="48" t="s">
        <v>8223</v>
      </c>
    </row>
    <row r="3859" spans="2:9" ht="15" customHeight="1" x14ac:dyDescent="0.25">
      <c r="B3859" s="55" t="s">
        <v>279</v>
      </c>
      <c r="C3859" s="46">
        <v>3847</v>
      </c>
      <c r="D3859" s="69" t="s">
        <v>29416</v>
      </c>
      <c r="E3859" s="51"/>
      <c r="F3859" s="114" t="str">
        <f>IF(INDEX(I.Facility.P1IDNumber,3847)="","",INDEX(I.Facility.P1IDNumber,3847))</f>
        <v/>
      </c>
      <c r="G3859" s="51"/>
      <c r="H3859" s="46" t="str">
        <f>IF(AND(I.Developer.P1=TRUE,I.Facility.P1FacilityCount&gt;=3847,F3859=""),"Incomplete","Complete")</f>
        <v>Complete</v>
      </c>
      <c r="I3859" s="48" t="s">
        <v>8224</v>
      </c>
    </row>
    <row r="3860" spans="2:9" ht="15" customHeight="1" x14ac:dyDescent="0.25">
      <c r="B3860" s="55" t="s">
        <v>279</v>
      </c>
      <c r="C3860" s="46">
        <v>3848</v>
      </c>
      <c r="D3860" s="69" t="s">
        <v>29416</v>
      </c>
      <c r="E3860" s="51"/>
      <c r="F3860" s="114" t="str">
        <f>IF(INDEX(I.Facility.P1IDNumber,3848)="","",INDEX(I.Facility.P1IDNumber,3848))</f>
        <v/>
      </c>
      <c r="G3860" s="51"/>
      <c r="H3860" s="46" t="str">
        <f>IF(AND(I.Developer.P1=TRUE,I.Facility.P1FacilityCount&gt;=3848,F3860=""),"Incomplete","Complete")</f>
        <v>Complete</v>
      </c>
      <c r="I3860" s="48" t="s">
        <v>8225</v>
      </c>
    </row>
    <row r="3861" spans="2:9" ht="15" customHeight="1" x14ac:dyDescent="0.25">
      <c r="B3861" s="55" t="s">
        <v>279</v>
      </c>
      <c r="C3861" s="46">
        <v>3849</v>
      </c>
      <c r="D3861" s="69" t="s">
        <v>29416</v>
      </c>
      <c r="E3861" s="51"/>
      <c r="F3861" s="114" t="str">
        <f>IF(INDEX(I.Facility.P1IDNumber,3849)="","",INDEX(I.Facility.P1IDNumber,3849))</f>
        <v/>
      </c>
      <c r="G3861" s="51"/>
      <c r="H3861" s="46" t="str">
        <f>IF(AND(I.Developer.P1=TRUE,I.Facility.P1FacilityCount&gt;=3849,F3861=""),"Incomplete","Complete")</f>
        <v>Complete</v>
      </c>
      <c r="I3861" s="48" t="s">
        <v>8226</v>
      </c>
    </row>
    <row r="3862" spans="2:9" ht="15" customHeight="1" x14ac:dyDescent="0.25">
      <c r="B3862" s="55" t="s">
        <v>279</v>
      </c>
      <c r="C3862" s="46">
        <v>3850</v>
      </c>
      <c r="D3862" s="69" t="s">
        <v>29416</v>
      </c>
      <c r="E3862" s="51"/>
      <c r="F3862" s="114" t="str">
        <f>IF(INDEX(I.Facility.P1IDNumber,3850)="","",INDEX(I.Facility.P1IDNumber,3850))</f>
        <v/>
      </c>
      <c r="G3862" s="51"/>
      <c r="H3862" s="46" t="str">
        <f>IF(AND(I.Developer.P1=TRUE,I.Facility.P1FacilityCount&gt;=3850,F3862=""),"Incomplete","Complete")</f>
        <v>Complete</v>
      </c>
      <c r="I3862" s="48" t="s">
        <v>8227</v>
      </c>
    </row>
    <row r="3863" spans="2:9" ht="15" customHeight="1" x14ac:dyDescent="0.25">
      <c r="B3863" s="55" t="s">
        <v>279</v>
      </c>
      <c r="C3863" s="46">
        <v>3851</v>
      </c>
      <c r="D3863" s="69" t="s">
        <v>29416</v>
      </c>
      <c r="E3863" s="51"/>
      <c r="F3863" s="114" t="str">
        <f>IF(INDEX(I.Facility.P1IDNumber,3851)="","",INDEX(I.Facility.P1IDNumber,3851))</f>
        <v/>
      </c>
      <c r="G3863" s="51"/>
      <c r="H3863" s="46" t="str">
        <f>IF(AND(I.Developer.P1=TRUE,I.Facility.P1FacilityCount&gt;=3851,F3863=""),"Incomplete","Complete")</f>
        <v>Complete</v>
      </c>
      <c r="I3863" s="48" t="s">
        <v>8228</v>
      </c>
    </row>
    <row r="3864" spans="2:9" ht="15" customHeight="1" x14ac:dyDescent="0.25">
      <c r="B3864" s="55" t="s">
        <v>279</v>
      </c>
      <c r="C3864" s="46">
        <v>3852</v>
      </c>
      <c r="D3864" s="69" t="s">
        <v>29416</v>
      </c>
      <c r="E3864" s="51"/>
      <c r="F3864" s="114" t="str">
        <f>IF(INDEX(I.Facility.P1IDNumber,3852)="","",INDEX(I.Facility.P1IDNumber,3852))</f>
        <v/>
      </c>
      <c r="G3864" s="51"/>
      <c r="H3864" s="46" t="str">
        <f>IF(AND(I.Developer.P1=TRUE,I.Facility.P1FacilityCount&gt;=3852,F3864=""),"Incomplete","Complete")</f>
        <v>Complete</v>
      </c>
      <c r="I3864" s="48" t="s">
        <v>8229</v>
      </c>
    </row>
    <row r="3865" spans="2:9" ht="15" customHeight="1" x14ac:dyDescent="0.25">
      <c r="B3865" s="55" t="s">
        <v>279</v>
      </c>
      <c r="C3865" s="46">
        <v>3853</v>
      </c>
      <c r="D3865" s="69" t="s">
        <v>29416</v>
      </c>
      <c r="E3865" s="51"/>
      <c r="F3865" s="114" t="str">
        <f>IF(INDEX(I.Facility.P1IDNumber,3853)="","",INDEX(I.Facility.P1IDNumber,3853))</f>
        <v/>
      </c>
      <c r="G3865" s="51"/>
      <c r="H3865" s="46" t="str">
        <f>IF(AND(I.Developer.P1=TRUE,I.Facility.P1FacilityCount&gt;=3853,F3865=""),"Incomplete","Complete")</f>
        <v>Complete</v>
      </c>
      <c r="I3865" s="48" t="s">
        <v>8230</v>
      </c>
    </row>
    <row r="3866" spans="2:9" ht="15" customHeight="1" x14ac:dyDescent="0.25">
      <c r="B3866" s="55" t="s">
        <v>279</v>
      </c>
      <c r="C3866" s="46">
        <v>3854</v>
      </c>
      <c r="D3866" s="69" t="s">
        <v>29416</v>
      </c>
      <c r="E3866" s="51"/>
      <c r="F3866" s="114" t="str">
        <f>IF(INDEX(I.Facility.P1IDNumber,3854)="","",INDEX(I.Facility.P1IDNumber,3854))</f>
        <v/>
      </c>
      <c r="G3866" s="51"/>
      <c r="H3866" s="46" t="str">
        <f>IF(AND(I.Developer.P1=TRUE,I.Facility.P1FacilityCount&gt;=3854,F3866=""),"Incomplete","Complete")</f>
        <v>Complete</v>
      </c>
      <c r="I3866" s="48" t="s">
        <v>8231</v>
      </c>
    </row>
    <row r="3867" spans="2:9" ht="15" customHeight="1" x14ac:dyDescent="0.25">
      <c r="B3867" s="55" t="s">
        <v>279</v>
      </c>
      <c r="C3867" s="46">
        <v>3855</v>
      </c>
      <c r="D3867" s="69" t="s">
        <v>29416</v>
      </c>
      <c r="E3867" s="51"/>
      <c r="F3867" s="114" t="str">
        <f>IF(INDEX(I.Facility.P1IDNumber,3855)="","",INDEX(I.Facility.P1IDNumber,3855))</f>
        <v/>
      </c>
      <c r="G3867" s="51"/>
      <c r="H3867" s="46" t="str">
        <f>IF(AND(I.Developer.P1=TRUE,I.Facility.P1FacilityCount&gt;=3855,F3867=""),"Incomplete","Complete")</f>
        <v>Complete</v>
      </c>
      <c r="I3867" s="48" t="s">
        <v>8232</v>
      </c>
    </row>
    <row r="3868" spans="2:9" ht="15" customHeight="1" x14ac:dyDescent="0.25">
      <c r="B3868" s="55" t="s">
        <v>279</v>
      </c>
      <c r="C3868" s="46">
        <v>3856</v>
      </c>
      <c r="D3868" s="69" t="s">
        <v>29416</v>
      </c>
      <c r="E3868" s="51"/>
      <c r="F3868" s="114" t="str">
        <f>IF(INDEX(I.Facility.P1IDNumber,3856)="","",INDEX(I.Facility.P1IDNumber,3856))</f>
        <v/>
      </c>
      <c r="G3868" s="51"/>
      <c r="H3868" s="46" t="str">
        <f>IF(AND(I.Developer.P1=TRUE,I.Facility.P1FacilityCount&gt;=3856,F3868=""),"Incomplete","Complete")</f>
        <v>Complete</v>
      </c>
      <c r="I3868" s="48" t="s">
        <v>8233</v>
      </c>
    </row>
    <row r="3869" spans="2:9" ht="15" customHeight="1" x14ac:dyDescent="0.25">
      <c r="B3869" s="55" t="s">
        <v>279</v>
      </c>
      <c r="C3869" s="46">
        <v>3857</v>
      </c>
      <c r="D3869" s="69" t="s">
        <v>29416</v>
      </c>
      <c r="E3869" s="51"/>
      <c r="F3869" s="114" t="str">
        <f>IF(INDEX(I.Facility.P1IDNumber,3857)="","",INDEX(I.Facility.P1IDNumber,3857))</f>
        <v/>
      </c>
      <c r="G3869" s="51"/>
      <c r="H3869" s="46" t="str">
        <f>IF(AND(I.Developer.P1=TRUE,I.Facility.P1FacilityCount&gt;=3857,F3869=""),"Incomplete","Complete")</f>
        <v>Complete</v>
      </c>
      <c r="I3869" s="48" t="s">
        <v>8234</v>
      </c>
    </row>
    <row r="3870" spans="2:9" ht="15" customHeight="1" x14ac:dyDescent="0.25">
      <c r="B3870" s="55" t="s">
        <v>279</v>
      </c>
      <c r="C3870" s="46">
        <v>3858</v>
      </c>
      <c r="D3870" s="69" t="s">
        <v>29416</v>
      </c>
      <c r="E3870" s="51"/>
      <c r="F3870" s="114" t="str">
        <f>IF(INDEX(I.Facility.P1IDNumber,3858)="","",INDEX(I.Facility.P1IDNumber,3858))</f>
        <v/>
      </c>
      <c r="G3870" s="51"/>
      <c r="H3870" s="46" t="str">
        <f>IF(AND(I.Developer.P1=TRUE,I.Facility.P1FacilityCount&gt;=3858,F3870=""),"Incomplete","Complete")</f>
        <v>Complete</v>
      </c>
      <c r="I3870" s="48" t="s">
        <v>8235</v>
      </c>
    </row>
    <row r="3871" spans="2:9" ht="15" customHeight="1" x14ac:dyDescent="0.25">
      <c r="B3871" s="55" t="s">
        <v>279</v>
      </c>
      <c r="C3871" s="46">
        <v>3859</v>
      </c>
      <c r="D3871" s="69" t="s">
        <v>29416</v>
      </c>
      <c r="E3871" s="51"/>
      <c r="F3871" s="114" t="str">
        <f>IF(INDEX(I.Facility.P1IDNumber,3859)="","",INDEX(I.Facility.P1IDNumber,3859))</f>
        <v/>
      </c>
      <c r="G3871" s="51"/>
      <c r="H3871" s="46" t="str">
        <f>IF(AND(I.Developer.P1=TRUE,I.Facility.P1FacilityCount&gt;=3859,F3871=""),"Incomplete","Complete")</f>
        <v>Complete</v>
      </c>
      <c r="I3871" s="48" t="s">
        <v>8236</v>
      </c>
    </row>
    <row r="3872" spans="2:9" ht="15" customHeight="1" x14ac:dyDescent="0.25">
      <c r="B3872" s="55" t="s">
        <v>279</v>
      </c>
      <c r="C3872" s="46">
        <v>3860</v>
      </c>
      <c r="D3872" s="69" t="s">
        <v>29416</v>
      </c>
      <c r="E3872" s="51"/>
      <c r="F3872" s="114" t="str">
        <f>IF(INDEX(I.Facility.P1IDNumber,3860)="","",INDEX(I.Facility.P1IDNumber,3860))</f>
        <v/>
      </c>
      <c r="G3872" s="51"/>
      <c r="H3872" s="46" t="str">
        <f>IF(AND(I.Developer.P1=TRUE,I.Facility.P1FacilityCount&gt;=3860,F3872=""),"Incomplete","Complete")</f>
        <v>Complete</v>
      </c>
      <c r="I3872" s="48" t="s">
        <v>8237</v>
      </c>
    </row>
    <row r="3873" spans="2:9" ht="15" customHeight="1" x14ac:dyDescent="0.25">
      <c r="B3873" s="55" t="s">
        <v>279</v>
      </c>
      <c r="C3873" s="46">
        <v>3861</v>
      </c>
      <c r="D3873" s="69" t="s">
        <v>29416</v>
      </c>
      <c r="E3873" s="51"/>
      <c r="F3873" s="114" t="str">
        <f>IF(INDEX(I.Facility.P1IDNumber,3861)="","",INDEX(I.Facility.P1IDNumber,3861))</f>
        <v/>
      </c>
      <c r="G3873" s="51"/>
      <c r="H3873" s="46" t="str">
        <f>IF(AND(I.Developer.P1=TRUE,I.Facility.P1FacilityCount&gt;=3861,F3873=""),"Incomplete","Complete")</f>
        <v>Complete</v>
      </c>
      <c r="I3873" s="48" t="s">
        <v>8238</v>
      </c>
    </row>
    <row r="3874" spans="2:9" ht="15" customHeight="1" x14ac:dyDescent="0.25">
      <c r="B3874" s="55" t="s">
        <v>279</v>
      </c>
      <c r="C3874" s="46">
        <v>3862</v>
      </c>
      <c r="D3874" s="69" t="s">
        <v>29416</v>
      </c>
      <c r="E3874" s="51"/>
      <c r="F3874" s="114" t="str">
        <f>IF(INDEX(I.Facility.P1IDNumber,3862)="","",INDEX(I.Facility.P1IDNumber,3862))</f>
        <v/>
      </c>
      <c r="G3874" s="51"/>
      <c r="H3874" s="46" t="str">
        <f>IF(AND(I.Developer.P1=TRUE,I.Facility.P1FacilityCount&gt;=3862,F3874=""),"Incomplete","Complete")</f>
        <v>Complete</v>
      </c>
      <c r="I3874" s="48" t="s">
        <v>8239</v>
      </c>
    </row>
    <row r="3875" spans="2:9" ht="15" customHeight="1" x14ac:dyDescent="0.25">
      <c r="B3875" s="55" t="s">
        <v>279</v>
      </c>
      <c r="C3875" s="46">
        <v>3863</v>
      </c>
      <c r="D3875" s="69" t="s">
        <v>29416</v>
      </c>
      <c r="E3875" s="51"/>
      <c r="F3875" s="114" t="str">
        <f>IF(INDEX(I.Facility.P1IDNumber,3863)="","",INDEX(I.Facility.P1IDNumber,3863))</f>
        <v/>
      </c>
      <c r="G3875" s="51"/>
      <c r="H3875" s="46" t="str">
        <f>IF(AND(I.Developer.P1=TRUE,I.Facility.P1FacilityCount&gt;=3863,F3875=""),"Incomplete","Complete")</f>
        <v>Complete</v>
      </c>
      <c r="I3875" s="48" t="s">
        <v>8240</v>
      </c>
    </row>
    <row r="3876" spans="2:9" ht="15" customHeight="1" x14ac:dyDescent="0.25">
      <c r="B3876" s="55" t="s">
        <v>279</v>
      </c>
      <c r="C3876" s="46">
        <v>3864</v>
      </c>
      <c r="D3876" s="69" t="s">
        <v>29416</v>
      </c>
      <c r="E3876" s="51"/>
      <c r="F3876" s="114" t="str">
        <f>IF(INDEX(I.Facility.P1IDNumber,3864)="","",INDEX(I.Facility.P1IDNumber,3864))</f>
        <v/>
      </c>
      <c r="G3876" s="51"/>
      <c r="H3876" s="46" t="str">
        <f>IF(AND(I.Developer.P1=TRUE,I.Facility.P1FacilityCount&gt;=3864,F3876=""),"Incomplete","Complete")</f>
        <v>Complete</v>
      </c>
      <c r="I3876" s="48" t="s">
        <v>8241</v>
      </c>
    </row>
    <row r="3877" spans="2:9" ht="15" customHeight="1" x14ac:dyDescent="0.25">
      <c r="B3877" s="55" t="s">
        <v>279</v>
      </c>
      <c r="C3877" s="46">
        <v>3865</v>
      </c>
      <c r="D3877" s="69" t="s">
        <v>29416</v>
      </c>
      <c r="E3877" s="51"/>
      <c r="F3877" s="114" t="str">
        <f>IF(INDEX(I.Facility.P1IDNumber,3865)="","",INDEX(I.Facility.P1IDNumber,3865))</f>
        <v/>
      </c>
      <c r="G3877" s="51"/>
      <c r="H3877" s="46" t="str">
        <f>IF(AND(I.Developer.P1=TRUE,I.Facility.P1FacilityCount&gt;=3865,F3877=""),"Incomplete","Complete")</f>
        <v>Complete</v>
      </c>
      <c r="I3877" s="48" t="s">
        <v>8242</v>
      </c>
    </row>
    <row r="3878" spans="2:9" ht="15" customHeight="1" x14ac:dyDescent="0.25">
      <c r="B3878" s="55" t="s">
        <v>279</v>
      </c>
      <c r="C3878" s="46">
        <v>3866</v>
      </c>
      <c r="D3878" s="69" t="s">
        <v>29416</v>
      </c>
      <c r="E3878" s="51"/>
      <c r="F3878" s="114" t="str">
        <f>IF(INDEX(I.Facility.P1IDNumber,3866)="","",INDEX(I.Facility.P1IDNumber,3866))</f>
        <v/>
      </c>
      <c r="G3878" s="51"/>
      <c r="H3878" s="46" t="str">
        <f>IF(AND(I.Developer.P1=TRUE,I.Facility.P1FacilityCount&gt;=3866,F3878=""),"Incomplete","Complete")</f>
        <v>Complete</v>
      </c>
      <c r="I3878" s="48" t="s">
        <v>8243</v>
      </c>
    </row>
    <row r="3879" spans="2:9" ht="15" customHeight="1" x14ac:dyDescent="0.25">
      <c r="B3879" s="55" t="s">
        <v>279</v>
      </c>
      <c r="C3879" s="46">
        <v>3867</v>
      </c>
      <c r="D3879" s="69" t="s">
        <v>29416</v>
      </c>
      <c r="E3879" s="51"/>
      <c r="F3879" s="114" t="str">
        <f>IF(INDEX(I.Facility.P1IDNumber,3867)="","",INDEX(I.Facility.P1IDNumber,3867))</f>
        <v/>
      </c>
      <c r="G3879" s="51"/>
      <c r="H3879" s="46" t="str">
        <f>IF(AND(I.Developer.P1=TRUE,I.Facility.P1FacilityCount&gt;=3867,F3879=""),"Incomplete","Complete")</f>
        <v>Complete</v>
      </c>
      <c r="I3879" s="48" t="s">
        <v>8244</v>
      </c>
    </row>
    <row r="3880" spans="2:9" ht="15" customHeight="1" x14ac:dyDescent="0.25">
      <c r="B3880" s="55" t="s">
        <v>279</v>
      </c>
      <c r="C3880" s="46">
        <v>3868</v>
      </c>
      <c r="D3880" s="69" t="s">
        <v>29416</v>
      </c>
      <c r="E3880" s="51"/>
      <c r="F3880" s="114" t="str">
        <f>IF(INDEX(I.Facility.P1IDNumber,3868)="","",INDEX(I.Facility.P1IDNumber,3868))</f>
        <v/>
      </c>
      <c r="G3880" s="51"/>
      <c r="H3880" s="46" t="str">
        <f>IF(AND(I.Developer.P1=TRUE,I.Facility.P1FacilityCount&gt;=3868,F3880=""),"Incomplete","Complete")</f>
        <v>Complete</v>
      </c>
      <c r="I3880" s="48" t="s">
        <v>8245</v>
      </c>
    </row>
    <row r="3881" spans="2:9" ht="15" customHeight="1" x14ac:dyDescent="0.25">
      <c r="B3881" s="55" t="s">
        <v>279</v>
      </c>
      <c r="C3881" s="46">
        <v>3869</v>
      </c>
      <c r="D3881" s="69" t="s">
        <v>29416</v>
      </c>
      <c r="E3881" s="51"/>
      <c r="F3881" s="114" t="str">
        <f>IF(INDEX(I.Facility.P1IDNumber,3869)="","",INDEX(I.Facility.P1IDNumber,3869))</f>
        <v/>
      </c>
      <c r="G3881" s="51"/>
      <c r="H3881" s="46" t="str">
        <f>IF(AND(I.Developer.P1=TRUE,I.Facility.P1FacilityCount&gt;=3869,F3881=""),"Incomplete","Complete")</f>
        <v>Complete</v>
      </c>
      <c r="I3881" s="48" t="s">
        <v>8246</v>
      </c>
    </row>
    <row r="3882" spans="2:9" ht="15" customHeight="1" x14ac:dyDescent="0.25">
      <c r="B3882" s="55" t="s">
        <v>279</v>
      </c>
      <c r="C3882" s="46">
        <v>3870</v>
      </c>
      <c r="D3882" s="69" t="s">
        <v>29416</v>
      </c>
      <c r="E3882" s="51"/>
      <c r="F3882" s="114" t="str">
        <f>IF(INDEX(I.Facility.P1IDNumber,3870)="","",INDEX(I.Facility.P1IDNumber,3870))</f>
        <v/>
      </c>
      <c r="G3882" s="51"/>
      <c r="H3882" s="46" t="str">
        <f>IF(AND(I.Developer.P1=TRUE,I.Facility.P1FacilityCount&gt;=3870,F3882=""),"Incomplete","Complete")</f>
        <v>Complete</v>
      </c>
      <c r="I3882" s="48" t="s">
        <v>8247</v>
      </c>
    </row>
    <row r="3883" spans="2:9" ht="15" customHeight="1" x14ac:dyDescent="0.25">
      <c r="B3883" s="55" t="s">
        <v>279</v>
      </c>
      <c r="C3883" s="46">
        <v>3871</v>
      </c>
      <c r="D3883" s="69" t="s">
        <v>29416</v>
      </c>
      <c r="E3883" s="51"/>
      <c r="F3883" s="114" t="str">
        <f>IF(INDEX(I.Facility.P1IDNumber,3871)="","",INDEX(I.Facility.P1IDNumber,3871))</f>
        <v/>
      </c>
      <c r="G3883" s="51"/>
      <c r="H3883" s="46" t="str">
        <f>IF(AND(I.Developer.P1=TRUE,I.Facility.P1FacilityCount&gt;=3871,F3883=""),"Incomplete","Complete")</f>
        <v>Complete</v>
      </c>
      <c r="I3883" s="48" t="s">
        <v>8248</v>
      </c>
    </row>
    <row r="3884" spans="2:9" ht="15" customHeight="1" x14ac:dyDescent="0.25">
      <c r="B3884" s="55" t="s">
        <v>279</v>
      </c>
      <c r="C3884" s="46">
        <v>3872</v>
      </c>
      <c r="D3884" s="69" t="s">
        <v>29416</v>
      </c>
      <c r="E3884" s="51"/>
      <c r="F3884" s="114" t="str">
        <f>IF(INDEX(I.Facility.P1IDNumber,3872)="","",INDEX(I.Facility.P1IDNumber,3872))</f>
        <v/>
      </c>
      <c r="G3884" s="51"/>
      <c r="H3884" s="46" t="str">
        <f>IF(AND(I.Developer.P1=TRUE,I.Facility.P1FacilityCount&gt;=3872,F3884=""),"Incomplete","Complete")</f>
        <v>Complete</v>
      </c>
      <c r="I3884" s="48" t="s">
        <v>8249</v>
      </c>
    </row>
    <row r="3885" spans="2:9" ht="15" customHeight="1" x14ac:dyDescent="0.25">
      <c r="B3885" s="55" t="s">
        <v>279</v>
      </c>
      <c r="C3885" s="46">
        <v>3873</v>
      </c>
      <c r="D3885" s="69" t="s">
        <v>29416</v>
      </c>
      <c r="E3885" s="51"/>
      <c r="F3885" s="114" t="str">
        <f>IF(INDEX(I.Facility.P1IDNumber,3873)="","",INDEX(I.Facility.P1IDNumber,3873))</f>
        <v/>
      </c>
      <c r="G3885" s="51"/>
      <c r="H3885" s="46" t="str">
        <f>IF(AND(I.Developer.P1=TRUE,I.Facility.P1FacilityCount&gt;=3873,F3885=""),"Incomplete","Complete")</f>
        <v>Complete</v>
      </c>
      <c r="I3885" s="48" t="s">
        <v>8250</v>
      </c>
    </row>
    <row r="3886" spans="2:9" ht="15" customHeight="1" x14ac:dyDescent="0.25">
      <c r="B3886" s="55" t="s">
        <v>279</v>
      </c>
      <c r="C3886" s="46">
        <v>3874</v>
      </c>
      <c r="D3886" s="69" t="s">
        <v>29416</v>
      </c>
      <c r="E3886" s="51"/>
      <c r="F3886" s="114" t="str">
        <f>IF(INDEX(I.Facility.P1IDNumber,3874)="","",INDEX(I.Facility.P1IDNumber,3874))</f>
        <v/>
      </c>
      <c r="G3886" s="51"/>
      <c r="H3886" s="46" t="str">
        <f>IF(AND(I.Developer.P1=TRUE,I.Facility.P1FacilityCount&gt;=3874,F3886=""),"Incomplete","Complete")</f>
        <v>Complete</v>
      </c>
      <c r="I3886" s="48" t="s">
        <v>8251</v>
      </c>
    </row>
    <row r="3887" spans="2:9" ht="15" customHeight="1" x14ac:dyDescent="0.25">
      <c r="B3887" s="55" t="s">
        <v>279</v>
      </c>
      <c r="C3887" s="46">
        <v>3875</v>
      </c>
      <c r="D3887" s="69" t="s">
        <v>29416</v>
      </c>
      <c r="E3887" s="51"/>
      <c r="F3887" s="114" t="str">
        <f>IF(INDEX(I.Facility.P1IDNumber,3875)="","",INDEX(I.Facility.P1IDNumber,3875))</f>
        <v/>
      </c>
      <c r="G3887" s="51"/>
      <c r="H3887" s="46" t="str">
        <f>IF(AND(I.Developer.P1=TRUE,I.Facility.P1FacilityCount&gt;=3875,F3887=""),"Incomplete","Complete")</f>
        <v>Complete</v>
      </c>
      <c r="I3887" s="48" t="s">
        <v>8252</v>
      </c>
    </row>
    <row r="3888" spans="2:9" ht="15" customHeight="1" x14ac:dyDescent="0.25">
      <c r="B3888" s="55" t="s">
        <v>279</v>
      </c>
      <c r="C3888" s="46">
        <v>3876</v>
      </c>
      <c r="D3888" s="69" t="s">
        <v>29416</v>
      </c>
      <c r="E3888" s="51"/>
      <c r="F3888" s="114" t="str">
        <f>IF(INDEX(I.Facility.P1IDNumber,3876)="","",INDEX(I.Facility.P1IDNumber,3876))</f>
        <v/>
      </c>
      <c r="G3888" s="51"/>
      <c r="H3888" s="46" t="str">
        <f>IF(AND(I.Developer.P1=TRUE,I.Facility.P1FacilityCount&gt;=3876,F3888=""),"Incomplete","Complete")</f>
        <v>Complete</v>
      </c>
      <c r="I3888" s="48" t="s">
        <v>8253</v>
      </c>
    </row>
    <row r="3889" spans="2:9" ht="15" customHeight="1" x14ac:dyDescent="0.25">
      <c r="B3889" s="55" t="s">
        <v>279</v>
      </c>
      <c r="C3889" s="46">
        <v>3877</v>
      </c>
      <c r="D3889" s="69" t="s">
        <v>29416</v>
      </c>
      <c r="E3889" s="51"/>
      <c r="F3889" s="114" t="str">
        <f>IF(INDEX(I.Facility.P1IDNumber,3877)="","",INDEX(I.Facility.P1IDNumber,3877))</f>
        <v/>
      </c>
      <c r="G3889" s="51"/>
      <c r="H3889" s="46" t="str">
        <f>IF(AND(I.Developer.P1=TRUE,I.Facility.P1FacilityCount&gt;=3877,F3889=""),"Incomplete","Complete")</f>
        <v>Complete</v>
      </c>
      <c r="I3889" s="48" t="s">
        <v>8254</v>
      </c>
    </row>
    <row r="3890" spans="2:9" ht="15" customHeight="1" x14ac:dyDescent="0.25">
      <c r="B3890" s="55" t="s">
        <v>279</v>
      </c>
      <c r="C3890" s="46">
        <v>3878</v>
      </c>
      <c r="D3890" s="69" t="s">
        <v>29416</v>
      </c>
      <c r="E3890" s="51"/>
      <c r="F3890" s="114" t="str">
        <f>IF(INDEX(I.Facility.P1IDNumber,3878)="","",INDEX(I.Facility.P1IDNumber,3878))</f>
        <v/>
      </c>
      <c r="G3890" s="51"/>
      <c r="H3890" s="46" t="str">
        <f>IF(AND(I.Developer.P1=TRUE,I.Facility.P1FacilityCount&gt;=3878,F3890=""),"Incomplete","Complete")</f>
        <v>Complete</v>
      </c>
      <c r="I3890" s="48" t="s">
        <v>8255</v>
      </c>
    </row>
    <row r="3891" spans="2:9" ht="15" customHeight="1" x14ac:dyDescent="0.25">
      <c r="B3891" s="55" t="s">
        <v>279</v>
      </c>
      <c r="C3891" s="46">
        <v>3879</v>
      </c>
      <c r="D3891" s="69" t="s">
        <v>29416</v>
      </c>
      <c r="E3891" s="51"/>
      <c r="F3891" s="114" t="str">
        <f>IF(INDEX(I.Facility.P1IDNumber,3879)="","",INDEX(I.Facility.P1IDNumber,3879))</f>
        <v/>
      </c>
      <c r="G3891" s="51"/>
      <c r="H3891" s="46" t="str">
        <f>IF(AND(I.Developer.P1=TRUE,I.Facility.P1FacilityCount&gt;=3879,F3891=""),"Incomplete","Complete")</f>
        <v>Complete</v>
      </c>
      <c r="I3891" s="48" t="s">
        <v>8256</v>
      </c>
    </row>
    <row r="3892" spans="2:9" ht="15" customHeight="1" x14ac:dyDescent="0.25">
      <c r="B3892" s="55" t="s">
        <v>279</v>
      </c>
      <c r="C3892" s="46">
        <v>3880</v>
      </c>
      <c r="D3892" s="69" t="s">
        <v>29416</v>
      </c>
      <c r="E3892" s="51"/>
      <c r="F3892" s="114" t="str">
        <f>IF(INDEX(I.Facility.P1IDNumber,3880)="","",INDEX(I.Facility.P1IDNumber,3880))</f>
        <v/>
      </c>
      <c r="G3892" s="51"/>
      <c r="H3892" s="46" t="str">
        <f>IF(AND(I.Developer.P1=TRUE,I.Facility.P1FacilityCount&gt;=3880,F3892=""),"Incomplete","Complete")</f>
        <v>Complete</v>
      </c>
      <c r="I3892" s="48" t="s">
        <v>8257</v>
      </c>
    </row>
    <row r="3893" spans="2:9" ht="15" customHeight="1" x14ac:dyDescent="0.25">
      <c r="B3893" s="55" t="s">
        <v>279</v>
      </c>
      <c r="C3893" s="46">
        <v>3881</v>
      </c>
      <c r="D3893" s="69" t="s">
        <v>29416</v>
      </c>
      <c r="E3893" s="51"/>
      <c r="F3893" s="114" t="str">
        <f>IF(INDEX(I.Facility.P1IDNumber,3881)="","",INDEX(I.Facility.P1IDNumber,3881))</f>
        <v/>
      </c>
      <c r="G3893" s="51"/>
      <c r="H3893" s="46" t="str">
        <f>IF(AND(I.Developer.P1=TRUE,I.Facility.P1FacilityCount&gt;=3881,F3893=""),"Incomplete","Complete")</f>
        <v>Complete</v>
      </c>
      <c r="I3893" s="48" t="s">
        <v>8258</v>
      </c>
    </row>
    <row r="3894" spans="2:9" ht="15" customHeight="1" x14ac:dyDescent="0.25">
      <c r="B3894" s="55" t="s">
        <v>279</v>
      </c>
      <c r="C3894" s="46">
        <v>3882</v>
      </c>
      <c r="D3894" s="69" t="s">
        <v>29416</v>
      </c>
      <c r="E3894" s="51"/>
      <c r="F3894" s="114" t="str">
        <f>IF(INDEX(I.Facility.P1IDNumber,3882)="","",INDEX(I.Facility.P1IDNumber,3882))</f>
        <v/>
      </c>
      <c r="G3894" s="51"/>
      <c r="H3894" s="46" t="str">
        <f>IF(AND(I.Developer.P1=TRUE,I.Facility.P1FacilityCount&gt;=3882,F3894=""),"Incomplete","Complete")</f>
        <v>Complete</v>
      </c>
      <c r="I3894" s="48" t="s">
        <v>8259</v>
      </c>
    </row>
    <row r="3895" spans="2:9" ht="15" customHeight="1" x14ac:dyDescent="0.25">
      <c r="B3895" s="55" t="s">
        <v>279</v>
      </c>
      <c r="C3895" s="46">
        <v>3883</v>
      </c>
      <c r="D3895" s="69" t="s">
        <v>29416</v>
      </c>
      <c r="E3895" s="51"/>
      <c r="F3895" s="114" t="str">
        <f>IF(INDEX(I.Facility.P1IDNumber,3883)="","",INDEX(I.Facility.P1IDNumber,3883))</f>
        <v/>
      </c>
      <c r="G3895" s="51"/>
      <c r="H3895" s="46" t="str">
        <f>IF(AND(I.Developer.P1=TRUE,I.Facility.P1FacilityCount&gt;=3883,F3895=""),"Incomplete","Complete")</f>
        <v>Complete</v>
      </c>
      <c r="I3895" s="48" t="s">
        <v>8260</v>
      </c>
    </row>
    <row r="3896" spans="2:9" ht="15" customHeight="1" x14ac:dyDescent="0.25">
      <c r="B3896" s="55" t="s">
        <v>279</v>
      </c>
      <c r="C3896" s="46">
        <v>3884</v>
      </c>
      <c r="D3896" s="69" t="s">
        <v>29416</v>
      </c>
      <c r="E3896" s="51"/>
      <c r="F3896" s="114" t="str">
        <f>IF(INDEX(I.Facility.P1IDNumber,3884)="","",INDEX(I.Facility.P1IDNumber,3884))</f>
        <v/>
      </c>
      <c r="G3896" s="51"/>
      <c r="H3896" s="46" t="str">
        <f>IF(AND(I.Developer.P1=TRUE,I.Facility.P1FacilityCount&gt;=3884,F3896=""),"Incomplete","Complete")</f>
        <v>Complete</v>
      </c>
      <c r="I3896" s="48" t="s">
        <v>8261</v>
      </c>
    </row>
    <row r="3897" spans="2:9" ht="15" customHeight="1" x14ac:dyDescent="0.25">
      <c r="B3897" s="55" t="s">
        <v>279</v>
      </c>
      <c r="C3897" s="46">
        <v>3885</v>
      </c>
      <c r="D3897" s="69" t="s">
        <v>29416</v>
      </c>
      <c r="E3897" s="51"/>
      <c r="F3897" s="114" t="str">
        <f>IF(INDEX(I.Facility.P1IDNumber,3885)="","",INDEX(I.Facility.P1IDNumber,3885))</f>
        <v/>
      </c>
      <c r="G3897" s="51"/>
      <c r="H3897" s="46" t="str">
        <f>IF(AND(I.Developer.P1=TRUE,I.Facility.P1FacilityCount&gt;=3885,F3897=""),"Incomplete","Complete")</f>
        <v>Complete</v>
      </c>
      <c r="I3897" s="48" t="s">
        <v>8262</v>
      </c>
    </row>
    <row r="3898" spans="2:9" ht="15" customHeight="1" x14ac:dyDescent="0.25">
      <c r="B3898" s="55" t="s">
        <v>279</v>
      </c>
      <c r="C3898" s="46">
        <v>3886</v>
      </c>
      <c r="D3898" s="69" t="s">
        <v>29416</v>
      </c>
      <c r="E3898" s="51"/>
      <c r="F3898" s="114" t="str">
        <f>IF(INDEX(I.Facility.P1IDNumber,3886)="","",INDEX(I.Facility.P1IDNumber,3886))</f>
        <v/>
      </c>
      <c r="G3898" s="51"/>
      <c r="H3898" s="46" t="str">
        <f>IF(AND(I.Developer.P1=TRUE,I.Facility.P1FacilityCount&gt;=3886,F3898=""),"Incomplete","Complete")</f>
        <v>Complete</v>
      </c>
      <c r="I3898" s="48" t="s">
        <v>8263</v>
      </c>
    </row>
    <row r="3899" spans="2:9" ht="15" customHeight="1" x14ac:dyDescent="0.25">
      <c r="B3899" s="55" t="s">
        <v>279</v>
      </c>
      <c r="C3899" s="46">
        <v>3887</v>
      </c>
      <c r="D3899" s="69" t="s">
        <v>29416</v>
      </c>
      <c r="E3899" s="51"/>
      <c r="F3899" s="114" t="str">
        <f>IF(INDEX(I.Facility.P1IDNumber,3887)="","",INDEX(I.Facility.P1IDNumber,3887))</f>
        <v/>
      </c>
      <c r="G3899" s="51"/>
      <c r="H3899" s="46" t="str">
        <f>IF(AND(I.Developer.P1=TRUE,I.Facility.P1FacilityCount&gt;=3887,F3899=""),"Incomplete","Complete")</f>
        <v>Complete</v>
      </c>
      <c r="I3899" s="48" t="s">
        <v>8264</v>
      </c>
    </row>
    <row r="3900" spans="2:9" ht="15" customHeight="1" x14ac:dyDescent="0.25">
      <c r="B3900" s="55" t="s">
        <v>279</v>
      </c>
      <c r="C3900" s="46">
        <v>3888</v>
      </c>
      <c r="D3900" s="69" t="s">
        <v>29416</v>
      </c>
      <c r="E3900" s="51"/>
      <c r="F3900" s="114" t="str">
        <f>IF(INDEX(I.Facility.P1IDNumber,3888)="","",INDEX(I.Facility.P1IDNumber,3888))</f>
        <v/>
      </c>
      <c r="G3900" s="51"/>
      <c r="H3900" s="46" t="str">
        <f>IF(AND(I.Developer.P1=TRUE,I.Facility.P1FacilityCount&gt;=3888,F3900=""),"Incomplete","Complete")</f>
        <v>Complete</v>
      </c>
      <c r="I3900" s="48" t="s">
        <v>8265</v>
      </c>
    </row>
    <row r="3901" spans="2:9" ht="15" customHeight="1" x14ac:dyDescent="0.25">
      <c r="B3901" s="55" t="s">
        <v>279</v>
      </c>
      <c r="C3901" s="46">
        <v>3889</v>
      </c>
      <c r="D3901" s="69" t="s">
        <v>29416</v>
      </c>
      <c r="E3901" s="51"/>
      <c r="F3901" s="114" t="str">
        <f>IF(INDEX(I.Facility.P1IDNumber,3889)="","",INDEX(I.Facility.P1IDNumber,3889))</f>
        <v/>
      </c>
      <c r="G3901" s="51"/>
      <c r="H3901" s="46" t="str">
        <f>IF(AND(I.Developer.P1=TRUE,I.Facility.P1FacilityCount&gt;=3889,F3901=""),"Incomplete","Complete")</f>
        <v>Complete</v>
      </c>
      <c r="I3901" s="48" t="s">
        <v>8266</v>
      </c>
    </row>
    <row r="3902" spans="2:9" ht="15" customHeight="1" x14ac:dyDescent="0.25">
      <c r="B3902" s="55" t="s">
        <v>279</v>
      </c>
      <c r="C3902" s="46">
        <v>3890</v>
      </c>
      <c r="D3902" s="69" t="s">
        <v>29416</v>
      </c>
      <c r="E3902" s="51"/>
      <c r="F3902" s="114" t="str">
        <f>IF(INDEX(I.Facility.P1IDNumber,3890)="","",INDEX(I.Facility.P1IDNumber,3890))</f>
        <v/>
      </c>
      <c r="G3902" s="51"/>
      <c r="H3902" s="46" t="str">
        <f>IF(AND(I.Developer.P1=TRUE,I.Facility.P1FacilityCount&gt;=3890,F3902=""),"Incomplete","Complete")</f>
        <v>Complete</v>
      </c>
      <c r="I3902" s="48" t="s">
        <v>8267</v>
      </c>
    </row>
    <row r="3903" spans="2:9" ht="15" customHeight="1" x14ac:dyDescent="0.25">
      <c r="B3903" s="55" t="s">
        <v>279</v>
      </c>
      <c r="C3903" s="46">
        <v>3891</v>
      </c>
      <c r="D3903" s="69" t="s">
        <v>29416</v>
      </c>
      <c r="E3903" s="51"/>
      <c r="F3903" s="114" t="str">
        <f>IF(INDEX(I.Facility.P1IDNumber,3891)="","",INDEX(I.Facility.P1IDNumber,3891))</f>
        <v/>
      </c>
      <c r="G3903" s="51"/>
      <c r="H3903" s="46" t="str">
        <f>IF(AND(I.Developer.P1=TRUE,I.Facility.P1FacilityCount&gt;=3891,F3903=""),"Incomplete","Complete")</f>
        <v>Complete</v>
      </c>
      <c r="I3903" s="48" t="s">
        <v>8268</v>
      </c>
    </row>
    <row r="3904" spans="2:9" ht="15" customHeight="1" x14ac:dyDescent="0.25">
      <c r="B3904" s="55" t="s">
        <v>279</v>
      </c>
      <c r="C3904" s="46">
        <v>3892</v>
      </c>
      <c r="D3904" s="69" t="s">
        <v>29416</v>
      </c>
      <c r="E3904" s="51"/>
      <c r="F3904" s="114" t="str">
        <f>IF(INDEX(I.Facility.P1IDNumber,3892)="","",INDEX(I.Facility.P1IDNumber,3892))</f>
        <v/>
      </c>
      <c r="G3904" s="51"/>
      <c r="H3904" s="46" t="str">
        <f>IF(AND(I.Developer.P1=TRUE,I.Facility.P1FacilityCount&gt;=3892,F3904=""),"Incomplete","Complete")</f>
        <v>Complete</v>
      </c>
      <c r="I3904" s="48" t="s">
        <v>8269</v>
      </c>
    </row>
    <row r="3905" spans="2:9" ht="15" customHeight="1" x14ac:dyDescent="0.25">
      <c r="B3905" s="55" t="s">
        <v>279</v>
      </c>
      <c r="C3905" s="46">
        <v>3893</v>
      </c>
      <c r="D3905" s="69" t="s">
        <v>29416</v>
      </c>
      <c r="E3905" s="51"/>
      <c r="F3905" s="114" t="str">
        <f>IF(INDEX(I.Facility.P1IDNumber,3893)="","",INDEX(I.Facility.P1IDNumber,3893))</f>
        <v/>
      </c>
      <c r="G3905" s="51"/>
      <c r="H3905" s="46" t="str">
        <f>IF(AND(I.Developer.P1=TRUE,I.Facility.P1FacilityCount&gt;=3893,F3905=""),"Incomplete","Complete")</f>
        <v>Complete</v>
      </c>
      <c r="I3905" s="48" t="s">
        <v>8270</v>
      </c>
    </row>
    <row r="3906" spans="2:9" ht="15" customHeight="1" x14ac:dyDescent="0.25">
      <c r="B3906" s="55" t="s">
        <v>279</v>
      </c>
      <c r="C3906" s="46">
        <v>3894</v>
      </c>
      <c r="D3906" s="69" t="s">
        <v>29416</v>
      </c>
      <c r="E3906" s="51"/>
      <c r="F3906" s="114" t="str">
        <f>IF(INDEX(I.Facility.P1IDNumber,3894)="","",INDEX(I.Facility.P1IDNumber,3894))</f>
        <v/>
      </c>
      <c r="G3906" s="51"/>
      <c r="H3906" s="46" t="str">
        <f>IF(AND(I.Developer.P1=TRUE,I.Facility.P1FacilityCount&gt;=3894,F3906=""),"Incomplete","Complete")</f>
        <v>Complete</v>
      </c>
      <c r="I3906" s="48" t="s">
        <v>8271</v>
      </c>
    </row>
    <row r="3907" spans="2:9" ht="15" customHeight="1" x14ac:dyDescent="0.25">
      <c r="B3907" s="55" t="s">
        <v>279</v>
      </c>
      <c r="C3907" s="46">
        <v>3895</v>
      </c>
      <c r="D3907" s="69" t="s">
        <v>29416</v>
      </c>
      <c r="E3907" s="51"/>
      <c r="F3907" s="114" t="str">
        <f>IF(INDEX(I.Facility.P1IDNumber,3895)="","",INDEX(I.Facility.P1IDNumber,3895))</f>
        <v/>
      </c>
      <c r="G3907" s="51"/>
      <c r="H3907" s="46" t="str">
        <f>IF(AND(I.Developer.P1=TRUE,I.Facility.P1FacilityCount&gt;=3895,F3907=""),"Incomplete","Complete")</f>
        <v>Complete</v>
      </c>
      <c r="I3907" s="48" t="s">
        <v>8272</v>
      </c>
    </row>
    <row r="3908" spans="2:9" ht="15" customHeight="1" x14ac:dyDescent="0.25">
      <c r="B3908" s="55" t="s">
        <v>279</v>
      </c>
      <c r="C3908" s="46">
        <v>3896</v>
      </c>
      <c r="D3908" s="69" t="s">
        <v>29416</v>
      </c>
      <c r="E3908" s="51"/>
      <c r="F3908" s="114" t="str">
        <f>IF(INDEX(I.Facility.P1IDNumber,3896)="","",INDEX(I.Facility.P1IDNumber,3896))</f>
        <v/>
      </c>
      <c r="G3908" s="51"/>
      <c r="H3908" s="46" t="str">
        <f>IF(AND(I.Developer.P1=TRUE,I.Facility.P1FacilityCount&gt;=3896,F3908=""),"Incomplete","Complete")</f>
        <v>Complete</v>
      </c>
      <c r="I3908" s="48" t="s">
        <v>8273</v>
      </c>
    </row>
    <row r="3909" spans="2:9" ht="15" customHeight="1" x14ac:dyDescent="0.25">
      <c r="B3909" s="55" t="s">
        <v>279</v>
      </c>
      <c r="C3909" s="46">
        <v>3897</v>
      </c>
      <c r="D3909" s="69" t="s">
        <v>29416</v>
      </c>
      <c r="E3909" s="51"/>
      <c r="F3909" s="114" t="str">
        <f>IF(INDEX(I.Facility.P1IDNumber,3897)="","",INDEX(I.Facility.P1IDNumber,3897))</f>
        <v/>
      </c>
      <c r="G3909" s="51"/>
      <c r="H3909" s="46" t="str">
        <f>IF(AND(I.Developer.P1=TRUE,I.Facility.P1FacilityCount&gt;=3897,F3909=""),"Incomplete","Complete")</f>
        <v>Complete</v>
      </c>
      <c r="I3909" s="48" t="s">
        <v>8274</v>
      </c>
    </row>
    <row r="3910" spans="2:9" ht="15" customHeight="1" x14ac:dyDescent="0.25">
      <c r="B3910" s="55" t="s">
        <v>279</v>
      </c>
      <c r="C3910" s="46">
        <v>3898</v>
      </c>
      <c r="D3910" s="69" t="s">
        <v>29416</v>
      </c>
      <c r="E3910" s="51"/>
      <c r="F3910" s="114" t="str">
        <f>IF(INDEX(I.Facility.P1IDNumber,3898)="","",INDEX(I.Facility.P1IDNumber,3898))</f>
        <v/>
      </c>
      <c r="G3910" s="51"/>
      <c r="H3910" s="46" t="str">
        <f>IF(AND(I.Developer.P1=TRUE,I.Facility.P1FacilityCount&gt;=3898,F3910=""),"Incomplete","Complete")</f>
        <v>Complete</v>
      </c>
      <c r="I3910" s="48" t="s">
        <v>8275</v>
      </c>
    </row>
    <row r="3911" spans="2:9" ht="15" customHeight="1" x14ac:dyDescent="0.25">
      <c r="B3911" s="55" t="s">
        <v>279</v>
      </c>
      <c r="C3911" s="46">
        <v>3899</v>
      </c>
      <c r="D3911" s="69" t="s">
        <v>29416</v>
      </c>
      <c r="E3911" s="51"/>
      <c r="F3911" s="114" t="str">
        <f>IF(INDEX(I.Facility.P1IDNumber,3899)="","",INDEX(I.Facility.P1IDNumber,3899))</f>
        <v/>
      </c>
      <c r="G3911" s="51"/>
      <c r="H3911" s="46" t="str">
        <f>IF(AND(I.Developer.P1=TRUE,I.Facility.P1FacilityCount&gt;=3899,F3911=""),"Incomplete","Complete")</f>
        <v>Complete</v>
      </c>
      <c r="I3911" s="48" t="s">
        <v>8276</v>
      </c>
    </row>
    <row r="3912" spans="2:9" ht="15" customHeight="1" x14ac:dyDescent="0.25">
      <c r="B3912" s="55" t="s">
        <v>279</v>
      </c>
      <c r="C3912" s="46">
        <v>3900</v>
      </c>
      <c r="D3912" s="69" t="s">
        <v>29416</v>
      </c>
      <c r="E3912" s="51"/>
      <c r="F3912" s="114" t="str">
        <f>IF(INDEX(I.Facility.P1IDNumber,3900)="","",INDEX(I.Facility.P1IDNumber,3900))</f>
        <v/>
      </c>
      <c r="G3912" s="51"/>
      <c r="H3912" s="46" t="str">
        <f>IF(AND(I.Developer.P1=TRUE,I.Facility.P1FacilityCount&gt;=3900,F3912=""),"Incomplete","Complete")</f>
        <v>Complete</v>
      </c>
      <c r="I3912" s="48" t="s">
        <v>8277</v>
      </c>
    </row>
    <row r="3913" spans="2:9" ht="15" customHeight="1" x14ac:dyDescent="0.25">
      <c r="B3913" s="55" t="s">
        <v>279</v>
      </c>
      <c r="C3913" s="46">
        <v>3901</v>
      </c>
      <c r="D3913" s="69" t="s">
        <v>29416</v>
      </c>
      <c r="E3913" s="51"/>
      <c r="F3913" s="114" t="str">
        <f>IF(INDEX(I.Facility.P1IDNumber,3901)="","",INDEX(I.Facility.P1IDNumber,3901))</f>
        <v/>
      </c>
      <c r="G3913" s="51"/>
      <c r="H3913" s="46" t="str">
        <f>IF(AND(I.Developer.P1=TRUE,I.Facility.P1FacilityCount&gt;=3901,F3913=""),"Incomplete","Complete")</f>
        <v>Complete</v>
      </c>
      <c r="I3913" s="48" t="s">
        <v>8278</v>
      </c>
    </row>
    <row r="3914" spans="2:9" ht="15" customHeight="1" x14ac:dyDescent="0.25">
      <c r="B3914" s="55" t="s">
        <v>279</v>
      </c>
      <c r="C3914" s="46">
        <v>3902</v>
      </c>
      <c r="D3914" s="69" t="s">
        <v>29416</v>
      </c>
      <c r="E3914" s="51"/>
      <c r="F3914" s="114" t="str">
        <f>IF(INDEX(I.Facility.P1IDNumber,3902)="","",INDEX(I.Facility.P1IDNumber,3902))</f>
        <v/>
      </c>
      <c r="G3914" s="51"/>
      <c r="H3914" s="46" t="str">
        <f>IF(AND(I.Developer.P1=TRUE,I.Facility.P1FacilityCount&gt;=3902,F3914=""),"Incomplete","Complete")</f>
        <v>Complete</v>
      </c>
      <c r="I3914" s="48" t="s">
        <v>8279</v>
      </c>
    </row>
    <row r="3915" spans="2:9" ht="15" customHeight="1" x14ac:dyDescent="0.25">
      <c r="B3915" s="55" t="s">
        <v>279</v>
      </c>
      <c r="C3915" s="46">
        <v>3903</v>
      </c>
      <c r="D3915" s="69" t="s">
        <v>29416</v>
      </c>
      <c r="E3915" s="51"/>
      <c r="F3915" s="114" t="str">
        <f>IF(INDEX(I.Facility.P1IDNumber,3903)="","",INDEX(I.Facility.P1IDNumber,3903))</f>
        <v/>
      </c>
      <c r="G3915" s="51"/>
      <c r="H3915" s="46" t="str">
        <f>IF(AND(I.Developer.P1=TRUE,I.Facility.P1FacilityCount&gt;=3903,F3915=""),"Incomplete","Complete")</f>
        <v>Complete</v>
      </c>
      <c r="I3915" s="48" t="s">
        <v>8280</v>
      </c>
    </row>
    <row r="3916" spans="2:9" ht="15" customHeight="1" x14ac:dyDescent="0.25">
      <c r="B3916" s="55" t="s">
        <v>279</v>
      </c>
      <c r="C3916" s="46">
        <v>3904</v>
      </c>
      <c r="D3916" s="69" t="s">
        <v>29416</v>
      </c>
      <c r="E3916" s="51"/>
      <c r="F3916" s="114" t="str">
        <f>IF(INDEX(I.Facility.P1IDNumber,3904)="","",INDEX(I.Facility.P1IDNumber,3904))</f>
        <v/>
      </c>
      <c r="G3916" s="51"/>
      <c r="H3916" s="46" t="str">
        <f>IF(AND(I.Developer.P1=TRUE,I.Facility.P1FacilityCount&gt;=3904,F3916=""),"Incomplete","Complete")</f>
        <v>Complete</v>
      </c>
      <c r="I3916" s="48" t="s">
        <v>8281</v>
      </c>
    </row>
    <row r="3917" spans="2:9" ht="15" customHeight="1" x14ac:dyDescent="0.25">
      <c r="B3917" s="55" t="s">
        <v>279</v>
      </c>
      <c r="C3917" s="46">
        <v>3905</v>
      </c>
      <c r="D3917" s="69" t="s">
        <v>29416</v>
      </c>
      <c r="E3917" s="51"/>
      <c r="F3917" s="114" t="str">
        <f>IF(INDEX(I.Facility.P1IDNumber,3905)="","",INDEX(I.Facility.P1IDNumber,3905))</f>
        <v/>
      </c>
      <c r="G3917" s="51"/>
      <c r="H3917" s="46" t="str">
        <f>IF(AND(I.Developer.P1=TRUE,I.Facility.P1FacilityCount&gt;=3905,F3917=""),"Incomplete","Complete")</f>
        <v>Complete</v>
      </c>
      <c r="I3917" s="48" t="s">
        <v>8282</v>
      </c>
    </row>
    <row r="3918" spans="2:9" ht="15" customHeight="1" x14ac:dyDescent="0.25">
      <c r="B3918" s="55" t="s">
        <v>279</v>
      </c>
      <c r="C3918" s="46">
        <v>3906</v>
      </c>
      <c r="D3918" s="69" t="s">
        <v>29416</v>
      </c>
      <c r="E3918" s="51"/>
      <c r="F3918" s="114" t="str">
        <f>IF(INDEX(I.Facility.P1IDNumber,3906)="","",INDEX(I.Facility.P1IDNumber,3906))</f>
        <v/>
      </c>
      <c r="G3918" s="51"/>
      <c r="H3918" s="46" t="str">
        <f>IF(AND(I.Developer.P1=TRUE,I.Facility.P1FacilityCount&gt;=3906,F3918=""),"Incomplete","Complete")</f>
        <v>Complete</v>
      </c>
      <c r="I3918" s="48" t="s">
        <v>8283</v>
      </c>
    </row>
    <row r="3919" spans="2:9" ht="15" customHeight="1" x14ac:dyDescent="0.25">
      <c r="B3919" s="55" t="s">
        <v>279</v>
      </c>
      <c r="C3919" s="46">
        <v>3907</v>
      </c>
      <c r="D3919" s="69" t="s">
        <v>29416</v>
      </c>
      <c r="E3919" s="51"/>
      <c r="F3919" s="114" t="str">
        <f>IF(INDEX(I.Facility.P1IDNumber,3907)="","",INDEX(I.Facility.P1IDNumber,3907))</f>
        <v/>
      </c>
      <c r="G3919" s="51"/>
      <c r="H3919" s="46" t="str">
        <f>IF(AND(I.Developer.P1=TRUE,I.Facility.P1FacilityCount&gt;=3907,F3919=""),"Incomplete","Complete")</f>
        <v>Complete</v>
      </c>
      <c r="I3919" s="48" t="s">
        <v>8284</v>
      </c>
    </row>
    <row r="3920" spans="2:9" ht="15" customHeight="1" x14ac:dyDescent="0.25">
      <c r="B3920" s="55" t="s">
        <v>279</v>
      </c>
      <c r="C3920" s="46">
        <v>3908</v>
      </c>
      <c r="D3920" s="69" t="s">
        <v>29416</v>
      </c>
      <c r="E3920" s="51"/>
      <c r="F3920" s="114" t="str">
        <f>IF(INDEX(I.Facility.P1IDNumber,3908)="","",INDEX(I.Facility.P1IDNumber,3908))</f>
        <v/>
      </c>
      <c r="G3920" s="51"/>
      <c r="H3920" s="46" t="str">
        <f>IF(AND(I.Developer.P1=TRUE,I.Facility.P1FacilityCount&gt;=3908,F3920=""),"Incomplete","Complete")</f>
        <v>Complete</v>
      </c>
      <c r="I3920" s="48" t="s">
        <v>8285</v>
      </c>
    </row>
    <row r="3921" spans="2:9" ht="15" customHeight="1" x14ac:dyDescent="0.25">
      <c r="B3921" s="55" t="s">
        <v>279</v>
      </c>
      <c r="C3921" s="46">
        <v>3909</v>
      </c>
      <c r="D3921" s="69" t="s">
        <v>29416</v>
      </c>
      <c r="E3921" s="51"/>
      <c r="F3921" s="114" t="str">
        <f>IF(INDEX(I.Facility.P1IDNumber,3909)="","",INDEX(I.Facility.P1IDNumber,3909))</f>
        <v/>
      </c>
      <c r="G3921" s="51"/>
      <c r="H3921" s="46" t="str">
        <f>IF(AND(I.Developer.P1=TRUE,I.Facility.P1FacilityCount&gt;=3909,F3921=""),"Incomplete","Complete")</f>
        <v>Complete</v>
      </c>
      <c r="I3921" s="48" t="s">
        <v>8286</v>
      </c>
    </row>
    <row r="3922" spans="2:9" ht="15" customHeight="1" x14ac:dyDescent="0.25">
      <c r="B3922" s="55" t="s">
        <v>279</v>
      </c>
      <c r="C3922" s="46">
        <v>3910</v>
      </c>
      <c r="D3922" s="69" t="s">
        <v>29416</v>
      </c>
      <c r="E3922" s="51"/>
      <c r="F3922" s="114" t="str">
        <f>IF(INDEX(I.Facility.P1IDNumber,3910)="","",INDEX(I.Facility.P1IDNumber,3910))</f>
        <v/>
      </c>
      <c r="G3922" s="51"/>
      <c r="H3922" s="46" t="str">
        <f>IF(AND(I.Developer.P1=TRUE,I.Facility.P1FacilityCount&gt;=3910,F3922=""),"Incomplete","Complete")</f>
        <v>Complete</v>
      </c>
      <c r="I3922" s="48" t="s">
        <v>8287</v>
      </c>
    </row>
    <row r="3923" spans="2:9" ht="15" customHeight="1" x14ac:dyDescent="0.25">
      <c r="B3923" s="55" t="s">
        <v>279</v>
      </c>
      <c r="C3923" s="46">
        <v>3911</v>
      </c>
      <c r="D3923" s="69" t="s">
        <v>29416</v>
      </c>
      <c r="E3923" s="51"/>
      <c r="F3923" s="114" t="str">
        <f>IF(INDEX(I.Facility.P1IDNumber,3911)="","",INDEX(I.Facility.P1IDNumber,3911))</f>
        <v/>
      </c>
      <c r="G3923" s="51"/>
      <c r="H3923" s="46" t="str">
        <f>IF(AND(I.Developer.P1=TRUE,I.Facility.P1FacilityCount&gt;=3911,F3923=""),"Incomplete","Complete")</f>
        <v>Complete</v>
      </c>
      <c r="I3923" s="48" t="s">
        <v>8288</v>
      </c>
    </row>
    <row r="3924" spans="2:9" ht="15" customHeight="1" x14ac:dyDescent="0.25">
      <c r="B3924" s="55" t="s">
        <v>279</v>
      </c>
      <c r="C3924" s="46">
        <v>3912</v>
      </c>
      <c r="D3924" s="69" t="s">
        <v>29416</v>
      </c>
      <c r="E3924" s="51"/>
      <c r="F3924" s="114" t="str">
        <f>IF(INDEX(I.Facility.P1IDNumber,3912)="","",INDEX(I.Facility.P1IDNumber,3912))</f>
        <v/>
      </c>
      <c r="G3924" s="51"/>
      <c r="H3924" s="46" t="str">
        <f>IF(AND(I.Developer.P1=TRUE,I.Facility.P1FacilityCount&gt;=3912,F3924=""),"Incomplete","Complete")</f>
        <v>Complete</v>
      </c>
      <c r="I3924" s="48" t="s">
        <v>8289</v>
      </c>
    </row>
    <row r="3925" spans="2:9" ht="15" customHeight="1" x14ac:dyDescent="0.25">
      <c r="B3925" s="55" t="s">
        <v>279</v>
      </c>
      <c r="C3925" s="46">
        <v>3913</v>
      </c>
      <c r="D3925" s="69" t="s">
        <v>29416</v>
      </c>
      <c r="E3925" s="51"/>
      <c r="F3925" s="114" t="str">
        <f>IF(INDEX(I.Facility.P1IDNumber,3913)="","",INDEX(I.Facility.P1IDNumber,3913))</f>
        <v/>
      </c>
      <c r="G3925" s="51"/>
      <c r="H3925" s="46" t="str">
        <f>IF(AND(I.Developer.P1=TRUE,I.Facility.P1FacilityCount&gt;=3913,F3925=""),"Incomplete","Complete")</f>
        <v>Complete</v>
      </c>
      <c r="I3925" s="48" t="s">
        <v>8290</v>
      </c>
    </row>
    <row r="3926" spans="2:9" ht="15" customHeight="1" x14ac:dyDescent="0.25">
      <c r="B3926" s="55" t="s">
        <v>279</v>
      </c>
      <c r="C3926" s="46">
        <v>3914</v>
      </c>
      <c r="D3926" s="69" t="s">
        <v>29416</v>
      </c>
      <c r="E3926" s="51"/>
      <c r="F3926" s="114" t="str">
        <f>IF(INDEX(I.Facility.P1IDNumber,3914)="","",INDEX(I.Facility.P1IDNumber,3914))</f>
        <v/>
      </c>
      <c r="G3926" s="51"/>
      <c r="H3926" s="46" t="str">
        <f>IF(AND(I.Developer.P1=TRUE,I.Facility.P1FacilityCount&gt;=3914,F3926=""),"Incomplete","Complete")</f>
        <v>Complete</v>
      </c>
      <c r="I3926" s="48" t="s">
        <v>8291</v>
      </c>
    </row>
    <row r="3927" spans="2:9" ht="15" customHeight="1" x14ac:dyDescent="0.25">
      <c r="B3927" s="55" t="s">
        <v>279</v>
      </c>
      <c r="C3927" s="46">
        <v>3915</v>
      </c>
      <c r="D3927" s="69" t="s">
        <v>29416</v>
      </c>
      <c r="E3927" s="51"/>
      <c r="F3927" s="114" t="str">
        <f>IF(INDEX(I.Facility.P1IDNumber,3915)="","",INDEX(I.Facility.P1IDNumber,3915))</f>
        <v/>
      </c>
      <c r="G3927" s="51"/>
      <c r="H3927" s="46" t="str">
        <f>IF(AND(I.Developer.P1=TRUE,I.Facility.P1FacilityCount&gt;=3915,F3927=""),"Incomplete","Complete")</f>
        <v>Complete</v>
      </c>
      <c r="I3927" s="48" t="s">
        <v>8292</v>
      </c>
    </row>
    <row r="3928" spans="2:9" ht="15" customHeight="1" x14ac:dyDescent="0.25">
      <c r="B3928" s="55" t="s">
        <v>279</v>
      </c>
      <c r="C3928" s="46">
        <v>3916</v>
      </c>
      <c r="D3928" s="69" t="s">
        <v>29416</v>
      </c>
      <c r="E3928" s="51"/>
      <c r="F3928" s="114" t="str">
        <f>IF(INDEX(I.Facility.P1IDNumber,3916)="","",INDEX(I.Facility.P1IDNumber,3916))</f>
        <v/>
      </c>
      <c r="G3928" s="51"/>
      <c r="H3928" s="46" t="str">
        <f>IF(AND(I.Developer.P1=TRUE,I.Facility.P1FacilityCount&gt;=3916,F3928=""),"Incomplete","Complete")</f>
        <v>Complete</v>
      </c>
      <c r="I3928" s="48" t="s">
        <v>8293</v>
      </c>
    </row>
    <row r="3929" spans="2:9" ht="15" customHeight="1" x14ac:dyDescent="0.25">
      <c r="B3929" s="55" t="s">
        <v>279</v>
      </c>
      <c r="C3929" s="46">
        <v>3917</v>
      </c>
      <c r="D3929" s="69" t="s">
        <v>29416</v>
      </c>
      <c r="E3929" s="51"/>
      <c r="F3929" s="114" t="str">
        <f>IF(INDEX(I.Facility.P1IDNumber,3917)="","",INDEX(I.Facility.P1IDNumber,3917))</f>
        <v/>
      </c>
      <c r="G3929" s="51"/>
      <c r="H3929" s="46" t="str">
        <f>IF(AND(I.Developer.P1=TRUE,I.Facility.P1FacilityCount&gt;=3917,F3929=""),"Incomplete","Complete")</f>
        <v>Complete</v>
      </c>
      <c r="I3929" s="48" t="s">
        <v>8294</v>
      </c>
    </row>
    <row r="3930" spans="2:9" ht="15" customHeight="1" x14ac:dyDescent="0.25">
      <c r="B3930" s="55" t="s">
        <v>279</v>
      </c>
      <c r="C3930" s="46">
        <v>3918</v>
      </c>
      <c r="D3930" s="69" t="s">
        <v>29416</v>
      </c>
      <c r="E3930" s="51"/>
      <c r="F3930" s="114" t="str">
        <f>IF(INDEX(I.Facility.P1IDNumber,3918)="","",INDEX(I.Facility.P1IDNumber,3918))</f>
        <v/>
      </c>
      <c r="G3930" s="51"/>
      <c r="H3930" s="46" t="str">
        <f>IF(AND(I.Developer.P1=TRUE,I.Facility.P1FacilityCount&gt;=3918,F3930=""),"Incomplete","Complete")</f>
        <v>Complete</v>
      </c>
      <c r="I3930" s="48" t="s">
        <v>8295</v>
      </c>
    </row>
    <row r="3931" spans="2:9" ht="15" customHeight="1" x14ac:dyDescent="0.25">
      <c r="B3931" s="55" t="s">
        <v>279</v>
      </c>
      <c r="C3931" s="46">
        <v>3919</v>
      </c>
      <c r="D3931" s="69" t="s">
        <v>29416</v>
      </c>
      <c r="E3931" s="51"/>
      <c r="F3931" s="114" t="str">
        <f>IF(INDEX(I.Facility.P1IDNumber,3919)="","",INDEX(I.Facility.P1IDNumber,3919))</f>
        <v/>
      </c>
      <c r="G3931" s="51"/>
      <c r="H3931" s="46" t="str">
        <f>IF(AND(I.Developer.P1=TRUE,I.Facility.P1FacilityCount&gt;=3919,F3931=""),"Incomplete","Complete")</f>
        <v>Complete</v>
      </c>
      <c r="I3931" s="48" t="s">
        <v>8296</v>
      </c>
    </row>
    <row r="3932" spans="2:9" ht="15" customHeight="1" x14ac:dyDescent="0.25">
      <c r="B3932" s="55" t="s">
        <v>279</v>
      </c>
      <c r="C3932" s="46">
        <v>3920</v>
      </c>
      <c r="D3932" s="69" t="s">
        <v>29416</v>
      </c>
      <c r="E3932" s="51"/>
      <c r="F3932" s="114" t="str">
        <f>IF(INDEX(I.Facility.P1IDNumber,3920)="","",INDEX(I.Facility.P1IDNumber,3920))</f>
        <v/>
      </c>
      <c r="G3932" s="51"/>
      <c r="H3932" s="46" t="str">
        <f>IF(AND(I.Developer.P1=TRUE,I.Facility.P1FacilityCount&gt;=3920,F3932=""),"Incomplete","Complete")</f>
        <v>Complete</v>
      </c>
      <c r="I3932" s="48" t="s">
        <v>8297</v>
      </c>
    </row>
    <row r="3933" spans="2:9" ht="15" customHeight="1" x14ac:dyDescent="0.25">
      <c r="B3933" s="55" t="s">
        <v>279</v>
      </c>
      <c r="C3933" s="46">
        <v>3921</v>
      </c>
      <c r="D3933" s="69" t="s">
        <v>29416</v>
      </c>
      <c r="E3933" s="51"/>
      <c r="F3933" s="114" t="str">
        <f>IF(INDEX(I.Facility.P1IDNumber,3921)="","",INDEX(I.Facility.P1IDNumber,3921))</f>
        <v/>
      </c>
      <c r="G3933" s="51"/>
      <c r="H3933" s="46" t="str">
        <f>IF(AND(I.Developer.P1=TRUE,I.Facility.P1FacilityCount&gt;=3921,F3933=""),"Incomplete","Complete")</f>
        <v>Complete</v>
      </c>
      <c r="I3933" s="48" t="s">
        <v>8298</v>
      </c>
    </row>
    <row r="3934" spans="2:9" ht="15" customHeight="1" x14ac:dyDescent="0.25">
      <c r="B3934" s="55" t="s">
        <v>279</v>
      </c>
      <c r="C3934" s="46">
        <v>3922</v>
      </c>
      <c r="D3934" s="69" t="s">
        <v>29416</v>
      </c>
      <c r="E3934" s="51"/>
      <c r="F3934" s="114" t="str">
        <f>IF(INDEX(I.Facility.P1IDNumber,3922)="","",INDEX(I.Facility.P1IDNumber,3922))</f>
        <v/>
      </c>
      <c r="G3934" s="51"/>
      <c r="H3934" s="46" t="str">
        <f>IF(AND(I.Developer.P1=TRUE,I.Facility.P1FacilityCount&gt;=3922,F3934=""),"Incomplete","Complete")</f>
        <v>Complete</v>
      </c>
      <c r="I3934" s="48" t="s">
        <v>8299</v>
      </c>
    </row>
    <row r="3935" spans="2:9" ht="15" customHeight="1" x14ac:dyDescent="0.25">
      <c r="B3935" s="55" t="s">
        <v>279</v>
      </c>
      <c r="C3935" s="46">
        <v>3923</v>
      </c>
      <c r="D3935" s="69" t="s">
        <v>29416</v>
      </c>
      <c r="E3935" s="51"/>
      <c r="F3935" s="114" t="str">
        <f>IF(INDEX(I.Facility.P1IDNumber,3923)="","",INDEX(I.Facility.P1IDNumber,3923))</f>
        <v/>
      </c>
      <c r="G3935" s="51"/>
      <c r="H3935" s="46" t="str">
        <f>IF(AND(I.Developer.P1=TRUE,I.Facility.P1FacilityCount&gt;=3923,F3935=""),"Incomplete","Complete")</f>
        <v>Complete</v>
      </c>
      <c r="I3935" s="48" t="s">
        <v>8300</v>
      </c>
    </row>
    <row r="3936" spans="2:9" ht="15" customHeight="1" x14ac:dyDescent="0.25">
      <c r="B3936" s="55" t="s">
        <v>279</v>
      </c>
      <c r="C3936" s="46">
        <v>3924</v>
      </c>
      <c r="D3936" s="69" t="s">
        <v>29416</v>
      </c>
      <c r="E3936" s="51"/>
      <c r="F3936" s="114" t="str">
        <f>IF(INDEX(I.Facility.P1IDNumber,3924)="","",INDEX(I.Facility.P1IDNumber,3924))</f>
        <v/>
      </c>
      <c r="G3936" s="51"/>
      <c r="H3936" s="46" t="str">
        <f>IF(AND(I.Developer.P1=TRUE,I.Facility.P1FacilityCount&gt;=3924,F3936=""),"Incomplete","Complete")</f>
        <v>Complete</v>
      </c>
      <c r="I3936" s="48" t="s">
        <v>8301</v>
      </c>
    </row>
    <row r="3937" spans="2:9" ht="15" customHeight="1" x14ac:dyDescent="0.25">
      <c r="B3937" s="55" t="s">
        <v>279</v>
      </c>
      <c r="C3937" s="46">
        <v>3925</v>
      </c>
      <c r="D3937" s="69" t="s">
        <v>29416</v>
      </c>
      <c r="E3937" s="51"/>
      <c r="F3937" s="114" t="str">
        <f>IF(INDEX(I.Facility.P1IDNumber,3925)="","",INDEX(I.Facility.P1IDNumber,3925))</f>
        <v/>
      </c>
      <c r="G3937" s="51"/>
      <c r="H3937" s="46" t="str">
        <f>IF(AND(I.Developer.P1=TRUE,I.Facility.P1FacilityCount&gt;=3925,F3937=""),"Incomplete","Complete")</f>
        <v>Complete</v>
      </c>
      <c r="I3937" s="48" t="s">
        <v>8302</v>
      </c>
    </row>
    <row r="3938" spans="2:9" ht="15" customHeight="1" x14ac:dyDescent="0.25">
      <c r="B3938" s="55" t="s">
        <v>279</v>
      </c>
      <c r="C3938" s="46">
        <v>3926</v>
      </c>
      <c r="D3938" s="69" t="s">
        <v>29416</v>
      </c>
      <c r="E3938" s="51"/>
      <c r="F3938" s="114" t="str">
        <f>IF(INDEX(I.Facility.P1IDNumber,3926)="","",INDEX(I.Facility.P1IDNumber,3926))</f>
        <v/>
      </c>
      <c r="G3938" s="51"/>
      <c r="H3938" s="46" t="str">
        <f>IF(AND(I.Developer.P1=TRUE,I.Facility.P1FacilityCount&gt;=3926,F3938=""),"Incomplete","Complete")</f>
        <v>Complete</v>
      </c>
      <c r="I3938" s="48" t="s">
        <v>8303</v>
      </c>
    </row>
    <row r="3939" spans="2:9" ht="15" customHeight="1" x14ac:dyDescent="0.25">
      <c r="B3939" s="55" t="s">
        <v>279</v>
      </c>
      <c r="C3939" s="46">
        <v>3927</v>
      </c>
      <c r="D3939" s="69" t="s">
        <v>29416</v>
      </c>
      <c r="E3939" s="51"/>
      <c r="F3939" s="114" t="str">
        <f>IF(INDEX(I.Facility.P1IDNumber,3927)="","",INDEX(I.Facility.P1IDNumber,3927))</f>
        <v/>
      </c>
      <c r="G3939" s="51"/>
      <c r="H3939" s="46" t="str">
        <f>IF(AND(I.Developer.P1=TRUE,I.Facility.P1FacilityCount&gt;=3927,F3939=""),"Incomplete","Complete")</f>
        <v>Complete</v>
      </c>
      <c r="I3939" s="48" t="s">
        <v>8304</v>
      </c>
    </row>
    <row r="3940" spans="2:9" ht="15" customHeight="1" x14ac:dyDescent="0.25">
      <c r="B3940" s="55" t="s">
        <v>279</v>
      </c>
      <c r="C3940" s="46">
        <v>3928</v>
      </c>
      <c r="D3940" s="69" t="s">
        <v>29416</v>
      </c>
      <c r="E3940" s="51"/>
      <c r="F3940" s="114" t="str">
        <f>IF(INDEX(I.Facility.P1IDNumber,3928)="","",INDEX(I.Facility.P1IDNumber,3928))</f>
        <v/>
      </c>
      <c r="G3940" s="51"/>
      <c r="H3940" s="46" t="str">
        <f>IF(AND(I.Developer.P1=TRUE,I.Facility.P1FacilityCount&gt;=3928,F3940=""),"Incomplete","Complete")</f>
        <v>Complete</v>
      </c>
      <c r="I3940" s="48" t="s">
        <v>8305</v>
      </c>
    </row>
    <row r="3941" spans="2:9" ht="15" customHeight="1" x14ac:dyDescent="0.25">
      <c r="B3941" s="55" t="s">
        <v>279</v>
      </c>
      <c r="C3941" s="46">
        <v>3929</v>
      </c>
      <c r="D3941" s="69" t="s">
        <v>29416</v>
      </c>
      <c r="E3941" s="51"/>
      <c r="F3941" s="114" t="str">
        <f>IF(INDEX(I.Facility.P1IDNumber,3929)="","",INDEX(I.Facility.P1IDNumber,3929))</f>
        <v/>
      </c>
      <c r="G3941" s="51"/>
      <c r="H3941" s="46" t="str">
        <f>IF(AND(I.Developer.P1=TRUE,I.Facility.P1FacilityCount&gt;=3929,F3941=""),"Incomplete","Complete")</f>
        <v>Complete</v>
      </c>
      <c r="I3941" s="48" t="s">
        <v>8306</v>
      </c>
    </row>
    <row r="3942" spans="2:9" ht="15" customHeight="1" x14ac:dyDescent="0.25">
      <c r="B3942" s="55" t="s">
        <v>279</v>
      </c>
      <c r="C3942" s="46">
        <v>3930</v>
      </c>
      <c r="D3942" s="69" t="s">
        <v>29416</v>
      </c>
      <c r="E3942" s="51"/>
      <c r="F3942" s="114" t="str">
        <f>IF(INDEX(I.Facility.P1IDNumber,3930)="","",INDEX(I.Facility.P1IDNumber,3930))</f>
        <v/>
      </c>
      <c r="G3942" s="51"/>
      <c r="H3942" s="46" t="str">
        <f>IF(AND(I.Developer.P1=TRUE,I.Facility.P1FacilityCount&gt;=3930,F3942=""),"Incomplete","Complete")</f>
        <v>Complete</v>
      </c>
      <c r="I3942" s="48" t="s">
        <v>8307</v>
      </c>
    </row>
    <row r="3943" spans="2:9" ht="15" customHeight="1" x14ac:dyDescent="0.25">
      <c r="B3943" s="55" t="s">
        <v>279</v>
      </c>
      <c r="C3943" s="46">
        <v>3931</v>
      </c>
      <c r="D3943" s="69" t="s">
        <v>29416</v>
      </c>
      <c r="E3943" s="51"/>
      <c r="F3943" s="114" t="str">
        <f>IF(INDEX(I.Facility.P1IDNumber,3931)="","",INDEX(I.Facility.P1IDNumber,3931))</f>
        <v/>
      </c>
      <c r="G3943" s="51"/>
      <c r="H3943" s="46" t="str">
        <f>IF(AND(I.Developer.P1=TRUE,I.Facility.P1FacilityCount&gt;=3931,F3943=""),"Incomplete","Complete")</f>
        <v>Complete</v>
      </c>
      <c r="I3943" s="48" t="s">
        <v>8308</v>
      </c>
    </row>
    <row r="3944" spans="2:9" ht="15" customHeight="1" x14ac:dyDescent="0.25">
      <c r="B3944" s="55" t="s">
        <v>279</v>
      </c>
      <c r="C3944" s="46">
        <v>3932</v>
      </c>
      <c r="D3944" s="69" t="s">
        <v>29416</v>
      </c>
      <c r="E3944" s="51"/>
      <c r="F3944" s="114" t="str">
        <f>IF(INDEX(I.Facility.P1IDNumber,3932)="","",INDEX(I.Facility.P1IDNumber,3932))</f>
        <v/>
      </c>
      <c r="G3944" s="51"/>
      <c r="H3944" s="46" t="str">
        <f>IF(AND(I.Developer.P1=TRUE,I.Facility.P1FacilityCount&gt;=3932,F3944=""),"Incomplete","Complete")</f>
        <v>Complete</v>
      </c>
      <c r="I3944" s="48" t="s">
        <v>8309</v>
      </c>
    </row>
    <row r="3945" spans="2:9" ht="15" customHeight="1" x14ac:dyDescent="0.25">
      <c r="B3945" s="55" t="s">
        <v>279</v>
      </c>
      <c r="C3945" s="46">
        <v>3933</v>
      </c>
      <c r="D3945" s="69" t="s">
        <v>29416</v>
      </c>
      <c r="E3945" s="51"/>
      <c r="F3945" s="114" t="str">
        <f>IF(INDEX(I.Facility.P1IDNumber,3933)="","",INDEX(I.Facility.P1IDNumber,3933))</f>
        <v/>
      </c>
      <c r="G3945" s="51"/>
      <c r="H3945" s="46" t="str">
        <f>IF(AND(I.Developer.P1=TRUE,I.Facility.P1FacilityCount&gt;=3933,F3945=""),"Incomplete","Complete")</f>
        <v>Complete</v>
      </c>
      <c r="I3945" s="48" t="s">
        <v>8310</v>
      </c>
    </row>
    <row r="3946" spans="2:9" ht="15" customHeight="1" x14ac:dyDescent="0.25">
      <c r="B3946" s="55" t="s">
        <v>279</v>
      </c>
      <c r="C3946" s="46">
        <v>3934</v>
      </c>
      <c r="D3946" s="69" t="s">
        <v>29416</v>
      </c>
      <c r="E3946" s="51"/>
      <c r="F3946" s="114" t="str">
        <f>IF(INDEX(I.Facility.P1IDNumber,3934)="","",INDEX(I.Facility.P1IDNumber,3934))</f>
        <v/>
      </c>
      <c r="G3946" s="51"/>
      <c r="H3946" s="46" t="str">
        <f>IF(AND(I.Developer.P1=TRUE,I.Facility.P1FacilityCount&gt;=3934,F3946=""),"Incomplete","Complete")</f>
        <v>Complete</v>
      </c>
      <c r="I3946" s="48" t="s">
        <v>8311</v>
      </c>
    </row>
    <row r="3947" spans="2:9" ht="15" customHeight="1" x14ac:dyDescent="0.25">
      <c r="B3947" s="55" t="s">
        <v>279</v>
      </c>
      <c r="C3947" s="46">
        <v>3935</v>
      </c>
      <c r="D3947" s="69" t="s">
        <v>29416</v>
      </c>
      <c r="E3947" s="51"/>
      <c r="F3947" s="114" t="str">
        <f>IF(INDEX(I.Facility.P1IDNumber,3935)="","",INDEX(I.Facility.P1IDNumber,3935))</f>
        <v/>
      </c>
      <c r="G3947" s="51"/>
      <c r="H3947" s="46" t="str">
        <f>IF(AND(I.Developer.P1=TRUE,I.Facility.P1FacilityCount&gt;=3935,F3947=""),"Incomplete","Complete")</f>
        <v>Complete</v>
      </c>
      <c r="I3947" s="48" t="s">
        <v>8312</v>
      </c>
    </row>
    <row r="3948" spans="2:9" ht="15" customHeight="1" x14ac:dyDescent="0.25">
      <c r="B3948" s="55" t="s">
        <v>279</v>
      </c>
      <c r="C3948" s="46">
        <v>3936</v>
      </c>
      <c r="D3948" s="69" t="s">
        <v>29416</v>
      </c>
      <c r="E3948" s="51"/>
      <c r="F3948" s="114" t="str">
        <f>IF(INDEX(I.Facility.P1IDNumber,3936)="","",INDEX(I.Facility.P1IDNumber,3936))</f>
        <v/>
      </c>
      <c r="G3948" s="51"/>
      <c r="H3948" s="46" t="str">
        <f>IF(AND(I.Developer.P1=TRUE,I.Facility.P1FacilityCount&gt;=3936,F3948=""),"Incomplete","Complete")</f>
        <v>Complete</v>
      </c>
      <c r="I3948" s="48" t="s">
        <v>8313</v>
      </c>
    </row>
    <row r="3949" spans="2:9" ht="15" customHeight="1" x14ac:dyDescent="0.25">
      <c r="B3949" s="55" t="s">
        <v>279</v>
      </c>
      <c r="C3949" s="46">
        <v>3937</v>
      </c>
      <c r="D3949" s="69" t="s">
        <v>29416</v>
      </c>
      <c r="E3949" s="51"/>
      <c r="F3949" s="114" t="str">
        <f>IF(INDEX(I.Facility.P1IDNumber,3937)="","",INDEX(I.Facility.P1IDNumber,3937))</f>
        <v/>
      </c>
      <c r="G3949" s="51"/>
      <c r="H3949" s="46" t="str">
        <f>IF(AND(I.Developer.P1=TRUE,I.Facility.P1FacilityCount&gt;=3937,F3949=""),"Incomplete","Complete")</f>
        <v>Complete</v>
      </c>
      <c r="I3949" s="48" t="s">
        <v>8314</v>
      </c>
    </row>
    <row r="3950" spans="2:9" ht="15" customHeight="1" x14ac:dyDescent="0.25">
      <c r="B3950" s="55" t="s">
        <v>279</v>
      </c>
      <c r="C3950" s="46">
        <v>3938</v>
      </c>
      <c r="D3950" s="69" t="s">
        <v>29416</v>
      </c>
      <c r="E3950" s="51"/>
      <c r="F3950" s="114" t="str">
        <f>IF(INDEX(I.Facility.P1IDNumber,3938)="","",INDEX(I.Facility.P1IDNumber,3938))</f>
        <v/>
      </c>
      <c r="G3950" s="51"/>
      <c r="H3950" s="46" t="str">
        <f>IF(AND(I.Developer.P1=TRUE,I.Facility.P1FacilityCount&gt;=3938,F3950=""),"Incomplete","Complete")</f>
        <v>Complete</v>
      </c>
      <c r="I3950" s="48" t="s">
        <v>8315</v>
      </c>
    </row>
    <row r="3951" spans="2:9" ht="15" customHeight="1" x14ac:dyDescent="0.25">
      <c r="B3951" s="55" t="s">
        <v>279</v>
      </c>
      <c r="C3951" s="46">
        <v>3939</v>
      </c>
      <c r="D3951" s="69" t="s">
        <v>29416</v>
      </c>
      <c r="E3951" s="51"/>
      <c r="F3951" s="114" t="str">
        <f>IF(INDEX(I.Facility.P1IDNumber,3939)="","",INDEX(I.Facility.P1IDNumber,3939))</f>
        <v/>
      </c>
      <c r="G3951" s="51"/>
      <c r="H3951" s="46" t="str">
        <f>IF(AND(I.Developer.P1=TRUE,I.Facility.P1FacilityCount&gt;=3939,F3951=""),"Incomplete","Complete")</f>
        <v>Complete</v>
      </c>
      <c r="I3951" s="48" t="s">
        <v>8316</v>
      </c>
    </row>
    <row r="3952" spans="2:9" ht="15" customHeight="1" x14ac:dyDescent="0.25">
      <c r="B3952" s="55" t="s">
        <v>279</v>
      </c>
      <c r="C3952" s="46">
        <v>3940</v>
      </c>
      <c r="D3952" s="69" t="s">
        <v>29416</v>
      </c>
      <c r="E3952" s="51"/>
      <c r="F3952" s="114" t="str">
        <f>IF(INDEX(I.Facility.P1IDNumber,3940)="","",INDEX(I.Facility.P1IDNumber,3940))</f>
        <v/>
      </c>
      <c r="G3952" s="51"/>
      <c r="H3952" s="46" t="str">
        <f>IF(AND(I.Developer.P1=TRUE,I.Facility.P1FacilityCount&gt;=3940,F3952=""),"Incomplete","Complete")</f>
        <v>Complete</v>
      </c>
      <c r="I3952" s="48" t="s">
        <v>8317</v>
      </c>
    </row>
    <row r="3953" spans="2:9" ht="15" customHeight="1" x14ac:dyDescent="0.25">
      <c r="B3953" s="55" t="s">
        <v>279</v>
      </c>
      <c r="C3953" s="46">
        <v>3941</v>
      </c>
      <c r="D3953" s="69" t="s">
        <v>29416</v>
      </c>
      <c r="E3953" s="51"/>
      <c r="F3953" s="114" t="str">
        <f>IF(INDEX(I.Facility.P1IDNumber,3941)="","",INDEX(I.Facility.P1IDNumber,3941))</f>
        <v/>
      </c>
      <c r="G3953" s="51"/>
      <c r="H3953" s="46" t="str">
        <f>IF(AND(I.Developer.P1=TRUE,I.Facility.P1FacilityCount&gt;=3941,F3953=""),"Incomplete","Complete")</f>
        <v>Complete</v>
      </c>
      <c r="I3953" s="48" t="s">
        <v>8318</v>
      </c>
    </row>
    <row r="3954" spans="2:9" ht="15" customHeight="1" x14ac:dyDescent="0.25">
      <c r="B3954" s="55" t="s">
        <v>279</v>
      </c>
      <c r="C3954" s="46">
        <v>3942</v>
      </c>
      <c r="D3954" s="69" t="s">
        <v>29416</v>
      </c>
      <c r="E3954" s="51"/>
      <c r="F3954" s="114" t="str">
        <f>IF(INDEX(I.Facility.P1IDNumber,3942)="","",INDEX(I.Facility.P1IDNumber,3942))</f>
        <v/>
      </c>
      <c r="G3954" s="51"/>
      <c r="H3954" s="46" t="str">
        <f>IF(AND(I.Developer.P1=TRUE,I.Facility.P1FacilityCount&gt;=3942,F3954=""),"Incomplete","Complete")</f>
        <v>Complete</v>
      </c>
      <c r="I3954" s="48" t="s">
        <v>8319</v>
      </c>
    </row>
    <row r="3955" spans="2:9" ht="15" customHeight="1" x14ac:dyDescent="0.25">
      <c r="B3955" s="55" t="s">
        <v>279</v>
      </c>
      <c r="C3955" s="46">
        <v>3943</v>
      </c>
      <c r="D3955" s="69" t="s">
        <v>29416</v>
      </c>
      <c r="E3955" s="51"/>
      <c r="F3955" s="114" t="str">
        <f>IF(INDEX(I.Facility.P1IDNumber,3943)="","",INDEX(I.Facility.P1IDNumber,3943))</f>
        <v/>
      </c>
      <c r="G3955" s="51"/>
      <c r="H3955" s="46" t="str">
        <f>IF(AND(I.Developer.P1=TRUE,I.Facility.P1FacilityCount&gt;=3943,F3955=""),"Incomplete","Complete")</f>
        <v>Complete</v>
      </c>
      <c r="I3955" s="48" t="s">
        <v>8320</v>
      </c>
    </row>
    <row r="3956" spans="2:9" ht="15" customHeight="1" x14ac:dyDescent="0.25">
      <c r="B3956" s="55" t="s">
        <v>279</v>
      </c>
      <c r="C3956" s="46">
        <v>3944</v>
      </c>
      <c r="D3956" s="69" t="s">
        <v>29416</v>
      </c>
      <c r="E3956" s="51"/>
      <c r="F3956" s="114" t="str">
        <f>IF(INDEX(I.Facility.P1IDNumber,3944)="","",INDEX(I.Facility.P1IDNumber,3944))</f>
        <v/>
      </c>
      <c r="G3956" s="51"/>
      <c r="H3956" s="46" t="str">
        <f>IF(AND(I.Developer.P1=TRUE,I.Facility.P1FacilityCount&gt;=3944,F3956=""),"Incomplete","Complete")</f>
        <v>Complete</v>
      </c>
      <c r="I3956" s="48" t="s">
        <v>8321</v>
      </c>
    </row>
    <row r="3957" spans="2:9" ht="15" customHeight="1" x14ac:dyDescent="0.25">
      <c r="B3957" s="55" t="s">
        <v>279</v>
      </c>
      <c r="C3957" s="46">
        <v>3945</v>
      </c>
      <c r="D3957" s="69" t="s">
        <v>29416</v>
      </c>
      <c r="E3957" s="51"/>
      <c r="F3957" s="114" t="str">
        <f>IF(INDEX(I.Facility.P1IDNumber,3945)="","",INDEX(I.Facility.P1IDNumber,3945))</f>
        <v/>
      </c>
      <c r="G3957" s="51"/>
      <c r="H3957" s="46" t="str">
        <f>IF(AND(I.Developer.P1=TRUE,I.Facility.P1FacilityCount&gt;=3945,F3957=""),"Incomplete","Complete")</f>
        <v>Complete</v>
      </c>
      <c r="I3957" s="48" t="s">
        <v>8322</v>
      </c>
    </row>
    <row r="3958" spans="2:9" ht="15" customHeight="1" x14ac:dyDescent="0.25">
      <c r="B3958" s="55" t="s">
        <v>279</v>
      </c>
      <c r="C3958" s="46">
        <v>3946</v>
      </c>
      <c r="D3958" s="69" t="s">
        <v>29416</v>
      </c>
      <c r="E3958" s="51"/>
      <c r="F3958" s="114" t="str">
        <f>IF(INDEX(I.Facility.P1IDNumber,3946)="","",INDEX(I.Facility.P1IDNumber,3946))</f>
        <v/>
      </c>
      <c r="G3958" s="51"/>
      <c r="H3958" s="46" t="str">
        <f>IF(AND(I.Developer.P1=TRUE,I.Facility.P1FacilityCount&gt;=3946,F3958=""),"Incomplete","Complete")</f>
        <v>Complete</v>
      </c>
      <c r="I3958" s="48" t="s">
        <v>8323</v>
      </c>
    </row>
    <row r="3959" spans="2:9" ht="15" customHeight="1" x14ac:dyDescent="0.25">
      <c r="B3959" s="55" t="s">
        <v>279</v>
      </c>
      <c r="C3959" s="46">
        <v>3947</v>
      </c>
      <c r="D3959" s="69" t="s">
        <v>29416</v>
      </c>
      <c r="E3959" s="51"/>
      <c r="F3959" s="114" t="str">
        <f>IF(INDEX(I.Facility.P1IDNumber,3947)="","",INDEX(I.Facility.P1IDNumber,3947))</f>
        <v/>
      </c>
      <c r="G3959" s="51"/>
      <c r="H3959" s="46" t="str">
        <f>IF(AND(I.Developer.P1=TRUE,I.Facility.P1FacilityCount&gt;=3947,F3959=""),"Incomplete","Complete")</f>
        <v>Complete</v>
      </c>
      <c r="I3959" s="48" t="s">
        <v>8324</v>
      </c>
    </row>
    <row r="3960" spans="2:9" ht="15" customHeight="1" x14ac:dyDescent="0.25">
      <c r="B3960" s="55" t="s">
        <v>279</v>
      </c>
      <c r="C3960" s="46">
        <v>3948</v>
      </c>
      <c r="D3960" s="69" t="s">
        <v>29416</v>
      </c>
      <c r="E3960" s="51"/>
      <c r="F3960" s="114" t="str">
        <f>IF(INDEX(I.Facility.P1IDNumber,3948)="","",INDEX(I.Facility.P1IDNumber,3948))</f>
        <v/>
      </c>
      <c r="G3960" s="51"/>
      <c r="H3960" s="46" t="str">
        <f>IF(AND(I.Developer.P1=TRUE,I.Facility.P1FacilityCount&gt;=3948,F3960=""),"Incomplete","Complete")</f>
        <v>Complete</v>
      </c>
      <c r="I3960" s="48" t="s">
        <v>8325</v>
      </c>
    </row>
    <row r="3961" spans="2:9" ht="15" customHeight="1" x14ac:dyDescent="0.25">
      <c r="B3961" s="55" t="s">
        <v>279</v>
      </c>
      <c r="C3961" s="46">
        <v>3949</v>
      </c>
      <c r="D3961" s="69" t="s">
        <v>29416</v>
      </c>
      <c r="E3961" s="51"/>
      <c r="F3961" s="114" t="str">
        <f>IF(INDEX(I.Facility.P1IDNumber,3949)="","",INDEX(I.Facility.P1IDNumber,3949))</f>
        <v/>
      </c>
      <c r="G3961" s="51"/>
      <c r="H3961" s="46" t="str">
        <f>IF(AND(I.Developer.P1=TRUE,I.Facility.P1FacilityCount&gt;=3949,F3961=""),"Incomplete","Complete")</f>
        <v>Complete</v>
      </c>
      <c r="I3961" s="48" t="s">
        <v>8326</v>
      </c>
    </row>
    <row r="3962" spans="2:9" ht="15" customHeight="1" x14ac:dyDescent="0.25">
      <c r="B3962" s="55" t="s">
        <v>279</v>
      </c>
      <c r="C3962" s="46">
        <v>3950</v>
      </c>
      <c r="D3962" s="69" t="s">
        <v>29416</v>
      </c>
      <c r="E3962" s="51"/>
      <c r="F3962" s="114" t="str">
        <f>IF(INDEX(I.Facility.P1IDNumber,3950)="","",INDEX(I.Facility.P1IDNumber,3950))</f>
        <v/>
      </c>
      <c r="G3962" s="51"/>
      <c r="H3962" s="46" t="str">
        <f>IF(AND(I.Developer.P1=TRUE,I.Facility.P1FacilityCount&gt;=3950,F3962=""),"Incomplete","Complete")</f>
        <v>Complete</v>
      </c>
      <c r="I3962" s="48" t="s">
        <v>8327</v>
      </c>
    </row>
    <row r="3963" spans="2:9" ht="15" customHeight="1" x14ac:dyDescent="0.25">
      <c r="B3963" s="55" t="s">
        <v>279</v>
      </c>
      <c r="C3963" s="46">
        <v>3951</v>
      </c>
      <c r="D3963" s="69" t="s">
        <v>29416</v>
      </c>
      <c r="E3963" s="51"/>
      <c r="F3963" s="114" t="str">
        <f>IF(INDEX(I.Facility.P1IDNumber,3951)="","",INDEX(I.Facility.P1IDNumber,3951))</f>
        <v/>
      </c>
      <c r="G3963" s="51"/>
      <c r="H3963" s="46" t="str">
        <f>IF(AND(I.Developer.P1=TRUE,I.Facility.P1FacilityCount&gt;=3951,F3963=""),"Incomplete","Complete")</f>
        <v>Complete</v>
      </c>
      <c r="I3963" s="48" t="s">
        <v>8328</v>
      </c>
    </row>
    <row r="3964" spans="2:9" ht="15" customHeight="1" x14ac:dyDescent="0.25">
      <c r="B3964" s="55" t="s">
        <v>279</v>
      </c>
      <c r="C3964" s="46">
        <v>3952</v>
      </c>
      <c r="D3964" s="69" t="s">
        <v>29416</v>
      </c>
      <c r="E3964" s="51"/>
      <c r="F3964" s="114" t="str">
        <f>IF(INDEX(I.Facility.P1IDNumber,3952)="","",INDEX(I.Facility.P1IDNumber,3952))</f>
        <v/>
      </c>
      <c r="G3964" s="51"/>
      <c r="H3964" s="46" t="str">
        <f>IF(AND(I.Developer.P1=TRUE,I.Facility.P1FacilityCount&gt;=3952,F3964=""),"Incomplete","Complete")</f>
        <v>Complete</v>
      </c>
      <c r="I3964" s="48" t="s">
        <v>8329</v>
      </c>
    </row>
    <row r="3965" spans="2:9" ht="15" customHeight="1" x14ac:dyDescent="0.25">
      <c r="B3965" s="55" t="s">
        <v>279</v>
      </c>
      <c r="C3965" s="46">
        <v>3953</v>
      </c>
      <c r="D3965" s="69" t="s">
        <v>29416</v>
      </c>
      <c r="E3965" s="51"/>
      <c r="F3965" s="114" t="str">
        <f>IF(INDEX(I.Facility.P1IDNumber,3953)="","",INDEX(I.Facility.P1IDNumber,3953))</f>
        <v/>
      </c>
      <c r="G3965" s="51"/>
      <c r="H3965" s="46" t="str">
        <f>IF(AND(I.Developer.P1=TRUE,I.Facility.P1FacilityCount&gt;=3953,F3965=""),"Incomplete","Complete")</f>
        <v>Complete</v>
      </c>
      <c r="I3965" s="48" t="s">
        <v>8330</v>
      </c>
    </row>
    <row r="3966" spans="2:9" ht="15" customHeight="1" x14ac:dyDescent="0.25">
      <c r="B3966" s="55" t="s">
        <v>279</v>
      </c>
      <c r="C3966" s="46">
        <v>3954</v>
      </c>
      <c r="D3966" s="69" t="s">
        <v>29416</v>
      </c>
      <c r="E3966" s="51"/>
      <c r="F3966" s="114" t="str">
        <f>IF(INDEX(I.Facility.P1IDNumber,3954)="","",INDEX(I.Facility.P1IDNumber,3954))</f>
        <v/>
      </c>
      <c r="G3966" s="51"/>
      <c r="H3966" s="46" t="str">
        <f>IF(AND(I.Developer.P1=TRUE,I.Facility.P1FacilityCount&gt;=3954,F3966=""),"Incomplete","Complete")</f>
        <v>Complete</v>
      </c>
      <c r="I3966" s="48" t="s">
        <v>8331</v>
      </c>
    </row>
    <row r="3967" spans="2:9" ht="15" customHeight="1" x14ac:dyDescent="0.25">
      <c r="B3967" s="55" t="s">
        <v>279</v>
      </c>
      <c r="C3967" s="46">
        <v>3955</v>
      </c>
      <c r="D3967" s="69" t="s">
        <v>29416</v>
      </c>
      <c r="E3967" s="51"/>
      <c r="F3967" s="114" t="str">
        <f>IF(INDEX(I.Facility.P1IDNumber,3955)="","",INDEX(I.Facility.P1IDNumber,3955))</f>
        <v/>
      </c>
      <c r="G3967" s="51"/>
      <c r="H3967" s="46" t="str">
        <f>IF(AND(I.Developer.P1=TRUE,I.Facility.P1FacilityCount&gt;=3955,F3967=""),"Incomplete","Complete")</f>
        <v>Complete</v>
      </c>
      <c r="I3967" s="48" t="s">
        <v>8332</v>
      </c>
    </row>
    <row r="3968" spans="2:9" ht="15" customHeight="1" x14ac:dyDescent="0.25">
      <c r="B3968" s="55" t="s">
        <v>279</v>
      </c>
      <c r="C3968" s="46">
        <v>3956</v>
      </c>
      <c r="D3968" s="69" t="s">
        <v>29416</v>
      </c>
      <c r="E3968" s="51"/>
      <c r="F3968" s="114" t="str">
        <f>IF(INDEX(I.Facility.P1IDNumber,3956)="","",INDEX(I.Facility.P1IDNumber,3956))</f>
        <v/>
      </c>
      <c r="G3968" s="51"/>
      <c r="H3968" s="46" t="str">
        <f>IF(AND(I.Developer.P1=TRUE,I.Facility.P1FacilityCount&gt;=3956,F3968=""),"Incomplete","Complete")</f>
        <v>Complete</v>
      </c>
      <c r="I3968" s="48" t="s">
        <v>8333</v>
      </c>
    </row>
    <row r="3969" spans="2:9" ht="15" customHeight="1" x14ac:dyDescent="0.25">
      <c r="B3969" s="55" t="s">
        <v>279</v>
      </c>
      <c r="C3969" s="46">
        <v>3957</v>
      </c>
      <c r="D3969" s="69" t="s">
        <v>29416</v>
      </c>
      <c r="E3969" s="51"/>
      <c r="F3969" s="114" t="str">
        <f>IF(INDEX(I.Facility.P1IDNumber,3957)="","",INDEX(I.Facility.P1IDNumber,3957))</f>
        <v/>
      </c>
      <c r="G3969" s="51"/>
      <c r="H3969" s="46" t="str">
        <f>IF(AND(I.Developer.P1=TRUE,I.Facility.P1FacilityCount&gt;=3957,F3969=""),"Incomplete","Complete")</f>
        <v>Complete</v>
      </c>
      <c r="I3969" s="48" t="s">
        <v>8334</v>
      </c>
    </row>
    <row r="3970" spans="2:9" ht="15" customHeight="1" x14ac:dyDescent="0.25">
      <c r="B3970" s="55" t="s">
        <v>279</v>
      </c>
      <c r="C3970" s="46">
        <v>3958</v>
      </c>
      <c r="D3970" s="69" t="s">
        <v>29416</v>
      </c>
      <c r="E3970" s="51"/>
      <c r="F3970" s="114" t="str">
        <f>IF(INDEX(I.Facility.P1IDNumber,3958)="","",INDEX(I.Facility.P1IDNumber,3958))</f>
        <v/>
      </c>
      <c r="G3970" s="51"/>
      <c r="H3970" s="46" t="str">
        <f>IF(AND(I.Developer.P1=TRUE,I.Facility.P1FacilityCount&gt;=3958,F3970=""),"Incomplete","Complete")</f>
        <v>Complete</v>
      </c>
      <c r="I3970" s="48" t="s">
        <v>8335</v>
      </c>
    </row>
    <row r="3971" spans="2:9" ht="15" customHeight="1" x14ac:dyDescent="0.25">
      <c r="B3971" s="55" t="s">
        <v>279</v>
      </c>
      <c r="C3971" s="46">
        <v>3959</v>
      </c>
      <c r="D3971" s="69" t="s">
        <v>29416</v>
      </c>
      <c r="E3971" s="51"/>
      <c r="F3971" s="114" t="str">
        <f>IF(INDEX(I.Facility.P1IDNumber,3959)="","",INDEX(I.Facility.P1IDNumber,3959))</f>
        <v/>
      </c>
      <c r="G3971" s="51"/>
      <c r="H3971" s="46" t="str">
        <f>IF(AND(I.Developer.P1=TRUE,I.Facility.P1FacilityCount&gt;=3959,F3971=""),"Incomplete","Complete")</f>
        <v>Complete</v>
      </c>
      <c r="I3971" s="48" t="s">
        <v>8336</v>
      </c>
    </row>
    <row r="3972" spans="2:9" ht="15" customHeight="1" x14ac:dyDescent="0.25">
      <c r="B3972" s="55" t="s">
        <v>279</v>
      </c>
      <c r="C3972" s="46">
        <v>3960</v>
      </c>
      <c r="D3972" s="69" t="s">
        <v>29416</v>
      </c>
      <c r="E3972" s="51"/>
      <c r="F3972" s="114" t="str">
        <f>IF(INDEX(I.Facility.P1IDNumber,3960)="","",INDEX(I.Facility.P1IDNumber,3960))</f>
        <v/>
      </c>
      <c r="G3972" s="51"/>
      <c r="H3972" s="46" t="str">
        <f>IF(AND(I.Developer.P1=TRUE,I.Facility.P1FacilityCount&gt;=3960,F3972=""),"Incomplete","Complete")</f>
        <v>Complete</v>
      </c>
      <c r="I3972" s="48" t="s">
        <v>8337</v>
      </c>
    </row>
    <row r="3973" spans="2:9" ht="15" customHeight="1" x14ac:dyDescent="0.25">
      <c r="B3973" s="55" t="s">
        <v>279</v>
      </c>
      <c r="C3973" s="46">
        <v>3961</v>
      </c>
      <c r="D3973" s="69" t="s">
        <v>29416</v>
      </c>
      <c r="E3973" s="51"/>
      <c r="F3973" s="114" t="str">
        <f>IF(INDEX(I.Facility.P1IDNumber,3961)="","",INDEX(I.Facility.P1IDNumber,3961))</f>
        <v/>
      </c>
      <c r="G3973" s="51"/>
      <c r="H3973" s="46" t="str">
        <f>IF(AND(I.Developer.P1=TRUE,I.Facility.P1FacilityCount&gt;=3961,F3973=""),"Incomplete","Complete")</f>
        <v>Complete</v>
      </c>
      <c r="I3973" s="48" t="s">
        <v>8338</v>
      </c>
    </row>
    <row r="3974" spans="2:9" ht="15" customHeight="1" x14ac:dyDescent="0.25">
      <c r="B3974" s="55" t="s">
        <v>279</v>
      </c>
      <c r="C3974" s="46">
        <v>3962</v>
      </c>
      <c r="D3974" s="69" t="s">
        <v>29416</v>
      </c>
      <c r="E3974" s="51"/>
      <c r="F3974" s="114" t="str">
        <f>IF(INDEX(I.Facility.P1IDNumber,3962)="","",INDEX(I.Facility.P1IDNumber,3962))</f>
        <v/>
      </c>
      <c r="G3974" s="51"/>
      <c r="H3974" s="46" t="str">
        <f>IF(AND(I.Developer.P1=TRUE,I.Facility.P1FacilityCount&gt;=3962,F3974=""),"Incomplete","Complete")</f>
        <v>Complete</v>
      </c>
      <c r="I3974" s="48" t="s">
        <v>8339</v>
      </c>
    </row>
    <row r="3975" spans="2:9" ht="15" customHeight="1" x14ac:dyDescent="0.25">
      <c r="B3975" s="55" t="s">
        <v>279</v>
      </c>
      <c r="C3975" s="46">
        <v>3963</v>
      </c>
      <c r="D3975" s="69" t="s">
        <v>29416</v>
      </c>
      <c r="E3975" s="51"/>
      <c r="F3975" s="114" t="str">
        <f>IF(INDEX(I.Facility.P1IDNumber,3963)="","",INDEX(I.Facility.P1IDNumber,3963))</f>
        <v/>
      </c>
      <c r="G3975" s="51"/>
      <c r="H3975" s="46" t="str">
        <f>IF(AND(I.Developer.P1=TRUE,I.Facility.P1FacilityCount&gt;=3963,F3975=""),"Incomplete","Complete")</f>
        <v>Complete</v>
      </c>
      <c r="I3975" s="48" t="s">
        <v>8340</v>
      </c>
    </row>
    <row r="3976" spans="2:9" ht="15" customHeight="1" x14ac:dyDescent="0.25">
      <c r="B3976" s="55" t="s">
        <v>279</v>
      </c>
      <c r="C3976" s="46">
        <v>3964</v>
      </c>
      <c r="D3976" s="69" t="s">
        <v>29416</v>
      </c>
      <c r="E3976" s="51"/>
      <c r="F3976" s="114" t="str">
        <f>IF(INDEX(I.Facility.P1IDNumber,3964)="","",INDEX(I.Facility.P1IDNumber,3964))</f>
        <v/>
      </c>
      <c r="G3976" s="51"/>
      <c r="H3976" s="46" t="str">
        <f>IF(AND(I.Developer.P1=TRUE,I.Facility.P1FacilityCount&gt;=3964,F3976=""),"Incomplete","Complete")</f>
        <v>Complete</v>
      </c>
      <c r="I3976" s="48" t="s">
        <v>8341</v>
      </c>
    </row>
    <row r="3977" spans="2:9" ht="15" customHeight="1" x14ac:dyDescent="0.25">
      <c r="B3977" s="55" t="s">
        <v>279</v>
      </c>
      <c r="C3977" s="46">
        <v>3965</v>
      </c>
      <c r="D3977" s="69" t="s">
        <v>29416</v>
      </c>
      <c r="E3977" s="51"/>
      <c r="F3977" s="114" t="str">
        <f>IF(INDEX(I.Facility.P1IDNumber,3965)="","",INDEX(I.Facility.P1IDNumber,3965))</f>
        <v/>
      </c>
      <c r="G3977" s="51"/>
      <c r="H3977" s="46" t="str">
        <f>IF(AND(I.Developer.P1=TRUE,I.Facility.P1FacilityCount&gt;=3965,F3977=""),"Incomplete","Complete")</f>
        <v>Complete</v>
      </c>
      <c r="I3977" s="48" t="s">
        <v>8342</v>
      </c>
    </row>
    <row r="3978" spans="2:9" ht="15" customHeight="1" x14ac:dyDescent="0.25">
      <c r="B3978" s="55" t="s">
        <v>279</v>
      </c>
      <c r="C3978" s="46">
        <v>3966</v>
      </c>
      <c r="D3978" s="69" t="s">
        <v>29416</v>
      </c>
      <c r="E3978" s="51"/>
      <c r="F3978" s="114" t="str">
        <f>IF(INDEX(I.Facility.P1IDNumber,3966)="","",INDEX(I.Facility.P1IDNumber,3966))</f>
        <v/>
      </c>
      <c r="G3978" s="51"/>
      <c r="H3978" s="46" t="str">
        <f>IF(AND(I.Developer.P1=TRUE,I.Facility.P1FacilityCount&gt;=3966,F3978=""),"Incomplete","Complete")</f>
        <v>Complete</v>
      </c>
      <c r="I3978" s="48" t="s">
        <v>8343</v>
      </c>
    </row>
    <row r="3979" spans="2:9" ht="15" customHeight="1" x14ac:dyDescent="0.25">
      <c r="B3979" s="55" t="s">
        <v>279</v>
      </c>
      <c r="C3979" s="46">
        <v>3967</v>
      </c>
      <c r="D3979" s="69" t="s">
        <v>29416</v>
      </c>
      <c r="E3979" s="51"/>
      <c r="F3979" s="114" t="str">
        <f>IF(INDEX(I.Facility.P1IDNumber,3967)="","",INDEX(I.Facility.P1IDNumber,3967))</f>
        <v/>
      </c>
      <c r="G3979" s="51"/>
      <c r="H3979" s="46" t="str">
        <f>IF(AND(I.Developer.P1=TRUE,I.Facility.P1FacilityCount&gt;=3967,F3979=""),"Incomplete","Complete")</f>
        <v>Complete</v>
      </c>
      <c r="I3979" s="48" t="s">
        <v>8344</v>
      </c>
    </row>
    <row r="3980" spans="2:9" ht="15" customHeight="1" x14ac:dyDescent="0.25">
      <c r="B3980" s="55" t="s">
        <v>279</v>
      </c>
      <c r="C3980" s="46">
        <v>3968</v>
      </c>
      <c r="D3980" s="69" t="s">
        <v>29416</v>
      </c>
      <c r="E3980" s="51"/>
      <c r="F3980" s="114" t="str">
        <f>IF(INDEX(I.Facility.P1IDNumber,3968)="","",INDEX(I.Facility.P1IDNumber,3968))</f>
        <v/>
      </c>
      <c r="G3980" s="51"/>
      <c r="H3980" s="46" t="str">
        <f>IF(AND(I.Developer.P1=TRUE,I.Facility.P1FacilityCount&gt;=3968,F3980=""),"Incomplete","Complete")</f>
        <v>Complete</v>
      </c>
      <c r="I3980" s="48" t="s">
        <v>8345</v>
      </c>
    </row>
    <row r="3981" spans="2:9" ht="15" customHeight="1" x14ac:dyDescent="0.25">
      <c r="B3981" s="55" t="s">
        <v>279</v>
      </c>
      <c r="C3981" s="46">
        <v>3969</v>
      </c>
      <c r="D3981" s="69" t="s">
        <v>29416</v>
      </c>
      <c r="E3981" s="51"/>
      <c r="F3981" s="114" t="str">
        <f>IF(INDEX(I.Facility.P1IDNumber,3969)="","",INDEX(I.Facility.P1IDNumber,3969))</f>
        <v/>
      </c>
      <c r="G3981" s="51"/>
      <c r="H3981" s="46" t="str">
        <f>IF(AND(I.Developer.P1=TRUE,I.Facility.P1FacilityCount&gt;=3969,F3981=""),"Incomplete","Complete")</f>
        <v>Complete</v>
      </c>
      <c r="I3981" s="48" t="s">
        <v>8346</v>
      </c>
    </row>
    <row r="3982" spans="2:9" ht="15" customHeight="1" x14ac:dyDescent="0.25">
      <c r="B3982" s="55" t="s">
        <v>279</v>
      </c>
      <c r="C3982" s="46">
        <v>3970</v>
      </c>
      <c r="D3982" s="69" t="s">
        <v>29416</v>
      </c>
      <c r="E3982" s="51"/>
      <c r="F3982" s="114" t="str">
        <f>IF(INDEX(I.Facility.P1IDNumber,3970)="","",INDEX(I.Facility.P1IDNumber,3970))</f>
        <v/>
      </c>
      <c r="G3982" s="51"/>
      <c r="H3982" s="46" t="str">
        <f>IF(AND(I.Developer.P1=TRUE,I.Facility.P1FacilityCount&gt;=3970,F3982=""),"Incomplete","Complete")</f>
        <v>Complete</v>
      </c>
      <c r="I3982" s="48" t="s">
        <v>8347</v>
      </c>
    </row>
    <row r="3983" spans="2:9" ht="15" customHeight="1" x14ac:dyDescent="0.25">
      <c r="B3983" s="55" t="s">
        <v>279</v>
      </c>
      <c r="C3983" s="46">
        <v>3971</v>
      </c>
      <c r="D3983" s="69" t="s">
        <v>29416</v>
      </c>
      <c r="E3983" s="51"/>
      <c r="F3983" s="114" t="str">
        <f>IF(INDEX(I.Facility.P1IDNumber,3971)="","",INDEX(I.Facility.P1IDNumber,3971))</f>
        <v/>
      </c>
      <c r="G3983" s="51"/>
      <c r="H3983" s="46" t="str">
        <f>IF(AND(I.Developer.P1=TRUE,I.Facility.P1FacilityCount&gt;=3971,F3983=""),"Incomplete","Complete")</f>
        <v>Complete</v>
      </c>
      <c r="I3983" s="48" t="s">
        <v>8348</v>
      </c>
    </row>
    <row r="3984" spans="2:9" ht="15" customHeight="1" x14ac:dyDescent="0.25">
      <c r="B3984" s="55" t="s">
        <v>279</v>
      </c>
      <c r="C3984" s="46">
        <v>3972</v>
      </c>
      <c r="D3984" s="69" t="s">
        <v>29416</v>
      </c>
      <c r="E3984" s="51"/>
      <c r="F3984" s="114" t="str">
        <f>IF(INDEX(I.Facility.P1IDNumber,3972)="","",INDEX(I.Facility.P1IDNumber,3972))</f>
        <v/>
      </c>
      <c r="G3984" s="51"/>
      <c r="H3984" s="46" t="str">
        <f>IF(AND(I.Developer.P1=TRUE,I.Facility.P1FacilityCount&gt;=3972,F3984=""),"Incomplete","Complete")</f>
        <v>Complete</v>
      </c>
      <c r="I3984" s="48" t="s">
        <v>8349</v>
      </c>
    </row>
    <row r="3985" spans="2:9" ht="15" customHeight="1" x14ac:dyDescent="0.25">
      <c r="B3985" s="55" t="s">
        <v>279</v>
      </c>
      <c r="C3985" s="46">
        <v>3973</v>
      </c>
      <c r="D3985" s="69" t="s">
        <v>29416</v>
      </c>
      <c r="E3985" s="51"/>
      <c r="F3985" s="114" t="str">
        <f>IF(INDEX(I.Facility.P1IDNumber,3973)="","",INDEX(I.Facility.P1IDNumber,3973))</f>
        <v/>
      </c>
      <c r="G3985" s="51"/>
      <c r="H3985" s="46" t="str">
        <f>IF(AND(I.Developer.P1=TRUE,I.Facility.P1FacilityCount&gt;=3973,F3985=""),"Incomplete","Complete")</f>
        <v>Complete</v>
      </c>
      <c r="I3985" s="48" t="s">
        <v>8350</v>
      </c>
    </row>
    <row r="3986" spans="2:9" ht="15" customHeight="1" x14ac:dyDescent="0.25">
      <c r="B3986" s="55" t="s">
        <v>279</v>
      </c>
      <c r="C3986" s="46">
        <v>3974</v>
      </c>
      <c r="D3986" s="69" t="s">
        <v>29416</v>
      </c>
      <c r="E3986" s="51"/>
      <c r="F3986" s="114" t="str">
        <f>IF(INDEX(I.Facility.P1IDNumber,3974)="","",INDEX(I.Facility.P1IDNumber,3974))</f>
        <v/>
      </c>
      <c r="G3986" s="51"/>
      <c r="H3986" s="46" t="str">
        <f>IF(AND(I.Developer.P1=TRUE,I.Facility.P1FacilityCount&gt;=3974,F3986=""),"Incomplete","Complete")</f>
        <v>Complete</v>
      </c>
      <c r="I3986" s="48" t="s">
        <v>8351</v>
      </c>
    </row>
    <row r="3987" spans="2:9" ht="15" customHeight="1" x14ac:dyDescent="0.25">
      <c r="B3987" s="55" t="s">
        <v>279</v>
      </c>
      <c r="C3987" s="46">
        <v>3975</v>
      </c>
      <c r="D3987" s="69" t="s">
        <v>29416</v>
      </c>
      <c r="E3987" s="51"/>
      <c r="F3987" s="114" t="str">
        <f>IF(INDEX(I.Facility.P1IDNumber,3975)="","",INDEX(I.Facility.P1IDNumber,3975))</f>
        <v/>
      </c>
      <c r="G3987" s="51"/>
      <c r="H3987" s="46" t="str">
        <f>IF(AND(I.Developer.P1=TRUE,I.Facility.P1FacilityCount&gt;=3975,F3987=""),"Incomplete","Complete")</f>
        <v>Complete</v>
      </c>
      <c r="I3987" s="48" t="s">
        <v>8352</v>
      </c>
    </row>
    <row r="3988" spans="2:9" ht="15" customHeight="1" x14ac:dyDescent="0.25">
      <c r="B3988" s="55" t="s">
        <v>279</v>
      </c>
      <c r="C3988" s="46">
        <v>3976</v>
      </c>
      <c r="D3988" s="69" t="s">
        <v>29416</v>
      </c>
      <c r="E3988" s="51"/>
      <c r="F3988" s="114" t="str">
        <f>IF(INDEX(I.Facility.P1IDNumber,3976)="","",INDEX(I.Facility.P1IDNumber,3976))</f>
        <v/>
      </c>
      <c r="G3988" s="51"/>
      <c r="H3988" s="46" t="str">
        <f>IF(AND(I.Developer.P1=TRUE,I.Facility.P1FacilityCount&gt;=3976,F3988=""),"Incomplete","Complete")</f>
        <v>Complete</v>
      </c>
      <c r="I3988" s="48" t="s">
        <v>8353</v>
      </c>
    </row>
    <row r="3989" spans="2:9" ht="15" customHeight="1" x14ac:dyDescent="0.25">
      <c r="B3989" s="55" t="s">
        <v>279</v>
      </c>
      <c r="C3989" s="46">
        <v>3977</v>
      </c>
      <c r="D3989" s="69" t="s">
        <v>29416</v>
      </c>
      <c r="E3989" s="51"/>
      <c r="F3989" s="114" t="str">
        <f>IF(INDEX(I.Facility.P1IDNumber,3977)="","",INDEX(I.Facility.P1IDNumber,3977))</f>
        <v/>
      </c>
      <c r="G3989" s="51"/>
      <c r="H3989" s="46" t="str">
        <f>IF(AND(I.Developer.P1=TRUE,I.Facility.P1FacilityCount&gt;=3977,F3989=""),"Incomplete","Complete")</f>
        <v>Complete</v>
      </c>
      <c r="I3989" s="48" t="s">
        <v>8354</v>
      </c>
    </row>
    <row r="3990" spans="2:9" ht="15" customHeight="1" x14ac:dyDescent="0.25">
      <c r="B3990" s="55" t="s">
        <v>279</v>
      </c>
      <c r="C3990" s="46">
        <v>3978</v>
      </c>
      <c r="D3990" s="69" t="s">
        <v>29416</v>
      </c>
      <c r="E3990" s="51"/>
      <c r="F3990" s="114" t="str">
        <f>IF(INDEX(I.Facility.P1IDNumber,3978)="","",INDEX(I.Facility.P1IDNumber,3978))</f>
        <v/>
      </c>
      <c r="G3990" s="51"/>
      <c r="H3990" s="46" t="str">
        <f>IF(AND(I.Developer.P1=TRUE,I.Facility.P1FacilityCount&gt;=3978,F3990=""),"Incomplete","Complete")</f>
        <v>Complete</v>
      </c>
      <c r="I3990" s="48" t="s">
        <v>8355</v>
      </c>
    </row>
    <row r="3991" spans="2:9" ht="15" customHeight="1" x14ac:dyDescent="0.25">
      <c r="B3991" s="55" t="s">
        <v>279</v>
      </c>
      <c r="C3991" s="46">
        <v>3979</v>
      </c>
      <c r="D3991" s="69" t="s">
        <v>29416</v>
      </c>
      <c r="E3991" s="51"/>
      <c r="F3991" s="114" t="str">
        <f>IF(INDEX(I.Facility.P1IDNumber,3979)="","",INDEX(I.Facility.P1IDNumber,3979))</f>
        <v/>
      </c>
      <c r="G3991" s="51"/>
      <c r="H3991" s="46" t="str">
        <f>IF(AND(I.Developer.P1=TRUE,I.Facility.P1FacilityCount&gt;=3979,F3991=""),"Incomplete","Complete")</f>
        <v>Complete</v>
      </c>
      <c r="I3991" s="48" t="s">
        <v>8356</v>
      </c>
    </row>
    <row r="3992" spans="2:9" ht="15" customHeight="1" x14ac:dyDescent="0.25">
      <c r="B3992" s="55" t="s">
        <v>279</v>
      </c>
      <c r="C3992" s="46">
        <v>3980</v>
      </c>
      <c r="D3992" s="69" t="s">
        <v>29416</v>
      </c>
      <c r="E3992" s="51"/>
      <c r="F3992" s="114" t="str">
        <f>IF(INDEX(I.Facility.P1IDNumber,3980)="","",INDEX(I.Facility.P1IDNumber,3980))</f>
        <v/>
      </c>
      <c r="G3992" s="51"/>
      <c r="H3992" s="46" t="str">
        <f>IF(AND(I.Developer.P1=TRUE,I.Facility.P1FacilityCount&gt;=3980,F3992=""),"Incomplete","Complete")</f>
        <v>Complete</v>
      </c>
      <c r="I3992" s="48" t="s">
        <v>8357</v>
      </c>
    </row>
    <row r="3993" spans="2:9" ht="15" customHeight="1" x14ac:dyDescent="0.25">
      <c r="B3993" s="55" t="s">
        <v>279</v>
      </c>
      <c r="C3993" s="46">
        <v>3981</v>
      </c>
      <c r="D3993" s="69" t="s">
        <v>29416</v>
      </c>
      <c r="E3993" s="51"/>
      <c r="F3993" s="114" t="str">
        <f>IF(INDEX(I.Facility.P1IDNumber,3981)="","",INDEX(I.Facility.P1IDNumber,3981))</f>
        <v/>
      </c>
      <c r="G3993" s="51"/>
      <c r="H3993" s="46" t="str">
        <f>IF(AND(I.Developer.P1=TRUE,I.Facility.P1FacilityCount&gt;=3981,F3993=""),"Incomplete","Complete")</f>
        <v>Complete</v>
      </c>
      <c r="I3993" s="48" t="s">
        <v>8358</v>
      </c>
    </row>
    <row r="3994" spans="2:9" ht="15" customHeight="1" x14ac:dyDescent="0.25">
      <c r="B3994" s="55" t="s">
        <v>279</v>
      </c>
      <c r="C3994" s="46">
        <v>3982</v>
      </c>
      <c r="D3994" s="69" t="s">
        <v>29416</v>
      </c>
      <c r="E3994" s="51"/>
      <c r="F3994" s="114" t="str">
        <f>IF(INDEX(I.Facility.P1IDNumber,3982)="","",INDEX(I.Facility.P1IDNumber,3982))</f>
        <v/>
      </c>
      <c r="G3994" s="51"/>
      <c r="H3994" s="46" t="str">
        <f>IF(AND(I.Developer.P1=TRUE,I.Facility.P1FacilityCount&gt;=3982,F3994=""),"Incomplete","Complete")</f>
        <v>Complete</v>
      </c>
      <c r="I3994" s="48" t="s">
        <v>8359</v>
      </c>
    </row>
    <row r="3995" spans="2:9" ht="15" customHeight="1" x14ac:dyDescent="0.25">
      <c r="B3995" s="55" t="s">
        <v>279</v>
      </c>
      <c r="C3995" s="46">
        <v>3983</v>
      </c>
      <c r="D3995" s="69" t="s">
        <v>29416</v>
      </c>
      <c r="E3995" s="51"/>
      <c r="F3995" s="114" t="str">
        <f>IF(INDEX(I.Facility.P1IDNumber,3983)="","",INDEX(I.Facility.P1IDNumber,3983))</f>
        <v/>
      </c>
      <c r="G3995" s="51"/>
      <c r="H3995" s="46" t="str">
        <f>IF(AND(I.Developer.P1=TRUE,I.Facility.P1FacilityCount&gt;=3983,F3995=""),"Incomplete","Complete")</f>
        <v>Complete</v>
      </c>
      <c r="I3995" s="48" t="s">
        <v>8360</v>
      </c>
    </row>
    <row r="3996" spans="2:9" ht="15" customHeight="1" x14ac:dyDescent="0.25">
      <c r="B3996" s="55" t="s">
        <v>279</v>
      </c>
      <c r="C3996" s="46">
        <v>3984</v>
      </c>
      <c r="D3996" s="69" t="s">
        <v>29416</v>
      </c>
      <c r="E3996" s="51"/>
      <c r="F3996" s="114" t="str">
        <f>IF(INDEX(I.Facility.P1IDNumber,3984)="","",INDEX(I.Facility.P1IDNumber,3984))</f>
        <v/>
      </c>
      <c r="G3996" s="51"/>
      <c r="H3996" s="46" t="str">
        <f>IF(AND(I.Developer.P1=TRUE,I.Facility.P1FacilityCount&gt;=3984,F3996=""),"Incomplete","Complete")</f>
        <v>Complete</v>
      </c>
      <c r="I3996" s="48" t="s">
        <v>8361</v>
      </c>
    </row>
    <row r="3997" spans="2:9" ht="15" customHeight="1" x14ac:dyDescent="0.25">
      <c r="B3997" s="55" t="s">
        <v>279</v>
      </c>
      <c r="C3997" s="46">
        <v>3985</v>
      </c>
      <c r="D3997" s="69" t="s">
        <v>29416</v>
      </c>
      <c r="E3997" s="51"/>
      <c r="F3997" s="114" t="str">
        <f>IF(INDEX(I.Facility.P1IDNumber,3985)="","",INDEX(I.Facility.P1IDNumber,3985))</f>
        <v/>
      </c>
      <c r="G3997" s="51"/>
      <c r="H3997" s="46" t="str">
        <f>IF(AND(I.Developer.P1=TRUE,I.Facility.P1FacilityCount&gt;=3985,F3997=""),"Incomplete","Complete")</f>
        <v>Complete</v>
      </c>
      <c r="I3997" s="48" t="s">
        <v>8362</v>
      </c>
    </row>
    <row r="3998" spans="2:9" ht="15" customHeight="1" x14ac:dyDescent="0.25">
      <c r="B3998" s="55" t="s">
        <v>279</v>
      </c>
      <c r="C3998" s="46">
        <v>3986</v>
      </c>
      <c r="D3998" s="69" t="s">
        <v>29416</v>
      </c>
      <c r="E3998" s="51"/>
      <c r="F3998" s="114" t="str">
        <f>IF(INDEX(I.Facility.P1IDNumber,3986)="","",INDEX(I.Facility.P1IDNumber,3986))</f>
        <v/>
      </c>
      <c r="G3998" s="51"/>
      <c r="H3998" s="46" t="str">
        <f>IF(AND(I.Developer.P1=TRUE,I.Facility.P1FacilityCount&gt;=3986,F3998=""),"Incomplete","Complete")</f>
        <v>Complete</v>
      </c>
      <c r="I3998" s="48" t="s">
        <v>8363</v>
      </c>
    </row>
    <row r="3999" spans="2:9" ht="15" customHeight="1" x14ac:dyDescent="0.25">
      <c r="B3999" s="55" t="s">
        <v>279</v>
      </c>
      <c r="C3999" s="46">
        <v>3987</v>
      </c>
      <c r="D3999" s="69" t="s">
        <v>29416</v>
      </c>
      <c r="E3999" s="51"/>
      <c r="F3999" s="114" t="str">
        <f>IF(INDEX(I.Facility.P1IDNumber,3987)="","",INDEX(I.Facility.P1IDNumber,3987))</f>
        <v/>
      </c>
      <c r="G3999" s="51"/>
      <c r="H3999" s="46" t="str">
        <f>IF(AND(I.Developer.P1=TRUE,I.Facility.P1FacilityCount&gt;=3987,F3999=""),"Incomplete","Complete")</f>
        <v>Complete</v>
      </c>
      <c r="I3999" s="48" t="s">
        <v>8364</v>
      </c>
    </row>
    <row r="4000" spans="2:9" ht="15" customHeight="1" x14ac:dyDescent="0.25">
      <c r="B4000" s="55" t="s">
        <v>279</v>
      </c>
      <c r="C4000" s="46">
        <v>3988</v>
      </c>
      <c r="D4000" s="69" t="s">
        <v>29416</v>
      </c>
      <c r="E4000" s="51"/>
      <c r="F4000" s="114" t="str">
        <f>IF(INDEX(I.Facility.P1IDNumber,3988)="","",INDEX(I.Facility.P1IDNumber,3988))</f>
        <v/>
      </c>
      <c r="G4000" s="51"/>
      <c r="H4000" s="46" t="str">
        <f>IF(AND(I.Developer.P1=TRUE,I.Facility.P1FacilityCount&gt;=3988,F4000=""),"Incomplete","Complete")</f>
        <v>Complete</v>
      </c>
      <c r="I4000" s="48" t="s">
        <v>8365</v>
      </c>
    </row>
    <row r="4001" spans="2:9" ht="15" customHeight="1" x14ac:dyDescent="0.25">
      <c r="B4001" s="55" t="s">
        <v>279</v>
      </c>
      <c r="C4001" s="46">
        <v>3989</v>
      </c>
      <c r="D4001" s="69" t="s">
        <v>29416</v>
      </c>
      <c r="E4001" s="51"/>
      <c r="F4001" s="114" t="str">
        <f>IF(INDEX(I.Facility.P1IDNumber,3989)="","",INDEX(I.Facility.P1IDNumber,3989))</f>
        <v/>
      </c>
      <c r="G4001" s="51"/>
      <c r="H4001" s="46" t="str">
        <f>IF(AND(I.Developer.P1=TRUE,I.Facility.P1FacilityCount&gt;=3989,F4001=""),"Incomplete","Complete")</f>
        <v>Complete</v>
      </c>
      <c r="I4001" s="48" t="s">
        <v>8366</v>
      </c>
    </row>
    <row r="4002" spans="2:9" ht="15" customHeight="1" x14ac:dyDescent="0.25">
      <c r="B4002" s="55" t="s">
        <v>279</v>
      </c>
      <c r="C4002" s="46">
        <v>3990</v>
      </c>
      <c r="D4002" s="69" t="s">
        <v>29416</v>
      </c>
      <c r="E4002" s="51"/>
      <c r="F4002" s="114" t="str">
        <f>IF(INDEX(I.Facility.P1IDNumber,3990)="","",INDEX(I.Facility.P1IDNumber,3990))</f>
        <v/>
      </c>
      <c r="G4002" s="51"/>
      <c r="H4002" s="46" t="str">
        <f>IF(AND(I.Developer.P1=TRUE,I.Facility.P1FacilityCount&gt;=3990,F4002=""),"Incomplete","Complete")</f>
        <v>Complete</v>
      </c>
      <c r="I4002" s="48" t="s">
        <v>8367</v>
      </c>
    </row>
    <row r="4003" spans="2:9" ht="15" customHeight="1" x14ac:dyDescent="0.25">
      <c r="B4003" s="55" t="s">
        <v>279</v>
      </c>
      <c r="C4003" s="46">
        <v>3991</v>
      </c>
      <c r="D4003" s="69" t="s">
        <v>29416</v>
      </c>
      <c r="E4003" s="51"/>
      <c r="F4003" s="114" t="str">
        <f>IF(INDEX(I.Facility.P1IDNumber,3991)="","",INDEX(I.Facility.P1IDNumber,3991))</f>
        <v/>
      </c>
      <c r="G4003" s="51"/>
      <c r="H4003" s="46" t="str">
        <f>IF(AND(I.Developer.P1=TRUE,I.Facility.P1FacilityCount&gt;=3991,F4003=""),"Incomplete","Complete")</f>
        <v>Complete</v>
      </c>
      <c r="I4003" s="48" t="s">
        <v>8368</v>
      </c>
    </row>
    <row r="4004" spans="2:9" ht="15" customHeight="1" x14ac:dyDescent="0.25">
      <c r="B4004" s="55" t="s">
        <v>279</v>
      </c>
      <c r="C4004" s="46">
        <v>3992</v>
      </c>
      <c r="D4004" s="69" t="s">
        <v>29416</v>
      </c>
      <c r="E4004" s="51"/>
      <c r="F4004" s="114" t="str">
        <f>IF(INDEX(I.Facility.P1IDNumber,3992)="","",INDEX(I.Facility.P1IDNumber,3992))</f>
        <v/>
      </c>
      <c r="G4004" s="51"/>
      <c r="H4004" s="46" t="str">
        <f>IF(AND(I.Developer.P1=TRUE,I.Facility.P1FacilityCount&gt;=3992,F4004=""),"Incomplete","Complete")</f>
        <v>Complete</v>
      </c>
      <c r="I4004" s="48" t="s">
        <v>8369</v>
      </c>
    </row>
    <row r="4005" spans="2:9" ht="15" customHeight="1" x14ac:dyDescent="0.25">
      <c r="B4005" s="55" t="s">
        <v>279</v>
      </c>
      <c r="C4005" s="46">
        <v>3993</v>
      </c>
      <c r="D4005" s="69" t="s">
        <v>29416</v>
      </c>
      <c r="E4005" s="51"/>
      <c r="F4005" s="114" t="str">
        <f>IF(INDEX(I.Facility.P1IDNumber,3993)="","",INDEX(I.Facility.P1IDNumber,3993))</f>
        <v/>
      </c>
      <c r="G4005" s="51"/>
      <c r="H4005" s="46" t="str">
        <f>IF(AND(I.Developer.P1=TRUE,I.Facility.P1FacilityCount&gt;=3993,F4005=""),"Incomplete","Complete")</f>
        <v>Complete</v>
      </c>
      <c r="I4005" s="48" t="s">
        <v>8370</v>
      </c>
    </row>
    <row r="4006" spans="2:9" ht="15" customHeight="1" x14ac:dyDescent="0.25">
      <c r="B4006" s="55" t="s">
        <v>279</v>
      </c>
      <c r="C4006" s="46">
        <v>3994</v>
      </c>
      <c r="D4006" s="69" t="s">
        <v>29416</v>
      </c>
      <c r="E4006" s="51"/>
      <c r="F4006" s="114" t="str">
        <f>IF(INDEX(I.Facility.P1IDNumber,3994)="","",INDEX(I.Facility.P1IDNumber,3994))</f>
        <v/>
      </c>
      <c r="G4006" s="51"/>
      <c r="H4006" s="46" t="str">
        <f>IF(AND(I.Developer.P1=TRUE,I.Facility.P1FacilityCount&gt;=3994,F4006=""),"Incomplete","Complete")</f>
        <v>Complete</v>
      </c>
      <c r="I4006" s="48" t="s">
        <v>8371</v>
      </c>
    </row>
    <row r="4007" spans="2:9" ht="15" customHeight="1" x14ac:dyDescent="0.25">
      <c r="B4007" s="55" t="s">
        <v>279</v>
      </c>
      <c r="C4007" s="46">
        <v>3995</v>
      </c>
      <c r="D4007" s="69" t="s">
        <v>29416</v>
      </c>
      <c r="E4007" s="51"/>
      <c r="F4007" s="114" t="str">
        <f>IF(INDEX(I.Facility.P1IDNumber,3995)="","",INDEX(I.Facility.P1IDNumber,3995))</f>
        <v/>
      </c>
      <c r="G4007" s="51"/>
      <c r="H4007" s="46" t="str">
        <f>IF(AND(I.Developer.P1=TRUE,I.Facility.P1FacilityCount&gt;=3995,F4007=""),"Incomplete","Complete")</f>
        <v>Complete</v>
      </c>
      <c r="I4007" s="48" t="s">
        <v>8372</v>
      </c>
    </row>
    <row r="4008" spans="2:9" ht="15" customHeight="1" x14ac:dyDescent="0.25">
      <c r="B4008" s="55" t="s">
        <v>279</v>
      </c>
      <c r="C4008" s="46">
        <v>3996</v>
      </c>
      <c r="D4008" s="69" t="s">
        <v>29416</v>
      </c>
      <c r="E4008" s="51"/>
      <c r="F4008" s="114" t="str">
        <f>IF(INDEX(I.Facility.P1IDNumber,3996)="","",INDEX(I.Facility.P1IDNumber,3996))</f>
        <v/>
      </c>
      <c r="G4008" s="51"/>
      <c r="H4008" s="46" t="str">
        <f>IF(AND(I.Developer.P1=TRUE,I.Facility.P1FacilityCount&gt;=3996,F4008=""),"Incomplete","Complete")</f>
        <v>Complete</v>
      </c>
      <c r="I4008" s="48" t="s">
        <v>8373</v>
      </c>
    </row>
    <row r="4009" spans="2:9" ht="15" customHeight="1" x14ac:dyDescent="0.25">
      <c r="B4009" s="55" t="s">
        <v>279</v>
      </c>
      <c r="C4009" s="46">
        <v>3997</v>
      </c>
      <c r="D4009" s="69" t="s">
        <v>29416</v>
      </c>
      <c r="E4009" s="51"/>
      <c r="F4009" s="114" t="str">
        <f>IF(INDEX(I.Facility.P1IDNumber,3997)="","",INDEX(I.Facility.P1IDNumber,3997))</f>
        <v/>
      </c>
      <c r="G4009" s="51"/>
      <c r="H4009" s="46" t="str">
        <f>IF(AND(I.Developer.P1=TRUE,I.Facility.P1FacilityCount&gt;=3997,F4009=""),"Incomplete","Complete")</f>
        <v>Complete</v>
      </c>
      <c r="I4009" s="48" t="s">
        <v>8374</v>
      </c>
    </row>
    <row r="4010" spans="2:9" ht="15" customHeight="1" x14ac:dyDescent="0.25">
      <c r="B4010" s="55" t="s">
        <v>279</v>
      </c>
      <c r="C4010" s="46">
        <v>3998</v>
      </c>
      <c r="D4010" s="69" t="s">
        <v>29416</v>
      </c>
      <c r="E4010" s="51"/>
      <c r="F4010" s="114" t="str">
        <f>IF(INDEX(I.Facility.P1IDNumber,3998)="","",INDEX(I.Facility.P1IDNumber,3998))</f>
        <v/>
      </c>
      <c r="G4010" s="51"/>
      <c r="H4010" s="46" t="str">
        <f>IF(AND(I.Developer.P1=TRUE,I.Facility.P1FacilityCount&gt;=3998,F4010=""),"Incomplete","Complete")</f>
        <v>Complete</v>
      </c>
      <c r="I4010" s="48" t="s">
        <v>8375</v>
      </c>
    </row>
    <row r="4011" spans="2:9" ht="15" customHeight="1" x14ac:dyDescent="0.25">
      <c r="B4011" s="55" t="s">
        <v>279</v>
      </c>
      <c r="C4011" s="46">
        <v>3999</v>
      </c>
      <c r="D4011" s="69" t="s">
        <v>29416</v>
      </c>
      <c r="E4011" s="51"/>
      <c r="F4011" s="114" t="str">
        <f>IF(INDEX(I.Facility.P1IDNumber,3999)="","",INDEX(I.Facility.P1IDNumber,3999))</f>
        <v/>
      </c>
      <c r="G4011" s="51"/>
      <c r="H4011" s="46" t="str">
        <f>IF(AND(I.Developer.P1=TRUE,I.Facility.P1FacilityCount&gt;=3999,F4011=""),"Incomplete","Complete")</f>
        <v>Complete</v>
      </c>
      <c r="I4011" s="48" t="s">
        <v>8376</v>
      </c>
    </row>
    <row r="4012" spans="2:9" ht="15" customHeight="1" x14ac:dyDescent="0.25">
      <c r="B4012" s="55" t="s">
        <v>279</v>
      </c>
      <c r="C4012" s="46">
        <v>4000</v>
      </c>
      <c r="D4012" s="69" t="s">
        <v>29416</v>
      </c>
      <c r="E4012" s="51"/>
      <c r="F4012" s="114" t="str">
        <f>IF(INDEX(I.Facility.P1IDNumber,4000)="","",INDEX(I.Facility.P1IDNumber,4000))</f>
        <v/>
      </c>
      <c r="G4012" s="51"/>
      <c r="H4012" s="46" t="str">
        <f>IF(AND(I.Developer.P1=TRUE,I.Facility.P1FacilityCount&gt;=4000,F4012=""),"Incomplete","Complete")</f>
        <v>Complete</v>
      </c>
      <c r="I4012" s="48" t="s">
        <v>8377</v>
      </c>
    </row>
    <row r="4013" spans="2:9" ht="15" customHeight="1" x14ac:dyDescent="0.25">
      <c r="B4013" s="55" t="s">
        <v>279</v>
      </c>
      <c r="C4013" s="46">
        <v>4001</v>
      </c>
      <c r="D4013" s="69" t="s">
        <v>29416</v>
      </c>
      <c r="E4013" s="51"/>
      <c r="F4013" s="114" t="str">
        <f>IF(INDEX(I.Facility.P1IDNumber,4001)="","",INDEX(I.Facility.P1IDNumber,4001))</f>
        <v/>
      </c>
      <c r="G4013" s="51"/>
      <c r="H4013" s="46" t="str">
        <f>IF(AND(I.Developer.P1=TRUE,I.Facility.P1FacilityCount&gt;=4001,F4013=""),"Incomplete","Complete")</f>
        <v>Complete</v>
      </c>
      <c r="I4013" s="48" t="s">
        <v>8378</v>
      </c>
    </row>
    <row r="4014" spans="2:9" ht="15" customHeight="1" x14ac:dyDescent="0.25">
      <c r="B4014" s="55" t="s">
        <v>279</v>
      </c>
      <c r="C4014" s="46">
        <v>4002</v>
      </c>
      <c r="D4014" s="69" t="s">
        <v>29416</v>
      </c>
      <c r="E4014" s="51"/>
      <c r="F4014" s="114" t="str">
        <f>IF(INDEX(I.Facility.P1IDNumber,4002)="","",INDEX(I.Facility.P1IDNumber,4002))</f>
        <v/>
      </c>
      <c r="G4014" s="51"/>
      <c r="H4014" s="46" t="str">
        <f>IF(AND(I.Developer.P1=TRUE,I.Facility.P1FacilityCount&gt;=4002,F4014=""),"Incomplete","Complete")</f>
        <v>Complete</v>
      </c>
      <c r="I4014" s="48" t="s">
        <v>8379</v>
      </c>
    </row>
    <row r="4015" spans="2:9" ht="15" customHeight="1" x14ac:dyDescent="0.25">
      <c r="B4015" s="55" t="s">
        <v>279</v>
      </c>
      <c r="C4015" s="46">
        <v>4003</v>
      </c>
      <c r="D4015" s="69" t="s">
        <v>29416</v>
      </c>
      <c r="E4015" s="51"/>
      <c r="F4015" s="114" t="str">
        <f>IF(INDEX(I.Facility.P1IDNumber,4003)="","",INDEX(I.Facility.P1IDNumber,4003))</f>
        <v/>
      </c>
      <c r="G4015" s="51"/>
      <c r="H4015" s="46" t="str">
        <f>IF(AND(I.Developer.P1=TRUE,I.Facility.P1FacilityCount&gt;=4003,F4015=""),"Incomplete","Complete")</f>
        <v>Complete</v>
      </c>
      <c r="I4015" s="48" t="s">
        <v>8380</v>
      </c>
    </row>
    <row r="4016" spans="2:9" ht="15" customHeight="1" x14ac:dyDescent="0.25">
      <c r="B4016" s="55" t="s">
        <v>279</v>
      </c>
      <c r="C4016" s="46">
        <v>4004</v>
      </c>
      <c r="D4016" s="69" t="s">
        <v>29416</v>
      </c>
      <c r="E4016" s="51"/>
      <c r="F4016" s="114" t="str">
        <f>IF(INDEX(I.Facility.P1IDNumber,4004)="","",INDEX(I.Facility.P1IDNumber,4004))</f>
        <v/>
      </c>
      <c r="G4016" s="51"/>
      <c r="H4016" s="46" t="str">
        <f>IF(AND(I.Developer.P1=TRUE,I.Facility.P1FacilityCount&gt;=4004,F4016=""),"Incomplete","Complete")</f>
        <v>Complete</v>
      </c>
      <c r="I4016" s="48" t="s">
        <v>8381</v>
      </c>
    </row>
    <row r="4017" spans="2:9" ht="15" customHeight="1" x14ac:dyDescent="0.25">
      <c r="B4017" s="55" t="s">
        <v>279</v>
      </c>
      <c r="C4017" s="46">
        <v>4005</v>
      </c>
      <c r="D4017" s="69" t="s">
        <v>29416</v>
      </c>
      <c r="E4017" s="51"/>
      <c r="F4017" s="114" t="str">
        <f>IF(INDEX(I.Facility.P1IDNumber,4005)="","",INDEX(I.Facility.P1IDNumber,4005))</f>
        <v/>
      </c>
      <c r="G4017" s="51"/>
      <c r="H4017" s="46" t="str">
        <f>IF(AND(I.Developer.P1=TRUE,I.Facility.P1FacilityCount&gt;=4005,F4017=""),"Incomplete","Complete")</f>
        <v>Complete</v>
      </c>
      <c r="I4017" s="48" t="s">
        <v>8382</v>
      </c>
    </row>
    <row r="4018" spans="2:9" ht="15" customHeight="1" x14ac:dyDescent="0.25">
      <c r="B4018" s="55" t="s">
        <v>279</v>
      </c>
      <c r="C4018" s="46">
        <v>4006</v>
      </c>
      <c r="D4018" s="69" t="s">
        <v>29416</v>
      </c>
      <c r="E4018" s="51"/>
      <c r="F4018" s="114" t="str">
        <f>IF(INDEX(I.Facility.P1IDNumber,4006)="","",INDEX(I.Facility.P1IDNumber,4006))</f>
        <v/>
      </c>
      <c r="G4018" s="51"/>
      <c r="H4018" s="46" t="str">
        <f>IF(AND(I.Developer.P1=TRUE,I.Facility.P1FacilityCount&gt;=4006,F4018=""),"Incomplete","Complete")</f>
        <v>Complete</v>
      </c>
      <c r="I4018" s="48" t="s">
        <v>8383</v>
      </c>
    </row>
    <row r="4019" spans="2:9" ht="15" customHeight="1" x14ac:dyDescent="0.25">
      <c r="B4019" s="55" t="s">
        <v>279</v>
      </c>
      <c r="C4019" s="46">
        <v>4007</v>
      </c>
      <c r="D4019" s="69" t="s">
        <v>29416</v>
      </c>
      <c r="E4019" s="51"/>
      <c r="F4019" s="114" t="str">
        <f>IF(INDEX(I.Facility.P1IDNumber,4007)="","",INDEX(I.Facility.P1IDNumber,4007))</f>
        <v/>
      </c>
      <c r="G4019" s="51"/>
      <c r="H4019" s="46" t="str">
        <f>IF(AND(I.Developer.P1=TRUE,I.Facility.P1FacilityCount&gt;=4007,F4019=""),"Incomplete","Complete")</f>
        <v>Complete</v>
      </c>
      <c r="I4019" s="48" t="s">
        <v>8384</v>
      </c>
    </row>
    <row r="4020" spans="2:9" ht="15" customHeight="1" x14ac:dyDescent="0.25">
      <c r="B4020" s="55" t="s">
        <v>279</v>
      </c>
      <c r="C4020" s="46">
        <v>4008</v>
      </c>
      <c r="D4020" s="69" t="s">
        <v>29416</v>
      </c>
      <c r="E4020" s="51"/>
      <c r="F4020" s="114" t="str">
        <f>IF(INDEX(I.Facility.P1IDNumber,4008)="","",INDEX(I.Facility.P1IDNumber,4008))</f>
        <v/>
      </c>
      <c r="G4020" s="51"/>
      <c r="H4020" s="46" t="str">
        <f>IF(AND(I.Developer.P1=TRUE,I.Facility.P1FacilityCount&gt;=4008,F4020=""),"Incomplete","Complete")</f>
        <v>Complete</v>
      </c>
      <c r="I4020" s="48" t="s">
        <v>8385</v>
      </c>
    </row>
    <row r="4021" spans="2:9" ht="15" customHeight="1" x14ac:dyDescent="0.25">
      <c r="B4021" s="55" t="s">
        <v>279</v>
      </c>
      <c r="C4021" s="46">
        <v>4009</v>
      </c>
      <c r="D4021" s="69" t="s">
        <v>29416</v>
      </c>
      <c r="E4021" s="51"/>
      <c r="F4021" s="114" t="str">
        <f>IF(INDEX(I.Facility.P1IDNumber,4009)="","",INDEX(I.Facility.P1IDNumber,4009))</f>
        <v/>
      </c>
      <c r="G4021" s="51"/>
      <c r="H4021" s="46" t="str">
        <f>IF(AND(I.Developer.P1=TRUE,I.Facility.P1FacilityCount&gt;=4009,F4021=""),"Incomplete","Complete")</f>
        <v>Complete</v>
      </c>
      <c r="I4021" s="48" t="s">
        <v>8386</v>
      </c>
    </row>
    <row r="4022" spans="2:9" ht="15" customHeight="1" x14ac:dyDescent="0.25">
      <c r="B4022" s="55" t="s">
        <v>279</v>
      </c>
      <c r="C4022" s="46">
        <v>4010</v>
      </c>
      <c r="D4022" s="69" t="s">
        <v>29416</v>
      </c>
      <c r="E4022" s="51"/>
      <c r="F4022" s="114" t="str">
        <f>IF(INDEX(I.Facility.P1IDNumber,4010)="","",INDEX(I.Facility.P1IDNumber,4010))</f>
        <v/>
      </c>
      <c r="G4022" s="51"/>
      <c r="H4022" s="46" t="str">
        <f>IF(AND(I.Developer.P1=TRUE,I.Facility.P1FacilityCount&gt;=4010,F4022=""),"Incomplete","Complete")</f>
        <v>Complete</v>
      </c>
      <c r="I4022" s="48" t="s">
        <v>8387</v>
      </c>
    </row>
    <row r="4023" spans="2:9" ht="15" customHeight="1" x14ac:dyDescent="0.25">
      <c r="B4023" s="55" t="s">
        <v>279</v>
      </c>
      <c r="C4023" s="46">
        <v>4011</v>
      </c>
      <c r="D4023" s="69" t="s">
        <v>29416</v>
      </c>
      <c r="E4023" s="51"/>
      <c r="F4023" s="114" t="str">
        <f>IF(INDEX(I.Facility.P1IDNumber,4011)="","",INDEX(I.Facility.P1IDNumber,4011))</f>
        <v/>
      </c>
      <c r="G4023" s="51"/>
      <c r="H4023" s="46" t="str">
        <f>IF(AND(I.Developer.P1=TRUE,I.Facility.P1FacilityCount&gt;=4011,F4023=""),"Incomplete","Complete")</f>
        <v>Complete</v>
      </c>
      <c r="I4023" s="48" t="s">
        <v>8388</v>
      </c>
    </row>
    <row r="4024" spans="2:9" ht="15" customHeight="1" x14ac:dyDescent="0.25">
      <c r="B4024" s="55" t="s">
        <v>279</v>
      </c>
      <c r="C4024" s="46">
        <v>4012</v>
      </c>
      <c r="D4024" s="69" t="s">
        <v>29416</v>
      </c>
      <c r="E4024" s="51"/>
      <c r="F4024" s="114" t="str">
        <f>IF(INDEX(I.Facility.P1IDNumber,4012)="","",INDEX(I.Facility.P1IDNumber,4012))</f>
        <v/>
      </c>
      <c r="G4024" s="51"/>
      <c r="H4024" s="46" t="str">
        <f>IF(AND(I.Developer.P1=TRUE,I.Facility.P1FacilityCount&gt;=4012,F4024=""),"Incomplete","Complete")</f>
        <v>Complete</v>
      </c>
      <c r="I4024" s="48" t="s">
        <v>8389</v>
      </c>
    </row>
    <row r="4025" spans="2:9" ht="15" customHeight="1" x14ac:dyDescent="0.25">
      <c r="B4025" s="55" t="s">
        <v>279</v>
      </c>
      <c r="C4025" s="46">
        <v>4013</v>
      </c>
      <c r="D4025" s="69" t="s">
        <v>29416</v>
      </c>
      <c r="E4025" s="51"/>
      <c r="F4025" s="114" t="str">
        <f>IF(INDEX(I.Facility.P1IDNumber,4013)="","",INDEX(I.Facility.P1IDNumber,4013))</f>
        <v/>
      </c>
      <c r="G4025" s="51"/>
      <c r="H4025" s="46" t="str">
        <f>IF(AND(I.Developer.P1=TRUE,I.Facility.P1FacilityCount&gt;=4013,F4025=""),"Incomplete","Complete")</f>
        <v>Complete</v>
      </c>
      <c r="I4025" s="48" t="s">
        <v>8390</v>
      </c>
    </row>
    <row r="4026" spans="2:9" ht="15" customHeight="1" x14ac:dyDescent="0.25">
      <c r="B4026" s="55" t="s">
        <v>279</v>
      </c>
      <c r="C4026" s="46">
        <v>4014</v>
      </c>
      <c r="D4026" s="69" t="s">
        <v>29416</v>
      </c>
      <c r="E4026" s="51"/>
      <c r="F4026" s="114" t="str">
        <f>IF(INDEX(I.Facility.P1IDNumber,4014)="","",INDEX(I.Facility.P1IDNumber,4014))</f>
        <v/>
      </c>
      <c r="G4026" s="51"/>
      <c r="H4026" s="46" t="str">
        <f>IF(AND(I.Developer.P1=TRUE,I.Facility.P1FacilityCount&gt;=4014,F4026=""),"Incomplete","Complete")</f>
        <v>Complete</v>
      </c>
      <c r="I4026" s="48" t="s">
        <v>8391</v>
      </c>
    </row>
    <row r="4027" spans="2:9" ht="15" customHeight="1" x14ac:dyDescent="0.25">
      <c r="B4027" s="55" t="s">
        <v>279</v>
      </c>
      <c r="C4027" s="46">
        <v>4015</v>
      </c>
      <c r="D4027" s="69" t="s">
        <v>29416</v>
      </c>
      <c r="E4027" s="51"/>
      <c r="F4027" s="114" t="str">
        <f>IF(INDEX(I.Facility.P1IDNumber,4015)="","",INDEX(I.Facility.P1IDNumber,4015))</f>
        <v/>
      </c>
      <c r="G4027" s="51"/>
      <c r="H4027" s="46" t="str">
        <f>IF(AND(I.Developer.P1=TRUE,I.Facility.P1FacilityCount&gt;=4015,F4027=""),"Incomplete","Complete")</f>
        <v>Complete</v>
      </c>
      <c r="I4027" s="48" t="s">
        <v>8392</v>
      </c>
    </row>
    <row r="4028" spans="2:9" ht="15" customHeight="1" x14ac:dyDescent="0.25">
      <c r="B4028" s="55" t="s">
        <v>279</v>
      </c>
      <c r="C4028" s="46">
        <v>4016</v>
      </c>
      <c r="D4028" s="69" t="s">
        <v>29416</v>
      </c>
      <c r="E4028" s="51"/>
      <c r="F4028" s="114" t="str">
        <f>IF(INDEX(I.Facility.P1IDNumber,4016)="","",INDEX(I.Facility.P1IDNumber,4016))</f>
        <v/>
      </c>
      <c r="G4028" s="51"/>
      <c r="H4028" s="46" t="str">
        <f>IF(AND(I.Developer.P1=TRUE,I.Facility.P1FacilityCount&gt;=4016,F4028=""),"Incomplete","Complete")</f>
        <v>Complete</v>
      </c>
      <c r="I4028" s="48" t="s">
        <v>8393</v>
      </c>
    </row>
    <row r="4029" spans="2:9" ht="15" customHeight="1" x14ac:dyDescent="0.25">
      <c r="B4029" s="55" t="s">
        <v>279</v>
      </c>
      <c r="C4029" s="46">
        <v>4017</v>
      </c>
      <c r="D4029" s="69" t="s">
        <v>29416</v>
      </c>
      <c r="E4029" s="51"/>
      <c r="F4029" s="114" t="str">
        <f>IF(INDEX(I.Facility.P1IDNumber,4017)="","",INDEX(I.Facility.P1IDNumber,4017))</f>
        <v/>
      </c>
      <c r="G4029" s="51"/>
      <c r="H4029" s="46" t="str">
        <f>IF(AND(I.Developer.P1=TRUE,I.Facility.P1FacilityCount&gt;=4017,F4029=""),"Incomplete","Complete")</f>
        <v>Complete</v>
      </c>
      <c r="I4029" s="48" t="s">
        <v>8394</v>
      </c>
    </row>
    <row r="4030" spans="2:9" ht="15" customHeight="1" x14ac:dyDescent="0.25">
      <c r="B4030" s="55" t="s">
        <v>279</v>
      </c>
      <c r="C4030" s="46">
        <v>4018</v>
      </c>
      <c r="D4030" s="69" t="s">
        <v>29416</v>
      </c>
      <c r="E4030" s="51"/>
      <c r="F4030" s="114" t="str">
        <f>IF(INDEX(I.Facility.P1IDNumber,4018)="","",INDEX(I.Facility.P1IDNumber,4018))</f>
        <v/>
      </c>
      <c r="G4030" s="51"/>
      <c r="H4030" s="46" t="str">
        <f>IF(AND(I.Developer.P1=TRUE,I.Facility.P1FacilityCount&gt;=4018,F4030=""),"Incomplete","Complete")</f>
        <v>Complete</v>
      </c>
      <c r="I4030" s="48" t="s">
        <v>8395</v>
      </c>
    </row>
    <row r="4031" spans="2:9" ht="15" customHeight="1" x14ac:dyDescent="0.25">
      <c r="B4031" s="55" t="s">
        <v>279</v>
      </c>
      <c r="C4031" s="46">
        <v>4019</v>
      </c>
      <c r="D4031" s="69" t="s">
        <v>29416</v>
      </c>
      <c r="E4031" s="51"/>
      <c r="F4031" s="114" t="str">
        <f>IF(INDEX(I.Facility.P1IDNumber,4019)="","",INDEX(I.Facility.P1IDNumber,4019))</f>
        <v/>
      </c>
      <c r="G4031" s="51"/>
      <c r="H4031" s="46" t="str">
        <f>IF(AND(I.Developer.P1=TRUE,I.Facility.P1FacilityCount&gt;=4019,F4031=""),"Incomplete","Complete")</f>
        <v>Complete</v>
      </c>
      <c r="I4031" s="48" t="s">
        <v>8396</v>
      </c>
    </row>
    <row r="4032" spans="2:9" ht="15" customHeight="1" x14ac:dyDescent="0.25">
      <c r="B4032" s="55" t="s">
        <v>279</v>
      </c>
      <c r="C4032" s="46">
        <v>4020</v>
      </c>
      <c r="D4032" s="69" t="s">
        <v>29416</v>
      </c>
      <c r="E4032" s="51"/>
      <c r="F4032" s="114" t="str">
        <f>IF(INDEX(I.Facility.P1IDNumber,4020)="","",INDEX(I.Facility.P1IDNumber,4020))</f>
        <v/>
      </c>
      <c r="G4032" s="51"/>
      <c r="H4032" s="46" t="str">
        <f>IF(AND(I.Developer.P1=TRUE,I.Facility.P1FacilityCount&gt;=4020,F4032=""),"Incomplete","Complete")</f>
        <v>Complete</v>
      </c>
      <c r="I4032" s="48" t="s">
        <v>8397</v>
      </c>
    </row>
    <row r="4033" spans="2:9" ht="15" customHeight="1" x14ac:dyDescent="0.25">
      <c r="B4033" s="55" t="s">
        <v>279</v>
      </c>
      <c r="C4033" s="46">
        <v>4021</v>
      </c>
      <c r="D4033" s="69" t="s">
        <v>29416</v>
      </c>
      <c r="E4033" s="51"/>
      <c r="F4033" s="114" t="str">
        <f>IF(INDEX(I.Facility.P1IDNumber,4021)="","",INDEX(I.Facility.P1IDNumber,4021))</f>
        <v/>
      </c>
      <c r="G4033" s="51"/>
      <c r="H4033" s="46" t="str">
        <f>IF(AND(I.Developer.P1=TRUE,I.Facility.P1FacilityCount&gt;=4021,F4033=""),"Incomplete","Complete")</f>
        <v>Complete</v>
      </c>
      <c r="I4033" s="48" t="s">
        <v>8398</v>
      </c>
    </row>
    <row r="4034" spans="2:9" ht="15" customHeight="1" x14ac:dyDescent="0.25">
      <c r="B4034" s="55" t="s">
        <v>279</v>
      </c>
      <c r="C4034" s="46">
        <v>4022</v>
      </c>
      <c r="D4034" s="69" t="s">
        <v>29416</v>
      </c>
      <c r="E4034" s="51"/>
      <c r="F4034" s="114" t="str">
        <f>IF(INDEX(I.Facility.P1IDNumber,4022)="","",INDEX(I.Facility.P1IDNumber,4022))</f>
        <v/>
      </c>
      <c r="G4034" s="51"/>
      <c r="H4034" s="46" t="str">
        <f>IF(AND(I.Developer.P1=TRUE,I.Facility.P1FacilityCount&gt;=4022,F4034=""),"Incomplete","Complete")</f>
        <v>Complete</v>
      </c>
      <c r="I4034" s="48" t="s">
        <v>8399</v>
      </c>
    </row>
    <row r="4035" spans="2:9" ht="15" customHeight="1" x14ac:dyDescent="0.25">
      <c r="B4035" s="55" t="s">
        <v>279</v>
      </c>
      <c r="C4035" s="46">
        <v>4023</v>
      </c>
      <c r="D4035" s="69" t="s">
        <v>29416</v>
      </c>
      <c r="E4035" s="51"/>
      <c r="F4035" s="114" t="str">
        <f>IF(INDEX(I.Facility.P1IDNumber,4023)="","",INDEX(I.Facility.P1IDNumber,4023))</f>
        <v/>
      </c>
      <c r="G4035" s="51"/>
      <c r="H4035" s="46" t="str">
        <f>IF(AND(I.Developer.P1=TRUE,I.Facility.P1FacilityCount&gt;=4023,F4035=""),"Incomplete","Complete")</f>
        <v>Complete</v>
      </c>
      <c r="I4035" s="48" t="s">
        <v>8400</v>
      </c>
    </row>
    <row r="4036" spans="2:9" ht="15" customHeight="1" x14ac:dyDescent="0.25">
      <c r="B4036" s="55" t="s">
        <v>279</v>
      </c>
      <c r="C4036" s="46">
        <v>4024</v>
      </c>
      <c r="D4036" s="69" t="s">
        <v>29416</v>
      </c>
      <c r="E4036" s="51"/>
      <c r="F4036" s="114" t="str">
        <f>IF(INDEX(I.Facility.P1IDNumber,4024)="","",INDEX(I.Facility.P1IDNumber,4024))</f>
        <v/>
      </c>
      <c r="G4036" s="51"/>
      <c r="H4036" s="46" t="str">
        <f>IF(AND(I.Developer.P1=TRUE,I.Facility.P1FacilityCount&gt;=4024,F4036=""),"Incomplete","Complete")</f>
        <v>Complete</v>
      </c>
      <c r="I4036" s="48" t="s">
        <v>8401</v>
      </c>
    </row>
    <row r="4037" spans="2:9" ht="15" customHeight="1" x14ac:dyDescent="0.25">
      <c r="B4037" s="55" t="s">
        <v>279</v>
      </c>
      <c r="C4037" s="46">
        <v>4025</v>
      </c>
      <c r="D4037" s="69" t="s">
        <v>29416</v>
      </c>
      <c r="E4037" s="51"/>
      <c r="F4037" s="114" t="str">
        <f>IF(INDEX(I.Facility.P1IDNumber,4025)="","",INDEX(I.Facility.P1IDNumber,4025))</f>
        <v/>
      </c>
      <c r="G4037" s="51"/>
      <c r="H4037" s="46" t="str">
        <f>IF(AND(I.Developer.P1=TRUE,I.Facility.P1FacilityCount&gt;=4025,F4037=""),"Incomplete","Complete")</f>
        <v>Complete</v>
      </c>
      <c r="I4037" s="48" t="s">
        <v>8402</v>
      </c>
    </row>
    <row r="4038" spans="2:9" ht="15" customHeight="1" x14ac:dyDescent="0.25">
      <c r="B4038" s="55" t="s">
        <v>279</v>
      </c>
      <c r="C4038" s="46">
        <v>4026</v>
      </c>
      <c r="D4038" s="69" t="s">
        <v>29416</v>
      </c>
      <c r="E4038" s="51"/>
      <c r="F4038" s="114" t="str">
        <f>IF(INDEX(I.Facility.P1IDNumber,4026)="","",INDEX(I.Facility.P1IDNumber,4026))</f>
        <v/>
      </c>
      <c r="G4038" s="51"/>
      <c r="H4038" s="46" t="str">
        <f>IF(AND(I.Developer.P1=TRUE,I.Facility.P1FacilityCount&gt;=4026,F4038=""),"Incomplete","Complete")</f>
        <v>Complete</v>
      </c>
      <c r="I4038" s="48" t="s">
        <v>8403</v>
      </c>
    </row>
    <row r="4039" spans="2:9" ht="15" customHeight="1" x14ac:dyDescent="0.25">
      <c r="B4039" s="55" t="s">
        <v>279</v>
      </c>
      <c r="C4039" s="46">
        <v>4027</v>
      </c>
      <c r="D4039" s="69" t="s">
        <v>29416</v>
      </c>
      <c r="E4039" s="51"/>
      <c r="F4039" s="114" t="str">
        <f>IF(INDEX(I.Facility.P1IDNumber,4027)="","",INDEX(I.Facility.P1IDNumber,4027))</f>
        <v/>
      </c>
      <c r="G4039" s="51"/>
      <c r="H4039" s="46" t="str">
        <f>IF(AND(I.Developer.P1=TRUE,I.Facility.P1FacilityCount&gt;=4027,F4039=""),"Incomplete","Complete")</f>
        <v>Complete</v>
      </c>
      <c r="I4039" s="48" t="s">
        <v>8404</v>
      </c>
    </row>
    <row r="4040" spans="2:9" ht="15" customHeight="1" x14ac:dyDescent="0.25">
      <c r="B4040" s="55" t="s">
        <v>279</v>
      </c>
      <c r="C4040" s="46">
        <v>4028</v>
      </c>
      <c r="D4040" s="69" t="s">
        <v>29416</v>
      </c>
      <c r="E4040" s="51"/>
      <c r="F4040" s="114" t="str">
        <f>IF(INDEX(I.Facility.P1IDNumber,4028)="","",INDEX(I.Facility.P1IDNumber,4028))</f>
        <v/>
      </c>
      <c r="G4040" s="51"/>
      <c r="H4040" s="46" t="str">
        <f>IF(AND(I.Developer.P1=TRUE,I.Facility.P1FacilityCount&gt;=4028,F4040=""),"Incomplete","Complete")</f>
        <v>Complete</v>
      </c>
      <c r="I4040" s="48" t="s">
        <v>8405</v>
      </c>
    </row>
    <row r="4041" spans="2:9" ht="15" customHeight="1" x14ac:dyDescent="0.25">
      <c r="B4041" s="55" t="s">
        <v>279</v>
      </c>
      <c r="C4041" s="46">
        <v>4029</v>
      </c>
      <c r="D4041" s="69" t="s">
        <v>29416</v>
      </c>
      <c r="E4041" s="51"/>
      <c r="F4041" s="114" t="str">
        <f>IF(INDEX(I.Facility.P1IDNumber,4029)="","",INDEX(I.Facility.P1IDNumber,4029))</f>
        <v/>
      </c>
      <c r="G4041" s="51"/>
      <c r="H4041" s="46" t="str">
        <f>IF(AND(I.Developer.P1=TRUE,I.Facility.P1FacilityCount&gt;=4029,F4041=""),"Incomplete","Complete")</f>
        <v>Complete</v>
      </c>
      <c r="I4041" s="48" t="s">
        <v>8406</v>
      </c>
    </row>
    <row r="4042" spans="2:9" ht="15" customHeight="1" x14ac:dyDescent="0.25">
      <c r="B4042" s="55" t="s">
        <v>279</v>
      </c>
      <c r="C4042" s="46">
        <v>4030</v>
      </c>
      <c r="D4042" s="69" t="s">
        <v>29416</v>
      </c>
      <c r="E4042" s="51"/>
      <c r="F4042" s="114" t="str">
        <f>IF(INDEX(I.Facility.P1IDNumber,4030)="","",INDEX(I.Facility.P1IDNumber,4030))</f>
        <v/>
      </c>
      <c r="G4042" s="51"/>
      <c r="H4042" s="46" t="str">
        <f>IF(AND(I.Developer.P1=TRUE,I.Facility.P1FacilityCount&gt;=4030,F4042=""),"Incomplete","Complete")</f>
        <v>Complete</v>
      </c>
      <c r="I4042" s="48" t="s">
        <v>8407</v>
      </c>
    </row>
    <row r="4043" spans="2:9" ht="15" customHeight="1" x14ac:dyDescent="0.25">
      <c r="B4043" s="55" t="s">
        <v>279</v>
      </c>
      <c r="C4043" s="46">
        <v>4031</v>
      </c>
      <c r="D4043" s="69" t="s">
        <v>29416</v>
      </c>
      <c r="E4043" s="51"/>
      <c r="F4043" s="114" t="str">
        <f>IF(INDEX(I.Facility.P1IDNumber,4031)="","",INDEX(I.Facility.P1IDNumber,4031))</f>
        <v/>
      </c>
      <c r="G4043" s="51"/>
      <c r="H4043" s="46" t="str">
        <f>IF(AND(I.Developer.P1=TRUE,I.Facility.P1FacilityCount&gt;=4031,F4043=""),"Incomplete","Complete")</f>
        <v>Complete</v>
      </c>
      <c r="I4043" s="48" t="s">
        <v>8408</v>
      </c>
    </row>
    <row r="4044" spans="2:9" ht="15" customHeight="1" x14ac:dyDescent="0.25">
      <c r="B4044" s="55" t="s">
        <v>279</v>
      </c>
      <c r="C4044" s="46">
        <v>4032</v>
      </c>
      <c r="D4044" s="69" t="s">
        <v>29416</v>
      </c>
      <c r="E4044" s="51"/>
      <c r="F4044" s="114" t="str">
        <f>IF(INDEX(I.Facility.P1IDNumber,4032)="","",INDEX(I.Facility.P1IDNumber,4032))</f>
        <v/>
      </c>
      <c r="G4044" s="51"/>
      <c r="H4044" s="46" t="str">
        <f>IF(AND(I.Developer.P1=TRUE,I.Facility.P1FacilityCount&gt;=4032,F4044=""),"Incomplete","Complete")</f>
        <v>Complete</v>
      </c>
      <c r="I4044" s="48" t="s">
        <v>8409</v>
      </c>
    </row>
    <row r="4045" spans="2:9" ht="15" customHeight="1" x14ac:dyDescent="0.25">
      <c r="B4045" s="55" t="s">
        <v>279</v>
      </c>
      <c r="C4045" s="46">
        <v>4033</v>
      </c>
      <c r="D4045" s="69" t="s">
        <v>29416</v>
      </c>
      <c r="E4045" s="51"/>
      <c r="F4045" s="114" t="str">
        <f>IF(INDEX(I.Facility.P1IDNumber,4033)="","",INDEX(I.Facility.P1IDNumber,4033))</f>
        <v/>
      </c>
      <c r="G4045" s="51"/>
      <c r="H4045" s="46" t="str">
        <f>IF(AND(I.Developer.P1=TRUE,I.Facility.P1FacilityCount&gt;=4033,F4045=""),"Incomplete","Complete")</f>
        <v>Complete</v>
      </c>
      <c r="I4045" s="48" t="s">
        <v>8410</v>
      </c>
    </row>
    <row r="4046" spans="2:9" ht="15" customHeight="1" x14ac:dyDescent="0.25">
      <c r="B4046" s="55" t="s">
        <v>279</v>
      </c>
      <c r="C4046" s="46">
        <v>4034</v>
      </c>
      <c r="D4046" s="69" t="s">
        <v>29416</v>
      </c>
      <c r="E4046" s="51"/>
      <c r="F4046" s="114" t="str">
        <f>IF(INDEX(I.Facility.P1IDNumber,4034)="","",INDEX(I.Facility.P1IDNumber,4034))</f>
        <v/>
      </c>
      <c r="G4046" s="51"/>
      <c r="H4046" s="46" t="str">
        <f>IF(AND(I.Developer.P1=TRUE,I.Facility.P1FacilityCount&gt;=4034,F4046=""),"Incomplete","Complete")</f>
        <v>Complete</v>
      </c>
      <c r="I4046" s="48" t="s">
        <v>8411</v>
      </c>
    </row>
    <row r="4047" spans="2:9" ht="15" customHeight="1" x14ac:dyDescent="0.25">
      <c r="B4047" s="55" t="s">
        <v>279</v>
      </c>
      <c r="C4047" s="46">
        <v>4035</v>
      </c>
      <c r="D4047" s="69" t="s">
        <v>29416</v>
      </c>
      <c r="E4047" s="51"/>
      <c r="F4047" s="114" t="str">
        <f>IF(INDEX(I.Facility.P1IDNumber,4035)="","",INDEX(I.Facility.P1IDNumber,4035))</f>
        <v/>
      </c>
      <c r="G4047" s="51"/>
      <c r="H4047" s="46" t="str">
        <f>IF(AND(I.Developer.P1=TRUE,I.Facility.P1FacilityCount&gt;=4035,F4047=""),"Incomplete","Complete")</f>
        <v>Complete</v>
      </c>
      <c r="I4047" s="48" t="s">
        <v>8412</v>
      </c>
    </row>
    <row r="4048" spans="2:9" ht="15" customHeight="1" x14ac:dyDescent="0.25">
      <c r="B4048" s="55" t="s">
        <v>279</v>
      </c>
      <c r="C4048" s="46">
        <v>4036</v>
      </c>
      <c r="D4048" s="69" t="s">
        <v>29416</v>
      </c>
      <c r="E4048" s="51"/>
      <c r="F4048" s="114" t="str">
        <f>IF(INDEX(I.Facility.P1IDNumber,4036)="","",INDEX(I.Facility.P1IDNumber,4036))</f>
        <v/>
      </c>
      <c r="G4048" s="51"/>
      <c r="H4048" s="46" t="str">
        <f>IF(AND(I.Developer.P1=TRUE,I.Facility.P1FacilityCount&gt;=4036,F4048=""),"Incomplete","Complete")</f>
        <v>Complete</v>
      </c>
      <c r="I4048" s="48" t="s">
        <v>8413</v>
      </c>
    </row>
    <row r="4049" spans="2:9" ht="15" customHeight="1" x14ac:dyDescent="0.25">
      <c r="B4049" s="55" t="s">
        <v>279</v>
      </c>
      <c r="C4049" s="46">
        <v>4037</v>
      </c>
      <c r="D4049" s="69" t="s">
        <v>29416</v>
      </c>
      <c r="E4049" s="51"/>
      <c r="F4049" s="114" t="str">
        <f>IF(INDEX(I.Facility.P1IDNumber,4037)="","",INDEX(I.Facility.P1IDNumber,4037))</f>
        <v/>
      </c>
      <c r="G4049" s="51"/>
      <c r="H4049" s="46" t="str">
        <f>IF(AND(I.Developer.P1=TRUE,I.Facility.P1FacilityCount&gt;=4037,F4049=""),"Incomplete","Complete")</f>
        <v>Complete</v>
      </c>
      <c r="I4049" s="48" t="s">
        <v>8414</v>
      </c>
    </row>
    <row r="4050" spans="2:9" ht="15" customHeight="1" x14ac:dyDescent="0.25">
      <c r="B4050" s="55" t="s">
        <v>279</v>
      </c>
      <c r="C4050" s="46">
        <v>4038</v>
      </c>
      <c r="D4050" s="69" t="s">
        <v>29416</v>
      </c>
      <c r="E4050" s="51"/>
      <c r="F4050" s="114" t="str">
        <f>IF(INDEX(I.Facility.P1IDNumber,4038)="","",INDEX(I.Facility.P1IDNumber,4038))</f>
        <v/>
      </c>
      <c r="G4050" s="51"/>
      <c r="H4050" s="46" t="str">
        <f>IF(AND(I.Developer.P1=TRUE,I.Facility.P1FacilityCount&gt;=4038,F4050=""),"Incomplete","Complete")</f>
        <v>Complete</v>
      </c>
      <c r="I4050" s="48" t="s">
        <v>8415</v>
      </c>
    </row>
    <row r="4051" spans="2:9" ht="15" customHeight="1" x14ac:dyDescent="0.25">
      <c r="B4051" s="55" t="s">
        <v>279</v>
      </c>
      <c r="C4051" s="46">
        <v>4039</v>
      </c>
      <c r="D4051" s="69" t="s">
        <v>29416</v>
      </c>
      <c r="E4051" s="51"/>
      <c r="F4051" s="114" t="str">
        <f>IF(INDEX(I.Facility.P1IDNumber,4039)="","",INDEX(I.Facility.P1IDNumber,4039))</f>
        <v/>
      </c>
      <c r="G4051" s="51"/>
      <c r="H4051" s="46" t="str">
        <f>IF(AND(I.Developer.P1=TRUE,I.Facility.P1FacilityCount&gt;=4039,F4051=""),"Incomplete","Complete")</f>
        <v>Complete</v>
      </c>
      <c r="I4051" s="48" t="s">
        <v>8416</v>
      </c>
    </row>
    <row r="4052" spans="2:9" ht="15" customHeight="1" x14ac:dyDescent="0.25">
      <c r="B4052" s="55" t="s">
        <v>279</v>
      </c>
      <c r="C4052" s="46">
        <v>4040</v>
      </c>
      <c r="D4052" s="69" t="s">
        <v>29416</v>
      </c>
      <c r="E4052" s="51"/>
      <c r="F4052" s="114" t="str">
        <f>IF(INDEX(I.Facility.P1IDNumber,4040)="","",INDEX(I.Facility.P1IDNumber,4040))</f>
        <v/>
      </c>
      <c r="G4052" s="51"/>
      <c r="H4052" s="46" t="str">
        <f>IF(AND(I.Developer.P1=TRUE,I.Facility.P1FacilityCount&gt;=4040,F4052=""),"Incomplete","Complete")</f>
        <v>Complete</v>
      </c>
      <c r="I4052" s="48" t="s">
        <v>8417</v>
      </c>
    </row>
    <row r="4053" spans="2:9" ht="15" customHeight="1" x14ac:dyDescent="0.25">
      <c r="B4053" s="55" t="s">
        <v>279</v>
      </c>
      <c r="C4053" s="46">
        <v>4041</v>
      </c>
      <c r="D4053" s="69" t="s">
        <v>29416</v>
      </c>
      <c r="E4053" s="51"/>
      <c r="F4053" s="114" t="str">
        <f>IF(INDEX(I.Facility.P1IDNumber,4041)="","",INDEX(I.Facility.P1IDNumber,4041))</f>
        <v/>
      </c>
      <c r="G4053" s="51"/>
      <c r="H4053" s="46" t="str">
        <f>IF(AND(I.Developer.P1=TRUE,I.Facility.P1FacilityCount&gt;=4041,F4053=""),"Incomplete","Complete")</f>
        <v>Complete</v>
      </c>
      <c r="I4053" s="48" t="s">
        <v>8418</v>
      </c>
    </row>
    <row r="4054" spans="2:9" ht="15" customHeight="1" x14ac:dyDescent="0.25">
      <c r="B4054" s="55" t="s">
        <v>279</v>
      </c>
      <c r="C4054" s="46">
        <v>4042</v>
      </c>
      <c r="D4054" s="69" t="s">
        <v>29416</v>
      </c>
      <c r="E4054" s="51"/>
      <c r="F4054" s="114" t="str">
        <f>IF(INDEX(I.Facility.P1IDNumber,4042)="","",INDEX(I.Facility.P1IDNumber,4042))</f>
        <v/>
      </c>
      <c r="G4054" s="51"/>
      <c r="H4054" s="46" t="str">
        <f>IF(AND(I.Developer.P1=TRUE,I.Facility.P1FacilityCount&gt;=4042,F4054=""),"Incomplete","Complete")</f>
        <v>Complete</v>
      </c>
      <c r="I4054" s="48" t="s">
        <v>8419</v>
      </c>
    </row>
    <row r="4055" spans="2:9" ht="15" customHeight="1" x14ac:dyDescent="0.25">
      <c r="B4055" s="55" t="s">
        <v>279</v>
      </c>
      <c r="C4055" s="46">
        <v>4043</v>
      </c>
      <c r="D4055" s="69" t="s">
        <v>29416</v>
      </c>
      <c r="E4055" s="51"/>
      <c r="F4055" s="114" t="str">
        <f>IF(INDEX(I.Facility.P1IDNumber,4043)="","",INDEX(I.Facility.P1IDNumber,4043))</f>
        <v/>
      </c>
      <c r="G4055" s="51"/>
      <c r="H4055" s="46" t="str">
        <f>IF(AND(I.Developer.P1=TRUE,I.Facility.P1FacilityCount&gt;=4043,F4055=""),"Incomplete","Complete")</f>
        <v>Complete</v>
      </c>
      <c r="I4055" s="48" t="s">
        <v>8420</v>
      </c>
    </row>
    <row r="4056" spans="2:9" ht="15" customHeight="1" x14ac:dyDescent="0.25">
      <c r="B4056" s="55" t="s">
        <v>279</v>
      </c>
      <c r="C4056" s="46">
        <v>4044</v>
      </c>
      <c r="D4056" s="69" t="s">
        <v>29416</v>
      </c>
      <c r="E4056" s="51"/>
      <c r="F4056" s="114" t="str">
        <f>IF(INDEX(I.Facility.P1IDNumber,4044)="","",INDEX(I.Facility.P1IDNumber,4044))</f>
        <v/>
      </c>
      <c r="G4056" s="51"/>
      <c r="H4056" s="46" t="str">
        <f>IF(AND(I.Developer.P1=TRUE,I.Facility.P1FacilityCount&gt;=4044,F4056=""),"Incomplete","Complete")</f>
        <v>Complete</v>
      </c>
      <c r="I4056" s="48" t="s">
        <v>8421</v>
      </c>
    </row>
    <row r="4057" spans="2:9" ht="15" customHeight="1" x14ac:dyDescent="0.25">
      <c r="B4057" s="55" t="s">
        <v>279</v>
      </c>
      <c r="C4057" s="46">
        <v>4045</v>
      </c>
      <c r="D4057" s="69" t="s">
        <v>29416</v>
      </c>
      <c r="E4057" s="51"/>
      <c r="F4057" s="114" t="str">
        <f>IF(INDEX(I.Facility.P1IDNumber,4045)="","",INDEX(I.Facility.P1IDNumber,4045))</f>
        <v/>
      </c>
      <c r="G4057" s="51"/>
      <c r="H4057" s="46" t="str">
        <f>IF(AND(I.Developer.P1=TRUE,I.Facility.P1FacilityCount&gt;=4045,F4057=""),"Incomplete","Complete")</f>
        <v>Complete</v>
      </c>
      <c r="I4057" s="48" t="s">
        <v>8422</v>
      </c>
    </row>
    <row r="4058" spans="2:9" ht="15" customHeight="1" x14ac:dyDescent="0.25">
      <c r="B4058" s="55" t="s">
        <v>279</v>
      </c>
      <c r="C4058" s="46">
        <v>4046</v>
      </c>
      <c r="D4058" s="69" t="s">
        <v>29416</v>
      </c>
      <c r="E4058" s="51"/>
      <c r="F4058" s="114" t="str">
        <f>IF(INDEX(I.Facility.P1IDNumber,4046)="","",INDEX(I.Facility.P1IDNumber,4046))</f>
        <v/>
      </c>
      <c r="G4058" s="51"/>
      <c r="H4058" s="46" t="str">
        <f>IF(AND(I.Developer.P1=TRUE,I.Facility.P1FacilityCount&gt;=4046,F4058=""),"Incomplete","Complete")</f>
        <v>Complete</v>
      </c>
      <c r="I4058" s="48" t="s">
        <v>8423</v>
      </c>
    </row>
    <row r="4059" spans="2:9" ht="15" customHeight="1" x14ac:dyDescent="0.25">
      <c r="B4059" s="55" t="s">
        <v>279</v>
      </c>
      <c r="C4059" s="46">
        <v>4047</v>
      </c>
      <c r="D4059" s="69" t="s">
        <v>29416</v>
      </c>
      <c r="E4059" s="51"/>
      <c r="F4059" s="114" t="str">
        <f>IF(INDEX(I.Facility.P1IDNumber,4047)="","",INDEX(I.Facility.P1IDNumber,4047))</f>
        <v/>
      </c>
      <c r="G4059" s="51"/>
      <c r="H4059" s="46" t="str">
        <f>IF(AND(I.Developer.P1=TRUE,I.Facility.P1FacilityCount&gt;=4047,F4059=""),"Incomplete","Complete")</f>
        <v>Complete</v>
      </c>
      <c r="I4059" s="48" t="s">
        <v>8424</v>
      </c>
    </row>
    <row r="4060" spans="2:9" ht="15" customHeight="1" x14ac:dyDescent="0.25">
      <c r="B4060" s="55" t="s">
        <v>279</v>
      </c>
      <c r="C4060" s="46">
        <v>4048</v>
      </c>
      <c r="D4060" s="69" t="s">
        <v>29416</v>
      </c>
      <c r="E4060" s="51"/>
      <c r="F4060" s="114" t="str">
        <f>IF(INDEX(I.Facility.P1IDNumber,4048)="","",INDEX(I.Facility.P1IDNumber,4048))</f>
        <v/>
      </c>
      <c r="G4060" s="51"/>
      <c r="H4060" s="46" t="str">
        <f>IF(AND(I.Developer.P1=TRUE,I.Facility.P1FacilityCount&gt;=4048,F4060=""),"Incomplete","Complete")</f>
        <v>Complete</v>
      </c>
      <c r="I4060" s="48" t="s">
        <v>8425</v>
      </c>
    </row>
    <row r="4061" spans="2:9" ht="15" customHeight="1" x14ac:dyDescent="0.25">
      <c r="B4061" s="55" t="s">
        <v>279</v>
      </c>
      <c r="C4061" s="46">
        <v>4049</v>
      </c>
      <c r="D4061" s="69" t="s">
        <v>29416</v>
      </c>
      <c r="E4061" s="51"/>
      <c r="F4061" s="114" t="str">
        <f>IF(INDEX(I.Facility.P1IDNumber,4049)="","",INDEX(I.Facility.P1IDNumber,4049))</f>
        <v/>
      </c>
      <c r="G4061" s="51"/>
      <c r="H4061" s="46" t="str">
        <f>IF(AND(I.Developer.P1=TRUE,I.Facility.P1FacilityCount&gt;=4049,F4061=""),"Incomplete","Complete")</f>
        <v>Complete</v>
      </c>
      <c r="I4061" s="48" t="s">
        <v>8426</v>
      </c>
    </row>
    <row r="4062" spans="2:9" ht="15" customHeight="1" x14ac:dyDescent="0.25">
      <c r="B4062" s="55" t="s">
        <v>279</v>
      </c>
      <c r="C4062" s="46">
        <v>4050</v>
      </c>
      <c r="D4062" s="69" t="s">
        <v>29416</v>
      </c>
      <c r="E4062" s="51"/>
      <c r="F4062" s="114" t="str">
        <f>IF(INDEX(I.Facility.P1IDNumber,4050)="","",INDEX(I.Facility.P1IDNumber,4050))</f>
        <v/>
      </c>
      <c r="G4062" s="51"/>
      <c r="H4062" s="46" t="str">
        <f>IF(AND(I.Developer.P1=TRUE,I.Facility.P1FacilityCount&gt;=4050,F4062=""),"Incomplete","Complete")</f>
        <v>Complete</v>
      </c>
      <c r="I4062" s="48" t="s">
        <v>8427</v>
      </c>
    </row>
    <row r="4063" spans="2:9" ht="15" customHeight="1" x14ac:dyDescent="0.25">
      <c r="B4063" s="55" t="s">
        <v>279</v>
      </c>
      <c r="C4063" s="46">
        <v>4051</v>
      </c>
      <c r="D4063" s="69" t="s">
        <v>29416</v>
      </c>
      <c r="E4063" s="51"/>
      <c r="F4063" s="114" t="str">
        <f>IF(INDEX(I.Facility.P1IDNumber,4051)="","",INDEX(I.Facility.P1IDNumber,4051))</f>
        <v/>
      </c>
      <c r="G4063" s="51"/>
      <c r="H4063" s="46" t="str">
        <f>IF(AND(I.Developer.P1=TRUE,I.Facility.P1FacilityCount&gt;=4051,F4063=""),"Incomplete","Complete")</f>
        <v>Complete</v>
      </c>
      <c r="I4063" s="48" t="s">
        <v>8428</v>
      </c>
    </row>
    <row r="4064" spans="2:9" ht="15" customHeight="1" x14ac:dyDescent="0.25">
      <c r="B4064" s="55" t="s">
        <v>279</v>
      </c>
      <c r="C4064" s="46">
        <v>4052</v>
      </c>
      <c r="D4064" s="69" t="s">
        <v>29416</v>
      </c>
      <c r="E4064" s="51"/>
      <c r="F4064" s="114" t="str">
        <f>IF(INDEX(I.Facility.P1IDNumber,4052)="","",INDEX(I.Facility.P1IDNumber,4052))</f>
        <v/>
      </c>
      <c r="G4064" s="51"/>
      <c r="H4064" s="46" t="str">
        <f>IF(AND(I.Developer.P1=TRUE,I.Facility.P1FacilityCount&gt;=4052,F4064=""),"Incomplete","Complete")</f>
        <v>Complete</v>
      </c>
      <c r="I4064" s="48" t="s">
        <v>8429</v>
      </c>
    </row>
    <row r="4065" spans="2:9" ht="15" customHeight="1" x14ac:dyDescent="0.25">
      <c r="B4065" s="55" t="s">
        <v>279</v>
      </c>
      <c r="C4065" s="46">
        <v>4053</v>
      </c>
      <c r="D4065" s="69" t="s">
        <v>29416</v>
      </c>
      <c r="E4065" s="51"/>
      <c r="F4065" s="114" t="str">
        <f>IF(INDEX(I.Facility.P1IDNumber,4053)="","",INDEX(I.Facility.P1IDNumber,4053))</f>
        <v/>
      </c>
      <c r="G4065" s="51"/>
      <c r="H4065" s="46" t="str">
        <f>IF(AND(I.Developer.P1=TRUE,I.Facility.P1FacilityCount&gt;=4053,F4065=""),"Incomplete","Complete")</f>
        <v>Complete</v>
      </c>
      <c r="I4065" s="48" t="s">
        <v>8430</v>
      </c>
    </row>
    <row r="4066" spans="2:9" ht="15" customHeight="1" x14ac:dyDescent="0.25">
      <c r="B4066" s="55" t="s">
        <v>279</v>
      </c>
      <c r="C4066" s="46">
        <v>4054</v>
      </c>
      <c r="D4066" s="69" t="s">
        <v>29416</v>
      </c>
      <c r="E4066" s="51"/>
      <c r="F4066" s="114" t="str">
        <f>IF(INDEX(I.Facility.P1IDNumber,4054)="","",INDEX(I.Facility.P1IDNumber,4054))</f>
        <v/>
      </c>
      <c r="G4066" s="51"/>
      <c r="H4066" s="46" t="str">
        <f>IF(AND(I.Developer.P1=TRUE,I.Facility.P1FacilityCount&gt;=4054,F4066=""),"Incomplete","Complete")</f>
        <v>Complete</v>
      </c>
      <c r="I4066" s="48" t="s">
        <v>8431</v>
      </c>
    </row>
    <row r="4067" spans="2:9" ht="15" customHeight="1" x14ac:dyDescent="0.25">
      <c r="B4067" s="55" t="s">
        <v>279</v>
      </c>
      <c r="C4067" s="46">
        <v>4055</v>
      </c>
      <c r="D4067" s="69" t="s">
        <v>29416</v>
      </c>
      <c r="E4067" s="51"/>
      <c r="F4067" s="114" t="str">
        <f>IF(INDEX(I.Facility.P1IDNumber,4055)="","",INDEX(I.Facility.P1IDNumber,4055))</f>
        <v/>
      </c>
      <c r="G4067" s="51"/>
      <c r="H4067" s="46" t="str">
        <f>IF(AND(I.Developer.P1=TRUE,I.Facility.P1FacilityCount&gt;=4055,F4067=""),"Incomplete","Complete")</f>
        <v>Complete</v>
      </c>
      <c r="I4067" s="48" t="s">
        <v>8432</v>
      </c>
    </row>
    <row r="4068" spans="2:9" ht="15" customHeight="1" x14ac:dyDescent="0.25">
      <c r="B4068" s="55" t="s">
        <v>279</v>
      </c>
      <c r="C4068" s="46">
        <v>4056</v>
      </c>
      <c r="D4068" s="69" t="s">
        <v>29416</v>
      </c>
      <c r="E4068" s="51"/>
      <c r="F4068" s="114" t="str">
        <f>IF(INDEX(I.Facility.P1IDNumber,4056)="","",INDEX(I.Facility.P1IDNumber,4056))</f>
        <v/>
      </c>
      <c r="G4068" s="51"/>
      <c r="H4068" s="46" t="str">
        <f>IF(AND(I.Developer.P1=TRUE,I.Facility.P1FacilityCount&gt;=4056,F4068=""),"Incomplete","Complete")</f>
        <v>Complete</v>
      </c>
      <c r="I4068" s="48" t="s">
        <v>8433</v>
      </c>
    </row>
    <row r="4069" spans="2:9" ht="15" customHeight="1" x14ac:dyDescent="0.25">
      <c r="B4069" s="55" t="s">
        <v>279</v>
      </c>
      <c r="C4069" s="46">
        <v>4057</v>
      </c>
      <c r="D4069" s="69" t="s">
        <v>29416</v>
      </c>
      <c r="E4069" s="51"/>
      <c r="F4069" s="114" t="str">
        <f>IF(INDEX(I.Facility.P1IDNumber,4057)="","",INDEX(I.Facility.P1IDNumber,4057))</f>
        <v/>
      </c>
      <c r="G4069" s="51"/>
      <c r="H4069" s="46" t="str">
        <f>IF(AND(I.Developer.P1=TRUE,I.Facility.P1FacilityCount&gt;=4057,F4069=""),"Incomplete","Complete")</f>
        <v>Complete</v>
      </c>
      <c r="I4069" s="48" t="s">
        <v>8434</v>
      </c>
    </row>
    <row r="4070" spans="2:9" ht="15" customHeight="1" x14ac:dyDescent="0.25">
      <c r="B4070" s="55" t="s">
        <v>279</v>
      </c>
      <c r="C4070" s="46">
        <v>4058</v>
      </c>
      <c r="D4070" s="69" t="s">
        <v>29416</v>
      </c>
      <c r="E4070" s="51"/>
      <c r="F4070" s="114" t="str">
        <f>IF(INDEX(I.Facility.P1IDNumber,4058)="","",INDEX(I.Facility.P1IDNumber,4058))</f>
        <v/>
      </c>
      <c r="G4070" s="51"/>
      <c r="H4070" s="46" t="str">
        <f>IF(AND(I.Developer.P1=TRUE,I.Facility.P1FacilityCount&gt;=4058,F4070=""),"Incomplete","Complete")</f>
        <v>Complete</v>
      </c>
      <c r="I4070" s="48" t="s">
        <v>8435</v>
      </c>
    </row>
    <row r="4071" spans="2:9" ht="15" customHeight="1" x14ac:dyDescent="0.25">
      <c r="B4071" s="55" t="s">
        <v>279</v>
      </c>
      <c r="C4071" s="46">
        <v>4059</v>
      </c>
      <c r="D4071" s="69" t="s">
        <v>29416</v>
      </c>
      <c r="E4071" s="51"/>
      <c r="F4071" s="114" t="str">
        <f>IF(INDEX(I.Facility.P1IDNumber,4059)="","",INDEX(I.Facility.P1IDNumber,4059))</f>
        <v/>
      </c>
      <c r="G4071" s="51"/>
      <c r="H4071" s="46" t="str">
        <f>IF(AND(I.Developer.P1=TRUE,I.Facility.P1FacilityCount&gt;=4059,F4071=""),"Incomplete","Complete")</f>
        <v>Complete</v>
      </c>
      <c r="I4071" s="48" t="s">
        <v>8436</v>
      </c>
    </row>
    <row r="4072" spans="2:9" ht="15" customHeight="1" x14ac:dyDescent="0.25">
      <c r="B4072" s="55" t="s">
        <v>279</v>
      </c>
      <c r="C4072" s="46">
        <v>4060</v>
      </c>
      <c r="D4072" s="69" t="s">
        <v>29416</v>
      </c>
      <c r="E4072" s="51"/>
      <c r="F4072" s="114" t="str">
        <f>IF(INDEX(I.Facility.P1IDNumber,4060)="","",INDEX(I.Facility.P1IDNumber,4060))</f>
        <v/>
      </c>
      <c r="G4072" s="51"/>
      <c r="H4072" s="46" t="str">
        <f>IF(AND(I.Developer.P1=TRUE,I.Facility.P1FacilityCount&gt;=4060,F4072=""),"Incomplete","Complete")</f>
        <v>Complete</v>
      </c>
      <c r="I4072" s="48" t="s">
        <v>8437</v>
      </c>
    </row>
    <row r="4073" spans="2:9" ht="15" customHeight="1" x14ac:dyDescent="0.25">
      <c r="B4073" s="55" t="s">
        <v>279</v>
      </c>
      <c r="C4073" s="46">
        <v>4061</v>
      </c>
      <c r="D4073" s="69" t="s">
        <v>29416</v>
      </c>
      <c r="E4073" s="51"/>
      <c r="F4073" s="114" t="str">
        <f>IF(INDEX(I.Facility.P1IDNumber,4061)="","",INDEX(I.Facility.P1IDNumber,4061))</f>
        <v/>
      </c>
      <c r="G4073" s="51"/>
      <c r="H4073" s="46" t="str">
        <f>IF(AND(I.Developer.P1=TRUE,I.Facility.P1FacilityCount&gt;=4061,F4073=""),"Incomplete","Complete")</f>
        <v>Complete</v>
      </c>
      <c r="I4073" s="48" t="s">
        <v>8438</v>
      </c>
    </row>
    <row r="4074" spans="2:9" ht="15" customHeight="1" x14ac:dyDescent="0.25">
      <c r="B4074" s="55" t="s">
        <v>279</v>
      </c>
      <c r="C4074" s="46">
        <v>4062</v>
      </c>
      <c r="D4074" s="69" t="s">
        <v>29416</v>
      </c>
      <c r="E4074" s="51"/>
      <c r="F4074" s="114" t="str">
        <f>IF(INDEX(I.Facility.P1IDNumber,4062)="","",INDEX(I.Facility.P1IDNumber,4062))</f>
        <v/>
      </c>
      <c r="G4074" s="51"/>
      <c r="H4074" s="46" t="str">
        <f>IF(AND(I.Developer.P1=TRUE,I.Facility.P1FacilityCount&gt;=4062,F4074=""),"Incomplete","Complete")</f>
        <v>Complete</v>
      </c>
      <c r="I4074" s="48" t="s">
        <v>8439</v>
      </c>
    </row>
    <row r="4075" spans="2:9" ht="15" customHeight="1" x14ac:dyDescent="0.25">
      <c r="B4075" s="55" t="s">
        <v>279</v>
      </c>
      <c r="C4075" s="46">
        <v>4063</v>
      </c>
      <c r="D4075" s="69" t="s">
        <v>29416</v>
      </c>
      <c r="E4075" s="51"/>
      <c r="F4075" s="114" t="str">
        <f>IF(INDEX(I.Facility.P1IDNumber,4063)="","",INDEX(I.Facility.P1IDNumber,4063))</f>
        <v/>
      </c>
      <c r="G4075" s="51"/>
      <c r="H4075" s="46" t="str">
        <f>IF(AND(I.Developer.P1=TRUE,I.Facility.P1FacilityCount&gt;=4063,F4075=""),"Incomplete","Complete")</f>
        <v>Complete</v>
      </c>
      <c r="I4075" s="48" t="s">
        <v>8440</v>
      </c>
    </row>
    <row r="4076" spans="2:9" ht="15" customHeight="1" x14ac:dyDescent="0.25">
      <c r="B4076" s="55" t="s">
        <v>279</v>
      </c>
      <c r="C4076" s="46">
        <v>4064</v>
      </c>
      <c r="D4076" s="69" t="s">
        <v>29416</v>
      </c>
      <c r="E4076" s="51"/>
      <c r="F4076" s="114" t="str">
        <f>IF(INDEX(I.Facility.P1IDNumber,4064)="","",INDEX(I.Facility.P1IDNumber,4064))</f>
        <v/>
      </c>
      <c r="G4076" s="51"/>
      <c r="H4076" s="46" t="str">
        <f>IF(AND(I.Developer.P1=TRUE,I.Facility.P1FacilityCount&gt;=4064,F4076=""),"Incomplete","Complete")</f>
        <v>Complete</v>
      </c>
      <c r="I4076" s="48" t="s">
        <v>8441</v>
      </c>
    </row>
    <row r="4077" spans="2:9" ht="15" customHeight="1" x14ac:dyDescent="0.25">
      <c r="B4077" s="55" t="s">
        <v>279</v>
      </c>
      <c r="C4077" s="46">
        <v>4065</v>
      </c>
      <c r="D4077" s="69" t="s">
        <v>29416</v>
      </c>
      <c r="E4077" s="51"/>
      <c r="F4077" s="114" t="str">
        <f>IF(INDEX(I.Facility.P1IDNumber,4065)="","",INDEX(I.Facility.P1IDNumber,4065))</f>
        <v/>
      </c>
      <c r="G4077" s="51"/>
      <c r="H4077" s="46" t="str">
        <f>IF(AND(I.Developer.P1=TRUE,I.Facility.P1FacilityCount&gt;=4065,F4077=""),"Incomplete","Complete")</f>
        <v>Complete</v>
      </c>
      <c r="I4077" s="48" t="s">
        <v>8442</v>
      </c>
    </row>
    <row r="4078" spans="2:9" ht="15" customHeight="1" x14ac:dyDescent="0.25">
      <c r="B4078" s="55" t="s">
        <v>279</v>
      </c>
      <c r="C4078" s="46">
        <v>4066</v>
      </c>
      <c r="D4078" s="69" t="s">
        <v>29416</v>
      </c>
      <c r="E4078" s="51"/>
      <c r="F4078" s="114" t="str">
        <f>IF(INDEX(I.Facility.P1IDNumber,4066)="","",INDEX(I.Facility.P1IDNumber,4066))</f>
        <v/>
      </c>
      <c r="G4078" s="51"/>
      <c r="H4078" s="46" t="str">
        <f>IF(AND(I.Developer.P1=TRUE,I.Facility.P1FacilityCount&gt;=4066,F4078=""),"Incomplete","Complete")</f>
        <v>Complete</v>
      </c>
      <c r="I4078" s="48" t="s">
        <v>8443</v>
      </c>
    </row>
    <row r="4079" spans="2:9" ht="15" customHeight="1" x14ac:dyDescent="0.25">
      <c r="B4079" s="55" t="s">
        <v>279</v>
      </c>
      <c r="C4079" s="46">
        <v>4067</v>
      </c>
      <c r="D4079" s="69" t="s">
        <v>29416</v>
      </c>
      <c r="E4079" s="51"/>
      <c r="F4079" s="114" t="str">
        <f>IF(INDEX(I.Facility.P1IDNumber,4067)="","",INDEX(I.Facility.P1IDNumber,4067))</f>
        <v/>
      </c>
      <c r="G4079" s="51"/>
      <c r="H4079" s="46" t="str">
        <f>IF(AND(I.Developer.P1=TRUE,I.Facility.P1FacilityCount&gt;=4067,F4079=""),"Incomplete","Complete")</f>
        <v>Complete</v>
      </c>
      <c r="I4079" s="48" t="s">
        <v>8444</v>
      </c>
    </row>
    <row r="4080" spans="2:9" ht="15" customHeight="1" x14ac:dyDescent="0.25">
      <c r="B4080" s="55" t="s">
        <v>279</v>
      </c>
      <c r="C4080" s="46">
        <v>4068</v>
      </c>
      <c r="D4080" s="69" t="s">
        <v>29416</v>
      </c>
      <c r="E4080" s="51"/>
      <c r="F4080" s="114" t="str">
        <f>IF(INDEX(I.Facility.P1IDNumber,4068)="","",INDEX(I.Facility.P1IDNumber,4068))</f>
        <v/>
      </c>
      <c r="G4080" s="51"/>
      <c r="H4080" s="46" t="str">
        <f>IF(AND(I.Developer.P1=TRUE,I.Facility.P1FacilityCount&gt;=4068,F4080=""),"Incomplete","Complete")</f>
        <v>Complete</v>
      </c>
      <c r="I4080" s="48" t="s">
        <v>8445</v>
      </c>
    </row>
    <row r="4081" spans="2:9" ht="15" customHeight="1" x14ac:dyDescent="0.25">
      <c r="B4081" s="55" t="s">
        <v>279</v>
      </c>
      <c r="C4081" s="46">
        <v>4069</v>
      </c>
      <c r="D4081" s="69" t="s">
        <v>29416</v>
      </c>
      <c r="E4081" s="51"/>
      <c r="F4081" s="114" t="str">
        <f>IF(INDEX(I.Facility.P1IDNumber,4069)="","",INDEX(I.Facility.P1IDNumber,4069))</f>
        <v/>
      </c>
      <c r="G4081" s="51"/>
      <c r="H4081" s="46" t="str">
        <f>IF(AND(I.Developer.P1=TRUE,I.Facility.P1FacilityCount&gt;=4069,F4081=""),"Incomplete","Complete")</f>
        <v>Complete</v>
      </c>
      <c r="I4081" s="48" t="s">
        <v>8446</v>
      </c>
    </row>
    <row r="4082" spans="2:9" ht="15" customHeight="1" x14ac:dyDescent="0.25">
      <c r="B4082" s="55" t="s">
        <v>279</v>
      </c>
      <c r="C4082" s="46">
        <v>4070</v>
      </c>
      <c r="D4082" s="69" t="s">
        <v>29416</v>
      </c>
      <c r="E4082" s="51"/>
      <c r="F4082" s="114" t="str">
        <f>IF(INDEX(I.Facility.P1IDNumber,4070)="","",INDEX(I.Facility.P1IDNumber,4070))</f>
        <v/>
      </c>
      <c r="G4082" s="51"/>
      <c r="H4082" s="46" t="str">
        <f>IF(AND(I.Developer.P1=TRUE,I.Facility.P1FacilityCount&gt;=4070,F4082=""),"Incomplete","Complete")</f>
        <v>Complete</v>
      </c>
      <c r="I4082" s="48" t="s">
        <v>8447</v>
      </c>
    </row>
    <row r="4083" spans="2:9" ht="15" customHeight="1" x14ac:dyDescent="0.25">
      <c r="B4083" s="55" t="s">
        <v>279</v>
      </c>
      <c r="C4083" s="46">
        <v>4071</v>
      </c>
      <c r="D4083" s="69" t="s">
        <v>29416</v>
      </c>
      <c r="E4083" s="51"/>
      <c r="F4083" s="114" t="str">
        <f>IF(INDEX(I.Facility.P1IDNumber,4071)="","",INDEX(I.Facility.P1IDNumber,4071))</f>
        <v/>
      </c>
      <c r="G4083" s="51"/>
      <c r="H4083" s="46" t="str">
        <f>IF(AND(I.Developer.P1=TRUE,I.Facility.P1FacilityCount&gt;=4071,F4083=""),"Incomplete","Complete")</f>
        <v>Complete</v>
      </c>
      <c r="I4083" s="48" t="s">
        <v>8448</v>
      </c>
    </row>
    <row r="4084" spans="2:9" ht="15" customHeight="1" x14ac:dyDescent="0.25">
      <c r="B4084" s="55" t="s">
        <v>279</v>
      </c>
      <c r="C4084" s="46">
        <v>4072</v>
      </c>
      <c r="D4084" s="69" t="s">
        <v>29416</v>
      </c>
      <c r="E4084" s="51"/>
      <c r="F4084" s="114" t="str">
        <f>IF(INDEX(I.Facility.P1IDNumber,4072)="","",INDEX(I.Facility.P1IDNumber,4072))</f>
        <v/>
      </c>
      <c r="G4084" s="51"/>
      <c r="H4084" s="46" t="str">
        <f>IF(AND(I.Developer.P1=TRUE,I.Facility.P1FacilityCount&gt;=4072,F4084=""),"Incomplete","Complete")</f>
        <v>Complete</v>
      </c>
      <c r="I4084" s="48" t="s">
        <v>8449</v>
      </c>
    </row>
    <row r="4085" spans="2:9" ht="15" customHeight="1" x14ac:dyDescent="0.25">
      <c r="B4085" s="55" t="s">
        <v>279</v>
      </c>
      <c r="C4085" s="46">
        <v>4073</v>
      </c>
      <c r="D4085" s="69" t="s">
        <v>29416</v>
      </c>
      <c r="E4085" s="51"/>
      <c r="F4085" s="114" t="str">
        <f>IF(INDEX(I.Facility.P1IDNumber,4073)="","",INDEX(I.Facility.P1IDNumber,4073))</f>
        <v/>
      </c>
      <c r="G4085" s="51"/>
      <c r="H4085" s="46" t="str">
        <f>IF(AND(I.Developer.P1=TRUE,I.Facility.P1FacilityCount&gt;=4073,F4085=""),"Incomplete","Complete")</f>
        <v>Complete</v>
      </c>
      <c r="I4085" s="48" t="s">
        <v>8450</v>
      </c>
    </row>
    <row r="4086" spans="2:9" ht="15" customHeight="1" x14ac:dyDescent="0.25">
      <c r="B4086" s="55" t="s">
        <v>279</v>
      </c>
      <c r="C4086" s="46">
        <v>4074</v>
      </c>
      <c r="D4086" s="69" t="s">
        <v>29416</v>
      </c>
      <c r="E4086" s="51"/>
      <c r="F4086" s="114" t="str">
        <f>IF(INDEX(I.Facility.P1IDNumber,4074)="","",INDEX(I.Facility.P1IDNumber,4074))</f>
        <v/>
      </c>
      <c r="G4086" s="51"/>
      <c r="H4086" s="46" t="str">
        <f>IF(AND(I.Developer.P1=TRUE,I.Facility.P1FacilityCount&gt;=4074,F4086=""),"Incomplete","Complete")</f>
        <v>Complete</v>
      </c>
      <c r="I4086" s="48" t="s">
        <v>8451</v>
      </c>
    </row>
    <row r="4087" spans="2:9" ht="15" customHeight="1" x14ac:dyDescent="0.25">
      <c r="B4087" s="55" t="s">
        <v>279</v>
      </c>
      <c r="C4087" s="46">
        <v>4075</v>
      </c>
      <c r="D4087" s="69" t="s">
        <v>29416</v>
      </c>
      <c r="E4087" s="51"/>
      <c r="F4087" s="114" t="str">
        <f>IF(INDEX(I.Facility.P1IDNumber,4075)="","",INDEX(I.Facility.P1IDNumber,4075))</f>
        <v/>
      </c>
      <c r="G4087" s="51"/>
      <c r="H4087" s="46" t="str">
        <f>IF(AND(I.Developer.P1=TRUE,I.Facility.P1FacilityCount&gt;=4075,F4087=""),"Incomplete","Complete")</f>
        <v>Complete</v>
      </c>
      <c r="I4087" s="48" t="s">
        <v>8452</v>
      </c>
    </row>
    <row r="4088" spans="2:9" ht="15" customHeight="1" x14ac:dyDescent="0.25">
      <c r="B4088" s="55" t="s">
        <v>279</v>
      </c>
      <c r="C4088" s="46">
        <v>4076</v>
      </c>
      <c r="D4088" s="69" t="s">
        <v>29416</v>
      </c>
      <c r="E4088" s="51"/>
      <c r="F4088" s="114" t="str">
        <f>IF(INDEX(I.Facility.P1IDNumber,4076)="","",INDEX(I.Facility.P1IDNumber,4076))</f>
        <v/>
      </c>
      <c r="G4088" s="51"/>
      <c r="H4088" s="46" t="str">
        <f>IF(AND(I.Developer.P1=TRUE,I.Facility.P1FacilityCount&gt;=4076,F4088=""),"Incomplete","Complete")</f>
        <v>Complete</v>
      </c>
      <c r="I4088" s="48" t="s">
        <v>8453</v>
      </c>
    </row>
    <row r="4089" spans="2:9" ht="15" customHeight="1" x14ac:dyDescent="0.25">
      <c r="B4089" s="55" t="s">
        <v>279</v>
      </c>
      <c r="C4089" s="46">
        <v>4077</v>
      </c>
      <c r="D4089" s="69" t="s">
        <v>29416</v>
      </c>
      <c r="E4089" s="51"/>
      <c r="F4089" s="114" t="str">
        <f>IF(INDEX(I.Facility.P1IDNumber,4077)="","",INDEX(I.Facility.P1IDNumber,4077))</f>
        <v/>
      </c>
      <c r="G4089" s="51"/>
      <c r="H4089" s="46" t="str">
        <f>IF(AND(I.Developer.P1=TRUE,I.Facility.P1FacilityCount&gt;=4077,F4089=""),"Incomplete","Complete")</f>
        <v>Complete</v>
      </c>
      <c r="I4089" s="48" t="s">
        <v>8454</v>
      </c>
    </row>
    <row r="4090" spans="2:9" ht="15" customHeight="1" x14ac:dyDescent="0.25">
      <c r="B4090" s="55" t="s">
        <v>279</v>
      </c>
      <c r="C4090" s="46">
        <v>4078</v>
      </c>
      <c r="D4090" s="69" t="s">
        <v>29416</v>
      </c>
      <c r="E4090" s="51"/>
      <c r="F4090" s="114" t="str">
        <f>IF(INDEX(I.Facility.P1IDNumber,4078)="","",INDEX(I.Facility.P1IDNumber,4078))</f>
        <v/>
      </c>
      <c r="G4090" s="51"/>
      <c r="H4090" s="46" t="str">
        <f>IF(AND(I.Developer.P1=TRUE,I.Facility.P1FacilityCount&gt;=4078,F4090=""),"Incomplete","Complete")</f>
        <v>Complete</v>
      </c>
      <c r="I4090" s="48" t="s">
        <v>8455</v>
      </c>
    </row>
    <row r="4091" spans="2:9" ht="15" customHeight="1" x14ac:dyDescent="0.25">
      <c r="B4091" s="55" t="s">
        <v>279</v>
      </c>
      <c r="C4091" s="46">
        <v>4079</v>
      </c>
      <c r="D4091" s="69" t="s">
        <v>29416</v>
      </c>
      <c r="E4091" s="51"/>
      <c r="F4091" s="114" t="str">
        <f>IF(INDEX(I.Facility.P1IDNumber,4079)="","",INDEX(I.Facility.P1IDNumber,4079))</f>
        <v/>
      </c>
      <c r="G4091" s="51"/>
      <c r="H4091" s="46" t="str">
        <f>IF(AND(I.Developer.P1=TRUE,I.Facility.P1FacilityCount&gt;=4079,F4091=""),"Incomplete","Complete")</f>
        <v>Complete</v>
      </c>
      <c r="I4091" s="48" t="s">
        <v>8456</v>
      </c>
    </row>
    <row r="4092" spans="2:9" ht="15" customHeight="1" x14ac:dyDescent="0.25">
      <c r="B4092" s="55" t="s">
        <v>279</v>
      </c>
      <c r="C4092" s="46">
        <v>4080</v>
      </c>
      <c r="D4092" s="69" t="s">
        <v>29416</v>
      </c>
      <c r="E4092" s="51"/>
      <c r="F4092" s="114" t="str">
        <f>IF(INDEX(I.Facility.P1IDNumber,4080)="","",INDEX(I.Facility.P1IDNumber,4080))</f>
        <v/>
      </c>
      <c r="G4092" s="51"/>
      <c r="H4092" s="46" t="str">
        <f>IF(AND(I.Developer.P1=TRUE,I.Facility.P1FacilityCount&gt;=4080,F4092=""),"Incomplete","Complete")</f>
        <v>Complete</v>
      </c>
      <c r="I4092" s="48" t="s">
        <v>8457</v>
      </c>
    </row>
    <row r="4093" spans="2:9" ht="15" customHeight="1" x14ac:dyDescent="0.25">
      <c r="B4093" s="55" t="s">
        <v>279</v>
      </c>
      <c r="C4093" s="46">
        <v>4081</v>
      </c>
      <c r="D4093" s="69" t="s">
        <v>29416</v>
      </c>
      <c r="E4093" s="51"/>
      <c r="F4093" s="114" t="str">
        <f>IF(INDEX(I.Facility.P1IDNumber,4081)="","",INDEX(I.Facility.P1IDNumber,4081))</f>
        <v/>
      </c>
      <c r="G4093" s="51"/>
      <c r="H4093" s="46" t="str">
        <f>IF(AND(I.Developer.P1=TRUE,I.Facility.P1FacilityCount&gt;=4081,F4093=""),"Incomplete","Complete")</f>
        <v>Complete</v>
      </c>
      <c r="I4093" s="48" t="s">
        <v>8458</v>
      </c>
    </row>
    <row r="4094" spans="2:9" ht="15" customHeight="1" x14ac:dyDescent="0.25">
      <c r="B4094" s="55" t="s">
        <v>279</v>
      </c>
      <c r="C4094" s="46">
        <v>4082</v>
      </c>
      <c r="D4094" s="69" t="s">
        <v>29416</v>
      </c>
      <c r="E4094" s="51"/>
      <c r="F4094" s="114" t="str">
        <f>IF(INDEX(I.Facility.P1IDNumber,4082)="","",INDEX(I.Facility.P1IDNumber,4082))</f>
        <v/>
      </c>
      <c r="G4094" s="51"/>
      <c r="H4094" s="46" t="str">
        <f>IF(AND(I.Developer.P1=TRUE,I.Facility.P1FacilityCount&gt;=4082,F4094=""),"Incomplete","Complete")</f>
        <v>Complete</v>
      </c>
      <c r="I4094" s="48" t="s">
        <v>8459</v>
      </c>
    </row>
    <row r="4095" spans="2:9" ht="15" customHeight="1" x14ac:dyDescent="0.25">
      <c r="B4095" s="55" t="s">
        <v>279</v>
      </c>
      <c r="C4095" s="46">
        <v>4083</v>
      </c>
      <c r="D4095" s="69" t="s">
        <v>29416</v>
      </c>
      <c r="E4095" s="51"/>
      <c r="F4095" s="114" t="str">
        <f>IF(INDEX(I.Facility.P1IDNumber,4083)="","",INDEX(I.Facility.P1IDNumber,4083))</f>
        <v/>
      </c>
      <c r="G4095" s="51"/>
      <c r="H4095" s="46" t="str">
        <f>IF(AND(I.Developer.P1=TRUE,I.Facility.P1FacilityCount&gt;=4083,F4095=""),"Incomplete","Complete")</f>
        <v>Complete</v>
      </c>
      <c r="I4095" s="48" t="s">
        <v>8460</v>
      </c>
    </row>
    <row r="4096" spans="2:9" ht="15" customHeight="1" x14ac:dyDescent="0.25">
      <c r="B4096" s="55" t="s">
        <v>279</v>
      </c>
      <c r="C4096" s="46">
        <v>4084</v>
      </c>
      <c r="D4096" s="69" t="s">
        <v>29416</v>
      </c>
      <c r="E4096" s="51"/>
      <c r="F4096" s="114" t="str">
        <f>IF(INDEX(I.Facility.P1IDNumber,4084)="","",INDEX(I.Facility.P1IDNumber,4084))</f>
        <v/>
      </c>
      <c r="G4096" s="51"/>
      <c r="H4096" s="46" t="str">
        <f>IF(AND(I.Developer.P1=TRUE,I.Facility.P1FacilityCount&gt;=4084,F4096=""),"Incomplete","Complete")</f>
        <v>Complete</v>
      </c>
      <c r="I4096" s="48" t="s">
        <v>8461</v>
      </c>
    </row>
    <row r="4097" spans="2:9" ht="15" customHeight="1" x14ac:dyDescent="0.25">
      <c r="B4097" s="55" t="s">
        <v>279</v>
      </c>
      <c r="C4097" s="46">
        <v>4085</v>
      </c>
      <c r="D4097" s="69" t="s">
        <v>29416</v>
      </c>
      <c r="E4097" s="51"/>
      <c r="F4097" s="114" t="str">
        <f>IF(INDEX(I.Facility.P1IDNumber,4085)="","",INDEX(I.Facility.P1IDNumber,4085))</f>
        <v/>
      </c>
      <c r="G4097" s="51"/>
      <c r="H4097" s="46" t="str">
        <f>IF(AND(I.Developer.P1=TRUE,I.Facility.P1FacilityCount&gt;=4085,F4097=""),"Incomplete","Complete")</f>
        <v>Complete</v>
      </c>
      <c r="I4097" s="48" t="s">
        <v>8462</v>
      </c>
    </row>
    <row r="4098" spans="2:9" ht="15" customHeight="1" x14ac:dyDescent="0.25">
      <c r="B4098" s="55" t="s">
        <v>279</v>
      </c>
      <c r="C4098" s="46">
        <v>4086</v>
      </c>
      <c r="D4098" s="69" t="s">
        <v>29416</v>
      </c>
      <c r="E4098" s="51"/>
      <c r="F4098" s="114" t="str">
        <f>IF(INDEX(I.Facility.P1IDNumber,4086)="","",INDEX(I.Facility.P1IDNumber,4086))</f>
        <v/>
      </c>
      <c r="G4098" s="51"/>
      <c r="H4098" s="46" t="str">
        <f>IF(AND(I.Developer.P1=TRUE,I.Facility.P1FacilityCount&gt;=4086,F4098=""),"Incomplete","Complete")</f>
        <v>Complete</v>
      </c>
      <c r="I4098" s="48" t="s">
        <v>8463</v>
      </c>
    </row>
    <row r="4099" spans="2:9" ht="15" customHeight="1" x14ac:dyDescent="0.25">
      <c r="B4099" s="55" t="s">
        <v>279</v>
      </c>
      <c r="C4099" s="46">
        <v>4087</v>
      </c>
      <c r="D4099" s="69" t="s">
        <v>29416</v>
      </c>
      <c r="E4099" s="51"/>
      <c r="F4099" s="114" t="str">
        <f>IF(INDEX(I.Facility.P1IDNumber,4087)="","",INDEX(I.Facility.P1IDNumber,4087))</f>
        <v/>
      </c>
      <c r="G4099" s="51"/>
      <c r="H4099" s="46" t="str">
        <f>IF(AND(I.Developer.P1=TRUE,I.Facility.P1FacilityCount&gt;=4087,F4099=""),"Incomplete","Complete")</f>
        <v>Complete</v>
      </c>
      <c r="I4099" s="48" t="s">
        <v>8464</v>
      </c>
    </row>
    <row r="4100" spans="2:9" ht="15" customHeight="1" x14ac:dyDescent="0.25">
      <c r="B4100" s="55" t="s">
        <v>279</v>
      </c>
      <c r="C4100" s="46">
        <v>4088</v>
      </c>
      <c r="D4100" s="69" t="s">
        <v>29416</v>
      </c>
      <c r="E4100" s="51"/>
      <c r="F4100" s="114" t="str">
        <f>IF(INDEX(I.Facility.P1IDNumber,4088)="","",INDEX(I.Facility.P1IDNumber,4088))</f>
        <v/>
      </c>
      <c r="G4100" s="51"/>
      <c r="H4100" s="46" t="str">
        <f>IF(AND(I.Developer.P1=TRUE,I.Facility.P1FacilityCount&gt;=4088,F4100=""),"Incomplete","Complete")</f>
        <v>Complete</v>
      </c>
      <c r="I4100" s="48" t="s">
        <v>8465</v>
      </c>
    </row>
    <row r="4101" spans="2:9" ht="15" customHeight="1" x14ac:dyDescent="0.25">
      <c r="B4101" s="55" t="s">
        <v>279</v>
      </c>
      <c r="C4101" s="46">
        <v>4089</v>
      </c>
      <c r="D4101" s="69" t="s">
        <v>29416</v>
      </c>
      <c r="E4101" s="51"/>
      <c r="F4101" s="114" t="str">
        <f>IF(INDEX(I.Facility.P1IDNumber,4089)="","",INDEX(I.Facility.P1IDNumber,4089))</f>
        <v/>
      </c>
      <c r="G4101" s="51"/>
      <c r="H4101" s="46" t="str">
        <f>IF(AND(I.Developer.P1=TRUE,I.Facility.P1FacilityCount&gt;=4089,F4101=""),"Incomplete","Complete")</f>
        <v>Complete</v>
      </c>
      <c r="I4101" s="48" t="s">
        <v>8466</v>
      </c>
    </row>
    <row r="4102" spans="2:9" ht="15" customHeight="1" x14ac:dyDescent="0.25">
      <c r="B4102" s="55" t="s">
        <v>279</v>
      </c>
      <c r="C4102" s="46">
        <v>4090</v>
      </c>
      <c r="D4102" s="69" t="s">
        <v>29416</v>
      </c>
      <c r="E4102" s="51"/>
      <c r="F4102" s="114" t="str">
        <f>IF(INDEX(I.Facility.P1IDNumber,4090)="","",INDEX(I.Facility.P1IDNumber,4090))</f>
        <v/>
      </c>
      <c r="G4102" s="51"/>
      <c r="H4102" s="46" t="str">
        <f>IF(AND(I.Developer.P1=TRUE,I.Facility.P1FacilityCount&gt;=4090,F4102=""),"Incomplete","Complete")</f>
        <v>Complete</v>
      </c>
      <c r="I4102" s="48" t="s">
        <v>8467</v>
      </c>
    </row>
    <row r="4103" spans="2:9" ht="15" customHeight="1" x14ac:dyDescent="0.25">
      <c r="B4103" s="55" t="s">
        <v>279</v>
      </c>
      <c r="C4103" s="46">
        <v>4091</v>
      </c>
      <c r="D4103" s="69" t="s">
        <v>29416</v>
      </c>
      <c r="E4103" s="51"/>
      <c r="F4103" s="114" t="str">
        <f>IF(INDEX(I.Facility.P1IDNumber,4091)="","",INDEX(I.Facility.P1IDNumber,4091))</f>
        <v/>
      </c>
      <c r="G4103" s="51"/>
      <c r="H4103" s="46" t="str">
        <f>IF(AND(I.Developer.P1=TRUE,I.Facility.P1FacilityCount&gt;=4091,F4103=""),"Incomplete","Complete")</f>
        <v>Complete</v>
      </c>
      <c r="I4103" s="48" t="s">
        <v>8468</v>
      </c>
    </row>
    <row r="4104" spans="2:9" ht="15" customHeight="1" x14ac:dyDescent="0.25">
      <c r="B4104" s="55" t="s">
        <v>279</v>
      </c>
      <c r="C4104" s="46">
        <v>4092</v>
      </c>
      <c r="D4104" s="69" t="s">
        <v>29416</v>
      </c>
      <c r="E4104" s="51"/>
      <c r="F4104" s="114" t="str">
        <f>IF(INDEX(I.Facility.P1IDNumber,4092)="","",INDEX(I.Facility.P1IDNumber,4092))</f>
        <v/>
      </c>
      <c r="G4104" s="51"/>
      <c r="H4104" s="46" t="str">
        <f>IF(AND(I.Developer.P1=TRUE,I.Facility.P1FacilityCount&gt;=4092,F4104=""),"Incomplete","Complete")</f>
        <v>Complete</v>
      </c>
      <c r="I4104" s="48" t="s">
        <v>8469</v>
      </c>
    </row>
    <row r="4105" spans="2:9" ht="15" customHeight="1" x14ac:dyDescent="0.25">
      <c r="B4105" s="55" t="s">
        <v>279</v>
      </c>
      <c r="C4105" s="46">
        <v>4093</v>
      </c>
      <c r="D4105" s="69" t="s">
        <v>29416</v>
      </c>
      <c r="E4105" s="51"/>
      <c r="F4105" s="114" t="str">
        <f>IF(INDEX(I.Facility.P1IDNumber,4093)="","",INDEX(I.Facility.P1IDNumber,4093))</f>
        <v/>
      </c>
      <c r="G4105" s="51"/>
      <c r="H4105" s="46" t="str">
        <f>IF(AND(I.Developer.P1=TRUE,I.Facility.P1FacilityCount&gt;=4093,F4105=""),"Incomplete","Complete")</f>
        <v>Complete</v>
      </c>
      <c r="I4105" s="48" t="s">
        <v>8470</v>
      </c>
    </row>
    <row r="4106" spans="2:9" ht="15" customHeight="1" x14ac:dyDescent="0.25">
      <c r="B4106" s="55" t="s">
        <v>279</v>
      </c>
      <c r="C4106" s="46">
        <v>4094</v>
      </c>
      <c r="D4106" s="69" t="s">
        <v>29416</v>
      </c>
      <c r="E4106" s="51"/>
      <c r="F4106" s="114" t="str">
        <f>IF(INDEX(I.Facility.P1IDNumber,4094)="","",INDEX(I.Facility.P1IDNumber,4094))</f>
        <v/>
      </c>
      <c r="G4106" s="51"/>
      <c r="H4106" s="46" t="str">
        <f>IF(AND(I.Developer.P1=TRUE,I.Facility.P1FacilityCount&gt;=4094,F4106=""),"Incomplete","Complete")</f>
        <v>Complete</v>
      </c>
      <c r="I4106" s="48" t="s">
        <v>8471</v>
      </c>
    </row>
    <row r="4107" spans="2:9" ht="15" customHeight="1" x14ac:dyDescent="0.25">
      <c r="B4107" s="55" t="s">
        <v>279</v>
      </c>
      <c r="C4107" s="46">
        <v>4095</v>
      </c>
      <c r="D4107" s="69" t="s">
        <v>29416</v>
      </c>
      <c r="E4107" s="51"/>
      <c r="F4107" s="114" t="str">
        <f>IF(INDEX(I.Facility.P1IDNumber,4095)="","",INDEX(I.Facility.P1IDNumber,4095))</f>
        <v/>
      </c>
      <c r="G4107" s="51"/>
      <c r="H4107" s="46" t="str">
        <f>IF(AND(I.Developer.P1=TRUE,I.Facility.P1FacilityCount&gt;=4095,F4107=""),"Incomplete","Complete")</f>
        <v>Complete</v>
      </c>
      <c r="I4107" s="48" t="s">
        <v>8472</v>
      </c>
    </row>
    <row r="4108" spans="2:9" ht="15" customHeight="1" x14ac:dyDescent="0.25">
      <c r="B4108" s="55" t="s">
        <v>279</v>
      </c>
      <c r="C4108" s="46">
        <v>4096</v>
      </c>
      <c r="D4108" s="69" t="s">
        <v>29416</v>
      </c>
      <c r="E4108" s="51"/>
      <c r="F4108" s="114" t="str">
        <f>IF(INDEX(I.Facility.P1IDNumber,4096)="","",INDEX(I.Facility.P1IDNumber,4096))</f>
        <v/>
      </c>
      <c r="G4108" s="51"/>
      <c r="H4108" s="46" t="str">
        <f>IF(AND(I.Developer.P1=TRUE,I.Facility.P1FacilityCount&gt;=4096,F4108=""),"Incomplete","Complete")</f>
        <v>Complete</v>
      </c>
      <c r="I4108" s="48" t="s">
        <v>8473</v>
      </c>
    </row>
    <row r="4109" spans="2:9" ht="15" customHeight="1" x14ac:dyDescent="0.25">
      <c r="B4109" s="55" t="s">
        <v>279</v>
      </c>
      <c r="C4109" s="46">
        <v>4097</v>
      </c>
      <c r="D4109" s="69" t="s">
        <v>29416</v>
      </c>
      <c r="E4109" s="51"/>
      <c r="F4109" s="114" t="str">
        <f>IF(INDEX(I.Facility.P1IDNumber,4097)="","",INDEX(I.Facility.P1IDNumber,4097))</f>
        <v/>
      </c>
      <c r="G4109" s="51"/>
      <c r="H4109" s="46" t="str">
        <f>IF(AND(I.Developer.P1=TRUE,I.Facility.P1FacilityCount&gt;=4097,F4109=""),"Incomplete","Complete")</f>
        <v>Complete</v>
      </c>
      <c r="I4109" s="48" t="s">
        <v>8474</v>
      </c>
    </row>
    <row r="4110" spans="2:9" ht="15" customHeight="1" x14ac:dyDescent="0.25">
      <c r="B4110" s="55" t="s">
        <v>279</v>
      </c>
      <c r="C4110" s="46">
        <v>4098</v>
      </c>
      <c r="D4110" s="69" t="s">
        <v>29416</v>
      </c>
      <c r="E4110" s="51"/>
      <c r="F4110" s="114" t="str">
        <f>IF(INDEX(I.Facility.P1IDNumber,4098)="","",INDEX(I.Facility.P1IDNumber,4098))</f>
        <v/>
      </c>
      <c r="G4110" s="51"/>
      <c r="H4110" s="46" t="str">
        <f>IF(AND(I.Developer.P1=TRUE,I.Facility.P1FacilityCount&gt;=4098,F4110=""),"Incomplete","Complete")</f>
        <v>Complete</v>
      </c>
      <c r="I4110" s="48" t="s">
        <v>8475</v>
      </c>
    </row>
    <row r="4111" spans="2:9" ht="15" customHeight="1" x14ac:dyDescent="0.25">
      <c r="B4111" s="55" t="s">
        <v>279</v>
      </c>
      <c r="C4111" s="46">
        <v>4099</v>
      </c>
      <c r="D4111" s="69" t="s">
        <v>29416</v>
      </c>
      <c r="E4111" s="51"/>
      <c r="F4111" s="114" t="str">
        <f>IF(INDEX(I.Facility.P1IDNumber,4099)="","",INDEX(I.Facility.P1IDNumber,4099))</f>
        <v/>
      </c>
      <c r="G4111" s="51"/>
      <c r="H4111" s="46" t="str">
        <f>IF(AND(I.Developer.P1=TRUE,I.Facility.P1FacilityCount&gt;=4099,F4111=""),"Incomplete","Complete")</f>
        <v>Complete</v>
      </c>
      <c r="I4111" s="48" t="s">
        <v>8476</v>
      </c>
    </row>
    <row r="4112" spans="2:9" ht="15" customHeight="1" x14ac:dyDescent="0.25">
      <c r="B4112" s="55" t="s">
        <v>279</v>
      </c>
      <c r="C4112" s="46">
        <v>4100</v>
      </c>
      <c r="D4112" s="69" t="s">
        <v>29416</v>
      </c>
      <c r="E4112" s="51"/>
      <c r="F4112" s="114" t="str">
        <f>IF(INDEX(I.Facility.P1IDNumber,4100)="","",INDEX(I.Facility.P1IDNumber,4100))</f>
        <v/>
      </c>
      <c r="G4112" s="51"/>
      <c r="H4112" s="46" t="str">
        <f>IF(AND(I.Developer.P1=TRUE,I.Facility.P1FacilityCount&gt;=4100,F4112=""),"Incomplete","Complete")</f>
        <v>Complete</v>
      </c>
      <c r="I4112" s="48" t="s">
        <v>8477</v>
      </c>
    </row>
    <row r="4113" spans="2:9" ht="15" customHeight="1" x14ac:dyDescent="0.25">
      <c r="B4113" s="55" t="s">
        <v>279</v>
      </c>
      <c r="C4113" s="46">
        <v>4101</v>
      </c>
      <c r="D4113" s="69" t="s">
        <v>29416</v>
      </c>
      <c r="E4113" s="51"/>
      <c r="F4113" s="114" t="str">
        <f>IF(INDEX(I.Facility.P1IDNumber,4101)="","",INDEX(I.Facility.P1IDNumber,4101))</f>
        <v/>
      </c>
      <c r="G4113" s="51"/>
      <c r="H4113" s="46" t="str">
        <f>IF(AND(I.Developer.P1=TRUE,I.Facility.P1FacilityCount&gt;=4101,F4113=""),"Incomplete","Complete")</f>
        <v>Complete</v>
      </c>
      <c r="I4113" s="48" t="s">
        <v>8478</v>
      </c>
    </row>
    <row r="4114" spans="2:9" ht="15" customHeight="1" x14ac:dyDescent="0.25">
      <c r="B4114" s="55" t="s">
        <v>279</v>
      </c>
      <c r="C4114" s="46">
        <v>4102</v>
      </c>
      <c r="D4114" s="69" t="s">
        <v>29416</v>
      </c>
      <c r="E4114" s="51"/>
      <c r="F4114" s="114" t="str">
        <f>IF(INDEX(I.Facility.P1IDNumber,4102)="","",INDEX(I.Facility.P1IDNumber,4102))</f>
        <v/>
      </c>
      <c r="G4114" s="51"/>
      <c r="H4114" s="46" t="str">
        <f>IF(AND(I.Developer.P1=TRUE,I.Facility.P1FacilityCount&gt;=4102,F4114=""),"Incomplete","Complete")</f>
        <v>Complete</v>
      </c>
      <c r="I4114" s="48" t="s">
        <v>8479</v>
      </c>
    </row>
    <row r="4115" spans="2:9" ht="15" customHeight="1" x14ac:dyDescent="0.25">
      <c r="B4115" s="55" t="s">
        <v>279</v>
      </c>
      <c r="C4115" s="46">
        <v>4103</v>
      </c>
      <c r="D4115" s="69" t="s">
        <v>29416</v>
      </c>
      <c r="E4115" s="51"/>
      <c r="F4115" s="114" t="str">
        <f>IF(INDEX(I.Facility.P1IDNumber,4103)="","",INDEX(I.Facility.P1IDNumber,4103))</f>
        <v/>
      </c>
      <c r="G4115" s="51"/>
      <c r="H4115" s="46" t="str">
        <f>IF(AND(I.Developer.P1=TRUE,I.Facility.P1FacilityCount&gt;=4103,F4115=""),"Incomplete","Complete")</f>
        <v>Complete</v>
      </c>
      <c r="I4115" s="48" t="s">
        <v>8480</v>
      </c>
    </row>
    <row r="4116" spans="2:9" ht="15" customHeight="1" x14ac:dyDescent="0.25">
      <c r="B4116" s="55" t="s">
        <v>279</v>
      </c>
      <c r="C4116" s="46">
        <v>4104</v>
      </c>
      <c r="D4116" s="69" t="s">
        <v>29416</v>
      </c>
      <c r="E4116" s="51"/>
      <c r="F4116" s="114" t="str">
        <f>IF(INDEX(I.Facility.P1IDNumber,4104)="","",INDEX(I.Facility.P1IDNumber,4104))</f>
        <v/>
      </c>
      <c r="G4116" s="51"/>
      <c r="H4116" s="46" t="str">
        <f>IF(AND(I.Developer.P1=TRUE,I.Facility.P1FacilityCount&gt;=4104,F4116=""),"Incomplete","Complete")</f>
        <v>Complete</v>
      </c>
      <c r="I4116" s="48" t="s">
        <v>8481</v>
      </c>
    </row>
    <row r="4117" spans="2:9" ht="15" customHeight="1" x14ac:dyDescent="0.25">
      <c r="B4117" s="55" t="s">
        <v>279</v>
      </c>
      <c r="C4117" s="46">
        <v>4105</v>
      </c>
      <c r="D4117" s="69" t="s">
        <v>29416</v>
      </c>
      <c r="E4117" s="51"/>
      <c r="F4117" s="114" t="str">
        <f>IF(INDEX(I.Facility.P1IDNumber,4105)="","",INDEX(I.Facility.P1IDNumber,4105))</f>
        <v/>
      </c>
      <c r="G4117" s="51"/>
      <c r="H4117" s="46" t="str">
        <f>IF(AND(I.Developer.P1=TRUE,I.Facility.P1FacilityCount&gt;=4105,F4117=""),"Incomplete","Complete")</f>
        <v>Complete</v>
      </c>
      <c r="I4117" s="48" t="s">
        <v>8482</v>
      </c>
    </row>
    <row r="4118" spans="2:9" ht="15" customHeight="1" x14ac:dyDescent="0.25">
      <c r="B4118" s="55" t="s">
        <v>279</v>
      </c>
      <c r="C4118" s="46">
        <v>4106</v>
      </c>
      <c r="D4118" s="69" t="s">
        <v>29416</v>
      </c>
      <c r="E4118" s="51"/>
      <c r="F4118" s="114" t="str">
        <f>IF(INDEX(I.Facility.P1IDNumber,4106)="","",INDEX(I.Facility.P1IDNumber,4106))</f>
        <v/>
      </c>
      <c r="G4118" s="51"/>
      <c r="H4118" s="46" t="str">
        <f>IF(AND(I.Developer.P1=TRUE,I.Facility.P1FacilityCount&gt;=4106,F4118=""),"Incomplete","Complete")</f>
        <v>Complete</v>
      </c>
      <c r="I4118" s="48" t="s">
        <v>8483</v>
      </c>
    </row>
    <row r="4119" spans="2:9" ht="15" customHeight="1" x14ac:dyDescent="0.25">
      <c r="B4119" s="55" t="s">
        <v>279</v>
      </c>
      <c r="C4119" s="46">
        <v>4107</v>
      </c>
      <c r="D4119" s="69" t="s">
        <v>29416</v>
      </c>
      <c r="E4119" s="51"/>
      <c r="F4119" s="114" t="str">
        <f>IF(INDEX(I.Facility.P1IDNumber,4107)="","",INDEX(I.Facility.P1IDNumber,4107))</f>
        <v/>
      </c>
      <c r="G4119" s="51"/>
      <c r="H4119" s="46" t="str">
        <f>IF(AND(I.Developer.P1=TRUE,I.Facility.P1FacilityCount&gt;=4107,F4119=""),"Incomplete","Complete")</f>
        <v>Complete</v>
      </c>
      <c r="I4119" s="48" t="s">
        <v>8484</v>
      </c>
    </row>
    <row r="4120" spans="2:9" ht="15" customHeight="1" x14ac:dyDescent="0.25">
      <c r="B4120" s="55" t="s">
        <v>279</v>
      </c>
      <c r="C4120" s="46">
        <v>4108</v>
      </c>
      <c r="D4120" s="69" t="s">
        <v>29416</v>
      </c>
      <c r="E4120" s="51"/>
      <c r="F4120" s="114" t="str">
        <f>IF(INDEX(I.Facility.P1IDNumber,4108)="","",INDEX(I.Facility.P1IDNumber,4108))</f>
        <v/>
      </c>
      <c r="G4120" s="51"/>
      <c r="H4120" s="46" t="str">
        <f>IF(AND(I.Developer.P1=TRUE,I.Facility.P1FacilityCount&gt;=4108,F4120=""),"Incomplete","Complete")</f>
        <v>Complete</v>
      </c>
      <c r="I4120" s="48" t="s">
        <v>8485</v>
      </c>
    </row>
    <row r="4121" spans="2:9" ht="15" customHeight="1" x14ac:dyDescent="0.25">
      <c r="B4121" s="55" t="s">
        <v>279</v>
      </c>
      <c r="C4121" s="46">
        <v>4109</v>
      </c>
      <c r="D4121" s="69" t="s">
        <v>29416</v>
      </c>
      <c r="E4121" s="51"/>
      <c r="F4121" s="114" t="str">
        <f>IF(INDEX(I.Facility.P1IDNumber,4109)="","",INDEX(I.Facility.P1IDNumber,4109))</f>
        <v/>
      </c>
      <c r="G4121" s="51"/>
      <c r="H4121" s="46" t="str">
        <f>IF(AND(I.Developer.P1=TRUE,I.Facility.P1FacilityCount&gt;=4109,F4121=""),"Incomplete","Complete")</f>
        <v>Complete</v>
      </c>
      <c r="I4121" s="48" t="s">
        <v>8486</v>
      </c>
    </row>
    <row r="4122" spans="2:9" ht="15" customHeight="1" x14ac:dyDescent="0.25">
      <c r="B4122" s="55" t="s">
        <v>279</v>
      </c>
      <c r="C4122" s="46">
        <v>4110</v>
      </c>
      <c r="D4122" s="69" t="s">
        <v>29416</v>
      </c>
      <c r="E4122" s="51"/>
      <c r="F4122" s="114" t="str">
        <f>IF(INDEX(I.Facility.P1IDNumber,4110)="","",INDEX(I.Facility.P1IDNumber,4110))</f>
        <v/>
      </c>
      <c r="G4122" s="51"/>
      <c r="H4122" s="46" t="str">
        <f>IF(AND(I.Developer.P1=TRUE,I.Facility.P1FacilityCount&gt;=4110,F4122=""),"Incomplete","Complete")</f>
        <v>Complete</v>
      </c>
      <c r="I4122" s="48" t="s">
        <v>8487</v>
      </c>
    </row>
    <row r="4123" spans="2:9" ht="15" customHeight="1" x14ac:dyDescent="0.25">
      <c r="B4123" s="55" t="s">
        <v>279</v>
      </c>
      <c r="C4123" s="46">
        <v>4111</v>
      </c>
      <c r="D4123" s="69" t="s">
        <v>29416</v>
      </c>
      <c r="E4123" s="51"/>
      <c r="F4123" s="114" t="str">
        <f>IF(INDEX(I.Facility.P1IDNumber,4111)="","",INDEX(I.Facility.P1IDNumber,4111))</f>
        <v/>
      </c>
      <c r="G4123" s="51"/>
      <c r="H4123" s="46" t="str">
        <f>IF(AND(I.Developer.P1=TRUE,I.Facility.P1FacilityCount&gt;=4111,F4123=""),"Incomplete","Complete")</f>
        <v>Complete</v>
      </c>
      <c r="I4123" s="48" t="s">
        <v>8488</v>
      </c>
    </row>
    <row r="4124" spans="2:9" ht="15" customHeight="1" x14ac:dyDescent="0.25">
      <c r="B4124" s="55" t="s">
        <v>279</v>
      </c>
      <c r="C4124" s="46">
        <v>4112</v>
      </c>
      <c r="D4124" s="69" t="s">
        <v>29416</v>
      </c>
      <c r="E4124" s="51"/>
      <c r="F4124" s="114" t="str">
        <f>IF(INDEX(I.Facility.P1IDNumber,4112)="","",INDEX(I.Facility.P1IDNumber,4112))</f>
        <v/>
      </c>
      <c r="G4124" s="51"/>
      <c r="H4124" s="46" t="str">
        <f>IF(AND(I.Developer.P1=TRUE,I.Facility.P1FacilityCount&gt;=4112,F4124=""),"Incomplete","Complete")</f>
        <v>Complete</v>
      </c>
      <c r="I4124" s="48" t="s">
        <v>8489</v>
      </c>
    </row>
    <row r="4125" spans="2:9" ht="15" customHeight="1" x14ac:dyDescent="0.25">
      <c r="B4125" s="55" t="s">
        <v>279</v>
      </c>
      <c r="C4125" s="46">
        <v>4113</v>
      </c>
      <c r="D4125" s="69" t="s">
        <v>29416</v>
      </c>
      <c r="E4125" s="51"/>
      <c r="F4125" s="114" t="str">
        <f>IF(INDEX(I.Facility.P1IDNumber,4113)="","",INDEX(I.Facility.P1IDNumber,4113))</f>
        <v/>
      </c>
      <c r="G4125" s="51"/>
      <c r="H4125" s="46" t="str">
        <f>IF(AND(I.Developer.P1=TRUE,I.Facility.P1FacilityCount&gt;=4113,F4125=""),"Incomplete","Complete")</f>
        <v>Complete</v>
      </c>
      <c r="I4125" s="48" t="s">
        <v>8490</v>
      </c>
    </row>
    <row r="4126" spans="2:9" ht="15" customHeight="1" x14ac:dyDescent="0.25">
      <c r="B4126" s="55" t="s">
        <v>279</v>
      </c>
      <c r="C4126" s="46">
        <v>4114</v>
      </c>
      <c r="D4126" s="69" t="s">
        <v>29416</v>
      </c>
      <c r="E4126" s="51"/>
      <c r="F4126" s="114" t="str">
        <f>IF(INDEX(I.Facility.P1IDNumber,4114)="","",INDEX(I.Facility.P1IDNumber,4114))</f>
        <v/>
      </c>
      <c r="G4126" s="51"/>
      <c r="H4126" s="46" t="str">
        <f>IF(AND(I.Developer.P1=TRUE,I.Facility.P1FacilityCount&gt;=4114,F4126=""),"Incomplete","Complete")</f>
        <v>Complete</v>
      </c>
      <c r="I4126" s="48" t="s">
        <v>8491</v>
      </c>
    </row>
    <row r="4127" spans="2:9" ht="15" customHeight="1" x14ac:dyDescent="0.25">
      <c r="B4127" s="55" t="s">
        <v>279</v>
      </c>
      <c r="C4127" s="46">
        <v>4115</v>
      </c>
      <c r="D4127" s="69" t="s">
        <v>29416</v>
      </c>
      <c r="E4127" s="51"/>
      <c r="F4127" s="114" t="str">
        <f>IF(INDEX(I.Facility.P1IDNumber,4115)="","",INDEX(I.Facility.P1IDNumber,4115))</f>
        <v/>
      </c>
      <c r="G4127" s="51"/>
      <c r="H4127" s="46" t="str">
        <f>IF(AND(I.Developer.P1=TRUE,I.Facility.P1FacilityCount&gt;=4115,F4127=""),"Incomplete","Complete")</f>
        <v>Complete</v>
      </c>
      <c r="I4127" s="48" t="s">
        <v>8492</v>
      </c>
    </row>
    <row r="4128" spans="2:9" ht="15" customHeight="1" x14ac:dyDescent="0.25">
      <c r="B4128" s="55" t="s">
        <v>279</v>
      </c>
      <c r="C4128" s="46">
        <v>4116</v>
      </c>
      <c r="D4128" s="69" t="s">
        <v>29416</v>
      </c>
      <c r="E4128" s="51"/>
      <c r="F4128" s="114" t="str">
        <f>IF(INDEX(I.Facility.P1IDNumber,4116)="","",INDEX(I.Facility.P1IDNumber,4116))</f>
        <v/>
      </c>
      <c r="G4128" s="51"/>
      <c r="H4128" s="46" t="str">
        <f>IF(AND(I.Developer.P1=TRUE,I.Facility.P1FacilityCount&gt;=4116,F4128=""),"Incomplete","Complete")</f>
        <v>Complete</v>
      </c>
      <c r="I4128" s="48" t="s">
        <v>8493</v>
      </c>
    </row>
    <row r="4129" spans="2:9" ht="15" customHeight="1" x14ac:dyDescent="0.25">
      <c r="B4129" s="55" t="s">
        <v>279</v>
      </c>
      <c r="C4129" s="46">
        <v>4117</v>
      </c>
      <c r="D4129" s="69" t="s">
        <v>29416</v>
      </c>
      <c r="E4129" s="51"/>
      <c r="F4129" s="114" t="str">
        <f>IF(INDEX(I.Facility.P1IDNumber,4117)="","",INDEX(I.Facility.P1IDNumber,4117))</f>
        <v/>
      </c>
      <c r="G4129" s="51"/>
      <c r="H4129" s="46" t="str">
        <f>IF(AND(I.Developer.P1=TRUE,I.Facility.P1FacilityCount&gt;=4117,F4129=""),"Incomplete","Complete")</f>
        <v>Complete</v>
      </c>
      <c r="I4129" s="48" t="s">
        <v>8494</v>
      </c>
    </row>
    <row r="4130" spans="2:9" ht="15" customHeight="1" x14ac:dyDescent="0.25">
      <c r="B4130" s="55" t="s">
        <v>279</v>
      </c>
      <c r="C4130" s="46">
        <v>4118</v>
      </c>
      <c r="D4130" s="69" t="s">
        <v>29416</v>
      </c>
      <c r="E4130" s="51"/>
      <c r="F4130" s="114" t="str">
        <f>IF(INDEX(I.Facility.P1IDNumber,4118)="","",INDEX(I.Facility.P1IDNumber,4118))</f>
        <v/>
      </c>
      <c r="G4130" s="51"/>
      <c r="H4130" s="46" t="str">
        <f>IF(AND(I.Developer.P1=TRUE,I.Facility.P1FacilityCount&gt;=4118,F4130=""),"Incomplete","Complete")</f>
        <v>Complete</v>
      </c>
      <c r="I4130" s="48" t="s">
        <v>8495</v>
      </c>
    </row>
    <row r="4131" spans="2:9" ht="15" customHeight="1" x14ac:dyDescent="0.25">
      <c r="B4131" s="55" t="s">
        <v>279</v>
      </c>
      <c r="C4131" s="46">
        <v>4119</v>
      </c>
      <c r="D4131" s="69" t="s">
        <v>29416</v>
      </c>
      <c r="E4131" s="51"/>
      <c r="F4131" s="114" t="str">
        <f>IF(INDEX(I.Facility.P1IDNumber,4119)="","",INDEX(I.Facility.P1IDNumber,4119))</f>
        <v/>
      </c>
      <c r="G4131" s="51"/>
      <c r="H4131" s="46" t="str">
        <f>IF(AND(I.Developer.P1=TRUE,I.Facility.P1FacilityCount&gt;=4119,F4131=""),"Incomplete","Complete")</f>
        <v>Complete</v>
      </c>
      <c r="I4131" s="48" t="s">
        <v>8496</v>
      </c>
    </row>
    <row r="4132" spans="2:9" ht="15" customHeight="1" x14ac:dyDescent="0.25">
      <c r="B4132" s="55" t="s">
        <v>279</v>
      </c>
      <c r="C4132" s="46">
        <v>4120</v>
      </c>
      <c r="D4132" s="69" t="s">
        <v>29416</v>
      </c>
      <c r="E4132" s="51"/>
      <c r="F4132" s="114" t="str">
        <f>IF(INDEX(I.Facility.P1IDNumber,4120)="","",INDEX(I.Facility.P1IDNumber,4120))</f>
        <v/>
      </c>
      <c r="G4132" s="51"/>
      <c r="H4132" s="46" t="str">
        <f>IF(AND(I.Developer.P1=TRUE,I.Facility.P1FacilityCount&gt;=4120,F4132=""),"Incomplete","Complete")</f>
        <v>Complete</v>
      </c>
      <c r="I4132" s="48" t="s">
        <v>8497</v>
      </c>
    </row>
    <row r="4133" spans="2:9" ht="15" customHeight="1" x14ac:dyDescent="0.25">
      <c r="B4133" s="55" t="s">
        <v>279</v>
      </c>
      <c r="C4133" s="46">
        <v>4121</v>
      </c>
      <c r="D4133" s="69" t="s">
        <v>29416</v>
      </c>
      <c r="E4133" s="51"/>
      <c r="F4133" s="114" t="str">
        <f>IF(INDEX(I.Facility.P1IDNumber,4121)="","",INDEX(I.Facility.P1IDNumber,4121))</f>
        <v/>
      </c>
      <c r="G4133" s="51"/>
      <c r="H4133" s="46" t="str">
        <f>IF(AND(I.Developer.P1=TRUE,I.Facility.P1FacilityCount&gt;=4121,F4133=""),"Incomplete","Complete")</f>
        <v>Complete</v>
      </c>
      <c r="I4133" s="48" t="s">
        <v>8498</v>
      </c>
    </row>
    <row r="4134" spans="2:9" ht="15" customHeight="1" x14ac:dyDescent="0.25">
      <c r="B4134" s="55" t="s">
        <v>279</v>
      </c>
      <c r="C4134" s="46">
        <v>4122</v>
      </c>
      <c r="D4134" s="69" t="s">
        <v>29416</v>
      </c>
      <c r="E4134" s="51"/>
      <c r="F4134" s="114" t="str">
        <f>IF(INDEX(I.Facility.P1IDNumber,4122)="","",INDEX(I.Facility.P1IDNumber,4122))</f>
        <v/>
      </c>
      <c r="G4134" s="51"/>
      <c r="H4134" s="46" t="str">
        <f>IF(AND(I.Developer.P1=TRUE,I.Facility.P1FacilityCount&gt;=4122,F4134=""),"Incomplete","Complete")</f>
        <v>Complete</v>
      </c>
      <c r="I4134" s="48" t="s">
        <v>8499</v>
      </c>
    </row>
    <row r="4135" spans="2:9" ht="15" customHeight="1" x14ac:dyDescent="0.25">
      <c r="B4135" s="55" t="s">
        <v>279</v>
      </c>
      <c r="C4135" s="46">
        <v>4123</v>
      </c>
      <c r="D4135" s="69" t="s">
        <v>29416</v>
      </c>
      <c r="E4135" s="51"/>
      <c r="F4135" s="114" t="str">
        <f>IF(INDEX(I.Facility.P1IDNumber,4123)="","",INDEX(I.Facility.P1IDNumber,4123))</f>
        <v/>
      </c>
      <c r="G4135" s="51"/>
      <c r="H4135" s="46" t="str">
        <f>IF(AND(I.Developer.P1=TRUE,I.Facility.P1FacilityCount&gt;=4123,F4135=""),"Incomplete","Complete")</f>
        <v>Complete</v>
      </c>
      <c r="I4135" s="48" t="s">
        <v>8500</v>
      </c>
    </row>
    <row r="4136" spans="2:9" ht="15" customHeight="1" x14ac:dyDescent="0.25">
      <c r="B4136" s="55" t="s">
        <v>279</v>
      </c>
      <c r="C4136" s="46">
        <v>4124</v>
      </c>
      <c r="D4136" s="69" t="s">
        <v>29416</v>
      </c>
      <c r="E4136" s="51"/>
      <c r="F4136" s="114" t="str">
        <f>IF(INDEX(I.Facility.P1IDNumber,4124)="","",INDEX(I.Facility.P1IDNumber,4124))</f>
        <v/>
      </c>
      <c r="G4136" s="51"/>
      <c r="H4136" s="46" t="str">
        <f>IF(AND(I.Developer.P1=TRUE,I.Facility.P1FacilityCount&gt;=4124,F4136=""),"Incomplete","Complete")</f>
        <v>Complete</v>
      </c>
      <c r="I4136" s="48" t="s">
        <v>8501</v>
      </c>
    </row>
    <row r="4137" spans="2:9" ht="15" customHeight="1" x14ac:dyDescent="0.25">
      <c r="B4137" s="55" t="s">
        <v>279</v>
      </c>
      <c r="C4137" s="46">
        <v>4125</v>
      </c>
      <c r="D4137" s="69" t="s">
        <v>29416</v>
      </c>
      <c r="E4137" s="51"/>
      <c r="F4137" s="114" t="str">
        <f>IF(INDEX(I.Facility.P1IDNumber,4125)="","",INDEX(I.Facility.P1IDNumber,4125))</f>
        <v/>
      </c>
      <c r="G4137" s="51"/>
      <c r="H4137" s="46" t="str">
        <f>IF(AND(I.Developer.P1=TRUE,I.Facility.P1FacilityCount&gt;=4125,F4137=""),"Incomplete","Complete")</f>
        <v>Complete</v>
      </c>
      <c r="I4137" s="48" t="s">
        <v>8502</v>
      </c>
    </row>
    <row r="4138" spans="2:9" ht="15" customHeight="1" x14ac:dyDescent="0.25">
      <c r="B4138" s="55" t="s">
        <v>279</v>
      </c>
      <c r="C4138" s="46">
        <v>4126</v>
      </c>
      <c r="D4138" s="69" t="s">
        <v>29416</v>
      </c>
      <c r="E4138" s="51"/>
      <c r="F4138" s="114" t="str">
        <f>IF(INDEX(I.Facility.P1IDNumber,4126)="","",INDEX(I.Facility.P1IDNumber,4126))</f>
        <v/>
      </c>
      <c r="G4138" s="51"/>
      <c r="H4138" s="46" t="str">
        <f>IF(AND(I.Developer.P1=TRUE,I.Facility.P1FacilityCount&gt;=4126,F4138=""),"Incomplete","Complete")</f>
        <v>Complete</v>
      </c>
      <c r="I4138" s="48" t="s">
        <v>8503</v>
      </c>
    </row>
    <row r="4139" spans="2:9" ht="15" customHeight="1" x14ac:dyDescent="0.25">
      <c r="B4139" s="55" t="s">
        <v>279</v>
      </c>
      <c r="C4139" s="46">
        <v>4127</v>
      </c>
      <c r="D4139" s="69" t="s">
        <v>29416</v>
      </c>
      <c r="E4139" s="51"/>
      <c r="F4139" s="114" t="str">
        <f>IF(INDEX(I.Facility.P1IDNumber,4127)="","",INDEX(I.Facility.P1IDNumber,4127))</f>
        <v/>
      </c>
      <c r="G4139" s="51"/>
      <c r="H4139" s="46" t="str">
        <f>IF(AND(I.Developer.P1=TRUE,I.Facility.P1FacilityCount&gt;=4127,F4139=""),"Incomplete","Complete")</f>
        <v>Complete</v>
      </c>
      <c r="I4139" s="48" t="s">
        <v>8504</v>
      </c>
    </row>
    <row r="4140" spans="2:9" ht="15" customHeight="1" x14ac:dyDescent="0.25">
      <c r="B4140" s="55" t="s">
        <v>279</v>
      </c>
      <c r="C4140" s="46">
        <v>4128</v>
      </c>
      <c r="D4140" s="69" t="s">
        <v>29416</v>
      </c>
      <c r="E4140" s="51"/>
      <c r="F4140" s="114" t="str">
        <f>IF(INDEX(I.Facility.P1IDNumber,4128)="","",INDEX(I.Facility.P1IDNumber,4128))</f>
        <v/>
      </c>
      <c r="G4140" s="51"/>
      <c r="H4140" s="46" t="str">
        <f>IF(AND(I.Developer.P1=TRUE,I.Facility.P1FacilityCount&gt;=4128,F4140=""),"Incomplete","Complete")</f>
        <v>Complete</v>
      </c>
      <c r="I4140" s="48" t="s">
        <v>8505</v>
      </c>
    </row>
    <row r="4141" spans="2:9" ht="15" customHeight="1" x14ac:dyDescent="0.25">
      <c r="B4141" s="55" t="s">
        <v>279</v>
      </c>
      <c r="C4141" s="46">
        <v>4129</v>
      </c>
      <c r="D4141" s="69" t="s">
        <v>29416</v>
      </c>
      <c r="E4141" s="51"/>
      <c r="F4141" s="114" t="str">
        <f>IF(INDEX(I.Facility.P1IDNumber,4129)="","",INDEX(I.Facility.P1IDNumber,4129))</f>
        <v/>
      </c>
      <c r="G4141" s="51"/>
      <c r="H4141" s="46" t="str">
        <f>IF(AND(I.Developer.P1=TRUE,I.Facility.P1FacilityCount&gt;=4129,F4141=""),"Incomplete","Complete")</f>
        <v>Complete</v>
      </c>
      <c r="I4141" s="48" t="s">
        <v>8506</v>
      </c>
    </row>
    <row r="4142" spans="2:9" ht="15" customHeight="1" x14ac:dyDescent="0.25">
      <c r="B4142" s="55" t="s">
        <v>279</v>
      </c>
      <c r="C4142" s="46">
        <v>4130</v>
      </c>
      <c r="D4142" s="69" t="s">
        <v>29416</v>
      </c>
      <c r="E4142" s="51"/>
      <c r="F4142" s="114" t="str">
        <f>IF(INDEX(I.Facility.P1IDNumber,4130)="","",INDEX(I.Facility.P1IDNumber,4130))</f>
        <v/>
      </c>
      <c r="G4142" s="51"/>
      <c r="H4142" s="46" t="str">
        <f>IF(AND(I.Developer.P1=TRUE,I.Facility.P1FacilityCount&gt;=4130,F4142=""),"Incomplete","Complete")</f>
        <v>Complete</v>
      </c>
      <c r="I4142" s="48" t="s">
        <v>8507</v>
      </c>
    </row>
    <row r="4143" spans="2:9" ht="15" customHeight="1" x14ac:dyDescent="0.25">
      <c r="B4143" s="55" t="s">
        <v>279</v>
      </c>
      <c r="C4143" s="46">
        <v>4131</v>
      </c>
      <c r="D4143" s="69" t="s">
        <v>29416</v>
      </c>
      <c r="E4143" s="51"/>
      <c r="F4143" s="114" t="str">
        <f>IF(INDEX(I.Facility.P1IDNumber,4131)="","",INDEX(I.Facility.P1IDNumber,4131))</f>
        <v/>
      </c>
      <c r="G4143" s="51"/>
      <c r="H4143" s="46" t="str">
        <f>IF(AND(I.Developer.P1=TRUE,I.Facility.P1FacilityCount&gt;=4131,F4143=""),"Incomplete","Complete")</f>
        <v>Complete</v>
      </c>
      <c r="I4143" s="48" t="s">
        <v>8508</v>
      </c>
    </row>
    <row r="4144" spans="2:9" ht="15" customHeight="1" x14ac:dyDescent="0.25">
      <c r="B4144" s="55" t="s">
        <v>279</v>
      </c>
      <c r="C4144" s="46">
        <v>4132</v>
      </c>
      <c r="D4144" s="69" t="s">
        <v>29416</v>
      </c>
      <c r="E4144" s="51"/>
      <c r="F4144" s="114" t="str">
        <f>IF(INDEX(I.Facility.P1IDNumber,4132)="","",INDEX(I.Facility.P1IDNumber,4132))</f>
        <v/>
      </c>
      <c r="G4144" s="51"/>
      <c r="H4144" s="46" t="str">
        <f>IF(AND(I.Developer.P1=TRUE,I.Facility.P1FacilityCount&gt;=4132,F4144=""),"Incomplete","Complete")</f>
        <v>Complete</v>
      </c>
      <c r="I4144" s="48" t="s">
        <v>8509</v>
      </c>
    </row>
    <row r="4145" spans="2:9" ht="15" customHeight="1" x14ac:dyDescent="0.25">
      <c r="B4145" s="55" t="s">
        <v>279</v>
      </c>
      <c r="C4145" s="46">
        <v>4133</v>
      </c>
      <c r="D4145" s="69" t="s">
        <v>29416</v>
      </c>
      <c r="E4145" s="51"/>
      <c r="F4145" s="114" t="str">
        <f>IF(INDEX(I.Facility.P1IDNumber,4133)="","",INDEX(I.Facility.P1IDNumber,4133))</f>
        <v/>
      </c>
      <c r="G4145" s="51"/>
      <c r="H4145" s="46" t="str">
        <f>IF(AND(I.Developer.P1=TRUE,I.Facility.P1FacilityCount&gt;=4133,F4145=""),"Incomplete","Complete")</f>
        <v>Complete</v>
      </c>
      <c r="I4145" s="48" t="s">
        <v>8510</v>
      </c>
    </row>
    <row r="4146" spans="2:9" ht="15" customHeight="1" x14ac:dyDescent="0.25">
      <c r="B4146" s="55" t="s">
        <v>279</v>
      </c>
      <c r="C4146" s="46">
        <v>4134</v>
      </c>
      <c r="D4146" s="69" t="s">
        <v>29416</v>
      </c>
      <c r="E4146" s="51"/>
      <c r="F4146" s="114" t="str">
        <f>IF(INDEX(I.Facility.P1IDNumber,4134)="","",INDEX(I.Facility.P1IDNumber,4134))</f>
        <v/>
      </c>
      <c r="G4146" s="51"/>
      <c r="H4146" s="46" t="str">
        <f>IF(AND(I.Developer.P1=TRUE,I.Facility.P1FacilityCount&gt;=4134,F4146=""),"Incomplete","Complete")</f>
        <v>Complete</v>
      </c>
      <c r="I4146" s="48" t="s">
        <v>8511</v>
      </c>
    </row>
    <row r="4147" spans="2:9" ht="15" customHeight="1" x14ac:dyDescent="0.25">
      <c r="B4147" s="55" t="s">
        <v>279</v>
      </c>
      <c r="C4147" s="46">
        <v>4135</v>
      </c>
      <c r="D4147" s="69" t="s">
        <v>29416</v>
      </c>
      <c r="E4147" s="51"/>
      <c r="F4147" s="114" t="str">
        <f>IF(INDEX(I.Facility.P1IDNumber,4135)="","",INDEX(I.Facility.P1IDNumber,4135))</f>
        <v/>
      </c>
      <c r="G4147" s="51"/>
      <c r="H4147" s="46" t="str">
        <f>IF(AND(I.Developer.P1=TRUE,I.Facility.P1FacilityCount&gt;=4135,F4147=""),"Incomplete","Complete")</f>
        <v>Complete</v>
      </c>
      <c r="I4147" s="48" t="s">
        <v>8512</v>
      </c>
    </row>
    <row r="4148" spans="2:9" ht="15" customHeight="1" x14ac:dyDescent="0.25">
      <c r="B4148" s="55" t="s">
        <v>279</v>
      </c>
      <c r="C4148" s="46">
        <v>4136</v>
      </c>
      <c r="D4148" s="69" t="s">
        <v>29416</v>
      </c>
      <c r="E4148" s="51"/>
      <c r="F4148" s="114" t="str">
        <f>IF(INDEX(I.Facility.P1IDNumber,4136)="","",INDEX(I.Facility.P1IDNumber,4136))</f>
        <v/>
      </c>
      <c r="G4148" s="51"/>
      <c r="H4148" s="46" t="str">
        <f>IF(AND(I.Developer.P1=TRUE,I.Facility.P1FacilityCount&gt;=4136,F4148=""),"Incomplete","Complete")</f>
        <v>Complete</v>
      </c>
      <c r="I4148" s="48" t="s">
        <v>8513</v>
      </c>
    </row>
    <row r="4149" spans="2:9" ht="15" customHeight="1" x14ac:dyDescent="0.25">
      <c r="B4149" s="55" t="s">
        <v>279</v>
      </c>
      <c r="C4149" s="46">
        <v>4137</v>
      </c>
      <c r="D4149" s="69" t="s">
        <v>29416</v>
      </c>
      <c r="E4149" s="51"/>
      <c r="F4149" s="114" t="str">
        <f>IF(INDEX(I.Facility.P1IDNumber,4137)="","",INDEX(I.Facility.P1IDNumber,4137))</f>
        <v/>
      </c>
      <c r="G4149" s="51"/>
      <c r="H4149" s="46" t="str">
        <f>IF(AND(I.Developer.P1=TRUE,I.Facility.P1FacilityCount&gt;=4137,F4149=""),"Incomplete","Complete")</f>
        <v>Complete</v>
      </c>
      <c r="I4149" s="48" t="s">
        <v>8514</v>
      </c>
    </row>
    <row r="4150" spans="2:9" ht="15" customHeight="1" x14ac:dyDescent="0.25">
      <c r="B4150" s="55" t="s">
        <v>279</v>
      </c>
      <c r="C4150" s="46">
        <v>4138</v>
      </c>
      <c r="D4150" s="69" t="s">
        <v>29416</v>
      </c>
      <c r="E4150" s="51"/>
      <c r="F4150" s="114" t="str">
        <f>IF(INDEX(I.Facility.P1IDNumber,4138)="","",INDEX(I.Facility.P1IDNumber,4138))</f>
        <v/>
      </c>
      <c r="G4150" s="51"/>
      <c r="H4150" s="46" t="str">
        <f>IF(AND(I.Developer.P1=TRUE,I.Facility.P1FacilityCount&gt;=4138,F4150=""),"Incomplete","Complete")</f>
        <v>Complete</v>
      </c>
      <c r="I4150" s="48" t="s">
        <v>8515</v>
      </c>
    </row>
    <row r="4151" spans="2:9" ht="15" customHeight="1" x14ac:dyDescent="0.25">
      <c r="B4151" s="55" t="s">
        <v>279</v>
      </c>
      <c r="C4151" s="46">
        <v>4139</v>
      </c>
      <c r="D4151" s="69" t="s">
        <v>29416</v>
      </c>
      <c r="E4151" s="51"/>
      <c r="F4151" s="114" t="str">
        <f>IF(INDEX(I.Facility.P1IDNumber,4139)="","",INDEX(I.Facility.P1IDNumber,4139))</f>
        <v/>
      </c>
      <c r="G4151" s="51"/>
      <c r="H4151" s="46" t="str">
        <f>IF(AND(I.Developer.P1=TRUE,I.Facility.P1FacilityCount&gt;=4139,F4151=""),"Incomplete","Complete")</f>
        <v>Complete</v>
      </c>
      <c r="I4151" s="48" t="s">
        <v>8516</v>
      </c>
    </row>
    <row r="4152" spans="2:9" ht="15" customHeight="1" x14ac:dyDescent="0.25">
      <c r="B4152" s="55" t="s">
        <v>279</v>
      </c>
      <c r="C4152" s="46">
        <v>4140</v>
      </c>
      <c r="D4152" s="69" t="s">
        <v>29416</v>
      </c>
      <c r="E4152" s="51"/>
      <c r="F4152" s="114" t="str">
        <f>IF(INDEX(I.Facility.P1IDNumber,4140)="","",INDEX(I.Facility.P1IDNumber,4140))</f>
        <v/>
      </c>
      <c r="G4152" s="51"/>
      <c r="H4152" s="46" t="str">
        <f>IF(AND(I.Developer.P1=TRUE,I.Facility.P1FacilityCount&gt;=4140,F4152=""),"Incomplete","Complete")</f>
        <v>Complete</v>
      </c>
      <c r="I4152" s="48" t="s">
        <v>8517</v>
      </c>
    </row>
    <row r="4153" spans="2:9" ht="15" customHeight="1" x14ac:dyDescent="0.25">
      <c r="B4153" s="55" t="s">
        <v>279</v>
      </c>
      <c r="C4153" s="46">
        <v>4141</v>
      </c>
      <c r="D4153" s="69" t="s">
        <v>29416</v>
      </c>
      <c r="E4153" s="51"/>
      <c r="F4153" s="114" t="str">
        <f>IF(INDEX(I.Facility.P1IDNumber,4141)="","",INDEX(I.Facility.P1IDNumber,4141))</f>
        <v/>
      </c>
      <c r="G4153" s="51"/>
      <c r="H4153" s="46" t="str">
        <f>IF(AND(I.Developer.P1=TRUE,I.Facility.P1FacilityCount&gt;=4141,F4153=""),"Incomplete","Complete")</f>
        <v>Complete</v>
      </c>
      <c r="I4153" s="48" t="s">
        <v>8518</v>
      </c>
    </row>
    <row r="4154" spans="2:9" ht="15" customHeight="1" x14ac:dyDescent="0.25">
      <c r="B4154" s="55" t="s">
        <v>279</v>
      </c>
      <c r="C4154" s="46">
        <v>4142</v>
      </c>
      <c r="D4154" s="69" t="s">
        <v>29416</v>
      </c>
      <c r="E4154" s="51"/>
      <c r="F4154" s="114" t="str">
        <f>IF(INDEX(I.Facility.P1IDNumber,4142)="","",INDEX(I.Facility.P1IDNumber,4142))</f>
        <v/>
      </c>
      <c r="G4154" s="51"/>
      <c r="H4154" s="46" t="str">
        <f>IF(AND(I.Developer.P1=TRUE,I.Facility.P1FacilityCount&gt;=4142,F4154=""),"Incomplete","Complete")</f>
        <v>Complete</v>
      </c>
      <c r="I4154" s="48" t="s">
        <v>8519</v>
      </c>
    </row>
    <row r="4155" spans="2:9" ht="15" customHeight="1" x14ac:dyDescent="0.25">
      <c r="B4155" s="55" t="s">
        <v>279</v>
      </c>
      <c r="C4155" s="46">
        <v>4143</v>
      </c>
      <c r="D4155" s="69" t="s">
        <v>29416</v>
      </c>
      <c r="E4155" s="51"/>
      <c r="F4155" s="114" t="str">
        <f>IF(INDEX(I.Facility.P1IDNumber,4143)="","",INDEX(I.Facility.P1IDNumber,4143))</f>
        <v/>
      </c>
      <c r="G4155" s="51"/>
      <c r="H4155" s="46" t="str">
        <f>IF(AND(I.Developer.P1=TRUE,I.Facility.P1FacilityCount&gt;=4143,F4155=""),"Incomplete","Complete")</f>
        <v>Complete</v>
      </c>
      <c r="I4155" s="48" t="s">
        <v>8520</v>
      </c>
    </row>
    <row r="4156" spans="2:9" ht="15" customHeight="1" x14ac:dyDescent="0.25">
      <c r="B4156" s="55" t="s">
        <v>279</v>
      </c>
      <c r="C4156" s="46">
        <v>4144</v>
      </c>
      <c r="D4156" s="69" t="s">
        <v>29416</v>
      </c>
      <c r="E4156" s="51"/>
      <c r="F4156" s="114" t="str">
        <f>IF(INDEX(I.Facility.P1IDNumber,4144)="","",INDEX(I.Facility.P1IDNumber,4144))</f>
        <v/>
      </c>
      <c r="G4156" s="51"/>
      <c r="H4156" s="46" t="str">
        <f>IF(AND(I.Developer.P1=TRUE,I.Facility.P1FacilityCount&gt;=4144,F4156=""),"Incomplete","Complete")</f>
        <v>Complete</v>
      </c>
      <c r="I4156" s="48" t="s">
        <v>8521</v>
      </c>
    </row>
    <row r="4157" spans="2:9" ht="15" customHeight="1" x14ac:dyDescent="0.25">
      <c r="B4157" s="55" t="s">
        <v>279</v>
      </c>
      <c r="C4157" s="46">
        <v>4145</v>
      </c>
      <c r="D4157" s="69" t="s">
        <v>29416</v>
      </c>
      <c r="E4157" s="51"/>
      <c r="F4157" s="114" t="str">
        <f>IF(INDEX(I.Facility.P1IDNumber,4145)="","",INDEX(I.Facility.P1IDNumber,4145))</f>
        <v/>
      </c>
      <c r="G4157" s="51"/>
      <c r="H4157" s="46" t="str">
        <f>IF(AND(I.Developer.P1=TRUE,I.Facility.P1FacilityCount&gt;=4145,F4157=""),"Incomplete","Complete")</f>
        <v>Complete</v>
      </c>
      <c r="I4157" s="48" t="s">
        <v>8522</v>
      </c>
    </row>
    <row r="4158" spans="2:9" ht="15" customHeight="1" x14ac:dyDescent="0.25">
      <c r="B4158" s="55" t="s">
        <v>279</v>
      </c>
      <c r="C4158" s="46">
        <v>4146</v>
      </c>
      <c r="D4158" s="69" t="s">
        <v>29416</v>
      </c>
      <c r="E4158" s="51"/>
      <c r="F4158" s="114" t="str">
        <f>IF(INDEX(I.Facility.P1IDNumber,4146)="","",INDEX(I.Facility.P1IDNumber,4146))</f>
        <v/>
      </c>
      <c r="G4158" s="51"/>
      <c r="H4158" s="46" t="str">
        <f>IF(AND(I.Developer.P1=TRUE,I.Facility.P1FacilityCount&gt;=4146,F4158=""),"Incomplete","Complete")</f>
        <v>Complete</v>
      </c>
      <c r="I4158" s="48" t="s">
        <v>8523</v>
      </c>
    </row>
    <row r="4159" spans="2:9" ht="15" customHeight="1" x14ac:dyDescent="0.25">
      <c r="B4159" s="55" t="s">
        <v>279</v>
      </c>
      <c r="C4159" s="46">
        <v>4147</v>
      </c>
      <c r="D4159" s="69" t="s">
        <v>29416</v>
      </c>
      <c r="E4159" s="51"/>
      <c r="F4159" s="114" t="str">
        <f>IF(INDEX(I.Facility.P1IDNumber,4147)="","",INDEX(I.Facility.P1IDNumber,4147))</f>
        <v/>
      </c>
      <c r="G4159" s="51"/>
      <c r="H4159" s="46" t="str">
        <f>IF(AND(I.Developer.P1=TRUE,I.Facility.P1FacilityCount&gt;=4147,F4159=""),"Incomplete","Complete")</f>
        <v>Complete</v>
      </c>
      <c r="I4159" s="48" t="s">
        <v>8524</v>
      </c>
    </row>
    <row r="4160" spans="2:9" ht="15" customHeight="1" x14ac:dyDescent="0.25">
      <c r="B4160" s="55" t="s">
        <v>279</v>
      </c>
      <c r="C4160" s="46">
        <v>4148</v>
      </c>
      <c r="D4160" s="69" t="s">
        <v>29416</v>
      </c>
      <c r="E4160" s="51"/>
      <c r="F4160" s="114" t="str">
        <f>IF(INDEX(I.Facility.P1IDNumber,4148)="","",INDEX(I.Facility.P1IDNumber,4148))</f>
        <v/>
      </c>
      <c r="G4160" s="51"/>
      <c r="H4160" s="46" t="str">
        <f>IF(AND(I.Developer.P1=TRUE,I.Facility.P1FacilityCount&gt;=4148,F4160=""),"Incomplete","Complete")</f>
        <v>Complete</v>
      </c>
      <c r="I4160" s="48" t="s">
        <v>8525</v>
      </c>
    </row>
    <row r="4161" spans="2:9" ht="15" customHeight="1" x14ac:dyDescent="0.25">
      <c r="B4161" s="55" t="s">
        <v>279</v>
      </c>
      <c r="C4161" s="46">
        <v>4149</v>
      </c>
      <c r="D4161" s="69" t="s">
        <v>29416</v>
      </c>
      <c r="E4161" s="51"/>
      <c r="F4161" s="114" t="str">
        <f>IF(INDEX(I.Facility.P1IDNumber,4149)="","",INDEX(I.Facility.P1IDNumber,4149))</f>
        <v/>
      </c>
      <c r="G4161" s="51"/>
      <c r="H4161" s="46" t="str">
        <f>IF(AND(I.Developer.P1=TRUE,I.Facility.P1FacilityCount&gt;=4149,F4161=""),"Incomplete","Complete")</f>
        <v>Complete</v>
      </c>
      <c r="I4161" s="48" t="s">
        <v>8526</v>
      </c>
    </row>
    <row r="4162" spans="2:9" ht="15" customHeight="1" x14ac:dyDescent="0.25">
      <c r="B4162" s="55" t="s">
        <v>279</v>
      </c>
      <c r="C4162" s="46">
        <v>4150</v>
      </c>
      <c r="D4162" s="69" t="s">
        <v>29416</v>
      </c>
      <c r="E4162" s="51"/>
      <c r="F4162" s="114" t="str">
        <f>IF(INDEX(I.Facility.P1IDNumber,4150)="","",INDEX(I.Facility.P1IDNumber,4150))</f>
        <v/>
      </c>
      <c r="G4162" s="51"/>
      <c r="H4162" s="46" t="str">
        <f>IF(AND(I.Developer.P1=TRUE,I.Facility.P1FacilityCount&gt;=4150,F4162=""),"Incomplete","Complete")</f>
        <v>Complete</v>
      </c>
      <c r="I4162" s="48" t="s">
        <v>8527</v>
      </c>
    </row>
    <row r="4163" spans="2:9" ht="15" customHeight="1" x14ac:dyDescent="0.25">
      <c r="B4163" s="55" t="s">
        <v>279</v>
      </c>
      <c r="C4163" s="46">
        <v>4151</v>
      </c>
      <c r="D4163" s="69" t="s">
        <v>29416</v>
      </c>
      <c r="E4163" s="51"/>
      <c r="F4163" s="114" t="str">
        <f>IF(INDEX(I.Facility.P1IDNumber,4151)="","",INDEX(I.Facility.P1IDNumber,4151))</f>
        <v/>
      </c>
      <c r="G4163" s="51"/>
      <c r="H4163" s="46" t="str">
        <f>IF(AND(I.Developer.P1=TRUE,I.Facility.P1FacilityCount&gt;=4151,F4163=""),"Incomplete","Complete")</f>
        <v>Complete</v>
      </c>
      <c r="I4163" s="48" t="s">
        <v>8528</v>
      </c>
    </row>
    <row r="4164" spans="2:9" ht="15" customHeight="1" x14ac:dyDescent="0.25">
      <c r="B4164" s="55" t="s">
        <v>279</v>
      </c>
      <c r="C4164" s="46">
        <v>4152</v>
      </c>
      <c r="D4164" s="69" t="s">
        <v>29416</v>
      </c>
      <c r="E4164" s="51"/>
      <c r="F4164" s="114" t="str">
        <f>IF(INDEX(I.Facility.P1IDNumber,4152)="","",INDEX(I.Facility.P1IDNumber,4152))</f>
        <v/>
      </c>
      <c r="G4164" s="51"/>
      <c r="H4164" s="46" t="str">
        <f>IF(AND(I.Developer.P1=TRUE,I.Facility.P1FacilityCount&gt;=4152,F4164=""),"Incomplete","Complete")</f>
        <v>Complete</v>
      </c>
      <c r="I4164" s="48" t="s">
        <v>8529</v>
      </c>
    </row>
    <row r="4165" spans="2:9" ht="15" customHeight="1" x14ac:dyDescent="0.25">
      <c r="B4165" s="55" t="s">
        <v>279</v>
      </c>
      <c r="C4165" s="46">
        <v>4153</v>
      </c>
      <c r="D4165" s="69" t="s">
        <v>29416</v>
      </c>
      <c r="E4165" s="51"/>
      <c r="F4165" s="114" t="str">
        <f>IF(INDEX(I.Facility.P1IDNumber,4153)="","",INDEX(I.Facility.P1IDNumber,4153))</f>
        <v/>
      </c>
      <c r="G4165" s="51"/>
      <c r="H4165" s="46" t="str">
        <f>IF(AND(I.Developer.P1=TRUE,I.Facility.P1FacilityCount&gt;=4153,F4165=""),"Incomplete","Complete")</f>
        <v>Complete</v>
      </c>
      <c r="I4165" s="48" t="s">
        <v>8530</v>
      </c>
    </row>
    <row r="4166" spans="2:9" ht="15" customHeight="1" x14ac:dyDescent="0.25">
      <c r="B4166" s="55" t="s">
        <v>279</v>
      </c>
      <c r="C4166" s="46">
        <v>4154</v>
      </c>
      <c r="D4166" s="69" t="s">
        <v>29416</v>
      </c>
      <c r="E4166" s="51"/>
      <c r="F4166" s="114" t="str">
        <f>IF(INDEX(I.Facility.P1IDNumber,4154)="","",INDEX(I.Facility.P1IDNumber,4154))</f>
        <v/>
      </c>
      <c r="G4166" s="51"/>
      <c r="H4166" s="46" t="str">
        <f>IF(AND(I.Developer.P1=TRUE,I.Facility.P1FacilityCount&gt;=4154,F4166=""),"Incomplete","Complete")</f>
        <v>Complete</v>
      </c>
      <c r="I4166" s="48" t="s">
        <v>8531</v>
      </c>
    </row>
    <row r="4167" spans="2:9" ht="15" customHeight="1" x14ac:dyDescent="0.25">
      <c r="B4167" s="55" t="s">
        <v>279</v>
      </c>
      <c r="C4167" s="46">
        <v>4155</v>
      </c>
      <c r="D4167" s="69" t="s">
        <v>29416</v>
      </c>
      <c r="E4167" s="51"/>
      <c r="F4167" s="114" t="str">
        <f>IF(INDEX(I.Facility.P1IDNumber,4155)="","",INDEX(I.Facility.P1IDNumber,4155))</f>
        <v/>
      </c>
      <c r="G4167" s="51"/>
      <c r="H4167" s="46" t="str">
        <f>IF(AND(I.Developer.P1=TRUE,I.Facility.P1FacilityCount&gt;=4155,F4167=""),"Incomplete","Complete")</f>
        <v>Complete</v>
      </c>
      <c r="I4167" s="48" t="s">
        <v>8532</v>
      </c>
    </row>
    <row r="4168" spans="2:9" ht="15" customHeight="1" x14ac:dyDescent="0.25">
      <c r="B4168" s="55" t="s">
        <v>279</v>
      </c>
      <c r="C4168" s="46">
        <v>4156</v>
      </c>
      <c r="D4168" s="69" t="s">
        <v>29416</v>
      </c>
      <c r="E4168" s="51"/>
      <c r="F4168" s="114" t="str">
        <f>IF(INDEX(I.Facility.P1IDNumber,4156)="","",INDEX(I.Facility.P1IDNumber,4156))</f>
        <v/>
      </c>
      <c r="G4168" s="51"/>
      <c r="H4168" s="46" t="str">
        <f>IF(AND(I.Developer.P1=TRUE,I.Facility.P1FacilityCount&gt;=4156,F4168=""),"Incomplete","Complete")</f>
        <v>Complete</v>
      </c>
      <c r="I4168" s="48" t="s">
        <v>8533</v>
      </c>
    </row>
    <row r="4169" spans="2:9" ht="15" customHeight="1" x14ac:dyDescent="0.25">
      <c r="B4169" s="55" t="s">
        <v>279</v>
      </c>
      <c r="C4169" s="46">
        <v>4157</v>
      </c>
      <c r="D4169" s="69" t="s">
        <v>29416</v>
      </c>
      <c r="E4169" s="51"/>
      <c r="F4169" s="114" t="str">
        <f>IF(INDEX(I.Facility.P1IDNumber,4157)="","",INDEX(I.Facility.P1IDNumber,4157))</f>
        <v/>
      </c>
      <c r="G4169" s="51"/>
      <c r="H4169" s="46" t="str">
        <f>IF(AND(I.Developer.P1=TRUE,I.Facility.P1FacilityCount&gt;=4157,F4169=""),"Incomplete","Complete")</f>
        <v>Complete</v>
      </c>
      <c r="I4169" s="48" t="s">
        <v>8534</v>
      </c>
    </row>
    <row r="4170" spans="2:9" ht="15" customHeight="1" x14ac:dyDescent="0.25">
      <c r="B4170" s="55" t="s">
        <v>279</v>
      </c>
      <c r="C4170" s="46">
        <v>4158</v>
      </c>
      <c r="D4170" s="69" t="s">
        <v>29416</v>
      </c>
      <c r="E4170" s="51"/>
      <c r="F4170" s="114" t="str">
        <f>IF(INDEX(I.Facility.P1IDNumber,4158)="","",INDEX(I.Facility.P1IDNumber,4158))</f>
        <v/>
      </c>
      <c r="G4170" s="51"/>
      <c r="H4170" s="46" t="str">
        <f>IF(AND(I.Developer.P1=TRUE,I.Facility.P1FacilityCount&gt;=4158,F4170=""),"Incomplete","Complete")</f>
        <v>Complete</v>
      </c>
      <c r="I4170" s="48" t="s">
        <v>8535</v>
      </c>
    </row>
    <row r="4171" spans="2:9" ht="15" customHeight="1" x14ac:dyDescent="0.25">
      <c r="B4171" s="55" t="s">
        <v>279</v>
      </c>
      <c r="C4171" s="46">
        <v>4159</v>
      </c>
      <c r="D4171" s="69" t="s">
        <v>29416</v>
      </c>
      <c r="E4171" s="51"/>
      <c r="F4171" s="114" t="str">
        <f>IF(INDEX(I.Facility.P1IDNumber,4159)="","",INDEX(I.Facility.P1IDNumber,4159))</f>
        <v/>
      </c>
      <c r="G4171" s="51"/>
      <c r="H4171" s="46" t="str">
        <f>IF(AND(I.Developer.P1=TRUE,I.Facility.P1FacilityCount&gt;=4159,F4171=""),"Incomplete","Complete")</f>
        <v>Complete</v>
      </c>
      <c r="I4171" s="48" t="s">
        <v>8536</v>
      </c>
    </row>
    <row r="4172" spans="2:9" ht="15" customHeight="1" x14ac:dyDescent="0.25">
      <c r="B4172" s="55" t="s">
        <v>279</v>
      </c>
      <c r="C4172" s="46">
        <v>4160</v>
      </c>
      <c r="D4172" s="69" t="s">
        <v>29416</v>
      </c>
      <c r="E4172" s="51"/>
      <c r="F4172" s="114" t="str">
        <f>IF(INDEX(I.Facility.P1IDNumber,4160)="","",INDEX(I.Facility.P1IDNumber,4160))</f>
        <v/>
      </c>
      <c r="G4172" s="51"/>
      <c r="H4172" s="46" t="str">
        <f>IF(AND(I.Developer.P1=TRUE,I.Facility.P1FacilityCount&gt;=4160,F4172=""),"Incomplete","Complete")</f>
        <v>Complete</v>
      </c>
      <c r="I4172" s="48" t="s">
        <v>8537</v>
      </c>
    </row>
    <row r="4173" spans="2:9" ht="15" customHeight="1" x14ac:dyDescent="0.25">
      <c r="B4173" s="55" t="s">
        <v>279</v>
      </c>
      <c r="C4173" s="46">
        <v>4161</v>
      </c>
      <c r="D4173" s="69" t="s">
        <v>29416</v>
      </c>
      <c r="E4173" s="51"/>
      <c r="F4173" s="114" t="str">
        <f>IF(INDEX(I.Facility.P1IDNumber,4161)="","",INDEX(I.Facility.P1IDNumber,4161))</f>
        <v/>
      </c>
      <c r="G4173" s="51"/>
      <c r="H4173" s="46" t="str">
        <f>IF(AND(I.Developer.P1=TRUE,I.Facility.P1FacilityCount&gt;=4161,F4173=""),"Incomplete","Complete")</f>
        <v>Complete</v>
      </c>
      <c r="I4173" s="48" t="s">
        <v>8538</v>
      </c>
    </row>
    <row r="4174" spans="2:9" ht="15" customHeight="1" x14ac:dyDescent="0.25">
      <c r="B4174" s="55" t="s">
        <v>279</v>
      </c>
      <c r="C4174" s="46">
        <v>4162</v>
      </c>
      <c r="D4174" s="69" t="s">
        <v>29416</v>
      </c>
      <c r="E4174" s="51"/>
      <c r="F4174" s="114" t="str">
        <f>IF(INDEX(I.Facility.P1IDNumber,4162)="","",INDEX(I.Facility.P1IDNumber,4162))</f>
        <v/>
      </c>
      <c r="G4174" s="51"/>
      <c r="H4174" s="46" t="str">
        <f>IF(AND(I.Developer.P1=TRUE,I.Facility.P1FacilityCount&gt;=4162,F4174=""),"Incomplete","Complete")</f>
        <v>Complete</v>
      </c>
      <c r="I4174" s="48" t="s">
        <v>8539</v>
      </c>
    </row>
    <row r="4175" spans="2:9" ht="15" customHeight="1" x14ac:dyDescent="0.25">
      <c r="B4175" s="55" t="s">
        <v>279</v>
      </c>
      <c r="C4175" s="46">
        <v>4163</v>
      </c>
      <c r="D4175" s="69" t="s">
        <v>29416</v>
      </c>
      <c r="E4175" s="51"/>
      <c r="F4175" s="114" t="str">
        <f>IF(INDEX(I.Facility.P1IDNumber,4163)="","",INDEX(I.Facility.P1IDNumber,4163))</f>
        <v/>
      </c>
      <c r="G4175" s="51"/>
      <c r="H4175" s="46" t="str">
        <f>IF(AND(I.Developer.P1=TRUE,I.Facility.P1FacilityCount&gt;=4163,F4175=""),"Incomplete","Complete")</f>
        <v>Complete</v>
      </c>
      <c r="I4175" s="48" t="s">
        <v>8540</v>
      </c>
    </row>
    <row r="4176" spans="2:9" ht="15" customHeight="1" x14ac:dyDescent="0.25">
      <c r="B4176" s="55" t="s">
        <v>279</v>
      </c>
      <c r="C4176" s="46">
        <v>4164</v>
      </c>
      <c r="D4176" s="69" t="s">
        <v>29416</v>
      </c>
      <c r="E4176" s="51"/>
      <c r="F4176" s="114" t="str">
        <f>IF(INDEX(I.Facility.P1IDNumber,4164)="","",INDEX(I.Facility.P1IDNumber,4164))</f>
        <v/>
      </c>
      <c r="G4176" s="51"/>
      <c r="H4176" s="46" t="str">
        <f>IF(AND(I.Developer.P1=TRUE,I.Facility.P1FacilityCount&gt;=4164,F4176=""),"Incomplete","Complete")</f>
        <v>Complete</v>
      </c>
      <c r="I4176" s="48" t="s">
        <v>8541</v>
      </c>
    </row>
    <row r="4177" spans="2:9" ht="15" customHeight="1" x14ac:dyDescent="0.25">
      <c r="B4177" s="55" t="s">
        <v>279</v>
      </c>
      <c r="C4177" s="46">
        <v>4165</v>
      </c>
      <c r="D4177" s="69" t="s">
        <v>29416</v>
      </c>
      <c r="E4177" s="51"/>
      <c r="F4177" s="114" t="str">
        <f>IF(INDEX(I.Facility.P1IDNumber,4165)="","",INDEX(I.Facility.P1IDNumber,4165))</f>
        <v/>
      </c>
      <c r="G4177" s="51"/>
      <c r="H4177" s="46" t="str">
        <f>IF(AND(I.Developer.P1=TRUE,I.Facility.P1FacilityCount&gt;=4165,F4177=""),"Incomplete","Complete")</f>
        <v>Complete</v>
      </c>
      <c r="I4177" s="48" t="s">
        <v>8542</v>
      </c>
    </row>
    <row r="4178" spans="2:9" ht="15" customHeight="1" x14ac:dyDescent="0.25">
      <c r="B4178" s="55" t="s">
        <v>279</v>
      </c>
      <c r="C4178" s="46">
        <v>4166</v>
      </c>
      <c r="D4178" s="69" t="s">
        <v>29416</v>
      </c>
      <c r="E4178" s="51"/>
      <c r="F4178" s="114" t="str">
        <f>IF(INDEX(I.Facility.P1IDNumber,4166)="","",INDEX(I.Facility.P1IDNumber,4166))</f>
        <v/>
      </c>
      <c r="G4178" s="51"/>
      <c r="H4178" s="46" t="str">
        <f>IF(AND(I.Developer.P1=TRUE,I.Facility.P1FacilityCount&gt;=4166,F4178=""),"Incomplete","Complete")</f>
        <v>Complete</v>
      </c>
      <c r="I4178" s="48" t="s">
        <v>8543</v>
      </c>
    </row>
    <row r="4179" spans="2:9" ht="15" customHeight="1" x14ac:dyDescent="0.25">
      <c r="B4179" s="55" t="s">
        <v>279</v>
      </c>
      <c r="C4179" s="46">
        <v>4167</v>
      </c>
      <c r="D4179" s="69" t="s">
        <v>29416</v>
      </c>
      <c r="E4179" s="51"/>
      <c r="F4179" s="114" t="str">
        <f>IF(INDEX(I.Facility.P1IDNumber,4167)="","",INDEX(I.Facility.P1IDNumber,4167))</f>
        <v/>
      </c>
      <c r="G4179" s="51"/>
      <c r="H4179" s="46" t="str">
        <f>IF(AND(I.Developer.P1=TRUE,I.Facility.P1FacilityCount&gt;=4167,F4179=""),"Incomplete","Complete")</f>
        <v>Complete</v>
      </c>
      <c r="I4179" s="48" t="s">
        <v>8544</v>
      </c>
    </row>
    <row r="4180" spans="2:9" ht="15" customHeight="1" x14ac:dyDescent="0.25">
      <c r="B4180" s="55" t="s">
        <v>279</v>
      </c>
      <c r="C4180" s="46">
        <v>4168</v>
      </c>
      <c r="D4180" s="69" t="s">
        <v>29416</v>
      </c>
      <c r="E4180" s="51"/>
      <c r="F4180" s="114" t="str">
        <f>IF(INDEX(I.Facility.P1IDNumber,4168)="","",INDEX(I.Facility.P1IDNumber,4168))</f>
        <v/>
      </c>
      <c r="G4180" s="51"/>
      <c r="H4180" s="46" t="str">
        <f>IF(AND(I.Developer.P1=TRUE,I.Facility.P1FacilityCount&gt;=4168,F4180=""),"Incomplete","Complete")</f>
        <v>Complete</v>
      </c>
      <c r="I4180" s="48" t="s">
        <v>8545</v>
      </c>
    </row>
    <row r="4181" spans="2:9" ht="15" customHeight="1" x14ac:dyDescent="0.25">
      <c r="B4181" s="55" t="s">
        <v>279</v>
      </c>
      <c r="C4181" s="46">
        <v>4169</v>
      </c>
      <c r="D4181" s="69" t="s">
        <v>29416</v>
      </c>
      <c r="E4181" s="51"/>
      <c r="F4181" s="114" t="str">
        <f>IF(INDEX(I.Facility.P1IDNumber,4169)="","",INDEX(I.Facility.P1IDNumber,4169))</f>
        <v/>
      </c>
      <c r="G4181" s="51"/>
      <c r="H4181" s="46" t="str">
        <f>IF(AND(I.Developer.P1=TRUE,I.Facility.P1FacilityCount&gt;=4169,F4181=""),"Incomplete","Complete")</f>
        <v>Complete</v>
      </c>
      <c r="I4181" s="48" t="s">
        <v>8546</v>
      </c>
    </row>
    <row r="4182" spans="2:9" ht="15" customHeight="1" x14ac:dyDescent="0.25">
      <c r="B4182" s="55" t="s">
        <v>279</v>
      </c>
      <c r="C4182" s="46">
        <v>4170</v>
      </c>
      <c r="D4182" s="69" t="s">
        <v>29416</v>
      </c>
      <c r="E4182" s="51"/>
      <c r="F4182" s="114" t="str">
        <f>IF(INDEX(I.Facility.P1IDNumber,4170)="","",INDEX(I.Facility.P1IDNumber,4170))</f>
        <v/>
      </c>
      <c r="G4182" s="51"/>
      <c r="H4182" s="46" t="str">
        <f>IF(AND(I.Developer.P1=TRUE,I.Facility.P1FacilityCount&gt;=4170,F4182=""),"Incomplete","Complete")</f>
        <v>Complete</v>
      </c>
      <c r="I4182" s="48" t="s">
        <v>8547</v>
      </c>
    </row>
    <row r="4183" spans="2:9" ht="15" customHeight="1" x14ac:dyDescent="0.25">
      <c r="B4183" s="55" t="s">
        <v>279</v>
      </c>
      <c r="C4183" s="46">
        <v>4171</v>
      </c>
      <c r="D4183" s="69" t="s">
        <v>29416</v>
      </c>
      <c r="E4183" s="51"/>
      <c r="F4183" s="114" t="str">
        <f>IF(INDEX(I.Facility.P1IDNumber,4171)="","",INDEX(I.Facility.P1IDNumber,4171))</f>
        <v/>
      </c>
      <c r="G4183" s="51"/>
      <c r="H4183" s="46" t="str">
        <f>IF(AND(I.Developer.P1=TRUE,I.Facility.P1FacilityCount&gt;=4171,F4183=""),"Incomplete","Complete")</f>
        <v>Complete</v>
      </c>
      <c r="I4183" s="48" t="s">
        <v>8548</v>
      </c>
    </row>
    <row r="4184" spans="2:9" ht="15" customHeight="1" x14ac:dyDescent="0.25">
      <c r="B4184" s="55" t="s">
        <v>279</v>
      </c>
      <c r="C4184" s="46">
        <v>4172</v>
      </c>
      <c r="D4184" s="69" t="s">
        <v>29416</v>
      </c>
      <c r="E4184" s="51"/>
      <c r="F4184" s="114" t="str">
        <f>IF(INDEX(I.Facility.P1IDNumber,4172)="","",INDEX(I.Facility.P1IDNumber,4172))</f>
        <v/>
      </c>
      <c r="G4184" s="51"/>
      <c r="H4184" s="46" t="str">
        <f>IF(AND(I.Developer.P1=TRUE,I.Facility.P1FacilityCount&gt;=4172,F4184=""),"Incomplete","Complete")</f>
        <v>Complete</v>
      </c>
      <c r="I4184" s="48" t="s">
        <v>8549</v>
      </c>
    </row>
    <row r="4185" spans="2:9" ht="15" customHeight="1" x14ac:dyDescent="0.25">
      <c r="B4185" s="55" t="s">
        <v>279</v>
      </c>
      <c r="C4185" s="46">
        <v>4173</v>
      </c>
      <c r="D4185" s="69" t="s">
        <v>29416</v>
      </c>
      <c r="E4185" s="51"/>
      <c r="F4185" s="114" t="str">
        <f>IF(INDEX(I.Facility.P1IDNumber,4173)="","",INDEX(I.Facility.P1IDNumber,4173))</f>
        <v/>
      </c>
      <c r="G4185" s="51"/>
      <c r="H4185" s="46" t="str">
        <f>IF(AND(I.Developer.P1=TRUE,I.Facility.P1FacilityCount&gt;=4173,F4185=""),"Incomplete","Complete")</f>
        <v>Complete</v>
      </c>
      <c r="I4185" s="48" t="s">
        <v>8550</v>
      </c>
    </row>
    <row r="4186" spans="2:9" ht="15" customHeight="1" x14ac:dyDescent="0.25">
      <c r="B4186" s="55" t="s">
        <v>279</v>
      </c>
      <c r="C4186" s="46">
        <v>4174</v>
      </c>
      <c r="D4186" s="69" t="s">
        <v>29416</v>
      </c>
      <c r="E4186" s="51"/>
      <c r="F4186" s="114" t="str">
        <f>IF(INDEX(I.Facility.P1IDNumber,4174)="","",INDEX(I.Facility.P1IDNumber,4174))</f>
        <v/>
      </c>
      <c r="G4186" s="51"/>
      <c r="H4186" s="46" t="str">
        <f>IF(AND(I.Developer.P1=TRUE,I.Facility.P1FacilityCount&gt;=4174,F4186=""),"Incomplete","Complete")</f>
        <v>Complete</v>
      </c>
      <c r="I4186" s="48" t="s">
        <v>8551</v>
      </c>
    </row>
    <row r="4187" spans="2:9" ht="15" customHeight="1" x14ac:dyDescent="0.25">
      <c r="B4187" s="55" t="s">
        <v>279</v>
      </c>
      <c r="C4187" s="46">
        <v>4175</v>
      </c>
      <c r="D4187" s="69" t="s">
        <v>29416</v>
      </c>
      <c r="E4187" s="51"/>
      <c r="F4187" s="114" t="str">
        <f>IF(INDEX(I.Facility.P1IDNumber,4175)="","",INDEX(I.Facility.P1IDNumber,4175))</f>
        <v/>
      </c>
      <c r="G4187" s="51"/>
      <c r="H4187" s="46" t="str">
        <f>IF(AND(I.Developer.P1=TRUE,I.Facility.P1FacilityCount&gt;=4175,F4187=""),"Incomplete","Complete")</f>
        <v>Complete</v>
      </c>
      <c r="I4187" s="48" t="s">
        <v>8552</v>
      </c>
    </row>
    <row r="4188" spans="2:9" ht="15" customHeight="1" x14ac:dyDescent="0.25">
      <c r="B4188" s="55" t="s">
        <v>279</v>
      </c>
      <c r="C4188" s="46">
        <v>4176</v>
      </c>
      <c r="D4188" s="69" t="s">
        <v>29416</v>
      </c>
      <c r="E4188" s="51"/>
      <c r="F4188" s="114" t="str">
        <f>IF(INDEX(I.Facility.P1IDNumber,4176)="","",INDEX(I.Facility.P1IDNumber,4176))</f>
        <v/>
      </c>
      <c r="G4188" s="51"/>
      <c r="H4188" s="46" t="str">
        <f>IF(AND(I.Developer.P1=TRUE,I.Facility.P1FacilityCount&gt;=4176,F4188=""),"Incomplete","Complete")</f>
        <v>Complete</v>
      </c>
      <c r="I4188" s="48" t="s">
        <v>8553</v>
      </c>
    </row>
    <row r="4189" spans="2:9" ht="15" customHeight="1" x14ac:dyDescent="0.25">
      <c r="B4189" s="55" t="s">
        <v>279</v>
      </c>
      <c r="C4189" s="46">
        <v>4177</v>
      </c>
      <c r="D4189" s="69" t="s">
        <v>29416</v>
      </c>
      <c r="E4189" s="51"/>
      <c r="F4189" s="114" t="str">
        <f>IF(INDEX(I.Facility.P1IDNumber,4177)="","",INDEX(I.Facility.P1IDNumber,4177))</f>
        <v/>
      </c>
      <c r="G4189" s="51"/>
      <c r="H4189" s="46" t="str">
        <f>IF(AND(I.Developer.P1=TRUE,I.Facility.P1FacilityCount&gt;=4177,F4189=""),"Incomplete","Complete")</f>
        <v>Complete</v>
      </c>
      <c r="I4189" s="48" t="s">
        <v>8554</v>
      </c>
    </row>
    <row r="4190" spans="2:9" ht="15" customHeight="1" x14ac:dyDescent="0.25">
      <c r="B4190" s="55" t="s">
        <v>279</v>
      </c>
      <c r="C4190" s="46">
        <v>4178</v>
      </c>
      <c r="D4190" s="69" t="s">
        <v>29416</v>
      </c>
      <c r="E4190" s="51"/>
      <c r="F4190" s="114" t="str">
        <f>IF(INDEX(I.Facility.P1IDNumber,4178)="","",INDEX(I.Facility.P1IDNumber,4178))</f>
        <v/>
      </c>
      <c r="G4190" s="51"/>
      <c r="H4190" s="46" t="str">
        <f>IF(AND(I.Developer.P1=TRUE,I.Facility.P1FacilityCount&gt;=4178,F4190=""),"Incomplete","Complete")</f>
        <v>Complete</v>
      </c>
      <c r="I4190" s="48" t="s">
        <v>8555</v>
      </c>
    </row>
    <row r="4191" spans="2:9" ht="15" customHeight="1" x14ac:dyDescent="0.25">
      <c r="B4191" s="55" t="s">
        <v>279</v>
      </c>
      <c r="C4191" s="46">
        <v>4179</v>
      </c>
      <c r="D4191" s="69" t="s">
        <v>29416</v>
      </c>
      <c r="E4191" s="51"/>
      <c r="F4191" s="114" t="str">
        <f>IF(INDEX(I.Facility.P1IDNumber,4179)="","",INDEX(I.Facility.P1IDNumber,4179))</f>
        <v/>
      </c>
      <c r="G4191" s="51"/>
      <c r="H4191" s="46" t="str">
        <f>IF(AND(I.Developer.P1=TRUE,I.Facility.P1FacilityCount&gt;=4179,F4191=""),"Incomplete","Complete")</f>
        <v>Complete</v>
      </c>
      <c r="I4191" s="48" t="s">
        <v>8556</v>
      </c>
    </row>
    <row r="4192" spans="2:9" ht="15" customHeight="1" x14ac:dyDescent="0.25">
      <c r="B4192" s="55" t="s">
        <v>279</v>
      </c>
      <c r="C4192" s="46">
        <v>4180</v>
      </c>
      <c r="D4192" s="69" t="s">
        <v>29416</v>
      </c>
      <c r="E4192" s="51"/>
      <c r="F4192" s="114" t="str">
        <f>IF(INDEX(I.Facility.P1IDNumber,4180)="","",INDEX(I.Facility.P1IDNumber,4180))</f>
        <v/>
      </c>
      <c r="G4192" s="51"/>
      <c r="H4192" s="46" t="str">
        <f>IF(AND(I.Developer.P1=TRUE,I.Facility.P1FacilityCount&gt;=4180,F4192=""),"Incomplete","Complete")</f>
        <v>Complete</v>
      </c>
      <c r="I4192" s="48" t="s">
        <v>8557</v>
      </c>
    </row>
    <row r="4193" spans="2:9" ht="15" customHeight="1" x14ac:dyDescent="0.25">
      <c r="B4193" s="55" t="s">
        <v>279</v>
      </c>
      <c r="C4193" s="46">
        <v>4181</v>
      </c>
      <c r="D4193" s="69" t="s">
        <v>29416</v>
      </c>
      <c r="E4193" s="51"/>
      <c r="F4193" s="114" t="str">
        <f>IF(INDEX(I.Facility.P1IDNumber,4181)="","",INDEX(I.Facility.P1IDNumber,4181))</f>
        <v/>
      </c>
      <c r="G4193" s="51"/>
      <c r="H4193" s="46" t="str">
        <f>IF(AND(I.Developer.P1=TRUE,I.Facility.P1FacilityCount&gt;=4181,F4193=""),"Incomplete","Complete")</f>
        <v>Complete</v>
      </c>
      <c r="I4193" s="48" t="s">
        <v>8558</v>
      </c>
    </row>
    <row r="4194" spans="2:9" ht="15" customHeight="1" x14ac:dyDescent="0.25">
      <c r="B4194" s="55" t="s">
        <v>279</v>
      </c>
      <c r="C4194" s="46">
        <v>4182</v>
      </c>
      <c r="D4194" s="69" t="s">
        <v>29416</v>
      </c>
      <c r="E4194" s="51"/>
      <c r="F4194" s="114" t="str">
        <f>IF(INDEX(I.Facility.P1IDNumber,4182)="","",INDEX(I.Facility.P1IDNumber,4182))</f>
        <v/>
      </c>
      <c r="G4194" s="51"/>
      <c r="H4194" s="46" t="str">
        <f>IF(AND(I.Developer.P1=TRUE,I.Facility.P1FacilityCount&gt;=4182,F4194=""),"Incomplete","Complete")</f>
        <v>Complete</v>
      </c>
      <c r="I4194" s="48" t="s">
        <v>8559</v>
      </c>
    </row>
    <row r="4195" spans="2:9" ht="15" customHeight="1" x14ac:dyDescent="0.25">
      <c r="B4195" s="55" t="s">
        <v>279</v>
      </c>
      <c r="C4195" s="46">
        <v>4183</v>
      </c>
      <c r="D4195" s="69" t="s">
        <v>29416</v>
      </c>
      <c r="E4195" s="51"/>
      <c r="F4195" s="114" t="str">
        <f>IF(INDEX(I.Facility.P1IDNumber,4183)="","",INDEX(I.Facility.P1IDNumber,4183))</f>
        <v/>
      </c>
      <c r="G4195" s="51"/>
      <c r="H4195" s="46" t="str">
        <f>IF(AND(I.Developer.P1=TRUE,I.Facility.P1FacilityCount&gt;=4183,F4195=""),"Incomplete","Complete")</f>
        <v>Complete</v>
      </c>
      <c r="I4195" s="48" t="s">
        <v>8560</v>
      </c>
    </row>
    <row r="4196" spans="2:9" ht="15" customHeight="1" x14ac:dyDescent="0.25">
      <c r="B4196" s="55" t="s">
        <v>279</v>
      </c>
      <c r="C4196" s="46">
        <v>4184</v>
      </c>
      <c r="D4196" s="69" t="s">
        <v>29416</v>
      </c>
      <c r="E4196" s="51"/>
      <c r="F4196" s="114" t="str">
        <f>IF(INDEX(I.Facility.P1IDNumber,4184)="","",INDEX(I.Facility.P1IDNumber,4184))</f>
        <v/>
      </c>
      <c r="G4196" s="51"/>
      <c r="H4196" s="46" t="str">
        <f>IF(AND(I.Developer.P1=TRUE,I.Facility.P1FacilityCount&gt;=4184,F4196=""),"Incomplete","Complete")</f>
        <v>Complete</v>
      </c>
      <c r="I4196" s="48" t="s">
        <v>8561</v>
      </c>
    </row>
    <row r="4197" spans="2:9" ht="15" customHeight="1" x14ac:dyDescent="0.25">
      <c r="B4197" s="55" t="s">
        <v>279</v>
      </c>
      <c r="C4197" s="46">
        <v>4185</v>
      </c>
      <c r="D4197" s="69" t="s">
        <v>29416</v>
      </c>
      <c r="E4197" s="51"/>
      <c r="F4197" s="114" t="str">
        <f>IF(INDEX(I.Facility.P1IDNumber,4185)="","",INDEX(I.Facility.P1IDNumber,4185))</f>
        <v/>
      </c>
      <c r="G4197" s="51"/>
      <c r="H4197" s="46" t="str">
        <f>IF(AND(I.Developer.P1=TRUE,I.Facility.P1FacilityCount&gt;=4185,F4197=""),"Incomplete","Complete")</f>
        <v>Complete</v>
      </c>
      <c r="I4197" s="48" t="s">
        <v>8562</v>
      </c>
    </row>
    <row r="4198" spans="2:9" ht="15" customHeight="1" x14ac:dyDescent="0.25">
      <c r="B4198" s="55" t="s">
        <v>279</v>
      </c>
      <c r="C4198" s="46">
        <v>4186</v>
      </c>
      <c r="D4198" s="69" t="s">
        <v>29416</v>
      </c>
      <c r="E4198" s="51"/>
      <c r="F4198" s="114" t="str">
        <f>IF(INDEX(I.Facility.P1IDNumber,4186)="","",INDEX(I.Facility.P1IDNumber,4186))</f>
        <v/>
      </c>
      <c r="G4198" s="51"/>
      <c r="H4198" s="46" t="str">
        <f>IF(AND(I.Developer.P1=TRUE,I.Facility.P1FacilityCount&gt;=4186,F4198=""),"Incomplete","Complete")</f>
        <v>Complete</v>
      </c>
      <c r="I4198" s="48" t="s">
        <v>8563</v>
      </c>
    </row>
    <row r="4199" spans="2:9" ht="15" customHeight="1" x14ac:dyDescent="0.25">
      <c r="B4199" s="55" t="s">
        <v>279</v>
      </c>
      <c r="C4199" s="46">
        <v>4187</v>
      </c>
      <c r="D4199" s="69" t="s">
        <v>29416</v>
      </c>
      <c r="E4199" s="51"/>
      <c r="F4199" s="114" t="str">
        <f>IF(INDEX(I.Facility.P1IDNumber,4187)="","",INDEX(I.Facility.P1IDNumber,4187))</f>
        <v/>
      </c>
      <c r="G4199" s="51"/>
      <c r="H4199" s="46" t="str">
        <f>IF(AND(I.Developer.P1=TRUE,I.Facility.P1FacilityCount&gt;=4187,F4199=""),"Incomplete","Complete")</f>
        <v>Complete</v>
      </c>
      <c r="I4199" s="48" t="s">
        <v>8564</v>
      </c>
    </row>
    <row r="4200" spans="2:9" ht="15" customHeight="1" x14ac:dyDescent="0.25">
      <c r="B4200" s="55" t="s">
        <v>279</v>
      </c>
      <c r="C4200" s="46">
        <v>4188</v>
      </c>
      <c r="D4200" s="69" t="s">
        <v>29416</v>
      </c>
      <c r="E4200" s="51"/>
      <c r="F4200" s="114" t="str">
        <f>IF(INDEX(I.Facility.P1IDNumber,4188)="","",INDEX(I.Facility.P1IDNumber,4188))</f>
        <v/>
      </c>
      <c r="G4200" s="51"/>
      <c r="H4200" s="46" t="str">
        <f>IF(AND(I.Developer.P1=TRUE,I.Facility.P1FacilityCount&gt;=4188,F4200=""),"Incomplete","Complete")</f>
        <v>Complete</v>
      </c>
      <c r="I4200" s="48" t="s">
        <v>8565</v>
      </c>
    </row>
    <row r="4201" spans="2:9" ht="15" customHeight="1" x14ac:dyDescent="0.25">
      <c r="B4201" s="55" t="s">
        <v>279</v>
      </c>
      <c r="C4201" s="46">
        <v>4189</v>
      </c>
      <c r="D4201" s="69" t="s">
        <v>29416</v>
      </c>
      <c r="E4201" s="51"/>
      <c r="F4201" s="114" t="str">
        <f>IF(INDEX(I.Facility.P1IDNumber,4189)="","",INDEX(I.Facility.P1IDNumber,4189))</f>
        <v/>
      </c>
      <c r="G4201" s="51"/>
      <c r="H4201" s="46" t="str">
        <f>IF(AND(I.Developer.P1=TRUE,I.Facility.P1FacilityCount&gt;=4189,F4201=""),"Incomplete","Complete")</f>
        <v>Complete</v>
      </c>
      <c r="I4201" s="48" t="s">
        <v>8566</v>
      </c>
    </row>
    <row r="4202" spans="2:9" ht="15" customHeight="1" x14ac:dyDescent="0.25">
      <c r="B4202" s="55" t="s">
        <v>279</v>
      </c>
      <c r="C4202" s="46">
        <v>4190</v>
      </c>
      <c r="D4202" s="69" t="s">
        <v>29416</v>
      </c>
      <c r="E4202" s="51"/>
      <c r="F4202" s="114" t="str">
        <f>IF(INDEX(I.Facility.P1IDNumber,4190)="","",INDEX(I.Facility.P1IDNumber,4190))</f>
        <v/>
      </c>
      <c r="G4202" s="51"/>
      <c r="H4202" s="46" t="str">
        <f>IF(AND(I.Developer.P1=TRUE,I.Facility.P1FacilityCount&gt;=4190,F4202=""),"Incomplete","Complete")</f>
        <v>Complete</v>
      </c>
      <c r="I4202" s="48" t="s">
        <v>8567</v>
      </c>
    </row>
    <row r="4203" spans="2:9" ht="15" customHeight="1" x14ac:dyDescent="0.25">
      <c r="B4203" s="55" t="s">
        <v>279</v>
      </c>
      <c r="C4203" s="46">
        <v>4191</v>
      </c>
      <c r="D4203" s="69" t="s">
        <v>29416</v>
      </c>
      <c r="E4203" s="51"/>
      <c r="F4203" s="114" t="str">
        <f>IF(INDEX(I.Facility.P1IDNumber,4191)="","",INDEX(I.Facility.P1IDNumber,4191))</f>
        <v/>
      </c>
      <c r="G4203" s="51"/>
      <c r="H4203" s="46" t="str">
        <f>IF(AND(I.Developer.P1=TRUE,I.Facility.P1FacilityCount&gt;=4191,F4203=""),"Incomplete","Complete")</f>
        <v>Complete</v>
      </c>
      <c r="I4203" s="48" t="s">
        <v>8568</v>
      </c>
    </row>
    <row r="4204" spans="2:9" ht="15" customHeight="1" x14ac:dyDescent="0.25">
      <c r="B4204" s="55" t="s">
        <v>279</v>
      </c>
      <c r="C4204" s="46">
        <v>4192</v>
      </c>
      <c r="D4204" s="69" t="s">
        <v>29416</v>
      </c>
      <c r="E4204" s="51"/>
      <c r="F4204" s="114" t="str">
        <f>IF(INDEX(I.Facility.P1IDNumber,4192)="","",INDEX(I.Facility.P1IDNumber,4192))</f>
        <v/>
      </c>
      <c r="G4204" s="51"/>
      <c r="H4204" s="46" t="str">
        <f>IF(AND(I.Developer.P1=TRUE,I.Facility.P1FacilityCount&gt;=4192,F4204=""),"Incomplete","Complete")</f>
        <v>Complete</v>
      </c>
      <c r="I4204" s="48" t="s">
        <v>8569</v>
      </c>
    </row>
    <row r="4205" spans="2:9" ht="15" customHeight="1" x14ac:dyDescent="0.25">
      <c r="B4205" s="55" t="s">
        <v>279</v>
      </c>
      <c r="C4205" s="46">
        <v>4193</v>
      </c>
      <c r="D4205" s="69" t="s">
        <v>29416</v>
      </c>
      <c r="E4205" s="51"/>
      <c r="F4205" s="114" t="str">
        <f>IF(INDEX(I.Facility.P1IDNumber,4193)="","",INDEX(I.Facility.P1IDNumber,4193))</f>
        <v/>
      </c>
      <c r="G4205" s="51"/>
      <c r="H4205" s="46" t="str">
        <f>IF(AND(I.Developer.P1=TRUE,I.Facility.P1FacilityCount&gt;=4193,F4205=""),"Incomplete","Complete")</f>
        <v>Complete</v>
      </c>
      <c r="I4205" s="48" t="s">
        <v>8570</v>
      </c>
    </row>
    <row r="4206" spans="2:9" ht="15" customHeight="1" x14ac:dyDescent="0.25">
      <c r="B4206" s="55" t="s">
        <v>279</v>
      </c>
      <c r="C4206" s="46">
        <v>4194</v>
      </c>
      <c r="D4206" s="69" t="s">
        <v>29416</v>
      </c>
      <c r="E4206" s="51"/>
      <c r="F4206" s="114" t="str">
        <f>IF(INDEX(I.Facility.P1IDNumber,4194)="","",INDEX(I.Facility.P1IDNumber,4194))</f>
        <v/>
      </c>
      <c r="G4206" s="51"/>
      <c r="H4206" s="46" t="str">
        <f>IF(AND(I.Developer.P1=TRUE,I.Facility.P1FacilityCount&gt;=4194,F4206=""),"Incomplete","Complete")</f>
        <v>Complete</v>
      </c>
      <c r="I4206" s="48" t="s">
        <v>8571</v>
      </c>
    </row>
    <row r="4207" spans="2:9" ht="15" customHeight="1" x14ac:dyDescent="0.25">
      <c r="B4207" s="55" t="s">
        <v>279</v>
      </c>
      <c r="C4207" s="46">
        <v>4195</v>
      </c>
      <c r="D4207" s="69" t="s">
        <v>29416</v>
      </c>
      <c r="E4207" s="51"/>
      <c r="F4207" s="114" t="str">
        <f>IF(INDEX(I.Facility.P1IDNumber,4195)="","",INDEX(I.Facility.P1IDNumber,4195))</f>
        <v/>
      </c>
      <c r="G4207" s="51"/>
      <c r="H4207" s="46" t="str">
        <f>IF(AND(I.Developer.P1=TRUE,I.Facility.P1FacilityCount&gt;=4195,F4207=""),"Incomplete","Complete")</f>
        <v>Complete</v>
      </c>
      <c r="I4207" s="48" t="s">
        <v>8572</v>
      </c>
    </row>
    <row r="4208" spans="2:9" ht="15" customHeight="1" x14ac:dyDescent="0.25">
      <c r="B4208" s="55" t="s">
        <v>279</v>
      </c>
      <c r="C4208" s="46">
        <v>4196</v>
      </c>
      <c r="D4208" s="69" t="s">
        <v>29416</v>
      </c>
      <c r="E4208" s="51"/>
      <c r="F4208" s="114" t="str">
        <f>IF(INDEX(I.Facility.P1IDNumber,4196)="","",INDEX(I.Facility.P1IDNumber,4196))</f>
        <v/>
      </c>
      <c r="G4208" s="51"/>
      <c r="H4208" s="46" t="str">
        <f>IF(AND(I.Developer.P1=TRUE,I.Facility.P1FacilityCount&gt;=4196,F4208=""),"Incomplete","Complete")</f>
        <v>Complete</v>
      </c>
      <c r="I4208" s="48" t="s">
        <v>8573</v>
      </c>
    </row>
    <row r="4209" spans="2:9" ht="15" customHeight="1" x14ac:dyDescent="0.25">
      <c r="B4209" s="55" t="s">
        <v>279</v>
      </c>
      <c r="C4209" s="46">
        <v>4197</v>
      </c>
      <c r="D4209" s="69" t="s">
        <v>29416</v>
      </c>
      <c r="E4209" s="51"/>
      <c r="F4209" s="114" t="str">
        <f>IF(INDEX(I.Facility.P1IDNumber,4197)="","",INDEX(I.Facility.P1IDNumber,4197))</f>
        <v/>
      </c>
      <c r="G4209" s="51"/>
      <c r="H4209" s="46" t="str">
        <f>IF(AND(I.Developer.P1=TRUE,I.Facility.P1FacilityCount&gt;=4197,F4209=""),"Incomplete","Complete")</f>
        <v>Complete</v>
      </c>
      <c r="I4209" s="48" t="s">
        <v>8574</v>
      </c>
    </row>
    <row r="4210" spans="2:9" ht="15" customHeight="1" x14ac:dyDescent="0.25">
      <c r="B4210" s="55" t="s">
        <v>279</v>
      </c>
      <c r="C4210" s="46">
        <v>4198</v>
      </c>
      <c r="D4210" s="69" t="s">
        <v>29416</v>
      </c>
      <c r="E4210" s="51"/>
      <c r="F4210" s="114" t="str">
        <f>IF(INDEX(I.Facility.P1IDNumber,4198)="","",INDEX(I.Facility.P1IDNumber,4198))</f>
        <v/>
      </c>
      <c r="G4210" s="51"/>
      <c r="H4210" s="46" t="str">
        <f>IF(AND(I.Developer.P1=TRUE,I.Facility.P1FacilityCount&gt;=4198,F4210=""),"Incomplete","Complete")</f>
        <v>Complete</v>
      </c>
      <c r="I4210" s="48" t="s">
        <v>8575</v>
      </c>
    </row>
    <row r="4211" spans="2:9" ht="15" customHeight="1" x14ac:dyDescent="0.25">
      <c r="B4211" s="55" t="s">
        <v>279</v>
      </c>
      <c r="C4211" s="46">
        <v>4199</v>
      </c>
      <c r="D4211" s="69" t="s">
        <v>29416</v>
      </c>
      <c r="E4211" s="51"/>
      <c r="F4211" s="114" t="str">
        <f>IF(INDEX(I.Facility.P1IDNumber,4199)="","",INDEX(I.Facility.P1IDNumber,4199))</f>
        <v/>
      </c>
      <c r="G4211" s="51"/>
      <c r="H4211" s="46" t="str">
        <f>IF(AND(I.Developer.P1=TRUE,I.Facility.P1FacilityCount&gt;=4199,F4211=""),"Incomplete","Complete")</f>
        <v>Complete</v>
      </c>
      <c r="I4211" s="48" t="s">
        <v>8576</v>
      </c>
    </row>
    <row r="4212" spans="2:9" ht="15" customHeight="1" x14ac:dyDescent="0.25">
      <c r="B4212" s="55" t="s">
        <v>279</v>
      </c>
      <c r="C4212" s="46">
        <v>4200</v>
      </c>
      <c r="D4212" s="69" t="s">
        <v>29416</v>
      </c>
      <c r="E4212" s="51"/>
      <c r="F4212" s="114" t="str">
        <f>IF(INDEX(I.Facility.P1IDNumber,4200)="","",INDEX(I.Facility.P1IDNumber,4200))</f>
        <v/>
      </c>
      <c r="G4212" s="51"/>
      <c r="H4212" s="46" t="str">
        <f>IF(AND(I.Developer.P1=TRUE,I.Facility.P1FacilityCount&gt;=4200,F4212=""),"Incomplete","Complete")</f>
        <v>Complete</v>
      </c>
      <c r="I4212" s="48" t="s">
        <v>8577</v>
      </c>
    </row>
    <row r="4213" spans="2:9" ht="15" customHeight="1" x14ac:dyDescent="0.25">
      <c r="B4213" s="55" t="s">
        <v>279</v>
      </c>
      <c r="C4213" s="46">
        <v>4201</v>
      </c>
      <c r="D4213" s="69" t="s">
        <v>29416</v>
      </c>
      <c r="E4213" s="51"/>
      <c r="F4213" s="114" t="str">
        <f>IF(INDEX(I.Facility.P1IDNumber,4201)="","",INDEX(I.Facility.P1IDNumber,4201))</f>
        <v/>
      </c>
      <c r="G4213" s="51"/>
      <c r="H4213" s="46" t="str">
        <f>IF(AND(I.Developer.P1=TRUE,I.Facility.P1FacilityCount&gt;=4201,F4213=""),"Incomplete","Complete")</f>
        <v>Complete</v>
      </c>
      <c r="I4213" s="48" t="s">
        <v>8578</v>
      </c>
    </row>
    <row r="4214" spans="2:9" ht="15" customHeight="1" x14ac:dyDescent="0.25">
      <c r="B4214" s="55" t="s">
        <v>279</v>
      </c>
      <c r="C4214" s="46">
        <v>4202</v>
      </c>
      <c r="D4214" s="69" t="s">
        <v>29416</v>
      </c>
      <c r="E4214" s="51"/>
      <c r="F4214" s="114" t="str">
        <f>IF(INDEX(I.Facility.P1IDNumber,4202)="","",INDEX(I.Facility.P1IDNumber,4202))</f>
        <v/>
      </c>
      <c r="G4214" s="51"/>
      <c r="H4214" s="46" t="str">
        <f>IF(AND(I.Developer.P1=TRUE,I.Facility.P1FacilityCount&gt;=4202,F4214=""),"Incomplete","Complete")</f>
        <v>Complete</v>
      </c>
      <c r="I4214" s="48" t="s">
        <v>8579</v>
      </c>
    </row>
    <row r="4215" spans="2:9" ht="15" customHeight="1" x14ac:dyDescent="0.25">
      <c r="B4215" s="55" t="s">
        <v>279</v>
      </c>
      <c r="C4215" s="46">
        <v>4203</v>
      </c>
      <c r="D4215" s="69" t="s">
        <v>29416</v>
      </c>
      <c r="E4215" s="51"/>
      <c r="F4215" s="114" t="str">
        <f>IF(INDEX(I.Facility.P1IDNumber,4203)="","",INDEX(I.Facility.P1IDNumber,4203))</f>
        <v/>
      </c>
      <c r="G4215" s="51"/>
      <c r="H4215" s="46" t="str">
        <f>IF(AND(I.Developer.P1=TRUE,I.Facility.P1FacilityCount&gt;=4203,F4215=""),"Incomplete","Complete")</f>
        <v>Complete</v>
      </c>
      <c r="I4215" s="48" t="s">
        <v>8580</v>
      </c>
    </row>
    <row r="4216" spans="2:9" ht="15" customHeight="1" x14ac:dyDescent="0.25">
      <c r="B4216" s="55" t="s">
        <v>279</v>
      </c>
      <c r="C4216" s="46">
        <v>4204</v>
      </c>
      <c r="D4216" s="69" t="s">
        <v>29416</v>
      </c>
      <c r="E4216" s="51"/>
      <c r="F4216" s="114" t="str">
        <f>IF(INDEX(I.Facility.P1IDNumber,4204)="","",INDEX(I.Facility.P1IDNumber,4204))</f>
        <v/>
      </c>
      <c r="G4216" s="51"/>
      <c r="H4216" s="46" t="str">
        <f>IF(AND(I.Developer.P1=TRUE,I.Facility.P1FacilityCount&gt;=4204,F4216=""),"Incomplete","Complete")</f>
        <v>Complete</v>
      </c>
      <c r="I4216" s="48" t="s">
        <v>8581</v>
      </c>
    </row>
    <row r="4217" spans="2:9" ht="15" customHeight="1" x14ac:dyDescent="0.25">
      <c r="B4217" s="55" t="s">
        <v>279</v>
      </c>
      <c r="C4217" s="46">
        <v>4205</v>
      </c>
      <c r="D4217" s="69" t="s">
        <v>29416</v>
      </c>
      <c r="E4217" s="51"/>
      <c r="F4217" s="114" t="str">
        <f>IF(INDEX(I.Facility.P1IDNumber,4205)="","",INDEX(I.Facility.P1IDNumber,4205))</f>
        <v/>
      </c>
      <c r="G4217" s="51"/>
      <c r="H4217" s="46" t="str">
        <f>IF(AND(I.Developer.P1=TRUE,I.Facility.P1FacilityCount&gt;=4205,F4217=""),"Incomplete","Complete")</f>
        <v>Complete</v>
      </c>
      <c r="I4217" s="48" t="s">
        <v>8582</v>
      </c>
    </row>
    <row r="4218" spans="2:9" ht="15" customHeight="1" x14ac:dyDescent="0.25">
      <c r="B4218" s="55" t="s">
        <v>279</v>
      </c>
      <c r="C4218" s="46">
        <v>4206</v>
      </c>
      <c r="D4218" s="69" t="s">
        <v>29416</v>
      </c>
      <c r="E4218" s="51"/>
      <c r="F4218" s="114" t="str">
        <f>IF(INDEX(I.Facility.P1IDNumber,4206)="","",INDEX(I.Facility.P1IDNumber,4206))</f>
        <v/>
      </c>
      <c r="G4218" s="51"/>
      <c r="H4218" s="46" t="str">
        <f>IF(AND(I.Developer.P1=TRUE,I.Facility.P1FacilityCount&gt;=4206,F4218=""),"Incomplete","Complete")</f>
        <v>Complete</v>
      </c>
      <c r="I4218" s="48" t="s">
        <v>8583</v>
      </c>
    </row>
    <row r="4219" spans="2:9" ht="15" customHeight="1" x14ac:dyDescent="0.25">
      <c r="B4219" s="55" t="s">
        <v>279</v>
      </c>
      <c r="C4219" s="46">
        <v>4207</v>
      </c>
      <c r="D4219" s="69" t="s">
        <v>29416</v>
      </c>
      <c r="E4219" s="51"/>
      <c r="F4219" s="114" t="str">
        <f>IF(INDEX(I.Facility.P1IDNumber,4207)="","",INDEX(I.Facility.P1IDNumber,4207))</f>
        <v/>
      </c>
      <c r="G4219" s="51"/>
      <c r="H4219" s="46" t="str">
        <f>IF(AND(I.Developer.P1=TRUE,I.Facility.P1FacilityCount&gt;=4207,F4219=""),"Incomplete","Complete")</f>
        <v>Complete</v>
      </c>
      <c r="I4219" s="48" t="s">
        <v>8584</v>
      </c>
    </row>
    <row r="4220" spans="2:9" ht="15" customHeight="1" x14ac:dyDescent="0.25">
      <c r="B4220" s="55" t="s">
        <v>279</v>
      </c>
      <c r="C4220" s="46">
        <v>4208</v>
      </c>
      <c r="D4220" s="69" t="s">
        <v>29416</v>
      </c>
      <c r="E4220" s="51"/>
      <c r="F4220" s="114" t="str">
        <f>IF(INDEX(I.Facility.P1IDNumber,4208)="","",INDEX(I.Facility.P1IDNumber,4208))</f>
        <v/>
      </c>
      <c r="G4220" s="51"/>
      <c r="H4220" s="46" t="str">
        <f>IF(AND(I.Developer.P1=TRUE,I.Facility.P1FacilityCount&gt;=4208,F4220=""),"Incomplete","Complete")</f>
        <v>Complete</v>
      </c>
      <c r="I4220" s="48" t="s">
        <v>8585</v>
      </c>
    </row>
    <row r="4221" spans="2:9" ht="15" customHeight="1" x14ac:dyDescent="0.25">
      <c r="B4221" s="55" t="s">
        <v>279</v>
      </c>
      <c r="C4221" s="46">
        <v>4209</v>
      </c>
      <c r="D4221" s="69" t="s">
        <v>29416</v>
      </c>
      <c r="E4221" s="51"/>
      <c r="F4221" s="114" t="str">
        <f>IF(INDEX(I.Facility.P1IDNumber,4209)="","",INDEX(I.Facility.P1IDNumber,4209))</f>
        <v/>
      </c>
      <c r="G4221" s="51"/>
      <c r="H4221" s="46" t="str">
        <f>IF(AND(I.Developer.P1=TRUE,I.Facility.P1FacilityCount&gt;=4209,F4221=""),"Incomplete","Complete")</f>
        <v>Complete</v>
      </c>
      <c r="I4221" s="48" t="s">
        <v>8586</v>
      </c>
    </row>
    <row r="4222" spans="2:9" ht="15" customHeight="1" x14ac:dyDescent="0.25">
      <c r="B4222" s="55" t="s">
        <v>279</v>
      </c>
      <c r="C4222" s="46">
        <v>4210</v>
      </c>
      <c r="D4222" s="69" t="s">
        <v>29416</v>
      </c>
      <c r="E4222" s="51"/>
      <c r="F4222" s="114" t="str">
        <f>IF(INDEX(I.Facility.P1IDNumber,4210)="","",INDEX(I.Facility.P1IDNumber,4210))</f>
        <v/>
      </c>
      <c r="G4222" s="51"/>
      <c r="H4222" s="46" t="str">
        <f>IF(AND(I.Developer.P1=TRUE,I.Facility.P1FacilityCount&gt;=4210,F4222=""),"Incomplete","Complete")</f>
        <v>Complete</v>
      </c>
      <c r="I4222" s="48" t="s">
        <v>8587</v>
      </c>
    </row>
    <row r="4223" spans="2:9" ht="15" customHeight="1" x14ac:dyDescent="0.25">
      <c r="B4223" s="55" t="s">
        <v>279</v>
      </c>
      <c r="C4223" s="46">
        <v>4211</v>
      </c>
      <c r="D4223" s="69" t="s">
        <v>29416</v>
      </c>
      <c r="E4223" s="51"/>
      <c r="F4223" s="114" t="str">
        <f>IF(INDEX(I.Facility.P1IDNumber,4211)="","",INDEX(I.Facility.P1IDNumber,4211))</f>
        <v/>
      </c>
      <c r="G4223" s="51"/>
      <c r="H4223" s="46" t="str">
        <f>IF(AND(I.Developer.P1=TRUE,I.Facility.P1FacilityCount&gt;=4211,F4223=""),"Incomplete","Complete")</f>
        <v>Complete</v>
      </c>
      <c r="I4223" s="48" t="s">
        <v>8588</v>
      </c>
    </row>
    <row r="4224" spans="2:9" ht="15" customHeight="1" x14ac:dyDescent="0.25">
      <c r="B4224" s="55" t="s">
        <v>279</v>
      </c>
      <c r="C4224" s="46">
        <v>4212</v>
      </c>
      <c r="D4224" s="69" t="s">
        <v>29416</v>
      </c>
      <c r="E4224" s="51"/>
      <c r="F4224" s="114" t="str">
        <f>IF(INDEX(I.Facility.P1IDNumber,4212)="","",INDEX(I.Facility.P1IDNumber,4212))</f>
        <v/>
      </c>
      <c r="G4224" s="51"/>
      <c r="H4224" s="46" t="str">
        <f>IF(AND(I.Developer.P1=TRUE,I.Facility.P1FacilityCount&gt;=4212,F4224=""),"Incomplete","Complete")</f>
        <v>Complete</v>
      </c>
      <c r="I4224" s="48" t="s">
        <v>8589</v>
      </c>
    </row>
    <row r="4225" spans="2:9" ht="15" customHeight="1" x14ac:dyDescent="0.25">
      <c r="B4225" s="55" t="s">
        <v>279</v>
      </c>
      <c r="C4225" s="46">
        <v>4213</v>
      </c>
      <c r="D4225" s="69" t="s">
        <v>29416</v>
      </c>
      <c r="E4225" s="51"/>
      <c r="F4225" s="114" t="str">
        <f>IF(INDEX(I.Facility.P1IDNumber,4213)="","",INDEX(I.Facility.P1IDNumber,4213))</f>
        <v/>
      </c>
      <c r="G4225" s="51"/>
      <c r="H4225" s="46" t="str">
        <f>IF(AND(I.Developer.P1=TRUE,I.Facility.P1FacilityCount&gt;=4213,F4225=""),"Incomplete","Complete")</f>
        <v>Complete</v>
      </c>
      <c r="I4225" s="48" t="s">
        <v>8590</v>
      </c>
    </row>
    <row r="4226" spans="2:9" ht="15" customHeight="1" x14ac:dyDescent="0.25">
      <c r="B4226" s="55" t="s">
        <v>279</v>
      </c>
      <c r="C4226" s="46">
        <v>4214</v>
      </c>
      <c r="D4226" s="69" t="s">
        <v>29416</v>
      </c>
      <c r="E4226" s="51"/>
      <c r="F4226" s="114" t="str">
        <f>IF(INDEX(I.Facility.P1IDNumber,4214)="","",INDEX(I.Facility.P1IDNumber,4214))</f>
        <v/>
      </c>
      <c r="G4226" s="51"/>
      <c r="H4226" s="46" t="str">
        <f>IF(AND(I.Developer.P1=TRUE,I.Facility.P1FacilityCount&gt;=4214,F4226=""),"Incomplete","Complete")</f>
        <v>Complete</v>
      </c>
      <c r="I4226" s="48" t="s">
        <v>8591</v>
      </c>
    </row>
    <row r="4227" spans="2:9" ht="15" customHeight="1" x14ac:dyDescent="0.25">
      <c r="B4227" s="55" t="s">
        <v>279</v>
      </c>
      <c r="C4227" s="46">
        <v>4215</v>
      </c>
      <c r="D4227" s="69" t="s">
        <v>29416</v>
      </c>
      <c r="E4227" s="51"/>
      <c r="F4227" s="114" t="str">
        <f>IF(INDEX(I.Facility.P1IDNumber,4215)="","",INDEX(I.Facility.P1IDNumber,4215))</f>
        <v/>
      </c>
      <c r="G4227" s="51"/>
      <c r="H4227" s="46" t="str">
        <f>IF(AND(I.Developer.P1=TRUE,I.Facility.P1FacilityCount&gt;=4215,F4227=""),"Incomplete","Complete")</f>
        <v>Complete</v>
      </c>
      <c r="I4227" s="48" t="s">
        <v>8592</v>
      </c>
    </row>
    <row r="4228" spans="2:9" ht="15" customHeight="1" x14ac:dyDescent="0.25">
      <c r="B4228" s="55" t="s">
        <v>279</v>
      </c>
      <c r="C4228" s="46">
        <v>4216</v>
      </c>
      <c r="D4228" s="69" t="s">
        <v>29416</v>
      </c>
      <c r="E4228" s="51"/>
      <c r="F4228" s="114" t="str">
        <f>IF(INDEX(I.Facility.P1IDNumber,4216)="","",INDEX(I.Facility.P1IDNumber,4216))</f>
        <v/>
      </c>
      <c r="G4228" s="51"/>
      <c r="H4228" s="46" t="str">
        <f>IF(AND(I.Developer.P1=TRUE,I.Facility.P1FacilityCount&gt;=4216,F4228=""),"Incomplete","Complete")</f>
        <v>Complete</v>
      </c>
      <c r="I4228" s="48" t="s">
        <v>8593</v>
      </c>
    </row>
    <row r="4229" spans="2:9" ht="15" customHeight="1" x14ac:dyDescent="0.25">
      <c r="B4229" s="55" t="s">
        <v>279</v>
      </c>
      <c r="C4229" s="46">
        <v>4217</v>
      </c>
      <c r="D4229" s="69" t="s">
        <v>29416</v>
      </c>
      <c r="E4229" s="51"/>
      <c r="F4229" s="114" t="str">
        <f>IF(INDEX(I.Facility.P1IDNumber,4217)="","",INDEX(I.Facility.P1IDNumber,4217))</f>
        <v/>
      </c>
      <c r="G4229" s="51"/>
      <c r="H4229" s="46" t="str">
        <f>IF(AND(I.Developer.P1=TRUE,I.Facility.P1FacilityCount&gt;=4217,F4229=""),"Incomplete","Complete")</f>
        <v>Complete</v>
      </c>
      <c r="I4229" s="48" t="s">
        <v>8594</v>
      </c>
    </row>
    <row r="4230" spans="2:9" ht="15" customHeight="1" x14ac:dyDescent="0.25">
      <c r="B4230" s="55" t="s">
        <v>279</v>
      </c>
      <c r="C4230" s="46">
        <v>4218</v>
      </c>
      <c r="D4230" s="69" t="s">
        <v>29416</v>
      </c>
      <c r="E4230" s="51"/>
      <c r="F4230" s="114" t="str">
        <f>IF(INDEX(I.Facility.P1IDNumber,4218)="","",INDEX(I.Facility.P1IDNumber,4218))</f>
        <v/>
      </c>
      <c r="G4230" s="51"/>
      <c r="H4230" s="46" t="str">
        <f>IF(AND(I.Developer.P1=TRUE,I.Facility.P1FacilityCount&gt;=4218,F4230=""),"Incomplete","Complete")</f>
        <v>Complete</v>
      </c>
      <c r="I4230" s="48" t="s">
        <v>8595</v>
      </c>
    </row>
    <row r="4231" spans="2:9" ht="15" customHeight="1" x14ac:dyDescent="0.25">
      <c r="B4231" s="55" t="s">
        <v>279</v>
      </c>
      <c r="C4231" s="46">
        <v>4219</v>
      </c>
      <c r="D4231" s="69" t="s">
        <v>29416</v>
      </c>
      <c r="E4231" s="51"/>
      <c r="F4231" s="114" t="str">
        <f>IF(INDEX(I.Facility.P1IDNumber,4219)="","",INDEX(I.Facility.P1IDNumber,4219))</f>
        <v/>
      </c>
      <c r="G4231" s="51"/>
      <c r="H4231" s="46" t="str">
        <f>IF(AND(I.Developer.P1=TRUE,I.Facility.P1FacilityCount&gt;=4219,F4231=""),"Incomplete","Complete")</f>
        <v>Complete</v>
      </c>
      <c r="I4231" s="48" t="s">
        <v>8596</v>
      </c>
    </row>
    <row r="4232" spans="2:9" ht="15" customHeight="1" x14ac:dyDescent="0.25">
      <c r="B4232" s="55" t="s">
        <v>279</v>
      </c>
      <c r="C4232" s="46">
        <v>4220</v>
      </c>
      <c r="D4232" s="69" t="s">
        <v>29416</v>
      </c>
      <c r="E4232" s="51"/>
      <c r="F4232" s="114" t="str">
        <f>IF(INDEX(I.Facility.P1IDNumber,4220)="","",INDEX(I.Facility.P1IDNumber,4220))</f>
        <v/>
      </c>
      <c r="G4232" s="51"/>
      <c r="H4232" s="46" t="str">
        <f>IF(AND(I.Developer.P1=TRUE,I.Facility.P1FacilityCount&gt;=4220,F4232=""),"Incomplete","Complete")</f>
        <v>Complete</v>
      </c>
      <c r="I4232" s="48" t="s">
        <v>8597</v>
      </c>
    </row>
    <row r="4233" spans="2:9" ht="15" customHeight="1" x14ac:dyDescent="0.25">
      <c r="B4233" s="55" t="s">
        <v>279</v>
      </c>
      <c r="C4233" s="46">
        <v>4221</v>
      </c>
      <c r="D4233" s="69" t="s">
        <v>29416</v>
      </c>
      <c r="E4233" s="51"/>
      <c r="F4233" s="114" t="str">
        <f>IF(INDEX(I.Facility.P1IDNumber,4221)="","",INDEX(I.Facility.P1IDNumber,4221))</f>
        <v/>
      </c>
      <c r="G4233" s="51"/>
      <c r="H4233" s="46" t="str">
        <f>IF(AND(I.Developer.P1=TRUE,I.Facility.P1FacilityCount&gt;=4221,F4233=""),"Incomplete","Complete")</f>
        <v>Complete</v>
      </c>
      <c r="I4233" s="48" t="s">
        <v>8598</v>
      </c>
    </row>
    <row r="4234" spans="2:9" ht="15" customHeight="1" x14ac:dyDescent="0.25">
      <c r="B4234" s="55" t="s">
        <v>279</v>
      </c>
      <c r="C4234" s="46">
        <v>4222</v>
      </c>
      <c r="D4234" s="69" t="s">
        <v>29416</v>
      </c>
      <c r="E4234" s="51"/>
      <c r="F4234" s="114" t="str">
        <f>IF(INDEX(I.Facility.P1IDNumber,4222)="","",INDEX(I.Facility.P1IDNumber,4222))</f>
        <v/>
      </c>
      <c r="G4234" s="51"/>
      <c r="H4234" s="46" t="str">
        <f>IF(AND(I.Developer.P1=TRUE,I.Facility.P1FacilityCount&gt;=4222,F4234=""),"Incomplete","Complete")</f>
        <v>Complete</v>
      </c>
      <c r="I4234" s="48" t="s">
        <v>8599</v>
      </c>
    </row>
    <row r="4235" spans="2:9" ht="15" customHeight="1" x14ac:dyDescent="0.25">
      <c r="B4235" s="55" t="s">
        <v>279</v>
      </c>
      <c r="C4235" s="46">
        <v>4223</v>
      </c>
      <c r="D4235" s="69" t="s">
        <v>29416</v>
      </c>
      <c r="E4235" s="51"/>
      <c r="F4235" s="114" t="str">
        <f>IF(INDEX(I.Facility.P1IDNumber,4223)="","",INDEX(I.Facility.P1IDNumber,4223))</f>
        <v/>
      </c>
      <c r="G4235" s="51"/>
      <c r="H4235" s="46" t="str">
        <f>IF(AND(I.Developer.P1=TRUE,I.Facility.P1FacilityCount&gt;=4223,F4235=""),"Incomplete","Complete")</f>
        <v>Complete</v>
      </c>
      <c r="I4235" s="48" t="s">
        <v>8600</v>
      </c>
    </row>
    <row r="4236" spans="2:9" ht="15" customHeight="1" x14ac:dyDescent="0.25">
      <c r="B4236" s="55" t="s">
        <v>279</v>
      </c>
      <c r="C4236" s="46">
        <v>4224</v>
      </c>
      <c r="D4236" s="69" t="s">
        <v>29416</v>
      </c>
      <c r="E4236" s="51"/>
      <c r="F4236" s="114" t="str">
        <f>IF(INDEX(I.Facility.P1IDNumber,4224)="","",INDEX(I.Facility.P1IDNumber,4224))</f>
        <v/>
      </c>
      <c r="G4236" s="51"/>
      <c r="H4236" s="46" t="str">
        <f>IF(AND(I.Developer.P1=TRUE,I.Facility.P1FacilityCount&gt;=4224,F4236=""),"Incomplete","Complete")</f>
        <v>Complete</v>
      </c>
      <c r="I4236" s="48" t="s">
        <v>8601</v>
      </c>
    </row>
    <row r="4237" spans="2:9" ht="15" customHeight="1" x14ac:dyDescent="0.25">
      <c r="B4237" s="55" t="s">
        <v>279</v>
      </c>
      <c r="C4237" s="46">
        <v>4225</v>
      </c>
      <c r="D4237" s="69" t="s">
        <v>29416</v>
      </c>
      <c r="E4237" s="51"/>
      <c r="F4237" s="114" t="str">
        <f>IF(INDEX(I.Facility.P1IDNumber,4225)="","",INDEX(I.Facility.P1IDNumber,4225))</f>
        <v/>
      </c>
      <c r="G4237" s="51"/>
      <c r="H4237" s="46" t="str">
        <f>IF(AND(I.Developer.P1=TRUE,I.Facility.P1FacilityCount&gt;=4225,F4237=""),"Incomplete","Complete")</f>
        <v>Complete</v>
      </c>
      <c r="I4237" s="48" t="s">
        <v>8602</v>
      </c>
    </row>
    <row r="4238" spans="2:9" ht="15" customHeight="1" x14ac:dyDescent="0.25">
      <c r="B4238" s="55" t="s">
        <v>279</v>
      </c>
      <c r="C4238" s="46">
        <v>4226</v>
      </c>
      <c r="D4238" s="69" t="s">
        <v>29416</v>
      </c>
      <c r="E4238" s="51"/>
      <c r="F4238" s="114" t="str">
        <f>IF(INDEX(I.Facility.P1IDNumber,4226)="","",INDEX(I.Facility.P1IDNumber,4226))</f>
        <v/>
      </c>
      <c r="G4238" s="51"/>
      <c r="H4238" s="46" t="str">
        <f>IF(AND(I.Developer.P1=TRUE,I.Facility.P1FacilityCount&gt;=4226,F4238=""),"Incomplete","Complete")</f>
        <v>Complete</v>
      </c>
      <c r="I4238" s="48" t="s">
        <v>8603</v>
      </c>
    </row>
    <row r="4239" spans="2:9" ht="15" customHeight="1" x14ac:dyDescent="0.25">
      <c r="B4239" s="55" t="s">
        <v>279</v>
      </c>
      <c r="C4239" s="46">
        <v>4227</v>
      </c>
      <c r="D4239" s="69" t="s">
        <v>29416</v>
      </c>
      <c r="E4239" s="51"/>
      <c r="F4239" s="114" t="str">
        <f>IF(INDEX(I.Facility.P1IDNumber,4227)="","",INDEX(I.Facility.P1IDNumber,4227))</f>
        <v/>
      </c>
      <c r="G4239" s="51"/>
      <c r="H4239" s="46" t="str">
        <f>IF(AND(I.Developer.P1=TRUE,I.Facility.P1FacilityCount&gt;=4227,F4239=""),"Incomplete","Complete")</f>
        <v>Complete</v>
      </c>
      <c r="I4239" s="48" t="s">
        <v>8604</v>
      </c>
    </row>
    <row r="4240" spans="2:9" ht="15" customHeight="1" x14ac:dyDescent="0.25">
      <c r="B4240" s="55" t="s">
        <v>279</v>
      </c>
      <c r="C4240" s="46">
        <v>4228</v>
      </c>
      <c r="D4240" s="69" t="s">
        <v>29416</v>
      </c>
      <c r="E4240" s="51"/>
      <c r="F4240" s="114" t="str">
        <f>IF(INDEX(I.Facility.P1IDNumber,4228)="","",INDEX(I.Facility.P1IDNumber,4228))</f>
        <v/>
      </c>
      <c r="G4240" s="51"/>
      <c r="H4240" s="46" t="str">
        <f>IF(AND(I.Developer.P1=TRUE,I.Facility.P1FacilityCount&gt;=4228,F4240=""),"Incomplete","Complete")</f>
        <v>Complete</v>
      </c>
      <c r="I4240" s="48" t="s">
        <v>8605</v>
      </c>
    </row>
    <row r="4241" spans="2:9" ht="15" customHeight="1" x14ac:dyDescent="0.25">
      <c r="B4241" s="55" t="s">
        <v>279</v>
      </c>
      <c r="C4241" s="46">
        <v>4229</v>
      </c>
      <c r="D4241" s="69" t="s">
        <v>29416</v>
      </c>
      <c r="E4241" s="51"/>
      <c r="F4241" s="114" t="str">
        <f>IF(INDEX(I.Facility.P1IDNumber,4229)="","",INDEX(I.Facility.P1IDNumber,4229))</f>
        <v/>
      </c>
      <c r="G4241" s="51"/>
      <c r="H4241" s="46" t="str">
        <f>IF(AND(I.Developer.P1=TRUE,I.Facility.P1FacilityCount&gt;=4229,F4241=""),"Incomplete","Complete")</f>
        <v>Complete</v>
      </c>
      <c r="I4241" s="48" t="s">
        <v>8606</v>
      </c>
    </row>
    <row r="4242" spans="2:9" ht="15" customHeight="1" x14ac:dyDescent="0.25">
      <c r="B4242" s="55" t="s">
        <v>279</v>
      </c>
      <c r="C4242" s="46">
        <v>4230</v>
      </c>
      <c r="D4242" s="69" t="s">
        <v>29416</v>
      </c>
      <c r="E4242" s="51"/>
      <c r="F4242" s="114" t="str">
        <f>IF(INDEX(I.Facility.P1IDNumber,4230)="","",INDEX(I.Facility.P1IDNumber,4230))</f>
        <v/>
      </c>
      <c r="G4242" s="51"/>
      <c r="H4242" s="46" t="str">
        <f>IF(AND(I.Developer.P1=TRUE,I.Facility.P1FacilityCount&gt;=4230,F4242=""),"Incomplete","Complete")</f>
        <v>Complete</v>
      </c>
      <c r="I4242" s="48" t="s">
        <v>8607</v>
      </c>
    </row>
    <row r="4243" spans="2:9" ht="15" customHeight="1" x14ac:dyDescent="0.25">
      <c r="B4243" s="55" t="s">
        <v>279</v>
      </c>
      <c r="C4243" s="46">
        <v>4231</v>
      </c>
      <c r="D4243" s="69" t="s">
        <v>29416</v>
      </c>
      <c r="E4243" s="51"/>
      <c r="F4243" s="114" t="str">
        <f>IF(INDEX(I.Facility.P1IDNumber,4231)="","",INDEX(I.Facility.P1IDNumber,4231))</f>
        <v/>
      </c>
      <c r="G4243" s="51"/>
      <c r="H4243" s="46" t="str">
        <f>IF(AND(I.Developer.P1=TRUE,I.Facility.P1FacilityCount&gt;=4231,F4243=""),"Incomplete","Complete")</f>
        <v>Complete</v>
      </c>
      <c r="I4243" s="48" t="s">
        <v>8608</v>
      </c>
    </row>
    <row r="4244" spans="2:9" ht="15" customHeight="1" x14ac:dyDescent="0.25">
      <c r="B4244" s="55" t="s">
        <v>279</v>
      </c>
      <c r="C4244" s="46">
        <v>4232</v>
      </c>
      <c r="D4244" s="69" t="s">
        <v>29416</v>
      </c>
      <c r="E4244" s="51"/>
      <c r="F4244" s="114" t="str">
        <f>IF(INDEX(I.Facility.P1IDNumber,4232)="","",INDEX(I.Facility.P1IDNumber,4232))</f>
        <v/>
      </c>
      <c r="G4244" s="51"/>
      <c r="H4244" s="46" t="str">
        <f>IF(AND(I.Developer.P1=TRUE,I.Facility.P1FacilityCount&gt;=4232,F4244=""),"Incomplete","Complete")</f>
        <v>Complete</v>
      </c>
      <c r="I4244" s="48" t="s">
        <v>8609</v>
      </c>
    </row>
    <row r="4245" spans="2:9" ht="15" customHeight="1" x14ac:dyDescent="0.25">
      <c r="B4245" s="55" t="s">
        <v>279</v>
      </c>
      <c r="C4245" s="46">
        <v>4233</v>
      </c>
      <c r="D4245" s="69" t="s">
        <v>29416</v>
      </c>
      <c r="E4245" s="51"/>
      <c r="F4245" s="114" t="str">
        <f>IF(INDEX(I.Facility.P1IDNumber,4233)="","",INDEX(I.Facility.P1IDNumber,4233))</f>
        <v/>
      </c>
      <c r="G4245" s="51"/>
      <c r="H4245" s="46" t="str">
        <f>IF(AND(I.Developer.P1=TRUE,I.Facility.P1FacilityCount&gt;=4233,F4245=""),"Incomplete","Complete")</f>
        <v>Complete</v>
      </c>
      <c r="I4245" s="48" t="s">
        <v>8610</v>
      </c>
    </row>
    <row r="4246" spans="2:9" ht="15" customHeight="1" x14ac:dyDescent="0.25">
      <c r="B4246" s="55" t="s">
        <v>279</v>
      </c>
      <c r="C4246" s="46">
        <v>4234</v>
      </c>
      <c r="D4246" s="69" t="s">
        <v>29416</v>
      </c>
      <c r="E4246" s="51"/>
      <c r="F4246" s="114" t="str">
        <f>IF(INDEX(I.Facility.P1IDNumber,4234)="","",INDEX(I.Facility.P1IDNumber,4234))</f>
        <v/>
      </c>
      <c r="G4246" s="51"/>
      <c r="H4246" s="46" t="str">
        <f>IF(AND(I.Developer.P1=TRUE,I.Facility.P1FacilityCount&gt;=4234,F4246=""),"Incomplete","Complete")</f>
        <v>Complete</v>
      </c>
      <c r="I4246" s="48" t="s">
        <v>8611</v>
      </c>
    </row>
    <row r="4247" spans="2:9" ht="15" customHeight="1" x14ac:dyDescent="0.25">
      <c r="B4247" s="55" t="s">
        <v>279</v>
      </c>
      <c r="C4247" s="46">
        <v>4235</v>
      </c>
      <c r="D4247" s="69" t="s">
        <v>29416</v>
      </c>
      <c r="E4247" s="51"/>
      <c r="F4247" s="114" t="str">
        <f>IF(INDEX(I.Facility.P1IDNumber,4235)="","",INDEX(I.Facility.P1IDNumber,4235))</f>
        <v/>
      </c>
      <c r="G4247" s="51"/>
      <c r="H4247" s="46" t="str">
        <f>IF(AND(I.Developer.P1=TRUE,I.Facility.P1FacilityCount&gt;=4235,F4247=""),"Incomplete","Complete")</f>
        <v>Complete</v>
      </c>
      <c r="I4247" s="48" t="s">
        <v>8612</v>
      </c>
    </row>
    <row r="4248" spans="2:9" ht="15" customHeight="1" x14ac:dyDescent="0.25">
      <c r="B4248" s="55" t="s">
        <v>279</v>
      </c>
      <c r="C4248" s="46">
        <v>4236</v>
      </c>
      <c r="D4248" s="69" t="s">
        <v>29416</v>
      </c>
      <c r="E4248" s="51"/>
      <c r="F4248" s="114" t="str">
        <f>IF(INDEX(I.Facility.P1IDNumber,4236)="","",INDEX(I.Facility.P1IDNumber,4236))</f>
        <v/>
      </c>
      <c r="G4248" s="51"/>
      <c r="H4248" s="46" t="str">
        <f>IF(AND(I.Developer.P1=TRUE,I.Facility.P1FacilityCount&gt;=4236,F4248=""),"Incomplete","Complete")</f>
        <v>Complete</v>
      </c>
      <c r="I4248" s="48" t="s">
        <v>8613</v>
      </c>
    </row>
    <row r="4249" spans="2:9" ht="15" customHeight="1" x14ac:dyDescent="0.25">
      <c r="B4249" s="55" t="s">
        <v>279</v>
      </c>
      <c r="C4249" s="46">
        <v>4237</v>
      </c>
      <c r="D4249" s="69" t="s">
        <v>29416</v>
      </c>
      <c r="E4249" s="51"/>
      <c r="F4249" s="114" t="str">
        <f>IF(INDEX(I.Facility.P1IDNumber,4237)="","",INDEX(I.Facility.P1IDNumber,4237))</f>
        <v/>
      </c>
      <c r="G4249" s="51"/>
      <c r="H4249" s="46" t="str">
        <f>IF(AND(I.Developer.P1=TRUE,I.Facility.P1FacilityCount&gt;=4237,F4249=""),"Incomplete","Complete")</f>
        <v>Complete</v>
      </c>
      <c r="I4249" s="48" t="s">
        <v>8614</v>
      </c>
    </row>
    <row r="4250" spans="2:9" ht="15" customHeight="1" x14ac:dyDescent="0.25">
      <c r="B4250" s="55" t="s">
        <v>279</v>
      </c>
      <c r="C4250" s="46">
        <v>4238</v>
      </c>
      <c r="D4250" s="69" t="s">
        <v>29416</v>
      </c>
      <c r="E4250" s="51"/>
      <c r="F4250" s="114" t="str">
        <f>IF(INDEX(I.Facility.P1IDNumber,4238)="","",INDEX(I.Facility.P1IDNumber,4238))</f>
        <v/>
      </c>
      <c r="G4250" s="51"/>
      <c r="H4250" s="46" t="str">
        <f>IF(AND(I.Developer.P1=TRUE,I.Facility.P1FacilityCount&gt;=4238,F4250=""),"Incomplete","Complete")</f>
        <v>Complete</v>
      </c>
      <c r="I4250" s="48" t="s">
        <v>8615</v>
      </c>
    </row>
    <row r="4251" spans="2:9" ht="15" customHeight="1" x14ac:dyDescent="0.25">
      <c r="B4251" s="55" t="s">
        <v>279</v>
      </c>
      <c r="C4251" s="46">
        <v>4239</v>
      </c>
      <c r="D4251" s="69" t="s">
        <v>29416</v>
      </c>
      <c r="E4251" s="51"/>
      <c r="F4251" s="114" t="str">
        <f>IF(INDEX(I.Facility.P1IDNumber,4239)="","",INDEX(I.Facility.P1IDNumber,4239))</f>
        <v/>
      </c>
      <c r="G4251" s="51"/>
      <c r="H4251" s="46" t="str">
        <f>IF(AND(I.Developer.P1=TRUE,I.Facility.P1FacilityCount&gt;=4239,F4251=""),"Incomplete","Complete")</f>
        <v>Complete</v>
      </c>
      <c r="I4251" s="48" t="s">
        <v>8616</v>
      </c>
    </row>
    <row r="4252" spans="2:9" ht="15" customHeight="1" x14ac:dyDescent="0.25">
      <c r="B4252" s="55" t="s">
        <v>279</v>
      </c>
      <c r="C4252" s="46">
        <v>4240</v>
      </c>
      <c r="D4252" s="69" t="s">
        <v>29416</v>
      </c>
      <c r="E4252" s="51"/>
      <c r="F4252" s="114" t="str">
        <f>IF(INDEX(I.Facility.P1IDNumber,4240)="","",INDEX(I.Facility.P1IDNumber,4240))</f>
        <v/>
      </c>
      <c r="G4252" s="51"/>
      <c r="H4252" s="46" t="str">
        <f>IF(AND(I.Developer.P1=TRUE,I.Facility.P1FacilityCount&gt;=4240,F4252=""),"Incomplete","Complete")</f>
        <v>Complete</v>
      </c>
      <c r="I4252" s="48" t="s">
        <v>8617</v>
      </c>
    </row>
    <row r="4253" spans="2:9" ht="15" customHeight="1" x14ac:dyDescent="0.25">
      <c r="B4253" s="55" t="s">
        <v>279</v>
      </c>
      <c r="C4253" s="46">
        <v>4241</v>
      </c>
      <c r="D4253" s="69" t="s">
        <v>29416</v>
      </c>
      <c r="E4253" s="51"/>
      <c r="F4253" s="114" t="str">
        <f>IF(INDEX(I.Facility.P1IDNumber,4241)="","",INDEX(I.Facility.P1IDNumber,4241))</f>
        <v/>
      </c>
      <c r="G4253" s="51"/>
      <c r="H4253" s="46" t="str">
        <f>IF(AND(I.Developer.P1=TRUE,I.Facility.P1FacilityCount&gt;=4241,F4253=""),"Incomplete","Complete")</f>
        <v>Complete</v>
      </c>
      <c r="I4253" s="48" t="s">
        <v>8618</v>
      </c>
    </row>
    <row r="4254" spans="2:9" ht="15" customHeight="1" x14ac:dyDescent="0.25">
      <c r="B4254" s="55" t="s">
        <v>279</v>
      </c>
      <c r="C4254" s="46">
        <v>4242</v>
      </c>
      <c r="D4254" s="69" t="s">
        <v>29416</v>
      </c>
      <c r="E4254" s="51"/>
      <c r="F4254" s="114" t="str">
        <f>IF(INDEX(I.Facility.P1IDNumber,4242)="","",INDEX(I.Facility.P1IDNumber,4242))</f>
        <v/>
      </c>
      <c r="G4254" s="51"/>
      <c r="H4254" s="46" t="str">
        <f>IF(AND(I.Developer.P1=TRUE,I.Facility.P1FacilityCount&gt;=4242,F4254=""),"Incomplete","Complete")</f>
        <v>Complete</v>
      </c>
      <c r="I4254" s="48" t="s">
        <v>8619</v>
      </c>
    </row>
    <row r="4255" spans="2:9" ht="15" customHeight="1" x14ac:dyDescent="0.25">
      <c r="B4255" s="55" t="s">
        <v>279</v>
      </c>
      <c r="C4255" s="46">
        <v>4243</v>
      </c>
      <c r="D4255" s="69" t="s">
        <v>29416</v>
      </c>
      <c r="E4255" s="51"/>
      <c r="F4255" s="114" t="str">
        <f>IF(INDEX(I.Facility.P1IDNumber,4243)="","",INDEX(I.Facility.P1IDNumber,4243))</f>
        <v/>
      </c>
      <c r="G4255" s="51"/>
      <c r="H4255" s="46" t="str">
        <f>IF(AND(I.Developer.P1=TRUE,I.Facility.P1FacilityCount&gt;=4243,F4255=""),"Incomplete","Complete")</f>
        <v>Complete</v>
      </c>
      <c r="I4255" s="48" t="s">
        <v>8620</v>
      </c>
    </row>
    <row r="4256" spans="2:9" ht="15" customHeight="1" x14ac:dyDescent="0.25">
      <c r="B4256" s="55" t="s">
        <v>279</v>
      </c>
      <c r="C4256" s="46">
        <v>4244</v>
      </c>
      <c r="D4256" s="69" t="s">
        <v>29416</v>
      </c>
      <c r="E4256" s="51"/>
      <c r="F4256" s="114" t="str">
        <f>IF(INDEX(I.Facility.P1IDNumber,4244)="","",INDEX(I.Facility.P1IDNumber,4244))</f>
        <v/>
      </c>
      <c r="G4256" s="51"/>
      <c r="H4256" s="46" t="str">
        <f>IF(AND(I.Developer.P1=TRUE,I.Facility.P1FacilityCount&gt;=4244,F4256=""),"Incomplete","Complete")</f>
        <v>Complete</v>
      </c>
      <c r="I4256" s="48" t="s">
        <v>8621</v>
      </c>
    </row>
    <row r="4257" spans="2:9" ht="15" customHeight="1" x14ac:dyDescent="0.25">
      <c r="B4257" s="55" t="s">
        <v>279</v>
      </c>
      <c r="C4257" s="46">
        <v>4245</v>
      </c>
      <c r="D4257" s="69" t="s">
        <v>29416</v>
      </c>
      <c r="E4257" s="51"/>
      <c r="F4257" s="114" t="str">
        <f>IF(INDEX(I.Facility.P1IDNumber,4245)="","",INDEX(I.Facility.P1IDNumber,4245))</f>
        <v/>
      </c>
      <c r="G4257" s="51"/>
      <c r="H4257" s="46" t="str">
        <f>IF(AND(I.Developer.P1=TRUE,I.Facility.P1FacilityCount&gt;=4245,F4257=""),"Incomplete","Complete")</f>
        <v>Complete</v>
      </c>
      <c r="I4257" s="48" t="s">
        <v>8622</v>
      </c>
    </row>
    <row r="4258" spans="2:9" ht="15" customHeight="1" x14ac:dyDescent="0.25">
      <c r="B4258" s="55" t="s">
        <v>279</v>
      </c>
      <c r="C4258" s="46">
        <v>4246</v>
      </c>
      <c r="D4258" s="69" t="s">
        <v>29416</v>
      </c>
      <c r="E4258" s="51"/>
      <c r="F4258" s="114" t="str">
        <f>IF(INDEX(I.Facility.P1IDNumber,4246)="","",INDEX(I.Facility.P1IDNumber,4246))</f>
        <v/>
      </c>
      <c r="G4258" s="51"/>
      <c r="H4258" s="46" t="str">
        <f>IF(AND(I.Developer.P1=TRUE,I.Facility.P1FacilityCount&gt;=4246,F4258=""),"Incomplete","Complete")</f>
        <v>Complete</v>
      </c>
      <c r="I4258" s="48" t="s">
        <v>8623</v>
      </c>
    </row>
    <row r="4259" spans="2:9" ht="15" customHeight="1" x14ac:dyDescent="0.25">
      <c r="B4259" s="55" t="s">
        <v>279</v>
      </c>
      <c r="C4259" s="46">
        <v>4247</v>
      </c>
      <c r="D4259" s="69" t="s">
        <v>29416</v>
      </c>
      <c r="E4259" s="51"/>
      <c r="F4259" s="114" t="str">
        <f>IF(INDEX(I.Facility.P1IDNumber,4247)="","",INDEX(I.Facility.P1IDNumber,4247))</f>
        <v/>
      </c>
      <c r="G4259" s="51"/>
      <c r="H4259" s="46" t="str">
        <f>IF(AND(I.Developer.P1=TRUE,I.Facility.P1FacilityCount&gt;=4247,F4259=""),"Incomplete","Complete")</f>
        <v>Complete</v>
      </c>
      <c r="I4259" s="48" t="s">
        <v>8624</v>
      </c>
    </row>
    <row r="4260" spans="2:9" ht="15" customHeight="1" x14ac:dyDescent="0.25">
      <c r="B4260" s="55" t="s">
        <v>279</v>
      </c>
      <c r="C4260" s="46">
        <v>4248</v>
      </c>
      <c r="D4260" s="69" t="s">
        <v>29416</v>
      </c>
      <c r="E4260" s="51"/>
      <c r="F4260" s="114" t="str">
        <f>IF(INDEX(I.Facility.P1IDNumber,4248)="","",INDEX(I.Facility.P1IDNumber,4248))</f>
        <v/>
      </c>
      <c r="G4260" s="51"/>
      <c r="H4260" s="46" t="str">
        <f>IF(AND(I.Developer.P1=TRUE,I.Facility.P1FacilityCount&gt;=4248,F4260=""),"Incomplete","Complete")</f>
        <v>Complete</v>
      </c>
      <c r="I4260" s="48" t="s">
        <v>8625</v>
      </c>
    </row>
    <row r="4261" spans="2:9" ht="15" customHeight="1" x14ac:dyDescent="0.25">
      <c r="B4261" s="55" t="s">
        <v>279</v>
      </c>
      <c r="C4261" s="46">
        <v>4249</v>
      </c>
      <c r="D4261" s="69" t="s">
        <v>29416</v>
      </c>
      <c r="E4261" s="51"/>
      <c r="F4261" s="114" t="str">
        <f>IF(INDEX(I.Facility.P1IDNumber,4249)="","",INDEX(I.Facility.P1IDNumber,4249))</f>
        <v/>
      </c>
      <c r="G4261" s="51"/>
      <c r="H4261" s="46" t="str">
        <f>IF(AND(I.Developer.P1=TRUE,I.Facility.P1FacilityCount&gt;=4249,F4261=""),"Incomplete","Complete")</f>
        <v>Complete</v>
      </c>
      <c r="I4261" s="48" t="s">
        <v>8626</v>
      </c>
    </row>
    <row r="4262" spans="2:9" ht="15" customHeight="1" x14ac:dyDescent="0.25">
      <c r="B4262" s="55" t="s">
        <v>279</v>
      </c>
      <c r="C4262" s="46">
        <v>4250</v>
      </c>
      <c r="D4262" s="69" t="s">
        <v>29416</v>
      </c>
      <c r="E4262" s="51"/>
      <c r="F4262" s="114" t="str">
        <f>IF(INDEX(I.Facility.P1IDNumber,4250)="","",INDEX(I.Facility.P1IDNumber,4250))</f>
        <v/>
      </c>
      <c r="G4262" s="51"/>
      <c r="H4262" s="46" t="str">
        <f>IF(AND(I.Developer.P1=TRUE,I.Facility.P1FacilityCount&gt;=4250,F4262=""),"Incomplete","Complete")</f>
        <v>Complete</v>
      </c>
      <c r="I4262" s="48" t="s">
        <v>8627</v>
      </c>
    </row>
    <row r="4263" spans="2:9" ht="15" customHeight="1" x14ac:dyDescent="0.25">
      <c r="B4263" s="55" t="s">
        <v>279</v>
      </c>
      <c r="C4263" s="46">
        <v>4251</v>
      </c>
      <c r="D4263" s="69" t="s">
        <v>29416</v>
      </c>
      <c r="E4263" s="51"/>
      <c r="F4263" s="114" t="str">
        <f>IF(INDEX(I.Facility.P1IDNumber,4251)="","",INDEX(I.Facility.P1IDNumber,4251))</f>
        <v/>
      </c>
      <c r="G4263" s="51"/>
      <c r="H4263" s="46" t="str">
        <f>IF(AND(I.Developer.P1=TRUE,I.Facility.P1FacilityCount&gt;=4251,F4263=""),"Incomplete","Complete")</f>
        <v>Complete</v>
      </c>
      <c r="I4263" s="48" t="s">
        <v>8628</v>
      </c>
    </row>
    <row r="4264" spans="2:9" ht="15" customHeight="1" x14ac:dyDescent="0.25">
      <c r="B4264" s="55" t="s">
        <v>279</v>
      </c>
      <c r="C4264" s="46">
        <v>4252</v>
      </c>
      <c r="D4264" s="69" t="s">
        <v>29416</v>
      </c>
      <c r="E4264" s="51"/>
      <c r="F4264" s="114" t="str">
        <f>IF(INDEX(I.Facility.P1IDNumber,4252)="","",INDEX(I.Facility.P1IDNumber,4252))</f>
        <v/>
      </c>
      <c r="G4264" s="51"/>
      <c r="H4264" s="46" t="str">
        <f>IF(AND(I.Developer.P1=TRUE,I.Facility.P1FacilityCount&gt;=4252,F4264=""),"Incomplete","Complete")</f>
        <v>Complete</v>
      </c>
      <c r="I4264" s="48" t="s">
        <v>8629</v>
      </c>
    </row>
    <row r="4265" spans="2:9" ht="15" customHeight="1" x14ac:dyDescent="0.25">
      <c r="B4265" s="55" t="s">
        <v>279</v>
      </c>
      <c r="C4265" s="46">
        <v>4253</v>
      </c>
      <c r="D4265" s="69" t="s">
        <v>29416</v>
      </c>
      <c r="E4265" s="51"/>
      <c r="F4265" s="114" t="str">
        <f>IF(INDEX(I.Facility.P1IDNumber,4253)="","",INDEX(I.Facility.P1IDNumber,4253))</f>
        <v/>
      </c>
      <c r="G4265" s="51"/>
      <c r="H4265" s="46" t="str">
        <f>IF(AND(I.Developer.P1=TRUE,I.Facility.P1FacilityCount&gt;=4253,F4265=""),"Incomplete","Complete")</f>
        <v>Complete</v>
      </c>
      <c r="I4265" s="48" t="s">
        <v>8630</v>
      </c>
    </row>
    <row r="4266" spans="2:9" ht="15" customHeight="1" x14ac:dyDescent="0.25">
      <c r="B4266" s="55" t="s">
        <v>279</v>
      </c>
      <c r="C4266" s="46">
        <v>4254</v>
      </c>
      <c r="D4266" s="69" t="s">
        <v>29416</v>
      </c>
      <c r="E4266" s="51"/>
      <c r="F4266" s="114" t="str">
        <f>IF(INDEX(I.Facility.P1IDNumber,4254)="","",INDEX(I.Facility.P1IDNumber,4254))</f>
        <v/>
      </c>
      <c r="G4266" s="51"/>
      <c r="H4266" s="46" t="str">
        <f>IF(AND(I.Developer.P1=TRUE,I.Facility.P1FacilityCount&gt;=4254,F4266=""),"Incomplete","Complete")</f>
        <v>Complete</v>
      </c>
      <c r="I4266" s="48" t="s">
        <v>8631</v>
      </c>
    </row>
    <row r="4267" spans="2:9" ht="15" customHeight="1" x14ac:dyDescent="0.25">
      <c r="B4267" s="55" t="s">
        <v>279</v>
      </c>
      <c r="C4267" s="46">
        <v>4255</v>
      </c>
      <c r="D4267" s="69" t="s">
        <v>29416</v>
      </c>
      <c r="E4267" s="51"/>
      <c r="F4267" s="114" t="str">
        <f>IF(INDEX(I.Facility.P1IDNumber,4255)="","",INDEX(I.Facility.P1IDNumber,4255))</f>
        <v/>
      </c>
      <c r="G4267" s="51"/>
      <c r="H4267" s="46" t="str">
        <f>IF(AND(I.Developer.P1=TRUE,I.Facility.P1FacilityCount&gt;=4255,F4267=""),"Incomplete","Complete")</f>
        <v>Complete</v>
      </c>
      <c r="I4267" s="48" t="s">
        <v>8632</v>
      </c>
    </row>
    <row r="4268" spans="2:9" ht="15" customHeight="1" x14ac:dyDescent="0.25">
      <c r="B4268" s="55" t="s">
        <v>279</v>
      </c>
      <c r="C4268" s="46">
        <v>4256</v>
      </c>
      <c r="D4268" s="69" t="s">
        <v>29416</v>
      </c>
      <c r="E4268" s="51"/>
      <c r="F4268" s="114" t="str">
        <f>IF(INDEX(I.Facility.P1IDNumber,4256)="","",INDEX(I.Facility.P1IDNumber,4256))</f>
        <v/>
      </c>
      <c r="G4268" s="51"/>
      <c r="H4268" s="46" t="str">
        <f>IF(AND(I.Developer.P1=TRUE,I.Facility.P1FacilityCount&gt;=4256,F4268=""),"Incomplete","Complete")</f>
        <v>Complete</v>
      </c>
      <c r="I4268" s="48" t="s">
        <v>8633</v>
      </c>
    </row>
    <row r="4269" spans="2:9" ht="15" customHeight="1" x14ac:dyDescent="0.25">
      <c r="B4269" s="55" t="s">
        <v>279</v>
      </c>
      <c r="C4269" s="46">
        <v>4257</v>
      </c>
      <c r="D4269" s="69" t="s">
        <v>29416</v>
      </c>
      <c r="E4269" s="51"/>
      <c r="F4269" s="114" t="str">
        <f>IF(INDEX(I.Facility.P1IDNumber,4257)="","",INDEX(I.Facility.P1IDNumber,4257))</f>
        <v/>
      </c>
      <c r="G4269" s="51"/>
      <c r="H4269" s="46" t="str">
        <f>IF(AND(I.Developer.P1=TRUE,I.Facility.P1FacilityCount&gt;=4257,F4269=""),"Incomplete","Complete")</f>
        <v>Complete</v>
      </c>
      <c r="I4269" s="48" t="s">
        <v>8634</v>
      </c>
    </row>
    <row r="4270" spans="2:9" ht="15" customHeight="1" x14ac:dyDescent="0.25">
      <c r="B4270" s="55" t="s">
        <v>279</v>
      </c>
      <c r="C4270" s="46">
        <v>4258</v>
      </c>
      <c r="D4270" s="69" t="s">
        <v>29416</v>
      </c>
      <c r="E4270" s="51"/>
      <c r="F4270" s="114" t="str">
        <f>IF(INDEX(I.Facility.P1IDNumber,4258)="","",INDEX(I.Facility.P1IDNumber,4258))</f>
        <v/>
      </c>
      <c r="G4270" s="51"/>
      <c r="H4270" s="46" t="str">
        <f>IF(AND(I.Developer.P1=TRUE,I.Facility.P1FacilityCount&gt;=4258,F4270=""),"Incomplete","Complete")</f>
        <v>Complete</v>
      </c>
      <c r="I4270" s="48" t="s">
        <v>8635</v>
      </c>
    </row>
    <row r="4271" spans="2:9" ht="15" customHeight="1" x14ac:dyDescent="0.25">
      <c r="B4271" s="55" t="s">
        <v>279</v>
      </c>
      <c r="C4271" s="46">
        <v>4259</v>
      </c>
      <c r="D4271" s="69" t="s">
        <v>29416</v>
      </c>
      <c r="E4271" s="51"/>
      <c r="F4271" s="114" t="str">
        <f>IF(INDEX(I.Facility.P1IDNumber,4259)="","",INDEX(I.Facility.P1IDNumber,4259))</f>
        <v/>
      </c>
      <c r="G4271" s="51"/>
      <c r="H4271" s="46" t="str">
        <f>IF(AND(I.Developer.P1=TRUE,I.Facility.P1FacilityCount&gt;=4259,F4271=""),"Incomplete","Complete")</f>
        <v>Complete</v>
      </c>
      <c r="I4271" s="48" t="s">
        <v>8636</v>
      </c>
    </row>
    <row r="4272" spans="2:9" ht="15" customHeight="1" x14ac:dyDescent="0.25">
      <c r="B4272" s="55" t="s">
        <v>279</v>
      </c>
      <c r="C4272" s="46">
        <v>4260</v>
      </c>
      <c r="D4272" s="69" t="s">
        <v>29416</v>
      </c>
      <c r="E4272" s="51"/>
      <c r="F4272" s="114" t="str">
        <f>IF(INDEX(I.Facility.P1IDNumber,4260)="","",INDEX(I.Facility.P1IDNumber,4260))</f>
        <v/>
      </c>
      <c r="G4272" s="51"/>
      <c r="H4272" s="46" t="str">
        <f>IF(AND(I.Developer.P1=TRUE,I.Facility.P1FacilityCount&gt;=4260,F4272=""),"Incomplete","Complete")</f>
        <v>Complete</v>
      </c>
      <c r="I4272" s="48" t="s">
        <v>8637</v>
      </c>
    </row>
    <row r="4273" spans="2:9" ht="15" customHeight="1" x14ac:dyDescent="0.25">
      <c r="B4273" s="55" t="s">
        <v>279</v>
      </c>
      <c r="C4273" s="46">
        <v>4261</v>
      </c>
      <c r="D4273" s="69" t="s">
        <v>29416</v>
      </c>
      <c r="E4273" s="51"/>
      <c r="F4273" s="114" t="str">
        <f>IF(INDEX(I.Facility.P1IDNumber,4261)="","",INDEX(I.Facility.P1IDNumber,4261))</f>
        <v/>
      </c>
      <c r="G4273" s="51"/>
      <c r="H4273" s="46" t="str">
        <f>IF(AND(I.Developer.P1=TRUE,I.Facility.P1FacilityCount&gt;=4261,F4273=""),"Incomplete","Complete")</f>
        <v>Complete</v>
      </c>
      <c r="I4273" s="48" t="s">
        <v>8638</v>
      </c>
    </row>
    <row r="4274" spans="2:9" ht="15" customHeight="1" x14ac:dyDescent="0.25">
      <c r="B4274" s="55" t="s">
        <v>279</v>
      </c>
      <c r="C4274" s="46">
        <v>4262</v>
      </c>
      <c r="D4274" s="69" t="s">
        <v>29416</v>
      </c>
      <c r="E4274" s="51"/>
      <c r="F4274" s="114" t="str">
        <f>IF(INDEX(I.Facility.P1IDNumber,4262)="","",INDEX(I.Facility.P1IDNumber,4262))</f>
        <v/>
      </c>
      <c r="G4274" s="51"/>
      <c r="H4274" s="46" t="str">
        <f>IF(AND(I.Developer.P1=TRUE,I.Facility.P1FacilityCount&gt;=4262,F4274=""),"Incomplete","Complete")</f>
        <v>Complete</v>
      </c>
      <c r="I4274" s="48" t="s">
        <v>8639</v>
      </c>
    </row>
    <row r="4275" spans="2:9" ht="15" customHeight="1" x14ac:dyDescent="0.25">
      <c r="B4275" s="55" t="s">
        <v>279</v>
      </c>
      <c r="C4275" s="46">
        <v>4263</v>
      </c>
      <c r="D4275" s="69" t="s">
        <v>29416</v>
      </c>
      <c r="E4275" s="51"/>
      <c r="F4275" s="114" t="str">
        <f>IF(INDEX(I.Facility.P1IDNumber,4263)="","",INDEX(I.Facility.P1IDNumber,4263))</f>
        <v/>
      </c>
      <c r="G4275" s="51"/>
      <c r="H4275" s="46" t="str">
        <f>IF(AND(I.Developer.P1=TRUE,I.Facility.P1FacilityCount&gt;=4263,F4275=""),"Incomplete","Complete")</f>
        <v>Complete</v>
      </c>
      <c r="I4275" s="48" t="s">
        <v>8640</v>
      </c>
    </row>
    <row r="4276" spans="2:9" ht="15" customHeight="1" x14ac:dyDescent="0.25">
      <c r="B4276" s="55" t="s">
        <v>279</v>
      </c>
      <c r="C4276" s="46">
        <v>4264</v>
      </c>
      <c r="D4276" s="69" t="s">
        <v>29416</v>
      </c>
      <c r="E4276" s="51"/>
      <c r="F4276" s="114" t="str">
        <f>IF(INDEX(I.Facility.P1IDNumber,4264)="","",INDEX(I.Facility.P1IDNumber,4264))</f>
        <v/>
      </c>
      <c r="G4276" s="51"/>
      <c r="H4276" s="46" t="str">
        <f>IF(AND(I.Developer.P1=TRUE,I.Facility.P1FacilityCount&gt;=4264,F4276=""),"Incomplete","Complete")</f>
        <v>Complete</v>
      </c>
      <c r="I4276" s="48" t="s">
        <v>8641</v>
      </c>
    </row>
    <row r="4277" spans="2:9" ht="15" customHeight="1" x14ac:dyDescent="0.25">
      <c r="B4277" s="55" t="s">
        <v>279</v>
      </c>
      <c r="C4277" s="46">
        <v>4265</v>
      </c>
      <c r="D4277" s="69" t="s">
        <v>29416</v>
      </c>
      <c r="E4277" s="51"/>
      <c r="F4277" s="114" t="str">
        <f>IF(INDEX(I.Facility.P1IDNumber,4265)="","",INDEX(I.Facility.P1IDNumber,4265))</f>
        <v/>
      </c>
      <c r="G4277" s="51"/>
      <c r="H4277" s="46" t="str">
        <f>IF(AND(I.Developer.P1=TRUE,I.Facility.P1FacilityCount&gt;=4265,F4277=""),"Incomplete","Complete")</f>
        <v>Complete</v>
      </c>
      <c r="I4277" s="48" t="s">
        <v>8642</v>
      </c>
    </row>
    <row r="4278" spans="2:9" ht="15" customHeight="1" x14ac:dyDescent="0.25">
      <c r="B4278" s="55" t="s">
        <v>279</v>
      </c>
      <c r="C4278" s="46">
        <v>4266</v>
      </c>
      <c r="D4278" s="69" t="s">
        <v>29416</v>
      </c>
      <c r="E4278" s="51"/>
      <c r="F4278" s="114" t="str">
        <f>IF(INDEX(I.Facility.P1IDNumber,4266)="","",INDEX(I.Facility.P1IDNumber,4266))</f>
        <v/>
      </c>
      <c r="G4278" s="51"/>
      <c r="H4278" s="46" t="str">
        <f>IF(AND(I.Developer.P1=TRUE,I.Facility.P1FacilityCount&gt;=4266,F4278=""),"Incomplete","Complete")</f>
        <v>Complete</v>
      </c>
      <c r="I4278" s="48" t="s">
        <v>8643</v>
      </c>
    </row>
    <row r="4279" spans="2:9" ht="15" customHeight="1" x14ac:dyDescent="0.25">
      <c r="B4279" s="55" t="s">
        <v>279</v>
      </c>
      <c r="C4279" s="46">
        <v>4267</v>
      </c>
      <c r="D4279" s="69" t="s">
        <v>29416</v>
      </c>
      <c r="E4279" s="51"/>
      <c r="F4279" s="114" t="str">
        <f>IF(INDEX(I.Facility.P1IDNumber,4267)="","",INDEX(I.Facility.P1IDNumber,4267))</f>
        <v/>
      </c>
      <c r="G4279" s="51"/>
      <c r="H4279" s="46" t="str">
        <f>IF(AND(I.Developer.P1=TRUE,I.Facility.P1FacilityCount&gt;=4267,F4279=""),"Incomplete","Complete")</f>
        <v>Complete</v>
      </c>
      <c r="I4279" s="48" t="s">
        <v>8644</v>
      </c>
    </row>
    <row r="4280" spans="2:9" ht="15" customHeight="1" x14ac:dyDescent="0.25">
      <c r="B4280" s="55" t="s">
        <v>279</v>
      </c>
      <c r="C4280" s="46">
        <v>4268</v>
      </c>
      <c r="D4280" s="69" t="s">
        <v>29416</v>
      </c>
      <c r="E4280" s="51"/>
      <c r="F4280" s="114" t="str">
        <f>IF(INDEX(I.Facility.P1IDNumber,4268)="","",INDEX(I.Facility.P1IDNumber,4268))</f>
        <v/>
      </c>
      <c r="G4280" s="51"/>
      <c r="H4280" s="46" t="str">
        <f>IF(AND(I.Developer.P1=TRUE,I.Facility.P1FacilityCount&gt;=4268,F4280=""),"Incomplete","Complete")</f>
        <v>Complete</v>
      </c>
      <c r="I4280" s="48" t="s">
        <v>8645</v>
      </c>
    </row>
    <row r="4281" spans="2:9" ht="15" customHeight="1" x14ac:dyDescent="0.25">
      <c r="B4281" s="55" t="s">
        <v>279</v>
      </c>
      <c r="C4281" s="46">
        <v>4269</v>
      </c>
      <c r="D4281" s="69" t="s">
        <v>29416</v>
      </c>
      <c r="E4281" s="51"/>
      <c r="F4281" s="114" t="str">
        <f>IF(INDEX(I.Facility.P1IDNumber,4269)="","",INDEX(I.Facility.P1IDNumber,4269))</f>
        <v/>
      </c>
      <c r="G4281" s="51"/>
      <c r="H4281" s="46" t="str">
        <f>IF(AND(I.Developer.P1=TRUE,I.Facility.P1FacilityCount&gt;=4269,F4281=""),"Incomplete","Complete")</f>
        <v>Complete</v>
      </c>
      <c r="I4281" s="48" t="s">
        <v>8646</v>
      </c>
    </row>
    <row r="4282" spans="2:9" ht="15" customHeight="1" x14ac:dyDescent="0.25">
      <c r="B4282" s="55" t="s">
        <v>279</v>
      </c>
      <c r="C4282" s="46">
        <v>4270</v>
      </c>
      <c r="D4282" s="69" t="s">
        <v>29416</v>
      </c>
      <c r="E4282" s="51"/>
      <c r="F4282" s="114" t="str">
        <f>IF(INDEX(I.Facility.P1IDNumber,4270)="","",INDEX(I.Facility.P1IDNumber,4270))</f>
        <v/>
      </c>
      <c r="G4282" s="51"/>
      <c r="H4282" s="46" t="str">
        <f>IF(AND(I.Developer.P1=TRUE,I.Facility.P1FacilityCount&gt;=4270,F4282=""),"Incomplete","Complete")</f>
        <v>Complete</v>
      </c>
      <c r="I4282" s="48" t="s">
        <v>8647</v>
      </c>
    </row>
    <row r="4283" spans="2:9" ht="15" customHeight="1" x14ac:dyDescent="0.25">
      <c r="B4283" s="55" t="s">
        <v>279</v>
      </c>
      <c r="C4283" s="46">
        <v>4271</v>
      </c>
      <c r="D4283" s="69" t="s">
        <v>29416</v>
      </c>
      <c r="E4283" s="51"/>
      <c r="F4283" s="114" t="str">
        <f>IF(INDEX(I.Facility.P1IDNumber,4271)="","",INDEX(I.Facility.P1IDNumber,4271))</f>
        <v/>
      </c>
      <c r="G4283" s="51"/>
      <c r="H4283" s="46" t="str">
        <f>IF(AND(I.Developer.P1=TRUE,I.Facility.P1FacilityCount&gt;=4271,F4283=""),"Incomplete","Complete")</f>
        <v>Complete</v>
      </c>
      <c r="I4283" s="48" t="s">
        <v>8648</v>
      </c>
    </row>
    <row r="4284" spans="2:9" ht="15" customHeight="1" x14ac:dyDescent="0.25">
      <c r="B4284" s="55" t="s">
        <v>279</v>
      </c>
      <c r="C4284" s="46">
        <v>4272</v>
      </c>
      <c r="D4284" s="69" t="s">
        <v>29416</v>
      </c>
      <c r="E4284" s="51"/>
      <c r="F4284" s="114" t="str">
        <f>IF(INDEX(I.Facility.P1IDNumber,4272)="","",INDEX(I.Facility.P1IDNumber,4272))</f>
        <v/>
      </c>
      <c r="G4284" s="51"/>
      <c r="H4284" s="46" t="str">
        <f>IF(AND(I.Developer.P1=TRUE,I.Facility.P1FacilityCount&gt;=4272,F4284=""),"Incomplete","Complete")</f>
        <v>Complete</v>
      </c>
      <c r="I4284" s="48" t="s">
        <v>8649</v>
      </c>
    </row>
    <row r="4285" spans="2:9" ht="15" customHeight="1" x14ac:dyDescent="0.25">
      <c r="B4285" s="55" t="s">
        <v>279</v>
      </c>
      <c r="C4285" s="46">
        <v>4273</v>
      </c>
      <c r="D4285" s="69" t="s">
        <v>29416</v>
      </c>
      <c r="E4285" s="51"/>
      <c r="F4285" s="114" t="str">
        <f>IF(INDEX(I.Facility.P1IDNumber,4273)="","",INDEX(I.Facility.P1IDNumber,4273))</f>
        <v/>
      </c>
      <c r="G4285" s="51"/>
      <c r="H4285" s="46" t="str">
        <f>IF(AND(I.Developer.P1=TRUE,I.Facility.P1FacilityCount&gt;=4273,F4285=""),"Incomplete","Complete")</f>
        <v>Complete</v>
      </c>
      <c r="I4285" s="48" t="s">
        <v>8650</v>
      </c>
    </row>
    <row r="4286" spans="2:9" ht="15" customHeight="1" x14ac:dyDescent="0.25">
      <c r="B4286" s="55" t="s">
        <v>279</v>
      </c>
      <c r="C4286" s="46">
        <v>4274</v>
      </c>
      <c r="D4286" s="69" t="s">
        <v>29416</v>
      </c>
      <c r="E4286" s="51"/>
      <c r="F4286" s="114" t="str">
        <f>IF(INDEX(I.Facility.P1IDNumber,4274)="","",INDEX(I.Facility.P1IDNumber,4274))</f>
        <v/>
      </c>
      <c r="G4286" s="51"/>
      <c r="H4286" s="46" t="str">
        <f>IF(AND(I.Developer.P1=TRUE,I.Facility.P1FacilityCount&gt;=4274,F4286=""),"Incomplete","Complete")</f>
        <v>Complete</v>
      </c>
      <c r="I4286" s="48" t="s">
        <v>8651</v>
      </c>
    </row>
    <row r="4287" spans="2:9" ht="15" customHeight="1" x14ac:dyDescent="0.25">
      <c r="B4287" s="55" t="s">
        <v>279</v>
      </c>
      <c r="C4287" s="46">
        <v>4275</v>
      </c>
      <c r="D4287" s="69" t="s">
        <v>29416</v>
      </c>
      <c r="E4287" s="51"/>
      <c r="F4287" s="114" t="str">
        <f>IF(INDEX(I.Facility.P1IDNumber,4275)="","",INDEX(I.Facility.P1IDNumber,4275))</f>
        <v/>
      </c>
      <c r="G4287" s="51"/>
      <c r="H4287" s="46" t="str">
        <f>IF(AND(I.Developer.P1=TRUE,I.Facility.P1FacilityCount&gt;=4275,F4287=""),"Incomplete","Complete")</f>
        <v>Complete</v>
      </c>
      <c r="I4287" s="48" t="s">
        <v>8652</v>
      </c>
    </row>
    <row r="4288" spans="2:9" ht="15" customHeight="1" x14ac:dyDescent="0.25">
      <c r="B4288" s="55" t="s">
        <v>279</v>
      </c>
      <c r="C4288" s="46">
        <v>4276</v>
      </c>
      <c r="D4288" s="69" t="s">
        <v>29416</v>
      </c>
      <c r="E4288" s="51"/>
      <c r="F4288" s="114" t="str">
        <f>IF(INDEX(I.Facility.P1IDNumber,4276)="","",INDEX(I.Facility.P1IDNumber,4276))</f>
        <v/>
      </c>
      <c r="G4288" s="51"/>
      <c r="H4288" s="46" t="str">
        <f>IF(AND(I.Developer.P1=TRUE,I.Facility.P1FacilityCount&gt;=4276,F4288=""),"Incomplete","Complete")</f>
        <v>Complete</v>
      </c>
      <c r="I4288" s="48" t="s">
        <v>8653</v>
      </c>
    </row>
    <row r="4289" spans="2:9" ht="15" customHeight="1" x14ac:dyDescent="0.25">
      <c r="B4289" s="55" t="s">
        <v>279</v>
      </c>
      <c r="C4289" s="46">
        <v>4277</v>
      </c>
      <c r="D4289" s="69" t="s">
        <v>29416</v>
      </c>
      <c r="E4289" s="51"/>
      <c r="F4289" s="114" t="str">
        <f>IF(INDEX(I.Facility.P1IDNumber,4277)="","",INDEX(I.Facility.P1IDNumber,4277))</f>
        <v/>
      </c>
      <c r="G4289" s="51"/>
      <c r="H4289" s="46" t="str">
        <f>IF(AND(I.Developer.P1=TRUE,I.Facility.P1FacilityCount&gt;=4277,F4289=""),"Incomplete","Complete")</f>
        <v>Complete</v>
      </c>
      <c r="I4289" s="48" t="s">
        <v>8654</v>
      </c>
    </row>
    <row r="4290" spans="2:9" ht="15" customHeight="1" x14ac:dyDescent="0.25">
      <c r="B4290" s="55" t="s">
        <v>279</v>
      </c>
      <c r="C4290" s="46">
        <v>4278</v>
      </c>
      <c r="D4290" s="69" t="s">
        <v>29416</v>
      </c>
      <c r="E4290" s="51"/>
      <c r="F4290" s="114" t="str">
        <f>IF(INDEX(I.Facility.P1IDNumber,4278)="","",INDEX(I.Facility.P1IDNumber,4278))</f>
        <v/>
      </c>
      <c r="G4290" s="51"/>
      <c r="H4290" s="46" t="str">
        <f>IF(AND(I.Developer.P1=TRUE,I.Facility.P1FacilityCount&gt;=4278,F4290=""),"Incomplete","Complete")</f>
        <v>Complete</v>
      </c>
      <c r="I4290" s="48" t="s">
        <v>8655</v>
      </c>
    </row>
    <row r="4291" spans="2:9" ht="15" customHeight="1" x14ac:dyDescent="0.25">
      <c r="B4291" s="55" t="s">
        <v>279</v>
      </c>
      <c r="C4291" s="46">
        <v>4279</v>
      </c>
      <c r="D4291" s="69" t="s">
        <v>29416</v>
      </c>
      <c r="E4291" s="51"/>
      <c r="F4291" s="114" t="str">
        <f>IF(INDEX(I.Facility.P1IDNumber,4279)="","",INDEX(I.Facility.P1IDNumber,4279))</f>
        <v/>
      </c>
      <c r="G4291" s="51"/>
      <c r="H4291" s="46" t="str">
        <f>IF(AND(I.Developer.P1=TRUE,I.Facility.P1FacilityCount&gt;=4279,F4291=""),"Incomplete","Complete")</f>
        <v>Complete</v>
      </c>
      <c r="I4291" s="48" t="s">
        <v>8656</v>
      </c>
    </row>
    <row r="4292" spans="2:9" ht="15" customHeight="1" x14ac:dyDescent="0.25">
      <c r="B4292" s="55" t="s">
        <v>279</v>
      </c>
      <c r="C4292" s="46">
        <v>4280</v>
      </c>
      <c r="D4292" s="69" t="s">
        <v>29416</v>
      </c>
      <c r="E4292" s="51"/>
      <c r="F4292" s="114" t="str">
        <f>IF(INDEX(I.Facility.P1IDNumber,4280)="","",INDEX(I.Facility.P1IDNumber,4280))</f>
        <v/>
      </c>
      <c r="G4292" s="51"/>
      <c r="H4292" s="46" t="str">
        <f>IF(AND(I.Developer.P1=TRUE,I.Facility.P1FacilityCount&gt;=4280,F4292=""),"Incomplete","Complete")</f>
        <v>Complete</v>
      </c>
      <c r="I4292" s="48" t="s">
        <v>8657</v>
      </c>
    </row>
    <row r="4293" spans="2:9" ht="15" customHeight="1" x14ac:dyDescent="0.25">
      <c r="B4293" s="55" t="s">
        <v>279</v>
      </c>
      <c r="C4293" s="46">
        <v>4281</v>
      </c>
      <c r="D4293" s="69" t="s">
        <v>29416</v>
      </c>
      <c r="E4293" s="51"/>
      <c r="F4293" s="114" t="str">
        <f>IF(INDEX(I.Facility.P1IDNumber,4281)="","",INDEX(I.Facility.P1IDNumber,4281))</f>
        <v/>
      </c>
      <c r="G4293" s="51"/>
      <c r="H4293" s="46" t="str">
        <f>IF(AND(I.Developer.P1=TRUE,I.Facility.P1FacilityCount&gt;=4281,F4293=""),"Incomplete","Complete")</f>
        <v>Complete</v>
      </c>
      <c r="I4293" s="48" t="s">
        <v>8658</v>
      </c>
    </row>
    <row r="4294" spans="2:9" ht="15" customHeight="1" x14ac:dyDescent="0.25">
      <c r="B4294" s="55" t="s">
        <v>279</v>
      </c>
      <c r="C4294" s="46">
        <v>4282</v>
      </c>
      <c r="D4294" s="69" t="s">
        <v>29416</v>
      </c>
      <c r="E4294" s="51"/>
      <c r="F4294" s="114" t="str">
        <f>IF(INDEX(I.Facility.P1IDNumber,4282)="","",INDEX(I.Facility.P1IDNumber,4282))</f>
        <v/>
      </c>
      <c r="G4294" s="51"/>
      <c r="H4294" s="46" t="str">
        <f>IF(AND(I.Developer.P1=TRUE,I.Facility.P1FacilityCount&gt;=4282,F4294=""),"Incomplete","Complete")</f>
        <v>Complete</v>
      </c>
      <c r="I4294" s="48" t="s">
        <v>8659</v>
      </c>
    </row>
    <row r="4295" spans="2:9" ht="15" customHeight="1" x14ac:dyDescent="0.25">
      <c r="B4295" s="55" t="s">
        <v>279</v>
      </c>
      <c r="C4295" s="46">
        <v>4283</v>
      </c>
      <c r="D4295" s="69" t="s">
        <v>29416</v>
      </c>
      <c r="E4295" s="51"/>
      <c r="F4295" s="114" t="str">
        <f>IF(INDEX(I.Facility.P1IDNumber,4283)="","",INDEX(I.Facility.P1IDNumber,4283))</f>
        <v/>
      </c>
      <c r="G4295" s="51"/>
      <c r="H4295" s="46" t="str">
        <f>IF(AND(I.Developer.P1=TRUE,I.Facility.P1FacilityCount&gt;=4283,F4295=""),"Incomplete","Complete")</f>
        <v>Complete</v>
      </c>
      <c r="I4295" s="48" t="s">
        <v>8660</v>
      </c>
    </row>
    <row r="4296" spans="2:9" ht="15" customHeight="1" x14ac:dyDescent="0.25">
      <c r="B4296" s="55" t="s">
        <v>279</v>
      </c>
      <c r="C4296" s="46">
        <v>4284</v>
      </c>
      <c r="D4296" s="69" t="s">
        <v>29416</v>
      </c>
      <c r="E4296" s="51"/>
      <c r="F4296" s="114" t="str">
        <f>IF(INDEX(I.Facility.P1IDNumber,4284)="","",INDEX(I.Facility.P1IDNumber,4284))</f>
        <v/>
      </c>
      <c r="G4296" s="51"/>
      <c r="H4296" s="46" t="str">
        <f>IF(AND(I.Developer.P1=TRUE,I.Facility.P1FacilityCount&gt;=4284,F4296=""),"Incomplete","Complete")</f>
        <v>Complete</v>
      </c>
      <c r="I4296" s="48" t="s">
        <v>8661</v>
      </c>
    </row>
    <row r="4297" spans="2:9" ht="15" customHeight="1" x14ac:dyDescent="0.25">
      <c r="B4297" s="55" t="s">
        <v>279</v>
      </c>
      <c r="C4297" s="46">
        <v>4285</v>
      </c>
      <c r="D4297" s="69" t="s">
        <v>29416</v>
      </c>
      <c r="E4297" s="51"/>
      <c r="F4297" s="114" t="str">
        <f>IF(INDEX(I.Facility.P1IDNumber,4285)="","",INDEX(I.Facility.P1IDNumber,4285))</f>
        <v/>
      </c>
      <c r="G4297" s="51"/>
      <c r="H4297" s="46" t="str">
        <f>IF(AND(I.Developer.P1=TRUE,I.Facility.P1FacilityCount&gt;=4285,F4297=""),"Incomplete","Complete")</f>
        <v>Complete</v>
      </c>
      <c r="I4297" s="48" t="s">
        <v>8662</v>
      </c>
    </row>
    <row r="4298" spans="2:9" ht="15" customHeight="1" x14ac:dyDescent="0.25">
      <c r="B4298" s="55" t="s">
        <v>279</v>
      </c>
      <c r="C4298" s="46">
        <v>4286</v>
      </c>
      <c r="D4298" s="69" t="s">
        <v>29416</v>
      </c>
      <c r="E4298" s="51"/>
      <c r="F4298" s="114" t="str">
        <f>IF(INDEX(I.Facility.P1IDNumber,4286)="","",INDEX(I.Facility.P1IDNumber,4286))</f>
        <v/>
      </c>
      <c r="G4298" s="51"/>
      <c r="H4298" s="46" t="str">
        <f>IF(AND(I.Developer.P1=TRUE,I.Facility.P1FacilityCount&gt;=4286,F4298=""),"Incomplete","Complete")</f>
        <v>Complete</v>
      </c>
      <c r="I4298" s="48" t="s">
        <v>8663</v>
      </c>
    </row>
    <row r="4299" spans="2:9" ht="15" customHeight="1" x14ac:dyDescent="0.25">
      <c r="B4299" s="55" t="s">
        <v>279</v>
      </c>
      <c r="C4299" s="46">
        <v>4287</v>
      </c>
      <c r="D4299" s="69" t="s">
        <v>29416</v>
      </c>
      <c r="E4299" s="51"/>
      <c r="F4299" s="114" t="str">
        <f>IF(INDEX(I.Facility.P1IDNumber,4287)="","",INDEX(I.Facility.P1IDNumber,4287))</f>
        <v/>
      </c>
      <c r="G4299" s="51"/>
      <c r="H4299" s="46" t="str">
        <f>IF(AND(I.Developer.P1=TRUE,I.Facility.P1FacilityCount&gt;=4287,F4299=""),"Incomplete","Complete")</f>
        <v>Complete</v>
      </c>
      <c r="I4299" s="48" t="s">
        <v>8664</v>
      </c>
    </row>
    <row r="4300" spans="2:9" ht="15" customHeight="1" x14ac:dyDescent="0.25">
      <c r="B4300" s="55" t="s">
        <v>279</v>
      </c>
      <c r="C4300" s="46">
        <v>4288</v>
      </c>
      <c r="D4300" s="69" t="s">
        <v>29416</v>
      </c>
      <c r="E4300" s="51"/>
      <c r="F4300" s="114" t="str">
        <f>IF(INDEX(I.Facility.P1IDNumber,4288)="","",INDEX(I.Facility.P1IDNumber,4288))</f>
        <v/>
      </c>
      <c r="G4300" s="51"/>
      <c r="H4300" s="46" t="str">
        <f>IF(AND(I.Developer.P1=TRUE,I.Facility.P1FacilityCount&gt;=4288,F4300=""),"Incomplete","Complete")</f>
        <v>Complete</v>
      </c>
      <c r="I4300" s="48" t="s">
        <v>8665</v>
      </c>
    </row>
    <row r="4301" spans="2:9" ht="15" customHeight="1" x14ac:dyDescent="0.25">
      <c r="B4301" s="55" t="s">
        <v>279</v>
      </c>
      <c r="C4301" s="46">
        <v>4289</v>
      </c>
      <c r="D4301" s="69" t="s">
        <v>29416</v>
      </c>
      <c r="E4301" s="51"/>
      <c r="F4301" s="114" t="str">
        <f>IF(INDEX(I.Facility.P1IDNumber,4289)="","",INDEX(I.Facility.P1IDNumber,4289))</f>
        <v/>
      </c>
      <c r="G4301" s="51"/>
      <c r="H4301" s="46" t="str">
        <f>IF(AND(I.Developer.P1=TRUE,I.Facility.P1FacilityCount&gt;=4289,F4301=""),"Incomplete","Complete")</f>
        <v>Complete</v>
      </c>
      <c r="I4301" s="48" t="s">
        <v>8666</v>
      </c>
    </row>
    <row r="4302" spans="2:9" ht="15" customHeight="1" x14ac:dyDescent="0.25">
      <c r="B4302" s="55" t="s">
        <v>279</v>
      </c>
      <c r="C4302" s="46">
        <v>4290</v>
      </c>
      <c r="D4302" s="69" t="s">
        <v>29416</v>
      </c>
      <c r="E4302" s="51"/>
      <c r="F4302" s="114" t="str">
        <f>IF(INDEX(I.Facility.P1IDNumber,4290)="","",INDEX(I.Facility.P1IDNumber,4290))</f>
        <v/>
      </c>
      <c r="G4302" s="51"/>
      <c r="H4302" s="46" t="str">
        <f>IF(AND(I.Developer.P1=TRUE,I.Facility.P1FacilityCount&gt;=4290,F4302=""),"Incomplete","Complete")</f>
        <v>Complete</v>
      </c>
      <c r="I4302" s="48" t="s">
        <v>8667</v>
      </c>
    </row>
    <row r="4303" spans="2:9" ht="15" customHeight="1" x14ac:dyDescent="0.25">
      <c r="B4303" s="55" t="s">
        <v>279</v>
      </c>
      <c r="C4303" s="46">
        <v>4291</v>
      </c>
      <c r="D4303" s="69" t="s">
        <v>29416</v>
      </c>
      <c r="E4303" s="51"/>
      <c r="F4303" s="114" t="str">
        <f>IF(INDEX(I.Facility.P1IDNumber,4291)="","",INDEX(I.Facility.P1IDNumber,4291))</f>
        <v/>
      </c>
      <c r="G4303" s="51"/>
      <c r="H4303" s="46" t="str">
        <f>IF(AND(I.Developer.P1=TRUE,I.Facility.P1FacilityCount&gt;=4291,F4303=""),"Incomplete","Complete")</f>
        <v>Complete</v>
      </c>
      <c r="I4303" s="48" t="s">
        <v>8668</v>
      </c>
    </row>
    <row r="4304" spans="2:9" ht="15" customHeight="1" x14ac:dyDescent="0.25">
      <c r="B4304" s="55" t="s">
        <v>279</v>
      </c>
      <c r="C4304" s="46">
        <v>4292</v>
      </c>
      <c r="D4304" s="69" t="s">
        <v>29416</v>
      </c>
      <c r="E4304" s="51"/>
      <c r="F4304" s="114" t="str">
        <f>IF(INDEX(I.Facility.P1IDNumber,4292)="","",INDEX(I.Facility.P1IDNumber,4292))</f>
        <v/>
      </c>
      <c r="G4304" s="51"/>
      <c r="H4304" s="46" t="str">
        <f>IF(AND(I.Developer.P1=TRUE,I.Facility.P1FacilityCount&gt;=4292,F4304=""),"Incomplete","Complete")</f>
        <v>Complete</v>
      </c>
      <c r="I4304" s="48" t="s">
        <v>8669</v>
      </c>
    </row>
    <row r="4305" spans="2:9" ht="15" customHeight="1" x14ac:dyDescent="0.25">
      <c r="B4305" s="55" t="s">
        <v>279</v>
      </c>
      <c r="C4305" s="46">
        <v>4293</v>
      </c>
      <c r="D4305" s="69" t="s">
        <v>29416</v>
      </c>
      <c r="E4305" s="51"/>
      <c r="F4305" s="114" t="str">
        <f>IF(INDEX(I.Facility.P1IDNumber,4293)="","",INDEX(I.Facility.P1IDNumber,4293))</f>
        <v/>
      </c>
      <c r="G4305" s="51"/>
      <c r="H4305" s="46" t="str">
        <f>IF(AND(I.Developer.P1=TRUE,I.Facility.P1FacilityCount&gt;=4293,F4305=""),"Incomplete","Complete")</f>
        <v>Complete</v>
      </c>
      <c r="I4305" s="48" t="s">
        <v>8670</v>
      </c>
    </row>
    <row r="4306" spans="2:9" ht="15" customHeight="1" x14ac:dyDescent="0.25">
      <c r="B4306" s="55" t="s">
        <v>279</v>
      </c>
      <c r="C4306" s="46">
        <v>4294</v>
      </c>
      <c r="D4306" s="69" t="s">
        <v>29416</v>
      </c>
      <c r="E4306" s="51"/>
      <c r="F4306" s="114" t="str">
        <f>IF(INDEX(I.Facility.P1IDNumber,4294)="","",INDEX(I.Facility.P1IDNumber,4294))</f>
        <v/>
      </c>
      <c r="G4306" s="51"/>
      <c r="H4306" s="46" t="str">
        <f>IF(AND(I.Developer.P1=TRUE,I.Facility.P1FacilityCount&gt;=4294,F4306=""),"Incomplete","Complete")</f>
        <v>Complete</v>
      </c>
      <c r="I4306" s="48" t="s">
        <v>8671</v>
      </c>
    </row>
    <row r="4307" spans="2:9" ht="15" customHeight="1" x14ac:dyDescent="0.25">
      <c r="B4307" s="55" t="s">
        <v>279</v>
      </c>
      <c r="C4307" s="46">
        <v>4295</v>
      </c>
      <c r="D4307" s="69" t="s">
        <v>29416</v>
      </c>
      <c r="E4307" s="51"/>
      <c r="F4307" s="114" t="str">
        <f>IF(INDEX(I.Facility.P1IDNumber,4295)="","",INDEX(I.Facility.P1IDNumber,4295))</f>
        <v/>
      </c>
      <c r="G4307" s="51"/>
      <c r="H4307" s="46" t="str">
        <f>IF(AND(I.Developer.P1=TRUE,I.Facility.P1FacilityCount&gt;=4295,F4307=""),"Incomplete","Complete")</f>
        <v>Complete</v>
      </c>
      <c r="I4307" s="48" t="s">
        <v>8672</v>
      </c>
    </row>
    <row r="4308" spans="2:9" ht="15" customHeight="1" x14ac:dyDescent="0.25">
      <c r="B4308" s="55" t="s">
        <v>279</v>
      </c>
      <c r="C4308" s="46">
        <v>4296</v>
      </c>
      <c r="D4308" s="69" t="s">
        <v>29416</v>
      </c>
      <c r="E4308" s="51"/>
      <c r="F4308" s="114" t="str">
        <f>IF(INDEX(I.Facility.P1IDNumber,4296)="","",INDEX(I.Facility.P1IDNumber,4296))</f>
        <v/>
      </c>
      <c r="G4308" s="51"/>
      <c r="H4308" s="46" t="str">
        <f>IF(AND(I.Developer.P1=TRUE,I.Facility.P1FacilityCount&gt;=4296,F4308=""),"Incomplete","Complete")</f>
        <v>Complete</v>
      </c>
      <c r="I4308" s="48" t="s">
        <v>8673</v>
      </c>
    </row>
    <row r="4309" spans="2:9" ht="15" customHeight="1" x14ac:dyDescent="0.25">
      <c r="B4309" s="55" t="s">
        <v>279</v>
      </c>
      <c r="C4309" s="46">
        <v>4297</v>
      </c>
      <c r="D4309" s="69" t="s">
        <v>29416</v>
      </c>
      <c r="E4309" s="51"/>
      <c r="F4309" s="114" t="str">
        <f>IF(INDEX(I.Facility.P1IDNumber,4297)="","",INDEX(I.Facility.P1IDNumber,4297))</f>
        <v/>
      </c>
      <c r="G4309" s="51"/>
      <c r="H4309" s="46" t="str">
        <f>IF(AND(I.Developer.P1=TRUE,I.Facility.P1FacilityCount&gt;=4297,F4309=""),"Incomplete","Complete")</f>
        <v>Complete</v>
      </c>
      <c r="I4309" s="48" t="s">
        <v>8674</v>
      </c>
    </row>
    <row r="4310" spans="2:9" ht="15" customHeight="1" x14ac:dyDescent="0.25">
      <c r="B4310" s="55" t="s">
        <v>279</v>
      </c>
      <c r="C4310" s="46">
        <v>4298</v>
      </c>
      <c r="D4310" s="69" t="s">
        <v>29416</v>
      </c>
      <c r="E4310" s="51"/>
      <c r="F4310" s="114" t="str">
        <f>IF(INDEX(I.Facility.P1IDNumber,4298)="","",INDEX(I.Facility.P1IDNumber,4298))</f>
        <v/>
      </c>
      <c r="G4310" s="51"/>
      <c r="H4310" s="46" t="str">
        <f>IF(AND(I.Developer.P1=TRUE,I.Facility.P1FacilityCount&gt;=4298,F4310=""),"Incomplete","Complete")</f>
        <v>Complete</v>
      </c>
      <c r="I4310" s="48" t="s">
        <v>8675</v>
      </c>
    </row>
    <row r="4311" spans="2:9" ht="15" customHeight="1" x14ac:dyDescent="0.25">
      <c r="B4311" s="55" t="s">
        <v>279</v>
      </c>
      <c r="C4311" s="46">
        <v>4299</v>
      </c>
      <c r="D4311" s="69" t="s">
        <v>29416</v>
      </c>
      <c r="E4311" s="51"/>
      <c r="F4311" s="114" t="str">
        <f>IF(INDEX(I.Facility.P1IDNumber,4299)="","",INDEX(I.Facility.P1IDNumber,4299))</f>
        <v/>
      </c>
      <c r="G4311" s="51"/>
      <c r="H4311" s="46" t="str">
        <f>IF(AND(I.Developer.P1=TRUE,I.Facility.P1FacilityCount&gt;=4299,F4311=""),"Incomplete","Complete")</f>
        <v>Complete</v>
      </c>
      <c r="I4311" s="48" t="s">
        <v>8676</v>
      </c>
    </row>
    <row r="4312" spans="2:9" ht="15" customHeight="1" x14ac:dyDescent="0.25">
      <c r="B4312" s="55" t="s">
        <v>279</v>
      </c>
      <c r="C4312" s="46">
        <v>4300</v>
      </c>
      <c r="D4312" s="69" t="s">
        <v>29416</v>
      </c>
      <c r="E4312" s="51"/>
      <c r="F4312" s="114" t="str">
        <f>IF(INDEX(I.Facility.P1IDNumber,4300)="","",INDEX(I.Facility.P1IDNumber,4300))</f>
        <v/>
      </c>
      <c r="G4312" s="51"/>
      <c r="H4312" s="46" t="str">
        <f>IF(AND(I.Developer.P1=TRUE,I.Facility.P1FacilityCount&gt;=4300,F4312=""),"Incomplete","Complete")</f>
        <v>Complete</v>
      </c>
      <c r="I4312" s="48" t="s">
        <v>8677</v>
      </c>
    </row>
    <row r="4313" spans="2:9" ht="15" customHeight="1" x14ac:dyDescent="0.25">
      <c r="B4313" s="55" t="s">
        <v>279</v>
      </c>
      <c r="C4313" s="46">
        <v>4301</v>
      </c>
      <c r="D4313" s="69" t="s">
        <v>29416</v>
      </c>
      <c r="E4313" s="51"/>
      <c r="F4313" s="114" t="str">
        <f>IF(INDEX(I.Facility.P1IDNumber,4301)="","",INDEX(I.Facility.P1IDNumber,4301))</f>
        <v/>
      </c>
      <c r="G4313" s="51"/>
      <c r="H4313" s="46" t="str">
        <f>IF(AND(I.Developer.P1=TRUE,I.Facility.P1FacilityCount&gt;=4301,F4313=""),"Incomplete","Complete")</f>
        <v>Complete</v>
      </c>
      <c r="I4313" s="48" t="s">
        <v>8678</v>
      </c>
    </row>
    <row r="4314" spans="2:9" ht="15" customHeight="1" x14ac:dyDescent="0.25">
      <c r="B4314" s="55" t="s">
        <v>279</v>
      </c>
      <c r="C4314" s="46">
        <v>4302</v>
      </c>
      <c r="D4314" s="69" t="s">
        <v>29416</v>
      </c>
      <c r="E4314" s="51"/>
      <c r="F4314" s="114" t="str">
        <f>IF(INDEX(I.Facility.P1IDNumber,4302)="","",INDEX(I.Facility.P1IDNumber,4302))</f>
        <v/>
      </c>
      <c r="G4314" s="51"/>
      <c r="H4314" s="46" t="str">
        <f>IF(AND(I.Developer.P1=TRUE,I.Facility.P1FacilityCount&gt;=4302,F4314=""),"Incomplete","Complete")</f>
        <v>Complete</v>
      </c>
      <c r="I4314" s="48" t="s">
        <v>8679</v>
      </c>
    </row>
    <row r="4315" spans="2:9" ht="15" customHeight="1" x14ac:dyDescent="0.25">
      <c r="B4315" s="55" t="s">
        <v>279</v>
      </c>
      <c r="C4315" s="46">
        <v>4303</v>
      </c>
      <c r="D4315" s="69" t="s">
        <v>29416</v>
      </c>
      <c r="E4315" s="51"/>
      <c r="F4315" s="114" t="str">
        <f>IF(INDEX(I.Facility.P1IDNumber,4303)="","",INDEX(I.Facility.P1IDNumber,4303))</f>
        <v/>
      </c>
      <c r="G4315" s="51"/>
      <c r="H4315" s="46" t="str">
        <f>IF(AND(I.Developer.P1=TRUE,I.Facility.P1FacilityCount&gt;=4303,F4315=""),"Incomplete","Complete")</f>
        <v>Complete</v>
      </c>
      <c r="I4315" s="48" t="s">
        <v>8680</v>
      </c>
    </row>
    <row r="4316" spans="2:9" ht="15" customHeight="1" x14ac:dyDescent="0.25">
      <c r="B4316" s="55" t="s">
        <v>279</v>
      </c>
      <c r="C4316" s="46">
        <v>4304</v>
      </c>
      <c r="D4316" s="69" t="s">
        <v>29416</v>
      </c>
      <c r="E4316" s="51"/>
      <c r="F4316" s="114" t="str">
        <f>IF(INDEX(I.Facility.P1IDNumber,4304)="","",INDEX(I.Facility.P1IDNumber,4304))</f>
        <v/>
      </c>
      <c r="G4316" s="51"/>
      <c r="H4316" s="46" t="str">
        <f>IF(AND(I.Developer.P1=TRUE,I.Facility.P1FacilityCount&gt;=4304,F4316=""),"Incomplete","Complete")</f>
        <v>Complete</v>
      </c>
      <c r="I4316" s="48" t="s">
        <v>8681</v>
      </c>
    </row>
    <row r="4317" spans="2:9" ht="15" customHeight="1" x14ac:dyDescent="0.25">
      <c r="B4317" s="55" t="s">
        <v>279</v>
      </c>
      <c r="C4317" s="46">
        <v>4305</v>
      </c>
      <c r="D4317" s="69" t="s">
        <v>29416</v>
      </c>
      <c r="E4317" s="51"/>
      <c r="F4317" s="114" t="str">
        <f>IF(INDEX(I.Facility.P1IDNumber,4305)="","",INDEX(I.Facility.P1IDNumber,4305))</f>
        <v/>
      </c>
      <c r="G4317" s="51"/>
      <c r="H4317" s="46" t="str">
        <f>IF(AND(I.Developer.P1=TRUE,I.Facility.P1FacilityCount&gt;=4305,F4317=""),"Incomplete","Complete")</f>
        <v>Complete</v>
      </c>
      <c r="I4317" s="48" t="s">
        <v>8682</v>
      </c>
    </row>
    <row r="4318" spans="2:9" ht="15" customHeight="1" x14ac:dyDescent="0.25">
      <c r="B4318" s="55" t="s">
        <v>279</v>
      </c>
      <c r="C4318" s="46">
        <v>4306</v>
      </c>
      <c r="D4318" s="69" t="s">
        <v>29416</v>
      </c>
      <c r="E4318" s="51"/>
      <c r="F4318" s="114" t="str">
        <f>IF(INDEX(I.Facility.P1IDNumber,4306)="","",INDEX(I.Facility.P1IDNumber,4306))</f>
        <v/>
      </c>
      <c r="G4318" s="51"/>
      <c r="H4318" s="46" t="str">
        <f>IF(AND(I.Developer.P1=TRUE,I.Facility.P1FacilityCount&gt;=4306,F4318=""),"Incomplete","Complete")</f>
        <v>Complete</v>
      </c>
      <c r="I4318" s="48" t="s">
        <v>8683</v>
      </c>
    </row>
    <row r="4319" spans="2:9" ht="15" customHeight="1" x14ac:dyDescent="0.25">
      <c r="B4319" s="55" t="s">
        <v>279</v>
      </c>
      <c r="C4319" s="46">
        <v>4307</v>
      </c>
      <c r="D4319" s="69" t="s">
        <v>29416</v>
      </c>
      <c r="E4319" s="51"/>
      <c r="F4319" s="114" t="str">
        <f>IF(INDEX(I.Facility.P1IDNumber,4307)="","",INDEX(I.Facility.P1IDNumber,4307))</f>
        <v/>
      </c>
      <c r="G4319" s="51"/>
      <c r="H4319" s="46" t="str">
        <f>IF(AND(I.Developer.P1=TRUE,I.Facility.P1FacilityCount&gt;=4307,F4319=""),"Incomplete","Complete")</f>
        <v>Complete</v>
      </c>
      <c r="I4319" s="48" t="s">
        <v>8684</v>
      </c>
    </row>
    <row r="4320" spans="2:9" ht="15" customHeight="1" x14ac:dyDescent="0.25">
      <c r="B4320" s="55" t="s">
        <v>279</v>
      </c>
      <c r="C4320" s="46">
        <v>4308</v>
      </c>
      <c r="D4320" s="69" t="s">
        <v>29416</v>
      </c>
      <c r="E4320" s="51"/>
      <c r="F4320" s="114" t="str">
        <f>IF(INDEX(I.Facility.P1IDNumber,4308)="","",INDEX(I.Facility.P1IDNumber,4308))</f>
        <v/>
      </c>
      <c r="G4320" s="51"/>
      <c r="H4320" s="46" t="str">
        <f>IF(AND(I.Developer.P1=TRUE,I.Facility.P1FacilityCount&gt;=4308,F4320=""),"Incomplete","Complete")</f>
        <v>Complete</v>
      </c>
      <c r="I4320" s="48" t="s">
        <v>8685</v>
      </c>
    </row>
    <row r="4321" spans="2:9" ht="15" customHeight="1" x14ac:dyDescent="0.25">
      <c r="B4321" s="55" t="s">
        <v>279</v>
      </c>
      <c r="C4321" s="46">
        <v>4309</v>
      </c>
      <c r="D4321" s="69" t="s">
        <v>29416</v>
      </c>
      <c r="E4321" s="51"/>
      <c r="F4321" s="114" t="str">
        <f>IF(INDEX(I.Facility.P1IDNumber,4309)="","",INDEX(I.Facility.P1IDNumber,4309))</f>
        <v/>
      </c>
      <c r="G4321" s="51"/>
      <c r="H4321" s="46" t="str">
        <f>IF(AND(I.Developer.P1=TRUE,I.Facility.P1FacilityCount&gt;=4309,F4321=""),"Incomplete","Complete")</f>
        <v>Complete</v>
      </c>
      <c r="I4321" s="48" t="s">
        <v>8686</v>
      </c>
    </row>
    <row r="4322" spans="2:9" ht="15" customHeight="1" x14ac:dyDescent="0.25">
      <c r="B4322" s="55" t="s">
        <v>279</v>
      </c>
      <c r="C4322" s="46">
        <v>4310</v>
      </c>
      <c r="D4322" s="69" t="s">
        <v>29416</v>
      </c>
      <c r="E4322" s="51"/>
      <c r="F4322" s="114" t="str">
        <f>IF(INDEX(I.Facility.P1IDNumber,4310)="","",INDEX(I.Facility.P1IDNumber,4310))</f>
        <v/>
      </c>
      <c r="G4322" s="51"/>
      <c r="H4322" s="46" t="str">
        <f>IF(AND(I.Developer.P1=TRUE,I.Facility.P1FacilityCount&gt;=4310,F4322=""),"Incomplete","Complete")</f>
        <v>Complete</v>
      </c>
      <c r="I4322" s="48" t="s">
        <v>8687</v>
      </c>
    </row>
    <row r="4323" spans="2:9" ht="15" customHeight="1" x14ac:dyDescent="0.25">
      <c r="B4323" s="55" t="s">
        <v>279</v>
      </c>
      <c r="C4323" s="46">
        <v>4311</v>
      </c>
      <c r="D4323" s="69" t="s">
        <v>29416</v>
      </c>
      <c r="E4323" s="51"/>
      <c r="F4323" s="114" t="str">
        <f>IF(INDEX(I.Facility.P1IDNumber,4311)="","",INDEX(I.Facility.P1IDNumber,4311))</f>
        <v/>
      </c>
      <c r="G4323" s="51"/>
      <c r="H4323" s="46" t="str">
        <f>IF(AND(I.Developer.P1=TRUE,I.Facility.P1FacilityCount&gt;=4311,F4323=""),"Incomplete","Complete")</f>
        <v>Complete</v>
      </c>
      <c r="I4323" s="48" t="s">
        <v>8688</v>
      </c>
    </row>
    <row r="4324" spans="2:9" ht="15" customHeight="1" x14ac:dyDescent="0.25">
      <c r="B4324" s="55" t="s">
        <v>279</v>
      </c>
      <c r="C4324" s="46">
        <v>4312</v>
      </c>
      <c r="D4324" s="69" t="s">
        <v>29416</v>
      </c>
      <c r="E4324" s="51"/>
      <c r="F4324" s="114" t="str">
        <f>IF(INDEX(I.Facility.P1IDNumber,4312)="","",INDEX(I.Facility.P1IDNumber,4312))</f>
        <v/>
      </c>
      <c r="G4324" s="51"/>
      <c r="H4324" s="46" t="str">
        <f>IF(AND(I.Developer.P1=TRUE,I.Facility.P1FacilityCount&gt;=4312,F4324=""),"Incomplete","Complete")</f>
        <v>Complete</v>
      </c>
      <c r="I4324" s="48" t="s">
        <v>8689</v>
      </c>
    </row>
    <row r="4325" spans="2:9" ht="15" customHeight="1" x14ac:dyDescent="0.25">
      <c r="B4325" s="55" t="s">
        <v>279</v>
      </c>
      <c r="C4325" s="46">
        <v>4313</v>
      </c>
      <c r="D4325" s="69" t="s">
        <v>29416</v>
      </c>
      <c r="E4325" s="51"/>
      <c r="F4325" s="114" t="str">
        <f>IF(INDEX(I.Facility.P1IDNumber,4313)="","",INDEX(I.Facility.P1IDNumber,4313))</f>
        <v/>
      </c>
      <c r="G4325" s="51"/>
      <c r="H4325" s="46" t="str">
        <f>IF(AND(I.Developer.P1=TRUE,I.Facility.P1FacilityCount&gt;=4313,F4325=""),"Incomplete","Complete")</f>
        <v>Complete</v>
      </c>
      <c r="I4325" s="48" t="s">
        <v>8690</v>
      </c>
    </row>
    <row r="4326" spans="2:9" ht="15" customHeight="1" x14ac:dyDescent="0.25">
      <c r="B4326" s="55" t="s">
        <v>279</v>
      </c>
      <c r="C4326" s="46">
        <v>4314</v>
      </c>
      <c r="D4326" s="69" t="s">
        <v>29416</v>
      </c>
      <c r="E4326" s="51"/>
      <c r="F4326" s="114" t="str">
        <f>IF(INDEX(I.Facility.P1IDNumber,4314)="","",INDEX(I.Facility.P1IDNumber,4314))</f>
        <v/>
      </c>
      <c r="G4326" s="51"/>
      <c r="H4326" s="46" t="str">
        <f>IF(AND(I.Developer.P1=TRUE,I.Facility.P1FacilityCount&gt;=4314,F4326=""),"Incomplete","Complete")</f>
        <v>Complete</v>
      </c>
      <c r="I4326" s="48" t="s">
        <v>8691</v>
      </c>
    </row>
    <row r="4327" spans="2:9" ht="15" customHeight="1" x14ac:dyDescent="0.25">
      <c r="B4327" s="55" t="s">
        <v>279</v>
      </c>
      <c r="C4327" s="46">
        <v>4315</v>
      </c>
      <c r="D4327" s="69" t="s">
        <v>29416</v>
      </c>
      <c r="E4327" s="51"/>
      <c r="F4327" s="114" t="str">
        <f>IF(INDEX(I.Facility.P1IDNumber,4315)="","",INDEX(I.Facility.P1IDNumber,4315))</f>
        <v/>
      </c>
      <c r="G4327" s="51"/>
      <c r="H4327" s="46" t="str">
        <f>IF(AND(I.Developer.P1=TRUE,I.Facility.P1FacilityCount&gt;=4315,F4327=""),"Incomplete","Complete")</f>
        <v>Complete</v>
      </c>
      <c r="I4327" s="48" t="s">
        <v>8692</v>
      </c>
    </row>
    <row r="4328" spans="2:9" ht="15" customHeight="1" x14ac:dyDescent="0.25">
      <c r="B4328" s="55" t="s">
        <v>279</v>
      </c>
      <c r="C4328" s="46">
        <v>4316</v>
      </c>
      <c r="D4328" s="69" t="s">
        <v>29416</v>
      </c>
      <c r="E4328" s="51"/>
      <c r="F4328" s="114" t="str">
        <f>IF(INDEX(I.Facility.P1IDNumber,4316)="","",INDEX(I.Facility.P1IDNumber,4316))</f>
        <v/>
      </c>
      <c r="G4328" s="51"/>
      <c r="H4328" s="46" t="str">
        <f>IF(AND(I.Developer.P1=TRUE,I.Facility.P1FacilityCount&gt;=4316,F4328=""),"Incomplete","Complete")</f>
        <v>Complete</v>
      </c>
      <c r="I4328" s="48" t="s">
        <v>8693</v>
      </c>
    </row>
    <row r="4329" spans="2:9" ht="15" customHeight="1" x14ac:dyDescent="0.25">
      <c r="B4329" s="55" t="s">
        <v>279</v>
      </c>
      <c r="C4329" s="46">
        <v>4317</v>
      </c>
      <c r="D4329" s="69" t="s">
        <v>29416</v>
      </c>
      <c r="E4329" s="51"/>
      <c r="F4329" s="114" t="str">
        <f>IF(INDEX(I.Facility.P1IDNumber,4317)="","",INDEX(I.Facility.P1IDNumber,4317))</f>
        <v/>
      </c>
      <c r="G4329" s="51"/>
      <c r="H4329" s="46" t="str">
        <f>IF(AND(I.Developer.P1=TRUE,I.Facility.P1FacilityCount&gt;=4317,F4329=""),"Incomplete","Complete")</f>
        <v>Complete</v>
      </c>
      <c r="I4329" s="48" t="s">
        <v>8694</v>
      </c>
    </row>
    <row r="4330" spans="2:9" ht="15" customHeight="1" x14ac:dyDescent="0.25">
      <c r="B4330" s="55" t="s">
        <v>279</v>
      </c>
      <c r="C4330" s="46">
        <v>4318</v>
      </c>
      <c r="D4330" s="69" t="s">
        <v>29416</v>
      </c>
      <c r="E4330" s="51"/>
      <c r="F4330" s="114" t="str">
        <f>IF(INDEX(I.Facility.P1IDNumber,4318)="","",INDEX(I.Facility.P1IDNumber,4318))</f>
        <v/>
      </c>
      <c r="G4330" s="51"/>
      <c r="H4330" s="46" t="str">
        <f>IF(AND(I.Developer.P1=TRUE,I.Facility.P1FacilityCount&gt;=4318,F4330=""),"Incomplete","Complete")</f>
        <v>Complete</v>
      </c>
      <c r="I4330" s="48" t="s">
        <v>8695</v>
      </c>
    </row>
    <row r="4331" spans="2:9" ht="15" customHeight="1" x14ac:dyDescent="0.25">
      <c r="B4331" s="55" t="s">
        <v>279</v>
      </c>
      <c r="C4331" s="46">
        <v>4319</v>
      </c>
      <c r="D4331" s="69" t="s">
        <v>29416</v>
      </c>
      <c r="E4331" s="51"/>
      <c r="F4331" s="114" t="str">
        <f>IF(INDEX(I.Facility.P1IDNumber,4319)="","",INDEX(I.Facility.P1IDNumber,4319))</f>
        <v/>
      </c>
      <c r="G4331" s="51"/>
      <c r="H4331" s="46" t="str">
        <f>IF(AND(I.Developer.P1=TRUE,I.Facility.P1FacilityCount&gt;=4319,F4331=""),"Incomplete","Complete")</f>
        <v>Complete</v>
      </c>
      <c r="I4331" s="48" t="s">
        <v>8696</v>
      </c>
    </row>
    <row r="4332" spans="2:9" ht="15" customHeight="1" x14ac:dyDescent="0.25">
      <c r="B4332" s="55" t="s">
        <v>279</v>
      </c>
      <c r="C4332" s="46">
        <v>4320</v>
      </c>
      <c r="D4332" s="69" t="s">
        <v>29416</v>
      </c>
      <c r="E4332" s="51"/>
      <c r="F4332" s="114" t="str">
        <f>IF(INDEX(I.Facility.P1IDNumber,4320)="","",INDEX(I.Facility.P1IDNumber,4320))</f>
        <v/>
      </c>
      <c r="G4332" s="51"/>
      <c r="H4332" s="46" t="str">
        <f>IF(AND(I.Developer.P1=TRUE,I.Facility.P1FacilityCount&gt;=4320,F4332=""),"Incomplete","Complete")</f>
        <v>Complete</v>
      </c>
      <c r="I4332" s="48" t="s">
        <v>8697</v>
      </c>
    </row>
    <row r="4333" spans="2:9" ht="15" customHeight="1" x14ac:dyDescent="0.25">
      <c r="B4333" s="55" t="s">
        <v>279</v>
      </c>
      <c r="C4333" s="46">
        <v>4321</v>
      </c>
      <c r="D4333" s="69" t="s">
        <v>29416</v>
      </c>
      <c r="E4333" s="51"/>
      <c r="F4333" s="114" t="str">
        <f>IF(INDEX(I.Facility.P1IDNumber,4321)="","",INDEX(I.Facility.P1IDNumber,4321))</f>
        <v/>
      </c>
      <c r="G4333" s="51"/>
      <c r="H4333" s="46" t="str">
        <f>IF(AND(I.Developer.P1=TRUE,I.Facility.P1FacilityCount&gt;=4321,F4333=""),"Incomplete","Complete")</f>
        <v>Complete</v>
      </c>
      <c r="I4333" s="48" t="s">
        <v>8698</v>
      </c>
    </row>
    <row r="4334" spans="2:9" ht="15" customHeight="1" x14ac:dyDescent="0.25">
      <c r="B4334" s="55" t="s">
        <v>279</v>
      </c>
      <c r="C4334" s="46">
        <v>4322</v>
      </c>
      <c r="D4334" s="69" t="s">
        <v>29416</v>
      </c>
      <c r="E4334" s="51"/>
      <c r="F4334" s="114" t="str">
        <f>IF(INDEX(I.Facility.P1IDNumber,4322)="","",INDEX(I.Facility.P1IDNumber,4322))</f>
        <v/>
      </c>
      <c r="G4334" s="51"/>
      <c r="H4334" s="46" t="str">
        <f>IF(AND(I.Developer.P1=TRUE,I.Facility.P1FacilityCount&gt;=4322,F4334=""),"Incomplete","Complete")</f>
        <v>Complete</v>
      </c>
      <c r="I4334" s="48" t="s">
        <v>8699</v>
      </c>
    </row>
    <row r="4335" spans="2:9" ht="15" customHeight="1" x14ac:dyDescent="0.25">
      <c r="B4335" s="55" t="s">
        <v>279</v>
      </c>
      <c r="C4335" s="46">
        <v>4323</v>
      </c>
      <c r="D4335" s="69" t="s">
        <v>29416</v>
      </c>
      <c r="E4335" s="51"/>
      <c r="F4335" s="114" t="str">
        <f>IF(INDEX(I.Facility.P1IDNumber,4323)="","",INDEX(I.Facility.P1IDNumber,4323))</f>
        <v/>
      </c>
      <c r="G4335" s="51"/>
      <c r="H4335" s="46" t="str">
        <f>IF(AND(I.Developer.P1=TRUE,I.Facility.P1FacilityCount&gt;=4323,F4335=""),"Incomplete","Complete")</f>
        <v>Complete</v>
      </c>
      <c r="I4335" s="48" t="s">
        <v>8700</v>
      </c>
    </row>
    <row r="4336" spans="2:9" ht="15" customHeight="1" x14ac:dyDescent="0.25">
      <c r="B4336" s="55" t="s">
        <v>279</v>
      </c>
      <c r="C4336" s="46">
        <v>4324</v>
      </c>
      <c r="D4336" s="69" t="s">
        <v>29416</v>
      </c>
      <c r="E4336" s="51"/>
      <c r="F4336" s="114" t="str">
        <f>IF(INDEX(I.Facility.P1IDNumber,4324)="","",INDEX(I.Facility.P1IDNumber,4324))</f>
        <v/>
      </c>
      <c r="G4336" s="51"/>
      <c r="H4336" s="46" t="str">
        <f>IF(AND(I.Developer.P1=TRUE,I.Facility.P1FacilityCount&gt;=4324,F4336=""),"Incomplete","Complete")</f>
        <v>Complete</v>
      </c>
      <c r="I4336" s="48" t="s">
        <v>8701</v>
      </c>
    </row>
    <row r="4337" spans="2:9" ht="15" customHeight="1" x14ac:dyDescent="0.25">
      <c r="B4337" s="55" t="s">
        <v>279</v>
      </c>
      <c r="C4337" s="46">
        <v>4325</v>
      </c>
      <c r="D4337" s="69" t="s">
        <v>29416</v>
      </c>
      <c r="E4337" s="51"/>
      <c r="F4337" s="114" t="str">
        <f>IF(INDEX(I.Facility.P1IDNumber,4325)="","",INDEX(I.Facility.P1IDNumber,4325))</f>
        <v/>
      </c>
      <c r="G4337" s="51"/>
      <c r="H4337" s="46" t="str">
        <f>IF(AND(I.Developer.P1=TRUE,I.Facility.P1FacilityCount&gt;=4325,F4337=""),"Incomplete","Complete")</f>
        <v>Complete</v>
      </c>
      <c r="I4337" s="48" t="s">
        <v>8702</v>
      </c>
    </row>
    <row r="4338" spans="2:9" ht="15" customHeight="1" x14ac:dyDescent="0.25">
      <c r="B4338" s="55" t="s">
        <v>279</v>
      </c>
      <c r="C4338" s="46">
        <v>4326</v>
      </c>
      <c r="D4338" s="69" t="s">
        <v>29416</v>
      </c>
      <c r="E4338" s="51"/>
      <c r="F4338" s="114" t="str">
        <f>IF(INDEX(I.Facility.P1IDNumber,4326)="","",INDEX(I.Facility.P1IDNumber,4326))</f>
        <v/>
      </c>
      <c r="G4338" s="51"/>
      <c r="H4338" s="46" t="str">
        <f>IF(AND(I.Developer.P1=TRUE,I.Facility.P1FacilityCount&gt;=4326,F4338=""),"Incomplete","Complete")</f>
        <v>Complete</v>
      </c>
      <c r="I4338" s="48" t="s">
        <v>8703</v>
      </c>
    </row>
    <row r="4339" spans="2:9" ht="15" customHeight="1" x14ac:dyDescent="0.25">
      <c r="B4339" s="55" t="s">
        <v>279</v>
      </c>
      <c r="C4339" s="46">
        <v>4327</v>
      </c>
      <c r="D4339" s="69" t="s">
        <v>29416</v>
      </c>
      <c r="E4339" s="51"/>
      <c r="F4339" s="114" t="str">
        <f>IF(INDEX(I.Facility.P1IDNumber,4327)="","",INDEX(I.Facility.P1IDNumber,4327))</f>
        <v/>
      </c>
      <c r="G4339" s="51"/>
      <c r="H4339" s="46" t="str">
        <f>IF(AND(I.Developer.P1=TRUE,I.Facility.P1FacilityCount&gt;=4327,F4339=""),"Incomplete","Complete")</f>
        <v>Complete</v>
      </c>
      <c r="I4339" s="48" t="s">
        <v>8704</v>
      </c>
    </row>
    <row r="4340" spans="2:9" ht="15" customHeight="1" x14ac:dyDescent="0.25">
      <c r="B4340" s="55" t="s">
        <v>279</v>
      </c>
      <c r="C4340" s="46">
        <v>4328</v>
      </c>
      <c r="D4340" s="69" t="s">
        <v>29416</v>
      </c>
      <c r="E4340" s="51"/>
      <c r="F4340" s="114" t="str">
        <f>IF(INDEX(I.Facility.P1IDNumber,4328)="","",INDEX(I.Facility.P1IDNumber,4328))</f>
        <v/>
      </c>
      <c r="G4340" s="51"/>
      <c r="H4340" s="46" t="str">
        <f>IF(AND(I.Developer.P1=TRUE,I.Facility.P1FacilityCount&gt;=4328,F4340=""),"Incomplete","Complete")</f>
        <v>Complete</v>
      </c>
      <c r="I4340" s="48" t="s">
        <v>8705</v>
      </c>
    </row>
    <row r="4341" spans="2:9" ht="15" customHeight="1" x14ac:dyDescent="0.25">
      <c r="B4341" s="55" t="s">
        <v>279</v>
      </c>
      <c r="C4341" s="46">
        <v>4329</v>
      </c>
      <c r="D4341" s="69" t="s">
        <v>29416</v>
      </c>
      <c r="E4341" s="51"/>
      <c r="F4341" s="114" t="str">
        <f>IF(INDEX(I.Facility.P1IDNumber,4329)="","",INDEX(I.Facility.P1IDNumber,4329))</f>
        <v/>
      </c>
      <c r="G4341" s="51"/>
      <c r="H4341" s="46" t="str">
        <f>IF(AND(I.Developer.P1=TRUE,I.Facility.P1FacilityCount&gt;=4329,F4341=""),"Incomplete","Complete")</f>
        <v>Complete</v>
      </c>
      <c r="I4341" s="48" t="s">
        <v>8706</v>
      </c>
    </row>
    <row r="4342" spans="2:9" ht="15" customHeight="1" x14ac:dyDescent="0.25">
      <c r="B4342" s="55" t="s">
        <v>279</v>
      </c>
      <c r="C4342" s="46">
        <v>4330</v>
      </c>
      <c r="D4342" s="69" t="s">
        <v>29416</v>
      </c>
      <c r="E4342" s="51"/>
      <c r="F4342" s="114" t="str">
        <f>IF(INDEX(I.Facility.P1IDNumber,4330)="","",INDEX(I.Facility.P1IDNumber,4330))</f>
        <v/>
      </c>
      <c r="G4342" s="51"/>
      <c r="H4342" s="46" t="str">
        <f>IF(AND(I.Developer.P1=TRUE,I.Facility.P1FacilityCount&gt;=4330,F4342=""),"Incomplete","Complete")</f>
        <v>Complete</v>
      </c>
      <c r="I4342" s="48" t="s">
        <v>8707</v>
      </c>
    </row>
    <row r="4343" spans="2:9" ht="15" customHeight="1" x14ac:dyDescent="0.25">
      <c r="B4343" s="55" t="s">
        <v>279</v>
      </c>
      <c r="C4343" s="46">
        <v>4331</v>
      </c>
      <c r="D4343" s="69" t="s">
        <v>29416</v>
      </c>
      <c r="E4343" s="51"/>
      <c r="F4343" s="114" t="str">
        <f>IF(INDEX(I.Facility.P1IDNumber,4331)="","",INDEX(I.Facility.P1IDNumber,4331))</f>
        <v/>
      </c>
      <c r="G4343" s="51"/>
      <c r="H4343" s="46" t="str">
        <f>IF(AND(I.Developer.P1=TRUE,I.Facility.P1FacilityCount&gt;=4331,F4343=""),"Incomplete","Complete")</f>
        <v>Complete</v>
      </c>
      <c r="I4343" s="48" t="s">
        <v>8708</v>
      </c>
    </row>
    <row r="4344" spans="2:9" ht="15" customHeight="1" x14ac:dyDescent="0.25">
      <c r="B4344" s="55" t="s">
        <v>279</v>
      </c>
      <c r="C4344" s="46">
        <v>4332</v>
      </c>
      <c r="D4344" s="69" t="s">
        <v>29416</v>
      </c>
      <c r="E4344" s="51"/>
      <c r="F4344" s="114" t="str">
        <f>IF(INDEX(I.Facility.P1IDNumber,4332)="","",INDEX(I.Facility.P1IDNumber,4332))</f>
        <v/>
      </c>
      <c r="G4344" s="51"/>
      <c r="H4344" s="46" t="str">
        <f>IF(AND(I.Developer.P1=TRUE,I.Facility.P1FacilityCount&gt;=4332,F4344=""),"Incomplete","Complete")</f>
        <v>Complete</v>
      </c>
      <c r="I4344" s="48" t="s">
        <v>8709</v>
      </c>
    </row>
    <row r="4345" spans="2:9" ht="15" customHeight="1" x14ac:dyDescent="0.25">
      <c r="B4345" s="55" t="s">
        <v>279</v>
      </c>
      <c r="C4345" s="46">
        <v>4333</v>
      </c>
      <c r="D4345" s="69" t="s">
        <v>29416</v>
      </c>
      <c r="E4345" s="51"/>
      <c r="F4345" s="114" t="str">
        <f>IF(INDEX(I.Facility.P1IDNumber,4333)="","",INDEX(I.Facility.P1IDNumber,4333))</f>
        <v/>
      </c>
      <c r="G4345" s="51"/>
      <c r="H4345" s="46" t="str">
        <f>IF(AND(I.Developer.P1=TRUE,I.Facility.P1FacilityCount&gt;=4333,F4345=""),"Incomplete","Complete")</f>
        <v>Complete</v>
      </c>
      <c r="I4345" s="48" t="s">
        <v>8710</v>
      </c>
    </row>
    <row r="4346" spans="2:9" ht="15" customHeight="1" x14ac:dyDescent="0.25">
      <c r="B4346" s="55" t="s">
        <v>279</v>
      </c>
      <c r="C4346" s="46">
        <v>4334</v>
      </c>
      <c r="D4346" s="69" t="s">
        <v>29416</v>
      </c>
      <c r="E4346" s="51"/>
      <c r="F4346" s="114" t="str">
        <f>IF(INDEX(I.Facility.P1IDNumber,4334)="","",INDEX(I.Facility.P1IDNumber,4334))</f>
        <v/>
      </c>
      <c r="G4346" s="51"/>
      <c r="H4346" s="46" t="str">
        <f>IF(AND(I.Developer.P1=TRUE,I.Facility.P1FacilityCount&gt;=4334,F4346=""),"Incomplete","Complete")</f>
        <v>Complete</v>
      </c>
      <c r="I4346" s="48" t="s">
        <v>8711</v>
      </c>
    </row>
    <row r="4347" spans="2:9" ht="15" customHeight="1" x14ac:dyDescent="0.25">
      <c r="B4347" s="55" t="s">
        <v>279</v>
      </c>
      <c r="C4347" s="46">
        <v>4335</v>
      </c>
      <c r="D4347" s="69" t="s">
        <v>29416</v>
      </c>
      <c r="E4347" s="51"/>
      <c r="F4347" s="114" t="str">
        <f>IF(INDEX(I.Facility.P1IDNumber,4335)="","",INDEX(I.Facility.P1IDNumber,4335))</f>
        <v/>
      </c>
      <c r="G4347" s="51"/>
      <c r="H4347" s="46" t="str">
        <f>IF(AND(I.Developer.P1=TRUE,I.Facility.P1FacilityCount&gt;=4335,F4347=""),"Incomplete","Complete")</f>
        <v>Complete</v>
      </c>
      <c r="I4347" s="48" t="s">
        <v>8712</v>
      </c>
    </row>
    <row r="4348" spans="2:9" ht="15" customHeight="1" x14ac:dyDescent="0.25">
      <c r="B4348" s="55" t="s">
        <v>279</v>
      </c>
      <c r="C4348" s="46">
        <v>4336</v>
      </c>
      <c r="D4348" s="69" t="s">
        <v>29416</v>
      </c>
      <c r="E4348" s="51"/>
      <c r="F4348" s="114" t="str">
        <f>IF(INDEX(I.Facility.P1IDNumber,4336)="","",INDEX(I.Facility.P1IDNumber,4336))</f>
        <v/>
      </c>
      <c r="G4348" s="51"/>
      <c r="H4348" s="46" t="str">
        <f>IF(AND(I.Developer.P1=TRUE,I.Facility.P1FacilityCount&gt;=4336,F4348=""),"Incomplete","Complete")</f>
        <v>Complete</v>
      </c>
      <c r="I4348" s="48" t="s">
        <v>8713</v>
      </c>
    </row>
    <row r="4349" spans="2:9" ht="15" customHeight="1" x14ac:dyDescent="0.25">
      <c r="B4349" s="55" t="s">
        <v>279</v>
      </c>
      <c r="C4349" s="46">
        <v>4337</v>
      </c>
      <c r="D4349" s="69" t="s">
        <v>29416</v>
      </c>
      <c r="E4349" s="51"/>
      <c r="F4349" s="114" t="str">
        <f>IF(INDEX(I.Facility.P1IDNumber,4337)="","",INDEX(I.Facility.P1IDNumber,4337))</f>
        <v/>
      </c>
      <c r="G4349" s="51"/>
      <c r="H4349" s="46" t="str">
        <f>IF(AND(I.Developer.P1=TRUE,I.Facility.P1FacilityCount&gt;=4337,F4349=""),"Incomplete","Complete")</f>
        <v>Complete</v>
      </c>
      <c r="I4349" s="48" t="s">
        <v>8714</v>
      </c>
    </row>
    <row r="4350" spans="2:9" ht="15" customHeight="1" x14ac:dyDescent="0.25">
      <c r="B4350" s="55" t="s">
        <v>279</v>
      </c>
      <c r="C4350" s="46">
        <v>4338</v>
      </c>
      <c r="D4350" s="69" t="s">
        <v>29416</v>
      </c>
      <c r="E4350" s="51"/>
      <c r="F4350" s="114" t="str">
        <f>IF(INDEX(I.Facility.P1IDNumber,4338)="","",INDEX(I.Facility.P1IDNumber,4338))</f>
        <v/>
      </c>
      <c r="G4350" s="51"/>
      <c r="H4350" s="46" t="str">
        <f>IF(AND(I.Developer.P1=TRUE,I.Facility.P1FacilityCount&gt;=4338,F4350=""),"Incomplete","Complete")</f>
        <v>Complete</v>
      </c>
      <c r="I4350" s="48" t="s">
        <v>8715</v>
      </c>
    </row>
    <row r="4351" spans="2:9" ht="15" customHeight="1" x14ac:dyDescent="0.25">
      <c r="B4351" s="55" t="s">
        <v>279</v>
      </c>
      <c r="C4351" s="46">
        <v>4339</v>
      </c>
      <c r="D4351" s="69" t="s">
        <v>29416</v>
      </c>
      <c r="E4351" s="51"/>
      <c r="F4351" s="114" t="str">
        <f>IF(INDEX(I.Facility.P1IDNumber,4339)="","",INDEX(I.Facility.P1IDNumber,4339))</f>
        <v/>
      </c>
      <c r="G4351" s="51"/>
      <c r="H4351" s="46" t="str">
        <f>IF(AND(I.Developer.P1=TRUE,I.Facility.P1FacilityCount&gt;=4339,F4351=""),"Incomplete","Complete")</f>
        <v>Complete</v>
      </c>
      <c r="I4351" s="48" t="s">
        <v>8716</v>
      </c>
    </row>
    <row r="4352" spans="2:9" ht="15" customHeight="1" x14ac:dyDescent="0.25">
      <c r="B4352" s="55" t="s">
        <v>279</v>
      </c>
      <c r="C4352" s="46">
        <v>4340</v>
      </c>
      <c r="D4352" s="69" t="s">
        <v>29416</v>
      </c>
      <c r="E4352" s="51"/>
      <c r="F4352" s="114" t="str">
        <f>IF(INDEX(I.Facility.P1IDNumber,4340)="","",INDEX(I.Facility.P1IDNumber,4340))</f>
        <v/>
      </c>
      <c r="G4352" s="51"/>
      <c r="H4352" s="46" t="str">
        <f>IF(AND(I.Developer.P1=TRUE,I.Facility.P1FacilityCount&gt;=4340,F4352=""),"Incomplete","Complete")</f>
        <v>Complete</v>
      </c>
      <c r="I4352" s="48" t="s">
        <v>8717</v>
      </c>
    </row>
    <row r="4353" spans="2:9" ht="15" customHeight="1" x14ac:dyDescent="0.25">
      <c r="B4353" s="55" t="s">
        <v>279</v>
      </c>
      <c r="C4353" s="46">
        <v>4341</v>
      </c>
      <c r="D4353" s="69" t="s">
        <v>29416</v>
      </c>
      <c r="E4353" s="51"/>
      <c r="F4353" s="114" t="str">
        <f>IF(INDEX(I.Facility.P1IDNumber,4341)="","",INDEX(I.Facility.P1IDNumber,4341))</f>
        <v/>
      </c>
      <c r="G4353" s="51"/>
      <c r="H4353" s="46" t="str">
        <f>IF(AND(I.Developer.P1=TRUE,I.Facility.P1FacilityCount&gt;=4341,F4353=""),"Incomplete","Complete")</f>
        <v>Complete</v>
      </c>
      <c r="I4353" s="48" t="s">
        <v>8718</v>
      </c>
    </row>
    <row r="4354" spans="2:9" ht="15" customHeight="1" x14ac:dyDescent="0.25">
      <c r="B4354" s="55" t="s">
        <v>279</v>
      </c>
      <c r="C4354" s="46">
        <v>4342</v>
      </c>
      <c r="D4354" s="69" t="s">
        <v>29416</v>
      </c>
      <c r="E4354" s="51"/>
      <c r="F4354" s="114" t="str">
        <f>IF(INDEX(I.Facility.P1IDNumber,4342)="","",INDEX(I.Facility.P1IDNumber,4342))</f>
        <v/>
      </c>
      <c r="G4354" s="51"/>
      <c r="H4354" s="46" t="str">
        <f>IF(AND(I.Developer.P1=TRUE,I.Facility.P1FacilityCount&gt;=4342,F4354=""),"Incomplete","Complete")</f>
        <v>Complete</v>
      </c>
      <c r="I4354" s="48" t="s">
        <v>8719</v>
      </c>
    </row>
    <row r="4355" spans="2:9" ht="15" customHeight="1" x14ac:dyDescent="0.25">
      <c r="B4355" s="55" t="s">
        <v>279</v>
      </c>
      <c r="C4355" s="46">
        <v>4343</v>
      </c>
      <c r="D4355" s="69" t="s">
        <v>29416</v>
      </c>
      <c r="E4355" s="51"/>
      <c r="F4355" s="114" t="str">
        <f>IF(INDEX(I.Facility.P1IDNumber,4343)="","",INDEX(I.Facility.P1IDNumber,4343))</f>
        <v/>
      </c>
      <c r="G4355" s="51"/>
      <c r="H4355" s="46" t="str">
        <f>IF(AND(I.Developer.P1=TRUE,I.Facility.P1FacilityCount&gt;=4343,F4355=""),"Incomplete","Complete")</f>
        <v>Complete</v>
      </c>
      <c r="I4355" s="48" t="s">
        <v>8720</v>
      </c>
    </row>
    <row r="4356" spans="2:9" ht="15" customHeight="1" x14ac:dyDescent="0.25">
      <c r="B4356" s="55" t="s">
        <v>279</v>
      </c>
      <c r="C4356" s="46">
        <v>4344</v>
      </c>
      <c r="D4356" s="69" t="s">
        <v>29416</v>
      </c>
      <c r="E4356" s="51"/>
      <c r="F4356" s="114" t="str">
        <f>IF(INDEX(I.Facility.P1IDNumber,4344)="","",INDEX(I.Facility.P1IDNumber,4344))</f>
        <v/>
      </c>
      <c r="G4356" s="51"/>
      <c r="H4356" s="46" t="str">
        <f>IF(AND(I.Developer.P1=TRUE,I.Facility.P1FacilityCount&gt;=4344,F4356=""),"Incomplete","Complete")</f>
        <v>Complete</v>
      </c>
      <c r="I4356" s="48" t="s">
        <v>8721</v>
      </c>
    </row>
    <row r="4357" spans="2:9" ht="15" customHeight="1" x14ac:dyDescent="0.25">
      <c r="B4357" s="55" t="s">
        <v>279</v>
      </c>
      <c r="C4357" s="46">
        <v>4345</v>
      </c>
      <c r="D4357" s="69" t="s">
        <v>29416</v>
      </c>
      <c r="E4357" s="51"/>
      <c r="F4357" s="114" t="str">
        <f>IF(INDEX(I.Facility.P1IDNumber,4345)="","",INDEX(I.Facility.P1IDNumber,4345))</f>
        <v/>
      </c>
      <c r="G4357" s="51"/>
      <c r="H4357" s="46" t="str">
        <f>IF(AND(I.Developer.P1=TRUE,I.Facility.P1FacilityCount&gt;=4345,F4357=""),"Incomplete","Complete")</f>
        <v>Complete</v>
      </c>
      <c r="I4357" s="48" t="s">
        <v>8722</v>
      </c>
    </row>
    <row r="4358" spans="2:9" ht="15" customHeight="1" x14ac:dyDescent="0.25">
      <c r="B4358" s="55" t="s">
        <v>279</v>
      </c>
      <c r="C4358" s="46">
        <v>4346</v>
      </c>
      <c r="D4358" s="69" t="s">
        <v>29416</v>
      </c>
      <c r="E4358" s="51"/>
      <c r="F4358" s="114" t="str">
        <f>IF(INDEX(I.Facility.P1IDNumber,4346)="","",INDEX(I.Facility.P1IDNumber,4346))</f>
        <v/>
      </c>
      <c r="G4358" s="51"/>
      <c r="H4358" s="46" t="str">
        <f>IF(AND(I.Developer.P1=TRUE,I.Facility.P1FacilityCount&gt;=4346,F4358=""),"Incomplete","Complete")</f>
        <v>Complete</v>
      </c>
      <c r="I4358" s="48" t="s">
        <v>8723</v>
      </c>
    </row>
    <row r="4359" spans="2:9" ht="15" customHeight="1" x14ac:dyDescent="0.25">
      <c r="B4359" s="55" t="s">
        <v>279</v>
      </c>
      <c r="C4359" s="46">
        <v>4347</v>
      </c>
      <c r="D4359" s="69" t="s">
        <v>29416</v>
      </c>
      <c r="E4359" s="51"/>
      <c r="F4359" s="114" t="str">
        <f>IF(INDEX(I.Facility.P1IDNumber,4347)="","",INDEX(I.Facility.P1IDNumber,4347))</f>
        <v/>
      </c>
      <c r="G4359" s="51"/>
      <c r="H4359" s="46" t="str">
        <f>IF(AND(I.Developer.P1=TRUE,I.Facility.P1FacilityCount&gt;=4347,F4359=""),"Incomplete","Complete")</f>
        <v>Complete</v>
      </c>
      <c r="I4359" s="48" t="s">
        <v>8724</v>
      </c>
    </row>
    <row r="4360" spans="2:9" ht="15" customHeight="1" x14ac:dyDescent="0.25">
      <c r="B4360" s="55" t="s">
        <v>279</v>
      </c>
      <c r="C4360" s="46">
        <v>4348</v>
      </c>
      <c r="D4360" s="69" t="s">
        <v>29416</v>
      </c>
      <c r="E4360" s="51"/>
      <c r="F4360" s="114" t="str">
        <f>IF(INDEX(I.Facility.P1IDNumber,4348)="","",INDEX(I.Facility.P1IDNumber,4348))</f>
        <v/>
      </c>
      <c r="G4360" s="51"/>
      <c r="H4360" s="46" t="str">
        <f>IF(AND(I.Developer.P1=TRUE,I.Facility.P1FacilityCount&gt;=4348,F4360=""),"Incomplete","Complete")</f>
        <v>Complete</v>
      </c>
      <c r="I4360" s="48" t="s">
        <v>8725</v>
      </c>
    </row>
    <row r="4361" spans="2:9" ht="15" customHeight="1" x14ac:dyDescent="0.25">
      <c r="B4361" s="55" t="s">
        <v>279</v>
      </c>
      <c r="C4361" s="46">
        <v>4349</v>
      </c>
      <c r="D4361" s="69" t="s">
        <v>29416</v>
      </c>
      <c r="E4361" s="51"/>
      <c r="F4361" s="114" t="str">
        <f>IF(INDEX(I.Facility.P1IDNumber,4349)="","",INDEX(I.Facility.P1IDNumber,4349))</f>
        <v/>
      </c>
      <c r="G4361" s="51"/>
      <c r="H4361" s="46" t="str">
        <f>IF(AND(I.Developer.P1=TRUE,I.Facility.P1FacilityCount&gt;=4349,F4361=""),"Incomplete","Complete")</f>
        <v>Complete</v>
      </c>
      <c r="I4361" s="48" t="s">
        <v>8726</v>
      </c>
    </row>
    <row r="4362" spans="2:9" ht="15" customHeight="1" x14ac:dyDescent="0.25">
      <c r="B4362" s="55" t="s">
        <v>279</v>
      </c>
      <c r="C4362" s="46">
        <v>4350</v>
      </c>
      <c r="D4362" s="69" t="s">
        <v>29416</v>
      </c>
      <c r="E4362" s="51"/>
      <c r="F4362" s="114" t="str">
        <f>IF(INDEX(I.Facility.P1IDNumber,4350)="","",INDEX(I.Facility.P1IDNumber,4350))</f>
        <v/>
      </c>
      <c r="G4362" s="51"/>
      <c r="H4362" s="46" t="str">
        <f>IF(AND(I.Developer.P1=TRUE,I.Facility.P1FacilityCount&gt;=4350,F4362=""),"Incomplete","Complete")</f>
        <v>Complete</v>
      </c>
      <c r="I4362" s="48" t="s">
        <v>8727</v>
      </c>
    </row>
    <row r="4363" spans="2:9" ht="15" customHeight="1" x14ac:dyDescent="0.25">
      <c r="B4363" s="55" t="s">
        <v>279</v>
      </c>
      <c r="C4363" s="46">
        <v>4351</v>
      </c>
      <c r="D4363" s="69" t="s">
        <v>29416</v>
      </c>
      <c r="E4363" s="51"/>
      <c r="F4363" s="114" t="str">
        <f>IF(INDEX(I.Facility.P1IDNumber,4351)="","",INDEX(I.Facility.P1IDNumber,4351))</f>
        <v/>
      </c>
      <c r="G4363" s="51"/>
      <c r="H4363" s="46" t="str">
        <f>IF(AND(I.Developer.P1=TRUE,I.Facility.P1FacilityCount&gt;=4351,F4363=""),"Incomplete","Complete")</f>
        <v>Complete</v>
      </c>
      <c r="I4363" s="48" t="s">
        <v>8728</v>
      </c>
    </row>
    <row r="4364" spans="2:9" ht="15" customHeight="1" x14ac:dyDescent="0.25">
      <c r="B4364" s="55" t="s">
        <v>279</v>
      </c>
      <c r="C4364" s="46">
        <v>4352</v>
      </c>
      <c r="D4364" s="69" t="s">
        <v>29416</v>
      </c>
      <c r="E4364" s="51"/>
      <c r="F4364" s="114" t="str">
        <f>IF(INDEX(I.Facility.P1IDNumber,4352)="","",INDEX(I.Facility.P1IDNumber,4352))</f>
        <v/>
      </c>
      <c r="G4364" s="51"/>
      <c r="H4364" s="46" t="str">
        <f>IF(AND(I.Developer.P1=TRUE,I.Facility.P1FacilityCount&gt;=4352,F4364=""),"Incomplete","Complete")</f>
        <v>Complete</v>
      </c>
      <c r="I4364" s="48" t="s">
        <v>8729</v>
      </c>
    </row>
    <row r="4365" spans="2:9" ht="15" customHeight="1" x14ac:dyDescent="0.25">
      <c r="B4365" s="55" t="s">
        <v>279</v>
      </c>
      <c r="C4365" s="46">
        <v>4353</v>
      </c>
      <c r="D4365" s="69" t="s">
        <v>29416</v>
      </c>
      <c r="E4365" s="51"/>
      <c r="F4365" s="114" t="str">
        <f>IF(INDEX(I.Facility.P1IDNumber,4353)="","",INDEX(I.Facility.P1IDNumber,4353))</f>
        <v/>
      </c>
      <c r="G4365" s="51"/>
      <c r="H4365" s="46" t="str">
        <f>IF(AND(I.Developer.P1=TRUE,I.Facility.P1FacilityCount&gt;=4353,F4365=""),"Incomplete","Complete")</f>
        <v>Complete</v>
      </c>
      <c r="I4365" s="48" t="s">
        <v>8730</v>
      </c>
    </row>
    <row r="4366" spans="2:9" ht="15" customHeight="1" x14ac:dyDescent="0.25">
      <c r="B4366" s="55" t="s">
        <v>279</v>
      </c>
      <c r="C4366" s="46">
        <v>4354</v>
      </c>
      <c r="D4366" s="69" t="s">
        <v>29416</v>
      </c>
      <c r="E4366" s="51"/>
      <c r="F4366" s="114" t="str">
        <f>IF(INDEX(I.Facility.P1IDNumber,4354)="","",INDEX(I.Facility.P1IDNumber,4354))</f>
        <v/>
      </c>
      <c r="G4366" s="51"/>
      <c r="H4366" s="46" t="str">
        <f>IF(AND(I.Developer.P1=TRUE,I.Facility.P1FacilityCount&gt;=4354,F4366=""),"Incomplete","Complete")</f>
        <v>Complete</v>
      </c>
      <c r="I4366" s="48" t="s">
        <v>8731</v>
      </c>
    </row>
    <row r="4367" spans="2:9" ht="15" customHeight="1" x14ac:dyDescent="0.25">
      <c r="B4367" s="55" t="s">
        <v>279</v>
      </c>
      <c r="C4367" s="46">
        <v>4355</v>
      </c>
      <c r="D4367" s="69" t="s">
        <v>29416</v>
      </c>
      <c r="E4367" s="51"/>
      <c r="F4367" s="114" t="str">
        <f>IF(INDEX(I.Facility.P1IDNumber,4355)="","",INDEX(I.Facility.P1IDNumber,4355))</f>
        <v/>
      </c>
      <c r="G4367" s="51"/>
      <c r="H4367" s="46" t="str">
        <f>IF(AND(I.Developer.P1=TRUE,I.Facility.P1FacilityCount&gt;=4355,F4367=""),"Incomplete","Complete")</f>
        <v>Complete</v>
      </c>
      <c r="I4367" s="48" t="s">
        <v>8732</v>
      </c>
    </row>
    <row r="4368" spans="2:9" ht="15" customHeight="1" x14ac:dyDescent="0.25">
      <c r="B4368" s="55" t="s">
        <v>279</v>
      </c>
      <c r="C4368" s="46">
        <v>4356</v>
      </c>
      <c r="D4368" s="69" t="s">
        <v>29416</v>
      </c>
      <c r="E4368" s="51"/>
      <c r="F4368" s="114" t="str">
        <f>IF(INDEX(I.Facility.P1IDNumber,4356)="","",INDEX(I.Facility.P1IDNumber,4356))</f>
        <v/>
      </c>
      <c r="G4368" s="51"/>
      <c r="H4368" s="46" t="str">
        <f>IF(AND(I.Developer.P1=TRUE,I.Facility.P1FacilityCount&gt;=4356,F4368=""),"Incomplete","Complete")</f>
        <v>Complete</v>
      </c>
      <c r="I4368" s="48" t="s">
        <v>8733</v>
      </c>
    </row>
    <row r="4369" spans="2:9" ht="15" customHeight="1" x14ac:dyDescent="0.25">
      <c r="B4369" s="55" t="s">
        <v>279</v>
      </c>
      <c r="C4369" s="46">
        <v>4357</v>
      </c>
      <c r="D4369" s="69" t="s">
        <v>29416</v>
      </c>
      <c r="E4369" s="51"/>
      <c r="F4369" s="114" t="str">
        <f>IF(INDEX(I.Facility.P1IDNumber,4357)="","",INDEX(I.Facility.P1IDNumber,4357))</f>
        <v/>
      </c>
      <c r="G4369" s="51"/>
      <c r="H4369" s="46" t="str">
        <f>IF(AND(I.Developer.P1=TRUE,I.Facility.P1FacilityCount&gt;=4357,F4369=""),"Incomplete","Complete")</f>
        <v>Complete</v>
      </c>
      <c r="I4369" s="48" t="s">
        <v>8734</v>
      </c>
    </row>
    <row r="4370" spans="2:9" ht="15" customHeight="1" x14ac:dyDescent="0.25">
      <c r="B4370" s="55" t="s">
        <v>279</v>
      </c>
      <c r="C4370" s="46">
        <v>4358</v>
      </c>
      <c r="D4370" s="69" t="s">
        <v>29416</v>
      </c>
      <c r="E4370" s="51"/>
      <c r="F4370" s="114" t="str">
        <f>IF(INDEX(I.Facility.P1IDNumber,4358)="","",INDEX(I.Facility.P1IDNumber,4358))</f>
        <v/>
      </c>
      <c r="G4370" s="51"/>
      <c r="H4370" s="46" t="str">
        <f>IF(AND(I.Developer.P1=TRUE,I.Facility.P1FacilityCount&gt;=4358,F4370=""),"Incomplete","Complete")</f>
        <v>Complete</v>
      </c>
      <c r="I4370" s="48" t="s">
        <v>8735</v>
      </c>
    </row>
    <row r="4371" spans="2:9" ht="15" customHeight="1" x14ac:dyDescent="0.25">
      <c r="B4371" s="55" t="s">
        <v>279</v>
      </c>
      <c r="C4371" s="46">
        <v>4359</v>
      </c>
      <c r="D4371" s="69" t="s">
        <v>29416</v>
      </c>
      <c r="E4371" s="51"/>
      <c r="F4371" s="114" t="str">
        <f>IF(INDEX(I.Facility.P1IDNumber,4359)="","",INDEX(I.Facility.P1IDNumber,4359))</f>
        <v/>
      </c>
      <c r="G4371" s="51"/>
      <c r="H4371" s="46" t="str">
        <f>IF(AND(I.Developer.P1=TRUE,I.Facility.P1FacilityCount&gt;=4359,F4371=""),"Incomplete","Complete")</f>
        <v>Complete</v>
      </c>
      <c r="I4371" s="48" t="s">
        <v>8736</v>
      </c>
    </row>
    <row r="4372" spans="2:9" ht="15" customHeight="1" x14ac:dyDescent="0.25">
      <c r="B4372" s="55" t="s">
        <v>279</v>
      </c>
      <c r="C4372" s="46">
        <v>4360</v>
      </c>
      <c r="D4372" s="69" t="s">
        <v>29416</v>
      </c>
      <c r="E4372" s="51"/>
      <c r="F4372" s="114" t="str">
        <f>IF(INDEX(I.Facility.P1IDNumber,4360)="","",INDEX(I.Facility.P1IDNumber,4360))</f>
        <v/>
      </c>
      <c r="G4372" s="51"/>
      <c r="H4372" s="46" t="str">
        <f>IF(AND(I.Developer.P1=TRUE,I.Facility.P1FacilityCount&gt;=4360,F4372=""),"Incomplete","Complete")</f>
        <v>Complete</v>
      </c>
      <c r="I4372" s="48" t="s">
        <v>8737</v>
      </c>
    </row>
    <row r="4373" spans="2:9" ht="15" customHeight="1" x14ac:dyDescent="0.25">
      <c r="B4373" s="55" t="s">
        <v>279</v>
      </c>
      <c r="C4373" s="46">
        <v>4361</v>
      </c>
      <c r="D4373" s="69" t="s">
        <v>29416</v>
      </c>
      <c r="E4373" s="51"/>
      <c r="F4373" s="114" t="str">
        <f>IF(INDEX(I.Facility.P1IDNumber,4361)="","",INDEX(I.Facility.P1IDNumber,4361))</f>
        <v/>
      </c>
      <c r="G4373" s="51"/>
      <c r="H4373" s="46" t="str">
        <f>IF(AND(I.Developer.P1=TRUE,I.Facility.P1FacilityCount&gt;=4361,F4373=""),"Incomplete","Complete")</f>
        <v>Complete</v>
      </c>
      <c r="I4373" s="48" t="s">
        <v>8738</v>
      </c>
    </row>
    <row r="4374" spans="2:9" ht="15" customHeight="1" x14ac:dyDescent="0.25">
      <c r="B4374" s="55" t="s">
        <v>279</v>
      </c>
      <c r="C4374" s="46">
        <v>4362</v>
      </c>
      <c r="D4374" s="69" t="s">
        <v>29416</v>
      </c>
      <c r="E4374" s="51"/>
      <c r="F4374" s="114" t="str">
        <f>IF(INDEX(I.Facility.P1IDNumber,4362)="","",INDEX(I.Facility.P1IDNumber,4362))</f>
        <v/>
      </c>
      <c r="G4374" s="51"/>
      <c r="H4374" s="46" t="str">
        <f>IF(AND(I.Developer.P1=TRUE,I.Facility.P1FacilityCount&gt;=4362,F4374=""),"Incomplete","Complete")</f>
        <v>Complete</v>
      </c>
      <c r="I4374" s="48" t="s">
        <v>8739</v>
      </c>
    </row>
    <row r="4375" spans="2:9" ht="15" customHeight="1" x14ac:dyDescent="0.25">
      <c r="B4375" s="55" t="s">
        <v>279</v>
      </c>
      <c r="C4375" s="46">
        <v>4363</v>
      </c>
      <c r="D4375" s="69" t="s">
        <v>29416</v>
      </c>
      <c r="E4375" s="51"/>
      <c r="F4375" s="114" t="str">
        <f>IF(INDEX(I.Facility.P1IDNumber,4363)="","",INDEX(I.Facility.P1IDNumber,4363))</f>
        <v/>
      </c>
      <c r="G4375" s="51"/>
      <c r="H4375" s="46" t="str">
        <f>IF(AND(I.Developer.P1=TRUE,I.Facility.P1FacilityCount&gt;=4363,F4375=""),"Incomplete","Complete")</f>
        <v>Complete</v>
      </c>
      <c r="I4375" s="48" t="s">
        <v>8740</v>
      </c>
    </row>
    <row r="4376" spans="2:9" ht="15" customHeight="1" x14ac:dyDescent="0.25">
      <c r="B4376" s="55" t="s">
        <v>279</v>
      </c>
      <c r="C4376" s="46">
        <v>4364</v>
      </c>
      <c r="D4376" s="69" t="s">
        <v>29416</v>
      </c>
      <c r="E4376" s="51"/>
      <c r="F4376" s="114" t="str">
        <f>IF(INDEX(I.Facility.P1IDNumber,4364)="","",INDEX(I.Facility.P1IDNumber,4364))</f>
        <v/>
      </c>
      <c r="G4376" s="51"/>
      <c r="H4376" s="46" t="str">
        <f>IF(AND(I.Developer.P1=TRUE,I.Facility.P1FacilityCount&gt;=4364,F4376=""),"Incomplete","Complete")</f>
        <v>Complete</v>
      </c>
      <c r="I4376" s="48" t="s">
        <v>8741</v>
      </c>
    </row>
    <row r="4377" spans="2:9" ht="15" customHeight="1" x14ac:dyDescent="0.25">
      <c r="B4377" s="55" t="s">
        <v>279</v>
      </c>
      <c r="C4377" s="46">
        <v>4365</v>
      </c>
      <c r="D4377" s="69" t="s">
        <v>29416</v>
      </c>
      <c r="E4377" s="51"/>
      <c r="F4377" s="114" t="str">
        <f>IF(INDEX(I.Facility.P1IDNumber,4365)="","",INDEX(I.Facility.P1IDNumber,4365))</f>
        <v/>
      </c>
      <c r="G4377" s="51"/>
      <c r="H4377" s="46" t="str">
        <f>IF(AND(I.Developer.P1=TRUE,I.Facility.P1FacilityCount&gt;=4365,F4377=""),"Incomplete","Complete")</f>
        <v>Complete</v>
      </c>
      <c r="I4377" s="48" t="s">
        <v>8742</v>
      </c>
    </row>
    <row r="4378" spans="2:9" ht="15" customHeight="1" x14ac:dyDescent="0.25">
      <c r="B4378" s="55" t="s">
        <v>279</v>
      </c>
      <c r="C4378" s="46">
        <v>4366</v>
      </c>
      <c r="D4378" s="69" t="s">
        <v>29416</v>
      </c>
      <c r="E4378" s="51"/>
      <c r="F4378" s="114" t="str">
        <f>IF(INDEX(I.Facility.P1IDNumber,4366)="","",INDEX(I.Facility.P1IDNumber,4366))</f>
        <v/>
      </c>
      <c r="G4378" s="51"/>
      <c r="H4378" s="46" t="str">
        <f>IF(AND(I.Developer.P1=TRUE,I.Facility.P1FacilityCount&gt;=4366,F4378=""),"Incomplete","Complete")</f>
        <v>Complete</v>
      </c>
      <c r="I4378" s="48" t="s">
        <v>8743</v>
      </c>
    </row>
    <row r="4379" spans="2:9" ht="15" customHeight="1" x14ac:dyDescent="0.25">
      <c r="B4379" s="55" t="s">
        <v>279</v>
      </c>
      <c r="C4379" s="46">
        <v>4367</v>
      </c>
      <c r="D4379" s="69" t="s">
        <v>29416</v>
      </c>
      <c r="E4379" s="51"/>
      <c r="F4379" s="114" t="str">
        <f>IF(INDEX(I.Facility.P1IDNumber,4367)="","",INDEX(I.Facility.P1IDNumber,4367))</f>
        <v/>
      </c>
      <c r="G4379" s="51"/>
      <c r="H4379" s="46" t="str">
        <f>IF(AND(I.Developer.P1=TRUE,I.Facility.P1FacilityCount&gt;=4367,F4379=""),"Incomplete","Complete")</f>
        <v>Complete</v>
      </c>
      <c r="I4379" s="48" t="s">
        <v>8744</v>
      </c>
    </row>
    <row r="4380" spans="2:9" ht="15" customHeight="1" x14ac:dyDescent="0.25">
      <c r="B4380" s="55" t="s">
        <v>279</v>
      </c>
      <c r="C4380" s="46">
        <v>4368</v>
      </c>
      <c r="D4380" s="69" t="s">
        <v>29416</v>
      </c>
      <c r="E4380" s="51"/>
      <c r="F4380" s="114" t="str">
        <f>IF(INDEX(I.Facility.P1IDNumber,4368)="","",INDEX(I.Facility.P1IDNumber,4368))</f>
        <v/>
      </c>
      <c r="G4380" s="51"/>
      <c r="H4380" s="46" t="str">
        <f>IF(AND(I.Developer.P1=TRUE,I.Facility.P1FacilityCount&gt;=4368,F4380=""),"Incomplete","Complete")</f>
        <v>Complete</v>
      </c>
      <c r="I4380" s="48" t="s">
        <v>8745</v>
      </c>
    </row>
    <row r="4381" spans="2:9" ht="15" customHeight="1" x14ac:dyDescent="0.25">
      <c r="B4381" s="55" t="s">
        <v>279</v>
      </c>
      <c r="C4381" s="46">
        <v>4369</v>
      </c>
      <c r="D4381" s="69" t="s">
        <v>29416</v>
      </c>
      <c r="E4381" s="51"/>
      <c r="F4381" s="114" t="str">
        <f>IF(INDEX(I.Facility.P1IDNumber,4369)="","",INDEX(I.Facility.P1IDNumber,4369))</f>
        <v/>
      </c>
      <c r="G4381" s="51"/>
      <c r="H4381" s="46" t="str">
        <f>IF(AND(I.Developer.P1=TRUE,I.Facility.P1FacilityCount&gt;=4369,F4381=""),"Incomplete","Complete")</f>
        <v>Complete</v>
      </c>
      <c r="I4381" s="48" t="s">
        <v>8746</v>
      </c>
    </row>
    <row r="4382" spans="2:9" ht="15" customHeight="1" x14ac:dyDescent="0.25">
      <c r="B4382" s="55" t="s">
        <v>279</v>
      </c>
      <c r="C4382" s="46">
        <v>4370</v>
      </c>
      <c r="D4382" s="69" t="s">
        <v>29416</v>
      </c>
      <c r="E4382" s="51"/>
      <c r="F4382" s="114" t="str">
        <f>IF(INDEX(I.Facility.P1IDNumber,4370)="","",INDEX(I.Facility.P1IDNumber,4370))</f>
        <v/>
      </c>
      <c r="G4382" s="51"/>
      <c r="H4382" s="46" t="str">
        <f>IF(AND(I.Developer.P1=TRUE,I.Facility.P1FacilityCount&gt;=4370,F4382=""),"Incomplete","Complete")</f>
        <v>Complete</v>
      </c>
      <c r="I4382" s="48" t="s">
        <v>8747</v>
      </c>
    </row>
    <row r="4383" spans="2:9" ht="15" customHeight="1" x14ac:dyDescent="0.25">
      <c r="B4383" s="55" t="s">
        <v>279</v>
      </c>
      <c r="C4383" s="46">
        <v>4371</v>
      </c>
      <c r="D4383" s="69" t="s">
        <v>29416</v>
      </c>
      <c r="E4383" s="51"/>
      <c r="F4383" s="114" t="str">
        <f>IF(INDEX(I.Facility.P1IDNumber,4371)="","",INDEX(I.Facility.P1IDNumber,4371))</f>
        <v/>
      </c>
      <c r="G4383" s="51"/>
      <c r="H4383" s="46" t="str">
        <f>IF(AND(I.Developer.P1=TRUE,I.Facility.P1FacilityCount&gt;=4371,F4383=""),"Incomplete","Complete")</f>
        <v>Complete</v>
      </c>
      <c r="I4383" s="48" t="s">
        <v>8748</v>
      </c>
    </row>
    <row r="4384" spans="2:9" ht="15" customHeight="1" x14ac:dyDescent="0.25">
      <c r="B4384" s="55" t="s">
        <v>279</v>
      </c>
      <c r="C4384" s="46">
        <v>4372</v>
      </c>
      <c r="D4384" s="69" t="s">
        <v>29416</v>
      </c>
      <c r="E4384" s="51"/>
      <c r="F4384" s="114" t="str">
        <f>IF(INDEX(I.Facility.P1IDNumber,4372)="","",INDEX(I.Facility.P1IDNumber,4372))</f>
        <v/>
      </c>
      <c r="G4384" s="51"/>
      <c r="H4384" s="46" t="str">
        <f>IF(AND(I.Developer.P1=TRUE,I.Facility.P1FacilityCount&gt;=4372,F4384=""),"Incomplete","Complete")</f>
        <v>Complete</v>
      </c>
      <c r="I4384" s="48" t="s">
        <v>8749</v>
      </c>
    </row>
    <row r="4385" spans="2:9" ht="15" customHeight="1" x14ac:dyDescent="0.25">
      <c r="B4385" s="55" t="s">
        <v>279</v>
      </c>
      <c r="C4385" s="46">
        <v>4373</v>
      </c>
      <c r="D4385" s="69" t="s">
        <v>29416</v>
      </c>
      <c r="E4385" s="51"/>
      <c r="F4385" s="114" t="str">
        <f>IF(INDEX(I.Facility.P1IDNumber,4373)="","",INDEX(I.Facility.P1IDNumber,4373))</f>
        <v/>
      </c>
      <c r="G4385" s="51"/>
      <c r="H4385" s="46" t="str">
        <f>IF(AND(I.Developer.P1=TRUE,I.Facility.P1FacilityCount&gt;=4373,F4385=""),"Incomplete","Complete")</f>
        <v>Complete</v>
      </c>
      <c r="I4385" s="48" t="s">
        <v>8750</v>
      </c>
    </row>
    <row r="4386" spans="2:9" ht="15" customHeight="1" x14ac:dyDescent="0.25">
      <c r="B4386" s="55" t="s">
        <v>279</v>
      </c>
      <c r="C4386" s="46">
        <v>4374</v>
      </c>
      <c r="D4386" s="69" t="s">
        <v>29416</v>
      </c>
      <c r="E4386" s="51"/>
      <c r="F4386" s="114" t="str">
        <f>IF(INDEX(I.Facility.P1IDNumber,4374)="","",INDEX(I.Facility.P1IDNumber,4374))</f>
        <v/>
      </c>
      <c r="G4386" s="51"/>
      <c r="H4386" s="46" t="str">
        <f>IF(AND(I.Developer.P1=TRUE,I.Facility.P1FacilityCount&gt;=4374,F4386=""),"Incomplete","Complete")</f>
        <v>Complete</v>
      </c>
      <c r="I4386" s="48" t="s">
        <v>8751</v>
      </c>
    </row>
    <row r="4387" spans="2:9" ht="15" customHeight="1" x14ac:dyDescent="0.25">
      <c r="B4387" s="55" t="s">
        <v>279</v>
      </c>
      <c r="C4387" s="46">
        <v>4375</v>
      </c>
      <c r="D4387" s="69" t="s">
        <v>29416</v>
      </c>
      <c r="E4387" s="51"/>
      <c r="F4387" s="114" t="str">
        <f>IF(INDEX(I.Facility.P1IDNumber,4375)="","",INDEX(I.Facility.P1IDNumber,4375))</f>
        <v/>
      </c>
      <c r="G4387" s="51"/>
      <c r="H4387" s="46" t="str">
        <f>IF(AND(I.Developer.P1=TRUE,I.Facility.P1FacilityCount&gt;=4375,F4387=""),"Incomplete","Complete")</f>
        <v>Complete</v>
      </c>
      <c r="I4387" s="48" t="s">
        <v>8752</v>
      </c>
    </row>
    <row r="4388" spans="2:9" ht="15" customHeight="1" x14ac:dyDescent="0.25">
      <c r="B4388" s="55" t="s">
        <v>279</v>
      </c>
      <c r="C4388" s="46">
        <v>4376</v>
      </c>
      <c r="D4388" s="69" t="s">
        <v>29416</v>
      </c>
      <c r="E4388" s="51"/>
      <c r="F4388" s="114" t="str">
        <f>IF(INDEX(I.Facility.P1IDNumber,4376)="","",INDEX(I.Facility.P1IDNumber,4376))</f>
        <v/>
      </c>
      <c r="G4388" s="51"/>
      <c r="H4388" s="46" t="str">
        <f>IF(AND(I.Developer.P1=TRUE,I.Facility.P1FacilityCount&gt;=4376,F4388=""),"Incomplete","Complete")</f>
        <v>Complete</v>
      </c>
      <c r="I4388" s="48" t="s">
        <v>8753</v>
      </c>
    </row>
    <row r="4389" spans="2:9" ht="15" customHeight="1" x14ac:dyDescent="0.25">
      <c r="B4389" s="55" t="s">
        <v>279</v>
      </c>
      <c r="C4389" s="46">
        <v>4377</v>
      </c>
      <c r="D4389" s="69" t="s">
        <v>29416</v>
      </c>
      <c r="E4389" s="51"/>
      <c r="F4389" s="114" t="str">
        <f>IF(INDEX(I.Facility.P1IDNumber,4377)="","",INDEX(I.Facility.P1IDNumber,4377))</f>
        <v/>
      </c>
      <c r="G4389" s="51"/>
      <c r="H4389" s="46" t="str">
        <f>IF(AND(I.Developer.P1=TRUE,I.Facility.P1FacilityCount&gt;=4377,F4389=""),"Incomplete","Complete")</f>
        <v>Complete</v>
      </c>
      <c r="I4389" s="48" t="s">
        <v>8754</v>
      </c>
    </row>
    <row r="4390" spans="2:9" ht="15" customHeight="1" x14ac:dyDescent="0.25">
      <c r="B4390" s="55" t="s">
        <v>279</v>
      </c>
      <c r="C4390" s="46">
        <v>4378</v>
      </c>
      <c r="D4390" s="69" t="s">
        <v>29416</v>
      </c>
      <c r="E4390" s="51"/>
      <c r="F4390" s="114" t="str">
        <f>IF(INDEX(I.Facility.P1IDNumber,4378)="","",INDEX(I.Facility.P1IDNumber,4378))</f>
        <v/>
      </c>
      <c r="G4390" s="51"/>
      <c r="H4390" s="46" t="str">
        <f>IF(AND(I.Developer.P1=TRUE,I.Facility.P1FacilityCount&gt;=4378,F4390=""),"Incomplete","Complete")</f>
        <v>Complete</v>
      </c>
      <c r="I4390" s="48" t="s">
        <v>8755</v>
      </c>
    </row>
    <row r="4391" spans="2:9" ht="15" customHeight="1" x14ac:dyDescent="0.25">
      <c r="B4391" s="55" t="s">
        <v>279</v>
      </c>
      <c r="C4391" s="46">
        <v>4379</v>
      </c>
      <c r="D4391" s="69" t="s">
        <v>29416</v>
      </c>
      <c r="E4391" s="51"/>
      <c r="F4391" s="114" t="str">
        <f>IF(INDEX(I.Facility.P1IDNumber,4379)="","",INDEX(I.Facility.P1IDNumber,4379))</f>
        <v/>
      </c>
      <c r="G4391" s="51"/>
      <c r="H4391" s="46" t="str">
        <f>IF(AND(I.Developer.P1=TRUE,I.Facility.P1FacilityCount&gt;=4379,F4391=""),"Incomplete","Complete")</f>
        <v>Complete</v>
      </c>
      <c r="I4391" s="48" t="s">
        <v>8756</v>
      </c>
    </row>
    <row r="4392" spans="2:9" ht="15" customHeight="1" x14ac:dyDescent="0.25">
      <c r="B4392" s="55" t="s">
        <v>279</v>
      </c>
      <c r="C4392" s="46">
        <v>4380</v>
      </c>
      <c r="D4392" s="69" t="s">
        <v>29416</v>
      </c>
      <c r="E4392" s="51"/>
      <c r="F4392" s="114" t="str">
        <f>IF(INDEX(I.Facility.P1IDNumber,4380)="","",INDEX(I.Facility.P1IDNumber,4380))</f>
        <v/>
      </c>
      <c r="G4392" s="51"/>
      <c r="H4392" s="46" t="str">
        <f>IF(AND(I.Developer.P1=TRUE,I.Facility.P1FacilityCount&gt;=4380,F4392=""),"Incomplete","Complete")</f>
        <v>Complete</v>
      </c>
      <c r="I4392" s="48" t="s">
        <v>8757</v>
      </c>
    </row>
    <row r="4393" spans="2:9" ht="15" customHeight="1" x14ac:dyDescent="0.25">
      <c r="B4393" s="55" t="s">
        <v>279</v>
      </c>
      <c r="C4393" s="46">
        <v>4381</v>
      </c>
      <c r="D4393" s="69" t="s">
        <v>29416</v>
      </c>
      <c r="E4393" s="51"/>
      <c r="F4393" s="114" t="str">
        <f>IF(INDEX(I.Facility.P1IDNumber,4381)="","",INDEX(I.Facility.P1IDNumber,4381))</f>
        <v/>
      </c>
      <c r="G4393" s="51"/>
      <c r="H4393" s="46" t="str">
        <f>IF(AND(I.Developer.P1=TRUE,I.Facility.P1FacilityCount&gt;=4381,F4393=""),"Incomplete","Complete")</f>
        <v>Complete</v>
      </c>
      <c r="I4393" s="48" t="s">
        <v>8758</v>
      </c>
    </row>
    <row r="4394" spans="2:9" ht="15" customHeight="1" x14ac:dyDescent="0.25">
      <c r="B4394" s="55" t="s">
        <v>279</v>
      </c>
      <c r="C4394" s="46">
        <v>4382</v>
      </c>
      <c r="D4394" s="69" t="s">
        <v>29416</v>
      </c>
      <c r="E4394" s="51"/>
      <c r="F4394" s="114" t="str">
        <f>IF(INDEX(I.Facility.P1IDNumber,4382)="","",INDEX(I.Facility.P1IDNumber,4382))</f>
        <v/>
      </c>
      <c r="G4394" s="51"/>
      <c r="H4394" s="46" t="str">
        <f>IF(AND(I.Developer.P1=TRUE,I.Facility.P1FacilityCount&gt;=4382,F4394=""),"Incomplete","Complete")</f>
        <v>Complete</v>
      </c>
      <c r="I4394" s="48" t="s">
        <v>8759</v>
      </c>
    </row>
    <row r="4395" spans="2:9" ht="15" customHeight="1" x14ac:dyDescent="0.25">
      <c r="B4395" s="55" t="s">
        <v>279</v>
      </c>
      <c r="C4395" s="46">
        <v>4383</v>
      </c>
      <c r="D4395" s="69" t="s">
        <v>29416</v>
      </c>
      <c r="E4395" s="51"/>
      <c r="F4395" s="114" t="str">
        <f>IF(INDEX(I.Facility.P1IDNumber,4383)="","",INDEX(I.Facility.P1IDNumber,4383))</f>
        <v/>
      </c>
      <c r="G4395" s="51"/>
      <c r="H4395" s="46" t="str">
        <f>IF(AND(I.Developer.P1=TRUE,I.Facility.P1FacilityCount&gt;=4383,F4395=""),"Incomplete","Complete")</f>
        <v>Complete</v>
      </c>
      <c r="I4395" s="48" t="s">
        <v>8760</v>
      </c>
    </row>
    <row r="4396" spans="2:9" ht="15" customHeight="1" x14ac:dyDescent="0.25">
      <c r="B4396" s="55" t="s">
        <v>279</v>
      </c>
      <c r="C4396" s="46">
        <v>4384</v>
      </c>
      <c r="D4396" s="69" t="s">
        <v>29416</v>
      </c>
      <c r="E4396" s="51"/>
      <c r="F4396" s="114" t="str">
        <f>IF(INDEX(I.Facility.P1IDNumber,4384)="","",INDEX(I.Facility.P1IDNumber,4384))</f>
        <v/>
      </c>
      <c r="G4396" s="51"/>
      <c r="H4396" s="46" t="str">
        <f>IF(AND(I.Developer.P1=TRUE,I.Facility.P1FacilityCount&gt;=4384,F4396=""),"Incomplete","Complete")</f>
        <v>Complete</v>
      </c>
      <c r="I4396" s="48" t="s">
        <v>8761</v>
      </c>
    </row>
    <row r="4397" spans="2:9" ht="15" customHeight="1" x14ac:dyDescent="0.25">
      <c r="B4397" s="55" t="s">
        <v>279</v>
      </c>
      <c r="C4397" s="46">
        <v>4385</v>
      </c>
      <c r="D4397" s="69" t="s">
        <v>29416</v>
      </c>
      <c r="E4397" s="51"/>
      <c r="F4397" s="114" t="str">
        <f>IF(INDEX(I.Facility.P1IDNumber,4385)="","",INDEX(I.Facility.P1IDNumber,4385))</f>
        <v/>
      </c>
      <c r="G4397" s="51"/>
      <c r="H4397" s="46" t="str">
        <f>IF(AND(I.Developer.P1=TRUE,I.Facility.P1FacilityCount&gt;=4385,F4397=""),"Incomplete","Complete")</f>
        <v>Complete</v>
      </c>
      <c r="I4397" s="48" t="s">
        <v>8762</v>
      </c>
    </row>
    <row r="4398" spans="2:9" ht="15" customHeight="1" x14ac:dyDescent="0.25">
      <c r="B4398" s="55" t="s">
        <v>279</v>
      </c>
      <c r="C4398" s="46">
        <v>4386</v>
      </c>
      <c r="D4398" s="69" t="s">
        <v>29416</v>
      </c>
      <c r="E4398" s="51"/>
      <c r="F4398" s="114" t="str">
        <f>IF(INDEX(I.Facility.P1IDNumber,4386)="","",INDEX(I.Facility.P1IDNumber,4386))</f>
        <v/>
      </c>
      <c r="G4398" s="51"/>
      <c r="H4398" s="46" t="str">
        <f>IF(AND(I.Developer.P1=TRUE,I.Facility.P1FacilityCount&gt;=4386,F4398=""),"Incomplete","Complete")</f>
        <v>Complete</v>
      </c>
      <c r="I4398" s="48" t="s">
        <v>8763</v>
      </c>
    </row>
    <row r="4399" spans="2:9" ht="15" customHeight="1" x14ac:dyDescent="0.25">
      <c r="B4399" s="55" t="s">
        <v>279</v>
      </c>
      <c r="C4399" s="46">
        <v>4387</v>
      </c>
      <c r="D4399" s="69" t="s">
        <v>29416</v>
      </c>
      <c r="E4399" s="51"/>
      <c r="F4399" s="114" t="str">
        <f>IF(INDEX(I.Facility.P1IDNumber,4387)="","",INDEX(I.Facility.P1IDNumber,4387))</f>
        <v/>
      </c>
      <c r="G4399" s="51"/>
      <c r="H4399" s="46" t="str">
        <f>IF(AND(I.Developer.P1=TRUE,I.Facility.P1FacilityCount&gt;=4387,F4399=""),"Incomplete","Complete")</f>
        <v>Complete</v>
      </c>
      <c r="I4399" s="48" t="s">
        <v>8764</v>
      </c>
    </row>
    <row r="4400" spans="2:9" ht="15" customHeight="1" x14ac:dyDescent="0.25">
      <c r="B4400" s="55" t="s">
        <v>279</v>
      </c>
      <c r="C4400" s="46">
        <v>4388</v>
      </c>
      <c r="D4400" s="69" t="s">
        <v>29416</v>
      </c>
      <c r="E4400" s="51"/>
      <c r="F4400" s="114" t="str">
        <f>IF(INDEX(I.Facility.P1IDNumber,4388)="","",INDEX(I.Facility.P1IDNumber,4388))</f>
        <v/>
      </c>
      <c r="G4400" s="51"/>
      <c r="H4400" s="46" t="str">
        <f>IF(AND(I.Developer.P1=TRUE,I.Facility.P1FacilityCount&gt;=4388,F4400=""),"Incomplete","Complete")</f>
        <v>Complete</v>
      </c>
      <c r="I4400" s="48" t="s">
        <v>8765</v>
      </c>
    </row>
    <row r="4401" spans="2:9" ht="15" customHeight="1" x14ac:dyDescent="0.25">
      <c r="B4401" s="55" t="s">
        <v>279</v>
      </c>
      <c r="C4401" s="46">
        <v>4389</v>
      </c>
      <c r="D4401" s="69" t="s">
        <v>29416</v>
      </c>
      <c r="E4401" s="51"/>
      <c r="F4401" s="114" t="str">
        <f>IF(INDEX(I.Facility.P1IDNumber,4389)="","",INDEX(I.Facility.P1IDNumber,4389))</f>
        <v/>
      </c>
      <c r="G4401" s="51"/>
      <c r="H4401" s="46" t="str">
        <f>IF(AND(I.Developer.P1=TRUE,I.Facility.P1FacilityCount&gt;=4389,F4401=""),"Incomplete","Complete")</f>
        <v>Complete</v>
      </c>
      <c r="I4401" s="48" t="s">
        <v>8766</v>
      </c>
    </row>
    <row r="4402" spans="2:9" ht="15" customHeight="1" x14ac:dyDescent="0.25">
      <c r="B4402" s="55" t="s">
        <v>279</v>
      </c>
      <c r="C4402" s="46">
        <v>4390</v>
      </c>
      <c r="D4402" s="69" t="s">
        <v>29416</v>
      </c>
      <c r="E4402" s="51"/>
      <c r="F4402" s="114" t="str">
        <f>IF(INDEX(I.Facility.P1IDNumber,4390)="","",INDEX(I.Facility.P1IDNumber,4390))</f>
        <v/>
      </c>
      <c r="G4402" s="51"/>
      <c r="H4402" s="46" t="str">
        <f>IF(AND(I.Developer.P1=TRUE,I.Facility.P1FacilityCount&gt;=4390,F4402=""),"Incomplete","Complete")</f>
        <v>Complete</v>
      </c>
      <c r="I4402" s="48" t="s">
        <v>8767</v>
      </c>
    </row>
    <row r="4403" spans="2:9" ht="15" customHeight="1" x14ac:dyDescent="0.25">
      <c r="B4403" s="55" t="s">
        <v>279</v>
      </c>
      <c r="C4403" s="46">
        <v>4391</v>
      </c>
      <c r="D4403" s="69" t="s">
        <v>29416</v>
      </c>
      <c r="E4403" s="51"/>
      <c r="F4403" s="114" t="str">
        <f>IF(INDEX(I.Facility.P1IDNumber,4391)="","",INDEX(I.Facility.P1IDNumber,4391))</f>
        <v/>
      </c>
      <c r="G4403" s="51"/>
      <c r="H4403" s="46" t="str">
        <f>IF(AND(I.Developer.P1=TRUE,I.Facility.P1FacilityCount&gt;=4391,F4403=""),"Incomplete","Complete")</f>
        <v>Complete</v>
      </c>
      <c r="I4403" s="48" t="s">
        <v>8768</v>
      </c>
    </row>
    <row r="4404" spans="2:9" ht="15" customHeight="1" x14ac:dyDescent="0.25">
      <c r="B4404" s="55" t="s">
        <v>279</v>
      </c>
      <c r="C4404" s="46">
        <v>4392</v>
      </c>
      <c r="D4404" s="69" t="s">
        <v>29416</v>
      </c>
      <c r="E4404" s="51"/>
      <c r="F4404" s="114" t="str">
        <f>IF(INDEX(I.Facility.P1IDNumber,4392)="","",INDEX(I.Facility.P1IDNumber,4392))</f>
        <v/>
      </c>
      <c r="G4404" s="51"/>
      <c r="H4404" s="46" t="str">
        <f>IF(AND(I.Developer.P1=TRUE,I.Facility.P1FacilityCount&gt;=4392,F4404=""),"Incomplete","Complete")</f>
        <v>Complete</v>
      </c>
      <c r="I4404" s="48" t="s">
        <v>8769</v>
      </c>
    </row>
    <row r="4405" spans="2:9" ht="15" customHeight="1" x14ac:dyDescent="0.25">
      <c r="B4405" s="55" t="s">
        <v>279</v>
      </c>
      <c r="C4405" s="46">
        <v>4393</v>
      </c>
      <c r="D4405" s="69" t="s">
        <v>29416</v>
      </c>
      <c r="E4405" s="51"/>
      <c r="F4405" s="114" t="str">
        <f>IF(INDEX(I.Facility.P1IDNumber,4393)="","",INDEX(I.Facility.P1IDNumber,4393))</f>
        <v/>
      </c>
      <c r="G4405" s="51"/>
      <c r="H4405" s="46" t="str">
        <f>IF(AND(I.Developer.P1=TRUE,I.Facility.P1FacilityCount&gt;=4393,F4405=""),"Incomplete","Complete")</f>
        <v>Complete</v>
      </c>
      <c r="I4405" s="48" t="s">
        <v>8770</v>
      </c>
    </row>
    <row r="4406" spans="2:9" ht="15" customHeight="1" x14ac:dyDescent="0.25">
      <c r="B4406" s="55" t="s">
        <v>279</v>
      </c>
      <c r="C4406" s="46">
        <v>4394</v>
      </c>
      <c r="D4406" s="69" t="s">
        <v>29416</v>
      </c>
      <c r="E4406" s="51"/>
      <c r="F4406" s="114" t="str">
        <f>IF(INDEX(I.Facility.P1IDNumber,4394)="","",INDEX(I.Facility.P1IDNumber,4394))</f>
        <v/>
      </c>
      <c r="G4406" s="51"/>
      <c r="H4406" s="46" t="str">
        <f>IF(AND(I.Developer.P1=TRUE,I.Facility.P1FacilityCount&gt;=4394,F4406=""),"Incomplete","Complete")</f>
        <v>Complete</v>
      </c>
      <c r="I4406" s="48" t="s">
        <v>8771</v>
      </c>
    </row>
    <row r="4407" spans="2:9" ht="15" customHeight="1" x14ac:dyDescent="0.25">
      <c r="B4407" s="55" t="s">
        <v>279</v>
      </c>
      <c r="C4407" s="46">
        <v>4395</v>
      </c>
      <c r="D4407" s="69" t="s">
        <v>29416</v>
      </c>
      <c r="E4407" s="51"/>
      <c r="F4407" s="114" t="str">
        <f>IF(INDEX(I.Facility.P1IDNumber,4395)="","",INDEX(I.Facility.P1IDNumber,4395))</f>
        <v/>
      </c>
      <c r="G4407" s="51"/>
      <c r="H4407" s="46" t="str">
        <f>IF(AND(I.Developer.P1=TRUE,I.Facility.P1FacilityCount&gt;=4395,F4407=""),"Incomplete","Complete")</f>
        <v>Complete</v>
      </c>
      <c r="I4407" s="48" t="s">
        <v>8772</v>
      </c>
    </row>
    <row r="4408" spans="2:9" ht="15" customHeight="1" x14ac:dyDescent="0.25">
      <c r="B4408" s="55" t="s">
        <v>279</v>
      </c>
      <c r="C4408" s="46">
        <v>4396</v>
      </c>
      <c r="D4408" s="69" t="s">
        <v>29416</v>
      </c>
      <c r="E4408" s="51"/>
      <c r="F4408" s="114" t="str">
        <f>IF(INDEX(I.Facility.P1IDNumber,4396)="","",INDEX(I.Facility.P1IDNumber,4396))</f>
        <v/>
      </c>
      <c r="G4408" s="51"/>
      <c r="H4408" s="46" t="str">
        <f>IF(AND(I.Developer.P1=TRUE,I.Facility.P1FacilityCount&gt;=4396,F4408=""),"Incomplete","Complete")</f>
        <v>Complete</v>
      </c>
      <c r="I4408" s="48" t="s">
        <v>8773</v>
      </c>
    </row>
    <row r="4409" spans="2:9" ht="15" customHeight="1" x14ac:dyDescent="0.25">
      <c r="B4409" s="55" t="s">
        <v>279</v>
      </c>
      <c r="C4409" s="46">
        <v>4397</v>
      </c>
      <c r="D4409" s="69" t="s">
        <v>29416</v>
      </c>
      <c r="E4409" s="51"/>
      <c r="F4409" s="114" t="str">
        <f>IF(INDEX(I.Facility.P1IDNumber,4397)="","",INDEX(I.Facility.P1IDNumber,4397))</f>
        <v/>
      </c>
      <c r="G4409" s="51"/>
      <c r="H4409" s="46" t="str">
        <f>IF(AND(I.Developer.P1=TRUE,I.Facility.P1FacilityCount&gt;=4397,F4409=""),"Incomplete","Complete")</f>
        <v>Complete</v>
      </c>
      <c r="I4409" s="48" t="s">
        <v>8774</v>
      </c>
    </row>
    <row r="4410" spans="2:9" ht="15" customHeight="1" x14ac:dyDescent="0.25">
      <c r="B4410" s="55" t="s">
        <v>279</v>
      </c>
      <c r="C4410" s="46">
        <v>4398</v>
      </c>
      <c r="D4410" s="69" t="s">
        <v>29416</v>
      </c>
      <c r="E4410" s="51"/>
      <c r="F4410" s="114" t="str">
        <f>IF(INDEX(I.Facility.P1IDNumber,4398)="","",INDEX(I.Facility.P1IDNumber,4398))</f>
        <v/>
      </c>
      <c r="G4410" s="51"/>
      <c r="H4410" s="46" t="str">
        <f>IF(AND(I.Developer.P1=TRUE,I.Facility.P1FacilityCount&gt;=4398,F4410=""),"Incomplete","Complete")</f>
        <v>Complete</v>
      </c>
      <c r="I4410" s="48" t="s">
        <v>8775</v>
      </c>
    </row>
    <row r="4411" spans="2:9" ht="15" customHeight="1" x14ac:dyDescent="0.25">
      <c r="B4411" s="55" t="s">
        <v>279</v>
      </c>
      <c r="C4411" s="46">
        <v>4399</v>
      </c>
      <c r="D4411" s="69" t="s">
        <v>29416</v>
      </c>
      <c r="E4411" s="51"/>
      <c r="F4411" s="114" t="str">
        <f>IF(INDEX(I.Facility.P1IDNumber,4399)="","",INDEX(I.Facility.P1IDNumber,4399))</f>
        <v/>
      </c>
      <c r="G4411" s="51"/>
      <c r="H4411" s="46" t="str">
        <f>IF(AND(I.Developer.P1=TRUE,I.Facility.P1FacilityCount&gt;=4399,F4411=""),"Incomplete","Complete")</f>
        <v>Complete</v>
      </c>
      <c r="I4411" s="48" t="s">
        <v>8776</v>
      </c>
    </row>
    <row r="4412" spans="2:9" ht="15" customHeight="1" x14ac:dyDescent="0.25">
      <c r="B4412" s="55" t="s">
        <v>279</v>
      </c>
      <c r="C4412" s="46">
        <v>4400</v>
      </c>
      <c r="D4412" s="69" t="s">
        <v>29416</v>
      </c>
      <c r="E4412" s="51"/>
      <c r="F4412" s="114" t="str">
        <f>IF(INDEX(I.Facility.P1IDNumber,4400)="","",INDEX(I.Facility.P1IDNumber,4400))</f>
        <v/>
      </c>
      <c r="G4412" s="51"/>
      <c r="H4412" s="46" t="str">
        <f>IF(AND(I.Developer.P1=TRUE,I.Facility.P1FacilityCount&gt;=4400,F4412=""),"Incomplete","Complete")</f>
        <v>Complete</v>
      </c>
      <c r="I4412" s="48" t="s">
        <v>8777</v>
      </c>
    </row>
    <row r="4413" spans="2:9" ht="15" customHeight="1" x14ac:dyDescent="0.25">
      <c r="B4413" s="55" t="s">
        <v>279</v>
      </c>
      <c r="C4413" s="46">
        <v>4401</v>
      </c>
      <c r="D4413" s="69" t="s">
        <v>29416</v>
      </c>
      <c r="E4413" s="51"/>
      <c r="F4413" s="114" t="str">
        <f>IF(INDEX(I.Facility.P1IDNumber,4401)="","",INDEX(I.Facility.P1IDNumber,4401))</f>
        <v/>
      </c>
      <c r="G4413" s="51"/>
      <c r="H4413" s="46" t="str">
        <f>IF(AND(I.Developer.P1=TRUE,I.Facility.P1FacilityCount&gt;=4401,F4413=""),"Incomplete","Complete")</f>
        <v>Complete</v>
      </c>
      <c r="I4413" s="48" t="s">
        <v>8778</v>
      </c>
    </row>
    <row r="4414" spans="2:9" ht="15" customHeight="1" x14ac:dyDescent="0.25">
      <c r="B4414" s="55" t="s">
        <v>279</v>
      </c>
      <c r="C4414" s="46">
        <v>4402</v>
      </c>
      <c r="D4414" s="69" t="s">
        <v>29416</v>
      </c>
      <c r="E4414" s="51"/>
      <c r="F4414" s="114" t="str">
        <f>IF(INDEX(I.Facility.P1IDNumber,4402)="","",INDEX(I.Facility.P1IDNumber,4402))</f>
        <v/>
      </c>
      <c r="G4414" s="51"/>
      <c r="H4414" s="46" t="str">
        <f>IF(AND(I.Developer.P1=TRUE,I.Facility.P1FacilityCount&gt;=4402,F4414=""),"Incomplete","Complete")</f>
        <v>Complete</v>
      </c>
      <c r="I4414" s="48" t="s">
        <v>8779</v>
      </c>
    </row>
    <row r="4415" spans="2:9" ht="15" customHeight="1" x14ac:dyDescent="0.25">
      <c r="B4415" s="55" t="s">
        <v>279</v>
      </c>
      <c r="C4415" s="46">
        <v>4403</v>
      </c>
      <c r="D4415" s="69" t="s">
        <v>29416</v>
      </c>
      <c r="E4415" s="51"/>
      <c r="F4415" s="114" t="str">
        <f>IF(INDEX(I.Facility.P1IDNumber,4403)="","",INDEX(I.Facility.P1IDNumber,4403))</f>
        <v/>
      </c>
      <c r="G4415" s="51"/>
      <c r="H4415" s="46" t="str">
        <f>IF(AND(I.Developer.P1=TRUE,I.Facility.P1FacilityCount&gt;=4403,F4415=""),"Incomplete","Complete")</f>
        <v>Complete</v>
      </c>
      <c r="I4415" s="48" t="s">
        <v>8780</v>
      </c>
    </row>
    <row r="4416" spans="2:9" ht="15" customHeight="1" x14ac:dyDescent="0.25">
      <c r="B4416" s="55" t="s">
        <v>279</v>
      </c>
      <c r="C4416" s="46">
        <v>4404</v>
      </c>
      <c r="D4416" s="69" t="s">
        <v>29416</v>
      </c>
      <c r="E4416" s="51"/>
      <c r="F4416" s="114" t="str">
        <f>IF(INDEX(I.Facility.P1IDNumber,4404)="","",INDEX(I.Facility.P1IDNumber,4404))</f>
        <v/>
      </c>
      <c r="G4416" s="51"/>
      <c r="H4416" s="46" t="str">
        <f>IF(AND(I.Developer.P1=TRUE,I.Facility.P1FacilityCount&gt;=4404,F4416=""),"Incomplete","Complete")</f>
        <v>Complete</v>
      </c>
      <c r="I4416" s="48" t="s">
        <v>8781</v>
      </c>
    </row>
    <row r="4417" spans="2:9" ht="15" customHeight="1" x14ac:dyDescent="0.25">
      <c r="B4417" s="55" t="s">
        <v>279</v>
      </c>
      <c r="C4417" s="46">
        <v>4405</v>
      </c>
      <c r="D4417" s="69" t="s">
        <v>29416</v>
      </c>
      <c r="E4417" s="51"/>
      <c r="F4417" s="114" t="str">
        <f>IF(INDEX(I.Facility.P1IDNumber,4405)="","",INDEX(I.Facility.P1IDNumber,4405))</f>
        <v/>
      </c>
      <c r="G4417" s="51"/>
      <c r="H4417" s="46" t="str">
        <f>IF(AND(I.Developer.P1=TRUE,I.Facility.P1FacilityCount&gt;=4405,F4417=""),"Incomplete","Complete")</f>
        <v>Complete</v>
      </c>
      <c r="I4417" s="48" t="s">
        <v>8782</v>
      </c>
    </row>
    <row r="4418" spans="2:9" ht="15" customHeight="1" x14ac:dyDescent="0.25">
      <c r="B4418" s="55" t="s">
        <v>279</v>
      </c>
      <c r="C4418" s="46">
        <v>4406</v>
      </c>
      <c r="D4418" s="69" t="s">
        <v>29416</v>
      </c>
      <c r="E4418" s="51"/>
      <c r="F4418" s="114" t="str">
        <f>IF(INDEX(I.Facility.P1IDNumber,4406)="","",INDEX(I.Facility.P1IDNumber,4406))</f>
        <v/>
      </c>
      <c r="G4418" s="51"/>
      <c r="H4418" s="46" t="str">
        <f>IF(AND(I.Developer.P1=TRUE,I.Facility.P1FacilityCount&gt;=4406,F4418=""),"Incomplete","Complete")</f>
        <v>Complete</v>
      </c>
      <c r="I4418" s="48" t="s">
        <v>8783</v>
      </c>
    </row>
    <row r="4419" spans="2:9" ht="15" customHeight="1" x14ac:dyDescent="0.25">
      <c r="B4419" s="55" t="s">
        <v>279</v>
      </c>
      <c r="C4419" s="46">
        <v>4407</v>
      </c>
      <c r="D4419" s="69" t="s">
        <v>29416</v>
      </c>
      <c r="E4419" s="51"/>
      <c r="F4419" s="114" t="str">
        <f>IF(INDEX(I.Facility.P1IDNumber,4407)="","",INDEX(I.Facility.P1IDNumber,4407))</f>
        <v/>
      </c>
      <c r="G4419" s="51"/>
      <c r="H4419" s="46" t="str">
        <f>IF(AND(I.Developer.P1=TRUE,I.Facility.P1FacilityCount&gt;=4407,F4419=""),"Incomplete","Complete")</f>
        <v>Complete</v>
      </c>
      <c r="I4419" s="48" t="s">
        <v>8784</v>
      </c>
    </row>
    <row r="4420" spans="2:9" ht="15" customHeight="1" x14ac:dyDescent="0.25">
      <c r="B4420" s="55" t="s">
        <v>279</v>
      </c>
      <c r="C4420" s="46">
        <v>4408</v>
      </c>
      <c r="D4420" s="69" t="s">
        <v>29416</v>
      </c>
      <c r="E4420" s="51"/>
      <c r="F4420" s="114" t="str">
        <f>IF(INDEX(I.Facility.P1IDNumber,4408)="","",INDEX(I.Facility.P1IDNumber,4408))</f>
        <v/>
      </c>
      <c r="G4420" s="51"/>
      <c r="H4420" s="46" t="str">
        <f>IF(AND(I.Developer.P1=TRUE,I.Facility.P1FacilityCount&gt;=4408,F4420=""),"Incomplete","Complete")</f>
        <v>Complete</v>
      </c>
      <c r="I4420" s="48" t="s">
        <v>8785</v>
      </c>
    </row>
    <row r="4421" spans="2:9" ht="15" customHeight="1" x14ac:dyDescent="0.25">
      <c r="B4421" s="55" t="s">
        <v>279</v>
      </c>
      <c r="C4421" s="46">
        <v>4409</v>
      </c>
      <c r="D4421" s="69" t="s">
        <v>29416</v>
      </c>
      <c r="E4421" s="51"/>
      <c r="F4421" s="114" t="str">
        <f>IF(INDEX(I.Facility.P1IDNumber,4409)="","",INDEX(I.Facility.P1IDNumber,4409))</f>
        <v/>
      </c>
      <c r="G4421" s="51"/>
      <c r="H4421" s="46" t="str">
        <f>IF(AND(I.Developer.P1=TRUE,I.Facility.P1FacilityCount&gt;=4409,F4421=""),"Incomplete","Complete")</f>
        <v>Complete</v>
      </c>
      <c r="I4421" s="48" t="s">
        <v>8786</v>
      </c>
    </row>
    <row r="4422" spans="2:9" ht="15" customHeight="1" x14ac:dyDescent="0.25">
      <c r="B4422" s="55" t="s">
        <v>279</v>
      </c>
      <c r="C4422" s="46">
        <v>4410</v>
      </c>
      <c r="D4422" s="69" t="s">
        <v>29416</v>
      </c>
      <c r="E4422" s="51"/>
      <c r="F4422" s="114" t="str">
        <f>IF(INDEX(I.Facility.P1IDNumber,4410)="","",INDEX(I.Facility.P1IDNumber,4410))</f>
        <v/>
      </c>
      <c r="G4422" s="51"/>
      <c r="H4422" s="46" t="str">
        <f>IF(AND(I.Developer.P1=TRUE,I.Facility.P1FacilityCount&gt;=4410,F4422=""),"Incomplete","Complete")</f>
        <v>Complete</v>
      </c>
      <c r="I4422" s="48" t="s">
        <v>8787</v>
      </c>
    </row>
    <row r="4423" spans="2:9" ht="15" customHeight="1" x14ac:dyDescent="0.25">
      <c r="B4423" s="55" t="s">
        <v>279</v>
      </c>
      <c r="C4423" s="46">
        <v>4411</v>
      </c>
      <c r="D4423" s="69" t="s">
        <v>29416</v>
      </c>
      <c r="E4423" s="51"/>
      <c r="F4423" s="114" t="str">
        <f>IF(INDEX(I.Facility.P1IDNumber,4411)="","",INDEX(I.Facility.P1IDNumber,4411))</f>
        <v/>
      </c>
      <c r="G4423" s="51"/>
      <c r="H4423" s="46" t="str">
        <f>IF(AND(I.Developer.P1=TRUE,I.Facility.P1FacilityCount&gt;=4411,F4423=""),"Incomplete","Complete")</f>
        <v>Complete</v>
      </c>
      <c r="I4423" s="48" t="s">
        <v>8788</v>
      </c>
    </row>
    <row r="4424" spans="2:9" ht="15" customHeight="1" x14ac:dyDescent="0.25">
      <c r="B4424" s="55" t="s">
        <v>279</v>
      </c>
      <c r="C4424" s="46">
        <v>4412</v>
      </c>
      <c r="D4424" s="69" t="s">
        <v>29416</v>
      </c>
      <c r="E4424" s="51"/>
      <c r="F4424" s="114" t="str">
        <f>IF(INDEX(I.Facility.P1IDNumber,4412)="","",INDEX(I.Facility.P1IDNumber,4412))</f>
        <v/>
      </c>
      <c r="G4424" s="51"/>
      <c r="H4424" s="46" t="str">
        <f>IF(AND(I.Developer.P1=TRUE,I.Facility.P1FacilityCount&gt;=4412,F4424=""),"Incomplete","Complete")</f>
        <v>Complete</v>
      </c>
      <c r="I4424" s="48" t="s">
        <v>8789</v>
      </c>
    </row>
    <row r="4425" spans="2:9" ht="15" customHeight="1" x14ac:dyDescent="0.25">
      <c r="B4425" s="55" t="s">
        <v>279</v>
      </c>
      <c r="C4425" s="46">
        <v>4413</v>
      </c>
      <c r="D4425" s="69" t="s">
        <v>29416</v>
      </c>
      <c r="E4425" s="51"/>
      <c r="F4425" s="114" t="str">
        <f>IF(INDEX(I.Facility.P1IDNumber,4413)="","",INDEX(I.Facility.P1IDNumber,4413))</f>
        <v/>
      </c>
      <c r="G4425" s="51"/>
      <c r="H4425" s="46" t="str">
        <f>IF(AND(I.Developer.P1=TRUE,I.Facility.P1FacilityCount&gt;=4413,F4425=""),"Incomplete","Complete")</f>
        <v>Complete</v>
      </c>
      <c r="I4425" s="48" t="s">
        <v>8790</v>
      </c>
    </row>
    <row r="4426" spans="2:9" ht="15" customHeight="1" x14ac:dyDescent="0.25">
      <c r="B4426" s="55" t="s">
        <v>279</v>
      </c>
      <c r="C4426" s="46">
        <v>4414</v>
      </c>
      <c r="D4426" s="69" t="s">
        <v>29416</v>
      </c>
      <c r="E4426" s="51"/>
      <c r="F4426" s="114" t="str">
        <f>IF(INDEX(I.Facility.P1IDNumber,4414)="","",INDEX(I.Facility.P1IDNumber,4414))</f>
        <v/>
      </c>
      <c r="G4426" s="51"/>
      <c r="H4426" s="46" t="str">
        <f>IF(AND(I.Developer.P1=TRUE,I.Facility.P1FacilityCount&gt;=4414,F4426=""),"Incomplete","Complete")</f>
        <v>Complete</v>
      </c>
      <c r="I4426" s="48" t="s">
        <v>8791</v>
      </c>
    </row>
    <row r="4427" spans="2:9" ht="15" customHeight="1" x14ac:dyDescent="0.25">
      <c r="B4427" s="55" t="s">
        <v>279</v>
      </c>
      <c r="C4427" s="46">
        <v>4415</v>
      </c>
      <c r="D4427" s="69" t="s">
        <v>29416</v>
      </c>
      <c r="E4427" s="51"/>
      <c r="F4427" s="114" t="str">
        <f>IF(INDEX(I.Facility.P1IDNumber,4415)="","",INDEX(I.Facility.P1IDNumber,4415))</f>
        <v/>
      </c>
      <c r="G4427" s="51"/>
      <c r="H4427" s="46" t="str">
        <f>IF(AND(I.Developer.P1=TRUE,I.Facility.P1FacilityCount&gt;=4415,F4427=""),"Incomplete","Complete")</f>
        <v>Complete</v>
      </c>
      <c r="I4427" s="48" t="s">
        <v>8792</v>
      </c>
    </row>
    <row r="4428" spans="2:9" ht="15" customHeight="1" x14ac:dyDescent="0.25">
      <c r="B4428" s="55" t="s">
        <v>279</v>
      </c>
      <c r="C4428" s="46">
        <v>4416</v>
      </c>
      <c r="D4428" s="69" t="s">
        <v>29416</v>
      </c>
      <c r="E4428" s="51"/>
      <c r="F4428" s="114" t="str">
        <f>IF(INDEX(I.Facility.P1IDNumber,4416)="","",INDEX(I.Facility.P1IDNumber,4416))</f>
        <v/>
      </c>
      <c r="G4428" s="51"/>
      <c r="H4428" s="46" t="str">
        <f>IF(AND(I.Developer.P1=TRUE,I.Facility.P1FacilityCount&gt;=4416,F4428=""),"Incomplete","Complete")</f>
        <v>Complete</v>
      </c>
      <c r="I4428" s="48" t="s">
        <v>8793</v>
      </c>
    </row>
    <row r="4429" spans="2:9" ht="15" customHeight="1" x14ac:dyDescent="0.25">
      <c r="B4429" s="55" t="s">
        <v>279</v>
      </c>
      <c r="C4429" s="46">
        <v>4417</v>
      </c>
      <c r="D4429" s="69" t="s">
        <v>29416</v>
      </c>
      <c r="E4429" s="51"/>
      <c r="F4429" s="114" t="str">
        <f>IF(INDEX(I.Facility.P1IDNumber,4417)="","",INDEX(I.Facility.P1IDNumber,4417))</f>
        <v/>
      </c>
      <c r="G4429" s="51"/>
      <c r="H4429" s="46" t="str">
        <f>IF(AND(I.Developer.P1=TRUE,I.Facility.P1FacilityCount&gt;=4417,F4429=""),"Incomplete","Complete")</f>
        <v>Complete</v>
      </c>
      <c r="I4429" s="48" t="s">
        <v>8794</v>
      </c>
    </row>
    <row r="4430" spans="2:9" ht="15" customHeight="1" x14ac:dyDescent="0.25">
      <c r="B4430" s="55" t="s">
        <v>279</v>
      </c>
      <c r="C4430" s="46">
        <v>4418</v>
      </c>
      <c r="D4430" s="69" t="s">
        <v>29416</v>
      </c>
      <c r="E4430" s="51"/>
      <c r="F4430" s="114" t="str">
        <f>IF(INDEX(I.Facility.P1IDNumber,4418)="","",INDEX(I.Facility.P1IDNumber,4418))</f>
        <v/>
      </c>
      <c r="G4430" s="51"/>
      <c r="H4430" s="46" t="str">
        <f>IF(AND(I.Developer.P1=TRUE,I.Facility.P1FacilityCount&gt;=4418,F4430=""),"Incomplete","Complete")</f>
        <v>Complete</v>
      </c>
      <c r="I4430" s="48" t="s">
        <v>8795</v>
      </c>
    </row>
    <row r="4431" spans="2:9" ht="15" customHeight="1" x14ac:dyDescent="0.25">
      <c r="B4431" s="55" t="s">
        <v>279</v>
      </c>
      <c r="C4431" s="46">
        <v>4419</v>
      </c>
      <c r="D4431" s="69" t="s">
        <v>29416</v>
      </c>
      <c r="E4431" s="51"/>
      <c r="F4431" s="114" t="str">
        <f>IF(INDEX(I.Facility.P1IDNumber,4419)="","",INDEX(I.Facility.P1IDNumber,4419))</f>
        <v/>
      </c>
      <c r="G4431" s="51"/>
      <c r="H4431" s="46" t="str">
        <f>IF(AND(I.Developer.P1=TRUE,I.Facility.P1FacilityCount&gt;=4419,F4431=""),"Incomplete","Complete")</f>
        <v>Complete</v>
      </c>
      <c r="I4431" s="48" t="s">
        <v>8796</v>
      </c>
    </row>
    <row r="4432" spans="2:9" ht="15" customHeight="1" x14ac:dyDescent="0.25">
      <c r="B4432" s="55" t="s">
        <v>279</v>
      </c>
      <c r="C4432" s="46">
        <v>4420</v>
      </c>
      <c r="D4432" s="69" t="s">
        <v>29416</v>
      </c>
      <c r="E4432" s="51"/>
      <c r="F4432" s="114" t="str">
        <f>IF(INDEX(I.Facility.P1IDNumber,4420)="","",INDEX(I.Facility.P1IDNumber,4420))</f>
        <v/>
      </c>
      <c r="G4432" s="51"/>
      <c r="H4432" s="46" t="str">
        <f>IF(AND(I.Developer.P1=TRUE,I.Facility.P1FacilityCount&gt;=4420,F4432=""),"Incomplete","Complete")</f>
        <v>Complete</v>
      </c>
      <c r="I4432" s="48" t="s">
        <v>8797</v>
      </c>
    </row>
    <row r="4433" spans="2:9" ht="15" customHeight="1" x14ac:dyDescent="0.25">
      <c r="B4433" s="55" t="s">
        <v>279</v>
      </c>
      <c r="C4433" s="46">
        <v>4421</v>
      </c>
      <c r="D4433" s="69" t="s">
        <v>29416</v>
      </c>
      <c r="E4433" s="51"/>
      <c r="F4433" s="114" t="str">
        <f>IF(INDEX(I.Facility.P1IDNumber,4421)="","",INDEX(I.Facility.P1IDNumber,4421))</f>
        <v/>
      </c>
      <c r="G4433" s="51"/>
      <c r="H4433" s="46" t="str">
        <f>IF(AND(I.Developer.P1=TRUE,I.Facility.P1FacilityCount&gt;=4421,F4433=""),"Incomplete","Complete")</f>
        <v>Complete</v>
      </c>
      <c r="I4433" s="48" t="s">
        <v>8798</v>
      </c>
    </row>
    <row r="4434" spans="2:9" ht="15" customHeight="1" x14ac:dyDescent="0.25">
      <c r="B4434" s="55" t="s">
        <v>279</v>
      </c>
      <c r="C4434" s="46">
        <v>4422</v>
      </c>
      <c r="D4434" s="69" t="s">
        <v>29416</v>
      </c>
      <c r="E4434" s="51"/>
      <c r="F4434" s="114" t="str">
        <f>IF(INDEX(I.Facility.P1IDNumber,4422)="","",INDEX(I.Facility.P1IDNumber,4422))</f>
        <v/>
      </c>
      <c r="G4434" s="51"/>
      <c r="H4434" s="46" t="str">
        <f>IF(AND(I.Developer.P1=TRUE,I.Facility.P1FacilityCount&gt;=4422,F4434=""),"Incomplete","Complete")</f>
        <v>Complete</v>
      </c>
      <c r="I4434" s="48" t="s">
        <v>8799</v>
      </c>
    </row>
    <row r="4435" spans="2:9" ht="15" customHeight="1" x14ac:dyDescent="0.25">
      <c r="B4435" s="55" t="s">
        <v>279</v>
      </c>
      <c r="C4435" s="46">
        <v>4423</v>
      </c>
      <c r="D4435" s="69" t="s">
        <v>29416</v>
      </c>
      <c r="E4435" s="51"/>
      <c r="F4435" s="114" t="str">
        <f>IF(INDEX(I.Facility.P1IDNumber,4423)="","",INDEX(I.Facility.P1IDNumber,4423))</f>
        <v/>
      </c>
      <c r="G4435" s="51"/>
      <c r="H4435" s="46" t="str">
        <f>IF(AND(I.Developer.P1=TRUE,I.Facility.P1FacilityCount&gt;=4423,F4435=""),"Incomplete","Complete")</f>
        <v>Complete</v>
      </c>
      <c r="I4435" s="48" t="s">
        <v>8800</v>
      </c>
    </row>
    <row r="4436" spans="2:9" ht="15" customHeight="1" x14ac:dyDescent="0.25">
      <c r="B4436" s="55" t="s">
        <v>279</v>
      </c>
      <c r="C4436" s="46">
        <v>4424</v>
      </c>
      <c r="D4436" s="69" t="s">
        <v>29416</v>
      </c>
      <c r="E4436" s="51"/>
      <c r="F4436" s="114" t="str">
        <f>IF(INDEX(I.Facility.P1IDNumber,4424)="","",INDEX(I.Facility.P1IDNumber,4424))</f>
        <v/>
      </c>
      <c r="G4436" s="51"/>
      <c r="H4436" s="46" t="str">
        <f>IF(AND(I.Developer.P1=TRUE,I.Facility.P1FacilityCount&gt;=4424,F4436=""),"Incomplete","Complete")</f>
        <v>Complete</v>
      </c>
      <c r="I4436" s="48" t="s">
        <v>8801</v>
      </c>
    </row>
    <row r="4437" spans="2:9" ht="15" customHeight="1" x14ac:dyDescent="0.25">
      <c r="B4437" s="55" t="s">
        <v>279</v>
      </c>
      <c r="C4437" s="46">
        <v>4425</v>
      </c>
      <c r="D4437" s="69" t="s">
        <v>29416</v>
      </c>
      <c r="E4437" s="51"/>
      <c r="F4437" s="114" t="str">
        <f>IF(INDEX(I.Facility.P1IDNumber,4425)="","",INDEX(I.Facility.P1IDNumber,4425))</f>
        <v/>
      </c>
      <c r="G4437" s="51"/>
      <c r="H4437" s="46" t="str">
        <f>IF(AND(I.Developer.P1=TRUE,I.Facility.P1FacilityCount&gt;=4425,F4437=""),"Incomplete","Complete")</f>
        <v>Complete</v>
      </c>
      <c r="I4437" s="48" t="s">
        <v>8802</v>
      </c>
    </row>
    <row r="4438" spans="2:9" ht="15" customHeight="1" x14ac:dyDescent="0.25">
      <c r="B4438" s="55" t="s">
        <v>279</v>
      </c>
      <c r="C4438" s="46">
        <v>4426</v>
      </c>
      <c r="D4438" s="69" t="s">
        <v>29416</v>
      </c>
      <c r="E4438" s="51"/>
      <c r="F4438" s="114" t="str">
        <f>IF(INDEX(I.Facility.P1IDNumber,4426)="","",INDEX(I.Facility.P1IDNumber,4426))</f>
        <v/>
      </c>
      <c r="G4438" s="51"/>
      <c r="H4438" s="46" t="str">
        <f>IF(AND(I.Developer.P1=TRUE,I.Facility.P1FacilityCount&gt;=4426,F4438=""),"Incomplete","Complete")</f>
        <v>Complete</v>
      </c>
      <c r="I4438" s="48" t="s">
        <v>8803</v>
      </c>
    </row>
    <row r="4439" spans="2:9" ht="15" customHeight="1" x14ac:dyDescent="0.25">
      <c r="B4439" s="55" t="s">
        <v>279</v>
      </c>
      <c r="C4439" s="46">
        <v>4427</v>
      </c>
      <c r="D4439" s="69" t="s">
        <v>29416</v>
      </c>
      <c r="E4439" s="51"/>
      <c r="F4439" s="114" t="str">
        <f>IF(INDEX(I.Facility.P1IDNumber,4427)="","",INDEX(I.Facility.P1IDNumber,4427))</f>
        <v/>
      </c>
      <c r="G4439" s="51"/>
      <c r="H4439" s="46" t="str">
        <f>IF(AND(I.Developer.P1=TRUE,I.Facility.P1FacilityCount&gt;=4427,F4439=""),"Incomplete","Complete")</f>
        <v>Complete</v>
      </c>
      <c r="I4439" s="48" t="s">
        <v>8804</v>
      </c>
    </row>
    <row r="4440" spans="2:9" ht="15" customHeight="1" x14ac:dyDescent="0.25">
      <c r="B4440" s="55" t="s">
        <v>279</v>
      </c>
      <c r="C4440" s="46">
        <v>4428</v>
      </c>
      <c r="D4440" s="69" t="s">
        <v>29416</v>
      </c>
      <c r="E4440" s="51"/>
      <c r="F4440" s="114" t="str">
        <f>IF(INDEX(I.Facility.P1IDNumber,4428)="","",INDEX(I.Facility.P1IDNumber,4428))</f>
        <v/>
      </c>
      <c r="G4440" s="51"/>
      <c r="H4440" s="46" t="str">
        <f>IF(AND(I.Developer.P1=TRUE,I.Facility.P1FacilityCount&gt;=4428,F4440=""),"Incomplete","Complete")</f>
        <v>Complete</v>
      </c>
      <c r="I4440" s="48" t="s">
        <v>8805</v>
      </c>
    </row>
    <row r="4441" spans="2:9" ht="15" customHeight="1" x14ac:dyDescent="0.25">
      <c r="B4441" s="55" t="s">
        <v>279</v>
      </c>
      <c r="C4441" s="46">
        <v>4429</v>
      </c>
      <c r="D4441" s="69" t="s">
        <v>29416</v>
      </c>
      <c r="E4441" s="51"/>
      <c r="F4441" s="114" t="str">
        <f>IF(INDEX(I.Facility.P1IDNumber,4429)="","",INDEX(I.Facility.P1IDNumber,4429))</f>
        <v/>
      </c>
      <c r="G4441" s="51"/>
      <c r="H4441" s="46" t="str">
        <f>IF(AND(I.Developer.P1=TRUE,I.Facility.P1FacilityCount&gt;=4429,F4441=""),"Incomplete","Complete")</f>
        <v>Complete</v>
      </c>
      <c r="I4441" s="48" t="s">
        <v>8806</v>
      </c>
    </row>
    <row r="4442" spans="2:9" ht="15" customHeight="1" x14ac:dyDescent="0.25">
      <c r="B4442" s="55" t="s">
        <v>279</v>
      </c>
      <c r="C4442" s="46">
        <v>4430</v>
      </c>
      <c r="D4442" s="69" t="s">
        <v>29416</v>
      </c>
      <c r="E4442" s="51"/>
      <c r="F4442" s="114" t="str">
        <f>IF(INDEX(I.Facility.P1IDNumber,4430)="","",INDEX(I.Facility.P1IDNumber,4430))</f>
        <v/>
      </c>
      <c r="G4442" s="51"/>
      <c r="H4442" s="46" t="str">
        <f>IF(AND(I.Developer.P1=TRUE,I.Facility.P1FacilityCount&gt;=4430,F4442=""),"Incomplete","Complete")</f>
        <v>Complete</v>
      </c>
      <c r="I4442" s="48" t="s">
        <v>8807</v>
      </c>
    </row>
    <row r="4443" spans="2:9" ht="15" customHeight="1" x14ac:dyDescent="0.25">
      <c r="B4443" s="55" t="s">
        <v>279</v>
      </c>
      <c r="C4443" s="46">
        <v>4431</v>
      </c>
      <c r="D4443" s="69" t="s">
        <v>29416</v>
      </c>
      <c r="E4443" s="51"/>
      <c r="F4443" s="114" t="str">
        <f>IF(INDEX(I.Facility.P1IDNumber,4431)="","",INDEX(I.Facility.P1IDNumber,4431))</f>
        <v/>
      </c>
      <c r="G4443" s="51"/>
      <c r="H4443" s="46" t="str">
        <f>IF(AND(I.Developer.P1=TRUE,I.Facility.P1FacilityCount&gt;=4431,F4443=""),"Incomplete","Complete")</f>
        <v>Complete</v>
      </c>
      <c r="I4443" s="48" t="s">
        <v>8808</v>
      </c>
    </row>
    <row r="4444" spans="2:9" ht="15" customHeight="1" x14ac:dyDescent="0.25">
      <c r="B4444" s="55" t="s">
        <v>279</v>
      </c>
      <c r="C4444" s="46">
        <v>4432</v>
      </c>
      <c r="D4444" s="69" t="s">
        <v>29416</v>
      </c>
      <c r="E4444" s="51"/>
      <c r="F4444" s="114" t="str">
        <f>IF(INDEX(I.Facility.P1IDNumber,4432)="","",INDEX(I.Facility.P1IDNumber,4432))</f>
        <v/>
      </c>
      <c r="G4444" s="51"/>
      <c r="H4444" s="46" t="str">
        <f>IF(AND(I.Developer.P1=TRUE,I.Facility.P1FacilityCount&gt;=4432,F4444=""),"Incomplete","Complete")</f>
        <v>Complete</v>
      </c>
      <c r="I4444" s="48" t="s">
        <v>8809</v>
      </c>
    </row>
    <row r="4445" spans="2:9" ht="15" customHeight="1" x14ac:dyDescent="0.25">
      <c r="B4445" s="55" t="s">
        <v>279</v>
      </c>
      <c r="C4445" s="46">
        <v>4433</v>
      </c>
      <c r="D4445" s="69" t="s">
        <v>29416</v>
      </c>
      <c r="E4445" s="51"/>
      <c r="F4445" s="114" t="str">
        <f>IF(INDEX(I.Facility.P1IDNumber,4433)="","",INDEX(I.Facility.P1IDNumber,4433))</f>
        <v/>
      </c>
      <c r="G4445" s="51"/>
      <c r="H4445" s="46" t="str">
        <f>IF(AND(I.Developer.P1=TRUE,I.Facility.P1FacilityCount&gt;=4433,F4445=""),"Incomplete","Complete")</f>
        <v>Complete</v>
      </c>
      <c r="I4445" s="48" t="s">
        <v>8810</v>
      </c>
    </row>
    <row r="4446" spans="2:9" ht="15" customHeight="1" x14ac:dyDescent="0.25">
      <c r="B4446" s="55" t="s">
        <v>279</v>
      </c>
      <c r="C4446" s="46">
        <v>4434</v>
      </c>
      <c r="D4446" s="69" t="s">
        <v>29416</v>
      </c>
      <c r="E4446" s="51"/>
      <c r="F4446" s="114" t="str">
        <f>IF(INDEX(I.Facility.P1IDNumber,4434)="","",INDEX(I.Facility.P1IDNumber,4434))</f>
        <v/>
      </c>
      <c r="G4446" s="51"/>
      <c r="H4446" s="46" t="str">
        <f>IF(AND(I.Developer.P1=TRUE,I.Facility.P1FacilityCount&gt;=4434,F4446=""),"Incomplete","Complete")</f>
        <v>Complete</v>
      </c>
      <c r="I4446" s="48" t="s">
        <v>8811</v>
      </c>
    </row>
    <row r="4447" spans="2:9" ht="15" customHeight="1" x14ac:dyDescent="0.25">
      <c r="B4447" s="55" t="s">
        <v>279</v>
      </c>
      <c r="C4447" s="46">
        <v>4435</v>
      </c>
      <c r="D4447" s="69" t="s">
        <v>29416</v>
      </c>
      <c r="E4447" s="51"/>
      <c r="F4447" s="114" t="str">
        <f>IF(INDEX(I.Facility.P1IDNumber,4435)="","",INDEX(I.Facility.P1IDNumber,4435))</f>
        <v/>
      </c>
      <c r="G4447" s="51"/>
      <c r="H4447" s="46" t="str">
        <f>IF(AND(I.Developer.P1=TRUE,I.Facility.P1FacilityCount&gt;=4435,F4447=""),"Incomplete","Complete")</f>
        <v>Complete</v>
      </c>
      <c r="I4447" s="48" t="s">
        <v>8812</v>
      </c>
    </row>
    <row r="4448" spans="2:9" ht="15" customHeight="1" x14ac:dyDescent="0.25">
      <c r="B4448" s="55" t="s">
        <v>279</v>
      </c>
      <c r="C4448" s="46">
        <v>4436</v>
      </c>
      <c r="D4448" s="69" t="s">
        <v>29416</v>
      </c>
      <c r="E4448" s="51"/>
      <c r="F4448" s="114" t="str">
        <f>IF(INDEX(I.Facility.P1IDNumber,4436)="","",INDEX(I.Facility.P1IDNumber,4436))</f>
        <v/>
      </c>
      <c r="G4448" s="51"/>
      <c r="H4448" s="46" t="str">
        <f>IF(AND(I.Developer.P1=TRUE,I.Facility.P1FacilityCount&gt;=4436,F4448=""),"Incomplete","Complete")</f>
        <v>Complete</v>
      </c>
      <c r="I4448" s="48" t="s">
        <v>8813</v>
      </c>
    </row>
    <row r="4449" spans="2:9" ht="15" customHeight="1" x14ac:dyDescent="0.25">
      <c r="B4449" s="55" t="s">
        <v>279</v>
      </c>
      <c r="C4449" s="46">
        <v>4437</v>
      </c>
      <c r="D4449" s="69" t="s">
        <v>29416</v>
      </c>
      <c r="E4449" s="51"/>
      <c r="F4449" s="114" t="str">
        <f>IF(INDEX(I.Facility.P1IDNumber,4437)="","",INDEX(I.Facility.P1IDNumber,4437))</f>
        <v/>
      </c>
      <c r="G4449" s="51"/>
      <c r="H4449" s="46" t="str">
        <f>IF(AND(I.Developer.P1=TRUE,I.Facility.P1FacilityCount&gt;=4437,F4449=""),"Incomplete","Complete")</f>
        <v>Complete</v>
      </c>
      <c r="I4449" s="48" t="s">
        <v>8814</v>
      </c>
    </row>
    <row r="4450" spans="2:9" ht="15" customHeight="1" x14ac:dyDescent="0.25">
      <c r="B4450" s="55" t="s">
        <v>279</v>
      </c>
      <c r="C4450" s="46">
        <v>4438</v>
      </c>
      <c r="D4450" s="69" t="s">
        <v>29416</v>
      </c>
      <c r="E4450" s="51"/>
      <c r="F4450" s="114" t="str">
        <f>IF(INDEX(I.Facility.P1IDNumber,4438)="","",INDEX(I.Facility.P1IDNumber,4438))</f>
        <v/>
      </c>
      <c r="G4450" s="51"/>
      <c r="H4450" s="46" t="str">
        <f>IF(AND(I.Developer.P1=TRUE,I.Facility.P1FacilityCount&gt;=4438,F4450=""),"Incomplete","Complete")</f>
        <v>Complete</v>
      </c>
      <c r="I4450" s="48" t="s">
        <v>8815</v>
      </c>
    </row>
    <row r="4451" spans="2:9" ht="15" customHeight="1" x14ac:dyDescent="0.25">
      <c r="B4451" s="55" t="s">
        <v>279</v>
      </c>
      <c r="C4451" s="46">
        <v>4439</v>
      </c>
      <c r="D4451" s="69" t="s">
        <v>29416</v>
      </c>
      <c r="E4451" s="51"/>
      <c r="F4451" s="114" t="str">
        <f>IF(INDEX(I.Facility.P1IDNumber,4439)="","",INDEX(I.Facility.P1IDNumber,4439))</f>
        <v/>
      </c>
      <c r="G4451" s="51"/>
      <c r="H4451" s="46" t="str">
        <f>IF(AND(I.Developer.P1=TRUE,I.Facility.P1FacilityCount&gt;=4439,F4451=""),"Incomplete","Complete")</f>
        <v>Complete</v>
      </c>
      <c r="I4451" s="48" t="s">
        <v>8816</v>
      </c>
    </row>
    <row r="4452" spans="2:9" ht="15" customHeight="1" x14ac:dyDescent="0.25">
      <c r="B4452" s="55" t="s">
        <v>279</v>
      </c>
      <c r="C4452" s="46">
        <v>4440</v>
      </c>
      <c r="D4452" s="69" t="s">
        <v>29416</v>
      </c>
      <c r="E4452" s="51"/>
      <c r="F4452" s="114" t="str">
        <f>IF(INDEX(I.Facility.P1IDNumber,4440)="","",INDEX(I.Facility.P1IDNumber,4440))</f>
        <v/>
      </c>
      <c r="G4452" s="51"/>
      <c r="H4452" s="46" t="str">
        <f>IF(AND(I.Developer.P1=TRUE,I.Facility.P1FacilityCount&gt;=4440,F4452=""),"Incomplete","Complete")</f>
        <v>Complete</v>
      </c>
      <c r="I4452" s="48" t="s">
        <v>8817</v>
      </c>
    </row>
    <row r="4453" spans="2:9" ht="15" customHeight="1" x14ac:dyDescent="0.25">
      <c r="B4453" s="55" t="s">
        <v>279</v>
      </c>
      <c r="C4453" s="46">
        <v>4441</v>
      </c>
      <c r="D4453" s="69" t="s">
        <v>29416</v>
      </c>
      <c r="E4453" s="51"/>
      <c r="F4453" s="114" t="str">
        <f>IF(INDEX(I.Facility.P1IDNumber,4441)="","",INDEX(I.Facility.P1IDNumber,4441))</f>
        <v/>
      </c>
      <c r="G4453" s="51"/>
      <c r="H4453" s="46" t="str">
        <f>IF(AND(I.Developer.P1=TRUE,I.Facility.P1FacilityCount&gt;=4441,F4453=""),"Incomplete","Complete")</f>
        <v>Complete</v>
      </c>
      <c r="I4453" s="48" t="s">
        <v>8818</v>
      </c>
    </row>
    <row r="4454" spans="2:9" ht="15" customHeight="1" x14ac:dyDescent="0.25">
      <c r="B4454" s="55" t="s">
        <v>279</v>
      </c>
      <c r="C4454" s="46">
        <v>4442</v>
      </c>
      <c r="D4454" s="69" t="s">
        <v>29416</v>
      </c>
      <c r="E4454" s="51"/>
      <c r="F4454" s="114" t="str">
        <f>IF(INDEX(I.Facility.P1IDNumber,4442)="","",INDEX(I.Facility.P1IDNumber,4442))</f>
        <v/>
      </c>
      <c r="G4454" s="51"/>
      <c r="H4454" s="46" t="str">
        <f>IF(AND(I.Developer.P1=TRUE,I.Facility.P1FacilityCount&gt;=4442,F4454=""),"Incomplete","Complete")</f>
        <v>Complete</v>
      </c>
      <c r="I4454" s="48" t="s">
        <v>8819</v>
      </c>
    </row>
    <row r="4455" spans="2:9" ht="15" customHeight="1" x14ac:dyDescent="0.25">
      <c r="B4455" s="55" t="s">
        <v>279</v>
      </c>
      <c r="C4455" s="46">
        <v>4443</v>
      </c>
      <c r="D4455" s="69" t="s">
        <v>29416</v>
      </c>
      <c r="E4455" s="51"/>
      <c r="F4455" s="114" t="str">
        <f>IF(INDEX(I.Facility.P1IDNumber,4443)="","",INDEX(I.Facility.P1IDNumber,4443))</f>
        <v/>
      </c>
      <c r="G4455" s="51"/>
      <c r="H4455" s="46" t="str">
        <f>IF(AND(I.Developer.P1=TRUE,I.Facility.P1FacilityCount&gt;=4443,F4455=""),"Incomplete","Complete")</f>
        <v>Complete</v>
      </c>
      <c r="I4455" s="48" t="s">
        <v>8820</v>
      </c>
    </row>
    <row r="4456" spans="2:9" ht="15" customHeight="1" x14ac:dyDescent="0.25">
      <c r="B4456" s="55" t="s">
        <v>279</v>
      </c>
      <c r="C4456" s="46">
        <v>4444</v>
      </c>
      <c r="D4456" s="69" t="s">
        <v>29416</v>
      </c>
      <c r="E4456" s="51"/>
      <c r="F4456" s="114" t="str">
        <f>IF(INDEX(I.Facility.P1IDNumber,4444)="","",INDEX(I.Facility.P1IDNumber,4444))</f>
        <v/>
      </c>
      <c r="G4456" s="51"/>
      <c r="H4456" s="46" t="str">
        <f>IF(AND(I.Developer.P1=TRUE,I.Facility.P1FacilityCount&gt;=4444,F4456=""),"Incomplete","Complete")</f>
        <v>Complete</v>
      </c>
      <c r="I4456" s="48" t="s">
        <v>8821</v>
      </c>
    </row>
    <row r="4457" spans="2:9" ht="15" customHeight="1" x14ac:dyDescent="0.25">
      <c r="B4457" s="55" t="s">
        <v>279</v>
      </c>
      <c r="C4457" s="46">
        <v>4445</v>
      </c>
      <c r="D4457" s="69" t="s">
        <v>29416</v>
      </c>
      <c r="E4457" s="51"/>
      <c r="F4457" s="114" t="str">
        <f>IF(INDEX(I.Facility.P1IDNumber,4445)="","",INDEX(I.Facility.P1IDNumber,4445))</f>
        <v/>
      </c>
      <c r="G4457" s="51"/>
      <c r="H4457" s="46" t="str">
        <f>IF(AND(I.Developer.P1=TRUE,I.Facility.P1FacilityCount&gt;=4445,F4457=""),"Incomplete","Complete")</f>
        <v>Complete</v>
      </c>
      <c r="I4457" s="48" t="s">
        <v>8822</v>
      </c>
    </row>
    <row r="4458" spans="2:9" ht="15" customHeight="1" x14ac:dyDescent="0.25">
      <c r="B4458" s="55" t="s">
        <v>279</v>
      </c>
      <c r="C4458" s="46">
        <v>4446</v>
      </c>
      <c r="D4458" s="69" t="s">
        <v>29416</v>
      </c>
      <c r="E4458" s="51"/>
      <c r="F4458" s="114" t="str">
        <f>IF(INDEX(I.Facility.P1IDNumber,4446)="","",INDEX(I.Facility.P1IDNumber,4446))</f>
        <v/>
      </c>
      <c r="G4458" s="51"/>
      <c r="H4458" s="46" t="str">
        <f>IF(AND(I.Developer.P1=TRUE,I.Facility.P1FacilityCount&gt;=4446,F4458=""),"Incomplete","Complete")</f>
        <v>Complete</v>
      </c>
      <c r="I4458" s="48" t="s">
        <v>8823</v>
      </c>
    </row>
    <row r="4459" spans="2:9" ht="15" customHeight="1" x14ac:dyDescent="0.25">
      <c r="B4459" s="55" t="s">
        <v>279</v>
      </c>
      <c r="C4459" s="46">
        <v>4447</v>
      </c>
      <c r="D4459" s="69" t="s">
        <v>29416</v>
      </c>
      <c r="E4459" s="51"/>
      <c r="F4459" s="114" t="str">
        <f>IF(INDEX(I.Facility.P1IDNumber,4447)="","",INDEX(I.Facility.P1IDNumber,4447))</f>
        <v/>
      </c>
      <c r="G4459" s="51"/>
      <c r="H4459" s="46" t="str">
        <f>IF(AND(I.Developer.P1=TRUE,I.Facility.P1FacilityCount&gt;=4447,F4459=""),"Incomplete","Complete")</f>
        <v>Complete</v>
      </c>
      <c r="I4459" s="48" t="s">
        <v>8824</v>
      </c>
    </row>
    <row r="4460" spans="2:9" ht="15" customHeight="1" x14ac:dyDescent="0.25">
      <c r="B4460" s="55" t="s">
        <v>279</v>
      </c>
      <c r="C4460" s="46">
        <v>4448</v>
      </c>
      <c r="D4460" s="69" t="s">
        <v>29416</v>
      </c>
      <c r="E4460" s="51"/>
      <c r="F4460" s="114" t="str">
        <f>IF(INDEX(I.Facility.P1IDNumber,4448)="","",INDEX(I.Facility.P1IDNumber,4448))</f>
        <v/>
      </c>
      <c r="G4460" s="51"/>
      <c r="H4460" s="46" t="str">
        <f>IF(AND(I.Developer.P1=TRUE,I.Facility.P1FacilityCount&gt;=4448,F4460=""),"Incomplete","Complete")</f>
        <v>Complete</v>
      </c>
      <c r="I4460" s="48" t="s">
        <v>8825</v>
      </c>
    </row>
    <row r="4461" spans="2:9" ht="15" customHeight="1" x14ac:dyDescent="0.25">
      <c r="B4461" s="55" t="s">
        <v>279</v>
      </c>
      <c r="C4461" s="46">
        <v>4449</v>
      </c>
      <c r="D4461" s="69" t="s">
        <v>29416</v>
      </c>
      <c r="E4461" s="51"/>
      <c r="F4461" s="114" t="str">
        <f>IF(INDEX(I.Facility.P1IDNumber,4449)="","",INDEX(I.Facility.P1IDNumber,4449))</f>
        <v/>
      </c>
      <c r="G4461" s="51"/>
      <c r="H4461" s="46" t="str">
        <f>IF(AND(I.Developer.P1=TRUE,I.Facility.P1FacilityCount&gt;=4449,F4461=""),"Incomplete","Complete")</f>
        <v>Complete</v>
      </c>
      <c r="I4461" s="48" t="s">
        <v>8826</v>
      </c>
    </row>
    <row r="4462" spans="2:9" ht="15" customHeight="1" x14ac:dyDescent="0.25">
      <c r="B4462" s="55" t="s">
        <v>279</v>
      </c>
      <c r="C4462" s="46">
        <v>4450</v>
      </c>
      <c r="D4462" s="69" t="s">
        <v>29416</v>
      </c>
      <c r="E4462" s="51"/>
      <c r="F4462" s="114" t="str">
        <f>IF(INDEX(I.Facility.P1IDNumber,4450)="","",INDEX(I.Facility.P1IDNumber,4450))</f>
        <v/>
      </c>
      <c r="G4462" s="51"/>
      <c r="H4462" s="46" t="str">
        <f>IF(AND(I.Developer.P1=TRUE,I.Facility.P1FacilityCount&gt;=4450,F4462=""),"Incomplete","Complete")</f>
        <v>Complete</v>
      </c>
      <c r="I4462" s="48" t="s">
        <v>8827</v>
      </c>
    </row>
    <row r="4463" spans="2:9" ht="15" customHeight="1" x14ac:dyDescent="0.25">
      <c r="B4463" s="55" t="s">
        <v>279</v>
      </c>
      <c r="C4463" s="46">
        <v>4451</v>
      </c>
      <c r="D4463" s="69" t="s">
        <v>29416</v>
      </c>
      <c r="E4463" s="51"/>
      <c r="F4463" s="114" t="str">
        <f>IF(INDEX(I.Facility.P1IDNumber,4451)="","",INDEX(I.Facility.P1IDNumber,4451))</f>
        <v/>
      </c>
      <c r="G4463" s="51"/>
      <c r="H4463" s="46" t="str">
        <f>IF(AND(I.Developer.P1=TRUE,I.Facility.P1FacilityCount&gt;=4451,F4463=""),"Incomplete","Complete")</f>
        <v>Complete</v>
      </c>
      <c r="I4463" s="48" t="s">
        <v>8828</v>
      </c>
    </row>
    <row r="4464" spans="2:9" ht="15" customHeight="1" x14ac:dyDescent="0.25">
      <c r="B4464" s="55" t="s">
        <v>279</v>
      </c>
      <c r="C4464" s="46">
        <v>4452</v>
      </c>
      <c r="D4464" s="69" t="s">
        <v>29416</v>
      </c>
      <c r="E4464" s="51"/>
      <c r="F4464" s="114" t="str">
        <f>IF(INDEX(I.Facility.P1IDNumber,4452)="","",INDEX(I.Facility.P1IDNumber,4452))</f>
        <v/>
      </c>
      <c r="G4464" s="51"/>
      <c r="H4464" s="46" t="str">
        <f>IF(AND(I.Developer.P1=TRUE,I.Facility.P1FacilityCount&gt;=4452,F4464=""),"Incomplete","Complete")</f>
        <v>Complete</v>
      </c>
      <c r="I4464" s="48" t="s">
        <v>8829</v>
      </c>
    </row>
    <row r="4465" spans="2:9" ht="15" customHeight="1" x14ac:dyDescent="0.25">
      <c r="B4465" s="55" t="s">
        <v>279</v>
      </c>
      <c r="C4465" s="46">
        <v>4453</v>
      </c>
      <c r="D4465" s="69" t="s">
        <v>29416</v>
      </c>
      <c r="E4465" s="51"/>
      <c r="F4465" s="114" t="str">
        <f>IF(INDEX(I.Facility.P1IDNumber,4453)="","",INDEX(I.Facility.P1IDNumber,4453))</f>
        <v/>
      </c>
      <c r="G4465" s="51"/>
      <c r="H4465" s="46" t="str">
        <f>IF(AND(I.Developer.P1=TRUE,I.Facility.P1FacilityCount&gt;=4453,F4465=""),"Incomplete","Complete")</f>
        <v>Complete</v>
      </c>
      <c r="I4465" s="48" t="s">
        <v>8830</v>
      </c>
    </row>
    <row r="4466" spans="2:9" ht="15" customHeight="1" x14ac:dyDescent="0.25">
      <c r="B4466" s="55" t="s">
        <v>279</v>
      </c>
      <c r="C4466" s="46">
        <v>4454</v>
      </c>
      <c r="D4466" s="69" t="s">
        <v>29416</v>
      </c>
      <c r="E4466" s="51"/>
      <c r="F4466" s="114" t="str">
        <f>IF(INDEX(I.Facility.P1IDNumber,4454)="","",INDEX(I.Facility.P1IDNumber,4454))</f>
        <v/>
      </c>
      <c r="G4466" s="51"/>
      <c r="H4466" s="46" t="str">
        <f>IF(AND(I.Developer.P1=TRUE,I.Facility.P1FacilityCount&gt;=4454,F4466=""),"Incomplete","Complete")</f>
        <v>Complete</v>
      </c>
      <c r="I4466" s="48" t="s">
        <v>8831</v>
      </c>
    </row>
    <row r="4467" spans="2:9" ht="15" customHeight="1" x14ac:dyDescent="0.25">
      <c r="B4467" s="55" t="s">
        <v>279</v>
      </c>
      <c r="C4467" s="46">
        <v>4455</v>
      </c>
      <c r="D4467" s="69" t="s">
        <v>29416</v>
      </c>
      <c r="E4467" s="51"/>
      <c r="F4467" s="114" t="str">
        <f>IF(INDEX(I.Facility.P1IDNumber,4455)="","",INDEX(I.Facility.P1IDNumber,4455))</f>
        <v/>
      </c>
      <c r="G4467" s="51"/>
      <c r="H4467" s="46" t="str">
        <f>IF(AND(I.Developer.P1=TRUE,I.Facility.P1FacilityCount&gt;=4455,F4467=""),"Incomplete","Complete")</f>
        <v>Complete</v>
      </c>
      <c r="I4467" s="48" t="s">
        <v>8832</v>
      </c>
    </row>
    <row r="4468" spans="2:9" ht="15" customHeight="1" x14ac:dyDescent="0.25">
      <c r="B4468" s="55" t="s">
        <v>279</v>
      </c>
      <c r="C4468" s="46">
        <v>4456</v>
      </c>
      <c r="D4468" s="69" t="s">
        <v>29416</v>
      </c>
      <c r="E4468" s="51"/>
      <c r="F4468" s="114" t="str">
        <f>IF(INDEX(I.Facility.P1IDNumber,4456)="","",INDEX(I.Facility.P1IDNumber,4456))</f>
        <v/>
      </c>
      <c r="G4468" s="51"/>
      <c r="H4468" s="46" t="str">
        <f>IF(AND(I.Developer.P1=TRUE,I.Facility.P1FacilityCount&gt;=4456,F4468=""),"Incomplete","Complete")</f>
        <v>Complete</v>
      </c>
      <c r="I4468" s="48" t="s">
        <v>8833</v>
      </c>
    </row>
    <row r="4469" spans="2:9" ht="15" customHeight="1" x14ac:dyDescent="0.25">
      <c r="B4469" s="55" t="s">
        <v>279</v>
      </c>
      <c r="C4469" s="46">
        <v>4457</v>
      </c>
      <c r="D4469" s="69" t="s">
        <v>29416</v>
      </c>
      <c r="E4469" s="51"/>
      <c r="F4469" s="114" t="str">
        <f>IF(INDEX(I.Facility.P1IDNumber,4457)="","",INDEX(I.Facility.P1IDNumber,4457))</f>
        <v/>
      </c>
      <c r="G4469" s="51"/>
      <c r="H4469" s="46" t="str">
        <f>IF(AND(I.Developer.P1=TRUE,I.Facility.P1FacilityCount&gt;=4457,F4469=""),"Incomplete","Complete")</f>
        <v>Complete</v>
      </c>
      <c r="I4469" s="48" t="s">
        <v>8834</v>
      </c>
    </row>
    <row r="4470" spans="2:9" ht="15" customHeight="1" x14ac:dyDescent="0.25">
      <c r="B4470" s="55" t="s">
        <v>279</v>
      </c>
      <c r="C4470" s="46">
        <v>4458</v>
      </c>
      <c r="D4470" s="69" t="s">
        <v>29416</v>
      </c>
      <c r="E4470" s="51"/>
      <c r="F4470" s="114" t="str">
        <f>IF(INDEX(I.Facility.P1IDNumber,4458)="","",INDEX(I.Facility.P1IDNumber,4458))</f>
        <v/>
      </c>
      <c r="G4470" s="51"/>
      <c r="H4470" s="46" t="str">
        <f>IF(AND(I.Developer.P1=TRUE,I.Facility.P1FacilityCount&gt;=4458,F4470=""),"Incomplete","Complete")</f>
        <v>Complete</v>
      </c>
      <c r="I4470" s="48" t="s">
        <v>8835</v>
      </c>
    </row>
    <row r="4471" spans="2:9" ht="15" customHeight="1" x14ac:dyDescent="0.25">
      <c r="B4471" s="55" t="s">
        <v>279</v>
      </c>
      <c r="C4471" s="46">
        <v>4459</v>
      </c>
      <c r="D4471" s="69" t="s">
        <v>29416</v>
      </c>
      <c r="E4471" s="51"/>
      <c r="F4471" s="114" t="str">
        <f>IF(INDEX(I.Facility.P1IDNumber,4459)="","",INDEX(I.Facility.P1IDNumber,4459))</f>
        <v/>
      </c>
      <c r="G4471" s="51"/>
      <c r="H4471" s="46" t="str">
        <f>IF(AND(I.Developer.P1=TRUE,I.Facility.P1FacilityCount&gt;=4459,F4471=""),"Incomplete","Complete")</f>
        <v>Complete</v>
      </c>
      <c r="I4471" s="48" t="s">
        <v>8836</v>
      </c>
    </row>
    <row r="4472" spans="2:9" ht="15" customHeight="1" x14ac:dyDescent="0.25">
      <c r="B4472" s="55" t="s">
        <v>279</v>
      </c>
      <c r="C4472" s="46">
        <v>4460</v>
      </c>
      <c r="D4472" s="69" t="s">
        <v>29416</v>
      </c>
      <c r="E4472" s="51"/>
      <c r="F4472" s="114" t="str">
        <f>IF(INDEX(I.Facility.P1IDNumber,4460)="","",INDEX(I.Facility.P1IDNumber,4460))</f>
        <v/>
      </c>
      <c r="G4472" s="51"/>
      <c r="H4472" s="46" t="str">
        <f>IF(AND(I.Developer.P1=TRUE,I.Facility.P1FacilityCount&gt;=4460,F4472=""),"Incomplete","Complete")</f>
        <v>Complete</v>
      </c>
      <c r="I4472" s="48" t="s">
        <v>8837</v>
      </c>
    </row>
    <row r="4473" spans="2:9" ht="15" customHeight="1" x14ac:dyDescent="0.25">
      <c r="B4473" s="55" t="s">
        <v>279</v>
      </c>
      <c r="C4473" s="46">
        <v>4461</v>
      </c>
      <c r="D4473" s="69" t="s">
        <v>29416</v>
      </c>
      <c r="E4473" s="51"/>
      <c r="F4473" s="114" t="str">
        <f>IF(INDEX(I.Facility.P1IDNumber,4461)="","",INDEX(I.Facility.P1IDNumber,4461))</f>
        <v/>
      </c>
      <c r="G4473" s="51"/>
      <c r="H4473" s="46" t="str">
        <f>IF(AND(I.Developer.P1=TRUE,I.Facility.P1FacilityCount&gt;=4461,F4473=""),"Incomplete","Complete")</f>
        <v>Complete</v>
      </c>
      <c r="I4473" s="48" t="s">
        <v>8838</v>
      </c>
    </row>
    <row r="4474" spans="2:9" ht="15" customHeight="1" x14ac:dyDescent="0.25">
      <c r="B4474" s="55" t="s">
        <v>279</v>
      </c>
      <c r="C4474" s="46">
        <v>4462</v>
      </c>
      <c r="D4474" s="69" t="s">
        <v>29416</v>
      </c>
      <c r="E4474" s="51"/>
      <c r="F4474" s="114" t="str">
        <f>IF(INDEX(I.Facility.P1IDNumber,4462)="","",INDEX(I.Facility.P1IDNumber,4462))</f>
        <v/>
      </c>
      <c r="G4474" s="51"/>
      <c r="H4474" s="46" t="str">
        <f>IF(AND(I.Developer.P1=TRUE,I.Facility.P1FacilityCount&gt;=4462,F4474=""),"Incomplete","Complete")</f>
        <v>Complete</v>
      </c>
      <c r="I4474" s="48" t="s">
        <v>8839</v>
      </c>
    </row>
    <row r="4475" spans="2:9" ht="15" customHeight="1" x14ac:dyDescent="0.25">
      <c r="B4475" s="55" t="s">
        <v>279</v>
      </c>
      <c r="C4475" s="46">
        <v>4463</v>
      </c>
      <c r="D4475" s="69" t="s">
        <v>29416</v>
      </c>
      <c r="E4475" s="51"/>
      <c r="F4475" s="114" t="str">
        <f>IF(INDEX(I.Facility.P1IDNumber,4463)="","",INDEX(I.Facility.P1IDNumber,4463))</f>
        <v/>
      </c>
      <c r="G4475" s="51"/>
      <c r="H4475" s="46" t="str">
        <f>IF(AND(I.Developer.P1=TRUE,I.Facility.P1FacilityCount&gt;=4463,F4475=""),"Incomplete","Complete")</f>
        <v>Complete</v>
      </c>
      <c r="I4475" s="48" t="s">
        <v>8840</v>
      </c>
    </row>
    <row r="4476" spans="2:9" ht="15" customHeight="1" x14ac:dyDescent="0.25">
      <c r="B4476" s="55" t="s">
        <v>279</v>
      </c>
      <c r="C4476" s="46">
        <v>4464</v>
      </c>
      <c r="D4476" s="69" t="s">
        <v>29416</v>
      </c>
      <c r="E4476" s="51"/>
      <c r="F4476" s="114" t="str">
        <f>IF(INDEX(I.Facility.P1IDNumber,4464)="","",INDEX(I.Facility.P1IDNumber,4464))</f>
        <v/>
      </c>
      <c r="G4476" s="51"/>
      <c r="H4476" s="46" t="str">
        <f>IF(AND(I.Developer.P1=TRUE,I.Facility.P1FacilityCount&gt;=4464,F4476=""),"Incomplete","Complete")</f>
        <v>Complete</v>
      </c>
      <c r="I4476" s="48" t="s">
        <v>8841</v>
      </c>
    </row>
    <row r="4477" spans="2:9" ht="15" customHeight="1" x14ac:dyDescent="0.25">
      <c r="B4477" s="55" t="s">
        <v>279</v>
      </c>
      <c r="C4477" s="46">
        <v>4465</v>
      </c>
      <c r="D4477" s="69" t="s">
        <v>29416</v>
      </c>
      <c r="E4477" s="51"/>
      <c r="F4477" s="114" t="str">
        <f>IF(INDEX(I.Facility.P1IDNumber,4465)="","",INDEX(I.Facility.P1IDNumber,4465))</f>
        <v/>
      </c>
      <c r="G4477" s="51"/>
      <c r="H4477" s="46" t="str">
        <f>IF(AND(I.Developer.P1=TRUE,I.Facility.P1FacilityCount&gt;=4465,F4477=""),"Incomplete","Complete")</f>
        <v>Complete</v>
      </c>
      <c r="I4477" s="48" t="s">
        <v>8842</v>
      </c>
    </row>
    <row r="4478" spans="2:9" ht="15" customHeight="1" x14ac:dyDescent="0.25">
      <c r="B4478" s="55" t="s">
        <v>279</v>
      </c>
      <c r="C4478" s="46">
        <v>4466</v>
      </c>
      <c r="D4478" s="69" t="s">
        <v>29416</v>
      </c>
      <c r="E4478" s="51"/>
      <c r="F4478" s="114" t="str">
        <f>IF(INDEX(I.Facility.P1IDNumber,4466)="","",INDEX(I.Facility.P1IDNumber,4466))</f>
        <v/>
      </c>
      <c r="G4478" s="51"/>
      <c r="H4478" s="46" t="str">
        <f>IF(AND(I.Developer.P1=TRUE,I.Facility.P1FacilityCount&gt;=4466,F4478=""),"Incomplete","Complete")</f>
        <v>Complete</v>
      </c>
      <c r="I4478" s="48" t="s">
        <v>8843</v>
      </c>
    </row>
    <row r="4479" spans="2:9" ht="15" customHeight="1" x14ac:dyDescent="0.25">
      <c r="B4479" s="55" t="s">
        <v>279</v>
      </c>
      <c r="C4479" s="46">
        <v>4467</v>
      </c>
      <c r="D4479" s="69" t="s">
        <v>29416</v>
      </c>
      <c r="E4479" s="51"/>
      <c r="F4479" s="114" t="str">
        <f>IF(INDEX(I.Facility.P1IDNumber,4467)="","",INDEX(I.Facility.P1IDNumber,4467))</f>
        <v/>
      </c>
      <c r="G4479" s="51"/>
      <c r="H4479" s="46" t="str">
        <f>IF(AND(I.Developer.P1=TRUE,I.Facility.P1FacilityCount&gt;=4467,F4479=""),"Incomplete","Complete")</f>
        <v>Complete</v>
      </c>
      <c r="I4479" s="48" t="s">
        <v>8844</v>
      </c>
    </row>
    <row r="4480" spans="2:9" ht="15" customHeight="1" x14ac:dyDescent="0.25">
      <c r="B4480" s="55" t="s">
        <v>279</v>
      </c>
      <c r="C4480" s="46">
        <v>4468</v>
      </c>
      <c r="D4480" s="69" t="s">
        <v>29416</v>
      </c>
      <c r="E4480" s="51"/>
      <c r="F4480" s="114" t="str">
        <f>IF(INDEX(I.Facility.P1IDNumber,4468)="","",INDEX(I.Facility.P1IDNumber,4468))</f>
        <v/>
      </c>
      <c r="G4480" s="51"/>
      <c r="H4480" s="46" t="str">
        <f>IF(AND(I.Developer.P1=TRUE,I.Facility.P1FacilityCount&gt;=4468,F4480=""),"Incomplete","Complete")</f>
        <v>Complete</v>
      </c>
      <c r="I4480" s="48" t="s">
        <v>8845</v>
      </c>
    </row>
    <row r="4481" spans="2:9" ht="15" customHeight="1" x14ac:dyDescent="0.25">
      <c r="B4481" s="55" t="s">
        <v>279</v>
      </c>
      <c r="C4481" s="46">
        <v>4469</v>
      </c>
      <c r="D4481" s="69" t="s">
        <v>29416</v>
      </c>
      <c r="E4481" s="51"/>
      <c r="F4481" s="114" t="str">
        <f>IF(INDEX(I.Facility.P1IDNumber,4469)="","",INDEX(I.Facility.P1IDNumber,4469))</f>
        <v/>
      </c>
      <c r="G4481" s="51"/>
      <c r="H4481" s="46" t="str">
        <f>IF(AND(I.Developer.P1=TRUE,I.Facility.P1FacilityCount&gt;=4469,F4481=""),"Incomplete","Complete")</f>
        <v>Complete</v>
      </c>
      <c r="I4481" s="48" t="s">
        <v>8846</v>
      </c>
    </row>
    <row r="4482" spans="2:9" ht="15" customHeight="1" x14ac:dyDescent="0.25">
      <c r="B4482" s="55" t="s">
        <v>279</v>
      </c>
      <c r="C4482" s="46">
        <v>4470</v>
      </c>
      <c r="D4482" s="69" t="s">
        <v>29416</v>
      </c>
      <c r="E4482" s="51"/>
      <c r="F4482" s="114" t="str">
        <f>IF(INDEX(I.Facility.P1IDNumber,4470)="","",INDEX(I.Facility.P1IDNumber,4470))</f>
        <v/>
      </c>
      <c r="G4482" s="51"/>
      <c r="H4482" s="46" t="str">
        <f>IF(AND(I.Developer.P1=TRUE,I.Facility.P1FacilityCount&gt;=4470,F4482=""),"Incomplete","Complete")</f>
        <v>Complete</v>
      </c>
      <c r="I4482" s="48" t="s">
        <v>8847</v>
      </c>
    </row>
    <row r="4483" spans="2:9" ht="15" customHeight="1" x14ac:dyDescent="0.25">
      <c r="B4483" s="55" t="s">
        <v>279</v>
      </c>
      <c r="C4483" s="46">
        <v>4471</v>
      </c>
      <c r="D4483" s="69" t="s">
        <v>29416</v>
      </c>
      <c r="E4483" s="51"/>
      <c r="F4483" s="114" t="str">
        <f>IF(INDEX(I.Facility.P1IDNumber,4471)="","",INDEX(I.Facility.P1IDNumber,4471))</f>
        <v/>
      </c>
      <c r="G4483" s="51"/>
      <c r="H4483" s="46" t="str">
        <f>IF(AND(I.Developer.P1=TRUE,I.Facility.P1FacilityCount&gt;=4471,F4483=""),"Incomplete","Complete")</f>
        <v>Complete</v>
      </c>
      <c r="I4483" s="48" t="s">
        <v>8848</v>
      </c>
    </row>
    <row r="4484" spans="2:9" ht="15" customHeight="1" x14ac:dyDescent="0.25">
      <c r="B4484" s="55" t="s">
        <v>279</v>
      </c>
      <c r="C4484" s="46">
        <v>4472</v>
      </c>
      <c r="D4484" s="69" t="s">
        <v>29416</v>
      </c>
      <c r="E4484" s="51"/>
      <c r="F4484" s="114" t="str">
        <f>IF(INDEX(I.Facility.P1IDNumber,4472)="","",INDEX(I.Facility.P1IDNumber,4472))</f>
        <v/>
      </c>
      <c r="G4484" s="51"/>
      <c r="H4484" s="46" t="str">
        <f>IF(AND(I.Developer.P1=TRUE,I.Facility.P1FacilityCount&gt;=4472,F4484=""),"Incomplete","Complete")</f>
        <v>Complete</v>
      </c>
      <c r="I4484" s="48" t="s">
        <v>8849</v>
      </c>
    </row>
    <row r="4485" spans="2:9" ht="15" customHeight="1" x14ac:dyDescent="0.25">
      <c r="B4485" s="55" t="s">
        <v>279</v>
      </c>
      <c r="C4485" s="46">
        <v>4473</v>
      </c>
      <c r="D4485" s="69" t="s">
        <v>29416</v>
      </c>
      <c r="E4485" s="51"/>
      <c r="F4485" s="114" t="str">
        <f>IF(INDEX(I.Facility.P1IDNumber,4473)="","",INDEX(I.Facility.P1IDNumber,4473))</f>
        <v/>
      </c>
      <c r="G4485" s="51"/>
      <c r="H4485" s="46" t="str">
        <f>IF(AND(I.Developer.P1=TRUE,I.Facility.P1FacilityCount&gt;=4473,F4485=""),"Incomplete","Complete")</f>
        <v>Complete</v>
      </c>
      <c r="I4485" s="48" t="s">
        <v>8850</v>
      </c>
    </row>
    <row r="4486" spans="2:9" ht="15" customHeight="1" x14ac:dyDescent="0.25">
      <c r="B4486" s="55" t="s">
        <v>279</v>
      </c>
      <c r="C4486" s="46">
        <v>4474</v>
      </c>
      <c r="D4486" s="69" t="s">
        <v>29416</v>
      </c>
      <c r="E4486" s="51"/>
      <c r="F4486" s="114" t="str">
        <f>IF(INDEX(I.Facility.P1IDNumber,4474)="","",INDEX(I.Facility.P1IDNumber,4474))</f>
        <v/>
      </c>
      <c r="G4486" s="51"/>
      <c r="H4486" s="46" t="str">
        <f>IF(AND(I.Developer.P1=TRUE,I.Facility.P1FacilityCount&gt;=4474,F4486=""),"Incomplete","Complete")</f>
        <v>Complete</v>
      </c>
      <c r="I4486" s="48" t="s">
        <v>8851</v>
      </c>
    </row>
    <row r="4487" spans="2:9" ht="15" customHeight="1" x14ac:dyDescent="0.25">
      <c r="B4487" s="55" t="s">
        <v>279</v>
      </c>
      <c r="C4487" s="46">
        <v>4475</v>
      </c>
      <c r="D4487" s="69" t="s">
        <v>29416</v>
      </c>
      <c r="E4487" s="51"/>
      <c r="F4487" s="114" t="str">
        <f>IF(INDEX(I.Facility.P1IDNumber,4475)="","",INDEX(I.Facility.P1IDNumber,4475))</f>
        <v/>
      </c>
      <c r="G4487" s="51"/>
      <c r="H4487" s="46" t="str">
        <f>IF(AND(I.Developer.P1=TRUE,I.Facility.P1FacilityCount&gt;=4475,F4487=""),"Incomplete","Complete")</f>
        <v>Complete</v>
      </c>
      <c r="I4487" s="48" t="s">
        <v>8852</v>
      </c>
    </row>
    <row r="4488" spans="2:9" ht="15" customHeight="1" x14ac:dyDescent="0.25">
      <c r="B4488" s="55" t="s">
        <v>279</v>
      </c>
      <c r="C4488" s="46">
        <v>4476</v>
      </c>
      <c r="D4488" s="69" t="s">
        <v>29416</v>
      </c>
      <c r="E4488" s="51"/>
      <c r="F4488" s="114" t="str">
        <f>IF(INDEX(I.Facility.P1IDNumber,4476)="","",INDEX(I.Facility.P1IDNumber,4476))</f>
        <v/>
      </c>
      <c r="G4488" s="51"/>
      <c r="H4488" s="46" t="str">
        <f>IF(AND(I.Developer.P1=TRUE,I.Facility.P1FacilityCount&gt;=4476,F4488=""),"Incomplete","Complete")</f>
        <v>Complete</v>
      </c>
      <c r="I4488" s="48" t="s">
        <v>8853</v>
      </c>
    </row>
    <row r="4489" spans="2:9" ht="15" customHeight="1" x14ac:dyDescent="0.25">
      <c r="B4489" s="55" t="s">
        <v>279</v>
      </c>
      <c r="C4489" s="46">
        <v>4477</v>
      </c>
      <c r="D4489" s="69" t="s">
        <v>29416</v>
      </c>
      <c r="E4489" s="51"/>
      <c r="F4489" s="114" t="str">
        <f>IF(INDEX(I.Facility.P1IDNumber,4477)="","",INDEX(I.Facility.P1IDNumber,4477))</f>
        <v/>
      </c>
      <c r="G4489" s="51"/>
      <c r="H4489" s="46" t="str">
        <f>IF(AND(I.Developer.P1=TRUE,I.Facility.P1FacilityCount&gt;=4477,F4489=""),"Incomplete","Complete")</f>
        <v>Complete</v>
      </c>
      <c r="I4489" s="48" t="s">
        <v>8854</v>
      </c>
    </row>
    <row r="4490" spans="2:9" ht="15" customHeight="1" x14ac:dyDescent="0.25">
      <c r="B4490" s="55" t="s">
        <v>279</v>
      </c>
      <c r="C4490" s="46">
        <v>4478</v>
      </c>
      <c r="D4490" s="69" t="s">
        <v>29416</v>
      </c>
      <c r="E4490" s="51"/>
      <c r="F4490" s="114" t="str">
        <f>IF(INDEX(I.Facility.P1IDNumber,4478)="","",INDEX(I.Facility.P1IDNumber,4478))</f>
        <v/>
      </c>
      <c r="G4490" s="51"/>
      <c r="H4490" s="46" t="str">
        <f>IF(AND(I.Developer.P1=TRUE,I.Facility.P1FacilityCount&gt;=4478,F4490=""),"Incomplete","Complete")</f>
        <v>Complete</v>
      </c>
      <c r="I4490" s="48" t="s">
        <v>8855</v>
      </c>
    </row>
    <row r="4491" spans="2:9" ht="15" customHeight="1" x14ac:dyDescent="0.25">
      <c r="B4491" s="55" t="s">
        <v>279</v>
      </c>
      <c r="C4491" s="46">
        <v>4479</v>
      </c>
      <c r="D4491" s="69" t="s">
        <v>29416</v>
      </c>
      <c r="E4491" s="51"/>
      <c r="F4491" s="114" t="str">
        <f>IF(INDEX(I.Facility.P1IDNumber,4479)="","",INDEX(I.Facility.P1IDNumber,4479))</f>
        <v/>
      </c>
      <c r="G4491" s="51"/>
      <c r="H4491" s="46" t="str">
        <f>IF(AND(I.Developer.P1=TRUE,I.Facility.P1FacilityCount&gt;=4479,F4491=""),"Incomplete","Complete")</f>
        <v>Complete</v>
      </c>
      <c r="I4491" s="48" t="s">
        <v>8856</v>
      </c>
    </row>
    <row r="4492" spans="2:9" ht="15" customHeight="1" x14ac:dyDescent="0.25">
      <c r="B4492" s="55" t="s">
        <v>279</v>
      </c>
      <c r="C4492" s="46">
        <v>4480</v>
      </c>
      <c r="D4492" s="69" t="s">
        <v>29416</v>
      </c>
      <c r="E4492" s="51"/>
      <c r="F4492" s="114" t="str">
        <f>IF(INDEX(I.Facility.P1IDNumber,4480)="","",INDEX(I.Facility.P1IDNumber,4480))</f>
        <v/>
      </c>
      <c r="G4492" s="51"/>
      <c r="H4492" s="46" t="str">
        <f>IF(AND(I.Developer.P1=TRUE,I.Facility.P1FacilityCount&gt;=4480,F4492=""),"Incomplete","Complete")</f>
        <v>Complete</v>
      </c>
      <c r="I4492" s="48" t="s">
        <v>8857</v>
      </c>
    </row>
    <row r="4493" spans="2:9" ht="15" customHeight="1" x14ac:dyDescent="0.25">
      <c r="B4493" s="55" t="s">
        <v>279</v>
      </c>
      <c r="C4493" s="46">
        <v>4481</v>
      </c>
      <c r="D4493" s="69" t="s">
        <v>29416</v>
      </c>
      <c r="E4493" s="51"/>
      <c r="F4493" s="114" t="str">
        <f>IF(INDEX(I.Facility.P1IDNumber,4481)="","",INDEX(I.Facility.P1IDNumber,4481))</f>
        <v/>
      </c>
      <c r="G4493" s="51"/>
      <c r="H4493" s="46" t="str">
        <f>IF(AND(I.Developer.P1=TRUE,I.Facility.P1FacilityCount&gt;=4481,F4493=""),"Incomplete","Complete")</f>
        <v>Complete</v>
      </c>
      <c r="I4493" s="48" t="s">
        <v>8858</v>
      </c>
    </row>
    <row r="4494" spans="2:9" ht="15" customHeight="1" x14ac:dyDescent="0.25">
      <c r="B4494" s="55" t="s">
        <v>279</v>
      </c>
      <c r="C4494" s="46">
        <v>4482</v>
      </c>
      <c r="D4494" s="69" t="s">
        <v>29416</v>
      </c>
      <c r="E4494" s="51"/>
      <c r="F4494" s="114" t="str">
        <f>IF(INDEX(I.Facility.P1IDNumber,4482)="","",INDEX(I.Facility.P1IDNumber,4482))</f>
        <v/>
      </c>
      <c r="G4494" s="51"/>
      <c r="H4494" s="46" t="str">
        <f>IF(AND(I.Developer.P1=TRUE,I.Facility.P1FacilityCount&gt;=4482,F4494=""),"Incomplete","Complete")</f>
        <v>Complete</v>
      </c>
      <c r="I4494" s="48" t="s">
        <v>8859</v>
      </c>
    </row>
    <row r="4495" spans="2:9" ht="15" customHeight="1" x14ac:dyDescent="0.25">
      <c r="B4495" s="55" t="s">
        <v>279</v>
      </c>
      <c r="C4495" s="46">
        <v>4483</v>
      </c>
      <c r="D4495" s="69" t="s">
        <v>29416</v>
      </c>
      <c r="E4495" s="51"/>
      <c r="F4495" s="114" t="str">
        <f>IF(INDEX(I.Facility.P1IDNumber,4483)="","",INDEX(I.Facility.P1IDNumber,4483))</f>
        <v/>
      </c>
      <c r="G4495" s="51"/>
      <c r="H4495" s="46" t="str">
        <f>IF(AND(I.Developer.P1=TRUE,I.Facility.P1FacilityCount&gt;=4483,F4495=""),"Incomplete","Complete")</f>
        <v>Complete</v>
      </c>
      <c r="I4495" s="48" t="s">
        <v>8860</v>
      </c>
    </row>
    <row r="4496" spans="2:9" ht="15" customHeight="1" x14ac:dyDescent="0.25">
      <c r="B4496" s="55" t="s">
        <v>279</v>
      </c>
      <c r="C4496" s="46">
        <v>4484</v>
      </c>
      <c r="D4496" s="69" t="s">
        <v>29416</v>
      </c>
      <c r="E4496" s="51"/>
      <c r="F4496" s="114" t="str">
        <f>IF(INDEX(I.Facility.P1IDNumber,4484)="","",INDEX(I.Facility.P1IDNumber,4484))</f>
        <v/>
      </c>
      <c r="G4496" s="51"/>
      <c r="H4496" s="46" t="str">
        <f>IF(AND(I.Developer.P1=TRUE,I.Facility.P1FacilityCount&gt;=4484,F4496=""),"Incomplete","Complete")</f>
        <v>Complete</v>
      </c>
      <c r="I4496" s="48" t="s">
        <v>8861</v>
      </c>
    </row>
    <row r="4497" spans="2:9" ht="15" customHeight="1" x14ac:dyDescent="0.25">
      <c r="B4497" s="55" t="s">
        <v>279</v>
      </c>
      <c r="C4497" s="46">
        <v>4485</v>
      </c>
      <c r="D4497" s="69" t="s">
        <v>29416</v>
      </c>
      <c r="E4497" s="51"/>
      <c r="F4497" s="114" t="str">
        <f>IF(INDEX(I.Facility.P1IDNumber,4485)="","",INDEX(I.Facility.P1IDNumber,4485))</f>
        <v/>
      </c>
      <c r="G4497" s="51"/>
      <c r="H4497" s="46" t="str">
        <f>IF(AND(I.Developer.P1=TRUE,I.Facility.P1FacilityCount&gt;=4485,F4497=""),"Incomplete","Complete")</f>
        <v>Complete</v>
      </c>
      <c r="I4497" s="48" t="s">
        <v>8862</v>
      </c>
    </row>
    <row r="4498" spans="2:9" ht="15" customHeight="1" x14ac:dyDescent="0.25">
      <c r="B4498" s="55" t="s">
        <v>279</v>
      </c>
      <c r="C4498" s="46">
        <v>4486</v>
      </c>
      <c r="D4498" s="69" t="s">
        <v>29416</v>
      </c>
      <c r="E4498" s="51"/>
      <c r="F4498" s="114" t="str">
        <f>IF(INDEX(I.Facility.P1IDNumber,4486)="","",INDEX(I.Facility.P1IDNumber,4486))</f>
        <v/>
      </c>
      <c r="G4498" s="51"/>
      <c r="H4498" s="46" t="str">
        <f>IF(AND(I.Developer.P1=TRUE,I.Facility.P1FacilityCount&gt;=4486,F4498=""),"Incomplete","Complete")</f>
        <v>Complete</v>
      </c>
      <c r="I4498" s="48" t="s">
        <v>8863</v>
      </c>
    </row>
    <row r="4499" spans="2:9" ht="15" customHeight="1" x14ac:dyDescent="0.25">
      <c r="B4499" s="55" t="s">
        <v>279</v>
      </c>
      <c r="C4499" s="46">
        <v>4487</v>
      </c>
      <c r="D4499" s="69" t="s">
        <v>29416</v>
      </c>
      <c r="E4499" s="51"/>
      <c r="F4499" s="114" t="str">
        <f>IF(INDEX(I.Facility.P1IDNumber,4487)="","",INDEX(I.Facility.P1IDNumber,4487))</f>
        <v/>
      </c>
      <c r="G4499" s="51"/>
      <c r="H4499" s="46" t="str">
        <f>IF(AND(I.Developer.P1=TRUE,I.Facility.P1FacilityCount&gt;=4487,F4499=""),"Incomplete","Complete")</f>
        <v>Complete</v>
      </c>
      <c r="I4499" s="48" t="s">
        <v>8864</v>
      </c>
    </row>
    <row r="4500" spans="2:9" ht="15" customHeight="1" x14ac:dyDescent="0.25">
      <c r="B4500" s="55" t="s">
        <v>279</v>
      </c>
      <c r="C4500" s="46">
        <v>4488</v>
      </c>
      <c r="D4500" s="69" t="s">
        <v>29416</v>
      </c>
      <c r="E4500" s="51"/>
      <c r="F4500" s="114" t="str">
        <f>IF(INDEX(I.Facility.P1IDNumber,4488)="","",INDEX(I.Facility.P1IDNumber,4488))</f>
        <v/>
      </c>
      <c r="G4500" s="51"/>
      <c r="H4500" s="46" t="str">
        <f>IF(AND(I.Developer.P1=TRUE,I.Facility.P1FacilityCount&gt;=4488,F4500=""),"Incomplete","Complete")</f>
        <v>Complete</v>
      </c>
      <c r="I4500" s="48" t="s">
        <v>8865</v>
      </c>
    </row>
    <row r="4501" spans="2:9" ht="15" customHeight="1" x14ac:dyDescent="0.25">
      <c r="B4501" s="55" t="s">
        <v>279</v>
      </c>
      <c r="C4501" s="46">
        <v>4489</v>
      </c>
      <c r="D4501" s="69" t="s">
        <v>29416</v>
      </c>
      <c r="E4501" s="51"/>
      <c r="F4501" s="114" t="str">
        <f>IF(INDEX(I.Facility.P1IDNumber,4489)="","",INDEX(I.Facility.P1IDNumber,4489))</f>
        <v/>
      </c>
      <c r="G4501" s="51"/>
      <c r="H4501" s="46" t="str">
        <f>IF(AND(I.Developer.P1=TRUE,I.Facility.P1FacilityCount&gt;=4489,F4501=""),"Incomplete","Complete")</f>
        <v>Complete</v>
      </c>
      <c r="I4501" s="48" t="s">
        <v>8866</v>
      </c>
    </row>
    <row r="4502" spans="2:9" ht="15" customHeight="1" x14ac:dyDescent="0.25">
      <c r="B4502" s="55" t="s">
        <v>279</v>
      </c>
      <c r="C4502" s="46">
        <v>4490</v>
      </c>
      <c r="D4502" s="69" t="s">
        <v>29416</v>
      </c>
      <c r="E4502" s="51"/>
      <c r="F4502" s="114" t="str">
        <f>IF(INDEX(I.Facility.P1IDNumber,4490)="","",INDEX(I.Facility.P1IDNumber,4490))</f>
        <v/>
      </c>
      <c r="G4502" s="51"/>
      <c r="H4502" s="46" t="str">
        <f>IF(AND(I.Developer.P1=TRUE,I.Facility.P1FacilityCount&gt;=4490,F4502=""),"Incomplete","Complete")</f>
        <v>Complete</v>
      </c>
      <c r="I4502" s="48" t="s">
        <v>8867</v>
      </c>
    </row>
    <row r="4503" spans="2:9" ht="15" customHeight="1" x14ac:dyDescent="0.25">
      <c r="B4503" s="55" t="s">
        <v>279</v>
      </c>
      <c r="C4503" s="46">
        <v>4491</v>
      </c>
      <c r="D4503" s="69" t="s">
        <v>29416</v>
      </c>
      <c r="E4503" s="51"/>
      <c r="F4503" s="114" t="str">
        <f>IF(INDEX(I.Facility.P1IDNumber,4491)="","",INDEX(I.Facility.P1IDNumber,4491))</f>
        <v/>
      </c>
      <c r="G4503" s="51"/>
      <c r="H4503" s="46" t="str">
        <f>IF(AND(I.Developer.P1=TRUE,I.Facility.P1FacilityCount&gt;=4491,F4503=""),"Incomplete","Complete")</f>
        <v>Complete</v>
      </c>
      <c r="I4503" s="48" t="s">
        <v>8868</v>
      </c>
    </row>
    <row r="4504" spans="2:9" ht="15" customHeight="1" x14ac:dyDescent="0.25">
      <c r="B4504" s="55" t="s">
        <v>279</v>
      </c>
      <c r="C4504" s="46">
        <v>4492</v>
      </c>
      <c r="D4504" s="69" t="s">
        <v>29416</v>
      </c>
      <c r="E4504" s="51"/>
      <c r="F4504" s="114" t="str">
        <f>IF(INDEX(I.Facility.P1IDNumber,4492)="","",INDEX(I.Facility.P1IDNumber,4492))</f>
        <v/>
      </c>
      <c r="G4504" s="51"/>
      <c r="H4504" s="46" t="str">
        <f>IF(AND(I.Developer.P1=TRUE,I.Facility.P1FacilityCount&gt;=4492,F4504=""),"Incomplete","Complete")</f>
        <v>Complete</v>
      </c>
      <c r="I4504" s="48" t="s">
        <v>8869</v>
      </c>
    </row>
    <row r="4505" spans="2:9" ht="15" customHeight="1" x14ac:dyDescent="0.25">
      <c r="B4505" s="55" t="s">
        <v>279</v>
      </c>
      <c r="C4505" s="46">
        <v>4493</v>
      </c>
      <c r="D4505" s="69" t="s">
        <v>29416</v>
      </c>
      <c r="E4505" s="51"/>
      <c r="F4505" s="114" t="str">
        <f>IF(INDEX(I.Facility.P1IDNumber,4493)="","",INDEX(I.Facility.P1IDNumber,4493))</f>
        <v/>
      </c>
      <c r="G4505" s="51"/>
      <c r="H4505" s="46" t="str">
        <f>IF(AND(I.Developer.P1=TRUE,I.Facility.P1FacilityCount&gt;=4493,F4505=""),"Incomplete","Complete")</f>
        <v>Complete</v>
      </c>
      <c r="I4505" s="48" t="s">
        <v>8870</v>
      </c>
    </row>
    <row r="4506" spans="2:9" ht="15" customHeight="1" x14ac:dyDescent="0.25">
      <c r="B4506" s="55" t="s">
        <v>279</v>
      </c>
      <c r="C4506" s="46">
        <v>4494</v>
      </c>
      <c r="D4506" s="69" t="s">
        <v>29416</v>
      </c>
      <c r="E4506" s="51"/>
      <c r="F4506" s="114" t="str">
        <f>IF(INDEX(I.Facility.P1IDNumber,4494)="","",INDEX(I.Facility.P1IDNumber,4494))</f>
        <v/>
      </c>
      <c r="G4506" s="51"/>
      <c r="H4506" s="46" t="str">
        <f>IF(AND(I.Developer.P1=TRUE,I.Facility.P1FacilityCount&gt;=4494,F4506=""),"Incomplete","Complete")</f>
        <v>Complete</v>
      </c>
      <c r="I4506" s="48" t="s">
        <v>8871</v>
      </c>
    </row>
    <row r="4507" spans="2:9" ht="15" customHeight="1" x14ac:dyDescent="0.25">
      <c r="B4507" s="55" t="s">
        <v>279</v>
      </c>
      <c r="C4507" s="46">
        <v>4495</v>
      </c>
      <c r="D4507" s="69" t="s">
        <v>29416</v>
      </c>
      <c r="E4507" s="51"/>
      <c r="F4507" s="114" t="str">
        <f>IF(INDEX(I.Facility.P1IDNumber,4495)="","",INDEX(I.Facility.P1IDNumber,4495))</f>
        <v/>
      </c>
      <c r="G4507" s="51"/>
      <c r="H4507" s="46" t="str">
        <f>IF(AND(I.Developer.P1=TRUE,I.Facility.P1FacilityCount&gt;=4495,F4507=""),"Incomplete","Complete")</f>
        <v>Complete</v>
      </c>
      <c r="I4507" s="48" t="s">
        <v>8872</v>
      </c>
    </row>
    <row r="4508" spans="2:9" ht="15" customHeight="1" x14ac:dyDescent="0.25">
      <c r="B4508" s="55" t="s">
        <v>279</v>
      </c>
      <c r="C4508" s="46">
        <v>4496</v>
      </c>
      <c r="D4508" s="69" t="s">
        <v>29416</v>
      </c>
      <c r="E4508" s="51"/>
      <c r="F4508" s="114" t="str">
        <f>IF(INDEX(I.Facility.P1IDNumber,4496)="","",INDEX(I.Facility.P1IDNumber,4496))</f>
        <v/>
      </c>
      <c r="G4508" s="51"/>
      <c r="H4508" s="46" t="str">
        <f>IF(AND(I.Developer.P1=TRUE,I.Facility.P1FacilityCount&gt;=4496,F4508=""),"Incomplete","Complete")</f>
        <v>Complete</v>
      </c>
      <c r="I4508" s="48" t="s">
        <v>8873</v>
      </c>
    </row>
    <row r="4509" spans="2:9" ht="15" customHeight="1" x14ac:dyDescent="0.25">
      <c r="B4509" s="55" t="s">
        <v>279</v>
      </c>
      <c r="C4509" s="46">
        <v>4497</v>
      </c>
      <c r="D4509" s="69" t="s">
        <v>29416</v>
      </c>
      <c r="E4509" s="51"/>
      <c r="F4509" s="114" t="str">
        <f>IF(INDEX(I.Facility.P1IDNumber,4497)="","",INDEX(I.Facility.P1IDNumber,4497))</f>
        <v/>
      </c>
      <c r="G4509" s="51"/>
      <c r="H4509" s="46" t="str">
        <f>IF(AND(I.Developer.P1=TRUE,I.Facility.P1FacilityCount&gt;=4497,F4509=""),"Incomplete","Complete")</f>
        <v>Complete</v>
      </c>
      <c r="I4509" s="48" t="s">
        <v>8874</v>
      </c>
    </row>
    <row r="4510" spans="2:9" ht="15" customHeight="1" x14ac:dyDescent="0.25">
      <c r="B4510" s="55" t="s">
        <v>279</v>
      </c>
      <c r="C4510" s="46">
        <v>4498</v>
      </c>
      <c r="D4510" s="69" t="s">
        <v>29416</v>
      </c>
      <c r="E4510" s="51"/>
      <c r="F4510" s="114" t="str">
        <f>IF(INDEX(I.Facility.P1IDNumber,4498)="","",INDEX(I.Facility.P1IDNumber,4498))</f>
        <v/>
      </c>
      <c r="G4510" s="51"/>
      <c r="H4510" s="46" t="str">
        <f>IF(AND(I.Developer.P1=TRUE,I.Facility.P1FacilityCount&gt;=4498,F4510=""),"Incomplete","Complete")</f>
        <v>Complete</v>
      </c>
      <c r="I4510" s="48" t="s">
        <v>8875</v>
      </c>
    </row>
    <row r="4511" spans="2:9" ht="15" customHeight="1" x14ac:dyDescent="0.25">
      <c r="B4511" s="55" t="s">
        <v>279</v>
      </c>
      <c r="C4511" s="46">
        <v>4499</v>
      </c>
      <c r="D4511" s="69" t="s">
        <v>29416</v>
      </c>
      <c r="E4511" s="51"/>
      <c r="F4511" s="114" t="str">
        <f>IF(INDEX(I.Facility.P1IDNumber,4499)="","",INDEX(I.Facility.P1IDNumber,4499))</f>
        <v/>
      </c>
      <c r="G4511" s="51"/>
      <c r="H4511" s="46" t="str">
        <f>IF(AND(I.Developer.P1=TRUE,I.Facility.P1FacilityCount&gt;=4499,F4511=""),"Incomplete","Complete")</f>
        <v>Complete</v>
      </c>
      <c r="I4511" s="48" t="s">
        <v>8876</v>
      </c>
    </row>
    <row r="4512" spans="2:9" ht="15" customHeight="1" x14ac:dyDescent="0.25">
      <c r="B4512" s="55" t="s">
        <v>279</v>
      </c>
      <c r="C4512" s="46">
        <v>4500</v>
      </c>
      <c r="D4512" s="69" t="s">
        <v>29416</v>
      </c>
      <c r="E4512" s="51"/>
      <c r="F4512" s="114" t="str">
        <f>IF(INDEX(I.Facility.P1IDNumber,4500)="","",INDEX(I.Facility.P1IDNumber,4500))</f>
        <v/>
      </c>
      <c r="G4512" s="51"/>
      <c r="H4512" s="46" t="str">
        <f>IF(AND(I.Developer.P1=TRUE,I.Facility.P1FacilityCount&gt;=4500,F4512=""),"Incomplete","Complete")</f>
        <v>Complete</v>
      </c>
      <c r="I4512" s="48" t="s">
        <v>8877</v>
      </c>
    </row>
    <row r="4513" spans="2:9" ht="15" customHeight="1" x14ac:dyDescent="0.25">
      <c r="B4513" s="55" t="s">
        <v>279</v>
      </c>
      <c r="C4513" s="46">
        <v>4501</v>
      </c>
      <c r="D4513" s="69" t="s">
        <v>29416</v>
      </c>
      <c r="E4513" s="51"/>
      <c r="F4513" s="114" t="str">
        <f>IF(INDEX(I.Facility.P1IDNumber,4501)="","",INDEX(I.Facility.P1IDNumber,4501))</f>
        <v/>
      </c>
      <c r="G4513" s="51"/>
      <c r="H4513" s="46" t="str">
        <f>IF(AND(I.Developer.P1=TRUE,I.Facility.P1FacilityCount&gt;=4501,F4513=""),"Incomplete","Complete")</f>
        <v>Complete</v>
      </c>
      <c r="I4513" s="48" t="s">
        <v>8878</v>
      </c>
    </row>
    <row r="4514" spans="2:9" ht="15" customHeight="1" x14ac:dyDescent="0.25">
      <c r="B4514" s="55" t="s">
        <v>279</v>
      </c>
      <c r="C4514" s="46">
        <v>4502</v>
      </c>
      <c r="D4514" s="69" t="s">
        <v>29416</v>
      </c>
      <c r="E4514" s="51"/>
      <c r="F4514" s="114" t="str">
        <f>IF(INDEX(I.Facility.P1IDNumber,4502)="","",INDEX(I.Facility.P1IDNumber,4502))</f>
        <v/>
      </c>
      <c r="G4514" s="51"/>
      <c r="H4514" s="46" t="str">
        <f>IF(AND(I.Developer.P1=TRUE,I.Facility.P1FacilityCount&gt;=4502,F4514=""),"Incomplete","Complete")</f>
        <v>Complete</v>
      </c>
      <c r="I4514" s="48" t="s">
        <v>8879</v>
      </c>
    </row>
    <row r="4515" spans="2:9" ht="15" customHeight="1" x14ac:dyDescent="0.25">
      <c r="B4515" s="55" t="s">
        <v>279</v>
      </c>
      <c r="C4515" s="46">
        <v>4503</v>
      </c>
      <c r="D4515" s="69" t="s">
        <v>29416</v>
      </c>
      <c r="E4515" s="51"/>
      <c r="F4515" s="114" t="str">
        <f>IF(INDEX(I.Facility.P1IDNumber,4503)="","",INDEX(I.Facility.P1IDNumber,4503))</f>
        <v/>
      </c>
      <c r="G4515" s="51"/>
      <c r="H4515" s="46" t="str">
        <f>IF(AND(I.Developer.P1=TRUE,I.Facility.P1FacilityCount&gt;=4503,F4515=""),"Incomplete","Complete")</f>
        <v>Complete</v>
      </c>
      <c r="I4515" s="48" t="s">
        <v>8880</v>
      </c>
    </row>
    <row r="4516" spans="2:9" ht="15" customHeight="1" x14ac:dyDescent="0.25">
      <c r="B4516" s="55" t="s">
        <v>279</v>
      </c>
      <c r="C4516" s="46">
        <v>4504</v>
      </c>
      <c r="D4516" s="69" t="s">
        <v>29416</v>
      </c>
      <c r="E4516" s="51"/>
      <c r="F4516" s="114" t="str">
        <f>IF(INDEX(I.Facility.P1IDNumber,4504)="","",INDEX(I.Facility.P1IDNumber,4504))</f>
        <v/>
      </c>
      <c r="G4516" s="51"/>
      <c r="H4516" s="46" t="str">
        <f>IF(AND(I.Developer.P1=TRUE,I.Facility.P1FacilityCount&gt;=4504,F4516=""),"Incomplete","Complete")</f>
        <v>Complete</v>
      </c>
      <c r="I4516" s="48" t="s">
        <v>8881</v>
      </c>
    </row>
    <row r="4517" spans="2:9" ht="15" customHeight="1" x14ac:dyDescent="0.25">
      <c r="B4517" s="55" t="s">
        <v>279</v>
      </c>
      <c r="C4517" s="46">
        <v>4505</v>
      </c>
      <c r="D4517" s="69" t="s">
        <v>29416</v>
      </c>
      <c r="E4517" s="51"/>
      <c r="F4517" s="114" t="str">
        <f>IF(INDEX(I.Facility.P1IDNumber,4505)="","",INDEX(I.Facility.P1IDNumber,4505))</f>
        <v/>
      </c>
      <c r="G4517" s="51"/>
      <c r="H4517" s="46" t="str">
        <f>IF(AND(I.Developer.P1=TRUE,I.Facility.P1FacilityCount&gt;=4505,F4517=""),"Incomplete","Complete")</f>
        <v>Complete</v>
      </c>
      <c r="I4517" s="48" t="s">
        <v>8882</v>
      </c>
    </row>
    <row r="4518" spans="2:9" ht="15" customHeight="1" x14ac:dyDescent="0.25">
      <c r="B4518" s="55" t="s">
        <v>279</v>
      </c>
      <c r="C4518" s="46">
        <v>4506</v>
      </c>
      <c r="D4518" s="69" t="s">
        <v>29416</v>
      </c>
      <c r="E4518" s="51"/>
      <c r="F4518" s="114" t="str">
        <f>IF(INDEX(I.Facility.P1IDNumber,4506)="","",INDEX(I.Facility.P1IDNumber,4506))</f>
        <v/>
      </c>
      <c r="G4518" s="51"/>
      <c r="H4518" s="46" t="str">
        <f>IF(AND(I.Developer.P1=TRUE,I.Facility.P1FacilityCount&gt;=4506,F4518=""),"Incomplete","Complete")</f>
        <v>Complete</v>
      </c>
      <c r="I4518" s="48" t="s">
        <v>8883</v>
      </c>
    </row>
    <row r="4519" spans="2:9" ht="15" customHeight="1" x14ac:dyDescent="0.25">
      <c r="B4519" s="55" t="s">
        <v>279</v>
      </c>
      <c r="C4519" s="46">
        <v>4507</v>
      </c>
      <c r="D4519" s="69" t="s">
        <v>29416</v>
      </c>
      <c r="E4519" s="51"/>
      <c r="F4519" s="114" t="str">
        <f>IF(INDEX(I.Facility.P1IDNumber,4507)="","",INDEX(I.Facility.P1IDNumber,4507))</f>
        <v/>
      </c>
      <c r="G4519" s="51"/>
      <c r="H4519" s="46" t="str">
        <f>IF(AND(I.Developer.P1=TRUE,I.Facility.P1FacilityCount&gt;=4507,F4519=""),"Incomplete","Complete")</f>
        <v>Complete</v>
      </c>
      <c r="I4519" s="48" t="s">
        <v>8884</v>
      </c>
    </row>
    <row r="4520" spans="2:9" ht="15" customHeight="1" x14ac:dyDescent="0.25">
      <c r="B4520" s="55" t="s">
        <v>279</v>
      </c>
      <c r="C4520" s="46">
        <v>4508</v>
      </c>
      <c r="D4520" s="69" t="s">
        <v>29416</v>
      </c>
      <c r="E4520" s="51"/>
      <c r="F4520" s="114" t="str">
        <f>IF(INDEX(I.Facility.P1IDNumber,4508)="","",INDEX(I.Facility.P1IDNumber,4508))</f>
        <v/>
      </c>
      <c r="G4520" s="51"/>
      <c r="H4520" s="46" t="str">
        <f>IF(AND(I.Developer.P1=TRUE,I.Facility.P1FacilityCount&gt;=4508,F4520=""),"Incomplete","Complete")</f>
        <v>Complete</v>
      </c>
      <c r="I4520" s="48" t="s">
        <v>8885</v>
      </c>
    </row>
    <row r="4521" spans="2:9" ht="15" customHeight="1" x14ac:dyDescent="0.25">
      <c r="B4521" s="55" t="s">
        <v>279</v>
      </c>
      <c r="C4521" s="46">
        <v>4509</v>
      </c>
      <c r="D4521" s="69" t="s">
        <v>29416</v>
      </c>
      <c r="E4521" s="51"/>
      <c r="F4521" s="114" t="str">
        <f>IF(INDEX(I.Facility.P1IDNumber,4509)="","",INDEX(I.Facility.P1IDNumber,4509))</f>
        <v/>
      </c>
      <c r="G4521" s="51"/>
      <c r="H4521" s="46" t="str">
        <f>IF(AND(I.Developer.P1=TRUE,I.Facility.P1FacilityCount&gt;=4509,F4521=""),"Incomplete","Complete")</f>
        <v>Complete</v>
      </c>
      <c r="I4521" s="48" t="s">
        <v>8886</v>
      </c>
    </row>
    <row r="4522" spans="2:9" ht="15" customHeight="1" x14ac:dyDescent="0.25">
      <c r="B4522" s="55" t="s">
        <v>279</v>
      </c>
      <c r="C4522" s="46">
        <v>4510</v>
      </c>
      <c r="D4522" s="69" t="s">
        <v>29416</v>
      </c>
      <c r="E4522" s="51"/>
      <c r="F4522" s="114" t="str">
        <f>IF(INDEX(I.Facility.P1IDNumber,4510)="","",INDEX(I.Facility.P1IDNumber,4510))</f>
        <v/>
      </c>
      <c r="G4522" s="51"/>
      <c r="H4522" s="46" t="str">
        <f>IF(AND(I.Developer.P1=TRUE,I.Facility.P1FacilityCount&gt;=4510,F4522=""),"Incomplete","Complete")</f>
        <v>Complete</v>
      </c>
      <c r="I4522" s="48" t="s">
        <v>8887</v>
      </c>
    </row>
    <row r="4523" spans="2:9" ht="15" customHeight="1" x14ac:dyDescent="0.25">
      <c r="B4523" s="55" t="s">
        <v>279</v>
      </c>
      <c r="C4523" s="46">
        <v>4511</v>
      </c>
      <c r="D4523" s="69" t="s">
        <v>29416</v>
      </c>
      <c r="E4523" s="51"/>
      <c r="F4523" s="114" t="str">
        <f>IF(INDEX(I.Facility.P1IDNumber,4511)="","",INDEX(I.Facility.P1IDNumber,4511))</f>
        <v/>
      </c>
      <c r="G4523" s="51"/>
      <c r="H4523" s="46" t="str">
        <f>IF(AND(I.Developer.P1=TRUE,I.Facility.P1FacilityCount&gt;=4511,F4523=""),"Incomplete","Complete")</f>
        <v>Complete</v>
      </c>
      <c r="I4523" s="48" t="s">
        <v>8888</v>
      </c>
    </row>
    <row r="4524" spans="2:9" ht="15" customHeight="1" x14ac:dyDescent="0.25">
      <c r="B4524" s="55" t="s">
        <v>279</v>
      </c>
      <c r="C4524" s="46">
        <v>4512</v>
      </c>
      <c r="D4524" s="69" t="s">
        <v>29416</v>
      </c>
      <c r="E4524" s="51"/>
      <c r="F4524" s="114" t="str">
        <f>IF(INDEX(I.Facility.P1IDNumber,4512)="","",INDEX(I.Facility.P1IDNumber,4512))</f>
        <v/>
      </c>
      <c r="G4524" s="51"/>
      <c r="H4524" s="46" t="str">
        <f>IF(AND(I.Developer.P1=TRUE,I.Facility.P1FacilityCount&gt;=4512,F4524=""),"Incomplete","Complete")</f>
        <v>Complete</v>
      </c>
      <c r="I4524" s="48" t="s">
        <v>8889</v>
      </c>
    </row>
    <row r="4525" spans="2:9" ht="15" customHeight="1" x14ac:dyDescent="0.25">
      <c r="B4525" s="55" t="s">
        <v>279</v>
      </c>
      <c r="C4525" s="46">
        <v>4513</v>
      </c>
      <c r="D4525" s="69" t="s">
        <v>29416</v>
      </c>
      <c r="E4525" s="51"/>
      <c r="F4525" s="114" t="str">
        <f>IF(INDEX(I.Facility.P1IDNumber,4513)="","",INDEX(I.Facility.P1IDNumber,4513))</f>
        <v/>
      </c>
      <c r="G4525" s="51"/>
      <c r="H4525" s="46" t="str">
        <f>IF(AND(I.Developer.P1=TRUE,I.Facility.P1FacilityCount&gt;=4513,F4525=""),"Incomplete","Complete")</f>
        <v>Complete</v>
      </c>
      <c r="I4525" s="48" t="s">
        <v>8890</v>
      </c>
    </row>
    <row r="4526" spans="2:9" ht="15" customHeight="1" x14ac:dyDescent="0.25">
      <c r="B4526" s="55" t="s">
        <v>279</v>
      </c>
      <c r="C4526" s="46">
        <v>4514</v>
      </c>
      <c r="D4526" s="69" t="s">
        <v>29416</v>
      </c>
      <c r="E4526" s="51"/>
      <c r="F4526" s="114" t="str">
        <f>IF(INDEX(I.Facility.P1IDNumber,4514)="","",INDEX(I.Facility.P1IDNumber,4514))</f>
        <v/>
      </c>
      <c r="G4526" s="51"/>
      <c r="H4526" s="46" t="str">
        <f>IF(AND(I.Developer.P1=TRUE,I.Facility.P1FacilityCount&gt;=4514,F4526=""),"Incomplete","Complete")</f>
        <v>Complete</v>
      </c>
      <c r="I4526" s="48" t="s">
        <v>8891</v>
      </c>
    </row>
    <row r="4527" spans="2:9" ht="15" customHeight="1" x14ac:dyDescent="0.25">
      <c r="B4527" s="55" t="s">
        <v>279</v>
      </c>
      <c r="C4527" s="46">
        <v>4515</v>
      </c>
      <c r="D4527" s="69" t="s">
        <v>29416</v>
      </c>
      <c r="E4527" s="51"/>
      <c r="F4527" s="114" t="str">
        <f>IF(INDEX(I.Facility.P1IDNumber,4515)="","",INDEX(I.Facility.P1IDNumber,4515))</f>
        <v/>
      </c>
      <c r="G4527" s="51"/>
      <c r="H4527" s="46" t="str">
        <f>IF(AND(I.Developer.P1=TRUE,I.Facility.P1FacilityCount&gt;=4515,F4527=""),"Incomplete","Complete")</f>
        <v>Complete</v>
      </c>
      <c r="I4527" s="48" t="s">
        <v>8892</v>
      </c>
    </row>
    <row r="4528" spans="2:9" ht="15" customHeight="1" x14ac:dyDescent="0.25">
      <c r="B4528" s="55" t="s">
        <v>279</v>
      </c>
      <c r="C4528" s="46">
        <v>4516</v>
      </c>
      <c r="D4528" s="69" t="s">
        <v>29416</v>
      </c>
      <c r="E4528" s="51"/>
      <c r="F4528" s="114" t="str">
        <f>IF(INDEX(I.Facility.P1IDNumber,4516)="","",INDEX(I.Facility.P1IDNumber,4516))</f>
        <v/>
      </c>
      <c r="G4528" s="51"/>
      <c r="H4528" s="46" t="str">
        <f>IF(AND(I.Developer.P1=TRUE,I.Facility.P1FacilityCount&gt;=4516,F4528=""),"Incomplete","Complete")</f>
        <v>Complete</v>
      </c>
      <c r="I4528" s="48" t="s">
        <v>8893</v>
      </c>
    </row>
    <row r="4529" spans="2:9" ht="15" customHeight="1" x14ac:dyDescent="0.25">
      <c r="B4529" s="55" t="s">
        <v>279</v>
      </c>
      <c r="C4529" s="46">
        <v>4517</v>
      </c>
      <c r="D4529" s="69" t="s">
        <v>29416</v>
      </c>
      <c r="E4529" s="51"/>
      <c r="F4529" s="114" t="str">
        <f>IF(INDEX(I.Facility.P1IDNumber,4517)="","",INDEX(I.Facility.P1IDNumber,4517))</f>
        <v/>
      </c>
      <c r="G4529" s="51"/>
      <c r="H4529" s="46" t="str">
        <f>IF(AND(I.Developer.P1=TRUE,I.Facility.P1FacilityCount&gt;=4517,F4529=""),"Incomplete","Complete")</f>
        <v>Complete</v>
      </c>
      <c r="I4529" s="48" t="s">
        <v>8894</v>
      </c>
    </row>
    <row r="4530" spans="2:9" ht="15" customHeight="1" x14ac:dyDescent="0.25">
      <c r="B4530" s="55" t="s">
        <v>279</v>
      </c>
      <c r="C4530" s="46">
        <v>4518</v>
      </c>
      <c r="D4530" s="69" t="s">
        <v>29416</v>
      </c>
      <c r="E4530" s="51"/>
      <c r="F4530" s="114" t="str">
        <f>IF(INDEX(I.Facility.P1IDNumber,4518)="","",INDEX(I.Facility.P1IDNumber,4518))</f>
        <v/>
      </c>
      <c r="G4530" s="51"/>
      <c r="H4530" s="46" t="str">
        <f>IF(AND(I.Developer.P1=TRUE,I.Facility.P1FacilityCount&gt;=4518,F4530=""),"Incomplete","Complete")</f>
        <v>Complete</v>
      </c>
      <c r="I4530" s="48" t="s">
        <v>8895</v>
      </c>
    </row>
    <row r="4531" spans="2:9" ht="15" customHeight="1" x14ac:dyDescent="0.25">
      <c r="B4531" s="55" t="s">
        <v>279</v>
      </c>
      <c r="C4531" s="46">
        <v>4519</v>
      </c>
      <c r="D4531" s="69" t="s">
        <v>29416</v>
      </c>
      <c r="E4531" s="51"/>
      <c r="F4531" s="114" t="str">
        <f>IF(INDEX(I.Facility.P1IDNumber,4519)="","",INDEX(I.Facility.P1IDNumber,4519))</f>
        <v/>
      </c>
      <c r="G4531" s="51"/>
      <c r="H4531" s="46" t="str">
        <f>IF(AND(I.Developer.P1=TRUE,I.Facility.P1FacilityCount&gt;=4519,F4531=""),"Incomplete","Complete")</f>
        <v>Complete</v>
      </c>
      <c r="I4531" s="48" t="s">
        <v>8896</v>
      </c>
    </row>
    <row r="4532" spans="2:9" ht="15" customHeight="1" x14ac:dyDescent="0.25">
      <c r="B4532" s="55" t="s">
        <v>279</v>
      </c>
      <c r="C4532" s="46">
        <v>4520</v>
      </c>
      <c r="D4532" s="69" t="s">
        <v>29416</v>
      </c>
      <c r="E4532" s="51"/>
      <c r="F4532" s="114" t="str">
        <f>IF(INDEX(I.Facility.P1IDNumber,4520)="","",INDEX(I.Facility.P1IDNumber,4520))</f>
        <v/>
      </c>
      <c r="G4532" s="51"/>
      <c r="H4532" s="46" t="str">
        <f>IF(AND(I.Developer.P1=TRUE,I.Facility.P1FacilityCount&gt;=4520,F4532=""),"Incomplete","Complete")</f>
        <v>Complete</v>
      </c>
      <c r="I4532" s="48" t="s">
        <v>8897</v>
      </c>
    </row>
    <row r="4533" spans="2:9" ht="15" customHeight="1" x14ac:dyDescent="0.25">
      <c r="B4533" s="55" t="s">
        <v>279</v>
      </c>
      <c r="C4533" s="46">
        <v>4521</v>
      </c>
      <c r="D4533" s="69" t="s">
        <v>29416</v>
      </c>
      <c r="E4533" s="51"/>
      <c r="F4533" s="114" t="str">
        <f>IF(INDEX(I.Facility.P1IDNumber,4521)="","",INDEX(I.Facility.P1IDNumber,4521))</f>
        <v/>
      </c>
      <c r="G4533" s="51"/>
      <c r="H4533" s="46" t="str">
        <f>IF(AND(I.Developer.P1=TRUE,I.Facility.P1FacilityCount&gt;=4521,F4533=""),"Incomplete","Complete")</f>
        <v>Complete</v>
      </c>
      <c r="I4533" s="48" t="s">
        <v>8898</v>
      </c>
    </row>
    <row r="4534" spans="2:9" ht="15" customHeight="1" x14ac:dyDescent="0.25">
      <c r="B4534" s="55" t="s">
        <v>279</v>
      </c>
      <c r="C4534" s="46">
        <v>4522</v>
      </c>
      <c r="D4534" s="69" t="s">
        <v>29416</v>
      </c>
      <c r="E4534" s="51"/>
      <c r="F4534" s="114" t="str">
        <f>IF(INDEX(I.Facility.P1IDNumber,4522)="","",INDEX(I.Facility.P1IDNumber,4522))</f>
        <v/>
      </c>
      <c r="G4534" s="51"/>
      <c r="H4534" s="46" t="str">
        <f>IF(AND(I.Developer.P1=TRUE,I.Facility.P1FacilityCount&gt;=4522,F4534=""),"Incomplete","Complete")</f>
        <v>Complete</v>
      </c>
      <c r="I4534" s="48" t="s">
        <v>8899</v>
      </c>
    </row>
    <row r="4535" spans="2:9" ht="15" customHeight="1" x14ac:dyDescent="0.25">
      <c r="B4535" s="55" t="s">
        <v>279</v>
      </c>
      <c r="C4535" s="46">
        <v>4523</v>
      </c>
      <c r="D4535" s="69" t="s">
        <v>29416</v>
      </c>
      <c r="E4535" s="51"/>
      <c r="F4535" s="114" t="str">
        <f>IF(INDEX(I.Facility.P1IDNumber,4523)="","",INDEX(I.Facility.P1IDNumber,4523))</f>
        <v/>
      </c>
      <c r="G4535" s="51"/>
      <c r="H4535" s="46" t="str">
        <f>IF(AND(I.Developer.P1=TRUE,I.Facility.P1FacilityCount&gt;=4523,F4535=""),"Incomplete","Complete")</f>
        <v>Complete</v>
      </c>
      <c r="I4535" s="48" t="s">
        <v>8900</v>
      </c>
    </row>
    <row r="4536" spans="2:9" ht="15" customHeight="1" x14ac:dyDescent="0.25">
      <c r="B4536" s="55" t="s">
        <v>279</v>
      </c>
      <c r="C4536" s="46">
        <v>4524</v>
      </c>
      <c r="D4536" s="69" t="s">
        <v>29416</v>
      </c>
      <c r="E4536" s="51"/>
      <c r="F4536" s="114" t="str">
        <f>IF(INDEX(I.Facility.P1IDNumber,4524)="","",INDEX(I.Facility.P1IDNumber,4524))</f>
        <v/>
      </c>
      <c r="G4536" s="51"/>
      <c r="H4536" s="46" t="str">
        <f>IF(AND(I.Developer.P1=TRUE,I.Facility.P1FacilityCount&gt;=4524,F4536=""),"Incomplete","Complete")</f>
        <v>Complete</v>
      </c>
      <c r="I4536" s="48" t="s">
        <v>8901</v>
      </c>
    </row>
    <row r="4537" spans="2:9" ht="15" customHeight="1" x14ac:dyDescent="0.25">
      <c r="B4537" s="55" t="s">
        <v>279</v>
      </c>
      <c r="C4537" s="46">
        <v>4525</v>
      </c>
      <c r="D4537" s="69" t="s">
        <v>29416</v>
      </c>
      <c r="E4537" s="51"/>
      <c r="F4537" s="114" t="str">
        <f>IF(INDEX(I.Facility.P1IDNumber,4525)="","",INDEX(I.Facility.P1IDNumber,4525))</f>
        <v/>
      </c>
      <c r="G4537" s="51"/>
      <c r="H4537" s="46" t="str">
        <f>IF(AND(I.Developer.P1=TRUE,I.Facility.P1FacilityCount&gt;=4525,F4537=""),"Incomplete","Complete")</f>
        <v>Complete</v>
      </c>
      <c r="I4537" s="48" t="s">
        <v>8902</v>
      </c>
    </row>
    <row r="4538" spans="2:9" ht="15" customHeight="1" x14ac:dyDescent="0.25">
      <c r="B4538" s="55" t="s">
        <v>279</v>
      </c>
      <c r="C4538" s="46">
        <v>4526</v>
      </c>
      <c r="D4538" s="69" t="s">
        <v>29416</v>
      </c>
      <c r="E4538" s="51"/>
      <c r="F4538" s="114" t="str">
        <f>IF(INDEX(I.Facility.P1IDNumber,4526)="","",INDEX(I.Facility.P1IDNumber,4526))</f>
        <v/>
      </c>
      <c r="G4538" s="51"/>
      <c r="H4538" s="46" t="str">
        <f>IF(AND(I.Developer.P1=TRUE,I.Facility.P1FacilityCount&gt;=4526,F4538=""),"Incomplete","Complete")</f>
        <v>Complete</v>
      </c>
      <c r="I4538" s="48" t="s">
        <v>8903</v>
      </c>
    </row>
    <row r="4539" spans="2:9" ht="15" customHeight="1" x14ac:dyDescent="0.25">
      <c r="B4539" s="55" t="s">
        <v>279</v>
      </c>
      <c r="C4539" s="46">
        <v>4527</v>
      </c>
      <c r="D4539" s="69" t="s">
        <v>29416</v>
      </c>
      <c r="E4539" s="51"/>
      <c r="F4539" s="114" t="str">
        <f>IF(INDEX(I.Facility.P1IDNumber,4527)="","",INDEX(I.Facility.P1IDNumber,4527))</f>
        <v/>
      </c>
      <c r="G4539" s="51"/>
      <c r="H4539" s="46" t="str">
        <f>IF(AND(I.Developer.P1=TRUE,I.Facility.P1FacilityCount&gt;=4527,F4539=""),"Incomplete","Complete")</f>
        <v>Complete</v>
      </c>
      <c r="I4539" s="48" t="s">
        <v>8904</v>
      </c>
    </row>
    <row r="4540" spans="2:9" ht="15" customHeight="1" x14ac:dyDescent="0.25">
      <c r="B4540" s="55" t="s">
        <v>279</v>
      </c>
      <c r="C4540" s="46">
        <v>4528</v>
      </c>
      <c r="D4540" s="69" t="s">
        <v>29416</v>
      </c>
      <c r="E4540" s="51"/>
      <c r="F4540" s="114" t="str">
        <f>IF(INDEX(I.Facility.P1IDNumber,4528)="","",INDEX(I.Facility.P1IDNumber,4528))</f>
        <v/>
      </c>
      <c r="G4540" s="51"/>
      <c r="H4540" s="46" t="str">
        <f>IF(AND(I.Developer.P1=TRUE,I.Facility.P1FacilityCount&gt;=4528,F4540=""),"Incomplete","Complete")</f>
        <v>Complete</v>
      </c>
      <c r="I4540" s="48" t="s">
        <v>8905</v>
      </c>
    </row>
    <row r="4541" spans="2:9" ht="15" customHeight="1" x14ac:dyDescent="0.25">
      <c r="B4541" s="55" t="s">
        <v>279</v>
      </c>
      <c r="C4541" s="46">
        <v>4529</v>
      </c>
      <c r="D4541" s="69" t="s">
        <v>29416</v>
      </c>
      <c r="E4541" s="51"/>
      <c r="F4541" s="114" t="str">
        <f>IF(INDEX(I.Facility.P1IDNumber,4529)="","",INDEX(I.Facility.P1IDNumber,4529))</f>
        <v/>
      </c>
      <c r="G4541" s="51"/>
      <c r="H4541" s="46" t="str">
        <f>IF(AND(I.Developer.P1=TRUE,I.Facility.P1FacilityCount&gt;=4529,F4541=""),"Incomplete","Complete")</f>
        <v>Complete</v>
      </c>
      <c r="I4541" s="48" t="s">
        <v>8906</v>
      </c>
    </row>
    <row r="4542" spans="2:9" ht="15" customHeight="1" x14ac:dyDescent="0.25">
      <c r="B4542" s="55" t="s">
        <v>279</v>
      </c>
      <c r="C4542" s="46">
        <v>4530</v>
      </c>
      <c r="D4542" s="69" t="s">
        <v>29416</v>
      </c>
      <c r="E4542" s="51"/>
      <c r="F4542" s="114" t="str">
        <f>IF(INDEX(I.Facility.P1IDNumber,4530)="","",INDEX(I.Facility.P1IDNumber,4530))</f>
        <v/>
      </c>
      <c r="G4542" s="51"/>
      <c r="H4542" s="46" t="str">
        <f>IF(AND(I.Developer.P1=TRUE,I.Facility.P1FacilityCount&gt;=4530,F4542=""),"Incomplete","Complete")</f>
        <v>Complete</v>
      </c>
      <c r="I4542" s="48" t="s">
        <v>8907</v>
      </c>
    </row>
    <row r="4543" spans="2:9" ht="15" customHeight="1" x14ac:dyDescent="0.25">
      <c r="B4543" s="55" t="s">
        <v>279</v>
      </c>
      <c r="C4543" s="46">
        <v>4531</v>
      </c>
      <c r="D4543" s="69" t="s">
        <v>29416</v>
      </c>
      <c r="E4543" s="51"/>
      <c r="F4543" s="114" t="str">
        <f>IF(INDEX(I.Facility.P1IDNumber,4531)="","",INDEX(I.Facility.P1IDNumber,4531))</f>
        <v/>
      </c>
      <c r="G4543" s="51"/>
      <c r="H4543" s="46" t="str">
        <f>IF(AND(I.Developer.P1=TRUE,I.Facility.P1FacilityCount&gt;=4531,F4543=""),"Incomplete","Complete")</f>
        <v>Complete</v>
      </c>
      <c r="I4543" s="48" t="s">
        <v>8908</v>
      </c>
    </row>
    <row r="4544" spans="2:9" ht="15" customHeight="1" x14ac:dyDescent="0.25">
      <c r="B4544" s="55" t="s">
        <v>279</v>
      </c>
      <c r="C4544" s="46">
        <v>4532</v>
      </c>
      <c r="D4544" s="69" t="s">
        <v>29416</v>
      </c>
      <c r="E4544" s="51"/>
      <c r="F4544" s="114" t="str">
        <f>IF(INDEX(I.Facility.P1IDNumber,4532)="","",INDEX(I.Facility.P1IDNumber,4532))</f>
        <v/>
      </c>
      <c r="G4544" s="51"/>
      <c r="H4544" s="46" t="str">
        <f>IF(AND(I.Developer.P1=TRUE,I.Facility.P1FacilityCount&gt;=4532,F4544=""),"Incomplete","Complete")</f>
        <v>Complete</v>
      </c>
      <c r="I4544" s="48" t="s">
        <v>8909</v>
      </c>
    </row>
    <row r="4545" spans="2:9" ht="15" customHeight="1" x14ac:dyDescent="0.25">
      <c r="B4545" s="55" t="s">
        <v>279</v>
      </c>
      <c r="C4545" s="46">
        <v>4533</v>
      </c>
      <c r="D4545" s="69" t="s">
        <v>29416</v>
      </c>
      <c r="E4545" s="51"/>
      <c r="F4545" s="114" t="str">
        <f>IF(INDEX(I.Facility.P1IDNumber,4533)="","",INDEX(I.Facility.P1IDNumber,4533))</f>
        <v/>
      </c>
      <c r="G4545" s="51"/>
      <c r="H4545" s="46" t="str">
        <f>IF(AND(I.Developer.P1=TRUE,I.Facility.P1FacilityCount&gt;=4533,F4545=""),"Incomplete","Complete")</f>
        <v>Complete</v>
      </c>
      <c r="I4545" s="48" t="s">
        <v>8910</v>
      </c>
    </row>
    <row r="4546" spans="2:9" ht="15" customHeight="1" x14ac:dyDescent="0.25">
      <c r="B4546" s="55" t="s">
        <v>279</v>
      </c>
      <c r="C4546" s="46">
        <v>4534</v>
      </c>
      <c r="D4546" s="69" t="s">
        <v>29416</v>
      </c>
      <c r="E4546" s="51"/>
      <c r="F4546" s="114" t="str">
        <f>IF(INDEX(I.Facility.P1IDNumber,4534)="","",INDEX(I.Facility.P1IDNumber,4534))</f>
        <v/>
      </c>
      <c r="G4546" s="51"/>
      <c r="H4546" s="46" t="str">
        <f>IF(AND(I.Developer.P1=TRUE,I.Facility.P1FacilityCount&gt;=4534,F4546=""),"Incomplete","Complete")</f>
        <v>Complete</v>
      </c>
      <c r="I4546" s="48" t="s">
        <v>8911</v>
      </c>
    </row>
    <row r="4547" spans="2:9" ht="15" customHeight="1" x14ac:dyDescent="0.25">
      <c r="B4547" s="55" t="s">
        <v>279</v>
      </c>
      <c r="C4547" s="46">
        <v>4535</v>
      </c>
      <c r="D4547" s="69" t="s">
        <v>29416</v>
      </c>
      <c r="E4547" s="51"/>
      <c r="F4547" s="114" t="str">
        <f>IF(INDEX(I.Facility.P1IDNumber,4535)="","",INDEX(I.Facility.P1IDNumber,4535))</f>
        <v/>
      </c>
      <c r="G4547" s="51"/>
      <c r="H4547" s="46" t="str">
        <f>IF(AND(I.Developer.P1=TRUE,I.Facility.P1FacilityCount&gt;=4535,F4547=""),"Incomplete","Complete")</f>
        <v>Complete</v>
      </c>
      <c r="I4547" s="48" t="s">
        <v>8912</v>
      </c>
    </row>
    <row r="4548" spans="2:9" ht="15" customHeight="1" x14ac:dyDescent="0.25">
      <c r="B4548" s="55" t="s">
        <v>279</v>
      </c>
      <c r="C4548" s="46">
        <v>4536</v>
      </c>
      <c r="D4548" s="69" t="s">
        <v>29416</v>
      </c>
      <c r="E4548" s="51"/>
      <c r="F4548" s="114" t="str">
        <f>IF(INDEX(I.Facility.P1IDNumber,4536)="","",INDEX(I.Facility.P1IDNumber,4536))</f>
        <v/>
      </c>
      <c r="G4548" s="51"/>
      <c r="H4548" s="46" t="str">
        <f>IF(AND(I.Developer.P1=TRUE,I.Facility.P1FacilityCount&gt;=4536,F4548=""),"Incomplete","Complete")</f>
        <v>Complete</v>
      </c>
      <c r="I4548" s="48" t="s">
        <v>8913</v>
      </c>
    </row>
    <row r="4549" spans="2:9" ht="15" customHeight="1" x14ac:dyDescent="0.25">
      <c r="B4549" s="55" t="s">
        <v>279</v>
      </c>
      <c r="C4549" s="46">
        <v>4537</v>
      </c>
      <c r="D4549" s="69" t="s">
        <v>29416</v>
      </c>
      <c r="E4549" s="51"/>
      <c r="F4549" s="114" t="str">
        <f>IF(INDEX(I.Facility.P1IDNumber,4537)="","",INDEX(I.Facility.P1IDNumber,4537))</f>
        <v/>
      </c>
      <c r="G4549" s="51"/>
      <c r="H4549" s="46" t="str">
        <f>IF(AND(I.Developer.P1=TRUE,I.Facility.P1FacilityCount&gt;=4537,F4549=""),"Incomplete","Complete")</f>
        <v>Complete</v>
      </c>
      <c r="I4549" s="48" t="s">
        <v>8914</v>
      </c>
    </row>
    <row r="4550" spans="2:9" ht="15" customHeight="1" x14ac:dyDescent="0.25">
      <c r="B4550" s="55" t="s">
        <v>279</v>
      </c>
      <c r="C4550" s="46">
        <v>4538</v>
      </c>
      <c r="D4550" s="69" t="s">
        <v>29416</v>
      </c>
      <c r="E4550" s="51"/>
      <c r="F4550" s="114" t="str">
        <f>IF(INDEX(I.Facility.P1IDNumber,4538)="","",INDEX(I.Facility.P1IDNumber,4538))</f>
        <v/>
      </c>
      <c r="G4550" s="51"/>
      <c r="H4550" s="46" t="str">
        <f>IF(AND(I.Developer.P1=TRUE,I.Facility.P1FacilityCount&gt;=4538,F4550=""),"Incomplete","Complete")</f>
        <v>Complete</v>
      </c>
      <c r="I4550" s="48" t="s">
        <v>8915</v>
      </c>
    </row>
    <row r="4551" spans="2:9" ht="15" customHeight="1" x14ac:dyDescent="0.25">
      <c r="B4551" s="55" t="s">
        <v>279</v>
      </c>
      <c r="C4551" s="46">
        <v>4539</v>
      </c>
      <c r="D4551" s="69" t="s">
        <v>29416</v>
      </c>
      <c r="E4551" s="51"/>
      <c r="F4551" s="114" t="str">
        <f>IF(INDEX(I.Facility.P1IDNumber,4539)="","",INDEX(I.Facility.P1IDNumber,4539))</f>
        <v/>
      </c>
      <c r="G4551" s="51"/>
      <c r="H4551" s="46" t="str">
        <f>IF(AND(I.Developer.P1=TRUE,I.Facility.P1FacilityCount&gt;=4539,F4551=""),"Incomplete","Complete")</f>
        <v>Complete</v>
      </c>
      <c r="I4551" s="48" t="s">
        <v>8916</v>
      </c>
    </row>
    <row r="4552" spans="2:9" ht="15" customHeight="1" x14ac:dyDescent="0.25">
      <c r="B4552" s="55" t="s">
        <v>279</v>
      </c>
      <c r="C4552" s="46">
        <v>4540</v>
      </c>
      <c r="D4552" s="69" t="s">
        <v>29416</v>
      </c>
      <c r="E4552" s="51"/>
      <c r="F4552" s="114" t="str">
        <f>IF(INDEX(I.Facility.P1IDNumber,4540)="","",INDEX(I.Facility.P1IDNumber,4540))</f>
        <v/>
      </c>
      <c r="G4552" s="51"/>
      <c r="H4552" s="46" t="str">
        <f>IF(AND(I.Developer.P1=TRUE,I.Facility.P1FacilityCount&gt;=4540,F4552=""),"Incomplete","Complete")</f>
        <v>Complete</v>
      </c>
      <c r="I4552" s="48" t="s">
        <v>8917</v>
      </c>
    </row>
    <row r="4553" spans="2:9" ht="15" customHeight="1" x14ac:dyDescent="0.25">
      <c r="B4553" s="55" t="s">
        <v>279</v>
      </c>
      <c r="C4553" s="46">
        <v>4541</v>
      </c>
      <c r="D4553" s="69" t="s">
        <v>29416</v>
      </c>
      <c r="E4553" s="51"/>
      <c r="F4553" s="114" t="str">
        <f>IF(INDEX(I.Facility.P1IDNumber,4541)="","",INDEX(I.Facility.P1IDNumber,4541))</f>
        <v/>
      </c>
      <c r="G4553" s="51"/>
      <c r="H4553" s="46" t="str">
        <f>IF(AND(I.Developer.P1=TRUE,I.Facility.P1FacilityCount&gt;=4541,F4553=""),"Incomplete","Complete")</f>
        <v>Complete</v>
      </c>
      <c r="I4553" s="48" t="s">
        <v>8918</v>
      </c>
    </row>
    <row r="4554" spans="2:9" ht="15" customHeight="1" x14ac:dyDescent="0.25">
      <c r="B4554" s="55" t="s">
        <v>279</v>
      </c>
      <c r="C4554" s="46">
        <v>4542</v>
      </c>
      <c r="D4554" s="69" t="s">
        <v>29416</v>
      </c>
      <c r="E4554" s="51"/>
      <c r="F4554" s="114" t="str">
        <f>IF(INDEX(I.Facility.P1IDNumber,4542)="","",INDEX(I.Facility.P1IDNumber,4542))</f>
        <v/>
      </c>
      <c r="G4554" s="51"/>
      <c r="H4554" s="46" t="str">
        <f>IF(AND(I.Developer.P1=TRUE,I.Facility.P1FacilityCount&gt;=4542,F4554=""),"Incomplete","Complete")</f>
        <v>Complete</v>
      </c>
      <c r="I4554" s="48" t="s">
        <v>8919</v>
      </c>
    </row>
    <row r="4555" spans="2:9" ht="15" customHeight="1" x14ac:dyDescent="0.25">
      <c r="B4555" s="55" t="s">
        <v>279</v>
      </c>
      <c r="C4555" s="46">
        <v>4543</v>
      </c>
      <c r="D4555" s="69" t="s">
        <v>29416</v>
      </c>
      <c r="E4555" s="51"/>
      <c r="F4555" s="114" t="str">
        <f>IF(INDEX(I.Facility.P1IDNumber,4543)="","",INDEX(I.Facility.P1IDNumber,4543))</f>
        <v/>
      </c>
      <c r="G4555" s="51"/>
      <c r="H4555" s="46" t="str">
        <f>IF(AND(I.Developer.P1=TRUE,I.Facility.P1FacilityCount&gt;=4543,F4555=""),"Incomplete","Complete")</f>
        <v>Complete</v>
      </c>
      <c r="I4555" s="48" t="s">
        <v>8920</v>
      </c>
    </row>
    <row r="4556" spans="2:9" ht="15" customHeight="1" x14ac:dyDescent="0.25">
      <c r="B4556" s="55" t="s">
        <v>279</v>
      </c>
      <c r="C4556" s="46">
        <v>4544</v>
      </c>
      <c r="D4556" s="69" t="s">
        <v>29416</v>
      </c>
      <c r="E4556" s="51"/>
      <c r="F4556" s="114" t="str">
        <f>IF(INDEX(I.Facility.P1IDNumber,4544)="","",INDEX(I.Facility.P1IDNumber,4544))</f>
        <v/>
      </c>
      <c r="G4556" s="51"/>
      <c r="H4556" s="46" t="str">
        <f>IF(AND(I.Developer.P1=TRUE,I.Facility.P1FacilityCount&gt;=4544,F4556=""),"Incomplete","Complete")</f>
        <v>Complete</v>
      </c>
      <c r="I4556" s="48" t="s">
        <v>8921</v>
      </c>
    </row>
    <row r="4557" spans="2:9" ht="15" customHeight="1" x14ac:dyDescent="0.25">
      <c r="B4557" s="55" t="s">
        <v>279</v>
      </c>
      <c r="C4557" s="46">
        <v>4545</v>
      </c>
      <c r="D4557" s="69" t="s">
        <v>29416</v>
      </c>
      <c r="E4557" s="51"/>
      <c r="F4557" s="114" t="str">
        <f>IF(INDEX(I.Facility.P1IDNumber,4545)="","",INDEX(I.Facility.P1IDNumber,4545))</f>
        <v/>
      </c>
      <c r="G4557" s="51"/>
      <c r="H4557" s="46" t="str">
        <f>IF(AND(I.Developer.P1=TRUE,I.Facility.P1FacilityCount&gt;=4545,F4557=""),"Incomplete","Complete")</f>
        <v>Complete</v>
      </c>
      <c r="I4557" s="48" t="s">
        <v>8922</v>
      </c>
    </row>
    <row r="4558" spans="2:9" ht="15" customHeight="1" x14ac:dyDescent="0.25">
      <c r="B4558" s="55" t="s">
        <v>279</v>
      </c>
      <c r="C4558" s="46">
        <v>4546</v>
      </c>
      <c r="D4558" s="69" t="s">
        <v>29416</v>
      </c>
      <c r="E4558" s="51"/>
      <c r="F4558" s="114" t="str">
        <f>IF(INDEX(I.Facility.P1IDNumber,4546)="","",INDEX(I.Facility.P1IDNumber,4546))</f>
        <v/>
      </c>
      <c r="G4558" s="51"/>
      <c r="H4558" s="46" t="str">
        <f>IF(AND(I.Developer.P1=TRUE,I.Facility.P1FacilityCount&gt;=4546,F4558=""),"Incomplete","Complete")</f>
        <v>Complete</v>
      </c>
      <c r="I4558" s="48" t="s">
        <v>8923</v>
      </c>
    </row>
    <row r="4559" spans="2:9" ht="15" customHeight="1" x14ac:dyDescent="0.25">
      <c r="B4559" s="55" t="s">
        <v>279</v>
      </c>
      <c r="C4559" s="46">
        <v>4547</v>
      </c>
      <c r="D4559" s="69" t="s">
        <v>29416</v>
      </c>
      <c r="E4559" s="51"/>
      <c r="F4559" s="114" t="str">
        <f>IF(INDEX(I.Facility.P1IDNumber,4547)="","",INDEX(I.Facility.P1IDNumber,4547))</f>
        <v/>
      </c>
      <c r="G4559" s="51"/>
      <c r="H4559" s="46" t="str">
        <f>IF(AND(I.Developer.P1=TRUE,I.Facility.P1FacilityCount&gt;=4547,F4559=""),"Incomplete","Complete")</f>
        <v>Complete</v>
      </c>
      <c r="I4559" s="48" t="s">
        <v>8924</v>
      </c>
    </row>
    <row r="4560" spans="2:9" ht="15" customHeight="1" x14ac:dyDescent="0.25">
      <c r="B4560" s="55" t="s">
        <v>279</v>
      </c>
      <c r="C4560" s="46">
        <v>4548</v>
      </c>
      <c r="D4560" s="69" t="s">
        <v>29416</v>
      </c>
      <c r="E4560" s="51"/>
      <c r="F4560" s="114" t="str">
        <f>IF(INDEX(I.Facility.P1IDNumber,4548)="","",INDEX(I.Facility.P1IDNumber,4548))</f>
        <v/>
      </c>
      <c r="G4560" s="51"/>
      <c r="H4560" s="46" t="str">
        <f>IF(AND(I.Developer.P1=TRUE,I.Facility.P1FacilityCount&gt;=4548,F4560=""),"Incomplete","Complete")</f>
        <v>Complete</v>
      </c>
      <c r="I4560" s="48" t="s">
        <v>8925</v>
      </c>
    </row>
    <row r="4561" spans="2:9" ht="15" customHeight="1" x14ac:dyDescent="0.25">
      <c r="B4561" s="55" t="s">
        <v>279</v>
      </c>
      <c r="C4561" s="46">
        <v>4549</v>
      </c>
      <c r="D4561" s="69" t="s">
        <v>29416</v>
      </c>
      <c r="E4561" s="51"/>
      <c r="F4561" s="114" t="str">
        <f>IF(INDEX(I.Facility.P1IDNumber,4549)="","",INDEX(I.Facility.P1IDNumber,4549))</f>
        <v/>
      </c>
      <c r="G4561" s="51"/>
      <c r="H4561" s="46" t="str">
        <f>IF(AND(I.Developer.P1=TRUE,I.Facility.P1FacilityCount&gt;=4549,F4561=""),"Incomplete","Complete")</f>
        <v>Complete</v>
      </c>
      <c r="I4561" s="48" t="s">
        <v>8926</v>
      </c>
    </row>
    <row r="4562" spans="2:9" ht="15" customHeight="1" x14ac:dyDescent="0.25">
      <c r="B4562" s="55" t="s">
        <v>279</v>
      </c>
      <c r="C4562" s="46">
        <v>4550</v>
      </c>
      <c r="D4562" s="69" t="s">
        <v>29416</v>
      </c>
      <c r="E4562" s="51"/>
      <c r="F4562" s="114" t="str">
        <f>IF(INDEX(I.Facility.P1IDNumber,4550)="","",INDEX(I.Facility.P1IDNumber,4550))</f>
        <v/>
      </c>
      <c r="G4562" s="51"/>
      <c r="H4562" s="46" t="str">
        <f>IF(AND(I.Developer.P1=TRUE,I.Facility.P1FacilityCount&gt;=4550,F4562=""),"Incomplete","Complete")</f>
        <v>Complete</v>
      </c>
      <c r="I4562" s="48" t="s">
        <v>8927</v>
      </c>
    </row>
    <row r="4563" spans="2:9" ht="15" customHeight="1" x14ac:dyDescent="0.25">
      <c r="B4563" s="55" t="s">
        <v>279</v>
      </c>
      <c r="C4563" s="46">
        <v>4551</v>
      </c>
      <c r="D4563" s="69" t="s">
        <v>29416</v>
      </c>
      <c r="E4563" s="51"/>
      <c r="F4563" s="114" t="str">
        <f>IF(INDEX(I.Facility.P1IDNumber,4551)="","",INDEX(I.Facility.P1IDNumber,4551))</f>
        <v/>
      </c>
      <c r="G4563" s="51"/>
      <c r="H4563" s="46" t="str">
        <f>IF(AND(I.Developer.P1=TRUE,I.Facility.P1FacilityCount&gt;=4551,F4563=""),"Incomplete","Complete")</f>
        <v>Complete</v>
      </c>
      <c r="I4563" s="48" t="s">
        <v>8928</v>
      </c>
    </row>
    <row r="4564" spans="2:9" ht="15" customHeight="1" x14ac:dyDescent="0.25">
      <c r="B4564" s="55" t="s">
        <v>279</v>
      </c>
      <c r="C4564" s="46">
        <v>4552</v>
      </c>
      <c r="D4564" s="69" t="s">
        <v>29416</v>
      </c>
      <c r="E4564" s="51"/>
      <c r="F4564" s="114" t="str">
        <f>IF(INDEX(I.Facility.P1IDNumber,4552)="","",INDEX(I.Facility.P1IDNumber,4552))</f>
        <v/>
      </c>
      <c r="G4564" s="51"/>
      <c r="H4564" s="46" t="str">
        <f>IF(AND(I.Developer.P1=TRUE,I.Facility.P1FacilityCount&gt;=4552,F4564=""),"Incomplete","Complete")</f>
        <v>Complete</v>
      </c>
      <c r="I4564" s="48" t="s">
        <v>8929</v>
      </c>
    </row>
    <row r="4565" spans="2:9" ht="15" customHeight="1" x14ac:dyDescent="0.25">
      <c r="B4565" s="55" t="s">
        <v>279</v>
      </c>
      <c r="C4565" s="46">
        <v>4553</v>
      </c>
      <c r="D4565" s="69" t="s">
        <v>29416</v>
      </c>
      <c r="E4565" s="51"/>
      <c r="F4565" s="114" t="str">
        <f>IF(INDEX(I.Facility.P1IDNumber,4553)="","",INDEX(I.Facility.P1IDNumber,4553))</f>
        <v/>
      </c>
      <c r="G4565" s="51"/>
      <c r="H4565" s="46" t="str">
        <f>IF(AND(I.Developer.P1=TRUE,I.Facility.P1FacilityCount&gt;=4553,F4565=""),"Incomplete","Complete")</f>
        <v>Complete</v>
      </c>
      <c r="I4565" s="48" t="s">
        <v>8930</v>
      </c>
    </row>
    <row r="4566" spans="2:9" ht="15" customHeight="1" x14ac:dyDescent="0.25">
      <c r="B4566" s="55" t="s">
        <v>279</v>
      </c>
      <c r="C4566" s="46">
        <v>4554</v>
      </c>
      <c r="D4566" s="69" t="s">
        <v>29416</v>
      </c>
      <c r="E4566" s="51"/>
      <c r="F4566" s="114" t="str">
        <f>IF(INDEX(I.Facility.P1IDNumber,4554)="","",INDEX(I.Facility.P1IDNumber,4554))</f>
        <v/>
      </c>
      <c r="G4566" s="51"/>
      <c r="H4566" s="46" t="str">
        <f>IF(AND(I.Developer.P1=TRUE,I.Facility.P1FacilityCount&gt;=4554,F4566=""),"Incomplete","Complete")</f>
        <v>Complete</v>
      </c>
      <c r="I4566" s="48" t="s">
        <v>8931</v>
      </c>
    </row>
    <row r="4567" spans="2:9" ht="15" customHeight="1" x14ac:dyDescent="0.25">
      <c r="B4567" s="55" t="s">
        <v>279</v>
      </c>
      <c r="C4567" s="46">
        <v>4555</v>
      </c>
      <c r="D4567" s="69" t="s">
        <v>29416</v>
      </c>
      <c r="E4567" s="51"/>
      <c r="F4567" s="114" t="str">
        <f>IF(INDEX(I.Facility.P1IDNumber,4555)="","",INDEX(I.Facility.P1IDNumber,4555))</f>
        <v/>
      </c>
      <c r="G4567" s="51"/>
      <c r="H4567" s="46" t="str">
        <f>IF(AND(I.Developer.P1=TRUE,I.Facility.P1FacilityCount&gt;=4555,F4567=""),"Incomplete","Complete")</f>
        <v>Complete</v>
      </c>
      <c r="I4567" s="48" t="s">
        <v>8932</v>
      </c>
    </row>
    <row r="4568" spans="2:9" ht="15" customHeight="1" x14ac:dyDescent="0.25">
      <c r="B4568" s="55" t="s">
        <v>279</v>
      </c>
      <c r="C4568" s="46">
        <v>4556</v>
      </c>
      <c r="D4568" s="69" t="s">
        <v>29416</v>
      </c>
      <c r="E4568" s="51"/>
      <c r="F4568" s="114" t="str">
        <f>IF(INDEX(I.Facility.P1IDNumber,4556)="","",INDEX(I.Facility.P1IDNumber,4556))</f>
        <v/>
      </c>
      <c r="G4568" s="51"/>
      <c r="H4568" s="46" t="str">
        <f>IF(AND(I.Developer.P1=TRUE,I.Facility.P1FacilityCount&gt;=4556,F4568=""),"Incomplete","Complete")</f>
        <v>Complete</v>
      </c>
      <c r="I4568" s="48" t="s">
        <v>8933</v>
      </c>
    </row>
    <row r="4569" spans="2:9" ht="15" customHeight="1" x14ac:dyDescent="0.25">
      <c r="B4569" s="55" t="s">
        <v>279</v>
      </c>
      <c r="C4569" s="46">
        <v>4557</v>
      </c>
      <c r="D4569" s="69" t="s">
        <v>29416</v>
      </c>
      <c r="E4569" s="51"/>
      <c r="F4569" s="114" t="str">
        <f>IF(INDEX(I.Facility.P1IDNumber,4557)="","",INDEX(I.Facility.P1IDNumber,4557))</f>
        <v/>
      </c>
      <c r="G4569" s="51"/>
      <c r="H4569" s="46" t="str">
        <f>IF(AND(I.Developer.P1=TRUE,I.Facility.P1FacilityCount&gt;=4557,F4569=""),"Incomplete","Complete")</f>
        <v>Complete</v>
      </c>
      <c r="I4569" s="48" t="s">
        <v>8934</v>
      </c>
    </row>
    <row r="4570" spans="2:9" ht="15" customHeight="1" x14ac:dyDescent="0.25">
      <c r="B4570" s="55" t="s">
        <v>279</v>
      </c>
      <c r="C4570" s="46">
        <v>4558</v>
      </c>
      <c r="D4570" s="69" t="s">
        <v>29416</v>
      </c>
      <c r="E4570" s="51"/>
      <c r="F4570" s="114" t="str">
        <f>IF(INDEX(I.Facility.P1IDNumber,4558)="","",INDEX(I.Facility.P1IDNumber,4558))</f>
        <v/>
      </c>
      <c r="G4570" s="51"/>
      <c r="H4570" s="46" t="str">
        <f>IF(AND(I.Developer.P1=TRUE,I.Facility.P1FacilityCount&gt;=4558,F4570=""),"Incomplete","Complete")</f>
        <v>Complete</v>
      </c>
      <c r="I4570" s="48" t="s">
        <v>8935</v>
      </c>
    </row>
    <row r="4571" spans="2:9" ht="15" customHeight="1" x14ac:dyDescent="0.25">
      <c r="B4571" s="55" t="s">
        <v>279</v>
      </c>
      <c r="C4571" s="46">
        <v>4559</v>
      </c>
      <c r="D4571" s="69" t="s">
        <v>29416</v>
      </c>
      <c r="E4571" s="51"/>
      <c r="F4571" s="114" t="str">
        <f>IF(INDEX(I.Facility.P1IDNumber,4559)="","",INDEX(I.Facility.P1IDNumber,4559))</f>
        <v/>
      </c>
      <c r="G4571" s="51"/>
      <c r="H4571" s="46" t="str">
        <f>IF(AND(I.Developer.P1=TRUE,I.Facility.P1FacilityCount&gt;=4559,F4571=""),"Incomplete","Complete")</f>
        <v>Complete</v>
      </c>
      <c r="I4571" s="48" t="s">
        <v>8936</v>
      </c>
    </row>
    <row r="4572" spans="2:9" ht="15" customHeight="1" x14ac:dyDescent="0.25">
      <c r="B4572" s="55" t="s">
        <v>279</v>
      </c>
      <c r="C4572" s="46">
        <v>4560</v>
      </c>
      <c r="D4572" s="69" t="s">
        <v>29416</v>
      </c>
      <c r="E4572" s="51"/>
      <c r="F4572" s="114" t="str">
        <f>IF(INDEX(I.Facility.P1IDNumber,4560)="","",INDEX(I.Facility.P1IDNumber,4560))</f>
        <v/>
      </c>
      <c r="G4572" s="51"/>
      <c r="H4572" s="46" t="str">
        <f>IF(AND(I.Developer.P1=TRUE,I.Facility.P1FacilityCount&gt;=4560,F4572=""),"Incomplete","Complete")</f>
        <v>Complete</v>
      </c>
      <c r="I4572" s="48" t="s">
        <v>8937</v>
      </c>
    </row>
    <row r="4573" spans="2:9" ht="15" customHeight="1" x14ac:dyDescent="0.25">
      <c r="B4573" s="55" t="s">
        <v>279</v>
      </c>
      <c r="C4573" s="46">
        <v>4561</v>
      </c>
      <c r="D4573" s="69" t="s">
        <v>29416</v>
      </c>
      <c r="E4573" s="51"/>
      <c r="F4573" s="114" t="str">
        <f>IF(INDEX(I.Facility.P1IDNumber,4561)="","",INDEX(I.Facility.P1IDNumber,4561))</f>
        <v/>
      </c>
      <c r="G4573" s="51"/>
      <c r="H4573" s="46" t="str">
        <f>IF(AND(I.Developer.P1=TRUE,I.Facility.P1FacilityCount&gt;=4561,F4573=""),"Incomplete","Complete")</f>
        <v>Complete</v>
      </c>
      <c r="I4573" s="48" t="s">
        <v>8938</v>
      </c>
    </row>
    <row r="4574" spans="2:9" ht="15" customHeight="1" x14ac:dyDescent="0.25">
      <c r="B4574" s="55" t="s">
        <v>279</v>
      </c>
      <c r="C4574" s="46">
        <v>4562</v>
      </c>
      <c r="D4574" s="69" t="s">
        <v>29416</v>
      </c>
      <c r="E4574" s="51"/>
      <c r="F4574" s="114" t="str">
        <f>IF(INDEX(I.Facility.P1IDNumber,4562)="","",INDEX(I.Facility.P1IDNumber,4562))</f>
        <v/>
      </c>
      <c r="G4574" s="51"/>
      <c r="H4574" s="46" t="str">
        <f>IF(AND(I.Developer.P1=TRUE,I.Facility.P1FacilityCount&gt;=4562,F4574=""),"Incomplete","Complete")</f>
        <v>Complete</v>
      </c>
      <c r="I4574" s="48" t="s">
        <v>8939</v>
      </c>
    </row>
    <row r="4575" spans="2:9" ht="15" customHeight="1" x14ac:dyDescent="0.25">
      <c r="B4575" s="55" t="s">
        <v>279</v>
      </c>
      <c r="C4575" s="46">
        <v>4563</v>
      </c>
      <c r="D4575" s="69" t="s">
        <v>29416</v>
      </c>
      <c r="E4575" s="51"/>
      <c r="F4575" s="114" t="str">
        <f>IF(INDEX(I.Facility.P1IDNumber,4563)="","",INDEX(I.Facility.P1IDNumber,4563))</f>
        <v/>
      </c>
      <c r="G4575" s="51"/>
      <c r="H4575" s="46" t="str">
        <f>IF(AND(I.Developer.P1=TRUE,I.Facility.P1FacilityCount&gt;=4563,F4575=""),"Incomplete","Complete")</f>
        <v>Complete</v>
      </c>
      <c r="I4575" s="48" t="s">
        <v>8940</v>
      </c>
    </row>
    <row r="4576" spans="2:9" ht="15" customHeight="1" x14ac:dyDescent="0.25">
      <c r="B4576" s="55" t="s">
        <v>279</v>
      </c>
      <c r="C4576" s="46">
        <v>4564</v>
      </c>
      <c r="D4576" s="69" t="s">
        <v>29416</v>
      </c>
      <c r="E4576" s="51"/>
      <c r="F4576" s="114" t="str">
        <f>IF(INDEX(I.Facility.P1IDNumber,4564)="","",INDEX(I.Facility.P1IDNumber,4564))</f>
        <v/>
      </c>
      <c r="G4576" s="51"/>
      <c r="H4576" s="46" t="str">
        <f>IF(AND(I.Developer.P1=TRUE,I.Facility.P1FacilityCount&gt;=4564,F4576=""),"Incomplete","Complete")</f>
        <v>Complete</v>
      </c>
      <c r="I4576" s="48" t="s">
        <v>8941</v>
      </c>
    </row>
    <row r="4577" spans="2:9" ht="15" customHeight="1" x14ac:dyDescent="0.25">
      <c r="B4577" s="55" t="s">
        <v>279</v>
      </c>
      <c r="C4577" s="46">
        <v>4565</v>
      </c>
      <c r="D4577" s="69" t="s">
        <v>29416</v>
      </c>
      <c r="E4577" s="51"/>
      <c r="F4577" s="114" t="str">
        <f>IF(INDEX(I.Facility.P1IDNumber,4565)="","",INDEX(I.Facility.P1IDNumber,4565))</f>
        <v/>
      </c>
      <c r="G4577" s="51"/>
      <c r="H4577" s="46" t="str">
        <f>IF(AND(I.Developer.P1=TRUE,I.Facility.P1FacilityCount&gt;=4565,F4577=""),"Incomplete","Complete")</f>
        <v>Complete</v>
      </c>
      <c r="I4577" s="48" t="s">
        <v>8942</v>
      </c>
    </row>
    <row r="4578" spans="2:9" ht="15" customHeight="1" x14ac:dyDescent="0.25">
      <c r="B4578" s="55" t="s">
        <v>279</v>
      </c>
      <c r="C4578" s="46">
        <v>4566</v>
      </c>
      <c r="D4578" s="69" t="s">
        <v>29416</v>
      </c>
      <c r="E4578" s="51"/>
      <c r="F4578" s="114" t="str">
        <f>IF(INDEX(I.Facility.P1IDNumber,4566)="","",INDEX(I.Facility.P1IDNumber,4566))</f>
        <v/>
      </c>
      <c r="G4578" s="51"/>
      <c r="H4578" s="46" t="str">
        <f>IF(AND(I.Developer.P1=TRUE,I.Facility.P1FacilityCount&gt;=4566,F4578=""),"Incomplete","Complete")</f>
        <v>Complete</v>
      </c>
      <c r="I4578" s="48" t="s">
        <v>8943</v>
      </c>
    </row>
    <row r="4579" spans="2:9" ht="15" customHeight="1" x14ac:dyDescent="0.25">
      <c r="B4579" s="55" t="s">
        <v>279</v>
      </c>
      <c r="C4579" s="46">
        <v>4567</v>
      </c>
      <c r="D4579" s="69" t="s">
        <v>29416</v>
      </c>
      <c r="E4579" s="51"/>
      <c r="F4579" s="114" t="str">
        <f>IF(INDEX(I.Facility.P1IDNumber,4567)="","",INDEX(I.Facility.P1IDNumber,4567))</f>
        <v/>
      </c>
      <c r="G4579" s="51"/>
      <c r="H4579" s="46" t="str">
        <f>IF(AND(I.Developer.P1=TRUE,I.Facility.P1FacilityCount&gt;=4567,F4579=""),"Incomplete","Complete")</f>
        <v>Complete</v>
      </c>
      <c r="I4579" s="48" t="s">
        <v>8944</v>
      </c>
    </row>
    <row r="4580" spans="2:9" ht="15" customHeight="1" x14ac:dyDescent="0.25">
      <c r="B4580" s="55" t="s">
        <v>279</v>
      </c>
      <c r="C4580" s="46">
        <v>4568</v>
      </c>
      <c r="D4580" s="69" t="s">
        <v>29416</v>
      </c>
      <c r="E4580" s="51"/>
      <c r="F4580" s="114" t="str">
        <f>IF(INDEX(I.Facility.P1IDNumber,4568)="","",INDEX(I.Facility.P1IDNumber,4568))</f>
        <v/>
      </c>
      <c r="G4580" s="51"/>
      <c r="H4580" s="46" t="str">
        <f>IF(AND(I.Developer.P1=TRUE,I.Facility.P1FacilityCount&gt;=4568,F4580=""),"Incomplete","Complete")</f>
        <v>Complete</v>
      </c>
      <c r="I4580" s="48" t="s">
        <v>8945</v>
      </c>
    </row>
    <row r="4581" spans="2:9" ht="15" customHeight="1" x14ac:dyDescent="0.25">
      <c r="B4581" s="55" t="s">
        <v>279</v>
      </c>
      <c r="C4581" s="46">
        <v>4569</v>
      </c>
      <c r="D4581" s="69" t="s">
        <v>29416</v>
      </c>
      <c r="E4581" s="51"/>
      <c r="F4581" s="114" t="str">
        <f>IF(INDEX(I.Facility.P1IDNumber,4569)="","",INDEX(I.Facility.P1IDNumber,4569))</f>
        <v/>
      </c>
      <c r="G4581" s="51"/>
      <c r="H4581" s="46" t="str">
        <f>IF(AND(I.Developer.P1=TRUE,I.Facility.P1FacilityCount&gt;=4569,F4581=""),"Incomplete","Complete")</f>
        <v>Complete</v>
      </c>
      <c r="I4581" s="48" t="s">
        <v>8946</v>
      </c>
    </row>
    <row r="4582" spans="2:9" ht="15" customHeight="1" x14ac:dyDescent="0.25">
      <c r="B4582" s="55" t="s">
        <v>279</v>
      </c>
      <c r="C4582" s="46">
        <v>4570</v>
      </c>
      <c r="D4582" s="69" t="s">
        <v>29416</v>
      </c>
      <c r="E4582" s="51"/>
      <c r="F4582" s="114" t="str">
        <f>IF(INDEX(I.Facility.P1IDNumber,4570)="","",INDEX(I.Facility.P1IDNumber,4570))</f>
        <v/>
      </c>
      <c r="G4582" s="51"/>
      <c r="H4582" s="46" t="str">
        <f>IF(AND(I.Developer.P1=TRUE,I.Facility.P1FacilityCount&gt;=4570,F4582=""),"Incomplete","Complete")</f>
        <v>Complete</v>
      </c>
      <c r="I4582" s="48" t="s">
        <v>8947</v>
      </c>
    </row>
    <row r="4583" spans="2:9" ht="15" customHeight="1" x14ac:dyDescent="0.25">
      <c r="B4583" s="55" t="s">
        <v>279</v>
      </c>
      <c r="C4583" s="46">
        <v>4571</v>
      </c>
      <c r="D4583" s="69" t="s">
        <v>29416</v>
      </c>
      <c r="E4583" s="51"/>
      <c r="F4583" s="114" t="str">
        <f>IF(INDEX(I.Facility.P1IDNumber,4571)="","",INDEX(I.Facility.P1IDNumber,4571))</f>
        <v/>
      </c>
      <c r="G4583" s="51"/>
      <c r="H4583" s="46" t="str">
        <f>IF(AND(I.Developer.P1=TRUE,I.Facility.P1FacilityCount&gt;=4571,F4583=""),"Incomplete","Complete")</f>
        <v>Complete</v>
      </c>
      <c r="I4583" s="48" t="s">
        <v>8948</v>
      </c>
    </row>
    <row r="4584" spans="2:9" ht="15" customHeight="1" x14ac:dyDescent="0.25">
      <c r="B4584" s="55" t="s">
        <v>279</v>
      </c>
      <c r="C4584" s="46">
        <v>4572</v>
      </c>
      <c r="D4584" s="69" t="s">
        <v>29416</v>
      </c>
      <c r="E4584" s="51"/>
      <c r="F4584" s="114" t="str">
        <f>IF(INDEX(I.Facility.P1IDNumber,4572)="","",INDEX(I.Facility.P1IDNumber,4572))</f>
        <v/>
      </c>
      <c r="G4584" s="51"/>
      <c r="H4584" s="46" t="str">
        <f>IF(AND(I.Developer.P1=TRUE,I.Facility.P1FacilityCount&gt;=4572,F4584=""),"Incomplete","Complete")</f>
        <v>Complete</v>
      </c>
      <c r="I4584" s="48" t="s">
        <v>8949</v>
      </c>
    </row>
    <row r="4585" spans="2:9" ht="15" customHeight="1" x14ac:dyDescent="0.25">
      <c r="B4585" s="55" t="s">
        <v>279</v>
      </c>
      <c r="C4585" s="46">
        <v>4573</v>
      </c>
      <c r="D4585" s="69" t="s">
        <v>29416</v>
      </c>
      <c r="E4585" s="51"/>
      <c r="F4585" s="114" t="str">
        <f>IF(INDEX(I.Facility.P1IDNumber,4573)="","",INDEX(I.Facility.P1IDNumber,4573))</f>
        <v/>
      </c>
      <c r="G4585" s="51"/>
      <c r="H4585" s="46" t="str">
        <f>IF(AND(I.Developer.P1=TRUE,I.Facility.P1FacilityCount&gt;=4573,F4585=""),"Incomplete","Complete")</f>
        <v>Complete</v>
      </c>
      <c r="I4585" s="48" t="s">
        <v>8950</v>
      </c>
    </row>
    <row r="4586" spans="2:9" ht="15" customHeight="1" x14ac:dyDescent="0.25">
      <c r="B4586" s="55" t="s">
        <v>279</v>
      </c>
      <c r="C4586" s="46">
        <v>4574</v>
      </c>
      <c r="D4586" s="69" t="s">
        <v>29416</v>
      </c>
      <c r="E4586" s="51"/>
      <c r="F4586" s="114" t="str">
        <f>IF(INDEX(I.Facility.P1IDNumber,4574)="","",INDEX(I.Facility.P1IDNumber,4574))</f>
        <v/>
      </c>
      <c r="G4586" s="51"/>
      <c r="H4586" s="46" t="str">
        <f>IF(AND(I.Developer.P1=TRUE,I.Facility.P1FacilityCount&gt;=4574,F4586=""),"Incomplete","Complete")</f>
        <v>Complete</v>
      </c>
      <c r="I4586" s="48" t="s">
        <v>8951</v>
      </c>
    </row>
    <row r="4587" spans="2:9" ht="15" customHeight="1" x14ac:dyDescent="0.25">
      <c r="B4587" s="55" t="s">
        <v>279</v>
      </c>
      <c r="C4587" s="46">
        <v>4575</v>
      </c>
      <c r="D4587" s="69" t="s">
        <v>29416</v>
      </c>
      <c r="E4587" s="51"/>
      <c r="F4587" s="114" t="str">
        <f>IF(INDEX(I.Facility.P1IDNumber,4575)="","",INDEX(I.Facility.P1IDNumber,4575))</f>
        <v/>
      </c>
      <c r="G4587" s="51"/>
      <c r="H4587" s="46" t="str">
        <f>IF(AND(I.Developer.P1=TRUE,I.Facility.P1FacilityCount&gt;=4575,F4587=""),"Incomplete","Complete")</f>
        <v>Complete</v>
      </c>
      <c r="I4587" s="48" t="s">
        <v>8952</v>
      </c>
    </row>
    <row r="4588" spans="2:9" ht="15" customHeight="1" x14ac:dyDescent="0.25">
      <c r="B4588" s="55" t="s">
        <v>279</v>
      </c>
      <c r="C4588" s="46">
        <v>4576</v>
      </c>
      <c r="D4588" s="69" t="s">
        <v>29416</v>
      </c>
      <c r="E4588" s="51"/>
      <c r="F4588" s="114" t="str">
        <f>IF(INDEX(I.Facility.P1IDNumber,4576)="","",INDEX(I.Facility.P1IDNumber,4576))</f>
        <v/>
      </c>
      <c r="G4588" s="51"/>
      <c r="H4588" s="46" t="str">
        <f>IF(AND(I.Developer.P1=TRUE,I.Facility.P1FacilityCount&gt;=4576,F4588=""),"Incomplete","Complete")</f>
        <v>Complete</v>
      </c>
      <c r="I4588" s="48" t="s">
        <v>8953</v>
      </c>
    </row>
    <row r="4589" spans="2:9" ht="15" customHeight="1" x14ac:dyDescent="0.25">
      <c r="B4589" s="55" t="s">
        <v>279</v>
      </c>
      <c r="C4589" s="46">
        <v>4577</v>
      </c>
      <c r="D4589" s="69" t="s">
        <v>29416</v>
      </c>
      <c r="E4589" s="51"/>
      <c r="F4589" s="114" t="str">
        <f>IF(INDEX(I.Facility.P1IDNumber,4577)="","",INDEX(I.Facility.P1IDNumber,4577))</f>
        <v/>
      </c>
      <c r="G4589" s="51"/>
      <c r="H4589" s="46" t="str">
        <f>IF(AND(I.Developer.P1=TRUE,I.Facility.P1FacilityCount&gt;=4577,F4589=""),"Incomplete","Complete")</f>
        <v>Complete</v>
      </c>
      <c r="I4589" s="48" t="s">
        <v>8954</v>
      </c>
    </row>
    <row r="4590" spans="2:9" ht="15" customHeight="1" x14ac:dyDescent="0.25">
      <c r="B4590" s="55" t="s">
        <v>279</v>
      </c>
      <c r="C4590" s="46">
        <v>4578</v>
      </c>
      <c r="D4590" s="69" t="s">
        <v>29416</v>
      </c>
      <c r="E4590" s="51"/>
      <c r="F4590" s="114" t="str">
        <f>IF(INDEX(I.Facility.P1IDNumber,4578)="","",INDEX(I.Facility.P1IDNumber,4578))</f>
        <v/>
      </c>
      <c r="G4590" s="51"/>
      <c r="H4590" s="46" t="str">
        <f>IF(AND(I.Developer.P1=TRUE,I.Facility.P1FacilityCount&gt;=4578,F4590=""),"Incomplete","Complete")</f>
        <v>Complete</v>
      </c>
      <c r="I4590" s="48" t="s">
        <v>8955</v>
      </c>
    </row>
    <row r="4591" spans="2:9" ht="15" customHeight="1" x14ac:dyDescent="0.25">
      <c r="B4591" s="55" t="s">
        <v>279</v>
      </c>
      <c r="C4591" s="46">
        <v>4579</v>
      </c>
      <c r="D4591" s="69" t="s">
        <v>29416</v>
      </c>
      <c r="E4591" s="51"/>
      <c r="F4591" s="114" t="str">
        <f>IF(INDEX(I.Facility.P1IDNumber,4579)="","",INDEX(I.Facility.P1IDNumber,4579))</f>
        <v/>
      </c>
      <c r="G4591" s="51"/>
      <c r="H4591" s="46" t="str">
        <f>IF(AND(I.Developer.P1=TRUE,I.Facility.P1FacilityCount&gt;=4579,F4591=""),"Incomplete","Complete")</f>
        <v>Complete</v>
      </c>
      <c r="I4591" s="48" t="s">
        <v>8956</v>
      </c>
    </row>
    <row r="4592" spans="2:9" ht="15" customHeight="1" x14ac:dyDescent="0.25">
      <c r="B4592" s="55" t="s">
        <v>279</v>
      </c>
      <c r="C4592" s="46">
        <v>4580</v>
      </c>
      <c r="D4592" s="69" t="s">
        <v>29416</v>
      </c>
      <c r="E4592" s="51"/>
      <c r="F4592" s="114" t="str">
        <f>IF(INDEX(I.Facility.P1IDNumber,4580)="","",INDEX(I.Facility.P1IDNumber,4580))</f>
        <v/>
      </c>
      <c r="G4592" s="51"/>
      <c r="H4592" s="46" t="str">
        <f>IF(AND(I.Developer.P1=TRUE,I.Facility.P1FacilityCount&gt;=4580,F4592=""),"Incomplete","Complete")</f>
        <v>Complete</v>
      </c>
      <c r="I4592" s="48" t="s">
        <v>8957</v>
      </c>
    </row>
    <row r="4593" spans="2:9" ht="15" customHeight="1" x14ac:dyDescent="0.25">
      <c r="B4593" s="55" t="s">
        <v>279</v>
      </c>
      <c r="C4593" s="46">
        <v>4581</v>
      </c>
      <c r="D4593" s="69" t="s">
        <v>29416</v>
      </c>
      <c r="E4593" s="51"/>
      <c r="F4593" s="114" t="str">
        <f>IF(INDEX(I.Facility.P1IDNumber,4581)="","",INDEX(I.Facility.P1IDNumber,4581))</f>
        <v/>
      </c>
      <c r="G4593" s="51"/>
      <c r="H4593" s="46" t="str">
        <f>IF(AND(I.Developer.P1=TRUE,I.Facility.P1FacilityCount&gt;=4581,F4593=""),"Incomplete","Complete")</f>
        <v>Complete</v>
      </c>
      <c r="I4593" s="48" t="s">
        <v>8958</v>
      </c>
    </row>
    <row r="4594" spans="2:9" ht="15" customHeight="1" x14ac:dyDescent="0.25">
      <c r="B4594" s="55" t="s">
        <v>279</v>
      </c>
      <c r="C4594" s="46">
        <v>4582</v>
      </c>
      <c r="D4594" s="69" t="s">
        <v>29416</v>
      </c>
      <c r="E4594" s="51"/>
      <c r="F4594" s="114" t="str">
        <f>IF(INDEX(I.Facility.P1IDNumber,4582)="","",INDEX(I.Facility.P1IDNumber,4582))</f>
        <v/>
      </c>
      <c r="G4594" s="51"/>
      <c r="H4594" s="46" t="str">
        <f>IF(AND(I.Developer.P1=TRUE,I.Facility.P1FacilityCount&gt;=4582,F4594=""),"Incomplete","Complete")</f>
        <v>Complete</v>
      </c>
      <c r="I4594" s="48" t="s">
        <v>8959</v>
      </c>
    </row>
    <row r="4595" spans="2:9" ht="15" customHeight="1" x14ac:dyDescent="0.25">
      <c r="B4595" s="55" t="s">
        <v>279</v>
      </c>
      <c r="C4595" s="46">
        <v>4583</v>
      </c>
      <c r="D4595" s="69" t="s">
        <v>29416</v>
      </c>
      <c r="E4595" s="51"/>
      <c r="F4595" s="114" t="str">
        <f>IF(INDEX(I.Facility.P1IDNumber,4583)="","",INDEX(I.Facility.P1IDNumber,4583))</f>
        <v/>
      </c>
      <c r="G4595" s="51"/>
      <c r="H4595" s="46" t="str">
        <f>IF(AND(I.Developer.P1=TRUE,I.Facility.P1FacilityCount&gt;=4583,F4595=""),"Incomplete","Complete")</f>
        <v>Complete</v>
      </c>
      <c r="I4595" s="48" t="s">
        <v>8960</v>
      </c>
    </row>
    <row r="4596" spans="2:9" ht="15" customHeight="1" x14ac:dyDescent="0.25">
      <c r="B4596" s="55" t="s">
        <v>279</v>
      </c>
      <c r="C4596" s="46">
        <v>4584</v>
      </c>
      <c r="D4596" s="69" t="s">
        <v>29416</v>
      </c>
      <c r="E4596" s="51"/>
      <c r="F4596" s="114" t="str">
        <f>IF(INDEX(I.Facility.P1IDNumber,4584)="","",INDEX(I.Facility.P1IDNumber,4584))</f>
        <v/>
      </c>
      <c r="G4596" s="51"/>
      <c r="H4596" s="46" t="str">
        <f>IF(AND(I.Developer.P1=TRUE,I.Facility.P1FacilityCount&gt;=4584,F4596=""),"Incomplete","Complete")</f>
        <v>Complete</v>
      </c>
      <c r="I4596" s="48" t="s">
        <v>8961</v>
      </c>
    </row>
    <row r="4597" spans="2:9" ht="15" customHeight="1" x14ac:dyDescent="0.25">
      <c r="B4597" s="55" t="s">
        <v>279</v>
      </c>
      <c r="C4597" s="46">
        <v>4585</v>
      </c>
      <c r="D4597" s="69" t="s">
        <v>29416</v>
      </c>
      <c r="E4597" s="51"/>
      <c r="F4597" s="114" t="str">
        <f>IF(INDEX(I.Facility.P1IDNumber,4585)="","",INDEX(I.Facility.P1IDNumber,4585))</f>
        <v/>
      </c>
      <c r="G4597" s="51"/>
      <c r="H4597" s="46" t="str">
        <f>IF(AND(I.Developer.P1=TRUE,I.Facility.P1FacilityCount&gt;=4585,F4597=""),"Incomplete","Complete")</f>
        <v>Complete</v>
      </c>
      <c r="I4597" s="48" t="s">
        <v>8962</v>
      </c>
    </row>
    <row r="4598" spans="2:9" ht="15" customHeight="1" x14ac:dyDescent="0.25">
      <c r="B4598" s="55" t="s">
        <v>279</v>
      </c>
      <c r="C4598" s="46">
        <v>4586</v>
      </c>
      <c r="D4598" s="69" t="s">
        <v>29416</v>
      </c>
      <c r="E4598" s="51"/>
      <c r="F4598" s="114" t="str">
        <f>IF(INDEX(I.Facility.P1IDNumber,4586)="","",INDEX(I.Facility.P1IDNumber,4586))</f>
        <v/>
      </c>
      <c r="G4598" s="51"/>
      <c r="H4598" s="46" t="str">
        <f>IF(AND(I.Developer.P1=TRUE,I.Facility.P1FacilityCount&gt;=4586,F4598=""),"Incomplete","Complete")</f>
        <v>Complete</v>
      </c>
      <c r="I4598" s="48" t="s">
        <v>8963</v>
      </c>
    </row>
    <row r="4599" spans="2:9" ht="15" customHeight="1" x14ac:dyDescent="0.25">
      <c r="B4599" s="55" t="s">
        <v>279</v>
      </c>
      <c r="C4599" s="46">
        <v>4587</v>
      </c>
      <c r="D4599" s="69" t="s">
        <v>29416</v>
      </c>
      <c r="E4599" s="51"/>
      <c r="F4599" s="114" t="str">
        <f>IF(INDEX(I.Facility.P1IDNumber,4587)="","",INDEX(I.Facility.P1IDNumber,4587))</f>
        <v/>
      </c>
      <c r="G4599" s="51"/>
      <c r="H4599" s="46" t="str">
        <f>IF(AND(I.Developer.P1=TRUE,I.Facility.P1FacilityCount&gt;=4587,F4599=""),"Incomplete","Complete")</f>
        <v>Complete</v>
      </c>
      <c r="I4599" s="48" t="s">
        <v>8964</v>
      </c>
    </row>
    <row r="4600" spans="2:9" ht="15" customHeight="1" x14ac:dyDescent="0.25">
      <c r="B4600" s="55" t="s">
        <v>279</v>
      </c>
      <c r="C4600" s="46">
        <v>4588</v>
      </c>
      <c r="D4600" s="69" t="s">
        <v>29416</v>
      </c>
      <c r="E4600" s="51"/>
      <c r="F4600" s="114" t="str">
        <f>IF(INDEX(I.Facility.P1IDNumber,4588)="","",INDEX(I.Facility.P1IDNumber,4588))</f>
        <v/>
      </c>
      <c r="G4600" s="51"/>
      <c r="H4600" s="46" t="str">
        <f>IF(AND(I.Developer.P1=TRUE,I.Facility.P1FacilityCount&gt;=4588,F4600=""),"Incomplete","Complete")</f>
        <v>Complete</v>
      </c>
      <c r="I4600" s="48" t="s">
        <v>8965</v>
      </c>
    </row>
    <row r="4601" spans="2:9" ht="15" customHeight="1" x14ac:dyDescent="0.25">
      <c r="B4601" s="55" t="s">
        <v>279</v>
      </c>
      <c r="C4601" s="46">
        <v>4589</v>
      </c>
      <c r="D4601" s="69" t="s">
        <v>29416</v>
      </c>
      <c r="E4601" s="51"/>
      <c r="F4601" s="114" t="str">
        <f>IF(INDEX(I.Facility.P1IDNumber,4589)="","",INDEX(I.Facility.P1IDNumber,4589))</f>
        <v/>
      </c>
      <c r="G4601" s="51"/>
      <c r="H4601" s="46" t="str">
        <f>IF(AND(I.Developer.P1=TRUE,I.Facility.P1FacilityCount&gt;=4589,F4601=""),"Incomplete","Complete")</f>
        <v>Complete</v>
      </c>
      <c r="I4601" s="48" t="s">
        <v>8966</v>
      </c>
    </row>
    <row r="4602" spans="2:9" ht="15" customHeight="1" x14ac:dyDescent="0.25">
      <c r="B4602" s="55" t="s">
        <v>279</v>
      </c>
      <c r="C4602" s="46">
        <v>4590</v>
      </c>
      <c r="D4602" s="69" t="s">
        <v>29416</v>
      </c>
      <c r="E4602" s="51"/>
      <c r="F4602" s="114" t="str">
        <f>IF(INDEX(I.Facility.P1IDNumber,4590)="","",INDEX(I.Facility.P1IDNumber,4590))</f>
        <v/>
      </c>
      <c r="G4602" s="51"/>
      <c r="H4602" s="46" t="str">
        <f>IF(AND(I.Developer.P1=TRUE,I.Facility.P1FacilityCount&gt;=4590,F4602=""),"Incomplete","Complete")</f>
        <v>Complete</v>
      </c>
      <c r="I4602" s="48" t="s">
        <v>8967</v>
      </c>
    </row>
    <row r="4603" spans="2:9" ht="15" customHeight="1" x14ac:dyDescent="0.25">
      <c r="B4603" s="55" t="s">
        <v>279</v>
      </c>
      <c r="C4603" s="46">
        <v>4591</v>
      </c>
      <c r="D4603" s="69" t="s">
        <v>29416</v>
      </c>
      <c r="E4603" s="51"/>
      <c r="F4603" s="114" t="str">
        <f>IF(INDEX(I.Facility.P1IDNumber,4591)="","",INDEX(I.Facility.P1IDNumber,4591))</f>
        <v/>
      </c>
      <c r="G4603" s="51"/>
      <c r="H4603" s="46" t="str">
        <f>IF(AND(I.Developer.P1=TRUE,I.Facility.P1FacilityCount&gt;=4591,F4603=""),"Incomplete","Complete")</f>
        <v>Complete</v>
      </c>
      <c r="I4603" s="48" t="s">
        <v>8968</v>
      </c>
    </row>
    <row r="4604" spans="2:9" ht="15" customHeight="1" x14ac:dyDescent="0.25">
      <c r="B4604" s="55" t="s">
        <v>279</v>
      </c>
      <c r="C4604" s="46">
        <v>4592</v>
      </c>
      <c r="D4604" s="69" t="s">
        <v>29416</v>
      </c>
      <c r="E4604" s="51"/>
      <c r="F4604" s="114" t="str">
        <f>IF(INDEX(I.Facility.P1IDNumber,4592)="","",INDEX(I.Facility.P1IDNumber,4592))</f>
        <v/>
      </c>
      <c r="G4604" s="51"/>
      <c r="H4604" s="46" t="str">
        <f>IF(AND(I.Developer.P1=TRUE,I.Facility.P1FacilityCount&gt;=4592,F4604=""),"Incomplete","Complete")</f>
        <v>Complete</v>
      </c>
      <c r="I4604" s="48" t="s">
        <v>8969</v>
      </c>
    </row>
    <row r="4605" spans="2:9" ht="15" customHeight="1" x14ac:dyDescent="0.25">
      <c r="B4605" s="55" t="s">
        <v>279</v>
      </c>
      <c r="C4605" s="46">
        <v>4593</v>
      </c>
      <c r="D4605" s="69" t="s">
        <v>29416</v>
      </c>
      <c r="E4605" s="51"/>
      <c r="F4605" s="114" t="str">
        <f>IF(INDEX(I.Facility.P1IDNumber,4593)="","",INDEX(I.Facility.P1IDNumber,4593))</f>
        <v/>
      </c>
      <c r="G4605" s="51"/>
      <c r="H4605" s="46" t="str">
        <f>IF(AND(I.Developer.P1=TRUE,I.Facility.P1FacilityCount&gt;=4593,F4605=""),"Incomplete","Complete")</f>
        <v>Complete</v>
      </c>
      <c r="I4605" s="48" t="s">
        <v>8970</v>
      </c>
    </row>
    <row r="4606" spans="2:9" ht="15" customHeight="1" x14ac:dyDescent="0.25">
      <c r="B4606" s="55" t="s">
        <v>279</v>
      </c>
      <c r="C4606" s="46">
        <v>4594</v>
      </c>
      <c r="D4606" s="69" t="s">
        <v>29416</v>
      </c>
      <c r="E4606" s="51"/>
      <c r="F4606" s="114" t="str">
        <f>IF(INDEX(I.Facility.P1IDNumber,4594)="","",INDEX(I.Facility.P1IDNumber,4594))</f>
        <v/>
      </c>
      <c r="G4606" s="51"/>
      <c r="H4606" s="46" t="str">
        <f>IF(AND(I.Developer.P1=TRUE,I.Facility.P1FacilityCount&gt;=4594,F4606=""),"Incomplete","Complete")</f>
        <v>Complete</v>
      </c>
      <c r="I4606" s="48" t="s">
        <v>8971</v>
      </c>
    </row>
    <row r="4607" spans="2:9" ht="15" customHeight="1" x14ac:dyDescent="0.25">
      <c r="B4607" s="55" t="s">
        <v>279</v>
      </c>
      <c r="C4607" s="46">
        <v>4595</v>
      </c>
      <c r="D4607" s="69" t="s">
        <v>29416</v>
      </c>
      <c r="E4607" s="51"/>
      <c r="F4607" s="114" t="str">
        <f>IF(INDEX(I.Facility.P1IDNumber,4595)="","",INDEX(I.Facility.P1IDNumber,4595))</f>
        <v/>
      </c>
      <c r="G4607" s="51"/>
      <c r="H4607" s="46" t="str">
        <f>IF(AND(I.Developer.P1=TRUE,I.Facility.P1FacilityCount&gt;=4595,F4607=""),"Incomplete","Complete")</f>
        <v>Complete</v>
      </c>
      <c r="I4607" s="48" t="s">
        <v>8972</v>
      </c>
    </row>
    <row r="4608" spans="2:9" ht="15" customHeight="1" x14ac:dyDescent="0.25">
      <c r="B4608" s="55" t="s">
        <v>279</v>
      </c>
      <c r="C4608" s="46">
        <v>4596</v>
      </c>
      <c r="D4608" s="69" t="s">
        <v>29416</v>
      </c>
      <c r="E4608" s="51"/>
      <c r="F4608" s="114" t="str">
        <f>IF(INDEX(I.Facility.P1IDNumber,4596)="","",INDEX(I.Facility.P1IDNumber,4596))</f>
        <v/>
      </c>
      <c r="G4608" s="51"/>
      <c r="H4608" s="46" t="str">
        <f>IF(AND(I.Developer.P1=TRUE,I.Facility.P1FacilityCount&gt;=4596,F4608=""),"Incomplete","Complete")</f>
        <v>Complete</v>
      </c>
      <c r="I4608" s="48" t="s">
        <v>8973</v>
      </c>
    </row>
    <row r="4609" spans="2:9" ht="15" customHeight="1" x14ac:dyDescent="0.25">
      <c r="B4609" s="55" t="s">
        <v>279</v>
      </c>
      <c r="C4609" s="46">
        <v>4597</v>
      </c>
      <c r="D4609" s="69" t="s">
        <v>29416</v>
      </c>
      <c r="E4609" s="51"/>
      <c r="F4609" s="114" t="str">
        <f>IF(INDEX(I.Facility.P1IDNumber,4597)="","",INDEX(I.Facility.P1IDNumber,4597))</f>
        <v/>
      </c>
      <c r="G4609" s="51"/>
      <c r="H4609" s="46" t="str">
        <f>IF(AND(I.Developer.P1=TRUE,I.Facility.P1FacilityCount&gt;=4597,F4609=""),"Incomplete","Complete")</f>
        <v>Complete</v>
      </c>
      <c r="I4609" s="48" t="s">
        <v>8974</v>
      </c>
    </row>
    <row r="4610" spans="2:9" ht="15" customHeight="1" x14ac:dyDescent="0.25">
      <c r="B4610" s="55" t="s">
        <v>279</v>
      </c>
      <c r="C4610" s="46">
        <v>4598</v>
      </c>
      <c r="D4610" s="69" t="s">
        <v>29416</v>
      </c>
      <c r="E4610" s="51"/>
      <c r="F4610" s="114" t="str">
        <f>IF(INDEX(I.Facility.P1IDNumber,4598)="","",INDEX(I.Facility.P1IDNumber,4598))</f>
        <v/>
      </c>
      <c r="G4610" s="51"/>
      <c r="H4610" s="46" t="str">
        <f>IF(AND(I.Developer.P1=TRUE,I.Facility.P1FacilityCount&gt;=4598,F4610=""),"Incomplete","Complete")</f>
        <v>Complete</v>
      </c>
      <c r="I4610" s="48" t="s">
        <v>8975</v>
      </c>
    </row>
    <row r="4611" spans="2:9" ht="15" customHeight="1" x14ac:dyDescent="0.25">
      <c r="B4611" s="55" t="s">
        <v>279</v>
      </c>
      <c r="C4611" s="46">
        <v>4599</v>
      </c>
      <c r="D4611" s="69" t="s">
        <v>29416</v>
      </c>
      <c r="E4611" s="51"/>
      <c r="F4611" s="114" t="str">
        <f>IF(INDEX(I.Facility.P1IDNumber,4599)="","",INDEX(I.Facility.P1IDNumber,4599))</f>
        <v/>
      </c>
      <c r="G4611" s="51"/>
      <c r="H4611" s="46" t="str">
        <f>IF(AND(I.Developer.P1=TRUE,I.Facility.P1FacilityCount&gt;=4599,F4611=""),"Incomplete","Complete")</f>
        <v>Complete</v>
      </c>
      <c r="I4611" s="48" t="s">
        <v>8976</v>
      </c>
    </row>
    <row r="4612" spans="2:9" ht="15" customHeight="1" x14ac:dyDescent="0.25">
      <c r="B4612" s="55" t="s">
        <v>279</v>
      </c>
      <c r="C4612" s="46">
        <v>4600</v>
      </c>
      <c r="D4612" s="69" t="s">
        <v>29416</v>
      </c>
      <c r="E4612" s="51"/>
      <c r="F4612" s="114" t="str">
        <f>IF(INDEX(I.Facility.P1IDNumber,4600)="","",INDEX(I.Facility.P1IDNumber,4600))</f>
        <v/>
      </c>
      <c r="G4612" s="51"/>
      <c r="H4612" s="46" t="str">
        <f>IF(AND(I.Developer.P1=TRUE,I.Facility.P1FacilityCount&gt;=4600,F4612=""),"Incomplete","Complete")</f>
        <v>Complete</v>
      </c>
      <c r="I4612" s="48" t="s">
        <v>8977</v>
      </c>
    </row>
    <row r="4613" spans="2:9" ht="15" customHeight="1" x14ac:dyDescent="0.25">
      <c r="B4613" s="55" t="s">
        <v>279</v>
      </c>
      <c r="C4613" s="46">
        <v>4601</v>
      </c>
      <c r="D4613" s="69" t="s">
        <v>29416</v>
      </c>
      <c r="E4613" s="51"/>
      <c r="F4613" s="114" t="str">
        <f>IF(INDEX(I.Facility.P1IDNumber,4601)="","",INDEX(I.Facility.P1IDNumber,4601))</f>
        <v/>
      </c>
      <c r="G4613" s="51"/>
      <c r="H4613" s="46" t="str">
        <f>IF(AND(I.Developer.P1=TRUE,I.Facility.P1FacilityCount&gt;=4601,F4613=""),"Incomplete","Complete")</f>
        <v>Complete</v>
      </c>
      <c r="I4613" s="48" t="s">
        <v>8978</v>
      </c>
    </row>
    <row r="4614" spans="2:9" ht="15" customHeight="1" x14ac:dyDescent="0.25">
      <c r="B4614" s="55" t="s">
        <v>279</v>
      </c>
      <c r="C4614" s="46">
        <v>4602</v>
      </c>
      <c r="D4614" s="69" t="s">
        <v>29416</v>
      </c>
      <c r="E4614" s="51"/>
      <c r="F4614" s="114" t="str">
        <f>IF(INDEX(I.Facility.P1IDNumber,4602)="","",INDEX(I.Facility.P1IDNumber,4602))</f>
        <v/>
      </c>
      <c r="G4614" s="51"/>
      <c r="H4614" s="46" t="str">
        <f>IF(AND(I.Developer.P1=TRUE,I.Facility.P1FacilityCount&gt;=4602,F4614=""),"Incomplete","Complete")</f>
        <v>Complete</v>
      </c>
      <c r="I4614" s="48" t="s">
        <v>8979</v>
      </c>
    </row>
    <row r="4615" spans="2:9" ht="15" customHeight="1" x14ac:dyDescent="0.25">
      <c r="B4615" s="55" t="s">
        <v>279</v>
      </c>
      <c r="C4615" s="46">
        <v>4603</v>
      </c>
      <c r="D4615" s="69" t="s">
        <v>29416</v>
      </c>
      <c r="E4615" s="51"/>
      <c r="F4615" s="114" t="str">
        <f>IF(INDEX(I.Facility.P1IDNumber,4603)="","",INDEX(I.Facility.P1IDNumber,4603))</f>
        <v/>
      </c>
      <c r="G4615" s="51"/>
      <c r="H4615" s="46" t="str">
        <f>IF(AND(I.Developer.P1=TRUE,I.Facility.P1FacilityCount&gt;=4603,F4615=""),"Incomplete","Complete")</f>
        <v>Complete</v>
      </c>
      <c r="I4615" s="48" t="s">
        <v>8980</v>
      </c>
    </row>
    <row r="4616" spans="2:9" ht="15" customHeight="1" x14ac:dyDescent="0.25">
      <c r="B4616" s="55" t="s">
        <v>279</v>
      </c>
      <c r="C4616" s="46">
        <v>4604</v>
      </c>
      <c r="D4616" s="69" t="s">
        <v>29416</v>
      </c>
      <c r="E4616" s="51"/>
      <c r="F4616" s="114" t="str">
        <f>IF(INDEX(I.Facility.P1IDNumber,4604)="","",INDEX(I.Facility.P1IDNumber,4604))</f>
        <v/>
      </c>
      <c r="G4616" s="51"/>
      <c r="H4616" s="46" t="str">
        <f>IF(AND(I.Developer.P1=TRUE,I.Facility.P1FacilityCount&gt;=4604,F4616=""),"Incomplete","Complete")</f>
        <v>Complete</v>
      </c>
      <c r="I4616" s="48" t="s">
        <v>8981</v>
      </c>
    </row>
    <row r="4617" spans="2:9" ht="15" customHeight="1" x14ac:dyDescent="0.25">
      <c r="B4617" s="55" t="s">
        <v>279</v>
      </c>
      <c r="C4617" s="46">
        <v>4605</v>
      </c>
      <c r="D4617" s="69" t="s">
        <v>29416</v>
      </c>
      <c r="E4617" s="51"/>
      <c r="F4617" s="114" t="str">
        <f>IF(INDEX(I.Facility.P1IDNumber,4605)="","",INDEX(I.Facility.P1IDNumber,4605))</f>
        <v/>
      </c>
      <c r="G4617" s="51"/>
      <c r="H4617" s="46" t="str">
        <f>IF(AND(I.Developer.P1=TRUE,I.Facility.P1FacilityCount&gt;=4605,F4617=""),"Incomplete","Complete")</f>
        <v>Complete</v>
      </c>
      <c r="I4617" s="48" t="s">
        <v>8982</v>
      </c>
    </row>
    <row r="4618" spans="2:9" ht="15" customHeight="1" x14ac:dyDescent="0.25">
      <c r="B4618" s="55" t="s">
        <v>279</v>
      </c>
      <c r="C4618" s="46">
        <v>4606</v>
      </c>
      <c r="D4618" s="69" t="s">
        <v>29416</v>
      </c>
      <c r="E4618" s="51"/>
      <c r="F4618" s="114" t="str">
        <f>IF(INDEX(I.Facility.P1IDNumber,4606)="","",INDEX(I.Facility.P1IDNumber,4606))</f>
        <v/>
      </c>
      <c r="G4618" s="51"/>
      <c r="H4618" s="46" t="str">
        <f>IF(AND(I.Developer.P1=TRUE,I.Facility.P1FacilityCount&gt;=4606,F4618=""),"Incomplete","Complete")</f>
        <v>Complete</v>
      </c>
      <c r="I4618" s="48" t="s">
        <v>8983</v>
      </c>
    </row>
    <row r="4619" spans="2:9" ht="15" customHeight="1" x14ac:dyDescent="0.25">
      <c r="B4619" s="55" t="s">
        <v>279</v>
      </c>
      <c r="C4619" s="46">
        <v>4607</v>
      </c>
      <c r="D4619" s="69" t="s">
        <v>29416</v>
      </c>
      <c r="E4619" s="51"/>
      <c r="F4619" s="114" t="str">
        <f>IF(INDEX(I.Facility.P1IDNumber,4607)="","",INDEX(I.Facility.P1IDNumber,4607))</f>
        <v/>
      </c>
      <c r="G4619" s="51"/>
      <c r="H4619" s="46" t="str">
        <f>IF(AND(I.Developer.P1=TRUE,I.Facility.P1FacilityCount&gt;=4607,F4619=""),"Incomplete","Complete")</f>
        <v>Complete</v>
      </c>
      <c r="I4619" s="48" t="s">
        <v>8984</v>
      </c>
    </row>
    <row r="4620" spans="2:9" ht="15" customHeight="1" x14ac:dyDescent="0.25">
      <c r="B4620" s="55" t="s">
        <v>279</v>
      </c>
      <c r="C4620" s="46">
        <v>4608</v>
      </c>
      <c r="D4620" s="69" t="s">
        <v>29416</v>
      </c>
      <c r="E4620" s="51"/>
      <c r="F4620" s="114" t="str">
        <f>IF(INDEX(I.Facility.P1IDNumber,4608)="","",INDEX(I.Facility.P1IDNumber,4608))</f>
        <v/>
      </c>
      <c r="G4620" s="51"/>
      <c r="H4620" s="46" t="str">
        <f>IF(AND(I.Developer.P1=TRUE,I.Facility.P1FacilityCount&gt;=4608,F4620=""),"Incomplete","Complete")</f>
        <v>Complete</v>
      </c>
      <c r="I4620" s="48" t="s">
        <v>8985</v>
      </c>
    </row>
    <row r="4621" spans="2:9" ht="15" customHeight="1" x14ac:dyDescent="0.25">
      <c r="B4621" s="55" t="s">
        <v>279</v>
      </c>
      <c r="C4621" s="46">
        <v>4609</v>
      </c>
      <c r="D4621" s="69" t="s">
        <v>29416</v>
      </c>
      <c r="E4621" s="51"/>
      <c r="F4621" s="114" t="str">
        <f>IF(INDEX(I.Facility.P1IDNumber,4609)="","",INDEX(I.Facility.P1IDNumber,4609))</f>
        <v/>
      </c>
      <c r="G4621" s="51"/>
      <c r="H4621" s="46" t="str">
        <f>IF(AND(I.Developer.P1=TRUE,I.Facility.P1FacilityCount&gt;=4609,F4621=""),"Incomplete","Complete")</f>
        <v>Complete</v>
      </c>
      <c r="I4621" s="48" t="s">
        <v>8986</v>
      </c>
    </row>
    <row r="4622" spans="2:9" ht="15" customHeight="1" x14ac:dyDescent="0.25">
      <c r="B4622" s="55" t="s">
        <v>279</v>
      </c>
      <c r="C4622" s="46">
        <v>4610</v>
      </c>
      <c r="D4622" s="69" t="s">
        <v>29416</v>
      </c>
      <c r="E4622" s="51"/>
      <c r="F4622" s="114" t="str">
        <f>IF(INDEX(I.Facility.P1IDNumber,4610)="","",INDEX(I.Facility.P1IDNumber,4610))</f>
        <v/>
      </c>
      <c r="G4622" s="51"/>
      <c r="H4622" s="46" t="str">
        <f>IF(AND(I.Developer.P1=TRUE,I.Facility.P1FacilityCount&gt;=4610,F4622=""),"Incomplete","Complete")</f>
        <v>Complete</v>
      </c>
      <c r="I4622" s="48" t="s">
        <v>8987</v>
      </c>
    </row>
    <row r="4623" spans="2:9" ht="15" customHeight="1" x14ac:dyDescent="0.25">
      <c r="B4623" s="55" t="s">
        <v>279</v>
      </c>
      <c r="C4623" s="46">
        <v>4611</v>
      </c>
      <c r="D4623" s="69" t="s">
        <v>29416</v>
      </c>
      <c r="E4623" s="51"/>
      <c r="F4623" s="114" t="str">
        <f>IF(INDEX(I.Facility.P1IDNumber,4611)="","",INDEX(I.Facility.P1IDNumber,4611))</f>
        <v/>
      </c>
      <c r="G4623" s="51"/>
      <c r="H4623" s="46" t="str">
        <f>IF(AND(I.Developer.P1=TRUE,I.Facility.P1FacilityCount&gt;=4611,F4623=""),"Incomplete","Complete")</f>
        <v>Complete</v>
      </c>
      <c r="I4623" s="48" t="s">
        <v>8988</v>
      </c>
    </row>
    <row r="4624" spans="2:9" ht="15" customHeight="1" x14ac:dyDescent="0.25">
      <c r="B4624" s="55" t="s">
        <v>279</v>
      </c>
      <c r="C4624" s="46">
        <v>4612</v>
      </c>
      <c r="D4624" s="69" t="s">
        <v>29416</v>
      </c>
      <c r="E4624" s="51"/>
      <c r="F4624" s="114" t="str">
        <f>IF(INDEX(I.Facility.P1IDNumber,4612)="","",INDEX(I.Facility.P1IDNumber,4612))</f>
        <v/>
      </c>
      <c r="G4624" s="51"/>
      <c r="H4624" s="46" t="str">
        <f>IF(AND(I.Developer.P1=TRUE,I.Facility.P1FacilityCount&gt;=4612,F4624=""),"Incomplete","Complete")</f>
        <v>Complete</v>
      </c>
      <c r="I4624" s="48" t="s">
        <v>8989</v>
      </c>
    </row>
    <row r="4625" spans="2:9" ht="15" customHeight="1" x14ac:dyDescent="0.25">
      <c r="B4625" s="55" t="s">
        <v>279</v>
      </c>
      <c r="C4625" s="46">
        <v>4613</v>
      </c>
      <c r="D4625" s="69" t="s">
        <v>29416</v>
      </c>
      <c r="E4625" s="51"/>
      <c r="F4625" s="114" t="str">
        <f>IF(INDEX(I.Facility.P1IDNumber,4613)="","",INDEX(I.Facility.P1IDNumber,4613))</f>
        <v/>
      </c>
      <c r="G4625" s="51"/>
      <c r="H4625" s="46" t="str">
        <f>IF(AND(I.Developer.P1=TRUE,I.Facility.P1FacilityCount&gt;=4613,F4625=""),"Incomplete","Complete")</f>
        <v>Complete</v>
      </c>
      <c r="I4625" s="48" t="s">
        <v>8990</v>
      </c>
    </row>
    <row r="4626" spans="2:9" ht="15" customHeight="1" x14ac:dyDescent="0.25">
      <c r="B4626" s="55" t="s">
        <v>279</v>
      </c>
      <c r="C4626" s="46">
        <v>4614</v>
      </c>
      <c r="D4626" s="69" t="s">
        <v>29416</v>
      </c>
      <c r="E4626" s="51"/>
      <c r="F4626" s="114" t="str">
        <f>IF(INDEX(I.Facility.P1IDNumber,4614)="","",INDEX(I.Facility.P1IDNumber,4614))</f>
        <v/>
      </c>
      <c r="G4626" s="51"/>
      <c r="H4626" s="46" t="str">
        <f>IF(AND(I.Developer.P1=TRUE,I.Facility.P1FacilityCount&gt;=4614,F4626=""),"Incomplete","Complete")</f>
        <v>Complete</v>
      </c>
      <c r="I4626" s="48" t="s">
        <v>8991</v>
      </c>
    </row>
    <row r="4627" spans="2:9" ht="15" customHeight="1" x14ac:dyDescent="0.25">
      <c r="B4627" s="55" t="s">
        <v>279</v>
      </c>
      <c r="C4627" s="46">
        <v>4615</v>
      </c>
      <c r="D4627" s="69" t="s">
        <v>29416</v>
      </c>
      <c r="E4627" s="51"/>
      <c r="F4627" s="114" t="str">
        <f>IF(INDEX(I.Facility.P1IDNumber,4615)="","",INDEX(I.Facility.P1IDNumber,4615))</f>
        <v/>
      </c>
      <c r="G4627" s="51"/>
      <c r="H4627" s="46" t="str">
        <f>IF(AND(I.Developer.P1=TRUE,I.Facility.P1FacilityCount&gt;=4615,F4627=""),"Incomplete","Complete")</f>
        <v>Complete</v>
      </c>
      <c r="I4627" s="48" t="s">
        <v>8992</v>
      </c>
    </row>
    <row r="4628" spans="2:9" ht="15" customHeight="1" x14ac:dyDescent="0.25">
      <c r="B4628" s="55" t="s">
        <v>279</v>
      </c>
      <c r="C4628" s="46">
        <v>4616</v>
      </c>
      <c r="D4628" s="69" t="s">
        <v>29416</v>
      </c>
      <c r="E4628" s="51"/>
      <c r="F4628" s="114" t="str">
        <f>IF(INDEX(I.Facility.P1IDNumber,4616)="","",INDEX(I.Facility.P1IDNumber,4616))</f>
        <v/>
      </c>
      <c r="G4628" s="51"/>
      <c r="H4628" s="46" t="str">
        <f>IF(AND(I.Developer.P1=TRUE,I.Facility.P1FacilityCount&gt;=4616,F4628=""),"Incomplete","Complete")</f>
        <v>Complete</v>
      </c>
      <c r="I4628" s="48" t="s">
        <v>8993</v>
      </c>
    </row>
    <row r="4629" spans="2:9" ht="15" customHeight="1" x14ac:dyDescent="0.25">
      <c r="B4629" s="55" t="s">
        <v>279</v>
      </c>
      <c r="C4629" s="46">
        <v>4617</v>
      </c>
      <c r="D4629" s="69" t="s">
        <v>29416</v>
      </c>
      <c r="E4629" s="51"/>
      <c r="F4629" s="114" t="str">
        <f>IF(INDEX(I.Facility.P1IDNumber,4617)="","",INDEX(I.Facility.P1IDNumber,4617))</f>
        <v/>
      </c>
      <c r="G4629" s="51"/>
      <c r="H4629" s="46" t="str">
        <f>IF(AND(I.Developer.P1=TRUE,I.Facility.P1FacilityCount&gt;=4617,F4629=""),"Incomplete","Complete")</f>
        <v>Complete</v>
      </c>
      <c r="I4629" s="48" t="s">
        <v>8994</v>
      </c>
    </row>
    <row r="4630" spans="2:9" ht="15" customHeight="1" x14ac:dyDescent="0.25">
      <c r="B4630" s="55" t="s">
        <v>279</v>
      </c>
      <c r="C4630" s="46">
        <v>4618</v>
      </c>
      <c r="D4630" s="69" t="s">
        <v>29416</v>
      </c>
      <c r="E4630" s="51"/>
      <c r="F4630" s="114" t="str">
        <f>IF(INDEX(I.Facility.P1IDNumber,4618)="","",INDEX(I.Facility.P1IDNumber,4618))</f>
        <v/>
      </c>
      <c r="G4630" s="51"/>
      <c r="H4630" s="46" t="str">
        <f>IF(AND(I.Developer.P1=TRUE,I.Facility.P1FacilityCount&gt;=4618,F4630=""),"Incomplete","Complete")</f>
        <v>Complete</v>
      </c>
      <c r="I4630" s="48" t="s">
        <v>8995</v>
      </c>
    </row>
    <row r="4631" spans="2:9" ht="15" customHeight="1" x14ac:dyDescent="0.25">
      <c r="B4631" s="55" t="s">
        <v>279</v>
      </c>
      <c r="C4631" s="46">
        <v>4619</v>
      </c>
      <c r="D4631" s="69" t="s">
        <v>29416</v>
      </c>
      <c r="E4631" s="51"/>
      <c r="F4631" s="114" t="str">
        <f>IF(INDEX(I.Facility.P1IDNumber,4619)="","",INDEX(I.Facility.P1IDNumber,4619))</f>
        <v/>
      </c>
      <c r="G4631" s="51"/>
      <c r="H4631" s="46" t="str">
        <f>IF(AND(I.Developer.P1=TRUE,I.Facility.P1FacilityCount&gt;=4619,F4631=""),"Incomplete","Complete")</f>
        <v>Complete</v>
      </c>
      <c r="I4631" s="48" t="s">
        <v>8996</v>
      </c>
    </row>
    <row r="4632" spans="2:9" ht="15" customHeight="1" x14ac:dyDescent="0.25">
      <c r="B4632" s="55" t="s">
        <v>279</v>
      </c>
      <c r="C4632" s="46">
        <v>4620</v>
      </c>
      <c r="D4632" s="69" t="s">
        <v>29416</v>
      </c>
      <c r="E4632" s="51"/>
      <c r="F4632" s="114" t="str">
        <f>IF(INDEX(I.Facility.P1IDNumber,4620)="","",INDEX(I.Facility.P1IDNumber,4620))</f>
        <v/>
      </c>
      <c r="G4632" s="51"/>
      <c r="H4632" s="46" t="str">
        <f>IF(AND(I.Developer.P1=TRUE,I.Facility.P1FacilityCount&gt;=4620,F4632=""),"Incomplete","Complete")</f>
        <v>Complete</v>
      </c>
      <c r="I4632" s="48" t="s">
        <v>8997</v>
      </c>
    </row>
    <row r="4633" spans="2:9" ht="15" customHeight="1" x14ac:dyDescent="0.25">
      <c r="B4633" s="55" t="s">
        <v>279</v>
      </c>
      <c r="C4633" s="46">
        <v>4621</v>
      </c>
      <c r="D4633" s="69" t="s">
        <v>29416</v>
      </c>
      <c r="E4633" s="51"/>
      <c r="F4633" s="114" t="str">
        <f>IF(INDEX(I.Facility.P1IDNumber,4621)="","",INDEX(I.Facility.P1IDNumber,4621))</f>
        <v/>
      </c>
      <c r="G4633" s="51"/>
      <c r="H4633" s="46" t="str">
        <f>IF(AND(I.Developer.P1=TRUE,I.Facility.P1FacilityCount&gt;=4621,F4633=""),"Incomplete","Complete")</f>
        <v>Complete</v>
      </c>
      <c r="I4633" s="48" t="s">
        <v>8998</v>
      </c>
    </row>
    <row r="4634" spans="2:9" ht="15" customHeight="1" x14ac:dyDescent="0.25">
      <c r="B4634" s="55" t="s">
        <v>279</v>
      </c>
      <c r="C4634" s="46">
        <v>4622</v>
      </c>
      <c r="D4634" s="69" t="s">
        <v>29416</v>
      </c>
      <c r="E4634" s="51"/>
      <c r="F4634" s="114" t="str">
        <f>IF(INDEX(I.Facility.P1IDNumber,4622)="","",INDEX(I.Facility.P1IDNumber,4622))</f>
        <v/>
      </c>
      <c r="G4634" s="51"/>
      <c r="H4634" s="46" t="str">
        <f>IF(AND(I.Developer.P1=TRUE,I.Facility.P1FacilityCount&gt;=4622,F4634=""),"Incomplete","Complete")</f>
        <v>Complete</v>
      </c>
      <c r="I4634" s="48" t="s">
        <v>8999</v>
      </c>
    </row>
    <row r="4635" spans="2:9" ht="15" customHeight="1" x14ac:dyDescent="0.25">
      <c r="B4635" s="55" t="s">
        <v>279</v>
      </c>
      <c r="C4635" s="46">
        <v>4623</v>
      </c>
      <c r="D4635" s="69" t="s">
        <v>29416</v>
      </c>
      <c r="E4635" s="51"/>
      <c r="F4635" s="114" t="str">
        <f>IF(INDEX(I.Facility.P1IDNumber,4623)="","",INDEX(I.Facility.P1IDNumber,4623))</f>
        <v/>
      </c>
      <c r="G4635" s="51"/>
      <c r="H4635" s="46" t="str">
        <f>IF(AND(I.Developer.P1=TRUE,I.Facility.P1FacilityCount&gt;=4623,F4635=""),"Incomplete","Complete")</f>
        <v>Complete</v>
      </c>
      <c r="I4635" s="48" t="s">
        <v>9000</v>
      </c>
    </row>
    <row r="4636" spans="2:9" ht="15" customHeight="1" x14ac:dyDescent="0.25">
      <c r="B4636" s="55" t="s">
        <v>279</v>
      </c>
      <c r="C4636" s="46">
        <v>4624</v>
      </c>
      <c r="D4636" s="69" t="s">
        <v>29416</v>
      </c>
      <c r="E4636" s="51"/>
      <c r="F4636" s="114" t="str">
        <f>IF(INDEX(I.Facility.P1IDNumber,4624)="","",INDEX(I.Facility.P1IDNumber,4624))</f>
        <v/>
      </c>
      <c r="G4636" s="51"/>
      <c r="H4636" s="46" t="str">
        <f>IF(AND(I.Developer.P1=TRUE,I.Facility.P1FacilityCount&gt;=4624,F4636=""),"Incomplete","Complete")</f>
        <v>Complete</v>
      </c>
      <c r="I4636" s="48" t="s">
        <v>9001</v>
      </c>
    </row>
    <row r="4637" spans="2:9" ht="15" customHeight="1" x14ac:dyDescent="0.25">
      <c r="B4637" s="55" t="s">
        <v>279</v>
      </c>
      <c r="C4637" s="46">
        <v>4625</v>
      </c>
      <c r="D4637" s="69" t="s">
        <v>29416</v>
      </c>
      <c r="E4637" s="51"/>
      <c r="F4637" s="114" t="str">
        <f>IF(INDEX(I.Facility.P1IDNumber,4625)="","",INDEX(I.Facility.P1IDNumber,4625))</f>
        <v/>
      </c>
      <c r="G4637" s="51"/>
      <c r="H4637" s="46" t="str">
        <f>IF(AND(I.Developer.P1=TRUE,I.Facility.P1FacilityCount&gt;=4625,F4637=""),"Incomplete","Complete")</f>
        <v>Complete</v>
      </c>
      <c r="I4637" s="48" t="s">
        <v>9002</v>
      </c>
    </row>
    <row r="4638" spans="2:9" ht="15" customHeight="1" x14ac:dyDescent="0.25">
      <c r="B4638" s="55" t="s">
        <v>279</v>
      </c>
      <c r="C4638" s="46">
        <v>4626</v>
      </c>
      <c r="D4638" s="69" t="s">
        <v>29416</v>
      </c>
      <c r="E4638" s="51"/>
      <c r="F4638" s="114" t="str">
        <f>IF(INDEX(I.Facility.P1IDNumber,4626)="","",INDEX(I.Facility.P1IDNumber,4626))</f>
        <v/>
      </c>
      <c r="G4638" s="51"/>
      <c r="H4638" s="46" t="str">
        <f>IF(AND(I.Developer.P1=TRUE,I.Facility.P1FacilityCount&gt;=4626,F4638=""),"Incomplete","Complete")</f>
        <v>Complete</v>
      </c>
      <c r="I4638" s="48" t="s">
        <v>9003</v>
      </c>
    </row>
    <row r="4639" spans="2:9" ht="15" customHeight="1" x14ac:dyDescent="0.25">
      <c r="B4639" s="55" t="s">
        <v>279</v>
      </c>
      <c r="C4639" s="46">
        <v>4627</v>
      </c>
      <c r="D4639" s="69" t="s">
        <v>29416</v>
      </c>
      <c r="E4639" s="51"/>
      <c r="F4639" s="114" t="str">
        <f>IF(INDEX(I.Facility.P1IDNumber,4627)="","",INDEX(I.Facility.P1IDNumber,4627))</f>
        <v/>
      </c>
      <c r="G4639" s="51"/>
      <c r="H4639" s="46" t="str">
        <f>IF(AND(I.Developer.P1=TRUE,I.Facility.P1FacilityCount&gt;=4627,F4639=""),"Incomplete","Complete")</f>
        <v>Complete</v>
      </c>
      <c r="I4639" s="48" t="s">
        <v>9004</v>
      </c>
    </row>
    <row r="4640" spans="2:9" ht="15" customHeight="1" x14ac:dyDescent="0.25">
      <c r="B4640" s="55" t="s">
        <v>279</v>
      </c>
      <c r="C4640" s="46">
        <v>4628</v>
      </c>
      <c r="D4640" s="69" t="s">
        <v>29416</v>
      </c>
      <c r="E4640" s="51"/>
      <c r="F4640" s="114" t="str">
        <f>IF(INDEX(I.Facility.P1IDNumber,4628)="","",INDEX(I.Facility.P1IDNumber,4628))</f>
        <v/>
      </c>
      <c r="G4640" s="51"/>
      <c r="H4640" s="46" t="str">
        <f>IF(AND(I.Developer.P1=TRUE,I.Facility.P1FacilityCount&gt;=4628,F4640=""),"Incomplete","Complete")</f>
        <v>Complete</v>
      </c>
      <c r="I4640" s="48" t="s">
        <v>9005</v>
      </c>
    </row>
    <row r="4641" spans="2:9" ht="15" customHeight="1" x14ac:dyDescent="0.25">
      <c r="B4641" s="55" t="s">
        <v>279</v>
      </c>
      <c r="C4641" s="46">
        <v>4629</v>
      </c>
      <c r="D4641" s="69" t="s">
        <v>29416</v>
      </c>
      <c r="E4641" s="51"/>
      <c r="F4641" s="114" t="str">
        <f>IF(INDEX(I.Facility.P1IDNumber,4629)="","",INDEX(I.Facility.P1IDNumber,4629))</f>
        <v/>
      </c>
      <c r="G4641" s="51"/>
      <c r="H4641" s="46" t="str">
        <f>IF(AND(I.Developer.P1=TRUE,I.Facility.P1FacilityCount&gt;=4629,F4641=""),"Incomplete","Complete")</f>
        <v>Complete</v>
      </c>
      <c r="I4641" s="48" t="s">
        <v>9006</v>
      </c>
    </row>
    <row r="4642" spans="2:9" ht="15" customHeight="1" x14ac:dyDescent="0.25">
      <c r="B4642" s="55" t="s">
        <v>279</v>
      </c>
      <c r="C4642" s="46">
        <v>4630</v>
      </c>
      <c r="D4642" s="69" t="s">
        <v>29416</v>
      </c>
      <c r="E4642" s="51"/>
      <c r="F4642" s="114" t="str">
        <f>IF(INDEX(I.Facility.P1IDNumber,4630)="","",INDEX(I.Facility.P1IDNumber,4630))</f>
        <v/>
      </c>
      <c r="G4642" s="51"/>
      <c r="H4642" s="46" t="str">
        <f>IF(AND(I.Developer.P1=TRUE,I.Facility.P1FacilityCount&gt;=4630,F4642=""),"Incomplete","Complete")</f>
        <v>Complete</v>
      </c>
      <c r="I4642" s="48" t="s">
        <v>9007</v>
      </c>
    </row>
    <row r="4643" spans="2:9" ht="15" customHeight="1" x14ac:dyDescent="0.25">
      <c r="B4643" s="55" t="s">
        <v>279</v>
      </c>
      <c r="C4643" s="46">
        <v>4631</v>
      </c>
      <c r="D4643" s="69" t="s">
        <v>29416</v>
      </c>
      <c r="E4643" s="51"/>
      <c r="F4643" s="114" t="str">
        <f>IF(INDEX(I.Facility.P1IDNumber,4631)="","",INDEX(I.Facility.P1IDNumber,4631))</f>
        <v/>
      </c>
      <c r="G4643" s="51"/>
      <c r="H4643" s="46" t="str">
        <f>IF(AND(I.Developer.P1=TRUE,I.Facility.P1FacilityCount&gt;=4631,F4643=""),"Incomplete","Complete")</f>
        <v>Complete</v>
      </c>
      <c r="I4643" s="48" t="s">
        <v>9008</v>
      </c>
    </row>
    <row r="4644" spans="2:9" ht="15" customHeight="1" x14ac:dyDescent="0.25">
      <c r="B4644" s="55" t="s">
        <v>279</v>
      </c>
      <c r="C4644" s="46">
        <v>4632</v>
      </c>
      <c r="D4644" s="69" t="s">
        <v>29416</v>
      </c>
      <c r="E4644" s="51"/>
      <c r="F4644" s="114" t="str">
        <f>IF(INDEX(I.Facility.P1IDNumber,4632)="","",INDEX(I.Facility.P1IDNumber,4632))</f>
        <v/>
      </c>
      <c r="G4644" s="51"/>
      <c r="H4644" s="46" t="str">
        <f>IF(AND(I.Developer.P1=TRUE,I.Facility.P1FacilityCount&gt;=4632,F4644=""),"Incomplete","Complete")</f>
        <v>Complete</v>
      </c>
      <c r="I4644" s="48" t="s">
        <v>9009</v>
      </c>
    </row>
    <row r="4645" spans="2:9" ht="15" customHeight="1" x14ac:dyDescent="0.25">
      <c r="B4645" s="55" t="s">
        <v>279</v>
      </c>
      <c r="C4645" s="46">
        <v>4633</v>
      </c>
      <c r="D4645" s="69" t="s">
        <v>29416</v>
      </c>
      <c r="E4645" s="51"/>
      <c r="F4645" s="114" t="str">
        <f>IF(INDEX(I.Facility.P1IDNumber,4633)="","",INDEX(I.Facility.P1IDNumber,4633))</f>
        <v/>
      </c>
      <c r="G4645" s="51"/>
      <c r="H4645" s="46" t="str">
        <f>IF(AND(I.Developer.P1=TRUE,I.Facility.P1FacilityCount&gt;=4633,F4645=""),"Incomplete","Complete")</f>
        <v>Complete</v>
      </c>
      <c r="I4645" s="48" t="s">
        <v>9010</v>
      </c>
    </row>
    <row r="4646" spans="2:9" ht="15" customHeight="1" x14ac:dyDescent="0.25">
      <c r="B4646" s="55" t="s">
        <v>279</v>
      </c>
      <c r="C4646" s="46">
        <v>4634</v>
      </c>
      <c r="D4646" s="69" t="s">
        <v>29416</v>
      </c>
      <c r="E4646" s="51"/>
      <c r="F4646" s="114" t="str">
        <f>IF(INDEX(I.Facility.P1IDNumber,4634)="","",INDEX(I.Facility.P1IDNumber,4634))</f>
        <v/>
      </c>
      <c r="G4646" s="51"/>
      <c r="H4646" s="46" t="str">
        <f>IF(AND(I.Developer.P1=TRUE,I.Facility.P1FacilityCount&gt;=4634,F4646=""),"Incomplete","Complete")</f>
        <v>Complete</v>
      </c>
      <c r="I4646" s="48" t="s">
        <v>9011</v>
      </c>
    </row>
    <row r="4647" spans="2:9" ht="15" customHeight="1" x14ac:dyDescent="0.25">
      <c r="B4647" s="55" t="s">
        <v>279</v>
      </c>
      <c r="C4647" s="46">
        <v>4635</v>
      </c>
      <c r="D4647" s="69" t="s">
        <v>29416</v>
      </c>
      <c r="E4647" s="51"/>
      <c r="F4647" s="114" t="str">
        <f>IF(INDEX(I.Facility.P1IDNumber,4635)="","",INDEX(I.Facility.P1IDNumber,4635))</f>
        <v/>
      </c>
      <c r="G4647" s="51"/>
      <c r="H4647" s="46" t="str">
        <f>IF(AND(I.Developer.P1=TRUE,I.Facility.P1FacilityCount&gt;=4635,F4647=""),"Incomplete","Complete")</f>
        <v>Complete</v>
      </c>
      <c r="I4647" s="48" t="s">
        <v>9012</v>
      </c>
    </row>
    <row r="4648" spans="2:9" ht="15" customHeight="1" x14ac:dyDescent="0.25">
      <c r="B4648" s="55" t="s">
        <v>279</v>
      </c>
      <c r="C4648" s="46">
        <v>4636</v>
      </c>
      <c r="D4648" s="69" t="s">
        <v>29416</v>
      </c>
      <c r="E4648" s="51"/>
      <c r="F4648" s="114" t="str">
        <f>IF(INDEX(I.Facility.P1IDNumber,4636)="","",INDEX(I.Facility.P1IDNumber,4636))</f>
        <v/>
      </c>
      <c r="G4648" s="51"/>
      <c r="H4648" s="46" t="str">
        <f>IF(AND(I.Developer.P1=TRUE,I.Facility.P1FacilityCount&gt;=4636,F4648=""),"Incomplete","Complete")</f>
        <v>Complete</v>
      </c>
      <c r="I4648" s="48" t="s">
        <v>9013</v>
      </c>
    </row>
    <row r="4649" spans="2:9" ht="15" customHeight="1" x14ac:dyDescent="0.25">
      <c r="B4649" s="55" t="s">
        <v>279</v>
      </c>
      <c r="C4649" s="46">
        <v>4637</v>
      </c>
      <c r="D4649" s="69" t="s">
        <v>29416</v>
      </c>
      <c r="E4649" s="51"/>
      <c r="F4649" s="114" t="str">
        <f>IF(INDEX(I.Facility.P1IDNumber,4637)="","",INDEX(I.Facility.P1IDNumber,4637))</f>
        <v/>
      </c>
      <c r="G4649" s="51"/>
      <c r="H4649" s="46" t="str">
        <f>IF(AND(I.Developer.P1=TRUE,I.Facility.P1FacilityCount&gt;=4637,F4649=""),"Incomplete","Complete")</f>
        <v>Complete</v>
      </c>
      <c r="I4649" s="48" t="s">
        <v>9014</v>
      </c>
    </row>
    <row r="4650" spans="2:9" ht="15" customHeight="1" x14ac:dyDescent="0.25">
      <c r="B4650" s="55" t="s">
        <v>279</v>
      </c>
      <c r="C4650" s="46">
        <v>4638</v>
      </c>
      <c r="D4650" s="69" t="s">
        <v>29416</v>
      </c>
      <c r="E4650" s="51"/>
      <c r="F4650" s="114" t="str">
        <f>IF(INDEX(I.Facility.P1IDNumber,4638)="","",INDEX(I.Facility.P1IDNumber,4638))</f>
        <v/>
      </c>
      <c r="G4650" s="51"/>
      <c r="H4650" s="46" t="str">
        <f>IF(AND(I.Developer.P1=TRUE,I.Facility.P1FacilityCount&gt;=4638,F4650=""),"Incomplete","Complete")</f>
        <v>Complete</v>
      </c>
      <c r="I4650" s="48" t="s">
        <v>9015</v>
      </c>
    </row>
    <row r="4651" spans="2:9" ht="15" customHeight="1" x14ac:dyDescent="0.25">
      <c r="B4651" s="55" t="s">
        <v>279</v>
      </c>
      <c r="C4651" s="46">
        <v>4639</v>
      </c>
      <c r="D4651" s="69" t="s">
        <v>29416</v>
      </c>
      <c r="E4651" s="51"/>
      <c r="F4651" s="114" t="str">
        <f>IF(INDEX(I.Facility.P1IDNumber,4639)="","",INDEX(I.Facility.P1IDNumber,4639))</f>
        <v/>
      </c>
      <c r="G4651" s="51"/>
      <c r="H4651" s="46" t="str">
        <f>IF(AND(I.Developer.P1=TRUE,I.Facility.P1FacilityCount&gt;=4639,F4651=""),"Incomplete","Complete")</f>
        <v>Complete</v>
      </c>
      <c r="I4651" s="48" t="s">
        <v>9016</v>
      </c>
    </row>
    <row r="4652" spans="2:9" ht="15" customHeight="1" x14ac:dyDescent="0.25">
      <c r="B4652" s="55" t="s">
        <v>279</v>
      </c>
      <c r="C4652" s="46">
        <v>4640</v>
      </c>
      <c r="D4652" s="69" t="s">
        <v>29416</v>
      </c>
      <c r="E4652" s="51"/>
      <c r="F4652" s="114" t="str">
        <f>IF(INDEX(I.Facility.P1IDNumber,4640)="","",INDEX(I.Facility.P1IDNumber,4640))</f>
        <v/>
      </c>
      <c r="G4652" s="51"/>
      <c r="H4652" s="46" t="str">
        <f>IF(AND(I.Developer.P1=TRUE,I.Facility.P1FacilityCount&gt;=4640,F4652=""),"Incomplete","Complete")</f>
        <v>Complete</v>
      </c>
      <c r="I4652" s="48" t="s">
        <v>9017</v>
      </c>
    </row>
    <row r="4653" spans="2:9" ht="15" customHeight="1" x14ac:dyDescent="0.25">
      <c r="B4653" s="55" t="s">
        <v>279</v>
      </c>
      <c r="C4653" s="46">
        <v>4641</v>
      </c>
      <c r="D4653" s="69" t="s">
        <v>29416</v>
      </c>
      <c r="E4653" s="51"/>
      <c r="F4653" s="114" t="str">
        <f>IF(INDEX(I.Facility.P1IDNumber,4641)="","",INDEX(I.Facility.P1IDNumber,4641))</f>
        <v/>
      </c>
      <c r="G4653" s="51"/>
      <c r="H4653" s="46" t="str">
        <f>IF(AND(I.Developer.P1=TRUE,I.Facility.P1FacilityCount&gt;=4641,F4653=""),"Incomplete","Complete")</f>
        <v>Complete</v>
      </c>
      <c r="I4653" s="48" t="s">
        <v>9018</v>
      </c>
    </row>
    <row r="4654" spans="2:9" ht="15" customHeight="1" x14ac:dyDescent="0.25">
      <c r="B4654" s="55" t="s">
        <v>279</v>
      </c>
      <c r="C4654" s="46">
        <v>4642</v>
      </c>
      <c r="D4654" s="69" t="s">
        <v>29416</v>
      </c>
      <c r="E4654" s="51"/>
      <c r="F4654" s="114" t="str">
        <f>IF(INDEX(I.Facility.P1IDNumber,4642)="","",INDEX(I.Facility.P1IDNumber,4642))</f>
        <v/>
      </c>
      <c r="G4654" s="51"/>
      <c r="H4654" s="46" t="str">
        <f>IF(AND(I.Developer.P1=TRUE,I.Facility.P1FacilityCount&gt;=4642,F4654=""),"Incomplete","Complete")</f>
        <v>Complete</v>
      </c>
      <c r="I4654" s="48" t="s">
        <v>9019</v>
      </c>
    </row>
    <row r="4655" spans="2:9" ht="15" customHeight="1" x14ac:dyDescent="0.25">
      <c r="B4655" s="55" t="s">
        <v>279</v>
      </c>
      <c r="C4655" s="46">
        <v>4643</v>
      </c>
      <c r="D4655" s="69" t="s">
        <v>29416</v>
      </c>
      <c r="E4655" s="51"/>
      <c r="F4655" s="114" t="str">
        <f>IF(INDEX(I.Facility.P1IDNumber,4643)="","",INDEX(I.Facility.P1IDNumber,4643))</f>
        <v/>
      </c>
      <c r="G4655" s="51"/>
      <c r="H4655" s="46" t="str">
        <f>IF(AND(I.Developer.P1=TRUE,I.Facility.P1FacilityCount&gt;=4643,F4655=""),"Incomplete","Complete")</f>
        <v>Complete</v>
      </c>
      <c r="I4655" s="48" t="s">
        <v>9020</v>
      </c>
    </row>
    <row r="4656" spans="2:9" ht="15" customHeight="1" x14ac:dyDescent="0.25">
      <c r="B4656" s="55" t="s">
        <v>279</v>
      </c>
      <c r="C4656" s="46">
        <v>4644</v>
      </c>
      <c r="D4656" s="69" t="s">
        <v>29416</v>
      </c>
      <c r="E4656" s="51"/>
      <c r="F4656" s="114" t="str">
        <f>IF(INDEX(I.Facility.P1IDNumber,4644)="","",INDEX(I.Facility.P1IDNumber,4644))</f>
        <v/>
      </c>
      <c r="G4656" s="51"/>
      <c r="H4656" s="46" t="str">
        <f>IF(AND(I.Developer.P1=TRUE,I.Facility.P1FacilityCount&gt;=4644,F4656=""),"Incomplete","Complete")</f>
        <v>Complete</v>
      </c>
      <c r="I4656" s="48" t="s">
        <v>9021</v>
      </c>
    </row>
    <row r="4657" spans="2:9" ht="15" customHeight="1" x14ac:dyDescent="0.25">
      <c r="B4657" s="55" t="s">
        <v>279</v>
      </c>
      <c r="C4657" s="46">
        <v>4645</v>
      </c>
      <c r="D4657" s="69" t="s">
        <v>29416</v>
      </c>
      <c r="E4657" s="51"/>
      <c r="F4657" s="114" t="str">
        <f>IF(INDEX(I.Facility.P1IDNumber,4645)="","",INDEX(I.Facility.P1IDNumber,4645))</f>
        <v/>
      </c>
      <c r="G4657" s="51"/>
      <c r="H4657" s="46" t="str">
        <f>IF(AND(I.Developer.P1=TRUE,I.Facility.P1FacilityCount&gt;=4645,F4657=""),"Incomplete","Complete")</f>
        <v>Complete</v>
      </c>
      <c r="I4657" s="48" t="s">
        <v>9022</v>
      </c>
    </row>
    <row r="4658" spans="2:9" ht="15" customHeight="1" x14ac:dyDescent="0.25">
      <c r="B4658" s="55" t="s">
        <v>279</v>
      </c>
      <c r="C4658" s="46">
        <v>4646</v>
      </c>
      <c r="D4658" s="69" t="s">
        <v>29416</v>
      </c>
      <c r="E4658" s="51"/>
      <c r="F4658" s="114" t="str">
        <f>IF(INDEX(I.Facility.P1IDNumber,4646)="","",INDEX(I.Facility.P1IDNumber,4646))</f>
        <v/>
      </c>
      <c r="G4658" s="51"/>
      <c r="H4658" s="46" t="str">
        <f>IF(AND(I.Developer.P1=TRUE,I.Facility.P1FacilityCount&gt;=4646,F4658=""),"Incomplete","Complete")</f>
        <v>Complete</v>
      </c>
      <c r="I4658" s="48" t="s">
        <v>9023</v>
      </c>
    </row>
    <row r="4659" spans="2:9" ht="15" customHeight="1" x14ac:dyDescent="0.25">
      <c r="B4659" s="55" t="s">
        <v>279</v>
      </c>
      <c r="C4659" s="46">
        <v>4647</v>
      </c>
      <c r="D4659" s="69" t="s">
        <v>29416</v>
      </c>
      <c r="E4659" s="51"/>
      <c r="F4659" s="114" t="str">
        <f>IF(INDEX(I.Facility.P1IDNumber,4647)="","",INDEX(I.Facility.P1IDNumber,4647))</f>
        <v/>
      </c>
      <c r="G4659" s="51"/>
      <c r="H4659" s="46" t="str">
        <f>IF(AND(I.Developer.P1=TRUE,I.Facility.P1FacilityCount&gt;=4647,F4659=""),"Incomplete","Complete")</f>
        <v>Complete</v>
      </c>
      <c r="I4659" s="48" t="s">
        <v>9024</v>
      </c>
    </row>
    <row r="4660" spans="2:9" ht="15" customHeight="1" x14ac:dyDescent="0.25">
      <c r="B4660" s="55" t="s">
        <v>279</v>
      </c>
      <c r="C4660" s="46">
        <v>4648</v>
      </c>
      <c r="D4660" s="69" t="s">
        <v>29416</v>
      </c>
      <c r="E4660" s="51"/>
      <c r="F4660" s="114" t="str">
        <f>IF(INDEX(I.Facility.P1IDNumber,4648)="","",INDEX(I.Facility.P1IDNumber,4648))</f>
        <v/>
      </c>
      <c r="G4660" s="51"/>
      <c r="H4660" s="46" t="str">
        <f>IF(AND(I.Developer.P1=TRUE,I.Facility.P1FacilityCount&gt;=4648,F4660=""),"Incomplete","Complete")</f>
        <v>Complete</v>
      </c>
      <c r="I4660" s="48" t="s">
        <v>9025</v>
      </c>
    </row>
    <row r="4661" spans="2:9" ht="15" customHeight="1" x14ac:dyDescent="0.25">
      <c r="B4661" s="55" t="s">
        <v>279</v>
      </c>
      <c r="C4661" s="46">
        <v>4649</v>
      </c>
      <c r="D4661" s="69" t="s">
        <v>29416</v>
      </c>
      <c r="E4661" s="51"/>
      <c r="F4661" s="114" t="str">
        <f>IF(INDEX(I.Facility.P1IDNumber,4649)="","",INDEX(I.Facility.P1IDNumber,4649))</f>
        <v/>
      </c>
      <c r="G4661" s="51"/>
      <c r="H4661" s="46" t="str">
        <f>IF(AND(I.Developer.P1=TRUE,I.Facility.P1FacilityCount&gt;=4649,F4661=""),"Incomplete","Complete")</f>
        <v>Complete</v>
      </c>
      <c r="I4661" s="48" t="s">
        <v>9026</v>
      </c>
    </row>
    <row r="4662" spans="2:9" ht="15" customHeight="1" x14ac:dyDescent="0.25">
      <c r="B4662" s="55" t="s">
        <v>279</v>
      </c>
      <c r="C4662" s="46">
        <v>4650</v>
      </c>
      <c r="D4662" s="69" t="s">
        <v>29416</v>
      </c>
      <c r="E4662" s="51"/>
      <c r="F4662" s="114" t="str">
        <f>IF(INDEX(I.Facility.P1IDNumber,4650)="","",INDEX(I.Facility.P1IDNumber,4650))</f>
        <v/>
      </c>
      <c r="G4662" s="51"/>
      <c r="H4662" s="46" t="str">
        <f>IF(AND(I.Developer.P1=TRUE,I.Facility.P1FacilityCount&gt;=4650,F4662=""),"Incomplete","Complete")</f>
        <v>Complete</v>
      </c>
      <c r="I4662" s="48" t="s">
        <v>9027</v>
      </c>
    </row>
    <row r="4663" spans="2:9" ht="15" customHeight="1" x14ac:dyDescent="0.25">
      <c r="B4663" s="55" t="s">
        <v>279</v>
      </c>
      <c r="C4663" s="46">
        <v>4651</v>
      </c>
      <c r="D4663" s="69" t="s">
        <v>29416</v>
      </c>
      <c r="E4663" s="51"/>
      <c r="F4663" s="114" t="str">
        <f>IF(INDEX(I.Facility.P1IDNumber,4651)="","",INDEX(I.Facility.P1IDNumber,4651))</f>
        <v/>
      </c>
      <c r="G4663" s="51"/>
      <c r="H4663" s="46" t="str">
        <f>IF(AND(I.Developer.P1=TRUE,I.Facility.P1FacilityCount&gt;=4651,F4663=""),"Incomplete","Complete")</f>
        <v>Complete</v>
      </c>
      <c r="I4663" s="48" t="s">
        <v>9028</v>
      </c>
    </row>
    <row r="4664" spans="2:9" ht="15" customHeight="1" x14ac:dyDescent="0.25">
      <c r="B4664" s="55" t="s">
        <v>279</v>
      </c>
      <c r="C4664" s="46">
        <v>4652</v>
      </c>
      <c r="D4664" s="69" t="s">
        <v>29416</v>
      </c>
      <c r="E4664" s="51"/>
      <c r="F4664" s="114" t="str">
        <f>IF(INDEX(I.Facility.P1IDNumber,4652)="","",INDEX(I.Facility.P1IDNumber,4652))</f>
        <v/>
      </c>
      <c r="G4664" s="51"/>
      <c r="H4664" s="46" t="str">
        <f>IF(AND(I.Developer.P1=TRUE,I.Facility.P1FacilityCount&gt;=4652,F4664=""),"Incomplete","Complete")</f>
        <v>Complete</v>
      </c>
      <c r="I4664" s="48" t="s">
        <v>9029</v>
      </c>
    </row>
    <row r="4665" spans="2:9" ht="15" customHeight="1" x14ac:dyDescent="0.25">
      <c r="B4665" s="55" t="s">
        <v>279</v>
      </c>
      <c r="C4665" s="46">
        <v>4653</v>
      </c>
      <c r="D4665" s="69" t="s">
        <v>29416</v>
      </c>
      <c r="E4665" s="51"/>
      <c r="F4665" s="114" t="str">
        <f>IF(INDEX(I.Facility.P1IDNumber,4653)="","",INDEX(I.Facility.P1IDNumber,4653))</f>
        <v/>
      </c>
      <c r="G4665" s="51"/>
      <c r="H4665" s="46" t="str">
        <f>IF(AND(I.Developer.P1=TRUE,I.Facility.P1FacilityCount&gt;=4653,F4665=""),"Incomplete","Complete")</f>
        <v>Complete</v>
      </c>
      <c r="I4665" s="48" t="s">
        <v>9030</v>
      </c>
    </row>
    <row r="4666" spans="2:9" ht="15" customHeight="1" x14ac:dyDescent="0.25">
      <c r="B4666" s="55" t="s">
        <v>279</v>
      </c>
      <c r="C4666" s="46">
        <v>4654</v>
      </c>
      <c r="D4666" s="69" t="s">
        <v>29416</v>
      </c>
      <c r="E4666" s="51"/>
      <c r="F4666" s="114" t="str">
        <f>IF(INDEX(I.Facility.P1IDNumber,4654)="","",INDEX(I.Facility.P1IDNumber,4654))</f>
        <v/>
      </c>
      <c r="G4666" s="51"/>
      <c r="H4666" s="46" t="str">
        <f>IF(AND(I.Developer.P1=TRUE,I.Facility.P1FacilityCount&gt;=4654,F4666=""),"Incomplete","Complete")</f>
        <v>Complete</v>
      </c>
      <c r="I4666" s="48" t="s">
        <v>9031</v>
      </c>
    </row>
    <row r="4667" spans="2:9" ht="15" customHeight="1" x14ac:dyDescent="0.25">
      <c r="B4667" s="55" t="s">
        <v>279</v>
      </c>
      <c r="C4667" s="46">
        <v>4655</v>
      </c>
      <c r="D4667" s="69" t="s">
        <v>29416</v>
      </c>
      <c r="E4667" s="51"/>
      <c r="F4667" s="114" t="str">
        <f>IF(INDEX(I.Facility.P1IDNumber,4655)="","",INDEX(I.Facility.P1IDNumber,4655))</f>
        <v/>
      </c>
      <c r="G4667" s="51"/>
      <c r="H4667" s="46" t="str">
        <f>IF(AND(I.Developer.P1=TRUE,I.Facility.P1FacilityCount&gt;=4655,F4667=""),"Incomplete","Complete")</f>
        <v>Complete</v>
      </c>
      <c r="I4667" s="48" t="s">
        <v>9032</v>
      </c>
    </row>
    <row r="4668" spans="2:9" ht="15" customHeight="1" x14ac:dyDescent="0.25">
      <c r="B4668" s="55" t="s">
        <v>279</v>
      </c>
      <c r="C4668" s="46">
        <v>4656</v>
      </c>
      <c r="D4668" s="69" t="s">
        <v>29416</v>
      </c>
      <c r="E4668" s="51"/>
      <c r="F4668" s="114" t="str">
        <f>IF(INDEX(I.Facility.P1IDNumber,4656)="","",INDEX(I.Facility.P1IDNumber,4656))</f>
        <v/>
      </c>
      <c r="G4668" s="51"/>
      <c r="H4668" s="46" t="str">
        <f>IF(AND(I.Developer.P1=TRUE,I.Facility.P1FacilityCount&gt;=4656,F4668=""),"Incomplete","Complete")</f>
        <v>Complete</v>
      </c>
      <c r="I4668" s="48" t="s">
        <v>9033</v>
      </c>
    </row>
    <row r="4669" spans="2:9" ht="15" customHeight="1" x14ac:dyDescent="0.25">
      <c r="B4669" s="55" t="s">
        <v>279</v>
      </c>
      <c r="C4669" s="46">
        <v>4657</v>
      </c>
      <c r="D4669" s="69" t="s">
        <v>29416</v>
      </c>
      <c r="E4669" s="51"/>
      <c r="F4669" s="114" t="str">
        <f>IF(INDEX(I.Facility.P1IDNumber,4657)="","",INDEX(I.Facility.P1IDNumber,4657))</f>
        <v/>
      </c>
      <c r="G4669" s="51"/>
      <c r="H4669" s="46" t="str">
        <f>IF(AND(I.Developer.P1=TRUE,I.Facility.P1FacilityCount&gt;=4657,F4669=""),"Incomplete","Complete")</f>
        <v>Complete</v>
      </c>
      <c r="I4669" s="48" t="s">
        <v>9034</v>
      </c>
    </row>
    <row r="4670" spans="2:9" ht="15" customHeight="1" x14ac:dyDescent="0.25">
      <c r="B4670" s="55" t="s">
        <v>279</v>
      </c>
      <c r="C4670" s="46">
        <v>4658</v>
      </c>
      <c r="D4670" s="69" t="s">
        <v>29416</v>
      </c>
      <c r="E4670" s="51"/>
      <c r="F4670" s="114" t="str">
        <f>IF(INDEX(I.Facility.P1IDNumber,4658)="","",INDEX(I.Facility.P1IDNumber,4658))</f>
        <v/>
      </c>
      <c r="G4670" s="51"/>
      <c r="H4670" s="46" t="str">
        <f>IF(AND(I.Developer.P1=TRUE,I.Facility.P1FacilityCount&gt;=4658,F4670=""),"Incomplete","Complete")</f>
        <v>Complete</v>
      </c>
      <c r="I4670" s="48" t="s">
        <v>9035</v>
      </c>
    </row>
    <row r="4671" spans="2:9" ht="15" customHeight="1" x14ac:dyDescent="0.25">
      <c r="B4671" s="55" t="s">
        <v>279</v>
      </c>
      <c r="C4671" s="46">
        <v>4659</v>
      </c>
      <c r="D4671" s="69" t="s">
        <v>29416</v>
      </c>
      <c r="E4671" s="51"/>
      <c r="F4671" s="114" t="str">
        <f>IF(INDEX(I.Facility.P1IDNumber,4659)="","",INDEX(I.Facility.P1IDNumber,4659))</f>
        <v/>
      </c>
      <c r="G4671" s="51"/>
      <c r="H4671" s="46" t="str">
        <f>IF(AND(I.Developer.P1=TRUE,I.Facility.P1FacilityCount&gt;=4659,F4671=""),"Incomplete","Complete")</f>
        <v>Complete</v>
      </c>
      <c r="I4671" s="48" t="s">
        <v>9036</v>
      </c>
    </row>
    <row r="4672" spans="2:9" ht="15" customHeight="1" x14ac:dyDescent="0.25">
      <c r="B4672" s="55" t="s">
        <v>279</v>
      </c>
      <c r="C4672" s="46">
        <v>4660</v>
      </c>
      <c r="D4672" s="69" t="s">
        <v>29416</v>
      </c>
      <c r="E4672" s="51"/>
      <c r="F4672" s="114" t="str">
        <f>IF(INDEX(I.Facility.P1IDNumber,4660)="","",INDEX(I.Facility.P1IDNumber,4660))</f>
        <v/>
      </c>
      <c r="G4672" s="51"/>
      <c r="H4672" s="46" t="str">
        <f>IF(AND(I.Developer.P1=TRUE,I.Facility.P1FacilityCount&gt;=4660,F4672=""),"Incomplete","Complete")</f>
        <v>Complete</v>
      </c>
      <c r="I4672" s="48" t="s">
        <v>9037</v>
      </c>
    </row>
    <row r="4673" spans="2:9" ht="15" customHeight="1" x14ac:dyDescent="0.25">
      <c r="B4673" s="55" t="s">
        <v>279</v>
      </c>
      <c r="C4673" s="46">
        <v>4661</v>
      </c>
      <c r="D4673" s="69" t="s">
        <v>29416</v>
      </c>
      <c r="E4673" s="51"/>
      <c r="F4673" s="114" t="str">
        <f>IF(INDEX(I.Facility.P1IDNumber,4661)="","",INDEX(I.Facility.P1IDNumber,4661))</f>
        <v/>
      </c>
      <c r="G4673" s="51"/>
      <c r="H4673" s="46" t="str">
        <f>IF(AND(I.Developer.P1=TRUE,I.Facility.P1FacilityCount&gt;=4661,F4673=""),"Incomplete","Complete")</f>
        <v>Complete</v>
      </c>
      <c r="I4673" s="48" t="s">
        <v>9038</v>
      </c>
    </row>
    <row r="4674" spans="2:9" ht="15" customHeight="1" x14ac:dyDescent="0.25">
      <c r="B4674" s="55" t="s">
        <v>279</v>
      </c>
      <c r="C4674" s="46">
        <v>4662</v>
      </c>
      <c r="D4674" s="69" t="s">
        <v>29416</v>
      </c>
      <c r="E4674" s="51"/>
      <c r="F4674" s="114" t="str">
        <f>IF(INDEX(I.Facility.P1IDNumber,4662)="","",INDEX(I.Facility.P1IDNumber,4662))</f>
        <v/>
      </c>
      <c r="G4674" s="51"/>
      <c r="H4674" s="46" t="str">
        <f>IF(AND(I.Developer.P1=TRUE,I.Facility.P1FacilityCount&gt;=4662,F4674=""),"Incomplete","Complete")</f>
        <v>Complete</v>
      </c>
      <c r="I4674" s="48" t="s">
        <v>9039</v>
      </c>
    </row>
    <row r="4675" spans="2:9" ht="15" customHeight="1" x14ac:dyDescent="0.25">
      <c r="B4675" s="55" t="s">
        <v>279</v>
      </c>
      <c r="C4675" s="46">
        <v>4663</v>
      </c>
      <c r="D4675" s="69" t="s">
        <v>29416</v>
      </c>
      <c r="E4675" s="51"/>
      <c r="F4675" s="114" t="str">
        <f>IF(INDEX(I.Facility.P1IDNumber,4663)="","",INDEX(I.Facility.P1IDNumber,4663))</f>
        <v/>
      </c>
      <c r="G4675" s="51"/>
      <c r="H4675" s="46" t="str">
        <f>IF(AND(I.Developer.P1=TRUE,I.Facility.P1FacilityCount&gt;=4663,F4675=""),"Incomplete","Complete")</f>
        <v>Complete</v>
      </c>
      <c r="I4675" s="48" t="s">
        <v>9040</v>
      </c>
    </row>
    <row r="4676" spans="2:9" ht="15" customHeight="1" x14ac:dyDescent="0.25">
      <c r="B4676" s="55" t="s">
        <v>279</v>
      </c>
      <c r="C4676" s="46">
        <v>4664</v>
      </c>
      <c r="D4676" s="69" t="s">
        <v>29416</v>
      </c>
      <c r="E4676" s="51"/>
      <c r="F4676" s="114" t="str">
        <f>IF(INDEX(I.Facility.P1IDNumber,4664)="","",INDEX(I.Facility.P1IDNumber,4664))</f>
        <v/>
      </c>
      <c r="G4676" s="51"/>
      <c r="H4676" s="46" t="str">
        <f>IF(AND(I.Developer.P1=TRUE,I.Facility.P1FacilityCount&gt;=4664,F4676=""),"Incomplete","Complete")</f>
        <v>Complete</v>
      </c>
      <c r="I4676" s="48" t="s">
        <v>9041</v>
      </c>
    </row>
    <row r="4677" spans="2:9" ht="15" customHeight="1" x14ac:dyDescent="0.25">
      <c r="B4677" s="55" t="s">
        <v>279</v>
      </c>
      <c r="C4677" s="46">
        <v>4665</v>
      </c>
      <c r="D4677" s="69" t="s">
        <v>29416</v>
      </c>
      <c r="E4677" s="51"/>
      <c r="F4677" s="114" t="str">
        <f>IF(INDEX(I.Facility.P1IDNumber,4665)="","",INDEX(I.Facility.P1IDNumber,4665))</f>
        <v/>
      </c>
      <c r="G4677" s="51"/>
      <c r="H4677" s="46" t="str">
        <f>IF(AND(I.Developer.P1=TRUE,I.Facility.P1FacilityCount&gt;=4665,F4677=""),"Incomplete","Complete")</f>
        <v>Complete</v>
      </c>
      <c r="I4677" s="48" t="s">
        <v>9042</v>
      </c>
    </row>
    <row r="4678" spans="2:9" ht="15" customHeight="1" x14ac:dyDescent="0.25">
      <c r="B4678" s="55" t="s">
        <v>279</v>
      </c>
      <c r="C4678" s="46">
        <v>4666</v>
      </c>
      <c r="D4678" s="69" t="s">
        <v>29416</v>
      </c>
      <c r="E4678" s="51"/>
      <c r="F4678" s="114" t="str">
        <f>IF(INDEX(I.Facility.P1IDNumber,4666)="","",INDEX(I.Facility.P1IDNumber,4666))</f>
        <v/>
      </c>
      <c r="G4678" s="51"/>
      <c r="H4678" s="46" t="str">
        <f>IF(AND(I.Developer.P1=TRUE,I.Facility.P1FacilityCount&gt;=4666,F4678=""),"Incomplete","Complete")</f>
        <v>Complete</v>
      </c>
      <c r="I4678" s="48" t="s">
        <v>9043</v>
      </c>
    </row>
    <row r="4679" spans="2:9" ht="15" customHeight="1" x14ac:dyDescent="0.25">
      <c r="B4679" s="55" t="s">
        <v>279</v>
      </c>
      <c r="C4679" s="46">
        <v>4667</v>
      </c>
      <c r="D4679" s="69" t="s">
        <v>29416</v>
      </c>
      <c r="E4679" s="51"/>
      <c r="F4679" s="114" t="str">
        <f>IF(INDEX(I.Facility.P1IDNumber,4667)="","",INDEX(I.Facility.P1IDNumber,4667))</f>
        <v/>
      </c>
      <c r="G4679" s="51"/>
      <c r="H4679" s="46" t="str">
        <f>IF(AND(I.Developer.P1=TRUE,I.Facility.P1FacilityCount&gt;=4667,F4679=""),"Incomplete","Complete")</f>
        <v>Complete</v>
      </c>
      <c r="I4679" s="48" t="s">
        <v>9044</v>
      </c>
    </row>
    <row r="4680" spans="2:9" ht="15" customHeight="1" x14ac:dyDescent="0.25">
      <c r="B4680" s="55" t="s">
        <v>279</v>
      </c>
      <c r="C4680" s="46">
        <v>4668</v>
      </c>
      <c r="D4680" s="69" t="s">
        <v>29416</v>
      </c>
      <c r="E4680" s="51"/>
      <c r="F4680" s="114" t="str">
        <f>IF(INDEX(I.Facility.P1IDNumber,4668)="","",INDEX(I.Facility.P1IDNumber,4668))</f>
        <v/>
      </c>
      <c r="G4680" s="51"/>
      <c r="H4680" s="46" t="str">
        <f>IF(AND(I.Developer.P1=TRUE,I.Facility.P1FacilityCount&gt;=4668,F4680=""),"Incomplete","Complete")</f>
        <v>Complete</v>
      </c>
      <c r="I4680" s="48" t="s">
        <v>9045</v>
      </c>
    </row>
    <row r="4681" spans="2:9" ht="15" customHeight="1" x14ac:dyDescent="0.25">
      <c r="B4681" s="55" t="s">
        <v>279</v>
      </c>
      <c r="C4681" s="46">
        <v>4669</v>
      </c>
      <c r="D4681" s="69" t="s">
        <v>29416</v>
      </c>
      <c r="E4681" s="51"/>
      <c r="F4681" s="114" t="str">
        <f>IF(INDEX(I.Facility.P1IDNumber,4669)="","",INDEX(I.Facility.P1IDNumber,4669))</f>
        <v/>
      </c>
      <c r="G4681" s="51"/>
      <c r="H4681" s="46" t="str">
        <f>IF(AND(I.Developer.P1=TRUE,I.Facility.P1FacilityCount&gt;=4669,F4681=""),"Incomplete","Complete")</f>
        <v>Complete</v>
      </c>
      <c r="I4681" s="48" t="s">
        <v>9046</v>
      </c>
    </row>
    <row r="4682" spans="2:9" ht="15" customHeight="1" x14ac:dyDescent="0.25">
      <c r="B4682" s="55" t="s">
        <v>279</v>
      </c>
      <c r="C4682" s="46">
        <v>4670</v>
      </c>
      <c r="D4682" s="69" t="s">
        <v>29416</v>
      </c>
      <c r="E4682" s="51"/>
      <c r="F4682" s="114" t="str">
        <f>IF(INDEX(I.Facility.P1IDNumber,4670)="","",INDEX(I.Facility.P1IDNumber,4670))</f>
        <v/>
      </c>
      <c r="G4682" s="51"/>
      <c r="H4682" s="46" t="str">
        <f>IF(AND(I.Developer.P1=TRUE,I.Facility.P1FacilityCount&gt;=4670,F4682=""),"Incomplete","Complete")</f>
        <v>Complete</v>
      </c>
      <c r="I4682" s="48" t="s">
        <v>9047</v>
      </c>
    </row>
    <row r="4683" spans="2:9" ht="15" customHeight="1" x14ac:dyDescent="0.25">
      <c r="B4683" s="55" t="s">
        <v>279</v>
      </c>
      <c r="C4683" s="46">
        <v>4671</v>
      </c>
      <c r="D4683" s="69" t="s">
        <v>29416</v>
      </c>
      <c r="E4683" s="51"/>
      <c r="F4683" s="114" t="str">
        <f>IF(INDEX(I.Facility.P1IDNumber,4671)="","",INDEX(I.Facility.P1IDNumber,4671))</f>
        <v/>
      </c>
      <c r="G4683" s="51"/>
      <c r="H4683" s="46" t="str">
        <f>IF(AND(I.Developer.P1=TRUE,I.Facility.P1FacilityCount&gt;=4671,F4683=""),"Incomplete","Complete")</f>
        <v>Complete</v>
      </c>
      <c r="I4683" s="48" t="s">
        <v>9048</v>
      </c>
    </row>
    <row r="4684" spans="2:9" ht="15" customHeight="1" x14ac:dyDescent="0.25">
      <c r="B4684" s="55" t="s">
        <v>279</v>
      </c>
      <c r="C4684" s="46">
        <v>4672</v>
      </c>
      <c r="D4684" s="69" t="s">
        <v>29416</v>
      </c>
      <c r="E4684" s="51"/>
      <c r="F4684" s="114" t="str">
        <f>IF(INDEX(I.Facility.P1IDNumber,4672)="","",INDEX(I.Facility.P1IDNumber,4672))</f>
        <v/>
      </c>
      <c r="G4684" s="51"/>
      <c r="H4684" s="46" t="str">
        <f>IF(AND(I.Developer.P1=TRUE,I.Facility.P1FacilityCount&gt;=4672,F4684=""),"Incomplete","Complete")</f>
        <v>Complete</v>
      </c>
      <c r="I4684" s="48" t="s">
        <v>9049</v>
      </c>
    </row>
    <row r="4685" spans="2:9" ht="15" customHeight="1" x14ac:dyDescent="0.25">
      <c r="B4685" s="55" t="s">
        <v>279</v>
      </c>
      <c r="C4685" s="46">
        <v>4673</v>
      </c>
      <c r="D4685" s="69" t="s">
        <v>29416</v>
      </c>
      <c r="E4685" s="51"/>
      <c r="F4685" s="114" t="str">
        <f>IF(INDEX(I.Facility.P1IDNumber,4673)="","",INDEX(I.Facility.P1IDNumber,4673))</f>
        <v/>
      </c>
      <c r="G4685" s="51"/>
      <c r="H4685" s="46" t="str">
        <f>IF(AND(I.Developer.P1=TRUE,I.Facility.P1FacilityCount&gt;=4673,F4685=""),"Incomplete","Complete")</f>
        <v>Complete</v>
      </c>
      <c r="I4685" s="48" t="s">
        <v>9050</v>
      </c>
    </row>
    <row r="4686" spans="2:9" ht="15" customHeight="1" x14ac:dyDescent="0.25">
      <c r="B4686" s="55" t="s">
        <v>279</v>
      </c>
      <c r="C4686" s="46">
        <v>4674</v>
      </c>
      <c r="D4686" s="69" t="s">
        <v>29416</v>
      </c>
      <c r="E4686" s="51"/>
      <c r="F4686" s="114" t="str">
        <f>IF(INDEX(I.Facility.P1IDNumber,4674)="","",INDEX(I.Facility.P1IDNumber,4674))</f>
        <v/>
      </c>
      <c r="G4686" s="51"/>
      <c r="H4686" s="46" t="str">
        <f>IF(AND(I.Developer.P1=TRUE,I.Facility.P1FacilityCount&gt;=4674,F4686=""),"Incomplete","Complete")</f>
        <v>Complete</v>
      </c>
      <c r="I4686" s="48" t="s">
        <v>9051</v>
      </c>
    </row>
    <row r="4687" spans="2:9" ht="15" customHeight="1" x14ac:dyDescent="0.25">
      <c r="B4687" s="55" t="s">
        <v>279</v>
      </c>
      <c r="C4687" s="46">
        <v>4675</v>
      </c>
      <c r="D4687" s="69" t="s">
        <v>29416</v>
      </c>
      <c r="E4687" s="51"/>
      <c r="F4687" s="114" t="str">
        <f>IF(INDEX(I.Facility.P1IDNumber,4675)="","",INDEX(I.Facility.P1IDNumber,4675))</f>
        <v/>
      </c>
      <c r="G4687" s="51"/>
      <c r="H4687" s="46" t="str">
        <f>IF(AND(I.Developer.P1=TRUE,I.Facility.P1FacilityCount&gt;=4675,F4687=""),"Incomplete","Complete")</f>
        <v>Complete</v>
      </c>
      <c r="I4687" s="48" t="s">
        <v>9052</v>
      </c>
    </row>
    <row r="4688" spans="2:9" ht="15" customHeight="1" x14ac:dyDescent="0.25">
      <c r="B4688" s="55" t="s">
        <v>279</v>
      </c>
      <c r="C4688" s="46">
        <v>4676</v>
      </c>
      <c r="D4688" s="69" t="s">
        <v>29416</v>
      </c>
      <c r="E4688" s="51"/>
      <c r="F4688" s="114" t="str">
        <f>IF(INDEX(I.Facility.P1IDNumber,4676)="","",INDEX(I.Facility.P1IDNumber,4676))</f>
        <v/>
      </c>
      <c r="G4688" s="51"/>
      <c r="H4688" s="46" t="str">
        <f>IF(AND(I.Developer.P1=TRUE,I.Facility.P1FacilityCount&gt;=4676,F4688=""),"Incomplete","Complete")</f>
        <v>Complete</v>
      </c>
      <c r="I4688" s="48" t="s">
        <v>9053</v>
      </c>
    </row>
    <row r="4689" spans="2:9" ht="15" customHeight="1" x14ac:dyDescent="0.25">
      <c r="B4689" s="55" t="s">
        <v>279</v>
      </c>
      <c r="C4689" s="46">
        <v>4677</v>
      </c>
      <c r="D4689" s="69" t="s">
        <v>29416</v>
      </c>
      <c r="E4689" s="51"/>
      <c r="F4689" s="114" t="str">
        <f>IF(INDEX(I.Facility.P1IDNumber,4677)="","",INDEX(I.Facility.P1IDNumber,4677))</f>
        <v/>
      </c>
      <c r="G4689" s="51"/>
      <c r="H4689" s="46" t="str">
        <f>IF(AND(I.Developer.P1=TRUE,I.Facility.P1FacilityCount&gt;=4677,F4689=""),"Incomplete","Complete")</f>
        <v>Complete</v>
      </c>
      <c r="I4689" s="48" t="s">
        <v>9054</v>
      </c>
    </row>
    <row r="4690" spans="2:9" ht="15" customHeight="1" x14ac:dyDescent="0.25">
      <c r="B4690" s="55" t="s">
        <v>279</v>
      </c>
      <c r="C4690" s="46">
        <v>4678</v>
      </c>
      <c r="D4690" s="69" t="s">
        <v>29416</v>
      </c>
      <c r="E4690" s="51"/>
      <c r="F4690" s="114" t="str">
        <f>IF(INDEX(I.Facility.P1IDNumber,4678)="","",INDEX(I.Facility.P1IDNumber,4678))</f>
        <v/>
      </c>
      <c r="G4690" s="51"/>
      <c r="H4690" s="46" t="str">
        <f>IF(AND(I.Developer.P1=TRUE,I.Facility.P1FacilityCount&gt;=4678,F4690=""),"Incomplete","Complete")</f>
        <v>Complete</v>
      </c>
      <c r="I4690" s="48" t="s">
        <v>9055</v>
      </c>
    </row>
    <row r="4691" spans="2:9" ht="15" customHeight="1" x14ac:dyDescent="0.25">
      <c r="B4691" s="55" t="s">
        <v>279</v>
      </c>
      <c r="C4691" s="46">
        <v>4679</v>
      </c>
      <c r="D4691" s="69" t="s">
        <v>29416</v>
      </c>
      <c r="E4691" s="51"/>
      <c r="F4691" s="114" t="str">
        <f>IF(INDEX(I.Facility.P1IDNumber,4679)="","",INDEX(I.Facility.P1IDNumber,4679))</f>
        <v/>
      </c>
      <c r="G4691" s="51"/>
      <c r="H4691" s="46" t="str">
        <f>IF(AND(I.Developer.P1=TRUE,I.Facility.P1FacilityCount&gt;=4679,F4691=""),"Incomplete","Complete")</f>
        <v>Complete</v>
      </c>
      <c r="I4691" s="48" t="s">
        <v>9056</v>
      </c>
    </row>
    <row r="4692" spans="2:9" ht="15" customHeight="1" x14ac:dyDescent="0.25">
      <c r="B4692" s="55" t="s">
        <v>279</v>
      </c>
      <c r="C4692" s="46">
        <v>4680</v>
      </c>
      <c r="D4692" s="69" t="s">
        <v>29416</v>
      </c>
      <c r="E4692" s="51"/>
      <c r="F4692" s="114" t="str">
        <f>IF(INDEX(I.Facility.P1IDNumber,4680)="","",INDEX(I.Facility.P1IDNumber,4680))</f>
        <v/>
      </c>
      <c r="G4692" s="51"/>
      <c r="H4692" s="46" t="str">
        <f>IF(AND(I.Developer.P1=TRUE,I.Facility.P1FacilityCount&gt;=4680,F4692=""),"Incomplete","Complete")</f>
        <v>Complete</v>
      </c>
      <c r="I4692" s="48" t="s">
        <v>9057</v>
      </c>
    </row>
    <row r="4693" spans="2:9" ht="15" customHeight="1" x14ac:dyDescent="0.25">
      <c r="B4693" s="55" t="s">
        <v>279</v>
      </c>
      <c r="C4693" s="46">
        <v>4681</v>
      </c>
      <c r="D4693" s="69" t="s">
        <v>29416</v>
      </c>
      <c r="E4693" s="51"/>
      <c r="F4693" s="114" t="str">
        <f>IF(INDEX(I.Facility.P1IDNumber,4681)="","",INDEX(I.Facility.P1IDNumber,4681))</f>
        <v/>
      </c>
      <c r="G4693" s="51"/>
      <c r="H4693" s="46" t="str">
        <f>IF(AND(I.Developer.P1=TRUE,I.Facility.P1FacilityCount&gt;=4681,F4693=""),"Incomplete","Complete")</f>
        <v>Complete</v>
      </c>
      <c r="I4693" s="48" t="s">
        <v>9058</v>
      </c>
    </row>
    <row r="4694" spans="2:9" ht="15" customHeight="1" x14ac:dyDescent="0.25">
      <c r="B4694" s="55" t="s">
        <v>279</v>
      </c>
      <c r="C4694" s="46">
        <v>4682</v>
      </c>
      <c r="D4694" s="69" t="s">
        <v>29416</v>
      </c>
      <c r="E4694" s="51"/>
      <c r="F4694" s="114" t="str">
        <f>IF(INDEX(I.Facility.P1IDNumber,4682)="","",INDEX(I.Facility.P1IDNumber,4682))</f>
        <v/>
      </c>
      <c r="G4694" s="51"/>
      <c r="H4694" s="46" t="str">
        <f>IF(AND(I.Developer.P1=TRUE,I.Facility.P1FacilityCount&gt;=4682,F4694=""),"Incomplete","Complete")</f>
        <v>Complete</v>
      </c>
      <c r="I4694" s="48" t="s">
        <v>9059</v>
      </c>
    </row>
    <row r="4695" spans="2:9" ht="15" customHeight="1" x14ac:dyDescent="0.25">
      <c r="B4695" s="55" t="s">
        <v>279</v>
      </c>
      <c r="C4695" s="46">
        <v>4683</v>
      </c>
      <c r="D4695" s="69" t="s">
        <v>29416</v>
      </c>
      <c r="E4695" s="51"/>
      <c r="F4695" s="114" t="str">
        <f>IF(INDEX(I.Facility.P1IDNumber,4683)="","",INDEX(I.Facility.P1IDNumber,4683))</f>
        <v/>
      </c>
      <c r="G4695" s="51"/>
      <c r="H4695" s="46" t="str">
        <f>IF(AND(I.Developer.P1=TRUE,I.Facility.P1FacilityCount&gt;=4683,F4695=""),"Incomplete","Complete")</f>
        <v>Complete</v>
      </c>
      <c r="I4695" s="48" t="s">
        <v>9060</v>
      </c>
    </row>
    <row r="4696" spans="2:9" ht="15" customHeight="1" x14ac:dyDescent="0.25">
      <c r="B4696" s="55" t="s">
        <v>279</v>
      </c>
      <c r="C4696" s="46">
        <v>4684</v>
      </c>
      <c r="D4696" s="69" t="s">
        <v>29416</v>
      </c>
      <c r="E4696" s="51"/>
      <c r="F4696" s="114" t="str">
        <f>IF(INDEX(I.Facility.P1IDNumber,4684)="","",INDEX(I.Facility.P1IDNumber,4684))</f>
        <v/>
      </c>
      <c r="G4696" s="51"/>
      <c r="H4696" s="46" t="str">
        <f>IF(AND(I.Developer.P1=TRUE,I.Facility.P1FacilityCount&gt;=4684,F4696=""),"Incomplete","Complete")</f>
        <v>Complete</v>
      </c>
      <c r="I4696" s="48" t="s">
        <v>9061</v>
      </c>
    </row>
    <row r="4697" spans="2:9" ht="15" customHeight="1" x14ac:dyDescent="0.25">
      <c r="B4697" s="55" t="s">
        <v>279</v>
      </c>
      <c r="C4697" s="46">
        <v>4685</v>
      </c>
      <c r="D4697" s="69" t="s">
        <v>29416</v>
      </c>
      <c r="E4697" s="51"/>
      <c r="F4697" s="114" t="str">
        <f>IF(INDEX(I.Facility.P1IDNumber,4685)="","",INDEX(I.Facility.P1IDNumber,4685))</f>
        <v/>
      </c>
      <c r="G4697" s="51"/>
      <c r="H4697" s="46" t="str">
        <f>IF(AND(I.Developer.P1=TRUE,I.Facility.P1FacilityCount&gt;=4685,F4697=""),"Incomplete","Complete")</f>
        <v>Complete</v>
      </c>
      <c r="I4697" s="48" t="s">
        <v>9062</v>
      </c>
    </row>
    <row r="4698" spans="2:9" ht="15" customHeight="1" x14ac:dyDescent="0.25">
      <c r="B4698" s="55" t="s">
        <v>279</v>
      </c>
      <c r="C4698" s="46">
        <v>4686</v>
      </c>
      <c r="D4698" s="69" t="s">
        <v>29416</v>
      </c>
      <c r="E4698" s="51"/>
      <c r="F4698" s="114" t="str">
        <f>IF(INDEX(I.Facility.P1IDNumber,4686)="","",INDEX(I.Facility.P1IDNumber,4686))</f>
        <v/>
      </c>
      <c r="G4698" s="51"/>
      <c r="H4698" s="46" t="str">
        <f>IF(AND(I.Developer.P1=TRUE,I.Facility.P1FacilityCount&gt;=4686,F4698=""),"Incomplete","Complete")</f>
        <v>Complete</v>
      </c>
      <c r="I4698" s="48" t="s">
        <v>9063</v>
      </c>
    </row>
    <row r="4699" spans="2:9" ht="15" customHeight="1" x14ac:dyDescent="0.25">
      <c r="B4699" s="55" t="s">
        <v>279</v>
      </c>
      <c r="C4699" s="46">
        <v>4687</v>
      </c>
      <c r="D4699" s="69" t="s">
        <v>29416</v>
      </c>
      <c r="E4699" s="51"/>
      <c r="F4699" s="114" t="str">
        <f>IF(INDEX(I.Facility.P1IDNumber,4687)="","",INDEX(I.Facility.P1IDNumber,4687))</f>
        <v/>
      </c>
      <c r="G4699" s="51"/>
      <c r="H4699" s="46" t="str">
        <f>IF(AND(I.Developer.P1=TRUE,I.Facility.P1FacilityCount&gt;=4687,F4699=""),"Incomplete","Complete")</f>
        <v>Complete</v>
      </c>
      <c r="I4699" s="48" t="s">
        <v>9064</v>
      </c>
    </row>
    <row r="4700" spans="2:9" ht="15" customHeight="1" x14ac:dyDescent="0.25">
      <c r="B4700" s="55" t="s">
        <v>279</v>
      </c>
      <c r="C4700" s="46">
        <v>4688</v>
      </c>
      <c r="D4700" s="69" t="s">
        <v>29416</v>
      </c>
      <c r="E4700" s="51"/>
      <c r="F4700" s="114" t="str">
        <f>IF(INDEX(I.Facility.P1IDNumber,4688)="","",INDEX(I.Facility.P1IDNumber,4688))</f>
        <v/>
      </c>
      <c r="G4700" s="51"/>
      <c r="H4700" s="46" t="str">
        <f>IF(AND(I.Developer.P1=TRUE,I.Facility.P1FacilityCount&gt;=4688,F4700=""),"Incomplete","Complete")</f>
        <v>Complete</v>
      </c>
      <c r="I4700" s="48" t="s">
        <v>9065</v>
      </c>
    </row>
    <row r="4701" spans="2:9" ht="15" customHeight="1" x14ac:dyDescent="0.25">
      <c r="B4701" s="55" t="s">
        <v>279</v>
      </c>
      <c r="C4701" s="46">
        <v>4689</v>
      </c>
      <c r="D4701" s="69" t="s">
        <v>29416</v>
      </c>
      <c r="E4701" s="51"/>
      <c r="F4701" s="114" t="str">
        <f>IF(INDEX(I.Facility.P1IDNumber,4689)="","",INDEX(I.Facility.P1IDNumber,4689))</f>
        <v/>
      </c>
      <c r="G4701" s="51"/>
      <c r="H4701" s="46" t="str">
        <f>IF(AND(I.Developer.P1=TRUE,I.Facility.P1FacilityCount&gt;=4689,F4701=""),"Incomplete","Complete")</f>
        <v>Complete</v>
      </c>
      <c r="I4701" s="48" t="s">
        <v>9066</v>
      </c>
    </row>
    <row r="4702" spans="2:9" ht="15" customHeight="1" x14ac:dyDescent="0.25">
      <c r="B4702" s="55" t="s">
        <v>279</v>
      </c>
      <c r="C4702" s="46">
        <v>4690</v>
      </c>
      <c r="D4702" s="69" t="s">
        <v>29416</v>
      </c>
      <c r="E4702" s="51"/>
      <c r="F4702" s="114" t="str">
        <f>IF(INDEX(I.Facility.P1IDNumber,4690)="","",INDEX(I.Facility.P1IDNumber,4690))</f>
        <v/>
      </c>
      <c r="G4702" s="51"/>
      <c r="H4702" s="46" t="str">
        <f>IF(AND(I.Developer.P1=TRUE,I.Facility.P1FacilityCount&gt;=4690,F4702=""),"Incomplete","Complete")</f>
        <v>Complete</v>
      </c>
      <c r="I4702" s="48" t="s">
        <v>9067</v>
      </c>
    </row>
    <row r="4703" spans="2:9" ht="15" customHeight="1" x14ac:dyDescent="0.25">
      <c r="B4703" s="55" t="s">
        <v>279</v>
      </c>
      <c r="C4703" s="46">
        <v>4691</v>
      </c>
      <c r="D4703" s="69" t="s">
        <v>29416</v>
      </c>
      <c r="E4703" s="51"/>
      <c r="F4703" s="114" t="str">
        <f>IF(INDEX(I.Facility.P1IDNumber,4691)="","",INDEX(I.Facility.P1IDNumber,4691))</f>
        <v/>
      </c>
      <c r="G4703" s="51"/>
      <c r="H4703" s="46" t="str">
        <f>IF(AND(I.Developer.P1=TRUE,I.Facility.P1FacilityCount&gt;=4691,F4703=""),"Incomplete","Complete")</f>
        <v>Complete</v>
      </c>
      <c r="I4703" s="48" t="s">
        <v>9068</v>
      </c>
    </row>
    <row r="4704" spans="2:9" ht="15" customHeight="1" x14ac:dyDescent="0.25">
      <c r="B4704" s="55" t="s">
        <v>279</v>
      </c>
      <c r="C4704" s="46">
        <v>4692</v>
      </c>
      <c r="D4704" s="69" t="s">
        <v>29416</v>
      </c>
      <c r="E4704" s="51"/>
      <c r="F4704" s="114" t="str">
        <f>IF(INDEX(I.Facility.P1IDNumber,4692)="","",INDEX(I.Facility.P1IDNumber,4692))</f>
        <v/>
      </c>
      <c r="G4704" s="51"/>
      <c r="H4704" s="46" t="str">
        <f>IF(AND(I.Developer.P1=TRUE,I.Facility.P1FacilityCount&gt;=4692,F4704=""),"Incomplete","Complete")</f>
        <v>Complete</v>
      </c>
      <c r="I4704" s="48" t="s">
        <v>9069</v>
      </c>
    </row>
    <row r="4705" spans="2:9" ht="15" customHeight="1" x14ac:dyDescent="0.25">
      <c r="B4705" s="55" t="s">
        <v>279</v>
      </c>
      <c r="C4705" s="46">
        <v>4693</v>
      </c>
      <c r="D4705" s="69" t="s">
        <v>29416</v>
      </c>
      <c r="E4705" s="51"/>
      <c r="F4705" s="114" t="str">
        <f>IF(INDEX(I.Facility.P1IDNumber,4693)="","",INDEX(I.Facility.P1IDNumber,4693))</f>
        <v/>
      </c>
      <c r="G4705" s="51"/>
      <c r="H4705" s="46" t="str">
        <f>IF(AND(I.Developer.P1=TRUE,I.Facility.P1FacilityCount&gt;=4693,F4705=""),"Incomplete","Complete")</f>
        <v>Complete</v>
      </c>
      <c r="I4705" s="48" t="s">
        <v>9070</v>
      </c>
    </row>
    <row r="4706" spans="2:9" ht="15" customHeight="1" x14ac:dyDescent="0.25">
      <c r="B4706" s="55" t="s">
        <v>279</v>
      </c>
      <c r="C4706" s="46">
        <v>4694</v>
      </c>
      <c r="D4706" s="69" t="s">
        <v>29416</v>
      </c>
      <c r="E4706" s="51"/>
      <c r="F4706" s="114" t="str">
        <f>IF(INDEX(I.Facility.P1IDNumber,4694)="","",INDEX(I.Facility.P1IDNumber,4694))</f>
        <v/>
      </c>
      <c r="G4706" s="51"/>
      <c r="H4706" s="46" t="str">
        <f>IF(AND(I.Developer.P1=TRUE,I.Facility.P1FacilityCount&gt;=4694,F4706=""),"Incomplete","Complete")</f>
        <v>Complete</v>
      </c>
      <c r="I4706" s="48" t="s">
        <v>9071</v>
      </c>
    </row>
    <row r="4707" spans="2:9" ht="15" customHeight="1" x14ac:dyDescent="0.25">
      <c r="B4707" s="55" t="s">
        <v>279</v>
      </c>
      <c r="C4707" s="46">
        <v>4695</v>
      </c>
      <c r="D4707" s="69" t="s">
        <v>29416</v>
      </c>
      <c r="E4707" s="51"/>
      <c r="F4707" s="114" t="str">
        <f>IF(INDEX(I.Facility.P1IDNumber,4695)="","",INDEX(I.Facility.P1IDNumber,4695))</f>
        <v/>
      </c>
      <c r="G4707" s="51"/>
      <c r="H4707" s="46" t="str">
        <f>IF(AND(I.Developer.P1=TRUE,I.Facility.P1FacilityCount&gt;=4695,F4707=""),"Incomplete","Complete")</f>
        <v>Complete</v>
      </c>
      <c r="I4707" s="48" t="s">
        <v>9072</v>
      </c>
    </row>
    <row r="4708" spans="2:9" ht="15" customHeight="1" x14ac:dyDescent="0.25">
      <c r="B4708" s="55" t="s">
        <v>279</v>
      </c>
      <c r="C4708" s="46">
        <v>4696</v>
      </c>
      <c r="D4708" s="69" t="s">
        <v>29416</v>
      </c>
      <c r="E4708" s="51"/>
      <c r="F4708" s="114" t="str">
        <f>IF(INDEX(I.Facility.P1IDNumber,4696)="","",INDEX(I.Facility.P1IDNumber,4696))</f>
        <v/>
      </c>
      <c r="G4708" s="51"/>
      <c r="H4708" s="46" t="str">
        <f>IF(AND(I.Developer.P1=TRUE,I.Facility.P1FacilityCount&gt;=4696,F4708=""),"Incomplete","Complete")</f>
        <v>Complete</v>
      </c>
      <c r="I4708" s="48" t="s">
        <v>9073</v>
      </c>
    </row>
    <row r="4709" spans="2:9" ht="15" customHeight="1" x14ac:dyDescent="0.25">
      <c r="B4709" s="55" t="s">
        <v>279</v>
      </c>
      <c r="C4709" s="46">
        <v>4697</v>
      </c>
      <c r="D4709" s="69" t="s">
        <v>29416</v>
      </c>
      <c r="E4709" s="51"/>
      <c r="F4709" s="114" t="str">
        <f>IF(INDEX(I.Facility.P1IDNumber,4697)="","",INDEX(I.Facility.P1IDNumber,4697))</f>
        <v/>
      </c>
      <c r="G4709" s="51"/>
      <c r="H4709" s="46" t="str">
        <f>IF(AND(I.Developer.P1=TRUE,I.Facility.P1FacilityCount&gt;=4697,F4709=""),"Incomplete","Complete")</f>
        <v>Complete</v>
      </c>
      <c r="I4709" s="48" t="s">
        <v>9074</v>
      </c>
    </row>
    <row r="4710" spans="2:9" ht="15" customHeight="1" x14ac:dyDescent="0.25">
      <c r="B4710" s="55" t="s">
        <v>279</v>
      </c>
      <c r="C4710" s="46">
        <v>4698</v>
      </c>
      <c r="D4710" s="69" t="s">
        <v>29416</v>
      </c>
      <c r="E4710" s="51"/>
      <c r="F4710" s="114" t="str">
        <f>IF(INDEX(I.Facility.P1IDNumber,4698)="","",INDEX(I.Facility.P1IDNumber,4698))</f>
        <v/>
      </c>
      <c r="G4710" s="51"/>
      <c r="H4710" s="46" t="str">
        <f>IF(AND(I.Developer.P1=TRUE,I.Facility.P1FacilityCount&gt;=4698,F4710=""),"Incomplete","Complete")</f>
        <v>Complete</v>
      </c>
      <c r="I4710" s="48" t="s">
        <v>9075</v>
      </c>
    </row>
    <row r="4711" spans="2:9" ht="15" customHeight="1" x14ac:dyDescent="0.25">
      <c r="B4711" s="55" t="s">
        <v>279</v>
      </c>
      <c r="C4711" s="46">
        <v>4699</v>
      </c>
      <c r="D4711" s="69" t="s">
        <v>29416</v>
      </c>
      <c r="E4711" s="51"/>
      <c r="F4711" s="114" t="str">
        <f>IF(INDEX(I.Facility.P1IDNumber,4699)="","",INDEX(I.Facility.P1IDNumber,4699))</f>
        <v/>
      </c>
      <c r="G4711" s="51"/>
      <c r="H4711" s="46" t="str">
        <f>IF(AND(I.Developer.P1=TRUE,I.Facility.P1FacilityCount&gt;=4699,F4711=""),"Incomplete","Complete")</f>
        <v>Complete</v>
      </c>
      <c r="I4711" s="48" t="s">
        <v>9076</v>
      </c>
    </row>
    <row r="4712" spans="2:9" ht="15" customHeight="1" x14ac:dyDescent="0.25">
      <c r="B4712" s="55" t="s">
        <v>279</v>
      </c>
      <c r="C4712" s="46">
        <v>4700</v>
      </c>
      <c r="D4712" s="69" t="s">
        <v>29416</v>
      </c>
      <c r="E4712" s="51"/>
      <c r="F4712" s="114" t="str">
        <f>IF(INDEX(I.Facility.P1IDNumber,4700)="","",INDEX(I.Facility.P1IDNumber,4700))</f>
        <v/>
      </c>
      <c r="G4712" s="51"/>
      <c r="H4712" s="46" t="str">
        <f>IF(AND(I.Developer.P1=TRUE,I.Facility.P1FacilityCount&gt;=4700,F4712=""),"Incomplete","Complete")</f>
        <v>Complete</v>
      </c>
      <c r="I4712" s="48" t="s">
        <v>9077</v>
      </c>
    </row>
    <row r="4713" spans="2:9" ht="15" customHeight="1" x14ac:dyDescent="0.25">
      <c r="B4713" s="55" t="s">
        <v>279</v>
      </c>
      <c r="C4713" s="46">
        <v>4701</v>
      </c>
      <c r="D4713" s="69" t="s">
        <v>29416</v>
      </c>
      <c r="E4713" s="51"/>
      <c r="F4713" s="114" t="str">
        <f>IF(INDEX(I.Facility.P1IDNumber,4701)="","",INDEX(I.Facility.P1IDNumber,4701))</f>
        <v/>
      </c>
      <c r="G4713" s="51"/>
      <c r="H4713" s="46" t="str">
        <f>IF(AND(I.Developer.P1=TRUE,I.Facility.P1FacilityCount&gt;=4701,F4713=""),"Incomplete","Complete")</f>
        <v>Complete</v>
      </c>
      <c r="I4713" s="48" t="s">
        <v>9078</v>
      </c>
    </row>
    <row r="4714" spans="2:9" ht="15" customHeight="1" x14ac:dyDescent="0.25">
      <c r="B4714" s="55" t="s">
        <v>279</v>
      </c>
      <c r="C4714" s="46">
        <v>4702</v>
      </c>
      <c r="D4714" s="69" t="s">
        <v>29416</v>
      </c>
      <c r="E4714" s="51"/>
      <c r="F4714" s="114" t="str">
        <f>IF(INDEX(I.Facility.P1IDNumber,4702)="","",INDEX(I.Facility.P1IDNumber,4702))</f>
        <v/>
      </c>
      <c r="G4714" s="51"/>
      <c r="H4714" s="46" t="str">
        <f>IF(AND(I.Developer.P1=TRUE,I.Facility.P1FacilityCount&gt;=4702,F4714=""),"Incomplete","Complete")</f>
        <v>Complete</v>
      </c>
      <c r="I4714" s="48" t="s">
        <v>9079</v>
      </c>
    </row>
    <row r="4715" spans="2:9" ht="15" customHeight="1" x14ac:dyDescent="0.25">
      <c r="B4715" s="55" t="s">
        <v>279</v>
      </c>
      <c r="C4715" s="46">
        <v>4703</v>
      </c>
      <c r="D4715" s="69" t="s">
        <v>29416</v>
      </c>
      <c r="E4715" s="51"/>
      <c r="F4715" s="114" t="str">
        <f>IF(INDEX(I.Facility.P1IDNumber,4703)="","",INDEX(I.Facility.P1IDNumber,4703))</f>
        <v/>
      </c>
      <c r="G4715" s="51"/>
      <c r="H4715" s="46" t="str">
        <f>IF(AND(I.Developer.P1=TRUE,I.Facility.P1FacilityCount&gt;=4703,F4715=""),"Incomplete","Complete")</f>
        <v>Complete</v>
      </c>
      <c r="I4715" s="48" t="s">
        <v>9080</v>
      </c>
    </row>
    <row r="4716" spans="2:9" ht="15" customHeight="1" x14ac:dyDescent="0.25">
      <c r="B4716" s="55" t="s">
        <v>279</v>
      </c>
      <c r="C4716" s="46">
        <v>4704</v>
      </c>
      <c r="D4716" s="69" t="s">
        <v>29416</v>
      </c>
      <c r="E4716" s="51"/>
      <c r="F4716" s="114" t="str">
        <f>IF(INDEX(I.Facility.P1IDNumber,4704)="","",INDEX(I.Facility.P1IDNumber,4704))</f>
        <v/>
      </c>
      <c r="G4716" s="51"/>
      <c r="H4716" s="46" t="str">
        <f>IF(AND(I.Developer.P1=TRUE,I.Facility.P1FacilityCount&gt;=4704,F4716=""),"Incomplete","Complete")</f>
        <v>Complete</v>
      </c>
      <c r="I4716" s="48" t="s">
        <v>9081</v>
      </c>
    </row>
    <row r="4717" spans="2:9" ht="15" customHeight="1" x14ac:dyDescent="0.25">
      <c r="B4717" s="55" t="s">
        <v>279</v>
      </c>
      <c r="C4717" s="46">
        <v>4705</v>
      </c>
      <c r="D4717" s="69" t="s">
        <v>29416</v>
      </c>
      <c r="E4717" s="51"/>
      <c r="F4717" s="114" t="str">
        <f>IF(INDEX(I.Facility.P1IDNumber,4705)="","",INDEX(I.Facility.P1IDNumber,4705))</f>
        <v/>
      </c>
      <c r="G4717" s="51"/>
      <c r="H4717" s="46" t="str">
        <f>IF(AND(I.Developer.P1=TRUE,I.Facility.P1FacilityCount&gt;=4705,F4717=""),"Incomplete","Complete")</f>
        <v>Complete</v>
      </c>
      <c r="I4717" s="48" t="s">
        <v>9082</v>
      </c>
    </row>
    <row r="4718" spans="2:9" ht="15" customHeight="1" x14ac:dyDescent="0.25">
      <c r="B4718" s="55" t="s">
        <v>279</v>
      </c>
      <c r="C4718" s="46">
        <v>4706</v>
      </c>
      <c r="D4718" s="69" t="s">
        <v>29416</v>
      </c>
      <c r="E4718" s="51"/>
      <c r="F4718" s="114" t="str">
        <f>IF(INDEX(I.Facility.P1IDNumber,4706)="","",INDEX(I.Facility.P1IDNumber,4706))</f>
        <v/>
      </c>
      <c r="G4718" s="51"/>
      <c r="H4718" s="46" t="str">
        <f>IF(AND(I.Developer.P1=TRUE,I.Facility.P1FacilityCount&gt;=4706,F4718=""),"Incomplete","Complete")</f>
        <v>Complete</v>
      </c>
      <c r="I4718" s="48" t="s">
        <v>9083</v>
      </c>
    </row>
    <row r="4719" spans="2:9" ht="15" customHeight="1" x14ac:dyDescent="0.25">
      <c r="B4719" s="55" t="s">
        <v>279</v>
      </c>
      <c r="C4719" s="46">
        <v>4707</v>
      </c>
      <c r="D4719" s="69" t="s">
        <v>29416</v>
      </c>
      <c r="E4719" s="51"/>
      <c r="F4719" s="114" t="str">
        <f>IF(INDEX(I.Facility.P1IDNumber,4707)="","",INDEX(I.Facility.P1IDNumber,4707))</f>
        <v/>
      </c>
      <c r="G4719" s="51"/>
      <c r="H4719" s="46" t="str">
        <f>IF(AND(I.Developer.P1=TRUE,I.Facility.P1FacilityCount&gt;=4707,F4719=""),"Incomplete","Complete")</f>
        <v>Complete</v>
      </c>
      <c r="I4719" s="48" t="s">
        <v>9084</v>
      </c>
    </row>
    <row r="4720" spans="2:9" ht="15" customHeight="1" x14ac:dyDescent="0.25">
      <c r="B4720" s="55" t="s">
        <v>279</v>
      </c>
      <c r="C4720" s="46">
        <v>4708</v>
      </c>
      <c r="D4720" s="69" t="s">
        <v>29416</v>
      </c>
      <c r="E4720" s="51"/>
      <c r="F4720" s="114" t="str">
        <f>IF(INDEX(I.Facility.P1IDNumber,4708)="","",INDEX(I.Facility.P1IDNumber,4708))</f>
        <v/>
      </c>
      <c r="G4720" s="51"/>
      <c r="H4720" s="46" t="str">
        <f>IF(AND(I.Developer.P1=TRUE,I.Facility.P1FacilityCount&gt;=4708,F4720=""),"Incomplete","Complete")</f>
        <v>Complete</v>
      </c>
      <c r="I4720" s="48" t="s">
        <v>9085</v>
      </c>
    </row>
    <row r="4721" spans="2:9" ht="15" customHeight="1" x14ac:dyDescent="0.25">
      <c r="B4721" s="55" t="s">
        <v>279</v>
      </c>
      <c r="C4721" s="46">
        <v>4709</v>
      </c>
      <c r="D4721" s="69" t="s">
        <v>29416</v>
      </c>
      <c r="E4721" s="51"/>
      <c r="F4721" s="114" t="str">
        <f>IF(INDEX(I.Facility.P1IDNumber,4709)="","",INDEX(I.Facility.P1IDNumber,4709))</f>
        <v/>
      </c>
      <c r="G4721" s="51"/>
      <c r="H4721" s="46" t="str">
        <f>IF(AND(I.Developer.P1=TRUE,I.Facility.P1FacilityCount&gt;=4709,F4721=""),"Incomplete","Complete")</f>
        <v>Complete</v>
      </c>
      <c r="I4721" s="48" t="s">
        <v>9086</v>
      </c>
    </row>
    <row r="4722" spans="2:9" ht="15" customHeight="1" x14ac:dyDescent="0.25">
      <c r="B4722" s="55" t="s">
        <v>279</v>
      </c>
      <c r="C4722" s="46">
        <v>4710</v>
      </c>
      <c r="D4722" s="69" t="s">
        <v>29416</v>
      </c>
      <c r="E4722" s="51"/>
      <c r="F4722" s="114" t="str">
        <f>IF(INDEX(I.Facility.P1IDNumber,4710)="","",INDEX(I.Facility.P1IDNumber,4710))</f>
        <v/>
      </c>
      <c r="G4722" s="51"/>
      <c r="H4722" s="46" t="str">
        <f>IF(AND(I.Developer.P1=TRUE,I.Facility.P1FacilityCount&gt;=4710,F4722=""),"Incomplete","Complete")</f>
        <v>Complete</v>
      </c>
      <c r="I4722" s="48" t="s">
        <v>9087</v>
      </c>
    </row>
    <row r="4723" spans="2:9" ht="15" customHeight="1" x14ac:dyDescent="0.25">
      <c r="B4723" s="55" t="s">
        <v>279</v>
      </c>
      <c r="C4723" s="46">
        <v>4711</v>
      </c>
      <c r="D4723" s="69" t="s">
        <v>29416</v>
      </c>
      <c r="E4723" s="51"/>
      <c r="F4723" s="114" t="str">
        <f>IF(INDEX(I.Facility.P1IDNumber,4711)="","",INDEX(I.Facility.P1IDNumber,4711))</f>
        <v/>
      </c>
      <c r="G4723" s="51"/>
      <c r="H4723" s="46" t="str">
        <f>IF(AND(I.Developer.P1=TRUE,I.Facility.P1FacilityCount&gt;=4711,F4723=""),"Incomplete","Complete")</f>
        <v>Complete</v>
      </c>
      <c r="I4723" s="48" t="s">
        <v>9088</v>
      </c>
    </row>
    <row r="4724" spans="2:9" ht="15" customHeight="1" x14ac:dyDescent="0.25">
      <c r="B4724" s="55" t="s">
        <v>279</v>
      </c>
      <c r="C4724" s="46">
        <v>4712</v>
      </c>
      <c r="D4724" s="69" t="s">
        <v>29416</v>
      </c>
      <c r="E4724" s="51"/>
      <c r="F4724" s="114" t="str">
        <f>IF(INDEX(I.Facility.P1IDNumber,4712)="","",INDEX(I.Facility.P1IDNumber,4712))</f>
        <v/>
      </c>
      <c r="G4724" s="51"/>
      <c r="H4724" s="46" t="str">
        <f>IF(AND(I.Developer.P1=TRUE,I.Facility.P1FacilityCount&gt;=4712,F4724=""),"Incomplete","Complete")</f>
        <v>Complete</v>
      </c>
      <c r="I4724" s="48" t="s">
        <v>9089</v>
      </c>
    </row>
    <row r="4725" spans="2:9" ht="15" customHeight="1" x14ac:dyDescent="0.25">
      <c r="B4725" s="55" t="s">
        <v>279</v>
      </c>
      <c r="C4725" s="46">
        <v>4713</v>
      </c>
      <c r="D4725" s="69" t="s">
        <v>29416</v>
      </c>
      <c r="E4725" s="51"/>
      <c r="F4725" s="114" t="str">
        <f>IF(INDEX(I.Facility.P1IDNumber,4713)="","",INDEX(I.Facility.P1IDNumber,4713))</f>
        <v/>
      </c>
      <c r="G4725" s="51"/>
      <c r="H4725" s="46" t="str">
        <f>IF(AND(I.Developer.P1=TRUE,I.Facility.P1FacilityCount&gt;=4713,F4725=""),"Incomplete","Complete")</f>
        <v>Complete</v>
      </c>
      <c r="I4725" s="48" t="s">
        <v>9090</v>
      </c>
    </row>
    <row r="4726" spans="2:9" ht="15" customHeight="1" x14ac:dyDescent="0.25">
      <c r="B4726" s="55" t="s">
        <v>279</v>
      </c>
      <c r="C4726" s="46">
        <v>4714</v>
      </c>
      <c r="D4726" s="69" t="s">
        <v>29416</v>
      </c>
      <c r="E4726" s="51"/>
      <c r="F4726" s="114" t="str">
        <f>IF(INDEX(I.Facility.P1IDNumber,4714)="","",INDEX(I.Facility.P1IDNumber,4714))</f>
        <v/>
      </c>
      <c r="G4726" s="51"/>
      <c r="H4726" s="46" t="str">
        <f>IF(AND(I.Developer.P1=TRUE,I.Facility.P1FacilityCount&gt;=4714,F4726=""),"Incomplete","Complete")</f>
        <v>Complete</v>
      </c>
      <c r="I4726" s="48" t="s">
        <v>9091</v>
      </c>
    </row>
    <row r="4727" spans="2:9" ht="15" customHeight="1" x14ac:dyDescent="0.25">
      <c r="B4727" s="55" t="s">
        <v>279</v>
      </c>
      <c r="C4727" s="46">
        <v>4715</v>
      </c>
      <c r="D4727" s="69" t="s">
        <v>29416</v>
      </c>
      <c r="E4727" s="51"/>
      <c r="F4727" s="114" t="str">
        <f>IF(INDEX(I.Facility.P1IDNumber,4715)="","",INDEX(I.Facility.P1IDNumber,4715))</f>
        <v/>
      </c>
      <c r="G4727" s="51"/>
      <c r="H4727" s="46" t="str">
        <f>IF(AND(I.Developer.P1=TRUE,I.Facility.P1FacilityCount&gt;=4715,F4727=""),"Incomplete","Complete")</f>
        <v>Complete</v>
      </c>
      <c r="I4727" s="48" t="s">
        <v>9092</v>
      </c>
    </row>
    <row r="4728" spans="2:9" ht="15" customHeight="1" x14ac:dyDescent="0.25">
      <c r="B4728" s="55" t="s">
        <v>279</v>
      </c>
      <c r="C4728" s="46">
        <v>4716</v>
      </c>
      <c r="D4728" s="69" t="s">
        <v>29416</v>
      </c>
      <c r="E4728" s="51"/>
      <c r="F4728" s="114" t="str">
        <f>IF(INDEX(I.Facility.P1IDNumber,4716)="","",INDEX(I.Facility.P1IDNumber,4716))</f>
        <v/>
      </c>
      <c r="G4728" s="51"/>
      <c r="H4728" s="46" t="str">
        <f>IF(AND(I.Developer.P1=TRUE,I.Facility.P1FacilityCount&gt;=4716,F4728=""),"Incomplete","Complete")</f>
        <v>Complete</v>
      </c>
      <c r="I4728" s="48" t="s">
        <v>9093</v>
      </c>
    </row>
    <row r="4729" spans="2:9" ht="15" customHeight="1" x14ac:dyDescent="0.25">
      <c r="B4729" s="55" t="s">
        <v>279</v>
      </c>
      <c r="C4729" s="46">
        <v>4717</v>
      </c>
      <c r="D4729" s="69" t="s">
        <v>29416</v>
      </c>
      <c r="E4729" s="51"/>
      <c r="F4729" s="114" t="str">
        <f>IF(INDEX(I.Facility.P1IDNumber,4717)="","",INDEX(I.Facility.P1IDNumber,4717))</f>
        <v/>
      </c>
      <c r="G4729" s="51"/>
      <c r="H4729" s="46" t="str">
        <f>IF(AND(I.Developer.P1=TRUE,I.Facility.P1FacilityCount&gt;=4717,F4729=""),"Incomplete","Complete")</f>
        <v>Complete</v>
      </c>
      <c r="I4729" s="48" t="s">
        <v>9094</v>
      </c>
    </row>
    <row r="4730" spans="2:9" ht="15" customHeight="1" x14ac:dyDescent="0.25">
      <c r="B4730" s="55" t="s">
        <v>279</v>
      </c>
      <c r="C4730" s="46">
        <v>4718</v>
      </c>
      <c r="D4730" s="69" t="s">
        <v>29416</v>
      </c>
      <c r="E4730" s="51"/>
      <c r="F4730" s="114" t="str">
        <f>IF(INDEX(I.Facility.P1IDNumber,4718)="","",INDEX(I.Facility.P1IDNumber,4718))</f>
        <v/>
      </c>
      <c r="G4730" s="51"/>
      <c r="H4730" s="46" t="str">
        <f>IF(AND(I.Developer.P1=TRUE,I.Facility.P1FacilityCount&gt;=4718,F4730=""),"Incomplete","Complete")</f>
        <v>Complete</v>
      </c>
      <c r="I4730" s="48" t="s">
        <v>9095</v>
      </c>
    </row>
    <row r="4731" spans="2:9" ht="15" customHeight="1" x14ac:dyDescent="0.25">
      <c r="B4731" s="55" t="s">
        <v>279</v>
      </c>
      <c r="C4731" s="46">
        <v>4719</v>
      </c>
      <c r="D4731" s="69" t="s">
        <v>29416</v>
      </c>
      <c r="E4731" s="51"/>
      <c r="F4731" s="114" t="str">
        <f>IF(INDEX(I.Facility.P1IDNumber,4719)="","",INDEX(I.Facility.P1IDNumber,4719))</f>
        <v/>
      </c>
      <c r="G4731" s="51"/>
      <c r="H4731" s="46" t="str">
        <f>IF(AND(I.Developer.P1=TRUE,I.Facility.P1FacilityCount&gt;=4719,F4731=""),"Incomplete","Complete")</f>
        <v>Complete</v>
      </c>
      <c r="I4731" s="48" t="s">
        <v>9096</v>
      </c>
    </row>
    <row r="4732" spans="2:9" ht="15" customHeight="1" x14ac:dyDescent="0.25">
      <c r="B4732" s="55" t="s">
        <v>279</v>
      </c>
      <c r="C4732" s="46">
        <v>4720</v>
      </c>
      <c r="D4732" s="69" t="s">
        <v>29416</v>
      </c>
      <c r="E4732" s="51"/>
      <c r="F4732" s="114" t="str">
        <f>IF(INDEX(I.Facility.P1IDNumber,4720)="","",INDEX(I.Facility.P1IDNumber,4720))</f>
        <v/>
      </c>
      <c r="G4732" s="51"/>
      <c r="H4732" s="46" t="str">
        <f>IF(AND(I.Developer.P1=TRUE,I.Facility.P1FacilityCount&gt;=4720,F4732=""),"Incomplete","Complete")</f>
        <v>Complete</v>
      </c>
      <c r="I4732" s="48" t="s">
        <v>9097</v>
      </c>
    </row>
    <row r="4733" spans="2:9" ht="15" customHeight="1" x14ac:dyDescent="0.25">
      <c r="B4733" s="55" t="s">
        <v>279</v>
      </c>
      <c r="C4733" s="46">
        <v>4721</v>
      </c>
      <c r="D4733" s="69" t="s">
        <v>29416</v>
      </c>
      <c r="E4733" s="51"/>
      <c r="F4733" s="114" t="str">
        <f>IF(INDEX(I.Facility.P1IDNumber,4721)="","",INDEX(I.Facility.P1IDNumber,4721))</f>
        <v/>
      </c>
      <c r="G4733" s="51"/>
      <c r="H4733" s="46" t="str">
        <f>IF(AND(I.Developer.P1=TRUE,I.Facility.P1FacilityCount&gt;=4721,F4733=""),"Incomplete","Complete")</f>
        <v>Complete</v>
      </c>
      <c r="I4733" s="48" t="s">
        <v>9098</v>
      </c>
    </row>
    <row r="4734" spans="2:9" ht="15" customHeight="1" x14ac:dyDescent="0.25">
      <c r="B4734" s="55" t="s">
        <v>279</v>
      </c>
      <c r="C4734" s="46">
        <v>4722</v>
      </c>
      <c r="D4734" s="69" t="s">
        <v>29416</v>
      </c>
      <c r="E4734" s="51"/>
      <c r="F4734" s="114" t="str">
        <f>IF(INDEX(I.Facility.P1IDNumber,4722)="","",INDEX(I.Facility.P1IDNumber,4722))</f>
        <v/>
      </c>
      <c r="G4734" s="51"/>
      <c r="H4734" s="46" t="str">
        <f>IF(AND(I.Developer.P1=TRUE,I.Facility.P1FacilityCount&gt;=4722,F4734=""),"Incomplete","Complete")</f>
        <v>Complete</v>
      </c>
      <c r="I4734" s="48" t="s">
        <v>9099</v>
      </c>
    </row>
    <row r="4735" spans="2:9" ht="15" customHeight="1" x14ac:dyDescent="0.25">
      <c r="B4735" s="55" t="s">
        <v>279</v>
      </c>
      <c r="C4735" s="46">
        <v>4723</v>
      </c>
      <c r="D4735" s="69" t="s">
        <v>29416</v>
      </c>
      <c r="E4735" s="51"/>
      <c r="F4735" s="114" t="str">
        <f>IF(INDEX(I.Facility.P1IDNumber,4723)="","",INDEX(I.Facility.P1IDNumber,4723))</f>
        <v/>
      </c>
      <c r="G4735" s="51"/>
      <c r="H4735" s="46" t="str">
        <f>IF(AND(I.Developer.P1=TRUE,I.Facility.P1FacilityCount&gt;=4723,F4735=""),"Incomplete","Complete")</f>
        <v>Complete</v>
      </c>
      <c r="I4735" s="48" t="s">
        <v>9100</v>
      </c>
    </row>
    <row r="4736" spans="2:9" ht="15" customHeight="1" x14ac:dyDescent="0.25">
      <c r="B4736" s="55" t="s">
        <v>279</v>
      </c>
      <c r="C4736" s="46">
        <v>4724</v>
      </c>
      <c r="D4736" s="69" t="s">
        <v>29416</v>
      </c>
      <c r="E4736" s="51"/>
      <c r="F4736" s="114" t="str">
        <f>IF(INDEX(I.Facility.P1IDNumber,4724)="","",INDEX(I.Facility.P1IDNumber,4724))</f>
        <v/>
      </c>
      <c r="G4736" s="51"/>
      <c r="H4736" s="46" t="str">
        <f>IF(AND(I.Developer.P1=TRUE,I.Facility.P1FacilityCount&gt;=4724,F4736=""),"Incomplete","Complete")</f>
        <v>Complete</v>
      </c>
      <c r="I4736" s="48" t="s">
        <v>9101</v>
      </c>
    </row>
    <row r="4737" spans="2:9" ht="15" customHeight="1" x14ac:dyDescent="0.25">
      <c r="B4737" s="55" t="s">
        <v>279</v>
      </c>
      <c r="C4737" s="46">
        <v>4725</v>
      </c>
      <c r="D4737" s="69" t="s">
        <v>29416</v>
      </c>
      <c r="E4737" s="51"/>
      <c r="F4737" s="114" t="str">
        <f>IF(INDEX(I.Facility.P1IDNumber,4725)="","",INDEX(I.Facility.P1IDNumber,4725))</f>
        <v/>
      </c>
      <c r="G4737" s="51"/>
      <c r="H4737" s="46" t="str">
        <f>IF(AND(I.Developer.P1=TRUE,I.Facility.P1FacilityCount&gt;=4725,F4737=""),"Incomplete","Complete")</f>
        <v>Complete</v>
      </c>
      <c r="I4737" s="48" t="s">
        <v>9102</v>
      </c>
    </row>
    <row r="4738" spans="2:9" ht="15" customHeight="1" x14ac:dyDescent="0.25">
      <c r="B4738" s="55" t="s">
        <v>279</v>
      </c>
      <c r="C4738" s="46">
        <v>4726</v>
      </c>
      <c r="D4738" s="69" t="s">
        <v>29416</v>
      </c>
      <c r="E4738" s="51"/>
      <c r="F4738" s="114" t="str">
        <f>IF(INDEX(I.Facility.P1IDNumber,4726)="","",INDEX(I.Facility.P1IDNumber,4726))</f>
        <v/>
      </c>
      <c r="G4738" s="51"/>
      <c r="H4738" s="46" t="str">
        <f>IF(AND(I.Developer.P1=TRUE,I.Facility.P1FacilityCount&gt;=4726,F4738=""),"Incomplete","Complete")</f>
        <v>Complete</v>
      </c>
      <c r="I4738" s="48" t="s">
        <v>9103</v>
      </c>
    </row>
    <row r="4739" spans="2:9" ht="15" customHeight="1" x14ac:dyDescent="0.25">
      <c r="B4739" s="55" t="s">
        <v>279</v>
      </c>
      <c r="C4739" s="46">
        <v>4727</v>
      </c>
      <c r="D4739" s="69" t="s">
        <v>29416</v>
      </c>
      <c r="E4739" s="51"/>
      <c r="F4739" s="114" t="str">
        <f>IF(INDEX(I.Facility.P1IDNumber,4727)="","",INDEX(I.Facility.P1IDNumber,4727))</f>
        <v/>
      </c>
      <c r="G4739" s="51"/>
      <c r="H4739" s="46" t="str">
        <f>IF(AND(I.Developer.P1=TRUE,I.Facility.P1FacilityCount&gt;=4727,F4739=""),"Incomplete","Complete")</f>
        <v>Complete</v>
      </c>
      <c r="I4739" s="48" t="s">
        <v>9104</v>
      </c>
    </row>
    <row r="4740" spans="2:9" ht="15" customHeight="1" x14ac:dyDescent="0.25">
      <c r="B4740" s="55" t="s">
        <v>279</v>
      </c>
      <c r="C4740" s="46">
        <v>4728</v>
      </c>
      <c r="D4740" s="69" t="s">
        <v>29416</v>
      </c>
      <c r="E4740" s="51"/>
      <c r="F4740" s="114" t="str">
        <f>IF(INDEX(I.Facility.P1IDNumber,4728)="","",INDEX(I.Facility.P1IDNumber,4728))</f>
        <v/>
      </c>
      <c r="G4740" s="51"/>
      <c r="H4740" s="46" t="str">
        <f>IF(AND(I.Developer.P1=TRUE,I.Facility.P1FacilityCount&gt;=4728,F4740=""),"Incomplete","Complete")</f>
        <v>Complete</v>
      </c>
      <c r="I4740" s="48" t="s">
        <v>9105</v>
      </c>
    </row>
    <row r="4741" spans="2:9" ht="15" customHeight="1" x14ac:dyDescent="0.25">
      <c r="B4741" s="55" t="s">
        <v>279</v>
      </c>
      <c r="C4741" s="46">
        <v>4729</v>
      </c>
      <c r="D4741" s="69" t="s">
        <v>29416</v>
      </c>
      <c r="E4741" s="51"/>
      <c r="F4741" s="114" t="str">
        <f>IF(INDEX(I.Facility.P1IDNumber,4729)="","",INDEX(I.Facility.P1IDNumber,4729))</f>
        <v/>
      </c>
      <c r="G4741" s="51"/>
      <c r="H4741" s="46" t="str">
        <f>IF(AND(I.Developer.P1=TRUE,I.Facility.P1FacilityCount&gt;=4729,F4741=""),"Incomplete","Complete")</f>
        <v>Complete</v>
      </c>
      <c r="I4741" s="48" t="s">
        <v>9106</v>
      </c>
    </row>
    <row r="4742" spans="2:9" ht="15" customHeight="1" x14ac:dyDescent="0.25">
      <c r="B4742" s="55" t="s">
        <v>279</v>
      </c>
      <c r="C4742" s="46">
        <v>4730</v>
      </c>
      <c r="D4742" s="69" t="s">
        <v>29416</v>
      </c>
      <c r="E4742" s="51"/>
      <c r="F4742" s="114" t="str">
        <f>IF(INDEX(I.Facility.P1IDNumber,4730)="","",INDEX(I.Facility.P1IDNumber,4730))</f>
        <v/>
      </c>
      <c r="G4742" s="51"/>
      <c r="H4742" s="46" t="str">
        <f>IF(AND(I.Developer.P1=TRUE,I.Facility.P1FacilityCount&gt;=4730,F4742=""),"Incomplete","Complete")</f>
        <v>Complete</v>
      </c>
      <c r="I4742" s="48" t="s">
        <v>9107</v>
      </c>
    </row>
    <row r="4743" spans="2:9" ht="15" customHeight="1" x14ac:dyDescent="0.25">
      <c r="B4743" s="55" t="s">
        <v>279</v>
      </c>
      <c r="C4743" s="46">
        <v>4731</v>
      </c>
      <c r="D4743" s="69" t="s">
        <v>29416</v>
      </c>
      <c r="E4743" s="51"/>
      <c r="F4743" s="114" t="str">
        <f>IF(INDEX(I.Facility.P1IDNumber,4731)="","",INDEX(I.Facility.P1IDNumber,4731))</f>
        <v/>
      </c>
      <c r="G4743" s="51"/>
      <c r="H4743" s="46" t="str">
        <f>IF(AND(I.Developer.P1=TRUE,I.Facility.P1FacilityCount&gt;=4731,F4743=""),"Incomplete","Complete")</f>
        <v>Complete</v>
      </c>
      <c r="I4743" s="48" t="s">
        <v>9108</v>
      </c>
    </row>
    <row r="4744" spans="2:9" ht="15" customHeight="1" x14ac:dyDescent="0.25">
      <c r="B4744" s="55" t="s">
        <v>279</v>
      </c>
      <c r="C4744" s="46">
        <v>4732</v>
      </c>
      <c r="D4744" s="69" t="s">
        <v>29416</v>
      </c>
      <c r="E4744" s="51"/>
      <c r="F4744" s="114" t="str">
        <f>IF(INDEX(I.Facility.P1IDNumber,4732)="","",INDEX(I.Facility.P1IDNumber,4732))</f>
        <v/>
      </c>
      <c r="G4744" s="51"/>
      <c r="H4744" s="46" t="str">
        <f>IF(AND(I.Developer.P1=TRUE,I.Facility.P1FacilityCount&gt;=4732,F4744=""),"Incomplete","Complete")</f>
        <v>Complete</v>
      </c>
      <c r="I4744" s="48" t="s">
        <v>9109</v>
      </c>
    </row>
    <row r="4745" spans="2:9" ht="15" customHeight="1" x14ac:dyDescent="0.25">
      <c r="B4745" s="55" t="s">
        <v>279</v>
      </c>
      <c r="C4745" s="46">
        <v>4733</v>
      </c>
      <c r="D4745" s="69" t="s">
        <v>29416</v>
      </c>
      <c r="E4745" s="51"/>
      <c r="F4745" s="114" t="str">
        <f>IF(INDEX(I.Facility.P1IDNumber,4733)="","",INDEX(I.Facility.P1IDNumber,4733))</f>
        <v/>
      </c>
      <c r="G4745" s="51"/>
      <c r="H4745" s="46" t="str">
        <f>IF(AND(I.Developer.P1=TRUE,I.Facility.P1FacilityCount&gt;=4733,F4745=""),"Incomplete","Complete")</f>
        <v>Complete</v>
      </c>
      <c r="I4745" s="48" t="s">
        <v>9110</v>
      </c>
    </row>
    <row r="4746" spans="2:9" ht="15" customHeight="1" x14ac:dyDescent="0.25">
      <c r="B4746" s="55" t="s">
        <v>279</v>
      </c>
      <c r="C4746" s="46">
        <v>4734</v>
      </c>
      <c r="D4746" s="69" t="s">
        <v>29416</v>
      </c>
      <c r="E4746" s="51"/>
      <c r="F4746" s="114" t="str">
        <f>IF(INDEX(I.Facility.P1IDNumber,4734)="","",INDEX(I.Facility.P1IDNumber,4734))</f>
        <v/>
      </c>
      <c r="G4746" s="51"/>
      <c r="H4746" s="46" t="str">
        <f>IF(AND(I.Developer.P1=TRUE,I.Facility.P1FacilityCount&gt;=4734,F4746=""),"Incomplete","Complete")</f>
        <v>Complete</v>
      </c>
      <c r="I4746" s="48" t="s">
        <v>9111</v>
      </c>
    </row>
    <row r="4747" spans="2:9" ht="15" customHeight="1" x14ac:dyDescent="0.25">
      <c r="B4747" s="55" t="s">
        <v>279</v>
      </c>
      <c r="C4747" s="46">
        <v>4735</v>
      </c>
      <c r="D4747" s="69" t="s">
        <v>29416</v>
      </c>
      <c r="E4747" s="51"/>
      <c r="F4747" s="114" t="str">
        <f>IF(INDEX(I.Facility.P1IDNumber,4735)="","",INDEX(I.Facility.P1IDNumber,4735))</f>
        <v/>
      </c>
      <c r="G4747" s="51"/>
      <c r="H4747" s="46" t="str">
        <f>IF(AND(I.Developer.P1=TRUE,I.Facility.P1FacilityCount&gt;=4735,F4747=""),"Incomplete","Complete")</f>
        <v>Complete</v>
      </c>
      <c r="I4747" s="48" t="s">
        <v>9112</v>
      </c>
    </row>
    <row r="4748" spans="2:9" ht="15" customHeight="1" x14ac:dyDescent="0.25">
      <c r="B4748" s="55" t="s">
        <v>279</v>
      </c>
      <c r="C4748" s="46">
        <v>4736</v>
      </c>
      <c r="D4748" s="69" t="s">
        <v>29416</v>
      </c>
      <c r="E4748" s="51"/>
      <c r="F4748" s="114" t="str">
        <f>IF(INDEX(I.Facility.P1IDNumber,4736)="","",INDEX(I.Facility.P1IDNumber,4736))</f>
        <v/>
      </c>
      <c r="G4748" s="51"/>
      <c r="H4748" s="46" t="str">
        <f>IF(AND(I.Developer.P1=TRUE,I.Facility.P1FacilityCount&gt;=4736,F4748=""),"Incomplete","Complete")</f>
        <v>Complete</v>
      </c>
      <c r="I4748" s="48" t="s">
        <v>9113</v>
      </c>
    </row>
    <row r="4749" spans="2:9" ht="15" customHeight="1" x14ac:dyDescent="0.25">
      <c r="B4749" s="55" t="s">
        <v>279</v>
      </c>
      <c r="C4749" s="46">
        <v>4737</v>
      </c>
      <c r="D4749" s="69" t="s">
        <v>29416</v>
      </c>
      <c r="E4749" s="51"/>
      <c r="F4749" s="114" t="str">
        <f>IF(INDEX(I.Facility.P1IDNumber,4737)="","",INDEX(I.Facility.P1IDNumber,4737))</f>
        <v/>
      </c>
      <c r="G4749" s="51"/>
      <c r="H4749" s="46" t="str">
        <f>IF(AND(I.Developer.P1=TRUE,I.Facility.P1FacilityCount&gt;=4737,F4749=""),"Incomplete","Complete")</f>
        <v>Complete</v>
      </c>
      <c r="I4749" s="48" t="s">
        <v>9114</v>
      </c>
    </row>
    <row r="4750" spans="2:9" ht="15" customHeight="1" x14ac:dyDescent="0.25">
      <c r="B4750" s="55" t="s">
        <v>279</v>
      </c>
      <c r="C4750" s="46">
        <v>4738</v>
      </c>
      <c r="D4750" s="69" t="s">
        <v>29416</v>
      </c>
      <c r="E4750" s="51"/>
      <c r="F4750" s="114" t="str">
        <f>IF(INDEX(I.Facility.P1IDNumber,4738)="","",INDEX(I.Facility.P1IDNumber,4738))</f>
        <v/>
      </c>
      <c r="G4750" s="51"/>
      <c r="H4750" s="46" t="str">
        <f>IF(AND(I.Developer.P1=TRUE,I.Facility.P1FacilityCount&gt;=4738,F4750=""),"Incomplete","Complete")</f>
        <v>Complete</v>
      </c>
      <c r="I4750" s="48" t="s">
        <v>9115</v>
      </c>
    </row>
    <row r="4751" spans="2:9" ht="15" customHeight="1" x14ac:dyDescent="0.25">
      <c r="B4751" s="55" t="s">
        <v>279</v>
      </c>
      <c r="C4751" s="46">
        <v>4739</v>
      </c>
      <c r="D4751" s="69" t="s">
        <v>29416</v>
      </c>
      <c r="E4751" s="51"/>
      <c r="F4751" s="114" t="str">
        <f>IF(INDEX(I.Facility.P1IDNumber,4739)="","",INDEX(I.Facility.P1IDNumber,4739))</f>
        <v/>
      </c>
      <c r="G4751" s="51"/>
      <c r="H4751" s="46" t="str">
        <f>IF(AND(I.Developer.P1=TRUE,I.Facility.P1FacilityCount&gt;=4739,F4751=""),"Incomplete","Complete")</f>
        <v>Complete</v>
      </c>
      <c r="I4751" s="48" t="s">
        <v>9116</v>
      </c>
    </row>
    <row r="4752" spans="2:9" ht="15" customHeight="1" x14ac:dyDescent="0.25">
      <c r="B4752" s="55" t="s">
        <v>279</v>
      </c>
      <c r="C4752" s="46">
        <v>4740</v>
      </c>
      <c r="D4752" s="69" t="s">
        <v>29416</v>
      </c>
      <c r="E4752" s="51"/>
      <c r="F4752" s="114" t="str">
        <f>IF(INDEX(I.Facility.P1IDNumber,4740)="","",INDEX(I.Facility.P1IDNumber,4740))</f>
        <v/>
      </c>
      <c r="G4752" s="51"/>
      <c r="H4752" s="46" t="str">
        <f>IF(AND(I.Developer.P1=TRUE,I.Facility.P1FacilityCount&gt;=4740,F4752=""),"Incomplete","Complete")</f>
        <v>Complete</v>
      </c>
      <c r="I4752" s="48" t="s">
        <v>9117</v>
      </c>
    </row>
    <row r="4753" spans="2:9" ht="15" customHeight="1" x14ac:dyDescent="0.25">
      <c r="B4753" s="55" t="s">
        <v>279</v>
      </c>
      <c r="C4753" s="46">
        <v>4741</v>
      </c>
      <c r="D4753" s="69" t="s">
        <v>29416</v>
      </c>
      <c r="E4753" s="51"/>
      <c r="F4753" s="114" t="str">
        <f>IF(INDEX(I.Facility.P1IDNumber,4741)="","",INDEX(I.Facility.P1IDNumber,4741))</f>
        <v/>
      </c>
      <c r="G4753" s="51"/>
      <c r="H4753" s="46" t="str">
        <f>IF(AND(I.Developer.P1=TRUE,I.Facility.P1FacilityCount&gt;=4741,F4753=""),"Incomplete","Complete")</f>
        <v>Complete</v>
      </c>
      <c r="I4753" s="48" t="s">
        <v>9118</v>
      </c>
    </row>
    <row r="4754" spans="2:9" ht="15" customHeight="1" x14ac:dyDescent="0.25">
      <c r="B4754" s="55" t="s">
        <v>279</v>
      </c>
      <c r="C4754" s="46">
        <v>4742</v>
      </c>
      <c r="D4754" s="69" t="s">
        <v>29416</v>
      </c>
      <c r="E4754" s="51"/>
      <c r="F4754" s="114" t="str">
        <f>IF(INDEX(I.Facility.P1IDNumber,4742)="","",INDEX(I.Facility.P1IDNumber,4742))</f>
        <v/>
      </c>
      <c r="G4754" s="51"/>
      <c r="H4754" s="46" t="str">
        <f>IF(AND(I.Developer.P1=TRUE,I.Facility.P1FacilityCount&gt;=4742,F4754=""),"Incomplete","Complete")</f>
        <v>Complete</v>
      </c>
      <c r="I4754" s="48" t="s">
        <v>9119</v>
      </c>
    </row>
    <row r="4755" spans="2:9" ht="15" customHeight="1" x14ac:dyDescent="0.25">
      <c r="B4755" s="55" t="s">
        <v>279</v>
      </c>
      <c r="C4755" s="46">
        <v>4743</v>
      </c>
      <c r="D4755" s="69" t="s">
        <v>29416</v>
      </c>
      <c r="E4755" s="51"/>
      <c r="F4755" s="114" t="str">
        <f>IF(INDEX(I.Facility.P1IDNumber,4743)="","",INDEX(I.Facility.P1IDNumber,4743))</f>
        <v/>
      </c>
      <c r="G4755" s="51"/>
      <c r="H4755" s="46" t="str">
        <f>IF(AND(I.Developer.P1=TRUE,I.Facility.P1FacilityCount&gt;=4743,F4755=""),"Incomplete","Complete")</f>
        <v>Complete</v>
      </c>
      <c r="I4755" s="48" t="s">
        <v>9120</v>
      </c>
    </row>
    <row r="4756" spans="2:9" ht="15" customHeight="1" x14ac:dyDescent="0.25">
      <c r="B4756" s="55" t="s">
        <v>279</v>
      </c>
      <c r="C4756" s="46">
        <v>4744</v>
      </c>
      <c r="D4756" s="69" t="s">
        <v>29416</v>
      </c>
      <c r="E4756" s="51"/>
      <c r="F4756" s="114" t="str">
        <f>IF(INDEX(I.Facility.P1IDNumber,4744)="","",INDEX(I.Facility.P1IDNumber,4744))</f>
        <v/>
      </c>
      <c r="G4756" s="51"/>
      <c r="H4756" s="46" t="str">
        <f>IF(AND(I.Developer.P1=TRUE,I.Facility.P1FacilityCount&gt;=4744,F4756=""),"Incomplete","Complete")</f>
        <v>Complete</v>
      </c>
      <c r="I4756" s="48" t="s">
        <v>9121</v>
      </c>
    </row>
    <row r="4757" spans="2:9" ht="15" customHeight="1" x14ac:dyDescent="0.25">
      <c r="B4757" s="55" t="s">
        <v>279</v>
      </c>
      <c r="C4757" s="46">
        <v>4745</v>
      </c>
      <c r="D4757" s="69" t="s">
        <v>29416</v>
      </c>
      <c r="E4757" s="51"/>
      <c r="F4757" s="114" t="str">
        <f>IF(INDEX(I.Facility.P1IDNumber,4745)="","",INDEX(I.Facility.P1IDNumber,4745))</f>
        <v/>
      </c>
      <c r="G4757" s="51"/>
      <c r="H4757" s="46" t="str">
        <f>IF(AND(I.Developer.P1=TRUE,I.Facility.P1FacilityCount&gt;=4745,F4757=""),"Incomplete","Complete")</f>
        <v>Complete</v>
      </c>
      <c r="I4757" s="48" t="s">
        <v>9122</v>
      </c>
    </row>
    <row r="4758" spans="2:9" ht="15" customHeight="1" x14ac:dyDescent="0.25">
      <c r="B4758" s="55" t="s">
        <v>279</v>
      </c>
      <c r="C4758" s="46">
        <v>4746</v>
      </c>
      <c r="D4758" s="69" t="s">
        <v>29416</v>
      </c>
      <c r="E4758" s="51"/>
      <c r="F4758" s="114" t="str">
        <f>IF(INDEX(I.Facility.P1IDNumber,4746)="","",INDEX(I.Facility.P1IDNumber,4746))</f>
        <v/>
      </c>
      <c r="G4758" s="51"/>
      <c r="H4758" s="46" t="str">
        <f>IF(AND(I.Developer.P1=TRUE,I.Facility.P1FacilityCount&gt;=4746,F4758=""),"Incomplete","Complete")</f>
        <v>Complete</v>
      </c>
      <c r="I4758" s="48" t="s">
        <v>9123</v>
      </c>
    </row>
    <row r="4759" spans="2:9" ht="15" customHeight="1" x14ac:dyDescent="0.25">
      <c r="B4759" s="55" t="s">
        <v>279</v>
      </c>
      <c r="C4759" s="46">
        <v>4747</v>
      </c>
      <c r="D4759" s="69" t="s">
        <v>29416</v>
      </c>
      <c r="E4759" s="51"/>
      <c r="F4759" s="114" t="str">
        <f>IF(INDEX(I.Facility.P1IDNumber,4747)="","",INDEX(I.Facility.P1IDNumber,4747))</f>
        <v/>
      </c>
      <c r="G4759" s="51"/>
      <c r="H4759" s="46" t="str">
        <f>IF(AND(I.Developer.P1=TRUE,I.Facility.P1FacilityCount&gt;=4747,F4759=""),"Incomplete","Complete")</f>
        <v>Complete</v>
      </c>
      <c r="I4759" s="48" t="s">
        <v>9124</v>
      </c>
    </row>
    <row r="4760" spans="2:9" ht="15" customHeight="1" x14ac:dyDescent="0.25">
      <c r="B4760" s="55" t="s">
        <v>279</v>
      </c>
      <c r="C4760" s="46">
        <v>4748</v>
      </c>
      <c r="D4760" s="69" t="s">
        <v>29416</v>
      </c>
      <c r="E4760" s="51"/>
      <c r="F4760" s="114" t="str">
        <f>IF(INDEX(I.Facility.P1IDNumber,4748)="","",INDEX(I.Facility.P1IDNumber,4748))</f>
        <v/>
      </c>
      <c r="G4760" s="51"/>
      <c r="H4760" s="46" t="str">
        <f>IF(AND(I.Developer.P1=TRUE,I.Facility.P1FacilityCount&gt;=4748,F4760=""),"Incomplete","Complete")</f>
        <v>Complete</v>
      </c>
      <c r="I4760" s="48" t="s">
        <v>9125</v>
      </c>
    </row>
    <row r="4761" spans="2:9" ht="15" customHeight="1" x14ac:dyDescent="0.25">
      <c r="B4761" s="55" t="s">
        <v>279</v>
      </c>
      <c r="C4761" s="46">
        <v>4749</v>
      </c>
      <c r="D4761" s="69" t="s">
        <v>29416</v>
      </c>
      <c r="E4761" s="51"/>
      <c r="F4761" s="114" t="str">
        <f>IF(INDEX(I.Facility.P1IDNumber,4749)="","",INDEX(I.Facility.P1IDNumber,4749))</f>
        <v/>
      </c>
      <c r="G4761" s="51"/>
      <c r="H4761" s="46" t="str">
        <f>IF(AND(I.Developer.P1=TRUE,I.Facility.P1FacilityCount&gt;=4749,F4761=""),"Incomplete","Complete")</f>
        <v>Complete</v>
      </c>
      <c r="I4761" s="48" t="s">
        <v>9126</v>
      </c>
    </row>
    <row r="4762" spans="2:9" ht="15" customHeight="1" x14ac:dyDescent="0.25">
      <c r="B4762" s="55" t="s">
        <v>279</v>
      </c>
      <c r="C4762" s="46">
        <v>4750</v>
      </c>
      <c r="D4762" s="69" t="s">
        <v>29416</v>
      </c>
      <c r="E4762" s="51"/>
      <c r="F4762" s="114" t="str">
        <f>IF(INDEX(I.Facility.P1IDNumber,4750)="","",INDEX(I.Facility.P1IDNumber,4750))</f>
        <v/>
      </c>
      <c r="G4762" s="51"/>
      <c r="H4762" s="46" t="str">
        <f>IF(AND(I.Developer.P1=TRUE,I.Facility.P1FacilityCount&gt;=4750,F4762=""),"Incomplete","Complete")</f>
        <v>Complete</v>
      </c>
      <c r="I4762" s="48" t="s">
        <v>9127</v>
      </c>
    </row>
    <row r="4763" spans="2:9" ht="15" customHeight="1" x14ac:dyDescent="0.25">
      <c r="B4763" s="55" t="s">
        <v>279</v>
      </c>
      <c r="C4763" s="46">
        <v>4751</v>
      </c>
      <c r="D4763" s="69" t="s">
        <v>29416</v>
      </c>
      <c r="E4763" s="51"/>
      <c r="F4763" s="114" t="str">
        <f>IF(INDEX(I.Facility.P1IDNumber,4751)="","",INDEX(I.Facility.P1IDNumber,4751))</f>
        <v/>
      </c>
      <c r="G4763" s="51"/>
      <c r="H4763" s="46" t="str">
        <f>IF(AND(I.Developer.P1=TRUE,I.Facility.P1FacilityCount&gt;=4751,F4763=""),"Incomplete","Complete")</f>
        <v>Complete</v>
      </c>
      <c r="I4763" s="48" t="s">
        <v>9128</v>
      </c>
    </row>
    <row r="4764" spans="2:9" ht="15" customHeight="1" x14ac:dyDescent="0.25">
      <c r="B4764" s="55" t="s">
        <v>279</v>
      </c>
      <c r="C4764" s="46">
        <v>4752</v>
      </c>
      <c r="D4764" s="69" t="s">
        <v>29416</v>
      </c>
      <c r="E4764" s="51"/>
      <c r="F4764" s="114" t="str">
        <f>IF(INDEX(I.Facility.P1IDNumber,4752)="","",INDEX(I.Facility.P1IDNumber,4752))</f>
        <v/>
      </c>
      <c r="G4764" s="51"/>
      <c r="H4764" s="46" t="str">
        <f>IF(AND(I.Developer.P1=TRUE,I.Facility.P1FacilityCount&gt;=4752,F4764=""),"Incomplete","Complete")</f>
        <v>Complete</v>
      </c>
      <c r="I4764" s="48" t="s">
        <v>9129</v>
      </c>
    </row>
    <row r="4765" spans="2:9" ht="15" customHeight="1" x14ac:dyDescent="0.25">
      <c r="B4765" s="55" t="s">
        <v>279</v>
      </c>
      <c r="C4765" s="46">
        <v>4753</v>
      </c>
      <c r="D4765" s="69" t="s">
        <v>29416</v>
      </c>
      <c r="E4765" s="51"/>
      <c r="F4765" s="114" t="str">
        <f>IF(INDEX(I.Facility.P1IDNumber,4753)="","",INDEX(I.Facility.P1IDNumber,4753))</f>
        <v/>
      </c>
      <c r="G4765" s="51"/>
      <c r="H4765" s="46" t="str">
        <f>IF(AND(I.Developer.P1=TRUE,I.Facility.P1FacilityCount&gt;=4753,F4765=""),"Incomplete","Complete")</f>
        <v>Complete</v>
      </c>
      <c r="I4765" s="48" t="s">
        <v>9130</v>
      </c>
    </row>
    <row r="4766" spans="2:9" ht="15" customHeight="1" x14ac:dyDescent="0.25">
      <c r="B4766" s="55" t="s">
        <v>279</v>
      </c>
      <c r="C4766" s="46">
        <v>4754</v>
      </c>
      <c r="D4766" s="69" t="s">
        <v>29416</v>
      </c>
      <c r="E4766" s="51"/>
      <c r="F4766" s="114" t="str">
        <f>IF(INDEX(I.Facility.P1IDNumber,4754)="","",INDEX(I.Facility.P1IDNumber,4754))</f>
        <v/>
      </c>
      <c r="G4766" s="51"/>
      <c r="H4766" s="46" t="str">
        <f>IF(AND(I.Developer.P1=TRUE,I.Facility.P1FacilityCount&gt;=4754,F4766=""),"Incomplete","Complete")</f>
        <v>Complete</v>
      </c>
      <c r="I4766" s="48" t="s">
        <v>9131</v>
      </c>
    </row>
    <row r="4767" spans="2:9" ht="15" customHeight="1" x14ac:dyDescent="0.25">
      <c r="B4767" s="55" t="s">
        <v>279</v>
      </c>
      <c r="C4767" s="46">
        <v>4755</v>
      </c>
      <c r="D4767" s="69" t="s">
        <v>29416</v>
      </c>
      <c r="E4767" s="51"/>
      <c r="F4767" s="114" t="str">
        <f>IF(INDEX(I.Facility.P1IDNumber,4755)="","",INDEX(I.Facility.P1IDNumber,4755))</f>
        <v/>
      </c>
      <c r="G4767" s="51"/>
      <c r="H4767" s="46" t="str">
        <f>IF(AND(I.Developer.P1=TRUE,I.Facility.P1FacilityCount&gt;=4755,F4767=""),"Incomplete","Complete")</f>
        <v>Complete</v>
      </c>
      <c r="I4767" s="48" t="s">
        <v>9132</v>
      </c>
    </row>
    <row r="4768" spans="2:9" ht="15" customHeight="1" x14ac:dyDescent="0.25">
      <c r="B4768" s="55" t="s">
        <v>279</v>
      </c>
      <c r="C4768" s="46">
        <v>4756</v>
      </c>
      <c r="D4768" s="69" t="s">
        <v>29416</v>
      </c>
      <c r="E4768" s="51"/>
      <c r="F4768" s="114" t="str">
        <f>IF(INDEX(I.Facility.P1IDNumber,4756)="","",INDEX(I.Facility.P1IDNumber,4756))</f>
        <v/>
      </c>
      <c r="G4768" s="51"/>
      <c r="H4768" s="46" t="str">
        <f>IF(AND(I.Developer.P1=TRUE,I.Facility.P1FacilityCount&gt;=4756,F4768=""),"Incomplete","Complete")</f>
        <v>Complete</v>
      </c>
      <c r="I4768" s="48" t="s">
        <v>9133</v>
      </c>
    </row>
    <row r="4769" spans="2:9" ht="15" customHeight="1" x14ac:dyDescent="0.25">
      <c r="B4769" s="55" t="s">
        <v>279</v>
      </c>
      <c r="C4769" s="46">
        <v>4757</v>
      </c>
      <c r="D4769" s="69" t="s">
        <v>29416</v>
      </c>
      <c r="E4769" s="51"/>
      <c r="F4769" s="114" t="str">
        <f>IF(INDEX(I.Facility.P1IDNumber,4757)="","",INDEX(I.Facility.P1IDNumber,4757))</f>
        <v/>
      </c>
      <c r="G4769" s="51"/>
      <c r="H4769" s="46" t="str">
        <f>IF(AND(I.Developer.P1=TRUE,I.Facility.P1FacilityCount&gt;=4757,F4769=""),"Incomplete","Complete")</f>
        <v>Complete</v>
      </c>
      <c r="I4769" s="48" t="s">
        <v>9134</v>
      </c>
    </row>
    <row r="4770" spans="2:9" ht="15" customHeight="1" x14ac:dyDescent="0.25">
      <c r="B4770" s="55" t="s">
        <v>279</v>
      </c>
      <c r="C4770" s="46">
        <v>4758</v>
      </c>
      <c r="D4770" s="69" t="s">
        <v>29416</v>
      </c>
      <c r="E4770" s="51"/>
      <c r="F4770" s="114" t="str">
        <f>IF(INDEX(I.Facility.P1IDNumber,4758)="","",INDEX(I.Facility.P1IDNumber,4758))</f>
        <v/>
      </c>
      <c r="G4770" s="51"/>
      <c r="H4770" s="46" t="str">
        <f>IF(AND(I.Developer.P1=TRUE,I.Facility.P1FacilityCount&gt;=4758,F4770=""),"Incomplete","Complete")</f>
        <v>Complete</v>
      </c>
      <c r="I4770" s="48" t="s">
        <v>9135</v>
      </c>
    </row>
    <row r="4771" spans="2:9" ht="15" customHeight="1" x14ac:dyDescent="0.25">
      <c r="B4771" s="55" t="s">
        <v>279</v>
      </c>
      <c r="C4771" s="46">
        <v>4759</v>
      </c>
      <c r="D4771" s="69" t="s">
        <v>29416</v>
      </c>
      <c r="E4771" s="51"/>
      <c r="F4771" s="114" t="str">
        <f>IF(INDEX(I.Facility.P1IDNumber,4759)="","",INDEX(I.Facility.P1IDNumber,4759))</f>
        <v/>
      </c>
      <c r="G4771" s="51"/>
      <c r="H4771" s="46" t="str">
        <f>IF(AND(I.Developer.P1=TRUE,I.Facility.P1FacilityCount&gt;=4759,F4771=""),"Incomplete","Complete")</f>
        <v>Complete</v>
      </c>
      <c r="I4771" s="48" t="s">
        <v>9136</v>
      </c>
    </row>
    <row r="4772" spans="2:9" ht="15" customHeight="1" x14ac:dyDescent="0.25">
      <c r="B4772" s="55" t="s">
        <v>279</v>
      </c>
      <c r="C4772" s="46">
        <v>4760</v>
      </c>
      <c r="D4772" s="69" t="s">
        <v>29416</v>
      </c>
      <c r="E4772" s="51"/>
      <c r="F4772" s="114" t="str">
        <f>IF(INDEX(I.Facility.P1IDNumber,4760)="","",INDEX(I.Facility.P1IDNumber,4760))</f>
        <v/>
      </c>
      <c r="G4772" s="51"/>
      <c r="H4772" s="46" t="str">
        <f>IF(AND(I.Developer.P1=TRUE,I.Facility.P1FacilityCount&gt;=4760,F4772=""),"Incomplete","Complete")</f>
        <v>Complete</v>
      </c>
      <c r="I4772" s="48" t="s">
        <v>9137</v>
      </c>
    </row>
    <row r="4773" spans="2:9" ht="15" customHeight="1" x14ac:dyDescent="0.25">
      <c r="B4773" s="55" t="s">
        <v>279</v>
      </c>
      <c r="C4773" s="46">
        <v>4761</v>
      </c>
      <c r="D4773" s="69" t="s">
        <v>29416</v>
      </c>
      <c r="E4773" s="51"/>
      <c r="F4773" s="114" t="str">
        <f>IF(INDEX(I.Facility.P1IDNumber,4761)="","",INDEX(I.Facility.P1IDNumber,4761))</f>
        <v/>
      </c>
      <c r="G4773" s="51"/>
      <c r="H4773" s="46" t="str">
        <f>IF(AND(I.Developer.P1=TRUE,I.Facility.P1FacilityCount&gt;=4761,F4773=""),"Incomplete","Complete")</f>
        <v>Complete</v>
      </c>
      <c r="I4773" s="48" t="s">
        <v>9138</v>
      </c>
    </row>
    <row r="4774" spans="2:9" ht="15" customHeight="1" x14ac:dyDescent="0.25">
      <c r="B4774" s="55" t="s">
        <v>279</v>
      </c>
      <c r="C4774" s="46">
        <v>4762</v>
      </c>
      <c r="D4774" s="69" t="s">
        <v>29416</v>
      </c>
      <c r="E4774" s="51"/>
      <c r="F4774" s="114" t="str">
        <f>IF(INDEX(I.Facility.P1IDNumber,4762)="","",INDEX(I.Facility.P1IDNumber,4762))</f>
        <v/>
      </c>
      <c r="G4774" s="51"/>
      <c r="H4774" s="46" t="str">
        <f>IF(AND(I.Developer.P1=TRUE,I.Facility.P1FacilityCount&gt;=4762,F4774=""),"Incomplete","Complete")</f>
        <v>Complete</v>
      </c>
      <c r="I4774" s="48" t="s">
        <v>9139</v>
      </c>
    </row>
    <row r="4775" spans="2:9" ht="15" customHeight="1" x14ac:dyDescent="0.25">
      <c r="B4775" s="55" t="s">
        <v>279</v>
      </c>
      <c r="C4775" s="46">
        <v>4763</v>
      </c>
      <c r="D4775" s="69" t="s">
        <v>29416</v>
      </c>
      <c r="E4775" s="51"/>
      <c r="F4775" s="114" t="str">
        <f>IF(INDEX(I.Facility.P1IDNumber,4763)="","",INDEX(I.Facility.P1IDNumber,4763))</f>
        <v/>
      </c>
      <c r="G4775" s="51"/>
      <c r="H4775" s="46" t="str">
        <f>IF(AND(I.Developer.P1=TRUE,I.Facility.P1FacilityCount&gt;=4763,F4775=""),"Incomplete","Complete")</f>
        <v>Complete</v>
      </c>
      <c r="I4775" s="48" t="s">
        <v>9140</v>
      </c>
    </row>
    <row r="4776" spans="2:9" ht="15" customHeight="1" x14ac:dyDescent="0.25">
      <c r="B4776" s="55" t="s">
        <v>279</v>
      </c>
      <c r="C4776" s="46">
        <v>4764</v>
      </c>
      <c r="D4776" s="69" t="s">
        <v>29416</v>
      </c>
      <c r="E4776" s="51"/>
      <c r="F4776" s="114" t="str">
        <f>IF(INDEX(I.Facility.P1IDNumber,4764)="","",INDEX(I.Facility.P1IDNumber,4764))</f>
        <v/>
      </c>
      <c r="G4776" s="51"/>
      <c r="H4776" s="46" t="str">
        <f>IF(AND(I.Developer.P1=TRUE,I.Facility.P1FacilityCount&gt;=4764,F4776=""),"Incomplete","Complete")</f>
        <v>Complete</v>
      </c>
      <c r="I4776" s="48" t="s">
        <v>9141</v>
      </c>
    </row>
    <row r="4777" spans="2:9" ht="15" customHeight="1" x14ac:dyDescent="0.25">
      <c r="B4777" s="55" t="s">
        <v>279</v>
      </c>
      <c r="C4777" s="46">
        <v>4765</v>
      </c>
      <c r="D4777" s="69" t="s">
        <v>29416</v>
      </c>
      <c r="E4777" s="51"/>
      <c r="F4777" s="114" t="str">
        <f>IF(INDEX(I.Facility.P1IDNumber,4765)="","",INDEX(I.Facility.P1IDNumber,4765))</f>
        <v/>
      </c>
      <c r="G4777" s="51"/>
      <c r="H4777" s="46" t="str">
        <f>IF(AND(I.Developer.P1=TRUE,I.Facility.P1FacilityCount&gt;=4765,F4777=""),"Incomplete","Complete")</f>
        <v>Complete</v>
      </c>
      <c r="I4777" s="48" t="s">
        <v>9142</v>
      </c>
    </row>
    <row r="4778" spans="2:9" ht="15" customHeight="1" x14ac:dyDescent="0.25">
      <c r="B4778" s="55" t="s">
        <v>279</v>
      </c>
      <c r="C4778" s="46">
        <v>4766</v>
      </c>
      <c r="D4778" s="69" t="s">
        <v>29416</v>
      </c>
      <c r="E4778" s="51"/>
      <c r="F4778" s="114" t="str">
        <f>IF(INDEX(I.Facility.P1IDNumber,4766)="","",INDEX(I.Facility.P1IDNumber,4766))</f>
        <v/>
      </c>
      <c r="G4778" s="51"/>
      <c r="H4778" s="46" t="str">
        <f>IF(AND(I.Developer.P1=TRUE,I.Facility.P1FacilityCount&gt;=4766,F4778=""),"Incomplete","Complete")</f>
        <v>Complete</v>
      </c>
      <c r="I4778" s="48" t="s">
        <v>9143</v>
      </c>
    </row>
    <row r="4779" spans="2:9" ht="15" customHeight="1" x14ac:dyDescent="0.25">
      <c r="B4779" s="55" t="s">
        <v>279</v>
      </c>
      <c r="C4779" s="46">
        <v>4767</v>
      </c>
      <c r="D4779" s="69" t="s">
        <v>29416</v>
      </c>
      <c r="E4779" s="51"/>
      <c r="F4779" s="114" t="str">
        <f>IF(INDEX(I.Facility.P1IDNumber,4767)="","",INDEX(I.Facility.P1IDNumber,4767))</f>
        <v/>
      </c>
      <c r="G4779" s="51"/>
      <c r="H4779" s="46" t="str">
        <f>IF(AND(I.Developer.P1=TRUE,I.Facility.P1FacilityCount&gt;=4767,F4779=""),"Incomplete","Complete")</f>
        <v>Complete</v>
      </c>
      <c r="I4779" s="48" t="s">
        <v>9144</v>
      </c>
    </row>
    <row r="4780" spans="2:9" ht="15" customHeight="1" x14ac:dyDescent="0.25">
      <c r="B4780" s="55" t="s">
        <v>279</v>
      </c>
      <c r="C4780" s="46">
        <v>4768</v>
      </c>
      <c r="D4780" s="69" t="s">
        <v>29416</v>
      </c>
      <c r="E4780" s="51"/>
      <c r="F4780" s="114" t="str">
        <f>IF(INDEX(I.Facility.P1IDNumber,4768)="","",INDEX(I.Facility.P1IDNumber,4768))</f>
        <v/>
      </c>
      <c r="G4780" s="51"/>
      <c r="H4780" s="46" t="str">
        <f>IF(AND(I.Developer.P1=TRUE,I.Facility.P1FacilityCount&gt;=4768,F4780=""),"Incomplete","Complete")</f>
        <v>Complete</v>
      </c>
      <c r="I4780" s="48" t="s">
        <v>9145</v>
      </c>
    </row>
    <row r="4781" spans="2:9" ht="15" customHeight="1" x14ac:dyDescent="0.25">
      <c r="B4781" s="55" t="s">
        <v>279</v>
      </c>
      <c r="C4781" s="46">
        <v>4769</v>
      </c>
      <c r="D4781" s="69" t="s">
        <v>29416</v>
      </c>
      <c r="E4781" s="51"/>
      <c r="F4781" s="114" t="str">
        <f>IF(INDEX(I.Facility.P1IDNumber,4769)="","",INDEX(I.Facility.P1IDNumber,4769))</f>
        <v/>
      </c>
      <c r="G4781" s="51"/>
      <c r="H4781" s="46" t="str">
        <f>IF(AND(I.Developer.P1=TRUE,I.Facility.P1FacilityCount&gt;=4769,F4781=""),"Incomplete","Complete")</f>
        <v>Complete</v>
      </c>
      <c r="I4781" s="48" t="s">
        <v>9146</v>
      </c>
    </row>
    <row r="4782" spans="2:9" ht="15" customHeight="1" x14ac:dyDescent="0.25">
      <c r="B4782" s="55" t="s">
        <v>279</v>
      </c>
      <c r="C4782" s="46">
        <v>4770</v>
      </c>
      <c r="D4782" s="69" t="s">
        <v>29416</v>
      </c>
      <c r="E4782" s="51"/>
      <c r="F4782" s="114" t="str">
        <f>IF(INDEX(I.Facility.P1IDNumber,4770)="","",INDEX(I.Facility.P1IDNumber,4770))</f>
        <v/>
      </c>
      <c r="G4782" s="51"/>
      <c r="H4782" s="46" t="str">
        <f>IF(AND(I.Developer.P1=TRUE,I.Facility.P1FacilityCount&gt;=4770,F4782=""),"Incomplete","Complete")</f>
        <v>Complete</v>
      </c>
      <c r="I4782" s="48" t="s">
        <v>9147</v>
      </c>
    </row>
    <row r="4783" spans="2:9" ht="15" customHeight="1" x14ac:dyDescent="0.25">
      <c r="B4783" s="55" t="s">
        <v>279</v>
      </c>
      <c r="C4783" s="46">
        <v>4771</v>
      </c>
      <c r="D4783" s="69" t="s">
        <v>29416</v>
      </c>
      <c r="E4783" s="51"/>
      <c r="F4783" s="114" t="str">
        <f>IF(INDEX(I.Facility.P1IDNumber,4771)="","",INDEX(I.Facility.P1IDNumber,4771))</f>
        <v/>
      </c>
      <c r="G4783" s="51"/>
      <c r="H4783" s="46" t="str">
        <f>IF(AND(I.Developer.P1=TRUE,I.Facility.P1FacilityCount&gt;=4771,F4783=""),"Incomplete","Complete")</f>
        <v>Complete</v>
      </c>
      <c r="I4783" s="48" t="s">
        <v>9148</v>
      </c>
    </row>
    <row r="4784" spans="2:9" ht="15" customHeight="1" x14ac:dyDescent="0.25">
      <c r="B4784" s="55" t="s">
        <v>279</v>
      </c>
      <c r="C4784" s="46">
        <v>4772</v>
      </c>
      <c r="D4784" s="69" t="s">
        <v>29416</v>
      </c>
      <c r="E4784" s="51"/>
      <c r="F4784" s="114" t="str">
        <f>IF(INDEX(I.Facility.P1IDNumber,4772)="","",INDEX(I.Facility.P1IDNumber,4772))</f>
        <v/>
      </c>
      <c r="G4784" s="51"/>
      <c r="H4784" s="46" t="str">
        <f>IF(AND(I.Developer.P1=TRUE,I.Facility.P1FacilityCount&gt;=4772,F4784=""),"Incomplete","Complete")</f>
        <v>Complete</v>
      </c>
      <c r="I4784" s="48" t="s">
        <v>9149</v>
      </c>
    </row>
    <row r="4785" spans="2:9" ht="15" customHeight="1" x14ac:dyDescent="0.25">
      <c r="B4785" s="55" t="s">
        <v>279</v>
      </c>
      <c r="C4785" s="46">
        <v>4773</v>
      </c>
      <c r="D4785" s="69" t="s">
        <v>29416</v>
      </c>
      <c r="E4785" s="51"/>
      <c r="F4785" s="114" t="str">
        <f>IF(INDEX(I.Facility.P1IDNumber,4773)="","",INDEX(I.Facility.P1IDNumber,4773))</f>
        <v/>
      </c>
      <c r="G4785" s="51"/>
      <c r="H4785" s="46" t="str">
        <f>IF(AND(I.Developer.P1=TRUE,I.Facility.P1FacilityCount&gt;=4773,F4785=""),"Incomplete","Complete")</f>
        <v>Complete</v>
      </c>
      <c r="I4785" s="48" t="s">
        <v>9150</v>
      </c>
    </row>
    <row r="4786" spans="2:9" ht="15" customHeight="1" x14ac:dyDescent="0.25">
      <c r="B4786" s="55" t="s">
        <v>279</v>
      </c>
      <c r="C4786" s="46">
        <v>4774</v>
      </c>
      <c r="D4786" s="69" t="s">
        <v>29416</v>
      </c>
      <c r="E4786" s="51"/>
      <c r="F4786" s="114" t="str">
        <f>IF(INDEX(I.Facility.P1IDNumber,4774)="","",INDEX(I.Facility.P1IDNumber,4774))</f>
        <v/>
      </c>
      <c r="G4786" s="51"/>
      <c r="H4786" s="46" t="str">
        <f>IF(AND(I.Developer.P1=TRUE,I.Facility.P1FacilityCount&gt;=4774,F4786=""),"Incomplete","Complete")</f>
        <v>Complete</v>
      </c>
      <c r="I4786" s="48" t="s">
        <v>9151</v>
      </c>
    </row>
    <row r="4787" spans="2:9" ht="15" customHeight="1" x14ac:dyDescent="0.25">
      <c r="B4787" s="55" t="s">
        <v>279</v>
      </c>
      <c r="C4787" s="46">
        <v>4775</v>
      </c>
      <c r="D4787" s="69" t="s">
        <v>29416</v>
      </c>
      <c r="E4787" s="51"/>
      <c r="F4787" s="114" t="str">
        <f>IF(INDEX(I.Facility.P1IDNumber,4775)="","",INDEX(I.Facility.P1IDNumber,4775))</f>
        <v/>
      </c>
      <c r="G4787" s="51"/>
      <c r="H4787" s="46" t="str">
        <f>IF(AND(I.Developer.P1=TRUE,I.Facility.P1FacilityCount&gt;=4775,F4787=""),"Incomplete","Complete")</f>
        <v>Complete</v>
      </c>
      <c r="I4787" s="48" t="s">
        <v>9152</v>
      </c>
    </row>
    <row r="4788" spans="2:9" ht="15" customHeight="1" x14ac:dyDescent="0.25">
      <c r="B4788" s="55" t="s">
        <v>279</v>
      </c>
      <c r="C4788" s="46">
        <v>4776</v>
      </c>
      <c r="D4788" s="69" t="s">
        <v>29416</v>
      </c>
      <c r="E4788" s="51"/>
      <c r="F4788" s="114" t="str">
        <f>IF(INDEX(I.Facility.P1IDNumber,4776)="","",INDEX(I.Facility.P1IDNumber,4776))</f>
        <v/>
      </c>
      <c r="G4788" s="51"/>
      <c r="H4788" s="46" t="str">
        <f>IF(AND(I.Developer.P1=TRUE,I.Facility.P1FacilityCount&gt;=4776,F4788=""),"Incomplete","Complete")</f>
        <v>Complete</v>
      </c>
      <c r="I4788" s="48" t="s">
        <v>9153</v>
      </c>
    </row>
    <row r="4789" spans="2:9" ht="15" customHeight="1" x14ac:dyDescent="0.25">
      <c r="B4789" s="55" t="s">
        <v>279</v>
      </c>
      <c r="C4789" s="46">
        <v>4777</v>
      </c>
      <c r="D4789" s="69" t="s">
        <v>29416</v>
      </c>
      <c r="E4789" s="51"/>
      <c r="F4789" s="114" t="str">
        <f>IF(INDEX(I.Facility.P1IDNumber,4777)="","",INDEX(I.Facility.P1IDNumber,4777))</f>
        <v/>
      </c>
      <c r="G4789" s="51"/>
      <c r="H4789" s="46" t="str">
        <f>IF(AND(I.Developer.P1=TRUE,I.Facility.P1FacilityCount&gt;=4777,F4789=""),"Incomplete","Complete")</f>
        <v>Complete</v>
      </c>
      <c r="I4789" s="48" t="s">
        <v>9154</v>
      </c>
    </row>
    <row r="4790" spans="2:9" ht="15" customHeight="1" x14ac:dyDescent="0.25">
      <c r="B4790" s="55" t="s">
        <v>279</v>
      </c>
      <c r="C4790" s="46">
        <v>4778</v>
      </c>
      <c r="D4790" s="69" t="s">
        <v>29416</v>
      </c>
      <c r="E4790" s="51"/>
      <c r="F4790" s="114" t="str">
        <f>IF(INDEX(I.Facility.P1IDNumber,4778)="","",INDEX(I.Facility.P1IDNumber,4778))</f>
        <v/>
      </c>
      <c r="G4790" s="51"/>
      <c r="H4790" s="46" t="str">
        <f>IF(AND(I.Developer.P1=TRUE,I.Facility.P1FacilityCount&gt;=4778,F4790=""),"Incomplete","Complete")</f>
        <v>Complete</v>
      </c>
      <c r="I4790" s="48" t="s">
        <v>9155</v>
      </c>
    </row>
    <row r="4791" spans="2:9" ht="15" customHeight="1" x14ac:dyDescent="0.25">
      <c r="B4791" s="55" t="s">
        <v>279</v>
      </c>
      <c r="C4791" s="46">
        <v>4779</v>
      </c>
      <c r="D4791" s="69" t="s">
        <v>29416</v>
      </c>
      <c r="E4791" s="51"/>
      <c r="F4791" s="114" t="str">
        <f>IF(INDEX(I.Facility.P1IDNumber,4779)="","",INDEX(I.Facility.P1IDNumber,4779))</f>
        <v/>
      </c>
      <c r="G4791" s="51"/>
      <c r="H4791" s="46" t="str">
        <f>IF(AND(I.Developer.P1=TRUE,I.Facility.P1FacilityCount&gt;=4779,F4791=""),"Incomplete","Complete")</f>
        <v>Complete</v>
      </c>
      <c r="I4791" s="48" t="s">
        <v>9156</v>
      </c>
    </row>
    <row r="4792" spans="2:9" ht="15" customHeight="1" x14ac:dyDescent="0.25">
      <c r="B4792" s="55" t="s">
        <v>279</v>
      </c>
      <c r="C4792" s="46">
        <v>4780</v>
      </c>
      <c r="D4792" s="69" t="s">
        <v>29416</v>
      </c>
      <c r="E4792" s="51"/>
      <c r="F4792" s="114" t="str">
        <f>IF(INDEX(I.Facility.P1IDNumber,4780)="","",INDEX(I.Facility.P1IDNumber,4780))</f>
        <v/>
      </c>
      <c r="G4792" s="51"/>
      <c r="H4792" s="46" t="str">
        <f>IF(AND(I.Developer.P1=TRUE,I.Facility.P1FacilityCount&gt;=4780,F4792=""),"Incomplete","Complete")</f>
        <v>Complete</v>
      </c>
      <c r="I4792" s="48" t="s">
        <v>9157</v>
      </c>
    </row>
    <row r="4793" spans="2:9" ht="15" customHeight="1" x14ac:dyDescent="0.25">
      <c r="B4793" s="55" t="s">
        <v>279</v>
      </c>
      <c r="C4793" s="46">
        <v>4781</v>
      </c>
      <c r="D4793" s="69" t="s">
        <v>29416</v>
      </c>
      <c r="E4793" s="51"/>
      <c r="F4793" s="114" t="str">
        <f>IF(INDEX(I.Facility.P1IDNumber,4781)="","",INDEX(I.Facility.P1IDNumber,4781))</f>
        <v/>
      </c>
      <c r="G4793" s="51"/>
      <c r="H4793" s="46" t="str">
        <f>IF(AND(I.Developer.P1=TRUE,I.Facility.P1FacilityCount&gt;=4781,F4793=""),"Incomplete","Complete")</f>
        <v>Complete</v>
      </c>
      <c r="I4793" s="48" t="s">
        <v>9158</v>
      </c>
    </row>
    <row r="4794" spans="2:9" ht="15" customHeight="1" x14ac:dyDescent="0.25">
      <c r="B4794" s="55" t="s">
        <v>279</v>
      </c>
      <c r="C4794" s="46">
        <v>4782</v>
      </c>
      <c r="D4794" s="69" t="s">
        <v>29416</v>
      </c>
      <c r="E4794" s="51"/>
      <c r="F4794" s="114" t="str">
        <f>IF(INDEX(I.Facility.P1IDNumber,4782)="","",INDEX(I.Facility.P1IDNumber,4782))</f>
        <v/>
      </c>
      <c r="G4794" s="51"/>
      <c r="H4794" s="46" t="str">
        <f>IF(AND(I.Developer.P1=TRUE,I.Facility.P1FacilityCount&gt;=4782,F4794=""),"Incomplete","Complete")</f>
        <v>Complete</v>
      </c>
      <c r="I4794" s="48" t="s">
        <v>9159</v>
      </c>
    </row>
    <row r="4795" spans="2:9" ht="15" customHeight="1" x14ac:dyDescent="0.25">
      <c r="B4795" s="55" t="s">
        <v>279</v>
      </c>
      <c r="C4795" s="46">
        <v>4783</v>
      </c>
      <c r="D4795" s="69" t="s">
        <v>29416</v>
      </c>
      <c r="E4795" s="51"/>
      <c r="F4795" s="114" t="str">
        <f>IF(INDEX(I.Facility.P1IDNumber,4783)="","",INDEX(I.Facility.P1IDNumber,4783))</f>
        <v/>
      </c>
      <c r="G4795" s="51"/>
      <c r="H4795" s="46" t="str">
        <f>IF(AND(I.Developer.P1=TRUE,I.Facility.P1FacilityCount&gt;=4783,F4795=""),"Incomplete","Complete")</f>
        <v>Complete</v>
      </c>
      <c r="I4795" s="48" t="s">
        <v>9160</v>
      </c>
    </row>
    <row r="4796" spans="2:9" ht="15" customHeight="1" x14ac:dyDescent="0.25">
      <c r="B4796" s="55" t="s">
        <v>279</v>
      </c>
      <c r="C4796" s="46">
        <v>4784</v>
      </c>
      <c r="D4796" s="69" t="s">
        <v>29416</v>
      </c>
      <c r="E4796" s="51"/>
      <c r="F4796" s="114" t="str">
        <f>IF(INDEX(I.Facility.P1IDNumber,4784)="","",INDEX(I.Facility.P1IDNumber,4784))</f>
        <v/>
      </c>
      <c r="G4796" s="51"/>
      <c r="H4796" s="46" t="str">
        <f>IF(AND(I.Developer.P1=TRUE,I.Facility.P1FacilityCount&gt;=4784,F4796=""),"Incomplete","Complete")</f>
        <v>Complete</v>
      </c>
      <c r="I4796" s="48" t="s">
        <v>9161</v>
      </c>
    </row>
    <row r="4797" spans="2:9" ht="15" customHeight="1" x14ac:dyDescent="0.25">
      <c r="B4797" s="55" t="s">
        <v>279</v>
      </c>
      <c r="C4797" s="46">
        <v>4785</v>
      </c>
      <c r="D4797" s="69" t="s">
        <v>29416</v>
      </c>
      <c r="E4797" s="51"/>
      <c r="F4797" s="114" t="str">
        <f>IF(INDEX(I.Facility.P1IDNumber,4785)="","",INDEX(I.Facility.P1IDNumber,4785))</f>
        <v/>
      </c>
      <c r="G4797" s="51"/>
      <c r="H4797" s="46" t="str">
        <f>IF(AND(I.Developer.P1=TRUE,I.Facility.P1FacilityCount&gt;=4785,F4797=""),"Incomplete","Complete")</f>
        <v>Complete</v>
      </c>
      <c r="I4797" s="48" t="s">
        <v>9162</v>
      </c>
    </row>
    <row r="4798" spans="2:9" ht="15" customHeight="1" x14ac:dyDescent="0.25">
      <c r="B4798" s="55" t="s">
        <v>279</v>
      </c>
      <c r="C4798" s="46">
        <v>4786</v>
      </c>
      <c r="D4798" s="69" t="s">
        <v>29416</v>
      </c>
      <c r="E4798" s="51"/>
      <c r="F4798" s="114" t="str">
        <f>IF(INDEX(I.Facility.P1IDNumber,4786)="","",INDEX(I.Facility.P1IDNumber,4786))</f>
        <v/>
      </c>
      <c r="G4798" s="51"/>
      <c r="H4798" s="46" t="str">
        <f>IF(AND(I.Developer.P1=TRUE,I.Facility.P1FacilityCount&gt;=4786,F4798=""),"Incomplete","Complete")</f>
        <v>Complete</v>
      </c>
      <c r="I4798" s="48" t="s">
        <v>9163</v>
      </c>
    </row>
    <row r="4799" spans="2:9" ht="15" customHeight="1" x14ac:dyDescent="0.25">
      <c r="B4799" s="55" t="s">
        <v>279</v>
      </c>
      <c r="C4799" s="46">
        <v>4787</v>
      </c>
      <c r="D4799" s="69" t="s">
        <v>29416</v>
      </c>
      <c r="E4799" s="51"/>
      <c r="F4799" s="114" t="str">
        <f>IF(INDEX(I.Facility.P1IDNumber,4787)="","",INDEX(I.Facility.P1IDNumber,4787))</f>
        <v/>
      </c>
      <c r="G4799" s="51"/>
      <c r="H4799" s="46" t="str">
        <f>IF(AND(I.Developer.P1=TRUE,I.Facility.P1FacilityCount&gt;=4787,F4799=""),"Incomplete","Complete")</f>
        <v>Complete</v>
      </c>
      <c r="I4799" s="48" t="s">
        <v>9164</v>
      </c>
    </row>
    <row r="4800" spans="2:9" ht="15" customHeight="1" x14ac:dyDescent="0.25">
      <c r="B4800" s="55" t="s">
        <v>279</v>
      </c>
      <c r="C4800" s="46">
        <v>4788</v>
      </c>
      <c r="D4800" s="69" t="s">
        <v>29416</v>
      </c>
      <c r="E4800" s="51"/>
      <c r="F4800" s="114" t="str">
        <f>IF(INDEX(I.Facility.P1IDNumber,4788)="","",INDEX(I.Facility.P1IDNumber,4788))</f>
        <v/>
      </c>
      <c r="G4800" s="51"/>
      <c r="H4800" s="46" t="str">
        <f>IF(AND(I.Developer.P1=TRUE,I.Facility.P1FacilityCount&gt;=4788,F4800=""),"Incomplete","Complete")</f>
        <v>Complete</v>
      </c>
      <c r="I4800" s="48" t="s">
        <v>9165</v>
      </c>
    </row>
    <row r="4801" spans="2:9" ht="15" customHeight="1" x14ac:dyDescent="0.25">
      <c r="B4801" s="55" t="s">
        <v>279</v>
      </c>
      <c r="C4801" s="46">
        <v>4789</v>
      </c>
      <c r="D4801" s="69" t="s">
        <v>29416</v>
      </c>
      <c r="E4801" s="51"/>
      <c r="F4801" s="114" t="str">
        <f>IF(INDEX(I.Facility.P1IDNumber,4789)="","",INDEX(I.Facility.P1IDNumber,4789))</f>
        <v/>
      </c>
      <c r="G4801" s="51"/>
      <c r="H4801" s="46" t="str">
        <f>IF(AND(I.Developer.P1=TRUE,I.Facility.P1FacilityCount&gt;=4789,F4801=""),"Incomplete","Complete")</f>
        <v>Complete</v>
      </c>
      <c r="I4801" s="48" t="s">
        <v>9166</v>
      </c>
    </row>
    <row r="4802" spans="2:9" ht="15" customHeight="1" x14ac:dyDescent="0.25">
      <c r="B4802" s="55" t="s">
        <v>279</v>
      </c>
      <c r="C4802" s="46">
        <v>4790</v>
      </c>
      <c r="D4802" s="69" t="s">
        <v>29416</v>
      </c>
      <c r="E4802" s="51"/>
      <c r="F4802" s="114" t="str">
        <f>IF(INDEX(I.Facility.P1IDNumber,4790)="","",INDEX(I.Facility.P1IDNumber,4790))</f>
        <v/>
      </c>
      <c r="G4802" s="51"/>
      <c r="H4802" s="46" t="str">
        <f>IF(AND(I.Developer.P1=TRUE,I.Facility.P1FacilityCount&gt;=4790,F4802=""),"Incomplete","Complete")</f>
        <v>Complete</v>
      </c>
      <c r="I4802" s="48" t="s">
        <v>9167</v>
      </c>
    </row>
    <row r="4803" spans="2:9" ht="15" customHeight="1" x14ac:dyDescent="0.25">
      <c r="B4803" s="55" t="s">
        <v>279</v>
      </c>
      <c r="C4803" s="46">
        <v>4791</v>
      </c>
      <c r="D4803" s="69" t="s">
        <v>29416</v>
      </c>
      <c r="E4803" s="51"/>
      <c r="F4803" s="114" t="str">
        <f>IF(INDEX(I.Facility.P1IDNumber,4791)="","",INDEX(I.Facility.P1IDNumber,4791))</f>
        <v/>
      </c>
      <c r="G4803" s="51"/>
      <c r="H4803" s="46" t="str">
        <f>IF(AND(I.Developer.P1=TRUE,I.Facility.P1FacilityCount&gt;=4791,F4803=""),"Incomplete","Complete")</f>
        <v>Complete</v>
      </c>
      <c r="I4803" s="48" t="s">
        <v>9168</v>
      </c>
    </row>
    <row r="4804" spans="2:9" ht="15" customHeight="1" x14ac:dyDescent="0.25">
      <c r="B4804" s="55" t="s">
        <v>279</v>
      </c>
      <c r="C4804" s="46">
        <v>4792</v>
      </c>
      <c r="D4804" s="69" t="s">
        <v>29416</v>
      </c>
      <c r="E4804" s="51"/>
      <c r="F4804" s="114" t="str">
        <f>IF(INDEX(I.Facility.P1IDNumber,4792)="","",INDEX(I.Facility.P1IDNumber,4792))</f>
        <v/>
      </c>
      <c r="G4804" s="51"/>
      <c r="H4804" s="46" t="str">
        <f>IF(AND(I.Developer.P1=TRUE,I.Facility.P1FacilityCount&gt;=4792,F4804=""),"Incomplete","Complete")</f>
        <v>Complete</v>
      </c>
      <c r="I4804" s="48" t="s">
        <v>9169</v>
      </c>
    </row>
    <row r="4805" spans="2:9" ht="15" customHeight="1" x14ac:dyDescent="0.25">
      <c r="B4805" s="55" t="s">
        <v>279</v>
      </c>
      <c r="C4805" s="46">
        <v>4793</v>
      </c>
      <c r="D4805" s="69" t="s">
        <v>29416</v>
      </c>
      <c r="E4805" s="51"/>
      <c r="F4805" s="114" t="str">
        <f>IF(INDEX(I.Facility.P1IDNumber,4793)="","",INDEX(I.Facility.P1IDNumber,4793))</f>
        <v/>
      </c>
      <c r="G4805" s="51"/>
      <c r="H4805" s="46" t="str">
        <f>IF(AND(I.Developer.P1=TRUE,I.Facility.P1FacilityCount&gt;=4793,F4805=""),"Incomplete","Complete")</f>
        <v>Complete</v>
      </c>
      <c r="I4805" s="48" t="s">
        <v>9170</v>
      </c>
    </row>
    <row r="4806" spans="2:9" ht="15" customHeight="1" x14ac:dyDescent="0.25">
      <c r="B4806" s="55" t="s">
        <v>279</v>
      </c>
      <c r="C4806" s="46">
        <v>4794</v>
      </c>
      <c r="D4806" s="69" t="s">
        <v>29416</v>
      </c>
      <c r="E4806" s="51"/>
      <c r="F4806" s="114" t="str">
        <f>IF(INDEX(I.Facility.P1IDNumber,4794)="","",INDEX(I.Facility.P1IDNumber,4794))</f>
        <v/>
      </c>
      <c r="G4806" s="51"/>
      <c r="H4806" s="46" t="str">
        <f>IF(AND(I.Developer.P1=TRUE,I.Facility.P1FacilityCount&gt;=4794,F4806=""),"Incomplete","Complete")</f>
        <v>Complete</v>
      </c>
      <c r="I4806" s="48" t="s">
        <v>9171</v>
      </c>
    </row>
    <row r="4807" spans="2:9" ht="15" customHeight="1" x14ac:dyDescent="0.25">
      <c r="B4807" s="55" t="s">
        <v>279</v>
      </c>
      <c r="C4807" s="46">
        <v>4795</v>
      </c>
      <c r="D4807" s="69" t="s">
        <v>29416</v>
      </c>
      <c r="E4807" s="51"/>
      <c r="F4807" s="114" t="str">
        <f>IF(INDEX(I.Facility.P1IDNumber,4795)="","",INDEX(I.Facility.P1IDNumber,4795))</f>
        <v/>
      </c>
      <c r="G4807" s="51"/>
      <c r="H4807" s="46" t="str">
        <f>IF(AND(I.Developer.P1=TRUE,I.Facility.P1FacilityCount&gt;=4795,F4807=""),"Incomplete","Complete")</f>
        <v>Complete</v>
      </c>
      <c r="I4807" s="48" t="s">
        <v>9172</v>
      </c>
    </row>
    <row r="4808" spans="2:9" ht="15" customHeight="1" x14ac:dyDescent="0.25">
      <c r="B4808" s="55" t="s">
        <v>279</v>
      </c>
      <c r="C4808" s="46">
        <v>4796</v>
      </c>
      <c r="D4808" s="69" t="s">
        <v>29416</v>
      </c>
      <c r="E4808" s="51"/>
      <c r="F4808" s="114" t="str">
        <f>IF(INDEX(I.Facility.P1IDNumber,4796)="","",INDEX(I.Facility.P1IDNumber,4796))</f>
        <v/>
      </c>
      <c r="G4808" s="51"/>
      <c r="H4808" s="46" t="str">
        <f>IF(AND(I.Developer.P1=TRUE,I.Facility.P1FacilityCount&gt;=4796,F4808=""),"Incomplete","Complete")</f>
        <v>Complete</v>
      </c>
      <c r="I4808" s="48" t="s">
        <v>9173</v>
      </c>
    </row>
    <row r="4809" spans="2:9" ht="15" customHeight="1" x14ac:dyDescent="0.25">
      <c r="B4809" s="55" t="s">
        <v>279</v>
      </c>
      <c r="C4809" s="46">
        <v>4797</v>
      </c>
      <c r="D4809" s="69" t="s">
        <v>29416</v>
      </c>
      <c r="E4809" s="51"/>
      <c r="F4809" s="114" t="str">
        <f>IF(INDEX(I.Facility.P1IDNumber,4797)="","",INDEX(I.Facility.P1IDNumber,4797))</f>
        <v/>
      </c>
      <c r="G4809" s="51"/>
      <c r="H4809" s="46" t="str">
        <f>IF(AND(I.Developer.P1=TRUE,I.Facility.P1FacilityCount&gt;=4797,F4809=""),"Incomplete","Complete")</f>
        <v>Complete</v>
      </c>
      <c r="I4809" s="48" t="s">
        <v>9174</v>
      </c>
    </row>
    <row r="4810" spans="2:9" ht="15" customHeight="1" x14ac:dyDescent="0.25">
      <c r="B4810" s="55" t="s">
        <v>279</v>
      </c>
      <c r="C4810" s="46">
        <v>4798</v>
      </c>
      <c r="D4810" s="69" t="s">
        <v>29416</v>
      </c>
      <c r="E4810" s="51"/>
      <c r="F4810" s="114" t="str">
        <f>IF(INDEX(I.Facility.P1IDNumber,4798)="","",INDEX(I.Facility.P1IDNumber,4798))</f>
        <v/>
      </c>
      <c r="G4810" s="51"/>
      <c r="H4810" s="46" t="str">
        <f>IF(AND(I.Developer.P1=TRUE,I.Facility.P1FacilityCount&gt;=4798,F4810=""),"Incomplete","Complete")</f>
        <v>Complete</v>
      </c>
      <c r="I4810" s="48" t="s">
        <v>9175</v>
      </c>
    </row>
    <row r="4811" spans="2:9" ht="15" customHeight="1" x14ac:dyDescent="0.25">
      <c r="B4811" s="55" t="s">
        <v>279</v>
      </c>
      <c r="C4811" s="46">
        <v>4799</v>
      </c>
      <c r="D4811" s="69" t="s">
        <v>29416</v>
      </c>
      <c r="E4811" s="51"/>
      <c r="F4811" s="114" t="str">
        <f>IF(INDEX(I.Facility.P1IDNumber,4799)="","",INDEX(I.Facility.P1IDNumber,4799))</f>
        <v/>
      </c>
      <c r="G4811" s="51"/>
      <c r="H4811" s="46" t="str">
        <f>IF(AND(I.Developer.P1=TRUE,I.Facility.P1FacilityCount&gt;=4799,F4811=""),"Incomplete","Complete")</f>
        <v>Complete</v>
      </c>
      <c r="I4811" s="48" t="s">
        <v>9176</v>
      </c>
    </row>
    <row r="4812" spans="2:9" ht="15" customHeight="1" x14ac:dyDescent="0.25">
      <c r="B4812" s="55" t="s">
        <v>279</v>
      </c>
      <c r="C4812" s="46">
        <v>4800</v>
      </c>
      <c r="D4812" s="69" t="s">
        <v>29416</v>
      </c>
      <c r="E4812" s="51"/>
      <c r="F4812" s="114" t="str">
        <f>IF(INDEX(I.Facility.P1IDNumber,4800)="","",INDEX(I.Facility.P1IDNumber,4800))</f>
        <v/>
      </c>
      <c r="G4812" s="51"/>
      <c r="H4812" s="46" t="str">
        <f>IF(AND(I.Developer.P1=TRUE,I.Facility.P1FacilityCount&gt;=4800,F4812=""),"Incomplete","Complete")</f>
        <v>Complete</v>
      </c>
      <c r="I4812" s="48" t="s">
        <v>9177</v>
      </c>
    </row>
    <row r="4813" spans="2:9" ht="15" customHeight="1" x14ac:dyDescent="0.25">
      <c r="B4813" s="55" t="s">
        <v>279</v>
      </c>
      <c r="C4813" s="46">
        <v>4801</v>
      </c>
      <c r="D4813" s="69" t="s">
        <v>29416</v>
      </c>
      <c r="E4813" s="51"/>
      <c r="F4813" s="114" t="str">
        <f>IF(INDEX(I.Facility.P1IDNumber,4801)="","",INDEX(I.Facility.P1IDNumber,4801))</f>
        <v/>
      </c>
      <c r="G4813" s="51"/>
      <c r="H4813" s="46" t="str">
        <f>IF(AND(I.Developer.P1=TRUE,I.Facility.P1FacilityCount&gt;=4801,F4813=""),"Incomplete","Complete")</f>
        <v>Complete</v>
      </c>
      <c r="I4813" s="48" t="s">
        <v>9178</v>
      </c>
    </row>
    <row r="4814" spans="2:9" ht="15" customHeight="1" x14ac:dyDescent="0.25">
      <c r="B4814" s="55" t="s">
        <v>279</v>
      </c>
      <c r="C4814" s="46">
        <v>4802</v>
      </c>
      <c r="D4814" s="69" t="s">
        <v>29416</v>
      </c>
      <c r="E4814" s="51"/>
      <c r="F4814" s="114" t="str">
        <f>IF(INDEX(I.Facility.P1IDNumber,4802)="","",INDEX(I.Facility.P1IDNumber,4802))</f>
        <v/>
      </c>
      <c r="G4814" s="51"/>
      <c r="H4814" s="46" t="str">
        <f>IF(AND(I.Developer.P1=TRUE,I.Facility.P1FacilityCount&gt;=4802,F4814=""),"Incomplete","Complete")</f>
        <v>Complete</v>
      </c>
      <c r="I4814" s="48" t="s">
        <v>9179</v>
      </c>
    </row>
    <row r="4815" spans="2:9" ht="15" customHeight="1" x14ac:dyDescent="0.25">
      <c r="B4815" s="55" t="s">
        <v>279</v>
      </c>
      <c r="C4815" s="46">
        <v>4803</v>
      </c>
      <c r="D4815" s="69" t="s">
        <v>29416</v>
      </c>
      <c r="E4815" s="51"/>
      <c r="F4815" s="114" t="str">
        <f>IF(INDEX(I.Facility.P1IDNumber,4803)="","",INDEX(I.Facility.P1IDNumber,4803))</f>
        <v/>
      </c>
      <c r="G4815" s="51"/>
      <c r="H4815" s="46" t="str">
        <f>IF(AND(I.Developer.P1=TRUE,I.Facility.P1FacilityCount&gt;=4803,F4815=""),"Incomplete","Complete")</f>
        <v>Complete</v>
      </c>
      <c r="I4815" s="48" t="s">
        <v>9180</v>
      </c>
    </row>
    <row r="4816" spans="2:9" ht="15" customHeight="1" x14ac:dyDescent="0.25">
      <c r="B4816" s="55" t="s">
        <v>279</v>
      </c>
      <c r="C4816" s="46">
        <v>4804</v>
      </c>
      <c r="D4816" s="69" t="s">
        <v>29416</v>
      </c>
      <c r="E4816" s="51"/>
      <c r="F4816" s="114" t="str">
        <f>IF(INDEX(I.Facility.P1IDNumber,4804)="","",INDEX(I.Facility.P1IDNumber,4804))</f>
        <v/>
      </c>
      <c r="G4816" s="51"/>
      <c r="H4816" s="46" t="str">
        <f>IF(AND(I.Developer.P1=TRUE,I.Facility.P1FacilityCount&gt;=4804,F4816=""),"Incomplete","Complete")</f>
        <v>Complete</v>
      </c>
      <c r="I4816" s="48" t="s">
        <v>9181</v>
      </c>
    </row>
    <row r="4817" spans="2:9" ht="15" customHeight="1" x14ac:dyDescent="0.25">
      <c r="B4817" s="55" t="s">
        <v>279</v>
      </c>
      <c r="C4817" s="46">
        <v>4805</v>
      </c>
      <c r="D4817" s="69" t="s">
        <v>29416</v>
      </c>
      <c r="E4817" s="51"/>
      <c r="F4817" s="114" t="str">
        <f>IF(INDEX(I.Facility.P1IDNumber,4805)="","",INDEX(I.Facility.P1IDNumber,4805))</f>
        <v/>
      </c>
      <c r="G4817" s="51"/>
      <c r="H4817" s="46" t="str">
        <f>IF(AND(I.Developer.P1=TRUE,I.Facility.P1FacilityCount&gt;=4805,F4817=""),"Incomplete","Complete")</f>
        <v>Complete</v>
      </c>
      <c r="I4817" s="48" t="s">
        <v>9182</v>
      </c>
    </row>
    <row r="4818" spans="2:9" ht="15" customHeight="1" x14ac:dyDescent="0.25">
      <c r="B4818" s="55" t="s">
        <v>279</v>
      </c>
      <c r="C4818" s="46">
        <v>4806</v>
      </c>
      <c r="D4818" s="69" t="s">
        <v>29416</v>
      </c>
      <c r="E4818" s="51"/>
      <c r="F4818" s="114" t="str">
        <f>IF(INDEX(I.Facility.P1IDNumber,4806)="","",INDEX(I.Facility.P1IDNumber,4806))</f>
        <v/>
      </c>
      <c r="G4818" s="51"/>
      <c r="H4818" s="46" t="str">
        <f>IF(AND(I.Developer.P1=TRUE,I.Facility.P1FacilityCount&gt;=4806,F4818=""),"Incomplete","Complete")</f>
        <v>Complete</v>
      </c>
      <c r="I4818" s="48" t="s">
        <v>9183</v>
      </c>
    </row>
    <row r="4819" spans="2:9" ht="15" customHeight="1" x14ac:dyDescent="0.25">
      <c r="B4819" s="55" t="s">
        <v>279</v>
      </c>
      <c r="C4819" s="46">
        <v>4807</v>
      </c>
      <c r="D4819" s="69" t="s">
        <v>29416</v>
      </c>
      <c r="E4819" s="51"/>
      <c r="F4819" s="114" t="str">
        <f>IF(INDEX(I.Facility.P1IDNumber,4807)="","",INDEX(I.Facility.P1IDNumber,4807))</f>
        <v/>
      </c>
      <c r="G4819" s="51"/>
      <c r="H4819" s="46" t="str">
        <f>IF(AND(I.Developer.P1=TRUE,I.Facility.P1FacilityCount&gt;=4807,F4819=""),"Incomplete","Complete")</f>
        <v>Complete</v>
      </c>
      <c r="I4819" s="48" t="s">
        <v>9184</v>
      </c>
    </row>
    <row r="4820" spans="2:9" ht="15" customHeight="1" x14ac:dyDescent="0.25">
      <c r="B4820" s="55" t="s">
        <v>279</v>
      </c>
      <c r="C4820" s="46">
        <v>4808</v>
      </c>
      <c r="D4820" s="69" t="s">
        <v>29416</v>
      </c>
      <c r="E4820" s="51"/>
      <c r="F4820" s="114" t="str">
        <f>IF(INDEX(I.Facility.P1IDNumber,4808)="","",INDEX(I.Facility.P1IDNumber,4808))</f>
        <v/>
      </c>
      <c r="G4820" s="51"/>
      <c r="H4820" s="46" t="str">
        <f>IF(AND(I.Developer.P1=TRUE,I.Facility.P1FacilityCount&gt;=4808,F4820=""),"Incomplete","Complete")</f>
        <v>Complete</v>
      </c>
      <c r="I4820" s="48" t="s">
        <v>9185</v>
      </c>
    </row>
    <row r="4821" spans="2:9" ht="15" customHeight="1" x14ac:dyDescent="0.25">
      <c r="B4821" s="55" t="s">
        <v>279</v>
      </c>
      <c r="C4821" s="46">
        <v>4809</v>
      </c>
      <c r="D4821" s="69" t="s">
        <v>29416</v>
      </c>
      <c r="E4821" s="51"/>
      <c r="F4821" s="114" t="str">
        <f>IF(INDEX(I.Facility.P1IDNumber,4809)="","",INDEX(I.Facility.P1IDNumber,4809))</f>
        <v/>
      </c>
      <c r="G4821" s="51"/>
      <c r="H4821" s="46" t="str">
        <f>IF(AND(I.Developer.P1=TRUE,I.Facility.P1FacilityCount&gt;=4809,F4821=""),"Incomplete","Complete")</f>
        <v>Complete</v>
      </c>
      <c r="I4821" s="48" t="s">
        <v>9186</v>
      </c>
    </row>
    <row r="4822" spans="2:9" ht="15" customHeight="1" x14ac:dyDescent="0.25">
      <c r="B4822" s="55" t="s">
        <v>279</v>
      </c>
      <c r="C4822" s="46">
        <v>4810</v>
      </c>
      <c r="D4822" s="69" t="s">
        <v>29416</v>
      </c>
      <c r="E4822" s="51"/>
      <c r="F4822" s="114" t="str">
        <f>IF(INDEX(I.Facility.P1IDNumber,4810)="","",INDEX(I.Facility.P1IDNumber,4810))</f>
        <v/>
      </c>
      <c r="G4822" s="51"/>
      <c r="H4822" s="46" t="str">
        <f>IF(AND(I.Developer.P1=TRUE,I.Facility.P1FacilityCount&gt;=4810,F4822=""),"Incomplete","Complete")</f>
        <v>Complete</v>
      </c>
      <c r="I4822" s="48" t="s">
        <v>9187</v>
      </c>
    </row>
    <row r="4823" spans="2:9" ht="15" customHeight="1" x14ac:dyDescent="0.25">
      <c r="B4823" s="55" t="s">
        <v>279</v>
      </c>
      <c r="C4823" s="46">
        <v>4811</v>
      </c>
      <c r="D4823" s="69" t="s">
        <v>29416</v>
      </c>
      <c r="E4823" s="51"/>
      <c r="F4823" s="114" t="str">
        <f>IF(INDEX(I.Facility.P1IDNumber,4811)="","",INDEX(I.Facility.P1IDNumber,4811))</f>
        <v/>
      </c>
      <c r="G4823" s="51"/>
      <c r="H4823" s="46" t="str">
        <f>IF(AND(I.Developer.P1=TRUE,I.Facility.P1FacilityCount&gt;=4811,F4823=""),"Incomplete","Complete")</f>
        <v>Complete</v>
      </c>
      <c r="I4823" s="48" t="s">
        <v>9188</v>
      </c>
    </row>
    <row r="4824" spans="2:9" ht="15" customHeight="1" x14ac:dyDescent="0.25">
      <c r="B4824" s="55" t="s">
        <v>279</v>
      </c>
      <c r="C4824" s="46">
        <v>4812</v>
      </c>
      <c r="D4824" s="69" t="s">
        <v>29416</v>
      </c>
      <c r="E4824" s="51"/>
      <c r="F4824" s="114" t="str">
        <f>IF(INDEX(I.Facility.P1IDNumber,4812)="","",INDEX(I.Facility.P1IDNumber,4812))</f>
        <v/>
      </c>
      <c r="G4824" s="51"/>
      <c r="H4824" s="46" t="str">
        <f>IF(AND(I.Developer.P1=TRUE,I.Facility.P1FacilityCount&gt;=4812,F4824=""),"Incomplete","Complete")</f>
        <v>Complete</v>
      </c>
      <c r="I4824" s="48" t="s">
        <v>9189</v>
      </c>
    </row>
    <row r="4825" spans="2:9" ht="15" customHeight="1" x14ac:dyDescent="0.25">
      <c r="B4825" s="55" t="s">
        <v>279</v>
      </c>
      <c r="C4825" s="46">
        <v>4813</v>
      </c>
      <c r="D4825" s="69" t="s">
        <v>29416</v>
      </c>
      <c r="E4825" s="51"/>
      <c r="F4825" s="114" t="str">
        <f>IF(INDEX(I.Facility.P1IDNumber,4813)="","",INDEX(I.Facility.P1IDNumber,4813))</f>
        <v/>
      </c>
      <c r="G4825" s="51"/>
      <c r="H4825" s="46" t="str">
        <f>IF(AND(I.Developer.P1=TRUE,I.Facility.P1FacilityCount&gt;=4813,F4825=""),"Incomplete","Complete")</f>
        <v>Complete</v>
      </c>
      <c r="I4825" s="48" t="s">
        <v>9190</v>
      </c>
    </row>
    <row r="4826" spans="2:9" ht="15" customHeight="1" x14ac:dyDescent="0.25">
      <c r="B4826" s="55" t="s">
        <v>279</v>
      </c>
      <c r="C4826" s="46">
        <v>4814</v>
      </c>
      <c r="D4826" s="69" t="s">
        <v>29416</v>
      </c>
      <c r="E4826" s="51"/>
      <c r="F4826" s="114" t="str">
        <f>IF(INDEX(I.Facility.P1IDNumber,4814)="","",INDEX(I.Facility.P1IDNumber,4814))</f>
        <v/>
      </c>
      <c r="G4826" s="51"/>
      <c r="H4826" s="46" t="str">
        <f>IF(AND(I.Developer.P1=TRUE,I.Facility.P1FacilityCount&gt;=4814,F4826=""),"Incomplete","Complete")</f>
        <v>Complete</v>
      </c>
      <c r="I4826" s="48" t="s">
        <v>9191</v>
      </c>
    </row>
    <row r="4827" spans="2:9" ht="15" customHeight="1" x14ac:dyDescent="0.25">
      <c r="B4827" s="55" t="s">
        <v>279</v>
      </c>
      <c r="C4827" s="46">
        <v>4815</v>
      </c>
      <c r="D4827" s="69" t="s">
        <v>29416</v>
      </c>
      <c r="E4827" s="51"/>
      <c r="F4827" s="114" t="str">
        <f>IF(INDEX(I.Facility.P1IDNumber,4815)="","",INDEX(I.Facility.P1IDNumber,4815))</f>
        <v/>
      </c>
      <c r="G4827" s="51"/>
      <c r="H4827" s="46" t="str">
        <f>IF(AND(I.Developer.P1=TRUE,I.Facility.P1FacilityCount&gt;=4815,F4827=""),"Incomplete","Complete")</f>
        <v>Complete</v>
      </c>
      <c r="I4827" s="48" t="s">
        <v>9192</v>
      </c>
    </row>
    <row r="4828" spans="2:9" ht="15" customHeight="1" x14ac:dyDescent="0.25">
      <c r="B4828" s="55" t="s">
        <v>279</v>
      </c>
      <c r="C4828" s="46">
        <v>4816</v>
      </c>
      <c r="D4828" s="69" t="s">
        <v>29416</v>
      </c>
      <c r="E4828" s="51"/>
      <c r="F4828" s="114" t="str">
        <f>IF(INDEX(I.Facility.P1IDNumber,4816)="","",INDEX(I.Facility.P1IDNumber,4816))</f>
        <v/>
      </c>
      <c r="G4828" s="51"/>
      <c r="H4828" s="46" t="str">
        <f>IF(AND(I.Developer.P1=TRUE,I.Facility.P1FacilityCount&gt;=4816,F4828=""),"Incomplete","Complete")</f>
        <v>Complete</v>
      </c>
      <c r="I4828" s="48" t="s">
        <v>9193</v>
      </c>
    </row>
    <row r="4829" spans="2:9" ht="15" customHeight="1" x14ac:dyDescent="0.25">
      <c r="B4829" s="55" t="s">
        <v>279</v>
      </c>
      <c r="C4829" s="46">
        <v>4817</v>
      </c>
      <c r="D4829" s="69" t="s">
        <v>29416</v>
      </c>
      <c r="E4829" s="51"/>
      <c r="F4829" s="114" t="str">
        <f>IF(INDEX(I.Facility.P1IDNumber,4817)="","",INDEX(I.Facility.P1IDNumber,4817))</f>
        <v/>
      </c>
      <c r="G4829" s="51"/>
      <c r="H4829" s="46" t="str">
        <f>IF(AND(I.Developer.P1=TRUE,I.Facility.P1FacilityCount&gt;=4817,F4829=""),"Incomplete","Complete")</f>
        <v>Complete</v>
      </c>
      <c r="I4829" s="48" t="s">
        <v>9194</v>
      </c>
    </row>
    <row r="4830" spans="2:9" ht="15" customHeight="1" x14ac:dyDescent="0.25">
      <c r="B4830" s="55" t="s">
        <v>279</v>
      </c>
      <c r="C4830" s="46">
        <v>4818</v>
      </c>
      <c r="D4830" s="69" t="s">
        <v>29416</v>
      </c>
      <c r="E4830" s="51"/>
      <c r="F4830" s="114" t="str">
        <f>IF(INDEX(I.Facility.P1IDNumber,4818)="","",INDEX(I.Facility.P1IDNumber,4818))</f>
        <v/>
      </c>
      <c r="G4830" s="51"/>
      <c r="H4830" s="46" t="str">
        <f>IF(AND(I.Developer.P1=TRUE,I.Facility.P1FacilityCount&gt;=4818,F4830=""),"Incomplete","Complete")</f>
        <v>Complete</v>
      </c>
      <c r="I4830" s="48" t="s">
        <v>9195</v>
      </c>
    </row>
    <row r="4831" spans="2:9" ht="15" customHeight="1" x14ac:dyDescent="0.25">
      <c r="B4831" s="55" t="s">
        <v>279</v>
      </c>
      <c r="C4831" s="46">
        <v>4819</v>
      </c>
      <c r="D4831" s="69" t="s">
        <v>29416</v>
      </c>
      <c r="E4831" s="51"/>
      <c r="F4831" s="114" t="str">
        <f>IF(INDEX(I.Facility.P1IDNumber,4819)="","",INDEX(I.Facility.P1IDNumber,4819))</f>
        <v/>
      </c>
      <c r="G4831" s="51"/>
      <c r="H4831" s="46" t="str">
        <f>IF(AND(I.Developer.P1=TRUE,I.Facility.P1FacilityCount&gt;=4819,F4831=""),"Incomplete","Complete")</f>
        <v>Complete</v>
      </c>
      <c r="I4831" s="48" t="s">
        <v>9196</v>
      </c>
    </row>
    <row r="4832" spans="2:9" ht="15" customHeight="1" x14ac:dyDescent="0.25">
      <c r="B4832" s="55" t="s">
        <v>279</v>
      </c>
      <c r="C4832" s="46">
        <v>4820</v>
      </c>
      <c r="D4832" s="69" t="s">
        <v>29416</v>
      </c>
      <c r="E4832" s="51"/>
      <c r="F4832" s="114" t="str">
        <f>IF(INDEX(I.Facility.P1IDNumber,4820)="","",INDEX(I.Facility.P1IDNumber,4820))</f>
        <v/>
      </c>
      <c r="G4832" s="51"/>
      <c r="H4832" s="46" t="str">
        <f>IF(AND(I.Developer.P1=TRUE,I.Facility.P1FacilityCount&gt;=4820,F4832=""),"Incomplete","Complete")</f>
        <v>Complete</v>
      </c>
      <c r="I4832" s="48" t="s">
        <v>9197</v>
      </c>
    </row>
    <row r="4833" spans="2:9" ht="15" customHeight="1" x14ac:dyDescent="0.25">
      <c r="B4833" s="55" t="s">
        <v>279</v>
      </c>
      <c r="C4833" s="46">
        <v>4821</v>
      </c>
      <c r="D4833" s="69" t="s">
        <v>29416</v>
      </c>
      <c r="E4833" s="51"/>
      <c r="F4833" s="114" t="str">
        <f>IF(INDEX(I.Facility.P1IDNumber,4821)="","",INDEX(I.Facility.P1IDNumber,4821))</f>
        <v/>
      </c>
      <c r="G4833" s="51"/>
      <c r="H4833" s="46" t="str">
        <f>IF(AND(I.Developer.P1=TRUE,I.Facility.P1FacilityCount&gt;=4821,F4833=""),"Incomplete","Complete")</f>
        <v>Complete</v>
      </c>
      <c r="I4833" s="48" t="s">
        <v>9198</v>
      </c>
    </row>
    <row r="4834" spans="2:9" ht="15" customHeight="1" x14ac:dyDescent="0.25">
      <c r="B4834" s="55" t="s">
        <v>279</v>
      </c>
      <c r="C4834" s="46">
        <v>4822</v>
      </c>
      <c r="D4834" s="69" t="s">
        <v>29416</v>
      </c>
      <c r="E4834" s="51"/>
      <c r="F4834" s="114" t="str">
        <f>IF(INDEX(I.Facility.P1IDNumber,4822)="","",INDEX(I.Facility.P1IDNumber,4822))</f>
        <v/>
      </c>
      <c r="G4834" s="51"/>
      <c r="H4834" s="46" t="str">
        <f>IF(AND(I.Developer.P1=TRUE,I.Facility.P1FacilityCount&gt;=4822,F4834=""),"Incomplete","Complete")</f>
        <v>Complete</v>
      </c>
      <c r="I4834" s="48" t="s">
        <v>9199</v>
      </c>
    </row>
    <row r="4835" spans="2:9" ht="15" customHeight="1" x14ac:dyDescent="0.25">
      <c r="B4835" s="55" t="s">
        <v>279</v>
      </c>
      <c r="C4835" s="46">
        <v>4823</v>
      </c>
      <c r="D4835" s="69" t="s">
        <v>29416</v>
      </c>
      <c r="E4835" s="51"/>
      <c r="F4835" s="114" t="str">
        <f>IF(INDEX(I.Facility.P1IDNumber,4823)="","",INDEX(I.Facility.P1IDNumber,4823))</f>
        <v/>
      </c>
      <c r="G4835" s="51"/>
      <c r="H4835" s="46" t="str">
        <f>IF(AND(I.Developer.P1=TRUE,I.Facility.P1FacilityCount&gt;=4823,F4835=""),"Incomplete","Complete")</f>
        <v>Complete</v>
      </c>
      <c r="I4835" s="48" t="s">
        <v>9200</v>
      </c>
    </row>
    <row r="4836" spans="2:9" ht="15" customHeight="1" x14ac:dyDescent="0.25">
      <c r="B4836" s="55" t="s">
        <v>279</v>
      </c>
      <c r="C4836" s="46">
        <v>4824</v>
      </c>
      <c r="D4836" s="69" t="s">
        <v>29416</v>
      </c>
      <c r="E4836" s="51"/>
      <c r="F4836" s="114" t="str">
        <f>IF(INDEX(I.Facility.P1IDNumber,4824)="","",INDEX(I.Facility.P1IDNumber,4824))</f>
        <v/>
      </c>
      <c r="G4836" s="51"/>
      <c r="H4836" s="46" t="str">
        <f>IF(AND(I.Developer.P1=TRUE,I.Facility.P1FacilityCount&gt;=4824,F4836=""),"Incomplete","Complete")</f>
        <v>Complete</v>
      </c>
      <c r="I4836" s="48" t="s">
        <v>9201</v>
      </c>
    </row>
    <row r="4837" spans="2:9" ht="15" customHeight="1" x14ac:dyDescent="0.25">
      <c r="B4837" s="55" t="s">
        <v>279</v>
      </c>
      <c r="C4837" s="46">
        <v>4825</v>
      </c>
      <c r="D4837" s="69" t="s">
        <v>29416</v>
      </c>
      <c r="E4837" s="51"/>
      <c r="F4837" s="114" t="str">
        <f>IF(INDEX(I.Facility.P1IDNumber,4825)="","",INDEX(I.Facility.P1IDNumber,4825))</f>
        <v/>
      </c>
      <c r="G4837" s="51"/>
      <c r="H4837" s="46" t="str">
        <f>IF(AND(I.Developer.P1=TRUE,I.Facility.P1FacilityCount&gt;=4825,F4837=""),"Incomplete","Complete")</f>
        <v>Complete</v>
      </c>
      <c r="I4837" s="48" t="s">
        <v>9202</v>
      </c>
    </row>
    <row r="4838" spans="2:9" ht="15" customHeight="1" x14ac:dyDescent="0.25">
      <c r="B4838" s="55" t="s">
        <v>279</v>
      </c>
      <c r="C4838" s="46">
        <v>4826</v>
      </c>
      <c r="D4838" s="69" t="s">
        <v>29416</v>
      </c>
      <c r="E4838" s="51"/>
      <c r="F4838" s="114" t="str">
        <f>IF(INDEX(I.Facility.P1IDNumber,4826)="","",INDEX(I.Facility.P1IDNumber,4826))</f>
        <v/>
      </c>
      <c r="G4838" s="51"/>
      <c r="H4838" s="46" t="str">
        <f>IF(AND(I.Developer.P1=TRUE,I.Facility.P1FacilityCount&gt;=4826,F4838=""),"Incomplete","Complete")</f>
        <v>Complete</v>
      </c>
      <c r="I4838" s="48" t="s">
        <v>9203</v>
      </c>
    </row>
    <row r="4839" spans="2:9" ht="15" customHeight="1" x14ac:dyDescent="0.25">
      <c r="B4839" s="55" t="s">
        <v>279</v>
      </c>
      <c r="C4839" s="46">
        <v>4827</v>
      </c>
      <c r="D4839" s="69" t="s">
        <v>29416</v>
      </c>
      <c r="E4839" s="51"/>
      <c r="F4839" s="114" t="str">
        <f>IF(INDEX(I.Facility.P1IDNumber,4827)="","",INDEX(I.Facility.P1IDNumber,4827))</f>
        <v/>
      </c>
      <c r="G4839" s="51"/>
      <c r="H4839" s="46" t="str">
        <f>IF(AND(I.Developer.P1=TRUE,I.Facility.P1FacilityCount&gt;=4827,F4839=""),"Incomplete","Complete")</f>
        <v>Complete</v>
      </c>
      <c r="I4839" s="48" t="s">
        <v>9204</v>
      </c>
    </row>
    <row r="4840" spans="2:9" ht="15" customHeight="1" x14ac:dyDescent="0.25">
      <c r="B4840" s="55" t="s">
        <v>279</v>
      </c>
      <c r="C4840" s="46">
        <v>4828</v>
      </c>
      <c r="D4840" s="69" t="s">
        <v>29416</v>
      </c>
      <c r="E4840" s="51"/>
      <c r="F4840" s="114" t="str">
        <f>IF(INDEX(I.Facility.P1IDNumber,4828)="","",INDEX(I.Facility.P1IDNumber,4828))</f>
        <v/>
      </c>
      <c r="G4840" s="51"/>
      <c r="H4840" s="46" t="str">
        <f>IF(AND(I.Developer.P1=TRUE,I.Facility.P1FacilityCount&gt;=4828,F4840=""),"Incomplete","Complete")</f>
        <v>Complete</v>
      </c>
      <c r="I4840" s="48" t="s">
        <v>9205</v>
      </c>
    </row>
    <row r="4841" spans="2:9" ht="15" customHeight="1" x14ac:dyDescent="0.25">
      <c r="B4841" s="55" t="s">
        <v>279</v>
      </c>
      <c r="C4841" s="46">
        <v>4829</v>
      </c>
      <c r="D4841" s="69" t="s">
        <v>29416</v>
      </c>
      <c r="E4841" s="51"/>
      <c r="F4841" s="114" t="str">
        <f>IF(INDEX(I.Facility.P1IDNumber,4829)="","",INDEX(I.Facility.P1IDNumber,4829))</f>
        <v/>
      </c>
      <c r="G4841" s="51"/>
      <c r="H4841" s="46" t="str">
        <f>IF(AND(I.Developer.P1=TRUE,I.Facility.P1FacilityCount&gt;=4829,F4841=""),"Incomplete","Complete")</f>
        <v>Complete</v>
      </c>
      <c r="I4841" s="48" t="s">
        <v>9206</v>
      </c>
    </row>
    <row r="4842" spans="2:9" ht="15" customHeight="1" x14ac:dyDescent="0.25">
      <c r="B4842" s="55" t="s">
        <v>279</v>
      </c>
      <c r="C4842" s="46">
        <v>4830</v>
      </c>
      <c r="D4842" s="69" t="s">
        <v>29416</v>
      </c>
      <c r="E4842" s="51"/>
      <c r="F4842" s="114" t="str">
        <f>IF(INDEX(I.Facility.P1IDNumber,4830)="","",INDEX(I.Facility.P1IDNumber,4830))</f>
        <v/>
      </c>
      <c r="G4842" s="51"/>
      <c r="H4842" s="46" t="str">
        <f>IF(AND(I.Developer.P1=TRUE,I.Facility.P1FacilityCount&gt;=4830,F4842=""),"Incomplete","Complete")</f>
        <v>Complete</v>
      </c>
      <c r="I4842" s="48" t="s">
        <v>9207</v>
      </c>
    </row>
    <row r="4843" spans="2:9" ht="15" customHeight="1" x14ac:dyDescent="0.25">
      <c r="B4843" s="55" t="s">
        <v>279</v>
      </c>
      <c r="C4843" s="46">
        <v>4831</v>
      </c>
      <c r="D4843" s="69" t="s">
        <v>29416</v>
      </c>
      <c r="E4843" s="51"/>
      <c r="F4843" s="114" t="str">
        <f>IF(INDEX(I.Facility.P1IDNumber,4831)="","",INDEX(I.Facility.P1IDNumber,4831))</f>
        <v/>
      </c>
      <c r="G4843" s="51"/>
      <c r="H4843" s="46" t="str">
        <f>IF(AND(I.Developer.P1=TRUE,I.Facility.P1FacilityCount&gt;=4831,F4843=""),"Incomplete","Complete")</f>
        <v>Complete</v>
      </c>
      <c r="I4843" s="48" t="s">
        <v>9208</v>
      </c>
    </row>
    <row r="4844" spans="2:9" ht="15" customHeight="1" x14ac:dyDescent="0.25">
      <c r="B4844" s="55" t="s">
        <v>279</v>
      </c>
      <c r="C4844" s="46">
        <v>4832</v>
      </c>
      <c r="D4844" s="69" t="s">
        <v>29416</v>
      </c>
      <c r="E4844" s="51"/>
      <c r="F4844" s="114" t="str">
        <f>IF(INDEX(I.Facility.P1IDNumber,4832)="","",INDEX(I.Facility.P1IDNumber,4832))</f>
        <v/>
      </c>
      <c r="G4844" s="51"/>
      <c r="H4844" s="46" t="str">
        <f>IF(AND(I.Developer.P1=TRUE,I.Facility.P1FacilityCount&gt;=4832,F4844=""),"Incomplete","Complete")</f>
        <v>Complete</v>
      </c>
      <c r="I4844" s="48" t="s">
        <v>9209</v>
      </c>
    </row>
    <row r="4845" spans="2:9" ht="15" customHeight="1" x14ac:dyDescent="0.25">
      <c r="B4845" s="55" t="s">
        <v>279</v>
      </c>
      <c r="C4845" s="46">
        <v>4833</v>
      </c>
      <c r="D4845" s="69" t="s">
        <v>29416</v>
      </c>
      <c r="E4845" s="51"/>
      <c r="F4845" s="114" t="str">
        <f>IF(INDEX(I.Facility.P1IDNumber,4833)="","",INDEX(I.Facility.P1IDNumber,4833))</f>
        <v/>
      </c>
      <c r="G4845" s="51"/>
      <c r="H4845" s="46" t="str">
        <f>IF(AND(I.Developer.P1=TRUE,I.Facility.P1FacilityCount&gt;=4833,F4845=""),"Incomplete","Complete")</f>
        <v>Complete</v>
      </c>
      <c r="I4845" s="48" t="s">
        <v>9210</v>
      </c>
    </row>
    <row r="4846" spans="2:9" ht="15" customHeight="1" x14ac:dyDescent="0.25">
      <c r="B4846" s="55" t="s">
        <v>279</v>
      </c>
      <c r="C4846" s="46">
        <v>4834</v>
      </c>
      <c r="D4846" s="69" t="s">
        <v>29416</v>
      </c>
      <c r="E4846" s="51"/>
      <c r="F4846" s="114" t="str">
        <f>IF(INDEX(I.Facility.P1IDNumber,4834)="","",INDEX(I.Facility.P1IDNumber,4834))</f>
        <v/>
      </c>
      <c r="G4846" s="51"/>
      <c r="H4846" s="46" t="str">
        <f>IF(AND(I.Developer.P1=TRUE,I.Facility.P1FacilityCount&gt;=4834,F4846=""),"Incomplete","Complete")</f>
        <v>Complete</v>
      </c>
      <c r="I4846" s="48" t="s">
        <v>9211</v>
      </c>
    </row>
    <row r="4847" spans="2:9" ht="15" customHeight="1" x14ac:dyDescent="0.25">
      <c r="B4847" s="55" t="s">
        <v>279</v>
      </c>
      <c r="C4847" s="46">
        <v>4835</v>
      </c>
      <c r="D4847" s="69" t="s">
        <v>29416</v>
      </c>
      <c r="E4847" s="51"/>
      <c r="F4847" s="114" t="str">
        <f>IF(INDEX(I.Facility.P1IDNumber,4835)="","",INDEX(I.Facility.P1IDNumber,4835))</f>
        <v/>
      </c>
      <c r="G4847" s="51"/>
      <c r="H4847" s="46" t="str">
        <f>IF(AND(I.Developer.P1=TRUE,I.Facility.P1FacilityCount&gt;=4835,F4847=""),"Incomplete","Complete")</f>
        <v>Complete</v>
      </c>
      <c r="I4847" s="48" t="s">
        <v>9212</v>
      </c>
    </row>
    <row r="4848" spans="2:9" ht="15" customHeight="1" x14ac:dyDescent="0.25">
      <c r="B4848" s="55" t="s">
        <v>279</v>
      </c>
      <c r="C4848" s="46">
        <v>4836</v>
      </c>
      <c r="D4848" s="69" t="s">
        <v>29416</v>
      </c>
      <c r="E4848" s="51"/>
      <c r="F4848" s="114" t="str">
        <f>IF(INDEX(I.Facility.P1IDNumber,4836)="","",INDEX(I.Facility.P1IDNumber,4836))</f>
        <v/>
      </c>
      <c r="G4848" s="51"/>
      <c r="H4848" s="46" t="str">
        <f>IF(AND(I.Developer.P1=TRUE,I.Facility.P1FacilityCount&gt;=4836,F4848=""),"Incomplete","Complete")</f>
        <v>Complete</v>
      </c>
      <c r="I4848" s="48" t="s">
        <v>9213</v>
      </c>
    </row>
    <row r="4849" spans="2:9" ht="15" customHeight="1" x14ac:dyDescent="0.25">
      <c r="B4849" s="55" t="s">
        <v>279</v>
      </c>
      <c r="C4849" s="46">
        <v>4837</v>
      </c>
      <c r="D4849" s="69" t="s">
        <v>29416</v>
      </c>
      <c r="E4849" s="51"/>
      <c r="F4849" s="114" t="str">
        <f>IF(INDEX(I.Facility.P1IDNumber,4837)="","",INDEX(I.Facility.P1IDNumber,4837))</f>
        <v/>
      </c>
      <c r="G4849" s="51"/>
      <c r="H4849" s="46" t="str">
        <f>IF(AND(I.Developer.P1=TRUE,I.Facility.P1FacilityCount&gt;=4837,F4849=""),"Incomplete","Complete")</f>
        <v>Complete</v>
      </c>
      <c r="I4849" s="48" t="s">
        <v>9214</v>
      </c>
    </row>
    <row r="4850" spans="2:9" ht="15" customHeight="1" x14ac:dyDescent="0.25">
      <c r="B4850" s="55" t="s">
        <v>279</v>
      </c>
      <c r="C4850" s="46">
        <v>4838</v>
      </c>
      <c r="D4850" s="69" t="s">
        <v>29416</v>
      </c>
      <c r="E4850" s="51"/>
      <c r="F4850" s="114" t="str">
        <f>IF(INDEX(I.Facility.P1IDNumber,4838)="","",INDEX(I.Facility.P1IDNumber,4838))</f>
        <v/>
      </c>
      <c r="G4850" s="51"/>
      <c r="H4850" s="46" t="str">
        <f>IF(AND(I.Developer.P1=TRUE,I.Facility.P1FacilityCount&gt;=4838,F4850=""),"Incomplete","Complete")</f>
        <v>Complete</v>
      </c>
      <c r="I4850" s="48" t="s">
        <v>9215</v>
      </c>
    </row>
    <row r="4851" spans="2:9" ht="15" customHeight="1" x14ac:dyDescent="0.25">
      <c r="B4851" s="55" t="s">
        <v>279</v>
      </c>
      <c r="C4851" s="46">
        <v>4839</v>
      </c>
      <c r="D4851" s="69" t="s">
        <v>29416</v>
      </c>
      <c r="E4851" s="51"/>
      <c r="F4851" s="114" t="str">
        <f>IF(INDEX(I.Facility.P1IDNumber,4839)="","",INDEX(I.Facility.P1IDNumber,4839))</f>
        <v/>
      </c>
      <c r="G4851" s="51"/>
      <c r="H4851" s="46" t="str">
        <f>IF(AND(I.Developer.P1=TRUE,I.Facility.P1FacilityCount&gt;=4839,F4851=""),"Incomplete","Complete")</f>
        <v>Complete</v>
      </c>
      <c r="I4851" s="48" t="s">
        <v>9216</v>
      </c>
    </row>
    <row r="4852" spans="2:9" ht="15" customHeight="1" x14ac:dyDescent="0.25">
      <c r="B4852" s="55" t="s">
        <v>279</v>
      </c>
      <c r="C4852" s="46">
        <v>4840</v>
      </c>
      <c r="D4852" s="69" t="s">
        <v>29416</v>
      </c>
      <c r="E4852" s="51"/>
      <c r="F4852" s="114" t="str">
        <f>IF(INDEX(I.Facility.P1IDNumber,4840)="","",INDEX(I.Facility.P1IDNumber,4840))</f>
        <v/>
      </c>
      <c r="G4852" s="51"/>
      <c r="H4852" s="46" t="str">
        <f>IF(AND(I.Developer.P1=TRUE,I.Facility.P1FacilityCount&gt;=4840,F4852=""),"Incomplete","Complete")</f>
        <v>Complete</v>
      </c>
      <c r="I4852" s="48" t="s">
        <v>9217</v>
      </c>
    </row>
    <row r="4853" spans="2:9" ht="15" customHeight="1" x14ac:dyDescent="0.25">
      <c r="B4853" s="55" t="s">
        <v>279</v>
      </c>
      <c r="C4853" s="46">
        <v>4841</v>
      </c>
      <c r="D4853" s="69" t="s">
        <v>29416</v>
      </c>
      <c r="E4853" s="51"/>
      <c r="F4853" s="114" t="str">
        <f>IF(INDEX(I.Facility.P1IDNumber,4841)="","",INDEX(I.Facility.P1IDNumber,4841))</f>
        <v/>
      </c>
      <c r="G4853" s="51"/>
      <c r="H4853" s="46" t="str">
        <f>IF(AND(I.Developer.P1=TRUE,I.Facility.P1FacilityCount&gt;=4841,F4853=""),"Incomplete","Complete")</f>
        <v>Complete</v>
      </c>
      <c r="I4853" s="48" t="s">
        <v>9218</v>
      </c>
    </row>
    <row r="4854" spans="2:9" ht="15" customHeight="1" x14ac:dyDescent="0.25">
      <c r="B4854" s="55" t="s">
        <v>279</v>
      </c>
      <c r="C4854" s="46">
        <v>4842</v>
      </c>
      <c r="D4854" s="69" t="s">
        <v>29416</v>
      </c>
      <c r="E4854" s="51"/>
      <c r="F4854" s="114" t="str">
        <f>IF(INDEX(I.Facility.P1IDNumber,4842)="","",INDEX(I.Facility.P1IDNumber,4842))</f>
        <v/>
      </c>
      <c r="G4854" s="51"/>
      <c r="H4854" s="46" t="str">
        <f>IF(AND(I.Developer.P1=TRUE,I.Facility.P1FacilityCount&gt;=4842,F4854=""),"Incomplete","Complete")</f>
        <v>Complete</v>
      </c>
      <c r="I4854" s="48" t="s">
        <v>9219</v>
      </c>
    </row>
    <row r="4855" spans="2:9" ht="15" customHeight="1" x14ac:dyDescent="0.25">
      <c r="B4855" s="55" t="s">
        <v>279</v>
      </c>
      <c r="C4855" s="46">
        <v>4843</v>
      </c>
      <c r="D4855" s="69" t="s">
        <v>29416</v>
      </c>
      <c r="E4855" s="51"/>
      <c r="F4855" s="114" t="str">
        <f>IF(INDEX(I.Facility.P1IDNumber,4843)="","",INDEX(I.Facility.P1IDNumber,4843))</f>
        <v/>
      </c>
      <c r="G4855" s="51"/>
      <c r="H4855" s="46" t="str">
        <f>IF(AND(I.Developer.P1=TRUE,I.Facility.P1FacilityCount&gt;=4843,F4855=""),"Incomplete","Complete")</f>
        <v>Complete</v>
      </c>
      <c r="I4855" s="48" t="s">
        <v>9220</v>
      </c>
    </row>
    <row r="4856" spans="2:9" ht="15" customHeight="1" x14ac:dyDescent="0.25">
      <c r="B4856" s="55" t="s">
        <v>279</v>
      </c>
      <c r="C4856" s="46">
        <v>4844</v>
      </c>
      <c r="D4856" s="69" t="s">
        <v>29416</v>
      </c>
      <c r="E4856" s="51"/>
      <c r="F4856" s="114" t="str">
        <f>IF(INDEX(I.Facility.P1IDNumber,4844)="","",INDEX(I.Facility.P1IDNumber,4844))</f>
        <v/>
      </c>
      <c r="G4856" s="51"/>
      <c r="H4856" s="46" t="str">
        <f>IF(AND(I.Developer.P1=TRUE,I.Facility.P1FacilityCount&gt;=4844,F4856=""),"Incomplete","Complete")</f>
        <v>Complete</v>
      </c>
      <c r="I4856" s="48" t="s">
        <v>9221</v>
      </c>
    </row>
    <row r="4857" spans="2:9" ht="15" customHeight="1" x14ac:dyDescent="0.25">
      <c r="B4857" s="55" t="s">
        <v>279</v>
      </c>
      <c r="C4857" s="46">
        <v>4845</v>
      </c>
      <c r="D4857" s="69" t="s">
        <v>29416</v>
      </c>
      <c r="E4857" s="51"/>
      <c r="F4857" s="114" t="str">
        <f>IF(INDEX(I.Facility.P1IDNumber,4845)="","",INDEX(I.Facility.P1IDNumber,4845))</f>
        <v/>
      </c>
      <c r="G4857" s="51"/>
      <c r="H4857" s="46" t="str">
        <f>IF(AND(I.Developer.P1=TRUE,I.Facility.P1FacilityCount&gt;=4845,F4857=""),"Incomplete","Complete")</f>
        <v>Complete</v>
      </c>
      <c r="I4857" s="48" t="s">
        <v>9222</v>
      </c>
    </row>
    <row r="4858" spans="2:9" ht="15" customHeight="1" x14ac:dyDescent="0.25">
      <c r="B4858" s="55" t="s">
        <v>279</v>
      </c>
      <c r="C4858" s="46">
        <v>4846</v>
      </c>
      <c r="D4858" s="69" t="s">
        <v>29416</v>
      </c>
      <c r="E4858" s="51"/>
      <c r="F4858" s="114" t="str">
        <f>IF(INDEX(I.Facility.P1IDNumber,4846)="","",INDEX(I.Facility.P1IDNumber,4846))</f>
        <v/>
      </c>
      <c r="G4858" s="51"/>
      <c r="H4858" s="46" t="str">
        <f>IF(AND(I.Developer.P1=TRUE,I.Facility.P1FacilityCount&gt;=4846,F4858=""),"Incomplete","Complete")</f>
        <v>Complete</v>
      </c>
      <c r="I4858" s="48" t="s">
        <v>9223</v>
      </c>
    </row>
    <row r="4859" spans="2:9" ht="15" customHeight="1" x14ac:dyDescent="0.25">
      <c r="B4859" s="55" t="s">
        <v>279</v>
      </c>
      <c r="C4859" s="46">
        <v>4847</v>
      </c>
      <c r="D4859" s="69" t="s">
        <v>29416</v>
      </c>
      <c r="E4859" s="51"/>
      <c r="F4859" s="114" t="str">
        <f>IF(INDEX(I.Facility.P1IDNumber,4847)="","",INDEX(I.Facility.P1IDNumber,4847))</f>
        <v/>
      </c>
      <c r="G4859" s="51"/>
      <c r="H4859" s="46" t="str">
        <f>IF(AND(I.Developer.P1=TRUE,I.Facility.P1FacilityCount&gt;=4847,F4859=""),"Incomplete","Complete")</f>
        <v>Complete</v>
      </c>
      <c r="I4859" s="48" t="s">
        <v>9224</v>
      </c>
    </row>
    <row r="4860" spans="2:9" ht="15" customHeight="1" x14ac:dyDescent="0.25">
      <c r="B4860" s="55" t="s">
        <v>279</v>
      </c>
      <c r="C4860" s="46">
        <v>4848</v>
      </c>
      <c r="D4860" s="69" t="s">
        <v>29416</v>
      </c>
      <c r="E4860" s="51"/>
      <c r="F4860" s="114" t="str">
        <f>IF(INDEX(I.Facility.P1IDNumber,4848)="","",INDEX(I.Facility.P1IDNumber,4848))</f>
        <v/>
      </c>
      <c r="G4860" s="51"/>
      <c r="H4860" s="46" t="str">
        <f>IF(AND(I.Developer.P1=TRUE,I.Facility.P1FacilityCount&gt;=4848,F4860=""),"Incomplete","Complete")</f>
        <v>Complete</v>
      </c>
      <c r="I4860" s="48" t="s">
        <v>9225</v>
      </c>
    </row>
    <row r="4861" spans="2:9" ht="15" customHeight="1" x14ac:dyDescent="0.25">
      <c r="B4861" s="55" t="s">
        <v>279</v>
      </c>
      <c r="C4861" s="46">
        <v>4849</v>
      </c>
      <c r="D4861" s="69" t="s">
        <v>29416</v>
      </c>
      <c r="E4861" s="51"/>
      <c r="F4861" s="114" t="str">
        <f>IF(INDEX(I.Facility.P1IDNumber,4849)="","",INDEX(I.Facility.P1IDNumber,4849))</f>
        <v/>
      </c>
      <c r="G4861" s="51"/>
      <c r="H4861" s="46" t="str">
        <f>IF(AND(I.Developer.P1=TRUE,I.Facility.P1FacilityCount&gt;=4849,F4861=""),"Incomplete","Complete")</f>
        <v>Complete</v>
      </c>
      <c r="I4861" s="48" t="s">
        <v>9226</v>
      </c>
    </row>
    <row r="4862" spans="2:9" ht="15" customHeight="1" x14ac:dyDescent="0.25">
      <c r="B4862" s="55" t="s">
        <v>279</v>
      </c>
      <c r="C4862" s="46">
        <v>4850</v>
      </c>
      <c r="D4862" s="69" t="s">
        <v>29416</v>
      </c>
      <c r="E4862" s="51"/>
      <c r="F4862" s="114" t="str">
        <f>IF(INDEX(I.Facility.P1IDNumber,4850)="","",INDEX(I.Facility.P1IDNumber,4850))</f>
        <v/>
      </c>
      <c r="G4862" s="51"/>
      <c r="H4862" s="46" t="str">
        <f>IF(AND(I.Developer.P1=TRUE,I.Facility.P1FacilityCount&gt;=4850,F4862=""),"Incomplete","Complete")</f>
        <v>Complete</v>
      </c>
      <c r="I4862" s="48" t="s">
        <v>9227</v>
      </c>
    </row>
    <row r="4863" spans="2:9" ht="15" customHeight="1" x14ac:dyDescent="0.25">
      <c r="B4863" s="55" t="s">
        <v>279</v>
      </c>
      <c r="C4863" s="46">
        <v>4851</v>
      </c>
      <c r="D4863" s="69" t="s">
        <v>29416</v>
      </c>
      <c r="E4863" s="51"/>
      <c r="F4863" s="114" t="str">
        <f>IF(INDEX(I.Facility.P1IDNumber,4851)="","",INDEX(I.Facility.P1IDNumber,4851))</f>
        <v/>
      </c>
      <c r="G4863" s="51"/>
      <c r="H4863" s="46" t="str">
        <f>IF(AND(I.Developer.P1=TRUE,I.Facility.P1FacilityCount&gt;=4851,F4863=""),"Incomplete","Complete")</f>
        <v>Complete</v>
      </c>
      <c r="I4863" s="48" t="s">
        <v>9228</v>
      </c>
    </row>
    <row r="4864" spans="2:9" ht="15" customHeight="1" x14ac:dyDescent="0.25">
      <c r="B4864" s="55" t="s">
        <v>279</v>
      </c>
      <c r="C4864" s="46">
        <v>4852</v>
      </c>
      <c r="D4864" s="69" t="s">
        <v>29416</v>
      </c>
      <c r="E4864" s="51"/>
      <c r="F4864" s="114" t="str">
        <f>IF(INDEX(I.Facility.P1IDNumber,4852)="","",INDEX(I.Facility.P1IDNumber,4852))</f>
        <v/>
      </c>
      <c r="G4864" s="51"/>
      <c r="H4864" s="46" t="str">
        <f>IF(AND(I.Developer.P1=TRUE,I.Facility.P1FacilityCount&gt;=4852,F4864=""),"Incomplete","Complete")</f>
        <v>Complete</v>
      </c>
      <c r="I4864" s="48" t="s">
        <v>9229</v>
      </c>
    </row>
    <row r="4865" spans="2:9" ht="15" customHeight="1" x14ac:dyDescent="0.25">
      <c r="B4865" s="55" t="s">
        <v>279</v>
      </c>
      <c r="C4865" s="46">
        <v>4853</v>
      </c>
      <c r="D4865" s="69" t="s">
        <v>29416</v>
      </c>
      <c r="E4865" s="51"/>
      <c r="F4865" s="114" t="str">
        <f>IF(INDEX(I.Facility.P1IDNumber,4853)="","",INDEX(I.Facility.P1IDNumber,4853))</f>
        <v/>
      </c>
      <c r="G4865" s="51"/>
      <c r="H4865" s="46" t="str">
        <f>IF(AND(I.Developer.P1=TRUE,I.Facility.P1FacilityCount&gt;=4853,F4865=""),"Incomplete","Complete")</f>
        <v>Complete</v>
      </c>
      <c r="I4865" s="48" t="s">
        <v>9230</v>
      </c>
    </row>
    <row r="4866" spans="2:9" ht="15" customHeight="1" x14ac:dyDescent="0.25">
      <c r="B4866" s="55" t="s">
        <v>279</v>
      </c>
      <c r="C4866" s="46">
        <v>4854</v>
      </c>
      <c r="D4866" s="69" t="s">
        <v>29416</v>
      </c>
      <c r="E4866" s="51"/>
      <c r="F4866" s="114" t="str">
        <f>IF(INDEX(I.Facility.P1IDNumber,4854)="","",INDEX(I.Facility.P1IDNumber,4854))</f>
        <v/>
      </c>
      <c r="G4866" s="51"/>
      <c r="H4866" s="46" t="str">
        <f>IF(AND(I.Developer.P1=TRUE,I.Facility.P1FacilityCount&gt;=4854,F4866=""),"Incomplete","Complete")</f>
        <v>Complete</v>
      </c>
      <c r="I4866" s="48" t="s">
        <v>9231</v>
      </c>
    </row>
    <row r="4867" spans="2:9" ht="15" customHeight="1" x14ac:dyDescent="0.25">
      <c r="B4867" s="55" t="s">
        <v>279</v>
      </c>
      <c r="C4867" s="46">
        <v>4855</v>
      </c>
      <c r="D4867" s="69" t="s">
        <v>29416</v>
      </c>
      <c r="E4867" s="51"/>
      <c r="F4867" s="114" t="str">
        <f>IF(INDEX(I.Facility.P1IDNumber,4855)="","",INDEX(I.Facility.P1IDNumber,4855))</f>
        <v/>
      </c>
      <c r="G4867" s="51"/>
      <c r="H4867" s="46" t="str">
        <f>IF(AND(I.Developer.P1=TRUE,I.Facility.P1FacilityCount&gt;=4855,F4867=""),"Incomplete","Complete")</f>
        <v>Complete</v>
      </c>
      <c r="I4867" s="48" t="s">
        <v>9232</v>
      </c>
    </row>
    <row r="4868" spans="2:9" ht="15" customHeight="1" x14ac:dyDescent="0.25">
      <c r="B4868" s="55" t="s">
        <v>279</v>
      </c>
      <c r="C4868" s="46">
        <v>4856</v>
      </c>
      <c r="D4868" s="69" t="s">
        <v>29416</v>
      </c>
      <c r="E4868" s="51"/>
      <c r="F4868" s="114" t="str">
        <f>IF(INDEX(I.Facility.P1IDNumber,4856)="","",INDEX(I.Facility.P1IDNumber,4856))</f>
        <v/>
      </c>
      <c r="G4868" s="51"/>
      <c r="H4868" s="46" t="str">
        <f>IF(AND(I.Developer.P1=TRUE,I.Facility.P1FacilityCount&gt;=4856,F4868=""),"Incomplete","Complete")</f>
        <v>Complete</v>
      </c>
      <c r="I4868" s="48" t="s">
        <v>9233</v>
      </c>
    </row>
    <row r="4869" spans="2:9" ht="15" customHeight="1" x14ac:dyDescent="0.25">
      <c r="B4869" s="55" t="s">
        <v>279</v>
      </c>
      <c r="C4869" s="46">
        <v>4857</v>
      </c>
      <c r="D4869" s="69" t="s">
        <v>29416</v>
      </c>
      <c r="E4869" s="51"/>
      <c r="F4869" s="114" t="str">
        <f>IF(INDEX(I.Facility.P1IDNumber,4857)="","",INDEX(I.Facility.P1IDNumber,4857))</f>
        <v/>
      </c>
      <c r="G4869" s="51"/>
      <c r="H4869" s="46" t="str">
        <f>IF(AND(I.Developer.P1=TRUE,I.Facility.P1FacilityCount&gt;=4857,F4869=""),"Incomplete","Complete")</f>
        <v>Complete</v>
      </c>
      <c r="I4869" s="48" t="s">
        <v>9234</v>
      </c>
    </row>
    <row r="4870" spans="2:9" ht="15" customHeight="1" x14ac:dyDescent="0.25">
      <c r="B4870" s="55" t="s">
        <v>279</v>
      </c>
      <c r="C4870" s="46">
        <v>4858</v>
      </c>
      <c r="D4870" s="69" t="s">
        <v>29416</v>
      </c>
      <c r="E4870" s="51"/>
      <c r="F4870" s="114" t="str">
        <f>IF(INDEX(I.Facility.P1IDNumber,4858)="","",INDEX(I.Facility.P1IDNumber,4858))</f>
        <v/>
      </c>
      <c r="G4870" s="51"/>
      <c r="H4870" s="46" t="str">
        <f>IF(AND(I.Developer.P1=TRUE,I.Facility.P1FacilityCount&gt;=4858,F4870=""),"Incomplete","Complete")</f>
        <v>Complete</v>
      </c>
      <c r="I4870" s="48" t="s">
        <v>9235</v>
      </c>
    </row>
    <row r="4871" spans="2:9" ht="15" customHeight="1" x14ac:dyDescent="0.25">
      <c r="B4871" s="55" t="s">
        <v>279</v>
      </c>
      <c r="C4871" s="46">
        <v>4859</v>
      </c>
      <c r="D4871" s="69" t="s">
        <v>29416</v>
      </c>
      <c r="E4871" s="51"/>
      <c r="F4871" s="114" t="str">
        <f>IF(INDEX(I.Facility.P1IDNumber,4859)="","",INDEX(I.Facility.P1IDNumber,4859))</f>
        <v/>
      </c>
      <c r="G4871" s="51"/>
      <c r="H4871" s="46" t="str">
        <f>IF(AND(I.Developer.P1=TRUE,I.Facility.P1FacilityCount&gt;=4859,F4871=""),"Incomplete","Complete")</f>
        <v>Complete</v>
      </c>
      <c r="I4871" s="48" t="s">
        <v>9236</v>
      </c>
    </row>
    <row r="4872" spans="2:9" ht="15" customHeight="1" x14ac:dyDescent="0.25">
      <c r="B4872" s="55" t="s">
        <v>279</v>
      </c>
      <c r="C4872" s="46">
        <v>4860</v>
      </c>
      <c r="D4872" s="69" t="s">
        <v>29416</v>
      </c>
      <c r="E4872" s="51"/>
      <c r="F4872" s="114" t="str">
        <f>IF(INDEX(I.Facility.P1IDNumber,4860)="","",INDEX(I.Facility.P1IDNumber,4860))</f>
        <v/>
      </c>
      <c r="G4872" s="51"/>
      <c r="H4872" s="46" t="str">
        <f>IF(AND(I.Developer.P1=TRUE,I.Facility.P1FacilityCount&gt;=4860,F4872=""),"Incomplete","Complete")</f>
        <v>Complete</v>
      </c>
      <c r="I4872" s="48" t="s">
        <v>9237</v>
      </c>
    </row>
    <row r="4873" spans="2:9" ht="15" customHeight="1" x14ac:dyDescent="0.25">
      <c r="B4873" s="55" t="s">
        <v>279</v>
      </c>
      <c r="C4873" s="46">
        <v>4861</v>
      </c>
      <c r="D4873" s="69" t="s">
        <v>29416</v>
      </c>
      <c r="E4873" s="51"/>
      <c r="F4873" s="114" t="str">
        <f>IF(INDEX(I.Facility.P1IDNumber,4861)="","",INDEX(I.Facility.P1IDNumber,4861))</f>
        <v/>
      </c>
      <c r="G4873" s="51"/>
      <c r="H4873" s="46" t="str">
        <f>IF(AND(I.Developer.P1=TRUE,I.Facility.P1FacilityCount&gt;=4861,F4873=""),"Incomplete","Complete")</f>
        <v>Complete</v>
      </c>
      <c r="I4873" s="48" t="s">
        <v>9238</v>
      </c>
    </row>
    <row r="4874" spans="2:9" ht="15" customHeight="1" x14ac:dyDescent="0.25">
      <c r="B4874" s="55" t="s">
        <v>279</v>
      </c>
      <c r="C4874" s="46">
        <v>4862</v>
      </c>
      <c r="D4874" s="69" t="s">
        <v>29416</v>
      </c>
      <c r="E4874" s="51"/>
      <c r="F4874" s="114" t="str">
        <f>IF(INDEX(I.Facility.P1IDNumber,4862)="","",INDEX(I.Facility.P1IDNumber,4862))</f>
        <v/>
      </c>
      <c r="G4874" s="51"/>
      <c r="H4874" s="46" t="str">
        <f>IF(AND(I.Developer.P1=TRUE,I.Facility.P1FacilityCount&gt;=4862,F4874=""),"Incomplete","Complete")</f>
        <v>Complete</v>
      </c>
      <c r="I4874" s="48" t="s">
        <v>9239</v>
      </c>
    </row>
    <row r="4875" spans="2:9" ht="15" customHeight="1" x14ac:dyDescent="0.25">
      <c r="B4875" s="55" t="s">
        <v>279</v>
      </c>
      <c r="C4875" s="46">
        <v>4863</v>
      </c>
      <c r="D4875" s="69" t="s">
        <v>29416</v>
      </c>
      <c r="E4875" s="51"/>
      <c r="F4875" s="114" t="str">
        <f>IF(INDEX(I.Facility.P1IDNumber,4863)="","",INDEX(I.Facility.P1IDNumber,4863))</f>
        <v/>
      </c>
      <c r="G4875" s="51"/>
      <c r="H4875" s="46" t="str">
        <f>IF(AND(I.Developer.P1=TRUE,I.Facility.P1FacilityCount&gt;=4863,F4875=""),"Incomplete","Complete")</f>
        <v>Complete</v>
      </c>
      <c r="I4875" s="48" t="s">
        <v>9240</v>
      </c>
    </row>
    <row r="4876" spans="2:9" ht="15" customHeight="1" x14ac:dyDescent="0.25">
      <c r="B4876" s="55" t="s">
        <v>279</v>
      </c>
      <c r="C4876" s="46">
        <v>4864</v>
      </c>
      <c r="D4876" s="69" t="s">
        <v>29416</v>
      </c>
      <c r="E4876" s="51"/>
      <c r="F4876" s="114" t="str">
        <f>IF(INDEX(I.Facility.P1IDNumber,4864)="","",INDEX(I.Facility.P1IDNumber,4864))</f>
        <v/>
      </c>
      <c r="G4876" s="51"/>
      <c r="H4876" s="46" t="str">
        <f>IF(AND(I.Developer.P1=TRUE,I.Facility.P1FacilityCount&gt;=4864,F4876=""),"Incomplete","Complete")</f>
        <v>Complete</v>
      </c>
      <c r="I4876" s="48" t="s">
        <v>9241</v>
      </c>
    </row>
    <row r="4877" spans="2:9" ht="15" customHeight="1" x14ac:dyDescent="0.25">
      <c r="B4877" s="55" t="s">
        <v>279</v>
      </c>
      <c r="C4877" s="46">
        <v>4865</v>
      </c>
      <c r="D4877" s="69" t="s">
        <v>29416</v>
      </c>
      <c r="E4877" s="51"/>
      <c r="F4877" s="114" t="str">
        <f>IF(INDEX(I.Facility.P1IDNumber,4865)="","",INDEX(I.Facility.P1IDNumber,4865))</f>
        <v/>
      </c>
      <c r="G4877" s="51"/>
      <c r="H4877" s="46" t="str">
        <f>IF(AND(I.Developer.P1=TRUE,I.Facility.P1FacilityCount&gt;=4865,F4877=""),"Incomplete","Complete")</f>
        <v>Complete</v>
      </c>
      <c r="I4877" s="48" t="s">
        <v>9242</v>
      </c>
    </row>
    <row r="4878" spans="2:9" ht="15" customHeight="1" x14ac:dyDescent="0.25">
      <c r="B4878" s="55" t="s">
        <v>279</v>
      </c>
      <c r="C4878" s="46">
        <v>4866</v>
      </c>
      <c r="D4878" s="69" t="s">
        <v>29416</v>
      </c>
      <c r="E4878" s="51"/>
      <c r="F4878" s="114" t="str">
        <f>IF(INDEX(I.Facility.P1IDNumber,4866)="","",INDEX(I.Facility.P1IDNumber,4866))</f>
        <v/>
      </c>
      <c r="G4878" s="51"/>
      <c r="H4878" s="46" t="str">
        <f>IF(AND(I.Developer.P1=TRUE,I.Facility.P1FacilityCount&gt;=4866,F4878=""),"Incomplete","Complete")</f>
        <v>Complete</v>
      </c>
      <c r="I4878" s="48" t="s">
        <v>9243</v>
      </c>
    </row>
    <row r="4879" spans="2:9" ht="15" customHeight="1" x14ac:dyDescent="0.25">
      <c r="B4879" s="55" t="s">
        <v>279</v>
      </c>
      <c r="C4879" s="46">
        <v>4867</v>
      </c>
      <c r="D4879" s="69" t="s">
        <v>29416</v>
      </c>
      <c r="E4879" s="51"/>
      <c r="F4879" s="114" t="str">
        <f>IF(INDEX(I.Facility.P1IDNumber,4867)="","",INDEX(I.Facility.P1IDNumber,4867))</f>
        <v/>
      </c>
      <c r="G4879" s="51"/>
      <c r="H4879" s="46" t="str">
        <f>IF(AND(I.Developer.P1=TRUE,I.Facility.P1FacilityCount&gt;=4867,F4879=""),"Incomplete","Complete")</f>
        <v>Complete</v>
      </c>
      <c r="I4879" s="48" t="s">
        <v>9244</v>
      </c>
    </row>
    <row r="4880" spans="2:9" ht="15" customHeight="1" x14ac:dyDescent="0.25">
      <c r="B4880" s="55" t="s">
        <v>279</v>
      </c>
      <c r="C4880" s="46">
        <v>4868</v>
      </c>
      <c r="D4880" s="69" t="s">
        <v>29416</v>
      </c>
      <c r="E4880" s="51"/>
      <c r="F4880" s="114" t="str">
        <f>IF(INDEX(I.Facility.P1IDNumber,4868)="","",INDEX(I.Facility.P1IDNumber,4868))</f>
        <v/>
      </c>
      <c r="G4880" s="51"/>
      <c r="H4880" s="46" t="str">
        <f>IF(AND(I.Developer.P1=TRUE,I.Facility.P1FacilityCount&gt;=4868,F4880=""),"Incomplete","Complete")</f>
        <v>Complete</v>
      </c>
      <c r="I4880" s="48" t="s">
        <v>9245</v>
      </c>
    </row>
    <row r="4881" spans="2:9" ht="15" customHeight="1" x14ac:dyDescent="0.25">
      <c r="B4881" s="55" t="s">
        <v>279</v>
      </c>
      <c r="C4881" s="46">
        <v>4869</v>
      </c>
      <c r="D4881" s="69" t="s">
        <v>29416</v>
      </c>
      <c r="E4881" s="51"/>
      <c r="F4881" s="114" t="str">
        <f>IF(INDEX(I.Facility.P1IDNumber,4869)="","",INDEX(I.Facility.P1IDNumber,4869))</f>
        <v/>
      </c>
      <c r="G4881" s="51"/>
      <c r="H4881" s="46" t="str">
        <f>IF(AND(I.Developer.P1=TRUE,I.Facility.P1FacilityCount&gt;=4869,F4881=""),"Incomplete","Complete")</f>
        <v>Complete</v>
      </c>
      <c r="I4881" s="48" t="s">
        <v>9246</v>
      </c>
    </row>
    <row r="4882" spans="2:9" ht="15" customHeight="1" x14ac:dyDescent="0.25">
      <c r="B4882" s="55" t="s">
        <v>279</v>
      </c>
      <c r="C4882" s="46">
        <v>4870</v>
      </c>
      <c r="D4882" s="69" t="s">
        <v>29416</v>
      </c>
      <c r="E4882" s="51"/>
      <c r="F4882" s="114" t="str">
        <f>IF(INDEX(I.Facility.P1IDNumber,4870)="","",INDEX(I.Facility.P1IDNumber,4870))</f>
        <v/>
      </c>
      <c r="G4882" s="51"/>
      <c r="H4882" s="46" t="str">
        <f>IF(AND(I.Developer.P1=TRUE,I.Facility.P1FacilityCount&gt;=4870,F4882=""),"Incomplete","Complete")</f>
        <v>Complete</v>
      </c>
      <c r="I4882" s="48" t="s">
        <v>9247</v>
      </c>
    </row>
    <row r="4883" spans="2:9" ht="15" customHeight="1" x14ac:dyDescent="0.25">
      <c r="B4883" s="55" t="s">
        <v>279</v>
      </c>
      <c r="C4883" s="46">
        <v>4871</v>
      </c>
      <c r="D4883" s="69" t="s">
        <v>29416</v>
      </c>
      <c r="E4883" s="51"/>
      <c r="F4883" s="114" t="str">
        <f>IF(INDEX(I.Facility.P1IDNumber,4871)="","",INDEX(I.Facility.P1IDNumber,4871))</f>
        <v/>
      </c>
      <c r="G4883" s="51"/>
      <c r="H4883" s="46" t="str">
        <f>IF(AND(I.Developer.P1=TRUE,I.Facility.P1FacilityCount&gt;=4871,F4883=""),"Incomplete","Complete")</f>
        <v>Complete</v>
      </c>
      <c r="I4883" s="48" t="s">
        <v>9248</v>
      </c>
    </row>
    <row r="4884" spans="2:9" ht="15" customHeight="1" x14ac:dyDescent="0.25">
      <c r="B4884" s="55" t="s">
        <v>279</v>
      </c>
      <c r="C4884" s="46">
        <v>4872</v>
      </c>
      <c r="D4884" s="69" t="s">
        <v>29416</v>
      </c>
      <c r="E4884" s="51"/>
      <c r="F4884" s="114" t="str">
        <f>IF(INDEX(I.Facility.P1IDNumber,4872)="","",INDEX(I.Facility.P1IDNumber,4872))</f>
        <v/>
      </c>
      <c r="G4884" s="51"/>
      <c r="H4884" s="46" t="str">
        <f>IF(AND(I.Developer.P1=TRUE,I.Facility.P1FacilityCount&gt;=4872,F4884=""),"Incomplete","Complete")</f>
        <v>Complete</v>
      </c>
      <c r="I4884" s="48" t="s">
        <v>9249</v>
      </c>
    </row>
    <row r="4885" spans="2:9" ht="15" customHeight="1" x14ac:dyDescent="0.25">
      <c r="B4885" s="55" t="s">
        <v>279</v>
      </c>
      <c r="C4885" s="46">
        <v>4873</v>
      </c>
      <c r="D4885" s="69" t="s">
        <v>29416</v>
      </c>
      <c r="E4885" s="51"/>
      <c r="F4885" s="114" t="str">
        <f>IF(INDEX(I.Facility.P1IDNumber,4873)="","",INDEX(I.Facility.P1IDNumber,4873))</f>
        <v/>
      </c>
      <c r="G4885" s="51"/>
      <c r="H4885" s="46" t="str">
        <f>IF(AND(I.Developer.P1=TRUE,I.Facility.P1FacilityCount&gt;=4873,F4885=""),"Incomplete","Complete")</f>
        <v>Complete</v>
      </c>
      <c r="I4885" s="48" t="s">
        <v>9250</v>
      </c>
    </row>
    <row r="4886" spans="2:9" ht="15" customHeight="1" x14ac:dyDescent="0.25">
      <c r="B4886" s="55" t="s">
        <v>279</v>
      </c>
      <c r="C4886" s="46">
        <v>4874</v>
      </c>
      <c r="D4886" s="69" t="s">
        <v>29416</v>
      </c>
      <c r="E4886" s="51"/>
      <c r="F4886" s="114" t="str">
        <f>IF(INDEX(I.Facility.P1IDNumber,4874)="","",INDEX(I.Facility.P1IDNumber,4874))</f>
        <v/>
      </c>
      <c r="G4886" s="51"/>
      <c r="H4886" s="46" t="str">
        <f>IF(AND(I.Developer.P1=TRUE,I.Facility.P1FacilityCount&gt;=4874,F4886=""),"Incomplete","Complete")</f>
        <v>Complete</v>
      </c>
      <c r="I4886" s="48" t="s">
        <v>9251</v>
      </c>
    </row>
    <row r="4887" spans="2:9" ht="15" customHeight="1" x14ac:dyDescent="0.25">
      <c r="B4887" s="55" t="s">
        <v>279</v>
      </c>
      <c r="C4887" s="46">
        <v>4875</v>
      </c>
      <c r="D4887" s="69" t="s">
        <v>29416</v>
      </c>
      <c r="E4887" s="51"/>
      <c r="F4887" s="114" t="str">
        <f>IF(INDEX(I.Facility.P1IDNumber,4875)="","",INDEX(I.Facility.P1IDNumber,4875))</f>
        <v/>
      </c>
      <c r="G4887" s="51"/>
      <c r="H4887" s="46" t="str">
        <f>IF(AND(I.Developer.P1=TRUE,I.Facility.P1FacilityCount&gt;=4875,F4887=""),"Incomplete","Complete")</f>
        <v>Complete</v>
      </c>
      <c r="I4887" s="48" t="s">
        <v>9252</v>
      </c>
    </row>
    <row r="4888" spans="2:9" ht="15" customHeight="1" x14ac:dyDescent="0.25">
      <c r="B4888" s="55" t="s">
        <v>279</v>
      </c>
      <c r="C4888" s="46">
        <v>4876</v>
      </c>
      <c r="D4888" s="69" t="s">
        <v>29416</v>
      </c>
      <c r="E4888" s="51"/>
      <c r="F4888" s="114" t="str">
        <f>IF(INDEX(I.Facility.P1IDNumber,4876)="","",INDEX(I.Facility.P1IDNumber,4876))</f>
        <v/>
      </c>
      <c r="G4888" s="51"/>
      <c r="H4888" s="46" t="str">
        <f>IF(AND(I.Developer.P1=TRUE,I.Facility.P1FacilityCount&gt;=4876,F4888=""),"Incomplete","Complete")</f>
        <v>Complete</v>
      </c>
      <c r="I4888" s="48" t="s">
        <v>9253</v>
      </c>
    </row>
    <row r="4889" spans="2:9" ht="15" customHeight="1" x14ac:dyDescent="0.25">
      <c r="B4889" s="55" t="s">
        <v>279</v>
      </c>
      <c r="C4889" s="46">
        <v>4877</v>
      </c>
      <c r="D4889" s="69" t="s">
        <v>29416</v>
      </c>
      <c r="E4889" s="51"/>
      <c r="F4889" s="114" t="str">
        <f>IF(INDEX(I.Facility.P1IDNumber,4877)="","",INDEX(I.Facility.P1IDNumber,4877))</f>
        <v/>
      </c>
      <c r="G4889" s="51"/>
      <c r="H4889" s="46" t="str">
        <f>IF(AND(I.Developer.P1=TRUE,I.Facility.P1FacilityCount&gt;=4877,F4889=""),"Incomplete","Complete")</f>
        <v>Complete</v>
      </c>
      <c r="I4889" s="48" t="s">
        <v>9254</v>
      </c>
    </row>
    <row r="4890" spans="2:9" ht="15" customHeight="1" x14ac:dyDescent="0.25">
      <c r="B4890" s="55" t="s">
        <v>279</v>
      </c>
      <c r="C4890" s="46">
        <v>4878</v>
      </c>
      <c r="D4890" s="69" t="s">
        <v>29416</v>
      </c>
      <c r="E4890" s="51"/>
      <c r="F4890" s="114" t="str">
        <f>IF(INDEX(I.Facility.P1IDNumber,4878)="","",INDEX(I.Facility.P1IDNumber,4878))</f>
        <v/>
      </c>
      <c r="G4890" s="51"/>
      <c r="H4890" s="46" t="str">
        <f>IF(AND(I.Developer.P1=TRUE,I.Facility.P1FacilityCount&gt;=4878,F4890=""),"Incomplete","Complete")</f>
        <v>Complete</v>
      </c>
      <c r="I4890" s="48" t="s">
        <v>9255</v>
      </c>
    </row>
    <row r="4891" spans="2:9" ht="15" customHeight="1" x14ac:dyDescent="0.25">
      <c r="B4891" s="55" t="s">
        <v>279</v>
      </c>
      <c r="C4891" s="46">
        <v>4879</v>
      </c>
      <c r="D4891" s="69" t="s">
        <v>29416</v>
      </c>
      <c r="E4891" s="51"/>
      <c r="F4891" s="114" t="str">
        <f>IF(INDEX(I.Facility.P1IDNumber,4879)="","",INDEX(I.Facility.P1IDNumber,4879))</f>
        <v/>
      </c>
      <c r="G4891" s="51"/>
      <c r="H4891" s="46" t="str">
        <f>IF(AND(I.Developer.P1=TRUE,I.Facility.P1FacilityCount&gt;=4879,F4891=""),"Incomplete","Complete")</f>
        <v>Complete</v>
      </c>
      <c r="I4891" s="48" t="s">
        <v>9256</v>
      </c>
    </row>
    <row r="4892" spans="2:9" ht="15" customHeight="1" x14ac:dyDescent="0.25">
      <c r="B4892" s="55" t="s">
        <v>279</v>
      </c>
      <c r="C4892" s="46">
        <v>4880</v>
      </c>
      <c r="D4892" s="69" t="s">
        <v>29416</v>
      </c>
      <c r="E4892" s="51"/>
      <c r="F4892" s="114" t="str">
        <f>IF(INDEX(I.Facility.P1IDNumber,4880)="","",INDEX(I.Facility.P1IDNumber,4880))</f>
        <v/>
      </c>
      <c r="G4892" s="51"/>
      <c r="H4892" s="46" t="str">
        <f>IF(AND(I.Developer.P1=TRUE,I.Facility.P1FacilityCount&gt;=4880,F4892=""),"Incomplete","Complete")</f>
        <v>Complete</v>
      </c>
      <c r="I4892" s="48" t="s">
        <v>9257</v>
      </c>
    </row>
    <row r="4893" spans="2:9" ht="15" customHeight="1" x14ac:dyDescent="0.25">
      <c r="B4893" s="55" t="s">
        <v>279</v>
      </c>
      <c r="C4893" s="46">
        <v>4881</v>
      </c>
      <c r="D4893" s="69" t="s">
        <v>29416</v>
      </c>
      <c r="E4893" s="51"/>
      <c r="F4893" s="114" t="str">
        <f>IF(INDEX(I.Facility.P1IDNumber,4881)="","",INDEX(I.Facility.P1IDNumber,4881))</f>
        <v/>
      </c>
      <c r="G4893" s="51"/>
      <c r="H4893" s="46" t="str">
        <f>IF(AND(I.Developer.P1=TRUE,I.Facility.P1FacilityCount&gt;=4881,F4893=""),"Incomplete","Complete")</f>
        <v>Complete</v>
      </c>
      <c r="I4893" s="48" t="s">
        <v>9258</v>
      </c>
    </row>
    <row r="4894" spans="2:9" ht="15" customHeight="1" x14ac:dyDescent="0.25">
      <c r="B4894" s="55" t="s">
        <v>279</v>
      </c>
      <c r="C4894" s="46">
        <v>4882</v>
      </c>
      <c r="D4894" s="69" t="s">
        <v>29416</v>
      </c>
      <c r="E4894" s="51"/>
      <c r="F4894" s="114" t="str">
        <f>IF(INDEX(I.Facility.P1IDNumber,4882)="","",INDEX(I.Facility.P1IDNumber,4882))</f>
        <v/>
      </c>
      <c r="G4894" s="51"/>
      <c r="H4894" s="46" t="str">
        <f>IF(AND(I.Developer.P1=TRUE,I.Facility.P1FacilityCount&gt;=4882,F4894=""),"Incomplete","Complete")</f>
        <v>Complete</v>
      </c>
      <c r="I4894" s="48" t="s">
        <v>9259</v>
      </c>
    </row>
    <row r="4895" spans="2:9" ht="15" customHeight="1" x14ac:dyDescent="0.25">
      <c r="B4895" s="55" t="s">
        <v>279</v>
      </c>
      <c r="C4895" s="46">
        <v>4883</v>
      </c>
      <c r="D4895" s="69" t="s">
        <v>29416</v>
      </c>
      <c r="E4895" s="51"/>
      <c r="F4895" s="114" t="str">
        <f>IF(INDEX(I.Facility.P1IDNumber,4883)="","",INDEX(I.Facility.P1IDNumber,4883))</f>
        <v/>
      </c>
      <c r="G4895" s="51"/>
      <c r="H4895" s="46" t="str">
        <f>IF(AND(I.Developer.P1=TRUE,I.Facility.P1FacilityCount&gt;=4883,F4895=""),"Incomplete","Complete")</f>
        <v>Complete</v>
      </c>
      <c r="I4895" s="48" t="s">
        <v>9260</v>
      </c>
    </row>
    <row r="4896" spans="2:9" ht="15" customHeight="1" x14ac:dyDescent="0.25">
      <c r="B4896" s="55" t="s">
        <v>279</v>
      </c>
      <c r="C4896" s="46">
        <v>4884</v>
      </c>
      <c r="D4896" s="69" t="s">
        <v>29416</v>
      </c>
      <c r="E4896" s="51"/>
      <c r="F4896" s="114" t="str">
        <f>IF(INDEX(I.Facility.P1IDNumber,4884)="","",INDEX(I.Facility.P1IDNumber,4884))</f>
        <v/>
      </c>
      <c r="G4896" s="51"/>
      <c r="H4896" s="46" t="str">
        <f>IF(AND(I.Developer.P1=TRUE,I.Facility.P1FacilityCount&gt;=4884,F4896=""),"Incomplete","Complete")</f>
        <v>Complete</v>
      </c>
      <c r="I4896" s="48" t="s">
        <v>9261</v>
      </c>
    </row>
    <row r="4897" spans="2:9" ht="15" customHeight="1" x14ac:dyDescent="0.25">
      <c r="B4897" s="55" t="s">
        <v>279</v>
      </c>
      <c r="C4897" s="46">
        <v>4885</v>
      </c>
      <c r="D4897" s="69" t="s">
        <v>29416</v>
      </c>
      <c r="E4897" s="51"/>
      <c r="F4897" s="114" t="str">
        <f>IF(INDEX(I.Facility.P1IDNumber,4885)="","",INDEX(I.Facility.P1IDNumber,4885))</f>
        <v/>
      </c>
      <c r="G4897" s="51"/>
      <c r="H4897" s="46" t="str">
        <f>IF(AND(I.Developer.P1=TRUE,I.Facility.P1FacilityCount&gt;=4885,F4897=""),"Incomplete","Complete")</f>
        <v>Complete</v>
      </c>
      <c r="I4897" s="48" t="s">
        <v>9262</v>
      </c>
    </row>
    <row r="4898" spans="2:9" ht="15" customHeight="1" x14ac:dyDescent="0.25">
      <c r="B4898" s="55" t="s">
        <v>279</v>
      </c>
      <c r="C4898" s="46">
        <v>4886</v>
      </c>
      <c r="D4898" s="69" t="s">
        <v>29416</v>
      </c>
      <c r="E4898" s="51"/>
      <c r="F4898" s="114" t="str">
        <f>IF(INDEX(I.Facility.P1IDNumber,4886)="","",INDEX(I.Facility.P1IDNumber,4886))</f>
        <v/>
      </c>
      <c r="G4898" s="51"/>
      <c r="H4898" s="46" t="str">
        <f>IF(AND(I.Developer.P1=TRUE,I.Facility.P1FacilityCount&gt;=4886,F4898=""),"Incomplete","Complete")</f>
        <v>Complete</v>
      </c>
      <c r="I4898" s="48" t="s">
        <v>9263</v>
      </c>
    </row>
    <row r="4899" spans="2:9" ht="15" customHeight="1" x14ac:dyDescent="0.25">
      <c r="B4899" s="55" t="s">
        <v>279</v>
      </c>
      <c r="C4899" s="46">
        <v>4887</v>
      </c>
      <c r="D4899" s="69" t="s">
        <v>29416</v>
      </c>
      <c r="E4899" s="51"/>
      <c r="F4899" s="114" t="str">
        <f>IF(INDEX(I.Facility.P1IDNumber,4887)="","",INDEX(I.Facility.P1IDNumber,4887))</f>
        <v/>
      </c>
      <c r="G4899" s="51"/>
      <c r="H4899" s="46" t="str">
        <f>IF(AND(I.Developer.P1=TRUE,I.Facility.P1FacilityCount&gt;=4887,F4899=""),"Incomplete","Complete")</f>
        <v>Complete</v>
      </c>
      <c r="I4899" s="48" t="s">
        <v>9264</v>
      </c>
    </row>
    <row r="4900" spans="2:9" ht="15" customHeight="1" x14ac:dyDescent="0.25">
      <c r="B4900" s="55" t="s">
        <v>279</v>
      </c>
      <c r="C4900" s="46">
        <v>4888</v>
      </c>
      <c r="D4900" s="69" t="s">
        <v>29416</v>
      </c>
      <c r="E4900" s="51"/>
      <c r="F4900" s="114" t="str">
        <f>IF(INDEX(I.Facility.P1IDNumber,4888)="","",INDEX(I.Facility.P1IDNumber,4888))</f>
        <v/>
      </c>
      <c r="G4900" s="51"/>
      <c r="H4900" s="46" t="str">
        <f>IF(AND(I.Developer.P1=TRUE,I.Facility.P1FacilityCount&gt;=4888,F4900=""),"Incomplete","Complete")</f>
        <v>Complete</v>
      </c>
      <c r="I4900" s="48" t="s">
        <v>9265</v>
      </c>
    </row>
    <row r="4901" spans="2:9" ht="15" customHeight="1" x14ac:dyDescent="0.25">
      <c r="B4901" s="55" t="s">
        <v>279</v>
      </c>
      <c r="C4901" s="46">
        <v>4889</v>
      </c>
      <c r="D4901" s="69" t="s">
        <v>29416</v>
      </c>
      <c r="E4901" s="51"/>
      <c r="F4901" s="114" t="str">
        <f>IF(INDEX(I.Facility.P1IDNumber,4889)="","",INDEX(I.Facility.P1IDNumber,4889))</f>
        <v/>
      </c>
      <c r="G4901" s="51"/>
      <c r="H4901" s="46" t="str">
        <f>IF(AND(I.Developer.P1=TRUE,I.Facility.P1FacilityCount&gt;=4889,F4901=""),"Incomplete","Complete")</f>
        <v>Complete</v>
      </c>
      <c r="I4901" s="48" t="s">
        <v>9266</v>
      </c>
    </row>
    <row r="4902" spans="2:9" ht="15" customHeight="1" x14ac:dyDescent="0.25">
      <c r="B4902" s="55" t="s">
        <v>279</v>
      </c>
      <c r="C4902" s="46">
        <v>4890</v>
      </c>
      <c r="D4902" s="69" t="s">
        <v>29416</v>
      </c>
      <c r="E4902" s="51"/>
      <c r="F4902" s="114" t="str">
        <f>IF(INDEX(I.Facility.P1IDNumber,4890)="","",INDEX(I.Facility.P1IDNumber,4890))</f>
        <v/>
      </c>
      <c r="G4902" s="51"/>
      <c r="H4902" s="46" t="str">
        <f>IF(AND(I.Developer.P1=TRUE,I.Facility.P1FacilityCount&gt;=4890,F4902=""),"Incomplete","Complete")</f>
        <v>Complete</v>
      </c>
      <c r="I4902" s="48" t="s">
        <v>9267</v>
      </c>
    </row>
    <row r="4903" spans="2:9" ht="15" customHeight="1" x14ac:dyDescent="0.25">
      <c r="B4903" s="55" t="s">
        <v>279</v>
      </c>
      <c r="C4903" s="46">
        <v>4891</v>
      </c>
      <c r="D4903" s="69" t="s">
        <v>29416</v>
      </c>
      <c r="E4903" s="51"/>
      <c r="F4903" s="114" t="str">
        <f>IF(INDEX(I.Facility.P1IDNumber,4891)="","",INDEX(I.Facility.P1IDNumber,4891))</f>
        <v/>
      </c>
      <c r="G4903" s="51"/>
      <c r="H4903" s="46" t="str">
        <f>IF(AND(I.Developer.P1=TRUE,I.Facility.P1FacilityCount&gt;=4891,F4903=""),"Incomplete","Complete")</f>
        <v>Complete</v>
      </c>
      <c r="I4903" s="48" t="s">
        <v>9268</v>
      </c>
    </row>
    <row r="4904" spans="2:9" ht="15" customHeight="1" x14ac:dyDescent="0.25">
      <c r="B4904" s="55" t="s">
        <v>279</v>
      </c>
      <c r="C4904" s="46">
        <v>4892</v>
      </c>
      <c r="D4904" s="69" t="s">
        <v>29416</v>
      </c>
      <c r="E4904" s="51"/>
      <c r="F4904" s="114" t="str">
        <f>IF(INDEX(I.Facility.P1IDNumber,4892)="","",INDEX(I.Facility.P1IDNumber,4892))</f>
        <v/>
      </c>
      <c r="G4904" s="51"/>
      <c r="H4904" s="46" t="str">
        <f>IF(AND(I.Developer.P1=TRUE,I.Facility.P1FacilityCount&gt;=4892,F4904=""),"Incomplete","Complete")</f>
        <v>Complete</v>
      </c>
      <c r="I4904" s="48" t="s">
        <v>9269</v>
      </c>
    </row>
    <row r="4905" spans="2:9" ht="15" customHeight="1" x14ac:dyDescent="0.25">
      <c r="B4905" s="55" t="s">
        <v>279</v>
      </c>
      <c r="C4905" s="46">
        <v>4893</v>
      </c>
      <c r="D4905" s="69" t="s">
        <v>29416</v>
      </c>
      <c r="E4905" s="51"/>
      <c r="F4905" s="114" t="str">
        <f>IF(INDEX(I.Facility.P1IDNumber,4893)="","",INDEX(I.Facility.P1IDNumber,4893))</f>
        <v/>
      </c>
      <c r="G4905" s="51"/>
      <c r="H4905" s="46" t="str">
        <f>IF(AND(I.Developer.P1=TRUE,I.Facility.P1FacilityCount&gt;=4893,F4905=""),"Incomplete","Complete")</f>
        <v>Complete</v>
      </c>
      <c r="I4905" s="48" t="s">
        <v>9270</v>
      </c>
    </row>
    <row r="4906" spans="2:9" ht="15" customHeight="1" x14ac:dyDescent="0.25">
      <c r="B4906" s="55" t="s">
        <v>279</v>
      </c>
      <c r="C4906" s="46">
        <v>4894</v>
      </c>
      <c r="D4906" s="69" t="s">
        <v>29416</v>
      </c>
      <c r="E4906" s="51"/>
      <c r="F4906" s="114" t="str">
        <f>IF(INDEX(I.Facility.P1IDNumber,4894)="","",INDEX(I.Facility.P1IDNumber,4894))</f>
        <v/>
      </c>
      <c r="G4906" s="51"/>
      <c r="H4906" s="46" t="str">
        <f>IF(AND(I.Developer.P1=TRUE,I.Facility.P1FacilityCount&gt;=4894,F4906=""),"Incomplete","Complete")</f>
        <v>Complete</v>
      </c>
      <c r="I4906" s="48" t="s">
        <v>9271</v>
      </c>
    </row>
    <row r="4907" spans="2:9" ht="15" customHeight="1" x14ac:dyDescent="0.25">
      <c r="B4907" s="55" t="s">
        <v>279</v>
      </c>
      <c r="C4907" s="46">
        <v>4895</v>
      </c>
      <c r="D4907" s="69" t="s">
        <v>29416</v>
      </c>
      <c r="E4907" s="51"/>
      <c r="F4907" s="114" t="str">
        <f>IF(INDEX(I.Facility.P1IDNumber,4895)="","",INDEX(I.Facility.P1IDNumber,4895))</f>
        <v/>
      </c>
      <c r="G4907" s="51"/>
      <c r="H4907" s="46" t="str">
        <f>IF(AND(I.Developer.P1=TRUE,I.Facility.P1FacilityCount&gt;=4895,F4907=""),"Incomplete","Complete")</f>
        <v>Complete</v>
      </c>
      <c r="I4907" s="48" t="s">
        <v>9272</v>
      </c>
    </row>
    <row r="4908" spans="2:9" ht="15" customHeight="1" x14ac:dyDescent="0.25">
      <c r="B4908" s="55" t="s">
        <v>279</v>
      </c>
      <c r="C4908" s="46">
        <v>4896</v>
      </c>
      <c r="D4908" s="69" t="s">
        <v>29416</v>
      </c>
      <c r="E4908" s="51"/>
      <c r="F4908" s="114" t="str">
        <f>IF(INDEX(I.Facility.P1IDNumber,4896)="","",INDEX(I.Facility.P1IDNumber,4896))</f>
        <v/>
      </c>
      <c r="G4908" s="51"/>
      <c r="H4908" s="46" t="str">
        <f>IF(AND(I.Developer.P1=TRUE,I.Facility.P1FacilityCount&gt;=4896,F4908=""),"Incomplete","Complete")</f>
        <v>Complete</v>
      </c>
      <c r="I4908" s="48" t="s">
        <v>9273</v>
      </c>
    </row>
    <row r="4909" spans="2:9" ht="15" customHeight="1" x14ac:dyDescent="0.25">
      <c r="B4909" s="55" t="s">
        <v>279</v>
      </c>
      <c r="C4909" s="46">
        <v>4897</v>
      </c>
      <c r="D4909" s="69" t="s">
        <v>29416</v>
      </c>
      <c r="E4909" s="51"/>
      <c r="F4909" s="114" t="str">
        <f>IF(INDEX(I.Facility.P1IDNumber,4897)="","",INDEX(I.Facility.P1IDNumber,4897))</f>
        <v/>
      </c>
      <c r="G4909" s="51"/>
      <c r="H4909" s="46" t="str">
        <f>IF(AND(I.Developer.P1=TRUE,I.Facility.P1FacilityCount&gt;=4897,F4909=""),"Incomplete","Complete")</f>
        <v>Complete</v>
      </c>
      <c r="I4909" s="48" t="s">
        <v>9274</v>
      </c>
    </row>
    <row r="4910" spans="2:9" ht="15" customHeight="1" x14ac:dyDescent="0.25">
      <c r="B4910" s="55" t="s">
        <v>279</v>
      </c>
      <c r="C4910" s="46">
        <v>4898</v>
      </c>
      <c r="D4910" s="69" t="s">
        <v>29416</v>
      </c>
      <c r="E4910" s="51"/>
      <c r="F4910" s="114" t="str">
        <f>IF(INDEX(I.Facility.P1IDNumber,4898)="","",INDEX(I.Facility.P1IDNumber,4898))</f>
        <v/>
      </c>
      <c r="G4910" s="51"/>
      <c r="H4910" s="46" t="str">
        <f>IF(AND(I.Developer.P1=TRUE,I.Facility.P1FacilityCount&gt;=4898,F4910=""),"Incomplete","Complete")</f>
        <v>Complete</v>
      </c>
      <c r="I4910" s="48" t="s">
        <v>9275</v>
      </c>
    </row>
    <row r="4911" spans="2:9" ht="15" customHeight="1" x14ac:dyDescent="0.25">
      <c r="B4911" s="55" t="s">
        <v>279</v>
      </c>
      <c r="C4911" s="46">
        <v>4899</v>
      </c>
      <c r="D4911" s="69" t="s">
        <v>29416</v>
      </c>
      <c r="E4911" s="51"/>
      <c r="F4911" s="114" t="str">
        <f>IF(INDEX(I.Facility.P1IDNumber,4899)="","",INDEX(I.Facility.P1IDNumber,4899))</f>
        <v/>
      </c>
      <c r="G4911" s="51"/>
      <c r="H4911" s="46" t="str">
        <f>IF(AND(I.Developer.P1=TRUE,I.Facility.P1FacilityCount&gt;=4899,F4911=""),"Incomplete","Complete")</f>
        <v>Complete</v>
      </c>
      <c r="I4911" s="48" t="s">
        <v>9276</v>
      </c>
    </row>
    <row r="4912" spans="2:9" ht="15" customHeight="1" x14ac:dyDescent="0.25">
      <c r="B4912" s="55" t="s">
        <v>279</v>
      </c>
      <c r="C4912" s="46">
        <v>4900</v>
      </c>
      <c r="D4912" s="69" t="s">
        <v>29416</v>
      </c>
      <c r="E4912" s="51"/>
      <c r="F4912" s="114" t="str">
        <f>IF(INDEX(I.Facility.P1IDNumber,4900)="","",INDEX(I.Facility.P1IDNumber,4900))</f>
        <v/>
      </c>
      <c r="G4912" s="51"/>
      <c r="H4912" s="46" t="str">
        <f>IF(AND(I.Developer.P1=TRUE,I.Facility.P1FacilityCount&gt;=4900,F4912=""),"Incomplete","Complete")</f>
        <v>Complete</v>
      </c>
      <c r="I4912" s="48" t="s">
        <v>9277</v>
      </c>
    </row>
    <row r="4913" spans="2:9" ht="15" customHeight="1" x14ac:dyDescent="0.25">
      <c r="B4913" s="55" t="s">
        <v>279</v>
      </c>
      <c r="C4913" s="46">
        <v>4901</v>
      </c>
      <c r="D4913" s="69" t="s">
        <v>29416</v>
      </c>
      <c r="E4913" s="51"/>
      <c r="F4913" s="114" t="str">
        <f>IF(INDEX(I.Facility.P1IDNumber,4901)="","",INDEX(I.Facility.P1IDNumber,4901))</f>
        <v/>
      </c>
      <c r="G4913" s="51"/>
      <c r="H4913" s="46" t="str">
        <f>IF(AND(I.Developer.P1=TRUE,I.Facility.P1FacilityCount&gt;=4901,F4913=""),"Incomplete","Complete")</f>
        <v>Complete</v>
      </c>
      <c r="I4913" s="48" t="s">
        <v>9278</v>
      </c>
    </row>
    <row r="4914" spans="2:9" ht="15" customHeight="1" x14ac:dyDescent="0.25">
      <c r="B4914" s="55" t="s">
        <v>279</v>
      </c>
      <c r="C4914" s="46">
        <v>4902</v>
      </c>
      <c r="D4914" s="69" t="s">
        <v>29416</v>
      </c>
      <c r="E4914" s="51"/>
      <c r="F4914" s="114" t="str">
        <f>IF(INDEX(I.Facility.P1IDNumber,4902)="","",INDEX(I.Facility.P1IDNumber,4902))</f>
        <v/>
      </c>
      <c r="G4914" s="51"/>
      <c r="H4914" s="46" t="str">
        <f>IF(AND(I.Developer.P1=TRUE,I.Facility.P1FacilityCount&gt;=4902,F4914=""),"Incomplete","Complete")</f>
        <v>Complete</v>
      </c>
      <c r="I4914" s="48" t="s">
        <v>9279</v>
      </c>
    </row>
    <row r="4915" spans="2:9" ht="15" customHeight="1" x14ac:dyDescent="0.25">
      <c r="B4915" s="55" t="s">
        <v>279</v>
      </c>
      <c r="C4915" s="46">
        <v>4903</v>
      </c>
      <c r="D4915" s="69" t="s">
        <v>29416</v>
      </c>
      <c r="E4915" s="51"/>
      <c r="F4915" s="114" t="str">
        <f>IF(INDEX(I.Facility.P1IDNumber,4903)="","",INDEX(I.Facility.P1IDNumber,4903))</f>
        <v/>
      </c>
      <c r="G4915" s="51"/>
      <c r="H4915" s="46" t="str">
        <f>IF(AND(I.Developer.P1=TRUE,I.Facility.P1FacilityCount&gt;=4903,F4915=""),"Incomplete","Complete")</f>
        <v>Complete</v>
      </c>
      <c r="I4915" s="48" t="s">
        <v>9280</v>
      </c>
    </row>
    <row r="4916" spans="2:9" ht="15" customHeight="1" x14ac:dyDescent="0.25">
      <c r="B4916" s="55" t="s">
        <v>279</v>
      </c>
      <c r="C4916" s="46">
        <v>4904</v>
      </c>
      <c r="D4916" s="69" t="s">
        <v>29416</v>
      </c>
      <c r="E4916" s="51"/>
      <c r="F4916" s="114" t="str">
        <f>IF(INDEX(I.Facility.P1IDNumber,4904)="","",INDEX(I.Facility.P1IDNumber,4904))</f>
        <v/>
      </c>
      <c r="G4916" s="51"/>
      <c r="H4916" s="46" t="str">
        <f>IF(AND(I.Developer.P1=TRUE,I.Facility.P1FacilityCount&gt;=4904,F4916=""),"Incomplete","Complete")</f>
        <v>Complete</v>
      </c>
      <c r="I4916" s="48" t="s">
        <v>9281</v>
      </c>
    </row>
    <row r="4917" spans="2:9" ht="15" customHeight="1" x14ac:dyDescent="0.25">
      <c r="B4917" s="55" t="s">
        <v>279</v>
      </c>
      <c r="C4917" s="46">
        <v>4905</v>
      </c>
      <c r="D4917" s="69" t="s">
        <v>29416</v>
      </c>
      <c r="E4917" s="51"/>
      <c r="F4917" s="114" t="str">
        <f>IF(INDEX(I.Facility.P1IDNumber,4905)="","",INDEX(I.Facility.P1IDNumber,4905))</f>
        <v/>
      </c>
      <c r="G4917" s="51"/>
      <c r="H4917" s="46" t="str">
        <f>IF(AND(I.Developer.P1=TRUE,I.Facility.P1FacilityCount&gt;=4905,F4917=""),"Incomplete","Complete")</f>
        <v>Complete</v>
      </c>
      <c r="I4917" s="48" t="s">
        <v>9282</v>
      </c>
    </row>
    <row r="4918" spans="2:9" ht="15" customHeight="1" x14ac:dyDescent="0.25">
      <c r="B4918" s="55" t="s">
        <v>279</v>
      </c>
      <c r="C4918" s="46">
        <v>4906</v>
      </c>
      <c r="D4918" s="69" t="s">
        <v>29416</v>
      </c>
      <c r="E4918" s="51"/>
      <c r="F4918" s="114" t="str">
        <f>IF(INDEX(I.Facility.P1IDNumber,4906)="","",INDEX(I.Facility.P1IDNumber,4906))</f>
        <v/>
      </c>
      <c r="G4918" s="51"/>
      <c r="H4918" s="46" t="str">
        <f>IF(AND(I.Developer.P1=TRUE,I.Facility.P1FacilityCount&gt;=4906,F4918=""),"Incomplete","Complete")</f>
        <v>Complete</v>
      </c>
      <c r="I4918" s="48" t="s">
        <v>9283</v>
      </c>
    </row>
    <row r="4919" spans="2:9" ht="15" customHeight="1" x14ac:dyDescent="0.25">
      <c r="B4919" s="55" t="s">
        <v>279</v>
      </c>
      <c r="C4919" s="46">
        <v>4907</v>
      </c>
      <c r="D4919" s="69" t="s">
        <v>29416</v>
      </c>
      <c r="E4919" s="51"/>
      <c r="F4919" s="114" t="str">
        <f>IF(INDEX(I.Facility.P1IDNumber,4907)="","",INDEX(I.Facility.P1IDNumber,4907))</f>
        <v/>
      </c>
      <c r="G4919" s="51"/>
      <c r="H4919" s="46" t="str">
        <f>IF(AND(I.Developer.P1=TRUE,I.Facility.P1FacilityCount&gt;=4907,F4919=""),"Incomplete","Complete")</f>
        <v>Complete</v>
      </c>
      <c r="I4919" s="48" t="s">
        <v>9284</v>
      </c>
    </row>
    <row r="4920" spans="2:9" ht="15" customHeight="1" x14ac:dyDescent="0.25">
      <c r="B4920" s="55" t="s">
        <v>279</v>
      </c>
      <c r="C4920" s="46">
        <v>4908</v>
      </c>
      <c r="D4920" s="69" t="s">
        <v>29416</v>
      </c>
      <c r="E4920" s="51"/>
      <c r="F4920" s="114" t="str">
        <f>IF(INDEX(I.Facility.P1IDNumber,4908)="","",INDEX(I.Facility.P1IDNumber,4908))</f>
        <v/>
      </c>
      <c r="G4920" s="51"/>
      <c r="H4920" s="46" t="str">
        <f>IF(AND(I.Developer.P1=TRUE,I.Facility.P1FacilityCount&gt;=4908,F4920=""),"Incomplete","Complete")</f>
        <v>Complete</v>
      </c>
      <c r="I4920" s="48" t="s">
        <v>9285</v>
      </c>
    </row>
    <row r="4921" spans="2:9" ht="15" customHeight="1" x14ac:dyDescent="0.25">
      <c r="B4921" s="55" t="s">
        <v>279</v>
      </c>
      <c r="C4921" s="46">
        <v>4909</v>
      </c>
      <c r="D4921" s="69" t="s">
        <v>29416</v>
      </c>
      <c r="E4921" s="51"/>
      <c r="F4921" s="114" t="str">
        <f>IF(INDEX(I.Facility.P1IDNumber,4909)="","",INDEX(I.Facility.P1IDNumber,4909))</f>
        <v/>
      </c>
      <c r="G4921" s="51"/>
      <c r="H4921" s="46" t="str">
        <f>IF(AND(I.Developer.P1=TRUE,I.Facility.P1FacilityCount&gt;=4909,F4921=""),"Incomplete","Complete")</f>
        <v>Complete</v>
      </c>
      <c r="I4921" s="48" t="s">
        <v>9286</v>
      </c>
    </row>
    <row r="4922" spans="2:9" ht="15" customHeight="1" x14ac:dyDescent="0.25">
      <c r="B4922" s="55" t="s">
        <v>279</v>
      </c>
      <c r="C4922" s="46">
        <v>4910</v>
      </c>
      <c r="D4922" s="69" t="s">
        <v>29416</v>
      </c>
      <c r="E4922" s="51"/>
      <c r="F4922" s="114" t="str">
        <f>IF(INDEX(I.Facility.P1IDNumber,4910)="","",INDEX(I.Facility.P1IDNumber,4910))</f>
        <v/>
      </c>
      <c r="G4922" s="51"/>
      <c r="H4922" s="46" t="str">
        <f>IF(AND(I.Developer.P1=TRUE,I.Facility.P1FacilityCount&gt;=4910,F4922=""),"Incomplete","Complete")</f>
        <v>Complete</v>
      </c>
      <c r="I4922" s="48" t="s">
        <v>9287</v>
      </c>
    </row>
    <row r="4923" spans="2:9" ht="15" customHeight="1" x14ac:dyDescent="0.25">
      <c r="B4923" s="55" t="s">
        <v>279</v>
      </c>
      <c r="C4923" s="46">
        <v>4911</v>
      </c>
      <c r="D4923" s="69" t="s">
        <v>29416</v>
      </c>
      <c r="E4923" s="51"/>
      <c r="F4923" s="114" t="str">
        <f>IF(INDEX(I.Facility.P1IDNumber,4911)="","",INDEX(I.Facility.P1IDNumber,4911))</f>
        <v/>
      </c>
      <c r="G4923" s="51"/>
      <c r="H4923" s="46" t="str">
        <f>IF(AND(I.Developer.P1=TRUE,I.Facility.P1FacilityCount&gt;=4911,F4923=""),"Incomplete","Complete")</f>
        <v>Complete</v>
      </c>
      <c r="I4923" s="48" t="s">
        <v>9288</v>
      </c>
    </row>
    <row r="4924" spans="2:9" ht="15" customHeight="1" x14ac:dyDescent="0.25">
      <c r="B4924" s="55" t="s">
        <v>279</v>
      </c>
      <c r="C4924" s="46">
        <v>4912</v>
      </c>
      <c r="D4924" s="69" t="s">
        <v>29416</v>
      </c>
      <c r="E4924" s="51"/>
      <c r="F4924" s="114" t="str">
        <f>IF(INDEX(I.Facility.P1IDNumber,4912)="","",INDEX(I.Facility.P1IDNumber,4912))</f>
        <v/>
      </c>
      <c r="G4924" s="51"/>
      <c r="H4924" s="46" t="str">
        <f>IF(AND(I.Developer.P1=TRUE,I.Facility.P1FacilityCount&gt;=4912,F4924=""),"Incomplete","Complete")</f>
        <v>Complete</v>
      </c>
      <c r="I4924" s="48" t="s">
        <v>9289</v>
      </c>
    </row>
    <row r="4925" spans="2:9" ht="15" customHeight="1" x14ac:dyDescent="0.25">
      <c r="B4925" s="55" t="s">
        <v>279</v>
      </c>
      <c r="C4925" s="46">
        <v>4913</v>
      </c>
      <c r="D4925" s="69" t="s">
        <v>29416</v>
      </c>
      <c r="E4925" s="51"/>
      <c r="F4925" s="114" t="str">
        <f>IF(INDEX(I.Facility.P1IDNumber,4913)="","",INDEX(I.Facility.P1IDNumber,4913))</f>
        <v/>
      </c>
      <c r="G4925" s="51"/>
      <c r="H4925" s="46" t="str">
        <f>IF(AND(I.Developer.P1=TRUE,I.Facility.P1FacilityCount&gt;=4913,F4925=""),"Incomplete","Complete")</f>
        <v>Complete</v>
      </c>
      <c r="I4925" s="48" t="s">
        <v>9290</v>
      </c>
    </row>
    <row r="4926" spans="2:9" ht="15" customHeight="1" x14ac:dyDescent="0.25">
      <c r="B4926" s="55" t="s">
        <v>279</v>
      </c>
      <c r="C4926" s="46">
        <v>4914</v>
      </c>
      <c r="D4926" s="69" t="s">
        <v>29416</v>
      </c>
      <c r="E4926" s="51"/>
      <c r="F4926" s="114" t="str">
        <f>IF(INDEX(I.Facility.P1IDNumber,4914)="","",INDEX(I.Facility.P1IDNumber,4914))</f>
        <v/>
      </c>
      <c r="G4926" s="51"/>
      <c r="H4926" s="46" t="str">
        <f>IF(AND(I.Developer.P1=TRUE,I.Facility.P1FacilityCount&gt;=4914,F4926=""),"Incomplete","Complete")</f>
        <v>Complete</v>
      </c>
      <c r="I4926" s="48" t="s">
        <v>9291</v>
      </c>
    </row>
    <row r="4927" spans="2:9" ht="15" customHeight="1" x14ac:dyDescent="0.25">
      <c r="B4927" s="55" t="s">
        <v>279</v>
      </c>
      <c r="C4927" s="46">
        <v>4915</v>
      </c>
      <c r="D4927" s="69" t="s">
        <v>29416</v>
      </c>
      <c r="E4927" s="51"/>
      <c r="F4927" s="114" t="str">
        <f>IF(INDEX(I.Facility.P1IDNumber,4915)="","",INDEX(I.Facility.P1IDNumber,4915))</f>
        <v/>
      </c>
      <c r="G4927" s="51"/>
      <c r="H4927" s="46" t="str">
        <f>IF(AND(I.Developer.P1=TRUE,I.Facility.P1FacilityCount&gt;=4915,F4927=""),"Incomplete","Complete")</f>
        <v>Complete</v>
      </c>
      <c r="I4927" s="48" t="s">
        <v>9292</v>
      </c>
    </row>
    <row r="4928" spans="2:9" ht="15" customHeight="1" x14ac:dyDescent="0.25">
      <c r="B4928" s="55" t="s">
        <v>279</v>
      </c>
      <c r="C4928" s="46">
        <v>4916</v>
      </c>
      <c r="D4928" s="69" t="s">
        <v>29416</v>
      </c>
      <c r="E4928" s="51"/>
      <c r="F4928" s="114" t="str">
        <f>IF(INDEX(I.Facility.P1IDNumber,4916)="","",INDEX(I.Facility.P1IDNumber,4916))</f>
        <v/>
      </c>
      <c r="G4928" s="51"/>
      <c r="H4928" s="46" t="str">
        <f>IF(AND(I.Developer.P1=TRUE,I.Facility.P1FacilityCount&gt;=4916,F4928=""),"Incomplete","Complete")</f>
        <v>Complete</v>
      </c>
      <c r="I4928" s="48" t="s">
        <v>9293</v>
      </c>
    </row>
    <row r="4929" spans="2:9" ht="15" customHeight="1" x14ac:dyDescent="0.25">
      <c r="B4929" s="55" t="s">
        <v>279</v>
      </c>
      <c r="C4929" s="46">
        <v>4917</v>
      </c>
      <c r="D4929" s="69" t="s">
        <v>29416</v>
      </c>
      <c r="E4929" s="51"/>
      <c r="F4929" s="114" t="str">
        <f>IF(INDEX(I.Facility.P1IDNumber,4917)="","",INDEX(I.Facility.P1IDNumber,4917))</f>
        <v/>
      </c>
      <c r="G4929" s="51"/>
      <c r="H4929" s="46" t="str">
        <f>IF(AND(I.Developer.P1=TRUE,I.Facility.P1FacilityCount&gt;=4917,F4929=""),"Incomplete","Complete")</f>
        <v>Complete</v>
      </c>
      <c r="I4929" s="48" t="s">
        <v>9294</v>
      </c>
    </row>
    <row r="4930" spans="2:9" ht="15" customHeight="1" x14ac:dyDescent="0.25">
      <c r="B4930" s="55" t="s">
        <v>279</v>
      </c>
      <c r="C4930" s="46">
        <v>4918</v>
      </c>
      <c r="D4930" s="69" t="s">
        <v>29416</v>
      </c>
      <c r="E4930" s="51"/>
      <c r="F4930" s="114" t="str">
        <f>IF(INDEX(I.Facility.P1IDNumber,4918)="","",INDEX(I.Facility.P1IDNumber,4918))</f>
        <v/>
      </c>
      <c r="G4930" s="51"/>
      <c r="H4930" s="46" t="str">
        <f>IF(AND(I.Developer.P1=TRUE,I.Facility.P1FacilityCount&gt;=4918,F4930=""),"Incomplete","Complete")</f>
        <v>Complete</v>
      </c>
      <c r="I4930" s="48" t="s">
        <v>9295</v>
      </c>
    </row>
    <row r="4931" spans="2:9" ht="15" customHeight="1" x14ac:dyDescent="0.25">
      <c r="B4931" s="55" t="s">
        <v>279</v>
      </c>
      <c r="C4931" s="46">
        <v>4919</v>
      </c>
      <c r="D4931" s="69" t="s">
        <v>29416</v>
      </c>
      <c r="E4931" s="51"/>
      <c r="F4931" s="114" t="str">
        <f>IF(INDEX(I.Facility.P1IDNumber,4919)="","",INDEX(I.Facility.P1IDNumber,4919))</f>
        <v/>
      </c>
      <c r="G4931" s="51"/>
      <c r="H4931" s="46" t="str">
        <f>IF(AND(I.Developer.P1=TRUE,I.Facility.P1FacilityCount&gt;=4919,F4931=""),"Incomplete","Complete")</f>
        <v>Complete</v>
      </c>
      <c r="I4931" s="48" t="s">
        <v>9296</v>
      </c>
    </row>
    <row r="4932" spans="2:9" ht="15" customHeight="1" x14ac:dyDescent="0.25">
      <c r="B4932" s="55" t="s">
        <v>279</v>
      </c>
      <c r="C4932" s="46">
        <v>4920</v>
      </c>
      <c r="D4932" s="69" t="s">
        <v>29416</v>
      </c>
      <c r="E4932" s="51"/>
      <c r="F4932" s="114" t="str">
        <f>IF(INDEX(I.Facility.P1IDNumber,4920)="","",INDEX(I.Facility.P1IDNumber,4920))</f>
        <v/>
      </c>
      <c r="G4932" s="51"/>
      <c r="H4932" s="46" t="str">
        <f>IF(AND(I.Developer.P1=TRUE,I.Facility.P1FacilityCount&gt;=4920,F4932=""),"Incomplete","Complete")</f>
        <v>Complete</v>
      </c>
      <c r="I4932" s="48" t="s">
        <v>9297</v>
      </c>
    </row>
    <row r="4933" spans="2:9" ht="15" customHeight="1" x14ac:dyDescent="0.25">
      <c r="B4933" s="55" t="s">
        <v>279</v>
      </c>
      <c r="C4933" s="46">
        <v>4921</v>
      </c>
      <c r="D4933" s="69" t="s">
        <v>29416</v>
      </c>
      <c r="E4933" s="51"/>
      <c r="F4933" s="114" t="str">
        <f>IF(INDEX(I.Facility.P1IDNumber,4921)="","",INDEX(I.Facility.P1IDNumber,4921))</f>
        <v/>
      </c>
      <c r="G4933" s="51"/>
      <c r="H4933" s="46" t="str">
        <f>IF(AND(I.Developer.P1=TRUE,I.Facility.P1FacilityCount&gt;=4921,F4933=""),"Incomplete","Complete")</f>
        <v>Complete</v>
      </c>
      <c r="I4933" s="48" t="s">
        <v>9298</v>
      </c>
    </row>
    <row r="4934" spans="2:9" ht="15" customHeight="1" x14ac:dyDescent="0.25">
      <c r="B4934" s="55" t="s">
        <v>279</v>
      </c>
      <c r="C4934" s="46">
        <v>4922</v>
      </c>
      <c r="D4934" s="69" t="s">
        <v>29416</v>
      </c>
      <c r="E4934" s="51"/>
      <c r="F4934" s="114" t="str">
        <f>IF(INDEX(I.Facility.P1IDNumber,4922)="","",INDEX(I.Facility.P1IDNumber,4922))</f>
        <v/>
      </c>
      <c r="G4934" s="51"/>
      <c r="H4934" s="46" t="str">
        <f>IF(AND(I.Developer.P1=TRUE,I.Facility.P1FacilityCount&gt;=4922,F4934=""),"Incomplete","Complete")</f>
        <v>Complete</v>
      </c>
      <c r="I4934" s="48" t="s">
        <v>9299</v>
      </c>
    </row>
    <row r="4935" spans="2:9" ht="15" customHeight="1" x14ac:dyDescent="0.25">
      <c r="B4935" s="55" t="s">
        <v>279</v>
      </c>
      <c r="C4935" s="46">
        <v>4923</v>
      </c>
      <c r="D4935" s="69" t="s">
        <v>29416</v>
      </c>
      <c r="E4935" s="51"/>
      <c r="F4935" s="114" t="str">
        <f>IF(INDEX(I.Facility.P1IDNumber,4923)="","",INDEX(I.Facility.P1IDNumber,4923))</f>
        <v/>
      </c>
      <c r="G4935" s="51"/>
      <c r="H4935" s="46" t="str">
        <f>IF(AND(I.Developer.P1=TRUE,I.Facility.P1FacilityCount&gt;=4923,F4935=""),"Incomplete","Complete")</f>
        <v>Complete</v>
      </c>
      <c r="I4935" s="48" t="s">
        <v>9300</v>
      </c>
    </row>
    <row r="4936" spans="2:9" ht="15" customHeight="1" x14ac:dyDescent="0.25">
      <c r="B4936" s="55" t="s">
        <v>279</v>
      </c>
      <c r="C4936" s="46">
        <v>4924</v>
      </c>
      <c r="D4936" s="69" t="s">
        <v>29416</v>
      </c>
      <c r="E4936" s="51"/>
      <c r="F4936" s="114" t="str">
        <f>IF(INDEX(I.Facility.P1IDNumber,4924)="","",INDEX(I.Facility.P1IDNumber,4924))</f>
        <v/>
      </c>
      <c r="G4936" s="51"/>
      <c r="H4936" s="46" t="str">
        <f>IF(AND(I.Developer.P1=TRUE,I.Facility.P1FacilityCount&gt;=4924,F4936=""),"Incomplete","Complete")</f>
        <v>Complete</v>
      </c>
      <c r="I4936" s="48" t="s">
        <v>9301</v>
      </c>
    </row>
    <row r="4937" spans="2:9" ht="15" customHeight="1" x14ac:dyDescent="0.25">
      <c r="B4937" s="55" t="s">
        <v>279</v>
      </c>
      <c r="C4937" s="46">
        <v>4925</v>
      </c>
      <c r="D4937" s="69" t="s">
        <v>29416</v>
      </c>
      <c r="E4937" s="51"/>
      <c r="F4937" s="114" t="str">
        <f>IF(INDEX(I.Facility.P1IDNumber,4925)="","",INDEX(I.Facility.P1IDNumber,4925))</f>
        <v/>
      </c>
      <c r="G4937" s="51"/>
      <c r="H4937" s="46" t="str">
        <f>IF(AND(I.Developer.P1=TRUE,I.Facility.P1FacilityCount&gt;=4925,F4937=""),"Incomplete","Complete")</f>
        <v>Complete</v>
      </c>
      <c r="I4937" s="48" t="s">
        <v>9302</v>
      </c>
    </row>
    <row r="4938" spans="2:9" ht="15" customHeight="1" x14ac:dyDescent="0.25">
      <c r="B4938" s="55" t="s">
        <v>279</v>
      </c>
      <c r="C4938" s="46">
        <v>4926</v>
      </c>
      <c r="D4938" s="69" t="s">
        <v>29416</v>
      </c>
      <c r="E4938" s="51"/>
      <c r="F4938" s="114" t="str">
        <f>IF(INDEX(I.Facility.P1IDNumber,4926)="","",INDEX(I.Facility.P1IDNumber,4926))</f>
        <v/>
      </c>
      <c r="G4938" s="51"/>
      <c r="H4938" s="46" t="str">
        <f>IF(AND(I.Developer.P1=TRUE,I.Facility.P1FacilityCount&gt;=4926,F4938=""),"Incomplete","Complete")</f>
        <v>Complete</v>
      </c>
      <c r="I4938" s="48" t="s">
        <v>9303</v>
      </c>
    </row>
    <row r="4939" spans="2:9" ht="15" customHeight="1" x14ac:dyDescent="0.25">
      <c r="B4939" s="55" t="s">
        <v>279</v>
      </c>
      <c r="C4939" s="46">
        <v>4927</v>
      </c>
      <c r="D4939" s="69" t="s">
        <v>29416</v>
      </c>
      <c r="E4939" s="51"/>
      <c r="F4939" s="114" t="str">
        <f>IF(INDEX(I.Facility.P1IDNumber,4927)="","",INDEX(I.Facility.P1IDNumber,4927))</f>
        <v/>
      </c>
      <c r="G4939" s="51"/>
      <c r="H4939" s="46" t="str">
        <f>IF(AND(I.Developer.P1=TRUE,I.Facility.P1FacilityCount&gt;=4927,F4939=""),"Incomplete","Complete")</f>
        <v>Complete</v>
      </c>
      <c r="I4939" s="48" t="s">
        <v>9304</v>
      </c>
    </row>
    <row r="4940" spans="2:9" ht="15" customHeight="1" x14ac:dyDescent="0.25">
      <c r="B4940" s="55" t="s">
        <v>279</v>
      </c>
      <c r="C4940" s="46">
        <v>4928</v>
      </c>
      <c r="D4940" s="69" t="s">
        <v>29416</v>
      </c>
      <c r="E4940" s="51"/>
      <c r="F4940" s="114" t="str">
        <f>IF(INDEX(I.Facility.P1IDNumber,4928)="","",INDEX(I.Facility.P1IDNumber,4928))</f>
        <v/>
      </c>
      <c r="G4940" s="51"/>
      <c r="H4940" s="46" t="str">
        <f>IF(AND(I.Developer.P1=TRUE,I.Facility.P1FacilityCount&gt;=4928,F4940=""),"Incomplete","Complete")</f>
        <v>Complete</v>
      </c>
      <c r="I4940" s="48" t="s">
        <v>9305</v>
      </c>
    </row>
    <row r="4941" spans="2:9" ht="15" customHeight="1" x14ac:dyDescent="0.25">
      <c r="B4941" s="55" t="s">
        <v>279</v>
      </c>
      <c r="C4941" s="46">
        <v>4929</v>
      </c>
      <c r="D4941" s="69" t="s">
        <v>29416</v>
      </c>
      <c r="E4941" s="51"/>
      <c r="F4941" s="114" t="str">
        <f>IF(INDEX(I.Facility.P1IDNumber,4929)="","",INDEX(I.Facility.P1IDNumber,4929))</f>
        <v/>
      </c>
      <c r="G4941" s="51"/>
      <c r="H4941" s="46" t="str">
        <f>IF(AND(I.Developer.P1=TRUE,I.Facility.P1FacilityCount&gt;=4929,F4941=""),"Incomplete","Complete")</f>
        <v>Complete</v>
      </c>
      <c r="I4941" s="48" t="s">
        <v>9306</v>
      </c>
    </row>
    <row r="4942" spans="2:9" ht="15" customHeight="1" x14ac:dyDescent="0.25">
      <c r="B4942" s="55" t="s">
        <v>279</v>
      </c>
      <c r="C4942" s="46">
        <v>4930</v>
      </c>
      <c r="D4942" s="69" t="s">
        <v>29416</v>
      </c>
      <c r="E4942" s="51"/>
      <c r="F4942" s="114" t="str">
        <f>IF(INDEX(I.Facility.P1IDNumber,4930)="","",INDEX(I.Facility.P1IDNumber,4930))</f>
        <v/>
      </c>
      <c r="G4942" s="51"/>
      <c r="H4942" s="46" t="str">
        <f>IF(AND(I.Developer.P1=TRUE,I.Facility.P1FacilityCount&gt;=4930,F4942=""),"Incomplete","Complete")</f>
        <v>Complete</v>
      </c>
      <c r="I4942" s="48" t="s">
        <v>9307</v>
      </c>
    </row>
    <row r="4943" spans="2:9" ht="15" customHeight="1" x14ac:dyDescent="0.25">
      <c r="B4943" s="55" t="s">
        <v>279</v>
      </c>
      <c r="C4943" s="46">
        <v>4931</v>
      </c>
      <c r="D4943" s="69" t="s">
        <v>29416</v>
      </c>
      <c r="E4943" s="51"/>
      <c r="F4943" s="114" t="str">
        <f>IF(INDEX(I.Facility.P1IDNumber,4931)="","",INDEX(I.Facility.P1IDNumber,4931))</f>
        <v/>
      </c>
      <c r="G4943" s="51"/>
      <c r="H4943" s="46" t="str">
        <f>IF(AND(I.Developer.P1=TRUE,I.Facility.P1FacilityCount&gt;=4931,F4943=""),"Incomplete","Complete")</f>
        <v>Complete</v>
      </c>
      <c r="I4943" s="48" t="s">
        <v>9308</v>
      </c>
    </row>
    <row r="4944" spans="2:9" ht="15" customHeight="1" x14ac:dyDescent="0.25">
      <c r="B4944" s="55" t="s">
        <v>279</v>
      </c>
      <c r="C4944" s="46">
        <v>4932</v>
      </c>
      <c r="D4944" s="69" t="s">
        <v>29416</v>
      </c>
      <c r="E4944" s="51"/>
      <c r="F4944" s="114" t="str">
        <f>IF(INDEX(I.Facility.P1IDNumber,4932)="","",INDEX(I.Facility.P1IDNumber,4932))</f>
        <v/>
      </c>
      <c r="G4944" s="51"/>
      <c r="H4944" s="46" t="str">
        <f>IF(AND(I.Developer.P1=TRUE,I.Facility.P1FacilityCount&gt;=4932,F4944=""),"Incomplete","Complete")</f>
        <v>Complete</v>
      </c>
      <c r="I4944" s="48" t="s">
        <v>9309</v>
      </c>
    </row>
    <row r="4945" spans="2:9" ht="15" customHeight="1" x14ac:dyDescent="0.25">
      <c r="B4945" s="55" t="s">
        <v>279</v>
      </c>
      <c r="C4945" s="46">
        <v>4933</v>
      </c>
      <c r="D4945" s="69" t="s">
        <v>29416</v>
      </c>
      <c r="E4945" s="51"/>
      <c r="F4945" s="114" t="str">
        <f>IF(INDEX(I.Facility.P1IDNumber,4933)="","",INDEX(I.Facility.P1IDNumber,4933))</f>
        <v/>
      </c>
      <c r="G4945" s="51"/>
      <c r="H4945" s="46" t="str">
        <f>IF(AND(I.Developer.P1=TRUE,I.Facility.P1FacilityCount&gt;=4933,F4945=""),"Incomplete","Complete")</f>
        <v>Complete</v>
      </c>
      <c r="I4945" s="48" t="s">
        <v>9310</v>
      </c>
    </row>
    <row r="4946" spans="2:9" ht="15" customHeight="1" x14ac:dyDescent="0.25">
      <c r="B4946" s="55" t="s">
        <v>279</v>
      </c>
      <c r="C4946" s="46">
        <v>4934</v>
      </c>
      <c r="D4946" s="69" t="s">
        <v>29416</v>
      </c>
      <c r="E4946" s="51"/>
      <c r="F4946" s="114" t="str">
        <f>IF(INDEX(I.Facility.P1IDNumber,4934)="","",INDEX(I.Facility.P1IDNumber,4934))</f>
        <v/>
      </c>
      <c r="G4946" s="51"/>
      <c r="H4946" s="46" t="str">
        <f>IF(AND(I.Developer.P1=TRUE,I.Facility.P1FacilityCount&gt;=4934,F4946=""),"Incomplete","Complete")</f>
        <v>Complete</v>
      </c>
      <c r="I4946" s="48" t="s">
        <v>9311</v>
      </c>
    </row>
    <row r="4947" spans="2:9" ht="15" customHeight="1" x14ac:dyDescent="0.25">
      <c r="B4947" s="55" t="s">
        <v>279</v>
      </c>
      <c r="C4947" s="46">
        <v>4935</v>
      </c>
      <c r="D4947" s="69" t="s">
        <v>29416</v>
      </c>
      <c r="E4947" s="51"/>
      <c r="F4947" s="114" t="str">
        <f>IF(INDEX(I.Facility.P1IDNumber,4935)="","",INDEX(I.Facility.P1IDNumber,4935))</f>
        <v/>
      </c>
      <c r="G4947" s="51"/>
      <c r="H4947" s="46" t="str">
        <f>IF(AND(I.Developer.P1=TRUE,I.Facility.P1FacilityCount&gt;=4935,F4947=""),"Incomplete","Complete")</f>
        <v>Complete</v>
      </c>
      <c r="I4947" s="48" t="s">
        <v>9312</v>
      </c>
    </row>
    <row r="4948" spans="2:9" ht="15" customHeight="1" x14ac:dyDescent="0.25">
      <c r="B4948" s="55" t="s">
        <v>279</v>
      </c>
      <c r="C4948" s="46">
        <v>4936</v>
      </c>
      <c r="D4948" s="69" t="s">
        <v>29416</v>
      </c>
      <c r="E4948" s="51"/>
      <c r="F4948" s="114" t="str">
        <f>IF(INDEX(I.Facility.P1IDNumber,4936)="","",INDEX(I.Facility.P1IDNumber,4936))</f>
        <v/>
      </c>
      <c r="G4948" s="51"/>
      <c r="H4948" s="46" t="str">
        <f>IF(AND(I.Developer.P1=TRUE,I.Facility.P1FacilityCount&gt;=4936,F4948=""),"Incomplete","Complete")</f>
        <v>Complete</v>
      </c>
      <c r="I4948" s="48" t="s">
        <v>9313</v>
      </c>
    </row>
    <row r="4949" spans="2:9" ht="15" customHeight="1" x14ac:dyDescent="0.25">
      <c r="B4949" s="55" t="s">
        <v>279</v>
      </c>
      <c r="C4949" s="46">
        <v>4937</v>
      </c>
      <c r="D4949" s="69" t="s">
        <v>29416</v>
      </c>
      <c r="E4949" s="51"/>
      <c r="F4949" s="114" t="str">
        <f>IF(INDEX(I.Facility.P1IDNumber,4937)="","",INDEX(I.Facility.P1IDNumber,4937))</f>
        <v/>
      </c>
      <c r="G4949" s="51"/>
      <c r="H4949" s="46" t="str">
        <f>IF(AND(I.Developer.P1=TRUE,I.Facility.P1FacilityCount&gt;=4937,F4949=""),"Incomplete","Complete")</f>
        <v>Complete</v>
      </c>
      <c r="I4949" s="48" t="s">
        <v>9314</v>
      </c>
    </row>
    <row r="4950" spans="2:9" ht="15" customHeight="1" x14ac:dyDescent="0.25">
      <c r="B4950" s="55" t="s">
        <v>279</v>
      </c>
      <c r="C4950" s="46">
        <v>4938</v>
      </c>
      <c r="D4950" s="69" t="s">
        <v>29416</v>
      </c>
      <c r="E4950" s="51"/>
      <c r="F4950" s="114" t="str">
        <f>IF(INDEX(I.Facility.P1IDNumber,4938)="","",INDEX(I.Facility.P1IDNumber,4938))</f>
        <v/>
      </c>
      <c r="G4950" s="51"/>
      <c r="H4950" s="46" t="str">
        <f>IF(AND(I.Developer.P1=TRUE,I.Facility.P1FacilityCount&gt;=4938,F4950=""),"Incomplete","Complete")</f>
        <v>Complete</v>
      </c>
      <c r="I4950" s="48" t="s">
        <v>9315</v>
      </c>
    </row>
    <row r="4951" spans="2:9" ht="15" customHeight="1" x14ac:dyDescent="0.25">
      <c r="B4951" s="55" t="s">
        <v>279</v>
      </c>
      <c r="C4951" s="46">
        <v>4939</v>
      </c>
      <c r="D4951" s="69" t="s">
        <v>29416</v>
      </c>
      <c r="E4951" s="51"/>
      <c r="F4951" s="114" t="str">
        <f>IF(INDEX(I.Facility.P1IDNumber,4939)="","",INDEX(I.Facility.P1IDNumber,4939))</f>
        <v/>
      </c>
      <c r="G4951" s="51"/>
      <c r="H4951" s="46" t="str">
        <f>IF(AND(I.Developer.P1=TRUE,I.Facility.P1FacilityCount&gt;=4939,F4951=""),"Incomplete","Complete")</f>
        <v>Complete</v>
      </c>
      <c r="I4951" s="48" t="s">
        <v>9316</v>
      </c>
    </row>
    <row r="4952" spans="2:9" ht="15" customHeight="1" x14ac:dyDescent="0.25">
      <c r="B4952" s="55" t="s">
        <v>279</v>
      </c>
      <c r="C4952" s="46">
        <v>4940</v>
      </c>
      <c r="D4952" s="69" t="s">
        <v>29416</v>
      </c>
      <c r="E4952" s="51"/>
      <c r="F4952" s="114" t="str">
        <f>IF(INDEX(I.Facility.P1IDNumber,4940)="","",INDEX(I.Facility.P1IDNumber,4940))</f>
        <v/>
      </c>
      <c r="G4952" s="51"/>
      <c r="H4952" s="46" t="str">
        <f>IF(AND(I.Developer.P1=TRUE,I.Facility.P1FacilityCount&gt;=4940,F4952=""),"Incomplete","Complete")</f>
        <v>Complete</v>
      </c>
      <c r="I4952" s="48" t="s">
        <v>9317</v>
      </c>
    </row>
    <row r="4953" spans="2:9" ht="15" customHeight="1" x14ac:dyDescent="0.25">
      <c r="B4953" s="55" t="s">
        <v>279</v>
      </c>
      <c r="C4953" s="46">
        <v>4941</v>
      </c>
      <c r="D4953" s="69" t="s">
        <v>29416</v>
      </c>
      <c r="E4953" s="51"/>
      <c r="F4953" s="114" t="str">
        <f>IF(INDEX(I.Facility.P1IDNumber,4941)="","",INDEX(I.Facility.P1IDNumber,4941))</f>
        <v/>
      </c>
      <c r="G4953" s="51"/>
      <c r="H4953" s="46" t="str">
        <f>IF(AND(I.Developer.P1=TRUE,I.Facility.P1FacilityCount&gt;=4941,F4953=""),"Incomplete","Complete")</f>
        <v>Complete</v>
      </c>
      <c r="I4953" s="48" t="s">
        <v>9318</v>
      </c>
    </row>
    <row r="4954" spans="2:9" ht="15" customHeight="1" x14ac:dyDescent="0.25">
      <c r="B4954" s="55" t="s">
        <v>279</v>
      </c>
      <c r="C4954" s="46">
        <v>4942</v>
      </c>
      <c r="D4954" s="69" t="s">
        <v>29416</v>
      </c>
      <c r="E4954" s="51"/>
      <c r="F4954" s="114" t="str">
        <f>IF(INDEX(I.Facility.P1IDNumber,4942)="","",INDEX(I.Facility.P1IDNumber,4942))</f>
        <v/>
      </c>
      <c r="G4954" s="51"/>
      <c r="H4954" s="46" t="str">
        <f>IF(AND(I.Developer.P1=TRUE,I.Facility.P1FacilityCount&gt;=4942,F4954=""),"Incomplete","Complete")</f>
        <v>Complete</v>
      </c>
      <c r="I4954" s="48" t="s">
        <v>9319</v>
      </c>
    </row>
    <row r="4955" spans="2:9" ht="15" customHeight="1" x14ac:dyDescent="0.25">
      <c r="B4955" s="55" t="s">
        <v>279</v>
      </c>
      <c r="C4955" s="46">
        <v>4943</v>
      </c>
      <c r="D4955" s="69" t="s">
        <v>29416</v>
      </c>
      <c r="E4955" s="51"/>
      <c r="F4955" s="114" t="str">
        <f>IF(INDEX(I.Facility.P1IDNumber,4943)="","",INDEX(I.Facility.P1IDNumber,4943))</f>
        <v/>
      </c>
      <c r="G4955" s="51"/>
      <c r="H4955" s="46" t="str">
        <f>IF(AND(I.Developer.P1=TRUE,I.Facility.P1FacilityCount&gt;=4943,F4955=""),"Incomplete","Complete")</f>
        <v>Complete</v>
      </c>
      <c r="I4955" s="48" t="s">
        <v>9320</v>
      </c>
    </row>
    <row r="4956" spans="2:9" ht="15" customHeight="1" x14ac:dyDescent="0.25">
      <c r="B4956" s="55" t="s">
        <v>279</v>
      </c>
      <c r="C4956" s="46">
        <v>4944</v>
      </c>
      <c r="D4956" s="69" t="s">
        <v>29416</v>
      </c>
      <c r="E4956" s="51"/>
      <c r="F4956" s="114" t="str">
        <f>IF(INDEX(I.Facility.P1IDNumber,4944)="","",INDEX(I.Facility.P1IDNumber,4944))</f>
        <v/>
      </c>
      <c r="G4956" s="51"/>
      <c r="H4956" s="46" t="str">
        <f>IF(AND(I.Developer.P1=TRUE,I.Facility.P1FacilityCount&gt;=4944,F4956=""),"Incomplete","Complete")</f>
        <v>Complete</v>
      </c>
      <c r="I4956" s="48" t="s">
        <v>9321</v>
      </c>
    </row>
    <row r="4957" spans="2:9" ht="15" customHeight="1" x14ac:dyDescent="0.25">
      <c r="B4957" s="55" t="s">
        <v>279</v>
      </c>
      <c r="C4957" s="46">
        <v>4945</v>
      </c>
      <c r="D4957" s="69" t="s">
        <v>29416</v>
      </c>
      <c r="E4957" s="51"/>
      <c r="F4957" s="114" t="str">
        <f>IF(INDEX(I.Facility.P1IDNumber,4945)="","",INDEX(I.Facility.P1IDNumber,4945))</f>
        <v/>
      </c>
      <c r="G4957" s="51"/>
      <c r="H4957" s="46" t="str">
        <f>IF(AND(I.Developer.P1=TRUE,I.Facility.P1FacilityCount&gt;=4945,F4957=""),"Incomplete","Complete")</f>
        <v>Complete</v>
      </c>
      <c r="I4957" s="48" t="s">
        <v>9322</v>
      </c>
    </row>
    <row r="4958" spans="2:9" ht="15" customHeight="1" x14ac:dyDescent="0.25">
      <c r="B4958" s="55" t="s">
        <v>279</v>
      </c>
      <c r="C4958" s="46">
        <v>4946</v>
      </c>
      <c r="D4958" s="69" t="s">
        <v>29416</v>
      </c>
      <c r="E4958" s="51"/>
      <c r="F4958" s="114" t="str">
        <f>IF(INDEX(I.Facility.P1IDNumber,4946)="","",INDEX(I.Facility.P1IDNumber,4946))</f>
        <v/>
      </c>
      <c r="G4958" s="51"/>
      <c r="H4958" s="46" t="str">
        <f>IF(AND(I.Developer.P1=TRUE,I.Facility.P1FacilityCount&gt;=4946,F4958=""),"Incomplete","Complete")</f>
        <v>Complete</v>
      </c>
      <c r="I4958" s="48" t="s">
        <v>9323</v>
      </c>
    </row>
    <row r="4959" spans="2:9" ht="15" customHeight="1" x14ac:dyDescent="0.25">
      <c r="B4959" s="55" t="s">
        <v>279</v>
      </c>
      <c r="C4959" s="46">
        <v>4947</v>
      </c>
      <c r="D4959" s="69" t="s">
        <v>29416</v>
      </c>
      <c r="E4959" s="51"/>
      <c r="F4959" s="114" t="str">
        <f>IF(INDEX(I.Facility.P1IDNumber,4947)="","",INDEX(I.Facility.P1IDNumber,4947))</f>
        <v/>
      </c>
      <c r="G4959" s="51"/>
      <c r="H4959" s="46" t="str">
        <f>IF(AND(I.Developer.P1=TRUE,I.Facility.P1FacilityCount&gt;=4947,F4959=""),"Incomplete","Complete")</f>
        <v>Complete</v>
      </c>
      <c r="I4959" s="48" t="s">
        <v>9324</v>
      </c>
    </row>
    <row r="4960" spans="2:9" ht="15" customHeight="1" x14ac:dyDescent="0.25">
      <c r="B4960" s="55" t="s">
        <v>279</v>
      </c>
      <c r="C4960" s="46">
        <v>4948</v>
      </c>
      <c r="D4960" s="69" t="s">
        <v>29416</v>
      </c>
      <c r="E4960" s="51"/>
      <c r="F4960" s="114" t="str">
        <f>IF(INDEX(I.Facility.P1IDNumber,4948)="","",INDEX(I.Facility.P1IDNumber,4948))</f>
        <v/>
      </c>
      <c r="G4960" s="51"/>
      <c r="H4960" s="46" t="str">
        <f>IF(AND(I.Developer.P1=TRUE,I.Facility.P1FacilityCount&gt;=4948,F4960=""),"Incomplete","Complete")</f>
        <v>Complete</v>
      </c>
      <c r="I4960" s="48" t="s">
        <v>9325</v>
      </c>
    </row>
    <row r="4961" spans="2:9" ht="15" customHeight="1" x14ac:dyDescent="0.25">
      <c r="B4961" s="55" t="s">
        <v>279</v>
      </c>
      <c r="C4961" s="46">
        <v>4949</v>
      </c>
      <c r="D4961" s="69" t="s">
        <v>29416</v>
      </c>
      <c r="E4961" s="51"/>
      <c r="F4961" s="114" t="str">
        <f>IF(INDEX(I.Facility.P1IDNumber,4949)="","",INDEX(I.Facility.P1IDNumber,4949))</f>
        <v/>
      </c>
      <c r="G4961" s="51"/>
      <c r="H4961" s="46" t="str">
        <f>IF(AND(I.Developer.P1=TRUE,I.Facility.P1FacilityCount&gt;=4949,F4961=""),"Incomplete","Complete")</f>
        <v>Complete</v>
      </c>
      <c r="I4961" s="48" t="s">
        <v>9326</v>
      </c>
    </row>
    <row r="4962" spans="2:9" ht="15" customHeight="1" x14ac:dyDescent="0.25">
      <c r="B4962" s="55" t="s">
        <v>279</v>
      </c>
      <c r="C4962" s="46">
        <v>4950</v>
      </c>
      <c r="D4962" s="69" t="s">
        <v>29416</v>
      </c>
      <c r="E4962" s="51"/>
      <c r="F4962" s="114" t="str">
        <f>IF(INDEX(I.Facility.P1IDNumber,4950)="","",INDEX(I.Facility.P1IDNumber,4950))</f>
        <v/>
      </c>
      <c r="G4962" s="51"/>
      <c r="H4962" s="46" t="str">
        <f>IF(AND(I.Developer.P1=TRUE,I.Facility.P1FacilityCount&gt;=4950,F4962=""),"Incomplete","Complete")</f>
        <v>Complete</v>
      </c>
      <c r="I4962" s="48" t="s">
        <v>9327</v>
      </c>
    </row>
    <row r="4963" spans="2:9" ht="15" customHeight="1" x14ac:dyDescent="0.25">
      <c r="B4963" s="55" t="s">
        <v>279</v>
      </c>
      <c r="C4963" s="46">
        <v>4951</v>
      </c>
      <c r="D4963" s="69" t="s">
        <v>29416</v>
      </c>
      <c r="E4963" s="51"/>
      <c r="F4963" s="114" t="str">
        <f>IF(INDEX(I.Facility.P1IDNumber,4951)="","",INDEX(I.Facility.P1IDNumber,4951))</f>
        <v/>
      </c>
      <c r="G4963" s="51"/>
      <c r="H4963" s="46" t="str">
        <f>IF(AND(I.Developer.P1=TRUE,I.Facility.P1FacilityCount&gt;=4951,F4963=""),"Incomplete","Complete")</f>
        <v>Complete</v>
      </c>
      <c r="I4963" s="48" t="s">
        <v>9328</v>
      </c>
    </row>
    <row r="4964" spans="2:9" ht="15" customHeight="1" x14ac:dyDescent="0.25">
      <c r="B4964" s="55" t="s">
        <v>279</v>
      </c>
      <c r="C4964" s="46">
        <v>4952</v>
      </c>
      <c r="D4964" s="69" t="s">
        <v>29416</v>
      </c>
      <c r="E4964" s="51"/>
      <c r="F4964" s="114" t="str">
        <f>IF(INDEX(I.Facility.P1IDNumber,4952)="","",INDEX(I.Facility.P1IDNumber,4952))</f>
        <v/>
      </c>
      <c r="G4964" s="51"/>
      <c r="H4964" s="46" t="str">
        <f>IF(AND(I.Developer.P1=TRUE,I.Facility.P1FacilityCount&gt;=4952,F4964=""),"Incomplete","Complete")</f>
        <v>Complete</v>
      </c>
      <c r="I4964" s="48" t="s">
        <v>9329</v>
      </c>
    </row>
    <row r="4965" spans="2:9" ht="15" customHeight="1" x14ac:dyDescent="0.25">
      <c r="B4965" s="55" t="s">
        <v>279</v>
      </c>
      <c r="C4965" s="46">
        <v>4953</v>
      </c>
      <c r="D4965" s="69" t="s">
        <v>29416</v>
      </c>
      <c r="E4965" s="51"/>
      <c r="F4965" s="114" t="str">
        <f>IF(INDEX(I.Facility.P1IDNumber,4953)="","",INDEX(I.Facility.P1IDNumber,4953))</f>
        <v/>
      </c>
      <c r="G4965" s="51"/>
      <c r="H4965" s="46" t="str">
        <f>IF(AND(I.Developer.P1=TRUE,I.Facility.P1FacilityCount&gt;=4953,F4965=""),"Incomplete","Complete")</f>
        <v>Complete</v>
      </c>
      <c r="I4965" s="48" t="s">
        <v>9330</v>
      </c>
    </row>
    <row r="4966" spans="2:9" ht="15" customHeight="1" x14ac:dyDescent="0.25">
      <c r="B4966" s="55" t="s">
        <v>279</v>
      </c>
      <c r="C4966" s="46">
        <v>4954</v>
      </c>
      <c r="D4966" s="69" t="s">
        <v>29416</v>
      </c>
      <c r="E4966" s="51"/>
      <c r="F4966" s="114" t="str">
        <f>IF(INDEX(I.Facility.P1IDNumber,4954)="","",INDEX(I.Facility.P1IDNumber,4954))</f>
        <v/>
      </c>
      <c r="G4966" s="51"/>
      <c r="H4966" s="46" t="str">
        <f>IF(AND(I.Developer.P1=TRUE,I.Facility.P1FacilityCount&gt;=4954,F4966=""),"Incomplete","Complete")</f>
        <v>Complete</v>
      </c>
      <c r="I4966" s="48" t="s">
        <v>9331</v>
      </c>
    </row>
    <row r="4967" spans="2:9" ht="15" customHeight="1" x14ac:dyDescent="0.25">
      <c r="B4967" s="55" t="s">
        <v>279</v>
      </c>
      <c r="C4967" s="46">
        <v>4955</v>
      </c>
      <c r="D4967" s="69" t="s">
        <v>29416</v>
      </c>
      <c r="E4967" s="51"/>
      <c r="F4967" s="114" t="str">
        <f>IF(INDEX(I.Facility.P1IDNumber,4955)="","",INDEX(I.Facility.P1IDNumber,4955))</f>
        <v/>
      </c>
      <c r="G4967" s="51"/>
      <c r="H4967" s="46" t="str">
        <f>IF(AND(I.Developer.P1=TRUE,I.Facility.P1FacilityCount&gt;=4955,F4967=""),"Incomplete","Complete")</f>
        <v>Complete</v>
      </c>
      <c r="I4967" s="48" t="s">
        <v>9332</v>
      </c>
    </row>
    <row r="4968" spans="2:9" ht="15" customHeight="1" x14ac:dyDescent="0.25">
      <c r="B4968" s="55" t="s">
        <v>279</v>
      </c>
      <c r="C4968" s="46">
        <v>4956</v>
      </c>
      <c r="D4968" s="69" t="s">
        <v>29416</v>
      </c>
      <c r="E4968" s="51"/>
      <c r="F4968" s="114" t="str">
        <f>IF(INDEX(I.Facility.P1IDNumber,4956)="","",INDEX(I.Facility.P1IDNumber,4956))</f>
        <v/>
      </c>
      <c r="G4968" s="51"/>
      <c r="H4968" s="46" t="str">
        <f>IF(AND(I.Developer.P1=TRUE,I.Facility.P1FacilityCount&gt;=4956,F4968=""),"Incomplete","Complete")</f>
        <v>Complete</v>
      </c>
      <c r="I4968" s="48" t="s">
        <v>9333</v>
      </c>
    </row>
    <row r="4969" spans="2:9" ht="15" customHeight="1" x14ac:dyDescent="0.25">
      <c r="B4969" s="55" t="s">
        <v>279</v>
      </c>
      <c r="C4969" s="46">
        <v>4957</v>
      </c>
      <c r="D4969" s="69" t="s">
        <v>29416</v>
      </c>
      <c r="E4969" s="51"/>
      <c r="F4969" s="114" t="str">
        <f>IF(INDEX(I.Facility.P1IDNumber,4957)="","",INDEX(I.Facility.P1IDNumber,4957))</f>
        <v/>
      </c>
      <c r="G4969" s="51"/>
      <c r="H4969" s="46" t="str">
        <f>IF(AND(I.Developer.P1=TRUE,I.Facility.P1FacilityCount&gt;=4957,F4969=""),"Incomplete","Complete")</f>
        <v>Complete</v>
      </c>
      <c r="I4969" s="48" t="s">
        <v>9334</v>
      </c>
    </row>
    <row r="4970" spans="2:9" ht="15" customHeight="1" x14ac:dyDescent="0.25">
      <c r="B4970" s="55" t="s">
        <v>279</v>
      </c>
      <c r="C4970" s="46">
        <v>4958</v>
      </c>
      <c r="D4970" s="69" t="s">
        <v>29416</v>
      </c>
      <c r="E4970" s="51"/>
      <c r="F4970" s="114" t="str">
        <f>IF(INDEX(I.Facility.P1IDNumber,4958)="","",INDEX(I.Facility.P1IDNumber,4958))</f>
        <v/>
      </c>
      <c r="G4970" s="51"/>
      <c r="H4970" s="46" t="str">
        <f>IF(AND(I.Developer.P1=TRUE,I.Facility.P1FacilityCount&gt;=4958,F4970=""),"Incomplete","Complete")</f>
        <v>Complete</v>
      </c>
      <c r="I4970" s="48" t="s">
        <v>9335</v>
      </c>
    </row>
    <row r="4971" spans="2:9" ht="15" customHeight="1" x14ac:dyDescent="0.25">
      <c r="B4971" s="55" t="s">
        <v>279</v>
      </c>
      <c r="C4971" s="46">
        <v>4959</v>
      </c>
      <c r="D4971" s="69" t="s">
        <v>29416</v>
      </c>
      <c r="E4971" s="51"/>
      <c r="F4971" s="114" t="str">
        <f>IF(INDEX(I.Facility.P1IDNumber,4959)="","",INDEX(I.Facility.P1IDNumber,4959))</f>
        <v/>
      </c>
      <c r="G4971" s="51"/>
      <c r="H4971" s="46" t="str">
        <f>IF(AND(I.Developer.P1=TRUE,I.Facility.P1FacilityCount&gt;=4959,F4971=""),"Incomplete","Complete")</f>
        <v>Complete</v>
      </c>
      <c r="I4971" s="48" t="s">
        <v>9336</v>
      </c>
    </row>
    <row r="4972" spans="2:9" ht="15" customHeight="1" x14ac:dyDescent="0.25">
      <c r="B4972" s="55" t="s">
        <v>279</v>
      </c>
      <c r="C4972" s="46">
        <v>4960</v>
      </c>
      <c r="D4972" s="69" t="s">
        <v>29416</v>
      </c>
      <c r="E4972" s="51"/>
      <c r="F4972" s="114" t="str">
        <f>IF(INDEX(I.Facility.P1IDNumber,4960)="","",INDEX(I.Facility.P1IDNumber,4960))</f>
        <v/>
      </c>
      <c r="G4972" s="51"/>
      <c r="H4972" s="46" t="str">
        <f>IF(AND(I.Developer.P1=TRUE,I.Facility.P1FacilityCount&gt;=4960,F4972=""),"Incomplete","Complete")</f>
        <v>Complete</v>
      </c>
      <c r="I4972" s="48" t="s">
        <v>9337</v>
      </c>
    </row>
    <row r="4973" spans="2:9" ht="15" customHeight="1" x14ac:dyDescent="0.25">
      <c r="B4973" s="55" t="s">
        <v>279</v>
      </c>
      <c r="C4973" s="46">
        <v>4961</v>
      </c>
      <c r="D4973" s="69" t="s">
        <v>29416</v>
      </c>
      <c r="E4973" s="51"/>
      <c r="F4973" s="114" t="str">
        <f>IF(INDEX(I.Facility.P1IDNumber,4961)="","",INDEX(I.Facility.P1IDNumber,4961))</f>
        <v/>
      </c>
      <c r="G4973" s="51"/>
      <c r="H4973" s="46" t="str">
        <f>IF(AND(I.Developer.P1=TRUE,I.Facility.P1FacilityCount&gt;=4961,F4973=""),"Incomplete","Complete")</f>
        <v>Complete</v>
      </c>
      <c r="I4973" s="48" t="s">
        <v>9338</v>
      </c>
    </row>
    <row r="4974" spans="2:9" ht="15" customHeight="1" x14ac:dyDescent="0.25">
      <c r="B4974" s="55" t="s">
        <v>279</v>
      </c>
      <c r="C4974" s="46">
        <v>4962</v>
      </c>
      <c r="D4974" s="69" t="s">
        <v>29416</v>
      </c>
      <c r="E4974" s="51"/>
      <c r="F4974" s="114" t="str">
        <f>IF(INDEX(I.Facility.P1IDNumber,4962)="","",INDEX(I.Facility.P1IDNumber,4962))</f>
        <v/>
      </c>
      <c r="G4974" s="51"/>
      <c r="H4974" s="46" t="str">
        <f>IF(AND(I.Developer.P1=TRUE,I.Facility.P1FacilityCount&gt;=4962,F4974=""),"Incomplete","Complete")</f>
        <v>Complete</v>
      </c>
      <c r="I4974" s="48" t="s">
        <v>9339</v>
      </c>
    </row>
    <row r="4975" spans="2:9" ht="15" customHeight="1" x14ac:dyDescent="0.25">
      <c r="B4975" s="55" t="s">
        <v>279</v>
      </c>
      <c r="C4975" s="46">
        <v>4963</v>
      </c>
      <c r="D4975" s="69" t="s">
        <v>29416</v>
      </c>
      <c r="E4975" s="51"/>
      <c r="F4975" s="114" t="str">
        <f>IF(INDEX(I.Facility.P1IDNumber,4963)="","",INDEX(I.Facility.P1IDNumber,4963))</f>
        <v/>
      </c>
      <c r="G4975" s="51"/>
      <c r="H4975" s="46" t="str">
        <f>IF(AND(I.Developer.P1=TRUE,I.Facility.P1FacilityCount&gt;=4963,F4975=""),"Incomplete","Complete")</f>
        <v>Complete</v>
      </c>
      <c r="I4975" s="48" t="s">
        <v>9340</v>
      </c>
    </row>
    <row r="4976" spans="2:9" ht="15" customHeight="1" x14ac:dyDescent="0.25">
      <c r="B4976" s="55" t="s">
        <v>279</v>
      </c>
      <c r="C4976" s="46">
        <v>4964</v>
      </c>
      <c r="D4976" s="69" t="s">
        <v>29416</v>
      </c>
      <c r="E4976" s="51"/>
      <c r="F4976" s="114" t="str">
        <f>IF(INDEX(I.Facility.P1IDNumber,4964)="","",INDEX(I.Facility.P1IDNumber,4964))</f>
        <v/>
      </c>
      <c r="G4976" s="51"/>
      <c r="H4976" s="46" t="str">
        <f>IF(AND(I.Developer.P1=TRUE,I.Facility.P1FacilityCount&gt;=4964,F4976=""),"Incomplete","Complete")</f>
        <v>Complete</v>
      </c>
      <c r="I4976" s="48" t="s">
        <v>9341</v>
      </c>
    </row>
    <row r="4977" spans="2:9" ht="15" customHeight="1" x14ac:dyDescent="0.25">
      <c r="B4977" s="55" t="s">
        <v>279</v>
      </c>
      <c r="C4977" s="46">
        <v>4965</v>
      </c>
      <c r="D4977" s="69" t="s">
        <v>29416</v>
      </c>
      <c r="E4977" s="51"/>
      <c r="F4977" s="114" t="str">
        <f>IF(INDEX(I.Facility.P1IDNumber,4965)="","",INDEX(I.Facility.P1IDNumber,4965))</f>
        <v/>
      </c>
      <c r="G4977" s="51"/>
      <c r="H4977" s="46" t="str">
        <f>IF(AND(I.Developer.P1=TRUE,I.Facility.P1FacilityCount&gt;=4965,F4977=""),"Incomplete","Complete")</f>
        <v>Complete</v>
      </c>
      <c r="I4977" s="48" t="s">
        <v>9342</v>
      </c>
    </row>
    <row r="4978" spans="2:9" ht="15" customHeight="1" x14ac:dyDescent="0.25">
      <c r="B4978" s="55" t="s">
        <v>279</v>
      </c>
      <c r="C4978" s="46">
        <v>4966</v>
      </c>
      <c r="D4978" s="69" t="s">
        <v>29416</v>
      </c>
      <c r="E4978" s="51"/>
      <c r="F4978" s="114" t="str">
        <f>IF(INDEX(I.Facility.P1IDNumber,4966)="","",INDEX(I.Facility.P1IDNumber,4966))</f>
        <v/>
      </c>
      <c r="G4978" s="51"/>
      <c r="H4978" s="46" t="str">
        <f>IF(AND(I.Developer.P1=TRUE,I.Facility.P1FacilityCount&gt;=4966,F4978=""),"Incomplete","Complete")</f>
        <v>Complete</v>
      </c>
      <c r="I4978" s="48" t="s">
        <v>9343</v>
      </c>
    </row>
    <row r="4979" spans="2:9" ht="15" customHeight="1" x14ac:dyDescent="0.25">
      <c r="B4979" s="55" t="s">
        <v>279</v>
      </c>
      <c r="C4979" s="46">
        <v>4967</v>
      </c>
      <c r="D4979" s="69" t="s">
        <v>29416</v>
      </c>
      <c r="E4979" s="51"/>
      <c r="F4979" s="114" t="str">
        <f>IF(INDEX(I.Facility.P1IDNumber,4967)="","",INDEX(I.Facility.P1IDNumber,4967))</f>
        <v/>
      </c>
      <c r="G4979" s="51"/>
      <c r="H4979" s="46" t="str">
        <f>IF(AND(I.Developer.P1=TRUE,I.Facility.P1FacilityCount&gt;=4967,F4979=""),"Incomplete","Complete")</f>
        <v>Complete</v>
      </c>
      <c r="I4979" s="48" t="s">
        <v>9344</v>
      </c>
    </row>
    <row r="4980" spans="2:9" ht="15" customHeight="1" x14ac:dyDescent="0.25">
      <c r="B4980" s="55" t="s">
        <v>279</v>
      </c>
      <c r="C4980" s="46">
        <v>4968</v>
      </c>
      <c r="D4980" s="69" t="s">
        <v>29416</v>
      </c>
      <c r="E4980" s="51"/>
      <c r="F4980" s="114" t="str">
        <f>IF(INDEX(I.Facility.P1IDNumber,4968)="","",INDEX(I.Facility.P1IDNumber,4968))</f>
        <v/>
      </c>
      <c r="G4980" s="51"/>
      <c r="H4980" s="46" t="str">
        <f>IF(AND(I.Developer.P1=TRUE,I.Facility.P1FacilityCount&gt;=4968,F4980=""),"Incomplete","Complete")</f>
        <v>Complete</v>
      </c>
      <c r="I4980" s="48" t="s">
        <v>9345</v>
      </c>
    </row>
    <row r="4981" spans="2:9" ht="15" customHeight="1" x14ac:dyDescent="0.25">
      <c r="B4981" s="55" t="s">
        <v>279</v>
      </c>
      <c r="C4981" s="46">
        <v>4969</v>
      </c>
      <c r="D4981" s="69" t="s">
        <v>29416</v>
      </c>
      <c r="E4981" s="51"/>
      <c r="F4981" s="114" t="str">
        <f>IF(INDEX(I.Facility.P1IDNumber,4969)="","",INDEX(I.Facility.P1IDNumber,4969))</f>
        <v/>
      </c>
      <c r="G4981" s="51"/>
      <c r="H4981" s="46" t="str">
        <f>IF(AND(I.Developer.P1=TRUE,I.Facility.P1FacilityCount&gt;=4969,F4981=""),"Incomplete","Complete")</f>
        <v>Complete</v>
      </c>
      <c r="I4981" s="48" t="s">
        <v>9346</v>
      </c>
    </row>
    <row r="4982" spans="2:9" ht="15" customHeight="1" x14ac:dyDescent="0.25">
      <c r="B4982" s="55" t="s">
        <v>279</v>
      </c>
      <c r="C4982" s="46">
        <v>4970</v>
      </c>
      <c r="D4982" s="69" t="s">
        <v>29416</v>
      </c>
      <c r="E4982" s="51"/>
      <c r="F4982" s="114" t="str">
        <f>IF(INDEX(I.Facility.P1IDNumber,4970)="","",INDEX(I.Facility.P1IDNumber,4970))</f>
        <v/>
      </c>
      <c r="G4982" s="51"/>
      <c r="H4982" s="46" t="str">
        <f>IF(AND(I.Developer.P1=TRUE,I.Facility.P1FacilityCount&gt;=4970,F4982=""),"Incomplete","Complete")</f>
        <v>Complete</v>
      </c>
      <c r="I4982" s="48" t="s">
        <v>9347</v>
      </c>
    </row>
    <row r="4983" spans="2:9" ht="15" customHeight="1" x14ac:dyDescent="0.25">
      <c r="B4983" s="55" t="s">
        <v>279</v>
      </c>
      <c r="C4983" s="46">
        <v>4971</v>
      </c>
      <c r="D4983" s="69" t="s">
        <v>29416</v>
      </c>
      <c r="E4983" s="51"/>
      <c r="F4983" s="114" t="str">
        <f>IF(INDEX(I.Facility.P1IDNumber,4971)="","",INDEX(I.Facility.P1IDNumber,4971))</f>
        <v/>
      </c>
      <c r="G4983" s="51"/>
      <c r="H4983" s="46" t="str">
        <f>IF(AND(I.Developer.P1=TRUE,I.Facility.P1FacilityCount&gt;=4971,F4983=""),"Incomplete","Complete")</f>
        <v>Complete</v>
      </c>
      <c r="I4983" s="48" t="s">
        <v>9348</v>
      </c>
    </row>
    <row r="4984" spans="2:9" ht="15" customHeight="1" x14ac:dyDescent="0.25">
      <c r="B4984" s="55" t="s">
        <v>279</v>
      </c>
      <c r="C4984" s="46">
        <v>4972</v>
      </c>
      <c r="D4984" s="69" t="s">
        <v>29416</v>
      </c>
      <c r="E4984" s="51"/>
      <c r="F4984" s="114" t="str">
        <f>IF(INDEX(I.Facility.P1IDNumber,4972)="","",INDEX(I.Facility.P1IDNumber,4972))</f>
        <v/>
      </c>
      <c r="G4984" s="51"/>
      <c r="H4984" s="46" t="str">
        <f>IF(AND(I.Developer.P1=TRUE,I.Facility.P1FacilityCount&gt;=4972,F4984=""),"Incomplete","Complete")</f>
        <v>Complete</v>
      </c>
      <c r="I4984" s="48" t="s">
        <v>9349</v>
      </c>
    </row>
    <row r="4985" spans="2:9" ht="15" customHeight="1" x14ac:dyDescent="0.25">
      <c r="B4985" s="55" t="s">
        <v>279</v>
      </c>
      <c r="C4985" s="46">
        <v>4973</v>
      </c>
      <c r="D4985" s="69" t="s">
        <v>29416</v>
      </c>
      <c r="E4985" s="51"/>
      <c r="F4985" s="114" t="str">
        <f>IF(INDEX(I.Facility.P1IDNumber,4973)="","",INDEX(I.Facility.P1IDNumber,4973))</f>
        <v/>
      </c>
      <c r="G4985" s="51"/>
      <c r="H4985" s="46" t="str">
        <f>IF(AND(I.Developer.P1=TRUE,I.Facility.P1FacilityCount&gt;=4973,F4985=""),"Incomplete","Complete")</f>
        <v>Complete</v>
      </c>
      <c r="I4985" s="48" t="s">
        <v>9350</v>
      </c>
    </row>
    <row r="4986" spans="2:9" ht="15" customHeight="1" x14ac:dyDescent="0.25">
      <c r="B4986" s="55" t="s">
        <v>279</v>
      </c>
      <c r="C4986" s="46">
        <v>4974</v>
      </c>
      <c r="D4986" s="69" t="s">
        <v>29416</v>
      </c>
      <c r="E4986" s="51"/>
      <c r="F4986" s="114" t="str">
        <f>IF(INDEX(I.Facility.P1IDNumber,4974)="","",INDEX(I.Facility.P1IDNumber,4974))</f>
        <v/>
      </c>
      <c r="G4986" s="51"/>
      <c r="H4986" s="46" t="str">
        <f>IF(AND(I.Developer.P1=TRUE,I.Facility.P1FacilityCount&gt;=4974,F4986=""),"Incomplete","Complete")</f>
        <v>Complete</v>
      </c>
      <c r="I4986" s="48" t="s">
        <v>9351</v>
      </c>
    </row>
    <row r="4987" spans="2:9" ht="15" customHeight="1" x14ac:dyDescent="0.25">
      <c r="B4987" s="55" t="s">
        <v>279</v>
      </c>
      <c r="C4987" s="46">
        <v>4975</v>
      </c>
      <c r="D4987" s="69" t="s">
        <v>29416</v>
      </c>
      <c r="E4987" s="51"/>
      <c r="F4987" s="114" t="str">
        <f>IF(INDEX(I.Facility.P1IDNumber,4975)="","",INDEX(I.Facility.P1IDNumber,4975))</f>
        <v/>
      </c>
      <c r="G4987" s="51"/>
      <c r="H4987" s="46" t="str">
        <f>IF(AND(I.Developer.P1=TRUE,I.Facility.P1FacilityCount&gt;=4975,F4987=""),"Incomplete","Complete")</f>
        <v>Complete</v>
      </c>
      <c r="I4987" s="48" t="s">
        <v>9352</v>
      </c>
    </row>
    <row r="4988" spans="2:9" ht="15" customHeight="1" x14ac:dyDescent="0.25">
      <c r="B4988" s="55" t="s">
        <v>279</v>
      </c>
      <c r="C4988" s="46">
        <v>4976</v>
      </c>
      <c r="D4988" s="69" t="s">
        <v>29416</v>
      </c>
      <c r="E4988" s="51"/>
      <c r="F4988" s="114" t="str">
        <f>IF(INDEX(I.Facility.P1IDNumber,4976)="","",INDEX(I.Facility.P1IDNumber,4976))</f>
        <v/>
      </c>
      <c r="G4988" s="51"/>
      <c r="H4988" s="46" t="str">
        <f>IF(AND(I.Developer.P1=TRUE,I.Facility.P1FacilityCount&gt;=4976,F4988=""),"Incomplete","Complete")</f>
        <v>Complete</v>
      </c>
      <c r="I4988" s="48" t="s">
        <v>9353</v>
      </c>
    </row>
    <row r="4989" spans="2:9" ht="15" customHeight="1" x14ac:dyDescent="0.25">
      <c r="B4989" s="55" t="s">
        <v>279</v>
      </c>
      <c r="C4989" s="46">
        <v>4977</v>
      </c>
      <c r="D4989" s="69" t="s">
        <v>29416</v>
      </c>
      <c r="E4989" s="51"/>
      <c r="F4989" s="114" t="str">
        <f>IF(INDEX(I.Facility.P1IDNumber,4977)="","",INDEX(I.Facility.P1IDNumber,4977))</f>
        <v/>
      </c>
      <c r="G4989" s="51"/>
      <c r="H4989" s="46" t="str">
        <f>IF(AND(I.Developer.P1=TRUE,I.Facility.P1FacilityCount&gt;=4977,F4989=""),"Incomplete","Complete")</f>
        <v>Complete</v>
      </c>
      <c r="I4989" s="48" t="s">
        <v>9354</v>
      </c>
    </row>
    <row r="4990" spans="2:9" ht="15" customHeight="1" x14ac:dyDescent="0.25">
      <c r="B4990" s="55" t="s">
        <v>279</v>
      </c>
      <c r="C4990" s="46">
        <v>4978</v>
      </c>
      <c r="D4990" s="69" t="s">
        <v>29416</v>
      </c>
      <c r="E4990" s="51"/>
      <c r="F4990" s="114" t="str">
        <f>IF(INDEX(I.Facility.P1IDNumber,4978)="","",INDEX(I.Facility.P1IDNumber,4978))</f>
        <v/>
      </c>
      <c r="G4990" s="51"/>
      <c r="H4990" s="46" t="str">
        <f>IF(AND(I.Developer.P1=TRUE,I.Facility.P1FacilityCount&gt;=4978,F4990=""),"Incomplete","Complete")</f>
        <v>Complete</v>
      </c>
      <c r="I4990" s="48" t="s">
        <v>9355</v>
      </c>
    </row>
    <row r="4991" spans="2:9" ht="15" customHeight="1" x14ac:dyDescent="0.25">
      <c r="B4991" s="55" t="s">
        <v>279</v>
      </c>
      <c r="C4991" s="46">
        <v>4979</v>
      </c>
      <c r="D4991" s="69" t="s">
        <v>29416</v>
      </c>
      <c r="E4991" s="51"/>
      <c r="F4991" s="114" t="str">
        <f>IF(INDEX(I.Facility.P1IDNumber,4979)="","",INDEX(I.Facility.P1IDNumber,4979))</f>
        <v/>
      </c>
      <c r="G4991" s="51"/>
      <c r="H4991" s="46" t="str">
        <f>IF(AND(I.Developer.P1=TRUE,I.Facility.P1FacilityCount&gt;=4979,F4991=""),"Incomplete","Complete")</f>
        <v>Complete</v>
      </c>
      <c r="I4991" s="48" t="s">
        <v>9356</v>
      </c>
    </row>
    <row r="4992" spans="2:9" ht="15" customHeight="1" x14ac:dyDescent="0.25">
      <c r="B4992" s="55" t="s">
        <v>279</v>
      </c>
      <c r="C4992" s="46">
        <v>4980</v>
      </c>
      <c r="D4992" s="69" t="s">
        <v>29416</v>
      </c>
      <c r="E4992" s="51"/>
      <c r="F4992" s="114" t="str">
        <f>IF(INDEX(I.Facility.P1IDNumber,4980)="","",INDEX(I.Facility.P1IDNumber,4980))</f>
        <v/>
      </c>
      <c r="G4992" s="51"/>
      <c r="H4992" s="46" t="str">
        <f>IF(AND(I.Developer.P1=TRUE,I.Facility.P1FacilityCount&gt;=4980,F4992=""),"Incomplete","Complete")</f>
        <v>Complete</v>
      </c>
      <c r="I4992" s="48" t="s">
        <v>9357</v>
      </c>
    </row>
    <row r="4993" spans="2:9" ht="15" customHeight="1" x14ac:dyDescent="0.25">
      <c r="B4993" s="55" t="s">
        <v>279</v>
      </c>
      <c r="C4993" s="46">
        <v>4981</v>
      </c>
      <c r="D4993" s="69" t="s">
        <v>29416</v>
      </c>
      <c r="E4993" s="51"/>
      <c r="F4993" s="114" t="str">
        <f>IF(INDEX(I.Facility.P1IDNumber,4981)="","",INDEX(I.Facility.P1IDNumber,4981))</f>
        <v/>
      </c>
      <c r="G4993" s="51"/>
      <c r="H4993" s="46" t="str">
        <f>IF(AND(I.Developer.P1=TRUE,I.Facility.P1FacilityCount&gt;=4981,F4993=""),"Incomplete","Complete")</f>
        <v>Complete</v>
      </c>
      <c r="I4993" s="48" t="s">
        <v>9358</v>
      </c>
    </row>
    <row r="4994" spans="2:9" ht="15" customHeight="1" x14ac:dyDescent="0.25">
      <c r="B4994" s="55" t="s">
        <v>279</v>
      </c>
      <c r="C4994" s="46">
        <v>4982</v>
      </c>
      <c r="D4994" s="69" t="s">
        <v>29416</v>
      </c>
      <c r="E4994" s="51"/>
      <c r="F4994" s="114" t="str">
        <f>IF(INDEX(I.Facility.P1IDNumber,4982)="","",INDEX(I.Facility.P1IDNumber,4982))</f>
        <v/>
      </c>
      <c r="G4994" s="51"/>
      <c r="H4994" s="46" t="str">
        <f>IF(AND(I.Developer.P1=TRUE,I.Facility.P1FacilityCount&gt;=4982,F4994=""),"Incomplete","Complete")</f>
        <v>Complete</v>
      </c>
      <c r="I4994" s="48" t="s">
        <v>9359</v>
      </c>
    </row>
    <row r="4995" spans="2:9" ht="15" customHeight="1" x14ac:dyDescent="0.25">
      <c r="B4995" s="55" t="s">
        <v>279</v>
      </c>
      <c r="C4995" s="46">
        <v>4983</v>
      </c>
      <c r="D4995" s="69" t="s">
        <v>29416</v>
      </c>
      <c r="E4995" s="51"/>
      <c r="F4995" s="114" t="str">
        <f>IF(INDEX(I.Facility.P1IDNumber,4983)="","",INDEX(I.Facility.P1IDNumber,4983))</f>
        <v/>
      </c>
      <c r="G4995" s="51"/>
      <c r="H4995" s="46" t="str">
        <f>IF(AND(I.Developer.P1=TRUE,I.Facility.P1FacilityCount&gt;=4983,F4995=""),"Incomplete","Complete")</f>
        <v>Complete</v>
      </c>
      <c r="I4995" s="48" t="s">
        <v>9360</v>
      </c>
    </row>
    <row r="4996" spans="2:9" ht="15" customHeight="1" x14ac:dyDescent="0.25">
      <c r="B4996" s="55" t="s">
        <v>279</v>
      </c>
      <c r="C4996" s="46">
        <v>4984</v>
      </c>
      <c r="D4996" s="69" t="s">
        <v>29416</v>
      </c>
      <c r="E4996" s="51"/>
      <c r="F4996" s="114" t="str">
        <f>IF(INDEX(I.Facility.P1IDNumber,4984)="","",INDEX(I.Facility.P1IDNumber,4984))</f>
        <v/>
      </c>
      <c r="G4996" s="51"/>
      <c r="H4996" s="46" t="str">
        <f>IF(AND(I.Developer.P1=TRUE,I.Facility.P1FacilityCount&gt;=4984,F4996=""),"Incomplete","Complete")</f>
        <v>Complete</v>
      </c>
      <c r="I4996" s="48" t="s">
        <v>9361</v>
      </c>
    </row>
    <row r="4997" spans="2:9" ht="15" customHeight="1" x14ac:dyDescent="0.25">
      <c r="B4997" s="55" t="s">
        <v>279</v>
      </c>
      <c r="C4997" s="46">
        <v>4985</v>
      </c>
      <c r="D4997" s="69" t="s">
        <v>29416</v>
      </c>
      <c r="E4997" s="51"/>
      <c r="F4997" s="114" t="str">
        <f>IF(INDEX(I.Facility.P1IDNumber,4985)="","",INDEX(I.Facility.P1IDNumber,4985))</f>
        <v/>
      </c>
      <c r="G4997" s="51"/>
      <c r="H4997" s="46" t="str">
        <f>IF(AND(I.Developer.P1=TRUE,I.Facility.P1FacilityCount&gt;=4985,F4997=""),"Incomplete","Complete")</f>
        <v>Complete</v>
      </c>
      <c r="I4997" s="48" t="s">
        <v>9362</v>
      </c>
    </row>
    <row r="4998" spans="2:9" ht="15" customHeight="1" x14ac:dyDescent="0.25">
      <c r="B4998" s="55" t="s">
        <v>279</v>
      </c>
      <c r="C4998" s="46">
        <v>4986</v>
      </c>
      <c r="D4998" s="69" t="s">
        <v>29416</v>
      </c>
      <c r="E4998" s="51"/>
      <c r="F4998" s="114" t="str">
        <f>IF(INDEX(I.Facility.P1IDNumber,4986)="","",INDEX(I.Facility.P1IDNumber,4986))</f>
        <v/>
      </c>
      <c r="G4998" s="51"/>
      <c r="H4998" s="46" t="str">
        <f>IF(AND(I.Developer.P1=TRUE,I.Facility.P1FacilityCount&gt;=4986,F4998=""),"Incomplete","Complete")</f>
        <v>Complete</v>
      </c>
      <c r="I4998" s="48" t="s">
        <v>9363</v>
      </c>
    </row>
    <row r="4999" spans="2:9" ht="15" customHeight="1" x14ac:dyDescent="0.25">
      <c r="B4999" s="55" t="s">
        <v>279</v>
      </c>
      <c r="C4999" s="46">
        <v>4987</v>
      </c>
      <c r="D4999" s="69" t="s">
        <v>29416</v>
      </c>
      <c r="E4999" s="51"/>
      <c r="F4999" s="114" t="str">
        <f>IF(INDEX(I.Facility.P1IDNumber,4987)="","",INDEX(I.Facility.P1IDNumber,4987))</f>
        <v/>
      </c>
      <c r="G4999" s="51"/>
      <c r="H4999" s="46" t="str">
        <f>IF(AND(I.Developer.P1=TRUE,I.Facility.P1FacilityCount&gt;=4987,F4999=""),"Incomplete","Complete")</f>
        <v>Complete</v>
      </c>
      <c r="I4999" s="48" t="s">
        <v>9364</v>
      </c>
    </row>
    <row r="5000" spans="2:9" ht="15" customHeight="1" x14ac:dyDescent="0.25">
      <c r="B5000" s="55" t="s">
        <v>279</v>
      </c>
      <c r="C5000" s="46">
        <v>4988</v>
      </c>
      <c r="D5000" s="69" t="s">
        <v>29416</v>
      </c>
      <c r="E5000" s="51"/>
      <c r="F5000" s="114" t="str">
        <f>IF(INDEX(I.Facility.P1IDNumber,4988)="","",INDEX(I.Facility.P1IDNumber,4988))</f>
        <v/>
      </c>
      <c r="G5000" s="51"/>
      <c r="H5000" s="46" t="str">
        <f>IF(AND(I.Developer.P1=TRUE,I.Facility.P1FacilityCount&gt;=4988,F5000=""),"Incomplete","Complete")</f>
        <v>Complete</v>
      </c>
      <c r="I5000" s="48" t="s">
        <v>9365</v>
      </c>
    </row>
    <row r="5001" spans="2:9" ht="15" customHeight="1" x14ac:dyDescent="0.25">
      <c r="B5001" s="55" t="s">
        <v>279</v>
      </c>
      <c r="C5001" s="46">
        <v>4989</v>
      </c>
      <c r="D5001" s="69" t="s">
        <v>29416</v>
      </c>
      <c r="E5001" s="51"/>
      <c r="F5001" s="114" t="str">
        <f>IF(INDEX(I.Facility.P1IDNumber,4989)="","",INDEX(I.Facility.P1IDNumber,4989))</f>
        <v/>
      </c>
      <c r="G5001" s="51"/>
      <c r="H5001" s="46" t="str">
        <f>IF(AND(I.Developer.P1=TRUE,I.Facility.P1FacilityCount&gt;=4989,F5001=""),"Incomplete","Complete")</f>
        <v>Complete</v>
      </c>
      <c r="I5001" s="48" t="s">
        <v>9366</v>
      </c>
    </row>
    <row r="5002" spans="2:9" ht="15" customHeight="1" x14ac:dyDescent="0.25">
      <c r="B5002" s="55" t="s">
        <v>279</v>
      </c>
      <c r="C5002" s="46">
        <v>4990</v>
      </c>
      <c r="D5002" s="69" t="s">
        <v>29416</v>
      </c>
      <c r="E5002" s="51"/>
      <c r="F5002" s="114" t="str">
        <f>IF(INDEX(I.Facility.P1IDNumber,4990)="","",INDEX(I.Facility.P1IDNumber,4990))</f>
        <v/>
      </c>
      <c r="G5002" s="51"/>
      <c r="H5002" s="46" t="str">
        <f>IF(AND(I.Developer.P1=TRUE,I.Facility.P1FacilityCount&gt;=4990,F5002=""),"Incomplete","Complete")</f>
        <v>Complete</v>
      </c>
      <c r="I5002" s="48" t="s">
        <v>9367</v>
      </c>
    </row>
    <row r="5003" spans="2:9" ht="15" customHeight="1" x14ac:dyDescent="0.25">
      <c r="B5003" s="55" t="s">
        <v>279</v>
      </c>
      <c r="C5003" s="46">
        <v>4991</v>
      </c>
      <c r="D5003" s="69" t="s">
        <v>29416</v>
      </c>
      <c r="E5003" s="51"/>
      <c r="F5003" s="114" t="str">
        <f>IF(INDEX(I.Facility.P1IDNumber,4991)="","",INDEX(I.Facility.P1IDNumber,4991))</f>
        <v/>
      </c>
      <c r="G5003" s="51"/>
      <c r="H5003" s="46" t="str">
        <f>IF(AND(I.Developer.P1=TRUE,I.Facility.P1FacilityCount&gt;=4991,F5003=""),"Incomplete","Complete")</f>
        <v>Complete</v>
      </c>
      <c r="I5003" s="48" t="s">
        <v>9368</v>
      </c>
    </row>
    <row r="5004" spans="2:9" ht="15" customHeight="1" x14ac:dyDescent="0.25">
      <c r="B5004" s="55" t="s">
        <v>279</v>
      </c>
      <c r="C5004" s="46">
        <v>4992</v>
      </c>
      <c r="D5004" s="69" t="s">
        <v>29416</v>
      </c>
      <c r="E5004" s="51"/>
      <c r="F5004" s="114" t="str">
        <f>IF(INDEX(I.Facility.P1IDNumber,4992)="","",INDEX(I.Facility.P1IDNumber,4992))</f>
        <v/>
      </c>
      <c r="G5004" s="51"/>
      <c r="H5004" s="46" t="str">
        <f>IF(AND(I.Developer.P1=TRUE,I.Facility.P1FacilityCount&gt;=4992,F5004=""),"Incomplete","Complete")</f>
        <v>Complete</v>
      </c>
      <c r="I5004" s="48" t="s">
        <v>9369</v>
      </c>
    </row>
    <row r="5005" spans="2:9" ht="15" customHeight="1" x14ac:dyDescent="0.25">
      <c r="B5005" s="55" t="s">
        <v>279</v>
      </c>
      <c r="C5005" s="46">
        <v>4993</v>
      </c>
      <c r="D5005" s="69" t="s">
        <v>29416</v>
      </c>
      <c r="E5005" s="51"/>
      <c r="F5005" s="114" t="str">
        <f>IF(INDEX(I.Facility.P1IDNumber,4993)="","",INDEX(I.Facility.P1IDNumber,4993))</f>
        <v/>
      </c>
      <c r="G5005" s="51"/>
      <c r="H5005" s="46" t="str">
        <f>IF(AND(I.Developer.P1=TRUE,I.Facility.P1FacilityCount&gt;=4993,F5005=""),"Incomplete","Complete")</f>
        <v>Complete</v>
      </c>
      <c r="I5005" s="48" t="s">
        <v>9370</v>
      </c>
    </row>
    <row r="5006" spans="2:9" ht="15" customHeight="1" x14ac:dyDescent="0.25">
      <c r="B5006" s="55" t="s">
        <v>279</v>
      </c>
      <c r="C5006" s="46">
        <v>4994</v>
      </c>
      <c r="D5006" s="69" t="s">
        <v>29416</v>
      </c>
      <c r="E5006" s="51"/>
      <c r="F5006" s="114" t="str">
        <f>IF(INDEX(I.Facility.P1IDNumber,4994)="","",INDEX(I.Facility.P1IDNumber,4994))</f>
        <v/>
      </c>
      <c r="G5006" s="51"/>
      <c r="H5006" s="46" t="str">
        <f>IF(AND(I.Developer.P1=TRUE,I.Facility.P1FacilityCount&gt;=4994,F5006=""),"Incomplete","Complete")</f>
        <v>Complete</v>
      </c>
      <c r="I5006" s="48" t="s">
        <v>9371</v>
      </c>
    </row>
    <row r="5007" spans="2:9" ht="15" customHeight="1" x14ac:dyDescent="0.25">
      <c r="B5007" s="55" t="s">
        <v>279</v>
      </c>
      <c r="C5007" s="46">
        <v>4995</v>
      </c>
      <c r="D5007" s="69" t="s">
        <v>29416</v>
      </c>
      <c r="E5007" s="51"/>
      <c r="F5007" s="114" t="str">
        <f>IF(INDEX(I.Facility.P1IDNumber,4995)="","",INDEX(I.Facility.P1IDNumber,4995))</f>
        <v/>
      </c>
      <c r="G5007" s="51"/>
      <c r="H5007" s="46" t="str">
        <f>IF(AND(I.Developer.P1=TRUE,I.Facility.P1FacilityCount&gt;=4995,F5007=""),"Incomplete","Complete")</f>
        <v>Complete</v>
      </c>
      <c r="I5007" s="48" t="s">
        <v>9372</v>
      </c>
    </row>
    <row r="5008" spans="2:9" ht="15" customHeight="1" x14ac:dyDescent="0.25">
      <c r="B5008" s="55" t="s">
        <v>279</v>
      </c>
      <c r="C5008" s="46">
        <v>4996</v>
      </c>
      <c r="D5008" s="69" t="s">
        <v>29416</v>
      </c>
      <c r="E5008" s="51"/>
      <c r="F5008" s="114" t="str">
        <f>IF(INDEX(I.Facility.P1IDNumber,4996)="","",INDEX(I.Facility.P1IDNumber,4996))</f>
        <v/>
      </c>
      <c r="G5008" s="51"/>
      <c r="H5008" s="46" t="str">
        <f>IF(AND(I.Developer.P1=TRUE,I.Facility.P1FacilityCount&gt;=4996,F5008=""),"Incomplete","Complete")</f>
        <v>Complete</v>
      </c>
      <c r="I5008" s="48" t="s">
        <v>9373</v>
      </c>
    </row>
    <row r="5009" spans="2:9" ht="15" customHeight="1" x14ac:dyDescent="0.25">
      <c r="B5009" s="55" t="s">
        <v>279</v>
      </c>
      <c r="C5009" s="46">
        <v>4997</v>
      </c>
      <c r="D5009" s="69" t="s">
        <v>29416</v>
      </c>
      <c r="E5009" s="51"/>
      <c r="F5009" s="114" t="str">
        <f>IF(INDEX(I.Facility.P1IDNumber,4997)="","",INDEX(I.Facility.P1IDNumber,4997))</f>
        <v/>
      </c>
      <c r="G5009" s="51"/>
      <c r="H5009" s="46" t="str">
        <f>IF(AND(I.Developer.P1=TRUE,I.Facility.P1FacilityCount&gt;=4997,F5009=""),"Incomplete","Complete")</f>
        <v>Complete</v>
      </c>
      <c r="I5009" s="48" t="s">
        <v>9374</v>
      </c>
    </row>
    <row r="5010" spans="2:9" ht="15" customHeight="1" x14ac:dyDescent="0.25">
      <c r="B5010" s="55" t="s">
        <v>279</v>
      </c>
      <c r="C5010" s="46">
        <v>4998</v>
      </c>
      <c r="D5010" s="69" t="s">
        <v>29416</v>
      </c>
      <c r="E5010" s="51"/>
      <c r="F5010" s="114" t="str">
        <f>IF(INDEX(I.Facility.P1IDNumber,4998)="","",INDEX(I.Facility.P1IDNumber,4998))</f>
        <v/>
      </c>
      <c r="G5010" s="51"/>
      <c r="H5010" s="46" t="str">
        <f>IF(AND(I.Developer.P1=TRUE,I.Facility.P1FacilityCount&gt;=4998,F5010=""),"Incomplete","Complete")</f>
        <v>Complete</v>
      </c>
      <c r="I5010" s="48" t="s">
        <v>9375</v>
      </c>
    </row>
    <row r="5011" spans="2:9" ht="15" customHeight="1" x14ac:dyDescent="0.25">
      <c r="B5011" s="55" t="s">
        <v>279</v>
      </c>
      <c r="C5011" s="46">
        <v>4999</v>
      </c>
      <c r="D5011" s="69" t="s">
        <v>29416</v>
      </c>
      <c r="E5011" s="51"/>
      <c r="F5011" s="114" t="str">
        <f>IF(INDEX(I.Facility.P1IDNumber,4999)="","",INDEX(I.Facility.P1IDNumber,4999))</f>
        <v/>
      </c>
      <c r="G5011" s="51"/>
      <c r="H5011" s="46" t="str">
        <f>IF(AND(I.Developer.P1=TRUE,I.Facility.P1FacilityCount&gt;=4999,F5011=""),"Incomplete","Complete")</f>
        <v>Complete</v>
      </c>
      <c r="I5011" s="48" t="s">
        <v>9376</v>
      </c>
    </row>
    <row r="5012" spans="2:9" ht="15" customHeight="1" x14ac:dyDescent="0.25">
      <c r="B5012" s="56" t="s">
        <v>279</v>
      </c>
      <c r="C5012" s="57">
        <v>5000</v>
      </c>
      <c r="D5012" s="71" t="s">
        <v>29416</v>
      </c>
      <c r="E5012" s="58"/>
      <c r="F5012" s="115" t="str">
        <f>IF(INDEX(I.Facility.P1IDNumber,5000)="","",INDEX(I.Facility.P1IDNumber,5000))</f>
        <v/>
      </c>
      <c r="G5012" s="58"/>
      <c r="H5012" s="57" t="str">
        <f>IF(AND(I.Developer.P1=TRUE,I.Facility.P1FacilityCount&gt;=5000,F5012=""),"Incomplete","Complete")</f>
        <v>Complete</v>
      </c>
      <c r="I5012" s="49" t="s">
        <v>9377</v>
      </c>
    </row>
    <row r="5013" spans="2:9" ht="15" customHeight="1" x14ac:dyDescent="0.25">
      <c r="B5013" s="55" t="s">
        <v>280</v>
      </c>
      <c r="C5013" s="46">
        <v>1</v>
      </c>
      <c r="D5013" s="69" t="s">
        <v>29417</v>
      </c>
      <c r="E5013" s="51"/>
      <c r="F5013" s="114" t="str">
        <f>IF(INDEX(I.Facility.P2aIDNumber,1)="","",INDEX(I.Facility.P2aIDNumber,1))</f>
        <v/>
      </c>
      <c r="G5013" s="51"/>
      <c r="H5013" s="46" t="str">
        <f>IF(AND(I.Developer.P2a=TRUE,I.Facility.P2aFacilityCount&gt;=1,F5013=""),"Incomplete","Complete")</f>
        <v>Complete</v>
      </c>
      <c r="I5013" s="48" t="s">
        <v>9378</v>
      </c>
    </row>
    <row r="5014" spans="2:9" ht="15" customHeight="1" x14ac:dyDescent="0.25">
      <c r="B5014" s="55" t="s">
        <v>280</v>
      </c>
      <c r="C5014" s="46">
        <v>2</v>
      </c>
      <c r="D5014" s="69" t="s">
        <v>29417</v>
      </c>
      <c r="E5014" s="51"/>
      <c r="F5014" s="114" t="str">
        <f>IF(INDEX(I.Facility.P2aIDNumber,2)="","",INDEX(I.Facility.P2aIDNumber,2))</f>
        <v/>
      </c>
      <c r="G5014" s="51"/>
      <c r="H5014" s="46" t="str">
        <f>IF(AND(I.Developer.P2a=TRUE,I.Facility.P2aFacilityCount&gt;=2,F5014=""),"Incomplete","Complete")</f>
        <v>Complete</v>
      </c>
      <c r="I5014" s="48" t="s">
        <v>9379</v>
      </c>
    </row>
    <row r="5015" spans="2:9" ht="15" customHeight="1" x14ac:dyDescent="0.25">
      <c r="B5015" s="55" t="s">
        <v>280</v>
      </c>
      <c r="C5015" s="46">
        <v>3</v>
      </c>
      <c r="D5015" s="69" t="s">
        <v>29417</v>
      </c>
      <c r="E5015" s="51"/>
      <c r="F5015" s="114" t="str">
        <f>IF(INDEX(I.Facility.P2aIDNumber,3)="","",INDEX(I.Facility.P2aIDNumber,3))</f>
        <v/>
      </c>
      <c r="G5015" s="51"/>
      <c r="H5015" s="46" t="str">
        <f>IF(AND(I.Developer.P2a=TRUE,I.Facility.P2aFacilityCount&gt;=3,F5015=""),"Incomplete","Complete")</f>
        <v>Complete</v>
      </c>
      <c r="I5015" s="48" t="s">
        <v>9380</v>
      </c>
    </row>
    <row r="5016" spans="2:9" ht="15" customHeight="1" x14ac:dyDescent="0.25">
      <c r="B5016" s="55" t="s">
        <v>280</v>
      </c>
      <c r="C5016" s="46">
        <v>4</v>
      </c>
      <c r="D5016" s="69" t="s">
        <v>29417</v>
      </c>
      <c r="E5016" s="51"/>
      <c r="F5016" s="114" t="str">
        <f>IF(INDEX(I.Facility.P2aIDNumber,4)="","",INDEX(I.Facility.P2aIDNumber,4))</f>
        <v/>
      </c>
      <c r="G5016" s="51"/>
      <c r="H5016" s="46" t="str">
        <f>IF(AND(I.Developer.P2a=TRUE,I.Facility.P2aFacilityCount&gt;=4,F5016=""),"Incomplete","Complete")</f>
        <v>Complete</v>
      </c>
      <c r="I5016" s="48" t="s">
        <v>9381</v>
      </c>
    </row>
    <row r="5017" spans="2:9" ht="15" customHeight="1" x14ac:dyDescent="0.25">
      <c r="B5017" s="55" t="s">
        <v>280</v>
      </c>
      <c r="C5017" s="46">
        <v>5</v>
      </c>
      <c r="D5017" s="69" t="s">
        <v>29417</v>
      </c>
      <c r="E5017" s="51"/>
      <c r="F5017" s="114" t="str">
        <f>IF(INDEX(I.Facility.P2aIDNumber,5)="","",INDEX(I.Facility.P2aIDNumber,5))</f>
        <v/>
      </c>
      <c r="G5017" s="51"/>
      <c r="H5017" s="46" t="str">
        <f>IF(AND(I.Developer.P2a=TRUE,I.Facility.P2aFacilityCount&gt;=5,F5017=""),"Incomplete","Complete")</f>
        <v>Complete</v>
      </c>
      <c r="I5017" s="48" t="s">
        <v>9382</v>
      </c>
    </row>
    <row r="5018" spans="2:9" ht="15" customHeight="1" x14ac:dyDescent="0.25">
      <c r="B5018" s="55" t="s">
        <v>280</v>
      </c>
      <c r="C5018" s="46">
        <v>6</v>
      </c>
      <c r="D5018" s="69" t="s">
        <v>29417</v>
      </c>
      <c r="E5018" s="51"/>
      <c r="F5018" s="114" t="str">
        <f>IF(INDEX(I.Facility.P2aIDNumber,6)="","",INDEX(I.Facility.P2aIDNumber,6))</f>
        <v/>
      </c>
      <c r="G5018" s="51"/>
      <c r="H5018" s="46" t="str">
        <f>IF(AND(I.Developer.P2a=TRUE,I.Facility.P2aFacilityCount&gt;=6,F5018=""),"Incomplete","Complete")</f>
        <v>Complete</v>
      </c>
      <c r="I5018" s="48" t="s">
        <v>9383</v>
      </c>
    </row>
    <row r="5019" spans="2:9" ht="15" customHeight="1" x14ac:dyDescent="0.25">
      <c r="B5019" s="55" t="s">
        <v>280</v>
      </c>
      <c r="C5019" s="46">
        <v>7</v>
      </c>
      <c r="D5019" s="69" t="s">
        <v>29417</v>
      </c>
      <c r="E5019" s="51"/>
      <c r="F5019" s="114" t="str">
        <f>IF(INDEX(I.Facility.P2aIDNumber,7)="","",INDEX(I.Facility.P2aIDNumber,7))</f>
        <v/>
      </c>
      <c r="G5019" s="51"/>
      <c r="H5019" s="46" t="str">
        <f>IF(AND(I.Developer.P2a=TRUE,I.Facility.P2aFacilityCount&gt;=7,F5019=""),"Incomplete","Complete")</f>
        <v>Complete</v>
      </c>
      <c r="I5019" s="48" t="s">
        <v>9384</v>
      </c>
    </row>
    <row r="5020" spans="2:9" ht="15" customHeight="1" x14ac:dyDescent="0.25">
      <c r="B5020" s="55" t="s">
        <v>280</v>
      </c>
      <c r="C5020" s="46">
        <v>8</v>
      </c>
      <c r="D5020" s="69" t="s">
        <v>29417</v>
      </c>
      <c r="E5020" s="51"/>
      <c r="F5020" s="114" t="str">
        <f>IF(INDEX(I.Facility.P2aIDNumber,8)="","",INDEX(I.Facility.P2aIDNumber,8))</f>
        <v/>
      </c>
      <c r="G5020" s="51"/>
      <c r="H5020" s="46" t="str">
        <f>IF(AND(I.Developer.P2a=TRUE,I.Facility.P2aFacilityCount&gt;=8,F5020=""),"Incomplete","Complete")</f>
        <v>Complete</v>
      </c>
      <c r="I5020" s="48" t="s">
        <v>9385</v>
      </c>
    </row>
    <row r="5021" spans="2:9" ht="15" customHeight="1" x14ac:dyDescent="0.25">
      <c r="B5021" s="55" t="s">
        <v>280</v>
      </c>
      <c r="C5021" s="46">
        <v>9</v>
      </c>
      <c r="D5021" s="69" t="s">
        <v>29417</v>
      </c>
      <c r="E5021" s="51"/>
      <c r="F5021" s="114" t="str">
        <f>IF(INDEX(I.Facility.P2aIDNumber,9)="","",INDEX(I.Facility.P2aIDNumber,9))</f>
        <v/>
      </c>
      <c r="G5021" s="51"/>
      <c r="H5021" s="46" t="str">
        <f>IF(AND(I.Developer.P2a=TRUE,I.Facility.P2aFacilityCount&gt;=9,F5021=""),"Incomplete","Complete")</f>
        <v>Complete</v>
      </c>
      <c r="I5021" s="48" t="s">
        <v>9386</v>
      </c>
    </row>
    <row r="5022" spans="2:9" ht="15" customHeight="1" x14ac:dyDescent="0.25">
      <c r="B5022" s="55" t="s">
        <v>280</v>
      </c>
      <c r="C5022" s="46">
        <v>10</v>
      </c>
      <c r="D5022" s="69" t="s">
        <v>29417</v>
      </c>
      <c r="E5022" s="51"/>
      <c r="F5022" s="114" t="str">
        <f>IF(INDEX(I.Facility.P2aIDNumber,10)="","",INDEX(I.Facility.P2aIDNumber,10))</f>
        <v/>
      </c>
      <c r="G5022" s="51"/>
      <c r="H5022" s="46" t="str">
        <f>IF(AND(I.Developer.P2a=TRUE,I.Facility.P2aFacilityCount&gt;=10,F5022=""),"Incomplete","Complete")</f>
        <v>Complete</v>
      </c>
      <c r="I5022" s="48" t="s">
        <v>9387</v>
      </c>
    </row>
    <row r="5023" spans="2:9" ht="15" customHeight="1" x14ac:dyDescent="0.25">
      <c r="B5023" s="55" t="s">
        <v>280</v>
      </c>
      <c r="C5023" s="46">
        <v>11</v>
      </c>
      <c r="D5023" s="69" t="s">
        <v>29417</v>
      </c>
      <c r="E5023" s="51"/>
      <c r="F5023" s="114" t="str">
        <f>IF(INDEX(I.Facility.P2aIDNumber,11)="","",INDEX(I.Facility.P2aIDNumber,11))</f>
        <v/>
      </c>
      <c r="G5023" s="51"/>
      <c r="H5023" s="46" t="str">
        <f>IF(AND(I.Developer.P2a=TRUE,I.Facility.P2aFacilityCount&gt;=11,F5023=""),"Incomplete","Complete")</f>
        <v>Complete</v>
      </c>
      <c r="I5023" s="48" t="s">
        <v>9388</v>
      </c>
    </row>
    <row r="5024" spans="2:9" ht="15" customHeight="1" x14ac:dyDescent="0.25">
      <c r="B5024" s="55" t="s">
        <v>280</v>
      </c>
      <c r="C5024" s="46">
        <v>12</v>
      </c>
      <c r="D5024" s="69" t="s">
        <v>29417</v>
      </c>
      <c r="E5024" s="51"/>
      <c r="F5024" s="114" t="str">
        <f>IF(INDEX(I.Facility.P2aIDNumber,12)="","",INDEX(I.Facility.P2aIDNumber,12))</f>
        <v/>
      </c>
      <c r="G5024" s="51"/>
      <c r="H5024" s="46" t="str">
        <f>IF(AND(I.Developer.P2a=TRUE,I.Facility.P2aFacilityCount&gt;=12,F5024=""),"Incomplete","Complete")</f>
        <v>Complete</v>
      </c>
      <c r="I5024" s="48" t="s">
        <v>9389</v>
      </c>
    </row>
    <row r="5025" spans="2:9" ht="15" customHeight="1" x14ac:dyDescent="0.25">
      <c r="B5025" s="55" t="s">
        <v>280</v>
      </c>
      <c r="C5025" s="46">
        <v>13</v>
      </c>
      <c r="D5025" s="69" t="s">
        <v>29417</v>
      </c>
      <c r="E5025" s="51"/>
      <c r="F5025" s="114" t="str">
        <f>IF(INDEX(I.Facility.P2aIDNumber,13)="","",INDEX(I.Facility.P2aIDNumber,13))</f>
        <v/>
      </c>
      <c r="G5025" s="51"/>
      <c r="H5025" s="46" t="str">
        <f>IF(AND(I.Developer.P2a=TRUE,I.Facility.P2aFacilityCount&gt;=13,F5025=""),"Incomplete","Complete")</f>
        <v>Complete</v>
      </c>
      <c r="I5025" s="48" t="s">
        <v>9390</v>
      </c>
    </row>
    <row r="5026" spans="2:9" ht="15" customHeight="1" x14ac:dyDescent="0.25">
      <c r="B5026" s="55" t="s">
        <v>280</v>
      </c>
      <c r="C5026" s="46">
        <v>14</v>
      </c>
      <c r="D5026" s="69" t="s">
        <v>29417</v>
      </c>
      <c r="E5026" s="51"/>
      <c r="F5026" s="114" t="str">
        <f>IF(INDEX(I.Facility.P2aIDNumber,14)="","",INDEX(I.Facility.P2aIDNumber,14))</f>
        <v/>
      </c>
      <c r="G5026" s="51"/>
      <c r="H5026" s="46" t="str">
        <f>IF(AND(I.Developer.P2a=TRUE,I.Facility.P2aFacilityCount&gt;=14,F5026=""),"Incomplete","Complete")</f>
        <v>Complete</v>
      </c>
      <c r="I5026" s="48" t="s">
        <v>9391</v>
      </c>
    </row>
    <row r="5027" spans="2:9" ht="15" customHeight="1" x14ac:dyDescent="0.25">
      <c r="B5027" s="55" t="s">
        <v>280</v>
      </c>
      <c r="C5027" s="46">
        <v>15</v>
      </c>
      <c r="D5027" s="69" t="s">
        <v>29417</v>
      </c>
      <c r="E5027" s="51"/>
      <c r="F5027" s="114" t="str">
        <f>IF(INDEX(I.Facility.P2aIDNumber,15)="","",INDEX(I.Facility.P2aIDNumber,15))</f>
        <v/>
      </c>
      <c r="G5027" s="51"/>
      <c r="H5027" s="46" t="str">
        <f>IF(AND(I.Developer.P2a=TRUE,I.Facility.P2aFacilityCount&gt;=15,F5027=""),"Incomplete","Complete")</f>
        <v>Complete</v>
      </c>
      <c r="I5027" s="48" t="s">
        <v>9392</v>
      </c>
    </row>
    <row r="5028" spans="2:9" ht="15" customHeight="1" x14ac:dyDescent="0.25">
      <c r="B5028" s="55" t="s">
        <v>280</v>
      </c>
      <c r="C5028" s="46">
        <v>16</v>
      </c>
      <c r="D5028" s="69" t="s">
        <v>29417</v>
      </c>
      <c r="E5028" s="51"/>
      <c r="F5028" s="114" t="str">
        <f>IF(INDEX(I.Facility.P2aIDNumber,16)="","",INDEX(I.Facility.P2aIDNumber,16))</f>
        <v/>
      </c>
      <c r="G5028" s="51"/>
      <c r="H5028" s="46" t="str">
        <f>IF(AND(I.Developer.P2a=TRUE,I.Facility.P2aFacilityCount&gt;=16,F5028=""),"Incomplete","Complete")</f>
        <v>Complete</v>
      </c>
      <c r="I5028" s="48" t="s">
        <v>9393</v>
      </c>
    </row>
    <row r="5029" spans="2:9" ht="15" customHeight="1" x14ac:dyDescent="0.25">
      <c r="B5029" s="55" t="s">
        <v>280</v>
      </c>
      <c r="C5029" s="46">
        <v>17</v>
      </c>
      <c r="D5029" s="69" t="s">
        <v>29417</v>
      </c>
      <c r="E5029" s="51"/>
      <c r="F5029" s="114" t="str">
        <f>IF(INDEX(I.Facility.P2aIDNumber,17)="","",INDEX(I.Facility.P2aIDNumber,17))</f>
        <v/>
      </c>
      <c r="G5029" s="51"/>
      <c r="H5029" s="46" t="str">
        <f>IF(AND(I.Developer.P2a=TRUE,I.Facility.P2aFacilityCount&gt;=17,F5029=""),"Incomplete","Complete")</f>
        <v>Complete</v>
      </c>
      <c r="I5029" s="48" t="s">
        <v>9394</v>
      </c>
    </row>
    <row r="5030" spans="2:9" ht="15" customHeight="1" x14ac:dyDescent="0.25">
      <c r="B5030" s="55" t="s">
        <v>280</v>
      </c>
      <c r="C5030" s="46">
        <v>18</v>
      </c>
      <c r="D5030" s="69" t="s">
        <v>29417</v>
      </c>
      <c r="E5030" s="51"/>
      <c r="F5030" s="114" t="str">
        <f>IF(INDEX(I.Facility.P2aIDNumber,18)="","",INDEX(I.Facility.P2aIDNumber,18))</f>
        <v/>
      </c>
      <c r="G5030" s="51"/>
      <c r="H5030" s="46" t="str">
        <f>IF(AND(I.Developer.P2a=TRUE,I.Facility.P2aFacilityCount&gt;=18,F5030=""),"Incomplete","Complete")</f>
        <v>Complete</v>
      </c>
      <c r="I5030" s="48" t="s">
        <v>9395</v>
      </c>
    </row>
    <row r="5031" spans="2:9" ht="15" customHeight="1" x14ac:dyDescent="0.25">
      <c r="B5031" s="55" t="s">
        <v>280</v>
      </c>
      <c r="C5031" s="46">
        <v>19</v>
      </c>
      <c r="D5031" s="69" t="s">
        <v>29417</v>
      </c>
      <c r="E5031" s="51"/>
      <c r="F5031" s="114" t="str">
        <f>IF(INDEX(I.Facility.P2aIDNumber,19)="","",INDEX(I.Facility.P2aIDNumber,19))</f>
        <v/>
      </c>
      <c r="G5031" s="51"/>
      <c r="H5031" s="46" t="str">
        <f>IF(AND(I.Developer.P2a=TRUE,I.Facility.P2aFacilityCount&gt;=19,F5031=""),"Incomplete","Complete")</f>
        <v>Complete</v>
      </c>
      <c r="I5031" s="48" t="s">
        <v>9396</v>
      </c>
    </row>
    <row r="5032" spans="2:9" ht="15" customHeight="1" x14ac:dyDescent="0.25">
      <c r="B5032" s="55" t="s">
        <v>280</v>
      </c>
      <c r="C5032" s="46">
        <v>20</v>
      </c>
      <c r="D5032" s="69" t="s">
        <v>29417</v>
      </c>
      <c r="E5032" s="51"/>
      <c r="F5032" s="114" t="str">
        <f>IF(INDEX(I.Facility.P2aIDNumber,20)="","",INDEX(I.Facility.P2aIDNumber,20))</f>
        <v/>
      </c>
      <c r="G5032" s="51"/>
      <c r="H5032" s="46" t="str">
        <f>IF(AND(I.Developer.P2a=TRUE,I.Facility.P2aFacilityCount&gt;=20,F5032=""),"Incomplete","Complete")</f>
        <v>Complete</v>
      </c>
      <c r="I5032" s="48" t="s">
        <v>9397</v>
      </c>
    </row>
    <row r="5033" spans="2:9" ht="15" customHeight="1" x14ac:dyDescent="0.25">
      <c r="B5033" s="55" t="s">
        <v>280</v>
      </c>
      <c r="C5033" s="46">
        <v>21</v>
      </c>
      <c r="D5033" s="69" t="s">
        <v>29417</v>
      </c>
      <c r="E5033" s="51"/>
      <c r="F5033" s="114" t="str">
        <f>IF(INDEX(I.Facility.P2aIDNumber,21)="","",INDEX(I.Facility.P2aIDNumber,21))</f>
        <v/>
      </c>
      <c r="G5033" s="51"/>
      <c r="H5033" s="46" t="str">
        <f>IF(AND(I.Developer.P2a=TRUE,I.Facility.P2aFacilityCount&gt;=21,F5033=""),"Incomplete","Complete")</f>
        <v>Complete</v>
      </c>
      <c r="I5033" s="48" t="s">
        <v>9398</v>
      </c>
    </row>
    <row r="5034" spans="2:9" ht="15" customHeight="1" x14ac:dyDescent="0.25">
      <c r="B5034" s="55" t="s">
        <v>280</v>
      </c>
      <c r="C5034" s="46">
        <v>22</v>
      </c>
      <c r="D5034" s="69" t="s">
        <v>29417</v>
      </c>
      <c r="E5034" s="51"/>
      <c r="F5034" s="114" t="str">
        <f>IF(INDEX(I.Facility.P2aIDNumber,22)="","",INDEX(I.Facility.P2aIDNumber,22))</f>
        <v/>
      </c>
      <c r="G5034" s="51"/>
      <c r="H5034" s="46" t="str">
        <f>IF(AND(I.Developer.P2a=TRUE,I.Facility.P2aFacilityCount&gt;=22,F5034=""),"Incomplete","Complete")</f>
        <v>Complete</v>
      </c>
      <c r="I5034" s="48" t="s">
        <v>9399</v>
      </c>
    </row>
    <row r="5035" spans="2:9" ht="15" customHeight="1" x14ac:dyDescent="0.25">
      <c r="B5035" s="55" t="s">
        <v>280</v>
      </c>
      <c r="C5035" s="46">
        <v>23</v>
      </c>
      <c r="D5035" s="69" t="s">
        <v>29417</v>
      </c>
      <c r="E5035" s="51"/>
      <c r="F5035" s="114" t="str">
        <f>IF(INDEX(I.Facility.P2aIDNumber,23)="","",INDEX(I.Facility.P2aIDNumber,23))</f>
        <v/>
      </c>
      <c r="G5035" s="51"/>
      <c r="H5035" s="46" t="str">
        <f>IF(AND(I.Developer.P2a=TRUE,I.Facility.P2aFacilityCount&gt;=23,F5035=""),"Incomplete","Complete")</f>
        <v>Complete</v>
      </c>
      <c r="I5035" s="48" t="s">
        <v>9400</v>
      </c>
    </row>
    <row r="5036" spans="2:9" ht="15" customHeight="1" x14ac:dyDescent="0.25">
      <c r="B5036" s="55" t="s">
        <v>280</v>
      </c>
      <c r="C5036" s="46">
        <v>24</v>
      </c>
      <c r="D5036" s="69" t="s">
        <v>29417</v>
      </c>
      <c r="E5036" s="51"/>
      <c r="F5036" s="114" t="str">
        <f>IF(INDEX(I.Facility.P2aIDNumber,24)="","",INDEX(I.Facility.P2aIDNumber,24))</f>
        <v/>
      </c>
      <c r="G5036" s="51"/>
      <c r="H5036" s="46" t="str">
        <f>IF(AND(I.Developer.P2a=TRUE,I.Facility.P2aFacilityCount&gt;=24,F5036=""),"Incomplete","Complete")</f>
        <v>Complete</v>
      </c>
      <c r="I5036" s="48" t="s">
        <v>9401</v>
      </c>
    </row>
    <row r="5037" spans="2:9" ht="15" customHeight="1" x14ac:dyDescent="0.25">
      <c r="B5037" s="55" t="s">
        <v>280</v>
      </c>
      <c r="C5037" s="46">
        <v>25</v>
      </c>
      <c r="D5037" s="69" t="s">
        <v>29417</v>
      </c>
      <c r="E5037" s="51"/>
      <c r="F5037" s="114" t="str">
        <f>IF(INDEX(I.Facility.P2aIDNumber,25)="","",INDEX(I.Facility.P2aIDNumber,25))</f>
        <v/>
      </c>
      <c r="G5037" s="51"/>
      <c r="H5037" s="46" t="str">
        <f>IF(AND(I.Developer.P2a=TRUE,I.Facility.P2aFacilityCount&gt;=25,F5037=""),"Incomplete","Complete")</f>
        <v>Complete</v>
      </c>
      <c r="I5037" s="48" t="s">
        <v>9402</v>
      </c>
    </row>
    <row r="5038" spans="2:9" ht="15" customHeight="1" x14ac:dyDescent="0.25">
      <c r="B5038" s="55" t="s">
        <v>280</v>
      </c>
      <c r="C5038" s="46">
        <v>26</v>
      </c>
      <c r="D5038" s="69" t="s">
        <v>29417</v>
      </c>
      <c r="E5038" s="51"/>
      <c r="F5038" s="114" t="str">
        <f>IF(INDEX(I.Facility.P2aIDNumber,26)="","",INDEX(I.Facility.P2aIDNumber,26))</f>
        <v/>
      </c>
      <c r="G5038" s="51"/>
      <c r="H5038" s="46" t="str">
        <f>IF(AND(I.Developer.P2a=TRUE,I.Facility.P2aFacilityCount&gt;=26,F5038=""),"Incomplete","Complete")</f>
        <v>Complete</v>
      </c>
      <c r="I5038" s="48" t="s">
        <v>9403</v>
      </c>
    </row>
    <row r="5039" spans="2:9" ht="15" customHeight="1" x14ac:dyDescent="0.25">
      <c r="B5039" s="55" t="s">
        <v>280</v>
      </c>
      <c r="C5039" s="46">
        <v>27</v>
      </c>
      <c r="D5039" s="69" t="s">
        <v>29417</v>
      </c>
      <c r="E5039" s="51"/>
      <c r="F5039" s="114" t="str">
        <f>IF(INDEX(I.Facility.P2aIDNumber,27)="","",INDEX(I.Facility.P2aIDNumber,27))</f>
        <v/>
      </c>
      <c r="G5039" s="51"/>
      <c r="H5039" s="46" t="str">
        <f>IF(AND(I.Developer.P2a=TRUE,I.Facility.P2aFacilityCount&gt;=27,F5039=""),"Incomplete","Complete")</f>
        <v>Complete</v>
      </c>
      <c r="I5039" s="48" t="s">
        <v>9404</v>
      </c>
    </row>
    <row r="5040" spans="2:9" ht="15" customHeight="1" x14ac:dyDescent="0.25">
      <c r="B5040" s="55" t="s">
        <v>280</v>
      </c>
      <c r="C5040" s="46">
        <v>28</v>
      </c>
      <c r="D5040" s="69" t="s">
        <v>29417</v>
      </c>
      <c r="E5040" s="51"/>
      <c r="F5040" s="114" t="str">
        <f>IF(INDEX(I.Facility.P2aIDNumber,28)="","",INDEX(I.Facility.P2aIDNumber,28))</f>
        <v/>
      </c>
      <c r="G5040" s="51"/>
      <c r="H5040" s="46" t="str">
        <f>IF(AND(I.Developer.P2a=TRUE,I.Facility.P2aFacilityCount&gt;=28,F5040=""),"Incomplete","Complete")</f>
        <v>Complete</v>
      </c>
      <c r="I5040" s="48" t="s">
        <v>9405</v>
      </c>
    </row>
    <row r="5041" spans="2:9" ht="15" customHeight="1" x14ac:dyDescent="0.25">
      <c r="B5041" s="55" t="s">
        <v>280</v>
      </c>
      <c r="C5041" s="46">
        <v>29</v>
      </c>
      <c r="D5041" s="69" t="s">
        <v>29417</v>
      </c>
      <c r="E5041" s="51"/>
      <c r="F5041" s="114" t="str">
        <f>IF(INDEX(I.Facility.P2aIDNumber,29)="","",INDEX(I.Facility.P2aIDNumber,29))</f>
        <v/>
      </c>
      <c r="G5041" s="51"/>
      <c r="H5041" s="46" t="str">
        <f>IF(AND(I.Developer.P2a=TRUE,I.Facility.P2aFacilityCount&gt;=29,F5041=""),"Incomplete","Complete")</f>
        <v>Complete</v>
      </c>
      <c r="I5041" s="48" t="s">
        <v>9406</v>
      </c>
    </row>
    <row r="5042" spans="2:9" ht="15" customHeight="1" x14ac:dyDescent="0.25">
      <c r="B5042" s="55" t="s">
        <v>280</v>
      </c>
      <c r="C5042" s="46">
        <v>30</v>
      </c>
      <c r="D5042" s="69" t="s">
        <v>29417</v>
      </c>
      <c r="E5042" s="51"/>
      <c r="F5042" s="114" t="str">
        <f>IF(INDEX(I.Facility.P2aIDNumber,30)="","",INDEX(I.Facility.P2aIDNumber,30))</f>
        <v/>
      </c>
      <c r="G5042" s="51"/>
      <c r="H5042" s="46" t="str">
        <f>IF(AND(I.Developer.P2a=TRUE,I.Facility.P2aFacilityCount&gt;=30,F5042=""),"Incomplete","Complete")</f>
        <v>Complete</v>
      </c>
      <c r="I5042" s="48" t="s">
        <v>9407</v>
      </c>
    </row>
    <row r="5043" spans="2:9" ht="15" customHeight="1" x14ac:dyDescent="0.25">
      <c r="B5043" s="55" t="s">
        <v>280</v>
      </c>
      <c r="C5043" s="46">
        <v>31</v>
      </c>
      <c r="D5043" s="69" t="s">
        <v>29417</v>
      </c>
      <c r="E5043" s="51"/>
      <c r="F5043" s="114" t="str">
        <f>IF(INDEX(I.Facility.P2aIDNumber,31)="","",INDEX(I.Facility.P2aIDNumber,31))</f>
        <v/>
      </c>
      <c r="G5043" s="51"/>
      <c r="H5043" s="46" t="str">
        <f>IF(AND(I.Developer.P2a=TRUE,I.Facility.P2aFacilityCount&gt;=31,F5043=""),"Incomplete","Complete")</f>
        <v>Complete</v>
      </c>
      <c r="I5043" s="48" t="s">
        <v>9408</v>
      </c>
    </row>
    <row r="5044" spans="2:9" ht="15" customHeight="1" x14ac:dyDescent="0.25">
      <c r="B5044" s="55" t="s">
        <v>280</v>
      </c>
      <c r="C5044" s="46">
        <v>32</v>
      </c>
      <c r="D5044" s="69" t="s">
        <v>29417</v>
      </c>
      <c r="E5044" s="51"/>
      <c r="F5044" s="114" t="str">
        <f>IF(INDEX(I.Facility.P2aIDNumber,32)="","",INDEX(I.Facility.P2aIDNumber,32))</f>
        <v/>
      </c>
      <c r="G5044" s="51"/>
      <c r="H5044" s="46" t="str">
        <f>IF(AND(I.Developer.P2a=TRUE,I.Facility.P2aFacilityCount&gt;=32,F5044=""),"Incomplete","Complete")</f>
        <v>Complete</v>
      </c>
      <c r="I5044" s="48" t="s">
        <v>9409</v>
      </c>
    </row>
    <row r="5045" spans="2:9" ht="15" customHeight="1" x14ac:dyDescent="0.25">
      <c r="B5045" s="55" t="s">
        <v>280</v>
      </c>
      <c r="C5045" s="46">
        <v>33</v>
      </c>
      <c r="D5045" s="69" t="s">
        <v>29417</v>
      </c>
      <c r="E5045" s="51"/>
      <c r="F5045" s="114" t="str">
        <f>IF(INDEX(I.Facility.P2aIDNumber,33)="","",INDEX(I.Facility.P2aIDNumber,33))</f>
        <v/>
      </c>
      <c r="G5045" s="51"/>
      <c r="H5045" s="46" t="str">
        <f>IF(AND(I.Developer.P2a=TRUE,I.Facility.P2aFacilityCount&gt;=33,F5045=""),"Incomplete","Complete")</f>
        <v>Complete</v>
      </c>
      <c r="I5045" s="48" t="s">
        <v>9410</v>
      </c>
    </row>
    <row r="5046" spans="2:9" ht="15" customHeight="1" x14ac:dyDescent="0.25">
      <c r="B5046" s="55" t="s">
        <v>280</v>
      </c>
      <c r="C5046" s="46">
        <v>34</v>
      </c>
      <c r="D5046" s="69" t="s">
        <v>29417</v>
      </c>
      <c r="E5046" s="51"/>
      <c r="F5046" s="114" t="str">
        <f>IF(INDEX(I.Facility.P2aIDNumber,34)="","",INDEX(I.Facility.P2aIDNumber,34))</f>
        <v/>
      </c>
      <c r="G5046" s="51"/>
      <c r="H5046" s="46" t="str">
        <f>IF(AND(I.Developer.P2a=TRUE,I.Facility.P2aFacilityCount&gt;=34,F5046=""),"Incomplete","Complete")</f>
        <v>Complete</v>
      </c>
      <c r="I5046" s="48" t="s">
        <v>9411</v>
      </c>
    </row>
    <row r="5047" spans="2:9" ht="15" customHeight="1" x14ac:dyDescent="0.25">
      <c r="B5047" s="55" t="s">
        <v>280</v>
      </c>
      <c r="C5047" s="46">
        <v>35</v>
      </c>
      <c r="D5047" s="69" t="s">
        <v>29417</v>
      </c>
      <c r="E5047" s="51"/>
      <c r="F5047" s="114" t="str">
        <f>IF(INDEX(I.Facility.P2aIDNumber,35)="","",INDEX(I.Facility.P2aIDNumber,35))</f>
        <v/>
      </c>
      <c r="G5047" s="51"/>
      <c r="H5047" s="46" t="str">
        <f>IF(AND(I.Developer.P2a=TRUE,I.Facility.P2aFacilityCount&gt;=35,F5047=""),"Incomplete","Complete")</f>
        <v>Complete</v>
      </c>
      <c r="I5047" s="48" t="s">
        <v>9412</v>
      </c>
    </row>
    <row r="5048" spans="2:9" ht="15" customHeight="1" x14ac:dyDescent="0.25">
      <c r="B5048" s="55" t="s">
        <v>280</v>
      </c>
      <c r="C5048" s="46">
        <v>36</v>
      </c>
      <c r="D5048" s="69" t="s">
        <v>29417</v>
      </c>
      <c r="E5048" s="51"/>
      <c r="F5048" s="114" t="str">
        <f>IF(INDEX(I.Facility.P2aIDNumber,36)="","",INDEX(I.Facility.P2aIDNumber,36))</f>
        <v/>
      </c>
      <c r="G5048" s="51"/>
      <c r="H5048" s="46" t="str">
        <f>IF(AND(I.Developer.P2a=TRUE,I.Facility.P2aFacilityCount&gt;=36,F5048=""),"Incomplete","Complete")</f>
        <v>Complete</v>
      </c>
      <c r="I5048" s="48" t="s">
        <v>9413</v>
      </c>
    </row>
    <row r="5049" spans="2:9" ht="15" customHeight="1" x14ac:dyDescent="0.25">
      <c r="B5049" s="55" t="s">
        <v>280</v>
      </c>
      <c r="C5049" s="46">
        <v>37</v>
      </c>
      <c r="D5049" s="69" t="s">
        <v>29417</v>
      </c>
      <c r="E5049" s="51"/>
      <c r="F5049" s="114" t="str">
        <f>IF(INDEX(I.Facility.P2aIDNumber,37)="","",INDEX(I.Facility.P2aIDNumber,37))</f>
        <v/>
      </c>
      <c r="G5049" s="51"/>
      <c r="H5049" s="46" t="str">
        <f>IF(AND(I.Developer.P2a=TRUE,I.Facility.P2aFacilityCount&gt;=37,F5049=""),"Incomplete","Complete")</f>
        <v>Complete</v>
      </c>
      <c r="I5049" s="48" t="s">
        <v>9414</v>
      </c>
    </row>
    <row r="5050" spans="2:9" ht="15" customHeight="1" x14ac:dyDescent="0.25">
      <c r="B5050" s="55" t="s">
        <v>280</v>
      </c>
      <c r="C5050" s="46">
        <v>38</v>
      </c>
      <c r="D5050" s="69" t="s">
        <v>29417</v>
      </c>
      <c r="E5050" s="51"/>
      <c r="F5050" s="114" t="str">
        <f>IF(INDEX(I.Facility.P2aIDNumber,38)="","",INDEX(I.Facility.P2aIDNumber,38))</f>
        <v/>
      </c>
      <c r="G5050" s="51"/>
      <c r="H5050" s="46" t="str">
        <f>IF(AND(I.Developer.P2a=TRUE,I.Facility.P2aFacilityCount&gt;=38,F5050=""),"Incomplete","Complete")</f>
        <v>Complete</v>
      </c>
      <c r="I5050" s="48" t="s">
        <v>9415</v>
      </c>
    </row>
    <row r="5051" spans="2:9" ht="15" customHeight="1" x14ac:dyDescent="0.25">
      <c r="B5051" s="55" t="s">
        <v>280</v>
      </c>
      <c r="C5051" s="46">
        <v>39</v>
      </c>
      <c r="D5051" s="69" t="s">
        <v>29417</v>
      </c>
      <c r="E5051" s="51"/>
      <c r="F5051" s="114" t="str">
        <f>IF(INDEX(I.Facility.P2aIDNumber,39)="","",INDEX(I.Facility.P2aIDNumber,39))</f>
        <v/>
      </c>
      <c r="G5051" s="51"/>
      <c r="H5051" s="46" t="str">
        <f>IF(AND(I.Developer.P2a=TRUE,I.Facility.P2aFacilityCount&gt;=39,F5051=""),"Incomplete","Complete")</f>
        <v>Complete</v>
      </c>
      <c r="I5051" s="48" t="s">
        <v>9416</v>
      </c>
    </row>
    <row r="5052" spans="2:9" ht="15" customHeight="1" x14ac:dyDescent="0.25">
      <c r="B5052" s="55" t="s">
        <v>280</v>
      </c>
      <c r="C5052" s="46">
        <v>40</v>
      </c>
      <c r="D5052" s="69" t="s">
        <v>29417</v>
      </c>
      <c r="E5052" s="51"/>
      <c r="F5052" s="114" t="str">
        <f>IF(INDEX(I.Facility.P2aIDNumber,40)="","",INDEX(I.Facility.P2aIDNumber,40))</f>
        <v/>
      </c>
      <c r="G5052" s="51"/>
      <c r="H5052" s="46" t="str">
        <f>IF(AND(I.Developer.P2a=TRUE,I.Facility.P2aFacilityCount&gt;=40,F5052=""),"Incomplete","Complete")</f>
        <v>Complete</v>
      </c>
      <c r="I5052" s="48" t="s">
        <v>9417</v>
      </c>
    </row>
    <row r="5053" spans="2:9" ht="15" customHeight="1" x14ac:dyDescent="0.25">
      <c r="B5053" s="55" t="s">
        <v>280</v>
      </c>
      <c r="C5053" s="46">
        <v>41</v>
      </c>
      <c r="D5053" s="69" t="s">
        <v>29417</v>
      </c>
      <c r="E5053" s="51"/>
      <c r="F5053" s="114" t="str">
        <f>IF(INDEX(I.Facility.P2aIDNumber,41)="","",INDEX(I.Facility.P2aIDNumber,41))</f>
        <v/>
      </c>
      <c r="G5053" s="51"/>
      <c r="H5053" s="46" t="str">
        <f>IF(AND(I.Developer.P2a=TRUE,I.Facility.P2aFacilityCount&gt;=41,F5053=""),"Incomplete","Complete")</f>
        <v>Complete</v>
      </c>
      <c r="I5053" s="48" t="s">
        <v>9418</v>
      </c>
    </row>
    <row r="5054" spans="2:9" ht="15" customHeight="1" x14ac:dyDescent="0.25">
      <c r="B5054" s="55" t="s">
        <v>280</v>
      </c>
      <c r="C5054" s="46">
        <v>42</v>
      </c>
      <c r="D5054" s="69" t="s">
        <v>29417</v>
      </c>
      <c r="E5054" s="51"/>
      <c r="F5054" s="114" t="str">
        <f>IF(INDEX(I.Facility.P2aIDNumber,42)="","",INDEX(I.Facility.P2aIDNumber,42))</f>
        <v/>
      </c>
      <c r="G5054" s="51"/>
      <c r="H5054" s="46" t="str">
        <f>IF(AND(I.Developer.P2a=TRUE,I.Facility.P2aFacilityCount&gt;=42,F5054=""),"Incomplete","Complete")</f>
        <v>Complete</v>
      </c>
      <c r="I5054" s="48" t="s">
        <v>9419</v>
      </c>
    </row>
    <row r="5055" spans="2:9" ht="15" customHeight="1" x14ac:dyDescent="0.25">
      <c r="B5055" s="55" t="s">
        <v>280</v>
      </c>
      <c r="C5055" s="46">
        <v>43</v>
      </c>
      <c r="D5055" s="69" t="s">
        <v>29417</v>
      </c>
      <c r="E5055" s="51"/>
      <c r="F5055" s="114" t="str">
        <f>IF(INDEX(I.Facility.P2aIDNumber,43)="","",INDEX(I.Facility.P2aIDNumber,43))</f>
        <v/>
      </c>
      <c r="G5055" s="51"/>
      <c r="H5055" s="46" t="str">
        <f>IF(AND(I.Developer.P2a=TRUE,I.Facility.P2aFacilityCount&gt;=43,F5055=""),"Incomplete","Complete")</f>
        <v>Complete</v>
      </c>
      <c r="I5055" s="48" t="s">
        <v>9420</v>
      </c>
    </row>
    <row r="5056" spans="2:9" ht="15" customHeight="1" x14ac:dyDescent="0.25">
      <c r="B5056" s="55" t="s">
        <v>280</v>
      </c>
      <c r="C5056" s="46">
        <v>44</v>
      </c>
      <c r="D5056" s="69" t="s">
        <v>29417</v>
      </c>
      <c r="E5056" s="51"/>
      <c r="F5056" s="114" t="str">
        <f>IF(INDEX(I.Facility.P2aIDNumber,44)="","",INDEX(I.Facility.P2aIDNumber,44))</f>
        <v/>
      </c>
      <c r="G5056" s="51"/>
      <c r="H5056" s="46" t="str">
        <f>IF(AND(I.Developer.P2a=TRUE,I.Facility.P2aFacilityCount&gt;=44,F5056=""),"Incomplete","Complete")</f>
        <v>Complete</v>
      </c>
      <c r="I5056" s="48" t="s">
        <v>9421</v>
      </c>
    </row>
    <row r="5057" spans="2:9" ht="15" customHeight="1" x14ac:dyDescent="0.25">
      <c r="B5057" s="55" t="s">
        <v>280</v>
      </c>
      <c r="C5057" s="46">
        <v>45</v>
      </c>
      <c r="D5057" s="69" t="s">
        <v>29417</v>
      </c>
      <c r="E5057" s="51"/>
      <c r="F5057" s="114" t="str">
        <f>IF(INDEX(I.Facility.P2aIDNumber,45)="","",INDEX(I.Facility.P2aIDNumber,45))</f>
        <v/>
      </c>
      <c r="G5057" s="51"/>
      <c r="H5057" s="46" t="str">
        <f>IF(AND(I.Developer.P2a=TRUE,I.Facility.P2aFacilityCount&gt;=45,F5057=""),"Incomplete","Complete")</f>
        <v>Complete</v>
      </c>
      <c r="I5057" s="48" t="s">
        <v>9422</v>
      </c>
    </row>
    <row r="5058" spans="2:9" ht="15" customHeight="1" x14ac:dyDescent="0.25">
      <c r="B5058" s="55" t="s">
        <v>280</v>
      </c>
      <c r="C5058" s="46">
        <v>46</v>
      </c>
      <c r="D5058" s="69" t="s">
        <v>29417</v>
      </c>
      <c r="E5058" s="51"/>
      <c r="F5058" s="114" t="str">
        <f>IF(INDEX(I.Facility.P2aIDNumber,46)="","",INDEX(I.Facility.P2aIDNumber,46))</f>
        <v/>
      </c>
      <c r="G5058" s="51"/>
      <c r="H5058" s="46" t="str">
        <f>IF(AND(I.Developer.P2a=TRUE,I.Facility.P2aFacilityCount&gt;=46,F5058=""),"Incomplete","Complete")</f>
        <v>Complete</v>
      </c>
      <c r="I5058" s="48" t="s">
        <v>9423</v>
      </c>
    </row>
    <row r="5059" spans="2:9" ht="15" customHeight="1" x14ac:dyDescent="0.25">
      <c r="B5059" s="55" t="s">
        <v>280</v>
      </c>
      <c r="C5059" s="46">
        <v>47</v>
      </c>
      <c r="D5059" s="69" t="s">
        <v>29417</v>
      </c>
      <c r="E5059" s="51"/>
      <c r="F5059" s="114" t="str">
        <f>IF(INDEX(I.Facility.P2aIDNumber,47)="","",INDEX(I.Facility.P2aIDNumber,47))</f>
        <v/>
      </c>
      <c r="G5059" s="51"/>
      <c r="H5059" s="46" t="str">
        <f>IF(AND(I.Developer.P2a=TRUE,I.Facility.P2aFacilityCount&gt;=47,F5059=""),"Incomplete","Complete")</f>
        <v>Complete</v>
      </c>
      <c r="I5059" s="48" t="s">
        <v>9424</v>
      </c>
    </row>
    <row r="5060" spans="2:9" ht="15" customHeight="1" x14ac:dyDescent="0.25">
      <c r="B5060" s="55" t="s">
        <v>280</v>
      </c>
      <c r="C5060" s="46">
        <v>48</v>
      </c>
      <c r="D5060" s="69" t="s">
        <v>29417</v>
      </c>
      <c r="E5060" s="51"/>
      <c r="F5060" s="114" t="str">
        <f>IF(INDEX(I.Facility.P2aIDNumber,48)="","",INDEX(I.Facility.P2aIDNumber,48))</f>
        <v/>
      </c>
      <c r="G5060" s="51"/>
      <c r="H5060" s="46" t="str">
        <f>IF(AND(I.Developer.P2a=TRUE,I.Facility.P2aFacilityCount&gt;=48,F5060=""),"Incomplete","Complete")</f>
        <v>Complete</v>
      </c>
      <c r="I5060" s="48" t="s">
        <v>9425</v>
      </c>
    </row>
    <row r="5061" spans="2:9" ht="15" customHeight="1" x14ac:dyDescent="0.25">
      <c r="B5061" s="55" t="s">
        <v>280</v>
      </c>
      <c r="C5061" s="46">
        <v>49</v>
      </c>
      <c r="D5061" s="69" t="s">
        <v>29417</v>
      </c>
      <c r="E5061" s="51"/>
      <c r="F5061" s="114" t="str">
        <f>IF(INDEX(I.Facility.P2aIDNumber,49)="","",INDEX(I.Facility.P2aIDNumber,49))</f>
        <v/>
      </c>
      <c r="G5061" s="51"/>
      <c r="H5061" s="46" t="str">
        <f>IF(AND(I.Developer.P2a=TRUE,I.Facility.P2aFacilityCount&gt;=49,F5061=""),"Incomplete","Complete")</f>
        <v>Complete</v>
      </c>
      <c r="I5061" s="48" t="s">
        <v>9426</v>
      </c>
    </row>
    <row r="5062" spans="2:9" ht="15" customHeight="1" x14ac:dyDescent="0.25">
      <c r="B5062" s="55" t="s">
        <v>280</v>
      </c>
      <c r="C5062" s="46">
        <v>50</v>
      </c>
      <c r="D5062" s="69" t="s">
        <v>29417</v>
      </c>
      <c r="E5062" s="51"/>
      <c r="F5062" s="114" t="str">
        <f>IF(INDEX(I.Facility.P2aIDNumber,50)="","",INDEX(I.Facility.P2aIDNumber,50))</f>
        <v/>
      </c>
      <c r="G5062" s="51"/>
      <c r="H5062" s="46" t="str">
        <f>IF(AND(I.Developer.P2a=TRUE,I.Facility.P2aFacilityCount&gt;=50,F5062=""),"Incomplete","Complete")</f>
        <v>Complete</v>
      </c>
      <c r="I5062" s="48" t="s">
        <v>9427</v>
      </c>
    </row>
    <row r="5063" spans="2:9" ht="15" customHeight="1" x14ac:dyDescent="0.25">
      <c r="B5063" s="55" t="s">
        <v>280</v>
      </c>
      <c r="C5063" s="46">
        <v>51</v>
      </c>
      <c r="D5063" s="69" t="s">
        <v>29417</v>
      </c>
      <c r="E5063" s="51"/>
      <c r="F5063" s="114" t="str">
        <f>IF(INDEX(I.Facility.P2aIDNumber,51)="","",INDEX(I.Facility.P2aIDNumber,51))</f>
        <v/>
      </c>
      <c r="G5063" s="51"/>
      <c r="H5063" s="46" t="str">
        <f>IF(AND(I.Developer.P2a=TRUE,I.Facility.P2aFacilityCount&gt;=51,F5063=""),"Incomplete","Complete")</f>
        <v>Complete</v>
      </c>
      <c r="I5063" s="48" t="s">
        <v>9428</v>
      </c>
    </row>
    <row r="5064" spans="2:9" ht="15" customHeight="1" x14ac:dyDescent="0.25">
      <c r="B5064" s="55" t="s">
        <v>280</v>
      </c>
      <c r="C5064" s="46">
        <v>52</v>
      </c>
      <c r="D5064" s="69" t="s">
        <v>29417</v>
      </c>
      <c r="E5064" s="51"/>
      <c r="F5064" s="114" t="str">
        <f>IF(INDEX(I.Facility.P2aIDNumber,52)="","",INDEX(I.Facility.P2aIDNumber,52))</f>
        <v/>
      </c>
      <c r="G5064" s="51"/>
      <c r="H5064" s="46" t="str">
        <f>IF(AND(I.Developer.P2a=TRUE,I.Facility.P2aFacilityCount&gt;=52,F5064=""),"Incomplete","Complete")</f>
        <v>Complete</v>
      </c>
      <c r="I5064" s="48" t="s">
        <v>9429</v>
      </c>
    </row>
    <row r="5065" spans="2:9" ht="15" customHeight="1" x14ac:dyDescent="0.25">
      <c r="B5065" s="55" t="s">
        <v>280</v>
      </c>
      <c r="C5065" s="46">
        <v>53</v>
      </c>
      <c r="D5065" s="69" t="s">
        <v>29417</v>
      </c>
      <c r="E5065" s="51"/>
      <c r="F5065" s="114" t="str">
        <f>IF(INDEX(I.Facility.P2aIDNumber,53)="","",INDEX(I.Facility.P2aIDNumber,53))</f>
        <v/>
      </c>
      <c r="G5065" s="51"/>
      <c r="H5065" s="46" t="str">
        <f>IF(AND(I.Developer.P2a=TRUE,I.Facility.P2aFacilityCount&gt;=53,F5065=""),"Incomplete","Complete")</f>
        <v>Complete</v>
      </c>
      <c r="I5065" s="48" t="s">
        <v>9430</v>
      </c>
    </row>
    <row r="5066" spans="2:9" ht="15" customHeight="1" x14ac:dyDescent="0.25">
      <c r="B5066" s="55" t="s">
        <v>280</v>
      </c>
      <c r="C5066" s="46">
        <v>54</v>
      </c>
      <c r="D5066" s="69" t="s">
        <v>29417</v>
      </c>
      <c r="E5066" s="51"/>
      <c r="F5066" s="114" t="str">
        <f>IF(INDEX(I.Facility.P2aIDNumber,54)="","",INDEX(I.Facility.P2aIDNumber,54))</f>
        <v/>
      </c>
      <c r="G5066" s="51"/>
      <c r="H5066" s="46" t="str">
        <f>IF(AND(I.Developer.P2a=TRUE,I.Facility.P2aFacilityCount&gt;=54,F5066=""),"Incomplete","Complete")</f>
        <v>Complete</v>
      </c>
      <c r="I5066" s="48" t="s">
        <v>9431</v>
      </c>
    </row>
    <row r="5067" spans="2:9" ht="15" customHeight="1" x14ac:dyDescent="0.25">
      <c r="B5067" s="55" t="s">
        <v>280</v>
      </c>
      <c r="C5067" s="46">
        <v>55</v>
      </c>
      <c r="D5067" s="69" t="s">
        <v>29417</v>
      </c>
      <c r="E5067" s="51"/>
      <c r="F5067" s="114" t="str">
        <f>IF(INDEX(I.Facility.P2aIDNumber,55)="","",INDEX(I.Facility.P2aIDNumber,55))</f>
        <v/>
      </c>
      <c r="G5067" s="51"/>
      <c r="H5067" s="46" t="str">
        <f>IF(AND(I.Developer.P2a=TRUE,I.Facility.P2aFacilityCount&gt;=55,F5067=""),"Incomplete","Complete")</f>
        <v>Complete</v>
      </c>
      <c r="I5067" s="48" t="s">
        <v>9432</v>
      </c>
    </row>
    <row r="5068" spans="2:9" ht="15" customHeight="1" x14ac:dyDescent="0.25">
      <c r="B5068" s="55" t="s">
        <v>280</v>
      </c>
      <c r="C5068" s="46">
        <v>56</v>
      </c>
      <c r="D5068" s="69" t="s">
        <v>29417</v>
      </c>
      <c r="E5068" s="51"/>
      <c r="F5068" s="114" t="str">
        <f>IF(INDEX(I.Facility.P2aIDNumber,56)="","",INDEX(I.Facility.P2aIDNumber,56))</f>
        <v/>
      </c>
      <c r="G5068" s="51"/>
      <c r="H5068" s="46" t="str">
        <f>IF(AND(I.Developer.P2a=TRUE,I.Facility.P2aFacilityCount&gt;=56,F5068=""),"Incomplete","Complete")</f>
        <v>Complete</v>
      </c>
      <c r="I5068" s="48" t="s">
        <v>9433</v>
      </c>
    </row>
    <row r="5069" spans="2:9" ht="15" customHeight="1" x14ac:dyDescent="0.25">
      <c r="B5069" s="55" t="s">
        <v>280</v>
      </c>
      <c r="C5069" s="46">
        <v>57</v>
      </c>
      <c r="D5069" s="69" t="s">
        <v>29417</v>
      </c>
      <c r="E5069" s="51"/>
      <c r="F5069" s="114" t="str">
        <f>IF(INDEX(I.Facility.P2aIDNumber,57)="","",INDEX(I.Facility.P2aIDNumber,57))</f>
        <v/>
      </c>
      <c r="G5069" s="51"/>
      <c r="H5069" s="46" t="str">
        <f>IF(AND(I.Developer.P2a=TRUE,I.Facility.P2aFacilityCount&gt;=57,F5069=""),"Incomplete","Complete")</f>
        <v>Complete</v>
      </c>
      <c r="I5069" s="48" t="s">
        <v>9434</v>
      </c>
    </row>
    <row r="5070" spans="2:9" ht="15" customHeight="1" x14ac:dyDescent="0.25">
      <c r="B5070" s="55" t="s">
        <v>280</v>
      </c>
      <c r="C5070" s="46">
        <v>58</v>
      </c>
      <c r="D5070" s="69" t="s">
        <v>29417</v>
      </c>
      <c r="E5070" s="51"/>
      <c r="F5070" s="114" t="str">
        <f>IF(INDEX(I.Facility.P2aIDNumber,58)="","",INDEX(I.Facility.P2aIDNumber,58))</f>
        <v/>
      </c>
      <c r="G5070" s="51"/>
      <c r="H5070" s="46" t="str">
        <f>IF(AND(I.Developer.P2a=TRUE,I.Facility.P2aFacilityCount&gt;=58,F5070=""),"Incomplete","Complete")</f>
        <v>Complete</v>
      </c>
      <c r="I5070" s="48" t="s">
        <v>9435</v>
      </c>
    </row>
    <row r="5071" spans="2:9" ht="15" customHeight="1" x14ac:dyDescent="0.25">
      <c r="B5071" s="55" t="s">
        <v>280</v>
      </c>
      <c r="C5071" s="46">
        <v>59</v>
      </c>
      <c r="D5071" s="69" t="s">
        <v>29417</v>
      </c>
      <c r="E5071" s="51"/>
      <c r="F5071" s="114" t="str">
        <f>IF(INDEX(I.Facility.P2aIDNumber,59)="","",INDEX(I.Facility.P2aIDNumber,59))</f>
        <v/>
      </c>
      <c r="G5071" s="51"/>
      <c r="H5071" s="46" t="str">
        <f>IF(AND(I.Developer.P2a=TRUE,I.Facility.P2aFacilityCount&gt;=59,F5071=""),"Incomplete","Complete")</f>
        <v>Complete</v>
      </c>
      <c r="I5071" s="48" t="s">
        <v>9436</v>
      </c>
    </row>
    <row r="5072" spans="2:9" ht="15" customHeight="1" x14ac:dyDescent="0.25">
      <c r="B5072" s="55" t="s">
        <v>280</v>
      </c>
      <c r="C5072" s="46">
        <v>60</v>
      </c>
      <c r="D5072" s="69" t="s">
        <v>29417</v>
      </c>
      <c r="E5072" s="51"/>
      <c r="F5072" s="114" t="str">
        <f>IF(INDEX(I.Facility.P2aIDNumber,60)="","",INDEX(I.Facility.P2aIDNumber,60))</f>
        <v/>
      </c>
      <c r="G5072" s="51"/>
      <c r="H5072" s="46" t="str">
        <f>IF(AND(I.Developer.P2a=TRUE,I.Facility.P2aFacilityCount&gt;=60,F5072=""),"Incomplete","Complete")</f>
        <v>Complete</v>
      </c>
      <c r="I5072" s="48" t="s">
        <v>9437</v>
      </c>
    </row>
    <row r="5073" spans="2:9" ht="15" customHeight="1" x14ac:dyDescent="0.25">
      <c r="B5073" s="55" t="s">
        <v>280</v>
      </c>
      <c r="C5073" s="46">
        <v>61</v>
      </c>
      <c r="D5073" s="69" t="s">
        <v>29417</v>
      </c>
      <c r="E5073" s="51"/>
      <c r="F5073" s="114" t="str">
        <f>IF(INDEX(I.Facility.P2aIDNumber,61)="","",INDEX(I.Facility.P2aIDNumber,61))</f>
        <v/>
      </c>
      <c r="G5073" s="51"/>
      <c r="H5073" s="46" t="str">
        <f>IF(AND(I.Developer.P2a=TRUE,I.Facility.P2aFacilityCount&gt;=61,F5073=""),"Incomplete","Complete")</f>
        <v>Complete</v>
      </c>
      <c r="I5073" s="48" t="s">
        <v>9438</v>
      </c>
    </row>
    <row r="5074" spans="2:9" ht="15" customHeight="1" x14ac:dyDescent="0.25">
      <c r="B5074" s="55" t="s">
        <v>280</v>
      </c>
      <c r="C5074" s="46">
        <v>62</v>
      </c>
      <c r="D5074" s="69" t="s">
        <v>29417</v>
      </c>
      <c r="E5074" s="51"/>
      <c r="F5074" s="114" t="str">
        <f>IF(INDEX(I.Facility.P2aIDNumber,62)="","",INDEX(I.Facility.P2aIDNumber,62))</f>
        <v/>
      </c>
      <c r="G5074" s="51"/>
      <c r="H5074" s="46" t="str">
        <f>IF(AND(I.Developer.P2a=TRUE,I.Facility.P2aFacilityCount&gt;=62,F5074=""),"Incomplete","Complete")</f>
        <v>Complete</v>
      </c>
      <c r="I5074" s="48" t="s">
        <v>9439</v>
      </c>
    </row>
    <row r="5075" spans="2:9" ht="15" customHeight="1" x14ac:dyDescent="0.25">
      <c r="B5075" s="55" t="s">
        <v>280</v>
      </c>
      <c r="C5075" s="46">
        <v>63</v>
      </c>
      <c r="D5075" s="69" t="s">
        <v>29417</v>
      </c>
      <c r="E5075" s="51"/>
      <c r="F5075" s="114" t="str">
        <f>IF(INDEX(I.Facility.P2aIDNumber,63)="","",INDEX(I.Facility.P2aIDNumber,63))</f>
        <v/>
      </c>
      <c r="G5075" s="51"/>
      <c r="H5075" s="46" t="str">
        <f>IF(AND(I.Developer.P2a=TRUE,I.Facility.P2aFacilityCount&gt;=63,F5075=""),"Incomplete","Complete")</f>
        <v>Complete</v>
      </c>
      <c r="I5075" s="48" t="s">
        <v>9440</v>
      </c>
    </row>
    <row r="5076" spans="2:9" ht="15" customHeight="1" x14ac:dyDescent="0.25">
      <c r="B5076" s="55" t="s">
        <v>280</v>
      </c>
      <c r="C5076" s="46">
        <v>64</v>
      </c>
      <c r="D5076" s="69" t="s">
        <v>29417</v>
      </c>
      <c r="E5076" s="51"/>
      <c r="F5076" s="114" t="str">
        <f>IF(INDEX(I.Facility.P2aIDNumber,64)="","",INDEX(I.Facility.P2aIDNumber,64))</f>
        <v/>
      </c>
      <c r="G5076" s="51"/>
      <c r="H5076" s="46" t="str">
        <f>IF(AND(I.Developer.P2a=TRUE,I.Facility.P2aFacilityCount&gt;=64,F5076=""),"Incomplete","Complete")</f>
        <v>Complete</v>
      </c>
      <c r="I5076" s="48" t="s">
        <v>9441</v>
      </c>
    </row>
    <row r="5077" spans="2:9" ht="15" customHeight="1" x14ac:dyDescent="0.25">
      <c r="B5077" s="55" t="s">
        <v>280</v>
      </c>
      <c r="C5077" s="46">
        <v>65</v>
      </c>
      <c r="D5077" s="69" t="s">
        <v>29417</v>
      </c>
      <c r="E5077" s="51"/>
      <c r="F5077" s="114" t="str">
        <f>IF(INDEX(I.Facility.P2aIDNumber,65)="","",INDEX(I.Facility.P2aIDNumber,65))</f>
        <v/>
      </c>
      <c r="G5077" s="51"/>
      <c r="H5077" s="46" t="str">
        <f>IF(AND(I.Developer.P2a=TRUE,I.Facility.P2aFacilityCount&gt;=65,F5077=""),"Incomplete","Complete")</f>
        <v>Complete</v>
      </c>
      <c r="I5077" s="48" t="s">
        <v>9442</v>
      </c>
    </row>
    <row r="5078" spans="2:9" ht="15" customHeight="1" x14ac:dyDescent="0.25">
      <c r="B5078" s="55" t="s">
        <v>280</v>
      </c>
      <c r="C5078" s="46">
        <v>66</v>
      </c>
      <c r="D5078" s="69" t="s">
        <v>29417</v>
      </c>
      <c r="E5078" s="51"/>
      <c r="F5078" s="114" t="str">
        <f>IF(INDEX(I.Facility.P2aIDNumber,66)="","",INDEX(I.Facility.P2aIDNumber,66))</f>
        <v/>
      </c>
      <c r="G5078" s="51"/>
      <c r="H5078" s="46" t="str">
        <f>IF(AND(I.Developer.P2a=TRUE,I.Facility.P2aFacilityCount&gt;=66,F5078=""),"Incomplete","Complete")</f>
        <v>Complete</v>
      </c>
      <c r="I5078" s="48" t="s">
        <v>9443</v>
      </c>
    </row>
    <row r="5079" spans="2:9" ht="15" customHeight="1" x14ac:dyDescent="0.25">
      <c r="B5079" s="55" t="s">
        <v>280</v>
      </c>
      <c r="C5079" s="46">
        <v>67</v>
      </c>
      <c r="D5079" s="69" t="s">
        <v>29417</v>
      </c>
      <c r="E5079" s="51"/>
      <c r="F5079" s="114" t="str">
        <f>IF(INDEX(I.Facility.P2aIDNumber,67)="","",INDEX(I.Facility.P2aIDNumber,67))</f>
        <v/>
      </c>
      <c r="G5079" s="51"/>
      <c r="H5079" s="46" t="str">
        <f>IF(AND(I.Developer.P2a=TRUE,I.Facility.P2aFacilityCount&gt;=67,F5079=""),"Incomplete","Complete")</f>
        <v>Complete</v>
      </c>
      <c r="I5079" s="48" t="s">
        <v>9444</v>
      </c>
    </row>
    <row r="5080" spans="2:9" ht="15" customHeight="1" x14ac:dyDescent="0.25">
      <c r="B5080" s="55" t="s">
        <v>280</v>
      </c>
      <c r="C5080" s="46">
        <v>68</v>
      </c>
      <c r="D5080" s="69" t="s">
        <v>29417</v>
      </c>
      <c r="E5080" s="51"/>
      <c r="F5080" s="114" t="str">
        <f>IF(INDEX(I.Facility.P2aIDNumber,68)="","",INDEX(I.Facility.P2aIDNumber,68))</f>
        <v/>
      </c>
      <c r="G5080" s="51"/>
      <c r="H5080" s="46" t="str">
        <f>IF(AND(I.Developer.P2a=TRUE,I.Facility.P2aFacilityCount&gt;=68,F5080=""),"Incomplete","Complete")</f>
        <v>Complete</v>
      </c>
      <c r="I5080" s="48" t="s">
        <v>9445</v>
      </c>
    </row>
    <row r="5081" spans="2:9" ht="15" customHeight="1" x14ac:dyDescent="0.25">
      <c r="B5081" s="55" t="s">
        <v>280</v>
      </c>
      <c r="C5081" s="46">
        <v>69</v>
      </c>
      <c r="D5081" s="69" t="s">
        <v>29417</v>
      </c>
      <c r="E5081" s="51"/>
      <c r="F5081" s="114" t="str">
        <f>IF(INDEX(I.Facility.P2aIDNumber,69)="","",INDEX(I.Facility.P2aIDNumber,69))</f>
        <v/>
      </c>
      <c r="G5081" s="51"/>
      <c r="H5081" s="46" t="str">
        <f>IF(AND(I.Developer.P2a=TRUE,I.Facility.P2aFacilityCount&gt;=69,F5081=""),"Incomplete","Complete")</f>
        <v>Complete</v>
      </c>
      <c r="I5081" s="48" t="s">
        <v>9446</v>
      </c>
    </row>
    <row r="5082" spans="2:9" ht="15" customHeight="1" x14ac:dyDescent="0.25">
      <c r="B5082" s="55" t="s">
        <v>280</v>
      </c>
      <c r="C5082" s="46">
        <v>70</v>
      </c>
      <c r="D5082" s="69" t="s">
        <v>29417</v>
      </c>
      <c r="E5082" s="51"/>
      <c r="F5082" s="114" t="str">
        <f>IF(INDEX(I.Facility.P2aIDNumber,70)="","",INDEX(I.Facility.P2aIDNumber,70))</f>
        <v/>
      </c>
      <c r="G5082" s="51"/>
      <c r="H5082" s="46" t="str">
        <f>IF(AND(I.Developer.P2a=TRUE,I.Facility.P2aFacilityCount&gt;=70,F5082=""),"Incomplete","Complete")</f>
        <v>Complete</v>
      </c>
      <c r="I5082" s="48" t="s">
        <v>9447</v>
      </c>
    </row>
    <row r="5083" spans="2:9" ht="15" customHeight="1" x14ac:dyDescent="0.25">
      <c r="B5083" s="55" t="s">
        <v>280</v>
      </c>
      <c r="C5083" s="46">
        <v>71</v>
      </c>
      <c r="D5083" s="69" t="s">
        <v>29417</v>
      </c>
      <c r="E5083" s="51"/>
      <c r="F5083" s="114" t="str">
        <f>IF(INDEX(I.Facility.P2aIDNumber,71)="","",INDEX(I.Facility.P2aIDNumber,71))</f>
        <v/>
      </c>
      <c r="G5083" s="51"/>
      <c r="H5083" s="46" t="str">
        <f>IF(AND(I.Developer.P2a=TRUE,I.Facility.P2aFacilityCount&gt;=71,F5083=""),"Incomplete","Complete")</f>
        <v>Complete</v>
      </c>
      <c r="I5083" s="48" t="s">
        <v>9448</v>
      </c>
    </row>
    <row r="5084" spans="2:9" ht="15" customHeight="1" x14ac:dyDescent="0.25">
      <c r="B5084" s="55" t="s">
        <v>280</v>
      </c>
      <c r="C5084" s="46">
        <v>72</v>
      </c>
      <c r="D5084" s="69" t="s">
        <v>29417</v>
      </c>
      <c r="E5084" s="51"/>
      <c r="F5084" s="114" t="str">
        <f>IF(INDEX(I.Facility.P2aIDNumber,72)="","",INDEX(I.Facility.P2aIDNumber,72))</f>
        <v/>
      </c>
      <c r="G5084" s="51"/>
      <c r="H5084" s="46" t="str">
        <f>IF(AND(I.Developer.P2a=TRUE,I.Facility.P2aFacilityCount&gt;=72,F5084=""),"Incomplete","Complete")</f>
        <v>Complete</v>
      </c>
      <c r="I5084" s="48" t="s">
        <v>9449</v>
      </c>
    </row>
    <row r="5085" spans="2:9" ht="15" customHeight="1" x14ac:dyDescent="0.25">
      <c r="B5085" s="55" t="s">
        <v>280</v>
      </c>
      <c r="C5085" s="46">
        <v>73</v>
      </c>
      <c r="D5085" s="69" t="s">
        <v>29417</v>
      </c>
      <c r="E5085" s="51"/>
      <c r="F5085" s="114" t="str">
        <f>IF(INDEX(I.Facility.P2aIDNumber,73)="","",INDEX(I.Facility.P2aIDNumber,73))</f>
        <v/>
      </c>
      <c r="G5085" s="51"/>
      <c r="H5085" s="46" t="str">
        <f>IF(AND(I.Developer.P2a=TRUE,I.Facility.P2aFacilityCount&gt;=73,F5085=""),"Incomplete","Complete")</f>
        <v>Complete</v>
      </c>
      <c r="I5085" s="48" t="s">
        <v>9450</v>
      </c>
    </row>
    <row r="5086" spans="2:9" ht="15" customHeight="1" x14ac:dyDescent="0.25">
      <c r="B5086" s="55" t="s">
        <v>280</v>
      </c>
      <c r="C5086" s="46">
        <v>74</v>
      </c>
      <c r="D5086" s="69" t="s">
        <v>29417</v>
      </c>
      <c r="E5086" s="51"/>
      <c r="F5086" s="114" t="str">
        <f>IF(INDEX(I.Facility.P2aIDNumber,74)="","",INDEX(I.Facility.P2aIDNumber,74))</f>
        <v/>
      </c>
      <c r="G5086" s="51"/>
      <c r="H5086" s="46" t="str">
        <f>IF(AND(I.Developer.P2a=TRUE,I.Facility.P2aFacilityCount&gt;=74,F5086=""),"Incomplete","Complete")</f>
        <v>Complete</v>
      </c>
      <c r="I5086" s="48" t="s">
        <v>9451</v>
      </c>
    </row>
    <row r="5087" spans="2:9" ht="15" customHeight="1" x14ac:dyDescent="0.25">
      <c r="B5087" s="55" t="s">
        <v>280</v>
      </c>
      <c r="C5087" s="46">
        <v>75</v>
      </c>
      <c r="D5087" s="69" t="s">
        <v>29417</v>
      </c>
      <c r="E5087" s="51"/>
      <c r="F5087" s="114" t="str">
        <f>IF(INDEX(I.Facility.P2aIDNumber,75)="","",INDEX(I.Facility.P2aIDNumber,75))</f>
        <v/>
      </c>
      <c r="G5087" s="51"/>
      <c r="H5087" s="46" t="str">
        <f>IF(AND(I.Developer.P2a=TRUE,I.Facility.P2aFacilityCount&gt;=75,F5087=""),"Incomplete","Complete")</f>
        <v>Complete</v>
      </c>
      <c r="I5087" s="48" t="s">
        <v>9452</v>
      </c>
    </row>
    <row r="5088" spans="2:9" ht="15" customHeight="1" x14ac:dyDescent="0.25">
      <c r="B5088" s="55" t="s">
        <v>280</v>
      </c>
      <c r="C5088" s="46">
        <v>76</v>
      </c>
      <c r="D5088" s="69" t="s">
        <v>29417</v>
      </c>
      <c r="E5088" s="51"/>
      <c r="F5088" s="114" t="str">
        <f>IF(INDEX(I.Facility.P2aIDNumber,76)="","",INDEX(I.Facility.P2aIDNumber,76))</f>
        <v/>
      </c>
      <c r="G5088" s="51"/>
      <c r="H5088" s="46" t="str">
        <f>IF(AND(I.Developer.P2a=TRUE,I.Facility.P2aFacilityCount&gt;=76,F5088=""),"Incomplete","Complete")</f>
        <v>Complete</v>
      </c>
      <c r="I5088" s="48" t="s">
        <v>9453</v>
      </c>
    </row>
    <row r="5089" spans="2:9" ht="15" customHeight="1" x14ac:dyDescent="0.25">
      <c r="B5089" s="55" t="s">
        <v>280</v>
      </c>
      <c r="C5089" s="46">
        <v>77</v>
      </c>
      <c r="D5089" s="69" t="s">
        <v>29417</v>
      </c>
      <c r="E5089" s="51"/>
      <c r="F5089" s="114" t="str">
        <f>IF(INDEX(I.Facility.P2aIDNumber,77)="","",INDEX(I.Facility.P2aIDNumber,77))</f>
        <v/>
      </c>
      <c r="G5089" s="51"/>
      <c r="H5089" s="46" t="str">
        <f>IF(AND(I.Developer.P2a=TRUE,I.Facility.P2aFacilityCount&gt;=77,F5089=""),"Incomplete","Complete")</f>
        <v>Complete</v>
      </c>
      <c r="I5089" s="48" t="s">
        <v>9454</v>
      </c>
    </row>
    <row r="5090" spans="2:9" ht="15" customHeight="1" x14ac:dyDescent="0.25">
      <c r="B5090" s="55" t="s">
        <v>280</v>
      </c>
      <c r="C5090" s="46">
        <v>78</v>
      </c>
      <c r="D5090" s="69" t="s">
        <v>29417</v>
      </c>
      <c r="E5090" s="51"/>
      <c r="F5090" s="114" t="str">
        <f>IF(INDEX(I.Facility.P2aIDNumber,78)="","",INDEX(I.Facility.P2aIDNumber,78))</f>
        <v/>
      </c>
      <c r="G5090" s="51"/>
      <c r="H5090" s="46" t="str">
        <f>IF(AND(I.Developer.P2a=TRUE,I.Facility.P2aFacilityCount&gt;=78,F5090=""),"Incomplete","Complete")</f>
        <v>Complete</v>
      </c>
      <c r="I5090" s="48" t="s">
        <v>9455</v>
      </c>
    </row>
    <row r="5091" spans="2:9" ht="15" customHeight="1" x14ac:dyDescent="0.25">
      <c r="B5091" s="55" t="s">
        <v>280</v>
      </c>
      <c r="C5091" s="46">
        <v>79</v>
      </c>
      <c r="D5091" s="69" t="s">
        <v>29417</v>
      </c>
      <c r="E5091" s="51"/>
      <c r="F5091" s="114" t="str">
        <f>IF(INDEX(I.Facility.P2aIDNumber,79)="","",INDEX(I.Facility.P2aIDNumber,79))</f>
        <v/>
      </c>
      <c r="G5091" s="51"/>
      <c r="H5091" s="46" t="str">
        <f>IF(AND(I.Developer.P2a=TRUE,I.Facility.P2aFacilityCount&gt;=79,F5091=""),"Incomplete","Complete")</f>
        <v>Complete</v>
      </c>
      <c r="I5091" s="48" t="s">
        <v>9456</v>
      </c>
    </row>
    <row r="5092" spans="2:9" ht="15" customHeight="1" x14ac:dyDescent="0.25">
      <c r="B5092" s="55" t="s">
        <v>280</v>
      </c>
      <c r="C5092" s="46">
        <v>80</v>
      </c>
      <c r="D5092" s="69" t="s">
        <v>29417</v>
      </c>
      <c r="E5092" s="51"/>
      <c r="F5092" s="114" t="str">
        <f>IF(INDEX(I.Facility.P2aIDNumber,80)="","",INDEX(I.Facility.P2aIDNumber,80))</f>
        <v/>
      </c>
      <c r="G5092" s="51"/>
      <c r="H5092" s="46" t="str">
        <f>IF(AND(I.Developer.P2a=TRUE,I.Facility.P2aFacilityCount&gt;=80,F5092=""),"Incomplete","Complete")</f>
        <v>Complete</v>
      </c>
      <c r="I5092" s="48" t="s">
        <v>9457</v>
      </c>
    </row>
    <row r="5093" spans="2:9" ht="15" customHeight="1" x14ac:dyDescent="0.25">
      <c r="B5093" s="55" t="s">
        <v>280</v>
      </c>
      <c r="C5093" s="46">
        <v>81</v>
      </c>
      <c r="D5093" s="69" t="s">
        <v>29417</v>
      </c>
      <c r="E5093" s="51"/>
      <c r="F5093" s="114" t="str">
        <f>IF(INDEX(I.Facility.P2aIDNumber,81)="","",INDEX(I.Facility.P2aIDNumber,81))</f>
        <v/>
      </c>
      <c r="G5093" s="51"/>
      <c r="H5093" s="46" t="str">
        <f>IF(AND(I.Developer.P2a=TRUE,I.Facility.P2aFacilityCount&gt;=81,F5093=""),"Incomplete","Complete")</f>
        <v>Complete</v>
      </c>
      <c r="I5093" s="48" t="s">
        <v>9458</v>
      </c>
    </row>
    <row r="5094" spans="2:9" ht="15" customHeight="1" x14ac:dyDescent="0.25">
      <c r="B5094" s="55" t="s">
        <v>280</v>
      </c>
      <c r="C5094" s="46">
        <v>82</v>
      </c>
      <c r="D5094" s="69" t="s">
        <v>29417</v>
      </c>
      <c r="E5094" s="51"/>
      <c r="F5094" s="114" t="str">
        <f>IF(INDEX(I.Facility.P2aIDNumber,82)="","",INDEX(I.Facility.P2aIDNumber,82))</f>
        <v/>
      </c>
      <c r="G5094" s="51"/>
      <c r="H5094" s="46" t="str">
        <f>IF(AND(I.Developer.P2a=TRUE,I.Facility.P2aFacilityCount&gt;=82,F5094=""),"Incomplete","Complete")</f>
        <v>Complete</v>
      </c>
      <c r="I5094" s="48" t="s">
        <v>9459</v>
      </c>
    </row>
    <row r="5095" spans="2:9" ht="15" customHeight="1" x14ac:dyDescent="0.25">
      <c r="B5095" s="55" t="s">
        <v>280</v>
      </c>
      <c r="C5095" s="46">
        <v>83</v>
      </c>
      <c r="D5095" s="69" t="s">
        <v>29417</v>
      </c>
      <c r="E5095" s="51"/>
      <c r="F5095" s="114" t="str">
        <f>IF(INDEX(I.Facility.P2aIDNumber,83)="","",INDEX(I.Facility.P2aIDNumber,83))</f>
        <v/>
      </c>
      <c r="G5095" s="51"/>
      <c r="H5095" s="46" t="str">
        <f>IF(AND(I.Developer.P2a=TRUE,I.Facility.P2aFacilityCount&gt;=83,F5095=""),"Incomplete","Complete")</f>
        <v>Complete</v>
      </c>
      <c r="I5095" s="48" t="s">
        <v>9460</v>
      </c>
    </row>
    <row r="5096" spans="2:9" ht="15" customHeight="1" x14ac:dyDescent="0.25">
      <c r="B5096" s="55" t="s">
        <v>280</v>
      </c>
      <c r="C5096" s="46">
        <v>84</v>
      </c>
      <c r="D5096" s="69" t="s">
        <v>29417</v>
      </c>
      <c r="E5096" s="51"/>
      <c r="F5096" s="114" t="str">
        <f>IF(INDEX(I.Facility.P2aIDNumber,84)="","",INDEX(I.Facility.P2aIDNumber,84))</f>
        <v/>
      </c>
      <c r="G5096" s="51"/>
      <c r="H5096" s="46" t="str">
        <f>IF(AND(I.Developer.P2a=TRUE,I.Facility.P2aFacilityCount&gt;=84,F5096=""),"Incomplete","Complete")</f>
        <v>Complete</v>
      </c>
      <c r="I5096" s="48" t="s">
        <v>9461</v>
      </c>
    </row>
    <row r="5097" spans="2:9" ht="15" customHeight="1" x14ac:dyDescent="0.25">
      <c r="B5097" s="55" t="s">
        <v>280</v>
      </c>
      <c r="C5097" s="46">
        <v>85</v>
      </c>
      <c r="D5097" s="69" t="s">
        <v>29417</v>
      </c>
      <c r="E5097" s="51"/>
      <c r="F5097" s="114" t="str">
        <f>IF(INDEX(I.Facility.P2aIDNumber,85)="","",INDEX(I.Facility.P2aIDNumber,85))</f>
        <v/>
      </c>
      <c r="G5097" s="51"/>
      <c r="H5097" s="46" t="str">
        <f>IF(AND(I.Developer.P2a=TRUE,I.Facility.P2aFacilityCount&gt;=85,F5097=""),"Incomplete","Complete")</f>
        <v>Complete</v>
      </c>
      <c r="I5097" s="48" t="s">
        <v>9462</v>
      </c>
    </row>
    <row r="5098" spans="2:9" ht="15" customHeight="1" x14ac:dyDescent="0.25">
      <c r="B5098" s="55" t="s">
        <v>280</v>
      </c>
      <c r="C5098" s="46">
        <v>86</v>
      </c>
      <c r="D5098" s="69" t="s">
        <v>29417</v>
      </c>
      <c r="E5098" s="51"/>
      <c r="F5098" s="114" t="str">
        <f>IF(INDEX(I.Facility.P2aIDNumber,86)="","",INDEX(I.Facility.P2aIDNumber,86))</f>
        <v/>
      </c>
      <c r="G5098" s="51"/>
      <c r="H5098" s="46" t="str">
        <f>IF(AND(I.Developer.P2a=TRUE,I.Facility.P2aFacilityCount&gt;=86,F5098=""),"Incomplete","Complete")</f>
        <v>Complete</v>
      </c>
      <c r="I5098" s="48" t="s">
        <v>9463</v>
      </c>
    </row>
    <row r="5099" spans="2:9" ht="15" customHeight="1" x14ac:dyDescent="0.25">
      <c r="B5099" s="55" t="s">
        <v>280</v>
      </c>
      <c r="C5099" s="46">
        <v>87</v>
      </c>
      <c r="D5099" s="69" t="s">
        <v>29417</v>
      </c>
      <c r="E5099" s="51"/>
      <c r="F5099" s="114" t="str">
        <f>IF(INDEX(I.Facility.P2aIDNumber,87)="","",INDEX(I.Facility.P2aIDNumber,87))</f>
        <v/>
      </c>
      <c r="G5099" s="51"/>
      <c r="H5099" s="46" t="str">
        <f>IF(AND(I.Developer.P2a=TRUE,I.Facility.P2aFacilityCount&gt;=87,F5099=""),"Incomplete","Complete")</f>
        <v>Complete</v>
      </c>
      <c r="I5099" s="48" t="s">
        <v>9464</v>
      </c>
    </row>
    <row r="5100" spans="2:9" ht="15" customHeight="1" x14ac:dyDescent="0.25">
      <c r="B5100" s="55" t="s">
        <v>280</v>
      </c>
      <c r="C5100" s="46">
        <v>88</v>
      </c>
      <c r="D5100" s="69" t="s">
        <v>29417</v>
      </c>
      <c r="E5100" s="51"/>
      <c r="F5100" s="114" t="str">
        <f>IF(INDEX(I.Facility.P2aIDNumber,88)="","",INDEX(I.Facility.P2aIDNumber,88))</f>
        <v/>
      </c>
      <c r="G5100" s="51"/>
      <c r="H5100" s="46" t="str">
        <f>IF(AND(I.Developer.P2a=TRUE,I.Facility.P2aFacilityCount&gt;=88,F5100=""),"Incomplete","Complete")</f>
        <v>Complete</v>
      </c>
      <c r="I5100" s="48" t="s">
        <v>9465</v>
      </c>
    </row>
    <row r="5101" spans="2:9" ht="15" customHeight="1" x14ac:dyDescent="0.25">
      <c r="B5101" s="55" t="s">
        <v>280</v>
      </c>
      <c r="C5101" s="46">
        <v>89</v>
      </c>
      <c r="D5101" s="69" t="s">
        <v>29417</v>
      </c>
      <c r="E5101" s="51"/>
      <c r="F5101" s="114" t="str">
        <f>IF(INDEX(I.Facility.P2aIDNumber,89)="","",INDEX(I.Facility.P2aIDNumber,89))</f>
        <v/>
      </c>
      <c r="G5101" s="51"/>
      <c r="H5101" s="46" t="str">
        <f>IF(AND(I.Developer.P2a=TRUE,I.Facility.P2aFacilityCount&gt;=89,F5101=""),"Incomplete","Complete")</f>
        <v>Complete</v>
      </c>
      <c r="I5101" s="48" t="s">
        <v>9466</v>
      </c>
    </row>
    <row r="5102" spans="2:9" ht="15" customHeight="1" x14ac:dyDescent="0.25">
      <c r="B5102" s="55" t="s">
        <v>280</v>
      </c>
      <c r="C5102" s="46">
        <v>90</v>
      </c>
      <c r="D5102" s="69" t="s">
        <v>29417</v>
      </c>
      <c r="E5102" s="51"/>
      <c r="F5102" s="114" t="str">
        <f>IF(INDEX(I.Facility.P2aIDNumber,90)="","",INDEX(I.Facility.P2aIDNumber,90))</f>
        <v/>
      </c>
      <c r="G5102" s="51"/>
      <c r="H5102" s="46" t="str">
        <f>IF(AND(I.Developer.P2a=TRUE,I.Facility.P2aFacilityCount&gt;=90,F5102=""),"Incomplete","Complete")</f>
        <v>Complete</v>
      </c>
      <c r="I5102" s="48" t="s">
        <v>9467</v>
      </c>
    </row>
    <row r="5103" spans="2:9" ht="15" customHeight="1" x14ac:dyDescent="0.25">
      <c r="B5103" s="55" t="s">
        <v>280</v>
      </c>
      <c r="C5103" s="46">
        <v>91</v>
      </c>
      <c r="D5103" s="69" t="s">
        <v>29417</v>
      </c>
      <c r="E5103" s="51"/>
      <c r="F5103" s="114" t="str">
        <f>IF(INDEX(I.Facility.P2aIDNumber,91)="","",INDEX(I.Facility.P2aIDNumber,91))</f>
        <v/>
      </c>
      <c r="G5103" s="51"/>
      <c r="H5103" s="46" t="str">
        <f>IF(AND(I.Developer.P2a=TRUE,I.Facility.P2aFacilityCount&gt;=91,F5103=""),"Incomplete","Complete")</f>
        <v>Complete</v>
      </c>
      <c r="I5103" s="48" t="s">
        <v>9468</v>
      </c>
    </row>
    <row r="5104" spans="2:9" ht="15" customHeight="1" x14ac:dyDescent="0.25">
      <c r="B5104" s="55" t="s">
        <v>280</v>
      </c>
      <c r="C5104" s="46">
        <v>92</v>
      </c>
      <c r="D5104" s="69" t="s">
        <v>29417</v>
      </c>
      <c r="E5104" s="51"/>
      <c r="F5104" s="114" t="str">
        <f>IF(INDEX(I.Facility.P2aIDNumber,92)="","",INDEX(I.Facility.P2aIDNumber,92))</f>
        <v/>
      </c>
      <c r="G5104" s="51"/>
      <c r="H5104" s="46" t="str">
        <f>IF(AND(I.Developer.P2a=TRUE,I.Facility.P2aFacilityCount&gt;=92,F5104=""),"Incomplete","Complete")</f>
        <v>Complete</v>
      </c>
      <c r="I5104" s="48" t="s">
        <v>9469</v>
      </c>
    </row>
    <row r="5105" spans="2:9" ht="15" customHeight="1" x14ac:dyDescent="0.25">
      <c r="B5105" s="55" t="s">
        <v>280</v>
      </c>
      <c r="C5105" s="46">
        <v>93</v>
      </c>
      <c r="D5105" s="69" t="s">
        <v>29417</v>
      </c>
      <c r="E5105" s="51"/>
      <c r="F5105" s="114" t="str">
        <f>IF(INDEX(I.Facility.P2aIDNumber,93)="","",INDEX(I.Facility.P2aIDNumber,93))</f>
        <v/>
      </c>
      <c r="G5105" s="51"/>
      <c r="H5105" s="46" t="str">
        <f>IF(AND(I.Developer.P2a=TRUE,I.Facility.P2aFacilityCount&gt;=93,F5105=""),"Incomplete","Complete")</f>
        <v>Complete</v>
      </c>
      <c r="I5105" s="48" t="s">
        <v>9470</v>
      </c>
    </row>
    <row r="5106" spans="2:9" ht="15" customHeight="1" x14ac:dyDescent="0.25">
      <c r="B5106" s="55" t="s">
        <v>280</v>
      </c>
      <c r="C5106" s="46">
        <v>94</v>
      </c>
      <c r="D5106" s="69" t="s">
        <v>29417</v>
      </c>
      <c r="E5106" s="51"/>
      <c r="F5106" s="114" t="str">
        <f>IF(INDEX(I.Facility.P2aIDNumber,94)="","",INDEX(I.Facility.P2aIDNumber,94))</f>
        <v/>
      </c>
      <c r="G5106" s="51"/>
      <c r="H5106" s="46" t="str">
        <f>IF(AND(I.Developer.P2a=TRUE,I.Facility.P2aFacilityCount&gt;=94,F5106=""),"Incomplete","Complete")</f>
        <v>Complete</v>
      </c>
      <c r="I5106" s="48" t="s">
        <v>9471</v>
      </c>
    </row>
    <row r="5107" spans="2:9" ht="15" customHeight="1" x14ac:dyDescent="0.25">
      <c r="B5107" s="55" t="s">
        <v>280</v>
      </c>
      <c r="C5107" s="46">
        <v>95</v>
      </c>
      <c r="D5107" s="69" t="s">
        <v>29417</v>
      </c>
      <c r="E5107" s="51"/>
      <c r="F5107" s="114" t="str">
        <f>IF(INDEX(I.Facility.P2aIDNumber,95)="","",INDEX(I.Facility.P2aIDNumber,95))</f>
        <v/>
      </c>
      <c r="G5107" s="51"/>
      <c r="H5107" s="46" t="str">
        <f>IF(AND(I.Developer.P2a=TRUE,I.Facility.P2aFacilityCount&gt;=95,F5107=""),"Incomplete","Complete")</f>
        <v>Complete</v>
      </c>
      <c r="I5107" s="48" t="s">
        <v>9472</v>
      </c>
    </row>
    <row r="5108" spans="2:9" ht="15" customHeight="1" x14ac:dyDescent="0.25">
      <c r="B5108" s="55" t="s">
        <v>280</v>
      </c>
      <c r="C5108" s="46">
        <v>96</v>
      </c>
      <c r="D5108" s="69" t="s">
        <v>29417</v>
      </c>
      <c r="E5108" s="51"/>
      <c r="F5108" s="114" t="str">
        <f>IF(INDEX(I.Facility.P2aIDNumber,96)="","",INDEX(I.Facility.P2aIDNumber,96))</f>
        <v/>
      </c>
      <c r="G5108" s="51"/>
      <c r="H5108" s="46" t="str">
        <f>IF(AND(I.Developer.P2a=TRUE,I.Facility.P2aFacilityCount&gt;=96,F5108=""),"Incomplete","Complete")</f>
        <v>Complete</v>
      </c>
      <c r="I5108" s="48" t="s">
        <v>9473</v>
      </c>
    </row>
    <row r="5109" spans="2:9" ht="15" customHeight="1" x14ac:dyDescent="0.25">
      <c r="B5109" s="55" t="s">
        <v>280</v>
      </c>
      <c r="C5109" s="46">
        <v>97</v>
      </c>
      <c r="D5109" s="69" t="s">
        <v>29417</v>
      </c>
      <c r="E5109" s="51"/>
      <c r="F5109" s="114" t="str">
        <f>IF(INDEX(I.Facility.P2aIDNumber,97)="","",INDEX(I.Facility.P2aIDNumber,97))</f>
        <v/>
      </c>
      <c r="G5109" s="51"/>
      <c r="H5109" s="46" t="str">
        <f>IF(AND(I.Developer.P2a=TRUE,I.Facility.P2aFacilityCount&gt;=97,F5109=""),"Incomplete","Complete")</f>
        <v>Complete</v>
      </c>
      <c r="I5109" s="48" t="s">
        <v>9474</v>
      </c>
    </row>
    <row r="5110" spans="2:9" ht="15" customHeight="1" x14ac:dyDescent="0.25">
      <c r="B5110" s="55" t="s">
        <v>280</v>
      </c>
      <c r="C5110" s="46">
        <v>98</v>
      </c>
      <c r="D5110" s="69" t="s">
        <v>29417</v>
      </c>
      <c r="E5110" s="51"/>
      <c r="F5110" s="114" t="str">
        <f>IF(INDEX(I.Facility.P2aIDNumber,98)="","",INDEX(I.Facility.P2aIDNumber,98))</f>
        <v/>
      </c>
      <c r="G5110" s="51"/>
      <c r="H5110" s="46" t="str">
        <f>IF(AND(I.Developer.P2a=TRUE,I.Facility.P2aFacilityCount&gt;=98,F5110=""),"Incomplete","Complete")</f>
        <v>Complete</v>
      </c>
      <c r="I5110" s="48" t="s">
        <v>9475</v>
      </c>
    </row>
    <row r="5111" spans="2:9" ht="15" customHeight="1" x14ac:dyDescent="0.25">
      <c r="B5111" s="55" t="s">
        <v>280</v>
      </c>
      <c r="C5111" s="46">
        <v>99</v>
      </c>
      <c r="D5111" s="69" t="s">
        <v>29417</v>
      </c>
      <c r="E5111" s="51"/>
      <c r="F5111" s="114" t="str">
        <f>IF(INDEX(I.Facility.P2aIDNumber,99)="","",INDEX(I.Facility.P2aIDNumber,99))</f>
        <v/>
      </c>
      <c r="G5111" s="51"/>
      <c r="H5111" s="46" t="str">
        <f>IF(AND(I.Developer.P2a=TRUE,I.Facility.P2aFacilityCount&gt;=99,F5111=""),"Incomplete","Complete")</f>
        <v>Complete</v>
      </c>
      <c r="I5111" s="48" t="s">
        <v>9476</v>
      </c>
    </row>
    <row r="5112" spans="2:9" ht="15" customHeight="1" x14ac:dyDescent="0.25">
      <c r="B5112" s="55" t="s">
        <v>280</v>
      </c>
      <c r="C5112" s="46">
        <v>100</v>
      </c>
      <c r="D5112" s="69" t="s">
        <v>29417</v>
      </c>
      <c r="E5112" s="51"/>
      <c r="F5112" s="114" t="str">
        <f>IF(INDEX(I.Facility.P2aIDNumber,100)="","",INDEX(I.Facility.P2aIDNumber,100))</f>
        <v/>
      </c>
      <c r="G5112" s="51"/>
      <c r="H5112" s="46" t="str">
        <f>IF(AND(I.Developer.P2a=TRUE,I.Facility.P2aFacilityCount&gt;=100,F5112=""),"Incomplete","Complete")</f>
        <v>Complete</v>
      </c>
      <c r="I5112" s="48" t="s">
        <v>9477</v>
      </c>
    </row>
    <row r="5113" spans="2:9" ht="15" customHeight="1" x14ac:dyDescent="0.25">
      <c r="B5113" s="55" t="s">
        <v>280</v>
      </c>
      <c r="C5113" s="46">
        <v>101</v>
      </c>
      <c r="D5113" s="69" t="s">
        <v>29417</v>
      </c>
      <c r="E5113" s="51"/>
      <c r="F5113" s="114" t="str">
        <f>IF(INDEX(I.Facility.P2aIDNumber,101)="","",INDEX(I.Facility.P2aIDNumber,101))</f>
        <v/>
      </c>
      <c r="G5113" s="51"/>
      <c r="H5113" s="46" t="str">
        <f>IF(AND(I.Developer.P2a=TRUE,I.Facility.P2aFacilityCount&gt;=101,F5113=""),"Incomplete","Complete")</f>
        <v>Complete</v>
      </c>
      <c r="I5113" s="48" t="s">
        <v>9478</v>
      </c>
    </row>
    <row r="5114" spans="2:9" ht="15" customHeight="1" x14ac:dyDescent="0.25">
      <c r="B5114" s="55" t="s">
        <v>280</v>
      </c>
      <c r="C5114" s="46">
        <v>102</v>
      </c>
      <c r="D5114" s="69" t="s">
        <v>29417</v>
      </c>
      <c r="E5114" s="51"/>
      <c r="F5114" s="114" t="str">
        <f>IF(INDEX(I.Facility.P2aIDNumber,102)="","",INDEX(I.Facility.P2aIDNumber,102))</f>
        <v/>
      </c>
      <c r="G5114" s="51"/>
      <c r="H5114" s="46" t="str">
        <f>IF(AND(I.Developer.P2a=TRUE,I.Facility.P2aFacilityCount&gt;=102,F5114=""),"Incomplete","Complete")</f>
        <v>Complete</v>
      </c>
      <c r="I5114" s="48" t="s">
        <v>9479</v>
      </c>
    </row>
    <row r="5115" spans="2:9" ht="15" customHeight="1" x14ac:dyDescent="0.25">
      <c r="B5115" s="55" t="s">
        <v>280</v>
      </c>
      <c r="C5115" s="46">
        <v>103</v>
      </c>
      <c r="D5115" s="69" t="s">
        <v>29417</v>
      </c>
      <c r="E5115" s="51"/>
      <c r="F5115" s="114" t="str">
        <f>IF(INDEX(I.Facility.P2aIDNumber,103)="","",INDEX(I.Facility.P2aIDNumber,103))</f>
        <v/>
      </c>
      <c r="G5115" s="51"/>
      <c r="H5115" s="46" t="str">
        <f>IF(AND(I.Developer.P2a=TRUE,I.Facility.P2aFacilityCount&gt;=103,F5115=""),"Incomplete","Complete")</f>
        <v>Complete</v>
      </c>
      <c r="I5115" s="48" t="s">
        <v>9480</v>
      </c>
    </row>
    <row r="5116" spans="2:9" ht="15" customHeight="1" x14ac:dyDescent="0.25">
      <c r="B5116" s="55" t="s">
        <v>280</v>
      </c>
      <c r="C5116" s="46">
        <v>104</v>
      </c>
      <c r="D5116" s="69" t="s">
        <v>29417</v>
      </c>
      <c r="E5116" s="51"/>
      <c r="F5116" s="114" t="str">
        <f>IF(INDEX(I.Facility.P2aIDNumber,104)="","",INDEX(I.Facility.P2aIDNumber,104))</f>
        <v/>
      </c>
      <c r="G5116" s="51"/>
      <c r="H5116" s="46" t="str">
        <f>IF(AND(I.Developer.P2a=TRUE,I.Facility.P2aFacilityCount&gt;=104,F5116=""),"Incomplete","Complete")</f>
        <v>Complete</v>
      </c>
      <c r="I5116" s="48" t="s">
        <v>9481</v>
      </c>
    </row>
    <row r="5117" spans="2:9" ht="15" customHeight="1" x14ac:dyDescent="0.25">
      <c r="B5117" s="55" t="s">
        <v>280</v>
      </c>
      <c r="C5117" s="46">
        <v>105</v>
      </c>
      <c r="D5117" s="69" t="s">
        <v>29417</v>
      </c>
      <c r="E5117" s="51"/>
      <c r="F5117" s="114" t="str">
        <f>IF(INDEX(I.Facility.P2aIDNumber,105)="","",INDEX(I.Facility.P2aIDNumber,105))</f>
        <v/>
      </c>
      <c r="G5117" s="51"/>
      <c r="H5117" s="46" t="str">
        <f>IF(AND(I.Developer.P2a=TRUE,I.Facility.P2aFacilityCount&gt;=105,F5117=""),"Incomplete","Complete")</f>
        <v>Complete</v>
      </c>
      <c r="I5117" s="48" t="s">
        <v>9482</v>
      </c>
    </row>
    <row r="5118" spans="2:9" ht="15" customHeight="1" x14ac:dyDescent="0.25">
      <c r="B5118" s="55" t="s">
        <v>280</v>
      </c>
      <c r="C5118" s="46">
        <v>106</v>
      </c>
      <c r="D5118" s="69" t="s">
        <v>29417</v>
      </c>
      <c r="E5118" s="51"/>
      <c r="F5118" s="114" t="str">
        <f>IF(INDEX(I.Facility.P2aIDNumber,106)="","",INDEX(I.Facility.P2aIDNumber,106))</f>
        <v/>
      </c>
      <c r="G5118" s="51"/>
      <c r="H5118" s="46" t="str">
        <f>IF(AND(I.Developer.P2a=TRUE,I.Facility.P2aFacilityCount&gt;=106,F5118=""),"Incomplete","Complete")</f>
        <v>Complete</v>
      </c>
      <c r="I5118" s="48" t="s">
        <v>9483</v>
      </c>
    </row>
    <row r="5119" spans="2:9" ht="15" customHeight="1" x14ac:dyDescent="0.25">
      <c r="B5119" s="55" t="s">
        <v>280</v>
      </c>
      <c r="C5119" s="46">
        <v>107</v>
      </c>
      <c r="D5119" s="69" t="s">
        <v>29417</v>
      </c>
      <c r="E5119" s="51"/>
      <c r="F5119" s="114" t="str">
        <f>IF(INDEX(I.Facility.P2aIDNumber,107)="","",INDEX(I.Facility.P2aIDNumber,107))</f>
        <v/>
      </c>
      <c r="G5119" s="51"/>
      <c r="H5119" s="46" t="str">
        <f>IF(AND(I.Developer.P2a=TRUE,I.Facility.P2aFacilityCount&gt;=107,F5119=""),"Incomplete","Complete")</f>
        <v>Complete</v>
      </c>
      <c r="I5119" s="48" t="s">
        <v>9484</v>
      </c>
    </row>
    <row r="5120" spans="2:9" ht="15" customHeight="1" x14ac:dyDescent="0.25">
      <c r="B5120" s="55" t="s">
        <v>280</v>
      </c>
      <c r="C5120" s="46">
        <v>108</v>
      </c>
      <c r="D5120" s="69" t="s">
        <v>29417</v>
      </c>
      <c r="E5120" s="51"/>
      <c r="F5120" s="114" t="str">
        <f>IF(INDEX(I.Facility.P2aIDNumber,108)="","",INDEX(I.Facility.P2aIDNumber,108))</f>
        <v/>
      </c>
      <c r="G5120" s="51"/>
      <c r="H5120" s="46" t="str">
        <f>IF(AND(I.Developer.P2a=TRUE,I.Facility.P2aFacilityCount&gt;=108,F5120=""),"Incomplete","Complete")</f>
        <v>Complete</v>
      </c>
      <c r="I5120" s="48" t="s">
        <v>9485</v>
      </c>
    </row>
    <row r="5121" spans="2:9" ht="15" customHeight="1" x14ac:dyDescent="0.25">
      <c r="B5121" s="55" t="s">
        <v>280</v>
      </c>
      <c r="C5121" s="46">
        <v>109</v>
      </c>
      <c r="D5121" s="69" t="s">
        <v>29417</v>
      </c>
      <c r="E5121" s="51"/>
      <c r="F5121" s="114" t="str">
        <f>IF(INDEX(I.Facility.P2aIDNumber,109)="","",INDEX(I.Facility.P2aIDNumber,109))</f>
        <v/>
      </c>
      <c r="G5121" s="51"/>
      <c r="H5121" s="46" t="str">
        <f>IF(AND(I.Developer.P2a=TRUE,I.Facility.P2aFacilityCount&gt;=109,F5121=""),"Incomplete","Complete")</f>
        <v>Complete</v>
      </c>
      <c r="I5121" s="48" t="s">
        <v>9486</v>
      </c>
    </row>
    <row r="5122" spans="2:9" ht="15" customHeight="1" x14ac:dyDescent="0.25">
      <c r="B5122" s="55" t="s">
        <v>280</v>
      </c>
      <c r="C5122" s="46">
        <v>110</v>
      </c>
      <c r="D5122" s="69" t="s">
        <v>29417</v>
      </c>
      <c r="E5122" s="51"/>
      <c r="F5122" s="114" t="str">
        <f>IF(INDEX(I.Facility.P2aIDNumber,110)="","",INDEX(I.Facility.P2aIDNumber,110))</f>
        <v/>
      </c>
      <c r="G5122" s="51"/>
      <c r="H5122" s="46" t="str">
        <f>IF(AND(I.Developer.P2a=TRUE,I.Facility.P2aFacilityCount&gt;=110,F5122=""),"Incomplete","Complete")</f>
        <v>Complete</v>
      </c>
      <c r="I5122" s="48" t="s">
        <v>9487</v>
      </c>
    </row>
    <row r="5123" spans="2:9" ht="15" customHeight="1" x14ac:dyDescent="0.25">
      <c r="B5123" s="55" t="s">
        <v>280</v>
      </c>
      <c r="C5123" s="46">
        <v>111</v>
      </c>
      <c r="D5123" s="69" t="s">
        <v>29417</v>
      </c>
      <c r="E5123" s="51"/>
      <c r="F5123" s="114" t="str">
        <f>IF(INDEX(I.Facility.P2aIDNumber,111)="","",INDEX(I.Facility.P2aIDNumber,111))</f>
        <v/>
      </c>
      <c r="G5123" s="51"/>
      <c r="H5123" s="46" t="str">
        <f>IF(AND(I.Developer.P2a=TRUE,I.Facility.P2aFacilityCount&gt;=111,F5123=""),"Incomplete","Complete")</f>
        <v>Complete</v>
      </c>
      <c r="I5123" s="48" t="s">
        <v>9488</v>
      </c>
    </row>
    <row r="5124" spans="2:9" ht="15" customHeight="1" x14ac:dyDescent="0.25">
      <c r="B5124" s="55" t="s">
        <v>280</v>
      </c>
      <c r="C5124" s="46">
        <v>112</v>
      </c>
      <c r="D5124" s="69" t="s">
        <v>29417</v>
      </c>
      <c r="E5124" s="51"/>
      <c r="F5124" s="114" t="str">
        <f>IF(INDEX(I.Facility.P2aIDNumber,112)="","",INDEX(I.Facility.P2aIDNumber,112))</f>
        <v/>
      </c>
      <c r="G5124" s="51"/>
      <c r="H5124" s="46" t="str">
        <f>IF(AND(I.Developer.P2a=TRUE,I.Facility.P2aFacilityCount&gt;=112,F5124=""),"Incomplete","Complete")</f>
        <v>Complete</v>
      </c>
      <c r="I5124" s="48" t="s">
        <v>9489</v>
      </c>
    </row>
    <row r="5125" spans="2:9" ht="15" customHeight="1" x14ac:dyDescent="0.25">
      <c r="B5125" s="55" t="s">
        <v>280</v>
      </c>
      <c r="C5125" s="46">
        <v>113</v>
      </c>
      <c r="D5125" s="69" t="s">
        <v>29417</v>
      </c>
      <c r="E5125" s="51"/>
      <c r="F5125" s="114" t="str">
        <f>IF(INDEX(I.Facility.P2aIDNumber,113)="","",INDEX(I.Facility.P2aIDNumber,113))</f>
        <v/>
      </c>
      <c r="G5125" s="51"/>
      <c r="H5125" s="46" t="str">
        <f>IF(AND(I.Developer.P2a=TRUE,I.Facility.P2aFacilityCount&gt;=113,F5125=""),"Incomplete","Complete")</f>
        <v>Complete</v>
      </c>
      <c r="I5125" s="48" t="s">
        <v>9490</v>
      </c>
    </row>
    <row r="5126" spans="2:9" ht="15" customHeight="1" x14ac:dyDescent="0.25">
      <c r="B5126" s="55" t="s">
        <v>280</v>
      </c>
      <c r="C5126" s="46">
        <v>114</v>
      </c>
      <c r="D5126" s="69" t="s">
        <v>29417</v>
      </c>
      <c r="E5126" s="51"/>
      <c r="F5126" s="114" t="str">
        <f>IF(INDEX(I.Facility.P2aIDNumber,114)="","",INDEX(I.Facility.P2aIDNumber,114))</f>
        <v/>
      </c>
      <c r="G5126" s="51"/>
      <c r="H5126" s="46" t="str">
        <f>IF(AND(I.Developer.P2a=TRUE,I.Facility.P2aFacilityCount&gt;=114,F5126=""),"Incomplete","Complete")</f>
        <v>Complete</v>
      </c>
      <c r="I5126" s="48" t="s">
        <v>9491</v>
      </c>
    </row>
    <row r="5127" spans="2:9" ht="15" customHeight="1" x14ac:dyDescent="0.25">
      <c r="B5127" s="55" t="s">
        <v>280</v>
      </c>
      <c r="C5127" s="46">
        <v>115</v>
      </c>
      <c r="D5127" s="69" t="s">
        <v>29417</v>
      </c>
      <c r="E5127" s="51"/>
      <c r="F5127" s="114" t="str">
        <f>IF(INDEX(I.Facility.P2aIDNumber,115)="","",INDEX(I.Facility.P2aIDNumber,115))</f>
        <v/>
      </c>
      <c r="G5127" s="51"/>
      <c r="H5127" s="46" t="str">
        <f>IF(AND(I.Developer.P2a=TRUE,I.Facility.P2aFacilityCount&gt;=115,F5127=""),"Incomplete","Complete")</f>
        <v>Complete</v>
      </c>
      <c r="I5127" s="48" t="s">
        <v>9492</v>
      </c>
    </row>
    <row r="5128" spans="2:9" ht="15" customHeight="1" x14ac:dyDescent="0.25">
      <c r="B5128" s="55" t="s">
        <v>280</v>
      </c>
      <c r="C5128" s="46">
        <v>116</v>
      </c>
      <c r="D5128" s="69" t="s">
        <v>29417</v>
      </c>
      <c r="E5128" s="51"/>
      <c r="F5128" s="114" t="str">
        <f>IF(INDEX(I.Facility.P2aIDNumber,116)="","",INDEX(I.Facility.P2aIDNumber,116))</f>
        <v/>
      </c>
      <c r="G5128" s="51"/>
      <c r="H5128" s="46" t="str">
        <f>IF(AND(I.Developer.P2a=TRUE,I.Facility.P2aFacilityCount&gt;=116,F5128=""),"Incomplete","Complete")</f>
        <v>Complete</v>
      </c>
      <c r="I5128" s="48" t="s">
        <v>9493</v>
      </c>
    </row>
    <row r="5129" spans="2:9" ht="15" customHeight="1" x14ac:dyDescent="0.25">
      <c r="B5129" s="55" t="s">
        <v>280</v>
      </c>
      <c r="C5129" s="46">
        <v>117</v>
      </c>
      <c r="D5129" s="69" t="s">
        <v>29417</v>
      </c>
      <c r="E5129" s="51"/>
      <c r="F5129" s="114" t="str">
        <f>IF(INDEX(I.Facility.P2aIDNumber,117)="","",INDEX(I.Facility.P2aIDNumber,117))</f>
        <v/>
      </c>
      <c r="G5129" s="51"/>
      <c r="H5129" s="46" t="str">
        <f>IF(AND(I.Developer.P2a=TRUE,I.Facility.P2aFacilityCount&gt;=117,F5129=""),"Incomplete","Complete")</f>
        <v>Complete</v>
      </c>
      <c r="I5129" s="48" t="s">
        <v>9494</v>
      </c>
    </row>
    <row r="5130" spans="2:9" ht="15" customHeight="1" x14ac:dyDescent="0.25">
      <c r="B5130" s="55" t="s">
        <v>280</v>
      </c>
      <c r="C5130" s="46">
        <v>118</v>
      </c>
      <c r="D5130" s="69" t="s">
        <v>29417</v>
      </c>
      <c r="E5130" s="51"/>
      <c r="F5130" s="114" t="str">
        <f>IF(INDEX(I.Facility.P2aIDNumber,118)="","",INDEX(I.Facility.P2aIDNumber,118))</f>
        <v/>
      </c>
      <c r="G5130" s="51"/>
      <c r="H5130" s="46" t="str">
        <f>IF(AND(I.Developer.P2a=TRUE,I.Facility.P2aFacilityCount&gt;=118,F5130=""),"Incomplete","Complete")</f>
        <v>Complete</v>
      </c>
      <c r="I5130" s="48" t="s">
        <v>9495</v>
      </c>
    </row>
    <row r="5131" spans="2:9" ht="15" customHeight="1" x14ac:dyDescent="0.25">
      <c r="B5131" s="55" t="s">
        <v>280</v>
      </c>
      <c r="C5131" s="46">
        <v>119</v>
      </c>
      <c r="D5131" s="69" t="s">
        <v>29417</v>
      </c>
      <c r="E5131" s="51"/>
      <c r="F5131" s="114" t="str">
        <f>IF(INDEX(I.Facility.P2aIDNumber,119)="","",INDEX(I.Facility.P2aIDNumber,119))</f>
        <v/>
      </c>
      <c r="G5131" s="51"/>
      <c r="H5131" s="46" t="str">
        <f>IF(AND(I.Developer.P2a=TRUE,I.Facility.P2aFacilityCount&gt;=119,F5131=""),"Incomplete","Complete")</f>
        <v>Complete</v>
      </c>
      <c r="I5131" s="48" t="s">
        <v>9496</v>
      </c>
    </row>
    <row r="5132" spans="2:9" ht="15" customHeight="1" x14ac:dyDescent="0.25">
      <c r="B5132" s="55" t="s">
        <v>280</v>
      </c>
      <c r="C5132" s="46">
        <v>120</v>
      </c>
      <c r="D5132" s="69" t="s">
        <v>29417</v>
      </c>
      <c r="E5132" s="51"/>
      <c r="F5132" s="114" t="str">
        <f>IF(INDEX(I.Facility.P2aIDNumber,120)="","",INDEX(I.Facility.P2aIDNumber,120))</f>
        <v/>
      </c>
      <c r="G5132" s="51"/>
      <c r="H5132" s="46" t="str">
        <f>IF(AND(I.Developer.P2a=TRUE,I.Facility.P2aFacilityCount&gt;=120,F5132=""),"Incomplete","Complete")</f>
        <v>Complete</v>
      </c>
      <c r="I5132" s="48" t="s">
        <v>9497</v>
      </c>
    </row>
    <row r="5133" spans="2:9" ht="15" customHeight="1" x14ac:dyDescent="0.25">
      <c r="B5133" s="55" t="s">
        <v>280</v>
      </c>
      <c r="C5133" s="46">
        <v>121</v>
      </c>
      <c r="D5133" s="69" t="s">
        <v>29417</v>
      </c>
      <c r="E5133" s="51"/>
      <c r="F5133" s="114" t="str">
        <f>IF(INDEX(I.Facility.P2aIDNumber,121)="","",INDEX(I.Facility.P2aIDNumber,121))</f>
        <v/>
      </c>
      <c r="G5133" s="51"/>
      <c r="H5133" s="46" t="str">
        <f>IF(AND(I.Developer.P2a=TRUE,I.Facility.P2aFacilityCount&gt;=121,F5133=""),"Incomplete","Complete")</f>
        <v>Complete</v>
      </c>
      <c r="I5133" s="48" t="s">
        <v>9498</v>
      </c>
    </row>
    <row r="5134" spans="2:9" ht="15" customHeight="1" x14ac:dyDescent="0.25">
      <c r="B5134" s="55" t="s">
        <v>280</v>
      </c>
      <c r="C5134" s="46">
        <v>122</v>
      </c>
      <c r="D5134" s="69" t="s">
        <v>29417</v>
      </c>
      <c r="E5134" s="51"/>
      <c r="F5134" s="114" t="str">
        <f>IF(INDEX(I.Facility.P2aIDNumber,122)="","",INDEX(I.Facility.P2aIDNumber,122))</f>
        <v/>
      </c>
      <c r="G5134" s="51"/>
      <c r="H5134" s="46" t="str">
        <f>IF(AND(I.Developer.P2a=TRUE,I.Facility.P2aFacilityCount&gt;=122,F5134=""),"Incomplete","Complete")</f>
        <v>Complete</v>
      </c>
      <c r="I5134" s="48" t="s">
        <v>9499</v>
      </c>
    </row>
    <row r="5135" spans="2:9" ht="15" customHeight="1" x14ac:dyDescent="0.25">
      <c r="B5135" s="55" t="s">
        <v>280</v>
      </c>
      <c r="C5135" s="46">
        <v>123</v>
      </c>
      <c r="D5135" s="69" t="s">
        <v>29417</v>
      </c>
      <c r="E5135" s="51"/>
      <c r="F5135" s="114" t="str">
        <f>IF(INDEX(I.Facility.P2aIDNumber,123)="","",INDEX(I.Facility.P2aIDNumber,123))</f>
        <v/>
      </c>
      <c r="G5135" s="51"/>
      <c r="H5135" s="46" t="str">
        <f>IF(AND(I.Developer.P2a=TRUE,I.Facility.P2aFacilityCount&gt;=123,F5135=""),"Incomplete","Complete")</f>
        <v>Complete</v>
      </c>
      <c r="I5135" s="48" t="s">
        <v>9500</v>
      </c>
    </row>
    <row r="5136" spans="2:9" ht="15" customHeight="1" x14ac:dyDescent="0.25">
      <c r="B5136" s="55" t="s">
        <v>280</v>
      </c>
      <c r="C5136" s="46">
        <v>124</v>
      </c>
      <c r="D5136" s="69" t="s">
        <v>29417</v>
      </c>
      <c r="E5136" s="51"/>
      <c r="F5136" s="114" t="str">
        <f>IF(INDEX(I.Facility.P2aIDNumber,124)="","",INDEX(I.Facility.P2aIDNumber,124))</f>
        <v/>
      </c>
      <c r="G5136" s="51"/>
      <c r="H5136" s="46" t="str">
        <f>IF(AND(I.Developer.P2a=TRUE,I.Facility.P2aFacilityCount&gt;=124,F5136=""),"Incomplete","Complete")</f>
        <v>Complete</v>
      </c>
      <c r="I5136" s="48" t="s">
        <v>9501</v>
      </c>
    </row>
    <row r="5137" spans="2:9" ht="15" customHeight="1" x14ac:dyDescent="0.25">
      <c r="B5137" s="55" t="s">
        <v>280</v>
      </c>
      <c r="C5137" s="46">
        <v>125</v>
      </c>
      <c r="D5137" s="69" t="s">
        <v>29417</v>
      </c>
      <c r="E5137" s="51"/>
      <c r="F5137" s="114" t="str">
        <f>IF(INDEX(I.Facility.P2aIDNumber,125)="","",INDEX(I.Facility.P2aIDNumber,125))</f>
        <v/>
      </c>
      <c r="G5137" s="51"/>
      <c r="H5137" s="46" t="str">
        <f>IF(AND(I.Developer.P2a=TRUE,I.Facility.P2aFacilityCount&gt;=125,F5137=""),"Incomplete","Complete")</f>
        <v>Complete</v>
      </c>
      <c r="I5137" s="48" t="s">
        <v>9502</v>
      </c>
    </row>
    <row r="5138" spans="2:9" ht="15" customHeight="1" x14ac:dyDescent="0.25">
      <c r="B5138" s="55" t="s">
        <v>280</v>
      </c>
      <c r="C5138" s="46">
        <v>126</v>
      </c>
      <c r="D5138" s="69" t="s">
        <v>29417</v>
      </c>
      <c r="E5138" s="51"/>
      <c r="F5138" s="114" t="str">
        <f>IF(INDEX(I.Facility.P2aIDNumber,126)="","",INDEX(I.Facility.P2aIDNumber,126))</f>
        <v/>
      </c>
      <c r="G5138" s="51"/>
      <c r="H5138" s="46" t="str">
        <f>IF(AND(I.Developer.P2a=TRUE,I.Facility.P2aFacilityCount&gt;=126,F5138=""),"Incomplete","Complete")</f>
        <v>Complete</v>
      </c>
      <c r="I5138" s="48" t="s">
        <v>9503</v>
      </c>
    </row>
    <row r="5139" spans="2:9" ht="15" customHeight="1" x14ac:dyDescent="0.25">
      <c r="B5139" s="55" t="s">
        <v>280</v>
      </c>
      <c r="C5139" s="46">
        <v>127</v>
      </c>
      <c r="D5139" s="69" t="s">
        <v>29417</v>
      </c>
      <c r="E5139" s="51"/>
      <c r="F5139" s="114" t="str">
        <f>IF(INDEX(I.Facility.P2aIDNumber,127)="","",INDEX(I.Facility.P2aIDNumber,127))</f>
        <v/>
      </c>
      <c r="G5139" s="51"/>
      <c r="H5139" s="46" t="str">
        <f>IF(AND(I.Developer.P2a=TRUE,I.Facility.P2aFacilityCount&gt;=127,F5139=""),"Incomplete","Complete")</f>
        <v>Complete</v>
      </c>
      <c r="I5139" s="48" t="s">
        <v>9504</v>
      </c>
    </row>
    <row r="5140" spans="2:9" ht="15" customHeight="1" x14ac:dyDescent="0.25">
      <c r="B5140" s="55" t="s">
        <v>280</v>
      </c>
      <c r="C5140" s="46">
        <v>128</v>
      </c>
      <c r="D5140" s="69" t="s">
        <v>29417</v>
      </c>
      <c r="E5140" s="51"/>
      <c r="F5140" s="114" t="str">
        <f>IF(INDEX(I.Facility.P2aIDNumber,128)="","",INDEX(I.Facility.P2aIDNumber,128))</f>
        <v/>
      </c>
      <c r="G5140" s="51"/>
      <c r="H5140" s="46" t="str">
        <f>IF(AND(I.Developer.P2a=TRUE,I.Facility.P2aFacilityCount&gt;=128,F5140=""),"Incomplete","Complete")</f>
        <v>Complete</v>
      </c>
      <c r="I5140" s="48" t="s">
        <v>9505</v>
      </c>
    </row>
    <row r="5141" spans="2:9" ht="15" customHeight="1" x14ac:dyDescent="0.25">
      <c r="B5141" s="55" t="s">
        <v>280</v>
      </c>
      <c r="C5141" s="46">
        <v>129</v>
      </c>
      <c r="D5141" s="69" t="s">
        <v>29417</v>
      </c>
      <c r="E5141" s="51"/>
      <c r="F5141" s="114" t="str">
        <f>IF(INDEX(I.Facility.P2aIDNumber,129)="","",INDEX(I.Facility.P2aIDNumber,129))</f>
        <v/>
      </c>
      <c r="G5141" s="51"/>
      <c r="H5141" s="46" t="str">
        <f>IF(AND(I.Developer.P2a=TRUE,I.Facility.P2aFacilityCount&gt;=129,F5141=""),"Incomplete","Complete")</f>
        <v>Complete</v>
      </c>
      <c r="I5141" s="48" t="s">
        <v>9506</v>
      </c>
    </row>
    <row r="5142" spans="2:9" ht="15" customHeight="1" x14ac:dyDescent="0.25">
      <c r="B5142" s="55" t="s">
        <v>280</v>
      </c>
      <c r="C5142" s="46">
        <v>130</v>
      </c>
      <c r="D5142" s="69" t="s">
        <v>29417</v>
      </c>
      <c r="E5142" s="51"/>
      <c r="F5142" s="114" t="str">
        <f>IF(INDEX(I.Facility.P2aIDNumber,130)="","",INDEX(I.Facility.P2aIDNumber,130))</f>
        <v/>
      </c>
      <c r="G5142" s="51"/>
      <c r="H5142" s="46" t="str">
        <f>IF(AND(I.Developer.P2a=TRUE,I.Facility.P2aFacilityCount&gt;=130,F5142=""),"Incomplete","Complete")</f>
        <v>Complete</v>
      </c>
      <c r="I5142" s="48" t="s">
        <v>9507</v>
      </c>
    </row>
    <row r="5143" spans="2:9" ht="15" customHeight="1" x14ac:dyDescent="0.25">
      <c r="B5143" s="55" t="s">
        <v>280</v>
      </c>
      <c r="C5143" s="46">
        <v>131</v>
      </c>
      <c r="D5143" s="69" t="s">
        <v>29417</v>
      </c>
      <c r="E5143" s="51"/>
      <c r="F5143" s="114" t="str">
        <f>IF(INDEX(I.Facility.P2aIDNumber,131)="","",INDEX(I.Facility.P2aIDNumber,131))</f>
        <v/>
      </c>
      <c r="G5143" s="51"/>
      <c r="H5143" s="46" t="str">
        <f>IF(AND(I.Developer.P2a=TRUE,I.Facility.P2aFacilityCount&gt;=131,F5143=""),"Incomplete","Complete")</f>
        <v>Complete</v>
      </c>
      <c r="I5143" s="48" t="s">
        <v>9508</v>
      </c>
    </row>
    <row r="5144" spans="2:9" ht="15" customHeight="1" x14ac:dyDescent="0.25">
      <c r="B5144" s="55" t="s">
        <v>280</v>
      </c>
      <c r="C5144" s="46">
        <v>132</v>
      </c>
      <c r="D5144" s="69" t="s">
        <v>29417</v>
      </c>
      <c r="E5144" s="51"/>
      <c r="F5144" s="114" t="str">
        <f>IF(INDEX(I.Facility.P2aIDNumber,132)="","",INDEX(I.Facility.P2aIDNumber,132))</f>
        <v/>
      </c>
      <c r="G5144" s="51"/>
      <c r="H5144" s="46" t="str">
        <f>IF(AND(I.Developer.P2a=TRUE,I.Facility.P2aFacilityCount&gt;=132,F5144=""),"Incomplete","Complete")</f>
        <v>Complete</v>
      </c>
      <c r="I5144" s="48" t="s">
        <v>9509</v>
      </c>
    </row>
    <row r="5145" spans="2:9" ht="15" customHeight="1" x14ac:dyDescent="0.25">
      <c r="B5145" s="55" t="s">
        <v>280</v>
      </c>
      <c r="C5145" s="46">
        <v>133</v>
      </c>
      <c r="D5145" s="69" t="s">
        <v>29417</v>
      </c>
      <c r="E5145" s="51"/>
      <c r="F5145" s="114" t="str">
        <f>IF(INDEX(I.Facility.P2aIDNumber,133)="","",INDEX(I.Facility.P2aIDNumber,133))</f>
        <v/>
      </c>
      <c r="G5145" s="51"/>
      <c r="H5145" s="46" t="str">
        <f>IF(AND(I.Developer.P2a=TRUE,I.Facility.P2aFacilityCount&gt;=133,F5145=""),"Incomplete","Complete")</f>
        <v>Complete</v>
      </c>
      <c r="I5145" s="48" t="s">
        <v>9510</v>
      </c>
    </row>
    <row r="5146" spans="2:9" ht="15" customHeight="1" x14ac:dyDescent="0.25">
      <c r="B5146" s="55" t="s">
        <v>280</v>
      </c>
      <c r="C5146" s="46">
        <v>134</v>
      </c>
      <c r="D5146" s="69" t="s">
        <v>29417</v>
      </c>
      <c r="E5146" s="51"/>
      <c r="F5146" s="114" t="str">
        <f>IF(INDEX(I.Facility.P2aIDNumber,134)="","",INDEX(I.Facility.P2aIDNumber,134))</f>
        <v/>
      </c>
      <c r="G5146" s="51"/>
      <c r="H5146" s="46" t="str">
        <f>IF(AND(I.Developer.P2a=TRUE,I.Facility.P2aFacilityCount&gt;=134,F5146=""),"Incomplete","Complete")</f>
        <v>Complete</v>
      </c>
      <c r="I5146" s="48" t="s">
        <v>9511</v>
      </c>
    </row>
    <row r="5147" spans="2:9" ht="15" customHeight="1" x14ac:dyDescent="0.25">
      <c r="B5147" s="55" t="s">
        <v>280</v>
      </c>
      <c r="C5147" s="46">
        <v>135</v>
      </c>
      <c r="D5147" s="69" t="s">
        <v>29417</v>
      </c>
      <c r="E5147" s="51"/>
      <c r="F5147" s="114" t="str">
        <f>IF(INDEX(I.Facility.P2aIDNumber,135)="","",INDEX(I.Facility.P2aIDNumber,135))</f>
        <v/>
      </c>
      <c r="G5147" s="51"/>
      <c r="H5147" s="46" t="str">
        <f>IF(AND(I.Developer.P2a=TRUE,I.Facility.P2aFacilityCount&gt;=135,F5147=""),"Incomplete","Complete")</f>
        <v>Complete</v>
      </c>
      <c r="I5147" s="48" t="s">
        <v>9512</v>
      </c>
    </row>
    <row r="5148" spans="2:9" ht="15" customHeight="1" x14ac:dyDescent="0.25">
      <c r="B5148" s="55" t="s">
        <v>280</v>
      </c>
      <c r="C5148" s="46">
        <v>136</v>
      </c>
      <c r="D5148" s="69" t="s">
        <v>29417</v>
      </c>
      <c r="E5148" s="51"/>
      <c r="F5148" s="114" t="str">
        <f>IF(INDEX(I.Facility.P2aIDNumber,136)="","",INDEX(I.Facility.P2aIDNumber,136))</f>
        <v/>
      </c>
      <c r="G5148" s="51"/>
      <c r="H5148" s="46" t="str">
        <f>IF(AND(I.Developer.P2a=TRUE,I.Facility.P2aFacilityCount&gt;=136,F5148=""),"Incomplete","Complete")</f>
        <v>Complete</v>
      </c>
      <c r="I5148" s="48" t="s">
        <v>9513</v>
      </c>
    </row>
    <row r="5149" spans="2:9" ht="15" customHeight="1" x14ac:dyDescent="0.25">
      <c r="B5149" s="55" t="s">
        <v>280</v>
      </c>
      <c r="C5149" s="46">
        <v>137</v>
      </c>
      <c r="D5149" s="69" t="s">
        <v>29417</v>
      </c>
      <c r="E5149" s="51"/>
      <c r="F5149" s="114" t="str">
        <f>IF(INDEX(I.Facility.P2aIDNumber,137)="","",INDEX(I.Facility.P2aIDNumber,137))</f>
        <v/>
      </c>
      <c r="G5149" s="51"/>
      <c r="H5149" s="46" t="str">
        <f>IF(AND(I.Developer.P2a=TRUE,I.Facility.P2aFacilityCount&gt;=137,F5149=""),"Incomplete","Complete")</f>
        <v>Complete</v>
      </c>
      <c r="I5149" s="48" t="s">
        <v>9514</v>
      </c>
    </row>
    <row r="5150" spans="2:9" ht="15" customHeight="1" x14ac:dyDescent="0.25">
      <c r="B5150" s="55" t="s">
        <v>280</v>
      </c>
      <c r="C5150" s="46">
        <v>138</v>
      </c>
      <c r="D5150" s="69" t="s">
        <v>29417</v>
      </c>
      <c r="E5150" s="51"/>
      <c r="F5150" s="114" t="str">
        <f>IF(INDEX(I.Facility.P2aIDNumber,138)="","",INDEX(I.Facility.P2aIDNumber,138))</f>
        <v/>
      </c>
      <c r="G5150" s="51"/>
      <c r="H5150" s="46" t="str">
        <f>IF(AND(I.Developer.P2a=TRUE,I.Facility.P2aFacilityCount&gt;=138,F5150=""),"Incomplete","Complete")</f>
        <v>Complete</v>
      </c>
      <c r="I5150" s="48" t="s">
        <v>9515</v>
      </c>
    </row>
    <row r="5151" spans="2:9" ht="15" customHeight="1" x14ac:dyDescent="0.25">
      <c r="B5151" s="55" t="s">
        <v>280</v>
      </c>
      <c r="C5151" s="46">
        <v>139</v>
      </c>
      <c r="D5151" s="69" t="s">
        <v>29417</v>
      </c>
      <c r="E5151" s="51"/>
      <c r="F5151" s="114" t="str">
        <f>IF(INDEX(I.Facility.P2aIDNumber,139)="","",INDEX(I.Facility.P2aIDNumber,139))</f>
        <v/>
      </c>
      <c r="G5151" s="51"/>
      <c r="H5151" s="46" t="str">
        <f>IF(AND(I.Developer.P2a=TRUE,I.Facility.P2aFacilityCount&gt;=139,F5151=""),"Incomplete","Complete")</f>
        <v>Complete</v>
      </c>
      <c r="I5151" s="48" t="s">
        <v>9516</v>
      </c>
    </row>
    <row r="5152" spans="2:9" ht="15" customHeight="1" x14ac:dyDescent="0.25">
      <c r="B5152" s="55" t="s">
        <v>280</v>
      </c>
      <c r="C5152" s="46">
        <v>140</v>
      </c>
      <c r="D5152" s="69" t="s">
        <v>29417</v>
      </c>
      <c r="E5152" s="51"/>
      <c r="F5152" s="114" t="str">
        <f>IF(INDEX(I.Facility.P2aIDNumber,140)="","",INDEX(I.Facility.P2aIDNumber,140))</f>
        <v/>
      </c>
      <c r="G5152" s="51"/>
      <c r="H5152" s="46" t="str">
        <f>IF(AND(I.Developer.P2a=TRUE,I.Facility.P2aFacilityCount&gt;=140,F5152=""),"Incomplete","Complete")</f>
        <v>Complete</v>
      </c>
      <c r="I5152" s="48" t="s">
        <v>9517</v>
      </c>
    </row>
    <row r="5153" spans="2:9" ht="15" customHeight="1" x14ac:dyDescent="0.25">
      <c r="B5153" s="55" t="s">
        <v>280</v>
      </c>
      <c r="C5153" s="46">
        <v>141</v>
      </c>
      <c r="D5153" s="69" t="s">
        <v>29417</v>
      </c>
      <c r="E5153" s="51"/>
      <c r="F5153" s="114" t="str">
        <f>IF(INDEX(I.Facility.P2aIDNumber,141)="","",INDEX(I.Facility.P2aIDNumber,141))</f>
        <v/>
      </c>
      <c r="G5153" s="51"/>
      <c r="H5153" s="46" t="str">
        <f>IF(AND(I.Developer.P2a=TRUE,I.Facility.P2aFacilityCount&gt;=141,F5153=""),"Incomplete","Complete")</f>
        <v>Complete</v>
      </c>
      <c r="I5153" s="48" t="s">
        <v>9518</v>
      </c>
    </row>
    <row r="5154" spans="2:9" ht="15" customHeight="1" x14ac:dyDescent="0.25">
      <c r="B5154" s="55" t="s">
        <v>280</v>
      </c>
      <c r="C5154" s="46">
        <v>142</v>
      </c>
      <c r="D5154" s="69" t="s">
        <v>29417</v>
      </c>
      <c r="E5154" s="51"/>
      <c r="F5154" s="114" t="str">
        <f>IF(INDEX(I.Facility.P2aIDNumber,142)="","",INDEX(I.Facility.P2aIDNumber,142))</f>
        <v/>
      </c>
      <c r="G5154" s="51"/>
      <c r="H5154" s="46" t="str">
        <f>IF(AND(I.Developer.P2a=TRUE,I.Facility.P2aFacilityCount&gt;=142,F5154=""),"Incomplete","Complete")</f>
        <v>Complete</v>
      </c>
      <c r="I5154" s="48" t="s">
        <v>9519</v>
      </c>
    </row>
    <row r="5155" spans="2:9" ht="15" customHeight="1" x14ac:dyDescent="0.25">
      <c r="B5155" s="55" t="s">
        <v>280</v>
      </c>
      <c r="C5155" s="46">
        <v>143</v>
      </c>
      <c r="D5155" s="69" t="s">
        <v>29417</v>
      </c>
      <c r="E5155" s="51"/>
      <c r="F5155" s="114" t="str">
        <f>IF(INDEX(I.Facility.P2aIDNumber,143)="","",INDEX(I.Facility.P2aIDNumber,143))</f>
        <v/>
      </c>
      <c r="G5155" s="51"/>
      <c r="H5155" s="46" t="str">
        <f>IF(AND(I.Developer.P2a=TRUE,I.Facility.P2aFacilityCount&gt;=143,F5155=""),"Incomplete","Complete")</f>
        <v>Complete</v>
      </c>
      <c r="I5155" s="48" t="s">
        <v>9520</v>
      </c>
    </row>
    <row r="5156" spans="2:9" ht="15" customHeight="1" x14ac:dyDescent="0.25">
      <c r="B5156" s="55" t="s">
        <v>280</v>
      </c>
      <c r="C5156" s="46">
        <v>144</v>
      </c>
      <c r="D5156" s="69" t="s">
        <v>29417</v>
      </c>
      <c r="E5156" s="51"/>
      <c r="F5156" s="114" t="str">
        <f>IF(INDEX(I.Facility.P2aIDNumber,144)="","",INDEX(I.Facility.P2aIDNumber,144))</f>
        <v/>
      </c>
      <c r="G5156" s="51"/>
      <c r="H5156" s="46" t="str">
        <f>IF(AND(I.Developer.P2a=TRUE,I.Facility.P2aFacilityCount&gt;=144,F5156=""),"Incomplete","Complete")</f>
        <v>Complete</v>
      </c>
      <c r="I5156" s="48" t="s">
        <v>9521</v>
      </c>
    </row>
    <row r="5157" spans="2:9" ht="15" customHeight="1" x14ac:dyDescent="0.25">
      <c r="B5157" s="55" t="s">
        <v>280</v>
      </c>
      <c r="C5157" s="46">
        <v>145</v>
      </c>
      <c r="D5157" s="69" t="s">
        <v>29417</v>
      </c>
      <c r="E5157" s="51"/>
      <c r="F5157" s="114" t="str">
        <f>IF(INDEX(I.Facility.P2aIDNumber,145)="","",INDEX(I.Facility.P2aIDNumber,145))</f>
        <v/>
      </c>
      <c r="G5157" s="51"/>
      <c r="H5157" s="46" t="str">
        <f>IF(AND(I.Developer.P2a=TRUE,I.Facility.P2aFacilityCount&gt;=145,F5157=""),"Incomplete","Complete")</f>
        <v>Complete</v>
      </c>
      <c r="I5157" s="48" t="s">
        <v>9522</v>
      </c>
    </row>
    <row r="5158" spans="2:9" ht="15" customHeight="1" x14ac:dyDescent="0.25">
      <c r="B5158" s="55" t="s">
        <v>280</v>
      </c>
      <c r="C5158" s="46">
        <v>146</v>
      </c>
      <c r="D5158" s="69" t="s">
        <v>29417</v>
      </c>
      <c r="E5158" s="51"/>
      <c r="F5158" s="114" t="str">
        <f>IF(INDEX(I.Facility.P2aIDNumber,146)="","",INDEX(I.Facility.P2aIDNumber,146))</f>
        <v/>
      </c>
      <c r="G5158" s="51"/>
      <c r="H5158" s="46" t="str">
        <f>IF(AND(I.Developer.P2a=TRUE,I.Facility.P2aFacilityCount&gt;=146,F5158=""),"Incomplete","Complete")</f>
        <v>Complete</v>
      </c>
      <c r="I5158" s="48" t="s">
        <v>9523</v>
      </c>
    </row>
    <row r="5159" spans="2:9" ht="15" customHeight="1" x14ac:dyDescent="0.25">
      <c r="B5159" s="55" t="s">
        <v>280</v>
      </c>
      <c r="C5159" s="46">
        <v>147</v>
      </c>
      <c r="D5159" s="69" t="s">
        <v>29417</v>
      </c>
      <c r="E5159" s="51"/>
      <c r="F5159" s="114" t="str">
        <f>IF(INDEX(I.Facility.P2aIDNumber,147)="","",INDEX(I.Facility.P2aIDNumber,147))</f>
        <v/>
      </c>
      <c r="G5159" s="51"/>
      <c r="H5159" s="46" t="str">
        <f>IF(AND(I.Developer.P2a=TRUE,I.Facility.P2aFacilityCount&gt;=147,F5159=""),"Incomplete","Complete")</f>
        <v>Complete</v>
      </c>
      <c r="I5159" s="48" t="s">
        <v>9524</v>
      </c>
    </row>
    <row r="5160" spans="2:9" ht="15" customHeight="1" x14ac:dyDescent="0.25">
      <c r="B5160" s="55" t="s">
        <v>280</v>
      </c>
      <c r="C5160" s="46">
        <v>148</v>
      </c>
      <c r="D5160" s="69" t="s">
        <v>29417</v>
      </c>
      <c r="E5160" s="51"/>
      <c r="F5160" s="114" t="str">
        <f>IF(INDEX(I.Facility.P2aIDNumber,148)="","",INDEX(I.Facility.P2aIDNumber,148))</f>
        <v/>
      </c>
      <c r="G5160" s="51"/>
      <c r="H5160" s="46" t="str">
        <f>IF(AND(I.Developer.P2a=TRUE,I.Facility.P2aFacilityCount&gt;=148,F5160=""),"Incomplete","Complete")</f>
        <v>Complete</v>
      </c>
      <c r="I5160" s="48" t="s">
        <v>9525</v>
      </c>
    </row>
    <row r="5161" spans="2:9" ht="15" customHeight="1" x14ac:dyDescent="0.25">
      <c r="B5161" s="55" t="s">
        <v>280</v>
      </c>
      <c r="C5161" s="46">
        <v>149</v>
      </c>
      <c r="D5161" s="69" t="s">
        <v>29417</v>
      </c>
      <c r="E5161" s="51"/>
      <c r="F5161" s="114" t="str">
        <f>IF(INDEX(I.Facility.P2aIDNumber,149)="","",INDEX(I.Facility.P2aIDNumber,149))</f>
        <v/>
      </c>
      <c r="G5161" s="51"/>
      <c r="H5161" s="46" t="str">
        <f>IF(AND(I.Developer.P2a=TRUE,I.Facility.P2aFacilityCount&gt;=149,F5161=""),"Incomplete","Complete")</f>
        <v>Complete</v>
      </c>
      <c r="I5161" s="48" t="s">
        <v>9526</v>
      </c>
    </row>
    <row r="5162" spans="2:9" ht="15" customHeight="1" x14ac:dyDescent="0.25">
      <c r="B5162" s="55" t="s">
        <v>280</v>
      </c>
      <c r="C5162" s="46">
        <v>150</v>
      </c>
      <c r="D5162" s="69" t="s">
        <v>29417</v>
      </c>
      <c r="E5162" s="51"/>
      <c r="F5162" s="114" t="str">
        <f>IF(INDEX(I.Facility.P2aIDNumber,150)="","",INDEX(I.Facility.P2aIDNumber,150))</f>
        <v/>
      </c>
      <c r="G5162" s="51"/>
      <c r="H5162" s="46" t="str">
        <f>IF(AND(I.Developer.P2a=TRUE,I.Facility.P2aFacilityCount&gt;=150,F5162=""),"Incomplete","Complete")</f>
        <v>Complete</v>
      </c>
      <c r="I5162" s="48" t="s">
        <v>9527</v>
      </c>
    </row>
    <row r="5163" spans="2:9" ht="15" customHeight="1" x14ac:dyDescent="0.25">
      <c r="B5163" s="55" t="s">
        <v>280</v>
      </c>
      <c r="C5163" s="46">
        <v>151</v>
      </c>
      <c r="D5163" s="69" t="s">
        <v>29417</v>
      </c>
      <c r="E5163" s="51"/>
      <c r="F5163" s="114" t="str">
        <f>IF(INDEX(I.Facility.P2aIDNumber,151)="","",INDEX(I.Facility.P2aIDNumber,151))</f>
        <v/>
      </c>
      <c r="G5163" s="51"/>
      <c r="H5163" s="46" t="str">
        <f>IF(AND(I.Developer.P2a=TRUE,I.Facility.P2aFacilityCount&gt;=151,F5163=""),"Incomplete","Complete")</f>
        <v>Complete</v>
      </c>
      <c r="I5163" s="48" t="s">
        <v>9528</v>
      </c>
    </row>
    <row r="5164" spans="2:9" ht="15" customHeight="1" x14ac:dyDescent="0.25">
      <c r="B5164" s="55" t="s">
        <v>280</v>
      </c>
      <c r="C5164" s="46">
        <v>152</v>
      </c>
      <c r="D5164" s="69" t="s">
        <v>29417</v>
      </c>
      <c r="E5164" s="51"/>
      <c r="F5164" s="114" t="str">
        <f>IF(INDEX(I.Facility.P2aIDNumber,152)="","",INDEX(I.Facility.P2aIDNumber,152))</f>
        <v/>
      </c>
      <c r="G5164" s="51"/>
      <c r="H5164" s="46" t="str">
        <f>IF(AND(I.Developer.P2a=TRUE,I.Facility.P2aFacilityCount&gt;=152,F5164=""),"Incomplete","Complete")</f>
        <v>Complete</v>
      </c>
      <c r="I5164" s="48" t="s">
        <v>9529</v>
      </c>
    </row>
    <row r="5165" spans="2:9" ht="15" customHeight="1" x14ac:dyDescent="0.25">
      <c r="B5165" s="55" t="s">
        <v>280</v>
      </c>
      <c r="C5165" s="46">
        <v>153</v>
      </c>
      <c r="D5165" s="69" t="s">
        <v>29417</v>
      </c>
      <c r="E5165" s="51"/>
      <c r="F5165" s="114" t="str">
        <f>IF(INDEX(I.Facility.P2aIDNumber,153)="","",INDEX(I.Facility.P2aIDNumber,153))</f>
        <v/>
      </c>
      <c r="G5165" s="51"/>
      <c r="H5165" s="46" t="str">
        <f>IF(AND(I.Developer.P2a=TRUE,I.Facility.P2aFacilityCount&gt;=153,F5165=""),"Incomplete","Complete")</f>
        <v>Complete</v>
      </c>
      <c r="I5165" s="48" t="s">
        <v>9530</v>
      </c>
    </row>
    <row r="5166" spans="2:9" ht="15" customHeight="1" x14ac:dyDescent="0.25">
      <c r="B5166" s="55" t="s">
        <v>280</v>
      </c>
      <c r="C5166" s="46">
        <v>154</v>
      </c>
      <c r="D5166" s="69" t="s">
        <v>29417</v>
      </c>
      <c r="E5166" s="51"/>
      <c r="F5166" s="114" t="str">
        <f>IF(INDEX(I.Facility.P2aIDNumber,154)="","",INDEX(I.Facility.P2aIDNumber,154))</f>
        <v/>
      </c>
      <c r="G5166" s="51"/>
      <c r="H5166" s="46" t="str">
        <f>IF(AND(I.Developer.P2a=TRUE,I.Facility.P2aFacilityCount&gt;=154,F5166=""),"Incomplete","Complete")</f>
        <v>Complete</v>
      </c>
      <c r="I5166" s="48" t="s">
        <v>9531</v>
      </c>
    </row>
    <row r="5167" spans="2:9" ht="15" customHeight="1" x14ac:dyDescent="0.25">
      <c r="B5167" s="55" t="s">
        <v>280</v>
      </c>
      <c r="C5167" s="46">
        <v>155</v>
      </c>
      <c r="D5167" s="69" t="s">
        <v>29417</v>
      </c>
      <c r="E5167" s="51"/>
      <c r="F5167" s="114" t="str">
        <f>IF(INDEX(I.Facility.P2aIDNumber,155)="","",INDEX(I.Facility.P2aIDNumber,155))</f>
        <v/>
      </c>
      <c r="G5167" s="51"/>
      <c r="H5167" s="46" t="str">
        <f>IF(AND(I.Developer.P2a=TRUE,I.Facility.P2aFacilityCount&gt;=155,F5167=""),"Incomplete","Complete")</f>
        <v>Complete</v>
      </c>
      <c r="I5167" s="48" t="s">
        <v>9532</v>
      </c>
    </row>
    <row r="5168" spans="2:9" ht="15" customHeight="1" x14ac:dyDescent="0.25">
      <c r="B5168" s="55" t="s">
        <v>280</v>
      </c>
      <c r="C5168" s="46">
        <v>156</v>
      </c>
      <c r="D5168" s="69" t="s">
        <v>29417</v>
      </c>
      <c r="E5168" s="51"/>
      <c r="F5168" s="114" t="str">
        <f>IF(INDEX(I.Facility.P2aIDNumber,156)="","",INDEX(I.Facility.P2aIDNumber,156))</f>
        <v/>
      </c>
      <c r="G5168" s="51"/>
      <c r="H5168" s="46" t="str">
        <f>IF(AND(I.Developer.P2a=TRUE,I.Facility.P2aFacilityCount&gt;=156,F5168=""),"Incomplete","Complete")</f>
        <v>Complete</v>
      </c>
      <c r="I5168" s="48" t="s">
        <v>9533</v>
      </c>
    </row>
    <row r="5169" spans="2:9" ht="15" customHeight="1" x14ac:dyDescent="0.25">
      <c r="B5169" s="55" t="s">
        <v>280</v>
      </c>
      <c r="C5169" s="46">
        <v>157</v>
      </c>
      <c r="D5169" s="69" t="s">
        <v>29417</v>
      </c>
      <c r="E5169" s="51"/>
      <c r="F5169" s="114" t="str">
        <f>IF(INDEX(I.Facility.P2aIDNumber,157)="","",INDEX(I.Facility.P2aIDNumber,157))</f>
        <v/>
      </c>
      <c r="G5169" s="51"/>
      <c r="H5169" s="46" t="str">
        <f>IF(AND(I.Developer.P2a=TRUE,I.Facility.P2aFacilityCount&gt;=157,F5169=""),"Incomplete","Complete")</f>
        <v>Complete</v>
      </c>
      <c r="I5169" s="48" t="s">
        <v>9534</v>
      </c>
    </row>
    <row r="5170" spans="2:9" ht="15" customHeight="1" x14ac:dyDescent="0.25">
      <c r="B5170" s="55" t="s">
        <v>280</v>
      </c>
      <c r="C5170" s="46">
        <v>158</v>
      </c>
      <c r="D5170" s="69" t="s">
        <v>29417</v>
      </c>
      <c r="E5170" s="51"/>
      <c r="F5170" s="114" t="str">
        <f>IF(INDEX(I.Facility.P2aIDNumber,158)="","",INDEX(I.Facility.P2aIDNumber,158))</f>
        <v/>
      </c>
      <c r="G5170" s="51"/>
      <c r="H5170" s="46" t="str">
        <f>IF(AND(I.Developer.P2a=TRUE,I.Facility.P2aFacilityCount&gt;=158,F5170=""),"Incomplete","Complete")</f>
        <v>Complete</v>
      </c>
      <c r="I5170" s="48" t="s">
        <v>9535</v>
      </c>
    </row>
    <row r="5171" spans="2:9" ht="15" customHeight="1" x14ac:dyDescent="0.25">
      <c r="B5171" s="55" t="s">
        <v>280</v>
      </c>
      <c r="C5171" s="46">
        <v>159</v>
      </c>
      <c r="D5171" s="69" t="s">
        <v>29417</v>
      </c>
      <c r="E5171" s="51"/>
      <c r="F5171" s="114" t="str">
        <f>IF(INDEX(I.Facility.P2aIDNumber,159)="","",INDEX(I.Facility.P2aIDNumber,159))</f>
        <v/>
      </c>
      <c r="G5171" s="51"/>
      <c r="H5171" s="46" t="str">
        <f>IF(AND(I.Developer.P2a=TRUE,I.Facility.P2aFacilityCount&gt;=159,F5171=""),"Incomplete","Complete")</f>
        <v>Complete</v>
      </c>
      <c r="I5171" s="48" t="s">
        <v>9536</v>
      </c>
    </row>
    <row r="5172" spans="2:9" ht="15" customHeight="1" x14ac:dyDescent="0.25">
      <c r="B5172" s="55" t="s">
        <v>280</v>
      </c>
      <c r="C5172" s="46">
        <v>160</v>
      </c>
      <c r="D5172" s="69" t="s">
        <v>29417</v>
      </c>
      <c r="E5172" s="51"/>
      <c r="F5172" s="114" t="str">
        <f>IF(INDEX(I.Facility.P2aIDNumber,160)="","",INDEX(I.Facility.P2aIDNumber,160))</f>
        <v/>
      </c>
      <c r="G5172" s="51"/>
      <c r="H5172" s="46" t="str">
        <f>IF(AND(I.Developer.P2a=TRUE,I.Facility.P2aFacilityCount&gt;=160,F5172=""),"Incomplete","Complete")</f>
        <v>Complete</v>
      </c>
      <c r="I5172" s="48" t="s">
        <v>9537</v>
      </c>
    </row>
    <row r="5173" spans="2:9" ht="15" customHeight="1" x14ac:dyDescent="0.25">
      <c r="B5173" s="55" t="s">
        <v>280</v>
      </c>
      <c r="C5173" s="46">
        <v>161</v>
      </c>
      <c r="D5173" s="69" t="s">
        <v>29417</v>
      </c>
      <c r="E5173" s="51"/>
      <c r="F5173" s="114" t="str">
        <f>IF(INDEX(I.Facility.P2aIDNumber,161)="","",INDEX(I.Facility.P2aIDNumber,161))</f>
        <v/>
      </c>
      <c r="G5173" s="51"/>
      <c r="H5173" s="46" t="str">
        <f>IF(AND(I.Developer.P2a=TRUE,I.Facility.P2aFacilityCount&gt;=161,F5173=""),"Incomplete","Complete")</f>
        <v>Complete</v>
      </c>
      <c r="I5173" s="48" t="s">
        <v>9538</v>
      </c>
    </row>
    <row r="5174" spans="2:9" ht="15" customHeight="1" x14ac:dyDescent="0.25">
      <c r="B5174" s="55" t="s">
        <v>280</v>
      </c>
      <c r="C5174" s="46">
        <v>162</v>
      </c>
      <c r="D5174" s="69" t="s">
        <v>29417</v>
      </c>
      <c r="E5174" s="51"/>
      <c r="F5174" s="114" t="str">
        <f>IF(INDEX(I.Facility.P2aIDNumber,162)="","",INDEX(I.Facility.P2aIDNumber,162))</f>
        <v/>
      </c>
      <c r="G5174" s="51"/>
      <c r="H5174" s="46" t="str">
        <f>IF(AND(I.Developer.P2a=TRUE,I.Facility.P2aFacilityCount&gt;=162,F5174=""),"Incomplete","Complete")</f>
        <v>Complete</v>
      </c>
      <c r="I5174" s="48" t="s">
        <v>9539</v>
      </c>
    </row>
    <row r="5175" spans="2:9" ht="15" customHeight="1" x14ac:dyDescent="0.25">
      <c r="B5175" s="55" t="s">
        <v>280</v>
      </c>
      <c r="C5175" s="46">
        <v>163</v>
      </c>
      <c r="D5175" s="69" t="s">
        <v>29417</v>
      </c>
      <c r="E5175" s="51"/>
      <c r="F5175" s="114" t="str">
        <f>IF(INDEX(I.Facility.P2aIDNumber,163)="","",INDEX(I.Facility.P2aIDNumber,163))</f>
        <v/>
      </c>
      <c r="G5175" s="51"/>
      <c r="H5175" s="46" t="str">
        <f>IF(AND(I.Developer.P2a=TRUE,I.Facility.P2aFacilityCount&gt;=163,F5175=""),"Incomplete","Complete")</f>
        <v>Complete</v>
      </c>
      <c r="I5175" s="48" t="s">
        <v>9540</v>
      </c>
    </row>
    <row r="5176" spans="2:9" ht="15" customHeight="1" x14ac:dyDescent="0.25">
      <c r="B5176" s="55" t="s">
        <v>280</v>
      </c>
      <c r="C5176" s="46">
        <v>164</v>
      </c>
      <c r="D5176" s="69" t="s">
        <v>29417</v>
      </c>
      <c r="E5176" s="51"/>
      <c r="F5176" s="114" t="str">
        <f>IF(INDEX(I.Facility.P2aIDNumber,164)="","",INDEX(I.Facility.P2aIDNumber,164))</f>
        <v/>
      </c>
      <c r="G5176" s="51"/>
      <c r="H5176" s="46" t="str">
        <f>IF(AND(I.Developer.P2a=TRUE,I.Facility.P2aFacilityCount&gt;=164,F5176=""),"Incomplete","Complete")</f>
        <v>Complete</v>
      </c>
      <c r="I5176" s="48" t="s">
        <v>9541</v>
      </c>
    </row>
    <row r="5177" spans="2:9" ht="15" customHeight="1" x14ac:dyDescent="0.25">
      <c r="B5177" s="55" t="s">
        <v>280</v>
      </c>
      <c r="C5177" s="46">
        <v>165</v>
      </c>
      <c r="D5177" s="69" t="s">
        <v>29417</v>
      </c>
      <c r="E5177" s="51"/>
      <c r="F5177" s="114" t="str">
        <f>IF(INDEX(I.Facility.P2aIDNumber,165)="","",INDEX(I.Facility.P2aIDNumber,165))</f>
        <v/>
      </c>
      <c r="G5177" s="51"/>
      <c r="H5177" s="46" t="str">
        <f>IF(AND(I.Developer.P2a=TRUE,I.Facility.P2aFacilityCount&gt;=165,F5177=""),"Incomplete","Complete")</f>
        <v>Complete</v>
      </c>
      <c r="I5177" s="48" t="s">
        <v>9542</v>
      </c>
    </row>
    <row r="5178" spans="2:9" ht="15" customHeight="1" x14ac:dyDescent="0.25">
      <c r="B5178" s="55" t="s">
        <v>280</v>
      </c>
      <c r="C5178" s="46">
        <v>166</v>
      </c>
      <c r="D5178" s="69" t="s">
        <v>29417</v>
      </c>
      <c r="E5178" s="51"/>
      <c r="F5178" s="114" t="str">
        <f>IF(INDEX(I.Facility.P2aIDNumber,166)="","",INDEX(I.Facility.P2aIDNumber,166))</f>
        <v/>
      </c>
      <c r="G5178" s="51"/>
      <c r="H5178" s="46" t="str">
        <f>IF(AND(I.Developer.P2a=TRUE,I.Facility.P2aFacilityCount&gt;=166,F5178=""),"Incomplete","Complete")</f>
        <v>Complete</v>
      </c>
      <c r="I5178" s="48" t="s">
        <v>9543</v>
      </c>
    </row>
    <row r="5179" spans="2:9" ht="15" customHeight="1" x14ac:dyDescent="0.25">
      <c r="B5179" s="55" t="s">
        <v>280</v>
      </c>
      <c r="C5179" s="46">
        <v>167</v>
      </c>
      <c r="D5179" s="69" t="s">
        <v>29417</v>
      </c>
      <c r="E5179" s="51"/>
      <c r="F5179" s="114" t="str">
        <f>IF(INDEX(I.Facility.P2aIDNumber,167)="","",INDEX(I.Facility.P2aIDNumber,167))</f>
        <v/>
      </c>
      <c r="G5179" s="51"/>
      <c r="H5179" s="46" t="str">
        <f>IF(AND(I.Developer.P2a=TRUE,I.Facility.P2aFacilityCount&gt;=167,F5179=""),"Incomplete","Complete")</f>
        <v>Complete</v>
      </c>
      <c r="I5179" s="48" t="s">
        <v>9544</v>
      </c>
    </row>
    <row r="5180" spans="2:9" ht="15" customHeight="1" x14ac:dyDescent="0.25">
      <c r="B5180" s="55" t="s">
        <v>280</v>
      </c>
      <c r="C5180" s="46">
        <v>168</v>
      </c>
      <c r="D5180" s="69" t="s">
        <v>29417</v>
      </c>
      <c r="E5180" s="51"/>
      <c r="F5180" s="114" t="str">
        <f>IF(INDEX(I.Facility.P2aIDNumber,168)="","",INDEX(I.Facility.P2aIDNumber,168))</f>
        <v/>
      </c>
      <c r="G5180" s="51"/>
      <c r="H5180" s="46" t="str">
        <f>IF(AND(I.Developer.P2a=TRUE,I.Facility.P2aFacilityCount&gt;=168,F5180=""),"Incomplete","Complete")</f>
        <v>Complete</v>
      </c>
      <c r="I5180" s="48" t="s">
        <v>9545</v>
      </c>
    </row>
    <row r="5181" spans="2:9" ht="15" customHeight="1" x14ac:dyDescent="0.25">
      <c r="B5181" s="55" t="s">
        <v>280</v>
      </c>
      <c r="C5181" s="46">
        <v>169</v>
      </c>
      <c r="D5181" s="69" t="s">
        <v>29417</v>
      </c>
      <c r="E5181" s="51"/>
      <c r="F5181" s="114" t="str">
        <f>IF(INDEX(I.Facility.P2aIDNumber,169)="","",INDEX(I.Facility.P2aIDNumber,169))</f>
        <v/>
      </c>
      <c r="G5181" s="51"/>
      <c r="H5181" s="46" t="str">
        <f>IF(AND(I.Developer.P2a=TRUE,I.Facility.P2aFacilityCount&gt;=169,F5181=""),"Incomplete","Complete")</f>
        <v>Complete</v>
      </c>
      <c r="I5181" s="48" t="s">
        <v>9546</v>
      </c>
    </row>
    <row r="5182" spans="2:9" ht="15" customHeight="1" x14ac:dyDescent="0.25">
      <c r="B5182" s="55" t="s">
        <v>280</v>
      </c>
      <c r="C5182" s="46">
        <v>170</v>
      </c>
      <c r="D5182" s="69" t="s">
        <v>29417</v>
      </c>
      <c r="E5182" s="51"/>
      <c r="F5182" s="114" t="str">
        <f>IF(INDEX(I.Facility.P2aIDNumber,170)="","",INDEX(I.Facility.P2aIDNumber,170))</f>
        <v/>
      </c>
      <c r="G5182" s="51"/>
      <c r="H5182" s="46" t="str">
        <f>IF(AND(I.Developer.P2a=TRUE,I.Facility.P2aFacilityCount&gt;=170,F5182=""),"Incomplete","Complete")</f>
        <v>Complete</v>
      </c>
      <c r="I5182" s="48" t="s">
        <v>9547</v>
      </c>
    </row>
    <row r="5183" spans="2:9" ht="15" customHeight="1" x14ac:dyDescent="0.25">
      <c r="B5183" s="55" t="s">
        <v>280</v>
      </c>
      <c r="C5183" s="46">
        <v>171</v>
      </c>
      <c r="D5183" s="69" t="s">
        <v>29417</v>
      </c>
      <c r="E5183" s="51"/>
      <c r="F5183" s="114" t="str">
        <f>IF(INDEX(I.Facility.P2aIDNumber,171)="","",INDEX(I.Facility.P2aIDNumber,171))</f>
        <v/>
      </c>
      <c r="G5183" s="51"/>
      <c r="H5183" s="46" t="str">
        <f>IF(AND(I.Developer.P2a=TRUE,I.Facility.P2aFacilityCount&gt;=171,F5183=""),"Incomplete","Complete")</f>
        <v>Complete</v>
      </c>
      <c r="I5183" s="48" t="s">
        <v>9548</v>
      </c>
    </row>
    <row r="5184" spans="2:9" ht="15" customHeight="1" x14ac:dyDescent="0.25">
      <c r="B5184" s="55" t="s">
        <v>280</v>
      </c>
      <c r="C5184" s="46">
        <v>172</v>
      </c>
      <c r="D5184" s="69" t="s">
        <v>29417</v>
      </c>
      <c r="E5184" s="51"/>
      <c r="F5184" s="114" t="str">
        <f>IF(INDEX(I.Facility.P2aIDNumber,172)="","",INDEX(I.Facility.P2aIDNumber,172))</f>
        <v/>
      </c>
      <c r="G5184" s="51"/>
      <c r="H5184" s="46" t="str">
        <f>IF(AND(I.Developer.P2a=TRUE,I.Facility.P2aFacilityCount&gt;=172,F5184=""),"Incomplete","Complete")</f>
        <v>Complete</v>
      </c>
      <c r="I5184" s="48" t="s">
        <v>9549</v>
      </c>
    </row>
    <row r="5185" spans="2:9" ht="15" customHeight="1" x14ac:dyDescent="0.25">
      <c r="B5185" s="55" t="s">
        <v>280</v>
      </c>
      <c r="C5185" s="46">
        <v>173</v>
      </c>
      <c r="D5185" s="69" t="s">
        <v>29417</v>
      </c>
      <c r="E5185" s="51"/>
      <c r="F5185" s="114" t="str">
        <f>IF(INDEX(I.Facility.P2aIDNumber,173)="","",INDEX(I.Facility.P2aIDNumber,173))</f>
        <v/>
      </c>
      <c r="G5185" s="51"/>
      <c r="H5185" s="46" t="str">
        <f>IF(AND(I.Developer.P2a=TRUE,I.Facility.P2aFacilityCount&gt;=173,F5185=""),"Incomplete","Complete")</f>
        <v>Complete</v>
      </c>
      <c r="I5185" s="48" t="s">
        <v>9550</v>
      </c>
    </row>
    <row r="5186" spans="2:9" ht="15" customHeight="1" x14ac:dyDescent="0.25">
      <c r="B5186" s="55" t="s">
        <v>280</v>
      </c>
      <c r="C5186" s="46">
        <v>174</v>
      </c>
      <c r="D5186" s="69" t="s">
        <v>29417</v>
      </c>
      <c r="E5186" s="51"/>
      <c r="F5186" s="114" t="str">
        <f>IF(INDEX(I.Facility.P2aIDNumber,174)="","",INDEX(I.Facility.P2aIDNumber,174))</f>
        <v/>
      </c>
      <c r="G5186" s="51"/>
      <c r="H5186" s="46" t="str">
        <f>IF(AND(I.Developer.P2a=TRUE,I.Facility.P2aFacilityCount&gt;=174,F5186=""),"Incomplete","Complete")</f>
        <v>Complete</v>
      </c>
      <c r="I5186" s="48" t="s">
        <v>9551</v>
      </c>
    </row>
    <row r="5187" spans="2:9" ht="15" customHeight="1" x14ac:dyDescent="0.25">
      <c r="B5187" s="55" t="s">
        <v>280</v>
      </c>
      <c r="C5187" s="46">
        <v>175</v>
      </c>
      <c r="D5187" s="69" t="s">
        <v>29417</v>
      </c>
      <c r="E5187" s="51"/>
      <c r="F5187" s="114" t="str">
        <f>IF(INDEX(I.Facility.P2aIDNumber,175)="","",INDEX(I.Facility.P2aIDNumber,175))</f>
        <v/>
      </c>
      <c r="G5187" s="51"/>
      <c r="H5187" s="46" t="str">
        <f>IF(AND(I.Developer.P2a=TRUE,I.Facility.P2aFacilityCount&gt;=175,F5187=""),"Incomplete","Complete")</f>
        <v>Complete</v>
      </c>
      <c r="I5187" s="48" t="s">
        <v>9552</v>
      </c>
    </row>
    <row r="5188" spans="2:9" ht="15" customHeight="1" x14ac:dyDescent="0.25">
      <c r="B5188" s="55" t="s">
        <v>280</v>
      </c>
      <c r="C5188" s="46">
        <v>176</v>
      </c>
      <c r="D5188" s="69" t="s">
        <v>29417</v>
      </c>
      <c r="E5188" s="51"/>
      <c r="F5188" s="114" t="str">
        <f>IF(INDEX(I.Facility.P2aIDNumber,176)="","",INDEX(I.Facility.P2aIDNumber,176))</f>
        <v/>
      </c>
      <c r="G5188" s="51"/>
      <c r="H5188" s="46" t="str">
        <f>IF(AND(I.Developer.P2a=TRUE,I.Facility.P2aFacilityCount&gt;=176,F5188=""),"Incomplete","Complete")</f>
        <v>Complete</v>
      </c>
      <c r="I5188" s="48" t="s">
        <v>9553</v>
      </c>
    </row>
    <row r="5189" spans="2:9" ht="15" customHeight="1" x14ac:dyDescent="0.25">
      <c r="B5189" s="55" t="s">
        <v>280</v>
      </c>
      <c r="C5189" s="46">
        <v>177</v>
      </c>
      <c r="D5189" s="69" t="s">
        <v>29417</v>
      </c>
      <c r="E5189" s="51"/>
      <c r="F5189" s="114" t="str">
        <f>IF(INDEX(I.Facility.P2aIDNumber,177)="","",INDEX(I.Facility.P2aIDNumber,177))</f>
        <v/>
      </c>
      <c r="G5189" s="51"/>
      <c r="H5189" s="46" t="str">
        <f>IF(AND(I.Developer.P2a=TRUE,I.Facility.P2aFacilityCount&gt;=177,F5189=""),"Incomplete","Complete")</f>
        <v>Complete</v>
      </c>
      <c r="I5189" s="48" t="s">
        <v>9554</v>
      </c>
    </row>
    <row r="5190" spans="2:9" ht="15" customHeight="1" x14ac:dyDescent="0.25">
      <c r="B5190" s="55" t="s">
        <v>280</v>
      </c>
      <c r="C5190" s="46">
        <v>178</v>
      </c>
      <c r="D5190" s="69" t="s">
        <v>29417</v>
      </c>
      <c r="E5190" s="51"/>
      <c r="F5190" s="114" t="str">
        <f>IF(INDEX(I.Facility.P2aIDNumber,178)="","",INDEX(I.Facility.P2aIDNumber,178))</f>
        <v/>
      </c>
      <c r="G5190" s="51"/>
      <c r="H5190" s="46" t="str">
        <f>IF(AND(I.Developer.P2a=TRUE,I.Facility.P2aFacilityCount&gt;=178,F5190=""),"Incomplete","Complete")</f>
        <v>Complete</v>
      </c>
      <c r="I5190" s="48" t="s">
        <v>9555</v>
      </c>
    </row>
    <row r="5191" spans="2:9" ht="15" customHeight="1" x14ac:dyDescent="0.25">
      <c r="B5191" s="55" t="s">
        <v>280</v>
      </c>
      <c r="C5191" s="46">
        <v>179</v>
      </c>
      <c r="D5191" s="69" t="s">
        <v>29417</v>
      </c>
      <c r="E5191" s="51"/>
      <c r="F5191" s="114" t="str">
        <f>IF(INDEX(I.Facility.P2aIDNumber,179)="","",INDEX(I.Facility.P2aIDNumber,179))</f>
        <v/>
      </c>
      <c r="G5191" s="51"/>
      <c r="H5191" s="46" t="str">
        <f>IF(AND(I.Developer.P2a=TRUE,I.Facility.P2aFacilityCount&gt;=179,F5191=""),"Incomplete","Complete")</f>
        <v>Complete</v>
      </c>
      <c r="I5191" s="48" t="s">
        <v>9556</v>
      </c>
    </row>
    <row r="5192" spans="2:9" ht="15" customHeight="1" x14ac:dyDescent="0.25">
      <c r="B5192" s="55" t="s">
        <v>280</v>
      </c>
      <c r="C5192" s="46">
        <v>180</v>
      </c>
      <c r="D5192" s="69" t="s">
        <v>29417</v>
      </c>
      <c r="E5192" s="51"/>
      <c r="F5192" s="114" t="str">
        <f>IF(INDEX(I.Facility.P2aIDNumber,180)="","",INDEX(I.Facility.P2aIDNumber,180))</f>
        <v/>
      </c>
      <c r="G5192" s="51"/>
      <c r="H5192" s="46" t="str">
        <f>IF(AND(I.Developer.P2a=TRUE,I.Facility.P2aFacilityCount&gt;=180,F5192=""),"Incomplete","Complete")</f>
        <v>Complete</v>
      </c>
      <c r="I5192" s="48" t="s">
        <v>9557</v>
      </c>
    </row>
    <row r="5193" spans="2:9" ht="15" customHeight="1" x14ac:dyDescent="0.25">
      <c r="B5193" s="55" t="s">
        <v>280</v>
      </c>
      <c r="C5193" s="46">
        <v>181</v>
      </c>
      <c r="D5193" s="69" t="s">
        <v>29417</v>
      </c>
      <c r="E5193" s="51"/>
      <c r="F5193" s="114" t="str">
        <f>IF(INDEX(I.Facility.P2aIDNumber,181)="","",INDEX(I.Facility.P2aIDNumber,181))</f>
        <v/>
      </c>
      <c r="G5193" s="51"/>
      <c r="H5193" s="46" t="str">
        <f>IF(AND(I.Developer.P2a=TRUE,I.Facility.P2aFacilityCount&gt;=181,F5193=""),"Incomplete","Complete")</f>
        <v>Complete</v>
      </c>
      <c r="I5193" s="48" t="s">
        <v>9558</v>
      </c>
    </row>
    <row r="5194" spans="2:9" ht="15" customHeight="1" x14ac:dyDescent="0.25">
      <c r="B5194" s="55" t="s">
        <v>280</v>
      </c>
      <c r="C5194" s="46">
        <v>182</v>
      </c>
      <c r="D5194" s="69" t="s">
        <v>29417</v>
      </c>
      <c r="E5194" s="51"/>
      <c r="F5194" s="114" t="str">
        <f>IF(INDEX(I.Facility.P2aIDNumber,182)="","",INDEX(I.Facility.P2aIDNumber,182))</f>
        <v/>
      </c>
      <c r="G5194" s="51"/>
      <c r="H5194" s="46" t="str">
        <f>IF(AND(I.Developer.P2a=TRUE,I.Facility.P2aFacilityCount&gt;=182,F5194=""),"Incomplete","Complete")</f>
        <v>Complete</v>
      </c>
      <c r="I5194" s="48" t="s">
        <v>9559</v>
      </c>
    </row>
    <row r="5195" spans="2:9" ht="15" customHeight="1" x14ac:dyDescent="0.25">
      <c r="B5195" s="55" t="s">
        <v>280</v>
      </c>
      <c r="C5195" s="46">
        <v>183</v>
      </c>
      <c r="D5195" s="69" t="s">
        <v>29417</v>
      </c>
      <c r="E5195" s="51"/>
      <c r="F5195" s="114" t="str">
        <f>IF(INDEX(I.Facility.P2aIDNumber,183)="","",INDEX(I.Facility.P2aIDNumber,183))</f>
        <v/>
      </c>
      <c r="G5195" s="51"/>
      <c r="H5195" s="46" t="str">
        <f>IF(AND(I.Developer.P2a=TRUE,I.Facility.P2aFacilityCount&gt;=183,F5195=""),"Incomplete","Complete")</f>
        <v>Complete</v>
      </c>
      <c r="I5195" s="48" t="s">
        <v>9560</v>
      </c>
    </row>
    <row r="5196" spans="2:9" ht="15" customHeight="1" x14ac:dyDescent="0.25">
      <c r="B5196" s="55" t="s">
        <v>280</v>
      </c>
      <c r="C5196" s="46">
        <v>184</v>
      </c>
      <c r="D5196" s="69" t="s">
        <v>29417</v>
      </c>
      <c r="E5196" s="51"/>
      <c r="F5196" s="114" t="str">
        <f>IF(INDEX(I.Facility.P2aIDNumber,184)="","",INDEX(I.Facility.P2aIDNumber,184))</f>
        <v/>
      </c>
      <c r="G5196" s="51"/>
      <c r="H5196" s="46" t="str">
        <f>IF(AND(I.Developer.P2a=TRUE,I.Facility.P2aFacilityCount&gt;=184,F5196=""),"Incomplete","Complete")</f>
        <v>Complete</v>
      </c>
      <c r="I5196" s="48" t="s">
        <v>9561</v>
      </c>
    </row>
    <row r="5197" spans="2:9" ht="15" customHeight="1" x14ac:dyDescent="0.25">
      <c r="B5197" s="55" t="s">
        <v>280</v>
      </c>
      <c r="C5197" s="46">
        <v>185</v>
      </c>
      <c r="D5197" s="69" t="s">
        <v>29417</v>
      </c>
      <c r="E5197" s="51"/>
      <c r="F5197" s="114" t="str">
        <f>IF(INDEX(I.Facility.P2aIDNumber,185)="","",INDEX(I.Facility.P2aIDNumber,185))</f>
        <v/>
      </c>
      <c r="G5197" s="51"/>
      <c r="H5197" s="46" t="str">
        <f>IF(AND(I.Developer.P2a=TRUE,I.Facility.P2aFacilityCount&gt;=185,F5197=""),"Incomplete","Complete")</f>
        <v>Complete</v>
      </c>
      <c r="I5197" s="48" t="s">
        <v>9562</v>
      </c>
    </row>
    <row r="5198" spans="2:9" ht="15" customHeight="1" x14ac:dyDescent="0.25">
      <c r="B5198" s="55" t="s">
        <v>280</v>
      </c>
      <c r="C5198" s="46">
        <v>186</v>
      </c>
      <c r="D5198" s="69" t="s">
        <v>29417</v>
      </c>
      <c r="E5198" s="51"/>
      <c r="F5198" s="114" t="str">
        <f>IF(INDEX(I.Facility.P2aIDNumber,186)="","",INDEX(I.Facility.P2aIDNumber,186))</f>
        <v/>
      </c>
      <c r="G5198" s="51"/>
      <c r="H5198" s="46" t="str">
        <f>IF(AND(I.Developer.P2a=TRUE,I.Facility.P2aFacilityCount&gt;=186,F5198=""),"Incomplete","Complete")</f>
        <v>Complete</v>
      </c>
      <c r="I5198" s="48" t="s">
        <v>9563</v>
      </c>
    </row>
    <row r="5199" spans="2:9" ht="15" customHeight="1" x14ac:dyDescent="0.25">
      <c r="B5199" s="55" t="s">
        <v>280</v>
      </c>
      <c r="C5199" s="46">
        <v>187</v>
      </c>
      <c r="D5199" s="69" t="s">
        <v>29417</v>
      </c>
      <c r="E5199" s="51"/>
      <c r="F5199" s="114" t="str">
        <f>IF(INDEX(I.Facility.P2aIDNumber,187)="","",INDEX(I.Facility.P2aIDNumber,187))</f>
        <v/>
      </c>
      <c r="G5199" s="51"/>
      <c r="H5199" s="46" t="str">
        <f>IF(AND(I.Developer.P2a=TRUE,I.Facility.P2aFacilityCount&gt;=187,F5199=""),"Incomplete","Complete")</f>
        <v>Complete</v>
      </c>
      <c r="I5199" s="48" t="s">
        <v>9564</v>
      </c>
    </row>
    <row r="5200" spans="2:9" ht="15" customHeight="1" x14ac:dyDescent="0.25">
      <c r="B5200" s="55" t="s">
        <v>280</v>
      </c>
      <c r="C5200" s="46">
        <v>188</v>
      </c>
      <c r="D5200" s="69" t="s">
        <v>29417</v>
      </c>
      <c r="E5200" s="51"/>
      <c r="F5200" s="114" t="str">
        <f>IF(INDEX(I.Facility.P2aIDNumber,188)="","",INDEX(I.Facility.P2aIDNumber,188))</f>
        <v/>
      </c>
      <c r="G5200" s="51"/>
      <c r="H5200" s="46" t="str">
        <f>IF(AND(I.Developer.P2a=TRUE,I.Facility.P2aFacilityCount&gt;=188,F5200=""),"Incomplete","Complete")</f>
        <v>Complete</v>
      </c>
      <c r="I5200" s="48" t="s">
        <v>9565</v>
      </c>
    </row>
    <row r="5201" spans="2:9" ht="15" customHeight="1" x14ac:dyDescent="0.25">
      <c r="B5201" s="55" t="s">
        <v>280</v>
      </c>
      <c r="C5201" s="46">
        <v>189</v>
      </c>
      <c r="D5201" s="69" t="s">
        <v>29417</v>
      </c>
      <c r="E5201" s="51"/>
      <c r="F5201" s="114" t="str">
        <f>IF(INDEX(I.Facility.P2aIDNumber,189)="","",INDEX(I.Facility.P2aIDNumber,189))</f>
        <v/>
      </c>
      <c r="G5201" s="51"/>
      <c r="H5201" s="46" t="str">
        <f>IF(AND(I.Developer.P2a=TRUE,I.Facility.P2aFacilityCount&gt;=189,F5201=""),"Incomplete","Complete")</f>
        <v>Complete</v>
      </c>
      <c r="I5201" s="48" t="s">
        <v>9566</v>
      </c>
    </row>
    <row r="5202" spans="2:9" ht="15" customHeight="1" x14ac:dyDescent="0.25">
      <c r="B5202" s="55" t="s">
        <v>280</v>
      </c>
      <c r="C5202" s="46">
        <v>190</v>
      </c>
      <c r="D5202" s="69" t="s">
        <v>29417</v>
      </c>
      <c r="E5202" s="51"/>
      <c r="F5202" s="114" t="str">
        <f>IF(INDEX(I.Facility.P2aIDNumber,190)="","",INDEX(I.Facility.P2aIDNumber,190))</f>
        <v/>
      </c>
      <c r="G5202" s="51"/>
      <c r="H5202" s="46" t="str">
        <f>IF(AND(I.Developer.P2a=TRUE,I.Facility.P2aFacilityCount&gt;=190,F5202=""),"Incomplete","Complete")</f>
        <v>Complete</v>
      </c>
      <c r="I5202" s="48" t="s">
        <v>9567</v>
      </c>
    </row>
    <row r="5203" spans="2:9" ht="15" customHeight="1" x14ac:dyDescent="0.25">
      <c r="B5203" s="55" t="s">
        <v>280</v>
      </c>
      <c r="C5203" s="46">
        <v>191</v>
      </c>
      <c r="D5203" s="69" t="s">
        <v>29417</v>
      </c>
      <c r="E5203" s="51"/>
      <c r="F5203" s="114" t="str">
        <f>IF(INDEX(I.Facility.P2aIDNumber,191)="","",INDEX(I.Facility.P2aIDNumber,191))</f>
        <v/>
      </c>
      <c r="G5203" s="51"/>
      <c r="H5203" s="46" t="str">
        <f>IF(AND(I.Developer.P2a=TRUE,I.Facility.P2aFacilityCount&gt;=191,F5203=""),"Incomplete","Complete")</f>
        <v>Complete</v>
      </c>
      <c r="I5203" s="48" t="s">
        <v>9568</v>
      </c>
    </row>
    <row r="5204" spans="2:9" ht="15" customHeight="1" x14ac:dyDescent="0.25">
      <c r="B5204" s="55" t="s">
        <v>280</v>
      </c>
      <c r="C5204" s="46">
        <v>192</v>
      </c>
      <c r="D5204" s="69" t="s">
        <v>29417</v>
      </c>
      <c r="E5204" s="51"/>
      <c r="F5204" s="114" t="str">
        <f>IF(INDEX(I.Facility.P2aIDNumber,192)="","",INDEX(I.Facility.P2aIDNumber,192))</f>
        <v/>
      </c>
      <c r="G5204" s="51"/>
      <c r="H5204" s="46" t="str">
        <f>IF(AND(I.Developer.P2a=TRUE,I.Facility.P2aFacilityCount&gt;=192,F5204=""),"Incomplete","Complete")</f>
        <v>Complete</v>
      </c>
      <c r="I5204" s="48" t="s">
        <v>9569</v>
      </c>
    </row>
    <row r="5205" spans="2:9" ht="15" customHeight="1" x14ac:dyDescent="0.25">
      <c r="B5205" s="55" t="s">
        <v>280</v>
      </c>
      <c r="C5205" s="46">
        <v>193</v>
      </c>
      <c r="D5205" s="69" t="s">
        <v>29417</v>
      </c>
      <c r="E5205" s="51"/>
      <c r="F5205" s="114" t="str">
        <f>IF(INDEX(I.Facility.P2aIDNumber,193)="","",INDEX(I.Facility.P2aIDNumber,193))</f>
        <v/>
      </c>
      <c r="G5205" s="51"/>
      <c r="H5205" s="46" t="str">
        <f>IF(AND(I.Developer.P2a=TRUE,I.Facility.P2aFacilityCount&gt;=193,F5205=""),"Incomplete","Complete")</f>
        <v>Complete</v>
      </c>
      <c r="I5205" s="48" t="s">
        <v>9570</v>
      </c>
    </row>
    <row r="5206" spans="2:9" ht="15" customHeight="1" x14ac:dyDescent="0.25">
      <c r="B5206" s="55" t="s">
        <v>280</v>
      </c>
      <c r="C5206" s="46">
        <v>194</v>
      </c>
      <c r="D5206" s="69" t="s">
        <v>29417</v>
      </c>
      <c r="E5206" s="51"/>
      <c r="F5206" s="114" t="str">
        <f>IF(INDEX(I.Facility.P2aIDNumber,194)="","",INDEX(I.Facility.P2aIDNumber,194))</f>
        <v/>
      </c>
      <c r="G5206" s="51"/>
      <c r="H5206" s="46" t="str">
        <f>IF(AND(I.Developer.P2a=TRUE,I.Facility.P2aFacilityCount&gt;=194,F5206=""),"Incomplete","Complete")</f>
        <v>Complete</v>
      </c>
      <c r="I5206" s="48" t="s">
        <v>9571</v>
      </c>
    </row>
    <row r="5207" spans="2:9" ht="15" customHeight="1" x14ac:dyDescent="0.25">
      <c r="B5207" s="55" t="s">
        <v>280</v>
      </c>
      <c r="C5207" s="46">
        <v>195</v>
      </c>
      <c r="D5207" s="69" t="s">
        <v>29417</v>
      </c>
      <c r="E5207" s="51"/>
      <c r="F5207" s="114" t="str">
        <f>IF(INDEX(I.Facility.P2aIDNumber,195)="","",INDEX(I.Facility.P2aIDNumber,195))</f>
        <v/>
      </c>
      <c r="G5207" s="51"/>
      <c r="H5207" s="46" t="str">
        <f>IF(AND(I.Developer.P2a=TRUE,I.Facility.P2aFacilityCount&gt;=195,F5207=""),"Incomplete","Complete")</f>
        <v>Complete</v>
      </c>
      <c r="I5207" s="48" t="s">
        <v>9572</v>
      </c>
    </row>
    <row r="5208" spans="2:9" ht="15" customHeight="1" x14ac:dyDescent="0.25">
      <c r="B5208" s="55" t="s">
        <v>280</v>
      </c>
      <c r="C5208" s="46">
        <v>196</v>
      </c>
      <c r="D5208" s="69" t="s">
        <v>29417</v>
      </c>
      <c r="E5208" s="51"/>
      <c r="F5208" s="114" t="str">
        <f>IF(INDEX(I.Facility.P2aIDNumber,196)="","",INDEX(I.Facility.P2aIDNumber,196))</f>
        <v/>
      </c>
      <c r="G5208" s="51"/>
      <c r="H5208" s="46" t="str">
        <f>IF(AND(I.Developer.P2a=TRUE,I.Facility.P2aFacilityCount&gt;=196,F5208=""),"Incomplete","Complete")</f>
        <v>Complete</v>
      </c>
      <c r="I5208" s="48" t="s">
        <v>9573</v>
      </c>
    </row>
    <row r="5209" spans="2:9" ht="15" customHeight="1" x14ac:dyDescent="0.25">
      <c r="B5209" s="55" t="s">
        <v>280</v>
      </c>
      <c r="C5209" s="46">
        <v>197</v>
      </c>
      <c r="D5209" s="69" t="s">
        <v>29417</v>
      </c>
      <c r="E5209" s="51"/>
      <c r="F5209" s="114" t="str">
        <f>IF(INDEX(I.Facility.P2aIDNumber,197)="","",INDEX(I.Facility.P2aIDNumber,197))</f>
        <v/>
      </c>
      <c r="G5209" s="51"/>
      <c r="H5209" s="46" t="str">
        <f>IF(AND(I.Developer.P2a=TRUE,I.Facility.P2aFacilityCount&gt;=197,F5209=""),"Incomplete","Complete")</f>
        <v>Complete</v>
      </c>
      <c r="I5209" s="48" t="s">
        <v>9574</v>
      </c>
    </row>
    <row r="5210" spans="2:9" ht="15" customHeight="1" x14ac:dyDescent="0.25">
      <c r="B5210" s="55" t="s">
        <v>280</v>
      </c>
      <c r="C5210" s="46">
        <v>198</v>
      </c>
      <c r="D5210" s="69" t="s">
        <v>29417</v>
      </c>
      <c r="E5210" s="51"/>
      <c r="F5210" s="114" t="str">
        <f>IF(INDEX(I.Facility.P2aIDNumber,198)="","",INDEX(I.Facility.P2aIDNumber,198))</f>
        <v/>
      </c>
      <c r="G5210" s="51"/>
      <c r="H5210" s="46" t="str">
        <f>IF(AND(I.Developer.P2a=TRUE,I.Facility.P2aFacilityCount&gt;=198,F5210=""),"Incomplete","Complete")</f>
        <v>Complete</v>
      </c>
      <c r="I5210" s="48" t="s">
        <v>9575</v>
      </c>
    </row>
    <row r="5211" spans="2:9" ht="15" customHeight="1" x14ac:dyDescent="0.25">
      <c r="B5211" s="55" t="s">
        <v>280</v>
      </c>
      <c r="C5211" s="46">
        <v>199</v>
      </c>
      <c r="D5211" s="69" t="s">
        <v>29417</v>
      </c>
      <c r="E5211" s="51"/>
      <c r="F5211" s="114" t="str">
        <f>IF(INDEX(I.Facility.P2aIDNumber,199)="","",INDEX(I.Facility.P2aIDNumber,199))</f>
        <v/>
      </c>
      <c r="G5211" s="51"/>
      <c r="H5211" s="46" t="str">
        <f>IF(AND(I.Developer.P2a=TRUE,I.Facility.P2aFacilityCount&gt;=199,F5211=""),"Incomplete","Complete")</f>
        <v>Complete</v>
      </c>
      <c r="I5211" s="48" t="s">
        <v>9576</v>
      </c>
    </row>
    <row r="5212" spans="2:9" ht="15" customHeight="1" x14ac:dyDescent="0.25">
      <c r="B5212" s="55" t="s">
        <v>280</v>
      </c>
      <c r="C5212" s="46">
        <v>200</v>
      </c>
      <c r="D5212" s="69" t="s">
        <v>29417</v>
      </c>
      <c r="E5212" s="51"/>
      <c r="F5212" s="114" t="str">
        <f>IF(INDEX(I.Facility.P2aIDNumber,200)="","",INDEX(I.Facility.P2aIDNumber,200))</f>
        <v/>
      </c>
      <c r="G5212" s="51"/>
      <c r="H5212" s="46" t="str">
        <f>IF(AND(I.Developer.P2a=TRUE,I.Facility.P2aFacilityCount&gt;=200,F5212=""),"Incomplete","Complete")</f>
        <v>Complete</v>
      </c>
      <c r="I5212" s="48" t="s">
        <v>9577</v>
      </c>
    </row>
    <row r="5213" spans="2:9" ht="15" customHeight="1" x14ac:dyDescent="0.25">
      <c r="B5213" s="55" t="s">
        <v>280</v>
      </c>
      <c r="C5213" s="46">
        <v>201</v>
      </c>
      <c r="D5213" s="69" t="s">
        <v>29417</v>
      </c>
      <c r="E5213" s="51"/>
      <c r="F5213" s="114" t="str">
        <f>IF(INDEX(I.Facility.P2aIDNumber,201)="","",INDEX(I.Facility.P2aIDNumber,201))</f>
        <v/>
      </c>
      <c r="G5213" s="51"/>
      <c r="H5213" s="46" t="str">
        <f>IF(AND(I.Developer.P2a=TRUE,I.Facility.P2aFacilityCount&gt;=201,F5213=""),"Incomplete","Complete")</f>
        <v>Complete</v>
      </c>
      <c r="I5213" s="48" t="s">
        <v>9578</v>
      </c>
    </row>
    <row r="5214" spans="2:9" ht="15" customHeight="1" x14ac:dyDescent="0.25">
      <c r="B5214" s="55" t="s">
        <v>280</v>
      </c>
      <c r="C5214" s="46">
        <v>202</v>
      </c>
      <c r="D5214" s="69" t="s">
        <v>29417</v>
      </c>
      <c r="E5214" s="51"/>
      <c r="F5214" s="114" t="str">
        <f>IF(INDEX(I.Facility.P2aIDNumber,202)="","",INDEX(I.Facility.P2aIDNumber,202))</f>
        <v/>
      </c>
      <c r="G5214" s="51"/>
      <c r="H5214" s="46" t="str">
        <f>IF(AND(I.Developer.P2a=TRUE,I.Facility.P2aFacilityCount&gt;=202,F5214=""),"Incomplete","Complete")</f>
        <v>Complete</v>
      </c>
      <c r="I5214" s="48" t="s">
        <v>9579</v>
      </c>
    </row>
    <row r="5215" spans="2:9" ht="15" customHeight="1" x14ac:dyDescent="0.25">
      <c r="B5215" s="55" t="s">
        <v>280</v>
      </c>
      <c r="C5215" s="46">
        <v>203</v>
      </c>
      <c r="D5215" s="69" t="s">
        <v>29417</v>
      </c>
      <c r="E5215" s="51"/>
      <c r="F5215" s="114" t="str">
        <f>IF(INDEX(I.Facility.P2aIDNumber,203)="","",INDEX(I.Facility.P2aIDNumber,203))</f>
        <v/>
      </c>
      <c r="G5215" s="51"/>
      <c r="H5215" s="46" t="str">
        <f>IF(AND(I.Developer.P2a=TRUE,I.Facility.P2aFacilityCount&gt;=203,F5215=""),"Incomplete","Complete")</f>
        <v>Complete</v>
      </c>
      <c r="I5215" s="48" t="s">
        <v>9580</v>
      </c>
    </row>
    <row r="5216" spans="2:9" ht="15" customHeight="1" x14ac:dyDescent="0.25">
      <c r="B5216" s="55" t="s">
        <v>280</v>
      </c>
      <c r="C5216" s="46">
        <v>204</v>
      </c>
      <c r="D5216" s="69" t="s">
        <v>29417</v>
      </c>
      <c r="E5216" s="51"/>
      <c r="F5216" s="114" t="str">
        <f>IF(INDEX(I.Facility.P2aIDNumber,204)="","",INDEX(I.Facility.P2aIDNumber,204))</f>
        <v/>
      </c>
      <c r="G5216" s="51"/>
      <c r="H5216" s="46" t="str">
        <f>IF(AND(I.Developer.P2a=TRUE,I.Facility.P2aFacilityCount&gt;=204,F5216=""),"Incomplete","Complete")</f>
        <v>Complete</v>
      </c>
      <c r="I5216" s="48" t="s">
        <v>9581</v>
      </c>
    </row>
    <row r="5217" spans="2:9" ht="15" customHeight="1" x14ac:dyDescent="0.25">
      <c r="B5217" s="55" t="s">
        <v>280</v>
      </c>
      <c r="C5217" s="46">
        <v>205</v>
      </c>
      <c r="D5217" s="69" t="s">
        <v>29417</v>
      </c>
      <c r="E5217" s="51"/>
      <c r="F5217" s="114" t="str">
        <f>IF(INDEX(I.Facility.P2aIDNumber,205)="","",INDEX(I.Facility.P2aIDNumber,205))</f>
        <v/>
      </c>
      <c r="G5217" s="51"/>
      <c r="H5217" s="46" t="str">
        <f>IF(AND(I.Developer.P2a=TRUE,I.Facility.P2aFacilityCount&gt;=205,F5217=""),"Incomplete","Complete")</f>
        <v>Complete</v>
      </c>
      <c r="I5217" s="48" t="s">
        <v>9582</v>
      </c>
    </row>
    <row r="5218" spans="2:9" ht="15" customHeight="1" x14ac:dyDescent="0.25">
      <c r="B5218" s="55" t="s">
        <v>280</v>
      </c>
      <c r="C5218" s="46">
        <v>206</v>
      </c>
      <c r="D5218" s="69" t="s">
        <v>29417</v>
      </c>
      <c r="E5218" s="51"/>
      <c r="F5218" s="114" t="str">
        <f>IF(INDEX(I.Facility.P2aIDNumber,206)="","",INDEX(I.Facility.P2aIDNumber,206))</f>
        <v/>
      </c>
      <c r="G5218" s="51"/>
      <c r="H5218" s="46" t="str">
        <f>IF(AND(I.Developer.P2a=TRUE,I.Facility.P2aFacilityCount&gt;=206,F5218=""),"Incomplete","Complete")</f>
        <v>Complete</v>
      </c>
      <c r="I5218" s="48" t="s">
        <v>9583</v>
      </c>
    </row>
    <row r="5219" spans="2:9" ht="15" customHeight="1" x14ac:dyDescent="0.25">
      <c r="B5219" s="55" t="s">
        <v>280</v>
      </c>
      <c r="C5219" s="46">
        <v>207</v>
      </c>
      <c r="D5219" s="69" t="s">
        <v>29417</v>
      </c>
      <c r="E5219" s="51"/>
      <c r="F5219" s="114" t="str">
        <f>IF(INDEX(I.Facility.P2aIDNumber,207)="","",INDEX(I.Facility.P2aIDNumber,207))</f>
        <v/>
      </c>
      <c r="G5219" s="51"/>
      <c r="H5219" s="46" t="str">
        <f>IF(AND(I.Developer.P2a=TRUE,I.Facility.P2aFacilityCount&gt;=207,F5219=""),"Incomplete","Complete")</f>
        <v>Complete</v>
      </c>
      <c r="I5219" s="48" t="s">
        <v>9584</v>
      </c>
    </row>
    <row r="5220" spans="2:9" ht="15" customHeight="1" x14ac:dyDescent="0.25">
      <c r="B5220" s="55" t="s">
        <v>280</v>
      </c>
      <c r="C5220" s="46">
        <v>208</v>
      </c>
      <c r="D5220" s="69" t="s">
        <v>29417</v>
      </c>
      <c r="E5220" s="51"/>
      <c r="F5220" s="114" t="str">
        <f>IF(INDEX(I.Facility.P2aIDNumber,208)="","",INDEX(I.Facility.P2aIDNumber,208))</f>
        <v/>
      </c>
      <c r="G5220" s="51"/>
      <c r="H5220" s="46" t="str">
        <f>IF(AND(I.Developer.P2a=TRUE,I.Facility.P2aFacilityCount&gt;=208,F5220=""),"Incomplete","Complete")</f>
        <v>Complete</v>
      </c>
      <c r="I5220" s="48" t="s">
        <v>9585</v>
      </c>
    </row>
    <row r="5221" spans="2:9" ht="15" customHeight="1" x14ac:dyDescent="0.25">
      <c r="B5221" s="55" t="s">
        <v>280</v>
      </c>
      <c r="C5221" s="46">
        <v>209</v>
      </c>
      <c r="D5221" s="69" t="s">
        <v>29417</v>
      </c>
      <c r="E5221" s="51"/>
      <c r="F5221" s="114" t="str">
        <f>IF(INDEX(I.Facility.P2aIDNumber,209)="","",INDEX(I.Facility.P2aIDNumber,209))</f>
        <v/>
      </c>
      <c r="G5221" s="51"/>
      <c r="H5221" s="46" t="str">
        <f>IF(AND(I.Developer.P2a=TRUE,I.Facility.P2aFacilityCount&gt;=209,F5221=""),"Incomplete","Complete")</f>
        <v>Complete</v>
      </c>
      <c r="I5221" s="48" t="s">
        <v>9586</v>
      </c>
    </row>
    <row r="5222" spans="2:9" ht="15" customHeight="1" x14ac:dyDescent="0.25">
      <c r="B5222" s="55" t="s">
        <v>280</v>
      </c>
      <c r="C5222" s="46">
        <v>210</v>
      </c>
      <c r="D5222" s="69" t="s">
        <v>29417</v>
      </c>
      <c r="E5222" s="51"/>
      <c r="F5222" s="114" t="str">
        <f>IF(INDEX(I.Facility.P2aIDNumber,210)="","",INDEX(I.Facility.P2aIDNumber,210))</f>
        <v/>
      </c>
      <c r="G5222" s="51"/>
      <c r="H5222" s="46" t="str">
        <f>IF(AND(I.Developer.P2a=TRUE,I.Facility.P2aFacilityCount&gt;=210,F5222=""),"Incomplete","Complete")</f>
        <v>Complete</v>
      </c>
      <c r="I5222" s="48" t="s">
        <v>9587</v>
      </c>
    </row>
    <row r="5223" spans="2:9" ht="15" customHeight="1" x14ac:dyDescent="0.25">
      <c r="B5223" s="55" t="s">
        <v>280</v>
      </c>
      <c r="C5223" s="46">
        <v>211</v>
      </c>
      <c r="D5223" s="69" t="s">
        <v>29417</v>
      </c>
      <c r="E5223" s="51"/>
      <c r="F5223" s="114" t="str">
        <f>IF(INDEX(I.Facility.P2aIDNumber,211)="","",INDEX(I.Facility.P2aIDNumber,211))</f>
        <v/>
      </c>
      <c r="G5223" s="51"/>
      <c r="H5223" s="46" t="str">
        <f>IF(AND(I.Developer.P2a=TRUE,I.Facility.P2aFacilityCount&gt;=211,F5223=""),"Incomplete","Complete")</f>
        <v>Complete</v>
      </c>
      <c r="I5223" s="48" t="s">
        <v>9588</v>
      </c>
    </row>
    <row r="5224" spans="2:9" ht="15" customHeight="1" x14ac:dyDescent="0.25">
      <c r="B5224" s="55" t="s">
        <v>280</v>
      </c>
      <c r="C5224" s="46">
        <v>212</v>
      </c>
      <c r="D5224" s="69" t="s">
        <v>29417</v>
      </c>
      <c r="E5224" s="51"/>
      <c r="F5224" s="114" t="str">
        <f>IF(INDEX(I.Facility.P2aIDNumber,212)="","",INDEX(I.Facility.P2aIDNumber,212))</f>
        <v/>
      </c>
      <c r="G5224" s="51"/>
      <c r="H5224" s="46" t="str">
        <f>IF(AND(I.Developer.P2a=TRUE,I.Facility.P2aFacilityCount&gt;=212,F5224=""),"Incomplete","Complete")</f>
        <v>Complete</v>
      </c>
      <c r="I5224" s="48" t="s">
        <v>9589</v>
      </c>
    </row>
    <row r="5225" spans="2:9" ht="15" customHeight="1" x14ac:dyDescent="0.25">
      <c r="B5225" s="55" t="s">
        <v>280</v>
      </c>
      <c r="C5225" s="46">
        <v>213</v>
      </c>
      <c r="D5225" s="69" t="s">
        <v>29417</v>
      </c>
      <c r="E5225" s="51"/>
      <c r="F5225" s="114" t="str">
        <f>IF(INDEX(I.Facility.P2aIDNumber,213)="","",INDEX(I.Facility.P2aIDNumber,213))</f>
        <v/>
      </c>
      <c r="G5225" s="51"/>
      <c r="H5225" s="46" t="str">
        <f>IF(AND(I.Developer.P2a=TRUE,I.Facility.P2aFacilityCount&gt;=213,F5225=""),"Incomplete","Complete")</f>
        <v>Complete</v>
      </c>
      <c r="I5225" s="48" t="s">
        <v>9590</v>
      </c>
    </row>
    <row r="5226" spans="2:9" ht="15" customHeight="1" x14ac:dyDescent="0.25">
      <c r="B5226" s="55" t="s">
        <v>280</v>
      </c>
      <c r="C5226" s="46">
        <v>214</v>
      </c>
      <c r="D5226" s="69" t="s">
        <v>29417</v>
      </c>
      <c r="E5226" s="51"/>
      <c r="F5226" s="114" t="str">
        <f>IF(INDEX(I.Facility.P2aIDNumber,214)="","",INDEX(I.Facility.P2aIDNumber,214))</f>
        <v/>
      </c>
      <c r="G5226" s="51"/>
      <c r="H5226" s="46" t="str">
        <f>IF(AND(I.Developer.P2a=TRUE,I.Facility.P2aFacilityCount&gt;=214,F5226=""),"Incomplete","Complete")</f>
        <v>Complete</v>
      </c>
      <c r="I5226" s="48" t="s">
        <v>9591</v>
      </c>
    </row>
    <row r="5227" spans="2:9" ht="15" customHeight="1" x14ac:dyDescent="0.25">
      <c r="B5227" s="55" t="s">
        <v>280</v>
      </c>
      <c r="C5227" s="46">
        <v>215</v>
      </c>
      <c r="D5227" s="69" t="s">
        <v>29417</v>
      </c>
      <c r="E5227" s="51"/>
      <c r="F5227" s="114" t="str">
        <f>IF(INDEX(I.Facility.P2aIDNumber,215)="","",INDEX(I.Facility.P2aIDNumber,215))</f>
        <v/>
      </c>
      <c r="G5227" s="51"/>
      <c r="H5227" s="46" t="str">
        <f>IF(AND(I.Developer.P2a=TRUE,I.Facility.P2aFacilityCount&gt;=215,F5227=""),"Incomplete","Complete")</f>
        <v>Complete</v>
      </c>
      <c r="I5227" s="48" t="s">
        <v>9592</v>
      </c>
    </row>
    <row r="5228" spans="2:9" ht="15" customHeight="1" x14ac:dyDescent="0.25">
      <c r="B5228" s="55" t="s">
        <v>280</v>
      </c>
      <c r="C5228" s="46">
        <v>216</v>
      </c>
      <c r="D5228" s="69" t="s">
        <v>29417</v>
      </c>
      <c r="E5228" s="51"/>
      <c r="F5228" s="114" t="str">
        <f>IF(INDEX(I.Facility.P2aIDNumber,216)="","",INDEX(I.Facility.P2aIDNumber,216))</f>
        <v/>
      </c>
      <c r="G5228" s="51"/>
      <c r="H5228" s="46" t="str">
        <f>IF(AND(I.Developer.P2a=TRUE,I.Facility.P2aFacilityCount&gt;=216,F5228=""),"Incomplete","Complete")</f>
        <v>Complete</v>
      </c>
      <c r="I5228" s="48" t="s">
        <v>9593</v>
      </c>
    </row>
    <row r="5229" spans="2:9" ht="15" customHeight="1" x14ac:dyDescent="0.25">
      <c r="B5229" s="55" t="s">
        <v>280</v>
      </c>
      <c r="C5229" s="46">
        <v>217</v>
      </c>
      <c r="D5229" s="69" t="s">
        <v>29417</v>
      </c>
      <c r="E5229" s="51"/>
      <c r="F5229" s="114" t="str">
        <f>IF(INDEX(I.Facility.P2aIDNumber,217)="","",INDEX(I.Facility.P2aIDNumber,217))</f>
        <v/>
      </c>
      <c r="G5229" s="51"/>
      <c r="H5229" s="46" t="str">
        <f>IF(AND(I.Developer.P2a=TRUE,I.Facility.P2aFacilityCount&gt;=217,F5229=""),"Incomplete","Complete")</f>
        <v>Complete</v>
      </c>
      <c r="I5229" s="48" t="s">
        <v>9594</v>
      </c>
    </row>
    <row r="5230" spans="2:9" ht="15" customHeight="1" x14ac:dyDescent="0.25">
      <c r="B5230" s="55" t="s">
        <v>280</v>
      </c>
      <c r="C5230" s="46">
        <v>218</v>
      </c>
      <c r="D5230" s="69" t="s">
        <v>29417</v>
      </c>
      <c r="E5230" s="51"/>
      <c r="F5230" s="114" t="str">
        <f>IF(INDEX(I.Facility.P2aIDNumber,218)="","",INDEX(I.Facility.P2aIDNumber,218))</f>
        <v/>
      </c>
      <c r="G5230" s="51"/>
      <c r="H5230" s="46" t="str">
        <f>IF(AND(I.Developer.P2a=TRUE,I.Facility.P2aFacilityCount&gt;=218,F5230=""),"Incomplete","Complete")</f>
        <v>Complete</v>
      </c>
      <c r="I5230" s="48" t="s">
        <v>9595</v>
      </c>
    </row>
    <row r="5231" spans="2:9" ht="15" customHeight="1" x14ac:dyDescent="0.25">
      <c r="B5231" s="55" t="s">
        <v>280</v>
      </c>
      <c r="C5231" s="46">
        <v>219</v>
      </c>
      <c r="D5231" s="69" t="s">
        <v>29417</v>
      </c>
      <c r="E5231" s="51"/>
      <c r="F5231" s="114" t="str">
        <f>IF(INDEX(I.Facility.P2aIDNumber,219)="","",INDEX(I.Facility.P2aIDNumber,219))</f>
        <v/>
      </c>
      <c r="G5231" s="51"/>
      <c r="H5231" s="46" t="str">
        <f>IF(AND(I.Developer.P2a=TRUE,I.Facility.P2aFacilityCount&gt;=219,F5231=""),"Incomplete","Complete")</f>
        <v>Complete</v>
      </c>
      <c r="I5231" s="48" t="s">
        <v>9596</v>
      </c>
    </row>
    <row r="5232" spans="2:9" ht="15" customHeight="1" x14ac:dyDescent="0.25">
      <c r="B5232" s="55" t="s">
        <v>280</v>
      </c>
      <c r="C5232" s="46">
        <v>220</v>
      </c>
      <c r="D5232" s="69" t="s">
        <v>29417</v>
      </c>
      <c r="E5232" s="51"/>
      <c r="F5232" s="114" t="str">
        <f>IF(INDEX(I.Facility.P2aIDNumber,220)="","",INDEX(I.Facility.P2aIDNumber,220))</f>
        <v/>
      </c>
      <c r="G5232" s="51"/>
      <c r="H5232" s="46" t="str">
        <f>IF(AND(I.Developer.P2a=TRUE,I.Facility.P2aFacilityCount&gt;=220,F5232=""),"Incomplete","Complete")</f>
        <v>Complete</v>
      </c>
      <c r="I5232" s="48" t="s">
        <v>9597</v>
      </c>
    </row>
    <row r="5233" spans="2:9" ht="15" customHeight="1" x14ac:dyDescent="0.25">
      <c r="B5233" s="55" t="s">
        <v>280</v>
      </c>
      <c r="C5233" s="46">
        <v>221</v>
      </c>
      <c r="D5233" s="69" t="s">
        <v>29417</v>
      </c>
      <c r="E5233" s="51"/>
      <c r="F5233" s="114" t="str">
        <f>IF(INDEX(I.Facility.P2aIDNumber,221)="","",INDEX(I.Facility.P2aIDNumber,221))</f>
        <v/>
      </c>
      <c r="G5233" s="51"/>
      <c r="H5233" s="46" t="str">
        <f>IF(AND(I.Developer.P2a=TRUE,I.Facility.P2aFacilityCount&gt;=221,F5233=""),"Incomplete","Complete")</f>
        <v>Complete</v>
      </c>
      <c r="I5233" s="48" t="s">
        <v>9598</v>
      </c>
    </row>
    <row r="5234" spans="2:9" ht="15" customHeight="1" x14ac:dyDescent="0.25">
      <c r="B5234" s="55" t="s">
        <v>280</v>
      </c>
      <c r="C5234" s="46">
        <v>222</v>
      </c>
      <c r="D5234" s="69" t="s">
        <v>29417</v>
      </c>
      <c r="E5234" s="51"/>
      <c r="F5234" s="114" t="str">
        <f>IF(INDEX(I.Facility.P2aIDNumber,222)="","",INDEX(I.Facility.P2aIDNumber,222))</f>
        <v/>
      </c>
      <c r="G5234" s="51"/>
      <c r="H5234" s="46" t="str">
        <f>IF(AND(I.Developer.P2a=TRUE,I.Facility.P2aFacilityCount&gt;=222,F5234=""),"Incomplete","Complete")</f>
        <v>Complete</v>
      </c>
      <c r="I5234" s="48" t="s">
        <v>9599</v>
      </c>
    </row>
    <row r="5235" spans="2:9" ht="15" customHeight="1" x14ac:dyDescent="0.25">
      <c r="B5235" s="55" t="s">
        <v>280</v>
      </c>
      <c r="C5235" s="46">
        <v>223</v>
      </c>
      <c r="D5235" s="69" t="s">
        <v>29417</v>
      </c>
      <c r="E5235" s="51"/>
      <c r="F5235" s="114" t="str">
        <f>IF(INDEX(I.Facility.P2aIDNumber,223)="","",INDEX(I.Facility.P2aIDNumber,223))</f>
        <v/>
      </c>
      <c r="G5235" s="51"/>
      <c r="H5235" s="46" t="str">
        <f>IF(AND(I.Developer.P2a=TRUE,I.Facility.P2aFacilityCount&gt;=223,F5235=""),"Incomplete","Complete")</f>
        <v>Complete</v>
      </c>
      <c r="I5235" s="48" t="s">
        <v>9600</v>
      </c>
    </row>
    <row r="5236" spans="2:9" ht="15" customHeight="1" x14ac:dyDescent="0.25">
      <c r="B5236" s="55" t="s">
        <v>280</v>
      </c>
      <c r="C5236" s="46">
        <v>224</v>
      </c>
      <c r="D5236" s="69" t="s">
        <v>29417</v>
      </c>
      <c r="E5236" s="51"/>
      <c r="F5236" s="114" t="str">
        <f>IF(INDEX(I.Facility.P2aIDNumber,224)="","",INDEX(I.Facility.P2aIDNumber,224))</f>
        <v/>
      </c>
      <c r="G5236" s="51"/>
      <c r="H5236" s="46" t="str">
        <f>IF(AND(I.Developer.P2a=TRUE,I.Facility.P2aFacilityCount&gt;=224,F5236=""),"Incomplete","Complete")</f>
        <v>Complete</v>
      </c>
      <c r="I5236" s="48" t="s">
        <v>9601</v>
      </c>
    </row>
    <row r="5237" spans="2:9" ht="15" customHeight="1" x14ac:dyDescent="0.25">
      <c r="B5237" s="55" t="s">
        <v>280</v>
      </c>
      <c r="C5237" s="46">
        <v>225</v>
      </c>
      <c r="D5237" s="69" t="s">
        <v>29417</v>
      </c>
      <c r="E5237" s="51"/>
      <c r="F5237" s="114" t="str">
        <f>IF(INDEX(I.Facility.P2aIDNumber,225)="","",INDEX(I.Facility.P2aIDNumber,225))</f>
        <v/>
      </c>
      <c r="G5237" s="51"/>
      <c r="H5237" s="46" t="str">
        <f>IF(AND(I.Developer.P2a=TRUE,I.Facility.P2aFacilityCount&gt;=225,F5237=""),"Incomplete","Complete")</f>
        <v>Complete</v>
      </c>
      <c r="I5237" s="48" t="s">
        <v>9602</v>
      </c>
    </row>
    <row r="5238" spans="2:9" ht="15" customHeight="1" x14ac:dyDescent="0.25">
      <c r="B5238" s="55" t="s">
        <v>280</v>
      </c>
      <c r="C5238" s="46">
        <v>226</v>
      </c>
      <c r="D5238" s="69" t="s">
        <v>29417</v>
      </c>
      <c r="E5238" s="51"/>
      <c r="F5238" s="114" t="str">
        <f>IF(INDEX(I.Facility.P2aIDNumber,226)="","",INDEX(I.Facility.P2aIDNumber,226))</f>
        <v/>
      </c>
      <c r="G5238" s="51"/>
      <c r="H5238" s="46" t="str">
        <f>IF(AND(I.Developer.P2a=TRUE,I.Facility.P2aFacilityCount&gt;=226,F5238=""),"Incomplete","Complete")</f>
        <v>Complete</v>
      </c>
      <c r="I5238" s="48" t="s">
        <v>9603</v>
      </c>
    </row>
    <row r="5239" spans="2:9" ht="15" customHeight="1" x14ac:dyDescent="0.25">
      <c r="B5239" s="55" t="s">
        <v>280</v>
      </c>
      <c r="C5239" s="46">
        <v>227</v>
      </c>
      <c r="D5239" s="69" t="s">
        <v>29417</v>
      </c>
      <c r="E5239" s="51"/>
      <c r="F5239" s="114" t="str">
        <f>IF(INDEX(I.Facility.P2aIDNumber,227)="","",INDEX(I.Facility.P2aIDNumber,227))</f>
        <v/>
      </c>
      <c r="G5239" s="51"/>
      <c r="H5239" s="46" t="str">
        <f>IF(AND(I.Developer.P2a=TRUE,I.Facility.P2aFacilityCount&gt;=227,F5239=""),"Incomplete","Complete")</f>
        <v>Complete</v>
      </c>
      <c r="I5239" s="48" t="s">
        <v>9604</v>
      </c>
    </row>
    <row r="5240" spans="2:9" ht="15" customHeight="1" x14ac:dyDescent="0.25">
      <c r="B5240" s="55" t="s">
        <v>280</v>
      </c>
      <c r="C5240" s="46">
        <v>228</v>
      </c>
      <c r="D5240" s="69" t="s">
        <v>29417</v>
      </c>
      <c r="E5240" s="51"/>
      <c r="F5240" s="114" t="str">
        <f>IF(INDEX(I.Facility.P2aIDNumber,228)="","",INDEX(I.Facility.P2aIDNumber,228))</f>
        <v/>
      </c>
      <c r="G5240" s="51"/>
      <c r="H5240" s="46" t="str">
        <f>IF(AND(I.Developer.P2a=TRUE,I.Facility.P2aFacilityCount&gt;=228,F5240=""),"Incomplete","Complete")</f>
        <v>Complete</v>
      </c>
      <c r="I5240" s="48" t="s">
        <v>9605</v>
      </c>
    </row>
    <row r="5241" spans="2:9" ht="15" customHeight="1" x14ac:dyDescent="0.25">
      <c r="B5241" s="55" t="s">
        <v>280</v>
      </c>
      <c r="C5241" s="46">
        <v>229</v>
      </c>
      <c r="D5241" s="69" t="s">
        <v>29417</v>
      </c>
      <c r="E5241" s="51"/>
      <c r="F5241" s="114" t="str">
        <f>IF(INDEX(I.Facility.P2aIDNumber,229)="","",INDEX(I.Facility.P2aIDNumber,229))</f>
        <v/>
      </c>
      <c r="G5241" s="51"/>
      <c r="H5241" s="46" t="str">
        <f>IF(AND(I.Developer.P2a=TRUE,I.Facility.P2aFacilityCount&gt;=229,F5241=""),"Incomplete","Complete")</f>
        <v>Complete</v>
      </c>
      <c r="I5241" s="48" t="s">
        <v>9606</v>
      </c>
    </row>
    <row r="5242" spans="2:9" ht="15" customHeight="1" x14ac:dyDescent="0.25">
      <c r="B5242" s="55" t="s">
        <v>280</v>
      </c>
      <c r="C5242" s="46">
        <v>230</v>
      </c>
      <c r="D5242" s="69" t="s">
        <v>29417</v>
      </c>
      <c r="E5242" s="51"/>
      <c r="F5242" s="114" t="str">
        <f>IF(INDEX(I.Facility.P2aIDNumber,230)="","",INDEX(I.Facility.P2aIDNumber,230))</f>
        <v/>
      </c>
      <c r="G5242" s="51"/>
      <c r="H5242" s="46" t="str">
        <f>IF(AND(I.Developer.P2a=TRUE,I.Facility.P2aFacilityCount&gt;=230,F5242=""),"Incomplete","Complete")</f>
        <v>Complete</v>
      </c>
      <c r="I5242" s="48" t="s">
        <v>9607</v>
      </c>
    </row>
    <row r="5243" spans="2:9" ht="15" customHeight="1" x14ac:dyDescent="0.25">
      <c r="B5243" s="55" t="s">
        <v>280</v>
      </c>
      <c r="C5243" s="46">
        <v>231</v>
      </c>
      <c r="D5243" s="69" t="s">
        <v>29417</v>
      </c>
      <c r="E5243" s="51"/>
      <c r="F5243" s="114" t="str">
        <f>IF(INDEX(I.Facility.P2aIDNumber,231)="","",INDEX(I.Facility.P2aIDNumber,231))</f>
        <v/>
      </c>
      <c r="G5243" s="51"/>
      <c r="H5243" s="46" t="str">
        <f>IF(AND(I.Developer.P2a=TRUE,I.Facility.P2aFacilityCount&gt;=231,F5243=""),"Incomplete","Complete")</f>
        <v>Complete</v>
      </c>
      <c r="I5243" s="48" t="s">
        <v>9608</v>
      </c>
    </row>
    <row r="5244" spans="2:9" ht="15" customHeight="1" x14ac:dyDescent="0.25">
      <c r="B5244" s="55" t="s">
        <v>280</v>
      </c>
      <c r="C5244" s="46">
        <v>232</v>
      </c>
      <c r="D5244" s="69" t="s">
        <v>29417</v>
      </c>
      <c r="E5244" s="51"/>
      <c r="F5244" s="114" t="str">
        <f>IF(INDEX(I.Facility.P2aIDNumber,232)="","",INDEX(I.Facility.P2aIDNumber,232))</f>
        <v/>
      </c>
      <c r="G5244" s="51"/>
      <c r="H5244" s="46" t="str">
        <f>IF(AND(I.Developer.P2a=TRUE,I.Facility.P2aFacilityCount&gt;=232,F5244=""),"Incomplete","Complete")</f>
        <v>Complete</v>
      </c>
      <c r="I5244" s="48" t="s">
        <v>9609</v>
      </c>
    </row>
    <row r="5245" spans="2:9" ht="15" customHeight="1" x14ac:dyDescent="0.25">
      <c r="B5245" s="55" t="s">
        <v>280</v>
      </c>
      <c r="C5245" s="46">
        <v>233</v>
      </c>
      <c r="D5245" s="69" t="s">
        <v>29417</v>
      </c>
      <c r="E5245" s="51"/>
      <c r="F5245" s="114" t="str">
        <f>IF(INDEX(I.Facility.P2aIDNumber,233)="","",INDEX(I.Facility.P2aIDNumber,233))</f>
        <v/>
      </c>
      <c r="G5245" s="51"/>
      <c r="H5245" s="46" t="str">
        <f>IF(AND(I.Developer.P2a=TRUE,I.Facility.P2aFacilityCount&gt;=233,F5245=""),"Incomplete","Complete")</f>
        <v>Complete</v>
      </c>
      <c r="I5245" s="48" t="s">
        <v>9610</v>
      </c>
    </row>
    <row r="5246" spans="2:9" ht="15" customHeight="1" x14ac:dyDescent="0.25">
      <c r="B5246" s="55" t="s">
        <v>280</v>
      </c>
      <c r="C5246" s="46">
        <v>234</v>
      </c>
      <c r="D5246" s="69" t="s">
        <v>29417</v>
      </c>
      <c r="E5246" s="51"/>
      <c r="F5246" s="114" t="str">
        <f>IF(INDEX(I.Facility.P2aIDNumber,234)="","",INDEX(I.Facility.P2aIDNumber,234))</f>
        <v/>
      </c>
      <c r="G5246" s="51"/>
      <c r="H5246" s="46" t="str">
        <f>IF(AND(I.Developer.P2a=TRUE,I.Facility.P2aFacilityCount&gt;=234,F5246=""),"Incomplete","Complete")</f>
        <v>Complete</v>
      </c>
      <c r="I5246" s="48" t="s">
        <v>9611</v>
      </c>
    </row>
    <row r="5247" spans="2:9" ht="15" customHeight="1" x14ac:dyDescent="0.25">
      <c r="B5247" s="55" t="s">
        <v>280</v>
      </c>
      <c r="C5247" s="46">
        <v>235</v>
      </c>
      <c r="D5247" s="69" t="s">
        <v>29417</v>
      </c>
      <c r="E5247" s="51"/>
      <c r="F5247" s="114" t="str">
        <f>IF(INDEX(I.Facility.P2aIDNumber,235)="","",INDEX(I.Facility.P2aIDNumber,235))</f>
        <v/>
      </c>
      <c r="G5247" s="51"/>
      <c r="H5247" s="46" t="str">
        <f>IF(AND(I.Developer.P2a=TRUE,I.Facility.P2aFacilityCount&gt;=235,F5247=""),"Incomplete","Complete")</f>
        <v>Complete</v>
      </c>
      <c r="I5247" s="48" t="s">
        <v>9612</v>
      </c>
    </row>
    <row r="5248" spans="2:9" ht="15" customHeight="1" x14ac:dyDescent="0.25">
      <c r="B5248" s="55" t="s">
        <v>280</v>
      </c>
      <c r="C5248" s="46">
        <v>236</v>
      </c>
      <c r="D5248" s="69" t="s">
        <v>29417</v>
      </c>
      <c r="E5248" s="51"/>
      <c r="F5248" s="114" t="str">
        <f>IF(INDEX(I.Facility.P2aIDNumber,236)="","",INDEX(I.Facility.P2aIDNumber,236))</f>
        <v/>
      </c>
      <c r="G5248" s="51"/>
      <c r="H5248" s="46" t="str">
        <f>IF(AND(I.Developer.P2a=TRUE,I.Facility.P2aFacilityCount&gt;=236,F5248=""),"Incomplete","Complete")</f>
        <v>Complete</v>
      </c>
      <c r="I5248" s="48" t="s">
        <v>9613</v>
      </c>
    </row>
    <row r="5249" spans="2:9" ht="15" customHeight="1" x14ac:dyDescent="0.25">
      <c r="B5249" s="55" t="s">
        <v>280</v>
      </c>
      <c r="C5249" s="46">
        <v>237</v>
      </c>
      <c r="D5249" s="69" t="s">
        <v>29417</v>
      </c>
      <c r="E5249" s="51"/>
      <c r="F5249" s="114" t="str">
        <f>IF(INDEX(I.Facility.P2aIDNumber,237)="","",INDEX(I.Facility.P2aIDNumber,237))</f>
        <v/>
      </c>
      <c r="G5249" s="51"/>
      <c r="H5249" s="46" t="str">
        <f>IF(AND(I.Developer.P2a=TRUE,I.Facility.P2aFacilityCount&gt;=237,F5249=""),"Incomplete","Complete")</f>
        <v>Complete</v>
      </c>
      <c r="I5249" s="48" t="s">
        <v>9614</v>
      </c>
    </row>
    <row r="5250" spans="2:9" ht="15" customHeight="1" x14ac:dyDescent="0.25">
      <c r="B5250" s="55" t="s">
        <v>280</v>
      </c>
      <c r="C5250" s="46">
        <v>238</v>
      </c>
      <c r="D5250" s="69" t="s">
        <v>29417</v>
      </c>
      <c r="E5250" s="51"/>
      <c r="F5250" s="114" t="str">
        <f>IF(INDEX(I.Facility.P2aIDNumber,238)="","",INDEX(I.Facility.P2aIDNumber,238))</f>
        <v/>
      </c>
      <c r="G5250" s="51"/>
      <c r="H5250" s="46" t="str">
        <f>IF(AND(I.Developer.P2a=TRUE,I.Facility.P2aFacilityCount&gt;=238,F5250=""),"Incomplete","Complete")</f>
        <v>Complete</v>
      </c>
      <c r="I5250" s="48" t="s">
        <v>9615</v>
      </c>
    </row>
    <row r="5251" spans="2:9" ht="15" customHeight="1" x14ac:dyDescent="0.25">
      <c r="B5251" s="55" t="s">
        <v>280</v>
      </c>
      <c r="C5251" s="46">
        <v>239</v>
      </c>
      <c r="D5251" s="69" t="s">
        <v>29417</v>
      </c>
      <c r="E5251" s="51"/>
      <c r="F5251" s="114" t="str">
        <f>IF(INDEX(I.Facility.P2aIDNumber,239)="","",INDEX(I.Facility.P2aIDNumber,239))</f>
        <v/>
      </c>
      <c r="G5251" s="51"/>
      <c r="H5251" s="46" t="str">
        <f>IF(AND(I.Developer.P2a=TRUE,I.Facility.P2aFacilityCount&gt;=239,F5251=""),"Incomplete","Complete")</f>
        <v>Complete</v>
      </c>
      <c r="I5251" s="48" t="s">
        <v>9616</v>
      </c>
    </row>
    <row r="5252" spans="2:9" ht="15" customHeight="1" x14ac:dyDescent="0.25">
      <c r="B5252" s="55" t="s">
        <v>280</v>
      </c>
      <c r="C5252" s="46">
        <v>240</v>
      </c>
      <c r="D5252" s="69" t="s">
        <v>29417</v>
      </c>
      <c r="E5252" s="51"/>
      <c r="F5252" s="114" t="str">
        <f>IF(INDEX(I.Facility.P2aIDNumber,240)="","",INDEX(I.Facility.P2aIDNumber,240))</f>
        <v/>
      </c>
      <c r="G5252" s="51"/>
      <c r="H5252" s="46" t="str">
        <f>IF(AND(I.Developer.P2a=TRUE,I.Facility.P2aFacilityCount&gt;=240,F5252=""),"Incomplete","Complete")</f>
        <v>Complete</v>
      </c>
      <c r="I5252" s="48" t="s">
        <v>9617</v>
      </c>
    </row>
    <row r="5253" spans="2:9" ht="15" customHeight="1" x14ac:dyDescent="0.25">
      <c r="B5253" s="55" t="s">
        <v>280</v>
      </c>
      <c r="C5253" s="46">
        <v>241</v>
      </c>
      <c r="D5253" s="69" t="s">
        <v>29417</v>
      </c>
      <c r="E5253" s="51"/>
      <c r="F5253" s="114" t="str">
        <f>IF(INDEX(I.Facility.P2aIDNumber,241)="","",INDEX(I.Facility.P2aIDNumber,241))</f>
        <v/>
      </c>
      <c r="G5253" s="51"/>
      <c r="H5253" s="46" t="str">
        <f>IF(AND(I.Developer.P2a=TRUE,I.Facility.P2aFacilityCount&gt;=241,F5253=""),"Incomplete","Complete")</f>
        <v>Complete</v>
      </c>
      <c r="I5253" s="48" t="s">
        <v>9618</v>
      </c>
    </row>
    <row r="5254" spans="2:9" ht="15" customHeight="1" x14ac:dyDescent="0.25">
      <c r="B5254" s="55" t="s">
        <v>280</v>
      </c>
      <c r="C5254" s="46">
        <v>242</v>
      </c>
      <c r="D5254" s="69" t="s">
        <v>29417</v>
      </c>
      <c r="E5254" s="51"/>
      <c r="F5254" s="114" t="str">
        <f>IF(INDEX(I.Facility.P2aIDNumber,242)="","",INDEX(I.Facility.P2aIDNumber,242))</f>
        <v/>
      </c>
      <c r="G5254" s="51"/>
      <c r="H5254" s="46" t="str">
        <f>IF(AND(I.Developer.P2a=TRUE,I.Facility.P2aFacilityCount&gt;=242,F5254=""),"Incomplete","Complete")</f>
        <v>Complete</v>
      </c>
      <c r="I5254" s="48" t="s">
        <v>9619</v>
      </c>
    </row>
    <row r="5255" spans="2:9" ht="15" customHeight="1" x14ac:dyDescent="0.25">
      <c r="B5255" s="55" t="s">
        <v>280</v>
      </c>
      <c r="C5255" s="46">
        <v>243</v>
      </c>
      <c r="D5255" s="69" t="s">
        <v>29417</v>
      </c>
      <c r="E5255" s="51"/>
      <c r="F5255" s="114" t="str">
        <f>IF(INDEX(I.Facility.P2aIDNumber,243)="","",INDEX(I.Facility.P2aIDNumber,243))</f>
        <v/>
      </c>
      <c r="G5255" s="51"/>
      <c r="H5255" s="46" t="str">
        <f>IF(AND(I.Developer.P2a=TRUE,I.Facility.P2aFacilityCount&gt;=243,F5255=""),"Incomplete","Complete")</f>
        <v>Complete</v>
      </c>
      <c r="I5255" s="48" t="s">
        <v>9620</v>
      </c>
    </row>
    <row r="5256" spans="2:9" ht="15" customHeight="1" x14ac:dyDescent="0.25">
      <c r="B5256" s="55" t="s">
        <v>280</v>
      </c>
      <c r="C5256" s="46">
        <v>244</v>
      </c>
      <c r="D5256" s="69" t="s">
        <v>29417</v>
      </c>
      <c r="E5256" s="51"/>
      <c r="F5256" s="114" t="str">
        <f>IF(INDEX(I.Facility.P2aIDNumber,244)="","",INDEX(I.Facility.P2aIDNumber,244))</f>
        <v/>
      </c>
      <c r="G5256" s="51"/>
      <c r="H5256" s="46" t="str">
        <f>IF(AND(I.Developer.P2a=TRUE,I.Facility.P2aFacilityCount&gt;=244,F5256=""),"Incomplete","Complete")</f>
        <v>Complete</v>
      </c>
      <c r="I5256" s="48" t="s">
        <v>9621</v>
      </c>
    </row>
    <row r="5257" spans="2:9" ht="15" customHeight="1" x14ac:dyDescent="0.25">
      <c r="B5257" s="55" t="s">
        <v>280</v>
      </c>
      <c r="C5257" s="46">
        <v>245</v>
      </c>
      <c r="D5257" s="69" t="s">
        <v>29417</v>
      </c>
      <c r="E5257" s="51"/>
      <c r="F5257" s="114" t="str">
        <f>IF(INDEX(I.Facility.P2aIDNumber,245)="","",INDEX(I.Facility.P2aIDNumber,245))</f>
        <v/>
      </c>
      <c r="G5257" s="51"/>
      <c r="H5257" s="46" t="str">
        <f>IF(AND(I.Developer.P2a=TRUE,I.Facility.P2aFacilityCount&gt;=245,F5257=""),"Incomplete","Complete")</f>
        <v>Complete</v>
      </c>
      <c r="I5257" s="48" t="s">
        <v>9622</v>
      </c>
    </row>
    <row r="5258" spans="2:9" ht="15" customHeight="1" x14ac:dyDescent="0.25">
      <c r="B5258" s="55" t="s">
        <v>280</v>
      </c>
      <c r="C5258" s="46">
        <v>246</v>
      </c>
      <c r="D5258" s="69" t="s">
        <v>29417</v>
      </c>
      <c r="E5258" s="51"/>
      <c r="F5258" s="114" t="str">
        <f>IF(INDEX(I.Facility.P2aIDNumber,246)="","",INDEX(I.Facility.P2aIDNumber,246))</f>
        <v/>
      </c>
      <c r="G5258" s="51"/>
      <c r="H5258" s="46" t="str">
        <f>IF(AND(I.Developer.P2a=TRUE,I.Facility.P2aFacilityCount&gt;=246,F5258=""),"Incomplete","Complete")</f>
        <v>Complete</v>
      </c>
      <c r="I5258" s="48" t="s">
        <v>9623</v>
      </c>
    </row>
    <row r="5259" spans="2:9" ht="15" customHeight="1" x14ac:dyDescent="0.25">
      <c r="B5259" s="55" t="s">
        <v>280</v>
      </c>
      <c r="C5259" s="46">
        <v>247</v>
      </c>
      <c r="D5259" s="69" t="s">
        <v>29417</v>
      </c>
      <c r="E5259" s="51"/>
      <c r="F5259" s="114" t="str">
        <f>IF(INDEX(I.Facility.P2aIDNumber,247)="","",INDEX(I.Facility.P2aIDNumber,247))</f>
        <v/>
      </c>
      <c r="G5259" s="51"/>
      <c r="H5259" s="46" t="str">
        <f>IF(AND(I.Developer.P2a=TRUE,I.Facility.P2aFacilityCount&gt;=247,F5259=""),"Incomplete","Complete")</f>
        <v>Complete</v>
      </c>
      <c r="I5259" s="48" t="s">
        <v>9624</v>
      </c>
    </row>
    <row r="5260" spans="2:9" ht="15" customHeight="1" x14ac:dyDescent="0.25">
      <c r="B5260" s="55" t="s">
        <v>280</v>
      </c>
      <c r="C5260" s="46">
        <v>248</v>
      </c>
      <c r="D5260" s="69" t="s">
        <v>29417</v>
      </c>
      <c r="E5260" s="51"/>
      <c r="F5260" s="114" t="str">
        <f>IF(INDEX(I.Facility.P2aIDNumber,248)="","",INDEX(I.Facility.P2aIDNumber,248))</f>
        <v/>
      </c>
      <c r="G5260" s="51"/>
      <c r="H5260" s="46" t="str">
        <f>IF(AND(I.Developer.P2a=TRUE,I.Facility.P2aFacilityCount&gt;=248,F5260=""),"Incomplete","Complete")</f>
        <v>Complete</v>
      </c>
      <c r="I5260" s="48" t="s">
        <v>9625</v>
      </c>
    </row>
    <row r="5261" spans="2:9" ht="15" customHeight="1" x14ac:dyDescent="0.25">
      <c r="B5261" s="55" t="s">
        <v>280</v>
      </c>
      <c r="C5261" s="46">
        <v>249</v>
      </c>
      <c r="D5261" s="69" t="s">
        <v>29417</v>
      </c>
      <c r="E5261" s="51"/>
      <c r="F5261" s="114" t="str">
        <f>IF(INDEX(I.Facility.P2aIDNumber,249)="","",INDEX(I.Facility.P2aIDNumber,249))</f>
        <v/>
      </c>
      <c r="G5261" s="51"/>
      <c r="H5261" s="46" t="str">
        <f>IF(AND(I.Developer.P2a=TRUE,I.Facility.P2aFacilityCount&gt;=249,F5261=""),"Incomplete","Complete")</f>
        <v>Complete</v>
      </c>
      <c r="I5261" s="48" t="s">
        <v>9626</v>
      </c>
    </row>
    <row r="5262" spans="2:9" ht="15" customHeight="1" x14ac:dyDescent="0.25">
      <c r="B5262" s="55" t="s">
        <v>280</v>
      </c>
      <c r="C5262" s="46">
        <v>250</v>
      </c>
      <c r="D5262" s="69" t="s">
        <v>29417</v>
      </c>
      <c r="E5262" s="51"/>
      <c r="F5262" s="114" t="str">
        <f>IF(INDEX(I.Facility.P2aIDNumber,250)="","",INDEX(I.Facility.P2aIDNumber,250))</f>
        <v/>
      </c>
      <c r="G5262" s="51"/>
      <c r="H5262" s="46" t="str">
        <f>IF(AND(I.Developer.P2a=TRUE,I.Facility.P2aFacilityCount&gt;=250,F5262=""),"Incomplete","Complete")</f>
        <v>Complete</v>
      </c>
      <c r="I5262" s="48" t="s">
        <v>9627</v>
      </c>
    </row>
    <row r="5263" spans="2:9" ht="15" customHeight="1" x14ac:dyDescent="0.25">
      <c r="B5263" s="55" t="s">
        <v>280</v>
      </c>
      <c r="C5263" s="46">
        <v>251</v>
      </c>
      <c r="D5263" s="69" t="s">
        <v>29417</v>
      </c>
      <c r="E5263" s="51"/>
      <c r="F5263" s="114" t="str">
        <f>IF(INDEX(I.Facility.P2aIDNumber,251)="","",INDEX(I.Facility.P2aIDNumber,251))</f>
        <v/>
      </c>
      <c r="G5263" s="51"/>
      <c r="H5263" s="46" t="str">
        <f>IF(AND(I.Developer.P2a=TRUE,I.Facility.P2aFacilityCount&gt;=251,F5263=""),"Incomplete","Complete")</f>
        <v>Complete</v>
      </c>
      <c r="I5263" s="48" t="s">
        <v>9628</v>
      </c>
    </row>
    <row r="5264" spans="2:9" ht="15" customHeight="1" x14ac:dyDescent="0.25">
      <c r="B5264" s="55" t="s">
        <v>280</v>
      </c>
      <c r="C5264" s="46">
        <v>252</v>
      </c>
      <c r="D5264" s="69" t="s">
        <v>29417</v>
      </c>
      <c r="E5264" s="51"/>
      <c r="F5264" s="114" t="str">
        <f>IF(INDEX(I.Facility.P2aIDNumber,252)="","",INDEX(I.Facility.P2aIDNumber,252))</f>
        <v/>
      </c>
      <c r="G5264" s="51"/>
      <c r="H5264" s="46" t="str">
        <f>IF(AND(I.Developer.P2a=TRUE,I.Facility.P2aFacilityCount&gt;=252,F5264=""),"Incomplete","Complete")</f>
        <v>Complete</v>
      </c>
      <c r="I5264" s="48" t="s">
        <v>9629</v>
      </c>
    </row>
    <row r="5265" spans="2:9" ht="15" customHeight="1" x14ac:dyDescent="0.25">
      <c r="B5265" s="55" t="s">
        <v>280</v>
      </c>
      <c r="C5265" s="46">
        <v>253</v>
      </c>
      <c r="D5265" s="69" t="s">
        <v>29417</v>
      </c>
      <c r="E5265" s="51"/>
      <c r="F5265" s="114" t="str">
        <f>IF(INDEX(I.Facility.P2aIDNumber,253)="","",INDEX(I.Facility.P2aIDNumber,253))</f>
        <v/>
      </c>
      <c r="G5265" s="51"/>
      <c r="H5265" s="46" t="str">
        <f>IF(AND(I.Developer.P2a=TRUE,I.Facility.P2aFacilityCount&gt;=253,F5265=""),"Incomplete","Complete")</f>
        <v>Complete</v>
      </c>
      <c r="I5265" s="48" t="s">
        <v>9630</v>
      </c>
    </row>
    <row r="5266" spans="2:9" ht="15" customHeight="1" x14ac:dyDescent="0.25">
      <c r="B5266" s="55" t="s">
        <v>280</v>
      </c>
      <c r="C5266" s="46">
        <v>254</v>
      </c>
      <c r="D5266" s="69" t="s">
        <v>29417</v>
      </c>
      <c r="E5266" s="51"/>
      <c r="F5266" s="114" t="str">
        <f>IF(INDEX(I.Facility.P2aIDNumber,254)="","",INDEX(I.Facility.P2aIDNumber,254))</f>
        <v/>
      </c>
      <c r="G5266" s="51"/>
      <c r="H5266" s="46" t="str">
        <f>IF(AND(I.Developer.P2a=TRUE,I.Facility.P2aFacilityCount&gt;=254,F5266=""),"Incomplete","Complete")</f>
        <v>Complete</v>
      </c>
      <c r="I5266" s="48" t="s">
        <v>9631</v>
      </c>
    </row>
    <row r="5267" spans="2:9" ht="15" customHeight="1" x14ac:dyDescent="0.25">
      <c r="B5267" s="55" t="s">
        <v>280</v>
      </c>
      <c r="C5267" s="46">
        <v>255</v>
      </c>
      <c r="D5267" s="69" t="s">
        <v>29417</v>
      </c>
      <c r="E5267" s="51"/>
      <c r="F5267" s="114" t="str">
        <f>IF(INDEX(I.Facility.P2aIDNumber,255)="","",INDEX(I.Facility.P2aIDNumber,255))</f>
        <v/>
      </c>
      <c r="G5267" s="51"/>
      <c r="H5267" s="46" t="str">
        <f>IF(AND(I.Developer.P2a=TRUE,I.Facility.P2aFacilityCount&gt;=255,F5267=""),"Incomplete","Complete")</f>
        <v>Complete</v>
      </c>
      <c r="I5267" s="48" t="s">
        <v>9632</v>
      </c>
    </row>
    <row r="5268" spans="2:9" ht="15" customHeight="1" x14ac:dyDescent="0.25">
      <c r="B5268" s="55" t="s">
        <v>280</v>
      </c>
      <c r="C5268" s="46">
        <v>256</v>
      </c>
      <c r="D5268" s="69" t="s">
        <v>29417</v>
      </c>
      <c r="E5268" s="51"/>
      <c r="F5268" s="114" t="str">
        <f>IF(INDEX(I.Facility.P2aIDNumber,256)="","",INDEX(I.Facility.P2aIDNumber,256))</f>
        <v/>
      </c>
      <c r="G5268" s="51"/>
      <c r="H5268" s="46" t="str">
        <f>IF(AND(I.Developer.P2a=TRUE,I.Facility.P2aFacilityCount&gt;=256,F5268=""),"Incomplete","Complete")</f>
        <v>Complete</v>
      </c>
      <c r="I5268" s="48" t="s">
        <v>9633</v>
      </c>
    </row>
    <row r="5269" spans="2:9" ht="15" customHeight="1" x14ac:dyDescent="0.25">
      <c r="B5269" s="55" t="s">
        <v>280</v>
      </c>
      <c r="C5269" s="46">
        <v>257</v>
      </c>
      <c r="D5269" s="69" t="s">
        <v>29417</v>
      </c>
      <c r="E5269" s="51"/>
      <c r="F5269" s="114" t="str">
        <f>IF(INDEX(I.Facility.P2aIDNumber,257)="","",INDEX(I.Facility.P2aIDNumber,257))</f>
        <v/>
      </c>
      <c r="G5269" s="51"/>
      <c r="H5269" s="46" t="str">
        <f>IF(AND(I.Developer.P2a=TRUE,I.Facility.P2aFacilityCount&gt;=257,F5269=""),"Incomplete","Complete")</f>
        <v>Complete</v>
      </c>
      <c r="I5269" s="48" t="s">
        <v>9634</v>
      </c>
    </row>
    <row r="5270" spans="2:9" ht="15" customHeight="1" x14ac:dyDescent="0.25">
      <c r="B5270" s="55" t="s">
        <v>280</v>
      </c>
      <c r="C5270" s="46">
        <v>258</v>
      </c>
      <c r="D5270" s="69" t="s">
        <v>29417</v>
      </c>
      <c r="E5270" s="51"/>
      <c r="F5270" s="114" t="str">
        <f>IF(INDEX(I.Facility.P2aIDNumber,258)="","",INDEX(I.Facility.P2aIDNumber,258))</f>
        <v/>
      </c>
      <c r="G5270" s="51"/>
      <c r="H5270" s="46" t="str">
        <f>IF(AND(I.Developer.P2a=TRUE,I.Facility.P2aFacilityCount&gt;=258,F5270=""),"Incomplete","Complete")</f>
        <v>Complete</v>
      </c>
      <c r="I5270" s="48" t="s">
        <v>9635</v>
      </c>
    </row>
    <row r="5271" spans="2:9" ht="15" customHeight="1" x14ac:dyDescent="0.25">
      <c r="B5271" s="55" t="s">
        <v>280</v>
      </c>
      <c r="C5271" s="46">
        <v>259</v>
      </c>
      <c r="D5271" s="69" t="s">
        <v>29417</v>
      </c>
      <c r="E5271" s="51"/>
      <c r="F5271" s="114" t="str">
        <f>IF(INDEX(I.Facility.P2aIDNumber,259)="","",INDEX(I.Facility.P2aIDNumber,259))</f>
        <v/>
      </c>
      <c r="G5271" s="51"/>
      <c r="H5271" s="46" t="str">
        <f>IF(AND(I.Developer.P2a=TRUE,I.Facility.P2aFacilityCount&gt;=259,F5271=""),"Incomplete","Complete")</f>
        <v>Complete</v>
      </c>
      <c r="I5271" s="48" t="s">
        <v>9636</v>
      </c>
    </row>
    <row r="5272" spans="2:9" ht="15" customHeight="1" x14ac:dyDescent="0.25">
      <c r="B5272" s="55" t="s">
        <v>280</v>
      </c>
      <c r="C5272" s="46">
        <v>260</v>
      </c>
      <c r="D5272" s="69" t="s">
        <v>29417</v>
      </c>
      <c r="E5272" s="51"/>
      <c r="F5272" s="114" t="str">
        <f>IF(INDEX(I.Facility.P2aIDNumber,260)="","",INDEX(I.Facility.P2aIDNumber,260))</f>
        <v/>
      </c>
      <c r="G5272" s="51"/>
      <c r="H5272" s="46" t="str">
        <f>IF(AND(I.Developer.P2a=TRUE,I.Facility.P2aFacilityCount&gt;=260,F5272=""),"Incomplete","Complete")</f>
        <v>Complete</v>
      </c>
      <c r="I5272" s="48" t="s">
        <v>9637</v>
      </c>
    </row>
    <row r="5273" spans="2:9" ht="15" customHeight="1" x14ac:dyDescent="0.25">
      <c r="B5273" s="55" t="s">
        <v>280</v>
      </c>
      <c r="C5273" s="46">
        <v>261</v>
      </c>
      <c r="D5273" s="69" t="s">
        <v>29417</v>
      </c>
      <c r="E5273" s="51"/>
      <c r="F5273" s="114" t="str">
        <f>IF(INDEX(I.Facility.P2aIDNumber,261)="","",INDEX(I.Facility.P2aIDNumber,261))</f>
        <v/>
      </c>
      <c r="G5273" s="51"/>
      <c r="H5273" s="46" t="str">
        <f>IF(AND(I.Developer.P2a=TRUE,I.Facility.P2aFacilityCount&gt;=261,F5273=""),"Incomplete","Complete")</f>
        <v>Complete</v>
      </c>
      <c r="I5273" s="48" t="s">
        <v>9638</v>
      </c>
    </row>
    <row r="5274" spans="2:9" ht="15" customHeight="1" x14ac:dyDescent="0.25">
      <c r="B5274" s="55" t="s">
        <v>280</v>
      </c>
      <c r="C5274" s="46">
        <v>262</v>
      </c>
      <c r="D5274" s="69" t="s">
        <v>29417</v>
      </c>
      <c r="E5274" s="51"/>
      <c r="F5274" s="114" t="str">
        <f>IF(INDEX(I.Facility.P2aIDNumber,262)="","",INDEX(I.Facility.P2aIDNumber,262))</f>
        <v/>
      </c>
      <c r="G5274" s="51"/>
      <c r="H5274" s="46" t="str">
        <f>IF(AND(I.Developer.P2a=TRUE,I.Facility.P2aFacilityCount&gt;=262,F5274=""),"Incomplete","Complete")</f>
        <v>Complete</v>
      </c>
      <c r="I5274" s="48" t="s">
        <v>9639</v>
      </c>
    </row>
    <row r="5275" spans="2:9" ht="15" customHeight="1" x14ac:dyDescent="0.25">
      <c r="B5275" s="55" t="s">
        <v>280</v>
      </c>
      <c r="C5275" s="46">
        <v>263</v>
      </c>
      <c r="D5275" s="69" t="s">
        <v>29417</v>
      </c>
      <c r="E5275" s="51"/>
      <c r="F5275" s="114" t="str">
        <f>IF(INDEX(I.Facility.P2aIDNumber,263)="","",INDEX(I.Facility.P2aIDNumber,263))</f>
        <v/>
      </c>
      <c r="G5275" s="51"/>
      <c r="H5275" s="46" t="str">
        <f>IF(AND(I.Developer.P2a=TRUE,I.Facility.P2aFacilityCount&gt;=263,F5275=""),"Incomplete","Complete")</f>
        <v>Complete</v>
      </c>
      <c r="I5275" s="48" t="s">
        <v>9640</v>
      </c>
    </row>
    <row r="5276" spans="2:9" ht="15" customHeight="1" x14ac:dyDescent="0.25">
      <c r="B5276" s="55" t="s">
        <v>280</v>
      </c>
      <c r="C5276" s="46">
        <v>264</v>
      </c>
      <c r="D5276" s="69" t="s">
        <v>29417</v>
      </c>
      <c r="E5276" s="51"/>
      <c r="F5276" s="114" t="str">
        <f>IF(INDEX(I.Facility.P2aIDNumber,264)="","",INDEX(I.Facility.P2aIDNumber,264))</f>
        <v/>
      </c>
      <c r="G5276" s="51"/>
      <c r="H5276" s="46" t="str">
        <f>IF(AND(I.Developer.P2a=TRUE,I.Facility.P2aFacilityCount&gt;=264,F5276=""),"Incomplete","Complete")</f>
        <v>Complete</v>
      </c>
      <c r="I5276" s="48" t="s">
        <v>9641</v>
      </c>
    </row>
    <row r="5277" spans="2:9" ht="15" customHeight="1" x14ac:dyDescent="0.25">
      <c r="B5277" s="55" t="s">
        <v>280</v>
      </c>
      <c r="C5277" s="46">
        <v>265</v>
      </c>
      <c r="D5277" s="69" t="s">
        <v>29417</v>
      </c>
      <c r="E5277" s="51"/>
      <c r="F5277" s="114" t="str">
        <f>IF(INDEX(I.Facility.P2aIDNumber,265)="","",INDEX(I.Facility.P2aIDNumber,265))</f>
        <v/>
      </c>
      <c r="G5277" s="51"/>
      <c r="H5277" s="46" t="str">
        <f>IF(AND(I.Developer.P2a=TRUE,I.Facility.P2aFacilityCount&gt;=265,F5277=""),"Incomplete","Complete")</f>
        <v>Complete</v>
      </c>
      <c r="I5277" s="48" t="s">
        <v>9642</v>
      </c>
    </row>
    <row r="5278" spans="2:9" ht="15" customHeight="1" x14ac:dyDescent="0.25">
      <c r="B5278" s="55" t="s">
        <v>280</v>
      </c>
      <c r="C5278" s="46">
        <v>266</v>
      </c>
      <c r="D5278" s="69" t="s">
        <v>29417</v>
      </c>
      <c r="E5278" s="51"/>
      <c r="F5278" s="114" t="str">
        <f>IF(INDEX(I.Facility.P2aIDNumber,266)="","",INDEX(I.Facility.P2aIDNumber,266))</f>
        <v/>
      </c>
      <c r="G5278" s="51"/>
      <c r="H5278" s="46" t="str">
        <f>IF(AND(I.Developer.P2a=TRUE,I.Facility.P2aFacilityCount&gt;=266,F5278=""),"Incomplete","Complete")</f>
        <v>Complete</v>
      </c>
      <c r="I5278" s="48" t="s">
        <v>9643</v>
      </c>
    </row>
    <row r="5279" spans="2:9" ht="15" customHeight="1" x14ac:dyDescent="0.25">
      <c r="B5279" s="55" t="s">
        <v>280</v>
      </c>
      <c r="C5279" s="46">
        <v>267</v>
      </c>
      <c r="D5279" s="69" t="s">
        <v>29417</v>
      </c>
      <c r="E5279" s="51"/>
      <c r="F5279" s="114" t="str">
        <f>IF(INDEX(I.Facility.P2aIDNumber,267)="","",INDEX(I.Facility.P2aIDNumber,267))</f>
        <v/>
      </c>
      <c r="G5279" s="51"/>
      <c r="H5279" s="46" t="str">
        <f>IF(AND(I.Developer.P2a=TRUE,I.Facility.P2aFacilityCount&gt;=267,F5279=""),"Incomplete","Complete")</f>
        <v>Complete</v>
      </c>
      <c r="I5279" s="48" t="s">
        <v>9644</v>
      </c>
    </row>
    <row r="5280" spans="2:9" ht="15" customHeight="1" x14ac:dyDescent="0.25">
      <c r="B5280" s="55" t="s">
        <v>280</v>
      </c>
      <c r="C5280" s="46">
        <v>268</v>
      </c>
      <c r="D5280" s="69" t="s">
        <v>29417</v>
      </c>
      <c r="E5280" s="51"/>
      <c r="F5280" s="114" t="str">
        <f>IF(INDEX(I.Facility.P2aIDNumber,268)="","",INDEX(I.Facility.P2aIDNumber,268))</f>
        <v/>
      </c>
      <c r="G5280" s="51"/>
      <c r="H5280" s="46" t="str">
        <f>IF(AND(I.Developer.P2a=TRUE,I.Facility.P2aFacilityCount&gt;=268,F5280=""),"Incomplete","Complete")</f>
        <v>Complete</v>
      </c>
      <c r="I5280" s="48" t="s">
        <v>9645</v>
      </c>
    </row>
    <row r="5281" spans="2:9" ht="15" customHeight="1" x14ac:dyDescent="0.25">
      <c r="B5281" s="55" t="s">
        <v>280</v>
      </c>
      <c r="C5281" s="46">
        <v>269</v>
      </c>
      <c r="D5281" s="69" t="s">
        <v>29417</v>
      </c>
      <c r="E5281" s="51"/>
      <c r="F5281" s="114" t="str">
        <f>IF(INDEX(I.Facility.P2aIDNumber,269)="","",INDEX(I.Facility.P2aIDNumber,269))</f>
        <v/>
      </c>
      <c r="G5281" s="51"/>
      <c r="H5281" s="46" t="str">
        <f>IF(AND(I.Developer.P2a=TRUE,I.Facility.P2aFacilityCount&gt;=269,F5281=""),"Incomplete","Complete")</f>
        <v>Complete</v>
      </c>
      <c r="I5281" s="48" t="s">
        <v>9646</v>
      </c>
    </row>
    <row r="5282" spans="2:9" ht="15" customHeight="1" x14ac:dyDescent="0.25">
      <c r="B5282" s="55" t="s">
        <v>280</v>
      </c>
      <c r="C5282" s="46">
        <v>270</v>
      </c>
      <c r="D5282" s="69" t="s">
        <v>29417</v>
      </c>
      <c r="E5282" s="51"/>
      <c r="F5282" s="114" t="str">
        <f>IF(INDEX(I.Facility.P2aIDNumber,270)="","",INDEX(I.Facility.P2aIDNumber,270))</f>
        <v/>
      </c>
      <c r="G5282" s="51"/>
      <c r="H5282" s="46" t="str">
        <f>IF(AND(I.Developer.P2a=TRUE,I.Facility.P2aFacilityCount&gt;=270,F5282=""),"Incomplete","Complete")</f>
        <v>Complete</v>
      </c>
      <c r="I5282" s="48" t="s">
        <v>9647</v>
      </c>
    </row>
    <row r="5283" spans="2:9" ht="15" customHeight="1" x14ac:dyDescent="0.25">
      <c r="B5283" s="55" t="s">
        <v>280</v>
      </c>
      <c r="C5283" s="46">
        <v>271</v>
      </c>
      <c r="D5283" s="69" t="s">
        <v>29417</v>
      </c>
      <c r="E5283" s="51"/>
      <c r="F5283" s="114" t="str">
        <f>IF(INDEX(I.Facility.P2aIDNumber,271)="","",INDEX(I.Facility.P2aIDNumber,271))</f>
        <v/>
      </c>
      <c r="G5283" s="51"/>
      <c r="H5283" s="46" t="str">
        <f>IF(AND(I.Developer.P2a=TRUE,I.Facility.P2aFacilityCount&gt;=271,F5283=""),"Incomplete","Complete")</f>
        <v>Complete</v>
      </c>
      <c r="I5283" s="48" t="s">
        <v>9648</v>
      </c>
    </row>
    <row r="5284" spans="2:9" ht="15" customHeight="1" x14ac:dyDescent="0.25">
      <c r="B5284" s="55" t="s">
        <v>280</v>
      </c>
      <c r="C5284" s="46">
        <v>272</v>
      </c>
      <c r="D5284" s="69" t="s">
        <v>29417</v>
      </c>
      <c r="E5284" s="51"/>
      <c r="F5284" s="114" t="str">
        <f>IF(INDEX(I.Facility.P2aIDNumber,272)="","",INDEX(I.Facility.P2aIDNumber,272))</f>
        <v/>
      </c>
      <c r="G5284" s="51"/>
      <c r="H5284" s="46" t="str">
        <f>IF(AND(I.Developer.P2a=TRUE,I.Facility.P2aFacilityCount&gt;=272,F5284=""),"Incomplete","Complete")</f>
        <v>Complete</v>
      </c>
      <c r="I5284" s="48" t="s">
        <v>9649</v>
      </c>
    </row>
    <row r="5285" spans="2:9" ht="15" customHeight="1" x14ac:dyDescent="0.25">
      <c r="B5285" s="55" t="s">
        <v>280</v>
      </c>
      <c r="C5285" s="46">
        <v>273</v>
      </c>
      <c r="D5285" s="69" t="s">
        <v>29417</v>
      </c>
      <c r="E5285" s="51"/>
      <c r="F5285" s="114" t="str">
        <f>IF(INDEX(I.Facility.P2aIDNumber,273)="","",INDEX(I.Facility.P2aIDNumber,273))</f>
        <v/>
      </c>
      <c r="G5285" s="51"/>
      <c r="H5285" s="46" t="str">
        <f>IF(AND(I.Developer.P2a=TRUE,I.Facility.P2aFacilityCount&gt;=273,F5285=""),"Incomplete","Complete")</f>
        <v>Complete</v>
      </c>
      <c r="I5285" s="48" t="s">
        <v>9650</v>
      </c>
    </row>
    <row r="5286" spans="2:9" ht="15" customHeight="1" x14ac:dyDescent="0.25">
      <c r="B5286" s="55" t="s">
        <v>280</v>
      </c>
      <c r="C5286" s="46">
        <v>274</v>
      </c>
      <c r="D5286" s="69" t="s">
        <v>29417</v>
      </c>
      <c r="E5286" s="51"/>
      <c r="F5286" s="114" t="str">
        <f>IF(INDEX(I.Facility.P2aIDNumber,274)="","",INDEX(I.Facility.P2aIDNumber,274))</f>
        <v/>
      </c>
      <c r="G5286" s="51"/>
      <c r="H5286" s="46" t="str">
        <f>IF(AND(I.Developer.P2a=TRUE,I.Facility.P2aFacilityCount&gt;=274,F5286=""),"Incomplete","Complete")</f>
        <v>Complete</v>
      </c>
      <c r="I5286" s="48" t="s">
        <v>9651</v>
      </c>
    </row>
    <row r="5287" spans="2:9" ht="15" customHeight="1" x14ac:dyDescent="0.25">
      <c r="B5287" s="55" t="s">
        <v>280</v>
      </c>
      <c r="C5287" s="46">
        <v>275</v>
      </c>
      <c r="D5287" s="69" t="s">
        <v>29417</v>
      </c>
      <c r="E5287" s="51"/>
      <c r="F5287" s="114" t="str">
        <f>IF(INDEX(I.Facility.P2aIDNumber,275)="","",INDEX(I.Facility.P2aIDNumber,275))</f>
        <v/>
      </c>
      <c r="G5287" s="51"/>
      <c r="H5287" s="46" t="str">
        <f>IF(AND(I.Developer.P2a=TRUE,I.Facility.P2aFacilityCount&gt;=275,F5287=""),"Incomplete","Complete")</f>
        <v>Complete</v>
      </c>
      <c r="I5287" s="48" t="s">
        <v>9652</v>
      </c>
    </row>
    <row r="5288" spans="2:9" ht="15" customHeight="1" x14ac:dyDescent="0.25">
      <c r="B5288" s="55" t="s">
        <v>280</v>
      </c>
      <c r="C5288" s="46">
        <v>276</v>
      </c>
      <c r="D5288" s="69" t="s">
        <v>29417</v>
      </c>
      <c r="E5288" s="51"/>
      <c r="F5288" s="114" t="str">
        <f>IF(INDEX(I.Facility.P2aIDNumber,276)="","",INDEX(I.Facility.P2aIDNumber,276))</f>
        <v/>
      </c>
      <c r="G5288" s="51"/>
      <c r="H5288" s="46" t="str">
        <f>IF(AND(I.Developer.P2a=TRUE,I.Facility.P2aFacilityCount&gt;=276,F5288=""),"Incomplete","Complete")</f>
        <v>Complete</v>
      </c>
      <c r="I5288" s="48" t="s">
        <v>9653</v>
      </c>
    </row>
    <row r="5289" spans="2:9" ht="15" customHeight="1" x14ac:dyDescent="0.25">
      <c r="B5289" s="55" t="s">
        <v>280</v>
      </c>
      <c r="C5289" s="46">
        <v>277</v>
      </c>
      <c r="D5289" s="69" t="s">
        <v>29417</v>
      </c>
      <c r="E5289" s="51"/>
      <c r="F5289" s="114" t="str">
        <f>IF(INDEX(I.Facility.P2aIDNumber,277)="","",INDEX(I.Facility.P2aIDNumber,277))</f>
        <v/>
      </c>
      <c r="G5289" s="51"/>
      <c r="H5289" s="46" t="str">
        <f>IF(AND(I.Developer.P2a=TRUE,I.Facility.P2aFacilityCount&gt;=277,F5289=""),"Incomplete","Complete")</f>
        <v>Complete</v>
      </c>
      <c r="I5289" s="48" t="s">
        <v>9654</v>
      </c>
    </row>
    <row r="5290" spans="2:9" ht="15" customHeight="1" x14ac:dyDescent="0.25">
      <c r="B5290" s="55" t="s">
        <v>280</v>
      </c>
      <c r="C5290" s="46">
        <v>278</v>
      </c>
      <c r="D5290" s="69" t="s">
        <v>29417</v>
      </c>
      <c r="E5290" s="51"/>
      <c r="F5290" s="114" t="str">
        <f>IF(INDEX(I.Facility.P2aIDNumber,278)="","",INDEX(I.Facility.P2aIDNumber,278))</f>
        <v/>
      </c>
      <c r="G5290" s="51"/>
      <c r="H5290" s="46" t="str">
        <f>IF(AND(I.Developer.P2a=TRUE,I.Facility.P2aFacilityCount&gt;=278,F5290=""),"Incomplete","Complete")</f>
        <v>Complete</v>
      </c>
      <c r="I5290" s="48" t="s">
        <v>9655</v>
      </c>
    </row>
    <row r="5291" spans="2:9" ht="15" customHeight="1" x14ac:dyDescent="0.25">
      <c r="B5291" s="55" t="s">
        <v>280</v>
      </c>
      <c r="C5291" s="46">
        <v>279</v>
      </c>
      <c r="D5291" s="69" t="s">
        <v>29417</v>
      </c>
      <c r="E5291" s="51"/>
      <c r="F5291" s="114" t="str">
        <f>IF(INDEX(I.Facility.P2aIDNumber,279)="","",INDEX(I.Facility.P2aIDNumber,279))</f>
        <v/>
      </c>
      <c r="G5291" s="51"/>
      <c r="H5291" s="46" t="str">
        <f>IF(AND(I.Developer.P2a=TRUE,I.Facility.P2aFacilityCount&gt;=279,F5291=""),"Incomplete","Complete")</f>
        <v>Complete</v>
      </c>
      <c r="I5291" s="48" t="s">
        <v>9656</v>
      </c>
    </row>
    <row r="5292" spans="2:9" ht="15" customHeight="1" x14ac:dyDescent="0.25">
      <c r="B5292" s="55" t="s">
        <v>280</v>
      </c>
      <c r="C5292" s="46">
        <v>280</v>
      </c>
      <c r="D5292" s="69" t="s">
        <v>29417</v>
      </c>
      <c r="E5292" s="51"/>
      <c r="F5292" s="114" t="str">
        <f>IF(INDEX(I.Facility.P2aIDNumber,280)="","",INDEX(I.Facility.P2aIDNumber,280))</f>
        <v/>
      </c>
      <c r="G5292" s="51"/>
      <c r="H5292" s="46" t="str">
        <f>IF(AND(I.Developer.P2a=TRUE,I.Facility.P2aFacilityCount&gt;=280,F5292=""),"Incomplete","Complete")</f>
        <v>Complete</v>
      </c>
      <c r="I5292" s="48" t="s">
        <v>9657</v>
      </c>
    </row>
    <row r="5293" spans="2:9" ht="15" customHeight="1" x14ac:dyDescent="0.25">
      <c r="B5293" s="55" t="s">
        <v>280</v>
      </c>
      <c r="C5293" s="46">
        <v>281</v>
      </c>
      <c r="D5293" s="69" t="s">
        <v>29417</v>
      </c>
      <c r="E5293" s="51"/>
      <c r="F5293" s="114" t="str">
        <f>IF(INDEX(I.Facility.P2aIDNumber,281)="","",INDEX(I.Facility.P2aIDNumber,281))</f>
        <v/>
      </c>
      <c r="G5293" s="51"/>
      <c r="H5293" s="46" t="str">
        <f>IF(AND(I.Developer.P2a=TRUE,I.Facility.P2aFacilityCount&gt;=281,F5293=""),"Incomplete","Complete")</f>
        <v>Complete</v>
      </c>
      <c r="I5293" s="48" t="s">
        <v>9658</v>
      </c>
    </row>
    <row r="5294" spans="2:9" ht="15" customHeight="1" x14ac:dyDescent="0.25">
      <c r="B5294" s="55" t="s">
        <v>280</v>
      </c>
      <c r="C5294" s="46">
        <v>282</v>
      </c>
      <c r="D5294" s="69" t="s">
        <v>29417</v>
      </c>
      <c r="E5294" s="51"/>
      <c r="F5294" s="114" t="str">
        <f>IF(INDEX(I.Facility.P2aIDNumber,282)="","",INDEX(I.Facility.P2aIDNumber,282))</f>
        <v/>
      </c>
      <c r="G5294" s="51"/>
      <c r="H5294" s="46" t="str">
        <f>IF(AND(I.Developer.P2a=TRUE,I.Facility.P2aFacilityCount&gt;=282,F5294=""),"Incomplete","Complete")</f>
        <v>Complete</v>
      </c>
      <c r="I5294" s="48" t="s">
        <v>9659</v>
      </c>
    </row>
    <row r="5295" spans="2:9" ht="15" customHeight="1" x14ac:dyDescent="0.25">
      <c r="B5295" s="55" t="s">
        <v>280</v>
      </c>
      <c r="C5295" s="46">
        <v>283</v>
      </c>
      <c r="D5295" s="69" t="s">
        <v>29417</v>
      </c>
      <c r="E5295" s="51"/>
      <c r="F5295" s="114" t="str">
        <f>IF(INDEX(I.Facility.P2aIDNumber,283)="","",INDEX(I.Facility.P2aIDNumber,283))</f>
        <v/>
      </c>
      <c r="G5295" s="51"/>
      <c r="H5295" s="46" t="str">
        <f>IF(AND(I.Developer.P2a=TRUE,I.Facility.P2aFacilityCount&gt;=283,F5295=""),"Incomplete","Complete")</f>
        <v>Complete</v>
      </c>
      <c r="I5295" s="48" t="s">
        <v>9660</v>
      </c>
    </row>
    <row r="5296" spans="2:9" ht="15" customHeight="1" x14ac:dyDescent="0.25">
      <c r="B5296" s="55" t="s">
        <v>280</v>
      </c>
      <c r="C5296" s="46">
        <v>284</v>
      </c>
      <c r="D5296" s="69" t="s">
        <v>29417</v>
      </c>
      <c r="E5296" s="51"/>
      <c r="F5296" s="114" t="str">
        <f>IF(INDEX(I.Facility.P2aIDNumber,284)="","",INDEX(I.Facility.P2aIDNumber,284))</f>
        <v/>
      </c>
      <c r="G5296" s="51"/>
      <c r="H5296" s="46" t="str">
        <f>IF(AND(I.Developer.P2a=TRUE,I.Facility.P2aFacilityCount&gt;=284,F5296=""),"Incomplete","Complete")</f>
        <v>Complete</v>
      </c>
      <c r="I5296" s="48" t="s">
        <v>9661</v>
      </c>
    </row>
    <row r="5297" spans="2:9" ht="15" customHeight="1" x14ac:dyDescent="0.25">
      <c r="B5297" s="55" t="s">
        <v>280</v>
      </c>
      <c r="C5297" s="46">
        <v>285</v>
      </c>
      <c r="D5297" s="69" t="s">
        <v>29417</v>
      </c>
      <c r="E5297" s="51"/>
      <c r="F5297" s="114" t="str">
        <f>IF(INDEX(I.Facility.P2aIDNumber,285)="","",INDEX(I.Facility.P2aIDNumber,285))</f>
        <v/>
      </c>
      <c r="G5297" s="51"/>
      <c r="H5297" s="46" t="str">
        <f>IF(AND(I.Developer.P2a=TRUE,I.Facility.P2aFacilityCount&gt;=285,F5297=""),"Incomplete","Complete")</f>
        <v>Complete</v>
      </c>
      <c r="I5297" s="48" t="s">
        <v>9662</v>
      </c>
    </row>
    <row r="5298" spans="2:9" ht="15" customHeight="1" x14ac:dyDescent="0.25">
      <c r="B5298" s="55" t="s">
        <v>280</v>
      </c>
      <c r="C5298" s="46">
        <v>286</v>
      </c>
      <c r="D5298" s="69" t="s">
        <v>29417</v>
      </c>
      <c r="E5298" s="51"/>
      <c r="F5298" s="114" t="str">
        <f>IF(INDEX(I.Facility.P2aIDNumber,286)="","",INDEX(I.Facility.P2aIDNumber,286))</f>
        <v/>
      </c>
      <c r="G5298" s="51"/>
      <c r="H5298" s="46" t="str">
        <f>IF(AND(I.Developer.P2a=TRUE,I.Facility.P2aFacilityCount&gt;=286,F5298=""),"Incomplete","Complete")</f>
        <v>Complete</v>
      </c>
      <c r="I5298" s="48" t="s">
        <v>9663</v>
      </c>
    </row>
    <row r="5299" spans="2:9" ht="15" customHeight="1" x14ac:dyDescent="0.25">
      <c r="B5299" s="55" t="s">
        <v>280</v>
      </c>
      <c r="C5299" s="46">
        <v>287</v>
      </c>
      <c r="D5299" s="69" t="s">
        <v>29417</v>
      </c>
      <c r="E5299" s="51"/>
      <c r="F5299" s="114" t="str">
        <f>IF(INDEX(I.Facility.P2aIDNumber,287)="","",INDEX(I.Facility.P2aIDNumber,287))</f>
        <v/>
      </c>
      <c r="G5299" s="51"/>
      <c r="H5299" s="46" t="str">
        <f>IF(AND(I.Developer.P2a=TRUE,I.Facility.P2aFacilityCount&gt;=287,F5299=""),"Incomplete","Complete")</f>
        <v>Complete</v>
      </c>
      <c r="I5299" s="48" t="s">
        <v>9664</v>
      </c>
    </row>
    <row r="5300" spans="2:9" ht="15" customHeight="1" x14ac:dyDescent="0.25">
      <c r="B5300" s="55" t="s">
        <v>280</v>
      </c>
      <c r="C5300" s="46">
        <v>288</v>
      </c>
      <c r="D5300" s="69" t="s">
        <v>29417</v>
      </c>
      <c r="E5300" s="51"/>
      <c r="F5300" s="114" t="str">
        <f>IF(INDEX(I.Facility.P2aIDNumber,288)="","",INDEX(I.Facility.P2aIDNumber,288))</f>
        <v/>
      </c>
      <c r="G5300" s="51"/>
      <c r="H5300" s="46" t="str">
        <f>IF(AND(I.Developer.P2a=TRUE,I.Facility.P2aFacilityCount&gt;=288,F5300=""),"Incomplete","Complete")</f>
        <v>Complete</v>
      </c>
      <c r="I5300" s="48" t="s">
        <v>9665</v>
      </c>
    </row>
    <row r="5301" spans="2:9" ht="15" customHeight="1" x14ac:dyDescent="0.25">
      <c r="B5301" s="55" t="s">
        <v>280</v>
      </c>
      <c r="C5301" s="46">
        <v>289</v>
      </c>
      <c r="D5301" s="69" t="s">
        <v>29417</v>
      </c>
      <c r="E5301" s="51"/>
      <c r="F5301" s="114" t="str">
        <f>IF(INDEX(I.Facility.P2aIDNumber,289)="","",INDEX(I.Facility.P2aIDNumber,289))</f>
        <v/>
      </c>
      <c r="G5301" s="51"/>
      <c r="H5301" s="46" t="str">
        <f>IF(AND(I.Developer.P2a=TRUE,I.Facility.P2aFacilityCount&gt;=289,F5301=""),"Incomplete","Complete")</f>
        <v>Complete</v>
      </c>
      <c r="I5301" s="48" t="s">
        <v>9666</v>
      </c>
    </row>
    <row r="5302" spans="2:9" ht="15" customHeight="1" x14ac:dyDescent="0.25">
      <c r="B5302" s="55" t="s">
        <v>280</v>
      </c>
      <c r="C5302" s="46">
        <v>290</v>
      </c>
      <c r="D5302" s="69" t="s">
        <v>29417</v>
      </c>
      <c r="E5302" s="51"/>
      <c r="F5302" s="114" t="str">
        <f>IF(INDEX(I.Facility.P2aIDNumber,290)="","",INDEX(I.Facility.P2aIDNumber,290))</f>
        <v/>
      </c>
      <c r="G5302" s="51"/>
      <c r="H5302" s="46" t="str">
        <f>IF(AND(I.Developer.P2a=TRUE,I.Facility.P2aFacilityCount&gt;=290,F5302=""),"Incomplete","Complete")</f>
        <v>Complete</v>
      </c>
      <c r="I5302" s="48" t="s">
        <v>9667</v>
      </c>
    </row>
    <row r="5303" spans="2:9" ht="15" customHeight="1" x14ac:dyDescent="0.25">
      <c r="B5303" s="55" t="s">
        <v>280</v>
      </c>
      <c r="C5303" s="46">
        <v>291</v>
      </c>
      <c r="D5303" s="69" t="s">
        <v>29417</v>
      </c>
      <c r="E5303" s="51"/>
      <c r="F5303" s="114" t="str">
        <f>IF(INDEX(I.Facility.P2aIDNumber,291)="","",INDEX(I.Facility.P2aIDNumber,291))</f>
        <v/>
      </c>
      <c r="G5303" s="51"/>
      <c r="H5303" s="46" t="str">
        <f>IF(AND(I.Developer.P2a=TRUE,I.Facility.P2aFacilityCount&gt;=291,F5303=""),"Incomplete","Complete")</f>
        <v>Complete</v>
      </c>
      <c r="I5303" s="48" t="s">
        <v>9668</v>
      </c>
    </row>
    <row r="5304" spans="2:9" ht="15" customHeight="1" x14ac:dyDescent="0.25">
      <c r="B5304" s="55" t="s">
        <v>280</v>
      </c>
      <c r="C5304" s="46">
        <v>292</v>
      </c>
      <c r="D5304" s="69" t="s">
        <v>29417</v>
      </c>
      <c r="E5304" s="51"/>
      <c r="F5304" s="114" t="str">
        <f>IF(INDEX(I.Facility.P2aIDNumber,292)="","",INDEX(I.Facility.P2aIDNumber,292))</f>
        <v/>
      </c>
      <c r="G5304" s="51"/>
      <c r="H5304" s="46" t="str">
        <f>IF(AND(I.Developer.P2a=TRUE,I.Facility.P2aFacilityCount&gt;=292,F5304=""),"Incomplete","Complete")</f>
        <v>Complete</v>
      </c>
      <c r="I5304" s="48" t="s">
        <v>9669</v>
      </c>
    </row>
    <row r="5305" spans="2:9" ht="15" customHeight="1" x14ac:dyDescent="0.25">
      <c r="B5305" s="55" t="s">
        <v>280</v>
      </c>
      <c r="C5305" s="46">
        <v>293</v>
      </c>
      <c r="D5305" s="69" t="s">
        <v>29417</v>
      </c>
      <c r="E5305" s="51"/>
      <c r="F5305" s="114" t="str">
        <f>IF(INDEX(I.Facility.P2aIDNumber,293)="","",INDEX(I.Facility.P2aIDNumber,293))</f>
        <v/>
      </c>
      <c r="G5305" s="51"/>
      <c r="H5305" s="46" t="str">
        <f>IF(AND(I.Developer.P2a=TRUE,I.Facility.P2aFacilityCount&gt;=293,F5305=""),"Incomplete","Complete")</f>
        <v>Complete</v>
      </c>
      <c r="I5305" s="48" t="s">
        <v>9670</v>
      </c>
    </row>
    <row r="5306" spans="2:9" ht="15" customHeight="1" x14ac:dyDescent="0.25">
      <c r="B5306" s="55" t="s">
        <v>280</v>
      </c>
      <c r="C5306" s="46">
        <v>294</v>
      </c>
      <c r="D5306" s="69" t="s">
        <v>29417</v>
      </c>
      <c r="E5306" s="51"/>
      <c r="F5306" s="114" t="str">
        <f>IF(INDEX(I.Facility.P2aIDNumber,294)="","",INDEX(I.Facility.P2aIDNumber,294))</f>
        <v/>
      </c>
      <c r="G5306" s="51"/>
      <c r="H5306" s="46" t="str">
        <f>IF(AND(I.Developer.P2a=TRUE,I.Facility.P2aFacilityCount&gt;=294,F5306=""),"Incomplete","Complete")</f>
        <v>Complete</v>
      </c>
      <c r="I5306" s="48" t="s">
        <v>9671</v>
      </c>
    </row>
    <row r="5307" spans="2:9" ht="15" customHeight="1" x14ac:dyDescent="0.25">
      <c r="B5307" s="55" t="s">
        <v>280</v>
      </c>
      <c r="C5307" s="46">
        <v>295</v>
      </c>
      <c r="D5307" s="69" t="s">
        <v>29417</v>
      </c>
      <c r="E5307" s="51"/>
      <c r="F5307" s="114" t="str">
        <f>IF(INDEX(I.Facility.P2aIDNumber,295)="","",INDEX(I.Facility.P2aIDNumber,295))</f>
        <v/>
      </c>
      <c r="G5307" s="51"/>
      <c r="H5307" s="46" t="str">
        <f>IF(AND(I.Developer.P2a=TRUE,I.Facility.P2aFacilityCount&gt;=295,F5307=""),"Incomplete","Complete")</f>
        <v>Complete</v>
      </c>
      <c r="I5307" s="48" t="s">
        <v>9672</v>
      </c>
    </row>
    <row r="5308" spans="2:9" ht="15" customHeight="1" x14ac:dyDescent="0.25">
      <c r="B5308" s="55" t="s">
        <v>280</v>
      </c>
      <c r="C5308" s="46">
        <v>296</v>
      </c>
      <c r="D5308" s="69" t="s">
        <v>29417</v>
      </c>
      <c r="E5308" s="51"/>
      <c r="F5308" s="114" t="str">
        <f>IF(INDEX(I.Facility.P2aIDNumber,296)="","",INDEX(I.Facility.P2aIDNumber,296))</f>
        <v/>
      </c>
      <c r="G5308" s="51"/>
      <c r="H5308" s="46" t="str">
        <f>IF(AND(I.Developer.P2a=TRUE,I.Facility.P2aFacilityCount&gt;=296,F5308=""),"Incomplete","Complete")</f>
        <v>Complete</v>
      </c>
      <c r="I5308" s="48" t="s">
        <v>9673</v>
      </c>
    </row>
    <row r="5309" spans="2:9" ht="15" customHeight="1" x14ac:dyDescent="0.25">
      <c r="B5309" s="55" t="s">
        <v>280</v>
      </c>
      <c r="C5309" s="46">
        <v>297</v>
      </c>
      <c r="D5309" s="69" t="s">
        <v>29417</v>
      </c>
      <c r="E5309" s="51"/>
      <c r="F5309" s="114" t="str">
        <f>IF(INDEX(I.Facility.P2aIDNumber,297)="","",INDEX(I.Facility.P2aIDNumber,297))</f>
        <v/>
      </c>
      <c r="G5309" s="51"/>
      <c r="H5309" s="46" t="str">
        <f>IF(AND(I.Developer.P2a=TRUE,I.Facility.P2aFacilityCount&gt;=297,F5309=""),"Incomplete","Complete")</f>
        <v>Complete</v>
      </c>
      <c r="I5309" s="48" t="s">
        <v>9674</v>
      </c>
    </row>
    <row r="5310" spans="2:9" ht="15" customHeight="1" x14ac:dyDescent="0.25">
      <c r="B5310" s="55" t="s">
        <v>280</v>
      </c>
      <c r="C5310" s="46">
        <v>298</v>
      </c>
      <c r="D5310" s="69" t="s">
        <v>29417</v>
      </c>
      <c r="E5310" s="51"/>
      <c r="F5310" s="114" t="str">
        <f>IF(INDEX(I.Facility.P2aIDNumber,298)="","",INDEX(I.Facility.P2aIDNumber,298))</f>
        <v/>
      </c>
      <c r="G5310" s="51"/>
      <c r="H5310" s="46" t="str">
        <f>IF(AND(I.Developer.P2a=TRUE,I.Facility.P2aFacilityCount&gt;=298,F5310=""),"Incomplete","Complete")</f>
        <v>Complete</v>
      </c>
      <c r="I5310" s="48" t="s">
        <v>9675</v>
      </c>
    </row>
    <row r="5311" spans="2:9" ht="15" customHeight="1" x14ac:dyDescent="0.25">
      <c r="B5311" s="55" t="s">
        <v>280</v>
      </c>
      <c r="C5311" s="46">
        <v>299</v>
      </c>
      <c r="D5311" s="69" t="s">
        <v>29417</v>
      </c>
      <c r="E5311" s="51"/>
      <c r="F5311" s="114" t="str">
        <f>IF(INDEX(I.Facility.P2aIDNumber,299)="","",INDEX(I.Facility.P2aIDNumber,299))</f>
        <v/>
      </c>
      <c r="G5311" s="51"/>
      <c r="H5311" s="46" t="str">
        <f>IF(AND(I.Developer.P2a=TRUE,I.Facility.P2aFacilityCount&gt;=299,F5311=""),"Incomplete","Complete")</f>
        <v>Complete</v>
      </c>
      <c r="I5311" s="48" t="s">
        <v>9676</v>
      </c>
    </row>
    <row r="5312" spans="2:9" ht="15" customHeight="1" x14ac:dyDescent="0.25">
      <c r="B5312" s="55" t="s">
        <v>280</v>
      </c>
      <c r="C5312" s="46">
        <v>300</v>
      </c>
      <c r="D5312" s="69" t="s">
        <v>29417</v>
      </c>
      <c r="E5312" s="51"/>
      <c r="F5312" s="114" t="str">
        <f>IF(INDEX(I.Facility.P2aIDNumber,300)="","",INDEX(I.Facility.P2aIDNumber,300))</f>
        <v/>
      </c>
      <c r="G5312" s="51"/>
      <c r="H5312" s="46" t="str">
        <f>IF(AND(I.Developer.P2a=TRUE,I.Facility.P2aFacilityCount&gt;=300,F5312=""),"Incomplete","Complete")</f>
        <v>Complete</v>
      </c>
      <c r="I5312" s="48" t="s">
        <v>9677</v>
      </c>
    </row>
    <row r="5313" spans="2:9" ht="15" customHeight="1" x14ac:dyDescent="0.25">
      <c r="B5313" s="55" t="s">
        <v>280</v>
      </c>
      <c r="C5313" s="46">
        <v>301</v>
      </c>
      <c r="D5313" s="69" t="s">
        <v>29417</v>
      </c>
      <c r="E5313" s="51"/>
      <c r="F5313" s="114" t="str">
        <f>IF(INDEX(I.Facility.P2aIDNumber,301)="","",INDEX(I.Facility.P2aIDNumber,301))</f>
        <v/>
      </c>
      <c r="G5313" s="51"/>
      <c r="H5313" s="46" t="str">
        <f>IF(AND(I.Developer.P2a=TRUE,I.Facility.P2aFacilityCount&gt;=301,F5313=""),"Incomplete","Complete")</f>
        <v>Complete</v>
      </c>
      <c r="I5313" s="48" t="s">
        <v>9678</v>
      </c>
    </row>
    <row r="5314" spans="2:9" ht="15" customHeight="1" x14ac:dyDescent="0.25">
      <c r="B5314" s="55" t="s">
        <v>280</v>
      </c>
      <c r="C5314" s="46">
        <v>302</v>
      </c>
      <c r="D5314" s="69" t="s">
        <v>29417</v>
      </c>
      <c r="E5314" s="51"/>
      <c r="F5314" s="114" t="str">
        <f>IF(INDEX(I.Facility.P2aIDNumber,302)="","",INDEX(I.Facility.P2aIDNumber,302))</f>
        <v/>
      </c>
      <c r="G5314" s="51"/>
      <c r="H5314" s="46" t="str">
        <f>IF(AND(I.Developer.P2a=TRUE,I.Facility.P2aFacilityCount&gt;=302,F5314=""),"Incomplete","Complete")</f>
        <v>Complete</v>
      </c>
      <c r="I5314" s="48" t="s">
        <v>9679</v>
      </c>
    </row>
    <row r="5315" spans="2:9" ht="15" customHeight="1" x14ac:dyDescent="0.25">
      <c r="B5315" s="55" t="s">
        <v>280</v>
      </c>
      <c r="C5315" s="46">
        <v>303</v>
      </c>
      <c r="D5315" s="69" t="s">
        <v>29417</v>
      </c>
      <c r="E5315" s="51"/>
      <c r="F5315" s="114" t="str">
        <f>IF(INDEX(I.Facility.P2aIDNumber,303)="","",INDEX(I.Facility.P2aIDNumber,303))</f>
        <v/>
      </c>
      <c r="G5315" s="51"/>
      <c r="H5315" s="46" t="str">
        <f>IF(AND(I.Developer.P2a=TRUE,I.Facility.P2aFacilityCount&gt;=303,F5315=""),"Incomplete","Complete")</f>
        <v>Complete</v>
      </c>
      <c r="I5315" s="48" t="s">
        <v>9680</v>
      </c>
    </row>
    <row r="5316" spans="2:9" ht="15" customHeight="1" x14ac:dyDescent="0.25">
      <c r="B5316" s="55" t="s">
        <v>280</v>
      </c>
      <c r="C5316" s="46">
        <v>304</v>
      </c>
      <c r="D5316" s="69" t="s">
        <v>29417</v>
      </c>
      <c r="E5316" s="51"/>
      <c r="F5316" s="114" t="str">
        <f>IF(INDEX(I.Facility.P2aIDNumber,304)="","",INDEX(I.Facility.P2aIDNumber,304))</f>
        <v/>
      </c>
      <c r="G5316" s="51"/>
      <c r="H5316" s="46" t="str">
        <f>IF(AND(I.Developer.P2a=TRUE,I.Facility.P2aFacilityCount&gt;=304,F5316=""),"Incomplete","Complete")</f>
        <v>Complete</v>
      </c>
      <c r="I5316" s="48" t="s">
        <v>9681</v>
      </c>
    </row>
    <row r="5317" spans="2:9" ht="15" customHeight="1" x14ac:dyDescent="0.25">
      <c r="B5317" s="55" t="s">
        <v>280</v>
      </c>
      <c r="C5317" s="46">
        <v>305</v>
      </c>
      <c r="D5317" s="69" t="s">
        <v>29417</v>
      </c>
      <c r="E5317" s="51"/>
      <c r="F5317" s="114" t="str">
        <f>IF(INDEX(I.Facility.P2aIDNumber,305)="","",INDEX(I.Facility.P2aIDNumber,305))</f>
        <v/>
      </c>
      <c r="G5317" s="51"/>
      <c r="H5317" s="46" t="str">
        <f>IF(AND(I.Developer.P2a=TRUE,I.Facility.P2aFacilityCount&gt;=305,F5317=""),"Incomplete","Complete")</f>
        <v>Complete</v>
      </c>
      <c r="I5317" s="48" t="s">
        <v>9682</v>
      </c>
    </row>
    <row r="5318" spans="2:9" ht="15" customHeight="1" x14ac:dyDescent="0.25">
      <c r="B5318" s="55" t="s">
        <v>280</v>
      </c>
      <c r="C5318" s="46">
        <v>306</v>
      </c>
      <c r="D5318" s="69" t="s">
        <v>29417</v>
      </c>
      <c r="E5318" s="51"/>
      <c r="F5318" s="114" t="str">
        <f>IF(INDEX(I.Facility.P2aIDNumber,306)="","",INDEX(I.Facility.P2aIDNumber,306))</f>
        <v/>
      </c>
      <c r="G5318" s="51"/>
      <c r="H5318" s="46" t="str">
        <f>IF(AND(I.Developer.P2a=TRUE,I.Facility.P2aFacilityCount&gt;=306,F5318=""),"Incomplete","Complete")</f>
        <v>Complete</v>
      </c>
      <c r="I5318" s="48" t="s">
        <v>9683</v>
      </c>
    </row>
    <row r="5319" spans="2:9" ht="15" customHeight="1" x14ac:dyDescent="0.25">
      <c r="B5319" s="55" t="s">
        <v>280</v>
      </c>
      <c r="C5319" s="46">
        <v>307</v>
      </c>
      <c r="D5319" s="69" t="s">
        <v>29417</v>
      </c>
      <c r="E5319" s="51"/>
      <c r="F5319" s="114" t="str">
        <f>IF(INDEX(I.Facility.P2aIDNumber,307)="","",INDEX(I.Facility.P2aIDNumber,307))</f>
        <v/>
      </c>
      <c r="G5319" s="51"/>
      <c r="H5319" s="46" t="str">
        <f>IF(AND(I.Developer.P2a=TRUE,I.Facility.P2aFacilityCount&gt;=307,F5319=""),"Incomplete","Complete")</f>
        <v>Complete</v>
      </c>
      <c r="I5319" s="48" t="s">
        <v>9684</v>
      </c>
    </row>
    <row r="5320" spans="2:9" ht="15" customHeight="1" x14ac:dyDescent="0.25">
      <c r="B5320" s="55" t="s">
        <v>280</v>
      </c>
      <c r="C5320" s="46">
        <v>308</v>
      </c>
      <c r="D5320" s="69" t="s">
        <v>29417</v>
      </c>
      <c r="E5320" s="51"/>
      <c r="F5320" s="114" t="str">
        <f>IF(INDEX(I.Facility.P2aIDNumber,308)="","",INDEX(I.Facility.P2aIDNumber,308))</f>
        <v/>
      </c>
      <c r="G5320" s="51"/>
      <c r="H5320" s="46" t="str">
        <f>IF(AND(I.Developer.P2a=TRUE,I.Facility.P2aFacilityCount&gt;=308,F5320=""),"Incomplete","Complete")</f>
        <v>Complete</v>
      </c>
      <c r="I5320" s="48" t="s">
        <v>9685</v>
      </c>
    </row>
    <row r="5321" spans="2:9" ht="15" customHeight="1" x14ac:dyDescent="0.25">
      <c r="B5321" s="55" t="s">
        <v>280</v>
      </c>
      <c r="C5321" s="46">
        <v>309</v>
      </c>
      <c r="D5321" s="69" t="s">
        <v>29417</v>
      </c>
      <c r="E5321" s="51"/>
      <c r="F5321" s="114" t="str">
        <f>IF(INDEX(I.Facility.P2aIDNumber,309)="","",INDEX(I.Facility.P2aIDNumber,309))</f>
        <v/>
      </c>
      <c r="G5321" s="51"/>
      <c r="H5321" s="46" t="str">
        <f>IF(AND(I.Developer.P2a=TRUE,I.Facility.P2aFacilityCount&gt;=309,F5321=""),"Incomplete","Complete")</f>
        <v>Complete</v>
      </c>
      <c r="I5321" s="48" t="s">
        <v>9686</v>
      </c>
    </row>
    <row r="5322" spans="2:9" ht="15" customHeight="1" x14ac:dyDescent="0.25">
      <c r="B5322" s="55" t="s">
        <v>280</v>
      </c>
      <c r="C5322" s="46">
        <v>310</v>
      </c>
      <c r="D5322" s="69" t="s">
        <v>29417</v>
      </c>
      <c r="E5322" s="51"/>
      <c r="F5322" s="114" t="str">
        <f>IF(INDEX(I.Facility.P2aIDNumber,310)="","",INDEX(I.Facility.P2aIDNumber,310))</f>
        <v/>
      </c>
      <c r="G5322" s="51"/>
      <c r="H5322" s="46" t="str">
        <f>IF(AND(I.Developer.P2a=TRUE,I.Facility.P2aFacilityCount&gt;=310,F5322=""),"Incomplete","Complete")</f>
        <v>Complete</v>
      </c>
      <c r="I5322" s="48" t="s">
        <v>9687</v>
      </c>
    </row>
    <row r="5323" spans="2:9" ht="15" customHeight="1" x14ac:dyDescent="0.25">
      <c r="B5323" s="55" t="s">
        <v>280</v>
      </c>
      <c r="C5323" s="46">
        <v>311</v>
      </c>
      <c r="D5323" s="69" t="s">
        <v>29417</v>
      </c>
      <c r="E5323" s="51"/>
      <c r="F5323" s="114" t="str">
        <f>IF(INDEX(I.Facility.P2aIDNumber,311)="","",INDEX(I.Facility.P2aIDNumber,311))</f>
        <v/>
      </c>
      <c r="G5323" s="51"/>
      <c r="H5323" s="46" t="str">
        <f>IF(AND(I.Developer.P2a=TRUE,I.Facility.P2aFacilityCount&gt;=311,F5323=""),"Incomplete","Complete")</f>
        <v>Complete</v>
      </c>
      <c r="I5323" s="48" t="s">
        <v>9688</v>
      </c>
    </row>
    <row r="5324" spans="2:9" ht="15" customHeight="1" x14ac:dyDescent="0.25">
      <c r="B5324" s="55" t="s">
        <v>280</v>
      </c>
      <c r="C5324" s="46">
        <v>312</v>
      </c>
      <c r="D5324" s="69" t="s">
        <v>29417</v>
      </c>
      <c r="E5324" s="51"/>
      <c r="F5324" s="114" t="str">
        <f>IF(INDEX(I.Facility.P2aIDNumber,312)="","",INDEX(I.Facility.P2aIDNumber,312))</f>
        <v/>
      </c>
      <c r="G5324" s="51"/>
      <c r="H5324" s="46" t="str">
        <f>IF(AND(I.Developer.P2a=TRUE,I.Facility.P2aFacilityCount&gt;=312,F5324=""),"Incomplete","Complete")</f>
        <v>Complete</v>
      </c>
      <c r="I5324" s="48" t="s">
        <v>9689</v>
      </c>
    </row>
    <row r="5325" spans="2:9" ht="15" customHeight="1" x14ac:dyDescent="0.25">
      <c r="B5325" s="55" t="s">
        <v>280</v>
      </c>
      <c r="C5325" s="46">
        <v>313</v>
      </c>
      <c r="D5325" s="69" t="s">
        <v>29417</v>
      </c>
      <c r="E5325" s="51"/>
      <c r="F5325" s="114" t="str">
        <f>IF(INDEX(I.Facility.P2aIDNumber,313)="","",INDEX(I.Facility.P2aIDNumber,313))</f>
        <v/>
      </c>
      <c r="G5325" s="51"/>
      <c r="H5325" s="46" t="str">
        <f>IF(AND(I.Developer.P2a=TRUE,I.Facility.P2aFacilityCount&gt;=313,F5325=""),"Incomplete","Complete")</f>
        <v>Complete</v>
      </c>
      <c r="I5325" s="48" t="s">
        <v>9690</v>
      </c>
    </row>
    <row r="5326" spans="2:9" ht="15" customHeight="1" x14ac:dyDescent="0.25">
      <c r="B5326" s="55" t="s">
        <v>280</v>
      </c>
      <c r="C5326" s="46">
        <v>314</v>
      </c>
      <c r="D5326" s="69" t="s">
        <v>29417</v>
      </c>
      <c r="E5326" s="51"/>
      <c r="F5326" s="114" t="str">
        <f>IF(INDEX(I.Facility.P2aIDNumber,314)="","",INDEX(I.Facility.P2aIDNumber,314))</f>
        <v/>
      </c>
      <c r="G5326" s="51"/>
      <c r="H5326" s="46" t="str">
        <f>IF(AND(I.Developer.P2a=TRUE,I.Facility.P2aFacilityCount&gt;=314,F5326=""),"Incomplete","Complete")</f>
        <v>Complete</v>
      </c>
      <c r="I5326" s="48" t="s">
        <v>9691</v>
      </c>
    </row>
    <row r="5327" spans="2:9" ht="15" customHeight="1" x14ac:dyDescent="0.25">
      <c r="B5327" s="55" t="s">
        <v>280</v>
      </c>
      <c r="C5327" s="46">
        <v>315</v>
      </c>
      <c r="D5327" s="69" t="s">
        <v>29417</v>
      </c>
      <c r="E5327" s="51"/>
      <c r="F5327" s="114" t="str">
        <f>IF(INDEX(I.Facility.P2aIDNumber,315)="","",INDEX(I.Facility.P2aIDNumber,315))</f>
        <v/>
      </c>
      <c r="G5327" s="51"/>
      <c r="H5327" s="46" t="str">
        <f>IF(AND(I.Developer.P2a=TRUE,I.Facility.P2aFacilityCount&gt;=315,F5327=""),"Incomplete","Complete")</f>
        <v>Complete</v>
      </c>
      <c r="I5327" s="48" t="s">
        <v>9692</v>
      </c>
    </row>
    <row r="5328" spans="2:9" ht="15" customHeight="1" x14ac:dyDescent="0.25">
      <c r="B5328" s="55" t="s">
        <v>280</v>
      </c>
      <c r="C5328" s="46">
        <v>316</v>
      </c>
      <c r="D5328" s="69" t="s">
        <v>29417</v>
      </c>
      <c r="E5328" s="51"/>
      <c r="F5328" s="114" t="str">
        <f>IF(INDEX(I.Facility.P2aIDNumber,316)="","",INDEX(I.Facility.P2aIDNumber,316))</f>
        <v/>
      </c>
      <c r="G5328" s="51"/>
      <c r="H5328" s="46" t="str">
        <f>IF(AND(I.Developer.P2a=TRUE,I.Facility.P2aFacilityCount&gt;=316,F5328=""),"Incomplete","Complete")</f>
        <v>Complete</v>
      </c>
      <c r="I5328" s="48" t="s">
        <v>9693</v>
      </c>
    </row>
    <row r="5329" spans="2:9" ht="15" customHeight="1" x14ac:dyDescent="0.25">
      <c r="B5329" s="55" t="s">
        <v>280</v>
      </c>
      <c r="C5329" s="46">
        <v>317</v>
      </c>
      <c r="D5329" s="69" t="s">
        <v>29417</v>
      </c>
      <c r="E5329" s="51"/>
      <c r="F5329" s="114" t="str">
        <f>IF(INDEX(I.Facility.P2aIDNumber,317)="","",INDEX(I.Facility.P2aIDNumber,317))</f>
        <v/>
      </c>
      <c r="G5329" s="51"/>
      <c r="H5329" s="46" t="str">
        <f>IF(AND(I.Developer.P2a=TRUE,I.Facility.P2aFacilityCount&gt;=317,F5329=""),"Incomplete","Complete")</f>
        <v>Complete</v>
      </c>
      <c r="I5329" s="48" t="s">
        <v>9694</v>
      </c>
    </row>
    <row r="5330" spans="2:9" ht="15" customHeight="1" x14ac:dyDescent="0.25">
      <c r="B5330" s="55" t="s">
        <v>280</v>
      </c>
      <c r="C5330" s="46">
        <v>318</v>
      </c>
      <c r="D5330" s="69" t="s">
        <v>29417</v>
      </c>
      <c r="E5330" s="51"/>
      <c r="F5330" s="114" t="str">
        <f>IF(INDEX(I.Facility.P2aIDNumber,318)="","",INDEX(I.Facility.P2aIDNumber,318))</f>
        <v/>
      </c>
      <c r="G5330" s="51"/>
      <c r="H5330" s="46" t="str">
        <f>IF(AND(I.Developer.P2a=TRUE,I.Facility.P2aFacilityCount&gt;=318,F5330=""),"Incomplete","Complete")</f>
        <v>Complete</v>
      </c>
      <c r="I5330" s="48" t="s">
        <v>9695</v>
      </c>
    </row>
    <row r="5331" spans="2:9" ht="15" customHeight="1" x14ac:dyDescent="0.25">
      <c r="B5331" s="55" t="s">
        <v>280</v>
      </c>
      <c r="C5331" s="46">
        <v>319</v>
      </c>
      <c r="D5331" s="69" t="s">
        <v>29417</v>
      </c>
      <c r="E5331" s="51"/>
      <c r="F5331" s="114" t="str">
        <f>IF(INDEX(I.Facility.P2aIDNumber,319)="","",INDEX(I.Facility.P2aIDNumber,319))</f>
        <v/>
      </c>
      <c r="G5331" s="51"/>
      <c r="H5331" s="46" t="str">
        <f>IF(AND(I.Developer.P2a=TRUE,I.Facility.P2aFacilityCount&gt;=319,F5331=""),"Incomplete","Complete")</f>
        <v>Complete</v>
      </c>
      <c r="I5331" s="48" t="s">
        <v>9696</v>
      </c>
    </row>
    <row r="5332" spans="2:9" ht="15" customHeight="1" x14ac:dyDescent="0.25">
      <c r="B5332" s="55" t="s">
        <v>280</v>
      </c>
      <c r="C5332" s="46">
        <v>320</v>
      </c>
      <c r="D5332" s="69" t="s">
        <v>29417</v>
      </c>
      <c r="E5332" s="51"/>
      <c r="F5332" s="114" t="str">
        <f>IF(INDEX(I.Facility.P2aIDNumber,320)="","",INDEX(I.Facility.P2aIDNumber,320))</f>
        <v/>
      </c>
      <c r="G5332" s="51"/>
      <c r="H5332" s="46" t="str">
        <f>IF(AND(I.Developer.P2a=TRUE,I.Facility.P2aFacilityCount&gt;=320,F5332=""),"Incomplete","Complete")</f>
        <v>Complete</v>
      </c>
      <c r="I5332" s="48" t="s">
        <v>9697</v>
      </c>
    </row>
    <row r="5333" spans="2:9" ht="15" customHeight="1" x14ac:dyDescent="0.25">
      <c r="B5333" s="55" t="s">
        <v>280</v>
      </c>
      <c r="C5333" s="46">
        <v>321</v>
      </c>
      <c r="D5333" s="69" t="s">
        <v>29417</v>
      </c>
      <c r="E5333" s="51"/>
      <c r="F5333" s="114" t="str">
        <f>IF(INDEX(I.Facility.P2aIDNumber,321)="","",INDEX(I.Facility.P2aIDNumber,321))</f>
        <v/>
      </c>
      <c r="G5333" s="51"/>
      <c r="H5333" s="46" t="str">
        <f>IF(AND(I.Developer.P2a=TRUE,I.Facility.P2aFacilityCount&gt;=321,F5333=""),"Incomplete","Complete")</f>
        <v>Complete</v>
      </c>
      <c r="I5333" s="48" t="s">
        <v>9698</v>
      </c>
    </row>
    <row r="5334" spans="2:9" ht="15" customHeight="1" x14ac:dyDescent="0.25">
      <c r="B5334" s="55" t="s">
        <v>280</v>
      </c>
      <c r="C5334" s="46">
        <v>322</v>
      </c>
      <c r="D5334" s="69" t="s">
        <v>29417</v>
      </c>
      <c r="E5334" s="51"/>
      <c r="F5334" s="114" t="str">
        <f>IF(INDEX(I.Facility.P2aIDNumber,322)="","",INDEX(I.Facility.P2aIDNumber,322))</f>
        <v/>
      </c>
      <c r="G5334" s="51"/>
      <c r="H5334" s="46" t="str">
        <f>IF(AND(I.Developer.P2a=TRUE,I.Facility.P2aFacilityCount&gt;=322,F5334=""),"Incomplete","Complete")</f>
        <v>Complete</v>
      </c>
      <c r="I5334" s="48" t="s">
        <v>9699</v>
      </c>
    </row>
    <row r="5335" spans="2:9" ht="15" customHeight="1" x14ac:dyDescent="0.25">
      <c r="B5335" s="55" t="s">
        <v>280</v>
      </c>
      <c r="C5335" s="46">
        <v>323</v>
      </c>
      <c r="D5335" s="69" t="s">
        <v>29417</v>
      </c>
      <c r="E5335" s="51"/>
      <c r="F5335" s="114" t="str">
        <f>IF(INDEX(I.Facility.P2aIDNumber,323)="","",INDEX(I.Facility.P2aIDNumber,323))</f>
        <v/>
      </c>
      <c r="G5335" s="51"/>
      <c r="H5335" s="46" t="str">
        <f>IF(AND(I.Developer.P2a=TRUE,I.Facility.P2aFacilityCount&gt;=323,F5335=""),"Incomplete","Complete")</f>
        <v>Complete</v>
      </c>
      <c r="I5335" s="48" t="s">
        <v>9700</v>
      </c>
    </row>
    <row r="5336" spans="2:9" ht="15" customHeight="1" x14ac:dyDescent="0.25">
      <c r="B5336" s="55" t="s">
        <v>280</v>
      </c>
      <c r="C5336" s="46">
        <v>324</v>
      </c>
      <c r="D5336" s="69" t="s">
        <v>29417</v>
      </c>
      <c r="E5336" s="51"/>
      <c r="F5336" s="114" t="str">
        <f>IF(INDEX(I.Facility.P2aIDNumber,324)="","",INDEX(I.Facility.P2aIDNumber,324))</f>
        <v/>
      </c>
      <c r="G5336" s="51"/>
      <c r="H5336" s="46" t="str">
        <f>IF(AND(I.Developer.P2a=TRUE,I.Facility.P2aFacilityCount&gt;=324,F5336=""),"Incomplete","Complete")</f>
        <v>Complete</v>
      </c>
      <c r="I5336" s="48" t="s">
        <v>9701</v>
      </c>
    </row>
    <row r="5337" spans="2:9" ht="15" customHeight="1" x14ac:dyDescent="0.25">
      <c r="B5337" s="55" t="s">
        <v>280</v>
      </c>
      <c r="C5337" s="46">
        <v>325</v>
      </c>
      <c r="D5337" s="69" t="s">
        <v>29417</v>
      </c>
      <c r="E5337" s="51"/>
      <c r="F5337" s="114" t="str">
        <f>IF(INDEX(I.Facility.P2aIDNumber,325)="","",INDEX(I.Facility.P2aIDNumber,325))</f>
        <v/>
      </c>
      <c r="G5337" s="51"/>
      <c r="H5337" s="46" t="str">
        <f>IF(AND(I.Developer.P2a=TRUE,I.Facility.P2aFacilityCount&gt;=325,F5337=""),"Incomplete","Complete")</f>
        <v>Complete</v>
      </c>
      <c r="I5337" s="48" t="s">
        <v>9702</v>
      </c>
    </row>
    <row r="5338" spans="2:9" ht="15" customHeight="1" x14ac:dyDescent="0.25">
      <c r="B5338" s="55" t="s">
        <v>280</v>
      </c>
      <c r="C5338" s="46">
        <v>326</v>
      </c>
      <c r="D5338" s="69" t="s">
        <v>29417</v>
      </c>
      <c r="E5338" s="51"/>
      <c r="F5338" s="114" t="str">
        <f>IF(INDEX(I.Facility.P2aIDNumber,326)="","",INDEX(I.Facility.P2aIDNumber,326))</f>
        <v/>
      </c>
      <c r="G5338" s="51"/>
      <c r="H5338" s="46" t="str">
        <f>IF(AND(I.Developer.P2a=TRUE,I.Facility.P2aFacilityCount&gt;=326,F5338=""),"Incomplete","Complete")</f>
        <v>Complete</v>
      </c>
      <c r="I5338" s="48" t="s">
        <v>9703</v>
      </c>
    </row>
    <row r="5339" spans="2:9" ht="15" customHeight="1" x14ac:dyDescent="0.25">
      <c r="B5339" s="55" t="s">
        <v>280</v>
      </c>
      <c r="C5339" s="46">
        <v>327</v>
      </c>
      <c r="D5339" s="69" t="s">
        <v>29417</v>
      </c>
      <c r="E5339" s="51"/>
      <c r="F5339" s="114" t="str">
        <f>IF(INDEX(I.Facility.P2aIDNumber,327)="","",INDEX(I.Facility.P2aIDNumber,327))</f>
        <v/>
      </c>
      <c r="G5339" s="51"/>
      <c r="H5339" s="46" t="str">
        <f>IF(AND(I.Developer.P2a=TRUE,I.Facility.P2aFacilityCount&gt;=327,F5339=""),"Incomplete","Complete")</f>
        <v>Complete</v>
      </c>
      <c r="I5339" s="48" t="s">
        <v>9704</v>
      </c>
    </row>
    <row r="5340" spans="2:9" ht="15" customHeight="1" x14ac:dyDescent="0.25">
      <c r="B5340" s="55" t="s">
        <v>280</v>
      </c>
      <c r="C5340" s="46">
        <v>328</v>
      </c>
      <c r="D5340" s="69" t="s">
        <v>29417</v>
      </c>
      <c r="E5340" s="51"/>
      <c r="F5340" s="114" t="str">
        <f>IF(INDEX(I.Facility.P2aIDNumber,328)="","",INDEX(I.Facility.P2aIDNumber,328))</f>
        <v/>
      </c>
      <c r="G5340" s="51"/>
      <c r="H5340" s="46" t="str">
        <f>IF(AND(I.Developer.P2a=TRUE,I.Facility.P2aFacilityCount&gt;=328,F5340=""),"Incomplete","Complete")</f>
        <v>Complete</v>
      </c>
      <c r="I5340" s="48" t="s">
        <v>9705</v>
      </c>
    </row>
    <row r="5341" spans="2:9" ht="15" customHeight="1" x14ac:dyDescent="0.25">
      <c r="B5341" s="55" t="s">
        <v>280</v>
      </c>
      <c r="C5341" s="46">
        <v>329</v>
      </c>
      <c r="D5341" s="69" t="s">
        <v>29417</v>
      </c>
      <c r="E5341" s="51"/>
      <c r="F5341" s="114" t="str">
        <f>IF(INDEX(I.Facility.P2aIDNumber,329)="","",INDEX(I.Facility.P2aIDNumber,329))</f>
        <v/>
      </c>
      <c r="G5341" s="51"/>
      <c r="H5341" s="46" t="str">
        <f>IF(AND(I.Developer.P2a=TRUE,I.Facility.P2aFacilityCount&gt;=329,F5341=""),"Incomplete","Complete")</f>
        <v>Complete</v>
      </c>
      <c r="I5341" s="48" t="s">
        <v>9706</v>
      </c>
    </row>
    <row r="5342" spans="2:9" ht="15" customHeight="1" x14ac:dyDescent="0.25">
      <c r="B5342" s="55" t="s">
        <v>280</v>
      </c>
      <c r="C5342" s="46">
        <v>330</v>
      </c>
      <c r="D5342" s="69" t="s">
        <v>29417</v>
      </c>
      <c r="E5342" s="51"/>
      <c r="F5342" s="114" t="str">
        <f>IF(INDEX(I.Facility.P2aIDNumber,330)="","",INDEX(I.Facility.P2aIDNumber,330))</f>
        <v/>
      </c>
      <c r="G5342" s="51"/>
      <c r="H5342" s="46" t="str">
        <f>IF(AND(I.Developer.P2a=TRUE,I.Facility.P2aFacilityCount&gt;=330,F5342=""),"Incomplete","Complete")</f>
        <v>Complete</v>
      </c>
      <c r="I5342" s="48" t="s">
        <v>9707</v>
      </c>
    </row>
    <row r="5343" spans="2:9" ht="15" customHeight="1" x14ac:dyDescent="0.25">
      <c r="B5343" s="55" t="s">
        <v>280</v>
      </c>
      <c r="C5343" s="46">
        <v>331</v>
      </c>
      <c r="D5343" s="69" t="s">
        <v>29417</v>
      </c>
      <c r="E5343" s="51"/>
      <c r="F5343" s="114" t="str">
        <f>IF(INDEX(I.Facility.P2aIDNumber,331)="","",INDEX(I.Facility.P2aIDNumber,331))</f>
        <v/>
      </c>
      <c r="G5343" s="51"/>
      <c r="H5343" s="46" t="str">
        <f>IF(AND(I.Developer.P2a=TRUE,I.Facility.P2aFacilityCount&gt;=331,F5343=""),"Incomplete","Complete")</f>
        <v>Complete</v>
      </c>
      <c r="I5343" s="48" t="s">
        <v>9708</v>
      </c>
    </row>
    <row r="5344" spans="2:9" ht="15" customHeight="1" x14ac:dyDescent="0.25">
      <c r="B5344" s="55" t="s">
        <v>280</v>
      </c>
      <c r="C5344" s="46">
        <v>332</v>
      </c>
      <c r="D5344" s="69" t="s">
        <v>29417</v>
      </c>
      <c r="E5344" s="51"/>
      <c r="F5344" s="114" t="str">
        <f>IF(INDEX(I.Facility.P2aIDNumber,332)="","",INDEX(I.Facility.P2aIDNumber,332))</f>
        <v/>
      </c>
      <c r="G5344" s="51"/>
      <c r="H5344" s="46" t="str">
        <f>IF(AND(I.Developer.P2a=TRUE,I.Facility.P2aFacilityCount&gt;=332,F5344=""),"Incomplete","Complete")</f>
        <v>Complete</v>
      </c>
      <c r="I5344" s="48" t="s">
        <v>9709</v>
      </c>
    </row>
    <row r="5345" spans="2:9" ht="15" customHeight="1" x14ac:dyDescent="0.25">
      <c r="B5345" s="55" t="s">
        <v>280</v>
      </c>
      <c r="C5345" s="46">
        <v>333</v>
      </c>
      <c r="D5345" s="69" t="s">
        <v>29417</v>
      </c>
      <c r="E5345" s="51"/>
      <c r="F5345" s="114" t="str">
        <f>IF(INDEX(I.Facility.P2aIDNumber,333)="","",INDEX(I.Facility.P2aIDNumber,333))</f>
        <v/>
      </c>
      <c r="G5345" s="51"/>
      <c r="H5345" s="46" t="str">
        <f>IF(AND(I.Developer.P2a=TRUE,I.Facility.P2aFacilityCount&gt;=333,F5345=""),"Incomplete","Complete")</f>
        <v>Complete</v>
      </c>
      <c r="I5345" s="48" t="s">
        <v>9710</v>
      </c>
    </row>
    <row r="5346" spans="2:9" ht="15" customHeight="1" x14ac:dyDescent="0.25">
      <c r="B5346" s="55" t="s">
        <v>280</v>
      </c>
      <c r="C5346" s="46">
        <v>334</v>
      </c>
      <c r="D5346" s="69" t="s">
        <v>29417</v>
      </c>
      <c r="E5346" s="51"/>
      <c r="F5346" s="114" t="str">
        <f>IF(INDEX(I.Facility.P2aIDNumber,334)="","",INDEX(I.Facility.P2aIDNumber,334))</f>
        <v/>
      </c>
      <c r="G5346" s="51"/>
      <c r="H5346" s="46" t="str">
        <f>IF(AND(I.Developer.P2a=TRUE,I.Facility.P2aFacilityCount&gt;=334,F5346=""),"Incomplete","Complete")</f>
        <v>Complete</v>
      </c>
      <c r="I5346" s="48" t="s">
        <v>9711</v>
      </c>
    </row>
    <row r="5347" spans="2:9" ht="15" customHeight="1" x14ac:dyDescent="0.25">
      <c r="B5347" s="55" t="s">
        <v>280</v>
      </c>
      <c r="C5347" s="46">
        <v>335</v>
      </c>
      <c r="D5347" s="69" t="s">
        <v>29417</v>
      </c>
      <c r="E5347" s="51"/>
      <c r="F5347" s="114" t="str">
        <f>IF(INDEX(I.Facility.P2aIDNumber,335)="","",INDEX(I.Facility.P2aIDNumber,335))</f>
        <v/>
      </c>
      <c r="G5347" s="51"/>
      <c r="H5347" s="46" t="str">
        <f>IF(AND(I.Developer.P2a=TRUE,I.Facility.P2aFacilityCount&gt;=335,F5347=""),"Incomplete","Complete")</f>
        <v>Complete</v>
      </c>
      <c r="I5347" s="48" t="s">
        <v>9712</v>
      </c>
    </row>
    <row r="5348" spans="2:9" ht="15" customHeight="1" x14ac:dyDescent="0.25">
      <c r="B5348" s="55" t="s">
        <v>280</v>
      </c>
      <c r="C5348" s="46">
        <v>336</v>
      </c>
      <c r="D5348" s="69" t="s">
        <v>29417</v>
      </c>
      <c r="E5348" s="51"/>
      <c r="F5348" s="114" t="str">
        <f>IF(INDEX(I.Facility.P2aIDNumber,336)="","",INDEX(I.Facility.P2aIDNumber,336))</f>
        <v/>
      </c>
      <c r="G5348" s="51"/>
      <c r="H5348" s="46" t="str">
        <f>IF(AND(I.Developer.P2a=TRUE,I.Facility.P2aFacilityCount&gt;=336,F5348=""),"Incomplete","Complete")</f>
        <v>Complete</v>
      </c>
      <c r="I5348" s="48" t="s">
        <v>9713</v>
      </c>
    </row>
    <row r="5349" spans="2:9" ht="15" customHeight="1" x14ac:dyDescent="0.25">
      <c r="B5349" s="55" t="s">
        <v>280</v>
      </c>
      <c r="C5349" s="46">
        <v>337</v>
      </c>
      <c r="D5349" s="69" t="s">
        <v>29417</v>
      </c>
      <c r="E5349" s="51"/>
      <c r="F5349" s="114" t="str">
        <f>IF(INDEX(I.Facility.P2aIDNumber,337)="","",INDEX(I.Facility.P2aIDNumber,337))</f>
        <v/>
      </c>
      <c r="G5349" s="51"/>
      <c r="H5349" s="46" t="str">
        <f>IF(AND(I.Developer.P2a=TRUE,I.Facility.P2aFacilityCount&gt;=337,F5349=""),"Incomplete","Complete")</f>
        <v>Complete</v>
      </c>
      <c r="I5349" s="48" t="s">
        <v>9714</v>
      </c>
    </row>
    <row r="5350" spans="2:9" ht="15" customHeight="1" x14ac:dyDescent="0.25">
      <c r="B5350" s="55" t="s">
        <v>280</v>
      </c>
      <c r="C5350" s="46">
        <v>338</v>
      </c>
      <c r="D5350" s="69" t="s">
        <v>29417</v>
      </c>
      <c r="E5350" s="51"/>
      <c r="F5350" s="114" t="str">
        <f>IF(INDEX(I.Facility.P2aIDNumber,338)="","",INDEX(I.Facility.P2aIDNumber,338))</f>
        <v/>
      </c>
      <c r="G5350" s="51"/>
      <c r="H5350" s="46" t="str">
        <f>IF(AND(I.Developer.P2a=TRUE,I.Facility.P2aFacilityCount&gt;=338,F5350=""),"Incomplete","Complete")</f>
        <v>Complete</v>
      </c>
      <c r="I5350" s="48" t="s">
        <v>9715</v>
      </c>
    </row>
    <row r="5351" spans="2:9" ht="15" customHeight="1" x14ac:dyDescent="0.25">
      <c r="B5351" s="55" t="s">
        <v>280</v>
      </c>
      <c r="C5351" s="46">
        <v>339</v>
      </c>
      <c r="D5351" s="69" t="s">
        <v>29417</v>
      </c>
      <c r="E5351" s="51"/>
      <c r="F5351" s="114" t="str">
        <f>IF(INDEX(I.Facility.P2aIDNumber,339)="","",INDEX(I.Facility.P2aIDNumber,339))</f>
        <v/>
      </c>
      <c r="G5351" s="51"/>
      <c r="H5351" s="46" t="str">
        <f>IF(AND(I.Developer.P2a=TRUE,I.Facility.P2aFacilityCount&gt;=339,F5351=""),"Incomplete","Complete")</f>
        <v>Complete</v>
      </c>
      <c r="I5351" s="48" t="s">
        <v>9716</v>
      </c>
    </row>
    <row r="5352" spans="2:9" ht="15" customHeight="1" x14ac:dyDescent="0.25">
      <c r="B5352" s="55" t="s">
        <v>280</v>
      </c>
      <c r="C5352" s="46">
        <v>340</v>
      </c>
      <c r="D5352" s="69" t="s">
        <v>29417</v>
      </c>
      <c r="E5352" s="51"/>
      <c r="F5352" s="114" t="str">
        <f>IF(INDEX(I.Facility.P2aIDNumber,340)="","",INDEX(I.Facility.P2aIDNumber,340))</f>
        <v/>
      </c>
      <c r="G5352" s="51"/>
      <c r="H5352" s="46" t="str">
        <f>IF(AND(I.Developer.P2a=TRUE,I.Facility.P2aFacilityCount&gt;=340,F5352=""),"Incomplete","Complete")</f>
        <v>Complete</v>
      </c>
      <c r="I5352" s="48" t="s">
        <v>9717</v>
      </c>
    </row>
    <row r="5353" spans="2:9" ht="15" customHeight="1" x14ac:dyDescent="0.25">
      <c r="B5353" s="55" t="s">
        <v>280</v>
      </c>
      <c r="C5353" s="46">
        <v>341</v>
      </c>
      <c r="D5353" s="69" t="s">
        <v>29417</v>
      </c>
      <c r="E5353" s="51"/>
      <c r="F5353" s="114" t="str">
        <f>IF(INDEX(I.Facility.P2aIDNumber,341)="","",INDEX(I.Facility.P2aIDNumber,341))</f>
        <v/>
      </c>
      <c r="G5353" s="51"/>
      <c r="H5353" s="46" t="str">
        <f>IF(AND(I.Developer.P2a=TRUE,I.Facility.P2aFacilityCount&gt;=341,F5353=""),"Incomplete","Complete")</f>
        <v>Complete</v>
      </c>
      <c r="I5353" s="48" t="s">
        <v>9718</v>
      </c>
    </row>
    <row r="5354" spans="2:9" ht="15" customHeight="1" x14ac:dyDescent="0.25">
      <c r="B5354" s="55" t="s">
        <v>280</v>
      </c>
      <c r="C5354" s="46">
        <v>342</v>
      </c>
      <c r="D5354" s="69" t="s">
        <v>29417</v>
      </c>
      <c r="E5354" s="51"/>
      <c r="F5354" s="114" t="str">
        <f>IF(INDEX(I.Facility.P2aIDNumber,342)="","",INDEX(I.Facility.P2aIDNumber,342))</f>
        <v/>
      </c>
      <c r="G5354" s="51"/>
      <c r="H5354" s="46" t="str">
        <f>IF(AND(I.Developer.P2a=TRUE,I.Facility.P2aFacilityCount&gt;=342,F5354=""),"Incomplete","Complete")</f>
        <v>Complete</v>
      </c>
      <c r="I5354" s="48" t="s">
        <v>9719</v>
      </c>
    </row>
    <row r="5355" spans="2:9" ht="15" customHeight="1" x14ac:dyDescent="0.25">
      <c r="B5355" s="55" t="s">
        <v>280</v>
      </c>
      <c r="C5355" s="46">
        <v>343</v>
      </c>
      <c r="D5355" s="69" t="s">
        <v>29417</v>
      </c>
      <c r="E5355" s="51"/>
      <c r="F5355" s="114" t="str">
        <f>IF(INDEX(I.Facility.P2aIDNumber,343)="","",INDEX(I.Facility.P2aIDNumber,343))</f>
        <v/>
      </c>
      <c r="G5355" s="51"/>
      <c r="H5355" s="46" t="str">
        <f>IF(AND(I.Developer.P2a=TRUE,I.Facility.P2aFacilityCount&gt;=343,F5355=""),"Incomplete","Complete")</f>
        <v>Complete</v>
      </c>
      <c r="I5355" s="48" t="s">
        <v>9720</v>
      </c>
    </row>
    <row r="5356" spans="2:9" ht="15" customHeight="1" x14ac:dyDescent="0.25">
      <c r="B5356" s="55" t="s">
        <v>280</v>
      </c>
      <c r="C5356" s="46">
        <v>344</v>
      </c>
      <c r="D5356" s="69" t="s">
        <v>29417</v>
      </c>
      <c r="E5356" s="51"/>
      <c r="F5356" s="114" t="str">
        <f>IF(INDEX(I.Facility.P2aIDNumber,344)="","",INDEX(I.Facility.P2aIDNumber,344))</f>
        <v/>
      </c>
      <c r="G5356" s="51"/>
      <c r="H5356" s="46" t="str">
        <f>IF(AND(I.Developer.P2a=TRUE,I.Facility.P2aFacilityCount&gt;=344,F5356=""),"Incomplete","Complete")</f>
        <v>Complete</v>
      </c>
      <c r="I5356" s="48" t="s">
        <v>9721</v>
      </c>
    </row>
    <row r="5357" spans="2:9" ht="15" customHeight="1" x14ac:dyDescent="0.25">
      <c r="B5357" s="55" t="s">
        <v>280</v>
      </c>
      <c r="C5357" s="46">
        <v>345</v>
      </c>
      <c r="D5357" s="69" t="s">
        <v>29417</v>
      </c>
      <c r="E5357" s="51"/>
      <c r="F5357" s="114" t="str">
        <f>IF(INDEX(I.Facility.P2aIDNumber,345)="","",INDEX(I.Facility.P2aIDNumber,345))</f>
        <v/>
      </c>
      <c r="G5357" s="51"/>
      <c r="H5357" s="46" t="str">
        <f>IF(AND(I.Developer.P2a=TRUE,I.Facility.P2aFacilityCount&gt;=345,F5357=""),"Incomplete","Complete")</f>
        <v>Complete</v>
      </c>
      <c r="I5357" s="48" t="s">
        <v>9722</v>
      </c>
    </row>
    <row r="5358" spans="2:9" ht="15" customHeight="1" x14ac:dyDescent="0.25">
      <c r="B5358" s="55" t="s">
        <v>280</v>
      </c>
      <c r="C5358" s="46">
        <v>346</v>
      </c>
      <c r="D5358" s="69" t="s">
        <v>29417</v>
      </c>
      <c r="E5358" s="51"/>
      <c r="F5358" s="114" t="str">
        <f>IF(INDEX(I.Facility.P2aIDNumber,346)="","",INDEX(I.Facility.P2aIDNumber,346))</f>
        <v/>
      </c>
      <c r="G5358" s="51"/>
      <c r="H5358" s="46" t="str">
        <f>IF(AND(I.Developer.P2a=TRUE,I.Facility.P2aFacilityCount&gt;=346,F5358=""),"Incomplete","Complete")</f>
        <v>Complete</v>
      </c>
      <c r="I5358" s="48" t="s">
        <v>9723</v>
      </c>
    </row>
    <row r="5359" spans="2:9" ht="15" customHeight="1" x14ac:dyDescent="0.25">
      <c r="B5359" s="55" t="s">
        <v>280</v>
      </c>
      <c r="C5359" s="46">
        <v>347</v>
      </c>
      <c r="D5359" s="69" t="s">
        <v>29417</v>
      </c>
      <c r="E5359" s="51"/>
      <c r="F5359" s="114" t="str">
        <f>IF(INDEX(I.Facility.P2aIDNumber,347)="","",INDEX(I.Facility.P2aIDNumber,347))</f>
        <v/>
      </c>
      <c r="G5359" s="51"/>
      <c r="H5359" s="46" t="str">
        <f>IF(AND(I.Developer.P2a=TRUE,I.Facility.P2aFacilityCount&gt;=347,F5359=""),"Incomplete","Complete")</f>
        <v>Complete</v>
      </c>
      <c r="I5359" s="48" t="s">
        <v>9724</v>
      </c>
    </row>
    <row r="5360" spans="2:9" ht="15" customHeight="1" x14ac:dyDescent="0.25">
      <c r="B5360" s="55" t="s">
        <v>280</v>
      </c>
      <c r="C5360" s="46">
        <v>348</v>
      </c>
      <c r="D5360" s="69" t="s">
        <v>29417</v>
      </c>
      <c r="E5360" s="51"/>
      <c r="F5360" s="114" t="str">
        <f>IF(INDEX(I.Facility.P2aIDNumber,348)="","",INDEX(I.Facility.P2aIDNumber,348))</f>
        <v/>
      </c>
      <c r="G5360" s="51"/>
      <c r="H5360" s="46" t="str">
        <f>IF(AND(I.Developer.P2a=TRUE,I.Facility.P2aFacilityCount&gt;=348,F5360=""),"Incomplete","Complete")</f>
        <v>Complete</v>
      </c>
      <c r="I5360" s="48" t="s">
        <v>9725</v>
      </c>
    </row>
    <row r="5361" spans="2:9" ht="15" customHeight="1" x14ac:dyDescent="0.25">
      <c r="B5361" s="55" t="s">
        <v>280</v>
      </c>
      <c r="C5361" s="46">
        <v>349</v>
      </c>
      <c r="D5361" s="69" t="s">
        <v>29417</v>
      </c>
      <c r="E5361" s="51"/>
      <c r="F5361" s="114" t="str">
        <f>IF(INDEX(I.Facility.P2aIDNumber,349)="","",INDEX(I.Facility.P2aIDNumber,349))</f>
        <v/>
      </c>
      <c r="G5361" s="51"/>
      <c r="H5361" s="46" t="str">
        <f>IF(AND(I.Developer.P2a=TRUE,I.Facility.P2aFacilityCount&gt;=349,F5361=""),"Incomplete","Complete")</f>
        <v>Complete</v>
      </c>
      <c r="I5361" s="48" t="s">
        <v>9726</v>
      </c>
    </row>
    <row r="5362" spans="2:9" ht="15" customHeight="1" x14ac:dyDescent="0.25">
      <c r="B5362" s="55" t="s">
        <v>280</v>
      </c>
      <c r="C5362" s="46">
        <v>350</v>
      </c>
      <c r="D5362" s="69" t="s">
        <v>29417</v>
      </c>
      <c r="E5362" s="51"/>
      <c r="F5362" s="114" t="str">
        <f>IF(INDEX(I.Facility.P2aIDNumber,350)="","",INDEX(I.Facility.P2aIDNumber,350))</f>
        <v/>
      </c>
      <c r="G5362" s="51"/>
      <c r="H5362" s="46" t="str">
        <f>IF(AND(I.Developer.P2a=TRUE,I.Facility.P2aFacilityCount&gt;=350,F5362=""),"Incomplete","Complete")</f>
        <v>Complete</v>
      </c>
      <c r="I5362" s="48" t="s">
        <v>9727</v>
      </c>
    </row>
    <row r="5363" spans="2:9" ht="15" customHeight="1" x14ac:dyDescent="0.25">
      <c r="B5363" s="55" t="s">
        <v>280</v>
      </c>
      <c r="C5363" s="46">
        <v>351</v>
      </c>
      <c r="D5363" s="69" t="s">
        <v>29417</v>
      </c>
      <c r="E5363" s="51"/>
      <c r="F5363" s="114" t="str">
        <f>IF(INDEX(I.Facility.P2aIDNumber,351)="","",INDEX(I.Facility.P2aIDNumber,351))</f>
        <v/>
      </c>
      <c r="G5363" s="51"/>
      <c r="H5363" s="46" t="str">
        <f>IF(AND(I.Developer.P2a=TRUE,I.Facility.P2aFacilityCount&gt;=351,F5363=""),"Incomplete","Complete")</f>
        <v>Complete</v>
      </c>
      <c r="I5363" s="48" t="s">
        <v>9728</v>
      </c>
    </row>
    <row r="5364" spans="2:9" ht="15" customHeight="1" x14ac:dyDescent="0.25">
      <c r="B5364" s="55" t="s">
        <v>280</v>
      </c>
      <c r="C5364" s="46">
        <v>352</v>
      </c>
      <c r="D5364" s="69" t="s">
        <v>29417</v>
      </c>
      <c r="E5364" s="51"/>
      <c r="F5364" s="114" t="str">
        <f>IF(INDEX(I.Facility.P2aIDNumber,352)="","",INDEX(I.Facility.P2aIDNumber,352))</f>
        <v/>
      </c>
      <c r="G5364" s="51"/>
      <c r="H5364" s="46" t="str">
        <f>IF(AND(I.Developer.P2a=TRUE,I.Facility.P2aFacilityCount&gt;=352,F5364=""),"Incomplete","Complete")</f>
        <v>Complete</v>
      </c>
      <c r="I5364" s="48" t="s">
        <v>9729</v>
      </c>
    </row>
    <row r="5365" spans="2:9" ht="15" customHeight="1" x14ac:dyDescent="0.25">
      <c r="B5365" s="55" t="s">
        <v>280</v>
      </c>
      <c r="C5365" s="46">
        <v>353</v>
      </c>
      <c r="D5365" s="69" t="s">
        <v>29417</v>
      </c>
      <c r="E5365" s="51"/>
      <c r="F5365" s="114" t="str">
        <f>IF(INDEX(I.Facility.P2aIDNumber,353)="","",INDEX(I.Facility.P2aIDNumber,353))</f>
        <v/>
      </c>
      <c r="G5365" s="51"/>
      <c r="H5365" s="46" t="str">
        <f>IF(AND(I.Developer.P2a=TRUE,I.Facility.P2aFacilityCount&gt;=353,F5365=""),"Incomplete","Complete")</f>
        <v>Complete</v>
      </c>
      <c r="I5365" s="48" t="s">
        <v>9730</v>
      </c>
    </row>
    <row r="5366" spans="2:9" ht="15" customHeight="1" x14ac:dyDescent="0.25">
      <c r="B5366" s="55" t="s">
        <v>280</v>
      </c>
      <c r="C5366" s="46">
        <v>354</v>
      </c>
      <c r="D5366" s="69" t="s">
        <v>29417</v>
      </c>
      <c r="E5366" s="51"/>
      <c r="F5366" s="114" t="str">
        <f>IF(INDEX(I.Facility.P2aIDNumber,354)="","",INDEX(I.Facility.P2aIDNumber,354))</f>
        <v/>
      </c>
      <c r="G5366" s="51"/>
      <c r="H5366" s="46" t="str">
        <f>IF(AND(I.Developer.P2a=TRUE,I.Facility.P2aFacilityCount&gt;=354,F5366=""),"Incomplete","Complete")</f>
        <v>Complete</v>
      </c>
      <c r="I5366" s="48" t="s">
        <v>9731</v>
      </c>
    </row>
    <row r="5367" spans="2:9" ht="15" customHeight="1" x14ac:dyDescent="0.25">
      <c r="B5367" s="55" t="s">
        <v>280</v>
      </c>
      <c r="C5367" s="46">
        <v>355</v>
      </c>
      <c r="D5367" s="69" t="s">
        <v>29417</v>
      </c>
      <c r="E5367" s="51"/>
      <c r="F5367" s="114" t="str">
        <f>IF(INDEX(I.Facility.P2aIDNumber,355)="","",INDEX(I.Facility.P2aIDNumber,355))</f>
        <v/>
      </c>
      <c r="G5367" s="51"/>
      <c r="H5367" s="46" t="str">
        <f>IF(AND(I.Developer.P2a=TRUE,I.Facility.P2aFacilityCount&gt;=355,F5367=""),"Incomplete","Complete")</f>
        <v>Complete</v>
      </c>
      <c r="I5367" s="48" t="s">
        <v>9732</v>
      </c>
    </row>
    <row r="5368" spans="2:9" ht="15" customHeight="1" x14ac:dyDescent="0.25">
      <c r="B5368" s="55" t="s">
        <v>280</v>
      </c>
      <c r="C5368" s="46">
        <v>356</v>
      </c>
      <c r="D5368" s="69" t="s">
        <v>29417</v>
      </c>
      <c r="E5368" s="51"/>
      <c r="F5368" s="114" t="str">
        <f>IF(INDEX(I.Facility.P2aIDNumber,356)="","",INDEX(I.Facility.P2aIDNumber,356))</f>
        <v/>
      </c>
      <c r="G5368" s="51"/>
      <c r="H5368" s="46" t="str">
        <f>IF(AND(I.Developer.P2a=TRUE,I.Facility.P2aFacilityCount&gt;=356,F5368=""),"Incomplete","Complete")</f>
        <v>Complete</v>
      </c>
      <c r="I5368" s="48" t="s">
        <v>9733</v>
      </c>
    </row>
    <row r="5369" spans="2:9" ht="15" customHeight="1" x14ac:dyDescent="0.25">
      <c r="B5369" s="55" t="s">
        <v>280</v>
      </c>
      <c r="C5369" s="46">
        <v>357</v>
      </c>
      <c r="D5369" s="69" t="s">
        <v>29417</v>
      </c>
      <c r="E5369" s="51"/>
      <c r="F5369" s="114" t="str">
        <f>IF(INDEX(I.Facility.P2aIDNumber,357)="","",INDEX(I.Facility.P2aIDNumber,357))</f>
        <v/>
      </c>
      <c r="G5369" s="51"/>
      <c r="H5369" s="46" t="str">
        <f>IF(AND(I.Developer.P2a=TRUE,I.Facility.P2aFacilityCount&gt;=357,F5369=""),"Incomplete","Complete")</f>
        <v>Complete</v>
      </c>
      <c r="I5369" s="48" t="s">
        <v>9734</v>
      </c>
    </row>
    <row r="5370" spans="2:9" ht="15" customHeight="1" x14ac:dyDescent="0.25">
      <c r="B5370" s="55" t="s">
        <v>280</v>
      </c>
      <c r="C5370" s="46">
        <v>358</v>
      </c>
      <c r="D5370" s="69" t="s">
        <v>29417</v>
      </c>
      <c r="E5370" s="51"/>
      <c r="F5370" s="114" t="str">
        <f>IF(INDEX(I.Facility.P2aIDNumber,358)="","",INDEX(I.Facility.P2aIDNumber,358))</f>
        <v/>
      </c>
      <c r="G5370" s="51"/>
      <c r="H5370" s="46" t="str">
        <f>IF(AND(I.Developer.P2a=TRUE,I.Facility.P2aFacilityCount&gt;=358,F5370=""),"Incomplete","Complete")</f>
        <v>Complete</v>
      </c>
      <c r="I5370" s="48" t="s">
        <v>9735</v>
      </c>
    </row>
    <row r="5371" spans="2:9" ht="15" customHeight="1" x14ac:dyDescent="0.25">
      <c r="B5371" s="55" t="s">
        <v>280</v>
      </c>
      <c r="C5371" s="46">
        <v>359</v>
      </c>
      <c r="D5371" s="69" t="s">
        <v>29417</v>
      </c>
      <c r="E5371" s="51"/>
      <c r="F5371" s="114" t="str">
        <f>IF(INDEX(I.Facility.P2aIDNumber,359)="","",INDEX(I.Facility.P2aIDNumber,359))</f>
        <v/>
      </c>
      <c r="G5371" s="51"/>
      <c r="H5371" s="46" t="str">
        <f>IF(AND(I.Developer.P2a=TRUE,I.Facility.P2aFacilityCount&gt;=359,F5371=""),"Incomplete","Complete")</f>
        <v>Complete</v>
      </c>
      <c r="I5371" s="48" t="s">
        <v>9736</v>
      </c>
    </row>
    <row r="5372" spans="2:9" ht="15" customHeight="1" x14ac:dyDescent="0.25">
      <c r="B5372" s="55" t="s">
        <v>280</v>
      </c>
      <c r="C5372" s="46">
        <v>360</v>
      </c>
      <c r="D5372" s="69" t="s">
        <v>29417</v>
      </c>
      <c r="E5372" s="51"/>
      <c r="F5372" s="114" t="str">
        <f>IF(INDEX(I.Facility.P2aIDNumber,360)="","",INDEX(I.Facility.P2aIDNumber,360))</f>
        <v/>
      </c>
      <c r="G5372" s="51"/>
      <c r="H5372" s="46" t="str">
        <f>IF(AND(I.Developer.P2a=TRUE,I.Facility.P2aFacilityCount&gt;=360,F5372=""),"Incomplete","Complete")</f>
        <v>Complete</v>
      </c>
      <c r="I5372" s="48" t="s">
        <v>9737</v>
      </c>
    </row>
    <row r="5373" spans="2:9" ht="15" customHeight="1" x14ac:dyDescent="0.25">
      <c r="B5373" s="55" t="s">
        <v>280</v>
      </c>
      <c r="C5373" s="46">
        <v>361</v>
      </c>
      <c r="D5373" s="69" t="s">
        <v>29417</v>
      </c>
      <c r="E5373" s="51"/>
      <c r="F5373" s="114" t="str">
        <f>IF(INDEX(I.Facility.P2aIDNumber,361)="","",INDEX(I.Facility.P2aIDNumber,361))</f>
        <v/>
      </c>
      <c r="G5373" s="51"/>
      <c r="H5373" s="46" t="str">
        <f>IF(AND(I.Developer.P2a=TRUE,I.Facility.P2aFacilityCount&gt;=361,F5373=""),"Incomplete","Complete")</f>
        <v>Complete</v>
      </c>
      <c r="I5373" s="48" t="s">
        <v>9738</v>
      </c>
    </row>
    <row r="5374" spans="2:9" ht="15" customHeight="1" x14ac:dyDescent="0.25">
      <c r="B5374" s="55" t="s">
        <v>280</v>
      </c>
      <c r="C5374" s="46">
        <v>362</v>
      </c>
      <c r="D5374" s="69" t="s">
        <v>29417</v>
      </c>
      <c r="E5374" s="51"/>
      <c r="F5374" s="114" t="str">
        <f>IF(INDEX(I.Facility.P2aIDNumber,362)="","",INDEX(I.Facility.P2aIDNumber,362))</f>
        <v/>
      </c>
      <c r="G5374" s="51"/>
      <c r="H5374" s="46" t="str">
        <f>IF(AND(I.Developer.P2a=TRUE,I.Facility.P2aFacilityCount&gt;=362,F5374=""),"Incomplete","Complete")</f>
        <v>Complete</v>
      </c>
      <c r="I5374" s="48" t="s">
        <v>9739</v>
      </c>
    </row>
    <row r="5375" spans="2:9" ht="15" customHeight="1" x14ac:dyDescent="0.25">
      <c r="B5375" s="55" t="s">
        <v>280</v>
      </c>
      <c r="C5375" s="46">
        <v>363</v>
      </c>
      <c r="D5375" s="69" t="s">
        <v>29417</v>
      </c>
      <c r="E5375" s="51"/>
      <c r="F5375" s="114" t="str">
        <f>IF(INDEX(I.Facility.P2aIDNumber,363)="","",INDEX(I.Facility.P2aIDNumber,363))</f>
        <v/>
      </c>
      <c r="G5375" s="51"/>
      <c r="H5375" s="46" t="str">
        <f>IF(AND(I.Developer.P2a=TRUE,I.Facility.P2aFacilityCount&gt;=363,F5375=""),"Incomplete","Complete")</f>
        <v>Complete</v>
      </c>
      <c r="I5375" s="48" t="s">
        <v>9740</v>
      </c>
    </row>
    <row r="5376" spans="2:9" ht="15" customHeight="1" x14ac:dyDescent="0.25">
      <c r="B5376" s="55" t="s">
        <v>280</v>
      </c>
      <c r="C5376" s="46">
        <v>364</v>
      </c>
      <c r="D5376" s="69" t="s">
        <v>29417</v>
      </c>
      <c r="E5376" s="51"/>
      <c r="F5376" s="114" t="str">
        <f>IF(INDEX(I.Facility.P2aIDNumber,364)="","",INDEX(I.Facility.P2aIDNumber,364))</f>
        <v/>
      </c>
      <c r="G5376" s="51"/>
      <c r="H5376" s="46" t="str">
        <f>IF(AND(I.Developer.P2a=TRUE,I.Facility.P2aFacilityCount&gt;=364,F5376=""),"Incomplete","Complete")</f>
        <v>Complete</v>
      </c>
      <c r="I5376" s="48" t="s">
        <v>9741</v>
      </c>
    </row>
    <row r="5377" spans="2:9" ht="15" customHeight="1" x14ac:dyDescent="0.25">
      <c r="B5377" s="55" t="s">
        <v>280</v>
      </c>
      <c r="C5377" s="46">
        <v>365</v>
      </c>
      <c r="D5377" s="69" t="s">
        <v>29417</v>
      </c>
      <c r="E5377" s="51"/>
      <c r="F5377" s="114" t="str">
        <f>IF(INDEX(I.Facility.P2aIDNumber,365)="","",INDEX(I.Facility.P2aIDNumber,365))</f>
        <v/>
      </c>
      <c r="G5377" s="51"/>
      <c r="H5377" s="46" t="str">
        <f>IF(AND(I.Developer.P2a=TRUE,I.Facility.P2aFacilityCount&gt;=365,F5377=""),"Incomplete","Complete")</f>
        <v>Complete</v>
      </c>
      <c r="I5377" s="48" t="s">
        <v>9742</v>
      </c>
    </row>
    <row r="5378" spans="2:9" ht="15" customHeight="1" x14ac:dyDescent="0.25">
      <c r="B5378" s="55" t="s">
        <v>280</v>
      </c>
      <c r="C5378" s="46">
        <v>366</v>
      </c>
      <c r="D5378" s="69" t="s">
        <v>29417</v>
      </c>
      <c r="E5378" s="51"/>
      <c r="F5378" s="114" t="str">
        <f>IF(INDEX(I.Facility.P2aIDNumber,366)="","",INDEX(I.Facility.P2aIDNumber,366))</f>
        <v/>
      </c>
      <c r="G5378" s="51"/>
      <c r="H5378" s="46" t="str">
        <f>IF(AND(I.Developer.P2a=TRUE,I.Facility.P2aFacilityCount&gt;=366,F5378=""),"Incomplete","Complete")</f>
        <v>Complete</v>
      </c>
      <c r="I5378" s="48" t="s">
        <v>9743</v>
      </c>
    </row>
    <row r="5379" spans="2:9" ht="15" customHeight="1" x14ac:dyDescent="0.25">
      <c r="B5379" s="55" t="s">
        <v>280</v>
      </c>
      <c r="C5379" s="46">
        <v>367</v>
      </c>
      <c r="D5379" s="69" t="s">
        <v>29417</v>
      </c>
      <c r="E5379" s="51"/>
      <c r="F5379" s="114" t="str">
        <f>IF(INDEX(I.Facility.P2aIDNumber,367)="","",INDEX(I.Facility.P2aIDNumber,367))</f>
        <v/>
      </c>
      <c r="G5379" s="51"/>
      <c r="H5379" s="46" t="str">
        <f>IF(AND(I.Developer.P2a=TRUE,I.Facility.P2aFacilityCount&gt;=367,F5379=""),"Incomplete","Complete")</f>
        <v>Complete</v>
      </c>
      <c r="I5379" s="48" t="s">
        <v>9744</v>
      </c>
    </row>
    <row r="5380" spans="2:9" ht="15" customHeight="1" x14ac:dyDescent="0.25">
      <c r="B5380" s="55" t="s">
        <v>280</v>
      </c>
      <c r="C5380" s="46">
        <v>368</v>
      </c>
      <c r="D5380" s="69" t="s">
        <v>29417</v>
      </c>
      <c r="E5380" s="51"/>
      <c r="F5380" s="114" t="str">
        <f>IF(INDEX(I.Facility.P2aIDNumber,368)="","",INDEX(I.Facility.P2aIDNumber,368))</f>
        <v/>
      </c>
      <c r="G5380" s="51"/>
      <c r="H5380" s="46" t="str">
        <f>IF(AND(I.Developer.P2a=TRUE,I.Facility.P2aFacilityCount&gt;=368,F5380=""),"Incomplete","Complete")</f>
        <v>Complete</v>
      </c>
      <c r="I5380" s="48" t="s">
        <v>9745</v>
      </c>
    </row>
    <row r="5381" spans="2:9" ht="15" customHeight="1" x14ac:dyDescent="0.25">
      <c r="B5381" s="55" t="s">
        <v>280</v>
      </c>
      <c r="C5381" s="46">
        <v>369</v>
      </c>
      <c r="D5381" s="69" t="s">
        <v>29417</v>
      </c>
      <c r="E5381" s="51"/>
      <c r="F5381" s="114" t="str">
        <f>IF(INDEX(I.Facility.P2aIDNumber,369)="","",INDEX(I.Facility.P2aIDNumber,369))</f>
        <v/>
      </c>
      <c r="G5381" s="51"/>
      <c r="H5381" s="46" t="str">
        <f>IF(AND(I.Developer.P2a=TRUE,I.Facility.P2aFacilityCount&gt;=369,F5381=""),"Incomplete","Complete")</f>
        <v>Complete</v>
      </c>
      <c r="I5381" s="48" t="s">
        <v>9746</v>
      </c>
    </row>
    <row r="5382" spans="2:9" ht="15" customHeight="1" x14ac:dyDescent="0.25">
      <c r="B5382" s="55" t="s">
        <v>280</v>
      </c>
      <c r="C5382" s="46">
        <v>370</v>
      </c>
      <c r="D5382" s="69" t="s">
        <v>29417</v>
      </c>
      <c r="E5382" s="51"/>
      <c r="F5382" s="114" t="str">
        <f>IF(INDEX(I.Facility.P2aIDNumber,370)="","",INDEX(I.Facility.P2aIDNumber,370))</f>
        <v/>
      </c>
      <c r="G5382" s="51"/>
      <c r="H5382" s="46" t="str">
        <f>IF(AND(I.Developer.P2a=TRUE,I.Facility.P2aFacilityCount&gt;=370,F5382=""),"Incomplete","Complete")</f>
        <v>Complete</v>
      </c>
      <c r="I5382" s="48" t="s">
        <v>9747</v>
      </c>
    </row>
    <row r="5383" spans="2:9" ht="15" customHeight="1" x14ac:dyDescent="0.25">
      <c r="B5383" s="55" t="s">
        <v>280</v>
      </c>
      <c r="C5383" s="46">
        <v>371</v>
      </c>
      <c r="D5383" s="69" t="s">
        <v>29417</v>
      </c>
      <c r="E5383" s="51"/>
      <c r="F5383" s="114" t="str">
        <f>IF(INDEX(I.Facility.P2aIDNumber,371)="","",INDEX(I.Facility.P2aIDNumber,371))</f>
        <v/>
      </c>
      <c r="G5383" s="51"/>
      <c r="H5383" s="46" t="str">
        <f>IF(AND(I.Developer.P2a=TRUE,I.Facility.P2aFacilityCount&gt;=371,F5383=""),"Incomplete","Complete")</f>
        <v>Complete</v>
      </c>
      <c r="I5383" s="48" t="s">
        <v>9748</v>
      </c>
    </row>
    <row r="5384" spans="2:9" ht="15" customHeight="1" x14ac:dyDescent="0.25">
      <c r="B5384" s="55" t="s">
        <v>280</v>
      </c>
      <c r="C5384" s="46">
        <v>372</v>
      </c>
      <c r="D5384" s="69" t="s">
        <v>29417</v>
      </c>
      <c r="E5384" s="51"/>
      <c r="F5384" s="114" t="str">
        <f>IF(INDEX(I.Facility.P2aIDNumber,372)="","",INDEX(I.Facility.P2aIDNumber,372))</f>
        <v/>
      </c>
      <c r="G5384" s="51"/>
      <c r="H5384" s="46" t="str">
        <f>IF(AND(I.Developer.P2a=TRUE,I.Facility.P2aFacilityCount&gt;=372,F5384=""),"Incomplete","Complete")</f>
        <v>Complete</v>
      </c>
      <c r="I5384" s="48" t="s">
        <v>9749</v>
      </c>
    </row>
    <row r="5385" spans="2:9" ht="15" customHeight="1" x14ac:dyDescent="0.25">
      <c r="B5385" s="55" t="s">
        <v>280</v>
      </c>
      <c r="C5385" s="46">
        <v>373</v>
      </c>
      <c r="D5385" s="69" t="s">
        <v>29417</v>
      </c>
      <c r="E5385" s="51"/>
      <c r="F5385" s="114" t="str">
        <f>IF(INDEX(I.Facility.P2aIDNumber,373)="","",INDEX(I.Facility.P2aIDNumber,373))</f>
        <v/>
      </c>
      <c r="G5385" s="51"/>
      <c r="H5385" s="46" t="str">
        <f>IF(AND(I.Developer.P2a=TRUE,I.Facility.P2aFacilityCount&gt;=373,F5385=""),"Incomplete","Complete")</f>
        <v>Complete</v>
      </c>
      <c r="I5385" s="48" t="s">
        <v>9750</v>
      </c>
    </row>
    <row r="5386" spans="2:9" ht="15" customHeight="1" x14ac:dyDescent="0.25">
      <c r="B5386" s="55" t="s">
        <v>280</v>
      </c>
      <c r="C5386" s="46">
        <v>374</v>
      </c>
      <c r="D5386" s="69" t="s">
        <v>29417</v>
      </c>
      <c r="E5386" s="51"/>
      <c r="F5386" s="114" t="str">
        <f>IF(INDEX(I.Facility.P2aIDNumber,374)="","",INDEX(I.Facility.P2aIDNumber,374))</f>
        <v/>
      </c>
      <c r="G5386" s="51"/>
      <c r="H5386" s="46" t="str">
        <f>IF(AND(I.Developer.P2a=TRUE,I.Facility.P2aFacilityCount&gt;=374,F5386=""),"Incomplete","Complete")</f>
        <v>Complete</v>
      </c>
      <c r="I5386" s="48" t="s">
        <v>9751</v>
      </c>
    </row>
    <row r="5387" spans="2:9" ht="15" customHeight="1" x14ac:dyDescent="0.25">
      <c r="B5387" s="55" t="s">
        <v>280</v>
      </c>
      <c r="C5387" s="46">
        <v>375</v>
      </c>
      <c r="D5387" s="69" t="s">
        <v>29417</v>
      </c>
      <c r="E5387" s="51"/>
      <c r="F5387" s="114" t="str">
        <f>IF(INDEX(I.Facility.P2aIDNumber,375)="","",INDEX(I.Facility.P2aIDNumber,375))</f>
        <v/>
      </c>
      <c r="G5387" s="51"/>
      <c r="H5387" s="46" t="str">
        <f>IF(AND(I.Developer.P2a=TRUE,I.Facility.P2aFacilityCount&gt;=375,F5387=""),"Incomplete","Complete")</f>
        <v>Complete</v>
      </c>
      <c r="I5387" s="48" t="s">
        <v>9752</v>
      </c>
    </row>
    <row r="5388" spans="2:9" ht="15" customHeight="1" x14ac:dyDescent="0.25">
      <c r="B5388" s="55" t="s">
        <v>280</v>
      </c>
      <c r="C5388" s="46">
        <v>376</v>
      </c>
      <c r="D5388" s="69" t="s">
        <v>29417</v>
      </c>
      <c r="E5388" s="51"/>
      <c r="F5388" s="114" t="str">
        <f>IF(INDEX(I.Facility.P2aIDNumber,376)="","",INDEX(I.Facility.P2aIDNumber,376))</f>
        <v/>
      </c>
      <c r="G5388" s="51"/>
      <c r="H5388" s="46" t="str">
        <f>IF(AND(I.Developer.P2a=TRUE,I.Facility.P2aFacilityCount&gt;=376,F5388=""),"Incomplete","Complete")</f>
        <v>Complete</v>
      </c>
      <c r="I5388" s="48" t="s">
        <v>9753</v>
      </c>
    </row>
    <row r="5389" spans="2:9" ht="15" customHeight="1" x14ac:dyDescent="0.25">
      <c r="B5389" s="55" t="s">
        <v>280</v>
      </c>
      <c r="C5389" s="46">
        <v>377</v>
      </c>
      <c r="D5389" s="69" t="s">
        <v>29417</v>
      </c>
      <c r="E5389" s="51"/>
      <c r="F5389" s="114" t="str">
        <f>IF(INDEX(I.Facility.P2aIDNumber,377)="","",INDEX(I.Facility.P2aIDNumber,377))</f>
        <v/>
      </c>
      <c r="G5389" s="51"/>
      <c r="H5389" s="46" t="str">
        <f>IF(AND(I.Developer.P2a=TRUE,I.Facility.P2aFacilityCount&gt;=377,F5389=""),"Incomplete","Complete")</f>
        <v>Complete</v>
      </c>
      <c r="I5389" s="48" t="s">
        <v>9754</v>
      </c>
    </row>
    <row r="5390" spans="2:9" ht="15" customHeight="1" x14ac:dyDescent="0.25">
      <c r="B5390" s="55" t="s">
        <v>280</v>
      </c>
      <c r="C5390" s="46">
        <v>378</v>
      </c>
      <c r="D5390" s="69" t="s">
        <v>29417</v>
      </c>
      <c r="E5390" s="51"/>
      <c r="F5390" s="114" t="str">
        <f>IF(INDEX(I.Facility.P2aIDNumber,378)="","",INDEX(I.Facility.P2aIDNumber,378))</f>
        <v/>
      </c>
      <c r="G5390" s="51"/>
      <c r="H5390" s="46" t="str">
        <f>IF(AND(I.Developer.P2a=TRUE,I.Facility.P2aFacilityCount&gt;=378,F5390=""),"Incomplete","Complete")</f>
        <v>Complete</v>
      </c>
      <c r="I5390" s="48" t="s">
        <v>9755</v>
      </c>
    </row>
    <row r="5391" spans="2:9" ht="15" customHeight="1" x14ac:dyDescent="0.25">
      <c r="B5391" s="55" t="s">
        <v>280</v>
      </c>
      <c r="C5391" s="46">
        <v>379</v>
      </c>
      <c r="D5391" s="69" t="s">
        <v>29417</v>
      </c>
      <c r="E5391" s="51"/>
      <c r="F5391" s="114" t="str">
        <f>IF(INDEX(I.Facility.P2aIDNumber,379)="","",INDEX(I.Facility.P2aIDNumber,379))</f>
        <v/>
      </c>
      <c r="G5391" s="51"/>
      <c r="H5391" s="46" t="str">
        <f>IF(AND(I.Developer.P2a=TRUE,I.Facility.P2aFacilityCount&gt;=379,F5391=""),"Incomplete","Complete")</f>
        <v>Complete</v>
      </c>
      <c r="I5391" s="48" t="s">
        <v>9756</v>
      </c>
    </row>
    <row r="5392" spans="2:9" ht="15" customHeight="1" x14ac:dyDescent="0.25">
      <c r="B5392" s="55" t="s">
        <v>280</v>
      </c>
      <c r="C5392" s="46">
        <v>380</v>
      </c>
      <c r="D5392" s="69" t="s">
        <v>29417</v>
      </c>
      <c r="E5392" s="51"/>
      <c r="F5392" s="114" t="str">
        <f>IF(INDEX(I.Facility.P2aIDNumber,380)="","",INDEX(I.Facility.P2aIDNumber,380))</f>
        <v/>
      </c>
      <c r="G5392" s="51"/>
      <c r="H5392" s="46" t="str">
        <f>IF(AND(I.Developer.P2a=TRUE,I.Facility.P2aFacilityCount&gt;=380,F5392=""),"Incomplete","Complete")</f>
        <v>Complete</v>
      </c>
      <c r="I5392" s="48" t="s">
        <v>9757</v>
      </c>
    </row>
    <row r="5393" spans="2:9" ht="15" customHeight="1" x14ac:dyDescent="0.25">
      <c r="B5393" s="55" t="s">
        <v>280</v>
      </c>
      <c r="C5393" s="46">
        <v>381</v>
      </c>
      <c r="D5393" s="69" t="s">
        <v>29417</v>
      </c>
      <c r="E5393" s="51"/>
      <c r="F5393" s="114" t="str">
        <f>IF(INDEX(I.Facility.P2aIDNumber,381)="","",INDEX(I.Facility.P2aIDNumber,381))</f>
        <v/>
      </c>
      <c r="G5393" s="51"/>
      <c r="H5393" s="46" t="str">
        <f>IF(AND(I.Developer.P2a=TRUE,I.Facility.P2aFacilityCount&gt;=381,F5393=""),"Incomplete","Complete")</f>
        <v>Complete</v>
      </c>
      <c r="I5393" s="48" t="s">
        <v>9758</v>
      </c>
    </row>
    <row r="5394" spans="2:9" ht="15" customHeight="1" x14ac:dyDescent="0.25">
      <c r="B5394" s="55" t="s">
        <v>280</v>
      </c>
      <c r="C5394" s="46">
        <v>382</v>
      </c>
      <c r="D5394" s="69" t="s">
        <v>29417</v>
      </c>
      <c r="E5394" s="51"/>
      <c r="F5394" s="114" t="str">
        <f>IF(INDEX(I.Facility.P2aIDNumber,382)="","",INDEX(I.Facility.P2aIDNumber,382))</f>
        <v/>
      </c>
      <c r="G5394" s="51"/>
      <c r="H5394" s="46" t="str">
        <f>IF(AND(I.Developer.P2a=TRUE,I.Facility.P2aFacilityCount&gt;=382,F5394=""),"Incomplete","Complete")</f>
        <v>Complete</v>
      </c>
      <c r="I5394" s="48" t="s">
        <v>9759</v>
      </c>
    </row>
    <row r="5395" spans="2:9" ht="15" customHeight="1" x14ac:dyDescent="0.25">
      <c r="B5395" s="55" t="s">
        <v>280</v>
      </c>
      <c r="C5395" s="46">
        <v>383</v>
      </c>
      <c r="D5395" s="69" t="s">
        <v>29417</v>
      </c>
      <c r="E5395" s="51"/>
      <c r="F5395" s="114" t="str">
        <f>IF(INDEX(I.Facility.P2aIDNumber,383)="","",INDEX(I.Facility.P2aIDNumber,383))</f>
        <v/>
      </c>
      <c r="G5395" s="51"/>
      <c r="H5395" s="46" t="str">
        <f>IF(AND(I.Developer.P2a=TRUE,I.Facility.P2aFacilityCount&gt;=383,F5395=""),"Incomplete","Complete")</f>
        <v>Complete</v>
      </c>
      <c r="I5395" s="48" t="s">
        <v>9760</v>
      </c>
    </row>
    <row r="5396" spans="2:9" ht="15" customHeight="1" x14ac:dyDescent="0.25">
      <c r="B5396" s="55" t="s">
        <v>280</v>
      </c>
      <c r="C5396" s="46">
        <v>384</v>
      </c>
      <c r="D5396" s="69" t="s">
        <v>29417</v>
      </c>
      <c r="E5396" s="51"/>
      <c r="F5396" s="114" t="str">
        <f>IF(INDEX(I.Facility.P2aIDNumber,384)="","",INDEX(I.Facility.P2aIDNumber,384))</f>
        <v/>
      </c>
      <c r="G5396" s="51"/>
      <c r="H5396" s="46" t="str">
        <f>IF(AND(I.Developer.P2a=TRUE,I.Facility.P2aFacilityCount&gt;=384,F5396=""),"Incomplete","Complete")</f>
        <v>Complete</v>
      </c>
      <c r="I5396" s="48" t="s">
        <v>9761</v>
      </c>
    </row>
    <row r="5397" spans="2:9" ht="15" customHeight="1" x14ac:dyDescent="0.25">
      <c r="B5397" s="55" t="s">
        <v>280</v>
      </c>
      <c r="C5397" s="46">
        <v>385</v>
      </c>
      <c r="D5397" s="69" t="s">
        <v>29417</v>
      </c>
      <c r="E5397" s="51"/>
      <c r="F5397" s="114" t="str">
        <f>IF(INDEX(I.Facility.P2aIDNumber,385)="","",INDEX(I.Facility.P2aIDNumber,385))</f>
        <v/>
      </c>
      <c r="G5397" s="51"/>
      <c r="H5397" s="46" t="str">
        <f>IF(AND(I.Developer.P2a=TRUE,I.Facility.P2aFacilityCount&gt;=385,F5397=""),"Incomplete","Complete")</f>
        <v>Complete</v>
      </c>
      <c r="I5397" s="48" t="s">
        <v>9762</v>
      </c>
    </row>
    <row r="5398" spans="2:9" ht="15" customHeight="1" x14ac:dyDescent="0.25">
      <c r="B5398" s="55" t="s">
        <v>280</v>
      </c>
      <c r="C5398" s="46">
        <v>386</v>
      </c>
      <c r="D5398" s="69" t="s">
        <v>29417</v>
      </c>
      <c r="E5398" s="51"/>
      <c r="F5398" s="114" t="str">
        <f>IF(INDEX(I.Facility.P2aIDNumber,386)="","",INDEX(I.Facility.P2aIDNumber,386))</f>
        <v/>
      </c>
      <c r="G5398" s="51"/>
      <c r="H5398" s="46" t="str">
        <f>IF(AND(I.Developer.P2a=TRUE,I.Facility.P2aFacilityCount&gt;=386,F5398=""),"Incomplete","Complete")</f>
        <v>Complete</v>
      </c>
      <c r="I5398" s="48" t="s">
        <v>9763</v>
      </c>
    </row>
    <row r="5399" spans="2:9" ht="15" customHeight="1" x14ac:dyDescent="0.25">
      <c r="B5399" s="55" t="s">
        <v>280</v>
      </c>
      <c r="C5399" s="46">
        <v>387</v>
      </c>
      <c r="D5399" s="69" t="s">
        <v>29417</v>
      </c>
      <c r="E5399" s="51"/>
      <c r="F5399" s="114" t="str">
        <f>IF(INDEX(I.Facility.P2aIDNumber,387)="","",INDEX(I.Facility.P2aIDNumber,387))</f>
        <v/>
      </c>
      <c r="G5399" s="51"/>
      <c r="H5399" s="46" t="str">
        <f>IF(AND(I.Developer.P2a=TRUE,I.Facility.P2aFacilityCount&gt;=387,F5399=""),"Incomplete","Complete")</f>
        <v>Complete</v>
      </c>
      <c r="I5399" s="48" t="s">
        <v>9764</v>
      </c>
    </row>
    <row r="5400" spans="2:9" ht="15" customHeight="1" x14ac:dyDescent="0.25">
      <c r="B5400" s="55" t="s">
        <v>280</v>
      </c>
      <c r="C5400" s="46">
        <v>388</v>
      </c>
      <c r="D5400" s="69" t="s">
        <v>29417</v>
      </c>
      <c r="E5400" s="51"/>
      <c r="F5400" s="114" t="str">
        <f>IF(INDEX(I.Facility.P2aIDNumber,388)="","",INDEX(I.Facility.P2aIDNumber,388))</f>
        <v/>
      </c>
      <c r="G5400" s="51"/>
      <c r="H5400" s="46" t="str">
        <f>IF(AND(I.Developer.P2a=TRUE,I.Facility.P2aFacilityCount&gt;=388,F5400=""),"Incomplete","Complete")</f>
        <v>Complete</v>
      </c>
      <c r="I5400" s="48" t="s">
        <v>9765</v>
      </c>
    </row>
    <row r="5401" spans="2:9" ht="15" customHeight="1" x14ac:dyDescent="0.25">
      <c r="B5401" s="55" t="s">
        <v>280</v>
      </c>
      <c r="C5401" s="46">
        <v>389</v>
      </c>
      <c r="D5401" s="69" t="s">
        <v>29417</v>
      </c>
      <c r="E5401" s="51"/>
      <c r="F5401" s="114" t="str">
        <f>IF(INDEX(I.Facility.P2aIDNumber,389)="","",INDEX(I.Facility.P2aIDNumber,389))</f>
        <v/>
      </c>
      <c r="G5401" s="51"/>
      <c r="H5401" s="46" t="str">
        <f>IF(AND(I.Developer.P2a=TRUE,I.Facility.P2aFacilityCount&gt;=389,F5401=""),"Incomplete","Complete")</f>
        <v>Complete</v>
      </c>
      <c r="I5401" s="48" t="s">
        <v>9766</v>
      </c>
    </row>
    <row r="5402" spans="2:9" ht="15" customHeight="1" x14ac:dyDescent="0.25">
      <c r="B5402" s="55" t="s">
        <v>280</v>
      </c>
      <c r="C5402" s="46">
        <v>390</v>
      </c>
      <c r="D5402" s="69" t="s">
        <v>29417</v>
      </c>
      <c r="E5402" s="51"/>
      <c r="F5402" s="114" t="str">
        <f>IF(INDEX(I.Facility.P2aIDNumber,390)="","",INDEX(I.Facility.P2aIDNumber,390))</f>
        <v/>
      </c>
      <c r="G5402" s="51"/>
      <c r="H5402" s="46" t="str">
        <f>IF(AND(I.Developer.P2a=TRUE,I.Facility.P2aFacilityCount&gt;=390,F5402=""),"Incomplete","Complete")</f>
        <v>Complete</v>
      </c>
      <c r="I5402" s="48" t="s">
        <v>9767</v>
      </c>
    </row>
    <row r="5403" spans="2:9" ht="15" customHeight="1" x14ac:dyDescent="0.25">
      <c r="B5403" s="55" t="s">
        <v>280</v>
      </c>
      <c r="C5403" s="46">
        <v>391</v>
      </c>
      <c r="D5403" s="69" t="s">
        <v>29417</v>
      </c>
      <c r="E5403" s="51"/>
      <c r="F5403" s="114" t="str">
        <f>IF(INDEX(I.Facility.P2aIDNumber,391)="","",INDEX(I.Facility.P2aIDNumber,391))</f>
        <v/>
      </c>
      <c r="G5403" s="51"/>
      <c r="H5403" s="46" t="str">
        <f>IF(AND(I.Developer.P2a=TRUE,I.Facility.P2aFacilityCount&gt;=391,F5403=""),"Incomplete","Complete")</f>
        <v>Complete</v>
      </c>
      <c r="I5403" s="48" t="s">
        <v>9768</v>
      </c>
    </row>
    <row r="5404" spans="2:9" ht="15" customHeight="1" x14ac:dyDescent="0.25">
      <c r="B5404" s="55" t="s">
        <v>280</v>
      </c>
      <c r="C5404" s="46">
        <v>392</v>
      </c>
      <c r="D5404" s="69" t="s">
        <v>29417</v>
      </c>
      <c r="E5404" s="51"/>
      <c r="F5404" s="114" t="str">
        <f>IF(INDEX(I.Facility.P2aIDNumber,392)="","",INDEX(I.Facility.P2aIDNumber,392))</f>
        <v/>
      </c>
      <c r="G5404" s="51"/>
      <c r="H5404" s="46" t="str">
        <f>IF(AND(I.Developer.P2a=TRUE,I.Facility.P2aFacilityCount&gt;=392,F5404=""),"Incomplete","Complete")</f>
        <v>Complete</v>
      </c>
      <c r="I5404" s="48" t="s">
        <v>9769</v>
      </c>
    </row>
    <row r="5405" spans="2:9" ht="15" customHeight="1" x14ac:dyDescent="0.25">
      <c r="B5405" s="55" t="s">
        <v>280</v>
      </c>
      <c r="C5405" s="46">
        <v>393</v>
      </c>
      <c r="D5405" s="69" t="s">
        <v>29417</v>
      </c>
      <c r="E5405" s="51"/>
      <c r="F5405" s="114" t="str">
        <f>IF(INDEX(I.Facility.P2aIDNumber,393)="","",INDEX(I.Facility.P2aIDNumber,393))</f>
        <v/>
      </c>
      <c r="G5405" s="51"/>
      <c r="H5405" s="46" t="str">
        <f>IF(AND(I.Developer.P2a=TRUE,I.Facility.P2aFacilityCount&gt;=393,F5405=""),"Incomplete","Complete")</f>
        <v>Complete</v>
      </c>
      <c r="I5405" s="48" t="s">
        <v>9770</v>
      </c>
    </row>
    <row r="5406" spans="2:9" ht="15" customHeight="1" x14ac:dyDescent="0.25">
      <c r="B5406" s="55" t="s">
        <v>280</v>
      </c>
      <c r="C5406" s="46">
        <v>394</v>
      </c>
      <c r="D5406" s="69" t="s">
        <v>29417</v>
      </c>
      <c r="E5406" s="51"/>
      <c r="F5406" s="114" t="str">
        <f>IF(INDEX(I.Facility.P2aIDNumber,394)="","",INDEX(I.Facility.P2aIDNumber,394))</f>
        <v/>
      </c>
      <c r="G5406" s="51"/>
      <c r="H5406" s="46" t="str">
        <f>IF(AND(I.Developer.P2a=TRUE,I.Facility.P2aFacilityCount&gt;=394,F5406=""),"Incomplete","Complete")</f>
        <v>Complete</v>
      </c>
      <c r="I5406" s="48" t="s">
        <v>9771</v>
      </c>
    </row>
    <row r="5407" spans="2:9" ht="15" customHeight="1" x14ac:dyDescent="0.25">
      <c r="B5407" s="55" t="s">
        <v>280</v>
      </c>
      <c r="C5407" s="46">
        <v>395</v>
      </c>
      <c r="D5407" s="69" t="s">
        <v>29417</v>
      </c>
      <c r="E5407" s="51"/>
      <c r="F5407" s="114" t="str">
        <f>IF(INDEX(I.Facility.P2aIDNumber,395)="","",INDEX(I.Facility.P2aIDNumber,395))</f>
        <v/>
      </c>
      <c r="G5407" s="51"/>
      <c r="H5407" s="46" t="str">
        <f>IF(AND(I.Developer.P2a=TRUE,I.Facility.P2aFacilityCount&gt;=395,F5407=""),"Incomplete","Complete")</f>
        <v>Complete</v>
      </c>
      <c r="I5407" s="48" t="s">
        <v>9772</v>
      </c>
    </row>
    <row r="5408" spans="2:9" ht="15" customHeight="1" x14ac:dyDescent="0.25">
      <c r="B5408" s="55" t="s">
        <v>280</v>
      </c>
      <c r="C5408" s="46">
        <v>396</v>
      </c>
      <c r="D5408" s="69" t="s">
        <v>29417</v>
      </c>
      <c r="E5408" s="51"/>
      <c r="F5408" s="114" t="str">
        <f>IF(INDEX(I.Facility.P2aIDNumber,396)="","",INDEX(I.Facility.P2aIDNumber,396))</f>
        <v/>
      </c>
      <c r="G5408" s="51"/>
      <c r="H5408" s="46" t="str">
        <f>IF(AND(I.Developer.P2a=TRUE,I.Facility.P2aFacilityCount&gt;=396,F5408=""),"Incomplete","Complete")</f>
        <v>Complete</v>
      </c>
      <c r="I5408" s="48" t="s">
        <v>9773</v>
      </c>
    </row>
    <row r="5409" spans="2:9" ht="15" customHeight="1" x14ac:dyDescent="0.25">
      <c r="B5409" s="55" t="s">
        <v>280</v>
      </c>
      <c r="C5409" s="46">
        <v>397</v>
      </c>
      <c r="D5409" s="69" t="s">
        <v>29417</v>
      </c>
      <c r="E5409" s="51"/>
      <c r="F5409" s="114" t="str">
        <f>IF(INDEX(I.Facility.P2aIDNumber,397)="","",INDEX(I.Facility.P2aIDNumber,397))</f>
        <v/>
      </c>
      <c r="G5409" s="51"/>
      <c r="H5409" s="46" t="str">
        <f>IF(AND(I.Developer.P2a=TRUE,I.Facility.P2aFacilityCount&gt;=397,F5409=""),"Incomplete","Complete")</f>
        <v>Complete</v>
      </c>
      <c r="I5409" s="48" t="s">
        <v>9774</v>
      </c>
    </row>
    <row r="5410" spans="2:9" ht="15" customHeight="1" x14ac:dyDescent="0.25">
      <c r="B5410" s="55" t="s">
        <v>280</v>
      </c>
      <c r="C5410" s="46">
        <v>398</v>
      </c>
      <c r="D5410" s="69" t="s">
        <v>29417</v>
      </c>
      <c r="E5410" s="51"/>
      <c r="F5410" s="114" t="str">
        <f>IF(INDEX(I.Facility.P2aIDNumber,398)="","",INDEX(I.Facility.P2aIDNumber,398))</f>
        <v/>
      </c>
      <c r="G5410" s="51"/>
      <c r="H5410" s="46" t="str">
        <f>IF(AND(I.Developer.P2a=TRUE,I.Facility.P2aFacilityCount&gt;=398,F5410=""),"Incomplete","Complete")</f>
        <v>Complete</v>
      </c>
      <c r="I5410" s="48" t="s">
        <v>9775</v>
      </c>
    </row>
    <row r="5411" spans="2:9" ht="15" customHeight="1" x14ac:dyDescent="0.25">
      <c r="B5411" s="55" t="s">
        <v>280</v>
      </c>
      <c r="C5411" s="46">
        <v>399</v>
      </c>
      <c r="D5411" s="69" t="s">
        <v>29417</v>
      </c>
      <c r="E5411" s="51"/>
      <c r="F5411" s="114" t="str">
        <f>IF(INDEX(I.Facility.P2aIDNumber,399)="","",INDEX(I.Facility.P2aIDNumber,399))</f>
        <v/>
      </c>
      <c r="G5411" s="51"/>
      <c r="H5411" s="46" t="str">
        <f>IF(AND(I.Developer.P2a=TRUE,I.Facility.P2aFacilityCount&gt;=399,F5411=""),"Incomplete","Complete")</f>
        <v>Complete</v>
      </c>
      <c r="I5411" s="48" t="s">
        <v>9776</v>
      </c>
    </row>
    <row r="5412" spans="2:9" ht="15" customHeight="1" x14ac:dyDescent="0.25">
      <c r="B5412" s="55" t="s">
        <v>280</v>
      </c>
      <c r="C5412" s="46">
        <v>400</v>
      </c>
      <c r="D5412" s="69" t="s">
        <v>29417</v>
      </c>
      <c r="E5412" s="51"/>
      <c r="F5412" s="114" t="str">
        <f>IF(INDEX(I.Facility.P2aIDNumber,400)="","",INDEX(I.Facility.P2aIDNumber,400))</f>
        <v/>
      </c>
      <c r="G5412" s="51"/>
      <c r="H5412" s="46" t="str">
        <f>IF(AND(I.Developer.P2a=TRUE,I.Facility.P2aFacilityCount&gt;=400,F5412=""),"Incomplete","Complete")</f>
        <v>Complete</v>
      </c>
      <c r="I5412" s="48" t="s">
        <v>9777</v>
      </c>
    </row>
    <row r="5413" spans="2:9" ht="15" customHeight="1" x14ac:dyDescent="0.25">
      <c r="B5413" s="55" t="s">
        <v>280</v>
      </c>
      <c r="C5413" s="46">
        <v>401</v>
      </c>
      <c r="D5413" s="69" t="s">
        <v>29417</v>
      </c>
      <c r="E5413" s="51"/>
      <c r="F5413" s="114" t="str">
        <f>IF(INDEX(I.Facility.P2aIDNumber,401)="","",INDEX(I.Facility.P2aIDNumber,401))</f>
        <v/>
      </c>
      <c r="G5413" s="51"/>
      <c r="H5413" s="46" t="str">
        <f>IF(AND(I.Developer.P2a=TRUE,I.Facility.P2aFacilityCount&gt;=401,F5413=""),"Incomplete","Complete")</f>
        <v>Complete</v>
      </c>
      <c r="I5413" s="48" t="s">
        <v>9778</v>
      </c>
    </row>
    <row r="5414" spans="2:9" ht="15" customHeight="1" x14ac:dyDescent="0.25">
      <c r="B5414" s="55" t="s">
        <v>280</v>
      </c>
      <c r="C5414" s="46">
        <v>402</v>
      </c>
      <c r="D5414" s="69" t="s">
        <v>29417</v>
      </c>
      <c r="E5414" s="51"/>
      <c r="F5414" s="114" t="str">
        <f>IF(INDEX(I.Facility.P2aIDNumber,402)="","",INDEX(I.Facility.P2aIDNumber,402))</f>
        <v/>
      </c>
      <c r="G5414" s="51"/>
      <c r="H5414" s="46" t="str">
        <f>IF(AND(I.Developer.P2a=TRUE,I.Facility.P2aFacilityCount&gt;=402,F5414=""),"Incomplete","Complete")</f>
        <v>Complete</v>
      </c>
      <c r="I5414" s="48" t="s">
        <v>9779</v>
      </c>
    </row>
    <row r="5415" spans="2:9" ht="15" customHeight="1" x14ac:dyDescent="0.25">
      <c r="B5415" s="55" t="s">
        <v>280</v>
      </c>
      <c r="C5415" s="46">
        <v>403</v>
      </c>
      <c r="D5415" s="69" t="s">
        <v>29417</v>
      </c>
      <c r="E5415" s="51"/>
      <c r="F5415" s="114" t="str">
        <f>IF(INDEX(I.Facility.P2aIDNumber,403)="","",INDEX(I.Facility.P2aIDNumber,403))</f>
        <v/>
      </c>
      <c r="G5415" s="51"/>
      <c r="H5415" s="46" t="str">
        <f>IF(AND(I.Developer.P2a=TRUE,I.Facility.P2aFacilityCount&gt;=403,F5415=""),"Incomplete","Complete")</f>
        <v>Complete</v>
      </c>
      <c r="I5415" s="48" t="s">
        <v>9780</v>
      </c>
    </row>
    <row r="5416" spans="2:9" ht="15" customHeight="1" x14ac:dyDescent="0.25">
      <c r="B5416" s="55" t="s">
        <v>280</v>
      </c>
      <c r="C5416" s="46">
        <v>404</v>
      </c>
      <c r="D5416" s="69" t="s">
        <v>29417</v>
      </c>
      <c r="E5416" s="51"/>
      <c r="F5416" s="114" t="str">
        <f>IF(INDEX(I.Facility.P2aIDNumber,404)="","",INDEX(I.Facility.P2aIDNumber,404))</f>
        <v/>
      </c>
      <c r="G5416" s="51"/>
      <c r="H5416" s="46" t="str">
        <f>IF(AND(I.Developer.P2a=TRUE,I.Facility.P2aFacilityCount&gt;=404,F5416=""),"Incomplete","Complete")</f>
        <v>Complete</v>
      </c>
      <c r="I5416" s="48" t="s">
        <v>9781</v>
      </c>
    </row>
    <row r="5417" spans="2:9" ht="15" customHeight="1" x14ac:dyDescent="0.25">
      <c r="B5417" s="55" t="s">
        <v>280</v>
      </c>
      <c r="C5417" s="46">
        <v>405</v>
      </c>
      <c r="D5417" s="69" t="s">
        <v>29417</v>
      </c>
      <c r="E5417" s="51"/>
      <c r="F5417" s="114" t="str">
        <f>IF(INDEX(I.Facility.P2aIDNumber,405)="","",INDEX(I.Facility.P2aIDNumber,405))</f>
        <v/>
      </c>
      <c r="G5417" s="51"/>
      <c r="H5417" s="46" t="str">
        <f>IF(AND(I.Developer.P2a=TRUE,I.Facility.P2aFacilityCount&gt;=405,F5417=""),"Incomplete","Complete")</f>
        <v>Complete</v>
      </c>
      <c r="I5417" s="48" t="s">
        <v>9782</v>
      </c>
    </row>
    <row r="5418" spans="2:9" ht="15" customHeight="1" x14ac:dyDescent="0.25">
      <c r="B5418" s="55" t="s">
        <v>280</v>
      </c>
      <c r="C5418" s="46">
        <v>406</v>
      </c>
      <c r="D5418" s="69" t="s">
        <v>29417</v>
      </c>
      <c r="E5418" s="51"/>
      <c r="F5418" s="114" t="str">
        <f>IF(INDEX(I.Facility.P2aIDNumber,406)="","",INDEX(I.Facility.P2aIDNumber,406))</f>
        <v/>
      </c>
      <c r="G5418" s="51"/>
      <c r="H5418" s="46" t="str">
        <f>IF(AND(I.Developer.P2a=TRUE,I.Facility.P2aFacilityCount&gt;=406,F5418=""),"Incomplete","Complete")</f>
        <v>Complete</v>
      </c>
      <c r="I5418" s="48" t="s">
        <v>9783</v>
      </c>
    </row>
    <row r="5419" spans="2:9" ht="15" customHeight="1" x14ac:dyDescent="0.25">
      <c r="B5419" s="55" t="s">
        <v>280</v>
      </c>
      <c r="C5419" s="46">
        <v>407</v>
      </c>
      <c r="D5419" s="69" t="s">
        <v>29417</v>
      </c>
      <c r="E5419" s="51"/>
      <c r="F5419" s="114" t="str">
        <f>IF(INDEX(I.Facility.P2aIDNumber,407)="","",INDEX(I.Facility.P2aIDNumber,407))</f>
        <v/>
      </c>
      <c r="G5419" s="51"/>
      <c r="H5419" s="46" t="str">
        <f>IF(AND(I.Developer.P2a=TRUE,I.Facility.P2aFacilityCount&gt;=407,F5419=""),"Incomplete","Complete")</f>
        <v>Complete</v>
      </c>
      <c r="I5419" s="48" t="s">
        <v>9784</v>
      </c>
    </row>
    <row r="5420" spans="2:9" ht="15" customHeight="1" x14ac:dyDescent="0.25">
      <c r="B5420" s="55" t="s">
        <v>280</v>
      </c>
      <c r="C5420" s="46">
        <v>408</v>
      </c>
      <c r="D5420" s="69" t="s">
        <v>29417</v>
      </c>
      <c r="E5420" s="51"/>
      <c r="F5420" s="114" t="str">
        <f>IF(INDEX(I.Facility.P2aIDNumber,408)="","",INDEX(I.Facility.P2aIDNumber,408))</f>
        <v/>
      </c>
      <c r="G5420" s="51"/>
      <c r="H5420" s="46" t="str">
        <f>IF(AND(I.Developer.P2a=TRUE,I.Facility.P2aFacilityCount&gt;=408,F5420=""),"Incomplete","Complete")</f>
        <v>Complete</v>
      </c>
      <c r="I5420" s="48" t="s">
        <v>9785</v>
      </c>
    </row>
    <row r="5421" spans="2:9" ht="15" customHeight="1" x14ac:dyDescent="0.25">
      <c r="B5421" s="55" t="s">
        <v>280</v>
      </c>
      <c r="C5421" s="46">
        <v>409</v>
      </c>
      <c r="D5421" s="69" t="s">
        <v>29417</v>
      </c>
      <c r="E5421" s="51"/>
      <c r="F5421" s="114" t="str">
        <f>IF(INDEX(I.Facility.P2aIDNumber,409)="","",INDEX(I.Facility.P2aIDNumber,409))</f>
        <v/>
      </c>
      <c r="G5421" s="51"/>
      <c r="H5421" s="46" t="str">
        <f>IF(AND(I.Developer.P2a=TRUE,I.Facility.P2aFacilityCount&gt;=409,F5421=""),"Incomplete","Complete")</f>
        <v>Complete</v>
      </c>
      <c r="I5421" s="48" t="s">
        <v>9786</v>
      </c>
    </row>
    <row r="5422" spans="2:9" ht="15" customHeight="1" x14ac:dyDescent="0.25">
      <c r="B5422" s="55" t="s">
        <v>280</v>
      </c>
      <c r="C5422" s="46">
        <v>410</v>
      </c>
      <c r="D5422" s="69" t="s">
        <v>29417</v>
      </c>
      <c r="E5422" s="51"/>
      <c r="F5422" s="114" t="str">
        <f>IF(INDEX(I.Facility.P2aIDNumber,410)="","",INDEX(I.Facility.P2aIDNumber,410))</f>
        <v/>
      </c>
      <c r="G5422" s="51"/>
      <c r="H5422" s="46" t="str">
        <f>IF(AND(I.Developer.P2a=TRUE,I.Facility.P2aFacilityCount&gt;=410,F5422=""),"Incomplete","Complete")</f>
        <v>Complete</v>
      </c>
      <c r="I5422" s="48" t="s">
        <v>9787</v>
      </c>
    </row>
    <row r="5423" spans="2:9" ht="15" customHeight="1" x14ac:dyDescent="0.25">
      <c r="B5423" s="55" t="s">
        <v>280</v>
      </c>
      <c r="C5423" s="46">
        <v>411</v>
      </c>
      <c r="D5423" s="69" t="s">
        <v>29417</v>
      </c>
      <c r="E5423" s="51"/>
      <c r="F5423" s="114" t="str">
        <f>IF(INDEX(I.Facility.P2aIDNumber,411)="","",INDEX(I.Facility.P2aIDNumber,411))</f>
        <v/>
      </c>
      <c r="G5423" s="51"/>
      <c r="H5423" s="46" t="str">
        <f>IF(AND(I.Developer.P2a=TRUE,I.Facility.P2aFacilityCount&gt;=411,F5423=""),"Incomplete","Complete")</f>
        <v>Complete</v>
      </c>
      <c r="I5423" s="48" t="s">
        <v>9788</v>
      </c>
    </row>
    <row r="5424" spans="2:9" ht="15" customHeight="1" x14ac:dyDescent="0.25">
      <c r="B5424" s="55" t="s">
        <v>280</v>
      </c>
      <c r="C5424" s="46">
        <v>412</v>
      </c>
      <c r="D5424" s="69" t="s">
        <v>29417</v>
      </c>
      <c r="E5424" s="51"/>
      <c r="F5424" s="114" t="str">
        <f>IF(INDEX(I.Facility.P2aIDNumber,412)="","",INDEX(I.Facility.P2aIDNumber,412))</f>
        <v/>
      </c>
      <c r="G5424" s="51"/>
      <c r="H5424" s="46" t="str">
        <f>IF(AND(I.Developer.P2a=TRUE,I.Facility.P2aFacilityCount&gt;=412,F5424=""),"Incomplete","Complete")</f>
        <v>Complete</v>
      </c>
      <c r="I5424" s="48" t="s">
        <v>9789</v>
      </c>
    </row>
    <row r="5425" spans="2:9" ht="15" customHeight="1" x14ac:dyDescent="0.25">
      <c r="B5425" s="55" t="s">
        <v>280</v>
      </c>
      <c r="C5425" s="46">
        <v>413</v>
      </c>
      <c r="D5425" s="69" t="s">
        <v>29417</v>
      </c>
      <c r="E5425" s="51"/>
      <c r="F5425" s="114" t="str">
        <f>IF(INDEX(I.Facility.P2aIDNumber,413)="","",INDEX(I.Facility.P2aIDNumber,413))</f>
        <v/>
      </c>
      <c r="G5425" s="51"/>
      <c r="H5425" s="46" t="str">
        <f>IF(AND(I.Developer.P2a=TRUE,I.Facility.P2aFacilityCount&gt;=413,F5425=""),"Incomplete","Complete")</f>
        <v>Complete</v>
      </c>
      <c r="I5425" s="48" t="s">
        <v>9790</v>
      </c>
    </row>
    <row r="5426" spans="2:9" ht="15" customHeight="1" x14ac:dyDescent="0.25">
      <c r="B5426" s="55" t="s">
        <v>280</v>
      </c>
      <c r="C5426" s="46">
        <v>414</v>
      </c>
      <c r="D5426" s="69" t="s">
        <v>29417</v>
      </c>
      <c r="E5426" s="51"/>
      <c r="F5426" s="114" t="str">
        <f>IF(INDEX(I.Facility.P2aIDNumber,414)="","",INDEX(I.Facility.P2aIDNumber,414))</f>
        <v/>
      </c>
      <c r="G5426" s="51"/>
      <c r="H5426" s="46" t="str">
        <f>IF(AND(I.Developer.P2a=TRUE,I.Facility.P2aFacilityCount&gt;=414,F5426=""),"Incomplete","Complete")</f>
        <v>Complete</v>
      </c>
      <c r="I5426" s="48" t="s">
        <v>9791</v>
      </c>
    </row>
    <row r="5427" spans="2:9" ht="15" customHeight="1" x14ac:dyDescent="0.25">
      <c r="B5427" s="55" t="s">
        <v>280</v>
      </c>
      <c r="C5427" s="46">
        <v>415</v>
      </c>
      <c r="D5427" s="69" t="s">
        <v>29417</v>
      </c>
      <c r="E5427" s="51"/>
      <c r="F5427" s="114" t="str">
        <f>IF(INDEX(I.Facility.P2aIDNumber,415)="","",INDEX(I.Facility.P2aIDNumber,415))</f>
        <v/>
      </c>
      <c r="G5427" s="51"/>
      <c r="H5427" s="46" t="str">
        <f>IF(AND(I.Developer.P2a=TRUE,I.Facility.P2aFacilityCount&gt;=415,F5427=""),"Incomplete","Complete")</f>
        <v>Complete</v>
      </c>
      <c r="I5427" s="48" t="s">
        <v>9792</v>
      </c>
    </row>
    <row r="5428" spans="2:9" ht="15" customHeight="1" x14ac:dyDescent="0.25">
      <c r="B5428" s="55" t="s">
        <v>280</v>
      </c>
      <c r="C5428" s="46">
        <v>416</v>
      </c>
      <c r="D5428" s="69" t="s">
        <v>29417</v>
      </c>
      <c r="E5428" s="51"/>
      <c r="F5428" s="114" t="str">
        <f>IF(INDEX(I.Facility.P2aIDNumber,416)="","",INDEX(I.Facility.P2aIDNumber,416))</f>
        <v/>
      </c>
      <c r="G5428" s="51"/>
      <c r="H5428" s="46" t="str">
        <f>IF(AND(I.Developer.P2a=TRUE,I.Facility.P2aFacilityCount&gt;=416,F5428=""),"Incomplete","Complete")</f>
        <v>Complete</v>
      </c>
      <c r="I5428" s="48" t="s">
        <v>9793</v>
      </c>
    </row>
    <row r="5429" spans="2:9" ht="15" customHeight="1" x14ac:dyDescent="0.25">
      <c r="B5429" s="55" t="s">
        <v>280</v>
      </c>
      <c r="C5429" s="46">
        <v>417</v>
      </c>
      <c r="D5429" s="69" t="s">
        <v>29417</v>
      </c>
      <c r="E5429" s="51"/>
      <c r="F5429" s="114" t="str">
        <f>IF(INDEX(I.Facility.P2aIDNumber,417)="","",INDEX(I.Facility.P2aIDNumber,417))</f>
        <v/>
      </c>
      <c r="G5429" s="51"/>
      <c r="H5429" s="46" t="str">
        <f>IF(AND(I.Developer.P2a=TRUE,I.Facility.P2aFacilityCount&gt;=417,F5429=""),"Incomplete","Complete")</f>
        <v>Complete</v>
      </c>
      <c r="I5429" s="48" t="s">
        <v>9794</v>
      </c>
    </row>
    <row r="5430" spans="2:9" ht="15" customHeight="1" x14ac:dyDescent="0.25">
      <c r="B5430" s="55" t="s">
        <v>280</v>
      </c>
      <c r="C5430" s="46">
        <v>418</v>
      </c>
      <c r="D5430" s="69" t="s">
        <v>29417</v>
      </c>
      <c r="E5430" s="51"/>
      <c r="F5430" s="114" t="str">
        <f>IF(INDEX(I.Facility.P2aIDNumber,418)="","",INDEX(I.Facility.P2aIDNumber,418))</f>
        <v/>
      </c>
      <c r="G5430" s="51"/>
      <c r="H5430" s="46" t="str">
        <f>IF(AND(I.Developer.P2a=TRUE,I.Facility.P2aFacilityCount&gt;=418,F5430=""),"Incomplete","Complete")</f>
        <v>Complete</v>
      </c>
      <c r="I5430" s="48" t="s">
        <v>9795</v>
      </c>
    </row>
    <row r="5431" spans="2:9" ht="15" customHeight="1" x14ac:dyDescent="0.25">
      <c r="B5431" s="55" t="s">
        <v>280</v>
      </c>
      <c r="C5431" s="46">
        <v>419</v>
      </c>
      <c r="D5431" s="69" t="s">
        <v>29417</v>
      </c>
      <c r="E5431" s="51"/>
      <c r="F5431" s="114" t="str">
        <f>IF(INDEX(I.Facility.P2aIDNumber,419)="","",INDEX(I.Facility.P2aIDNumber,419))</f>
        <v/>
      </c>
      <c r="G5431" s="51"/>
      <c r="H5431" s="46" t="str">
        <f>IF(AND(I.Developer.P2a=TRUE,I.Facility.P2aFacilityCount&gt;=419,F5431=""),"Incomplete","Complete")</f>
        <v>Complete</v>
      </c>
      <c r="I5431" s="48" t="s">
        <v>9796</v>
      </c>
    </row>
    <row r="5432" spans="2:9" ht="15" customHeight="1" x14ac:dyDescent="0.25">
      <c r="B5432" s="55" t="s">
        <v>280</v>
      </c>
      <c r="C5432" s="46">
        <v>420</v>
      </c>
      <c r="D5432" s="69" t="s">
        <v>29417</v>
      </c>
      <c r="E5432" s="51"/>
      <c r="F5432" s="114" t="str">
        <f>IF(INDEX(I.Facility.P2aIDNumber,420)="","",INDEX(I.Facility.P2aIDNumber,420))</f>
        <v/>
      </c>
      <c r="G5432" s="51"/>
      <c r="H5432" s="46" t="str">
        <f>IF(AND(I.Developer.P2a=TRUE,I.Facility.P2aFacilityCount&gt;=420,F5432=""),"Incomplete","Complete")</f>
        <v>Complete</v>
      </c>
      <c r="I5432" s="48" t="s">
        <v>9797</v>
      </c>
    </row>
    <row r="5433" spans="2:9" ht="15" customHeight="1" x14ac:dyDescent="0.25">
      <c r="B5433" s="55" t="s">
        <v>280</v>
      </c>
      <c r="C5433" s="46">
        <v>421</v>
      </c>
      <c r="D5433" s="69" t="s">
        <v>29417</v>
      </c>
      <c r="E5433" s="51"/>
      <c r="F5433" s="114" t="str">
        <f>IF(INDEX(I.Facility.P2aIDNumber,421)="","",INDEX(I.Facility.P2aIDNumber,421))</f>
        <v/>
      </c>
      <c r="G5433" s="51"/>
      <c r="H5433" s="46" t="str">
        <f>IF(AND(I.Developer.P2a=TRUE,I.Facility.P2aFacilityCount&gt;=421,F5433=""),"Incomplete","Complete")</f>
        <v>Complete</v>
      </c>
      <c r="I5433" s="48" t="s">
        <v>9798</v>
      </c>
    </row>
    <row r="5434" spans="2:9" ht="15" customHeight="1" x14ac:dyDescent="0.25">
      <c r="B5434" s="55" t="s">
        <v>280</v>
      </c>
      <c r="C5434" s="46">
        <v>422</v>
      </c>
      <c r="D5434" s="69" t="s">
        <v>29417</v>
      </c>
      <c r="E5434" s="51"/>
      <c r="F5434" s="114" t="str">
        <f>IF(INDEX(I.Facility.P2aIDNumber,422)="","",INDEX(I.Facility.P2aIDNumber,422))</f>
        <v/>
      </c>
      <c r="G5434" s="51"/>
      <c r="H5434" s="46" t="str">
        <f>IF(AND(I.Developer.P2a=TRUE,I.Facility.P2aFacilityCount&gt;=422,F5434=""),"Incomplete","Complete")</f>
        <v>Complete</v>
      </c>
      <c r="I5434" s="48" t="s">
        <v>9799</v>
      </c>
    </row>
    <row r="5435" spans="2:9" ht="15" customHeight="1" x14ac:dyDescent="0.25">
      <c r="B5435" s="55" t="s">
        <v>280</v>
      </c>
      <c r="C5435" s="46">
        <v>423</v>
      </c>
      <c r="D5435" s="69" t="s">
        <v>29417</v>
      </c>
      <c r="E5435" s="51"/>
      <c r="F5435" s="114" t="str">
        <f>IF(INDEX(I.Facility.P2aIDNumber,423)="","",INDEX(I.Facility.P2aIDNumber,423))</f>
        <v/>
      </c>
      <c r="G5435" s="51"/>
      <c r="H5435" s="46" t="str">
        <f>IF(AND(I.Developer.P2a=TRUE,I.Facility.P2aFacilityCount&gt;=423,F5435=""),"Incomplete","Complete")</f>
        <v>Complete</v>
      </c>
      <c r="I5435" s="48" t="s">
        <v>9800</v>
      </c>
    </row>
    <row r="5436" spans="2:9" ht="15" customHeight="1" x14ac:dyDescent="0.25">
      <c r="B5436" s="55" t="s">
        <v>280</v>
      </c>
      <c r="C5436" s="46">
        <v>424</v>
      </c>
      <c r="D5436" s="69" t="s">
        <v>29417</v>
      </c>
      <c r="E5436" s="51"/>
      <c r="F5436" s="114" t="str">
        <f>IF(INDEX(I.Facility.P2aIDNumber,424)="","",INDEX(I.Facility.P2aIDNumber,424))</f>
        <v/>
      </c>
      <c r="G5436" s="51"/>
      <c r="H5436" s="46" t="str">
        <f>IF(AND(I.Developer.P2a=TRUE,I.Facility.P2aFacilityCount&gt;=424,F5436=""),"Incomplete","Complete")</f>
        <v>Complete</v>
      </c>
      <c r="I5436" s="48" t="s">
        <v>9801</v>
      </c>
    </row>
    <row r="5437" spans="2:9" ht="15" customHeight="1" x14ac:dyDescent="0.25">
      <c r="B5437" s="55" t="s">
        <v>280</v>
      </c>
      <c r="C5437" s="46">
        <v>425</v>
      </c>
      <c r="D5437" s="69" t="s">
        <v>29417</v>
      </c>
      <c r="E5437" s="51"/>
      <c r="F5437" s="114" t="str">
        <f>IF(INDEX(I.Facility.P2aIDNumber,425)="","",INDEX(I.Facility.P2aIDNumber,425))</f>
        <v/>
      </c>
      <c r="G5437" s="51"/>
      <c r="H5437" s="46" t="str">
        <f>IF(AND(I.Developer.P2a=TRUE,I.Facility.P2aFacilityCount&gt;=425,F5437=""),"Incomplete","Complete")</f>
        <v>Complete</v>
      </c>
      <c r="I5437" s="48" t="s">
        <v>9802</v>
      </c>
    </row>
    <row r="5438" spans="2:9" ht="15" customHeight="1" x14ac:dyDescent="0.25">
      <c r="B5438" s="55" t="s">
        <v>280</v>
      </c>
      <c r="C5438" s="46">
        <v>426</v>
      </c>
      <c r="D5438" s="69" t="s">
        <v>29417</v>
      </c>
      <c r="E5438" s="51"/>
      <c r="F5438" s="114" t="str">
        <f>IF(INDEX(I.Facility.P2aIDNumber,426)="","",INDEX(I.Facility.P2aIDNumber,426))</f>
        <v/>
      </c>
      <c r="G5438" s="51"/>
      <c r="H5438" s="46" t="str">
        <f>IF(AND(I.Developer.P2a=TRUE,I.Facility.P2aFacilityCount&gt;=426,F5438=""),"Incomplete","Complete")</f>
        <v>Complete</v>
      </c>
      <c r="I5438" s="48" t="s">
        <v>9803</v>
      </c>
    </row>
    <row r="5439" spans="2:9" ht="15" customHeight="1" x14ac:dyDescent="0.25">
      <c r="B5439" s="55" t="s">
        <v>280</v>
      </c>
      <c r="C5439" s="46">
        <v>427</v>
      </c>
      <c r="D5439" s="69" t="s">
        <v>29417</v>
      </c>
      <c r="E5439" s="51"/>
      <c r="F5439" s="114" t="str">
        <f>IF(INDEX(I.Facility.P2aIDNumber,427)="","",INDEX(I.Facility.P2aIDNumber,427))</f>
        <v/>
      </c>
      <c r="G5439" s="51"/>
      <c r="H5439" s="46" t="str">
        <f>IF(AND(I.Developer.P2a=TRUE,I.Facility.P2aFacilityCount&gt;=427,F5439=""),"Incomplete","Complete")</f>
        <v>Complete</v>
      </c>
      <c r="I5439" s="48" t="s">
        <v>9804</v>
      </c>
    </row>
    <row r="5440" spans="2:9" ht="15" customHeight="1" x14ac:dyDescent="0.25">
      <c r="B5440" s="55" t="s">
        <v>280</v>
      </c>
      <c r="C5440" s="46">
        <v>428</v>
      </c>
      <c r="D5440" s="69" t="s">
        <v>29417</v>
      </c>
      <c r="E5440" s="51"/>
      <c r="F5440" s="114" t="str">
        <f>IF(INDEX(I.Facility.P2aIDNumber,428)="","",INDEX(I.Facility.P2aIDNumber,428))</f>
        <v/>
      </c>
      <c r="G5440" s="51"/>
      <c r="H5440" s="46" t="str">
        <f>IF(AND(I.Developer.P2a=TRUE,I.Facility.P2aFacilityCount&gt;=428,F5440=""),"Incomplete","Complete")</f>
        <v>Complete</v>
      </c>
      <c r="I5440" s="48" t="s">
        <v>9805</v>
      </c>
    </row>
    <row r="5441" spans="2:9" ht="15" customHeight="1" x14ac:dyDescent="0.25">
      <c r="B5441" s="55" t="s">
        <v>280</v>
      </c>
      <c r="C5441" s="46">
        <v>429</v>
      </c>
      <c r="D5441" s="69" t="s">
        <v>29417</v>
      </c>
      <c r="E5441" s="51"/>
      <c r="F5441" s="114" t="str">
        <f>IF(INDEX(I.Facility.P2aIDNumber,429)="","",INDEX(I.Facility.P2aIDNumber,429))</f>
        <v/>
      </c>
      <c r="G5441" s="51"/>
      <c r="H5441" s="46" t="str">
        <f>IF(AND(I.Developer.P2a=TRUE,I.Facility.P2aFacilityCount&gt;=429,F5441=""),"Incomplete","Complete")</f>
        <v>Complete</v>
      </c>
      <c r="I5441" s="48" t="s">
        <v>9806</v>
      </c>
    </row>
    <row r="5442" spans="2:9" ht="15" customHeight="1" x14ac:dyDescent="0.25">
      <c r="B5442" s="55" t="s">
        <v>280</v>
      </c>
      <c r="C5442" s="46">
        <v>430</v>
      </c>
      <c r="D5442" s="69" t="s">
        <v>29417</v>
      </c>
      <c r="E5442" s="51"/>
      <c r="F5442" s="114" t="str">
        <f>IF(INDEX(I.Facility.P2aIDNumber,430)="","",INDEX(I.Facility.P2aIDNumber,430))</f>
        <v/>
      </c>
      <c r="G5442" s="51"/>
      <c r="H5442" s="46" t="str">
        <f>IF(AND(I.Developer.P2a=TRUE,I.Facility.P2aFacilityCount&gt;=430,F5442=""),"Incomplete","Complete")</f>
        <v>Complete</v>
      </c>
      <c r="I5442" s="48" t="s">
        <v>9807</v>
      </c>
    </row>
    <row r="5443" spans="2:9" ht="15" customHeight="1" x14ac:dyDescent="0.25">
      <c r="B5443" s="55" t="s">
        <v>280</v>
      </c>
      <c r="C5443" s="46">
        <v>431</v>
      </c>
      <c r="D5443" s="69" t="s">
        <v>29417</v>
      </c>
      <c r="E5443" s="51"/>
      <c r="F5443" s="114" t="str">
        <f>IF(INDEX(I.Facility.P2aIDNumber,431)="","",INDEX(I.Facility.P2aIDNumber,431))</f>
        <v/>
      </c>
      <c r="G5443" s="51"/>
      <c r="H5443" s="46" t="str">
        <f>IF(AND(I.Developer.P2a=TRUE,I.Facility.P2aFacilityCount&gt;=431,F5443=""),"Incomplete","Complete")</f>
        <v>Complete</v>
      </c>
      <c r="I5443" s="48" t="s">
        <v>9808</v>
      </c>
    </row>
    <row r="5444" spans="2:9" ht="15" customHeight="1" x14ac:dyDescent="0.25">
      <c r="B5444" s="55" t="s">
        <v>280</v>
      </c>
      <c r="C5444" s="46">
        <v>432</v>
      </c>
      <c r="D5444" s="69" t="s">
        <v>29417</v>
      </c>
      <c r="E5444" s="51"/>
      <c r="F5444" s="114" t="str">
        <f>IF(INDEX(I.Facility.P2aIDNumber,432)="","",INDEX(I.Facility.P2aIDNumber,432))</f>
        <v/>
      </c>
      <c r="G5444" s="51"/>
      <c r="H5444" s="46" t="str">
        <f>IF(AND(I.Developer.P2a=TRUE,I.Facility.P2aFacilityCount&gt;=432,F5444=""),"Incomplete","Complete")</f>
        <v>Complete</v>
      </c>
      <c r="I5444" s="48" t="s">
        <v>9809</v>
      </c>
    </row>
    <row r="5445" spans="2:9" ht="15" customHeight="1" x14ac:dyDescent="0.25">
      <c r="B5445" s="55" t="s">
        <v>280</v>
      </c>
      <c r="C5445" s="46">
        <v>433</v>
      </c>
      <c r="D5445" s="69" t="s">
        <v>29417</v>
      </c>
      <c r="E5445" s="51"/>
      <c r="F5445" s="114" t="str">
        <f>IF(INDEX(I.Facility.P2aIDNumber,433)="","",INDEX(I.Facility.P2aIDNumber,433))</f>
        <v/>
      </c>
      <c r="G5445" s="51"/>
      <c r="H5445" s="46" t="str">
        <f>IF(AND(I.Developer.P2a=TRUE,I.Facility.P2aFacilityCount&gt;=433,F5445=""),"Incomplete","Complete")</f>
        <v>Complete</v>
      </c>
      <c r="I5445" s="48" t="s">
        <v>9810</v>
      </c>
    </row>
    <row r="5446" spans="2:9" ht="15" customHeight="1" x14ac:dyDescent="0.25">
      <c r="B5446" s="55" t="s">
        <v>280</v>
      </c>
      <c r="C5446" s="46">
        <v>434</v>
      </c>
      <c r="D5446" s="69" t="s">
        <v>29417</v>
      </c>
      <c r="E5446" s="51"/>
      <c r="F5446" s="114" t="str">
        <f>IF(INDEX(I.Facility.P2aIDNumber,434)="","",INDEX(I.Facility.P2aIDNumber,434))</f>
        <v/>
      </c>
      <c r="G5446" s="51"/>
      <c r="H5446" s="46" t="str">
        <f>IF(AND(I.Developer.P2a=TRUE,I.Facility.P2aFacilityCount&gt;=434,F5446=""),"Incomplete","Complete")</f>
        <v>Complete</v>
      </c>
      <c r="I5446" s="48" t="s">
        <v>9811</v>
      </c>
    </row>
    <row r="5447" spans="2:9" ht="15" customHeight="1" x14ac:dyDescent="0.25">
      <c r="B5447" s="55" t="s">
        <v>280</v>
      </c>
      <c r="C5447" s="46">
        <v>435</v>
      </c>
      <c r="D5447" s="69" t="s">
        <v>29417</v>
      </c>
      <c r="E5447" s="51"/>
      <c r="F5447" s="114" t="str">
        <f>IF(INDEX(I.Facility.P2aIDNumber,435)="","",INDEX(I.Facility.P2aIDNumber,435))</f>
        <v/>
      </c>
      <c r="G5447" s="51"/>
      <c r="H5447" s="46" t="str">
        <f>IF(AND(I.Developer.P2a=TRUE,I.Facility.P2aFacilityCount&gt;=435,F5447=""),"Incomplete","Complete")</f>
        <v>Complete</v>
      </c>
      <c r="I5447" s="48" t="s">
        <v>9812</v>
      </c>
    </row>
    <row r="5448" spans="2:9" ht="15" customHeight="1" x14ac:dyDescent="0.25">
      <c r="B5448" s="55" t="s">
        <v>280</v>
      </c>
      <c r="C5448" s="46">
        <v>436</v>
      </c>
      <c r="D5448" s="69" t="s">
        <v>29417</v>
      </c>
      <c r="E5448" s="51"/>
      <c r="F5448" s="114" t="str">
        <f>IF(INDEX(I.Facility.P2aIDNumber,436)="","",INDEX(I.Facility.P2aIDNumber,436))</f>
        <v/>
      </c>
      <c r="G5448" s="51"/>
      <c r="H5448" s="46" t="str">
        <f>IF(AND(I.Developer.P2a=TRUE,I.Facility.P2aFacilityCount&gt;=436,F5448=""),"Incomplete","Complete")</f>
        <v>Complete</v>
      </c>
      <c r="I5448" s="48" t="s">
        <v>9813</v>
      </c>
    </row>
    <row r="5449" spans="2:9" ht="15" customHeight="1" x14ac:dyDescent="0.25">
      <c r="B5449" s="55" t="s">
        <v>280</v>
      </c>
      <c r="C5449" s="46">
        <v>437</v>
      </c>
      <c r="D5449" s="69" t="s">
        <v>29417</v>
      </c>
      <c r="E5449" s="51"/>
      <c r="F5449" s="114" t="str">
        <f>IF(INDEX(I.Facility.P2aIDNumber,437)="","",INDEX(I.Facility.P2aIDNumber,437))</f>
        <v/>
      </c>
      <c r="G5449" s="51"/>
      <c r="H5449" s="46" t="str">
        <f>IF(AND(I.Developer.P2a=TRUE,I.Facility.P2aFacilityCount&gt;=437,F5449=""),"Incomplete","Complete")</f>
        <v>Complete</v>
      </c>
      <c r="I5449" s="48" t="s">
        <v>9814</v>
      </c>
    </row>
    <row r="5450" spans="2:9" ht="15" customHeight="1" x14ac:dyDescent="0.25">
      <c r="B5450" s="55" t="s">
        <v>280</v>
      </c>
      <c r="C5450" s="46">
        <v>438</v>
      </c>
      <c r="D5450" s="69" t="s">
        <v>29417</v>
      </c>
      <c r="E5450" s="51"/>
      <c r="F5450" s="114" t="str">
        <f>IF(INDEX(I.Facility.P2aIDNumber,438)="","",INDEX(I.Facility.P2aIDNumber,438))</f>
        <v/>
      </c>
      <c r="G5450" s="51"/>
      <c r="H5450" s="46" t="str">
        <f>IF(AND(I.Developer.P2a=TRUE,I.Facility.P2aFacilityCount&gt;=438,F5450=""),"Incomplete","Complete")</f>
        <v>Complete</v>
      </c>
      <c r="I5450" s="48" t="s">
        <v>9815</v>
      </c>
    </row>
    <row r="5451" spans="2:9" ht="15" customHeight="1" x14ac:dyDescent="0.25">
      <c r="B5451" s="55" t="s">
        <v>280</v>
      </c>
      <c r="C5451" s="46">
        <v>439</v>
      </c>
      <c r="D5451" s="69" t="s">
        <v>29417</v>
      </c>
      <c r="E5451" s="51"/>
      <c r="F5451" s="114" t="str">
        <f>IF(INDEX(I.Facility.P2aIDNumber,439)="","",INDEX(I.Facility.P2aIDNumber,439))</f>
        <v/>
      </c>
      <c r="G5451" s="51"/>
      <c r="H5451" s="46" t="str">
        <f>IF(AND(I.Developer.P2a=TRUE,I.Facility.P2aFacilityCount&gt;=439,F5451=""),"Incomplete","Complete")</f>
        <v>Complete</v>
      </c>
      <c r="I5451" s="48" t="s">
        <v>9816</v>
      </c>
    </row>
    <row r="5452" spans="2:9" ht="15" customHeight="1" x14ac:dyDescent="0.25">
      <c r="B5452" s="55" t="s">
        <v>280</v>
      </c>
      <c r="C5452" s="46">
        <v>440</v>
      </c>
      <c r="D5452" s="69" t="s">
        <v>29417</v>
      </c>
      <c r="E5452" s="51"/>
      <c r="F5452" s="114" t="str">
        <f>IF(INDEX(I.Facility.P2aIDNumber,440)="","",INDEX(I.Facility.P2aIDNumber,440))</f>
        <v/>
      </c>
      <c r="G5452" s="51"/>
      <c r="H5452" s="46" t="str">
        <f>IF(AND(I.Developer.P2a=TRUE,I.Facility.P2aFacilityCount&gt;=440,F5452=""),"Incomplete","Complete")</f>
        <v>Complete</v>
      </c>
      <c r="I5452" s="48" t="s">
        <v>9817</v>
      </c>
    </row>
    <row r="5453" spans="2:9" ht="15" customHeight="1" x14ac:dyDescent="0.25">
      <c r="B5453" s="55" t="s">
        <v>280</v>
      </c>
      <c r="C5453" s="46">
        <v>441</v>
      </c>
      <c r="D5453" s="69" t="s">
        <v>29417</v>
      </c>
      <c r="E5453" s="51"/>
      <c r="F5453" s="114" t="str">
        <f>IF(INDEX(I.Facility.P2aIDNumber,441)="","",INDEX(I.Facility.P2aIDNumber,441))</f>
        <v/>
      </c>
      <c r="G5453" s="51"/>
      <c r="H5453" s="46" t="str">
        <f>IF(AND(I.Developer.P2a=TRUE,I.Facility.P2aFacilityCount&gt;=441,F5453=""),"Incomplete","Complete")</f>
        <v>Complete</v>
      </c>
      <c r="I5453" s="48" t="s">
        <v>9818</v>
      </c>
    </row>
    <row r="5454" spans="2:9" ht="15" customHeight="1" x14ac:dyDescent="0.25">
      <c r="B5454" s="55" t="s">
        <v>280</v>
      </c>
      <c r="C5454" s="46">
        <v>442</v>
      </c>
      <c r="D5454" s="69" t="s">
        <v>29417</v>
      </c>
      <c r="E5454" s="51"/>
      <c r="F5454" s="114" t="str">
        <f>IF(INDEX(I.Facility.P2aIDNumber,442)="","",INDEX(I.Facility.P2aIDNumber,442))</f>
        <v/>
      </c>
      <c r="G5454" s="51"/>
      <c r="H5454" s="46" t="str">
        <f>IF(AND(I.Developer.P2a=TRUE,I.Facility.P2aFacilityCount&gt;=442,F5454=""),"Incomplete","Complete")</f>
        <v>Complete</v>
      </c>
      <c r="I5454" s="48" t="s">
        <v>9819</v>
      </c>
    </row>
    <row r="5455" spans="2:9" ht="15" customHeight="1" x14ac:dyDescent="0.25">
      <c r="B5455" s="55" t="s">
        <v>280</v>
      </c>
      <c r="C5455" s="46">
        <v>443</v>
      </c>
      <c r="D5455" s="69" t="s">
        <v>29417</v>
      </c>
      <c r="E5455" s="51"/>
      <c r="F5455" s="114" t="str">
        <f>IF(INDEX(I.Facility.P2aIDNumber,443)="","",INDEX(I.Facility.P2aIDNumber,443))</f>
        <v/>
      </c>
      <c r="G5455" s="51"/>
      <c r="H5455" s="46" t="str">
        <f>IF(AND(I.Developer.P2a=TRUE,I.Facility.P2aFacilityCount&gt;=443,F5455=""),"Incomplete","Complete")</f>
        <v>Complete</v>
      </c>
      <c r="I5455" s="48" t="s">
        <v>9820</v>
      </c>
    </row>
    <row r="5456" spans="2:9" ht="15" customHeight="1" x14ac:dyDescent="0.25">
      <c r="B5456" s="55" t="s">
        <v>280</v>
      </c>
      <c r="C5456" s="46">
        <v>444</v>
      </c>
      <c r="D5456" s="69" t="s">
        <v>29417</v>
      </c>
      <c r="E5456" s="51"/>
      <c r="F5456" s="114" t="str">
        <f>IF(INDEX(I.Facility.P2aIDNumber,444)="","",INDEX(I.Facility.P2aIDNumber,444))</f>
        <v/>
      </c>
      <c r="G5456" s="51"/>
      <c r="H5456" s="46" t="str">
        <f>IF(AND(I.Developer.P2a=TRUE,I.Facility.P2aFacilityCount&gt;=444,F5456=""),"Incomplete","Complete")</f>
        <v>Complete</v>
      </c>
      <c r="I5456" s="48" t="s">
        <v>9821</v>
      </c>
    </row>
    <row r="5457" spans="2:9" ht="15" customHeight="1" x14ac:dyDescent="0.25">
      <c r="B5457" s="55" t="s">
        <v>280</v>
      </c>
      <c r="C5457" s="46">
        <v>445</v>
      </c>
      <c r="D5457" s="69" t="s">
        <v>29417</v>
      </c>
      <c r="E5457" s="51"/>
      <c r="F5457" s="114" t="str">
        <f>IF(INDEX(I.Facility.P2aIDNumber,445)="","",INDEX(I.Facility.P2aIDNumber,445))</f>
        <v/>
      </c>
      <c r="G5457" s="51"/>
      <c r="H5457" s="46" t="str">
        <f>IF(AND(I.Developer.P2a=TRUE,I.Facility.P2aFacilityCount&gt;=445,F5457=""),"Incomplete","Complete")</f>
        <v>Complete</v>
      </c>
      <c r="I5457" s="48" t="s">
        <v>9822</v>
      </c>
    </row>
    <row r="5458" spans="2:9" ht="15" customHeight="1" x14ac:dyDescent="0.25">
      <c r="B5458" s="55" t="s">
        <v>280</v>
      </c>
      <c r="C5458" s="46">
        <v>446</v>
      </c>
      <c r="D5458" s="69" t="s">
        <v>29417</v>
      </c>
      <c r="E5458" s="51"/>
      <c r="F5458" s="114" t="str">
        <f>IF(INDEX(I.Facility.P2aIDNumber,446)="","",INDEX(I.Facility.P2aIDNumber,446))</f>
        <v/>
      </c>
      <c r="G5458" s="51"/>
      <c r="H5458" s="46" t="str">
        <f>IF(AND(I.Developer.P2a=TRUE,I.Facility.P2aFacilityCount&gt;=446,F5458=""),"Incomplete","Complete")</f>
        <v>Complete</v>
      </c>
      <c r="I5458" s="48" t="s">
        <v>9823</v>
      </c>
    </row>
    <row r="5459" spans="2:9" ht="15" customHeight="1" x14ac:dyDescent="0.25">
      <c r="B5459" s="55" t="s">
        <v>280</v>
      </c>
      <c r="C5459" s="46">
        <v>447</v>
      </c>
      <c r="D5459" s="69" t="s">
        <v>29417</v>
      </c>
      <c r="E5459" s="51"/>
      <c r="F5459" s="114" t="str">
        <f>IF(INDEX(I.Facility.P2aIDNumber,447)="","",INDEX(I.Facility.P2aIDNumber,447))</f>
        <v/>
      </c>
      <c r="G5459" s="51"/>
      <c r="H5459" s="46" t="str">
        <f>IF(AND(I.Developer.P2a=TRUE,I.Facility.P2aFacilityCount&gt;=447,F5459=""),"Incomplete","Complete")</f>
        <v>Complete</v>
      </c>
      <c r="I5459" s="48" t="s">
        <v>9824</v>
      </c>
    </row>
    <row r="5460" spans="2:9" ht="15" customHeight="1" x14ac:dyDescent="0.25">
      <c r="B5460" s="55" t="s">
        <v>280</v>
      </c>
      <c r="C5460" s="46">
        <v>448</v>
      </c>
      <c r="D5460" s="69" t="s">
        <v>29417</v>
      </c>
      <c r="E5460" s="51"/>
      <c r="F5460" s="114" t="str">
        <f>IF(INDEX(I.Facility.P2aIDNumber,448)="","",INDEX(I.Facility.P2aIDNumber,448))</f>
        <v/>
      </c>
      <c r="G5460" s="51"/>
      <c r="H5460" s="46" t="str">
        <f>IF(AND(I.Developer.P2a=TRUE,I.Facility.P2aFacilityCount&gt;=448,F5460=""),"Incomplete","Complete")</f>
        <v>Complete</v>
      </c>
      <c r="I5460" s="48" t="s">
        <v>9825</v>
      </c>
    </row>
    <row r="5461" spans="2:9" ht="15" customHeight="1" x14ac:dyDescent="0.25">
      <c r="B5461" s="55" t="s">
        <v>280</v>
      </c>
      <c r="C5461" s="46">
        <v>449</v>
      </c>
      <c r="D5461" s="69" t="s">
        <v>29417</v>
      </c>
      <c r="E5461" s="51"/>
      <c r="F5461" s="114" t="str">
        <f>IF(INDEX(I.Facility.P2aIDNumber,449)="","",INDEX(I.Facility.P2aIDNumber,449))</f>
        <v/>
      </c>
      <c r="G5461" s="51"/>
      <c r="H5461" s="46" t="str">
        <f>IF(AND(I.Developer.P2a=TRUE,I.Facility.P2aFacilityCount&gt;=449,F5461=""),"Incomplete","Complete")</f>
        <v>Complete</v>
      </c>
      <c r="I5461" s="48" t="s">
        <v>9826</v>
      </c>
    </row>
    <row r="5462" spans="2:9" ht="15" customHeight="1" x14ac:dyDescent="0.25">
      <c r="B5462" s="55" t="s">
        <v>280</v>
      </c>
      <c r="C5462" s="46">
        <v>450</v>
      </c>
      <c r="D5462" s="69" t="s">
        <v>29417</v>
      </c>
      <c r="E5462" s="51"/>
      <c r="F5462" s="114" t="str">
        <f>IF(INDEX(I.Facility.P2aIDNumber,450)="","",INDEX(I.Facility.P2aIDNumber,450))</f>
        <v/>
      </c>
      <c r="G5462" s="51"/>
      <c r="H5462" s="46" t="str">
        <f>IF(AND(I.Developer.P2a=TRUE,I.Facility.P2aFacilityCount&gt;=450,F5462=""),"Incomplete","Complete")</f>
        <v>Complete</v>
      </c>
      <c r="I5462" s="48" t="s">
        <v>9827</v>
      </c>
    </row>
    <row r="5463" spans="2:9" ht="15" customHeight="1" x14ac:dyDescent="0.25">
      <c r="B5463" s="55" t="s">
        <v>280</v>
      </c>
      <c r="C5463" s="46">
        <v>451</v>
      </c>
      <c r="D5463" s="69" t="s">
        <v>29417</v>
      </c>
      <c r="E5463" s="51"/>
      <c r="F5463" s="114" t="str">
        <f>IF(INDEX(I.Facility.P2aIDNumber,451)="","",INDEX(I.Facility.P2aIDNumber,451))</f>
        <v/>
      </c>
      <c r="G5463" s="51"/>
      <c r="H5463" s="46" t="str">
        <f>IF(AND(I.Developer.P2a=TRUE,I.Facility.P2aFacilityCount&gt;=451,F5463=""),"Incomplete","Complete")</f>
        <v>Complete</v>
      </c>
      <c r="I5463" s="48" t="s">
        <v>9828</v>
      </c>
    </row>
    <row r="5464" spans="2:9" ht="15" customHeight="1" x14ac:dyDescent="0.25">
      <c r="B5464" s="55" t="s">
        <v>280</v>
      </c>
      <c r="C5464" s="46">
        <v>452</v>
      </c>
      <c r="D5464" s="69" t="s">
        <v>29417</v>
      </c>
      <c r="E5464" s="51"/>
      <c r="F5464" s="114" t="str">
        <f>IF(INDEX(I.Facility.P2aIDNumber,452)="","",INDEX(I.Facility.P2aIDNumber,452))</f>
        <v/>
      </c>
      <c r="G5464" s="51"/>
      <c r="H5464" s="46" t="str">
        <f>IF(AND(I.Developer.P2a=TRUE,I.Facility.P2aFacilityCount&gt;=452,F5464=""),"Incomplete","Complete")</f>
        <v>Complete</v>
      </c>
      <c r="I5464" s="48" t="s">
        <v>9829</v>
      </c>
    </row>
    <row r="5465" spans="2:9" ht="15" customHeight="1" x14ac:dyDescent="0.25">
      <c r="B5465" s="55" t="s">
        <v>280</v>
      </c>
      <c r="C5465" s="46">
        <v>453</v>
      </c>
      <c r="D5465" s="69" t="s">
        <v>29417</v>
      </c>
      <c r="E5465" s="51"/>
      <c r="F5465" s="114" t="str">
        <f>IF(INDEX(I.Facility.P2aIDNumber,453)="","",INDEX(I.Facility.P2aIDNumber,453))</f>
        <v/>
      </c>
      <c r="G5465" s="51"/>
      <c r="H5465" s="46" t="str">
        <f>IF(AND(I.Developer.P2a=TRUE,I.Facility.P2aFacilityCount&gt;=453,F5465=""),"Incomplete","Complete")</f>
        <v>Complete</v>
      </c>
      <c r="I5465" s="48" t="s">
        <v>9830</v>
      </c>
    </row>
    <row r="5466" spans="2:9" ht="15" customHeight="1" x14ac:dyDescent="0.25">
      <c r="B5466" s="55" t="s">
        <v>280</v>
      </c>
      <c r="C5466" s="46">
        <v>454</v>
      </c>
      <c r="D5466" s="69" t="s">
        <v>29417</v>
      </c>
      <c r="E5466" s="51"/>
      <c r="F5466" s="114" t="str">
        <f>IF(INDEX(I.Facility.P2aIDNumber,454)="","",INDEX(I.Facility.P2aIDNumber,454))</f>
        <v/>
      </c>
      <c r="G5466" s="51"/>
      <c r="H5466" s="46" t="str">
        <f>IF(AND(I.Developer.P2a=TRUE,I.Facility.P2aFacilityCount&gt;=454,F5466=""),"Incomplete","Complete")</f>
        <v>Complete</v>
      </c>
      <c r="I5466" s="48" t="s">
        <v>9831</v>
      </c>
    </row>
    <row r="5467" spans="2:9" ht="15" customHeight="1" x14ac:dyDescent="0.25">
      <c r="B5467" s="55" t="s">
        <v>280</v>
      </c>
      <c r="C5467" s="46">
        <v>455</v>
      </c>
      <c r="D5467" s="69" t="s">
        <v>29417</v>
      </c>
      <c r="E5467" s="51"/>
      <c r="F5467" s="114" t="str">
        <f>IF(INDEX(I.Facility.P2aIDNumber,455)="","",INDEX(I.Facility.P2aIDNumber,455))</f>
        <v/>
      </c>
      <c r="G5467" s="51"/>
      <c r="H5467" s="46" t="str">
        <f>IF(AND(I.Developer.P2a=TRUE,I.Facility.P2aFacilityCount&gt;=455,F5467=""),"Incomplete","Complete")</f>
        <v>Complete</v>
      </c>
      <c r="I5467" s="48" t="s">
        <v>9832</v>
      </c>
    </row>
    <row r="5468" spans="2:9" ht="15" customHeight="1" x14ac:dyDescent="0.25">
      <c r="B5468" s="55" t="s">
        <v>280</v>
      </c>
      <c r="C5468" s="46">
        <v>456</v>
      </c>
      <c r="D5468" s="69" t="s">
        <v>29417</v>
      </c>
      <c r="E5468" s="51"/>
      <c r="F5468" s="114" t="str">
        <f>IF(INDEX(I.Facility.P2aIDNumber,456)="","",INDEX(I.Facility.P2aIDNumber,456))</f>
        <v/>
      </c>
      <c r="G5468" s="51"/>
      <c r="H5468" s="46" t="str">
        <f>IF(AND(I.Developer.P2a=TRUE,I.Facility.P2aFacilityCount&gt;=456,F5468=""),"Incomplete","Complete")</f>
        <v>Complete</v>
      </c>
      <c r="I5468" s="48" t="s">
        <v>9833</v>
      </c>
    </row>
    <row r="5469" spans="2:9" ht="15" customHeight="1" x14ac:dyDescent="0.25">
      <c r="B5469" s="55" t="s">
        <v>280</v>
      </c>
      <c r="C5469" s="46">
        <v>457</v>
      </c>
      <c r="D5469" s="69" t="s">
        <v>29417</v>
      </c>
      <c r="E5469" s="51"/>
      <c r="F5469" s="114" t="str">
        <f>IF(INDEX(I.Facility.P2aIDNumber,457)="","",INDEX(I.Facility.P2aIDNumber,457))</f>
        <v/>
      </c>
      <c r="G5469" s="51"/>
      <c r="H5469" s="46" t="str">
        <f>IF(AND(I.Developer.P2a=TRUE,I.Facility.P2aFacilityCount&gt;=457,F5469=""),"Incomplete","Complete")</f>
        <v>Complete</v>
      </c>
      <c r="I5469" s="48" t="s">
        <v>9834</v>
      </c>
    </row>
    <row r="5470" spans="2:9" ht="15" customHeight="1" x14ac:dyDescent="0.25">
      <c r="B5470" s="55" t="s">
        <v>280</v>
      </c>
      <c r="C5470" s="46">
        <v>458</v>
      </c>
      <c r="D5470" s="69" t="s">
        <v>29417</v>
      </c>
      <c r="E5470" s="51"/>
      <c r="F5470" s="114" t="str">
        <f>IF(INDEX(I.Facility.P2aIDNumber,458)="","",INDEX(I.Facility.P2aIDNumber,458))</f>
        <v/>
      </c>
      <c r="G5470" s="51"/>
      <c r="H5470" s="46" t="str">
        <f>IF(AND(I.Developer.P2a=TRUE,I.Facility.P2aFacilityCount&gt;=458,F5470=""),"Incomplete","Complete")</f>
        <v>Complete</v>
      </c>
      <c r="I5470" s="48" t="s">
        <v>9835</v>
      </c>
    </row>
    <row r="5471" spans="2:9" ht="15" customHeight="1" x14ac:dyDescent="0.25">
      <c r="B5471" s="55" t="s">
        <v>280</v>
      </c>
      <c r="C5471" s="46">
        <v>459</v>
      </c>
      <c r="D5471" s="69" t="s">
        <v>29417</v>
      </c>
      <c r="E5471" s="51"/>
      <c r="F5471" s="114" t="str">
        <f>IF(INDEX(I.Facility.P2aIDNumber,459)="","",INDEX(I.Facility.P2aIDNumber,459))</f>
        <v/>
      </c>
      <c r="G5471" s="51"/>
      <c r="H5471" s="46" t="str">
        <f>IF(AND(I.Developer.P2a=TRUE,I.Facility.P2aFacilityCount&gt;=459,F5471=""),"Incomplete","Complete")</f>
        <v>Complete</v>
      </c>
      <c r="I5471" s="48" t="s">
        <v>9836</v>
      </c>
    </row>
    <row r="5472" spans="2:9" ht="15" customHeight="1" x14ac:dyDescent="0.25">
      <c r="B5472" s="55" t="s">
        <v>280</v>
      </c>
      <c r="C5472" s="46">
        <v>460</v>
      </c>
      <c r="D5472" s="69" t="s">
        <v>29417</v>
      </c>
      <c r="E5472" s="51"/>
      <c r="F5472" s="114" t="str">
        <f>IF(INDEX(I.Facility.P2aIDNumber,460)="","",INDEX(I.Facility.P2aIDNumber,460))</f>
        <v/>
      </c>
      <c r="G5472" s="51"/>
      <c r="H5472" s="46" t="str">
        <f>IF(AND(I.Developer.P2a=TRUE,I.Facility.P2aFacilityCount&gt;=460,F5472=""),"Incomplete","Complete")</f>
        <v>Complete</v>
      </c>
      <c r="I5472" s="48" t="s">
        <v>9837</v>
      </c>
    </row>
    <row r="5473" spans="2:9" ht="15" customHeight="1" x14ac:dyDescent="0.25">
      <c r="B5473" s="55" t="s">
        <v>280</v>
      </c>
      <c r="C5473" s="46">
        <v>461</v>
      </c>
      <c r="D5473" s="69" t="s">
        <v>29417</v>
      </c>
      <c r="E5473" s="51"/>
      <c r="F5473" s="114" t="str">
        <f>IF(INDEX(I.Facility.P2aIDNumber,461)="","",INDEX(I.Facility.P2aIDNumber,461))</f>
        <v/>
      </c>
      <c r="G5473" s="51"/>
      <c r="H5473" s="46" t="str">
        <f>IF(AND(I.Developer.P2a=TRUE,I.Facility.P2aFacilityCount&gt;=461,F5473=""),"Incomplete","Complete")</f>
        <v>Complete</v>
      </c>
      <c r="I5473" s="48" t="s">
        <v>9838</v>
      </c>
    </row>
    <row r="5474" spans="2:9" ht="15" customHeight="1" x14ac:dyDescent="0.25">
      <c r="B5474" s="55" t="s">
        <v>280</v>
      </c>
      <c r="C5474" s="46">
        <v>462</v>
      </c>
      <c r="D5474" s="69" t="s">
        <v>29417</v>
      </c>
      <c r="E5474" s="51"/>
      <c r="F5474" s="114" t="str">
        <f>IF(INDEX(I.Facility.P2aIDNumber,462)="","",INDEX(I.Facility.P2aIDNumber,462))</f>
        <v/>
      </c>
      <c r="G5474" s="51"/>
      <c r="H5474" s="46" t="str">
        <f>IF(AND(I.Developer.P2a=TRUE,I.Facility.P2aFacilityCount&gt;=462,F5474=""),"Incomplete","Complete")</f>
        <v>Complete</v>
      </c>
      <c r="I5474" s="48" t="s">
        <v>9839</v>
      </c>
    </row>
    <row r="5475" spans="2:9" ht="15" customHeight="1" x14ac:dyDescent="0.25">
      <c r="B5475" s="55" t="s">
        <v>280</v>
      </c>
      <c r="C5475" s="46">
        <v>463</v>
      </c>
      <c r="D5475" s="69" t="s">
        <v>29417</v>
      </c>
      <c r="E5475" s="51"/>
      <c r="F5475" s="114" t="str">
        <f>IF(INDEX(I.Facility.P2aIDNumber,463)="","",INDEX(I.Facility.P2aIDNumber,463))</f>
        <v/>
      </c>
      <c r="G5475" s="51"/>
      <c r="H5475" s="46" t="str">
        <f>IF(AND(I.Developer.P2a=TRUE,I.Facility.P2aFacilityCount&gt;=463,F5475=""),"Incomplete","Complete")</f>
        <v>Complete</v>
      </c>
      <c r="I5475" s="48" t="s">
        <v>9840</v>
      </c>
    </row>
    <row r="5476" spans="2:9" ht="15" customHeight="1" x14ac:dyDescent="0.25">
      <c r="B5476" s="55" t="s">
        <v>280</v>
      </c>
      <c r="C5476" s="46">
        <v>464</v>
      </c>
      <c r="D5476" s="69" t="s">
        <v>29417</v>
      </c>
      <c r="E5476" s="51"/>
      <c r="F5476" s="114" t="str">
        <f>IF(INDEX(I.Facility.P2aIDNumber,464)="","",INDEX(I.Facility.P2aIDNumber,464))</f>
        <v/>
      </c>
      <c r="G5476" s="51"/>
      <c r="H5476" s="46" t="str">
        <f>IF(AND(I.Developer.P2a=TRUE,I.Facility.P2aFacilityCount&gt;=464,F5476=""),"Incomplete","Complete")</f>
        <v>Complete</v>
      </c>
      <c r="I5476" s="48" t="s">
        <v>9841</v>
      </c>
    </row>
    <row r="5477" spans="2:9" ht="15" customHeight="1" x14ac:dyDescent="0.25">
      <c r="B5477" s="55" t="s">
        <v>280</v>
      </c>
      <c r="C5477" s="46">
        <v>465</v>
      </c>
      <c r="D5477" s="69" t="s">
        <v>29417</v>
      </c>
      <c r="E5477" s="51"/>
      <c r="F5477" s="114" t="str">
        <f>IF(INDEX(I.Facility.P2aIDNumber,465)="","",INDEX(I.Facility.P2aIDNumber,465))</f>
        <v/>
      </c>
      <c r="G5477" s="51"/>
      <c r="H5477" s="46" t="str">
        <f>IF(AND(I.Developer.P2a=TRUE,I.Facility.P2aFacilityCount&gt;=465,F5477=""),"Incomplete","Complete")</f>
        <v>Complete</v>
      </c>
      <c r="I5477" s="48" t="s">
        <v>9842</v>
      </c>
    </row>
    <row r="5478" spans="2:9" ht="15" customHeight="1" x14ac:dyDescent="0.25">
      <c r="B5478" s="55" t="s">
        <v>280</v>
      </c>
      <c r="C5478" s="46">
        <v>466</v>
      </c>
      <c r="D5478" s="69" t="s">
        <v>29417</v>
      </c>
      <c r="E5478" s="51"/>
      <c r="F5478" s="114" t="str">
        <f>IF(INDEX(I.Facility.P2aIDNumber,466)="","",INDEX(I.Facility.P2aIDNumber,466))</f>
        <v/>
      </c>
      <c r="G5478" s="51"/>
      <c r="H5478" s="46" t="str">
        <f>IF(AND(I.Developer.P2a=TRUE,I.Facility.P2aFacilityCount&gt;=466,F5478=""),"Incomplete","Complete")</f>
        <v>Complete</v>
      </c>
      <c r="I5478" s="48" t="s">
        <v>9843</v>
      </c>
    </row>
    <row r="5479" spans="2:9" ht="15" customHeight="1" x14ac:dyDescent="0.25">
      <c r="B5479" s="55" t="s">
        <v>280</v>
      </c>
      <c r="C5479" s="46">
        <v>467</v>
      </c>
      <c r="D5479" s="69" t="s">
        <v>29417</v>
      </c>
      <c r="E5479" s="51"/>
      <c r="F5479" s="114" t="str">
        <f>IF(INDEX(I.Facility.P2aIDNumber,467)="","",INDEX(I.Facility.P2aIDNumber,467))</f>
        <v/>
      </c>
      <c r="G5479" s="51"/>
      <c r="H5479" s="46" t="str">
        <f>IF(AND(I.Developer.P2a=TRUE,I.Facility.P2aFacilityCount&gt;=467,F5479=""),"Incomplete","Complete")</f>
        <v>Complete</v>
      </c>
      <c r="I5479" s="48" t="s">
        <v>9844</v>
      </c>
    </row>
    <row r="5480" spans="2:9" ht="15" customHeight="1" x14ac:dyDescent="0.25">
      <c r="B5480" s="55" t="s">
        <v>280</v>
      </c>
      <c r="C5480" s="46">
        <v>468</v>
      </c>
      <c r="D5480" s="69" t="s">
        <v>29417</v>
      </c>
      <c r="E5480" s="51"/>
      <c r="F5480" s="114" t="str">
        <f>IF(INDEX(I.Facility.P2aIDNumber,468)="","",INDEX(I.Facility.P2aIDNumber,468))</f>
        <v/>
      </c>
      <c r="G5480" s="51"/>
      <c r="H5480" s="46" t="str">
        <f>IF(AND(I.Developer.P2a=TRUE,I.Facility.P2aFacilityCount&gt;=468,F5480=""),"Incomplete","Complete")</f>
        <v>Complete</v>
      </c>
      <c r="I5480" s="48" t="s">
        <v>9845</v>
      </c>
    </row>
    <row r="5481" spans="2:9" ht="15" customHeight="1" x14ac:dyDescent="0.25">
      <c r="B5481" s="55" t="s">
        <v>280</v>
      </c>
      <c r="C5481" s="46">
        <v>469</v>
      </c>
      <c r="D5481" s="69" t="s">
        <v>29417</v>
      </c>
      <c r="E5481" s="51"/>
      <c r="F5481" s="114" t="str">
        <f>IF(INDEX(I.Facility.P2aIDNumber,469)="","",INDEX(I.Facility.P2aIDNumber,469))</f>
        <v/>
      </c>
      <c r="G5481" s="51"/>
      <c r="H5481" s="46" t="str">
        <f>IF(AND(I.Developer.P2a=TRUE,I.Facility.P2aFacilityCount&gt;=469,F5481=""),"Incomplete","Complete")</f>
        <v>Complete</v>
      </c>
      <c r="I5481" s="48" t="s">
        <v>9846</v>
      </c>
    </row>
    <row r="5482" spans="2:9" ht="15" customHeight="1" x14ac:dyDescent="0.25">
      <c r="B5482" s="55" t="s">
        <v>280</v>
      </c>
      <c r="C5482" s="46">
        <v>470</v>
      </c>
      <c r="D5482" s="69" t="s">
        <v>29417</v>
      </c>
      <c r="E5482" s="51"/>
      <c r="F5482" s="114" t="str">
        <f>IF(INDEX(I.Facility.P2aIDNumber,470)="","",INDEX(I.Facility.P2aIDNumber,470))</f>
        <v/>
      </c>
      <c r="G5482" s="51"/>
      <c r="H5482" s="46" t="str">
        <f>IF(AND(I.Developer.P2a=TRUE,I.Facility.P2aFacilityCount&gt;=470,F5482=""),"Incomplete","Complete")</f>
        <v>Complete</v>
      </c>
      <c r="I5482" s="48" t="s">
        <v>9847</v>
      </c>
    </row>
    <row r="5483" spans="2:9" ht="15" customHeight="1" x14ac:dyDescent="0.25">
      <c r="B5483" s="55" t="s">
        <v>280</v>
      </c>
      <c r="C5483" s="46">
        <v>471</v>
      </c>
      <c r="D5483" s="69" t="s">
        <v>29417</v>
      </c>
      <c r="E5483" s="51"/>
      <c r="F5483" s="114" t="str">
        <f>IF(INDEX(I.Facility.P2aIDNumber,471)="","",INDEX(I.Facility.P2aIDNumber,471))</f>
        <v/>
      </c>
      <c r="G5483" s="51"/>
      <c r="H5483" s="46" t="str">
        <f>IF(AND(I.Developer.P2a=TRUE,I.Facility.P2aFacilityCount&gt;=471,F5483=""),"Incomplete","Complete")</f>
        <v>Complete</v>
      </c>
      <c r="I5483" s="48" t="s">
        <v>9848</v>
      </c>
    </row>
    <row r="5484" spans="2:9" ht="15" customHeight="1" x14ac:dyDescent="0.25">
      <c r="B5484" s="55" t="s">
        <v>280</v>
      </c>
      <c r="C5484" s="46">
        <v>472</v>
      </c>
      <c r="D5484" s="69" t="s">
        <v>29417</v>
      </c>
      <c r="E5484" s="51"/>
      <c r="F5484" s="114" t="str">
        <f>IF(INDEX(I.Facility.P2aIDNumber,472)="","",INDEX(I.Facility.P2aIDNumber,472))</f>
        <v/>
      </c>
      <c r="G5484" s="51"/>
      <c r="H5484" s="46" t="str">
        <f>IF(AND(I.Developer.P2a=TRUE,I.Facility.P2aFacilityCount&gt;=472,F5484=""),"Incomplete","Complete")</f>
        <v>Complete</v>
      </c>
      <c r="I5484" s="48" t="s">
        <v>9849</v>
      </c>
    </row>
    <row r="5485" spans="2:9" ht="15" customHeight="1" x14ac:dyDescent="0.25">
      <c r="B5485" s="55" t="s">
        <v>280</v>
      </c>
      <c r="C5485" s="46">
        <v>473</v>
      </c>
      <c r="D5485" s="69" t="s">
        <v>29417</v>
      </c>
      <c r="E5485" s="51"/>
      <c r="F5485" s="114" t="str">
        <f>IF(INDEX(I.Facility.P2aIDNumber,473)="","",INDEX(I.Facility.P2aIDNumber,473))</f>
        <v/>
      </c>
      <c r="G5485" s="51"/>
      <c r="H5485" s="46" t="str">
        <f>IF(AND(I.Developer.P2a=TRUE,I.Facility.P2aFacilityCount&gt;=473,F5485=""),"Incomplete","Complete")</f>
        <v>Complete</v>
      </c>
      <c r="I5485" s="48" t="s">
        <v>9850</v>
      </c>
    </row>
    <row r="5486" spans="2:9" ht="15" customHeight="1" x14ac:dyDescent="0.25">
      <c r="B5486" s="55" t="s">
        <v>280</v>
      </c>
      <c r="C5486" s="46">
        <v>474</v>
      </c>
      <c r="D5486" s="69" t="s">
        <v>29417</v>
      </c>
      <c r="E5486" s="51"/>
      <c r="F5486" s="114" t="str">
        <f>IF(INDEX(I.Facility.P2aIDNumber,474)="","",INDEX(I.Facility.P2aIDNumber,474))</f>
        <v/>
      </c>
      <c r="G5486" s="51"/>
      <c r="H5486" s="46" t="str">
        <f>IF(AND(I.Developer.P2a=TRUE,I.Facility.P2aFacilityCount&gt;=474,F5486=""),"Incomplete","Complete")</f>
        <v>Complete</v>
      </c>
      <c r="I5486" s="48" t="s">
        <v>9851</v>
      </c>
    </row>
    <row r="5487" spans="2:9" ht="15" customHeight="1" x14ac:dyDescent="0.25">
      <c r="B5487" s="55" t="s">
        <v>280</v>
      </c>
      <c r="C5487" s="46">
        <v>475</v>
      </c>
      <c r="D5487" s="69" t="s">
        <v>29417</v>
      </c>
      <c r="E5487" s="51"/>
      <c r="F5487" s="114" t="str">
        <f>IF(INDEX(I.Facility.P2aIDNumber,475)="","",INDEX(I.Facility.P2aIDNumber,475))</f>
        <v/>
      </c>
      <c r="G5487" s="51"/>
      <c r="H5487" s="46" t="str">
        <f>IF(AND(I.Developer.P2a=TRUE,I.Facility.P2aFacilityCount&gt;=475,F5487=""),"Incomplete","Complete")</f>
        <v>Complete</v>
      </c>
      <c r="I5487" s="48" t="s">
        <v>9852</v>
      </c>
    </row>
    <row r="5488" spans="2:9" ht="15" customHeight="1" x14ac:dyDescent="0.25">
      <c r="B5488" s="55" t="s">
        <v>280</v>
      </c>
      <c r="C5488" s="46">
        <v>476</v>
      </c>
      <c r="D5488" s="69" t="s">
        <v>29417</v>
      </c>
      <c r="E5488" s="51"/>
      <c r="F5488" s="114" t="str">
        <f>IF(INDEX(I.Facility.P2aIDNumber,476)="","",INDEX(I.Facility.P2aIDNumber,476))</f>
        <v/>
      </c>
      <c r="G5488" s="51"/>
      <c r="H5488" s="46" t="str">
        <f>IF(AND(I.Developer.P2a=TRUE,I.Facility.P2aFacilityCount&gt;=476,F5488=""),"Incomplete","Complete")</f>
        <v>Complete</v>
      </c>
      <c r="I5488" s="48" t="s">
        <v>9853</v>
      </c>
    </row>
    <row r="5489" spans="2:9" ht="15" customHeight="1" x14ac:dyDescent="0.25">
      <c r="B5489" s="55" t="s">
        <v>280</v>
      </c>
      <c r="C5489" s="46">
        <v>477</v>
      </c>
      <c r="D5489" s="69" t="s">
        <v>29417</v>
      </c>
      <c r="E5489" s="51"/>
      <c r="F5489" s="114" t="str">
        <f>IF(INDEX(I.Facility.P2aIDNumber,477)="","",INDEX(I.Facility.P2aIDNumber,477))</f>
        <v/>
      </c>
      <c r="G5489" s="51"/>
      <c r="H5489" s="46" t="str">
        <f>IF(AND(I.Developer.P2a=TRUE,I.Facility.P2aFacilityCount&gt;=477,F5489=""),"Incomplete","Complete")</f>
        <v>Complete</v>
      </c>
      <c r="I5489" s="48" t="s">
        <v>9854</v>
      </c>
    </row>
    <row r="5490" spans="2:9" ht="15" customHeight="1" x14ac:dyDescent="0.25">
      <c r="B5490" s="55" t="s">
        <v>280</v>
      </c>
      <c r="C5490" s="46">
        <v>478</v>
      </c>
      <c r="D5490" s="69" t="s">
        <v>29417</v>
      </c>
      <c r="E5490" s="51"/>
      <c r="F5490" s="114" t="str">
        <f>IF(INDEX(I.Facility.P2aIDNumber,478)="","",INDEX(I.Facility.P2aIDNumber,478))</f>
        <v/>
      </c>
      <c r="G5490" s="51"/>
      <c r="H5490" s="46" t="str">
        <f>IF(AND(I.Developer.P2a=TRUE,I.Facility.P2aFacilityCount&gt;=478,F5490=""),"Incomplete","Complete")</f>
        <v>Complete</v>
      </c>
      <c r="I5490" s="48" t="s">
        <v>9855</v>
      </c>
    </row>
    <row r="5491" spans="2:9" ht="15" customHeight="1" x14ac:dyDescent="0.25">
      <c r="B5491" s="55" t="s">
        <v>280</v>
      </c>
      <c r="C5491" s="46">
        <v>479</v>
      </c>
      <c r="D5491" s="69" t="s">
        <v>29417</v>
      </c>
      <c r="E5491" s="51"/>
      <c r="F5491" s="114" t="str">
        <f>IF(INDEX(I.Facility.P2aIDNumber,479)="","",INDEX(I.Facility.P2aIDNumber,479))</f>
        <v/>
      </c>
      <c r="G5491" s="51"/>
      <c r="H5491" s="46" t="str">
        <f>IF(AND(I.Developer.P2a=TRUE,I.Facility.P2aFacilityCount&gt;=479,F5491=""),"Incomplete","Complete")</f>
        <v>Complete</v>
      </c>
      <c r="I5491" s="48" t="s">
        <v>9856</v>
      </c>
    </row>
    <row r="5492" spans="2:9" ht="15" customHeight="1" x14ac:dyDescent="0.25">
      <c r="B5492" s="55" t="s">
        <v>280</v>
      </c>
      <c r="C5492" s="46">
        <v>480</v>
      </c>
      <c r="D5492" s="69" t="s">
        <v>29417</v>
      </c>
      <c r="E5492" s="51"/>
      <c r="F5492" s="114" t="str">
        <f>IF(INDEX(I.Facility.P2aIDNumber,480)="","",INDEX(I.Facility.P2aIDNumber,480))</f>
        <v/>
      </c>
      <c r="G5492" s="51"/>
      <c r="H5492" s="46" t="str">
        <f>IF(AND(I.Developer.P2a=TRUE,I.Facility.P2aFacilityCount&gt;=480,F5492=""),"Incomplete","Complete")</f>
        <v>Complete</v>
      </c>
      <c r="I5492" s="48" t="s">
        <v>9857</v>
      </c>
    </row>
    <row r="5493" spans="2:9" ht="15" customHeight="1" x14ac:dyDescent="0.25">
      <c r="B5493" s="55" t="s">
        <v>280</v>
      </c>
      <c r="C5493" s="46">
        <v>481</v>
      </c>
      <c r="D5493" s="69" t="s">
        <v>29417</v>
      </c>
      <c r="E5493" s="51"/>
      <c r="F5493" s="114" t="str">
        <f>IF(INDEX(I.Facility.P2aIDNumber,481)="","",INDEX(I.Facility.P2aIDNumber,481))</f>
        <v/>
      </c>
      <c r="G5493" s="51"/>
      <c r="H5493" s="46" t="str">
        <f>IF(AND(I.Developer.P2a=TRUE,I.Facility.P2aFacilityCount&gt;=481,F5493=""),"Incomplete","Complete")</f>
        <v>Complete</v>
      </c>
      <c r="I5493" s="48" t="s">
        <v>9858</v>
      </c>
    </row>
    <row r="5494" spans="2:9" ht="15" customHeight="1" x14ac:dyDescent="0.25">
      <c r="B5494" s="55" t="s">
        <v>280</v>
      </c>
      <c r="C5494" s="46">
        <v>482</v>
      </c>
      <c r="D5494" s="69" t="s">
        <v>29417</v>
      </c>
      <c r="E5494" s="51"/>
      <c r="F5494" s="114" t="str">
        <f>IF(INDEX(I.Facility.P2aIDNumber,482)="","",INDEX(I.Facility.P2aIDNumber,482))</f>
        <v/>
      </c>
      <c r="G5494" s="51"/>
      <c r="H5494" s="46" t="str">
        <f>IF(AND(I.Developer.P2a=TRUE,I.Facility.P2aFacilityCount&gt;=482,F5494=""),"Incomplete","Complete")</f>
        <v>Complete</v>
      </c>
      <c r="I5494" s="48" t="s">
        <v>9859</v>
      </c>
    </row>
    <row r="5495" spans="2:9" ht="15" customHeight="1" x14ac:dyDescent="0.25">
      <c r="B5495" s="55" t="s">
        <v>280</v>
      </c>
      <c r="C5495" s="46">
        <v>483</v>
      </c>
      <c r="D5495" s="69" t="s">
        <v>29417</v>
      </c>
      <c r="E5495" s="51"/>
      <c r="F5495" s="114" t="str">
        <f>IF(INDEX(I.Facility.P2aIDNumber,483)="","",INDEX(I.Facility.P2aIDNumber,483))</f>
        <v/>
      </c>
      <c r="G5495" s="51"/>
      <c r="H5495" s="46" t="str">
        <f>IF(AND(I.Developer.P2a=TRUE,I.Facility.P2aFacilityCount&gt;=483,F5495=""),"Incomplete","Complete")</f>
        <v>Complete</v>
      </c>
      <c r="I5495" s="48" t="s">
        <v>9860</v>
      </c>
    </row>
    <row r="5496" spans="2:9" ht="15" customHeight="1" x14ac:dyDescent="0.25">
      <c r="B5496" s="55" t="s">
        <v>280</v>
      </c>
      <c r="C5496" s="46">
        <v>484</v>
      </c>
      <c r="D5496" s="69" t="s">
        <v>29417</v>
      </c>
      <c r="E5496" s="51"/>
      <c r="F5496" s="114" t="str">
        <f>IF(INDEX(I.Facility.P2aIDNumber,484)="","",INDEX(I.Facility.P2aIDNumber,484))</f>
        <v/>
      </c>
      <c r="G5496" s="51"/>
      <c r="H5496" s="46" t="str">
        <f>IF(AND(I.Developer.P2a=TRUE,I.Facility.P2aFacilityCount&gt;=484,F5496=""),"Incomplete","Complete")</f>
        <v>Complete</v>
      </c>
      <c r="I5496" s="48" t="s">
        <v>9861</v>
      </c>
    </row>
    <row r="5497" spans="2:9" ht="15" customHeight="1" x14ac:dyDescent="0.25">
      <c r="B5497" s="55" t="s">
        <v>280</v>
      </c>
      <c r="C5497" s="46">
        <v>485</v>
      </c>
      <c r="D5497" s="69" t="s">
        <v>29417</v>
      </c>
      <c r="E5497" s="51"/>
      <c r="F5497" s="114" t="str">
        <f>IF(INDEX(I.Facility.P2aIDNumber,485)="","",INDEX(I.Facility.P2aIDNumber,485))</f>
        <v/>
      </c>
      <c r="G5497" s="51"/>
      <c r="H5497" s="46" t="str">
        <f>IF(AND(I.Developer.P2a=TRUE,I.Facility.P2aFacilityCount&gt;=485,F5497=""),"Incomplete","Complete")</f>
        <v>Complete</v>
      </c>
      <c r="I5497" s="48" t="s">
        <v>9862</v>
      </c>
    </row>
    <row r="5498" spans="2:9" ht="15" customHeight="1" x14ac:dyDescent="0.25">
      <c r="B5498" s="55" t="s">
        <v>280</v>
      </c>
      <c r="C5498" s="46">
        <v>486</v>
      </c>
      <c r="D5498" s="69" t="s">
        <v>29417</v>
      </c>
      <c r="E5498" s="51"/>
      <c r="F5498" s="114" t="str">
        <f>IF(INDEX(I.Facility.P2aIDNumber,486)="","",INDEX(I.Facility.P2aIDNumber,486))</f>
        <v/>
      </c>
      <c r="G5498" s="51"/>
      <c r="H5498" s="46" t="str">
        <f>IF(AND(I.Developer.P2a=TRUE,I.Facility.P2aFacilityCount&gt;=486,F5498=""),"Incomplete","Complete")</f>
        <v>Complete</v>
      </c>
      <c r="I5498" s="48" t="s">
        <v>9863</v>
      </c>
    </row>
    <row r="5499" spans="2:9" ht="15" customHeight="1" x14ac:dyDescent="0.25">
      <c r="B5499" s="55" t="s">
        <v>280</v>
      </c>
      <c r="C5499" s="46">
        <v>487</v>
      </c>
      <c r="D5499" s="69" t="s">
        <v>29417</v>
      </c>
      <c r="E5499" s="51"/>
      <c r="F5499" s="114" t="str">
        <f>IF(INDEX(I.Facility.P2aIDNumber,487)="","",INDEX(I.Facility.P2aIDNumber,487))</f>
        <v/>
      </c>
      <c r="G5499" s="51"/>
      <c r="H5499" s="46" t="str">
        <f>IF(AND(I.Developer.P2a=TRUE,I.Facility.P2aFacilityCount&gt;=487,F5499=""),"Incomplete","Complete")</f>
        <v>Complete</v>
      </c>
      <c r="I5499" s="48" t="s">
        <v>9864</v>
      </c>
    </row>
    <row r="5500" spans="2:9" ht="15" customHeight="1" x14ac:dyDescent="0.25">
      <c r="B5500" s="55" t="s">
        <v>280</v>
      </c>
      <c r="C5500" s="46">
        <v>488</v>
      </c>
      <c r="D5500" s="69" t="s">
        <v>29417</v>
      </c>
      <c r="E5500" s="51"/>
      <c r="F5500" s="114" t="str">
        <f>IF(INDEX(I.Facility.P2aIDNumber,488)="","",INDEX(I.Facility.P2aIDNumber,488))</f>
        <v/>
      </c>
      <c r="G5500" s="51"/>
      <c r="H5500" s="46" t="str">
        <f>IF(AND(I.Developer.P2a=TRUE,I.Facility.P2aFacilityCount&gt;=488,F5500=""),"Incomplete","Complete")</f>
        <v>Complete</v>
      </c>
      <c r="I5500" s="48" t="s">
        <v>9865</v>
      </c>
    </row>
    <row r="5501" spans="2:9" ht="15" customHeight="1" x14ac:dyDescent="0.25">
      <c r="B5501" s="55" t="s">
        <v>280</v>
      </c>
      <c r="C5501" s="46">
        <v>489</v>
      </c>
      <c r="D5501" s="69" t="s">
        <v>29417</v>
      </c>
      <c r="E5501" s="51"/>
      <c r="F5501" s="114" t="str">
        <f>IF(INDEX(I.Facility.P2aIDNumber,489)="","",INDEX(I.Facility.P2aIDNumber,489))</f>
        <v/>
      </c>
      <c r="G5501" s="51"/>
      <c r="H5501" s="46" t="str">
        <f>IF(AND(I.Developer.P2a=TRUE,I.Facility.P2aFacilityCount&gt;=489,F5501=""),"Incomplete","Complete")</f>
        <v>Complete</v>
      </c>
      <c r="I5501" s="48" t="s">
        <v>9866</v>
      </c>
    </row>
    <row r="5502" spans="2:9" ht="15" customHeight="1" x14ac:dyDescent="0.25">
      <c r="B5502" s="55" t="s">
        <v>280</v>
      </c>
      <c r="C5502" s="46">
        <v>490</v>
      </c>
      <c r="D5502" s="69" t="s">
        <v>29417</v>
      </c>
      <c r="E5502" s="51"/>
      <c r="F5502" s="114" t="str">
        <f>IF(INDEX(I.Facility.P2aIDNumber,490)="","",INDEX(I.Facility.P2aIDNumber,490))</f>
        <v/>
      </c>
      <c r="G5502" s="51"/>
      <c r="H5502" s="46" t="str">
        <f>IF(AND(I.Developer.P2a=TRUE,I.Facility.P2aFacilityCount&gt;=490,F5502=""),"Incomplete","Complete")</f>
        <v>Complete</v>
      </c>
      <c r="I5502" s="48" t="s">
        <v>9867</v>
      </c>
    </row>
    <row r="5503" spans="2:9" ht="15" customHeight="1" x14ac:dyDescent="0.25">
      <c r="B5503" s="55" t="s">
        <v>280</v>
      </c>
      <c r="C5503" s="46">
        <v>491</v>
      </c>
      <c r="D5503" s="69" t="s">
        <v>29417</v>
      </c>
      <c r="E5503" s="51"/>
      <c r="F5503" s="114" t="str">
        <f>IF(INDEX(I.Facility.P2aIDNumber,491)="","",INDEX(I.Facility.P2aIDNumber,491))</f>
        <v/>
      </c>
      <c r="G5503" s="51"/>
      <c r="H5503" s="46" t="str">
        <f>IF(AND(I.Developer.P2a=TRUE,I.Facility.P2aFacilityCount&gt;=491,F5503=""),"Incomplete","Complete")</f>
        <v>Complete</v>
      </c>
      <c r="I5503" s="48" t="s">
        <v>9868</v>
      </c>
    </row>
    <row r="5504" spans="2:9" ht="15" customHeight="1" x14ac:dyDescent="0.25">
      <c r="B5504" s="55" t="s">
        <v>280</v>
      </c>
      <c r="C5504" s="46">
        <v>492</v>
      </c>
      <c r="D5504" s="69" t="s">
        <v>29417</v>
      </c>
      <c r="E5504" s="51"/>
      <c r="F5504" s="114" t="str">
        <f>IF(INDEX(I.Facility.P2aIDNumber,492)="","",INDEX(I.Facility.P2aIDNumber,492))</f>
        <v/>
      </c>
      <c r="G5504" s="51"/>
      <c r="H5504" s="46" t="str">
        <f>IF(AND(I.Developer.P2a=TRUE,I.Facility.P2aFacilityCount&gt;=492,F5504=""),"Incomplete","Complete")</f>
        <v>Complete</v>
      </c>
      <c r="I5504" s="48" t="s">
        <v>9869</v>
      </c>
    </row>
    <row r="5505" spans="2:9" ht="15" customHeight="1" x14ac:dyDescent="0.25">
      <c r="B5505" s="55" t="s">
        <v>280</v>
      </c>
      <c r="C5505" s="46">
        <v>493</v>
      </c>
      <c r="D5505" s="69" t="s">
        <v>29417</v>
      </c>
      <c r="E5505" s="51"/>
      <c r="F5505" s="114" t="str">
        <f>IF(INDEX(I.Facility.P2aIDNumber,493)="","",INDEX(I.Facility.P2aIDNumber,493))</f>
        <v/>
      </c>
      <c r="G5505" s="51"/>
      <c r="H5505" s="46" t="str">
        <f>IF(AND(I.Developer.P2a=TRUE,I.Facility.P2aFacilityCount&gt;=493,F5505=""),"Incomplete","Complete")</f>
        <v>Complete</v>
      </c>
      <c r="I5505" s="48" t="s">
        <v>9870</v>
      </c>
    </row>
    <row r="5506" spans="2:9" ht="15" customHeight="1" x14ac:dyDescent="0.25">
      <c r="B5506" s="55" t="s">
        <v>280</v>
      </c>
      <c r="C5506" s="46">
        <v>494</v>
      </c>
      <c r="D5506" s="69" t="s">
        <v>29417</v>
      </c>
      <c r="E5506" s="51"/>
      <c r="F5506" s="114" t="str">
        <f>IF(INDEX(I.Facility.P2aIDNumber,494)="","",INDEX(I.Facility.P2aIDNumber,494))</f>
        <v/>
      </c>
      <c r="G5506" s="51"/>
      <c r="H5506" s="46" t="str">
        <f>IF(AND(I.Developer.P2a=TRUE,I.Facility.P2aFacilityCount&gt;=494,F5506=""),"Incomplete","Complete")</f>
        <v>Complete</v>
      </c>
      <c r="I5506" s="48" t="s">
        <v>9871</v>
      </c>
    </row>
    <row r="5507" spans="2:9" ht="15" customHeight="1" x14ac:dyDescent="0.25">
      <c r="B5507" s="55" t="s">
        <v>280</v>
      </c>
      <c r="C5507" s="46">
        <v>495</v>
      </c>
      <c r="D5507" s="69" t="s">
        <v>29417</v>
      </c>
      <c r="E5507" s="51"/>
      <c r="F5507" s="114" t="str">
        <f>IF(INDEX(I.Facility.P2aIDNumber,495)="","",INDEX(I.Facility.P2aIDNumber,495))</f>
        <v/>
      </c>
      <c r="G5507" s="51"/>
      <c r="H5507" s="46" t="str">
        <f>IF(AND(I.Developer.P2a=TRUE,I.Facility.P2aFacilityCount&gt;=495,F5507=""),"Incomplete","Complete")</f>
        <v>Complete</v>
      </c>
      <c r="I5507" s="48" t="s">
        <v>9872</v>
      </c>
    </row>
    <row r="5508" spans="2:9" ht="15" customHeight="1" x14ac:dyDescent="0.25">
      <c r="B5508" s="55" t="s">
        <v>280</v>
      </c>
      <c r="C5508" s="46">
        <v>496</v>
      </c>
      <c r="D5508" s="69" t="s">
        <v>29417</v>
      </c>
      <c r="E5508" s="51"/>
      <c r="F5508" s="114" t="str">
        <f>IF(INDEX(I.Facility.P2aIDNumber,496)="","",INDEX(I.Facility.P2aIDNumber,496))</f>
        <v/>
      </c>
      <c r="G5508" s="51"/>
      <c r="H5508" s="46" t="str">
        <f>IF(AND(I.Developer.P2a=TRUE,I.Facility.P2aFacilityCount&gt;=496,F5508=""),"Incomplete","Complete")</f>
        <v>Complete</v>
      </c>
      <c r="I5508" s="48" t="s">
        <v>9873</v>
      </c>
    </row>
    <row r="5509" spans="2:9" ht="15" customHeight="1" x14ac:dyDescent="0.25">
      <c r="B5509" s="55" t="s">
        <v>280</v>
      </c>
      <c r="C5509" s="46">
        <v>497</v>
      </c>
      <c r="D5509" s="69" t="s">
        <v>29417</v>
      </c>
      <c r="E5509" s="51"/>
      <c r="F5509" s="114" t="str">
        <f>IF(INDEX(I.Facility.P2aIDNumber,497)="","",INDEX(I.Facility.P2aIDNumber,497))</f>
        <v/>
      </c>
      <c r="G5509" s="51"/>
      <c r="H5509" s="46" t="str">
        <f>IF(AND(I.Developer.P2a=TRUE,I.Facility.P2aFacilityCount&gt;=497,F5509=""),"Incomplete","Complete")</f>
        <v>Complete</v>
      </c>
      <c r="I5509" s="48" t="s">
        <v>9874</v>
      </c>
    </row>
    <row r="5510" spans="2:9" ht="15" customHeight="1" x14ac:dyDescent="0.25">
      <c r="B5510" s="55" t="s">
        <v>280</v>
      </c>
      <c r="C5510" s="46">
        <v>498</v>
      </c>
      <c r="D5510" s="69" t="s">
        <v>29417</v>
      </c>
      <c r="E5510" s="51"/>
      <c r="F5510" s="114" t="str">
        <f>IF(INDEX(I.Facility.P2aIDNumber,498)="","",INDEX(I.Facility.P2aIDNumber,498))</f>
        <v/>
      </c>
      <c r="G5510" s="51"/>
      <c r="H5510" s="46" t="str">
        <f>IF(AND(I.Developer.P2a=TRUE,I.Facility.P2aFacilityCount&gt;=498,F5510=""),"Incomplete","Complete")</f>
        <v>Complete</v>
      </c>
      <c r="I5510" s="48" t="s">
        <v>9875</v>
      </c>
    </row>
    <row r="5511" spans="2:9" ht="15" customHeight="1" x14ac:dyDescent="0.25">
      <c r="B5511" s="55" t="s">
        <v>280</v>
      </c>
      <c r="C5511" s="46">
        <v>499</v>
      </c>
      <c r="D5511" s="69" t="s">
        <v>29417</v>
      </c>
      <c r="E5511" s="51"/>
      <c r="F5511" s="114" t="str">
        <f>IF(INDEX(I.Facility.P2aIDNumber,499)="","",INDEX(I.Facility.P2aIDNumber,499))</f>
        <v/>
      </c>
      <c r="G5511" s="51"/>
      <c r="H5511" s="46" t="str">
        <f>IF(AND(I.Developer.P2a=TRUE,I.Facility.P2aFacilityCount&gt;=499,F5511=""),"Incomplete","Complete")</f>
        <v>Complete</v>
      </c>
      <c r="I5511" s="48" t="s">
        <v>9876</v>
      </c>
    </row>
    <row r="5512" spans="2:9" ht="15" customHeight="1" x14ac:dyDescent="0.25">
      <c r="B5512" s="55" t="s">
        <v>280</v>
      </c>
      <c r="C5512" s="46">
        <v>500</v>
      </c>
      <c r="D5512" s="69" t="s">
        <v>29417</v>
      </c>
      <c r="E5512" s="51"/>
      <c r="F5512" s="114" t="str">
        <f>IF(INDEX(I.Facility.P2aIDNumber,500)="","",INDEX(I.Facility.P2aIDNumber,500))</f>
        <v/>
      </c>
      <c r="G5512" s="51"/>
      <c r="H5512" s="46" t="str">
        <f>IF(AND(I.Developer.P2a=TRUE,I.Facility.P2aFacilityCount&gt;=500,F5512=""),"Incomplete","Complete")</f>
        <v>Complete</v>
      </c>
      <c r="I5512" s="48" t="s">
        <v>9877</v>
      </c>
    </row>
    <row r="5513" spans="2:9" ht="15" customHeight="1" x14ac:dyDescent="0.25">
      <c r="B5513" s="55" t="s">
        <v>280</v>
      </c>
      <c r="C5513" s="46">
        <v>501</v>
      </c>
      <c r="D5513" s="69" t="s">
        <v>29417</v>
      </c>
      <c r="E5513" s="51"/>
      <c r="F5513" s="114" t="str">
        <f>IF(INDEX(I.Facility.P2aIDNumber,501)="","",INDEX(I.Facility.P2aIDNumber,501))</f>
        <v/>
      </c>
      <c r="G5513" s="51"/>
      <c r="H5513" s="46" t="str">
        <f>IF(AND(I.Developer.P2a=TRUE,I.Facility.P2aFacilityCount&gt;=501,F5513=""),"Incomplete","Complete")</f>
        <v>Complete</v>
      </c>
      <c r="I5513" s="48" t="s">
        <v>9878</v>
      </c>
    </row>
    <row r="5514" spans="2:9" ht="15" customHeight="1" x14ac:dyDescent="0.25">
      <c r="B5514" s="55" t="s">
        <v>280</v>
      </c>
      <c r="C5514" s="46">
        <v>502</v>
      </c>
      <c r="D5514" s="69" t="s">
        <v>29417</v>
      </c>
      <c r="E5514" s="51"/>
      <c r="F5514" s="114" t="str">
        <f>IF(INDEX(I.Facility.P2aIDNumber,502)="","",INDEX(I.Facility.P2aIDNumber,502))</f>
        <v/>
      </c>
      <c r="G5514" s="51"/>
      <c r="H5514" s="46" t="str">
        <f>IF(AND(I.Developer.P2a=TRUE,I.Facility.P2aFacilityCount&gt;=502,F5514=""),"Incomplete","Complete")</f>
        <v>Complete</v>
      </c>
      <c r="I5514" s="48" t="s">
        <v>9879</v>
      </c>
    </row>
    <row r="5515" spans="2:9" ht="15" customHeight="1" x14ac:dyDescent="0.25">
      <c r="B5515" s="55" t="s">
        <v>280</v>
      </c>
      <c r="C5515" s="46">
        <v>503</v>
      </c>
      <c r="D5515" s="69" t="s">
        <v>29417</v>
      </c>
      <c r="E5515" s="51"/>
      <c r="F5515" s="114" t="str">
        <f>IF(INDEX(I.Facility.P2aIDNumber,503)="","",INDEX(I.Facility.P2aIDNumber,503))</f>
        <v/>
      </c>
      <c r="G5515" s="51"/>
      <c r="H5515" s="46" t="str">
        <f>IF(AND(I.Developer.P2a=TRUE,I.Facility.P2aFacilityCount&gt;=503,F5515=""),"Incomplete","Complete")</f>
        <v>Complete</v>
      </c>
      <c r="I5515" s="48" t="s">
        <v>9880</v>
      </c>
    </row>
    <row r="5516" spans="2:9" ht="15" customHeight="1" x14ac:dyDescent="0.25">
      <c r="B5516" s="55" t="s">
        <v>280</v>
      </c>
      <c r="C5516" s="46">
        <v>504</v>
      </c>
      <c r="D5516" s="69" t="s">
        <v>29417</v>
      </c>
      <c r="E5516" s="51"/>
      <c r="F5516" s="114" t="str">
        <f>IF(INDEX(I.Facility.P2aIDNumber,504)="","",INDEX(I.Facility.P2aIDNumber,504))</f>
        <v/>
      </c>
      <c r="G5516" s="51"/>
      <c r="H5516" s="46" t="str">
        <f>IF(AND(I.Developer.P2a=TRUE,I.Facility.P2aFacilityCount&gt;=504,F5516=""),"Incomplete","Complete")</f>
        <v>Complete</v>
      </c>
      <c r="I5516" s="48" t="s">
        <v>9881</v>
      </c>
    </row>
    <row r="5517" spans="2:9" ht="15" customHeight="1" x14ac:dyDescent="0.25">
      <c r="B5517" s="55" t="s">
        <v>280</v>
      </c>
      <c r="C5517" s="46">
        <v>505</v>
      </c>
      <c r="D5517" s="69" t="s">
        <v>29417</v>
      </c>
      <c r="E5517" s="51"/>
      <c r="F5517" s="114" t="str">
        <f>IF(INDEX(I.Facility.P2aIDNumber,505)="","",INDEX(I.Facility.P2aIDNumber,505))</f>
        <v/>
      </c>
      <c r="G5517" s="51"/>
      <c r="H5517" s="46" t="str">
        <f>IF(AND(I.Developer.P2a=TRUE,I.Facility.P2aFacilityCount&gt;=505,F5517=""),"Incomplete","Complete")</f>
        <v>Complete</v>
      </c>
      <c r="I5517" s="48" t="s">
        <v>9882</v>
      </c>
    </row>
    <row r="5518" spans="2:9" ht="15" customHeight="1" x14ac:dyDescent="0.25">
      <c r="B5518" s="55" t="s">
        <v>280</v>
      </c>
      <c r="C5518" s="46">
        <v>506</v>
      </c>
      <c r="D5518" s="69" t="s">
        <v>29417</v>
      </c>
      <c r="E5518" s="51"/>
      <c r="F5518" s="114" t="str">
        <f>IF(INDEX(I.Facility.P2aIDNumber,506)="","",INDEX(I.Facility.P2aIDNumber,506))</f>
        <v/>
      </c>
      <c r="G5518" s="51"/>
      <c r="H5518" s="46" t="str">
        <f>IF(AND(I.Developer.P2a=TRUE,I.Facility.P2aFacilityCount&gt;=506,F5518=""),"Incomplete","Complete")</f>
        <v>Complete</v>
      </c>
      <c r="I5518" s="48" t="s">
        <v>9883</v>
      </c>
    </row>
    <row r="5519" spans="2:9" ht="15" customHeight="1" x14ac:dyDescent="0.25">
      <c r="B5519" s="55" t="s">
        <v>280</v>
      </c>
      <c r="C5519" s="46">
        <v>507</v>
      </c>
      <c r="D5519" s="69" t="s">
        <v>29417</v>
      </c>
      <c r="E5519" s="51"/>
      <c r="F5519" s="114" t="str">
        <f>IF(INDEX(I.Facility.P2aIDNumber,507)="","",INDEX(I.Facility.P2aIDNumber,507))</f>
        <v/>
      </c>
      <c r="G5519" s="51"/>
      <c r="H5519" s="46" t="str">
        <f>IF(AND(I.Developer.P2a=TRUE,I.Facility.P2aFacilityCount&gt;=507,F5519=""),"Incomplete","Complete")</f>
        <v>Complete</v>
      </c>
      <c r="I5519" s="48" t="s">
        <v>9884</v>
      </c>
    </row>
    <row r="5520" spans="2:9" ht="15" customHeight="1" x14ac:dyDescent="0.25">
      <c r="B5520" s="55" t="s">
        <v>280</v>
      </c>
      <c r="C5520" s="46">
        <v>508</v>
      </c>
      <c r="D5520" s="69" t="s">
        <v>29417</v>
      </c>
      <c r="E5520" s="51"/>
      <c r="F5520" s="114" t="str">
        <f>IF(INDEX(I.Facility.P2aIDNumber,508)="","",INDEX(I.Facility.P2aIDNumber,508))</f>
        <v/>
      </c>
      <c r="G5520" s="51"/>
      <c r="H5520" s="46" t="str">
        <f>IF(AND(I.Developer.P2a=TRUE,I.Facility.P2aFacilityCount&gt;=508,F5520=""),"Incomplete","Complete")</f>
        <v>Complete</v>
      </c>
      <c r="I5520" s="48" t="s">
        <v>9885</v>
      </c>
    </row>
    <row r="5521" spans="2:9" ht="15" customHeight="1" x14ac:dyDescent="0.25">
      <c r="B5521" s="55" t="s">
        <v>280</v>
      </c>
      <c r="C5521" s="46">
        <v>509</v>
      </c>
      <c r="D5521" s="69" t="s">
        <v>29417</v>
      </c>
      <c r="E5521" s="51"/>
      <c r="F5521" s="114" t="str">
        <f>IF(INDEX(I.Facility.P2aIDNumber,509)="","",INDEX(I.Facility.P2aIDNumber,509))</f>
        <v/>
      </c>
      <c r="G5521" s="51"/>
      <c r="H5521" s="46" t="str">
        <f>IF(AND(I.Developer.P2a=TRUE,I.Facility.P2aFacilityCount&gt;=509,F5521=""),"Incomplete","Complete")</f>
        <v>Complete</v>
      </c>
      <c r="I5521" s="48" t="s">
        <v>9886</v>
      </c>
    </row>
    <row r="5522" spans="2:9" ht="15" customHeight="1" x14ac:dyDescent="0.25">
      <c r="B5522" s="55" t="s">
        <v>280</v>
      </c>
      <c r="C5522" s="46">
        <v>510</v>
      </c>
      <c r="D5522" s="69" t="s">
        <v>29417</v>
      </c>
      <c r="E5522" s="51"/>
      <c r="F5522" s="114" t="str">
        <f>IF(INDEX(I.Facility.P2aIDNumber,510)="","",INDEX(I.Facility.P2aIDNumber,510))</f>
        <v/>
      </c>
      <c r="G5522" s="51"/>
      <c r="H5522" s="46" t="str">
        <f>IF(AND(I.Developer.P2a=TRUE,I.Facility.P2aFacilityCount&gt;=510,F5522=""),"Incomplete","Complete")</f>
        <v>Complete</v>
      </c>
      <c r="I5522" s="48" t="s">
        <v>9887</v>
      </c>
    </row>
    <row r="5523" spans="2:9" ht="15" customHeight="1" x14ac:dyDescent="0.25">
      <c r="B5523" s="55" t="s">
        <v>280</v>
      </c>
      <c r="C5523" s="46">
        <v>511</v>
      </c>
      <c r="D5523" s="69" t="s">
        <v>29417</v>
      </c>
      <c r="E5523" s="51"/>
      <c r="F5523" s="114" t="str">
        <f>IF(INDEX(I.Facility.P2aIDNumber,511)="","",INDEX(I.Facility.P2aIDNumber,511))</f>
        <v/>
      </c>
      <c r="G5523" s="51"/>
      <c r="H5523" s="46" t="str">
        <f>IF(AND(I.Developer.P2a=TRUE,I.Facility.P2aFacilityCount&gt;=511,F5523=""),"Incomplete","Complete")</f>
        <v>Complete</v>
      </c>
      <c r="I5523" s="48" t="s">
        <v>9888</v>
      </c>
    </row>
    <row r="5524" spans="2:9" ht="15" customHeight="1" x14ac:dyDescent="0.25">
      <c r="B5524" s="55" t="s">
        <v>280</v>
      </c>
      <c r="C5524" s="46">
        <v>512</v>
      </c>
      <c r="D5524" s="69" t="s">
        <v>29417</v>
      </c>
      <c r="E5524" s="51"/>
      <c r="F5524" s="114" t="str">
        <f>IF(INDEX(I.Facility.P2aIDNumber,512)="","",INDEX(I.Facility.P2aIDNumber,512))</f>
        <v/>
      </c>
      <c r="G5524" s="51"/>
      <c r="H5524" s="46" t="str">
        <f>IF(AND(I.Developer.P2a=TRUE,I.Facility.P2aFacilityCount&gt;=512,F5524=""),"Incomplete","Complete")</f>
        <v>Complete</v>
      </c>
      <c r="I5524" s="48" t="s">
        <v>9889</v>
      </c>
    </row>
    <row r="5525" spans="2:9" ht="15" customHeight="1" x14ac:dyDescent="0.25">
      <c r="B5525" s="55" t="s">
        <v>280</v>
      </c>
      <c r="C5525" s="46">
        <v>513</v>
      </c>
      <c r="D5525" s="69" t="s">
        <v>29417</v>
      </c>
      <c r="E5525" s="51"/>
      <c r="F5525" s="114" t="str">
        <f>IF(INDEX(I.Facility.P2aIDNumber,513)="","",INDEX(I.Facility.P2aIDNumber,513))</f>
        <v/>
      </c>
      <c r="G5525" s="51"/>
      <c r="H5525" s="46" t="str">
        <f>IF(AND(I.Developer.P2a=TRUE,I.Facility.P2aFacilityCount&gt;=513,F5525=""),"Incomplete","Complete")</f>
        <v>Complete</v>
      </c>
      <c r="I5525" s="48" t="s">
        <v>9890</v>
      </c>
    </row>
    <row r="5526" spans="2:9" ht="15" customHeight="1" x14ac:dyDescent="0.25">
      <c r="B5526" s="55" t="s">
        <v>280</v>
      </c>
      <c r="C5526" s="46">
        <v>514</v>
      </c>
      <c r="D5526" s="69" t="s">
        <v>29417</v>
      </c>
      <c r="E5526" s="51"/>
      <c r="F5526" s="114" t="str">
        <f>IF(INDEX(I.Facility.P2aIDNumber,514)="","",INDEX(I.Facility.P2aIDNumber,514))</f>
        <v/>
      </c>
      <c r="G5526" s="51"/>
      <c r="H5526" s="46" t="str">
        <f>IF(AND(I.Developer.P2a=TRUE,I.Facility.P2aFacilityCount&gt;=514,F5526=""),"Incomplete","Complete")</f>
        <v>Complete</v>
      </c>
      <c r="I5526" s="48" t="s">
        <v>9891</v>
      </c>
    </row>
    <row r="5527" spans="2:9" ht="15" customHeight="1" x14ac:dyDescent="0.25">
      <c r="B5527" s="55" t="s">
        <v>280</v>
      </c>
      <c r="C5527" s="46">
        <v>515</v>
      </c>
      <c r="D5527" s="69" t="s">
        <v>29417</v>
      </c>
      <c r="E5527" s="51"/>
      <c r="F5527" s="114" t="str">
        <f>IF(INDEX(I.Facility.P2aIDNumber,515)="","",INDEX(I.Facility.P2aIDNumber,515))</f>
        <v/>
      </c>
      <c r="G5527" s="51"/>
      <c r="H5527" s="46" t="str">
        <f>IF(AND(I.Developer.P2a=TRUE,I.Facility.P2aFacilityCount&gt;=515,F5527=""),"Incomplete","Complete")</f>
        <v>Complete</v>
      </c>
      <c r="I5527" s="48" t="s">
        <v>9892</v>
      </c>
    </row>
    <row r="5528" spans="2:9" ht="15" customHeight="1" x14ac:dyDescent="0.25">
      <c r="B5528" s="55" t="s">
        <v>280</v>
      </c>
      <c r="C5528" s="46">
        <v>516</v>
      </c>
      <c r="D5528" s="69" t="s">
        <v>29417</v>
      </c>
      <c r="E5528" s="51"/>
      <c r="F5528" s="114" t="str">
        <f>IF(INDEX(I.Facility.P2aIDNumber,516)="","",INDEX(I.Facility.P2aIDNumber,516))</f>
        <v/>
      </c>
      <c r="G5528" s="51"/>
      <c r="H5528" s="46" t="str">
        <f>IF(AND(I.Developer.P2a=TRUE,I.Facility.P2aFacilityCount&gt;=516,F5528=""),"Incomplete","Complete")</f>
        <v>Complete</v>
      </c>
      <c r="I5528" s="48" t="s">
        <v>9893</v>
      </c>
    </row>
    <row r="5529" spans="2:9" ht="15" customHeight="1" x14ac:dyDescent="0.25">
      <c r="B5529" s="55" t="s">
        <v>280</v>
      </c>
      <c r="C5529" s="46">
        <v>517</v>
      </c>
      <c r="D5529" s="69" t="s">
        <v>29417</v>
      </c>
      <c r="E5529" s="51"/>
      <c r="F5529" s="114" t="str">
        <f>IF(INDEX(I.Facility.P2aIDNumber,517)="","",INDEX(I.Facility.P2aIDNumber,517))</f>
        <v/>
      </c>
      <c r="G5529" s="51"/>
      <c r="H5529" s="46" t="str">
        <f>IF(AND(I.Developer.P2a=TRUE,I.Facility.P2aFacilityCount&gt;=517,F5529=""),"Incomplete","Complete")</f>
        <v>Complete</v>
      </c>
      <c r="I5529" s="48" t="s">
        <v>9894</v>
      </c>
    </row>
    <row r="5530" spans="2:9" ht="15" customHeight="1" x14ac:dyDescent="0.25">
      <c r="B5530" s="55" t="s">
        <v>280</v>
      </c>
      <c r="C5530" s="46">
        <v>518</v>
      </c>
      <c r="D5530" s="69" t="s">
        <v>29417</v>
      </c>
      <c r="E5530" s="51"/>
      <c r="F5530" s="114" t="str">
        <f>IF(INDEX(I.Facility.P2aIDNumber,518)="","",INDEX(I.Facility.P2aIDNumber,518))</f>
        <v/>
      </c>
      <c r="G5530" s="51"/>
      <c r="H5530" s="46" t="str">
        <f>IF(AND(I.Developer.P2a=TRUE,I.Facility.P2aFacilityCount&gt;=518,F5530=""),"Incomplete","Complete")</f>
        <v>Complete</v>
      </c>
      <c r="I5530" s="48" t="s">
        <v>9895</v>
      </c>
    </row>
    <row r="5531" spans="2:9" ht="15" customHeight="1" x14ac:dyDescent="0.25">
      <c r="B5531" s="55" t="s">
        <v>280</v>
      </c>
      <c r="C5531" s="46">
        <v>519</v>
      </c>
      <c r="D5531" s="69" t="s">
        <v>29417</v>
      </c>
      <c r="E5531" s="51"/>
      <c r="F5531" s="114" t="str">
        <f>IF(INDEX(I.Facility.P2aIDNumber,519)="","",INDEX(I.Facility.P2aIDNumber,519))</f>
        <v/>
      </c>
      <c r="G5531" s="51"/>
      <c r="H5531" s="46" t="str">
        <f>IF(AND(I.Developer.P2a=TRUE,I.Facility.P2aFacilityCount&gt;=519,F5531=""),"Incomplete","Complete")</f>
        <v>Complete</v>
      </c>
      <c r="I5531" s="48" t="s">
        <v>9896</v>
      </c>
    </row>
    <row r="5532" spans="2:9" ht="15" customHeight="1" x14ac:dyDescent="0.25">
      <c r="B5532" s="55" t="s">
        <v>280</v>
      </c>
      <c r="C5532" s="46">
        <v>520</v>
      </c>
      <c r="D5532" s="69" t="s">
        <v>29417</v>
      </c>
      <c r="E5532" s="51"/>
      <c r="F5532" s="114" t="str">
        <f>IF(INDEX(I.Facility.P2aIDNumber,520)="","",INDEX(I.Facility.P2aIDNumber,520))</f>
        <v/>
      </c>
      <c r="G5532" s="51"/>
      <c r="H5532" s="46" t="str">
        <f>IF(AND(I.Developer.P2a=TRUE,I.Facility.P2aFacilityCount&gt;=520,F5532=""),"Incomplete","Complete")</f>
        <v>Complete</v>
      </c>
      <c r="I5532" s="48" t="s">
        <v>9897</v>
      </c>
    </row>
    <row r="5533" spans="2:9" ht="15" customHeight="1" x14ac:dyDescent="0.25">
      <c r="B5533" s="55" t="s">
        <v>280</v>
      </c>
      <c r="C5533" s="46">
        <v>521</v>
      </c>
      <c r="D5533" s="69" t="s">
        <v>29417</v>
      </c>
      <c r="E5533" s="51"/>
      <c r="F5533" s="114" t="str">
        <f>IF(INDEX(I.Facility.P2aIDNumber,521)="","",INDEX(I.Facility.P2aIDNumber,521))</f>
        <v/>
      </c>
      <c r="G5533" s="51"/>
      <c r="H5533" s="46" t="str">
        <f>IF(AND(I.Developer.P2a=TRUE,I.Facility.P2aFacilityCount&gt;=521,F5533=""),"Incomplete","Complete")</f>
        <v>Complete</v>
      </c>
      <c r="I5533" s="48" t="s">
        <v>9898</v>
      </c>
    </row>
    <row r="5534" spans="2:9" ht="15" customHeight="1" x14ac:dyDescent="0.25">
      <c r="B5534" s="55" t="s">
        <v>280</v>
      </c>
      <c r="C5534" s="46">
        <v>522</v>
      </c>
      <c r="D5534" s="69" t="s">
        <v>29417</v>
      </c>
      <c r="E5534" s="51"/>
      <c r="F5534" s="114" t="str">
        <f>IF(INDEX(I.Facility.P2aIDNumber,522)="","",INDEX(I.Facility.P2aIDNumber,522))</f>
        <v/>
      </c>
      <c r="G5534" s="51"/>
      <c r="H5534" s="46" t="str">
        <f>IF(AND(I.Developer.P2a=TRUE,I.Facility.P2aFacilityCount&gt;=522,F5534=""),"Incomplete","Complete")</f>
        <v>Complete</v>
      </c>
      <c r="I5534" s="48" t="s">
        <v>9899</v>
      </c>
    </row>
    <row r="5535" spans="2:9" ht="15" customHeight="1" x14ac:dyDescent="0.25">
      <c r="B5535" s="55" t="s">
        <v>280</v>
      </c>
      <c r="C5535" s="46">
        <v>523</v>
      </c>
      <c r="D5535" s="69" t="s">
        <v>29417</v>
      </c>
      <c r="E5535" s="51"/>
      <c r="F5535" s="114" t="str">
        <f>IF(INDEX(I.Facility.P2aIDNumber,523)="","",INDEX(I.Facility.P2aIDNumber,523))</f>
        <v/>
      </c>
      <c r="G5535" s="51"/>
      <c r="H5535" s="46" t="str">
        <f>IF(AND(I.Developer.P2a=TRUE,I.Facility.P2aFacilityCount&gt;=523,F5535=""),"Incomplete","Complete")</f>
        <v>Complete</v>
      </c>
      <c r="I5535" s="48" t="s">
        <v>9900</v>
      </c>
    </row>
    <row r="5536" spans="2:9" ht="15" customHeight="1" x14ac:dyDescent="0.25">
      <c r="B5536" s="55" t="s">
        <v>280</v>
      </c>
      <c r="C5536" s="46">
        <v>524</v>
      </c>
      <c r="D5536" s="69" t="s">
        <v>29417</v>
      </c>
      <c r="E5536" s="51"/>
      <c r="F5536" s="114" t="str">
        <f>IF(INDEX(I.Facility.P2aIDNumber,524)="","",INDEX(I.Facility.P2aIDNumber,524))</f>
        <v/>
      </c>
      <c r="G5536" s="51"/>
      <c r="H5536" s="46" t="str">
        <f>IF(AND(I.Developer.P2a=TRUE,I.Facility.P2aFacilityCount&gt;=524,F5536=""),"Incomplete","Complete")</f>
        <v>Complete</v>
      </c>
      <c r="I5536" s="48" t="s">
        <v>9901</v>
      </c>
    </row>
    <row r="5537" spans="2:9" ht="15" customHeight="1" x14ac:dyDescent="0.25">
      <c r="B5537" s="55" t="s">
        <v>280</v>
      </c>
      <c r="C5537" s="46">
        <v>525</v>
      </c>
      <c r="D5537" s="69" t="s">
        <v>29417</v>
      </c>
      <c r="E5537" s="51"/>
      <c r="F5537" s="114" t="str">
        <f>IF(INDEX(I.Facility.P2aIDNumber,525)="","",INDEX(I.Facility.P2aIDNumber,525))</f>
        <v/>
      </c>
      <c r="G5537" s="51"/>
      <c r="H5537" s="46" t="str">
        <f>IF(AND(I.Developer.P2a=TRUE,I.Facility.P2aFacilityCount&gt;=525,F5537=""),"Incomplete","Complete")</f>
        <v>Complete</v>
      </c>
      <c r="I5537" s="48" t="s">
        <v>9902</v>
      </c>
    </row>
    <row r="5538" spans="2:9" ht="15" customHeight="1" x14ac:dyDescent="0.25">
      <c r="B5538" s="55" t="s">
        <v>280</v>
      </c>
      <c r="C5538" s="46">
        <v>526</v>
      </c>
      <c r="D5538" s="69" t="s">
        <v>29417</v>
      </c>
      <c r="E5538" s="51"/>
      <c r="F5538" s="114" t="str">
        <f>IF(INDEX(I.Facility.P2aIDNumber,526)="","",INDEX(I.Facility.P2aIDNumber,526))</f>
        <v/>
      </c>
      <c r="G5538" s="51"/>
      <c r="H5538" s="46" t="str">
        <f>IF(AND(I.Developer.P2a=TRUE,I.Facility.P2aFacilityCount&gt;=526,F5538=""),"Incomplete","Complete")</f>
        <v>Complete</v>
      </c>
      <c r="I5538" s="48" t="s">
        <v>9903</v>
      </c>
    </row>
    <row r="5539" spans="2:9" ht="15" customHeight="1" x14ac:dyDescent="0.25">
      <c r="B5539" s="55" t="s">
        <v>280</v>
      </c>
      <c r="C5539" s="46">
        <v>527</v>
      </c>
      <c r="D5539" s="69" t="s">
        <v>29417</v>
      </c>
      <c r="E5539" s="51"/>
      <c r="F5539" s="114" t="str">
        <f>IF(INDEX(I.Facility.P2aIDNumber,527)="","",INDEX(I.Facility.P2aIDNumber,527))</f>
        <v/>
      </c>
      <c r="G5539" s="51"/>
      <c r="H5539" s="46" t="str">
        <f>IF(AND(I.Developer.P2a=TRUE,I.Facility.P2aFacilityCount&gt;=527,F5539=""),"Incomplete","Complete")</f>
        <v>Complete</v>
      </c>
      <c r="I5539" s="48" t="s">
        <v>9904</v>
      </c>
    </row>
    <row r="5540" spans="2:9" ht="15" customHeight="1" x14ac:dyDescent="0.25">
      <c r="B5540" s="55" t="s">
        <v>280</v>
      </c>
      <c r="C5540" s="46">
        <v>528</v>
      </c>
      <c r="D5540" s="69" t="s">
        <v>29417</v>
      </c>
      <c r="E5540" s="51"/>
      <c r="F5540" s="114" t="str">
        <f>IF(INDEX(I.Facility.P2aIDNumber,528)="","",INDEX(I.Facility.P2aIDNumber,528))</f>
        <v/>
      </c>
      <c r="G5540" s="51"/>
      <c r="H5540" s="46" t="str">
        <f>IF(AND(I.Developer.P2a=TRUE,I.Facility.P2aFacilityCount&gt;=528,F5540=""),"Incomplete","Complete")</f>
        <v>Complete</v>
      </c>
      <c r="I5540" s="48" t="s">
        <v>9905</v>
      </c>
    </row>
    <row r="5541" spans="2:9" ht="15" customHeight="1" x14ac:dyDescent="0.25">
      <c r="B5541" s="55" t="s">
        <v>280</v>
      </c>
      <c r="C5541" s="46">
        <v>529</v>
      </c>
      <c r="D5541" s="69" t="s">
        <v>29417</v>
      </c>
      <c r="E5541" s="51"/>
      <c r="F5541" s="114" t="str">
        <f>IF(INDEX(I.Facility.P2aIDNumber,529)="","",INDEX(I.Facility.P2aIDNumber,529))</f>
        <v/>
      </c>
      <c r="G5541" s="51"/>
      <c r="H5541" s="46" t="str">
        <f>IF(AND(I.Developer.P2a=TRUE,I.Facility.P2aFacilityCount&gt;=529,F5541=""),"Incomplete","Complete")</f>
        <v>Complete</v>
      </c>
      <c r="I5541" s="48" t="s">
        <v>9906</v>
      </c>
    </row>
    <row r="5542" spans="2:9" ht="15" customHeight="1" x14ac:dyDescent="0.25">
      <c r="B5542" s="55" t="s">
        <v>280</v>
      </c>
      <c r="C5542" s="46">
        <v>530</v>
      </c>
      <c r="D5542" s="69" t="s">
        <v>29417</v>
      </c>
      <c r="E5542" s="51"/>
      <c r="F5542" s="114" t="str">
        <f>IF(INDEX(I.Facility.P2aIDNumber,530)="","",INDEX(I.Facility.P2aIDNumber,530))</f>
        <v/>
      </c>
      <c r="G5542" s="51"/>
      <c r="H5542" s="46" t="str">
        <f>IF(AND(I.Developer.P2a=TRUE,I.Facility.P2aFacilityCount&gt;=530,F5542=""),"Incomplete","Complete")</f>
        <v>Complete</v>
      </c>
      <c r="I5542" s="48" t="s">
        <v>9907</v>
      </c>
    </row>
    <row r="5543" spans="2:9" ht="15" customHeight="1" x14ac:dyDescent="0.25">
      <c r="B5543" s="55" t="s">
        <v>280</v>
      </c>
      <c r="C5543" s="46">
        <v>531</v>
      </c>
      <c r="D5543" s="69" t="s">
        <v>29417</v>
      </c>
      <c r="E5543" s="51"/>
      <c r="F5543" s="114" t="str">
        <f>IF(INDEX(I.Facility.P2aIDNumber,531)="","",INDEX(I.Facility.P2aIDNumber,531))</f>
        <v/>
      </c>
      <c r="G5543" s="51"/>
      <c r="H5543" s="46" t="str">
        <f>IF(AND(I.Developer.P2a=TRUE,I.Facility.P2aFacilityCount&gt;=531,F5543=""),"Incomplete","Complete")</f>
        <v>Complete</v>
      </c>
      <c r="I5543" s="48" t="s">
        <v>9908</v>
      </c>
    </row>
    <row r="5544" spans="2:9" ht="15" customHeight="1" x14ac:dyDescent="0.25">
      <c r="B5544" s="55" t="s">
        <v>280</v>
      </c>
      <c r="C5544" s="46">
        <v>532</v>
      </c>
      <c r="D5544" s="69" t="s">
        <v>29417</v>
      </c>
      <c r="E5544" s="51"/>
      <c r="F5544" s="114" t="str">
        <f>IF(INDEX(I.Facility.P2aIDNumber,532)="","",INDEX(I.Facility.P2aIDNumber,532))</f>
        <v/>
      </c>
      <c r="G5544" s="51"/>
      <c r="H5544" s="46" t="str">
        <f>IF(AND(I.Developer.P2a=TRUE,I.Facility.P2aFacilityCount&gt;=532,F5544=""),"Incomplete","Complete")</f>
        <v>Complete</v>
      </c>
      <c r="I5544" s="48" t="s">
        <v>9909</v>
      </c>
    </row>
    <row r="5545" spans="2:9" ht="15" customHeight="1" x14ac:dyDescent="0.25">
      <c r="B5545" s="55" t="s">
        <v>280</v>
      </c>
      <c r="C5545" s="46">
        <v>533</v>
      </c>
      <c r="D5545" s="69" t="s">
        <v>29417</v>
      </c>
      <c r="E5545" s="51"/>
      <c r="F5545" s="114" t="str">
        <f>IF(INDEX(I.Facility.P2aIDNumber,533)="","",INDEX(I.Facility.P2aIDNumber,533))</f>
        <v/>
      </c>
      <c r="G5545" s="51"/>
      <c r="H5545" s="46" t="str">
        <f>IF(AND(I.Developer.P2a=TRUE,I.Facility.P2aFacilityCount&gt;=533,F5545=""),"Incomplete","Complete")</f>
        <v>Complete</v>
      </c>
      <c r="I5545" s="48" t="s">
        <v>9910</v>
      </c>
    </row>
    <row r="5546" spans="2:9" ht="15" customHeight="1" x14ac:dyDescent="0.25">
      <c r="B5546" s="55" t="s">
        <v>280</v>
      </c>
      <c r="C5546" s="46">
        <v>534</v>
      </c>
      <c r="D5546" s="69" t="s">
        <v>29417</v>
      </c>
      <c r="E5546" s="51"/>
      <c r="F5546" s="114" t="str">
        <f>IF(INDEX(I.Facility.P2aIDNumber,534)="","",INDEX(I.Facility.P2aIDNumber,534))</f>
        <v/>
      </c>
      <c r="G5546" s="51"/>
      <c r="H5546" s="46" t="str">
        <f>IF(AND(I.Developer.P2a=TRUE,I.Facility.P2aFacilityCount&gt;=534,F5546=""),"Incomplete","Complete")</f>
        <v>Complete</v>
      </c>
      <c r="I5546" s="48" t="s">
        <v>9911</v>
      </c>
    </row>
    <row r="5547" spans="2:9" ht="15" customHeight="1" x14ac:dyDescent="0.25">
      <c r="B5547" s="55" t="s">
        <v>280</v>
      </c>
      <c r="C5547" s="46">
        <v>535</v>
      </c>
      <c r="D5547" s="69" t="s">
        <v>29417</v>
      </c>
      <c r="E5547" s="51"/>
      <c r="F5547" s="114" t="str">
        <f>IF(INDEX(I.Facility.P2aIDNumber,535)="","",INDEX(I.Facility.P2aIDNumber,535))</f>
        <v/>
      </c>
      <c r="G5547" s="51"/>
      <c r="H5547" s="46" t="str">
        <f>IF(AND(I.Developer.P2a=TRUE,I.Facility.P2aFacilityCount&gt;=535,F5547=""),"Incomplete","Complete")</f>
        <v>Complete</v>
      </c>
      <c r="I5547" s="48" t="s">
        <v>9912</v>
      </c>
    </row>
    <row r="5548" spans="2:9" ht="15" customHeight="1" x14ac:dyDescent="0.25">
      <c r="B5548" s="55" t="s">
        <v>280</v>
      </c>
      <c r="C5548" s="46">
        <v>536</v>
      </c>
      <c r="D5548" s="69" t="s">
        <v>29417</v>
      </c>
      <c r="E5548" s="51"/>
      <c r="F5548" s="114" t="str">
        <f>IF(INDEX(I.Facility.P2aIDNumber,536)="","",INDEX(I.Facility.P2aIDNumber,536))</f>
        <v/>
      </c>
      <c r="G5548" s="51"/>
      <c r="H5548" s="46" t="str">
        <f>IF(AND(I.Developer.P2a=TRUE,I.Facility.P2aFacilityCount&gt;=536,F5548=""),"Incomplete","Complete")</f>
        <v>Complete</v>
      </c>
      <c r="I5548" s="48" t="s">
        <v>9913</v>
      </c>
    </row>
    <row r="5549" spans="2:9" ht="15" customHeight="1" x14ac:dyDescent="0.25">
      <c r="B5549" s="55" t="s">
        <v>280</v>
      </c>
      <c r="C5549" s="46">
        <v>537</v>
      </c>
      <c r="D5549" s="69" t="s">
        <v>29417</v>
      </c>
      <c r="E5549" s="51"/>
      <c r="F5549" s="114" t="str">
        <f>IF(INDEX(I.Facility.P2aIDNumber,537)="","",INDEX(I.Facility.P2aIDNumber,537))</f>
        <v/>
      </c>
      <c r="G5549" s="51"/>
      <c r="H5549" s="46" t="str">
        <f>IF(AND(I.Developer.P2a=TRUE,I.Facility.P2aFacilityCount&gt;=537,F5549=""),"Incomplete","Complete")</f>
        <v>Complete</v>
      </c>
      <c r="I5549" s="48" t="s">
        <v>9914</v>
      </c>
    </row>
    <row r="5550" spans="2:9" ht="15" customHeight="1" x14ac:dyDescent="0.25">
      <c r="B5550" s="55" t="s">
        <v>280</v>
      </c>
      <c r="C5550" s="46">
        <v>538</v>
      </c>
      <c r="D5550" s="69" t="s">
        <v>29417</v>
      </c>
      <c r="E5550" s="51"/>
      <c r="F5550" s="114" t="str">
        <f>IF(INDEX(I.Facility.P2aIDNumber,538)="","",INDEX(I.Facility.P2aIDNumber,538))</f>
        <v/>
      </c>
      <c r="G5550" s="51"/>
      <c r="H5550" s="46" t="str">
        <f>IF(AND(I.Developer.P2a=TRUE,I.Facility.P2aFacilityCount&gt;=538,F5550=""),"Incomplete","Complete")</f>
        <v>Complete</v>
      </c>
      <c r="I5550" s="48" t="s">
        <v>9915</v>
      </c>
    </row>
    <row r="5551" spans="2:9" ht="15" customHeight="1" x14ac:dyDescent="0.25">
      <c r="B5551" s="55" t="s">
        <v>280</v>
      </c>
      <c r="C5551" s="46">
        <v>539</v>
      </c>
      <c r="D5551" s="69" t="s">
        <v>29417</v>
      </c>
      <c r="E5551" s="51"/>
      <c r="F5551" s="114" t="str">
        <f>IF(INDEX(I.Facility.P2aIDNumber,539)="","",INDEX(I.Facility.P2aIDNumber,539))</f>
        <v/>
      </c>
      <c r="G5551" s="51"/>
      <c r="H5551" s="46" t="str">
        <f>IF(AND(I.Developer.P2a=TRUE,I.Facility.P2aFacilityCount&gt;=539,F5551=""),"Incomplete","Complete")</f>
        <v>Complete</v>
      </c>
      <c r="I5551" s="48" t="s">
        <v>9916</v>
      </c>
    </row>
    <row r="5552" spans="2:9" ht="15" customHeight="1" x14ac:dyDescent="0.25">
      <c r="B5552" s="55" t="s">
        <v>280</v>
      </c>
      <c r="C5552" s="46">
        <v>540</v>
      </c>
      <c r="D5552" s="69" t="s">
        <v>29417</v>
      </c>
      <c r="E5552" s="51"/>
      <c r="F5552" s="114" t="str">
        <f>IF(INDEX(I.Facility.P2aIDNumber,540)="","",INDEX(I.Facility.P2aIDNumber,540))</f>
        <v/>
      </c>
      <c r="G5552" s="51"/>
      <c r="H5552" s="46" t="str">
        <f>IF(AND(I.Developer.P2a=TRUE,I.Facility.P2aFacilityCount&gt;=540,F5552=""),"Incomplete","Complete")</f>
        <v>Complete</v>
      </c>
      <c r="I5552" s="48" t="s">
        <v>9917</v>
      </c>
    </row>
    <row r="5553" spans="2:9" ht="15" customHeight="1" x14ac:dyDescent="0.25">
      <c r="B5553" s="55" t="s">
        <v>280</v>
      </c>
      <c r="C5553" s="46">
        <v>541</v>
      </c>
      <c r="D5553" s="69" t="s">
        <v>29417</v>
      </c>
      <c r="E5553" s="51"/>
      <c r="F5553" s="114" t="str">
        <f>IF(INDEX(I.Facility.P2aIDNumber,541)="","",INDEX(I.Facility.P2aIDNumber,541))</f>
        <v/>
      </c>
      <c r="G5553" s="51"/>
      <c r="H5553" s="46" t="str">
        <f>IF(AND(I.Developer.P2a=TRUE,I.Facility.P2aFacilityCount&gt;=541,F5553=""),"Incomplete","Complete")</f>
        <v>Complete</v>
      </c>
      <c r="I5553" s="48" t="s">
        <v>9918</v>
      </c>
    </row>
    <row r="5554" spans="2:9" ht="15" customHeight="1" x14ac:dyDescent="0.25">
      <c r="B5554" s="55" t="s">
        <v>280</v>
      </c>
      <c r="C5554" s="46">
        <v>542</v>
      </c>
      <c r="D5554" s="69" t="s">
        <v>29417</v>
      </c>
      <c r="E5554" s="51"/>
      <c r="F5554" s="114" t="str">
        <f>IF(INDEX(I.Facility.P2aIDNumber,542)="","",INDEX(I.Facility.P2aIDNumber,542))</f>
        <v/>
      </c>
      <c r="G5554" s="51"/>
      <c r="H5554" s="46" t="str">
        <f>IF(AND(I.Developer.P2a=TRUE,I.Facility.P2aFacilityCount&gt;=542,F5554=""),"Incomplete","Complete")</f>
        <v>Complete</v>
      </c>
      <c r="I5554" s="48" t="s">
        <v>9919</v>
      </c>
    </row>
    <row r="5555" spans="2:9" ht="15" customHeight="1" x14ac:dyDescent="0.25">
      <c r="B5555" s="55" t="s">
        <v>280</v>
      </c>
      <c r="C5555" s="46">
        <v>543</v>
      </c>
      <c r="D5555" s="69" t="s">
        <v>29417</v>
      </c>
      <c r="E5555" s="51"/>
      <c r="F5555" s="114" t="str">
        <f>IF(INDEX(I.Facility.P2aIDNumber,543)="","",INDEX(I.Facility.P2aIDNumber,543))</f>
        <v/>
      </c>
      <c r="G5555" s="51"/>
      <c r="H5555" s="46" t="str">
        <f>IF(AND(I.Developer.P2a=TRUE,I.Facility.P2aFacilityCount&gt;=543,F5555=""),"Incomplete","Complete")</f>
        <v>Complete</v>
      </c>
      <c r="I5555" s="48" t="s">
        <v>9920</v>
      </c>
    </row>
    <row r="5556" spans="2:9" ht="15" customHeight="1" x14ac:dyDescent="0.25">
      <c r="B5556" s="55" t="s">
        <v>280</v>
      </c>
      <c r="C5556" s="46">
        <v>544</v>
      </c>
      <c r="D5556" s="69" t="s">
        <v>29417</v>
      </c>
      <c r="E5556" s="51"/>
      <c r="F5556" s="114" t="str">
        <f>IF(INDEX(I.Facility.P2aIDNumber,544)="","",INDEX(I.Facility.P2aIDNumber,544))</f>
        <v/>
      </c>
      <c r="G5556" s="51"/>
      <c r="H5556" s="46" t="str">
        <f>IF(AND(I.Developer.P2a=TRUE,I.Facility.P2aFacilityCount&gt;=544,F5556=""),"Incomplete","Complete")</f>
        <v>Complete</v>
      </c>
      <c r="I5556" s="48" t="s">
        <v>9921</v>
      </c>
    </row>
    <row r="5557" spans="2:9" ht="15" customHeight="1" x14ac:dyDescent="0.25">
      <c r="B5557" s="55" t="s">
        <v>280</v>
      </c>
      <c r="C5557" s="46">
        <v>545</v>
      </c>
      <c r="D5557" s="69" t="s">
        <v>29417</v>
      </c>
      <c r="E5557" s="51"/>
      <c r="F5557" s="114" t="str">
        <f>IF(INDEX(I.Facility.P2aIDNumber,545)="","",INDEX(I.Facility.P2aIDNumber,545))</f>
        <v/>
      </c>
      <c r="G5557" s="51"/>
      <c r="H5557" s="46" t="str">
        <f>IF(AND(I.Developer.P2a=TRUE,I.Facility.P2aFacilityCount&gt;=545,F5557=""),"Incomplete","Complete")</f>
        <v>Complete</v>
      </c>
      <c r="I5557" s="48" t="s">
        <v>9922</v>
      </c>
    </row>
    <row r="5558" spans="2:9" ht="15" customHeight="1" x14ac:dyDescent="0.25">
      <c r="B5558" s="55" t="s">
        <v>280</v>
      </c>
      <c r="C5558" s="46">
        <v>546</v>
      </c>
      <c r="D5558" s="69" t="s">
        <v>29417</v>
      </c>
      <c r="E5558" s="51"/>
      <c r="F5558" s="114" t="str">
        <f>IF(INDEX(I.Facility.P2aIDNumber,546)="","",INDEX(I.Facility.P2aIDNumber,546))</f>
        <v/>
      </c>
      <c r="G5558" s="51"/>
      <c r="H5558" s="46" t="str">
        <f>IF(AND(I.Developer.P2a=TRUE,I.Facility.P2aFacilityCount&gt;=546,F5558=""),"Incomplete","Complete")</f>
        <v>Complete</v>
      </c>
      <c r="I5558" s="48" t="s">
        <v>9923</v>
      </c>
    </row>
    <row r="5559" spans="2:9" ht="15" customHeight="1" x14ac:dyDescent="0.25">
      <c r="B5559" s="55" t="s">
        <v>280</v>
      </c>
      <c r="C5559" s="46">
        <v>547</v>
      </c>
      <c r="D5559" s="69" t="s">
        <v>29417</v>
      </c>
      <c r="E5559" s="51"/>
      <c r="F5559" s="114" t="str">
        <f>IF(INDEX(I.Facility.P2aIDNumber,547)="","",INDEX(I.Facility.P2aIDNumber,547))</f>
        <v/>
      </c>
      <c r="G5559" s="51"/>
      <c r="H5559" s="46" t="str">
        <f>IF(AND(I.Developer.P2a=TRUE,I.Facility.P2aFacilityCount&gt;=547,F5559=""),"Incomplete","Complete")</f>
        <v>Complete</v>
      </c>
      <c r="I5559" s="48" t="s">
        <v>9924</v>
      </c>
    </row>
    <row r="5560" spans="2:9" ht="15" customHeight="1" x14ac:dyDescent="0.25">
      <c r="B5560" s="55" t="s">
        <v>280</v>
      </c>
      <c r="C5560" s="46">
        <v>548</v>
      </c>
      <c r="D5560" s="69" t="s">
        <v>29417</v>
      </c>
      <c r="E5560" s="51"/>
      <c r="F5560" s="114" t="str">
        <f>IF(INDEX(I.Facility.P2aIDNumber,548)="","",INDEX(I.Facility.P2aIDNumber,548))</f>
        <v/>
      </c>
      <c r="G5560" s="51"/>
      <c r="H5560" s="46" t="str">
        <f>IF(AND(I.Developer.P2a=TRUE,I.Facility.P2aFacilityCount&gt;=548,F5560=""),"Incomplete","Complete")</f>
        <v>Complete</v>
      </c>
      <c r="I5560" s="48" t="s">
        <v>9925</v>
      </c>
    </row>
    <row r="5561" spans="2:9" ht="15" customHeight="1" x14ac:dyDescent="0.25">
      <c r="B5561" s="55" t="s">
        <v>280</v>
      </c>
      <c r="C5561" s="46">
        <v>549</v>
      </c>
      <c r="D5561" s="69" t="s">
        <v>29417</v>
      </c>
      <c r="E5561" s="51"/>
      <c r="F5561" s="114" t="str">
        <f>IF(INDEX(I.Facility.P2aIDNumber,549)="","",INDEX(I.Facility.P2aIDNumber,549))</f>
        <v/>
      </c>
      <c r="G5561" s="51"/>
      <c r="H5561" s="46" t="str">
        <f>IF(AND(I.Developer.P2a=TRUE,I.Facility.P2aFacilityCount&gt;=549,F5561=""),"Incomplete","Complete")</f>
        <v>Complete</v>
      </c>
      <c r="I5561" s="48" t="s">
        <v>9926</v>
      </c>
    </row>
    <row r="5562" spans="2:9" ht="15" customHeight="1" x14ac:dyDescent="0.25">
      <c r="B5562" s="55" t="s">
        <v>280</v>
      </c>
      <c r="C5562" s="46">
        <v>550</v>
      </c>
      <c r="D5562" s="69" t="s">
        <v>29417</v>
      </c>
      <c r="E5562" s="51"/>
      <c r="F5562" s="114" t="str">
        <f>IF(INDEX(I.Facility.P2aIDNumber,550)="","",INDEX(I.Facility.P2aIDNumber,550))</f>
        <v/>
      </c>
      <c r="G5562" s="51"/>
      <c r="H5562" s="46" t="str">
        <f>IF(AND(I.Developer.P2a=TRUE,I.Facility.P2aFacilityCount&gt;=550,F5562=""),"Incomplete","Complete")</f>
        <v>Complete</v>
      </c>
      <c r="I5562" s="48" t="s">
        <v>9927</v>
      </c>
    </row>
    <row r="5563" spans="2:9" ht="15" customHeight="1" x14ac:dyDescent="0.25">
      <c r="B5563" s="55" t="s">
        <v>280</v>
      </c>
      <c r="C5563" s="46">
        <v>551</v>
      </c>
      <c r="D5563" s="69" t="s">
        <v>29417</v>
      </c>
      <c r="E5563" s="51"/>
      <c r="F5563" s="114" t="str">
        <f>IF(INDEX(I.Facility.P2aIDNumber,551)="","",INDEX(I.Facility.P2aIDNumber,551))</f>
        <v/>
      </c>
      <c r="G5563" s="51"/>
      <c r="H5563" s="46" t="str">
        <f>IF(AND(I.Developer.P2a=TRUE,I.Facility.P2aFacilityCount&gt;=551,F5563=""),"Incomplete","Complete")</f>
        <v>Complete</v>
      </c>
      <c r="I5563" s="48" t="s">
        <v>9928</v>
      </c>
    </row>
    <row r="5564" spans="2:9" ht="15" customHeight="1" x14ac:dyDescent="0.25">
      <c r="B5564" s="55" t="s">
        <v>280</v>
      </c>
      <c r="C5564" s="46">
        <v>552</v>
      </c>
      <c r="D5564" s="69" t="s">
        <v>29417</v>
      </c>
      <c r="E5564" s="51"/>
      <c r="F5564" s="114" t="str">
        <f>IF(INDEX(I.Facility.P2aIDNumber,552)="","",INDEX(I.Facility.P2aIDNumber,552))</f>
        <v/>
      </c>
      <c r="G5564" s="51"/>
      <c r="H5564" s="46" t="str">
        <f>IF(AND(I.Developer.P2a=TRUE,I.Facility.P2aFacilityCount&gt;=552,F5564=""),"Incomplete","Complete")</f>
        <v>Complete</v>
      </c>
      <c r="I5564" s="48" t="s">
        <v>9929</v>
      </c>
    </row>
    <row r="5565" spans="2:9" ht="15" customHeight="1" x14ac:dyDescent="0.25">
      <c r="B5565" s="55" t="s">
        <v>280</v>
      </c>
      <c r="C5565" s="46">
        <v>553</v>
      </c>
      <c r="D5565" s="69" t="s">
        <v>29417</v>
      </c>
      <c r="E5565" s="51"/>
      <c r="F5565" s="114" t="str">
        <f>IF(INDEX(I.Facility.P2aIDNumber,553)="","",INDEX(I.Facility.P2aIDNumber,553))</f>
        <v/>
      </c>
      <c r="G5565" s="51"/>
      <c r="H5565" s="46" t="str">
        <f>IF(AND(I.Developer.P2a=TRUE,I.Facility.P2aFacilityCount&gt;=553,F5565=""),"Incomplete","Complete")</f>
        <v>Complete</v>
      </c>
      <c r="I5565" s="48" t="s">
        <v>9930</v>
      </c>
    </row>
    <row r="5566" spans="2:9" ht="15" customHeight="1" x14ac:dyDescent="0.25">
      <c r="B5566" s="55" t="s">
        <v>280</v>
      </c>
      <c r="C5566" s="46">
        <v>554</v>
      </c>
      <c r="D5566" s="69" t="s">
        <v>29417</v>
      </c>
      <c r="E5566" s="51"/>
      <c r="F5566" s="114" t="str">
        <f>IF(INDEX(I.Facility.P2aIDNumber,554)="","",INDEX(I.Facility.P2aIDNumber,554))</f>
        <v/>
      </c>
      <c r="G5566" s="51"/>
      <c r="H5566" s="46" t="str">
        <f>IF(AND(I.Developer.P2a=TRUE,I.Facility.P2aFacilityCount&gt;=554,F5566=""),"Incomplete","Complete")</f>
        <v>Complete</v>
      </c>
      <c r="I5566" s="48" t="s">
        <v>9931</v>
      </c>
    </row>
    <row r="5567" spans="2:9" ht="15" customHeight="1" x14ac:dyDescent="0.25">
      <c r="B5567" s="55" t="s">
        <v>280</v>
      </c>
      <c r="C5567" s="46">
        <v>555</v>
      </c>
      <c r="D5567" s="69" t="s">
        <v>29417</v>
      </c>
      <c r="E5567" s="51"/>
      <c r="F5567" s="114" t="str">
        <f>IF(INDEX(I.Facility.P2aIDNumber,555)="","",INDEX(I.Facility.P2aIDNumber,555))</f>
        <v/>
      </c>
      <c r="G5567" s="51"/>
      <c r="H5567" s="46" t="str">
        <f>IF(AND(I.Developer.P2a=TRUE,I.Facility.P2aFacilityCount&gt;=555,F5567=""),"Incomplete","Complete")</f>
        <v>Complete</v>
      </c>
      <c r="I5567" s="48" t="s">
        <v>9932</v>
      </c>
    </row>
    <row r="5568" spans="2:9" ht="15" customHeight="1" x14ac:dyDescent="0.25">
      <c r="B5568" s="55" t="s">
        <v>280</v>
      </c>
      <c r="C5568" s="46">
        <v>556</v>
      </c>
      <c r="D5568" s="69" t="s">
        <v>29417</v>
      </c>
      <c r="E5568" s="51"/>
      <c r="F5568" s="114" t="str">
        <f>IF(INDEX(I.Facility.P2aIDNumber,556)="","",INDEX(I.Facility.P2aIDNumber,556))</f>
        <v/>
      </c>
      <c r="G5568" s="51"/>
      <c r="H5568" s="46" t="str">
        <f>IF(AND(I.Developer.P2a=TRUE,I.Facility.P2aFacilityCount&gt;=556,F5568=""),"Incomplete","Complete")</f>
        <v>Complete</v>
      </c>
      <c r="I5568" s="48" t="s">
        <v>9933</v>
      </c>
    </row>
    <row r="5569" spans="2:9" ht="15" customHeight="1" x14ac:dyDescent="0.25">
      <c r="B5569" s="55" t="s">
        <v>280</v>
      </c>
      <c r="C5569" s="46">
        <v>557</v>
      </c>
      <c r="D5569" s="69" t="s">
        <v>29417</v>
      </c>
      <c r="E5569" s="51"/>
      <c r="F5569" s="114" t="str">
        <f>IF(INDEX(I.Facility.P2aIDNumber,557)="","",INDEX(I.Facility.P2aIDNumber,557))</f>
        <v/>
      </c>
      <c r="G5569" s="51"/>
      <c r="H5569" s="46" t="str">
        <f>IF(AND(I.Developer.P2a=TRUE,I.Facility.P2aFacilityCount&gt;=557,F5569=""),"Incomplete","Complete")</f>
        <v>Complete</v>
      </c>
      <c r="I5569" s="48" t="s">
        <v>9934</v>
      </c>
    </row>
    <row r="5570" spans="2:9" ht="15" customHeight="1" x14ac:dyDescent="0.25">
      <c r="B5570" s="55" t="s">
        <v>280</v>
      </c>
      <c r="C5570" s="46">
        <v>558</v>
      </c>
      <c r="D5570" s="69" t="s">
        <v>29417</v>
      </c>
      <c r="E5570" s="51"/>
      <c r="F5570" s="114" t="str">
        <f>IF(INDEX(I.Facility.P2aIDNumber,558)="","",INDEX(I.Facility.P2aIDNumber,558))</f>
        <v/>
      </c>
      <c r="G5570" s="51"/>
      <c r="H5570" s="46" t="str">
        <f>IF(AND(I.Developer.P2a=TRUE,I.Facility.P2aFacilityCount&gt;=558,F5570=""),"Incomplete","Complete")</f>
        <v>Complete</v>
      </c>
      <c r="I5570" s="48" t="s">
        <v>9935</v>
      </c>
    </row>
    <row r="5571" spans="2:9" ht="15" customHeight="1" x14ac:dyDescent="0.25">
      <c r="B5571" s="55" t="s">
        <v>280</v>
      </c>
      <c r="C5571" s="46">
        <v>559</v>
      </c>
      <c r="D5571" s="69" t="s">
        <v>29417</v>
      </c>
      <c r="E5571" s="51"/>
      <c r="F5571" s="114" t="str">
        <f>IF(INDEX(I.Facility.P2aIDNumber,559)="","",INDEX(I.Facility.P2aIDNumber,559))</f>
        <v/>
      </c>
      <c r="G5571" s="51"/>
      <c r="H5571" s="46" t="str">
        <f>IF(AND(I.Developer.P2a=TRUE,I.Facility.P2aFacilityCount&gt;=559,F5571=""),"Incomplete","Complete")</f>
        <v>Complete</v>
      </c>
      <c r="I5571" s="48" t="s">
        <v>9936</v>
      </c>
    </row>
    <row r="5572" spans="2:9" ht="15" customHeight="1" x14ac:dyDescent="0.25">
      <c r="B5572" s="55" t="s">
        <v>280</v>
      </c>
      <c r="C5572" s="46">
        <v>560</v>
      </c>
      <c r="D5572" s="69" t="s">
        <v>29417</v>
      </c>
      <c r="E5572" s="51"/>
      <c r="F5572" s="114" t="str">
        <f>IF(INDEX(I.Facility.P2aIDNumber,560)="","",INDEX(I.Facility.P2aIDNumber,560))</f>
        <v/>
      </c>
      <c r="G5572" s="51"/>
      <c r="H5572" s="46" t="str">
        <f>IF(AND(I.Developer.P2a=TRUE,I.Facility.P2aFacilityCount&gt;=560,F5572=""),"Incomplete","Complete")</f>
        <v>Complete</v>
      </c>
      <c r="I5572" s="48" t="s">
        <v>9937</v>
      </c>
    </row>
    <row r="5573" spans="2:9" ht="15" customHeight="1" x14ac:dyDescent="0.25">
      <c r="B5573" s="55" t="s">
        <v>280</v>
      </c>
      <c r="C5573" s="46">
        <v>561</v>
      </c>
      <c r="D5573" s="69" t="s">
        <v>29417</v>
      </c>
      <c r="E5573" s="51"/>
      <c r="F5573" s="114" t="str">
        <f>IF(INDEX(I.Facility.P2aIDNumber,561)="","",INDEX(I.Facility.P2aIDNumber,561))</f>
        <v/>
      </c>
      <c r="G5573" s="51"/>
      <c r="H5573" s="46" t="str">
        <f>IF(AND(I.Developer.P2a=TRUE,I.Facility.P2aFacilityCount&gt;=561,F5573=""),"Incomplete","Complete")</f>
        <v>Complete</v>
      </c>
      <c r="I5573" s="48" t="s">
        <v>9938</v>
      </c>
    </row>
    <row r="5574" spans="2:9" ht="15" customHeight="1" x14ac:dyDescent="0.25">
      <c r="B5574" s="55" t="s">
        <v>280</v>
      </c>
      <c r="C5574" s="46">
        <v>562</v>
      </c>
      <c r="D5574" s="69" t="s">
        <v>29417</v>
      </c>
      <c r="E5574" s="51"/>
      <c r="F5574" s="114" t="str">
        <f>IF(INDEX(I.Facility.P2aIDNumber,562)="","",INDEX(I.Facility.P2aIDNumber,562))</f>
        <v/>
      </c>
      <c r="G5574" s="51"/>
      <c r="H5574" s="46" t="str">
        <f>IF(AND(I.Developer.P2a=TRUE,I.Facility.P2aFacilityCount&gt;=562,F5574=""),"Incomplete","Complete")</f>
        <v>Complete</v>
      </c>
      <c r="I5574" s="48" t="s">
        <v>9939</v>
      </c>
    </row>
    <row r="5575" spans="2:9" ht="15" customHeight="1" x14ac:dyDescent="0.25">
      <c r="B5575" s="55" t="s">
        <v>280</v>
      </c>
      <c r="C5575" s="46">
        <v>563</v>
      </c>
      <c r="D5575" s="69" t="s">
        <v>29417</v>
      </c>
      <c r="E5575" s="51"/>
      <c r="F5575" s="114" t="str">
        <f>IF(INDEX(I.Facility.P2aIDNumber,563)="","",INDEX(I.Facility.P2aIDNumber,563))</f>
        <v/>
      </c>
      <c r="G5575" s="51"/>
      <c r="H5575" s="46" t="str">
        <f>IF(AND(I.Developer.P2a=TRUE,I.Facility.P2aFacilityCount&gt;=563,F5575=""),"Incomplete","Complete")</f>
        <v>Complete</v>
      </c>
      <c r="I5575" s="48" t="s">
        <v>9940</v>
      </c>
    </row>
    <row r="5576" spans="2:9" ht="15" customHeight="1" x14ac:dyDescent="0.25">
      <c r="B5576" s="55" t="s">
        <v>280</v>
      </c>
      <c r="C5576" s="46">
        <v>564</v>
      </c>
      <c r="D5576" s="69" t="s">
        <v>29417</v>
      </c>
      <c r="E5576" s="51"/>
      <c r="F5576" s="114" t="str">
        <f>IF(INDEX(I.Facility.P2aIDNumber,564)="","",INDEX(I.Facility.P2aIDNumber,564))</f>
        <v/>
      </c>
      <c r="G5576" s="51"/>
      <c r="H5576" s="46" t="str">
        <f>IF(AND(I.Developer.P2a=TRUE,I.Facility.P2aFacilityCount&gt;=564,F5576=""),"Incomplete","Complete")</f>
        <v>Complete</v>
      </c>
      <c r="I5576" s="48" t="s">
        <v>9941</v>
      </c>
    </row>
    <row r="5577" spans="2:9" ht="15" customHeight="1" x14ac:dyDescent="0.25">
      <c r="B5577" s="55" t="s">
        <v>280</v>
      </c>
      <c r="C5577" s="46">
        <v>565</v>
      </c>
      <c r="D5577" s="69" t="s">
        <v>29417</v>
      </c>
      <c r="E5577" s="51"/>
      <c r="F5577" s="114" t="str">
        <f>IF(INDEX(I.Facility.P2aIDNumber,565)="","",INDEX(I.Facility.P2aIDNumber,565))</f>
        <v/>
      </c>
      <c r="G5577" s="51"/>
      <c r="H5577" s="46" t="str">
        <f>IF(AND(I.Developer.P2a=TRUE,I.Facility.P2aFacilityCount&gt;=565,F5577=""),"Incomplete","Complete")</f>
        <v>Complete</v>
      </c>
      <c r="I5577" s="48" t="s">
        <v>9942</v>
      </c>
    </row>
    <row r="5578" spans="2:9" ht="15" customHeight="1" x14ac:dyDescent="0.25">
      <c r="B5578" s="55" t="s">
        <v>280</v>
      </c>
      <c r="C5578" s="46">
        <v>566</v>
      </c>
      <c r="D5578" s="69" t="s">
        <v>29417</v>
      </c>
      <c r="E5578" s="51"/>
      <c r="F5578" s="114" t="str">
        <f>IF(INDEX(I.Facility.P2aIDNumber,566)="","",INDEX(I.Facility.P2aIDNumber,566))</f>
        <v/>
      </c>
      <c r="G5578" s="51"/>
      <c r="H5578" s="46" t="str">
        <f>IF(AND(I.Developer.P2a=TRUE,I.Facility.P2aFacilityCount&gt;=566,F5578=""),"Incomplete","Complete")</f>
        <v>Complete</v>
      </c>
      <c r="I5578" s="48" t="s">
        <v>9943</v>
      </c>
    </row>
    <row r="5579" spans="2:9" ht="15" customHeight="1" x14ac:dyDescent="0.25">
      <c r="B5579" s="55" t="s">
        <v>280</v>
      </c>
      <c r="C5579" s="46">
        <v>567</v>
      </c>
      <c r="D5579" s="69" t="s">
        <v>29417</v>
      </c>
      <c r="E5579" s="51"/>
      <c r="F5579" s="114" t="str">
        <f>IF(INDEX(I.Facility.P2aIDNumber,567)="","",INDEX(I.Facility.P2aIDNumber,567))</f>
        <v/>
      </c>
      <c r="G5579" s="51"/>
      <c r="H5579" s="46" t="str">
        <f>IF(AND(I.Developer.P2a=TRUE,I.Facility.P2aFacilityCount&gt;=567,F5579=""),"Incomplete","Complete")</f>
        <v>Complete</v>
      </c>
      <c r="I5579" s="48" t="s">
        <v>9944</v>
      </c>
    </row>
    <row r="5580" spans="2:9" ht="15" customHeight="1" x14ac:dyDescent="0.25">
      <c r="B5580" s="55" t="s">
        <v>280</v>
      </c>
      <c r="C5580" s="46">
        <v>568</v>
      </c>
      <c r="D5580" s="69" t="s">
        <v>29417</v>
      </c>
      <c r="E5580" s="51"/>
      <c r="F5580" s="114" t="str">
        <f>IF(INDEX(I.Facility.P2aIDNumber,568)="","",INDEX(I.Facility.P2aIDNumber,568))</f>
        <v/>
      </c>
      <c r="G5580" s="51"/>
      <c r="H5580" s="46" t="str">
        <f>IF(AND(I.Developer.P2a=TRUE,I.Facility.P2aFacilityCount&gt;=568,F5580=""),"Incomplete","Complete")</f>
        <v>Complete</v>
      </c>
      <c r="I5580" s="48" t="s">
        <v>9945</v>
      </c>
    </row>
    <row r="5581" spans="2:9" ht="15" customHeight="1" x14ac:dyDescent="0.25">
      <c r="B5581" s="55" t="s">
        <v>280</v>
      </c>
      <c r="C5581" s="46">
        <v>569</v>
      </c>
      <c r="D5581" s="69" t="s">
        <v>29417</v>
      </c>
      <c r="E5581" s="51"/>
      <c r="F5581" s="114" t="str">
        <f>IF(INDEX(I.Facility.P2aIDNumber,569)="","",INDEX(I.Facility.P2aIDNumber,569))</f>
        <v/>
      </c>
      <c r="G5581" s="51"/>
      <c r="H5581" s="46" t="str">
        <f>IF(AND(I.Developer.P2a=TRUE,I.Facility.P2aFacilityCount&gt;=569,F5581=""),"Incomplete","Complete")</f>
        <v>Complete</v>
      </c>
      <c r="I5581" s="48" t="s">
        <v>9946</v>
      </c>
    </row>
    <row r="5582" spans="2:9" ht="15" customHeight="1" x14ac:dyDescent="0.25">
      <c r="B5582" s="55" t="s">
        <v>280</v>
      </c>
      <c r="C5582" s="46">
        <v>570</v>
      </c>
      <c r="D5582" s="69" t="s">
        <v>29417</v>
      </c>
      <c r="E5582" s="51"/>
      <c r="F5582" s="114" t="str">
        <f>IF(INDEX(I.Facility.P2aIDNumber,570)="","",INDEX(I.Facility.P2aIDNumber,570))</f>
        <v/>
      </c>
      <c r="G5582" s="51"/>
      <c r="H5582" s="46" t="str">
        <f>IF(AND(I.Developer.P2a=TRUE,I.Facility.P2aFacilityCount&gt;=570,F5582=""),"Incomplete","Complete")</f>
        <v>Complete</v>
      </c>
      <c r="I5582" s="48" t="s">
        <v>9947</v>
      </c>
    </row>
    <row r="5583" spans="2:9" ht="15" customHeight="1" x14ac:dyDescent="0.25">
      <c r="B5583" s="55" t="s">
        <v>280</v>
      </c>
      <c r="C5583" s="46">
        <v>571</v>
      </c>
      <c r="D5583" s="69" t="s">
        <v>29417</v>
      </c>
      <c r="E5583" s="51"/>
      <c r="F5583" s="114" t="str">
        <f>IF(INDEX(I.Facility.P2aIDNumber,571)="","",INDEX(I.Facility.P2aIDNumber,571))</f>
        <v/>
      </c>
      <c r="G5583" s="51"/>
      <c r="H5583" s="46" t="str">
        <f>IF(AND(I.Developer.P2a=TRUE,I.Facility.P2aFacilityCount&gt;=571,F5583=""),"Incomplete","Complete")</f>
        <v>Complete</v>
      </c>
      <c r="I5583" s="48" t="s">
        <v>9948</v>
      </c>
    </row>
    <row r="5584" spans="2:9" ht="15" customHeight="1" x14ac:dyDescent="0.25">
      <c r="B5584" s="55" t="s">
        <v>280</v>
      </c>
      <c r="C5584" s="46">
        <v>572</v>
      </c>
      <c r="D5584" s="69" t="s">
        <v>29417</v>
      </c>
      <c r="E5584" s="51"/>
      <c r="F5584" s="114" t="str">
        <f>IF(INDEX(I.Facility.P2aIDNumber,572)="","",INDEX(I.Facility.P2aIDNumber,572))</f>
        <v/>
      </c>
      <c r="G5584" s="51"/>
      <c r="H5584" s="46" t="str">
        <f>IF(AND(I.Developer.P2a=TRUE,I.Facility.P2aFacilityCount&gt;=572,F5584=""),"Incomplete","Complete")</f>
        <v>Complete</v>
      </c>
      <c r="I5584" s="48" t="s">
        <v>9949</v>
      </c>
    </row>
    <row r="5585" spans="2:9" ht="15" customHeight="1" x14ac:dyDescent="0.25">
      <c r="B5585" s="55" t="s">
        <v>280</v>
      </c>
      <c r="C5585" s="46">
        <v>573</v>
      </c>
      <c r="D5585" s="69" t="s">
        <v>29417</v>
      </c>
      <c r="E5585" s="51"/>
      <c r="F5585" s="114" t="str">
        <f>IF(INDEX(I.Facility.P2aIDNumber,573)="","",INDEX(I.Facility.P2aIDNumber,573))</f>
        <v/>
      </c>
      <c r="G5585" s="51"/>
      <c r="H5585" s="46" t="str">
        <f>IF(AND(I.Developer.P2a=TRUE,I.Facility.P2aFacilityCount&gt;=573,F5585=""),"Incomplete","Complete")</f>
        <v>Complete</v>
      </c>
      <c r="I5585" s="48" t="s">
        <v>9950</v>
      </c>
    </row>
    <row r="5586" spans="2:9" ht="15" customHeight="1" x14ac:dyDescent="0.25">
      <c r="B5586" s="55" t="s">
        <v>280</v>
      </c>
      <c r="C5586" s="46">
        <v>574</v>
      </c>
      <c r="D5586" s="69" t="s">
        <v>29417</v>
      </c>
      <c r="E5586" s="51"/>
      <c r="F5586" s="114" t="str">
        <f>IF(INDEX(I.Facility.P2aIDNumber,574)="","",INDEX(I.Facility.P2aIDNumber,574))</f>
        <v/>
      </c>
      <c r="G5586" s="51"/>
      <c r="H5586" s="46" t="str">
        <f>IF(AND(I.Developer.P2a=TRUE,I.Facility.P2aFacilityCount&gt;=574,F5586=""),"Incomplete","Complete")</f>
        <v>Complete</v>
      </c>
      <c r="I5586" s="48" t="s">
        <v>9951</v>
      </c>
    </row>
    <row r="5587" spans="2:9" ht="15" customHeight="1" x14ac:dyDescent="0.25">
      <c r="B5587" s="55" t="s">
        <v>280</v>
      </c>
      <c r="C5587" s="46">
        <v>575</v>
      </c>
      <c r="D5587" s="69" t="s">
        <v>29417</v>
      </c>
      <c r="E5587" s="51"/>
      <c r="F5587" s="114" t="str">
        <f>IF(INDEX(I.Facility.P2aIDNumber,575)="","",INDEX(I.Facility.P2aIDNumber,575))</f>
        <v/>
      </c>
      <c r="G5587" s="51"/>
      <c r="H5587" s="46" t="str">
        <f>IF(AND(I.Developer.P2a=TRUE,I.Facility.P2aFacilityCount&gt;=575,F5587=""),"Incomplete","Complete")</f>
        <v>Complete</v>
      </c>
      <c r="I5587" s="48" t="s">
        <v>9952</v>
      </c>
    </row>
    <row r="5588" spans="2:9" ht="15" customHeight="1" x14ac:dyDescent="0.25">
      <c r="B5588" s="55" t="s">
        <v>280</v>
      </c>
      <c r="C5588" s="46">
        <v>576</v>
      </c>
      <c r="D5588" s="69" t="s">
        <v>29417</v>
      </c>
      <c r="E5588" s="51"/>
      <c r="F5588" s="114" t="str">
        <f>IF(INDEX(I.Facility.P2aIDNumber,576)="","",INDEX(I.Facility.P2aIDNumber,576))</f>
        <v/>
      </c>
      <c r="G5588" s="51"/>
      <c r="H5588" s="46" t="str">
        <f>IF(AND(I.Developer.P2a=TRUE,I.Facility.P2aFacilityCount&gt;=576,F5588=""),"Incomplete","Complete")</f>
        <v>Complete</v>
      </c>
      <c r="I5588" s="48" t="s">
        <v>9953</v>
      </c>
    </row>
    <row r="5589" spans="2:9" ht="15" customHeight="1" x14ac:dyDescent="0.25">
      <c r="B5589" s="55" t="s">
        <v>280</v>
      </c>
      <c r="C5589" s="46">
        <v>577</v>
      </c>
      <c r="D5589" s="69" t="s">
        <v>29417</v>
      </c>
      <c r="E5589" s="51"/>
      <c r="F5589" s="114" t="str">
        <f>IF(INDEX(I.Facility.P2aIDNumber,577)="","",INDEX(I.Facility.P2aIDNumber,577))</f>
        <v/>
      </c>
      <c r="G5589" s="51"/>
      <c r="H5589" s="46" t="str">
        <f>IF(AND(I.Developer.P2a=TRUE,I.Facility.P2aFacilityCount&gt;=577,F5589=""),"Incomplete","Complete")</f>
        <v>Complete</v>
      </c>
      <c r="I5589" s="48" t="s">
        <v>9954</v>
      </c>
    </row>
    <row r="5590" spans="2:9" ht="15" customHeight="1" x14ac:dyDescent="0.25">
      <c r="B5590" s="55" t="s">
        <v>280</v>
      </c>
      <c r="C5590" s="46">
        <v>578</v>
      </c>
      <c r="D5590" s="69" t="s">
        <v>29417</v>
      </c>
      <c r="E5590" s="51"/>
      <c r="F5590" s="114" t="str">
        <f>IF(INDEX(I.Facility.P2aIDNumber,578)="","",INDEX(I.Facility.P2aIDNumber,578))</f>
        <v/>
      </c>
      <c r="G5590" s="51"/>
      <c r="H5590" s="46" t="str">
        <f>IF(AND(I.Developer.P2a=TRUE,I.Facility.P2aFacilityCount&gt;=578,F5590=""),"Incomplete","Complete")</f>
        <v>Complete</v>
      </c>
      <c r="I5590" s="48" t="s">
        <v>9955</v>
      </c>
    </row>
    <row r="5591" spans="2:9" ht="15" customHeight="1" x14ac:dyDescent="0.25">
      <c r="B5591" s="55" t="s">
        <v>280</v>
      </c>
      <c r="C5591" s="46">
        <v>579</v>
      </c>
      <c r="D5591" s="69" t="s">
        <v>29417</v>
      </c>
      <c r="E5591" s="51"/>
      <c r="F5591" s="114" t="str">
        <f>IF(INDEX(I.Facility.P2aIDNumber,579)="","",INDEX(I.Facility.P2aIDNumber,579))</f>
        <v/>
      </c>
      <c r="G5591" s="51"/>
      <c r="H5591" s="46" t="str">
        <f>IF(AND(I.Developer.P2a=TRUE,I.Facility.P2aFacilityCount&gt;=579,F5591=""),"Incomplete","Complete")</f>
        <v>Complete</v>
      </c>
      <c r="I5591" s="48" t="s">
        <v>9956</v>
      </c>
    </row>
    <row r="5592" spans="2:9" ht="15" customHeight="1" x14ac:dyDescent="0.25">
      <c r="B5592" s="55" t="s">
        <v>280</v>
      </c>
      <c r="C5592" s="46">
        <v>580</v>
      </c>
      <c r="D5592" s="69" t="s">
        <v>29417</v>
      </c>
      <c r="E5592" s="51"/>
      <c r="F5592" s="114" t="str">
        <f>IF(INDEX(I.Facility.P2aIDNumber,580)="","",INDEX(I.Facility.P2aIDNumber,580))</f>
        <v/>
      </c>
      <c r="G5592" s="51"/>
      <c r="H5592" s="46" t="str">
        <f>IF(AND(I.Developer.P2a=TRUE,I.Facility.P2aFacilityCount&gt;=580,F5592=""),"Incomplete","Complete")</f>
        <v>Complete</v>
      </c>
      <c r="I5592" s="48" t="s">
        <v>9957</v>
      </c>
    </row>
    <row r="5593" spans="2:9" ht="15" customHeight="1" x14ac:dyDescent="0.25">
      <c r="B5593" s="55" t="s">
        <v>280</v>
      </c>
      <c r="C5593" s="46">
        <v>581</v>
      </c>
      <c r="D5593" s="69" t="s">
        <v>29417</v>
      </c>
      <c r="E5593" s="51"/>
      <c r="F5593" s="114" t="str">
        <f>IF(INDEX(I.Facility.P2aIDNumber,581)="","",INDEX(I.Facility.P2aIDNumber,581))</f>
        <v/>
      </c>
      <c r="G5593" s="51"/>
      <c r="H5593" s="46" t="str">
        <f>IF(AND(I.Developer.P2a=TRUE,I.Facility.P2aFacilityCount&gt;=581,F5593=""),"Incomplete","Complete")</f>
        <v>Complete</v>
      </c>
      <c r="I5593" s="48" t="s">
        <v>9958</v>
      </c>
    </row>
    <row r="5594" spans="2:9" ht="15" customHeight="1" x14ac:dyDescent="0.25">
      <c r="B5594" s="55" t="s">
        <v>280</v>
      </c>
      <c r="C5594" s="46">
        <v>582</v>
      </c>
      <c r="D5594" s="69" t="s">
        <v>29417</v>
      </c>
      <c r="E5594" s="51"/>
      <c r="F5594" s="114" t="str">
        <f>IF(INDEX(I.Facility.P2aIDNumber,582)="","",INDEX(I.Facility.P2aIDNumber,582))</f>
        <v/>
      </c>
      <c r="G5594" s="51"/>
      <c r="H5594" s="46" t="str">
        <f>IF(AND(I.Developer.P2a=TRUE,I.Facility.P2aFacilityCount&gt;=582,F5594=""),"Incomplete","Complete")</f>
        <v>Complete</v>
      </c>
      <c r="I5594" s="48" t="s">
        <v>9959</v>
      </c>
    </row>
    <row r="5595" spans="2:9" ht="15" customHeight="1" x14ac:dyDescent="0.25">
      <c r="B5595" s="55" t="s">
        <v>280</v>
      </c>
      <c r="C5595" s="46">
        <v>583</v>
      </c>
      <c r="D5595" s="69" t="s">
        <v>29417</v>
      </c>
      <c r="E5595" s="51"/>
      <c r="F5595" s="114" t="str">
        <f>IF(INDEX(I.Facility.P2aIDNumber,583)="","",INDEX(I.Facility.P2aIDNumber,583))</f>
        <v/>
      </c>
      <c r="G5595" s="51"/>
      <c r="H5595" s="46" t="str">
        <f>IF(AND(I.Developer.P2a=TRUE,I.Facility.P2aFacilityCount&gt;=583,F5595=""),"Incomplete","Complete")</f>
        <v>Complete</v>
      </c>
      <c r="I5595" s="48" t="s">
        <v>9960</v>
      </c>
    </row>
    <row r="5596" spans="2:9" ht="15" customHeight="1" x14ac:dyDescent="0.25">
      <c r="B5596" s="55" t="s">
        <v>280</v>
      </c>
      <c r="C5596" s="46">
        <v>584</v>
      </c>
      <c r="D5596" s="69" t="s">
        <v>29417</v>
      </c>
      <c r="E5596" s="51"/>
      <c r="F5596" s="114" t="str">
        <f>IF(INDEX(I.Facility.P2aIDNumber,584)="","",INDEX(I.Facility.P2aIDNumber,584))</f>
        <v/>
      </c>
      <c r="G5596" s="51"/>
      <c r="H5596" s="46" t="str">
        <f>IF(AND(I.Developer.P2a=TRUE,I.Facility.P2aFacilityCount&gt;=584,F5596=""),"Incomplete","Complete")</f>
        <v>Complete</v>
      </c>
      <c r="I5596" s="48" t="s">
        <v>9961</v>
      </c>
    </row>
    <row r="5597" spans="2:9" ht="15" customHeight="1" x14ac:dyDescent="0.25">
      <c r="B5597" s="55" t="s">
        <v>280</v>
      </c>
      <c r="C5597" s="46">
        <v>585</v>
      </c>
      <c r="D5597" s="69" t="s">
        <v>29417</v>
      </c>
      <c r="E5597" s="51"/>
      <c r="F5597" s="114" t="str">
        <f>IF(INDEX(I.Facility.P2aIDNumber,585)="","",INDEX(I.Facility.P2aIDNumber,585))</f>
        <v/>
      </c>
      <c r="G5597" s="51"/>
      <c r="H5597" s="46" t="str">
        <f>IF(AND(I.Developer.P2a=TRUE,I.Facility.P2aFacilityCount&gt;=585,F5597=""),"Incomplete","Complete")</f>
        <v>Complete</v>
      </c>
      <c r="I5597" s="48" t="s">
        <v>9962</v>
      </c>
    </row>
    <row r="5598" spans="2:9" ht="15" customHeight="1" x14ac:dyDescent="0.25">
      <c r="B5598" s="55" t="s">
        <v>280</v>
      </c>
      <c r="C5598" s="46">
        <v>586</v>
      </c>
      <c r="D5598" s="69" t="s">
        <v>29417</v>
      </c>
      <c r="E5598" s="51"/>
      <c r="F5598" s="114" t="str">
        <f>IF(INDEX(I.Facility.P2aIDNumber,586)="","",INDEX(I.Facility.P2aIDNumber,586))</f>
        <v/>
      </c>
      <c r="G5598" s="51"/>
      <c r="H5598" s="46" t="str">
        <f>IF(AND(I.Developer.P2a=TRUE,I.Facility.P2aFacilityCount&gt;=586,F5598=""),"Incomplete","Complete")</f>
        <v>Complete</v>
      </c>
      <c r="I5598" s="48" t="s">
        <v>9963</v>
      </c>
    </row>
    <row r="5599" spans="2:9" ht="15" customHeight="1" x14ac:dyDescent="0.25">
      <c r="B5599" s="55" t="s">
        <v>280</v>
      </c>
      <c r="C5599" s="46">
        <v>587</v>
      </c>
      <c r="D5599" s="69" t="s">
        <v>29417</v>
      </c>
      <c r="E5599" s="51"/>
      <c r="F5599" s="114" t="str">
        <f>IF(INDEX(I.Facility.P2aIDNumber,587)="","",INDEX(I.Facility.P2aIDNumber,587))</f>
        <v/>
      </c>
      <c r="G5599" s="51"/>
      <c r="H5599" s="46" t="str">
        <f>IF(AND(I.Developer.P2a=TRUE,I.Facility.P2aFacilityCount&gt;=587,F5599=""),"Incomplete","Complete")</f>
        <v>Complete</v>
      </c>
      <c r="I5599" s="48" t="s">
        <v>9964</v>
      </c>
    </row>
    <row r="5600" spans="2:9" ht="15" customHeight="1" x14ac:dyDescent="0.25">
      <c r="B5600" s="55" t="s">
        <v>280</v>
      </c>
      <c r="C5600" s="46">
        <v>588</v>
      </c>
      <c r="D5600" s="69" t="s">
        <v>29417</v>
      </c>
      <c r="E5600" s="51"/>
      <c r="F5600" s="114" t="str">
        <f>IF(INDEX(I.Facility.P2aIDNumber,588)="","",INDEX(I.Facility.P2aIDNumber,588))</f>
        <v/>
      </c>
      <c r="G5600" s="51"/>
      <c r="H5600" s="46" t="str">
        <f>IF(AND(I.Developer.P2a=TRUE,I.Facility.P2aFacilityCount&gt;=588,F5600=""),"Incomplete","Complete")</f>
        <v>Complete</v>
      </c>
      <c r="I5600" s="48" t="s">
        <v>9965</v>
      </c>
    </row>
    <row r="5601" spans="2:9" ht="15" customHeight="1" x14ac:dyDescent="0.25">
      <c r="B5601" s="55" t="s">
        <v>280</v>
      </c>
      <c r="C5601" s="46">
        <v>589</v>
      </c>
      <c r="D5601" s="69" t="s">
        <v>29417</v>
      </c>
      <c r="E5601" s="51"/>
      <c r="F5601" s="114" t="str">
        <f>IF(INDEX(I.Facility.P2aIDNumber,589)="","",INDEX(I.Facility.P2aIDNumber,589))</f>
        <v/>
      </c>
      <c r="G5601" s="51"/>
      <c r="H5601" s="46" t="str">
        <f>IF(AND(I.Developer.P2a=TRUE,I.Facility.P2aFacilityCount&gt;=589,F5601=""),"Incomplete","Complete")</f>
        <v>Complete</v>
      </c>
      <c r="I5601" s="48" t="s">
        <v>9966</v>
      </c>
    </row>
    <row r="5602" spans="2:9" ht="15" customHeight="1" x14ac:dyDescent="0.25">
      <c r="B5602" s="55" t="s">
        <v>280</v>
      </c>
      <c r="C5602" s="46">
        <v>590</v>
      </c>
      <c r="D5602" s="69" t="s">
        <v>29417</v>
      </c>
      <c r="E5602" s="51"/>
      <c r="F5602" s="114" t="str">
        <f>IF(INDEX(I.Facility.P2aIDNumber,590)="","",INDEX(I.Facility.P2aIDNumber,590))</f>
        <v/>
      </c>
      <c r="G5602" s="51"/>
      <c r="H5602" s="46" t="str">
        <f>IF(AND(I.Developer.P2a=TRUE,I.Facility.P2aFacilityCount&gt;=590,F5602=""),"Incomplete","Complete")</f>
        <v>Complete</v>
      </c>
      <c r="I5602" s="48" t="s">
        <v>9967</v>
      </c>
    </row>
    <row r="5603" spans="2:9" ht="15" customHeight="1" x14ac:dyDescent="0.25">
      <c r="B5603" s="55" t="s">
        <v>280</v>
      </c>
      <c r="C5603" s="46">
        <v>591</v>
      </c>
      <c r="D5603" s="69" t="s">
        <v>29417</v>
      </c>
      <c r="E5603" s="51"/>
      <c r="F5603" s="114" t="str">
        <f>IF(INDEX(I.Facility.P2aIDNumber,591)="","",INDEX(I.Facility.P2aIDNumber,591))</f>
        <v/>
      </c>
      <c r="G5603" s="51"/>
      <c r="H5603" s="46" t="str">
        <f>IF(AND(I.Developer.P2a=TRUE,I.Facility.P2aFacilityCount&gt;=591,F5603=""),"Incomplete","Complete")</f>
        <v>Complete</v>
      </c>
      <c r="I5603" s="48" t="s">
        <v>9968</v>
      </c>
    </row>
    <row r="5604" spans="2:9" ht="15" customHeight="1" x14ac:dyDescent="0.25">
      <c r="B5604" s="55" t="s">
        <v>280</v>
      </c>
      <c r="C5604" s="46">
        <v>592</v>
      </c>
      <c r="D5604" s="69" t="s">
        <v>29417</v>
      </c>
      <c r="E5604" s="51"/>
      <c r="F5604" s="114" t="str">
        <f>IF(INDEX(I.Facility.P2aIDNumber,592)="","",INDEX(I.Facility.P2aIDNumber,592))</f>
        <v/>
      </c>
      <c r="G5604" s="51"/>
      <c r="H5604" s="46" t="str">
        <f>IF(AND(I.Developer.P2a=TRUE,I.Facility.P2aFacilityCount&gt;=592,F5604=""),"Incomplete","Complete")</f>
        <v>Complete</v>
      </c>
      <c r="I5604" s="48" t="s">
        <v>9969</v>
      </c>
    </row>
    <row r="5605" spans="2:9" ht="15" customHeight="1" x14ac:dyDescent="0.25">
      <c r="B5605" s="55" t="s">
        <v>280</v>
      </c>
      <c r="C5605" s="46">
        <v>593</v>
      </c>
      <c r="D5605" s="69" t="s">
        <v>29417</v>
      </c>
      <c r="E5605" s="51"/>
      <c r="F5605" s="114" t="str">
        <f>IF(INDEX(I.Facility.P2aIDNumber,593)="","",INDEX(I.Facility.P2aIDNumber,593))</f>
        <v/>
      </c>
      <c r="G5605" s="51"/>
      <c r="H5605" s="46" t="str">
        <f>IF(AND(I.Developer.P2a=TRUE,I.Facility.P2aFacilityCount&gt;=593,F5605=""),"Incomplete","Complete")</f>
        <v>Complete</v>
      </c>
      <c r="I5605" s="48" t="s">
        <v>9970</v>
      </c>
    </row>
    <row r="5606" spans="2:9" ht="15" customHeight="1" x14ac:dyDescent="0.25">
      <c r="B5606" s="55" t="s">
        <v>280</v>
      </c>
      <c r="C5606" s="46">
        <v>594</v>
      </c>
      <c r="D5606" s="69" t="s">
        <v>29417</v>
      </c>
      <c r="E5606" s="51"/>
      <c r="F5606" s="114" t="str">
        <f>IF(INDEX(I.Facility.P2aIDNumber,594)="","",INDEX(I.Facility.P2aIDNumber,594))</f>
        <v/>
      </c>
      <c r="G5606" s="51"/>
      <c r="H5606" s="46" t="str">
        <f>IF(AND(I.Developer.P2a=TRUE,I.Facility.P2aFacilityCount&gt;=594,F5606=""),"Incomplete","Complete")</f>
        <v>Complete</v>
      </c>
      <c r="I5606" s="48" t="s">
        <v>9971</v>
      </c>
    </row>
    <row r="5607" spans="2:9" ht="15" customHeight="1" x14ac:dyDescent="0.25">
      <c r="B5607" s="55" t="s">
        <v>280</v>
      </c>
      <c r="C5607" s="46">
        <v>595</v>
      </c>
      <c r="D5607" s="69" t="s">
        <v>29417</v>
      </c>
      <c r="E5607" s="51"/>
      <c r="F5607" s="114" t="str">
        <f>IF(INDEX(I.Facility.P2aIDNumber,595)="","",INDEX(I.Facility.P2aIDNumber,595))</f>
        <v/>
      </c>
      <c r="G5607" s="51"/>
      <c r="H5607" s="46" t="str">
        <f>IF(AND(I.Developer.P2a=TRUE,I.Facility.P2aFacilityCount&gt;=595,F5607=""),"Incomplete","Complete")</f>
        <v>Complete</v>
      </c>
      <c r="I5607" s="48" t="s">
        <v>9972</v>
      </c>
    </row>
    <row r="5608" spans="2:9" ht="15" customHeight="1" x14ac:dyDescent="0.25">
      <c r="B5608" s="55" t="s">
        <v>280</v>
      </c>
      <c r="C5608" s="46">
        <v>596</v>
      </c>
      <c r="D5608" s="69" t="s">
        <v>29417</v>
      </c>
      <c r="E5608" s="51"/>
      <c r="F5608" s="114" t="str">
        <f>IF(INDEX(I.Facility.P2aIDNumber,596)="","",INDEX(I.Facility.P2aIDNumber,596))</f>
        <v/>
      </c>
      <c r="G5608" s="51"/>
      <c r="H5608" s="46" t="str">
        <f>IF(AND(I.Developer.P2a=TRUE,I.Facility.P2aFacilityCount&gt;=596,F5608=""),"Incomplete","Complete")</f>
        <v>Complete</v>
      </c>
      <c r="I5608" s="48" t="s">
        <v>9973</v>
      </c>
    </row>
    <row r="5609" spans="2:9" ht="15" customHeight="1" x14ac:dyDescent="0.25">
      <c r="B5609" s="55" t="s">
        <v>280</v>
      </c>
      <c r="C5609" s="46">
        <v>597</v>
      </c>
      <c r="D5609" s="69" t="s">
        <v>29417</v>
      </c>
      <c r="E5609" s="51"/>
      <c r="F5609" s="114" t="str">
        <f>IF(INDEX(I.Facility.P2aIDNumber,597)="","",INDEX(I.Facility.P2aIDNumber,597))</f>
        <v/>
      </c>
      <c r="G5609" s="51"/>
      <c r="H5609" s="46" t="str">
        <f>IF(AND(I.Developer.P2a=TRUE,I.Facility.P2aFacilityCount&gt;=597,F5609=""),"Incomplete","Complete")</f>
        <v>Complete</v>
      </c>
      <c r="I5609" s="48" t="s">
        <v>9974</v>
      </c>
    </row>
    <row r="5610" spans="2:9" ht="15" customHeight="1" x14ac:dyDescent="0.25">
      <c r="B5610" s="55" t="s">
        <v>280</v>
      </c>
      <c r="C5610" s="46">
        <v>598</v>
      </c>
      <c r="D5610" s="69" t="s">
        <v>29417</v>
      </c>
      <c r="E5610" s="51"/>
      <c r="F5610" s="114" t="str">
        <f>IF(INDEX(I.Facility.P2aIDNumber,598)="","",INDEX(I.Facility.P2aIDNumber,598))</f>
        <v/>
      </c>
      <c r="G5610" s="51"/>
      <c r="H5610" s="46" t="str">
        <f>IF(AND(I.Developer.P2a=TRUE,I.Facility.P2aFacilityCount&gt;=598,F5610=""),"Incomplete","Complete")</f>
        <v>Complete</v>
      </c>
      <c r="I5610" s="48" t="s">
        <v>9975</v>
      </c>
    </row>
    <row r="5611" spans="2:9" ht="15" customHeight="1" x14ac:dyDescent="0.25">
      <c r="B5611" s="55" t="s">
        <v>280</v>
      </c>
      <c r="C5611" s="46">
        <v>599</v>
      </c>
      <c r="D5611" s="69" t="s">
        <v>29417</v>
      </c>
      <c r="E5611" s="51"/>
      <c r="F5611" s="114" t="str">
        <f>IF(INDEX(I.Facility.P2aIDNumber,599)="","",INDEX(I.Facility.P2aIDNumber,599))</f>
        <v/>
      </c>
      <c r="G5611" s="51"/>
      <c r="H5611" s="46" t="str">
        <f>IF(AND(I.Developer.P2a=TRUE,I.Facility.P2aFacilityCount&gt;=599,F5611=""),"Incomplete","Complete")</f>
        <v>Complete</v>
      </c>
      <c r="I5611" s="48" t="s">
        <v>9976</v>
      </c>
    </row>
    <row r="5612" spans="2:9" ht="15" customHeight="1" x14ac:dyDescent="0.25">
      <c r="B5612" s="55" t="s">
        <v>280</v>
      </c>
      <c r="C5612" s="46">
        <v>600</v>
      </c>
      <c r="D5612" s="69" t="s">
        <v>29417</v>
      </c>
      <c r="E5612" s="51"/>
      <c r="F5612" s="114" t="str">
        <f>IF(INDEX(I.Facility.P2aIDNumber,600)="","",INDEX(I.Facility.P2aIDNumber,600))</f>
        <v/>
      </c>
      <c r="G5612" s="51"/>
      <c r="H5612" s="46" t="str">
        <f>IF(AND(I.Developer.P2a=TRUE,I.Facility.P2aFacilityCount&gt;=600,F5612=""),"Incomplete","Complete")</f>
        <v>Complete</v>
      </c>
      <c r="I5612" s="48" t="s">
        <v>9977</v>
      </c>
    </row>
    <row r="5613" spans="2:9" ht="15" customHeight="1" x14ac:dyDescent="0.25">
      <c r="B5613" s="55" t="s">
        <v>280</v>
      </c>
      <c r="C5613" s="46">
        <v>601</v>
      </c>
      <c r="D5613" s="69" t="s">
        <v>29417</v>
      </c>
      <c r="E5613" s="51"/>
      <c r="F5613" s="114" t="str">
        <f>IF(INDEX(I.Facility.P2aIDNumber,601)="","",INDEX(I.Facility.P2aIDNumber,601))</f>
        <v/>
      </c>
      <c r="G5613" s="51"/>
      <c r="H5613" s="46" t="str">
        <f>IF(AND(I.Developer.P2a=TRUE,I.Facility.P2aFacilityCount&gt;=601,F5613=""),"Incomplete","Complete")</f>
        <v>Complete</v>
      </c>
      <c r="I5613" s="48" t="s">
        <v>9978</v>
      </c>
    </row>
    <row r="5614" spans="2:9" ht="15" customHeight="1" x14ac:dyDescent="0.25">
      <c r="B5614" s="55" t="s">
        <v>280</v>
      </c>
      <c r="C5614" s="46">
        <v>602</v>
      </c>
      <c r="D5614" s="69" t="s">
        <v>29417</v>
      </c>
      <c r="E5614" s="51"/>
      <c r="F5614" s="114" t="str">
        <f>IF(INDEX(I.Facility.P2aIDNumber,602)="","",INDEX(I.Facility.P2aIDNumber,602))</f>
        <v/>
      </c>
      <c r="G5614" s="51"/>
      <c r="H5614" s="46" t="str">
        <f>IF(AND(I.Developer.P2a=TRUE,I.Facility.P2aFacilityCount&gt;=602,F5614=""),"Incomplete","Complete")</f>
        <v>Complete</v>
      </c>
      <c r="I5614" s="48" t="s">
        <v>9979</v>
      </c>
    </row>
    <row r="5615" spans="2:9" ht="15" customHeight="1" x14ac:dyDescent="0.25">
      <c r="B5615" s="55" t="s">
        <v>280</v>
      </c>
      <c r="C5615" s="46">
        <v>603</v>
      </c>
      <c r="D5615" s="69" t="s">
        <v>29417</v>
      </c>
      <c r="E5615" s="51"/>
      <c r="F5615" s="114" t="str">
        <f>IF(INDEX(I.Facility.P2aIDNumber,603)="","",INDEX(I.Facility.P2aIDNumber,603))</f>
        <v/>
      </c>
      <c r="G5615" s="51"/>
      <c r="H5615" s="46" t="str">
        <f>IF(AND(I.Developer.P2a=TRUE,I.Facility.P2aFacilityCount&gt;=603,F5615=""),"Incomplete","Complete")</f>
        <v>Complete</v>
      </c>
      <c r="I5615" s="48" t="s">
        <v>9980</v>
      </c>
    </row>
    <row r="5616" spans="2:9" ht="15" customHeight="1" x14ac:dyDescent="0.25">
      <c r="B5616" s="55" t="s">
        <v>280</v>
      </c>
      <c r="C5616" s="46">
        <v>604</v>
      </c>
      <c r="D5616" s="69" t="s">
        <v>29417</v>
      </c>
      <c r="E5616" s="51"/>
      <c r="F5616" s="114" t="str">
        <f>IF(INDEX(I.Facility.P2aIDNumber,604)="","",INDEX(I.Facility.P2aIDNumber,604))</f>
        <v/>
      </c>
      <c r="G5616" s="51"/>
      <c r="H5616" s="46" t="str">
        <f>IF(AND(I.Developer.P2a=TRUE,I.Facility.P2aFacilityCount&gt;=604,F5616=""),"Incomplete","Complete")</f>
        <v>Complete</v>
      </c>
      <c r="I5616" s="48" t="s">
        <v>9981</v>
      </c>
    </row>
    <row r="5617" spans="2:9" ht="15" customHeight="1" x14ac:dyDescent="0.25">
      <c r="B5617" s="55" t="s">
        <v>280</v>
      </c>
      <c r="C5617" s="46">
        <v>605</v>
      </c>
      <c r="D5617" s="69" t="s">
        <v>29417</v>
      </c>
      <c r="E5617" s="51"/>
      <c r="F5617" s="114" t="str">
        <f>IF(INDEX(I.Facility.P2aIDNumber,605)="","",INDEX(I.Facility.P2aIDNumber,605))</f>
        <v/>
      </c>
      <c r="G5617" s="51"/>
      <c r="H5617" s="46" t="str">
        <f>IF(AND(I.Developer.P2a=TRUE,I.Facility.P2aFacilityCount&gt;=605,F5617=""),"Incomplete","Complete")</f>
        <v>Complete</v>
      </c>
      <c r="I5617" s="48" t="s">
        <v>9982</v>
      </c>
    </row>
    <row r="5618" spans="2:9" ht="15" customHeight="1" x14ac:dyDescent="0.25">
      <c r="B5618" s="55" t="s">
        <v>280</v>
      </c>
      <c r="C5618" s="46">
        <v>606</v>
      </c>
      <c r="D5618" s="69" t="s">
        <v>29417</v>
      </c>
      <c r="E5618" s="51"/>
      <c r="F5618" s="114" t="str">
        <f>IF(INDEX(I.Facility.P2aIDNumber,606)="","",INDEX(I.Facility.P2aIDNumber,606))</f>
        <v/>
      </c>
      <c r="G5618" s="51"/>
      <c r="H5618" s="46" t="str">
        <f>IF(AND(I.Developer.P2a=TRUE,I.Facility.P2aFacilityCount&gt;=606,F5618=""),"Incomplete","Complete")</f>
        <v>Complete</v>
      </c>
      <c r="I5618" s="48" t="s">
        <v>9983</v>
      </c>
    </row>
    <row r="5619" spans="2:9" ht="15" customHeight="1" x14ac:dyDescent="0.25">
      <c r="B5619" s="55" t="s">
        <v>280</v>
      </c>
      <c r="C5619" s="46">
        <v>607</v>
      </c>
      <c r="D5619" s="69" t="s">
        <v>29417</v>
      </c>
      <c r="E5619" s="51"/>
      <c r="F5619" s="114" t="str">
        <f>IF(INDEX(I.Facility.P2aIDNumber,607)="","",INDEX(I.Facility.P2aIDNumber,607))</f>
        <v/>
      </c>
      <c r="G5619" s="51"/>
      <c r="H5619" s="46" t="str">
        <f>IF(AND(I.Developer.P2a=TRUE,I.Facility.P2aFacilityCount&gt;=607,F5619=""),"Incomplete","Complete")</f>
        <v>Complete</v>
      </c>
      <c r="I5619" s="48" t="s">
        <v>9984</v>
      </c>
    </row>
    <row r="5620" spans="2:9" ht="15" customHeight="1" x14ac:dyDescent="0.25">
      <c r="B5620" s="55" t="s">
        <v>280</v>
      </c>
      <c r="C5620" s="46">
        <v>608</v>
      </c>
      <c r="D5620" s="69" t="s">
        <v>29417</v>
      </c>
      <c r="E5620" s="51"/>
      <c r="F5620" s="114" t="str">
        <f>IF(INDEX(I.Facility.P2aIDNumber,608)="","",INDEX(I.Facility.P2aIDNumber,608))</f>
        <v/>
      </c>
      <c r="G5620" s="51"/>
      <c r="H5620" s="46" t="str">
        <f>IF(AND(I.Developer.P2a=TRUE,I.Facility.P2aFacilityCount&gt;=608,F5620=""),"Incomplete","Complete")</f>
        <v>Complete</v>
      </c>
      <c r="I5620" s="48" t="s">
        <v>9985</v>
      </c>
    </row>
    <row r="5621" spans="2:9" ht="15" customHeight="1" x14ac:dyDescent="0.25">
      <c r="B5621" s="55" t="s">
        <v>280</v>
      </c>
      <c r="C5621" s="46">
        <v>609</v>
      </c>
      <c r="D5621" s="69" t="s">
        <v>29417</v>
      </c>
      <c r="E5621" s="51"/>
      <c r="F5621" s="114" t="str">
        <f>IF(INDEX(I.Facility.P2aIDNumber,609)="","",INDEX(I.Facility.P2aIDNumber,609))</f>
        <v/>
      </c>
      <c r="G5621" s="51"/>
      <c r="H5621" s="46" t="str">
        <f>IF(AND(I.Developer.P2a=TRUE,I.Facility.P2aFacilityCount&gt;=609,F5621=""),"Incomplete","Complete")</f>
        <v>Complete</v>
      </c>
      <c r="I5621" s="48" t="s">
        <v>9986</v>
      </c>
    </row>
    <row r="5622" spans="2:9" ht="15" customHeight="1" x14ac:dyDescent="0.25">
      <c r="B5622" s="55" t="s">
        <v>280</v>
      </c>
      <c r="C5622" s="46">
        <v>610</v>
      </c>
      <c r="D5622" s="69" t="s">
        <v>29417</v>
      </c>
      <c r="E5622" s="51"/>
      <c r="F5622" s="114" t="str">
        <f>IF(INDEX(I.Facility.P2aIDNumber,610)="","",INDEX(I.Facility.P2aIDNumber,610))</f>
        <v/>
      </c>
      <c r="G5622" s="51"/>
      <c r="H5622" s="46" t="str">
        <f>IF(AND(I.Developer.P2a=TRUE,I.Facility.P2aFacilityCount&gt;=610,F5622=""),"Incomplete","Complete")</f>
        <v>Complete</v>
      </c>
      <c r="I5622" s="48" t="s">
        <v>9987</v>
      </c>
    </row>
    <row r="5623" spans="2:9" ht="15" customHeight="1" x14ac:dyDescent="0.25">
      <c r="B5623" s="55" t="s">
        <v>280</v>
      </c>
      <c r="C5623" s="46">
        <v>611</v>
      </c>
      <c r="D5623" s="69" t="s">
        <v>29417</v>
      </c>
      <c r="E5623" s="51"/>
      <c r="F5623" s="114" t="str">
        <f>IF(INDEX(I.Facility.P2aIDNumber,611)="","",INDEX(I.Facility.P2aIDNumber,611))</f>
        <v/>
      </c>
      <c r="G5623" s="51"/>
      <c r="H5623" s="46" t="str">
        <f>IF(AND(I.Developer.P2a=TRUE,I.Facility.P2aFacilityCount&gt;=611,F5623=""),"Incomplete","Complete")</f>
        <v>Complete</v>
      </c>
      <c r="I5623" s="48" t="s">
        <v>9988</v>
      </c>
    </row>
    <row r="5624" spans="2:9" ht="15" customHeight="1" x14ac:dyDescent="0.25">
      <c r="B5624" s="55" t="s">
        <v>280</v>
      </c>
      <c r="C5624" s="46">
        <v>612</v>
      </c>
      <c r="D5624" s="69" t="s">
        <v>29417</v>
      </c>
      <c r="E5624" s="51"/>
      <c r="F5624" s="114" t="str">
        <f>IF(INDEX(I.Facility.P2aIDNumber,612)="","",INDEX(I.Facility.P2aIDNumber,612))</f>
        <v/>
      </c>
      <c r="G5624" s="51"/>
      <c r="H5624" s="46" t="str">
        <f>IF(AND(I.Developer.P2a=TRUE,I.Facility.P2aFacilityCount&gt;=612,F5624=""),"Incomplete","Complete")</f>
        <v>Complete</v>
      </c>
      <c r="I5624" s="48" t="s">
        <v>9989</v>
      </c>
    </row>
    <row r="5625" spans="2:9" ht="15" customHeight="1" x14ac:dyDescent="0.25">
      <c r="B5625" s="55" t="s">
        <v>280</v>
      </c>
      <c r="C5625" s="46">
        <v>613</v>
      </c>
      <c r="D5625" s="69" t="s">
        <v>29417</v>
      </c>
      <c r="E5625" s="51"/>
      <c r="F5625" s="114" t="str">
        <f>IF(INDEX(I.Facility.P2aIDNumber,613)="","",INDEX(I.Facility.P2aIDNumber,613))</f>
        <v/>
      </c>
      <c r="G5625" s="51"/>
      <c r="H5625" s="46" t="str">
        <f>IF(AND(I.Developer.P2a=TRUE,I.Facility.P2aFacilityCount&gt;=613,F5625=""),"Incomplete","Complete")</f>
        <v>Complete</v>
      </c>
      <c r="I5625" s="48" t="s">
        <v>9990</v>
      </c>
    </row>
    <row r="5626" spans="2:9" ht="15" customHeight="1" x14ac:dyDescent="0.25">
      <c r="B5626" s="55" t="s">
        <v>280</v>
      </c>
      <c r="C5626" s="46">
        <v>614</v>
      </c>
      <c r="D5626" s="69" t="s">
        <v>29417</v>
      </c>
      <c r="E5626" s="51"/>
      <c r="F5626" s="114" t="str">
        <f>IF(INDEX(I.Facility.P2aIDNumber,614)="","",INDEX(I.Facility.P2aIDNumber,614))</f>
        <v/>
      </c>
      <c r="G5626" s="51"/>
      <c r="H5626" s="46" t="str">
        <f>IF(AND(I.Developer.P2a=TRUE,I.Facility.P2aFacilityCount&gt;=614,F5626=""),"Incomplete","Complete")</f>
        <v>Complete</v>
      </c>
      <c r="I5626" s="48" t="s">
        <v>9991</v>
      </c>
    </row>
    <row r="5627" spans="2:9" ht="15" customHeight="1" x14ac:dyDescent="0.25">
      <c r="B5627" s="55" t="s">
        <v>280</v>
      </c>
      <c r="C5627" s="46">
        <v>615</v>
      </c>
      <c r="D5627" s="69" t="s">
        <v>29417</v>
      </c>
      <c r="E5627" s="51"/>
      <c r="F5627" s="114" t="str">
        <f>IF(INDEX(I.Facility.P2aIDNumber,615)="","",INDEX(I.Facility.P2aIDNumber,615))</f>
        <v/>
      </c>
      <c r="G5627" s="51"/>
      <c r="H5627" s="46" t="str">
        <f>IF(AND(I.Developer.P2a=TRUE,I.Facility.P2aFacilityCount&gt;=615,F5627=""),"Incomplete","Complete")</f>
        <v>Complete</v>
      </c>
      <c r="I5627" s="48" t="s">
        <v>9992</v>
      </c>
    </row>
    <row r="5628" spans="2:9" ht="15" customHeight="1" x14ac:dyDescent="0.25">
      <c r="B5628" s="55" t="s">
        <v>280</v>
      </c>
      <c r="C5628" s="46">
        <v>616</v>
      </c>
      <c r="D5628" s="69" t="s">
        <v>29417</v>
      </c>
      <c r="E5628" s="51"/>
      <c r="F5628" s="114" t="str">
        <f>IF(INDEX(I.Facility.P2aIDNumber,616)="","",INDEX(I.Facility.P2aIDNumber,616))</f>
        <v/>
      </c>
      <c r="G5628" s="51"/>
      <c r="H5628" s="46" t="str">
        <f>IF(AND(I.Developer.P2a=TRUE,I.Facility.P2aFacilityCount&gt;=616,F5628=""),"Incomplete","Complete")</f>
        <v>Complete</v>
      </c>
      <c r="I5628" s="48" t="s">
        <v>9993</v>
      </c>
    </row>
    <row r="5629" spans="2:9" ht="15" customHeight="1" x14ac:dyDescent="0.25">
      <c r="B5629" s="55" t="s">
        <v>280</v>
      </c>
      <c r="C5629" s="46">
        <v>617</v>
      </c>
      <c r="D5629" s="69" t="s">
        <v>29417</v>
      </c>
      <c r="E5629" s="51"/>
      <c r="F5629" s="114" t="str">
        <f>IF(INDEX(I.Facility.P2aIDNumber,617)="","",INDEX(I.Facility.P2aIDNumber,617))</f>
        <v/>
      </c>
      <c r="G5629" s="51"/>
      <c r="H5629" s="46" t="str">
        <f>IF(AND(I.Developer.P2a=TRUE,I.Facility.P2aFacilityCount&gt;=617,F5629=""),"Incomplete","Complete")</f>
        <v>Complete</v>
      </c>
      <c r="I5629" s="48" t="s">
        <v>9994</v>
      </c>
    </row>
    <row r="5630" spans="2:9" ht="15" customHeight="1" x14ac:dyDescent="0.25">
      <c r="B5630" s="55" t="s">
        <v>280</v>
      </c>
      <c r="C5630" s="46">
        <v>618</v>
      </c>
      <c r="D5630" s="69" t="s">
        <v>29417</v>
      </c>
      <c r="E5630" s="51"/>
      <c r="F5630" s="114" t="str">
        <f>IF(INDEX(I.Facility.P2aIDNumber,618)="","",INDEX(I.Facility.P2aIDNumber,618))</f>
        <v/>
      </c>
      <c r="G5630" s="51"/>
      <c r="H5630" s="46" t="str">
        <f>IF(AND(I.Developer.P2a=TRUE,I.Facility.P2aFacilityCount&gt;=618,F5630=""),"Incomplete","Complete")</f>
        <v>Complete</v>
      </c>
      <c r="I5630" s="48" t="s">
        <v>9995</v>
      </c>
    </row>
    <row r="5631" spans="2:9" ht="15" customHeight="1" x14ac:dyDescent="0.25">
      <c r="B5631" s="55" t="s">
        <v>280</v>
      </c>
      <c r="C5631" s="46">
        <v>619</v>
      </c>
      <c r="D5631" s="69" t="s">
        <v>29417</v>
      </c>
      <c r="E5631" s="51"/>
      <c r="F5631" s="114" t="str">
        <f>IF(INDEX(I.Facility.P2aIDNumber,619)="","",INDEX(I.Facility.P2aIDNumber,619))</f>
        <v/>
      </c>
      <c r="G5631" s="51"/>
      <c r="H5631" s="46" t="str">
        <f>IF(AND(I.Developer.P2a=TRUE,I.Facility.P2aFacilityCount&gt;=619,F5631=""),"Incomplete","Complete")</f>
        <v>Complete</v>
      </c>
      <c r="I5631" s="48" t="s">
        <v>9996</v>
      </c>
    </row>
    <row r="5632" spans="2:9" ht="15" customHeight="1" x14ac:dyDescent="0.25">
      <c r="B5632" s="55" t="s">
        <v>280</v>
      </c>
      <c r="C5632" s="46">
        <v>620</v>
      </c>
      <c r="D5632" s="69" t="s">
        <v>29417</v>
      </c>
      <c r="E5632" s="51"/>
      <c r="F5632" s="114" t="str">
        <f>IF(INDEX(I.Facility.P2aIDNumber,620)="","",INDEX(I.Facility.P2aIDNumber,620))</f>
        <v/>
      </c>
      <c r="G5632" s="51"/>
      <c r="H5632" s="46" t="str">
        <f>IF(AND(I.Developer.P2a=TRUE,I.Facility.P2aFacilityCount&gt;=620,F5632=""),"Incomplete","Complete")</f>
        <v>Complete</v>
      </c>
      <c r="I5632" s="48" t="s">
        <v>9997</v>
      </c>
    </row>
    <row r="5633" spans="2:9" ht="15" customHeight="1" x14ac:dyDescent="0.25">
      <c r="B5633" s="55" t="s">
        <v>280</v>
      </c>
      <c r="C5633" s="46">
        <v>621</v>
      </c>
      <c r="D5633" s="69" t="s">
        <v>29417</v>
      </c>
      <c r="E5633" s="51"/>
      <c r="F5633" s="114" t="str">
        <f>IF(INDEX(I.Facility.P2aIDNumber,621)="","",INDEX(I.Facility.P2aIDNumber,621))</f>
        <v/>
      </c>
      <c r="G5633" s="51"/>
      <c r="H5633" s="46" t="str">
        <f>IF(AND(I.Developer.P2a=TRUE,I.Facility.P2aFacilityCount&gt;=621,F5633=""),"Incomplete","Complete")</f>
        <v>Complete</v>
      </c>
      <c r="I5633" s="48" t="s">
        <v>9998</v>
      </c>
    </row>
    <row r="5634" spans="2:9" ht="15" customHeight="1" x14ac:dyDescent="0.25">
      <c r="B5634" s="55" t="s">
        <v>280</v>
      </c>
      <c r="C5634" s="46">
        <v>622</v>
      </c>
      <c r="D5634" s="69" t="s">
        <v>29417</v>
      </c>
      <c r="E5634" s="51"/>
      <c r="F5634" s="114" t="str">
        <f>IF(INDEX(I.Facility.P2aIDNumber,622)="","",INDEX(I.Facility.P2aIDNumber,622))</f>
        <v/>
      </c>
      <c r="G5634" s="51"/>
      <c r="H5634" s="46" t="str">
        <f>IF(AND(I.Developer.P2a=TRUE,I.Facility.P2aFacilityCount&gt;=622,F5634=""),"Incomplete","Complete")</f>
        <v>Complete</v>
      </c>
      <c r="I5634" s="48" t="s">
        <v>9999</v>
      </c>
    </row>
    <row r="5635" spans="2:9" ht="15" customHeight="1" x14ac:dyDescent="0.25">
      <c r="B5635" s="55" t="s">
        <v>280</v>
      </c>
      <c r="C5635" s="46">
        <v>623</v>
      </c>
      <c r="D5635" s="69" t="s">
        <v>29417</v>
      </c>
      <c r="E5635" s="51"/>
      <c r="F5635" s="114" t="str">
        <f>IF(INDEX(I.Facility.P2aIDNumber,623)="","",INDEX(I.Facility.P2aIDNumber,623))</f>
        <v/>
      </c>
      <c r="G5635" s="51"/>
      <c r="H5635" s="46" t="str">
        <f>IF(AND(I.Developer.P2a=TRUE,I.Facility.P2aFacilityCount&gt;=623,F5635=""),"Incomplete","Complete")</f>
        <v>Complete</v>
      </c>
      <c r="I5635" s="48" t="s">
        <v>10000</v>
      </c>
    </row>
    <row r="5636" spans="2:9" ht="15" customHeight="1" x14ac:dyDescent="0.25">
      <c r="B5636" s="55" t="s">
        <v>280</v>
      </c>
      <c r="C5636" s="46">
        <v>624</v>
      </c>
      <c r="D5636" s="69" t="s">
        <v>29417</v>
      </c>
      <c r="E5636" s="51"/>
      <c r="F5636" s="114" t="str">
        <f>IF(INDEX(I.Facility.P2aIDNumber,624)="","",INDEX(I.Facility.P2aIDNumber,624))</f>
        <v/>
      </c>
      <c r="G5636" s="51"/>
      <c r="H5636" s="46" t="str">
        <f>IF(AND(I.Developer.P2a=TRUE,I.Facility.P2aFacilityCount&gt;=624,F5636=""),"Incomplete","Complete")</f>
        <v>Complete</v>
      </c>
      <c r="I5636" s="48" t="s">
        <v>10001</v>
      </c>
    </row>
    <row r="5637" spans="2:9" ht="15" customHeight="1" x14ac:dyDescent="0.25">
      <c r="B5637" s="55" t="s">
        <v>280</v>
      </c>
      <c r="C5637" s="46">
        <v>625</v>
      </c>
      <c r="D5637" s="69" t="s">
        <v>29417</v>
      </c>
      <c r="E5637" s="51"/>
      <c r="F5637" s="114" t="str">
        <f>IF(INDEX(I.Facility.P2aIDNumber,625)="","",INDEX(I.Facility.P2aIDNumber,625))</f>
        <v/>
      </c>
      <c r="G5637" s="51"/>
      <c r="H5637" s="46" t="str">
        <f>IF(AND(I.Developer.P2a=TRUE,I.Facility.P2aFacilityCount&gt;=625,F5637=""),"Incomplete","Complete")</f>
        <v>Complete</v>
      </c>
      <c r="I5637" s="48" t="s">
        <v>10002</v>
      </c>
    </row>
    <row r="5638" spans="2:9" ht="15" customHeight="1" x14ac:dyDescent="0.25">
      <c r="B5638" s="55" t="s">
        <v>280</v>
      </c>
      <c r="C5638" s="46">
        <v>626</v>
      </c>
      <c r="D5638" s="69" t="s">
        <v>29417</v>
      </c>
      <c r="E5638" s="51"/>
      <c r="F5638" s="114" t="str">
        <f>IF(INDEX(I.Facility.P2aIDNumber,626)="","",INDEX(I.Facility.P2aIDNumber,626))</f>
        <v/>
      </c>
      <c r="G5638" s="51"/>
      <c r="H5638" s="46" t="str">
        <f>IF(AND(I.Developer.P2a=TRUE,I.Facility.P2aFacilityCount&gt;=626,F5638=""),"Incomplete","Complete")</f>
        <v>Complete</v>
      </c>
      <c r="I5638" s="48" t="s">
        <v>10003</v>
      </c>
    </row>
    <row r="5639" spans="2:9" ht="15" customHeight="1" x14ac:dyDescent="0.25">
      <c r="B5639" s="55" t="s">
        <v>280</v>
      </c>
      <c r="C5639" s="46">
        <v>627</v>
      </c>
      <c r="D5639" s="69" t="s">
        <v>29417</v>
      </c>
      <c r="E5639" s="51"/>
      <c r="F5639" s="114" t="str">
        <f>IF(INDEX(I.Facility.P2aIDNumber,627)="","",INDEX(I.Facility.P2aIDNumber,627))</f>
        <v/>
      </c>
      <c r="G5639" s="51"/>
      <c r="H5639" s="46" t="str">
        <f>IF(AND(I.Developer.P2a=TRUE,I.Facility.P2aFacilityCount&gt;=627,F5639=""),"Incomplete","Complete")</f>
        <v>Complete</v>
      </c>
      <c r="I5639" s="48" t="s">
        <v>10004</v>
      </c>
    </row>
    <row r="5640" spans="2:9" ht="15" customHeight="1" x14ac:dyDescent="0.25">
      <c r="B5640" s="55" t="s">
        <v>280</v>
      </c>
      <c r="C5640" s="46">
        <v>628</v>
      </c>
      <c r="D5640" s="69" t="s">
        <v>29417</v>
      </c>
      <c r="E5640" s="51"/>
      <c r="F5640" s="114" t="str">
        <f>IF(INDEX(I.Facility.P2aIDNumber,628)="","",INDEX(I.Facility.P2aIDNumber,628))</f>
        <v/>
      </c>
      <c r="G5640" s="51"/>
      <c r="H5640" s="46" t="str">
        <f>IF(AND(I.Developer.P2a=TRUE,I.Facility.P2aFacilityCount&gt;=628,F5640=""),"Incomplete","Complete")</f>
        <v>Complete</v>
      </c>
      <c r="I5640" s="48" t="s">
        <v>10005</v>
      </c>
    </row>
    <row r="5641" spans="2:9" ht="15" customHeight="1" x14ac:dyDescent="0.25">
      <c r="B5641" s="55" t="s">
        <v>280</v>
      </c>
      <c r="C5641" s="46">
        <v>629</v>
      </c>
      <c r="D5641" s="69" t="s">
        <v>29417</v>
      </c>
      <c r="E5641" s="51"/>
      <c r="F5641" s="114" t="str">
        <f>IF(INDEX(I.Facility.P2aIDNumber,629)="","",INDEX(I.Facility.P2aIDNumber,629))</f>
        <v/>
      </c>
      <c r="G5641" s="51"/>
      <c r="H5641" s="46" t="str">
        <f>IF(AND(I.Developer.P2a=TRUE,I.Facility.P2aFacilityCount&gt;=629,F5641=""),"Incomplete","Complete")</f>
        <v>Complete</v>
      </c>
      <c r="I5641" s="48" t="s">
        <v>10006</v>
      </c>
    </row>
    <row r="5642" spans="2:9" ht="15" customHeight="1" x14ac:dyDescent="0.25">
      <c r="B5642" s="55" t="s">
        <v>280</v>
      </c>
      <c r="C5642" s="46">
        <v>630</v>
      </c>
      <c r="D5642" s="69" t="s">
        <v>29417</v>
      </c>
      <c r="E5642" s="51"/>
      <c r="F5642" s="114" t="str">
        <f>IF(INDEX(I.Facility.P2aIDNumber,630)="","",INDEX(I.Facility.P2aIDNumber,630))</f>
        <v/>
      </c>
      <c r="G5642" s="51"/>
      <c r="H5642" s="46" t="str">
        <f>IF(AND(I.Developer.P2a=TRUE,I.Facility.P2aFacilityCount&gt;=630,F5642=""),"Incomplete","Complete")</f>
        <v>Complete</v>
      </c>
      <c r="I5642" s="48" t="s">
        <v>10007</v>
      </c>
    </row>
    <row r="5643" spans="2:9" ht="15" customHeight="1" x14ac:dyDescent="0.25">
      <c r="B5643" s="55" t="s">
        <v>280</v>
      </c>
      <c r="C5643" s="46">
        <v>631</v>
      </c>
      <c r="D5643" s="69" t="s">
        <v>29417</v>
      </c>
      <c r="E5643" s="51"/>
      <c r="F5643" s="114" t="str">
        <f>IF(INDEX(I.Facility.P2aIDNumber,631)="","",INDEX(I.Facility.P2aIDNumber,631))</f>
        <v/>
      </c>
      <c r="G5643" s="51"/>
      <c r="H5643" s="46" t="str">
        <f>IF(AND(I.Developer.P2a=TRUE,I.Facility.P2aFacilityCount&gt;=631,F5643=""),"Incomplete","Complete")</f>
        <v>Complete</v>
      </c>
      <c r="I5643" s="48" t="s">
        <v>10008</v>
      </c>
    </row>
    <row r="5644" spans="2:9" ht="15" customHeight="1" x14ac:dyDescent="0.25">
      <c r="B5644" s="55" t="s">
        <v>280</v>
      </c>
      <c r="C5644" s="46">
        <v>632</v>
      </c>
      <c r="D5644" s="69" t="s">
        <v>29417</v>
      </c>
      <c r="E5644" s="51"/>
      <c r="F5644" s="114" t="str">
        <f>IF(INDEX(I.Facility.P2aIDNumber,632)="","",INDEX(I.Facility.P2aIDNumber,632))</f>
        <v/>
      </c>
      <c r="G5644" s="51"/>
      <c r="H5644" s="46" t="str">
        <f>IF(AND(I.Developer.P2a=TRUE,I.Facility.P2aFacilityCount&gt;=632,F5644=""),"Incomplete","Complete")</f>
        <v>Complete</v>
      </c>
      <c r="I5644" s="48" t="s">
        <v>10009</v>
      </c>
    </row>
    <row r="5645" spans="2:9" ht="15" customHeight="1" x14ac:dyDescent="0.25">
      <c r="B5645" s="55" t="s">
        <v>280</v>
      </c>
      <c r="C5645" s="46">
        <v>633</v>
      </c>
      <c r="D5645" s="69" t="s">
        <v>29417</v>
      </c>
      <c r="E5645" s="51"/>
      <c r="F5645" s="114" t="str">
        <f>IF(INDEX(I.Facility.P2aIDNumber,633)="","",INDEX(I.Facility.P2aIDNumber,633))</f>
        <v/>
      </c>
      <c r="G5645" s="51"/>
      <c r="H5645" s="46" t="str">
        <f>IF(AND(I.Developer.P2a=TRUE,I.Facility.P2aFacilityCount&gt;=633,F5645=""),"Incomplete","Complete")</f>
        <v>Complete</v>
      </c>
      <c r="I5645" s="48" t="s">
        <v>10010</v>
      </c>
    </row>
    <row r="5646" spans="2:9" ht="15" customHeight="1" x14ac:dyDescent="0.25">
      <c r="B5646" s="55" t="s">
        <v>280</v>
      </c>
      <c r="C5646" s="46">
        <v>634</v>
      </c>
      <c r="D5646" s="69" t="s">
        <v>29417</v>
      </c>
      <c r="E5646" s="51"/>
      <c r="F5646" s="114" t="str">
        <f>IF(INDEX(I.Facility.P2aIDNumber,634)="","",INDEX(I.Facility.P2aIDNumber,634))</f>
        <v/>
      </c>
      <c r="G5646" s="51"/>
      <c r="H5646" s="46" t="str">
        <f>IF(AND(I.Developer.P2a=TRUE,I.Facility.P2aFacilityCount&gt;=634,F5646=""),"Incomplete","Complete")</f>
        <v>Complete</v>
      </c>
      <c r="I5646" s="48" t="s">
        <v>10011</v>
      </c>
    </row>
    <row r="5647" spans="2:9" ht="15" customHeight="1" x14ac:dyDescent="0.25">
      <c r="B5647" s="55" t="s">
        <v>280</v>
      </c>
      <c r="C5647" s="46">
        <v>635</v>
      </c>
      <c r="D5647" s="69" t="s">
        <v>29417</v>
      </c>
      <c r="E5647" s="51"/>
      <c r="F5647" s="114" t="str">
        <f>IF(INDEX(I.Facility.P2aIDNumber,635)="","",INDEX(I.Facility.P2aIDNumber,635))</f>
        <v/>
      </c>
      <c r="G5647" s="51"/>
      <c r="H5647" s="46" t="str">
        <f>IF(AND(I.Developer.P2a=TRUE,I.Facility.P2aFacilityCount&gt;=635,F5647=""),"Incomplete","Complete")</f>
        <v>Complete</v>
      </c>
      <c r="I5647" s="48" t="s">
        <v>10012</v>
      </c>
    </row>
    <row r="5648" spans="2:9" ht="15" customHeight="1" x14ac:dyDescent="0.25">
      <c r="B5648" s="55" t="s">
        <v>280</v>
      </c>
      <c r="C5648" s="46">
        <v>636</v>
      </c>
      <c r="D5648" s="69" t="s">
        <v>29417</v>
      </c>
      <c r="E5648" s="51"/>
      <c r="F5648" s="114" t="str">
        <f>IF(INDEX(I.Facility.P2aIDNumber,636)="","",INDEX(I.Facility.P2aIDNumber,636))</f>
        <v/>
      </c>
      <c r="G5648" s="51"/>
      <c r="H5648" s="46" t="str">
        <f>IF(AND(I.Developer.P2a=TRUE,I.Facility.P2aFacilityCount&gt;=636,F5648=""),"Incomplete","Complete")</f>
        <v>Complete</v>
      </c>
      <c r="I5648" s="48" t="s">
        <v>10013</v>
      </c>
    </row>
    <row r="5649" spans="2:9" ht="15" customHeight="1" x14ac:dyDescent="0.25">
      <c r="B5649" s="55" t="s">
        <v>280</v>
      </c>
      <c r="C5649" s="46">
        <v>637</v>
      </c>
      <c r="D5649" s="69" t="s">
        <v>29417</v>
      </c>
      <c r="E5649" s="51"/>
      <c r="F5649" s="114" t="str">
        <f>IF(INDEX(I.Facility.P2aIDNumber,637)="","",INDEX(I.Facility.P2aIDNumber,637))</f>
        <v/>
      </c>
      <c r="G5649" s="51"/>
      <c r="H5649" s="46" t="str">
        <f>IF(AND(I.Developer.P2a=TRUE,I.Facility.P2aFacilityCount&gt;=637,F5649=""),"Incomplete","Complete")</f>
        <v>Complete</v>
      </c>
      <c r="I5649" s="48" t="s">
        <v>10014</v>
      </c>
    </row>
    <row r="5650" spans="2:9" ht="15" customHeight="1" x14ac:dyDescent="0.25">
      <c r="B5650" s="55" t="s">
        <v>280</v>
      </c>
      <c r="C5650" s="46">
        <v>638</v>
      </c>
      <c r="D5650" s="69" t="s">
        <v>29417</v>
      </c>
      <c r="E5650" s="51"/>
      <c r="F5650" s="114" t="str">
        <f>IF(INDEX(I.Facility.P2aIDNumber,638)="","",INDEX(I.Facility.P2aIDNumber,638))</f>
        <v/>
      </c>
      <c r="G5650" s="51"/>
      <c r="H5650" s="46" t="str">
        <f>IF(AND(I.Developer.P2a=TRUE,I.Facility.P2aFacilityCount&gt;=638,F5650=""),"Incomplete","Complete")</f>
        <v>Complete</v>
      </c>
      <c r="I5650" s="48" t="s">
        <v>10015</v>
      </c>
    </row>
    <row r="5651" spans="2:9" ht="15" customHeight="1" x14ac:dyDescent="0.25">
      <c r="B5651" s="55" t="s">
        <v>280</v>
      </c>
      <c r="C5651" s="46">
        <v>639</v>
      </c>
      <c r="D5651" s="69" t="s">
        <v>29417</v>
      </c>
      <c r="E5651" s="51"/>
      <c r="F5651" s="114" t="str">
        <f>IF(INDEX(I.Facility.P2aIDNumber,639)="","",INDEX(I.Facility.P2aIDNumber,639))</f>
        <v/>
      </c>
      <c r="G5651" s="51"/>
      <c r="H5651" s="46" t="str">
        <f>IF(AND(I.Developer.P2a=TRUE,I.Facility.P2aFacilityCount&gt;=639,F5651=""),"Incomplete","Complete")</f>
        <v>Complete</v>
      </c>
      <c r="I5651" s="48" t="s">
        <v>10016</v>
      </c>
    </row>
    <row r="5652" spans="2:9" ht="15" customHeight="1" x14ac:dyDescent="0.25">
      <c r="B5652" s="55" t="s">
        <v>280</v>
      </c>
      <c r="C5652" s="46">
        <v>640</v>
      </c>
      <c r="D5652" s="69" t="s">
        <v>29417</v>
      </c>
      <c r="E5652" s="51"/>
      <c r="F5652" s="114" t="str">
        <f>IF(INDEX(I.Facility.P2aIDNumber,640)="","",INDEX(I.Facility.P2aIDNumber,640))</f>
        <v/>
      </c>
      <c r="G5652" s="51"/>
      <c r="H5652" s="46" t="str">
        <f>IF(AND(I.Developer.P2a=TRUE,I.Facility.P2aFacilityCount&gt;=640,F5652=""),"Incomplete","Complete")</f>
        <v>Complete</v>
      </c>
      <c r="I5652" s="48" t="s">
        <v>10017</v>
      </c>
    </row>
    <row r="5653" spans="2:9" ht="15" customHeight="1" x14ac:dyDescent="0.25">
      <c r="B5653" s="55" t="s">
        <v>280</v>
      </c>
      <c r="C5653" s="46">
        <v>641</v>
      </c>
      <c r="D5653" s="69" t="s">
        <v>29417</v>
      </c>
      <c r="E5653" s="51"/>
      <c r="F5653" s="114" t="str">
        <f>IF(INDEX(I.Facility.P2aIDNumber,641)="","",INDEX(I.Facility.P2aIDNumber,641))</f>
        <v/>
      </c>
      <c r="G5653" s="51"/>
      <c r="H5653" s="46" t="str">
        <f>IF(AND(I.Developer.P2a=TRUE,I.Facility.P2aFacilityCount&gt;=641,F5653=""),"Incomplete","Complete")</f>
        <v>Complete</v>
      </c>
      <c r="I5653" s="48" t="s">
        <v>10018</v>
      </c>
    </row>
    <row r="5654" spans="2:9" ht="15" customHeight="1" x14ac:dyDescent="0.25">
      <c r="B5654" s="55" t="s">
        <v>280</v>
      </c>
      <c r="C5654" s="46">
        <v>642</v>
      </c>
      <c r="D5654" s="69" t="s">
        <v>29417</v>
      </c>
      <c r="E5654" s="51"/>
      <c r="F5654" s="114" t="str">
        <f>IF(INDEX(I.Facility.P2aIDNumber,642)="","",INDEX(I.Facility.P2aIDNumber,642))</f>
        <v/>
      </c>
      <c r="G5654" s="51"/>
      <c r="H5654" s="46" t="str">
        <f>IF(AND(I.Developer.P2a=TRUE,I.Facility.P2aFacilityCount&gt;=642,F5654=""),"Incomplete","Complete")</f>
        <v>Complete</v>
      </c>
      <c r="I5654" s="48" t="s">
        <v>10019</v>
      </c>
    </row>
    <row r="5655" spans="2:9" ht="15" customHeight="1" x14ac:dyDescent="0.25">
      <c r="B5655" s="55" t="s">
        <v>280</v>
      </c>
      <c r="C5655" s="46">
        <v>643</v>
      </c>
      <c r="D5655" s="69" t="s">
        <v>29417</v>
      </c>
      <c r="E5655" s="51"/>
      <c r="F5655" s="114" t="str">
        <f>IF(INDEX(I.Facility.P2aIDNumber,643)="","",INDEX(I.Facility.P2aIDNumber,643))</f>
        <v/>
      </c>
      <c r="G5655" s="51"/>
      <c r="H5655" s="46" t="str">
        <f>IF(AND(I.Developer.P2a=TRUE,I.Facility.P2aFacilityCount&gt;=643,F5655=""),"Incomplete","Complete")</f>
        <v>Complete</v>
      </c>
      <c r="I5655" s="48" t="s">
        <v>10020</v>
      </c>
    </row>
    <row r="5656" spans="2:9" ht="15" customHeight="1" x14ac:dyDescent="0.25">
      <c r="B5656" s="55" t="s">
        <v>280</v>
      </c>
      <c r="C5656" s="46">
        <v>644</v>
      </c>
      <c r="D5656" s="69" t="s">
        <v>29417</v>
      </c>
      <c r="E5656" s="51"/>
      <c r="F5656" s="114" t="str">
        <f>IF(INDEX(I.Facility.P2aIDNumber,644)="","",INDEX(I.Facility.P2aIDNumber,644))</f>
        <v/>
      </c>
      <c r="G5656" s="51"/>
      <c r="H5656" s="46" t="str">
        <f>IF(AND(I.Developer.P2a=TRUE,I.Facility.P2aFacilityCount&gt;=644,F5656=""),"Incomplete","Complete")</f>
        <v>Complete</v>
      </c>
      <c r="I5656" s="48" t="s">
        <v>10021</v>
      </c>
    </row>
    <row r="5657" spans="2:9" ht="15" customHeight="1" x14ac:dyDescent="0.25">
      <c r="B5657" s="55" t="s">
        <v>280</v>
      </c>
      <c r="C5657" s="46">
        <v>645</v>
      </c>
      <c r="D5657" s="69" t="s">
        <v>29417</v>
      </c>
      <c r="E5657" s="51"/>
      <c r="F5657" s="114" t="str">
        <f>IF(INDEX(I.Facility.P2aIDNumber,645)="","",INDEX(I.Facility.P2aIDNumber,645))</f>
        <v/>
      </c>
      <c r="G5657" s="51"/>
      <c r="H5657" s="46" t="str">
        <f>IF(AND(I.Developer.P2a=TRUE,I.Facility.P2aFacilityCount&gt;=645,F5657=""),"Incomplete","Complete")</f>
        <v>Complete</v>
      </c>
      <c r="I5657" s="48" t="s">
        <v>10022</v>
      </c>
    </row>
    <row r="5658" spans="2:9" ht="15" customHeight="1" x14ac:dyDescent="0.25">
      <c r="B5658" s="55" t="s">
        <v>280</v>
      </c>
      <c r="C5658" s="46">
        <v>646</v>
      </c>
      <c r="D5658" s="69" t="s">
        <v>29417</v>
      </c>
      <c r="E5658" s="51"/>
      <c r="F5658" s="114" t="str">
        <f>IF(INDEX(I.Facility.P2aIDNumber,646)="","",INDEX(I.Facility.P2aIDNumber,646))</f>
        <v/>
      </c>
      <c r="G5658" s="51"/>
      <c r="H5658" s="46" t="str">
        <f>IF(AND(I.Developer.P2a=TRUE,I.Facility.P2aFacilityCount&gt;=646,F5658=""),"Incomplete","Complete")</f>
        <v>Complete</v>
      </c>
      <c r="I5658" s="48" t="s">
        <v>10023</v>
      </c>
    </row>
    <row r="5659" spans="2:9" ht="15" customHeight="1" x14ac:dyDescent="0.25">
      <c r="B5659" s="55" t="s">
        <v>280</v>
      </c>
      <c r="C5659" s="46">
        <v>647</v>
      </c>
      <c r="D5659" s="69" t="s">
        <v>29417</v>
      </c>
      <c r="E5659" s="51"/>
      <c r="F5659" s="114" t="str">
        <f>IF(INDEX(I.Facility.P2aIDNumber,647)="","",INDEX(I.Facility.P2aIDNumber,647))</f>
        <v/>
      </c>
      <c r="G5659" s="51"/>
      <c r="H5659" s="46" t="str">
        <f>IF(AND(I.Developer.P2a=TRUE,I.Facility.P2aFacilityCount&gt;=647,F5659=""),"Incomplete","Complete")</f>
        <v>Complete</v>
      </c>
      <c r="I5659" s="48" t="s">
        <v>10024</v>
      </c>
    </row>
    <row r="5660" spans="2:9" ht="15" customHeight="1" x14ac:dyDescent="0.25">
      <c r="B5660" s="55" t="s">
        <v>280</v>
      </c>
      <c r="C5660" s="46">
        <v>648</v>
      </c>
      <c r="D5660" s="69" t="s">
        <v>29417</v>
      </c>
      <c r="E5660" s="51"/>
      <c r="F5660" s="114" t="str">
        <f>IF(INDEX(I.Facility.P2aIDNumber,648)="","",INDEX(I.Facility.P2aIDNumber,648))</f>
        <v/>
      </c>
      <c r="G5660" s="51"/>
      <c r="H5660" s="46" t="str">
        <f>IF(AND(I.Developer.P2a=TRUE,I.Facility.P2aFacilityCount&gt;=648,F5660=""),"Incomplete","Complete")</f>
        <v>Complete</v>
      </c>
      <c r="I5660" s="48" t="s">
        <v>10025</v>
      </c>
    </row>
    <row r="5661" spans="2:9" ht="15" customHeight="1" x14ac:dyDescent="0.25">
      <c r="B5661" s="55" t="s">
        <v>280</v>
      </c>
      <c r="C5661" s="46">
        <v>649</v>
      </c>
      <c r="D5661" s="69" t="s">
        <v>29417</v>
      </c>
      <c r="E5661" s="51"/>
      <c r="F5661" s="114" t="str">
        <f>IF(INDEX(I.Facility.P2aIDNumber,649)="","",INDEX(I.Facility.P2aIDNumber,649))</f>
        <v/>
      </c>
      <c r="G5661" s="51"/>
      <c r="H5661" s="46" t="str">
        <f>IF(AND(I.Developer.P2a=TRUE,I.Facility.P2aFacilityCount&gt;=649,F5661=""),"Incomplete","Complete")</f>
        <v>Complete</v>
      </c>
      <c r="I5661" s="48" t="s">
        <v>10026</v>
      </c>
    </row>
    <row r="5662" spans="2:9" ht="15" customHeight="1" x14ac:dyDescent="0.25">
      <c r="B5662" s="55" t="s">
        <v>280</v>
      </c>
      <c r="C5662" s="46">
        <v>650</v>
      </c>
      <c r="D5662" s="69" t="s">
        <v>29417</v>
      </c>
      <c r="E5662" s="51"/>
      <c r="F5662" s="114" t="str">
        <f>IF(INDEX(I.Facility.P2aIDNumber,650)="","",INDEX(I.Facility.P2aIDNumber,650))</f>
        <v/>
      </c>
      <c r="G5662" s="51"/>
      <c r="H5662" s="46" t="str">
        <f>IF(AND(I.Developer.P2a=TRUE,I.Facility.P2aFacilityCount&gt;=650,F5662=""),"Incomplete","Complete")</f>
        <v>Complete</v>
      </c>
      <c r="I5662" s="48" t="s">
        <v>10027</v>
      </c>
    </row>
    <row r="5663" spans="2:9" ht="15" customHeight="1" x14ac:dyDescent="0.25">
      <c r="B5663" s="55" t="s">
        <v>280</v>
      </c>
      <c r="C5663" s="46">
        <v>651</v>
      </c>
      <c r="D5663" s="69" t="s">
        <v>29417</v>
      </c>
      <c r="E5663" s="51"/>
      <c r="F5663" s="114" t="str">
        <f>IF(INDEX(I.Facility.P2aIDNumber,651)="","",INDEX(I.Facility.P2aIDNumber,651))</f>
        <v/>
      </c>
      <c r="G5663" s="51"/>
      <c r="H5663" s="46" t="str">
        <f>IF(AND(I.Developer.P2a=TRUE,I.Facility.P2aFacilityCount&gt;=651,F5663=""),"Incomplete","Complete")</f>
        <v>Complete</v>
      </c>
      <c r="I5663" s="48" t="s">
        <v>10028</v>
      </c>
    </row>
    <row r="5664" spans="2:9" ht="15" customHeight="1" x14ac:dyDescent="0.25">
      <c r="B5664" s="55" t="s">
        <v>280</v>
      </c>
      <c r="C5664" s="46">
        <v>652</v>
      </c>
      <c r="D5664" s="69" t="s">
        <v>29417</v>
      </c>
      <c r="E5664" s="51"/>
      <c r="F5664" s="114" t="str">
        <f>IF(INDEX(I.Facility.P2aIDNumber,652)="","",INDEX(I.Facility.P2aIDNumber,652))</f>
        <v/>
      </c>
      <c r="G5664" s="51"/>
      <c r="H5664" s="46" t="str">
        <f>IF(AND(I.Developer.P2a=TRUE,I.Facility.P2aFacilityCount&gt;=652,F5664=""),"Incomplete","Complete")</f>
        <v>Complete</v>
      </c>
      <c r="I5664" s="48" t="s">
        <v>10029</v>
      </c>
    </row>
    <row r="5665" spans="2:9" ht="15" customHeight="1" x14ac:dyDescent="0.25">
      <c r="B5665" s="55" t="s">
        <v>280</v>
      </c>
      <c r="C5665" s="46">
        <v>653</v>
      </c>
      <c r="D5665" s="69" t="s">
        <v>29417</v>
      </c>
      <c r="E5665" s="51"/>
      <c r="F5665" s="114" t="str">
        <f>IF(INDEX(I.Facility.P2aIDNumber,653)="","",INDEX(I.Facility.P2aIDNumber,653))</f>
        <v/>
      </c>
      <c r="G5665" s="51"/>
      <c r="H5665" s="46" t="str">
        <f>IF(AND(I.Developer.P2a=TRUE,I.Facility.P2aFacilityCount&gt;=653,F5665=""),"Incomplete","Complete")</f>
        <v>Complete</v>
      </c>
      <c r="I5665" s="48" t="s">
        <v>10030</v>
      </c>
    </row>
    <row r="5666" spans="2:9" ht="15" customHeight="1" x14ac:dyDescent="0.25">
      <c r="B5666" s="55" t="s">
        <v>280</v>
      </c>
      <c r="C5666" s="46">
        <v>654</v>
      </c>
      <c r="D5666" s="69" t="s">
        <v>29417</v>
      </c>
      <c r="E5666" s="51"/>
      <c r="F5666" s="114" t="str">
        <f>IF(INDEX(I.Facility.P2aIDNumber,654)="","",INDEX(I.Facility.P2aIDNumber,654))</f>
        <v/>
      </c>
      <c r="G5666" s="51"/>
      <c r="H5666" s="46" t="str">
        <f>IF(AND(I.Developer.P2a=TRUE,I.Facility.P2aFacilityCount&gt;=654,F5666=""),"Incomplete","Complete")</f>
        <v>Complete</v>
      </c>
      <c r="I5666" s="48" t="s">
        <v>10031</v>
      </c>
    </row>
    <row r="5667" spans="2:9" ht="15" customHeight="1" x14ac:dyDescent="0.25">
      <c r="B5667" s="55" t="s">
        <v>280</v>
      </c>
      <c r="C5667" s="46">
        <v>655</v>
      </c>
      <c r="D5667" s="69" t="s">
        <v>29417</v>
      </c>
      <c r="E5667" s="51"/>
      <c r="F5667" s="114" t="str">
        <f>IF(INDEX(I.Facility.P2aIDNumber,655)="","",INDEX(I.Facility.P2aIDNumber,655))</f>
        <v/>
      </c>
      <c r="G5667" s="51"/>
      <c r="H5667" s="46" t="str">
        <f>IF(AND(I.Developer.P2a=TRUE,I.Facility.P2aFacilityCount&gt;=655,F5667=""),"Incomplete","Complete")</f>
        <v>Complete</v>
      </c>
      <c r="I5667" s="48" t="s">
        <v>10032</v>
      </c>
    </row>
    <row r="5668" spans="2:9" ht="15" customHeight="1" x14ac:dyDescent="0.25">
      <c r="B5668" s="55" t="s">
        <v>280</v>
      </c>
      <c r="C5668" s="46">
        <v>656</v>
      </c>
      <c r="D5668" s="69" t="s">
        <v>29417</v>
      </c>
      <c r="E5668" s="51"/>
      <c r="F5668" s="114" t="str">
        <f>IF(INDEX(I.Facility.P2aIDNumber,656)="","",INDEX(I.Facility.P2aIDNumber,656))</f>
        <v/>
      </c>
      <c r="G5668" s="51"/>
      <c r="H5668" s="46" t="str">
        <f>IF(AND(I.Developer.P2a=TRUE,I.Facility.P2aFacilityCount&gt;=656,F5668=""),"Incomplete","Complete")</f>
        <v>Complete</v>
      </c>
      <c r="I5668" s="48" t="s">
        <v>10033</v>
      </c>
    </row>
    <row r="5669" spans="2:9" ht="15" customHeight="1" x14ac:dyDescent="0.25">
      <c r="B5669" s="55" t="s">
        <v>280</v>
      </c>
      <c r="C5669" s="46">
        <v>657</v>
      </c>
      <c r="D5669" s="69" t="s">
        <v>29417</v>
      </c>
      <c r="E5669" s="51"/>
      <c r="F5669" s="114" t="str">
        <f>IF(INDEX(I.Facility.P2aIDNumber,657)="","",INDEX(I.Facility.P2aIDNumber,657))</f>
        <v/>
      </c>
      <c r="G5669" s="51"/>
      <c r="H5669" s="46" t="str">
        <f>IF(AND(I.Developer.P2a=TRUE,I.Facility.P2aFacilityCount&gt;=657,F5669=""),"Incomplete","Complete")</f>
        <v>Complete</v>
      </c>
      <c r="I5669" s="48" t="s">
        <v>10034</v>
      </c>
    </row>
    <row r="5670" spans="2:9" ht="15" customHeight="1" x14ac:dyDescent="0.25">
      <c r="B5670" s="55" t="s">
        <v>280</v>
      </c>
      <c r="C5670" s="46">
        <v>658</v>
      </c>
      <c r="D5670" s="69" t="s">
        <v>29417</v>
      </c>
      <c r="E5670" s="51"/>
      <c r="F5670" s="114" t="str">
        <f>IF(INDEX(I.Facility.P2aIDNumber,658)="","",INDEX(I.Facility.P2aIDNumber,658))</f>
        <v/>
      </c>
      <c r="G5670" s="51"/>
      <c r="H5670" s="46" t="str">
        <f>IF(AND(I.Developer.P2a=TRUE,I.Facility.P2aFacilityCount&gt;=658,F5670=""),"Incomplete","Complete")</f>
        <v>Complete</v>
      </c>
      <c r="I5670" s="48" t="s">
        <v>10035</v>
      </c>
    </row>
    <row r="5671" spans="2:9" ht="15" customHeight="1" x14ac:dyDescent="0.25">
      <c r="B5671" s="55" t="s">
        <v>280</v>
      </c>
      <c r="C5671" s="46">
        <v>659</v>
      </c>
      <c r="D5671" s="69" t="s">
        <v>29417</v>
      </c>
      <c r="E5671" s="51"/>
      <c r="F5671" s="114" t="str">
        <f>IF(INDEX(I.Facility.P2aIDNumber,659)="","",INDEX(I.Facility.P2aIDNumber,659))</f>
        <v/>
      </c>
      <c r="G5671" s="51"/>
      <c r="H5671" s="46" t="str">
        <f>IF(AND(I.Developer.P2a=TRUE,I.Facility.P2aFacilityCount&gt;=659,F5671=""),"Incomplete","Complete")</f>
        <v>Complete</v>
      </c>
      <c r="I5671" s="48" t="s">
        <v>10036</v>
      </c>
    </row>
    <row r="5672" spans="2:9" ht="15" customHeight="1" x14ac:dyDescent="0.25">
      <c r="B5672" s="55" t="s">
        <v>280</v>
      </c>
      <c r="C5672" s="46">
        <v>660</v>
      </c>
      <c r="D5672" s="69" t="s">
        <v>29417</v>
      </c>
      <c r="E5672" s="51"/>
      <c r="F5672" s="114" t="str">
        <f>IF(INDEX(I.Facility.P2aIDNumber,660)="","",INDEX(I.Facility.P2aIDNumber,660))</f>
        <v/>
      </c>
      <c r="G5672" s="51"/>
      <c r="H5672" s="46" t="str">
        <f>IF(AND(I.Developer.P2a=TRUE,I.Facility.P2aFacilityCount&gt;=660,F5672=""),"Incomplete","Complete")</f>
        <v>Complete</v>
      </c>
      <c r="I5672" s="48" t="s">
        <v>10037</v>
      </c>
    </row>
    <row r="5673" spans="2:9" ht="15" customHeight="1" x14ac:dyDescent="0.25">
      <c r="B5673" s="55" t="s">
        <v>280</v>
      </c>
      <c r="C5673" s="46">
        <v>661</v>
      </c>
      <c r="D5673" s="69" t="s">
        <v>29417</v>
      </c>
      <c r="E5673" s="51"/>
      <c r="F5673" s="114" t="str">
        <f>IF(INDEX(I.Facility.P2aIDNumber,661)="","",INDEX(I.Facility.P2aIDNumber,661))</f>
        <v/>
      </c>
      <c r="G5673" s="51"/>
      <c r="H5673" s="46" t="str">
        <f>IF(AND(I.Developer.P2a=TRUE,I.Facility.P2aFacilityCount&gt;=661,F5673=""),"Incomplete","Complete")</f>
        <v>Complete</v>
      </c>
      <c r="I5673" s="48" t="s">
        <v>10038</v>
      </c>
    </row>
    <row r="5674" spans="2:9" ht="15" customHeight="1" x14ac:dyDescent="0.25">
      <c r="B5674" s="55" t="s">
        <v>280</v>
      </c>
      <c r="C5674" s="46">
        <v>662</v>
      </c>
      <c r="D5674" s="69" t="s">
        <v>29417</v>
      </c>
      <c r="E5674" s="51"/>
      <c r="F5674" s="114" t="str">
        <f>IF(INDEX(I.Facility.P2aIDNumber,662)="","",INDEX(I.Facility.P2aIDNumber,662))</f>
        <v/>
      </c>
      <c r="G5674" s="51"/>
      <c r="H5674" s="46" t="str">
        <f>IF(AND(I.Developer.P2a=TRUE,I.Facility.P2aFacilityCount&gt;=662,F5674=""),"Incomplete","Complete")</f>
        <v>Complete</v>
      </c>
      <c r="I5674" s="48" t="s">
        <v>10039</v>
      </c>
    </row>
    <row r="5675" spans="2:9" ht="15" customHeight="1" x14ac:dyDescent="0.25">
      <c r="B5675" s="55" t="s">
        <v>280</v>
      </c>
      <c r="C5675" s="46">
        <v>663</v>
      </c>
      <c r="D5675" s="69" t="s">
        <v>29417</v>
      </c>
      <c r="E5675" s="51"/>
      <c r="F5675" s="114" t="str">
        <f>IF(INDEX(I.Facility.P2aIDNumber,663)="","",INDEX(I.Facility.P2aIDNumber,663))</f>
        <v/>
      </c>
      <c r="G5675" s="51"/>
      <c r="H5675" s="46" t="str">
        <f>IF(AND(I.Developer.P2a=TRUE,I.Facility.P2aFacilityCount&gt;=663,F5675=""),"Incomplete","Complete")</f>
        <v>Complete</v>
      </c>
      <c r="I5675" s="48" t="s">
        <v>10040</v>
      </c>
    </row>
    <row r="5676" spans="2:9" ht="15" customHeight="1" x14ac:dyDescent="0.25">
      <c r="B5676" s="55" t="s">
        <v>280</v>
      </c>
      <c r="C5676" s="46">
        <v>664</v>
      </c>
      <c r="D5676" s="69" t="s">
        <v>29417</v>
      </c>
      <c r="E5676" s="51"/>
      <c r="F5676" s="114" t="str">
        <f>IF(INDEX(I.Facility.P2aIDNumber,664)="","",INDEX(I.Facility.P2aIDNumber,664))</f>
        <v/>
      </c>
      <c r="G5676" s="51"/>
      <c r="H5676" s="46" t="str">
        <f>IF(AND(I.Developer.P2a=TRUE,I.Facility.P2aFacilityCount&gt;=664,F5676=""),"Incomplete","Complete")</f>
        <v>Complete</v>
      </c>
      <c r="I5676" s="48" t="s">
        <v>10041</v>
      </c>
    </row>
    <row r="5677" spans="2:9" ht="15" customHeight="1" x14ac:dyDescent="0.25">
      <c r="B5677" s="55" t="s">
        <v>280</v>
      </c>
      <c r="C5677" s="46">
        <v>665</v>
      </c>
      <c r="D5677" s="69" t="s">
        <v>29417</v>
      </c>
      <c r="E5677" s="51"/>
      <c r="F5677" s="114" t="str">
        <f>IF(INDEX(I.Facility.P2aIDNumber,665)="","",INDEX(I.Facility.P2aIDNumber,665))</f>
        <v/>
      </c>
      <c r="G5677" s="51"/>
      <c r="H5677" s="46" t="str">
        <f>IF(AND(I.Developer.P2a=TRUE,I.Facility.P2aFacilityCount&gt;=665,F5677=""),"Incomplete","Complete")</f>
        <v>Complete</v>
      </c>
      <c r="I5677" s="48" t="s">
        <v>10042</v>
      </c>
    </row>
    <row r="5678" spans="2:9" ht="15" customHeight="1" x14ac:dyDescent="0.25">
      <c r="B5678" s="55" t="s">
        <v>280</v>
      </c>
      <c r="C5678" s="46">
        <v>666</v>
      </c>
      <c r="D5678" s="69" t="s">
        <v>29417</v>
      </c>
      <c r="E5678" s="51"/>
      <c r="F5678" s="114" t="str">
        <f>IF(INDEX(I.Facility.P2aIDNumber,666)="","",INDEX(I.Facility.P2aIDNumber,666))</f>
        <v/>
      </c>
      <c r="G5678" s="51"/>
      <c r="H5678" s="46" t="str">
        <f>IF(AND(I.Developer.P2a=TRUE,I.Facility.P2aFacilityCount&gt;=666,F5678=""),"Incomplete","Complete")</f>
        <v>Complete</v>
      </c>
      <c r="I5678" s="48" t="s">
        <v>10043</v>
      </c>
    </row>
    <row r="5679" spans="2:9" ht="15" customHeight="1" x14ac:dyDescent="0.25">
      <c r="B5679" s="55" t="s">
        <v>280</v>
      </c>
      <c r="C5679" s="46">
        <v>667</v>
      </c>
      <c r="D5679" s="69" t="s">
        <v>29417</v>
      </c>
      <c r="E5679" s="51"/>
      <c r="F5679" s="114" t="str">
        <f>IF(INDEX(I.Facility.P2aIDNumber,667)="","",INDEX(I.Facility.P2aIDNumber,667))</f>
        <v/>
      </c>
      <c r="G5679" s="51"/>
      <c r="H5679" s="46" t="str">
        <f>IF(AND(I.Developer.P2a=TRUE,I.Facility.P2aFacilityCount&gt;=667,F5679=""),"Incomplete","Complete")</f>
        <v>Complete</v>
      </c>
      <c r="I5679" s="48" t="s">
        <v>10044</v>
      </c>
    </row>
    <row r="5680" spans="2:9" ht="15" customHeight="1" x14ac:dyDescent="0.25">
      <c r="B5680" s="55" t="s">
        <v>280</v>
      </c>
      <c r="C5680" s="46">
        <v>668</v>
      </c>
      <c r="D5680" s="69" t="s">
        <v>29417</v>
      </c>
      <c r="E5680" s="51"/>
      <c r="F5680" s="114" t="str">
        <f>IF(INDEX(I.Facility.P2aIDNumber,668)="","",INDEX(I.Facility.P2aIDNumber,668))</f>
        <v/>
      </c>
      <c r="G5680" s="51"/>
      <c r="H5680" s="46" t="str">
        <f>IF(AND(I.Developer.P2a=TRUE,I.Facility.P2aFacilityCount&gt;=668,F5680=""),"Incomplete","Complete")</f>
        <v>Complete</v>
      </c>
      <c r="I5680" s="48" t="s">
        <v>10045</v>
      </c>
    </row>
    <row r="5681" spans="2:9" ht="15" customHeight="1" x14ac:dyDescent="0.25">
      <c r="B5681" s="55" t="s">
        <v>280</v>
      </c>
      <c r="C5681" s="46">
        <v>669</v>
      </c>
      <c r="D5681" s="69" t="s">
        <v>29417</v>
      </c>
      <c r="E5681" s="51"/>
      <c r="F5681" s="114" t="str">
        <f>IF(INDEX(I.Facility.P2aIDNumber,669)="","",INDEX(I.Facility.P2aIDNumber,669))</f>
        <v/>
      </c>
      <c r="G5681" s="51"/>
      <c r="H5681" s="46" t="str">
        <f>IF(AND(I.Developer.P2a=TRUE,I.Facility.P2aFacilityCount&gt;=669,F5681=""),"Incomplete","Complete")</f>
        <v>Complete</v>
      </c>
      <c r="I5681" s="48" t="s">
        <v>10046</v>
      </c>
    </row>
    <row r="5682" spans="2:9" ht="15" customHeight="1" x14ac:dyDescent="0.25">
      <c r="B5682" s="55" t="s">
        <v>280</v>
      </c>
      <c r="C5682" s="46">
        <v>670</v>
      </c>
      <c r="D5682" s="69" t="s">
        <v>29417</v>
      </c>
      <c r="E5682" s="51"/>
      <c r="F5682" s="114" t="str">
        <f>IF(INDEX(I.Facility.P2aIDNumber,670)="","",INDEX(I.Facility.P2aIDNumber,670))</f>
        <v/>
      </c>
      <c r="G5682" s="51"/>
      <c r="H5682" s="46" t="str">
        <f>IF(AND(I.Developer.P2a=TRUE,I.Facility.P2aFacilityCount&gt;=670,F5682=""),"Incomplete","Complete")</f>
        <v>Complete</v>
      </c>
      <c r="I5682" s="48" t="s">
        <v>10047</v>
      </c>
    </row>
    <row r="5683" spans="2:9" ht="15" customHeight="1" x14ac:dyDescent="0.25">
      <c r="B5683" s="55" t="s">
        <v>280</v>
      </c>
      <c r="C5683" s="46">
        <v>671</v>
      </c>
      <c r="D5683" s="69" t="s">
        <v>29417</v>
      </c>
      <c r="E5683" s="51"/>
      <c r="F5683" s="114" t="str">
        <f>IF(INDEX(I.Facility.P2aIDNumber,671)="","",INDEX(I.Facility.P2aIDNumber,671))</f>
        <v/>
      </c>
      <c r="G5683" s="51"/>
      <c r="H5683" s="46" t="str">
        <f>IF(AND(I.Developer.P2a=TRUE,I.Facility.P2aFacilityCount&gt;=671,F5683=""),"Incomplete","Complete")</f>
        <v>Complete</v>
      </c>
      <c r="I5683" s="48" t="s">
        <v>10048</v>
      </c>
    </row>
    <row r="5684" spans="2:9" ht="15" customHeight="1" x14ac:dyDescent="0.25">
      <c r="B5684" s="55" t="s">
        <v>280</v>
      </c>
      <c r="C5684" s="46">
        <v>672</v>
      </c>
      <c r="D5684" s="69" t="s">
        <v>29417</v>
      </c>
      <c r="E5684" s="51"/>
      <c r="F5684" s="114" t="str">
        <f>IF(INDEX(I.Facility.P2aIDNumber,672)="","",INDEX(I.Facility.P2aIDNumber,672))</f>
        <v/>
      </c>
      <c r="G5684" s="51"/>
      <c r="H5684" s="46" t="str">
        <f>IF(AND(I.Developer.P2a=TRUE,I.Facility.P2aFacilityCount&gt;=672,F5684=""),"Incomplete","Complete")</f>
        <v>Complete</v>
      </c>
      <c r="I5684" s="48" t="s">
        <v>10049</v>
      </c>
    </row>
    <row r="5685" spans="2:9" ht="15" customHeight="1" x14ac:dyDescent="0.25">
      <c r="B5685" s="55" t="s">
        <v>280</v>
      </c>
      <c r="C5685" s="46">
        <v>673</v>
      </c>
      <c r="D5685" s="69" t="s">
        <v>29417</v>
      </c>
      <c r="E5685" s="51"/>
      <c r="F5685" s="114" t="str">
        <f>IF(INDEX(I.Facility.P2aIDNumber,673)="","",INDEX(I.Facility.P2aIDNumber,673))</f>
        <v/>
      </c>
      <c r="G5685" s="51"/>
      <c r="H5685" s="46" t="str">
        <f>IF(AND(I.Developer.P2a=TRUE,I.Facility.P2aFacilityCount&gt;=673,F5685=""),"Incomplete","Complete")</f>
        <v>Complete</v>
      </c>
      <c r="I5685" s="48" t="s">
        <v>10050</v>
      </c>
    </row>
    <row r="5686" spans="2:9" ht="15" customHeight="1" x14ac:dyDescent="0.25">
      <c r="B5686" s="55" t="s">
        <v>280</v>
      </c>
      <c r="C5686" s="46">
        <v>674</v>
      </c>
      <c r="D5686" s="69" t="s">
        <v>29417</v>
      </c>
      <c r="E5686" s="51"/>
      <c r="F5686" s="114" t="str">
        <f>IF(INDEX(I.Facility.P2aIDNumber,674)="","",INDEX(I.Facility.P2aIDNumber,674))</f>
        <v/>
      </c>
      <c r="G5686" s="51"/>
      <c r="H5686" s="46" t="str">
        <f>IF(AND(I.Developer.P2a=TRUE,I.Facility.P2aFacilityCount&gt;=674,F5686=""),"Incomplete","Complete")</f>
        <v>Complete</v>
      </c>
      <c r="I5686" s="48" t="s">
        <v>10051</v>
      </c>
    </row>
    <row r="5687" spans="2:9" ht="15" customHeight="1" x14ac:dyDescent="0.25">
      <c r="B5687" s="55" t="s">
        <v>280</v>
      </c>
      <c r="C5687" s="46">
        <v>675</v>
      </c>
      <c r="D5687" s="69" t="s">
        <v>29417</v>
      </c>
      <c r="E5687" s="51"/>
      <c r="F5687" s="114" t="str">
        <f>IF(INDEX(I.Facility.P2aIDNumber,675)="","",INDEX(I.Facility.P2aIDNumber,675))</f>
        <v/>
      </c>
      <c r="G5687" s="51"/>
      <c r="H5687" s="46" t="str">
        <f>IF(AND(I.Developer.P2a=TRUE,I.Facility.P2aFacilityCount&gt;=675,F5687=""),"Incomplete","Complete")</f>
        <v>Complete</v>
      </c>
      <c r="I5687" s="48" t="s">
        <v>10052</v>
      </c>
    </row>
    <row r="5688" spans="2:9" ht="15" customHeight="1" x14ac:dyDescent="0.25">
      <c r="B5688" s="55" t="s">
        <v>280</v>
      </c>
      <c r="C5688" s="46">
        <v>676</v>
      </c>
      <c r="D5688" s="69" t="s">
        <v>29417</v>
      </c>
      <c r="E5688" s="51"/>
      <c r="F5688" s="114" t="str">
        <f>IF(INDEX(I.Facility.P2aIDNumber,676)="","",INDEX(I.Facility.P2aIDNumber,676))</f>
        <v/>
      </c>
      <c r="G5688" s="51"/>
      <c r="H5688" s="46" t="str">
        <f>IF(AND(I.Developer.P2a=TRUE,I.Facility.P2aFacilityCount&gt;=676,F5688=""),"Incomplete","Complete")</f>
        <v>Complete</v>
      </c>
      <c r="I5688" s="48" t="s">
        <v>10053</v>
      </c>
    </row>
    <row r="5689" spans="2:9" ht="15" customHeight="1" x14ac:dyDescent="0.25">
      <c r="B5689" s="55" t="s">
        <v>280</v>
      </c>
      <c r="C5689" s="46">
        <v>677</v>
      </c>
      <c r="D5689" s="69" t="s">
        <v>29417</v>
      </c>
      <c r="E5689" s="51"/>
      <c r="F5689" s="114" t="str">
        <f>IF(INDEX(I.Facility.P2aIDNumber,677)="","",INDEX(I.Facility.P2aIDNumber,677))</f>
        <v/>
      </c>
      <c r="G5689" s="51"/>
      <c r="H5689" s="46" t="str">
        <f>IF(AND(I.Developer.P2a=TRUE,I.Facility.P2aFacilityCount&gt;=677,F5689=""),"Incomplete","Complete")</f>
        <v>Complete</v>
      </c>
      <c r="I5689" s="48" t="s">
        <v>10054</v>
      </c>
    </row>
    <row r="5690" spans="2:9" ht="15" customHeight="1" x14ac:dyDescent="0.25">
      <c r="B5690" s="55" t="s">
        <v>280</v>
      </c>
      <c r="C5690" s="46">
        <v>678</v>
      </c>
      <c r="D5690" s="69" t="s">
        <v>29417</v>
      </c>
      <c r="E5690" s="51"/>
      <c r="F5690" s="114" t="str">
        <f>IF(INDEX(I.Facility.P2aIDNumber,678)="","",INDEX(I.Facility.P2aIDNumber,678))</f>
        <v/>
      </c>
      <c r="G5690" s="51"/>
      <c r="H5690" s="46" t="str">
        <f>IF(AND(I.Developer.P2a=TRUE,I.Facility.P2aFacilityCount&gt;=678,F5690=""),"Incomplete","Complete")</f>
        <v>Complete</v>
      </c>
      <c r="I5690" s="48" t="s">
        <v>10055</v>
      </c>
    </row>
    <row r="5691" spans="2:9" ht="15" customHeight="1" x14ac:dyDescent="0.25">
      <c r="B5691" s="55" t="s">
        <v>280</v>
      </c>
      <c r="C5691" s="46">
        <v>679</v>
      </c>
      <c r="D5691" s="69" t="s">
        <v>29417</v>
      </c>
      <c r="E5691" s="51"/>
      <c r="F5691" s="114" t="str">
        <f>IF(INDEX(I.Facility.P2aIDNumber,679)="","",INDEX(I.Facility.P2aIDNumber,679))</f>
        <v/>
      </c>
      <c r="G5691" s="51"/>
      <c r="H5691" s="46" t="str">
        <f>IF(AND(I.Developer.P2a=TRUE,I.Facility.P2aFacilityCount&gt;=679,F5691=""),"Incomplete","Complete")</f>
        <v>Complete</v>
      </c>
      <c r="I5691" s="48" t="s">
        <v>10056</v>
      </c>
    </row>
    <row r="5692" spans="2:9" ht="15" customHeight="1" x14ac:dyDescent="0.25">
      <c r="B5692" s="55" t="s">
        <v>280</v>
      </c>
      <c r="C5692" s="46">
        <v>680</v>
      </c>
      <c r="D5692" s="69" t="s">
        <v>29417</v>
      </c>
      <c r="E5692" s="51"/>
      <c r="F5692" s="114" t="str">
        <f>IF(INDEX(I.Facility.P2aIDNumber,680)="","",INDEX(I.Facility.P2aIDNumber,680))</f>
        <v/>
      </c>
      <c r="G5692" s="51"/>
      <c r="H5692" s="46" t="str">
        <f>IF(AND(I.Developer.P2a=TRUE,I.Facility.P2aFacilityCount&gt;=680,F5692=""),"Incomplete","Complete")</f>
        <v>Complete</v>
      </c>
      <c r="I5692" s="48" t="s">
        <v>10057</v>
      </c>
    </row>
    <row r="5693" spans="2:9" ht="15" customHeight="1" x14ac:dyDescent="0.25">
      <c r="B5693" s="55" t="s">
        <v>280</v>
      </c>
      <c r="C5693" s="46">
        <v>681</v>
      </c>
      <c r="D5693" s="69" t="s">
        <v>29417</v>
      </c>
      <c r="E5693" s="51"/>
      <c r="F5693" s="114" t="str">
        <f>IF(INDEX(I.Facility.P2aIDNumber,681)="","",INDEX(I.Facility.P2aIDNumber,681))</f>
        <v/>
      </c>
      <c r="G5693" s="51"/>
      <c r="H5693" s="46" t="str">
        <f>IF(AND(I.Developer.P2a=TRUE,I.Facility.P2aFacilityCount&gt;=681,F5693=""),"Incomplete","Complete")</f>
        <v>Complete</v>
      </c>
      <c r="I5693" s="48" t="s">
        <v>10058</v>
      </c>
    </row>
    <row r="5694" spans="2:9" ht="15" customHeight="1" x14ac:dyDescent="0.25">
      <c r="B5694" s="55" t="s">
        <v>280</v>
      </c>
      <c r="C5694" s="46">
        <v>682</v>
      </c>
      <c r="D5694" s="69" t="s">
        <v>29417</v>
      </c>
      <c r="E5694" s="51"/>
      <c r="F5694" s="114" t="str">
        <f>IF(INDEX(I.Facility.P2aIDNumber,682)="","",INDEX(I.Facility.P2aIDNumber,682))</f>
        <v/>
      </c>
      <c r="G5694" s="51"/>
      <c r="H5694" s="46" t="str">
        <f>IF(AND(I.Developer.P2a=TRUE,I.Facility.P2aFacilityCount&gt;=682,F5694=""),"Incomplete","Complete")</f>
        <v>Complete</v>
      </c>
      <c r="I5694" s="48" t="s">
        <v>10059</v>
      </c>
    </row>
    <row r="5695" spans="2:9" ht="15" customHeight="1" x14ac:dyDescent="0.25">
      <c r="B5695" s="55" t="s">
        <v>280</v>
      </c>
      <c r="C5695" s="46">
        <v>683</v>
      </c>
      <c r="D5695" s="69" t="s">
        <v>29417</v>
      </c>
      <c r="E5695" s="51"/>
      <c r="F5695" s="114" t="str">
        <f>IF(INDEX(I.Facility.P2aIDNumber,683)="","",INDEX(I.Facility.P2aIDNumber,683))</f>
        <v/>
      </c>
      <c r="G5695" s="51"/>
      <c r="H5695" s="46" t="str">
        <f>IF(AND(I.Developer.P2a=TRUE,I.Facility.P2aFacilityCount&gt;=683,F5695=""),"Incomplete","Complete")</f>
        <v>Complete</v>
      </c>
      <c r="I5695" s="48" t="s">
        <v>10060</v>
      </c>
    </row>
    <row r="5696" spans="2:9" ht="15" customHeight="1" x14ac:dyDescent="0.25">
      <c r="B5696" s="55" t="s">
        <v>280</v>
      </c>
      <c r="C5696" s="46">
        <v>684</v>
      </c>
      <c r="D5696" s="69" t="s">
        <v>29417</v>
      </c>
      <c r="E5696" s="51"/>
      <c r="F5696" s="114" t="str">
        <f>IF(INDEX(I.Facility.P2aIDNumber,684)="","",INDEX(I.Facility.P2aIDNumber,684))</f>
        <v/>
      </c>
      <c r="G5696" s="51"/>
      <c r="H5696" s="46" t="str">
        <f>IF(AND(I.Developer.P2a=TRUE,I.Facility.P2aFacilityCount&gt;=684,F5696=""),"Incomplete","Complete")</f>
        <v>Complete</v>
      </c>
      <c r="I5696" s="48" t="s">
        <v>10061</v>
      </c>
    </row>
    <row r="5697" spans="2:9" ht="15" customHeight="1" x14ac:dyDescent="0.25">
      <c r="B5697" s="55" t="s">
        <v>280</v>
      </c>
      <c r="C5697" s="46">
        <v>685</v>
      </c>
      <c r="D5697" s="69" t="s">
        <v>29417</v>
      </c>
      <c r="E5697" s="51"/>
      <c r="F5697" s="114" t="str">
        <f>IF(INDEX(I.Facility.P2aIDNumber,685)="","",INDEX(I.Facility.P2aIDNumber,685))</f>
        <v/>
      </c>
      <c r="G5697" s="51"/>
      <c r="H5697" s="46" t="str">
        <f>IF(AND(I.Developer.P2a=TRUE,I.Facility.P2aFacilityCount&gt;=685,F5697=""),"Incomplete","Complete")</f>
        <v>Complete</v>
      </c>
      <c r="I5697" s="48" t="s">
        <v>10062</v>
      </c>
    </row>
    <row r="5698" spans="2:9" ht="15" customHeight="1" x14ac:dyDescent="0.25">
      <c r="B5698" s="55" t="s">
        <v>280</v>
      </c>
      <c r="C5698" s="46">
        <v>686</v>
      </c>
      <c r="D5698" s="69" t="s">
        <v>29417</v>
      </c>
      <c r="E5698" s="51"/>
      <c r="F5698" s="114" t="str">
        <f>IF(INDEX(I.Facility.P2aIDNumber,686)="","",INDEX(I.Facility.P2aIDNumber,686))</f>
        <v/>
      </c>
      <c r="G5698" s="51"/>
      <c r="H5698" s="46" t="str">
        <f>IF(AND(I.Developer.P2a=TRUE,I.Facility.P2aFacilityCount&gt;=686,F5698=""),"Incomplete","Complete")</f>
        <v>Complete</v>
      </c>
      <c r="I5698" s="48" t="s">
        <v>10063</v>
      </c>
    </row>
    <row r="5699" spans="2:9" ht="15" customHeight="1" x14ac:dyDescent="0.25">
      <c r="B5699" s="55" t="s">
        <v>280</v>
      </c>
      <c r="C5699" s="46">
        <v>687</v>
      </c>
      <c r="D5699" s="69" t="s">
        <v>29417</v>
      </c>
      <c r="E5699" s="51"/>
      <c r="F5699" s="114" t="str">
        <f>IF(INDEX(I.Facility.P2aIDNumber,687)="","",INDEX(I.Facility.P2aIDNumber,687))</f>
        <v/>
      </c>
      <c r="G5699" s="51"/>
      <c r="H5699" s="46" t="str">
        <f>IF(AND(I.Developer.P2a=TRUE,I.Facility.P2aFacilityCount&gt;=687,F5699=""),"Incomplete","Complete")</f>
        <v>Complete</v>
      </c>
      <c r="I5699" s="48" t="s">
        <v>10064</v>
      </c>
    </row>
    <row r="5700" spans="2:9" ht="15" customHeight="1" x14ac:dyDescent="0.25">
      <c r="B5700" s="55" t="s">
        <v>280</v>
      </c>
      <c r="C5700" s="46">
        <v>688</v>
      </c>
      <c r="D5700" s="69" t="s">
        <v>29417</v>
      </c>
      <c r="E5700" s="51"/>
      <c r="F5700" s="114" t="str">
        <f>IF(INDEX(I.Facility.P2aIDNumber,688)="","",INDEX(I.Facility.P2aIDNumber,688))</f>
        <v/>
      </c>
      <c r="G5700" s="51"/>
      <c r="H5700" s="46" t="str">
        <f>IF(AND(I.Developer.P2a=TRUE,I.Facility.P2aFacilityCount&gt;=688,F5700=""),"Incomplete","Complete")</f>
        <v>Complete</v>
      </c>
      <c r="I5700" s="48" t="s">
        <v>10065</v>
      </c>
    </row>
    <row r="5701" spans="2:9" ht="15" customHeight="1" x14ac:dyDescent="0.25">
      <c r="B5701" s="55" t="s">
        <v>280</v>
      </c>
      <c r="C5701" s="46">
        <v>689</v>
      </c>
      <c r="D5701" s="69" t="s">
        <v>29417</v>
      </c>
      <c r="E5701" s="51"/>
      <c r="F5701" s="114" t="str">
        <f>IF(INDEX(I.Facility.P2aIDNumber,689)="","",INDEX(I.Facility.P2aIDNumber,689))</f>
        <v/>
      </c>
      <c r="G5701" s="51"/>
      <c r="H5701" s="46" t="str">
        <f>IF(AND(I.Developer.P2a=TRUE,I.Facility.P2aFacilityCount&gt;=689,F5701=""),"Incomplete","Complete")</f>
        <v>Complete</v>
      </c>
      <c r="I5701" s="48" t="s">
        <v>10066</v>
      </c>
    </row>
    <row r="5702" spans="2:9" ht="15" customHeight="1" x14ac:dyDescent="0.25">
      <c r="B5702" s="55" t="s">
        <v>280</v>
      </c>
      <c r="C5702" s="46">
        <v>690</v>
      </c>
      <c r="D5702" s="69" t="s">
        <v>29417</v>
      </c>
      <c r="E5702" s="51"/>
      <c r="F5702" s="114" t="str">
        <f>IF(INDEX(I.Facility.P2aIDNumber,690)="","",INDEX(I.Facility.P2aIDNumber,690))</f>
        <v/>
      </c>
      <c r="G5702" s="51"/>
      <c r="H5702" s="46" t="str">
        <f>IF(AND(I.Developer.P2a=TRUE,I.Facility.P2aFacilityCount&gt;=690,F5702=""),"Incomplete","Complete")</f>
        <v>Complete</v>
      </c>
      <c r="I5702" s="48" t="s">
        <v>10067</v>
      </c>
    </row>
    <row r="5703" spans="2:9" ht="15" customHeight="1" x14ac:dyDescent="0.25">
      <c r="B5703" s="55" t="s">
        <v>280</v>
      </c>
      <c r="C5703" s="46">
        <v>691</v>
      </c>
      <c r="D5703" s="69" t="s">
        <v>29417</v>
      </c>
      <c r="E5703" s="51"/>
      <c r="F5703" s="114" t="str">
        <f>IF(INDEX(I.Facility.P2aIDNumber,691)="","",INDEX(I.Facility.P2aIDNumber,691))</f>
        <v/>
      </c>
      <c r="G5703" s="51"/>
      <c r="H5703" s="46" t="str">
        <f>IF(AND(I.Developer.P2a=TRUE,I.Facility.P2aFacilityCount&gt;=691,F5703=""),"Incomplete","Complete")</f>
        <v>Complete</v>
      </c>
      <c r="I5703" s="48" t="s">
        <v>10068</v>
      </c>
    </row>
    <row r="5704" spans="2:9" ht="15" customHeight="1" x14ac:dyDescent="0.25">
      <c r="B5704" s="55" t="s">
        <v>280</v>
      </c>
      <c r="C5704" s="46">
        <v>692</v>
      </c>
      <c r="D5704" s="69" t="s">
        <v>29417</v>
      </c>
      <c r="E5704" s="51"/>
      <c r="F5704" s="114" t="str">
        <f>IF(INDEX(I.Facility.P2aIDNumber,692)="","",INDEX(I.Facility.P2aIDNumber,692))</f>
        <v/>
      </c>
      <c r="G5704" s="51"/>
      <c r="H5704" s="46" t="str">
        <f>IF(AND(I.Developer.P2a=TRUE,I.Facility.P2aFacilityCount&gt;=692,F5704=""),"Incomplete","Complete")</f>
        <v>Complete</v>
      </c>
      <c r="I5704" s="48" t="s">
        <v>10069</v>
      </c>
    </row>
    <row r="5705" spans="2:9" ht="15" customHeight="1" x14ac:dyDescent="0.25">
      <c r="B5705" s="55" t="s">
        <v>280</v>
      </c>
      <c r="C5705" s="46">
        <v>693</v>
      </c>
      <c r="D5705" s="69" t="s">
        <v>29417</v>
      </c>
      <c r="E5705" s="51"/>
      <c r="F5705" s="114" t="str">
        <f>IF(INDEX(I.Facility.P2aIDNumber,693)="","",INDEX(I.Facility.P2aIDNumber,693))</f>
        <v/>
      </c>
      <c r="G5705" s="51"/>
      <c r="H5705" s="46" t="str">
        <f>IF(AND(I.Developer.P2a=TRUE,I.Facility.P2aFacilityCount&gt;=693,F5705=""),"Incomplete","Complete")</f>
        <v>Complete</v>
      </c>
      <c r="I5705" s="48" t="s">
        <v>10070</v>
      </c>
    </row>
    <row r="5706" spans="2:9" ht="15" customHeight="1" x14ac:dyDescent="0.25">
      <c r="B5706" s="55" t="s">
        <v>280</v>
      </c>
      <c r="C5706" s="46">
        <v>694</v>
      </c>
      <c r="D5706" s="69" t="s">
        <v>29417</v>
      </c>
      <c r="E5706" s="51"/>
      <c r="F5706" s="114" t="str">
        <f>IF(INDEX(I.Facility.P2aIDNumber,694)="","",INDEX(I.Facility.P2aIDNumber,694))</f>
        <v/>
      </c>
      <c r="G5706" s="51"/>
      <c r="H5706" s="46" t="str">
        <f>IF(AND(I.Developer.P2a=TRUE,I.Facility.P2aFacilityCount&gt;=694,F5706=""),"Incomplete","Complete")</f>
        <v>Complete</v>
      </c>
      <c r="I5706" s="48" t="s">
        <v>10071</v>
      </c>
    </row>
    <row r="5707" spans="2:9" ht="15" customHeight="1" x14ac:dyDescent="0.25">
      <c r="B5707" s="55" t="s">
        <v>280</v>
      </c>
      <c r="C5707" s="46">
        <v>695</v>
      </c>
      <c r="D5707" s="69" t="s">
        <v>29417</v>
      </c>
      <c r="E5707" s="51"/>
      <c r="F5707" s="114" t="str">
        <f>IF(INDEX(I.Facility.P2aIDNumber,695)="","",INDEX(I.Facility.P2aIDNumber,695))</f>
        <v/>
      </c>
      <c r="G5707" s="51"/>
      <c r="H5707" s="46" t="str">
        <f>IF(AND(I.Developer.P2a=TRUE,I.Facility.P2aFacilityCount&gt;=695,F5707=""),"Incomplete","Complete")</f>
        <v>Complete</v>
      </c>
      <c r="I5707" s="48" t="s">
        <v>10072</v>
      </c>
    </row>
    <row r="5708" spans="2:9" ht="15" customHeight="1" x14ac:dyDescent="0.25">
      <c r="B5708" s="55" t="s">
        <v>280</v>
      </c>
      <c r="C5708" s="46">
        <v>696</v>
      </c>
      <c r="D5708" s="69" t="s">
        <v>29417</v>
      </c>
      <c r="E5708" s="51"/>
      <c r="F5708" s="114" t="str">
        <f>IF(INDEX(I.Facility.P2aIDNumber,696)="","",INDEX(I.Facility.P2aIDNumber,696))</f>
        <v/>
      </c>
      <c r="G5708" s="51"/>
      <c r="H5708" s="46" t="str">
        <f>IF(AND(I.Developer.P2a=TRUE,I.Facility.P2aFacilityCount&gt;=696,F5708=""),"Incomplete","Complete")</f>
        <v>Complete</v>
      </c>
      <c r="I5708" s="48" t="s">
        <v>10073</v>
      </c>
    </row>
    <row r="5709" spans="2:9" ht="15" customHeight="1" x14ac:dyDescent="0.25">
      <c r="B5709" s="55" t="s">
        <v>280</v>
      </c>
      <c r="C5709" s="46">
        <v>697</v>
      </c>
      <c r="D5709" s="69" t="s">
        <v>29417</v>
      </c>
      <c r="E5709" s="51"/>
      <c r="F5709" s="114" t="str">
        <f>IF(INDEX(I.Facility.P2aIDNumber,697)="","",INDEX(I.Facility.P2aIDNumber,697))</f>
        <v/>
      </c>
      <c r="G5709" s="51"/>
      <c r="H5709" s="46" t="str">
        <f>IF(AND(I.Developer.P2a=TRUE,I.Facility.P2aFacilityCount&gt;=697,F5709=""),"Incomplete","Complete")</f>
        <v>Complete</v>
      </c>
      <c r="I5709" s="48" t="s">
        <v>10074</v>
      </c>
    </row>
    <row r="5710" spans="2:9" ht="15" customHeight="1" x14ac:dyDescent="0.25">
      <c r="B5710" s="55" t="s">
        <v>280</v>
      </c>
      <c r="C5710" s="46">
        <v>698</v>
      </c>
      <c r="D5710" s="69" t="s">
        <v>29417</v>
      </c>
      <c r="E5710" s="51"/>
      <c r="F5710" s="114" t="str">
        <f>IF(INDEX(I.Facility.P2aIDNumber,698)="","",INDEX(I.Facility.P2aIDNumber,698))</f>
        <v/>
      </c>
      <c r="G5710" s="51"/>
      <c r="H5710" s="46" t="str">
        <f>IF(AND(I.Developer.P2a=TRUE,I.Facility.P2aFacilityCount&gt;=698,F5710=""),"Incomplete","Complete")</f>
        <v>Complete</v>
      </c>
      <c r="I5710" s="48" t="s">
        <v>10075</v>
      </c>
    </row>
    <row r="5711" spans="2:9" ht="15" customHeight="1" x14ac:dyDescent="0.25">
      <c r="B5711" s="55" t="s">
        <v>280</v>
      </c>
      <c r="C5711" s="46">
        <v>699</v>
      </c>
      <c r="D5711" s="69" t="s">
        <v>29417</v>
      </c>
      <c r="E5711" s="51"/>
      <c r="F5711" s="114" t="str">
        <f>IF(INDEX(I.Facility.P2aIDNumber,699)="","",INDEX(I.Facility.P2aIDNumber,699))</f>
        <v/>
      </c>
      <c r="G5711" s="51"/>
      <c r="H5711" s="46" t="str">
        <f>IF(AND(I.Developer.P2a=TRUE,I.Facility.P2aFacilityCount&gt;=699,F5711=""),"Incomplete","Complete")</f>
        <v>Complete</v>
      </c>
      <c r="I5711" s="48" t="s">
        <v>10076</v>
      </c>
    </row>
    <row r="5712" spans="2:9" ht="15" customHeight="1" x14ac:dyDescent="0.25">
      <c r="B5712" s="55" t="s">
        <v>280</v>
      </c>
      <c r="C5712" s="46">
        <v>700</v>
      </c>
      <c r="D5712" s="69" t="s">
        <v>29417</v>
      </c>
      <c r="E5712" s="51"/>
      <c r="F5712" s="114" t="str">
        <f>IF(INDEX(I.Facility.P2aIDNumber,700)="","",INDEX(I.Facility.P2aIDNumber,700))</f>
        <v/>
      </c>
      <c r="G5712" s="51"/>
      <c r="H5712" s="46" t="str">
        <f>IF(AND(I.Developer.P2a=TRUE,I.Facility.P2aFacilityCount&gt;=700,F5712=""),"Incomplete","Complete")</f>
        <v>Complete</v>
      </c>
      <c r="I5712" s="48" t="s">
        <v>10077</v>
      </c>
    </row>
    <row r="5713" spans="2:9" ht="15" customHeight="1" x14ac:dyDescent="0.25">
      <c r="B5713" s="55" t="s">
        <v>280</v>
      </c>
      <c r="C5713" s="46">
        <v>701</v>
      </c>
      <c r="D5713" s="69" t="s">
        <v>29417</v>
      </c>
      <c r="E5713" s="51"/>
      <c r="F5713" s="114" t="str">
        <f>IF(INDEX(I.Facility.P2aIDNumber,701)="","",INDEX(I.Facility.P2aIDNumber,701))</f>
        <v/>
      </c>
      <c r="G5713" s="51"/>
      <c r="H5713" s="46" t="str">
        <f>IF(AND(I.Developer.P2a=TRUE,I.Facility.P2aFacilityCount&gt;=701,F5713=""),"Incomplete","Complete")</f>
        <v>Complete</v>
      </c>
      <c r="I5713" s="48" t="s">
        <v>10078</v>
      </c>
    </row>
    <row r="5714" spans="2:9" ht="15" customHeight="1" x14ac:dyDescent="0.25">
      <c r="B5714" s="55" t="s">
        <v>280</v>
      </c>
      <c r="C5714" s="46">
        <v>702</v>
      </c>
      <c r="D5714" s="69" t="s">
        <v>29417</v>
      </c>
      <c r="E5714" s="51"/>
      <c r="F5714" s="114" t="str">
        <f>IF(INDEX(I.Facility.P2aIDNumber,702)="","",INDEX(I.Facility.P2aIDNumber,702))</f>
        <v/>
      </c>
      <c r="G5714" s="51"/>
      <c r="H5714" s="46" t="str">
        <f>IF(AND(I.Developer.P2a=TRUE,I.Facility.P2aFacilityCount&gt;=702,F5714=""),"Incomplete","Complete")</f>
        <v>Complete</v>
      </c>
      <c r="I5714" s="48" t="s">
        <v>10079</v>
      </c>
    </row>
    <row r="5715" spans="2:9" ht="15" customHeight="1" x14ac:dyDescent="0.25">
      <c r="B5715" s="55" t="s">
        <v>280</v>
      </c>
      <c r="C5715" s="46">
        <v>703</v>
      </c>
      <c r="D5715" s="69" t="s">
        <v>29417</v>
      </c>
      <c r="E5715" s="51"/>
      <c r="F5715" s="114" t="str">
        <f>IF(INDEX(I.Facility.P2aIDNumber,703)="","",INDEX(I.Facility.P2aIDNumber,703))</f>
        <v/>
      </c>
      <c r="G5715" s="51"/>
      <c r="H5715" s="46" t="str">
        <f>IF(AND(I.Developer.P2a=TRUE,I.Facility.P2aFacilityCount&gt;=703,F5715=""),"Incomplete","Complete")</f>
        <v>Complete</v>
      </c>
      <c r="I5715" s="48" t="s">
        <v>10080</v>
      </c>
    </row>
    <row r="5716" spans="2:9" ht="15" customHeight="1" x14ac:dyDescent="0.25">
      <c r="B5716" s="55" t="s">
        <v>280</v>
      </c>
      <c r="C5716" s="46">
        <v>704</v>
      </c>
      <c r="D5716" s="69" t="s">
        <v>29417</v>
      </c>
      <c r="E5716" s="51"/>
      <c r="F5716" s="114" t="str">
        <f>IF(INDEX(I.Facility.P2aIDNumber,704)="","",INDEX(I.Facility.P2aIDNumber,704))</f>
        <v/>
      </c>
      <c r="G5716" s="51"/>
      <c r="H5716" s="46" t="str">
        <f>IF(AND(I.Developer.P2a=TRUE,I.Facility.P2aFacilityCount&gt;=704,F5716=""),"Incomplete","Complete")</f>
        <v>Complete</v>
      </c>
      <c r="I5716" s="48" t="s">
        <v>10081</v>
      </c>
    </row>
    <row r="5717" spans="2:9" ht="15" customHeight="1" x14ac:dyDescent="0.25">
      <c r="B5717" s="55" t="s">
        <v>280</v>
      </c>
      <c r="C5717" s="46">
        <v>705</v>
      </c>
      <c r="D5717" s="69" t="s">
        <v>29417</v>
      </c>
      <c r="E5717" s="51"/>
      <c r="F5717" s="114" t="str">
        <f>IF(INDEX(I.Facility.P2aIDNumber,705)="","",INDEX(I.Facility.P2aIDNumber,705))</f>
        <v/>
      </c>
      <c r="G5717" s="51"/>
      <c r="H5717" s="46" t="str">
        <f>IF(AND(I.Developer.P2a=TRUE,I.Facility.P2aFacilityCount&gt;=705,F5717=""),"Incomplete","Complete")</f>
        <v>Complete</v>
      </c>
      <c r="I5717" s="48" t="s">
        <v>10082</v>
      </c>
    </row>
    <row r="5718" spans="2:9" ht="15" customHeight="1" x14ac:dyDescent="0.25">
      <c r="B5718" s="55" t="s">
        <v>280</v>
      </c>
      <c r="C5718" s="46">
        <v>706</v>
      </c>
      <c r="D5718" s="69" t="s">
        <v>29417</v>
      </c>
      <c r="E5718" s="51"/>
      <c r="F5718" s="114" t="str">
        <f>IF(INDEX(I.Facility.P2aIDNumber,706)="","",INDEX(I.Facility.P2aIDNumber,706))</f>
        <v/>
      </c>
      <c r="G5718" s="51"/>
      <c r="H5718" s="46" t="str">
        <f>IF(AND(I.Developer.P2a=TRUE,I.Facility.P2aFacilityCount&gt;=706,F5718=""),"Incomplete","Complete")</f>
        <v>Complete</v>
      </c>
      <c r="I5718" s="48" t="s">
        <v>10083</v>
      </c>
    </row>
    <row r="5719" spans="2:9" ht="15" customHeight="1" x14ac:dyDescent="0.25">
      <c r="B5719" s="55" t="s">
        <v>280</v>
      </c>
      <c r="C5719" s="46">
        <v>707</v>
      </c>
      <c r="D5719" s="69" t="s">
        <v>29417</v>
      </c>
      <c r="E5719" s="51"/>
      <c r="F5719" s="114" t="str">
        <f>IF(INDEX(I.Facility.P2aIDNumber,707)="","",INDEX(I.Facility.P2aIDNumber,707))</f>
        <v/>
      </c>
      <c r="G5719" s="51"/>
      <c r="H5719" s="46" t="str">
        <f>IF(AND(I.Developer.P2a=TRUE,I.Facility.P2aFacilityCount&gt;=707,F5719=""),"Incomplete","Complete")</f>
        <v>Complete</v>
      </c>
      <c r="I5719" s="48" t="s">
        <v>10084</v>
      </c>
    </row>
    <row r="5720" spans="2:9" ht="15" customHeight="1" x14ac:dyDescent="0.25">
      <c r="B5720" s="55" t="s">
        <v>280</v>
      </c>
      <c r="C5720" s="46">
        <v>708</v>
      </c>
      <c r="D5720" s="69" t="s">
        <v>29417</v>
      </c>
      <c r="E5720" s="51"/>
      <c r="F5720" s="114" t="str">
        <f>IF(INDEX(I.Facility.P2aIDNumber,708)="","",INDEX(I.Facility.P2aIDNumber,708))</f>
        <v/>
      </c>
      <c r="G5720" s="51"/>
      <c r="H5720" s="46" t="str">
        <f>IF(AND(I.Developer.P2a=TRUE,I.Facility.P2aFacilityCount&gt;=708,F5720=""),"Incomplete","Complete")</f>
        <v>Complete</v>
      </c>
      <c r="I5720" s="48" t="s">
        <v>10085</v>
      </c>
    </row>
    <row r="5721" spans="2:9" ht="15" customHeight="1" x14ac:dyDescent="0.25">
      <c r="B5721" s="55" t="s">
        <v>280</v>
      </c>
      <c r="C5721" s="46">
        <v>709</v>
      </c>
      <c r="D5721" s="69" t="s">
        <v>29417</v>
      </c>
      <c r="E5721" s="51"/>
      <c r="F5721" s="114" t="str">
        <f>IF(INDEX(I.Facility.P2aIDNumber,709)="","",INDEX(I.Facility.P2aIDNumber,709))</f>
        <v/>
      </c>
      <c r="G5721" s="51"/>
      <c r="H5721" s="46" t="str">
        <f>IF(AND(I.Developer.P2a=TRUE,I.Facility.P2aFacilityCount&gt;=709,F5721=""),"Incomplete","Complete")</f>
        <v>Complete</v>
      </c>
      <c r="I5721" s="48" t="s">
        <v>10086</v>
      </c>
    </row>
    <row r="5722" spans="2:9" ht="15" customHeight="1" x14ac:dyDescent="0.25">
      <c r="B5722" s="55" t="s">
        <v>280</v>
      </c>
      <c r="C5722" s="46">
        <v>710</v>
      </c>
      <c r="D5722" s="69" t="s">
        <v>29417</v>
      </c>
      <c r="E5722" s="51"/>
      <c r="F5722" s="114" t="str">
        <f>IF(INDEX(I.Facility.P2aIDNumber,710)="","",INDEX(I.Facility.P2aIDNumber,710))</f>
        <v/>
      </c>
      <c r="G5722" s="51"/>
      <c r="H5722" s="46" t="str">
        <f>IF(AND(I.Developer.P2a=TRUE,I.Facility.P2aFacilityCount&gt;=710,F5722=""),"Incomplete","Complete")</f>
        <v>Complete</v>
      </c>
      <c r="I5722" s="48" t="s">
        <v>10087</v>
      </c>
    </row>
    <row r="5723" spans="2:9" ht="15" customHeight="1" x14ac:dyDescent="0.25">
      <c r="B5723" s="55" t="s">
        <v>280</v>
      </c>
      <c r="C5723" s="46">
        <v>711</v>
      </c>
      <c r="D5723" s="69" t="s">
        <v>29417</v>
      </c>
      <c r="E5723" s="51"/>
      <c r="F5723" s="114" t="str">
        <f>IF(INDEX(I.Facility.P2aIDNumber,711)="","",INDEX(I.Facility.P2aIDNumber,711))</f>
        <v/>
      </c>
      <c r="G5723" s="51"/>
      <c r="H5723" s="46" t="str">
        <f>IF(AND(I.Developer.P2a=TRUE,I.Facility.P2aFacilityCount&gt;=711,F5723=""),"Incomplete","Complete")</f>
        <v>Complete</v>
      </c>
      <c r="I5723" s="48" t="s">
        <v>10088</v>
      </c>
    </row>
    <row r="5724" spans="2:9" ht="15" customHeight="1" x14ac:dyDescent="0.25">
      <c r="B5724" s="55" t="s">
        <v>280</v>
      </c>
      <c r="C5724" s="46">
        <v>712</v>
      </c>
      <c r="D5724" s="69" t="s">
        <v>29417</v>
      </c>
      <c r="E5724" s="51"/>
      <c r="F5724" s="114" t="str">
        <f>IF(INDEX(I.Facility.P2aIDNumber,712)="","",INDEX(I.Facility.P2aIDNumber,712))</f>
        <v/>
      </c>
      <c r="G5724" s="51"/>
      <c r="H5724" s="46" t="str">
        <f>IF(AND(I.Developer.P2a=TRUE,I.Facility.P2aFacilityCount&gt;=712,F5724=""),"Incomplete","Complete")</f>
        <v>Complete</v>
      </c>
      <c r="I5724" s="48" t="s">
        <v>10089</v>
      </c>
    </row>
    <row r="5725" spans="2:9" ht="15" customHeight="1" x14ac:dyDescent="0.25">
      <c r="B5725" s="55" t="s">
        <v>280</v>
      </c>
      <c r="C5725" s="46">
        <v>713</v>
      </c>
      <c r="D5725" s="69" t="s">
        <v>29417</v>
      </c>
      <c r="E5725" s="51"/>
      <c r="F5725" s="114" t="str">
        <f>IF(INDEX(I.Facility.P2aIDNumber,713)="","",INDEX(I.Facility.P2aIDNumber,713))</f>
        <v/>
      </c>
      <c r="G5725" s="51"/>
      <c r="H5725" s="46" t="str">
        <f>IF(AND(I.Developer.P2a=TRUE,I.Facility.P2aFacilityCount&gt;=713,F5725=""),"Incomplete","Complete")</f>
        <v>Complete</v>
      </c>
      <c r="I5725" s="48" t="s">
        <v>10090</v>
      </c>
    </row>
    <row r="5726" spans="2:9" ht="15" customHeight="1" x14ac:dyDescent="0.25">
      <c r="B5726" s="55" t="s">
        <v>280</v>
      </c>
      <c r="C5726" s="46">
        <v>714</v>
      </c>
      <c r="D5726" s="69" t="s">
        <v>29417</v>
      </c>
      <c r="E5726" s="51"/>
      <c r="F5726" s="114" t="str">
        <f>IF(INDEX(I.Facility.P2aIDNumber,714)="","",INDEX(I.Facility.P2aIDNumber,714))</f>
        <v/>
      </c>
      <c r="G5726" s="51"/>
      <c r="H5726" s="46" t="str">
        <f>IF(AND(I.Developer.P2a=TRUE,I.Facility.P2aFacilityCount&gt;=714,F5726=""),"Incomplete","Complete")</f>
        <v>Complete</v>
      </c>
      <c r="I5726" s="48" t="s">
        <v>10091</v>
      </c>
    </row>
    <row r="5727" spans="2:9" ht="15" customHeight="1" x14ac:dyDescent="0.25">
      <c r="B5727" s="55" t="s">
        <v>280</v>
      </c>
      <c r="C5727" s="46">
        <v>715</v>
      </c>
      <c r="D5727" s="69" t="s">
        <v>29417</v>
      </c>
      <c r="E5727" s="51"/>
      <c r="F5727" s="114" t="str">
        <f>IF(INDEX(I.Facility.P2aIDNumber,715)="","",INDEX(I.Facility.P2aIDNumber,715))</f>
        <v/>
      </c>
      <c r="G5727" s="51"/>
      <c r="H5727" s="46" t="str">
        <f>IF(AND(I.Developer.P2a=TRUE,I.Facility.P2aFacilityCount&gt;=715,F5727=""),"Incomplete","Complete")</f>
        <v>Complete</v>
      </c>
      <c r="I5727" s="48" t="s">
        <v>10092</v>
      </c>
    </row>
    <row r="5728" spans="2:9" ht="15" customHeight="1" x14ac:dyDescent="0.25">
      <c r="B5728" s="55" t="s">
        <v>280</v>
      </c>
      <c r="C5728" s="46">
        <v>716</v>
      </c>
      <c r="D5728" s="69" t="s">
        <v>29417</v>
      </c>
      <c r="E5728" s="51"/>
      <c r="F5728" s="114" t="str">
        <f>IF(INDEX(I.Facility.P2aIDNumber,716)="","",INDEX(I.Facility.P2aIDNumber,716))</f>
        <v/>
      </c>
      <c r="G5728" s="51"/>
      <c r="H5728" s="46" t="str">
        <f>IF(AND(I.Developer.P2a=TRUE,I.Facility.P2aFacilityCount&gt;=716,F5728=""),"Incomplete","Complete")</f>
        <v>Complete</v>
      </c>
      <c r="I5728" s="48" t="s">
        <v>10093</v>
      </c>
    </row>
    <row r="5729" spans="2:9" ht="15" customHeight="1" x14ac:dyDescent="0.25">
      <c r="B5729" s="55" t="s">
        <v>280</v>
      </c>
      <c r="C5729" s="46">
        <v>717</v>
      </c>
      <c r="D5729" s="69" t="s">
        <v>29417</v>
      </c>
      <c r="E5729" s="51"/>
      <c r="F5729" s="114" t="str">
        <f>IF(INDEX(I.Facility.P2aIDNumber,717)="","",INDEX(I.Facility.P2aIDNumber,717))</f>
        <v/>
      </c>
      <c r="G5729" s="51"/>
      <c r="H5729" s="46" t="str">
        <f>IF(AND(I.Developer.P2a=TRUE,I.Facility.P2aFacilityCount&gt;=717,F5729=""),"Incomplete","Complete")</f>
        <v>Complete</v>
      </c>
      <c r="I5729" s="48" t="s">
        <v>10094</v>
      </c>
    </row>
    <row r="5730" spans="2:9" ht="15" customHeight="1" x14ac:dyDescent="0.25">
      <c r="B5730" s="55" t="s">
        <v>280</v>
      </c>
      <c r="C5730" s="46">
        <v>718</v>
      </c>
      <c r="D5730" s="69" t="s">
        <v>29417</v>
      </c>
      <c r="E5730" s="51"/>
      <c r="F5730" s="114" t="str">
        <f>IF(INDEX(I.Facility.P2aIDNumber,718)="","",INDEX(I.Facility.P2aIDNumber,718))</f>
        <v/>
      </c>
      <c r="G5730" s="51"/>
      <c r="H5730" s="46" t="str">
        <f>IF(AND(I.Developer.P2a=TRUE,I.Facility.P2aFacilityCount&gt;=718,F5730=""),"Incomplete","Complete")</f>
        <v>Complete</v>
      </c>
      <c r="I5730" s="48" t="s">
        <v>10095</v>
      </c>
    </row>
    <row r="5731" spans="2:9" ht="15" customHeight="1" x14ac:dyDescent="0.25">
      <c r="B5731" s="55" t="s">
        <v>280</v>
      </c>
      <c r="C5731" s="46">
        <v>719</v>
      </c>
      <c r="D5731" s="69" t="s">
        <v>29417</v>
      </c>
      <c r="E5731" s="51"/>
      <c r="F5731" s="114" t="str">
        <f>IF(INDEX(I.Facility.P2aIDNumber,719)="","",INDEX(I.Facility.P2aIDNumber,719))</f>
        <v/>
      </c>
      <c r="G5731" s="51"/>
      <c r="H5731" s="46" t="str">
        <f>IF(AND(I.Developer.P2a=TRUE,I.Facility.P2aFacilityCount&gt;=719,F5731=""),"Incomplete","Complete")</f>
        <v>Complete</v>
      </c>
      <c r="I5731" s="48" t="s">
        <v>10096</v>
      </c>
    </row>
    <row r="5732" spans="2:9" ht="15" customHeight="1" x14ac:dyDescent="0.25">
      <c r="B5732" s="55" t="s">
        <v>280</v>
      </c>
      <c r="C5732" s="46">
        <v>720</v>
      </c>
      <c r="D5732" s="69" t="s">
        <v>29417</v>
      </c>
      <c r="E5732" s="51"/>
      <c r="F5732" s="114" t="str">
        <f>IF(INDEX(I.Facility.P2aIDNumber,720)="","",INDEX(I.Facility.P2aIDNumber,720))</f>
        <v/>
      </c>
      <c r="G5732" s="51"/>
      <c r="H5732" s="46" t="str">
        <f>IF(AND(I.Developer.P2a=TRUE,I.Facility.P2aFacilityCount&gt;=720,F5732=""),"Incomplete","Complete")</f>
        <v>Complete</v>
      </c>
      <c r="I5732" s="48" t="s">
        <v>10097</v>
      </c>
    </row>
    <row r="5733" spans="2:9" ht="15" customHeight="1" x14ac:dyDescent="0.25">
      <c r="B5733" s="55" t="s">
        <v>280</v>
      </c>
      <c r="C5733" s="46">
        <v>721</v>
      </c>
      <c r="D5733" s="69" t="s">
        <v>29417</v>
      </c>
      <c r="E5733" s="51"/>
      <c r="F5733" s="114" t="str">
        <f>IF(INDEX(I.Facility.P2aIDNumber,721)="","",INDEX(I.Facility.P2aIDNumber,721))</f>
        <v/>
      </c>
      <c r="G5733" s="51"/>
      <c r="H5733" s="46" t="str">
        <f>IF(AND(I.Developer.P2a=TRUE,I.Facility.P2aFacilityCount&gt;=721,F5733=""),"Incomplete","Complete")</f>
        <v>Complete</v>
      </c>
      <c r="I5733" s="48" t="s">
        <v>10098</v>
      </c>
    </row>
    <row r="5734" spans="2:9" ht="15" customHeight="1" x14ac:dyDescent="0.25">
      <c r="B5734" s="55" t="s">
        <v>280</v>
      </c>
      <c r="C5734" s="46">
        <v>722</v>
      </c>
      <c r="D5734" s="69" t="s">
        <v>29417</v>
      </c>
      <c r="E5734" s="51"/>
      <c r="F5734" s="114" t="str">
        <f>IF(INDEX(I.Facility.P2aIDNumber,722)="","",INDEX(I.Facility.P2aIDNumber,722))</f>
        <v/>
      </c>
      <c r="G5734" s="51"/>
      <c r="H5734" s="46" t="str">
        <f>IF(AND(I.Developer.P2a=TRUE,I.Facility.P2aFacilityCount&gt;=722,F5734=""),"Incomplete","Complete")</f>
        <v>Complete</v>
      </c>
      <c r="I5734" s="48" t="s">
        <v>10099</v>
      </c>
    </row>
    <row r="5735" spans="2:9" ht="15" customHeight="1" x14ac:dyDescent="0.25">
      <c r="B5735" s="55" t="s">
        <v>280</v>
      </c>
      <c r="C5735" s="46">
        <v>723</v>
      </c>
      <c r="D5735" s="69" t="s">
        <v>29417</v>
      </c>
      <c r="E5735" s="51"/>
      <c r="F5735" s="114" t="str">
        <f>IF(INDEX(I.Facility.P2aIDNumber,723)="","",INDEX(I.Facility.P2aIDNumber,723))</f>
        <v/>
      </c>
      <c r="G5735" s="51"/>
      <c r="H5735" s="46" t="str">
        <f>IF(AND(I.Developer.P2a=TRUE,I.Facility.P2aFacilityCount&gt;=723,F5735=""),"Incomplete","Complete")</f>
        <v>Complete</v>
      </c>
      <c r="I5735" s="48" t="s">
        <v>10100</v>
      </c>
    </row>
    <row r="5736" spans="2:9" ht="15" customHeight="1" x14ac:dyDescent="0.25">
      <c r="B5736" s="55" t="s">
        <v>280</v>
      </c>
      <c r="C5736" s="46">
        <v>724</v>
      </c>
      <c r="D5736" s="69" t="s">
        <v>29417</v>
      </c>
      <c r="E5736" s="51"/>
      <c r="F5736" s="114" t="str">
        <f>IF(INDEX(I.Facility.P2aIDNumber,724)="","",INDEX(I.Facility.P2aIDNumber,724))</f>
        <v/>
      </c>
      <c r="G5736" s="51"/>
      <c r="H5736" s="46" t="str">
        <f>IF(AND(I.Developer.P2a=TRUE,I.Facility.P2aFacilityCount&gt;=724,F5736=""),"Incomplete","Complete")</f>
        <v>Complete</v>
      </c>
      <c r="I5736" s="48" t="s">
        <v>10101</v>
      </c>
    </row>
    <row r="5737" spans="2:9" ht="15" customHeight="1" x14ac:dyDescent="0.25">
      <c r="B5737" s="55" t="s">
        <v>280</v>
      </c>
      <c r="C5737" s="46">
        <v>725</v>
      </c>
      <c r="D5737" s="69" t="s">
        <v>29417</v>
      </c>
      <c r="E5737" s="51"/>
      <c r="F5737" s="114" t="str">
        <f>IF(INDEX(I.Facility.P2aIDNumber,725)="","",INDEX(I.Facility.P2aIDNumber,725))</f>
        <v/>
      </c>
      <c r="G5737" s="51"/>
      <c r="H5737" s="46" t="str">
        <f>IF(AND(I.Developer.P2a=TRUE,I.Facility.P2aFacilityCount&gt;=725,F5737=""),"Incomplete","Complete")</f>
        <v>Complete</v>
      </c>
      <c r="I5737" s="48" t="s">
        <v>10102</v>
      </c>
    </row>
    <row r="5738" spans="2:9" ht="15" customHeight="1" x14ac:dyDescent="0.25">
      <c r="B5738" s="55" t="s">
        <v>280</v>
      </c>
      <c r="C5738" s="46">
        <v>726</v>
      </c>
      <c r="D5738" s="69" t="s">
        <v>29417</v>
      </c>
      <c r="E5738" s="51"/>
      <c r="F5738" s="114" t="str">
        <f>IF(INDEX(I.Facility.P2aIDNumber,726)="","",INDEX(I.Facility.P2aIDNumber,726))</f>
        <v/>
      </c>
      <c r="G5738" s="51"/>
      <c r="H5738" s="46" t="str">
        <f>IF(AND(I.Developer.P2a=TRUE,I.Facility.P2aFacilityCount&gt;=726,F5738=""),"Incomplete","Complete")</f>
        <v>Complete</v>
      </c>
      <c r="I5738" s="48" t="s">
        <v>10103</v>
      </c>
    </row>
    <row r="5739" spans="2:9" ht="15" customHeight="1" x14ac:dyDescent="0.25">
      <c r="B5739" s="55" t="s">
        <v>280</v>
      </c>
      <c r="C5739" s="46">
        <v>727</v>
      </c>
      <c r="D5739" s="69" t="s">
        <v>29417</v>
      </c>
      <c r="E5739" s="51"/>
      <c r="F5739" s="114" t="str">
        <f>IF(INDEX(I.Facility.P2aIDNumber,727)="","",INDEX(I.Facility.P2aIDNumber,727))</f>
        <v/>
      </c>
      <c r="G5739" s="51"/>
      <c r="H5739" s="46" t="str">
        <f>IF(AND(I.Developer.P2a=TRUE,I.Facility.P2aFacilityCount&gt;=727,F5739=""),"Incomplete","Complete")</f>
        <v>Complete</v>
      </c>
      <c r="I5739" s="48" t="s">
        <v>10104</v>
      </c>
    </row>
    <row r="5740" spans="2:9" ht="15" customHeight="1" x14ac:dyDescent="0.25">
      <c r="B5740" s="55" t="s">
        <v>280</v>
      </c>
      <c r="C5740" s="46">
        <v>728</v>
      </c>
      <c r="D5740" s="69" t="s">
        <v>29417</v>
      </c>
      <c r="E5740" s="51"/>
      <c r="F5740" s="114" t="str">
        <f>IF(INDEX(I.Facility.P2aIDNumber,728)="","",INDEX(I.Facility.P2aIDNumber,728))</f>
        <v/>
      </c>
      <c r="G5740" s="51"/>
      <c r="H5740" s="46" t="str">
        <f>IF(AND(I.Developer.P2a=TRUE,I.Facility.P2aFacilityCount&gt;=728,F5740=""),"Incomplete","Complete")</f>
        <v>Complete</v>
      </c>
      <c r="I5740" s="48" t="s">
        <v>10105</v>
      </c>
    </row>
    <row r="5741" spans="2:9" ht="15" customHeight="1" x14ac:dyDescent="0.25">
      <c r="B5741" s="55" t="s">
        <v>280</v>
      </c>
      <c r="C5741" s="46">
        <v>729</v>
      </c>
      <c r="D5741" s="69" t="s">
        <v>29417</v>
      </c>
      <c r="E5741" s="51"/>
      <c r="F5741" s="114" t="str">
        <f>IF(INDEX(I.Facility.P2aIDNumber,729)="","",INDEX(I.Facility.P2aIDNumber,729))</f>
        <v/>
      </c>
      <c r="G5741" s="51"/>
      <c r="H5741" s="46" t="str">
        <f>IF(AND(I.Developer.P2a=TRUE,I.Facility.P2aFacilityCount&gt;=729,F5741=""),"Incomplete","Complete")</f>
        <v>Complete</v>
      </c>
      <c r="I5741" s="48" t="s">
        <v>10106</v>
      </c>
    </row>
    <row r="5742" spans="2:9" ht="15" customHeight="1" x14ac:dyDescent="0.25">
      <c r="B5742" s="55" t="s">
        <v>280</v>
      </c>
      <c r="C5742" s="46">
        <v>730</v>
      </c>
      <c r="D5742" s="69" t="s">
        <v>29417</v>
      </c>
      <c r="E5742" s="51"/>
      <c r="F5742" s="114" t="str">
        <f>IF(INDEX(I.Facility.P2aIDNumber,730)="","",INDEX(I.Facility.P2aIDNumber,730))</f>
        <v/>
      </c>
      <c r="G5742" s="51"/>
      <c r="H5742" s="46" t="str">
        <f>IF(AND(I.Developer.P2a=TRUE,I.Facility.P2aFacilityCount&gt;=730,F5742=""),"Incomplete","Complete")</f>
        <v>Complete</v>
      </c>
      <c r="I5742" s="48" t="s">
        <v>10107</v>
      </c>
    </row>
    <row r="5743" spans="2:9" ht="15" customHeight="1" x14ac:dyDescent="0.25">
      <c r="B5743" s="55" t="s">
        <v>280</v>
      </c>
      <c r="C5743" s="46">
        <v>731</v>
      </c>
      <c r="D5743" s="69" t="s">
        <v>29417</v>
      </c>
      <c r="E5743" s="51"/>
      <c r="F5743" s="114" t="str">
        <f>IF(INDEX(I.Facility.P2aIDNumber,731)="","",INDEX(I.Facility.P2aIDNumber,731))</f>
        <v/>
      </c>
      <c r="G5743" s="51"/>
      <c r="H5743" s="46" t="str">
        <f>IF(AND(I.Developer.P2a=TRUE,I.Facility.P2aFacilityCount&gt;=731,F5743=""),"Incomplete","Complete")</f>
        <v>Complete</v>
      </c>
      <c r="I5743" s="48" t="s">
        <v>10108</v>
      </c>
    </row>
    <row r="5744" spans="2:9" ht="15" customHeight="1" x14ac:dyDescent="0.25">
      <c r="B5744" s="55" t="s">
        <v>280</v>
      </c>
      <c r="C5744" s="46">
        <v>732</v>
      </c>
      <c r="D5744" s="69" t="s">
        <v>29417</v>
      </c>
      <c r="E5744" s="51"/>
      <c r="F5744" s="114" t="str">
        <f>IF(INDEX(I.Facility.P2aIDNumber,732)="","",INDEX(I.Facility.P2aIDNumber,732))</f>
        <v/>
      </c>
      <c r="G5744" s="51"/>
      <c r="H5744" s="46" t="str">
        <f>IF(AND(I.Developer.P2a=TRUE,I.Facility.P2aFacilityCount&gt;=732,F5744=""),"Incomplete","Complete")</f>
        <v>Complete</v>
      </c>
      <c r="I5744" s="48" t="s">
        <v>10109</v>
      </c>
    </row>
    <row r="5745" spans="2:9" ht="15" customHeight="1" x14ac:dyDescent="0.25">
      <c r="B5745" s="55" t="s">
        <v>280</v>
      </c>
      <c r="C5745" s="46">
        <v>733</v>
      </c>
      <c r="D5745" s="69" t="s">
        <v>29417</v>
      </c>
      <c r="E5745" s="51"/>
      <c r="F5745" s="114" t="str">
        <f>IF(INDEX(I.Facility.P2aIDNumber,733)="","",INDEX(I.Facility.P2aIDNumber,733))</f>
        <v/>
      </c>
      <c r="G5745" s="51"/>
      <c r="H5745" s="46" t="str">
        <f>IF(AND(I.Developer.P2a=TRUE,I.Facility.P2aFacilityCount&gt;=733,F5745=""),"Incomplete","Complete")</f>
        <v>Complete</v>
      </c>
      <c r="I5745" s="48" t="s">
        <v>10110</v>
      </c>
    </row>
    <row r="5746" spans="2:9" ht="15" customHeight="1" x14ac:dyDescent="0.25">
      <c r="B5746" s="55" t="s">
        <v>280</v>
      </c>
      <c r="C5746" s="46">
        <v>734</v>
      </c>
      <c r="D5746" s="69" t="s">
        <v>29417</v>
      </c>
      <c r="E5746" s="51"/>
      <c r="F5746" s="114" t="str">
        <f>IF(INDEX(I.Facility.P2aIDNumber,734)="","",INDEX(I.Facility.P2aIDNumber,734))</f>
        <v/>
      </c>
      <c r="G5746" s="51"/>
      <c r="H5746" s="46" t="str">
        <f>IF(AND(I.Developer.P2a=TRUE,I.Facility.P2aFacilityCount&gt;=734,F5746=""),"Incomplete","Complete")</f>
        <v>Complete</v>
      </c>
      <c r="I5746" s="48" t="s">
        <v>10111</v>
      </c>
    </row>
    <row r="5747" spans="2:9" ht="15" customHeight="1" x14ac:dyDescent="0.25">
      <c r="B5747" s="55" t="s">
        <v>280</v>
      </c>
      <c r="C5747" s="46">
        <v>735</v>
      </c>
      <c r="D5747" s="69" t="s">
        <v>29417</v>
      </c>
      <c r="E5747" s="51"/>
      <c r="F5747" s="114" t="str">
        <f>IF(INDEX(I.Facility.P2aIDNumber,735)="","",INDEX(I.Facility.P2aIDNumber,735))</f>
        <v/>
      </c>
      <c r="G5747" s="51"/>
      <c r="H5747" s="46" t="str">
        <f>IF(AND(I.Developer.P2a=TRUE,I.Facility.P2aFacilityCount&gt;=735,F5747=""),"Incomplete","Complete")</f>
        <v>Complete</v>
      </c>
      <c r="I5747" s="48" t="s">
        <v>10112</v>
      </c>
    </row>
    <row r="5748" spans="2:9" ht="15" customHeight="1" x14ac:dyDescent="0.25">
      <c r="B5748" s="55" t="s">
        <v>280</v>
      </c>
      <c r="C5748" s="46">
        <v>736</v>
      </c>
      <c r="D5748" s="69" t="s">
        <v>29417</v>
      </c>
      <c r="E5748" s="51"/>
      <c r="F5748" s="114" t="str">
        <f>IF(INDEX(I.Facility.P2aIDNumber,736)="","",INDEX(I.Facility.P2aIDNumber,736))</f>
        <v/>
      </c>
      <c r="G5748" s="51"/>
      <c r="H5748" s="46" t="str">
        <f>IF(AND(I.Developer.P2a=TRUE,I.Facility.P2aFacilityCount&gt;=736,F5748=""),"Incomplete","Complete")</f>
        <v>Complete</v>
      </c>
      <c r="I5748" s="48" t="s">
        <v>10113</v>
      </c>
    </row>
    <row r="5749" spans="2:9" ht="15" customHeight="1" x14ac:dyDescent="0.25">
      <c r="B5749" s="55" t="s">
        <v>280</v>
      </c>
      <c r="C5749" s="46">
        <v>737</v>
      </c>
      <c r="D5749" s="69" t="s">
        <v>29417</v>
      </c>
      <c r="E5749" s="51"/>
      <c r="F5749" s="114" t="str">
        <f>IF(INDEX(I.Facility.P2aIDNumber,737)="","",INDEX(I.Facility.P2aIDNumber,737))</f>
        <v/>
      </c>
      <c r="G5749" s="51"/>
      <c r="H5749" s="46" t="str">
        <f>IF(AND(I.Developer.P2a=TRUE,I.Facility.P2aFacilityCount&gt;=737,F5749=""),"Incomplete","Complete")</f>
        <v>Complete</v>
      </c>
      <c r="I5749" s="48" t="s">
        <v>10114</v>
      </c>
    </row>
    <row r="5750" spans="2:9" ht="15" customHeight="1" x14ac:dyDescent="0.25">
      <c r="B5750" s="55" t="s">
        <v>280</v>
      </c>
      <c r="C5750" s="46">
        <v>738</v>
      </c>
      <c r="D5750" s="69" t="s">
        <v>29417</v>
      </c>
      <c r="E5750" s="51"/>
      <c r="F5750" s="114" t="str">
        <f>IF(INDEX(I.Facility.P2aIDNumber,738)="","",INDEX(I.Facility.P2aIDNumber,738))</f>
        <v/>
      </c>
      <c r="G5750" s="51"/>
      <c r="H5750" s="46" t="str">
        <f>IF(AND(I.Developer.P2a=TRUE,I.Facility.P2aFacilityCount&gt;=738,F5750=""),"Incomplete","Complete")</f>
        <v>Complete</v>
      </c>
      <c r="I5750" s="48" t="s">
        <v>10115</v>
      </c>
    </row>
    <row r="5751" spans="2:9" ht="15" customHeight="1" x14ac:dyDescent="0.25">
      <c r="B5751" s="55" t="s">
        <v>280</v>
      </c>
      <c r="C5751" s="46">
        <v>739</v>
      </c>
      <c r="D5751" s="69" t="s">
        <v>29417</v>
      </c>
      <c r="E5751" s="51"/>
      <c r="F5751" s="114" t="str">
        <f>IF(INDEX(I.Facility.P2aIDNumber,739)="","",INDEX(I.Facility.P2aIDNumber,739))</f>
        <v/>
      </c>
      <c r="G5751" s="51"/>
      <c r="H5751" s="46" t="str">
        <f>IF(AND(I.Developer.P2a=TRUE,I.Facility.P2aFacilityCount&gt;=739,F5751=""),"Incomplete","Complete")</f>
        <v>Complete</v>
      </c>
      <c r="I5751" s="48" t="s">
        <v>10116</v>
      </c>
    </row>
    <row r="5752" spans="2:9" ht="15" customHeight="1" x14ac:dyDescent="0.25">
      <c r="B5752" s="55" t="s">
        <v>280</v>
      </c>
      <c r="C5752" s="46">
        <v>740</v>
      </c>
      <c r="D5752" s="69" t="s">
        <v>29417</v>
      </c>
      <c r="E5752" s="51"/>
      <c r="F5752" s="114" t="str">
        <f>IF(INDEX(I.Facility.P2aIDNumber,740)="","",INDEX(I.Facility.P2aIDNumber,740))</f>
        <v/>
      </c>
      <c r="G5752" s="51"/>
      <c r="H5752" s="46" t="str">
        <f>IF(AND(I.Developer.P2a=TRUE,I.Facility.P2aFacilityCount&gt;=740,F5752=""),"Incomplete","Complete")</f>
        <v>Complete</v>
      </c>
      <c r="I5752" s="48" t="s">
        <v>10117</v>
      </c>
    </row>
    <row r="5753" spans="2:9" ht="15" customHeight="1" x14ac:dyDescent="0.25">
      <c r="B5753" s="55" t="s">
        <v>280</v>
      </c>
      <c r="C5753" s="46">
        <v>741</v>
      </c>
      <c r="D5753" s="69" t="s">
        <v>29417</v>
      </c>
      <c r="E5753" s="51"/>
      <c r="F5753" s="114" t="str">
        <f>IF(INDEX(I.Facility.P2aIDNumber,741)="","",INDEX(I.Facility.P2aIDNumber,741))</f>
        <v/>
      </c>
      <c r="G5753" s="51"/>
      <c r="H5753" s="46" t="str">
        <f>IF(AND(I.Developer.P2a=TRUE,I.Facility.P2aFacilityCount&gt;=741,F5753=""),"Incomplete","Complete")</f>
        <v>Complete</v>
      </c>
      <c r="I5753" s="48" t="s">
        <v>10118</v>
      </c>
    </row>
    <row r="5754" spans="2:9" ht="15" customHeight="1" x14ac:dyDescent="0.25">
      <c r="B5754" s="55" t="s">
        <v>280</v>
      </c>
      <c r="C5754" s="46">
        <v>742</v>
      </c>
      <c r="D5754" s="69" t="s">
        <v>29417</v>
      </c>
      <c r="E5754" s="51"/>
      <c r="F5754" s="114" t="str">
        <f>IF(INDEX(I.Facility.P2aIDNumber,742)="","",INDEX(I.Facility.P2aIDNumber,742))</f>
        <v/>
      </c>
      <c r="G5754" s="51"/>
      <c r="H5754" s="46" t="str">
        <f>IF(AND(I.Developer.P2a=TRUE,I.Facility.P2aFacilityCount&gt;=742,F5754=""),"Incomplete","Complete")</f>
        <v>Complete</v>
      </c>
      <c r="I5754" s="48" t="s">
        <v>10119</v>
      </c>
    </row>
    <row r="5755" spans="2:9" ht="15" customHeight="1" x14ac:dyDescent="0.25">
      <c r="B5755" s="55" t="s">
        <v>280</v>
      </c>
      <c r="C5755" s="46">
        <v>743</v>
      </c>
      <c r="D5755" s="69" t="s">
        <v>29417</v>
      </c>
      <c r="E5755" s="51"/>
      <c r="F5755" s="114" t="str">
        <f>IF(INDEX(I.Facility.P2aIDNumber,743)="","",INDEX(I.Facility.P2aIDNumber,743))</f>
        <v/>
      </c>
      <c r="G5755" s="51"/>
      <c r="H5755" s="46" t="str">
        <f>IF(AND(I.Developer.P2a=TRUE,I.Facility.P2aFacilityCount&gt;=743,F5755=""),"Incomplete","Complete")</f>
        <v>Complete</v>
      </c>
      <c r="I5755" s="48" t="s">
        <v>10120</v>
      </c>
    </row>
    <row r="5756" spans="2:9" ht="15" customHeight="1" x14ac:dyDescent="0.25">
      <c r="B5756" s="55" t="s">
        <v>280</v>
      </c>
      <c r="C5756" s="46">
        <v>744</v>
      </c>
      <c r="D5756" s="69" t="s">
        <v>29417</v>
      </c>
      <c r="E5756" s="51"/>
      <c r="F5756" s="114" t="str">
        <f>IF(INDEX(I.Facility.P2aIDNumber,744)="","",INDEX(I.Facility.P2aIDNumber,744))</f>
        <v/>
      </c>
      <c r="G5756" s="51"/>
      <c r="H5756" s="46" t="str">
        <f>IF(AND(I.Developer.P2a=TRUE,I.Facility.P2aFacilityCount&gt;=744,F5756=""),"Incomplete","Complete")</f>
        <v>Complete</v>
      </c>
      <c r="I5756" s="48" t="s">
        <v>10121</v>
      </c>
    </row>
    <row r="5757" spans="2:9" ht="15" customHeight="1" x14ac:dyDescent="0.25">
      <c r="B5757" s="55" t="s">
        <v>280</v>
      </c>
      <c r="C5757" s="46">
        <v>745</v>
      </c>
      <c r="D5757" s="69" t="s">
        <v>29417</v>
      </c>
      <c r="E5757" s="51"/>
      <c r="F5757" s="114" t="str">
        <f>IF(INDEX(I.Facility.P2aIDNumber,745)="","",INDEX(I.Facility.P2aIDNumber,745))</f>
        <v/>
      </c>
      <c r="G5757" s="51"/>
      <c r="H5757" s="46" t="str">
        <f>IF(AND(I.Developer.P2a=TRUE,I.Facility.P2aFacilityCount&gt;=745,F5757=""),"Incomplete","Complete")</f>
        <v>Complete</v>
      </c>
      <c r="I5757" s="48" t="s">
        <v>10122</v>
      </c>
    </row>
    <row r="5758" spans="2:9" ht="15" customHeight="1" x14ac:dyDescent="0.25">
      <c r="B5758" s="55" t="s">
        <v>280</v>
      </c>
      <c r="C5758" s="46">
        <v>746</v>
      </c>
      <c r="D5758" s="69" t="s">
        <v>29417</v>
      </c>
      <c r="E5758" s="51"/>
      <c r="F5758" s="114" t="str">
        <f>IF(INDEX(I.Facility.P2aIDNumber,746)="","",INDEX(I.Facility.P2aIDNumber,746))</f>
        <v/>
      </c>
      <c r="G5758" s="51"/>
      <c r="H5758" s="46" t="str">
        <f>IF(AND(I.Developer.P2a=TRUE,I.Facility.P2aFacilityCount&gt;=746,F5758=""),"Incomplete","Complete")</f>
        <v>Complete</v>
      </c>
      <c r="I5758" s="48" t="s">
        <v>10123</v>
      </c>
    </row>
    <row r="5759" spans="2:9" ht="15" customHeight="1" x14ac:dyDescent="0.25">
      <c r="B5759" s="55" t="s">
        <v>280</v>
      </c>
      <c r="C5759" s="46">
        <v>747</v>
      </c>
      <c r="D5759" s="69" t="s">
        <v>29417</v>
      </c>
      <c r="E5759" s="51"/>
      <c r="F5759" s="114" t="str">
        <f>IF(INDEX(I.Facility.P2aIDNumber,747)="","",INDEX(I.Facility.P2aIDNumber,747))</f>
        <v/>
      </c>
      <c r="G5759" s="51"/>
      <c r="H5759" s="46" t="str">
        <f>IF(AND(I.Developer.P2a=TRUE,I.Facility.P2aFacilityCount&gt;=747,F5759=""),"Incomplete","Complete")</f>
        <v>Complete</v>
      </c>
      <c r="I5759" s="48" t="s">
        <v>10124</v>
      </c>
    </row>
    <row r="5760" spans="2:9" ht="15" customHeight="1" x14ac:dyDescent="0.25">
      <c r="B5760" s="55" t="s">
        <v>280</v>
      </c>
      <c r="C5760" s="46">
        <v>748</v>
      </c>
      <c r="D5760" s="69" t="s">
        <v>29417</v>
      </c>
      <c r="E5760" s="51"/>
      <c r="F5760" s="114" t="str">
        <f>IF(INDEX(I.Facility.P2aIDNumber,748)="","",INDEX(I.Facility.P2aIDNumber,748))</f>
        <v/>
      </c>
      <c r="G5760" s="51"/>
      <c r="H5760" s="46" t="str">
        <f>IF(AND(I.Developer.P2a=TRUE,I.Facility.P2aFacilityCount&gt;=748,F5760=""),"Incomplete","Complete")</f>
        <v>Complete</v>
      </c>
      <c r="I5760" s="48" t="s">
        <v>10125</v>
      </c>
    </row>
    <row r="5761" spans="2:9" ht="15" customHeight="1" x14ac:dyDescent="0.25">
      <c r="B5761" s="55" t="s">
        <v>280</v>
      </c>
      <c r="C5761" s="46">
        <v>749</v>
      </c>
      <c r="D5761" s="69" t="s">
        <v>29417</v>
      </c>
      <c r="E5761" s="51"/>
      <c r="F5761" s="114" t="str">
        <f>IF(INDEX(I.Facility.P2aIDNumber,749)="","",INDEX(I.Facility.P2aIDNumber,749))</f>
        <v/>
      </c>
      <c r="G5761" s="51"/>
      <c r="H5761" s="46" t="str">
        <f>IF(AND(I.Developer.P2a=TRUE,I.Facility.P2aFacilityCount&gt;=749,F5761=""),"Incomplete","Complete")</f>
        <v>Complete</v>
      </c>
      <c r="I5761" s="48" t="s">
        <v>10126</v>
      </c>
    </row>
    <row r="5762" spans="2:9" ht="15" customHeight="1" x14ac:dyDescent="0.25">
      <c r="B5762" s="55" t="s">
        <v>280</v>
      </c>
      <c r="C5762" s="46">
        <v>750</v>
      </c>
      <c r="D5762" s="69" t="s">
        <v>29417</v>
      </c>
      <c r="E5762" s="51"/>
      <c r="F5762" s="114" t="str">
        <f>IF(INDEX(I.Facility.P2aIDNumber,750)="","",INDEX(I.Facility.P2aIDNumber,750))</f>
        <v/>
      </c>
      <c r="G5762" s="51"/>
      <c r="H5762" s="46" t="str">
        <f>IF(AND(I.Developer.P2a=TRUE,I.Facility.P2aFacilityCount&gt;=750,F5762=""),"Incomplete","Complete")</f>
        <v>Complete</v>
      </c>
      <c r="I5762" s="48" t="s">
        <v>10127</v>
      </c>
    </row>
    <row r="5763" spans="2:9" ht="15" customHeight="1" x14ac:dyDescent="0.25">
      <c r="B5763" s="55" t="s">
        <v>280</v>
      </c>
      <c r="C5763" s="46">
        <v>751</v>
      </c>
      <c r="D5763" s="69" t="s">
        <v>29417</v>
      </c>
      <c r="E5763" s="51"/>
      <c r="F5763" s="114" t="str">
        <f>IF(INDEX(I.Facility.P2aIDNumber,751)="","",INDEX(I.Facility.P2aIDNumber,751))</f>
        <v/>
      </c>
      <c r="G5763" s="51"/>
      <c r="H5763" s="46" t="str">
        <f>IF(AND(I.Developer.P2a=TRUE,I.Facility.P2aFacilityCount&gt;=751,F5763=""),"Incomplete","Complete")</f>
        <v>Complete</v>
      </c>
      <c r="I5763" s="48" t="s">
        <v>10128</v>
      </c>
    </row>
    <row r="5764" spans="2:9" ht="15" customHeight="1" x14ac:dyDescent="0.25">
      <c r="B5764" s="55" t="s">
        <v>280</v>
      </c>
      <c r="C5764" s="46">
        <v>752</v>
      </c>
      <c r="D5764" s="69" t="s">
        <v>29417</v>
      </c>
      <c r="E5764" s="51"/>
      <c r="F5764" s="114" t="str">
        <f>IF(INDEX(I.Facility.P2aIDNumber,752)="","",INDEX(I.Facility.P2aIDNumber,752))</f>
        <v/>
      </c>
      <c r="G5764" s="51"/>
      <c r="H5764" s="46" t="str">
        <f>IF(AND(I.Developer.P2a=TRUE,I.Facility.P2aFacilityCount&gt;=752,F5764=""),"Incomplete","Complete")</f>
        <v>Complete</v>
      </c>
      <c r="I5764" s="48" t="s">
        <v>10129</v>
      </c>
    </row>
    <row r="5765" spans="2:9" ht="15" customHeight="1" x14ac:dyDescent="0.25">
      <c r="B5765" s="55" t="s">
        <v>280</v>
      </c>
      <c r="C5765" s="46">
        <v>753</v>
      </c>
      <c r="D5765" s="69" t="s">
        <v>29417</v>
      </c>
      <c r="E5765" s="51"/>
      <c r="F5765" s="114" t="str">
        <f>IF(INDEX(I.Facility.P2aIDNumber,753)="","",INDEX(I.Facility.P2aIDNumber,753))</f>
        <v/>
      </c>
      <c r="G5765" s="51"/>
      <c r="H5765" s="46" t="str">
        <f>IF(AND(I.Developer.P2a=TRUE,I.Facility.P2aFacilityCount&gt;=753,F5765=""),"Incomplete","Complete")</f>
        <v>Complete</v>
      </c>
      <c r="I5765" s="48" t="s">
        <v>10130</v>
      </c>
    </row>
    <row r="5766" spans="2:9" ht="15" customHeight="1" x14ac:dyDescent="0.25">
      <c r="B5766" s="55" t="s">
        <v>280</v>
      </c>
      <c r="C5766" s="46">
        <v>754</v>
      </c>
      <c r="D5766" s="69" t="s">
        <v>29417</v>
      </c>
      <c r="E5766" s="51"/>
      <c r="F5766" s="114" t="str">
        <f>IF(INDEX(I.Facility.P2aIDNumber,754)="","",INDEX(I.Facility.P2aIDNumber,754))</f>
        <v/>
      </c>
      <c r="G5766" s="51"/>
      <c r="H5766" s="46" t="str">
        <f>IF(AND(I.Developer.P2a=TRUE,I.Facility.P2aFacilityCount&gt;=754,F5766=""),"Incomplete","Complete")</f>
        <v>Complete</v>
      </c>
      <c r="I5766" s="48" t="s">
        <v>10131</v>
      </c>
    </row>
    <row r="5767" spans="2:9" ht="15" customHeight="1" x14ac:dyDescent="0.25">
      <c r="B5767" s="55" t="s">
        <v>280</v>
      </c>
      <c r="C5767" s="46">
        <v>755</v>
      </c>
      <c r="D5767" s="69" t="s">
        <v>29417</v>
      </c>
      <c r="E5767" s="51"/>
      <c r="F5767" s="114" t="str">
        <f>IF(INDEX(I.Facility.P2aIDNumber,755)="","",INDEX(I.Facility.P2aIDNumber,755))</f>
        <v/>
      </c>
      <c r="G5767" s="51"/>
      <c r="H5767" s="46" t="str">
        <f>IF(AND(I.Developer.P2a=TRUE,I.Facility.P2aFacilityCount&gt;=755,F5767=""),"Incomplete","Complete")</f>
        <v>Complete</v>
      </c>
      <c r="I5767" s="48" t="s">
        <v>10132</v>
      </c>
    </row>
    <row r="5768" spans="2:9" ht="15" customHeight="1" x14ac:dyDescent="0.25">
      <c r="B5768" s="55" t="s">
        <v>280</v>
      </c>
      <c r="C5768" s="46">
        <v>756</v>
      </c>
      <c r="D5768" s="69" t="s">
        <v>29417</v>
      </c>
      <c r="E5768" s="51"/>
      <c r="F5768" s="114" t="str">
        <f>IF(INDEX(I.Facility.P2aIDNumber,756)="","",INDEX(I.Facility.P2aIDNumber,756))</f>
        <v/>
      </c>
      <c r="G5768" s="51"/>
      <c r="H5768" s="46" t="str">
        <f>IF(AND(I.Developer.P2a=TRUE,I.Facility.P2aFacilityCount&gt;=756,F5768=""),"Incomplete","Complete")</f>
        <v>Complete</v>
      </c>
      <c r="I5768" s="48" t="s">
        <v>10133</v>
      </c>
    </row>
    <row r="5769" spans="2:9" ht="15" customHeight="1" x14ac:dyDescent="0.25">
      <c r="B5769" s="55" t="s">
        <v>280</v>
      </c>
      <c r="C5769" s="46">
        <v>757</v>
      </c>
      <c r="D5769" s="69" t="s">
        <v>29417</v>
      </c>
      <c r="E5769" s="51"/>
      <c r="F5769" s="114" t="str">
        <f>IF(INDEX(I.Facility.P2aIDNumber,757)="","",INDEX(I.Facility.P2aIDNumber,757))</f>
        <v/>
      </c>
      <c r="G5769" s="51"/>
      <c r="H5769" s="46" t="str">
        <f>IF(AND(I.Developer.P2a=TRUE,I.Facility.P2aFacilityCount&gt;=757,F5769=""),"Incomplete","Complete")</f>
        <v>Complete</v>
      </c>
      <c r="I5769" s="48" t="s">
        <v>10134</v>
      </c>
    </row>
    <row r="5770" spans="2:9" ht="15" customHeight="1" x14ac:dyDescent="0.25">
      <c r="B5770" s="55" t="s">
        <v>280</v>
      </c>
      <c r="C5770" s="46">
        <v>758</v>
      </c>
      <c r="D5770" s="69" t="s">
        <v>29417</v>
      </c>
      <c r="E5770" s="51"/>
      <c r="F5770" s="114" t="str">
        <f>IF(INDEX(I.Facility.P2aIDNumber,758)="","",INDEX(I.Facility.P2aIDNumber,758))</f>
        <v/>
      </c>
      <c r="G5770" s="51"/>
      <c r="H5770" s="46" t="str">
        <f>IF(AND(I.Developer.P2a=TRUE,I.Facility.P2aFacilityCount&gt;=758,F5770=""),"Incomplete","Complete")</f>
        <v>Complete</v>
      </c>
      <c r="I5770" s="48" t="s">
        <v>10135</v>
      </c>
    </row>
    <row r="5771" spans="2:9" ht="15" customHeight="1" x14ac:dyDescent="0.25">
      <c r="B5771" s="55" t="s">
        <v>280</v>
      </c>
      <c r="C5771" s="46">
        <v>759</v>
      </c>
      <c r="D5771" s="69" t="s">
        <v>29417</v>
      </c>
      <c r="E5771" s="51"/>
      <c r="F5771" s="114" t="str">
        <f>IF(INDEX(I.Facility.P2aIDNumber,759)="","",INDEX(I.Facility.P2aIDNumber,759))</f>
        <v/>
      </c>
      <c r="G5771" s="51"/>
      <c r="H5771" s="46" t="str">
        <f>IF(AND(I.Developer.P2a=TRUE,I.Facility.P2aFacilityCount&gt;=759,F5771=""),"Incomplete","Complete")</f>
        <v>Complete</v>
      </c>
      <c r="I5771" s="48" t="s">
        <v>10136</v>
      </c>
    </row>
    <row r="5772" spans="2:9" ht="15" customHeight="1" x14ac:dyDescent="0.25">
      <c r="B5772" s="55" t="s">
        <v>280</v>
      </c>
      <c r="C5772" s="46">
        <v>760</v>
      </c>
      <c r="D5772" s="69" t="s">
        <v>29417</v>
      </c>
      <c r="E5772" s="51"/>
      <c r="F5772" s="114" t="str">
        <f>IF(INDEX(I.Facility.P2aIDNumber,760)="","",INDEX(I.Facility.P2aIDNumber,760))</f>
        <v/>
      </c>
      <c r="G5772" s="51"/>
      <c r="H5772" s="46" t="str">
        <f>IF(AND(I.Developer.P2a=TRUE,I.Facility.P2aFacilityCount&gt;=760,F5772=""),"Incomplete","Complete")</f>
        <v>Complete</v>
      </c>
      <c r="I5772" s="48" t="s">
        <v>10137</v>
      </c>
    </row>
    <row r="5773" spans="2:9" ht="15" customHeight="1" x14ac:dyDescent="0.25">
      <c r="B5773" s="55" t="s">
        <v>280</v>
      </c>
      <c r="C5773" s="46">
        <v>761</v>
      </c>
      <c r="D5773" s="69" t="s">
        <v>29417</v>
      </c>
      <c r="E5773" s="51"/>
      <c r="F5773" s="114" t="str">
        <f>IF(INDEX(I.Facility.P2aIDNumber,761)="","",INDEX(I.Facility.P2aIDNumber,761))</f>
        <v/>
      </c>
      <c r="G5773" s="51"/>
      <c r="H5773" s="46" t="str">
        <f>IF(AND(I.Developer.P2a=TRUE,I.Facility.P2aFacilityCount&gt;=761,F5773=""),"Incomplete","Complete")</f>
        <v>Complete</v>
      </c>
      <c r="I5773" s="48" t="s">
        <v>10138</v>
      </c>
    </row>
    <row r="5774" spans="2:9" ht="15" customHeight="1" x14ac:dyDescent="0.25">
      <c r="B5774" s="55" t="s">
        <v>280</v>
      </c>
      <c r="C5774" s="46">
        <v>762</v>
      </c>
      <c r="D5774" s="69" t="s">
        <v>29417</v>
      </c>
      <c r="E5774" s="51"/>
      <c r="F5774" s="114" t="str">
        <f>IF(INDEX(I.Facility.P2aIDNumber,762)="","",INDEX(I.Facility.P2aIDNumber,762))</f>
        <v/>
      </c>
      <c r="G5774" s="51"/>
      <c r="H5774" s="46" t="str">
        <f>IF(AND(I.Developer.P2a=TRUE,I.Facility.P2aFacilityCount&gt;=762,F5774=""),"Incomplete","Complete")</f>
        <v>Complete</v>
      </c>
      <c r="I5774" s="48" t="s">
        <v>10139</v>
      </c>
    </row>
    <row r="5775" spans="2:9" ht="15" customHeight="1" x14ac:dyDescent="0.25">
      <c r="B5775" s="55" t="s">
        <v>280</v>
      </c>
      <c r="C5775" s="46">
        <v>763</v>
      </c>
      <c r="D5775" s="69" t="s">
        <v>29417</v>
      </c>
      <c r="E5775" s="51"/>
      <c r="F5775" s="114" t="str">
        <f>IF(INDEX(I.Facility.P2aIDNumber,763)="","",INDEX(I.Facility.P2aIDNumber,763))</f>
        <v/>
      </c>
      <c r="G5775" s="51"/>
      <c r="H5775" s="46" t="str">
        <f>IF(AND(I.Developer.P2a=TRUE,I.Facility.P2aFacilityCount&gt;=763,F5775=""),"Incomplete","Complete")</f>
        <v>Complete</v>
      </c>
      <c r="I5775" s="48" t="s">
        <v>10140</v>
      </c>
    </row>
    <row r="5776" spans="2:9" ht="15" customHeight="1" x14ac:dyDescent="0.25">
      <c r="B5776" s="55" t="s">
        <v>280</v>
      </c>
      <c r="C5776" s="46">
        <v>764</v>
      </c>
      <c r="D5776" s="69" t="s">
        <v>29417</v>
      </c>
      <c r="E5776" s="51"/>
      <c r="F5776" s="114" t="str">
        <f>IF(INDEX(I.Facility.P2aIDNumber,764)="","",INDEX(I.Facility.P2aIDNumber,764))</f>
        <v/>
      </c>
      <c r="G5776" s="51"/>
      <c r="H5776" s="46" t="str">
        <f>IF(AND(I.Developer.P2a=TRUE,I.Facility.P2aFacilityCount&gt;=764,F5776=""),"Incomplete","Complete")</f>
        <v>Complete</v>
      </c>
      <c r="I5776" s="48" t="s">
        <v>10141</v>
      </c>
    </row>
    <row r="5777" spans="2:9" ht="15" customHeight="1" x14ac:dyDescent="0.25">
      <c r="B5777" s="55" t="s">
        <v>280</v>
      </c>
      <c r="C5777" s="46">
        <v>765</v>
      </c>
      <c r="D5777" s="69" t="s">
        <v>29417</v>
      </c>
      <c r="E5777" s="51"/>
      <c r="F5777" s="114" t="str">
        <f>IF(INDEX(I.Facility.P2aIDNumber,765)="","",INDEX(I.Facility.P2aIDNumber,765))</f>
        <v/>
      </c>
      <c r="G5777" s="51"/>
      <c r="H5777" s="46" t="str">
        <f>IF(AND(I.Developer.P2a=TRUE,I.Facility.P2aFacilityCount&gt;=765,F5777=""),"Incomplete","Complete")</f>
        <v>Complete</v>
      </c>
      <c r="I5777" s="48" t="s">
        <v>10142</v>
      </c>
    </row>
    <row r="5778" spans="2:9" ht="15" customHeight="1" x14ac:dyDescent="0.25">
      <c r="B5778" s="55" t="s">
        <v>280</v>
      </c>
      <c r="C5778" s="46">
        <v>766</v>
      </c>
      <c r="D5778" s="69" t="s">
        <v>29417</v>
      </c>
      <c r="E5778" s="51"/>
      <c r="F5778" s="114" t="str">
        <f>IF(INDEX(I.Facility.P2aIDNumber,766)="","",INDEX(I.Facility.P2aIDNumber,766))</f>
        <v/>
      </c>
      <c r="G5778" s="51"/>
      <c r="H5778" s="46" t="str">
        <f>IF(AND(I.Developer.P2a=TRUE,I.Facility.P2aFacilityCount&gt;=766,F5778=""),"Incomplete","Complete")</f>
        <v>Complete</v>
      </c>
      <c r="I5778" s="48" t="s">
        <v>10143</v>
      </c>
    </row>
    <row r="5779" spans="2:9" ht="15" customHeight="1" x14ac:dyDescent="0.25">
      <c r="B5779" s="55" t="s">
        <v>280</v>
      </c>
      <c r="C5779" s="46">
        <v>767</v>
      </c>
      <c r="D5779" s="69" t="s">
        <v>29417</v>
      </c>
      <c r="E5779" s="51"/>
      <c r="F5779" s="114" t="str">
        <f>IF(INDEX(I.Facility.P2aIDNumber,767)="","",INDEX(I.Facility.P2aIDNumber,767))</f>
        <v/>
      </c>
      <c r="G5779" s="51"/>
      <c r="H5779" s="46" t="str">
        <f>IF(AND(I.Developer.P2a=TRUE,I.Facility.P2aFacilityCount&gt;=767,F5779=""),"Incomplete","Complete")</f>
        <v>Complete</v>
      </c>
      <c r="I5779" s="48" t="s">
        <v>10144</v>
      </c>
    </row>
    <row r="5780" spans="2:9" ht="15" customHeight="1" x14ac:dyDescent="0.25">
      <c r="B5780" s="55" t="s">
        <v>280</v>
      </c>
      <c r="C5780" s="46">
        <v>768</v>
      </c>
      <c r="D5780" s="69" t="s">
        <v>29417</v>
      </c>
      <c r="E5780" s="51"/>
      <c r="F5780" s="114" t="str">
        <f>IF(INDEX(I.Facility.P2aIDNumber,768)="","",INDEX(I.Facility.P2aIDNumber,768))</f>
        <v/>
      </c>
      <c r="G5780" s="51"/>
      <c r="H5780" s="46" t="str">
        <f>IF(AND(I.Developer.P2a=TRUE,I.Facility.P2aFacilityCount&gt;=768,F5780=""),"Incomplete","Complete")</f>
        <v>Complete</v>
      </c>
      <c r="I5780" s="48" t="s">
        <v>10145</v>
      </c>
    </row>
    <row r="5781" spans="2:9" ht="15" customHeight="1" x14ac:dyDescent="0.25">
      <c r="B5781" s="55" t="s">
        <v>280</v>
      </c>
      <c r="C5781" s="46">
        <v>769</v>
      </c>
      <c r="D5781" s="69" t="s">
        <v>29417</v>
      </c>
      <c r="E5781" s="51"/>
      <c r="F5781" s="114" t="str">
        <f>IF(INDEX(I.Facility.P2aIDNumber,769)="","",INDEX(I.Facility.P2aIDNumber,769))</f>
        <v/>
      </c>
      <c r="G5781" s="51"/>
      <c r="H5781" s="46" t="str">
        <f>IF(AND(I.Developer.P2a=TRUE,I.Facility.P2aFacilityCount&gt;=769,F5781=""),"Incomplete","Complete")</f>
        <v>Complete</v>
      </c>
      <c r="I5781" s="48" t="s">
        <v>10146</v>
      </c>
    </row>
    <row r="5782" spans="2:9" ht="15" customHeight="1" x14ac:dyDescent="0.25">
      <c r="B5782" s="55" t="s">
        <v>280</v>
      </c>
      <c r="C5782" s="46">
        <v>770</v>
      </c>
      <c r="D5782" s="69" t="s">
        <v>29417</v>
      </c>
      <c r="E5782" s="51"/>
      <c r="F5782" s="114" t="str">
        <f>IF(INDEX(I.Facility.P2aIDNumber,770)="","",INDEX(I.Facility.P2aIDNumber,770))</f>
        <v/>
      </c>
      <c r="G5782" s="51"/>
      <c r="H5782" s="46" t="str">
        <f>IF(AND(I.Developer.P2a=TRUE,I.Facility.P2aFacilityCount&gt;=770,F5782=""),"Incomplete","Complete")</f>
        <v>Complete</v>
      </c>
      <c r="I5782" s="48" t="s">
        <v>10147</v>
      </c>
    </row>
    <row r="5783" spans="2:9" ht="15" customHeight="1" x14ac:dyDescent="0.25">
      <c r="B5783" s="55" t="s">
        <v>280</v>
      </c>
      <c r="C5783" s="46">
        <v>771</v>
      </c>
      <c r="D5783" s="69" t="s">
        <v>29417</v>
      </c>
      <c r="E5783" s="51"/>
      <c r="F5783" s="114" t="str">
        <f>IF(INDEX(I.Facility.P2aIDNumber,771)="","",INDEX(I.Facility.P2aIDNumber,771))</f>
        <v/>
      </c>
      <c r="G5783" s="51"/>
      <c r="H5783" s="46" t="str">
        <f>IF(AND(I.Developer.P2a=TRUE,I.Facility.P2aFacilityCount&gt;=771,F5783=""),"Incomplete","Complete")</f>
        <v>Complete</v>
      </c>
      <c r="I5783" s="48" t="s">
        <v>10148</v>
      </c>
    </row>
    <row r="5784" spans="2:9" ht="15" customHeight="1" x14ac:dyDescent="0.25">
      <c r="B5784" s="55" t="s">
        <v>280</v>
      </c>
      <c r="C5784" s="46">
        <v>772</v>
      </c>
      <c r="D5784" s="69" t="s">
        <v>29417</v>
      </c>
      <c r="E5784" s="51"/>
      <c r="F5784" s="114" t="str">
        <f>IF(INDEX(I.Facility.P2aIDNumber,772)="","",INDEX(I.Facility.P2aIDNumber,772))</f>
        <v/>
      </c>
      <c r="G5784" s="51"/>
      <c r="H5784" s="46" t="str">
        <f>IF(AND(I.Developer.P2a=TRUE,I.Facility.P2aFacilityCount&gt;=772,F5784=""),"Incomplete","Complete")</f>
        <v>Complete</v>
      </c>
      <c r="I5784" s="48" t="s">
        <v>10149</v>
      </c>
    </row>
    <row r="5785" spans="2:9" ht="15" customHeight="1" x14ac:dyDescent="0.25">
      <c r="B5785" s="55" t="s">
        <v>280</v>
      </c>
      <c r="C5785" s="46">
        <v>773</v>
      </c>
      <c r="D5785" s="69" t="s">
        <v>29417</v>
      </c>
      <c r="E5785" s="51"/>
      <c r="F5785" s="114" t="str">
        <f>IF(INDEX(I.Facility.P2aIDNumber,773)="","",INDEX(I.Facility.P2aIDNumber,773))</f>
        <v/>
      </c>
      <c r="G5785" s="51"/>
      <c r="H5785" s="46" t="str">
        <f>IF(AND(I.Developer.P2a=TRUE,I.Facility.P2aFacilityCount&gt;=773,F5785=""),"Incomplete","Complete")</f>
        <v>Complete</v>
      </c>
      <c r="I5785" s="48" t="s">
        <v>10150</v>
      </c>
    </row>
    <row r="5786" spans="2:9" ht="15" customHeight="1" x14ac:dyDescent="0.25">
      <c r="B5786" s="55" t="s">
        <v>280</v>
      </c>
      <c r="C5786" s="46">
        <v>774</v>
      </c>
      <c r="D5786" s="69" t="s">
        <v>29417</v>
      </c>
      <c r="E5786" s="51"/>
      <c r="F5786" s="114" t="str">
        <f>IF(INDEX(I.Facility.P2aIDNumber,774)="","",INDEX(I.Facility.P2aIDNumber,774))</f>
        <v/>
      </c>
      <c r="G5786" s="51"/>
      <c r="H5786" s="46" t="str">
        <f>IF(AND(I.Developer.P2a=TRUE,I.Facility.P2aFacilityCount&gt;=774,F5786=""),"Incomplete","Complete")</f>
        <v>Complete</v>
      </c>
      <c r="I5786" s="48" t="s">
        <v>10151</v>
      </c>
    </row>
    <row r="5787" spans="2:9" ht="15" customHeight="1" x14ac:dyDescent="0.25">
      <c r="B5787" s="55" t="s">
        <v>280</v>
      </c>
      <c r="C5787" s="46">
        <v>775</v>
      </c>
      <c r="D5787" s="69" t="s">
        <v>29417</v>
      </c>
      <c r="E5787" s="51"/>
      <c r="F5787" s="114" t="str">
        <f>IF(INDEX(I.Facility.P2aIDNumber,775)="","",INDEX(I.Facility.P2aIDNumber,775))</f>
        <v/>
      </c>
      <c r="G5787" s="51"/>
      <c r="H5787" s="46" t="str">
        <f>IF(AND(I.Developer.P2a=TRUE,I.Facility.P2aFacilityCount&gt;=775,F5787=""),"Incomplete","Complete")</f>
        <v>Complete</v>
      </c>
      <c r="I5787" s="48" t="s">
        <v>10152</v>
      </c>
    </row>
    <row r="5788" spans="2:9" ht="15" customHeight="1" x14ac:dyDescent="0.25">
      <c r="B5788" s="55" t="s">
        <v>280</v>
      </c>
      <c r="C5788" s="46">
        <v>776</v>
      </c>
      <c r="D5788" s="69" t="s">
        <v>29417</v>
      </c>
      <c r="E5788" s="51"/>
      <c r="F5788" s="114" t="str">
        <f>IF(INDEX(I.Facility.P2aIDNumber,776)="","",INDEX(I.Facility.P2aIDNumber,776))</f>
        <v/>
      </c>
      <c r="G5788" s="51"/>
      <c r="H5788" s="46" t="str">
        <f>IF(AND(I.Developer.P2a=TRUE,I.Facility.P2aFacilityCount&gt;=776,F5788=""),"Incomplete","Complete")</f>
        <v>Complete</v>
      </c>
      <c r="I5788" s="48" t="s">
        <v>10153</v>
      </c>
    </row>
    <row r="5789" spans="2:9" ht="15" customHeight="1" x14ac:dyDescent="0.25">
      <c r="B5789" s="55" t="s">
        <v>280</v>
      </c>
      <c r="C5789" s="46">
        <v>777</v>
      </c>
      <c r="D5789" s="69" t="s">
        <v>29417</v>
      </c>
      <c r="E5789" s="51"/>
      <c r="F5789" s="114" t="str">
        <f>IF(INDEX(I.Facility.P2aIDNumber,777)="","",INDEX(I.Facility.P2aIDNumber,777))</f>
        <v/>
      </c>
      <c r="G5789" s="51"/>
      <c r="H5789" s="46" t="str">
        <f>IF(AND(I.Developer.P2a=TRUE,I.Facility.P2aFacilityCount&gt;=777,F5789=""),"Incomplete","Complete")</f>
        <v>Complete</v>
      </c>
      <c r="I5789" s="48" t="s">
        <v>10154</v>
      </c>
    </row>
    <row r="5790" spans="2:9" ht="15" customHeight="1" x14ac:dyDescent="0.25">
      <c r="B5790" s="55" t="s">
        <v>280</v>
      </c>
      <c r="C5790" s="46">
        <v>778</v>
      </c>
      <c r="D5790" s="69" t="s">
        <v>29417</v>
      </c>
      <c r="E5790" s="51"/>
      <c r="F5790" s="114" t="str">
        <f>IF(INDEX(I.Facility.P2aIDNumber,778)="","",INDEX(I.Facility.P2aIDNumber,778))</f>
        <v/>
      </c>
      <c r="G5790" s="51"/>
      <c r="H5790" s="46" t="str">
        <f>IF(AND(I.Developer.P2a=TRUE,I.Facility.P2aFacilityCount&gt;=778,F5790=""),"Incomplete","Complete")</f>
        <v>Complete</v>
      </c>
      <c r="I5790" s="48" t="s">
        <v>10155</v>
      </c>
    </row>
    <row r="5791" spans="2:9" ht="15" customHeight="1" x14ac:dyDescent="0.25">
      <c r="B5791" s="55" t="s">
        <v>280</v>
      </c>
      <c r="C5791" s="46">
        <v>779</v>
      </c>
      <c r="D5791" s="69" t="s">
        <v>29417</v>
      </c>
      <c r="E5791" s="51"/>
      <c r="F5791" s="114" t="str">
        <f>IF(INDEX(I.Facility.P2aIDNumber,779)="","",INDEX(I.Facility.P2aIDNumber,779))</f>
        <v/>
      </c>
      <c r="G5791" s="51"/>
      <c r="H5791" s="46" t="str">
        <f>IF(AND(I.Developer.P2a=TRUE,I.Facility.P2aFacilityCount&gt;=779,F5791=""),"Incomplete","Complete")</f>
        <v>Complete</v>
      </c>
      <c r="I5791" s="48" t="s">
        <v>10156</v>
      </c>
    </row>
    <row r="5792" spans="2:9" ht="15" customHeight="1" x14ac:dyDescent="0.25">
      <c r="B5792" s="55" t="s">
        <v>280</v>
      </c>
      <c r="C5792" s="46">
        <v>780</v>
      </c>
      <c r="D5792" s="69" t="s">
        <v>29417</v>
      </c>
      <c r="E5792" s="51"/>
      <c r="F5792" s="114" t="str">
        <f>IF(INDEX(I.Facility.P2aIDNumber,780)="","",INDEX(I.Facility.P2aIDNumber,780))</f>
        <v/>
      </c>
      <c r="G5792" s="51"/>
      <c r="H5792" s="46" t="str">
        <f>IF(AND(I.Developer.P2a=TRUE,I.Facility.P2aFacilityCount&gt;=780,F5792=""),"Incomplete","Complete")</f>
        <v>Complete</v>
      </c>
      <c r="I5792" s="48" t="s">
        <v>10157</v>
      </c>
    </row>
    <row r="5793" spans="2:9" ht="15" customHeight="1" x14ac:dyDescent="0.25">
      <c r="B5793" s="55" t="s">
        <v>280</v>
      </c>
      <c r="C5793" s="46">
        <v>781</v>
      </c>
      <c r="D5793" s="69" t="s">
        <v>29417</v>
      </c>
      <c r="E5793" s="51"/>
      <c r="F5793" s="114" t="str">
        <f>IF(INDEX(I.Facility.P2aIDNumber,781)="","",INDEX(I.Facility.P2aIDNumber,781))</f>
        <v/>
      </c>
      <c r="G5793" s="51"/>
      <c r="H5793" s="46" t="str">
        <f>IF(AND(I.Developer.P2a=TRUE,I.Facility.P2aFacilityCount&gt;=781,F5793=""),"Incomplete","Complete")</f>
        <v>Complete</v>
      </c>
      <c r="I5793" s="48" t="s">
        <v>10158</v>
      </c>
    </row>
    <row r="5794" spans="2:9" ht="15" customHeight="1" x14ac:dyDescent="0.25">
      <c r="B5794" s="55" t="s">
        <v>280</v>
      </c>
      <c r="C5794" s="46">
        <v>782</v>
      </c>
      <c r="D5794" s="69" t="s">
        <v>29417</v>
      </c>
      <c r="E5794" s="51"/>
      <c r="F5794" s="114" t="str">
        <f>IF(INDEX(I.Facility.P2aIDNumber,782)="","",INDEX(I.Facility.P2aIDNumber,782))</f>
        <v/>
      </c>
      <c r="G5794" s="51"/>
      <c r="H5794" s="46" t="str">
        <f>IF(AND(I.Developer.P2a=TRUE,I.Facility.P2aFacilityCount&gt;=782,F5794=""),"Incomplete","Complete")</f>
        <v>Complete</v>
      </c>
      <c r="I5794" s="48" t="s">
        <v>10159</v>
      </c>
    </row>
    <row r="5795" spans="2:9" ht="15" customHeight="1" x14ac:dyDescent="0.25">
      <c r="B5795" s="55" t="s">
        <v>280</v>
      </c>
      <c r="C5795" s="46">
        <v>783</v>
      </c>
      <c r="D5795" s="69" t="s">
        <v>29417</v>
      </c>
      <c r="E5795" s="51"/>
      <c r="F5795" s="114" t="str">
        <f>IF(INDEX(I.Facility.P2aIDNumber,783)="","",INDEX(I.Facility.P2aIDNumber,783))</f>
        <v/>
      </c>
      <c r="G5795" s="51"/>
      <c r="H5795" s="46" t="str">
        <f>IF(AND(I.Developer.P2a=TRUE,I.Facility.P2aFacilityCount&gt;=783,F5795=""),"Incomplete","Complete")</f>
        <v>Complete</v>
      </c>
      <c r="I5795" s="48" t="s">
        <v>10160</v>
      </c>
    </row>
    <row r="5796" spans="2:9" ht="15" customHeight="1" x14ac:dyDescent="0.25">
      <c r="B5796" s="55" t="s">
        <v>280</v>
      </c>
      <c r="C5796" s="46">
        <v>784</v>
      </c>
      <c r="D5796" s="69" t="s">
        <v>29417</v>
      </c>
      <c r="E5796" s="51"/>
      <c r="F5796" s="114" t="str">
        <f>IF(INDEX(I.Facility.P2aIDNumber,784)="","",INDEX(I.Facility.P2aIDNumber,784))</f>
        <v/>
      </c>
      <c r="G5796" s="51"/>
      <c r="H5796" s="46" t="str">
        <f>IF(AND(I.Developer.P2a=TRUE,I.Facility.P2aFacilityCount&gt;=784,F5796=""),"Incomplete","Complete")</f>
        <v>Complete</v>
      </c>
      <c r="I5796" s="48" t="s">
        <v>10161</v>
      </c>
    </row>
    <row r="5797" spans="2:9" ht="15" customHeight="1" x14ac:dyDescent="0.25">
      <c r="B5797" s="55" t="s">
        <v>280</v>
      </c>
      <c r="C5797" s="46">
        <v>785</v>
      </c>
      <c r="D5797" s="69" t="s">
        <v>29417</v>
      </c>
      <c r="E5797" s="51"/>
      <c r="F5797" s="114" t="str">
        <f>IF(INDEX(I.Facility.P2aIDNumber,785)="","",INDEX(I.Facility.P2aIDNumber,785))</f>
        <v/>
      </c>
      <c r="G5797" s="51"/>
      <c r="H5797" s="46" t="str">
        <f>IF(AND(I.Developer.P2a=TRUE,I.Facility.P2aFacilityCount&gt;=785,F5797=""),"Incomplete","Complete")</f>
        <v>Complete</v>
      </c>
      <c r="I5797" s="48" t="s">
        <v>10162</v>
      </c>
    </row>
    <row r="5798" spans="2:9" ht="15" customHeight="1" x14ac:dyDescent="0.25">
      <c r="B5798" s="55" t="s">
        <v>280</v>
      </c>
      <c r="C5798" s="46">
        <v>786</v>
      </c>
      <c r="D5798" s="69" t="s">
        <v>29417</v>
      </c>
      <c r="E5798" s="51"/>
      <c r="F5798" s="114" t="str">
        <f>IF(INDEX(I.Facility.P2aIDNumber,786)="","",INDEX(I.Facility.P2aIDNumber,786))</f>
        <v/>
      </c>
      <c r="G5798" s="51"/>
      <c r="H5798" s="46" t="str">
        <f>IF(AND(I.Developer.P2a=TRUE,I.Facility.P2aFacilityCount&gt;=786,F5798=""),"Incomplete","Complete")</f>
        <v>Complete</v>
      </c>
      <c r="I5798" s="48" t="s">
        <v>10163</v>
      </c>
    </row>
    <row r="5799" spans="2:9" ht="15" customHeight="1" x14ac:dyDescent="0.25">
      <c r="B5799" s="55" t="s">
        <v>280</v>
      </c>
      <c r="C5799" s="46">
        <v>787</v>
      </c>
      <c r="D5799" s="69" t="s">
        <v>29417</v>
      </c>
      <c r="E5799" s="51"/>
      <c r="F5799" s="114" t="str">
        <f>IF(INDEX(I.Facility.P2aIDNumber,787)="","",INDEX(I.Facility.P2aIDNumber,787))</f>
        <v/>
      </c>
      <c r="G5799" s="51"/>
      <c r="H5799" s="46" t="str">
        <f>IF(AND(I.Developer.P2a=TRUE,I.Facility.P2aFacilityCount&gt;=787,F5799=""),"Incomplete","Complete")</f>
        <v>Complete</v>
      </c>
      <c r="I5799" s="48" t="s">
        <v>10164</v>
      </c>
    </row>
    <row r="5800" spans="2:9" ht="15" customHeight="1" x14ac:dyDescent="0.25">
      <c r="B5800" s="55" t="s">
        <v>280</v>
      </c>
      <c r="C5800" s="46">
        <v>788</v>
      </c>
      <c r="D5800" s="69" t="s">
        <v>29417</v>
      </c>
      <c r="E5800" s="51"/>
      <c r="F5800" s="114" t="str">
        <f>IF(INDEX(I.Facility.P2aIDNumber,788)="","",INDEX(I.Facility.P2aIDNumber,788))</f>
        <v/>
      </c>
      <c r="G5800" s="51"/>
      <c r="H5800" s="46" t="str">
        <f>IF(AND(I.Developer.P2a=TRUE,I.Facility.P2aFacilityCount&gt;=788,F5800=""),"Incomplete","Complete")</f>
        <v>Complete</v>
      </c>
      <c r="I5800" s="48" t="s">
        <v>10165</v>
      </c>
    </row>
    <row r="5801" spans="2:9" ht="15" customHeight="1" x14ac:dyDescent="0.25">
      <c r="B5801" s="55" t="s">
        <v>280</v>
      </c>
      <c r="C5801" s="46">
        <v>789</v>
      </c>
      <c r="D5801" s="69" t="s">
        <v>29417</v>
      </c>
      <c r="E5801" s="51"/>
      <c r="F5801" s="114" t="str">
        <f>IF(INDEX(I.Facility.P2aIDNumber,789)="","",INDEX(I.Facility.P2aIDNumber,789))</f>
        <v/>
      </c>
      <c r="G5801" s="51"/>
      <c r="H5801" s="46" t="str">
        <f>IF(AND(I.Developer.P2a=TRUE,I.Facility.P2aFacilityCount&gt;=789,F5801=""),"Incomplete","Complete")</f>
        <v>Complete</v>
      </c>
      <c r="I5801" s="48" t="s">
        <v>10166</v>
      </c>
    </row>
    <row r="5802" spans="2:9" ht="15" customHeight="1" x14ac:dyDescent="0.25">
      <c r="B5802" s="55" t="s">
        <v>280</v>
      </c>
      <c r="C5802" s="46">
        <v>790</v>
      </c>
      <c r="D5802" s="69" t="s">
        <v>29417</v>
      </c>
      <c r="E5802" s="51"/>
      <c r="F5802" s="114" t="str">
        <f>IF(INDEX(I.Facility.P2aIDNumber,790)="","",INDEX(I.Facility.P2aIDNumber,790))</f>
        <v/>
      </c>
      <c r="G5802" s="51"/>
      <c r="H5802" s="46" t="str">
        <f>IF(AND(I.Developer.P2a=TRUE,I.Facility.P2aFacilityCount&gt;=790,F5802=""),"Incomplete","Complete")</f>
        <v>Complete</v>
      </c>
      <c r="I5802" s="48" t="s">
        <v>10167</v>
      </c>
    </row>
    <row r="5803" spans="2:9" ht="15" customHeight="1" x14ac:dyDescent="0.25">
      <c r="B5803" s="55" t="s">
        <v>280</v>
      </c>
      <c r="C5803" s="46">
        <v>791</v>
      </c>
      <c r="D5803" s="69" t="s">
        <v>29417</v>
      </c>
      <c r="E5803" s="51"/>
      <c r="F5803" s="114" t="str">
        <f>IF(INDEX(I.Facility.P2aIDNumber,791)="","",INDEX(I.Facility.P2aIDNumber,791))</f>
        <v/>
      </c>
      <c r="G5803" s="51"/>
      <c r="H5803" s="46" t="str">
        <f>IF(AND(I.Developer.P2a=TRUE,I.Facility.P2aFacilityCount&gt;=791,F5803=""),"Incomplete","Complete")</f>
        <v>Complete</v>
      </c>
      <c r="I5803" s="48" t="s">
        <v>10168</v>
      </c>
    </row>
    <row r="5804" spans="2:9" ht="15" customHeight="1" x14ac:dyDescent="0.25">
      <c r="B5804" s="55" t="s">
        <v>280</v>
      </c>
      <c r="C5804" s="46">
        <v>792</v>
      </c>
      <c r="D5804" s="69" t="s">
        <v>29417</v>
      </c>
      <c r="E5804" s="51"/>
      <c r="F5804" s="114" t="str">
        <f>IF(INDEX(I.Facility.P2aIDNumber,792)="","",INDEX(I.Facility.P2aIDNumber,792))</f>
        <v/>
      </c>
      <c r="G5804" s="51"/>
      <c r="H5804" s="46" t="str">
        <f>IF(AND(I.Developer.P2a=TRUE,I.Facility.P2aFacilityCount&gt;=792,F5804=""),"Incomplete","Complete")</f>
        <v>Complete</v>
      </c>
      <c r="I5804" s="48" t="s">
        <v>10169</v>
      </c>
    </row>
    <row r="5805" spans="2:9" ht="15" customHeight="1" x14ac:dyDescent="0.25">
      <c r="B5805" s="55" t="s">
        <v>280</v>
      </c>
      <c r="C5805" s="46">
        <v>793</v>
      </c>
      <c r="D5805" s="69" t="s">
        <v>29417</v>
      </c>
      <c r="E5805" s="51"/>
      <c r="F5805" s="114" t="str">
        <f>IF(INDEX(I.Facility.P2aIDNumber,793)="","",INDEX(I.Facility.P2aIDNumber,793))</f>
        <v/>
      </c>
      <c r="G5805" s="51"/>
      <c r="H5805" s="46" t="str">
        <f>IF(AND(I.Developer.P2a=TRUE,I.Facility.P2aFacilityCount&gt;=793,F5805=""),"Incomplete","Complete")</f>
        <v>Complete</v>
      </c>
      <c r="I5805" s="48" t="s">
        <v>10170</v>
      </c>
    </row>
    <row r="5806" spans="2:9" ht="15" customHeight="1" x14ac:dyDescent="0.25">
      <c r="B5806" s="55" t="s">
        <v>280</v>
      </c>
      <c r="C5806" s="46">
        <v>794</v>
      </c>
      <c r="D5806" s="69" t="s">
        <v>29417</v>
      </c>
      <c r="E5806" s="51"/>
      <c r="F5806" s="114" t="str">
        <f>IF(INDEX(I.Facility.P2aIDNumber,794)="","",INDEX(I.Facility.P2aIDNumber,794))</f>
        <v/>
      </c>
      <c r="G5806" s="51"/>
      <c r="H5806" s="46" t="str">
        <f>IF(AND(I.Developer.P2a=TRUE,I.Facility.P2aFacilityCount&gt;=794,F5806=""),"Incomplete","Complete")</f>
        <v>Complete</v>
      </c>
      <c r="I5806" s="48" t="s">
        <v>10171</v>
      </c>
    </row>
    <row r="5807" spans="2:9" ht="15" customHeight="1" x14ac:dyDescent="0.25">
      <c r="B5807" s="55" t="s">
        <v>280</v>
      </c>
      <c r="C5807" s="46">
        <v>795</v>
      </c>
      <c r="D5807" s="69" t="s">
        <v>29417</v>
      </c>
      <c r="E5807" s="51"/>
      <c r="F5807" s="114" t="str">
        <f>IF(INDEX(I.Facility.P2aIDNumber,795)="","",INDEX(I.Facility.P2aIDNumber,795))</f>
        <v/>
      </c>
      <c r="G5807" s="51"/>
      <c r="H5807" s="46" t="str">
        <f>IF(AND(I.Developer.P2a=TRUE,I.Facility.P2aFacilityCount&gt;=795,F5807=""),"Incomplete","Complete")</f>
        <v>Complete</v>
      </c>
      <c r="I5807" s="48" t="s">
        <v>10172</v>
      </c>
    </row>
    <row r="5808" spans="2:9" ht="15" customHeight="1" x14ac:dyDescent="0.25">
      <c r="B5808" s="55" t="s">
        <v>280</v>
      </c>
      <c r="C5808" s="46">
        <v>796</v>
      </c>
      <c r="D5808" s="69" t="s">
        <v>29417</v>
      </c>
      <c r="E5808" s="51"/>
      <c r="F5808" s="114" t="str">
        <f>IF(INDEX(I.Facility.P2aIDNumber,796)="","",INDEX(I.Facility.P2aIDNumber,796))</f>
        <v/>
      </c>
      <c r="G5808" s="51"/>
      <c r="H5808" s="46" t="str">
        <f>IF(AND(I.Developer.P2a=TRUE,I.Facility.P2aFacilityCount&gt;=796,F5808=""),"Incomplete","Complete")</f>
        <v>Complete</v>
      </c>
      <c r="I5808" s="48" t="s">
        <v>10173</v>
      </c>
    </row>
    <row r="5809" spans="2:9" ht="15" customHeight="1" x14ac:dyDescent="0.25">
      <c r="B5809" s="55" t="s">
        <v>280</v>
      </c>
      <c r="C5809" s="46">
        <v>797</v>
      </c>
      <c r="D5809" s="69" t="s">
        <v>29417</v>
      </c>
      <c r="E5809" s="51"/>
      <c r="F5809" s="114" t="str">
        <f>IF(INDEX(I.Facility.P2aIDNumber,797)="","",INDEX(I.Facility.P2aIDNumber,797))</f>
        <v/>
      </c>
      <c r="G5809" s="51"/>
      <c r="H5809" s="46" t="str">
        <f>IF(AND(I.Developer.P2a=TRUE,I.Facility.P2aFacilityCount&gt;=797,F5809=""),"Incomplete","Complete")</f>
        <v>Complete</v>
      </c>
      <c r="I5809" s="48" t="s">
        <v>10174</v>
      </c>
    </row>
    <row r="5810" spans="2:9" ht="15" customHeight="1" x14ac:dyDescent="0.25">
      <c r="B5810" s="55" t="s">
        <v>280</v>
      </c>
      <c r="C5810" s="46">
        <v>798</v>
      </c>
      <c r="D5810" s="69" t="s">
        <v>29417</v>
      </c>
      <c r="E5810" s="51"/>
      <c r="F5810" s="114" t="str">
        <f>IF(INDEX(I.Facility.P2aIDNumber,798)="","",INDEX(I.Facility.P2aIDNumber,798))</f>
        <v/>
      </c>
      <c r="G5810" s="51"/>
      <c r="H5810" s="46" t="str">
        <f>IF(AND(I.Developer.P2a=TRUE,I.Facility.P2aFacilityCount&gt;=798,F5810=""),"Incomplete","Complete")</f>
        <v>Complete</v>
      </c>
      <c r="I5810" s="48" t="s">
        <v>10175</v>
      </c>
    </row>
    <row r="5811" spans="2:9" ht="15" customHeight="1" x14ac:dyDescent="0.25">
      <c r="B5811" s="55" t="s">
        <v>280</v>
      </c>
      <c r="C5811" s="46">
        <v>799</v>
      </c>
      <c r="D5811" s="69" t="s">
        <v>29417</v>
      </c>
      <c r="E5811" s="51"/>
      <c r="F5811" s="114" t="str">
        <f>IF(INDEX(I.Facility.P2aIDNumber,799)="","",INDEX(I.Facility.P2aIDNumber,799))</f>
        <v/>
      </c>
      <c r="G5811" s="51"/>
      <c r="H5811" s="46" t="str">
        <f>IF(AND(I.Developer.P2a=TRUE,I.Facility.P2aFacilityCount&gt;=799,F5811=""),"Incomplete","Complete")</f>
        <v>Complete</v>
      </c>
      <c r="I5811" s="48" t="s">
        <v>10176</v>
      </c>
    </row>
    <row r="5812" spans="2:9" ht="15" customHeight="1" x14ac:dyDescent="0.25">
      <c r="B5812" s="55" t="s">
        <v>280</v>
      </c>
      <c r="C5812" s="46">
        <v>800</v>
      </c>
      <c r="D5812" s="69" t="s">
        <v>29417</v>
      </c>
      <c r="E5812" s="51"/>
      <c r="F5812" s="114" t="str">
        <f>IF(INDEX(I.Facility.P2aIDNumber,800)="","",INDEX(I.Facility.P2aIDNumber,800))</f>
        <v/>
      </c>
      <c r="G5812" s="51"/>
      <c r="H5812" s="46" t="str">
        <f>IF(AND(I.Developer.P2a=TRUE,I.Facility.P2aFacilityCount&gt;=800,F5812=""),"Incomplete","Complete")</f>
        <v>Complete</v>
      </c>
      <c r="I5812" s="48" t="s">
        <v>10177</v>
      </c>
    </row>
    <row r="5813" spans="2:9" ht="15" customHeight="1" x14ac:dyDescent="0.25">
      <c r="B5813" s="55" t="s">
        <v>280</v>
      </c>
      <c r="C5813" s="46">
        <v>801</v>
      </c>
      <c r="D5813" s="69" t="s">
        <v>29417</v>
      </c>
      <c r="E5813" s="51"/>
      <c r="F5813" s="114" t="str">
        <f>IF(INDEX(I.Facility.P2aIDNumber,801)="","",INDEX(I.Facility.P2aIDNumber,801))</f>
        <v/>
      </c>
      <c r="G5813" s="51"/>
      <c r="H5813" s="46" t="str">
        <f>IF(AND(I.Developer.P2a=TRUE,I.Facility.P2aFacilityCount&gt;=801,F5813=""),"Incomplete","Complete")</f>
        <v>Complete</v>
      </c>
      <c r="I5813" s="48" t="s">
        <v>10178</v>
      </c>
    </row>
    <row r="5814" spans="2:9" ht="15" customHeight="1" x14ac:dyDescent="0.25">
      <c r="B5814" s="55" t="s">
        <v>280</v>
      </c>
      <c r="C5814" s="46">
        <v>802</v>
      </c>
      <c r="D5814" s="69" t="s">
        <v>29417</v>
      </c>
      <c r="E5814" s="51"/>
      <c r="F5814" s="114" t="str">
        <f>IF(INDEX(I.Facility.P2aIDNumber,802)="","",INDEX(I.Facility.P2aIDNumber,802))</f>
        <v/>
      </c>
      <c r="G5814" s="51"/>
      <c r="H5814" s="46" t="str">
        <f>IF(AND(I.Developer.P2a=TRUE,I.Facility.P2aFacilityCount&gt;=802,F5814=""),"Incomplete","Complete")</f>
        <v>Complete</v>
      </c>
      <c r="I5814" s="48" t="s">
        <v>10179</v>
      </c>
    </row>
    <row r="5815" spans="2:9" ht="15" customHeight="1" x14ac:dyDescent="0.25">
      <c r="B5815" s="55" t="s">
        <v>280</v>
      </c>
      <c r="C5815" s="46">
        <v>803</v>
      </c>
      <c r="D5815" s="69" t="s">
        <v>29417</v>
      </c>
      <c r="E5815" s="51"/>
      <c r="F5815" s="114" t="str">
        <f>IF(INDEX(I.Facility.P2aIDNumber,803)="","",INDEX(I.Facility.P2aIDNumber,803))</f>
        <v/>
      </c>
      <c r="G5815" s="51"/>
      <c r="H5815" s="46" t="str">
        <f>IF(AND(I.Developer.P2a=TRUE,I.Facility.P2aFacilityCount&gt;=803,F5815=""),"Incomplete","Complete")</f>
        <v>Complete</v>
      </c>
      <c r="I5815" s="48" t="s">
        <v>10180</v>
      </c>
    </row>
    <row r="5816" spans="2:9" ht="15" customHeight="1" x14ac:dyDescent="0.25">
      <c r="B5816" s="55" t="s">
        <v>280</v>
      </c>
      <c r="C5816" s="46">
        <v>804</v>
      </c>
      <c r="D5816" s="69" t="s">
        <v>29417</v>
      </c>
      <c r="E5816" s="51"/>
      <c r="F5816" s="114" t="str">
        <f>IF(INDEX(I.Facility.P2aIDNumber,804)="","",INDEX(I.Facility.P2aIDNumber,804))</f>
        <v/>
      </c>
      <c r="G5816" s="51"/>
      <c r="H5816" s="46" t="str">
        <f>IF(AND(I.Developer.P2a=TRUE,I.Facility.P2aFacilityCount&gt;=804,F5816=""),"Incomplete","Complete")</f>
        <v>Complete</v>
      </c>
      <c r="I5816" s="48" t="s">
        <v>10181</v>
      </c>
    </row>
    <row r="5817" spans="2:9" ht="15" customHeight="1" x14ac:dyDescent="0.25">
      <c r="B5817" s="55" t="s">
        <v>280</v>
      </c>
      <c r="C5817" s="46">
        <v>805</v>
      </c>
      <c r="D5817" s="69" t="s">
        <v>29417</v>
      </c>
      <c r="E5817" s="51"/>
      <c r="F5817" s="114" t="str">
        <f>IF(INDEX(I.Facility.P2aIDNumber,805)="","",INDEX(I.Facility.P2aIDNumber,805))</f>
        <v/>
      </c>
      <c r="G5817" s="51"/>
      <c r="H5817" s="46" t="str">
        <f>IF(AND(I.Developer.P2a=TRUE,I.Facility.P2aFacilityCount&gt;=805,F5817=""),"Incomplete","Complete")</f>
        <v>Complete</v>
      </c>
      <c r="I5817" s="48" t="s">
        <v>10182</v>
      </c>
    </row>
    <row r="5818" spans="2:9" ht="15" customHeight="1" x14ac:dyDescent="0.25">
      <c r="B5818" s="55" t="s">
        <v>280</v>
      </c>
      <c r="C5818" s="46">
        <v>806</v>
      </c>
      <c r="D5818" s="69" t="s">
        <v>29417</v>
      </c>
      <c r="E5818" s="51"/>
      <c r="F5818" s="114" t="str">
        <f>IF(INDEX(I.Facility.P2aIDNumber,806)="","",INDEX(I.Facility.P2aIDNumber,806))</f>
        <v/>
      </c>
      <c r="G5818" s="51"/>
      <c r="H5818" s="46" t="str">
        <f>IF(AND(I.Developer.P2a=TRUE,I.Facility.P2aFacilityCount&gt;=806,F5818=""),"Incomplete","Complete")</f>
        <v>Complete</v>
      </c>
      <c r="I5818" s="48" t="s">
        <v>10183</v>
      </c>
    </row>
    <row r="5819" spans="2:9" ht="15" customHeight="1" x14ac:dyDescent="0.25">
      <c r="B5819" s="55" t="s">
        <v>280</v>
      </c>
      <c r="C5819" s="46">
        <v>807</v>
      </c>
      <c r="D5819" s="69" t="s">
        <v>29417</v>
      </c>
      <c r="E5819" s="51"/>
      <c r="F5819" s="114" t="str">
        <f>IF(INDEX(I.Facility.P2aIDNumber,807)="","",INDEX(I.Facility.P2aIDNumber,807))</f>
        <v/>
      </c>
      <c r="G5819" s="51"/>
      <c r="H5819" s="46" t="str">
        <f>IF(AND(I.Developer.P2a=TRUE,I.Facility.P2aFacilityCount&gt;=807,F5819=""),"Incomplete","Complete")</f>
        <v>Complete</v>
      </c>
      <c r="I5819" s="48" t="s">
        <v>10184</v>
      </c>
    </row>
    <row r="5820" spans="2:9" ht="15" customHeight="1" x14ac:dyDescent="0.25">
      <c r="B5820" s="55" t="s">
        <v>280</v>
      </c>
      <c r="C5820" s="46">
        <v>808</v>
      </c>
      <c r="D5820" s="69" t="s">
        <v>29417</v>
      </c>
      <c r="E5820" s="51"/>
      <c r="F5820" s="114" t="str">
        <f>IF(INDEX(I.Facility.P2aIDNumber,808)="","",INDEX(I.Facility.P2aIDNumber,808))</f>
        <v/>
      </c>
      <c r="G5820" s="51"/>
      <c r="H5820" s="46" t="str">
        <f>IF(AND(I.Developer.P2a=TRUE,I.Facility.P2aFacilityCount&gt;=808,F5820=""),"Incomplete","Complete")</f>
        <v>Complete</v>
      </c>
      <c r="I5820" s="48" t="s">
        <v>10185</v>
      </c>
    </row>
    <row r="5821" spans="2:9" ht="15" customHeight="1" x14ac:dyDescent="0.25">
      <c r="B5821" s="55" t="s">
        <v>280</v>
      </c>
      <c r="C5821" s="46">
        <v>809</v>
      </c>
      <c r="D5821" s="69" t="s">
        <v>29417</v>
      </c>
      <c r="E5821" s="51"/>
      <c r="F5821" s="114" t="str">
        <f>IF(INDEX(I.Facility.P2aIDNumber,809)="","",INDEX(I.Facility.P2aIDNumber,809))</f>
        <v/>
      </c>
      <c r="G5821" s="51"/>
      <c r="H5821" s="46" t="str">
        <f>IF(AND(I.Developer.P2a=TRUE,I.Facility.P2aFacilityCount&gt;=809,F5821=""),"Incomplete","Complete")</f>
        <v>Complete</v>
      </c>
      <c r="I5821" s="48" t="s">
        <v>10186</v>
      </c>
    </row>
    <row r="5822" spans="2:9" ht="15" customHeight="1" x14ac:dyDescent="0.25">
      <c r="B5822" s="55" t="s">
        <v>280</v>
      </c>
      <c r="C5822" s="46">
        <v>810</v>
      </c>
      <c r="D5822" s="69" t="s">
        <v>29417</v>
      </c>
      <c r="E5822" s="51"/>
      <c r="F5822" s="114" t="str">
        <f>IF(INDEX(I.Facility.P2aIDNumber,810)="","",INDEX(I.Facility.P2aIDNumber,810))</f>
        <v/>
      </c>
      <c r="G5822" s="51"/>
      <c r="H5822" s="46" t="str">
        <f>IF(AND(I.Developer.P2a=TRUE,I.Facility.P2aFacilityCount&gt;=810,F5822=""),"Incomplete","Complete")</f>
        <v>Complete</v>
      </c>
      <c r="I5822" s="48" t="s">
        <v>10187</v>
      </c>
    </row>
    <row r="5823" spans="2:9" ht="15" customHeight="1" x14ac:dyDescent="0.25">
      <c r="B5823" s="55" t="s">
        <v>280</v>
      </c>
      <c r="C5823" s="46">
        <v>811</v>
      </c>
      <c r="D5823" s="69" t="s">
        <v>29417</v>
      </c>
      <c r="E5823" s="51"/>
      <c r="F5823" s="114" t="str">
        <f>IF(INDEX(I.Facility.P2aIDNumber,811)="","",INDEX(I.Facility.P2aIDNumber,811))</f>
        <v/>
      </c>
      <c r="G5823" s="51"/>
      <c r="H5823" s="46" t="str">
        <f>IF(AND(I.Developer.P2a=TRUE,I.Facility.P2aFacilityCount&gt;=811,F5823=""),"Incomplete","Complete")</f>
        <v>Complete</v>
      </c>
      <c r="I5823" s="48" t="s">
        <v>10188</v>
      </c>
    </row>
    <row r="5824" spans="2:9" ht="15" customHeight="1" x14ac:dyDescent="0.25">
      <c r="B5824" s="55" t="s">
        <v>280</v>
      </c>
      <c r="C5824" s="46">
        <v>812</v>
      </c>
      <c r="D5824" s="69" t="s">
        <v>29417</v>
      </c>
      <c r="E5824" s="51"/>
      <c r="F5824" s="114" t="str">
        <f>IF(INDEX(I.Facility.P2aIDNumber,812)="","",INDEX(I.Facility.P2aIDNumber,812))</f>
        <v/>
      </c>
      <c r="G5824" s="51"/>
      <c r="H5824" s="46" t="str">
        <f>IF(AND(I.Developer.P2a=TRUE,I.Facility.P2aFacilityCount&gt;=812,F5824=""),"Incomplete","Complete")</f>
        <v>Complete</v>
      </c>
      <c r="I5824" s="48" t="s">
        <v>10189</v>
      </c>
    </row>
    <row r="5825" spans="2:9" ht="15" customHeight="1" x14ac:dyDescent="0.25">
      <c r="B5825" s="55" t="s">
        <v>280</v>
      </c>
      <c r="C5825" s="46">
        <v>813</v>
      </c>
      <c r="D5825" s="69" t="s">
        <v>29417</v>
      </c>
      <c r="E5825" s="51"/>
      <c r="F5825" s="114" t="str">
        <f>IF(INDEX(I.Facility.P2aIDNumber,813)="","",INDEX(I.Facility.P2aIDNumber,813))</f>
        <v/>
      </c>
      <c r="G5825" s="51"/>
      <c r="H5825" s="46" t="str">
        <f>IF(AND(I.Developer.P2a=TRUE,I.Facility.P2aFacilityCount&gt;=813,F5825=""),"Incomplete","Complete")</f>
        <v>Complete</v>
      </c>
      <c r="I5825" s="48" t="s">
        <v>10190</v>
      </c>
    </row>
    <row r="5826" spans="2:9" ht="15" customHeight="1" x14ac:dyDescent="0.25">
      <c r="B5826" s="55" t="s">
        <v>280</v>
      </c>
      <c r="C5826" s="46">
        <v>814</v>
      </c>
      <c r="D5826" s="69" t="s">
        <v>29417</v>
      </c>
      <c r="E5826" s="51"/>
      <c r="F5826" s="114" t="str">
        <f>IF(INDEX(I.Facility.P2aIDNumber,814)="","",INDEX(I.Facility.P2aIDNumber,814))</f>
        <v/>
      </c>
      <c r="G5826" s="51"/>
      <c r="H5826" s="46" t="str">
        <f>IF(AND(I.Developer.P2a=TRUE,I.Facility.P2aFacilityCount&gt;=814,F5826=""),"Incomplete","Complete")</f>
        <v>Complete</v>
      </c>
      <c r="I5826" s="48" t="s">
        <v>10191</v>
      </c>
    </row>
    <row r="5827" spans="2:9" ht="15" customHeight="1" x14ac:dyDescent="0.25">
      <c r="B5827" s="55" t="s">
        <v>280</v>
      </c>
      <c r="C5827" s="46">
        <v>815</v>
      </c>
      <c r="D5827" s="69" t="s">
        <v>29417</v>
      </c>
      <c r="E5827" s="51"/>
      <c r="F5827" s="114" t="str">
        <f>IF(INDEX(I.Facility.P2aIDNumber,815)="","",INDEX(I.Facility.P2aIDNumber,815))</f>
        <v/>
      </c>
      <c r="G5827" s="51"/>
      <c r="H5827" s="46" t="str">
        <f>IF(AND(I.Developer.P2a=TRUE,I.Facility.P2aFacilityCount&gt;=815,F5827=""),"Incomplete","Complete")</f>
        <v>Complete</v>
      </c>
      <c r="I5827" s="48" t="s">
        <v>10192</v>
      </c>
    </row>
    <row r="5828" spans="2:9" ht="15" customHeight="1" x14ac:dyDescent="0.25">
      <c r="B5828" s="55" t="s">
        <v>280</v>
      </c>
      <c r="C5828" s="46">
        <v>816</v>
      </c>
      <c r="D5828" s="69" t="s">
        <v>29417</v>
      </c>
      <c r="E5828" s="51"/>
      <c r="F5828" s="114" t="str">
        <f>IF(INDEX(I.Facility.P2aIDNumber,816)="","",INDEX(I.Facility.P2aIDNumber,816))</f>
        <v/>
      </c>
      <c r="G5828" s="51"/>
      <c r="H5828" s="46" t="str">
        <f>IF(AND(I.Developer.P2a=TRUE,I.Facility.P2aFacilityCount&gt;=816,F5828=""),"Incomplete","Complete")</f>
        <v>Complete</v>
      </c>
      <c r="I5828" s="48" t="s">
        <v>10193</v>
      </c>
    </row>
    <row r="5829" spans="2:9" ht="15" customHeight="1" x14ac:dyDescent="0.25">
      <c r="B5829" s="55" t="s">
        <v>280</v>
      </c>
      <c r="C5829" s="46">
        <v>817</v>
      </c>
      <c r="D5829" s="69" t="s">
        <v>29417</v>
      </c>
      <c r="E5829" s="51"/>
      <c r="F5829" s="114" t="str">
        <f>IF(INDEX(I.Facility.P2aIDNumber,817)="","",INDEX(I.Facility.P2aIDNumber,817))</f>
        <v/>
      </c>
      <c r="G5829" s="51"/>
      <c r="H5829" s="46" t="str">
        <f>IF(AND(I.Developer.P2a=TRUE,I.Facility.P2aFacilityCount&gt;=817,F5829=""),"Incomplete","Complete")</f>
        <v>Complete</v>
      </c>
      <c r="I5829" s="48" t="s">
        <v>10194</v>
      </c>
    </row>
    <row r="5830" spans="2:9" ht="15" customHeight="1" x14ac:dyDescent="0.25">
      <c r="B5830" s="55" t="s">
        <v>280</v>
      </c>
      <c r="C5830" s="46">
        <v>818</v>
      </c>
      <c r="D5830" s="69" t="s">
        <v>29417</v>
      </c>
      <c r="E5830" s="51"/>
      <c r="F5830" s="114" t="str">
        <f>IF(INDEX(I.Facility.P2aIDNumber,818)="","",INDEX(I.Facility.P2aIDNumber,818))</f>
        <v/>
      </c>
      <c r="G5830" s="51"/>
      <c r="H5830" s="46" t="str">
        <f>IF(AND(I.Developer.P2a=TRUE,I.Facility.P2aFacilityCount&gt;=818,F5830=""),"Incomplete","Complete")</f>
        <v>Complete</v>
      </c>
      <c r="I5830" s="48" t="s">
        <v>10195</v>
      </c>
    </row>
    <row r="5831" spans="2:9" ht="15" customHeight="1" x14ac:dyDescent="0.25">
      <c r="B5831" s="55" t="s">
        <v>280</v>
      </c>
      <c r="C5831" s="46">
        <v>819</v>
      </c>
      <c r="D5831" s="69" t="s">
        <v>29417</v>
      </c>
      <c r="E5831" s="51"/>
      <c r="F5831" s="114" t="str">
        <f>IF(INDEX(I.Facility.P2aIDNumber,819)="","",INDEX(I.Facility.P2aIDNumber,819))</f>
        <v/>
      </c>
      <c r="G5831" s="51"/>
      <c r="H5831" s="46" t="str">
        <f>IF(AND(I.Developer.P2a=TRUE,I.Facility.P2aFacilityCount&gt;=819,F5831=""),"Incomplete","Complete")</f>
        <v>Complete</v>
      </c>
      <c r="I5831" s="48" t="s">
        <v>10196</v>
      </c>
    </row>
    <row r="5832" spans="2:9" ht="15" customHeight="1" x14ac:dyDescent="0.25">
      <c r="B5832" s="55" t="s">
        <v>280</v>
      </c>
      <c r="C5832" s="46">
        <v>820</v>
      </c>
      <c r="D5832" s="69" t="s">
        <v>29417</v>
      </c>
      <c r="E5832" s="51"/>
      <c r="F5832" s="114" t="str">
        <f>IF(INDEX(I.Facility.P2aIDNumber,820)="","",INDEX(I.Facility.P2aIDNumber,820))</f>
        <v/>
      </c>
      <c r="G5832" s="51"/>
      <c r="H5832" s="46" t="str">
        <f>IF(AND(I.Developer.P2a=TRUE,I.Facility.P2aFacilityCount&gt;=820,F5832=""),"Incomplete","Complete")</f>
        <v>Complete</v>
      </c>
      <c r="I5832" s="48" t="s">
        <v>10197</v>
      </c>
    </row>
    <row r="5833" spans="2:9" ht="15" customHeight="1" x14ac:dyDescent="0.25">
      <c r="B5833" s="55" t="s">
        <v>280</v>
      </c>
      <c r="C5833" s="46">
        <v>821</v>
      </c>
      <c r="D5833" s="69" t="s">
        <v>29417</v>
      </c>
      <c r="E5833" s="51"/>
      <c r="F5833" s="114" t="str">
        <f>IF(INDEX(I.Facility.P2aIDNumber,821)="","",INDEX(I.Facility.P2aIDNumber,821))</f>
        <v/>
      </c>
      <c r="G5833" s="51"/>
      <c r="H5833" s="46" t="str">
        <f>IF(AND(I.Developer.P2a=TRUE,I.Facility.P2aFacilityCount&gt;=821,F5833=""),"Incomplete","Complete")</f>
        <v>Complete</v>
      </c>
      <c r="I5833" s="48" t="s">
        <v>10198</v>
      </c>
    </row>
    <row r="5834" spans="2:9" ht="15" customHeight="1" x14ac:dyDescent="0.25">
      <c r="B5834" s="55" t="s">
        <v>280</v>
      </c>
      <c r="C5834" s="46">
        <v>822</v>
      </c>
      <c r="D5834" s="69" t="s">
        <v>29417</v>
      </c>
      <c r="E5834" s="51"/>
      <c r="F5834" s="114" t="str">
        <f>IF(INDEX(I.Facility.P2aIDNumber,822)="","",INDEX(I.Facility.P2aIDNumber,822))</f>
        <v/>
      </c>
      <c r="G5834" s="51"/>
      <c r="H5834" s="46" t="str">
        <f>IF(AND(I.Developer.P2a=TRUE,I.Facility.P2aFacilityCount&gt;=822,F5834=""),"Incomplete","Complete")</f>
        <v>Complete</v>
      </c>
      <c r="I5834" s="48" t="s">
        <v>10199</v>
      </c>
    </row>
    <row r="5835" spans="2:9" ht="15" customHeight="1" x14ac:dyDescent="0.25">
      <c r="B5835" s="55" t="s">
        <v>280</v>
      </c>
      <c r="C5835" s="46">
        <v>823</v>
      </c>
      <c r="D5835" s="69" t="s">
        <v>29417</v>
      </c>
      <c r="E5835" s="51"/>
      <c r="F5835" s="114" t="str">
        <f>IF(INDEX(I.Facility.P2aIDNumber,823)="","",INDEX(I.Facility.P2aIDNumber,823))</f>
        <v/>
      </c>
      <c r="G5835" s="51"/>
      <c r="H5835" s="46" t="str">
        <f>IF(AND(I.Developer.P2a=TRUE,I.Facility.P2aFacilityCount&gt;=823,F5835=""),"Incomplete","Complete")</f>
        <v>Complete</v>
      </c>
      <c r="I5835" s="48" t="s">
        <v>10200</v>
      </c>
    </row>
    <row r="5836" spans="2:9" ht="15" customHeight="1" x14ac:dyDescent="0.25">
      <c r="B5836" s="55" t="s">
        <v>280</v>
      </c>
      <c r="C5836" s="46">
        <v>824</v>
      </c>
      <c r="D5836" s="69" t="s">
        <v>29417</v>
      </c>
      <c r="E5836" s="51"/>
      <c r="F5836" s="114" t="str">
        <f>IF(INDEX(I.Facility.P2aIDNumber,824)="","",INDEX(I.Facility.P2aIDNumber,824))</f>
        <v/>
      </c>
      <c r="G5836" s="51"/>
      <c r="H5836" s="46" t="str">
        <f>IF(AND(I.Developer.P2a=TRUE,I.Facility.P2aFacilityCount&gt;=824,F5836=""),"Incomplete","Complete")</f>
        <v>Complete</v>
      </c>
      <c r="I5836" s="48" t="s">
        <v>10201</v>
      </c>
    </row>
    <row r="5837" spans="2:9" ht="15" customHeight="1" x14ac:dyDescent="0.25">
      <c r="B5837" s="55" t="s">
        <v>280</v>
      </c>
      <c r="C5837" s="46">
        <v>825</v>
      </c>
      <c r="D5837" s="69" t="s">
        <v>29417</v>
      </c>
      <c r="E5837" s="51"/>
      <c r="F5837" s="114" t="str">
        <f>IF(INDEX(I.Facility.P2aIDNumber,825)="","",INDEX(I.Facility.P2aIDNumber,825))</f>
        <v/>
      </c>
      <c r="G5837" s="51"/>
      <c r="H5837" s="46" t="str">
        <f>IF(AND(I.Developer.P2a=TRUE,I.Facility.P2aFacilityCount&gt;=825,F5837=""),"Incomplete","Complete")</f>
        <v>Complete</v>
      </c>
      <c r="I5837" s="48" t="s">
        <v>10202</v>
      </c>
    </row>
    <row r="5838" spans="2:9" ht="15" customHeight="1" x14ac:dyDescent="0.25">
      <c r="B5838" s="55" t="s">
        <v>280</v>
      </c>
      <c r="C5838" s="46">
        <v>826</v>
      </c>
      <c r="D5838" s="69" t="s">
        <v>29417</v>
      </c>
      <c r="E5838" s="51"/>
      <c r="F5838" s="114" t="str">
        <f>IF(INDEX(I.Facility.P2aIDNumber,826)="","",INDEX(I.Facility.P2aIDNumber,826))</f>
        <v/>
      </c>
      <c r="G5838" s="51"/>
      <c r="H5838" s="46" t="str">
        <f>IF(AND(I.Developer.P2a=TRUE,I.Facility.P2aFacilityCount&gt;=826,F5838=""),"Incomplete","Complete")</f>
        <v>Complete</v>
      </c>
      <c r="I5838" s="48" t="s">
        <v>10203</v>
      </c>
    </row>
    <row r="5839" spans="2:9" ht="15" customHeight="1" x14ac:dyDescent="0.25">
      <c r="B5839" s="55" t="s">
        <v>280</v>
      </c>
      <c r="C5839" s="46">
        <v>827</v>
      </c>
      <c r="D5839" s="69" t="s">
        <v>29417</v>
      </c>
      <c r="E5839" s="51"/>
      <c r="F5839" s="114" t="str">
        <f>IF(INDEX(I.Facility.P2aIDNumber,827)="","",INDEX(I.Facility.P2aIDNumber,827))</f>
        <v/>
      </c>
      <c r="G5839" s="51"/>
      <c r="H5839" s="46" t="str">
        <f>IF(AND(I.Developer.P2a=TRUE,I.Facility.P2aFacilityCount&gt;=827,F5839=""),"Incomplete","Complete")</f>
        <v>Complete</v>
      </c>
      <c r="I5839" s="48" t="s">
        <v>10204</v>
      </c>
    </row>
    <row r="5840" spans="2:9" ht="15" customHeight="1" x14ac:dyDescent="0.25">
      <c r="B5840" s="55" t="s">
        <v>280</v>
      </c>
      <c r="C5840" s="46">
        <v>828</v>
      </c>
      <c r="D5840" s="69" t="s">
        <v>29417</v>
      </c>
      <c r="E5840" s="51"/>
      <c r="F5840" s="114" t="str">
        <f>IF(INDEX(I.Facility.P2aIDNumber,828)="","",INDEX(I.Facility.P2aIDNumber,828))</f>
        <v/>
      </c>
      <c r="G5840" s="51"/>
      <c r="H5840" s="46" t="str">
        <f>IF(AND(I.Developer.P2a=TRUE,I.Facility.P2aFacilityCount&gt;=828,F5840=""),"Incomplete","Complete")</f>
        <v>Complete</v>
      </c>
      <c r="I5840" s="48" t="s">
        <v>10205</v>
      </c>
    </row>
    <row r="5841" spans="2:9" ht="15" customHeight="1" x14ac:dyDescent="0.25">
      <c r="B5841" s="55" t="s">
        <v>280</v>
      </c>
      <c r="C5841" s="46">
        <v>829</v>
      </c>
      <c r="D5841" s="69" t="s">
        <v>29417</v>
      </c>
      <c r="E5841" s="51"/>
      <c r="F5841" s="114" t="str">
        <f>IF(INDEX(I.Facility.P2aIDNumber,829)="","",INDEX(I.Facility.P2aIDNumber,829))</f>
        <v/>
      </c>
      <c r="G5841" s="51"/>
      <c r="H5841" s="46" t="str">
        <f>IF(AND(I.Developer.P2a=TRUE,I.Facility.P2aFacilityCount&gt;=829,F5841=""),"Incomplete","Complete")</f>
        <v>Complete</v>
      </c>
      <c r="I5841" s="48" t="s">
        <v>10206</v>
      </c>
    </row>
    <row r="5842" spans="2:9" ht="15" customHeight="1" x14ac:dyDescent="0.25">
      <c r="B5842" s="55" t="s">
        <v>280</v>
      </c>
      <c r="C5842" s="46">
        <v>830</v>
      </c>
      <c r="D5842" s="69" t="s">
        <v>29417</v>
      </c>
      <c r="E5842" s="51"/>
      <c r="F5842" s="114" t="str">
        <f>IF(INDEX(I.Facility.P2aIDNumber,830)="","",INDEX(I.Facility.P2aIDNumber,830))</f>
        <v/>
      </c>
      <c r="G5842" s="51"/>
      <c r="H5842" s="46" t="str">
        <f>IF(AND(I.Developer.P2a=TRUE,I.Facility.P2aFacilityCount&gt;=830,F5842=""),"Incomplete","Complete")</f>
        <v>Complete</v>
      </c>
      <c r="I5842" s="48" t="s">
        <v>10207</v>
      </c>
    </row>
    <row r="5843" spans="2:9" ht="15" customHeight="1" x14ac:dyDescent="0.25">
      <c r="B5843" s="55" t="s">
        <v>280</v>
      </c>
      <c r="C5843" s="46">
        <v>831</v>
      </c>
      <c r="D5843" s="69" t="s">
        <v>29417</v>
      </c>
      <c r="E5843" s="51"/>
      <c r="F5843" s="114" t="str">
        <f>IF(INDEX(I.Facility.P2aIDNumber,831)="","",INDEX(I.Facility.P2aIDNumber,831))</f>
        <v/>
      </c>
      <c r="G5843" s="51"/>
      <c r="H5843" s="46" t="str">
        <f>IF(AND(I.Developer.P2a=TRUE,I.Facility.P2aFacilityCount&gt;=831,F5843=""),"Incomplete","Complete")</f>
        <v>Complete</v>
      </c>
      <c r="I5843" s="48" t="s">
        <v>10208</v>
      </c>
    </row>
    <row r="5844" spans="2:9" ht="15" customHeight="1" x14ac:dyDescent="0.25">
      <c r="B5844" s="55" t="s">
        <v>280</v>
      </c>
      <c r="C5844" s="46">
        <v>832</v>
      </c>
      <c r="D5844" s="69" t="s">
        <v>29417</v>
      </c>
      <c r="E5844" s="51"/>
      <c r="F5844" s="114" t="str">
        <f>IF(INDEX(I.Facility.P2aIDNumber,832)="","",INDEX(I.Facility.P2aIDNumber,832))</f>
        <v/>
      </c>
      <c r="G5844" s="51"/>
      <c r="H5844" s="46" t="str">
        <f>IF(AND(I.Developer.P2a=TRUE,I.Facility.P2aFacilityCount&gt;=832,F5844=""),"Incomplete","Complete")</f>
        <v>Complete</v>
      </c>
      <c r="I5844" s="48" t="s">
        <v>10209</v>
      </c>
    </row>
    <row r="5845" spans="2:9" ht="15" customHeight="1" x14ac:dyDescent="0.25">
      <c r="B5845" s="55" t="s">
        <v>280</v>
      </c>
      <c r="C5845" s="46">
        <v>833</v>
      </c>
      <c r="D5845" s="69" t="s">
        <v>29417</v>
      </c>
      <c r="E5845" s="51"/>
      <c r="F5845" s="114" t="str">
        <f>IF(INDEX(I.Facility.P2aIDNumber,833)="","",INDEX(I.Facility.P2aIDNumber,833))</f>
        <v/>
      </c>
      <c r="G5845" s="51"/>
      <c r="H5845" s="46" t="str">
        <f>IF(AND(I.Developer.P2a=TRUE,I.Facility.P2aFacilityCount&gt;=833,F5845=""),"Incomplete","Complete")</f>
        <v>Complete</v>
      </c>
      <c r="I5845" s="48" t="s">
        <v>10210</v>
      </c>
    </row>
    <row r="5846" spans="2:9" ht="15" customHeight="1" x14ac:dyDescent="0.25">
      <c r="B5846" s="55" t="s">
        <v>280</v>
      </c>
      <c r="C5846" s="46">
        <v>834</v>
      </c>
      <c r="D5846" s="69" t="s">
        <v>29417</v>
      </c>
      <c r="E5846" s="51"/>
      <c r="F5846" s="114" t="str">
        <f>IF(INDEX(I.Facility.P2aIDNumber,834)="","",INDEX(I.Facility.P2aIDNumber,834))</f>
        <v/>
      </c>
      <c r="G5846" s="51"/>
      <c r="H5846" s="46" t="str">
        <f>IF(AND(I.Developer.P2a=TRUE,I.Facility.P2aFacilityCount&gt;=834,F5846=""),"Incomplete","Complete")</f>
        <v>Complete</v>
      </c>
      <c r="I5846" s="48" t="s">
        <v>10211</v>
      </c>
    </row>
    <row r="5847" spans="2:9" ht="15" customHeight="1" x14ac:dyDescent="0.25">
      <c r="B5847" s="55" t="s">
        <v>280</v>
      </c>
      <c r="C5847" s="46">
        <v>835</v>
      </c>
      <c r="D5847" s="69" t="s">
        <v>29417</v>
      </c>
      <c r="E5847" s="51"/>
      <c r="F5847" s="114" t="str">
        <f>IF(INDEX(I.Facility.P2aIDNumber,835)="","",INDEX(I.Facility.P2aIDNumber,835))</f>
        <v/>
      </c>
      <c r="G5847" s="51"/>
      <c r="H5847" s="46" t="str">
        <f>IF(AND(I.Developer.P2a=TRUE,I.Facility.P2aFacilityCount&gt;=835,F5847=""),"Incomplete","Complete")</f>
        <v>Complete</v>
      </c>
      <c r="I5847" s="48" t="s">
        <v>10212</v>
      </c>
    </row>
    <row r="5848" spans="2:9" ht="15" customHeight="1" x14ac:dyDescent="0.25">
      <c r="B5848" s="55" t="s">
        <v>280</v>
      </c>
      <c r="C5848" s="46">
        <v>836</v>
      </c>
      <c r="D5848" s="69" t="s">
        <v>29417</v>
      </c>
      <c r="E5848" s="51"/>
      <c r="F5848" s="114" t="str">
        <f>IF(INDEX(I.Facility.P2aIDNumber,836)="","",INDEX(I.Facility.P2aIDNumber,836))</f>
        <v/>
      </c>
      <c r="G5848" s="51"/>
      <c r="H5848" s="46" t="str">
        <f>IF(AND(I.Developer.P2a=TRUE,I.Facility.P2aFacilityCount&gt;=836,F5848=""),"Incomplete","Complete")</f>
        <v>Complete</v>
      </c>
      <c r="I5848" s="48" t="s">
        <v>10213</v>
      </c>
    </row>
    <row r="5849" spans="2:9" ht="15" customHeight="1" x14ac:dyDescent="0.25">
      <c r="B5849" s="55" t="s">
        <v>280</v>
      </c>
      <c r="C5849" s="46">
        <v>837</v>
      </c>
      <c r="D5849" s="69" t="s">
        <v>29417</v>
      </c>
      <c r="E5849" s="51"/>
      <c r="F5849" s="114" t="str">
        <f>IF(INDEX(I.Facility.P2aIDNumber,837)="","",INDEX(I.Facility.P2aIDNumber,837))</f>
        <v/>
      </c>
      <c r="G5849" s="51"/>
      <c r="H5849" s="46" t="str">
        <f>IF(AND(I.Developer.P2a=TRUE,I.Facility.P2aFacilityCount&gt;=837,F5849=""),"Incomplete","Complete")</f>
        <v>Complete</v>
      </c>
      <c r="I5849" s="48" t="s">
        <v>10214</v>
      </c>
    </row>
    <row r="5850" spans="2:9" ht="15" customHeight="1" x14ac:dyDescent="0.25">
      <c r="B5850" s="55" t="s">
        <v>280</v>
      </c>
      <c r="C5850" s="46">
        <v>838</v>
      </c>
      <c r="D5850" s="69" t="s">
        <v>29417</v>
      </c>
      <c r="E5850" s="51"/>
      <c r="F5850" s="114" t="str">
        <f>IF(INDEX(I.Facility.P2aIDNumber,838)="","",INDEX(I.Facility.P2aIDNumber,838))</f>
        <v/>
      </c>
      <c r="G5850" s="51"/>
      <c r="H5850" s="46" t="str">
        <f>IF(AND(I.Developer.P2a=TRUE,I.Facility.P2aFacilityCount&gt;=838,F5850=""),"Incomplete","Complete")</f>
        <v>Complete</v>
      </c>
      <c r="I5850" s="48" t="s">
        <v>10215</v>
      </c>
    </row>
    <row r="5851" spans="2:9" ht="15" customHeight="1" x14ac:dyDescent="0.25">
      <c r="B5851" s="55" t="s">
        <v>280</v>
      </c>
      <c r="C5851" s="46">
        <v>839</v>
      </c>
      <c r="D5851" s="69" t="s">
        <v>29417</v>
      </c>
      <c r="E5851" s="51"/>
      <c r="F5851" s="114" t="str">
        <f>IF(INDEX(I.Facility.P2aIDNumber,839)="","",INDEX(I.Facility.P2aIDNumber,839))</f>
        <v/>
      </c>
      <c r="G5851" s="51"/>
      <c r="H5851" s="46" t="str">
        <f>IF(AND(I.Developer.P2a=TRUE,I.Facility.P2aFacilityCount&gt;=839,F5851=""),"Incomplete","Complete")</f>
        <v>Complete</v>
      </c>
      <c r="I5851" s="48" t="s">
        <v>10216</v>
      </c>
    </row>
    <row r="5852" spans="2:9" ht="15" customHeight="1" x14ac:dyDescent="0.25">
      <c r="B5852" s="55" t="s">
        <v>280</v>
      </c>
      <c r="C5852" s="46">
        <v>840</v>
      </c>
      <c r="D5852" s="69" t="s">
        <v>29417</v>
      </c>
      <c r="E5852" s="51"/>
      <c r="F5852" s="114" t="str">
        <f>IF(INDEX(I.Facility.P2aIDNumber,840)="","",INDEX(I.Facility.P2aIDNumber,840))</f>
        <v/>
      </c>
      <c r="G5852" s="51"/>
      <c r="H5852" s="46" t="str">
        <f>IF(AND(I.Developer.P2a=TRUE,I.Facility.P2aFacilityCount&gt;=840,F5852=""),"Incomplete","Complete")</f>
        <v>Complete</v>
      </c>
      <c r="I5852" s="48" t="s">
        <v>10217</v>
      </c>
    </row>
    <row r="5853" spans="2:9" ht="15" customHeight="1" x14ac:dyDescent="0.25">
      <c r="B5853" s="55" t="s">
        <v>280</v>
      </c>
      <c r="C5853" s="46">
        <v>841</v>
      </c>
      <c r="D5853" s="69" t="s">
        <v>29417</v>
      </c>
      <c r="E5853" s="51"/>
      <c r="F5853" s="114" t="str">
        <f>IF(INDEX(I.Facility.P2aIDNumber,841)="","",INDEX(I.Facility.P2aIDNumber,841))</f>
        <v/>
      </c>
      <c r="G5853" s="51"/>
      <c r="H5853" s="46" t="str">
        <f>IF(AND(I.Developer.P2a=TRUE,I.Facility.P2aFacilityCount&gt;=841,F5853=""),"Incomplete","Complete")</f>
        <v>Complete</v>
      </c>
      <c r="I5853" s="48" t="s">
        <v>10218</v>
      </c>
    </row>
    <row r="5854" spans="2:9" ht="15" customHeight="1" x14ac:dyDescent="0.25">
      <c r="B5854" s="55" t="s">
        <v>280</v>
      </c>
      <c r="C5854" s="46">
        <v>842</v>
      </c>
      <c r="D5854" s="69" t="s">
        <v>29417</v>
      </c>
      <c r="E5854" s="51"/>
      <c r="F5854" s="114" t="str">
        <f>IF(INDEX(I.Facility.P2aIDNumber,842)="","",INDEX(I.Facility.P2aIDNumber,842))</f>
        <v/>
      </c>
      <c r="G5854" s="51"/>
      <c r="H5854" s="46" t="str">
        <f>IF(AND(I.Developer.P2a=TRUE,I.Facility.P2aFacilityCount&gt;=842,F5854=""),"Incomplete","Complete")</f>
        <v>Complete</v>
      </c>
      <c r="I5854" s="48" t="s">
        <v>10219</v>
      </c>
    </row>
    <row r="5855" spans="2:9" ht="15" customHeight="1" x14ac:dyDescent="0.25">
      <c r="B5855" s="55" t="s">
        <v>280</v>
      </c>
      <c r="C5855" s="46">
        <v>843</v>
      </c>
      <c r="D5855" s="69" t="s">
        <v>29417</v>
      </c>
      <c r="E5855" s="51"/>
      <c r="F5855" s="114" t="str">
        <f>IF(INDEX(I.Facility.P2aIDNumber,843)="","",INDEX(I.Facility.P2aIDNumber,843))</f>
        <v/>
      </c>
      <c r="G5855" s="51"/>
      <c r="H5855" s="46" t="str">
        <f>IF(AND(I.Developer.P2a=TRUE,I.Facility.P2aFacilityCount&gt;=843,F5855=""),"Incomplete","Complete")</f>
        <v>Complete</v>
      </c>
      <c r="I5855" s="48" t="s">
        <v>10220</v>
      </c>
    </row>
    <row r="5856" spans="2:9" ht="15" customHeight="1" x14ac:dyDescent="0.25">
      <c r="B5856" s="55" t="s">
        <v>280</v>
      </c>
      <c r="C5856" s="46">
        <v>844</v>
      </c>
      <c r="D5856" s="69" t="s">
        <v>29417</v>
      </c>
      <c r="E5856" s="51"/>
      <c r="F5856" s="114" t="str">
        <f>IF(INDEX(I.Facility.P2aIDNumber,844)="","",INDEX(I.Facility.P2aIDNumber,844))</f>
        <v/>
      </c>
      <c r="G5856" s="51"/>
      <c r="H5856" s="46" t="str">
        <f>IF(AND(I.Developer.P2a=TRUE,I.Facility.P2aFacilityCount&gt;=844,F5856=""),"Incomplete","Complete")</f>
        <v>Complete</v>
      </c>
      <c r="I5856" s="48" t="s">
        <v>10221</v>
      </c>
    </row>
    <row r="5857" spans="2:9" ht="15" customHeight="1" x14ac:dyDescent="0.25">
      <c r="B5857" s="55" t="s">
        <v>280</v>
      </c>
      <c r="C5857" s="46">
        <v>845</v>
      </c>
      <c r="D5857" s="69" t="s">
        <v>29417</v>
      </c>
      <c r="E5857" s="51"/>
      <c r="F5857" s="114" t="str">
        <f>IF(INDEX(I.Facility.P2aIDNumber,845)="","",INDEX(I.Facility.P2aIDNumber,845))</f>
        <v/>
      </c>
      <c r="G5857" s="51"/>
      <c r="H5857" s="46" t="str">
        <f>IF(AND(I.Developer.P2a=TRUE,I.Facility.P2aFacilityCount&gt;=845,F5857=""),"Incomplete","Complete")</f>
        <v>Complete</v>
      </c>
      <c r="I5857" s="48" t="s">
        <v>10222</v>
      </c>
    </row>
    <row r="5858" spans="2:9" ht="15" customHeight="1" x14ac:dyDescent="0.25">
      <c r="B5858" s="55" t="s">
        <v>280</v>
      </c>
      <c r="C5858" s="46">
        <v>846</v>
      </c>
      <c r="D5858" s="69" t="s">
        <v>29417</v>
      </c>
      <c r="E5858" s="51"/>
      <c r="F5858" s="114" t="str">
        <f>IF(INDEX(I.Facility.P2aIDNumber,846)="","",INDEX(I.Facility.P2aIDNumber,846))</f>
        <v/>
      </c>
      <c r="G5858" s="51"/>
      <c r="H5858" s="46" t="str">
        <f>IF(AND(I.Developer.P2a=TRUE,I.Facility.P2aFacilityCount&gt;=846,F5858=""),"Incomplete","Complete")</f>
        <v>Complete</v>
      </c>
      <c r="I5858" s="48" t="s">
        <v>10223</v>
      </c>
    </row>
    <row r="5859" spans="2:9" ht="15" customHeight="1" x14ac:dyDescent="0.25">
      <c r="B5859" s="55" t="s">
        <v>280</v>
      </c>
      <c r="C5859" s="46">
        <v>847</v>
      </c>
      <c r="D5859" s="69" t="s">
        <v>29417</v>
      </c>
      <c r="E5859" s="51"/>
      <c r="F5859" s="114" t="str">
        <f>IF(INDEX(I.Facility.P2aIDNumber,847)="","",INDEX(I.Facility.P2aIDNumber,847))</f>
        <v/>
      </c>
      <c r="G5859" s="51"/>
      <c r="H5859" s="46" t="str">
        <f>IF(AND(I.Developer.P2a=TRUE,I.Facility.P2aFacilityCount&gt;=847,F5859=""),"Incomplete","Complete")</f>
        <v>Complete</v>
      </c>
      <c r="I5859" s="48" t="s">
        <v>10224</v>
      </c>
    </row>
    <row r="5860" spans="2:9" ht="15" customHeight="1" x14ac:dyDescent="0.25">
      <c r="B5860" s="55" t="s">
        <v>280</v>
      </c>
      <c r="C5860" s="46">
        <v>848</v>
      </c>
      <c r="D5860" s="69" t="s">
        <v>29417</v>
      </c>
      <c r="E5860" s="51"/>
      <c r="F5860" s="114" t="str">
        <f>IF(INDEX(I.Facility.P2aIDNumber,848)="","",INDEX(I.Facility.P2aIDNumber,848))</f>
        <v/>
      </c>
      <c r="G5860" s="51"/>
      <c r="H5860" s="46" t="str">
        <f>IF(AND(I.Developer.P2a=TRUE,I.Facility.P2aFacilityCount&gt;=848,F5860=""),"Incomplete","Complete")</f>
        <v>Complete</v>
      </c>
      <c r="I5860" s="48" t="s">
        <v>10225</v>
      </c>
    </row>
    <row r="5861" spans="2:9" ht="15" customHeight="1" x14ac:dyDescent="0.25">
      <c r="B5861" s="55" t="s">
        <v>280</v>
      </c>
      <c r="C5861" s="46">
        <v>849</v>
      </c>
      <c r="D5861" s="69" t="s">
        <v>29417</v>
      </c>
      <c r="E5861" s="51"/>
      <c r="F5861" s="114" t="str">
        <f>IF(INDEX(I.Facility.P2aIDNumber,849)="","",INDEX(I.Facility.P2aIDNumber,849))</f>
        <v/>
      </c>
      <c r="G5861" s="51"/>
      <c r="H5861" s="46" t="str">
        <f>IF(AND(I.Developer.P2a=TRUE,I.Facility.P2aFacilityCount&gt;=849,F5861=""),"Incomplete","Complete")</f>
        <v>Complete</v>
      </c>
      <c r="I5861" s="48" t="s">
        <v>10226</v>
      </c>
    </row>
    <row r="5862" spans="2:9" ht="15" customHeight="1" x14ac:dyDescent="0.25">
      <c r="B5862" s="55" t="s">
        <v>280</v>
      </c>
      <c r="C5862" s="46">
        <v>850</v>
      </c>
      <c r="D5862" s="69" t="s">
        <v>29417</v>
      </c>
      <c r="E5862" s="51"/>
      <c r="F5862" s="114" t="str">
        <f>IF(INDEX(I.Facility.P2aIDNumber,850)="","",INDEX(I.Facility.P2aIDNumber,850))</f>
        <v/>
      </c>
      <c r="G5862" s="51"/>
      <c r="H5862" s="46" t="str">
        <f>IF(AND(I.Developer.P2a=TRUE,I.Facility.P2aFacilityCount&gt;=850,F5862=""),"Incomplete","Complete")</f>
        <v>Complete</v>
      </c>
      <c r="I5862" s="48" t="s">
        <v>10227</v>
      </c>
    </row>
    <row r="5863" spans="2:9" ht="15" customHeight="1" x14ac:dyDescent="0.25">
      <c r="B5863" s="55" t="s">
        <v>280</v>
      </c>
      <c r="C5863" s="46">
        <v>851</v>
      </c>
      <c r="D5863" s="69" t="s">
        <v>29417</v>
      </c>
      <c r="E5863" s="51"/>
      <c r="F5863" s="114" t="str">
        <f>IF(INDEX(I.Facility.P2aIDNumber,851)="","",INDEX(I.Facility.P2aIDNumber,851))</f>
        <v/>
      </c>
      <c r="G5863" s="51"/>
      <c r="H5863" s="46" t="str">
        <f>IF(AND(I.Developer.P2a=TRUE,I.Facility.P2aFacilityCount&gt;=851,F5863=""),"Incomplete","Complete")</f>
        <v>Complete</v>
      </c>
      <c r="I5863" s="48" t="s">
        <v>10228</v>
      </c>
    </row>
    <row r="5864" spans="2:9" ht="15" customHeight="1" x14ac:dyDescent="0.25">
      <c r="B5864" s="55" t="s">
        <v>280</v>
      </c>
      <c r="C5864" s="46">
        <v>852</v>
      </c>
      <c r="D5864" s="69" t="s">
        <v>29417</v>
      </c>
      <c r="E5864" s="51"/>
      <c r="F5864" s="114" t="str">
        <f>IF(INDEX(I.Facility.P2aIDNumber,852)="","",INDEX(I.Facility.P2aIDNumber,852))</f>
        <v/>
      </c>
      <c r="G5864" s="51"/>
      <c r="H5864" s="46" t="str">
        <f>IF(AND(I.Developer.P2a=TRUE,I.Facility.P2aFacilityCount&gt;=852,F5864=""),"Incomplete","Complete")</f>
        <v>Complete</v>
      </c>
      <c r="I5864" s="48" t="s">
        <v>10229</v>
      </c>
    </row>
    <row r="5865" spans="2:9" ht="15" customHeight="1" x14ac:dyDescent="0.25">
      <c r="B5865" s="55" t="s">
        <v>280</v>
      </c>
      <c r="C5865" s="46">
        <v>853</v>
      </c>
      <c r="D5865" s="69" t="s">
        <v>29417</v>
      </c>
      <c r="E5865" s="51"/>
      <c r="F5865" s="114" t="str">
        <f>IF(INDEX(I.Facility.P2aIDNumber,853)="","",INDEX(I.Facility.P2aIDNumber,853))</f>
        <v/>
      </c>
      <c r="G5865" s="51"/>
      <c r="H5865" s="46" t="str">
        <f>IF(AND(I.Developer.P2a=TRUE,I.Facility.P2aFacilityCount&gt;=853,F5865=""),"Incomplete","Complete")</f>
        <v>Complete</v>
      </c>
      <c r="I5865" s="48" t="s">
        <v>10230</v>
      </c>
    </row>
    <row r="5866" spans="2:9" ht="15" customHeight="1" x14ac:dyDescent="0.25">
      <c r="B5866" s="55" t="s">
        <v>280</v>
      </c>
      <c r="C5866" s="46">
        <v>854</v>
      </c>
      <c r="D5866" s="69" t="s">
        <v>29417</v>
      </c>
      <c r="E5866" s="51"/>
      <c r="F5866" s="114" t="str">
        <f>IF(INDEX(I.Facility.P2aIDNumber,854)="","",INDEX(I.Facility.P2aIDNumber,854))</f>
        <v/>
      </c>
      <c r="G5866" s="51"/>
      <c r="H5866" s="46" t="str">
        <f>IF(AND(I.Developer.P2a=TRUE,I.Facility.P2aFacilityCount&gt;=854,F5866=""),"Incomplete","Complete")</f>
        <v>Complete</v>
      </c>
      <c r="I5866" s="48" t="s">
        <v>10231</v>
      </c>
    </row>
    <row r="5867" spans="2:9" ht="15" customHeight="1" x14ac:dyDescent="0.25">
      <c r="B5867" s="55" t="s">
        <v>280</v>
      </c>
      <c r="C5867" s="46">
        <v>855</v>
      </c>
      <c r="D5867" s="69" t="s">
        <v>29417</v>
      </c>
      <c r="E5867" s="51"/>
      <c r="F5867" s="114" t="str">
        <f>IF(INDEX(I.Facility.P2aIDNumber,855)="","",INDEX(I.Facility.P2aIDNumber,855))</f>
        <v/>
      </c>
      <c r="G5867" s="51"/>
      <c r="H5867" s="46" t="str">
        <f>IF(AND(I.Developer.P2a=TRUE,I.Facility.P2aFacilityCount&gt;=855,F5867=""),"Incomplete","Complete")</f>
        <v>Complete</v>
      </c>
      <c r="I5867" s="48" t="s">
        <v>10232</v>
      </c>
    </row>
    <row r="5868" spans="2:9" ht="15" customHeight="1" x14ac:dyDescent="0.25">
      <c r="B5868" s="55" t="s">
        <v>280</v>
      </c>
      <c r="C5868" s="46">
        <v>856</v>
      </c>
      <c r="D5868" s="69" t="s">
        <v>29417</v>
      </c>
      <c r="E5868" s="51"/>
      <c r="F5868" s="114" t="str">
        <f>IF(INDEX(I.Facility.P2aIDNumber,856)="","",INDEX(I.Facility.P2aIDNumber,856))</f>
        <v/>
      </c>
      <c r="G5868" s="51"/>
      <c r="H5868" s="46" t="str">
        <f>IF(AND(I.Developer.P2a=TRUE,I.Facility.P2aFacilityCount&gt;=856,F5868=""),"Incomplete","Complete")</f>
        <v>Complete</v>
      </c>
      <c r="I5868" s="48" t="s">
        <v>10233</v>
      </c>
    </row>
    <row r="5869" spans="2:9" ht="15" customHeight="1" x14ac:dyDescent="0.25">
      <c r="B5869" s="55" t="s">
        <v>280</v>
      </c>
      <c r="C5869" s="46">
        <v>857</v>
      </c>
      <c r="D5869" s="69" t="s">
        <v>29417</v>
      </c>
      <c r="E5869" s="51"/>
      <c r="F5869" s="114" t="str">
        <f>IF(INDEX(I.Facility.P2aIDNumber,857)="","",INDEX(I.Facility.P2aIDNumber,857))</f>
        <v/>
      </c>
      <c r="G5869" s="51"/>
      <c r="H5869" s="46" t="str">
        <f>IF(AND(I.Developer.P2a=TRUE,I.Facility.P2aFacilityCount&gt;=857,F5869=""),"Incomplete","Complete")</f>
        <v>Complete</v>
      </c>
      <c r="I5869" s="48" t="s">
        <v>10234</v>
      </c>
    </row>
    <row r="5870" spans="2:9" ht="15" customHeight="1" x14ac:dyDescent="0.25">
      <c r="B5870" s="55" t="s">
        <v>280</v>
      </c>
      <c r="C5870" s="46">
        <v>858</v>
      </c>
      <c r="D5870" s="69" t="s">
        <v>29417</v>
      </c>
      <c r="E5870" s="51"/>
      <c r="F5870" s="114" t="str">
        <f>IF(INDEX(I.Facility.P2aIDNumber,858)="","",INDEX(I.Facility.P2aIDNumber,858))</f>
        <v/>
      </c>
      <c r="G5870" s="51"/>
      <c r="H5870" s="46" t="str">
        <f>IF(AND(I.Developer.P2a=TRUE,I.Facility.P2aFacilityCount&gt;=858,F5870=""),"Incomplete","Complete")</f>
        <v>Complete</v>
      </c>
      <c r="I5870" s="48" t="s">
        <v>10235</v>
      </c>
    </row>
    <row r="5871" spans="2:9" ht="15" customHeight="1" x14ac:dyDescent="0.25">
      <c r="B5871" s="55" t="s">
        <v>280</v>
      </c>
      <c r="C5871" s="46">
        <v>859</v>
      </c>
      <c r="D5871" s="69" t="s">
        <v>29417</v>
      </c>
      <c r="E5871" s="51"/>
      <c r="F5871" s="114" t="str">
        <f>IF(INDEX(I.Facility.P2aIDNumber,859)="","",INDEX(I.Facility.P2aIDNumber,859))</f>
        <v/>
      </c>
      <c r="G5871" s="51"/>
      <c r="H5871" s="46" t="str">
        <f>IF(AND(I.Developer.P2a=TRUE,I.Facility.P2aFacilityCount&gt;=859,F5871=""),"Incomplete","Complete")</f>
        <v>Complete</v>
      </c>
      <c r="I5871" s="48" t="s">
        <v>10236</v>
      </c>
    </row>
    <row r="5872" spans="2:9" ht="15" customHeight="1" x14ac:dyDescent="0.25">
      <c r="B5872" s="55" t="s">
        <v>280</v>
      </c>
      <c r="C5872" s="46">
        <v>860</v>
      </c>
      <c r="D5872" s="69" t="s">
        <v>29417</v>
      </c>
      <c r="E5872" s="51"/>
      <c r="F5872" s="114" t="str">
        <f>IF(INDEX(I.Facility.P2aIDNumber,860)="","",INDEX(I.Facility.P2aIDNumber,860))</f>
        <v/>
      </c>
      <c r="G5872" s="51"/>
      <c r="H5872" s="46" t="str">
        <f>IF(AND(I.Developer.P2a=TRUE,I.Facility.P2aFacilityCount&gt;=860,F5872=""),"Incomplete","Complete")</f>
        <v>Complete</v>
      </c>
      <c r="I5872" s="48" t="s">
        <v>10237</v>
      </c>
    </row>
    <row r="5873" spans="2:9" ht="15" customHeight="1" x14ac:dyDescent="0.25">
      <c r="B5873" s="55" t="s">
        <v>280</v>
      </c>
      <c r="C5873" s="46">
        <v>861</v>
      </c>
      <c r="D5873" s="69" t="s">
        <v>29417</v>
      </c>
      <c r="E5873" s="51"/>
      <c r="F5873" s="114" t="str">
        <f>IF(INDEX(I.Facility.P2aIDNumber,861)="","",INDEX(I.Facility.P2aIDNumber,861))</f>
        <v/>
      </c>
      <c r="G5873" s="51"/>
      <c r="H5873" s="46" t="str">
        <f>IF(AND(I.Developer.P2a=TRUE,I.Facility.P2aFacilityCount&gt;=861,F5873=""),"Incomplete","Complete")</f>
        <v>Complete</v>
      </c>
      <c r="I5873" s="48" t="s">
        <v>10238</v>
      </c>
    </row>
    <row r="5874" spans="2:9" ht="15" customHeight="1" x14ac:dyDescent="0.25">
      <c r="B5874" s="55" t="s">
        <v>280</v>
      </c>
      <c r="C5874" s="46">
        <v>862</v>
      </c>
      <c r="D5874" s="69" t="s">
        <v>29417</v>
      </c>
      <c r="E5874" s="51"/>
      <c r="F5874" s="114" t="str">
        <f>IF(INDEX(I.Facility.P2aIDNumber,862)="","",INDEX(I.Facility.P2aIDNumber,862))</f>
        <v/>
      </c>
      <c r="G5874" s="51"/>
      <c r="H5874" s="46" t="str">
        <f>IF(AND(I.Developer.P2a=TRUE,I.Facility.P2aFacilityCount&gt;=862,F5874=""),"Incomplete","Complete")</f>
        <v>Complete</v>
      </c>
      <c r="I5874" s="48" t="s">
        <v>10239</v>
      </c>
    </row>
    <row r="5875" spans="2:9" ht="15" customHeight="1" x14ac:dyDescent="0.25">
      <c r="B5875" s="55" t="s">
        <v>280</v>
      </c>
      <c r="C5875" s="46">
        <v>863</v>
      </c>
      <c r="D5875" s="69" t="s">
        <v>29417</v>
      </c>
      <c r="E5875" s="51"/>
      <c r="F5875" s="114" t="str">
        <f>IF(INDEX(I.Facility.P2aIDNumber,863)="","",INDEX(I.Facility.P2aIDNumber,863))</f>
        <v/>
      </c>
      <c r="G5875" s="51"/>
      <c r="H5875" s="46" t="str">
        <f>IF(AND(I.Developer.P2a=TRUE,I.Facility.P2aFacilityCount&gt;=863,F5875=""),"Incomplete","Complete")</f>
        <v>Complete</v>
      </c>
      <c r="I5875" s="48" t="s">
        <v>10240</v>
      </c>
    </row>
    <row r="5876" spans="2:9" ht="15" customHeight="1" x14ac:dyDescent="0.25">
      <c r="B5876" s="55" t="s">
        <v>280</v>
      </c>
      <c r="C5876" s="46">
        <v>864</v>
      </c>
      <c r="D5876" s="69" t="s">
        <v>29417</v>
      </c>
      <c r="E5876" s="51"/>
      <c r="F5876" s="114" t="str">
        <f>IF(INDEX(I.Facility.P2aIDNumber,864)="","",INDEX(I.Facility.P2aIDNumber,864))</f>
        <v/>
      </c>
      <c r="G5876" s="51"/>
      <c r="H5876" s="46" t="str">
        <f>IF(AND(I.Developer.P2a=TRUE,I.Facility.P2aFacilityCount&gt;=864,F5876=""),"Incomplete","Complete")</f>
        <v>Complete</v>
      </c>
      <c r="I5876" s="48" t="s">
        <v>10241</v>
      </c>
    </row>
    <row r="5877" spans="2:9" ht="15" customHeight="1" x14ac:dyDescent="0.25">
      <c r="B5877" s="55" t="s">
        <v>280</v>
      </c>
      <c r="C5877" s="46">
        <v>865</v>
      </c>
      <c r="D5877" s="69" t="s">
        <v>29417</v>
      </c>
      <c r="E5877" s="51"/>
      <c r="F5877" s="114" t="str">
        <f>IF(INDEX(I.Facility.P2aIDNumber,865)="","",INDEX(I.Facility.P2aIDNumber,865))</f>
        <v/>
      </c>
      <c r="G5877" s="51"/>
      <c r="H5877" s="46" t="str">
        <f>IF(AND(I.Developer.P2a=TRUE,I.Facility.P2aFacilityCount&gt;=865,F5877=""),"Incomplete","Complete")</f>
        <v>Complete</v>
      </c>
      <c r="I5877" s="48" t="s">
        <v>10242</v>
      </c>
    </row>
    <row r="5878" spans="2:9" ht="15" customHeight="1" x14ac:dyDescent="0.25">
      <c r="B5878" s="55" t="s">
        <v>280</v>
      </c>
      <c r="C5878" s="46">
        <v>866</v>
      </c>
      <c r="D5878" s="69" t="s">
        <v>29417</v>
      </c>
      <c r="E5878" s="51"/>
      <c r="F5878" s="114" t="str">
        <f>IF(INDEX(I.Facility.P2aIDNumber,866)="","",INDEX(I.Facility.P2aIDNumber,866))</f>
        <v/>
      </c>
      <c r="G5878" s="51"/>
      <c r="H5878" s="46" t="str">
        <f>IF(AND(I.Developer.P2a=TRUE,I.Facility.P2aFacilityCount&gt;=866,F5878=""),"Incomplete","Complete")</f>
        <v>Complete</v>
      </c>
      <c r="I5878" s="48" t="s">
        <v>10243</v>
      </c>
    </row>
    <row r="5879" spans="2:9" ht="15" customHeight="1" x14ac:dyDescent="0.25">
      <c r="B5879" s="55" t="s">
        <v>280</v>
      </c>
      <c r="C5879" s="46">
        <v>867</v>
      </c>
      <c r="D5879" s="69" t="s">
        <v>29417</v>
      </c>
      <c r="E5879" s="51"/>
      <c r="F5879" s="114" t="str">
        <f>IF(INDEX(I.Facility.P2aIDNumber,867)="","",INDEX(I.Facility.P2aIDNumber,867))</f>
        <v/>
      </c>
      <c r="G5879" s="51"/>
      <c r="H5879" s="46" t="str">
        <f>IF(AND(I.Developer.P2a=TRUE,I.Facility.P2aFacilityCount&gt;=867,F5879=""),"Incomplete","Complete")</f>
        <v>Complete</v>
      </c>
      <c r="I5879" s="48" t="s">
        <v>10244</v>
      </c>
    </row>
    <row r="5880" spans="2:9" ht="15" customHeight="1" x14ac:dyDescent="0.25">
      <c r="B5880" s="55" t="s">
        <v>280</v>
      </c>
      <c r="C5880" s="46">
        <v>868</v>
      </c>
      <c r="D5880" s="69" t="s">
        <v>29417</v>
      </c>
      <c r="E5880" s="51"/>
      <c r="F5880" s="114" t="str">
        <f>IF(INDEX(I.Facility.P2aIDNumber,868)="","",INDEX(I.Facility.P2aIDNumber,868))</f>
        <v/>
      </c>
      <c r="G5880" s="51"/>
      <c r="H5880" s="46" t="str">
        <f>IF(AND(I.Developer.P2a=TRUE,I.Facility.P2aFacilityCount&gt;=868,F5880=""),"Incomplete","Complete")</f>
        <v>Complete</v>
      </c>
      <c r="I5880" s="48" t="s">
        <v>10245</v>
      </c>
    </row>
    <row r="5881" spans="2:9" ht="15" customHeight="1" x14ac:dyDescent="0.25">
      <c r="B5881" s="55" t="s">
        <v>280</v>
      </c>
      <c r="C5881" s="46">
        <v>869</v>
      </c>
      <c r="D5881" s="69" t="s">
        <v>29417</v>
      </c>
      <c r="E5881" s="51"/>
      <c r="F5881" s="114" t="str">
        <f>IF(INDEX(I.Facility.P2aIDNumber,869)="","",INDEX(I.Facility.P2aIDNumber,869))</f>
        <v/>
      </c>
      <c r="G5881" s="51"/>
      <c r="H5881" s="46" t="str">
        <f>IF(AND(I.Developer.P2a=TRUE,I.Facility.P2aFacilityCount&gt;=869,F5881=""),"Incomplete","Complete")</f>
        <v>Complete</v>
      </c>
      <c r="I5881" s="48" t="s">
        <v>10246</v>
      </c>
    </row>
    <row r="5882" spans="2:9" ht="15" customHeight="1" x14ac:dyDescent="0.25">
      <c r="B5882" s="55" t="s">
        <v>280</v>
      </c>
      <c r="C5882" s="46">
        <v>870</v>
      </c>
      <c r="D5882" s="69" t="s">
        <v>29417</v>
      </c>
      <c r="E5882" s="51"/>
      <c r="F5882" s="114" t="str">
        <f>IF(INDEX(I.Facility.P2aIDNumber,870)="","",INDEX(I.Facility.P2aIDNumber,870))</f>
        <v/>
      </c>
      <c r="G5882" s="51"/>
      <c r="H5882" s="46" t="str">
        <f>IF(AND(I.Developer.P2a=TRUE,I.Facility.P2aFacilityCount&gt;=870,F5882=""),"Incomplete","Complete")</f>
        <v>Complete</v>
      </c>
      <c r="I5882" s="48" t="s">
        <v>10247</v>
      </c>
    </row>
    <row r="5883" spans="2:9" ht="15" customHeight="1" x14ac:dyDescent="0.25">
      <c r="B5883" s="55" t="s">
        <v>280</v>
      </c>
      <c r="C5883" s="46">
        <v>871</v>
      </c>
      <c r="D5883" s="69" t="s">
        <v>29417</v>
      </c>
      <c r="E5883" s="51"/>
      <c r="F5883" s="114" t="str">
        <f>IF(INDEX(I.Facility.P2aIDNumber,871)="","",INDEX(I.Facility.P2aIDNumber,871))</f>
        <v/>
      </c>
      <c r="G5883" s="51"/>
      <c r="H5883" s="46" t="str">
        <f>IF(AND(I.Developer.P2a=TRUE,I.Facility.P2aFacilityCount&gt;=871,F5883=""),"Incomplete","Complete")</f>
        <v>Complete</v>
      </c>
      <c r="I5883" s="48" t="s">
        <v>10248</v>
      </c>
    </row>
    <row r="5884" spans="2:9" ht="15" customHeight="1" x14ac:dyDescent="0.25">
      <c r="B5884" s="55" t="s">
        <v>280</v>
      </c>
      <c r="C5884" s="46">
        <v>872</v>
      </c>
      <c r="D5884" s="69" t="s">
        <v>29417</v>
      </c>
      <c r="E5884" s="51"/>
      <c r="F5884" s="114" t="str">
        <f>IF(INDEX(I.Facility.P2aIDNumber,872)="","",INDEX(I.Facility.P2aIDNumber,872))</f>
        <v/>
      </c>
      <c r="G5884" s="51"/>
      <c r="H5884" s="46" t="str">
        <f>IF(AND(I.Developer.P2a=TRUE,I.Facility.P2aFacilityCount&gt;=872,F5884=""),"Incomplete","Complete")</f>
        <v>Complete</v>
      </c>
      <c r="I5884" s="48" t="s">
        <v>10249</v>
      </c>
    </row>
    <row r="5885" spans="2:9" ht="15" customHeight="1" x14ac:dyDescent="0.25">
      <c r="B5885" s="55" t="s">
        <v>280</v>
      </c>
      <c r="C5885" s="46">
        <v>873</v>
      </c>
      <c r="D5885" s="69" t="s">
        <v>29417</v>
      </c>
      <c r="E5885" s="51"/>
      <c r="F5885" s="114" t="str">
        <f>IF(INDEX(I.Facility.P2aIDNumber,873)="","",INDEX(I.Facility.P2aIDNumber,873))</f>
        <v/>
      </c>
      <c r="G5885" s="51"/>
      <c r="H5885" s="46" t="str">
        <f>IF(AND(I.Developer.P2a=TRUE,I.Facility.P2aFacilityCount&gt;=873,F5885=""),"Incomplete","Complete")</f>
        <v>Complete</v>
      </c>
      <c r="I5885" s="48" t="s">
        <v>10250</v>
      </c>
    </row>
    <row r="5886" spans="2:9" ht="15" customHeight="1" x14ac:dyDescent="0.25">
      <c r="B5886" s="55" t="s">
        <v>280</v>
      </c>
      <c r="C5886" s="46">
        <v>874</v>
      </c>
      <c r="D5886" s="69" t="s">
        <v>29417</v>
      </c>
      <c r="E5886" s="51"/>
      <c r="F5886" s="114" t="str">
        <f>IF(INDEX(I.Facility.P2aIDNumber,874)="","",INDEX(I.Facility.P2aIDNumber,874))</f>
        <v/>
      </c>
      <c r="G5886" s="51"/>
      <c r="H5886" s="46" t="str">
        <f>IF(AND(I.Developer.P2a=TRUE,I.Facility.P2aFacilityCount&gt;=874,F5886=""),"Incomplete","Complete")</f>
        <v>Complete</v>
      </c>
      <c r="I5886" s="48" t="s">
        <v>10251</v>
      </c>
    </row>
    <row r="5887" spans="2:9" ht="15" customHeight="1" x14ac:dyDescent="0.25">
      <c r="B5887" s="55" t="s">
        <v>280</v>
      </c>
      <c r="C5887" s="46">
        <v>875</v>
      </c>
      <c r="D5887" s="69" t="s">
        <v>29417</v>
      </c>
      <c r="E5887" s="51"/>
      <c r="F5887" s="114" t="str">
        <f>IF(INDEX(I.Facility.P2aIDNumber,875)="","",INDEX(I.Facility.P2aIDNumber,875))</f>
        <v/>
      </c>
      <c r="G5887" s="51"/>
      <c r="H5887" s="46" t="str">
        <f>IF(AND(I.Developer.P2a=TRUE,I.Facility.P2aFacilityCount&gt;=875,F5887=""),"Incomplete","Complete")</f>
        <v>Complete</v>
      </c>
      <c r="I5887" s="48" t="s">
        <v>10252</v>
      </c>
    </row>
    <row r="5888" spans="2:9" ht="15" customHeight="1" x14ac:dyDescent="0.25">
      <c r="B5888" s="55" t="s">
        <v>280</v>
      </c>
      <c r="C5888" s="46">
        <v>876</v>
      </c>
      <c r="D5888" s="69" t="s">
        <v>29417</v>
      </c>
      <c r="E5888" s="51"/>
      <c r="F5888" s="114" t="str">
        <f>IF(INDEX(I.Facility.P2aIDNumber,876)="","",INDEX(I.Facility.P2aIDNumber,876))</f>
        <v/>
      </c>
      <c r="G5888" s="51"/>
      <c r="H5888" s="46" t="str">
        <f>IF(AND(I.Developer.P2a=TRUE,I.Facility.P2aFacilityCount&gt;=876,F5888=""),"Incomplete","Complete")</f>
        <v>Complete</v>
      </c>
      <c r="I5888" s="48" t="s">
        <v>10253</v>
      </c>
    </row>
    <row r="5889" spans="2:9" ht="15" customHeight="1" x14ac:dyDescent="0.25">
      <c r="B5889" s="55" t="s">
        <v>280</v>
      </c>
      <c r="C5889" s="46">
        <v>877</v>
      </c>
      <c r="D5889" s="69" t="s">
        <v>29417</v>
      </c>
      <c r="E5889" s="51"/>
      <c r="F5889" s="114" t="str">
        <f>IF(INDEX(I.Facility.P2aIDNumber,877)="","",INDEX(I.Facility.P2aIDNumber,877))</f>
        <v/>
      </c>
      <c r="G5889" s="51"/>
      <c r="H5889" s="46" t="str">
        <f>IF(AND(I.Developer.P2a=TRUE,I.Facility.P2aFacilityCount&gt;=877,F5889=""),"Incomplete","Complete")</f>
        <v>Complete</v>
      </c>
      <c r="I5889" s="48" t="s">
        <v>10254</v>
      </c>
    </row>
    <row r="5890" spans="2:9" ht="15" customHeight="1" x14ac:dyDescent="0.25">
      <c r="B5890" s="55" t="s">
        <v>280</v>
      </c>
      <c r="C5890" s="46">
        <v>878</v>
      </c>
      <c r="D5890" s="69" t="s">
        <v>29417</v>
      </c>
      <c r="E5890" s="51"/>
      <c r="F5890" s="114" t="str">
        <f>IF(INDEX(I.Facility.P2aIDNumber,878)="","",INDEX(I.Facility.P2aIDNumber,878))</f>
        <v/>
      </c>
      <c r="G5890" s="51"/>
      <c r="H5890" s="46" t="str">
        <f>IF(AND(I.Developer.P2a=TRUE,I.Facility.P2aFacilityCount&gt;=878,F5890=""),"Incomplete","Complete")</f>
        <v>Complete</v>
      </c>
      <c r="I5890" s="48" t="s">
        <v>10255</v>
      </c>
    </row>
    <row r="5891" spans="2:9" ht="15" customHeight="1" x14ac:dyDescent="0.25">
      <c r="B5891" s="55" t="s">
        <v>280</v>
      </c>
      <c r="C5891" s="46">
        <v>879</v>
      </c>
      <c r="D5891" s="69" t="s">
        <v>29417</v>
      </c>
      <c r="E5891" s="51"/>
      <c r="F5891" s="114" t="str">
        <f>IF(INDEX(I.Facility.P2aIDNumber,879)="","",INDEX(I.Facility.P2aIDNumber,879))</f>
        <v/>
      </c>
      <c r="G5891" s="51"/>
      <c r="H5891" s="46" t="str">
        <f>IF(AND(I.Developer.P2a=TRUE,I.Facility.P2aFacilityCount&gt;=879,F5891=""),"Incomplete","Complete")</f>
        <v>Complete</v>
      </c>
      <c r="I5891" s="48" t="s">
        <v>10256</v>
      </c>
    </row>
    <row r="5892" spans="2:9" ht="15" customHeight="1" x14ac:dyDescent="0.25">
      <c r="B5892" s="55" t="s">
        <v>280</v>
      </c>
      <c r="C5892" s="46">
        <v>880</v>
      </c>
      <c r="D5892" s="69" t="s">
        <v>29417</v>
      </c>
      <c r="E5892" s="51"/>
      <c r="F5892" s="114" t="str">
        <f>IF(INDEX(I.Facility.P2aIDNumber,880)="","",INDEX(I.Facility.P2aIDNumber,880))</f>
        <v/>
      </c>
      <c r="G5892" s="51"/>
      <c r="H5892" s="46" t="str">
        <f>IF(AND(I.Developer.P2a=TRUE,I.Facility.P2aFacilityCount&gt;=880,F5892=""),"Incomplete","Complete")</f>
        <v>Complete</v>
      </c>
      <c r="I5892" s="48" t="s">
        <v>10257</v>
      </c>
    </row>
    <row r="5893" spans="2:9" ht="15" customHeight="1" x14ac:dyDescent="0.25">
      <c r="B5893" s="55" t="s">
        <v>280</v>
      </c>
      <c r="C5893" s="46">
        <v>881</v>
      </c>
      <c r="D5893" s="69" t="s">
        <v>29417</v>
      </c>
      <c r="E5893" s="51"/>
      <c r="F5893" s="114" t="str">
        <f>IF(INDEX(I.Facility.P2aIDNumber,881)="","",INDEX(I.Facility.P2aIDNumber,881))</f>
        <v/>
      </c>
      <c r="G5893" s="51"/>
      <c r="H5893" s="46" t="str">
        <f>IF(AND(I.Developer.P2a=TRUE,I.Facility.P2aFacilityCount&gt;=881,F5893=""),"Incomplete","Complete")</f>
        <v>Complete</v>
      </c>
      <c r="I5893" s="48" t="s">
        <v>10258</v>
      </c>
    </row>
    <row r="5894" spans="2:9" ht="15" customHeight="1" x14ac:dyDescent="0.25">
      <c r="B5894" s="55" t="s">
        <v>280</v>
      </c>
      <c r="C5894" s="46">
        <v>882</v>
      </c>
      <c r="D5894" s="69" t="s">
        <v>29417</v>
      </c>
      <c r="E5894" s="51"/>
      <c r="F5894" s="114" t="str">
        <f>IF(INDEX(I.Facility.P2aIDNumber,882)="","",INDEX(I.Facility.P2aIDNumber,882))</f>
        <v/>
      </c>
      <c r="G5894" s="51"/>
      <c r="H5894" s="46" t="str">
        <f>IF(AND(I.Developer.P2a=TRUE,I.Facility.P2aFacilityCount&gt;=882,F5894=""),"Incomplete","Complete")</f>
        <v>Complete</v>
      </c>
      <c r="I5894" s="48" t="s">
        <v>10259</v>
      </c>
    </row>
    <row r="5895" spans="2:9" ht="15" customHeight="1" x14ac:dyDescent="0.25">
      <c r="B5895" s="55" t="s">
        <v>280</v>
      </c>
      <c r="C5895" s="46">
        <v>883</v>
      </c>
      <c r="D5895" s="69" t="s">
        <v>29417</v>
      </c>
      <c r="E5895" s="51"/>
      <c r="F5895" s="114" t="str">
        <f>IF(INDEX(I.Facility.P2aIDNumber,883)="","",INDEX(I.Facility.P2aIDNumber,883))</f>
        <v/>
      </c>
      <c r="G5895" s="51"/>
      <c r="H5895" s="46" t="str">
        <f>IF(AND(I.Developer.P2a=TRUE,I.Facility.P2aFacilityCount&gt;=883,F5895=""),"Incomplete","Complete")</f>
        <v>Complete</v>
      </c>
      <c r="I5895" s="48" t="s">
        <v>10260</v>
      </c>
    </row>
    <row r="5896" spans="2:9" ht="15" customHeight="1" x14ac:dyDescent="0.25">
      <c r="B5896" s="55" t="s">
        <v>280</v>
      </c>
      <c r="C5896" s="46">
        <v>884</v>
      </c>
      <c r="D5896" s="69" t="s">
        <v>29417</v>
      </c>
      <c r="E5896" s="51"/>
      <c r="F5896" s="114" t="str">
        <f>IF(INDEX(I.Facility.P2aIDNumber,884)="","",INDEX(I.Facility.P2aIDNumber,884))</f>
        <v/>
      </c>
      <c r="G5896" s="51"/>
      <c r="H5896" s="46" t="str">
        <f>IF(AND(I.Developer.P2a=TRUE,I.Facility.P2aFacilityCount&gt;=884,F5896=""),"Incomplete","Complete")</f>
        <v>Complete</v>
      </c>
      <c r="I5896" s="48" t="s">
        <v>10261</v>
      </c>
    </row>
    <row r="5897" spans="2:9" ht="15" customHeight="1" x14ac:dyDescent="0.25">
      <c r="B5897" s="55" t="s">
        <v>280</v>
      </c>
      <c r="C5897" s="46">
        <v>885</v>
      </c>
      <c r="D5897" s="69" t="s">
        <v>29417</v>
      </c>
      <c r="E5897" s="51"/>
      <c r="F5897" s="114" t="str">
        <f>IF(INDEX(I.Facility.P2aIDNumber,885)="","",INDEX(I.Facility.P2aIDNumber,885))</f>
        <v/>
      </c>
      <c r="G5897" s="51"/>
      <c r="H5897" s="46" t="str">
        <f>IF(AND(I.Developer.P2a=TRUE,I.Facility.P2aFacilityCount&gt;=885,F5897=""),"Incomplete","Complete")</f>
        <v>Complete</v>
      </c>
      <c r="I5897" s="48" t="s">
        <v>10262</v>
      </c>
    </row>
    <row r="5898" spans="2:9" ht="15" customHeight="1" x14ac:dyDescent="0.25">
      <c r="B5898" s="55" t="s">
        <v>280</v>
      </c>
      <c r="C5898" s="46">
        <v>886</v>
      </c>
      <c r="D5898" s="69" t="s">
        <v>29417</v>
      </c>
      <c r="E5898" s="51"/>
      <c r="F5898" s="114" t="str">
        <f>IF(INDEX(I.Facility.P2aIDNumber,886)="","",INDEX(I.Facility.P2aIDNumber,886))</f>
        <v/>
      </c>
      <c r="G5898" s="51"/>
      <c r="H5898" s="46" t="str">
        <f>IF(AND(I.Developer.P2a=TRUE,I.Facility.P2aFacilityCount&gt;=886,F5898=""),"Incomplete","Complete")</f>
        <v>Complete</v>
      </c>
      <c r="I5898" s="48" t="s">
        <v>10263</v>
      </c>
    </row>
    <row r="5899" spans="2:9" ht="15" customHeight="1" x14ac:dyDescent="0.25">
      <c r="B5899" s="55" t="s">
        <v>280</v>
      </c>
      <c r="C5899" s="46">
        <v>887</v>
      </c>
      <c r="D5899" s="69" t="s">
        <v>29417</v>
      </c>
      <c r="E5899" s="51"/>
      <c r="F5899" s="114" t="str">
        <f>IF(INDEX(I.Facility.P2aIDNumber,887)="","",INDEX(I.Facility.P2aIDNumber,887))</f>
        <v/>
      </c>
      <c r="G5899" s="51"/>
      <c r="H5899" s="46" t="str">
        <f>IF(AND(I.Developer.P2a=TRUE,I.Facility.P2aFacilityCount&gt;=887,F5899=""),"Incomplete","Complete")</f>
        <v>Complete</v>
      </c>
      <c r="I5899" s="48" t="s">
        <v>10264</v>
      </c>
    </row>
    <row r="5900" spans="2:9" ht="15" customHeight="1" x14ac:dyDescent="0.25">
      <c r="B5900" s="55" t="s">
        <v>280</v>
      </c>
      <c r="C5900" s="46">
        <v>888</v>
      </c>
      <c r="D5900" s="69" t="s">
        <v>29417</v>
      </c>
      <c r="E5900" s="51"/>
      <c r="F5900" s="114" t="str">
        <f>IF(INDEX(I.Facility.P2aIDNumber,888)="","",INDEX(I.Facility.P2aIDNumber,888))</f>
        <v/>
      </c>
      <c r="G5900" s="51"/>
      <c r="H5900" s="46" t="str">
        <f>IF(AND(I.Developer.P2a=TRUE,I.Facility.P2aFacilityCount&gt;=888,F5900=""),"Incomplete","Complete")</f>
        <v>Complete</v>
      </c>
      <c r="I5900" s="48" t="s">
        <v>10265</v>
      </c>
    </row>
    <row r="5901" spans="2:9" ht="15" customHeight="1" x14ac:dyDescent="0.25">
      <c r="B5901" s="55" t="s">
        <v>280</v>
      </c>
      <c r="C5901" s="46">
        <v>889</v>
      </c>
      <c r="D5901" s="69" t="s">
        <v>29417</v>
      </c>
      <c r="E5901" s="51"/>
      <c r="F5901" s="114" t="str">
        <f>IF(INDEX(I.Facility.P2aIDNumber,889)="","",INDEX(I.Facility.P2aIDNumber,889))</f>
        <v/>
      </c>
      <c r="G5901" s="51"/>
      <c r="H5901" s="46" t="str">
        <f>IF(AND(I.Developer.P2a=TRUE,I.Facility.P2aFacilityCount&gt;=889,F5901=""),"Incomplete","Complete")</f>
        <v>Complete</v>
      </c>
      <c r="I5901" s="48" t="s">
        <v>10266</v>
      </c>
    </row>
    <row r="5902" spans="2:9" ht="15" customHeight="1" x14ac:dyDescent="0.25">
      <c r="B5902" s="55" t="s">
        <v>280</v>
      </c>
      <c r="C5902" s="46">
        <v>890</v>
      </c>
      <c r="D5902" s="69" t="s">
        <v>29417</v>
      </c>
      <c r="E5902" s="51"/>
      <c r="F5902" s="114" t="str">
        <f>IF(INDEX(I.Facility.P2aIDNumber,890)="","",INDEX(I.Facility.P2aIDNumber,890))</f>
        <v/>
      </c>
      <c r="G5902" s="51"/>
      <c r="H5902" s="46" t="str">
        <f>IF(AND(I.Developer.P2a=TRUE,I.Facility.P2aFacilityCount&gt;=890,F5902=""),"Incomplete","Complete")</f>
        <v>Complete</v>
      </c>
      <c r="I5902" s="48" t="s">
        <v>10267</v>
      </c>
    </row>
    <row r="5903" spans="2:9" ht="15" customHeight="1" x14ac:dyDescent="0.25">
      <c r="B5903" s="55" t="s">
        <v>280</v>
      </c>
      <c r="C5903" s="46">
        <v>891</v>
      </c>
      <c r="D5903" s="69" t="s">
        <v>29417</v>
      </c>
      <c r="E5903" s="51"/>
      <c r="F5903" s="114" t="str">
        <f>IF(INDEX(I.Facility.P2aIDNumber,891)="","",INDEX(I.Facility.P2aIDNumber,891))</f>
        <v/>
      </c>
      <c r="G5903" s="51"/>
      <c r="H5903" s="46" t="str">
        <f>IF(AND(I.Developer.P2a=TRUE,I.Facility.P2aFacilityCount&gt;=891,F5903=""),"Incomplete","Complete")</f>
        <v>Complete</v>
      </c>
      <c r="I5903" s="48" t="s">
        <v>10268</v>
      </c>
    </row>
    <row r="5904" spans="2:9" ht="15" customHeight="1" x14ac:dyDescent="0.25">
      <c r="B5904" s="55" t="s">
        <v>280</v>
      </c>
      <c r="C5904" s="46">
        <v>892</v>
      </c>
      <c r="D5904" s="69" t="s">
        <v>29417</v>
      </c>
      <c r="E5904" s="51"/>
      <c r="F5904" s="114" t="str">
        <f>IF(INDEX(I.Facility.P2aIDNumber,892)="","",INDEX(I.Facility.P2aIDNumber,892))</f>
        <v/>
      </c>
      <c r="G5904" s="51"/>
      <c r="H5904" s="46" t="str">
        <f>IF(AND(I.Developer.P2a=TRUE,I.Facility.P2aFacilityCount&gt;=892,F5904=""),"Incomplete","Complete")</f>
        <v>Complete</v>
      </c>
      <c r="I5904" s="48" t="s">
        <v>10269</v>
      </c>
    </row>
    <row r="5905" spans="2:9" ht="15" customHeight="1" x14ac:dyDescent="0.25">
      <c r="B5905" s="55" t="s">
        <v>280</v>
      </c>
      <c r="C5905" s="46">
        <v>893</v>
      </c>
      <c r="D5905" s="69" t="s">
        <v>29417</v>
      </c>
      <c r="E5905" s="51"/>
      <c r="F5905" s="114" t="str">
        <f>IF(INDEX(I.Facility.P2aIDNumber,893)="","",INDEX(I.Facility.P2aIDNumber,893))</f>
        <v/>
      </c>
      <c r="G5905" s="51"/>
      <c r="H5905" s="46" t="str">
        <f>IF(AND(I.Developer.P2a=TRUE,I.Facility.P2aFacilityCount&gt;=893,F5905=""),"Incomplete","Complete")</f>
        <v>Complete</v>
      </c>
      <c r="I5905" s="48" t="s">
        <v>10270</v>
      </c>
    </row>
    <row r="5906" spans="2:9" ht="15" customHeight="1" x14ac:dyDescent="0.25">
      <c r="B5906" s="55" t="s">
        <v>280</v>
      </c>
      <c r="C5906" s="46">
        <v>894</v>
      </c>
      <c r="D5906" s="69" t="s">
        <v>29417</v>
      </c>
      <c r="E5906" s="51"/>
      <c r="F5906" s="114" t="str">
        <f>IF(INDEX(I.Facility.P2aIDNumber,894)="","",INDEX(I.Facility.P2aIDNumber,894))</f>
        <v/>
      </c>
      <c r="G5906" s="51"/>
      <c r="H5906" s="46" t="str">
        <f>IF(AND(I.Developer.P2a=TRUE,I.Facility.P2aFacilityCount&gt;=894,F5906=""),"Incomplete","Complete")</f>
        <v>Complete</v>
      </c>
      <c r="I5906" s="48" t="s">
        <v>10271</v>
      </c>
    </row>
    <row r="5907" spans="2:9" ht="15" customHeight="1" x14ac:dyDescent="0.25">
      <c r="B5907" s="55" t="s">
        <v>280</v>
      </c>
      <c r="C5907" s="46">
        <v>895</v>
      </c>
      <c r="D5907" s="69" t="s">
        <v>29417</v>
      </c>
      <c r="E5907" s="51"/>
      <c r="F5907" s="114" t="str">
        <f>IF(INDEX(I.Facility.P2aIDNumber,895)="","",INDEX(I.Facility.P2aIDNumber,895))</f>
        <v/>
      </c>
      <c r="G5907" s="51"/>
      <c r="H5907" s="46" t="str">
        <f>IF(AND(I.Developer.P2a=TRUE,I.Facility.P2aFacilityCount&gt;=895,F5907=""),"Incomplete","Complete")</f>
        <v>Complete</v>
      </c>
      <c r="I5907" s="48" t="s">
        <v>10272</v>
      </c>
    </row>
    <row r="5908" spans="2:9" ht="15" customHeight="1" x14ac:dyDescent="0.25">
      <c r="B5908" s="55" t="s">
        <v>280</v>
      </c>
      <c r="C5908" s="46">
        <v>896</v>
      </c>
      <c r="D5908" s="69" t="s">
        <v>29417</v>
      </c>
      <c r="E5908" s="51"/>
      <c r="F5908" s="114" t="str">
        <f>IF(INDEX(I.Facility.P2aIDNumber,896)="","",INDEX(I.Facility.P2aIDNumber,896))</f>
        <v/>
      </c>
      <c r="G5908" s="51"/>
      <c r="H5908" s="46" t="str">
        <f>IF(AND(I.Developer.P2a=TRUE,I.Facility.P2aFacilityCount&gt;=896,F5908=""),"Incomplete","Complete")</f>
        <v>Complete</v>
      </c>
      <c r="I5908" s="48" t="s">
        <v>10273</v>
      </c>
    </row>
    <row r="5909" spans="2:9" ht="15" customHeight="1" x14ac:dyDescent="0.25">
      <c r="B5909" s="55" t="s">
        <v>280</v>
      </c>
      <c r="C5909" s="46">
        <v>897</v>
      </c>
      <c r="D5909" s="69" t="s">
        <v>29417</v>
      </c>
      <c r="E5909" s="51"/>
      <c r="F5909" s="114" t="str">
        <f>IF(INDEX(I.Facility.P2aIDNumber,897)="","",INDEX(I.Facility.P2aIDNumber,897))</f>
        <v/>
      </c>
      <c r="G5909" s="51"/>
      <c r="H5909" s="46" t="str">
        <f>IF(AND(I.Developer.P2a=TRUE,I.Facility.P2aFacilityCount&gt;=897,F5909=""),"Incomplete","Complete")</f>
        <v>Complete</v>
      </c>
      <c r="I5909" s="48" t="s">
        <v>10274</v>
      </c>
    </row>
    <row r="5910" spans="2:9" ht="15" customHeight="1" x14ac:dyDescent="0.25">
      <c r="B5910" s="55" t="s">
        <v>280</v>
      </c>
      <c r="C5910" s="46">
        <v>898</v>
      </c>
      <c r="D5910" s="69" t="s">
        <v>29417</v>
      </c>
      <c r="E5910" s="51"/>
      <c r="F5910" s="114" t="str">
        <f>IF(INDEX(I.Facility.P2aIDNumber,898)="","",INDEX(I.Facility.P2aIDNumber,898))</f>
        <v/>
      </c>
      <c r="G5910" s="51"/>
      <c r="H5910" s="46" t="str">
        <f>IF(AND(I.Developer.P2a=TRUE,I.Facility.P2aFacilityCount&gt;=898,F5910=""),"Incomplete","Complete")</f>
        <v>Complete</v>
      </c>
      <c r="I5910" s="48" t="s">
        <v>10275</v>
      </c>
    </row>
    <row r="5911" spans="2:9" ht="15" customHeight="1" x14ac:dyDescent="0.25">
      <c r="B5911" s="55" t="s">
        <v>280</v>
      </c>
      <c r="C5911" s="46">
        <v>899</v>
      </c>
      <c r="D5911" s="69" t="s">
        <v>29417</v>
      </c>
      <c r="E5911" s="51"/>
      <c r="F5911" s="114" t="str">
        <f>IF(INDEX(I.Facility.P2aIDNumber,899)="","",INDEX(I.Facility.P2aIDNumber,899))</f>
        <v/>
      </c>
      <c r="G5911" s="51"/>
      <c r="H5911" s="46" t="str">
        <f>IF(AND(I.Developer.P2a=TRUE,I.Facility.P2aFacilityCount&gt;=899,F5911=""),"Incomplete","Complete")</f>
        <v>Complete</v>
      </c>
      <c r="I5911" s="48" t="s">
        <v>10276</v>
      </c>
    </row>
    <row r="5912" spans="2:9" ht="15" customHeight="1" x14ac:dyDescent="0.25">
      <c r="B5912" s="55" t="s">
        <v>280</v>
      </c>
      <c r="C5912" s="46">
        <v>900</v>
      </c>
      <c r="D5912" s="69" t="s">
        <v>29417</v>
      </c>
      <c r="E5912" s="51"/>
      <c r="F5912" s="114" t="str">
        <f>IF(INDEX(I.Facility.P2aIDNumber,900)="","",INDEX(I.Facility.P2aIDNumber,900))</f>
        <v/>
      </c>
      <c r="G5912" s="51"/>
      <c r="H5912" s="46" t="str">
        <f>IF(AND(I.Developer.P2a=TRUE,I.Facility.P2aFacilityCount&gt;=900,F5912=""),"Incomplete","Complete")</f>
        <v>Complete</v>
      </c>
      <c r="I5912" s="48" t="s">
        <v>10277</v>
      </c>
    </row>
    <row r="5913" spans="2:9" ht="15" customHeight="1" x14ac:dyDescent="0.25">
      <c r="B5913" s="55" t="s">
        <v>280</v>
      </c>
      <c r="C5913" s="46">
        <v>901</v>
      </c>
      <c r="D5913" s="69" t="s">
        <v>29417</v>
      </c>
      <c r="E5913" s="51"/>
      <c r="F5913" s="114" t="str">
        <f>IF(INDEX(I.Facility.P2aIDNumber,901)="","",INDEX(I.Facility.P2aIDNumber,901))</f>
        <v/>
      </c>
      <c r="G5913" s="51"/>
      <c r="H5913" s="46" t="str">
        <f>IF(AND(I.Developer.P2a=TRUE,I.Facility.P2aFacilityCount&gt;=901,F5913=""),"Incomplete","Complete")</f>
        <v>Complete</v>
      </c>
      <c r="I5913" s="48" t="s">
        <v>10278</v>
      </c>
    </row>
    <row r="5914" spans="2:9" ht="15" customHeight="1" x14ac:dyDescent="0.25">
      <c r="B5914" s="55" t="s">
        <v>280</v>
      </c>
      <c r="C5914" s="46">
        <v>902</v>
      </c>
      <c r="D5914" s="69" t="s">
        <v>29417</v>
      </c>
      <c r="E5914" s="51"/>
      <c r="F5914" s="114" t="str">
        <f>IF(INDEX(I.Facility.P2aIDNumber,902)="","",INDEX(I.Facility.P2aIDNumber,902))</f>
        <v/>
      </c>
      <c r="G5914" s="51"/>
      <c r="H5914" s="46" t="str">
        <f>IF(AND(I.Developer.P2a=TRUE,I.Facility.P2aFacilityCount&gt;=902,F5914=""),"Incomplete","Complete")</f>
        <v>Complete</v>
      </c>
      <c r="I5914" s="48" t="s">
        <v>10279</v>
      </c>
    </row>
    <row r="5915" spans="2:9" ht="15" customHeight="1" x14ac:dyDescent="0.25">
      <c r="B5915" s="55" t="s">
        <v>280</v>
      </c>
      <c r="C5915" s="46">
        <v>903</v>
      </c>
      <c r="D5915" s="69" t="s">
        <v>29417</v>
      </c>
      <c r="E5915" s="51"/>
      <c r="F5915" s="114" t="str">
        <f>IF(INDEX(I.Facility.P2aIDNumber,903)="","",INDEX(I.Facility.P2aIDNumber,903))</f>
        <v/>
      </c>
      <c r="G5915" s="51"/>
      <c r="H5915" s="46" t="str">
        <f>IF(AND(I.Developer.P2a=TRUE,I.Facility.P2aFacilityCount&gt;=903,F5915=""),"Incomplete","Complete")</f>
        <v>Complete</v>
      </c>
      <c r="I5915" s="48" t="s">
        <v>10280</v>
      </c>
    </row>
    <row r="5916" spans="2:9" ht="15" customHeight="1" x14ac:dyDescent="0.25">
      <c r="B5916" s="55" t="s">
        <v>280</v>
      </c>
      <c r="C5916" s="46">
        <v>904</v>
      </c>
      <c r="D5916" s="69" t="s">
        <v>29417</v>
      </c>
      <c r="E5916" s="51"/>
      <c r="F5916" s="114" t="str">
        <f>IF(INDEX(I.Facility.P2aIDNumber,904)="","",INDEX(I.Facility.P2aIDNumber,904))</f>
        <v/>
      </c>
      <c r="G5916" s="51"/>
      <c r="H5916" s="46" t="str">
        <f>IF(AND(I.Developer.P2a=TRUE,I.Facility.P2aFacilityCount&gt;=904,F5916=""),"Incomplete","Complete")</f>
        <v>Complete</v>
      </c>
      <c r="I5916" s="48" t="s">
        <v>10281</v>
      </c>
    </row>
    <row r="5917" spans="2:9" ht="15" customHeight="1" x14ac:dyDescent="0.25">
      <c r="B5917" s="55" t="s">
        <v>280</v>
      </c>
      <c r="C5917" s="46">
        <v>905</v>
      </c>
      <c r="D5917" s="69" t="s">
        <v>29417</v>
      </c>
      <c r="E5917" s="51"/>
      <c r="F5917" s="114" t="str">
        <f>IF(INDEX(I.Facility.P2aIDNumber,905)="","",INDEX(I.Facility.P2aIDNumber,905))</f>
        <v/>
      </c>
      <c r="G5917" s="51"/>
      <c r="H5917" s="46" t="str">
        <f>IF(AND(I.Developer.P2a=TRUE,I.Facility.P2aFacilityCount&gt;=905,F5917=""),"Incomplete","Complete")</f>
        <v>Complete</v>
      </c>
      <c r="I5917" s="48" t="s">
        <v>10282</v>
      </c>
    </row>
    <row r="5918" spans="2:9" ht="15" customHeight="1" x14ac:dyDescent="0.25">
      <c r="B5918" s="55" t="s">
        <v>280</v>
      </c>
      <c r="C5918" s="46">
        <v>906</v>
      </c>
      <c r="D5918" s="69" t="s">
        <v>29417</v>
      </c>
      <c r="E5918" s="51"/>
      <c r="F5918" s="114" t="str">
        <f>IF(INDEX(I.Facility.P2aIDNumber,906)="","",INDEX(I.Facility.P2aIDNumber,906))</f>
        <v/>
      </c>
      <c r="G5918" s="51"/>
      <c r="H5918" s="46" t="str">
        <f>IF(AND(I.Developer.P2a=TRUE,I.Facility.P2aFacilityCount&gt;=906,F5918=""),"Incomplete","Complete")</f>
        <v>Complete</v>
      </c>
      <c r="I5918" s="48" t="s">
        <v>10283</v>
      </c>
    </row>
    <row r="5919" spans="2:9" ht="15" customHeight="1" x14ac:dyDescent="0.25">
      <c r="B5919" s="55" t="s">
        <v>280</v>
      </c>
      <c r="C5919" s="46">
        <v>907</v>
      </c>
      <c r="D5919" s="69" t="s">
        <v>29417</v>
      </c>
      <c r="E5919" s="51"/>
      <c r="F5919" s="114" t="str">
        <f>IF(INDEX(I.Facility.P2aIDNumber,907)="","",INDEX(I.Facility.P2aIDNumber,907))</f>
        <v/>
      </c>
      <c r="G5919" s="51"/>
      <c r="H5919" s="46" t="str">
        <f>IF(AND(I.Developer.P2a=TRUE,I.Facility.P2aFacilityCount&gt;=907,F5919=""),"Incomplete","Complete")</f>
        <v>Complete</v>
      </c>
      <c r="I5919" s="48" t="s">
        <v>10284</v>
      </c>
    </row>
    <row r="5920" spans="2:9" ht="15" customHeight="1" x14ac:dyDescent="0.25">
      <c r="B5920" s="55" t="s">
        <v>280</v>
      </c>
      <c r="C5920" s="46">
        <v>908</v>
      </c>
      <c r="D5920" s="69" t="s">
        <v>29417</v>
      </c>
      <c r="E5920" s="51"/>
      <c r="F5920" s="114" t="str">
        <f>IF(INDEX(I.Facility.P2aIDNumber,908)="","",INDEX(I.Facility.P2aIDNumber,908))</f>
        <v/>
      </c>
      <c r="G5920" s="51"/>
      <c r="H5920" s="46" t="str">
        <f>IF(AND(I.Developer.P2a=TRUE,I.Facility.P2aFacilityCount&gt;=908,F5920=""),"Incomplete","Complete")</f>
        <v>Complete</v>
      </c>
      <c r="I5920" s="48" t="s">
        <v>10285</v>
      </c>
    </row>
    <row r="5921" spans="2:9" ht="15" customHeight="1" x14ac:dyDescent="0.25">
      <c r="B5921" s="55" t="s">
        <v>280</v>
      </c>
      <c r="C5921" s="46">
        <v>909</v>
      </c>
      <c r="D5921" s="69" t="s">
        <v>29417</v>
      </c>
      <c r="E5921" s="51"/>
      <c r="F5921" s="114" t="str">
        <f>IF(INDEX(I.Facility.P2aIDNumber,909)="","",INDEX(I.Facility.P2aIDNumber,909))</f>
        <v/>
      </c>
      <c r="G5921" s="51"/>
      <c r="H5921" s="46" t="str">
        <f>IF(AND(I.Developer.P2a=TRUE,I.Facility.P2aFacilityCount&gt;=909,F5921=""),"Incomplete","Complete")</f>
        <v>Complete</v>
      </c>
      <c r="I5921" s="48" t="s">
        <v>10286</v>
      </c>
    </row>
    <row r="5922" spans="2:9" ht="15" customHeight="1" x14ac:dyDescent="0.25">
      <c r="B5922" s="55" t="s">
        <v>280</v>
      </c>
      <c r="C5922" s="46">
        <v>910</v>
      </c>
      <c r="D5922" s="69" t="s">
        <v>29417</v>
      </c>
      <c r="E5922" s="51"/>
      <c r="F5922" s="114" t="str">
        <f>IF(INDEX(I.Facility.P2aIDNumber,910)="","",INDEX(I.Facility.P2aIDNumber,910))</f>
        <v/>
      </c>
      <c r="G5922" s="51"/>
      <c r="H5922" s="46" t="str">
        <f>IF(AND(I.Developer.P2a=TRUE,I.Facility.P2aFacilityCount&gt;=910,F5922=""),"Incomplete","Complete")</f>
        <v>Complete</v>
      </c>
      <c r="I5922" s="48" t="s">
        <v>10287</v>
      </c>
    </row>
    <row r="5923" spans="2:9" ht="15" customHeight="1" x14ac:dyDescent="0.25">
      <c r="B5923" s="55" t="s">
        <v>280</v>
      </c>
      <c r="C5923" s="46">
        <v>911</v>
      </c>
      <c r="D5923" s="69" t="s">
        <v>29417</v>
      </c>
      <c r="E5923" s="51"/>
      <c r="F5923" s="114" t="str">
        <f>IF(INDEX(I.Facility.P2aIDNumber,911)="","",INDEX(I.Facility.P2aIDNumber,911))</f>
        <v/>
      </c>
      <c r="G5923" s="51"/>
      <c r="H5923" s="46" t="str">
        <f>IF(AND(I.Developer.P2a=TRUE,I.Facility.P2aFacilityCount&gt;=911,F5923=""),"Incomplete","Complete")</f>
        <v>Complete</v>
      </c>
      <c r="I5923" s="48" t="s">
        <v>10288</v>
      </c>
    </row>
    <row r="5924" spans="2:9" ht="15" customHeight="1" x14ac:dyDescent="0.25">
      <c r="B5924" s="55" t="s">
        <v>280</v>
      </c>
      <c r="C5924" s="46">
        <v>912</v>
      </c>
      <c r="D5924" s="69" t="s">
        <v>29417</v>
      </c>
      <c r="E5924" s="51"/>
      <c r="F5924" s="114" t="str">
        <f>IF(INDEX(I.Facility.P2aIDNumber,912)="","",INDEX(I.Facility.P2aIDNumber,912))</f>
        <v/>
      </c>
      <c r="G5924" s="51"/>
      <c r="H5924" s="46" t="str">
        <f>IF(AND(I.Developer.P2a=TRUE,I.Facility.P2aFacilityCount&gt;=912,F5924=""),"Incomplete","Complete")</f>
        <v>Complete</v>
      </c>
      <c r="I5924" s="48" t="s">
        <v>10289</v>
      </c>
    </row>
    <row r="5925" spans="2:9" ht="15" customHeight="1" x14ac:dyDescent="0.25">
      <c r="B5925" s="55" t="s">
        <v>280</v>
      </c>
      <c r="C5925" s="46">
        <v>913</v>
      </c>
      <c r="D5925" s="69" t="s">
        <v>29417</v>
      </c>
      <c r="E5925" s="51"/>
      <c r="F5925" s="114" t="str">
        <f>IF(INDEX(I.Facility.P2aIDNumber,913)="","",INDEX(I.Facility.P2aIDNumber,913))</f>
        <v/>
      </c>
      <c r="G5925" s="51"/>
      <c r="H5925" s="46" t="str">
        <f>IF(AND(I.Developer.P2a=TRUE,I.Facility.P2aFacilityCount&gt;=913,F5925=""),"Incomplete","Complete")</f>
        <v>Complete</v>
      </c>
      <c r="I5925" s="48" t="s">
        <v>10290</v>
      </c>
    </row>
    <row r="5926" spans="2:9" ht="15" customHeight="1" x14ac:dyDescent="0.25">
      <c r="B5926" s="55" t="s">
        <v>280</v>
      </c>
      <c r="C5926" s="46">
        <v>914</v>
      </c>
      <c r="D5926" s="69" t="s">
        <v>29417</v>
      </c>
      <c r="E5926" s="51"/>
      <c r="F5926" s="114" t="str">
        <f>IF(INDEX(I.Facility.P2aIDNumber,914)="","",INDEX(I.Facility.P2aIDNumber,914))</f>
        <v/>
      </c>
      <c r="G5926" s="51"/>
      <c r="H5926" s="46" t="str">
        <f>IF(AND(I.Developer.P2a=TRUE,I.Facility.P2aFacilityCount&gt;=914,F5926=""),"Incomplete","Complete")</f>
        <v>Complete</v>
      </c>
      <c r="I5926" s="48" t="s">
        <v>10291</v>
      </c>
    </row>
    <row r="5927" spans="2:9" ht="15" customHeight="1" x14ac:dyDescent="0.25">
      <c r="B5927" s="55" t="s">
        <v>280</v>
      </c>
      <c r="C5927" s="46">
        <v>915</v>
      </c>
      <c r="D5927" s="69" t="s">
        <v>29417</v>
      </c>
      <c r="E5927" s="51"/>
      <c r="F5927" s="114" t="str">
        <f>IF(INDEX(I.Facility.P2aIDNumber,915)="","",INDEX(I.Facility.P2aIDNumber,915))</f>
        <v/>
      </c>
      <c r="G5927" s="51"/>
      <c r="H5927" s="46" t="str">
        <f>IF(AND(I.Developer.P2a=TRUE,I.Facility.P2aFacilityCount&gt;=915,F5927=""),"Incomplete","Complete")</f>
        <v>Complete</v>
      </c>
      <c r="I5927" s="48" t="s">
        <v>10292</v>
      </c>
    </row>
    <row r="5928" spans="2:9" ht="15" customHeight="1" x14ac:dyDescent="0.25">
      <c r="B5928" s="55" t="s">
        <v>280</v>
      </c>
      <c r="C5928" s="46">
        <v>916</v>
      </c>
      <c r="D5928" s="69" t="s">
        <v>29417</v>
      </c>
      <c r="E5928" s="51"/>
      <c r="F5928" s="114" t="str">
        <f>IF(INDEX(I.Facility.P2aIDNumber,916)="","",INDEX(I.Facility.P2aIDNumber,916))</f>
        <v/>
      </c>
      <c r="G5928" s="51"/>
      <c r="H5928" s="46" t="str">
        <f>IF(AND(I.Developer.P2a=TRUE,I.Facility.P2aFacilityCount&gt;=916,F5928=""),"Incomplete","Complete")</f>
        <v>Complete</v>
      </c>
      <c r="I5928" s="48" t="s">
        <v>10293</v>
      </c>
    </row>
    <row r="5929" spans="2:9" ht="15" customHeight="1" x14ac:dyDescent="0.25">
      <c r="B5929" s="55" t="s">
        <v>280</v>
      </c>
      <c r="C5929" s="46">
        <v>917</v>
      </c>
      <c r="D5929" s="69" t="s">
        <v>29417</v>
      </c>
      <c r="E5929" s="51"/>
      <c r="F5929" s="114" t="str">
        <f>IF(INDEX(I.Facility.P2aIDNumber,917)="","",INDEX(I.Facility.P2aIDNumber,917))</f>
        <v/>
      </c>
      <c r="G5929" s="51"/>
      <c r="H5929" s="46" t="str">
        <f>IF(AND(I.Developer.P2a=TRUE,I.Facility.P2aFacilityCount&gt;=917,F5929=""),"Incomplete","Complete")</f>
        <v>Complete</v>
      </c>
      <c r="I5929" s="48" t="s">
        <v>10294</v>
      </c>
    </row>
    <row r="5930" spans="2:9" ht="15" customHeight="1" x14ac:dyDescent="0.25">
      <c r="B5930" s="55" t="s">
        <v>280</v>
      </c>
      <c r="C5930" s="46">
        <v>918</v>
      </c>
      <c r="D5930" s="69" t="s">
        <v>29417</v>
      </c>
      <c r="E5930" s="51"/>
      <c r="F5930" s="114" t="str">
        <f>IF(INDEX(I.Facility.P2aIDNumber,918)="","",INDEX(I.Facility.P2aIDNumber,918))</f>
        <v/>
      </c>
      <c r="G5930" s="51"/>
      <c r="H5930" s="46" t="str">
        <f>IF(AND(I.Developer.P2a=TRUE,I.Facility.P2aFacilityCount&gt;=918,F5930=""),"Incomplete","Complete")</f>
        <v>Complete</v>
      </c>
      <c r="I5930" s="48" t="s">
        <v>10295</v>
      </c>
    </row>
    <row r="5931" spans="2:9" ht="15" customHeight="1" x14ac:dyDescent="0.25">
      <c r="B5931" s="55" t="s">
        <v>280</v>
      </c>
      <c r="C5931" s="46">
        <v>919</v>
      </c>
      <c r="D5931" s="69" t="s">
        <v>29417</v>
      </c>
      <c r="E5931" s="51"/>
      <c r="F5931" s="114" t="str">
        <f>IF(INDEX(I.Facility.P2aIDNumber,919)="","",INDEX(I.Facility.P2aIDNumber,919))</f>
        <v/>
      </c>
      <c r="G5931" s="51"/>
      <c r="H5931" s="46" t="str">
        <f>IF(AND(I.Developer.P2a=TRUE,I.Facility.P2aFacilityCount&gt;=919,F5931=""),"Incomplete","Complete")</f>
        <v>Complete</v>
      </c>
      <c r="I5931" s="48" t="s">
        <v>10296</v>
      </c>
    </row>
    <row r="5932" spans="2:9" ht="15" customHeight="1" x14ac:dyDescent="0.25">
      <c r="B5932" s="55" t="s">
        <v>280</v>
      </c>
      <c r="C5932" s="46">
        <v>920</v>
      </c>
      <c r="D5932" s="69" t="s">
        <v>29417</v>
      </c>
      <c r="E5932" s="51"/>
      <c r="F5932" s="114" t="str">
        <f>IF(INDEX(I.Facility.P2aIDNumber,920)="","",INDEX(I.Facility.P2aIDNumber,920))</f>
        <v/>
      </c>
      <c r="G5932" s="51"/>
      <c r="H5932" s="46" t="str">
        <f>IF(AND(I.Developer.P2a=TRUE,I.Facility.P2aFacilityCount&gt;=920,F5932=""),"Incomplete","Complete")</f>
        <v>Complete</v>
      </c>
      <c r="I5932" s="48" t="s">
        <v>10297</v>
      </c>
    </row>
    <row r="5933" spans="2:9" ht="15" customHeight="1" x14ac:dyDescent="0.25">
      <c r="B5933" s="55" t="s">
        <v>280</v>
      </c>
      <c r="C5933" s="46">
        <v>921</v>
      </c>
      <c r="D5933" s="69" t="s">
        <v>29417</v>
      </c>
      <c r="E5933" s="51"/>
      <c r="F5933" s="114" t="str">
        <f>IF(INDEX(I.Facility.P2aIDNumber,921)="","",INDEX(I.Facility.P2aIDNumber,921))</f>
        <v/>
      </c>
      <c r="G5933" s="51"/>
      <c r="H5933" s="46" t="str">
        <f>IF(AND(I.Developer.P2a=TRUE,I.Facility.P2aFacilityCount&gt;=921,F5933=""),"Incomplete","Complete")</f>
        <v>Complete</v>
      </c>
      <c r="I5933" s="48" t="s">
        <v>10298</v>
      </c>
    </row>
    <row r="5934" spans="2:9" ht="15" customHeight="1" x14ac:dyDescent="0.25">
      <c r="B5934" s="55" t="s">
        <v>280</v>
      </c>
      <c r="C5934" s="46">
        <v>922</v>
      </c>
      <c r="D5934" s="69" t="s">
        <v>29417</v>
      </c>
      <c r="E5934" s="51"/>
      <c r="F5934" s="114" t="str">
        <f>IF(INDEX(I.Facility.P2aIDNumber,922)="","",INDEX(I.Facility.P2aIDNumber,922))</f>
        <v/>
      </c>
      <c r="G5934" s="51"/>
      <c r="H5934" s="46" t="str">
        <f>IF(AND(I.Developer.P2a=TRUE,I.Facility.P2aFacilityCount&gt;=922,F5934=""),"Incomplete","Complete")</f>
        <v>Complete</v>
      </c>
      <c r="I5934" s="48" t="s">
        <v>10299</v>
      </c>
    </row>
    <row r="5935" spans="2:9" ht="15" customHeight="1" x14ac:dyDescent="0.25">
      <c r="B5935" s="55" t="s">
        <v>280</v>
      </c>
      <c r="C5935" s="46">
        <v>923</v>
      </c>
      <c r="D5935" s="69" t="s">
        <v>29417</v>
      </c>
      <c r="E5935" s="51"/>
      <c r="F5935" s="114" t="str">
        <f>IF(INDEX(I.Facility.P2aIDNumber,923)="","",INDEX(I.Facility.P2aIDNumber,923))</f>
        <v/>
      </c>
      <c r="G5935" s="51"/>
      <c r="H5935" s="46" t="str">
        <f>IF(AND(I.Developer.P2a=TRUE,I.Facility.P2aFacilityCount&gt;=923,F5935=""),"Incomplete","Complete")</f>
        <v>Complete</v>
      </c>
      <c r="I5935" s="48" t="s">
        <v>10300</v>
      </c>
    </row>
    <row r="5936" spans="2:9" ht="15" customHeight="1" x14ac:dyDescent="0.25">
      <c r="B5936" s="55" t="s">
        <v>280</v>
      </c>
      <c r="C5936" s="46">
        <v>924</v>
      </c>
      <c r="D5936" s="69" t="s">
        <v>29417</v>
      </c>
      <c r="E5936" s="51"/>
      <c r="F5936" s="114" t="str">
        <f>IF(INDEX(I.Facility.P2aIDNumber,924)="","",INDEX(I.Facility.P2aIDNumber,924))</f>
        <v/>
      </c>
      <c r="G5936" s="51"/>
      <c r="H5936" s="46" t="str">
        <f>IF(AND(I.Developer.P2a=TRUE,I.Facility.P2aFacilityCount&gt;=924,F5936=""),"Incomplete","Complete")</f>
        <v>Complete</v>
      </c>
      <c r="I5936" s="48" t="s">
        <v>10301</v>
      </c>
    </row>
    <row r="5937" spans="2:9" ht="15" customHeight="1" x14ac:dyDescent="0.25">
      <c r="B5937" s="55" t="s">
        <v>280</v>
      </c>
      <c r="C5937" s="46">
        <v>925</v>
      </c>
      <c r="D5937" s="69" t="s">
        <v>29417</v>
      </c>
      <c r="E5937" s="51"/>
      <c r="F5937" s="114" t="str">
        <f>IF(INDEX(I.Facility.P2aIDNumber,925)="","",INDEX(I.Facility.P2aIDNumber,925))</f>
        <v/>
      </c>
      <c r="G5937" s="51"/>
      <c r="H5937" s="46" t="str">
        <f>IF(AND(I.Developer.P2a=TRUE,I.Facility.P2aFacilityCount&gt;=925,F5937=""),"Incomplete","Complete")</f>
        <v>Complete</v>
      </c>
      <c r="I5937" s="48" t="s">
        <v>10302</v>
      </c>
    </row>
    <row r="5938" spans="2:9" ht="15" customHeight="1" x14ac:dyDescent="0.25">
      <c r="B5938" s="55" t="s">
        <v>280</v>
      </c>
      <c r="C5938" s="46">
        <v>926</v>
      </c>
      <c r="D5938" s="69" t="s">
        <v>29417</v>
      </c>
      <c r="E5938" s="51"/>
      <c r="F5938" s="114" t="str">
        <f>IF(INDEX(I.Facility.P2aIDNumber,926)="","",INDEX(I.Facility.P2aIDNumber,926))</f>
        <v/>
      </c>
      <c r="G5938" s="51"/>
      <c r="H5938" s="46" t="str">
        <f>IF(AND(I.Developer.P2a=TRUE,I.Facility.P2aFacilityCount&gt;=926,F5938=""),"Incomplete","Complete")</f>
        <v>Complete</v>
      </c>
      <c r="I5938" s="48" t="s">
        <v>10303</v>
      </c>
    </row>
    <row r="5939" spans="2:9" ht="15" customHeight="1" x14ac:dyDescent="0.25">
      <c r="B5939" s="55" t="s">
        <v>280</v>
      </c>
      <c r="C5939" s="46">
        <v>927</v>
      </c>
      <c r="D5939" s="69" t="s">
        <v>29417</v>
      </c>
      <c r="E5939" s="51"/>
      <c r="F5939" s="114" t="str">
        <f>IF(INDEX(I.Facility.P2aIDNumber,927)="","",INDEX(I.Facility.P2aIDNumber,927))</f>
        <v/>
      </c>
      <c r="G5939" s="51"/>
      <c r="H5939" s="46" t="str">
        <f>IF(AND(I.Developer.P2a=TRUE,I.Facility.P2aFacilityCount&gt;=927,F5939=""),"Incomplete","Complete")</f>
        <v>Complete</v>
      </c>
      <c r="I5939" s="48" t="s">
        <v>10304</v>
      </c>
    </row>
    <row r="5940" spans="2:9" ht="15" customHeight="1" x14ac:dyDescent="0.25">
      <c r="B5940" s="55" t="s">
        <v>280</v>
      </c>
      <c r="C5940" s="46">
        <v>928</v>
      </c>
      <c r="D5940" s="69" t="s">
        <v>29417</v>
      </c>
      <c r="E5940" s="51"/>
      <c r="F5940" s="114" t="str">
        <f>IF(INDEX(I.Facility.P2aIDNumber,928)="","",INDEX(I.Facility.P2aIDNumber,928))</f>
        <v/>
      </c>
      <c r="G5940" s="51"/>
      <c r="H5940" s="46" t="str">
        <f>IF(AND(I.Developer.P2a=TRUE,I.Facility.P2aFacilityCount&gt;=928,F5940=""),"Incomplete","Complete")</f>
        <v>Complete</v>
      </c>
      <c r="I5940" s="48" t="s">
        <v>10305</v>
      </c>
    </row>
    <row r="5941" spans="2:9" ht="15" customHeight="1" x14ac:dyDescent="0.25">
      <c r="B5941" s="55" t="s">
        <v>280</v>
      </c>
      <c r="C5941" s="46">
        <v>929</v>
      </c>
      <c r="D5941" s="69" t="s">
        <v>29417</v>
      </c>
      <c r="E5941" s="51"/>
      <c r="F5941" s="114" t="str">
        <f>IF(INDEX(I.Facility.P2aIDNumber,929)="","",INDEX(I.Facility.P2aIDNumber,929))</f>
        <v/>
      </c>
      <c r="G5941" s="51"/>
      <c r="H5941" s="46" t="str">
        <f>IF(AND(I.Developer.P2a=TRUE,I.Facility.P2aFacilityCount&gt;=929,F5941=""),"Incomplete","Complete")</f>
        <v>Complete</v>
      </c>
      <c r="I5941" s="48" t="s">
        <v>10306</v>
      </c>
    </row>
    <row r="5942" spans="2:9" ht="15" customHeight="1" x14ac:dyDescent="0.25">
      <c r="B5942" s="55" t="s">
        <v>280</v>
      </c>
      <c r="C5942" s="46">
        <v>930</v>
      </c>
      <c r="D5942" s="69" t="s">
        <v>29417</v>
      </c>
      <c r="E5942" s="51"/>
      <c r="F5942" s="114" t="str">
        <f>IF(INDEX(I.Facility.P2aIDNumber,930)="","",INDEX(I.Facility.P2aIDNumber,930))</f>
        <v/>
      </c>
      <c r="G5942" s="51"/>
      <c r="H5942" s="46" t="str">
        <f>IF(AND(I.Developer.P2a=TRUE,I.Facility.P2aFacilityCount&gt;=930,F5942=""),"Incomplete","Complete")</f>
        <v>Complete</v>
      </c>
      <c r="I5942" s="48" t="s">
        <v>10307</v>
      </c>
    </row>
    <row r="5943" spans="2:9" ht="15" customHeight="1" x14ac:dyDescent="0.25">
      <c r="B5943" s="55" t="s">
        <v>280</v>
      </c>
      <c r="C5943" s="46">
        <v>931</v>
      </c>
      <c r="D5943" s="69" t="s">
        <v>29417</v>
      </c>
      <c r="E5943" s="51"/>
      <c r="F5943" s="114" t="str">
        <f>IF(INDEX(I.Facility.P2aIDNumber,931)="","",INDEX(I.Facility.P2aIDNumber,931))</f>
        <v/>
      </c>
      <c r="G5943" s="51"/>
      <c r="H5943" s="46" t="str">
        <f>IF(AND(I.Developer.P2a=TRUE,I.Facility.P2aFacilityCount&gt;=931,F5943=""),"Incomplete","Complete")</f>
        <v>Complete</v>
      </c>
      <c r="I5943" s="48" t="s">
        <v>10308</v>
      </c>
    </row>
    <row r="5944" spans="2:9" ht="15" customHeight="1" x14ac:dyDescent="0.25">
      <c r="B5944" s="55" t="s">
        <v>280</v>
      </c>
      <c r="C5944" s="46">
        <v>932</v>
      </c>
      <c r="D5944" s="69" t="s">
        <v>29417</v>
      </c>
      <c r="E5944" s="51"/>
      <c r="F5944" s="114" t="str">
        <f>IF(INDEX(I.Facility.P2aIDNumber,932)="","",INDEX(I.Facility.P2aIDNumber,932))</f>
        <v/>
      </c>
      <c r="G5944" s="51"/>
      <c r="H5944" s="46" t="str">
        <f>IF(AND(I.Developer.P2a=TRUE,I.Facility.P2aFacilityCount&gt;=932,F5944=""),"Incomplete","Complete")</f>
        <v>Complete</v>
      </c>
      <c r="I5944" s="48" t="s">
        <v>10309</v>
      </c>
    </row>
    <row r="5945" spans="2:9" ht="15" customHeight="1" x14ac:dyDescent="0.25">
      <c r="B5945" s="55" t="s">
        <v>280</v>
      </c>
      <c r="C5945" s="46">
        <v>933</v>
      </c>
      <c r="D5945" s="69" t="s">
        <v>29417</v>
      </c>
      <c r="E5945" s="51"/>
      <c r="F5945" s="114" t="str">
        <f>IF(INDEX(I.Facility.P2aIDNumber,933)="","",INDEX(I.Facility.P2aIDNumber,933))</f>
        <v/>
      </c>
      <c r="G5945" s="51"/>
      <c r="H5945" s="46" t="str">
        <f>IF(AND(I.Developer.P2a=TRUE,I.Facility.P2aFacilityCount&gt;=933,F5945=""),"Incomplete","Complete")</f>
        <v>Complete</v>
      </c>
      <c r="I5945" s="48" t="s">
        <v>10310</v>
      </c>
    </row>
    <row r="5946" spans="2:9" ht="15" customHeight="1" x14ac:dyDescent="0.25">
      <c r="B5946" s="55" t="s">
        <v>280</v>
      </c>
      <c r="C5946" s="46">
        <v>934</v>
      </c>
      <c r="D5946" s="69" t="s">
        <v>29417</v>
      </c>
      <c r="E5946" s="51"/>
      <c r="F5946" s="114" t="str">
        <f>IF(INDEX(I.Facility.P2aIDNumber,934)="","",INDEX(I.Facility.P2aIDNumber,934))</f>
        <v/>
      </c>
      <c r="G5946" s="51"/>
      <c r="H5946" s="46" t="str">
        <f>IF(AND(I.Developer.P2a=TRUE,I.Facility.P2aFacilityCount&gt;=934,F5946=""),"Incomplete","Complete")</f>
        <v>Complete</v>
      </c>
      <c r="I5946" s="48" t="s">
        <v>10311</v>
      </c>
    </row>
    <row r="5947" spans="2:9" ht="15" customHeight="1" x14ac:dyDescent="0.25">
      <c r="B5947" s="55" t="s">
        <v>280</v>
      </c>
      <c r="C5947" s="46">
        <v>935</v>
      </c>
      <c r="D5947" s="69" t="s">
        <v>29417</v>
      </c>
      <c r="E5947" s="51"/>
      <c r="F5947" s="114" t="str">
        <f>IF(INDEX(I.Facility.P2aIDNumber,935)="","",INDEX(I.Facility.P2aIDNumber,935))</f>
        <v/>
      </c>
      <c r="G5947" s="51"/>
      <c r="H5947" s="46" t="str">
        <f>IF(AND(I.Developer.P2a=TRUE,I.Facility.P2aFacilityCount&gt;=935,F5947=""),"Incomplete","Complete")</f>
        <v>Complete</v>
      </c>
      <c r="I5947" s="48" t="s">
        <v>10312</v>
      </c>
    </row>
    <row r="5948" spans="2:9" ht="15" customHeight="1" x14ac:dyDescent="0.25">
      <c r="B5948" s="55" t="s">
        <v>280</v>
      </c>
      <c r="C5948" s="46">
        <v>936</v>
      </c>
      <c r="D5948" s="69" t="s">
        <v>29417</v>
      </c>
      <c r="E5948" s="51"/>
      <c r="F5948" s="114" t="str">
        <f>IF(INDEX(I.Facility.P2aIDNumber,936)="","",INDEX(I.Facility.P2aIDNumber,936))</f>
        <v/>
      </c>
      <c r="G5948" s="51"/>
      <c r="H5948" s="46" t="str">
        <f>IF(AND(I.Developer.P2a=TRUE,I.Facility.P2aFacilityCount&gt;=936,F5948=""),"Incomplete","Complete")</f>
        <v>Complete</v>
      </c>
      <c r="I5948" s="48" t="s">
        <v>10313</v>
      </c>
    </row>
    <row r="5949" spans="2:9" ht="15" customHeight="1" x14ac:dyDescent="0.25">
      <c r="B5949" s="55" t="s">
        <v>280</v>
      </c>
      <c r="C5949" s="46">
        <v>937</v>
      </c>
      <c r="D5949" s="69" t="s">
        <v>29417</v>
      </c>
      <c r="E5949" s="51"/>
      <c r="F5949" s="114" t="str">
        <f>IF(INDEX(I.Facility.P2aIDNumber,937)="","",INDEX(I.Facility.P2aIDNumber,937))</f>
        <v/>
      </c>
      <c r="G5949" s="51"/>
      <c r="H5949" s="46" t="str">
        <f>IF(AND(I.Developer.P2a=TRUE,I.Facility.P2aFacilityCount&gt;=937,F5949=""),"Incomplete","Complete")</f>
        <v>Complete</v>
      </c>
      <c r="I5949" s="48" t="s">
        <v>10314</v>
      </c>
    </row>
    <row r="5950" spans="2:9" ht="15" customHeight="1" x14ac:dyDescent="0.25">
      <c r="B5950" s="55" t="s">
        <v>280</v>
      </c>
      <c r="C5950" s="46">
        <v>938</v>
      </c>
      <c r="D5950" s="69" t="s">
        <v>29417</v>
      </c>
      <c r="E5950" s="51"/>
      <c r="F5950" s="114" t="str">
        <f>IF(INDEX(I.Facility.P2aIDNumber,938)="","",INDEX(I.Facility.P2aIDNumber,938))</f>
        <v/>
      </c>
      <c r="G5950" s="51"/>
      <c r="H5950" s="46" t="str">
        <f>IF(AND(I.Developer.P2a=TRUE,I.Facility.P2aFacilityCount&gt;=938,F5950=""),"Incomplete","Complete")</f>
        <v>Complete</v>
      </c>
      <c r="I5950" s="48" t="s">
        <v>10315</v>
      </c>
    </row>
    <row r="5951" spans="2:9" ht="15" customHeight="1" x14ac:dyDescent="0.25">
      <c r="B5951" s="55" t="s">
        <v>280</v>
      </c>
      <c r="C5951" s="46">
        <v>939</v>
      </c>
      <c r="D5951" s="69" t="s">
        <v>29417</v>
      </c>
      <c r="E5951" s="51"/>
      <c r="F5951" s="114" t="str">
        <f>IF(INDEX(I.Facility.P2aIDNumber,939)="","",INDEX(I.Facility.P2aIDNumber,939))</f>
        <v/>
      </c>
      <c r="G5951" s="51"/>
      <c r="H5951" s="46" t="str">
        <f>IF(AND(I.Developer.P2a=TRUE,I.Facility.P2aFacilityCount&gt;=939,F5951=""),"Incomplete","Complete")</f>
        <v>Complete</v>
      </c>
      <c r="I5951" s="48" t="s">
        <v>10316</v>
      </c>
    </row>
    <row r="5952" spans="2:9" ht="15" customHeight="1" x14ac:dyDescent="0.25">
      <c r="B5952" s="55" t="s">
        <v>280</v>
      </c>
      <c r="C5952" s="46">
        <v>940</v>
      </c>
      <c r="D5952" s="69" t="s">
        <v>29417</v>
      </c>
      <c r="E5952" s="51"/>
      <c r="F5952" s="114" t="str">
        <f>IF(INDEX(I.Facility.P2aIDNumber,940)="","",INDEX(I.Facility.P2aIDNumber,940))</f>
        <v/>
      </c>
      <c r="G5952" s="51"/>
      <c r="H5952" s="46" t="str">
        <f>IF(AND(I.Developer.P2a=TRUE,I.Facility.P2aFacilityCount&gt;=940,F5952=""),"Incomplete","Complete")</f>
        <v>Complete</v>
      </c>
      <c r="I5952" s="48" t="s">
        <v>10317</v>
      </c>
    </row>
    <row r="5953" spans="2:9" ht="15" customHeight="1" x14ac:dyDescent="0.25">
      <c r="B5953" s="55" t="s">
        <v>280</v>
      </c>
      <c r="C5953" s="46">
        <v>941</v>
      </c>
      <c r="D5953" s="69" t="s">
        <v>29417</v>
      </c>
      <c r="E5953" s="51"/>
      <c r="F5953" s="114" t="str">
        <f>IF(INDEX(I.Facility.P2aIDNumber,941)="","",INDEX(I.Facility.P2aIDNumber,941))</f>
        <v/>
      </c>
      <c r="G5953" s="51"/>
      <c r="H5953" s="46" t="str">
        <f>IF(AND(I.Developer.P2a=TRUE,I.Facility.P2aFacilityCount&gt;=941,F5953=""),"Incomplete","Complete")</f>
        <v>Complete</v>
      </c>
      <c r="I5953" s="48" t="s">
        <v>10318</v>
      </c>
    </row>
    <row r="5954" spans="2:9" ht="15" customHeight="1" x14ac:dyDescent="0.25">
      <c r="B5954" s="55" t="s">
        <v>280</v>
      </c>
      <c r="C5954" s="46">
        <v>942</v>
      </c>
      <c r="D5954" s="69" t="s">
        <v>29417</v>
      </c>
      <c r="E5954" s="51"/>
      <c r="F5954" s="114" t="str">
        <f>IF(INDEX(I.Facility.P2aIDNumber,942)="","",INDEX(I.Facility.P2aIDNumber,942))</f>
        <v/>
      </c>
      <c r="G5954" s="51"/>
      <c r="H5954" s="46" t="str">
        <f>IF(AND(I.Developer.P2a=TRUE,I.Facility.P2aFacilityCount&gt;=942,F5954=""),"Incomplete","Complete")</f>
        <v>Complete</v>
      </c>
      <c r="I5954" s="48" t="s">
        <v>10319</v>
      </c>
    </row>
    <row r="5955" spans="2:9" ht="15" customHeight="1" x14ac:dyDescent="0.25">
      <c r="B5955" s="55" t="s">
        <v>280</v>
      </c>
      <c r="C5955" s="46">
        <v>943</v>
      </c>
      <c r="D5955" s="69" t="s">
        <v>29417</v>
      </c>
      <c r="E5955" s="51"/>
      <c r="F5955" s="114" t="str">
        <f>IF(INDEX(I.Facility.P2aIDNumber,943)="","",INDEX(I.Facility.P2aIDNumber,943))</f>
        <v/>
      </c>
      <c r="G5955" s="51"/>
      <c r="H5955" s="46" t="str">
        <f>IF(AND(I.Developer.P2a=TRUE,I.Facility.P2aFacilityCount&gt;=943,F5955=""),"Incomplete","Complete")</f>
        <v>Complete</v>
      </c>
      <c r="I5955" s="48" t="s">
        <v>10320</v>
      </c>
    </row>
    <row r="5956" spans="2:9" ht="15" customHeight="1" x14ac:dyDescent="0.25">
      <c r="B5956" s="55" t="s">
        <v>280</v>
      </c>
      <c r="C5956" s="46">
        <v>944</v>
      </c>
      <c r="D5956" s="69" t="s">
        <v>29417</v>
      </c>
      <c r="E5956" s="51"/>
      <c r="F5956" s="114" t="str">
        <f>IF(INDEX(I.Facility.P2aIDNumber,944)="","",INDEX(I.Facility.P2aIDNumber,944))</f>
        <v/>
      </c>
      <c r="G5956" s="51"/>
      <c r="H5956" s="46" t="str">
        <f>IF(AND(I.Developer.P2a=TRUE,I.Facility.P2aFacilityCount&gt;=944,F5956=""),"Incomplete","Complete")</f>
        <v>Complete</v>
      </c>
      <c r="I5956" s="48" t="s">
        <v>10321</v>
      </c>
    </row>
    <row r="5957" spans="2:9" ht="15" customHeight="1" x14ac:dyDescent="0.25">
      <c r="B5957" s="55" t="s">
        <v>280</v>
      </c>
      <c r="C5957" s="46">
        <v>945</v>
      </c>
      <c r="D5957" s="69" t="s">
        <v>29417</v>
      </c>
      <c r="E5957" s="51"/>
      <c r="F5957" s="114" t="str">
        <f>IF(INDEX(I.Facility.P2aIDNumber,945)="","",INDEX(I.Facility.P2aIDNumber,945))</f>
        <v/>
      </c>
      <c r="G5957" s="51"/>
      <c r="H5957" s="46" t="str">
        <f>IF(AND(I.Developer.P2a=TRUE,I.Facility.P2aFacilityCount&gt;=945,F5957=""),"Incomplete","Complete")</f>
        <v>Complete</v>
      </c>
      <c r="I5957" s="48" t="s">
        <v>10322</v>
      </c>
    </row>
    <row r="5958" spans="2:9" ht="15" customHeight="1" x14ac:dyDescent="0.25">
      <c r="B5958" s="55" t="s">
        <v>280</v>
      </c>
      <c r="C5958" s="46">
        <v>946</v>
      </c>
      <c r="D5958" s="69" t="s">
        <v>29417</v>
      </c>
      <c r="E5958" s="51"/>
      <c r="F5958" s="114" t="str">
        <f>IF(INDEX(I.Facility.P2aIDNumber,946)="","",INDEX(I.Facility.P2aIDNumber,946))</f>
        <v/>
      </c>
      <c r="G5958" s="51"/>
      <c r="H5958" s="46" t="str">
        <f>IF(AND(I.Developer.P2a=TRUE,I.Facility.P2aFacilityCount&gt;=946,F5958=""),"Incomplete","Complete")</f>
        <v>Complete</v>
      </c>
      <c r="I5958" s="48" t="s">
        <v>10323</v>
      </c>
    </row>
    <row r="5959" spans="2:9" ht="15" customHeight="1" x14ac:dyDescent="0.25">
      <c r="B5959" s="55" t="s">
        <v>280</v>
      </c>
      <c r="C5959" s="46">
        <v>947</v>
      </c>
      <c r="D5959" s="69" t="s">
        <v>29417</v>
      </c>
      <c r="E5959" s="51"/>
      <c r="F5959" s="114" t="str">
        <f>IF(INDEX(I.Facility.P2aIDNumber,947)="","",INDEX(I.Facility.P2aIDNumber,947))</f>
        <v/>
      </c>
      <c r="G5959" s="51"/>
      <c r="H5959" s="46" t="str">
        <f>IF(AND(I.Developer.P2a=TRUE,I.Facility.P2aFacilityCount&gt;=947,F5959=""),"Incomplete","Complete")</f>
        <v>Complete</v>
      </c>
      <c r="I5959" s="48" t="s">
        <v>10324</v>
      </c>
    </row>
    <row r="5960" spans="2:9" ht="15" customHeight="1" x14ac:dyDescent="0.25">
      <c r="B5960" s="55" t="s">
        <v>280</v>
      </c>
      <c r="C5960" s="46">
        <v>948</v>
      </c>
      <c r="D5960" s="69" t="s">
        <v>29417</v>
      </c>
      <c r="E5960" s="51"/>
      <c r="F5960" s="114" t="str">
        <f>IF(INDEX(I.Facility.P2aIDNumber,948)="","",INDEX(I.Facility.P2aIDNumber,948))</f>
        <v/>
      </c>
      <c r="G5960" s="51"/>
      <c r="H5960" s="46" t="str">
        <f>IF(AND(I.Developer.P2a=TRUE,I.Facility.P2aFacilityCount&gt;=948,F5960=""),"Incomplete","Complete")</f>
        <v>Complete</v>
      </c>
      <c r="I5960" s="48" t="s">
        <v>10325</v>
      </c>
    </row>
    <row r="5961" spans="2:9" ht="15" customHeight="1" x14ac:dyDescent="0.25">
      <c r="B5961" s="55" t="s">
        <v>280</v>
      </c>
      <c r="C5961" s="46">
        <v>949</v>
      </c>
      <c r="D5961" s="69" t="s">
        <v>29417</v>
      </c>
      <c r="E5961" s="51"/>
      <c r="F5961" s="114" t="str">
        <f>IF(INDEX(I.Facility.P2aIDNumber,949)="","",INDEX(I.Facility.P2aIDNumber,949))</f>
        <v/>
      </c>
      <c r="G5961" s="51"/>
      <c r="H5961" s="46" t="str">
        <f>IF(AND(I.Developer.P2a=TRUE,I.Facility.P2aFacilityCount&gt;=949,F5961=""),"Incomplete","Complete")</f>
        <v>Complete</v>
      </c>
      <c r="I5961" s="48" t="s">
        <v>10326</v>
      </c>
    </row>
    <row r="5962" spans="2:9" ht="15" customHeight="1" x14ac:dyDescent="0.25">
      <c r="B5962" s="55" t="s">
        <v>280</v>
      </c>
      <c r="C5962" s="46">
        <v>950</v>
      </c>
      <c r="D5962" s="69" t="s">
        <v>29417</v>
      </c>
      <c r="E5962" s="51"/>
      <c r="F5962" s="114" t="str">
        <f>IF(INDEX(I.Facility.P2aIDNumber,950)="","",INDEX(I.Facility.P2aIDNumber,950))</f>
        <v/>
      </c>
      <c r="G5962" s="51"/>
      <c r="H5962" s="46" t="str">
        <f>IF(AND(I.Developer.P2a=TRUE,I.Facility.P2aFacilityCount&gt;=950,F5962=""),"Incomplete","Complete")</f>
        <v>Complete</v>
      </c>
      <c r="I5962" s="48" t="s">
        <v>10327</v>
      </c>
    </row>
    <row r="5963" spans="2:9" ht="15" customHeight="1" x14ac:dyDescent="0.25">
      <c r="B5963" s="55" t="s">
        <v>280</v>
      </c>
      <c r="C5963" s="46">
        <v>951</v>
      </c>
      <c r="D5963" s="69" t="s">
        <v>29417</v>
      </c>
      <c r="E5963" s="51"/>
      <c r="F5963" s="114" t="str">
        <f>IF(INDEX(I.Facility.P2aIDNumber,951)="","",INDEX(I.Facility.P2aIDNumber,951))</f>
        <v/>
      </c>
      <c r="G5963" s="51"/>
      <c r="H5963" s="46" t="str">
        <f>IF(AND(I.Developer.P2a=TRUE,I.Facility.P2aFacilityCount&gt;=951,F5963=""),"Incomplete","Complete")</f>
        <v>Complete</v>
      </c>
      <c r="I5963" s="48" t="s">
        <v>10328</v>
      </c>
    </row>
    <row r="5964" spans="2:9" ht="15" customHeight="1" x14ac:dyDescent="0.25">
      <c r="B5964" s="55" t="s">
        <v>280</v>
      </c>
      <c r="C5964" s="46">
        <v>952</v>
      </c>
      <c r="D5964" s="69" t="s">
        <v>29417</v>
      </c>
      <c r="E5964" s="51"/>
      <c r="F5964" s="114" t="str">
        <f>IF(INDEX(I.Facility.P2aIDNumber,952)="","",INDEX(I.Facility.P2aIDNumber,952))</f>
        <v/>
      </c>
      <c r="G5964" s="51"/>
      <c r="H5964" s="46" t="str">
        <f>IF(AND(I.Developer.P2a=TRUE,I.Facility.P2aFacilityCount&gt;=952,F5964=""),"Incomplete","Complete")</f>
        <v>Complete</v>
      </c>
      <c r="I5964" s="48" t="s">
        <v>10329</v>
      </c>
    </row>
    <row r="5965" spans="2:9" ht="15" customHeight="1" x14ac:dyDescent="0.25">
      <c r="B5965" s="55" t="s">
        <v>280</v>
      </c>
      <c r="C5965" s="46">
        <v>953</v>
      </c>
      <c r="D5965" s="69" t="s">
        <v>29417</v>
      </c>
      <c r="E5965" s="51"/>
      <c r="F5965" s="114" t="str">
        <f>IF(INDEX(I.Facility.P2aIDNumber,953)="","",INDEX(I.Facility.P2aIDNumber,953))</f>
        <v/>
      </c>
      <c r="G5965" s="51"/>
      <c r="H5965" s="46" t="str">
        <f>IF(AND(I.Developer.P2a=TRUE,I.Facility.P2aFacilityCount&gt;=953,F5965=""),"Incomplete","Complete")</f>
        <v>Complete</v>
      </c>
      <c r="I5965" s="48" t="s">
        <v>10330</v>
      </c>
    </row>
    <row r="5966" spans="2:9" ht="15" customHeight="1" x14ac:dyDescent="0.25">
      <c r="B5966" s="55" t="s">
        <v>280</v>
      </c>
      <c r="C5966" s="46">
        <v>954</v>
      </c>
      <c r="D5966" s="69" t="s">
        <v>29417</v>
      </c>
      <c r="E5966" s="51"/>
      <c r="F5966" s="114" t="str">
        <f>IF(INDEX(I.Facility.P2aIDNumber,954)="","",INDEX(I.Facility.P2aIDNumber,954))</f>
        <v/>
      </c>
      <c r="G5966" s="51"/>
      <c r="H5966" s="46" t="str">
        <f>IF(AND(I.Developer.P2a=TRUE,I.Facility.P2aFacilityCount&gt;=954,F5966=""),"Incomplete","Complete")</f>
        <v>Complete</v>
      </c>
      <c r="I5966" s="48" t="s">
        <v>10331</v>
      </c>
    </row>
    <row r="5967" spans="2:9" ht="15" customHeight="1" x14ac:dyDescent="0.25">
      <c r="B5967" s="55" t="s">
        <v>280</v>
      </c>
      <c r="C5967" s="46">
        <v>955</v>
      </c>
      <c r="D5967" s="69" t="s">
        <v>29417</v>
      </c>
      <c r="E5967" s="51"/>
      <c r="F5967" s="114" t="str">
        <f>IF(INDEX(I.Facility.P2aIDNumber,955)="","",INDEX(I.Facility.P2aIDNumber,955))</f>
        <v/>
      </c>
      <c r="G5967" s="51"/>
      <c r="H5967" s="46" t="str">
        <f>IF(AND(I.Developer.P2a=TRUE,I.Facility.P2aFacilityCount&gt;=955,F5967=""),"Incomplete","Complete")</f>
        <v>Complete</v>
      </c>
      <c r="I5967" s="48" t="s">
        <v>10332</v>
      </c>
    </row>
    <row r="5968" spans="2:9" ht="15" customHeight="1" x14ac:dyDescent="0.25">
      <c r="B5968" s="55" t="s">
        <v>280</v>
      </c>
      <c r="C5968" s="46">
        <v>956</v>
      </c>
      <c r="D5968" s="69" t="s">
        <v>29417</v>
      </c>
      <c r="E5968" s="51"/>
      <c r="F5968" s="114" t="str">
        <f>IF(INDEX(I.Facility.P2aIDNumber,956)="","",INDEX(I.Facility.P2aIDNumber,956))</f>
        <v/>
      </c>
      <c r="G5968" s="51"/>
      <c r="H5968" s="46" t="str">
        <f>IF(AND(I.Developer.P2a=TRUE,I.Facility.P2aFacilityCount&gt;=956,F5968=""),"Incomplete","Complete")</f>
        <v>Complete</v>
      </c>
      <c r="I5968" s="48" t="s">
        <v>10333</v>
      </c>
    </row>
    <row r="5969" spans="2:9" ht="15" customHeight="1" x14ac:dyDescent="0.25">
      <c r="B5969" s="55" t="s">
        <v>280</v>
      </c>
      <c r="C5969" s="46">
        <v>957</v>
      </c>
      <c r="D5969" s="69" t="s">
        <v>29417</v>
      </c>
      <c r="E5969" s="51"/>
      <c r="F5969" s="114" t="str">
        <f>IF(INDEX(I.Facility.P2aIDNumber,957)="","",INDEX(I.Facility.P2aIDNumber,957))</f>
        <v/>
      </c>
      <c r="G5969" s="51"/>
      <c r="H5969" s="46" t="str">
        <f>IF(AND(I.Developer.P2a=TRUE,I.Facility.P2aFacilityCount&gt;=957,F5969=""),"Incomplete","Complete")</f>
        <v>Complete</v>
      </c>
      <c r="I5969" s="48" t="s">
        <v>10334</v>
      </c>
    </row>
    <row r="5970" spans="2:9" ht="15" customHeight="1" x14ac:dyDescent="0.25">
      <c r="B5970" s="55" t="s">
        <v>280</v>
      </c>
      <c r="C5970" s="46">
        <v>958</v>
      </c>
      <c r="D5970" s="69" t="s">
        <v>29417</v>
      </c>
      <c r="E5970" s="51"/>
      <c r="F5970" s="114" t="str">
        <f>IF(INDEX(I.Facility.P2aIDNumber,958)="","",INDEX(I.Facility.P2aIDNumber,958))</f>
        <v/>
      </c>
      <c r="G5970" s="51"/>
      <c r="H5970" s="46" t="str">
        <f>IF(AND(I.Developer.P2a=TRUE,I.Facility.P2aFacilityCount&gt;=958,F5970=""),"Incomplete","Complete")</f>
        <v>Complete</v>
      </c>
      <c r="I5970" s="48" t="s">
        <v>10335</v>
      </c>
    </row>
    <row r="5971" spans="2:9" ht="15" customHeight="1" x14ac:dyDescent="0.25">
      <c r="B5971" s="55" t="s">
        <v>280</v>
      </c>
      <c r="C5971" s="46">
        <v>959</v>
      </c>
      <c r="D5971" s="69" t="s">
        <v>29417</v>
      </c>
      <c r="E5971" s="51"/>
      <c r="F5971" s="114" t="str">
        <f>IF(INDEX(I.Facility.P2aIDNumber,959)="","",INDEX(I.Facility.P2aIDNumber,959))</f>
        <v/>
      </c>
      <c r="G5971" s="51"/>
      <c r="H5971" s="46" t="str">
        <f>IF(AND(I.Developer.P2a=TRUE,I.Facility.P2aFacilityCount&gt;=959,F5971=""),"Incomplete","Complete")</f>
        <v>Complete</v>
      </c>
      <c r="I5971" s="48" t="s">
        <v>10336</v>
      </c>
    </row>
    <row r="5972" spans="2:9" ht="15" customHeight="1" x14ac:dyDescent="0.25">
      <c r="B5972" s="55" t="s">
        <v>280</v>
      </c>
      <c r="C5972" s="46">
        <v>960</v>
      </c>
      <c r="D5972" s="69" t="s">
        <v>29417</v>
      </c>
      <c r="E5972" s="51"/>
      <c r="F5972" s="114" t="str">
        <f>IF(INDEX(I.Facility.P2aIDNumber,960)="","",INDEX(I.Facility.P2aIDNumber,960))</f>
        <v/>
      </c>
      <c r="G5972" s="51"/>
      <c r="H5972" s="46" t="str">
        <f>IF(AND(I.Developer.P2a=TRUE,I.Facility.P2aFacilityCount&gt;=960,F5972=""),"Incomplete","Complete")</f>
        <v>Complete</v>
      </c>
      <c r="I5972" s="48" t="s">
        <v>10337</v>
      </c>
    </row>
    <row r="5973" spans="2:9" ht="15" customHeight="1" x14ac:dyDescent="0.25">
      <c r="B5973" s="55" t="s">
        <v>280</v>
      </c>
      <c r="C5973" s="46">
        <v>961</v>
      </c>
      <c r="D5973" s="69" t="s">
        <v>29417</v>
      </c>
      <c r="E5973" s="51"/>
      <c r="F5973" s="114" t="str">
        <f>IF(INDEX(I.Facility.P2aIDNumber,961)="","",INDEX(I.Facility.P2aIDNumber,961))</f>
        <v/>
      </c>
      <c r="G5973" s="51"/>
      <c r="H5973" s="46" t="str">
        <f>IF(AND(I.Developer.P2a=TRUE,I.Facility.P2aFacilityCount&gt;=961,F5973=""),"Incomplete","Complete")</f>
        <v>Complete</v>
      </c>
      <c r="I5973" s="48" t="s">
        <v>10338</v>
      </c>
    </row>
    <row r="5974" spans="2:9" ht="15" customHeight="1" x14ac:dyDescent="0.25">
      <c r="B5974" s="55" t="s">
        <v>280</v>
      </c>
      <c r="C5974" s="46">
        <v>962</v>
      </c>
      <c r="D5974" s="69" t="s">
        <v>29417</v>
      </c>
      <c r="E5974" s="51"/>
      <c r="F5974" s="114" t="str">
        <f>IF(INDEX(I.Facility.P2aIDNumber,962)="","",INDEX(I.Facility.P2aIDNumber,962))</f>
        <v/>
      </c>
      <c r="G5974" s="51"/>
      <c r="H5974" s="46" t="str">
        <f>IF(AND(I.Developer.P2a=TRUE,I.Facility.P2aFacilityCount&gt;=962,F5974=""),"Incomplete","Complete")</f>
        <v>Complete</v>
      </c>
      <c r="I5974" s="48" t="s">
        <v>10339</v>
      </c>
    </row>
    <row r="5975" spans="2:9" ht="15" customHeight="1" x14ac:dyDescent="0.25">
      <c r="B5975" s="55" t="s">
        <v>280</v>
      </c>
      <c r="C5975" s="46">
        <v>963</v>
      </c>
      <c r="D5975" s="69" t="s">
        <v>29417</v>
      </c>
      <c r="E5975" s="51"/>
      <c r="F5975" s="114" t="str">
        <f>IF(INDEX(I.Facility.P2aIDNumber,963)="","",INDEX(I.Facility.P2aIDNumber,963))</f>
        <v/>
      </c>
      <c r="G5975" s="51"/>
      <c r="H5975" s="46" t="str">
        <f>IF(AND(I.Developer.P2a=TRUE,I.Facility.P2aFacilityCount&gt;=963,F5975=""),"Incomplete","Complete")</f>
        <v>Complete</v>
      </c>
      <c r="I5975" s="48" t="s">
        <v>10340</v>
      </c>
    </row>
    <row r="5976" spans="2:9" ht="15" customHeight="1" x14ac:dyDescent="0.25">
      <c r="B5976" s="55" t="s">
        <v>280</v>
      </c>
      <c r="C5976" s="46">
        <v>964</v>
      </c>
      <c r="D5976" s="69" t="s">
        <v>29417</v>
      </c>
      <c r="E5976" s="51"/>
      <c r="F5976" s="114" t="str">
        <f>IF(INDEX(I.Facility.P2aIDNumber,964)="","",INDEX(I.Facility.P2aIDNumber,964))</f>
        <v/>
      </c>
      <c r="G5976" s="51"/>
      <c r="H5976" s="46" t="str">
        <f>IF(AND(I.Developer.P2a=TRUE,I.Facility.P2aFacilityCount&gt;=964,F5976=""),"Incomplete","Complete")</f>
        <v>Complete</v>
      </c>
      <c r="I5976" s="48" t="s">
        <v>10341</v>
      </c>
    </row>
    <row r="5977" spans="2:9" ht="15" customHeight="1" x14ac:dyDescent="0.25">
      <c r="B5977" s="55" t="s">
        <v>280</v>
      </c>
      <c r="C5977" s="46">
        <v>965</v>
      </c>
      <c r="D5977" s="69" t="s">
        <v>29417</v>
      </c>
      <c r="E5977" s="51"/>
      <c r="F5977" s="114" t="str">
        <f>IF(INDEX(I.Facility.P2aIDNumber,965)="","",INDEX(I.Facility.P2aIDNumber,965))</f>
        <v/>
      </c>
      <c r="G5977" s="51"/>
      <c r="H5977" s="46" t="str">
        <f>IF(AND(I.Developer.P2a=TRUE,I.Facility.P2aFacilityCount&gt;=965,F5977=""),"Incomplete","Complete")</f>
        <v>Complete</v>
      </c>
      <c r="I5977" s="48" t="s">
        <v>10342</v>
      </c>
    </row>
    <row r="5978" spans="2:9" ht="15" customHeight="1" x14ac:dyDescent="0.25">
      <c r="B5978" s="55" t="s">
        <v>280</v>
      </c>
      <c r="C5978" s="46">
        <v>966</v>
      </c>
      <c r="D5978" s="69" t="s">
        <v>29417</v>
      </c>
      <c r="E5978" s="51"/>
      <c r="F5978" s="114" t="str">
        <f>IF(INDEX(I.Facility.P2aIDNumber,966)="","",INDEX(I.Facility.P2aIDNumber,966))</f>
        <v/>
      </c>
      <c r="G5978" s="51"/>
      <c r="H5978" s="46" t="str">
        <f>IF(AND(I.Developer.P2a=TRUE,I.Facility.P2aFacilityCount&gt;=966,F5978=""),"Incomplete","Complete")</f>
        <v>Complete</v>
      </c>
      <c r="I5978" s="48" t="s">
        <v>10343</v>
      </c>
    </row>
    <row r="5979" spans="2:9" ht="15" customHeight="1" x14ac:dyDescent="0.25">
      <c r="B5979" s="55" t="s">
        <v>280</v>
      </c>
      <c r="C5979" s="46">
        <v>967</v>
      </c>
      <c r="D5979" s="69" t="s">
        <v>29417</v>
      </c>
      <c r="E5979" s="51"/>
      <c r="F5979" s="114" t="str">
        <f>IF(INDEX(I.Facility.P2aIDNumber,967)="","",INDEX(I.Facility.P2aIDNumber,967))</f>
        <v/>
      </c>
      <c r="G5979" s="51"/>
      <c r="H5979" s="46" t="str">
        <f>IF(AND(I.Developer.P2a=TRUE,I.Facility.P2aFacilityCount&gt;=967,F5979=""),"Incomplete","Complete")</f>
        <v>Complete</v>
      </c>
      <c r="I5979" s="48" t="s">
        <v>10344</v>
      </c>
    </row>
    <row r="5980" spans="2:9" ht="15" customHeight="1" x14ac:dyDescent="0.25">
      <c r="B5980" s="55" t="s">
        <v>280</v>
      </c>
      <c r="C5980" s="46">
        <v>968</v>
      </c>
      <c r="D5980" s="69" t="s">
        <v>29417</v>
      </c>
      <c r="E5980" s="51"/>
      <c r="F5980" s="114" t="str">
        <f>IF(INDEX(I.Facility.P2aIDNumber,968)="","",INDEX(I.Facility.P2aIDNumber,968))</f>
        <v/>
      </c>
      <c r="G5980" s="51"/>
      <c r="H5980" s="46" t="str">
        <f>IF(AND(I.Developer.P2a=TRUE,I.Facility.P2aFacilityCount&gt;=968,F5980=""),"Incomplete","Complete")</f>
        <v>Complete</v>
      </c>
      <c r="I5980" s="48" t="s">
        <v>10345</v>
      </c>
    </row>
    <row r="5981" spans="2:9" ht="15" customHeight="1" x14ac:dyDescent="0.25">
      <c r="B5981" s="55" t="s">
        <v>280</v>
      </c>
      <c r="C5981" s="46">
        <v>969</v>
      </c>
      <c r="D5981" s="69" t="s">
        <v>29417</v>
      </c>
      <c r="E5981" s="51"/>
      <c r="F5981" s="114" t="str">
        <f>IF(INDEX(I.Facility.P2aIDNumber,969)="","",INDEX(I.Facility.P2aIDNumber,969))</f>
        <v/>
      </c>
      <c r="G5981" s="51"/>
      <c r="H5981" s="46" t="str">
        <f>IF(AND(I.Developer.P2a=TRUE,I.Facility.P2aFacilityCount&gt;=969,F5981=""),"Incomplete","Complete")</f>
        <v>Complete</v>
      </c>
      <c r="I5981" s="48" t="s">
        <v>10346</v>
      </c>
    </row>
    <row r="5982" spans="2:9" ht="15" customHeight="1" x14ac:dyDescent="0.25">
      <c r="B5982" s="55" t="s">
        <v>280</v>
      </c>
      <c r="C5982" s="46">
        <v>970</v>
      </c>
      <c r="D5982" s="69" t="s">
        <v>29417</v>
      </c>
      <c r="E5982" s="51"/>
      <c r="F5982" s="114" t="str">
        <f>IF(INDEX(I.Facility.P2aIDNumber,970)="","",INDEX(I.Facility.P2aIDNumber,970))</f>
        <v/>
      </c>
      <c r="G5982" s="51"/>
      <c r="H5982" s="46" t="str">
        <f>IF(AND(I.Developer.P2a=TRUE,I.Facility.P2aFacilityCount&gt;=970,F5982=""),"Incomplete","Complete")</f>
        <v>Complete</v>
      </c>
      <c r="I5982" s="48" t="s">
        <v>10347</v>
      </c>
    </row>
    <row r="5983" spans="2:9" ht="15" customHeight="1" x14ac:dyDescent="0.25">
      <c r="B5983" s="55" t="s">
        <v>280</v>
      </c>
      <c r="C5983" s="46">
        <v>971</v>
      </c>
      <c r="D5983" s="69" t="s">
        <v>29417</v>
      </c>
      <c r="E5983" s="51"/>
      <c r="F5983" s="114" t="str">
        <f>IF(INDEX(I.Facility.P2aIDNumber,971)="","",INDEX(I.Facility.P2aIDNumber,971))</f>
        <v/>
      </c>
      <c r="G5983" s="51"/>
      <c r="H5983" s="46" t="str">
        <f>IF(AND(I.Developer.P2a=TRUE,I.Facility.P2aFacilityCount&gt;=971,F5983=""),"Incomplete","Complete")</f>
        <v>Complete</v>
      </c>
      <c r="I5983" s="48" t="s">
        <v>10348</v>
      </c>
    </row>
    <row r="5984" spans="2:9" ht="15" customHeight="1" x14ac:dyDescent="0.25">
      <c r="B5984" s="55" t="s">
        <v>280</v>
      </c>
      <c r="C5984" s="46">
        <v>972</v>
      </c>
      <c r="D5984" s="69" t="s">
        <v>29417</v>
      </c>
      <c r="E5984" s="51"/>
      <c r="F5984" s="114" t="str">
        <f>IF(INDEX(I.Facility.P2aIDNumber,972)="","",INDEX(I.Facility.P2aIDNumber,972))</f>
        <v/>
      </c>
      <c r="G5984" s="51"/>
      <c r="H5984" s="46" t="str">
        <f>IF(AND(I.Developer.P2a=TRUE,I.Facility.P2aFacilityCount&gt;=972,F5984=""),"Incomplete","Complete")</f>
        <v>Complete</v>
      </c>
      <c r="I5984" s="48" t="s">
        <v>10349</v>
      </c>
    </row>
    <row r="5985" spans="2:9" ht="15" customHeight="1" x14ac:dyDescent="0.25">
      <c r="B5985" s="55" t="s">
        <v>280</v>
      </c>
      <c r="C5985" s="46">
        <v>973</v>
      </c>
      <c r="D5985" s="69" t="s">
        <v>29417</v>
      </c>
      <c r="E5985" s="51"/>
      <c r="F5985" s="114" t="str">
        <f>IF(INDEX(I.Facility.P2aIDNumber,973)="","",INDEX(I.Facility.P2aIDNumber,973))</f>
        <v/>
      </c>
      <c r="G5985" s="51"/>
      <c r="H5985" s="46" t="str">
        <f>IF(AND(I.Developer.P2a=TRUE,I.Facility.P2aFacilityCount&gt;=973,F5985=""),"Incomplete","Complete")</f>
        <v>Complete</v>
      </c>
      <c r="I5985" s="48" t="s">
        <v>10350</v>
      </c>
    </row>
    <row r="5986" spans="2:9" ht="15" customHeight="1" x14ac:dyDescent="0.25">
      <c r="B5986" s="55" t="s">
        <v>280</v>
      </c>
      <c r="C5986" s="46">
        <v>974</v>
      </c>
      <c r="D5986" s="69" t="s">
        <v>29417</v>
      </c>
      <c r="E5986" s="51"/>
      <c r="F5986" s="114" t="str">
        <f>IF(INDEX(I.Facility.P2aIDNumber,974)="","",INDEX(I.Facility.P2aIDNumber,974))</f>
        <v/>
      </c>
      <c r="G5986" s="51"/>
      <c r="H5986" s="46" t="str">
        <f>IF(AND(I.Developer.P2a=TRUE,I.Facility.P2aFacilityCount&gt;=974,F5986=""),"Incomplete","Complete")</f>
        <v>Complete</v>
      </c>
      <c r="I5986" s="48" t="s">
        <v>10351</v>
      </c>
    </row>
    <row r="5987" spans="2:9" ht="15" customHeight="1" x14ac:dyDescent="0.25">
      <c r="B5987" s="55" t="s">
        <v>280</v>
      </c>
      <c r="C5987" s="46">
        <v>975</v>
      </c>
      <c r="D5987" s="69" t="s">
        <v>29417</v>
      </c>
      <c r="E5987" s="51"/>
      <c r="F5987" s="114" t="str">
        <f>IF(INDEX(I.Facility.P2aIDNumber,975)="","",INDEX(I.Facility.P2aIDNumber,975))</f>
        <v/>
      </c>
      <c r="G5987" s="51"/>
      <c r="H5987" s="46" t="str">
        <f>IF(AND(I.Developer.P2a=TRUE,I.Facility.P2aFacilityCount&gt;=975,F5987=""),"Incomplete","Complete")</f>
        <v>Complete</v>
      </c>
      <c r="I5987" s="48" t="s">
        <v>10352</v>
      </c>
    </row>
    <row r="5988" spans="2:9" ht="15" customHeight="1" x14ac:dyDescent="0.25">
      <c r="B5988" s="55" t="s">
        <v>280</v>
      </c>
      <c r="C5988" s="46">
        <v>976</v>
      </c>
      <c r="D5988" s="69" t="s">
        <v>29417</v>
      </c>
      <c r="E5988" s="51"/>
      <c r="F5988" s="114" t="str">
        <f>IF(INDEX(I.Facility.P2aIDNumber,976)="","",INDEX(I.Facility.P2aIDNumber,976))</f>
        <v/>
      </c>
      <c r="G5988" s="51"/>
      <c r="H5988" s="46" t="str">
        <f>IF(AND(I.Developer.P2a=TRUE,I.Facility.P2aFacilityCount&gt;=976,F5988=""),"Incomplete","Complete")</f>
        <v>Complete</v>
      </c>
      <c r="I5988" s="48" t="s">
        <v>10353</v>
      </c>
    </row>
    <row r="5989" spans="2:9" ht="15" customHeight="1" x14ac:dyDescent="0.25">
      <c r="B5989" s="55" t="s">
        <v>280</v>
      </c>
      <c r="C5989" s="46">
        <v>977</v>
      </c>
      <c r="D5989" s="69" t="s">
        <v>29417</v>
      </c>
      <c r="E5989" s="51"/>
      <c r="F5989" s="114" t="str">
        <f>IF(INDEX(I.Facility.P2aIDNumber,977)="","",INDEX(I.Facility.P2aIDNumber,977))</f>
        <v/>
      </c>
      <c r="G5989" s="51"/>
      <c r="H5989" s="46" t="str">
        <f>IF(AND(I.Developer.P2a=TRUE,I.Facility.P2aFacilityCount&gt;=977,F5989=""),"Incomplete","Complete")</f>
        <v>Complete</v>
      </c>
      <c r="I5989" s="48" t="s">
        <v>10354</v>
      </c>
    </row>
    <row r="5990" spans="2:9" ht="15" customHeight="1" x14ac:dyDescent="0.25">
      <c r="B5990" s="55" t="s">
        <v>280</v>
      </c>
      <c r="C5990" s="46">
        <v>978</v>
      </c>
      <c r="D5990" s="69" t="s">
        <v>29417</v>
      </c>
      <c r="E5990" s="51"/>
      <c r="F5990" s="114" t="str">
        <f>IF(INDEX(I.Facility.P2aIDNumber,978)="","",INDEX(I.Facility.P2aIDNumber,978))</f>
        <v/>
      </c>
      <c r="G5990" s="51"/>
      <c r="H5990" s="46" t="str">
        <f>IF(AND(I.Developer.P2a=TRUE,I.Facility.P2aFacilityCount&gt;=978,F5990=""),"Incomplete","Complete")</f>
        <v>Complete</v>
      </c>
      <c r="I5990" s="48" t="s">
        <v>10355</v>
      </c>
    </row>
    <row r="5991" spans="2:9" ht="15" customHeight="1" x14ac:dyDescent="0.25">
      <c r="B5991" s="55" t="s">
        <v>280</v>
      </c>
      <c r="C5991" s="46">
        <v>979</v>
      </c>
      <c r="D5991" s="69" t="s">
        <v>29417</v>
      </c>
      <c r="E5991" s="51"/>
      <c r="F5991" s="114" t="str">
        <f>IF(INDEX(I.Facility.P2aIDNumber,979)="","",INDEX(I.Facility.P2aIDNumber,979))</f>
        <v/>
      </c>
      <c r="G5991" s="51"/>
      <c r="H5991" s="46" t="str">
        <f>IF(AND(I.Developer.P2a=TRUE,I.Facility.P2aFacilityCount&gt;=979,F5991=""),"Incomplete","Complete")</f>
        <v>Complete</v>
      </c>
      <c r="I5991" s="48" t="s">
        <v>10356</v>
      </c>
    </row>
    <row r="5992" spans="2:9" ht="15" customHeight="1" x14ac:dyDescent="0.25">
      <c r="B5992" s="55" t="s">
        <v>280</v>
      </c>
      <c r="C5992" s="46">
        <v>980</v>
      </c>
      <c r="D5992" s="69" t="s">
        <v>29417</v>
      </c>
      <c r="E5992" s="51"/>
      <c r="F5992" s="114" t="str">
        <f>IF(INDEX(I.Facility.P2aIDNumber,980)="","",INDEX(I.Facility.P2aIDNumber,980))</f>
        <v/>
      </c>
      <c r="G5992" s="51"/>
      <c r="H5992" s="46" t="str">
        <f>IF(AND(I.Developer.P2a=TRUE,I.Facility.P2aFacilityCount&gt;=980,F5992=""),"Incomplete","Complete")</f>
        <v>Complete</v>
      </c>
      <c r="I5992" s="48" t="s">
        <v>10357</v>
      </c>
    </row>
    <row r="5993" spans="2:9" ht="15" customHeight="1" x14ac:dyDescent="0.25">
      <c r="B5993" s="55" t="s">
        <v>280</v>
      </c>
      <c r="C5993" s="46">
        <v>981</v>
      </c>
      <c r="D5993" s="69" t="s">
        <v>29417</v>
      </c>
      <c r="E5993" s="51"/>
      <c r="F5993" s="114" t="str">
        <f>IF(INDEX(I.Facility.P2aIDNumber,981)="","",INDEX(I.Facility.P2aIDNumber,981))</f>
        <v/>
      </c>
      <c r="G5993" s="51"/>
      <c r="H5993" s="46" t="str">
        <f>IF(AND(I.Developer.P2a=TRUE,I.Facility.P2aFacilityCount&gt;=981,F5993=""),"Incomplete","Complete")</f>
        <v>Complete</v>
      </c>
      <c r="I5993" s="48" t="s">
        <v>10358</v>
      </c>
    </row>
    <row r="5994" spans="2:9" ht="15" customHeight="1" x14ac:dyDescent="0.25">
      <c r="B5994" s="55" t="s">
        <v>280</v>
      </c>
      <c r="C5994" s="46">
        <v>982</v>
      </c>
      <c r="D5994" s="69" t="s">
        <v>29417</v>
      </c>
      <c r="E5994" s="51"/>
      <c r="F5994" s="114" t="str">
        <f>IF(INDEX(I.Facility.P2aIDNumber,982)="","",INDEX(I.Facility.P2aIDNumber,982))</f>
        <v/>
      </c>
      <c r="G5994" s="51"/>
      <c r="H5994" s="46" t="str">
        <f>IF(AND(I.Developer.P2a=TRUE,I.Facility.P2aFacilityCount&gt;=982,F5994=""),"Incomplete","Complete")</f>
        <v>Complete</v>
      </c>
      <c r="I5994" s="48" t="s">
        <v>10359</v>
      </c>
    </row>
    <row r="5995" spans="2:9" ht="15" customHeight="1" x14ac:dyDescent="0.25">
      <c r="B5995" s="55" t="s">
        <v>280</v>
      </c>
      <c r="C5995" s="46">
        <v>983</v>
      </c>
      <c r="D5995" s="69" t="s">
        <v>29417</v>
      </c>
      <c r="E5995" s="51"/>
      <c r="F5995" s="114" t="str">
        <f>IF(INDEX(I.Facility.P2aIDNumber,983)="","",INDEX(I.Facility.P2aIDNumber,983))</f>
        <v/>
      </c>
      <c r="G5995" s="51"/>
      <c r="H5995" s="46" t="str">
        <f>IF(AND(I.Developer.P2a=TRUE,I.Facility.P2aFacilityCount&gt;=983,F5995=""),"Incomplete","Complete")</f>
        <v>Complete</v>
      </c>
      <c r="I5995" s="48" t="s">
        <v>10360</v>
      </c>
    </row>
    <row r="5996" spans="2:9" ht="15" customHeight="1" x14ac:dyDescent="0.25">
      <c r="B5996" s="55" t="s">
        <v>280</v>
      </c>
      <c r="C5996" s="46">
        <v>984</v>
      </c>
      <c r="D5996" s="69" t="s">
        <v>29417</v>
      </c>
      <c r="E5996" s="51"/>
      <c r="F5996" s="114" t="str">
        <f>IF(INDEX(I.Facility.P2aIDNumber,984)="","",INDEX(I.Facility.P2aIDNumber,984))</f>
        <v/>
      </c>
      <c r="G5996" s="51"/>
      <c r="H5996" s="46" t="str">
        <f>IF(AND(I.Developer.P2a=TRUE,I.Facility.P2aFacilityCount&gt;=984,F5996=""),"Incomplete","Complete")</f>
        <v>Complete</v>
      </c>
      <c r="I5996" s="48" t="s">
        <v>10361</v>
      </c>
    </row>
    <row r="5997" spans="2:9" ht="15" customHeight="1" x14ac:dyDescent="0.25">
      <c r="B5997" s="55" t="s">
        <v>280</v>
      </c>
      <c r="C5997" s="46">
        <v>985</v>
      </c>
      <c r="D5997" s="69" t="s">
        <v>29417</v>
      </c>
      <c r="E5997" s="51"/>
      <c r="F5997" s="114" t="str">
        <f>IF(INDEX(I.Facility.P2aIDNumber,985)="","",INDEX(I.Facility.P2aIDNumber,985))</f>
        <v/>
      </c>
      <c r="G5997" s="51"/>
      <c r="H5997" s="46" t="str">
        <f>IF(AND(I.Developer.P2a=TRUE,I.Facility.P2aFacilityCount&gt;=985,F5997=""),"Incomplete","Complete")</f>
        <v>Complete</v>
      </c>
      <c r="I5997" s="48" t="s">
        <v>10362</v>
      </c>
    </row>
    <row r="5998" spans="2:9" ht="15" customHeight="1" x14ac:dyDescent="0.25">
      <c r="B5998" s="55" t="s">
        <v>280</v>
      </c>
      <c r="C5998" s="46">
        <v>986</v>
      </c>
      <c r="D5998" s="69" t="s">
        <v>29417</v>
      </c>
      <c r="E5998" s="51"/>
      <c r="F5998" s="114" t="str">
        <f>IF(INDEX(I.Facility.P2aIDNumber,986)="","",INDEX(I.Facility.P2aIDNumber,986))</f>
        <v/>
      </c>
      <c r="G5998" s="51"/>
      <c r="H5998" s="46" t="str">
        <f>IF(AND(I.Developer.P2a=TRUE,I.Facility.P2aFacilityCount&gt;=986,F5998=""),"Incomplete","Complete")</f>
        <v>Complete</v>
      </c>
      <c r="I5998" s="48" t="s">
        <v>10363</v>
      </c>
    </row>
    <row r="5999" spans="2:9" ht="15" customHeight="1" x14ac:dyDescent="0.25">
      <c r="B5999" s="55" t="s">
        <v>280</v>
      </c>
      <c r="C5999" s="46">
        <v>987</v>
      </c>
      <c r="D5999" s="69" t="s">
        <v>29417</v>
      </c>
      <c r="E5999" s="51"/>
      <c r="F5999" s="114" t="str">
        <f>IF(INDEX(I.Facility.P2aIDNumber,987)="","",INDEX(I.Facility.P2aIDNumber,987))</f>
        <v/>
      </c>
      <c r="G5999" s="51"/>
      <c r="H5999" s="46" t="str">
        <f>IF(AND(I.Developer.P2a=TRUE,I.Facility.P2aFacilityCount&gt;=987,F5999=""),"Incomplete","Complete")</f>
        <v>Complete</v>
      </c>
      <c r="I5999" s="48" t="s">
        <v>10364</v>
      </c>
    </row>
    <row r="6000" spans="2:9" ht="15" customHeight="1" x14ac:dyDescent="0.25">
      <c r="B6000" s="55" t="s">
        <v>280</v>
      </c>
      <c r="C6000" s="46">
        <v>988</v>
      </c>
      <c r="D6000" s="69" t="s">
        <v>29417</v>
      </c>
      <c r="E6000" s="51"/>
      <c r="F6000" s="114" t="str">
        <f>IF(INDEX(I.Facility.P2aIDNumber,988)="","",INDEX(I.Facility.P2aIDNumber,988))</f>
        <v/>
      </c>
      <c r="G6000" s="51"/>
      <c r="H6000" s="46" t="str">
        <f>IF(AND(I.Developer.P2a=TRUE,I.Facility.P2aFacilityCount&gt;=988,F6000=""),"Incomplete","Complete")</f>
        <v>Complete</v>
      </c>
      <c r="I6000" s="48" t="s">
        <v>10365</v>
      </c>
    </row>
    <row r="6001" spans="2:9" ht="15" customHeight="1" x14ac:dyDescent="0.25">
      <c r="B6001" s="55" t="s">
        <v>280</v>
      </c>
      <c r="C6001" s="46">
        <v>989</v>
      </c>
      <c r="D6001" s="69" t="s">
        <v>29417</v>
      </c>
      <c r="E6001" s="51"/>
      <c r="F6001" s="114" t="str">
        <f>IF(INDEX(I.Facility.P2aIDNumber,989)="","",INDEX(I.Facility.P2aIDNumber,989))</f>
        <v/>
      </c>
      <c r="G6001" s="51"/>
      <c r="H6001" s="46" t="str">
        <f>IF(AND(I.Developer.P2a=TRUE,I.Facility.P2aFacilityCount&gt;=989,F6001=""),"Incomplete","Complete")</f>
        <v>Complete</v>
      </c>
      <c r="I6001" s="48" t="s">
        <v>10366</v>
      </c>
    </row>
    <row r="6002" spans="2:9" ht="15" customHeight="1" x14ac:dyDescent="0.25">
      <c r="B6002" s="55" t="s">
        <v>280</v>
      </c>
      <c r="C6002" s="46">
        <v>990</v>
      </c>
      <c r="D6002" s="69" t="s">
        <v>29417</v>
      </c>
      <c r="E6002" s="51"/>
      <c r="F6002" s="114" t="str">
        <f>IF(INDEX(I.Facility.P2aIDNumber,990)="","",INDEX(I.Facility.P2aIDNumber,990))</f>
        <v/>
      </c>
      <c r="G6002" s="51"/>
      <c r="H6002" s="46" t="str">
        <f>IF(AND(I.Developer.P2a=TRUE,I.Facility.P2aFacilityCount&gt;=990,F6002=""),"Incomplete","Complete")</f>
        <v>Complete</v>
      </c>
      <c r="I6002" s="48" t="s">
        <v>10367</v>
      </c>
    </row>
    <row r="6003" spans="2:9" ht="15" customHeight="1" x14ac:dyDescent="0.25">
      <c r="B6003" s="55" t="s">
        <v>280</v>
      </c>
      <c r="C6003" s="46">
        <v>991</v>
      </c>
      <c r="D6003" s="69" t="s">
        <v>29417</v>
      </c>
      <c r="E6003" s="51"/>
      <c r="F6003" s="114" t="str">
        <f>IF(INDEX(I.Facility.P2aIDNumber,991)="","",INDEX(I.Facility.P2aIDNumber,991))</f>
        <v/>
      </c>
      <c r="G6003" s="51"/>
      <c r="H6003" s="46" t="str">
        <f>IF(AND(I.Developer.P2a=TRUE,I.Facility.P2aFacilityCount&gt;=991,F6003=""),"Incomplete","Complete")</f>
        <v>Complete</v>
      </c>
      <c r="I6003" s="48" t="s">
        <v>10368</v>
      </c>
    </row>
    <row r="6004" spans="2:9" ht="15" customHeight="1" x14ac:dyDescent="0.25">
      <c r="B6004" s="55" t="s">
        <v>280</v>
      </c>
      <c r="C6004" s="46">
        <v>992</v>
      </c>
      <c r="D6004" s="69" t="s">
        <v>29417</v>
      </c>
      <c r="E6004" s="51"/>
      <c r="F6004" s="114" t="str">
        <f>IF(INDEX(I.Facility.P2aIDNumber,992)="","",INDEX(I.Facility.P2aIDNumber,992))</f>
        <v/>
      </c>
      <c r="G6004" s="51"/>
      <c r="H6004" s="46" t="str">
        <f>IF(AND(I.Developer.P2a=TRUE,I.Facility.P2aFacilityCount&gt;=992,F6004=""),"Incomplete","Complete")</f>
        <v>Complete</v>
      </c>
      <c r="I6004" s="48" t="s">
        <v>10369</v>
      </c>
    </row>
    <row r="6005" spans="2:9" ht="15" customHeight="1" x14ac:dyDescent="0.25">
      <c r="B6005" s="55" t="s">
        <v>280</v>
      </c>
      <c r="C6005" s="46">
        <v>993</v>
      </c>
      <c r="D6005" s="69" t="s">
        <v>29417</v>
      </c>
      <c r="E6005" s="51"/>
      <c r="F6005" s="114" t="str">
        <f>IF(INDEX(I.Facility.P2aIDNumber,993)="","",INDEX(I.Facility.P2aIDNumber,993))</f>
        <v/>
      </c>
      <c r="G6005" s="51"/>
      <c r="H6005" s="46" t="str">
        <f>IF(AND(I.Developer.P2a=TRUE,I.Facility.P2aFacilityCount&gt;=993,F6005=""),"Incomplete","Complete")</f>
        <v>Complete</v>
      </c>
      <c r="I6005" s="48" t="s">
        <v>10370</v>
      </c>
    </row>
    <row r="6006" spans="2:9" ht="15" customHeight="1" x14ac:dyDescent="0.25">
      <c r="B6006" s="55" t="s">
        <v>280</v>
      </c>
      <c r="C6006" s="46">
        <v>994</v>
      </c>
      <c r="D6006" s="69" t="s">
        <v>29417</v>
      </c>
      <c r="E6006" s="51"/>
      <c r="F6006" s="114" t="str">
        <f>IF(INDEX(I.Facility.P2aIDNumber,994)="","",INDEX(I.Facility.P2aIDNumber,994))</f>
        <v/>
      </c>
      <c r="G6006" s="51"/>
      <c r="H6006" s="46" t="str">
        <f>IF(AND(I.Developer.P2a=TRUE,I.Facility.P2aFacilityCount&gt;=994,F6006=""),"Incomplete","Complete")</f>
        <v>Complete</v>
      </c>
      <c r="I6006" s="48" t="s">
        <v>10371</v>
      </c>
    </row>
    <row r="6007" spans="2:9" ht="15" customHeight="1" x14ac:dyDescent="0.25">
      <c r="B6007" s="55" t="s">
        <v>280</v>
      </c>
      <c r="C6007" s="46">
        <v>995</v>
      </c>
      <c r="D6007" s="69" t="s">
        <v>29417</v>
      </c>
      <c r="E6007" s="51"/>
      <c r="F6007" s="114" t="str">
        <f>IF(INDEX(I.Facility.P2aIDNumber,995)="","",INDEX(I.Facility.P2aIDNumber,995))</f>
        <v/>
      </c>
      <c r="G6007" s="51"/>
      <c r="H6007" s="46" t="str">
        <f>IF(AND(I.Developer.P2a=TRUE,I.Facility.P2aFacilityCount&gt;=995,F6007=""),"Incomplete","Complete")</f>
        <v>Complete</v>
      </c>
      <c r="I6007" s="48" t="s">
        <v>10372</v>
      </c>
    </row>
    <row r="6008" spans="2:9" ht="15" customHeight="1" x14ac:dyDescent="0.25">
      <c r="B6008" s="55" t="s">
        <v>280</v>
      </c>
      <c r="C6008" s="46">
        <v>996</v>
      </c>
      <c r="D6008" s="69" t="s">
        <v>29417</v>
      </c>
      <c r="E6008" s="51"/>
      <c r="F6008" s="114" t="str">
        <f>IF(INDEX(I.Facility.P2aIDNumber,996)="","",INDEX(I.Facility.P2aIDNumber,996))</f>
        <v/>
      </c>
      <c r="G6008" s="51"/>
      <c r="H6008" s="46" t="str">
        <f>IF(AND(I.Developer.P2a=TRUE,I.Facility.P2aFacilityCount&gt;=996,F6008=""),"Incomplete","Complete")</f>
        <v>Complete</v>
      </c>
      <c r="I6008" s="48" t="s">
        <v>10373</v>
      </c>
    </row>
    <row r="6009" spans="2:9" ht="15" customHeight="1" x14ac:dyDescent="0.25">
      <c r="B6009" s="55" t="s">
        <v>280</v>
      </c>
      <c r="C6009" s="46">
        <v>997</v>
      </c>
      <c r="D6009" s="69" t="s">
        <v>29417</v>
      </c>
      <c r="E6009" s="51"/>
      <c r="F6009" s="114" t="str">
        <f>IF(INDEX(I.Facility.P2aIDNumber,997)="","",INDEX(I.Facility.P2aIDNumber,997))</f>
        <v/>
      </c>
      <c r="G6009" s="51"/>
      <c r="H6009" s="46" t="str">
        <f>IF(AND(I.Developer.P2a=TRUE,I.Facility.P2aFacilityCount&gt;=997,F6009=""),"Incomplete","Complete")</f>
        <v>Complete</v>
      </c>
      <c r="I6009" s="48" t="s">
        <v>10374</v>
      </c>
    </row>
    <row r="6010" spans="2:9" ht="15" customHeight="1" x14ac:dyDescent="0.25">
      <c r="B6010" s="55" t="s">
        <v>280</v>
      </c>
      <c r="C6010" s="46">
        <v>998</v>
      </c>
      <c r="D6010" s="69" t="s">
        <v>29417</v>
      </c>
      <c r="E6010" s="51"/>
      <c r="F6010" s="114" t="str">
        <f>IF(INDEX(I.Facility.P2aIDNumber,998)="","",INDEX(I.Facility.P2aIDNumber,998))</f>
        <v/>
      </c>
      <c r="G6010" s="51"/>
      <c r="H6010" s="46" t="str">
        <f>IF(AND(I.Developer.P2a=TRUE,I.Facility.P2aFacilityCount&gt;=998,F6010=""),"Incomplete","Complete")</f>
        <v>Complete</v>
      </c>
      <c r="I6010" s="48" t="s">
        <v>10375</v>
      </c>
    </row>
    <row r="6011" spans="2:9" ht="15" customHeight="1" x14ac:dyDescent="0.25">
      <c r="B6011" s="55" t="s">
        <v>280</v>
      </c>
      <c r="C6011" s="46">
        <v>999</v>
      </c>
      <c r="D6011" s="69" t="s">
        <v>29417</v>
      </c>
      <c r="E6011" s="51"/>
      <c r="F6011" s="114" t="str">
        <f>IF(INDEX(I.Facility.P2aIDNumber,999)="","",INDEX(I.Facility.P2aIDNumber,999))</f>
        <v/>
      </c>
      <c r="G6011" s="51"/>
      <c r="H6011" s="46" t="str">
        <f>IF(AND(I.Developer.P2a=TRUE,I.Facility.P2aFacilityCount&gt;=999,F6011=""),"Incomplete","Complete")</f>
        <v>Complete</v>
      </c>
      <c r="I6011" s="48" t="s">
        <v>10376</v>
      </c>
    </row>
    <row r="6012" spans="2:9" ht="15" customHeight="1" x14ac:dyDescent="0.25">
      <c r="B6012" s="55" t="s">
        <v>280</v>
      </c>
      <c r="C6012" s="46">
        <v>1000</v>
      </c>
      <c r="D6012" s="69" t="s">
        <v>29417</v>
      </c>
      <c r="E6012" s="51"/>
      <c r="F6012" s="114" t="str">
        <f>IF(INDEX(I.Facility.P2aIDNumber,1000)="","",INDEX(I.Facility.P2aIDNumber,1000))</f>
        <v/>
      </c>
      <c r="G6012" s="51"/>
      <c r="H6012" s="46" t="str">
        <f>IF(AND(I.Developer.P2a=TRUE,I.Facility.P2aFacilityCount&gt;=1000,F6012=""),"Incomplete","Complete")</f>
        <v>Complete</v>
      </c>
      <c r="I6012" s="48" t="s">
        <v>10377</v>
      </c>
    </row>
    <row r="6013" spans="2:9" ht="15" customHeight="1" x14ac:dyDescent="0.25">
      <c r="B6013" s="55" t="s">
        <v>280</v>
      </c>
      <c r="C6013" s="46">
        <v>1001</v>
      </c>
      <c r="D6013" s="69" t="s">
        <v>29417</v>
      </c>
      <c r="E6013" s="51"/>
      <c r="F6013" s="114" t="str">
        <f>IF(INDEX(I.Facility.P2aIDNumber,1001)="","",INDEX(I.Facility.P2aIDNumber,1001))</f>
        <v/>
      </c>
      <c r="G6013" s="51"/>
      <c r="H6013" s="46" t="str">
        <f>IF(AND(I.Developer.P2a=TRUE,I.Facility.P2aFacilityCount&gt;=1001,F6013=""),"Incomplete","Complete")</f>
        <v>Complete</v>
      </c>
      <c r="I6013" s="48" t="s">
        <v>10378</v>
      </c>
    </row>
    <row r="6014" spans="2:9" ht="15" customHeight="1" x14ac:dyDescent="0.25">
      <c r="B6014" s="55" t="s">
        <v>280</v>
      </c>
      <c r="C6014" s="46">
        <v>1002</v>
      </c>
      <c r="D6014" s="69" t="s">
        <v>29417</v>
      </c>
      <c r="E6014" s="51"/>
      <c r="F6014" s="114" t="str">
        <f>IF(INDEX(I.Facility.P2aIDNumber,1002)="","",INDEX(I.Facility.P2aIDNumber,1002))</f>
        <v/>
      </c>
      <c r="G6014" s="51"/>
      <c r="H6014" s="46" t="str">
        <f>IF(AND(I.Developer.P2a=TRUE,I.Facility.P2aFacilityCount&gt;=1002,F6014=""),"Incomplete","Complete")</f>
        <v>Complete</v>
      </c>
      <c r="I6014" s="48" t="s">
        <v>10379</v>
      </c>
    </row>
    <row r="6015" spans="2:9" ht="15" customHeight="1" x14ac:dyDescent="0.25">
      <c r="B6015" s="55" t="s">
        <v>280</v>
      </c>
      <c r="C6015" s="46">
        <v>1003</v>
      </c>
      <c r="D6015" s="69" t="s">
        <v>29417</v>
      </c>
      <c r="E6015" s="51"/>
      <c r="F6015" s="114" t="str">
        <f>IF(INDEX(I.Facility.P2aIDNumber,1003)="","",INDEX(I.Facility.P2aIDNumber,1003))</f>
        <v/>
      </c>
      <c r="G6015" s="51"/>
      <c r="H6015" s="46" t="str">
        <f>IF(AND(I.Developer.P2a=TRUE,I.Facility.P2aFacilityCount&gt;=1003,F6015=""),"Incomplete","Complete")</f>
        <v>Complete</v>
      </c>
      <c r="I6015" s="48" t="s">
        <v>10380</v>
      </c>
    </row>
    <row r="6016" spans="2:9" ht="15" customHeight="1" x14ac:dyDescent="0.25">
      <c r="B6016" s="55" t="s">
        <v>280</v>
      </c>
      <c r="C6016" s="46">
        <v>1004</v>
      </c>
      <c r="D6016" s="69" t="s">
        <v>29417</v>
      </c>
      <c r="E6016" s="51"/>
      <c r="F6016" s="114" t="str">
        <f>IF(INDEX(I.Facility.P2aIDNumber,1004)="","",INDEX(I.Facility.P2aIDNumber,1004))</f>
        <v/>
      </c>
      <c r="G6016" s="51"/>
      <c r="H6016" s="46" t="str">
        <f>IF(AND(I.Developer.P2a=TRUE,I.Facility.P2aFacilityCount&gt;=1004,F6016=""),"Incomplete","Complete")</f>
        <v>Complete</v>
      </c>
      <c r="I6016" s="48" t="s">
        <v>10381</v>
      </c>
    </row>
    <row r="6017" spans="2:9" ht="15" customHeight="1" x14ac:dyDescent="0.25">
      <c r="B6017" s="55" t="s">
        <v>280</v>
      </c>
      <c r="C6017" s="46">
        <v>1005</v>
      </c>
      <c r="D6017" s="69" t="s">
        <v>29417</v>
      </c>
      <c r="E6017" s="51"/>
      <c r="F6017" s="114" t="str">
        <f>IF(INDEX(I.Facility.P2aIDNumber,1005)="","",INDEX(I.Facility.P2aIDNumber,1005))</f>
        <v/>
      </c>
      <c r="G6017" s="51"/>
      <c r="H6017" s="46" t="str">
        <f>IF(AND(I.Developer.P2a=TRUE,I.Facility.P2aFacilityCount&gt;=1005,F6017=""),"Incomplete","Complete")</f>
        <v>Complete</v>
      </c>
      <c r="I6017" s="48" t="s">
        <v>10382</v>
      </c>
    </row>
    <row r="6018" spans="2:9" ht="15" customHeight="1" x14ac:dyDescent="0.25">
      <c r="B6018" s="55" t="s">
        <v>280</v>
      </c>
      <c r="C6018" s="46">
        <v>1006</v>
      </c>
      <c r="D6018" s="69" t="s">
        <v>29417</v>
      </c>
      <c r="E6018" s="51"/>
      <c r="F6018" s="114" t="str">
        <f>IF(INDEX(I.Facility.P2aIDNumber,1006)="","",INDEX(I.Facility.P2aIDNumber,1006))</f>
        <v/>
      </c>
      <c r="G6018" s="51"/>
      <c r="H6018" s="46" t="str">
        <f>IF(AND(I.Developer.P2a=TRUE,I.Facility.P2aFacilityCount&gt;=1006,F6018=""),"Incomplete","Complete")</f>
        <v>Complete</v>
      </c>
      <c r="I6018" s="48" t="s">
        <v>10383</v>
      </c>
    </row>
    <row r="6019" spans="2:9" ht="15" customHeight="1" x14ac:dyDescent="0.25">
      <c r="B6019" s="55" t="s">
        <v>280</v>
      </c>
      <c r="C6019" s="46">
        <v>1007</v>
      </c>
      <c r="D6019" s="69" t="s">
        <v>29417</v>
      </c>
      <c r="E6019" s="51"/>
      <c r="F6019" s="114" t="str">
        <f>IF(INDEX(I.Facility.P2aIDNumber,1007)="","",INDEX(I.Facility.P2aIDNumber,1007))</f>
        <v/>
      </c>
      <c r="G6019" s="51"/>
      <c r="H6019" s="46" t="str">
        <f>IF(AND(I.Developer.P2a=TRUE,I.Facility.P2aFacilityCount&gt;=1007,F6019=""),"Incomplete","Complete")</f>
        <v>Complete</v>
      </c>
      <c r="I6019" s="48" t="s">
        <v>10384</v>
      </c>
    </row>
    <row r="6020" spans="2:9" ht="15" customHeight="1" x14ac:dyDescent="0.25">
      <c r="B6020" s="55" t="s">
        <v>280</v>
      </c>
      <c r="C6020" s="46">
        <v>1008</v>
      </c>
      <c r="D6020" s="69" t="s">
        <v>29417</v>
      </c>
      <c r="E6020" s="51"/>
      <c r="F6020" s="114" t="str">
        <f>IF(INDEX(I.Facility.P2aIDNumber,1008)="","",INDEX(I.Facility.P2aIDNumber,1008))</f>
        <v/>
      </c>
      <c r="G6020" s="51"/>
      <c r="H6020" s="46" t="str">
        <f>IF(AND(I.Developer.P2a=TRUE,I.Facility.P2aFacilityCount&gt;=1008,F6020=""),"Incomplete","Complete")</f>
        <v>Complete</v>
      </c>
      <c r="I6020" s="48" t="s">
        <v>10385</v>
      </c>
    </row>
    <row r="6021" spans="2:9" ht="15" customHeight="1" x14ac:dyDescent="0.25">
      <c r="B6021" s="55" t="s">
        <v>280</v>
      </c>
      <c r="C6021" s="46">
        <v>1009</v>
      </c>
      <c r="D6021" s="69" t="s">
        <v>29417</v>
      </c>
      <c r="E6021" s="51"/>
      <c r="F6021" s="114" t="str">
        <f>IF(INDEX(I.Facility.P2aIDNumber,1009)="","",INDEX(I.Facility.P2aIDNumber,1009))</f>
        <v/>
      </c>
      <c r="G6021" s="51"/>
      <c r="H6021" s="46" t="str">
        <f>IF(AND(I.Developer.P2a=TRUE,I.Facility.P2aFacilityCount&gt;=1009,F6021=""),"Incomplete","Complete")</f>
        <v>Complete</v>
      </c>
      <c r="I6021" s="48" t="s">
        <v>10386</v>
      </c>
    </row>
    <row r="6022" spans="2:9" ht="15" customHeight="1" x14ac:dyDescent="0.25">
      <c r="B6022" s="55" t="s">
        <v>280</v>
      </c>
      <c r="C6022" s="46">
        <v>1010</v>
      </c>
      <c r="D6022" s="69" t="s">
        <v>29417</v>
      </c>
      <c r="E6022" s="51"/>
      <c r="F6022" s="114" t="str">
        <f>IF(INDEX(I.Facility.P2aIDNumber,1010)="","",INDEX(I.Facility.P2aIDNumber,1010))</f>
        <v/>
      </c>
      <c r="G6022" s="51"/>
      <c r="H6022" s="46" t="str">
        <f>IF(AND(I.Developer.P2a=TRUE,I.Facility.P2aFacilityCount&gt;=1010,F6022=""),"Incomplete","Complete")</f>
        <v>Complete</v>
      </c>
      <c r="I6022" s="48" t="s">
        <v>10387</v>
      </c>
    </row>
    <row r="6023" spans="2:9" ht="15" customHeight="1" x14ac:dyDescent="0.25">
      <c r="B6023" s="55" t="s">
        <v>280</v>
      </c>
      <c r="C6023" s="46">
        <v>1011</v>
      </c>
      <c r="D6023" s="69" t="s">
        <v>29417</v>
      </c>
      <c r="E6023" s="51"/>
      <c r="F6023" s="114" t="str">
        <f>IF(INDEX(I.Facility.P2aIDNumber,1011)="","",INDEX(I.Facility.P2aIDNumber,1011))</f>
        <v/>
      </c>
      <c r="G6023" s="51"/>
      <c r="H6023" s="46" t="str">
        <f>IF(AND(I.Developer.P2a=TRUE,I.Facility.P2aFacilityCount&gt;=1011,F6023=""),"Incomplete","Complete")</f>
        <v>Complete</v>
      </c>
      <c r="I6023" s="48" t="s">
        <v>10388</v>
      </c>
    </row>
    <row r="6024" spans="2:9" ht="15" customHeight="1" x14ac:dyDescent="0.25">
      <c r="B6024" s="55" t="s">
        <v>280</v>
      </c>
      <c r="C6024" s="46">
        <v>1012</v>
      </c>
      <c r="D6024" s="69" t="s">
        <v>29417</v>
      </c>
      <c r="E6024" s="51"/>
      <c r="F6024" s="114" t="str">
        <f>IF(INDEX(I.Facility.P2aIDNumber,1012)="","",INDEX(I.Facility.P2aIDNumber,1012))</f>
        <v/>
      </c>
      <c r="G6024" s="51"/>
      <c r="H6024" s="46" t="str">
        <f>IF(AND(I.Developer.P2a=TRUE,I.Facility.P2aFacilityCount&gt;=1012,F6024=""),"Incomplete","Complete")</f>
        <v>Complete</v>
      </c>
      <c r="I6024" s="48" t="s">
        <v>10389</v>
      </c>
    </row>
    <row r="6025" spans="2:9" ht="15" customHeight="1" x14ac:dyDescent="0.25">
      <c r="B6025" s="55" t="s">
        <v>280</v>
      </c>
      <c r="C6025" s="46">
        <v>1013</v>
      </c>
      <c r="D6025" s="69" t="s">
        <v>29417</v>
      </c>
      <c r="E6025" s="51"/>
      <c r="F6025" s="114" t="str">
        <f>IF(INDEX(I.Facility.P2aIDNumber,1013)="","",INDEX(I.Facility.P2aIDNumber,1013))</f>
        <v/>
      </c>
      <c r="G6025" s="51"/>
      <c r="H6025" s="46" t="str">
        <f>IF(AND(I.Developer.P2a=TRUE,I.Facility.P2aFacilityCount&gt;=1013,F6025=""),"Incomplete","Complete")</f>
        <v>Complete</v>
      </c>
      <c r="I6025" s="48" t="s">
        <v>10390</v>
      </c>
    </row>
    <row r="6026" spans="2:9" ht="15" customHeight="1" x14ac:dyDescent="0.25">
      <c r="B6026" s="55" t="s">
        <v>280</v>
      </c>
      <c r="C6026" s="46">
        <v>1014</v>
      </c>
      <c r="D6026" s="69" t="s">
        <v>29417</v>
      </c>
      <c r="E6026" s="51"/>
      <c r="F6026" s="114" t="str">
        <f>IF(INDEX(I.Facility.P2aIDNumber,1014)="","",INDEX(I.Facility.P2aIDNumber,1014))</f>
        <v/>
      </c>
      <c r="G6026" s="51"/>
      <c r="H6026" s="46" t="str">
        <f>IF(AND(I.Developer.P2a=TRUE,I.Facility.P2aFacilityCount&gt;=1014,F6026=""),"Incomplete","Complete")</f>
        <v>Complete</v>
      </c>
      <c r="I6026" s="48" t="s">
        <v>10391</v>
      </c>
    </row>
    <row r="6027" spans="2:9" ht="15" customHeight="1" x14ac:dyDescent="0.25">
      <c r="B6027" s="55" t="s">
        <v>280</v>
      </c>
      <c r="C6027" s="46">
        <v>1015</v>
      </c>
      <c r="D6027" s="69" t="s">
        <v>29417</v>
      </c>
      <c r="E6027" s="51"/>
      <c r="F6027" s="114" t="str">
        <f>IF(INDEX(I.Facility.P2aIDNumber,1015)="","",INDEX(I.Facility.P2aIDNumber,1015))</f>
        <v/>
      </c>
      <c r="G6027" s="51"/>
      <c r="H6027" s="46" t="str">
        <f>IF(AND(I.Developer.P2a=TRUE,I.Facility.P2aFacilityCount&gt;=1015,F6027=""),"Incomplete","Complete")</f>
        <v>Complete</v>
      </c>
      <c r="I6027" s="48" t="s">
        <v>10392</v>
      </c>
    </row>
    <row r="6028" spans="2:9" ht="15" customHeight="1" x14ac:dyDescent="0.25">
      <c r="B6028" s="55" t="s">
        <v>280</v>
      </c>
      <c r="C6028" s="46">
        <v>1016</v>
      </c>
      <c r="D6028" s="69" t="s">
        <v>29417</v>
      </c>
      <c r="E6028" s="51"/>
      <c r="F6028" s="114" t="str">
        <f>IF(INDEX(I.Facility.P2aIDNumber,1016)="","",INDEX(I.Facility.P2aIDNumber,1016))</f>
        <v/>
      </c>
      <c r="G6028" s="51"/>
      <c r="H6028" s="46" t="str">
        <f>IF(AND(I.Developer.P2a=TRUE,I.Facility.P2aFacilityCount&gt;=1016,F6028=""),"Incomplete","Complete")</f>
        <v>Complete</v>
      </c>
      <c r="I6028" s="48" t="s">
        <v>10393</v>
      </c>
    </row>
    <row r="6029" spans="2:9" ht="15" customHeight="1" x14ac:dyDescent="0.25">
      <c r="B6029" s="55" t="s">
        <v>280</v>
      </c>
      <c r="C6029" s="46">
        <v>1017</v>
      </c>
      <c r="D6029" s="69" t="s">
        <v>29417</v>
      </c>
      <c r="E6029" s="51"/>
      <c r="F6029" s="114" t="str">
        <f>IF(INDEX(I.Facility.P2aIDNumber,1017)="","",INDEX(I.Facility.P2aIDNumber,1017))</f>
        <v/>
      </c>
      <c r="G6029" s="51"/>
      <c r="H6029" s="46" t="str">
        <f>IF(AND(I.Developer.P2a=TRUE,I.Facility.P2aFacilityCount&gt;=1017,F6029=""),"Incomplete","Complete")</f>
        <v>Complete</v>
      </c>
      <c r="I6029" s="48" t="s">
        <v>10394</v>
      </c>
    </row>
    <row r="6030" spans="2:9" ht="15" customHeight="1" x14ac:dyDescent="0.25">
      <c r="B6030" s="55" t="s">
        <v>280</v>
      </c>
      <c r="C6030" s="46">
        <v>1018</v>
      </c>
      <c r="D6030" s="69" t="s">
        <v>29417</v>
      </c>
      <c r="E6030" s="51"/>
      <c r="F6030" s="114" t="str">
        <f>IF(INDEX(I.Facility.P2aIDNumber,1018)="","",INDEX(I.Facility.P2aIDNumber,1018))</f>
        <v/>
      </c>
      <c r="G6030" s="51"/>
      <c r="H6030" s="46" t="str">
        <f>IF(AND(I.Developer.P2a=TRUE,I.Facility.P2aFacilityCount&gt;=1018,F6030=""),"Incomplete","Complete")</f>
        <v>Complete</v>
      </c>
      <c r="I6030" s="48" t="s">
        <v>10395</v>
      </c>
    </row>
    <row r="6031" spans="2:9" ht="15" customHeight="1" x14ac:dyDescent="0.25">
      <c r="B6031" s="55" t="s">
        <v>280</v>
      </c>
      <c r="C6031" s="46">
        <v>1019</v>
      </c>
      <c r="D6031" s="69" t="s">
        <v>29417</v>
      </c>
      <c r="E6031" s="51"/>
      <c r="F6031" s="114" t="str">
        <f>IF(INDEX(I.Facility.P2aIDNumber,1019)="","",INDEX(I.Facility.P2aIDNumber,1019))</f>
        <v/>
      </c>
      <c r="G6031" s="51"/>
      <c r="H6031" s="46" t="str">
        <f>IF(AND(I.Developer.P2a=TRUE,I.Facility.P2aFacilityCount&gt;=1019,F6031=""),"Incomplete","Complete")</f>
        <v>Complete</v>
      </c>
      <c r="I6031" s="48" t="s">
        <v>10396</v>
      </c>
    </row>
    <row r="6032" spans="2:9" ht="15" customHeight="1" x14ac:dyDescent="0.25">
      <c r="B6032" s="55" t="s">
        <v>280</v>
      </c>
      <c r="C6032" s="46">
        <v>1020</v>
      </c>
      <c r="D6032" s="69" t="s">
        <v>29417</v>
      </c>
      <c r="E6032" s="51"/>
      <c r="F6032" s="114" t="str">
        <f>IF(INDEX(I.Facility.P2aIDNumber,1020)="","",INDEX(I.Facility.P2aIDNumber,1020))</f>
        <v/>
      </c>
      <c r="G6032" s="51"/>
      <c r="H6032" s="46" t="str">
        <f>IF(AND(I.Developer.P2a=TRUE,I.Facility.P2aFacilityCount&gt;=1020,F6032=""),"Incomplete","Complete")</f>
        <v>Complete</v>
      </c>
      <c r="I6032" s="48" t="s">
        <v>10397</v>
      </c>
    </row>
    <row r="6033" spans="2:9" ht="15" customHeight="1" x14ac:dyDescent="0.25">
      <c r="B6033" s="55" t="s">
        <v>280</v>
      </c>
      <c r="C6033" s="46">
        <v>1021</v>
      </c>
      <c r="D6033" s="69" t="s">
        <v>29417</v>
      </c>
      <c r="E6033" s="51"/>
      <c r="F6033" s="114" t="str">
        <f>IF(INDEX(I.Facility.P2aIDNumber,1021)="","",INDEX(I.Facility.P2aIDNumber,1021))</f>
        <v/>
      </c>
      <c r="G6033" s="51"/>
      <c r="H6033" s="46" t="str">
        <f>IF(AND(I.Developer.P2a=TRUE,I.Facility.P2aFacilityCount&gt;=1021,F6033=""),"Incomplete","Complete")</f>
        <v>Complete</v>
      </c>
      <c r="I6033" s="48" t="s">
        <v>10398</v>
      </c>
    </row>
    <row r="6034" spans="2:9" ht="15" customHeight="1" x14ac:dyDescent="0.25">
      <c r="B6034" s="55" t="s">
        <v>280</v>
      </c>
      <c r="C6034" s="46">
        <v>1022</v>
      </c>
      <c r="D6034" s="69" t="s">
        <v>29417</v>
      </c>
      <c r="E6034" s="51"/>
      <c r="F6034" s="114" t="str">
        <f>IF(INDEX(I.Facility.P2aIDNumber,1022)="","",INDEX(I.Facility.P2aIDNumber,1022))</f>
        <v/>
      </c>
      <c r="G6034" s="51"/>
      <c r="H6034" s="46" t="str">
        <f>IF(AND(I.Developer.P2a=TRUE,I.Facility.P2aFacilityCount&gt;=1022,F6034=""),"Incomplete","Complete")</f>
        <v>Complete</v>
      </c>
      <c r="I6034" s="48" t="s">
        <v>10399</v>
      </c>
    </row>
    <row r="6035" spans="2:9" ht="15" customHeight="1" x14ac:dyDescent="0.25">
      <c r="B6035" s="55" t="s">
        <v>280</v>
      </c>
      <c r="C6035" s="46">
        <v>1023</v>
      </c>
      <c r="D6035" s="69" t="s">
        <v>29417</v>
      </c>
      <c r="E6035" s="51"/>
      <c r="F6035" s="114" t="str">
        <f>IF(INDEX(I.Facility.P2aIDNumber,1023)="","",INDEX(I.Facility.P2aIDNumber,1023))</f>
        <v/>
      </c>
      <c r="G6035" s="51"/>
      <c r="H6035" s="46" t="str">
        <f>IF(AND(I.Developer.P2a=TRUE,I.Facility.P2aFacilityCount&gt;=1023,F6035=""),"Incomplete","Complete")</f>
        <v>Complete</v>
      </c>
      <c r="I6035" s="48" t="s">
        <v>10400</v>
      </c>
    </row>
    <row r="6036" spans="2:9" ht="15" customHeight="1" x14ac:dyDescent="0.25">
      <c r="B6036" s="55" t="s">
        <v>280</v>
      </c>
      <c r="C6036" s="46">
        <v>1024</v>
      </c>
      <c r="D6036" s="69" t="s">
        <v>29417</v>
      </c>
      <c r="E6036" s="51"/>
      <c r="F6036" s="114" t="str">
        <f>IF(INDEX(I.Facility.P2aIDNumber,1024)="","",INDEX(I.Facility.P2aIDNumber,1024))</f>
        <v/>
      </c>
      <c r="G6036" s="51"/>
      <c r="H6036" s="46" t="str">
        <f>IF(AND(I.Developer.P2a=TRUE,I.Facility.P2aFacilityCount&gt;=1024,F6036=""),"Incomplete","Complete")</f>
        <v>Complete</v>
      </c>
      <c r="I6036" s="48" t="s">
        <v>10401</v>
      </c>
    </row>
    <row r="6037" spans="2:9" ht="15" customHeight="1" x14ac:dyDescent="0.25">
      <c r="B6037" s="55" t="s">
        <v>280</v>
      </c>
      <c r="C6037" s="46">
        <v>1025</v>
      </c>
      <c r="D6037" s="69" t="s">
        <v>29417</v>
      </c>
      <c r="E6037" s="51"/>
      <c r="F6037" s="114" t="str">
        <f>IF(INDEX(I.Facility.P2aIDNumber,1025)="","",INDEX(I.Facility.P2aIDNumber,1025))</f>
        <v/>
      </c>
      <c r="G6037" s="51"/>
      <c r="H6037" s="46" t="str">
        <f>IF(AND(I.Developer.P2a=TRUE,I.Facility.P2aFacilityCount&gt;=1025,F6037=""),"Incomplete","Complete")</f>
        <v>Complete</v>
      </c>
      <c r="I6037" s="48" t="s">
        <v>10402</v>
      </c>
    </row>
    <row r="6038" spans="2:9" ht="15" customHeight="1" x14ac:dyDescent="0.25">
      <c r="B6038" s="55" t="s">
        <v>280</v>
      </c>
      <c r="C6038" s="46">
        <v>1026</v>
      </c>
      <c r="D6038" s="69" t="s">
        <v>29417</v>
      </c>
      <c r="E6038" s="51"/>
      <c r="F6038" s="114" t="str">
        <f>IF(INDEX(I.Facility.P2aIDNumber,1026)="","",INDEX(I.Facility.P2aIDNumber,1026))</f>
        <v/>
      </c>
      <c r="G6038" s="51"/>
      <c r="H6038" s="46" t="str">
        <f>IF(AND(I.Developer.P2a=TRUE,I.Facility.P2aFacilityCount&gt;=1026,F6038=""),"Incomplete","Complete")</f>
        <v>Complete</v>
      </c>
      <c r="I6038" s="48" t="s">
        <v>10403</v>
      </c>
    </row>
    <row r="6039" spans="2:9" ht="15" customHeight="1" x14ac:dyDescent="0.25">
      <c r="B6039" s="55" t="s">
        <v>280</v>
      </c>
      <c r="C6039" s="46">
        <v>1027</v>
      </c>
      <c r="D6039" s="69" t="s">
        <v>29417</v>
      </c>
      <c r="E6039" s="51"/>
      <c r="F6039" s="114" t="str">
        <f>IF(INDEX(I.Facility.P2aIDNumber,1027)="","",INDEX(I.Facility.P2aIDNumber,1027))</f>
        <v/>
      </c>
      <c r="G6039" s="51"/>
      <c r="H6039" s="46" t="str">
        <f>IF(AND(I.Developer.P2a=TRUE,I.Facility.P2aFacilityCount&gt;=1027,F6039=""),"Incomplete","Complete")</f>
        <v>Complete</v>
      </c>
      <c r="I6039" s="48" t="s">
        <v>10404</v>
      </c>
    </row>
    <row r="6040" spans="2:9" ht="15" customHeight="1" x14ac:dyDescent="0.25">
      <c r="B6040" s="55" t="s">
        <v>280</v>
      </c>
      <c r="C6040" s="46">
        <v>1028</v>
      </c>
      <c r="D6040" s="69" t="s">
        <v>29417</v>
      </c>
      <c r="E6040" s="51"/>
      <c r="F6040" s="114" t="str">
        <f>IF(INDEX(I.Facility.P2aIDNumber,1028)="","",INDEX(I.Facility.P2aIDNumber,1028))</f>
        <v/>
      </c>
      <c r="G6040" s="51"/>
      <c r="H6040" s="46" t="str">
        <f>IF(AND(I.Developer.P2a=TRUE,I.Facility.P2aFacilityCount&gt;=1028,F6040=""),"Incomplete","Complete")</f>
        <v>Complete</v>
      </c>
      <c r="I6040" s="48" t="s">
        <v>10405</v>
      </c>
    </row>
    <row r="6041" spans="2:9" ht="15" customHeight="1" x14ac:dyDescent="0.25">
      <c r="B6041" s="55" t="s">
        <v>280</v>
      </c>
      <c r="C6041" s="46">
        <v>1029</v>
      </c>
      <c r="D6041" s="69" t="s">
        <v>29417</v>
      </c>
      <c r="E6041" s="51"/>
      <c r="F6041" s="114" t="str">
        <f>IF(INDEX(I.Facility.P2aIDNumber,1029)="","",INDEX(I.Facility.P2aIDNumber,1029))</f>
        <v/>
      </c>
      <c r="G6041" s="51"/>
      <c r="H6041" s="46" t="str">
        <f>IF(AND(I.Developer.P2a=TRUE,I.Facility.P2aFacilityCount&gt;=1029,F6041=""),"Incomplete","Complete")</f>
        <v>Complete</v>
      </c>
      <c r="I6041" s="48" t="s">
        <v>10406</v>
      </c>
    </row>
    <row r="6042" spans="2:9" ht="15" customHeight="1" x14ac:dyDescent="0.25">
      <c r="B6042" s="55" t="s">
        <v>280</v>
      </c>
      <c r="C6042" s="46">
        <v>1030</v>
      </c>
      <c r="D6042" s="69" t="s">
        <v>29417</v>
      </c>
      <c r="E6042" s="51"/>
      <c r="F6042" s="114" t="str">
        <f>IF(INDEX(I.Facility.P2aIDNumber,1030)="","",INDEX(I.Facility.P2aIDNumber,1030))</f>
        <v/>
      </c>
      <c r="G6042" s="51"/>
      <c r="H6042" s="46" t="str">
        <f>IF(AND(I.Developer.P2a=TRUE,I.Facility.P2aFacilityCount&gt;=1030,F6042=""),"Incomplete","Complete")</f>
        <v>Complete</v>
      </c>
      <c r="I6042" s="48" t="s">
        <v>10407</v>
      </c>
    </row>
    <row r="6043" spans="2:9" ht="15" customHeight="1" x14ac:dyDescent="0.25">
      <c r="B6043" s="55" t="s">
        <v>280</v>
      </c>
      <c r="C6043" s="46">
        <v>1031</v>
      </c>
      <c r="D6043" s="69" t="s">
        <v>29417</v>
      </c>
      <c r="E6043" s="51"/>
      <c r="F6043" s="114" t="str">
        <f>IF(INDEX(I.Facility.P2aIDNumber,1031)="","",INDEX(I.Facility.P2aIDNumber,1031))</f>
        <v/>
      </c>
      <c r="G6043" s="51"/>
      <c r="H6043" s="46" t="str">
        <f>IF(AND(I.Developer.P2a=TRUE,I.Facility.P2aFacilityCount&gt;=1031,F6043=""),"Incomplete","Complete")</f>
        <v>Complete</v>
      </c>
      <c r="I6043" s="48" t="s">
        <v>10408</v>
      </c>
    </row>
    <row r="6044" spans="2:9" ht="15" customHeight="1" x14ac:dyDescent="0.25">
      <c r="B6044" s="55" t="s">
        <v>280</v>
      </c>
      <c r="C6044" s="46">
        <v>1032</v>
      </c>
      <c r="D6044" s="69" t="s">
        <v>29417</v>
      </c>
      <c r="E6044" s="51"/>
      <c r="F6044" s="114" t="str">
        <f>IF(INDEX(I.Facility.P2aIDNumber,1032)="","",INDEX(I.Facility.P2aIDNumber,1032))</f>
        <v/>
      </c>
      <c r="G6044" s="51"/>
      <c r="H6044" s="46" t="str">
        <f>IF(AND(I.Developer.P2a=TRUE,I.Facility.P2aFacilityCount&gt;=1032,F6044=""),"Incomplete","Complete")</f>
        <v>Complete</v>
      </c>
      <c r="I6044" s="48" t="s">
        <v>10409</v>
      </c>
    </row>
    <row r="6045" spans="2:9" ht="15" customHeight="1" x14ac:dyDescent="0.25">
      <c r="B6045" s="55" t="s">
        <v>280</v>
      </c>
      <c r="C6045" s="46">
        <v>1033</v>
      </c>
      <c r="D6045" s="69" t="s">
        <v>29417</v>
      </c>
      <c r="E6045" s="51"/>
      <c r="F6045" s="114" t="str">
        <f>IF(INDEX(I.Facility.P2aIDNumber,1033)="","",INDEX(I.Facility.P2aIDNumber,1033))</f>
        <v/>
      </c>
      <c r="G6045" s="51"/>
      <c r="H6045" s="46" t="str">
        <f>IF(AND(I.Developer.P2a=TRUE,I.Facility.P2aFacilityCount&gt;=1033,F6045=""),"Incomplete","Complete")</f>
        <v>Complete</v>
      </c>
      <c r="I6045" s="48" t="s">
        <v>10410</v>
      </c>
    </row>
    <row r="6046" spans="2:9" ht="15" customHeight="1" x14ac:dyDescent="0.25">
      <c r="B6046" s="55" t="s">
        <v>280</v>
      </c>
      <c r="C6046" s="46">
        <v>1034</v>
      </c>
      <c r="D6046" s="69" t="s">
        <v>29417</v>
      </c>
      <c r="E6046" s="51"/>
      <c r="F6046" s="114" t="str">
        <f>IF(INDEX(I.Facility.P2aIDNumber,1034)="","",INDEX(I.Facility.P2aIDNumber,1034))</f>
        <v/>
      </c>
      <c r="G6046" s="51"/>
      <c r="H6046" s="46" t="str">
        <f>IF(AND(I.Developer.P2a=TRUE,I.Facility.P2aFacilityCount&gt;=1034,F6046=""),"Incomplete","Complete")</f>
        <v>Complete</v>
      </c>
      <c r="I6046" s="48" t="s">
        <v>10411</v>
      </c>
    </row>
    <row r="6047" spans="2:9" ht="15" customHeight="1" x14ac:dyDescent="0.25">
      <c r="B6047" s="55" t="s">
        <v>280</v>
      </c>
      <c r="C6047" s="46">
        <v>1035</v>
      </c>
      <c r="D6047" s="69" t="s">
        <v>29417</v>
      </c>
      <c r="E6047" s="51"/>
      <c r="F6047" s="114" t="str">
        <f>IF(INDEX(I.Facility.P2aIDNumber,1035)="","",INDEX(I.Facility.P2aIDNumber,1035))</f>
        <v/>
      </c>
      <c r="G6047" s="51"/>
      <c r="H6047" s="46" t="str">
        <f>IF(AND(I.Developer.P2a=TRUE,I.Facility.P2aFacilityCount&gt;=1035,F6047=""),"Incomplete","Complete")</f>
        <v>Complete</v>
      </c>
      <c r="I6047" s="48" t="s">
        <v>10412</v>
      </c>
    </row>
    <row r="6048" spans="2:9" ht="15" customHeight="1" x14ac:dyDescent="0.25">
      <c r="B6048" s="55" t="s">
        <v>280</v>
      </c>
      <c r="C6048" s="46">
        <v>1036</v>
      </c>
      <c r="D6048" s="69" t="s">
        <v>29417</v>
      </c>
      <c r="E6048" s="51"/>
      <c r="F6048" s="114" t="str">
        <f>IF(INDEX(I.Facility.P2aIDNumber,1036)="","",INDEX(I.Facility.P2aIDNumber,1036))</f>
        <v/>
      </c>
      <c r="G6048" s="51"/>
      <c r="H6048" s="46" t="str">
        <f>IF(AND(I.Developer.P2a=TRUE,I.Facility.P2aFacilityCount&gt;=1036,F6048=""),"Incomplete","Complete")</f>
        <v>Complete</v>
      </c>
      <c r="I6048" s="48" t="s">
        <v>10413</v>
      </c>
    </row>
    <row r="6049" spans="2:9" ht="15" customHeight="1" x14ac:dyDescent="0.25">
      <c r="B6049" s="55" t="s">
        <v>280</v>
      </c>
      <c r="C6049" s="46">
        <v>1037</v>
      </c>
      <c r="D6049" s="69" t="s">
        <v>29417</v>
      </c>
      <c r="E6049" s="51"/>
      <c r="F6049" s="114" t="str">
        <f>IF(INDEX(I.Facility.P2aIDNumber,1037)="","",INDEX(I.Facility.P2aIDNumber,1037))</f>
        <v/>
      </c>
      <c r="G6049" s="51"/>
      <c r="H6049" s="46" t="str">
        <f>IF(AND(I.Developer.P2a=TRUE,I.Facility.P2aFacilityCount&gt;=1037,F6049=""),"Incomplete","Complete")</f>
        <v>Complete</v>
      </c>
      <c r="I6049" s="48" t="s">
        <v>10414</v>
      </c>
    </row>
    <row r="6050" spans="2:9" ht="15" customHeight="1" x14ac:dyDescent="0.25">
      <c r="B6050" s="55" t="s">
        <v>280</v>
      </c>
      <c r="C6050" s="46">
        <v>1038</v>
      </c>
      <c r="D6050" s="69" t="s">
        <v>29417</v>
      </c>
      <c r="E6050" s="51"/>
      <c r="F6050" s="114" t="str">
        <f>IF(INDEX(I.Facility.P2aIDNumber,1038)="","",INDEX(I.Facility.P2aIDNumber,1038))</f>
        <v/>
      </c>
      <c r="G6050" s="51"/>
      <c r="H6050" s="46" t="str">
        <f>IF(AND(I.Developer.P2a=TRUE,I.Facility.P2aFacilityCount&gt;=1038,F6050=""),"Incomplete","Complete")</f>
        <v>Complete</v>
      </c>
      <c r="I6050" s="48" t="s">
        <v>10415</v>
      </c>
    </row>
    <row r="6051" spans="2:9" ht="15" customHeight="1" x14ac:dyDescent="0.25">
      <c r="B6051" s="55" t="s">
        <v>280</v>
      </c>
      <c r="C6051" s="46">
        <v>1039</v>
      </c>
      <c r="D6051" s="69" t="s">
        <v>29417</v>
      </c>
      <c r="E6051" s="51"/>
      <c r="F6051" s="114" t="str">
        <f>IF(INDEX(I.Facility.P2aIDNumber,1039)="","",INDEX(I.Facility.P2aIDNumber,1039))</f>
        <v/>
      </c>
      <c r="G6051" s="51"/>
      <c r="H6051" s="46" t="str">
        <f>IF(AND(I.Developer.P2a=TRUE,I.Facility.P2aFacilityCount&gt;=1039,F6051=""),"Incomplete","Complete")</f>
        <v>Complete</v>
      </c>
      <c r="I6051" s="48" t="s">
        <v>10416</v>
      </c>
    </row>
    <row r="6052" spans="2:9" ht="15" customHeight="1" x14ac:dyDescent="0.25">
      <c r="B6052" s="55" t="s">
        <v>280</v>
      </c>
      <c r="C6052" s="46">
        <v>1040</v>
      </c>
      <c r="D6052" s="69" t="s">
        <v>29417</v>
      </c>
      <c r="E6052" s="51"/>
      <c r="F6052" s="114" t="str">
        <f>IF(INDEX(I.Facility.P2aIDNumber,1040)="","",INDEX(I.Facility.P2aIDNumber,1040))</f>
        <v/>
      </c>
      <c r="G6052" s="51"/>
      <c r="H6052" s="46" t="str">
        <f>IF(AND(I.Developer.P2a=TRUE,I.Facility.P2aFacilityCount&gt;=1040,F6052=""),"Incomplete","Complete")</f>
        <v>Complete</v>
      </c>
      <c r="I6052" s="48" t="s">
        <v>10417</v>
      </c>
    </row>
    <row r="6053" spans="2:9" ht="15" customHeight="1" x14ac:dyDescent="0.25">
      <c r="B6053" s="55" t="s">
        <v>280</v>
      </c>
      <c r="C6053" s="46">
        <v>1041</v>
      </c>
      <c r="D6053" s="69" t="s">
        <v>29417</v>
      </c>
      <c r="E6053" s="51"/>
      <c r="F6053" s="114" t="str">
        <f>IF(INDEX(I.Facility.P2aIDNumber,1041)="","",INDEX(I.Facility.P2aIDNumber,1041))</f>
        <v/>
      </c>
      <c r="G6053" s="51"/>
      <c r="H6053" s="46" t="str">
        <f>IF(AND(I.Developer.P2a=TRUE,I.Facility.P2aFacilityCount&gt;=1041,F6053=""),"Incomplete","Complete")</f>
        <v>Complete</v>
      </c>
      <c r="I6053" s="48" t="s">
        <v>10418</v>
      </c>
    </row>
    <row r="6054" spans="2:9" ht="15" customHeight="1" x14ac:dyDescent="0.25">
      <c r="B6054" s="55" t="s">
        <v>280</v>
      </c>
      <c r="C6054" s="46">
        <v>1042</v>
      </c>
      <c r="D6054" s="69" t="s">
        <v>29417</v>
      </c>
      <c r="E6054" s="51"/>
      <c r="F6054" s="114" t="str">
        <f>IF(INDEX(I.Facility.P2aIDNumber,1042)="","",INDEX(I.Facility.P2aIDNumber,1042))</f>
        <v/>
      </c>
      <c r="G6054" s="51"/>
      <c r="H6054" s="46" t="str">
        <f>IF(AND(I.Developer.P2a=TRUE,I.Facility.P2aFacilityCount&gt;=1042,F6054=""),"Incomplete","Complete")</f>
        <v>Complete</v>
      </c>
      <c r="I6054" s="48" t="s">
        <v>10419</v>
      </c>
    </row>
    <row r="6055" spans="2:9" ht="15" customHeight="1" x14ac:dyDescent="0.25">
      <c r="B6055" s="55" t="s">
        <v>280</v>
      </c>
      <c r="C6055" s="46">
        <v>1043</v>
      </c>
      <c r="D6055" s="69" t="s">
        <v>29417</v>
      </c>
      <c r="E6055" s="51"/>
      <c r="F6055" s="114" t="str">
        <f>IF(INDEX(I.Facility.P2aIDNumber,1043)="","",INDEX(I.Facility.P2aIDNumber,1043))</f>
        <v/>
      </c>
      <c r="G6055" s="51"/>
      <c r="H6055" s="46" t="str">
        <f>IF(AND(I.Developer.P2a=TRUE,I.Facility.P2aFacilityCount&gt;=1043,F6055=""),"Incomplete","Complete")</f>
        <v>Complete</v>
      </c>
      <c r="I6055" s="48" t="s">
        <v>10420</v>
      </c>
    </row>
    <row r="6056" spans="2:9" ht="15" customHeight="1" x14ac:dyDescent="0.25">
      <c r="B6056" s="55" t="s">
        <v>280</v>
      </c>
      <c r="C6056" s="46">
        <v>1044</v>
      </c>
      <c r="D6056" s="69" t="s">
        <v>29417</v>
      </c>
      <c r="E6056" s="51"/>
      <c r="F6056" s="114" t="str">
        <f>IF(INDEX(I.Facility.P2aIDNumber,1044)="","",INDEX(I.Facility.P2aIDNumber,1044))</f>
        <v/>
      </c>
      <c r="G6056" s="51"/>
      <c r="H6056" s="46" t="str">
        <f>IF(AND(I.Developer.P2a=TRUE,I.Facility.P2aFacilityCount&gt;=1044,F6056=""),"Incomplete","Complete")</f>
        <v>Complete</v>
      </c>
      <c r="I6056" s="48" t="s">
        <v>10421</v>
      </c>
    </row>
    <row r="6057" spans="2:9" ht="15" customHeight="1" x14ac:dyDescent="0.25">
      <c r="B6057" s="55" t="s">
        <v>280</v>
      </c>
      <c r="C6057" s="46">
        <v>1045</v>
      </c>
      <c r="D6057" s="69" t="s">
        <v>29417</v>
      </c>
      <c r="E6057" s="51"/>
      <c r="F6057" s="114" t="str">
        <f>IF(INDEX(I.Facility.P2aIDNumber,1045)="","",INDEX(I.Facility.P2aIDNumber,1045))</f>
        <v/>
      </c>
      <c r="G6057" s="51"/>
      <c r="H6057" s="46" t="str">
        <f>IF(AND(I.Developer.P2a=TRUE,I.Facility.P2aFacilityCount&gt;=1045,F6057=""),"Incomplete","Complete")</f>
        <v>Complete</v>
      </c>
      <c r="I6057" s="48" t="s">
        <v>10422</v>
      </c>
    </row>
    <row r="6058" spans="2:9" ht="15" customHeight="1" x14ac:dyDescent="0.25">
      <c r="B6058" s="55" t="s">
        <v>280</v>
      </c>
      <c r="C6058" s="46">
        <v>1046</v>
      </c>
      <c r="D6058" s="69" t="s">
        <v>29417</v>
      </c>
      <c r="E6058" s="51"/>
      <c r="F6058" s="114" t="str">
        <f>IF(INDEX(I.Facility.P2aIDNumber,1046)="","",INDEX(I.Facility.P2aIDNumber,1046))</f>
        <v/>
      </c>
      <c r="G6058" s="51"/>
      <c r="H6058" s="46" t="str">
        <f>IF(AND(I.Developer.P2a=TRUE,I.Facility.P2aFacilityCount&gt;=1046,F6058=""),"Incomplete","Complete")</f>
        <v>Complete</v>
      </c>
      <c r="I6058" s="48" t="s">
        <v>10423</v>
      </c>
    </row>
    <row r="6059" spans="2:9" ht="15" customHeight="1" x14ac:dyDescent="0.25">
      <c r="B6059" s="55" t="s">
        <v>280</v>
      </c>
      <c r="C6059" s="46">
        <v>1047</v>
      </c>
      <c r="D6059" s="69" t="s">
        <v>29417</v>
      </c>
      <c r="E6059" s="51"/>
      <c r="F6059" s="114" t="str">
        <f>IF(INDEX(I.Facility.P2aIDNumber,1047)="","",INDEX(I.Facility.P2aIDNumber,1047))</f>
        <v/>
      </c>
      <c r="G6059" s="51"/>
      <c r="H6059" s="46" t="str">
        <f>IF(AND(I.Developer.P2a=TRUE,I.Facility.P2aFacilityCount&gt;=1047,F6059=""),"Incomplete","Complete")</f>
        <v>Complete</v>
      </c>
      <c r="I6059" s="48" t="s">
        <v>10424</v>
      </c>
    </row>
    <row r="6060" spans="2:9" ht="15" customHeight="1" x14ac:dyDescent="0.25">
      <c r="B6060" s="55" t="s">
        <v>280</v>
      </c>
      <c r="C6060" s="46">
        <v>1048</v>
      </c>
      <c r="D6060" s="69" t="s">
        <v>29417</v>
      </c>
      <c r="E6060" s="51"/>
      <c r="F6060" s="114" t="str">
        <f>IF(INDEX(I.Facility.P2aIDNumber,1048)="","",INDEX(I.Facility.P2aIDNumber,1048))</f>
        <v/>
      </c>
      <c r="G6060" s="51"/>
      <c r="H6060" s="46" t="str">
        <f>IF(AND(I.Developer.P2a=TRUE,I.Facility.P2aFacilityCount&gt;=1048,F6060=""),"Incomplete","Complete")</f>
        <v>Complete</v>
      </c>
      <c r="I6060" s="48" t="s">
        <v>10425</v>
      </c>
    </row>
    <row r="6061" spans="2:9" ht="15" customHeight="1" x14ac:dyDescent="0.25">
      <c r="B6061" s="55" t="s">
        <v>280</v>
      </c>
      <c r="C6061" s="46">
        <v>1049</v>
      </c>
      <c r="D6061" s="69" t="s">
        <v>29417</v>
      </c>
      <c r="E6061" s="51"/>
      <c r="F6061" s="114" t="str">
        <f>IF(INDEX(I.Facility.P2aIDNumber,1049)="","",INDEX(I.Facility.P2aIDNumber,1049))</f>
        <v/>
      </c>
      <c r="G6061" s="51"/>
      <c r="H6061" s="46" t="str">
        <f>IF(AND(I.Developer.P2a=TRUE,I.Facility.P2aFacilityCount&gt;=1049,F6061=""),"Incomplete","Complete")</f>
        <v>Complete</v>
      </c>
      <c r="I6061" s="48" t="s">
        <v>10426</v>
      </c>
    </row>
    <row r="6062" spans="2:9" ht="15" customHeight="1" x14ac:dyDescent="0.25">
      <c r="B6062" s="55" t="s">
        <v>280</v>
      </c>
      <c r="C6062" s="46">
        <v>1050</v>
      </c>
      <c r="D6062" s="69" t="s">
        <v>29417</v>
      </c>
      <c r="E6062" s="51"/>
      <c r="F6062" s="114" t="str">
        <f>IF(INDEX(I.Facility.P2aIDNumber,1050)="","",INDEX(I.Facility.P2aIDNumber,1050))</f>
        <v/>
      </c>
      <c r="G6062" s="51"/>
      <c r="H6062" s="46" t="str">
        <f>IF(AND(I.Developer.P2a=TRUE,I.Facility.P2aFacilityCount&gt;=1050,F6062=""),"Incomplete","Complete")</f>
        <v>Complete</v>
      </c>
      <c r="I6062" s="48" t="s">
        <v>10427</v>
      </c>
    </row>
    <row r="6063" spans="2:9" ht="15" customHeight="1" x14ac:dyDescent="0.25">
      <c r="B6063" s="55" t="s">
        <v>280</v>
      </c>
      <c r="C6063" s="46">
        <v>1051</v>
      </c>
      <c r="D6063" s="69" t="s">
        <v>29417</v>
      </c>
      <c r="E6063" s="51"/>
      <c r="F6063" s="114" t="str">
        <f>IF(INDEX(I.Facility.P2aIDNumber,1051)="","",INDEX(I.Facility.P2aIDNumber,1051))</f>
        <v/>
      </c>
      <c r="G6063" s="51"/>
      <c r="H6063" s="46" t="str">
        <f>IF(AND(I.Developer.P2a=TRUE,I.Facility.P2aFacilityCount&gt;=1051,F6063=""),"Incomplete","Complete")</f>
        <v>Complete</v>
      </c>
      <c r="I6063" s="48" t="s">
        <v>10428</v>
      </c>
    </row>
    <row r="6064" spans="2:9" ht="15" customHeight="1" x14ac:dyDescent="0.25">
      <c r="B6064" s="55" t="s">
        <v>280</v>
      </c>
      <c r="C6064" s="46">
        <v>1052</v>
      </c>
      <c r="D6064" s="69" t="s">
        <v>29417</v>
      </c>
      <c r="E6064" s="51"/>
      <c r="F6064" s="114" t="str">
        <f>IF(INDEX(I.Facility.P2aIDNumber,1052)="","",INDEX(I.Facility.P2aIDNumber,1052))</f>
        <v/>
      </c>
      <c r="G6064" s="51"/>
      <c r="H6064" s="46" t="str">
        <f>IF(AND(I.Developer.P2a=TRUE,I.Facility.P2aFacilityCount&gt;=1052,F6064=""),"Incomplete","Complete")</f>
        <v>Complete</v>
      </c>
      <c r="I6064" s="48" t="s">
        <v>10429</v>
      </c>
    </row>
    <row r="6065" spans="2:9" ht="15" customHeight="1" x14ac:dyDescent="0.25">
      <c r="B6065" s="55" t="s">
        <v>280</v>
      </c>
      <c r="C6065" s="46">
        <v>1053</v>
      </c>
      <c r="D6065" s="69" t="s">
        <v>29417</v>
      </c>
      <c r="E6065" s="51"/>
      <c r="F6065" s="114" t="str">
        <f>IF(INDEX(I.Facility.P2aIDNumber,1053)="","",INDEX(I.Facility.P2aIDNumber,1053))</f>
        <v/>
      </c>
      <c r="G6065" s="51"/>
      <c r="H6065" s="46" t="str">
        <f>IF(AND(I.Developer.P2a=TRUE,I.Facility.P2aFacilityCount&gt;=1053,F6065=""),"Incomplete","Complete")</f>
        <v>Complete</v>
      </c>
      <c r="I6065" s="48" t="s">
        <v>10430</v>
      </c>
    </row>
    <row r="6066" spans="2:9" ht="15" customHeight="1" x14ac:dyDescent="0.25">
      <c r="B6066" s="55" t="s">
        <v>280</v>
      </c>
      <c r="C6066" s="46">
        <v>1054</v>
      </c>
      <c r="D6066" s="69" t="s">
        <v>29417</v>
      </c>
      <c r="E6066" s="51"/>
      <c r="F6066" s="114" t="str">
        <f>IF(INDEX(I.Facility.P2aIDNumber,1054)="","",INDEX(I.Facility.P2aIDNumber,1054))</f>
        <v/>
      </c>
      <c r="G6066" s="51"/>
      <c r="H6066" s="46" t="str">
        <f>IF(AND(I.Developer.P2a=TRUE,I.Facility.P2aFacilityCount&gt;=1054,F6066=""),"Incomplete","Complete")</f>
        <v>Complete</v>
      </c>
      <c r="I6066" s="48" t="s">
        <v>10431</v>
      </c>
    </row>
    <row r="6067" spans="2:9" ht="15" customHeight="1" x14ac:dyDescent="0.25">
      <c r="B6067" s="55" t="s">
        <v>280</v>
      </c>
      <c r="C6067" s="46">
        <v>1055</v>
      </c>
      <c r="D6067" s="69" t="s">
        <v>29417</v>
      </c>
      <c r="E6067" s="51"/>
      <c r="F6067" s="114" t="str">
        <f>IF(INDEX(I.Facility.P2aIDNumber,1055)="","",INDEX(I.Facility.P2aIDNumber,1055))</f>
        <v/>
      </c>
      <c r="G6067" s="51"/>
      <c r="H6067" s="46" t="str">
        <f>IF(AND(I.Developer.P2a=TRUE,I.Facility.P2aFacilityCount&gt;=1055,F6067=""),"Incomplete","Complete")</f>
        <v>Complete</v>
      </c>
      <c r="I6067" s="48" t="s">
        <v>10432</v>
      </c>
    </row>
    <row r="6068" spans="2:9" ht="15" customHeight="1" x14ac:dyDescent="0.25">
      <c r="B6068" s="55" t="s">
        <v>280</v>
      </c>
      <c r="C6068" s="46">
        <v>1056</v>
      </c>
      <c r="D6068" s="69" t="s">
        <v>29417</v>
      </c>
      <c r="E6068" s="51"/>
      <c r="F6068" s="114" t="str">
        <f>IF(INDEX(I.Facility.P2aIDNumber,1056)="","",INDEX(I.Facility.P2aIDNumber,1056))</f>
        <v/>
      </c>
      <c r="G6068" s="51"/>
      <c r="H6068" s="46" t="str">
        <f>IF(AND(I.Developer.P2a=TRUE,I.Facility.P2aFacilityCount&gt;=1056,F6068=""),"Incomplete","Complete")</f>
        <v>Complete</v>
      </c>
      <c r="I6068" s="48" t="s">
        <v>10433</v>
      </c>
    </row>
    <row r="6069" spans="2:9" ht="15" customHeight="1" x14ac:dyDescent="0.25">
      <c r="B6069" s="55" t="s">
        <v>280</v>
      </c>
      <c r="C6069" s="46">
        <v>1057</v>
      </c>
      <c r="D6069" s="69" t="s">
        <v>29417</v>
      </c>
      <c r="E6069" s="51"/>
      <c r="F6069" s="114" t="str">
        <f>IF(INDEX(I.Facility.P2aIDNumber,1057)="","",INDEX(I.Facility.P2aIDNumber,1057))</f>
        <v/>
      </c>
      <c r="G6069" s="51"/>
      <c r="H6069" s="46" t="str">
        <f>IF(AND(I.Developer.P2a=TRUE,I.Facility.P2aFacilityCount&gt;=1057,F6069=""),"Incomplete","Complete")</f>
        <v>Complete</v>
      </c>
      <c r="I6069" s="48" t="s">
        <v>10434</v>
      </c>
    </row>
    <row r="6070" spans="2:9" ht="15" customHeight="1" x14ac:dyDescent="0.25">
      <c r="B6070" s="55" t="s">
        <v>280</v>
      </c>
      <c r="C6070" s="46">
        <v>1058</v>
      </c>
      <c r="D6070" s="69" t="s">
        <v>29417</v>
      </c>
      <c r="E6070" s="51"/>
      <c r="F6070" s="114" t="str">
        <f>IF(INDEX(I.Facility.P2aIDNumber,1058)="","",INDEX(I.Facility.P2aIDNumber,1058))</f>
        <v/>
      </c>
      <c r="G6070" s="51"/>
      <c r="H6070" s="46" t="str">
        <f>IF(AND(I.Developer.P2a=TRUE,I.Facility.P2aFacilityCount&gt;=1058,F6070=""),"Incomplete","Complete")</f>
        <v>Complete</v>
      </c>
      <c r="I6070" s="48" t="s">
        <v>10435</v>
      </c>
    </row>
    <row r="6071" spans="2:9" ht="15" customHeight="1" x14ac:dyDescent="0.25">
      <c r="B6071" s="55" t="s">
        <v>280</v>
      </c>
      <c r="C6071" s="46">
        <v>1059</v>
      </c>
      <c r="D6071" s="69" t="s">
        <v>29417</v>
      </c>
      <c r="E6071" s="51"/>
      <c r="F6071" s="114" t="str">
        <f>IF(INDEX(I.Facility.P2aIDNumber,1059)="","",INDEX(I.Facility.P2aIDNumber,1059))</f>
        <v/>
      </c>
      <c r="G6071" s="51"/>
      <c r="H6071" s="46" t="str">
        <f>IF(AND(I.Developer.P2a=TRUE,I.Facility.P2aFacilityCount&gt;=1059,F6071=""),"Incomplete","Complete")</f>
        <v>Complete</v>
      </c>
      <c r="I6071" s="48" t="s">
        <v>10436</v>
      </c>
    </row>
    <row r="6072" spans="2:9" ht="15" customHeight="1" x14ac:dyDescent="0.25">
      <c r="B6072" s="55" t="s">
        <v>280</v>
      </c>
      <c r="C6072" s="46">
        <v>1060</v>
      </c>
      <c r="D6072" s="69" t="s">
        <v>29417</v>
      </c>
      <c r="E6072" s="51"/>
      <c r="F6072" s="114" t="str">
        <f>IF(INDEX(I.Facility.P2aIDNumber,1060)="","",INDEX(I.Facility.P2aIDNumber,1060))</f>
        <v/>
      </c>
      <c r="G6072" s="51"/>
      <c r="H6072" s="46" t="str">
        <f>IF(AND(I.Developer.P2a=TRUE,I.Facility.P2aFacilityCount&gt;=1060,F6072=""),"Incomplete","Complete")</f>
        <v>Complete</v>
      </c>
      <c r="I6072" s="48" t="s">
        <v>10437</v>
      </c>
    </row>
    <row r="6073" spans="2:9" ht="15" customHeight="1" x14ac:dyDescent="0.25">
      <c r="B6073" s="55" t="s">
        <v>280</v>
      </c>
      <c r="C6073" s="46">
        <v>1061</v>
      </c>
      <c r="D6073" s="69" t="s">
        <v>29417</v>
      </c>
      <c r="E6073" s="51"/>
      <c r="F6073" s="114" t="str">
        <f>IF(INDEX(I.Facility.P2aIDNumber,1061)="","",INDEX(I.Facility.P2aIDNumber,1061))</f>
        <v/>
      </c>
      <c r="G6073" s="51"/>
      <c r="H6073" s="46" t="str">
        <f>IF(AND(I.Developer.P2a=TRUE,I.Facility.P2aFacilityCount&gt;=1061,F6073=""),"Incomplete","Complete")</f>
        <v>Complete</v>
      </c>
      <c r="I6073" s="48" t="s">
        <v>10438</v>
      </c>
    </row>
    <row r="6074" spans="2:9" ht="15" customHeight="1" x14ac:dyDescent="0.25">
      <c r="B6074" s="55" t="s">
        <v>280</v>
      </c>
      <c r="C6074" s="46">
        <v>1062</v>
      </c>
      <c r="D6074" s="69" t="s">
        <v>29417</v>
      </c>
      <c r="E6074" s="51"/>
      <c r="F6074" s="114" t="str">
        <f>IF(INDEX(I.Facility.P2aIDNumber,1062)="","",INDEX(I.Facility.P2aIDNumber,1062))</f>
        <v/>
      </c>
      <c r="G6074" s="51"/>
      <c r="H6074" s="46" t="str">
        <f>IF(AND(I.Developer.P2a=TRUE,I.Facility.P2aFacilityCount&gt;=1062,F6074=""),"Incomplete","Complete")</f>
        <v>Complete</v>
      </c>
      <c r="I6074" s="48" t="s">
        <v>10439</v>
      </c>
    </row>
    <row r="6075" spans="2:9" ht="15" customHeight="1" x14ac:dyDescent="0.25">
      <c r="B6075" s="55" t="s">
        <v>280</v>
      </c>
      <c r="C6075" s="46">
        <v>1063</v>
      </c>
      <c r="D6075" s="69" t="s">
        <v>29417</v>
      </c>
      <c r="E6075" s="51"/>
      <c r="F6075" s="114" t="str">
        <f>IF(INDEX(I.Facility.P2aIDNumber,1063)="","",INDEX(I.Facility.P2aIDNumber,1063))</f>
        <v/>
      </c>
      <c r="G6075" s="51"/>
      <c r="H6075" s="46" t="str">
        <f>IF(AND(I.Developer.P2a=TRUE,I.Facility.P2aFacilityCount&gt;=1063,F6075=""),"Incomplete","Complete")</f>
        <v>Complete</v>
      </c>
      <c r="I6075" s="48" t="s">
        <v>10440</v>
      </c>
    </row>
    <row r="6076" spans="2:9" ht="15" customHeight="1" x14ac:dyDescent="0.25">
      <c r="B6076" s="55" t="s">
        <v>280</v>
      </c>
      <c r="C6076" s="46">
        <v>1064</v>
      </c>
      <c r="D6076" s="69" t="s">
        <v>29417</v>
      </c>
      <c r="E6076" s="51"/>
      <c r="F6076" s="114" t="str">
        <f>IF(INDEX(I.Facility.P2aIDNumber,1064)="","",INDEX(I.Facility.P2aIDNumber,1064))</f>
        <v/>
      </c>
      <c r="G6076" s="51"/>
      <c r="H6076" s="46" t="str">
        <f>IF(AND(I.Developer.P2a=TRUE,I.Facility.P2aFacilityCount&gt;=1064,F6076=""),"Incomplete","Complete")</f>
        <v>Complete</v>
      </c>
      <c r="I6076" s="48" t="s">
        <v>10441</v>
      </c>
    </row>
    <row r="6077" spans="2:9" ht="15" customHeight="1" x14ac:dyDescent="0.25">
      <c r="B6077" s="55" t="s">
        <v>280</v>
      </c>
      <c r="C6077" s="46">
        <v>1065</v>
      </c>
      <c r="D6077" s="69" t="s">
        <v>29417</v>
      </c>
      <c r="E6077" s="51"/>
      <c r="F6077" s="114" t="str">
        <f>IF(INDEX(I.Facility.P2aIDNumber,1065)="","",INDEX(I.Facility.P2aIDNumber,1065))</f>
        <v/>
      </c>
      <c r="G6077" s="51"/>
      <c r="H6077" s="46" t="str">
        <f>IF(AND(I.Developer.P2a=TRUE,I.Facility.P2aFacilityCount&gt;=1065,F6077=""),"Incomplete","Complete")</f>
        <v>Complete</v>
      </c>
      <c r="I6077" s="48" t="s">
        <v>10442</v>
      </c>
    </row>
    <row r="6078" spans="2:9" ht="15" customHeight="1" x14ac:dyDescent="0.25">
      <c r="B6078" s="55" t="s">
        <v>280</v>
      </c>
      <c r="C6078" s="46">
        <v>1066</v>
      </c>
      <c r="D6078" s="69" t="s">
        <v>29417</v>
      </c>
      <c r="E6078" s="51"/>
      <c r="F6078" s="114" t="str">
        <f>IF(INDEX(I.Facility.P2aIDNumber,1066)="","",INDEX(I.Facility.P2aIDNumber,1066))</f>
        <v/>
      </c>
      <c r="G6078" s="51"/>
      <c r="H6078" s="46" t="str">
        <f>IF(AND(I.Developer.P2a=TRUE,I.Facility.P2aFacilityCount&gt;=1066,F6078=""),"Incomplete","Complete")</f>
        <v>Complete</v>
      </c>
      <c r="I6078" s="48" t="s">
        <v>10443</v>
      </c>
    </row>
    <row r="6079" spans="2:9" ht="15" customHeight="1" x14ac:dyDescent="0.25">
      <c r="B6079" s="55" t="s">
        <v>280</v>
      </c>
      <c r="C6079" s="46">
        <v>1067</v>
      </c>
      <c r="D6079" s="69" t="s">
        <v>29417</v>
      </c>
      <c r="E6079" s="51"/>
      <c r="F6079" s="114" t="str">
        <f>IF(INDEX(I.Facility.P2aIDNumber,1067)="","",INDEX(I.Facility.P2aIDNumber,1067))</f>
        <v/>
      </c>
      <c r="G6079" s="51"/>
      <c r="H6079" s="46" t="str">
        <f>IF(AND(I.Developer.P2a=TRUE,I.Facility.P2aFacilityCount&gt;=1067,F6079=""),"Incomplete","Complete")</f>
        <v>Complete</v>
      </c>
      <c r="I6079" s="48" t="s">
        <v>10444</v>
      </c>
    </row>
    <row r="6080" spans="2:9" ht="15" customHeight="1" x14ac:dyDescent="0.25">
      <c r="B6080" s="55" t="s">
        <v>280</v>
      </c>
      <c r="C6080" s="46">
        <v>1068</v>
      </c>
      <c r="D6080" s="69" t="s">
        <v>29417</v>
      </c>
      <c r="E6080" s="51"/>
      <c r="F6080" s="114" t="str">
        <f>IF(INDEX(I.Facility.P2aIDNumber,1068)="","",INDEX(I.Facility.P2aIDNumber,1068))</f>
        <v/>
      </c>
      <c r="G6080" s="51"/>
      <c r="H6080" s="46" t="str">
        <f>IF(AND(I.Developer.P2a=TRUE,I.Facility.P2aFacilityCount&gt;=1068,F6080=""),"Incomplete","Complete")</f>
        <v>Complete</v>
      </c>
      <c r="I6080" s="48" t="s">
        <v>10445</v>
      </c>
    </row>
    <row r="6081" spans="2:9" ht="15" customHeight="1" x14ac:dyDescent="0.25">
      <c r="B6081" s="55" t="s">
        <v>280</v>
      </c>
      <c r="C6081" s="46">
        <v>1069</v>
      </c>
      <c r="D6081" s="69" t="s">
        <v>29417</v>
      </c>
      <c r="E6081" s="51"/>
      <c r="F6081" s="114" t="str">
        <f>IF(INDEX(I.Facility.P2aIDNumber,1069)="","",INDEX(I.Facility.P2aIDNumber,1069))</f>
        <v/>
      </c>
      <c r="G6081" s="51"/>
      <c r="H6081" s="46" t="str">
        <f>IF(AND(I.Developer.P2a=TRUE,I.Facility.P2aFacilityCount&gt;=1069,F6081=""),"Incomplete","Complete")</f>
        <v>Complete</v>
      </c>
      <c r="I6081" s="48" t="s">
        <v>10446</v>
      </c>
    </row>
    <row r="6082" spans="2:9" ht="15" customHeight="1" x14ac:dyDescent="0.25">
      <c r="B6082" s="55" t="s">
        <v>280</v>
      </c>
      <c r="C6082" s="46">
        <v>1070</v>
      </c>
      <c r="D6082" s="69" t="s">
        <v>29417</v>
      </c>
      <c r="E6082" s="51"/>
      <c r="F6082" s="114" t="str">
        <f>IF(INDEX(I.Facility.P2aIDNumber,1070)="","",INDEX(I.Facility.P2aIDNumber,1070))</f>
        <v/>
      </c>
      <c r="G6082" s="51"/>
      <c r="H6082" s="46" t="str">
        <f>IF(AND(I.Developer.P2a=TRUE,I.Facility.P2aFacilityCount&gt;=1070,F6082=""),"Incomplete","Complete")</f>
        <v>Complete</v>
      </c>
      <c r="I6082" s="48" t="s">
        <v>10447</v>
      </c>
    </row>
    <row r="6083" spans="2:9" ht="15" customHeight="1" x14ac:dyDescent="0.25">
      <c r="B6083" s="55" t="s">
        <v>280</v>
      </c>
      <c r="C6083" s="46">
        <v>1071</v>
      </c>
      <c r="D6083" s="69" t="s">
        <v>29417</v>
      </c>
      <c r="E6083" s="51"/>
      <c r="F6083" s="114" t="str">
        <f>IF(INDEX(I.Facility.P2aIDNumber,1071)="","",INDEX(I.Facility.P2aIDNumber,1071))</f>
        <v/>
      </c>
      <c r="G6083" s="51"/>
      <c r="H6083" s="46" t="str">
        <f>IF(AND(I.Developer.P2a=TRUE,I.Facility.P2aFacilityCount&gt;=1071,F6083=""),"Incomplete","Complete")</f>
        <v>Complete</v>
      </c>
      <c r="I6083" s="48" t="s">
        <v>10448</v>
      </c>
    </row>
    <row r="6084" spans="2:9" ht="15" customHeight="1" x14ac:dyDescent="0.25">
      <c r="B6084" s="55" t="s">
        <v>280</v>
      </c>
      <c r="C6084" s="46">
        <v>1072</v>
      </c>
      <c r="D6084" s="69" t="s">
        <v>29417</v>
      </c>
      <c r="E6084" s="51"/>
      <c r="F6084" s="114" t="str">
        <f>IF(INDEX(I.Facility.P2aIDNumber,1072)="","",INDEX(I.Facility.P2aIDNumber,1072))</f>
        <v/>
      </c>
      <c r="G6084" s="51"/>
      <c r="H6084" s="46" t="str">
        <f>IF(AND(I.Developer.P2a=TRUE,I.Facility.P2aFacilityCount&gt;=1072,F6084=""),"Incomplete","Complete")</f>
        <v>Complete</v>
      </c>
      <c r="I6084" s="48" t="s">
        <v>10449</v>
      </c>
    </row>
    <row r="6085" spans="2:9" ht="15" customHeight="1" x14ac:dyDescent="0.25">
      <c r="B6085" s="55" t="s">
        <v>280</v>
      </c>
      <c r="C6085" s="46">
        <v>1073</v>
      </c>
      <c r="D6085" s="69" t="s">
        <v>29417</v>
      </c>
      <c r="E6085" s="51"/>
      <c r="F6085" s="114" t="str">
        <f>IF(INDEX(I.Facility.P2aIDNumber,1073)="","",INDEX(I.Facility.P2aIDNumber,1073))</f>
        <v/>
      </c>
      <c r="G6085" s="51"/>
      <c r="H6085" s="46" t="str">
        <f>IF(AND(I.Developer.P2a=TRUE,I.Facility.P2aFacilityCount&gt;=1073,F6085=""),"Incomplete","Complete")</f>
        <v>Complete</v>
      </c>
      <c r="I6085" s="48" t="s">
        <v>10450</v>
      </c>
    </row>
    <row r="6086" spans="2:9" ht="15" customHeight="1" x14ac:dyDescent="0.25">
      <c r="B6086" s="55" t="s">
        <v>280</v>
      </c>
      <c r="C6086" s="46">
        <v>1074</v>
      </c>
      <c r="D6086" s="69" t="s">
        <v>29417</v>
      </c>
      <c r="E6086" s="51"/>
      <c r="F6086" s="114" t="str">
        <f>IF(INDEX(I.Facility.P2aIDNumber,1074)="","",INDEX(I.Facility.P2aIDNumber,1074))</f>
        <v/>
      </c>
      <c r="G6086" s="51"/>
      <c r="H6086" s="46" t="str">
        <f>IF(AND(I.Developer.P2a=TRUE,I.Facility.P2aFacilityCount&gt;=1074,F6086=""),"Incomplete","Complete")</f>
        <v>Complete</v>
      </c>
      <c r="I6086" s="48" t="s">
        <v>10451</v>
      </c>
    </row>
    <row r="6087" spans="2:9" ht="15" customHeight="1" x14ac:dyDescent="0.25">
      <c r="B6087" s="55" t="s">
        <v>280</v>
      </c>
      <c r="C6087" s="46">
        <v>1075</v>
      </c>
      <c r="D6087" s="69" t="s">
        <v>29417</v>
      </c>
      <c r="E6087" s="51"/>
      <c r="F6087" s="114" t="str">
        <f>IF(INDEX(I.Facility.P2aIDNumber,1075)="","",INDEX(I.Facility.P2aIDNumber,1075))</f>
        <v/>
      </c>
      <c r="G6087" s="51"/>
      <c r="H6087" s="46" t="str">
        <f>IF(AND(I.Developer.P2a=TRUE,I.Facility.P2aFacilityCount&gt;=1075,F6087=""),"Incomplete","Complete")</f>
        <v>Complete</v>
      </c>
      <c r="I6087" s="48" t="s">
        <v>10452</v>
      </c>
    </row>
    <row r="6088" spans="2:9" ht="15" customHeight="1" x14ac:dyDescent="0.25">
      <c r="B6088" s="55" t="s">
        <v>280</v>
      </c>
      <c r="C6088" s="46">
        <v>1076</v>
      </c>
      <c r="D6088" s="69" t="s">
        <v>29417</v>
      </c>
      <c r="E6088" s="51"/>
      <c r="F6088" s="114" t="str">
        <f>IF(INDEX(I.Facility.P2aIDNumber,1076)="","",INDEX(I.Facility.P2aIDNumber,1076))</f>
        <v/>
      </c>
      <c r="G6088" s="51"/>
      <c r="H6088" s="46" t="str">
        <f>IF(AND(I.Developer.P2a=TRUE,I.Facility.P2aFacilityCount&gt;=1076,F6088=""),"Incomplete","Complete")</f>
        <v>Complete</v>
      </c>
      <c r="I6088" s="48" t="s">
        <v>10453</v>
      </c>
    </row>
    <row r="6089" spans="2:9" ht="15" customHeight="1" x14ac:dyDescent="0.25">
      <c r="B6089" s="55" t="s">
        <v>280</v>
      </c>
      <c r="C6089" s="46">
        <v>1077</v>
      </c>
      <c r="D6089" s="69" t="s">
        <v>29417</v>
      </c>
      <c r="E6089" s="51"/>
      <c r="F6089" s="114" t="str">
        <f>IF(INDEX(I.Facility.P2aIDNumber,1077)="","",INDEX(I.Facility.P2aIDNumber,1077))</f>
        <v/>
      </c>
      <c r="G6089" s="51"/>
      <c r="H6089" s="46" t="str">
        <f>IF(AND(I.Developer.P2a=TRUE,I.Facility.P2aFacilityCount&gt;=1077,F6089=""),"Incomplete","Complete")</f>
        <v>Complete</v>
      </c>
      <c r="I6089" s="48" t="s">
        <v>10454</v>
      </c>
    </row>
    <row r="6090" spans="2:9" ht="15" customHeight="1" x14ac:dyDescent="0.25">
      <c r="B6090" s="55" t="s">
        <v>280</v>
      </c>
      <c r="C6090" s="46">
        <v>1078</v>
      </c>
      <c r="D6090" s="69" t="s">
        <v>29417</v>
      </c>
      <c r="E6090" s="51"/>
      <c r="F6090" s="114" t="str">
        <f>IF(INDEX(I.Facility.P2aIDNumber,1078)="","",INDEX(I.Facility.P2aIDNumber,1078))</f>
        <v/>
      </c>
      <c r="G6090" s="51"/>
      <c r="H6090" s="46" t="str">
        <f>IF(AND(I.Developer.P2a=TRUE,I.Facility.P2aFacilityCount&gt;=1078,F6090=""),"Incomplete","Complete")</f>
        <v>Complete</v>
      </c>
      <c r="I6090" s="48" t="s">
        <v>10455</v>
      </c>
    </row>
    <row r="6091" spans="2:9" ht="15" customHeight="1" x14ac:dyDescent="0.25">
      <c r="B6091" s="55" t="s">
        <v>280</v>
      </c>
      <c r="C6091" s="46">
        <v>1079</v>
      </c>
      <c r="D6091" s="69" t="s">
        <v>29417</v>
      </c>
      <c r="E6091" s="51"/>
      <c r="F6091" s="114" t="str">
        <f>IF(INDEX(I.Facility.P2aIDNumber,1079)="","",INDEX(I.Facility.P2aIDNumber,1079))</f>
        <v/>
      </c>
      <c r="G6091" s="51"/>
      <c r="H6091" s="46" t="str">
        <f>IF(AND(I.Developer.P2a=TRUE,I.Facility.P2aFacilityCount&gt;=1079,F6091=""),"Incomplete","Complete")</f>
        <v>Complete</v>
      </c>
      <c r="I6091" s="48" t="s">
        <v>10456</v>
      </c>
    </row>
    <row r="6092" spans="2:9" ht="15" customHeight="1" x14ac:dyDescent="0.25">
      <c r="B6092" s="55" t="s">
        <v>280</v>
      </c>
      <c r="C6092" s="46">
        <v>1080</v>
      </c>
      <c r="D6092" s="69" t="s">
        <v>29417</v>
      </c>
      <c r="E6092" s="51"/>
      <c r="F6092" s="114" t="str">
        <f>IF(INDEX(I.Facility.P2aIDNumber,1080)="","",INDEX(I.Facility.P2aIDNumber,1080))</f>
        <v/>
      </c>
      <c r="G6092" s="51"/>
      <c r="H6092" s="46" t="str">
        <f>IF(AND(I.Developer.P2a=TRUE,I.Facility.P2aFacilityCount&gt;=1080,F6092=""),"Incomplete","Complete")</f>
        <v>Complete</v>
      </c>
      <c r="I6092" s="48" t="s">
        <v>10457</v>
      </c>
    </row>
    <row r="6093" spans="2:9" ht="15" customHeight="1" x14ac:dyDescent="0.25">
      <c r="B6093" s="55" t="s">
        <v>280</v>
      </c>
      <c r="C6093" s="46">
        <v>1081</v>
      </c>
      <c r="D6093" s="69" t="s">
        <v>29417</v>
      </c>
      <c r="E6093" s="51"/>
      <c r="F6093" s="114" t="str">
        <f>IF(INDEX(I.Facility.P2aIDNumber,1081)="","",INDEX(I.Facility.P2aIDNumber,1081))</f>
        <v/>
      </c>
      <c r="G6093" s="51"/>
      <c r="H6093" s="46" t="str">
        <f>IF(AND(I.Developer.P2a=TRUE,I.Facility.P2aFacilityCount&gt;=1081,F6093=""),"Incomplete","Complete")</f>
        <v>Complete</v>
      </c>
      <c r="I6093" s="48" t="s">
        <v>10458</v>
      </c>
    </row>
    <row r="6094" spans="2:9" ht="15" customHeight="1" x14ac:dyDescent="0.25">
      <c r="B6094" s="55" t="s">
        <v>280</v>
      </c>
      <c r="C6094" s="46">
        <v>1082</v>
      </c>
      <c r="D6094" s="69" t="s">
        <v>29417</v>
      </c>
      <c r="E6094" s="51"/>
      <c r="F6094" s="114" t="str">
        <f>IF(INDEX(I.Facility.P2aIDNumber,1082)="","",INDEX(I.Facility.P2aIDNumber,1082))</f>
        <v/>
      </c>
      <c r="G6094" s="51"/>
      <c r="H6094" s="46" t="str">
        <f>IF(AND(I.Developer.P2a=TRUE,I.Facility.P2aFacilityCount&gt;=1082,F6094=""),"Incomplete","Complete")</f>
        <v>Complete</v>
      </c>
      <c r="I6094" s="48" t="s">
        <v>10459</v>
      </c>
    </row>
    <row r="6095" spans="2:9" ht="15" customHeight="1" x14ac:dyDescent="0.25">
      <c r="B6095" s="55" t="s">
        <v>280</v>
      </c>
      <c r="C6095" s="46">
        <v>1083</v>
      </c>
      <c r="D6095" s="69" t="s">
        <v>29417</v>
      </c>
      <c r="E6095" s="51"/>
      <c r="F6095" s="114" t="str">
        <f>IF(INDEX(I.Facility.P2aIDNumber,1083)="","",INDEX(I.Facility.P2aIDNumber,1083))</f>
        <v/>
      </c>
      <c r="G6095" s="51"/>
      <c r="H6095" s="46" t="str">
        <f>IF(AND(I.Developer.P2a=TRUE,I.Facility.P2aFacilityCount&gt;=1083,F6095=""),"Incomplete","Complete")</f>
        <v>Complete</v>
      </c>
      <c r="I6095" s="48" t="s">
        <v>10460</v>
      </c>
    </row>
    <row r="6096" spans="2:9" ht="15" customHeight="1" x14ac:dyDescent="0.25">
      <c r="B6096" s="55" t="s">
        <v>280</v>
      </c>
      <c r="C6096" s="46">
        <v>1084</v>
      </c>
      <c r="D6096" s="69" t="s">
        <v>29417</v>
      </c>
      <c r="E6096" s="51"/>
      <c r="F6096" s="114" t="str">
        <f>IF(INDEX(I.Facility.P2aIDNumber,1084)="","",INDEX(I.Facility.P2aIDNumber,1084))</f>
        <v/>
      </c>
      <c r="G6096" s="51"/>
      <c r="H6096" s="46" t="str">
        <f>IF(AND(I.Developer.P2a=TRUE,I.Facility.P2aFacilityCount&gt;=1084,F6096=""),"Incomplete","Complete")</f>
        <v>Complete</v>
      </c>
      <c r="I6096" s="48" t="s">
        <v>10461</v>
      </c>
    </row>
    <row r="6097" spans="2:9" ht="15" customHeight="1" x14ac:dyDescent="0.25">
      <c r="B6097" s="55" t="s">
        <v>280</v>
      </c>
      <c r="C6097" s="46">
        <v>1085</v>
      </c>
      <c r="D6097" s="69" t="s">
        <v>29417</v>
      </c>
      <c r="E6097" s="51"/>
      <c r="F6097" s="114" t="str">
        <f>IF(INDEX(I.Facility.P2aIDNumber,1085)="","",INDEX(I.Facility.P2aIDNumber,1085))</f>
        <v/>
      </c>
      <c r="G6097" s="51"/>
      <c r="H6097" s="46" t="str">
        <f>IF(AND(I.Developer.P2a=TRUE,I.Facility.P2aFacilityCount&gt;=1085,F6097=""),"Incomplete","Complete")</f>
        <v>Complete</v>
      </c>
      <c r="I6097" s="48" t="s">
        <v>10462</v>
      </c>
    </row>
    <row r="6098" spans="2:9" ht="15" customHeight="1" x14ac:dyDescent="0.25">
      <c r="B6098" s="55" t="s">
        <v>280</v>
      </c>
      <c r="C6098" s="46">
        <v>1086</v>
      </c>
      <c r="D6098" s="69" t="s">
        <v>29417</v>
      </c>
      <c r="E6098" s="51"/>
      <c r="F6098" s="114" t="str">
        <f>IF(INDEX(I.Facility.P2aIDNumber,1086)="","",INDEX(I.Facility.P2aIDNumber,1086))</f>
        <v/>
      </c>
      <c r="G6098" s="51"/>
      <c r="H6098" s="46" t="str">
        <f>IF(AND(I.Developer.P2a=TRUE,I.Facility.P2aFacilityCount&gt;=1086,F6098=""),"Incomplete","Complete")</f>
        <v>Complete</v>
      </c>
      <c r="I6098" s="48" t="s">
        <v>10463</v>
      </c>
    </row>
    <row r="6099" spans="2:9" ht="15" customHeight="1" x14ac:dyDescent="0.25">
      <c r="B6099" s="55" t="s">
        <v>280</v>
      </c>
      <c r="C6099" s="46">
        <v>1087</v>
      </c>
      <c r="D6099" s="69" t="s">
        <v>29417</v>
      </c>
      <c r="E6099" s="51"/>
      <c r="F6099" s="114" t="str">
        <f>IF(INDEX(I.Facility.P2aIDNumber,1087)="","",INDEX(I.Facility.P2aIDNumber,1087))</f>
        <v/>
      </c>
      <c r="G6099" s="51"/>
      <c r="H6099" s="46" t="str">
        <f>IF(AND(I.Developer.P2a=TRUE,I.Facility.P2aFacilityCount&gt;=1087,F6099=""),"Incomplete","Complete")</f>
        <v>Complete</v>
      </c>
      <c r="I6099" s="48" t="s">
        <v>10464</v>
      </c>
    </row>
    <row r="6100" spans="2:9" ht="15" customHeight="1" x14ac:dyDescent="0.25">
      <c r="B6100" s="55" t="s">
        <v>280</v>
      </c>
      <c r="C6100" s="46">
        <v>1088</v>
      </c>
      <c r="D6100" s="69" t="s">
        <v>29417</v>
      </c>
      <c r="E6100" s="51"/>
      <c r="F6100" s="114" t="str">
        <f>IF(INDEX(I.Facility.P2aIDNumber,1088)="","",INDEX(I.Facility.P2aIDNumber,1088))</f>
        <v/>
      </c>
      <c r="G6100" s="51"/>
      <c r="H6100" s="46" t="str">
        <f>IF(AND(I.Developer.P2a=TRUE,I.Facility.P2aFacilityCount&gt;=1088,F6100=""),"Incomplete","Complete")</f>
        <v>Complete</v>
      </c>
      <c r="I6100" s="48" t="s">
        <v>10465</v>
      </c>
    </row>
    <row r="6101" spans="2:9" ht="15" customHeight="1" x14ac:dyDescent="0.25">
      <c r="B6101" s="55" t="s">
        <v>280</v>
      </c>
      <c r="C6101" s="46">
        <v>1089</v>
      </c>
      <c r="D6101" s="69" t="s">
        <v>29417</v>
      </c>
      <c r="E6101" s="51"/>
      <c r="F6101" s="114" t="str">
        <f>IF(INDEX(I.Facility.P2aIDNumber,1089)="","",INDEX(I.Facility.P2aIDNumber,1089))</f>
        <v/>
      </c>
      <c r="G6101" s="51"/>
      <c r="H6101" s="46" t="str">
        <f>IF(AND(I.Developer.P2a=TRUE,I.Facility.P2aFacilityCount&gt;=1089,F6101=""),"Incomplete","Complete")</f>
        <v>Complete</v>
      </c>
      <c r="I6101" s="48" t="s">
        <v>10466</v>
      </c>
    </row>
    <row r="6102" spans="2:9" ht="15" customHeight="1" x14ac:dyDescent="0.25">
      <c r="B6102" s="55" t="s">
        <v>280</v>
      </c>
      <c r="C6102" s="46">
        <v>1090</v>
      </c>
      <c r="D6102" s="69" t="s">
        <v>29417</v>
      </c>
      <c r="E6102" s="51"/>
      <c r="F6102" s="114" t="str">
        <f>IF(INDEX(I.Facility.P2aIDNumber,1090)="","",INDEX(I.Facility.P2aIDNumber,1090))</f>
        <v/>
      </c>
      <c r="G6102" s="51"/>
      <c r="H6102" s="46" t="str">
        <f>IF(AND(I.Developer.P2a=TRUE,I.Facility.P2aFacilityCount&gt;=1090,F6102=""),"Incomplete","Complete")</f>
        <v>Complete</v>
      </c>
      <c r="I6102" s="48" t="s">
        <v>10467</v>
      </c>
    </row>
    <row r="6103" spans="2:9" ht="15" customHeight="1" x14ac:dyDescent="0.25">
      <c r="B6103" s="55" t="s">
        <v>280</v>
      </c>
      <c r="C6103" s="46">
        <v>1091</v>
      </c>
      <c r="D6103" s="69" t="s">
        <v>29417</v>
      </c>
      <c r="E6103" s="51"/>
      <c r="F6103" s="114" t="str">
        <f>IF(INDEX(I.Facility.P2aIDNumber,1091)="","",INDEX(I.Facility.P2aIDNumber,1091))</f>
        <v/>
      </c>
      <c r="G6103" s="51"/>
      <c r="H6103" s="46" t="str">
        <f>IF(AND(I.Developer.P2a=TRUE,I.Facility.P2aFacilityCount&gt;=1091,F6103=""),"Incomplete","Complete")</f>
        <v>Complete</v>
      </c>
      <c r="I6103" s="48" t="s">
        <v>10468</v>
      </c>
    </row>
    <row r="6104" spans="2:9" ht="15" customHeight="1" x14ac:dyDescent="0.25">
      <c r="B6104" s="55" t="s">
        <v>280</v>
      </c>
      <c r="C6104" s="46">
        <v>1092</v>
      </c>
      <c r="D6104" s="69" t="s">
        <v>29417</v>
      </c>
      <c r="E6104" s="51"/>
      <c r="F6104" s="114" t="str">
        <f>IF(INDEX(I.Facility.P2aIDNumber,1092)="","",INDEX(I.Facility.P2aIDNumber,1092))</f>
        <v/>
      </c>
      <c r="G6104" s="51"/>
      <c r="H6104" s="46" t="str">
        <f>IF(AND(I.Developer.P2a=TRUE,I.Facility.P2aFacilityCount&gt;=1092,F6104=""),"Incomplete","Complete")</f>
        <v>Complete</v>
      </c>
      <c r="I6104" s="48" t="s">
        <v>10469</v>
      </c>
    </row>
    <row r="6105" spans="2:9" ht="15" customHeight="1" x14ac:dyDescent="0.25">
      <c r="B6105" s="55" t="s">
        <v>280</v>
      </c>
      <c r="C6105" s="46">
        <v>1093</v>
      </c>
      <c r="D6105" s="69" t="s">
        <v>29417</v>
      </c>
      <c r="E6105" s="51"/>
      <c r="F6105" s="114" t="str">
        <f>IF(INDEX(I.Facility.P2aIDNumber,1093)="","",INDEX(I.Facility.P2aIDNumber,1093))</f>
        <v/>
      </c>
      <c r="G6105" s="51"/>
      <c r="H6105" s="46" t="str">
        <f>IF(AND(I.Developer.P2a=TRUE,I.Facility.P2aFacilityCount&gt;=1093,F6105=""),"Incomplete","Complete")</f>
        <v>Complete</v>
      </c>
      <c r="I6105" s="48" t="s">
        <v>10470</v>
      </c>
    </row>
    <row r="6106" spans="2:9" ht="15" customHeight="1" x14ac:dyDescent="0.25">
      <c r="B6106" s="55" t="s">
        <v>280</v>
      </c>
      <c r="C6106" s="46">
        <v>1094</v>
      </c>
      <c r="D6106" s="69" t="s">
        <v>29417</v>
      </c>
      <c r="E6106" s="51"/>
      <c r="F6106" s="114" t="str">
        <f>IF(INDEX(I.Facility.P2aIDNumber,1094)="","",INDEX(I.Facility.P2aIDNumber,1094))</f>
        <v/>
      </c>
      <c r="G6106" s="51"/>
      <c r="H6106" s="46" t="str">
        <f>IF(AND(I.Developer.P2a=TRUE,I.Facility.P2aFacilityCount&gt;=1094,F6106=""),"Incomplete","Complete")</f>
        <v>Complete</v>
      </c>
      <c r="I6106" s="48" t="s">
        <v>10471</v>
      </c>
    </row>
    <row r="6107" spans="2:9" ht="15" customHeight="1" x14ac:dyDescent="0.25">
      <c r="B6107" s="55" t="s">
        <v>280</v>
      </c>
      <c r="C6107" s="46">
        <v>1095</v>
      </c>
      <c r="D6107" s="69" t="s">
        <v>29417</v>
      </c>
      <c r="E6107" s="51"/>
      <c r="F6107" s="114" t="str">
        <f>IF(INDEX(I.Facility.P2aIDNumber,1095)="","",INDEX(I.Facility.P2aIDNumber,1095))</f>
        <v/>
      </c>
      <c r="G6107" s="51"/>
      <c r="H6107" s="46" t="str">
        <f>IF(AND(I.Developer.P2a=TRUE,I.Facility.P2aFacilityCount&gt;=1095,F6107=""),"Incomplete","Complete")</f>
        <v>Complete</v>
      </c>
      <c r="I6107" s="48" t="s">
        <v>10472</v>
      </c>
    </row>
    <row r="6108" spans="2:9" ht="15" customHeight="1" x14ac:dyDescent="0.25">
      <c r="B6108" s="55" t="s">
        <v>280</v>
      </c>
      <c r="C6108" s="46">
        <v>1096</v>
      </c>
      <c r="D6108" s="69" t="s">
        <v>29417</v>
      </c>
      <c r="E6108" s="51"/>
      <c r="F6108" s="114" t="str">
        <f>IF(INDEX(I.Facility.P2aIDNumber,1096)="","",INDEX(I.Facility.P2aIDNumber,1096))</f>
        <v/>
      </c>
      <c r="G6108" s="51"/>
      <c r="H6108" s="46" t="str">
        <f>IF(AND(I.Developer.P2a=TRUE,I.Facility.P2aFacilityCount&gt;=1096,F6108=""),"Incomplete","Complete")</f>
        <v>Complete</v>
      </c>
      <c r="I6108" s="48" t="s">
        <v>10473</v>
      </c>
    </row>
    <row r="6109" spans="2:9" ht="15" customHeight="1" x14ac:dyDescent="0.25">
      <c r="B6109" s="55" t="s">
        <v>280</v>
      </c>
      <c r="C6109" s="46">
        <v>1097</v>
      </c>
      <c r="D6109" s="69" t="s">
        <v>29417</v>
      </c>
      <c r="E6109" s="51"/>
      <c r="F6109" s="114" t="str">
        <f>IF(INDEX(I.Facility.P2aIDNumber,1097)="","",INDEX(I.Facility.P2aIDNumber,1097))</f>
        <v/>
      </c>
      <c r="G6109" s="51"/>
      <c r="H6109" s="46" t="str">
        <f>IF(AND(I.Developer.P2a=TRUE,I.Facility.P2aFacilityCount&gt;=1097,F6109=""),"Incomplete","Complete")</f>
        <v>Complete</v>
      </c>
      <c r="I6109" s="48" t="s">
        <v>10474</v>
      </c>
    </row>
    <row r="6110" spans="2:9" ht="15" customHeight="1" x14ac:dyDescent="0.25">
      <c r="B6110" s="55" t="s">
        <v>280</v>
      </c>
      <c r="C6110" s="46">
        <v>1098</v>
      </c>
      <c r="D6110" s="69" t="s">
        <v>29417</v>
      </c>
      <c r="E6110" s="51"/>
      <c r="F6110" s="114" t="str">
        <f>IF(INDEX(I.Facility.P2aIDNumber,1098)="","",INDEX(I.Facility.P2aIDNumber,1098))</f>
        <v/>
      </c>
      <c r="G6110" s="51"/>
      <c r="H6110" s="46" t="str">
        <f>IF(AND(I.Developer.P2a=TRUE,I.Facility.P2aFacilityCount&gt;=1098,F6110=""),"Incomplete","Complete")</f>
        <v>Complete</v>
      </c>
      <c r="I6110" s="48" t="s">
        <v>10475</v>
      </c>
    </row>
    <row r="6111" spans="2:9" ht="15" customHeight="1" x14ac:dyDescent="0.25">
      <c r="B6111" s="55" t="s">
        <v>280</v>
      </c>
      <c r="C6111" s="46">
        <v>1099</v>
      </c>
      <c r="D6111" s="69" t="s">
        <v>29417</v>
      </c>
      <c r="E6111" s="51"/>
      <c r="F6111" s="114" t="str">
        <f>IF(INDEX(I.Facility.P2aIDNumber,1099)="","",INDEX(I.Facility.P2aIDNumber,1099))</f>
        <v/>
      </c>
      <c r="G6111" s="51"/>
      <c r="H6111" s="46" t="str">
        <f>IF(AND(I.Developer.P2a=TRUE,I.Facility.P2aFacilityCount&gt;=1099,F6111=""),"Incomplete","Complete")</f>
        <v>Complete</v>
      </c>
      <c r="I6111" s="48" t="s">
        <v>10476</v>
      </c>
    </row>
    <row r="6112" spans="2:9" ht="15" customHeight="1" x14ac:dyDescent="0.25">
      <c r="B6112" s="55" t="s">
        <v>280</v>
      </c>
      <c r="C6112" s="46">
        <v>1100</v>
      </c>
      <c r="D6112" s="69" t="s">
        <v>29417</v>
      </c>
      <c r="E6112" s="51"/>
      <c r="F6112" s="114" t="str">
        <f>IF(INDEX(I.Facility.P2aIDNumber,1100)="","",INDEX(I.Facility.P2aIDNumber,1100))</f>
        <v/>
      </c>
      <c r="G6112" s="51"/>
      <c r="H6112" s="46" t="str">
        <f>IF(AND(I.Developer.P2a=TRUE,I.Facility.P2aFacilityCount&gt;=1100,F6112=""),"Incomplete","Complete")</f>
        <v>Complete</v>
      </c>
      <c r="I6112" s="48" t="s">
        <v>10477</v>
      </c>
    </row>
    <row r="6113" spans="2:9" ht="15" customHeight="1" x14ac:dyDescent="0.25">
      <c r="B6113" s="55" t="s">
        <v>280</v>
      </c>
      <c r="C6113" s="46">
        <v>1101</v>
      </c>
      <c r="D6113" s="69" t="s">
        <v>29417</v>
      </c>
      <c r="E6113" s="51"/>
      <c r="F6113" s="114" t="str">
        <f>IF(INDEX(I.Facility.P2aIDNumber,1101)="","",INDEX(I.Facility.P2aIDNumber,1101))</f>
        <v/>
      </c>
      <c r="G6113" s="51"/>
      <c r="H6113" s="46" t="str">
        <f>IF(AND(I.Developer.P2a=TRUE,I.Facility.P2aFacilityCount&gt;=1101,F6113=""),"Incomplete","Complete")</f>
        <v>Complete</v>
      </c>
      <c r="I6113" s="48" t="s">
        <v>10478</v>
      </c>
    </row>
    <row r="6114" spans="2:9" ht="15" customHeight="1" x14ac:dyDescent="0.25">
      <c r="B6114" s="55" t="s">
        <v>280</v>
      </c>
      <c r="C6114" s="46">
        <v>1102</v>
      </c>
      <c r="D6114" s="69" t="s">
        <v>29417</v>
      </c>
      <c r="E6114" s="51"/>
      <c r="F6114" s="114" t="str">
        <f>IF(INDEX(I.Facility.P2aIDNumber,1102)="","",INDEX(I.Facility.P2aIDNumber,1102))</f>
        <v/>
      </c>
      <c r="G6114" s="51"/>
      <c r="H6114" s="46" t="str">
        <f>IF(AND(I.Developer.P2a=TRUE,I.Facility.P2aFacilityCount&gt;=1102,F6114=""),"Incomplete","Complete")</f>
        <v>Complete</v>
      </c>
      <c r="I6114" s="48" t="s">
        <v>10479</v>
      </c>
    </row>
    <row r="6115" spans="2:9" ht="15" customHeight="1" x14ac:dyDescent="0.25">
      <c r="B6115" s="55" t="s">
        <v>280</v>
      </c>
      <c r="C6115" s="46">
        <v>1103</v>
      </c>
      <c r="D6115" s="69" t="s">
        <v>29417</v>
      </c>
      <c r="E6115" s="51"/>
      <c r="F6115" s="114" t="str">
        <f>IF(INDEX(I.Facility.P2aIDNumber,1103)="","",INDEX(I.Facility.P2aIDNumber,1103))</f>
        <v/>
      </c>
      <c r="G6115" s="51"/>
      <c r="H6115" s="46" t="str">
        <f>IF(AND(I.Developer.P2a=TRUE,I.Facility.P2aFacilityCount&gt;=1103,F6115=""),"Incomplete","Complete")</f>
        <v>Complete</v>
      </c>
      <c r="I6115" s="48" t="s">
        <v>10480</v>
      </c>
    </row>
    <row r="6116" spans="2:9" ht="15" customHeight="1" x14ac:dyDescent="0.25">
      <c r="B6116" s="55" t="s">
        <v>280</v>
      </c>
      <c r="C6116" s="46">
        <v>1104</v>
      </c>
      <c r="D6116" s="69" t="s">
        <v>29417</v>
      </c>
      <c r="E6116" s="51"/>
      <c r="F6116" s="114" t="str">
        <f>IF(INDEX(I.Facility.P2aIDNumber,1104)="","",INDEX(I.Facility.P2aIDNumber,1104))</f>
        <v/>
      </c>
      <c r="G6116" s="51"/>
      <c r="H6116" s="46" t="str">
        <f>IF(AND(I.Developer.P2a=TRUE,I.Facility.P2aFacilityCount&gt;=1104,F6116=""),"Incomplete","Complete")</f>
        <v>Complete</v>
      </c>
      <c r="I6116" s="48" t="s">
        <v>10481</v>
      </c>
    </row>
    <row r="6117" spans="2:9" ht="15" customHeight="1" x14ac:dyDescent="0.25">
      <c r="B6117" s="55" t="s">
        <v>280</v>
      </c>
      <c r="C6117" s="46">
        <v>1105</v>
      </c>
      <c r="D6117" s="69" t="s">
        <v>29417</v>
      </c>
      <c r="E6117" s="51"/>
      <c r="F6117" s="114" t="str">
        <f>IF(INDEX(I.Facility.P2aIDNumber,1105)="","",INDEX(I.Facility.P2aIDNumber,1105))</f>
        <v/>
      </c>
      <c r="G6117" s="51"/>
      <c r="H6117" s="46" t="str">
        <f>IF(AND(I.Developer.P2a=TRUE,I.Facility.P2aFacilityCount&gt;=1105,F6117=""),"Incomplete","Complete")</f>
        <v>Complete</v>
      </c>
      <c r="I6117" s="48" t="s">
        <v>10482</v>
      </c>
    </row>
    <row r="6118" spans="2:9" ht="15" customHeight="1" x14ac:dyDescent="0.25">
      <c r="B6118" s="55" t="s">
        <v>280</v>
      </c>
      <c r="C6118" s="46">
        <v>1106</v>
      </c>
      <c r="D6118" s="69" t="s">
        <v>29417</v>
      </c>
      <c r="E6118" s="51"/>
      <c r="F6118" s="114" t="str">
        <f>IF(INDEX(I.Facility.P2aIDNumber,1106)="","",INDEX(I.Facility.P2aIDNumber,1106))</f>
        <v/>
      </c>
      <c r="G6118" s="51"/>
      <c r="H6118" s="46" t="str">
        <f>IF(AND(I.Developer.P2a=TRUE,I.Facility.P2aFacilityCount&gt;=1106,F6118=""),"Incomplete","Complete")</f>
        <v>Complete</v>
      </c>
      <c r="I6118" s="48" t="s">
        <v>10483</v>
      </c>
    </row>
    <row r="6119" spans="2:9" ht="15" customHeight="1" x14ac:dyDescent="0.25">
      <c r="B6119" s="55" t="s">
        <v>280</v>
      </c>
      <c r="C6119" s="46">
        <v>1107</v>
      </c>
      <c r="D6119" s="69" t="s">
        <v>29417</v>
      </c>
      <c r="E6119" s="51"/>
      <c r="F6119" s="114" t="str">
        <f>IF(INDEX(I.Facility.P2aIDNumber,1107)="","",INDEX(I.Facility.P2aIDNumber,1107))</f>
        <v/>
      </c>
      <c r="G6119" s="51"/>
      <c r="H6119" s="46" t="str">
        <f>IF(AND(I.Developer.P2a=TRUE,I.Facility.P2aFacilityCount&gt;=1107,F6119=""),"Incomplete","Complete")</f>
        <v>Complete</v>
      </c>
      <c r="I6119" s="48" t="s">
        <v>10484</v>
      </c>
    </row>
    <row r="6120" spans="2:9" ht="15" customHeight="1" x14ac:dyDescent="0.25">
      <c r="B6120" s="55" t="s">
        <v>280</v>
      </c>
      <c r="C6120" s="46">
        <v>1108</v>
      </c>
      <c r="D6120" s="69" t="s">
        <v>29417</v>
      </c>
      <c r="E6120" s="51"/>
      <c r="F6120" s="114" t="str">
        <f>IF(INDEX(I.Facility.P2aIDNumber,1108)="","",INDEX(I.Facility.P2aIDNumber,1108))</f>
        <v/>
      </c>
      <c r="G6120" s="51"/>
      <c r="H6120" s="46" t="str">
        <f>IF(AND(I.Developer.P2a=TRUE,I.Facility.P2aFacilityCount&gt;=1108,F6120=""),"Incomplete","Complete")</f>
        <v>Complete</v>
      </c>
      <c r="I6120" s="48" t="s">
        <v>10485</v>
      </c>
    </row>
    <row r="6121" spans="2:9" ht="15" customHeight="1" x14ac:dyDescent="0.25">
      <c r="B6121" s="55" t="s">
        <v>280</v>
      </c>
      <c r="C6121" s="46">
        <v>1109</v>
      </c>
      <c r="D6121" s="69" t="s">
        <v>29417</v>
      </c>
      <c r="E6121" s="51"/>
      <c r="F6121" s="114" t="str">
        <f>IF(INDEX(I.Facility.P2aIDNumber,1109)="","",INDEX(I.Facility.P2aIDNumber,1109))</f>
        <v/>
      </c>
      <c r="G6121" s="51"/>
      <c r="H6121" s="46" t="str">
        <f>IF(AND(I.Developer.P2a=TRUE,I.Facility.P2aFacilityCount&gt;=1109,F6121=""),"Incomplete","Complete")</f>
        <v>Complete</v>
      </c>
      <c r="I6121" s="48" t="s">
        <v>10486</v>
      </c>
    </row>
    <row r="6122" spans="2:9" ht="15" customHeight="1" x14ac:dyDescent="0.25">
      <c r="B6122" s="55" t="s">
        <v>280</v>
      </c>
      <c r="C6122" s="46">
        <v>1110</v>
      </c>
      <c r="D6122" s="69" t="s">
        <v>29417</v>
      </c>
      <c r="E6122" s="51"/>
      <c r="F6122" s="114" t="str">
        <f>IF(INDEX(I.Facility.P2aIDNumber,1110)="","",INDEX(I.Facility.P2aIDNumber,1110))</f>
        <v/>
      </c>
      <c r="G6122" s="51"/>
      <c r="H6122" s="46" t="str">
        <f>IF(AND(I.Developer.P2a=TRUE,I.Facility.P2aFacilityCount&gt;=1110,F6122=""),"Incomplete","Complete")</f>
        <v>Complete</v>
      </c>
      <c r="I6122" s="48" t="s">
        <v>10487</v>
      </c>
    </row>
    <row r="6123" spans="2:9" ht="15" customHeight="1" x14ac:dyDescent="0.25">
      <c r="B6123" s="55" t="s">
        <v>280</v>
      </c>
      <c r="C6123" s="46">
        <v>1111</v>
      </c>
      <c r="D6123" s="69" t="s">
        <v>29417</v>
      </c>
      <c r="E6123" s="51"/>
      <c r="F6123" s="114" t="str">
        <f>IF(INDEX(I.Facility.P2aIDNumber,1111)="","",INDEX(I.Facility.P2aIDNumber,1111))</f>
        <v/>
      </c>
      <c r="G6123" s="51"/>
      <c r="H6123" s="46" t="str">
        <f>IF(AND(I.Developer.P2a=TRUE,I.Facility.P2aFacilityCount&gt;=1111,F6123=""),"Incomplete","Complete")</f>
        <v>Complete</v>
      </c>
      <c r="I6123" s="48" t="s">
        <v>10488</v>
      </c>
    </row>
    <row r="6124" spans="2:9" ht="15" customHeight="1" x14ac:dyDescent="0.25">
      <c r="B6124" s="55" t="s">
        <v>280</v>
      </c>
      <c r="C6124" s="46">
        <v>1112</v>
      </c>
      <c r="D6124" s="69" t="s">
        <v>29417</v>
      </c>
      <c r="E6124" s="51"/>
      <c r="F6124" s="114" t="str">
        <f>IF(INDEX(I.Facility.P2aIDNumber,1112)="","",INDEX(I.Facility.P2aIDNumber,1112))</f>
        <v/>
      </c>
      <c r="G6124" s="51"/>
      <c r="H6124" s="46" t="str">
        <f>IF(AND(I.Developer.P2a=TRUE,I.Facility.P2aFacilityCount&gt;=1112,F6124=""),"Incomplete","Complete")</f>
        <v>Complete</v>
      </c>
      <c r="I6124" s="48" t="s">
        <v>10489</v>
      </c>
    </row>
    <row r="6125" spans="2:9" ht="15" customHeight="1" x14ac:dyDescent="0.25">
      <c r="B6125" s="55" t="s">
        <v>280</v>
      </c>
      <c r="C6125" s="46">
        <v>1113</v>
      </c>
      <c r="D6125" s="69" t="s">
        <v>29417</v>
      </c>
      <c r="E6125" s="51"/>
      <c r="F6125" s="114" t="str">
        <f>IF(INDEX(I.Facility.P2aIDNumber,1113)="","",INDEX(I.Facility.P2aIDNumber,1113))</f>
        <v/>
      </c>
      <c r="G6125" s="51"/>
      <c r="H6125" s="46" t="str">
        <f>IF(AND(I.Developer.P2a=TRUE,I.Facility.P2aFacilityCount&gt;=1113,F6125=""),"Incomplete","Complete")</f>
        <v>Complete</v>
      </c>
      <c r="I6125" s="48" t="s">
        <v>10490</v>
      </c>
    </row>
    <row r="6126" spans="2:9" ht="15" customHeight="1" x14ac:dyDescent="0.25">
      <c r="B6126" s="55" t="s">
        <v>280</v>
      </c>
      <c r="C6126" s="46">
        <v>1114</v>
      </c>
      <c r="D6126" s="69" t="s">
        <v>29417</v>
      </c>
      <c r="E6126" s="51"/>
      <c r="F6126" s="114" t="str">
        <f>IF(INDEX(I.Facility.P2aIDNumber,1114)="","",INDEX(I.Facility.P2aIDNumber,1114))</f>
        <v/>
      </c>
      <c r="G6126" s="51"/>
      <c r="H6126" s="46" t="str">
        <f>IF(AND(I.Developer.P2a=TRUE,I.Facility.P2aFacilityCount&gt;=1114,F6126=""),"Incomplete","Complete")</f>
        <v>Complete</v>
      </c>
      <c r="I6126" s="48" t="s">
        <v>10491</v>
      </c>
    </row>
    <row r="6127" spans="2:9" ht="15" customHeight="1" x14ac:dyDescent="0.25">
      <c r="B6127" s="55" t="s">
        <v>280</v>
      </c>
      <c r="C6127" s="46">
        <v>1115</v>
      </c>
      <c r="D6127" s="69" t="s">
        <v>29417</v>
      </c>
      <c r="E6127" s="51"/>
      <c r="F6127" s="114" t="str">
        <f>IF(INDEX(I.Facility.P2aIDNumber,1115)="","",INDEX(I.Facility.P2aIDNumber,1115))</f>
        <v/>
      </c>
      <c r="G6127" s="51"/>
      <c r="H6127" s="46" t="str">
        <f>IF(AND(I.Developer.P2a=TRUE,I.Facility.P2aFacilityCount&gt;=1115,F6127=""),"Incomplete","Complete")</f>
        <v>Complete</v>
      </c>
      <c r="I6127" s="48" t="s">
        <v>10492</v>
      </c>
    </row>
    <row r="6128" spans="2:9" ht="15" customHeight="1" x14ac:dyDescent="0.25">
      <c r="B6128" s="55" t="s">
        <v>280</v>
      </c>
      <c r="C6128" s="46">
        <v>1116</v>
      </c>
      <c r="D6128" s="69" t="s">
        <v>29417</v>
      </c>
      <c r="E6128" s="51"/>
      <c r="F6128" s="114" t="str">
        <f>IF(INDEX(I.Facility.P2aIDNumber,1116)="","",INDEX(I.Facility.P2aIDNumber,1116))</f>
        <v/>
      </c>
      <c r="G6128" s="51"/>
      <c r="H6128" s="46" t="str">
        <f>IF(AND(I.Developer.P2a=TRUE,I.Facility.P2aFacilityCount&gt;=1116,F6128=""),"Incomplete","Complete")</f>
        <v>Complete</v>
      </c>
      <c r="I6128" s="48" t="s">
        <v>10493</v>
      </c>
    </row>
    <row r="6129" spans="2:9" ht="15" customHeight="1" x14ac:dyDescent="0.25">
      <c r="B6129" s="55" t="s">
        <v>280</v>
      </c>
      <c r="C6129" s="46">
        <v>1117</v>
      </c>
      <c r="D6129" s="69" t="s">
        <v>29417</v>
      </c>
      <c r="E6129" s="51"/>
      <c r="F6129" s="114" t="str">
        <f>IF(INDEX(I.Facility.P2aIDNumber,1117)="","",INDEX(I.Facility.P2aIDNumber,1117))</f>
        <v/>
      </c>
      <c r="G6129" s="51"/>
      <c r="H6129" s="46" t="str">
        <f>IF(AND(I.Developer.P2a=TRUE,I.Facility.P2aFacilityCount&gt;=1117,F6129=""),"Incomplete","Complete")</f>
        <v>Complete</v>
      </c>
      <c r="I6129" s="48" t="s">
        <v>10494</v>
      </c>
    </row>
    <row r="6130" spans="2:9" ht="15" customHeight="1" x14ac:dyDescent="0.25">
      <c r="B6130" s="55" t="s">
        <v>280</v>
      </c>
      <c r="C6130" s="46">
        <v>1118</v>
      </c>
      <c r="D6130" s="69" t="s">
        <v>29417</v>
      </c>
      <c r="E6130" s="51"/>
      <c r="F6130" s="114" t="str">
        <f>IF(INDEX(I.Facility.P2aIDNumber,1118)="","",INDEX(I.Facility.P2aIDNumber,1118))</f>
        <v/>
      </c>
      <c r="G6130" s="51"/>
      <c r="H6130" s="46" t="str">
        <f>IF(AND(I.Developer.P2a=TRUE,I.Facility.P2aFacilityCount&gt;=1118,F6130=""),"Incomplete","Complete")</f>
        <v>Complete</v>
      </c>
      <c r="I6130" s="48" t="s">
        <v>10495</v>
      </c>
    </row>
    <row r="6131" spans="2:9" ht="15" customHeight="1" x14ac:dyDescent="0.25">
      <c r="B6131" s="55" t="s">
        <v>280</v>
      </c>
      <c r="C6131" s="46">
        <v>1119</v>
      </c>
      <c r="D6131" s="69" t="s">
        <v>29417</v>
      </c>
      <c r="E6131" s="51"/>
      <c r="F6131" s="114" t="str">
        <f>IF(INDEX(I.Facility.P2aIDNumber,1119)="","",INDEX(I.Facility.P2aIDNumber,1119))</f>
        <v/>
      </c>
      <c r="G6131" s="51"/>
      <c r="H6131" s="46" t="str">
        <f>IF(AND(I.Developer.P2a=TRUE,I.Facility.P2aFacilityCount&gt;=1119,F6131=""),"Incomplete","Complete")</f>
        <v>Complete</v>
      </c>
      <c r="I6131" s="48" t="s">
        <v>10496</v>
      </c>
    </row>
    <row r="6132" spans="2:9" ht="15" customHeight="1" x14ac:dyDescent="0.25">
      <c r="B6132" s="55" t="s">
        <v>280</v>
      </c>
      <c r="C6132" s="46">
        <v>1120</v>
      </c>
      <c r="D6132" s="69" t="s">
        <v>29417</v>
      </c>
      <c r="E6132" s="51"/>
      <c r="F6132" s="114" t="str">
        <f>IF(INDEX(I.Facility.P2aIDNumber,1120)="","",INDEX(I.Facility.P2aIDNumber,1120))</f>
        <v/>
      </c>
      <c r="G6132" s="51"/>
      <c r="H6132" s="46" t="str">
        <f>IF(AND(I.Developer.P2a=TRUE,I.Facility.P2aFacilityCount&gt;=1120,F6132=""),"Incomplete","Complete")</f>
        <v>Complete</v>
      </c>
      <c r="I6132" s="48" t="s">
        <v>10497</v>
      </c>
    </row>
    <row r="6133" spans="2:9" ht="15" customHeight="1" x14ac:dyDescent="0.25">
      <c r="B6133" s="55" t="s">
        <v>280</v>
      </c>
      <c r="C6133" s="46">
        <v>1121</v>
      </c>
      <c r="D6133" s="69" t="s">
        <v>29417</v>
      </c>
      <c r="E6133" s="51"/>
      <c r="F6133" s="114" t="str">
        <f>IF(INDEX(I.Facility.P2aIDNumber,1121)="","",INDEX(I.Facility.P2aIDNumber,1121))</f>
        <v/>
      </c>
      <c r="G6133" s="51"/>
      <c r="H6133" s="46" t="str">
        <f>IF(AND(I.Developer.P2a=TRUE,I.Facility.P2aFacilityCount&gt;=1121,F6133=""),"Incomplete","Complete")</f>
        <v>Complete</v>
      </c>
      <c r="I6133" s="48" t="s">
        <v>10498</v>
      </c>
    </row>
    <row r="6134" spans="2:9" ht="15" customHeight="1" x14ac:dyDescent="0.25">
      <c r="B6134" s="55" t="s">
        <v>280</v>
      </c>
      <c r="C6134" s="46">
        <v>1122</v>
      </c>
      <c r="D6134" s="69" t="s">
        <v>29417</v>
      </c>
      <c r="E6134" s="51"/>
      <c r="F6134" s="114" t="str">
        <f>IF(INDEX(I.Facility.P2aIDNumber,1122)="","",INDEX(I.Facility.P2aIDNumber,1122))</f>
        <v/>
      </c>
      <c r="G6134" s="51"/>
      <c r="H6134" s="46" t="str">
        <f>IF(AND(I.Developer.P2a=TRUE,I.Facility.P2aFacilityCount&gt;=1122,F6134=""),"Incomplete","Complete")</f>
        <v>Complete</v>
      </c>
      <c r="I6134" s="48" t="s">
        <v>10499</v>
      </c>
    </row>
    <row r="6135" spans="2:9" ht="15" customHeight="1" x14ac:dyDescent="0.25">
      <c r="B6135" s="55" t="s">
        <v>280</v>
      </c>
      <c r="C6135" s="46">
        <v>1123</v>
      </c>
      <c r="D6135" s="69" t="s">
        <v>29417</v>
      </c>
      <c r="E6135" s="51"/>
      <c r="F6135" s="114" t="str">
        <f>IF(INDEX(I.Facility.P2aIDNumber,1123)="","",INDEX(I.Facility.P2aIDNumber,1123))</f>
        <v/>
      </c>
      <c r="G6135" s="51"/>
      <c r="H6135" s="46" t="str">
        <f>IF(AND(I.Developer.P2a=TRUE,I.Facility.P2aFacilityCount&gt;=1123,F6135=""),"Incomplete","Complete")</f>
        <v>Complete</v>
      </c>
      <c r="I6135" s="48" t="s">
        <v>10500</v>
      </c>
    </row>
    <row r="6136" spans="2:9" ht="15" customHeight="1" x14ac:dyDescent="0.25">
      <c r="B6136" s="55" t="s">
        <v>280</v>
      </c>
      <c r="C6136" s="46">
        <v>1124</v>
      </c>
      <c r="D6136" s="69" t="s">
        <v>29417</v>
      </c>
      <c r="E6136" s="51"/>
      <c r="F6136" s="114" t="str">
        <f>IF(INDEX(I.Facility.P2aIDNumber,1124)="","",INDEX(I.Facility.P2aIDNumber,1124))</f>
        <v/>
      </c>
      <c r="G6136" s="51"/>
      <c r="H6136" s="46" t="str">
        <f>IF(AND(I.Developer.P2a=TRUE,I.Facility.P2aFacilityCount&gt;=1124,F6136=""),"Incomplete","Complete")</f>
        <v>Complete</v>
      </c>
      <c r="I6136" s="48" t="s">
        <v>10501</v>
      </c>
    </row>
    <row r="6137" spans="2:9" ht="15" customHeight="1" x14ac:dyDescent="0.25">
      <c r="B6137" s="55" t="s">
        <v>280</v>
      </c>
      <c r="C6137" s="46">
        <v>1125</v>
      </c>
      <c r="D6137" s="69" t="s">
        <v>29417</v>
      </c>
      <c r="E6137" s="51"/>
      <c r="F6137" s="114" t="str">
        <f>IF(INDEX(I.Facility.P2aIDNumber,1125)="","",INDEX(I.Facility.P2aIDNumber,1125))</f>
        <v/>
      </c>
      <c r="G6137" s="51"/>
      <c r="H6137" s="46" t="str">
        <f>IF(AND(I.Developer.P2a=TRUE,I.Facility.P2aFacilityCount&gt;=1125,F6137=""),"Incomplete","Complete")</f>
        <v>Complete</v>
      </c>
      <c r="I6137" s="48" t="s">
        <v>10502</v>
      </c>
    </row>
    <row r="6138" spans="2:9" ht="15" customHeight="1" x14ac:dyDescent="0.25">
      <c r="B6138" s="55" t="s">
        <v>280</v>
      </c>
      <c r="C6138" s="46">
        <v>1126</v>
      </c>
      <c r="D6138" s="69" t="s">
        <v>29417</v>
      </c>
      <c r="E6138" s="51"/>
      <c r="F6138" s="114" t="str">
        <f>IF(INDEX(I.Facility.P2aIDNumber,1126)="","",INDEX(I.Facility.P2aIDNumber,1126))</f>
        <v/>
      </c>
      <c r="G6138" s="51"/>
      <c r="H6138" s="46" t="str">
        <f>IF(AND(I.Developer.P2a=TRUE,I.Facility.P2aFacilityCount&gt;=1126,F6138=""),"Incomplete","Complete")</f>
        <v>Complete</v>
      </c>
      <c r="I6138" s="48" t="s">
        <v>10503</v>
      </c>
    </row>
    <row r="6139" spans="2:9" ht="15" customHeight="1" x14ac:dyDescent="0.25">
      <c r="B6139" s="55" t="s">
        <v>280</v>
      </c>
      <c r="C6139" s="46">
        <v>1127</v>
      </c>
      <c r="D6139" s="69" t="s">
        <v>29417</v>
      </c>
      <c r="E6139" s="51"/>
      <c r="F6139" s="114" t="str">
        <f>IF(INDEX(I.Facility.P2aIDNumber,1127)="","",INDEX(I.Facility.P2aIDNumber,1127))</f>
        <v/>
      </c>
      <c r="G6139" s="51"/>
      <c r="H6139" s="46" t="str">
        <f>IF(AND(I.Developer.P2a=TRUE,I.Facility.P2aFacilityCount&gt;=1127,F6139=""),"Incomplete","Complete")</f>
        <v>Complete</v>
      </c>
      <c r="I6139" s="48" t="s">
        <v>10504</v>
      </c>
    </row>
    <row r="6140" spans="2:9" ht="15" customHeight="1" x14ac:dyDescent="0.25">
      <c r="B6140" s="55" t="s">
        <v>280</v>
      </c>
      <c r="C6140" s="46">
        <v>1128</v>
      </c>
      <c r="D6140" s="69" t="s">
        <v>29417</v>
      </c>
      <c r="E6140" s="51"/>
      <c r="F6140" s="114" t="str">
        <f>IF(INDEX(I.Facility.P2aIDNumber,1128)="","",INDEX(I.Facility.P2aIDNumber,1128))</f>
        <v/>
      </c>
      <c r="G6140" s="51"/>
      <c r="H6140" s="46" t="str">
        <f>IF(AND(I.Developer.P2a=TRUE,I.Facility.P2aFacilityCount&gt;=1128,F6140=""),"Incomplete","Complete")</f>
        <v>Complete</v>
      </c>
      <c r="I6140" s="48" t="s">
        <v>10505</v>
      </c>
    </row>
    <row r="6141" spans="2:9" ht="15" customHeight="1" x14ac:dyDescent="0.25">
      <c r="B6141" s="55" t="s">
        <v>280</v>
      </c>
      <c r="C6141" s="46">
        <v>1129</v>
      </c>
      <c r="D6141" s="69" t="s">
        <v>29417</v>
      </c>
      <c r="E6141" s="51"/>
      <c r="F6141" s="114" t="str">
        <f>IF(INDEX(I.Facility.P2aIDNumber,1129)="","",INDEX(I.Facility.P2aIDNumber,1129))</f>
        <v/>
      </c>
      <c r="G6141" s="51"/>
      <c r="H6141" s="46" t="str">
        <f>IF(AND(I.Developer.P2a=TRUE,I.Facility.P2aFacilityCount&gt;=1129,F6141=""),"Incomplete","Complete")</f>
        <v>Complete</v>
      </c>
      <c r="I6141" s="48" t="s">
        <v>10506</v>
      </c>
    </row>
    <row r="6142" spans="2:9" ht="15" customHeight="1" x14ac:dyDescent="0.25">
      <c r="B6142" s="55" t="s">
        <v>280</v>
      </c>
      <c r="C6142" s="46">
        <v>1130</v>
      </c>
      <c r="D6142" s="69" t="s">
        <v>29417</v>
      </c>
      <c r="E6142" s="51"/>
      <c r="F6142" s="114" t="str">
        <f>IF(INDEX(I.Facility.P2aIDNumber,1130)="","",INDEX(I.Facility.P2aIDNumber,1130))</f>
        <v/>
      </c>
      <c r="G6142" s="51"/>
      <c r="H6142" s="46" t="str">
        <f>IF(AND(I.Developer.P2a=TRUE,I.Facility.P2aFacilityCount&gt;=1130,F6142=""),"Incomplete","Complete")</f>
        <v>Complete</v>
      </c>
      <c r="I6142" s="48" t="s">
        <v>10507</v>
      </c>
    </row>
    <row r="6143" spans="2:9" ht="15" customHeight="1" x14ac:dyDescent="0.25">
      <c r="B6143" s="55" t="s">
        <v>280</v>
      </c>
      <c r="C6143" s="46">
        <v>1131</v>
      </c>
      <c r="D6143" s="69" t="s">
        <v>29417</v>
      </c>
      <c r="E6143" s="51"/>
      <c r="F6143" s="114" t="str">
        <f>IF(INDEX(I.Facility.P2aIDNumber,1131)="","",INDEX(I.Facility.P2aIDNumber,1131))</f>
        <v/>
      </c>
      <c r="G6143" s="51"/>
      <c r="H6143" s="46" t="str">
        <f>IF(AND(I.Developer.P2a=TRUE,I.Facility.P2aFacilityCount&gt;=1131,F6143=""),"Incomplete","Complete")</f>
        <v>Complete</v>
      </c>
      <c r="I6143" s="48" t="s">
        <v>10508</v>
      </c>
    </row>
    <row r="6144" spans="2:9" ht="15" customHeight="1" x14ac:dyDescent="0.25">
      <c r="B6144" s="55" t="s">
        <v>280</v>
      </c>
      <c r="C6144" s="46">
        <v>1132</v>
      </c>
      <c r="D6144" s="69" t="s">
        <v>29417</v>
      </c>
      <c r="E6144" s="51"/>
      <c r="F6144" s="114" t="str">
        <f>IF(INDEX(I.Facility.P2aIDNumber,1132)="","",INDEX(I.Facility.P2aIDNumber,1132))</f>
        <v/>
      </c>
      <c r="G6144" s="51"/>
      <c r="H6144" s="46" t="str">
        <f>IF(AND(I.Developer.P2a=TRUE,I.Facility.P2aFacilityCount&gt;=1132,F6144=""),"Incomplete","Complete")</f>
        <v>Complete</v>
      </c>
      <c r="I6144" s="48" t="s">
        <v>10509</v>
      </c>
    </row>
    <row r="6145" spans="2:9" ht="15" customHeight="1" x14ac:dyDescent="0.25">
      <c r="B6145" s="55" t="s">
        <v>280</v>
      </c>
      <c r="C6145" s="46">
        <v>1133</v>
      </c>
      <c r="D6145" s="69" t="s">
        <v>29417</v>
      </c>
      <c r="E6145" s="51"/>
      <c r="F6145" s="114" t="str">
        <f>IF(INDEX(I.Facility.P2aIDNumber,1133)="","",INDEX(I.Facility.P2aIDNumber,1133))</f>
        <v/>
      </c>
      <c r="G6145" s="51"/>
      <c r="H6145" s="46" t="str">
        <f>IF(AND(I.Developer.P2a=TRUE,I.Facility.P2aFacilityCount&gt;=1133,F6145=""),"Incomplete","Complete")</f>
        <v>Complete</v>
      </c>
      <c r="I6145" s="48" t="s">
        <v>10510</v>
      </c>
    </row>
    <row r="6146" spans="2:9" ht="15" customHeight="1" x14ac:dyDescent="0.25">
      <c r="B6146" s="55" t="s">
        <v>280</v>
      </c>
      <c r="C6146" s="46">
        <v>1134</v>
      </c>
      <c r="D6146" s="69" t="s">
        <v>29417</v>
      </c>
      <c r="E6146" s="51"/>
      <c r="F6146" s="114" t="str">
        <f>IF(INDEX(I.Facility.P2aIDNumber,1134)="","",INDEX(I.Facility.P2aIDNumber,1134))</f>
        <v/>
      </c>
      <c r="G6146" s="51"/>
      <c r="H6146" s="46" t="str">
        <f>IF(AND(I.Developer.P2a=TRUE,I.Facility.P2aFacilityCount&gt;=1134,F6146=""),"Incomplete","Complete")</f>
        <v>Complete</v>
      </c>
      <c r="I6146" s="48" t="s">
        <v>10511</v>
      </c>
    </row>
    <row r="6147" spans="2:9" ht="15" customHeight="1" x14ac:dyDescent="0.25">
      <c r="B6147" s="55" t="s">
        <v>280</v>
      </c>
      <c r="C6147" s="46">
        <v>1135</v>
      </c>
      <c r="D6147" s="69" t="s">
        <v>29417</v>
      </c>
      <c r="E6147" s="51"/>
      <c r="F6147" s="114" t="str">
        <f>IF(INDEX(I.Facility.P2aIDNumber,1135)="","",INDEX(I.Facility.P2aIDNumber,1135))</f>
        <v/>
      </c>
      <c r="G6147" s="51"/>
      <c r="H6147" s="46" t="str">
        <f>IF(AND(I.Developer.P2a=TRUE,I.Facility.P2aFacilityCount&gt;=1135,F6147=""),"Incomplete","Complete")</f>
        <v>Complete</v>
      </c>
      <c r="I6147" s="48" t="s">
        <v>10512</v>
      </c>
    </row>
    <row r="6148" spans="2:9" ht="15" customHeight="1" x14ac:dyDescent="0.25">
      <c r="B6148" s="55" t="s">
        <v>280</v>
      </c>
      <c r="C6148" s="46">
        <v>1136</v>
      </c>
      <c r="D6148" s="69" t="s">
        <v>29417</v>
      </c>
      <c r="E6148" s="51"/>
      <c r="F6148" s="114" t="str">
        <f>IF(INDEX(I.Facility.P2aIDNumber,1136)="","",INDEX(I.Facility.P2aIDNumber,1136))</f>
        <v/>
      </c>
      <c r="G6148" s="51"/>
      <c r="H6148" s="46" t="str">
        <f>IF(AND(I.Developer.P2a=TRUE,I.Facility.P2aFacilityCount&gt;=1136,F6148=""),"Incomplete","Complete")</f>
        <v>Complete</v>
      </c>
      <c r="I6148" s="48" t="s">
        <v>10513</v>
      </c>
    </row>
    <row r="6149" spans="2:9" ht="15" customHeight="1" x14ac:dyDescent="0.25">
      <c r="B6149" s="55" t="s">
        <v>280</v>
      </c>
      <c r="C6149" s="46">
        <v>1137</v>
      </c>
      <c r="D6149" s="69" t="s">
        <v>29417</v>
      </c>
      <c r="E6149" s="51"/>
      <c r="F6149" s="114" t="str">
        <f>IF(INDEX(I.Facility.P2aIDNumber,1137)="","",INDEX(I.Facility.P2aIDNumber,1137))</f>
        <v/>
      </c>
      <c r="G6149" s="51"/>
      <c r="H6149" s="46" t="str">
        <f>IF(AND(I.Developer.P2a=TRUE,I.Facility.P2aFacilityCount&gt;=1137,F6149=""),"Incomplete","Complete")</f>
        <v>Complete</v>
      </c>
      <c r="I6149" s="48" t="s">
        <v>10514</v>
      </c>
    </row>
    <row r="6150" spans="2:9" ht="15" customHeight="1" x14ac:dyDescent="0.25">
      <c r="B6150" s="55" t="s">
        <v>280</v>
      </c>
      <c r="C6150" s="46">
        <v>1138</v>
      </c>
      <c r="D6150" s="69" t="s">
        <v>29417</v>
      </c>
      <c r="E6150" s="51"/>
      <c r="F6150" s="114" t="str">
        <f>IF(INDEX(I.Facility.P2aIDNumber,1138)="","",INDEX(I.Facility.P2aIDNumber,1138))</f>
        <v/>
      </c>
      <c r="G6150" s="51"/>
      <c r="H6150" s="46" t="str">
        <f>IF(AND(I.Developer.P2a=TRUE,I.Facility.P2aFacilityCount&gt;=1138,F6150=""),"Incomplete","Complete")</f>
        <v>Complete</v>
      </c>
      <c r="I6150" s="48" t="s">
        <v>10515</v>
      </c>
    </row>
    <row r="6151" spans="2:9" ht="15" customHeight="1" x14ac:dyDescent="0.25">
      <c r="B6151" s="55" t="s">
        <v>280</v>
      </c>
      <c r="C6151" s="46">
        <v>1139</v>
      </c>
      <c r="D6151" s="69" t="s">
        <v>29417</v>
      </c>
      <c r="E6151" s="51"/>
      <c r="F6151" s="114" t="str">
        <f>IF(INDEX(I.Facility.P2aIDNumber,1139)="","",INDEX(I.Facility.P2aIDNumber,1139))</f>
        <v/>
      </c>
      <c r="G6151" s="51"/>
      <c r="H6151" s="46" t="str">
        <f>IF(AND(I.Developer.P2a=TRUE,I.Facility.P2aFacilityCount&gt;=1139,F6151=""),"Incomplete","Complete")</f>
        <v>Complete</v>
      </c>
      <c r="I6151" s="48" t="s">
        <v>10516</v>
      </c>
    </row>
    <row r="6152" spans="2:9" ht="15" customHeight="1" x14ac:dyDescent="0.25">
      <c r="B6152" s="55" t="s">
        <v>280</v>
      </c>
      <c r="C6152" s="46">
        <v>1140</v>
      </c>
      <c r="D6152" s="69" t="s">
        <v>29417</v>
      </c>
      <c r="E6152" s="51"/>
      <c r="F6152" s="114" t="str">
        <f>IF(INDEX(I.Facility.P2aIDNumber,1140)="","",INDEX(I.Facility.P2aIDNumber,1140))</f>
        <v/>
      </c>
      <c r="G6152" s="51"/>
      <c r="H6152" s="46" t="str">
        <f>IF(AND(I.Developer.P2a=TRUE,I.Facility.P2aFacilityCount&gt;=1140,F6152=""),"Incomplete","Complete")</f>
        <v>Complete</v>
      </c>
      <c r="I6152" s="48" t="s">
        <v>10517</v>
      </c>
    </row>
    <row r="6153" spans="2:9" ht="15" customHeight="1" x14ac:dyDescent="0.25">
      <c r="B6153" s="55" t="s">
        <v>280</v>
      </c>
      <c r="C6153" s="46">
        <v>1141</v>
      </c>
      <c r="D6153" s="69" t="s">
        <v>29417</v>
      </c>
      <c r="E6153" s="51"/>
      <c r="F6153" s="114" t="str">
        <f>IF(INDEX(I.Facility.P2aIDNumber,1141)="","",INDEX(I.Facility.P2aIDNumber,1141))</f>
        <v/>
      </c>
      <c r="G6153" s="51"/>
      <c r="H6153" s="46" t="str">
        <f>IF(AND(I.Developer.P2a=TRUE,I.Facility.P2aFacilityCount&gt;=1141,F6153=""),"Incomplete","Complete")</f>
        <v>Complete</v>
      </c>
      <c r="I6153" s="48" t="s">
        <v>10518</v>
      </c>
    </row>
    <row r="6154" spans="2:9" ht="15" customHeight="1" x14ac:dyDescent="0.25">
      <c r="B6154" s="55" t="s">
        <v>280</v>
      </c>
      <c r="C6154" s="46">
        <v>1142</v>
      </c>
      <c r="D6154" s="69" t="s">
        <v>29417</v>
      </c>
      <c r="E6154" s="51"/>
      <c r="F6154" s="114" t="str">
        <f>IF(INDEX(I.Facility.P2aIDNumber,1142)="","",INDEX(I.Facility.P2aIDNumber,1142))</f>
        <v/>
      </c>
      <c r="G6154" s="51"/>
      <c r="H6154" s="46" t="str">
        <f>IF(AND(I.Developer.P2a=TRUE,I.Facility.P2aFacilityCount&gt;=1142,F6154=""),"Incomplete","Complete")</f>
        <v>Complete</v>
      </c>
      <c r="I6154" s="48" t="s">
        <v>10519</v>
      </c>
    </row>
    <row r="6155" spans="2:9" ht="15" customHeight="1" x14ac:dyDescent="0.25">
      <c r="B6155" s="55" t="s">
        <v>280</v>
      </c>
      <c r="C6155" s="46">
        <v>1143</v>
      </c>
      <c r="D6155" s="69" t="s">
        <v>29417</v>
      </c>
      <c r="E6155" s="51"/>
      <c r="F6155" s="114" t="str">
        <f>IF(INDEX(I.Facility.P2aIDNumber,1143)="","",INDEX(I.Facility.P2aIDNumber,1143))</f>
        <v/>
      </c>
      <c r="G6155" s="51"/>
      <c r="H6155" s="46" t="str">
        <f>IF(AND(I.Developer.P2a=TRUE,I.Facility.P2aFacilityCount&gt;=1143,F6155=""),"Incomplete","Complete")</f>
        <v>Complete</v>
      </c>
      <c r="I6155" s="48" t="s">
        <v>10520</v>
      </c>
    </row>
    <row r="6156" spans="2:9" ht="15" customHeight="1" x14ac:dyDescent="0.25">
      <c r="B6156" s="55" t="s">
        <v>280</v>
      </c>
      <c r="C6156" s="46">
        <v>1144</v>
      </c>
      <c r="D6156" s="69" t="s">
        <v>29417</v>
      </c>
      <c r="E6156" s="51"/>
      <c r="F6156" s="114" t="str">
        <f>IF(INDEX(I.Facility.P2aIDNumber,1144)="","",INDEX(I.Facility.P2aIDNumber,1144))</f>
        <v/>
      </c>
      <c r="G6156" s="51"/>
      <c r="H6156" s="46" t="str">
        <f>IF(AND(I.Developer.P2a=TRUE,I.Facility.P2aFacilityCount&gt;=1144,F6156=""),"Incomplete","Complete")</f>
        <v>Complete</v>
      </c>
      <c r="I6156" s="48" t="s">
        <v>10521</v>
      </c>
    </row>
    <row r="6157" spans="2:9" ht="15" customHeight="1" x14ac:dyDescent="0.25">
      <c r="B6157" s="55" t="s">
        <v>280</v>
      </c>
      <c r="C6157" s="46">
        <v>1145</v>
      </c>
      <c r="D6157" s="69" t="s">
        <v>29417</v>
      </c>
      <c r="E6157" s="51"/>
      <c r="F6157" s="114" t="str">
        <f>IF(INDEX(I.Facility.P2aIDNumber,1145)="","",INDEX(I.Facility.P2aIDNumber,1145))</f>
        <v/>
      </c>
      <c r="G6157" s="51"/>
      <c r="H6157" s="46" t="str">
        <f>IF(AND(I.Developer.P2a=TRUE,I.Facility.P2aFacilityCount&gt;=1145,F6157=""),"Incomplete","Complete")</f>
        <v>Complete</v>
      </c>
      <c r="I6157" s="48" t="s">
        <v>10522</v>
      </c>
    </row>
    <row r="6158" spans="2:9" ht="15" customHeight="1" x14ac:dyDescent="0.25">
      <c r="B6158" s="55" t="s">
        <v>280</v>
      </c>
      <c r="C6158" s="46">
        <v>1146</v>
      </c>
      <c r="D6158" s="69" t="s">
        <v>29417</v>
      </c>
      <c r="E6158" s="51"/>
      <c r="F6158" s="114" t="str">
        <f>IF(INDEX(I.Facility.P2aIDNumber,1146)="","",INDEX(I.Facility.P2aIDNumber,1146))</f>
        <v/>
      </c>
      <c r="G6158" s="51"/>
      <c r="H6158" s="46" t="str">
        <f>IF(AND(I.Developer.P2a=TRUE,I.Facility.P2aFacilityCount&gt;=1146,F6158=""),"Incomplete","Complete")</f>
        <v>Complete</v>
      </c>
      <c r="I6158" s="48" t="s">
        <v>10523</v>
      </c>
    </row>
    <row r="6159" spans="2:9" ht="15" customHeight="1" x14ac:dyDescent="0.25">
      <c r="B6159" s="55" t="s">
        <v>280</v>
      </c>
      <c r="C6159" s="46">
        <v>1147</v>
      </c>
      <c r="D6159" s="69" t="s">
        <v>29417</v>
      </c>
      <c r="E6159" s="51"/>
      <c r="F6159" s="114" t="str">
        <f>IF(INDEX(I.Facility.P2aIDNumber,1147)="","",INDEX(I.Facility.P2aIDNumber,1147))</f>
        <v/>
      </c>
      <c r="G6159" s="51"/>
      <c r="H6159" s="46" t="str">
        <f>IF(AND(I.Developer.P2a=TRUE,I.Facility.P2aFacilityCount&gt;=1147,F6159=""),"Incomplete","Complete")</f>
        <v>Complete</v>
      </c>
      <c r="I6159" s="48" t="s">
        <v>10524</v>
      </c>
    </row>
    <row r="6160" spans="2:9" ht="15" customHeight="1" x14ac:dyDescent="0.25">
      <c r="B6160" s="55" t="s">
        <v>280</v>
      </c>
      <c r="C6160" s="46">
        <v>1148</v>
      </c>
      <c r="D6160" s="69" t="s">
        <v>29417</v>
      </c>
      <c r="E6160" s="51"/>
      <c r="F6160" s="114" t="str">
        <f>IF(INDEX(I.Facility.P2aIDNumber,1148)="","",INDEX(I.Facility.P2aIDNumber,1148))</f>
        <v/>
      </c>
      <c r="G6160" s="51"/>
      <c r="H6160" s="46" t="str">
        <f>IF(AND(I.Developer.P2a=TRUE,I.Facility.P2aFacilityCount&gt;=1148,F6160=""),"Incomplete","Complete")</f>
        <v>Complete</v>
      </c>
      <c r="I6160" s="48" t="s">
        <v>10525</v>
      </c>
    </row>
    <row r="6161" spans="2:9" ht="15" customHeight="1" x14ac:dyDescent="0.25">
      <c r="B6161" s="55" t="s">
        <v>280</v>
      </c>
      <c r="C6161" s="46">
        <v>1149</v>
      </c>
      <c r="D6161" s="69" t="s">
        <v>29417</v>
      </c>
      <c r="E6161" s="51"/>
      <c r="F6161" s="114" t="str">
        <f>IF(INDEX(I.Facility.P2aIDNumber,1149)="","",INDEX(I.Facility.P2aIDNumber,1149))</f>
        <v/>
      </c>
      <c r="G6161" s="51"/>
      <c r="H6161" s="46" t="str">
        <f>IF(AND(I.Developer.P2a=TRUE,I.Facility.P2aFacilityCount&gt;=1149,F6161=""),"Incomplete","Complete")</f>
        <v>Complete</v>
      </c>
      <c r="I6161" s="48" t="s">
        <v>10526</v>
      </c>
    </row>
    <row r="6162" spans="2:9" ht="15" customHeight="1" x14ac:dyDescent="0.25">
      <c r="B6162" s="55" t="s">
        <v>280</v>
      </c>
      <c r="C6162" s="46">
        <v>1150</v>
      </c>
      <c r="D6162" s="69" t="s">
        <v>29417</v>
      </c>
      <c r="E6162" s="51"/>
      <c r="F6162" s="114" t="str">
        <f>IF(INDEX(I.Facility.P2aIDNumber,1150)="","",INDEX(I.Facility.P2aIDNumber,1150))</f>
        <v/>
      </c>
      <c r="G6162" s="51"/>
      <c r="H6162" s="46" t="str">
        <f>IF(AND(I.Developer.P2a=TRUE,I.Facility.P2aFacilityCount&gt;=1150,F6162=""),"Incomplete","Complete")</f>
        <v>Complete</v>
      </c>
      <c r="I6162" s="48" t="s">
        <v>10527</v>
      </c>
    </row>
    <row r="6163" spans="2:9" ht="15" customHeight="1" x14ac:dyDescent="0.25">
      <c r="B6163" s="55" t="s">
        <v>280</v>
      </c>
      <c r="C6163" s="46">
        <v>1151</v>
      </c>
      <c r="D6163" s="69" t="s">
        <v>29417</v>
      </c>
      <c r="E6163" s="51"/>
      <c r="F6163" s="114" t="str">
        <f>IF(INDEX(I.Facility.P2aIDNumber,1151)="","",INDEX(I.Facility.P2aIDNumber,1151))</f>
        <v/>
      </c>
      <c r="G6163" s="51"/>
      <c r="H6163" s="46" t="str">
        <f>IF(AND(I.Developer.P2a=TRUE,I.Facility.P2aFacilityCount&gt;=1151,F6163=""),"Incomplete","Complete")</f>
        <v>Complete</v>
      </c>
      <c r="I6163" s="48" t="s">
        <v>10528</v>
      </c>
    </row>
    <row r="6164" spans="2:9" ht="15" customHeight="1" x14ac:dyDescent="0.25">
      <c r="B6164" s="55" t="s">
        <v>280</v>
      </c>
      <c r="C6164" s="46">
        <v>1152</v>
      </c>
      <c r="D6164" s="69" t="s">
        <v>29417</v>
      </c>
      <c r="E6164" s="51"/>
      <c r="F6164" s="114" t="str">
        <f>IF(INDEX(I.Facility.P2aIDNumber,1152)="","",INDEX(I.Facility.P2aIDNumber,1152))</f>
        <v/>
      </c>
      <c r="G6164" s="51"/>
      <c r="H6164" s="46" t="str">
        <f>IF(AND(I.Developer.P2a=TRUE,I.Facility.P2aFacilityCount&gt;=1152,F6164=""),"Incomplete","Complete")</f>
        <v>Complete</v>
      </c>
      <c r="I6164" s="48" t="s">
        <v>10529</v>
      </c>
    </row>
    <row r="6165" spans="2:9" ht="15" customHeight="1" x14ac:dyDescent="0.25">
      <c r="B6165" s="55" t="s">
        <v>280</v>
      </c>
      <c r="C6165" s="46">
        <v>1153</v>
      </c>
      <c r="D6165" s="69" t="s">
        <v>29417</v>
      </c>
      <c r="E6165" s="51"/>
      <c r="F6165" s="114" t="str">
        <f>IF(INDEX(I.Facility.P2aIDNumber,1153)="","",INDEX(I.Facility.P2aIDNumber,1153))</f>
        <v/>
      </c>
      <c r="G6165" s="51"/>
      <c r="H6165" s="46" t="str">
        <f>IF(AND(I.Developer.P2a=TRUE,I.Facility.P2aFacilityCount&gt;=1153,F6165=""),"Incomplete","Complete")</f>
        <v>Complete</v>
      </c>
      <c r="I6165" s="48" t="s">
        <v>10530</v>
      </c>
    </row>
    <row r="6166" spans="2:9" ht="15" customHeight="1" x14ac:dyDescent="0.25">
      <c r="B6166" s="55" t="s">
        <v>280</v>
      </c>
      <c r="C6166" s="46">
        <v>1154</v>
      </c>
      <c r="D6166" s="69" t="s">
        <v>29417</v>
      </c>
      <c r="E6166" s="51"/>
      <c r="F6166" s="114" t="str">
        <f>IF(INDEX(I.Facility.P2aIDNumber,1154)="","",INDEX(I.Facility.P2aIDNumber,1154))</f>
        <v/>
      </c>
      <c r="G6166" s="51"/>
      <c r="H6166" s="46" t="str">
        <f>IF(AND(I.Developer.P2a=TRUE,I.Facility.P2aFacilityCount&gt;=1154,F6166=""),"Incomplete","Complete")</f>
        <v>Complete</v>
      </c>
      <c r="I6166" s="48" t="s">
        <v>10531</v>
      </c>
    </row>
    <row r="6167" spans="2:9" ht="15" customHeight="1" x14ac:dyDescent="0.25">
      <c r="B6167" s="55" t="s">
        <v>280</v>
      </c>
      <c r="C6167" s="46">
        <v>1155</v>
      </c>
      <c r="D6167" s="69" t="s">
        <v>29417</v>
      </c>
      <c r="E6167" s="51"/>
      <c r="F6167" s="114" t="str">
        <f>IF(INDEX(I.Facility.P2aIDNumber,1155)="","",INDEX(I.Facility.P2aIDNumber,1155))</f>
        <v/>
      </c>
      <c r="G6167" s="51"/>
      <c r="H6167" s="46" t="str">
        <f>IF(AND(I.Developer.P2a=TRUE,I.Facility.P2aFacilityCount&gt;=1155,F6167=""),"Incomplete","Complete")</f>
        <v>Complete</v>
      </c>
      <c r="I6167" s="48" t="s">
        <v>10532</v>
      </c>
    </row>
    <row r="6168" spans="2:9" ht="15" customHeight="1" x14ac:dyDescent="0.25">
      <c r="B6168" s="55" t="s">
        <v>280</v>
      </c>
      <c r="C6168" s="46">
        <v>1156</v>
      </c>
      <c r="D6168" s="69" t="s">
        <v>29417</v>
      </c>
      <c r="E6168" s="51"/>
      <c r="F6168" s="114" t="str">
        <f>IF(INDEX(I.Facility.P2aIDNumber,1156)="","",INDEX(I.Facility.P2aIDNumber,1156))</f>
        <v/>
      </c>
      <c r="G6168" s="51"/>
      <c r="H6168" s="46" t="str">
        <f>IF(AND(I.Developer.P2a=TRUE,I.Facility.P2aFacilityCount&gt;=1156,F6168=""),"Incomplete","Complete")</f>
        <v>Complete</v>
      </c>
      <c r="I6168" s="48" t="s">
        <v>10533</v>
      </c>
    </row>
    <row r="6169" spans="2:9" ht="15" customHeight="1" x14ac:dyDescent="0.25">
      <c r="B6169" s="55" t="s">
        <v>280</v>
      </c>
      <c r="C6169" s="46">
        <v>1157</v>
      </c>
      <c r="D6169" s="69" t="s">
        <v>29417</v>
      </c>
      <c r="E6169" s="51"/>
      <c r="F6169" s="114" t="str">
        <f>IF(INDEX(I.Facility.P2aIDNumber,1157)="","",INDEX(I.Facility.P2aIDNumber,1157))</f>
        <v/>
      </c>
      <c r="G6169" s="51"/>
      <c r="H6169" s="46" t="str">
        <f>IF(AND(I.Developer.P2a=TRUE,I.Facility.P2aFacilityCount&gt;=1157,F6169=""),"Incomplete","Complete")</f>
        <v>Complete</v>
      </c>
      <c r="I6169" s="48" t="s">
        <v>10534</v>
      </c>
    </row>
    <row r="6170" spans="2:9" ht="15" customHeight="1" x14ac:dyDescent="0.25">
      <c r="B6170" s="55" t="s">
        <v>280</v>
      </c>
      <c r="C6170" s="46">
        <v>1158</v>
      </c>
      <c r="D6170" s="69" t="s">
        <v>29417</v>
      </c>
      <c r="E6170" s="51"/>
      <c r="F6170" s="114" t="str">
        <f>IF(INDEX(I.Facility.P2aIDNumber,1158)="","",INDEX(I.Facility.P2aIDNumber,1158))</f>
        <v/>
      </c>
      <c r="G6170" s="51"/>
      <c r="H6170" s="46" t="str">
        <f>IF(AND(I.Developer.P2a=TRUE,I.Facility.P2aFacilityCount&gt;=1158,F6170=""),"Incomplete","Complete")</f>
        <v>Complete</v>
      </c>
      <c r="I6170" s="48" t="s">
        <v>10535</v>
      </c>
    </row>
    <row r="6171" spans="2:9" ht="15" customHeight="1" x14ac:dyDescent="0.25">
      <c r="B6171" s="55" t="s">
        <v>280</v>
      </c>
      <c r="C6171" s="46">
        <v>1159</v>
      </c>
      <c r="D6171" s="69" t="s">
        <v>29417</v>
      </c>
      <c r="E6171" s="51"/>
      <c r="F6171" s="114" t="str">
        <f>IF(INDEX(I.Facility.P2aIDNumber,1159)="","",INDEX(I.Facility.P2aIDNumber,1159))</f>
        <v/>
      </c>
      <c r="G6171" s="51"/>
      <c r="H6171" s="46" t="str">
        <f>IF(AND(I.Developer.P2a=TRUE,I.Facility.P2aFacilityCount&gt;=1159,F6171=""),"Incomplete","Complete")</f>
        <v>Complete</v>
      </c>
      <c r="I6171" s="48" t="s">
        <v>10536</v>
      </c>
    </row>
    <row r="6172" spans="2:9" ht="15" customHeight="1" x14ac:dyDescent="0.25">
      <c r="B6172" s="55" t="s">
        <v>280</v>
      </c>
      <c r="C6172" s="46">
        <v>1160</v>
      </c>
      <c r="D6172" s="69" t="s">
        <v>29417</v>
      </c>
      <c r="E6172" s="51"/>
      <c r="F6172" s="114" t="str">
        <f>IF(INDEX(I.Facility.P2aIDNumber,1160)="","",INDEX(I.Facility.P2aIDNumber,1160))</f>
        <v/>
      </c>
      <c r="G6172" s="51"/>
      <c r="H6172" s="46" t="str">
        <f>IF(AND(I.Developer.P2a=TRUE,I.Facility.P2aFacilityCount&gt;=1160,F6172=""),"Incomplete","Complete")</f>
        <v>Complete</v>
      </c>
      <c r="I6172" s="48" t="s">
        <v>10537</v>
      </c>
    </row>
    <row r="6173" spans="2:9" ht="15" customHeight="1" x14ac:dyDescent="0.25">
      <c r="B6173" s="55" t="s">
        <v>280</v>
      </c>
      <c r="C6173" s="46">
        <v>1161</v>
      </c>
      <c r="D6173" s="69" t="s">
        <v>29417</v>
      </c>
      <c r="E6173" s="51"/>
      <c r="F6173" s="114" t="str">
        <f>IF(INDEX(I.Facility.P2aIDNumber,1161)="","",INDEX(I.Facility.P2aIDNumber,1161))</f>
        <v/>
      </c>
      <c r="G6173" s="51"/>
      <c r="H6173" s="46" t="str">
        <f>IF(AND(I.Developer.P2a=TRUE,I.Facility.P2aFacilityCount&gt;=1161,F6173=""),"Incomplete","Complete")</f>
        <v>Complete</v>
      </c>
      <c r="I6173" s="48" t="s">
        <v>10538</v>
      </c>
    </row>
    <row r="6174" spans="2:9" ht="15" customHeight="1" x14ac:dyDescent="0.25">
      <c r="B6174" s="55" t="s">
        <v>280</v>
      </c>
      <c r="C6174" s="46">
        <v>1162</v>
      </c>
      <c r="D6174" s="69" t="s">
        <v>29417</v>
      </c>
      <c r="E6174" s="51"/>
      <c r="F6174" s="114" t="str">
        <f>IF(INDEX(I.Facility.P2aIDNumber,1162)="","",INDEX(I.Facility.P2aIDNumber,1162))</f>
        <v/>
      </c>
      <c r="G6174" s="51"/>
      <c r="H6174" s="46" t="str">
        <f>IF(AND(I.Developer.P2a=TRUE,I.Facility.P2aFacilityCount&gt;=1162,F6174=""),"Incomplete","Complete")</f>
        <v>Complete</v>
      </c>
      <c r="I6174" s="48" t="s">
        <v>10539</v>
      </c>
    </row>
    <row r="6175" spans="2:9" ht="15" customHeight="1" x14ac:dyDescent="0.25">
      <c r="B6175" s="55" t="s">
        <v>280</v>
      </c>
      <c r="C6175" s="46">
        <v>1163</v>
      </c>
      <c r="D6175" s="69" t="s">
        <v>29417</v>
      </c>
      <c r="E6175" s="51"/>
      <c r="F6175" s="114" t="str">
        <f>IF(INDEX(I.Facility.P2aIDNumber,1163)="","",INDEX(I.Facility.P2aIDNumber,1163))</f>
        <v/>
      </c>
      <c r="G6175" s="51"/>
      <c r="H6175" s="46" t="str">
        <f>IF(AND(I.Developer.P2a=TRUE,I.Facility.P2aFacilityCount&gt;=1163,F6175=""),"Incomplete","Complete")</f>
        <v>Complete</v>
      </c>
      <c r="I6175" s="48" t="s">
        <v>10540</v>
      </c>
    </row>
    <row r="6176" spans="2:9" ht="15" customHeight="1" x14ac:dyDescent="0.25">
      <c r="B6176" s="55" t="s">
        <v>280</v>
      </c>
      <c r="C6176" s="46">
        <v>1164</v>
      </c>
      <c r="D6176" s="69" t="s">
        <v>29417</v>
      </c>
      <c r="E6176" s="51"/>
      <c r="F6176" s="114" t="str">
        <f>IF(INDEX(I.Facility.P2aIDNumber,1164)="","",INDEX(I.Facility.P2aIDNumber,1164))</f>
        <v/>
      </c>
      <c r="G6176" s="51"/>
      <c r="H6176" s="46" t="str">
        <f>IF(AND(I.Developer.P2a=TRUE,I.Facility.P2aFacilityCount&gt;=1164,F6176=""),"Incomplete","Complete")</f>
        <v>Complete</v>
      </c>
      <c r="I6176" s="48" t="s">
        <v>10541</v>
      </c>
    </row>
    <row r="6177" spans="2:9" ht="15" customHeight="1" x14ac:dyDescent="0.25">
      <c r="B6177" s="55" t="s">
        <v>280</v>
      </c>
      <c r="C6177" s="46">
        <v>1165</v>
      </c>
      <c r="D6177" s="69" t="s">
        <v>29417</v>
      </c>
      <c r="E6177" s="51"/>
      <c r="F6177" s="114" t="str">
        <f>IF(INDEX(I.Facility.P2aIDNumber,1165)="","",INDEX(I.Facility.P2aIDNumber,1165))</f>
        <v/>
      </c>
      <c r="G6177" s="51"/>
      <c r="H6177" s="46" t="str">
        <f>IF(AND(I.Developer.P2a=TRUE,I.Facility.P2aFacilityCount&gt;=1165,F6177=""),"Incomplete","Complete")</f>
        <v>Complete</v>
      </c>
      <c r="I6177" s="48" t="s">
        <v>10542</v>
      </c>
    </row>
    <row r="6178" spans="2:9" ht="15" customHeight="1" x14ac:dyDescent="0.25">
      <c r="B6178" s="55" t="s">
        <v>280</v>
      </c>
      <c r="C6178" s="46">
        <v>1166</v>
      </c>
      <c r="D6178" s="69" t="s">
        <v>29417</v>
      </c>
      <c r="E6178" s="51"/>
      <c r="F6178" s="114" t="str">
        <f>IF(INDEX(I.Facility.P2aIDNumber,1166)="","",INDEX(I.Facility.P2aIDNumber,1166))</f>
        <v/>
      </c>
      <c r="G6178" s="51"/>
      <c r="H6178" s="46" t="str">
        <f>IF(AND(I.Developer.P2a=TRUE,I.Facility.P2aFacilityCount&gt;=1166,F6178=""),"Incomplete","Complete")</f>
        <v>Complete</v>
      </c>
      <c r="I6178" s="48" t="s">
        <v>10543</v>
      </c>
    </row>
    <row r="6179" spans="2:9" ht="15" customHeight="1" x14ac:dyDescent="0.25">
      <c r="B6179" s="55" t="s">
        <v>280</v>
      </c>
      <c r="C6179" s="46">
        <v>1167</v>
      </c>
      <c r="D6179" s="69" t="s">
        <v>29417</v>
      </c>
      <c r="E6179" s="51"/>
      <c r="F6179" s="114" t="str">
        <f>IF(INDEX(I.Facility.P2aIDNumber,1167)="","",INDEX(I.Facility.P2aIDNumber,1167))</f>
        <v/>
      </c>
      <c r="G6179" s="51"/>
      <c r="H6179" s="46" t="str">
        <f>IF(AND(I.Developer.P2a=TRUE,I.Facility.P2aFacilityCount&gt;=1167,F6179=""),"Incomplete","Complete")</f>
        <v>Complete</v>
      </c>
      <c r="I6179" s="48" t="s">
        <v>10544</v>
      </c>
    </row>
    <row r="6180" spans="2:9" ht="15" customHeight="1" x14ac:dyDescent="0.25">
      <c r="B6180" s="55" t="s">
        <v>280</v>
      </c>
      <c r="C6180" s="46">
        <v>1168</v>
      </c>
      <c r="D6180" s="69" t="s">
        <v>29417</v>
      </c>
      <c r="E6180" s="51"/>
      <c r="F6180" s="114" t="str">
        <f>IF(INDEX(I.Facility.P2aIDNumber,1168)="","",INDEX(I.Facility.P2aIDNumber,1168))</f>
        <v/>
      </c>
      <c r="G6180" s="51"/>
      <c r="H6180" s="46" t="str">
        <f>IF(AND(I.Developer.P2a=TRUE,I.Facility.P2aFacilityCount&gt;=1168,F6180=""),"Incomplete","Complete")</f>
        <v>Complete</v>
      </c>
      <c r="I6180" s="48" t="s">
        <v>10545</v>
      </c>
    </row>
    <row r="6181" spans="2:9" ht="15" customHeight="1" x14ac:dyDescent="0.25">
      <c r="B6181" s="55" t="s">
        <v>280</v>
      </c>
      <c r="C6181" s="46">
        <v>1169</v>
      </c>
      <c r="D6181" s="69" t="s">
        <v>29417</v>
      </c>
      <c r="E6181" s="51"/>
      <c r="F6181" s="114" t="str">
        <f>IF(INDEX(I.Facility.P2aIDNumber,1169)="","",INDEX(I.Facility.P2aIDNumber,1169))</f>
        <v/>
      </c>
      <c r="G6181" s="51"/>
      <c r="H6181" s="46" t="str">
        <f>IF(AND(I.Developer.P2a=TRUE,I.Facility.P2aFacilityCount&gt;=1169,F6181=""),"Incomplete","Complete")</f>
        <v>Complete</v>
      </c>
      <c r="I6181" s="48" t="s">
        <v>10546</v>
      </c>
    </row>
    <row r="6182" spans="2:9" ht="15" customHeight="1" x14ac:dyDescent="0.25">
      <c r="B6182" s="55" t="s">
        <v>280</v>
      </c>
      <c r="C6182" s="46">
        <v>1170</v>
      </c>
      <c r="D6182" s="69" t="s">
        <v>29417</v>
      </c>
      <c r="E6182" s="51"/>
      <c r="F6182" s="114" t="str">
        <f>IF(INDEX(I.Facility.P2aIDNumber,1170)="","",INDEX(I.Facility.P2aIDNumber,1170))</f>
        <v/>
      </c>
      <c r="G6182" s="51"/>
      <c r="H6182" s="46" t="str">
        <f>IF(AND(I.Developer.P2a=TRUE,I.Facility.P2aFacilityCount&gt;=1170,F6182=""),"Incomplete","Complete")</f>
        <v>Complete</v>
      </c>
      <c r="I6182" s="48" t="s">
        <v>10547</v>
      </c>
    </row>
    <row r="6183" spans="2:9" ht="15" customHeight="1" x14ac:dyDescent="0.25">
      <c r="B6183" s="55" t="s">
        <v>280</v>
      </c>
      <c r="C6183" s="46">
        <v>1171</v>
      </c>
      <c r="D6183" s="69" t="s">
        <v>29417</v>
      </c>
      <c r="E6183" s="51"/>
      <c r="F6183" s="114" t="str">
        <f>IF(INDEX(I.Facility.P2aIDNumber,1171)="","",INDEX(I.Facility.P2aIDNumber,1171))</f>
        <v/>
      </c>
      <c r="G6183" s="51"/>
      <c r="H6183" s="46" t="str">
        <f>IF(AND(I.Developer.P2a=TRUE,I.Facility.P2aFacilityCount&gt;=1171,F6183=""),"Incomplete","Complete")</f>
        <v>Complete</v>
      </c>
      <c r="I6183" s="48" t="s">
        <v>10548</v>
      </c>
    </row>
    <row r="6184" spans="2:9" ht="15" customHeight="1" x14ac:dyDescent="0.25">
      <c r="B6184" s="55" t="s">
        <v>280</v>
      </c>
      <c r="C6184" s="46">
        <v>1172</v>
      </c>
      <c r="D6184" s="69" t="s">
        <v>29417</v>
      </c>
      <c r="E6184" s="51"/>
      <c r="F6184" s="114" t="str">
        <f>IF(INDEX(I.Facility.P2aIDNumber,1172)="","",INDEX(I.Facility.P2aIDNumber,1172))</f>
        <v/>
      </c>
      <c r="G6184" s="51"/>
      <c r="H6184" s="46" t="str">
        <f>IF(AND(I.Developer.P2a=TRUE,I.Facility.P2aFacilityCount&gt;=1172,F6184=""),"Incomplete","Complete")</f>
        <v>Complete</v>
      </c>
      <c r="I6184" s="48" t="s">
        <v>10549</v>
      </c>
    </row>
    <row r="6185" spans="2:9" ht="15" customHeight="1" x14ac:dyDescent="0.25">
      <c r="B6185" s="55" t="s">
        <v>280</v>
      </c>
      <c r="C6185" s="46">
        <v>1173</v>
      </c>
      <c r="D6185" s="69" t="s">
        <v>29417</v>
      </c>
      <c r="E6185" s="51"/>
      <c r="F6185" s="114" t="str">
        <f>IF(INDEX(I.Facility.P2aIDNumber,1173)="","",INDEX(I.Facility.P2aIDNumber,1173))</f>
        <v/>
      </c>
      <c r="G6185" s="51"/>
      <c r="H6185" s="46" t="str">
        <f>IF(AND(I.Developer.P2a=TRUE,I.Facility.P2aFacilityCount&gt;=1173,F6185=""),"Incomplete","Complete")</f>
        <v>Complete</v>
      </c>
      <c r="I6185" s="48" t="s">
        <v>10550</v>
      </c>
    </row>
    <row r="6186" spans="2:9" ht="15" customHeight="1" x14ac:dyDescent="0.25">
      <c r="B6186" s="55" t="s">
        <v>280</v>
      </c>
      <c r="C6186" s="46">
        <v>1174</v>
      </c>
      <c r="D6186" s="69" t="s">
        <v>29417</v>
      </c>
      <c r="E6186" s="51"/>
      <c r="F6186" s="114" t="str">
        <f>IF(INDEX(I.Facility.P2aIDNumber,1174)="","",INDEX(I.Facility.P2aIDNumber,1174))</f>
        <v/>
      </c>
      <c r="G6186" s="51"/>
      <c r="H6186" s="46" t="str">
        <f>IF(AND(I.Developer.P2a=TRUE,I.Facility.P2aFacilityCount&gt;=1174,F6186=""),"Incomplete","Complete")</f>
        <v>Complete</v>
      </c>
      <c r="I6186" s="48" t="s">
        <v>10551</v>
      </c>
    </row>
    <row r="6187" spans="2:9" ht="15" customHeight="1" x14ac:dyDescent="0.25">
      <c r="B6187" s="55" t="s">
        <v>280</v>
      </c>
      <c r="C6187" s="46">
        <v>1175</v>
      </c>
      <c r="D6187" s="69" t="s">
        <v>29417</v>
      </c>
      <c r="E6187" s="51"/>
      <c r="F6187" s="114" t="str">
        <f>IF(INDEX(I.Facility.P2aIDNumber,1175)="","",INDEX(I.Facility.P2aIDNumber,1175))</f>
        <v/>
      </c>
      <c r="G6187" s="51"/>
      <c r="H6187" s="46" t="str">
        <f>IF(AND(I.Developer.P2a=TRUE,I.Facility.P2aFacilityCount&gt;=1175,F6187=""),"Incomplete","Complete")</f>
        <v>Complete</v>
      </c>
      <c r="I6187" s="48" t="s">
        <v>10552</v>
      </c>
    </row>
    <row r="6188" spans="2:9" ht="15" customHeight="1" x14ac:dyDescent="0.25">
      <c r="B6188" s="55" t="s">
        <v>280</v>
      </c>
      <c r="C6188" s="46">
        <v>1176</v>
      </c>
      <c r="D6188" s="69" t="s">
        <v>29417</v>
      </c>
      <c r="E6188" s="51"/>
      <c r="F6188" s="114" t="str">
        <f>IF(INDEX(I.Facility.P2aIDNumber,1176)="","",INDEX(I.Facility.P2aIDNumber,1176))</f>
        <v/>
      </c>
      <c r="G6188" s="51"/>
      <c r="H6188" s="46" t="str">
        <f>IF(AND(I.Developer.P2a=TRUE,I.Facility.P2aFacilityCount&gt;=1176,F6188=""),"Incomplete","Complete")</f>
        <v>Complete</v>
      </c>
      <c r="I6188" s="48" t="s">
        <v>10553</v>
      </c>
    </row>
    <row r="6189" spans="2:9" ht="15" customHeight="1" x14ac:dyDescent="0.25">
      <c r="B6189" s="55" t="s">
        <v>280</v>
      </c>
      <c r="C6189" s="46">
        <v>1177</v>
      </c>
      <c r="D6189" s="69" t="s">
        <v>29417</v>
      </c>
      <c r="E6189" s="51"/>
      <c r="F6189" s="114" t="str">
        <f>IF(INDEX(I.Facility.P2aIDNumber,1177)="","",INDEX(I.Facility.P2aIDNumber,1177))</f>
        <v/>
      </c>
      <c r="G6189" s="51"/>
      <c r="H6189" s="46" t="str">
        <f>IF(AND(I.Developer.P2a=TRUE,I.Facility.P2aFacilityCount&gt;=1177,F6189=""),"Incomplete","Complete")</f>
        <v>Complete</v>
      </c>
      <c r="I6189" s="48" t="s">
        <v>10554</v>
      </c>
    </row>
    <row r="6190" spans="2:9" ht="15" customHeight="1" x14ac:dyDescent="0.25">
      <c r="B6190" s="55" t="s">
        <v>280</v>
      </c>
      <c r="C6190" s="46">
        <v>1178</v>
      </c>
      <c r="D6190" s="69" t="s">
        <v>29417</v>
      </c>
      <c r="E6190" s="51"/>
      <c r="F6190" s="114" t="str">
        <f>IF(INDEX(I.Facility.P2aIDNumber,1178)="","",INDEX(I.Facility.P2aIDNumber,1178))</f>
        <v/>
      </c>
      <c r="G6190" s="51"/>
      <c r="H6190" s="46" t="str">
        <f>IF(AND(I.Developer.P2a=TRUE,I.Facility.P2aFacilityCount&gt;=1178,F6190=""),"Incomplete","Complete")</f>
        <v>Complete</v>
      </c>
      <c r="I6190" s="48" t="s">
        <v>10555</v>
      </c>
    </row>
    <row r="6191" spans="2:9" ht="15" customHeight="1" x14ac:dyDescent="0.25">
      <c r="B6191" s="55" t="s">
        <v>280</v>
      </c>
      <c r="C6191" s="46">
        <v>1179</v>
      </c>
      <c r="D6191" s="69" t="s">
        <v>29417</v>
      </c>
      <c r="E6191" s="51"/>
      <c r="F6191" s="114" t="str">
        <f>IF(INDEX(I.Facility.P2aIDNumber,1179)="","",INDEX(I.Facility.P2aIDNumber,1179))</f>
        <v/>
      </c>
      <c r="G6191" s="51"/>
      <c r="H6191" s="46" t="str">
        <f>IF(AND(I.Developer.P2a=TRUE,I.Facility.P2aFacilityCount&gt;=1179,F6191=""),"Incomplete","Complete")</f>
        <v>Complete</v>
      </c>
      <c r="I6191" s="48" t="s">
        <v>10556</v>
      </c>
    </row>
    <row r="6192" spans="2:9" ht="15" customHeight="1" x14ac:dyDescent="0.25">
      <c r="B6192" s="55" t="s">
        <v>280</v>
      </c>
      <c r="C6192" s="46">
        <v>1180</v>
      </c>
      <c r="D6192" s="69" t="s">
        <v>29417</v>
      </c>
      <c r="E6192" s="51"/>
      <c r="F6192" s="114" t="str">
        <f>IF(INDEX(I.Facility.P2aIDNumber,1180)="","",INDEX(I.Facility.P2aIDNumber,1180))</f>
        <v/>
      </c>
      <c r="G6192" s="51"/>
      <c r="H6192" s="46" t="str">
        <f>IF(AND(I.Developer.P2a=TRUE,I.Facility.P2aFacilityCount&gt;=1180,F6192=""),"Incomplete","Complete")</f>
        <v>Complete</v>
      </c>
      <c r="I6192" s="48" t="s">
        <v>10557</v>
      </c>
    </row>
    <row r="6193" spans="2:9" ht="15" customHeight="1" x14ac:dyDescent="0.25">
      <c r="B6193" s="55" t="s">
        <v>280</v>
      </c>
      <c r="C6193" s="46">
        <v>1181</v>
      </c>
      <c r="D6193" s="69" t="s">
        <v>29417</v>
      </c>
      <c r="E6193" s="51"/>
      <c r="F6193" s="114" t="str">
        <f>IF(INDEX(I.Facility.P2aIDNumber,1181)="","",INDEX(I.Facility.P2aIDNumber,1181))</f>
        <v/>
      </c>
      <c r="G6193" s="51"/>
      <c r="H6193" s="46" t="str">
        <f>IF(AND(I.Developer.P2a=TRUE,I.Facility.P2aFacilityCount&gt;=1181,F6193=""),"Incomplete","Complete")</f>
        <v>Complete</v>
      </c>
      <c r="I6193" s="48" t="s">
        <v>10558</v>
      </c>
    </row>
    <row r="6194" spans="2:9" ht="15" customHeight="1" x14ac:dyDescent="0.25">
      <c r="B6194" s="55" t="s">
        <v>280</v>
      </c>
      <c r="C6194" s="46">
        <v>1182</v>
      </c>
      <c r="D6194" s="69" t="s">
        <v>29417</v>
      </c>
      <c r="E6194" s="51"/>
      <c r="F6194" s="114" t="str">
        <f>IF(INDEX(I.Facility.P2aIDNumber,1182)="","",INDEX(I.Facility.P2aIDNumber,1182))</f>
        <v/>
      </c>
      <c r="G6194" s="51"/>
      <c r="H6194" s="46" t="str">
        <f>IF(AND(I.Developer.P2a=TRUE,I.Facility.P2aFacilityCount&gt;=1182,F6194=""),"Incomplete","Complete")</f>
        <v>Complete</v>
      </c>
      <c r="I6194" s="48" t="s">
        <v>10559</v>
      </c>
    </row>
    <row r="6195" spans="2:9" ht="15" customHeight="1" x14ac:dyDescent="0.25">
      <c r="B6195" s="55" t="s">
        <v>280</v>
      </c>
      <c r="C6195" s="46">
        <v>1183</v>
      </c>
      <c r="D6195" s="69" t="s">
        <v>29417</v>
      </c>
      <c r="E6195" s="51"/>
      <c r="F6195" s="114" t="str">
        <f>IF(INDEX(I.Facility.P2aIDNumber,1183)="","",INDEX(I.Facility.P2aIDNumber,1183))</f>
        <v/>
      </c>
      <c r="G6195" s="51"/>
      <c r="H6195" s="46" t="str">
        <f>IF(AND(I.Developer.P2a=TRUE,I.Facility.P2aFacilityCount&gt;=1183,F6195=""),"Incomplete","Complete")</f>
        <v>Complete</v>
      </c>
      <c r="I6195" s="48" t="s">
        <v>10560</v>
      </c>
    </row>
    <row r="6196" spans="2:9" ht="15" customHeight="1" x14ac:dyDescent="0.25">
      <c r="B6196" s="55" t="s">
        <v>280</v>
      </c>
      <c r="C6196" s="46">
        <v>1184</v>
      </c>
      <c r="D6196" s="69" t="s">
        <v>29417</v>
      </c>
      <c r="E6196" s="51"/>
      <c r="F6196" s="114" t="str">
        <f>IF(INDEX(I.Facility.P2aIDNumber,1184)="","",INDEX(I.Facility.P2aIDNumber,1184))</f>
        <v/>
      </c>
      <c r="G6196" s="51"/>
      <c r="H6196" s="46" t="str">
        <f>IF(AND(I.Developer.P2a=TRUE,I.Facility.P2aFacilityCount&gt;=1184,F6196=""),"Incomplete","Complete")</f>
        <v>Complete</v>
      </c>
      <c r="I6196" s="48" t="s">
        <v>10561</v>
      </c>
    </row>
    <row r="6197" spans="2:9" ht="15" customHeight="1" x14ac:dyDescent="0.25">
      <c r="B6197" s="55" t="s">
        <v>280</v>
      </c>
      <c r="C6197" s="46">
        <v>1185</v>
      </c>
      <c r="D6197" s="69" t="s">
        <v>29417</v>
      </c>
      <c r="E6197" s="51"/>
      <c r="F6197" s="114" t="str">
        <f>IF(INDEX(I.Facility.P2aIDNumber,1185)="","",INDEX(I.Facility.P2aIDNumber,1185))</f>
        <v/>
      </c>
      <c r="G6197" s="51"/>
      <c r="H6197" s="46" t="str">
        <f>IF(AND(I.Developer.P2a=TRUE,I.Facility.P2aFacilityCount&gt;=1185,F6197=""),"Incomplete","Complete")</f>
        <v>Complete</v>
      </c>
      <c r="I6197" s="48" t="s">
        <v>10562</v>
      </c>
    </row>
    <row r="6198" spans="2:9" ht="15" customHeight="1" x14ac:dyDescent="0.25">
      <c r="B6198" s="55" t="s">
        <v>280</v>
      </c>
      <c r="C6198" s="46">
        <v>1186</v>
      </c>
      <c r="D6198" s="69" t="s">
        <v>29417</v>
      </c>
      <c r="E6198" s="51"/>
      <c r="F6198" s="114" t="str">
        <f>IF(INDEX(I.Facility.P2aIDNumber,1186)="","",INDEX(I.Facility.P2aIDNumber,1186))</f>
        <v/>
      </c>
      <c r="G6198" s="51"/>
      <c r="H6198" s="46" t="str">
        <f>IF(AND(I.Developer.P2a=TRUE,I.Facility.P2aFacilityCount&gt;=1186,F6198=""),"Incomplete","Complete")</f>
        <v>Complete</v>
      </c>
      <c r="I6198" s="48" t="s">
        <v>10563</v>
      </c>
    </row>
    <row r="6199" spans="2:9" ht="15" customHeight="1" x14ac:dyDescent="0.25">
      <c r="B6199" s="55" t="s">
        <v>280</v>
      </c>
      <c r="C6199" s="46">
        <v>1187</v>
      </c>
      <c r="D6199" s="69" t="s">
        <v>29417</v>
      </c>
      <c r="E6199" s="51"/>
      <c r="F6199" s="114" t="str">
        <f>IF(INDEX(I.Facility.P2aIDNumber,1187)="","",INDEX(I.Facility.P2aIDNumber,1187))</f>
        <v/>
      </c>
      <c r="G6199" s="51"/>
      <c r="H6199" s="46" t="str">
        <f>IF(AND(I.Developer.P2a=TRUE,I.Facility.P2aFacilityCount&gt;=1187,F6199=""),"Incomplete","Complete")</f>
        <v>Complete</v>
      </c>
      <c r="I6199" s="48" t="s">
        <v>10564</v>
      </c>
    </row>
    <row r="6200" spans="2:9" ht="15" customHeight="1" x14ac:dyDescent="0.25">
      <c r="B6200" s="55" t="s">
        <v>280</v>
      </c>
      <c r="C6200" s="46">
        <v>1188</v>
      </c>
      <c r="D6200" s="69" t="s">
        <v>29417</v>
      </c>
      <c r="E6200" s="51"/>
      <c r="F6200" s="114" t="str">
        <f>IF(INDEX(I.Facility.P2aIDNumber,1188)="","",INDEX(I.Facility.P2aIDNumber,1188))</f>
        <v/>
      </c>
      <c r="G6200" s="51"/>
      <c r="H6200" s="46" t="str">
        <f>IF(AND(I.Developer.P2a=TRUE,I.Facility.P2aFacilityCount&gt;=1188,F6200=""),"Incomplete","Complete")</f>
        <v>Complete</v>
      </c>
      <c r="I6200" s="48" t="s">
        <v>10565</v>
      </c>
    </row>
    <row r="6201" spans="2:9" ht="15" customHeight="1" x14ac:dyDescent="0.25">
      <c r="B6201" s="55" t="s">
        <v>280</v>
      </c>
      <c r="C6201" s="46">
        <v>1189</v>
      </c>
      <c r="D6201" s="69" t="s">
        <v>29417</v>
      </c>
      <c r="E6201" s="51"/>
      <c r="F6201" s="114" t="str">
        <f>IF(INDEX(I.Facility.P2aIDNumber,1189)="","",INDEX(I.Facility.P2aIDNumber,1189))</f>
        <v/>
      </c>
      <c r="G6201" s="51"/>
      <c r="H6201" s="46" t="str">
        <f>IF(AND(I.Developer.P2a=TRUE,I.Facility.P2aFacilityCount&gt;=1189,F6201=""),"Incomplete","Complete")</f>
        <v>Complete</v>
      </c>
      <c r="I6201" s="48" t="s">
        <v>10566</v>
      </c>
    </row>
    <row r="6202" spans="2:9" ht="15" customHeight="1" x14ac:dyDescent="0.25">
      <c r="B6202" s="55" t="s">
        <v>280</v>
      </c>
      <c r="C6202" s="46">
        <v>1190</v>
      </c>
      <c r="D6202" s="69" t="s">
        <v>29417</v>
      </c>
      <c r="E6202" s="51"/>
      <c r="F6202" s="114" t="str">
        <f>IF(INDEX(I.Facility.P2aIDNumber,1190)="","",INDEX(I.Facility.P2aIDNumber,1190))</f>
        <v/>
      </c>
      <c r="G6202" s="51"/>
      <c r="H6202" s="46" t="str">
        <f>IF(AND(I.Developer.P2a=TRUE,I.Facility.P2aFacilityCount&gt;=1190,F6202=""),"Incomplete","Complete")</f>
        <v>Complete</v>
      </c>
      <c r="I6202" s="48" t="s">
        <v>10567</v>
      </c>
    </row>
    <row r="6203" spans="2:9" ht="15" customHeight="1" x14ac:dyDescent="0.25">
      <c r="B6203" s="55" t="s">
        <v>280</v>
      </c>
      <c r="C6203" s="46">
        <v>1191</v>
      </c>
      <c r="D6203" s="69" t="s">
        <v>29417</v>
      </c>
      <c r="E6203" s="51"/>
      <c r="F6203" s="114" t="str">
        <f>IF(INDEX(I.Facility.P2aIDNumber,1191)="","",INDEX(I.Facility.P2aIDNumber,1191))</f>
        <v/>
      </c>
      <c r="G6203" s="51"/>
      <c r="H6203" s="46" t="str">
        <f>IF(AND(I.Developer.P2a=TRUE,I.Facility.P2aFacilityCount&gt;=1191,F6203=""),"Incomplete","Complete")</f>
        <v>Complete</v>
      </c>
      <c r="I6203" s="48" t="s">
        <v>10568</v>
      </c>
    </row>
    <row r="6204" spans="2:9" ht="15" customHeight="1" x14ac:dyDescent="0.25">
      <c r="B6204" s="55" t="s">
        <v>280</v>
      </c>
      <c r="C6204" s="46">
        <v>1192</v>
      </c>
      <c r="D6204" s="69" t="s">
        <v>29417</v>
      </c>
      <c r="E6204" s="51"/>
      <c r="F6204" s="114" t="str">
        <f>IF(INDEX(I.Facility.P2aIDNumber,1192)="","",INDEX(I.Facility.P2aIDNumber,1192))</f>
        <v/>
      </c>
      <c r="G6204" s="51"/>
      <c r="H6204" s="46" t="str">
        <f>IF(AND(I.Developer.P2a=TRUE,I.Facility.P2aFacilityCount&gt;=1192,F6204=""),"Incomplete","Complete")</f>
        <v>Complete</v>
      </c>
      <c r="I6204" s="48" t="s">
        <v>10569</v>
      </c>
    </row>
    <row r="6205" spans="2:9" ht="15" customHeight="1" x14ac:dyDescent="0.25">
      <c r="B6205" s="55" t="s">
        <v>280</v>
      </c>
      <c r="C6205" s="46">
        <v>1193</v>
      </c>
      <c r="D6205" s="69" t="s">
        <v>29417</v>
      </c>
      <c r="E6205" s="51"/>
      <c r="F6205" s="114" t="str">
        <f>IF(INDEX(I.Facility.P2aIDNumber,1193)="","",INDEX(I.Facility.P2aIDNumber,1193))</f>
        <v/>
      </c>
      <c r="G6205" s="51"/>
      <c r="H6205" s="46" t="str">
        <f>IF(AND(I.Developer.P2a=TRUE,I.Facility.P2aFacilityCount&gt;=1193,F6205=""),"Incomplete","Complete")</f>
        <v>Complete</v>
      </c>
      <c r="I6205" s="48" t="s">
        <v>10570</v>
      </c>
    </row>
    <row r="6206" spans="2:9" ht="15" customHeight="1" x14ac:dyDescent="0.25">
      <c r="B6206" s="55" t="s">
        <v>280</v>
      </c>
      <c r="C6206" s="46">
        <v>1194</v>
      </c>
      <c r="D6206" s="69" t="s">
        <v>29417</v>
      </c>
      <c r="E6206" s="51"/>
      <c r="F6206" s="114" t="str">
        <f>IF(INDEX(I.Facility.P2aIDNumber,1194)="","",INDEX(I.Facility.P2aIDNumber,1194))</f>
        <v/>
      </c>
      <c r="G6206" s="51"/>
      <c r="H6206" s="46" t="str">
        <f>IF(AND(I.Developer.P2a=TRUE,I.Facility.P2aFacilityCount&gt;=1194,F6206=""),"Incomplete","Complete")</f>
        <v>Complete</v>
      </c>
      <c r="I6206" s="48" t="s">
        <v>10571</v>
      </c>
    </row>
    <row r="6207" spans="2:9" ht="15" customHeight="1" x14ac:dyDescent="0.25">
      <c r="B6207" s="55" t="s">
        <v>280</v>
      </c>
      <c r="C6207" s="46">
        <v>1195</v>
      </c>
      <c r="D6207" s="69" t="s">
        <v>29417</v>
      </c>
      <c r="E6207" s="51"/>
      <c r="F6207" s="114" t="str">
        <f>IF(INDEX(I.Facility.P2aIDNumber,1195)="","",INDEX(I.Facility.P2aIDNumber,1195))</f>
        <v/>
      </c>
      <c r="G6207" s="51"/>
      <c r="H6207" s="46" t="str">
        <f>IF(AND(I.Developer.P2a=TRUE,I.Facility.P2aFacilityCount&gt;=1195,F6207=""),"Incomplete","Complete")</f>
        <v>Complete</v>
      </c>
      <c r="I6207" s="48" t="s">
        <v>10572</v>
      </c>
    </row>
    <row r="6208" spans="2:9" ht="15" customHeight="1" x14ac:dyDescent="0.25">
      <c r="B6208" s="55" t="s">
        <v>280</v>
      </c>
      <c r="C6208" s="46">
        <v>1196</v>
      </c>
      <c r="D6208" s="69" t="s">
        <v>29417</v>
      </c>
      <c r="E6208" s="51"/>
      <c r="F6208" s="114" t="str">
        <f>IF(INDEX(I.Facility.P2aIDNumber,1196)="","",INDEX(I.Facility.P2aIDNumber,1196))</f>
        <v/>
      </c>
      <c r="G6208" s="51"/>
      <c r="H6208" s="46" t="str">
        <f>IF(AND(I.Developer.P2a=TRUE,I.Facility.P2aFacilityCount&gt;=1196,F6208=""),"Incomplete","Complete")</f>
        <v>Complete</v>
      </c>
      <c r="I6208" s="48" t="s">
        <v>10573</v>
      </c>
    </row>
    <row r="6209" spans="2:9" ht="15" customHeight="1" x14ac:dyDescent="0.25">
      <c r="B6209" s="55" t="s">
        <v>280</v>
      </c>
      <c r="C6209" s="46">
        <v>1197</v>
      </c>
      <c r="D6209" s="69" t="s">
        <v>29417</v>
      </c>
      <c r="E6209" s="51"/>
      <c r="F6209" s="114" t="str">
        <f>IF(INDEX(I.Facility.P2aIDNumber,1197)="","",INDEX(I.Facility.P2aIDNumber,1197))</f>
        <v/>
      </c>
      <c r="G6209" s="51"/>
      <c r="H6209" s="46" t="str">
        <f>IF(AND(I.Developer.P2a=TRUE,I.Facility.P2aFacilityCount&gt;=1197,F6209=""),"Incomplete","Complete")</f>
        <v>Complete</v>
      </c>
      <c r="I6209" s="48" t="s">
        <v>10574</v>
      </c>
    </row>
    <row r="6210" spans="2:9" ht="15" customHeight="1" x14ac:dyDescent="0.25">
      <c r="B6210" s="55" t="s">
        <v>280</v>
      </c>
      <c r="C6210" s="46">
        <v>1198</v>
      </c>
      <c r="D6210" s="69" t="s">
        <v>29417</v>
      </c>
      <c r="E6210" s="51"/>
      <c r="F6210" s="114" t="str">
        <f>IF(INDEX(I.Facility.P2aIDNumber,1198)="","",INDEX(I.Facility.P2aIDNumber,1198))</f>
        <v/>
      </c>
      <c r="G6210" s="51"/>
      <c r="H6210" s="46" t="str">
        <f>IF(AND(I.Developer.P2a=TRUE,I.Facility.P2aFacilityCount&gt;=1198,F6210=""),"Incomplete","Complete")</f>
        <v>Complete</v>
      </c>
      <c r="I6210" s="48" t="s">
        <v>10575</v>
      </c>
    </row>
    <row r="6211" spans="2:9" ht="15" customHeight="1" x14ac:dyDescent="0.25">
      <c r="B6211" s="55" t="s">
        <v>280</v>
      </c>
      <c r="C6211" s="46">
        <v>1199</v>
      </c>
      <c r="D6211" s="69" t="s">
        <v>29417</v>
      </c>
      <c r="E6211" s="51"/>
      <c r="F6211" s="114" t="str">
        <f>IF(INDEX(I.Facility.P2aIDNumber,1199)="","",INDEX(I.Facility.P2aIDNumber,1199))</f>
        <v/>
      </c>
      <c r="G6211" s="51"/>
      <c r="H6211" s="46" t="str">
        <f>IF(AND(I.Developer.P2a=TRUE,I.Facility.P2aFacilityCount&gt;=1199,F6211=""),"Incomplete","Complete")</f>
        <v>Complete</v>
      </c>
      <c r="I6211" s="48" t="s">
        <v>10576</v>
      </c>
    </row>
    <row r="6212" spans="2:9" ht="15" customHeight="1" x14ac:dyDescent="0.25">
      <c r="B6212" s="55" t="s">
        <v>280</v>
      </c>
      <c r="C6212" s="46">
        <v>1200</v>
      </c>
      <c r="D6212" s="69" t="s">
        <v>29417</v>
      </c>
      <c r="E6212" s="51"/>
      <c r="F6212" s="114" t="str">
        <f>IF(INDEX(I.Facility.P2aIDNumber,1200)="","",INDEX(I.Facility.P2aIDNumber,1200))</f>
        <v/>
      </c>
      <c r="G6212" s="51"/>
      <c r="H6212" s="46" t="str">
        <f>IF(AND(I.Developer.P2a=TRUE,I.Facility.P2aFacilityCount&gt;=1200,F6212=""),"Incomplete","Complete")</f>
        <v>Complete</v>
      </c>
      <c r="I6212" s="48" t="s">
        <v>10577</v>
      </c>
    </row>
    <row r="6213" spans="2:9" ht="15" customHeight="1" x14ac:dyDescent="0.25">
      <c r="B6213" s="55" t="s">
        <v>280</v>
      </c>
      <c r="C6213" s="46">
        <v>1201</v>
      </c>
      <c r="D6213" s="69" t="s">
        <v>29417</v>
      </c>
      <c r="E6213" s="51"/>
      <c r="F6213" s="114" t="str">
        <f>IF(INDEX(I.Facility.P2aIDNumber,1201)="","",INDEX(I.Facility.P2aIDNumber,1201))</f>
        <v/>
      </c>
      <c r="G6213" s="51"/>
      <c r="H6213" s="46" t="str">
        <f>IF(AND(I.Developer.P2a=TRUE,I.Facility.P2aFacilityCount&gt;=1201,F6213=""),"Incomplete","Complete")</f>
        <v>Complete</v>
      </c>
      <c r="I6213" s="48" t="s">
        <v>10578</v>
      </c>
    </row>
    <row r="6214" spans="2:9" ht="15" customHeight="1" x14ac:dyDescent="0.25">
      <c r="B6214" s="55" t="s">
        <v>280</v>
      </c>
      <c r="C6214" s="46">
        <v>1202</v>
      </c>
      <c r="D6214" s="69" t="s">
        <v>29417</v>
      </c>
      <c r="E6214" s="51"/>
      <c r="F6214" s="114" t="str">
        <f>IF(INDEX(I.Facility.P2aIDNumber,1202)="","",INDEX(I.Facility.P2aIDNumber,1202))</f>
        <v/>
      </c>
      <c r="G6214" s="51"/>
      <c r="H6214" s="46" t="str">
        <f>IF(AND(I.Developer.P2a=TRUE,I.Facility.P2aFacilityCount&gt;=1202,F6214=""),"Incomplete","Complete")</f>
        <v>Complete</v>
      </c>
      <c r="I6214" s="48" t="s">
        <v>10579</v>
      </c>
    </row>
    <row r="6215" spans="2:9" ht="15" customHeight="1" x14ac:dyDescent="0.25">
      <c r="B6215" s="55" t="s">
        <v>280</v>
      </c>
      <c r="C6215" s="46">
        <v>1203</v>
      </c>
      <c r="D6215" s="69" t="s">
        <v>29417</v>
      </c>
      <c r="E6215" s="51"/>
      <c r="F6215" s="114" t="str">
        <f>IF(INDEX(I.Facility.P2aIDNumber,1203)="","",INDEX(I.Facility.P2aIDNumber,1203))</f>
        <v/>
      </c>
      <c r="G6215" s="51"/>
      <c r="H6215" s="46" t="str">
        <f>IF(AND(I.Developer.P2a=TRUE,I.Facility.P2aFacilityCount&gt;=1203,F6215=""),"Incomplete","Complete")</f>
        <v>Complete</v>
      </c>
      <c r="I6215" s="48" t="s">
        <v>10580</v>
      </c>
    </row>
    <row r="6216" spans="2:9" ht="15" customHeight="1" x14ac:dyDescent="0.25">
      <c r="B6216" s="55" t="s">
        <v>280</v>
      </c>
      <c r="C6216" s="46">
        <v>1204</v>
      </c>
      <c r="D6216" s="69" t="s">
        <v>29417</v>
      </c>
      <c r="E6216" s="51"/>
      <c r="F6216" s="114" t="str">
        <f>IF(INDEX(I.Facility.P2aIDNumber,1204)="","",INDEX(I.Facility.P2aIDNumber,1204))</f>
        <v/>
      </c>
      <c r="G6216" s="51"/>
      <c r="H6216" s="46" t="str">
        <f>IF(AND(I.Developer.P2a=TRUE,I.Facility.P2aFacilityCount&gt;=1204,F6216=""),"Incomplete","Complete")</f>
        <v>Complete</v>
      </c>
      <c r="I6216" s="48" t="s">
        <v>10581</v>
      </c>
    </row>
    <row r="6217" spans="2:9" ht="15" customHeight="1" x14ac:dyDescent="0.25">
      <c r="B6217" s="55" t="s">
        <v>280</v>
      </c>
      <c r="C6217" s="46">
        <v>1205</v>
      </c>
      <c r="D6217" s="69" t="s">
        <v>29417</v>
      </c>
      <c r="E6217" s="51"/>
      <c r="F6217" s="114" t="str">
        <f>IF(INDEX(I.Facility.P2aIDNumber,1205)="","",INDEX(I.Facility.P2aIDNumber,1205))</f>
        <v/>
      </c>
      <c r="G6217" s="51"/>
      <c r="H6217" s="46" t="str">
        <f>IF(AND(I.Developer.P2a=TRUE,I.Facility.P2aFacilityCount&gt;=1205,F6217=""),"Incomplete","Complete")</f>
        <v>Complete</v>
      </c>
      <c r="I6217" s="48" t="s">
        <v>10582</v>
      </c>
    </row>
    <row r="6218" spans="2:9" ht="15" customHeight="1" x14ac:dyDescent="0.25">
      <c r="B6218" s="55" t="s">
        <v>280</v>
      </c>
      <c r="C6218" s="46">
        <v>1206</v>
      </c>
      <c r="D6218" s="69" t="s">
        <v>29417</v>
      </c>
      <c r="E6218" s="51"/>
      <c r="F6218" s="114" t="str">
        <f>IF(INDEX(I.Facility.P2aIDNumber,1206)="","",INDEX(I.Facility.P2aIDNumber,1206))</f>
        <v/>
      </c>
      <c r="G6218" s="51"/>
      <c r="H6218" s="46" t="str">
        <f>IF(AND(I.Developer.P2a=TRUE,I.Facility.P2aFacilityCount&gt;=1206,F6218=""),"Incomplete","Complete")</f>
        <v>Complete</v>
      </c>
      <c r="I6218" s="48" t="s">
        <v>10583</v>
      </c>
    </row>
    <row r="6219" spans="2:9" ht="15" customHeight="1" x14ac:dyDescent="0.25">
      <c r="B6219" s="55" t="s">
        <v>280</v>
      </c>
      <c r="C6219" s="46">
        <v>1207</v>
      </c>
      <c r="D6219" s="69" t="s">
        <v>29417</v>
      </c>
      <c r="E6219" s="51"/>
      <c r="F6219" s="114" t="str">
        <f>IF(INDEX(I.Facility.P2aIDNumber,1207)="","",INDEX(I.Facility.P2aIDNumber,1207))</f>
        <v/>
      </c>
      <c r="G6219" s="51"/>
      <c r="H6219" s="46" t="str">
        <f>IF(AND(I.Developer.P2a=TRUE,I.Facility.P2aFacilityCount&gt;=1207,F6219=""),"Incomplete","Complete")</f>
        <v>Complete</v>
      </c>
      <c r="I6219" s="48" t="s">
        <v>10584</v>
      </c>
    </row>
    <row r="6220" spans="2:9" ht="15" customHeight="1" x14ac:dyDescent="0.25">
      <c r="B6220" s="55" t="s">
        <v>280</v>
      </c>
      <c r="C6220" s="46">
        <v>1208</v>
      </c>
      <c r="D6220" s="69" t="s">
        <v>29417</v>
      </c>
      <c r="E6220" s="51"/>
      <c r="F6220" s="114" t="str">
        <f>IF(INDEX(I.Facility.P2aIDNumber,1208)="","",INDEX(I.Facility.P2aIDNumber,1208))</f>
        <v/>
      </c>
      <c r="G6220" s="51"/>
      <c r="H6220" s="46" t="str">
        <f>IF(AND(I.Developer.P2a=TRUE,I.Facility.P2aFacilityCount&gt;=1208,F6220=""),"Incomplete","Complete")</f>
        <v>Complete</v>
      </c>
      <c r="I6220" s="48" t="s">
        <v>10585</v>
      </c>
    </row>
    <row r="6221" spans="2:9" ht="15" customHeight="1" x14ac:dyDescent="0.25">
      <c r="B6221" s="55" t="s">
        <v>280</v>
      </c>
      <c r="C6221" s="46">
        <v>1209</v>
      </c>
      <c r="D6221" s="69" t="s">
        <v>29417</v>
      </c>
      <c r="E6221" s="51"/>
      <c r="F6221" s="114" t="str">
        <f>IF(INDEX(I.Facility.P2aIDNumber,1209)="","",INDEX(I.Facility.P2aIDNumber,1209))</f>
        <v/>
      </c>
      <c r="G6221" s="51"/>
      <c r="H6221" s="46" t="str">
        <f>IF(AND(I.Developer.P2a=TRUE,I.Facility.P2aFacilityCount&gt;=1209,F6221=""),"Incomplete","Complete")</f>
        <v>Complete</v>
      </c>
      <c r="I6221" s="48" t="s">
        <v>10586</v>
      </c>
    </row>
    <row r="6222" spans="2:9" ht="15" customHeight="1" x14ac:dyDescent="0.25">
      <c r="B6222" s="55" t="s">
        <v>280</v>
      </c>
      <c r="C6222" s="46">
        <v>1210</v>
      </c>
      <c r="D6222" s="69" t="s">
        <v>29417</v>
      </c>
      <c r="E6222" s="51"/>
      <c r="F6222" s="114" t="str">
        <f>IF(INDEX(I.Facility.P2aIDNumber,1210)="","",INDEX(I.Facility.P2aIDNumber,1210))</f>
        <v/>
      </c>
      <c r="G6222" s="51"/>
      <c r="H6222" s="46" t="str">
        <f>IF(AND(I.Developer.P2a=TRUE,I.Facility.P2aFacilityCount&gt;=1210,F6222=""),"Incomplete","Complete")</f>
        <v>Complete</v>
      </c>
      <c r="I6222" s="48" t="s">
        <v>10587</v>
      </c>
    </row>
    <row r="6223" spans="2:9" ht="15" customHeight="1" x14ac:dyDescent="0.25">
      <c r="B6223" s="55" t="s">
        <v>280</v>
      </c>
      <c r="C6223" s="46">
        <v>1211</v>
      </c>
      <c r="D6223" s="69" t="s">
        <v>29417</v>
      </c>
      <c r="E6223" s="51"/>
      <c r="F6223" s="114" t="str">
        <f>IF(INDEX(I.Facility.P2aIDNumber,1211)="","",INDEX(I.Facility.P2aIDNumber,1211))</f>
        <v/>
      </c>
      <c r="G6223" s="51"/>
      <c r="H6223" s="46" t="str">
        <f>IF(AND(I.Developer.P2a=TRUE,I.Facility.P2aFacilityCount&gt;=1211,F6223=""),"Incomplete","Complete")</f>
        <v>Complete</v>
      </c>
      <c r="I6223" s="48" t="s">
        <v>10588</v>
      </c>
    </row>
    <row r="6224" spans="2:9" ht="15" customHeight="1" x14ac:dyDescent="0.25">
      <c r="B6224" s="55" t="s">
        <v>280</v>
      </c>
      <c r="C6224" s="46">
        <v>1212</v>
      </c>
      <c r="D6224" s="69" t="s">
        <v>29417</v>
      </c>
      <c r="E6224" s="51"/>
      <c r="F6224" s="114" t="str">
        <f>IF(INDEX(I.Facility.P2aIDNumber,1212)="","",INDEX(I.Facility.P2aIDNumber,1212))</f>
        <v/>
      </c>
      <c r="G6224" s="51"/>
      <c r="H6224" s="46" t="str">
        <f>IF(AND(I.Developer.P2a=TRUE,I.Facility.P2aFacilityCount&gt;=1212,F6224=""),"Incomplete","Complete")</f>
        <v>Complete</v>
      </c>
      <c r="I6224" s="48" t="s">
        <v>10589</v>
      </c>
    </row>
    <row r="6225" spans="2:9" ht="15" customHeight="1" x14ac:dyDescent="0.25">
      <c r="B6225" s="55" t="s">
        <v>280</v>
      </c>
      <c r="C6225" s="46">
        <v>1213</v>
      </c>
      <c r="D6225" s="69" t="s">
        <v>29417</v>
      </c>
      <c r="E6225" s="51"/>
      <c r="F6225" s="114" t="str">
        <f>IF(INDEX(I.Facility.P2aIDNumber,1213)="","",INDEX(I.Facility.P2aIDNumber,1213))</f>
        <v/>
      </c>
      <c r="G6225" s="51"/>
      <c r="H6225" s="46" t="str">
        <f>IF(AND(I.Developer.P2a=TRUE,I.Facility.P2aFacilityCount&gt;=1213,F6225=""),"Incomplete","Complete")</f>
        <v>Complete</v>
      </c>
      <c r="I6225" s="48" t="s">
        <v>10590</v>
      </c>
    </row>
    <row r="6226" spans="2:9" ht="15" customHeight="1" x14ac:dyDescent="0.25">
      <c r="B6226" s="55" t="s">
        <v>280</v>
      </c>
      <c r="C6226" s="46">
        <v>1214</v>
      </c>
      <c r="D6226" s="69" t="s">
        <v>29417</v>
      </c>
      <c r="E6226" s="51"/>
      <c r="F6226" s="114" t="str">
        <f>IF(INDEX(I.Facility.P2aIDNumber,1214)="","",INDEX(I.Facility.P2aIDNumber,1214))</f>
        <v/>
      </c>
      <c r="G6226" s="51"/>
      <c r="H6226" s="46" t="str">
        <f>IF(AND(I.Developer.P2a=TRUE,I.Facility.P2aFacilityCount&gt;=1214,F6226=""),"Incomplete","Complete")</f>
        <v>Complete</v>
      </c>
      <c r="I6226" s="48" t="s">
        <v>10591</v>
      </c>
    </row>
    <row r="6227" spans="2:9" ht="15" customHeight="1" x14ac:dyDescent="0.25">
      <c r="B6227" s="55" t="s">
        <v>280</v>
      </c>
      <c r="C6227" s="46">
        <v>1215</v>
      </c>
      <c r="D6227" s="69" t="s">
        <v>29417</v>
      </c>
      <c r="E6227" s="51"/>
      <c r="F6227" s="114" t="str">
        <f>IF(INDEX(I.Facility.P2aIDNumber,1215)="","",INDEX(I.Facility.P2aIDNumber,1215))</f>
        <v/>
      </c>
      <c r="G6227" s="51"/>
      <c r="H6227" s="46" t="str">
        <f>IF(AND(I.Developer.P2a=TRUE,I.Facility.P2aFacilityCount&gt;=1215,F6227=""),"Incomplete","Complete")</f>
        <v>Complete</v>
      </c>
      <c r="I6227" s="48" t="s">
        <v>10592</v>
      </c>
    </row>
    <row r="6228" spans="2:9" ht="15" customHeight="1" x14ac:dyDescent="0.25">
      <c r="B6228" s="55" t="s">
        <v>280</v>
      </c>
      <c r="C6228" s="46">
        <v>1216</v>
      </c>
      <c r="D6228" s="69" t="s">
        <v>29417</v>
      </c>
      <c r="E6228" s="51"/>
      <c r="F6228" s="114" t="str">
        <f>IF(INDEX(I.Facility.P2aIDNumber,1216)="","",INDEX(I.Facility.P2aIDNumber,1216))</f>
        <v/>
      </c>
      <c r="G6228" s="51"/>
      <c r="H6228" s="46" t="str">
        <f>IF(AND(I.Developer.P2a=TRUE,I.Facility.P2aFacilityCount&gt;=1216,F6228=""),"Incomplete","Complete")</f>
        <v>Complete</v>
      </c>
      <c r="I6228" s="48" t="s">
        <v>10593</v>
      </c>
    </row>
    <row r="6229" spans="2:9" ht="15" customHeight="1" x14ac:dyDescent="0.25">
      <c r="B6229" s="55" t="s">
        <v>280</v>
      </c>
      <c r="C6229" s="46">
        <v>1217</v>
      </c>
      <c r="D6229" s="69" t="s">
        <v>29417</v>
      </c>
      <c r="E6229" s="51"/>
      <c r="F6229" s="114" t="str">
        <f>IF(INDEX(I.Facility.P2aIDNumber,1217)="","",INDEX(I.Facility.P2aIDNumber,1217))</f>
        <v/>
      </c>
      <c r="G6229" s="51"/>
      <c r="H6229" s="46" t="str">
        <f>IF(AND(I.Developer.P2a=TRUE,I.Facility.P2aFacilityCount&gt;=1217,F6229=""),"Incomplete","Complete")</f>
        <v>Complete</v>
      </c>
      <c r="I6229" s="48" t="s">
        <v>10594</v>
      </c>
    </row>
    <row r="6230" spans="2:9" ht="15" customHeight="1" x14ac:dyDescent="0.25">
      <c r="B6230" s="55" t="s">
        <v>280</v>
      </c>
      <c r="C6230" s="46">
        <v>1218</v>
      </c>
      <c r="D6230" s="69" t="s">
        <v>29417</v>
      </c>
      <c r="E6230" s="51"/>
      <c r="F6230" s="114" t="str">
        <f>IF(INDEX(I.Facility.P2aIDNumber,1218)="","",INDEX(I.Facility.P2aIDNumber,1218))</f>
        <v/>
      </c>
      <c r="G6230" s="51"/>
      <c r="H6230" s="46" t="str">
        <f>IF(AND(I.Developer.P2a=TRUE,I.Facility.P2aFacilityCount&gt;=1218,F6230=""),"Incomplete","Complete")</f>
        <v>Complete</v>
      </c>
      <c r="I6230" s="48" t="s">
        <v>10595</v>
      </c>
    </row>
    <row r="6231" spans="2:9" ht="15" customHeight="1" x14ac:dyDescent="0.25">
      <c r="B6231" s="55" t="s">
        <v>280</v>
      </c>
      <c r="C6231" s="46">
        <v>1219</v>
      </c>
      <c r="D6231" s="69" t="s">
        <v>29417</v>
      </c>
      <c r="E6231" s="51"/>
      <c r="F6231" s="114" t="str">
        <f>IF(INDEX(I.Facility.P2aIDNumber,1219)="","",INDEX(I.Facility.P2aIDNumber,1219))</f>
        <v/>
      </c>
      <c r="G6231" s="51"/>
      <c r="H6231" s="46" t="str">
        <f>IF(AND(I.Developer.P2a=TRUE,I.Facility.P2aFacilityCount&gt;=1219,F6231=""),"Incomplete","Complete")</f>
        <v>Complete</v>
      </c>
      <c r="I6231" s="48" t="s">
        <v>10596</v>
      </c>
    </row>
    <row r="6232" spans="2:9" ht="15" customHeight="1" x14ac:dyDescent="0.25">
      <c r="B6232" s="55" t="s">
        <v>280</v>
      </c>
      <c r="C6232" s="46">
        <v>1220</v>
      </c>
      <c r="D6232" s="69" t="s">
        <v>29417</v>
      </c>
      <c r="E6232" s="51"/>
      <c r="F6232" s="114" t="str">
        <f>IF(INDEX(I.Facility.P2aIDNumber,1220)="","",INDEX(I.Facility.P2aIDNumber,1220))</f>
        <v/>
      </c>
      <c r="G6232" s="51"/>
      <c r="H6232" s="46" t="str">
        <f>IF(AND(I.Developer.P2a=TRUE,I.Facility.P2aFacilityCount&gt;=1220,F6232=""),"Incomplete","Complete")</f>
        <v>Complete</v>
      </c>
      <c r="I6232" s="48" t="s">
        <v>10597</v>
      </c>
    </row>
    <row r="6233" spans="2:9" ht="15" customHeight="1" x14ac:dyDescent="0.25">
      <c r="B6233" s="55" t="s">
        <v>280</v>
      </c>
      <c r="C6233" s="46">
        <v>1221</v>
      </c>
      <c r="D6233" s="69" t="s">
        <v>29417</v>
      </c>
      <c r="E6233" s="51"/>
      <c r="F6233" s="114" t="str">
        <f>IF(INDEX(I.Facility.P2aIDNumber,1221)="","",INDEX(I.Facility.P2aIDNumber,1221))</f>
        <v/>
      </c>
      <c r="G6233" s="51"/>
      <c r="H6233" s="46" t="str">
        <f>IF(AND(I.Developer.P2a=TRUE,I.Facility.P2aFacilityCount&gt;=1221,F6233=""),"Incomplete","Complete")</f>
        <v>Complete</v>
      </c>
      <c r="I6233" s="48" t="s">
        <v>10598</v>
      </c>
    </row>
    <row r="6234" spans="2:9" ht="15" customHeight="1" x14ac:dyDescent="0.25">
      <c r="B6234" s="55" t="s">
        <v>280</v>
      </c>
      <c r="C6234" s="46">
        <v>1222</v>
      </c>
      <c r="D6234" s="69" t="s">
        <v>29417</v>
      </c>
      <c r="E6234" s="51"/>
      <c r="F6234" s="114" t="str">
        <f>IF(INDEX(I.Facility.P2aIDNumber,1222)="","",INDEX(I.Facility.P2aIDNumber,1222))</f>
        <v/>
      </c>
      <c r="G6234" s="51"/>
      <c r="H6234" s="46" t="str">
        <f>IF(AND(I.Developer.P2a=TRUE,I.Facility.P2aFacilityCount&gt;=1222,F6234=""),"Incomplete","Complete")</f>
        <v>Complete</v>
      </c>
      <c r="I6234" s="48" t="s">
        <v>10599</v>
      </c>
    </row>
    <row r="6235" spans="2:9" ht="15" customHeight="1" x14ac:dyDescent="0.25">
      <c r="B6235" s="55" t="s">
        <v>280</v>
      </c>
      <c r="C6235" s="46">
        <v>1223</v>
      </c>
      <c r="D6235" s="69" t="s">
        <v>29417</v>
      </c>
      <c r="E6235" s="51"/>
      <c r="F6235" s="114" t="str">
        <f>IF(INDEX(I.Facility.P2aIDNumber,1223)="","",INDEX(I.Facility.P2aIDNumber,1223))</f>
        <v/>
      </c>
      <c r="G6235" s="51"/>
      <c r="H6235" s="46" t="str">
        <f>IF(AND(I.Developer.P2a=TRUE,I.Facility.P2aFacilityCount&gt;=1223,F6235=""),"Incomplete","Complete")</f>
        <v>Complete</v>
      </c>
      <c r="I6235" s="48" t="s">
        <v>10600</v>
      </c>
    </row>
    <row r="6236" spans="2:9" ht="15" customHeight="1" x14ac:dyDescent="0.25">
      <c r="B6236" s="55" t="s">
        <v>280</v>
      </c>
      <c r="C6236" s="46">
        <v>1224</v>
      </c>
      <c r="D6236" s="69" t="s">
        <v>29417</v>
      </c>
      <c r="E6236" s="51"/>
      <c r="F6236" s="114" t="str">
        <f>IF(INDEX(I.Facility.P2aIDNumber,1224)="","",INDEX(I.Facility.P2aIDNumber,1224))</f>
        <v/>
      </c>
      <c r="G6236" s="51"/>
      <c r="H6236" s="46" t="str">
        <f>IF(AND(I.Developer.P2a=TRUE,I.Facility.P2aFacilityCount&gt;=1224,F6236=""),"Incomplete","Complete")</f>
        <v>Complete</v>
      </c>
      <c r="I6236" s="48" t="s">
        <v>10601</v>
      </c>
    </row>
    <row r="6237" spans="2:9" ht="15" customHeight="1" x14ac:dyDescent="0.25">
      <c r="B6237" s="55" t="s">
        <v>280</v>
      </c>
      <c r="C6237" s="46">
        <v>1225</v>
      </c>
      <c r="D6237" s="69" t="s">
        <v>29417</v>
      </c>
      <c r="E6237" s="51"/>
      <c r="F6237" s="114" t="str">
        <f>IF(INDEX(I.Facility.P2aIDNumber,1225)="","",INDEX(I.Facility.P2aIDNumber,1225))</f>
        <v/>
      </c>
      <c r="G6237" s="51"/>
      <c r="H6237" s="46" t="str">
        <f>IF(AND(I.Developer.P2a=TRUE,I.Facility.P2aFacilityCount&gt;=1225,F6237=""),"Incomplete","Complete")</f>
        <v>Complete</v>
      </c>
      <c r="I6237" s="48" t="s">
        <v>10602</v>
      </c>
    </row>
    <row r="6238" spans="2:9" ht="15" customHeight="1" x14ac:dyDescent="0.25">
      <c r="B6238" s="55" t="s">
        <v>280</v>
      </c>
      <c r="C6238" s="46">
        <v>1226</v>
      </c>
      <c r="D6238" s="69" t="s">
        <v>29417</v>
      </c>
      <c r="E6238" s="51"/>
      <c r="F6238" s="114" t="str">
        <f>IF(INDEX(I.Facility.P2aIDNumber,1226)="","",INDEX(I.Facility.P2aIDNumber,1226))</f>
        <v/>
      </c>
      <c r="G6238" s="51"/>
      <c r="H6238" s="46" t="str">
        <f>IF(AND(I.Developer.P2a=TRUE,I.Facility.P2aFacilityCount&gt;=1226,F6238=""),"Incomplete","Complete")</f>
        <v>Complete</v>
      </c>
      <c r="I6238" s="48" t="s">
        <v>10603</v>
      </c>
    </row>
    <row r="6239" spans="2:9" ht="15" customHeight="1" x14ac:dyDescent="0.25">
      <c r="B6239" s="55" t="s">
        <v>280</v>
      </c>
      <c r="C6239" s="46">
        <v>1227</v>
      </c>
      <c r="D6239" s="69" t="s">
        <v>29417</v>
      </c>
      <c r="E6239" s="51"/>
      <c r="F6239" s="114" t="str">
        <f>IF(INDEX(I.Facility.P2aIDNumber,1227)="","",INDEX(I.Facility.P2aIDNumber,1227))</f>
        <v/>
      </c>
      <c r="G6239" s="51"/>
      <c r="H6239" s="46" t="str">
        <f>IF(AND(I.Developer.P2a=TRUE,I.Facility.P2aFacilityCount&gt;=1227,F6239=""),"Incomplete","Complete")</f>
        <v>Complete</v>
      </c>
      <c r="I6239" s="48" t="s">
        <v>10604</v>
      </c>
    </row>
    <row r="6240" spans="2:9" ht="15" customHeight="1" x14ac:dyDescent="0.25">
      <c r="B6240" s="55" t="s">
        <v>280</v>
      </c>
      <c r="C6240" s="46">
        <v>1228</v>
      </c>
      <c r="D6240" s="69" t="s">
        <v>29417</v>
      </c>
      <c r="E6240" s="51"/>
      <c r="F6240" s="114" t="str">
        <f>IF(INDEX(I.Facility.P2aIDNumber,1228)="","",INDEX(I.Facility.P2aIDNumber,1228))</f>
        <v/>
      </c>
      <c r="G6240" s="51"/>
      <c r="H6240" s="46" t="str">
        <f>IF(AND(I.Developer.P2a=TRUE,I.Facility.P2aFacilityCount&gt;=1228,F6240=""),"Incomplete","Complete")</f>
        <v>Complete</v>
      </c>
      <c r="I6240" s="48" t="s">
        <v>10605</v>
      </c>
    </row>
    <row r="6241" spans="2:9" ht="15" customHeight="1" x14ac:dyDescent="0.25">
      <c r="B6241" s="55" t="s">
        <v>280</v>
      </c>
      <c r="C6241" s="46">
        <v>1229</v>
      </c>
      <c r="D6241" s="69" t="s">
        <v>29417</v>
      </c>
      <c r="E6241" s="51"/>
      <c r="F6241" s="114" t="str">
        <f>IF(INDEX(I.Facility.P2aIDNumber,1229)="","",INDEX(I.Facility.P2aIDNumber,1229))</f>
        <v/>
      </c>
      <c r="G6241" s="51"/>
      <c r="H6241" s="46" t="str">
        <f>IF(AND(I.Developer.P2a=TRUE,I.Facility.P2aFacilityCount&gt;=1229,F6241=""),"Incomplete","Complete")</f>
        <v>Complete</v>
      </c>
      <c r="I6241" s="48" t="s">
        <v>10606</v>
      </c>
    </row>
    <row r="6242" spans="2:9" ht="15" customHeight="1" x14ac:dyDescent="0.25">
      <c r="B6242" s="55" t="s">
        <v>280</v>
      </c>
      <c r="C6242" s="46">
        <v>1230</v>
      </c>
      <c r="D6242" s="69" t="s">
        <v>29417</v>
      </c>
      <c r="E6242" s="51"/>
      <c r="F6242" s="114" t="str">
        <f>IF(INDEX(I.Facility.P2aIDNumber,1230)="","",INDEX(I.Facility.P2aIDNumber,1230))</f>
        <v/>
      </c>
      <c r="G6242" s="51"/>
      <c r="H6242" s="46" t="str">
        <f>IF(AND(I.Developer.P2a=TRUE,I.Facility.P2aFacilityCount&gt;=1230,F6242=""),"Incomplete","Complete")</f>
        <v>Complete</v>
      </c>
      <c r="I6242" s="48" t="s">
        <v>10607</v>
      </c>
    </row>
    <row r="6243" spans="2:9" ht="15" customHeight="1" x14ac:dyDescent="0.25">
      <c r="B6243" s="55" t="s">
        <v>280</v>
      </c>
      <c r="C6243" s="46">
        <v>1231</v>
      </c>
      <c r="D6243" s="69" t="s">
        <v>29417</v>
      </c>
      <c r="E6243" s="51"/>
      <c r="F6243" s="114" t="str">
        <f>IF(INDEX(I.Facility.P2aIDNumber,1231)="","",INDEX(I.Facility.P2aIDNumber,1231))</f>
        <v/>
      </c>
      <c r="G6243" s="51"/>
      <c r="H6243" s="46" t="str">
        <f>IF(AND(I.Developer.P2a=TRUE,I.Facility.P2aFacilityCount&gt;=1231,F6243=""),"Incomplete","Complete")</f>
        <v>Complete</v>
      </c>
      <c r="I6243" s="48" t="s">
        <v>10608</v>
      </c>
    </row>
    <row r="6244" spans="2:9" ht="15" customHeight="1" x14ac:dyDescent="0.25">
      <c r="B6244" s="55" t="s">
        <v>280</v>
      </c>
      <c r="C6244" s="46">
        <v>1232</v>
      </c>
      <c r="D6244" s="69" t="s">
        <v>29417</v>
      </c>
      <c r="E6244" s="51"/>
      <c r="F6244" s="114" t="str">
        <f>IF(INDEX(I.Facility.P2aIDNumber,1232)="","",INDEX(I.Facility.P2aIDNumber,1232))</f>
        <v/>
      </c>
      <c r="G6244" s="51"/>
      <c r="H6244" s="46" t="str">
        <f>IF(AND(I.Developer.P2a=TRUE,I.Facility.P2aFacilityCount&gt;=1232,F6244=""),"Incomplete","Complete")</f>
        <v>Complete</v>
      </c>
      <c r="I6244" s="48" t="s">
        <v>10609</v>
      </c>
    </row>
    <row r="6245" spans="2:9" ht="15" customHeight="1" x14ac:dyDescent="0.25">
      <c r="B6245" s="55" t="s">
        <v>280</v>
      </c>
      <c r="C6245" s="46">
        <v>1233</v>
      </c>
      <c r="D6245" s="69" t="s">
        <v>29417</v>
      </c>
      <c r="E6245" s="51"/>
      <c r="F6245" s="114" t="str">
        <f>IF(INDEX(I.Facility.P2aIDNumber,1233)="","",INDEX(I.Facility.P2aIDNumber,1233))</f>
        <v/>
      </c>
      <c r="G6245" s="51"/>
      <c r="H6245" s="46" t="str">
        <f>IF(AND(I.Developer.P2a=TRUE,I.Facility.P2aFacilityCount&gt;=1233,F6245=""),"Incomplete","Complete")</f>
        <v>Complete</v>
      </c>
      <c r="I6245" s="48" t="s">
        <v>10610</v>
      </c>
    </row>
    <row r="6246" spans="2:9" ht="15" customHeight="1" x14ac:dyDescent="0.25">
      <c r="B6246" s="55" t="s">
        <v>280</v>
      </c>
      <c r="C6246" s="46">
        <v>1234</v>
      </c>
      <c r="D6246" s="69" t="s">
        <v>29417</v>
      </c>
      <c r="E6246" s="51"/>
      <c r="F6246" s="114" t="str">
        <f>IF(INDEX(I.Facility.P2aIDNumber,1234)="","",INDEX(I.Facility.P2aIDNumber,1234))</f>
        <v/>
      </c>
      <c r="G6246" s="51"/>
      <c r="H6246" s="46" t="str">
        <f>IF(AND(I.Developer.P2a=TRUE,I.Facility.P2aFacilityCount&gt;=1234,F6246=""),"Incomplete","Complete")</f>
        <v>Complete</v>
      </c>
      <c r="I6246" s="48" t="s">
        <v>10611</v>
      </c>
    </row>
    <row r="6247" spans="2:9" ht="15" customHeight="1" x14ac:dyDescent="0.25">
      <c r="B6247" s="55" t="s">
        <v>280</v>
      </c>
      <c r="C6247" s="46">
        <v>1235</v>
      </c>
      <c r="D6247" s="69" t="s">
        <v>29417</v>
      </c>
      <c r="E6247" s="51"/>
      <c r="F6247" s="114" t="str">
        <f>IF(INDEX(I.Facility.P2aIDNumber,1235)="","",INDEX(I.Facility.P2aIDNumber,1235))</f>
        <v/>
      </c>
      <c r="G6247" s="51"/>
      <c r="H6247" s="46" t="str">
        <f>IF(AND(I.Developer.P2a=TRUE,I.Facility.P2aFacilityCount&gt;=1235,F6247=""),"Incomplete","Complete")</f>
        <v>Complete</v>
      </c>
      <c r="I6247" s="48" t="s">
        <v>10612</v>
      </c>
    </row>
    <row r="6248" spans="2:9" ht="15" customHeight="1" x14ac:dyDescent="0.25">
      <c r="B6248" s="55" t="s">
        <v>280</v>
      </c>
      <c r="C6248" s="46">
        <v>1236</v>
      </c>
      <c r="D6248" s="69" t="s">
        <v>29417</v>
      </c>
      <c r="E6248" s="51"/>
      <c r="F6248" s="114" t="str">
        <f>IF(INDEX(I.Facility.P2aIDNumber,1236)="","",INDEX(I.Facility.P2aIDNumber,1236))</f>
        <v/>
      </c>
      <c r="G6248" s="51"/>
      <c r="H6248" s="46" t="str">
        <f>IF(AND(I.Developer.P2a=TRUE,I.Facility.P2aFacilityCount&gt;=1236,F6248=""),"Incomplete","Complete")</f>
        <v>Complete</v>
      </c>
      <c r="I6248" s="48" t="s">
        <v>10613</v>
      </c>
    </row>
    <row r="6249" spans="2:9" ht="15" customHeight="1" x14ac:dyDescent="0.25">
      <c r="B6249" s="55" t="s">
        <v>280</v>
      </c>
      <c r="C6249" s="46">
        <v>1237</v>
      </c>
      <c r="D6249" s="69" t="s">
        <v>29417</v>
      </c>
      <c r="E6249" s="51"/>
      <c r="F6249" s="114" t="str">
        <f>IF(INDEX(I.Facility.P2aIDNumber,1237)="","",INDEX(I.Facility.P2aIDNumber,1237))</f>
        <v/>
      </c>
      <c r="G6249" s="51"/>
      <c r="H6249" s="46" t="str">
        <f>IF(AND(I.Developer.P2a=TRUE,I.Facility.P2aFacilityCount&gt;=1237,F6249=""),"Incomplete","Complete")</f>
        <v>Complete</v>
      </c>
      <c r="I6249" s="48" t="s">
        <v>10614</v>
      </c>
    </row>
    <row r="6250" spans="2:9" ht="15" customHeight="1" x14ac:dyDescent="0.25">
      <c r="B6250" s="55" t="s">
        <v>280</v>
      </c>
      <c r="C6250" s="46">
        <v>1238</v>
      </c>
      <c r="D6250" s="69" t="s">
        <v>29417</v>
      </c>
      <c r="E6250" s="51"/>
      <c r="F6250" s="114" t="str">
        <f>IF(INDEX(I.Facility.P2aIDNumber,1238)="","",INDEX(I.Facility.P2aIDNumber,1238))</f>
        <v/>
      </c>
      <c r="G6250" s="51"/>
      <c r="H6250" s="46" t="str">
        <f>IF(AND(I.Developer.P2a=TRUE,I.Facility.P2aFacilityCount&gt;=1238,F6250=""),"Incomplete","Complete")</f>
        <v>Complete</v>
      </c>
      <c r="I6250" s="48" t="s">
        <v>10615</v>
      </c>
    </row>
    <row r="6251" spans="2:9" ht="15" customHeight="1" x14ac:dyDescent="0.25">
      <c r="B6251" s="55" t="s">
        <v>280</v>
      </c>
      <c r="C6251" s="46">
        <v>1239</v>
      </c>
      <c r="D6251" s="69" t="s">
        <v>29417</v>
      </c>
      <c r="E6251" s="51"/>
      <c r="F6251" s="114" t="str">
        <f>IF(INDEX(I.Facility.P2aIDNumber,1239)="","",INDEX(I.Facility.P2aIDNumber,1239))</f>
        <v/>
      </c>
      <c r="G6251" s="51"/>
      <c r="H6251" s="46" t="str">
        <f>IF(AND(I.Developer.P2a=TRUE,I.Facility.P2aFacilityCount&gt;=1239,F6251=""),"Incomplete","Complete")</f>
        <v>Complete</v>
      </c>
      <c r="I6251" s="48" t="s">
        <v>10616</v>
      </c>
    </row>
    <row r="6252" spans="2:9" ht="15" customHeight="1" x14ac:dyDescent="0.25">
      <c r="B6252" s="55" t="s">
        <v>280</v>
      </c>
      <c r="C6252" s="46">
        <v>1240</v>
      </c>
      <c r="D6252" s="69" t="s">
        <v>29417</v>
      </c>
      <c r="E6252" s="51"/>
      <c r="F6252" s="114" t="str">
        <f>IF(INDEX(I.Facility.P2aIDNumber,1240)="","",INDEX(I.Facility.P2aIDNumber,1240))</f>
        <v/>
      </c>
      <c r="G6252" s="51"/>
      <c r="H6252" s="46" t="str">
        <f>IF(AND(I.Developer.P2a=TRUE,I.Facility.P2aFacilityCount&gt;=1240,F6252=""),"Incomplete","Complete")</f>
        <v>Complete</v>
      </c>
      <c r="I6252" s="48" t="s">
        <v>10617</v>
      </c>
    </row>
    <row r="6253" spans="2:9" ht="15" customHeight="1" x14ac:dyDescent="0.25">
      <c r="B6253" s="55" t="s">
        <v>280</v>
      </c>
      <c r="C6253" s="46">
        <v>1241</v>
      </c>
      <c r="D6253" s="69" t="s">
        <v>29417</v>
      </c>
      <c r="E6253" s="51"/>
      <c r="F6253" s="114" t="str">
        <f>IF(INDEX(I.Facility.P2aIDNumber,1241)="","",INDEX(I.Facility.P2aIDNumber,1241))</f>
        <v/>
      </c>
      <c r="G6253" s="51"/>
      <c r="H6253" s="46" t="str">
        <f>IF(AND(I.Developer.P2a=TRUE,I.Facility.P2aFacilityCount&gt;=1241,F6253=""),"Incomplete","Complete")</f>
        <v>Complete</v>
      </c>
      <c r="I6253" s="48" t="s">
        <v>10618</v>
      </c>
    </row>
    <row r="6254" spans="2:9" ht="15" customHeight="1" x14ac:dyDescent="0.25">
      <c r="B6254" s="55" t="s">
        <v>280</v>
      </c>
      <c r="C6254" s="46">
        <v>1242</v>
      </c>
      <c r="D6254" s="69" t="s">
        <v>29417</v>
      </c>
      <c r="E6254" s="51"/>
      <c r="F6254" s="114" t="str">
        <f>IF(INDEX(I.Facility.P2aIDNumber,1242)="","",INDEX(I.Facility.P2aIDNumber,1242))</f>
        <v/>
      </c>
      <c r="G6254" s="51"/>
      <c r="H6254" s="46" t="str">
        <f>IF(AND(I.Developer.P2a=TRUE,I.Facility.P2aFacilityCount&gt;=1242,F6254=""),"Incomplete","Complete")</f>
        <v>Complete</v>
      </c>
      <c r="I6254" s="48" t="s">
        <v>10619</v>
      </c>
    </row>
    <row r="6255" spans="2:9" ht="15" customHeight="1" x14ac:dyDescent="0.25">
      <c r="B6255" s="55" t="s">
        <v>280</v>
      </c>
      <c r="C6255" s="46">
        <v>1243</v>
      </c>
      <c r="D6255" s="69" t="s">
        <v>29417</v>
      </c>
      <c r="E6255" s="51"/>
      <c r="F6255" s="114" t="str">
        <f>IF(INDEX(I.Facility.P2aIDNumber,1243)="","",INDEX(I.Facility.P2aIDNumber,1243))</f>
        <v/>
      </c>
      <c r="G6255" s="51"/>
      <c r="H6255" s="46" t="str">
        <f>IF(AND(I.Developer.P2a=TRUE,I.Facility.P2aFacilityCount&gt;=1243,F6255=""),"Incomplete","Complete")</f>
        <v>Complete</v>
      </c>
      <c r="I6255" s="48" t="s">
        <v>10620</v>
      </c>
    </row>
    <row r="6256" spans="2:9" ht="15" customHeight="1" x14ac:dyDescent="0.25">
      <c r="B6256" s="55" t="s">
        <v>280</v>
      </c>
      <c r="C6256" s="46">
        <v>1244</v>
      </c>
      <c r="D6256" s="69" t="s">
        <v>29417</v>
      </c>
      <c r="E6256" s="51"/>
      <c r="F6256" s="114" t="str">
        <f>IF(INDEX(I.Facility.P2aIDNumber,1244)="","",INDEX(I.Facility.P2aIDNumber,1244))</f>
        <v/>
      </c>
      <c r="G6256" s="51"/>
      <c r="H6256" s="46" t="str">
        <f>IF(AND(I.Developer.P2a=TRUE,I.Facility.P2aFacilityCount&gt;=1244,F6256=""),"Incomplete","Complete")</f>
        <v>Complete</v>
      </c>
      <c r="I6256" s="48" t="s">
        <v>10621</v>
      </c>
    </row>
    <row r="6257" spans="2:9" ht="15" customHeight="1" x14ac:dyDescent="0.25">
      <c r="B6257" s="55" t="s">
        <v>280</v>
      </c>
      <c r="C6257" s="46">
        <v>1245</v>
      </c>
      <c r="D6257" s="69" t="s">
        <v>29417</v>
      </c>
      <c r="E6257" s="51"/>
      <c r="F6257" s="114" t="str">
        <f>IF(INDEX(I.Facility.P2aIDNumber,1245)="","",INDEX(I.Facility.P2aIDNumber,1245))</f>
        <v/>
      </c>
      <c r="G6257" s="51"/>
      <c r="H6257" s="46" t="str">
        <f>IF(AND(I.Developer.P2a=TRUE,I.Facility.P2aFacilityCount&gt;=1245,F6257=""),"Incomplete","Complete")</f>
        <v>Complete</v>
      </c>
      <c r="I6257" s="48" t="s">
        <v>10622</v>
      </c>
    </row>
    <row r="6258" spans="2:9" ht="15" customHeight="1" x14ac:dyDescent="0.25">
      <c r="B6258" s="55" t="s">
        <v>280</v>
      </c>
      <c r="C6258" s="46">
        <v>1246</v>
      </c>
      <c r="D6258" s="69" t="s">
        <v>29417</v>
      </c>
      <c r="E6258" s="51"/>
      <c r="F6258" s="114" t="str">
        <f>IF(INDEX(I.Facility.P2aIDNumber,1246)="","",INDEX(I.Facility.P2aIDNumber,1246))</f>
        <v/>
      </c>
      <c r="G6258" s="51"/>
      <c r="H6258" s="46" t="str">
        <f>IF(AND(I.Developer.P2a=TRUE,I.Facility.P2aFacilityCount&gt;=1246,F6258=""),"Incomplete","Complete")</f>
        <v>Complete</v>
      </c>
      <c r="I6258" s="48" t="s">
        <v>10623</v>
      </c>
    </row>
    <row r="6259" spans="2:9" ht="15" customHeight="1" x14ac:dyDescent="0.25">
      <c r="B6259" s="55" t="s">
        <v>280</v>
      </c>
      <c r="C6259" s="46">
        <v>1247</v>
      </c>
      <c r="D6259" s="69" t="s">
        <v>29417</v>
      </c>
      <c r="E6259" s="51"/>
      <c r="F6259" s="114" t="str">
        <f>IF(INDEX(I.Facility.P2aIDNumber,1247)="","",INDEX(I.Facility.P2aIDNumber,1247))</f>
        <v/>
      </c>
      <c r="G6259" s="51"/>
      <c r="H6259" s="46" t="str">
        <f>IF(AND(I.Developer.P2a=TRUE,I.Facility.P2aFacilityCount&gt;=1247,F6259=""),"Incomplete","Complete")</f>
        <v>Complete</v>
      </c>
      <c r="I6259" s="48" t="s">
        <v>10624</v>
      </c>
    </row>
    <row r="6260" spans="2:9" ht="15" customHeight="1" x14ac:dyDescent="0.25">
      <c r="B6260" s="55" t="s">
        <v>280</v>
      </c>
      <c r="C6260" s="46">
        <v>1248</v>
      </c>
      <c r="D6260" s="69" t="s">
        <v>29417</v>
      </c>
      <c r="E6260" s="51"/>
      <c r="F6260" s="114" t="str">
        <f>IF(INDEX(I.Facility.P2aIDNumber,1248)="","",INDEX(I.Facility.P2aIDNumber,1248))</f>
        <v/>
      </c>
      <c r="G6260" s="51"/>
      <c r="H6260" s="46" t="str">
        <f>IF(AND(I.Developer.P2a=TRUE,I.Facility.P2aFacilityCount&gt;=1248,F6260=""),"Incomplete","Complete")</f>
        <v>Complete</v>
      </c>
      <c r="I6260" s="48" t="s">
        <v>10625</v>
      </c>
    </row>
    <row r="6261" spans="2:9" ht="15" customHeight="1" x14ac:dyDescent="0.25">
      <c r="B6261" s="55" t="s">
        <v>280</v>
      </c>
      <c r="C6261" s="46">
        <v>1249</v>
      </c>
      <c r="D6261" s="69" t="s">
        <v>29417</v>
      </c>
      <c r="E6261" s="51"/>
      <c r="F6261" s="114" t="str">
        <f>IF(INDEX(I.Facility.P2aIDNumber,1249)="","",INDEX(I.Facility.P2aIDNumber,1249))</f>
        <v/>
      </c>
      <c r="G6261" s="51"/>
      <c r="H6261" s="46" t="str">
        <f>IF(AND(I.Developer.P2a=TRUE,I.Facility.P2aFacilityCount&gt;=1249,F6261=""),"Incomplete","Complete")</f>
        <v>Complete</v>
      </c>
      <c r="I6261" s="48" t="s">
        <v>10626</v>
      </c>
    </row>
    <row r="6262" spans="2:9" ht="15" customHeight="1" x14ac:dyDescent="0.25">
      <c r="B6262" s="55" t="s">
        <v>280</v>
      </c>
      <c r="C6262" s="46">
        <v>1250</v>
      </c>
      <c r="D6262" s="69" t="s">
        <v>29417</v>
      </c>
      <c r="E6262" s="51"/>
      <c r="F6262" s="114" t="str">
        <f>IF(INDEX(I.Facility.P2aIDNumber,1250)="","",INDEX(I.Facility.P2aIDNumber,1250))</f>
        <v/>
      </c>
      <c r="G6262" s="51"/>
      <c r="H6262" s="46" t="str">
        <f>IF(AND(I.Developer.P2a=TRUE,I.Facility.P2aFacilityCount&gt;=1250,F6262=""),"Incomplete","Complete")</f>
        <v>Complete</v>
      </c>
      <c r="I6262" s="48" t="s">
        <v>10627</v>
      </c>
    </row>
    <row r="6263" spans="2:9" ht="15" customHeight="1" x14ac:dyDescent="0.25">
      <c r="B6263" s="55" t="s">
        <v>280</v>
      </c>
      <c r="C6263" s="46">
        <v>1251</v>
      </c>
      <c r="D6263" s="69" t="s">
        <v>29417</v>
      </c>
      <c r="E6263" s="51"/>
      <c r="F6263" s="114" t="str">
        <f>IF(INDEX(I.Facility.P2aIDNumber,1251)="","",INDEX(I.Facility.P2aIDNumber,1251))</f>
        <v/>
      </c>
      <c r="G6263" s="51"/>
      <c r="H6263" s="46" t="str">
        <f>IF(AND(I.Developer.P2a=TRUE,I.Facility.P2aFacilityCount&gt;=1251,F6263=""),"Incomplete","Complete")</f>
        <v>Complete</v>
      </c>
      <c r="I6263" s="48" t="s">
        <v>10628</v>
      </c>
    </row>
    <row r="6264" spans="2:9" ht="15" customHeight="1" x14ac:dyDescent="0.25">
      <c r="B6264" s="55" t="s">
        <v>280</v>
      </c>
      <c r="C6264" s="46">
        <v>1252</v>
      </c>
      <c r="D6264" s="69" t="s">
        <v>29417</v>
      </c>
      <c r="E6264" s="51"/>
      <c r="F6264" s="114" t="str">
        <f>IF(INDEX(I.Facility.P2aIDNumber,1252)="","",INDEX(I.Facility.P2aIDNumber,1252))</f>
        <v/>
      </c>
      <c r="G6264" s="51"/>
      <c r="H6264" s="46" t="str">
        <f>IF(AND(I.Developer.P2a=TRUE,I.Facility.P2aFacilityCount&gt;=1252,F6264=""),"Incomplete","Complete")</f>
        <v>Complete</v>
      </c>
      <c r="I6264" s="48" t="s">
        <v>10629</v>
      </c>
    </row>
    <row r="6265" spans="2:9" ht="15" customHeight="1" x14ac:dyDescent="0.25">
      <c r="B6265" s="55" t="s">
        <v>280</v>
      </c>
      <c r="C6265" s="46">
        <v>1253</v>
      </c>
      <c r="D6265" s="69" t="s">
        <v>29417</v>
      </c>
      <c r="E6265" s="51"/>
      <c r="F6265" s="114" t="str">
        <f>IF(INDEX(I.Facility.P2aIDNumber,1253)="","",INDEX(I.Facility.P2aIDNumber,1253))</f>
        <v/>
      </c>
      <c r="G6265" s="51"/>
      <c r="H6265" s="46" t="str">
        <f>IF(AND(I.Developer.P2a=TRUE,I.Facility.P2aFacilityCount&gt;=1253,F6265=""),"Incomplete","Complete")</f>
        <v>Complete</v>
      </c>
      <c r="I6265" s="48" t="s">
        <v>10630</v>
      </c>
    </row>
    <row r="6266" spans="2:9" ht="15" customHeight="1" x14ac:dyDescent="0.25">
      <c r="B6266" s="55" t="s">
        <v>280</v>
      </c>
      <c r="C6266" s="46">
        <v>1254</v>
      </c>
      <c r="D6266" s="69" t="s">
        <v>29417</v>
      </c>
      <c r="E6266" s="51"/>
      <c r="F6266" s="114" t="str">
        <f>IF(INDEX(I.Facility.P2aIDNumber,1254)="","",INDEX(I.Facility.P2aIDNumber,1254))</f>
        <v/>
      </c>
      <c r="G6266" s="51"/>
      <c r="H6266" s="46" t="str">
        <f>IF(AND(I.Developer.P2a=TRUE,I.Facility.P2aFacilityCount&gt;=1254,F6266=""),"Incomplete","Complete")</f>
        <v>Complete</v>
      </c>
      <c r="I6266" s="48" t="s">
        <v>10631</v>
      </c>
    </row>
    <row r="6267" spans="2:9" ht="15" customHeight="1" x14ac:dyDescent="0.25">
      <c r="B6267" s="55" t="s">
        <v>280</v>
      </c>
      <c r="C6267" s="46">
        <v>1255</v>
      </c>
      <c r="D6267" s="69" t="s">
        <v>29417</v>
      </c>
      <c r="E6267" s="51"/>
      <c r="F6267" s="114" t="str">
        <f>IF(INDEX(I.Facility.P2aIDNumber,1255)="","",INDEX(I.Facility.P2aIDNumber,1255))</f>
        <v/>
      </c>
      <c r="G6267" s="51"/>
      <c r="H6267" s="46" t="str">
        <f>IF(AND(I.Developer.P2a=TRUE,I.Facility.P2aFacilityCount&gt;=1255,F6267=""),"Incomplete","Complete")</f>
        <v>Complete</v>
      </c>
      <c r="I6267" s="48" t="s">
        <v>10632</v>
      </c>
    </row>
    <row r="6268" spans="2:9" ht="15" customHeight="1" x14ac:dyDescent="0.25">
      <c r="B6268" s="55" t="s">
        <v>280</v>
      </c>
      <c r="C6268" s="46">
        <v>1256</v>
      </c>
      <c r="D6268" s="69" t="s">
        <v>29417</v>
      </c>
      <c r="E6268" s="51"/>
      <c r="F6268" s="114" t="str">
        <f>IF(INDEX(I.Facility.P2aIDNumber,1256)="","",INDEX(I.Facility.P2aIDNumber,1256))</f>
        <v/>
      </c>
      <c r="G6268" s="51"/>
      <c r="H6268" s="46" t="str">
        <f>IF(AND(I.Developer.P2a=TRUE,I.Facility.P2aFacilityCount&gt;=1256,F6268=""),"Incomplete","Complete")</f>
        <v>Complete</v>
      </c>
      <c r="I6268" s="48" t="s">
        <v>10633</v>
      </c>
    </row>
    <row r="6269" spans="2:9" ht="15" customHeight="1" x14ac:dyDescent="0.25">
      <c r="B6269" s="55" t="s">
        <v>280</v>
      </c>
      <c r="C6269" s="46">
        <v>1257</v>
      </c>
      <c r="D6269" s="69" t="s">
        <v>29417</v>
      </c>
      <c r="E6269" s="51"/>
      <c r="F6269" s="114" t="str">
        <f>IF(INDEX(I.Facility.P2aIDNumber,1257)="","",INDEX(I.Facility.P2aIDNumber,1257))</f>
        <v/>
      </c>
      <c r="G6269" s="51"/>
      <c r="H6269" s="46" t="str">
        <f>IF(AND(I.Developer.P2a=TRUE,I.Facility.P2aFacilityCount&gt;=1257,F6269=""),"Incomplete","Complete")</f>
        <v>Complete</v>
      </c>
      <c r="I6269" s="48" t="s">
        <v>10634</v>
      </c>
    </row>
    <row r="6270" spans="2:9" ht="15" customHeight="1" x14ac:dyDescent="0.25">
      <c r="B6270" s="55" t="s">
        <v>280</v>
      </c>
      <c r="C6270" s="46">
        <v>1258</v>
      </c>
      <c r="D6270" s="69" t="s">
        <v>29417</v>
      </c>
      <c r="E6270" s="51"/>
      <c r="F6270" s="114" t="str">
        <f>IF(INDEX(I.Facility.P2aIDNumber,1258)="","",INDEX(I.Facility.P2aIDNumber,1258))</f>
        <v/>
      </c>
      <c r="G6270" s="51"/>
      <c r="H6270" s="46" t="str">
        <f>IF(AND(I.Developer.P2a=TRUE,I.Facility.P2aFacilityCount&gt;=1258,F6270=""),"Incomplete","Complete")</f>
        <v>Complete</v>
      </c>
      <c r="I6270" s="48" t="s">
        <v>10635</v>
      </c>
    </row>
    <row r="6271" spans="2:9" ht="15" customHeight="1" x14ac:dyDescent="0.25">
      <c r="B6271" s="55" t="s">
        <v>280</v>
      </c>
      <c r="C6271" s="46">
        <v>1259</v>
      </c>
      <c r="D6271" s="69" t="s">
        <v>29417</v>
      </c>
      <c r="E6271" s="51"/>
      <c r="F6271" s="114" t="str">
        <f>IF(INDEX(I.Facility.P2aIDNumber,1259)="","",INDEX(I.Facility.P2aIDNumber,1259))</f>
        <v/>
      </c>
      <c r="G6271" s="51"/>
      <c r="H6271" s="46" t="str">
        <f>IF(AND(I.Developer.P2a=TRUE,I.Facility.P2aFacilityCount&gt;=1259,F6271=""),"Incomplete","Complete")</f>
        <v>Complete</v>
      </c>
      <c r="I6271" s="48" t="s">
        <v>10636</v>
      </c>
    </row>
    <row r="6272" spans="2:9" ht="15" customHeight="1" x14ac:dyDescent="0.25">
      <c r="B6272" s="55" t="s">
        <v>280</v>
      </c>
      <c r="C6272" s="46">
        <v>1260</v>
      </c>
      <c r="D6272" s="69" t="s">
        <v>29417</v>
      </c>
      <c r="E6272" s="51"/>
      <c r="F6272" s="114" t="str">
        <f>IF(INDEX(I.Facility.P2aIDNumber,1260)="","",INDEX(I.Facility.P2aIDNumber,1260))</f>
        <v/>
      </c>
      <c r="G6272" s="51"/>
      <c r="H6272" s="46" t="str">
        <f>IF(AND(I.Developer.P2a=TRUE,I.Facility.P2aFacilityCount&gt;=1260,F6272=""),"Incomplete","Complete")</f>
        <v>Complete</v>
      </c>
      <c r="I6272" s="48" t="s">
        <v>10637</v>
      </c>
    </row>
    <row r="6273" spans="2:9" ht="15" customHeight="1" x14ac:dyDescent="0.25">
      <c r="B6273" s="55" t="s">
        <v>280</v>
      </c>
      <c r="C6273" s="46">
        <v>1261</v>
      </c>
      <c r="D6273" s="69" t="s">
        <v>29417</v>
      </c>
      <c r="E6273" s="51"/>
      <c r="F6273" s="114" t="str">
        <f>IF(INDEX(I.Facility.P2aIDNumber,1261)="","",INDEX(I.Facility.P2aIDNumber,1261))</f>
        <v/>
      </c>
      <c r="G6273" s="51"/>
      <c r="H6273" s="46" t="str">
        <f>IF(AND(I.Developer.P2a=TRUE,I.Facility.P2aFacilityCount&gt;=1261,F6273=""),"Incomplete","Complete")</f>
        <v>Complete</v>
      </c>
      <c r="I6273" s="48" t="s">
        <v>10638</v>
      </c>
    </row>
    <row r="6274" spans="2:9" ht="15" customHeight="1" x14ac:dyDescent="0.25">
      <c r="B6274" s="55" t="s">
        <v>280</v>
      </c>
      <c r="C6274" s="46">
        <v>1262</v>
      </c>
      <c r="D6274" s="69" t="s">
        <v>29417</v>
      </c>
      <c r="E6274" s="51"/>
      <c r="F6274" s="114" t="str">
        <f>IF(INDEX(I.Facility.P2aIDNumber,1262)="","",INDEX(I.Facility.P2aIDNumber,1262))</f>
        <v/>
      </c>
      <c r="G6274" s="51"/>
      <c r="H6274" s="46" t="str">
        <f>IF(AND(I.Developer.P2a=TRUE,I.Facility.P2aFacilityCount&gt;=1262,F6274=""),"Incomplete","Complete")</f>
        <v>Complete</v>
      </c>
      <c r="I6274" s="48" t="s">
        <v>10639</v>
      </c>
    </row>
    <row r="6275" spans="2:9" ht="15" customHeight="1" x14ac:dyDescent="0.25">
      <c r="B6275" s="55" t="s">
        <v>280</v>
      </c>
      <c r="C6275" s="46">
        <v>1263</v>
      </c>
      <c r="D6275" s="69" t="s">
        <v>29417</v>
      </c>
      <c r="E6275" s="51"/>
      <c r="F6275" s="114" t="str">
        <f>IF(INDEX(I.Facility.P2aIDNumber,1263)="","",INDEX(I.Facility.P2aIDNumber,1263))</f>
        <v/>
      </c>
      <c r="G6275" s="51"/>
      <c r="H6275" s="46" t="str">
        <f>IF(AND(I.Developer.P2a=TRUE,I.Facility.P2aFacilityCount&gt;=1263,F6275=""),"Incomplete","Complete")</f>
        <v>Complete</v>
      </c>
      <c r="I6275" s="48" t="s">
        <v>10640</v>
      </c>
    </row>
    <row r="6276" spans="2:9" ht="15" customHeight="1" x14ac:dyDescent="0.25">
      <c r="B6276" s="55" t="s">
        <v>280</v>
      </c>
      <c r="C6276" s="46">
        <v>1264</v>
      </c>
      <c r="D6276" s="69" t="s">
        <v>29417</v>
      </c>
      <c r="E6276" s="51"/>
      <c r="F6276" s="114" t="str">
        <f>IF(INDEX(I.Facility.P2aIDNumber,1264)="","",INDEX(I.Facility.P2aIDNumber,1264))</f>
        <v/>
      </c>
      <c r="G6276" s="51"/>
      <c r="H6276" s="46" t="str">
        <f>IF(AND(I.Developer.P2a=TRUE,I.Facility.P2aFacilityCount&gt;=1264,F6276=""),"Incomplete","Complete")</f>
        <v>Complete</v>
      </c>
      <c r="I6276" s="48" t="s">
        <v>10641</v>
      </c>
    </row>
    <row r="6277" spans="2:9" ht="15" customHeight="1" x14ac:dyDescent="0.25">
      <c r="B6277" s="55" t="s">
        <v>280</v>
      </c>
      <c r="C6277" s="46">
        <v>1265</v>
      </c>
      <c r="D6277" s="69" t="s">
        <v>29417</v>
      </c>
      <c r="E6277" s="51"/>
      <c r="F6277" s="114" t="str">
        <f>IF(INDEX(I.Facility.P2aIDNumber,1265)="","",INDEX(I.Facility.P2aIDNumber,1265))</f>
        <v/>
      </c>
      <c r="G6277" s="51"/>
      <c r="H6277" s="46" t="str">
        <f>IF(AND(I.Developer.P2a=TRUE,I.Facility.P2aFacilityCount&gt;=1265,F6277=""),"Incomplete","Complete")</f>
        <v>Complete</v>
      </c>
      <c r="I6277" s="48" t="s">
        <v>10642</v>
      </c>
    </row>
    <row r="6278" spans="2:9" ht="15" customHeight="1" x14ac:dyDescent="0.25">
      <c r="B6278" s="55" t="s">
        <v>280</v>
      </c>
      <c r="C6278" s="46">
        <v>1266</v>
      </c>
      <c r="D6278" s="69" t="s">
        <v>29417</v>
      </c>
      <c r="E6278" s="51"/>
      <c r="F6278" s="114" t="str">
        <f>IF(INDEX(I.Facility.P2aIDNumber,1266)="","",INDEX(I.Facility.P2aIDNumber,1266))</f>
        <v/>
      </c>
      <c r="G6278" s="51"/>
      <c r="H6278" s="46" t="str">
        <f>IF(AND(I.Developer.P2a=TRUE,I.Facility.P2aFacilityCount&gt;=1266,F6278=""),"Incomplete","Complete")</f>
        <v>Complete</v>
      </c>
      <c r="I6278" s="48" t="s">
        <v>10643</v>
      </c>
    </row>
    <row r="6279" spans="2:9" ht="15" customHeight="1" x14ac:dyDescent="0.25">
      <c r="B6279" s="55" t="s">
        <v>280</v>
      </c>
      <c r="C6279" s="46">
        <v>1267</v>
      </c>
      <c r="D6279" s="69" t="s">
        <v>29417</v>
      </c>
      <c r="E6279" s="51"/>
      <c r="F6279" s="114" t="str">
        <f>IF(INDEX(I.Facility.P2aIDNumber,1267)="","",INDEX(I.Facility.P2aIDNumber,1267))</f>
        <v/>
      </c>
      <c r="G6279" s="51"/>
      <c r="H6279" s="46" t="str">
        <f>IF(AND(I.Developer.P2a=TRUE,I.Facility.P2aFacilityCount&gt;=1267,F6279=""),"Incomplete","Complete")</f>
        <v>Complete</v>
      </c>
      <c r="I6279" s="48" t="s">
        <v>10644</v>
      </c>
    </row>
    <row r="6280" spans="2:9" ht="15" customHeight="1" x14ac:dyDescent="0.25">
      <c r="B6280" s="55" t="s">
        <v>280</v>
      </c>
      <c r="C6280" s="46">
        <v>1268</v>
      </c>
      <c r="D6280" s="69" t="s">
        <v>29417</v>
      </c>
      <c r="E6280" s="51"/>
      <c r="F6280" s="114" t="str">
        <f>IF(INDEX(I.Facility.P2aIDNumber,1268)="","",INDEX(I.Facility.P2aIDNumber,1268))</f>
        <v/>
      </c>
      <c r="G6280" s="51"/>
      <c r="H6280" s="46" t="str">
        <f>IF(AND(I.Developer.P2a=TRUE,I.Facility.P2aFacilityCount&gt;=1268,F6280=""),"Incomplete","Complete")</f>
        <v>Complete</v>
      </c>
      <c r="I6280" s="48" t="s">
        <v>10645</v>
      </c>
    </row>
    <row r="6281" spans="2:9" ht="15" customHeight="1" x14ac:dyDescent="0.25">
      <c r="B6281" s="55" t="s">
        <v>280</v>
      </c>
      <c r="C6281" s="46">
        <v>1269</v>
      </c>
      <c r="D6281" s="69" t="s">
        <v>29417</v>
      </c>
      <c r="E6281" s="51"/>
      <c r="F6281" s="114" t="str">
        <f>IF(INDEX(I.Facility.P2aIDNumber,1269)="","",INDEX(I.Facility.P2aIDNumber,1269))</f>
        <v/>
      </c>
      <c r="G6281" s="51"/>
      <c r="H6281" s="46" t="str">
        <f>IF(AND(I.Developer.P2a=TRUE,I.Facility.P2aFacilityCount&gt;=1269,F6281=""),"Incomplete","Complete")</f>
        <v>Complete</v>
      </c>
      <c r="I6281" s="48" t="s">
        <v>10646</v>
      </c>
    </row>
    <row r="6282" spans="2:9" ht="15" customHeight="1" x14ac:dyDescent="0.25">
      <c r="B6282" s="55" t="s">
        <v>280</v>
      </c>
      <c r="C6282" s="46">
        <v>1270</v>
      </c>
      <c r="D6282" s="69" t="s">
        <v>29417</v>
      </c>
      <c r="E6282" s="51"/>
      <c r="F6282" s="114" t="str">
        <f>IF(INDEX(I.Facility.P2aIDNumber,1270)="","",INDEX(I.Facility.P2aIDNumber,1270))</f>
        <v/>
      </c>
      <c r="G6282" s="51"/>
      <c r="H6282" s="46" t="str">
        <f>IF(AND(I.Developer.P2a=TRUE,I.Facility.P2aFacilityCount&gt;=1270,F6282=""),"Incomplete","Complete")</f>
        <v>Complete</v>
      </c>
      <c r="I6282" s="48" t="s">
        <v>10647</v>
      </c>
    </row>
    <row r="6283" spans="2:9" ht="15" customHeight="1" x14ac:dyDescent="0.25">
      <c r="B6283" s="55" t="s">
        <v>280</v>
      </c>
      <c r="C6283" s="46">
        <v>1271</v>
      </c>
      <c r="D6283" s="69" t="s">
        <v>29417</v>
      </c>
      <c r="E6283" s="51"/>
      <c r="F6283" s="114" t="str">
        <f>IF(INDEX(I.Facility.P2aIDNumber,1271)="","",INDEX(I.Facility.P2aIDNumber,1271))</f>
        <v/>
      </c>
      <c r="G6283" s="51"/>
      <c r="H6283" s="46" t="str">
        <f>IF(AND(I.Developer.P2a=TRUE,I.Facility.P2aFacilityCount&gt;=1271,F6283=""),"Incomplete","Complete")</f>
        <v>Complete</v>
      </c>
      <c r="I6283" s="48" t="s">
        <v>10648</v>
      </c>
    </row>
    <row r="6284" spans="2:9" ht="15" customHeight="1" x14ac:dyDescent="0.25">
      <c r="B6284" s="55" t="s">
        <v>280</v>
      </c>
      <c r="C6284" s="46">
        <v>1272</v>
      </c>
      <c r="D6284" s="69" t="s">
        <v>29417</v>
      </c>
      <c r="E6284" s="51"/>
      <c r="F6284" s="114" t="str">
        <f>IF(INDEX(I.Facility.P2aIDNumber,1272)="","",INDEX(I.Facility.P2aIDNumber,1272))</f>
        <v/>
      </c>
      <c r="G6284" s="51"/>
      <c r="H6284" s="46" t="str">
        <f>IF(AND(I.Developer.P2a=TRUE,I.Facility.P2aFacilityCount&gt;=1272,F6284=""),"Incomplete","Complete")</f>
        <v>Complete</v>
      </c>
      <c r="I6284" s="48" t="s">
        <v>10649</v>
      </c>
    </row>
    <row r="6285" spans="2:9" ht="15" customHeight="1" x14ac:dyDescent="0.25">
      <c r="B6285" s="55" t="s">
        <v>280</v>
      </c>
      <c r="C6285" s="46">
        <v>1273</v>
      </c>
      <c r="D6285" s="69" t="s">
        <v>29417</v>
      </c>
      <c r="E6285" s="51"/>
      <c r="F6285" s="114" t="str">
        <f>IF(INDEX(I.Facility.P2aIDNumber,1273)="","",INDEX(I.Facility.P2aIDNumber,1273))</f>
        <v/>
      </c>
      <c r="G6285" s="51"/>
      <c r="H6285" s="46" t="str">
        <f>IF(AND(I.Developer.P2a=TRUE,I.Facility.P2aFacilityCount&gt;=1273,F6285=""),"Incomplete","Complete")</f>
        <v>Complete</v>
      </c>
      <c r="I6285" s="48" t="s">
        <v>10650</v>
      </c>
    </row>
    <row r="6286" spans="2:9" ht="15" customHeight="1" x14ac:dyDescent="0.25">
      <c r="B6286" s="55" t="s">
        <v>280</v>
      </c>
      <c r="C6286" s="46">
        <v>1274</v>
      </c>
      <c r="D6286" s="69" t="s">
        <v>29417</v>
      </c>
      <c r="E6286" s="51"/>
      <c r="F6286" s="114" t="str">
        <f>IF(INDEX(I.Facility.P2aIDNumber,1274)="","",INDEX(I.Facility.P2aIDNumber,1274))</f>
        <v/>
      </c>
      <c r="G6286" s="51"/>
      <c r="H6286" s="46" t="str">
        <f>IF(AND(I.Developer.P2a=TRUE,I.Facility.P2aFacilityCount&gt;=1274,F6286=""),"Incomplete","Complete")</f>
        <v>Complete</v>
      </c>
      <c r="I6286" s="48" t="s">
        <v>10651</v>
      </c>
    </row>
    <row r="6287" spans="2:9" ht="15" customHeight="1" x14ac:dyDescent="0.25">
      <c r="B6287" s="55" t="s">
        <v>280</v>
      </c>
      <c r="C6287" s="46">
        <v>1275</v>
      </c>
      <c r="D6287" s="69" t="s">
        <v>29417</v>
      </c>
      <c r="E6287" s="51"/>
      <c r="F6287" s="114" t="str">
        <f>IF(INDEX(I.Facility.P2aIDNumber,1275)="","",INDEX(I.Facility.P2aIDNumber,1275))</f>
        <v/>
      </c>
      <c r="G6287" s="51"/>
      <c r="H6287" s="46" t="str">
        <f>IF(AND(I.Developer.P2a=TRUE,I.Facility.P2aFacilityCount&gt;=1275,F6287=""),"Incomplete","Complete")</f>
        <v>Complete</v>
      </c>
      <c r="I6287" s="48" t="s">
        <v>10652</v>
      </c>
    </row>
    <row r="6288" spans="2:9" ht="15" customHeight="1" x14ac:dyDescent="0.25">
      <c r="B6288" s="55" t="s">
        <v>280</v>
      </c>
      <c r="C6288" s="46">
        <v>1276</v>
      </c>
      <c r="D6288" s="69" t="s">
        <v>29417</v>
      </c>
      <c r="E6288" s="51"/>
      <c r="F6288" s="114" t="str">
        <f>IF(INDEX(I.Facility.P2aIDNumber,1276)="","",INDEX(I.Facility.P2aIDNumber,1276))</f>
        <v/>
      </c>
      <c r="G6288" s="51"/>
      <c r="H6288" s="46" t="str">
        <f>IF(AND(I.Developer.P2a=TRUE,I.Facility.P2aFacilityCount&gt;=1276,F6288=""),"Incomplete","Complete")</f>
        <v>Complete</v>
      </c>
      <c r="I6288" s="48" t="s">
        <v>10653</v>
      </c>
    </row>
    <row r="6289" spans="2:9" ht="15" customHeight="1" x14ac:dyDescent="0.25">
      <c r="B6289" s="55" t="s">
        <v>280</v>
      </c>
      <c r="C6289" s="46">
        <v>1277</v>
      </c>
      <c r="D6289" s="69" t="s">
        <v>29417</v>
      </c>
      <c r="E6289" s="51"/>
      <c r="F6289" s="114" t="str">
        <f>IF(INDEX(I.Facility.P2aIDNumber,1277)="","",INDEX(I.Facility.P2aIDNumber,1277))</f>
        <v/>
      </c>
      <c r="G6289" s="51"/>
      <c r="H6289" s="46" t="str">
        <f>IF(AND(I.Developer.P2a=TRUE,I.Facility.P2aFacilityCount&gt;=1277,F6289=""),"Incomplete","Complete")</f>
        <v>Complete</v>
      </c>
      <c r="I6289" s="48" t="s">
        <v>10654</v>
      </c>
    </row>
    <row r="6290" spans="2:9" ht="15" customHeight="1" x14ac:dyDescent="0.25">
      <c r="B6290" s="55" t="s">
        <v>280</v>
      </c>
      <c r="C6290" s="46">
        <v>1278</v>
      </c>
      <c r="D6290" s="69" t="s">
        <v>29417</v>
      </c>
      <c r="E6290" s="51"/>
      <c r="F6290" s="114" t="str">
        <f>IF(INDEX(I.Facility.P2aIDNumber,1278)="","",INDEX(I.Facility.P2aIDNumber,1278))</f>
        <v/>
      </c>
      <c r="G6290" s="51"/>
      <c r="H6290" s="46" t="str">
        <f>IF(AND(I.Developer.P2a=TRUE,I.Facility.P2aFacilityCount&gt;=1278,F6290=""),"Incomplete","Complete")</f>
        <v>Complete</v>
      </c>
      <c r="I6290" s="48" t="s">
        <v>10655</v>
      </c>
    </row>
    <row r="6291" spans="2:9" ht="15" customHeight="1" x14ac:dyDescent="0.25">
      <c r="B6291" s="55" t="s">
        <v>280</v>
      </c>
      <c r="C6291" s="46">
        <v>1279</v>
      </c>
      <c r="D6291" s="69" t="s">
        <v>29417</v>
      </c>
      <c r="E6291" s="51"/>
      <c r="F6291" s="114" t="str">
        <f>IF(INDEX(I.Facility.P2aIDNumber,1279)="","",INDEX(I.Facility.P2aIDNumber,1279))</f>
        <v/>
      </c>
      <c r="G6291" s="51"/>
      <c r="H6291" s="46" t="str">
        <f>IF(AND(I.Developer.P2a=TRUE,I.Facility.P2aFacilityCount&gt;=1279,F6291=""),"Incomplete","Complete")</f>
        <v>Complete</v>
      </c>
      <c r="I6291" s="48" t="s">
        <v>10656</v>
      </c>
    </row>
    <row r="6292" spans="2:9" ht="15" customHeight="1" x14ac:dyDescent="0.25">
      <c r="B6292" s="55" t="s">
        <v>280</v>
      </c>
      <c r="C6292" s="46">
        <v>1280</v>
      </c>
      <c r="D6292" s="69" t="s">
        <v>29417</v>
      </c>
      <c r="E6292" s="51"/>
      <c r="F6292" s="114" t="str">
        <f>IF(INDEX(I.Facility.P2aIDNumber,1280)="","",INDEX(I.Facility.P2aIDNumber,1280))</f>
        <v/>
      </c>
      <c r="G6292" s="51"/>
      <c r="H6292" s="46" t="str">
        <f>IF(AND(I.Developer.P2a=TRUE,I.Facility.P2aFacilityCount&gt;=1280,F6292=""),"Incomplete","Complete")</f>
        <v>Complete</v>
      </c>
      <c r="I6292" s="48" t="s">
        <v>10657</v>
      </c>
    </row>
    <row r="6293" spans="2:9" ht="15" customHeight="1" x14ac:dyDescent="0.25">
      <c r="B6293" s="55" t="s">
        <v>280</v>
      </c>
      <c r="C6293" s="46">
        <v>1281</v>
      </c>
      <c r="D6293" s="69" t="s">
        <v>29417</v>
      </c>
      <c r="E6293" s="51"/>
      <c r="F6293" s="114" t="str">
        <f>IF(INDEX(I.Facility.P2aIDNumber,1281)="","",INDEX(I.Facility.P2aIDNumber,1281))</f>
        <v/>
      </c>
      <c r="G6293" s="51"/>
      <c r="H6293" s="46" t="str">
        <f>IF(AND(I.Developer.P2a=TRUE,I.Facility.P2aFacilityCount&gt;=1281,F6293=""),"Incomplete","Complete")</f>
        <v>Complete</v>
      </c>
      <c r="I6293" s="48" t="s">
        <v>10658</v>
      </c>
    </row>
    <row r="6294" spans="2:9" ht="15" customHeight="1" x14ac:dyDescent="0.25">
      <c r="B6294" s="55" t="s">
        <v>280</v>
      </c>
      <c r="C6294" s="46">
        <v>1282</v>
      </c>
      <c r="D6294" s="69" t="s">
        <v>29417</v>
      </c>
      <c r="E6294" s="51"/>
      <c r="F6294" s="114" t="str">
        <f>IF(INDEX(I.Facility.P2aIDNumber,1282)="","",INDEX(I.Facility.P2aIDNumber,1282))</f>
        <v/>
      </c>
      <c r="G6294" s="51"/>
      <c r="H6294" s="46" t="str">
        <f>IF(AND(I.Developer.P2a=TRUE,I.Facility.P2aFacilityCount&gt;=1282,F6294=""),"Incomplete","Complete")</f>
        <v>Complete</v>
      </c>
      <c r="I6294" s="48" t="s">
        <v>10659</v>
      </c>
    </row>
    <row r="6295" spans="2:9" ht="15" customHeight="1" x14ac:dyDescent="0.25">
      <c r="B6295" s="55" t="s">
        <v>280</v>
      </c>
      <c r="C6295" s="46">
        <v>1283</v>
      </c>
      <c r="D6295" s="69" t="s">
        <v>29417</v>
      </c>
      <c r="E6295" s="51"/>
      <c r="F6295" s="114" t="str">
        <f>IF(INDEX(I.Facility.P2aIDNumber,1283)="","",INDEX(I.Facility.P2aIDNumber,1283))</f>
        <v/>
      </c>
      <c r="G6295" s="51"/>
      <c r="H6295" s="46" t="str">
        <f>IF(AND(I.Developer.P2a=TRUE,I.Facility.P2aFacilityCount&gt;=1283,F6295=""),"Incomplete","Complete")</f>
        <v>Complete</v>
      </c>
      <c r="I6295" s="48" t="s">
        <v>10660</v>
      </c>
    </row>
    <row r="6296" spans="2:9" ht="15" customHeight="1" x14ac:dyDescent="0.25">
      <c r="B6296" s="55" t="s">
        <v>280</v>
      </c>
      <c r="C6296" s="46">
        <v>1284</v>
      </c>
      <c r="D6296" s="69" t="s">
        <v>29417</v>
      </c>
      <c r="E6296" s="51"/>
      <c r="F6296" s="114" t="str">
        <f>IF(INDEX(I.Facility.P2aIDNumber,1284)="","",INDEX(I.Facility.P2aIDNumber,1284))</f>
        <v/>
      </c>
      <c r="G6296" s="51"/>
      <c r="H6296" s="46" t="str">
        <f>IF(AND(I.Developer.P2a=TRUE,I.Facility.P2aFacilityCount&gt;=1284,F6296=""),"Incomplete","Complete")</f>
        <v>Complete</v>
      </c>
      <c r="I6296" s="48" t="s">
        <v>10661</v>
      </c>
    </row>
    <row r="6297" spans="2:9" ht="15" customHeight="1" x14ac:dyDescent="0.25">
      <c r="B6297" s="55" t="s">
        <v>280</v>
      </c>
      <c r="C6297" s="46">
        <v>1285</v>
      </c>
      <c r="D6297" s="69" t="s">
        <v>29417</v>
      </c>
      <c r="E6297" s="51"/>
      <c r="F6297" s="114" t="str">
        <f>IF(INDEX(I.Facility.P2aIDNumber,1285)="","",INDEX(I.Facility.P2aIDNumber,1285))</f>
        <v/>
      </c>
      <c r="G6297" s="51"/>
      <c r="H6297" s="46" t="str">
        <f>IF(AND(I.Developer.P2a=TRUE,I.Facility.P2aFacilityCount&gt;=1285,F6297=""),"Incomplete","Complete")</f>
        <v>Complete</v>
      </c>
      <c r="I6297" s="48" t="s">
        <v>10662</v>
      </c>
    </row>
    <row r="6298" spans="2:9" ht="15" customHeight="1" x14ac:dyDescent="0.25">
      <c r="B6298" s="55" t="s">
        <v>280</v>
      </c>
      <c r="C6298" s="46">
        <v>1286</v>
      </c>
      <c r="D6298" s="69" t="s">
        <v>29417</v>
      </c>
      <c r="E6298" s="51"/>
      <c r="F6298" s="114" t="str">
        <f>IF(INDEX(I.Facility.P2aIDNumber,1286)="","",INDEX(I.Facility.P2aIDNumber,1286))</f>
        <v/>
      </c>
      <c r="G6298" s="51"/>
      <c r="H6298" s="46" t="str">
        <f>IF(AND(I.Developer.P2a=TRUE,I.Facility.P2aFacilityCount&gt;=1286,F6298=""),"Incomplete","Complete")</f>
        <v>Complete</v>
      </c>
      <c r="I6298" s="48" t="s">
        <v>10663</v>
      </c>
    </row>
    <row r="6299" spans="2:9" ht="15" customHeight="1" x14ac:dyDescent="0.25">
      <c r="B6299" s="55" t="s">
        <v>280</v>
      </c>
      <c r="C6299" s="46">
        <v>1287</v>
      </c>
      <c r="D6299" s="69" t="s">
        <v>29417</v>
      </c>
      <c r="E6299" s="51"/>
      <c r="F6299" s="114" t="str">
        <f>IF(INDEX(I.Facility.P2aIDNumber,1287)="","",INDEX(I.Facility.P2aIDNumber,1287))</f>
        <v/>
      </c>
      <c r="G6299" s="51"/>
      <c r="H6299" s="46" t="str">
        <f>IF(AND(I.Developer.P2a=TRUE,I.Facility.P2aFacilityCount&gt;=1287,F6299=""),"Incomplete","Complete")</f>
        <v>Complete</v>
      </c>
      <c r="I6299" s="48" t="s">
        <v>10664</v>
      </c>
    </row>
    <row r="6300" spans="2:9" ht="15" customHeight="1" x14ac:dyDescent="0.25">
      <c r="B6300" s="55" t="s">
        <v>280</v>
      </c>
      <c r="C6300" s="46">
        <v>1288</v>
      </c>
      <c r="D6300" s="69" t="s">
        <v>29417</v>
      </c>
      <c r="E6300" s="51"/>
      <c r="F6300" s="114" t="str">
        <f>IF(INDEX(I.Facility.P2aIDNumber,1288)="","",INDEX(I.Facility.P2aIDNumber,1288))</f>
        <v/>
      </c>
      <c r="G6300" s="51"/>
      <c r="H6300" s="46" t="str">
        <f>IF(AND(I.Developer.P2a=TRUE,I.Facility.P2aFacilityCount&gt;=1288,F6300=""),"Incomplete","Complete")</f>
        <v>Complete</v>
      </c>
      <c r="I6300" s="48" t="s">
        <v>10665</v>
      </c>
    </row>
    <row r="6301" spans="2:9" ht="15" customHeight="1" x14ac:dyDescent="0.25">
      <c r="B6301" s="55" t="s">
        <v>280</v>
      </c>
      <c r="C6301" s="46">
        <v>1289</v>
      </c>
      <c r="D6301" s="69" t="s">
        <v>29417</v>
      </c>
      <c r="E6301" s="51"/>
      <c r="F6301" s="114" t="str">
        <f>IF(INDEX(I.Facility.P2aIDNumber,1289)="","",INDEX(I.Facility.P2aIDNumber,1289))</f>
        <v/>
      </c>
      <c r="G6301" s="51"/>
      <c r="H6301" s="46" t="str">
        <f>IF(AND(I.Developer.P2a=TRUE,I.Facility.P2aFacilityCount&gt;=1289,F6301=""),"Incomplete","Complete")</f>
        <v>Complete</v>
      </c>
      <c r="I6301" s="48" t="s">
        <v>10666</v>
      </c>
    </row>
    <row r="6302" spans="2:9" ht="15" customHeight="1" x14ac:dyDescent="0.25">
      <c r="B6302" s="55" t="s">
        <v>280</v>
      </c>
      <c r="C6302" s="46">
        <v>1290</v>
      </c>
      <c r="D6302" s="69" t="s">
        <v>29417</v>
      </c>
      <c r="E6302" s="51"/>
      <c r="F6302" s="114" t="str">
        <f>IF(INDEX(I.Facility.P2aIDNumber,1290)="","",INDEX(I.Facility.P2aIDNumber,1290))</f>
        <v/>
      </c>
      <c r="G6302" s="51"/>
      <c r="H6302" s="46" t="str">
        <f>IF(AND(I.Developer.P2a=TRUE,I.Facility.P2aFacilityCount&gt;=1290,F6302=""),"Incomplete","Complete")</f>
        <v>Complete</v>
      </c>
      <c r="I6302" s="48" t="s">
        <v>10667</v>
      </c>
    </row>
    <row r="6303" spans="2:9" ht="15" customHeight="1" x14ac:dyDescent="0.25">
      <c r="B6303" s="55" t="s">
        <v>280</v>
      </c>
      <c r="C6303" s="46">
        <v>1291</v>
      </c>
      <c r="D6303" s="69" t="s">
        <v>29417</v>
      </c>
      <c r="E6303" s="51"/>
      <c r="F6303" s="114" t="str">
        <f>IF(INDEX(I.Facility.P2aIDNumber,1291)="","",INDEX(I.Facility.P2aIDNumber,1291))</f>
        <v/>
      </c>
      <c r="G6303" s="51"/>
      <c r="H6303" s="46" t="str">
        <f>IF(AND(I.Developer.P2a=TRUE,I.Facility.P2aFacilityCount&gt;=1291,F6303=""),"Incomplete","Complete")</f>
        <v>Complete</v>
      </c>
      <c r="I6303" s="48" t="s">
        <v>10668</v>
      </c>
    </row>
    <row r="6304" spans="2:9" ht="15" customHeight="1" x14ac:dyDescent="0.25">
      <c r="B6304" s="55" t="s">
        <v>280</v>
      </c>
      <c r="C6304" s="46">
        <v>1292</v>
      </c>
      <c r="D6304" s="69" t="s">
        <v>29417</v>
      </c>
      <c r="E6304" s="51"/>
      <c r="F6304" s="114" t="str">
        <f>IF(INDEX(I.Facility.P2aIDNumber,1292)="","",INDEX(I.Facility.P2aIDNumber,1292))</f>
        <v/>
      </c>
      <c r="G6304" s="51"/>
      <c r="H6304" s="46" t="str">
        <f>IF(AND(I.Developer.P2a=TRUE,I.Facility.P2aFacilityCount&gt;=1292,F6304=""),"Incomplete","Complete")</f>
        <v>Complete</v>
      </c>
      <c r="I6304" s="48" t="s">
        <v>10669</v>
      </c>
    </row>
    <row r="6305" spans="2:9" ht="15" customHeight="1" x14ac:dyDescent="0.25">
      <c r="B6305" s="55" t="s">
        <v>280</v>
      </c>
      <c r="C6305" s="46">
        <v>1293</v>
      </c>
      <c r="D6305" s="69" t="s">
        <v>29417</v>
      </c>
      <c r="E6305" s="51"/>
      <c r="F6305" s="114" t="str">
        <f>IF(INDEX(I.Facility.P2aIDNumber,1293)="","",INDEX(I.Facility.P2aIDNumber,1293))</f>
        <v/>
      </c>
      <c r="G6305" s="51"/>
      <c r="H6305" s="46" t="str">
        <f>IF(AND(I.Developer.P2a=TRUE,I.Facility.P2aFacilityCount&gt;=1293,F6305=""),"Incomplete","Complete")</f>
        <v>Complete</v>
      </c>
      <c r="I6305" s="48" t="s">
        <v>10670</v>
      </c>
    </row>
    <row r="6306" spans="2:9" ht="15" customHeight="1" x14ac:dyDescent="0.25">
      <c r="B6306" s="55" t="s">
        <v>280</v>
      </c>
      <c r="C6306" s="46">
        <v>1294</v>
      </c>
      <c r="D6306" s="69" t="s">
        <v>29417</v>
      </c>
      <c r="E6306" s="51"/>
      <c r="F6306" s="114" t="str">
        <f>IF(INDEX(I.Facility.P2aIDNumber,1294)="","",INDEX(I.Facility.P2aIDNumber,1294))</f>
        <v/>
      </c>
      <c r="G6306" s="51"/>
      <c r="H6306" s="46" t="str">
        <f>IF(AND(I.Developer.P2a=TRUE,I.Facility.P2aFacilityCount&gt;=1294,F6306=""),"Incomplete","Complete")</f>
        <v>Complete</v>
      </c>
      <c r="I6306" s="48" t="s">
        <v>10671</v>
      </c>
    </row>
    <row r="6307" spans="2:9" ht="15" customHeight="1" x14ac:dyDescent="0.25">
      <c r="B6307" s="55" t="s">
        <v>280</v>
      </c>
      <c r="C6307" s="46">
        <v>1295</v>
      </c>
      <c r="D6307" s="69" t="s">
        <v>29417</v>
      </c>
      <c r="E6307" s="51"/>
      <c r="F6307" s="114" t="str">
        <f>IF(INDEX(I.Facility.P2aIDNumber,1295)="","",INDEX(I.Facility.P2aIDNumber,1295))</f>
        <v/>
      </c>
      <c r="G6307" s="51"/>
      <c r="H6307" s="46" t="str">
        <f>IF(AND(I.Developer.P2a=TRUE,I.Facility.P2aFacilityCount&gt;=1295,F6307=""),"Incomplete","Complete")</f>
        <v>Complete</v>
      </c>
      <c r="I6307" s="48" t="s">
        <v>10672</v>
      </c>
    </row>
    <row r="6308" spans="2:9" ht="15" customHeight="1" x14ac:dyDescent="0.25">
      <c r="B6308" s="55" t="s">
        <v>280</v>
      </c>
      <c r="C6308" s="46">
        <v>1296</v>
      </c>
      <c r="D6308" s="69" t="s">
        <v>29417</v>
      </c>
      <c r="E6308" s="51"/>
      <c r="F6308" s="114" t="str">
        <f>IF(INDEX(I.Facility.P2aIDNumber,1296)="","",INDEX(I.Facility.P2aIDNumber,1296))</f>
        <v/>
      </c>
      <c r="G6308" s="51"/>
      <c r="H6308" s="46" t="str">
        <f>IF(AND(I.Developer.P2a=TRUE,I.Facility.P2aFacilityCount&gt;=1296,F6308=""),"Incomplete","Complete")</f>
        <v>Complete</v>
      </c>
      <c r="I6308" s="48" t="s">
        <v>10673</v>
      </c>
    </row>
    <row r="6309" spans="2:9" ht="15" customHeight="1" x14ac:dyDescent="0.25">
      <c r="B6309" s="55" t="s">
        <v>280</v>
      </c>
      <c r="C6309" s="46">
        <v>1297</v>
      </c>
      <c r="D6309" s="69" t="s">
        <v>29417</v>
      </c>
      <c r="E6309" s="51"/>
      <c r="F6309" s="114" t="str">
        <f>IF(INDEX(I.Facility.P2aIDNumber,1297)="","",INDEX(I.Facility.P2aIDNumber,1297))</f>
        <v/>
      </c>
      <c r="G6309" s="51"/>
      <c r="H6309" s="46" t="str">
        <f>IF(AND(I.Developer.P2a=TRUE,I.Facility.P2aFacilityCount&gt;=1297,F6309=""),"Incomplete","Complete")</f>
        <v>Complete</v>
      </c>
      <c r="I6309" s="48" t="s">
        <v>10674</v>
      </c>
    </row>
    <row r="6310" spans="2:9" ht="15" customHeight="1" x14ac:dyDescent="0.25">
      <c r="B6310" s="55" t="s">
        <v>280</v>
      </c>
      <c r="C6310" s="46">
        <v>1298</v>
      </c>
      <c r="D6310" s="69" t="s">
        <v>29417</v>
      </c>
      <c r="E6310" s="51"/>
      <c r="F6310" s="114" t="str">
        <f>IF(INDEX(I.Facility.P2aIDNumber,1298)="","",INDEX(I.Facility.P2aIDNumber,1298))</f>
        <v/>
      </c>
      <c r="G6310" s="51"/>
      <c r="H6310" s="46" t="str">
        <f>IF(AND(I.Developer.P2a=TRUE,I.Facility.P2aFacilityCount&gt;=1298,F6310=""),"Incomplete","Complete")</f>
        <v>Complete</v>
      </c>
      <c r="I6310" s="48" t="s">
        <v>10675</v>
      </c>
    </row>
    <row r="6311" spans="2:9" ht="15" customHeight="1" x14ac:dyDescent="0.25">
      <c r="B6311" s="55" t="s">
        <v>280</v>
      </c>
      <c r="C6311" s="46">
        <v>1299</v>
      </c>
      <c r="D6311" s="69" t="s">
        <v>29417</v>
      </c>
      <c r="E6311" s="51"/>
      <c r="F6311" s="114" t="str">
        <f>IF(INDEX(I.Facility.P2aIDNumber,1299)="","",INDEX(I.Facility.P2aIDNumber,1299))</f>
        <v/>
      </c>
      <c r="G6311" s="51"/>
      <c r="H6311" s="46" t="str">
        <f>IF(AND(I.Developer.P2a=TRUE,I.Facility.P2aFacilityCount&gt;=1299,F6311=""),"Incomplete","Complete")</f>
        <v>Complete</v>
      </c>
      <c r="I6311" s="48" t="s">
        <v>10676</v>
      </c>
    </row>
    <row r="6312" spans="2:9" ht="15" customHeight="1" x14ac:dyDescent="0.25">
      <c r="B6312" s="55" t="s">
        <v>280</v>
      </c>
      <c r="C6312" s="46">
        <v>1300</v>
      </c>
      <c r="D6312" s="69" t="s">
        <v>29417</v>
      </c>
      <c r="E6312" s="51"/>
      <c r="F6312" s="114" t="str">
        <f>IF(INDEX(I.Facility.P2aIDNumber,1300)="","",INDEX(I.Facility.P2aIDNumber,1300))</f>
        <v/>
      </c>
      <c r="G6312" s="51"/>
      <c r="H6312" s="46" t="str">
        <f>IF(AND(I.Developer.P2a=TRUE,I.Facility.P2aFacilityCount&gt;=1300,F6312=""),"Incomplete","Complete")</f>
        <v>Complete</v>
      </c>
      <c r="I6312" s="48" t="s">
        <v>10677</v>
      </c>
    </row>
    <row r="6313" spans="2:9" ht="15" customHeight="1" x14ac:dyDescent="0.25">
      <c r="B6313" s="55" t="s">
        <v>280</v>
      </c>
      <c r="C6313" s="46">
        <v>1301</v>
      </c>
      <c r="D6313" s="69" t="s">
        <v>29417</v>
      </c>
      <c r="E6313" s="51"/>
      <c r="F6313" s="114" t="str">
        <f>IF(INDEX(I.Facility.P2aIDNumber,1301)="","",INDEX(I.Facility.P2aIDNumber,1301))</f>
        <v/>
      </c>
      <c r="G6313" s="51"/>
      <c r="H6313" s="46" t="str">
        <f>IF(AND(I.Developer.P2a=TRUE,I.Facility.P2aFacilityCount&gt;=1301,F6313=""),"Incomplete","Complete")</f>
        <v>Complete</v>
      </c>
      <c r="I6313" s="48" t="s">
        <v>10678</v>
      </c>
    </row>
    <row r="6314" spans="2:9" ht="15" customHeight="1" x14ac:dyDescent="0.25">
      <c r="B6314" s="55" t="s">
        <v>280</v>
      </c>
      <c r="C6314" s="46">
        <v>1302</v>
      </c>
      <c r="D6314" s="69" t="s">
        <v>29417</v>
      </c>
      <c r="E6314" s="51"/>
      <c r="F6314" s="114" t="str">
        <f>IF(INDEX(I.Facility.P2aIDNumber,1302)="","",INDEX(I.Facility.P2aIDNumber,1302))</f>
        <v/>
      </c>
      <c r="G6314" s="51"/>
      <c r="H6314" s="46" t="str">
        <f>IF(AND(I.Developer.P2a=TRUE,I.Facility.P2aFacilityCount&gt;=1302,F6314=""),"Incomplete","Complete")</f>
        <v>Complete</v>
      </c>
      <c r="I6314" s="48" t="s">
        <v>10679</v>
      </c>
    </row>
    <row r="6315" spans="2:9" ht="15" customHeight="1" x14ac:dyDescent="0.25">
      <c r="B6315" s="55" t="s">
        <v>280</v>
      </c>
      <c r="C6315" s="46">
        <v>1303</v>
      </c>
      <c r="D6315" s="69" t="s">
        <v>29417</v>
      </c>
      <c r="E6315" s="51"/>
      <c r="F6315" s="114" t="str">
        <f>IF(INDEX(I.Facility.P2aIDNumber,1303)="","",INDEX(I.Facility.P2aIDNumber,1303))</f>
        <v/>
      </c>
      <c r="G6315" s="51"/>
      <c r="H6315" s="46" t="str">
        <f>IF(AND(I.Developer.P2a=TRUE,I.Facility.P2aFacilityCount&gt;=1303,F6315=""),"Incomplete","Complete")</f>
        <v>Complete</v>
      </c>
      <c r="I6315" s="48" t="s">
        <v>10680</v>
      </c>
    </row>
    <row r="6316" spans="2:9" ht="15" customHeight="1" x14ac:dyDescent="0.25">
      <c r="B6316" s="55" t="s">
        <v>280</v>
      </c>
      <c r="C6316" s="46">
        <v>1304</v>
      </c>
      <c r="D6316" s="69" t="s">
        <v>29417</v>
      </c>
      <c r="E6316" s="51"/>
      <c r="F6316" s="114" t="str">
        <f>IF(INDEX(I.Facility.P2aIDNumber,1304)="","",INDEX(I.Facility.P2aIDNumber,1304))</f>
        <v/>
      </c>
      <c r="G6316" s="51"/>
      <c r="H6316" s="46" t="str">
        <f>IF(AND(I.Developer.P2a=TRUE,I.Facility.P2aFacilityCount&gt;=1304,F6316=""),"Incomplete","Complete")</f>
        <v>Complete</v>
      </c>
      <c r="I6316" s="48" t="s">
        <v>10681</v>
      </c>
    </row>
    <row r="6317" spans="2:9" ht="15" customHeight="1" x14ac:dyDescent="0.25">
      <c r="B6317" s="55" t="s">
        <v>280</v>
      </c>
      <c r="C6317" s="46">
        <v>1305</v>
      </c>
      <c r="D6317" s="69" t="s">
        <v>29417</v>
      </c>
      <c r="E6317" s="51"/>
      <c r="F6317" s="114" t="str">
        <f>IF(INDEX(I.Facility.P2aIDNumber,1305)="","",INDEX(I.Facility.P2aIDNumber,1305))</f>
        <v/>
      </c>
      <c r="G6317" s="51"/>
      <c r="H6317" s="46" t="str">
        <f>IF(AND(I.Developer.P2a=TRUE,I.Facility.P2aFacilityCount&gt;=1305,F6317=""),"Incomplete","Complete")</f>
        <v>Complete</v>
      </c>
      <c r="I6317" s="48" t="s">
        <v>10682</v>
      </c>
    </row>
    <row r="6318" spans="2:9" ht="15" customHeight="1" x14ac:dyDescent="0.25">
      <c r="B6318" s="55" t="s">
        <v>280</v>
      </c>
      <c r="C6318" s="46">
        <v>1306</v>
      </c>
      <c r="D6318" s="69" t="s">
        <v>29417</v>
      </c>
      <c r="E6318" s="51"/>
      <c r="F6318" s="114" t="str">
        <f>IF(INDEX(I.Facility.P2aIDNumber,1306)="","",INDEX(I.Facility.P2aIDNumber,1306))</f>
        <v/>
      </c>
      <c r="G6318" s="51"/>
      <c r="H6318" s="46" t="str">
        <f>IF(AND(I.Developer.P2a=TRUE,I.Facility.P2aFacilityCount&gt;=1306,F6318=""),"Incomplete","Complete")</f>
        <v>Complete</v>
      </c>
      <c r="I6318" s="48" t="s">
        <v>10683</v>
      </c>
    </row>
    <row r="6319" spans="2:9" ht="15" customHeight="1" x14ac:dyDescent="0.25">
      <c r="B6319" s="55" t="s">
        <v>280</v>
      </c>
      <c r="C6319" s="46">
        <v>1307</v>
      </c>
      <c r="D6319" s="69" t="s">
        <v>29417</v>
      </c>
      <c r="E6319" s="51"/>
      <c r="F6319" s="114" t="str">
        <f>IF(INDEX(I.Facility.P2aIDNumber,1307)="","",INDEX(I.Facility.P2aIDNumber,1307))</f>
        <v/>
      </c>
      <c r="G6319" s="51"/>
      <c r="H6319" s="46" t="str">
        <f>IF(AND(I.Developer.P2a=TRUE,I.Facility.P2aFacilityCount&gt;=1307,F6319=""),"Incomplete","Complete")</f>
        <v>Complete</v>
      </c>
      <c r="I6319" s="48" t="s">
        <v>10684</v>
      </c>
    </row>
    <row r="6320" spans="2:9" ht="15" customHeight="1" x14ac:dyDescent="0.25">
      <c r="B6320" s="55" t="s">
        <v>280</v>
      </c>
      <c r="C6320" s="46">
        <v>1308</v>
      </c>
      <c r="D6320" s="69" t="s">
        <v>29417</v>
      </c>
      <c r="E6320" s="51"/>
      <c r="F6320" s="114" t="str">
        <f>IF(INDEX(I.Facility.P2aIDNumber,1308)="","",INDEX(I.Facility.P2aIDNumber,1308))</f>
        <v/>
      </c>
      <c r="G6320" s="51"/>
      <c r="H6320" s="46" t="str">
        <f>IF(AND(I.Developer.P2a=TRUE,I.Facility.P2aFacilityCount&gt;=1308,F6320=""),"Incomplete","Complete")</f>
        <v>Complete</v>
      </c>
      <c r="I6320" s="48" t="s">
        <v>10685</v>
      </c>
    </row>
    <row r="6321" spans="2:9" ht="15" customHeight="1" x14ac:dyDescent="0.25">
      <c r="B6321" s="55" t="s">
        <v>280</v>
      </c>
      <c r="C6321" s="46">
        <v>1309</v>
      </c>
      <c r="D6321" s="69" t="s">
        <v>29417</v>
      </c>
      <c r="E6321" s="51"/>
      <c r="F6321" s="114" t="str">
        <f>IF(INDEX(I.Facility.P2aIDNumber,1309)="","",INDEX(I.Facility.P2aIDNumber,1309))</f>
        <v/>
      </c>
      <c r="G6321" s="51"/>
      <c r="H6321" s="46" t="str">
        <f>IF(AND(I.Developer.P2a=TRUE,I.Facility.P2aFacilityCount&gt;=1309,F6321=""),"Incomplete","Complete")</f>
        <v>Complete</v>
      </c>
      <c r="I6321" s="48" t="s">
        <v>10686</v>
      </c>
    </row>
    <row r="6322" spans="2:9" ht="15" customHeight="1" x14ac:dyDescent="0.25">
      <c r="B6322" s="55" t="s">
        <v>280</v>
      </c>
      <c r="C6322" s="46">
        <v>1310</v>
      </c>
      <c r="D6322" s="69" t="s">
        <v>29417</v>
      </c>
      <c r="E6322" s="51"/>
      <c r="F6322" s="114" t="str">
        <f>IF(INDEX(I.Facility.P2aIDNumber,1310)="","",INDEX(I.Facility.P2aIDNumber,1310))</f>
        <v/>
      </c>
      <c r="G6322" s="51"/>
      <c r="H6322" s="46" t="str">
        <f>IF(AND(I.Developer.P2a=TRUE,I.Facility.P2aFacilityCount&gt;=1310,F6322=""),"Incomplete","Complete")</f>
        <v>Complete</v>
      </c>
      <c r="I6322" s="48" t="s">
        <v>10687</v>
      </c>
    </row>
    <row r="6323" spans="2:9" ht="15" customHeight="1" x14ac:dyDescent="0.25">
      <c r="B6323" s="55" t="s">
        <v>280</v>
      </c>
      <c r="C6323" s="46">
        <v>1311</v>
      </c>
      <c r="D6323" s="69" t="s">
        <v>29417</v>
      </c>
      <c r="E6323" s="51"/>
      <c r="F6323" s="114" t="str">
        <f>IF(INDEX(I.Facility.P2aIDNumber,1311)="","",INDEX(I.Facility.P2aIDNumber,1311))</f>
        <v/>
      </c>
      <c r="G6323" s="51"/>
      <c r="H6323" s="46" t="str">
        <f>IF(AND(I.Developer.P2a=TRUE,I.Facility.P2aFacilityCount&gt;=1311,F6323=""),"Incomplete","Complete")</f>
        <v>Complete</v>
      </c>
      <c r="I6323" s="48" t="s">
        <v>10688</v>
      </c>
    </row>
    <row r="6324" spans="2:9" ht="15" customHeight="1" x14ac:dyDescent="0.25">
      <c r="B6324" s="55" t="s">
        <v>280</v>
      </c>
      <c r="C6324" s="46">
        <v>1312</v>
      </c>
      <c r="D6324" s="69" t="s">
        <v>29417</v>
      </c>
      <c r="E6324" s="51"/>
      <c r="F6324" s="114" t="str">
        <f>IF(INDEX(I.Facility.P2aIDNumber,1312)="","",INDEX(I.Facility.P2aIDNumber,1312))</f>
        <v/>
      </c>
      <c r="G6324" s="51"/>
      <c r="H6324" s="46" t="str">
        <f>IF(AND(I.Developer.P2a=TRUE,I.Facility.P2aFacilityCount&gt;=1312,F6324=""),"Incomplete","Complete")</f>
        <v>Complete</v>
      </c>
      <c r="I6324" s="48" t="s">
        <v>10689</v>
      </c>
    </row>
    <row r="6325" spans="2:9" ht="15" customHeight="1" x14ac:dyDescent="0.25">
      <c r="B6325" s="55" t="s">
        <v>280</v>
      </c>
      <c r="C6325" s="46">
        <v>1313</v>
      </c>
      <c r="D6325" s="69" t="s">
        <v>29417</v>
      </c>
      <c r="E6325" s="51"/>
      <c r="F6325" s="114" t="str">
        <f>IF(INDEX(I.Facility.P2aIDNumber,1313)="","",INDEX(I.Facility.P2aIDNumber,1313))</f>
        <v/>
      </c>
      <c r="G6325" s="51"/>
      <c r="H6325" s="46" t="str">
        <f>IF(AND(I.Developer.P2a=TRUE,I.Facility.P2aFacilityCount&gt;=1313,F6325=""),"Incomplete","Complete")</f>
        <v>Complete</v>
      </c>
      <c r="I6325" s="48" t="s">
        <v>10690</v>
      </c>
    </row>
    <row r="6326" spans="2:9" ht="15" customHeight="1" x14ac:dyDescent="0.25">
      <c r="B6326" s="55" t="s">
        <v>280</v>
      </c>
      <c r="C6326" s="46">
        <v>1314</v>
      </c>
      <c r="D6326" s="69" t="s">
        <v>29417</v>
      </c>
      <c r="E6326" s="51"/>
      <c r="F6326" s="114" t="str">
        <f>IF(INDEX(I.Facility.P2aIDNumber,1314)="","",INDEX(I.Facility.P2aIDNumber,1314))</f>
        <v/>
      </c>
      <c r="G6326" s="51"/>
      <c r="H6326" s="46" t="str">
        <f>IF(AND(I.Developer.P2a=TRUE,I.Facility.P2aFacilityCount&gt;=1314,F6326=""),"Incomplete","Complete")</f>
        <v>Complete</v>
      </c>
      <c r="I6326" s="48" t="s">
        <v>10691</v>
      </c>
    </row>
    <row r="6327" spans="2:9" ht="15" customHeight="1" x14ac:dyDescent="0.25">
      <c r="B6327" s="55" t="s">
        <v>280</v>
      </c>
      <c r="C6327" s="46">
        <v>1315</v>
      </c>
      <c r="D6327" s="69" t="s">
        <v>29417</v>
      </c>
      <c r="E6327" s="51"/>
      <c r="F6327" s="114" t="str">
        <f>IF(INDEX(I.Facility.P2aIDNumber,1315)="","",INDEX(I.Facility.P2aIDNumber,1315))</f>
        <v/>
      </c>
      <c r="G6327" s="51"/>
      <c r="H6327" s="46" t="str">
        <f>IF(AND(I.Developer.P2a=TRUE,I.Facility.P2aFacilityCount&gt;=1315,F6327=""),"Incomplete","Complete")</f>
        <v>Complete</v>
      </c>
      <c r="I6327" s="48" t="s">
        <v>10692</v>
      </c>
    </row>
    <row r="6328" spans="2:9" ht="15" customHeight="1" x14ac:dyDescent="0.25">
      <c r="B6328" s="55" t="s">
        <v>280</v>
      </c>
      <c r="C6328" s="46">
        <v>1316</v>
      </c>
      <c r="D6328" s="69" t="s">
        <v>29417</v>
      </c>
      <c r="E6328" s="51"/>
      <c r="F6328" s="114" t="str">
        <f>IF(INDEX(I.Facility.P2aIDNumber,1316)="","",INDEX(I.Facility.P2aIDNumber,1316))</f>
        <v/>
      </c>
      <c r="G6328" s="51"/>
      <c r="H6328" s="46" t="str">
        <f>IF(AND(I.Developer.P2a=TRUE,I.Facility.P2aFacilityCount&gt;=1316,F6328=""),"Incomplete","Complete")</f>
        <v>Complete</v>
      </c>
      <c r="I6328" s="48" t="s">
        <v>10693</v>
      </c>
    </row>
    <row r="6329" spans="2:9" ht="15" customHeight="1" x14ac:dyDescent="0.25">
      <c r="B6329" s="55" t="s">
        <v>280</v>
      </c>
      <c r="C6329" s="46">
        <v>1317</v>
      </c>
      <c r="D6329" s="69" t="s">
        <v>29417</v>
      </c>
      <c r="E6329" s="51"/>
      <c r="F6329" s="114" t="str">
        <f>IF(INDEX(I.Facility.P2aIDNumber,1317)="","",INDEX(I.Facility.P2aIDNumber,1317))</f>
        <v/>
      </c>
      <c r="G6329" s="51"/>
      <c r="H6329" s="46" t="str">
        <f>IF(AND(I.Developer.P2a=TRUE,I.Facility.P2aFacilityCount&gt;=1317,F6329=""),"Incomplete","Complete")</f>
        <v>Complete</v>
      </c>
      <c r="I6329" s="48" t="s">
        <v>10694</v>
      </c>
    </row>
    <row r="6330" spans="2:9" ht="15" customHeight="1" x14ac:dyDescent="0.25">
      <c r="B6330" s="55" t="s">
        <v>280</v>
      </c>
      <c r="C6330" s="46">
        <v>1318</v>
      </c>
      <c r="D6330" s="69" t="s">
        <v>29417</v>
      </c>
      <c r="E6330" s="51"/>
      <c r="F6330" s="114" t="str">
        <f>IF(INDEX(I.Facility.P2aIDNumber,1318)="","",INDEX(I.Facility.P2aIDNumber,1318))</f>
        <v/>
      </c>
      <c r="G6330" s="51"/>
      <c r="H6330" s="46" t="str">
        <f>IF(AND(I.Developer.P2a=TRUE,I.Facility.P2aFacilityCount&gt;=1318,F6330=""),"Incomplete","Complete")</f>
        <v>Complete</v>
      </c>
      <c r="I6330" s="48" t="s">
        <v>10695</v>
      </c>
    </row>
    <row r="6331" spans="2:9" ht="15" customHeight="1" x14ac:dyDescent="0.25">
      <c r="B6331" s="55" t="s">
        <v>280</v>
      </c>
      <c r="C6331" s="46">
        <v>1319</v>
      </c>
      <c r="D6331" s="69" t="s">
        <v>29417</v>
      </c>
      <c r="E6331" s="51"/>
      <c r="F6331" s="114" t="str">
        <f>IF(INDEX(I.Facility.P2aIDNumber,1319)="","",INDEX(I.Facility.P2aIDNumber,1319))</f>
        <v/>
      </c>
      <c r="G6331" s="51"/>
      <c r="H6331" s="46" t="str">
        <f>IF(AND(I.Developer.P2a=TRUE,I.Facility.P2aFacilityCount&gt;=1319,F6331=""),"Incomplete","Complete")</f>
        <v>Complete</v>
      </c>
      <c r="I6331" s="48" t="s">
        <v>10696</v>
      </c>
    </row>
    <row r="6332" spans="2:9" ht="15" customHeight="1" x14ac:dyDescent="0.25">
      <c r="B6332" s="55" t="s">
        <v>280</v>
      </c>
      <c r="C6332" s="46">
        <v>1320</v>
      </c>
      <c r="D6332" s="69" t="s">
        <v>29417</v>
      </c>
      <c r="E6332" s="51"/>
      <c r="F6332" s="114" t="str">
        <f>IF(INDEX(I.Facility.P2aIDNumber,1320)="","",INDEX(I.Facility.P2aIDNumber,1320))</f>
        <v/>
      </c>
      <c r="G6332" s="51"/>
      <c r="H6332" s="46" t="str">
        <f>IF(AND(I.Developer.P2a=TRUE,I.Facility.P2aFacilityCount&gt;=1320,F6332=""),"Incomplete","Complete")</f>
        <v>Complete</v>
      </c>
      <c r="I6332" s="48" t="s">
        <v>10697</v>
      </c>
    </row>
    <row r="6333" spans="2:9" ht="15" customHeight="1" x14ac:dyDescent="0.25">
      <c r="B6333" s="55" t="s">
        <v>280</v>
      </c>
      <c r="C6333" s="46">
        <v>1321</v>
      </c>
      <c r="D6333" s="69" t="s">
        <v>29417</v>
      </c>
      <c r="E6333" s="51"/>
      <c r="F6333" s="114" t="str">
        <f>IF(INDEX(I.Facility.P2aIDNumber,1321)="","",INDEX(I.Facility.P2aIDNumber,1321))</f>
        <v/>
      </c>
      <c r="G6333" s="51"/>
      <c r="H6333" s="46" t="str">
        <f>IF(AND(I.Developer.P2a=TRUE,I.Facility.P2aFacilityCount&gt;=1321,F6333=""),"Incomplete","Complete")</f>
        <v>Complete</v>
      </c>
      <c r="I6333" s="48" t="s">
        <v>10698</v>
      </c>
    </row>
    <row r="6334" spans="2:9" ht="15" customHeight="1" x14ac:dyDescent="0.25">
      <c r="B6334" s="55" t="s">
        <v>280</v>
      </c>
      <c r="C6334" s="46">
        <v>1322</v>
      </c>
      <c r="D6334" s="69" t="s">
        <v>29417</v>
      </c>
      <c r="E6334" s="51"/>
      <c r="F6334" s="114" t="str">
        <f>IF(INDEX(I.Facility.P2aIDNumber,1322)="","",INDEX(I.Facility.P2aIDNumber,1322))</f>
        <v/>
      </c>
      <c r="G6334" s="51"/>
      <c r="H6334" s="46" t="str">
        <f>IF(AND(I.Developer.P2a=TRUE,I.Facility.P2aFacilityCount&gt;=1322,F6334=""),"Incomplete","Complete")</f>
        <v>Complete</v>
      </c>
      <c r="I6334" s="48" t="s">
        <v>10699</v>
      </c>
    </row>
    <row r="6335" spans="2:9" ht="15" customHeight="1" x14ac:dyDescent="0.25">
      <c r="B6335" s="55" t="s">
        <v>280</v>
      </c>
      <c r="C6335" s="46">
        <v>1323</v>
      </c>
      <c r="D6335" s="69" t="s">
        <v>29417</v>
      </c>
      <c r="E6335" s="51"/>
      <c r="F6335" s="114" t="str">
        <f>IF(INDEX(I.Facility.P2aIDNumber,1323)="","",INDEX(I.Facility.P2aIDNumber,1323))</f>
        <v/>
      </c>
      <c r="G6335" s="51"/>
      <c r="H6335" s="46" t="str">
        <f>IF(AND(I.Developer.P2a=TRUE,I.Facility.P2aFacilityCount&gt;=1323,F6335=""),"Incomplete","Complete")</f>
        <v>Complete</v>
      </c>
      <c r="I6335" s="48" t="s">
        <v>10700</v>
      </c>
    </row>
    <row r="6336" spans="2:9" ht="15" customHeight="1" x14ac:dyDescent="0.25">
      <c r="B6336" s="55" t="s">
        <v>280</v>
      </c>
      <c r="C6336" s="46">
        <v>1324</v>
      </c>
      <c r="D6336" s="69" t="s">
        <v>29417</v>
      </c>
      <c r="E6336" s="51"/>
      <c r="F6336" s="114" t="str">
        <f>IF(INDEX(I.Facility.P2aIDNumber,1324)="","",INDEX(I.Facility.P2aIDNumber,1324))</f>
        <v/>
      </c>
      <c r="G6336" s="51"/>
      <c r="H6336" s="46" t="str">
        <f>IF(AND(I.Developer.P2a=TRUE,I.Facility.P2aFacilityCount&gt;=1324,F6336=""),"Incomplete","Complete")</f>
        <v>Complete</v>
      </c>
      <c r="I6336" s="48" t="s">
        <v>10701</v>
      </c>
    </row>
    <row r="6337" spans="2:9" ht="15" customHeight="1" x14ac:dyDescent="0.25">
      <c r="B6337" s="55" t="s">
        <v>280</v>
      </c>
      <c r="C6337" s="46">
        <v>1325</v>
      </c>
      <c r="D6337" s="69" t="s">
        <v>29417</v>
      </c>
      <c r="E6337" s="51"/>
      <c r="F6337" s="114" t="str">
        <f>IF(INDEX(I.Facility.P2aIDNumber,1325)="","",INDEX(I.Facility.P2aIDNumber,1325))</f>
        <v/>
      </c>
      <c r="G6337" s="51"/>
      <c r="H6337" s="46" t="str">
        <f>IF(AND(I.Developer.P2a=TRUE,I.Facility.P2aFacilityCount&gt;=1325,F6337=""),"Incomplete","Complete")</f>
        <v>Complete</v>
      </c>
      <c r="I6337" s="48" t="s">
        <v>10702</v>
      </c>
    </row>
    <row r="6338" spans="2:9" ht="15" customHeight="1" x14ac:dyDescent="0.25">
      <c r="B6338" s="55" t="s">
        <v>280</v>
      </c>
      <c r="C6338" s="46">
        <v>1326</v>
      </c>
      <c r="D6338" s="69" t="s">
        <v>29417</v>
      </c>
      <c r="E6338" s="51"/>
      <c r="F6338" s="114" t="str">
        <f>IF(INDEX(I.Facility.P2aIDNumber,1326)="","",INDEX(I.Facility.P2aIDNumber,1326))</f>
        <v/>
      </c>
      <c r="G6338" s="51"/>
      <c r="H6338" s="46" t="str">
        <f>IF(AND(I.Developer.P2a=TRUE,I.Facility.P2aFacilityCount&gt;=1326,F6338=""),"Incomplete","Complete")</f>
        <v>Complete</v>
      </c>
      <c r="I6338" s="48" t="s">
        <v>10703</v>
      </c>
    </row>
    <row r="6339" spans="2:9" ht="15" customHeight="1" x14ac:dyDescent="0.25">
      <c r="B6339" s="55" t="s">
        <v>280</v>
      </c>
      <c r="C6339" s="46">
        <v>1327</v>
      </c>
      <c r="D6339" s="69" t="s">
        <v>29417</v>
      </c>
      <c r="E6339" s="51"/>
      <c r="F6339" s="114" t="str">
        <f>IF(INDEX(I.Facility.P2aIDNumber,1327)="","",INDEX(I.Facility.P2aIDNumber,1327))</f>
        <v/>
      </c>
      <c r="G6339" s="51"/>
      <c r="H6339" s="46" t="str">
        <f>IF(AND(I.Developer.P2a=TRUE,I.Facility.P2aFacilityCount&gt;=1327,F6339=""),"Incomplete","Complete")</f>
        <v>Complete</v>
      </c>
      <c r="I6339" s="48" t="s">
        <v>10704</v>
      </c>
    </row>
    <row r="6340" spans="2:9" ht="15" customHeight="1" x14ac:dyDescent="0.25">
      <c r="B6340" s="55" t="s">
        <v>280</v>
      </c>
      <c r="C6340" s="46">
        <v>1328</v>
      </c>
      <c r="D6340" s="69" t="s">
        <v>29417</v>
      </c>
      <c r="E6340" s="51"/>
      <c r="F6340" s="114" t="str">
        <f>IF(INDEX(I.Facility.P2aIDNumber,1328)="","",INDEX(I.Facility.P2aIDNumber,1328))</f>
        <v/>
      </c>
      <c r="G6340" s="51"/>
      <c r="H6340" s="46" t="str">
        <f>IF(AND(I.Developer.P2a=TRUE,I.Facility.P2aFacilityCount&gt;=1328,F6340=""),"Incomplete","Complete")</f>
        <v>Complete</v>
      </c>
      <c r="I6340" s="48" t="s">
        <v>10705</v>
      </c>
    </row>
    <row r="6341" spans="2:9" ht="15" customHeight="1" x14ac:dyDescent="0.25">
      <c r="B6341" s="55" t="s">
        <v>280</v>
      </c>
      <c r="C6341" s="46">
        <v>1329</v>
      </c>
      <c r="D6341" s="69" t="s">
        <v>29417</v>
      </c>
      <c r="E6341" s="51"/>
      <c r="F6341" s="114" t="str">
        <f>IF(INDEX(I.Facility.P2aIDNumber,1329)="","",INDEX(I.Facility.P2aIDNumber,1329))</f>
        <v/>
      </c>
      <c r="G6341" s="51"/>
      <c r="H6341" s="46" t="str">
        <f>IF(AND(I.Developer.P2a=TRUE,I.Facility.P2aFacilityCount&gt;=1329,F6341=""),"Incomplete","Complete")</f>
        <v>Complete</v>
      </c>
      <c r="I6341" s="48" t="s">
        <v>10706</v>
      </c>
    </row>
    <row r="6342" spans="2:9" ht="15" customHeight="1" x14ac:dyDescent="0.25">
      <c r="B6342" s="55" t="s">
        <v>280</v>
      </c>
      <c r="C6342" s="46">
        <v>1330</v>
      </c>
      <c r="D6342" s="69" t="s">
        <v>29417</v>
      </c>
      <c r="E6342" s="51"/>
      <c r="F6342" s="114" t="str">
        <f>IF(INDEX(I.Facility.P2aIDNumber,1330)="","",INDEX(I.Facility.P2aIDNumber,1330))</f>
        <v/>
      </c>
      <c r="G6342" s="51"/>
      <c r="H6342" s="46" t="str">
        <f>IF(AND(I.Developer.P2a=TRUE,I.Facility.P2aFacilityCount&gt;=1330,F6342=""),"Incomplete","Complete")</f>
        <v>Complete</v>
      </c>
      <c r="I6342" s="48" t="s">
        <v>10707</v>
      </c>
    </row>
    <row r="6343" spans="2:9" ht="15" customHeight="1" x14ac:dyDescent="0.25">
      <c r="B6343" s="55" t="s">
        <v>280</v>
      </c>
      <c r="C6343" s="46">
        <v>1331</v>
      </c>
      <c r="D6343" s="69" t="s">
        <v>29417</v>
      </c>
      <c r="E6343" s="51"/>
      <c r="F6343" s="114" t="str">
        <f>IF(INDEX(I.Facility.P2aIDNumber,1331)="","",INDEX(I.Facility.P2aIDNumber,1331))</f>
        <v/>
      </c>
      <c r="G6343" s="51"/>
      <c r="H6343" s="46" t="str">
        <f>IF(AND(I.Developer.P2a=TRUE,I.Facility.P2aFacilityCount&gt;=1331,F6343=""),"Incomplete","Complete")</f>
        <v>Complete</v>
      </c>
      <c r="I6343" s="48" t="s">
        <v>10708</v>
      </c>
    </row>
    <row r="6344" spans="2:9" ht="15" customHeight="1" x14ac:dyDescent="0.25">
      <c r="B6344" s="55" t="s">
        <v>280</v>
      </c>
      <c r="C6344" s="46">
        <v>1332</v>
      </c>
      <c r="D6344" s="69" t="s">
        <v>29417</v>
      </c>
      <c r="E6344" s="51"/>
      <c r="F6344" s="114" t="str">
        <f>IF(INDEX(I.Facility.P2aIDNumber,1332)="","",INDEX(I.Facility.P2aIDNumber,1332))</f>
        <v/>
      </c>
      <c r="G6344" s="51"/>
      <c r="H6344" s="46" t="str">
        <f>IF(AND(I.Developer.P2a=TRUE,I.Facility.P2aFacilityCount&gt;=1332,F6344=""),"Incomplete","Complete")</f>
        <v>Complete</v>
      </c>
      <c r="I6344" s="48" t="s">
        <v>10709</v>
      </c>
    </row>
    <row r="6345" spans="2:9" ht="15" customHeight="1" x14ac:dyDescent="0.25">
      <c r="B6345" s="55" t="s">
        <v>280</v>
      </c>
      <c r="C6345" s="46">
        <v>1333</v>
      </c>
      <c r="D6345" s="69" t="s">
        <v>29417</v>
      </c>
      <c r="E6345" s="51"/>
      <c r="F6345" s="114" t="str">
        <f>IF(INDEX(I.Facility.P2aIDNumber,1333)="","",INDEX(I.Facility.P2aIDNumber,1333))</f>
        <v/>
      </c>
      <c r="G6345" s="51"/>
      <c r="H6345" s="46" t="str">
        <f>IF(AND(I.Developer.P2a=TRUE,I.Facility.P2aFacilityCount&gt;=1333,F6345=""),"Incomplete","Complete")</f>
        <v>Complete</v>
      </c>
      <c r="I6345" s="48" t="s">
        <v>10710</v>
      </c>
    </row>
    <row r="6346" spans="2:9" ht="15" customHeight="1" x14ac:dyDescent="0.25">
      <c r="B6346" s="55" t="s">
        <v>280</v>
      </c>
      <c r="C6346" s="46">
        <v>1334</v>
      </c>
      <c r="D6346" s="69" t="s">
        <v>29417</v>
      </c>
      <c r="E6346" s="51"/>
      <c r="F6346" s="114" t="str">
        <f>IF(INDEX(I.Facility.P2aIDNumber,1334)="","",INDEX(I.Facility.P2aIDNumber,1334))</f>
        <v/>
      </c>
      <c r="G6346" s="51"/>
      <c r="H6346" s="46" t="str">
        <f>IF(AND(I.Developer.P2a=TRUE,I.Facility.P2aFacilityCount&gt;=1334,F6346=""),"Incomplete","Complete")</f>
        <v>Complete</v>
      </c>
      <c r="I6346" s="48" t="s">
        <v>10711</v>
      </c>
    </row>
    <row r="6347" spans="2:9" ht="15" customHeight="1" x14ac:dyDescent="0.25">
      <c r="B6347" s="55" t="s">
        <v>280</v>
      </c>
      <c r="C6347" s="46">
        <v>1335</v>
      </c>
      <c r="D6347" s="69" t="s">
        <v>29417</v>
      </c>
      <c r="E6347" s="51"/>
      <c r="F6347" s="114" t="str">
        <f>IF(INDEX(I.Facility.P2aIDNumber,1335)="","",INDEX(I.Facility.P2aIDNumber,1335))</f>
        <v/>
      </c>
      <c r="G6347" s="51"/>
      <c r="H6347" s="46" t="str">
        <f>IF(AND(I.Developer.P2a=TRUE,I.Facility.P2aFacilityCount&gt;=1335,F6347=""),"Incomplete","Complete")</f>
        <v>Complete</v>
      </c>
      <c r="I6347" s="48" t="s">
        <v>10712</v>
      </c>
    </row>
    <row r="6348" spans="2:9" ht="15" customHeight="1" x14ac:dyDescent="0.25">
      <c r="B6348" s="55" t="s">
        <v>280</v>
      </c>
      <c r="C6348" s="46">
        <v>1336</v>
      </c>
      <c r="D6348" s="69" t="s">
        <v>29417</v>
      </c>
      <c r="E6348" s="51"/>
      <c r="F6348" s="114" t="str">
        <f>IF(INDEX(I.Facility.P2aIDNumber,1336)="","",INDEX(I.Facility.P2aIDNumber,1336))</f>
        <v/>
      </c>
      <c r="G6348" s="51"/>
      <c r="H6348" s="46" t="str">
        <f>IF(AND(I.Developer.P2a=TRUE,I.Facility.P2aFacilityCount&gt;=1336,F6348=""),"Incomplete","Complete")</f>
        <v>Complete</v>
      </c>
      <c r="I6348" s="48" t="s">
        <v>10713</v>
      </c>
    </row>
    <row r="6349" spans="2:9" ht="15" customHeight="1" x14ac:dyDescent="0.25">
      <c r="B6349" s="55" t="s">
        <v>280</v>
      </c>
      <c r="C6349" s="46">
        <v>1337</v>
      </c>
      <c r="D6349" s="69" t="s">
        <v>29417</v>
      </c>
      <c r="E6349" s="51"/>
      <c r="F6349" s="114" t="str">
        <f>IF(INDEX(I.Facility.P2aIDNumber,1337)="","",INDEX(I.Facility.P2aIDNumber,1337))</f>
        <v/>
      </c>
      <c r="G6349" s="51"/>
      <c r="H6349" s="46" t="str">
        <f>IF(AND(I.Developer.P2a=TRUE,I.Facility.P2aFacilityCount&gt;=1337,F6349=""),"Incomplete","Complete")</f>
        <v>Complete</v>
      </c>
      <c r="I6349" s="48" t="s">
        <v>10714</v>
      </c>
    </row>
    <row r="6350" spans="2:9" ht="15" customHeight="1" x14ac:dyDescent="0.25">
      <c r="B6350" s="55" t="s">
        <v>280</v>
      </c>
      <c r="C6350" s="46">
        <v>1338</v>
      </c>
      <c r="D6350" s="69" t="s">
        <v>29417</v>
      </c>
      <c r="E6350" s="51"/>
      <c r="F6350" s="114" t="str">
        <f>IF(INDEX(I.Facility.P2aIDNumber,1338)="","",INDEX(I.Facility.P2aIDNumber,1338))</f>
        <v/>
      </c>
      <c r="G6350" s="51"/>
      <c r="H6350" s="46" t="str">
        <f>IF(AND(I.Developer.P2a=TRUE,I.Facility.P2aFacilityCount&gt;=1338,F6350=""),"Incomplete","Complete")</f>
        <v>Complete</v>
      </c>
      <c r="I6350" s="48" t="s">
        <v>10715</v>
      </c>
    </row>
    <row r="6351" spans="2:9" ht="15" customHeight="1" x14ac:dyDescent="0.25">
      <c r="B6351" s="55" t="s">
        <v>280</v>
      </c>
      <c r="C6351" s="46">
        <v>1339</v>
      </c>
      <c r="D6351" s="69" t="s">
        <v>29417</v>
      </c>
      <c r="E6351" s="51"/>
      <c r="F6351" s="114" t="str">
        <f>IF(INDEX(I.Facility.P2aIDNumber,1339)="","",INDEX(I.Facility.P2aIDNumber,1339))</f>
        <v/>
      </c>
      <c r="G6351" s="51"/>
      <c r="H6351" s="46" t="str">
        <f>IF(AND(I.Developer.P2a=TRUE,I.Facility.P2aFacilityCount&gt;=1339,F6351=""),"Incomplete","Complete")</f>
        <v>Complete</v>
      </c>
      <c r="I6351" s="48" t="s">
        <v>10716</v>
      </c>
    </row>
    <row r="6352" spans="2:9" ht="15" customHeight="1" x14ac:dyDescent="0.25">
      <c r="B6352" s="55" t="s">
        <v>280</v>
      </c>
      <c r="C6352" s="46">
        <v>1340</v>
      </c>
      <c r="D6352" s="69" t="s">
        <v>29417</v>
      </c>
      <c r="E6352" s="51"/>
      <c r="F6352" s="114" t="str">
        <f>IF(INDEX(I.Facility.P2aIDNumber,1340)="","",INDEX(I.Facility.P2aIDNumber,1340))</f>
        <v/>
      </c>
      <c r="G6352" s="51"/>
      <c r="H6352" s="46" t="str">
        <f>IF(AND(I.Developer.P2a=TRUE,I.Facility.P2aFacilityCount&gt;=1340,F6352=""),"Incomplete","Complete")</f>
        <v>Complete</v>
      </c>
      <c r="I6352" s="48" t="s">
        <v>10717</v>
      </c>
    </row>
    <row r="6353" spans="2:9" ht="15" customHeight="1" x14ac:dyDescent="0.25">
      <c r="B6353" s="55" t="s">
        <v>280</v>
      </c>
      <c r="C6353" s="46">
        <v>1341</v>
      </c>
      <c r="D6353" s="69" t="s">
        <v>29417</v>
      </c>
      <c r="E6353" s="51"/>
      <c r="F6353" s="114" t="str">
        <f>IF(INDEX(I.Facility.P2aIDNumber,1341)="","",INDEX(I.Facility.P2aIDNumber,1341))</f>
        <v/>
      </c>
      <c r="G6353" s="51"/>
      <c r="H6353" s="46" t="str">
        <f>IF(AND(I.Developer.P2a=TRUE,I.Facility.P2aFacilityCount&gt;=1341,F6353=""),"Incomplete","Complete")</f>
        <v>Complete</v>
      </c>
      <c r="I6353" s="48" t="s">
        <v>10718</v>
      </c>
    </row>
    <row r="6354" spans="2:9" ht="15" customHeight="1" x14ac:dyDescent="0.25">
      <c r="B6354" s="55" t="s">
        <v>280</v>
      </c>
      <c r="C6354" s="46">
        <v>1342</v>
      </c>
      <c r="D6354" s="69" t="s">
        <v>29417</v>
      </c>
      <c r="E6354" s="51"/>
      <c r="F6354" s="114" t="str">
        <f>IF(INDEX(I.Facility.P2aIDNumber,1342)="","",INDEX(I.Facility.P2aIDNumber,1342))</f>
        <v/>
      </c>
      <c r="G6354" s="51"/>
      <c r="H6354" s="46" t="str">
        <f>IF(AND(I.Developer.P2a=TRUE,I.Facility.P2aFacilityCount&gt;=1342,F6354=""),"Incomplete","Complete")</f>
        <v>Complete</v>
      </c>
      <c r="I6354" s="48" t="s">
        <v>10719</v>
      </c>
    </row>
    <row r="6355" spans="2:9" ht="15" customHeight="1" x14ac:dyDescent="0.25">
      <c r="B6355" s="55" t="s">
        <v>280</v>
      </c>
      <c r="C6355" s="46">
        <v>1343</v>
      </c>
      <c r="D6355" s="69" t="s">
        <v>29417</v>
      </c>
      <c r="E6355" s="51"/>
      <c r="F6355" s="114" t="str">
        <f>IF(INDEX(I.Facility.P2aIDNumber,1343)="","",INDEX(I.Facility.P2aIDNumber,1343))</f>
        <v/>
      </c>
      <c r="G6355" s="51"/>
      <c r="H6355" s="46" t="str">
        <f>IF(AND(I.Developer.P2a=TRUE,I.Facility.P2aFacilityCount&gt;=1343,F6355=""),"Incomplete","Complete")</f>
        <v>Complete</v>
      </c>
      <c r="I6355" s="48" t="s">
        <v>10720</v>
      </c>
    </row>
    <row r="6356" spans="2:9" ht="15" customHeight="1" x14ac:dyDescent="0.25">
      <c r="B6356" s="55" t="s">
        <v>280</v>
      </c>
      <c r="C6356" s="46">
        <v>1344</v>
      </c>
      <c r="D6356" s="69" t="s">
        <v>29417</v>
      </c>
      <c r="E6356" s="51"/>
      <c r="F6356" s="114" t="str">
        <f>IF(INDEX(I.Facility.P2aIDNumber,1344)="","",INDEX(I.Facility.P2aIDNumber,1344))</f>
        <v/>
      </c>
      <c r="G6356" s="51"/>
      <c r="H6356" s="46" t="str">
        <f>IF(AND(I.Developer.P2a=TRUE,I.Facility.P2aFacilityCount&gt;=1344,F6356=""),"Incomplete","Complete")</f>
        <v>Complete</v>
      </c>
      <c r="I6356" s="48" t="s">
        <v>10721</v>
      </c>
    </row>
    <row r="6357" spans="2:9" ht="15" customHeight="1" x14ac:dyDescent="0.25">
      <c r="B6357" s="55" t="s">
        <v>280</v>
      </c>
      <c r="C6357" s="46">
        <v>1345</v>
      </c>
      <c r="D6357" s="69" t="s">
        <v>29417</v>
      </c>
      <c r="E6357" s="51"/>
      <c r="F6357" s="114" t="str">
        <f>IF(INDEX(I.Facility.P2aIDNumber,1345)="","",INDEX(I.Facility.P2aIDNumber,1345))</f>
        <v/>
      </c>
      <c r="G6357" s="51"/>
      <c r="H6357" s="46" t="str">
        <f>IF(AND(I.Developer.P2a=TRUE,I.Facility.P2aFacilityCount&gt;=1345,F6357=""),"Incomplete","Complete")</f>
        <v>Complete</v>
      </c>
      <c r="I6357" s="48" t="s">
        <v>10722</v>
      </c>
    </row>
    <row r="6358" spans="2:9" ht="15" customHeight="1" x14ac:dyDescent="0.25">
      <c r="B6358" s="55" t="s">
        <v>280</v>
      </c>
      <c r="C6358" s="46">
        <v>1346</v>
      </c>
      <c r="D6358" s="69" t="s">
        <v>29417</v>
      </c>
      <c r="E6358" s="51"/>
      <c r="F6358" s="114" t="str">
        <f>IF(INDEX(I.Facility.P2aIDNumber,1346)="","",INDEX(I.Facility.P2aIDNumber,1346))</f>
        <v/>
      </c>
      <c r="G6358" s="51"/>
      <c r="H6358" s="46" t="str">
        <f>IF(AND(I.Developer.P2a=TRUE,I.Facility.P2aFacilityCount&gt;=1346,F6358=""),"Incomplete","Complete")</f>
        <v>Complete</v>
      </c>
      <c r="I6358" s="48" t="s">
        <v>10723</v>
      </c>
    </row>
    <row r="6359" spans="2:9" ht="15" customHeight="1" x14ac:dyDescent="0.25">
      <c r="B6359" s="55" t="s">
        <v>280</v>
      </c>
      <c r="C6359" s="46">
        <v>1347</v>
      </c>
      <c r="D6359" s="69" t="s">
        <v>29417</v>
      </c>
      <c r="E6359" s="51"/>
      <c r="F6359" s="114" t="str">
        <f>IF(INDEX(I.Facility.P2aIDNumber,1347)="","",INDEX(I.Facility.P2aIDNumber,1347))</f>
        <v/>
      </c>
      <c r="G6359" s="51"/>
      <c r="H6359" s="46" t="str">
        <f>IF(AND(I.Developer.P2a=TRUE,I.Facility.P2aFacilityCount&gt;=1347,F6359=""),"Incomplete","Complete")</f>
        <v>Complete</v>
      </c>
      <c r="I6359" s="48" t="s">
        <v>10724</v>
      </c>
    </row>
    <row r="6360" spans="2:9" ht="15" customHeight="1" x14ac:dyDescent="0.25">
      <c r="B6360" s="55" t="s">
        <v>280</v>
      </c>
      <c r="C6360" s="46">
        <v>1348</v>
      </c>
      <c r="D6360" s="69" t="s">
        <v>29417</v>
      </c>
      <c r="E6360" s="51"/>
      <c r="F6360" s="114" t="str">
        <f>IF(INDEX(I.Facility.P2aIDNumber,1348)="","",INDEX(I.Facility.P2aIDNumber,1348))</f>
        <v/>
      </c>
      <c r="G6360" s="51"/>
      <c r="H6360" s="46" t="str">
        <f>IF(AND(I.Developer.P2a=TRUE,I.Facility.P2aFacilityCount&gt;=1348,F6360=""),"Incomplete","Complete")</f>
        <v>Complete</v>
      </c>
      <c r="I6360" s="48" t="s">
        <v>10725</v>
      </c>
    </row>
    <row r="6361" spans="2:9" ht="15" customHeight="1" x14ac:dyDescent="0.25">
      <c r="B6361" s="55" t="s">
        <v>280</v>
      </c>
      <c r="C6361" s="46">
        <v>1349</v>
      </c>
      <c r="D6361" s="69" t="s">
        <v>29417</v>
      </c>
      <c r="E6361" s="51"/>
      <c r="F6361" s="114" t="str">
        <f>IF(INDEX(I.Facility.P2aIDNumber,1349)="","",INDEX(I.Facility.P2aIDNumber,1349))</f>
        <v/>
      </c>
      <c r="G6361" s="51"/>
      <c r="H6361" s="46" t="str">
        <f>IF(AND(I.Developer.P2a=TRUE,I.Facility.P2aFacilityCount&gt;=1349,F6361=""),"Incomplete","Complete")</f>
        <v>Complete</v>
      </c>
      <c r="I6361" s="48" t="s">
        <v>10726</v>
      </c>
    </row>
    <row r="6362" spans="2:9" ht="15" customHeight="1" x14ac:dyDescent="0.25">
      <c r="B6362" s="55" t="s">
        <v>280</v>
      </c>
      <c r="C6362" s="46">
        <v>1350</v>
      </c>
      <c r="D6362" s="69" t="s">
        <v>29417</v>
      </c>
      <c r="E6362" s="51"/>
      <c r="F6362" s="114" t="str">
        <f>IF(INDEX(I.Facility.P2aIDNumber,1350)="","",INDEX(I.Facility.P2aIDNumber,1350))</f>
        <v/>
      </c>
      <c r="G6362" s="51"/>
      <c r="H6362" s="46" t="str">
        <f>IF(AND(I.Developer.P2a=TRUE,I.Facility.P2aFacilityCount&gt;=1350,F6362=""),"Incomplete","Complete")</f>
        <v>Complete</v>
      </c>
      <c r="I6362" s="48" t="s">
        <v>10727</v>
      </c>
    </row>
    <row r="6363" spans="2:9" ht="15" customHeight="1" x14ac:dyDescent="0.25">
      <c r="B6363" s="55" t="s">
        <v>280</v>
      </c>
      <c r="C6363" s="46">
        <v>1351</v>
      </c>
      <c r="D6363" s="69" t="s">
        <v>29417</v>
      </c>
      <c r="E6363" s="51"/>
      <c r="F6363" s="114" t="str">
        <f>IF(INDEX(I.Facility.P2aIDNumber,1351)="","",INDEX(I.Facility.P2aIDNumber,1351))</f>
        <v/>
      </c>
      <c r="G6363" s="51"/>
      <c r="H6363" s="46" t="str">
        <f>IF(AND(I.Developer.P2a=TRUE,I.Facility.P2aFacilityCount&gt;=1351,F6363=""),"Incomplete","Complete")</f>
        <v>Complete</v>
      </c>
      <c r="I6363" s="48" t="s">
        <v>10728</v>
      </c>
    </row>
    <row r="6364" spans="2:9" ht="15" customHeight="1" x14ac:dyDescent="0.25">
      <c r="B6364" s="55" t="s">
        <v>280</v>
      </c>
      <c r="C6364" s="46">
        <v>1352</v>
      </c>
      <c r="D6364" s="69" t="s">
        <v>29417</v>
      </c>
      <c r="E6364" s="51"/>
      <c r="F6364" s="114" t="str">
        <f>IF(INDEX(I.Facility.P2aIDNumber,1352)="","",INDEX(I.Facility.P2aIDNumber,1352))</f>
        <v/>
      </c>
      <c r="G6364" s="51"/>
      <c r="H6364" s="46" t="str">
        <f>IF(AND(I.Developer.P2a=TRUE,I.Facility.P2aFacilityCount&gt;=1352,F6364=""),"Incomplete","Complete")</f>
        <v>Complete</v>
      </c>
      <c r="I6364" s="48" t="s">
        <v>10729</v>
      </c>
    </row>
    <row r="6365" spans="2:9" ht="15" customHeight="1" x14ac:dyDescent="0.25">
      <c r="B6365" s="55" t="s">
        <v>280</v>
      </c>
      <c r="C6365" s="46">
        <v>1353</v>
      </c>
      <c r="D6365" s="69" t="s">
        <v>29417</v>
      </c>
      <c r="E6365" s="51"/>
      <c r="F6365" s="114" t="str">
        <f>IF(INDEX(I.Facility.P2aIDNumber,1353)="","",INDEX(I.Facility.P2aIDNumber,1353))</f>
        <v/>
      </c>
      <c r="G6365" s="51"/>
      <c r="H6365" s="46" t="str">
        <f>IF(AND(I.Developer.P2a=TRUE,I.Facility.P2aFacilityCount&gt;=1353,F6365=""),"Incomplete","Complete")</f>
        <v>Complete</v>
      </c>
      <c r="I6365" s="48" t="s">
        <v>10730</v>
      </c>
    </row>
    <row r="6366" spans="2:9" ht="15" customHeight="1" x14ac:dyDescent="0.25">
      <c r="B6366" s="55" t="s">
        <v>280</v>
      </c>
      <c r="C6366" s="46">
        <v>1354</v>
      </c>
      <c r="D6366" s="69" t="s">
        <v>29417</v>
      </c>
      <c r="E6366" s="51"/>
      <c r="F6366" s="114" t="str">
        <f>IF(INDEX(I.Facility.P2aIDNumber,1354)="","",INDEX(I.Facility.P2aIDNumber,1354))</f>
        <v/>
      </c>
      <c r="G6366" s="51"/>
      <c r="H6366" s="46" t="str">
        <f>IF(AND(I.Developer.P2a=TRUE,I.Facility.P2aFacilityCount&gt;=1354,F6366=""),"Incomplete","Complete")</f>
        <v>Complete</v>
      </c>
      <c r="I6366" s="48" t="s">
        <v>10731</v>
      </c>
    </row>
    <row r="6367" spans="2:9" ht="15" customHeight="1" x14ac:dyDescent="0.25">
      <c r="B6367" s="55" t="s">
        <v>280</v>
      </c>
      <c r="C6367" s="46">
        <v>1355</v>
      </c>
      <c r="D6367" s="69" t="s">
        <v>29417</v>
      </c>
      <c r="E6367" s="51"/>
      <c r="F6367" s="114" t="str">
        <f>IF(INDEX(I.Facility.P2aIDNumber,1355)="","",INDEX(I.Facility.P2aIDNumber,1355))</f>
        <v/>
      </c>
      <c r="G6367" s="51"/>
      <c r="H6367" s="46" t="str">
        <f>IF(AND(I.Developer.P2a=TRUE,I.Facility.P2aFacilityCount&gt;=1355,F6367=""),"Incomplete","Complete")</f>
        <v>Complete</v>
      </c>
      <c r="I6367" s="48" t="s">
        <v>10732</v>
      </c>
    </row>
    <row r="6368" spans="2:9" ht="15" customHeight="1" x14ac:dyDescent="0.25">
      <c r="B6368" s="55" t="s">
        <v>280</v>
      </c>
      <c r="C6368" s="46">
        <v>1356</v>
      </c>
      <c r="D6368" s="69" t="s">
        <v>29417</v>
      </c>
      <c r="E6368" s="51"/>
      <c r="F6368" s="114" t="str">
        <f>IF(INDEX(I.Facility.P2aIDNumber,1356)="","",INDEX(I.Facility.P2aIDNumber,1356))</f>
        <v/>
      </c>
      <c r="G6368" s="51"/>
      <c r="H6368" s="46" t="str">
        <f>IF(AND(I.Developer.P2a=TRUE,I.Facility.P2aFacilityCount&gt;=1356,F6368=""),"Incomplete","Complete")</f>
        <v>Complete</v>
      </c>
      <c r="I6368" s="48" t="s">
        <v>10733</v>
      </c>
    </row>
    <row r="6369" spans="2:9" ht="15" customHeight="1" x14ac:dyDescent="0.25">
      <c r="B6369" s="55" t="s">
        <v>280</v>
      </c>
      <c r="C6369" s="46">
        <v>1357</v>
      </c>
      <c r="D6369" s="69" t="s">
        <v>29417</v>
      </c>
      <c r="E6369" s="51"/>
      <c r="F6369" s="114" t="str">
        <f>IF(INDEX(I.Facility.P2aIDNumber,1357)="","",INDEX(I.Facility.P2aIDNumber,1357))</f>
        <v/>
      </c>
      <c r="G6369" s="51"/>
      <c r="H6369" s="46" t="str">
        <f>IF(AND(I.Developer.P2a=TRUE,I.Facility.P2aFacilityCount&gt;=1357,F6369=""),"Incomplete","Complete")</f>
        <v>Complete</v>
      </c>
      <c r="I6369" s="48" t="s">
        <v>10734</v>
      </c>
    </row>
    <row r="6370" spans="2:9" ht="15" customHeight="1" x14ac:dyDescent="0.25">
      <c r="B6370" s="55" t="s">
        <v>280</v>
      </c>
      <c r="C6370" s="46">
        <v>1358</v>
      </c>
      <c r="D6370" s="69" t="s">
        <v>29417</v>
      </c>
      <c r="E6370" s="51"/>
      <c r="F6370" s="114" t="str">
        <f>IF(INDEX(I.Facility.P2aIDNumber,1358)="","",INDEX(I.Facility.P2aIDNumber,1358))</f>
        <v/>
      </c>
      <c r="G6370" s="51"/>
      <c r="H6370" s="46" t="str">
        <f>IF(AND(I.Developer.P2a=TRUE,I.Facility.P2aFacilityCount&gt;=1358,F6370=""),"Incomplete","Complete")</f>
        <v>Complete</v>
      </c>
      <c r="I6370" s="48" t="s">
        <v>10735</v>
      </c>
    </row>
    <row r="6371" spans="2:9" ht="15" customHeight="1" x14ac:dyDescent="0.25">
      <c r="B6371" s="55" t="s">
        <v>280</v>
      </c>
      <c r="C6371" s="46">
        <v>1359</v>
      </c>
      <c r="D6371" s="69" t="s">
        <v>29417</v>
      </c>
      <c r="E6371" s="51"/>
      <c r="F6371" s="114" t="str">
        <f>IF(INDEX(I.Facility.P2aIDNumber,1359)="","",INDEX(I.Facility.P2aIDNumber,1359))</f>
        <v/>
      </c>
      <c r="G6371" s="51"/>
      <c r="H6371" s="46" t="str">
        <f>IF(AND(I.Developer.P2a=TRUE,I.Facility.P2aFacilityCount&gt;=1359,F6371=""),"Incomplete","Complete")</f>
        <v>Complete</v>
      </c>
      <c r="I6371" s="48" t="s">
        <v>10736</v>
      </c>
    </row>
    <row r="6372" spans="2:9" ht="15" customHeight="1" x14ac:dyDescent="0.25">
      <c r="B6372" s="55" t="s">
        <v>280</v>
      </c>
      <c r="C6372" s="46">
        <v>1360</v>
      </c>
      <c r="D6372" s="69" t="s">
        <v>29417</v>
      </c>
      <c r="E6372" s="51"/>
      <c r="F6372" s="114" t="str">
        <f>IF(INDEX(I.Facility.P2aIDNumber,1360)="","",INDEX(I.Facility.P2aIDNumber,1360))</f>
        <v/>
      </c>
      <c r="G6372" s="51"/>
      <c r="H6372" s="46" t="str">
        <f>IF(AND(I.Developer.P2a=TRUE,I.Facility.P2aFacilityCount&gt;=1360,F6372=""),"Incomplete","Complete")</f>
        <v>Complete</v>
      </c>
      <c r="I6372" s="48" t="s">
        <v>10737</v>
      </c>
    </row>
    <row r="6373" spans="2:9" ht="15" customHeight="1" x14ac:dyDescent="0.25">
      <c r="B6373" s="55" t="s">
        <v>280</v>
      </c>
      <c r="C6373" s="46">
        <v>1361</v>
      </c>
      <c r="D6373" s="69" t="s">
        <v>29417</v>
      </c>
      <c r="E6373" s="51"/>
      <c r="F6373" s="114" t="str">
        <f>IF(INDEX(I.Facility.P2aIDNumber,1361)="","",INDEX(I.Facility.P2aIDNumber,1361))</f>
        <v/>
      </c>
      <c r="G6373" s="51"/>
      <c r="H6373" s="46" t="str">
        <f>IF(AND(I.Developer.P2a=TRUE,I.Facility.P2aFacilityCount&gt;=1361,F6373=""),"Incomplete","Complete")</f>
        <v>Complete</v>
      </c>
      <c r="I6373" s="48" t="s">
        <v>10738</v>
      </c>
    </row>
    <row r="6374" spans="2:9" ht="15" customHeight="1" x14ac:dyDescent="0.25">
      <c r="B6374" s="55" t="s">
        <v>280</v>
      </c>
      <c r="C6374" s="46">
        <v>1362</v>
      </c>
      <c r="D6374" s="69" t="s">
        <v>29417</v>
      </c>
      <c r="E6374" s="51"/>
      <c r="F6374" s="114" t="str">
        <f>IF(INDEX(I.Facility.P2aIDNumber,1362)="","",INDEX(I.Facility.P2aIDNumber,1362))</f>
        <v/>
      </c>
      <c r="G6374" s="51"/>
      <c r="H6374" s="46" t="str">
        <f>IF(AND(I.Developer.P2a=TRUE,I.Facility.P2aFacilityCount&gt;=1362,F6374=""),"Incomplete","Complete")</f>
        <v>Complete</v>
      </c>
      <c r="I6374" s="48" t="s">
        <v>10739</v>
      </c>
    </row>
    <row r="6375" spans="2:9" ht="15" customHeight="1" x14ac:dyDescent="0.25">
      <c r="B6375" s="55" t="s">
        <v>280</v>
      </c>
      <c r="C6375" s="46">
        <v>1363</v>
      </c>
      <c r="D6375" s="69" t="s">
        <v>29417</v>
      </c>
      <c r="E6375" s="51"/>
      <c r="F6375" s="114" t="str">
        <f>IF(INDEX(I.Facility.P2aIDNumber,1363)="","",INDEX(I.Facility.P2aIDNumber,1363))</f>
        <v/>
      </c>
      <c r="G6375" s="51"/>
      <c r="H6375" s="46" t="str">
        <f>IF(AND(I.Developer.P2a=TRUE,I.Facility.P2aFacilityCount&gt;=1363,F6375=""),"Incomplete","Complete")</f>
        <v>Complete</v>
      </c>
      <c r="I6375" s="48" t="s">
        <v>10740</v>
      </c>
    </row>
    <row r="6376" spans="2:9" ht="15" customHeight="1" x14ac:dyDescent="0.25">
      <c r="B6376" s="55" t="s">
        <v>280</v>
      </c>
      <c r="C6376" s="46">
        <v>1364</v>
      </c>
      <c r="D6376" s="69" t="s">
        <v>29417</v>
      </c>
      <c r="E6376" s="51"/>
      <c r="F6376" s="114" t="str">
        <f>IF(INDEX(I.Facility.P2aIDNumber,1364)="","",INDEX(I.Facility.P2aIDNumber,1364))</f>
        <v/>
      </c>
      <c r="G6376" s="51"/>
      <c r="H6376" s="46" t="str">
        <f>IF(AND(I.Developer.P2a=TRUE,I.Facility.P2aFacilityCount&gt;=1364,F6376=""),"Incomplete","Complete")</f>
        <v>Complete</v>
      </c>
      <c r="I6376" s="48" t="s">
        <v>10741</v>
      </c>
    </row>
    <row r="6377" spans="2:9" ht="15" customHeight="1" x14ac:dyDescent="0.25">
      <c r="B6377" s="55" t="s">
        <v>280</v>
      </c>
      <c r="C6377" s="46">
        <v>1365</v>
      </c>
      <c r="D6377" s="69" t="s">
        <v>29417</v>
      </c>
      <c r="E6377" s="51"/>
      <c r="F6377" s="114" t="str">
        <f>IF(INDEX(I.Facility.P2aIDNumber,1365)="","",INDEX(I.Facility.P2aIDNumber,1365))</f>
        <v/>
      </c>
      <c r="G6377" s="51"/>
      <c r="H6377" s="46" t="str">
        <f>IF(AND(I.Developer.P2a=TRUE,I.Facility.P2aFacilityCount&gt;=1365,F6377=""),"Incomplete","Complete")</f>
        <v>Complete</v>
      </c>
      <c r="I6377" s="48" t="s">
        <v>10742</v>
      </c>
    </row>
    <row r="6378" spans="2:9" ht="15" customHeight="1" x14ac:dyDescent="0.25">
      <c r="B6378" s="55" t="s">
        <v>280</v>
      </c>
      <c r="C6378" s="46">
        <v>1366</v>
      </c>
      <c r="D6378" s="69" t="s">
        <v>29417</v>
      </c>
      <c r="E6378" s="51"/>
      <c r="F6378" s="114" t="str">
        <f>IF(INDEX(I.Facility.P2aIDNumber,1366)="","",INDEX(I.Facility.P2aIDNumber,1366))</f>
        <v/>
      </c>
      <c r="G6378" s="51"/>
      <c r="H6378" s="46" t="str">
        <f>IF(AND(I.Developer.P2a=TRUE,I.Facility.P2aFacilityCount&gt;=1366,F6378=""),"Incomplete","Complete")</f>
        <v>Complete</v>
      </c>
      <c r="I6378" s="48" t="s">
        <v>10743</v>
      </c>
    </row>
    <row r="6379" spans="2:9" ht="15" customHeight="1" x14ac:dyDescent="0.25">
      <c r="B6379" s="55" t="s">
        <v>280</v>
      </c>
      <c r="C6379" s="46">
        <v>1367</v>
      </c>
      <c r="D6379" s="69" t="s">
        <v>29417</v>
      </c>
      <c r="E6379" s="51"/>
      <c r="F6379" s="114" t="str">
        <f>IF(INDEX(I.Facility.P2aIDNumber,1367)="","",INDEX(I.Facility.P2aIDNumber,1367))</f>
        <v/>
      </c>
      <c r="G6379" s="51"/>
      <c r="H6379" s="46" t="str">
        <f>IF(AND(I.Developer.P2a=TRUE,I.Facility.P2aFacilityCount&gt;=1367,F6379=""),"Incomplete","Complete")</f>
        <v>Complete</v>
      </c>
      <c r="I6379" s="48" t="s">
        <v>10744</v>
      </c>
    </row>
    <row r="6380" spans="2:9" ht="15" customHeight="1" x14ac:dyDescent="0.25">
      <c r="B6380" s="55" t="s">
        <v>280</v>
      </c>
      <c r="C6380" s="46">
        <v>1368</v>
      </c>
      <c r="D6380" s="69" t="s">
        <v>29417</v>
      </c>
      <c r="E6380" s="51"/>
      <c r="F6380" s="114" t="str">
        <f>IF(INDEX(I.Facility.P2aIDNumber,1368)="","",INDEX(I.Facility.P2aIDNumber,1368))</f>
        <v/>
      </c>
      <c r="G6380" s="51"/>
      <c r="H6380" s="46" t="str">
        <f>IF(AND(I.Developer.P2a=TRUE,I.Facility.P2aFacilityCount&gt;=1368,F6380=""),"Incomplete","Complete")</f>
        <v>Complete</v>
      </c>
      <c r="I6380" s="48" t="s">
        <v>10745</v>
      </c>
    </row>
    <row r="6381" spans="2:9" ht="15" customHeight="1" x14ac:dyDescent="0.25">
      <c r="B6381" s="55" t="s">
        <v>280</v>
      </c>
      <c r="C6381" s="46">
        <v>1369</v>
      </c>
      <c r="D6381" s="69" t="s">
        <v>29417</v>
      </c>
      <c r="E6381" s="51"/>
      <c r="F6381" s="114" t="str">
        <f>IF(INDEX(I.Facility.P2aIDNumber,1369)="","",INDEX(I.Facility.P2aIDNumber,1369))</f>
        <v/>
      </c>
      <c r="G6381" s="51"/>
      <c r="H6381" s="46" t="str">
        <f>IF(AND(I.Developer.P2a=TRUE,I.Facility.P2aFacilityCount&gt;=1369,F6381=""),"Incomplete","Complete")</f>
        <v>Complete</v>
      </c>
      <c r="I6381" s="48" t="s">
        <v>10746</v>
      </c>
    </row>
    <row r="6382" spans="2:9" ht="15" customHeight="1" x14ac:dyDescent="0.25">
      <c r="B6382" s="55" t="s">
        <v>280</v>
      </c>
      <c r="C6382" s="46">
        <v>1370</v>
      </c>
      <c r="D6382" s="69" t="s">
        <v>29417</v>
      </c>
      <c r="E6382" s="51"/>
      <c r="F6382" s="114" t="str">
        <f>IF(INDEX(I.Facility.P2aIDNumber,1370)="","",INDEX(I.Facility.P2aIDNumber,1370))</f>
        <v/>
      </c>
      <c r="G6382" s="51"/>
      <c r="H6382" s="46" t="str">
        <f>IF(AND(I.Developer.P2a=TRUE,I.Facility.P2aFacilityCount&gt;=1370,F6382=""),"Incomplete","Complete")</f>
        <v>Complete</v>
      </c>
      <c r="I6382" s="48" t="s">
        <v>10747</v>
      </c>
    </row>
    <row r="6383" spans="2:9" ht="15" customHeight="1" x14ac:dyDescent="0.25">
      <c r="B6383" s="55" t="s">
        <v>280</v>
      </c>
      <c r="C6383" s="46">
        <v>1371</v>
      </c>
      <c r="D6383" s="69" t="s">
        <v>29417</v>
      </c>
      <c r="E6383" s="51"/>
      <c r="F6383" s="114" t="str">
        <f>IF(INDEX(I.Facility.P2aIDNumber,1371)="","",INDEX(I.Facility.P2aIDNumber,1371))</f>
        <v/>
      </c>
      <c r="G6383" s="51"/>
      <c r="H6383" s="46" t="str">
        <f>IF(AND(I.Developer.P2a=TRUE,I.Facility.P2aFacilityCount&gt;=1371,F6383=""),"Incomplete","Complete")</f>
        <v>Complete</v>
      </c>
      <c r="I6383" s="48" t="s">
        <v>10748</v>
      </c>
    </row>
    <row r="6384" spans="2:9" ht="15" customHeight="1" x14ac:dyDescent="0.25">
      <c r="B6384" s="55" t="s">
        <v>280</v>
      </c>
      <c r="C6384" s="46">
        <v>1372</v>
      </c>
      <c r="D6384" s="69" t="s">
        <v>29417</v>
      </c>
      <c r="E6384" s="51"/>
      <c r="F6384" s="114" t="str">
        <f>IF(INDEX(I.Facility.P2aIDNumber,1372)="","",INDEX(I.Facility.P2aIDNumber,1372))</f>
        <v/>
      </c>
      <c r="G6384" s="51"/>
      <c r="H6384" s="46" t="str">
        <f>IF(AND(I.Developer.P2a=TRUE,I.Facility.P2aFacilityCount&gt;=1372,F6384=""),"Incomplete","Complete")</f>
        <v>Complete</v>
      </c>
      <c r="I6384" s="48" t="s">
        <v>10749</v>
      </c>
    </row>
    <row r="6385" spans="2:9" ht="15" customHeight="1" x14ac:dyDescent="0.25">
      <c r="B6385" s="55" t="s">
        <v>280</v>
      </c>
      <c r="C6385" s="46">
        <v>1373</v>
      </c>
      <c r="D6385" s="69" t="s">
        <v>29417</v>
      </c>
      <c r="E6385" s="51"/>
      <c r="F6385" s="114" t="str">
        <f>IF(INDEX(I.Facility.P2aIDNumber,1373)="","",INDEX(I.Facility.P2aIDNumber,1373))</f>
        <v/>
      </c>
      <c r="G6385" s="51"/>
      <c r="H6385" s="46" t="str">
        <f>IF(AND(I.Developer.P2a=TRUE,I.Facility.P2aFacilityCount&gt;=1373,F6385=""),"Incomplete","Complete")</f>
        <v>Complete</v>
      </c>
      <c r="I6385" s="48" t="s">
        <v>10750</v>
      </c>
    </row>
    <row r="6386" spans="2:9" ht="15" customHeight="1" x14ac:dyDescent="0.25">
      <c r="B6386" s="55" t="s">
        <v>280</v>
      </c>
      <c r="C6386" s="46">
        <v>1374</v>
      </c>
      <c r="D6386" s="69" t="s">
        <v>29417</v>
      </c>
      <c r="E6386" s="51"/>
      <c r="F6386" s="114" t="str">
        <f>IF(INDEX(I.Facility.P2aIDNumber,1374)="","",INDEX(I.Facility.P2aIDNumber,1374))</f>
        <v/>
      </c>
      <c r="G6386" s="51"/>
      <c r="H6386" s="46" t="str">
        <f>IF(AND(I.Developer.P2a=TRUE,I.Facility.P2aFacilityCount&gt;=1374,F6386=""),"Incomplete","Complete")</f>
        <v>Complete</v>
      </c>
      <c r="I6386" s="48" t="s">
        <v>10751</v>
      </c>
    </row>
    <row r="6387" spans="2:9" ht="15" customHeight="1" x14ac:dyDescent="0.25">
      <c r="B6387" s="55" t="s">
        <v>280</v>
      </c>
      <c r="C6387" s="46">
        <v>1375</v>
      </c>
      <c r="D6387" s="69" t="s">
        <v>29417</v>
      </c>
      <c r="E6387" s="51"/>
      <c r="F6387" s="114" t="str">
        <f>IF(INDEX(I.Facility.P2aIDNumber,1375)="","",INDEX(I.Facility.P2aIDNumber,1375))</f>
        <v/>
      </c>
      <c r="G6387" s="51"/>
      <c r="H6387" s="46" t="str">
        <f>IF(AND(I.Developer.P2a=TRUE,I.Facility.P2aFacilityCount&gt;=1375,F6387=""),"Incomplete","Complete")</f>
        <v>Complete</v>
      </c>
      <c r="I6387" s="48" t="s">
        <v>10752</v>
      </c>
    </row>
    <row r="6388" spans="2:9" ht="15" customHeight="1" x14ac:dyDescent="0.25">
      <c r="B6388" s="55" t="s">
        <v>280</v>
      </c>
      <c r="C6388" s="46">
        <v>1376</v>
      </c>
      <c r="D6388" s="69" t="s">
        <v>29417</v>
      </c>
      <c r="E6388" s="51"/>
      <c r="F6388" s="114" t="str">
        <f>IF(INDEX(I.Facility.P2aIDNumber,1376)="","",INDEX(I.Facility.P2aIDNumber,1376))</f>
        <v/>
      </c>
      <c r="G6388" s="51"/>
      <c r="H6388" s="46" t="str">
        <f>IF(AND(I.Developer.P2a=TRUE,I.Facility.P2aFacilityCount&gt;=1376,F6388=""),"Incomplete","Complete")</f>
        <v>Complete</v>
      </c>
      <c r="I6388" s="48" t="s">
        <v>10753</v>
      </c>
    </row>
    <row r="6389" spans="2:9" ht="15" customHeight="1" x14ac:dyDescent="0.25">
      <c r="B6389" s="55" t="s">
        <v>280</v>
      </c>
      <c r="C6389" s="46">
        <v>1377</v>
      </c>
      <c r="D6389" s="69" t="s">
        <v>29417</v>
      </c>
      <c r="E6389" s="51"/>
      <c r="F6389" s="114" t="str">
        <f>IF(INDEX(I.Facility.P2aIDNumber,1377)="","",INDEX(I.Facility.P2aIDNumber,1377))</f>
        <v/>
      </c>
      <c r="G6389" s="51"/>
      <c r="H6389" s="46" t="str">
        <f>IF(AND(I.Developer.P2a=TRUE,I.Facility.P2aFacilityCount&gt;=1377,F6389=""),"Incomplete","Complete")</f>
        <v>Complete</v>
      </c>
      <c r="I6389" s="48" t="s">
        <v>10754</v>
      </c>
    </row>
    <row r="6390" spans="2:9" ht="15" customHeight="1" x14ac:dyDescent="0.25">
      <c r="B6390" s="55" t="s">
        <v>280</v>
      </c>
      <c r="C6390" s="46">
        <v>1378</v>
      </c>
      <c r="D6390" s="69" t="s">
        <v>29417</v>
      </c>
      <c r="E6390" s="51"/>
      <c r="F6390" s="114" t="str">
        <f>IF(INDEX(I.Facility.P2aIDNumber,1378)="","",INDEX(I.Facility.P2aIDNumber,1378))</f>
        <v/>
      </c>
      <c r="G6390" s="51"/>
      <c r="H6390" s="46" t="str">
        <f>IF(AND(I.Developer.P2a=TRUE,I.Facility.P2aFacilityCount&gt;=1378,F6390=""),"Incomplete","Complete")</f>
        <v>Complete</v>
      </c>
      <c r="I6390" s="48" t="s">
        <v>10755</v>
      </c>
    </row>
    <row r="6391" spans="2:9" ht="15" customHeight="1" x14ac:dyDescent="0.25">
      <c r="B6391" s="55" t="s">
        <v>280</v>
      </c>
      <c r="C6391" s="46">
        <v>1379</v>
      </c>
      <c r="D6391" s="69" t="s">
        <v>29417</v>
      </c>
      <c r="E6391" s="51"/>
      <c r="F6391" s="114" t="str">
        <f>IF(INDEX(I.Facility.P2aIDNumber,1379)="","",INDEX(I.Facility.P2aIDNumber,1379))</f>
        <v/>
      </c>
      <c r="G6391" s="51"/>
      <c r="H6391" s="46" t="str">
        <f>IF(AND(I.Developer.P2a=TRUE,I.Facility.P2aFacilityCount&gt;=1379,F6391=""),"Incomplete","Complete")</f>
        <v>Complete</v>
      </c>
      <c r="I6391" s="48" t="s">
        <v>10756</v>
      </c>
    </row>
    <row r="6392" spans="2:9" ht="15" customHeight="1" x14ac:dyDescent="0.25">
      <c r="B6392" s="55" t="s">
        <v>280</v>
      </c>
      <c r="C6392" s="46">
        <v>1380</v>
      </c>
      <c r="D6392" s="69" t="s">
        <v>29417</v>
      </c>
      <c r="E6392" s="51"/>
      <c r="F6392" s="114" t="str">
        <f>IF(INDEX(I.Facility.P2aIDNumber,1380)="","",INDEX(I.Facility.P2aIDNumber,1380))</f>
        <v/>
      </c>
      <c r="G6392" s="51"/>
      <c r="H6392" s="46" t="str">
        <f>IF(AND(I.Developer.P2a=TRUE,I.Facility.P2aFacilityCount&gt;=1380,F6392=""),"Incomplete","Complete")</f>
        <v>Complete</v>
      </c>
      <c r="I6392" s="48" t="s">
        <v>10757</v>
      </c>
    </row>
    <row r="6393" spans="2:9" ht="15" customHeight="1" x14ac:dyDescent="0.25">
      <c r="B6393" s="55" t="s">
        <v>280</v>
      </c>
      <c r="C6393" s="46">
        <v>1381</v>
      </c>
      <c r="D6393" s="69" t="s">
        <v>29417</v>
      </c>
      <c r="E6393" s="51"/>
      <c r="F6393" s="114" t="str">
        <f>IF(INDEX(I.Facility.P2aIDNumber,1381)="","",INDEX(I.Facility.P2aIDNumber,1381))</f>
        <v/>
      </c>
      <c r="G6393" s="51"/>
      <c r="H6393" s="46" t="str">
        <f>IF(AND(I.Developer.P2a=TRUE,I.Facility.P2aFacilityCount&gt;=1381,F6393=""),"Incomplete","Complete")</f>
        <v>Complete</v>
      </c>
      <c r="I6393" s="48" t="s">
        <v>10758</v>
      </c>
    </row>
    <row r="6394" spans="2:9" ht="15" customHeight="1" x14ac:dyDescent="0.25">
      <c r="B6394" s="55" t="s">
        <v>280</v>
      </c>
      <c r="C6394" s="46">
        <v>1382</v>
      </c>
      <c r="D6394" s="69" t="s">
        <v>29417</v>
      </c>
      <c r="E6394" s="51"/>
      <c r="F6394" s="114" t="str">
        <f>IF(INDEX(I.Facility.P2aIDNumber,1382)="","",INDEX(I.Facility.P2aIDNumber,1382))</f>
        <v/>
      </c>
      <c r="G6394" s="51"/>
      <c r="H6394" s="46" t="str">
        <f>IF(AND(I.Developer.P2a=TRUE,I.Facility.P2aFacilityCount&gt;=1382,F6394=""),"Incomplete","Complete")</f>
        <v>Complete</v>
      </c>
      <c r="I6394" s="48" t="s">
        <v>10759</v>
      </c>
    </row>
    <row r="6395" spans="2:9" ht="15" customHeight="1" x14ac:dyDescent="0.25">
      <c r="B6395" s="55" t="s">
        <v>280</v>
      </c>
      <c r="C6395" s="46">
        <v>1383</v>
      </c>
      <c r="D6395" s="69" t="s">
        <v>29417</v>
      </c>
      <c r="E6395" s="51"/>
      <c r="F6395" s="114" t="str">
        <f>IF(INDEX(I.Facility.P2aIDNumber,1383)="","",INDEX(I.Facility.P2aIDNumber,1383))</f>
        <v/>
      </c>
      <c r="G6395" s="51"/>
      <c r="H6395" s="46" t="str">
        <f>IF(AND(I.Developer.P2a=TRUE,I.Facility.P2aFacilityCount&gt;=1383,F6395=""),"Incomplete","Complete")</f>
        <v>Complete</v>
      </c>
      <c r="I6395" s="48" t="s">
        <v>10760</v>
      </c>
    </row>
    <row r="6396" spans="2:9" ht="15" customHeight="1" x14ac:dyDescent="0.25">
      <c r="B6396" s="55" t="s">
        <v>280</v>
      </c>
      <c r="C6396" s="46">
        <v>1384</v>
      </c>
      <c r="D6396" s="69" t="s">
        <v>29417</v>
      </c>
      <c r="E6396" s="51"/>
      <c r="F6396" s="114" t="str">
        <f>IF(INDEX(I.Facility.P2aIDNumber,1384)="","",INDEX(I.Facility.P2aIDNumber,1384))</f>
        <v/>
      </c>
      <c r="G6396" s="51"/>
      <c r="H6396" s="46" t="str">
        <f>IF(AND(I.Developer.P2a=TRUE,I.Facility.P2aFacilityCount&gt;=1384,F6396=""),"Incomplete","Complete")</f>
        <v>Complete</v>
      </c>
      <c r="I6396" s="48" t="s">
        <v>10761</v>
      </c>
    </row>
    <row r="6397" spans="2:9" ht="15" customHeight="1" x14ac:dyDescent="0.25">
      <c r="B6397" s="55" t="s">
        <v>280</v>
      </c>
      <c r="C6397" s="46">
        <v>1385</v>
      </c>
      <c r="D6397" s="69" t="s">
        <v>29417</v>
      </c>
      <c r="E6397" s="51"/>
      <c r="F6397" s="114" t="str">
        <f>IF(INDEX(I.Facility.P2aIDNumber,1385)="","",INDEX(I.Facility.P2aIDNumber,1385))</f>
        <v/>
      </c>
      <c r="G6397" s="51"/>
      <c r="H6397" s="46" t="str">
        <f>IF(AND(I.Developer.P2a=TRUE,I.Facility.P2aFacilityCount&gt;=1385,F6397=""),"Incomplete","Complete")</f>
        <v>Complete</v>
      </c>
      <c r="I6397" s="48" t="s">
        <v>10762</v>
      </c>
    </row>
    <row r="6398" spans="2:9" ht="15" customHeight="1" x14ac:dyDescent="0.25">
      <c r="B6398" s="55" t="s">
        <v>280</v>
      </c>
      <c r="C6398" s="46">
        <v>1386</v>
      </c>
      <c r="D6398" s="69" t="s">
        <v>29417</v>
      </c>
      <c r="E6398" s="51"/>
      <c r="F6398" s="114" t="str">
        <f>IF(INDEX(I.Facility.P2aIDNumber,1386)="","",INDEX(I.Facility.P2aIDNumber,1386))</f>
        <v/>
      </c>
      <c r="G6398" s="51"/>
      <c r="H6398" s="46" t="str">
        <f>IF(AND(I.Developer.P2a=TRUE,I.Facility.P2aFacilityCount&gt;=1386,F6398=""),"Incomplete","Complete")</f>
        <v>Complete</v>
      </c>
      <c r="I6398" s="48" t="s">
        <v>10763</v>
      </c>
    </row>
    <row r="6399" spans="2:9" ht="15" customHeight="1" x14ac:dyDescent="0.25">
      <c r="B6399" s="55" t="s">
        <v>280</v>
      </c>
      <c r="C6399" s="46">
        <v>1387</v>
      </c>
      <c r="D6399" s="69" t="s">
        <v>29417</v>
      </c>
      <c r="E6399" s="51"/>
      <c r="F6399" s="114" t="str">
        <f>IF(INDEX(I.Facility.P2aIDNumber,1387)="","",INDEX(I.Facility.P2aIDNumber,1387))</f>
        <v/>
      </c>
      <c r="G6399" s="51"/>
      <c r="H6399" s="46" t="str">
        <f>IF(AND(I.Developer.P2a=TRUE,I.Facility.P2aFacilityCount&gt;=1387,F6399=""),"Incomplete","Complete")</f>
        <v>Complete</v>
      </c>
      <c r="I6399" s="48" t="s">
        <v>10764</v>
      </c>
    </row>
    <row r="6400" spans="2:9" ht="15" customHeight="1" x14ac:dyDescent="0.25">
      <c r="B6400" s="55" t="s">
        <v>280</v>
      </c>
      <c r="C6400" s="46">
        <v>1388</v>
      </c>
      <c r="D6400" s="69" t="s">
        <v>29417</v>
      </c>
      <c r="E6400" s="51"/>
      <c r="F6400" s="114" t="str">
        <f>IF(INDEX(I.Facility.P2aIDNumber,1388)="","",INDEX(I.Facility.P2aIDNumber,1388))</f>
        <v/>
      </c>
      <c r="G6400" s="51"/>
      <c r="H6400" s="46" t="str">
        <f>IF(AND(I.Developer.P2a=TRUE,I.Facility.P2aFacilityCount&gt;=1388,F6400=""),"Incomplete","Complete")</f>
        <v>Complete</v>
      </c>
      <c r="I6400" s="48" t="s">
        <v>10765</v>
      </c>
    </row>
    <row r="6401" spans="2:9" ht="15" customHeight="1" x14ac:dyDescent="0.25">
      <c r="B6401" s="55" t="s">
        <v>280</v>
      </c>
      <c r="C6401" s="46">
        <v>1389</v>
      </c>
      <c r="D6401" s="69" t="s">
        <v>29417</v>
      </c>
      <c r="E6401" s="51"/>
      <c r="F6401" s="114" t="str">
        <f>IF(INDEX(I.Facility.P2aIDNumber,1389)="","",INDEX(I.Facility.P2aIDNumber,1389))</f>
        <v/>
      </c>
      <c r="G6401" s="51"/>
      <c r="H6401" s="46" t="str">
        <f>IF(AND(I.Developer.P2a=TRUE,I.Facility.P2aFacilityCount&gt;=1389,F6401=""),"Incomplete","Complete")</f>
        <v>Complete</v>
      </c>
      <c r="I6401" s="48" t="s">
        <v>10766</v>
      </c>
    </row>
    <row r="6402" spans="2:9" ht="15" customHeight="1" x14ac:dyDescent="0.25">
      <c r="B6402" s="55" t="s">
        <v>280</v>
      </c>
      <c r="C6402" s="46">
        <v>1390</v>
      </c>
      <c r="D6402" s="69" t="s">
        <v>29417</v>
      </c>
      <c r="E6402" s="51"/>
      <c r="F6402" s="114" t="str">
        <f>IF(INDEX(I.Facility.P2aIDNumber,1390)="","",INDEX(I.Facility.P2aIDNumber,1390))</f>
        <v/>
      </c>
      <c r="G6402" s="51"/>
      <c r="H6402" s="46" t="str">
        <f>IF(AND(I.Developer.P2a=TRUE,I.Facility.P2aFacilityCount&gt;=1390,F6402=""),"Incomplete","Complete")</f>
        <v>Complete</v>
      </c>
      <c r="I6402" s="48" t="s">
        <v>10767</v>
      </c>
    </row>
    <row r="6403" spans="2:9" ht="15" customHeight="1" x14ac:dyDescent="0.25">
      <c r="B6403" s="55" t="s">
        <v>280</v>
      </c>
      <c r="C6403" s="46">
        <v>1391</v>
      </c>
      <c r="D6403" s="69" t="s">
        <v>29417</v>
      </c>
      <c r="E6403" s="51"/>
      <c r="F6403" s="114" t="str">
        <f>IF(INDEX(I.Facility.P2aIDNumber,1391)="","",INDEX(I.Facility.P2aIDNumber,1391))</f>
        <v/>
      </c>
      <c r="G6403" s="51"/>
      <c r="H6403" s="46" t="str">
        <f>IF(AND(I.Developer.P2a=TRUE,I.Facility.P2aFacilityCount&gt;=1391,F6403=""),"Incomplete","Complete")</f>
        <v>Complete</v>
      </c>
      <c r="I6403" s="48" t="s">
        <v>10768</v>
      </c>
    </row>
    <row r="6404" spans="2:9" ht="15" customHeight="1" x14ac:dyDescent="0.25">
      <c r="B6404" s="55" t="s">
        <v>280</v>
      </c>
      <c r="C6404" s="46">
        <v>1392</v>
      </c>
      <c r="D6404" s="69" t="s">
        <v>29417</v>
      </c>
      <c r="E6404" s="51"/>
      <c r="F6404" s="114" t="str">
        <f>IF(INDEX(I.Facility.P2aIDNumber,1392)="","",INDEX(I.Facility.P2aIDNumber,1392))</f>
        <v/>
      </c>
      <c r="G6404" s="51"/>
      <c r="H6404" s="46" t="str">
        <f>IF(AND(I.Developer.P2a=TRUE,I.Facility.P2aFacilityCount&gt;=1392,F6404=""),"Incomplete","Complete")</f>
        <v>Complete</v>
      </c>
      <c r="I6404" s="48" t="s">
        <v>10769</v>
      </c>
    </row>
    <row r="6405" spans="2:9" ht="15" customHeight="1" x14ac:dyDescent="0.25">
      <c r="B6405" s="55" t="s">
        <v>280</v>
      </c>
      <c r="C6405" s="46">
        <v>1393</v>
      </c>
      <c r="D6405" s="69" t="s">
        <v>29417</v>
      </c>
      <c r="E6405" s="51"/>
      <c r="F6405" s="114" t="str">
        <f>IF(INDEX(I.Facility.P2aIDNumber,1393)="","",INDEX(I.Facility.P2aIDNumber,1393))</f>
        <v/>
      </c>
      <c r="G6405" s="51"/>
      <c r="H6405" s="46" t="str">
        <f>IF(AND(I.Developer.P2a=TRUE,I.Facility.P2aFacilityCount&gt;=1393,F6405=""),"Incomplete","Complete")</f>
        <v>Complete</v>
      </c>
      <c r="I6405" s="48" t="s">
        <v>10770</v>
      </c>
    </row>
    <row r="6406" spans="2:9" ht="15" customHeight="1" x14ac:dyDescent="0.25">
      <c r="B6406" s="55" t="s">
        <v>280</v>
      </c>
      <c r="C6406" s="46">
        <v>1394</v>
      </c>
      <c r="D6406" s="69" t="s">
        <v>29417</v>
      </c>
      <c r="E6406" s="51"/>
      <c r="F6406" s="114" t="str">
        <f>IF(INDEX(I.Facility.P2aIDNumber,1394)="","",INDEX(I.Facility.P2aIDNumber,1394))</f>
        <v/>
      </c>
      <c r="G6406" s="51"/>
      <c r="H6406" s="46" t="str">
        <f>IF(AND(I.Developer.P2a=TRUE,I.Facility.P2aFacilityCount&gt;=1394,F6406=""),"Incomplete","Complete")</f>
        <v>Complete</v>
      </c>
      <c r="I6406" s="48" t="s">
        <v>10771</v>
      </c>
    </row>
    <row r="6407" spans="2:9" ht="15" customHeight="1" x14ac:dyDescent="0.25">
      <c r="B6407" s="55" t="s">
        <v>280</v>
      </c>
      <c r="C6407" s="46">
        <v>1395</v>
      </c>
      <c r="D6407" s="69" t="s">
        <v>29417</v>
      </c>
      <c r="E6407" s="51"/>
      <c r="F6407" s="114" t="str">
        <f>IF(INDEX(I.Facility.P2aIDNumber,1395)="","",INDEX(I.Facility.P2aIDNumber,1395))</f>
        <v/>
      </c>
      <c r="G6407" s="51"/>
      <c r="H6407" s="46" t="str">
        <f>IF(AND(I.Developer.P2a=TRUE,I.Facility.P2aFacilityCount&gt;=1395,F6407=""),"Incomplete","Complete")</f>
        <v>Complete</v>
      </c>
      <c r="I6407" s="48" t="s">
        <v>10772</v>
      </c>
    </row>
    <row r="6408" spans="2:9" ht="15" customHeight="1" x14ac:dyDescent="0.25">
      <c r="B6408" s="55" t="s">
        <v>280</v>
      </c>
      <c r="C6408" s="46">
        <v>1396</v>
      </c>
      <c r="D6408" s="69" t="s">
        <v>29417</v>
      </c>
      <c r="E6408" s="51"/>
      <c r="F6408" s="114" t="str">
        <f>IF(INDEX(I.Facility.P2aIDNumber,1396)="","",INDEX(I.Facility.P2aIDNumber,1396))</f>
        <v/>
      </c>
      <c r="G6408" s="51"/>
      <c r="H6408" s="46" t="str">
        <f>IF(AND(I.Developer.P2a=TRUE,I.Facility.P2aFacilityCount&gt;=1396,F6408=""),"Incomplete","Complete")</f>
        <v>Complete</v>
      </c>
      <c r="I6408" s="48" t="s">
        <v>10773</v>
      </c>
    </row>
    <row r="6409" spans="2:9" ht="15" customHeight="1" x14ac:dyDescent="0.25">
      <c r="B6409" s="55" t="s">
        <v>280</v>
      </c>
      <c r="C6409" s="46">
        <v>1397</v>
      </c>
      <c r="D6409" s="69" t="s">
        <v>29417</v>
      </c>
      <c r="E6409" s="51"/>
      <c r="F6409" s="114" t="str">
        <f>IF(INDEX(I.Facility.P2aIDNumber,1397)="","",INDEX(I.Facility.P2aIDNumber,1397))</f>
        <v/>
      </c>
      <c r="G6409" s="51"/>
      <c r="H6409" s="46" t="str">
        <f>IF(AND(I.Developer.P2a=TRUE,I.Facility.P2aFacilityCount&gt;=1397,F6409=""),"Incomplete","Complete")</f>
        <v>Complete</v>
      </c>
      <c r="I6409" s="48" t="s">
        <v>10774</v>
      </c>
    </row>
    <row r="6410" spans="2:9" ht="15" customHeight="1" x14ac:dyDescent="0.25">
      <c r="B6410" s="55" t="s">
        <v>280</v>
      </c>
      <c r="C6410" s="46">
        <v>1398</v>
      </c>
      <c r="D6410" s="69" t="s">
        <v>29417</v>
      </c>
      <c r="E6410" s="51"/>
      <c r="F6410" s="114" t="str">
        <f>IF(INDEX(I.Facility.P2aIDNumber,1398)="","",INDEX(I.Facility.P2aIDNumber,1398))</f>
        <v/>
      </c>
      <c r="G6410" s="51"/>
      <c r="H6410" s="46" t="str">
        <f>IF(AND(I.Developer.P2a=TRUE,I.Facility.P2aFacilityCount&gt;=1398,F6410=""),"Incomplete","Complete")</f>
        <v>Complete</v>
      </c>
      <c r="I6410" s="48" t="s">
        <v>10775</v>
      </c>
    </row>
    <row r="6411" spans="2:9" ht="15" customHeight="1" x14ac:dyDescent="0.25">
      <c r="B6411" s="55" t="s">
        <v>280</v>
      </c>
      <c r="C6411" s="46">
        <v>1399</v>
      </c>
      <c r="D6411" s="69" t="s">
        <v>29417</v>
      </c>
      <c r="E6411" s="51"/>
      <c r="F6411" s="114" t="str">
        <f>IF(INDEX(I.Facility.P2aIDNumber,1399)="","",INDEX(I.Facility.P2aIDNumber,1399))</f>
        <v/>
      </c>
      <c r="G6411" s="51"/>
      <c r="H6411" s="46" t="str">
        <f>IF(AND(I.Developer.P2a=TRUE,I.Facility.P2aFacilityCount&gt;=1399,F6411=""),"Incomplete","Complete")</f>
        <v>Complete</v>
      </c>
      <c r="I6411" s="48" t="s">
        <v>10776</v>
      </c>
    </row>
    <row r="6412" spans="2:9" ht="15" customHeight="1" x14ac:dyDescent="0.25">
      <c r="B6412" s="55" t="s">
        <v>280</v>
      </c>
      <c r="C6412" s="46">
        <v>1400</v>
      </c>
      <c r="D6412" s="69" t="s">
        <v>29417</v>
      </c>
      <c r="E6412" s="51"/>
      <c r="F6412" s="114" t="str">
        <f>IF(INDEX(I.Facility.P2aIDNumber,1400)="","",INDEX(I.Facility.P2aIDNumber,1400))</f>
        <v/>
      </c>
      <c r="G6412" s="51"/>
      <c r="H6412" s="46" t="str">
        <f>IF(AND(I.Developer.P2a=TRUE,I.Facility.P2aFacilityCount&gt;=1400,F6412=""),"Incomplete","Complete")</f>
        <v>Complete</v>
      </c>
      <c r="I6412" s="48" t="s">
        <v>10777</v>
      </c>
    </row>
    <row r="6413" spans="2:9" ht="15" customHeight="1" x14ac:dyDescent="0.25">
      <c r="B6413" s="55" t="s">
        <v>280</v>
      </c>
      <c r="C6413" s="46">
        <v>1401</v>
      </c>
      <c r="D6413" s="69" t="s">
        <v>29417</v>
      </c>
      <c r="E6413" s="51"/>
      <c r="F6413" s="114" t="str">
        <f>IF(INDEX(I.Facility.P2aIDNumber,1401)="","",INDEX(I.Facility.P2aIDNumber,1401))</f>
        <v/>
      </c>
      <c r="G6413" s="51"/>
      <c r="H6413" s="46" t="str">
        <f>IF(AND(I.Developer.P2a=TRUE,I.Facility.P2aFacilityCount&gt;=1401,F6413=""),"Incomplete","Complete")</f>
        <v>Complete</v>
      </c>
      <c r="I6413" s="48" t="s">
        <v>10778</v>
      </c>
    </row>
    <row r="6414" spans="2:9" ht="15" customHeight="1" x14ac:dyDescent="0.25">
      <c r="B6414" s="55" t="s">
        <v>280</v>
      </c>
      <c r="C6414" s="46">
        <v>1402</v>
      </c>
      <c r="D6414" s="69" t="s">
        <v>29417</v>
      </c>
      <c r="E6414" s="51"/>
      <c r="F6414" s="114" t="str">
        <f>IF(INDEX(I.Facility.P2aIDNumber,1402)="","",INDEX(I.Facility.P2aIDNumber,1402))</f>
        <v/>
      </c>
      <c r="G6414" s="51"/>
      <c r="H6414" s="46" t="str">
        <f>IF(AND(I.Developer.P2a=TRUE,I.Facility.P2aFacilityCount&gt;=1402,F6414=""),"Incomplete","Complete")</f>
        <v>Complete</v>
      </c>
      <c r="I6414" s="48" t="s">
        <v>10779</v>
      </c>
    </row>
    <row r="6415" spans="2:9" ht="15" customHeight="1" x14ac:dyDescent="0.25">
      <c r="B6415" s="55" t="s">
        <v>280</v>
      </c>
      <c r="C6415" s="46">
        <v>1403</v>
      </c>
      <c r="D6415" s="69" t="s">
        <v>29417</v>
      </c>
      <c r="E6415" s="51"/>
      <c r="F6415" s="114" t="str">
        <f>IF(INDEX(I.Facility.P2aIDNumber,1403)="","",INDEX(I.Facility.P2aIDNumber,1403))</f>
        <v/>
      </c>
      <c r="G6415" s="51"/>
      <c r="H6415" s="46" t="str">
        <f>IF(AND(I.Developer.P2a=TRUE,I.Facility.P2aFacilityCount&gt;=1403,F6415=""),"Incomplete","Complete")</f>
        <v>Complete</v>
      </c>
      <c r="I6415" s="48" t="s">
        <v>10780</v>
      </c>
    </row>
    <row r="6416" spans="2:9" ht="15" customHeight="1" x14ac:dyDescent="0.25">
      <c r="B6416" s="55" t="s">
        <v>280</v>
      </c>
      <c r="C6416" s="46">
        <v>1404</v>
      </c>
      <c r="D6416" s="69" t="s">
        <v>29417</v>
      </c>
      <c r="E6416" s="51"/>
      <c r="F6416" s="114" t="str">
        <f>IF(INDEX(I.Facility.P2aIDNumber,1404)="","",INDEX(I.Facility.P2aIDNumber,1404))</f>
        <v/>
      </c>
      <c r="G6416" s="51"/>
      <c r="H6416" s="46" t="str">
        <f>IF(AND(I.Developer.P2a=TRUE,I.Facility.P2aFacilityCount&gt;=1404,F6416=""),"Incomplete","Complete")</f>
        <v>Complete</v>
      </c>
      <c r="I6416" s="48" t="s">
        <v>10781</v>
      </c>
    </row>
    <row r="6417" spans="2:9" ht="15" customHeight="1" x14ac:dyDescent="0.25">
      <c r="B6417" s="55" t="s">
        <v>280</v>
      </c>
      <c r="C6417" s="46">
        <v>1405</v>
      </c>
      <c r="D6417" s="69" t="s">
        <v>29417</v>
      </c>
      <c r="E6417" s="51"/>
      <c r="F6417" s="114" t="str">
        <f>IF(INDEX(I.Facility.P2aIDNumber,1405)="","",INDEX(I.Facility.P2aIDNumber,1405))</f>
        <v/>
      </c>
      <c r="G6417" s="51"/>
      <c r="H6417" s="46" t="str">
        <f>IF(AND(I.Developer.P2a=TRUE,I.Facility.P2aFacilityCount&gt;=1405,F6417=""),"Incomplete","Complete")</f>
        <v>Complete</v>
      </c>
      <c r="I6417" s="48" t="s">
        <v>10782</v>
      </c>
    </row>
    <row r="6418" spans="2:9" ht="15" customHeight="1" x14ac:dyDescent="0.25">
      <c r="B6418" s="55" t="s">
        <v>280</v>
      </c>
      <c r="C6418" s="46">
        <v>1406</v>
      </c>
      <c r="D6418" s="69" t="s">
        <v>29417</v>
      </c>
      <c r="E6418" s="51"/>
      <c r="F6418" s="114" t="str">
        <f>IF(INDEX(I.Facility.P2aIDNumber,1406)="","",INDEX(I.Facility.P2aIDNumber,1406))</f>
        <v/>
      </c>
      <c r="G6418" s="51"/>
      <c r="H6418" s="46" t="str">
        <f>IF(AND(I.Developer.P2a=TRUE,I.Facility.P2aFacilityCount&gt;=1406,F6418=""),"Incomplete","Complete")</f>
        <v>Complete</v>
      </c>
      <c r="I6418" s="48" t="s">
        <v>10783</v>
      </c>
    </row>
    <row r="6419" spans="2:9" ht="15" customHeight="1" x14ac:dyDescent="0.25">
      <c r="B6419" s="55" t="s">
        <v>280</v>
      </c>
      <c r="C6419" s="46">
        <v>1407</v>
      </c>
      <c r="D6419" s="69" t="s">
        <v>29417</v>
      </c>
      <c r="E6419" s="51"/>
      <c r="F6419" s="114" t="str">
        <f>IF(INDEX(I.Facility.P2aIDNumber,1407)="","",INDEX(I.Facility.P2aIDNumber,1407))</f>
        <v/>
      </c>
      <c r="G6419" s="51"/>
      <c r="H6419" s="46" t="str">
        <f>IF(AND(I.Developer.P2a=TRUE,I.Facility.P2aFacilityCount&gt;=1407,F6419=""),"Incomplete","Complete")</f>
        <v>Complete</v>
      </c>
      <c r="I6419" s="48" t="s">
        <v>10784</v>
      </c>
    </row>
    <row r="6420" spans="2:9" ht="15" customHeight="1" x14ac:dyDescent="0.25">
      <c r="B6420" s="55" t="s">
        <v>280</v>
      </c>
      <c r="C6420" s="46">
        <v>1408</v>
      </c>
      <c r="D6420" s="69" t="s">
        <v>29417</v>
      </c>
      <c r="E6420" s="51"/>
      <c r="F6420" s="114" t="str">
        <f>IF(INDEX(I.Facility.P2aIDNumber,1408)="","",INDEX(I.Facility.P2aIDNumber,1408))</f>
        <v/>
      </c>
      <c r="G6420" s="51"/>
      <c r="H6420" s="46" t="str">
        <f>IF(AND(I.Developer.P2a=TRUE,I.Facility.P2aFacilityCount&gt;=1408,F6420=""),"Incomplete","Complete")</f>
        <v>Complete</v>
      </c>
      <c r="I6420" s="48" t="s">
        <v>10785</v>
      </c>
    </row>
    <row r="6421" spans="2:9" ht="15" customHeight="1" x14ac:dyDescent="0.25">
      <c r="B6421" s="55" t="s">
        <v>280</v>
      </c>
      <c r="C6421" s="46">
        <v>1409</v>
      </c>
      <c r="D6421" s="69" t="s">
        <v>29417</v>
      </c>
      <c r="E6421" s="51"/>
      <c r="F6421" s="114" t="str">
        <f>IF(INDEX(I.Facility.P2aIDNumber,1409)="","",INDEX(I.Facility.P2aIDNumber,1409))</f>
        <v/>
      </c>
      <c r="G6421" s="51"/>
      <c r="H6421" s="46" t="str">
        <f>IF(AND(I.Developer.P2a=TRUE,I.Facility.P2aFacilityCount&gt;=1409,F6421=""),"Incomplete","Complete")</f>
        <v>Complete</v>
      </c>
      <c r="I6421" s="48" t="s">
        <v>10786</v>
      </c>
    </row>
    <row r="6422" spans="2:9" ht="15" customHeight="1" x14ac:dyDescent="0.25">
      <c r="B6422" s="55" t="s">
        <v>280</v>
      </c>
      <c r="C6422" s="46">
        <v>1410</v>
      </c>
      <c r="D6422" s="69" t="s">
        <v>29417</v>
      </c>
      <c r="E6422" s="51"/>
      <c r="F6422" s="114" t="str">
        <f>IF(INDEX(I.Facility.P2aIDNumber,1410)="","",INDEX(I.Facility.P2aIDNumber,1410))</f>
        <v/>
      </c>
      <c r="G6422" s="51"/>
      <c r="H6422" s="46" t="str">
        <f>IF(AND(I.Developer.P2a=TRUE,I.Facility.P2aFacilityCount&gt;=1410,F6422=""),"Incomplete","Complete")</f>
        <v>Complete</v>
      </c>
      <c r="I6422" s="48" t="s">
        <v>10787</v>
      </c>
    </row>
    <row r="6423" spans="2:9" ht="15" customHeight="1" x14ac:dyDescent="0.25">
      <c r="B6423" s="55" t="s">
        <v>280</v>
      </c>
      <c r="C6423" s="46">
        <v>1411</v>
      </c>
      <c r="D6423" s="69" t="s">
        <v>29417</v>
      </c>
      <c r="E6423" s="51"/>
      <c r="F6423" s="114" t="str">
        <f>IF(INDEX(I.Facility.P2aIDNumber,1411)="","",INDEX(I.Facility.P2aIDNumber,1411))</f>
        <v/>
      </c>
      <c r="G6423" s="51"/>
      <c r="H6423" s="46" t="str">
        <f>IF(AND(I.Developer.P2a=TRUE,I.Facility.P2aFacilityCount&gt;=1411,F6423=""),"Incomplete","Complete")</f>
        <v>Complete</v>
      </c>
      <c r="I6423" s="48" t="s">
        <v>10788</v>
      </c>
    </row>
    <row r="6424" spans="2:9" ht="15" customHeight="1" x14ac:dyDescent="0.25">
      <c r="B6424" s="55" t="s">
        <v>280</v>
      </c>
      <c r="C6424" s="46">
        <v>1412</v>
      </c>
      <c r="D6424" s="69" t="s">
        <v>29417</v>
      </c>
      <c r="E6424" s="51"/>
      <c r="F6424" s="114" t="str">
        <f>IF(INDEX(I.Facility.P2aIDNumber,1412)="","",INDEX(I.Facility.P2aIDNumber,1412))</f>
        <v/>
      </c>
      <c r="G6424" s="51"/>
      <c r="H6424" s="46" t="str">
        <f>IF(AND(I.Developer.P2a=TRUE,I.Facility.P2aFacilityCount&gt;=1412,F6424=""),"Incomplete","Complete")</f>
        <v>Complete</v>
      </c>
      <c r="I6424" s="48" t="s">
        <v>10789</v>
      </c>
    </row>
    <row r="6425" spans="2:9" ht="15" customHeight="1" x14ac:dyDescent="0.25">
      <c r="B6425" s="55" t="s">
        <v>280</v>
      </c>
      <c r="C6425" s="46">
        <v>1413</v>
      </c>
      <c r="D6425" s="69" t="s">
        <v>29417</v>
      </c>
      <c r="E6425" s="51"/>
      <c r="F6425" s="114" t="str">
        <f>IF(INDEX(I.Facility.P2aIDNumber,1413)="","",INDEX(I.Facility.P2aIDNumber,1413))</f>
        <v/>
      </c>
      <c r="G6425" s="51"/>
      <c r="H6425" s="46" t="str">
        <f>IF(AND(I.Developer.P2a=TRUE,I.Facility.P2aFacilityCount&gt;=1413,F6425=""),"Incomplete","Complete")</f>
        <v>Complete</v>
      </c>
      <c r="I6425" s="48" t="s">
        <v>10790</v>
      </c>
    </row>
    <row r="6426" spans="2:9" ht="15" customHeight="1" x14ac:dyDescent="0.25">
      <c r="B6426" s="55" t="s">
        <v>280</v>
      </c>
      <c r="C6426" s="46">
        <v>1414</v>
      </c>
      <c r="D6426" s="69" t="s">
        <v>29417</v>
      </c>
      <c r="E6426" s="51"/>
      <c r="F6426" s="114" t="str">
        <f>IF(INDEX(I.Facility.P2aIDNumber,1414)="","",INDEX(I.Facility.P2aIDNumber,1414))</f>
        <v/>
      </c>
      <c r="G6426" s="51"/>
      <c r="H6426" s="46" t="str">
        <f>IF(AND(I.Developer.P2a=TRUE,I.Facility.P2aFacilityCount&gt;=1414,F6426=""),"Incomplete","Complete")</f>
        <v>Complete</v>
      </c>
      <c r="I6426" s="48" t="s">
        <v>10791</v>
      </c>
    </row>
    <row r="6427" spans="2:9" ht="15" customHeight="1" x14ac:dyDescent="0.25">
      <c r="B6427" s="55" t="s">
        <v>280</v>
      </c>
      <c r="C6427" s="46">
        <v>1415</v>
      </c>
      <c r="D6427" s="69" t="s">
        <v>29417</v>
      </c>
      <c r="E6427" s="51"/>
      <c r="F6427" s="114" t="str">
        <f>IF(INDEX(I.Facility.P2aIDNumber,1415)="","",INDEX(I.Facility.P2aIDNumber,1415))</f>
        <v/>
      </c>
      <c r="G6427" s="51"/>
      <c r="H6427" s="46" t="str">
        <f>IF(AND(I.Developer.P2a=TRUE,I.Facility.P2aFacilityCount&gt;=1415,F6427=""),"Incomplete","Complete")</f>
        <v>Complete</v>
      </c>
      <c r="I6427" s="48" t="s">
        <v>10792</v>
      </c>
    </row>
    <row r="6428" spans="2:9" ht="15" customHeight="1" x14ac:dyDescent="0.25">
      <c r="B6428" s="55" t="s">
        <v>280</v>
      </c>
      <c r="C6428" s="46">
        <v>1416</v>
      </c>
      <c r="D6428" s="69" t="s">
        <v>29417</v>
      </c>
      <c r="E6428" s="51"/>
      <c r="F6428" s="114" t="str">
        <f>IF(INDEX(I.Facility.P2aIDNumber,1416)="","",INDEX(I.Facility.P2aIDNumber,1416))</f>
        <v/>
      </c>
      <c r="G6428" s="51"/>
      <c r="H6428" s="46" t="str">
        <f>IF(AND(I.Developer.P2a=TRUE,I.Facility.P2aFacilityCount&gt;=1416,F6428=""),"Incomplete","Complete")</f>
        <v>Complete</v>
      </c>
      <c r="I6428" s="48" t="s">
        <v>10793</v>
      </c>
    </row>
    <row r="6429" spans="2:9" ht="15" customHeight="1" x14ac:dyDescent="0.25">
      <c r="B6429" s="55" t="s">
        <v>280</v>
      </c>
      <c r="C6429" s="46">
        <v>1417</v>
      </c>
      <c r="D6429" s="69" t="s">
        <v>29417</v>
      </c>
      <c r="E6429" s="51"/>
      <c r="F6429" s="114" t="str">
        <f>IF(INDEX(I.Facility.P2aIDNumber,1417)="","",INDEX(I.Facility.P2aIDNumber,1417))</f>
        <v/>
      </c>
      <c r="G6429" s="51"/>
      <c r="H6429" s="46" t="str">
        <f>IF(AND(I.Developer.P2a=TRUE,I.Facility.P2aFacilityCount&gt;=1417,F6429=""),"Incomplete","Complete")</f>
        <v>Complete</v>
      </c>
      <c r="I6429" s="48" t="s">
        <v>10794</v>
      </c>
    </row>
    <row r="6430" spans="2:9" ht="15" customHeight="1" x14ac:dyDescent="0.25">
      <c r="B6430" s="55" t="s">
        <v>280</v>
      </c>
      <c r="C6430" s="46">
        <v>1418</v>
      </c>
      <c r="D6430" s="69" t="s">
        <v>29417</v>
      </c>
      <c r="E6430" s="51"/>
      <c r="F6430" s="114" t="str">
        <f>IF(INDEX(I.Facility.P2aIDNumber,1418)="","",INDEX(I.Facility.P2aIDNumber,1418))</f>
        <v/>
      </c>
      <c r="G6430" s="51"/>
      <c r="H6430" s="46" t="str">
        <f>IF(AND(I.Developer.P2a=TRUE,I.Facility.P2aFacilityCount&gt;=1418,F6430=""),"Incomplete","Complete")</f>
        <v>Complete</v>
      </c>
      <c r="I6430" s="48" t="s">
        <v>10795</v>
      </c>
    </row>
    <row r="6431" spans="2:9" ht="15" customHeight="1" x14ac:dyDescent="0.25">
      <c r="B6431" s="55" t="s">
        <v>280</v>
      </c>
      <c r="C6431" s="46">
        <v>1419</v>
      </c>
      <c r="D6431" s="69" t="s">
        <v>29417</v>
      </c>
      <c r="E6431" s="51"/>
      <c r="F6431" s="114" t="str">
        <f>IF(INDEX(I.Facility.P2aIDNumber,1419)="","",INDEX(I.Facility.P2aIDNumber,1419))</f>
        <v/>
      </c>
      <c r="G6431" s="51"/>
      <c r="H6431" s="46" t="str">
        <f>IF(AND(I.Developer.P2a=TRUE,I.Facility.P2aFacilityCount&gt;=1419,F6431=""),"Incomplete","Complete")</f>
        <v>Complete</v>
      </c>
      <c r="I6431" s="48" t="s">
        <v>10796</v>
      </c>
    </row>
    <row r="6432" spans="2:9" ht="15" customHeight="1" x14ac:dyDescent="0.25">
      <c r="B6432" s="55" t="s">
        <v>280</v>
      </c>
      <c r="C6432" s="46">
        <v>1420</v>
      </c>
      <c r="D6432" s="69" t="s">
        <v>29417</v>
      </c>
      <c r="E6432" s="51"/>
      <c r="F6432" s="114" t="str">
        <f>IF(INDEX(I.Facility.P2aIDNumber,1420)="","",INDEX(I.Facility.P2aIDNumber,1420))</f>
        <v/>
      </c>
      <c r="G6432" s="51"/>
      <c r="H6432" s="46" t="str">
        <f>IF(AND(I.Developer.P2a=TRUE,I.Facility.P2aFacilityCount&gt;=1420,F6432=""),"Incomplete","Complete")</f>
        <v>Complete</v>
      </c>
      <c r="I6432" s="48" t="s">
        <v>10797</v>
      </c>
    </row>
    <row r="6433" spans="2:9" ht="15" customHeight="1" x14ac:dyDescent="0.25">
      <c r="B6433" s="55" t="s">
        <v>280</v>
      </c>
      <c r="C6433" s="46">
        <v>1421</v>
      </c>
      <c r="D6433" s="69" t="s">
        <v>29417</v>
      </c>
      <c r="E6433" s="51"/>
      <c r="F6433" s="114" t="str">
        <f>IF(INDEX(I.Facility.P2aIDNumber,1421)="","",INDEX(I.Facility.P2aIDNumber,1421))</f>
        <v/>
      </c>
      <c r="G6433" s="51"/>
      <c r="H6433" s="46" t="str">
        <f>IF(AND(I.Developer.P2a=TRUE,I.Facility.P2aFacilityCount&gt;=1421,F6433=""),"Incomplete","Complete")</f>
        <v>Complete</v>
      </c>
      <c r="I6433" s="48" t="s">
        <v>10798</v>
      </c>
    </row>
    <row r="6434" spans="2:9" ht="15" customHeight="1" x14ac:dyDescent="0.25">
      <c r="B6434" s="55" t="s">
        <v>280</v>
      </c>
      <c r="C6434" s="46">
        <v>1422</v>
      </c>
      <c r="D6434" s="69" t="s">
        <v>29417</v>
      </c>
      <c r="E6434" s="51"/>
      <c r="F6434" s="114" t="str">
        <f>IF(INDEX(I.Facility.P2aIDNumber,1422)="","",INDEX(I.Facility.P2aIDNumber,1422))</f>
        <v/>
      </c>
      <c r="G6434" s="51"/>
      <c r="H6434" s="46" t="str">
        <f>IF(AND(I.Developer.P2a=TRUE,I.Facility.P2aFacilityCount&gt;=1422,F6434=""),"Incomplete","Complete")</f>
        <v>Complete</v>
      </c>
      <c r="I6434" s="48" t="s">
        <v>10799</v>
      </c>
    </row>
    <row r="6435" spans="2:9" ht="15" customHeight="1" x14ac:dyDescent="0.25">
      <c r="B6435" s="55" t="s">
        <v>280</v>
      </c>
      <c r="C6435" s="46">
        <v>1423</v>
      </c>
      <c r="D6435" s="69" t="s">
        <v>29417</v>
      </c>
      <c r="E6435" s="51"/>
      <c r="F6435" s="114" t="str">
        <f>IF(INDEX(I.Facility.P2aIDNumber,1423)="","",INDEX(I.Facility.P2aIDNumber,1423))</f>
        <v/>
      </c>
      <c r="G6435" s="51"/>
      <c r="H6435" s="46" t="str">
        <f>IF(AND(I.Developer.P2a=TRUE,I.Facility.P2aFacilityCount&gt;=1423,F6435=""),"Incomplete","Complete")</f>
        <v>Complete</v>
      </c>
      <c r="I6435" s="48" t="s">
        <v>10800</v>
      </c>
    </row>
    <row r="6436" spans="2:9" ht="15" customHeight="1" x14ac:dyDescent="0.25">
      <c r="B6436" s="55" t="s">
        <v>280</v>
      </c>
      <c r="C6436" s="46">
        <v>1424</v>
      </c>
      <c r="D6436" s="69" t="s">
        <v>29417</v>
      </c>
      <c r="E6436" s="51"/>
      <c r="F6436" s="114" t="str">
        <f>IF(INDEX(I.Facility.P2aIDNumber,1424)="","",INDEX(I.Facility.P2aIDNumber,1424))</f>
        <v/>
      </c>
      <c r="G6436" s="51"/>
      <c r="H6436" s="46" t="str">
        <f>IF(AND(I.Developer.P2a=TRUE,I.Facility.P2aFacilityCount&gt;=1424,F6436=""),"Incomplete","Complete")</f>
        <v>Complete</v>
      </c>
      <c r="I6436" s="48" t="s">
        <v>10801</v>
      </c>
    </row>
    <row r="6437" spans="2:9" ht="15" customHeight="1" x14ac:dyDescent="0.25">
      <c r="B6437" s="55" t="s">
        <v>280</v>
      </c>
      <c r="C6437" s="46">
        <v>1425</v>
      </c>
      <c r="D6437" s="69" t="s">
        <v>29417</v>
      </c>
      <c r="E6437" s="51"/>
      <c r="F6437" s="114" t="str">
        <f>IF(INDEX(I.Facility.P2aIDNumber,1425)="","",INDEX(I.Facility.P2aIDNumber,1425))</f>
        <v/>
      </c>
      <c r="G6437" s="51"/>
      <c r="H6437" s="46" t="str">
        <f>IF(AND(I.Developer.P2a=TRUE,I.Facility.P2aFacilityCount&gt;=1425,F6437=""),"Incomplete","Complete")</f>
        <v>Complete</v>
      </c>
      <c r="I6437" s="48" t="s">
        <v>10802</v>
      </c>
    </row>
    <row r="6438" spans="2:9" ht="15" customHeight="1" x14ac:dyDescent="0.25">
      <c r="B6438" s="55" t="s">
        <v>280</v>
      </c>
      <c r="C6438" s="46">
        <v>1426</v>
      </c>
      <c r="D6438" s="69" t="s">
        <v>29417</v>
      </c>
      <c r="E6438" s="51"/>
      <c r="F6438" s="114" t="str">
        <f>IF(INDEX(I.Facility.P2aIDNumber,1426)="","",INDEX(I.Facility.P2aIDNumber,1426))</f>
        <v/>
      </c>
      <c r="G6438" s="51"/>
      <c r="H6438" s="46" t="str">
        <f>IF(AND(I.Developer.P2a=TRUE,I.Facility.P2aFacilityCount&gt;=1426,F6438=""),"Incomplete","Complete")</f>
        <v>Complete</v>
      </c>
      <c r="I6438" s="48" t="s">
        <v>10803</v>
      </c>
    </row>
    <row r="6439" spans="2:9" ht="15" customHeight="1" x14ac:dyDescent="0.25">
      <c r="B6439" s="55" t="s">
        <v>280</v>
      </c>
      <c r="C6439" s="46">
        <v>1427</v>
      </c>
      <c r="D6439" s="69" t="s">
        <v>29417</v>
      </c>
      <c r="E6439" s="51"/>
      <c r="F6439" s="114" t="str">
        <f>IF(INDEX(I.Facility.P2aIDNumber,1427)="","",INDEX(I.Facility.P2aIDNumber,1427))</f>
        <v/>
      </c>
      <c r="G6439" s="51"/>
      <c r="H6439" s="46" t="str">
        <f>IF(AND(I.Developer.P2a=TRUE,I.Facility.P2aFacilityCount&gt;=1427,F6439=""),"Incomplete","Complete")</f>
        <v>Complete</v>
      </c>
      <c r="I6439" s="48" t="s">
        <v>10804</v>
      </c>
    </row>
    <row r="6440" spans="2:9" ht="15" customHeight="1" x14ac:dyDescent="0.25">
      <c r="B6440" s="55" t="s">
        <v>280</v>
      </c>
      <c r="C6440" s="46">
        <v>1428</v>
      </c>
      <c r="D6440" s="69" t="s">
        <v>29417</v>
      </c>
      <c r="E6440" s="51"/>
      <c r="F6440" s="114" t="str">
        <f>IF(INDEX(I.Facility.P2aIDNumber,1428)="","",INDEX(I.Facility.P2aIDNumber,1428))</f>
        <v/>
      </c>
      <c r="G6440" s="51"/>
      <c r="H6440" s="46" t="str">
        <f>IF(AND(I.Developer.P2a=TRUE,I.Facility.P2aFacilityCount&gt;=1428,F6440=""),"Incomplete","Complete")</f>
        <v>Complete</v>
      </c>
      <c r="I6440" s="48" t="s">
        <v>10805</v>
      </c>
    </row>
    <row r="6441" spans="2:9" ht="15" customHeight="1" x14ac:dyDescent="0.25">
      <c r="B6441" s="55" t="s">
        <v>280</v>
      </c>
      <c r="C6441" s="46">
        <v>1429</v>
      </c>
      <c r="D6441" s="69" t="s">
        <v>29417</v>
      </c>
      <c r="E6441" s="51"/>
      <c r="F6441" s="114" t="str">
        <f>IF(INDEX(I.Facility.P2aIDNumber,1429)="","",INDEX(I.Facility.P2aIDNumber,1429))</f>
        <v/>
      </c>
      <c r="G6441" s="51"/>
      <c r="H6441" s="46" t="str">
        <f>IF(AND(I.Developer.P2a=TRUE,I.Facility.P2aFacilityCount&gt;=1429,F6441=""),"Incomplete","Complete")</f>
        <v>Complete</v>
      </c>
      <c r="I6441" s="48" t="s">
        <v>10806</v>
      </c>
    </row>
    <row r="6442" spans="2:9" ht="15" customHeight="1" x14ac:dyDescent="0.25">
      <c r="B6442" s="55" t="s">
        <v>280</v>
      </c>
      <c r="C6442" s="46">
        <v>1430</v>
      </c>
      <c r="D6442" s="69" t="s">
        <v>29417</v>
      </c>
      <c r="E6442" s="51"/>
      <c r="F6442" s="114" t="str">
        <f>IF(INDEX(I.Facility.P2aIDNumber,1430)="","",INDEX(I.Facility.P2aIDNumber,1430))</f>
        <v/>
      </c>
      <c r="G6442" s="51"/>
      <c r="H6442" s="46" t="str">
        <f>IF(AND(I.Developer.P2a=TRUE,I.Facility.P2aFacilityCount&gt;=1430,F6442=""),"Incomplete","Complete")</f>
        <v>Complete</v>
      </c>
      <c r="I6442" s="48" t="s">
        <v>10807</v>
      </c>
    </row>
    <row r="6443" spans="2:9" ht="15" customHeight="1" x14ac:dyDescent="0.25">
      <c r="B6443" s="55" t="s">
        <v>280</v>
      </c>
      <c r="C6443" s="46">
        <v>1431</v>
      </c>
      <c r="D6443" s="69" t="s">
        <v>29417</v>
      </c>
      <c r="E6443" s="51"/>
      <c r="F6443" s="114" t="str">
        <f>IF(INDEX(I.Facility.P2aIDNumber,1431)="","",INDEX(I.Facility.P2aIDNumber,1431))</f>
        <v/>
      </c>
      <c r="G6443" s="51"/>
      <c r="H6443" s="46" t="str">
        <f>IF(AND(I.Developer.P2a=TRUE,I.Facility.P2aFacilityCount&gt;=1431,F6443=""),"Incomplete","Complete")</f>
        <v>Complete</v>
      </c>
      <c r="I6443" s="48" t="s">
        <v>10808</v>
      </c>
    </row>
    <row r="6444" spans="2:9" ht="15" customHeight="1" x14ac:dyDescent="0.25">
      <c r="B6444" s="55" t="s">
        <v>280</v>
      </c>
      <c r="C6444" s="46">
        <v>1432</v>
      </c>
      <c r="D6444" s="69" t="s">
        <v>29417</v>
      </c>
      <c r="E6444" s="51"/>
      <c r="F6444" s="114" t="str">
        <f>IF(INDEX(I.Facility.P2aIDNumber,1432)="","",INDEX(I.Facility.P2aIDNumber,1432))</f>
        <v/>
      </c>
      <c r="G6444" s="51"/>
      <c r="H6444" s="46" t="str">
        <f>IF(AND(I.Developer.P2a=TRUE,I.Facility.P2aFacilityCount&gt;=1432,F6444=""),"Incomplete","Complete")</f>
        <v>Complete</v>
      </c>
      <c r="I6444" s="48" t="s">
        <v>10809</v>
      </c>
    </row>
    <row r="6445" spans="2:9" ht="15" customHeight="1" x14ac:dyDescent="0.25">
      <c r="B6445" s="55" t="s">
        <v>280</v>
      </c>
      <c r="C6445" s="46">
        <v>1433</v>
      </c>
      <c r="D6445" s="69" t="s">
        <v>29417</v>
      </c>
      <c r="E6445" s="51"/>
      <c r="F6445" s="114" t="str">
        <f>IF(INDEX(I.Facility.P2aIDNumber,1433)="","",INDEX(I.Facility.P2aIDNumber,1433))</f>
        <v/>
      </c>
      <c r="G6445" s="51"/>
      <c r="H6445" s="46" t="str">
        <f>IF(AND(I.Developer.P2a=TRUE,I.Facility.P2aFacilityCount&gt;=1433,F6445=""),"Incomplete","Complete")</f>
        <v>Complete</v>
      </c>
      <c r="I6445" s="48" t="s">
        <v>10810</v>
      </c>
    </row>
    <row r="6446" spans="2:9" ht="15" customHeight="1" x14ac:dyDescent="0.25">
      <c r="B6446" s="55" t="s">
        <v>280</v>
      </c>
      <c r="C6446" s="46">
        <v>1434</v>
      </c>
      <c r="D6446" s="69" t="s">
        <v>29417</v>
      </c>
      <c r="E6446" s="51"/>
      <c r="F6446" s="114" t="str">
        <f>IF(INDEX(I.Facility.P2aIDNumber,1434)="","",INDEX(I.Facility.P2aIDNumber,1434))</f>
        <v/>
      </c>
      <c r="G6446" s="51"/>
      <c r="H6446" s="46" t="str">
        <f>IF(AND(I.Developer.P2a=TRUE,I.Facility.P2aFacilityCount&gt;=1434,F6446=""),"Incomplete","Complete")</f>
        <v>Complete</v>
      </c>
      <c r="I6446" s="48" t="s">
        <v>10811</v>
      </c>
    </row>
    <row r="6447" spans="2:9" ht="15" customHeight="1" x14ac:dyDescent="0.25">
      <c r="B6447" s="55" t="s">
        <v>280</v>
      </c>
      <c r="C6447" s="46">
        <v>1435</v>
      </c>
      <c r="D6447" s="69" t="s">
        <v>29417</v>
      </c>
      <c r="E6447" s="51"/>
      <c r="F6447" s="114" t="str">
        <f>IF(INDEX(I.Facility.P2aIDNumber,1435)="","",INDEX(I.Facility.P2aIDNumber,1435))</f>
        <v/>
      </c>
      <c r="G6447" s="51"/>
      <c r="H6447" s="46" t="str">
        <f>IF(AND(I.Developer.P2a=TRUE,I.Facility.P2aFacilityCount&gt;=1435,F6447=""),"Incomplete","Complete")</f>
        <v>Complete</v>
      </c>
      <c r="I6447" s="48" t="s">
        <v>10812</v>
      </c>
    </row>
    <row r="6448" spans="2:9" ht="15" customHeight="1" x14ac:dyDescent="0.25">
      <c r="B6448" s="55" t="s">
        <v>280</v>
      </c>
      <c r="C6448" s="46">
        <v>1436</v>
      </c>
      <c r="D6448" s="69" t="s">
        <v>29417</v>
      </c>
      <c r="E6448" s="51"/>
      <c r="F6448" s="114" t="str">
        <f>IF(INDEX(I.Facility.P2aIDNumber,1436)="","",INDEX(I.Facility.P2aIDNumber,1436))</f>
        <v/>
      </c>
      <c r="G6448" s="51"/>
      <c r="H6448" s="46" t="str">
        <f>IF(AND(I.Developer.P2a=TRUE,I.Facility.P2aFacilityCount&gt;=1436,F6448=""),"Incomplete","Complete")</f>
        <v>Complete</v>
      </c>
      <c r="I6448" s="48" t="s">
        <v>10813</v>
      </c>
    </row>
    <row r="6449" spans="2:9" ht="15" customHeight="1" x14ac:dyDescent="0.25">
      <c r="B6449" s="55" t="s">
        <v>280</v>
      </c>
      <c r="C6449" s="46">
        <v>1437</v>
      </c>
      <c r="D6449" s="69" t="s">
        <v>29417</v>
      </c>
      <c r="E6449" s="51"/>
      <c r="F6449" s="114" t="str">
        <f>IF(INDEX(I.Facility.P2aIDNumber,1437)="","",INDEX(I.Facility.P2aIDNumber,1437))</f>
        <v/>
      </c>
      <c r="G6449" s="51"/>
      <c r="H6449" s="46" t="str">
        <f>IF(AND(I.Developer.P2a=TRUE,I.Facility.P2aFacilityCount&gt;=1437,F6449=""),"Incomplete","Complete")</f>
        <v>Complete</v>
      </c>
      <c r="I6449" s="48" t="s">
        <v>10814</v>
      </c>
    </row>
    <row r="6450" spans="2:9" ht="15" customHeight="1" x14ac:dyDescent="0.25">
      <c r="B6450" s="55" t="s">
        <v>280</v>
      </c>
      <c r="C6450" s="46">
        <v>1438</v>
      </c>
      <c r="D6450" s="69" t="s">
        <v>29417</v>
      </c>
      <c r="E6450" s="51"/>
      <c r="F6450" s="114" t="str">
        <f>IF(INDEX(I.Facility.P2aIDNumber,1438)="","",INDEX(I.Facility.P2aIDNumber,1438))</f>
        <v/>
      </c>
      <c r="G6450" s="51"/>
      <c r="H6450" s="46" t="str">
        <f>IF(AND(I.Developer.P2a=TRUE,I.Facility.P2aFacilityCount&gt;=1438,F6450=""),"Incomplete","Complete")</f>
        <v>Complete</v>
      </c>
      <c r="I6450" s="48" t="s">
        <v>10815</v>
      </c>
    </row>
    <row r="6451" spans="2:9" ht="15" customHeight="1" x14ac:dyDescent="0.25">
      <c r="B6451" s="55" t="s">
        <v>280</v>
      </c>
      <c r="C6451" s="46">
        <v>1439</v>
      </c>
      <c r="D6451" s="69" t="s">
        <v>29417</v>
      </c>
      <c r="E6451" s="51"/>
      <c r="F6451" s="114" t="str">
        <f>IF(INDEX(I.Facility.P2aIDNumber,1439)="","",INDEX(I.Facility.P2aIDNumber,1439))</f>
        <v/>
      </c>
      <c r="G6451" s="51"/>
      <c r="H6451" s="46" t="str">
        <f>IF(AND(I.Developer.P2a=TRUE,I.Facility.P2aFacilityCount&gt;=1439,F6451=""),"Incomplete","Complete")</f>
        <v>Complete</v>
      </c>
      <c r="I6451" s="48" t="s">
        <v>10816</v>
      </c>
    </row>
    <row r="6452" spans="2:9" ht="15" customHeight="1" x14ac:dyDescent="0.25">
      <c r="B6452" s="55" t="s">
        <v>280</v>
      </c>
      <c r="C6452" s="46">
        <v>1440</v>
      </c>
      <c r="D6452" s="69" t="s">
        <v>29417</v>
      </c>
      <c r="E6452" s="51"/>
      <c r="F6452" s="114" t="str">
        <f>IF(INDEX(I.Facility.P2aIDNumber,1440)="","",INDEX(I.Facility.P2aIDNumber,1440))</f>
        <v/>
      </c>
      <c r="G6452" s="51"/>
      <c r="H6452" s="46" t="str">
        <f>IF(AND(I.Developer.P2a=TRUE,I.Facility.P2aFacilityCount&gt;=1440,F6452=""),"Incomplete","Complete")</f>
        <v>Complete</v>
      </c>
      <c r="I6452" s="48" t="s">
        <v>10817</v>
      </c>
    </row>
    <row r="6453" spans="2:9" ht="15" customHeight="1" x14ac:dyDescent="0.25">
      <c r="B6453" s="55" t="s">
        <v>280</v>
      </c>
      <c r="C6453" s="46">
        <v>1441</v>
      </c>
      <c r="D6453" s="69" t="s">
        <v>29417</v>
      </c>
      <c r="E6453" s="51"/>
      <c r="F6453" s="114" t="str">
        <f>IF(INDEX(I.Facility.P2aIDNumber,1441)="","",INDEX(I.Facility.P2aIDNumber,1441))</f>
        <v/>
      </c>
      <c r="G6453" s="51"/>
      <c r="H6453" s="46" t="str">
        <f>IF(AND(I.Developer.P2a=TRUE,I.Facility.P2aFacilityCount&gt;=1441,F6453=""),"Incomplete","Complete")</f>
        <v>Complete</v>
      </c>
      <c r="I6453" s="48" t="s">
        <v>10818</v>
      </c>
    </row>
    <row r="6454" spans="2:9" ht="15" customHeight="1" x14ac:dyDescent="0.25">
      <c r="B6454" s="55" t="s">
        <v>280</v>
      </c>
      <c r="C6454" s="46">
        <v>1442</v>
      </c>
      <c r="D6454" s="69" t="s">
        <v>29417</v>
      </c>
      <c r="E6454" s="51"/>
      <c r="F6454" s="114" t="str">
        <f>IF(INDEX(I.Facility.P2aIDNumber,1442)="","",INDEX(I.Facility.P2aIDNumber,1442))</f>
        <v/>
      </c>
      <c r="G6454" s="51"/>
      <c r="H6454" s="46" t="str">
        <f>IF(AND(I.Developer.P2a=TRUE,I.Facility.P2aFacilityCount&gt;=1442,F6454=""),"Incomplete","Complete")</f>
        <v>Complete</v>
      </c>
      <c r="I6454" s="48" t="s">
        <v>10819</v>
      </c>
    </row>
    <row r="6455" spans="2:9" ht="15" customHeight="1" x14ac:dyDescent="0.25">
      <c r="B6455" s="55" t="s">
        <v>280</v>
      </c>
      <c r="C6455" s="46">
        <v>1443</v>
      </c>
      <c r="D6455" s="69" t="s">
        <v>29417</v>
      </c>
      <c r="E6455" s="51"/>
      <c r="F6455" s="114" t="str">
        <f>IF(INDEX(I.Facility.P2aIDNumber,1443)="","",INDEX(I.Facility.P2aIDNumber,1443))</f>
        <v/>
      </c>
      <c r="G6455" s="51"/>
      <c r="H6455" s="46" t="str">
        <f>IF(AND(I.Developer.P2a=TRUE,I.Facility.P2aFacilityCount&gt;=1443,F6455=""),"Incomplete","Complete")</f>
        <v>Complete</v>
      </c>
      <c r="I6455" s="48" t="s">
        <v>10820</v>
      </c>
    </row>
    <row r="6456" spans="2:9" ht="15" customHeight="1" x14ac:dyDescent="0.25">
      <c r="B6456" s="55" t="s">
        <v>280</v>
      </c>
      <c r="C6456" s="46">
        <v>1444</v>
      </c>
      <c r="D6456" s="69" t="s">
        <v>29417</v>
      </c>
      <c r="E6456" s="51"/>
      <c r="F6456" s="114" t="str">
        <f>IF(INDEX(I.Facility.P2aIDNumber,1444)="","",INDEX(I.Facility.P2aIDNumber,1444))</f>
        <v/>
      </c>
      <c r="G6456" s="51"/>
      <c r="H6456" s="46" t="str">
        <f>IF(AND(I.Developer.P2a=TRUE,I.Facility.P2aFacilityCount&gt;=1444,F6456=""),"Incomplete","Complete")</f>
        <v>Complete</v>
      </c>
      <c r="I6456" s="48" t="s">
        <v>10821</v>
      </c>
    </row>
    <row r="6457" spans="2:9" ht="15" customHeight="1" x14ac:dyDescent="0.25">
      <c r="B6457" s="55" t="s">
        <v>280</v>
      </c>
      <c r="C6457" s="46">
        <v>1445</v>
      </c>
      <c r="D6457" s="69" t="s">
        <v>29417</v>
      </c>
      <c r="E6457" s="51"/>
      <c r="F6457" s="114" t="str">
        <f>IF(INDEX(I.Facility.P2aIDNumber,1445)="","",INDEX(I.Facility.P2aIDNumber,1445))</f>
        <v/>
      </c>
      <c r="G6457" s="51"/>
      <c r="H6457" s="46" t="str">
        <f>IF(AND(I.Developer.P2a=TRUE,I.Facility.P2aFacilityCount&gt;=1445,F6457=""),"Incomplete","Complete")</f>
        <v>Complete</v>
      </c>
      <c r="I6457" s="48" t="s">
        <v>10822</v>
      </c>
    </row>
    <row r="6458" spans="2:9" ht="15" customHeight="1" x14ac:dyDescent="0.25">
      <c r="B6458" s="55" t="s">
        <v>280</v>
      </c>
      <c r="C6458" s="46">
        <v>1446</v>
      </c>
      <c r="D6458" s="69" t="s">
        <v>29417</v>
      </c>
      <c r="E6458" s="51"/>
      <c r="F6458" s="114" t="str">
        <f>IF(INDEX(I.Facility.P2aIDNumber,1446)="","",INDEX(I.Facility.P2aIDNumber,1446))</f>
        <v/>
      </c>
      <c r="G6458" s="51"/>
      <c r="H6458" s="46" t="str">
        <f>IF(AND(I.Developer.P2a=TRUE,I.Facility.P2aFacilityCount&gt;=1446,F6458=""),"Incomplete","Complete")</f>
        <v>Complete</v>
      </c>
      <c r="I6458" s="48" t="s">
        <v>10823</v>
      </c>
    </row>
    <row r="6459" spans="2:9" ht="15" customHeight="1" x14ac:dyDescent="0.25">
      <c r="B6459" s="55" t="s">
        <v>280</v>
      </c>
      <c r="C6459" s="46">
        <v>1447</v>
      </c>
      <c r="D6459" s="69" t="s">
        <v>29417</v>
      </c>
      <c r="E6459" s="51"/>
      <c r="F6459" s="114" t="str">
        <f>IF(INDEX(I.Facility.P2aIDNumber,1447)="","",INDEX(I.Facility.P2aIDNumber,1447))</f>
        <v/>
      </c>
      <c r="G6459" s="51"/>
      <c r="H6459" s="46" t="str">
        <f>IF(AND(I.Developer.P2a=TRUE,I.Facility.P2aFacilityCount&gt;=1447,F6459=""),"Incomplete","Complete")</f>
        <v>Complete</v>
      </c>
      <c r="I6459" s="48" t="s">
        <v>10824</v>
      </c>
    </row>
    <row r="6460" spans="2:9" ht="15" customHeight="1" x14ac:dyDescent="0.25">
      <c r="B6460" s="55" t="s">
        <v>280</v>
      </c>
      <c r="C6460" s="46">
        <v>1448</v>
      </c>
      <c r="D6460" s="69" t="s">
        <v>29417</v>
      </c>
      <c r="E6460" s="51"/>
      <c r="F6460" s="114" t="str">
        <f>IF(INDEX(I.Facility.P2aIDNumber,1448)="","",INDEX(I.Facility.P2aIDNumber,1448))</f>
        <v/>
      </c>
      <c r="G6460" s="51"/>
      <c r="H6460" s="46" t="str">
        <f>IF(AND(I.Developer.P2a=TRUE,I.Facility.P2aFacilityCount&gt;=1448,F6460=""),"Incomplete","Complete")</f>
        <v>Complete</v>
      </c>
      <c r="I6460" s="48" t="s">
        <v>10825</v>
      </c>
    </row>
    <row r="6461" spans="2:9" ht="15" customHeight="1" x14ac:dyDescent="0.25">
      <c r="B6461" s="55" t="s">
        <v>280</v>
      </c>
      <c r="C6461" s="46">
        <v>1449</v>
      </c>
      <c r="D6461" s="69" t="s">
        <v>29417</v>
      </c>
      <c r="E6461" s="51"/>
      <c r="F6461" s="114" t="str">
        <f>IF(INDEX(I.Facility.P2aIDNumber,1449)="","",INDEX(I.Facility.P2aIDNumber,1449))</f>
        <v/>
      </c>
      <c r="G6461" s="51"/>
      <c r="H6461" s="46" t="str">
        <f>IF(AND(I.Developer.P2a=TRUE,I.Facility.P2aFacilityCount&gt;=1449,F6461=""),"Incomplete","Complete")</f>
        <v>Complete</v>
      </c>
      <c r="I6461" s="48" t="s">
        <v>10826</v>
      </c>
    </row>
    <row r="6462" spans="2:9" ht="15" customHeight="1" x14ac:dyDescent="0.25">
      <c r="B6462" s="55" t="s">
        <v>280</v>
      </c>
      <c r="C6462" s="46">
        <v>1450</v>
      </c>
      <c r="D6462" s="69" t="s">
        <v>29417</v>
      </c>
      <c r="E6462" s="51"/>
      <c r="F6462" s="114" t="str">
        <f>IF(INDEX(I.Facility.P2aIDNumber,1450)="","",INDEX(I.Facility.P2aIDNumber,1450))</f>
        <v/>
      </c>
      <c r="G6462" s="51"/>
      <c r="H6462" s="46" t="str">
        <f>IF(AND(I.Developer.P2a=TRUE,I.Facility.P2aFacilityCount&gt;=1450,F6462=""),"Incomplete","Complete")</f>
        <v>Complete</v>
      </c>
      <c r="I6462" s="48" t="s">
        <v>10827</v>
      </c>
    </row>
    <row r="6463" spans="2:9" ht="15" customHeight="1" x14ac:dyDescent="0.25">
      <c r="B6463" s="55" t="s">
        <v>280</v>
      </c>
      <c r="C6463" s="46">
        <v>1451</v>
      </c>
      <c r="D6463" s="69" t="s">
        <v>29417</v>
      </c>
      <c r="E6463" s="51"/>
      <c r="F6463" s="114" t="str">
        <f>IF(INDEX(I.Facility.P2aIDNumber,1451)="","",INDEX(I.Facility.P2aIDNumber,1451))</f>
        <v/>
      </c>
      <c r="G6463" s="51"/>
      <c r="H6463" s="46" t="str">
        <f>IF(AND(I.Developer.P2a=TRUE,I.Facility.P2aFacilityCount&gt;=1451,F6463=""),"Incomplete","Complete")</f>
        <v>Complete</v>
      </c>
      <c r="I6463" s="48" t="s">
        <v>10828</v>
      </c>
    </row>
    <row r="6464" spans="2:9" ht="15" customHeight="1" x14ac:dyDescent="0.25">
      <c r="B6464" s="55" t="s">
        <v>280</v>
      </c>
      <c r="C6464" s="46">
        <v>1452</v>
      </c>
      <c r="D6464" s="69" t="s">
        <v>29417</v>
      </c>
      <c r="E6464" s="51"/>
      <c r="F6464" s="114" t="str">
        <f>IF(INDEX(I.Facility.P2aIDNumber,1452)="","",INDEX(I.Facility.P2aIDNumber,1452))</f>
        <v/>
      </c>
      <c r="G6464" s="51"/>
      <c r="H6464" s="46" t="str">
        <f>IF(AND(I.Developer.P2a=TRUE,I.Facility.P2aFacilityCount&gt;=1452,F6464=""),"Incomplete","Complete")</f>
        <v>Complete</v>
      </c>
      <c r="I6464" s="48" t="s">
        <v>10829</v>
      </c>
    </row>
    <row r="6465" spans="2:9" ht="15" customHeight="1" x14ac:dyDescent="0.25">
      <c r="B6465" s="55" t="s">
        <v>280</v>
      </c>
      <c r="C6465" s="46">
        <v>1453</v>
      </c>
      <c r="D6465" s="69" t="s">
        <v>29417</v>
      </c>
      <c r="E6465" s="51"/>
      <c r="F6465" s="114" t="str">
        <f>IF(INDEX(I.Facility.P2aIDNumber,1453)="","",INDEX(I.Facility.P2aIDNumber,1453))</f>
        <v/>
      </c>
      <c r="G6465" s="51"/>
      <c r="H6465" s="46" t="str">
        <f>IF(AND(I.Developer.P2a=TRUE,I.Facility.P2aFacilityCount&gt;=1453,F6465=""),"Incomplete","Complete")</f>
        <v>Complete</v>
      </c>
      <c r="I6465" s="48" t="s">
        <v>10830</v>
      </c>
    </row>
    <row r="6466" spans="2:9" ht="15" customHeight="1" x14ac:dyDescent="0.25">
      <c r="B6466" s="55" t="s">
        <v>280</v>
      </c>
      <c r="C6466" s="46">
        <v>1454</v>
      </c>
      <c r="D6466" s="69" t="s">
        <v>29417</v>
      </c>
      <c r="E6466" s="51"/>
      <c r="F6466" s="114" t="str">
        <f>IF(INDEX(I.Facility.P2aIDNumber,1454)="","",INDEX(I.Facility.P2aIDNumber,1454))</f>
        <v/>
      </c>
      <c r="G6466" s="51"/>
      <c r="H6466" s="46" t="str">
        <f>IF(AND(I.Developer.P2a=TRUE,I.Facility.P2aFacilityCount&gt;=1454,F6466=""),"Incomplete","Complete")</f>
        <v>Complete</v>
      </c>
      <c r="I6466" s="48" t="s">
        <v>10831</v>
      </c>
    </row>
    <row r="6467" spans="2:9" ht="15" customHeight="1" x14ac:dyDescent="0.25">
      <c r="B6467" s="55" t="s">
        <v>280</v>
      </c>
      <c r="C6467" s="46">
        <v>1455</v>
      </c>
      <c r="D6467" s="69" t="s">
        <v>29417</v>
      </c>
      <c r="E6467" s="51"/>
      <c r="F6467" s="114" t="str">
        <f>IF(INDEX(I.Facility.P2aIDNumber,1455)="","",INDEX(I.Facility.P2aIDNumber,1455))</f>
        <v/>
      </c>
      <c r="G6467" s="51"/>
      <c r="H6467" s="46" t="str">
        <f>IF(AND(I.Developer.P2a=TRUE,I.Facility.P2aFacilityCount&gt;=1455,F6467=""),"Incomplete","Complete")</f>
        <v>Complete</v>
      </c>
      <c r="I6467" s="48" t="s">
        <v>10832</v>
      </c>
    </row>
    <row r="6468" spans="2:9" ht="15" customHeight="1" x14ac:dyDescent="0.25">
      <c r="B6468" s="55" t="s">
        <v>280</v>
      </c>
      <c r="C6468" s="46">
        <v>1456</v>
      </c>
      <c r="D6468" s="69" t="s">
        <v>29417</v>
      </c>
      <c r="E6468" s="51"/>
      <c r="F6468" s="114" t="str">
        <f>IF(INDEX(I.Facility.P2aIDNumber,1456)="","",INDEX(I.Facility.P2aIDNumber,1456))</f>
        <v/>
      </c>
      <c r="G6468" s="51"/>
      <c r="H6468" s="46" t="str">
        <f>IF(AND(I.Developer.P2a=TRUE,I.Facility.P2aFacilityCount&gt;=1456,F6468=""),"Incomplete","Complete")</f>
        <v>Complete</v>
      </c>
      <c r="I6468" s="48" t="s">
        <v>10833</v>
      </c>
    </row>
    <row r="6469" spans="2:9" ht="15" customHeight="1" x14ac:dyDescent="0.25">
      <c r="B6469" s="55" t="s">
        <v>280</v>
      </c>
      <c r="C6469" s="46">
        <v>1457</v>
      </c>
      <c r="D6469" s="69" t="s">
        <v>29417</v>
      </c>
      <c r="E6469" s="51"/>
      <c r="F6469" s="114" t="str">
        <f>IF(INDEX(I.Facility.P2aIDNumber,1457)="","",INDEX(I.Facility.P2aIDNumber,1457))</f>
        <v/>
      </c>
      <c r="G6469" s="51"/>
      <c r="H6469" s="46" t="str">
        <f>IF(AND(I.Developer.P2a=TRUE,I.Facility.P2aFacilityCount&gt;=1457,F6469=""),"Incomplete","Complete")</f>
        <v>Complete</v>
      </c>
      <c r="I6469" s="48" t="s">
        <v>10834</v>
      </c>
    </row>
    <row r="6470" spans="2:9" ht="15" customHeight="1" x14ac:dyDescent="0.25">
      <c r="B6470" s="55" t="s">
        <v>280</v>
      </c>
      <c r="C6470" s="46">
        <v>1458</v>
      </c>
      <c r="D6470" s="69" t="s">
        <v>29417</v>
      </c>
      <c r="E6470" s="51"/>
      <c r="F6470" s="114" t="str">
        <f>IF(INDEX(I.Facility.P2aIDNumber,1458)="","",INDEX(I.Facility.P2aIDNumber,1458))</f>
        <v/>
      </c>
      <c r="G6470" s="51"/>
      <c r="H6470" s="46" t="str">
        <f>IF(AND(I.Developer.P2a=TRUE,I.Facility.P2aFacilityCount&gt;=1458,F6470=""),"Incomplete","Complete")</f>
        <v>Complete</v>
      </c>
      <c r="I6470" s="48" t="s">
        <v>10835</v>
      </c>
    </row>
    <row r="6471" spans="2:9" ht="15" customHeight="1" x14ac:dyDescent="0.25">
      <c r="B6471" s="55" t="s">
        <v>280</v>
      </c>
      <c r="C6471" s="46">
        <v>1459</v>
      </c>
      <c r="D6471" s="69" t="s">
        <v>29417</v>
      </c>
      <c r="E6471" s="51"/>
      <c r="F6471" s="114" t="str">
        <f>IF(INDEX(I.Facility.P2aIDNumber,1459)="","",INDEX(I.Facility.P2aIDNumber,1459))</f>
        <v/>
      </c>
      <c r="G6471" s="51"/>
      <c r="H6471" s="46" t="str">
        <f>IF(AND(I.Developer.P2a=TRUE,I.Facility.P2aFacilityCount&gt;=1459,F6471=""),"Incomplete","Complete")</f>
        <v>Complete</v>
      </c>
      <c r="I6471" s="48" t="s">
        <v>10836</v>
      </c>
    </row>
    <row r="6472" spans="2:9" ht="15" customHeight="1" x14ac:dyDescent="0.25">
      <c r="B6472" s="55" t="s">
        <v>280</v>
      </c>
      <c r="C6472" s="46">
        <v>1460</v>
      </c>
      <c r="D6472" s="69" t="s">
        <v>29417</v>
      </c>
      <c r="E6472" s="51"/>
      <c r="F6472" s="114" t="str">
        <f>IF(INDEX(I.Facility.P2aIDNumber,1460)="","",INDEX(I.Facility.P2aIDNumber,1460))</f>
        <v/>
      </c>
      <c r="G6472" s="51"/>
      <c r="H6472" s="46" t="str">
        <f>IF(AND(I.Developer.P2a=TRUE,I.Facility.P2aFacilityCount&gt;=1460,F6472=""),"Incomplete","Complete")</f>
        <v>Complete</v>
      </c>
      <c r="I6472" s="48" t="s">
        <v>10837</v>
      </c>
    </row>
    <row r="6473" spans="2:9" ht="15" customHeight="1" x14ac:dyDescent="0.25">
      <c r="B6473" s="55" t="s">
        <v>280</v>
      </c>
      <c r="C6473" s="46">
        <v>1461</v>
      </c>
      <c r="D6473" s="69" t="s">
        <v>29417</v>
      </c>
      <c r="E6473" s="51"/>
      <c r="F6473" s="114" t="str">
        <f>IF(INDEX(I.Facility.P2aIDNumber,1461)="","",INDEX(I.Facility.P2aIDNumber,1461))</f>
        <v/>
      </c>
      <c r="G6473" s="51"/>
      <c r="H6473" s="46" t="str">
        <f>IF(AND(I.Developer.P2a=TRUE,I.Facility.P2aFacilityCount&gt;=1461,F6473=""),"Incomplete","Complete")</f>
        <v>Complete</v>
      </c>
      <c r="I6473" s="48" t="s">
        <v>10838</v>
      </c>
    </row>
    <row r="6474" spans="2:9" ht="15" customHeight="1" x14ac:dyDescent="0.25">
      <c r="B6474" s="55" t="s">
        <v>280</v>
      </c>
      <c r="C6474" s="46">
        <v>1462</v>
      </c>
      <c r="D6474" s="69" t="s">
        <v>29417</v>
      </c>
      <c r="E6474" s="51"/>
      <c r="F6474" s="114" t="str">
        <f>IF(INDEX(I.Facility.P2aIDNumber,1462)="","",INDEX(I.Facility.P2aIDNumber,1462))</f>
        <v/>
      </c>
      <c r="G6474" s="51"/>
      <c r="H6474" s="46" t="str">
        <f>IF(AND(I.Developer.P2a=TRUE,I.Facility.P2aFacilityCount&gt;=1462,F6474=""),"Incomplete","Complete")</f>
        <v>Complete</v>
      </c>
      <c r="I6474" s="48" t="s">
        <v>10839</v>
      </c>
    </row>
    <row r="6475" spans="2:9" ht="15" customHeight="1" x14ac:dyDescent="0.25">
      <c r="B6475" s="55" t="s">
        <v>280</v>
      </c>
      <c r="C6475" s="46">
        <v>1463</v>
      </c>
      <c r="D6475" s="69" t="s">
        <v>29417</v>
      </c>
      <c r="E6475" s="51"/>
      <c r="F6475" s="114" t="str">
        <f>IF(INDEX(I.Facility.P2aIDNumber,1463)="","",INDEX(I.Facility.P2aIDNumber,1463))</f>
        <v/>
      </c>
      <c r="G6475" s="51"/>
      <c r="H6475" s="46" t="str">
        <f>IF(AND(I.Developer.P2a=TRUE,I.Facility.P2aFacilityCount&gt;=1463,F6475=""),"Incomplete","Complete")</f>
        <v>Complete</v>
      </c>
      <c r="I6475" s="48" t="s">
        <v>10840</v>
      </c>
    </row>
    <row r="6476" spans="2:9" ht="15" customHeight="1" x14ac:dyDescent="0.25">
      <c r="B6476" s="55" t="s">
        <v>280</v>
      </c>
      <c r="C6476" s="46">
        <v>1464</v>
      </c>
      <c r="D6476" s="69" t="s">
        <v>29417</v>
      </c>
      <c r="E6476" s="51"/>
      <c r="F6476" s="114" t="str">
        <f>IF(INDEX(I.Facility.P2aIDNumber,1464)="","",INDEX(I.Facility.P2aIDNumber,1464))</f>
        <v/>
      </c>
      <c r="G6476" s="51"/>
      <c r="H6476" s="46" t="str">
        <f>IF(AND(I.Developer.P2a=TRUE,I.Facility.P2aFacilityCount&gt;=1464,F6476=""),"Incomplete","Complete")</f>
        <v>Complete</v>
      </c>
      <c r="I6476" s="48" t="s">
        <v>10841</v>
      </c>
    </row>
    <row r="6477" spans="2:9" ht="15" customHeight="1" x14ac:dyDescent="0.25">
      <c r="B6477" s="55" t="s">
        <v>280</v>
      </c>
      <c r="C6477" s="46">
        <v>1465</v>
      </c>
      <c r="D6477" s="69" t="s">
        <v>29417</v>
      </c>
      <c r="E6477" s="51"/>
      <c r="F6477" s="114" t="str">
        <f>IF(INDEX(I.Facility.P2aIDNumber,1465)="","",INDEX(I.Facility.P2aIDNumber,1465))</f>
        <v/>
      </c>
      <c r="G6477" s="51"/>
      <c r="H6477" s="46" t="str">
        <f>IF(AND(I.Developer.P2a=TRUE,I.Facility.P2aFacilityCount&gt;=1465,F6477=""),"Incomplete","Complete")</f>
        <v>Complete</v>
      </c>
      <c r="I6477" s="48" t="s">
        <v>10842</v>
      </c>
    </row>
    <row r="6478" spans="2:9" ht="15" customHeight="1" x14ac:dyDescent="0.25">
      <c r="B6478" s="55" t="s">
        <v>280</v>
      </c>
      <c r="C6478" s="46">
        <v>1466</v>
      </c>
      <c r="D6478" s="69" t="s">
        <v>29417</v>
      </c>
      <c r="E6478" s="51"/>
      <c r="F6478" s="114" t="str">
        <f>IF(INDEX(I.Facility.P2aIDNumber,1466)="","",INDEX(I.Facility.P2aIDNumber,1466))</f>
        <v/>
      </c>
      <c r="G6478" s="51"/>
      <c r="H6478" s="46" t="str">
        <f>IF(AND(I.Developer.P2a=TRUE,I.Facility.P2aFacilityCount&gt;=1466,F6478=""),"Incomplete","Complete")</f>
        <v>Complete</v>
      </c>
      <c r="I6478" s="48" t="s">
        <v>10843</v>
      </c>
    </row>
    <row r="6479" spans="2:9" ht="15" customHeight="1" x14ac:dyDescent="0.25">
      <c r="B6479" s="55" t="s">
        <v>280</v>
      </c>
      <c r="C6479" s="46">
        <v>1467</v>
      </c>
      <c r="D6479" s="69" t="s">
        <v>29417</v>
      </c>
      <c r="E6479" s="51"/>
      <c r="F6479" s="114" t="str">
        <f>IF(INDEX(I.Facility.P2aIDNumber,1467)="","",INDEX(I.Facility.P2aIDNumber,1467))</f>
        <v/>
      </c>
      <c r="G6479" s="51"/>
      <c r="H6479" s="46" t="str">
        <f>IF(AND(I.Developer.P2a=TRUE,I.Facility.P2aFacilityCount&gt;=1467,F6479=""),"Incomplete","Complete")</f>
        <v>Complete</v>
      </c>
      <c r="I6479" s="48" t="s">
        <v>10844</v>
      </c>
    </row>
    <row r="6480" spans="2:9" ht="15" customHeight="1" x14ac:dyDescent="0.25">
      <c r="B6480" s="55" t="s">
        <v>280</v>
      </c>
      <c r="C6480" s="46">
        <v>1468</v>
      </c>
      <c r="D6480" s="69" t="s">
        <v>29417</v>
      </c>
      <c r="E6480" s="51"/>
      <c r="F6480" s="114" t="str">
        <f>IF(INDEX(I.Facility.P2aIDNumber,1468)="","",INDEX(I.Facility.P2aIDNumber,1468))</f>
        <v/>
      </c>
      <c r="G6480" s="51"/>
      <c r="H6480" s="46" t="str">
        <f>IF(AND(I.Developer.P2a=TRUE,I.Facility.P2aFacilityCount&gt;=1468,F6480=""),"Incomplete","Complete")</f>
        <v>Complete</v>
      </c>
      <c r="I6480" s="48" t="s">
        <v>10845</v>
      </c>
    </row>
    <row r="6481" spans="2:9" ht="15" customHeight="1" x14ac:dyDescent="0.25">
      <c r="B6481" s="55" t="s">
        <v>280</v>
      </c>
      <c r="C6481" s="46">
        <v>1469</v>
      </c>
      <c r="D6481" s="69" t="s">
        <v>29417</v>
      </c>
      <c r="E6481" s="51"/>
      <c r="F6481" s="114" t="str">
        <f>IF(INDEX(I.Facility.P2aIDNumber,1469)="","",INDEX(I.Facility.P2aIDNumber,1469))</f>
        <v/>
      </c>
      <c r="G6481" s="51"/>
      <c r="H6481" s="46" t="str">
        <f>IF(AND(I.Developer.P2a=TRUE,I.Facility.P2aFacilityCount&gt;=1469,F6481=""),"Incomplete","Complete")</f>
        <v>Complete</v>
      </c>
      <c r="I6481" s="48" t="s">
        <v>10846</v>
      </c>
    </row>
    <row r="6482" spans="2:9" ht="15" customHeight="1" x14ac:dyDescent="0.25">
      <c r="B6482" s="55" t="s">
        <v>280</v>
      </c>
      <c r="C6482" s="46">
        <v>1470</v>
      </c>
      <c r="D6482" s="69" t="s">
        <v>29417</v>
      </c>
      <c r="E6482" s="51"/>
      <c r="F6482" s="114" t="str">
        <f>IF(INDEX(I.Facility.P2aIDNumber,1470)="","",INDEX(I.Facility.P2aIDNumber,1470))</f>
        <v/>
      </c>
      <c r="G6482" s="51"/>
      <c r="H6482" s="46" t="str">
        <f>IF(AND(I.Developer.P2a=TRUE,I.Facility.P2aFacilityCount&gt;=1470,F6482=""),"Incomplete","Complete")</f>
        <v>Complete</v>
      </c>
      <c r="I6482" s="48" t="s">
        <v>10847</v>
      </c>
    </row>
    <row r="6483" spans="2:9" ht="15" customHeight="1" x14ac:dyDescent="0.25">
      <c r="B6483" s="55" t="s">
        <v>280</v>
      </c>
      <c r="C6483" s="46">
        <v>1471</v>
      </c>
      <c r="D6483" s="69" t="s">
        <v>29417</v>
      </c>
      <c r="E6483" s="51"/>
      <c r="F6483" s="114" t="str">
        <f>IF(INDEX(I.Facility.P2aIDNumber,1471)="","",INDEX(I.Facility.P2aIDNumber,1471))</f>
        <v/>
      </c>
      <c r="G6483" s="51"/>
      <c r="H6483" s="46" t="str">
        <f>IF(AND(I.Developer.P2a=TRUE,I.Facility.P2aFacilityCount&gt;=1471,F6483=""),"Incomplete","Complete")</f>
        <v>Complete</v>
      </c>
      <c r="I6483" s="48" t="s">
        <v>10848</v>
      </c>
    </row>
    <row r="6484" spans="2:9" ht="15" customHeight="1" x14ac:dyDescent="0.25">
      <c r="B6484" s="55" t="s">
        <v>280</v>
      </c>
      <c r="C6484" s="46">
        <v>1472</v>
      </c>
      <c r="D6484" s="69" t="s">
        <v>29417</v>
      </c>
      <c r="E6484" s="51"/>
      <c r="F6484" s="114" t="str">
        <f>IF(INDEX(I.Facility.P2aIDNumber,1472)="","",INDEX(I.Facility.P2aIDNumber,1472))</f>
        <v/>
      </c>
      <c r="G6484" s="51"/>
      <c r="H6484" s="46" t="str">
        <f>IF(AND(I.Developer.P2a=TRUE,I.Facility.P2aFacilityCount&gt;=1472,F6484=""),"Incomplete","Complete")</f>
        <v>Complete</v>
      </c>
      <c r="I6484" s="48" t="s">
        <v>10849</v>
      </c>
    </row>
    <row r="6485" spans="2:9" ht="15" customHeight="1" x14ac:dyDescent="0.25">
      <c r="B6485" s="55" t="s">
        <v>280</v>
      </c>
      <c r="C6485" s="46">
        <v>1473</v>
      </c>
      <c r="D6485" s="69" t="s">
        <v>29417</v>
      </c>
      <c r="E6485" s="51"/>
      <c r="F6485" s="114" t="str">
        <f>IF(INDEX(I.Facility.P2aIDNumber,1473)="","",INDEX(I.Facility.P2aIDNumber,1473))</f>
        <v/>
      </c>
      <c r="G6485" s="51"/>
      <c r="H6485" s="46" t="str">
        <f>IF(AND(I.Developer.P2a=TRUE,I.Facility.P2aFacilityCount&gt;=1473,F6485=""),"Incomplete","Complete")</f>
        <v>Complete</v>
      </c>
      <c r="I6485" s="48" t="s">
        <v>10850</v>
      </c>
    </row>
    <row r="6486" spans="2:9" ht="15" customHeight="1" x14ac:dyDescent="0.25">
      <c r="B6486" s="55" t="s">
        <v>280</v>
      </c>
      <c r="C6486" s="46">
        <v>1474</v>
      </c>
      <c r="D6486" s="69" t="s">
        <v>29417</v>
      </c>
      <c r="E6486" s="51"/>
      <c r="F6486" s="114" t="str">
        <f>IF(INDEX(I.Facility.P2aIDNumber,1474)="","",INDEX(I.Facility.P2aIDNumber,1474))</f>
        <v/>
      </c>
      <c r="G6486" s="51"/>
      <c r="H6486" s="46" t="str">
        <f>IF(AND(I.Developer.P2a=TRUE,I.Facility.P2aFacilityCount&gt;=1474,F6486=""),"Incomplete","Complete")</f>
        <v>Complete</v>
      </c>
      <c r="I6486" s="48" t="s">
        <v>10851</v>
      </c>
    </row>
    <row r="6487" spans="2:9" ht="15" customHeight="1" x14ac:dyDescent="0.25">
      <c r="B6487" s="55" t="s">
        <v>280</v>
      </c>
      <c r="C6487" s="46">
        <v>1475</v>
      </c>
      <c r="D6487" s="69" t="s">
        <v>29417</v>
      </c>
      <c r="E6487" s="51"/>
      <c r="F6487" s="114" t="str">
        <f>IF(INDEX(I.Facility.P2aIDNumber,1475)="","",INDEX(I.Facility.P2aIDNumber,1475))</f>
        <v/>
      </c>
      <c r="G6487" s="51"/>
      <c r="H6487" s="46" t="str">
        <f>IF(AND(I.Developer.P2a=TRUE,I.Facility.P2aFacilityCount&gt;=1475,F6487=""),"Incomplete","Complete")</f>
        <v>Complete</v>
      </c>
      <c r="I6487" s="48" t="s">
        <v>10852</v>
      </c>
    </row>
    <row r="6488" spans="2:9" ht="15" customHeight="1" x14ac:dyDescent="0.25">
      <c r="B6488" s="55" t="s">
        <v>280</v>
      </c>
      <c r="C6488" s="46">
        <v>1476</v>
      </c>
      <c r="D6488" s="69" t="s">
        <v>29417</v>
      </c>
      <c r="E6488" s="51"/>
      <c r="F6488" s="114" t="str">
        <f>IF(INDEX(I.Facility.P2aIDNumber,1476)="","",INDEX(I.Facility.P2aIDNumber,1476))</f>
        <v/>
      </c>
      <c r="G6488" s="51"/>
      <c r="H6488" s="46" t="str">
        <f>IF(AND(I.Developer.P2a=TRUE,I.Facility.P2aFacilityCount&gt;=1476,F6488=""),"Incomplete","Complete")</f>
        <v>Complete</v>
      </c>
      <c r="I6488" s="48" t="s">
        <v>10853</v>
      </c>
    </row>
    <row r="6489" spans="2:9" ht="15" customHeight="1" x14ac:dyDescent="0.25">
      <c r="B6489" s="55" t="s">
        <v>280</v>
      </c>
      <c r="C6489" s="46">
        <v>1477</v>
      </c>
      <c r="D6489" s="69" t="s">
        <v>29417</v>
      </c>
      <c r="E6489" s="51"/>
      <c r="F6489" s="114" t="str">
        <f>IF(INDEX(I.Facility.P2aIDNumber,1477)="","",INDEX(I.Facility.P2aIDNumber,1477))</f>
        <v/>
      </c>
      <c r="G6489" s="51"/>
      <c r="H6489" s="46" t="str">
        <f>IF(AND(I.Developer.P2a=TRUE,I.Facility.P2aFacilityCount&gt;=1477,F6489=""),"Incomplete","Complete")</f>
        <v>Complete</v>
      </c>
      <c r="I6489" s="48" t="s">
        <v>10854</v>
      </c>
    </row>
    <row r="6490" spans="2:9" ht="15" customHeight="1" x14ac:dyDescent="0.25">
      <c r="B6490" s="55" t="s">
        <v>280</v>
      </c>
      <c r="C6490" s="46">
        <v>1478</v>
      </c>
      <c r="D6490" s="69" t="s">
        <v>29417</v>
      </c>
      <c r="E6490" s="51"/>
      <c r="F6490" s="114" t="str">
        <f>IF(INDEX(I.Facility.P2aIDNumber,1478)="","",INDEX(I.Facility.P2aIDNumber,1478))</f>
        <v/>
      </c>
      <c r="G6490" s="51"/>
      <c r="H6490" s="46" t="str">
        <f>IF(AND(I.Developer.P2a=TRUE,I.Facility.P2aFacilityCount&gt;=1478,F6490=""),"Incomplete","Complete")</f>
        <v>Complete</v>
      </c>
      <c r="I6490" s="48" t="s">
        <v>10855</v>
      </c>
    </row>
    <row r="6491" spans="2:9" ht="15" customHeight="1" x14ac:dyDescent="0.25">
      <c r="B6491" s="55" t="s">
        <v>280</v>
      </c>
      <c r="C6491" s="46">
        <v>1479</v>
      </c>
      <c r="D6491" s="69" t="s">
        <v>29417</v>
      </c>
      <c r="E6491" s="51"/>
      <c r="F6491" s="114" t="str">
        <f>IF(INDEX(I.Facility.P2aIDNumber,1479)="","",INDEX(I.Facility.P2aIDNumber,1479))</f>
        <v/>
      </c>
      <c r="G6491" s="51"/>
      <c r="H6491" s="46" t="str">
        <f>IF(AND(I.Developer.P2a=TRUE,I.Facility.P2aFacilityCount&gt;=1479,F6491=""),"Incomplete","Complete")</f>
        <v>Complete</v>
      </c>
      <c r="I6491" s="48" t="s">
        <v>10856</v>
      </c>
    </row>
    <row r="6492" spans="2:9" ht="15" customHeight="1" x14ac:dyDescent="0.25">
      <c r="B6492" s="55" t="s">
        <v>280</v>
      </c>
      <c r="C6492" s="46">
        <v>1480</v>
      </c>
      <c r="D6492" s="69" t="s">
        <v>29417</v>
      </c>
      <c r="E6492" s="51"/>
      <c r="F6492" s="114" t="str">
        <f>IF(INDEX(I.Facility.P2aIDNumber,1480)="","",INDEX(I.Facility.P2aIDNumber,1480))</f>
        <v/>
      </c>
      <c r="G6492" s="51"/>
      <c r="H6492" s="46" t="str">
        <f>IF(AND(I.Developer.P2a=TRUE,I.Facility.P2aFacilityCount&gt;=1480,F6492=""),"Incomplete","Complete")</f>
        <v>Complete</v>
      </c>
      <c r="I6492" s="48" t="s">
        <v>10857</v>
      </c>
    </row>
    <row r="6493" spans="2:9" ht="15" customHeight="1" x14ac:dyDescent="0.25">
      <c r="B6493" s="55" t="s">
        <v>280</v>
      </c>
      <c r="C6493" s="46">
        <v>1481</v>
      </c>
      <c r="D6493" s="69" t="s">
        <v>29417</v>
      </c>
      <c r="E6493" s="51"/>
      <c r="F6493" s="114" t="str">
        <f>IF(INDEX(I.Facility.P2aIDNumber,1481)="","",INDEX(I.Facility.P2aIDNumber,1481))</f>
        <v/>
      </c>
      <c r="G6493" s="51"/>
      <c r="H6493" s="46" t="str">
        <f>IF(AND(I.Developer.P2a=TRUE,I.Facility.P2aFacilityCount&gt;=1481,F6493=""),"Incomplete","Complete")</f>
        <v>Complete</v>
      </c>
      <c r="I6493" s="48" t="s">
        <v>10858</v>
      </c>
    </row>
    <row r="6494" spans="2:9" ht="15" customHeight="1" x14ac:dyDescent="0.25">
      <c r="B6494" s="55" t="s">
        <v>280</v>
      </c>
      <c r="C6494" s="46">
        <v>1482</v>
      </c>
      <c r="D6494" s="69" t="s">
        <v>29417</v>
      </c>
      <c r="E6494" s="51"/>
      <c r="F6494" s="114" t="str">
        <f>IF(INDEX(I.Facility.P2aIDNumber,1482)="","",INDEX(I.Facility.P2aIDNumber,1482))</f>
        <v/>
      </c>
      <c r="G6494" s="51"/>
      <c r="H6494" s="46" t="str">
        <f>IF(AND(I.Developer.P2a=TRUE,I.Facility.P2aFacilityCount&gt;=1482,F6494=""),"Incomplete","Complete")</f>
        <v>Complete</v>
      </c>
      <c r="I6494" s="48" t="s">
        <v>10859</v>
      </c>
    </row>
    <row r="6495" spans="2:9" ht="15" customHeight="1" x14ac:dyDescent="0.25">
      <c r="B6495" s="55" t="s">
        <v>280</v>
      </c>
      <c r="C6495" s="46">
        <v>1483</v>
      </c>
      <c r="D6495" s="69" t="s">
        <v>29417</v>
      </c>
      <c r="E6495" s="51"/>
      <c r="F6495" s="114" t="str">
        <f>IF(INDEX(I.Facility.P2aIDNumber,1483)="","",INDEX(I.Facility.P2aIDNumber,1483))</f>
        <v/>
      </c>
      <c r="G6495" s="51"/>
      <c r="H6495" s="46" t="str">
        <f>IF(AND(I.Developer.P2a=TRUE,I.Facility.P2aFacilityCount&gt;=1483,F6495=""),"Incomplete","Complete")</f>
        <v>Complete</v>
      </c>
      <c r="I6495" s="48" t="s">
        <v>10860</v>
      </c>
    </row>
    <row r="6496" spans="2:9" ht="15" customHeight="1" x14ac:dyDescent="0.25">
      <c r="B6496" s="55" t="s">
        <v>280</v>
      </c>
      <c r="C6496" s="46">
        <v>1484</v>
      </c>
      <c r="D6496" s="69" t="s">
        <v>29417</v>
      </c>
      <c r="E6496" s="51"/>
      <c r="F6496" s="114" t="str">
        <f>IF(INDEX(I.Facility.P2aIDNumber,1484)="","",INDEX(I.Facility.P2aIDNumber,1484))</f>
        <v/>
      </c>
      <c r="G6496" s="51"/>
      <c r="H6496" s="46" t="str">
        <f>IF(AND(I.Developer.P2a=TRUE,I.Facility.P2aFacilityCount&gt;=1484,F6496=""),"Incomplete","Complete")</f>
        <v>Complete</v>
      </c>
      <c r="I6496" s="48" t="s">
        <v>10861</v>
      </c>
    </row>
    <row r="6497" spans="2:9" ht="15" customHeight="1" x14ac:dyDescent="0.25">
      <c r="B6497" s="55" t="s">
        <v>280</v>
      </c>
      <c r="C6497" s="46">
        <v>1485</v>
      </c>
      <c r="D6497" s="69" t="s">
        <v>29417</v>
      </c>
      <c r="E6497" s="51"/>
      <c r="F6497" s="114" t="str">
        <f>IF(INDEX(I.Facility.P2aIDNumber,1485)="","",INDEX(I.Facility.P2aIDNumber,1485))</f>
        <v/>
      </c>
      <c r="G6497" s="51"/>
      <c r="H6497" s="46" t="str">
        <f>IF(AND(I.Developer.P2a=TRUE,I.Facility.P2aFacilityCount&gt;=1485,F6497=""),"Incomplete","Complete")</f>
        <v>Complete</v>
      </c>
      <c r="I6497" s="48" t="s">
        <v>10862</v>
      </c>
    </row>
    <row r="6498" spans="2:9" ht="15" customHeight="1" x14ac:dyDescent="0.25">
      <c r="B6498" s="55" t="s">
        <v>280</v>
      </c>
      <c r="C6498" s="46">
        <v>1486</v>
      </c>
      <c r="D6498" s="69" t="s">
        <v>29417</v>
      </c>
      <c r="E6498" s="51"/>
      <c r="F6498" s="114" t="str">
        <f>IF(INDEX(I.Facility.P2aIDNumber,1486)="","",INDEX(I.Facility.P2aIDNumber,1486))</f>
        <v/>
      </c>
      <c r="G6498" s="51"/>
      <c r="H6498" s="46" t="str">
        <f>IF(AND(I.Developer.P2a=TRUE,I.Facility.P2aFacilityCount&gt;=1486,F6498=""),"Incomplete","Complete")</f>
        <v>Complete</v>
      </c>
      <c r="I6498" s="48" t="s">
        <v>10863</v>
      </c>
    </row>
    <row r="6499" spans="2:9" ht="15" customHeight="1" x14ac:dyDescent="0.25">
      <c r="B6499" s="55" t="s">
        <v>280</v>
      </c>
      <c r="C6499" s="46">
        <v>1487</v>
      </c>
      <c r="D6499" s="69" t="s">
        <v>29417</v>
      </c>
      <c r="E6499" s="51"/>
      <c r="F6499" s="114" t="str">
        <f>IF(INDEX(I.Facility.P2aIDNumber,1487)="","",INDEX(I.Facility.P2aIDNumber,1487))</f>
        <v/>
      </c>
      <c r="G6499" s="51"/>
      <c r="H6499" s="46" t="str">
        <f>IF(AND(I.Developer.P2a=TRUE,I.Facility.P2aFacilityCount&gt;=1487,F6499=""),"Incomplete","Complete")</f>
        <v>Complete</v>
      </c>
      <c r="I6499" s="48" t="s">
        <v>10864</v>
      </c>
    </row>
    <row r="6500" spans="2:9" ht="15" customHeight="1" x14ac:dyDescent="0.25">
      <c r="B6500" s="55" t="s">
        <v>280</v>
      </c>
      <c r="C6500" s="46">
        <v>1488</v>
      </c>
      <c r="D6500" s="69" t="s">
        <v>29417</v>
      </c>
      <c r="E6500" s="51"/>
      <c r="F6500" s="114" t="str">
        <f>IF(INDEX(I.Facility.P2aIDNumber,1488)="","",INDEX(I.Facility.P2aIDNumber,1488))</f>
        <v/>
      </c>
      <c r="G6500" s="51"/>
      <c r="H6500" s="46" t="str">
        <f>IF(AND(I.Developer.P2a=TRUE,I.Facility.P2aFacilityCount&gt;=1488,F6500=""),"Incomplete","Complete")</f>
        <v>Complete</v>
      </c>
      <c r="I6500" s="48" t="s">
        <v>10865</v>
      </c>
    </row>
    <row r="6501" spans="2:9" ht="15" customHeight="1" x14ac:dyDescent="0.25">
      <c r="B6501" s="55" t="s">
        <v>280</v>
      </c>
      <c r="C6501" s="46">
        <v>1489</v>
      </c>
      <c r="D6501" s="69" t="s">
        <v>29417</v>
      </c>
      <c r="E6501" s="51"/>
      <c r="F6501" s="114" t="str">
        <f>IF(INDEX(I.Facility.P2aIDNumber,1489)="","",INDEX(I.Facility.P2aIDNumber,1489))</f>
        <v/>
      </c>
      <c r="G6501" s="51"/>
      <c r="H6501" s="46" t="str">
        <f>IF(AND(I.Developer.P2a=TRUE,I.Facility.P2aFacilityCount&gt;=1489,F6501=""),"Incomplete","Complete")</f>
        <v>Complete</v>
      </c>
      <c r="I6501" s="48" t="s">
        <v>10866</v>
      </c>
    </row>
    <row r="6502" spans="2:9" ht="15" customHeight="1" x14ac:dyDescent="0.25">
      <c r="B6502" s="55" t="s">
        <v>280</v>
      </c>
      <c r="C6502" s="46">
        <v>1490</v>
      </c>
      <c r="D6502" s="69" t="s">
        <v>29417</v>
      </c>
      <c r="E6502" s="51"/>
      <c r="F6502" s="114" t="str">
        <f>IF(INDEX(I.Facility.P2aIDNumber,1490)="","",INDEX(I.Facility.P2aIDNumber,1490))</f>
        <v/>
      </c>
      <c r="G6502" s="51"/>
      <c r="H6502" s="46" t="str">
        <f>IF(AND(I.Developer.P2a=TRUE,I.Facility.P2aFacilityCount&gt;=1490,F6502=""),"Incomplete","Complete")</f>
        <v>Complete</v>
      </c>
      <c r="I6502" s="48" t="s">
        <v>10867</v>
      </c>
    </row>
    <row r="6503" spans="2:9" ht="15" customHeight="1" x14ac:dyDescent="0.25">
      <c r="B6503" s="55" t="s">
        <v>280</v>
      </c>
      <c r="C6503" s="46">
        <v>1491</v>
      </c>
      <c r="D6503" s="69" t="s">
        <v>29417</v>
      </c>
      <c r="E6503" s="51"/>
      <c r="F6503" s="114" t="str">
        <f>IF(INDEX(I.Facility.P2aIDNumber,1491)="","",INDEX(I.Facility.P2aIDNumber,1491))</f>
        <v/>
      </c>
      <c r="G6503" s="51"/>
      <c r="H6503" s="46" t="str">
        <f>IF(AND(I.Developer.P2a=TRUE,I.Facility.P2aFacilityCount&gt;=1491,F6503=""),"Incomplete","Complete")</f>
        <v>Complete</v>
      </c>
      <c r="I6503" s="48" t="s">
        <v>10868</v>
      </c>
    </row>
    <row r="6504" spans="2:9" ht="15" customHeight="1" x14ac:dyDescent="0.25">
      <c r="B6504" s="55" t="s">
        <v>280</v>
      </c>
      <c r="C6504" s="46">
        <v>1492</v>
      </c>
      <c r="D6504" s="69" t="s">
        <v>29417</v>
      </c>
      <c r="E6504" s="51"/>
      <c r="F6504" s="114" t="str">
        <f>IF(INDEX(I.Facility.P2aIDNumber,1492)="","",INDEX(I.Facility.P2aIDNumber,1492))</f>
        <v/>
      </c>
      <c r="G6504" s="51"/>
      <c r="H6504" s="46" t="str">
        <f>IF(AND(I.Developer.P2a=TRUE,I.Facility.P2aFacilityCount&gt;=1492,F6504=""),"Incomplete","Complete")</f>
        <v>Complete</v>
      </c>
      <c r="I6504" s="48" t="s">
        <v>10869</v>
      </c>
    </row>
    <row r="6505" spans="2:9" ht="15" customHeight="1" x14ac:dyDescent="0.25">
      <c r="B6505" s="55" t="s">
        <v>280</v>
      </c>
      <c r="C6505" s="46">
        <v>1493</v>
      </c>
      <c r="D6505" s="69" t="s">
        <v>29417</v>
      </c>
      <c r="E6505" s="51"/>
      <c r="F6505" s="114" t="str">
        <f>IF(INDEX(I.Facility.P2aIDNumber,1493)="","",INDEX(I.Facility.P2aIDNumber,1493))</f>
        <v/>
      </c>
      <c r="G6505" s="51"/>
      <c r="H6505" s="46" t="str">
        <f>IF(AND(I.Developer.P2a=TRUE,I.Facility.P2aFacilityCount&gt;=1493,F6505=""),"Incomplete","Complete")</f>
        <v>Complete</v>
      </c>
      <c r="I6505" s="48" t="s">
        <v>10870</v>
      </c>
    </row>
    <row r="6506" spans="2:9" ht="15" customHeight="1" x14ac:dyDescent="0.25">
      <c r="B6506" s="55" t="s">
        <v>280</v>
      </c>
      <c r="C6506" s="46">
        <v>1494</v>
      </c>
      <c r="D6506" s="69" t="s">
        <v>29417</v>
      </c>
      <c r="E6506" s="51"/>
      <c r="F6506" s="114" t="str">
        <f>IF(INDEX(I.Facility.P2aIDNumber,1494)="","",INDEX(I.Facility.P2aIDNumber,1494))</f>
        <v/>
      </c>
      <c r="G6506" s="51"/>
      <c r="H6506" s="46" t="str">
        <f>IF(AND(I.Developer.P2a=TRUE,I.Facility.P2aFacilityCount&gt;=1494,F6506=""),"Incomplete","Complete")</f>
        <v>Complete</v>
      </c>
      <c r="I6506" s="48" t="s">
        <v>10871</v>
      </c>
    </row>
    <row r="6507" spans="2:9" ht="15" customHeight="1" x14ac:dyDescent="0.25">
      <c r="B6507" s="55" t="s">
        <v>280</v>
      </c>
      <c r="C6507" s="46">
        <v>1495</v>
      </c>
      <c r="D6507" s="69" t="s">
        <v>29417</v>
      </c>
      <c r="E6507" s="51"/>
      <c r="F6507" s="114" t="str">
        <f>IF(INDEX(I.Facility.P2aIDNumber,1495)="","",INDEX(I.Facility.P2aIDNumber,1495))</f>
        <v/>
      </c>
      <c r="G6507" s="51"/>
      <c r="H6507" s="46" t="str">
        <f>IF(AND(I.Developer.P2a=TRUE,I.Facility.P2aFacilityCount&gt;=1495,F6507=""),"Incomplete","Complete")</f>
        <v>Complete</v>
      </c>
      <c r="I6507" s="48" t="s">
        <v>10872</v>
      </c>
    </row>
    <row r="6508" spans="2:9" ht="15" customHeight="1" x14ac:dyDescent="0.25">
      <c r="B6508" s="55" t="s">
        <v>280</v>
      </c>
      <c r="C6508" s="46">
        <v>1496</v>
      </c>
      <c r="D6508" s="69" t="s">
        <v>29417</v>
      </c>
      <c r="E6508" s="51"/>
      <c r="F6508" s="114" t="str">
        <f>IF(INDEX(I.Facility.P2aIDNumber,1496)="","",INDEX(I.Facility.P2aIDNumber,1496))</f>
        <v/>
      </c>
      <c r="G6508" s="51"/>
      <c r="H6508" s="46" t="str">
        <f>IF(AND(I.Developer.P2a=TRUE,I.Facility.P2aFacilityCount&gt;=1496,F6508=""),"Incomplete","Complete")</f>
        <v>Complete</v>
      </c>
      <c r="I6508" s="48" t="s">
        <v>10873</v>
      </c>
    </row>
    <row r="6509" spans="2:9" ht="15" customHeight="1" x14ac:dyDescent="0.25">
      <c r="B6509" s="55" t="s">
        <v>280</v>
      </c>
      <c r="C6509" s="46">
        <v>1497</v>
      </c>
      <c r="D6509" s="69" t="s">
        <v>29417</v>
      </c>
      <c r="E6509" s="51"/>
      <c r="F6509" s="114" t="str">
        <f>IF(INDEX(I.Facility.P2aIDNumber,1497)="","",INDEX(I.Facility.P2aIDNumber,1497))</f>
        <v/>
      </c>
      <c r="G6509" s="51"/>
      <c r="H6509" s="46" t="str">
        <f>IF(AND(I.Developer.P2a=TRUE,I.Facility.P2aFacilityCount&gt;=1497,F6509=""),"Incomplete","Complete")</f>
        <v>Complete</v>
      </c>
      <c r="I6509" s="48" t="s">
        <v>10874</v>
      </c>
    </row>
    <row r="6510" spans="2:9" ht="15" customHeight="1" x14ac:dyDescent="0.25">
      <c r="B6510" s="55" t="s">
        <v>280</v>
      </c>
      <c r="C6510" s="46">
        <v>1498</v>
      </c>
      <c r="D6510" s="69" t="s">
        <v>29417</v>
      </c>
      <c r="E6510" s="51"/>
      <c r="F6510" s="114" t="str">
        <f>IF(INDEX(I.Facility.P2aIDNumber,1498)="","",INDEX(I.Facility.P2aIDNumber,1498))</f>
        <v/>
      </c>
      <c r="G6510" s="51"/>
      <c r="H6510" s="46" t="str">
        <f>IF(AND(I.Developer.P2a=TRUE,I.Facility.P2aFacilityCount&gt;=1498,F6510=""),"Incomplete","Complete")</f>
        <v>Complete</v>
      </c>
      <c r="I6510" s="48" t="s">
        <v>10875</v>
      </c>
    </row>
    <row r="6511" spans="2:9" ht="15" customHeight="1" x14ac:dyDescent="0.25">
      <c r="B6511" s="55" t="s">
        <v>280</v>
      </c>
      <c r="C6511" s="46">
        <v>1499</v>
      </c>
      <c r="D6511" s="69" t="s">
        <v>29417</v>
      </c>
      <c r="E6511" s="51"/>
      <c r="F6511" s="114" t="str">
        <f>IF(INDEX(I.Facility.P2aIDNumber,1499)="","",INDEX(I.Facility.P2aIDNumber,1499))</f>
        <v/>
      </c>
      <c r="G6511" s="51"/>
      <c r="H6511" s="46" t="str">
        <f>IF(AND(I.Developer.P2a=TRUE,I.Facility.P2aFacilityCount&gt;=1499,F6511=""),"Incomplete","Complete")</f>
        <v>Complete</v>
      </c>
      <c r="I6511" s="48" t="s">
        <v>10876</v>
      </c>
    </row>
    <row r="6512" spans="2:9" ht="15" customHeight="1" x14ac:dyDescent="0.25">
      <c r="B6512" s="55" t="s">
        <v>280</v>
      </c>
      <c r="C6512" s="46">
        <v>1500</v>
      </c>
      <c r="D6512" s="69" t="s">
        <v>29417</v>
      </c>
      <c r="E6512" s="51"/>
      <c r="F6512" s="114" t="str">
        <f>IF(INDEX(I.Facility.P2aIDNumber,1500)="","",INDEX(I.Facility.P2aIDNumber,1500))</f>
        <v/>
      </c>
      <c r="G6512" s="51"/>
      <c r="H6512" s="46" t="str">
        <f>IF(AND(I.Developer.P2a=TRUE,I.Facility.P2aFacilityCount&gt;=1500,F6512=""),"Incomplete","Complete")</f>
        <v>Complete</v>
      </c>
      <c r="I6512" s="48" t="s">
        <v>10877</v>
      </c>
    </row>
    <row r="6513" spans="2:9" ht="15" customHeight="1" x14ac:dyDescent="0.25">
      <c r="B6513" s="55" t="s">
        <v>280</v>
      </c>
      <c r="C6513" s="46">
        <v>1501</v>
      </c>
      <c r="D6513" s="69" t="s">
        <v>29417</v>
      </c>
      <c r="E6513" s="51"/>
      <c r="F6513" s="114" t="str">
        <f>IF(INDEX(I.Facility.P2aIDNumber,1501)="","",INDEX(I.Facility.P2aIDNumber,1501))</f>
        <v/>
      </c>
      <c r="G6513" s="51"/>
      <c r="H6513" s="46" t="str">
        <f>IF(AND(I.Developer.P2a=TRUE,I.Facility.P2aFacilityCount&gt;=1501,F6513=""),"Incomplete","Complete")</f>
        <v>Complete</v>
      </c>
      <c r="I6513" s="48" t="s">
        <v>10878</v>
      </c>
    </row>
    <row r="6514" spans="2:9" ht="15" customHeight="1" x14ac:dyDescent="0.25">
      <c r="B6514" s="55" t="s">
        <v>280</v>
      </c>
      <c r="C6514" s="46">
        <v>1502</v>
      </c>
      <c r="D6514" s="69" t="s">
        <v>29417</v>
      </c>
      <c r="E6514" s="51"/>
      <c r="F6514" s="114" t="str">
        <f>IF(INDEX(I.Facility.P2aIDNumber,1502)="","",INDEX(I.Facility.P2aIDNumber,1502))</f>
        <v/>
      </c>
      <c r="G6514" s="51"/>
      <c r="H6514" s="46" t="str">
        <f>IF(AND(I.Developer.P2a=TRUE,I.Facility.P2aFacilityCount&gt;=1502,F6514=""),"Incomplete","Complete")</f>
        <v>Complete</v>
      </c>
      <c r="I6514" s="48" t="s">
        <v>10879</v>
      </c>
    </row>
    <row r="6515" spans="2:9" ht="15" customHeight="1" x14ac:dyDescent="0.25">
      <c r="B6515" s="55" t="s">
        <v>280</v>
      </c>
      <c r="C6515" s="46">
        <v>1503</v>
      </c>
      <c r="D6515" s="69" t="s">
        <v>29417</v>
      </c>
      <c r="E6515" s="51"/>
      <c r="F6515" s="114" t="str">
        <f>IF(INDEX(I.Facility.P2aIDNumber,1503)="","",INDEX(I.Facility.P2aIDNumber,1503))</f>
        <v/>
      </c>
      <c r="G6515" s="51"/>
      <c r="H6515" s="46" t="str">
        <f>IF(AND(I.Developer.P2a=TRUE,I.Facility.P2aFacilityCount&gt;=1503,F6515=""),"Incomplete","Complete")</f>
        <v>Complete</v>
      </c>
      <c r="I6515" s="48" t="s">
        <v>10880</v>
      </c>
    </row>
    <row r="6516" spans="2:9" ht="15" customHeight="1" x14ac:dyDescent="0.25">
      <c r="B6516" s="55" t="s">
        <v>280</v>
      </c>
      <c r="C6516" s="46">
        <v>1504</v>
      </c>
      <c r="D6516" s="69" t="s">
        <v>29417</v>
      </c>
      <c r="E6516" s="51"/>
      <c r="F6516" s="114" t="str">
        <f>IF(INDEX(I.Facility.P2aIDNumber,1504)="","",INDEX(I.Facility.P2aIDNumber,1504))</f>
        <v/>
      </c>
      <c r="G6516" s="51"/>
      <c r="H6516" s="46" t="str">
        <f>IF(AND(I.Developer.P2a=TRUE,I.Facility.P2aFacilityCount&gt;=1504,F6516=""),"Incomplete","Complete")</f>
        <v>Complete</v>
      </c>
      <c r="I6516" s="48" t="s">
        <v>10881</v>
      </c>
    </row>
    <row r="6517" spans="2:9" ht="15" customHeight="1" x14ac:dyDescent="0.25">
      <c r="B6517" s="55" t="s">
        <v>280</v>
      </c>
      <c r="C6517" s="46">
        <v>1505</v>
      </c>
      <c r="D6517" s="69" t="s">
        <v>29417</v>
      </c>
      <c r="E6517" s="51"/>
      <c r="F6517" s="114" t="str">
        <f>IF(INDEX(I.Facility.P2aIDNumber,1505)="","",INDEX(I.Facility.P2aIDNumber,1505))</f>
        <v/>
      </c>
      <c r="G6517" s="51"/>
      <c r="H6517" s="46" t="str">
        <f>IF(AND(I.Developer.P2a=TRUE,I.Facility.P2aFacilityCount&gt;=1505,F6517=""),"Incomplete","Complete")</f>
        <v>Complete</v>
      </c>
      <c r="I6517" s="48" t="s">
        <v>10882</v>
      </c>
    </row>
    <row r="6518" spans="2:9" ht="15" customHeight="1" x14ac:dyDescent="0.25">
      <c r="B6518" s="55" t="s">
        <v>280</v>
      </c>
      <c r="C6518" s="46">
        <v>1506</v>
      </c>
      <c r="D6518" s="69" t="s">
        <v>29417</v>
      </c>
      <c r="E6518" s="51"/>
      <c r="F6518" s="114" t="str">
        <f>IF(INDEX(I.Facility.P2aIDNumber,1506)="","",INDEX(I.Facility.P2aIDNumber,1506))</f>
        <v/>
      </c>
      <c r="G6518" s="51"/>
      <c r="H6518" s="46" t="str">
        <f>IF(AND(I.Developer.P2a=TRUE,I.Facility.P2aFacilityCount&gt;=1506,F6518=""),"Incomplete","Complete")</f>
        <v>Complete</v>
      </c>
      <c r="I6518" s="48" t="s">
        <v>10883</v>
      </c>
    </row>
    <row r="6519" spans="2:9" ht="15" customHeight="1" x14ac:dyDescent="0.25">
      <c r="B6519" s="55" t="s">
        <v>280</v>
      </c>
      <c r="C6519" s="46">
        <v>1507</v>
      </c>
      <c r="D6519" s="69" t="s">
        <v>29417</v>
      </c>
      <c r="E6519" s="51"/>
      <c r="F6519" s="114" t="str">
        <f>IF(INDEX(I.Facility.P2aIDNumber,1507)="","",INDEX(I.Facility.P2aIDNumber,1507))</f>
        <v/>
      </c>
      <c r="G6519" s="51"/>
      <c r="H6519" s="46" t="str">
        <f>IF(AND(I.Developer.P2a=TRUE,I.Facility.P2aFacilityCount&gt;=1507,F6519=""),"Incomplete","Complete")</f>
        <v>Complete</v>
      </c>
      <c r="I6519" s="48" t="s">
        <v>10884</v>
      </c>
    </row>
    <row r="6520" spans="2:9" ht="15" customHeight="1" x14ac:dyDescent="0.25">
      <c r="B6520" s="55" t="s">
        <v>280</v>
      </c>
      <c r="C6520" s="46">
        <v>1508</v>
      </c>
      <c r="D6520" s="69" t="s">
        <v>29417</v>
      </c>
      <c r="E6520" s="51"/>
      <c r="F6520" s="114" t="str">
        <f>IF(INDEX(I.Facility.P2aIDNumber,1508)="","",INDEX(I.Facility.P2aIDNumber,1508))</f>
        <v/>
      </c>
      <c r="G6520" s="51"/>
      <c r="H6520" s="46" t="str">
        <f>IF(AND(I.Developer.P2a=TRUE,I.Facility.P2aFacilityCount&gt;=1508,F6520=""),"Incomplete","Complete")</f>
        <v>Complete</v>
      </c>
      <c r="I6520" s="48" t="s">
        <v>10885</v>
      </c>
    </row>
    <row r="6521" spans="2:9" ht="15" customHeight="1" x14ac:dyDescent="0.25">
      <c r="B6521" s="55" t="s">
        <v>280</v>
      </c>
      <c r="C6521" s="46">
        <v>1509</v>
      </c>
      <c r="D6521" s="69" t="s">
        <v>29417</v>
      </c>
      <c r="E6521" s="51"/>
      <c r="F6521" s="114" t="str">
        <f>IF(INDEX(I.Facility.P2aIDNumber,1509)="","",INDEX(I.Facility.P2aIDNumber,1509))</f>
        <v/>
      </c>
      <c r="G6521" s="51"/>
      <c r="H6521" s="46" t="str">
        <f>IF(AND(I.Developer.P2a=TRUE,I.Facility.P2aFacilityCount&gt;=1509,F6521=""),"Incomplete","Complete")</f>
        <v>Complete</v>
      </c>
      <c r="I6521" s="48" t="s">
        <v>10886</v>
      </c>
    </row>
    <row r="6522" spans="2:9" ht="15" customHeight="1" x14ac:dyDescent="0.25">
      <c r="B6522" s="55" t="s">
        <v>280</v>
      </c>
      <c r="C6522" s="46">
        <v>1510</v>
      </c>
      <c r="D6522" s="69" t="s">
        <v>29417</v>
      </c>
      <c r="E6522" s="51"/>
      <c r="F6522" s="114" t="str">
        <f>IF(INDEX(I.Facility.P2aIDNumber,1510)="","",INDEX(I.Facility.P2aIDNumber,1510))</f>
        <v/>
      </c>
      <c r="G6522" s="51"/>
      <c r="H6522" s="46" t="str">
        <f>IF(AND(I.Developer.P2a=TRUE,I.Facility.P2aFacilityCount&gt;=1510,F6522=""),"Incomplete","Complete")</f>
        <v>Complete</v>
      </c>
      <c r="I6522" s="48" t="s">
        <v>10887</v>
      </c>
    </row>
    <row r="6523" spans="2:9" ht="15" customHeight="1" x14ac:dyDescent="0.25">
      <c r="B6523" s="55" t="s">
        <v>280</v>
      </c>
      <c r="C6523" s="46">
        <v>1511</v>
      </c>
      <c r="D6523" s="69" t="s">
        <v>29417</v>
      </c>
      <c r="E6523" s="51"/>
      <c r="F6523" s="114" t="str">
        <f>IF(INDEX(I.Facility.P2aIDNumber,1511)="","",INDEX(I.Facility.P2aIDNumber,1511))</f>
        <v/>
      </c>
      <c r="G6523" s="51"/>
      <c r="H6523" s="46" t="str">
        <f>IF(AND(I.Developer.P2a=TRUE,I.Facility.P2aFacilityCount&gt;=1511,F6523=""),"Incomplete","Complete")</f>
        <v>Complete</v>
      </c>
      <c r="I6523" s="48" t="s">
        <v>10888</v>
      </c>
    </row>
    <row r="6524" spans="2:9" ht="15" customHeight="1" x14ac:dyDescent="0.25">
      <c r="B6524" s="55" t="s">
        <v>280</v>
      </c>
      <c r="C6524" s="46">
        <v>1512</v>
      </c>
      <c r="D6524" s="69" t="s">
        <v>29417</v>
      </c>
      <c r="E6524" s="51"/>
      <c r="F6524" s="114" t="str">
        <f>IF(INDEX(I.Facility.P2aIDNumber,1512)="","",INDEX(I.Facility.P2aIDNumber,1512))</f>
        <v/>
      </c>
      <c r="G6524" s="51"/>
      <c r="H6524" s="46" t="str">
        <f>IF(AND(I.Developer.P2a=TRUE,I.Facility.P2aFacilityCount&gt;=1512,F6524=""),"Incomplete","Complete")</f>
        <v>Complete</v>
      </c>
      <c r="I6524" s="48" t="s">
        <v>10889</v>
      </c>
    </row>
    <row r="6525" spans="2:9" ht="15" customHeight="1" x14ac:dyDescent="0.25">
      <c r="B6525" s="55" t="s">
        <v>280</v>
      </c>
      <c r="C6525" s="46">
        <v>1513</v>
      </c>
      <c r="D6525" s="69" t="s">
        <v>29417</v>
      </c>
      <c r="E6525" s="51"/>
      <c r="F6525" s="114" t="str">
        <f>IF(INDEX(I.Facility.P2aIDNumber,1513)="","",INDEX(I.Facility.P2aIDNumber,1513))</f>
        <v/>
      </c>
      <c r="G6525" s="51"/>
      <c r="H6525" s="46" t="str">
        <f>IF(AND(I.Developer.P2a=TRUE,I.Facility.P2aFacilityCount&gt;=1513,F6525=""),"Incomplete","Complete")</f>
        <v>Complete</v>
      </c>
      <c r="I6525" s="48" t="s">
        <v>10890</v>
      </c>
    </row>
    <row r="6526" spans="2:9" ht="15" customHeight="1" x14ac:dyDescent="0.25">
      <c r="B6526" s="55" t="s">
        <v>280</v>
      </c>
      <c r="C6526" s="46">
        <v>1514</v>
      </c>
      <c r="D6526" s="69" t="s">
        <v>29417</v>
      </c>
      <c r="E6526" s="51"/>
      <c r="F6526" s="114" t="str">
        <f>IF(INDEX(I.Facility.P2aIDNumber,1514)="","",INDEX(I.Facility.P2aIDNumber,1514))</f>
        <v/>
      </c>
      <c r="G6526" s="51"/>
      <c r="H6526" s="46" t="str">
        <f>IF(AND(I.Developer.P2a=TRUE,I.Facility.P2aFacilityCount&gt;=1514,F6526=""),"Incomplete","Complete")</f>
        <v>Complete</v>
      </c>
      <c r="I6526" s="48" t="s">
        <v>10891</v>
      </c>
    </row>
    <row r="6527" spans="2:9" ht="15" customHeight="1" x14ac:dyDescent="0.25">
      <c r="B6527" s="55" t="s">
        <v>280</v>
      </c>
      <c r="C6527" s="46">
        <v>1515</v>
      </c>
      <c r="D6527" s="69" t="s">
        <v>29417</v>
      </c>
      <c r="E6527" s="51"/>
      <c r="F6527" s="114" t="str">
        <f>IF(INDEX(I.Facility.P2aIDNumber,1515)="","",INDEX(I.Facility.P2aIDNumber,1515))</f>
        <v/>
      </c>
      <c r="G6527" s="51"/>
      <c r="H6527" s="46" t="str">
        <f>IF(AND(I.Developer.P2a=TRUE,I.Facility.P2aFacilityCount&gt;=1515,F6527=""),"Incomplete","Complete")</f>
        <v>Complete</v>
      </c>
      <c r="I6527" s="48" t="s">
        <v>10892</v>
      </c>
    </row>
    <row r="6528" spans="2:9" ht="15" customHeight="1" x14ac:dyDescent="0.25">
      <c r="B6528" s="55" t="s">
        <v>280</v>
      </c>
      <c r="C6528" s="46">
        <v>1516</v>
      </c>
      <c r="D6528" s="69" t="s">
        <v>29417</v>
      </c>
      <c r="E6528" s="51"/>
      <c r="F6528" s="114" t="str">
        <f>IF(INDEX(I.Facility.P2aIDNumber,1516)="","",INDEX(I.Facility.P2aIDNumber,1516))</f>
        <v/>
      </c>
      <c r="G6528" s="51"/>
      <c r="H6528" s="46" t="str">
        <f>IF(AND(I.Developer.P2a=TRUE,I.Facility.P2aFacilityCount&gt;=1516,F6528=""),"Incomplete","Complete")</f>
        <v>Complete</v>
      </c>
      <c r="I6528" s="48" t="s">
        <v>10893</v>
      </c>
    </row>
    <row r="6529" spans="2:9" ht="15" customHeight="1" x14ac:dyDescent="0.25">
      <c r="B6529" s="55" t="s">
        <v>280</v>
      </c>
      <c r="C6529" s="46">
        <v>1517</v>
      </c>
      <c r="D6529" s="69" t="s">
        <v>29417</v>
      </c>
      <c r="E6529" s="51"/>
      <c r="F6529" s="114" t="str">
        <f>IF(INDEX(I.Facility.P2aIDNumber,1517)="","",INDEX(I.Facility.P2aIDNumber,1517))</f>
        <v/>
      </c>
      <c r="G6529" s="51"/>
      <c r="H6529" s="46" t="str">
        <f>IF(AND(I.Developer.P2a=TRUE,I.Facility.P2aFacilityCount&gt;=1517,F6529=""),"Incomplete","Complete")</f>
        <v>Complete</v>
      </c>
      <c r="I6529" s="48" t="s">
        <v>10894</v>
      </c>
    </row>
    <row r="6530" spans="2:9" ht="15" customHeight="1" x14ac:dyDescent="0.25">
      <c r="B6530" s="55" t="s">
        <v>280</v>
      </c>
      <c r="C6530" s="46">
        <v>1518</v>
      </c>
      <c r="D6530" s="69" t="s">
        <v>29417</v>
      </c>
      <c r="E6530" s="51"/>
      <c r="F6530" s="114" t="str">
        <f>IF(INDEX(I.Facility.P2aIDNumber,1518)="","",INDEX(I.Facility.P2aIDNumber,1518))</f>
        <v/>
      </c>
      <c r="G6530" s="51"/>
      <c r="H6530" s="46" t="str">
        <f>IF(AND(I.Developer.P2a=TRUE,I.Facility.P2aFacilityCount&gt;=1518,F6530=""),"Incomplete","Complete")</f>
        <v>Complete</v>
      </c>
      <c r="I6530" s="48" t="s">
        <v>10895</v>
      </c>
    </row>
    <row r="6531" spans="2:9" ht="15" customHeight="1" x14ac:dyDescent="0.25">
      <c r="B6531" s="55" t="s">
        <v>280</v>
      </c>
      <c r="C6531" s="46">
        <v>1519</v>
      </c>
      <c r="D6531" s="69" t="s">
        <v>29417</v>
      </c>
      <c r="E6531" s="51"/>
      <c r="F6531" s="114" t="str">
        <f>IF(INDEX(I.Facility.P2aIDNumber,1519)="","",INDEX(I.Facility.P2aIDNumber,1519))</f>
        <v/>
      </c>
      <c r="G6531" s="51"/>
      <c r="H6531" s="46" t="str">
        <f>IF(AND(I.Developer.P2a=TRUE,I.Facility.P2aFacilityCount&gt;=1519,F6531=""),"Incomplete","Complete")</f>
        <v>Complete</v>
      </c>
      <c r="I6531" s="48" t="s">
        <v>10896</v>
      </c>
    </row>
    <row r="6532" spans="2:9" ht="15" customHeight="1" x14ac:dyDescent="0.25">
      <c r="B6532" s="55" t="s">
        <v>280</v>
      </c>
      <c r="C6532" s="46">
        <v>1520</v>
      </c>
      <c r="D6532" s="69" t="s">
        <v>29417</v>
      </c>
      <c r="E6532" s="51"/>
      <c r="F6532" s="114" t="str">
        <f>IF(INDEX(I.Facility.P2aIDNumber,1520)="","",INDEX(I.Facility.P2aIDNumber,1520))</f>
        <v/>
      </c>
      <c r="G6532" s="51"/>
      <c r="H6532" s="46" t="str">
        <f>IF(AND(I.Developer.P2a=TRUE,I.Facility.P2aFacilityCount&gt;=1520,F6532=""),"Incomplete","Complete")</f>
        <v>Complete</v>
      </c>
      <c r="I6532" s="48" t="s">
        <v>10897</v>
      </c>
    </row>
    <row r="6533" spans="2:9" ht="15" customHeight="1" x14ac:dyDescent="0.25">
      <c r="B6533" s="55" t="s">
        <v>280</v>
      </c>
      <c r="C6533" s="46">
        <v>1521</v>
      </c>
      <c r="D6533" s="69" t="s">
        <v>29417</v>
      </c>
      <c r="E6533" s="51"/>
      <c r="F6533" s="114" t="str">
        <f>IF(INDEX(I.Facility.P2aIDNumber,1521)="","",INDEX(I.Facility.P2aIDNumber,1521))</f>
        <v/>
      </c>
      <c r="G6533" s="51"/>
      <c r="H6533" s="46" t="str">
        <f>IF(AND(I.Developer.P2a=TRUE,I.Facility.P2aFacilityCount&gt;=1521,F6533=""),"Incomplete","Complete")</f>
        <v>Complete</v>
      </c>
      <c r="I6533" s="48" t="s">
        <v>10898</v>
      </c>
    </row>
    <row r="6534" spans="2:9" ht="15" customHeight="1" x14ac:dyDescent="0.25">
      <c r="B6534" s="55" t="s">
        <v>280</v>
      </c>
      <c r="C6534" s="46">
        <v>1522</v>
      </c>
      <c r="D6534" s="69" t="s">
        <v>29417</v>
      </c>
      <c r="E6534" s="51"/>
      <c r="F6534" s="114" t="str">
        <f>IF(INDEX(I.Facility.P2aIDNumber,1522)="","",INDEX(I.Facility.P2aIDNumber,1522))</f>
        <v/>
      </c>
      <c r="G6534" s="51"/>
      <c r="H6534" s="46" t="str">
        <f>IF(AND(I.Developer.P2a=TRUE,I.Facility.P2aFacilityCount&gt;=1522,F6534=""),"Incomplete","Complete")</f>
        <v>Complete</v>
      </c>
      <c r="I6534" s="48" t="s">
        <v>10899</v>
      </c>
    </row>
    <row r="6535" spans="2:9" ht="15" customHeight="1" x14ac:dyDescent="0.25">
      <c r="B6535" s="55" t="s">
        <v>280</v>
      </c>
      <c r="C6535" s="46">
        <v>1523</v>
      </c>
      <c r="D6535" s="69" t="s">
        <v>29417</v>
      </c>
      <c r="E6535" s="51"/>
      <c r="F6535" s="114" t="str">
        <f>IF(INDEX(I.Facility.P2aIDNumber,1523)="","",INDEX(I.Facility.P2aIDNumber,1523))</f>
        <v/>
      </c>
      <c r="G6535" s="51"/>
      <c r="H6535" s="46" t="str">
        <f>IF(AND(I.Developer.P2a=TRUE,I.Facility.P2aFacilityCount&gt;=1523,F6535=""),"Incomplete","Complete")</f>
        <v>Complete</v>
      </c>
      <c r="I6535" s="48" t="s">
        <v>10900</v>
      </c>
    </row>
    <row r="6536" spans="2:9" ht="15" customHeight="1" x14ac:dyDescent="0.25">
      <c r="B6536" s="55" t="s">
        <v>280</v>
      </c>
      <c r="C6536" s="46">
        <v>1524</v>
      </c>
      <c r="D6536" s="69" t="s">
        <v>29417</v>
      </c>
      <c r="E6536" s="51"/>
      <c r="F6536" s="114" t="str">
        <f>IF(INDEX(I.Facility.P2aIDNumber,1524)="","",INDEX(I.Facility.P2aIDNumber,1524))</f>
        <v/>
      </c>
      <c r="G6536" s="51"/>
      <c r="H6536" s="46" t="str">
        <f>IF(AND(I.Developer.P2a=TRUE,I.Facility.P2aFacilityCount&gt;=1524,F6536=""),"Incomplete","Complete")</f>
        <v>Complete</v>
      </c>
      <c r="I6536" s="48" t="s">
        <v>10901</v>
      </c>
    </row>
    <row r="6537" spans="2:9" ht="15" customHeight="1" x14ac:dyDescent="0.25">
      <c r="B6537" s="55" t="s">
        <v>280</v>
      </c>
      <c r="C6537" s="46">
        <v>1525</v>
      </c>
      <c r="D6537" s="69" t="s">
        <v>29417</v>
      </c>
      <c r="E6537" s="51"/>
      <c r="F6537" s="114" t="str">
        <f>IF(INDEX(I.Facility.P2aIDNumber,1525)="","",INDEX(I.Facility.P2aIDNumber,1525))</f>
        <v/>
      </c>
      <c r="G6537" s="51"/>
      <c r="H6537" s="46" t="str">
        <f>IF(AND(I.Developer.P2a=TRUE,I.Facility.P2aFacilityCount&gt;=1525,F6537=""),"Incomplete","Complete")</f>
        <v>Complete</v>
      </c>
      <c r="I6537" s="48" t="s">
        <v>10902</v>
      </c>
    </row>
    <row r="6538" spans="2:9" ht="15" customHeight="1" x14ac:dyDescent="0.25">
      <c r="B6538" s="55" t="s">
        <v>280</v>
      </c>
      <c r="C6538" s="46">
        <v>1526</v>
      </c>
      <c r="D6538" s="69" t="s">
        <v>29417</v>
      </c>
      <c r="E6538" s="51"/>
      <c r="F6538" s="114" t="str">
        <f>IF(INDEX(I.Facility.P2aIDNumber,1526)="","",INDEX(I.Facility.P2aIDNumber,1526))</f>
        <v/>
      </c>
      <c r="G6538" s="51"/>
      <c r="H6538" s="46" t="str">
        <f>IF(AND(I.Developer.P2a=TRUE,I.Facility.P2aFacilityCount&gt;=1526,F6538=""),"Incomplete","Complete")</f>
        <v>Complete</v>
      </c>
      <c r="I6538" s="48" t="s">
        <v>10903</v>
      </c>
    </row>
    <row r="6539" spans="2:9" ht="15" customHeight="1" x14ac:dyDescent="0.25">
      <c r="B6539" s="55" t="s">
        <v>280</v>
      </c>
      <c r="C6539" s="46">
        <v>1527</v>
      </c>
      <c r="D6539" s="69" t="s">
        <v>29417</v>
      </c>
      <c r="E6539" s="51"/>
      <c r="F6539" s="114" t="str">
        <f>IF(INDEX(I.Facility.P2aIDNumber,1527)="","",INDEX(I.Facility.P2aIDNumber,1527))</f>
        <v/>
      </c>
      <c r="G6539" s="51"/>
      <c r="H6539" s="46" t="str">
        <f>IF(AND(I.Developer.P2a=TRUE,I.Facility.P2aFacilityCount&gt;=1527,F6539=""),"Incomplete","Complete")</f>
        <v>Complete</v>
      </c>
      <c r="I6539" s="48" t="s">
        <v>10904</v>
      </c>
    </row>
    <row r="6540" spans="2:9" ht="15" customHeight="1" x14ac:dyDescent="0.25">
      <c r="B6540" s="55" t="s">
        <v>280</v>
      </c>
      <c r="C6540" s="46">
        <v>1528</v>
      </c>
      <c r="D6540" s="69" t="s">
        <v>29417</v>
      </c>
      <c r="E6540" s="51"/>
      <c r="F6540" s="114" t="str">
        <f>IF(INDEX(I.Facility.P2aIDNumber,1528)="","",INDEX(I.Facility.P2aIDNumber,1528))</f>
        <v/>
      </c>
      <c r="G6540" s="51"/>
      <c r="H6540" s="46" t="str">
        <f>IF(AND(I.Developer.P2a=TRUE,I.Facility.P2aFacilityCount&gt;=1528,F6540=""),"Incomplete","Complete")</f>
        <v>Complete</v>
      </c>
      <c r="I6540" s="48" t="s">
        <v>10905</v>
      </c>
    </row>
    <row r="6541" spans="2:9" ht="15" customHeight="1" x14ac:dyDescent="0.25">
      <c r="B6541" s="55" t="s">
        <v>280</v>
      </c>
      <c r="C6541" s="46">
        <v>1529</v>
      </c>
      <c r="D6541" s="69" t="s">
        <v>29417</v>
      </c>
      <c r="E6541" s="51"/>
      <c r="F6541" s="114" t="str">
        <f>IF(INDEX(I.Facility.P2aIDNumber,1529)="","",INDEX(I.Facility.P2aIDNumber,1529))</f>
        <v/>
      </c>
      <c r="G6541" s="51"/>
      <c r="H6541" s="46" t="str">
        <f>IF(AND(I.Developer.P2a=TRUE,I.Facility.P2aFacilityCount&gt;=1529,F6541=""),"Incomplete","Complete")</f>
        <v>Complete</v>
      </c>
      <c r="I6541" s="48" t="s">
        <v>10906</v>
      </c>
    </row>
    <row r="6542" spans="2:9" ht="15" customHeight="1" x14ac:dyDescent="0.25">
      <c r="B6542" s="55" t="s">
        <v>280</v>
      </c>
      <c r="C6542" s="46">
        <v>1530</v>
      </c>
      <c r="D6542" s="69" t="s">
        <v>29417</v>
      </c>
      <c r="E6542" s="51"/>
      <c r="F6542" s="114" t="str">
        <f>IF(INDEX(I.Facility.P2aIDNumber,1530)="","",INDEX(I.Facility.P2aIDNumber,1530))</f>
        <v/>
      </c>
      <c r="G6542" s="51"/>
      <c r="H6542" s="46" t="str">
        <f>IF(AND(I.Developer.P2a=TRUE,I.Facility.P2aFacilityCount&gt;=1530,F6542=""),"Incomplete","Complete")</f>
        <v>Complete</v>
      </c>
      <c r="I6542" s="48" t="s">
        <v>10907</v>
      </c>
    </row>
    <row r="6543" spans="2:9" ht="15" customHeight="1" x14ac:dyDescent="0.25">
      <c r="B6543" s="55" t="s">
        <v>280</v>
      </c>
      <c r="C6543" s="46">
        <v>1531</v>
      </c>
      <c r="D6543" s="69" t="s">
        <v>29417</v>
      </c>
      <c r="E6543" s="51"/>
      <c r="F6543" s="114" t="str">
        <f>IF(INDEX(I.Facility.P2aIDNumber,1531)="","",INDEX(I.Facility.P2aIDNumber,1531))</f>
        <v/>
      </c>
      <c r="G6543" s="51"/>
      <c r="H6543" s="46" t="str">
        <f>IF(AND(I.Developer.P2a=TRUE,I.Facility.P2aFacilityCount&gt;=1531,F6543=""),"Incomplete","Complete")</f>
        <v>Complete</v>
      </c>
      <c r="I6543" s="48" t="s">
        <v>10908</v>
      </c>
    </row>
    <row r="6544" spans="2:9" ht="15" customHeight="1" x14ac:dyDescent="0.25">
      <c r="B6544" s="55" t="s">
        <v>280</v>
      </c>
      <c r="C6544" s="46">
        <v>1532</v>
      </c>
      <c r="D6544" s="69" t="s">
        <v>29417</v>
      </c>
      <c r="E6544" s="51"/>
      <c r="F6544" s="114" t="str">
        <f>IF(INDEX(I.Facility.P2aIDNumber,1532)="","",INDEX(I.Facility.P2aIDNumber,1532))</f>
        <v/>
      </c>
      <c r="G6544" s="51"/>
      <c r="H6544" s="46" t="str">
        <f>IF(AND(I.Developer.P2a=TRUE,I.Facility.P2aFacilityCount&gt;=1532,F6544=""),"Incomplete","Complete")</f>
        <v>Complete</v>
      </c>
      <c r="I6544" s="48" t="s">
        <v>10909</v>
      </c>
    </row>
    <row r="6545" spans="2:9" ht="15" customHeight="1" x14ac:dyDescent="0.25">
      <c r="B6545" s="55" t="s">
        <v>280</v>
      </c>
      <c r="C6545" s="46">
        <v>1533</v>
      </c>
      <c r="D6545" s="69" t="s">
        <v>29417</v>
      </c>
      <c r="E6545" s="51"/>
      <c r="F6545" s="114" t="str">
        <f>IF(INDEX(I.Facility.P2aIDNumber,1533)="","",INDEX(I.Facility.P2aIDNumber,1533))</f>
        <v/>
      </c>
      <c r="G6545" s="51"/>
      <c r="H6545" s="46" t="str">
        <f>IF(AND(I.Developer.P2a=TRUE,I.Facility.P2aFacilityCount&gt;=1533,F6545=""),"Incomplete","Complete")</f>
        <v>Complete</v>
      </c>
      <c r="I6545" s="48" t="s">
        <v>10910</v>
      </c>
    </row>
    <row r="6546" spans="2:9" ht="15" customHeight="1" x14ac:dyDescent="0.25">
      <c r="B6546" s="55" t="s">
        <v>280</v>
      </c>
      <c r="C6546" s="46">
        <v>1534</v>
      </c>
      <c r="D6546" s="69" t="s">
        <v>29417</v>
      </c>
      <c r="E6546" s="51"/>
      <c r="F6546" s="114" t="str">
        <f>IF(INDEX(I.Facility.P2aIDNumber,1534)="","",INDEX(I.Facility.P2aIDNumber,1534))</f>
        <v/>
      </c>
      <c r="G6546" s="51"/>
      <c r="H6546" s="46" t="str">
        <f>IF(AND(I.Developer.P2a=TRUE,I.Facility.P2aFacilityCount&gt;=1534,F6546=""),"Incomplete","Complete")</f>
        <v>Complete</v>
      </c>
      <c r="I6546" s="48" t="s">
        <v>10911</v>
      </c>
    </row>
    <row r="6547" spans="2:9" ht="15" customHeight="1" x14ac:dyDescent="0.25">
      <c r="B6547" s="55" t="s">
        <v>280</v>
      </c>
      <c r="C6547" s="46">
        <v>1535</v>
      </c>
      <c r="D6547" s="69" t="s">
        <v>29417</v>
      </c>
      <c r="E6547" s="51"/>
      <c r="F6547" s="114" t="str">
        <f>IF(INDEX(I.Facility.P2aIDNumber,1535)="","",INDEX(I.Facility.P2aIDNumber,1535))</f>
        <v/>
      </c>
      <c r="G6547" s="51"/>
      <c r="H6547" s="46" t="str">
        <f>IF(AND(I.Developer.P2a=TRUE,I.Facility.P2aFacilityCount&gt;=1535,F6547=""),"Incomplete","Complete")</f>
        <v>Complete</v>
      </c>
      <c r="I6547" s="48" t="s">
        <v>10912</v>
      </c>
    </row>
    <row r="6548" spans="2:9" ht="15" customHeight="1" x14ac:dyDescent="0.25">
      <c r="B6548" s="55" t="s">
        <v>280</v>
      </c>
      <c r="C6548" s="46">
        <v>1536</v>
      </c>
      <c r="D6548" s="69" t="s">
        <v>29417</v>
      </c>
      <c r="E6548" s="51"/>
      <c r="F6548" s="114" t="str">
        <f>IF(INDEX(I.Facility.P2aIDNumber,1536)="","",INDEX(I.Facility.P2aIDNumber,1536))</f>
        <v/>
      </c>
      <c r="G6548" s="51"/>
      <c r="H6548" s="46" t="str">
        <f>IF(AND(I.Developer.P2a=TRUE,I.Facility.P2aFacilityCount&gt;=1536,F6548=""),"Incomplete","Complete")</f>
        <v>Complete</v>
      </c>
      <c r="I6548" s="48" t="s">
        <v>10913</v>
      </c>
    </row>
    <row r="6549" spans="2:9" ht="15" customHeight="1" x14ac:dyDescent="0.25">
      <c r="B6549" s="55" t="s">
        <v>280</v>
      </c>
      <c r="C6549" s="46">
        <v>1537</v>
      </c>
      <c r="D6549" s="69" t="s">
        <v>29417</v>
      </c>
      <c r="E6549" s="51"/>
      <c r="F6549" s="114" t="str">
        <f>IF(INDEX(I.Facility.P2aIDNumber,1537)="","",INDEX(I.Facility.P2aIDNumber,1537))</f>
        <v/>
      </c>
      <c r="G6549" s="51"/>
      <c r="H6549" s="46" t="str">
        <f>IF(AND(I.Developer.P2a=TRUE,I.Facility.P2aFacilityCount&gt;=1537,F6549=""),"Incomplete","Complete")</f>
        <v>Complete</v>
      </c>
      <c r="I6549" s="48" t="s">
        <v>10914</v>
      </c>
    </row>
    <row r="6550" spans="2:9" ht="15" customHeight="1" x14ac:dyDescent="0.25">
      <c r="B6550" s="55" t="s">
        <v>280</v>
      </c>
      <c r="C6550" s="46">
        <v>1538</v>
      </c>
      <c r="D6550" s="69" t="s">
        <v>29417</v>
      </c>
      <c r="E6550" s="51"/>
      <c r="F6550" s="114" t="str">
        <f>IF(INDEX(I.Facility.P2aIDNumber,1538)="","",INDEX(I.Facility.P2aIDNumber,1538))</f>
        <v/>
      </c>
      <c r="G6550" s="51"/>
      <c r="H6550" s="46" t="str">
        <f>IF(AND(I.Developer.P2a=TRUE,I.Facility.P2aFacilityCount&gt;=1538,F6550=""),"Incomplete","Complete")</f>
        <v>Complete</v>
      </c>
      <c r="I6550" s="48" t="s">
        <v>10915</v>
      </c>
    </row>
    <row r="6551" spans="2:9" ht="15" customHeight="1" x14ac:dyDescent="0.25">
      <c r="B6551" s="55" t="s">
        <v>280</v>
      </c>
      <c r="C6551" s="46">
        <v>1539</v>
      </c>
      <c r="D6551" s="69" t="s">
        <v>29417</v>
      </c>
      <c r="E6551" s="51"/>
      <c r="F6551" s="114" t="str">
        <f>IF(INDEX(I.Facility.P2aIDNumber,1539)="","",INDEX(I.Facility.P2aIDNumber,1539))</f>
        <v/>
      </c>
      <c r="G6551" s="51"/>
      <c r="H6551" s="46" t="str">
        <f>IF(AND(I.Developer.P2a=TRUE,I.Facility.P2aFacilityCount&gt;=1539,F6551=""),"Incomplete","Complete")</f>
        <v>Complete</v>
      </c>
      <c r="I6551" s="48" t="s">
        <v>10916</v>
      </c>
    </row>
    <row r="6552" spans="2:9" ht="15" customHeight="1" x14ac:dyDescent="0.25">
      <c r="B6552" s="55" t="s">
        <v>280</v>
      </c>
      <c r="C6552" s="46">
        <v>1540</v>
      </c>
      <c r="D6552" s="69" t="s">
        <v>29417</v>
      </c>
      <c r="E6552" s="51"/>
      <c r="F6552" s="114" t="str">
        <f>IF(INDEX(I.Facility.P2aIDNumber,1540)="","",INDEX(I.Facility.P2aIDNumber,1540))</f>
        <v/>
      </c>
      <c r="G6552" s="51"/>
      <c r="H6552" s="46" t="str">
        <f>IF(AND(I.Developer.P2a=TRUE,I.Facility.P2aFacilityCount&gt;=1540,F6552=""),"Incomplete","Complete")</f>
        <v>Complete</v>
      </c>
      <c r="I6552" s="48" t="s">
        <v>10917</v>
      </c>
    </row>
    <row r="6553" spans="2:9" ht="15" customHeight="1" x14ac:dyDescent="0.25">
      <c r="B6553" s="55" t="s">
        <v>280</v>
      </c>
      <c r="C6553" s="46">
        <v>1541</v>
      </c>
      <c r="D6553" s="69" t="s">
        <v>29417</v>
      </c>
      <c r="E6553" s="51"/>
      <c r="F6553" s="114" t="str">
        <f>IF(INDEX(I.Facility.P2aIDNumber,1541)="","",INDEX(I.Facility.P2aIDNumber,1541))</f>
        <v/>
      </c>
      <c r="G6553" s="51"/>
      <c r="H6553" s="46" t="str">
        <f>IF(AND(I.Developer.P2a=TRUE,I.Facility.P2aFacilityCount&gt;=1541,F6553=""),"Incomplete","Complete")</f>
        <v>Complete</v>
      </c>
      <c r="I6553" s="48" t="s">
        <v>10918</v>
      </c>
    </row>
    <row r="6554" spans="2:9" ht="15" customHeight="1" x14ac:dyDescent="0.25">
      <c r="B6554" s="55" t="s">
        <v>280</v>
      </c>
      <c r="C6554" s="46">
        <v>1542</v>
      </c>
      <c r="D6554" s="69" t="s">
        <v>29417</v>
      </c>
      <c r="E6554" s="51"/>
      <c r="F6554" s="114" t="str">
        <f>IF(INDEX(I.Facility.P2aIDNumber,1542)="","",INDEX(I.Facility.P2aIDNumber,1542))</f>
        <v/>
      </c>
      <c r="G6554" s="51"/>
      <c r="H6554" s="46" t="str">
        <f>IF(AND(I.Developer.P2a=TRUE,I.Facility.P2aFacilityCount&gt;=1542,F6554=""),"Incomplete","Complete")</f>
        <v>Complete</v>
      </c>
      <c r="I6554" s="48" t="s">
        <v>10919</v>
      </c>
    </row>
    <row r="6555" spans="2:9" ht="15" customHeight="1" x14ac:dyDescent="0.25">
      <c r="B6555" s="55" t="s">
        <v>280</v>
      </c>
      <c r="C6555" s="46">
        <v>1543</v>
      </c>
      <c r="D6555" s="69" t="s">
        <v>29417</v>
      </c>
      <c r="E6555" s="51"/>
      <c r="F6555" s="114" t="str">
        <f>IF(INDEX(I.Facility.P2aIDNumber,1543)="","",INDEX(I.Facility.P2aIDNumber,1543))</f>
        <v/>
      </c>
      <c r="G6555" s="51"/>
      <c r="H6555" s="46" t="str">
        <f>IF(AND(I.Developer.P2a=TRUE,I.Facility.P2aFacilityCount&gt;=1543,F6555=""),"Incomplete","Complete")</f>
        <v>Complete</v>
      </c>
      <c r="I6555" s="48" t="s">
        <v>10920</v>
      </c>
    </row>
    <row r="6556" spans="2:9" ht="15" customHeight="1" x14ac:dyDescent="0.25">
      <c r="B6556" s="55" t="s">
        <v>280</v>
      </c>
      <c r="C6556" s="46">
        <v>1544</v>
      </c>
      <c r="D6556" s="69" t="s">
        <v>29417</v>
      </c>
      <c r="E6556" s="51"/>
      <c r="F6556" s="114" t="str">
        <f>IF(INDEX(I.Facility.P2aIDNumber,1544)="","",INDEX(I.Facility.P2aIDNumber,1544))</f>
        <v/>
      </c>
      <c r="G6556" s="51"/>
      <c r="H6556" s="46" t="str">
        <f>IF(AND(I.Developer.P2a=TRUE,I.Facility.P2aFacilityCount&gt;=1544,F6556=""),"Incomplete","Complete")</f>
        <v>Complete</v>
      </c>
      <c r="I6556" s="48" t="s">
        <v>10921</v>
      </c>
    </row>
    <row r="6557" spans="2:9" ht="15" customHeight="1" x14ac:dyDescent="0.25">
      <c r="B6557" s="55" t="s">
        <v>280</v>
      </c>
      <c r="C6557" s="46">
        <v>1545</v>
      </c>
      <c r="D6557" s="69" t="s">
        <v>29417</v>
      </c>
      <c r="E6557" s="51"/>
      <c r="F6557" s="114" t="str">
        <f>IF(INDEX(I.Facility.P2aIDNumber,1545)="","",INDEX(I.Facility.P2aIDNumber,1545))</f>
        <v/>
      </c>
      <c r="G6557" s="51"/>
      <c r="H6557" s="46" t="str">
        <f>IF(AND(I.Developer.P2a=TRUE,I.Facility.P2aFacilityCount&gt;=1545,F6557=""),"Incomplete","Complete")</f>
        <v>Complete</v>
      </c>
      <c r="I6557" s="48" t="s">
        <v>10922</v>
      </c>
    </row>
    <row r="6558" spans="2:9" ht="15" customHeight="1" x14ac:dyDescent="0.25">
      <c r="B6558" s="55" t="s">
        <v>280</v>
      </c>
      <c r="C6558" s="46">
        <v>1546</v>
      </c>
      <c r="D6558" s="69" t="s">
        <v>29417</v>
      </c>
      <c r="E6558" s="51"/>
      <c r="F6558" s="114" t="str">
        <f>IF(INDEX(I.Facility.P2aIDNumber,1546)="","",INDEX(I.Facility.P2aIDNumber,1546))</f>
        <v/>
      </c>
      <c r="G6558" s="51"/>
      <c r="H6558" s="46" t="str">
        <f>IF(AND(I.Developer.P2a=TRUE,I.Facility.P2aFacilityCount&gt;=1546,F6558=""),"Incomplete","Complete")</f>
        <v>Complete</v>
      </c>
      <c r="I6558" s="48" t="s">
        <v>10923</v>
      </c>
    </row>
    <row r="6559" spans="2:9" ht="15" customHeight="1" x14ac:dyDescent="0.25">
      <c r="B6559" s="55" t="s">
        <v>280</v>
      </c>
      <c r="C6559" s="46">
        <v>1547</v>
      </c>
      <c r="D6559" s="69" t="s">
        <v>29417</v>
      </c>
      <c r="E6559" s="51"/>
      <c r="F6559" s="114" t="str">
        <f>IF(INDEX(I.Facility.P2aIDNumber,1547)="","",INDEX(I.Facility.P2aIDNumber,1547))</f>
        <v/>
      </c>
      <c r="G6559" s="51"/>
      <c r="H6559" s="46" t="str">
        <f>IF(AND(I.Developer.P2a=TRUE,I.Facility.P2aFacilityCount&gt;=1547,F6559=""),"Incomplete","Complete")</f>
        <v>Complete</v>
      </c>
      <c r="I6559" s="48" t="s">
        <v>10924</v>
      </c>
    </row>
    <row r="6560" spans="2:9" ht="15" customHeight="1" x14ac:dyDescent="0.25">
      <c r="B6560" s="55" t="s">
        <v>280</v>
      </c>
      <c r="C6560" s="46">
        <v>1548</v>
      </c>
      <c r="D6560" s="69" t="s">
        <v>29417</v>
      </c>
      <c r="E6560" s="51"/>
      <c r="F6560" s="114" t="str">
        <f>IF(INDEX(I.Facility.P2aIDNumber,1548)="","",INDEX(I.Facility.P2aIDNumber,1548))</f>
        <v/>
      </c>
      <c r="G6560" s="51"/>
      <c r="H6560" s="46" t="str">
        <f>IF(AND(I.Developer.P2a=TRUE,I.Facility.P2aFacilityCount&gt;=1548,F6560=""),"Incomplete","Complete")</f>
        <v>Complete</v>
      </c>
      <c r="I6560" s="48" t="s">
        <v>10925</v>
      </c>
    </row>
    <row r="6561" spans="2:9" ht="15" customHeight="1" x14ac:dyDescent="0.25">
      <c r="B6561" s="55" t="s">
        <v>280</v>
      </c>
      <c r="C6561" s="46">
        <v>1549</v>
      </c>
      <c r="D6561" s="69" t="s">
        <v>29417</v>
      </c>
      <c r="E6561" s="51"/>
      <c r="F6561" s="114" t="str">
        <f>IF(INDEX(I.Facility.P2aIDNumber,1549)="","",INDEX(I.Facility.P2aIDNumber,1549))</f>
        <v/>
      </c>
      <c r="G6561" s="51"/>
      <c r="H6561" s="46" t="str">
        <f>IF(AND(I.Developer.P2a=TRUE,I.Facility.P2aFacilityCount&gt;=1549,F6561=""),"Incomplete","Complete")</f>
        <v>Complete</v>
      </c>
      <c r="I6561" s="48" t="s">
        <v>10926</v>
      </c>
    </row>
    <row r="6562" spans="2:9" ht="15" customHeight="1" x14ac:dyDescent="0.25">
      <c r="B6562" s="55" t="s">
        <v>280</v>
      </c>
      <c r="C6562" s="46">
        <v>1550</v>
      </c>
      <c r="D6562" s="69" t="s">
        <v>29417</v>
      </c>
      <c r="E6562" s="51"/>
      <c r="F6562" s="114" t="str">
        <f>IF(INDEX(I.Facility.P2aIDNumber,1550)="","",INDEX(I.Facility.P2aIDNumber,1550))</f>
        <v/>
      </c>
      <c r="G6562" s="51"/>
      <c r="H6562" s="46" t="str">
        <f>IF(AND(I.Developer.P2a=TRUE,I.Facility.P2aFacilityCount&gt;=1550,F6562=""),"Incomplete","Complete")</f>
        <v>Complete</v>
      </c>
      <c r="I6562" s="48" t="s">
        <v>10927</v>
      </c>
    </row>
    <row r="6563" spans="2:9" ht="15" customHeight="1" x14ac:dyDescent="0.25">
      <c r="B6563" s="55" t="s">
        <v>280</v>
      </c>
      <c r="C6563" s="46">
        <v>1551</v>
      </c>
      <c r="D6563" s="69" t="s">
        <v>29417</v>
      </c>
      <c r="E6563" s="51"/>
      <c r="F6563" s="114" t="str">
        <f>IF(INDEX(I.Facility.P2aIDNumber,1551)="","",INDEX(I.Facility.P2aIDNumber,1551))</f>
        <v/>
      </c>
      <c r="G6563" s="51"/>
      <c r="H6563" s="46" t="str">
        <f>IF(AND(I.Developer.P2a=TRUE,I.Facility.P2aFacilityCount&gt;=1551,F6563=""),"Incomplete","Complete")</f>
        <v>Complete</v>
      </c>
      <c r="I6563" s="48" t="s">
        <v>10928</v>
      </c>
    </row>
    <row r="6564" spans="2:9" ht="15" customHeight="1" x14ac:dyDescent="0.25">
      <c r="B6564" s="55" t="s">
        <v>280</v>
      </c>
      <c r="C6564" s="46">
        <v>1552</v>
      </c>
      <c r="D6564" s="69" t="s">
        <v>29417</v>
      </c>
      <c r="E6564" s="51"/>
      <c r="F6564" s="114" t="str">
        <f>IF(INDEX(I.Facility.P2aIDNumber,1552)="","",INDEX(I.Facility.P2aIDNumber,1552))</f>
        <v/>
      </c>
      <c r="G6564" s="51"/>
      <c r="H6564" s="46" t="str">
        <f>IF(AND(I.Developer.P2a=TRUE,I.Facility.P2aFacilityCount&gt;=1552,F6564=""),"Incomplete","Complete")</f>
        <v>Complete</v>
      </c>
      <c r="I6564" s="48" t="s">
        <v>10929</v>
      </c>
    </row>
    <row r="6565" spans="2:9" ht="15" customHeight="1" x14ac:dyDescent="0.25">
      <c r="B6565" s="55" t="s">
        <v>280</v>
      </c>
      <c r="C6565" s="46">
        <v>1553</v>
      </c>
      <c r="D6565" s="69" t="s">
        <v>29417</v>
      </c>
      <c r="E6565" s="51"/>
      <c r="F6565" s="114" t="str">
        <f>IF(INDEX(I.Facility.P2aIDNumber,1553)="","",INDEX(I.Facility.P2aIDNumber,1553))</f>
        <v/>
      </c>
      <c r="G6565" s="51"/>
      <c r="H6565" s="46" t="str">
        <f>IF(AND(I.Developer.P2a=TRUE,I.Facility.P2aFacilityCount&gt;=1553,F6565=""),"Incomplete","Complete")</f>
        <v>Complete</v>
      </c>
      <c r="I6565" s="48" t="s">
        <v>10930</v>
      </c>
    </row>
    <row r="6566" spans="2:9" ht="15" customHeight="1" x14ac:dyDescent="0.25">
      <c r="B6566" s="55" t="s">
        <v>280</v>
      </c>
      <c r="C6566" s="46">
        <v>1554</v>
      </c>
      <c r="D6566" s="69" t="s">
        <v>29417</v>
      </c>
      <c r="E6566" s="51"/>
      <c r="F6566" s="114" t="str">
        <f>IF(INDEX(I.Facility.P2aIDNumber,1554)="","",INDEX(I.Facility.P2aIDNumber,1554))</f>
        <v/>
      </c>
      <c r="G6566" s="51"/>
      <c r="H6566" s="46" t="str">
        <f>IF(AND(I.Developer.P2a=TRUE,I.Facility.P2aFacilityCount&gt;=1554,F6566=""),"Incomplete","Complete")</f>
        <v>Complete</v>
      </c>
      <c r="I6566" s="48" t="s">
        <v>10931</v>
      </c>
    </row>
    <row r="6567" spans="2:9" ht="15" customHeight="1" x14ac:dyDescent="0.25">
      <c r="B6567" s="55" t="s">
        <v>280</v>
      </c>
      <c r="C6567" s="46">
        <v>1555</v>
      </c>
      <c r="D6567" s="69" t="s">
        <v>29417</v>
      </c>
      <c r="E6567" s="51"/>
      <c r="F6567" s="114" t="str">
        <f>IF(INDEX(I.Facility.P2aIDNumber,1555)="","",INDEX(I.Facility.P2aIDNumber,1555))</f>
        <v/>
      </c>
      <c r="G6567" s="51"/>
      <c r="H6567" s="46" t="str">
        <f>IF(AND(I.Developer.P2a=TRUE,I.Facility.P2aFacilityCount&gt;=1555,F6567=""),"Incomplete","Complete")</f>
        <v>Complete</v>
      </c>
      <c r="I6567" s="48" t="s">
        <v>10932</v>
      </c>
    </row>
    <row r="6568" spans="2:9" ht="15" customHeight="1" x14ac:dyDescent="0.25">
      <c r="B6568" s="55" t="s">
        <v>280</v>
      </c>
      <c r="C6568" s="46">
        <v>1556</v>
      </c>
      <c r="D6568" s="69" t="s">
        <v>29417</v>
      </c>
      <c r="E6568" s="51"/>
      <c r="F6568" s="114" t="str">
        <f>IF(INDEX(I.Facility.P2aIDNumber,1556)="","",INDEX(I.Facility.P2aIDNumber,1556))</f>
        <v/>
      </c>
      <c r="G6568" s="51"/>
      <c r="H6568" s="46" t="str">
        <f>IF(AND(I.Developer.P2a=TRUE,I.Facility.P2aFacilityCount&gt;=1556,F6568=""),"Incomplete","Complete")</f>
        <v>Complete</v>
      </c>
      <c r="I6568" s="48" t="s">
        <v>10933</v>
      </c>
    </row>
    <row r="6569" spans="2:9" ht="15" customHeight="1" x14ac:dyDescent="0.25">
      <c r="B6569" s="55" t="s">
        <v>280</v>
      </c>
      <c r="C6569" s="46">
        <v>1557</v>
      </c>
      <c r="D6569" s="69" t="s">
        <v>29417</v>
      </c>
      <c r="E6569" s="51"/>
      <c r="F6569" s="114" t="str">
        <f>IF(INDEX(I.Facility.P2aIDNumber,1557)="","",INDEX(I.Facility.P2aIDNumber,1557))</f>
        <v/>
      </c>
      <c r="G6569" s="51"/>
      <c r="H6569" s="46" t="str">
        <f>IF(AND(I.Developer.P2a=TRUE,I.Facility.P2aFacilityCount&gt;=1557,F6569=""),"Incomplete","Complete")</f>
        <v>Complete</v>
      </c>
      <c r="I6569" s="48" t="s">
        <v>10934</v>
      </c>
    </row>
    <row r="6570" spans="2:9" ht="15" customHeight="1" x14ac:dyDescent="0.25">
      <c r="B6570" s="55" t="s">
        <v>280</v>
      </c>
      <c r="C6570" s="46">
        <v>1558</v>
      </c>
      <c r="D6570" s="69" t="s">
        <v>29417</v>
      </c>
      <c r="E6570" s="51"/>
      <c r="F6570" s="114" t="str">
        <f>IF(INDEX(I.Facility.P2aIDNumber,1558)="","",INDEX(I.Facility.P2aIDNumber,1558))</f>
        <v/>
      </c>
      <c r="G6570" s="51"/>
      <c r="H6570" s="46" t="str">
        <f>IF(AND(I.Developer.P2a=TRUE,I.Facility.P2aFacilityCount&gt;=1558,F6570=""),"Incomplete","Complete")</f>
        <v>Complete</v>
      </c>
      <c r="I6570" s="48" t="s">
        <v>10935</v>
      </c>
    </row>
    <row r="6571" spans="2:9" ht="15" customHeight="1" x14ac:dyDescent="0.25">
      <c r="B6571" s="55" t="s">
        <v>280</v>
      </c>
      <c r="C6571" s="46">
        <v>1559</v>
      </c>
      <c r="D6571" s="69" t="s">
        <v>29417</v>
      </c>
      <c r="E6571" s="51"/>
      <c r="F6571" s="114" t="str">
        <f>IF(INDEX(I.Facility.P2aIDNumber,1559)="","",INDEX(I.Facility.P2aIDNumber,1559))</f>
        <v/>
      </c>
      <c r="G6571" s="51"/>
      <c r="H6571" s="46" t="str">
        <f>IF(AND(I.Developer.P2a=TRUE,I.Facility.P2aFacilityCount&gt;=1559,F6571=""),"Incomplete","Complete")</f>
        <v>Complete</v>
      </c>
      <c r="I6571" s="48" t="s">
        <v>10936</v>
      </c>
    </row>
    <row r="6572" spans="2:9" ht="15" customHeight="1" x14ac:dyDescent="0.25">
      <c r="B6572" s="55" t="s">
        <v>280</v>
      </c>
      <c r="C6572" s="46">
        <v>1560</v>
      </c>
      <c r="D6572" s="69" t="s">
        <v>29417</v>
      </c>
      <c r="E6572" s="51"/>
      <c r="F6572" s="114" t="str">
        <f>IF(INDEX(I.Facility.P2aIDNumber,1560)="","",INDEX(I.Facility.P2aIDNumber,1560))</f>
        <v/>
      </c>
      <c r="G6572" s="51"/>
      <c r="H6572" s="46" t="str">
        <f>IF(AND(I.Developer.P2a=TRUE,I.Facility.P2aFacilityCount&gt;=1560,F6572=""),"Incomplete","Complete")</f>
        <v>Complete</v>
      </c>
      <c r="I6572" s="48" t="s">
        <v>10937</v>
      </c>
    </row>
    <row r="6573" spans="2:9" ht="15" customHeight="1" x14ac:dyDescent="0.25">
      <c r="B6573" s="55" t="s">
        <v>280</v>
      </c>
      <c r="C6573" s="46">
        <v>1561</v>
      </c>
      <c r="D6573" s="69" t="s">
        <v>29417</v>
      </c>
      <c r="E6573" s="51"/>
      <c r="F6573" s="114" t="str">
        <f>IF(INDEX(I.Facility.P2aIDNumber,1561)="","",INDEX(I.Facility.P2aIDNumber,1561))</f>
        <v/>
      </c>
      <c r="G6573" s="51"/>
      <c r="H6573" s="46" t="str">
        <f>IF(AND(I.Developer.P2a=TRUE,I.Facility.P2aFacilityCount&gt;=1561,F6573=""),"Incomplete","Complete")</f>
        <v>Complete</v>
      </c>
      <c r="I6573" s="48" t="s">
        <v>10938</v>
      </c>
    </row>
    <row r="6574" spans="2:9" ht="15" customHeight="1" x14ac:dyDescent="0.25">
      <c r="B6574" s="55" t="s">
        <v>280</v>
      </c>
      <c r="C6574" s="46">
        <v>1562</v>
      </c>
      <c r="D6574" s="69" t="s">
        <v>29417</v>
      </c>
      <c r="E6574" s="51"/>
      <c r="F6574" s="114" t="str">
        <f>IF(INDEX(I.Facility.P2aIDNumber,1562)="","",INDEX(I.Facility.P2aIDNumber,1562))</f>
        <v/>
      </c>
      <c r="G6574" s="51"/>
      <c r="H6574" s="46" t="str">
        <f>IF(AND(I.Developer.P2a=TRUE,I.Facility.P2aFacilityCount&gt;=1562,F6574=""),"Incomplete","Complete")</f>
        <v>Complete</v>
      </c>
      <c r="I6574" s="48" t="s">
        <v>10939</v>
      </c>
    </row>
    <row r="6575" spans="2:9" ht="15" customHeight="1" x14ac:dyDescent="0.25">
      <c r="B6575" s="55" t="s">
        <v>280</v>
      </c>
      <c r="C6575" s="46">
        <v>1563</v>
      </c>
      <c r="D6575" s="69" t="s">
        <v>29417</v>
      </c>
      <c r="E6575" s="51"/>
      <c r="F6575" s="114" t="str">
        <f>IF(INDEX(I.Facility.P2aIDNumber,1563)="","",INDEX(I.Facility.P2aIDNumber,1563))</f>
        <v/>
      </c>
      <c r="G6575" s="51"/>
      <c r="H6575" s="46" t="str">
        <f>IF(AND(I.Developer.P2a=TRUE,I.Facility.P2aFacilityCount&gt;=1563,F6575=""),"Incomplete","Complete")</f>
        <v>Complete</v>
      </c>
      <c r="I6575" s="48" t="s">
        <v>10940</v>
      </c>
    </row>
    <row r="6576" spans="2:9" ht="15" customHeight="1" x14ac:dyDescent="0.25">
      <c r="B6576" s="55" t="s">
        <v>280</v>
      </c>
      <c r="C6576" s="46">
        <v>1564</v>
      </c>
      <c r="D6576" s="69" t="s">
        <v>29417</v>
      </c>
      <c r="E6576" s="51"/>
      <c r="F6576" s="114" t="str">
        <f>IF(INDEX(I.Facility.P2aIDNumber,1564)="","",INDEX(I.Facility.P2aIDNumber,1564))</f>
        <v/>
      </c>
      <c r="G6576" s="51"/>
      <c r="H6576" s="46" t="str">
        <f>IF(AND(I.Developer.P2a=TRUE,I.Facility.P2aFacilityCount&gt;=1564,F6576=""),"Incomplete","Complete")</f>
        <v>Complete</v>
      </c>
      <c r="I6576" s="48" t="s">
        <v>10941</v>
      </c>
    </row>
    <row r="6577" spans="2:9" ht="15" customHeight="1" x14ac:dyDescent="0.25">
      <c r="B6577" s="55" t="s">
        <v>280</v>
      </c>
      <c r="C6577" s="46">
        <v>1565</v>
      </c>
      <c r="D6577" s="69" t="s">
        <v>29417</v>
      </c>
      <c r="E6577" s="51"/>
      <c r="F6577" s="114" t="str">
        <f>IF(INDEX(I.Facility.P2aIDNumber,1565)="","",INDEX(I.Facility.P2aIDNumber,1565))</f>
        <v/>
      </c>
      <c r="G6577" s="51"/>
      <c r="H6577" s="46" t="str">
        <f>IF(AND(I.Developer.P2a=TRUE,I.Facility.P2aFacilityCount&gt;=1565,F6577=""),"Incomplete","Complete")</f>
        <v>Complete</v>
      </c>
      <c r="I6577" s="48" t="s">
        <v>10942</v>
      </c>
    </row>
    <row r="6578" spans="2:9" ht="15" customHeight="1" x14ac:dyDescent="0.25">
      <c r="B6578" s="55" t="s">
        <v>280</v>
      </c>
      <c r="C6578" s="46">
        <v>1566</v>
      </c>
      <c r="D6578" s="69" t="s">
        <v>29417</v>
      </c>
      <c r="E6578" s="51"/>
      <c r="F6578" s="114" t="str">
        <f>IF(INDEX(I.Facility.P2aIDNumber,1566)="","",INDEX(I.Facility.P2aIDNumber,1566))</f>
        <v/>
      </c>
      <c r="G6578" s="51"/>
      <c r="H6578" s="46" t="str">
        <f>IF(AND(I.Developer.P2a=TRUE,I.Facility.P2aFacilityCount&gt;=1566,F6578=""),"Incomplete","Complete")</f>
        <v>Complete</v>
      </c>
      <c r="I6578" s="48" t="s">
        <v>10943</v>
      </c>
    </row>
    <row r="6579" spans="2:9" ht="15" customHeight="1" x14ac:dyDescent="0.25">
      <c r="B6579" s="55" t="s">
        <v>280</v>
      </c>
      <c r="C6579" s="46">
        <v>1567</v>
      </c>
      <c r="D6579" s="69" t="s">
        <v>29417</v>
      </c>
      <c r="E6579" s="51"/>
      <c r="F6579" s="114" t="str">
        <f>IF(INDEX(I.Facility.P2aIDNumber,1567)="","",INDEX(I.Facility.P2aIDNumber,1567))</f>
        <v/>
      </c>
      <c r="G6579" s="51"/>
      <c r="H6579" s="46" t="str">
        <f>IF(AND(I.Developer.P2a=TRUE,I.Facility.P2aFacilityCount&gt;=1567,F6579=""),"Incomplete","Complete")</f>
        <v>Complete</v>
      </c>
      <c r="I6579" s="48" t="s">
        <v>10944</v>
      </c>
    </row>
    <row r="6580" spans="2:9" ht="15" customHeight="1" x14ac:dyDescent="0.25">
      <c r="B6580" s="55" t="s">
        <v>280</v>
      </c>
      <c r="C6580" s="46">
        <v>1568</v>
      </c>
      <c r="D6580" s="69" t="s">
        <v>29417</v>
      </c>
      <c r="E6580" s="51"/>
      <c r="F6580" s="114" t="str">
        <f>IF(INDEX(I.Facility.P2aIDNumber,1568)="","",INDEX(I.Facility.P2aIDNumber,1568))</f>
        <v/>
      </c>
      <c r="G6580" s="51"/>
      <c r="H6580" s="46" t="str">
        <f>IF(AND(I.Developer.P2a=TRUE,I.Facility.P2aFacilityCount&gt;=1568,F6580=""),"Incomplete","Complete")</f>
        <v>Complete</v>
      </c>
      <c r="I6580" s="48" t="s">
        <v>10945</v>
      </c>
    </row>
    <row r="6581" spans="2:9" ht="15" customHeight="1" x14ac:dyDescent="0.25">
      <c r="B6581" s="55" t="s">
        <v>280</v>
      </c>
      <c r="C6581" s="46">
        <v>1569</v>
      </c>
      <c r="D6581" s="69" t="s">
        <v>29417</v>
      </c>
      <c r="E6581" s="51"/>
      <c r="F6581" s="114" t="str">
        <f>IF(INDEX(I.Facility.P2aIDNumber,1569)="","",INDEX(I.Facility.P2aIDNumber,1569))</f>
        <v/>
      </c>
      <c r="G6581" s="51"/>
      <c r="H6581" s="46" t="str">
        <f>IF(AND(I.Developer.P2a=TRUE,I.Facility.P2aFacilityCount&gt;=1569,F6581=""),"Incomplete","Complete")</f>
        <v>Complete</v>
      </c>
      <c r="I6581" s="48" t="s">
        <v>10946</v>
      </c>
    </row>
    <row r="6582" spans="2:9" ht="15" customHeight="1" x14ac:dyDescent="0.25">
      <c r="B6582" s="55" t="s">
        <v>280</v>
      </c>
      <c r="C6582" s="46">
        <v>1570</v>
      </c>
      <c r="D6582" s="69" t="s">
        <v>29417</v>
      </c>
      <c r="E6582" s="51"/>
      <c r="F6582" s="114" t="str">
        <f>IF(INDEX(I.Facility.P2aIDNumber,1570)="","",INDEX(I.Facility.P2aIDNumber,1570))</f>
        <v/>
      </c>
      <c r="G6582" s="51"/>
      <c r="H6582" s="46" t="str">
        <f>IF(AND(I.Developer.P2a=TRUE,I.Facility.P2aFacilityCount&gt;=1570,F6582=""),"Incomplete","Complete")</f>
        <v>Complete</v>
      </c>
      <c r="I6582" s="48" t="s">
        <v>10947</v>
      </c>
    </row>
    <row r="6583" spans="2:9" ht="15" customHeight="1" x14ac:dyDescent="0.25">
      <c r="B6583" s="55" t="s">
        <v>280</v>
      </c>
      <c r="C6583" s="46">
        <v>1571</v>
      </c>
      <c r="D6583" s="69" t="s">
        <v>29417</v>
      </c>
      <c r="E6583" s="51"/>
      <c r="F6583" s="114" t="str">
        <f>IF(INDEX(I.Facility.P2aIDNumber,1571)="","",INDEX(I.Facility.P2aIDNumber,1571))</f>
        <v/>
      </c>
      <c r="G6583" s="51"/>
      <c r="H6583" s="46" t="str">
        <f>IF(AND(I.Developer.P2a=TRUE,I.Facility.P2aFacilityCount&gt;=1571,F6583=""),"Incomplete","Complete")</f>
        <v>Complete</v>
      </c>
      <c r="I6583" s="48" t="s">
        <v>10948</v>
      </c>
    </row>
    <row r="6584" spans="2:9" ht="15" customHeight="1" x14ac:dyDescent="0.25">
      <c r="B6584" s="55" t="s">
        <v>280</v>
      </c>
      <c r="C6584" s="46">
        <v>1572</v>
      </c>
      <c r="D6584" s="69" t="s">
        <v>29417</v>
      </c>
      <c r="E6584" s="51"/>
      <c r="F6584" s="114" t="str">
        <f>IF(INDEX(I.Facility.P2aIDNumber,1572)="","",INDEX(I.Facility.P2aIDNumber,1572))</f>
        <v/>
      </c>
      <c r="G6584" s="51"/>
      <c r="H6584" s="46" t="str">
        <f>IF(AND(I.Developer.P2a=TRUE,I.Facility.P2aFacilityCount&gt;=1572,F6584=""),"Incomplete","Complete")</f>
        <v>Complete</v>
      </c>
      <c r="I6584" s="48" t="s">
        <v>10949</v>
      </c>
    </row>
    <row r="6585" spans="2:9" ht="15" customHeight="1" x14ac:dyDescent="0.25">
      <c r="B6585" s="55" t="s">
        <v>280</v>
      </c>
      <c r="C6585" s="46">
        <v>1573</v>
      </c>
      <c r="D6585" s="69" t="s">
        <v>29417</v>
      </c>
      <c r="E6585" s="51"/>
      <c r="F6585" s="114" t="str">
        <f>IF(INDEX(I.Facility.P2aIDNumber,1573)="","",INDEX(I.Facility.P2aIDNumber,1573))</f>
        <v/>
      </c>
      <c r="G6585" s="51"/>
      <c r="H6585" s="46" t="str">
        <f>IF(AND(I.Developer.P2a=TRUE,I.Facility.P2aFacilityCount&gt;=1573,F6585=""),"Incomplete","Complete")</f>
        <v>Complete</v>
      </c>
      <c r="I6585" s="48" t="s">
        <v>10950</v>
      </c>
    </row>
    <row r="6586" spans="2:9" ht="15" customHeight="1" x14ac:dyDescent="0.25">
      <c r="B6586" s="55" t="s">
        <v>280</v>
      </c>
      <c r="C6586" s="46">
        <v>1574</v>
      </c>
      <c r="D6586" s="69" t="s">
        <v>29417</v>
      </c>
      <c r="E6586" s="51"/>
      <c r="F6586" s="114" t="str">
        <f>IF(INDEX(I.Facility.P2aIDNumber,1574)="","",INDEX(I.Facility.P2aIDNumber,1574))</f>
        <v/>
      </c>
      <c r="G6586" s="51"/>
      <c r="H6586" s="46" t="str">
        <f>IF(AND(I.Developer.P2a=TRUE,I.Facility.P2aFacilityCount&gt;=1574,F6586=""),"Incomplete","Complete")</f>
        <v>Complete</v>
      </c>
      <c r="I6586" s="48" t="s">
        <v>10951</v>
      </c>
    </row>
    <row r="6587" spans="2:9" ht="15" customHeight="1" x14ac:dyDescent="0.25">
      <c r="B6587" s="55" t="s">
        <v>280</v>
      </c>
      <c r="C6587" s="46">
        <v>1575</v>
      </c>
      <c r="D6587" s="69" t="s">
        <v>29417</v>
      </c>
      <c r="E6587" s="51"/>
      <c r="F6587" s="114" t="str">
        <f>IF(INDEX(I.Facility.P2aIDNumber,1575)="","",INDEX(I.Facility.P2aIDNumber,1575))</f>
        <v/>
      </c>
      <c r="G6587" s="51"/>
      <c r="H6587" s="46" t="str">
        <f>IF(AND(I.Developer.P2a=TRUE,I.Facility.P2aFacilityCount&gt;=1575,F6587=""),"Incomplete","Complete")</f>
        <v>Complete</v>
      </c>
      <c r="I6587" s="48" t="s">
        <v>10952</v>
      </c>
    </row>
    <row r="6588" spans="2:9" ht="15" customHeight="1" x14ac:dyDescent="0.25">
      <c r="B6588" s="55" t="s">
        <v>280</v>
      </c>
      <c r="C6588" s="46">
        <v>1576</v>
      </c>
      <c r="D6588" s="69" t="s">
        <v>29417</v>
      </c>
      <c r="E6588" s="51"/>
      <c r="F6588" s="114" t="str">
        <f>IF(INDEX(I.Facility.P2aIDNumber,1576)="","",INDEX(I.Facility.P2aIDNumber,1576))</f>
        <v/>
      </c>
      <c r="G6588" s="51"/>
      <c r="H6588" s="46" t="str">
        <f>IF(AND(I.Developer.P2a=TRUE,I.Facility.P2aFacilityCount&gt;=1576,F6588=""),"Incomplete","Complete")</f>
        <v>Complete</v>
      </c>
      <c r="I6588" s="48" t="s">
        <v>10953</v>
      </c>
    </row>
    <row r="6589" spans="2:9" ht="15" customHeight="1" x14ac:dyDescent="0.25">
      <c r="B6589" s="55" t="s">
        <v>280</v>
      </c>
      <c r="C6589" s="46">
        <v>1577</v>
      </c>
      <c r="D6589" s="69" t="s">
        <v>29417</v>
      </c>
      <c r="E6589" s="51"/>
      <c r="F6589" s="114" t="str">
        <f>IF(INDEX(I.Facility.P2aIDNumber,1577)="","",INDEX(I.Facility.P2aIDNumber,1577))</f>
        <v/>
      </c>
      <c r="G6589" s="51"/>
      <c r="H6589" s="46" t="str">
        <f>IF(AND(I.Developer.P2a=TRUE,I.Facility.P2aFacilityCount&gt;=1577,F6589=""),"Incomplete","Complete")</f>
        <v>Complete</v>
      </c>
      <c r="I6589" s="48" t="s">
        <v>10954</v>
      </c>
    </row>
    <row r="6590" spans="2:9" ht="15" customHeight="1" x14ac:dyDescent="0.25">
      <c r="B6590" s="55" t="s">
        <v>280</v>
      </c>
      <c r="C6590" s="46">
        <v>1578</v>
      </c>
      <c r="D6590" s="69" t="s">
        <v>29417</v>
      </c>
      <c r="E6590" s="51"/>
      <c r="F6590" s="114" t="str">
        <f>IF(INDEX(I.Facility.P2aIDNumber,1578)="","",INDEX(I.Facility.P2aIDNumber,1578))</f>
        <v/>
      </c>
      <c r="G6590" s="51"/>
      <c r="H6590" s="46" t="str">
        <f>IF(AND(I.Developer.P2a=TRUE,I.Facility.P2aFacilityCount&gt;=1578,F6590=""),"Incomplete","Complete")</f>
        <v>Complete</v>
      </c>
      <c r="I6590" s="48" t="s">
        <v>10955</v>
      </c>
    </row>
    <row r="6591" spans="2:9" ht="15" customHeight="1" x14ac:dyDescent="0.25">
      <c r="B6591" s="55" t="s">
        <v>280</v>
      </c>
      <c r="C6591" s="46">
        <v>1579</v>
      </c>
      <c r="D6591" s="69" t="s">
        <v>29417</v>
      </c>
      <c r="E6591" s="51"/>
      <c r="F6591" s="114" t="str">
        <f>IF(INDEX(I.Facility.P2aIDNumber,1579)="","",INDEX(I.Facility.P2aIDNumber,1579))</f>
        <v/>
      </c>
      <c r="G6591" s="51"/>
      <c r="H6591" s="46" t="str">
        <f>IF(AND(I.Developer.P2a=TRUE,I.Facility.P2aFacilityCount&gt;=1579,F6591=""),"Incomplete","Complete")</f>
        <v>Complete</v>
      </c>
      <c r="I6591" s="48" t="s">
        <v>10956</v>
      </c>
    </row>
    <row r="6592" spans="2:9" ht="15" customHeight="1" x14ac:dyDescent="0.25">
      <c r="B6592" s="55" t="s">
        <v>280</v>
      </c>
      <c r="C6592" s="46">
        <v>1580</v>
      </c>
      <c r="D6592" s="69" t="s">
        <v>29417</v>
      </c>
      <c r="E6592" s="51"/>
      <c r="F6592" s="114" t="str">
        <f>IF(INDEX(I.Facility.P2aIDNumber,1580)="","",INDEX(I.Facility.P2aIDNumber,1580))</f>
        <v/>
      </c>
      <c r="G6592" s="51"/>
      <c r="H6592" s="46" t="str">
        <f>IF(AND(I.Developer.P2a=TRUE,I.Facility.P2aFacilityCount&gt;=1580,F6592=""),"Incomplete","Complete")</f>
        <v>Complete</v>
      </c>
      <c r="I6592" s="48" t="s">
        <v>10957</v>
      </c>
    </row>
    <row r="6593" spans="2:9" ht="15" customHeight="1" x14ac:dyDescent="0.25">
      <c r="B6593" s="55" t="s">
        <v>280</v>
      </c>
      <c r="C6593" s="46">
        <v>1581</v>
      </c>
      <c r="D6593" s="69" t="s">
        <v>29417</v>
      </c>
      <c r="E6593" s="51"/>
      <c r="F6593" s="114" t="str">
        <f>IF(INDEX(I.Facility.P2aIDNumber,1581)="","",INDEX(I.Facility.P2aIDNumber,1581))</f>
        <v/>
      </c>
      <c r="G6593" s="51"/>
      <c r="H6593" s="46" t="str">
        <f>IF(AND(I.Developer.P2a=TRUE,I.Facility.P2aFacilityCount&gt;=1581,F6593=""),"Incomplete","Complete")</f>
        <v>Complete</v>
      </c>
      <c r="I6593" s="48" t="s">
        <v>10958</v>
      </c>
    </row>
    <row r="6594" spans="2:9" ht="15" customHeight="1" x14ac:dyDescent="0.25">
      <c r="B6594" s="55" t="s">
        <v>280</v>
      </c>
      <c r="C6594" s="46">
        <v>1582</v>
      </c>
      <c r="D6594" s="69" t="s">
        <v>29417</v>
      </c>
      <c r="E6594" s="51"/>
      <c r="F6594" s="114" t="str">
        <f>IF(INDEX(I.Facility.P2aIDNumber,1582)="","",INDEX(I.Facility.P2aIDNumber,1582))</f>
        <v/>
      </c>
      <c r="G6594" s="51"/>
      <c r="H6594" s="46" t="str">
        <f>IF(AND(I.Developer.P2a=TRUE,I.Facility.P2aFacilityCount&gt;=1582,F6594=""),"Incomplete","Complete")</f>
        <v>Complete</v>
      </c>
      <c r="I6594" s="48" t="s">
        <v>10959</v>
      </c>
    </row>
    <row r="6595" spans="2:9" ht="15" customHeight="1" x14ac:dyDescent="0.25">
      <c r="B6595" s="55" t="s">
        <v>280</v>
      </c>
      <c r="C6595" s="46">
        <v>1583</v>
      </c>
      <c r="D6595" s="69" t="s">
        <v>29417</v>
      </c>
      <c r="E6595" s="51"/>
      <c r="F6595" s="114" t="str">
        <f>IF(INDEX(I.Facility.P2aIDNumber,1583)="","",INDEX(I.Facility.P2aIDNumber,1583))</f>
        <v/>
      </c>
      <c r="G6595" s="51"/>
      <c r="H6595" s="46" t="str">
        <f>IF(AND(I.Developer.P2a=TRUE,I.Facility.P2aFacilityCount&gt;=1583,F6595=""),"Incomplete","Complete")</f>
        <v>Complete</v>
      </c>
      <c r="I6595" s="48" t="s">
        <v>10960</v>
      </c>
    </row>
    <row r="6596" spans="2:9" ht="15" customHeight="1" x14ac:dyDescent="0.25">
      <c r="B6596" s="55" t="s">
        <v>280</v>
      </c>
      <c r="C6596" s="46">
        <v>1584</v>
      </c>
      <c r="D6596" s="69" t="s">
        <v>29417</v>
      </c>
      <c r="E6596" s="51"/>
      <c r="F6596" s="114" t="str">
        <f>IF(INDEX(I.Facility.P2aIDNumber,1584)="","",INDEX(I.Facility.P2aIDNumber,1584))</f>
        <v/>
      </c>
      <c r="G6596" s="51"/>
      <c r="H6596" s="46" t="str">
        <f>IF(AND(I.Developer.P2a=TRUE,I.Facility.P2aFacilityCount&gt;=1584,F6596=""),"Incomplete","Complete")</f>
        <v>Complete</v>
      </c>
      <c r="I6596" s="48" t="s">
        <v>10961</v>
      </c>
    </row>
    <row r="6597" spans="2:9" ht="15" customHeight="1" x14ac:dyDescent="0.25">
      <c r="B6597" s="55" t="s">
        <v>280</v>
      </c>
      <c r="C6597" s="46">
        <v>1585</v>
      </c>
      <c r="D6597" s="69" t="s">
        <v>29417</v>
      </c>
      <c r="E6597" s="51"/>
      <c r="F6597" s="114" t="str">
        <f>IF(INDEX(I.Facility.P2aIDNumber,1585)="","",INDEX(I.Facility.P2aIDNumber,1585))</f>
        <v/>
      </c>
      <c r="G6597" s="51"/>
      <c r="H6597" s="46" t="str">
        <f>IF(AND(I.Developer.P2a=TRUE,I.Facility.P2aFacilityCount&gt;=1585,F6597=""),"Incomplete","Complete")</f>
        <v>Complete</v>
      </c>
      <c r="I6597" s="48" t="s">
        <v>10962</v>
      </c>
    </row>
    <row r="6598" spans="2:9" ht="15" customHeight="1" x14ac:dyDescent="0.25">
      <c r="B6598" s="55" t="s">
        <v>280</v>
      </c>
      <c r="C6598" s="46">
        <v>1586</v>
      </c>
      <c r="D6598" s="69" t="s">
        <v>29417</v>
      </c>
      <c r="E6598" s="51"/>
      <c r="F6598" s="114" t="str">
        <f>IF(INDEX(I.Facility.P2aIDNumber,1586)="","",INDEX(I.Facility.P2aIDNumber,1586))</f>
        <v/>
      </c>
      <c r="G6598" s="51"/>
      <c r="H6598" s="46" t="str">
        <f>IF(AND(I.Developer.P2a=TRUE,I.Facility.P2aFacilityCount&gt;=1586,F6598=""),"Incomplete","Complete")</f>
        <v>Complete</v>
      </c>
      <c r="I6598" s="48" t="s">
        <v>10963</v>
      </c>
    </row>
    <row r="6599" spans="2:9" ht="15" customHeight="1" x14ac:dyDescent="0.25">
      <c r="B6599" s="55" t="s">
        <v>280</v>
      </c>
      <c r="C6599" s="46">
        <v>1587</v>
      </c>
      <c r="D6599" s="69" t="s">
        <v>29417</v>
      </c>
      <c r="E6599" s="51"/>
      <c r="F6599" s="114" t="str">
        <f>IF(INDEX(I.Facility.P2aIDNumber,1587)="","",INDEX(I.Facility.P2aIDNumber,1587))</f>
        <v/>
      </c>
      <c r="G6599" s="51"/>
      <c r="H6599" s="46" t="str">
        <f>IF(AND(I.Developer.P2a=TRUE,I.Facility.P2aFacilityCount&gt;=1587,F6599=""),"Incomplete","Complete")</f>
        <v>Complete</v>
      </c>
      <c r="I6599" s="48" t="s">
        <v>10964</v>
      </c>
    </row>
    <row r="6600" spans="2:9" ht="15" customHeight="1" x14ac:dyDescent="0.25">
      <c r="B6600" s="55" t="s">
        <v>280</v>
      </c>
      <c r="C6600" s="46">
        <v>1588</v>
      </c>
      <c r="D6600" s="69" t="s">
        <v>29417</v>
      </c>
      <c r="E6600" s="51"/>
      <c r="F6600" s="114" t="str">
        <f>IF(INDEX(I.Facility.P2aIDNumber,1588)="","",INDEX(I.Facility.P2aIDNumber,1588))</f>
        <v/>
      </c>
      <c r="G6600" s="51"/>
      <c r="H6600" s="46" t="str">
        <f>IF(AND(I.Developer.P2a=TRUE,I.Facility.P2aFacilityCount&gt;=1588,F6600=""),"Incomplete","Complete")</f>
        <v>Complete</v>
      </c>
      <c r="I6600" s="48" t="s">
        <v>10965</v>
      </c>
    </row>
    <row r="6601" spans="2:9" ht="15" customHeight="1" x14ac:dyDescent="0.25">
      <c r="B6601" s="55" t="s">
        <v>280</v>
      </c>
      <c r="C6601" s="46">
        <v>1589</v>
      </c>
      <c r="D6601" s="69" t="s">
        <v>29417</v>
      </c>
      <c r="E6601" s="51"/>
      <c r="F6601" s="114" t="str">
        <f>IF(INDEX(I.Facility.P2aIDNumber,1589)="","",INDEX(I.Facility.P2aIDNumber,1589))</f>
        <v/>
      </c>
      <c r="G6601" s="51"/>
      <c r="H6601" s="46" t="str">
        <f>IF(AND(I.Developer.P2a=TRUE,I.Facility.P2aFacilityCount&gt;=1589,F6601=""),"Incomplete","Complete")</f>
        <v>Complete</v>
      </c>
      <c r="I6601" s="48" t="s">
        <v>10966</v>
      </c>
    </row>
    <row r="6602" spans="2:9" ht="15" customHeight="1" x14ac:dyDescent="0.25">
      <c r="B6602" s="55" t="s">
        <v>280</v>
      </c>
      <c r="C6602" s="46">
        <v>1590</v>
      </c>
      <c r="D6602" s="69" t="s">
        <v>29417</v>
      </c>
      <c r="E6602" s="51"/>
      <c r="F6602" s="114" t="str">
        <f>IF(INDEX(I.Facility.P2aIDNumber,1590)="","",INDEX(I.Facility.P2aIDNumber,1590))</f>
        <v/>
      </c>
      <c r="G6602" s="51"/>
      <c r="H6602" s="46" t="str">
        <f>IF(AND(I.Developer.P2a=TRUE,I.Facility.P2aFacilityCount&gt;=1590,F6602=""),"Incomplete","Complete")</f>
        <v>Complete</v>
      </c>
      <c r="I6602" s="48" t="s">
        <v>10967</v>
      </c>
    </row>
    <row r="6603" spans="2:9" ht="15" customHeight="1" x14ac:dyDescent="0.25">
      <c r="B6603" s="55" t="s">
        <v>280</v>
      </c>
      <c r="C6603" s="46">
        <v>1591</v>
      </c>
      <c r="D6603" s="69" t="s">
        <v>29417</v>
      </c>
      <c r="E6603" s="51"/>
      <c r="F6603" s="114" t="str">
        <f>IF(INDEX(I.Facility.P2aIDNumber,1591)="","",INDEX(I.Facility.P2aIDNumber,1591))</f>
        <v/>
      </c>
      <c r="G6603" s="51"/>
      <c r="H6603" s="46" t="str">
        <f>IF(AND(I.Developer.P2a=TRUE,I.Facility.P2aFacilityCount&gt;=1591,F6603=""),"Incomplete","Complete")</f>
        <v>Complete</v>
      </c>
      <c r="I6603" s="48" t="s">
        <v>10968</v>
      </c>
    </row>
    <row r="6604" spans="2:9" ht="15" customHeight="1" x14ac:dyDescent="0.25">
      <c r="B6604" s="55" t="s">
        <v>280</v>
      </c>
      <c r="C6604" s="46">
        <v>1592</v>
      </c>
      <c r="D6604" s="69" t="s">
        <v>29417</v>
      </c>
      <c r="E6604" s="51"/>
      <c r="F6604" s="114" t="str">
        <f>IF(INDEX(I.Facility.P2aIDNumber,1592)="","",INDEX(I.Facility.P2aIDNumber,1592))</f>
        <v/>
      </c>
      <c r="G6604" s="51"/>
      <c r="H6604" s="46" t="str">
        <f>IF(AND(I.Developer.P2a=TRUE,I.Facility.P2aFacilityCount&gt;=1592,F6604=""),"Incomplete","Complete")</f>
        <v>Complete</v>
      </c>
      <c r="I6604" s="48" t="s">
        <v>10969</v>
      </c>
    </row>
    <row r="6605" spans="2:9" ht="15" customHeight="1" x14ac:dyDescent="0.25">
      <c r="B6605" s="55" t="s">
        <v>280</v>
      </c>
      <c r="C6605" s="46">
        <v>1593</v>
      </c>
      <c r="D6605" s="69" t="s">
        <v>29417</v>
      </c>
      <c r="E6605" s="51"/>
      <c r="F6605" s="114" t="str">
        <f>IF(INDEX(I.Facility.P2aIDNumber,1593)="","",INDEX(I.Facility.P2aIDNumber,1593))</f>
        <v/>
      </c>
      <c r="G6605" s="51"/>
      <c r="H6605" s="46" t="str">
        <f>IF(AND(I.Developer.P2a=TRUE,I.Facility.P2aFacilityCount&gt;=1593,F6605=""),"Incomplete","Complete")</f>
        <v>Complete</v>
      </c>
      <c r="I6605" s="48" t="s">
        <v>10970</v>
      </c>
    </row>
    <row r="6606" spans="2:9" ht="15" customHeight="1" x14ac:dyDescent="0.25">
      <c r="B6606" s="55" t="s">
        <v>280</v>
      </c>
      <c r="C6606" s="46">
        <v>1594</v>
      </c>
      <c r="D6606" s="69" t="s">
        <v>29417</v>
      </c>
      <c r="E6606" s="51"/>
      <c r="F6606" s="114" t="str">
        <f>IF(INDEX(I.Facility.P2aIDNumber,1594)="","",INDEX(I.Facility.P2aIDNumber,1594))</f>
        <v/>
      </c>
      <c r="G6606" s="51"/>
      <c r="H6606" s="46" t="str">
        <f>IF(AND(I.Developer.P2a=TRUE,I.Facility.P2aFacilityCount&gt;=1594,F6606=""),"Incomplete","Complete")</f>
        <v>Complete</v>
      </c>
      <c r="I6606" s="48" t="s">
        <v>10971</v>
      </c>
    </row>
    <row r="6607" spans="2:9" ht="15" customHeight="1" x14ac:dyDescent="0.25">
      <c r="B6607" s="55" t="s">
        <v>280</v>
      </c>
      <c r="C6607" s="46">
        <v>1595</v>
      </c>
      <c r="D6607" s="69" t="s">
        <v>29417</v>
      </c>
      <c r="E6607" s="51"/>
      <c r="F6607" s="114" t="str">
        <f>IF(INDEX(I.Facility.P2aIDNumber,1595)="","",INDEX(I.Facility.P2aIDNumber,1595))</f>
        <v/>
      </c>
      <c r="G6607" s="51"/>
      <c r="H6607" s="46" t="str">
        <f>IF(AND(I.Developer.P2a=TRUE,I.Facility.P2aFacilityCount&gt;=1595,F6607=""),"Incomplete","Complete")</f>
        <v>Complete</v>
      </c>
      <c r="I6607" s="48" t="s">
        <v>10972</v>
      </c>
    </row>
    <row r="6608" spans="2:9" ht="15" customHeight="1" x14ac:dyDescent="0.25">
      <c r="B6608" s="55" t="s">
        <v>280</v>
      </c>
      <c r="C6608" s="46">
        <v>1596</v>
      </c>
      <c r="D6608" s="69" t="s">
        <v>29417</v>
      </c>
      <c r="E6608" s="51"/>
      <c r="F6608" s="114" t="str">
        <f>IF(INDEX(I.Facility.P2aIDNumber,1596)="","",INDEX(I.Facility.P2aIDNumber,1596))</f>
        <v/>
      </c>
      <c r="G6608" s="51"/>
      <c r="H6608" s="46" t="str">
        <f>IF(AND(I.Developer.P2a=TRUE,I.Facility.P2aFacilityCount&gt;=1596,F6608=""),"Incomplete","Complete")</f>
        <v>Complete</v>
      </c>
      <c r="I6608" s="48" t="s">
        <v>10973</v>
      </c>
    </row>
    <row r="6609" spans="2:9" ht="15" customHeight="1" x14ac:dyDescent="0.25">
      <c r="B6609" s="55" t="s">
        <v>280</v>
      </c>
      <c r="C6609" s="46">
        <v>1597</v>
      </c>
      <c r="D6609" s="69" t="s">
        <v>29417</v>
      </c>
      <c r="E6609" s="51"/>
      <c r="F6609" s="114" t="str">
        <f>IF(INDEX(I.Facility.P2aIDNumber,1597)="","",INDEX(I.Facility.P2aIDNumber,1597))</f>
        <v/>
      </c>
      <c r="G6609" s="51"/>
      <c r="H6609" s="46" t="str">
        <f>IF(AND(I.Developer.P2a=TRUE,I.Facility.P2aFacilityCount&gt;=1597,F6609=""),"Incomplete","Complete")</f>
        <v>Complete</v>
      </c>
      <c r="I6609" s="48" t="s">
        <v>10974</v>
      </c>
    </row>
    <row r="6610" spans="2:9" ht="15" customHeight="1" x14ac:dyDescent="0.25">
      <c r="B6610" s="55" t="s">
        <v>280</v>
      </c>
      <c r="C6610" s="46">
        <v>1598</v>
      </c>
      <c r="D6610" s="69" t="s">
        <v>29417</v>
      </c>
      <c r="E6610" s="51"/>
      <c r="F6610" s="114" t="str">
        <f>IF(INDEX(I.Facility.P2aIDNumber,1598)="","",INDEX(I.Facility.P2aIDNumber,1598))</f>
        <v/>
      </c>
      <c r="G6610" s="51"/>
      <c r="H6610" s="46" t="str">
        <f>IF(AND(I.Developer.P2a=TRUE,I.Facility.P2aFacilityCount&gt;=1598,F6610=""),"Incomplete","Complete")</f>
        <v>Complete</v>
      </c>
      <c r="I6610" s="48" t="s">
        <v>10975</v>
      </c>
    </row>
    <row r="6611" spans="2:9" ht="15" customHeight="1" x14ac:dyDescent="0.25">
      <c r="B6611" s="55" t="s">
        <v>280</v>
      </c>
      <c r="C6611" s="46">
        <v>1599</v>
      </c>
      <c r="D6611" s="69" t="s">
        <v>29417</v>
      </c>
      <c r="E6611" s="51"/>
      <c r="F6611" s="114" t="str">
        <f>IF(INDEX(I.Facility.P2aIDNumber,1599)="","",INDEX(I.Facility.P2aIDNumber,1599))</f>
        <v/>
      </c>
      <c r="G6611" s="51"/>
      <c r="H6611" s="46" t="str">
        <f>IF(AND(I.Developer.P2a=TRUE,I.Facility.P2aFacilityCount&gt;=1599,F6611=""),"Incomplete","Complete")</f>
        <v>Complete</v>
      </c>
      <c r="I6611" s="48" t="s">
        <v>10976</v>
      </c>
    </row>
    <row r="6612" spans="2:9" ht="15" customHeight="1" x14ac:dyDescent="0.25">
      <c r="B6612" s="55" t="s">
        <v>280</v>
      </c>
      <c r="C6612" s="46">
        <v>1600</v>
      </c>
      <c r="D6612" s="69" t="s">
        <v>29417</v>
      </c>
      <c r="E6612" s="51"/>
      <c r="F6612" s="114" t="str">
        <f>IF(INDEX(I.Facility.P2aIDNumber,1600)="","",INDEX(I.Facility.P2aIDNumber,1600))</f>
        <v/>
      </c>
      <c r="G6612" s="51"/>
      <c r="H6612" s="46" t="str">
        <f>IF(AND(I.Developer.P2a=TRUE,I.Facility.P2aFacilityCount&gt;=1600,F6612=""),"Incomplete","Complete")</f>
        <v>Complete</v>
      </c>
      <c r="I6612" s="48" t="s">
        <v>10977</v>
      </c>
    </row>
    <row r="6613" spans="2:9" ht="15" customHeight="1" x14ac:dyDescent="0.25">
      <c r="B6613" s="55" t="s">
        <v>280</v>
      </c>
      <c r="C6613" s="46">
        <v>1601</v>
      </c>
      <c r="D6613" s="69" t="s">
        <v>29417</v>
      </c>
      <c r="E6613" s="51"/>
      <c r="F6613" s="114" t="str">
        <f>IF(INDEX(I.Facility.P2aIDNumber,1601)="","",INDEX(I.Facility.P2aIDNumber,1601))</f>
        <v/>
      </c>
      <c r="G6613" s="51"/>
      <c r="H6613" s="46" t="str">
        <f>IF(AND(I.Developer.P2a=TRUE,I.Facility.P2aFacilityCount&gt;=1601,F6613=""),"Incomplete","Complete")</f>
        <v>Complete</v>
      </c>
      <c r="I6613" s="48" t="s">
        <v>10978</v>
      </c>
    </row>
    <row r="6614" spans="2:9" ht="15" customHeight="1" x14ac:dyDescent="0.25">
      <c r="B6614" s="55" t="s">
        <v>280</v>
      </c>
      <c r="C6614" s="46">
        <v>1602</v>
      </c>
      <c r="D6614" s="69" t="s">
        <v>29417</v>
      </c>
      <c r="E6614" s="51"/>
      <c r="F6614" s="114" t="str">
        <f>IF(INDEX(I.Facility.P2aIDNumber,1602)="","",INDEX(I.Facility.P2aIDNumber,1602))</f>
        <v/>
      </c>
      <c r="G6614" s="51"/>
      <c r="H6614" s="46" t="str">
        <f>IF(AND(I.Developer.P2a=TRUE,I.Facility.P2aFacilityCount&gt;=1602,F6614=""),"Incomplete","Complete")</f>
        <v>Complete</v>
      </c>
      <c r="I6614" s="48" t="s">
        <v>10979</v>
      </c>
    </row>
    <row r="6615" spans="2:9" ht="15" customHeight="1" x14ac:dyDescent="0.25">
      <c r="B6615" s="55" t="s">
        <v>280</v>
      </c>
      <c r="C6615" s="46">
        <v>1603</v>
      </c>
      <c r="D6615" s="69" t="s">
        <v>29417</v>
      </c>
      <c r="E6615" s="51"/>
      <c r="F6615" s="114" t="str">
        <f>IF(INDEX(I.Facility.P2aIDNumber,1603)="","",INDEX(I.Facility.P2aIDNumber,1603))</f>
        <v/>
      </c>
      <c r="G6615" s="51"/>
      <c r="H6615" s="46" t="str">
        <f>IF(AND(I.Developer.P2a=TRUE,I.Facility.P2aFacilityCount&gt;=1603,F6615=""),"Incomplete","Complete")</f>
        <v>Complete</v>
      </c>
      <c r="I6615" s="48" t="s">
        <v>10980</v>
      </c>
    </row>
    <row r="6616" spans="2:9" ht="15" customHeight="1" x14ac:dyDescent="0.25">
      <c r="B6616" s="55" t="s">
        <v>280</v>
      </c>
      <c r="C6616" s="46">
        <v>1604</v>
      </c>
      <c r="D6616" s="69" t="s">
        <v>29417</v>
      </c>
      <c r="E6616" s="51"/>
      <c r="F6616" s="114" t="str">
        <f>IF(INDEX(I.Facility.P2aIDNumber,1604)="","",INDEX(I.Facility.P2aIDNumber,1604))</f>
        <v/>
      </c>
      <c r="G6616" s="51"/>
      <c r="H6616" s="46" t="str">
        <f>IF(AND(I.Developer.P2a=TRUE,I.Facility.P2aFacilityCount&gt;=1604,F6616=""),"Incomplete","Complete")</f>
        <v>Complete</v>
      </c>
      <c r="I6616" s="48" t="s">
        <v>10981</v>
      </c>
    </row>
    <row r="6617" spans="2:9" ht="15" customHeight="1" x14ac:dyDescent="0.25">
      <c r="B6617" s="55" t="s">
        <v>280</v>
      </c>
      <c r="C6617" s="46">
        <v>1605</v>
      </c>
      <c r="D6617" s="69" t="s">
        <v>29417</v>
      </c>
      <c r="E6617" s="51"/>
      <c r="F6617" s="114" t="str">
        <f>IF(INDEX(I.Facility.P2aIDNumber,1605)="","",INDEX(I.Facility.P2aIDNumber,1605))</f>
        <v/>
      </c>
      <c r="G6617" s="51"/>
      <c r="H6617" s="46" t="str">
        <f>IF(AND(I.Developer.P2a=TRUE,I.Facility.P2aFacilityCount&gt;=1605,F6617=""),"Incomplete","Complete")</f>
        <v>Complete</v>
      </c>
      <c r="I6617" s="48" t="s">
        <v>10982</v>
      </c>
    </row>
    <row r="6618" spans="2:9" ht="15" customHeight="1" x14ac:dyDescent="0.25">
      <c r="B6618" s="55" t="s">
        <v>280</v>
      </c>
      <c r="C6618" s="46">
        <v>1606</v>
      </c>
      <c r="D6618" s="69" t="s">
        <v>29417</v>
      </c>
      <c r="E6618" s="51"/>
      <c r="F6618" s="114" t="str">
        <f>IF(INDEX(I.Facility.P2aIDNumber,1606)="","",INDEX(I.Facility.P2aIDNumber,1606))</f>
        <v/>
      </c>
      <c r="G6618" s="51"/>
      <c r="H6618" s="46" t="str">
        <f>IF(AND(I.Developer.P2a=TRUE,I.Facility.P2aFacilityCount&gt;=1606,F6618=""),"Incomplete","Complete")</f>
        <v>Complete</v>
      </c>
      <c r="I6618" s="48" t="s">
        <v>10983</v>
      </c>
    </row>
    <row r="6619" spans="2:9" ht="15" customHeight="1" x14ac:dyDescent="0.25">
      <c r="B6619" s="55" t="s">
        <v>280</v>
      </c>
      <c r="C6619" s="46">
        <v>1607</v>
      </c>
      <c r="D6619" s="69" t="s">
        <v>29417</v>
      </c>
      <c r="E6619" s="51"/>
      <c r="F6619" s="114" t="str">
        <f>IF(INDEX(I.Facility.P2aIDNumber,1607)="","",INDEX(I.Facility.P2aIDNumber,1607))</f>
        <v/>
      </c>
      <c r="G6619" s="51"/>
      <c r="H6619" s="46" t="str">
        <f>IF(AND(I.Developer.P2a=TRUE,I.Facility.P2aFacilityCount&gt;=1607,F6619=""),"Incomplete","Complete")</f>
        <v>Complete</v>
      </c>
      <c r="I6619" s="48" t="s">
        <v>10984</v>
      </c>
    </row>
    <row r="6620" spans="2:9" ht="15" customHeight="1" x14ac:dyDescent="0.25">
      <c r="B6620" s="55" t="s">
        <v>280</v>
      </c>
      <c r="C6620" s="46">
        <v>1608</v>
      </c>
      <c r="D6620" s="69" t="s">
        <v>29417</v>
      </c>
      <c r="E6620" s="51"/>
      <c r="F6620" s="114" t="str">
        <f>IF(INDEX(I.Facility.P2aIDNumber,1608)="","",INDEX(I.Facility.P2aIDNumber,1608))</f>
        <v/>
      </c>
      <c r="G6620" s="51"/>
      <c r="H6620" s="46" t="str">
        <f>IF(AND(I.Developer.P2a=TRUE,I.Facility.P2aFacilityCount&gt;=1608,F6620=""),"Incomplete","Complete")</f>
        <v>Complete</v>
      </c>
      <c r="I6620" s="48" t="s">
        <v>10985</v>
      </c>
    </row>
    <row r="6621" spans="2:9" ht="15" customHeight="1" x14ac:dyDescent="0.25">
      <c r="B6621" s="55" t="s">
        <v>280</v>
      </c>
      <c r="C6621" s="46">
        <v>1609</v>
      </c>
      <c r="D6621" s="69" t="s">
        <v>29417</v>
      </c>
      <c r="E6621" s="51"/>
      <c r="F6621" s="114" t="str">
        <f>IF(INDEX(I.Facility.P2aIDNumber,1609)="","",INDEX(I.Facility.P2aIDNumber,1609))</f>
        <v/>
      </c>
      <c r="G6621" s="51"/>
      <c r="H6621" s="46" t="str">
        <f>IF(AND(I.Developer.P2a=TRUE,I.Facility.P2aFacilityCount&gt;=1609,F6621=""),"Incomplete","Complete")</f>
        <v>Complete</v>
      </c>
      <c r="I6621" s="48" t="s">
        <v>10986</v>
      </c>
    </row>
    <row r="6622" spans="2:9" ht="15" customHeight="1" x14ac:dyDescent="0.25">
      <c r="B6622" s="55" t="s">
        <v>280</v>
      </c>
      <c r="C6622" s="46">
        <v>1610</v>
      </c>
      <c r="D6622" s="69" t="s">
        <v>29417</v>
      </c>
      <c r="E6622" s="51"/>
      <c r="F6622" s="114" t="str">
        <f>IF(INDEX(I.Facility.P2aIDNumber,1610)="","",INDEX(I.Facility.P2aIDNumber,1610))</f>
        <v/>
      </c>
      <c r="G6622" s="51"/>
      <c r="H6622" s="46" t="str">
        <f>IF(AND(I.Developer.P2a=TRUE,I.Facility.P2aFacilityCount&gt;=1610,F6622=""),"Incomplete","Complete")</f>
        <v>Complete</v>
      </c>
      <c r="I6622" s="48" t="s">
        <v>10987</v>
      </c>
    </row>
    <row r="6623" spans="2:9" ht="15" customHeight="1" x14ac:dyDescent="0.25">
      <c r="B6623" s="55" t="s">
        <v>280</v>
      </c>
      <c r="C6623" s="46">
        <v>1611</v>
      </c>
      <c r="D6623" s="69" t="s">
        <v>29417</v>
      </c>
      <c r="E6623" s="51"/>
      <c r="F6623" s="114" t="str">
        <f>IF(INDEX(I.Facility.P2aIDNumber,1611)="","",INDEX(I.Facility.P2aIDNumber,1611))</f>
        <v/>
      </c>
      <c r="G6623" s="51"/>
      <c r="H6623" s="46" t="str">
        <f>IF(AND(I.Developer.P2a=TRUE,I.Facility.P2aFacilityCount&gt;=1611,F6623=""),"Incomplete","Complete")</f>
        <v>Complete</v>
      </c>
      <c r="I6623" s="48" t="s">
        <v>10988</v>
      </c>
    </row>
    <row r="6624" spans="2:9" ht="15" customHeight="1" x14ac:dyDescent="0.25">
      <c r="B6624" s="55" t="s">
        <v>280</v>
      </c>
      <c r="C6624" s="46">
        <v>1612</v>
      </c>
      <c r="D6624" s="69" t="s">
        <v>29417</v>
      </c>
      <c r="E6624" s="51"/>
      <c r="F6624" s="114" t="str">
        <f>IF(INDEX(I.Facility.P2aIDNumber,1612)="","",INDEX(I.Facility.P2aIDNumber,1612))</f>
        <v/>
      </c>
      <c r="G6624" s="51"/>
      <c r="H6624" s="46" t="str">
        <f>IF(AND(I.Developer.P2a=TRUE,I.Facility.P2aFacilityCount&gt;=1612,F6624=""),"Incomplete","Complete")</f>
        <v>Complete</v>
      </c>
      <c r="I6624" s="48" t="s">
        <v>10989</v>
      </c>
    </row>
    <row r="6625" spans="2:9" ht="15" customHeight="1" x14ac:dyDescent="0.25">
      <c r="B6625" s="55" t="s">
        <v>280</v>
      </c>
      <c r="C6625" s="46">
        <v>1613</v>
      </c>
      <c r="D6625" s="69" t="s">
        <v>29417</v>
      </c>
      <c r="E6625" s="51"/>
      <c r="F6625" s="114" t="str">
        <f>IF(INDEX(I.Facility.P2aIDNumber,1613)="","",INDEX(I.Facility.P2aIDNumber,1613))</f>
        <v/>
      </c>
      <c r="G6625" s="51"/>
      <c r="H6625" s="46" t="str">
        <f>IF(AND(I.Developer.P2a=TRUE,I.Facility.P2aFacilityCount&gt;=1613,F6625=""),"Incomplete","Complete")</f>
        <v>Complete</v>
      </c>
      <c r="I6625" s="48" t="s">
        <v>10990</v>
      </c>
    </row>
    <row r="6626" spans="2:9" ht="15" customHeight="1" x14ac:dyDescent="0.25">
      <c r="B6626" s="55" t="s">
        <v>280</v>
      </c>
      <c r="C6626" s="46">
        <v>1614</v>
      </c>
      <c r="D6626" s="69" t="s">
        <v>29417</v>
      </c>
      <c r="E6626" s="51"/>
      <c r="F6626" s="114" t="str">
        <f>IF(INDEX(I.Facility.P2aIDNumber,1614)="","",INDEX(I.Facility.P2aIDNumber,1614))</f>
        <v/>
      </c>
      <c r="G6626" s="51"/>
      <c r="H6626" s="46" t="str">
        <f>IF(AND(I.Developer.P2a=TRUE,I.Facility.P2aFacilityCount&gt;=1614,F6626=""),"Incomplete","Complete")</f>
        <v>Complete</v>
      </c>
      <c r="I6626" s="48" t="s">
        <v>10991</v>
      </c>
    </row>
    <row r="6627" spans="2:9" ht="15" customHeight="1" x14ac:dyDescent="0.25">
      <c r="B6627" s="55" t="s">
        <v>280</v>
      </c>
      <c r="C6627" s="46">
        <v>1615</v>
      </c>
      <c r="D6627" s="69" t="s">
        <v>29417</v>
      </c>
      <c r="E6627" s="51"/>
      <c r="F6627" s="114" t="str">
        <f>IF(INDEX(I.Facility.P2aIDNumber,1615)="","",INDEX(I.Facility.P2aIDNumber,1615))</f>
        <v/>
      </c>
      <c r="G6627" s="51"/>
      <c r="H6627" s="46" t="str">
        <f>IF(AND(I.Developer.P2a=TRUE,I.Facility.P2aFacilityCount&gt;=1615,F6627=""),"Incomplete","Complete")</f>
        <v>Complete</v>
      </c>
      <c r="I6627" s="48" t="s">
        <v>10992</v>
      </c>
    </row>
    <row r="6628" spans="2:9" ht="15" customHeight="1" x14ac:dyDescent="0.25">
      <c r="B6628" s="55" t="s">
        <v>280</v>
      </c>
      <c r="C6628" s="46">
        <v>1616</v>
      </c>
      <c r="D6628" s="69" t="s">
        <v>29417</v>
      </c>
      <c r="E6628" s="51"/>
      <c r="F6628" s="114" t="str">
        <f>IF(INDEX(I.Facility.P2aIDNumber,1616)="","",INDEX(I.Facility.P2aIDNumber,1616))</f>
        <v/>
      </c>
      <c r="G6628" s="51"/>
      <c r="H6628" s="46" t="str">
        <f>IF(AND(I.Developer.P2a=TRUE,I.Facility.P2aFacilityCount&gt;=1616,F6628=""),"Incomplete","Complete")</f>
        <v>Complete</v>
      </c>
      <c r="I6628" s="48" t="s">
        <v>10993</v>
      </c>
    </row>
    <row r="6629" spans="2:9" ht="15" customHeight="1" x14ac:dyDescent="0.25">
      <c r="B6629" s="55" t="s">
        <v>280</v>
      </c>
      <c r="C6629" s="46">
        <v>1617</v>
      </c>
      <c r="D6629" s="69" t="s">
        <v>29417</v>
      </c>
      <c r="E6629" s="51"/>
      <c r="F6629" s="114" t="str">
        <f>IF(INDEX(I.Facility.P2aIDNumber,1617)="","",INDEX(I.Facility.P2aIDNumber,1617))</f>
        <v/>
      </c>
      <c r="G6629" s="51"/>
      <c r="H6629" s="46" t="str">
        <f>IF(AND(I.Developer.P2a=TRUE,I.Facility.P2aFacilityCount&gt;=1617,F6629=""),"Incomplete","Complete")</f>
        <v>Complete</v>
      </c>
      <c r="I6629" s="48" t="s">
        <v>10994</v>
      </c>
    </row>
    <row r="6630" spans="2:9" ht="15" customHeight="1" x14ac:dyDescent="0.25">
      <c r="B6630" s="55" t="s">
        <v>280</v>
      </c>
      <c r="C6630" s="46">
        <v>1618</v>
      </c>
      <c r="D6630" s="69" t="s">
        <v>29417</v>
      </c>
      <c r="E6630" s="51"/>
      <c r="F6630" s="114" t="str">
        <f>IF(INDEX(I.Facility.P2aIDNumber,1618)="","",INDEX(I.Facility.P2aIDNumber,1618))</f>
        <v/>
      </c>
      <c r="G6630" s="51"/>
      <c r="H6630" s="46" t="str">
        <f>IF(AND(I.Developer.P2a=TRUE,I.Facility.P2aFacilityCount&gt;=1618,F6630=""),"Incomplete","Complete")</f>
        <v>Complete</v>
      </c>
      <c r="I6630" s="48" t="s">
        <v>10995</v>
      </c>
    </row>
    <row r="6631" spans="2:9" ht="15" customHeight="1" x14ac:dyDescent="0.25">
      <c r="B6631" s="55" t="s">
        <v>280</v>
      </c>
      <c r="C6631" s="46">
        <v>1619</v>
      </c>
      <c r="D6631" s="69" t="s">
        <v>29417</v>
      </c>
      <c r="E6631" s="51"/>
      <c r="F6631" s="114" t="str">
        <f>IF(INDEX(I.Facility.P2aIDNumber,1619)="","",INDEX(I.Facility.P2aIDNumber,1619))</f>
        <v/>
      </c>
      <c r="G6631" s="51"/>
      <c r="H6631" s="46" t="str">
        <f>IF(AND(I.Developer.P2a=TRUE,I.Facility.P2aFacilityCount&gt;=1619,F6631=""),"Incomplete","Complete")</f>
        <v>Complete</v>
      </c>
      <c r="I6631" s="48" t="s">
        <v>10996</v>
      </c>
    </row>
    <row r="6632" spans="2:9" ht="15" customHeight="1" x14ac:dyDescent="0.25">
      <c r="B6632" s="55" t="s">
        <v>280</v>
      </c>
      <c r="C6632" s="46">
        <v>1620</v>
      </c>
      <c r="D6632" s="69" t="s">
        <v>29417</v>
      </c>
      <c r="E6632" s="51"/>
      <c r="F6632" s="114" t="str">
        <f>IF(INDEX(I.Facility.P2aIDNumber,1620)="","",INDEX(I.Facility.P2aIDNumber,1620))</f>
        <v/>
      </c>
      <c r="G6632" s="51"/>
      <c r="H6632" s="46" t="str">
        <f>IF(AND(I.Developer.P2a=TRUE,I.Facility.P2aFacilityCount&gt;=1620,F6632=""),"Incomplete","Complete")</f>
        <v>Complete</v>
      </c>
      <c r="I6632" s="48" t="s">
        <v>10997</v>
      </c>
    </row>
    <row r="6633" spans="2:9" ht="15" customHeight="1" x14ac:dyDescent="0.25">
      <c r="B6633" s="55" t="s">
        <v>280</v>
      </c>
      <c r="C6633" s="46">
        <v>1621</v>
      </c>
      <c r="D6633" s="69" t="s">
        <v>29417</v>
      </c>
      <c r="E6633" s="51"/>
      <c r="F6633" s="114" t="str">
        <f>IF(INDEX(I.Facility.P2aIDNumber,1621)="","",INDEX(I.Facility.P2aIDNumber,1621))</f>
        <v/>
      </c>
      <c r="G6633" s="51"/>
      <c r="H6633" s="46" t="str">
        <f>IF(AND(I.Developer.P2a=TRUE,I.Facility.P2aFacilityCount&gt;=1621,F6633=""),"Incomplete","Complete")</f>
        <v>Complete</v>
      </c>
      <c r="I6633" s="48" t="s">
        <v>10998</v>
      </c>
    </row>
    <row r="6634" spans="2:9" ht="15" customHeight="1" x14ac:dyDescent="0.25">
      <c r="B6634" s="55" t="s">
        <v>280</v>
      </c>
      <c r="C6634" s="46">
        <v>1622</v>
      </c>
      <c r="D6634" s="69" t="s">
        <v>29417</v>
      </c>
      <c r="E6634" s="51"/>
      <c r="F6634" s="114" t="str">
        <f>IF(INDEX(I.Facility.P2aIDNumber,1622)="","",INDEX(I.Facility.P2aIDNumber,1622))</f>
        <v/>
      </c>
      <c r="G6634" s="51"/>
      <c r="H6634" s="46" t="str">
        <f>IF(AND(I.Developer.P2a=TRUE,I.Facility.P2aFacilityCount&gt;=1622,F6634=""),"Incomplete","Complete")</f>
        <v>Complete</v>
      </c>
      <c r="I6634" s="48" t="s">
        <v>10999</v>
      </c>
    </row>
    <row r="6635" spans="2:9" ht="15" customHeight="1" x14ac:dyDescent="0.25">
      <c r="B6635" s="55" t="s">
        <v>280</v>
      </c>
      <c r="C6635" s="46">
        <v>1623</v>
      </c>
      <c r="D6635" s="69" t="s">
        <v>29417</v>
      </c>
      <c r="E6635" s="51"/>
      <c r="F6635" s="114" t="str">
        <f>IF(INDEX(I.Facility.P2aIDNumber,1623)="","",INDEX(I.Facility.P2aIDNumber,1623))</f>
        <v/>
      </c>
      <c r="G6635" s="51"/>
      <c r="H6635" s="46" t="str">
        <f>IF(AND(I.Developer.P2a=TRUE,I.Facility.P2aFacilityCount&gt;=1623,F6635=""),"Incomplete","Complete")</f>
        <v>Complete</v>
      </c>
      <c r="I6635" s="48" t="s">
        <v>11000</v>
      </c>
    </row>
    <row r="6636" spans="2:9" ht="15" customHeight="1" x14ac:dyDescent="0.25">
      <c r="B6636" s="55" t="s">
        <v>280</v>
      </c>
      <c r="C6636" s="46">
        <v>1624</v>
      </c>
      <c r="D6636" s="69" t="s">
        <v>29417</v>
      </c>
      <c r="E6636" s="51"/>
      <c r="F6636" s="114" t="str">
        <f>IF(INDEX(I.Facility.P2aIDNumber,1624)="","",INDEX(I.Facility.P2aIDNumber,1624))</f>
        <v/>
      </c>
      <c r="G6636" s="51"/>
      <c r="H6636" s="46" t="str">
        <f>IF(AND(I.Developer.P2a=TRUE,I.Facility.P2aFacilityCount&gt;=1624,F6636=""),"Incomplete","Complete")</f>
        <v>Complete</v>
      </c>
      <c r="I6636" s="48" t="s">
        <v>11001</v>
      </c>
    </row>
    <row r="6637" spans="2:9" ht="15" customHeight="1" x14ac:dyDescent="0.25">
      <c r="B6637" s="55" t="s">
        <v>280</v>
      </c>
      <c r="C6637" s="46">
        <v>1625</v>
      </c>
      <c r="D6637" s="69" t="s">
        <v>29417</v>
      </c>
      <c r="E6637" s="51"/>
      <c r="F6637" s="114" t="str">
        <f>IF(INDEX(I.Facility.P2aIDNumber,1625)="","",INDEX(I.Facility.P2aIDNumber,1625))</f>
        <v/>
      </c>
      <c r="G6637" s="51"/>
      <c r="H6637" s="46" t="str">
        <f>IF(AND(I.Developer.P2a=TRUE,I.Facility.P2aFacilityCount&gt;=1625,F6637=""),"Incomplete","Complete")</f>
        <v>Complete</v>
      </c>
      <c r="I6637" s="48" t="s">
        <v>11002</v>
      </c>
    </row>
    <row r="6638" spans="2:9" ht="15" customHeight="1" x14ac:dyDescent="0.25">
      <c r="B6638" s="55" t="s">
        <v>280</v>
      </c>
      <c r="C6638" s="46">
        <v>1626</v>
      </c>
      <c r="D6638" s="69" t="s">
        <v>29417</v>
      </c>
      <c r="E6638" s="51"/>
      <c r="F6638" s="114" t="str">
        <f>IF(INDEX(I.Facility.P2aIDNumber,1626)="","",INDEX(I.Facility.P2aIDNumber,1626))</f>
        <v/>
      </c>
      <c r="G6638" s="51"/>
      <c r="H6638" s="46" t="str">
        <f>IF(AND(I.Developer.P2a=TRUE,I.Facility.P2aFacilityCount&gt;=1626,F6638=""),"Incomplete","Complete")</f>
        <v>Complete</v>
      </c>
      <c r="I6638" s="48" t="s">
        <v>11003</v>
      </c>
    </row>
    <row r="6639" spans="2:9" ht="15" customHeight="1" x14ac:dyDescent="0.25">
      <c r="B6639" s="55" t="s">
        <v>280</v>
      </c>
      <c r="C6639" s="46">
        <v>1627</v>
      </c>
      <c r="D6639" s="69" t="s">
        <v>29417</v>
      </c>
      <c r="E6639" s="51"/>
      <c r="F6639" s="114" t="str">
        <f>IF(INDEX(I.Facility.P2aIDNumber,1627)="","",INDEX(I.Facility.P2aIDNumber,1627))</f>
        <v/>
      </c>
      <c r="G6639" s="51"/>
      <c r="H6639" s="46" t="str">
        <f>IF(AND(I.Developer.P2a=TRUE,I.Facility.P2aFacilityCount&gt;=1627,F6639=""),"Incomplete","Complete")</f>
        <v>Complete</v>
      </c>
      <c r="I6639" s="48" t="s">
        <v>11004</v>
      </c>
    </row>
    <row r="6640" spans="2:9" ht="15" customHeight="1" x14ac:dyDescent="0.25">
      <c r="B6640" s="55" t="s">
        <v>280</v>
      </c>
      <c r="C6640" s="46">
        <v>1628</v>
      </c>
      <c r="D6640" s="69" t="s">
        <v>29417</v>
      </c>
      <c r="E6640" s="51"/>
      <c r="F6640" s="114" t="str">
        <f>IF(INDEX(I.Facility.P2aIDNumber,1628)="","",INDEX(I.Facility.P2aIDNumber,1628))</f>
        <v/>
      </c>
      <c r="G6640" s="51"/>
      <c r="H6640" s="46" t="str">
        <f>IF(AND(I.Developer.P2a=TRUE,I.Facility.P2aFacilityCount&gt;=1628,F6640=""),"Incomplete","Complete")</f>
        <v>Complete</v>
      </c>
      <c r="I6640" s="48" t="s">
        <v>11005</v>
      </c>
    </row>
    <row r="6641" spans="2:9" ht="15" customHeight="1" x14ac:dyDescent="0.25">
      <c r="B6641" s="55" t="s">
        <v>280</v>
      </c>
      <c r="C6641" s="46">
        <v>1629</v>
      </c>
      <c r="D6641" s="69" t="s">
        <v>29417</v>
      </c>
      <c r="E6641" s="51"/>
      <c r="F6641" s="114" t="str">
        <f>IF(INDEX(I.Facility.P2aIDNumber,1629)="","",INDEX(I.Facility.P2aIDNumber,1629))</f>
        <v/>
      </c>
      <c r="G6641" s="51"/>
      <c r="H6641" s="46" t="str">
        <f>IF(AND(I.Developer.P2a=TRUE,I.Facility.P2aFacilityCount&gt;=1629,F6641=""),"Incomplete","Complete")</f>
        <v>Complete</v>
      </c>
      <c r="I6641" s="48" t="s">
        <v>11006</v>
      </c>
    </row>
    <row r="6642" spans="2:9" ht="15" customHeight="1" x14ac:dyDescent="0.25">
      <c r="B6642" s="55" t="s">
        <v>280</v>
      </c>
      <c r="C6642" s="46">
        <v>1630</v>
      </c>
      <c r="D6642" s="69" t="s">
        <v>29417</v>
      </c>
      <c r="E6642" s="51"/>
      <c r="F6642" s="114" t="str">
        <f>IF(INDEX(I.Facility.P2aIDNumber,1630)="","",INDEX(I.Facility.P2aIDNumber,1630))</f>
        <v/>
      </c>
      <c r="G6642" s="51"/>
      <c r="H6642" s="46" t="str">
        <f>IF(AND(I.Developer.P2a=TRUE,I.Facility.P2aFacilityCount&gt;=1630,F6642=""),"Incomplete","Complete")</f>
        <v>Complete</v>
      </c>
      <c r="I6642" s="48" t="s">
        <v>11007</v>
      </c>
    </row>
    <row r="6643" spans="2:9" ht="15" customHeight="1" x14ac:dyDescent="0.25">
      <c r="B6643" s="55" t="s">
        <v>280</v>
      </c>
      <c r="C6643" s="46">
        <v>1631</v>
      </c>
      <c r="D6643" s="69" t="s">
        <v>29417</v>
      </c>
      <c r="E6643" s="51"/>
      <c r="F6643" s="114" t="str">
        <f>IF(INDEX(I.Facility.P2aIDNumber,1631)="","",INDEX(I.Facility.P2aIDNumber,1631))</f>
        <v/>
      </c>
      <c r="G6643" s="51"/>
      <c r="H6643" s="46" t="str">
        <f>IF(AND(I.Developer.P2a=TRUE,I.Facility.P2aFacilityCount&gt;=1631,F6643=""),"Incomplete","Complete")</f>
        <v>Complete</v>
      </c>
      <c r="I6643" s="48" t="s">
        <v>11008</v>
      </c>
    </row>
    <row r="6644" spans="2:9" ht="15" customHeight="1" x14ac:dyDescent="0.25">
      <c r="B6644" s="55" t="s">
        <v>280</v>
      </c>
      <c r="C6644" s="46">
        <v>1632</v>
      </c>
      <c r="D6644" s="69" t="s">
        <v>29417</v>
      </c>
      <c r="E6644" s="51"/>
      <c r="F6644" s="114" t="str">
        <f>IF(INDEX(I.Facility.P2aIDNumber,1632)="","",INDEX(I.Facility.P2aIDNumber,1632))</f>
        <v/>
      </c>
      <c r="G6644" s="51"/>
      <c r="H6644" s="46" t="str">
        <f>IF(AND(I.Developer.P2a=TRUE,I.Facility.P2aFacilityCount&gt;=1632,F6644=""),"Incomplete","Complete")</f>
        <v>Complete</v>
      </c>
      <c r="I6644" s="48" t="s">
        <v>11009</v>
      </c>
    </row>
    <row r="6645" spans="2:9" ht="15" customHeight="1" x14ac:dyDescent="0.25">
      <c r="B6645" s="55" t="s">
        <v>280</v>
      </c>
      <c r="C6645" s="46">
        <v>1633</v>
      </c>
      <c r="D6645" s="69" t="s">
        <v>29417</v>
      </c>
      <c r="E6645" s="51"/>
      <c r="F6645" s="114" t="str">
        <f>IF(INDEX(I.Facility.P2aIDNumber,1633)="","",INDEX(I.Facility.P2aIDNumber,1633))</f>
        <v/>
      </c>
      <c r="G6645" s="51"/>
      <c r="H6645" s="46" t="str">
        <f>IF(AND(I.Developer.P2a=TRUE,I.Facility.P2aFacilityCount&gt;=1633,F6645=""),"Incomplete","Complete")</f>
        <v>Complete</v>
      </c>
      <c r="I6645" s="48" t="s">
        <v>11010</v>
      </c>
    </row>
    <row r="6646" spans="2:9" ht="15" customHeight="1" x14ac:dyDescent="0.25">
      <c r="B6646" s="55" t="s">
        <v>280</v>
      </c>
      <c r="C6646" s="46">
        <v>1634</v>
      </c>
      <c r="D6646" s="69" t="s">
        <v>29417</v>
      </c>
      <c r="E6646" s="51"/>
      <c r="F6646" s="114" t="str">
        <f>IF(INDEX(I.Facility.P2aIDNumber,1634)="","",INDEX(I.Facility.P2aIDNumber,1634))</f>
        <v/>
      </c>
      <c r="G6646" s="51"/>
      <c r="H6646" s="46" t="str">
        <f>IF(AND(I.Developer.P2a=TRUE,I.Facility.P2aFacilityCount&gt;=1634,F6646=""),"Incomplete","Complete")</f>
        <v>Complete</v>
      </c>
      <c r="I6646" s="48" t="s">
        <v>11011</v>
      </c>
    </row>
    <row r="6647" spans="2:9" ht="15" customHeight="1" x14ac:dyDescent="0.25">
      <c r="B6647" s="55" t="s">
        <v>280</v>
      </c>
      <c r="C6647" s="46">
        <v>1635</v>
      </c>
      <c r="D6647" s="69" t="s">
        <v>29417</v>
      </c>
      <c r="E6647" s="51"/>
      <c r="F6647" s="114" t="str">
        <f>IF(INDEX(I.Facility.P2aIDNumber,1635)="","",INDEX(I.Facility.P2aIDNumber,1635))</f>
        <v/>
      </c>
      <c r="G6647" s="51"/>
      <c r="H6647" s="46" t="str">
        <f>IF(AND(I.Developer.P2a=TRUE,I.Facility.P2aFacilityCount&gt;=1635,F6647=""),"Incomplete","Complete")</f>
        <v>Complete</v>
      </c>
      <c r="I6647" s="48" t="s">
        <v>11012</v>
      </c>
    </row>
    <row r="6648" spans="2:9" ht="15" customHeight="1" x14ac:dyDescent="0.25">
      <c r="B6648" s="55" t="s">
        <v>280</v>
      </c>
      <c r="C6648" s="46">
        <v>1636</v>
      </c>
      <c r="D6648" s="69" t="s">
        <v>29417</v>
      </c>
      <c r="E6648" s="51"/>
      <c r="F6648" s="114" t="str">
        <f>IF(INDEX(I.Facility.P2aIDNumber,1636)="","",INDEX(I.Facility.P2aIDNumber,1636))</f>
        <v/>
      </c>
      <c r="G6648" s="51"/>
      <c r="H6648" s="46" t="str">
        <f>IF(AND(I.Developer.P2a=TRUE,I.Facility.P2aFacilityCount&gt;=1636,F6648=""),"Incomplete","Complete")</f>
        <v>Complete</v>
      </c>
      <c r="I6648" s="48" t="s">
        <v>11013</v>
      </c>
    </row>
    <row r="6649" spans="2:9" ht="15" customHeight="1" x14ac:dyDescent="0.25">
      <c r="B6649" s="55" t="s">
        <v>280</v>
      </c>
      <c r="C6649" s="46">
        <v>1637</v>
      </c>
      <c r="D6649" s="69" t="s">
        <v>29417</v>
      </c>
      <c r="E6649" s="51"/>
      <c r="F6649" s="114" t="str">
        <f>IF(INDEX(I.Facility.P2aIDNumber,1637)="","",INDEX(I.Facility.P2aIDNumber,1637))</f>
        <v/>
      </c>
      <c r="G6649" s="51"/>
      <c r="H6649" s="46" t="str">
        <f>IF(AND(I.Developer.P2a=TRUE,I.Facility.P2aFacilityCount&gt;=1637,F6649=""),"Incomplete","Complete")</f>
        <v>Complete</v>
      </c>
      <c r="I6649" s="48" t="s">
        <v>11014</v>
      </c>
    </row>
    <row r="6650" spans="2:9" ht="15" customHeight="1" x14ac:dyDescent="0.25">
      <c r="B6650" s="55" t="s">
        <v>280</v>
      </c>
      <c r="C6650" s="46">
        <v>1638</v>
      </c>
      <c r="D6650" s="69" t="s">
        <v>29417</v>
      </c>
      <c r="E6650" s="51"/>
      <c r="F6650" s="114" t="str">
        <f>IF(INDEX(I.Facility.P2aIDNumber,1638)="","",INDEX(I.Facility.P2aIDNumber,1638))</f>
        <v/>
      </c>
      <c r="G6650" s="51"/>
      <c r="H6650" s="46" t="str">
        <f>IF(AND(I.Developer.P2a=TRUE,I.Facility.P2aFacilityCount&gt;=1638,F6650=""),"Incomplete","Complete")</f>
        <v>Complete</v>
      </c>
      <c r="I6650" s="48" t="s">
        <v>11015</v>
      </c>
    </row>
    <row r="6651" spans="2:9" ht="15" customHeight="1" x14ac:dyDescent="0.25">
      <c r="B6651" s="55" t="s">
        <v>280</v>
      </c>
      <c r="C6651" s="46">
        <v>1639</v>
      </c>
      <c r="D6651" s="69" t="s">
        <v>29417</v>
      </c>
      <c r="E6651" s="51"/>
      <c r="F6651" s="114" t="str">
        <f>IF(INDEX(I.Facility.P2aIDNumber,1639)="","",INDEX(I.Facility.P2aIDNumber,1639))</f>
        <v/>
      </c>
      <c r="G6651" s="51"/>
      <c r="H6651" s="46" t="str">
        <f>IF(AND(I.Developer.P2a=TRUE,I.Facility.P2aFacilityCount&gt;=1639,F6651=""),"Incomplete","Complete")</f>
        <v>Complete</v>
      </c>
      <c r="I6651" s="48" t="s">
        <v>11016</v>
      </c>
    </row>
    <row r="6652" spans="2:9" ht="15" customHeight="1" x14ac:dyDescent="0.25">
      <c r="B6652" s="55" t="s">
        <v>280</v>
      </c>
      <c r="C6652" s="46">
        <v>1640</v>
      </c>
      <c r="D6652" s="69" t="s">
        <v>29417</v>
      </c>
      <c r="E6652" s="51"/>
      <c r="F6652" s="114" t="str">
        <f>IF(INDEX(I.Facility.P2aIDNumber,1640)="","",INDEX(I.Facility.P2aIDNumber,1640))</f>
        <v/>
      </c>
      <c r="G6652" s="51"/>
      <c r="H6652" s="46" t="str">
        <f>IF(AND(I.Developer.P2a=TRUE,I.Facility.P2aFacilityCount&gt;=1640,F6652=""),"Incomplete","Complete")</f>
        <v>Complete</v>
      </c>
      <c r="I6652" s="48" t="s">
        <v>11017</v>
      </c>
    </row>
    <row r="6653" spans="2:9" ht="15" customHeight="1" x14ac:dyDescent="0.25">
      <c r="B6653" s="55" t="s">
        <v>280</v>
      </c>
      <c r="C6653" s="46">
        <v>1641</v>
      </c>
      <c r="D6653" s="69" t="s">
        <v>29417</v>
      </c>
      <c r="E6653" s="51"/>
      <c r="F6653" s="114" t="str">
        <f>IF(INDEX(I.Facility.P2aIDNumber,1641)="","",INDEX(I.Facility.P2aIDNumber,1641))</f>
        <v/>
      </c>
      <c r="G6653" s="51"/>
      <c r="H6653" s="46" t="str">
        <f>IF(AND(I.Developer.P2a=TRUE,I.Facility.P2aFacilityCount&gt;=1641,F6653=""),"Incomplete","Complete")</f>
        <v>Complete</v>
      </c>
      <c r="I6653" s="48" t="s">
        <v>11018</v>
      </c>
    </row>
    <row r="6654" spans="2:9" ht="15" customHeight="1" x14ac:dyDescent="0.25">
      <c r="B6654" s="55" t="s">
        <v>280</v>
      </c>
      <c r="C6654" s="46">
        <v>1642</v>
      </c>
      <c r="D6654" s="69" t="s">
        <v>29417</v>
      </c>
      <c r="E6654" s="51"/>
      <c r="F6654" s="114" t="str">
        <f>IF(INDEX(I.Facility.P2aIDNumber,1642)="","",INDEX(I.Facility.P2aIDNumber,1642))</f>
        <v/>
      </c>
      <c r="G6654" s="51"/>
      <c r="H6654" s="46" t="str">
        <f>IF(AND(I.Developer.P2a=TRUE,I.Facility.P2aFacilityCount&gt;=1642,F6654=""),"Incomplete","Complete")</f>
        <v>Complete</v>
      </c>
      <c r="I6654" s="48" t="s">
        <v>11019</v>
      </c>
    </row>
    <row r="6655" spans="2:9" ht="15" customHeight="1" x14ac:dyDescent="0.25">
      <c r="B6655" s="55" t="s">
        <v>280</v>
      </c>
      <c r="C6655" s="46">
        <v>1643</v>
      </c>
      <c r="D6655" s="69" t="s">
        <v>29417</v>
      </c>
      <c r="E6655" s="51"/>
      <c r="F6655" s="114" t="str">
        <f>IF(INDEX(I.Facility.P2aIDNumber,1643)="","",INDEX(I.Facility.P2aIDNumber,1643))</f>
        <v/>
      </c>
      <c r="G6655" s="51"/>
      <c r="H6655" s="46" t="str">
        <f>IF(AND(I.Developer.P2a=TRUE,I.Facility.P2aFacilityCount&gt;=1643,F6655=""),"Incomplete","Complete")</f>
        <v>Complete</v>
      </c>
      <c r="I6655" s="48" t="s">
        <v>11020</v>
      </c>
    </row>
    <row r="6656" spans="2:9" ht="15" customHeight="1" x14ac:dyDescent="0.25">
      <c r="B6656" s="55" t="s">
        <v>280</v>
      </c>
      <c r="C6656" s="46">
        <v>1644</v>
      </c>
      <c r="D6656" s="69" t="s">
        <v>29417</v>
      </c>
      <c r="E6656" s="51"/>
      <c r="F6656" s="114" t="str">
        <f>IF(INDEX(I.Facility.P2aIDNumber,1644)="","",INDEX(I.Facility.P2aIDNumber,1644))</f>
        <v/>
      </c>
      <c r="G6656" s="51"/>
      <c r="H6656" s="46" t="str">
        <f>IF(AND(I.Developer.P2a=TRUE,I.Facility.P2aFacilityCount&gt;=1644,F6656=""),"Incomplete","Complete")</f>
        <v>Complete</v>
      </c>
      <c r="I6656" s="48" t="s">
        <v>11021</v>
      </c>
    </row>
    <row r="6657" spans="2:9" ht="15" customHeight="1" x14ac:dyDescent="0.25">
      <c r="B6657" s="55" t="s">
        <v>280</v>
      </c>
      <c r="C6657" s="46">
        <v>1645</v>
      </c>
      <c r="D6657" s="69" t="s">
        <v>29417</v>
      </c>
      <c r="E6657" s="51"/>
      <c r="F6657" s="114" t="str">
        <f>IF(INDEX(I.Facility.P2aIDNumber,1645)="","",INDEX(I.Facility.P2aIDNumber,1645))</f>
        <v/>
      </c>
      <c r="G6657" s="51"/>
      <c r="H6657" s="46" t="str">
        <f>IF(AND(I.Developer.P2a=TRUE,I.Facility.P2aFacilityCount&gt;=1645,F6657=""),"Incomplete","Complete")</f>
        <v>Complete</v>
      </c>
      <c r="I6657" s="48" t="s">
        <v>11022</v>
      </c>
    </row>
    <row r="6658" spans="2:9" ht="15" customHeight="1" x14ac:dyDescent="0.25">
      <c r="B6658" s="55" t="s">
        <v>280</v>
      </c>
      <c r="C6658" s="46">
        <v>1646</v>
      </c>
      <c r="D6658" s="69" t="s">
        <v>29417</v>
      </c>
      <c r="E6658" s="51"/>
      <c r="F6658" s="114" t="str">
        <f>IF(INDEX(I.Facility.P2aIDNumber,1646)="","",INDEX(I.Facility.P2aIDNumber,1646))</f>
        <v/>
      </c>
      <c r="G6658" s="51"/>
      <c r="H6658" s="46" t="str">
        <f>IF(AND(I.Developer.P2a=TRUE,I.Facility.P2aFacilityCount&gt;=1646,F6658=""),"Incomplete","Complete")</f>
        <v>Complete</v>
      </c>
      <c r="I6658" s="48" t="s">
        <v>11023</v>
      </c>
    </row>
    <row r="6659" spans="2:9" ht="15" customHeight="1" x14ac:dyDescent="0.25">
      <c r="B6659" s="55" t="s">
        <v>280</v>
      </c>
      <c r="C6659" s="46">
        <v>1647</v>
      </c>
      <c r="D6659" s="69" t="s">
        <v>29417</v>
      </c>
      <c r="E6659" s="51"/>
      <c r="F6659" s="114" t="str">
        <f>IF(INDEX(I.Facility.P2aIDNumber,1647)="","",INDEX(I.Facility.P2aIDNumber,1647))</f>
        <v/>
      </c>
      <c r="G6659" s="51"/>
      <c r="H6659" s="46" t="str">
        <f>IF(AND(I.Developer.P2a=TRUE,I.Facility.P2aFacilityCount&gt;=1647,F6659=""),"Incomplete","Complete")</f>
        <v>Complete</v>
      </c>
      <c r="I6659" s="48" t="s">
        <v>11024</v>
      </c>
    </row>
    <row r="6660" spans="2:9" ht="15" customHeight="1" x14ac:dyDescent="0.25">
      <c r="B6660" s="55" t="s">
        <v>280</v>
      </c>
      <c r="C6660" s="46">
        <v>1648</v>
      </c>
      <c r="D6660" s="69" t="s">
        <v>29417</v>
      </c>
      <c r="E6660" s="51"/>
      <c r="F6660" s="114" t="str">
        <f>IF(INDEX(I.Facility.P2aIDNumber,1648)="","",INDEX(I.Facility.P2aIDNumber,1648))</f>
        <v/>
      </c>
      <c r="G6660" s="51"/>
      <c r="H6660" s="46" t="str">
        <f>IF(AND(I.Developer.P2a=TRUE,I.Facility.P2aFacilityCount&gt;=1648,F6660=""),"Incomplete","Complete")</f>
        <v>Complete</v>
      </c>
      <c r="I6660" s="48" t="s">
        <v>11025</v>
      </c>
    </row>
    <row r="6661" spans="2:9" ht="15" customHeight="1" x14ac:dyDescent="0.25">
      <c r="B6661" s="55" t="s">
        <v>280</v>
      </c>
      <c r="C6661" s="46">
        <v>1649</v>
      </c>
      <c r="D6661" s="69" t="s">
        <v>29417</v>
      </c>
      <c r="E6661" s="51"/>
      <c r="F6661" s="114" t="str">
        <f>IF(INDEX(I.Facility.P2aIDNumber,1649)="","",INDEX(I.Facility.P2aIDNumber,1649))</f>
        <v/>
      </c>
      <c r="G6661" s="51"/>
      <c r="H6661" s="46" t="str">
        <f>IF(AND(I.Developer.P2a=TRUE,I.Facility.P2aFacilityCount&gt;=1649,F6661=""),"Incomplete","Complete")</f>
        <v>Complete</v>
      </c>
      <c r="I6661" s="48" t="s">
        <v>11026</v>
      </c>
    </row>
    <row r="6662" spans="2:9" ht="15" customHeight="1" x14ac:dyDescent="0.25">
      <c r="B6662" s="55" t="s">
        <v>280</v>
      </c>
      <c r="C6662" s="46">
        <v>1650</v>
      </c>
      <c r="D6662" s="69" t="s">
        <v>29417</v>
      </c>
      <c r="E6662" s="51"/>
      <c r="F6662" s="114" t="str">
        <f>IF(INDEX(I.Facility.P2aIDNumber,1650)="","",INDEX(I.Facility.P2aIDNumber,1650))</f>
        <v/>
      </c>
      <c r="G6662" s="51"/>
      <c r="H6662" s="46" t="str">
        <f>IF(AND(I.Developer.P2a=TRUE,I.Facility.P2aFacilityCount&gt;=1650,F6662=""),"Incomplete","Complete")</f>
        <v>Complete</v>
      </c>
      <c r="I6662" s="48" t="s">
        <v>11027</v>
      </c>
    </row>
    <row r="6663" spans="2:9" ht="15" customHeight="1" x14ac:dyDescent="0.25">
      <c r="B6663" s="55" t="s">
        <v>280</v>
      </c>
      <c r="C6663" s="46">
        <v>1651</v>
      </c>
      <c r="D6663" s="69" t="s">
        <v>29417</v>
      </c>
      <c r="E6663" s="51"/>
      <c r="F6663" s="114" t="str">
        <f>IF(INDEX(I.Facility.P2aIDNumber,1651)="","",INDEX(I.Facility.P2aIDNumber,1651))</f>
        <v/>
      </c>
      <c r="G6663" s="51"/>
      <c r="H6663" s="46" t="str">
        <f>IF(AND(I.Developer.P2a=TRUE,I.Facility.P2aFacilityCount&gt;=1651,F6663=""),"Incomplete","Complete")</f>
        <v>Complete</v>
      </c>
      <c r="I6663" s="48" t="s">
        <v>11028</v>
      </c>
    </row>
    <row r="6664" spans="2:9" ht="15" customHeight="1" x14ac:dyDescent="0.25">
      <c r="B6664" s="55" t="s">
        <v>280</v>
      </c>
      <c r="C6664" s="46">
        <v>1652</v>
      </c>
      <c r="D6664" s="69" t="s">
        <v>29417</v>
      </c>
      <c r="E6664" s="51"/>
      <c r="F6664" s="114" t="str">
        <f>IF(INDEX(I.Facility.P2aIDNumber,1652)="","",INDEX(I.Facility.P2aIDNumber,1652))</f>
        <v/>
      </c>
      <c r="G6664" s="51"/>
      <c r="H6664" s="46" t="str">
        <f>IF(AND(I.Developer.P2a=TRUE,I.Facility.P2aFacilityCount&gt;=1652,F6664=""),"Incomplete","Complete")</f>
        <v>Complete</v>
      </c>
      <c r="I6664" s="48" t="s">
        <v>11029</v>
      </c>
    </row>
    <row r="6665" spans="2:9" ht="15" customHeight="1" x14ac:dyDescent="0.25">
      <c r="B6665" s="55" t="s">
        <v>280</v>
      </c>
      <c r="C6665" s="46">
        <v>1653</v>
      </c>
      <c r="D6665" s="69" t="s">
        <v>29417</v>
      </c>
      <c r="E6665" s="51"/>
      <c r="F6665" s="114" t="str">
        <f>IF(INDEX(I.Facility.P2aIDNumber,1653)="","",INDEX(I.Facility.P2aIDNumber,1653))</f>
        <v/>
      </c>
      <c r="G6665" s="51"/>
      <c r="H6665" s="46" t="str">
        <f>IF(AND(I.Developer.P2a=TRUE,I.Facility.P2aFacilityCount&gt;=1653,F6665=""),"Incomplete","Complete")</f>
        <v>Complete</v>
      </c>
      <c r="I6665" s="48" t="s">
        <v>11030</v>
      </c>
    </row>
    <row r="6666" spans="2:9" ht="15" customHeight="1" x14ac:dyDescent="0.25">
      <c r="B6666" s="55" t="s">
        <v>280</v>
      </c>
      <c r="C6666" s="46">
        <v>1654</v>
      </c>
      <c r="D6666" s="69" t="s">
        <v>29417</v>
      </c>
      <c r="E6666" s="51"/>
      <c r="F6666" s="114" t="str">
        <f>IF(INDEX(I.Facility.P2aIDNumber,1654)="","",INDEX(I.Facility.P2aIDNumber,1654))</f>
        <v/>
      </c>
      <c r="G6666" s="51"/>
      <c r="H6666" s="46" t="str">
        <f>IF(AND(I.Developer.P2a=TRUE,I.Facility.P2aFacilityCount&gt;=1654,F6666=""),"Incomplete","Complete")</f>
        <v>Complete</v>
      </c>
      <c r="I6666" s="48" t="s">
        <v>11031</v>
      </c>
    </row>
    <row r="6667" spans="2:9" ht="15" customHeight="1" x14ac:dyDescent="0.25">
      <c r="B6667" s="55" t="s">
        <v>280</v>
      </c>
      <c r="C6667" s="46">
        <v>1655</v>
      </c>
      <c r="D6667" s="69" t="s">
        <v>29417</v>
      </c>
      <c r="E6667" s="51"/>
      <c r="F6667" s="114" t="str">
        <f>IF(INDEX(I.Facility.P2aIDNumber,1655)="","",INDEX(I.Facility.P2aIDNumber,1655))</f>
        <v/>
      </c>
      <c r="G6667" s="51"/>
      <c r="H6667" s="46" t="str">
        <f>IF(AND(I.Developer.P2a=TRUE,I.Facility.P2aFacilityCount&gt;=1655,F6667=""),"Incomplete","Complete")</f>
        <v>Complete</v>
      </c>
      <c r="I6667" s="48" t="s">
        <v>11032</v>
      </c>
    </row>
    <row r="6668" spans="2:9" ht="15" customHeight="1" x14ac:dyDescent="0.25">
      <c r="B6668" s="55" t="s">
        <v>280</v>
      </c>
      <c r="C6668" s="46">
        <v>1656</v>
      </c>
      <c r="D6668" s="69" t="s">
        <v>29417</v>
      </c>
      <c r="E6668" s="51"/>
      <c r="F6668" s="114" t="str">
        <f>IF(INDEX(I.Facility.P2aIDNumber,1656)="","",INDEX(I.Facility.P2aIDNumber,1656))</f>
        <v/>
      </c>
      <c r="G6668" s="51"/>
      <c r="H6668" s="46" t="str">
        <f>IF(AND(I.Developer.P2a=TRUE,I.Facility.P2aFacilityCount&gt;=1656,F6668=""),"Incomplete","Complete")</f>
        <v>Complete</v>
      </c>
      <c r="I6668" s="48" t="s">
        <v>11033</v>
      </c>
    </row>
    <row r="6669" spans="2:9" ht="15" customHeight="1" x14ac:dyDescent="0.25">
      <c r="B6669" s="55" t="s">
        <v>280</v>
      </c>
      <c r="C6669" s="46">
        <v>1657</v>
      </c>
      <c r="D6669" s="69" t="s">
        <v>29417</v>
      </c>
      <c r="E6669" s="51"/>
      <c r="F6669" s="114" t="str">
        <f>IF(INDEX(I.Facility.P2aIDNumber,1657)="","",INDEX(I.Facility.P2aIDNumber,1657))</f>
        <v/>
      </c>
      <c r="G6669" s="51"/>
      <c r="H6669" s="46" t="str">
        <f>IF(AND(I.Developer.P2a=TRUE,I.Facility.P2aFacilityCount&gt;=1657,F6669=""),"Incomplete","Complete")</f>
        <v>Complete</v>
      </c>
      <c r="I6669" s="48" t="s">
        <v>11034</v>
      </c>
    </row>
    <row r="6670" spans="2:9" ht="15" customHeight="1" x14ac:dyDescent="0.25">
      <c r="B6670" s="55" t="s">
        <v>280</v>
      </c>
      <c r="C6670" s="46">
        <v>1658</v>
      </c>
      <c r="D6670" s="69" t="s">
        <v>29417</v>
      </c>
      <c r="E6670" s="51"/>
      <c r="F6670" s="114" t="str">
        <f>IF(INDEX(I.Facility.P2aIDNumber,1658)="","",INDEX(I.Facility.P2aIDNumber,1658))</f>
        <v/>
      </c>
      <c r="G6670" s="51"/>
      <c r="H6670" s="46" t="str">
        <f>IF(AND(I.Developer.P2a=TRUE,I.Facility.P2aFacilityCount&gt;=1658,F6670=""),"Incomplete","Complete")</f>
        <v>Complete</v>
      </c>
      <c r="I6670" s="48" t="s">
        <v>11035</v>
      </c>
    </row>
    <row r="6671" spans="2:9" ht="15" customHeight="1" x14ac:dyDescent="0.25">
      <c r="B6671" s="55" t="s">
        <v>280</v>
      </c>
      <c r="C6671" s="46">
        <v>1659</v>
      </c>
      <c r="D6671" s="69" t="s">
        <v>29417</v>
      </c>
      <c r="E6671" s="51"/>
      <c r="F6671" s="114" t="str">
        <f>IF(INDEX(I.Facility.P2aIDNumber,1659)="","",INDEX(I.Facility.P2aIDNumber,1659))</f>
        <v/>
      </c>
      <c r="G6671" s="51"/>
      <c r="H6671" s="46" t="str">
        <f>IF(AND(I.Developer.P2a=TRUE,I.Facility.P2aFacilityCount&gt;=1659,F6671=""),"Incomplete","Complete")</f>
        <v>Complete</v>
      </c>
      <c r="I6671" s="48" t="s">
        <v>11036</v>
      </c>
    </row>
    <row r="6672" spans="2:9" ht="15" customHeight="1" x14ac:dyDescent="0.25">
      <c r="B6672" s="55" t="s">
        <v>280</v>
      </c>
      <c r="C6672" s="46">
        <v>1660</v>
      </c>
      <c r="D6672" s="69" t="s">
        <v>29417</v>
      </c>
      <c r="E6672" s="51"/>
      <c r="F6672" s="114" t="str">
        <f>IF(INDEX(I.Facility.P2aIDNumber,1660)="","",INDEX(I.Facility.P2aIDNumber,1660))</f>
        <v/>
      </c>
      <c r="G6672" s="51"/>
      <c r="H6672" s="46" t="str">
        <f>IF(AND(I.Developer.P2a=TRUE,I.Facility.P2aFacilityCount&gt;=1660,F6672=""),"Incomplete","Complete")</f>
        <v>Complete</v>
      </c>
      <c r="I6672" s="48" t="s">
        <v>11037</v>
      </c>
    </row>
    <row r="6673" spans="2:9" ht="15" customHeight="1" x14ac:dyDescent="0.25">
      <c r="B6673" s="55" t="s">
        <v>280</v>
      </c>
      <c r="C6673" s="46">
        <v>1661</v>
      </c>
      <c r="D6673" s="69" t="s">
        <v>29417</v>
      </c>
      <c r="E6673" s="51"/>
      <c r="F6673" s="114" t="str">
        <f>IF(INDEX(I.Facility.P2aIDNumber,1661)="","",INDEX(I.Facility.P2aIDNumber,1661))</f>
        <v/>
      </c>
      <c r="G6673" s="51"/>
      <c r="H6673" s="46" t="str">
        <f>IF(AND(I.Developer.P2a=TRUE,I.Facility.P2aFacilityCount&gt;=1661,F6673=""),"Incomplete","Complete")</f>
        <v>Complete</v>
      </c>
      <c r="I6673" s="48" t="s">
        <v>11038</v>
      </c>
    </row>
    <row r="6674" spans="2:9" ht="15" customHeight="1" x14ac:dyDescent="0.25">
      <c r="B6674" s="55" t="s">
        <v>280</v>
      </c>
      <c r="C6674" s="46">
        <v>1662</v>
      </c>
      <c r="D6674" s="69" t="s">
        <v>29417</v>
      </c>
      <c r="E6674" s="51"/>
      <c r="F6674" s="114" t="str">
        <f>IF(INDEX(I.Facility.P2aIDNumber,1662)="","",INDEX(I.Facility.P2aIDNumber,1662))</f>
        <v/>
      </c>
      <c r="G6674" s="51"/>
      <c r="H6674" s="46" t="str">
        <f>IF(AND(I.Developer.P2a=TRUE,I.Facility.P2aFacilityCount&gt;=1662,F6674=""),"Incomplete","Complete")</f>
        <v>Complete</v>
      </c>
      <c r="I6674" s="48" t="s">
        <v>11039</v>
      </c>
    </row>
    <row r="6675" spans="2:9" ht="15" customHeight="1" x14ac:dyDescent="0.25">
      <c r="B6675" s="55" t="s">
        <v>280</v>
      </c>
      <c r="C6675" s="46">
        <v>1663</v>
      </c>
      <c r="D6675" s="69" t="s">
        <v>29417</v>
      </c>
      <c r="E6675" s="51"/>
      <c r="F6675" s="114" t="str">
        <f>IF(INDEX(I.Facility.P2aIDNumber,1663)="","",INDEX(I.Facility.P2aIDNumber,1663))</f>
        <v/>
      </c>
      <c r="G6675" s="51"/>
      <c r="H6675" s="46" t="str">
        <f>IF(AND(I.Developer.P2a=TRUE,I.Facility.P2aFacilityCount&gt;=1663,F6675=""),"Incomplete","Complete")</f>
        <v>Complete</v>
      </c>
      <c r="I6675" s="48" t="s">
        <v>11040</v>
      </c>
    </row>
    <row r="6676" spans="2:9" ht="15" customHeight="1" x14ac:dyDescent="0.25">
      <c r="B6676" s="55" t="s">
        <v>280</v>
      </c>
      <c r="C6676" s="46">
        <v>1664</v>
      </c>
      <c r="D6676" s="69" t="s">
        <v>29417</v>
      </c>
      <c r="E6676" s="51"/>
      <c r="F6676" s="114" t="str">
        <f>IF(INDEX(I.Facility.P2aIDNumber,1664)="","",INDEX(I.Facility.P2aIDNumber,1664))</f>
        <v/>
      </c>
      <c r="G6676" s="51"/>
      <c r="H6676" s="46" t="str">
        <f>IF(AND(I.Developer.P2a=TRUE,I.Facility.P2aFacilityCount&gt;=1664,F6676=""),"Incomplete","Complete")</f>
        <v>Complete</v>
      </c>
      <c r="I6676" s="48" t="s">
        <v>11041</v>
      </c>
    </row>
    <row r="6677" spans="2:9" ht="15" customHeight="1" x14ac:dyDescent="0.25">
      <c r="B6677" s="55" t="s">
        <v>280</v>
      </c>
      <c r="C6677" s="46">
        <v>1665</v>
      </c>
      <c r="D6677" s="69" t="s">
        <v>29417</v>
      </c>
      <c r="E6677" s="51"/>
      <c r="F6677" s="114" t="str">
        <f>IF(INDEX(I.Facility.P2aIDNumber,1665)="","",INDEX(I.Facility.P2aIDNumber,1665))</f>
        <v/>
      </c>
      <c r="G6677" s="51"/>
      <c r="H6677" s="46" t="str">
        <f>IF(AND(I.Developer.P2a=TRUE,I.Facility.P2aFacilityCount&gt;=1665,F6677=""),"Incomplete","Complete")</f>
        <v>Complete</v>
      </c>
      <c r="I6677" s="48" t="s">
        <v>11042</v>
      </c>
    </row>
    <row r="6678" spans="2:9" ht="15" customHeight="1" x14ac:dyDescent="0.25">
      <c r="B6678" s="55" t="s">
        <v>280</v>
      </c>
      <c r="C6678" s="46">
        <v>1666</v>
      </c>
      <c r="D6678" s="69" t="s">
        <v>29417</v>
      </c>
      <c r="E6678" s="51"/>
      <c r="F6678" s="114" t="str">
        <f>IF(INDEX(I.Facility.P2aIDNumber,1666)="","",INDEX(I.Facility.P2aIDNumber,1666))</f>
        <v/>
      </c>
      <c r="G6678" s="51"/>
      <c r="H6678" s="46" t="str">
        <f>IF(AND(I.Developer.P2a=TRUE,I.Facility.P2aFacilityCount&gt;=1666,F6678=""),"Incomplete","Complete")</f>
        <v>Complete</v>
      </c>
      <c r="I6678" s="48" t="s">
        <v>11043</v>
      </c>
    </row>
    <row r="6679" spans="2:9" ht="15" customHeight="1" x14ac:dyDescent="0.25">
      <c r="B6679" s="55" t="s">
        <v>280</v>
      </c>
      <c r="C6679" s="46">
        <v>1667</v>
      </c>
      <c r="D6679" s="69" t="s">
        <v>29417</v>
      </c>
      <c r="E6679" s="51"/>
      <c r="F6679" s="114" t="str">
        <f>IF(INDEX(I.Facility.P2aIDNumber,1667)="","",INDEX(I.Facility.P2aIDNumber,1667))</f>
        <v/>
      </c>
      <c r="G6679" s="51"/>
      <c r="H6679" s="46" t="str">
        <f>IF(AND(I.Developer.P2a=TRUE,I.Facility.P2aFacilityCount&gt;=1667,F6679=""),"Incomplete","Complete")</f>
        <v>Complete</v>
      </c>
      <c r="I6679" s="48" t="s">
        <v>11044</v>
      </c>
    </row>
    <row r="6680" spans="2:9" ht="15" customHeight="1" x14ac:dyDescent="0.25">
      <c r="B6680" s="55" t="s">
        <v>280</v>
      </c>
      <c r="C6680" s="46">
        <v>1668</v>
      </c>
      <c r="D6680" s="69" t="s">
        <v>29417</v>
      </c>
      <c r="E6680" s="51"/>
      <c r="F6680" s="114" t="str">
        <f>IF(INDEX(I.Facility.P2aIDNumber,1668)="","",INDEX(I.Facility.P2aIDNumber,1668))</f>
        <v/>
      </c>
      <c r="G6680" s="51"/>
      <c r="H6680" s="46" t="str">
        <f>IF(AND(I.Developer.P2a=TRUE,I.Facility.P2aFacilityCount&gt;=1668,F6680=""),"Incomplete","Complete")</f>
        <v>Complete</v>
      </c>
      <c r="I6680" s="48" t="s">
        <v>11045</v>
      </c>
    </row>
    <row r="6681" spans="2:9" ht="15" customHeight="1" x14ac:dyDescent="0.25">
      <c r="B6681" s="55" t="s">
        <v>280</v>
      </c>
      <c r="C6681" s="46">
        <v>1669</v>
      </c>
      <c r="D6681" s="69" t="s">
        <v>29417</v>
      </c>
      <c r="E6681" s="51"/>
      <c r="F6681" s="114" t="str">
        <f>IF(INDEX(I.Facility.P2aIDNumber,1669)="","",INDEX(I.Facility.P2aIDNumber,1669))</f>
        <v/>
      </c>
      <c r="G6681" s="51"/>
      <c r="H6681" s="46" t="str">
        <f>IF(AND(I.Developer.P2a=TRUE,I.Facility.P2aFacilityCount&gt;=1669,F6681=""),"Incomplete","Complete")</f>
        <v>Complete</v>
      </c>
      <c r="I6681" s="48" t="s">
        <v>11046</v>
      </c>
    </row>
    <row r="6682" spans="2:9" ht="15" customHeight="1" x14ac:dyDescent="0.25">
      <c r="B6682" s="55" t="s">
        <v>280</v>
      </c>
      <c r="C6682" s="46">
        <v>1670</v>
      </c>
      <c r="D6682" s="69" t="s">
        <v>29417</v>
      </c>
      <c r="E6682" s="51"/>
      <c r="F6682" s="114" t="str">
        <f>IF(INDEX(I.Facility.P2aIDNumber,1670)="","",INDEX(I.Facility.P2aIDNumber,1670))</f>
        <v/>
      </c>
      <c r="G6682" s="51"/>
      <c r="H6682" s="46" t="str">
        <f>IF(AND(I.Developer.P2a=TRUE,I.Facility.P2aFacilityCount&gt;=1670,F6682=""),"Incomplete","Complete")</f>
        <v>Complete</v>
      </c>
      <c r="I6682" s="48" t="s">
        <v>11047</v>
      </c>
    </row>
    <row r="6683" spans="2:9" ht="15" customHeight="1" x14ac:dyDescent="0.25">
      <c r="B6683" s="55" t="s">
        <v>280</v>
      </c>
      <c r="C6683" s="46">
        <v>1671</v>
      </c>
      <c r="D6683" s="69" t="s">
        <v>29417</v>
      </c>
      <c r="E6683" s="51"/>
      <c r="F6683" s="114" t="str">
        <f>IF(INDEX(I.Facility.P2aIDNumber,1671)="","",INDEX(I.Facility.P2aIDNumber,1671))</f>
        <v/>
      </c>
      <c r="G6683" s="51"/>
      <c r="H6683" s="46" t="str">
        <f>IF(AND(I.Developer.P2a=TRUE,I.Facility.P2aFacilityCount&gt;=1671,F6683=""),"Incomplete","Complete")</f>
        <v>Complete</v>
      </c>
      <c r="I6683" s="48" t="s">
        <v>11048</v>
      </c>
    </row>
    <row r="6684" spans="2:9" ht="15" customHeight="1" x14ac:dyDescent="0.25">
      <c r="B6684" s="55" t="s">
        <v>280</v>
      </c>
      <c r="C6684" s="46">
        <v>1672</v>
      </c>
      <c r="D6684" s="69" t="s">
        <v>29417</v>
      </c>
      <c r="E6684" s="51"/>
      <c r="F6684" s="114" t="str">
        <f>IF(INDEX(I.Facility.P2aIDNumber,1672)="","",INDEX(I.Facility.P2aIDNumber,1672))</f>
        <v/>
      </c>
      <c r="G6684" s="51"/>
      <c r="H6684" s="46" t="str">
        <f>IF(AND(I.Developer.P2a=TRUE,I.Facility.P2aFacilityCount&gt;=1672,F6684=""),"Incomplete","Complete")</f>
        <v>Complete</v>
      </c>
      <c r="I6684" s="48" t="s">
        <v>11049</v>
      </c>
    </row>
    <row r="6685" spans="2:9" ht="15" customHeight="1" x14ac:dyDescent="0.25">
      <c r="B6685" s="55" t="s">
        <v>280</v>
      </c>
      <c r="C6685" s="46">
        <v>1673</v>
      </c>
      <c r="D6685" s="69" t="s">
        <v>29417</v>
      </c>
      <c r="E6685" s="51"/>
      <c r="F6685" s="114" t="str">
        <f>IF(INDEX(I.Facility.P2aIDNumber,1673)="","",INDEX(I.Facility.P2aIDNumber,1673))</f>
        <v/>
      </c>
      <c r="G6685" s="51"/>
      <c r="H6685" s="46" t="str">
        <f>IF(AND(I.Developer.P2a=TRUE,I.Facility.P2aFacilityCount&gt;=1673,F6685=""),"Incomplete","Complete")</f>
        <v>Complete</v>
      </c>
      <c r="I6685" s="48" t="s">
        <v>11050</v>
      </c>
    </row>
    <row r="6686" spans="2:9" ht="15" customHeight="1" x14ac:dyDescent="0.25">
      <c r="B6686" s="55" t="s">
        <v>280</v>
      </c>
      <c r="C6686" s="46">
        <v>1674</v>
      </c>
      <c r="D6686" s="69" t="s">
        <v>29417</v>
      </c>
      <c r="E6686" s="51"/>
      <c r="F6686" s="114" t="str">
        <f>IF(INDEX(I.Facility.P2aIDNumber,1674)="","",INDEX(I.Facility.P2aIDNumber,1674))</f>
        <v/>
      </c>
      <c r="G6686" s="51"/>
      <c r="H6686" s="46" t="str">
        <f>IF(AND(I.Developer.P2a=TRUE,I.Facility.P2aFacilityCount&gt;=1674,F6686=""),"Incomplete","Complete")</f>
        <v>Complete</v>
      </c>
      <c r="I6686" s="48" t="s">
        <v>11051</v>
      </c>
    </row>
    <row r="6687" spans="2:9" ht="15" customHeight="1" x14ac:dyDescent="0.25">
      <c r="B6687" s="55" t="s">
        <v>280</v>
      </c>
      <c r="C6687" s="46">
        <v>1675</v>
      </c>
      <c r="D6687" s="69" t="s">
        <v>29417</v>
      </c>
      <c r="E6687" s="51"/>
      <c r="F6687" s="114" t="str">
        <f>IF(INDEX(I.Facility.P2aIDNumber,1675)="","",INDEX(I.Facility.P2aIDNumber,1675))</f>
        <v/>
      </c>
      <c r="G6687" s="51"/>
      <c r="H6687" s="46" t="str">
        <f>IF(AND(I.Developer.P2a=TRUE,I.Facility.P2aFacilityCount&gt;=1675,F6687=""),"Incomplete","Complete")</f>
        <v>Complete</v>
      </c>
      <c r="I6687" s="48" t="s">
        <v>11052</v>
      </c>
    </row>
    <row r="6688" spans="2:9" ht="15" customHeight="1" x14ac:dyDescent="0.25">
      <c r="B6688" s="55" t="s">
        <v>280</v>
      </c>
      <c r="C6688" s="46">
        <v>1676</v>
      </c>
      <c r="D6688" s="69" t="s">
        <v>29417</v>
      </c>
      <c r="E6688" s="51"/>
      <c r="F6688" s="114" t="str">
        <f>IF(INDEX(I.Facility.P2aIDNumber,1676)="","",INDEX(I.Facility.P2aIDNumber,1676))</f>
        <v/>
      </c>
      <c r="G6688" s="51"/>
      <c r="H6688" s="46" t="str">
        <f>IF(AND(I.Developer.P2a=TRUE,I.Facility.P2aFacilityCount&gt;=1676,F6688=""),"Incomplete","Complete")</f>
        <v>Complete</v>
      </c>
      <c r="I6688" s="48" t="s">
        <v>11053</v>
      </c>
    </row>
    <row r="6689" spans="2:9" ht="15" customHeight="1" x14ac:dyDescent="0.25">
      <c r="B6689" s="55" t="s">
        <v>280</v>
      </c>
      <c r="C6689" s="46">
        <v>1677</v>
      </c>
      <c r="D6689" s="69" t="s">
        <v>29417</v>
      </c>
      <c r="E6689" s="51"/>
      <c r="F6689" s="114" t="str">
        <f>IF(INDEX(I.Facility.P2aIDNumber,1677)="","",INDEX(I.Facility.P2aIDNumber,1677))</f>
        <v/>
      </c>
      <c r="G6689" s="51"/>
      <c r="H6689" s="46" t="str">
        <f>IF(AND(I.Developer.P2a=TRUE,I.Facility.P2aFacilityCount&gt;=1677,F6689=""),"Incomplete","Complete")</f>
        <v>Complete</v>
      </c>
      <c r="I6689" s="48" t="s">
        <v>11054</v>
      </c>
    </row>
    <row r="6690" spans="2:9" ht="15" customHeight="1" x14ac:dyDescent="0.25">
      <c r="B6690" s="55" t="s">
        <v>280</v>
      </c>
      <c r="C6690" s="46">
        <v>1678</v>
      </c>
      <c r="D6690" s="69" t="s">
        <v>29417</v>
      </c>
      <c r="E6690" s="51"/>
      <c r="F6690" s="114" t="str">
        <f>IF(INDEX(I.Facility.P2aIDNumber,1678)="","",INDEX(I.Facility.P2aIDNumber,1678))</f>
        <v/>
      </c>
      <c r="G6690" s="51"/>
      <c r="H6690" s="46" t="str">
        <f>IF(AND(I.Developer.P2a=TRUE,I.Facility.P2aFacilityCount&gt;=1678,F6690=""),"Incomplete","Complete")</f>
        <v>Complete</v>
      </c>
      <c r="I6690" s="48" t="s">
        <v>11055</v>
      </c>
    </row>
    <row r="6691" spans="2:9" ht="15" customHeight="1" x14ac:dyDescent="0.25">
      <c r="B6691" s="55" t="s">
        <v>280</v>
      </c>
      <c r="C6691" s="46">
        <v>1679</v>
      </c>
      <c r="D6691" s="69" t="s">
        <v>29417</v>
      </c>
      <c r="E6691" s="51"/>
      <c r="F6691" s="114" t="str">
        <f>IF(INDEX(I.Facility.P2aIDNumber,1679)="","",INDEX(I.Facility.P2aIDNumber,1679))</f>
        <v/>
      </c>
      <c r="G6691" s="51"/>
      <c r="H6691" s="46" t="str">
        <f>IF(AND(I.Developer.P2a=TRUE,I.Facility.P2aFacilityCount&gt;=1679,F6691=""),"Incomplete","Complete")</f>
        <v>Complete</v>
      </c>
      <c r="I6691" s="48" t="s">
        <v>11056</v>
      </c>
    </row>
    <row r="6692" spans="2:9" ht="15" customHeight="1" x14ac:dyDescent="0.25">
      <c r="B6692" s="55" t="s">
        <v>280</v>
      </c>
      <c r="C6692" s="46">
        <v>1680</v>
      </c>
      <c r="D6692" s="69" t="s">
        <v>29417</v>
      </c>
      <c r="E6692" s="51"/>
      <c r="F6692" s="114" t="str">
        <f>IF(INDEX(I.Facility.P2aIDNumber,1680)="","",INDEX(I.Facility.P2aIDNumber,1680))</f>
        <v/>
      </c>
      <c r="G6692" s="51"/>
      <c r="H6692" s="46" t="str">
        <f>IF(AND(I.Developer.P2a=TRUE,I.Facility.P2aFacilityCount&gt;=1680,F6692=""),"Incomplete","Complete")</f>
        <v>Complete</v>
      </c>
      <c r="I6692" s="48" t="s">
        <v>11057</v>
      </c>
    </row>
    <row r="6693" spans="2:9" ht="15" customHeight="1" x14ac:dyDescent="0.25">
      <c r="B6693" s="55" t="s">
        <v>280</v>
      </c>
      <c r="C6693" s="46">
        <v>1681</v>
      </c>
      <c r="D6693" s="69" t="s">
        <v>29417</v>
      </c>
      <c r="E6693" s="51"/>
      <c r="F6693" s="114" t="str">
        <f>IF(INDEX(I.Facility.P2aIDNumber,1681)="","",INDEX(I.Facility.P2aIDNumber,1681))</f>
        <v/>
      </c>
      <c r="G6693" s="51"/>
      <c r="H6693" s="46" t="str">
        <f>IF(AND(I.Developer.P2a=TRUE,I.Facility.P2aFacilityCount&gt;=1681,F6693=""),"Incomplete","Complete")</f>
        <v>Complete</v>
      </c>
      <c r="I6693" s="48" t="s">
        <v>11058</v>
      </c>
    </row>
    <row r="6694" spans="2:9" ht="15" customHeight="1" x14ac:dyDescent="0.25">
      <c r="B6694" s="55" t="s">
        <v>280</v>
      </c>
      <c r="C6694" s="46">
        <v>1682</v>
      </c>
      <c r="D6694" s="69" t="s">
        <v>29417</v>
      </c>
      <c r="E6694" s="51"/>
      <c r="F6694" s="114" t="str">
        <f>IF(INDEX(I.Facility.P2aIDNumber,1682)="","",INDEX(I.Facility.P2aIDNumber,1682))</f>
        <v/>
      </c>
      <c r="G6694" s="51"/>
      <c r="H6694" s="46" t="str">
        <f>IF(AND(I.Developer.P2a=TRUE,I.Facility.P2aFacilityCount&gt;=1682,F6694=""),"Incomplete","Complete")</f>
        <v>Complete</v>
      </c>
      <c r="I6694" s="48" t="s">
        <v>11059</v>
      </c>
    </row>
    <row r="6695" spans="2:9" ht="15" customHeight="1" x14ac:dyDescent="0.25">
      <c r="B6695" s="55" t="s">
        <v>280</v>
      </c>
      <c r="C6695" s="46">
        <v>1683</v>
      </c>
      <c r="D6695" s="69" t="s">
        <v>29417</v>
      </c>
      <c r="E6695" s="51"/>
      <c r="F6695" s="114" t="str">
        <f>IF(INDEX(I.Facility.P2aIDNumber,1683)="","",INDEX(I.Facility.P2aIDNumber,1683))</f>
        <v/>
      </c>
      <c r="G6695" s="51"/>
      <c r="H6695" s="46" t="str">
        <f>IF(AND(I.Developer.P2a=TRUE,I.Facility.P2aFacilityCount&gt;=1683,F6695=""),"Incomplete","Complete")</f>
        <v>Complete</v>
      </c>
      <c r="I6695" s="48" t="s">
        <v>11060</v>
      </c>
    </row>
    <row r="6696" spans="2:9" ht="15" customHeight="1" x14ac:dyDescent="0.25">
      <c r="B6696" s="55" t="s">
        <v>280</v>
      </c>
      <c r="C6696" s="46">
        <v>1684</v>
      </c>
      <c r="D6696" s="69" t="s">
        <v>29417</v>
      </c>
      <c r="E6696" s="51"/>
      <c r="F6696" s="114" t="str">
        <f>IF(INDEX(I.Facility.P2aIDNumber,1684)="","",INDEX(I.Facility.P2aIDNumber,1684))</f>
        <v/>
      </c>
      <c r="G6696" s="51"/>
      <c r="H6696" s="46" t="str">
        <f>IF(AND(I.Developer.P2a=TRUE,I.Facility.P2aFacilityCount&gt;=1684,F6696=""),"Incomplete","Complete")</f>
        <v>Complete</v>
      </c>
      <c r="I6696" s="48" t="s">
        <v>11061</v>
      </c>
    </row>
    <row r="6697" spans="2:9" ht="15" customHeight="1" x14ac:dyDescent="0.25">
      <c r="B6697" s="55" t="s">
        <v>280</v>
      </c>
      <c r="C6697" s="46">
        <v>1685</v>
      </c>
      <c r="D6697" s="69" t="s">
        <v>29417</v>
      </c>
      <c r="E6697" s="51"/>
      <c r="F6697" s="114" t="str">
        <f>IF(INDEX(I.Facility.P2aIDNumber,1685)="","",INDEX(I.Facility.P2aIDNumber,1685))</f>
        <v/>
      </c>
      <c r="G6697" s="51"/>
      <c r="H6697" s="46" t="str">
        <f>IF(AND(I.Developer.P2a=TRUE,I.Facility.P2aFacilityCount&gt;=1685,F6697=""),"Incomplete","Complete")</f>
        <v>Complete</v>
      </c>
      <c r="I6697" s="48" t="s">
        <v>11062</v>
      </c>
    </row>
    <row r="6698" spans="2:9" ht="15" customHeight="1" x14ac:dyDescent="0.25">
      <c r="B6698" s="55" t="s">
        <v>280</v>
      </c>
      <c r="C6698" s="46">
        <v>1686</v>
      </c>
      <c r="D6698" s="69" t="s">
        <v>29417</v>
      </c>
      <c r="E6698" s="51"/>
      <c r="F6698" s="114" t="str">
        <f>IF(INDEX(I.Facility.P2aIDNumber,1686)="","",INDEX(I.Facility.P2aIDNumber,1686))</f>
        <v/>
      </c>
      <c r="G6698" s="51"/>
      <c r="H6698" s="46" t="str">
        <f>IF(AND(I.Developer.P2a=TRUE,I.Facility.P2aFacilityCount&gt;=1686,F6698=""),"Incomplete","Complete")</f>
        <v>Complete</v>
      </c>
      <c r="I6698" s="48" t="s">
        <v>11063</v>
      </c>
    </row>
    <row r="6699" spans="2:9" ht="15" customHeight="1" x14ac:dyDescent="0.25">
      <c r="B6699" s="55" t="s">
        <v>280</v>
      </c>
      <c r="C6699" s="46">
        <v>1687</v>
      </c>
      <c r="D6699" s="69" t="s">
        <v>29417</v>
      </c>
      <c r="E6699" s="51"/>
      <c r="F6699" s="114" t="str">
        <f>IF(INDEX(I.Facility.P2aIDNumber,1687)="","",INDEX(I.Facility.P2aIDNumber,1687))</f>
        <v/>
      </c>
      <c r="G6699" s="51"/>
      <c r="H6699" s="46" t="str">
        <f>IF(AND(I.Developer.P2a=TRUE,I.Facility.P2aFacilityCount&gt;=1687,F6699=""),"Incomplete","Complete")</f>
        <v>Complete</v>
      </c>
      <c r="I6699" s="48" t="s">
        <v>11064</v>
      </c>
    </row>
    <row r="6700" spans="2:9" ht="15" customHeight="1" x14ac:dyDescent="0.25">
      <c r="B6700" s="55" t="s">
        <v>280</v>
      </c>
      <c r="C6700" s="46">
        <v>1688</v>
      </c>
      <c r="D6700" s="69" t="s">
        <v>29417</v>
      </c>
      <c r="E6700" s="51"/>
      <c r="F6700" s="114" t="str">
        <f>IF(INDEX(I.Facility.P2aIDNumber,1688)="","",INDEX(I.Facility.P2aIDNumber,1688))</f>
        <v/>
      </c>
      <c r="G6700" s="51"/>
      <c r="H6700" s="46" t="str">
        <f>IF(AND(I.Developer.P2a=TRUE,I.Facility.P2aFacilityCount&gt;=1688,F6700=""),"Incomplete","Complete")</f>
        <v>Complete</v>
      </c>
      <c r="I6700" s="48" t="s">
        <v>11065</v>
      </c>
    </row>
    <row r="6701" spans="2:9" ht="15" customHeight="1" x14ac:dyDescent="0.25">
      <c r="B6701" s="55" t="s">
        <v>280</v>
      </c>
      <c r="C6701" s="46">
        <v>1689</v>
      </c>
      <c r="D6701" s="69" t="s">
        <v>29417</v>
      </c>
      <c r="E6701" s="51"/>
      <c r="F6701" s="114" t="str">
        <f>IF(INDEX(I.Facility.P2aIDNumber,1689)="","",INDEX(I.Facility.P2aIDNumber,1689))</f>
        <v/>
      </c>
      <c r="G6701" s="51"/>
      <c r="H6701" s="46" t="str">
        <f>IF(AND(I.Developer.P2a=TRUE,I.Facility.P2aFacilityCount&gt;=1689,F6701=""),"Incomplete","Complete")</f>
        <v>Complete</v>
      </c>
      <c r="I6701" s="48" t="s">
        <v>11066</v>
      </c>
    </row>
    <row r="6702" spans="2:9" ht="15" customHeight="1" x14ac:dyDescent="0.25">
      <c r="B6702" s="55" t="s">
        <v>280</v>
      </c>
      <c r="C6702" s="46">
        <v>1690</v>
      </c>
      <c r="D6702" s="69" t="s">
        <v>29417</v>
      </c>
      <c r="E6702" s="51"/>
      <c r="F6702" s="114" t="str">
        <f>IF(INDEX(I.Facility.P2aIDNumber,1690)="","",INDEX(I.Facility.P2aIDNumber,1690))</f>
        <v/>
      </c>
      <c r="G6702" s="51"/>
      <c r="H6702" s="46" t="str">
        <f>IF(AND(I.Developer.P2a=TRUE,I.Facility.P2aFacilityCount&gt;=1690,F6702=""),"Incomplete","Complete")</f>
        <v>Complete</v>
      </c>
      <c r="I6702" s="48" t="s">
        <v>11067</v>
      </c>
    </row>
    <row r="6703" spans="2:9" ht="15" customHeight="1" x14ac:dyDescent="0.25">
      <c r="B6703" s="55" t="s">
        <v>280</v>
      </c>
      <c r="C6703" s="46">
        <v>1691</v>
      </c>
      <c r="D6703" s="69" t="s">
        <v>29417</v>
      </c>
      <c r="E6703" s="51"/>
      <c r="F6703" s="114" t="str">
        <f>IF(INDEX(I.Facility.P2aIDNumber,1691)="","",INDEX(I.Facility.P2aIDNumber,1691))</f>
        <v/>
      </c>
      <c r="G6703" s="51"/>
      <c r="H6703" s="46" t="str">
        <f>IF(AND(I.Developer.P2a=TRUE,I.Facility.P2aFacilityCount&gt;=1691,F6703=""),"Incomplete","Complete")</f>
        <v>Complete</v>
      </c>
      <c r="I6703" s="48" t="s">
        <v>11068</v>
      </c>
    </row>
    <row r="6704" spans="2:9" ht="15" customHeight="1" x14ac:dyDescent="0.25">
      <c r="B6704" s="55" t="s">
        <v>280</v>
      </c>
      <c r="C6704" s="46">
        <v>1692</v>
      </c>
      <c r="D6704" s="69" t="s">
        <v>29417</v>
      </c>
      <c r="E6704" s="51"/>
      <c r="F6704" s="114" t="str">
        <f>IF(INDEX(I.Facility.P2aIDNumber,1692)="","",INDEX(I.Facility.P2aIDNumber,1692))</f>
        <v/>
      </c>
      <c r="G6704" s="51"/>
      <c r="H6704" s="46" t="str">
        <f>IF(AND(I.Developer.P2a=TRUE,I.Facility.P2aFacilityCount&gt;=1692,F6704=""),"Incomplete","Complete")</f>
        <v>Complete</v>
      </c>
      <c r="I6704" s="48" t="s">
        <v>11069</v>
      </c>
    </row>
    <row r="6705" spans="2:9" ht="15" customHeight="1" x14ac:dyDescent="0.25">
      <c r="B6705" s="55" t="s">
        <v>280</v>
      </c>
      <c r="C6705" s="46">
        <v>1693</v>
      </c>
      <c r="D6705" s="69" t="s">
        <v>29417</v>
      </c>
      <c r="E6705" s="51"/>
      <c r="F6705" s="114" t="str">
        <f>IF(INDEX(I.Facility.P2aIDNumber,1693)="","",INDEX(I.Facility.P2aIDNumber,1693))</f>
        <v/>
      </c>
      <c r="G6705" s="51"/>
      <c r="H6705" s="46" t="str">
        <f>IF(AND(I.Developer.P2a=TRUE,I.Facility.P2aFacilityCount&gt;=1693,F6705=""),"Incomplete","Complete")</f>
        <v>Complete</v>
      </c>
      <c r="I6705" s="48" t="s">
        <v>11070</v>
      </c>
    </row>
    <row r="6706" spans="2:9" ht="15" customHeight="1" x14ac:dyDescent="0.25">
      <c r="B6706" s="55" t="s">
        <v>280</v>
      </c>
      <c r="C6706" s="46">
        <v>1694</v>
      </c>
      <c r="D6706" s="69" t="s">
        <v>29417</v>
      </c>
      <c r="E6706" s="51"/>
      <c r="F6706" s="114" t="str">
        <f>IF(INDEX(I.Facility.P2aIDNumber,1694)="","",INDEX(I.Facility.P2aIDNumber,1694))</f>
        <v/>
      </c>
      <c r="G6706" s="51"/>
      <c r="H6706" s="46" t="str">
        <f>IF(AND(I.Developer.P2a=TRUE,I.Facility.P2aFacilityCount&gt;=1694,F6706=""),"Incomplete","Complete")</f>
        <v>Complete</v>
      </c>
      <c r="I6706" s="48" t="s">
        <v>11071</v>
      </c>
    </row>
    <row r="6707" spans="2:9" ht="15" customHeight="1" x14ac:dyDescent="0.25">
      <c r="B6707" s="55" t="s">
        <v>280</v>
      </c>
      <c r="C6707" s="46">
        <v>1695</v>
      </c>
      <c r="D6707" s="69" t="s">
        <v>29417</v>
      </c>
      <c r="E6707" s="51"/>
      <c r="F6707" s="114" t="str">
        <f>IF(INDEX(I.Facility.P2aIDNumber,1695)="","",INDEX(I.Facility.P2aIDNumber,1695))</f>
        <v/>
      </c>
      <c r="G6707" s="51"/>
      <c r="H6707" s="46" t="str">
        <f>IF(AND(I.Developer.P2a=TRUE,I.Facility.P2aFacilityCount&gt;=1695,F6707=""),"Incomplete","Complete")</f>
        <v>Complete</v>
      </c>
      <c r="I6707" s="48" t="s">
        <v>11072</v>
      </c>
    </row>
    <row r="6708" spans="2:9" ht="15" customHeight="1" x14ac:dyDescent="0.25">
      <c r="B6708" s="55" t="s">
        <v>280</v>
      </c>
      <c r="C6708" s="46">
        <v>1696</v>
      </c>
      <c r="D6708" s="69" t="s">
        <v>29417</v>
      </c>
      <c r="E6708" s="51"/>
      <c r="F6708" s="114" t="str">
        <f>IF(INDEX(I.Facility.P2aIDNumber,1696)="","",INDEX(I.Facility.P2aIDNumber,1696))</f>
        <v/>
      </c>
      <c r="G6708" s="51"/>
      <c r="H6708" s="46" t="str">
        <f>IF(AND(I.Developer.P2a=TRUE,I.Facility.P2aFacilityCount&gt;=1696,F6708=""),"Incomplete","Complete")</f>
        <v>Complete</v>
      </c>
      <c r="I6708" s="48" t="s">
        <v>11073</v>
      </c>
    </row>
    <row r="6709" spans="2:9" ht="15" customHeight="1" x14ac:dyDescent="0.25">
      <c r="B6709" s="55" t="s">
        <v>280</v>
      </c>
      <c r="C6709" s="46">
        <v>1697</v>
      </c>
      <c r="D6709" s="69" t="s">
        <v>29417</v>
      </c>
      <c r="E6709" s="51"/>
      <c r="F6709" s="114" t="str">
        <f>IF(INDEX(I.Facility.P2aIDNumber,1697)="","",INDEX(I.Facility.P2aIDNumber,1697))</f>
        <v/>
      </c>
      <c r="G6709" s="51"/>
      <c r="H6709" s="46" t="str">
        <f>IF(AND(I.Developer.P2a=TRUE,I.Facility.P2aFacilityCount&gt;=1697,F6709=""),"Incomplete","Complete")</f>
        <v>Complete</v>
      </c>
      <c r="I6709" s="48" t="s">
        <v>11074</v>
      </c>
    </row>
    <row r="6710" spans="2:9" ht="15" customHeight="1" x14ac:dyDescent="0.25">
      <c r="B6710" s="55" t="s">
        <v>280</v>
      </c>
      <c r="C6710" s="46">
        <v>1698</v>
      </c>
      <c r="D6710" s="69" t="s">
        <v>29417</v>
      </c>
      <c r="E6710" s="51"/>
      <c r="F6710" s="114" t="str">
        <f>IF(INDEX(I.Facility.P2aIDNumber,1698)="","",INDEX(I.Facility.P2aIDNumber,1698))</f>
        <v/>
      </c>
      <c r="G6710" s="51"/>
      <c r="H6710" s="46" t="str">
        <f>IF(AND(I.Developer.P2a=TRUE,I.Facility.P2aFacilityCount&gt;=1698,F6710=""),"Incomplete","Complete")</f>
        <v>Complete</v>
      </c>
      <c r="I6710" s="48" t="s">
        <v>11075</v>
      </c>
    </row>
    <row r="6711" spans="2:9" ht="15" customHeight="1" x14ac:dyDescent="0.25">
      <c r="B6711" s="55" t="s">
        <v>280</v>
      </c>
      <c r="C6711" s="46">
        <v>1699</v>
      </c>
      <c r="D6711" s="69" t="s">
        <v>29417</v>
      </c>
      <c r="E6711" s="51"/>
      <c r="F6711" s="114" t="str">
        <f>IF(INDEX(I.Facility.P2aIDNumber,1699)="","",INDEX(I.Facility.P2aIDNumber,1699))</f>
        <v/>
      </c>
      <c r="G6711" s="51"/>
      <c r="H6711" s="46" t="str">
        <f>IF(AND(I.Developer.P2a=TRUE,I.Facility.P2aFacilityCount&gt;=1699,F6711=""),"Incomplete","Complete")</f>
        <v>Complete</v>
      </c>
      <c r="I6711" s="48" t="s">
        <v>11076</v>
      </c>
    </row>
    <row r="6712" spans="2:9" ht="15" customHeight="1" x14ac:dyDescent="0.25">
      <c r="B6712" s="55" t="s">
        <v>280</v>
      </c>
      <c r="C6712" s="46">
        <v>1700</v>
      </c>
      <c r="D6712" s="69" t="s">
        <v>29417</v>
      </c>
      <c r="E6712" s="51"/>
      <c r="F6712" s="114" t="str">
        <f>IF(INDEX(I.Facility.P2aIDNumber,1700)="","",INDEX(I.Facility.P2aIDNumber,1700))</f>
        <v/>
      </c>
      <c r="G6712" s="51"/>
      <c r="H6712" s="46" t="str">
        <f>IF(AND(I.Developer.P2a=TRUE,I.Facility.P2aFacilityCount&gt;=1700,F6712=""),"Incomplete","Complete")</f>
        <v>Complete</v>
      </c>
      <c r="I6712" s="48" t="s">
        <v>11077</v>
      </c>
    </row>
    <row r="6713" spans="2:9" ht="15" customHeight="1" x14ac:dyDescent="0.25">
      <c r="B6713" s="55" t="s">
        <v>280</v>
      </c>
      <c r="C6713" s="46">
        <v>1701</v>
      </c>
      <c r="D6713" s="69" t="s">
        <v>29417</v>
      </c>
      <c r="E6713" s="51"/>
      <c r="F6713" s="114" t="str">
        <f>IF(INDEX(I.Facility.P2aIDNumber,1701)="","",INDEX(I.Facility.P2aIDNumber,1701))</f>
        <v/>
      </c>
      <c r="G6713" s="51"/>
      <c r="H6713" s="46" t="str">
        <f>IF(AND(I.Developer.P2a=TRUE,I.Facility.P2aFacilityCount&gt;=1701,F6713=""),"Incomplete","Complete")</f>
        <v>Complete</v>
      </c>
      <c r="I6713" s="48" t="s">
        <v>11078</v>
      </c>
    </row>
    <row r="6714" spans="2:9" ht="15" customHeight="1" x14ac:dyDescent="0.25">
      <c r="B6714" s="55" t="s">
        <v>280</v>
      </c>
      <c r="C6714" s="46">
        <v>1702</v>
      </c>
      <c r="D6714" s="69" t="s">
        <v>29417</v>
      </c>
      <c r="E6714" s="51"/>
      <c r="F6714" s="114" t="str">
        <f>IF(INDEX(I.Facility.P2aIDNumber,1702)="","",INDEX(I.Facility.P2aIDNumber,1702))</f>
        <v/>
      </c>
      <c r="G6714" s="51"/>
      <c r="H6714" s="46" t="str">
        <f>IF(AND(I.Developer.P2a=TRUE,I.Facility.P2aFacilityCount&gt;=1702,F6714=""),"Incomplete","Complete")</f>
        <v>Complete</v>
      </c>
      <c r="I6714" s="48" t="s">
        <v>11079</v>
      </c>
    </row>
    <row r="6715" spans="2:9" ht="15" customHeight="1" x14ac:dyDescent="0.25">
      <c r="B6715" s="55" t="s">
        <v>280</v>
      </c>
      <c r="C6715" s="46">
        <v>1703</v>
      </c>
      <c r="D6715" s="69" t="s">
        <v>29417</v>
      </c>
      <c r="E6715" s="51"/>
      <c r="F6715" s="114" t="str">
        <f>IF(INDEX(I.Facility.P2aIDNumber,1703)="","",INDEX(I.Facility.P2aIDNumber,1703))</f>
        <v/>
      </c>
      <c r="G6715" s="51"/>
      <c r="H6715" s="46" t="str">
        <f>IF(AND(I.Developer.P2a=TRUE,I.Facility.P2aFacilityCount&gt;=1703,F6715=""),"Incomplete","Complete")</f>
        <v>Complete</v>
      </c>
      <c r="I6715" s="48" t="s">
        <v>11080</v>
      </c>
    </row>
    <row r="6716" spans="2:9" ht="15" customHeight="1" x14ac:dyDescent="0.25">
      <c r="B6716" s="55" t="s">
        <v>280</v>
      </c>
      <c r="C6716" s="46">
        <v>1704</v>
      </c>
      <c r="D6716" s="69" t="s">
        <v>29417</v>
      </c>
      <c r="E6716" s="51"/>
      <c r="F6716" s="114" t="str">
        <f>IF(INDEX(I.Facility.P2aIDNumber,1704)="","",INDEX(I.Facility.P2aIDNumber,1704))</f>
        <v/>
      </c>
      <c r="G6716" s="51"/>
      <c r="H6716" s="46" t="str">
        <f>IF(AND(I.Developer.P2a=TRUE,I.Facility.P2aFacilityCount&gt;=1704,F6716=""),"Incomplete","Complete")</f>
        <v>Complete</v>
      </c>
      <c r="I6716" s="48" t="s">
        <v>11081</v>
      </c>
    </row>
    <row r="6717" spans="2:9" ht="15" customHeight="1" x14ac:dyDescent="0.25">
      <c r="B6717" s="55" t="s">
        <v>280</v>
      </c>
      <c r="C6717" s="46">
        <v>1705</v>
      </c>
      <c r="D6717" s="69" t="s">
        <v>29417</v>
      </c>
      <c r="E6717" s="51"/>
      <c r="F6717" s="114" t="str">
        <f>IF(INDEX(I.Facility.P2aIDNumber,1705)="","",INDEX(I.Facility.P2aIDNumber,1705))</f>
        <v/>
      </c>
      <c r="G6717" s="51"/>
      <c r="H6717" s="46" t="str">
        <f>IF(AND(I.Developer.P2a=TRUE,I.Facility.P2aFacilityCount&gt;=1705,F6717=""),"Incomplete","Complete")</f>
        <v>Complete</v>
      </c>
      <c r="I6717" s="48" t="s">
        <v>11082</v>
      </c>
    </row>
    <row r="6718" spans="2:9" ht="15" customHeight="1" x14ac:dyDescent="0.25">
      <c r="B6718" s="55" t="s">
        <v>280</v>
      </c>
      <c r="C6718" s="46">
        <v>1706</v>
      </c>
      <c r="D6718" s="69" t="s">
        <v>29417</v>
      </c>
      <c r="E6718" s="51"/>
      <c r="F6718" s="114" t="str">
        <f>IF(INDEX(I.Facility.P2aIDNumber,1706)="","",INDEX(I.Facility.P2aIDNumber,1706))</f>
        <v/>
      </c>
      <c r="G6718" s="51"/>
      <c r="H6718" s="46" t="str">
        <f>IF(AND(I.Developer.P2a=TRUE,I.Facility.P2aFacilityCount&gt;=1706,F6718=""),"Incomplete","Complete")</f>
        <v>Complete</v>
      </c>
      <c r="I6718" s="48" t="s">
        <v>11083</v>
      </c>
    </row>
    <row r="6719" spans="2:9" ht="15" customHeight="1" x14ac:dyDescent="0.25">
      <c r="B6719" s="55" t="s">
        <v>280</v>
      </c>
      <c r="C6719" s="46">
        <v>1707</v>
      </c>
      <c r="D6719" s="69" t="s">
        <v>29417</v>
      </c>
      <c r="E6719" s="51"/>
      <c r="F6719" s="114" t="str">
        <f>IF(INDEX(I.Facility.P2aIDNumber,1707)="","",INDEX(I.Facility.P2aIDNumber,1707))</f>
        <v/>
      </c>
      <c r="G6719" s="51"/>
      <c r="H6719" s="46" t="str">
        <f>IF(AND(I.Developer.P2a=TRUE,I.Facility.P2aFacilityCount&gt;=1707,F6719=""),"Incomplete","Complete")</f>
        <v>Complete</v>
      </c>
      <c r="I6719" s="48" t="s">
        <v>11084</v>
      </c>
    </row>
    <row r="6720" spans="2:9" ht="15" customHeight="1" x14ac:dyDescent="0.25">
      <c r="B6720" s="55" t="s">
        <v>280</v>
      </c>
      <c r="C6720" s="46">
        <v>1708</v>
      </c>
      <c r="D6720" s="69" t="s">
        <v>29417</v>
      </c>
      <c r="E6720" s="51"/>
      <c r="F6720" s="114" t="str">
        <f>IF(INDEX(I.Facility.P2aIDNumber,1708)="","",INDEX(I.Facility.P2aIDNumber,1708))</f>
        <v/>
      </c>
      <c r="G6720" s="51"/>
      <c r="H6720" s="46" t="str">
        <f>IF(AND(I.Developer.P2a=TRUE,I.Facility.P2aFacilityCount&gt;=1708,F6720=""),"Incomplete","Complete")</f>
        <v>Complete</v>
      </c>
      <c r="I6720" s="48" t="s">
        <v>11085</v>
      </c>
    </row>
    <row r="6721" spans="2:9" ht="15" customHeight="1" x14ac:dyDescent="0.25">
      <c r="B6721" s="55" t="s">
        <v>280</v>
      </c>
      <c r="C6721" s="46">
        <v>1709</v>
      </c>
      <c r="D6721" s="69" t="s">
        <v>29417</v>
      </c>
      <c r="E6721" s="51"/>
      <c r="F6721" s="114" t="str">
        <f>IF(INDEX(I.Facility.P2aIDNumber,1709)="","",INDEX(I.Facility.P2aIDNumber,1709))</f>
        <v/>
      </c>
      <c r="G6721" s="51"/>
      <c r="H6721" s="46" t="str">
        <f>IF(AND(I.Developer.P2a=TRUE,I.Facility.P2aFacilityCount&gt;=1709,F6721=""),"Incomplete","Complete")</f>
        <v>Complete</v>
      </c>
      <c r="I6721" s="48" t="s">
        <v>11086</v>
      </c>
    </row>
    <row r="6722" spans="2:9" ht="15" customHeight="1" x14ac:dyDescent="0.25">
      <c r="B6722" s="55" t="s">
        <v>280</v>
      </c>
      <c r="C6722" s="46">
        <v>1710</v>
      </c>
      <c r="D6722" s="69" t="s">
        <v>29417</v>
      </c>
      <c r="E6722" s="51"/>
      <c r="F6722" s="114" t="str">
        <f>IF(INDEX(I.Facility.P2aIDNumber,1710)="","",INDEX(I.Facility.P2aIDNumber,1710))</f>
        <v/>
      </c>
      <c r="G6722" s="51"/>
      <c r="H6722" s="46" t="str">
        <f>IF(AND(I.Developer.P2a=TRUE,I.Facility.P2aFacilityCount&gt;=1710,F6722=""),"Incomplete","Complete")</f>
        <v>Complete</v>
      </c>
      <c r="I6722" s="48" t="s">
        <v>11087</v>
      </c>
    </row>
    <row r="6723" spans="2:9" ht="15" customHeight="1" x14ac:dyDescent="0.25">
      <c r="B6723" s="55" t="s">
        <v>280</v>
      </c>
      <c r="C6723" s="46">
        <v>1711</v>
      </c>
      <c r="D6723" s="69" t="s">
        <v>29417</v>
      </c>
      <c r="E6723" s="51"/>
      <c r="F6723" s="114" t="str">
        <f>IF(INDEX(I.Facility.P2aIDNumber,1711)="","",INDEX(I.Facility.P2aIDNumber,1711))</f>
        <v/>
      </c>
      <c r="G6723" s="51"/>
      <c r="H6723" s="46" t="str">
        <f>IF(AND(I.Developer.P2a=TRUE,I.Facility.P2aFacilityCount&gt;=1711,F6723=""),"Incomplete","Complete")</f>
        <v>Complete</v>
      </c>
      <c r="I6723" s="48" t="s">
        <v>11088</v>
      </c>
    </row>
    <row r="6724" spans="2:9" ht="15" customHeight="1" x14ac:dyDescent="0.25">
      <c r="B6724" s="55" t="s">
        <v>280</v>
      </c>
      <c r="C6724" s="46">
        <v>1712</v>
      </c>
      <c r="D6724" s="69" t="s">
        <v>29417</v>
      </c>
      <c r="E6724" s="51"/>
      <c r="F6724" s="114" t="str">
        <f>IF(INDEX(I.Facility.P2aIDNumber,1712)="","",INDEX(I.Facility.P2aIDNumber,1712))</f>
        <v/>
      </c>
      <c r="G6724" s="51"/>
      <c r="H6724" s="46" t="str">
        <f>IF(AND(I.Developer.P2a=TRUE,I.Facility.P2aFacilityCount&gt;=1712,F6724=""),"Incomplete","Complete")</f>
        <v>Complete</v>
      </c>
      <c r="I6724" s="48" t="s">
        <v>11089</v>
      </c>
    </row>
    <row r="6725" spans="2:9" ht="15" customHeight="1" x14ac:dyDescent="0.25">
      <c r="B6725" s="55" t="s">
        <v>280</v>
      </c>
      <c r="C6725" s="46">
        <v>1713</v>
      </c>
      <c r="D6725" s="69" t="s">
        <v>29417</v>
      </c>
      <c r="E6725" s="51"/>
      <c r="F6725" s="114" t="str">
        <f>IF(INDEX(I.Facility.P2aIDNumber,1713)="","",INDEX(I.Facility.P2aIDNumber,1713))</f>
        <v/>
      </c>
      <c r="G6725" s="51"/>
      <c r="H6725" s="46" t="str">
        <f>IF(AND(I.Developer.P2a=TRUE,I.Facility.P2aFacilityCount&gt;=1713,F6725=""),"Incomplete","Complete")</f>
        <v>Complete</v>
      </c>
      <c r="I6725" s="48" t="s">
        <v>11090</v>
      </c>
    </row>
    <row r="6726" spans="2:9" ht="15" customHeight="1" x14ac:dyDescent="0.25">
      <c r="B6726" s="55" t="s">
        <v>280</v>
      </c>
      <c r="C6726" s="46">
        <v>1714</v>
      </c>
      <c r="D6726" s="69" t="s">
        <v>29417</v>
      </c>
      <c r="E6726" s="51"/>
      <c r="F6726" s="114" t="str">
        <f>IF(INDEX(I.Facility.P2aIDNumber,1714)="","",INDEX(I.Facility.P2aIDNumber,1714))</f>
        <v/>
      </c>
      <c r="G6726" s="51"/>
      <c r="H6726" s="46" t="str">
        <f>IF(AND(I.Developer.P2a=TRUE,I.Facility.P2aFacilityCount&gt;=1714,F6726=""),"Incomplete","Complete")</f>
        <v>Complete</v>
      </c>
      <c r="I6726" s="48" t="s">
        <v>11091</v>
      </c>
    </row>
    <row r="6727" spans="2:9" ht="15" customHeight="1" x14ac:dyDescent="0.25">
      <c r="B6727" s="55" t="s">
        <v>280</v>
      </c>
      <c r="C6727" s="46">
        <v>1715</v>
      </c>
      <c r="D6727" s="69" t="s">
        <v>29417</v>
      </c>
      <c r="E6727" s="51"/>
      <c r="F6727" s="114" t="str">
        <f>IF(INDEX(I.Facility.P2aIDNumber,1715)="","",INDEX(I.Facility.P2aIDNumber,1715))</f>
        <v/>
      </c>
      <c r="G6727" s="51"/>
      <c r="H6727" s="46" t="str">
        <f>IF(AND(I.Developer.P2a=TRUE,I.Facility.P2aFacilityCount&gt;=1715,F6727=""),"Incomplete","Complete")</f>
        <v>Complete</v>
      </c>
      <c r="I6727" s="48" t="s">
        <v>11092</v>
      </c>
    </row>
    <row r="6728" spans="2:9" ht="15" customHeight="1" x14ac:dyDescent="0.25">
      <c r="B6728" s="55" t="s">
        <v>280</v>
      </c>
      <c r="C6728" s="46">
        <v>1716</v>
      </c>
      <c r="D6728" s="69" t="s">
        <v>29417</v>
      </c>
      <c r="E6728" s="51"/>
      <c r="F6728" s="114" t="str">
        <f>IF(INDEX(I.Facility.P2aIDNumber,1716)="","",INDEX(I.Facility.P2aIDNumber,1716))</f>
        <v/>
      </c>
      <c r="G6728" s="51"/>
      <c r="H6728" s="46" t="str">
        <f>IF(AND(I.Developer.P2a=TRUE,I.Facility.P2aFacilityCount&gt;=1716,F6728=""),"Incomplete","Complete")</f>
        <v>Complete</v>
      </c>
      <c r="I6728" s="48" t="s">
        <v>11093</v>
      </c>
    </row>
    <row r="6729" spans="2:9" ht="15" customHeight="1" x14ac:dyDescent="0.25">
      <c r="B6729" s="55" t="s">
        <v>280</v>
      </c>
      <c r="C6729" s="46">
        <v>1717</v>
      </c>
      <c r="D6729" s="69" t="s">
        <v>29417</v>
      </c>
      <c r="E6729" s="51"/>
      <c r="F6729" s="114" t="str">
        <f>IF(INDEX(I.Facility.P2aIDNumber,1717)="","",INDEX(I.Facility.P2aIDNumber,1717))</f>
        <v/>
      </c>
      <c r="G6729" s="51"/>
      <c r="H6729" s="46" t="str">
        <f>IF(AND(I.Developer.P2a=TRUE,I.Facility.P2aFacilityCount&gt;=1717,F6729=""),"Incomplete","Complete")</f>
        <v>Complete</v>
      </c>
      <c r="I6729" s="48" t="s">
        <v>11094</v>
      </c>
    </row>
    <row r="6730" spans="2:9" ht="15" customHeight="1" x14ac:dyDescent="0.25">
      <c r="B6730" s="55" t="s">
        <v>280</v>
      </c>
      <c r="C6730" s="46">
        <v>1718</v>
      </c>
      <c r="D6730" s="69" t="s">
        <v>29417</v>
      </c>
      <c r="E6730" s="51"/>
      <c r="F6730" s="114" t="str">
        <f>IF(INDEX(I.Facility.P2aIDNumber,1718)="","",INDEX(I.Facility.P2aIDNumber,1718))</f>
        <v/>
      </c>
      <c r="G6730" s="51"/>
      <c r="H6730" s="46" t="str">
        <f>IF(AND(I.Developer.P2a=TRUE,I.Facility.P2aFacilityCount&gt;=1718,F6730=""),"Incomplete","Complete")</f>
        <v>Complete</v>
      </c>
      <c r="I6730" s="48" t="s">
        <v>11095</v>
      </c>
    </row>
    <row r="6731" spans="2:9" ht="15" customHeight="1" x14ac:dyDescent="0.25">
      <c r="B6731" s="55" t="s">
        <v>280</v>
      </c>
      <c r="C6731" s="46">
        <v>1719</v>
      </c>
      <c r="D6731" s="69" t="s">
        <v>29417</v>
      </c>
      <c r="E6731" s="51"/>
      <c r="F6731" s="114" t="str">
        <f>IF(INDEX(I.Facility.P2aIDNumber,1719)="","",INDEX(I.Facility.P2aIDNumber,1719))</f>
        <v/>
      </c>
      <c r="G6731" s="51"/>
      <c r="H6731" s="46" t="str">
        <f>IF(AND(I.Developer.P2a=TRUE,I.Facility.P2aFacilityCount&gt;=1719,F6731=""),"Incomplete","Complete")</f>
        <v>Complete</v>
      </c>
      <c r="I6731" s="48" t="s">
        <v>11096</v>
      </c>
    </row>
    <row r="6732" spans="2:9" ht="15" customHeight="1" x14ac:dyDescent="0.25">
      <c r="B6732" s="55" t="s">
        <v>280</v>
      </c>
      <c r="C6732" s="46">
        <v>1720</v>
      </c>
      <c r="D6732" s="69" t="s">
        <v>29417</v>
      </c>
      <c r="E6732" s="51"/>
      <c r="F6732" s="114" t="str">
        <f>IF(INDEX(I.Facility.P2aIDNumber,1720)="","",INDEX(I.Facility.P2aIDNumber,1720))</f>
        <v/>
      </c>
      <c r="G6732" s="51"/>
      <c r="H6732" s="46" t="str">
        <f>IF(AND(I.Developer.P2a=TRUE,I.Facility.P2aFacilityCount&gt;=1720,F6732=""),"Incomplete","Complete")</f>
        <v>Complete</v>
      </c>
      <c r="I6732" s="48" t="s">
        <v>11097</v>
      </c>
    </row>
    <row r="6733" spans="2:9" ht="15" customHeight="1" x14ac:dyDescent="0.25">
      <c r="B6733" s="55" t="s">
        <v>280</v>
      </c>
      <c r="C6733" s="46">
        <v>1721</v>
      </c>
      <c r="D6733" s="69" t="s">
        <v>29417</v>
      </c>
      <c r="E6733" s="51"/>
      <c r="F6733" s="114" t="str">
        <f>IF(INDEX(I.Facility.P2aIDNumber,1721)="","",INDEX(I.Facility.P2aIDNumber,1721))</f>
        <v/>
      </c>
      <c r="G6733" s="51"/>
      <c r="H6733" s="46" t="str">
        <f>IF(AND(I.Developer.P2a=TRUE,I.Facility.P2aFacilityCount&gt;=1721,F6733=""),"Incomplete","Complete")</f>
        <v>Complete</v>
      </c>
      <c r="I6733" s="48" t="s">
        <v>11098</v>
      </c>
    </row>
    <row r="6734" spans="2:9" ht="15" customHeight="1" x14ac:dyDescent="0.25">
      <c r="B6734" s="55" t="s">
        <v>280</v>
      </c>
      <c r="C6734" s="46">
        <v>1722</v>
      </c>
      <c r="D6734" s="69" t="s">
        <v>29417</v>
      </c>
      <c r="E6734" s="51"/>
      <c r="F6734" s="114" t="str">
        <f>IF(INDEX(I.Facility.P2aIDNumber,1722)="","",INDEX(I.Facility.P2aIDNumber,1722))</f>
        <v/>
      </c>
      <c r="G6734" s="51"/>
      <c r="H6734" s="46" t="str">
        <f>IF(AND(I.Developer.P2a=TRUE,I.Facility.P2aFacilityCount&gt;=1722,F6734=""),"Incomplete","Complete")</f>
        <v>Complete</v>
      </c>
      <c r="I6734" s="48" t="s">
        <v>11099</v>
      </c>
    </row>
    <row r="6735" spans="2:9" ht="15" customHeight="1" x14ac:dyDescent="0.25">
      <c r="B6735" s="55" t="s">
        <v>280</v>
      </c>
      <c r="C6735" s="46">
        <v>1723</v>
      </c>
      <c r="D6735" s="69" t="s">
        <v>29417</v>
      </c>
      <c r="E6735" s="51"/>
      <c r="F6735" s="114" t="str">
        <f>IF(INDEX(I.Facility.P2aIDNumber,1723)="","",INDEX(I.Facility.P2aIDNumber,1723))</f>
        <v/>
      </c>
      <c r="G6735" s="51"/>
      <c r="H6735" s="46" t="str">
        <f>IF(AND(I.Developer.P2a=TRUE,I.Facility.P2aFacilityCount&gt;=1723,F6735=""),"Incomplete","Complete")</f>
        <v>Complete</v>
      </c>
      <c r="I6735" s="48" t="s">
        <v>11100</v>
      </c>
    </row>
    <row r="6736" spans="2:9" ht="15" customHeight="1" x14ac:dyDescent="0.25">
      <c r="B6736" s="55" t="s">
        <v>280</v>
      </c>
      <c r="C6736" s="46">
        <v>1724</v>
      </c>
      <c r="D6736" s="69" t="s">
        <v>29417</v>
      </c>
      <c r="E6736" s="51"/>
      <c r="F6736" s="114" t="str">
        <f>IF(INDEX(I.Facility.P2aIDNumber,1724)="","",INDEX(I.Facility.P2aIDNumber,1724))</f>
        <v/>
      </c>
      <c r="G6736" s="51"/>
      <c r="H6736" s="46" t="str">
        <f>IF(AND(I.Developer.P2a=TRUE,I.Facility.P2aFacilityCount&gt;=1724,F6736=""),"Incomplete","Complete")</f>
        <v>Complete</v>
      </c>
      <c r="I6736" s="48" t="s">
        <v>11101</v>
      </c>
    </row>
    <row r="6737" spans="2:9" ht="15" customHeight="1" x14ac:dyDescent="0.25">
      <c r="B6737" s="55" t="s">
        <v>280</v>
      </c>
      <c r="C6737" s="46">
        <v>1725</v>
      </c>
      <c r="D6737" s="69" t="s">
        <v>29417</v>
      </c>
      <c r="E6737" s="51"/>
      <c r="F6737" s="114" t="str">
        <f>IF(INDEX(I.Facility.P2aIDNumber,1725)="","",INDEX(I.Facility.P2aIDNumber,1725))</f>
        <v/>
      </c>
      <c r="G6737" s="51"/>
      <c r="H6737" s="46" t="str">
        <f>IF(AND(I.Developer.P2a=TRUE,I.Facility.P2aFacilityCount&gt;=1725,F6737=""),"Incomplete","Complete")</f>
        <v>Complete</v>
      </c>
      <c r="I6737" s="48" t="s">
        <v>11102</v>
      </c>
    </row>
    <row r="6738" spans="2:9" ht="15" customHeight="1" x14ac:dyDescent="0.25">
      <c r="B6738" s="55" t="s">
        <v>280</v>
      </c>
      <c r="C6738" s="46">
        <v>1726</v>
      </c>
      <c r="D6738" s="69" t="s">
        <v>29417</v>
      </c>
      <c r="E6738" s="51"/>
      <c r="F6738" s="114" t="str">
        <f>IF(INDEX(I.Facility.P2aIDNumber,1726)="","",INDEX(I.Facility.P2aIDNumber,1726))</f>
        <v/>
      </c>
      <c r="G6738" s="51"/>
      <c r="H6738" s="46" t="str">
        <f>IF(AND(I.Developer.P2a=TRUE,I.Facility.P2aFacilityCount&gt;=1726,F6738=""),"Incomplete","Complete")</f>
        <v>Complete</v>
      </c>
      <c r="I6738" s="48" t="s">
        <v>11103</v>
      </c>
    </row>
    <row r="6739" spans="2:9" ht="15" customHeight="1" x14ac:dyDescent="0.25">
      <c r="B6739" s="55" t="s">
        <v>280</v>
      </c>
      <c r="C6739" s="46">
        <v>1727</v>
      </c>
      <c r="D6739" s="69" t="s">
        <v>29417</v>
      </c>
      <c r="E6739" s="51"/>
      <c r="F6739" s="114" t="str">
        <f>IF(INDEX(I.Facility.P2aIDNumber,1727)="","",INDEX(I.Facility.P2aIDNumber,1727))</f>
        <v/>
      </c>
      <c r="G6739" s="51"/>
      <c r="H6739" s="46" t="str">
        <f>IF(AND(I.Developer.P2a=TRUE,I.Facility.P2aFacilityCount&gt;=1727,F6739=""),"Incomplete","Complete")</f>
        <v>Complete</v>
      </c>
      <c r="I6739" s="48" t="s">
        <v>11104</v>
      </c>
    </row>
    <row r="6740" spans="2:9" ht="15" customHeight="1" x14ac:dyDescent="0.25">
      <c r="B6740" s="55" t="s">
        <v>280</v>
      </c>
      <c r="C6740" s="46">
        <v>1728</v>
      </c>
      <c r="D6740" s="69" t="s">
        <v>29417</v>
      </c>
      <c r="E6740" s="51"/>
      <c r="F6740" s="114" t="str">
        <f>IF(INDEX(I.Facility.P2aIDNumber,1728)="","",INDEX(I.Facility.P2aIDNumber,1728))</f>
        <v/>
      </c>
      <c r="G6740" s="51"/>
      <c r="H6740" s="46" t="str">
        <f>IF(AND(I.Developer.P2a=TRUE,I.Facility.P2aFacilityCount&gt;=1728,F6740=""),"Incomplete","Complete")</f>
        <v>Complete</v>
      </c>
      <c r="I6740" s="48" t="s">
        <v>11105</v>
      </c>
    </row>
    <row r="6741" spans="2:9" ht="15" customHeight="1" x14ac:dyDescent="0.25">
      <c r="B6741" s="55" t="s">
        <v>280</v>
      </c>
      <c r="C6741" s="46">
        <v>1729</v>
      </c>
      <c r="D6741" s="69" t="s">
        <v>29417</v>
      </c>
      <c r="E6741" s="51"/>
      <c r="F6741" s="114" t="str">
        <f>IF(INDEX(I.Facility.P2aIDNumber,1729)="","",INDEX(I.Facility.P2aIDNumber,1729))</f>
        <v/>
      </c>
      <c r="G6741" s="51"/>
      <c r="H6741" s="46" t="str">
        <f>IF(AND(I.Developer.P2a=TRUE,I.Facility.P2aFacilityCount&gt;=1729,F6741=""),"Incomplete","Complete")</f>
        <v>Complete</v>
      </c>
      <c r="I6741" s="48" t="s">
        <v>11106</v>
      </c>
    </row>
    <row r="6742" spans="2:9" ht="15" customHeight="1" x14ac:dyDescent="0.25">
      <c r="B6742" s="55" t="s">
        <v>280</v>
      </c>
      <c r="C6742" s="46">
        <v>1730</v>
      </c>
      <c r="D6742" s="69" t="s">
        <v>29417</v>
      </c>
      <c r="E6742" s="51"/>
      <c r="F6742" s="114" t="str">
        <f>IF(INDEX(I.Facility.P2aIDNumber,1730)="","",INDEX(I.Facility.P2aIDNumber,1730))</f>
        <v/>
      </c>
      <c r="G6742" s="51"/>
      <c r="H6742" s="46" t="str">
        <f>IF(AND(I.Developer.P2a=TRUE,I.Facility.P2aFacilityCount&gt;=1730,F6742=""),"Incomplete","Complete")</f>
        <v>Complete</v>
      </c>
      <c r="I6742" s="48" t="s">
        <v>11107</v>
      </c>
    </row>
    <row r="6743" spans="2:9" ht="15" customHeight="1" x14ac:dyDescent="0.25">
      <c r="B6743" s="55" t="s">
        <v>280</v>
      </c>
      <c r="C6743" s="46">
        <v>1731</v>
      </c>
      <c r="D6743" s="69" t="s">
        <v>29417</v>
      </c>
      <c r="E6743" s="51"/>
      <c r="F6743" s="114" t="str">
        <f>IF(INDEX(I.Facility.P2aIDNumber,1731)="","",INDEX(I.Facility.P2aIDNumber,1731))</f>
        <v/>
      </c>
      <c r="G6743" s="51"/>
      <c r="H6743" s="46" t="str">
        <f>IF(AND(I.Developer.P2a=TRUE,I.Facility.P2aFacilityCount&gt;=1731,F6743=""),"Incomplete","Complete")</f>
        <v>Complete</v>
      </c>
      <c r="I6743" s="48" t="s">
        <v>11108</v>
      </c>
    </row>
    <row r="6744" spans="2:9" ht="15" customHeight="1" x14ac:dyDescent="0.25">
      <c r="B6744" s="55" t="s">
        <v>280</v>
      </c>
      <c r="C6744" s="46">
        <v>1732</v>
      </c>
      <c r="D6744" s="69" t="s">
        <v>29417</v>
      </c>
      <c r="E6744" s="51"/>
      <c r="F6744" s="114" t="str">
        <f>IF(INDEX(I.Facility.P2aIDNumber,1732)="","",INDEX(I.Facility.P2aIDNumber,1732))</f>
        <v/>
      </c>
      <c r="G6744" s="51"/>
      <c r="H6744" s="46" t="str">
        <f>IF(AND(I.Developer.P2a=TRUE,I.Facility.P2aFacilityCount&gt;=1732,F6744=""),"Incomplete","Complete")</f>
        <v>Complete</v>
      </c>
      <c r="I6744" s="48" t="s">
        <v>11109</v>
      </c>
    </row>
    <row r="6745" spans="2:9" ht="15" customHeight="1" x14ac:dyDescent="0.25">
      <c r="B6745" s="55" t="s">
        <v>280</v>
      </c>
      <c r="C6745" s="46">
        <v>1733</v>
      </c>
      <c r="D6745" s="69" t="s">
        <v>29417</v>
      </c>
      <c r="E6745" s="51"/>
      <c r="F6745" s="114" t="str">
        <f>IF(INDEX(I.Facility.P2aIDNumber,1733)="","",INDEX(I.Facility.P2aIDNumber,1733))</f>
        <v/>
      </c>
      <c r="G6745" s="51"/>
      <c r="H6745" s="46" t="str">
        <f>IF(AND(I.Developer.P2a=TRUE,I.Facility.P2aFacilityCount&gt;=1733,F6745=""),"Incomplete","Complete")</f>
        <v>Complete</v>
      </c>
      <c r="I6745" s="48" t="s">
        <v>11110</v>
      </c>
    </row>
    <row r="6746" spans="2:9" ht="15" customHeight="1" x14ac:dyDescent="0.25">
      <c r="B6746" s="55" t="s">
        <v>280</v>
      </c>
      <c r="C6746" s="46">
        <v>1734</v>
      </c>
      <c r="D6746" s="69" t="s">
        <v>29417</v>
      </c>
      <c r="E6746" s="51"/>
      <c r="F6746" s="114" t="str">
        <f>IF(INDEX(I.Facility.P2aIDNumber,1734)="","",INDEX(I.Facility.P2aIDNumber,1734))</f>
        <v/>
      </c>
      <c r="G6746" s="51"/>
      <c r="H6746" s="46" t="str">
        <f>IF(AND(I.Developer.P2a=TRUE,I.Facility.P2aFacilityCount&gt;=1734,F6746=""),"Incomplete","Complete")</f>
        <v>Complete</v>
      </c>
      <c r="I6746" s="48" t="s">
        <v>11111</v>
      </c>
    </row>
    <row r="6747" spans="2:9" ht="15" customHeight="1" x14ac:dyDescent="0.25">
      <c r="B6747" s="55" t="s">
        <v>280</v>
      </c>
      <c r="C6747" s="46">
        <v>1735</v>
      </c>
      <c r="D6747" s="69" t="s">
        <v>29417</v>
      </c>
      <c r="E6747" s="51"/>
      <c r="F6747" s="114" t="str">
        <f>IF(INDEX(I.Facility.P2aIDNumber,1735)="","",INDEX(I.Facility.P2aIDNumber,1735))</f>
        <v/>
      </c>
      <c r="G6747" s="51"/>
      <c r="H6747" s="46" t="str">
        <f>IF(AND(I.Developer.P2a=TRUE,I.Facility.P2aFacilityCount&gt;=1735,F6747=""),"Incomplete","Complete")</f>
        <v>Complete</v>
      </c>
      <c r="I6747" s="48" t="s">
        <v>11112</v>
      </c>
    </row>
    <row r="6748" spans="2:9" ht="15" customHeight="1" x14ac:dyDescent="0.25">
      <c r="B6748" s="55" t="s">
        <v>280</v>
      </c>
      <c r="C6748" s="46">
        <v>1736</v>
      </c>
      <c r="D6748" s="69" t="s">
        <v>29417</v>
      </c>
      <c r="E6748" s="51"/>
      <c r="F6748" s="114" t="str">
        <f>IF(INDEX(I.Facility.P2aIDNumber,1736)="","",INDEX(I.Facility.P2aIDNumber,1736))</f>
        <v/>
      </c>
      <c r="G6748" s="51"/>
      <c r="H6748" s="46" t="str">
        <f>IF(AND(I.Developer.P2a=TRUE,I.Facility.P2aFacilityCount&gt;=1736,F6748=""),"Incomplete","Complete")</f>
        <v>Complete</v>
      </c>
      <c r="I6748" s="48" t="s">
        <v>11113</v>
      </c>
    </row>
    <row r="6749" spans="2:9" ht="15" customHeight="1" x14ac:dyDescent="0.25">
      <c r="B6749" s="55" t="s">
        <v>280</v>
      </c>
      <c r="C6749" s="46">
        <v>1737</v>
      </c>
      <c r="D6749" s="69" t="s">
        <v>29417</v>
      </c>
      <c r="E6749" s="51"/>
      <c r="F6749" s="114" t="str">
        <f>IF(INDEX(I.Facility.P2aIDNumber,1737)="","",INDEX(I.Facility.P2aIDNumber,1737))</f>
        <v/>
      </c>
      <c r="G6749" s="51"/>
      <c r="H6749" s="46" t="str">
        <f>IF(AND(I.Developer.P2a=TRUE,I.Facility.P2aFacilityCount&gt;=1737,F6749=""),"Incomplete","Complete")</f>
        <v>Complete</v>
      </c>
      <c r="I6749" s="48" t="s">
        <v>11114</v>
      </c>
    </row>
    <row r="6750" spans="2:9" ht="15" customHeight="1" x14ac:dyDescent="0.25">
      <c r="B6750" s="55" t="s">
        <v>280</v>
      </c>
      <c r="C6750" s="46">
        <v>1738</v>
      </c>
      <c r="D6750" s="69" t="s">
        <v>29417</v>
      </c>
      <c r="E6750" s="51"/>
      <c r="F6750" s="114" t="str">
        <f>IF(INDEX(I.Facility.P2aIDNumber,1738)="","",INDEX(I.Facility.P2aIDNumber,1738))</f>
        <v/>
      </c>
      <c r="G6750" s="51"/>
      <c r="H6750" s="46" t="str">
        <f>IF(AND(I.Developer.P2a=TRUE,I.Facility.P2aFacilityCount&gt;=1738,F6750=""),"Incomplete","Complete")</f>
        <v>Complete</v>
      </c>
      <c r="I6750" s="48" t="s">
        <v>11115</v>
      </c>
    </row>
    <row r="6751" spans="2:9" ht="15" customHeight="1" x14ac:dyDescent="0.25">
      <c r="B6751" s="55" t="s">
        <v>280</v>
      </c>
      <c r="C6751" s="46">
        <v>1739</v>
      </c>
      <c r="D6751" s="69" t="s">
        <v>29417</v>
      </c>
      <c r="E6751" s="51"/>
      <c r="F6751" s="114" t="str">
        <f>IF(INDEX(I.Facility.P2aIDNumber,1739)="","",INDEX(I.Facility.P2aIDNumber,1739))</f>
        <v/>
      </c>
      <c r="G6751" s="51"/>
      <c r="H6751" s="46" t="str">
        <f>IF(AND(I.Developer.P2a=TRUE,I.Facility.P2aFacilityCount&gt;=1739,F6751=""),"Incomplete","Complete")</f>
        <v>Complete</v>
      </c>
      <c r="I6751" s="48" t="s">
        <v>11116</v>
      </c>
    </row>
    <row r="6752" spans="2:9" ht="15" customHeight="1" x14ac:dyDescent="0.25">
      <c r="B6752" s="55" t="s">
        <v>280</v>
      </c>
      <c r="C6752" s="46">
        <v>1740</v>
      </c>
      <c r="D6752" s="69" t="s">
        <v>29417</v>
      </c>
      <c r="E6752" s="51"/>
      <c r="F6752" s="114" t="str">
        <f>IF(INDEX(I.Facility.P2aIDNumber,1740)="","",INDEX(I.Facility.P2aIDNumber,1740))</f>
        <v/>
      </c>
      <c r="G6752" s="51"/>
      <c r="H6752" s="46" t="str">
        <f>IF(AND(I.Developer.P2a=TRUE,I.Facility.P2aFacilityCount&gt;=1740,F6752=""),"Incomplete","Complete")</f>
        <v>Complete</v>
      </c>
      <c r="I6752" s="48" t="s">
        <v>11117</v>
      </c>
    </row>
    <row r="6753" spans="2:9" ht="15" customHeight="1" x14ac:dyDescent="0.25">
      <c r="B6753" s="55" t="s">
        <v>280</v>
      </c>
      <c r="C6753" s="46">
        <v>1741</v>
      </c>
      <c r="D6753" s="69" t="s">
        <v>29417</v>
      </c>
      <c r="E6753" s="51"/>
      <c r="F6753" s="114" t="str">
        <f>IF(INDEX(I.Facility.P2aIDNumber,1741)="","",INDEX(I.Facility.P2aIDNumber,1741))</f>
        <v/>
      </c>
      <c r="G6753" s="51"/>
      <c r="H6753" s="46" t="str">
        <f>IF(AND(I.Developer.P2a=TRUE,I.Facility.P2aFacilityCount&gt;=1741,F6753=""),"Incomplete","Complete")</f>
        <v>Complete</v>
      </c>
      <c r="I6753" s="48" t="s">
        <v>11118</v>
      </c>
    </row>
    <row r="6754" spans="2:9" ht="15" customHeight="1" x14ac:dyDescent="0.25">
      <c r="B6754" s="55" t="s">
        <v>280</v>
      </c>
      <c r="C6754" s="46">
        <v>1742</v>
      </c>
      <c r="D6754" s="69" t="s">
        <v>29417</v>
      </c>
      <c r="E6754" s="51"/>
      <c r="F6754" s="114" t="str">
        <f>IF(INDEX(I.Facility.P2aIDNumber,1742)="","",INDEX(I.Facility.P2aIDNumber,1742))</f>
        <v/>
      </c>
      <c r="G6754" s="51"/>
      <c r="H6754" s="46" t="str">
        <f>IF(AND(I.Developer.P2a=TRUE,I.Facility.P2aFacilityCount&gt;=1742,F6754=""),"Incomplete","Complete")</f>
        <v>Complete</v>
      </c>
      <c r="I6754" s="48" t="s">
        <v>11119</v>
      </c>
    </row>
    <row r="6755" spans="2:9" ht="15" customHeight="1" x14ac:dyDescent="0.25">
      <c r="B6755" s="55" t="s">
        <v>280</v>
      </c>
      <c r="C6755" s="46">
        <v>1743</v>
      </c>
      <c r="D6755" s="69" t="s">
        <v>29417</v>
      </c>
      <c r="E6755" s="51"/>
      <c r="F6755" s="114" t="str">
        <f>IF(INDEX(I.Facility.P2aIDNumber,1743)="","",INDEX(I.Facility.P2aIDNumber,1743))</f>
        <v/>
      </c>
      <c r="G6755" s="51"/>
      <c r="H6755" s="46" t="str">
        <f>IF(AND(I.Developer.P2a=TRUE,I.Facility.P2aFacilityCount&gt;=1743,F6755=""),"Incomplete","Complete")</f>
        <v>Complete</v>
      </c>
      <c r="I6755" s="48" t="s">
        <v>11120</v>
      </c>
    </row>
    <row r="6756" spans="2:9" ht="15" customHeight="1" x14ac:dyDescent="0.25">
      <c r="B6756" s="55" t="s">
        <v>280</v>
      </c>
      <c r="C6756" s="46">
        <v>1744</v>
      </c>
      <c r="D6756" s="69" t="s">
        <v>29417</v>
      </c>
      <c r="E6756" s="51"/>
      <c r="F6756" s="114" t="str">
        <f>IF(INDEX(I.Facility.P2aIDNumber,1744)="","",INDEX(I.Facility.P2aIDNumber,1744))</f>
        <v/>
      </c>
      <c r="G6756" s="51"/>
      <c r="H6756" s="46" t="str">
        <f>IF(AND(I.Developer.P2a=TRUE,I.Facility.P2aFacilityCount&gt;=1744,F6756=""),"Incomplete","Complete")</f>
        <v>Complete</v>
      </c>
      <c r="I6756" s="48" t="s">
        <v>11121</v>
      </c>
    </row>
    <row r="6757" spans="2:9" ht="15" customHeight="1" x14ac:dyDescent="0.25">
      <c r="B6757" s="55" t="s">
        <v>280</v>
      </c>
      <c r="C6757" s="46">
        <v>1745</v>
      </c>
      <c r="D6757" s="69" t="s">
        <v>29417</v>
      </c>
      <c r="E6757" s="51"/>
      <c r="F6757" s="114" t="str">
        <f>IF(INDEX(I.Facility.P2aIDNumber,1745)="","",INDEX(I.Facility.P2aIDNumber,1745))</f>
        <v/>
      </c>
      <c r="G6757" s="51"/>
      <c r="H6757" s="46" t="str">
        <f>IF(AND(I.Developer.P2a=TRUE,I.Facility.P2aFacilityCount&gt;=1745,F6757=""),"Incomplete","Complete")</f>
        <v>Complete</v>
      </c>
      <c r="I6757" s="48" t="s">
        <v>11122</v>
      </c>
    </row>
    <row r="6758" spans="2:9" ht="15" customHeight="1" x14ac:dyDescent="0.25">
      <c r="B6758" s="55" t="s">
        <v>280</v>
      </c>
      <c r="C6758" s="46">
        <v>1746</v>
      </c>
      <c r="D6758" s="69" t="s">
        <v>29417</v>
      </c>
      <c r="E6758" s="51"/>
      <c r="F6758" s="114" t="str">
        <f>IF(INDEX(I.Facility.P2aIDNumber,1746)="","",INDEX(I.Facility.P2aIDNumber,1746))</f>
        <v/>
      </c>
      <c r="G6758" s="51"/>
      <c r="H6758" s="46" t="str">
        <f>IF(AND(I.Developer.P2a=TRUE,I.Facility.P2aFacilityCount&gt;=1746,F6758=""),"Incomplete","Complete")</f>
        <v>Complete</v>
      </c>
      <c r="I6758" s="48" t="s">
        <v>11123</v>
      </c>
    </row>
    <row r="6759" spans="2:9" ht="15" customHeight="1" x14ac:dyDescent="0.25">
      <c r="B6759" s="55" t="s">
        <v>280</v>
      </c>
      <c r="C6759" s="46">
        <v>1747</v>
      </c>
      <c r="D6759" s="69" t="s">
        <v>29417</v>
      </c>
      <c r="E6759" s="51"/>
      <c r="F6759" s="114" t="str">
        <f>IF(INDEX(I.Facility.P2aIDNumber,1747)="","",INDEX(I.Facility.P2aIDNumber,1747))</f>
        <v/>
      </c>
      <c r="G6759" s="51"/>
      <c r="H6759" s="46" t="str">
        <f>IF(AND(I.Developer.P2a=TRUE,I.Facility.P2aFacilityCount&gt;=1747,F6759=""),"Incomplete","Complete")</f>
        <v>Complete</v>
      </c>
      <c r="I6759" s="48" t="s">
        <v>11124</v>
      </c>
    </row>
    <row r="6760" spans="2:9" ht="15" customHeight="1" x14ac:dyDescent="0.25">
      <c r="B6760" s="55" t="s">
        <v>280</v>
      </c>
      <c r="C6760" s="46">
        <v>1748</v>
      </c>
      <c r="D6760" s="69" t="s">
        <v>29417</v>
      </c>
      <c r="E6760" s="51"/>
      <c r="F6760" s="114" t="str">
        <f>IF(INDEX(I.Facility.P2aIDNumber,1748)="","",INDEX(I.Facility.P2aIDNumber,1748))</f>
        <v/>
      </c>
      <c r="G6760" s="51"/>
      <c r="H6760" s="46" t="str">
        <f>IF(AND(I.Developer.P2a=TRUE,I.Facility.P2aFacilityCount&gt;=1748,F6760=""),"Incomplete","Complete")</f>
        <v>Complete</v>
      </c>
      <c r="I6760" s="48" t="s">
        <v>11125</v>
      </c>
    </row>
    <row r="6761" spans="2:9" ht="15" customHeight="1" x14ac:dyDescent="0.25">
      <c r="B6761" s="55" t="s">
        <v>280</v>
      </c>
      <c r="C6761" s="46">
        <v>1749</v>
      </c>
      <c r="D6761" s="69" t="s">
        <v>29417</v>
      </c>
      <c r="E6761" s="51"/>
      <c r="F6761" s="114" t="str">
        <f>IF(INDEX(I.Facility.P2aIDNumber,1749)="","",INDEX(I.Facility.P2aIDNumber,1749))</f>
        <v/>
      </c>
      <c r="G6761" s="51"/>
      <c r="H6761" s="46" t="str">
        <f>IF(AND(I.Developer.P2a=TRUE,I.Facility.P2aFacilityCount&gt;=1749,F6761=""),"Incomplete","Complete")</f>
        <v>Complete</v>
      </c>
      <c r="I6761" s="48" t="s">
        <v>11126</v>
      </c>
    </row>
    <row r="6762" spans="2:9" ht="15" customHeight="1" x14ac:dyDescent="0.25">
      <c r="B6762" s="55" t="s">
        <v>280</v>
      </c>
      <c r="C6762" s="46">
        <v>1750</v>
      </c>
      <c r="D6762" s="69" t="s">
        <v>29417</v>
      </c>
      <c r="E6762" s="51"/>
      <c r="F6762" s="114" t="str">
        <f>IF(INDEX(I.Facility.P2aIDNumber,1750)="","",INDEX(I.Facility.P2aIDNumber,1750))</f>
        <v/>
      </c>
      <c r="G6762" s="51"/>
      <c r="H6762" s="46" t="str">
        <f>IF(AND(I.Developer.P2a=TRUE,I.Facility.P2aFacilityCount&gt;=1750,F6762=""),"Incomplete","Complete")</f>
        <v>Complete</v>
      </c>
      <c r="I6762" s="48" t="s">
        <v>11127</v>
      </c>
    </row>
    <row r="6763" spans="2:9" ht="15" customHeight="1" x14ac:dyDescent="0.25">
      <c r="B6763" s="55" t="s">
        <v>280</v>
      </c>
      <c r="C6763" s="46">
        <v>1751</v>
      </c>
      <c r="D6763" s="69" t="s">
        <v>29417</v>
      </c>
      <c r="E6763" s="51"/>
      <c r="F6763" s="114" t="str">
        <f>IF(INDEX(I.Facility.P2aIDNumber,1751)="","",INDEX(I.Facility.P2aIDNumber,1751))</f>
        <v/>
      </c>
      <c r="G6763" s="51"/>
      <c r="H6763" s="46" t="str">
        <f>IF(AND(I.Developer.P2a=TRUE,I.Facility.P2aFacilityCount&gt;=1751,F6763=""),"Incomplete","Complete")</f>
        <v>Complete</v>
      </c>
      <c r="I6763" s="48" t="s">
        <v>11128</v>
      </c>
    </row>
    <row r="6764" spans="2:9" ht="15" customHeight="1" x14ac:dyDescent="0.25">
      <c r="B6764" s="55" t="s">
        <v>280</v>
      </c>
      <c r="C6764" s="46">
        <v>1752</v>
      </c>
      <c r="D6764" s="69" t="s">
        <v>29417</v>
      </c>
      <c r="E6764" s="51"/>
      <c r="F6764" s="114" t="str">
        <f>IF(INDEX(I.Facility.P2aIDNumber,1752)="","",INDEX(I.Facility.P2aIDNumber,1752))</f>
        <v/>
      </c>
      <c r="G6764" s="51"/>
      <c r="H6764" s="46" t="str">
        <f>IF(AND(I.Developer.P2a=TRUE,I.Facility.P2aFacilityCount&gt;=1752,F6764=""),"Incomplete","Complete")</f>
        <v>Complete</v>
      </c>
      <c r="I6764" s="48" t="s">
        <v>11129</v>
      </c>
    </row>
    <row r="6765" spans="2:9" ht="15" customHeight="1" x14ac:dyDescent="0.25">
      <c r="B6765" s="55" t="s">
        <v>280</v>
      </c>
      <c r="C6765" s="46">
        <v>1753</v>
      </c>
      <c r="D6765" s="69" t="s">
        <v>29417</v>
      </c>
      <c r="E6765" s="51"/>
      <c r="F6765" s="114" t="str">
        <f>IF(INDEX(I.Facility.P2aIDNumber,1753)="","",INDEX(I.Facility.P2aIDNumber,1753))</f>
        <v/>
      </c>
      <c r="G6765" s="51"/>
      <c r="H6765" s="46" t="str">
        <f>IF(AND(I.Developer.P2a=TRUE,I.Facility.P2aFacilityCount&gt;=1753,F6765=""),"Incomplete","Complete")</f>
        <v>Complete</v>
      </c>
      <c r="I6765" s="48" t="s">
        <v>11130</v>
      </c>
    </row>
    <row r="6766" spans="2:9" ht="15" customHeight="1" x14ac:dyDescent="0.25">
      <c r="B6766" s="55" t="s">
        <v>280</v>
      </c>
      <c r="C6766" s="46">
        <v>1754</v>
      </c>
      <c r="D6766" s="69" t="s">
        <v>29417</v>
      </c>
      <c r="E6766" s="51"/>
      <c r="F6766" s="114" t="str">
        <f>IF(INDEX(I.Facility.P2aIDNumber,1754)="","",INDEX(I.Facility.P2aIDNumber,1754))</f>
        <v/>
      </c>
      <c r="G6766" s="51"/>
      <c r="H6766" s="46" t="str">
        <f>IF(AND(I.Developer.P2a=TRUE,I.Facility.P2aFacilityCount&gt;=1754,F6766=""),"Incomplete","Complete")</f>
        <v>Complete</v>
      </c>
      <c r="I6766" s="48" t="s">
        <v>11131</v>
      </c>
    </row>
    <row r="6767" spans="2:9" ht="15" customHeight="1" x14ac:dyDescent="0.25">
      <c r="B6767" s="55" t="s">
        <v>280</v>
      </c>
      <c r="C6767" s="46">
        <v>1755</v>
      </c>
      <c r="D6767" s="69" t="s">
        <v>29417</v>
      </c>
      <c r="E6767" s="51"/>
      <c r="F6767" s="114" t="str">
        <f>IF(INDEX(I.Facility.P2aIDNumber,1755)="","",INDEX(I.Facility.P2aIDNumber,1755))</f>
        <v/>
      </c>
      <c r="G6767" s="51"/>
      <c r="H6767" s="46" t="str">
        <f>IF(AND(I.Developer.P2a=TRUE,I.Facility.P2aFacilityCount&gt;=1755,F6767=""),"Incomplete","Complete")</f>
        <v>Complete</v>
      </c>
      <c r="I6767" s="48" t="s">
        <v>11132</v>
      </c>
    </row>
    <row r="6768" spans="2:9" ht="15" customHeight="1" x14ac:dyDescent="0.25">
      <c r="B6768" s="55" t="s">
        <v>280</v>
      </c>
      <c r="C6768" s="46">
        <v>1756</v>
      </c>
      <c r="D6768" s="69" t="s">
        <v>29417</v>
      </c>
      <c r="E6768" s="51"/>
      <c r="F6768" s="114" t="str">
        <f>IF(INDEX(I.Facility.P2aIDNumber,1756)="","",INDEX(I.Facility.P2aIDNumber,1756))</f>
        <v/>
      </c>
      <c r="G6768" s="51"/>
      <c r="H6768" s="46" t="str">
        <f>IF(AND(I.Developer.P2a=TRUE,I.Facility.P2aFacilityCount&gt;=1756,F6768=""),"Incomplete","Complete")</f>
        <v>Complete</v>
      </c>
      <c r="I6768" s="48" t="s">
        <v>11133</v>
      </c>
    </row>
    <row r="6769" spans="2:9" ht="15" customHeight="1" x14ac:dyDescent="0.25">
      <c r="B6769" s="55" t="s">
        <v>280</v>
      </c>
      <c r="C6769" s="46">
        <v>1757</v>
      </c>
      <c r="D6769" s="69" t="s">
        <v>29417</v>
      </c>
      <c r="E6769" s="51"/>
      <c r="F6769" s="114" t="str">
        <f>IF(INDEX(I.Facility.P2aIDNumber,1757)="","",INDEX(I.Facility.P2aIDNumber,1757))</f>
        <v/>
      </c>
      <c r="G6769" s="51"/>
      <c r="H6769" s="46" t="str">
        <f>IF(AND(I.Developer.P2a=TRUE,I.Facility.P2aFacilityCount&gt;=1757,F6769=""),"Incomplete","Complete")</f>
        <v>Complete</v>
      </c>
      <c r="I6769" s="48" t="s">
        <v>11134</v>
      </c>
    </row>
    <row r="6770" spans="2:9" ht="15" customHeight="1" x14ac:dyDescent="0.25">
      <c r="B6770" s="55" t="s">
        <v>280</v>
      </c>
      <c r="C6770" s="46">
        <v>1758</v>
      </c>
      <c r="D6770" s="69" t="s">
        <v>29417</v>
      </c>
      <c r="E6770" s="51"/>
      <c r="F6770" s="114" t="str">
        <f>IF(INDEX(I.Facility.P2aIDNumber,1758)="","",INDEX(I.Facility.P2aIDNumber,1758))</f>
        <v/>
      </c>
      <c r="G6770" s="51"/>
      <c r="H6770" s="46" t="str">
        <f>IF(AND(I.Developer.P2a=TRUE,I.Facility.P2aFacilityCount&gt;=1758,F6770=""),"Incomplete","Complete")</f>
        <v>Complete</v>
      </c>
      <c r="I6770" s="48" t="s">
        <v>11135</v>
      </c>
    </row>
    <row r="6771" spans="2:9" ht="15" customHeight="1" x14ac:dyDescent="0.25">
      <c r="B6771" s="55" t="s">
        <v>280</v>
      </c>
      <c r="C6771" s="46">
        <v>1759</v>
      </c>
      <c r="D6771" s="69" t="s">
        <v>29417</v>
      </c>
      <c r="E6771" s="51"/>
      <c r="F6771" s="114" t="str">
        <f>IF(INDEX(I.Facility.P2aIDNumber,1759)="","",INDEX(I.Facility.P2aIDNumber,1759))</f>
        <v/>
      </c>
      <c r="G6771" s="51"/>
      <c r="H6771" s="46" t="str">
        <f>IF(AND(I.Developer.P2a=TRUE,I.Facility.P2aFacilityCount&gt;=1759,F6771=""),"Incomplete","Complete")</f>
        <v>Complete</v>
      </c>
      <c r="I6771" s="48" t="s">
        <v>11136</v>
      </c>
    </row>
    <row r="6772" spans="2:9" ht="15" customHeight="1" x14ac:dyDescent="0.25">
      <c r="B6772" s="55" t="s">
        <v>280</v>
      </c>
      <c r="C6772" s="46">
        <v>1760</v>
      </c>
      <c r="D6772" s="69" t="s">
        <v>29417</v>
      </c>
      <c r="E6772" s="51"/>
      <c r="F6772" s="114" t="str">
        <f>IF(INDEX(I.Facility.P2aIDNumber,1760)="","",INDEX(I.Facility.P2aIDNumber,1760))</f>
        <v/>
      </c>
      <c r="G6772" s="51"/>
      <c r="H6772" s="46" t="str">
        <f>IF(AND(I.Developer.P2a=TRUE,I.Facility.P2aFacilityCount&gt;=1760,F6772=""),"Incomplete","Complete")</f>
        <v>Complete</v>
      </c>
      <c r="I6772" s="48" t="s">
        <v>11137</v>
      </c>
    </row>
    <row r="6773" spans="2:9" ht="15" customHeight="1" x14ac:dyDescent="0.25">
      <c r="B6773" s="55" t="s">
        <v>280</v>
      </c>
      <c r="C6773" s="46">
        <v>1761</v>
      </c>
      <c r="D6773" s="69" t="s">
        <v>29417</v>
      </c>
      <c r="E6773" s="51"/>
      <c r="F6773" s="114" t="str">
        <f>IF(INDEX(I.Facility.P2aIDNumber,1761)="","",INDEX(I.Facility.P2aIDNumber,1761))</f>
        <v/>
      </c>
      <c r="G6773" s="51"/>
      <c r="H6773" s="46" t="str">
        <f>IF(AND(I.Developer.P2a=TRUE,I.Facility.P2aFacilityCount&gt;=1761,F6773=""),"Incomplete","Complete")</f>
        <v>Complete</v>
      </c>
      <c r="I6773" s="48" t="s">
        <v>11138</v>
      </c>
    </row>
    <row r="6774" spans="2:9" ht="15" customHeight="1" x14ac:dyDescent="0.25">
      <c r="B6774" s="55" t="s">
        <v>280</v>
      </c>
      <c r="C6774" s="46">
        <v>1762</v>
      </c>
      <c r="D6774" s="69" t="s">
        <v>29417</v>
      </c>
      <c r="E6774" s="51"/>
      <c r="F6774" s="114" t="str">
        <f>IF(INDEX(I.Facility.P2aIDNumber,1762)="","",INDEX(I.Facility.P2aIDNumber,1762))</f>
        <v/>
      </c>
      <c r="G6774" s="51"/>
      <c r="H6774" s="46" t="str">
        <f>IF(AND(I.Developer.P2a=TRUE,I.Facility.P2aFacilityCount&gt;=1762,F6774=""),"Incomplete","Complete")</f>
        <v>Complete</v>
      </c>
      <c r="I6774" s="48" t="s">
        <v>11139</v>
      </c>
    </row>
    <row r="6775" spans="2:9" ht="15" customHeight="1" x14ac:dyDescent="0.25">
      <c r="B6775" s="55" t="s">
        <v>280</v>
      </c>
      <c r="C6775" s="46">
        <v>1763</v>
      </c>
      <c r="D6775" s="69" t="s">
        <v>29417</v>
      </c>
      <c r="E6775" s="51"/>
      <c r="F6775" s="114" t="str">
        <f>IF(INDEX(I.Facility.P2aIDNumber,1763)="","",INDEX(I.Facility.P2aIDNumber,1763))</f>
        <v/>
      </c>
      <c r="G6775" s="51"/>
      <c r="H6775" s="46" t="str">
        <f>IF(AND(I.Developer.P2a=TRUE,I.Facility.P2aFacilityCount&gt;=1763,F6775=""),"Incomplete","Complete")</f>
        <v>Complete</v>
      </c>
      <c r="I6775" s="48" t="s">
        <v>11140</v>
      </c>
    </row>
    <row r="6776" spans="2:9" ht="15" customHeight="1" x14ac:dyDescent="0.25">
      <c r="B6776" s="55" t="s">
        <v>280</v>
      </c>
      <c r="C6776" s="46">
        <v>1764</v>
      </c>
      <c r="D6776" s="69" t="s">
        <v>29417</v>
      </c>
      <c r="E6776" s="51"/>
      <c r="F6776" s="114" t="str">
        <f>IF(INDEX(I.Facility.P2aIDNumber,1764)="","",INDEX(I.Facility.P2aIDNumber,1764))</f>
        <v/>
      </c>
      <c r="G6776" s="51"/>
      <c r="H6776" s="46" t="str">
        <f>IF(AND(I.Developer.P2a=TRUE,I.Facility.P2aFacilityCount&gt;=1764,F6776=""),"Incomplete","Complete")</f>
        <v>Complete</v>
      </c>
      <c r="I6776" s="48" t="s">
        <v>11141</v>
      </c>
    </row>
    <row r="6777" spans="2:9" ht="15" customHeight="1" x14ac:dyDescent="0.25">
      <c r="B6777" s="55" t="s">
        <v>280</v>
      </c>
      <c r="C6777" s="46">
        <v>1765</v>
      </c>
      <c r="D6777" s="69" t="s">
        <v>29417</v>
      </c>
      <c r="E6777" s="51"/>
      <c r="F6777" s="114" t="str">
        <f>IF(INDEX(I.Facility.P2aIDNumber,1765)="","",INDEX(I.Facility.P2aIDNumber,1765))</f>
        <v/>
      </c>
      <c r="G6777" s="51"/>
      <c r="H6777" s="46" t="str">
        <f>IF(AND(I.Developer.P2a=TRUE,I.Facility.P2aFacilityCount&gt;=1765,F6777=""),"Incomplete","Complete")</f>
        <v>Complete</v>
      </c>
      <c r="I6777" s="48" t="s">
        <v>11142</v>
      </c>
    </row>
    <row r="6778" spans="2:9" ht="15" customHeight="1" x14ac:dyDescent="0.25">
      <c r="B6778" s="55" t="s">
        <v>280</v>
      </c>
      <c r="C6778" s="46">
        <v>1766</v>
      </c>
      <c r="D6778" s="69" t="s">
        <v>29417</v>
      </c>
      <c r="E6778" s="51"/>
      <c r="F6778" s="114" t="str">
        <f>IF(INDEX(I.Facility.P2aIDNumber,1766)="","",INDEX(I.Facility.P2aIDNumber,1766))</f>
        <v/>
      </c>
      <c r="G6778" s="51"/>
      <c r="H6778" s="46" t="str">
        <f>IF(AND(I.Developer.P2a=TRUE,I.Facility.P2aFacilityCount&gt;=1766,F6778=""),"Incomplete","Complete")</f>
        <v>Complete</v>
      </c>
      <c r="I6778" s="48" t="s">
        <v>11143</v>
      </c>
    </row>
    <row r="6779" spans="2:9" ht="15" customHeight="1" x14ac:dyDescent="0.25">
      <c r="B6779" s="55" t="s">
        <v>280</v>
      </c>
      <c r="C6779" s="46">
        <v>1767</v>
      </c>
      <c r="D6779" s="69" t="s">
        <v>29417</v>
      </c>
      <c r="E6779" s="51"/>
      <c r="F6779" s="114" t="str">
        <f>IF(INDEX(I.Facility.P2aIDNumber,1767)="","",INDEX(I.Facility.P2aIDNumber,1767))</f>
        <v/>
      </c>
      <c r="G6779" s="51"/>
      <c r="H6779" s="46" t="str">
        <f>IF(AND(I.Developer.P2a=TRUE,I.Facility.P2aFacilityCount&gt;=1767,F6779=""),"Incomplete","Complete")</f>
        <v>Complete</v>
      </c>
      <c r="I6779" s="48" t="s">
        <v>11144</v>
      </c>
    </row>
    <row r="6780" spans="2:9" ht="15" customHeight="1" x14ac:dyDescent="0.25">
      <c r="B6780" s="55" t="s">
        <v>280</v>
      </c>
      <c r="C6780" s="46">
        <v>1768</v>
      </c>
      <c r="D6780" s="69" t="s">
        <v>29417</v>
      </c>
      <c r="E6780" s="51"/>
      <c r="F6780" s="114" t="str">
        <f>IF(INDEX(I.Facility.P2aIDNumber,1768)="","",INDEX(I.Facility.P2aIDNumber,1768))</f>
        <v/>
      </c>
      <c r="G6780" s="51"/>
      <c r="H6780" s="46" t="str">
        <f>IF(AND(I.Developer.P2a=TRUE,I.Facility.P2aFacilityCount&gt;=1768,F6780=""),"Incomplete","Complete")</f>
        <v>Complete</v>
      </c>
      <c r="I6780" s="48" t="s">
        <v>11145</v>
      </c>
    </row>
    <row r="6781" spans="2:9" ht="15" customHeight="1" x14ac:dyDescent="0.25">
      <c r="B6781" s="55" t="s">
        <v>280</v>
      </c>
      <c r="C6781" s="46">
        <v>1769</v>
      </c>
      <c r="D6781" s="69" t="s">
        <v>29417</v>
      </c>
      <c r="E6781" s="51"/>
      <c r="F6781" s="114" t="str">
        <f>IF(INDEX(I.Facility.P2aIDNumber,1769)="","",INDEX(I.Facility.P2aIDNumber,1769))</f>
        <v/>
      </c>
      <c r="G6781" s="51"/>
      <c r="H6781" s="46" t="str">
        <f>IF(AND(I.Developer.P2a=TRUE,I.Facility.P2aFacilityCount&gt;=1769,F6781=""),"Incomplete","Complete")</f>
        <v>Complete</v>
      </c>
      <c r="I6781" s="48" t="s">
        <v>11146</v>
      </c>
    </row>
    <row r="6782" spans="2:9" ht="15" customHeight="1" x14ac:dyDescent="0.25">
      <c r="B6782" s="55" t="s">
        <v>280</v>
      </c>
      <c r="C6782" s="46">
        <v>1770</v>
      </c>
      <c r="D6782" s="69" t="s">
        <v>29417</v>
      </c>
      <c r="E6782" s="51"/>
      <c r="F6782" s="114" t="str">
        <f>IF(INDEX(I.Facility.P2aIDNumber,1770)="","",INDEX(I.Facility.P2aIDNumber,1770))</f>
        <v/>
      </c>
      <c r="G6782" s="51"/>
      <c r="H6782" s="46" t="str">
        <f>IF(AND(I.Developer.P2a=TRUE,I.Facility.P2aFacilityCount&gt;=1770,F6782=""),"Incomplete","Complete")</f>
        <v>Complete</v>
      </c>
      <c r="I6782" s="48" t="s">
        <v>11147</v>
      </c>
    </row>
    <row r="6783" spans="2:9" ht="15" customHeight="1" x14ac:dyDescent="0.25">
      <c r="B6783" s="55" t="s">
        <v>280</v>
      </c>
      <c r="C6783" s="46">
        <v>1771</v>
      </c>
      <c r="D6783" s="69" t="s">
        <v>29417</v>
      </c>
      <c r="E6783" s="51"/>
      <c r="F6783" s="114" t="str">
        <f>IF(INDEX(I.Facility.P2aIDNumber,1771)="","",INDEX(I.Facility.P2aIDNumber,1771))</f>
        <v/>
      </c>
      <c r="G6783" s="51"/>
      <c r="H6783" s="46" t="str">
        <f>IF(AND(I.Developer.P2a=TRUE,I.Facility.P2aFacilityCount&gt;=1771,F6783=""),"Incomplete","Complete")</f>
        <v>Complete</v>
      </c>
      <c r="I6783" s="48" t="s">
        <v>11148</v>
      </c>
    </row>
    <row r="6784" spans="2:9" ht="15" customHeight="1" x14ac:dyDescent="0.25">
      <c r="B6784" s="55" t="s">
        <v>280</v>
      </c>
      <c r="C6784" s="46">
        <v>1772</v>
      </c>
      <c r="D6784" s="69" t="s">
        <v>29417</v>
      </c>
      <c r="E6784" s="51"/>
      <c r="F6784" s="114" t="str">
        <f>IF(INDEX(I.Facility.P2aIDNumber,1772)="","",INDEX(I.Facility.P2aIDNumber,1772))</f>
        <v/>
      </c>
      <c r="G6784" s="51"/>
      <c r="H6784" s="46" t="str">
        <f>IF(AND(I.Developer.P2a=TRUE,I.Facility.P2aFacilityCount&gt;=1772,F6784=""),"Incomplete","Complete")</f>
        <v>Complete</v>
      </c>
      <c r="I6784" s="48" t="s">
        <v>11149</v>
      </c>
    </row>
    <row r="6785" spans="2:9" ht="15" customHeight="1" x14ac:dyDescent="0.25">
      <c r="B6785" s="55" t="s">
        <v>280</v>
      </c>
      <c r="C6785" s="46">
        <v>1773</v>
      </c>
      <c r="D6785" s="69" t="s">
        <v>29417</v>
      </c>
      <c r="E6785" s="51"/>
      <c r="F6785" s="114" t="str">
        <f>IF(INDEX(I.Facility.P2aIDNumber,1773)="","",INDEX(I.Facility.P2aIDNumber,1773))</f>
        <v/>
      </c>
      <c r="G6785" s="51"/>
      <c r="H6785" s="46" t="str">
        <f>IF(AND(I.Developer.P2a=TRUE,I.Facility.P2aFacilityCount&gt;=1773,F6785=""),"Incomplete","Complete")</f>
        <v>Complete</v>
      </c>
      <c r="I6785" s="48" t="s">
        <v>11150</v>
      </c>
    </row>
    <row r="6786" spans="2:9" ht="15" customHeight="1" x14ac:dyDescent="0.25">
      <c r="B6786" s="55" t="s">
        <v>280</v>
      </c>
      <c r="C6786" s="46">
        <v>1774</v>
      </c>
      <c r="D6786" s="69" t="s">
        <v>29417</v>
      </c>
      <c r="E6786" s="51"/>
      <c r="F6786" s="114" t="str">
        <f>IF(INDEX(I.Facility.P2aIDNumber,1774)="","",INDEX(I.Facility.P2aIDNumber,1774))</f>
        <v/>
      </c>
      <c r="G6786" s="51"/>
      <c r="H6786" s="46" t="str">
        <f>IF(AND(I.Developer.P2a=TRUE,I.Facility.P2aFacilityCount&gt;=1774,F6786=""),"Incomplete","Complete")</f>
        <v>Complete</v>
      </c>
      <c r="I6786" s="48" t="s">
        <v>11151</v>
      </c>
    </row>
    <row r="6787" spans="2:9" ht="15" customHeight="1" x14ac:dyDescent="0.25">
      <c r="B6787" s="55" t="s">
        <v>280</v>
      </c>
      <c r="C6787" s="46">
        <v>1775</v>
      </c>
      <c r="D6787" s="69" t="s">
        <v>29417</v>
      </c>
      <c r="E6787" s="51"/>
      <c r="F6787" s="114" t="str">
        <f>IF(INDEX(I.Facility.P2aIDNumber,1775)="","",INDEX(I.Facility.P2aIDNumber,1775))</f>
        <v/>
      </c>
      <c r="G6787" s="51"/>
      <c r="H6787" s="46" t="str">
        <f>IF(AND(I.Developer.P2a=TRUE,I.Facility.P2aFacilityCount&gt;=1775,F6787=""),"Incomplete","Complete")</f>
        <v>Complete</v>
      </c>
      <c r="I6787" s="48" t="s">
        <v>11152</v>
      </c>
    </row>
    <row r="6788" spans="2:9" ht="15" customHeight="1" x14ac:dyDescent="0.25">
      <c r="B6788" s="55" t="s">
        <v>280</v>
      </c>
      <c r="C6788" s="46">
        <v>1776</v>
      </c>
      <c r="D6788" s="69" t="s">
        <v>29417</v>
      </c>
      <c r="E6788" s="51"/>
      <c r="F6788" s="114" t="str">
        <f>IF(INDEX(I.Facility.P2aIDNumber,1776)="","",INDEX(I.Facility.P2aIDNumber,1776))</f>
        <v/>
      </c>
      <c r="G6788" s="51"/>
      <c r="H6788" s="46" t="str">
        <f>IF(AND(I.Developer.P2a=TRUE,I.Facility.P2aFacilityCount&gt;=1776,F6788=""),"Incomplete","Complete")</f>
        <v>Complete</v>
      </c>
      <c r="I6788" s="48" t="s">
        <v>11153</v>
      </c>
    </row>
    <row r="6789" spans="2:9" ht="15" customHeight="1" x14ac:dyDescent="0.25">
      <c r="B6789" s="55" t="s">
        <v>280</v>
      </c>
      <c r="C6789" s="46">
        <v>1777</v>
      </c>
      <c r="D6789" s="69" t="s">
        <v>29417</v>
      </c>
      <c r="E6789" s="51"/>
      <c r="F6789" s="114" t="str">
        <f>IF(INDEX(I.Facility.P2aIDNumber,1777)="","",INDEX(I.Facility.P2aIDNumber,1777))</f>
        <v/>
      </c>
      <c r="G6789" s="51"/>
      <c r="H6789" s="46" t="str">
        <f>IF(AND(I.Developer.P2a=TRUE,I.Facility.P2aFacilityCount&gt;=1777,F6789=""),"Incomplete","Complete")</f>
        <v>Complete</v>
      </c>
      <c r="I6789" s="48" t="s">
        <v>11154</v>
      </c>
    </row>
    <row r="6790" spans="2:9" ht="15" customHeight="1" x14ac:dyDescent="0.25">
      <c r="B6790" s="55" t="s">
        <v>280</v>
      </c>
      <c r="C6790" s="46">
        <v>1778</v>
      </c>
      <c r="D6790" s="69" t="s">
        <v>29417</v>
      </c>
      <c r="E6790" s="51"/>
      <c r="F6790" s="114" t="str">
        <f>IF(INDEX(I.Facility.P2aIDNumber,1778)="","",INDEX(I.Facility.P2aIDNumber,1778))</f>
        <v/>
      </c>
      <c r="G6790" s="51"/>
      <c r="H6790" s="46" t="str">
        <f>IF(AND(I.Developer.P2a=TRUE,I.Facility.P2aFacilityCount&gt;=1778,F6790=""),"Incomplete","Complete")</f>
        <v>Complete</v>
      </c>
      <c r="I6790" s="48" t="s">
        <v>11155</v>
      </c>
    </row>
    <row r="6791" spans="2:9" ht="15" customHeight="1" x14ac:dyDescent="0.25">
      <c r="B6791" s="55" t="s">
        <v>280</v>
      </c>
      <c r="C6791" s="46">
        <v>1779</v>
      </c>
      <c r="D6791" s="69" t="s">
        <v>29417</v>
      </c>
      <c r="E6791" s="51"/>
      <c r="F6791" s="114" t="str">
        <f>IF(INDEX(I.Facility.P2aIDNumber,1779)="","",INDEX(I.Facility.P2aIDNumber,1779))</f>
        <v/>
      </c>
      <c r="G6791" s="51"/>
      <c r="H6791" s="46" t="str">
        <f>IF(AND(I.Developer.P2a=TRUE,I.Facility.P2aFacilityCount&gt;=1779,F6791=""),"Incomplete","Complete")</f>
        <v>Complete</v>
      </c>
      <c r="I6791" s="48" t="s">
        <v>11156</v>
      </c>
    </row>
    <row r="6792" spans="2:9" ht="15" customHeight="1" x14ac:dyDescent="0.25">
      <c r="B6792" s="55" t="s">
        <v>280</v>
      </c>
      <c r="C6792" s="46">
        <v>1780</v>
      </c>
      <c r="D6792" s="69" t="s">
        <v>29417</v>
      </c>
      <c r="E6792" s="51"/>
      <c r="F6792" s="114" t="str">
        <f>IF(INDEX(I.Facility.P2aIDNumber,1780)="","",INDEX(I.Facility.P2aIDNumber,1780))</f>
        <v/>
      </c>
      <c r="G6792" s="51"/>
      <c r="H6792" s="46" t="str">
        <f>IF(AND(I.Developer.P2a=TRUE,I.Facility.P2aFacilityCount&gt;=1780,F6792=""),"Incomplete","Complete")</f>
        <v>Complete</v>
      </c>
      <c r="I6792" s="48" t="s">
        <v>11157</v>
      </c>
    </row>
    <row r="6793" spans="2:9" ht="15" customHeight="1" x14ac:dyDescent="0.25">
      <c r="B6793" s="55" t="s">
        <v>280</v>
      </c>
      <c r="C6793" s="46">
        <v>1781</v>
      </c>
      <c r="D6793" s="69" t="s">
        <v>29417</v>
      </c>
      <c r="E6793" s="51"/>
      <c r="F6793" s="114" t="str">
        <f>IF(INDEX(I.Facility.P2aIDNumber,1781)="","",INDEX(I.Facility.P2aIDNumber,1781))</f>
        <v/>
      </c>
      <c r="G6793" s="51"/>
      <c r="H6793" s="46" t="str">
        <f>IF(AND(I.Developer.P2a=TRUE,I.Facility.P2aFacilityCount&gt;=1781,F6793=""),"Incomplete","Complete")</f>
        <v>Complete</v>
      </c>
      <c r="I6793" s="48" t="s">
        <v>11158</v>
      </c>
    </row>
    <row r="6794" spans="2:9" ht="15" customHeight="1" x14ac:dyDescent="0.25">
      <c r="B6794" s="55" t="s">
        <v>280</v>
      </c>
      <c r="C6794" s="46">
        <v>1782</v>
      </c>
      <c r="D6794" s="69" t="s">
        <v>29417</v>
      </c>
      <c r="E6794" s="51"/>
      <c r="F6794" s="114" t="str">
        <f>IF(INDEX(I.Facility.P2aIDNumber,1782)="","",INDEX(I.Facility.P2aIDNumber,1782))</f>
        <v/>
      </c>
      <c r="G6794" s="51"/>
      <c r="H6794" s="46" t="str">
        <f>IF(AND(I.Developer.P2a=TRUE,I.Facility.P2aFacilityCount&gt;=1782,F6794=""),"Incomplete","Complete")</f>
        <v>Complete</v>
      </c>
      <c r="I6794" s="48" t="s">
        <v>11159</v>
      </c>
    </row>
    <row r="6795" spans="2:9" ht="15" customHeight="1" x14ac:dyDescent="0.25">
      <c r="B6795" s="55" t="s">
        <v>280</v>
      </c>
      <c r="C6795" s="46">
        <v>1783</v>
      </c>
      <c r="D6795" s="69" t="s">
        <v>29417</v>
      </c>
      <c r="E6795" s="51"/>
      <c r="F6795" s="114" t="str">
        <f>IF(INDEX(I.Facility.P2aIDNumber,1783)="","",INDEX(I.Facility.P2aIDNumber,1783))</f>
        <v/>
      </c>
      <c r="G6795" s="51"/>
      <c r="H6795" s="46" t="str">
        <f>IF(AND(I.Developer.P2a=TRUE,I.Facility.P2aFacilityCount&gt;=1783,F6795=""),"Incomplete","Complete")</f>
        <v>Complete</v>
      </c>
      <c r="I6795" s="48" t="s">
        <v>11160</v>
      </c>
    </row>
    <row r="6796" spans="2:9" ht="15" customHeight="1" x14ac:dyDescent="0.25">
      <c r="B6796" s="55" t="s">
        <v>280</v>
      </c>
      <c r="C6796" s="46">
        <v>1784</v>
      </c>
      <c r="D6796" s="69" t="s">
        <v>29417</v>
      </c>
      <c r="E6796" s="51"/>
      <c r="F6796" s="114" t="str">
        <f>IF(INDEX(I.Facility.P2aIDNumber,1784)="","",INDEX(I.Facility.P2aIDNumber,1784))</f>
        <v/>
      </c>
      <c r="G6796" s="51"/>
      <c r="H6796" s="46" t="str">
        <f>IF(AND(I.Developer.P2a=TRUE,I.Facility.P2aFacilityCount&gt;=1784,F6796=""),"Incomplete","Complete")</f>
        <v>Complete</v>
      </c>
      <c r="I6796" s="48" t="s">
        <v>11161</v>
      </c>
    </row>
    <row r="6797" spans="2:9" ht="15" customHeight="1" x14ac:dyDescent="0.25">
      <c r="B6797" s="55" t="s">
        <v>280</v>
      </c>
      <c r="C6797" s="46">
        <v>1785</v>
      </c>
      <c r="D6797" s="69" t="s">
        <v>29417</v>
      </c>
      <c r="E6797" s="51"/>
      <c r="F6797" s="114" t="str">
        <f>IF(INDEX(I.Facility.P2aIDNumber,1785)="","",INDEX(I.Facility.P2aIDNumber,1785))</f>
        <v/>
      </c>
      <c r="G6797" s="51"/>
      <c r="H6797" s="46" t="str">
        <f>IF(AND(I.Developer.P2a=TRUE,I.Facility.P2aFacilityCount&gt;=1785,F6797=""),"Incomplete","Complete")</f>
        <v>Complete</v>
      </c>
      <c r="I6797" s="48" t="s">
        <v>11162</v>
      </c>
    </row>
    <row r="6798" spans="2:9" ht="15" customHeight="1" x14ac:dyDescent="0.25">
      <c r="B6798" s="55" t="s">
        <v>280</v>
      </c>
      <c r="C6798" s="46">
        <v>1786</v>
      </c>
      <c r="D6798" s="69" t="s">
        <v>29417</v>
      </c>
      <c r="E6798" s="51"/>
      <c r="F6798" s="114" t="str">
        <f>IF(INDEX(I.Facility.P2aIDNumber,1786)="","",INDEX(I.Facility.P2aIDNumber,1786))</f>
        <v/>
      </c>
      <c r="G6798" s="51"/>
      <c r="H6798" s="46" t="str">
        <f>IF(AND(I.Developer.P2a=TRUE,I.Facility.P2aFacilityCount&gt;=1786,F6798=""),"Incomplete","Complete")</f>
        <v>Complete</v>
      </c>
      <c r="I6798" s="48" t="s">
        <v>11163</v>
      </c>
    </row>
    <row r="6799" spans="2:9" ht="15" customHeight="1" x14ac:dyDescent="0.25">
      <c r="B6799" s="55" t="s">
        <v>280</v>
      </c>
      <c r="C6799" s="46">
        <v>1787</v>
      </c>
      <c r="D6799" s="69" t="s">
        <v>29417</v>
      </c>
      <c r="E6799" s="51"/>
      <c r="F6799" s="114" t="str">
        <f>IF(INDEX(I.Facility.P2aIDNumber,1787)="","",INDEX(I.Facility.P2aIDNumber,1787))</f>
        <v/>
      </c>
      <c r="G6799" s="51"/>
      <c r="H6799" s="46" t="str">
        <f>IF(AND(I.Developer.P2a=TRUE,I.Facility.P2aFacilityCount&gt;=1787,F6799=""),"Incomplete","Complete")</f>
        <v>Complete</v>
      </c>
      <c r="I6799" s="48" t="s">
        <v>11164</v>
      </c>
    </row>
    <row r="6800" spans="2:9" ht="15" customHeight="1" x14ac:dyDescent="0.25">
      <c r="B6800" s="55" t="s">
        <v>280</v>
      </c>
      <c r="C6800" s="46">
        <v>1788</v>
      </c>
      <c r="D6800" s="69" t="s">
        <v>29417</v>
      </c>
      <c r="E6800" s="51"/>
      <c r="F6800" s="114" t="str">
        <f>IF(INDEX(I.Facility.P2aIDNumber,1788)="","",INDEX(I.Facility.P2aIDNumber,1788))</f>
        <v/>
      </c>
      <c r="G6800" s="51"/>
      <c r="H6800" s="46" t="str">
        <f>IF(AND(I.Developer.P2a=TRUE,I.Facility.P2aFacilityCount&gt;=1788,F6800=""),"Incomplete","Complete")</f>
        <v>Complete</v>
      </c>
      <c r="I6800" s="48" t="s">
        <v>11165</v>
      </c>
    </row>
    <row r="6801" spans="2:9" ht="15" customHeight="1" x14ac:dyDescent="0.25">
      <c r="B6801" s="55" t="s">
        <v>280</v>
      </c>
      <c r="C6801" s="46">
        <v>1789</v>
      </c>
      <c r="D6801" s="69" t="s">
        <v>29417</v>
      </c>
      <c r="E6801" s="51"/>
      <c r="F6801" s="114" t="str">
        <f>IF(INDEX(I.Facility.P2aIDNumber,1789)="","",INDEX(I.Facility.P2aIDNumber,1789))</f>
        <v/>
      </c>
      <c r="G6801" s="51"/>
      <c r="H6801" s="46" t="str">
        <f>IF(AND(I.Developer.P2a=TRUE,I.Facility.P2aFacilityCount&gt;=1789,F6801=""),"Incomplete","Complete")</f>
        <v>Complete</v>
      </c>
      <c r="I6801" s="48" t="s">
        <v>11166</v>
      </c>
    </row>
    <row r="6802" spans="2:9" ht="15" customHeight="1" x14ac:dyDescent="0.25">
      <c r="B6802" s="55" t="s">
        <v>280</v>
      </c>
      <c r="C6802" s="46">
        <v>1790</v>
      </c>
      <c r="D6802" s="69" t="s">
        <v>29417</v>
      </c>
      <c r="E6802" s="51"/>
      <c r="F6802" s="114" t="str">
        <f>IF(INDEX(I.Facility.P2aIDNumber,1790)="","",INDEX(I.Facility.P2aIDNumber,1790))</f>
        <v/>
      </c>
      <c r="G6802" s="51"/>
      <c r="H6802" s="46" t="str">
        <f>IF(AND(I.Developer.P2a=TRUE,I.Facility.P2aFacilityCount&gt;=1790,F6802=""),"Incomplete","Complete")</f>
        <v>Complete</v>
      </c>
      <c r="I6802" s="48" t="s">
        <v>11167</v>
      </c>
    </row>
    <row r="6803" spans="2:9" ht="15" customHeight="1" x14ac:dyDescent="0.25">
      <c r="B6803" s="55" t="s">
        <v>280</v>
      </c>
      <c r="C6803" s="46">
        <v>1791</v>
      </c>
      <c r="D6803" s="69" t="s">
        <v>29417</v>
      </c>
      <c r="E6803" s="51"/>
      <c r="F6803" s="114" t="str">
        <f>IF(INDEX(I.Facility.P2aIDNumber,1791)="","",INDEX(I.Facility.P2aIDNumber,1791))</f>
        <v/>
      </c>
      <c r="G6803" s="51"/>
      <c r="H6803" s="46" t="str">
        <f>IF(AND(I.Developer.P2a=TRUE,I.Facility.P2aFacilityCount&gt;=1791,F6803=""),"Incomplete","Complete")</f>
        <v>Complete</v>
      </c>
      <c r="I6803" s="48" t="s">
        <v>11168</v>
      </c>
    </row>
    <row r="6804" spans="2:9" ht="15" customHeight="1" x14ac:dyDescent="0.25">
      <c r="B6804" s="55" t="s">
        <v>280</v>
      </c>
      <c r="C6804" s="46">
        <v>1792</v>
      </c>
      <c r="D6804" s="69" t="s">
        <v>29417</v>
      </c>
      <c r="E6804" s="51"/>
      <c r="F6804" s="114" t="str">
        <f>IF(INDEX(I.Facility.P2aIDNumber,1792)="","",INDEX(I.Facility.P2aIDNumber,1792))</f>
        <v/>
      </c>
      <c r="G6804" s="51"/>
      <c r="H6804" s="46" t="str">
        <f>IF(AND(I.Developer.P2a=TRUE,I.Facility.P2aFacilityCount&gt;=1792,F6804=""),"Incomplete","Complete")</f>
        <v>Complete</v>
      </c>
      <c r="I6804" s="48" t="s">
        <v>11169</v>
      </c>
    </row>
    <row r="6805" spans="2:9" ht="15" customHeight="1" x14ac:dyDescent="0.25">
      <c r="B6805" s="55" t="s">
        <v>280</v>
      </c>
      <c r="C6805" s="46">
        <v>1793</v>
      </c>
      <c r="D6805" s="69" t="s">
        <v>29417</v>
      </c>
      <c r="E6805" s="51"/>
      <c r="F6805" s="114" t="str">
        <f>IF(INDEX(I.Facility.P2aIDNumber,1793)="","",INDEX(I.Facility.P2aIDNumber,1793))</f>
        <v/>
      </c>
      <c r="G6805" s="51"/>
      <c r="H6805" s="46" t="str">
        <f>IF(AND(I.Developer.P2a=TRUE,I.Facility.P2aFacilityCount&gt;=1793,F6805=""),"Incomplete","Complete")</f>
        <v>Complete</v>
      </c>
      <c r="I6805" s="48" t="s">
        <v>11170</v>
      </c>
    </row>
    <row r="6806" spans="2:9" ht="15" customHeight="1" x14ac:dyDescent="0.25">
      <c r="B6806" s="55" t="s">
        <v>280</v>
      </c>
      <c r="C6806" s="46">
        <v>1794</v>
      </c>
      <c r="D6806" s="69" t="s">
        <v>29417</v>
      </c>
      <c r="E6806" s="51"/>
      <c r="F6806" s="114" t="str">
        <f>IF(INDEX(I.Facility.P2aIDNumber,1794)="","",INDEX(I.Facility.P2aIDNumber,1794))</f>
        <v/>
      </c>
      <c r="G6806" s="51"/>
      <c r="H6806" s="46" t="str">
        <f>IF(AND(I.Developer.P2a=TRUE,I.Facility.P2aFacilityCount&gt;=1794,F6806=""),"Incomplete","Complete")</f>
        <v>Complete</v>
      </c>
      <c r="I6806" s="48" t="s">
        <v>11171</v>
      </c>
    </row>
    <row r="6807" spans="2:9" ht="15" customHeight="1" x14ac:dyDescent="0.25">
      <c r="B6807" s="55" t="s">
        <v>280</v>
      </c>
      <c r="C6807" s="46">
        <v>1795</v>
      </c>
      <c r="D6807" s="69" t="s">
        <v>29417</v>
      </c>
      <c r="E6807" s="51"/>
      <c r="F6807" s="114" t="str">
        <f>IF(INDEX(I.Facility.P2aIDNumber,1795)="","",INDEX(I.Facility.P2aIDNumber,1795))</f>
        <v/>
      </c>
      <c r="G6807" s="51"/>
      <c r="H6807" s="46" t="str">
        <f>IF(AND(I.Developer.P2a=TRUE,I.Facility.P2aFacilityCount&gt;=1795,F6807=""),"Incomplete","Complete")</f>
        <v>Complete</v>
      </c>
      <c r="I6807" s="48" t="s">
        <v>11172</v>
      </c>
    </row>
    <row r="6808" spans="2:9" ht="15" customHeight="1" x14ac:dyDescent="0.25">
      <c r="B6808" s="55" t="s">
        <v>280</v>
      </c>
      <c r="C6808" s="46">
        <v>1796</v>
      </c>
      <c r="D6808" s="69" t="s">
        <v>29417</v>
      </c>
      <c r="E6808" s="51"/>
      <c r="F6808" s="114" t="str">
        <f>IF(INDEX(I.Facility.P2aIDNumber,1796)="","",INDEX(I.Facility.P2aIDNumber,1796))</f>
        <v/>
      </c>
      <c r="G6808" s="51"/>
      <c r="H6808" s="46" t="str">
        <f>IF(AND(I.Developer.P2a=TRUE,I.Facility.P2aFacilityCount&gt;=1796,F6808=""),"Incomplete","Complete")</f>
        <v>Complete</v>
      </c>
      <c r="I6808" s="48" t="s">
        <v>11173</v>
      </c>
    </row>
    <row r="6809" spans="2:9" ht="15" customHeight="1" x14ac:dyDescent="0.25">
      <c r="B6809" s="55" t="s">
        <v>280</v>
      </c>
      <c r="C6809" s="46">
        <v>1797</v>
      </c>
      <c r="D6809" s="69" t="s">
        <v>29417</v>
      </c>
      <c r="E6809" s="51"/>
      <c r="F6809" s="114" t="str">
        <f>IF(INDEX(I.Facility.P2aIDNumber,1797)="","",INDEX(I.Facility.P2aIDNumber,1797))</f>
        <v/>
      </c>
      <c r="G6809" s="51"/>
      <c r="H6809" s="46" t="str">
        <f>IF(AND(I.Developer.P2a=TRUE,I.Facility.P2aFacilityCount&gt;=1797,F6809=""),"Incomplete","Complete")</f>
        <v>Complete</v>
      </c>
      <c r="I6809" s="48" t="s">
        <v>11174</v>
      </c>
    </row>
    <row r="6810" spans="2:9" ht="15" customHeight="1" x14ac:dyDescent="0.25">
      <c r="B6810" s="55" t="s">
        <v>280</v>
      </c>
      <c r="C6810" s="46">
        <v>1798</v>
      </c>
      <c r="D6810" s="69" t="s">
        <v>29417</v>
      </c>
      <c r="E6810" s="51"/>
      <c r="F6810" s="114" t="str">
        <f>IF(INDEX(I.Facility.P2aIDNumber,1798)="","",INDEX(I.Facility.P2aIDNumber,1798))</f>
        <v/>
      </c>
      <c r="G6810" s="51"/>
      <c r="H6810" s="46" t="str">
        <f>IF(AND(I.Developer.P2a=TRUE,I.Facility.P2aFacilityCount&gt;=1798,F6810=""),"Incomplete","Complete")</f>
        <v>Complete</v>
      </c>
      <c r="I6810" s="48" t="s">
        <v>11175</v>
      </c>
    </row>
    <row r="6811" spans="2:9" ht="15" customHeight="1" x14ac:dyDescent="0.25">
      <c r="B6811" s="55" t="s">
        <v>280</v>
      </c>
      <c r="C6811" s="46">
        <v>1799</v>
      </c>
      <c r="D6811" s="69" t="s">
        <v>29417</v>
      </c>
      <c r="E6811" s="51"/>
      <c r="F6811" s="114" t="str">
        <f>IF(INDEX(I.Facility.P2aIDNumber,1799)="","",INDEX(I.Facility.P2aIDNumber,1799))</f>
        <v/>
      </c>
      <c r="G6811" s="51"/>
      <c r="H6811" s="46" t="str">
        <f>IF(AND(I.Developer.P2a=TRUE,I.Facility.P2aFacilityCount&gt;=1799,F6811=""),"Incomplete","Complete")</f>
        <v>Complete</v>
      </c>
      <c r="I6811" s="48" t="s">
        <v>11176</v>
      </c>
    </row>
    <row r="6812" spans="2:9" ht="15" customHeight="1" x14ac:dyDescent="0.25">
      <c r="B6812" s="55" t="s">
        <v>280</v>
      </c>
      <c r="C6812" s="46">
        <v>1800</v>
      </c>
      <c r="D6812" s="69" t="s">
        <v>29417</v>
      </c>
      <c r="E6812" s="51"/>
      <c r="F6812" s="114" t="str">
        <f>IF(INDEX(I.Facility.P2aIDNumber,1800)="","",INDEX(I.Facility.P2aIDNumber,1800))</f>
        <v/>
      </c>
      <c r="G6812" s="51"/>
      <c r="H6812" s="46" t="str">
        <f>IF(AND(I.Developer.P2a=TRUE,I.Facility.P2aFacilityCount&gt;=1800,F6812=""),"Incomplete","Complete")</f>
        <v>Complete</v>
      </c>
      <c r="I6812" s="48" t="s">
        <v>11177</v>
      </c>
    </row>
    <row r="6813" spans="2:9" ht="15" customHeight="1" x14ac:dyDescent="0.25">
      <c r="B6813" s="55" t="s">
        <v>280</v>
      </c>
      <c r="C6813" s="46">
        <v>1801</v>
      </c>
      <c r="D6813" s="69" t="s">
        <v>29417</v>
      </c>
      <c r="E6813" s="51"/>
      <c r="F6813" s="114" t="str">
        <f>IF(INDEX(I.Facility.P2aIDNumber,1801)="","",INDEX(I.Facility.P2aIDNumber,1801))</f>
        <v/>
      </c>
      <c r="G6813" s="51"/>
      <c r="H6813" s="46" t="str">
        <f>IF(AND(I.Developer.P2a=TRUE,I.Facility.P2aFacilityCount&gt;=1801,F6813=""),"Incomplete","Complete")</f>
        <v>Complete</v>
      </c>
      <c r="I6813" s="48" t="s">
        <v>11178</v>
      </c>
    </row>
    <row r="6814" spans="2:9" ht="15" customHeight="1" x14ac:dyDescent="0.25">
      <c r="B6814" s="55" t="s">
        <v>280</v>
      </c>
      <c r="C6814" s="46">
        <v>1802</v>
      </c>
      <c r="D6814" s="69" t="s">
        <v>29417</v>
      </c>
      <c r="E6814" s="51"/>
      <c r="F6814" s="114" t="str">
        <f>IF(INDEX(I.Facility.P2aIDNumber,1802)="","",INDEX(I.Facility.P2aIDNumber,1802))</f>
        <v/>
      </c>
      <c r="G6814" s="51"/>
      <c r="H6814" s="46" t="str">
        <f>IF(AND(I.Developer.P2a=TRUE,I.Facility.P2aFacilityCount&gt;=1802,F6814=""),"Incomplete","Complete")</f>
        <v>Complete</v>
      </c>
      <c r="I6814" s="48" t="s">
        <v>11179</v>
      </c>
    </row>
    <row r="6815" spans="2:9" ht="15" customHeight="1" x14ac:dyDescent="0.25">
      <c r="B6815" s="55" t="s">
        <v>280</v>
      </c>
      <c r="C6815" s="46">
        <v>1803</v>
      </c>
      <c r="D6815" s="69" t="s">
        <v>29417</v>
      </c>
      <c r="E6815" s="51"/>
      <c r="F6815" s="114" t="str">
        <f>IF(INDEX(I.Facility.P2aIDNumber,1803)="","",INDEX(I.Facility.P2aIDNumber,1803))</f>
        <v/>
      </c>
      <c r="G6815" s="51"/>
      <c r="H6815" s="46" t="str">
        <f>IF(AND(I.Developer.P2a=TRUE,I.Facility.P2aFacilityCount&gt;=1803,F6815=""),"Incomplete","Complete")</f>
        <v>Complete</v>
      </c>
      <c r="I6815" s="48" t="s">
        <v>11180</v>
      </c>
    </row>
    <row r="6816" spans="2:9" ht="15" customHeight="1" x14ac:dyDescent="0.25">
      <c r="B6816" s="55" t="s">
        <v>280</v>
      </c>
      <c r="C6816" s="46">
        <v>1804</v>
      </c>
      <c r="D6816" s="69" t="s">
        <v>29417</v>
      </c>
      <c r="E6816" s="51"/>
      <c r="F6816" s="114" t="str">
        <f>IF(INDEX(I.Facility.P2aIDNumber,1804)="","",INDEX(I.Facility.P2aIDNumber,1804))</f>
        <v/>
      </c>
      <c r="G6816" s="51"/>
      <c r="H6816" s="46" t="str">
        <f>IF(AND(I.Developer.P2a=TRUE,I.Facility.P2aFacilityCount&gt;=1804,F6816=""),"Incomplete","Complete")</f>
        <v>Complete</v>
      </c>
      <c r="I6816" s="48" t="s">
        <v>11181</v>
      </c>
    </row>
    <row r="6817" spans="2:9" ht="15" customHeight="1" x14ac:dyDescent="0.25">
      <c r="B6817" s="55" t="s">
        <v>280</v>
      </c>
      <c r="C6817" s="46">
        <v>1805</v>
      </c>
      <c r="D6817" s="69" t="s">
        <v>29417</v>
      </c>
      <c r="E6817" s="51"/>
      <c r="F6817" s="114" t="str">
        <f>IF(INDEX(I.Facility.P2aIDNumber,1805)="","",INDEX(I.Facility.P2aIDNumber,1805))</f>
        <v/>
      </c>
      <c r="G6817" s="51"/>
      <c r="H6817" s="46" t="str">
        <f>IF(AND(I.Developer.P2a=TRUE,I.Facility.P2aFacilityCount&gt;=1805,F6817=""),"Incomplete","Complete")</f>
        <v>Complete</v>
      </c>
      <c r="I6817" s="48" t="s">
        <v>11182</v>
      </c>
    </row>
    <row r="6818" spans="2:9" ht="15" customHeight="1" x14ac:dyDescent="0.25">
      <c r="B6818" s="55" t="s">
        <v>280</v>
      </c>
      <c r="C6818" s="46">
        <v>1806</v>
      </c>
      <c r="D6818" s="69" t="s">
        <v>29417</v>
      </c>
      <c r="E6818" s="51"/>
      <c r="F6818" s="114" t="str">
        <f>IF(INDEX(I.Facility.P2aIDNumber,1806)="","",INDEX(I.Facility.P2aIDNumber,1806))</f>
        <v/>
      </c>
      <c r="G6818" s="51"/>
      <c r="H6818" s="46" t="str">
        <f>IF(AND(I.Developer.P2a=TRUE,I.Facility.P2aFacilityCount&gt;=1806,F6818=""),"Incomplete","Complete")</f>
        <v>Complete</v>
      </c>
      <c r="I6818" s="48" t="s">
        <v>11183</v>
      </c>
    </row>
    <row r="6819" spans="2:9" ht="15" customHeight="1" x14ac:dyDescent="0.25">
      <c r="B6819" s="55" t="s">
        <v>280</v>
      </c>
      <c r="C6819" s="46">
        <v>1807</v>
      </c>
      <c r="D6819" s="69" t="s">
        <v>29417</v>
      </c>
      <c r="E6819" s="51"/>
      <c r="F6819" s="114" t="str">
        <f>IF(INDEX(I.Facility.P2aIDNumber,1807)="","",INDEX(I.Facility.P2aIDNumber,1807))</f>
        <v/>
      </c>
      <c r="G6819" s="51"/>
      <c r="H6819" s="46" t="str">
        <f>IF(AND(I.Developer.P2a=TRUE,I.Facility.P2aFacilityCount&gt;=1807,F6819=""),"Incomplete","Complete")</f>
        <v>Complete</v>
      </c>
      <c r="I6819" s="48" t="s">
        <v>11184</v>
      </c>
    </row>
    <row r="6820" spans="2:9" ht="15" customHeight="1" x14ac:dyDescent="0.25">
      <c r="B6820" s="55" t="s">
        <v>280</v>
      </c>
      <c r="C6820" s="46">
        <v>1808</v>
      </c>
      <c r="D6820" s="69" t="s">
        <v>29417</v>
      </c>
      <c r="E6820" s="51"/>
      <c r="F6820" s="114" t="str">
        <f>IF(INDEX(I.Facility.P2aIDNumber,1808)="","",INDEX(I.Facility.P2aIDNumber,1808))</f>
        <v/>
      </c>
      <c r="G6820" s="51"/>
      <c r="H6820" s="46" t="str">
        <f>IF(AND(I.Developer.P2a=TRUE,I.Facility.P2aFacilityCount&gt;=1808,F6820=""),"Incomplete","Complete")</f>
        <v>Complete</v>
      </c>
      <c r="I6820" s="48" t="s">
        <v>11185</v>
      </c>
    </row>
    <row r="6821" spans="2:9" ht="15" customHeight="1" x14ac:dyDescent="0.25">
      <c r="B6821" s="55" t="s">
        <v>280</v>
      </c>
      <c r="C6821" s="46">
        <v>1809</v>
      </c>
      <c r="D6821" s="69" t="s">
        <v>29417</v>
      </c>
      <c r="E6821" s="51"/>
      <c r="F6821" s="114" t="str">
        <f>IF(INDEX(I.Facility.P2aIDNumber,1809)="","",INDEX(I.Facility.P2aIDNumber,1809))</f>
        <v/>
      </c>
      <c r="G6821" s="51"/>
      <c r="H6821" s="46" t="str">
        <f>IF(AND(I.Developer.P2a=TRUE,I.Facility.P2aFacilityCount&gt;=1809,F6821=""),"Incomplete","Complete")</f>
        <v>Complete</v>
      </c>
      <c r="I6821" s="48" t="s">
        <v>11186</v>
      </c>
    </row>
    <row r="6822" spans="2:9" ht="15" customHeight="1" x14ac:dyDescent="0.25">
      <c r="B6822" s="55" t="s">
        <v>280</v>
      </c>
      <c r="C6822" s="46">
        <v>1810</v>
      </c>
      <c r="D6822" s="69" t="s">
        <v>29417</v>
      </c>
      <c r="E6822" s="51"/>
      <c r="F6822" s="114" t="str">
        <f>IF(INDEX(I.Facility.P2aIDNumber,1810)="","",INDEX(I.Facility.P2aIDNumber,1810))</f>
        <v/>
      </c>
      <c r="G6822" s="51"/>
      <c r="H6822" s="46" t="str">
        <f>IF(AND(I.Developer.P2a=TRUE,I.Facility.P2aFacilityCount&gt;=1810,F6822=""),"Incomplete","Complete")</f>
        <v>Complete</v>
      </c>
      <c r="I6822" s="48" t="s">
        <v>11187</v>
      </c>
    </row>
    <row r="6823" spans="2:9" ht="15" customHeight="1" x14ac:dyDescent="0.25">
      <c r="B6823" s="55" t="s">
        <v>280</v>
      </c>
      <c r="C6823" s="46">
        <v>1811</v>
      </c>
      <c r="D6823" s="69" t="s">
        <v>29417</v>
      </c>
      <c r="E6823" s="51"/>
      <c r="F6823" s="114" t="str">
        <f>IF(INDEX(I.Facility.P2aIDNumber,1811)="","",INDEX(I.Facility.P2aIDNumber,1811))</f>
        <v/>
      </c>
      <c r="G6823" s="51"/>
      <c r="H6823" s="46" t="str">
        <f>IF(AND(I.Developer.P2a=TRUE,I.Facility.P2aFacilityCount&gt;=1811,F6823=""),"Incomplete","Complete")</f>
        <v>Complete</v>
      </c>
      <c r="I6823" s="48" t="s">
        <v>11188</v>
      </c>
    </row>
    <row r="6824" spans="2:9" ht="15" customHeight="1" x14ac:dyDescent="0.25">
      <c r="B6824" s="55" t="s">
        <v>280</v>
      </c>
      <c r="C6824" s="46">
        <v>1812</v>
      </c>
      <c r="D6824" s="69" t="s">
        <v>29417</v>
      </c>
      <c r="E6824" s="51"/>
      <c r="F6824" s="114" t="str">
        <f>IF(INDEX(I.Facility.P2aIDNumber,1812)="","",INDEX(I.Facility.P2aIDNumber,1812))</f>
        <v/>
      </c>
      <c r="G6824" s="51"/>
      <c r="H6824" s="46" t="str">
        <f>IF(AND(I.Developer.P2a=TRUE,I.Facility.P2aFacilityCount&gt;=1812,F6824=""),"Incomplete","Complete")</f>
        <v>Complete</v>
      </c>
      <c r="I6824" s="48" t="s">
        <v>11189</v>
      </c>
    </row>
    <row r="6825" spans="2:9" ht="15" customHeight="1" x14ac:dyDescent="0.25">
      <c r="B6825" s="55" t="s">
        <v>280</v>
      </c>
      <c r="C6825" s="46">
        <v>1813</v>
      </c>
      <c r="D6825" s="69" t="s">
        <v>29417</v>
      </c>
      <c r="E6825" s="51"/>
      <c r="F6825" s="114" t="str">
        <f>IF(INDEX(I.Facility.P2aIDNumber,1813)="","",INDEX(I.Facility.P2aIDNumber,1813))</f>
        <v/>
      </c>
      <c r="G6825" s="51"/>
      <c r="H6825" s="46" t="str">
        <f>IF(AND(I.Developer.P2a=TRUE,I.Facility.P2aFacilityCount&gt;=1813,F6825=""),"Incomplete","Complete")</f>
        <v>Complete</v>
      </c>
      <c r="I6825" s="48" t="s">
        <v>11190</v>
      </c>
    </row>
    <row r="6826" spans="2:9" ht="15" customHeight="1" x14ac:dyDescent="0.25">
      <c r="B6826" s="55" t="s">
        <v>280</v>
      </c>
      <c r="C6826" s="46">
        <v>1814</v>
      </c>
      <c r="D6826" s="69" t="s">
        <v>29417</v>
      </c>
      <c r="E6826" s="51"/>
      <c r="F6826" s="114" t="str">
        <f>IF(INDEX(I.Facility.P2aIDNumber,1814)="","",INDEX(I.Facility.P2aIDNumber,1814))</f>
        <v/>
      </c>
      <c r="G6826" s="51"/>
      <c r="H6826" s="46" t="str">
        <f>IF(AND(I.Developer.P2a=TRUE,I.Facility.P2aFacilityCount&gt;=1814,F6826=""),"Incomplete","Complete")</f>
        <v>Complete</v>
      </c>
      <c r="I6826" s="48" t="s">
        <v>11191</v>
      </c>
    </row>
    <row r="6827" spans="2:9" ht="15" customHeight="1" x14ac:dyDescent="0.25">
      <c r="B6827" s="55" t="s">
        <v>280</v>
      </c>
      <c r="C6827" s="46">
        <v>1815</v>
      </c>
      <c r="D6827" s="69" t="s">
        <v>29417</v>
      </c>
      <c r="E6827" s="51"/>
      <c r="F6827" s="114" t="str">
        <f>IF(INDEX(I.Facility.P2aIDNumber,1815)="","",INDEX(I.Facility.P2aIDNumber,1815))</f>
        <v/>
      </c>
      <c r="G6827" s="51"/>
      <c r="H6827" s="46" t="str">
        <f>IF(AND(I.Developer.P2a=TRUE,I.Facility.P2aFacilityCount&gt;=1815,F6827=""),"Incomplete","Complete")</f>
        <v>Complete</v>
      </c>
      <c r="I6827" s="48" t="s">
        <v>11192</v>
      </c>
    </row>
    <row r="6828" spans="2:9" ht="15" customHeight="1" x14ac:dyDescent="0.25">
      <c r="B6828" s="55" t="s">
        <v>280</v>
      </c>
      <c r="C6828" s="46">
        <v>1816</v>
      </c>
      <c r="D6828" s="69" t="s">
        <v>29417</v>
      </c>
      <c r="E6828" s="51"/>
      <c r="F6828" s="114" t="str">
        <f>IF(INDEX(I.Facility.P2aIDNumber,1816)="","",INDEX(I.Facility.P2aIDNumber,1816))</f>
        <v/>
      </c>
      <c r="G6828" s="51"/>
      <c r="H6828" s="46" t="str">
        <f>IF(AND(I.Developer.P2a=TRUE,I.Facility.P2aFacilityCount&gt;=1816,F6828=""),"Incomplete","Complete")</f>
        <v>Complete</v>
      </c>
      <c r="I6828" s="48" t="s">
        <v>11193</v>
      </c>
    </row>
    <row r="6829" spans="2:9" ht="15" customHeight="1" x14ac:dyDescent="0.25">
      <c r="B6829" s="55" t="s">
        <v>280</v>
      </c>
      <c r="C6829" s="46">
        <v>1817</v>
      </c>
      <c r="D6829" s="69" t="s">
        <v>29417</v>
      </c>
      <c r="E6829" s="51"/>
      <c r="F6829" s="114" t="str">
        <f>IF(INDEX(I.Facility.P2aIDNumber,1817)="","",INDEX(I.Facility.P2aIDNumber,1817))</f>
        <v/>
      </c>
      <c r="G6829" s="51"/>
      <c r="H6829" s="46" t="str">
        <f>IF(AND(I.Developer.P2a=TRUE,I.Facility.P2aFacilityCount&gt;=1817,F6829=""),"Incomplete","Complete")</f>
        <v>Complete</v>
      </c>
      <c r="I6829" s="48" t="s">
        <v>11194</v>
      </c>
    </row>
    <row r="6830" spans="2:9" ht="15" customHeight="1" x14ac:dyDescent="0.25">
      <c r="B6830" s="55" t="s">
        <v>280</v>
      </c>
      <c r="C6830" s="46">
        <v>1818</v>
      </c>
      <c r="D6830" s="69" t="s">
        <v>29417</v>
      </c>
      <c r="E6830" s="51"/>
      <c r="F6830" s="114" t="str">
        <f>IF(INDEX(I.Facility.P2aIDNumber,1818)="","",INDEX(I.Facility.P2aIDNumber,1818))</f>
        <v/>
      </c>
      <c r="G6830" s="51"/>
      <c r="H6830" s="46" t="str">
        <f>IF(AND(I.Developer.P2a=TRUE,I.Facility.P2aFacilityCount&gt;=1818,F6830=""),"Incomplete","Complete")</f>
        <v>Complete</v>
      </c>
      <c r="I6830" s="48" t="s">
        <v>11195</v>
      </c>
    </row>
    <row r="6831" spans="2:9" ht="15" customHeight="1" x14ac:dyDescent="0.25">
      <c r="B6831" s="55" t="s">
        <v>280</v>
      </c>
      <c r="C6831" s="46">
        <v>1819</v>
      </c>
      <c r="D6831" s="69" t="s">
        <v>29417</v>
      </c>
      <c r="E6831" s="51"/>
      <c r="F6831" s="114" t="str">
        <f>IF(INDEX(I.Facility.P2aIDNumber,1819)="","",INDEX(I.Facility.P2aIDNumber,1819))</f>
        <v/>
      </c>
      <c r="G6831" s="51"/>
      <c r="H6831" s="46" t="str">
        <f>IF(AND(I.Developer.P2a=TRUE,I.Facility.P2aFacilityCount&gt;=1819,F6831=""),"Incomplete","Complete")</f>
        <v>Complete</v>
      </c>
      <c r="I6831" s="48" t="s">
        <v>11196</v>
      </c>
    </row>
    <row r="6832" spans="2:9" ht="15" customHeight="1" x14ac:dyDescent="0.25">
      <c r="B6832" s="55" t="s">
        <v>280</v>
      </c>
      <c r="C6832" s="46">
        <v>1820</v>
      </c>
      <c r="D6832" s="69" t="s">
        <v>29417</v>
      </c>
      <c r="E6832" s="51"/>
      <c r="F6832" s="114" t="str">
        <f>IF(INDEX(I.Facility.P2aIDNumber,1820)="","",INDEX(I.Facility.P2aIDNumber,1820))</f>
        <v/>
      </c>
      <c r="G6832" s="51"/>
      <c r="H6832" s="46" t="str">
        <f>IF(AND(I.Developer.P2a=TRUE,I.Facility.P2aFacilityCount&gt;=1820,F6832=""),"Incomplete","Complete")</f>
        <v>Complete</v>
      </c>
      <c r="I6832" s="48" t="s">
        <v>11197</v>
      </c>
    </row>
    <row r="6833" spans="2:9" ht="15" customHeight="1" x14ac:dyDescent="0.25">
      <c r="B6833" s="55" t="s">
        <v>280</v>
      </c>
      <c r="C6833" s="46">
        <v>1821</v>
      </c>
      <c r="D6833" s="69" t="s">
        <v>29417</v>
      </c>
      <c r="E6833" s="51"/>
      <c r="F6833" s="114" t="str">
        <f>IF(INDEX(I.Facility.P2aIDNumber,1821)="","",INDEX(I.Facility.P2aIDNumber,1821))</f>
        <v/>
      </c>
      <c r="G6833" s="51"/>
      <c r="H6833" s="46" t="str">
        <f>IF(AND(I.Developer.P2a=TRUE,I.Facility.P2aFacilityCount&gt;=1821,F6833=""),"Incomplete","Complete")</f>
        <v>Complete</v>
      </c>
      <c r="I6833" s="48" t="s">
        <v>11198</v>
      </c>
    </row>
    <row r="6834" spans="2:9" ht="15" customHeight="1" x14ac:dyDescent="0.25">
      <c r="B6834" s="55" t="s">
        <v>280</v>
      </c>
      <c r="C6834" s="46">
        <v>1822</v>
      </c>
      <c r="D6834" s="69" t="s">
        <v>29417</v>
      </c>
      <c r="E6834" s="51"/>
      <c r="F6834" s="114" t="str">
        <f>IF(INDEX(I.Facility.P2aIDNumber,1822)="","",INDEX(I.Facility.P2aIDNumber,1822))</f>
        <v/>
      </c>
      <c r="G6834" s="51"/>
      <c r="H6834" s="46" t="str">
        <f>IF(AND(I.Developer.P2a=TRUE,I.Facility.P2aFacilityCount&gt;=1822,F6834=""),"Incomplete","Complete")</f>
        <v>Complete</v>
      </c>
      <c r="I6834" s="48" t="s">
        <v>11199</v>
      </c>
    </row>
    <row r="6835" spans="2:9" ht="15" customHeight="1" x14ac:dyDescent="0.25">
      <c r="B6835" s="55" t="s">
        <v>280</v>
      </c>
      <c r="C6835" s="46">
        <v>1823</v>
      </c>
      <c r="D6835" s="69" t="s">
        <v>29417</v>
      </c>
      <c r="E6835" s="51"/>
      <c r="F6835" s="114" t="str">
        <f>IF(INDEX(I.Facility.P2aIDNumber,1823)="","",INDEX(I.Facility.P2aIDNumber,1823))</f>
        <v/>
      </c>
      <c r="G6835" s="51"/>
      <c r="H6835" s="46" t="str">
        <f>IF(AND(I.Developer.P2a=TRUE,I.Facility.P2aFacilityCount&gt;=1823,F6835=""),"Incomplete","Complete")</f>
        <v>Complete</v>
      </c>
      <c r="I6835" s="48" t="s">
        <v>11200</v>
      </c>
    </row>
    <row r="6836" spans="2:9" ht="15" customHeight="1" x14ac:dyDescent="0.25">
      <c r="B6836" s="55" t="s">
        <v>280</v>
      </c>
      <c r="C6836" s="46">
        <v>1824</v>
      </c>
      <c r="D6836" s="69" t="s">
        <v>29417</v>
      </c>
      <c r="E6836" s="51"/>
      <c r="F6836" s="114" t="str">
        <f>IF(INDEX(I.Facility.P2aIDNumber,1824)="","",INDEX(I.Facility.P2aIDNumber,1824))</f>
        <v/>
      </c>
      <c r="G6836" s="51"/>
      <c r="H6836" s="46" t="str">
        <f>IF(AND(I.Developer.P2a=TRUE,I.Facility.P2aFacilityCount&gt;=1824,F6836=""),"Incomplete","Complete")</f>
        <v>Complete</v>
      </c>
      <c r="I6836" s="48" t="s">
        <v>11201</v>
      </c>
    </row>
    <row r="6837" spans="2:9" ht="15" customHeight="1" x14ac:dyDescent="0.25">
      <c r="B6837" s="55" t="s">
        <v>280</v>
      </c>
      <c r="C6837" s="46">
        <v>1825</v>
      </c>
      <c r="D6837" s="69" t="s">
        <v>29417</v>
      </c>
      <c r="E6837" s="51"/>
      <c r="F6837" s="114" t="str">
        <f>IF(INDEX(I.Facility.P2aIDNumber,1825)="","",INDEX(I.Facility.P2aIDNumber,1825))</f>
        <v/>
      </c>
      <c r="G6837" s="51"/>
      <c r="H6837" s="46" t="str">
        <f>IF(AND(I.Developer.P2a=TRUE,I.Facility.P2aFacilityCount&gt;=1825,F6837=""),"Incomplete","Complete")</f>
        <v>Complete</v>
      </c>
      <c r="I6837" s="48" t="s">
        <v>11202</v>
      </c>
    </row>
    <row r="6838" spans="2:9" ht="15" customHeight="1" x14ac:dyDescent="0.25">
      <c r="B6838" s="55" t="s">
        <v>280</v>
      </c>
      <c r="C6838" s="46">
        <v>1826</v>
      </c>
      <c r="D6838" s="69" t="s">
        <v>29417</v>
      </c>
      <c r="E6838" s="51"/>
      <c r="F6838" s="114" t="str">
        <f>IF(INDEX(I.Facility.P2aIDNumber,1826)="","",INDEX(I.Facility.P2aIDNumber,1826))</f>
        <v/>
      </c>
      <c r="G6838" s="51"/>
      <c r="H6838" s="46" t="str">
        <f>IF(AND(I.Developer.P2a=TRUE,I.Facility.P2aFacilityCount&gt;=1826,F6838=""),"Incomplete","Complete")</f>
        <v>Complete</v>
      </c>
      <c r="I6838" s="48" t="s">
        <v>11203</v>
      </c>
    </row>
    <row r="6839" spans="2:9" ht="15" customHeight="1" x14ac:dyDescent="0.25">
      <c r="B6839" s="55" t="s">
        <v>280</v>
      </c>
      <c r="C6839" s="46">
        <v>1827</v>
      </c>
      <c r="D6839" s="69" t="s">
        <v>29417</v>
      </c>
      <c r="E6839" s="51"/>
      <c r="F6839" s="114" t="str">
        <f>IF(INDEX(I.Facility.P2aIDNumber,1827)="","",INDEX(I.Facility.P2aIDNumber,1827))</f>
        <v/>
      </c>
      <c r="G6839" s="51"/>
      <c r="H6839" s="46" t="str">
        <f>IF(AND(I.Developer.P2a=TRUE,I.Facility.P2aFacilityCount&gt;=1827,F6839=""),"Incomplete","Complete")</f>
        <v>Complete</v>
      </c>
      <c r="I6839" s="48" t="s">
        <v>11204</v>
      </c>
    </row>
    <row r="6840" spans="2:9" ht="15" customHeight="1" x14ac:dyDescent="0.25">
      <c r="B6840" s="55" t="s">
        <v>280</v>
      </c>
      <c r="C6840" s="46">
        <v>1828</v>
      </c>
      <c r="D6840" s="69" t="s">
        <v>29417</v>
      </c>
      <c r="E6840" s="51"/>
      <c r="F6840" s="114" t="str">
        <f>IF(INDEX(I.Facility.P2aIDNumber,1828)="","",INDEX(I.Facility.P2aIDNumber,1828))</f>
        <v/>
      </c>
      <c r="G6840" s="51"/>
      <c r="H6840" s="46" t="str">
        <f>IF(AND(I.Developer.P2a=TRUE,I.Facility.P2aFacilityCount&gt;=1828,F6840=""),"Incomplete","Complete")</f>
        <v>Complete</v>
      </c>
      <c r="I6840" s="48" t="s">
        <v>11205</v>
      </c>
    </row>
    <row r="6841" spans="2:9" ht="15" customHeight="1" x14ac:dyDescent="0.25">
      <c r="B6841" s="55" t="s">
        <v>280</v>
      </c>
      <c r="C6841" s="46">
        <v>1829</v>
      </c>
      <c r="D6841" s="69" t="s">
        <v>29417</v>
      </c>
      <c r="E6841" s="51"/>
      <c r="F6841" s="114" t="str">
        <f>IF(INDEX(I.Facility.P2aIDNumber,1829)="","",INDEX(I.Facility.P2aIDNumber,1829))</f>
        <v/>
      </c>
      <c r="G6841" s="51"/>
      <c r="H6841" s="46" t="str">
        <f>IF(AND(I.Developer.P2a=TRUE,I.Facility.P2aFacilityCount&gt;=1829,F6841=""),"Incomplete","Complete")</f>
        <v>Complete</v>
      </c>
      <c r="I6841" s="48" t="s">
        <v>11206</v>
      </c>
    </row>
    <row r="6842" spans="2:9" ht="15" customHeight="1" x14ac:dyDescent="0.25">
      <c r="B6842" s="55" t="s">
        <v>280</v>
      </c>
      <c r="C6842" s="46">
        <v>1830</v>
      </c>
      <c r="D6842" s="69" t="s">
        <v>29417</v>
      </c>
      <c r="E6842" s="51"/>
      <c r="F6842" s="114" t="str">
        <f>IF(INDEX(I.Facility.P2aIDNumber,1830)="","",INDEX(I.Facility.P2aIDNumber,1830))</f>
        <v/>
      </c>
      <c r="G6842" s="51"/>
      <c r="H6842" s="46" t="str">
        <f>IF(AND(I.Developer.P2a=TRUE,I.Facility.P2aFacilityCount&gt;=1830,F6842=""),"Incomplete","Complete")</f>
        <v>Complete</v>
      </c>
      <c r="I6842" s="48" t="s">
        <v>11207</v>
      </c>
    </row>
    <row r="6843" spans="2:9" ht="15" customHeight="1" x14ac:dyDescent="0.25">
      <c r="B6843" s="55" t="s">
        <v>280</v>
      </c>
      <c r="C6843" s="46">
        <v>1831</v>
      </c>
      <c r="D6843" s="69" t="s">
        <v>29417</v>
      </c>
      <c r="E6843" s="51"/>
      <c r="F6843" s="114" t="str">
        <f>IF(INDEX(I.Facility.P2aIDNumber,1831)="","",INDEX(I.Facility.P2aIDNumber,1831))</f>
        <v/>
      </c>
      <c r="G6843" s="51"/>
      <c r="H6843" s="46" t="str">
        <f>IF(AND(I.Developer.P2a=TRUE,I.Facility.P2aFacilityCount&gt;=1831,F6843=""),"Incomplete","Complete")</f>
        <v>Complete</v>
      </c>
      <c r="I6843" s="48" t="s">
        <v>11208</v>
      </c>
    </row>
    <row r="6844" spans="2:9" ht="15" customHeight="1" x14ac:dyDescent="0.25">
      <c r="B6844" s="55" t="s">
        <v>280</v>
      </c>
      <c r="C6844" s="46">
        <v>1832</v>
      </c>
      <c r="D6844" s="69" t="s">
        <v>29417</v>
      </c>
      <c r="E6844" s="51"/>
      <c r="F6844" s="114" t="str">
        <f>IF(INDEX(I.Facility.P2aIDNumber,1832)="","",INDEX(I.Facility.P2aIDNumber,1832))</f>
        <v/>
      </c>
      <c r="G6844" s="51"/>
      <c r="H6844" s="46" t="str">
        <f>IF(AND(I.Developer.P2a=TRUE,I.Facility.P2aFacilityCount&gt;=1832,F6844=""),"Incomplete","Complete")</f>
        <v>Complete</v>
      </c>
      <c r="I6844" s="48" t="s">
        <v>11209</v>
      </c>
    </row>
    <row r="6845" spans="2:9" ht="15" customHeight="1" x14ac:dyDescent="0.25">
      <c r="B6845" s="55" t="s">
        <v>280</v>
      </c>
      <c r="C6845" s="46">
        <v>1833</v>
      </c>
      <c r="D6845" s="69" t="s">
        <v>29417</v>
      </c>
      <c r="E6845" s="51"/>
      <c r="F6845" s="114" t="str">
        <f>IF(INDEX(I.Facility.P2aIDNumber,1833)="","",INDEX(I.Facility.P2aIDNumber,1833))</f>
        <v/>
      </c>
      <c r="G6845" s="51"/>
      <c r="H6845" s="46" t="str">
        <f>IF(AND(I.Developer.P2a=TRUE,I.Facility.P2aFacilityCount&gt;=1833,F6845=""),"Incomplete","Complete")</f>
        <v>Complete</v>
      </c>
      <c r="I6845" s="48" t="s">
        <v>11210</v>
      </c>
    </row>
    <row r="6846" spans="2:9" ht="15" customHeight="1" x14ac:dyDescent="0.25">
      <c r="B6846" s="55" t="s">
        <v>280</v>
      </c>
      <c r="C6846" s="46">
        <v>1834</v>
      </c>
      <c r="D6846" s="69" t="s">
        <v>29417</v>
      </c>
      <c r="E6846" s="51"/>
      <c r="F6846" s="114" t="str">
        <f>IF(INDEX(I.Facility.P2aIDNumber,1834)="","",INDEX(I.Facility.P2aIDNumber,1834))</f>
        <v/>
      </c>
      <c r="G6846" s="51"/>
      <c r="H6846" s="46" t="str">
        <f>IF(AND(I.Developer.P2a=TRUE,I.Facility.P2aFacilityCount&gt;=1834,F6846=""),"Incomplete","Complete")</f>
        <v>Complete</v>
      </c>
      <c r="I6846" s="48" t="s">
        <v>11211</v>
      </c>
    </row>
    <row r="6847" spans="2:9" ht="15" customHeight="1" x14ac:dyDescent="0.25">
      <c r="B6847" s="55" t="s">
        <v>280</v>
      </c>
      <c r="C6847" s="46">
        <v>1835</v>
      </c>
      <c r="D6847" s="69" t="s">
        <v>29417</v>
      </c>
      <c r="E6847" s="51"/>
      <c r="F6847" s="114" t="str">
        <f>IF(INDEX(I.Facility.P2aIDNumber,1835)="","",INDEX(I.Facility.P2aIDNumber,1835))</f>
        <v/>
      </c>
      <c r="G6847" s="51"/>
      <c r="H6847" s="46" t="str">
        <f>IF(AND(I.Developer.P2a=TRUE,I.Facility.P2aFacilityCount&gt;=1835,F6847=""),"Incomplete","Complete")</f>
        <v>Complete</v>
      </c>
      <c r="I6847" s="48" t="s">
        <v>11212</v>
      </c>
    </row>
    <row r="6848" spans="2:9" ht="15" customHeight="1" x14ac:dyDescent="0.25">
      <c r="B6848" s="55" t="s">
        <v>280</v>
      </c>
      <c r="C6848" s="46">
        <v>1836</v>
      </c>
      <c r="D6848" s="69" t="s">
        <v>29417</v>
      </c>
      <c r="E6848" s="51"/>
      <c r="F6848" s="114" t="str">
        <f>IF(INDEX(I.Facility.P2aIDNumber,1836)="","",INDEX(I.Facility.P2aIDNumber,1836))</f>
        <v/>
      </c>
      <c r="G6848" s="51"/>
      <c r="H6848" s="46" t="str">
        <f>IF(AND(I.Developer.P2a=TRUE,I.Facility.P2aFacilityCount&gt;=1836,F6848=""),"Incomplete","Complete")</f>
        <v>Complete</v>
      </c>
      <c r="I6848" s="48" t="s">
        <v>11213</v>
      </c>
    </row>
    <row r="6849" spans="2:9" ht="15" customHeight="1" x14ac:dyDescent="0.25">
      <c r="B6849" s="55" t="s">
        <v>280</v>
      </c>
      <c r="C6849" s="46">
        <v>1837</v>
      </c>
      <c r="D6849" s="69" t="s">
        <v>29417</v>
      </c>
      <c r="E6849" s="51"/>
      <c r="F6849" s="114" t="str">
        <f>IF(INDEX(I.Facility.P2aIDNumber,1837)="","",INDEX(I.Facility.P2aIDNumber,1837))</f>
        <v/>
      </c>
      <c r="G6849" s="51"/>
      <c r="H6849" s="46" t="str">
        <f>IF(AND(I.Developer.P2a=TRUE,I.Facility.P2aFacilityCount&gt;=1837,F6849=""),"Incomplete","Complete")</f>
        <v>Complete</v>
      </c>
      <c r="I6849" s="48" t="s">
        <v>11214</v>
      </c>
    </row>
    <row r="6850" spans="2:9" ht="15" customHeight="1" x14ac:dyDescent="0.25">
      <c r="B6850" s="55" t="s">
        <v>280</v>
      </c>
      <c r="C6850" s="46">
        <v>1838</v>
      </c>
      <c r="D6850" s="69" t="s">
        <v>29417</v>
      </c>
      <c r="E6850" s="51"/>
      <c r="F6850" s="114" t="str">
        <f>IF(INDEX(I.Facility.P2aIDNumber,1838)="","",INDEX(I.Facility.P2aIDNumber,1838))</f>
        <v/>
      </c>
      <c r="G6850" s="51"/>
      <c r="H6850" s="46" t="str">
        <f>IF(AND(I.Developer.P2a=TRUE,I.Facility.P2aFacilityCount&gt;=1838,F6850=""),"Incomplete","Complete")</f>
        <v>Complete</v>
      </c>
      <c r="I6850" s="48" t="s">
        <v>11215</v>
      </c>
    </row>
    <row r="6851" spans="2:9" ht="15" customHeight="1" x14ac:dyDescent="0.25">
      <c r="B6851" s="55" t="s">
        <v>280</v>
      </c>
      <c r="C6851" s="46">
        <v>1839</v>
      </c>
      <c r="D6851" s="69" t="s">
        <v>29417</v>
      </c>
      <c r="E6851" s="51"/>
      <c r="F6851" s="114" t="str">
        <f>IF(INDEX(I.Facility.P2aIDNumber,1839)="","",INDEX(I.Facility.P2aIDNumber,1839))</f>
        <v/>
      </c>
      <c r="G6851" s="51"/>
      <c r="H6851" s="46" t="str">
        <f>IF(AND(I.Developer.P2a=TRUE,I.Facility.P2aFacilityCount&gt;=1839,F6851=""),"Incomplete","Complete")</f>
        <v>Complete</v>
      </c>
      <c r="I6851" s="48" t="s">
        <v>11216</v>
      </c>
    </row>
    <row r="6852" spans="2:9" ht="15" customHeight="1" x14ac:dyDescent="0.25">
      <c r="B6852" s="55" t="s">
        <v>280</v>
      </c>
      <c r="C6852" s="46">
        <v>1840</v>
      </c>
      <c r="D6852" s="69" t="s">
        <v>29417</v>
      </c>
      <c r="E6852" s="51"/>
      <c r="F6852" s="114" t="str">
        <f>IF(INDEX(I.Facility.P2aIDNumber,1840)="","",INDEX(I.Facility.P2aIDNumber,1840))</f>
        <v/>
      </c>
      <c r="G6852" s="51"/>
      <c r="H6852" s="46" t="str">
        <f>IF(AND(I.Developer.P2a=TRUE,I.Facility.P2aFacilityCount&gt;=1840,F6852=""),"Incomplete","Complete")</f>
        <v>Complete</v>
      </c>
      <c r="I6852" s="48" t="s">
        <v>11217</v>
      </c>
    </row>
    <row r="6853" spans="2:9" ht="15" customHeight="1" x14ac:dyDescent="0.25">
      <c r="B6853" s="55" t="s">
        <v>280</v>
      </c>
      <c r="C6853" s="46">
        <v>1841</v>
      </c>
      <c r="D6853" s="69" t="s">
        <v>29417</v>
      </c>
      <c r="E6853" s="51"/>
      <c r="F6853" s="114" t="str">
        <f>IF(INDEX(I.Facility.P2aIDNumber,1841)="","",INDEX(I.Facility.P2aIDNumber,1841))</f>
        <v/>
      </c>
      <c r="G6853" s="51"/>
      <c r="H6853" s="46" t="str">
        <f>IF(AND(I.Developer.P2a=TRUE,I.Facility.P2aFacilityCount&gt;=1841,F6853=""),"Incomplete","Complete")</f>
        <v>Complete</v>
      </c>
      <c r="I6853" s="48" t="s">
        <v>11218</v>
      </c>
    </row>
    <row r="6854" spans="2:9" ht="15" customHeight="1" x14ac:dyDescent="0.25">
      <c r="B6854" s="55" t="s">
        <v>280</v>
      </c>
      <c r="C6854" s="46">
        <v>1842</v>
      </c>
      <c r="D6854" s="69" t="s">
        <v>29417</v>
      </c>
      <c r="E6854" s="51"/>
      <c r="F6854" s="114" t="str">
        <f>IF(INDEX(I.Facility.P2aIDNumber,1842)="","",INDEX(I.Facility.P2aIDNumber,1842))</f>
        <v/>
      </c>
      <c r="G6854" s="51"/>
      <c r="H6854" s="46" t="str">
        <f>IF(AND(I.Developer.P2a=TRUE,I.Facility.P2aFacilityCount&gt;=1842,F6854=""),"Incomplete","Complete")</f>
        <v>Complete</v>
      </c>
      <c r="I6854" s="48" t="s">
        <v>11219</v>
      </c>
    </row>
    <row r="6855" spans="2:9" ht="15" customHeight="1" x14ac:dyDescent="0.25">
      <c r="B6855" s="55" t="s">
        <v>280</v>
      </c>
      <c r="C6855" s="46">
        <v>1843</v>
      </c>
      <c r="D6855" s="69" t="s">
        <v>29417</v>
      </c>
      <c r="E6855" s="51"/>
      <c r="F6855" s="114" t="str">
        <f>IF(INDEX(I.Facility.P2aIDNumber,1843)="","",INDEX(I.Facility.P2aIDNumber,1843))</f>
        <v/>
      </c>
      <c r="G6855" s="51"/>
      <c r="H6855" s="46" t="str">
        <f>IF(AND(I.Developer.P2a=TRUE,I.Facility.P2aFacilityCount&gt;=1843,F6855=""),"Incomplete","Complete")</f>
        <v>Complete</v>
      </c>
      <c r="I6855" s="48" t="s">
        <v>11220</v>
      </c>
    </row>
    <row r="6856" spans="2:9" ht="15" customHeight="1" x14ac:dyDescent="0.25">
      <c r="B6856" s="55" t="s">
        <v>280</v>
      </c>
      <c r="C6856" s="46">
        <v>1844</v>
      </c>
      <c r="D6856" s="69" t="s">
        <v>29417</v>
      </c>
      <c r="E6856" s="51"/>
      <c r="F6856" s="114" t="str">
        <f>IF(INDEX(I.Facility.P2aIDNumber,1844)="","",INDEX(I.Facility.P2aIDNumber,1844))</f>
        <v/>
      </c>
      <c r="G6856" s="51"/>
      <c r="H6856" s="46" t="str">
        <f>IF(AND(I.Developer.P2a=TRUE,I.Facility.P2aFacilityCount&gt;=1844,F6856=""),"Incomplete","Complete")</f>
        <v>Complete</v>
      </c>
      <c r="I6856" s="48" t="s">
        <v>11221</v>
      </c>
    </row>
    <row r="6857" spans="2:9" ht="15" customHeight="1" x14ac:dyDescent="0.25">
      <c r="B6857" s="55" t="s">
        <v>280</v>
      </c>
      <c r="C6857" s="46">
        <v>1845</v>
      </c>
      <c r="D6857" s="69" t="s">
        <v>29417</v>
      </c>
      <c r="E6857" s="51"/>
      <c r="F6857" s="114" t="str">
        <f>IF(INDEX(I.Facility.P2aIDNumber,1845)="","",INDEX(I.Facility.P2aIDNumber,1845))</f>
        <v/>
      </c>
      <c r="G6857" s="51"/>
      <c r="H6857" s="46" t="str">
        <f>IF(AND(I.Developer.P2a=TRUE,I.Facility.P2aFacilityCount&gt;=1845,F6857=""),"Incomplete","Complete")</f>
        <v>Complete</v>
      </c>
      <c r="I6857" s="48" t="s">
        <v>11222</v>
      </c>
    </row>
    <row r="6858" spans="2:9" ht="15" customHeight="1" x14ac:dyDescent="0.25">
      <c r="B6858" s="55" t="s">
        <v>280</v>
      </c>
      <c r="C6858" s="46">
        <v>1846</v>
      </c>
      <c r="D6858" s="69" t="s">
        <v>29417</v>
      </c>
      <c r="E6858" s="51"/>
      <c r="F6858" s="114" t="str">
        <f>IF(INDEX(I.Facility.P2aIDNumber,1846)="","",INDEX(I.Facility.P2aIDNumber,1846))</f>
        <v/>
      </c>
      <c r="G6858" s="51"/>
      <c r="H6858" s="46" t="str">
        <f>IF(AND(I.Developer.P2a=TRUE,I.Facility.P2aFacilityCount&gt;=1846,F6858=""),"Incomplete","Complete")</f>
        <v>Complete</v>
      </c>
      <c r="I6858" s="48" t="s">
        <v>11223</v>
      </c>
    </row>
    <row r="6859" spans="2:9" ht="15" customHeight="1" x14ac:dyDescent="0.25">
      <c r="B6859" s="55" t="s">
        <v>280</v>
      </c>
      <c r="C6859" s="46">
        <v>1847</v>
      </c>
      <c r="D6859" s="69" t="s">
        <v>29417</v>
      </c>
      <c r="E6859" s="51"/>
      <c r="F6859" s="114" t="str">
        <f>IF(INDEX(I.Facility.P2aIDNumber,1847)="","",INDEX(I.Facility.P2aIDNumber,1847))</f>
        <v/>
      </c>
      <c r="G6859" s="51"/>
      <c r="H6859" s="46" t="str">
        <f>IF(AND(I.Developer.P2a=TRUE,I.Facility.P2aFacilityCount&gt;=1847,F6859=""),"Incomplete","Complete")</f>
        <v>Complete</v>
      </c>
      <c r="I6859" s="48" t="s">
        <v>11224</v>
      </c>
    </row>
    <row r="6860" spans="2:9" ht="15" customHeight="1" x14ac:dyDescent="0.25">
      <c r="B6860" s="55" t="s">
        <v>280</v>
      </c>
      <c r="C6860" s="46">
        <v>1848</v>
      </c>
      <c r="D6860" s="69" t="s">
        <v>29417</v>
      </c>
      <c r="E6860" s="51"/>
      <c r="F6860" s="114" t="str">
        <f>IF(INDEX(I.Facility.P2aIDNumber,1848)="","",INDEX(I.Facility.P2aIDNumber,1848))</f>
        <v/>
      </c>
      <c r="G6860" s="51"/>
      <c r="H6860" s="46" t="str">
        <f>IF(AND(I.Developer.P2a=TRUE,I.Facility.P2aFacilityCount&gt;=1848,F6860=""),"Incomplete","Complete")</f>
        <v>Complete</v>
      </c>
      <c r="I6860" s="48" t="s">
        <v>11225</v>
      </c>
    </row>
    <row r="6861" spans="2:9" ht="15" customHeight="1" x14ac:dyDescent="0.25">
      <c r="B6861" s="55" t="s">
        <v>280</v>
      </c>
      <c r="C6861" s="46">
        <v>1849</v>
      </c>
      <c r="D6861" s="69" t="s">
        <v>29417</v>
      </c>
      <c r="E6861" s="51"/>
      <c r="F6861" s="114" t="str">
        <f>IF(INDEX(I.Facility.P2aIDNumber,1849)="","",INDEX(I.Facility.P2aIDNumber,1849))</f>
        <v/>
      </c>
      <c r="G6861" s="51"/>
      <c r="H6861" s="46" t="str">
        <f>IF(AND(I.Developer.P2a=TRUE,I.Facility.P2aFacilityCount&gt;=1849,F6861=""),"Incomplete","Complete")</f>
        <v>Complete</v>
      </c>
      <c r="I6861" s="48" t="s">
        <v>11226</v>
      </c>
    </row>
    <row r="6862" spans="2:9" ht="15" customHeight="1" x14ac:dyDescent="0.25">
      <c r="B6862" s="55" t="s">
        <v>280</v>
      </c>
      <c r="C6862" s="46">
        <v>1850</v>
      </c>
      <c r="D6862" s="69" t="s">
        <v>29417</v>
      </c>
      <c r="E6862" s="51"/>
      <c r="F6862" s="114" t="str">
        <f>IF(INDEX(I.Facility.P2aIDNumber,1850)="","",INDEX(I.Facility.P2aIDNumber,1850))</f>
        <v/>
      </c>
      <c r="G6862" s="51"/>
      <c r="H6862" s="46" t="str">
        <f>IF(AND(I.Developer.P2a=TRUE,I.Facility.P2aFacilityCount&gt;=1850,F6862=""),"Incomplete","Complete")</f>
        <v>Complete</v>
      </c>
      <c r="I6862" s="48" t="s">
        <v>11227</v>
      </c>
    </row>
    <row r="6863" spans="2:9" ht="15" customHeight="1" x14ac:dyDescent="0.25">
      <c r="B6863" s="55" t="s">
        <v>280</v>
      </c>
      <c r="C6863" s="46">
        <v>1851</v>
      </c>
      <c r="D6863" s="69" t="s">
        <v>29417</v>
      </c>
      <c r="E6863" s="51"/>
      <c r="F6863" s="114" t="str">
        <f>IF(INDEX(I.Facility.P2aIDNumber,1851)="","",INDEX(I.Facility.P2aIDNumber,1851))</f>
        <v/>
      </c>
      <c r="G6863" s="51"/>
      <c r="H6863" s="46" t="str">
        <f>IF(AND(I.Developer.P2a=TRUE,I.Facility.P2aFacilityCount&gt;=1851,F6863=""),"Incomplete","Complete")</f>
        <v>Complete</v>
      </c>
      <c r="I6863" s="48" t="s">
        <v>11228</v>
      </c>
    </row>
    <row r="6864" spans="2:9" ht="15" customHeight="1" x14ac:dyDescent="0.25">
      <c r="B6864" s="55" t="s">
        <v>280</v>
      </c>
      <c r="C6864" s="46">
        <v>1852</v>
      </c>
      <c r="D6864" s="69" t="s">
        <v>29417</v>
      </c>
      <c r="E6864" s="51"/>
      <c r="F6864" s="114" t="str">
        <f>IF(INDEX(I.Facility.P2aIDNumber,1852)="","",INDEX(I.Facility.P2aIDNumber,1852))</f>
        <v/>
      </c>
      <c r="G6864" s="51"/>
      <c r="H6864" s="46" t="str">
        <f>IF(AND(I.Developer.P2a=TRUE,I.Facility.P2aFacilityCount&gt;=1852,F6864=""),"Incomplete","Complete")</f>
        <v>Complete</v>
      </c>
      <c r="I6864" s="48" t="s">
        <v>11229</v>
      </c>
    </row>
    <row r="6865" spans="2:9" ht="15" customHeight="1" x14ac:dyDescent="0.25">
      <c r="B6865" s="55" t="s">
        <v>280</v>
      </c>
      <c r="C6865" s="46">
        <v>1853</v>
      </c>
      <c r="D6865" s="69" t="s">
        <v>29417</v>
      </c>
      <c r="E6865" s="51"/>
      <c r="F6865" s="114" t="str">
        <f>IF(INDEX(I.Facility.P2aIDNumber,1853)="","",INDEX(I.Facility.P2aIDNumber,1853))</f>
        <v/>
      </c>
      <c r="G6865" s="51"/>
      <c r="H6865" s="46" t="str">
        <f>IF(AND(I.Developer.P2a=TRUE,I.Facility.P2aFacilityCount&gt;=1853,F6865=""),"Incomplete","Complete")</f>
        <v>Complete</v>
      </c>
      <c r="I6865" s="48" t="s">
        <v>11230</v>
      </c>
    </row>
    <row r="6866" spans="2:9" ht="15" customHeight="1" x14ac:dyDescent="0.25">
      <c r="B6866" s="55" t="s">
        <v>280</v>
      </c>
      <c r="C6866" s="46">
        <v>1854</v>
      </c>
      <c r="D6866" s="69" t="s">
        <v>29417</v>
      </c>
      <c r="E6866" s="51"/>
      <c r="F6866" s="114" t="str">
        <f>IF(INDEX(I.Facility.P2aIDNumber,1854)="","",INDEX(I.Facility.P2aIDNumber,1854))</f>
        <v/>
      </c>
      <c r="G6866" s="51"/>
      <c r="H6866" s="46" t="str">
        <f>IF(AND(I.Developer.P2a=TRUE,I.Facility.P2aFacilityCount&gt;=1854,F6866=""),"Incomplete","Complete")</f>
        <v>Complete</v>
      </c>
      <c r="I6866" s="48" t="s">
        <v>11231</v>
      </c>
    </row>
    <row r="6867" spans="2:9" ht="15" customHeight="1" x14ac:dyDescent="0.25">
      <c r="B6867" s="55" t="s">
        <v>280</v>
      </c>
      <c r="C6867" s="46">
        <v>1855</v>
      </c>
      <c r="D6867" s="69" t="s">
        <v>29417</v>
      </c>
      <c r="E6867" s="51"/>
      <c r="F6867" s="114" t="str">
        <f>IF(INDEX(I.Facility.P2aIDNumber,1855)="","",INDEX(I.Facility.P2aIDNumber,1855))</f>
        <v/>
      </c>
      <c r="G6867" s="51"/>
      <c r="H6867" s="46" t="str">
        <f>IF(AND(I.Developer.P2a=TRUE,I.Facility.P2aFacilityCount&gt;=1855,F6867=""),"Incomplete","Complete")</f>
        <v>Complete</v>
      </c>
      <c r="I6867" s="48" t="s">
        <v>11232</v>
      </c>
    </row>
    <row r="6868" spans="2:9" ht="15" customHeight="1" x14ac:dyDescent="0.25">
      <c r="B6868" s="55" t="s">
        <v>280</v>
      </c>
      <c r="C6868" s="46">
        <v>1856</v>
      </c>
      <c r="D6868" s="69" t="s">
        <v>29417</v>
      </c>
      <c r="E6868" s="51"/>
      <c r="F6868" s="114" t="str">
        <f>IF(INDEX(I.Facility.P2aIDNumber,1856)="","",INDEX(I.Facility.P2aIDNumber,1856))</f>
        <v/>
      </c>
      <c r="G6868" s="51"/>
      <c r="H6868" s="46" t="str">
        <f>IF(AND(I.Developer.P2a=TRUE,I.Facility.P2aFacilityCount&gt;=1856,F6868=""),"Incomplete","Complete")</f>
        <v>Complete</v>
      </c>
      <c r="I6868" s="48" t="s">
        <v>11233</v>
      </c>
    </row>
    <row r="6869" spans="2:9" ht="15" customHeight="1" x14ac:dyDescent="0.25">
      <c r="B6869" s="55" t="s">
        <v>280</v>
      </c>
      <c r="C6869" s="46">
        <v>1857</v>
      </c>
      <c r="D6869" s="69" t="s">
        <v>29417</v>
      </c>
      <c r="E6869" s="51"/>
      <c r="F6869" s="114" t="str">
        <f>IF(INDEX(I.Facility.P2aIDNumber,1857)="","",INDEX(I.Facility.P2aIDNumber,1857))</f>
        <v/>
      </c>
      <c r="G6869" s="51"/>
      <c r="H6869" s="46" t="str">
        <f>IF(AND(I.Developer.P2a=TRUE,I.Facility.P2aFacilityCount&gt;=1857,F6869=""),"Incomplete","Complete")</f>
        <v>Complete</v>
      </c>
      <c r="I6869" s="48" t="s">
        <v>11234</v>
      </c>
    </row>
    <row r="6870" spans="2:9" ht="15" customHeight="1" x14ac:dyDescent="0.25">
      <c r="B6870" s="55" t="s">
        <v>280</v>
      </c>
      <c r="C6870" s="46">
        <v>1858</v>
      </c>
      <c r="D6870" s="69" t="s">
        <v>29417</v>
      </c>
      <c r="E6870" s="51"/>
      <c r="F6870" s="114" t="str">
        <f>IF(INDEX(I.Facility.P2aIDNumber,1858)="","",INDEX(I.Facility.P2aIDNumber,1858))</f>
        <v/>
      </c>
      <c r="G6870" s="51"/>
      <c r="H6870" s="46" t="str">
        <f>IF(AND(I.Developer.P2a=TRUE,I.Facility.P2aFacilityCount&gt;=1858,F6870=""),"Incomplete","Complete")</f>
        <v>Complete</v>
      </c>
      <c r="I6870" s="48" t="s">
        <v>11235</v>
      </c>
    </row>
    <row r="6871" spans="2:9" ht="15" customHeight="1" x14ac:dyDescent="0.25">
      <c r="B6871" s="55" t="s">
        <v>280</v>
      </c>
      <c r="C6871" s="46">
        <v>1859</v>
      </c>
      <c r="D6871" s="69" t="s">
        <v>29417</v>
      </c>
      <c r="E6871" s="51"/>
      <c r="F6871" s="114" t="str">
        <f>IF(INDEX(I.Facility.P2aIDNumber,1859)="","",INDEX(I.Facility.P2aIDNumber,1859))</f>
        <v/>
      </c>
      <c r="G6871" s="51"/>
      <c r="H6871" s="46" t="str">
        <f>IF(AND(I.Developer.P2a=TRUE,I.Facility.P2aFacilityCount&gt;=1859,F6871=""),"Incomplete","Complete")</f>
        <v>Complete</v>
      </c>
      <c r="I6871" s="48" t="s">
        <v>11236</v>
      </c>
    </row>
    <row r="6872" spans="2:9" ht="15" customHeight="1" x14ac:dyDescent="0.25">
      <c r="B6872" s="55" t="s">
        <v>280</v>
      </c>
      <c r="C6872" s="46">
        <v>1860</v>
      </c>
      <c r="D6872" s="69" t="s">
        <v>29417</v>
      </c>
      <c r="E6872" s="51"/>
      <c r="F6872" s="114" t="str">
        <f>IF(INDEX(I.Facility.P2aIDNumber,1860)="","",INDEX(I.Facility.P2aIDNumber,1860))</f>
        <v/>
      </c>
      <c r="G6872" s="51"/>
      <c r="H6872" s="46" t="str">
        <f>IF(AND(I.Developer.P2a=TRUE,I.Facility.P2aFacilityCount&gt;=1860,F6872=""),"Incomplete","Complete")</f>
        <v>Complete</v>
      </c>
      <c r="I6872" s="48" t="s">
        <v>11237</v>
      </c>
    </row>
    <row r="6873" spans="2:9" ht="15" customHeight="1" x14ac:dyDescent="0.25">
      <c r="B6873" s="55" t="s">
        <v>280</v>
      </c>
      <c r="C6873" s="46">
        <v>1861</v>
      </c>
      <c r="D6873" s="69" t="s">
        <v>29417</v>
      </c>
      <c r="E6873" s="51"/>
      <c r="F6873" s="114" t="str">
        <f>IF(INDEX(I.Facility.P2aIDNumber,1861)="","",INDEX(I.Facility.P2aIDNumber,1861))</f>
        <v/>
      </c>
      <c r="G6873" s="51"/>
      <c r="H6873" s="46" t="str">
        <f>IF(AND(I.Developer.P2a=TRUE,I.Facility.P2aFacilityCount&gt;=1861,F6873=""),"Incomplete","Complete")</f>
        <v>Complete</v>
      </c>
      <c r="I6873" s="48" t="s">
        <v>11238</v>
      </c>
    </row>
    <row r="6874" spans="2:9" ht="15" customHeight="1" x14ac:dyDescent="0.25">
      <c r="B6874" s="55" t="s">
        <v>280</v>
      </c>
      <c r="C6874" s="46">
        <v>1862</v>
      </c>
      <c r="D6874" s="69" t="s">
        <v>29417</v>
      </c>
      <c r="E6874" s="51"/>
      <c r="F6874" s="114" t="str">
        <f>IF(INDEX(I.Facility.P2aIDNumber,1862)="","",INDEX(I.Facility.P2aIDNumber,1862))</f>
        <v/>
      </c>
      <c r="G6874" s="51"/>
      <c r="H6874" s="46" t="str">
        <f>IF(AND(I.Developer.P2a=TRUE,I.Facility.P2aFacilityCount&gt;=1862,F6874=""),"Incomplete","Complete")</f>
        <v>Complete</v>
      </c>
      <c r="I6874" s="48" t="s">
        <v>11239</v>
      </c>
    </row>
    <row r="6875" spans="2:9" ht="15" customHeight="1" x14ac:dyDescent="0.25">
      <c r="B6875" s="55" t="s">
        <v>280</v>
      </c>
      <c r="C6875" s="46">
        <v>1863</v>
      </c>
      <c r="D6875" s="69" t="s">
        <v>29417</v>
      </c>
      <c r="E6875" s="51"/>
      <c r="F6875" s="114" t="str">
        <f>IF(INDEX(I.Facility.P2aIDNumber,1863)="","",INDEX(I.Facility.P2aIDNumber,1863))</f>
        <v/>
      </c>
      <c r="G6875" s="51"/>
      <c r="H6875" s="46" t="str">
        <f>IF(AND(I.Developer.P2a=TRUE,I.Facility.P2aFacilityCount&gt;=1863,F6875=""),"Incomplete","Complete")</f>
        <v>Complete</v>
      </c>
      <c r="I6875" s="48" t="s">
        <v>11240</v>
      </c>
    </row>
    <row r="6876" spans="2:9" ht="15" customHeight="1" x14ac:dyDescent="0.25">
      <c r="B6876" s="55" t="s">
        <v>280</v>
      </c>
      <c r="C6876" s="46">
        <v>1864</v>
      </c>
      <c r="D6876" s="69" t="s">
        <v>29417</v>
      </c>
      <c r="E6876" s="51"/>
      <c r="F6876" s="114" t="str">
        <f>IF(INDEX(I.Facility.P2aIDNumber,1864)="","",INDEX(I.Facility.P2aIDNumber,1864))</f>
        <v/>
      </c>
      <c r="G6876" s="51"/>
      <c r="H6876" s="46" t="str">
        <f>IF(AND(I.Developer.P2a=TRUE,I.Facility.P2aFacilityCount&gt;=1864,F6876=""),"Incomplete","Complete")</f>
        <v>Complete</v>
      </c>
      <c r="I6876" s="48" t="s">
        <v>11241</v>
      </c>
    </row>
    <row r="6877" spans="2:9" ht="15" customHeight="1" x14ac:dyDescent="0.25">
      <c r="B6877" s="55" t="s">
        <v>280</v>
      </c>
      <c r="C6877" s="46">
        <v>1865</v>
      </c>
      <c r="D6877" s="69" t="s">
        <v>29417</v>
      </c>
      <c r="E6877" s="51"/>
      <c r="F6877" s="114" t="str">
        <f>IF(INDEX(I.Facility.P2aIDNumber,1865)="","",INDEX(I.Facility.P2aIDNumber,1865))</f>
        <v/>
      </c>
      <c r="G6877" s="51"/>
      <c r="H6877" s="46" t="str">
        <f>IF(AND(I.Developer.P2a=TRUE,I.Facility.P2aFacilityCount&gt;=1865,F6877=""),"Incomplete","Complete")</f>
        <v>Complete</v>
      </c>
      <c r="I6877" s="48" t="s">
        <v>11242</v>
      </c>
    </row>
    <row r="6878" spans="2:9" ht="15" customHeight="1" x14ac:dyDescent="0.25">
      <c r="B6878" s="55" t="s">
        <v>280</v>
      </c>
      <c r="C6878" s="46">
        <v>1866</v>
      </c>
      <c r="D6878" s="69" t="s">
        <v>29417</v>
      </c>
      <c r="E6878" s="51"/>
      <c r="F6878" s="114" t="str">
        <f>IF(INDEX(I.Facility.P2aIDNumber,1866)="","",INDEX(I.Facility.P2aIDNumber,1866))</f>
        <v/>
      </c>
      <c r="G6878" s="51"/>
      <c r="H6878" s="46" t="str">
        <f>IF(AND(I.Developer.P2a=TRUE,I.Facility.P2aFacilityCount&gt;=1866,F6878=""),"Incomplete","Complete")</f>
        <v>Complete</v>
      </c>
      <c r="I6878" s="48" t="s">
        <v>11243</v>
      </c>
    </row>
    <row r="6879" spans="2:9" ht="15" customHeight="1" x14ac:dyDescent="0.25">
      <c r="B6879" s="55" t="s">
        <v>280</v>
      </c>
      <c r="C6879" s="46">
        <v>1867</v>
      </c>
      <c r="D6879" s="69" t="s">
        <v>29417</v>
      </c>
      <c r="E6879" s="51"/>
      <c r="F6879" s="114" t="str">
        <f>IF(INDEX(I.Facility.P2aIDNumber,1867)="","",INDEX(I.Facility.P2aIDNumber,1867))</f>
        <v/>
      </c>
      <c r="G6879" s="51"/>
      <c r="H6879" s="46" t="str">
        <f>IF(AND(I.Developer.P2a=TRUE,I.Facility.P2aFacilityCount&gt;=1867,F6879=""),"Incomplete","Complete")</f>
        <v>Complete</v>
      </c>
      <c r="I6879" s="48" t="s">
        <v>11244</v>
      </c>
    </row>
    <row r="6880" spans="2:9" ht="15" customHeight="1" x14ac:dyDescent="0.25">
      <c r="B6880" s="55" t="s">
        <v>280</v>
      </c>
      <c r="C6880" s="46">
        <v>1868</v>
      </c>
      <c r="D6880" s="69" t="s">
        <v>29417</v>
      </c>
      <c r="E6880" s="51"/>
      <c r="F6880" s="114" t="str">
        <f>IF(INDEX(I.Facility.P2aIDNumber,1868)="","",INDEX(I.Facility.P2aIDNumber,1868))</f>
        <v/>
      </c>
      <c r="G6880" s="51"/>
      <c r="H6880" s="46" t="str">
        <f>IF(AND(I.Developer.P2a=TRUE,I.Facility.P2aFacilityCount&gt;=1868,F6880=""),"Incomplete","Complete")</f>
        <v>Complete</v>
      </c>
      <c r="I6880" s="48" t="s">
        <v>11245</v>
      </c>
    </row>
    <row r="6881" spans="2:9" ht="15" customHeight="1" x14ac:dyDescent="0.25">
      <c r="B6881" s="55" t="s">
        <v>280</v>
      </c>
      <c r="C6881" s="46">
        <v>1869</v>
      </c>
      <c r="D6881" s="69" t="s">
        <v>29417</v>
      </c>
      <c r="E6881" s="51"/>
      <c r="F6881" s="114" t="str">
        <f>IF(INDEX(I.Facility.P2aIDNumber,1869)="","",INDEX(I.Facility.P2aIDNumber,1869))</f>
        <v/>
      </c>
      <c r="G6881" s="51"/>
      <c r="H6881" s="46" t="str">
        <f>IF(AND(I.Developer.P2a=TRUE,I.Facility.P2aFacilityCount&gt;=1869,F6881=""),"Incomplete","Complete")</f>
        <v>Complete</v>
      </c>
      <c r="I6881" s="48" t="s">
        <v>11246</v>
      </c>
    </row>
    <row r="6882" spans="2:9" ht="15" customHeight="1" x14ac:dyDescent="0.25">
      <c r="B6882" s="55" t="s">
        <v>280</v>
      </c>
      <c r="C6882" s="46">
        <v>1870</v>
      </c>
      <c r="D6882" s="69" t="s">
        <v>29417</v>
      </c>
      <c r="E6882" s="51"/>
      <c r="F6882" s="114" t="str">
        <f>IF(INDEX(I.Facility.P2aIDNumber,1870)="","",INDEX(I.Facility.P2aIDNumber,1870))</f>
        <v/>
      </c>
      <c r="G6882" s="51"/>
      <c r="H6882" s="46" t="str">
        <f>IF(AND(I.Developer.P2a=TRUE,I.Facility.P2aFacilityCount&gt;=1870,F6882=""),"Incomplete","Complete")</f>
        <v>Complete</v>
      </c>
      <c r="I6882" s="48" t="s">
        <v>11247</v>
      </c>
    </row>
    <row r="6883" spans="2:9" ht="15" customHeight="1" x14ac:dyDescent="0.25">
      <c r="B6883" s="55" t="s">
        <v>280</v>
      </c>
      <c r="C6883" s="46">
        <v>1871</v>
      </c>
      <c r="D6883" s="69" t="s">
        <v>29417</v>
      </c>
      <c r="E6883" s="51"/>
      <c r="F6883" s="114" t="str">
        <f>IF(INDEX(I.Facility.P2aIDNumber,1871)="","",INDEX(I.Facility.P2aIDNumber,1871))</f>
        <v/>
      </c>
      <c r="G6883" s="51"/>
      <c r="H6883" s="46" t="str">
        <f>IF(AND(I.Developer.P2a=TRUE,I.Facility.P2aFacilityCount&gt;=1871,F6883=""),"Incomplete","Complete")</f>
        <v>Complete</v>
      </c>
      <c r="I6883" s="48" t="s">
        <v>11248</v>
      </c>
    </row>
    <row r="6884" spans="2:9" ht="15" customHeight="1" x14ac:dyDescent="0.25">
      <c r="B6884" s="55" t="s">
        <v>280</v>
      </c>
      <c r="C6884" s="46">
        <v>1872</v>
      </c>
      <c r="D6884" s="69" t="s">
        <v>29417</v>
      </c>
      <c r="E6884" s="51"/>
      <c r="F6884" s="114" t="str">
        <f>IF(INDEX(I.Facility.P2aIDNumber,1872)="","",INDEX(I.Facility.P2aIDNumber,1872))</f>
        <v/>
      </c>
      <c r="G6884" s="51"/>
      <c r="H6884" s="46" t="str">
        <f>IF(AND(I.Developer.P2a=TRUE,I.Facility.P2aFacilityCount&gt;=1872,F6884=""),"Incomplete","Complete")</f>
        <v>Complete</v>
      </c>
      <c r="I6884" s="48" t="s">
        <v>11249</v>
      </c>
    </row>
    <row r="6885" spans="2:9" ht="15" customHeight="1" x14ac:dyDescent="0.25">
      <c r="B6885" s="55" t="s">
        <v>280</v>
      </c>
      <c r="C6885" s="46">
        <v>1873</v>
      </c>
      <c r="D6885" s="69" t="s">
        <v>29417</v>
      </c>
      <c r="E6885" s="51"/>
      <c r="F6885" s="114" t="str">
        <f>IF(INDEX(I.Facility.P2aIDNumber,1873)="","",INDEX(I.Facility.P2aIDNumber,1873))</f>
        <v/>
      </c>
      <c r="G6885" s="51"/>
      <c r="H6885" s="46" t="str">
        <f>IF(AND(I.Developer.P2a=TRUE,I.Facility.P2aFacilityCount&gt;=1873,F6885=""),"Incomplete","Complete")</f>
        <v>Complete</v>
      </c>
      <c r="I6885" s="48" t="s">
        <v>11250</v>
      </c>
    </row>
    <row r="6886" spans="2:9" ht="15" customHeight="1" x14ac:dyDescent="0.25">
      <c r="B6886" s="55" t="s">
        <v>280</v>
      </c>
      <c r="C6886" s="46">
        <v>1874</v>
      </c>
      <c r="D6886" s="69" t="s">
        <v>29417</v>
      </c>
      <c r="E6886" s="51"/>
      <c r="F6886" s="114" t="str">
        <f>IF(INDEX(I.Facility.P2aIDNumber,1874)="","",INDEX(I.Facility.P2aIDNumber,1874))</f>
        <v/>
      </c>
      <c r="G6886" s="51"/>
      <c r="H6886" s="46" t="str">
        <f>IF(AND(I.Developer.P2a=TRUE,I.Facility.P2aFacilityCount&gt;=1874,F6886=""),"Incomplete","Complete")</f>
        <v>Complete</v>
      </c>
      <c r="I6886" s="48" t="s">
        <v>11251</v>
      </c>
    </row>
    <row r="6887" spans="2:9" ht="15" customHeight="1" x14ac:dyDescent="0.25">
      <c r="B6887" s="55" t="s">
        <v>280</v>
      </c>
      <c r="C6887" s="46">
        <v>1875</v>
      </c>
      <c r="D6887" s="69" t="s">
        <v>29417</v>
      </c>
      <c r="E6887" s="51"/>
      <c r="F6887" s="114" t="str">
        <f>IF(INDEX(I.Facility.P2aIDNumber,1875)="","",INDEX(I.Facility.P2aIDNumber,1875))</f>
        <v/>
      </c>
      <c r="G6887" s="51"/>
      <c r="H6887" s="46" t="str">
        <f>IF(AND(I.Developer.P2a=TRUE,I.Facility.P2aFacilityCount&gt;=1875,F6887=""),"Incomplete","Complete")</f>
        <v>Complete</v>
      </c>
      <c r="I6887" s="48" t="s">
        <v>11252</v>
      </c>
    </row>
    <row r="6888" spans="2:9" ht="15" customHeight="1" x14ac:dyDescent="0.25">
      <c r="B6888" s="55" t="s">
        <v>280</v>
      </c>
      <c r="C6888" s="46">
        <v>1876</v>
      </c>
      <c r="D6888" s="69" t="s">
        <v>29417</v>
      </c>
      <c r="E6888" s="51"/>
      <c r="F6888" s="114" t="str">
        <f>IF(INDEX(I.Facility.P2aIDNumber,1876)="","",INDEX(I.Facility.P2aIDNumber,1876))</f>
        <v/>
      </c>
      <c r="G6888" s="51"/>
      <c r="H6888" s="46" t="str">
        <f>IF(AND(I.Developer.P2a=TRUE,I.Facility.P2aFacilityCount&gt;=1876,F6888=""),"Incomplete","Complete")</f>
        <v>Complete</v>
      </c>
      <c r="I6888" s="48" t="s">
        <v>11253</v>
      </c>
    </row>
    <row r="6889" spans="2:9" ht="15" customHeight="1" x14ac:dyDescent="0.25">
      <c r="B6889" s="55" t="s">
        <v>280</v>
      </c>
      <c r="C6889" s="46">
        <v>1877</v>
      </c>
      <c r="D6889" s="69" t="s">
        <v>29417</v>
      </c>
      <c r="E6889" s="51"/>
      <c r="F6889" s="114" t="str">
        <f>IF(INDEX(I.Facility.P2aIDNumber,1877)="","",INDEX(I.Facility.P2aIDNumber,1877))</f>
        <v/>
      </c>
      <c r="G6889" s="51"/>
      <c r="H6889" s="46" t="str">
        <f>IF(AND(I.Developer.P2a=TRUE,I.Facility.P2aFacilityCount&gt;=1877,F6889=""),"Incomplete","Complete")</f>
        <v>Complete</v>
      </c>
      <c r="I6889" s="48" t="s">
        <v>11254</v>
      </c>
    </row>
    <row r="6890" spans="2:9" ht="15" customHeight="1" x14ac:dyDescent="0.25">
      <c r="B6890" s="55" t="s">
        <v>280</v>
      </c>
      <c r="C6890" s="46">
        <v>1878</v>
      </c>
      <c r="D6890" s="69" t="s">
        <v>29417</v>
      </c>
      <c r="E6890" s="51"/>
      <c r="F6890" s="114" t="str">
        <f>IF(INDEX(I.Facility.P2aIDNumber,1878)="","",INDEX(I.Facility.P2aIDNumber,1878))</f>
        <v/>
      </c>
      <c r="G6890" s="51"/>
      <c r="H6890" s="46" t="str">
        <f>IF(AND(I.Developer.P2a=TRUE,I.Facility.P2aFacilityCount&gt;=1878,F6890=""),"Incomplete","Complete")</f>
        <v>Complete</v>
      </c>
      <c r="I6890" s="48" t="s">
        <v>11255</v>
      </c>
    </row>
    <row r="6891" spans="2:9" ht="15" customHeight="1" x14ac:dyDescent="0.25">
      <c r="B6891" s="55" t="s">
        <v>280</v>
      </c>
      <c r="C6891" s="46">
        <v>1879</v>
      </c>
      <c r="D6891" s="69" t="s">
        <v>29417</v>
      </c>
      <c r="E6891" s="51"/>
      <c r="F6891" s="114" t="str">
        <f>IF(INDEX(I.Facility.P2aIDNumber,1879)="","",INDEX(I.Facility.P2aIDNumber,1879))</f>
        <v/>
      </c>
      <c r="G6891" s="51"/>
      <c r="H6891" s="46" t="str">
        <f>IF(AND(I.Developer.P2a=TRUE,I.Facility.P2aFacilityCount&gt;=1879,F6891=""),"Incomplete","Complete")</f>
        <v>Complete</v>
      </c>
      <c r="I6891" s="48" t="s">
        <v>11256</v>
      </c>
    </row>
    <row r="6892" spans="2:9" ht="15" customHeight="1" x14ac:dyDescent="0.25">
      <c r="B6892" s="55" t="s">
        <v>280</v>
      </c>
      <c r="C6892" s="46">
        <v>1880</v>
      </c>
      <c r="D6892" s="69" t="s">
        <v>29417</v>
      </c>
      <c r="E6892" s="51"/>
      <c r="F6892" s="114" t="str">
        <f>IF(INDEX(I.Facility.P2aIDNumber,1880)="","",INDEX(I.Facility.P2aIDNumber,1880))</f>
        <v/>
      </c>
      <c r="G6892" s="51"/>
      <c r="H6892" s="46" t="str">
        <f>IF(AND(I.Developer.P2a=TRUE,I.Facility.P2aFacilityCount&gt;=1880,F6892=""),"Incomplete","Complete")</f>
        <v>Complete</v>
      </c>
      <c r="I6892" s="48" t="s">
        <v>11257</v>
      </c>
    </row>
    <row r="6893" spans="2:9" ht="15" customHeight="1" x14ac:dyDescent="0.25">
      <c r="B6893" s="55" t="s">
        <v>280</v>
      </c>
      <c r="C6893" s="46">
        <v>1881</v>
      </c>
      <c r="D6893" s="69" t="s">
        <v>29417</v>
      </c>
      <c r="E6893" s="51"/>
      <c r="F6893" s="114" t="str">
        <f>IF(INDEX(I.Facility.P2aIDNumber,1881)="","",INDEX(I.Facility.P2aIDNumber,1881))</f>
        <v/>
      </c>
      <c r="G6893" s="51"/>
      <c r="H6893" s="46" t="str">
        <f>IF(AND(I.Developer.P2a=TRUE,I.Facility.P2aFacilityCount&gt;=1881,F6893=""),"Incomplete","Complete")</f>
        <v>Complete</v>
      </c>
      <c r="I6893" s="48" t="s">
        <v>11258</v>
      </c>
    </row>
    <row r="6894" spans="2:9" ht="15" customHeight="1" x14ac:dyDescent="0.25">
      <c r="B6894" s="55" t="s">
        <v>280</v>
      </c>
      <c r="C6894" s="46">
        <v>1882</v>
      </c>
      <c r="D6894" s="69" t="s">
        <v>29417</v>
      </c>
      <c r="E6894" s="51"/>
      <c r="F6894" s="114" t="str">
        <f>IF(INDEX(I.Facility.P2aIDNumber,1882)="","",INDEX(I.Facility.P2aIDNumber,1882))</f>
        <v/>
      </c>
      <c r="G6894" s="51"/>
      <c r="H6894" s="46" t="str">
        <f>IF(AND(I.Developer.P2a=TRUE,I.Facility.P2aFacilityCount&gt;=1882,F6894=""),"Incomplete","Complete")</f>
        <v>Complete</v>
      </c>
      <c r="I6894" s="48" t="s">
        <v>11259</v>
      </c>
    </row>
    <row r="6895" spans="2:9" ht="15" customHeight="1" x14ac:dyDescent="0.25">
      <c r="B6895" s="55" t="s">
        <v>280</v>
      </c>
      <c r="C6895" s="46">
        <v>1883</v>
      </c>
      <c r="D6895" s="69" t="s">
        <v>29417</v>
      </c>
      <c r="E6895" s="51"/>
      <c r="F6895" s="114" t="str">
        <f>IF(INDEX(I.Facility.P2aIDNumber,1883)="","",INDEX(I.Facility.P2aIDNumber,1883))</f>
        <v/>
      </c>
      <c r="G6895" s="51"/>
      <c r="H6895" s="46" t="str">
        <f>IF(AND(I.Developer.P2a=TRUE,I.Facility.P2aFacilityCount&gt;=1883,F6895=""),"Incomplete","Complete")</f>
        <v>Complete</v>
      </c>
      <c r="I6895" s="48" t="s">
        <v>11260</v>
      </c>
    </row>
    <row r="6896" spans="2:9" ht="15" customHeight="1" x14ac:dyDescent="0.25">
      <c r="B6896" s="55" t="s">
        <v>280</v>
      </c>
      <c r="C6896" s="46">
        <v>1884</v>
      </c>
      <c r="D6896" s="69" t="s">
        <v>29417</v>
      </c>
      <c r="E6896" s="51"/>
      <c r="F6896" s="114" t="str">
        <f>IF(INDEX(I.Facility.P2aIDNumber,1884)="","",INDEX(I.Facility.P2aIDNumber,1884))</f>
        <v/>
      </c>
      <c r="G6896" s="51"/>
      <c r="H6896" s="46" t="str">
        <f>IF(AND(I.Developer.P2a=TRUE,I.Facility.P2aFacilityCount&gt;=1884,F6896=""),"Incomplete","Complete")</f>
        <v>Complete</v>
      </c>
      <c r="I6896" s="48" t="s">
        <v>11261</v>
      </c>
    </row>
    <row r="6897" spans="2:9" ht="15" customHeight="1" x14ac:dyDescent="0.25">
      <c r="B6897" s="55" t="s">
        <v>280</v>
      </c>
      <c r="C6897" s="46">
        <v>1885</v>
      </c>
      <c r="D6897" s="69" t="s">
        <v>29417</v>
      </c>
      <c r="E6897" s="51"/>
      <c r="F6897" s="114" t="str">
        <f>IF(INDEX(I.Facility.P2aIDNumber,1885)="","",INDEX(I.Facility.P2aIDNumber,1885))</f>
        <v/>
      </c>
      <c r="G6897" s="51"/>
      <c r="H6897" s="46" t="str">
        <f>IF(AND(I.Developer.P2a=TRUE,I.Facility.P2aFacilityCount&gt;=1885,F6897=""),"Incomplete","Complete")</f>
        <v>Complete</v>
      </c>
      <c r="I6897" s="48" t="s">
        <v>11262</v>
      </c>
    </row>
    <row r="6898" spans="2:9" ht="15" customHeight="1" x14ac:dyDescent="0.25">
      <c r="B6898" s="55" t="s">
        <v>280</v>
      </c>
      <c r="C6898" s="46">
        <v>1886</v>
      </c>
      <c r="D6898" s="69" t="s">
        <v>29417</v>
      </c>
      <c r="E6898" s="51"/>
      <c r="F6898" s="114" t="str">
        <f>IF(INDEX(I.Facility.P2aIDNumber,1886)="","",INDEX(I.Facility.P2aIDNumber,1886))</f>
        <v/>
      </c>
      <c r="G6898" s="51"/>
      <c r="H6898" s="46" t="str">
        <f>IF(AND(I.Developer.P2a=TRUE,I.Facility.P2aFacilityCount&gt;=1886,F6898=""),"Incomplete","Complete")</f>
        <v>Complete</v>
      </c>
      <c r="I6898" s="48" t="s">
        <v>11263</v>
      </c>
    </row>
    <row r="6899" spans="2:9" ht="15" customHeight="1" x14ac:dyDescent="0.25">
      <c r="B6899" s="55" t="s">
        <v>280</v>
      </c>
      <c r="C6899" s="46">
        <v>1887</v>
      </c>
      <c r="D6899" s="69" t="s">
        <v>29417</v>
      </c>
      <c r="E6899" s="51"/>
      <c r="F6899" s="114" t="str">
        <f>IF(INDEX(I.Facility.P2aIDNumber,1887)="","",INDEX(I.Facility.P2aIDNumber,1887))</f>
        <v/>
      </c>
      <c r="G6899" s="51"/>
      <c r="H6899" s="46" t="str">
        <f>IF(AND(I.Developer.P2a=TRUE,I.Facility.P2aFacilityCount&gt;=1887,F6899=""),"Incomplete","Complete")</f>
        <v>Complete</v>
      </c>
      <c r="I6899" s="48" t="s">
        <v>11264</v>
      </c>
    </row>
    <row r="6900" spans="2:9" ht="15" customHeight="1" x14ac:dyDescent="0.25">
      <c r="B6900" s="55" t="s">
        <v>280</v>
      </c>
      <c r="C6900" s="46">
        <v>1888</v>
      </c>
      <c r="D6900" s="69" t="s">
        <v>29417</v>
      </c>
      <c r="E6900" s="51"/>
      <c r="F6900" s="114" t="str">
        <f>IF(INDEX(I.Facility.P2aIDNumber,1888)="","",INDEX(I.Facility.P2aIDNumber,1888))</f>
        <v/>
      </c>
      <c r="G6900" s="51"/>
      <c r="H6900" s="46" t="str">
        <f>IF(AND(I.Developer.P2a=TRUE,I.Facility.P2aFacilityCount&gt;=1888,F6900=""),"Incomplete","Complete")</f>
        <v>Complete</v>
      </c>
      <c r="I6900" s="48" t="s">
        <v>11265</v>
      </c>
    </row>
    <row r="6901" spans="2:9" ht="15" customHeight="1" x14ac:dyDescent="0.25">
      <c r="B6901" s="55" t="s">
        <v>280</v>
      </c>
      <c r="C6901" s="46">
        <v>1889</v>
      </c>
      <c r="D6901" s="69" t="s">
        <v>29417</v>
      </c>
      <c r="E6901" s="51"/>
      <c r="F6901" s="114" t="str">
        <f>IF(INDEX(I.Facility.P2aIDNumber,1889)="","",INDEX(I.Facility.P2aIDNumber,1889))</f>
        <v/>
      </c>
      <c r="G6901" s="51"/>
      <c r="H6901" s="46" t="str">
        <f>IF(AND(I.Developer.P2a=TRUE,I.Facility.P2aFacilityCount&gt;=1889,F6901=""),"Incomplete","Complete")</f>
        <v>Complete</v>
      </c>
      <c r="I6901" s="48" t="s">
        <v>11266</v>
      </c>
    </row>
    <row r="6902" spans="2:9" ht="15" customHeight="1" x14ac:dyDescent="0.25">
      <c r="B6902" s="55" t="s">
        <v>280</v>
      </c>
      <c r="C6902" s="46">
        <v>1890</v>
      </c>
      <c r="D6902" s="69" t="s">
        <v>29417</v>
      </c>
      <c r="E6902" s="51"/>
      <c r="F6902" s="114" t="str">
        <f>IF(INDEX(I.Facility.P2aIDNumber,1890)="","",INDEX(I.Facility.P2aIDNumber,1890))</f>
        <v/>
      </c>
      <c r="G6902" s="51"/>
      <c r="H6902" s="46" t="str">
        <f>IF(AND(I.Developer.P2a=TRUE,I.Facility.P2aFacilityCount&gt;=1890,F6902=""),"Incomplete","Complete")</f>
        <v>Complete</v>
      </c>
      <c r="I6902" s="48" t="s">
        <v>11267</v>
      </c>
    </row>
    <row r="6903" spans="2:9" ht="15" customHeight="1" x14ac:dyDescent="0.25">
      <c r="B6903" s="55" t="s">
        <v>280</v>
      </c>
      <c r="C6903" s="46">
        <v>1891</v>
      </c>
      <c r="D6903" s="69" t="s">
        <v>29417</v>
      </c>
      <c r="E6903" s="51"/>
      <c r="F6903" s="114" t="str">
        <f>IF(INDEX(I.Facility.P2aIDNumber,1891)="","",INDEX(I.Facility.P2aIDNumber,1891))</f>
        <v/>
      </c>
      <c r="G6903" s="51"/>
      <c r="H6903" s="46" t="str">
        <f>IF(AND(I.Developer.P2a=TRUE,I.Facility.P2aFacilityCount&gt;=1891,F6903=""),"Incomplete","Complete")</f>
        <v>Complete</v>
      </c>
      <c r="I6903" s="48" t="s">
        <v>11268</v>
      </c>
    </row>
    <row r="6904" spans="2:9" ht="15" customHeight="1" x14ac:dyDescent="0.25">
      <c r="B6904" s="55" t="s">
        <v>280</v>
      </c>
      <c r="C6904" s="46">
        <v>1892</v>
      </c>
      <c r="D6904" s="69" t="s">
        <v>29417</v>
      </c>
      <c r="E6904" s="51"/>
      <c r="F6904" s="114" t="str">
        <f>IF(INDEX(I.Facility.P2aIDNumber,1892)="","",INDEX(I.Facility.P2aIDNumber,1892))</f>
        <v/>
      </c>
      <c r="G6904" s="51"/>
      <c r="H6904" s="46" t="str">
        <f>IF(AND(I.Developer.P2a=TRUE,I.Facility.P2aFacilityCount&gt;=1892,F6904=""),"Incomplete","Complete")</f>
        <v>Complete</v>
      </c>
      <c r="I6904" s="48" t="s">
        <v>11269</v>
      </c>
    </row>
    <row r="6905" spans="2:9" ht="15" customHeight="1" x14ac:dyDescent="0.25">
      <c r="B6905" s="55" t="s">
        <v>280</v>
      </c>
      <c r="C6905" s="46">
        <v>1893</v>
      </c>
      <c r="D6905" s="69" t="s">
        <v>29417</v>
      </c>
      <c r="E6905" s="51"/>
      <c r="F6905" s="114" t="str">
        <f>IF(INDEX(I.Facility.P2aIDNumber,1893)="","",INDEX(I.Facility.P2aIDNumber,1893))</f>
        <v/>
      </c>
      <c r="G6905" s="51"/>
      <c r="H6905" s="46" t="str">
        <f>IF(AND(I.Developer.P2a=TRUE,I.Facility.P2aFacilityCount&gt;=1893,F6905=""),"Incomplete","Complete")</f>
        <v>Complete</v>
      </c>
      <c r="I6905" s="48" t="s">
        <v>11270</v>
      </c>
    </row>
    <row r="6906" spans="2:9" ht="15" customHeight="1" x14ac:dyDescent="0.25">
      <c r="B6906" s="55" t="s">
        <v>280</v>
      </c>
      <c r="C6906" s="46">
        <v>1894</v>
      </c>
      <c r="D6906" s="69" t="s">
        <v>29417</v>
      </c>
      <c r="E6906" s="51"/>
      <c r="F6906" s="114" t="str">
        <f>IF(INDEX(I.Facility.P2aIDNumber,1894)="","",INDEX(I.Facility.P2aIDNumber,1894))</f>
        <v/>
      </c>
      <c r="G6906" s="51"/>
      <c r="H6906" s="46" t="str">
        <f>IF(AND(I.Developer.P2a=TRUE,I.Facility.P2aFacilityCount&gt;=1894,F6906=""),"Incomplete","Complete")</f>
        <v>Complete</v>
      </c>
      <c r="I6906" s="48" t="s">
        <v>11271</v>
      </c>
    </row>
    <row r="6907" spans="2:9" ht="15" customHeight="1" x14ac:dyDescent="0.25">
      <c r="B6907" s="55" t="s">
        <v>280</v>
      </c>
      <c r="C6907" s="46">
        <v>1895</v>
      </c>
      <c r="D6907" s="69" t="s">
        <v>29417</v>
      </c>
      <c r="E6907" s="51"/>
      <c r="F6907" s="114" t="str">
        <f>IF(INDEX(I.Facility.P2aIDNumber,1895)="","",INDEX(I.Facility.P2aIDNumber,1895))</f>
        <v/>
      </c>
      <c r="G6907" s="51"/>
      <c r="H6907" s="46" t="str">
        <f>IF(AND(I.Developer.P2a=TRUE,I.Facility.P2aFacilityCount&gt;=1895,F6907=""),"Incomplete","Complete")</f>
        <v>Complete</v>
      </c>
      <c r="I6907" s="48" t="s">
        <v>11272</v>
      </c>
    </row>
    <row r="6908" spans="2:9" ht="15" customHeight="1" x14ac:dyDescent="0.25">
      <c r="B6908" s="55" t="s">
        <v>280</v>
      </c>
      <c r="C6908" s="46">
        <v>1896</v>
      </c>
      <c r="D6908" s="69" t="s">
        <v>29417</v>
      </c>
      <c r="E6908" s="51"/>
      <c r="F6908" s="114" t="str">
        <f>IF(INDEX(I.Facility.P2aIDNumber,1896)="","",INDEX(I.Facility.P2aIDNumber,1896))</f>
        <v/>
      </c>
      <c r="G6908" s="51"/>
      <c r="H6908" s="46" t="str">
        <f>IF(AND(I.Developer.P2a=TRUE,I.Facility.P2aFacilityCount&gt;=1896,F6908=""),"Incomplete","Complete")</f>
        <v>Complete</v>
      </c>
      <c r="I6908" s="48" t="s">
        <v>11273</v>
      </c>
    </row>
    <row r="6909" spans="2:9" ht="15" customHeight="1" x14ac:dyDescent="0.25">
      <c r="B6909" s="55" t="s">
        <v>280</v>
      </c>
      <c r="C6909" s="46">
        <v>1897</v>
      </c>
      <c r="D6909" s="69" t="s">
        <v>29417</v>
      </c>
      <c r="E6909" s="51"/>
      <c r="F6909" s="114" t="str">
        <f>IF(INDEX(I.Facility.P2aIDNumber,1897)="","",INDEX(I.Facility.P2aIDNumber,1897))</f>
        <v/>
      </c>
      <c r="G6909" s="51"/>
      <c r="H6909" s="46" t="str">
        <f>IF(AND(I.Developer.P2a=TRUE,I.Facility.P2aFacilityCount&gt;=1897,F6909=""),"Incomplete","Complete")</f>
        <v>Complete</v>
      </c>
      <c r="I6909" s="48" t="s">
        <v>11274</v>
      </c>
    </row>
    <row r="6910" spans="2:9" ht="15" customHeight="1" x14ac:dyDescent="0.25">
      <c r="B6910" s="55" t="s">
        <v>280</v>
      </c>
      <c r="C6910" s="46">
        <v>1898</v>
      </c>
      <c r="D6910" s="69" t="s">
        <v>29417</v>
      </c>
      <c r="E6910" s="51"/>
      <c r="F6910" s="114" t="str">
        <f>IF(INDEX(I.Facility.P2aIDNumber,1898)="","",INDEX(I.Facility.P2aIDNumber,1898))</f>
        <v/>
      </c>
      <c r="G6910" s="51"/>
      <c r="H6910" s="46" t="str">
        <f>IF(AND(I.Developer.P2a=TRUE,I.Facility.P2aFacilityCount&gt;=1898,F6910=""),"Incomplete","Complete")</f>
        <v>Complete</v>
      </c>
      <c r="I6910" s="48" t="s">
        <v>11275</v>
      </c>
    </row>
    <row r="6911" spans="2:9" ht="15" customHeight="1" x14ac:dyDescent="0.25">
      <c r="B6911" s="55" t="s">
        <v>280</v>
      </c>
      <c r="C6911" s="46">
        <v>1899</v>
      </c>
      <c r="D6911" s="69" t="s">
        <v>29417</v>
      </c>
      <c r="E6911" s="51"/>
      <c r="F6911" s="114" t="str">
        <f>IF(INDEX(I.Facility.P2aIDNumber,1899)="","",INDEX(I.Facility.P2aIDNumber,1899))</f>
        <v/>
      </c>
      <c r="G6911" s="51"/>
      <c r="H6911" s="46" t="str">
        <f>IF(AND(I.Developer.P2a=TRUE,I.Facility.P2aFacilityCount&gt;=1899,F6911=""),"Incomplete","Complete")</f>
        <v>Complete</v>
      </c>
      <c r="I6911" s="48" t="s">
        <v>11276</v>
      </c>
    </row>
    <row r="6912" spans="2:9" ht="15" customHeight="1" x14ac:dyDescent="0.25">
      <c r="B6912" s="55" t="s">
        <v>280</v>
      </c>
      <c r="C6912" s="46">
        <v>1900</v>
      </c>
      <c r="D6912" s="69" t="s">
        <v>29417</v>
      </c>
      <c r="E6912" s="51"/>
      <c r="F6912" s="114" t="str">
        <f>IF(INDEX(I.Facility.P2aIDNumber,1900)="","",INDEX(I.Facility.P2aIDNumber,1900))</f>
        <v/>
      </c>
      <c r="G6912" s="51"/>
      <c r="H6912" s="46" t="str">
        <f>IF(AND(I.Developer.P2a=TRUE,I.Facility.P2aFacilityCount&gt;=1900,F6912=""),"Incomplete","Complete")</f>
        <v>Complete</v>
      </c>
      <c r="I6912" s="48" t="s">
        <v>11277</v>
      </c>
    </row>
    <row r="6913" spans="2:9" ht="15" customHeight="1" x14ac:dyDescent="0.25">
      <c r="B6913" s="55" t="s">
        <v>280</v>
      </c>
      <c r="C6913" s="46">
        <v>1901</v>
      </c>
      <c r="D6913" s="69" t="s">
        <v>29417</v>
      </c>
      <c r="E6913" s="51"/>
      <c r="F6913" s="114" t="str">
        <f>IF(INDEX(I.Facility.P2aIDNumber,1901)="","",INDEX(I.Facility.P2aIDNumber,1901))</f>
        <v/>
      </c>
      <c r="G6913" s="51"/>
      <c r="H6913" s="46" t="str">
        <f>IF(AND(I.Developer.P2a=TRUE,I.Facility.P2aFacilityCount&gt;=1901,F6913=""),"Incomplete","Complete")</f>
        <v>Complete</v>
      </c>
      <c r="I6913" s="48" t="s">
        <v>11278</v>
      </c>
    </row>
    <row r="6914" spans="2:9" ht="15" customHeight="1" x14ac:dyDescent="0.25">
      <c r="B6914" s="55" t="s">
        <v>280</v>
      </c>
      <c r="C6914" s="46">
        <v>1902</v>
      </c>
      <c r="D6914" s="69" t="s">
        <v>29417</v>
      </c>
      <c r="E6914" s="51"/>
      <c r="F6914" s="114" t="str">
        <f>IF(INDEX(I.Facility.P2aIDNumber,1902)="","",INDEX(I.Facility.P2aIDNumber,1902))</f>
        <v/>
      </c>
      <c r="G6914" s="51"/>
      <c r="H6914" s="46" t="str">
        <f>IF(AND(I.Developer.P2a=TRUE,I.Facility.P2aFacilityCount&gt;=1902,F6914=""),"Incomplete","Complete")</f>
        <v>Complete</v>
      </c>
      <c r="I6914" s="48" t="s">
        <v>11279</v>
      </c>
    </row>
    <row r="6915" spans="2:9" ht="15" customHeight="1" x14ac:dyDescent="0.25">
      <c r="B6915" s="55" t="s">
        <v>280</v>
      </c>
      <c r="C6915" s="46">
        <v>1903</v>
      </c>
      <c r="D6915" s="69" t="s">
        <v>29417</v>
      </c>
      <c r="E6915" s="51"/>
      <c r="F6915" s="114" t="str">
        <f>IF(INDEX(I.Facility.P2aIDNumber,1903)="","",INDEX(I.Facility.P2aIDNumber,1903))</f>
        <v/>
      </c>
      <c r="G6915" s="51"/>
      <c r="H6915" s="46" t="str">
        <f>IF(AND(I.Developer.P2a=TRUE,I.Facility.P2aFacilityCount&gt;=1903,F6915=""),"Incomplete","Complete")</f>
        <v>Complete</v>
      </c>
      <c r="I6915" s="48" t="s">
        <v>11280</v>
      </c>
    </row>
    <row r="6916" spans="2:9" ht="15" customHeight="1" x14ac:dyDescent="0.25">
      <c r="B6916" s="55" t="s">
        <v>280</v>
      </c>
      <c r="C6916" s="46">
        <v>1904</v>
      </c>
      <c r="D6916" s="69" t="s">
        <v>29417</v>
      </c>
      <c r="E6916" s="51"/>
      <c r="F6916" s="114" t="str">
        <f>IF(INDEX(I.Facility.P2aIDNumber,1904)="","",INDEX(I.Facility.P2aIDNumber,1904))</f>
        <v/>
      </c>
      <c r="G6916" s="51"/>
      <c r="H6916" s="46" t="str">
        <f>IF(AND(I.Developer.P2a=TRUE,I.Facility.P2aFacilityCount&gt;=1904,F6916=""),"Incomplete","Complete")</f>
        <v>Complete</v>
      </c>
      <c r="I6916" s="48" t="s">
        <v>11281</v>
      </c>
    </row>
    <row r="6917" spans="2:9" ht="15" customHeight="1" x14ac:dyDescent="0.25">
      <c r="B6917" s="55" t="s">
        <v>280</v>
      </c>
      <c r="C6917" s="46">
        <v>1905</v>
      </c>
      <c r="D6917" s="69" t="s">
        <v>29417</v>
      </c>
      <c r="E6917" s="51"/>
      <c r="F6917" s="114" t="str">
        <f>IF(INDEX(I.Facility.P2aIDNumber,1905)="","",INDEX(I.Facility.P2aIDNumber,1905))</f>
        <v/>
      </c>
      <c r="G6917" s="51"/>
      <c r="H6917" s="46" t="str">
        <f>IF(AND(I.Developer.P2a=TRUE,I.Facility.P2aFacilityCount&gt;=1905,F6917=""),"Incomplete","Complete")</f>
        <v>Complete</v>
      </c>
      <c r="I6917" s="48" t="s">
        <v>11282</v>
      </c>
    </row>
    <row r="6918" spans="2:9" ht="15" customHeight="1" x14ac:dyDescent="0.25">
      <c r="B6918" s="55" t="s">
        <v>280</v>
      </c>
      <c r="C6918" s="46">
        <v>1906</v>
      </c>
      <c r="D6918" s="69" t="s">
        <v>29417</v>
      </c>
      <c r="E6918" s="51"/>
      <c r="F6918" s="114" t="str">
        <f>IF(INDEX(I.Facility.P2aIDNumber,1906)="","",INDEX(I.Facility.P2aIDNumber,1906))</f>
        <v/>
      </c>
      <c r="G6918" s="51"/>
      <c r="H6918" s="46" t="str">
        <f>IF(AND(I.Developer.P2a=TRUE,I.Facility.P2aFacilityCount&gt;=1906,F6918=""),"Incomplete","Complete")</f>
        <v>Complete</v>
      </c>
      <c r="I6918" s="48" t="s">
        <v>11283</v>
      </c>
    </row>
    <row r="6919" spans="2:9" ht="15" customHeight="1" x14ac:dyDescent="0.25">
      <c r="B6919" s="55" t="s">
        <v>280</v>
      </c>
      <c r="C6919" s="46">
        <v>1907</v>
      </c>
      <c r="D6919" s="69" t="s">
        <v>29417</v>
      </c>
      <c r="E6919" s="51"/>
      <c r="F6919" s="114" t="str">
        <f>IF(INDEX(I.Facility.P2aIDNumber,1907)="","",INDEX(I.Facility.P2aIDNumber,1907))</f>
        <v/>
      </c>
      <c r="G6919" s="51"/>
      <c r="H6919" s="46" t="str">
        <f>IF(AND(I.Developer.P2a=TRUE,I.Facility.P2aFacilityCount&gt;=1907,F6919=""),"Incomplete","Complete")</f>
        <v>Complete</v>
      </c>
      <c r="I6919" s="48" t="s">
        <v>11284</v>
      </c>
    </row>
    <row r="6920" spans="2:9" ht="15" customHeight="1" x14ac:dyDescent="0.25">
      <c r="B6920" s="55" t="s">
        <v>280</v>
      </c>
      <c r="C6920" s="46">
        <v>1908</v>
      </c>
      <c r="D6920" s="69" t="s">
        <v>29417</v>
      </c>
      <c r="E6920" s="51"/>
      <c r="F6920" s="114" t="str">
        <f>IF(INDEX(I.Facility.P2aIDNumber,1908)="","",INDEX(I.Facility.P2aIDNumber,1908))</f>
        <v/>
      </c>
      <c r="G6920" s="51"/>
      <c r="H6920" s="46" t="str">
        <f>IF(AND(I.Developer.P2a=TRUE,I.Facility.P2aFacilityCount&gt;=1908,F6920=""),"Incomplete","Complete")</f>
        <v>Complete</v>
      </c>
      <c r="I6920" s="48" t="s">
        <v>11285</v>
      </c>
    </row>
    <row r="6921" spans="2:9" ht="15" customHeight="1" x14ac:dyDescent="0.25">
      <c r="B6921" s="55" t="s">
        <v>280</v>
      </c>
      <c r="C6921" s="46">
        <v>1909</v>
      </c>
      <c r="D6921" s="69" t="s">
        <v>29417</v>
      </c>
      <c r="E6921" s="51"/>
      <c r="F6921" s="114" t="str">
        <f>IF(INDEX(I.Facility.P2aIDNumber,1909)="","",INDEX(I.Facility.P2aIDNumber,1909))</f>
        <v/>
      </c>
      <c r="G6921" s="51"/>
      <c r="H6921" s="46" t="str">
        <f>IF(AND(I.Developer.P2a=TRUE,I.Facility.P2aFacilityCount&gt;=1909,F6921=""),"Incomplete","Complete")</f>
        <v>Complete</v>
      </c>
      <c r="I6921" s="48" t="s">
        <v>11286</v>
      </c>
    </row>
    <row r="6922" spans="2:9" ht="15" customHeight="1" x14ac:dyDescent="0.25">
      <c r="B6922" s="55" t="s">
        <v>280</v>
      </c>
      <c r="C6922" s="46">
        <v>1910</v>
      </c>
      <c r="D6922" s="69" t="s">
        <v>29417</v>
      </c>
      <c r="E6922" s="51"/>
      <c r="F6922" s="114" t="str">
        <f>IF(INDEX(I.Facility.P2aIDNumber,1910)="","",INDEX(I.Facility.P2aIDNumber,1910))</f>
        <v/>
      </c>
      <c r="G6922" s="51"/>
      <c r="H6922" s="46" t="str">
        <f>IF(AND(I.Developer.P2a=TRUE,I.Facility.P2aFacilityCount&gt;=1910,F6922=""),"Incomplete","Complete")</f>
        <v>Complete</v>
      </c>
      <c r="I6922" s="48" t="s">
        <v>11287</v>
      </c>
    </row>
    <row r="6923" spans="2:9" ht="15" customHeight="1" x14ac:dyDescent="0.25">
      <c r="B6923" s="55" t="s">
        <v>280</v>
      </c>
      <c r="C6923" s="46">
        <v>1911</v>
      </c>
      <c r="D6923" s="69" t="s">
        <v>29417</v>
      </c>
      <c r="E6923" s="51"/>
      <c r="F6923" s="114" t="str">
        <f>IF(INDEX(I.Facility.P2aIDNumber,1911)="","",INDEX(I.Facility.P2aIDNumber,1911))</f>
        <v/>
      </c>
      <c r="G6923" s="51"/>
      <c r="H6923" s="46" t="str">
        <f>IF(AND(I.Developer.P2a=TRUE,I.Facility.P2aFacilityCount&gt;=1911,F6923=""),"Incomplete","Complete")</f>
        <v>Complete</v>
      </c>
      <c r="I6923" s="48" t="s">
        <v>11288</v>
      </c>
    </row>
    <row r="6924" spans="2:9" ht="15" customHeight="1" x14ac:dyDescent="0.25">
      <c r="B6924" s="55" t="s">
        <v>280</v>
      </c>
      <c r="C6924" s="46">
        <v>1912</v>
      </c>
      <c r="D6924" s="69" t="s">
        <v>29417</v>
      </c>
      <c r="E6924" s="51"/>
      <c r="F6924" s="114" t="str">
        <f>IF(INDEX(I.Facility.P2aIDNumber,1912)="","",INDEX(I.Facility.P2aIDNumber,1912))</f>
        <v/>
      </c>
      <c r="G6924" s="51"/>
      <c r="H6924" s="46" t="str">
        <f>IF(AND(I.Developer.P2a=TRUE,I.Facility.P2aFacilityCount&gt;=1912,F6924=""),"Incomplete","Complete")</f>
        <v>Complete</v>
      </c>
      <c r="I6924" s="48" t="s">
        <v>11289</v>
      </c>
    </row>
    <row r="6925" spans="2:9" ht="15" customHeight="1" x14ac:dyDescent="0.25">
      <c r="B6925" s="55" t="s">
        <v>280</v>
      </c>
      <c r="C6925" s="46">
        <v>1913</v>
      </c>
      <c r="D6925" s="69" t="s">
        <v>29417</v>
      </c>
      <c r="E6925" s="51"/>
      <c r="F6925" s="114" t="str">
        <f>IF(INDEX(I.Facility.P2aIDNumber,1913)="","",INDEX(I.Facility.P2aIDNumber,1913))</f>
        <v/>
      </c>
      <c r="G6925" s="51"/>
      <c r="H6925" s="46" t="str">
        <f>IF(AND(I.Developer.P2a=TRUE,I.Facility.P2aFacilityCount&gt;=1913,F6925=""),"Incomplete","Complete")</f>
        <v>Complete</v>
      </c>
      <c r="I6925" s="48" t="s">
        <v>11290</v>
      </c>
    </row>
    <row r="6926" spans="2:9" ht="15" customHeight="1" x14ac:dyDescent="0.25">
      <c r="B6926" s="55" t="s">
        <v>280</v>
      </c>
      <c r="C6926" s="46">
        <v>1914</v>
      </c>
      <c r="D6926" s="69" t="s">
        <v>29417</v>
      </c>
      <c r="E6926" s="51"/>
      <c r="F6926" s="114" t="str">
        <f>IF(INDEX(I.Facility.P2aIDNumber,1914)="","",INDEX(I.Facility.P2aIDNumber,1914))</f>
        <v/>
      </c>
      <c r="G6926" s="51"/>
      <c r="H6926" s="46" t="str">
        <f>IF(AND(I.Developer.P2a=TRUE,I.Facility.P2aFacilityCount&gt;=1914,F6926=""),"Incomplete","Complete")</f>
        <v>Complete</v>
      </c>
      <c r="I6926" s="48" t="s">
        <v>11291</v>
      </c>
    </row>
    <row r="6927" spans="2:9" ht="15" customHeight="1" x14ac:dyDescent="0.25">
      <c r="B6927" s="55" t="s">
        <v>280</v>
      </c>
      <c r="C6927" s="46">
        <v>1915</v>
      </c>
      <c r="D6927" s="69" t="s">
        <v>29417</v>
      </c>
      <c r="E6927" s="51"/>
      <c r="F6927" s="114" t="str">
        <f>IF(INDEX(I.Facility.P2aIDNumber,1915)="","",INDEX(I.Facility.P2aIDNumber,1915))</f>
        <v/>
      </c>
      <c r="G6927" s="51"/>
      <c r="H6927" s="46" t="str">
        <f>IF(AND(I.Developer.P2a=TRUE,I.Facility.P2aFacilityCount&gt;=1915,F6927=""),"Incomplete","Complete")</f>
        <v>Complete</v>
      </c>
      <c r="I6927" s="48" t="s">
        <v>11292</v>
      </c>
    </row>
    <row r="6928" spans="2:9" ht="15" customHeight="1" x14ac:dyDescent="0.25">
      <c r="B6928" s="55" t="s">
        <v>280</v>
      </c>
      <c r="C6928" s="46">
        <v>1916</v>
      </c>
      <c r="D6928" s="69" t="s">
        <v>29417</v>
      </c>
      <c r="E6928" s="51"/>
      <c r="F6928" s="114" t="str">
        <f>IF(INDEX(I.Facility.P2aIDNumber,1916)="","",INDEX(I.Facility.P2aIDNumber,1916))</f>
        <v/>
      </c>
      <c r="G6928" s="51"/>
      <c r="H6928" s="46" t="str">
        <f>IF(AND(I.Developer.P2a=TRUE,I.Facility.P2aFacilityCount&gt;=1916,F6928=""),"Incomplete","Complete")</f>
        <v>Complete</v>
      </c>
      <c r="I6928" s="48" t="s">
        <v>11293</v>
      </c>
    </row>
    <row r="6929" spans="2:9" ht="15" customHeight="1" x14ac:dyDescent="0.25">
      <c r="B6929" s="55" t="s">
        <v>280</v>
      </c>
      <c r="C6929" s="46">
        <v>1917</v>
      </c>
      <c r="D6929" s="69" t="s">
        <v>29417</v>
      </c>
      <c r="E6929" s="51"/>
      <c r="F6929" s="114" t="str">
        <f>IF(INDEX(I.Facility.P2aIDNumber,1917)="","",INDEX(I.Facility.P2aIDNumber,1917))</f>
        <v/>
      </c>
      <c r="G6929" s="51"/>
      <c r="H6929" s="46" t="str">
        <f>IF(AND(I.Developer.P2a=TRUE,I.Facility.P2aFacilityCount&gt;=1917,F6929=""),"Incomplete","Complete")</f>
        <v>Complete</v>
      </c>
      <c r="I6929" s="48" t="s">
        <v>11294</v>
      </c>
    </row>
    <row r="6930" spans="2:9" ht="15" customHeight="1" x14ac:dyDescent="0.25">
      <c r="B6930" s="55" t="s">
        <v>280</v>
      </c>
      <c r="C6930" s="46">
        <v>1918</v>
      </c>
      <c r="D6930" s="69" t="s">
        <v>29417</v>
      </c>
      <c r="E6930" s="51"/>
      <c r="F6930" s="114" t="str">
        <f>IF(INDEX(I.Facility.P2aIDNumber,1918)="","",INDEX(I.Facility.P2aIDNumber,1918))</f>
        <v/>
      </c>
      <c r="G6930" s="51"/>
      <c r="H6930" s="46" t="str">
        <f>IF(AND(I.Developer.P2a=TRUE,I.Facility.P2aFacilityCount&gt;=1918,F6930=""),"Incomplete","Complete")</f>
        <v>Complete</v>
      </c>
      <c r="I6930" s="48" t="s">
        <v>11295</v>
      </c>
    </row>
    <row r="6931" spans="2:9" ht="15" customHeight="1" x14ac:dyDescent="0.25">
      <c r="B6931" s="55" t="s">
        <v>280</v>
      </c>
      <c r="C6931" s="46">
        <v>1919</v>
      </c>
      <c r="D6931" s="69" t="s">
        <v>29417</v>
      </c>
      <c r="E6931" s="51"/>
      <c r="F6931" s="114" t="str">
        <f>IF(INDEX(I.Facility.P2aIDNumber,1919)="","",INDEX(I.Facility.P2aIDNumber,1919))</f>
        <v/>
      </c>
      <c r="G6931" s="51"/>
      <c r="H6931" s="46" t="str">
        <f>IF(AND(I.Developer.P2a=TRUE,I.Facility.P2aFacilityCount&gt;=1919,F6931=""),"Incomplete","Complete")</f>
        <v>Complete</v>
      </c>
      <c r="I6931" s="48" t="s">
        <v>11296</v>
      </c>
    </row>
    <row r="6932" spans="2:9" ht="15" customHeight="1" x14ac:dyDescent="0.25">
      <c r="B6932" s="55" t="s">
        <v>280</v>
      </c>
      <c r="C6932" s="46">
        <v>1920</v>
      </c>
      <c r="D6932" s="69" t="s">
        <v>29417</v>
      </c>
      <c r="E6932" s="51"/>
      <c r="F6932" s="114" t="str">
        <f>IF(INDEX(I.Facility.P2aIDNumber,1920)="","",INDEX(I.Facility.P2aIDNumber,1920))</f>
        <v/>
      </c>
      <c r="G6932" s="51"/>
      <c r="H6932" s="46" t="str">
        <f>IF(AND(I.Developer.P2a=TRUE,I.Facility.P2aFacilityCount&gt;=1920,F6932=""),"Incomplete","Complete")</f>
        <v>Complete</v>
      </c>
      <c r="I6932" s="48" t="s">
        <v>11297</v>
      </c>
    </row>
    <row r="6933" spans="2:9" ht="15" customHeight="1" x14ac:dyDescent="0.25">
      <c r="B6933" s="55" t="s">
        <v>280</v>
      </c>
      <c r="C6933" s="46">
        <v>1921</v>
      </c>
      <c r="D6933" s="69" t="s">
        <v>29417</v>
      </c>
      <c r="E6933" s="51"/>
      <c r="F6933" s="114" t="str">
        <f>IF(INDEX(I.Facility.P2aIDNumber,1921)="","",INDEX(I.Facility.P2aIDNumber,1921))</f>
        <v/>
      </c>
      <c r="G6933" s="51"/>
      <c r="H6933" s="46" t="str">
        <f>IF(AND(I.Developer.P2a=TRUE,I.Facility.P2aFacilityCount&gt;=1921,F6933=""),"Incomplete","Complete")</f>
        <v>Complete</v>
      </c>
      <c r="I6933" s="48" t="s">
        <v>11298</v>
      </c>
    </row>
    <row r="6934" spans="2:9" ht="15" customHeight="1" x14ac:dyDescent="0.25">
      <c r="B6934" s="55" t="s">
        <v>280</v>
      </c>
      <c r="C6934" s="46">
        <v>1922</v>
      </c>
      <c r="D6934" s="69" t="s">
        <v>29417</v>
      </c>
      <c r="E6934" s="51"/>
      <c r="F6934" s="114" t="str">
        <f>IF(INDEX(I.Facility.P2aIDNumber,1922)="","",INDEX(I.Facility.P2aIDNumber,1922))</f>
        <v/>
      </c>
      <c r="G6934" s="51"/>
      <c r="H6934" s="46" t="str">
        <f>IF(AND(I.Developer.P2a=TRUE,I.Facility.P2aFacilityCount&gt;=1922,F6934=""),"Incomplete","Complete")</f>
        <v>Complete</v>
      </c>
      <c r="I6934" s="48" t="s">
        <v>11299</v>
      </c>
    </row>
    <row r="6935" spans="2:9" ht="15" customHeight="1" x14ac:dyDescent="0.25">
      <c r="B6935" s="55" t="s">
        <v>280</v>
      </c>
      <c r="C6935" s="46">
        <v>1923</v>
      </c>
      <c r="D6935" s="69" t="s">
        <v>29417</v>
      </c>
      <c r="E6935" s="51"/>
      <c r="F6935" s="114" t="str">
        <f>IF(INDEX(I.Facility.P2aIDNumber,1923)="","",INDEX(I.Facility.P2aIDNumber,1923))</f>
        <v/>
      </c>
      <c r="G6935" s="51"/>
      <c r="H6935" s="46" t="str">
        <f>IF(AND(I.Developer.P2a=TRUE,I.Facility.P2aFacilityCount&gt;=1923,F6935=""),"Incomplete","Complete")</f>
        <v>Complete</v>
      </c>
      <c r="I6935" s="48" t="s">
        <v>11300</v>
      </c>
    </row>
    <row r="6936" spans="2:9" ht="15" customHeight="1" x14ac:dyDescent="0.25">
      <c r="B6936" s="55" t="s">
        <v>280</v>
      </c>
      <c r="C6936" s="46">
        <v>1924</v>
      </c>
      <c r="D6936" s="69" t="s">
        <v>29417</v>
      </c>
      <c r="E6936" s="51"/>
      <c r="F6936" s="114" t="str">
        <f>IF(INDEX(I.Facility.P2aIDNumber,1924)="","",INDEX(I.Facility.P2aIDNumber,1924))</f>
        <v/>
      </c>
      <c r="G6936" s="51"/>
      <c r="H6936" s="46" t="str">
        <f>IF(AND(I.Developer.P2a=TRUE,I.Facility.P2aFacilityCount&gt;=1924,F6936=""),"Incomplete","Complete")</f>
        <v>Complete</v>
      </c>
      <c r="I6936" s="48" t="s">
        <v>11301</v>
      </c>
    </row>
    <row r="6937" spans="2:9" ht="15" customHeight="1" x14ac:dyDescent="0.25">
      <c r="B6937" s="55" t="s">
        <v>280</v>
      </c>
      <c r="C6937" s="46">
        <v>1925</v>
      </c>
      <c r="D6937" s="69" t="s">
        <v>29417</v>
      </c>
      <c r="E6937" s="51"/>
      <c r="F6937" s="114" t="str">
        <f>IF(INDEX(I.Facility.P2aIDNumber,1925)="","",INDEX(I.Facility.P2aIDNumber,1925))</f>
        <v/>
      </c>
      <c r="G6937" s="51"/>
      <c r="H6937" s="46" t="str">
        <f>IF(AND(I.Developer.P2a=TRUE,I.Facility.P2aFacilityCount&gt;=1925,F6937=""),"Incomplete","Complete")</f>
        <v>Complete</v>
      </c>
      <c r="I6937" s="48" t="s">
        <v>11302</v>
      </c>
    </row>
    <row r="6938" spans="2:9" ht="15" customHeight="1" x14ac:dyDescent="0.25">
      <c r="B6938" s="55" t="s">
        <v>280</v>
      </c>
      <c r="C6938" s="46">
        <v>1926</v>
      </c>
      <c r="D6938" s="69" t="s">
        <v>29417</v>
      </c>
      <c r="E6938" s="51"/>
      <c r="F6938" s="114" t="str">
        <f>IF(INDEX(I.Facility.P2aIDNumber,1926)="","",INDEX(I.Facility.P2aIDNumber,1926))</f>
        <v/>
      </c>
      <c r="G6938" s="51"/>
      <c r="H6938" s="46" t="str">
        <f>IF(AND(I.Developer.P2a=TRUE,I.Facility.P2aFacilityCount&gt;=1926,F6938=""),"Incomplete","Complete")</f>
        <v>Complete</v>
      </c>
      <c r="I6938" s="48" t="s">
        <v>11303</v>
      </c>
    </row>
    <row r="6939" spans="2:9" ht="15" customHeight="1" x14ac:dyDescent="0.25">
      <c r="B6939" s="55" t="s">
        <v>280</v>
      </c>
      <c r="C6939" s="46">
        <v>1927</v>
      </c>
      <c r="D6939" s="69" t="s">
        <v>29417</v>
      </c>
      <c r="E6939" s="51"/>
      <c r="F6939" s="114" t="str">
        <f>IF(INDEX(I.Facility.P2aIDNumber,1927)="","",INDEX(I.Facility.P2aIDNumber,1927))</f>
        <v/>
      </c>
      <c r="G6939" s="51"/>
      <c r="H6939" s="46" t="str">
        <f>IF(AND(I.Developer.P2a=TRUE,I.Facility.P2aFacilityCount&gt;=1927,F6939=""),"Incomplete","Complete")</f>
        <v>Complete</v>
      </c>
      <c r="I6939" s="48" t="s">
        <v>11304</v>
      </c>
    </row>
    <row r="6940" spans="2:9" ht="15" customHeight="1" x14ac:dyDescent="0.25">
      <c r="B6940" s="55" t="s">
        <v>280</v>
      </c>
      <c r="C6940" s="46">
        <v>1928</v>
      </c>
      <c r="D6940" s="69" t="s">
        <v>29417</v>
      </c>
      <c r="E6940" s="51"/>
      <c r="F6940" s="114" t="str">
        <f>IF(INDEX(I.Facility.P2aIDNumber,1928)="","",INDEX(I.Facility.P2aIDNumber,1928))</f>
        <v/>
      </c>
      <c r="G6940" s="51"/>
      <c r="H6940" s="46" t="str">
        <f>IF(AND(I.Developer.P2a=TRUE,I.Facility.P2aFacilityCount&gt;=1928,F6940=""),"Incomplete","Complete")</f>
        <v>Complete</v>
      </c>
      <c r="I6940" s="48" t="s">
        <v>11305</v>
      </c>
    </row>
    <row r="6941" spans="2:9" ht="15" customHeight="1" x14ac:dyDescent="0.25">
      <c r="B6941" s="55" t="s">
        <v>280</v>
      </c>
      <c r="C6941" s="46">
        <v>1929</v>
      </c>
      <c r="D6941" s="69" t="s">
        <v>29417</v>
      </c>
      <c r="E6941" s="51"/>
      <c r="F6941" s="114" t="str">
        <f>IF(INDEX(I.Facility.P2aIDNumber,1929)="","",INDEX(I.Facility.P2aIDNumber,1929))</f>
        <v/>
      </c>
      <c r="G6941" s="51"/>
      <c r="H6941" s="46" t="str">
        <f>IF(AND(I.Developer.P2a=TRUE,I.Facility.P2aFacilityCount&gt;=1929,F6941=""),"Incomplete","Complete")</f>
        <v>Complete</v>
      </c>
      <c r="I6941" s="48" t="s">
        <v>11306</v>
      </c>
    </row>
    <row r="6942" spans="2:9" ht="15" customHeight="1" x14ac:dyDescent="0.25">
      <c r="B6942" s="55" t="s">
        <v>280</v>
      </c>
      <c r="C6942" s="46">
        <v>1930</v>
      </c>
      <c r="D6942" s="69" t="s">
        <v>29417</v>
      </c>
      <c r="E6942" s="51"/>
      <c r="F6942" s="114" t="str">
        <f>IF(INDEX(I.Facility.P2aIDNumber,1930)="","",INDEX(I.Facility.P2aIDNumber,1930))</f>
        <v/>
      </c>
      <c r="G6942" s="51"/>
      <c r="H6942" s="46" t="str">
        <f>IF(AND(I.Developer.P2a=TRUE,I.Facility.P2aFacilityCount&gt;=1930,F6942=""),"Incomplete","Complete")</f>
        <v>Complete</v>
      </c>
      <c r="I6942" s="48" t="s">
        <v>11307</v>
      </c>
    </row>
    <row r="6943" spans="2:9" ht="15" customHeight="1" x14ac:dyDescent="0.25">
      <c r="B6943" s="55" t="s">
        <v>280</v>
      </c>
      <c r="C6943" s="46">
        <v>1931</v>
      </c>
      <c r="D6943" s="69" t="s">
        <v>29417</v>
      </c>
      <c r="E6943" s="51"/>
      <c r="F6943" s="114" t="str">
        <f>IF(INDEX(I.Facility.P2aIDNumber,1931)="","",INDEX(I.Facility.P2aIDNumber,1931))</f>
        <v/>
      </c>
      <c r="G6943" s="51"/>
      <c r="H6943" s="46" t="str">
        <f>IF(AND(I.Developer.P2a=TRUE,I.Facility.P2aFacilityCount&gt;=1931,F6943=""),"Incomplete","Complete")</f>
        <v>Complete</v>
      </c>
      <c r="I6943" s="48" t="s">
        <v>11308</v>
      </c>
    </row>
    <row r="6944" spans="2:9" ht="15" customHeight="1" x14ac:dyDescent="0.25">
      <c r="B6944" s="55" t="s">
        <v>280</v>
      </c>
      <c r="C6944" s="46">
        <v>1932</v>
      </c>
      <c r="D6944" s="69" t="s">
        <v>29417</v>
      </c>
      <c r="E6944" s="51"/>
      <c r="F6944" s="114" t="str">
        <f>IF(INDEX(I.Facility.P2aIDNumber,1932)="","",INDEX(I.Facility.P2aIDNumber,1932))</f>
        <v/>
      </c>
      <c r="G6944" s="51"/>
      <c r="H6944" s="46" t="str">
        <f>IF(AND(I.Developer.P2a=TRUE,I.Facility.P2aFacilityCount&gt;=1932,F6944=""),"Incomplete","Complete")</f>
        <v>Complete</v>
      </c>
      <c r="I6944" s="48" t="s">
        <v>11309</v>
      </c>
    </row>
    <row r="6945" spans="2:9" ht="15" customHeight="1" x14ac:dyDescent="0.25">
      <c r="B6945" s="55" t="s">
        <v>280</v>
      </c>
      <c r="C6945" s="46">
        <v>1933</v>
      </c>
      <c r="D6945" s="69" t="s">
        <v>29417</v>
      </c>
      <c r="E6945" s="51"/>
      <c r="F6945" s="114" t="str">
        <f>IF(INDEX(I.Facility.P2aIDNumber,1933)="","",INDEX(I.Facility.P2aIDNumber,1933))</f>
        <v/>
      </c>
      <c r="G6945" s="51"/>
      <c r="H6945" s="46" t="str">
        <f>IF(AND(I.Developer.P2a=TRUE,I.Facility.P2aFacilityCount&gt;=1933,F6945=""),"Incomplete","Complete")</f>
        <v>Complete</v>
      </c>
      <c r="I6945" s="48" t="s">
        <v>11310</v>
      </c>
    </row>
    <row r="6946" spans="2:9" ht="15" customHeight="1" x14ac:dyDescent="0.25">
      <c r="B6946" s="55" t="s">
        <v>280</v>
      </c>
      <c r="C6946" s="46">
        <v>1934</v>
      </c>
      <c r="D6946" s="69" t="s">
        <v>29417</v>
      </c>
      <c r="E6946" s="51"/>
      <c r="F6946" s="114" t="str">
        <f>IF(INDEX(I.Facility.P2aIDNumber,1934)="","",INDEX(I.Facility.P2aIDNumber,1934))</f>
        <v/>
      </c>
      <c r="G6946" s="51"/>
      <c r="H6946" s="46" t="str">
        <f>IF(AND(I.Developer.P2a=TRUE,I.Facility.P2aFacilityCount&gt;=1934,F6946=""),"Incomplete","Complete")</f>
        <v>Complete</v>
      </c>
      <c r="I6946" s="48" t="s">
        <v>11311</v>
      </c>
    </row>
    <row r="6947" spans="2:9" ht="15" customHeight="1" x14ac:dyDescent="0.25">
      <c r="B6947" s="55" t="s">
        <v>280</v>
      </c>
      <c r="C6947" s="46">
        <v>1935</v>
      </c>
      <c r="D6947" s="69" t="s">
        <v>29417</v>
      </c>
      <c r="E6947" s="51"/>
      <c r="F6947" s="114" t="str">
        <f>IF(INDEX(I.Facility.P2aIDNumber,1935)="","",INDEX(I.Facility.P2aIDNumber,1935))</f>
        <v/>
      </c>
      <c r="G6947" s="51"/>
      <c r="H6947" s="46" t="str">
        <f>IF(AND(I.Developer.P2a=TRUE,I.Facility.P2aFacilityCount&gt;=1935,F6947=""),"Incomplete","Complete")</f>
        <v>Complete</v>
      </c>
      <c r="I6947" s="48" t="s">
        <v>11312</v>
      </c>
    </row>
    <row r="6948" spans="2:9" ht="15" customHeight="1" x14ac:dyDescent="0.25">
      <c r="B6948" s="55" t="s">
        <v>280</v>
      </c>
      <c r="C6948" s="46">
        <v>1936</v>
      </c>
      <c r="D6948" s="69" t="s">
        <v>29417</v>
      </c>
      <c r="E6948" s="51"/>
      <c r="F6948" s="114" t="str">
        <f>IF(INDEX(I.Facility.P2aIDNumber,1936)="","",INDEX(I.Facility.P2aIDNumber,1936))</f>
        <v/>
      </c>
      <c r="G6948" s="51"/>
      <c r="H6948" s="46" t="str">
        <f>IF(AND(I.Developer.P2a=TRUE,I.Facility.P2aFacilityCount&gt;=1936,F6948=""),"Incomplete","Complete")</f>
        <v>Complete</v>
      </c>
      <c r="I6948" s="48" t="s">
        <v>11313</v>
      </c>
    </row>
    <row r="6949" spans="2:9" ht="15" customHeight="1" x14ac:dyDescent="0.25">
      <c r="B6949" s="55" t="s">
        <v>280</v>
      </c>
      <c r="C6949" s="46">
        <v>1937</v>
      </c>
      <c r="D6949" s="69" t="s">
        <v>29417</v>
      </c>
      <c r="E6949" s="51"/>
      <c r="F6949" s="114" t="str">
        <f>IF(INDEX(I.Facility.P2aIDNumber,1937)="","",INDEX(I.Facility.P2aIDNumber,1937))</f>
        <v/>
      </c>
      <c r="G6949" s="51"/>
      <c r="H6949" s="46" t="str">
        <f>IF(AND(I.Developer.P2a=TRUE,I.Facility.P2aFacilityCount&gt;=1937,F6949=""),"Incomplete","Complete")</f>
        <v>Complete</v>
      </c>
      <c r="I6949" s="48" t="s">
        <v>11314</v>
      </c>
    </row>
    <row r="6950" spans="2:9" ht="15" customHeight="1" x14ac:dyDescent="0.25">
      <c r="B6950" s="55" t="s">
        <v>280</v>
      </c>
      <c r="C6950" s="46">
        <v>1938</v>
      </c>
      <c r="D6950" s="69" t="s">
        <v>29417</v>
      </c>
      <c r="E6950" s="51"/>
      <c r="F6950" s="114" t="str">
        <f>IF(INDEX(I.Facility.P2aIDNumber,1938)="","",INDEX(I.Facility.P2aIDNumber,1938))</f>
        <v/>
      </c>
      <c r="G6950" s="51"/>
      <c r="H6950" s="46" t="str">
        <f>IF(AND(I.Developer.P2a=TRUE,I.Facility.P2aFacilityCount&gt;=1938,F6950=""),"Incomplete","Complete")</f>
        <v>Complete</v>
      </c>
      <c r="I6950" s="48" t="s">
        <v>11315</v>
      </c>
    </row>
    <row r="6951" spans="2:9" ht="15" customHeight="1" x14ac:dyDescent="0.25">
      <c r="B6951" s="55" t="s">
        <v>280</v>
      </c>
      <c r="C6951" s="46">
        <v>1939</v>
      </c>
      <c r="D6951" s="69" t="s">
        <v>29417</v>
      </c>
      <c r="E6951" s="51"/>
      <c r="F6951" s="114" t="str">
        <f>IF(INDEX(I.Facility.P2aIDNumber,1939)="","",INDEX(I.Facility.P2aIDNumber,1939))</f>
        <v/>
      </c>
      <c r="G6951" s="51"/>
      <c r="H6951" s="46" t="str">
        <f>IF(AND(I.Developer.P2a=TRUE,I.Facility.P2aFacilityCount&gt;=1939,F6951=""),"Incomplete","Complete")</f>
        <v>Complete</v>
      </c>
      <c r="I6951" s="48" t="s">
        <v>11316</v>
      </c>
    </row>
    <row r="6952" spans="2:9" ht="15" customHeight="1" x14ac:dyDescent="0.25">
      <c r="B6952" s="55" t="s">
        <v>280</v>
      </c>
      <c r="C6952" s="46">
        <v>1940</v>
      </c>
      <c r="D6952" s="69" t="s">
        <v>29417</v>
      </c>
      <c r="E6952" s="51"/>
      <c r="F6952" s="114" t="str">
        <f>IF(INDEX(I.Facility.P2aIDNumber,1940)="","",INDEX(I.Facility.P2aIDNumber,1940))</f>
        <v/>
      </c>
      <c r="G6952" s="51"/>
      <c r="H6952" s="46" t="str">
        <f>IF(AND(I.Developer.P2a=TRUE,I.Facility.P2aFacilityCount&gt;=1940,F6952=""),"Incomplete","Complete")</f>
        <v>Complete</v>
      </c>
      <c r="I6952" s="48" t="s">
        <v>11317</v>
      </c>
    </row>
    <row r="6953" spans="2:9" ht="15" customHeight="1" x14ac:dyDescent="0.25">
      <c r="B6953" s="55" t="s">
        <v>280</v>
      </c>
      <c r="C6953" s="46">
        <v>1941</v>
      </c>
      <c r="D6953" s="69" t="s">
        <v>29417</v>
      </c>
      <c r="E6953" s="51"/>
      <c r="F6953" s="114" t="str">
        <f>IF(INDEX(I.Facility.P2aIDNumber,1941)="","",INDEX(I.Facility.P2aIDNumber,1941))</f>
        <v/>
      </c>
      <c r="G6953" s="51"/>
      <c r="H6953" s="46" t="str">
        <f>IF(AND(I.Developer.P2a=TRUE,I.Facility.P2aFacilityCount&gt;=1941,F6953=""),"Incomplete","Complete")</f>
        <v>Complete</v>
      </c>
      <c r="I6953" s="48" t="s">
        <v>11318</v>
      </c>
    </row>
    <row r="6954" spans="2:9" ht="15" customHeight="1" x14ac:dyDescent="0.25">
      <c r="B6954" s="55" t="s">
        <v>280</v>
      </c>
      <c r="C6954" s="46">
        <v>1942</v>
      </c>
      <c r="D6954" s="69" t="s">
        <v>29417</v>
      </c>
      <c r="E6954" s="51"/>
      <c r="F6954" s="114" t="str">
        <f>IF(INDEX(I.Facility.P2aIDNumber,1942)="","",INDEX(I.Facility.P2aIDNumber,1942))</f>
        <v/>
      </c>
      <c r="G6954" s="51"/>
      <c r="H6954" s="46" t="str">
        <f>IF(AND(I.Developer.P2a=TRUE,I.Facility.P2aFacilityCount&gt;=1942,F6954=""),"Incomplete","Complete")</f>
        <v>Complete</v>
      </c>
      <c r="I6954" s="48" t="s">
        <v>11319</v>
      </c>
    </row>
    <row r="6955" spans="2:9" ht="15" customHeight="1" x14ac:dyDescent="0.25">
      <c r="B6955" s="55" t="s">
        <v>280</v>
      </c>
      <c r="C6955" s="46">
        <v>1943</v>
      </c>
      <c r="D6955" s="69" t="s">
        <v>29417</v>
      </c>
      <c r="E6955" s="51"/>
      <c r="F6955" s="114" t="str">
        <f>IF(INDEX(I.Facility.P2aIDNumber,1943)="","",INDEX(I.Facility.P2aIDNumber,1943))</f>
        <v/>
      </c>
      <c r="G6955" s="51"/>
      <c r="H6955" s="46" t="str">
        <f>IF(AND(I.Developer.P2a=TRUE,I.Facility.P2aFacilityCount&gt;=1943,F6955=""),"Incomplete","Complete")</f>
        <v>Complete</v>
      </c>
      <c r="I6955" s="48" t="s">
        <v>11320</v>
      </c>
    </row>
    <row r="6956" spans="2:9" ht="15" customHeight="1" x14ac:dyDescent="0.25">
      <c r="B6956" s="55" t="s">
        <v>280</v>
      </c>
      <c r="C6956" s="46">
        <v>1944</v>
      </c>
      <c r="D6956" s="69" t="s">
        <v>29417</v>
      </c>
      <c r="E6956" s="51"/>
      <c r="F6956" s="114" t="str">
        <f>IF(INDEX(I.Facility.P2aIDNumber,1944)="","",INDEX(I.Facility.P2aIDNumber,1944))</f>
        <v/>
      </c>
      <c r="G6956" s="51"/>
      <c r="H6956" s="46" t="str">
        <f>IF(AND(I.Developer.P2a=TRUE,I.Facility.P2aFacilityCount&gt;=1944,F6956=""),"Incomplete","Complete")</f>
        <v>Complete</v>
      </c>
      <c r="I6956" s="48" t="s">
        <v>11321</v>
      </c>
    </row>
    <row r="6957" spans="2:9" ht="15" customHeight="1" x14ac:dyDescent="0.25">
      <c r="B6957" s="55" t="s">
        <v>280</v>
      </c>
      <c r="C6957" s="46">
        <v>1945</v>
      </c>
      <c r="D6957" s="69" t="s">
        <v>29417</v>
      </c>
      <c r="E6957" s="51"/>
      <c r="F6957" s="114" t="str">
        <f>IF(INDEX(I.Facility.P2aIDNumber,1945)="","",INDEX(I.Facility.P2aIDNumber,1945))</f>
        <v/>
      </c>
      <c r="G6957" s="51"/>
      <c r="H6957" s="46" t="str">
        <f>IF(AND(I.Developer.P2a=TRUE,I.Facility.P2aFacilityCount&gt;=1945,F6957=""),"Incomplete","Complete")</f>
        <v>Complete</v>
      </c>
      <c r="I6957" s="48" t="s">
        <v>11322</v>
      </c>
    </row>
    <row r="6958" spans="2:9" ht="15" customHeight="1" x14ac:dyDescent="0.25">
      <c r="B6958" s="55" t="s">
        <v>280</v>
      </c>
      <c r="C6958" s="46">
        <v>1946</v>
      </c>
      <c r="D6958" s="69" t="s">
        <v>29417</v>
      </c>
      <c r="E6958" s="51"/>
      <c r="F6958" s="114" t="str">
        <f>IF(INDEX(I.Facility.P2aIDNumber,1946)="","",INDEX(I.Facility.P2aIDNumber,1946))</f>
        <v/>
      </c>
      <c r="G6958" s="51"/>
      <c r="H6958" s="46" t="str">
        <f>IF(AND(I.Developer.P2a=TRUE,I.Facility.P2aFacilityCount&gt;=1946,F6958=""),"Incomplete","Complete")</f>
        <v>Complete</v>
      </c>
      <c r="I6958" s="48" t="s">
        <v>11323</v>
      </c>
    </row>
    <row r="6959" spans="2:9" ht="15" customHeight="1" x14ac:dyDescent="0.25">
      <c r="B6959" s="55" t="s">
        <v>280</v>
      </c>
      <c r="C6959" s="46">
        <v>1947</v>
      </c>
      <c r="D6959" s="69" t="s">
        <v>29417</v>
      </c>
      <c r="E6959" s="51"/>
      <c r="F6959" s="114" t="str">
        <f>IF(INDEX(I.Facility.P2aIDNumber,1947)="","",INDEX(I.Facility.P2aIDNumber,1947))</f>
        <v/>
      </c>
      <c r="G6959" s="51"/>
      <c r="H6959" s="46" t="str">
        <f>IF(AND(I.Developer.P2a=TRUE,I.Facility.P2aFacilityCount&gt;=1947,F6959=""),"Incomplete","Complete")</f>
        <v>Complete</v>
      </c>
      <c r="I6959" s="48" t="s">
        <v>11324</v>
      </c>
    </row>
    <row r="6960" spans="2:9" ht="15" customHeight="1" x14ac:dyDescent="0.25">
      <c r="B6960" s="55" t="s">
        <v>280</v>
      </c>
      <c r="C6960" s="46">
        <v>1948</v>
      </c>
      <c r="D6960" s="69" t="s">
        <v>29417</v>
      </c>
      <c r="E6960" s="51"/>
      <c r="F6960" s="114" t="str">
        <f>IF(INDEX(I.Facility.P2aIDNumber,1948)="","",INDEX(I.Facility.P2aIDNumber,1948))</f>
        <v/>
      </c>
      <c r="G6960" s="51"/>
      <c r="H6960" s="46" t="str">
        <f>IF(AND(I.Developer.P2a=TRUE,I.Facility.P2aFacilityCount&gt;=1948,F6960=""),"Incomplete","Complete")</f>
        <v>Complete</v>
      </c>
      <c r="I6960" s="48" t="s">
        <v>11325</v>
      </c>
    </row>
    <row r="6961" spans="2:9" ht="15" customHeight="1" x14ac:dyDescent="0.25">
      <c r="B6961" s="55" t="s">
        <v>280</v>
      </c>
      <c r="C6961" s="46">
        <v>1949</v>
      </c>
      <c r="D6961" s="69" t="s">
        <v>29417</v>
      </c>
      <c r="E6961" s="51"/>
      <c r="F6961" s="114" t="str">
        <f>IF(INDEX(I.Facility.P2aIDNumber,1949)="","",INDEX(I.Facility.P2aIDNumber,1949))</f>
        <v/>
      </c>
      <c r="G6961" s="51"/>
      <c r="H6961" s="46" t="str">
        <f>IF(AND(I.Developer.P2a=TRUE,I.Facility.P2aFacilityCount&gt;=1949,F6961=""),"Incomplete","Complete")</f>
        <v>Complete</v>
      </c>
      <c r="I6961" s="48" t="s">
        <v>11326</v>
      </c>
    </row>
    <row r="6962" spans="2:9" ht="15" customHeight="1" x14ac:dyDescent="0.25">
      <c r="B6962" s="55" t="s">
        <v>280</v>
      </c>
      <c r="C6962" s="46">
        <v>1950</v>
      </c>
      <c r="D6962" s="69" t="s">
        <v>29417</v>
      </c>
      <c r="E6962" s="51"/>
      <c r="F6962" s="114" t="str">
        <f>IF(INDEX(I.Facility.P2aIDNumber,1950)="","",INDEX(I.Facility.P2aIDNumber,1950))</f>
        <v/>
      </c>
      <c r="G6962" s="51"/>
      <c r="H6962" s="46" t="str">
        <f>IF(AND(I.Developer.P2a=TRUE,I.Facility.P2aFacilityCount&gt;=1950,F6962=""),"Incomplete","Complete")</f>
        <v>Complete</v>
      </c>
      <c r="I6962" s="48" t="s">
        <v>11327</v>
      </c>
    </row>
    <row r="6963" spans="2:9" ht="15" customHeight="1" x14ac:dyDescent="0.25">
      <c r="B6963" s="55" t="s">
        <v>280</v>
      </c>
      <c r="C6963" s="46">
        <v>1951</v>
      </c>
      <c r="D6963" s="69" t="s">
        <v>29417</v>
      </c>
      <c r="E6963" s="51"/>
      <c r="F6963" s="114" t="str">
        <f>IF(INDEX(I.Facility.P2aIDNumber,1951)="","",INDEX(I.Facility.P2aIDNumber,1951))</f>
        <v/>
      </c>
      <c r="G6963" s="51"/>
      <c r="H6963" s="46" t="str">
        <f>IF(AND(I.Developer.P2a=TRUE,I.Facility.P2aFacilityCount&gt;=1951,F6963=""),"Incomplete","Complete")</f>
        <v>Complete</v>
      </c>
      <c r="I6963" s="48" t="s">
        <v>11328</v>
      </c>
    </row>
    <row r="6964" spans="2:9" ht="15" customHeight="1" x14ac:dyDescent="0.25">
      <c r="B6964" s="55" t="s">
        <v>280</v>
      </c>
      <c r="C6964" s="46">
        <v>1952</v>
      </c>
      <c r="D6964" s="69" t="s">
        <v>29417</v>
      </c>
      <c r="E6964" s="51"/>
      <c r="F6964" s="114" t="str">
        <f>IF(INDEX(I.Facility.P2aIDNumber,1952)="","",INDEX(I.Facility.P2aIDNumber,1952))</f>
        <v/>
      </c>
      <c r="G6964" s="51"/>
      <c r="H6964" s="46" t="str">
        <f>IF(AND(I.Developer.P2a=TRUE,I.Facility.P2aFacilityCount&gt;=1952,F6964=""),"Incomplete","Complete")</f>
        <v>Complete</v>
      </c>
      <c r="I6964" s="48" t="s">
        <v>11329</v>
      </c>
    </row>
    <row r="6965" spans="2:9" ht="15" customHeight="1" x14ac:dyDescent="0.25">
      <c r="B6965" s="55" t="s">
        <v>280</v>
      </c>
      <c r="C6965" s="46">
        <v>1953</v>
      </c>
      <c r="D6965" s="69" t="s">
        <v>29417</v>
      </c>
      <c r="E6965" s="51"/>
      <c r="F6965" s="114" t="str">
        <f>IF(INDEX(I.Facility.P2aIDNumber,1953)="","",INDEX(I.Facility.P2aIDNumber,1953))</f>
        <v/>
      </c>
      <c r="G6965" s="51"/>
      <c r="H6965" s="46" t="str">
        <f>IF(AND(I.Developer.P2a=TRUE,I.Facility.P2aFacilityCount&gt;=1953,F6965=""),"Incomplete","Complete")</f>
        <v>Complete</v>
      </c>
      <c r="I6965" s="48" t="s">
        <v>11330</v>
      </c>
    </row>
    <row r="6966" spans="2:9" ht="15" customHeight="1" x14ac:dyDescent="0.25">
      <c r="B6966" s="55" t="s">
        <v>280</v>
      </c>
      <c r="C6966" s="46">
        <v>1954</v>
      </c>
      <c r="D6966" s="69" t="s">
        <v>29417</v>
      </c>
      <c r="E6966" s="51"/>
      <c r="F6966" s="114" t="str">
        <f>IF(INDEX(I.Facility.P2aIDNumber,1954)="","",INDEX(I.Facility.P2aIDNumber,1954))</f>
        <v/>
      </c>
      <c r="G6966" s="51"/>
      <c r="H6966" s="46" t="str">
        <f>IF(AND(I.Developer.P2a=TRUE,I.Facility.P2aFacilityCount&gt;=1954,F6966=""),"Incomplete","Complete")</f>
        <v>Complete</v>
      </c>
      <c r="I6966" s="48" t="s">
        <v>11331</v>
      </c>
    </row>
    <row r="6967" spans="2:9" ht="15" customHeight="1" x14ac:dyDescent="0.25">
      <c r="B6967" s="55" t="s">
        <v>280</v>
      </c>
      <c r="C6967" s="46">
        <v>1955</v>
      </c>
      <c r="D6967" s="69" t="s">
        <v>29417</v>
      </c>
      <c r="E6967" s="51"/>
      <c r="F6967" s="114" t="str">
        <f>IF(INDEX(I.Facility.P2aIDNumber,1955)="","",INDEX(I.Facility.P2aIDNumber,1955))</f>
        <v/>
      </c>
      <c r="G6967" s="51"/>
      <c r="H6967" s="46" t="str">
        <f>IF(AND(I.Developer.P2a=TRUE,I.Facility.P2aFacilityCount&gt;=1955,F6967=""),"Incomplete","Complete")</f>
        <v>Complete</v>
      </c>
      <c r="I6967" s="48" t="s">
        <v>11332</v>
      </c>
    </row>
    <row r="6968" spans="2:9" ht="15" customHeight="1" x14ac:dyDescent="0.25">
      <c r="B6968" s="55" t="s">
        <v>280</v>
      </c>
      <c r="C6968" s="46">
        <v>1956</v>
      </c>
      <c r="D6968" s="69" t="s">
        <v>29417</v>
      </c>
      <c r="E6968" s="51"/>
      <c r="F6968" s="114" t="str">
        <f>IF(INDEX(I.Facility.P2aIDNumber,1956)="","",INDEX(I.Facility.P2aIDNumber,1956))</f>
        <v/>
      </c>
      <c r="G6968" s="51"/>
      <c r="H6968" s="46" t="str">
        <f>IF(AND(I.Developer.P2a=TRUE,I.Facility.P2aFacilityCount&gt;=1956,F6968=""),"Incomplete","Complete")</f>
        <v>Complete</v>
      </c>
      <c r="I6968" s="48" t="s">
        <v>11333</v>
      </c>
    </row>
    <row r="6969" spans="2:9" ht="15" customHeight="1" x14ac:dyDescent="0.25">
      <c r="B6969" s="55" t="s">
        <v>280</v>
      </c>
      <c r="C6969" s="46">
        <v>1957</v>
      </c>
      <c r="D6969" s="69" t="s">
        <v>29417</v>
      </c>
      <c r="E6969" s="51"/>
      <c r="F6969" s="114" t="str">
        <f>IF(INDEX(I.Facility.P2aIDNumber,1957)="","",INDEX(I.Facility.P2aIDNumber,1957))</f>
        <v/>
      </c>
      <c r="G6969" s="51"/>
      <c r="H6969" s="46" t="str">
        <f>IF(AND(I.Developer.P2a=TRUE,I.Facility.P2aFacilityCount&gt;=1957,F6969=""),"Incomplete","Complete")</f>
        <v>Complete</v>
      </c>
      <c r="I6969" s="48" t="s">
        <v>11334</v>
      </c>
    </row>
    <row r="6970" spans="2:9" ht="15" customHeight="1" x14ac:dyDescent="0.25">
      <c r="B6970" s="55" t="s">
        <v>280</v>
      </c>
      <c r="C6970" s="46">
        <v>1958</v>
      </c>
      <c r="D6970" s="69" t="s">
        <v>29417</v>
      </c>
      <c r="E6970" s="51"/>
      <c r="F6970" s="114" t="str">
        <f>IF(INDEX(I.Facility.P2aIDNumber,1958)="","",INDEX(I.Facility.P2aIDNumber,1958))</f>
        <v/>
      </c>
      <c r="G6970" s="51"/>
      <c r="H6970" s="46" t="str">
        <f>IF(AND(I.Developer.P2a=TRUE,I.Facility.P2aFacilityCount&gt;=1958,F6970=""),"Incomplete","Complete")</f>
        <v>Complete</v>
      </c>
      <c r="I6970" s="48" t="s">
        <v>11335</v>
      </c>
    </row>
    <row r="6971" spans="2:9" ht="15" customHeight="1" x14ac:dyDescent="0.25">
      <c r="B6971" s="55" t="s">
        <v>280</v>
      </c>
      <c r="C6971" s="46">
        <v>1959</v>
      </c>
      <c r="D6971" s="69" t="s">
        <v>29417</v>
      </c>
      <c r="E6971" s="51"/>
      <c r="F6971" s="114" t="str">
        <f>IF(INDEX(I.Facility.P2aIDNumber,1959)="","",INDEX(I.Facility.P2aIDNumber,1959))</f>
        <v/>
      </c>
      <c r="G6971" s="51"/>
      <c r="H6971" s="46" t="str">
        <f>IF(AND(I.Developer.P2a=TRUE,I.Facility.P2aFacilityCount&gt;=1959,F6971=""),"Incomplete","Complete")</f>
        <v>Complete</v>
      </c>
      <c r="I6971" s="48" t="s">
        <v>11336</v>
      </c>
    </row>
    <row r="6972" spans="2:9" ht="15" customHeight="1" x14ac:dyDescent="0.25">
      <c r="B6972" s="55" t="s">
        <v>280</v>
      </c>
      <c r="C6972" s="46">
        <v>1960</v>
      </c>
      <c r="D6972" s="69" t="s">
        <v>29417</v>
      </c>
      <c r="E6972" s="51"/>
      <c r="F6972" s="114" t="str">
        <f>IF(INDEX(I.Facility.P2aIDNumber,1960)="","",INDEX(I.Facility.P2aIDNumber,1960))</f>
        <v/>
      </c>
      <c r="G6972" s="51"/>
      <c r="H6972" s="46" t="str">
        <f>IF(AND(I.Developer.P2a=TRUE,I.Facility.P2aFacilityCount&gt;=1960,F6972=""),"Incomplete","Complete")</f>
        <v>Complete</v>
      </c>
      <c r="I6972" s="48" t="s">
        <v>11337</v>
      </c>
    </row>
    <row r="6973" spans="2:9" ht="15" customHeight="1" x14ac:dyDescent="0.25">
      <c r="B6973" s="55" t="s">
        <v>280</v>
      </c>
      <c r="C6973" s="46">
        <v>1961</v>
      </c>
      <c r="D6973" s="69" t="s">
        <v>29417</v>
      </c>
      <c r="E6973" s="51"/>
      <c r="F6973" s="114" t="str">
        <f>IF(INDEX(I.Facility.P2aIDNumber,1961)="","",INDEX(I.Facility.P2aIDNumber,1961))</f>
        <v/>
      </c>
      <c r="G6973" s="51"/>
      <c r="H6973" s="46" t="str">
        <f>IF(AND(I.Developer.P2a=TRUE,I.Facility.P2aFacilityCount&gt;=1961,F6973=""),"Incomplete","Complete")</f>
        <v>Complete</v>
      </c>
      <c r="I6973" s="48" t="s">
        <v>11338</v>
      </c>
    </row>
    <row r="6974" spans="2:9" ht="15" customHeight="1" x14ac:dyDescent="0.25">
      <c r="B6974" s="55" t="s">
        <v>280</v>
      </c>
      <c r="C6974" s="46">
        <v>1962</v>
      </c>
      <c r="D6974" s="69" t="s">
        <v>29417</v>
      </c>
      <c r="E6974" s="51"/>
      <c r="F6974" s="114" t="str">
        <f>IF(INDEX(I.Facility.P2aIDNumber,1962)="","",INDEX(I.Facility.P2aIDNumber,1962))</f>
        <v/>
      </c>
      <c r="G6974" s="51"/>
      <c r="H6974" s="46" t="str">
        <f>IF(AND(I.Developer.P2a=TRUE,I.Facility.P2aFacilityCount&gt;=1962,F6974=""),"Incomplete","Complete")</f>
        <v>Complete</v>
      </c>
      <c r="I6974" s="48" t="s">
        <v>11339</v>
      </c>
    </row>
    <row r="6975" spans="2:9" ht="15" customHeight="1" x14ac:dyDescent="0.25">
      <c r="B6975" s="55" t="s">
        <v>280</v>
      </c>
      <c r="C6975" s="46">
        <v>1963</v>
      </c>
      <c r="D6975" s="69" t="s">
        <v>29417</v>
      </c>
      <c r="E6975" s="51"/>
      <c r="F6975" s="114" t="str">
        <f>IF(INDEX(I.Facility.P2aIDNumber,1963)="","",INDEX(I.Facility.P2aIDNumber,1963))</f>
        <v/>
      </c>
      <c r="G6975" s="51"/>
      <c r="H6975" s="46" t="str">
        <f>IF(AND(I.Developer.P2a=TRUE,I.Facility.P2aFacilityCount&gt;=1963,F6975=""),"Incomplete","Complete")</f>
        <v>Complete</v>
      </c>
      <c r="I6975" s="48" t="s">
        <v>11340</v>
      </c>
    </row>
    <row r="6976" spans="2:9" ht="15" customHeight="1" x14ac:dyDescent="0.25">
      <c r="B6976" s="55" t="s">
        <v>280</v>
      </c>
      <c r="C6976" s="46">
        <v>1964</v>
      </c>
      <c r="D6976" s="69" t="s">
        <v>29417</v>
      </c>
      <c r="E6976" s="51"/>
      <c r="F6976" s="114" t="str">
        <f>IF(INDEX(I.Facility.P2aIDNumber,1964)="","",INDEX(I.Facility.P2aIDNumber,1964))</f>
        <v/>
      </c>
      <c r="G6976" s="51"/>
      <c r="H6976" s="46" t="str">
        <f>IF(AND(I.Developer.P2a=TRUE,I.Facility.P2aFacilityCount&gt;=1964,F6976=""),"Incomplete","Complete")</f>
        <v>Complete</v>
      </c>
      <c r="I6976" s="48" t="s">
        <v>11341</v>
      </c>
    </row>
    <row r="6977" spans="2:9" ht="15" customHeight="1" x14ac:dyDescent="0.25">
      <c r="B6977" s="55" t="s">
        <v>280</v>
      </c>
      <c r="C6977" s="46">
        <v>1965</v>
      </c>
      <c r="D6977" s="69" t="s">
        <v>29417</v>
      </c>
      <c r="E6977" s="51"/>
      <c r="F6977" s="114" t="str">
        <f>IF(INDEX(I.Facility.P2aIDNumber,1965)="","",INDEX(I.Facility.P2aIDNumber,1965))</f>
        <v/>
      </c>
      <c r="G6977" s="51"/>
      <c r="H6977" s="46" t="str">
        <f>IF(AND(I.Developer.P2a=TRUE,I.Facility.P2aFacilityCount&gt;=1965,F6977=""),"Incomplete","Complete")</f>
        <v>Complete</v>
      </c>
      <c r="I6977" s="48" t="s">
        <v>11342</v>
      </c>
    </row>
    <row r="6978" spans="2:9" ht="15" customHeight="1" x14ac:dyDescent="0.25">
      <c r="B6978" s="55" t="s">
        <v>280</v>
      </c>
      <c r="C6978" s="46">
        <v>1966</v>
      </c>
      <c r="D6978" s="69" t="s">
        <v>29417</v>
      </c>
      <c r="E6978" s="51"/>
      <c r="F6978" s="114" t="str">
        <f>IF(INDEX(I.Facility.P2aIDNumber,1966)="","",INDEX(I.Facility.P2aIDNumber,1966))</f>
        <v/>
      </c>
      <c r="G6978" s="51"/>
      <c r="H6978" s="46" t="str">
        <f>IF(AND(I.Developer.P2a=TRUE,I.Facility.P2aFacilityCount&gt;=1966,F6978=""),"Incomplete","Complete")</f>
        <v>Complete</v>
      </c>
      <c r="I6978" s="48" t="s">
        <v>11343</v>
      </c>
    </row>
    <row r="6979" spans="2:9" ht="15" customHeight="1" x14ac:dyDescent="0.25">
      <c r="B6979" s="55" t="s">
        <v>280</v>
      </c>
      <c r="C6979" s="46">
        <v>1967</v>
      </c>
      <c r="D6979" s="69" t="s">
        <v>29417</v>
      </c>
      <c r="E6979" s="51"/>
      <c r="F6979" s="114" t="str">
        <f>IF(INDEX(I.Facility.P2aIDNumber,1967)="","",INDEX(I.Facility.P2aIDNumber,1967))</f>
        <v/>
      </c>
      <c r="G6979" s="51"/>
      <c r="H6979" s="46" t="str">
        <f>IF(AND(I.Developer.P2a=TRUE,I.Facility.P2aFacilityCount&gt;=1967,F6979=""),"Incomplete","Complete")</f>
        <v>Complete</v>
      </c>
      <c r="I6979" s="48" t="s">
        <v>11344</v>
      </c>
    </row>
    <row r="6980" spans="2:9" ht="15" customHeight="1" x14ac:dyDescent="0.25">
      <c r="B6980" s="55" t="s">
        <v>280</v>
      </c>
      <c r="C6980" s="46">
        <v>1968</v>
      </c>
      <c r="D6980" s="69" t="s">
        <v>29417</v>
      </c>
      <c r="E6980" s="51"/>
      <c r="F6980" s="114" t="str">
        <f>IF(INDEX(I.Facility.P2aIDNumber,1968)="","",INDEX(I.Facility.P2aIDNumber,1968))</f>
        <v/>
      </c>
      <c r="G6980" s="51"/>
      <c r="H6980" s="46" t="str">
        <f>IF(AND(I.Developer.P2a=TRUE,I.Facility.P2aFacilityCount&gt;=1968,F6980=""),"Incomplete","Complete")</f>
        <v>Complete</v>
      </c>
      <c r="I6980" s="48" t="s">
        <v>11345</v>
      </c>
    </row>
    <row r="6981" spans="2:9" ht="15" customHeight="1" x14ac:dyDescent="0.25">
      <c r="B6981" s="55" t="s">
        <v>280</v>
      </c>
      <c r="C6981" s="46">
        <v>1969</v>
      </c>
      <c r="D6981" s="69" t="s">
        <v>29417</v>
      </c>
      <c r="E6981" s="51"/>
      <c r="F6981" s="114" t="str">
        <f>IF(INDEX(I.Facility.P2aIDNumber,1969)="","",INDEX(I.Facility.P2aIDNumber,1969))</f>
        <v/>
      </c>
      <c r="G6981" s="51"/>
      <c r="H6981" s="46" t="str">
        <f>IF(AND(I.Developer.P2a=TRUE,I.Facility.P2aFacilityCount&gt;=1969,F6981=""),"Incomplete","Complete")</f>
        <v>Complete</v>
      </c>
      <c r="I6981" s="48" t="s">
        <v>11346</v>
      </c>
    </row>
    <row r="6982" spans="2:9" ht="15" customHeight="1" x14ac:dyDescent="0.25">
      <c r="B6982" s="55" t="s">
        <v>280</v>
      </c>
      <c r="C6982" s="46">
        <v>1970</v>
      </c>
      <c r="D6982" s="69" t="s">
        <v>29417</v>
      </c>
      <c r="E6982" s="51"/>
      <c r="F6982" s="114" t="str">
        <f>IF(INDEX(I.Facility.P2aIDNumber,1970)="","",INDEX(I.Facility.P2aIDNumber,1970))</f>
        <v/>
      </c>
      <c r="G6982" s="51"/>
      <c r="H6982" s="46" t="str">
        <f>IF(AND(I.Developer.P2a=TRUE,I.Facility.P2aFacilityCount&gt;=1970,F6982=""),"Incomplete","Complete")</f>
        <v>Complete</v>
      </c>
      <c r="I6982" s="48" t="s">
        <v>11347</v>
      </c>
    </row>
    <row r="6983" spans="2:9" ht="15" customHeight="1" x14ac:dyDescent="0.25">
      <c r="B6983" s="55" t="s">
        <v>280</v>
      </c>
      <c r="C6983" s="46">
        <v>1971</v>
      </c>
      <c r="D6983" s="69" t="s">
        <v>29417</v>
      </c>
      <c r="E6983" s="51"/>
      <c r="F6983" s="114" t="str">
        <f>IF(INDEX(I.Facility.P2aIDNumber,1971)="","",INDEX(I.Facility.P2aIDNumber,1971))</f>
        <v/>
      </c>
      <c r="G6983" s="51"/>
      <c r="H6983" s="46" t="str">
        <f>IF(AND(I.Developer.P2a=TRUE,I.Facility.P2aFacilityCount&gt;=1971,F6983=""),"Incomplete","Complete")</f>
        <v>Complete</v>
      </c>
      <c r="I6983" s="48" t="s">
        <v>11348</v>
      </c>
    </row>
    <row r="6984" spans="2:9" ht="15" customHeight="1" x14ac:dyDescent="0.25">
      <c r="B6984" s="55" t="s">
        <v>280</v>
      </c>
      <c r="C6984" s="46">
        <v>1972</v>
      </c>
      <c r="D6984" s="69" t="s">
        <v>29417</v>
      </c>
      <c r="E6984" s="51"/>
      <c r="F6984" s="114" t="str">
        <f>IF(INDEX(I.Facility.P2aIDNumber,1972)="","",INDEX(I.Facility.P2aIDNumber,1972))</f>
        <v/>
      </c>
      <c r="G6984" s="51"/>
      <c r="H6984" s="46" t="str">
        <f>IF(AND(I.Developer.P2a=TRUE,I.Facility.P2aFacilityCount&gt;=1972,F6984=""),"Incomplete","Complete")</f>
        <v>Complete</v>
      </c>
      <c r="I6984" s="48" t="s">
        <v>11349</v>
      </c>
    </row>
    <row r="6985" spans="2:9" ht="15" customHeight="1" x14ac:dyDescent="0.25">
      <c r="B6985" s="55" t="s">
        <v>280</v>
      </c>
      <c r="C6985" s="46">
        <v>1973</v>
      </c>
      <c r="D6985" s="69" t="s">
        <v>29417</v>
      </c>
      <c r="E6985" s="51"/>
      <c r="F6985" s="114" t="str">
        <f>IF(INDEX(I.Facility.P2aIDNumber,1973)="","",INDEX(I.Facility.P2aIDNumber,1973))</f>
        <v/>
      </c>
      <c r="G6985" s="51"/>
      <c r="H6985" s="46" t="str">
        <f>IF(AND(I.Developer.P2a=TRUE,I.Facility.P2aFacilityCount&gt;=1973,F6985=""),"Incomplete","Complete")</f>
        <v>Complete</v>
      </c>
      <c r="I6985" s="48" t="s">
        <v>11350</v>
      </c>
    </row>
    <row r="6986" spans="2:9" ht="15" customHeight="1" x14ac:dyDescent="0.25">
      <c r="B6986" s="55" t="s">
        <v>280</v>
      </c>
      <c r="C6986" s="46">
        <v>1974</v>
      </c>
      <c r="D6986" s="69" t="s">
        <v>29417</v>
      </c>
      <c r="E6986" s="51"/>
      <c r="F6986" s="114" t="str">
        <f>IF(INDEX(I.Facility.P2aIDNumber,1974)="","",INDEX(I.Facility.P2aIDNumber,1974))</f>
        <v/>
      </c>
      <c r="G6986" s="51"/>
      <c r="H6986" s="46" t="str">
        <f>IF(AND(I.Developer.P2a=TRUE,I.Facility.P2aFacilityCount&gt;=1974,F6986=""),"Incomplete","Complete")</f>
        <v>Complete</v>
      </c>
      <c r="I6986" s="48" t="s">
        <v>11351</v>
      </c>
    </row>
    <row r="6987" spans="2:9" ht="15" customHeight="1" x14ac:dyDescent="0.25">
      <c r="B6987" s="55" t="s">
        <v>280</v>
      </c>
      <c r="C6987" s="46">
        <v>1975</v>
      </c>
      <c r="D6987" s="69" t="s">
        <v>29417</v>
      </c>
      <c r="E6987" s="51"/>
      <c r="F6987" s="114" t="str">
        <f>IF(INDEX(I.Facility.P2aIDNumber,1975)="","",INDEX(I.Facility.P2aIDNumber,1975))</f>
        <v/>
      </c>
      <c r="G6987" s="51"/>
      <c r="H6987" s="46" t="str">
        <f>IF(AND(I.Developer.P2a=TRUE,I.Facility.P2aFacilityCount&gt;=1975,F6987=""),"Incomplete","Complete")</f>
        <v>Complete</v>
      </c>
      <c r="I6987" s="48" t="s">
        <v>11352</v>
      </c>
    </row>
    <row r="6988" spans="2:9" ht="15" customHeight="1" x14ac:dyDescent="0.25">
      <c r="B6988" s="55" t="s">
        <v>280</v>
      </c>
      <c r="C6988" s="46">
        <v>1976</v>
      </c>
      <c r="D6988" s="69" t="s">
        <v>29417</v>
      </c>
      <c r="E6988" s="51"/>
      <c r="F6988" s="114" t="str">
        <f>IF(INDEX(I.Facility.P2aIDNumber,1976)="","",INDEX(I.Facility.P2aIDNumber,1976))</f>
        <v/>
      </c>
      <c r="G6988" s="51"/>
      <c r="H6988" s="46" t="str">
        <f>IF(AND(I.Developer.P2a=TRUE,I.Facility.P2aFacilityCount&gt;=1976,F6988=""),"Incomplete","Complete")</f>
        <v>Complete</v>
      </c>
      <c r="I6988" s="48" t="s">
        <v>11353</v>
      </c>
    </row>
    <row r="6989" spans="2:9" ht="15" customHeight="1" x14ac:dyDescent="0.25">
      <c r="B6989" s="55" t="s">
        <v>280</v>
      </c>
      <c r="C6989" s="46">
        <v>1977</v>
      </c>
      <c r="D6989" s="69" t="s">
        <v>29417</v>
      </c>
      <c r="E6989" s="51"/>
      <c r="F6989" s="114" t="str">
        <f>IF(INDEX(I.Facility.P2aIDNumber,1977)="","",INDEX(I.Facility.P2aIDNumber,1977))</f>
        <v/>
      </c>
      <c r="G6989" s="51"/>
      <c r="H6989" s="46" t="str">
        <f>IF(AND(I.Developer.P2a=TRUE,I.Facility.P2aFacilityCount&gt;=1977,F6989=""),"Incomplete","Complete")</f>
        <v>Complete</v>
      </c>
      <c r="I6989" s="48" t="s">
        <v>11354</v>
      </c>
    </row>
    <row r="6990" spans="2:9" ht="15" customHeight="1" x14ac:dyDescent="0.25">
      <c r="B6990" s="55" t="s">
        <v>280</v>
      </c>
      <c r="C6990" s="46">
        <v>1978</v>
      </c>
      <c r="D6990" s="69" t="s">
        <v>29417</v>
      </c>
      <c r="E6990" s="51"/>
      <c r="F6990" s="114" t="str">
        <f>IF(INDEX(I.Facility.P2aIDNumber,1978)="","",INDEX(I.Facility.P2aIDNumber,1978))</f>
        <v/>
      </c>
      <c r="G6990" s="51"/>
      <c r="H6990" s="46" t="str">
        <f>IF(AND(I.Developer.P2a=TRUE,I.Facility.P2aFacilityCount&gt;=1978,F6990=""),"Incomplete","Complete")</f>
        <v>Complete</v>
      </c>
      <c r="I6990" s="48" t="s">
        <v>11355</v>
      </c>
    </row>
    <row r="6991" spans="2:9" ht="15" customHeight="1" x14ac:dyDescent="0.25">
      <c r="B6991" s="55" t="s">
        <v>280</v>
      </c>
      <c r="C6991" s="46">
        <v>1979</v>
      </c>
      <c r="D6991" s="69" t="s">
        <v>29417</v>
      </c>
      <c r="E6991" s="51"/>
      <c r="F6991" s="114" t="str">
        <f>IF(INDEX(I.Facility.P2aIDNumber,1979)="","",INDEX(I.Facility.P2aIDNumber,1979))</f>
        <v/>
      </c>
      <c r="G6991" s="51"/>
      <c r="H6991" s="46" t="str">
        <f>IF(AND(I.Developer.P2a=TRUE,I.Facility.P2aFacilityCount&gt;=1979,F6991=""),"Incomplete","Complete")</f>
        <v>Complete</v>
      </c>
      <c r="I6991" s="48" t="s">
        <v>11356</v>
      </c>
    </row>
    <row r="6992" spans="2:9" ht="15" customHeight="1" x14ac:dyDescent="0.25">
      <c r="B6992" s="55" t="s">
        <v>280</v>
      </c>
      <c r="C6992" s="46">
        <v>1980</v>
      </c>
      <c r="D6992" s="69" t="s">
        <v>29417</v>
      </c>
      <c r="E6992" s="51"/>
      <c r="F6992" s="114" t="str">
        <f>IF(INDEX(I.Facility.P2aIDNumber,1980)="","",INDEX(I.Facility.P2aIDNumber,1980))</f>
        <v/>
      </c>
      <c r="G6992" s="51"/>
      <c r="H6992" s="46" t="str">
        <f>IF(AND(I.Developer.P2a=TRUE,I.Facility.P2aFacilityCount&gt;=1980,F6992=""),"Incomplete","Complete")</f>
        <v>Complete</v>
      </c>
      <c r="I6992" s="48" t="s">
        <v>11357</v>
      </c>
    </row>
    <row r="6993" spans="2:9" ht="15" customHeight="1" x14ac:dyDescent="0.25">
      <c r="B6993" s="55" t="s">
        <v>280</v>
      </c>
      <c r="C6993" s="46">
        <v>1981</v>
      </c>
      <c r="D6993" s="69" t="s">
        <v>29417</v>
      </c>
      <c r="E6993" s="51"/>
      <c r="F6993" s="114" t="str">
        <f>IF(INDEX(I.Facility.P2aIDNumber,1981)="","",INDEX(I.Facility.P2aIDNumber,1981))</f>
        <v/>
      </c>
      <c r="G6993" s="51"/>
      <c r="H6993" s="46" t="str">
        <f>IF(AND(I.Developer.P2a=TRUE,I.Facility.P2aFacilityCount&gt;=1981,F6993=""),"Incomplete","Complete")</f>
        <v>Complete</v>
      </c>
      <c r="I6993" s="48" t="s">
        <v>11358</v>
      </c>
    </row>
    <row r="6994" spans="2:9" ht="15" customHeight="1" x14ac:dyDescent="0.25">
      <c r="B6994" s="55" t="s">
        <v>280</v>
      </c>
      <c r="C6994" s="46">
        <v>1982</v>
      </c>
      <c r="D6994" s="69" t="s">
        <v>29417</v>
      </c>
      <c r="E6994" s="51"/>
      <c r="F6994" s="114" t="str">
        <f>IF(INDEX(I.Facility.P2aIDNumber,1982)="","",INDEX(I.Facility.P2aIDNumber,1982))</f>
        <v/>
      </c>
      <c r="G6994" s="51"/>
      <c r="H6994" s="46" t="str">
        <f>IF(AND(I.Developer.P2a=TRUE,I.Facility.P2aFacilityCount&gt;=1982,F6994=""),"Incomplete","Complete")</f>
        <v>Complete</v>
      </c>
      <c r="I6994" s="48" t="s">
        <v>11359</v>
      </c>
    </row>
    <row r="6995" spans="2:9" ht="15" customHeight="1" x14ac:dyDescent="0.25">
      <c r="B6995" s="55" t="s">
        <v>280</v>
      </c>
      <c r="C6995" s="46">
        <v>1983</v>
      </c>
      <c r="D6995" s="69" t="s">
        <v>29417</v>
      </c>
      <c r="E6995" s="51"/>
      <c r="F6995" s="114" t="str">
        <f>IF(INDEX(I.Facility.P2aIDNumber,1983)="","",INDEX(I.Facility.P2aIDNumber,1983))</f>
        <v/>
      </c>
      <c r="G6995" s="51"/>
      <c r="H6995" s="46" t="str">
        <f>IF(AND(I.Developer.P2a=TRUE,I.Facility.P2aFacilityCount&gt;=1983,F6995=""),"Incomplete","Complete")</f>
        <v>Complete</v>
      </c>
      <c r="I6995" s="48" t="s">
        <v>11360</v>
      </c>
    </row>
    <row r="6996" spans="2:9" ht="15" customHeight="1" x14ac:dyDescent="0.25">
      <c r="B6996" s="55" t="s">
        <v>280</v>
      </c>
      <c r="C6996" s="46">
        <v>1984</v>
      </c>
      <c r="D6996" s="69" t="s">
        <v>29417</v>
      </c>
      <c r="E6996" s="51"/>
      <c r="F6996" s="114" t="str">
        <f>IF(INDEX(I.Facility.P2aIDNumber,1984)="","",INDEX(I.Facility.P2aIDNumber,1984))</f>
        <v/>
      </c>
      <c r="G6996" s="51"/>
      <c r="H6996" s="46" t="str">
        <f>IF(AND(I.Developer.P2a=TRUE,I.Facility.P2aFacilityCount&gt;=1984,F6996=""),"Incomplete","Complete")</f>
        <v>Complete</v>
      </c>
      <c r="I6996" s="48" t="s">
        <v>11361</v>
      </c>
    </row>
    <row r="6997" spans="2:9" ht="15" customHeight="1" x14ac:dyDescent="0.25">
      <c r="B6997" s="55" t="s">
        <v>280</v>
      </c>
      <c r="C6997" s="46">
        <v>1985</v>
      </c>
      <c r="D6997" s="69" t="s">
        <v>29417</v>
      </c>
      <c r="E6997" s="51"/>
      <c r="F6997" s="114" t="str">
        <f>IF(INDEX(I.Facility.P2aIDNumber,1985)="","",INDEX(I.Facility.P2aIDNumber,1985))</f>
        <v/>
      </c>
      <c r="G6997" s="51"/>
      <c r="H6997" s="46" t="str">
        <f>IF(AND(I.Developer.P2a=TRUE,I.Facility.P2aFacilityCount&gt;=1985,F6997=""),"Incomplete","Complete")</f>
        <v>Complete</v>
      </c>
      <c r="I6997" s="48" t="s">
        <v>11362</v>
      </c>
    </row>
    <row r="6998" spans="2:9" ht="15" customHeight="1" x14ac:dyDescent="0.25">
      <c r="B6998" s="55" t="s">
        <v>280</v>
      </c>
      <c r="C6998" s="46">
        <v>1986</v>
      </c>
      <c r="D6998" s="69" t="s">
        <v>29417</v>
      </c>
      <c r="E6998" s="51"/>
      <c r="F6998" s="114" t="str">
        <f>IF(INDEX(I.Facility.P2aIDNumber,1986)="","",INDEX(I.Facility.P2aIDNumber,1986))</f>
        <v/>
      </c>
      <c r="G6998" s="51"/>
      <c r="H6998" s="46" t="str">
        <f>IF(AND(I.Developer.P2a=TRUE,I.Facility.P2aFacilityCount&gt;=1986,F6998=""),"Incomplete","Complete")</f>
        <v>Complete</v>
      </c>
      <c r="I6998" s="48" t="s">
        <v>11363</v>
      </c>
    </row>
    <row r="6999" spans="2:9" ht="15" customHeight="1" x14ac:dyDescent="0.25">
      <c r="B6999" s="55" t="s">
        <v>280</v>
      </c>
      <c r="C6999" s="46">
        <v>1987</v>
      </c>
      <c r="D6999" s="69" t="s">
        <v>29417</v>
      </c>
      <c r="E6999" s="51"/>
      <c r="F6999" s="114" t="str">
        <f>IF(INDEX(I.Facility.P2aIDNumber,1987)="","",INDEX(I.Facility.P2aIDNumber,1987))</f>
        <v/>
      </c>
      <c r="G6999" s="51"/>
      <c r="H6999" s="46" t="str">
        <f>IF(AND(I.Developer.P2a=TRUE,I.Facility.P2aFacilityCount&gt;=1987,F6999=""),"Incomplete","Complete")</f>
        <v>Complete</v>
      </c>
      <c r="I6999" s="48" t="s">
        <v>11364</v>
      </c>
    </row>
    <row r="7000" spans="2:9" ht="15" customHeight="1" x14ac:dyDescent="0.25">
      <c r="B7000" s="55" t="s">
        <v>280</v>
      </c>
      <c r="C7000" s="46">
        <v>1988</v>
      </c>
      <c r="D7000" s="69" t="s">
        <v>29417</v>
      </c>
      <c r="E7000" s="51"/>
      <c r="F7000" s="114" t="str">
        <f>IF(INDEX(I.Facility.P2aIDNumber,1988)="","",INDEX(I.Facility.P2aIDNumber,1988))</f>
        <v/>
      </c>
      <c r="G7000" s="51"/>
      <c r="H7000" s="46" t="str">
        <f>IF(AND(I.Developer.P2a=TRUE,I.Facility.P2aFacilityCount&gt;=1988,F7000=""),"Incomplete","Complete")</f>
        <v>Complete</v>
      </c>
      <c r="I7000" s="48" t="s">
        <v>11365</v>
      </c>
    </row>
    <row r="7001" spans="2:9" ht="15" customHeight="1" x14ac:dyDescent="0.25">
      <c r="B7001" s="55" t="s">
        <v>280</v>
      </c>
      <c r="C7001" s="46">
        <v>1989</v>
      </c>
      <c r="D7001" s="69" t="s">
        <v>29417</v>
      </c>
      <c r="E7001" s="51"/>
      <c r="F7001" s="114" t="str">
        <f>IF(INDEX(I.Facility.P2aIDNumber,1989)="","",INDEX(I.Facility.P2aIDNumber,1989))</f>
        <v/>
      </c>
      <c r="G7001" s="51"/>
      <c r="H7001" s="46" t="str">
        <f>IF(AND(I.Developer.P2a=TRUE,I.Facility.P2aFacilityCount&gt;=1989,F7001=""),"Incomplete","Complete")</f>
        <v>Complete</v>
      </c>
      <c r="I7001" s="48" t="s">
        <v>11366</v>
      </c>
    </row>
    <row r="7002" spans="2:9" ht="15" customHeight="1" x14ac:dyDescent="0.25">
      <c r="B7002" s="55" t="s">
        <v>280</v>
      </c>
      <c r="C7002" s="46">
        <v>1990</v>
      </c>
      <c r="D7002" s="69" t="s">
        <v>29417</v>
      </c>
      <c r="E7002" s="51"/>
      <c r="F7002" s="114" t="str">
        <f>IF(INDEX(I.Facility.P2aIDNumber,1990)="","",INDEX(I.Facility.P2aIDNumber,1990))</f>
        <v/>
      </c>
      <c r="G7002" s="51"/>
      <c r="H7002" s="46" t="str">
        <f>IF(AND(I.Developer.P2a=TRUE,I.Facility.P2aFacilityCount&gt;=1990,F7002=""),"Incomplete","Complete")</f>
        <v>Complete</v>
      </c>
      <c r="I7002" s="48" t="s">
        <v>11367</v>
      </c>
    </row>
    <row r="7003" spans="2:9" ht="15" customHeight="1" x14ac:dyDescent="0.25">
      <c r="B7003" s="55" t="s">
        <v>280</v>
      </c>
      <c r="C7003" s="46">
        <v>1991</v>
      </c>
      <c r="D7003" s="69" t="s">
        <v>29417</v>
      </c>
      <c r="E7003" s="51"/>
      <c r="F7003" s="114" t="str">
        <f>IF(INDEX(I.Facility.P2aIDNumber,1991)="","",INDEX(I.Facility.P2aIDNumber,1991))</f>
        <v/>
      </c>
      <c r="G7003" s="51"/>
      <c r="H7003" s="46" t="str">
        <f>IF(AND(I.Developer.P2a=TRUE,I.Facility.P2aFacilityCount&gt;=1991,F7003=""),"Incomplete","Complete")</f>
        <v>Complete</v>
      </c>
      <c r="I7003" s="48" t="s">
        <v>11368</v>
      </c>
    </row>
    <row r="7004" spans="2:9" ht="15" customHeight="1" x14ac:dyDescent="0.25">
      <c r="B7004" s="55" t="s">
        <v>280</v>
      </c>
      <c r="C7004" s="46">
        <v>1992</v>
      </c>
      <c r="D7004" s="69" t="s">
        <v>29417</v>
      </c>
      <c r="E7004" s="51"/>
      <c r="F7004" s="114" t="str">
        <f>IF(INDEX(I.Facility.P2aIDNumber,1992)="","",INDEX(I.Facility.P2aIDNumber,1992))</f>
        <v/>
      </c>
      <c r="G7004" s="51"/>
      <c r="H7004" s="46" t="str">
        <f>IF(AND(I.Developer.P2a=TRUE,I.Facility.P2aFacilityCount&gt;=1992,F7004=""),"Incomplete","Complete")</f>
        <v>Complete</v>
      </c>
      <c r="I7004" s="48" t="s">
        <v>11369</v>
      </c>
    </row>
    <row r="7005" spans="2:9" ht="15" customHeight="1" x14ac:dyDescent="0.25">
      <c r="B7005" s="55" t="s">
        <v>280</v>
      </c>
      <c r="C7005" s="46">
        <v>1993</v>
      </c>
      <c r="D7005" s="69" t="s">
        <v>29417</v>
      </c>
      <c r="E7005" s="51"/>
      <c r="F7005" s="114" t="str">
        <f>IF(INDEX(I.Facility.P2aIDNumber,1993)="","",INDEX(I.Facility.P2aIDNumber,1993))</f>
        <v/>
      </c>
      <c r="G7005" s="51"/>
      <c r="H7005" s="46" t="str">
        <f>IF(AND(I.Developer.P2a=TRUE,I.Facility.P2aFacilityCount&gt;=1993,F7005=""),"Incomplete","Complete")</f>
        <v>Complete</v>
      </c>
      <c r="I7005" s="48" t="s">
        <v>11370</v>
      </c>
    </row>
    <row r="7006" spans="2:9" ht="15" customHeight="1" x14ac:dyDescent="0.25">
      <c r="B7006" s="55" t="s">
        <v>280</v>
      </c>
      <c r="C7006" s="46">
        <v>1994</v>
      </c>
      <c r="D7006" s="69" t="s">
        <v>29417</v>
      </c>
      <c r="E7006" s="51"/>
      <c r="F7006" s="114" t="str">
        <f>IF(INDEX(I.Facility.P2aIDNumber,1994)="","",INDEX(I.Facility.P2aIDNumber,1994))</f>
        <v/>
      </c>
      <c r="G7006" s="51"/>
      <c r="H7006" s="46" t="str">
        <f>IF(AND(I.Developer.P2a=TRUE,I.Facility.P2aFacilityCount&gt;=1994,F7006=""),"Incomplete","Complete")</f>
        <v>Complete</v>
      </c>
      <c r="I7006" s="48" t="s">
        <v>11371</v>
      </c>
    </row>
    <row r="7007" spans="2:9" ht="15" customHeight="1" x14ac:dyDescent="0.25">
      <c r="B7007" s="55" t="s">
        <v>280</v>
      </c>
      <c r="C7007" s="46">
        <v>1995</v>
      </c>
      <c r="D7007" s="69" t="s">
        <v>29417</v>
      </c>
      <c r="E7007" s="51"/>
      <c r="F7007" s="114" t="str">
        <f>IF(INDEX(I.Facility.P2aIDNumber,1995)="","",INDEX(I.Facility.P2aIDNumber,1995))</f>
        <v/>
      </c>
      <c r="G7007" s="51"/>
      <c r="H7007" s="46" t="str">
        <f>IF(AND(I.Developer.P2a=TRUE,I.Facility.P2aFacilityCount&gt;=1995,F7007=""),"Incomplete","Complete")</f>
        <v>Complete</v>
      </c>
      <c r="I7007" s="48" t="s">
        <v>11372</v>
      </c>
    </row>
    <row r="7008" spans="2:9" ht="15" customHeight="1" x14ac:dyDescent="0.25">
      <c r="B7008" s="55" t="s">
        <v>280</v>
      </c>
      <c r="C7008" s="46">
        <v>1996</v>
      </c>
      <c r="D7008" s="69" t="s">
        <v>29417</v>
      </c>
      <c r="E7008" s="51"/>
      <c r="F7008" s="114" t="str">
        <f>IF(INDEX(I.Facility.P2aIDNumber,1996)="","",INDEX(I.Facility.P2aIDNumber,1996))</f>
        <v/>
      </c>
      <c r="G7008" s="51"/>
      <c r="H7008" s="46" t="str">
        <f>IF(AND(I.Developer.P2a=TRUE,I.Facility.P2aFacilityCount&gt;=1996,F7008=""),"Incomplete","Complete")</f>
        <v>Complete</v>
      </c>
      <c r="I7008" s="48" t="s">
        <v>11373</v>
      </c>
    </row>
    <row r="7009" spans="2:9" ht="15" customHeight="1" x14ac:dyDescent="0.25">
      <c r="B7009" s="55" t="s">
        <v>280</v>
      </c>
      <c r="C7009" s="46">
        <v>1997</v>
      </c>
      <c r="D7009" s="69" t="s">
        <v>29417</v>
      </c>
      <c r="E7009" s="51"/>
      <c r="F7009" s="114" t="str">
        <f>IF(INDEX(I.Facility.P2aIDNumber,1997)="","",INDEX(I.Facility.P2aIDNumber,1997))</f>
        <v/>
      </c>
      <c r="G7009" s="51"/>
      <c r="H7009" s="46" t="str">
        <f>IF(AND(I.Developer.P2a=TRUE,I.Facility.P2aFacilityCount&gt;=1997,F7009=""),"Incomplete","Complete")</f>
        <v>Complete</v>
      </c>
      <c r="I7009" s="48" t="s">
        <v>11374</v>
      </c>
    </row>
    <row r="7010" spans="2:9" ht="15" customHeight="1" x14ac:dyDescent="0.25">
      <c r="B7010" s="55" t="s">
        <v>280</v>
      </c>
      <c r="C7010" s="46">
        <v>1998</v>
      </c>
      <c r="D7010" s="69" t="s">
        <v>29417</v>
      </c>
      <c r="E7010" s="51"/>
      <c r="F7010" s="114" t="str">
        <f>IF(INDEX(I.Facility.P2aIDNumber,1998)="","",INDEX(I.Facility.P2aIDNumber,1998))</f>
        <v/>
      </c>
      <c r="G7010" s="51"/>
      <c r="H7010" s="46" t="str">
        <f>IF(AND(I.Developer.P2a=TRUE,I.Facility.P2aFacilityCount&gt;=1998,F7010=""),"Incomplete","Complete")</f>
        <v>Complete</v>
      </c>
      <c r="I7010" s="48" t="s">
        <v>11375</v>
      </c>
    </row>
    <row r="7011" spans="2:9" ht="15" customHeight="1" x14ac:dyDescent="0.25">
      <c r="B7011" s="55" t="s">
        <v>280</v>
      </c>
      <c r="C7011" s="46">
        <v>1999</v>
      </c>
      <c r="D7011" s="69" t="s">
        <v>29417</v>
      </c>
      <c r="E7011" s="51"/>
      <c r="F7011" s="114" t="str">
        <f>IF(INDEX(I.Facility.P2aIDNumber,1999)="","",INDEX(I.Facility.P2aIDNumber,1999))</f>
        <v/>
      </c>
      <c r="G7011" s="51"/>
      <c r="H7011" s="46" t="str">
        <f>IF(AND(I.Developer.P2a=TRUE,I.Facility.P2aFacilityCount&gt;=1999,F7011=""),"Incomplete","Complete")</f>
        <v>Complete</v>
      </c>
      <c r="I7011" s="48" t="s">
        <v>11376</v>
      </c>
    </row>
    <row r="7012" spans="2:9" ht="15" customHeight="1" x14ac:dyDescent="0.25">
      <c r="B7012" s="55" t="s">
        <v>280</v>
      </c>
      <c r="C7012" s="46">
        <v>2000</v>
      </c>
      <c r="D7012" s="69" t="s">
        <v>29417</v>
      </c>
      <c r="E7012" s="51"/>
      <c r="F7012" s="114" t="str">
        <f>IF(INDEX(I.Facility.P2aIDNumber,2000)="","",INDEX(I.Facility.P2aIDNumber,2000))</f>
        <v/>
      </c>
      <c r="G7012" s="51"/>
      <c r="H7012" s="46" t="str">
        <f>IF(AND(I.Developer.P2a=TRUE,I.Facility.P2aFacilityCount&gt;=2000,F7012=""),"Incomplete","Complete")</f>
        <v>Complete</v>
      </c>
      <c r="I7012" s="48" t="s">
        <v>11377</v>
      </c>
    </row>
    <row r="7013" spans="2:9" ht="15" customHeight="1" x14ac:dyDescent="0.25">
      <c r="B7013" s="55" t="s">
        <v>280</v>
      </c>
      <c r="C7013" s="46">
        <v>2001</v>
      </c>
      <c r="D7013" s="69" t="s">
        <v>29417</v>
      </c>
      <c r="E7013" s="51"/>
      <c r="F7013" s="114" t="str">
        <f>IF(INDEX(I.Facility.P2aIDNumber,2001)="","",INDEX(I.Facility.P2aIDNumber,2001))</f>
        <v/>
      </c>
      <c r="G7013" s="51"/>
      <c r="H7013" s="46" t="str">
        <f>IF(AND(I.Developer.P2a=TRUE,I.Facility.P2aFacilityCount&gt;=2001,F7013=""),"Incomplete","Complete")</f>
        <v>Complete</v>
      </c>
      <c r="I7013" s="48" t="s">
        <v>11378</v>
      </c>
    </row>
    <row r="7014" spans="2:9" ht="15" customHeight="1" x14ac:dyDescent="0.25">
      <c r="B7014" s="55" t="s">
        <v>280</v>
      </c>
      <c r="C7014" s="46">
        <v>2002</v>
      </c>
      <c r="D7014" s="69" t="s">
        <v>29417</v>
      </c>
      <c r="E7014" s="51"/>
      <c r="F7014" s="114" t="str">
        <f>IF(INDEX(I.Facility.P2aIDNumber,2002)="","",INDEX(I.Facility.P2aIDNumber,2002))</f>
        <v/>
      </c>
      <c r="G7014" s="51"/>
      <c r="H7014" s="46" t="str">
        <f>IF(AND(I.Developer.P2a=TRUE,I.Facility.P2aFacilityCount&gt;=2002,F7014=""),"Incomplete","Complete")</f>
        <v>Complete</v>
      </c>
      <c r="I7014" s="48" t="s">
        <v>11379</v>
      </c>
    </row>
    <row r="7015" spans="2:9" ht="15" customHeight="1" x14ac:dyDescent="0.25">
      <c r="B7015" s="55" t="s">
        <v>280</v>
      </c>
      <c r="C7015" s="46">
        <v>2003</v>
      </c>
      <c r="D7015" s="69" t="s">
        <v>29417</v>
      </c>
      <c r="E7015" s="51"/>
      <c r="F7015" s="114" t="str">
        <f>IF(INDEX(I.Facility.P2aIDNumber,2003)="","",INDEX(I.Facility.P2aIDNumber,2003))</f>
        <v/>
      </c>
      <c r="G7015" s="51"/>
      <c r="H7015" s="46" t="str">
        <f>IF(AND(I.Developer.P2a=TRUE,I.Facility.P2aFacilityCount&gt;=2003,F7015=""),"Incomplete","Complete")</f>
        <v>Complete</v>
      </c>
      <c r="I7015" s="48" t="s">
        <v>11380</v>
      </c>
    </row>
    <row r="7016" spans="2:9" ht="15" customHeight="1" x14ac:dyDescent="0.25">
      <c r="B7016" s="55" t="s">
        <v>280</v>
      </c>
      <c r="C7016" s="46">
        <v>2004</v>
      </c>
      <c r="D7016" s="69" t="s">
        <v>29417</v>
      </c>
      <c r="E7016" s="51"/>
      <c r="F7016" s="114" t="str">
        <f>IF(INDEX(I.Facility.P2aIDNumber,2004)="","",INDEX(I.Facility.P2aIDNumber,2004))</f>
        <v/>
      </c>
      <c r="G7016" s="51"/>
      <c r="H7016" s="46" t="str">
        <f>IF(AND(I.Developer.P2a=TRUE,I.Facility.P2aFacilityCount&gt;=2004,F7016=""),"Incomplete","Complete")</f>
        <v>Complete</v>
      </c>
      <c r="I7016" s="48" t="s">
        <v>11381</v>
      </c>
    </row>
    <row r="7017" spans="2:9" ht="15" customHeight="1" x14ac:dyDescent="0.25">
      <c r="B7017" s="55" t="s">
        <v>280</v>
      </c>
      <c r="C7017" s="46">
        <v>2005</v>
      </c>
      <c r="D7017" s="69" t="s">
        <v>29417</v>
      </c>
      <c r="E7017" s="51"/>
      <c r="F7017" s="114" t="str">
        <f>IF(INDEX(I.Facility.P2aIDNumber,2005)="","",INDEX(I.Facility.P2aIDNumber,2005))</f>
        <v/>
      </c>
      <c r="G7017" s="51"/>
      <c r="H7017" s="46" t="str">
        <f>IF(AND(I.Developer.P2a=TRUE,I.Facility.P2aFacilityCount&gt;=2005,F7017=""),"Incomplete","Complete")</f>
        <v>Complete</v>
      </c>
      <c r="I7017" s="48" t="s">
        <v>11382</v>
      </c>
    </row>
    <row r="7018" spans="2:9" ht="15" customHeight="1" x14ac:dyDescent="0.25">
      <c r="B7018" s="55" t="s">
        <v>280</v>
      </c>
      <c r="C7018" s="46">
        <v>2006</v>
      </c>
      <c r="D7018" s="69" t="s">
        <v>29417</v>
      </c>
      <c r="E7018" s="51"/>
      <c r="F7018" s="114" t="str">
        <f>IF(INDEX(I.Facility.P2aIDNumber,2006)="","",INDEX(I.Facility.P2aIDNumber,2006))</f>
        <v/>
      </c>
      <c r="G7018" s="51"/>
      <c r="H7018" s="46" t="str">
        <f>IF(AND(I.Developer.P2a=TRUE,I.Facility.P2aFacilityCount&gt;=2006,F7018=""),"Incomplete","Complete")</f>
        <v>Complete</v>
      </c>
      <c r="I7018" s="48" t="s">
        <v>11383</v>
      </c>
    </row>
    <row r="7019" spans="2:9" ht="15" customHeight="1" x14ac:dyDescent="0.25">
      <c r="B7019" s="55" t="s">
        <v>280</v>
      </c>
      <c r="C7019" s="46">
        <v>2007</v>
      </c>
      <c r="D7019" s="69" t="s">
        <v>29417</v>
      </c>
      <c r="E7019" s="51"/>
      <c r="F7019" s="114" t="str">
        <f>IF(INDEX(I.Facility.P2aIDNumber,2007)="","",INDEX(I.Facility.P2aIDNumber,2007))</f>
        <v/>
      </c>
      <c r="G7019" s="51"/>
      <c r="H7019" s="46" t="str">
        <f>IF(AND(I.Developer.P2a=TRUE,I.Facility.P2aFacilityCount&gt;=2007,F7019=""),"Incomplete","Complete")</f>
        <v>Complete</v>
      </c>
      <c r="I7019" s="48" t="s">
        <v>11384</v>
      </c>
    </row>
    <row r="7020" spans="2:9" ht="15" customHeight="1" x14ac:dyDescent="0.25">
      <c r="B7020" s="55" t="s">
        <v>280</v>
      </c>
      <c r="C7020" s="46">
        <v>2008</v>
      </c>
      <c r="D7020" s="69" t="s">
        <v>29417</v>
      </c>
      <c r="E7020" s="51"/>
      <c r="F7020" s="114" t="str">
        <f>IF(INDEX(I.Facility.P2aIDNumber,2008)="","",INDEX(I.Facility.P2aIDNumber,2008))</f>
        <v/>
      </c>
      <c r="G7020" s="51"/>
      <c r="H7020" s="46" t="str">
        <f>IF(AND(I.Developer.P2a=TRUE,I.Facility.P2aFacilityCount&gt;=2008,F7020=""),"Incomplete","Complete")</f>
        <v>Complete</v>
      </c>
      <c r="I7020" s="48" t="s">
        <v>11385</v>
      </c>
    </row>
    <row r="7021" spans="2:9" ht="15" customHeight="1" x14ac:dyDescent="0.25">
      <c r="B7021" s="55" t="s">
        <v>280</v>
      </c>
      <c r="C7021" s="46">
        <v>2009</v>
      </c>
      <c r="D7021" s="69" t="s">
        <v>29417</v>
      </c>
      <c r="E7021" s="51"/>
      <c r="F7021" s="114" t="str">
        <f>IF(INDEX(I.Facility.P2aIDNumber,2009)="","",INDEX(I.Facility.P2aIDNumber,2009))</f>
        <v/>
      </c>
      <c r="G7021" s="51"/>
      <c r="H7021" s="46" t="str">
        <f>IF(AND(I.Developer.P2a=TRUE,I.Facility.P2aFacilityCount&gt;=2009,F7021=""),"Incomplete","Complete")</f>
        <v>Complete</v>
      </c>
      <c r="I7021" s="48" t="s">
        <v>11386</v>
      </c>
    </row>
    <row r="7022" spans="2:9" ht="15" customHeight="1" x14ac:dyDescent="0.25">
      <c r="B7022" s="55" t="s">
        <v>280</v>
      </c>
      <c r="C7022" s="46">
        <v>2010</v>
      </c>
      <c r="D7022" s="69" t="s">
        <v>29417</v>
      </c>
      <c r="E7022" s="51"/>
      <c r="F7022" s="114" t="str">
        <f>IF(INDEX(I.Facility.P2aIDNumber,2010)="","",INDEX(I.Facility.P2aIDNumber,2010))</f>
        <v/>
      </c>
      <c r="G7022" s="51"/>
      <c r="H7022" s="46" t="str">
        <f>IF(AND(I.Developer.P2a=TRUE,I.Facility.P2aFacilityCount&gt;=2010,F7022=""),"Incomplete","Complete")</f>
        <v>Complete</v>
      </c>
      <c r="I7022" s="48" t="s">
        <v>11387</v>
      </c>
    </row>
    <row r="7023" spans="2:9" ht="15" customHeight="1" x14ac:dyDescent="0.25">
      <c r="B7023" s="55" t="s">
        <v>280</v>
      </c>
      <c r="C7023" s="46">
        <v>2011</v>
      </c>
      <c r="D7023" s="69" t="s">
        <v>29417</v>
      </c>
      <c r="E7023" s="51"/>
      <c r="F7023" s="114" t="str">
        <f>IF(INDEX(I.Facility.P2aIDNumber,2011)="","",INDEX(I.Facility.P2aIDNumber,2011))</f>
        <v/>
      </c>
      <c r="G7023" s="51"/>
      <c r="H7023" s="46" t="str">
        <f>IF(AND(I.Developer.P2a=TRUE,I.Facility.P2aFacilityCount&gt;=2011,F7023=""),"Incomplete","Complete")</f>
        <v>Complete</v>
      </c>
      <c r="I7023" s="48" t="s">
        <v>11388</v>
      </c>
    </row>
    <row r="7024" spans="2:9" ht="15" customHeight="1" x14ac:dyDescent="0.25">
      <c r="B7024" s="55" t="s">
        <v>280</v>
      </c>
      <c r="C7024" s="46">
        <v>2012</v>
      </c>
      <c r="D7024" s="69" t="s">
        <v>29417</v>
      </c>
      <c r="E7024" s="51"/>
      <c r="F7024" s="114" t="str">
        <f>IF(INDEX(I.Facility.P2aIDNumber,2012)="","",INDEX(I.Facility.P2aIDNumber,2012))</f>
        <v/>
      </c>
      <c r="G7024" s="51"/>
      <c r="H7024" s="46" t="str">
        <f>IF(AND(I.Developer.P2a=TRUE,I.Facility.P2aFacilityCount&gt;=2012,F7024=""),"Incomplete","Complete")</f>
        <v>Complete</v>
      </c>
      <c r="I7024" s="48" t="s">
        <v>11389</v>
      </c>
    </row>
    <row r="7025" spans="2:9" ht="15" customHeight="1" x14ac:dyDescent="0.25">
      <c r="B7025" s="55" t="s">
        <v>280</v>
      </c>
      <c r="C7025" s="46">
        <v>2013</v>
      </c>
      <c r="D7025" s="69" t="s">
        <v>29417</v>
      </c>
      <c r="E7025" s="51"/>
      <c r="F7025" s="114" t="str">
        <f>IF(INDEX(I.Facility.P2aIDNumber,2013)="","",INDEX(I.Facility.P2aIDNumber,2013))</f>
        <v/>
      </c>
      <c r="G7025" s="51"/>
      <c r="H7025" s="46" t="str">
        <f>IF(AND(I.Developer.P2a=TRUE,I.Facility.P2aFacilityCount&gt;=2013,F7025=""),"Incomplete","Complete")</f>
        <v>Complete</v>
      </c>
      <c r="I7025" s="48" t="s">
        <v>11390</v>
      </c>
    </row>
    <row r="7026" spans="2:9" ht="15" customHeight="1" x14ac:dyDescent="0.25">
      <c r="B7026" s="55" t="s">
        <v>280</v>
      </c>
      <c r="C7026" s="46">
        <v>2014</v>
      </c>
      <c r="D7026" s="69" t="s">
        <v>29417</v>
      </c>
      <c r="E7026" s="51"/>
      <c r="F7026" s="114" t="str">
        <f>IF(INDEX(I.Facility.P2aIDNumber,2014)="","",INDEX(I.Facility.P2aIDNumber,2014))</f>
        <v/>
      </c>
      <c r="G7026" s="51"/>
      <c r="H7026" s="46" t="str">
        <f>IF(AND(I.Developer.P2a=TRUE,I.Facility.P2aFacilityCount&gt;=2014,F7026=""),"Incomplete","Complete")</f>
        <v>Complete</v>
      </c>
      <c r="I7026" s="48" t="s">
        <v>11391</v>
      </c>
    </row>
    <row r="7027" spans="2:9" ht="15" customHeight="1" x14ac:dyDescent="0.25">
      <c r="B7027" s="55" t="s">
        <v>280</v>
      </c>
      <c r="C7027" s="46">
        <v>2015</v>
      </c>
      <c r="D7027" s="69" t="s">
        <v>29417</v>
      </c>
      <c r="E7027" s="51"/>
      <c r="F7027" s="114" t="str">
        <f>IF(INDEX(I.Facility.P2aIDNumber,2015)="","",INDEX(I.Facility.P2aIDNumber,2015))</f>
        <v/>
      </c>
      <c r="G7027" s="51"/>
      <c r="H7027" s="46" t="str">
        <f>IF(AND(I.Developer.P2a=TRUE,I.Facility.P2aFacilityCount&gt;=2015,F7027=""),"Incomplete","Complete")</f>
        <v>Complete</v>
      </c>
      <c r="I7027" s="48" t="s">
        <v>11392</v>
      </c>
    </row>
    <row r="7028" spans="2:9" ht="15" customHeight="1" x14ac:dyDescent="0.25">
      <c r="B7028" s="55" t="s">
        <v>280</v>
      </c>
      <c r="C7028" s="46">
        <v>2016</v>
      </c>
      <c r="D7028" s="69" t="s">
        <v>29417</v>
      </c>
      <c r="E7028" s="51"/>
      <c r="F7028" s="114" t="str">
        <f>IF(INDEX(I.Facility.P2aIDNumber,2016)="","",INDEX(I.Facility.P2aIDNumber,2016))</f>
        <v/>
      </c>
      <c r="G7028" s="51"/>
      <c r="H7028" s="46" t="str">
        <f>IF(AND(I.Developer.P2a=TRUE,I.Facility.P2aFacilityCount&gt;=2016,F7028=""),"Incomplete","Complete")</f>
        <v>Complete</v>
      </c>
      <c r="I7028" s="48" t="s">
        <v>11393</v>
      </c>
    </row>
    <row r="7029" spans="2:9" ht="15" customHeight="1" x14ac:dyDescent="0.25">
      <c r="B7029" s="55" t="s">
        <v>280</v>
      </c>
      <c r="C7029" s="46">
        <v>2017</v>
      </c>
      <c r="D7029" s="69" t="s">
        <v>29417</v>
      </c>
      <c r="E7029" s="51"/>
      <c r="F7029" s="114" t="str">
        <f>IF(INDEX(I.Facility.P2aIDNumber,2017)="","",INDEX(I.Facility.P2aIDNumber,2017))</f>
        <v/>
      </c>
      <c r="G7029" s="51"/>
      <c r="H7029" s="46" t="str">
        <f>IF(AND(I.Developer.P2a=TRUE,I.Facility.P2aFacilityCount&gt;=2017,F7029=""),"Incomplete","Complete")</f>
        <v>Complete</v>
      </c>
      <c r="I7029" s="48" t="s">
        <v>11394</v>
      </c>
    </row>
    <row r="7030" spans="2:9" ht="15" customHeight="1" x14ac:dyDescent="0.25">
      <c r="B7030" s="55" t="s">
        <v>280</v>
      </c>
      <c r="C7030" s="46">
        <v>2018</v>
      </c>
      <c r="D7030" s="69" t="s">
        <v>29417</v>
      </c>
      <c r="E7030" s="51"/>
      <c r="F7030" s="114" t="str">
        <f>IF(INDEX(I.Facility.P2aIDNumber,2018)="","",INDEX(I.Facility.P2aIDNumber,2018))</f>
        <v/>
      </c>
      <c r="G7030" s="51"/>
      <c r="H7030" s="46" t="str">
        <f>IF(AND(I.Developer.P2a=TRUE,I.Facility.P2aFacilityCount&gt;=2018,F7030=""),"Incomplete","Complete")</f>
        <v>Complete</v>
      </c>
      <c r="I7030" s="48" t="s">
        <v>11395</v>
      </c>
    </row>
    <row r="7031" spans="2:9" ht="15" customHeight="1" x14ac:dyDescent="0.25">
      <c r="B7031" s="55" t="s">
        <v>280</v>
      </c>
      <c r="C7031" s="46">
        <v>2019</v>
      </c>
      <c r="D7031" s="69" t="s">
        <v>29417</v>
      </c>
      <c r="E7031" s="51"/>
      <c r="F7031" s="114" t="str">
        <f>IF(INDEX(I.Facility.P2aIDNumber,2019)="","",INDEX(I.Facility.P2aIDNumber,2019))</f>
        <v/>
      </c>
      <c r="G7031" s="51"/>
      <c r="H7031" s="46" t="str">
        <f>IF(AND(I.Developer.P2a=TRUE,I.Facility.P2aFacilityCount&gt;=2019,F7031=""),"Incomplete","Complete")</f>
        <v>Complete</v>
      </c>
      <c r="I7031" s="48" t="s">
        <v>11396</v>
      </c>
    </row>
    <row r="7032" spans="2:9" ht="15" customHeight="1" x14ac:dyDescent="0.25">
      <c r="B7032" s="55" t="s">
        <v>280</v>
      </c>
      <c r="C7032" s="46">
        <v>2020</v>
      </c>
      <c r="D7032" s="69" t="s">
        <v>29417</v>
      </c>
      <c r="E7032" s="51"/>
      <c r="F7032" s="114" t="str">
        <f>IF(INDEX(I.Facility.P2aIDNumber,2020)="","",INDEX(I.Facility.P2aIDNumber,2020))</f>
        <v/>
      </c>
      <c r="G7032" s="51"/>
      <c r="H7032" s="46" t="str">
        <f>IF(AND(I.Developer.P2a=TRUE,I.Facility.P2aFacilityCount&gt;=2020,F7032=""),"Incomplete","Complete")</f>
        <v>Complete</v>
      </c>
      <c r="I7032" s="48" t="s">
        <v>11397</v>
      </c>
    </row>
    <row r="7033" spans="2:9" ht="15" customHeight="1" x14ac:dyDescent="0.25">
      <c r="B7033" s="55" t="s">
        <v>280</v>
      </c>
      <c r="C7033" s="46">
        <v>2021</v>
      </c>
      <c r="D7033" s="69" t="s">
        <v>29417</v>
      </c>
      <c r="E7033" s="51"/>
      <c r="F7033" s="114" t="str">
        <f>IF(INDEX(I.Facility.P2aIDNumber,2021)="","",INDEX(I.Facility.P2aIDNumber,2021))</f>
        <v/>
      </c>
      <c r="G7033" s="51"/>
      <c r="H7033" s="46" t="str">
        <f>IF(AND(I.Developer.P2a=TRUE,I.Facility.P2aFacilityCount&gt;=2021,F7033=""),"Incomplete","Complete")</f>
        <v>Complete</v>
      </c>
      <c r="I7033" s="48" t="s">
        <v>11398</v>
      </c>
    </row>
    <row r="7034" spans="2:9" ht="15" customHeight="1" x14ac:dyDescent="0.25">
      <c r="B7034" s="55" t="s">
        <v>280</v>
      </c>
      <c r="C7034" s="46">
        <v>2022</v>
      </c>
      <c r="D7034" s="69" t="s">
        <v>29417</v>
      </c>
      <c r="E7034" s="51"/>
      <c r="F7034" s="114" t="str">
        <f>IF(INDEX(I.Facility.P2aIDNumber,2022)="","",INDEX(I.Facility.P2aIDNumber,2022))</f>
        <v/>
      </c>
      <c r="G7034" s="51"/>
      <c r="H7034" s="46" t="str">
        <f>IF(AND(I.Developer.P2a=TRUE,I.Facility.P2aFacilityCount&gt;=2022,F7034=""),"Incomplete","Complete")</f>
        <v>Complete</v>
      </c>
      <c r="I7034" s="48" t="s">
        <v>11399</v>
      </c>
    </row>
    <row r="7035" spans="2:9" ht="15" customHeight="1" x14ac:dyDescent="0.25">
      <c r="B7035" s="55" t="s">
        <v>280</v>
      </c>
      <c r="C7035" s="46">
        <v>2023</v>
      </c>
      <c r="D7035" s="69" t="s">
        <v>29417</v>
      </c>
      <c r="E7035" s="51"/>
      <c r="F7035" s="114" t="str">
        <f>IF(INDEX(I.Facility.P2aIDNumber,2023)="","",INDEX(I.Facility.P2aIDNumber,2023))</f>
        <v/>
      </c>
      <c r="G7035" s="51"/>
      <c r="H7035" s="46" t="str">
        <f>IF(AND(I.Developer.P2a=TRUE,I.Facility.P2aFacilityCount&gt;=2023,F7035=""),"Incomplete","Complete")</f>
        <v>Complete</v>
      </c>
      <c r="I7035" s="48" t="s">
        <v>11400</v>
      </c>
    </row>
    <row r="7036" spans="2:9" ht="15" customHeight="1" x14ac:dyDescent="0.25">
      <c r="B7036" s="55" t="s">
        <v>280</v>
      </c>
      <c r="C7036" s="46">
        <v>2024</v>
      </c>
      <c r="D7036" s="69" t="s">
        <v>29417</v>
      </c>
      <c r="E7036" s="51"/>
      <c r="F7036" s="114" t="str">
        <f>IF(INDEX(I.Facility.P2aIDNumber,2024)="","",INDEX(I.Facility.P2aIDNumber,2024))</f>
        <v/>
      </c>
      <c r="G7036" s="51"/>
      <c r="H7036" s="46" t="str">
        <f>IF(AND(I.Developer.P2a=TRUE,I.Facility.P2aFacilityCount&gt;=2024,F7036=""),"Incomplete","Complete")</f>
        <v>Complete</v>
      </c>
      <c r="I7036" s="48" t="s">
        <v>11401</v>
      </c>
    </row>
    <row r="7037" spans="2:9" ht="15" customHeight="1" x14ac:dyDescent="0.25">
      <c r="B7037" s="55" t="s">
        <v>280</v>
      </c>
      <c r="C7037" s="46">
        <v>2025</v>
      </c>
      <c r="D7037" s="69" t="s">
        <v>29417</v>
      </c>
      <c r="E7037" s="51"/>
      <c r="F7037" s="114" t="str">
        <f>IF(INDEX(I.Facility.P2aIDNumber,2025)="","",INDEX(I.Facility.P2aIDNumber,2025))</f>
        <v/>
      </c>
      <c r="G7037" s="51"/>
      <c r="H7037" s="46" t="str">
        <f>IF(AND(I.Developer.P2a=TRUE,I.Facility.P2aFacilityCount&gt;=2025,F7037=""),"Incomplete","Complete")</f>
        <v>Complete</v>
      </c>
      <c r="I7037" s="48" t="s">
        <v>11402</v>
      </c>
    </row>
    <row r="7038" spans="2:9" ht="15" customHeight="1" x14ac:dyDescent="0.25">
      <c r="B7038" s="55" t="s">
        <v>280</v>
      </c>
      <c r="C7038" s="46">
        <v>2026</v>
      </c>
      <c r="D7038" s="69" t="s">
        <v>29417</v>
      </c>
      <c r="E7038" s="51"/>
      <c r="F7038" s="114" t="str">
        <f>IF(INDEX(I.Facility.P2aIDNumber,2026)="","",INDEX(I.Facility.P2aIDNumber,2026))</f>
        <v/>
      </c>
      <c r="G7038" s="51"/>
      <c r="H7038" s="46" t="str">
        <f>IF(AND(I.Developer.P2a=TRUE,I.Facility.P2aFacilityCount&gt;=2026,F7038=""),"Incomplete","Complete")</f>
        <v>Complete</v>
      </c>
      <c r="I7038" s="48" t="s">
        <v>11403</v>
      </c>
    </row>
    <row r="7039" spans="2:9" ht="15" customHeight="1" x14ac:dyDescent="0.25">
      <c r="B7039" s="55" t="s">
        <v>280</v>
      </c>
      <c r="C7039" s="46">
        <v>2027</v>
      </c>
      <c r="D7039" s="69" t="s">
        <v>29417</v>
      </c>
      <c r="E7039" s="51"/>
      <c r="F7039" s="114" t="str">
        <f>IF(INDEX(I.Facility.P2aIDNumber,2027)="","",INDEX(I.Facility.P2aIDNumber,2027))</f>
        <v/>
      </c>
      <c r="G7039" s="51"/>
      <c r="H7039" s="46" t="str">
        <f>IF(AND(I.Developer.P2a=TRUE,I.Facility.P2aFacilityCount&gt;=2027,F7039=""),"Incomplete","Complete")</f>
        <v>Complete</v>
      </c>
      <c r="I7039" s="48" t="s">
        <v>11404</v>
      </c>
    </row>
    <row r="7040" spans="2:9" ht="15" customHeight="1" x14ac:dyDescent="0.25">
      <c r="B7040" s="55" t="s">
        <v>280</v>
      </c>
      <c r="C7040" s="46">
        <v>2028</v>
      </c>
      <c r="D7040" s="69" t="s">
        <v>29417</v>
      </c>
      <c r="E7040" s="51"/>
      <c r="F7040" s="114" t="str">
        <f>IF(INDEX(I.Facility.P2aIDNumber,2028)="","",INDEX(I.Facility.P2aIDNumber,2028))</f>
        <v/>
      </c>
      <c r="G7040" s="51"/>
      <c r="H7040" s="46" t="str">
        <f>IF(AND(I.Developer.P2a=TRUE,I.Facility.P2aFacilityCount&gt;=2028,F7040=""),"Incomplete","Complete")</f>
        <v>Complete</v>
      </c>
      <c r="I7040" s="48" t="s">
        <v>11405</v>
      </c>
    </row>
    <row r="7041" spans="2:9" ht="15" customHeight="1" x14ac:dyDescent="0.25">
      <c r="B7041" s="55" t="s">
        <v>280</v>
      </c>
      <c r="C7041" s="46">
        <v>2029</v>
      </c>
      <c r="D7041" s="69" t="s">
        <v>29417</v>
      </c>
      <c r="E7041" s="51"/>
      <c r="F7041" s="114" t="str">
        <f>IF(INDEX(I.Facility.P2aIDNumber,2029)="","",INDEX(I.Facility.P2aIDNumber,2029))</f>
        <v/>
      </c>
      <c r="G7041" s="51"/>
      <c r="H7041" s="46" t="str">
        <f>IF(AND(I.Developer.P2a=TRUE,I.Facility.P2aFacilityCount&gt;=2029,F7041=""),"Incomplete","Complete")</f>
        <v>Complete</v>
      </c>
      <c r="I7041" s="48" t="s">
        <v>11406</v>
      </c>
    </row>
    <row r="7042" spans="2:9" ht="15" customHeight="1" x14ac:dyDescent="0.25">
      <c r="B7042" s="55" t="s">
        <v>280</v>
      </c>
      <c r="C7042" s="46">
        <v>2030</v>
      </c>
      <c r="D7042" s="69" t="s">
        <v>29417</v>
      </c>
      <c r="E7042" s="51"/>
      <c r="F7042" s="114" t="str">
        <f>IF(INDEX(I.Facility.P2aIDNumber,2030)="","",INDEX(I.Facility.P2aIDNumber,2030))</f>
        <v/>
      </c>
      <c r="G7042" s="51"/>
      <c r="H7042" s="46" t="str">
        <f>IF(AND(I.Developer.P2a=TRUE,I.Facility.P2aFacilityCount&gt;=2030,F7042=""),"Incomplete","Complete")</f>
        <v>Complete</v>
      </c>
      <c r="I7042" s="48" t="s">
        <v>11407</v>
      </c>
    </row>
    <row r="7043" spans="2:9" ht="15" customHeight="1" x14ac:dyDescent="0.25">
      <c r="B7043" s="55" t="s">
        <v>280</v>
      </c>
      <c r="C7043" s="46">
        <v>2031</v>
      </c>
      <c r="D7043" s="69" t="s">
        <v>29417</v>
      </c>
      <c r="E7043" s="51"/>
      <c r="F7043" s="114" t="str">
        <f>IF(INDEX(I.Facility.P2aIDNumber,2031)="","",INDEX(I.Facility.P2aIDNumber,2031))</f>
        <v/>
      </c>
      <c r="G7043" s="51"/>
      <c r="H7043" s="46" t="str">
        <f>IF(AND(I.Developer.P2a=TRUE,I.Facility.P2aFacilityCount&gt;=2031,F7043=""),"Incomplete","Complete")</f>
        <v>Complete</v>
      </c>
      <c r="I7043" s="48" t="s">
        <v>11408</v>
      </c>
    </row>
    <row r="7044" spans="2:9" ht="15" customHeight="1" x14ac:dyDescent="0.25">
      <c r="B7044" s="55" t="s">
        <v>280</v>
      </c>
      <c r="C7044" s="46">
        <v>2032</v>
      </c>
      <c r="D7044" s="69" t="s">
        <v>29417</v>
      </c>
      <c r="E7044" s="51"/>
      <c r="F7044" s="114" t="str">
        <f>IF(INDEX(I.Facility.P2aIDNumber,2032)="","",INDEX(I.Facility.P2aIDNumber,2032))</f>
        <v/>
      </c>
      <c r="G7044" s="51"/>
      <c r="H7044" s="46" t="str">
        <f>IF(AND(I.Developer.P2a=TRUE,I.Facility.P2aFacilityCount&gt;=2032,F7044=""),"Incomplete","Complete")</f>
        <v>Complete</v>
      </c>
      <c r="I7044" s="48" t="s">
        <v>11409</v>
      </c>
    </row>
    <row r="7045" spans="2:9" ht="15" customHeight="1" x14ac:dyDescent="0.25">
      <c r="B7045" s="55" t="s">
        <v>280</v>
      </c>
      <c r="C7045" s="46">
        <v>2033</v>
      </c>
      <c r="D7045" s="69" t="s">
        <v>29417</v>
      </c>
      <c r="E7045" s="51"/>
      <c r="F7045" s="114" t="str">
        <f>IF(INDEX(I.Facility.P2aIDNumber,2033)="","",INDEX(I.Facility.P2aIDNumber,2033))</f>
        <v/>
      </c>
      <c r="G7045" s="51"/>
      <c r="H7045" s="46" t="str">
        <f>IF(AND(I.Developer.P2a=TRUE,I.Facility.P2aFacilityCount&gt;=2033,F7045=""),"Incomplete","Complete")</f>
        <v>Complete</v>
      </c>
      <c r="I7045" s="48" t="s">
        <v>11410</v>
      </c>
    </row>
    <row r="7046" spans="2:9" ht="15" customHeight="1" x14ac:dyDescent="0.25">
      <c r="B7046" s="55" t="s">
        <v>280</v>
      </c>
      <c r="C7046" s="46">
        <v>2034</v>
      </c>
      <c r="D7046" s="69" t="s">
        <v>29417</v>
      </c>
      <c r="E7046" s="51"/>
      <c r="F7046" s="114" t="str">
        <f>IF(INDEX(I.Facility.P2aIDNumber,2034)="","",INDEX(I.Facility.P2aIDNumber,2034))</f>
        <v/>
      </c>
      <c r="G7046" s="51"/>
      <c r="H7046" s="46" t="str">
        <f>IF(AND(I.Developer.P2a=TRUE,I.Facility.P2aFacilityCount&gt;=2034,F7046=""),"Incomplete","Complete")</f>
        <v>Complete</v>
      </c>
      <c r="I7046" s="48" t="s">
        <v>11411</v>
      </c>
    </row>
    <row r="7047" spans="2:9" ht="15" customHeight="1" x14ac:dyDescent="0.25">
      <c r="B7047" s="55" t="s">
        <v>280</v>
      </c>
      <c r="C7047" s="46">
        <v>2035</v>
      </c>
      <c r="D7047" s="69" t="s">
        <v>29417</v>
      </c>
      <c r="E7047" s="51"/>
      <c r="F7047" s="114" t="str">
        <f>IF(INDEX(I.Facility.P2aIDNumber,2035)="","",INDEX(I.Facility.P2aIDNumber,2035))</f>
        <v/>
      </c>
      <c r="G7047" s="51"/>
      <c r="H7047" s="46" t="str">
        <f>IF(AND(I.Developer.P2a=TRUE,I.Facility.P2aFacilityCount&gt;=2035,F7047=""),"Incomplete","Complete")</f>
        <v>Complete</v>
      </c>
      <c r="I7047" s="48" t="s">
        <v>11412</v>
      </c>
    </row>
    <row r="7048" spans="2:9" ht="15" customHeight="1" x14ac:dyDescent="0.25">
      <c r="B7048" s="55" t="s">
        <v>280</v>
      </c>
      <c r="C7048" s="46">
        <v>2036</v>
      </c>
      <c r="D7048" s="69" t="s">
        <v>29417</v>
      </c>
      <c r="E7048" s="51"/>
      <c r="F7048" s="114" t="str">
        <f>IF(INDEX(I.Facility.P2aIDNumber,2036)="","",INDEX(I.Facility.P2aIDNumber,2036))</f>
        <v/>
      </c>
      <c r="G7048" s="51"/>
      <c r="H7048" s="46" t="str">
        <f>IF(AND(I.Developer.P2a=TRUE,I.Facility.P2aFacilityCount&gt;=2036,F7048=""),"Incomplete","Complete")</f>
        <v>Complete</v>
      </c>
      <c r="I7048" s="48" t="s">
        <v>11413</v>
      </c>
    </row>
    <row r="7049" spans="2:9" ht="15" customHeight="1" x14ac:dyDescent="0.25">
      <c r="B7049" s="55" t="s">
        <v>280</v>
      </c>
      <c r="C7049" s="46">
        <v>2037</v>
      </c>
      <c r="D7049" s="69" t="s">
        <v>29417</v>
      </c>
      <c r="E7049" s="51"/>
      <c r="F7049" s="114" t="str">
        <f>IF(INDEX(I.Facility.P2aIDNumber,2037)="","",INDEX(I.Facility.P2aIDNumber,2037))</f>
        <v/>
      </c>
      <c r="G7049" s="51"/>
      <c r="H7049" s="46" t="str">
        <f>IF(AND(I.Developer.P2a=TRUE,I.Facility.P2aFacilityCount&gt;=2037,F7049=""),"Incomplete","Complete")</f>
        <v>Complete</v>
      </c>
      <c r="I7049" s="48" t="s">
        <v>11414</v>
      </c>
    </row>
    <row r="7050" spans="2:9" ht="15" customHeight="1" x14ac:dyDescent="0.25">
      <c r="B7050" s="55" t="s">
        <v>280</v>
      </c>
      <c r="C7050" s="46">
        <v>2038</v>
      </c>
      <c r="D7050" s="69" t="s">
        <v>29417</v>
      </c>
      <c r="E7050" s="51"/>
      <c r="F7050" s="114" t="str">
        <f>IF(INDEX(I.Facility.P2aIDNumber,2038)="","",INDEX(I.Facility.P2aIDNumber,2038))</f>
        <v/>
      </c>
      <c r="G7050" s="51"/>
      <c r="H7050" s="46" t="str">
        <f>IF(AND(I.Developer.P2a=TRUE,I.Facility.P2aFacilityCount&gt;=2038,F7050=""),"Incomplete","Complete")</f>
        <v>Complete</v>
      </c>
      <c r="I7050" s="48" t="s">
        <v>11415</v>
      </c>
    </row>
    <row r="7051" spans="2:9" ht="15" customHeight="1" x14ac:dyDescent="0.25">
      <c r="B7051" s="55" t="s">
        <v>280</v>
      </c>
      <c r="C7051" s="46">
        <v>2039</v>
      </c>
      <c r="D7051" s="69" t="s">
        <v>29417</v>
      </c>
      <c r="E7051" s="51"/>
      <c r="F7051" s="114" t="str">
        <f>IF(INDEX(I.Facility.P2aIDNumber,2039)="","",INDEX(I.Facility.P2aIDNumber,2039))</f>
        <v/>
      </c>
      <c r="G7051" s="51"/>
      <c r="H7051" s="46" t="str">
        <f>IF(AND(I.Developer.P2a=TRUE,I.Facility.P2aFacilityCount&gt;=2039,F7051=""),"Incomplete","Complete")</f>
        <v>Complete</v>
      </c>
      <c r="I7051" s="48" t="s">
        <v>11416</v>
      </c>
    </row>
    <row r="7052" spans="2:9" ht="15" customHeight="1" x14ac:dyDescent="0.25">
      <c r="B7052" s="55" t="s">
        <v>280</v>
      </c>
      <c r="C7052" s="46">
        <v>2040</v>
      </c>
      <c r="D7052" s="69" t="s">
        <v>29417</v>
      </c>
      <c r="E7052" s="51"/>
      <c r="F7052" s="114" t="str">
        <f>IF(INDEX(I.Facility.P2aIDNumber,2040)="","",INDEX(I.Facility.P2aIDNumber,2040))</f>
        <v/>
      </c>
      <c r="G7052" s="51"/>
      <c r="H7052" s="46" t="str">
        <f>IF(AND(I.Developer.P2a=TRUE,I.Facility.P2aFacilityCount&gt;=2040,F7052=""),"Incomplete","Complete")</f>
        <v>Complete</v>
      </c>
      <c r="I7052" s="48" t="s">
        <v>11417</v>
      </c>
    </row>
    <row r="7053" spans="2:9" ht="15" customHeight="1" x14ac:dyDescent="0.25">
      <c r="B7053" s="55" t="s">
        <v>280</v>
      </c>
      <c r="C7053" s="46">
        <v>2041</v>
      </c>
      <c r="D7053" s="69" t="s">
        <v>29417</v>
      </c>
      <c r="E7053" s="51"/>
      <c r="F7053" s="114" t="str">
        <f>IF(INDEX(I.Facility.P2aIDNumber,2041)="","",INDEX(I.Facility.P2aIDNumber,2041))</f>
        <v/>
      </c>
      <c r="G7053" s="51"/>
      <c r="H7053" s="46" t="str">
        <f>IF(AND(I.Developer.P2a=TRUE,I.Facility.P2aFacilityCount&gt;=2041,F7053=""),"Incomplete","Complete")</f>
        <v>Complete</v>
      </c>
      <c r="I7053" s="48" t="s">
        <v>11418</v>
      </c>
    </row>
    <row r="7054" spans="2:9" ht="15" customHeight="1" x14ac:dyDescent="0.25">
      <c r="B7054" s="55" t="s">
        <v>280</v>
      </c>
      <c r="C7054" s="46">
        <v>2042</v>
      </c>
      <c r="D7054" s="69" t="s">
        <v>29417</v>
      </c>
      <c r="E7054" s="51"/>
      <c r="F7054" s="114" t="str">
        <f>IF(INDEX(I.Facility.P2aIDNumber,2042)="","",INDEX(I.Facility.P2aIDNumber,2042))</f>
        <v/>
      </c>
      <c r="G7054" s="51"/>
      <c r="H7054" s="46" t="str">
        <f>IF(AND(I.Developer.P2a=TRUE,I.Facility.P2aFacilityCount&gt;=2042,F7054=""),"Incomplete","Complete")</f>
        <v>Complete</v>
      </c>
      <c r="I7054" s="48" t="s">
        <v>11419</v>
      </c>
    </row>
    <row r="7055" spans="2:9" ht="15" customHeight="1" x14ac:dyDescent="0.25">
      <c r="B7055" s="55" t="s">
        <v>280</v>
      </c>
      <c r="C7055" s="46">
        <v>2043</v>
      </c>
      <c r="D7055" s="69" t="s">
        <v>29417</v>
      </c>
      <c r="E7055" s="51"/>
      <c r="F7055" s="114" t="str">
        <f>IF(INDEX(I.Facility.P2aIDNumber,2043)="","",INDEX(I.Facility.P2aIDNumber,2043))</f>
        <v/>
      </c>
      <c r="G7055" s="51"/>
      <c r="H7055" s="46" t="str">
        <f>IF(AND(I.Developer.P2a=TRUE,I.Facility.P2aFacilityCount&gt;=2043,F7055=""),"Incomplete","Complete")</f>
        <v>Complete</v>
      </c>
      <c r="I7055" s="48" t="s">
        <v>11420</v>
      </c>
    </row>
    <row r="7056" spans="2:9" ht="15" customHeight="1" x14ac:dyDescent="0.25">
      <c r="B7056" s="55" t="s">
        <v>280</v>
      </c>
      <c r="C7056" s="46">
        <v>2044</v>
      </c>
      <c r="D7056" s="69" t="s">
        <v>29417</v>
      </c>
      <c r="E7056" s="51"/>
      <c r="F7056" s="114" t="str">
        <f>IF(INDEX(I.Facility.P2aIDNumber,2044)="","",INDEX(I.Facility.P2aIDNumber,2044))</f>
        <v/>
      </c>
      <c r="G7056" s="51"/>
      <c r="H7056" s="46" t="str">
        <f>IF(AND(I.Developer.P2a=TRUE,I.Facility.P2aFacilityCount&gt;=2044,F7056=""),"Incomplete","Complete")</f>
        <v>Complete</v>
      </c>
      <c r="I7056" s="48" t="s">
        <v>11421</v>
      </c>
    </row>
    <row r="7057" spans="2:9" ht="15" customHeight="1" x14ac:dyDescent="0.25">
      <c r="B7057" s="55" t="s">
        <v>280</v>
      </c>
      <c r="C7057" s="46">
        <v>2045</v>
      </c>
      <c r="D7057" s="69" t="s">
        <v>29417</v>
      </c>
      <c r="E7057" s="51"/>
      <c r="F7057" s="114" t="str">
        <f>IF(INDEX(I.Facility.P2aIDNumber,2045)="","",INDEX(I.Facility.P2aIDNumber,2045))</f>
        <v/>
      </c>
      <c r="G7057" s="51"/>
      <c r="H7057" s="46" t="str">
        <f>IF(AND(I.Developer.P2a=TRUE,I.Facility.P2aFacilityCount&gt;=2045,F7057=""),"Incomplete","Complete")</f>
        <v>Complete</v>
      </c>
      <c r="I7057" s="48" t="s">
        <v>11422</v>
      </c>
    </row>
    <row r="7058" spans="2:9" ht="15" customHeight="1" x14ac:dyDescent="0.25">
      <c r="B7058" s="55" t="s">
        <v>280</v>
      </c>
      <c r="C7058" s="46">
        <v>2046</v>
      </c>
      <c r="D7058" s="69" t="s">
        <v>29417</v>
      </c>
      <c r="E7058" s="51"/>
      <c r="F7058" s="114" t="str">
        <f>IF(INDEX(I.Facility.P2aIDNumber,2046)="","",INDEX(I.Facility.P2aIDNumber,2046))</f>
        <v/>
      </c>
      <c r="G7058" s="51"/>
      <c r="H7058" s="46" t="str">
        <f>IF(AND(I.Developer.P2a=TRUE,I.Facility.P2aFacilityCount&gt;=2046,F7058=""),"Incomplete","Complete")</f>
        <v>Complete</v>
      </c>
      <c r="I7058" s="48" t="s">
        <v>11423</v>
      </c>
    </row>
    <row r="7059" spans="2:9" ht="15" customHeight="1" x14ac:dyDescent="0.25">
      <c r="B7059" s="55" t="s">
        <v>280</v>
      </c>
      <c r="C7059" s="46">
        <v>2047</v>
      </c>
      <c r="D7059" s="69" t="s">
        <v>29417</v>
      </c>
      <c r="E7059" s="51"/>
      <c r="F7059" s="114" t="str">
        <f>IF(INDEX(I.Facility.P2aIDNumber,2047)="","",INDEX(I.Facility.P2aIDNumber,2047))</f>
        <v/>
      </c>
      <c r="G7059" s="51"/>
      <c r="H7059" s="46" t="str">
        <f>IF(AND(I.Developer.P2a=TRUE,I.Facility.P2aFacilityCount&gt;=2047,F7059=""),"Incomplete","Complete")</f>
        <v>Complete</v>
      </c>
      <c r="I7059" s="48" t="s">
        <v>11424</v>
      </c>
    </row>
    <row r="7060" spans="2:9" ht="15" customHeight="1" x14ac:dyDescent="0.25">
      <c r="B7060" s="55" t="s">
        <v>280</v>
      </c>
      <c r="C7060" s="46">
        <v>2048</v>
      </c>
      <c r="D7060" s="69" t="s">
        <v>29417</v>
      </c>
      <c r="E7060" s="51"/>
      <c r="F7060" s="114" t="str">
        <f>IF(INDEX(I.Facility.P2aIDNumber,2048)="","",INDEX(I.Facility.P2aIDNumber,2048))</f>
        <v/>
      </c>
      <c r="G7060" s="51"/>
      <c r="H7060" s="46" t="str">
        <f>IF(AND(I.Developer.P2a=TRUE,I.Facility.P2aFacilityCount&gt;=2048,F7060=""),"Incomplete","Complete")</f>
        <v>Complete</v>
      </c>
      <c r="I7060" s="48" t="s">
        <v>11425</v>
      </c>
    </row>
    <row r="7061" spans="2:9" ht="15" customHeight="1" x14ac:dyDescent="0.25">
      <c r="B7061" s="55" t="s">
        <v>280</v>
      </c>
      <c r="C7061" s="46">
        <v>2049</v>
      </c>
      <c r="D7061" s="69" t="s">
        <v>29417</v>
      </c>
      <c r="E7061" s="51"/>
      <c r="F7061" s="114" t="str">
        <f>IF(INDEX(I.Facility.P2aIDNumber,2049)="","",INDEX(I.Facility.P2aIDNumber,2049))</f>
        <v/>
      </c>
      <c r="G7061" s="51"/>
      <c r="H7061" s="46" t="str">
        <f>IF(AND(I.Developer.P2a=TRUE,I.Facility.P2aFacilityCount&gt;=2049,F7061=""),"Incomplete","Complete")</f>
        <v>Complete</v>
      </c>
      <c r="I7061" s="48" t="s">
        <v>11426</v>
      </c>
    </row>
    <row r="7062" spans="2:9" ht="15" customHeight="1" x14ac:dyDescent="0.25">
      <c r="B7062" s="55" t="s">
        <v>280</v>
      </c>
      <c r="C7062" s="46">
        <v>2050</v>
      </c>
      <c r="D7062" s="69" t="s">
        <v>29417</v>
      </c>
      <c r="E7062" s="51"/>
      <c r="F7062" s="114" t="str">
        <f>IF(INDEX(I.Facility.P2aIDNumber,2050)="","",INDEX(I.Facility.P2aIDNumber,2050))</f>
        <v/>
      </c>
      <c r="G7062" s="51"/>
      <c r="H7062" s="46" t="str">
        <f>IF(AND(I.Developer.P2a=TRUE,I.Facility.P2aFacilityCount&gt;=2050,F7062=""),"Incomplete","Complete")</f>
        <v>Complete</v>
      </c>
      <c r="I7062" s="48" t="s">
        <v>11427</v>
      </c>
    </row>
    <row r="7063" spans="2:9" ht="15" customHeight="1" x14ac:dyDescent="0.25">
      <c r="B7063" s="55" t="s">
        <v>280</v>
      </c>
      <c r="C7063" s="46">
        <v>2051</v>
      </c>
      <c r="D7063" s="69" t="s">
        <v>29417</v>
      </c>
      <c r="E7063" s="51"/>
      <c r="F7063" s="114" t="str">
        <f>IF(INDEX(I.Facility.P2aIDNumber,2051)="","",INDEX(I.Facility.P2aIDNumber,2051))</f>
        <v/>
      </c>
      <c r="G7063" s="51"/>
      <c r="H7063" s="46" t="str">
        <f>IF(AND(I.Developer.P2a=TRUE,I.Facility.P2aFacilityCount&gt;=2051,F7063=""),"Incomplete","Complete")</f>
        <v>Complete</v>
      </c>
      <c r="I7063" s="48" t="s">
        <v>11428</v>
      </c>
    </row>
    <row r="7064" spans="2:9" ht="15" customHeight="1" x14ac:dyDescent="0.25">
      <c r="B7064" s="55" t="s">
        <v>280</v>
      </c>
      <c r="C7064" s="46">
        <v>2052</v>
      </c>
      <c r="D7064" s="69" t="s">
        <v>29417</v>
      </c>
      <c r="E7064" s="51"/>
      <c r="F7064" s="114" t="str">
        <f>IF(INDEX(I.Facility.P2aIDNumber,2052)="","",INDEX(I.Facility.P2aIDNumber,2052))</f>
        <v/>
      </c>
      <c r="G7064" s="51"/>
      <c r="H7064" s="46" t="str">
        <f>IF(AND(I.Developer.P2a=TRUE,I.Facility.P2aFacilityCount&gt;=2052,F7064=""),"Incomplete","Complete")</f>
        <v>Complete</v>
      </c>
      <c r="I7064" s="48" t="s">
        <v>11429</v>
      </c>
    </row>
    <row r="7065" spans="2:9" ht="15" customHeight="1" x14ac:dyDescent="0.25">
      <c r="B7065" s="55" t="s">
        <v>280</v>
      </c>
      <c r="C7065" s="46">
        <v>2053</v>
      </c>
      <c r="D7065" s="69" t="s">
        <v>29417</v>
      </c>
      <c r="E7065" s="51"/>
      <c r="F7065" s="114" t="str">
        <f>IF(INDEX(I.Facility.P2aIDNumber,2053)="","",INDEX(I.Facility.P2aIDNumber,2053))</f>
        <v/>
      </c>
      <c r="G7065" s="51"/>
      <c r="H7065" s="46" t="str">
        <f>IF(AND(I.Developer.P2a=TRUE,I.Facility.P2aFacilityCount&gt;=2053,F7065=""),"Incomplete","Complete")</f>
        <v>Complete</v>
      </c>
      <c r="I7065" s="48" t="s">
        <v>11430</v>
      </c>
    </row>
    <row r="7066" spans="2:9" ht="15" customHeight="1" x14ac:dyDescent="0.25">
      <c r="B7066" s="55" t="s">
        <v>280</v>
      </c>
      <c r="C7066" s="46">
        <v>2054</v>
      </c>
      <c r="D7066" s="69" t="s">
        <v>29417</v>
      </c>
      <c r="E7066" s="51"/>
      <c r="F7066" s="114" t="str">
        <f>IF(INDEX(I.Facility.P2aIDNumber,2054)="","",INDEX(I.Facility.P2aIDNumber,2054))</f>
        <v/>
      </c>
      <c r="G7066" s="51"/>
      <c r="H7066" s="46" t="str">
        <f>IF(AND(I.Developer.P2a=TRUE,I.Facility.P2aFacilityCount&gt;=2054,F7066=""),"Incomplete","Complete")</f>
        <v>Complete</v>
      </c>
      <c r="I7066" s="48" t="s">
        <v>11431</v>
      </c>
    </row>
    <row r="7067" spans="2:9" ht="15" customHeight="1" x14ac:dyDescent="0.25">
      <c r="B7067" s="55" t="s">
        <v>280</v>
      </c>
      <c r="C7067" s="46">
        <v>2055</v>
      </c>
      <c r="D7067" s="69" t="s">
        <v>29417</v>
      </c>
      <c r="E7067" s="51"/>
      <c r="F7067" s="114" t="str">
        <f>IF(INDEX(I.Facility.P2aIDNumber,2055)="","",INDEX(I.Facility.P2aIDNumber,2055))</f>
        <v/>
      </c>
      <c r="G7067" s="51"/>
      <c r="H7067" s="46" t="str">
        <f>IF(AND(I.Developer.P2a=TRUE,I.Facility.P2aFacilityCount&gt;=2055,F7067=""),"Incomplete","Complete")</f>
        <v>Complete</v>
      </c>
      <c r="I7067" s="48" t="s">
        <v>11432</v>
      </c>
    </row>
    <row r="7068" spans="2:9" ht="15" customHeight="1" x14ac:dyDescent="0.25">
      <c r="B7068" s="55" t="s">
        <v>280</v>
      </c>
      <c r="C7068" s="46">
        <v>2056</v>
      </c>
      <c r="D7068" s="69" t="s">
        <v>29417</v>
      </c>
      <c r="E7068" s="51"/>
      <c r="F7068" s="114" t="str">
        <f>IF(INDEX(I.Facility.P2aIDNumber,2056)="","",INDEX(I.Facility.P2aIDNumber,2056))</f>
        <v/>
      </c>
      <c r="G7068" s="51"/>
      <c r="H7068" s="46" t="str">
        <f>IF(AND(I.Developer.P2a=TRUE,I.Facility.P2aFacilityCount&gt;=2056,F7068=""),"Incomplete","Complete")</f>
        <v>Complete</v>
      </c>
      <c r="I7068" s="48" t="s">
        <v>11433</v>
      </c>
    </row>
    <row r="7069" spans="2:9" ht="15" customHeight="1" x14ac:dyDescent="0.25">
      <c r="B7069" s="55" t="s">
        <v>280</v>
      </c>
      <c r="C7069" s="46">
        <v>2057</v>
      </c>
      <c r="D7069" s="69" t="s">
        <v>29417</v>
      </c>
      <c r="E7069" s="51"/>
      <c r="F7069" s="114" t="str">
        <f>IF(INDEX(I.Facility.P2aIDNumber,2057)="","",INDEX(I.Facility.P2aIDNumber,2057))</f>
        <v/>
      </c>
      <c r="G7069" s="51"/>
      <c r="H7069" s="46" t="str">
        <f>IF(AND(I.Developer.P2a=TRUE,I.Facility.P2aFacilityCount&gt;=2057,F7069=""),"Incomplete","Complete")</f>
        <v>Complete</v>
      </c>
      <c r="I7069" s="48" t="s">
        <v>11434</v>
      </c>
    </row>
    <row r="7070" spans="2:9" ht="15" customHeight="1" x14ac:dyDescent="0.25">
      <c r="B7070" s="55" t="s">
        <v>280</v>
      </c>
      <c r="C7070" s="46">
        <v>2058</v>
      </c>
      <c r="D7070" s="69" t="s">
        <v>29417</v>
      </c>
      <c r="E7070" s="51"/>
      <c r="F7070" s="114" t="str">
        <f>IF(INDEX(I.Facility.P2aIDNumber,2058)="","",INDEX(I.Facility.P2aIDNumber,2058))</f>
        <v/>
      </c>
      <c r="G7070" s="51"/>
      <c r="H7070" s="46" t="str">
        <f>IF(AND(I.Developer.P2a=TRUE,I.Facility.P2aFacilityCount&gt;=2058,F7070=""),"Incomplete","Complete")</f>
        <v>Complete</v>
      </c>
      <c r="I7070" s="48" t="s">
        <v>11435</v>
      </c>
    </row>
    <row r="7071" spans="2:9" ht="15" customHeight="1" x14ac:dyDescent="0.25">
      <c r="B7071" s="55" t="s">
        <v>280</v>
      </c>
      <c r="C7071" s="46">
        <v>2059</v>
      </c>
      <c r="D7071" s="69" t="s">
        <v>29417</v>
      </c>
      <c r="E7071" s="51"/>
      <c r="F7071" s="114" t="str">
        <f>IF(INDEX(I.Facility.P2aIDNumber,2059)="","",INDEX(I.Facility.P2aIDNumber,2059))</f>
        <v/>
      </c>
      <c r="G7071" s="51"/>
      <c r="H7071" s="46" t="str">
        <f>IF(AND(I.Developer.P2a=TRUE,I.Facility.P2aFacilityCount&gt;=2059,F7071=""),"Incomplete","Complete")</f>
        <v>Complete</v>
      </c>
      <c r="I7071" s="48" t="s">
        <v>11436</v>
      </c>
    </row>
    <row r="7072" spans="2:9" ht="15" customHeight="1" x14ac:dyDescent="0.25">
      <c r="B7072" s="55" t="s">
        <v>280</v>
      </c>
      <c r="C7072" s="46">
        <v>2060</v>
      </c>
      <c r="D7072" s="69" t="s">
        <v>29417</v>
      </c>
      <c r="E7072" s="51"/>
      <c r="F7072" s="114" t="str">
        <f>IF(INDEX(I.Facility.P2aIDNumber,2060)="","",INDEX(I.Facility.P2aIDNumber,2060))</f>
        <v/>
      </c>
      <c r="G7072" s="51"/>
      <c r="H7072" s="46" t="str">
        <f>IF(AND(I.Developer.P2a=TRUE,I.Facility.P2aFacilityCount&gt;=2060,F7072=""),"Incomplete","Complete")</f>
        <v>Complete</v>
      </c>
      <c r="I7072" s="48" t="s">
        <v>11437</v>
      </c>
    </row>
    <row r="7073" spans="2:9" ht="15" customHeight="1" x14ac:dyDescent="0.25">
      <c r="B7073" s="55" t="s">
        <v>280</v>
      </c>
      <c r="C7073" s="46">
        <v>2061</v>
      </c>
      <c r="D7073" s="69" t="s">
        <v>29417</v>
      </c>
      <c r="E7073" s="51"/>
      <c r="F7073" s="114" t="str">
        <f>IF(INDEX(I.Facility.P2aIDNumber,2061)="","",INDEX(I.Facility.P2aIDNumber,2061))</f>
        <v/>
      </c>
      <c r="G7073" s="51"/>
      <c r="H7073" s="46" t="str">
        <f>IF(AND(I.Developer.P2a=TRUE,I.Facility.P2aFacilityCount&gt;=2061,F7073=""),"Incomplete","Complete")</f>
        <v>Complete</v>
      </c>
      <c r="I7073" s="48" t="s">
        <v>11438</v>
      </c>
    </row>
    <row r="7074" spans="2:9" ht="15" customHeight="1" x14ac:dyDescent="0.25">
      <c r="B7074" s="55" t="s">
        <v>280</v>
      </c>
      <c r="C7074" s="46">
        <v>2062</v>
      </c>
      <c r="D7074" s="69" t="s">
        <v>29417</v>
      </c>
      <c r="E7074" s="51"/>
      <c r="F7074" s="114" t="str">
        <f>IF(INDEX(I.Facility.P2aIDNumber,2062)="","",INDEX(I.Facility.P2aIDNumber,2062))</f>
        <v/>
      </c>
      <c r="G7074" s="51"/>
      <c r="H7074" s="46" t="str">
        <f>IF(AND(I.Developer.P2a=TRUE,I.Facility.P2aFacilityCount&gt;=2062,F7074=""),"Incomplete","Complete")</f>
        <v>Complete</v>
      </c>
      <c r="I7074" s="48" t="s">
        <v>11439</v>
      </c>
    </row>
    <row r="7075" spans="2:9" ht="15" customHeight="1" x14ac:dyDescent="0.25">
      <c r="B7075" s="55" t="s">
        <v>280</v>
      </c>
      <c r="C7075" s="46">
        <v>2063</v>
      </c>
      <c r="D7075" s="69" t="s">
        <v>29417</v>
      </c>
      <c r="E7075" s="51"/>
      <c r="F7075" s="114" t="str">
        <f>IF(INDEX(I.Facility.P2aIDNumber,2063)="","",INDEX(I.Facility.P2aIDNumber,2063))</f>
        <v/>
      </c>
      <c r="G7075" s="51"/>
      <c r="H7075" s="46" t="str">
        <f>IF(AND(I.Developer.P2a=TRUE,I.Facility.P2aFacilityCount&gt;=2063,F7075=""),"Incomplete","Complete")</f>
        <v>Complete</v>
      </c>
      <c r="I7075" s="48" t="s">
        <v>11440</v>
      </c>
    </row>
    <row r="7076" spans="2:9" ht="15" customHeight="1" x14ac:dyDescent="0.25">
      <c r="B7076" s="55" t="s">
        <v>280</v>
      </c>
      <c r="C7076" s="46">
        <v>2064</v>
      </c>
      <c r="D7076" s="69" t="s">
        <v>29417</v>
      </c>
      <c r="E7076" s="51"/>
      <c r="F7076" s="114" t="str">
        <f>IF(INDEX(I.Facility.P2aIDNumber,2064)="","",INDEX(I.Facility.P2aIDNumber,2064))</f>
        <v/>
      </c>
      <c r="G7076" s="51"/>
      <c r="H7076" s="46" t="str">
        <f>IF(AND(I.Developer.P2a=TRUE,I.Facility.P2aFacilityCount&gt;=2064,F7076=""),"Incomplete","Complete")</f>
        <v>Complete</v>
      </c>
      <c r="I7076" s="48" t="s">
        <v>11441</v>
      </c>
    </row>
    <row r="7077" spans="2:9" ht="15" customHeight="1" x14ac:dyDescent="0.25">
      <c r="B7077" s="55" t="s">
        <v>280</v>
      </c>
      <c r="C7077" s="46">
        <v>2065</v>
      </c>
      <c r="D7077" s="69" t="s">
        <v>29417</v>
      </c>
      <c r="E7077" s="51"/>
      <c r="F7077" s="114" t="str">
        <f>IF(INDEX(I.Facility.P2aIDNumber,2065)="","",INDEX(I.Facility.P2aIDNumber,2065))</f>
        <v/>
      </c>
      <c r="G7077" s="51"/>
      <c r="H7077" s="46" t="str">
        <f>IF(AND(I.Developer.P2a=TRUE,I.Facility.P2aFacilityCount&gt;=2065,F7077=""),"Incomplete","Complete")</f>
        <v>Complete</v>
      </c>
      <c r="I7077" s="48" t="s">
        <v>11442</v>
      </c>
    </row>
    <row r="7078" spans="2:9" ht="15" customHeight="1" x14ac:dyDescent="0.25">
      <c r="B7078" s="55" t="s">
        <v>280</v>
      </c>
      <c r="C7078" s="46">
        <v>2066</v>
      </c>
      <c r="D7078" s="69" t="s">
        <v>29417</v>
      </c>
      <c r="E7078" s="51"/>
      <c r="F7078" s="114" t="str">
        <f>IF(INDEX(I.Facility.P2aIDNumber,2066)="","",INDEX(I.Facility.P2aIDNumber,2066))</f>
        <v/>
      </c>
      <c r="G7078" s="51"/>
      <c r="H7078" s="46" t="str">
        <f>IF(AND(I.Developer.P2a=TRUE,I.Facility.P2aFacilityCount&gt;=2066,F7078=""),"Incomplete","Complete")</f>
        <v>Complete</v>
      </c>
      <c r="I7078" s="48" t="s">
        <v>11443</v>
      </c>
    </row>
    <row r="7079" spans="2:9" ht="15" customHeight="1" x14ac:dyDescent="0.25">
      <c r="B7079" s="55" t="s">
        <v>280</v>
      </c>
      <c r="C7079" s="46">
        <v>2067</v>
      </c>
      <c r="D7079" s="69" t="s">
        <v>29417</v>
      </c>
      <c r="E7079" s="51"/>
      <c r="F7079" s="114" t="str">
        <f>IF(INDEX(I.Facility.P2aIDNumber,2067)="","",INDEX(I.Facility.P2aIDNumber,2067))</f>
        <v/>
      </c>
      <c r="G7079" s="51"/>
      <c r="H7079" s="46" t="str">
        <f>IF(AND(I.Developer.P2a=TRUE,I.Facility.P2aFacilityCount&gt;=2067,F7079=""),"Incomplete","Complete")</f>
        <v>Complete</v>
      </c>
      <c r="I7079" s="48" t="s">
        <v>11444</v>
      </c>
    </row>
    <row r="7080" spans="2:9" ht="15" customHeight="1" x14ac:dyDescent="0.25">
      <c r="B7080" s="55" t="s">
        <v>280</v>
      </c>
      <c r="C7080" s="46">
        <v>2068</v>
      </c>
      <c r="D7080" s="69" t="s">
        <v>29417</v>
      </c>
      <c r="E7080" s="51"/>
      <c r="F7080" s="114" t="str">
        <f>IF(INDEX(I.Facility.P2aIDNumber,2068)="","",INDEX(I.Facility.P2aIDNumber,2068))</f>
        <v/>
      </c>
      <c r="G7080" s="51"/>
      <c r="H7080" s="46" t="str">
        <f>IF(AND(I.Developer.P2a=TRUE,I.Facility.P2aFacilityCount&gt;=2068,F7080=""),"Incomplete","Complete")</f>
        <v>Complete</v>
      </c>
      <c r="I7080" s="48" t="s">
        <v>11445</v>
      </c>
    </row>
    <row r="7081" spans="2:9" ht="15" customHeight="1" x14ac:dyDescent="0.25">
      <c r="B7081" s="55" t="s">
        <v>280</v>
      </c>
      <c r="C7081" s="46">
        <v>2069</v>
      </c>
      <c r="D7081" s="69" t="s">
        <v>29417</v>
      </c>
      <c r="E7081" s="51"/>
      <c r="F7081" s="114" t="str">
        <f>IF(INDEX(I.Facility.P2aIDNumber,2069)="","",INDEX(I.Facility.P2aIDNumber,2069))</f>
        <v/>
      </c>
      <c r="G7081" s="51"/>
      <c r="H7081" s="46" t="str">
        <f>IF(AND(I.Developer.P2a=TRUE,I.Facility.P2aFacilityCount&gt;=2069,F7081=""),"Incomplete","Complete")</f>
        <v>Complete</v>
      </c>
      <c r="I7081" s="48" t="s">
        <v>11446</v>
      </c>
    </row>
    <row r="7082" spans="2:9" ht="15" customHeight="1" x14ac:dyDescent="0.25">
      <c r="B7082" s="55" t="s">
        <v>280</v>
      </c>
      <c r="C7082" s="46">
        <v>2070</v>
      </c>
      <c r="D7082" s="69" t="s">
        <v>29417</v>
      </c>
      <c r="E7082" s="51"/>
      <c r="F7082" s="114" t="str">
        <f>IF(INDEX(I.Facility.P2aIDNumber,2070)="","",INDEX(I.Facility.P2aIDNumber,2070))</f>
        <v/>
      </c>
      <c r="G7082" s="51"/>
      <c r="H7082" s="46" t="str">
        <f>IF(AND(I.Developer.P2a=TRUE,I.Facility.P2aFacilityCount&gt;=2070,F7082=""),"Incomplete","Complete")</f>
        <v>Complete</v>
      </c>
      <c r="I7082" s="48" t="s">
        <v>11447</v>
      </c>
    </row>
    <row r="7083" spans="2:9" ht="15" customHeight="1" x14ac:dyDescent="0.25">
      <c r="B7083" s="55" t="s">
        <v>280</v>
      </c>
      <c r="C7083" s="46">
        <v>2071</v>
      </c>
      <c r="D7083" s="69" t="s">
        <v>29417</v>
      </c>
      <c r="E7083" s="51"/>
      <c r="F7083" s="114" t="str">
        <f>IF(INDEX(I.Facility.P2aIDNumber,2071)="","",INDEX(I.Facility.P2aIDNumber,2071))</f>
        <v/>
      </c>
      <c r="G7083" s="51"/>
      <c r="H7083" s="46" t="str">
        <f>IF(AND(I.Developer.P2a=TRUE,I.Facility.P2aFacilityCount&gt;=2071,F7083=""),"Incomplete","Complete")</f>
        <v>Complete</v>
      </c>
      <c r="I7083" s="48" t="s">
        <v>11448</v>
      </c>
    </row>
    <row r="7084" spans="2:9" ht="15" customHeight="1" x14ac:dyDescent="0.25">
      <c r="B7084" s="55" t="s">
        <v>280</v>
      </c>
      <c r="C7084" s="46">
        <v>2072</v>
      </c>
      <c r="D7084" s="69" t="s">
        <v>29417</v>
      </c>
      <c r="E7084" s="51"/>
      <c r="F7084" s="114" t="str">
        <f>IF(INDEX(I.Facility.P2aIDNumber,2072)="","",INDEX(I.Facility.P2aIDNumber,2072))</f>
        <v/>
      </c>
      <c r="G7084" s="51"/>
      <c r="H7084" s="46" t="str">
        <f>IF(AND(I.Developer.P2a=TRUE,I.Facility.P2aFacilityCount&gt;=2072,F7084=""),"Incomplete","Complete")</f>
        <v>Complete</v>
      </c>
      <c r="I7084" s="48" t="s">
        <v>11449</v>
      </c>
    </row>
    <row r="7085" spans="2:9" ht="15" customHeight="1" x14ac:dyDescent="0.25">
      <c r="B7085" s="55" t="s">
        <v>280</v>
      </c>
      <c r="C7085" s="46">
        <v>2073</v>
      </c>
      <c r="D7085" s="69" t="s">
        <v>29417</v>
      </c>
      <c r="E7085" s="51"/>
      <c r="F7085" s="114" t="str">
        <f>IF(INDEX(I.Facility.P2aIDNumber,2073)="","",INDEX(I.Facility.P2aIDNumber,2073))</f>
        <v/>
      </c>
      <c r="G7085" s="51"/>
      <c r="H7085" s="46" t="str">
        <f>IF(AND(I.Developer.P2a=TRUE,I.Facility.P2aFacilityCount&gt;=2073,F7085=""),"Incomplete","Complete")</f>
        <v>Complete</v>
      </c>
      <c r="I7085" s="48" t="s">
        <v>11450</v>
      </c>
    </row>
    <row r="7086" spans="2:9" ht="15" customHeight="1" x14ac:dyDescent="0.25">
      <c r="B7086" s="55" t="s">
        <v>280</v>
      </c>
      <c r="C7086" s="46">
        <v>2074</v>
      </c>
      <c r="D7086" s="69" t="s">
        <v>29417</v>
      </c>
      <c r="E7086" s="51"/>
      <c r="F7086" s="114" t="str">
        <f>IF(INDEX(I.Facility.P2aIDNumber,2074)="","",INDEX(I.Facility.P2aIDNumber,2074))</f>
        <v/>
      </c>
      <c r="G7086" s="51"/>
      <c r="H7086" s="46" t="str">
        <f>IF(AND(I.Developer.P2a=TRUE,I.Facility.P2aFacilityCount&gt;=2074,F7086=""),"Incomplete","Complete")</f>
        <v>Complete</v>
      </c>
      <c r="I7086" s="48" t="s">
        <v>11451</v>
      </c>
    </row>
    <row r="7087" spans="2:9" ht="15" customHeight="1" x14ac:dyDescent="0.25">
      <c r="B7087" s="55" t="s">
        <v>280</v>
      </c>
      <c r="C7087" s="46">
        <v>2075</v>
      </c>
      <c r="D7087" s="69" t="s">
        <v>29417</v>
      </c>
      <c r="E7087" s="51"/>
      <c r="F7087" s="114" t="str">
        <f>IF(INDEX(I.Facility.P2aIDNumber,2075)="","",INDEX(I.Facility.P2aIDNumber,2075))</f>
        <v/>
      </c>
      <c r="G7087" s="51"/>
      <c r="H7087" s="46" t="str">
        <f>IF(AND(I.Developer.P2a=TRUE,I.Facility.P2aFacilityCount&gt;=2075,F7087=""),"Incomplete","Complete")</f>
        <v>Complete</v>
      </c>
      <c r="I7087" s="48" t="s">
        <v>11452</v>
      </c>
    </row>
    <row r="7088" spans="2:9" ht="15" customHeight="1" x14ac:dyDescent="0.25">
      <c r="B7088" s="55" t="s">
        <v>280</v>
      </c>
      <c r="C7088" s="46">
        <v>2076</v>
      </c>
      <c r="D7088" s="69" t="s">
        <v>29417</v>
      </c>
      <c r="E7088" s="51"/>
      <c r="F7088" s="114" t="str">
        <f>IF(INDEX(I.Facility.P2aIDNumber,2076)="","",INDEX(I.Facility.P2aIDNumber,2076))</f>
        <v/>
      </c>
      <c r="G7088" s="51"/>
      <c r="H7088" s="46" t="str">
        <f>IF(AND(I.Developer.P2a=TRUE,I.Facility.P2aFacilityCount&gt;=2076,F7088=""),"Incomplete","Complete")</f>
        <v>Complete</v>
      </c>
      <c r="I7088" s="48" t="s">
        <v>11453</v>
      </c>
    </row>
    <row r="7089" spans="2:9" ht="15" customHeight="1" x14ac:dyDescent="0.25">
      <c r="B7089" s="55" t="s">
        <v>280</v>
      </c>
      <c r="C7089" s="46">
        <v>2077</v>
      </c>
      <c r="D7089" s="69" t="s">
        <v>29417</v>
      </c>
      <c r="E7089" s="51"/>
      <c r="F7089" s="114" t="str">
        <f>IF(INDEX(I.Facility.P2aIDNumber,2077)="","",INDEX(I.Facility.P2aIDNumber,2077))</f>
        <v/>
      </c>
      <c r="G7089" s="51"/>
      <c r="H7089" s="46" t="str">
        <f>IF(AND(I.Developer.P2a=TRUE,I.Facility.P2aFacilityCount&gt;=2077,F7089=""),"Incomplete","Complete")</f>
        <v>Complete</v>
      </c>
      <c r="I7089" s="48" t="s">
        <v>11454</v>
      </c>
    </row>
    <row r="7090" spans="2:9" ht="15" customHeight="1" x14ac:dyDescent="0.25">
      <c r="B7090" s="55" t="s">
        <v>280</v>
      </c>
      <c r="C7090" s="46">
        <v>2078</v>
      </c>
      <c r="D7090" s="69" t="s">
        <v>29417</v>
      </c>
      <c r="E7090" s="51"/>
      <c r="F7090" s="114" t="str">
        <f>IF(INDEX(I.Facility.P2aIDNumber,2078)="","",INDEX(I.Facility.P2aIDNumber,2078))</f>
        <v/>
      </c>
      <c r="G7090" s="51"/>
      <c r="H7090" s="46" t="str">
        <f>IF(AND(I.Developer.P2a=TRUE,I.Facility.P2aFacilityCount&gt;=2078,F7090=""),"Incomplete","Complete")</f>
        <v>Complete</v>
      </c>
      <c r="I7090" s="48" t="s">
        <v>11455</v>
      </c>
    </row>
    <row r="7091" spans="2:9" ht="15" customHeight="1" x14ac:dyDescent="0.25">
      <c r="B7091" s="55" t="s">
        <v>280</v>
      </c>
      <c r="C7091" s="46">
        <v>2079</v>
      </c>
      <c r="D7091" s="69" t="s">
        <v>29417</v>
      </c>
      <c r="E7091" s="51"/>
      <c r="F7091" s="114" t="str">
        <f>IF(INDEX(I.Facility.P2aIDNumber,2079)="","",INDEX(I.Facility.P2aIDNumber,2079))</f>
        <v/>
      </c>
      <c r="G7091" s="51"/>
      <c r="H7091" s="46" t="str">
        <f>IF(AND(I.Developer.P2a=TRUE,I.Facility.P2aFacilityCount&gt;=2079,F7091=""),"Incomplete","Complete")</f>
        <v>Complete</v>
      </c>
      <c r="I7091" s="48" t="s">
        <v>11456</v>
      </c>
    </row>
    <row r="7092" spans="2:9" ht="15" customHeight="1" x14ac:dyDescent="0.25">
      <c r="B7092" s="55" t="s">
        <v>280</v>
      </c>
      <c r="C7092" s="46">
        <v>2080</v>
      </c>
      <c r="D7092" s="69" t="s">
        <v>29417</v>
      </c>
      <c r="E7092" s="51"/>
      <c r="F7092" s="114" t="str">
        <f>IF(INDEX(I.Facility.P2aIDNumber,2080)="","",INDEX(I.Facility.P2aIDNumber,2080))</f>
        <v/>
      </c>
      <c r="G7092" s="51"/>
      <c r="H7092" s="46" t="str">
        <f>IF(AND(I.Developer.P2a=TRUE,I.Facility.P2aFacilityCount&gt;=2080,F7092=""),"Incomplete","Complete")</f>
        <v>Complete</v>
      </c>
      <c r="I7092" s="48" t="s">
        <v>11457</v>
      </c>
    </row>
    <row r="7093" spans="2:9" ht="15" customHeight="1" x14ac:dyDescent="0.25">
      <c r="B7093" s="55" t="s">
        <v>280</v>
      </c>
      <c r="C7093" s="46">
        <v>2081</v>
      </c>
      <c r="D7093" s="69" t="s">
        <v>29417</v>
      </c>
      <c r="E7093" s="51"/>
      <c r="F7093" s="114" t="str">
        <f>IF(INDEX(I.Facility.P2aIDNumber,2081)="","",INDEX(I.Facility.P2aIDNumber,2081))</f>
        <v/>
      </c>
      <c r="G7093" s="51"/>
      <c r="H7093" s="46" t="str">
        <f>IF(AND(I.Developer.P2a=TRUE,I.Facility.P2aFacilityCount&gt;=2081,F7093=""),"Incomplete","Complete")</f>
        <v>Complete</v>
      </c>
      <c r="I7093" s="48" t="s">
        <v>11458</v>
      </c>
    </row>
    <row r="7094" spans="2:9" ht="15" customHeight="1" x14ac:dyDescent="0.25">
      <c r="B7094" s="55" t="s">
        <v>280</v>
      </c>
      <c r="C7094" s="46">
        <v>2082</v>
      </c>
      <c r="D7094" s="69" t="s">
        <v>29417</v>
      </c>
      <c r="E7094" s="51"/>
      <c r="F7094" s="114" t="str">
        <f>IF(INDEX(I.Facility.P2aIDNumber,2082)="","",INDEX(I.Facility.P2aIDNumber,2082))</f>
        <v/>
      </c>
      <c r="G7094" s="51"/>
      <c r="H7094" s="46" t="str">
        <f>IF(AND(I.Developer.P2a=TRUE,I.Facility.P2aFacilityCount&gt;=2082,F7094=""),"Incomplete","Complete")</f>
        <v>Complete</v>
      </c>
      <c r="I7094" s="48" t="s">
        <v>11459</v>
      </c>
    </row>
    <row r="7095" spans="2:9" ht="15" customHeight="1" x14ac:dyDescent="0.25">
      <c r="B7095" s="55" t="s">
        <v>280</v>
      </c>
      <c r="C7095" s="46">
        <v>2083</v>
      </c>
      <c r="D7095" s="69" t="s">
        <v>29417</v>
      </c>
      <c r="E7095" s="51"/>
      <c r="F7095" s="114" t="str">
        <f>IF(INDEX(I.Facility.P2aIDNumber,2083)="","",INDEX(I.Facility.P2aIDNumber,2083))</f>
        <v/>
      </c>
      <c r="G7095" s="51"/>
      <c r="H7095" s="46" t="str">
        <f>IF(AND(I.Developer.P2a=TRUE,I.Facility.P2aFacilityCount&gt;=2083,F7095=""),"Incomplete","Complete")</f>
        <v>Complete</v>
      </c>
      <c r="I7095" s="48" t="s">
        <v>11460</v>
      </c>
    </row>
    <row r="7096" spans="2:9" ht="15" customHeight="1" x14ac:dyDescent="0.25">
      <c r="B7096" s="55" t="s">
        <v>280</v>
      </c>
      <c r="C7096" s="46">
        <v>2084</v>
      </c>
      <c r="D7096" s="69" t="s">
        <v>29417</v>
      </c>
      <c r="E7096" s="51"/>
      <c r="F7096" s="114" t="str">
        <f>IF(INDEX(I.Facility.P2aIDNumber,2084)="","",INDEX(I.Facility.P2aIDNumber,2084))</f>
        <v/>
      </c>
      <c r="G7096" s="51"/>
      <c r="H7096" s="46" t="str">
        <f>IF(AND(I.Developer.P2a=TRUE,I.Facility.P2aFacilityCount&gt;=2084,F7096=""),"Incomplete","Complete")</f>
        <v>Complete</v>
      </c>
      <c r="I7096" s="48" t="s">
        <v>11461</v>
      </c>
    </row>
    <row r="7097" spans="2:9" ht="15" customHeight="1" x14ac:dyDescent="0.25">
      <c r="B7097" s="55" t="s">
        <v>280</v>
      </c>
      <c r="C7097" s="46">
        <v>2085</v>
      </c>
      <c r="D7097" s="69" t="s">
        <v>29417</v>
      </c>
      <c r="E7097" s="51"/>
      <c r="F7097" s="114" t="str">
        <f>IF(INDEX(I.Facility.P2aIDNumber,2085)="","",INDEX(I.Facility.P2aIDNumber,2085))</f>
        <v/>
      </c>
      <c r="G7097" s="51"/>
      <c r="H7097" s="46" t="str">
        <f>IF(AND(I.Developer.P2a=TRUE,I.Facility.P2aFacilityCount&gt;=2085,F7097=""),"Incomplete","Complete")</f>
        <v>Complete</v>
      </c>
      <c r="I7097" s="48" t="s">
        <v>11462</v>
      </c>
    </row>
    <row r="7098" spans="2:9" ht="15" customHeight="1" x14ac:dyDescent="0.25">
      <c r="B7098" s="55" t="s">
        <v>280</v>
      </c>
      <c r="C7098" s="46">
        <v>2086</v>
      </c>
      <c r="D7098" s="69" t="s">
        <v>29417</v>
      </c>
      <c r="E7098" s="51"/>
      <c r="F7098" s="114" t="str">
        <f>IF(INDEX(I.Facility.P2aIDNumber,2086)="","",INDEX(I.Facility.P2aIDNumber,2086))</f>
        <v/>
      </c>
      <c r="G7098" s="51"/>
      <c r="H7098" s="46" t="str">
        <f>IF(AND(I.Developer.P2a=TRUE,I.Facility.P2aFacilityCount&gt;=2086,F7098=""),"Incomplete","Complete")</f>
        <v>Complete</v>
      </c>
      <c r="I7098" s="48" t="s">
        <v>11463</v>
      </c>
    </row>
    <row r="7099" spans="2:9" ht="15" customHeight="1" x14ac:dyDescent="0.25">
      <c r="B7099" s="55" t="s">
        <v>280</v>
      </c>
      <c r="C7099" s="46">
        <v>2087</v>
      </c>
      <c r="D7099" s="69" t="s">
        <v>29417</v>
      </c>
      <c r="E7099" s="51"/>
      <c r="F7099" s="114" t="str">
        <f>IF(INDEX(I.Facility.P2aIDNumber,2087)="","",INDEX(I.Facility.P2aIDNumber,2087))</f>
        <v/>
      </c>
      <c r="G7099" s="51"/>
      <c r="H7099" s="46" t="str">
        <f>IF(AND(I.Developer.P2a=TRUE,I.Facility.P2aFacilityCount&gt;=2087,F7099=""),"Incomplete","Complete")</f>
        <v>Complete</v>
      </c>
      <c r="I7099" s="48" t="s">
        <v>11464</v>
      </c>
    </row>
    <row r="7100" spans="2:9" ht="15" customHeight="1" x14ac:dyDescent="0.25">
      <c r="B7100" s="55" t="s">
        <v>280</v>
      </c>
      <c r="C7100" s="46">
        <v>2088</v>
      </c>
      <c r="D7100" s="69" t="s">
        <v>29417</v>
      </c>
      <c r="E7100" s="51"/>
      <c r="F7100" s="114" t="str">
        <f>IF(INDEX(I.Facility.P2aIDNumber,2088)="","",INDEX(I.Facility.P2aIDNumber,2088))</f>
        <v/>
      </c>
      <c r="G7100" s="51"/>
      <c r="H7100" s="46" t="str">
        <f>IF(AND(I.Developer.P2a=TRUE,I.Facility.P2aFacilityCount&gt;=2088,F7100=""),"Incomplete","Complete")</f>
        <v>Complete</v>
      </c>
      <c r="I7100" s="48" t="s">
        <v>11465</v>
      </c>
    </row>
    <row r="7101" spans="2:9" ht="15" customHeight="1" x14ac:dyDescent="0.25">
      <c r="B7101" s="55" t="s">
        <v>280</v>
      </c>
      <c r="C7101" s="46">
        <v>2089</v>
      </c>
      <c r="D7101" s="69" t="s">
        <v>29417</v>
      </c>
      <c r="E7101" s="51"/>
      <c r="F7101" s="114" t="str">
        <f>IF(INDEX(I.Facility.P2aIDNumber,2089)="","",INDEX(I.Facility.P2aIDNumber,2089))</f>
        <v/>
      </c>
      <c r="G7101" s="51"/>
      <c r="H7101" s="46" t="str">
        <f>IF(AND(I.Developer.P2a=TRUE,I.Facility.P2aFacilityCount&gt;=2089,F7101=""),"Incomplete","Complete")</f>
        <v>Complete</v>
      </c>
      <c r="I7101" s="48" t="s">
        <v>11466</v>
      </c>
    </row>
    <row r="7102" spans="2:9" ht="15" customHeight="1" x14ac:dyDescent="0.25">
      <c r="B7102" s="55" t="s">
        <v>280</v>
      </c>
      <c r="C7102" s="46">
        <v>2090</v>
      </c>
      <c r="D7102" s="69" t="s">
        <v>29417</v>
      </c>
      <c r="E7102" s="51"/>
      <c r="F7102" s="114" t="str">
        <f>IF(INDEX(I.Facility.P2aIDNumber,2090)="","",INDEX(I.Facility.P2aIDNumber,2090))</f>
        <v/>
      </c>
      <c r="G7102" s="51"/>
      <c r="H7102" s="46" t="str">
        <f>IF(AND(I.Developer.P2a=TRUE,I.Facility.P2aFacilityCount&gt;=2090,F7102=""),"Incomplete","Complete")</f>
        <v>Complete</v>
      </c>
      <c r="I7102" s="48" t="s">
        <v>11467</v>
      </c>
    </row>
    <row r="7103" spans="2:9" ht="15" customHeight="1" x14ac:dyDescent="0.25">
      <c r="B7103" s="55" t="s">
        <v>280</v>
      </c>
      <c r="C7103" s="46">
        <v>2091</v>
      </c>
      <c r="D7103" s="69" t="s">
        <v>29417</v>
      </c>
      <c r="E7103" s="51"/>
      <c r="F7103" s="114" t="str">
        <f>IF(INDEX(I.Facility.P2aIDNumber,2091)="","",INDEX(I.Facility.P2aIDNumber,2091))</f>
        <v/>
      </c>
      <c r="G7103" s="51"/>
      <c r="H7103" s="46" t="str">
        <f>IF(AND(I.Developer.P2a=TRUE,I.Facility.P2aFacilityCount&gt;=2091,F7103=""),"Incomplete","Complete")</f>
        <v>Complete</v>
      </c>
      <c r="I7103" s="48" t="s">
        <v>11468</v>
      </c>
    </row>
    <row r="7104" spans="2:9" ht="15" customHeight="1" x14ac:dyDescent="0.25">
      <c r="B7104" s="55" t="s">
        <v>280</v>
      </c>
      <c r="C7104" s="46">
        <v>2092</v>
      </c>
      <c r="D7104" s="69" t="s">
        <v>29417</v>
      </c>
      <c r="E7104" s="51"/>
      <c r="F7104" s="114" t="str">
        <f>IF(INDEX(I.Facility.P2aIDNumber,2092)="","",INDEX(I.Facility.P2aIDNumber,2092))</f>
        <v/>
      </c>
      <c r="G7104" s="51"/>
      <c r="H7104" s="46" t="str">
        <f>IF(AND(I.Developer.P2a=TRUE,I.Facility.P2aFacilityCount&gt;=2092,F7104=""),"Incomplete","Complete")</f>
        <v>Complete</v>
      </c>
      <c r="I7104" s="48" t="s">
        <v>11469</v>
      </c>
    </row>
    <row r="7105" spans="2:9" ht="15" customHeight="1" x14ac:dyDescent="0.25">
      <c r="B7105" s="55" t="s">
        <v>280</v>
      </c>
      <c r="C7105" s="46">
        <v>2093</v>
      </c>
      <c r="D7105" s="69" t="s">
        <v>29417</v>
      </c>
      <c r="E7105" s="51"/>
      <c r="F7105" s="114" t="str">
        <f>IF(INDEX(I.Facility.P2aIDNumber,2093)="","",INDEX(I.Facility.P2aIDNumber,2093))</f>
        <v/>
      </c>
      <c r="G7105" s="51"/>
      <c r="H7105" s="46" t="str">
        <f>IF(AND(I.Developer.P2a=TRUE,I.Facility.P2aFacilityCount&gt;=2093,F7105=""),"Incomplete","Complete")</f>
        <v>Complete</v>
      </c>
      <c r="I7105" s="48" t="s">
        <v>11470</v>
      </c>
    </row>
    <row r="7106" spans="2:9" ht="15" customHeight="1" x14ac:dyDescent="0.25">
      <c r="B7106" s="55" t="s">
        <v>280</v>
      </c>
      <c r="C7106" s="46">
        <v>2094</v>
      </c>
      <c r="D7106" s="69" t="s">
        <v>29417</v>
      </c>
      <c r="E7106" s="51"/>
      <c r="F7106" s="114" t="str">
        <f>IF(INDEX(I.Facility.P2aIDNumber,2094)="","",INDEX(I.Facility.P2aIDNumber,2094))</f>
        <v/>
      </c>
      <c r="G7106" s="51"/>
      <c r="H7106" s="46" t="str">
        <f>IF(AND(I.Developer.P2a=TRUE,I.Facility.P2aFacilityCount&gt;=2094,F7106=""),"Incomplete","Complete")</f>
        <v>Complete</v>
      </c>
      <c r="I7106" s="48" t="s">
        <v>11471</v>
      </c>
    </row>
    <row r="7107" spans="2:9" ht="15" customHeight="1" x14ac:dyDescent="0.25">
      <c r="B7107" s="55" t="s">
        <v>280</v>
      </c>
      <c r="C7107" s="46">
        <v>2095</v>
      </c>
      <c r="D7107" s="69" t="s">
        <v>29417</v>
      </c>
      <c r="E7107" s="51"/>
      <c r="F7107" s="114" t="str">
        <f>IF(INDEX(I.Facility.P2aIDNumber,2095)="","",INDEX(I.Facility.P2aIDNumber,2095))</f>
        <v/>
      </c>
      <c r="G7107" s="51"/>
      <c r="H7107" s="46" t="str">
        <f>IF(AND(I.Developer.P2a=TRUE,I.Facility.P2aFacilityCount&gt;=2095,F7107=""),"Incomplete","Complete")</f>
        <v>Complete</v>
      </c>
      <c r="I7107" s="48" t="s">
        <v>11472</v>
      </c>
    </row>
    <row r="7108" spans="2:9" ht="15" customHeight="1" x14ac:dyDescent="0.25">
      <c r="B7108" s="55" t="s">
        <v>280</v>
      </c>
      <c r="C7108" s="46">
        <v>2096</v>
      </c>
      <c r="D7108" s="69" t="s">
        <v>29417</v>
      </c>
      <c r="E7108" s="51"/>
      <c r="F7108" s="114" t="str">
        <f>IF(INDEX(I.Facility.P2aIDNumber,2096)="","",INDEX(I.Facility.P2aIDNumber,2096))</f>
        <v/>
      </c>
      <c r="G7108" s="51"/>
      <c r="H7108" s="46" t="str">
        <f>IF(AND(I.Developer.P2a=TRUE,I.Facility.P2aFacilityCount&gt;=2096,F7108=""),"Incomplete","Complete")</f>
        <v>Complete</v>
      </c>
      <c r="I7108" s="48" t="s">
        <v>11473</v>
      </c>
    </row>
    <row r="7109" spans="2:9" ht="15" customHeight="1" x14ac:dyDescent="0.25">
      <c r="B7109" s="55" t="s">
        <v>280</v>
      </c>
      <c r="C7109" s="46">
        <v>2097</v>
      </c>
      <c r="D7109" s="69" t="s">
        <v>29417</v>
      </c>
      <c r="E7109" s="51"/>
      <c r="F7109" s="114" t="str">
        <f>IF(INDEX(I.Facility.P2aIDNumber,2097)="","",INDEX(I.Facility.P2aIDNumber,2097))</f>
        <v/>
      </c>
      <c r="G7109" s="51"/>
      <c r="H7109" s="46" t="str">
        <f>IF(AND(I.Developer.P2a=TRUE,I.Facility.P2aFacilityCount&gt;=2097,F7109=""),"Incomplete","Complete")</f>
        <v>Complete</v>
      </c>
      <c r="I7109" s="48" t="s">
        <v>11474</v>
      </c>
    </row>
    <row r="7110" spans="2:9" ht="15" customHeight="1" x14ac:dyDescent="0.25">
      <c r="B7110" s="55" t="s">
        <v>280</v>
      </c>
      <c r="C7110" s="46">
        <v>2098</v>
      </c>
      <c r="D7110" s="69" t="s">
        <v>29417</v>
      </c>
      <c r="E7110" s="51"/>
      <c r="F7110" s="114" t="str">
        <f>IF(INDEX(I.Facility.P2aIDNumber,2098)="","",INDEX(I.Facility.P2aIDNumber,2098))</f>
        <v/>
      </c>
      <c r="G7110" s="51"/>
      <c r="H7110" s="46" t="str">
        <f>IF(AND(I.Developer.P2a=TRUE,I.Facility.P2aFacilityCount&gt;=2098,F7110=""),"Incomplete","Complete")</f>
        <v>Complete</v>
      </c>
      <c r="I7110" s="48" t="s">
        <v>11475</v>
      </c>
    </row>
    <row r="7111" spans="2:9" ht="15" customHeight="1" x14ac:dyDescent="0.25">
      <c r="B7111" s="55" t="s">
        <v>280</v>
      </c>
      <c r="C7111" s="46">
        <v>2099</v>
      </c>
      <c r="D7111" s="69" t="s">
        <v>29417</v>
      </c>
      <c r="E7111" s="51"/>
      <c r="F7111" s="114" t="str">
        <f>IF(INDEX(I.Facility.P2aIDNumber,2099)="","",INDEX(I.Facility.P2aIDNumber,2099))</f>
        <v/>
      </c>
      <c r="G7111" s="51"/>
      <c r="H7111" s="46" t="str">
        <f>IF(AND(I.Developer.P2a=TRUE,I.Facility.P2aFacilityCount&gt;=2099,F7111=""),"Incomplete","Complete")</f>
        <v>Complete</v>
      </c>
      <c r="I7111" s="48" t="s">
        <v>11476</v>
      </c>
    </row>
    <row r="7112" spans="2:9" ht="15" customHeight="1" x14ac:dyDescent="0.25">
      <c r="B7112" s="55" t="s">
        <v>280</v>
      </c>
      <c r="C7112" s="46">
        <v>2100</v>
      </c>
      <c r="D7112" s="69" t="s">
        <v>29417</v>
      </c>
      <c r="E7112" s="51"/>
      <c r="F7112" s="114" t="str">
        <f>IF(INDEX(I.Facility.P2aIDNumber,2100)="","",INDEX(I.Facility.P2aIDNumber,2100))</f>
        <v/>
      </c>
      <c r="G7112" s="51"/>
      <c r="H7112" s="46" t="str">
        <f>IF(AND(I.Developer.P2a=TRUE,I.Facility.P2aFacilityCount&gt;=2100,F7112=""),"Incomplete","Complete")</f>
        <v>Complete</v>
      </c>
      <c r="I7112" s="48" t="s">
        <v>11477</v>
      </c>
    </row>
    <row r="7113" spans="2:9" ht="15" customHeight="1" x14ac:dyDescent="0.25">
      <c r="B7113" s="55" t="s">
        <v>280</v>
      </c>
      <c r="C7113" s="46">
        <v>2101</v>
      </c>
      <c r="D7113" s="69" t="s">
        <v>29417</v>
      </c>
      <c r="E7113" s="51"/>
      <c r="F7113" s="114" t="str">
        <f>IF(INDEX(I.Facility.P2aIDNumber,2101)="","",INDEX(I.Facility.P2aIDNumber,2101))</f>
        <v/>
      </c>
      <c r="G7113" s="51"/>
      <c r="H7113" s="46" t="str">
        <f>IF(AND(I.Developer.P2a=TRUE,I.Facility.P2aFacilityCount&gt;=2101,F7113=""),"Incomplete","Complete")</f>
        <v>Complete</v>
      </c>
      <c r="I7113" s="48" t="s">
        <v>11478</v>
      </c>
    </row>
    <row r="7114" spans="2:9" ht="15" customHeight="1" x14ac:dyDescent="0.25">
      <c r="B7114" s="55" t="s">
        <v>280</v>
      </c>
      <c r="C7114" s="46">
        <v>2102</v>
      </c>
      <c r="D7114" s="69" t="s">
        <v>29417</v>
      </c>
      <c r="E7114" s="51"/>
      <c r="F7114" s="114" t="str">
        <f>IF(INDEX(I.Facility.P2aIDNumber,2102)="","",INDEX(I.Facility.P2aIDNumber,2102))</f>
        <v/>
      </c>
      <c r="G7114" s="51"/>
      <c r="H7114" s="46" t="str">
        <f>IF(AND(I.Developer.P2a=TRUE,I.Facility.P2aFacilityCount&gt;=2102,F7114=""),"Incomplete","Complete")</f>
        <v>Complete</v>
      </c>
      <c r="I7114" s="48" t="s">
        <v>11479</v>
      </c>
    </row>
    <row r="7115" spans="2:9" ht="15" customHeight="1" x14ac:dyDescent="0.25">
      <c r="B7115" s="55" t="s">
        <v>280</v>
      </c>
      <c r="C7115" s="46">
        <v>2103</v>
      </c>
      <c r="D7115" s="69" t="s">
        <v>29417</v>
      </c>
      <c r="E7115" s="51"/>
      <c r="F7115" s="114" t="str">
        <f>IF(INDEX(I.Facility.P2aIDNumber,2103)="","",INDEX(I.Facility.P2aIDNumber,2103))</f>
        <v/>
      </c>
      <c r="G7115" s="51"/>
      <c r="H7115" s="46" t="str">
        <f>IF(AND(I.Developer.P2a=TRUE,I.Facility.P2aFacilityCount&gt;=2103,F7115=""),"Incomplete","Complete")</f>
        <v>Complete</v>
      </c>
      <c r="I7115" s="48" t="s">
        <v>11480</v>
      </c>
    </row>
    <row r="7116" spans="2:9" ht="15" customHeight="1" x14ac:dyDescent="0.25">
      <c r="B7116" s="55" t="s">
        <v>280</v>
      </c>
      <c r="C7116" s="46">
        <v>2104</v>
      </c>
      <c r="D7116" s="69" t="s">
        <v>29417</v>
      </c>
      <c r="E7116" s="51"/>
      <c r="F7116" s="114" t="str">
        <f>IF(INDEX(I.Facility.P2aIDNumber,2104)="","",INDEX(I.Facility.P2aIDNumber,2104))</f>
        <v/>
      </c>
      <c r="G7116" s="51"/>
      <c r="H7116" s="46" t="str">
        <f>IF(AND(I.Developer.P2a=TRUE,I.Facility.P2aFacilityCount&gt;=2104,F7116=""),"Incomplete","Complete")</f>
        <v>Complete</v>
      </c>
      <c r="I7116" s="48" t="s">
        <v>11481</v>
      </c>
    </row>
    <row r="7117" spans="2:9" ht="15" customHeight="1" x14ac:dyDescent="0.25">
      <c r="B7117" s="55" t="s">
        <v>280</v>
      </c>
      <c r="C7117" s="46">
        <v>2105</v>
      </c>
      <c r="D7117" s="69" t="s">
        <v>29417</v>
      </c>
      <c r="E7117" s="51"/>
      <c r="F7117" s="114" t="str">
        <f>IF(INDEX(I.Facility.P2aIDNumber,2105)="","",INDEX(I.Facility.P2aIDNumber,2105))</f>
        <v/>
      </c>
      <c r="G7117" s="51"/>
      <c r="H7117" s="46" t="str">
        <f>IF(AND(I.Developer.P2a=TRUE,I.Facility.P2aFacilityCount&gt;=2105,F7117=""),"Incomplete","Complete")</f>
        <v>Complete</v>
      </c>
      <c r="I7117" s="48" t="s">
        <v>11482</v>
      </c>
    </row>
    <row r="7118" spans="2:9" ht="15" customHeight="1" x14ac:dyDescent="0.25">
      <c r="B7118" s="55" t="s">
        <v>280</v>
      </c>
      <c r="C7118" s="46">
        <v>2106</v>
      </c>
      <c r="D7118" s="69" t="s">
        <v>29417</v>
      </c>
      <c r="E7118" s="51"/>
      <c r="F7118" s="114" t="str">
        <f>IF(INDEX(I.Facility.P2aIDNumber,2106)="","",INDEX(I.Facility.P2aIDNumber,2106))</f>
        <v/>
      </c>
      <c r="G7118" s="51"/>
      <c r="H7118" s="46" t="str">
        <f>IF(AND(I.Developer.P2a=TRUE,I.Facility.P2aFacilityCount&gt;=2106,F7118=""),"Incomplete","Complete")</f>
        <v>Complete</v>
      </c>
      <c r="I7118" s="48" t="s">
        <v>11483</v>
      </c>
    </row>
    <row r="7119" spans="2:9" ht="15" customHeight="1" x14ac:dyDescent="0.25">
      <c r="B7119" s="55" t="s">
        <v>280</v>
      </c>
      <c r="C7119" s="46">
        <v>2107</v>
      </c>
      <c r="D7119" s="69" t="s">
        <v>29417</v>
      </c>
      <c r="E7119" s="51"/>
      <c r="F7119" s="114" t="str">
        <f>IF(INDEX(I.Facility.P2aIDNumber,2107)="","",INDEX(I.Facility.P2aIDNumber,2107))</f>
        <v/>
      </c>
      <c r="G7119" s="51"/>
      <c r="H7119" s="46" t="str">
        <f>IF(AND(I.Developer.P2a=TRUE,I.Facility.P2aFacilityCount&gt;=2107,F7119=""),"Incomplete","Complete")</f>
        <v>Complete</v>
      </c>
      <c r="I7119" s="48" t="s">
        <v>11484</v>
      </c>
    </row>
    <row r="7120" spans="2:9" ht="15" customHeight="1" x14ac:dyDescent="0.25">
      <c r="B7120" s="55" t="s">
        <v>280</v>
      </c>
      <c r="C7120" s="46">
        <v>2108</v>
      </c>
      <c r="D7120" s="69" t="s">
        <v>29417</v>
      </c>
      <c r="E7120" s="51"/>
      <c r="F7120" s="114" t="str">
        <f>IF(INDEX(I.Facility.P2aIDNumber,2108)="","",INDEX(I.Facility.P2aIDNumber,2108))</f>
        <v/>
      </c>
      <c r="G7120" s="51"/>
      <c r="H7120" s="46" t="str">
        <f>IF(AND(I.Developer.P2a=TRUE,I.Facility.P2aFacilityCount&gt;=2108,F7120=""),"Incomplete","Complete")</f>
        <v>Complete</v>
      </c>
      <c r="I7120" s="48" t="s">
        <v>11485</v>
      </c>
    </row>
    <row r="7121" spans="2:9" ht="15" customHeight="1" x14ac:dyDescent="0.25">
      <c r="B7121" s="55" t="s">
        <v>280</v>
      </c>
      <c r="C7121" s="46">
        <v>2109</v>
      </c>
      <c r="D7121" s="69" t="s">
        <v>29417</v>
      </c>
      <c r="E7121" s="51"/>
      <c r="F7121" s="114" t="str">
        <f>IF(INDEX(I.Facility.P2aIDNumber,2109)="","",INDEX(I.Facility.P2aIDNumber,2109))</f>
        <v/>
      </c>
      <c r="G7121" s="51"/>
      <c r="H7121" s="46" t="str">
        <f>IF(AND(I.Developer.P2a=TRUE,I.Facility.P2aFacilityCount&gt;=2109,F7121=""),"Incomplete","Complete")</f>
        <v>Complete</v>
      </c>
      <c r="I7121" s="48" t="s">
        <v>11486</v>
      </c>
    </row>
    <row r="7122" spans="2:9" ht="15" customHeight="1" x14ac:dyDescent="0.25">
      <c r="B7122" s="55" t="s">
        <v>280</v>
      </c>
      <c r="C7122" s="46">
        <v>2110</v>
      </c>
      <c r="D7122" s="69" t="s">
        <v>29417</v>
      </c>
      <c r="E7122" s="51"/>
      <c r="F7122" s="114" t="str">
        <f>IF(INDEX(I.Facility.P2aIDNumber,2110)="","",INDEX(I.Facility.P2aIDNumber,2110))</f>
        <v/>
      </c>
      <c r="G7122" s="51"/>
      <c r="H7122" s="46" t="str">
        <f>IF(AND(I.Developer.P2a=TRUE,I.Facility.P2aFacilityCount&gt;=2110,F7122=""),"Incomplete","Complete")</f>
        <v>Complete</v>
      </c>
      <c r="I7122" s="48" t="s">
        <v>11487</v>
      </c>
    </row>
    <row r="7123" spans="2:9" ht="15" customHeight="1" x14ac:dyDescent="0.25">
      <c r="B7123" s="55" t="s">
        <v>280</v>
      </c>
      <c r="C7123" s="46">
        <v>2111</v>
      </c>
      <c r="D7123" s="69" t="s">
        <v>29417</v>
      </c>
      <c r="E7123" s="51"/>
      <c r="F7123" s="114" t="str">
        <f>IF(INDEX(I.Facility.P2aIDNumber,2111)="","",INDEX(I.Facility.P2aIDNumber,2111))</f>
        <v/>
      </c>
      <c r="G7123" s="51"/>
      <c r="H7123" s="46" t="str">
        <f>IF(AND(I.Developer.P2a=TRUE,I.Facility.P2aFacilityCount&gt;=2111,F7123=""),"Incomplete","Complete")</f>
        <v>Complete</v>
      </c>
      <c r="I7123" s="48" t="s">
        <v>11488</v>
      </c>
    </row>
    <row r="7124" spans="2:9" ht="15" customHeight="1" x14ac:dyDescent="0.25">
      <c r="B7124" s="55" t="s">
        <v>280</v>
      </c>
      <c r="C7124" s="46">
        <v>2112</v>
      </c>
      <c r="D7124" s="69" t="s">
        <v>29417</v>
      </c>
      <c r="E7124" s="51"/>
      <c r="F7124" s="114" t="str">
        <f>IF(INDEX(I.Facility.P2aIDNumber,2112)="","",INDEX(I.Facility.P2aIDNumber,2112))</f>
        <v/>
      </c>
      <c r="G7124" s="51"/>
      <c r="H7124" s="46" t="str">
        <f>IF(AND(I.Developer.P2a=TRUE,I.Facility.P2aFacilityCount&gt;=2112,F7124=""),"Incomplete","Complete")</f>
        <v>Complete</v>
      </c>
      <c r="I7124" s="48" t="s">
        <v>11489</v>
      </c>
    </row>
    <row r="7125" spans="2:9" ht="15" customHeight="1" x14ac:dyDescent="0.25">
      <c r="B7125" s="55" t="s">
        <v>280</v>
      </c>
      <c r="C7125" s="46">
        <v>2113</v>
      </c>
      <c r="D7125" s="69" t="s">
        <v>29417</v>
      </c>
      <c r="E7125" s="51"/>
      <c r="F7125" s="114" t="str">
        <f>IF(INDEX(I.Facility.P2aIDNumber,2113)="","",INDEX(I.Facility.P2aIDNumber,2113))</f>
        <v/>
      </c>
      <c r="G7125" s="51"/>
      <c r="H7125" s="46" t="str">
        <f>IF(AND(I.Developer.P2a=TRUE,I.Facility.P2aFacilityCount&gt;=2113,F7125=""),"Incomplete","Complete")</f>
        <v>Complete</v>
      </c>
      <c r="I7125" s="48" t="s">
        <v>11490</v>
      </c>
    </row>
    <row r="7126" spans="2:9" ht="15" customHeight="1" x14ac:dyDescent="0.25">
      <c r="B7126" s="55" t="s">
        <v>280</v>
      </c>
      <c r="C7126" s="46">
        <v>2114</v>
      </c>
      <c r="D7126" s="69" t="s">
        <v>29417</v>
      </c>
      <c r="E7126" s="51"/>
      <c r="F7126" s="114" t="str">
        <f>IF(INDEX(I.Facility.P2aIDNumber,2114)="","",INDEX(I.Facility.P2aIDNumber,2114))</f>
        <v/>
      </c>
      <c r="G7126" s="51"/>
      <c r="H7126" s="46" t="str">
        <f>IF(AND(I.Developer.P2a=TRUE,I.Facility.P2aFacilityCount&gt;=2114,F7126=""),"Incomplete","Complete")</f>
        <v>Complete</v>
      </c>
      <c r="I7126" s="48" t="s">
        <v>11491</v>
      </c>
    </row>
    <row r="7127" spans="2:9" ht="15" customHeight="1" x14ac:dyDescent="0.25">
      <c r="B7127" s="55" t="s">
        <v>280</v>
      </c>
      <c r="C7127" s="46">
        <v>2115</v>
      </c>
      <c r="D7127" s="69" t="s">
        <v>29417</v>
      </c>
      <c r="E7127" s="51"/>
      <c r="F7127" s="114" t="str">
        <f>IF(INDEX(I.Facility.P2aIDNumber,2115)="","",INDEX(I.Facility.P2aIDNumber,2115))</f>
        <v/>
      </c>
      <c r="G7127" s="51"/>
      <c r="H7127" s="46" t="str">
        <f>IF(AND(I.Developer.P2a=TRUE,I.Facility.P2aFacilityCount&gt;=2115,F7127=""),"Incomplete","Complete")</f>
        <v>Complete</v>
      </c>
      <c r="I7127" s="48" t="s">
        <v>11492</v>
      </c>
    </row>
    <row r="7128" spans="2:9" ht="15" customHeight="1" x14ac:dyDescent="0.25">
      <c r="B7128" s="55" t="s">
        <v>280</v>
      </c>
      <c r="C7128" s="46">
        <v>2116</v>
      </c>
      <c r="D7128" s="69" t="s">
        <v>29417</v>
      </c>
      <c r="E7128" s="51"/>
      <c r="F7128" s="114" t="str">
        <f>IF(INDEX(I.Facility.P2aIDNumber,2116)="","",INDEX(I.Facility.P2aIDNumber,2116))</f>
        <v/>
      </c>
      <c r="G7128" s="51"/>
      <c r="H7128" s="46" t="str">
        <f>IF(AND(I.Developer.P2a=TRUE,I.Facility.P2aFacilityCount&gt;=2116,F7128=""),"Incomplete","Complete")</f>
        <v>Complete</v>
      </c>
      <c r="I7128" s="48" t="s">
        <v>11493</v>
      </c>
    </row>
    <row r="7129" spans="2:9" ht="15" customHeight="1" x14ac:dyDescent="0.25">
      <c r="B7129" s="55" t="s">
        <v>280</v>
      </c>
      <c r="C7129" s="46">
        <v>2117</v>
      </c>
      <c r="D7129" s="69" t="s">
        <v>29417</v>
      </c>
      <c r="E7129" s="51"/>
      <c r="F7129" s="114" t="str">
        <f>IF(INDEX(I.Facility.P2aIDNumber,2117)="","",INDEX(I.Facility.P2aIDNumber,2117))</f>
        <v/>
      </c>
      <c r="G7129" s="51"/>
      <c r="H7129" s="46" t="str">
        <f>IF(AND(I.Developer.P2a=TRUE,I.Facility.P2aFacilityCount&gt;=2117,F7129=""),"Incomplete","Complete")</f>
        <v>Complete</v>
      </c>
      <c r="I7129" s="48" t="s">
        <v>11494</v>
      </c>
    </row>
    <row r="7130" spans="2:9" ht="15" customHeight="1" x14ac:dyDescent="0.25">
      <c r="B7130" s="55" t="s">
        <v>280</v>
      </c>
      <c r="C7130" s="46">
        <v>2118</v>
      </c>
      <c r="D7130" s="69" t="s">
        <v>29417</v>
      </c>
      <c r="E7130" s="51"/>
      <c r="F7130" s="114" t="str">
        <f>IF(INDEX(I.Facility.P2aIDNumber,2118)="","",INDEX(I.Facility.P2aIDNumber,2118))</f>
        <v/>
      </c>
      <c r="G7130" s="51"/>
      <c r="H7130" s="46" t="str">
        <f>IF(AND(I.Developer.P2a=TRUE,I.Facility.P2aFacilityCount&gt;=2118,F7130=""),"Incomplete","Complete")</f>
        <v>Complete</v>
      </c>
      <c r="I7130" s="48" t="s">
        <v>11495</v>
      </c>
    </row>
    <row r="7131" spans="2:9" ht="15" customHeight="1" x14ac:dyDescent="0.25">
      <c r="B7131" s="55" t="s">
        <v>280</v>
      </c>
      <c r="C7131" s="46">
        <v>2119</v>
      </c>
      <c r="D7131" s="69" t="s">
        <v>29417</v>
      </c>
      <c r="E7131" s="51"/>
      <c r="F7131" s="114" t="str">
        <f>IF(INDEX(I.Facility.P2aIDNumber,2119)="","",INDEX(I.Facility.P2aIDNumber,2119))</f>
        <v/>
      </c>
      <c r="G7131" s="51"/>
      <c r="H7131" s="46" t="str">
        <f>IF(AND(I.Developer.P2a=TRUE,I.Facility.P2aFacilityCount&gt;=2119,F7131=""),"Incomplete","Complete")</f>
        <v>Complete</v>
      </c>
      <c r="I7131" s="48" t="s">
        <v>11496</v>
      </c>
    </row>
    <row r="7132" spans="2:9" ht="15" customHeight="1" x14ac:dyDescent="0.25">
      <c r="B7132" s="55" t="s">
        <v>280</v>
      </c>
      <c r="C7132" s="46">
        <v>2120</v>
      </c>
      <c r="D7132" s="69" t="s">
        <v>29417</v>
      </c>
      <c r="E7132" s="51"/>
      <c r="F7132" s="114" t="str">
        <f>IF(INDEX(I.Facility.P2aIDNumber,2120)="","",INDEX(I.Facility.P2aIDNumber,2120))</f>
        <v/>
      </c>
      <c r="G7132" s="51"/>
      <c r="H7132" s="46" t="str">
        <f>IF(AND(I.Developer.P2a=TRUE,I.Facility.P2aFacilityCount&gt;=2120,F7132=""),"Incomplete","Complete")</f>
        <v>Complete</v>
      </c>
      <c r="I7132" s="48" t="s">
        <v>11497</v>
      </c>
    </row>
    <row r="7133" spans="2:9" ht="15" customHeight="1" x14ac:dyDescent="0.25">
      <c r="B7133" s="55" t="s">
        <v>280</v>
      </c>
      <c r="C7133" s="46">
        <v>2121</v>
      </c>
      <c r="D7133" s="69" t="s">
        <v>29417</v>
      </c>
      <c r="E7133" s="51"/>
      <c r="F7133" s="114" t="str">
        <f>IF(INDEX(I.Facility.P2aIDNumber,2121)="","",INDEX(I.Facility.P2aIDNumber,2121))</f>
        <v/>
      </c>
      <c r="G7133" s="51"/>
      <c r="H7133" s="46" t="str">
        <f>IF(AND(I.Developer.P2a=TRUE,I.Facility.P2aFacilityCount&gt;=2121,F7133=""),"Incomplete","Complete")</f>
        <v>Complete</v>
      </c>
      <c r="I7133" s="48" t="s">
        <v>11498</v>
      </c>
    </row>
    <row r="7134" spans="2:9" ht="15" customHeight="1" x14ac:dyDescent="0.25">
      <c r="B7134" s="55" t="s">
        <v>280</v>
      </c>
      <c r="C7134" s="46">
        <v>2122</v>
      </c>
      <c r="D7134" s="69" t="s">
        <v>29417</v>
      </c>
      <c r="E7134" s="51"/>
      <c r="F7134" s="114" t="str">
        <f>IF(INDEX(I.Facility.P2aIDNumber,2122)="","",INDEX(I.Facility.P2aIDNumber,2122))</f>
        <v/>
      </c>
      <c r="G7134" s="51"/>
      <c r="H7134" s="46" t="str">
        <f>IF(AND(I.Developer.P2a=TRUE,I.Facility.P2aFacilityCount&gt;=2122,F7134=""),"Incomplete","Complete")</f>
        <v>Complete</v>
      </c>
      <c r="I7134" s="48" t="s">
        <v>11499</v>
      </c>
    </row>
    <row r="7135" spans="2:9" ht="15" customHeight="1" x14ac:dyDescent="0.25">
      <c r="B7135" s="55" t="s">
        <v>280</v>
      </c>
      <c r="C7135" s="46">
        <v>2123</v>
      </c>
      <c r="D7135" s="69" t="s">
        <v>29417</v>
      </c>
      <c r="E7135" s="51"/>
      <c r="F7135" s="114" t="str">
        <f>IF(INDEX(I.Facility.P2aIDNumber,2123)="","",INDEX(I.Facility.P2aIDNumber,2123))</f>
        <v/>
      </c>
      <c r="G7135" s="51"/>
      <c r="H7135" s="46" t="str">
        <f>IF(AND(I.Developer.P2a=TRUE,I.Facility.P2aFacilityCount&gt;=2123,F7135=""),"Incomplete","Complete")</f>
        <v>Complete</v>
      </c>
      <c r="I7135" s="48" t="s">
        <v>11500</v>
      </c>
    </row>
    <row r="7136" spans="2:9" ht="15" customHeight="1" x14ac:dyDescent="0.25">
      <c r="B7136" s="55" t="s">
        <v>280</v>
      </c>
      <c r="C7136" s="46">
        <v>2124</v>
      </c>
      <c r="D7136" s="69" t="s">
        <v>29417</v>
      </c>
      <c r="E7136" s="51"/>
      <c r="F7136" s="114" t="str">
        <f>IF(INDEX(I.Facility.P2aIDNumber,2124)="","",INDEX(I.Facility.P2aIDNumber,2124))</f>
        <v/>
      </c>
      <c r="G7136" s="51"/>
      <c r="H7136" s="46" t="str">
        <f>IF(AND(I.Developer.P2a=TRUE,I.Facility.P2aFacilityCount&gt;=2124,F7136=""),"Incomplete","Complete")</f>
        <v>Complete</v>
      </c>
      <c r="I7136" s="48" t="s">
        <v>11501</v>
      </c>
    </row>
    <row r="7137" spans="2:9" ht="15" customHeight="1" x14ac:dyDescent="0.25">
      <c r="B7137" s="55" t="s">
        <v>280</v>
      </c>
      <c r="C7137" s="46">
        <v>2125</v>
      </c>
      <c r="D7137" s="69" t="s">
        <v>29417</v>
      </c>
      <c r="E7137" s="51"/>
      <c r="F7137" s="114" t="str">
        <f>IF(INDEX(I.Facility.P2aIDNumber,2125)="","",INDEX(I.Facility.P2aIDNumber,2125))</f>
        <v/>
      </c>
      <c r="G7137" s="51"/>
      <c r="H7137" s="46" t="str">
        <f>IF(AND(I.Developer.P2a=TRUE,I.Facility.P2aFacilityCount&gt;=2125,F7137=""),"Incomplete","Complete")</f>
        <v>Complete</v>
      </c>
      <c r="I7137" s="48" t="s">
        <v>11502</v>
      </c>
    </row>
    <row r="7138" spans="2:9" ht="15" customHeight="1" x14ac:dyDescent="0.25">
      <c r="B7138" s="55" t="s">
        <v>280</v>
      </c>
      <c r="C7138" s="46">
        <v>2126</v>
      </c>
      <c r="D7138" s="69" t="s">
        <v>29417</v>
      </c>
      <c r="E7138" s="51"/>
      <c r="F7138" s="114" t="str">
        <f>IF(INDEX(I.Facility.P2aIDNumber,2126)="","",INDEX(I.Facility.P2aIDNumber,2126))</f>
        <v/>
      </c>
      <c r="G7138" s="51"/>
      <c r="H7138" s="46" t="str">
        <f>IF(AND(I.Developer.P2a=TRUE,I.Facility.P2aFacilityCount&gt;=2126,F7138=""),"Incomplete","Complete")</f>
        <v>Complete</v>
      </c>
      <c r="I7138" s="48" t="s">
        <v>11503</v>
      </c>
    </row>
    <row r="7139" spans="2:9" ht="15" customHeight="1" x14ac:dyDescent="0.25">
      <c r="B7139" s="55" t="s">
        <v>280</v>
      </c>
      <c r="C7139" s="46">
        <v>2127</v>
      </c>
      <c r="D7139" s="69" t="s">
        <v>29417</v>
      </c>
      <c r="E7139" s="51"/>
      <c r="F7139" s="114" t="str">
        <f>IF(INDEX(I.Facility.P2aIDNumber,2127)="","",INDEX(I.Facility.P2aIDNumber,2127))</f>
        <v/>
      </c>
      <c r="G7139" s="51"/>
      <c r="H7139" s="46" t="str">
        <f>IF(AND(I.Developer.P2a=TRUE,I.Facility.P2aFacilityCount&gt;=2127,F7139=""),"Incomplete","Complete")</f>
        <v>Complete</v>
      </c>
      <c r="I7139" s="48" t="s">
        <v>11504</v>
      </c>
    </row>
    <row r="7140" spans="2:9" ht="15" customHeight="1" x14ac:dyDescent="0.25">
      <c r="B7140" s="55" t="s">
        <v>280</v>
      </c>
      <c r="C7140" s="46">
        <v>2128</v>
      </c>
      <c r="D7140" s="69" t="s">
        <v>29417</v>
      </c>
      <c r="E7140" s="51"/>
      <c r="F7140" s="114" t="str">
        <f>IF(INDEX(I.Facility.P2aIDNumber,2128)="","",INDEX(I.Facility.P2aIDNumber,2128))</f>
        <v/>
      </c>
      <c r="G7140" s="51"/>
      <c r="H7140" s="46" t="str">
        <f>IF(AND(I.Developer.P2a=TRUE,I.Facility.P2aFacilityCount&gt;=2128,F7140=""),"Incomplete","Complete")</f>
        <v>Complete</v>
      </c>
      <c r="I7140" s="48" t="s">
        <v>11505</v>
      </c>
    </row>
    <row r="7141" spans="2:9" ht="15" customHeight="1" x14ac:dyDescent="0.25">
      <c r="B7141" s="55" t="s">
        <v>280</v>
      </c>
      <c r="C7141" s="46">
        <v>2129</v>
      </c>
      <c r="D7141" s="69" t="s">
        <v>29417</v>
      </c>
      <c r="E7141" s="51"/>
      <c r="F7141" s="114" t="str">
        <f>IF(INDEX(I.Facility.P2aIDNumber,2129)="","",INDEX(I.Facility.P2aIDNumber,2129))</f>
        <v/>
      </c>
      <c r="G7141" s="51"/>
      <c r="H7141" s="46" t="str">
        <f>IF(AND(I.Developer.P2a=TRUE,I.Facility.P2aFacilityCount&gt;=2129,F7141=""),"Incomplete","Complete")</f>
        <v>Complete</v>
      </c>
      <c r="I7141" s="48" t="s">
        <v>11506</v>
      </c>
    </row>
    <row r="7142" spans="2:9" ht="15" customHeight="1" x14ac:dyDescent="0.25">
      <c r="B7142" s="55" t="s">
        <v>280</v>
      </c>
      <c r="C7142" s="46">
        <v>2130</v>
      </c>
      <c r="D7142" s="69" t="s">
        <v>29417</v>
      </c>
      <c r="E7142" s="51"/>
      <c r="F7142" s="114" t="str">
        <f>IF(INDEX(I.Facility.P2aIDNumber,2130)="","",INDEX(I.Facility.P2aIDNumber,2130))</f>
        <v/>
      </c>
      <c r="G7142" s="51"/>
      <c r="H7142" s="46" t="str">
        <f>IF(AND(I.Developer.P2a=TRUE,I.Facility.P2aFacilityCount&gt;=2130,F7142=""),"Incomplete","Complete")</f>
        <v>Complete</v>
      </c>
      <c r="I7142" s="48" t="s">
        <v>11507</v>
      </c>
    </row>
    <row r="7143" spans="2:9" ht="15" customHeight="1" x14ac:dyDescent="0.25">
      <c r="B7143" s="55" t="s">
        <v>280</v>
      </c>
      <c r="C7143" s="46">
        <v>2131</v>
      </c>
      <c r="D7143" s="69" t="s">
        <v>29417</v>
      </c>
      <c r="E7143" s="51"/>
      <c r="F7143" s="114" t="str">
        <f>IF(INDEX(I.Facility.P2aIDNumber,2131)="","",INDEX(I.Facility.P2aIDNumber,2131))</f>
        <v/>
      </c>
      <c r="G7143" s="51"/>
      <c r="H7143" s="46" t="str">
        <f>IF(AND(I.Developer.P2a=TRUE,I.Facility.P2aFacilityCount&gt;=2131,F7143=""),"Incomplete","Complete")</f>
        <v>Complete</v>
      </c>
      <c r="I7143" s="48" t="s">
        <v>11508</v>
      </c>
    </row>
    <row r="7144" spans="2:9" ht="15" customHeight="1" x14ac:dyDescent="0.25">
      <c r="B7144" s="55" t="s">
        <v>280</v>
      </c>
      <c r="C7144" s="46">
        <v>2132</v>
      </c>
      <c r="D7144" s="69" t="s">
        <v>29417</v>
      </c>
      <c r="E7144" s="51"/>
      <c r="F7144" s="114" t="str">
        <f>IF(INDEX(I.Facility.P2aIDNumber,2132)="","",INDEX(I.Facility.P2aIDNumber,2132))</f>
        <v/>
      </c>
      <c r="G7144" s="51"/>
      <c r="H7144" s="46" t="str">
        <f>IF(AND(I.Developer.P2a=TRUE,I.Facility.P2aFacilityCount&gt;=2132,F7144=""),"Incomplete","Complete")</f>
        <v>Complete</v>
      </c>
      <c r="I7144" s="48" t="s">
        <v>11509</v>
      </c>
    </row>
    <row r="7145" spans="2:9" ht="15" customHeight="1" x14ac:dyDescent="0.25">
      <c r="B7145" s="55" t="s">
        <v>280</v>
      </c>
      <c r="C7145" s="46">
        <v>2133</v>
      </c>
      <c r="D7145" s="69" t="s">
        <v>29417</v>
      </c>
      <c r="E7145" s="51"/>
      <c r="F7145" s="114" t="str">
        <f>IF(INDEX(I.Facility.P2aIDNumber,2133)="","",INDEX(I.Facility.P2aIDNumber,2133))</f>
        <v/>
      </c>
      <c r="G7145" s="51"/>
      <c r="H7145" s="46" t="str">
        <f>IF(AND(I.Developer.P2a=TRUE,I.Facility.P2aFacilityCount&gt;=2133,F7145=""),"Incomplete","Complete")</f>
        <v>Complete</v>
      </c>
      <c r="I7145" s="48" t="s">
        <v>11510</v>
      </c>
    </row>
    <row r="7146" spans="2:9" ht="15" customHeight="1" x14ac:dyDescent="0.25">
      <c r="B7146" s="55" t="s">
        <v>280</v>
      </c>
      <c r="C7146" s="46">
        <v>2134</v>
      </c>
      <c r="D7146" s="69" t="s">
        <v>29417</v>
      </c>
      <c r="E7146" s="51"/>
      <c r="F7146" s="114" t="str">
        <f>IF(INDEX(I.Facility.P2aIDNumber,2134)="","",INDEX(I.Facility.P2aIDNumber,2134))</f>
        <v/>
      </c>
      <c r="G7146" s="51"/>
      <c r="H7146" s="46" t="str">
        <f>IF(AND(I.Developer.P2a=TRUE,I.Facility.P2aFacilityCount&gt;=2134,F7146=""),"Incomplete","Complete")</f>
        <v>Complete</v>
      </c>
      <c r="I7146" s="48" t="s">
        <v>11511</v>
      </c>
    </row>
    <row r="7147" spans="2:9" ht="15" customHeight="1" x14ac:dyDescent="0.25">
      <c r="B7147" s="55" t="s">
        <v>280</v>
      </c>
      <c r="C7147" s="46">
        <v>2135</v>
      </c>
      <c r="D7147" s="69" t="s">
        <v>29417</v>
      </c>
      <c r="E7147" s="51"/>
      <c r="F7147" s="114" t="str">
        <f>IF(INDEX(I.Facility.P2aIDNumber,2135)="","",INDEX(I.Facility.P2aIDNumber,2135))</f>
        <v/>
      </c>
      <c r="G7147" s="51"/>
      <c r="H7147" s="46" t="str">
        <f>IF(AND(I.Developer.P2a=TRUE,I.Facility.P2aFacilityCount&gt;=2135,F7147=""),"Incomplete","Complete")</f>
        <v>Complete</v>
      </c>
      <c r="I7147" s="48" t="s">
        <v>11512</v>
      </c>
    </row>
    <row r="7148" spans="2:9" ht="15" customHeight="1" x14ac:dyDescent="0.25">
      <c r="B7148" s="55" t="s">
        <v>280</v>
      </c>
      <c r="C7148" s="46">
        <v>2136</v>
      </c>
      <c r="D7148" s="69" t="s">
        <v>29417</v>
      </c>
      <c r="E7148" s="51"/>
      <c r="F7148" s="114" t="str">
        <f>IF(INDEX(I.Facility.P2aIDNumber,2136)="","",INDEX(I.Facility.P2aIDNumber,2136))</f>
        <v/>
      </c>
      <c r="G7148" s="51"/>
      <c r="H7148" s="46" t="str">
        <f>IF(AND(I.Developer.P2a=TRUE,I.Facility.P2aFacilityCount&gt;=2136,F7148=""),"Incomplete","Complete")</f>
        <v>Complete</v>
      </c>
      <c r="I7148" s="48" t="s">
        <v>11513</v>
      </c>
    </row>
    <row r="7149" spans="2:9" ht="15" customHeight="1" x14ac:dyDescent="0.25">
      <c r="B7149" s="55" t="s">
        <v>280</v>
      </c>
      <c r="C7149" s="46">
        <v>2137</v>
      </c>
      <c r="D7149" s="69" t="s">
        <v>29417</v>
      </c>
      <c r="E7149" s="51"/>
      <c r="F7149" s="114" t="str">
        <f>IF(INDEX(I.Facility.P2aIDNumber,2137)="","",INDEX(I.Facility.P2aIDNumber,2137))</f>
        <v/>
      </c>
      <c r="G7149" s="51"/>
      <c r="H7149" s="46" t="str">
        <f>IF(AND(I.Developer.P2a=TRUE,I.Facility.P2aFacilityCount&gt;=2137,F7149=""),"Incomplete","Complete")</f>
        <v>Complete</v>
      </c>
      <c r="I7149" s="48" t="s">
        <v>11514</v>
      </c>
    </row>
    <row r="7150" spans="2:9" ht="15" customHeight="1" x14ac:dyDescent="0.25">
      <c r="B7150" s="55" t="s">
        <v>280</v>
      </c>
      <c r="C7150" s="46">
        <v>2138</v>
      </c>
      <c r="D7150" s="69" t="s">
        <v>29417</v>
      </c>
      <c r="E7150" s="51"/>
      <c r="F7150" s="114" t="str">
        <f>IF(INDEX(I.Facility.P2aIDNumber,2138)="","",INDEX(I.Facility.P2aIDNumber,2138))</f>
        <v/>
      </c>
      <c r="G7150" s="51"/>
      <c r="H7150" s="46" t="str">
        <f>IF(AND(I.Developer.P2a=TRUE,I.Facility.P2aFacilityCount&gt;=2138,F7150=""),"Incomplete","Complete")</f>
        <v>Complete</v>
      </c>
      <c r="I7150" s="48" t="s">
        <v>11515</v>
      </c>
    </row>
    <row r="7151" spans="2:9" ht="15" customHeight="1" x14ac:dyDescent="0.25">
      <c r="B7151" s="55" t="s">
        <v>280</v>
      </c>
      <c r="C7151" s="46">
        <v>2139</v>
      </c>
      <c r="D7151" s="69" t="s">
        <v>29417</v>
      </c>
      <c r="E7151" s="51"/>
      <c r="F7151" s="114" t="str">
        <f>IF(INDEX(I.Facility.P2aIDNumber,2139)="","",INDEX(I.Facility.P2aIDNumber,2139))</f>
        <v/>
      </c>
      <c r="G7151" s="51"/>
      <c r="H7151" s="46" t="str">
        <f>IF(AND(I.Developer.P2a=TRUE,I.Facility.P2aFacilityCount&gt;=2139,F7151=""),"Incomplete","Complete")</f>
        <v>Complete</v>
      </c>
      <c r="I7151" s="48" t="s">
        <v>11516</v>
      </c>
    </row>
    <row r="7152" spans="2:9" ht="15" customHeight="1" x14ac:dyDescent="0.25">
      <c r="B7152" s="55" t="s">
        <v>280</v>
      </c>
      <c r="C7152" s="46">
        <v>2140</v>
      </c>
      <c r="D7152" s="69" t="s">
        <v>29417</v>
      </c>
      <c r="E7152" s="51"/>
      <c r="F7152" s="114" t="str">
        <f>IF(INDEX(I.Facility.P2aIDNumber,2140)="","",INDEX(I.Facility.P2aIDNumber,2140))</f>
        <v/>
      </c>
      <c r="G7152" s="51"/>
      <c r="H7152" s="46" t="str">
        <f>IF(AND(I.Developer.P2a=TRUE,I.Facility.P2aFacilityCount&gt;=2140,F7152=""),"Incomplete","Complete")</f>
        <v>Complete</v>
      </c>
      <c r="I7152" s="48" t="s">
        <v>11517</v>
      </c>
    </row>
    <row r="7153" spans="2:9" ht="15" customHeight="1" x14ac:dyDescent="0.25">
      <c r="B7153" s="55" t="s">
        <v>280</v>
      </c>
      <c r="C7153" s="46">
        <v>2141</v>
      </c>
      <c r="D7153" s="69" t="s">
        <v>29417</v>
      </c>
      <c r="E7153" s="51"/>
      <c r="F7153" s="114" t="str">
        <f>IF(INDEX(I.Facility.P2aIDNumber,2141)="","",INDEX(I.Facility.P2aIDNumber,2141))</f>
        <v/>
      </c>
      <c r="G7153" s="51"/>
      <c r="H7153" s="46" t="str">
        <f>IF(AND(I.Developer.P2a=TRUE,I.Facility.P2aFacilityCount&gt;=2141,F7153=""),"Incomplete","Complete")</f>
        <v>Complete</v>
      </c>
      <c r="I7153" s="48" t="s">
        <v>11518</v>
      </c>
    </row>
    <row r="7154" spans="2:9" ht="15" customHeight="1" x14ac:dyDescent="0.25">
      <c r="B7154" s="55" t="s">
        <v>280</v>
      </c>
      <c r="C7154" s="46">
        <v>2142</v>
      </c>
      <c r="D7154" s="69" t="s">
        <v>29417</v>
      </c>
      <c r="E7154" s="51"/>
      <c r="F7154" s="114" t="str">
        <f>IF(INDEX(I.Facility.P2aIDNumber,2142)="","",INDEX(I.Facility.P2aIDNumber,2142))</f>
        <v/>
      </c>
      <c r="G7154" s="51"/>
      <c r="H7154" s="46" t="str">
        <f>IF(AND(I.Developer.P2a=TRUE,I.Facility.P2aFacilityCount&gt;=2142,F7154=""),"Incomplete","Complete")</f>
        <v>Complete</v>
      </c>
      <c r="I7154" s="48" t="s">
        <v>11519</v>
      </c>
    </row>
    <row r="7155" spans="2:9" ht="15" customHeight="1" x14ac:dyDescent="0.25">
      <c r="B7155" s="55" t="s">
        <v>280</v>
      </c>
      <c r="C7155" s="46">
        <v>2143</v>
      </c>
      <c r="D7155" s="69" t="s">
        <v>29417</v>
      </c>
      <c r="E7155" s="51"/>
      <c r="F7155" s="114" t="str">
        <f>IF(INDEX(I.Facility.P2aIDNumber,2143)="","",INDEX(I.Facility.P2aIDNumber,2143))</f>
        <v/>
      </c>
      <c r="G7155" s="51"/>
      <c r="H7155" s="46" t="str">
        <f>IF(AND(I.Developer.P2a=TRUE,I.Facility.P2aFacilityCount&gt;=2143,F7155=""),"Incomplete","Complete")</f>
        <v>Complete</v>
      </c>
      <c r="I7155" s="48" t="s">
        <v>11520</v>
      </c>
    </row>
    <row r="7156" spans="2:9" ht="15" customHeight="1" x14ac:dyDescent="0.25">
      <c r="B7156" s="55" t="s">
        <v>280</v>
      </c>
      <c r="C7156" s="46">
        <v>2144</v>
      </c>
      <c r="D7156" s="69" t="s">
        <v>29417</v>
      </c>
      <c r="E7156" s="51"/>
      <c r="F7156" s="114" t="str">
        <f>IF(INDEX(I.Facility.P2aIDNumber,2144)="","",INDEX(I.Facility.P2aIDNumber,2144))</f>
        <v/>
      </c>
      <c r="G7156" s="51"/>
      <c r="H7156" s="46" t="str">
        <f>IF(AND(I.Developer.P2a=TRUE,I.Facility.P2aFacilityCount&gt;=2144,F7156=""),"Incomplete","Complete")</f>
        <v>Complete</v>
      </c>
      <c r="I7156" s="48" t="s">
        <v>11521</v>
      </c>
    </row>
    <row r="7157" spans="2:9" ht="15" customHeight="1" x14ac:dyDescent="0.25">
      <c r="B7157" s="55" t="s">
        <v>280</v>
      </c>
      <c r="C7157" s="46">
        <v>2145</v>
      </c>
      <c r="D7157" s="69" t="s">
        <v>29417</v>
      </c>
      <c r="E7157" s="51"/>
      <c r="F7157" s="114" t="str">
        <f>IF(INDEX(I.Facility.P2aIDNumber,2145)="","",INDEX(I.Facility.P2aIDNumber,2145))</f>
        <v/>
      </c>
      <c r="G7157" s="51"/>
      <c r="H7157" s="46" t="str">
        <f>IF(AND(I.Developer.P2a=TRUE,I.Facility.P2aFacilityCount&gt;=2145,F7157=""),"Incomplete","Complete")</f>
        <v>Complete</v>
      </c>
      <c r="I7157" s="48" t="s">
        <v>11522</v>
      </c>
    </row>
    <row r="7158" spans="2:9" ht="15" customHeight="1" x14ac:dyDescent="0.25">
      <c r="B7158" s="55" t="s">
        <v>280</v>
      </c>
      <c r="C7158" s="46">
        <v>2146</v>
      </c>
      <c r="D7158" s="69" t="s">
        <v>29417</v>
      </c>
      <c r="E7158" s="51"/>
      <c r="F7158" s="114" t="str">
        <f>IF(INDEX(I.Facility.P2aIDNumber,2146)="","",INDEX(I.Facility.P2aIDNumber,2146))</f>
        <v/>
      </c>
      <c r="G7158" s="51"/>
      <c r="H7158" s="46" t="str">
        <f>IF(AND(I.Developer.P2a=TRUE,I.Facility.P2aFacilityCount&gt;=2146,F7158=""),"Incomplete","Complete")</f>
        <v>Complete</v>
      </c>
      <c r="I7158" s="48" t="s">
        <v>11523</v>
      </c>
    </row>
    <row r="7159" spans="2:9" ht="15" customHeight="1" x14ac:dyDescent="0.25">
      <c r="B7159" s="55" t="s">
        <v>280</v>
      </c>
      <c r="C7159" s="46">
        <v>2147</v>
      </c>
      <c r="D7159" s="69" t="s">
        <v>29417</v>
      </c>
      <c r="E7159" s="51"/>
      <c r="F7159" s="114" t="str">
        <f>IF(INDEX(I.Facility.P2aIDNumber,2147)="","",INDEX(I.Facility.P2aIDNumber,2147))</f>
        <v/>
      </c>
      <c r="G7159" s="51"/>
      <c r="H7159" s="46" t="str">
        <f>IF(AND(I.Developer.P2a=TRUE,I.Facility.P2aFacilityCount&gt;=2147,F7159=""),"Incomplete","Complete")</f>
        <v>Complete</v>
      </c>
      <c r="I7159" s="48" t="s">
        <v>11524</v>
      </c>
    </row>
    <row r="7160" spans="2:9" ht="15" customHeight="1" x14ac:dyDescent="0.25">
      <c r="B7160" s="55" t="s">
        <v>280</v>
      </c>
      <c r="C7160" s="46">
        <v>2148</v>
      </c>
      <c r="D7160" s="69" t="s">
        <v>29417</v>
      </c>
      <c r="E7160" s="51"/>
      <c r="F7160" s="114" t="str">
        <f>IF(INDEX(I.Facility.P2aIDNumber,2148)="","",INDEX(I.Facility.P2aIDNumber,2148))</f>
        <v/>
      </c>
      <c r="G7160" s="51"/>
      <c r="H7160" s="46" t="str">
        <f>IF(AND(I.Developer.P2a=TRUE,I.Facility.P2aFacilityCount&gt;=2148,F7160=""),"Incomplete","Complete")</f>
        <v>Complete</v>
      </c>
      <c r="I7160" s="48" t="s">
        <v>11525</v>
      </c>
    </row>
    <row r="7161" spans="2:9" ht="15" customHeight="1" x14ac:dyDescent="0.25">
      <c r="B7161" s="55" t="s">
        <v>280</v>
      </c>
      <c r="C7161" s="46">
        <v>2149</v>
      </c>
      <c r="D7161" s="69" t="s">
        <v>29417</v>
      </c>
      <c r="E7161" s="51"/>
      <c r="F7161" s="114" t="str">
        <f>IF(INDEX(I.Facility.P2aIDNumber,2149)="","",INDEX(I.Facility.P2aIDNumber,2149))</f>
        <v/>
      </c>
      <c r="G7161" s="51"/>
      <c r="H7161" s="46" t="str">
        <f>IF(AND(I.Developer.P2a=TRUE,I.Facility.P2aFacilityCount&gt;=2149,F7161=""),"Incomplete","Complete")</f>
        <v>Complete</v>
      </c>
      <c r="I7161" s="48" t="s">
        <v>11526</v>
      </c>
    </row>
    <row r="7162" spans="2:9" ht="15" customHeight="1" x14ac:dyDescent="0.25">
      <c r="B7162" s="55" t="s">
        <v>280</v>
      </c>
      <c r="C7162" s="46">
        <v>2150</v>
      </c>
      <c r="D7162" s="69" t="s">
        <v>29417</v>
      </c>
      <c r="E7162" s="51"/>
      <c r="F7162" s="114" t="str">
        <f>IF(INDEX(I.Facility.P2aIDNumber,2150)="","",INDEX(I.Facility.P2aIDNumber,2150))</f>
        <v/>
      </c>
      <c r="G7162" s="51"/>
      <c r="H7162" s="46" t="str">
        <f>IF(AND(I.Developer.P2a=TRUE,I.Facility.P2aFacilityCount&gt;=2150,F7162=""),"Incomplete","Complete")</f>
        <v>Complete</v>
      </c>
      <c r="I7162" s="48" t="s">
        <v>11527</v>
      </c>
    </row>
    <row r="7163" spans="2:9" ht="15" customHeight="1" x14ac:dyDescent="0.25">
      <c r="B7163" s="55" t="s">
        <v>280</v>
      </c>
      <c r="C7163" s="46">
        <v>2151</v>
      </c>
      <c r="D7163" s="69" t="s">
        <v>29417</v>
      </c>
      <c r="E7163" s="51"/>
      <c r="F7163" s="114" t="str">
        <f>IF(INDEX(I.Facility.P2aIDNumber,2151)="","",INDEX(I.Facility.P2aIDNumber,2151))</f>
        <v/>
      </c>
      <c r="G7163" s="51"/>
      <c r="H7163" s="46" t="str">
        <f>IF(AND(I.Developer.P2a=TRUE,I.Facility.P2aFacilityCount&gt;=2151,F7163=""),"Incomplete","Complete")</f>
        <v>Complete</v>
      </c>
      <c r="I7163" s="48" t="s">
        <v>11528</v>
      </c>
    </row>
    <row r="7164" spans="2:9" ht="15" customHeight="1" x14ac:dyDescent="0.25">
      <c r="B7164" s="55" t="s">
        <v>280</v>
      </c>
      <c r="C7164" s="46">
        <v>2152</v>
      </c>
      <c r="D7164" s="69" t="s">
        <v>29417</v>
      </c>
      <c r="E7164" s="51"/>
      <c r="F7164" s="114" t="str">
        <f>IF(INDEX(I.Facility.P2aIDNumber,2152)="","",INDEX(I.Facility.P2aIDNumber,2152))</f>
        <v/>
      </c>
      <c r="G7164" s="51"/>
      <c r="H7164" s="46" t="str">
        <f>IF(AND(I.Developer.P2a=TRUE,I.Facility.P2aFacilityCount&gt;=2152,F7164=""),"Incomplete","Complete")</f>
        <v>Complete</v>
      </c>
      <c r="I7164" s="48" t="s">
        <v>11529</v>
      </c>
    </row>
    <row r="7165" spans="2:9" ht="15" customHeight="1" x14ac:dyDescent="0.25">
      <c r="B7165" s="55" t="s">
        <v>280</v>
      </c>
      <c r="C7165" s="46">
        <v>2153</v>
      </c>
      <c r="D7165" s="69" t="s">
        <v>29417</v>
      </c>
      <c r="E7165" s="51"/>
      <c r="F7165" s="114" t="str">
        <f>IF(INDEX(I.Facility.P2aIDNumber,2153)="","",INDEX(I.Facility.P2aIDNumber,2153))</f>
        <v/>
      </c>
      <c r="G7165" s="51"/>
      <c r="H7165" s="46" t="str">
        <f>IF(AND(I.Developer.P2a=TRUE,I.Facility.P2aFacilityCount&gt;=2153,F7165=""),"Incomplete","Complete")</f>
        <v>Complete</v>
      </c>
      <c r="I7165" s="48" t="s">
        <v>11530</v>
      </c>
    </row>
    <row r="7166" spans="2:9" ht="15" customHeight="1" x14ac:dyDescent="0.25">
      <c r="B7166" s="55" t="s">
        <v>280</v>
      </c>
      <c r="C7166" s="46">
        <v>2154</v>
      </c>
      <c r="D7166" s="69" t="s">
        <v>29417</v>
      </c>
      <c r="E7166" s="51"/>
      <c r="F7166" s="114" t="str">
        <f>IF(INDEX(I.Facility.P2aIDNumber,2154)="","",INDEX(I.Facility.P2aIDNumber,2154))</f>
        <v/>
      </c>
      <c r="G7166" s="51"/>
      <c r="H7166" s="46" t="str">
        <f>IF(AND(I.Developer.P2a=TRUE,I.Facility.P2aFacilityCount&gt;=2154,F7166=""),"Incomplete","Complete")</f>
        <v>Complete</v>
      </c>
      <c r="I7166" s="48" t="s">
        <v>11531</v>
      </c>
    </row>
    <row r="7167" spans="2:9" ht="15" customHeight="1" x14ac:dyDescent="0.25">
      <c r="B7167" s="55" t="s">
        <v>280</v>
      </c>
      <c r="C7167" s="46">
        <v>2155</v>
      </c>
      <c r="D7167" s="69" t="s">
        <v>29417</v>
      </c>
      <c r="E7167" s="51"/>
      <c r="F7167" s="114" t="str">
        <f>IF(INDEX(I.Facility.P2aIDNumber,2155)="","",INDEX(I.Facility.P2aIDNumber,2155))</f>
        <v/>
      </c>
      <c r="G7167" s="51"/>
      <c r="H7167" s="46" t="str">
        <f>IF(AND(I.Developer.P2a=TRUE,I.Facility.P2aFacilityCount&gt;=2155,F7167=""),"Incomplete","Complete")</f>
        <v>Complete</v>
      </c>
      <c r="I7167" s="48" t="s">
        <v>11532</v>
      </c>
    </row>
    <row r="7168" spans="2:9" ht="15" customHeight="1" x14ac:dyDescent="0.25">
      <c r="B7168" s="55" t="s">
        <v>280</v>
      </c>
      <c r="C7168" s="46">
        <v>2156</v>
      </c>
      <c r="D7168" s="69" t="s">
        <v>29417</v>
      </c>
      <c r="E7168" s="51"/>
      <c r="F7168" s="114" t="str">
        <f>IF(INDEX(I.Facility.P2aIDNumber,2156)="","",INDEX(I.Facility.P2aIDNumber,2156))</f>
        <v/>
      </c>
      <c r="G7168" s="51"/>
      <c r="H7168" s="46" t="str">
        <f>IF(AND(I.Developer.P2a=TRUE,I.Facility.P2aFacilityCount&gt;=2156,F7168=""),"Incomplete","Complete")</f>
        <v>Complete</v>
      </c>
      <c r="I7168" s="48" t="s">
        <v>11533</v>
      </c>
    </row>
    <row r="7169" spans="2:9" ht="15" customHeight="1" x14ac:dyDescent="0.25">
      <c r="B7169" s="55" t="s">
        <v>280</v>
      </c>
      <c r="C7169" s="46">
        <v>2157</v>
      </c>
      <c r="D7169" s="69" t="s">
        <v>29417</v>
      </c>
      <c r="E7169" s="51"/>
      <c r="F7169" s="114" t="str">
        <f>IF(INDEX(I.Facility.P2aIDNumber,2157)="","",INDEX(I.Facility.P2aIDNumber,2157))</f>
        <v/>
      </c>
      <c r="G7169" s="51"/>
      <c r="H7169" s="46" t="str">
        <f>IF(AND(I.Developer.P2a=TRUE,I.Facility.P2aFacilityCount&gt;=2157,F7169=""),"Incomplete","Complete")</f>
        <v>Complete</v>
      </c>
      <c r="I7169" s="48" t="s">
        <v>11534</v>
      </c>
    </row>
    <row r="7170" spans="2:9" ht="15" customHeight="1" x14ac:dyDescent="0.25">
      <c r="B7170" s="55" t="s">
        <v>280</v>
      </c>
      <c r="C7170" s="46">
        <v>2158</v>
      </c>
      <c r="D7170" s="69" t="s">
        <v>29417</v>
      </c>
      <c r="E7170" s="51"/>
      <c r="F7170" s="114" t="str">
        <f>IF(INDEX(I.Facility.P2aIDNumber,2158)="","",INDEX(I.Facility.P2aIDNumber,2158))</f>
        <v/>
      </c>
      <c r="G7170" s="51"/>
      <c r="H7170" s="46" t="str">
        <f>IF(AND(I.Developer.P2a=TRUE,I.Facility.P2aFacilityCount&gt;=2158,F7170=""),"Incomplete","Complete")</f>
        <v>Complete</v>
      </c>
      <c r="I7170" s="48" t="s">
        <v>11535</v>
      </c>
    </row>
    <row r="7171" spans="2:9" ht="15" customHeight="1" x14ac:dyDescent="0.25">
      <c r="B7171" s="55" t="s">
        <v>280</v>
      </c>
      <c r="C7171" s="46">
        <v>2159</v>
      </c>
      <c r="D7171" s="69" t="s">
        <v>29417</v>
      </c>
      <c r="E7171" s="51"/>
      <c r="F7171" s="114" t="str">
        <f>IF(INDEX(I.Facility.P2aIDNumber,2159)="","",INDEX(I.Facility.P2aIDNumber,2159))</f>
        <v/>
      </c>
      <c r="G7171" s="51"/>
      <c r="H7171" s="46" t="str">
        <f>IF(AND(I.Developer.P2a=TRUE,I.Facility.P2aFacilityCount&gt;=2159,F7171=""),"Incomplete","Complete")</f>
        <v>Complete</v>
      </c>
      <c r="I7171" s="48" t="s">
        <v>11536</v>
      </c>
    </row>
    <row r="7172" spans="2:9" ht="15" customHeight="1" x14ac:dyDescent="0.25">
      <c r="B7172" s="55" t="s">
        <v>280</v>
      </c>
      <c r="C7172" s="46">
        <v>2160</v>
      </c>
      <c r="D7172" s="69" t="s">
        <v>29417</v>
      </c>
      <c r="E7172" s="51"/>
      <c r="F7172" s="114" t="str">
        <f>IF(INDEX(I.Facility.P2aIDNumber,2160)="","",INDEX(I.Facility.P2aIDNumber,2160))</f>
        <v/>
      </c>
      <c r="G7172" s="51"/>
      <c r="H7172" s="46" t="str">
        <f>IF(AND(I.Developer.P2a=TRUE,I.Facility.P2aFacilityCount&gt;=2160,F7172=""),"Incomplete","Complete")</f>
        <v>Complete</v>
      </c>
      <c r="I7172" s="48" t="s">
        <v>11537</v>
      </c>
    </row>
    <row r="7173" spans="2:9" ht="15" customHeight="1" x14ac:dyDescent="0.25">
      <c r="B7173" s="55" t="s">
        <v>280</v>
      </c>
      <c r="C7173" s="46">
        <v>2161</v>
      </c>
      <c r="D7173" s="69" t="s">
        <v>29417</v>
      </c>
      <c r="E7173" s="51"/>
      <c r="F7173" s="114" t="str">
        <f>IF(INDEX(I.Facility.P2aIDNumber,2161)="","",INDEX(I.Facility.P2aIDNumber,2161))</f>
        <v/>
      </c>
      <c r="G7173" s="51"/>
      <c r="H7173" s="46" t="str">
        <f>IF(AND(I.Developer.P2a=TRUE,I.Facility.P2aFacilityCount&gt;=2161,F7173=""),"Incomplete","Complete")</f>
        <v>Complete</v>
      </c>
      <c r="I7173" s="48" t="s">
        <v>11538</v>
      </c>
    </row>
    <row r="7174" spans="2:9" ht="15" customHeight="1" x14ac:dyDescent="0.25">
      <c r="B7174" s="55" t="s">
        <v>280</v>
      </c>
      <c r="C7174" s="46">
        <v>2162</v>
      </c>
      <c r="D7174" s="69" t="s">
        <v>29417</v>
      </c>
      <c r="E7174" s="51"/>
      <c r="F7174" s="114" t="str">
        <f>IF(INDEX(I.Facility.P2aIDNumber,2162)="","",INDEX(I.Facility.P2aIDNumber,2162))</f>
        <v/>
      </c>
      <c r="G7174" s="51"/>
      <c r="H7174" s="46" t="str">
        <f>IF(AND(I.Developer.P2a=TRUE,I.Facility.P2aFacilityCount&gt;=2162,F7174=""),"Incomplete","Complete")</f>
        <v>Complete</v>
      </c>
      <c r="I7174" s="48" t="s">
        <v>11539</v>
      </c>
    </row>
    <row r="7175" spans="2:9" ht="15" customHeight="1" x14ac:dyDescent="0.25">
      <c r="B7175" s="55" t="s">
        <v>280</v>
      </c>
      <c r="C7175" s="46">
        <v>2163</v>
      </c>
      <c r="D7175" s="69" t="s">
        <v>29417</v>
      </c>
      <c r="E7175" s="51"/>
      <c r="F7175" s="114" t="str">
        <f>IF(INDEX(I.Facility.P2aIDNumber,2163)="","",INDEX(I.Facility.P2aIDNumber,2163))</f>
        <v/>
      </c>
      <c r="G7175" s="51"/>
      <c r="H7175" s="46" t="str">
        <f>IF(AND(I.Developer.P2a=TRUE,I.Facility.P2aFacilityCount&gt;=2163,F7175=""),"Incomplete","Complete")</f>
        <v>Complete</v>
      </c>
      <c r="I7175" s="48" t="s">
        <v>11540</v>
      </c>
    </row>
    <row r="7176" spans="2:9" ht="15" customHeight="1" x14ac:dyDescent="0.25">
      <c r="B7176" s="55" t="s">
        <v>280</v>
      </c>
      <c r="C7176" s="46">
        <v>2164</v>
      </c>
      <c r="D7176" s="69" t="s">
        <v>29417</v>
      </c>
      <c r="E7176" s="51"/>
      <c r="F7176" s="114" t="str">
        <f>IF(INDEX(I.Facility.P2aIDNumber,2164)="","",INDEX(I.Facility.P2aIDNumber,2164))</f>
        <v/>
      </c>
      <c r="G7176" s="51"/>
      <c r="H7176" s="46" t="str">
        <f>IF(AND(I.Developer.P2a=TRUE,I.Facility.P2aFacilityCount&gt;=2164,F7176=""),"Incomplete","Complete")</f>
        <v>Complete</v>
      </c>
      <c r="I7176" s="48" t="s">
        <v>11541</v>
      </c>
    </row>
    <row r="7177" spans="2:9" ht="15" customHeight="1" x14ac:dyDescent="0.25">
      <c r="B7177" s="55" t="s">
        <v>280</v>
      </c>
      <c r="C7177" s="46">
        <v>2165</v>
      </c>
      <c r="D7177" s="69" t="s">
        <v>29417</v>
      </c>
      <c r="E7177" s="51"/>
      <c r="F7177" s="114" t="str">
        <f>IF(INDEX(I.Facility.P2aIDNumber,2165)="","",INDEX(I.Facility.P2aIDNumber,2165))</f>
        <v/>
      </c>
      <c r="G7177" s="51"/>
      <c r="H7177" s="46" t="str">
        <f>IF(AND(I.Developer.P2a=TRUE,I.Facility.P2aFacilityCount&gt;=2165,F7177=""),"Incomplete","Complete")</f>
        <v>Complete</v>
      </c>
      <c r="I7177" s="48" t="s">
        <v>11542</v>
      </c>
    </row>
    <row r="7178" spans="2:9" ht="15" customHeight="1" x14ac:dyDescent="0.25">
      <c r="B7178" s="55" t="s">
        <v>280</v>
      </c>
      <c r="C7178" s="46">
        <v>2166</v>
      </c>
      <c r="D7178" s="69" t="s">
        <v>29417</v>
      </c>
      <c r="E7178" s="51"/>
      <c r="F7178" s="114" t="str">
        <f>IF(INDEX(I.Facility.P2aIDNumber,2166)="","",INDEX(I.Facility.P2aIDNumber,2166))</f>
        <v/>
      </c>
      <c r="G7178" s="51"/>
      <c r="H7178" s="46" t="str">
        <f>IF(AND(I.Developer.P2a=TRUE,I.Facility.P2aFacilityCount&gt;=2166,F7178=""),"Incomplete","Complete")</f>
        <v>Complete</v>
      </c>
      <c r="I7178" s="48" t="s">
        <v>11543</v>
      </c>
    </row>
    <row r="7179" spans="2:9" ht="15" customHeight="1" x14ac:dyDescent="0.25">
      <c r="B7179" s="55" t="s">
        <v>280</v>
      </c>
      <c r="C7179" s="46">
        <v>2167</v>
      </c>
      <c r="D7179" s="69" t="s">
        <v>29417</v>
      </c>
      <c r="E7179" s="51"/>
      <c r="F7179" s="114" t="str">
        <f>IF(INDEX(I.Facility.P2aIDNumber,2167)="","",INDEX(I.Facility.P2aIDNumber,2167))</f>
        <v/>
      </c>
      <c r="G7179" s="51"/>
      <c r="H7179" s="46" t="str">
        <f>IF(AND(I.Developer.P2a=TRUE,I.Facility.P2aFacilityCount&gt;=2167,F7179=""),"Incomplete","Complete")</f>
        <v>Complete</v>
      </c>
      <c r="I7179" s="48" t="s">
        <v>11544</v>
      </c>
    </row>
    <row r="7180" spans="2:9" ht="15" customHeight="1" x14ac:dyDescent="0.25">
      <c r="B7180" s="55" t="s">
        <v>280</v>
      </c>
      <c r="C7180" s="46">
        <v>2168</v>
      </c>
      <c r="D7180" s="69" t="s">
        <v>29417</v>
      </c>
      <c r="E7180" s="51"/>
      <c r="F7180" s="114" t="str">
        <f>IF(INDEX(I.Facility.P2aIDNumber,2168)="","",INDEX(I.Facility.P2aIDNumber,2168))</f>
        <v/>
      </c>
      <c r="G7180" s="51"/>
      <c r="H7180" s="46" t="str">
        <f>IF(AND(I.Developer.P2a=TRUE,I.Facility.P2aFacilityCount&gt;=2168,F7180=""),"Incomplete","Complete")</f>
        <v>Complete</v>
      </c>
      <c r="I7180" s="48" t="s">
        <v>11545</v>
      </c>
    </row>
    <row r="7181" spans="2:9" ht="15" customHeight="1" x14ac:dyDescent="0.25">
      <c r="B7181" s="55" t="s">
        <v>280</v>
      </c>
      <c r="C7181" s="46">
        <v>2169</v>
      </c>
      <c r="D7181" s="69" t="s">
        <v>29417</v>
      </c>
      <c r="E7181" s="51"/>
      <c r="F7181" s="114" t="str">
        <f>IF(INDEX(I.Facility.P2aIDNumber,2169)="","",INDEX(I.Facility.P2aIDNumber,2169))</f>
        <v/>
      </c>
      <c r="G7181" s="51"/>
      <c r="H7181" s="46" t="str">
        <f>IF(AND(I.Developer.P2a=TRUE,I.Facility.P2aFacilityCount&gt;=2169,F7181=""),"Incomplete","Complete")</f>
        <v>Complete</v>
      </c>
      <c r="I7181" s="48" t="s">
        <v>11546</v>
      </c>
    </row>
    <row r="7182" spans="2:9" ht="15" customHeight="1" x14ac:dyDescent="0.25">
      <c r="B7182" s="55" t="s">
        <v>280</v>
      </c>
      <c r="C7182" s="46">
        <v>2170</v>
      </c>
      <c r="D7182" s="69" t="s">
        <v>29417</v>
      </c>
      <c r="E7182" s="51"/>
      <c r="F7182" s="114" t="str">
        <f>IF(INDEX(I.Facility.P2aIDNumber,2170)="","",INDEX(I.Facility.P2aIDNumber,2170))</f>
        <v/>
      </c>
      <c r="G7182" s="51"/>
      <c r="H7182" s="46" t="str">
        <f>IF(AND(I.Developer.P2a=TRUE,I.Facility.P2aFacilityCount&gt;=2170,F7182=""),"Incomplete","Complete")</f>
        <v>Complete</v>
      </c>
      <c r="I7182" s="48" t="s">
        <v>11547</v>
      </c>
    </row>
    <row r="7183" spans="2:9" ht="15" customHeight="1" x14ac:dyDescent="0.25">
      <c r="B7183" s="55" t="s">
        <v>280</v>
      </c>
      <c r="C7183" s="46">
        <v>2171</v>
      </c>
      <c r="D7183" s="69" t="s">
        <v>29417</v>
      </c>
      <c r="E7183" s="51"/>
      <c r="F7183" s="114" t="str">
        <f>IF(INDEX(I.Facility.P2aIDNumber,2171)="","",INDEX(I.Facility.P2aIDNumber,2171))</f>
        <v/>
      </c>
      <c r="G7183" s="51"/>
      <c r="H7183" s="46" t="str">
        <f>IF(AND(I.Developer.P2a=TRUE,I.Facility.P2aFacilityCount&gt;=2171,F7183=""),"Incomplete","Complete")</f>
        <v>Complete</v>
      </c>
      <c r="I7183" s="48" t="s">
        <v>11548</v>
      </c>
    </row>
    <row r="7184" spans="2:9" ht="15" customHeight="1" x14ac:dyDescent="0.25">
      <c r="B7184" s="55" t="s">
        <v>280</v>
      </c>
      <c r="C7184" s="46">
        <v>2172</v>
      </c>
      <c r="D7184" s="69" t="s">
        <v>29417</v>
      </c>
      <c r="E7184" s="51"/>
      <c r="F7184" s="114" t="str">
        <f>IF(INDEX(I.Facility.P2aIDNumber,2172)="","",INDEX(I.Facility.P2aIDNumber,2172))</f>
        <v/>
      </c>
      <c r="G7184" s="51"/>
      <c r="H7184" s="46" t="str">
        <f>IF(AND(I.Developer.P2a=TRUE,I.Facility.P2aFacilityCount&gt;=2172,F7184=""),"Incomplete","Complete")</f>
        <v>Complete</v>
      </c>
      <c r="I7184" s="48" t="s">
        <v>11549</v>
      </c>
    </row>
    <row r="7185" spans="2:9" ht="15" customHeight="1" x14ac:dyDescent="0.25">
      <c r="B7185" s="55" t="s">
        <v>280</v>
      </c>
      <c r="C7185" s="46">
        <v>2173</v>
      </c>
      <c r="D7185" s="69" t="s">
        <v>29417</v>
      </c>
      <c r="E7185" s="51"/>
      <c r="F7185" s="114" t="str">
        <f>IF(INDEX(I.Facility.P2aIDNumber,2173)="","",INDEX(I.Facility.P2aIDNumber,2173))</f>
        <v/>
      </c>
      <c r="G7185" s="51"/>
      <c r="H7185" s="46" t="str">
        <f>IF(AND(I.Developer.P2a=TRUE,I.Facility.P2aFacilityCount&gt;=2173,F7185=""),"Incomplete","Complete")</f>
        <v>Complete</v>
      </c>
      <c r="I7185" s="48" t="s">
        <v>11550</v>
      </c>
    </row>
    <row r="7186" spans="2:9" ht="15" customHeight="1" x14ac:dyDescent="0.25">
      <c r="B7186" s="55" t="s">
        <v>280</v>
      </c>
      <c r="C7186" s="46">
        <v>2174</v>
      </c>
      <c r="D7186" s="69" t="s">
        <v>29417</v>
      </c>
      <c r="E7186" s="51"/>
      <c r="F7186" s="114" t="str">
        <f>IF(INDEX(I.Facility.P2aIDNumber,2174)="","",INDEX(I.Facility.P2aIDNumber,2174))</f>
        <v/>
      </c>
      <c r="G7186" s="51"/>
      <c r="H7186" s="46" t="str">
        <f>IF(AND(I.Developer.P2a=TRUE,I.Facility.P2aFacilityCount&gt;=2174,F7186=""),"Incomplete","Complete")</f>
        <v>Complete</v>
      </c>
      <c r="I7186" s="48" t="s">
        <v>11551</v>
      </c>
    </row>
    <row r="7187" spans="2:9" ht="15" customHeight="1" x14ac:dyDescent="0.25">
      <c r="B7187" s="55" t="s">
        <v>280</v>
      </c>
      <c r="C7187" s="46">
        <v>2175</v>
      </c>
      <c r="D7187" s="69" t="s">
        <v>29417</v>
      </c>
      <c r="E7187" s="51"/>
      <c r="F7187" s="114" t="str">
        <f>IF(INDEX(I.Facility.P2aIDNumber,2175)="","",INDEX(I.Facility.P2aIDNumber,2175))</f>
        <v/>
      </c>
      <c r="G7187" s="51"/>
      <c r="H7187" s="46" t="str">
        <f>IF(AND(I.Developer.P2a=TRUE,I.Facility.P2aFacilityCount&gt;=2175,F7187=""),"Incomplete","Complete")</f>
        <v>Complete</v>
      </c>
      <c r="I7187" s="48" t="s">
        <v>11552</v>
      </c>
    </row>
    <row r="7188" spans="2:9" ht="15" customHeight="1" x14ac:dyDescent="0.25">
      <c r="B7188" s="55" t="s">
        <v>280</v>
      </c>
      <c r="C7188" s="46">
        <v>2176</v>
      </c>
      <c r="D7188" s="69" t="s">
        <v>29417</v>
      </c>
      <c r="E7188" s="51"/>
      <c r="F7188" s="114" t="str">
        <f>IF(INDEX(I.Facility.P2aIDNumber,2176)="","",INDEX(I.Facility.P2aIDNumber,2176))</f>
        <v/>
      </c>
      <c r="G7188" s="51"/>
      <c r="H7188" s="46" t="str">
        <f>IF(AND(I.Developer.P2a=TRUE,I.Facility.P2aFacilityCount&gt;=2176,F7188=""),"Incomplete","Complete")</f>
        <v>Complete</v>
      </c>
      <c r="I7188" s="48" t="s">
        <v>11553</v>
      </c>
    </row>
    <row r="7189" spans="2:9" ht="15" customHeight="1" x14ac:dyDescent="0.25">
      <c r="B7189" s="55" t="s">
        <v>280</v>
      </c>
      <c r="C7189" s="46">
        <v>2177</v>
      </c>
      <c r="D7189" s="69" t="s">
        <v>29417</v>
      </c>
      <c r="E7189" s="51"/>
      <c r="F7189" s="114" t="str">
        <f>IF(INDEX(I.Facility.P2aIDNumber,2177)="","",INDEX(I.Facility.P2aIDNumber,2177))</f>
        <v/>
      </c>
      <c r="G7189" s="51"/>
      <c r="H7189" s="46" t="str">
        <f>IF(AND(I.Developer.P2a=TRUE,I.Facility.P2aFacilityCount&gt;=2177,F7189=""),"Incomplete","Complete")</f>
        <v>Complete</v>
      </c>
      <c r="I7189" s="48" t="s">
        <v>11554</v>
      </c>
    </row>
    <row r="7190" spans="2:9" ht="15" customHeight="1" x14ac:dyDescent="0.25">
      <c r="B7190" s="55" t="s">
        <v>280</v>
      </c>
      <c r="C7190" s="46">
        <v>2178</v>
      </c>
      <c r="D7190" s="69" t="s">
        <v>29417</v>
      </c>
      <c r="E7190" s="51"/>
      <c r="F7190" s="114" t="str">
        <f>IF(INDEX(I.Facility.P2aIDNumber,2178)="","",INDEX(I.Facility.P2aIDNumber,2178))</f>
        <v/>
      </c>
      <c r="G7190" s="51"/>
      <c r="H7190" s="46" t="str">
        <f>IF(AND(I.Developer.P2a=TRUE,I.Facility.P2aFacilityCount&gt;=2178,F7190=""),"Incomplete","Complete")</f>
        <v>Complete</v>
      </c>
      <c r="I7190" s="48" t="s">
        <v>11555</v>
      </c>
    </row>
    <row r="7191" spans="2:9" ht="15" customHeight="1" x14ac:dyDescent="0.25">
      <c r="B7191" s="55" t="s">
        <v>280</v>
      </c>
      <c r="C7191" s="46">
        <v>2179</v>
      </c>
      <c r="D7191" s="69" t="s">
        <v>29417</v>
      </c>
      <c r="E7191" s="51"/>
      <c r="F7191" s="114" t="str">
        <f>IF(INDEX(I.Facility.P2aIDNumber,2179)="","",INDEX(I.Facility.P2aIDNumber,2179))</f>
        <v/>
      </c>
      <c r="G7191" s="51"/>
      <c r="H7191" s="46" t="str">
        <f>IF(AND(I.Developer.P2a=TRUE,I.Facility.P2aFacilityCount&gt;=2179,F7191=""),"Incomplete","Complete")</f>
        <v>Complete</v>
      </c>
      <c r="I7191" s="48" t="s">
        <v>11556</v>
      </c>
    </row>
    <row r="7192" spans="2:9" ht="15" customHeight="1" x14ac:dyDescent="0.25">
      <c r="B7192" s="55" t="s">
        <v>280</v>
      </c>
      <c r="C7192" s="46">
        <v>2180</v>
      </c>
      <c r="D7192" s="69" t="s">
        <v>29417</v>
      </c>
      <c r="E7192" s="51"/>
      <c r="F7192" s="114" t="str">
        <f>IF(INDEX(I.Facility.P2aIDNumber,2180)="","",INDEX(I.Facility.P2aIDNumber,2180))</f>
        <v/>
      </c>
      <c r="G7192" s="51"/>
      <c r="H7192" s="46" t="str">
        <f>IF(AND(I.Developer.P2a=TRUE,I.Facility.P2aFacilityCount&gt;=2180,F7192=""),"Incomplete","Complete")</f>
        <v>Complete</v>
      </c>
      <c r="I7192" s="48" t="s">
        <v>11557</v>
      </c>
    </row>
    <row r="7193" spans="2:9" ht="15" customHeight="1" x14ac:dyDescent="0.25">
      <c r="B7193" s="55" t="s">
        <v>280</v>
      </c>
      <c r="C7193" s="46">
        <v>2181</v>
      </c>
      <c r="D7193" s="69" t="s">
        <v>29417</v>
      </c>
      <c r="E7193" s="51"/>
      <c r="F7193" s="114" t="str">
        <f>IF(INDEX(I.Facility.P2aIDNumber,2181)="","",INDEX(I.Facility.P2aIDNumber,2181))</f>
        <v/>
      </c>
      <c r="G7193" s="51"/>
      <c r="H7193" s="46" t="str">
        <f>IF(AND(I.Developer.P2a=TRUE,I.Facility.P2aFacilityCount&gt;=2181,F7193=""),"Incomplete","Complete")</f>
        <v>Complete</v>
      </c>
      <c r="I7193" s="48" t="s">
        <v>11558</v>
      </c>
    </row>
    <row r="7194" spans="2:9" ht="15" customHeight="1" x14ac:dyDescent="0.25">
      <c r="B7194" s="55" t="s">
        <v>280</v>
      </c>
      <c r="C7194" s="46">
        <v>2182</v>
      </c>
      <c r="D7194" s="69" t="s">
        <v>29417</v>
      </c>
      <c r="E7194" s="51"/>
      <c r="F7194" s="114" t="str">
        <f>IF(INDEX(I.Facility.P2aIDNumber,2182)="","",INDEX(I.Facility.P2aIDNumber,2182))</f>
        <v/>
      </c>
      <c r="G7194" s="51"/>
      <c r="H7194" s="46" t="str">
        <f>IF(AND(I.Developer.P2a=TRUE,I.Facility.P2aFacilityCount&gt;=2182,F7194=""),"Incomplete","Complete")</f>
        <v>Complete</v>
      </c>
      <c r="I7194" s="48" t="s">
        <v>11559</v>
      </c>
    </row>
    <row r="7195" spans="2:9" ht="15" customHeight="1" x14ac:dyDescent="0.25">
      <c r="B7195" s="55" t="s">
        <v>280</v>
      </c>
      <c r="C7195" s="46">
        <v>2183</v>
      </c>
      <c r="D7195" s="69" t="s">
        <v>29417</v>
      </c>
      <c r="E7195" s="51"/>
      <c r="F7195" s="114" t="str">
        <f>IF(INDEX(I.Facility.P2aIDNumber,2183)="","",INDEX(I.Facility.P2aIDNumber,2183))</f>
        <v/>
      </c>
      <c r="G7195" s="51"/>
      <c r="H7195" s="46" t="str">
        <f>IF(AND(I.Developer.P2a=TRUE,I.Facility.P2aFacilityCount&gt;=2183,F7195=""),"Incomplete","Complete")</f>
        <v>Complete</v>
      </c>
      <c r="I7195" s="48" t="s">
        <v>11560</v>
      </c>
    </row>
    <row r="7196" spans="2:9" ht="15" customHeight="1" x14ac:dyDescent="0.25">
      <c r="B7196" s="55" t="s">
        <v>280</v>
      </c>
      <c r="C7196" s="46">
        <v>2184</v>
      </c>
      <c r="D7196" s="69" t="s">
        <v>29417</v>
      </c>
      <c r="E7196" s="51"/>
      <c r="F7196" s="114" t="str">
        <f>IF(INDEX(I.Facility.P2aIDNumber,2184)="","",INDEX(I.Facility.P2aIDNumber,2184))</f>
        <v/>
      </c>
      <c r="G7196" s="51"/>
      <c r="H7196" s="46" t="str">
        <f>IF(AND(I.Developer.P2a=TRUE,I.Facility.P2aFacilityCount&gt;=2184,F7196=""),"Incomplete","Complete")</f>
        <v>Complete</v>
      </c>
      <c r="I7196" s="48" t="s">
        <v>11561</v>
      </c>
    </row>
    <row r="7197" spans="2:9" ht="15" customHeight="1" x14ac:dyDescent="0.25">
      <c r="B7197" s="55" t="s">
        <v>280</v>
      </c>
      <c r="C7197" s="46">
        <v>2185</v>
      </c>
      <c r="D7197" s="69" t="s">
        <v>29417</v>
      </c>
      <c r="E7197" s="51"/>
      <c r="F7197" s="114" t="str">
        <f>IF(INDEX(I.Facility.P2aIDNumber,2185)="","",INDEX(I.Facility.P2aIDNumber,2185))</f>
        <v/>
      </c>
      <c r="G7197" s="51"/>
      <c r="H7197" s="46" t="str">
        <f>IF(AND(I.Developer.P2a=TRUE,I.Facility.P2aFacilityCount&gt;=2185,F7197=""),"Incomplete","Complete")</f>
        <v>Complete</v>
      </c>
      <c r="I7197" s="48" t="s">
        <v>11562</v>
      </c>
    </row>
    <row r="7198" spans="2:9" ht="15" customHeight="1" x14ac:dyDescent="0.25">
      <c r="B7198" s="55" t="s">
        <v>280</v>
      </c>
      <c r="C7198" s="46">
        <v>2186</v>
      </c>
      <c r="D7198" s="69" t="s">
        <v>29417</v>
      </c>
      <c r="E7198" s="51"/>
      <c r="F7198" s="114" t="str">
        <f>IF(INDEX(I.Facility.P2aIDNumber,2186)="","",INDEX(I.Facility.P2aIDNumber,2186))</f>
        <v/>
      </c>
      <c r="G7198" s="51"/>
      <c r="H7198" s="46" t="str">
        <f>IF(AND(I.Developer.P2a=TRUE,I.Facility.P2aFacilityCount&gt;=2186,F7198=""),"Incomplete","Complete")</f>
        <v>Complete</v>
      </c>
      <c r="I7198" s="48" t="s">
        <v>11563</v>
      </c>
    </row>
    <row r="7199" spans="2:9" ht="15" customHeight="1" x14ac:dyDescent="0.25">
      <c r="B7199" s="55" t="s">
        <v>280</v>
      </c>
      <c r="C7199" s="46">
        <v>2187</v>
      </c>
      <c r="D7199" s="69" t="s">
        <v>29417</v>
      </c>
      <c r="E7199" s="51"/>
      <c r="F7199" s="114" t="str">
        <f>IF(INDEX(I.Facility.P2aIDNumber,2187)="","",INDEX(I.Facility.P2aIDNumber,2187))</f>
        <v/>
      </c>
      <c r="G7199" s="51"/>
      <c r="H7199" s="46" t="str">
        <f>IF(AND(I.Developer.P2a=TRUE,I.Facility.P2aFacilityCount&gt;=2187,F7199=""),"Incomplete","Complete")</f>
        <v>Complete</v>
      </c>
      <c r="I7199" s="48" t="s">
        <v>11564</v>
      </c>
    </row>
    <row r="7200" spans="2:9" ht="15" customHeight="1" x14ac:dyDescent="0.25">
      <c r="B7200" s="55" t="s">
        <v>280</v>
      </c>
      <c r="C7200" s="46">
        <v>2188</v>
      </c>
      <c r="D7200" s="69" t="s">
        <v>29417</v>
      </c>
      <c r="E7200" s="51"/>
      <c r="F7200" s="114" t="str">
        <f>IF(INDEX(I.Facility.P2aIDNumber,2188)="","",INDEX(I.Facility.P2aIDNumber,2188))</f>
        <v/>
      </c>
      <c r="G7200" s="51"/>
      <c r="H7200" s="46" t="str">
        <f>IF(AND(I.Developer.P2a=TRUE,I.Facility.P2aFacilityCount&gt;=2188,F7200=""),"Incomplete","Complete")</f>
        <v>Complete</v>
      </c>
      <c r="I7200" s="48" t="s">
        <v>11565</v>
      </c>
    </row>
    <row r="7201" spans="2:9" ht="15" customHeight="1" x14ac:dyDescent="0.25">
      <c r="B7201" s="55" t="s">
        <v>280</v>
      </c>
      <c r="C7201" s="46">
        <v>2189</v>
      </c>
      <c r="D7201" s="69" t="s">
        <v>29417</v>
      </c>
      <c r="E7201" s="51"/>
      <c r="F7201" s="114" t="str">
        <f>IF(INDEX(I.Facility.P2aIDNumber,2189)="","",INDEX(I.Facility.P2aIDNumber,2189))</f>
        <v/>
      </c>
      <c r="G7201" s="51"/>
      <c r="H7201" s="46" t="str">
        <f>IF(AND(I.Developer.P2a=TRUE,I.Facility.P2aFacilityCount&gt;=2189,F7201=""),"Incomplete","Complete")</f>
        <v>Complete</v>
      </c>
      <c r="I7201" s="48" t="s">
        <v>11566</v>
      </c>
    </row>
    <row r="7202" spans="2:9" ht="15" customHeight="1" x14ac:dyDescent="0.25">
      <c r="B7202" s="55" t="s">
        <v>280</v>
      </c>
      <c r="C7202" s="46">
        <v>2190</v>
      </c>
      <c r="D7202" s="69" t="s">
        <v>29417</v>
      </c>
      <c r="E7202" s="51"/>
      <c r="F7202" s="114" t="str">
        <f>IF(INDEX(I.Facility.P2aIDNumber,2190)="","",INDEX(I.Facility.P2aIDNumber,2190))</f>
        <v/>
      </c>
      <c r="G7202" s="51"/>
      <c r="H7202" s="46" t="str">
        <f>IF(AND(I.Developer.P2a=TRUE,I.Facility.P2aFacilityCount&gt;=2190,F7202=""),"Incomplete","Complete")</f>
        <v>Complete</v>
      </c>
      <c r="I7202" s="48" t="s">
        <v>11567</v>
      </c>
    </row>
    <row r="7203" spans="2:9" ht="15" customHeight="1" x14ac:dyDescent="0.25">
      <c r="B7203" s="55" t="s">
        <v>280</v>
      </c>
      <c r="C7203" s="46">
        <v>2191</v>
      </c>
      <c r="D7203" s="69" t="s">
        <v>29417</v>
      </c>
      <c r="E7203" s="51"/>
      <c r="F7203" s="114" t="str">
        <f>IF(INDEX(I.Facility.P2aIDNumber,2191)="","",INDEX(I.Facility.P2aIDNumber,2191))</f>
        <v/>
      </c>
      <c r="G7203" s="51"/>
      <c r="H7203" s="46" t="str">
        <f>IF(AND(I.Developer.P2a=TRUE,I.Facility.P2aFacilityCount&gt;=2191,F7203=""),"Incomplete","Complete")</f>
        <v>Complete</v>
      </c>
      <c r="I7203" s="48" t="s">
        <v>11568</v>
      </c>
    </row>
    <row r="7204" spans="2:9" ht="15" customHeight="1" x14ac:dyDescent="0.25">
      <c r="B7204" s="55" t="s">
        <v>280</v>
      </c>
      <c r="C7204" s="46">
        <v>2192</v>
      </c>
      <c r="D7204" s="69" t="s">
        <v>29417</v>
      </c>
      <c r="E7204" s="51"/>
      <c r="F7204" s="114" t="str">
        <f>IF(INDEX(I.Facility.P2aIDNumber,2192)="","",INDEX(I.Facility.P2aIDNumber,2192))</f>
        <v/>
      </c>
      <c r="G7204" s="51"/>
      <c r="H7204" s="46" t="str">
        <f>IF(AND(I.Developer.P2a=TRUE,I.Facility.P2aFacilityCount&gt;=2192,F7204=""),"Incomplete","Complete")</f>
        <v>Complete</v>
      </c>
      <c r="I7204" s="48" t="s">
        <v>11569</v>
      </c>
    </row>
    <row r="7205" spans="2:9" ht="15" customHeight="1" x14ac:dyDescent="0.25">
      <c r="B7205" s="55" t="s">
        <v>280</v>
      </c>
      <c r="C7205" s="46">
        <v>2193</v>
      </c>
      <c r="D7205" s="69" t="s">
        <v>29417</v>
      </c>
      <c r="E7205" s="51"/>
      <c r="F7205" s="114" t="str">
        <f>IF(INDEX(I.Facility.P2aIDNumber,2193)="","",INDEX(I.Facility.P2aIDNumber,2193))</f>
        <v/>
      </c>
      <c r="G7205" s="51"/>
      <c r="H7205" s="46" t="str">
        <f>IF(AND(I.Developer.P2a=TRUE,I.Facility.P2aFacilityCount&gt;=2193,F7205=""),"Incomplete","Complete")</f>
        <v>Complete</v>
      </c>
      <c r="I7205" s="48" t="s">
        <v>11570</v>
      </c>
    </row>
    <row r="7206" spans="2:9" ht="15" customHeight="1" x14ac:dyDescent="0.25">
      <c r="B7206" s="55" t="s">
        <v>280</v>
      </c>
      <c r="C7206" s="46">
        <v>2194</v>
      </c>
      <c r="D7206" s="69" t="s">
        <v>29417</v>
      </c>
      <c r="E7206" s="51"/>
      <c r="F7206" s="114" t="str">
        <f>IF(INDEX(I.Facility.P2aIDNumber,2194)="","",INDEX(I.Facility.P2aIDNumber,2194))</f>
        <v/>
      </c>
      <c r="G7206" s="51"/>
      <c r="H7206" s="46" t="str">
        <f>IF(AND(I.Developer.P2a=TRUE,I.Facility.P2aFacilityCount&gt;=2194,F7206=""),"Incomplete","Complete")</f>
        <v>Complete</v>
      </c>
      <c r="I7206" s="48" t="s">
        <v>11571</v>
      </c>
    </row>
    <row r="7207" spans="2:9" ht="15" customHeight="1" x14ac:dyDescent="0.25">
      <c r="B7207" s="55" t="s">
        <v>280</v>
      </c>
      <c r="C7207" s="46">
        <v>2195</v>
      </c>
      <c r="D7207" s="69" t="s">
        <v>29417</v>
      </c>
      <c r="E7207" s="51"/>
      <c r="F7207" s="114" t="str">
        <f>IF(INDEX(I.Facility.P2aIDNumber,2195)="","",INDEX(I.Facility.P2aIDNumber,2195))</f>
        <v/>
      </c>
      <c r="G7207" s="51"/>
      <c r="H7207" s="46" t="str">
        <f>IF(AND(I.Developer.P2a=TRUE,I.Facility.P2aFacilityCount&gt;=2195,F7207=""),"Incomplete","Complete")</f>
        <v>Complete</v>
      </c>
      <c r="I7207" s="48" t="s">
        <v>11572</v>
      </c>
    </row>
    <row r="7208" spans="2:9" ht="15" customHeight="1" x14ac:dyDescent="0.25">
      <c r="B7208" s="55" t="s">
        <v>280</v>
      </c>
      <c r="C7208" s="46">
        <v>2196</v>
      </c>
      <c r="D7208" s="69" t="s">
        <v>29417</v>
      </c>
      <c r="E7208" s="51"/>
      <c r="F7208" s="114" t="str">
        <f>IF(INDEX(I.Facility.P2aIDNumber,2196)="","",INDEX(I.Facility.P2aIDNumber,2196))</f>
        <v/>
      </c>
      <c r="G7208" s="51"/>
      <c r="H7208" s="46" t="str">
        <f>IF(AND(I.Developer.P2a=TRUE,I.Facility.P2aFacilityCount&gt;=2196,F7208=""),"Incomplete","Complete")</f>
        <v>Complete</v>
      </c>
      <c r="I7208" s="48" t="s">
        <v>11573</v>
      </c>
    </row>
    <row r="7209" spans="2:9" ht="15" customHeight="1" x14ac:dyDescent="0.25">
      <c r="B7209" s="55" t="s">
        <v>280</v>
      </c>
      <c r="C7209" s="46">
        <v>2197</v>
      </c>
      <c r="D7209" s="69" t="s">
        <v>29417</v>
      </c>
      <c r="E7209" s="51"/>
      <c r="F7209" s="114" t="str">
        <f>IF(INDEX(I.Facility.P2aIDNumber,2197)="","",INDEX(I.Facility.P2aIDNumber,2197))</f>
        <v/>
      </c>
      <c r="G7209" s="51"/>
      <c r="H7209" s="46" t="str">
        <f>IF(AND(I.Developer.P2a=TRUE,I.Facility.P2aFacilityCount&gt;=2197,F7209=""),"Incomplete","Complete")</f>
        <v>Complete</v>
      </c>
      <c r="I7209" s="48" t="s">
        <v>11574</v>
      </c>
    </row>
    <row r="7210" spans="2:9" ht="15" customHeight="1" x14ac:dyDescent="0.25">
      <c r="B7210" s="55" t="s">
        <v>280</v>
      </c>
      <c r="C7210" s="46">
        <v>2198</v>
      </c>
      <c r="D7210" s="69" t="s">
        <v>29417</v>
      </c>
      <c r="E7210" s="51"/>
      <c r="F7210" s="114" t="str">
        <f>IF(INDEX(I.Facility.P2aIDNumber,2198)="","",INDEX(I.Facility.P2aIDNumber,2198))</f>
        <v/>
      </c>
      <c r="G7210" s="51"/>
      <c r="H7210" s="46" t="str">
        <f>IF(AND(I.Developer.P2a=TRUE,I.Facility.P2aFacilityCount&gt;=2198,F7210=""),"Incomplete","Complete")</f>
        <v>Complete</v>
      </c>
      <c r="I7210" s="48" t="s">
        <v>11575</v>
      </c>
    </row>
    <row r="7211" spans="2:9" ht="15" customHeight="1" x14ac:dyDescent="0.25">
      <c r="B7211" s="55" t="s">
        <v>280</v>
      </c>
      <c r="C7211" s="46">
        <v>2199</v>
      </c>
      <c r="D7211" s="69" t="s">
        <v>29417</v>
      </c>
      <c r="E7211" s="51"/>
      <c r="F7211" s="114" t="str">
        <f>IF(INDEX(I.Facility.P2aIDNumber,2199)="","",INDEX(I.Facility.P2aIDNumber,2199))</f>
        <v/>
      </c>
      <c r="G7211" s="51"/>
      <c r="H7211" s="46" t="str">
        <f>IF(AND(I.Developer.P2a=TRUE,I.Facility.P2aFacilityCount&gt;=2199,F7211=""),"Incomplete","Complete")</f>
        <v>Complete</v>
      </c>
      <c r="I7211" s="48" t="s">
        <v>11576</v>
      </c>
    </row>
    <row r="7212" spans="2:9" ht="15" customHeight="1" x14ac:dyDescent="0.25">
      <c r="B7212" s="55" t="s">
        <v>280</v>
      </c>
      <c r="C7212" s="46">
        <v>2200</v>
      </c>
      <c r="D7212" s="69" t="s">
        <v>29417</v>
      </c>
      <c r="E7212" s="51"/>
      <c r="F7212" s="114" t="str">
        <f>IF(INDEX(I.Facility.P2aIDNumber,2200)="","",INDEX(I.Facility.P2aIDNumber,2200))</f>
        <v/>
      </c>
      <c r="G7212" s="51"/>
      <c r="H7212" s="46" t="str">
        <f>IF(AND(I.Developer.P2a=TRUE,I.Facility.P2aFacilityCount&gt;=2200,F7212=""),"Incomplete","Complete")</f>
        <v>Complete</v>
      </c>
      <c r="I7212" s="48" t="s">
        <v>11577</v>
      </c>
    </row>
    <row r="7213" spans="2:9" ht="15" customHeight="1" x14ac:dyDescent="0.25">
      <c r="B7213" s="55" t="s">
        <v>280</v>
      </c>
      <c r="C7213" s="46">
        <v>2201</v>
      </c>
      <c r="D7213" s="69" t="s">
        <v>29417</v>
      </c>
      <c r="E7213" s="51"/>
      <c r="F7213" s="114" t="str">
        <f>IF(INDEX(I.Facility.P2aIDNumber,2201)="","",INDEX(I.Facility.P2aIDNumber,2201))</f>
        <v/>
      </c>
      <c r="G7213" s="51"/>
      <c r="H7213" s="46" t="str">
        <f>IF(AND(I.Developer.P2a=TRUE,I.Facility.P2aFacilityCount&gt;=2201,F7213=""),"Incomplete","Complete")</f>
        <v>Complete</v>
      </c>
      <c r="I7213" s="48" t="s">
        <v>11578</v>
      </c>
    </row>
    <row r="7214" spans="2:9" ht="15" customHeight="1" x14ac:dyDescent="0.25">
      <c r="B7214" s="55" t="s">
        <v>280</v>
      </c>
      <c r="C7214" s="46">
        <v>2202</v>
      </c>
      <c r="D7214" s="69" t="s">
        <v>29417</v>
      </c>
      <c r="E7214" s="51"/>
      <c r="F7214" s="114" t="str">
        <f>IF(INDEX(I.Facility.P2aIDNumber,2202)="","",INDEX(I.Facility.P2aIDNumber,2202))</f>
        <v/>
      </c>
      <c r="G7214" s="51"/>
      <c r="H7214" s="46" t="str">
        <f>IF(AND(I.Developer.P2a=TRUE,I.Facility.P2aFacilityCount&gt;=2202,F7214=""),"Incomplete","Complete")</f>
        <v>Complete</v>
      </c>
      <c r="I7214" s="48" t="s">
        <v>11579</v>
      </c>
    </row>
    <row r="7215" spans="2:9" ht="15" customHeight="1" x14ac:dyDescent="0.25">
      <c r="B7215" s="55" t="s">
        <v>280</v>
      </c>
      <c r="C7215" s="46">
        <v>2203</v>
      </c>
      <c r="D7215" s="69" t="s">
        <v>29417</v>
      </c>
      <c r="E7215" s="51"/>
      <c r="F7215" s="114" t="str">
        <f>IF(INDEX(I.Facility.P2aIDNumber,2203)="","",INDEX(I.Facility.P2aIDNumber,2203))</f>
        <v/>
      </c>
      <c r="G7215" s="51"/>
      <c r="H7215" s="46" t="str">
        <f>IF(AND(I.Developer.P2a=TRUE,I.Facility.P2aFacilityCount&gt;=2203,F7215=""),"Incomplete","Complete")</f>
        <v>Complete</v>
      </c>
      <c r="I7215" s="48" t="s">
        <v>11580</v>
      </c>
    </row>
    <row r="7216" spans="2:9" ht="15" customHeight="1" x14ac:dyDescent="0.25">
      <c r="B7216" s="55" t="s">
        <v>280</v>
      </c>
      <c r="C7216" s="46">
        <v>2204</v>
      </c>
      <c r="D7216" s="69" t="s">
        <v>29417</v>
      </c>
      <c r="E7216" s="51"/>
      <c r="F7216" s="114" t="str">
        <f>IF(INDEX(I.Facility.P2aIDNumber,2204)="","",INDEX(I.Facility.P2aIDNumber,2204))</f>
        <v/>
      </c>
      <c r="G7216" s="51"/>
      <c r="H7216" s="46" t="str">
        <f>IF(AND(I.Developer.P2a=TRUE,I.Facility.P2aFacilityCount&gt;=2204,F7216=""),"Incomplete","Complete")</f>
        <v>Complete</v>
      </c>
      <c r="I7216" s="48" t="s">
        <v>11581</v>
      </c>
    </row>
    <row r="7217" spans="2:9" ht="15" customHeight="1" x14ac:dyDescent="0.25">
      <c r="B7217" s="55" t="s">
        <v>280</v>
      </c>
      <c r="C7217" s="46">
        <v>2205</v>
      </c>
      <c r="D7217" s="69" t="s">
        <v>29417</v>
      </c>
      <c r="E7217" s="51"/>
      <c r="F7217" s="114" t="str">
        <f>IF(INDEX(I.Facility.P2aIDNumber,2205)="","",INDEX(I.Facility.P2aIDNumber,2205))</f>
        <v/>
      </c>
      <c r="G7217" s="51"/>
      <c r="H7217" s="46" t="str">
        <f>IF(AND(I.Developer.P2a=TRUE,I.Facility.P2aFacilityCount&gt;=2205,F7217=""),"Incomplete","Complete")</f>
        <v>Complete</v>
      </c>
      <c r="I7217" s="48" t="s">
        <v>11582</v>
      </c>
    </row>
    <row r="7218" spans="2:9" ht="15" customHeight="1" x14ac:dyDescent="0.25">
      <c r="B7218" s="55" t="s">
        <v>280</v>
      </c>
      <c r="C7218" s="46">
        <v>2206</v>
      </c>
      <c r="D7218" s="69" t="s">
        <v>29417</v>
      </c>
      <c r="E7218" s="51"/>
      <c r="F7218" s="114" t="str">
        <f>IF(INDEX(I.Facility.P2aIDNumber,2206)="","",INDEX(I.Facility.P2aIDNumber,2206))</f>
        <v/>
      </c>
      <c r="G7218" s="51"/>
      <c r="H7218" s="46" t="str">
        <f>IF(AND(I.Developer.P2a=TRUE,I.Facility.P2aFacilityCount&gt;=2206,F7218=""),"Incomplete","Complete")</f>
        <v>Complete</v>
      </c>
      <c r="I7218" s="48" t="s">
        <v>11583</v>
      </c>
    </row>
    <row r="7219" spans="2:9" ht="15" customHeight="1" x14ac:dyDescent="0.25">
      <c r="B7219" s="55" t="s">
        <v>280</v>
      </c>
      <c r="C7219" s="46">
        <v>2207</v>
      </c>
      <c r="D7219" s="69" t="s">
        <v>29417</v>
      </c>
      <c r="E7219" s="51"/>
      <c r="F7219" s="114" t="str">
        <f>IF(INDEX(I.Facility.P2aIDNumber,2207)="","",INDEX(I.Facility.P2aIDNumber,2207))</f>
        <v/>
      </c>
      <c r="G7219" s="51"/>
      <c r="H7219" s="46" t="str">
        <f>IF(AND(I.Developer.P2a=TRUE,I.Facility.P2aFacilityCount&gt;=2207,F7219=""),"Incomplete","Complete")</f>
        <v>Complete</v>
      </c>
      <c r="I7219" s="48" t="s">
        <v>11584</v>
      </c>
    </row>
    <row r="7220" spans="2:9" ht="15" customHeight="1" x14ac:dyDescent="0.25">
      <c r="B7220" s="55" t="s">
        <v>280</v>
      </c>
      <c r="C7220" s="46">
        <v>2208</v>
      </c>
      <c r="D7220" s="69" t="s">
        <v>29417</v>
      </c>
      <c r="E7220" s="51"/>
      <c r="F7220" s="114" t="str">
        <f>IF(INDEX(I.Facility.P2aIDNumber,2208)="","",INDEX(I.Facility.P2aIDNumber,2208))</f>
        <v/>
      </c>
      <c r="G7220" s="51"/>
      <c r="H7220" s="46" t="str">
        <f>IF(AND(I.Developer.P2a=TRUE,I.Facility.P2aFacilityCount&gt;=2208,F7220=""),"Incomplete","Complete")</f>
        <v>Complete</v>
      </c>
      <c r="I7220" s="48" t="s">
        <v>11585</v>
      </c>
    </row>
    <row r="7221" spans="2:9" ht="15" customHeight="1" x14ac:dyDescent="0.25">
      <c r="B7221" s="55" t="s">
        <v>280</v>
      </c>
      <c r="C7221" s="46">
        <v>2209</v>
      </c>
      <c r="D7221" s="69" t="s">
        <v>29417</v>
      </c>
      <c r="E7221" s="51"/>
      <c r="F7221" s="114" t="str">
        <f>IF(INDEX(I.Facility.P2aIDNumber,2209)="","",INDEX(I.Facility.P2aIDNumber,2209))</f>
        <v/>
      </c>
      <c r="G7221" s="51"/>
      <c r="H7221" s="46" t="str">
        <f>IF(AND(I.Developer.P2a=TRUE,I.Facility.P2aFacilityCount&gt;=2209,F7221=""),"Incomplete","Complete")</f>
        <v>Complete</v>
      </c>
      <c r="I7221" s="48" t="s">
        <v>11586</v>
      </c>
    </row>
    <row r="7222" spans="2:9" ht="15" customHeight="1" x14ac:dyDescent="0.25">
      <c r="B7222" s="55" t="s">
        <v>280</v>
      </c>
      <c r="C7222" s="46">
        <v>2210</v>
      </c>
      <c r="D7222" s="69" t="s">
        <v>29417</v>
      </c>
      <c r="E7222" s="51"/>
      <c r="F7222" s="114" t="str">
        <f>IF(INDEX(I.Facility.P2aIDNumber,2210)="","",INDEX(I.Facility.P2aIDNumber,2210))</f>
        <v/>
      </c>
      <c r="G7222" s="51"/>
      <c r="H7222" s="46" t="str">
        <f>IF(AND(I.Developer.P2a=TRUE,I.Facility.P2aFacilityCount&gt;=2210,F7222=""),"Incomplete","Complete")</f>
        <v>Complete</v>
      </c>
      <c r="I7222" s="48" t="s">
        <v>11587</v>
      </c>
    </row>
    <row r="7223" spans="2:9" ht="15" customHeight="1" x14ac:dyDescent="0.25">
      <c r="B7223" s="55" t="s">
        <v>280</v>
      </c>
      <c r="C7223" s="46">
        <v>2211</v>
      </c>
      <c r="D7223" s="69" t="s">
        <v>29417</v>
      </c>
      <c r="E7223" s="51"/>
      <c r="F7223" s="114" t="str">
        <f>IF(INDEX(I.Facility.P2aIDNumber,2211)="","",INDEX(I.Facility.P2aIDNumber,2211))</f>
        <v/>
      </c>
      <c r="G7223" s="51"/>
      <c r="H7223" s="46" t="str">
        <f>IF(AND(I.Developer.P2a=TRUE,I.Facility.P2aFacilityCount&gt;=2211,F7223=""),"Incomplete","Complete")</f>
        <v>Complete</v>
      </c>
      <c r="I7223" s="48" t="s">
        <v>11588</v>
      </c>
    </row>
    <row r="7224" spans="2:9" ht="15" customHeight="1" x14ac:dyDescent="0.25">
      <c r="B7224" s="55" t="s">
        <v>280</v>
      </c>
      <c r="C7224" s="46">
        <v>2212</v>
      </c>
      <c r="D7224" s="69" t="s">
        <v>29417</v>
      </c>
      <c r="E7224" s="51"/>
      <c r="F7224" s="114" t="str">
        <f>IF(INDEX(I.Facility.P2aIDNumber,2212)="","",INDEX(I.Facility.P2aIDNumber,2212))</f>
        <v/>
      </c>
      <c r="G7224" s="51"/>
      <c r="H7224" s="46" t="str">
        <f>IF(AND(I.Developer.P2a=TRUE,I.Facility.P2aFacilityCount&gt;=2212,F7224=""),"Incomplete","Complete")</f>
        <v>Complete</v>
      </c>
      <c r="I7224" s="48" t="s">
        <v>11589</v>
      </c>
    </row>
    <row r="7225" spans="2:9" ht="15" customHeight="1" x14ac:dyDescent="0.25">
      <c r="B7225" s="55" t="s">
        <v>280</v>
      </c>
      <c r="C7225" s="46">
        <v>2213</v>
      </c>
      <c r="D7225" s="69" t="s">
        <v>29417</v>
      </c>
      <c r="E7225" s="51"/>
      <c r="F7225" s="114" t="str">
        <f>IF(INDEX(I.Facility.P2aIDNumber,2213)="","",INDEX(I.Facility.P2aIDNumber,2213))</f>
        <v/>
      </c>
      <c r="G7225" s="51"/>
      <c r="H7225" s="46" t="str">
        <f>IF(AND(I.Developer.P2a=TRUE,I.Facility.P2aFacilityCount&gt;=2213,F7225=""),"Incomplete","Complete")</f>
        <v>Complete</v>
      </c>
      <c r="I7225" s="48" t="s">
        <v>11590</v>
      </c>
    </row>
    <row r="7226" spans="2:9" ht="15" customHeight="1" x14ac:dyDescent="0.25">
      <c r="B7226" s="55" t="s">
        <v>280</v>
      </c>
      <c r="C7226" s="46">
        <v>2214</v>
      </c>
      <c r="D7226" s="69" t="s">
        <v>29417</v>
      </c>
      <c r="E7226" s="51"/>
      <c r="F7226" s="114" t="str">
        <f>IF(INDEX(I.Facility.P2aIDNumber,2214)="","",INDEX(I.Facility.P2aIDNumber,2214))</f>
        <v/>
      </c>
      <c r="G7226" s="51"/>
      <c r="H7226" s="46" t="str">
        <f>IF(AND(I.Developer.P2a=TRUE,I.Facility.P2aFacilityCount&gt;=2214,F7226=""),"Incomplete","Complete")</f>
        <v>Complete</v>
      </c>
      <c r="I7226" s="48" t="s">
        <v>11591</v>
      </c>
    </row>
    <row r="7227" spans="2:9" ht="15" customHeight="1" x14ac:dyDescent="0.25">
      <c r="B7227" s="55" t="s">
        <v>280</v>
      </c>
      <c r="C7227" s="46">
        <v>2215</v>
      </c>
      <c r="D7227" s="69" t="s">
        <v>29417</v>
      </c>
      <c r="E7227" s="51"/>
      <c r="F7227" s="114" t="str">
        <f>IF(INDEX(I.Facility.P2aIDNumber,2215)="","",INDEX(I.Facility.P2aIDNumber,2215))</f>
        <v/>
      </c>
      <c r="G7227" s="51"/>
      <c r="H7227" s="46" t="str">
        <f>IF(AND(I.Developer.P2a=TRUE,I.Facility.P2aFacilityCount&gt;=2215,F7227=""),"Incomplete","Complete")</f>
        <v>Complete</v>
      </c>
      <c r="I7227" s="48" t="s">
        <v>11592</v>
      </c>
    </row>
    <row r="7228" spans="2:9" ht="15" customHeight="1" x14ac:dyDescent="0.25">
      <c r="B7228" s="55" t="s">
        <v>280</v>
      </c>
      <c r="C7228" s="46">
        <v>2216</v>
      </c>
      <c r="D7228" s="69" t="s">
        <v>29417</v>
      </c>
      <c r="E7228" s="51"/>
      <c r="F7228" s="114" t="str">
        <f>IF(INDEX(I.Facility.P2aIDNumber,2216)="","",INDEX(I.Facility.P2aIDNumber,2216))</f>
        <v/>
      </c>
      <c r="G7228" s="51"/>
      <c r="H7228" s="46" t="str">
        <f>IF(AND(I.Developer.P2a=TRUE,I.Facility.P2aFacilityCount&gt;=2216,F7228=""),"Incomplete","Complete")</f>
        <v>Complete</v>
      </c>
      <c r="I7228" s="48" t="s">
        <v>11593</v>
      </c>
    </row>
    <row r="7229" spans="2:9" ht="15" customHeight="1" x14ac:dyDescent="0.25">
      <c r="B7229" s="55" t="s">
        <v>280</v>
      </c>
      <c r="C7229" s="46">
        <v>2217</v>
      </c>
      <c r="D7229" s="69" t="s">
        <v>29417</v>
      </c>
      <c r="E7229" s="51"/>
      <c r="F7229" s="114" t="str">
        <f>IF(INDEX(I.Facility.P2aIDNumber,2217)="","",INDEX(I.Facility.P2aIDNumber,2217))</f>
        <v/>
      </c>
      <c r="G7229" s="51"/>
      <c r="H7229" s="46" t="str">
        <f>IF(AND(I.Developer.P2a=TRUE,I.Facility.P2aFacilityCount&gt;=2217,F7229=""),"Incomplete","Complete")</f>
        <v>Complete</v>
      </c>
      <c r="I7229" s="48" t="s">
        <v>11594</v>
      </c>
    </row>
    <row r="7230" spans="2:9" ht="15" customHeight="1" x14ac:dyDescent="0.25">
      <c r="B7230" s="55" t="s">
        <v>280</v>
      </c>
      <c r="C7230" s="46">
        <v>2218</v>
      </c>
      <c r="D7230" s="69" t="s">
        <v>29417</v>
      </c>
      <c r="E7230" s="51"/>
      <c r="F7230" s="114" t="str">
        <f>IF(INDEX(I.Facility.P2aIDNumber,2218)="","",INDEX(I.Facility.P2aIDNumber,2218))</f>
        <v/>
      </c>
      <c r="G7230" s="51"/>
      <c r="H7230" s="46" t="str">
        <f>IF(AND(I.Developer.P2a=TRUE,I.Facility.P2aFacilityCount&gt;=2218,F7230=""),"Incomplete","Complete")</f>
        <v>Complete</v>
      </c>
      <c r="I7230" s="48" t="s">
        <v>11595</v>
      </c>
    </row>
    <row r="7231" spans="2:9" ht="15" customHeight="1" x14ac:dyDescent="0.25">
      <c r="B7231" s="55" t="s">
        <v>280</v>
      </c>
      <c r="C7231" s="46">
        <v>2219</v>
      </c>
      <c r="D7231" s="69" t="s">
        <v>29417</v>
      </c>
      <c r="E7231" s="51"/>
      <c r="F7231" s="114" t="str">
        <f>IF(INDEX(I.Facility.P2aIDNumber,2219)="","",INDEX(I.Facility.P2aIDNumber,2219))</f>
        <v/>
      </c>
      <c r="G7231" s="51"/>
      <c r="H7231" s="46" t="str">
        <f>IF(AND(I.Developer.P2a=TRUE,I.Facility.P2aFacilityCount&gt;=2219,F7231=""),"Incomplete","Complete")</f>
        <v>Complete</v>
      </c>
      <c r="I7231" s="48" t="s">
        <v>11596</v>
      </c>
    </row>
    <row r="7232" spans="2:9" ht="15" customHeight="1" x14ac:dyDescent="0.25">
      <c r="B7232" s="55" t="s">
        <v>280</v>
      </c>
      <c r="C7232" s="46">
        <v>2220</v>
      </c>
      <c r="D7232" s="69" t="s">
        <v>29417</v>
      </c>
      <c r="E7232" s="51"/>
      <c r="F7232" s="114" t="str">
        <f>IF(INDEX(I.Facility.P2aIDNumber,2220)="","",INDEX(I.Facility.P2aIDNumber,2220))</f>
        <v/>
      </c>
      <c r="G7232" s="51"/>
      <c r="H7232" s="46" t="str">
        <f>IF(AND(I.Developer.P2a=TRUE,I.Facility.P2aFacilityCount&gt;=2220,F7232=""),"Incomplete","Complete")</f>
        <v>Complete</v>
      </c>
      <c r="I7232" s="48" t="s">
        <v>11597</v>
      </c>
    </row>
    <row r="7233" spans="2:9" ht="15" customHeight="1" x14ac:dyDescent="0.25">
      <c r="B7233" s="55" t="s">
        <v>280</v>
      </c>
      <c r="C7233" s="46">
        <v>2221</v>
      </c>
      <c r="D7233" s="69" t="s">
        <v>29417</v>
      </c>
      <c r="E7233" s="51"/>
      <c r="F7233" s="114" t="str">
        <f>IF(INDEX(I.Facility.P2aIDNumber,2221)="","",INDEX(I.Facility.P2aIDNumber,2221))</f>
        <v/>
      </c>
      <c r="G7233" s="51"/>
      <c r="H7233" s="46" t="str">
        <f>IF(AND(I.Developer.P2a=TRUE,I.Facility.P2aFacilityCount&gt;=2221,F7233=""),"Incomplete","Complete")</f>
        <v>Complete</v>
      </c>
      <c r="I7233" s="48" t="s">
        <v>11598</v>
      </c>
    </row>
    <row r="7234" spans="2:9" ht="15" customHeight="1" x14ac:dyDescent="0.25">
      <c r="B7234" s="55" t="s">
        <v>280</v>
      </c>
      <c r="C7234" s="46">
        <v>2222</v>
      </c>
      <c r="D7234" s="69" t="s">
        <v>29417</v>
      </c>
      <c r="E7234" s="51"/>
      <c r="F7234" s="114" t="str">
        <f>IF(INDEX(I.Facility.P2aIDNumber,2222)="","",INDEX(I.Facility.P2aIDNumber,2222))</f>
        <v/>
      </c>
      <c r="G7234" s="51"/>
      <c r="H7234" s="46" t="str">
        <f>IF(AND(I.Developer.P2a=TRUE,I.Facility.P2aFacilityCount&gt;=2222,F7234=""),"Incomplete","Complete")</f>
        <v>Complete</v>
      </c>
      <c r="I7234" s="48" t="s">
        <v>11599</v>
      </c>
    </row>
    <row r="7235" spans="2:9" ht="15" customHeight="1" x14ac:dyDescent="0.25">
      <c r="B7235" s="55" t="s">
        <v>280</v>
      </c>
      <c r="C7235" s="46">
        <v>2223</v>
      </c>
      <c r="D7235" s="69" t="s">
        <v>29417</v>
      </c>
      <c r="E7235" s="51"/>
      <c r="F7235" s="114" t="str">
        <f>IF(INDEX(I.Facility.P2aIDNumber,2223)="","",INDEX(I.Facility.P2aIDNumber,2223))</f>
        <v/>
      </c>
      <c r="G7235" s="51"/>
      <c r="H7235" s="46" t="str">
        <f>IF(AND(I.Developer.P2a=TRUE,I.Facility.P2aFacilityCount&gt;=2223,F7235=""),"Incomplete","Complete")</f>
        <v>Complete</v>
      </c>
      <c r="I7235" s="48" t="s">
        <v>11600</v>
      </c>
    </row>
    <row r="7236" spans="2:9" ht="15" customHeight="1" x14ac:dyDescent="0.25">
      <c r="B7236" s="55" t="s">
        <v>280</v>
      </c>
      <c r="C7236" s="46">
        <v>2224</v>
      </c>
      <c r="D7236" s="69" t="s">
        <v>29417</v>
      </c>
      <c r="E7236" s="51"/>
      <c r="F7236" s="114" t="str">
        <f>IF(INDEX(I.Facility.P2aIDNumber,2224)="","",INDEX(I.Facility.P2aIDNumber,2224))</f>
        <v/>
      </c>
      <c r="G7236" s="51"/>
      <c r="H7236" s="46" t="str">
        <f>IF(AND(I.Developer.P2a=TRUE,I.Facility.P2aFacilityCount&gt;=2224,F7236=""),"Incomplete","Complete")</f>
        <v>Complete</v>
      </c>
      <c r="I7236" s="48" t="s">
        <v>11601</v>
      </c>
    </row>
    <row r="7237" spans="2:9" ht="15" customHeight="1" x14ac:dyDescent="0.25">
      <c r="B7237" s="55" t="s">
        <v>280</v>
      </c>
      <c r="C7237" s="46">
        <v>2225</v>
      </c>
      <c r="D7237" s="69" t="s">
        <v>29417</v>
      </c>
      <c r="E7237" s="51"/>
      <c r="F7237" s="114" t="str">
        <f>IF(INDEX(I.Facility.P2aIDNumber,2225)="","",INDEX(I.Facility.P2aIDNumber,2225))</f>
        <v/>
      </c>
      <c r="G7237" s="51"/>
      <c r="H7237" s="46" t="str">
        <f>IF(AND(I.Developer.P2a=TRUE,I.Facility.P2aFacilityCount&gt;=2225,F7237=""),"Incomplete","Complete")</f>
        <v>Complete</v>
      </c>
      <c r="I7237" s="48" t="s">
        <v>11602</v>
      </c>
    </row>
    <row r="7238" spans="2:9" ht="15" customHeight="1" x14ac:dyDescent="0.25">
      <c r="B7238" s="55" t="s">
        <v>280</v>
      </c>
      <c r="C7238" s="46">
        <v>2226</v>
      </c>
      <c r="D7238" s="69" t="s">
        <v>29417</v>
      </c>
      <c r="E7238" s="51"/>
      <c r="F7238" s="114" t="str">
        <f>IF(INDEX(I.Facility.P2aIDNumber,2226)="","",INDEX(I.Facility.P2aIDNumber,2226))</f>
        <v/>
      </c>
      <c r="G7238" s="51"/>
      <c r="H7238" s="46" t="str">
        <f>IF(AND(I.Developer.P2a=TRUE,I.Facility.P2aFacilityCount&gt;=2226,F7238=""),"Incomplete","Complete")</f>
        <v>Complete</v>
      </c>
      <c r="I7238" s="48" t="s">
        <v>11603</v>
      </c>
    </row>
    <row r="7239" spans="2:9" ht="15" customHeight="1" x14ac:dyDescent="0.25">
      <c r="B7239" s="55" t="s">
        <v>280</v>
      </c>
      <c r="C7239" s="46">
        <v>2227</v>
      </c>
      <c r="D7239" s="69" t="s">
        <v>29417</v>
      </c>
      <c r="E7239" s="51"/>
      <c r="F7239" s="114" t="str">
        <f>IF(INDEX(I.Facility.P2aIDNumber,2227)="","",INDEX(I.Facility.P2aIDNumber,2227))</f>
        <v/>
      </c>
      <c r="G7239" s="51"/>
      <c r="H7239" s="46" t="str">
        <f>IF(AND(I.Developer.P2a=TRUE,I.Facility.P2aFacilityCount&gt;=2227,F7239=""),"Incomplete","Complete")</f>
        <v>Complete</v>
      </c>
      <c r="I7239" s="48" t="s">
        <v>11604</v>
      </c>
    </row>
    <row r="7240" spans="2:9" ht="15" customHeight="1" x14ac:dyDescent="0.25">
      <c r="B7240" s="55" t="s">
        <v>280</v>
      </c>
      <c r="C7240" s="46">
        <v>2228</v>
      </c>
      <c r="D7240" s="69" t="s">
        <v>29417</v>
      </c>
      <c r="E7240" s="51"/>
      <c r="F7240" s="114" t="str">
        <f>IF(INDEX(I.Facility.P2aIDNumber,2228)="","",INDEX(I.Facility.P2aIDNumber,2228))</f>
        <v/>
      </c>
      <c r="G7240" s="51"/>
      <c r="H7240" s="46" t="str">
        <f>IF(AND(I.Developer.P2a=TRUE,I.Facility.P2aFacilityCount&gt;=2228,F7240=""),"Incomplete","Complete")</f>
        <v>Complete</v>
      </c>
      <c r="I7240" s="48" t="s">
        <v>11605</v>
      </c>
    </row>
    <row r="7241" spans="2:9" ht="15" customHeight="1" x14ac:dyDescent="0.25">
      <c r="B7241" s="55" t="s">
        <v>280</v>
      </c>
      <c r="C7241" s="46">
        <v>2229</v>
      </c>
      <c r="D7241" s="69" t="s">
        <v>29417</v>
      </c>
      <c r="E7241" s="51"/>
      <c r="F7241" s="114" t="str">
        <f>IF(INDEX(I.Facility.P2aIDNumber,2229)="","",INDEX(I.Facility.P2aIDNumber,2229))</f>
        <v/>
      </c>
      <c r="G7241" s="51"/>
      <c r="H7241" s="46" t="str">
        <f>IF(AND(I.Developer.P2a=TRUE,I.Facility.P2aFacilityCount&gt;=2229,F7241=""),"Incomplete","Complete")</f>
        <v>Complete</v>
      </c>
      <c r="I7241" s="48" t="s">
        <v>11606</v>
      </c>
    </row>
    <row r="7242" spans="2:9" ht="15" customHeight="1" x14ac:dyDescent="0.25">
      <c r="B7242" s="55" t="s">
        <v>280</v>
      </c>
      <c r="C7242" s="46">
        <v>2230</v>
      </c>
      <c r="D7242" s="69" t="s">
        <v>29417</v>
      </c>
      <c r="E7242" s="51"/>
      <c r="F7242" s="114" t="str">
        <f>IF(INDEX(I.Facility.P2aIDNumber,2230)="","",INDEX(I.Facility.P2aIDNumber,2230))</f>
        <v/>
      </c>
      <c r="G7242" s="51"/>
      <c r="H7242" s="46" t="str">
        <f>IF(AND(I.Developer.P2a=TRUE,I.Facility.P2aFacilityCount&gt;=2230,F7242=""),"Incomplete","Complete")</f>
        <v>Complete</v>
      </c>
      <c r="I7242" s="48" t="s">
        <v>11607</v>
      </c>
    </row>
    <row r="7243" spans="2:9" ht="15" customHeight="1" x14ac:dyDescent="0.25">
      <c r="B7243" s="55" t="s">
        <v>280</v>
      </c>
      <c r="C7243" s="46">
        <v>2231</v>
      </c>
      <c r="D7243" s="69" t="s">
        <v>29417</v>
      </c>
      <c r="E7243" s="51"/>
      <c r="F7243" s="114" t="str">
        <f>IF(INDEX(I.Facility.P2aIDNumber,2231)="","",INDEX(I.Facility.P2aIDNumber,2231))</f>
        <v/>
      </c>
      <c r="G7243" s="51"/>
      <c r="H7243" s="46" t="str">
        <f>IF(AND(I.Developer.P2a=TRUE,I.Facility.P2aFacilityCount&gt;=2231,F7243=""),"Incomplete","Complete")</f>
        <v>Complete</v>
      </c>
      <c r="I7243" s="48" t="s">
        <v>11608</v>
      </c>
    </row>
    <row r="7244" spans="2:9" ht="15" customHeight="1" x14ac:dyDescent="0.25">
      <c r="B7244" s="55" t="s">
        <v>280</v>
      </c>
      <c r="C7244" s="46">
        <v>2232</v>
      </c>
      <c r="D7244" s="69" t="s">
        <v>29417</v>
      </c>
      <c r="E7244" s="51"/>
      <c r="F7244" s="114" t="str">
        <f>IF(INDEX(I.Facility.P2aIDNumber,2232)="","",INDEX(I.Facility.P2aIDNumber,2232))</f>
        <v/>
      </c>
      <c r="G7244" s="51"/>
      <c r="H7244" s="46" t="str">
        <f>IF(AND(I.Developer.P2a=TRUE,I.Facility.P2aFacilityCount&gt;=2232,F7244=""),"Incomplete","Complete")</f>
        <v>Complete</v>
      </c>
      <c r="I7244" s="48" t="s">
        <v>11609</v>
      </c>
    </row>
    <row r="7245" spans="2:9" ht="15" customHeight="1" x14ac:dyDescent="0.25">
      <c r="B7245" s="55" t="s">
        <v>280</v>
      </c>
      <c r="C7245" s="46">
        <v>2233</v>
      </c>
      <c r="D7245" s="69" t="s">
        <v>29417</v>
      </c>
      <c r="E7245" s="51"/>
      <c r="F7245" s="114" t="str">
        <f>IF(INDEX(I.Facility.P2aIDNumber,2233)="","",INDEX(I.Facility.P2aIDNumber,2233))</f>
        <v/>
      </c>
      <c r="G7245" s="51"/>
      <c r="H7245" s="46" t="str">
        <f>IF(AND(I.Developer.P2a=TRUE,I.Facility.P2aFacilityCount&gt;=2233,F7245=""),"Incomplete","Complete")</f>
        <v>Complete</v>
      </c>
      <c r="I7245" s="48" t="s">
        <v>11610</v>
      </c>
    </row>
    <row r="7246" spans="2:9" ht="15" customHeight="1" x14ac:dyDescent="0.25">
      <c r="B7246" s="55" t="s">
        <v>280</v>
      </c>
      <c r="C7246" s="46">
        <v>2234</v>
      </c>
      <c r="D7246" s="69" t="s">
        <v>29417</v>
      </c>
      <c r="E7246" s="51"/>
      <c r="F7246" s="114" t="str">
        <f>IF(INDEX(I.Facility.P2aIDNumber,2234)="","",INDEX(I.Facility.P2aIDNumber,2234))</f>
        <v/>
      </c>
      <c r="G7246" s="51"/>
      <c r="H7246" s="46" t="str">
        <f>IF(AND(I.Developer.P2a=TRUE,I.Facility.P2aFacilityCount&gt;=2234,F7246=""),"Incomplete","Complete")</f>
        <v>Complete</v>
      </c>
      <c r="I7246" s="48" t="s">
        <v>11611</v>
      </c>
    </row>
    <row r="7247" spans="2:9" ht="15" customHeight="1" x14ac:dyDescent="0.25">
      <c r="B7247" s="55" t="s">
        <v>280</v>
      </c>
      <c r="C7247" s="46">
        <v>2235</v>
      </c>
      <c r="D7247" s="69" t="s">
        <v>29417</v>
      </c>
      <c r="E7247" s="51"/>
      <c r="F7247" s="114" t="str">
        <f>IF(INDEX(I.Facility.P2aIDNumber,2235)="","",INDEX(I.Facility.P2aIDNumber,2235))</f>
        <v/>
      </c>
      <c r="G7247" s="51"/>
      <c r="H7247" s="46" t="str">
        <f>IF(AND(I.Developer.P2a=TRUE,I.Facility.P2aFacilityCount&gt;=2235,F7247=""),"Incomplete","Complete")</f>
        <v>Complete</v>
      </c>
      <c r="I7247" s="48" t="s">
        <v>11612</v>
      </c>
    </row>
    <row r="7248" spans="2:9" ht="15" customHeight="1" x14ac:dyDescent="0.25">
      <c r="B7248" s="55" t="s">
        <v>280</v>
      </c>
      <c r="C7248" s="46">
        <v>2236</v>
      </c>
      <c r="D7248" s="69" t="s">
        <v>29417</v>
      </c>
      <c r="E7248" s="51"/>
      <c r="F7248" s="114" t="str">
        <f>IF(INDEX(I.Facility.P2aIDNumber,2236)="","",INDEX(I.Facility.P2aIDNumber,2236))</f>
        <v/>
      </c>
      <c r="G7248" s="51"/>
      <c r="H7248" s="46" t="str">
        <f>IF(AND(I.Developer.P2a=TRUE,I.Facility.P2aFacilityCount&gt;=2236,F7248=""),"Incomplete","Complete")</f>
        <v>Complete</v>
      </c>
      <c r="I7248" s="48" t="s">
        <v>11613</v>
      </c>
    </row>
    <row r="7249" spans="2:9" ht="15" customHeight="1" x14ac:dyDescent="0.25">
      <c r="B7249" s="55" t="s">
        <v>280</v>
      </c>
      <c r="C7249" s="46">
        <v>2237</v>
      </c>
      <c r="D7249" s="69" t="s">
        <v>29417</v>
      </c>
      <c r="E7249" s="51"/>
      <c r="F7249" s="114" t="str">
        <f>IF(INDEX(I.Facility.P2aIDNumber,2237)="","",INDEX(I.Facility.P2aIDNumber,2237))</f>
        <v/>
      </c>
      <c r="G7249" s="51"/>
      <c r="H7249" s="46" t="str">
        <f>IF(AND(I.Developer.P2a=TRUE,I.Facility.P2aFacilityCount&gt;=2237,F7249=""),"Incomplete","Complete")</f>
        <v>Complete</v>
      </c>
      <c r="I7249" s="48" t="s">
        <v>11614</v>
      </c>
    </row>
    <row r="7250" spans="2:9" ht="15" customHeight="1" x14ac:dyDescent="0.25">
      <c r="B7250" s="55" t="s">
        <v>280</v>
      </c>
      <c r="C7250" s="46">
        <v>2238</v>
      </c>
      <c r="D7250" s="69" t="s">
        <v>29417</v>
      </c>
      <c r="E7250" s="51"/>
      <c r="F7250" s="114" t="str">
        <f>IF(INDEX(I.Facility.P2aIDNumber,2238)="","",INDEX(I.Facility.P2aIDNumber,2238))</f>
        <v/>
      </c>
      <c r="G7250" s="51"/>
      <c r="H7250" s="46" t="str">
        <f>IF(AND(I.Developer.P2a=TRUE,I.Facility.P2aFacilityCount&gt;=2238,F7250=""),"Incomplete","Complete")</f>
        <v>Complete</v>
      </c>
      <c r="I7250" s="48" t="s">
        <v>11615</v>
      </c>
    </row>
    <row r="7251" spans="2:9" ht="15" customHeight="1" x14ac:dyDescent="0.25">
      <c r="B7251" s="55" t="s">
        <v>280</v>
      </c>
      <c r="C7251" s="46">
        <v>2239</v>
      </c>
      <c r="D7251" s="69" t="s">
        <v>29417</v>
      </c>
      <c r="E7251" s="51"/>
      <c r="F7251" s="114" t="str">
        <f>IF(INDEX(I.Facility.P2aIDNumber,2239)="","",INDEX(I.Facility.P2aIDNumber,2239))</f>
        <v/>
      </c>
      <c r="G7251" s="51"/>
      <c r="H7251" s="46" t="str">
        <f>IF(AND(I.Developer.P2a=TRUE,I.Facility.P2aFacilityCount&gt;=2239,F7251=""),"Incomplete","Complete")</f>
        <v>Complete</v>
      </c>
      <c r="I7251" s="48" t="s">
        <v>11616</v>
      </c>
    </row>
    <row r="7252" spans="2:9" ht="15" customHeight="1" x14ac:dyDescent="0.25">
      <c r="B7252" s="55" t="s">
        <v>280</v>
      </c>
      <c r="C7252" s="46">
        <v>2240</v>
      </c>
      <c r="D7252" s="69" t="s">
        <v>29417</v>
      </c>
      <c r="E7252" s="51"/>
      <c r="F7252" s="114" t="str">
        <f>IF(INDEX(I.Facility.P2aIDNumber,2240)="","",INDEX(I.Facility.P2aIDNumber,2240))</f>
        <v/>
      </c>
      <c r="G7252" s="51"/>
      <c r="H7252" s="46" t="str">
        <f>IF(AND(I.Developer.P2a=TRUE,I.Facility.P2aFacilityCount&gt;=2240,F7252=""),"Incomplete","Complete")</f>
        <v>Complete</v>
      </c>
      <c r="I7252" s="48" t="s">
        <v>11617</v>
      </c>
    </row>
    <row r="7253" spans="2:9" ht="15" customHeight="1" x14ac:dyDescent="0.25">
      <c r="B7253" s="55" t="s">
        <v>280</v>
      </c>
      <c r="C7253" s="46">
        <v>2241</v>
      </c>
      <c r="D7253" s="69" t="s">
        <v>29417</v>
      </c>
      <c r="E7253" s="51"/>
      <c r="F7253" s="114" t="str">
        <f>IF(INDEX(I.Facility.P2aIDNumber,2241)="","",INDEX(I.Facility.P2aIDNumber,2241))</f>
        <v/>
      </c>
      <c r="G7253" s="51"/>
      <c r="H7253" s="46" t="str">
        <f>IF(AND(I.Developer.P2a=TRUE,I.Facility.P2aFacilityCount&gt;=2241,F7253=""),"Incomplete","Complete")</f>
        <v>Complete</v>
      </c>
      <c r="I7253" s="48" t="s">
        <v>11618</v>
      </c>
    </row>
    <row r="7254" spans="2:9" ht="15" customHeight="1" x14ac:dyDescent="0.25">
      <c r="B7254" s="55" t="s">
        <v>280</v>
      </c>
      <c r="C7254" s="46">
        <v>2242</v>
      </c>
      <c r="D7254" s="69" t="s">
        <v>29417</v>
      </c>
      <c r="E7254" s="51"/>
      <c r="F7254" s="114" t="str">
        <f>IF(INDEX(I.Facility.P2aIDNumber,2242)="","",INDEX(I.Facility.P2aIDNumber,2242))</f>
        <v/>
      </c>
      <c r="G7254" s="51"/>
      <c r="H7254" s="46" t="str">
        <f>IF(AND(I.Developer.P2a=TRUE,I.Facility.P2aFacilityCount&gt;=2242,F7254=""),"Incomplete","Complete")</f>
        <v>Complete</v>
      </c>
      <c r="I7254" s="48" t="s">
        <v>11619</v>
      </c>
    </row>
    <row r="7255" spans="2:9" ht="15" customHeight="1" x14ac:dyDescent="0.25">
      <c r="B7255" s="55" t="s">
        <v>280</v>
      </c>
      <c r="C7255" s="46">
        <v>2243</v>
      </c>
      <c r="D7255" s="69" t="s">
        <v>29417</v>
      </c>
      <c r="E7255" s="51"/>
      <c r="F7255" s="114" t="str">
        <f>IF(INDEX(I.Facility.P2aIDNumber,2243)="","",INDEX(I.Facility.P2aIDNumber,2243))</f>
        <v/>
      </c>
      <c r="G7255" s="51"/>
      <c r="H7255" s="46" t="str">
        <f>IF(AND(I.Developer.P2a=TRUE,I.Facility.P2aFacilityCount&gt;=2243,F7255=""),"Incomplete","Complete")</f>
        <v>Complete</v>
      </c>
      <c r="I7255" s="48" t="s">
        <v>11620</v>
      </c>
    </row>
    <row r="7256" spans="2:9" ht="15" customHeight="1" x14ac:dyDescent="0.25">
      <c r="B7256" s="55" t="s">
        <v>280</v>
      </c>
      <c r="C7256" s="46">
        <v>2244</v>
      </c>
      <c r="D7256" s="69" t="s">
        <v>29417</v>
      </c>
      <c r="E7256" s="51"/>
      <c r="F7256" s="114" t="str">
        <f>IF(INDEX(I.Facility.P2aIDNumber,2244)="","",INDEX(I.Facility.P2aIDNumber,2244))</f>
        <v/>
      </c>
      <c r="G7256" s="51"/>
      <c r="H7256" s="46" t="str">
        <f>IF(AND(I.Developer.P2a=TRUE,I.Facility.P2aFacilityCount&gt;=2244,F7256=""),"Incomplete","Complete")</f>
        <v>Complete</v>
      </c>
      <c r="I7256" s="48" t="s">
        <v>11621</v>
      </c>
    </row>
    <row r="7257" spans="2:9" ht="15" customHeight="1" x14ac:dyDescent="0.25">
      <c r="B7257" s="55" t="s">
        <v>280</v>
      </c>
      <c r="C7257" s="46">
        <v>2245</v>
      </c>
      <c r="D7257" s="69" t="s">
        <v>29417</v>
      </c>
      <c r="E7257" s="51"/>
      <c r="F7257" s="114" t="str">
        <f>IF(INDEX(I.Facility.P2aIDNumber,2245)="","",INDEX(I.Facility.P2aIDNumber,2245))</f>
        <v/>
      </c>
      <c r="G7257" s="51"/>
      <c r="H7257" s="46" t="str">
        <f>IF(AND(I.Developer.P2a=TRUE,I.Facility.P2aFacilityCount&gt;=2245,F7257=""),"Incomplete","Complete")</f>
        <v>Complete</v>
      </c>
      <c r="I7257" s="48" t="s">
        <v>11622</v>
      </c>
    </row>
    <row r="7258" spans="2:9" ht="15" customHeight="1" x14ac:dyDescent="0.25">
      <c r="B7258" s="55" t="s">
        <v>280</v>
      </c>
      <c r="C7258" s="46">
        <v>2246</v>
      </c>
      <c r="D7258" s="69" t="s">
        <v>29417</v>
      </c>
      <c r="E7258" s="51"/>
      <c r="F7258" s="114" t="str">
        <f>IF(INDEX(I.Facility.P2aIDNumber,2246)="","",INDEX(I.Facility.P2aIDNumber,2246))</f>
        <v/>
      </c>
      <c r="G7258" s="51"/>
      <c r="H7258" s="46" t="str">
        <f>IF(AND(I.Developer.P2a=TRUE,I.Facility.P2aFacilityCount&gt;=2246,F7258=""),"Incomplete","Complete")</f>
        <v>Complete</v>
      </c>
      <c r="I7258" s="48" t="s">
        <v>11623</v>
      </c>
    </row>
    <row r="7259" spans="2:9" ht="15" customHeight="1" x14ac:dyDescent="0.25">
      <c r="B7259" s="55" t="s">
        <v>280</v>
      </c>
      <c r="C7259" s="46">
        <v>2247</v>
      </c>
      <c r="D7259" s="69" t="s">
        <v>29417</v>
      </c>
      <c r="E7259" s="51"/>
      <c r="F7259" s="114" t="str">
        <f>IF(INDEX(I.Facility.P2aIDNumber,2247)="","",INDEX(I.Facility.P2aIDNumber,2247))</f>
        <v/>
      </c>
      <c r="G7259" s="51"/>
      <c r="H7259" s="46" t="str">
        <f>IF(AND(I.Developer.P2a=TRUE,I.Facility.P2aFacilityCount&gt;=2247,F7259=""),"Incomplete","Complete")</f>
        <v>Complete</v>
      </c>
      <c r="I7259" s="48" t="s">
        <v>11624</v>
      </c>
    </row>
    <row r="7260" spans="2:9" ht="15" customHeight="1" x14ac:dyDescent="0.25">
      <c r="B7260" s="55" t="s">
        <v>280</v>
      </c>
      <c r="C7260" s="46">
        <v>2248</v>
      </c>
      <c r="D7260" s="69" t="s">
        <v>29417</v>
      </c>
      <c r="E7260" s="51"/>
      <c r="F7260" s="114" t="str">
        <f>IF(INDEX(I.Facility.P2aIDNumber,2248)="","",INDEX(I.Facility.P2aIDNumber,2248))</f>
        <v/>
      </c>
      <c r="G7260" s="51"/>
      <c r="H7260" s="46" t="str">
        <f>IF(AND(I.Developer.P2a=TRUE,I.Facility.P2aFacilityCount&gt;=2248,F7260=""),"Incomplete","Complete")</f>
        <v>Complete</v>
      </c>
      <c r="I7260" s="48" t="s">
        <v>11625</v>
      </c>
    </row>
    <row r="7261" spans="2:9" ht="15" customHeight="1" x14ac:dyDescent="0.25">
      <c r="B7261" s="55" t="s">
        <v>280</v>
      </c>
      <c r="C7261" s="46">
        <v>2249</v>
      </c>
      <c r="D7261" s="69" t="s">
        <v>29417</v>
      </c>
      <c r="E7261" s="51"/>
      <c r="F7261" s="114" t="str">
        <f>IF(INDEX(I.Facility.P2aIDNumber,2249)="","",INDEX(I.Facility.P2aIDNumber,2249))</f>
        <v/>
      </c>
      <c r="G7261" s="51"/>
      <c r="H7261" s="46" t="str">
        <f>IF(AND(I.Developer.P2a=TRUE,I.Facility.P2aFacilityCount&gt;=2249,F7261=""),"Incomplete","Complete")</f>
        <v>Complete</v>
      </c>
      <c r="I7261" s="48" t="s">
        <v>11626</v>
      </c>
    </row>
    <row r="7262" spans="2:9" ht="15" customHeight="1" x14ac:dyDescent="0.25">
      <c r="B7262" s="55" t="s">
        <v>280</v>
      </c>
      <c r="C7262" s="46">
        <v>2250</v>
      </c>
      <c r="D7262" s="69" t="s">
        <v>29417</v>
      </c>
      <c r="E7262" s="51"/>
      <c r="F7262" s="114" t="str">
        <f>IF(INDEX(I.Facility.P2aIDNumber,2250)="","",INDEX(I.Facility.P2aIDNumber,2250))</f>
        <v/>
      </c>
      <c r="G7262" s="51"/>
      <c r="H7262" s="46" t="str">
        <f>IF(AND(I.Developer.P2a=TRUE,I.Facility.P2aFacilityCount&gt;=2250,F7262=""),"Incomplete","Complete")</f>
        <v>Complete</v>
      </c>
      <c r="I7262" s="48" t="s">
        <v>11627</v>
      </c>
    </row>
    <row r="7263" spans="2:9" ht="15" customHeight="1" x14ac:dyDescent="0.25">
      <c r="B7263" s="55" t="s">
        <v>280</v>
      </c>
      <c r="C7263" s="46">
        <v>2251</v>
      </c>
      <c r="D7263" s="69" t="s">
        <v>29417</v>
      </c>
      <c r="E7263" s="51"/>
      <c r="F7263" s="114" t="str">
        <f>IF(INDEX(I.Facility.P2aIDNumber,2251)="","",INDEX(I.Facility.P2aIDNumber,2251))</f>
        <v/>
      </c>
      <c r="G7263" s="51"/>
      <c r="H7263" s="46" t="str">
        <f>IF(AND(I.Developer.P2a=TRUE,I.Facility.P2aFacilityCount&gt;=2251,F7263=""),"Incomplete","Complete")</f>
        <v>Complete</v>
      </c>
      <c r="I7263" s="48" t="s">
        <v>11628</v>
      </c>
    </row>
    <row r="7264" spans="2:9" ht="15" customHeight="1" x14ac:dyDescent="0.25">
      <c r="B7264" s="55" t="s">
        <v>280</v>
      </c>
      <c r="C7264" s="46">
        <v>2252</v>
      </c>
      <c r="D7264" s="69" t="s">
        <v>29417</v>
      </c>
      <c r="E7264" s="51"/>
      <c r="F7264" s="114" t="str">
        <f>IF(INDEX(I.Facility.P2aIDNumber,2252)="","",INDEX(I.Facility.P2aIDNumber,2252))</f>
        <v/>
      </c>
      <c r="G7264" s="51"/>
      <c r="H7264" s="46" t="str">
        <f>IF(AND(I.Developer.P2a=TRUE,I.Facility.P2aFacilityCount&gt;=2252,F7264=""),"Incomplete","Complete")</f>
        <v>Complete</v>
      </c>
      <c r="I7264" s="48" t="s">
        <v>11629</v>
      </c>
    </row>
    <row r="7265" spans="2:9" ht="15" customHeight="1" x14ac:dyDescent="0.25">
      <c r="B7265" s="55" t="s">
        <v>280</v>
      </c>
      <c r="C7265" s="46">
        <v>2253</v>
      </c>
      <c r="D7265" s="69" t="s">
        <v>29417</v>
      </c>
      <c r="E7265" s="51"/>
      <c r="F7265" s="114" t="str">
        <f>IF(INDEX(I.Facility.P2aIDNumber,2253)="","",INDEX(I.Facility.P2aIDNumber,2253))</f>
        <v/>
      </c>
      <c r="G7265" s="51"/>
      <c r="H7265" s="46" t="str">
        <f>IF(AND(I.Developer.P2a=TRUE,I.Facility.P2aFacilityCount&gt;=2253,F7265=""),"Incomplete","Complete")</f>
        <v>Complete</v>
      </c>
      <c r="I7265" s="48" t="s">
        <v>11630</v>
      </c>
    </row>
    <row r="7266" spans="2:9" ht="15" customHeight="1" x14ac:dyDescent="0.25">
      <c r="B7266" s="55" t="s">
        <v>280</v>
      </c>
      <c r="C7266" s="46">
        <v>2254</v>
      </c>
      <c r="D7266" s="69" t="s">
        <v>29417</v>
      </c>
      <c r="E7266" s="51"/>
      <c r="F7266" s="114" t="str">
        <f>IF(INDEX(I.Facility.P2aIDNumber,2254)="","",INDEX(I.Facility.P2aIDNumber,2254))</f>
        <v/>
      </c>
      <c r="G7266" s="51"/>
      <c r="H7266" s="46" t="str">
        <f>IF(AND(I.Developer.P2a=TRUE,I.Facility.P2aFacilityCount&gt;=2254,F7266=""),"Incomplete","Complete")</f>
        <v>Complete</v>
      </c>
      <c r="I7266" s="48" t="s">
        <v>11631</v>
      </c>
    </row>
    <row r="7267" spans="2:9" ht="15" customHeight="1" x14ac:dyDescent="0.25">
      <c r="B7267" s="55" t="s">
        <v>280</v>
      </c>
      <c r="C7267" s="46">
        <v>2255</v>
      </c>
      <c r="D7267" s="69" t="s">
        <v>29417</v>
      </c>
      <c r="E7267" s="51"/>
      <c r="F7267" s="114" t="str">
        <f>IF(INDEX(I.Facility.P2aIDNumber,2255)="","",INDEX(I.Facility.P2aIDNumber,2255))</f>
        <v/>
      </c>
      <c r="G7267" s="51"/>
      <c r="H7267" s="46" t="str">
        <f>IF(AND(I.Developer.P2a=TRUE,I.Facility.P2aFacilityCount&gt;=2255,F7267=""),"Incomplete","Complete")</f>
        <v>Complete</v>
      </c>
      <c r="I7267" s="48" t="s">
        <v>11632</v>
      </c>
    </row>
    <row r="7268" spans="2:9" ht="15" customHeight="1" x14ac:dyDescent="0.25">
      <c r="B7268" s="55" t="s">
        <v>280</v>
      </c>
      <c r="C7268" s="46">
        <v>2256</v>
      </c>
      <c r="D7268" s="69" t="s">
        <v>29417</v>
      </c>
      <c r="E7268" s="51"/>
      <c r="F7268" s="114" t="str">
        <f>IF(INDEX(I.Facility.P2aIDNumber,2256)="","",INDEX(I.Facility.P2aIDNumber,2256))</f>
        <v/>
      </c>
      <c r="G7268" s="51"/>
      <c r="H7268" s="46" t="str">
        <f>IF(AND(I.Developer.P2a=TRUE,I.Facility.P2aFacilityCount&gt;=2256,F7268=""),"Incomplete","Complete")</f>
        <v>Complete</v>
      </c>
      <c r="I7268" s="48" t="s">
        <v>11633</v>
      </c>
    </row>
    <row r="7269" spans="2:9" ht="15" customHeight="1" x14ac:dyDescent="0.25">
      <c r="B7269" s="55" t="s">
        <v>280</v>
      </c>
      <c r="C7269" s="46">
        <v>2257</v>
      </c>
      <c r="D7269" s="69" t="s">
        <v>29417</v>
      </c>
      <c r="E7269" s="51"/>
      <c r="F7269" s="114" t="str">
        <f>IF(INDEX(I.Facility.P2aIDNumber,2257)="","",INDEX(I.Facility.P2aIDNumber,2257))</f>
        <v/>
      </c>
      <c r="G7269" s="51"/>
      <c r="H7269" s="46" t="str">
        <f>IF(AND(I.Developer.P2a=TRUE,I.Facility.P2aFacilityCount&gt;=2257,F7269=""),"Incomplete","Complete")</f>
        <v>Complete</v>
      </c>
      <c r="I7269" s="48" t="s">
        <v>11634</v>
      </c>
    </row>
    <row r="7270" spans="2:9" ht="15" customHeight="1" x14ac:dyDescent="0.25">
      <c r="B7270" s="55" t="s">
        <v>280</v>
      </c>
      <c r="C7270" s="46">
        <v>2258</v>
      </c>
      <c r="D7270" s="69" t="s">
        <v>29417</v>
      </c>
      <c r="E7270" s="51"/>
      <c r="F7270" s="114" t="str">
        <f>IF(INDEX(I.Facility.P2aIDNumber,2258)="","",INDEX(I.Facility.P2aIDNumber,2258))</f>
        <v/>
      </c>
      <c r="G7270" s="51"/>
      <c r="H7270" s="46" t="str">
        <f>IF(AND(I.Developer.P2a=TRUE,I.Facility.P2aFacilityCount&gt;=2258,F7270=""),"Incomplete","Complete")</f>
        <v>Complete</v>
      </c>
      <c r="I7270" s="48" t="s">
        <v>11635</v>
      </c>
    </row>
    <row r="7271" spans="2:9" ht="15" customHeight="1" x14ac:dyDescent="0.25">
      <c r="B7271" s="55" t="s">
        <v>280</v>
      </c>
      <c r="C7271" s="46">
        <v>2259</v>
      </c>
      <c r="D7271" s="69" t="s">
        <v>29417</v>
      </c>
      <c r="E7271" s="51"/>
      <c r="F7271" s="114" t="str">
        <f>IF(INDEX(I.Facility.P2aIDNumber,2259)="","",INDEX(I.Facility.P2aIDNumber,2259))</f>
        <v/>
      </c>
      <c r="G7271" s="51"/>
      <c r="H7271" s="46" t="str">
        <f>IF(AND(I.Developer.P2a=TRUE,I.Facility.P2aFacilityCount&gt;=2259,F7271=""),"Incomplete","Complete")</f>
        <v>Complete</v>
      </c>
      <c r="I7271" s="48" t="s">
        <v>11636</v>
      </c>
    </row>
    <row r="7272" spans="2:9" ht="15" customHeight="1" x14ac:dyDescent="0.25">
      <c r="B7272" s="55" t="s">
        <v>280</v>
      </c>
      <c r="C7272" s="46">
        <v>2260</v>
      </c>
      <c r="D7272" s="69" t="s">
        <v>29417</v>
      </c>
      <c r="E7272" s="51"/>
      <c r="F7272" s="114" t="str">
        <f>IF(INDEX(I.Facility.P2aIDNumber,2260)="","",INDEX(I.Facility.P2aIDNumber,2260))</f>
        <v/>
      </c>
      <c r="G7272" s="51"/>
      <c r="H7272" s="46" t="str">
        <f>IF(AND(I.Developer.P2a=TRUE,I.Facility.P2aFacilityCount&gt;=2260,F7272=""),"Incomplete","Complete")</f>
        <v>Complete</v>
      </c>
      <c r="I7272" s="48" t="s">
        <v>11637</v>
      </c>
    </row>
    <row r="7273" spans="2:9" ht="15" customHeight="1" x14ac:dyDescent="0.25">
      <c r="B7273" s="55" t="s">
        <v>280</v>
      </c>
      <c r="C7273" s="46">
        <v>2261</v>
      </c>
      <c r="D7273" s="69" t="s">
        <v>29417</v>
      </c>
      <c r="E7273" s="51"/>
      <c r="F7273" s="114" t="str">
        <f>IF(INDEX(I.Facility.P2aIDNumber,2261)="","",INDEX(I.Facility.P2aIDNumber,2261))</f>
        <v/>
      </c>
      <c r="G7273" s="51"/>
      <c r="H7273" s="46" t="str">
        <f>IF(AND(I.Developer.P2a=TRUE,I.Facility.P2aFacilityCount&gt;=2261,F7273=""),"Incomplete","Complete")</f>
        <v>Complete</v>
      </c>
      <c r="I7273" s="48" t="s">
        <v>11638</v>
      </c>
    </row>
    <row r="7274" spans="2:9" ht="15" customHeight="1" x14ac:dyDescent="0.25">
      <c r="B7274" s="55" t="s">
        <v>280</v>
      </c>
      <c r="C7274" s="46">
        <v>2262</v>
      </c>
      <c r="D7274" s="69" t="s">
        <v>29417</v>
      </c>
      <c r="E7274" s="51"/>
      <c r="F7274" s="114" t="str">
        <f>IF(INDEX(I.Facility.P2aIDNumber,2262)="","",INDEX(I.Facility.P2aIDNumber,2262))</f>
        <v/>
      </c>
      <c r="G7274" s="51"/>
      <c r="H7274" s="46" t="str">
        <f>IF(AND(I.Developer.P2a=TRUE,I.Facility.P2aFacilityCount&gt;=2262,F7274=""),"Incomplete","Complete")</f>
        <v>Complete</v>
      </c>
      <c r="I7274" s="48" t="s">
        <v>11639</v>
      </c>
    </row>
    <row r="7275" spans="2:9" ht="15" customHeight="1" x14ac:dyDescent="0.25">
      <c r="B7275" s="55" t="s">
        <v>280</v>
      </c>
      <c r="C7275" s="46">
        <v>2263</v>
      </c>
      <c r="D7275" s="69" t="s">
        <v>29417</v>
      </c>
      <c r="E7275" s="51"/>
      <c r="F7275" s="114" t="str">
        <f>IF(INDEX(I.Facility.P2aIDNumber,2263)="","",INDEX(I.Facility.P2aIDNumber,2263))</f>
        <v/>
      </c>
      <c r="G7275" s="51"/>
      <c r="H7275" s="46" t="str">
        <f>IF(AND(I.Developer.P2a=TRUE,I.Facility.P2aFacilityCount&gt;=2263,F7275=""),"Incomplete","Complete")</f>
        <v>Complete</v>
      </c>
      <c r="I7275" s="48" t="s">
        <v>11640</v>
      </c>
    </row>
    <row r="7276" spans="2:9" ht="15" customHeight="1" x14ac:dyDescent="0.25">
      <c r="B7276" s="55" t="s">
        <v>280</v>
      </c>
      <c r="C7276" s="46">
        <v>2264</v>
      </c>
      <c r="D7276" s="69" t="s">
        <v>29417</v>
      </c>
      <c r="E7276" s="51"/>
      <c r="F7276" s="114" t="str">
        <f>IF(INDEX(I.Facility.P2aIDNumber,2264)="","",INDEX(I.Facility.P2aIDNumber,2264))</f>
        <v/>
      </c>
      <c r="G7276" s="51"/>
      <c r="H7276" s="46" t="str">
        <f>IF(AND(I.Developer.P2a=TRUE,I.Facility.P2aFacilityCount&gt;=2264,F7276=""),"Incomplete","Complete")</f>
        <v>Complete</v>
      </c>
      <c r="I7276" s="48" t="s">
        <v>11641</v>
      </c>
    </row>
    <row r="7277" spans="2:9" ht="15" customHeight="1" x14ac:dyDescent="0.25">
      <c r="B7277" s="55" t="s">
        <v>280</v>
      </c>
      <c r="C7277" s="46">
        <v>2265</v>
      </c>
      <c r="D7277" s="69" t="s">
        <v>29417</v>
      </c>
      <c r="E7277" s="51"/>
      <c r="F7277" s="114" t="str">
        <f>IF(INDEX(I.Facility.P2aIDNumber,2265)="","",INDEX(I.Facility.P2aIDNumber,2265))</f>
        <v/>
      </c>
      <c r="G7277" s="51"/>
      <c r="H7277" s="46" t="str">
        <f>IF(AND(I.Developer.P2a=TRUE,I.Facility.P2aFacilityCount&gt;=2265,F7277=""),"Incomplete","Complete")</f>
        <v>Complete</v>
      </c>
      <c r="I7277" s="48" t="s">
        <v>11642</v>
      </c>
    </row>
    <row r="7278" spans="2:9" ht="15" customHeight="1" x14ac:dyDescent="0.25">
      <c r="B7278" s="55" t="s">
        <v>280</v>
      </c>
      <c r="C7278" s="46">
        <v>2266</v>
      </c>
      <c r="D7278" s="69" t="s">
        <v>29417</v>
      </c>
      <c r="E7278" s="51"/>
      <c r="F7278" s="114" t="str">
        <f>IF(INDEX(I.Facility.P2aIDNumber,2266)="","",INDEX(I.Facility.P2aIDNumber,2266))</f>
        <v/>
      </c>
      <c r="G7278" s="51"/>
      <c r="H7278" s="46" t="str">
        <f>IF(AND(I.Developer.P2a=TRUE,I.Facility.P2aFacilityCount&gt;=2266,F7278=""),"Incomplete","Complete")</f>
        <v>Complete</v>
      </c>
      <c r="I7278" s="48" t="s">
        <v>11643</v>
      </c>
    </row>
    <row r="7279" spans="2:9" ht="15" customHeight="1" x14ac:dyDescent="0.25">
      <c r="B7279" s="55" t="s">
        <v>280</v>
      </c>
      <c r="C7279" s="46">
        <v>2267</v>
      </c>
      <c r="D7279" s="69" t="s">
        <v>29417</v>
      </c>
      <c r="E7279" s="51"/>
      <c r="F7279" s="114" t="str">
        <f>IF(INDEX(I.Facility.P2aIDNumber,2267)="","",INDEX(I.Facility.P2aIDNumber,2267))</f>
        <v/>
      </c>
      <c r="G7279" s="51"/>
      <c r="H7279" s="46" t="str">
        <f>IF(AND(I.Developer.P2a=TRUE,I.Facility.P2aFacilityCount&gt;=2267,F7279=""),"Incomplete","Complete")</f>
        <v>Complete</v>
      </c>
      <c r="I7279" s="48" t="s">
        <v>11644</v>
      </c>
    </row>
    <row r="7280" spans="2:9" ht="15" customHeight="1" x14ac:dyDescent="0.25">
      <c r="B7280" s="55" t="s">
        <v>280</v>
      </c>
      <c r="C7280" s="46">
        <v>2268</v>
      </c>
      <c r="D7280" s="69" t="s">
        <v>29417</v>
      </c>
      <c r="E7280" s="51"/>
      <c r="F7280" s="114" t="str">
        <f>IF(INDEX(I.Facility.P2aIDNumber,2268)="","",INDEX(I.Facility.P2aIDNumber,2268))</f>
        <v/>
      </c>
      <c r="G7280" s="51"/>
      <c r="H7280" s="46" t="str">
        <f>IF(AND(I.Developer.P2a=TRUE,I.Facility.P2aFacilityCount&gt;=2268,F7280=""),"Incomplete","Complete")</f>
        <v>Complete</v>
      </c>
      <c r="I7280" s="48" t="s">
        <v>11645</v>
      </c>
    </row>
    <row r="7281" spans="2:9" ht="15" customHeight="1" x14ac:dyDescent="0.25">
      <c r="B7281" s="55" t="s">
        <v>280</v>
      </c>
      <c r="C7281" s="46">
        <v>2269</v>
      </c>
      <c r="D7281" s="69" t="s">
        <v>29417</v>
      </c>
      <c r="E7281" s="51"/>
      <c r="F7281" s="114" t="str">
        <f>IF(INDEX(I.Facility.P2aIDNumber,2269)="","",INDEX(I.Facility.P2aIDNumber,2269))</f>
        <v/>
      </c>
      <c r="G7281" s="51"/>
      <c r="H7281" s="46" t="str">
        <f>IF(AND(I.Developer.P2a=TRUE,I.Facility.P2aFacilityCount&gt;=2269,F7281=""),"Incomplete","Complete")</f>
        <v>Complete</v>
      </c>
      <c r="I7281" s="48" t="s">
        <v>11646</v>
      </c>
    </row>
    <row r="7282" spans="2:9" ht="15" customHeight="1" x14ac:dyDescent="0.25">
      <c r="B7282" s="55" t="s">
        <v>280</v>
      </c>
      <c r="C7282" s="46">
        <v>2270</v>
      </c>
      <c r="D7282" s="69" t="s">
        <v>29417</v>
      </c>
      <c r="E7282" s="51"/>
      <c r="F7282" s="114" t="str">
        <f>IF(INDEX(I.Facility.P2aIDNumber,2270)="","",INDEX(I.Facility.P2aIDNumber,2270))</f>
        <v/>
      </c>
      <c r="G7282" s="51"/>
      <c r="H7282" s="46" t="str">
        <f>IF(AND(I.Developer.P2a=TRUE,I.Facility.P2aFacilityCount&gt;=2270,F7282=""),"Incomplete","Complete")</f>
        <v>Complete</v>
      </c>
      <c r="I7282" s="48" t="s">
        <v>11647</v>
      </c>
    </row>
    <row r="7283" spans="2:9" ht="15" customHeight="1" x14ac:dyDescent="0.25">
      <c r="B7283" s="55" t="s">
        <v>280</v>
      </c>
      <c r="C7283" s="46">
        <v>2271</v>
      </c>
      <c r="D7283" s="69" t="s">
        <v>29417</v>
      </c>
      <c r="E7283" s="51"/>
      <c r="F7283" s="114" t="str">
        <f>IF(INDEX(I.Facility.P2aIDNumber,2271)="","",INDEX(I.Facility.P2aIDNumber,2271))</f>
        <v/>
      </c>
      <c r="G7283" s="51"/>
      <c r="H7283" s="46" t="str">
        <f>IF(AND(I.Developer.P2a=TRUE,I.Facility.P2aFacilityCount&gt;=2271,F7283=""),"Incomplete","Complete")</f>
        <v>Complete</v>
      </c>
      <c r="I7283" s="48" t="s">
        <v>11648</v>
      </c>
    </row>
    <row r="7284" spans="2:9" ht="15" customHeight="1" x14ac:dyDescent="0.25">
      <c r="B7284" s="55" t="s">
        <v>280</v>
      </c>
      <c r="C7284" s="46">
        <v>2272</v>
      </c>
      <c r="D7284" s="69" t="s">
        <v>29417</v>
      </c>
      <c r="E7284" s="51"/>
      <c r="F7284" s="114" t="str">
        <f>IF(INDEX(I.Facility.P2aIDNumber,2272)="","",INDEX(I.Facility.P2aIDNumber,2272))</f>
        <v/>
      </c>
      <c r="G7284" s="51"/>
      <c r="H7284" s="46" t="str">
        <f>IF(AND(I.Developer.P2a=TRUE,I.Facility.P2aFacilityCount&gt;=2272,F7284=""),"Incomplete","Complete")</f>
        <v>Complete</v>
      </c>
      <c r="I7284" s="48" t="s">
        <v>11649</v>
      </c>
    </row>
    <row r="7285" spans="2:9" ht="15" customHeight="1" x14ac:dyDescent="0.25">
      <c r="B7285" s="55" t="s">
        <v>280</v>
      </c>
      <c r="C7285" s="46">
        <v>2273</v>
      </c>
      <c r="D7285" s="69" t="s">
        <v>29417</v>
      </c>
      <c r="E7285" s="51"/>
      <c r="F7285" s="114" t="str">
        <f>IF(INDEX(I.Facility.P2aIDNumber,2273)="","",INDEX(I.Facility.P2aIDNumber,2273))</f>
        <v/>
      </c>
      <c r="G7285" s="51"/>
      <c r="H7285" s="46" t="str">
        <f>IF(AND(I.Developer.P2a=TRUE,I.Facility.P2aFacilityCount&gt;=2273,F7285=""),"Incomplete","Complete")</f>
        <v>Complete</v>
      </c>
      <c r="I7285" s="48" t="s">
        <v>11650</v>
      </c>
    </row>
    <row r="7286" spans="2:9" ht="15" customHeight="1" x14ac:dyDescent="0.25">
      <c r="B7286" s="55" t="s">
        <v>280</v>
      </c>
      <c r="C7286" s="46">
        <v>2274</v>
      </c>
      <c r="D7286" s="69" t="s">
        <v>29417</v>
      </c>
      <c r="E7286" s="51"/>
      <c r="F7286" s="114" t="str">
        <f>IF(INDEX(I.Facility.P2aIDNumber,2274)="","",INDEX(I.Facility.P2aIDNumber,2274))</f>
        <v/>
      </c>
      <c r="G7286" s="51"/>
      <c r="H7286" s="46" t="str">
        <f>IF(AND(I.Developer.P2a=TRUE,I.Facility.P2aFacilityCount&gt;=2274,F7286=""),"Incomplete","Complete")</f>
        <v>Complete</v>
      </c>
      <c r="I7286" s="48" t="s">
        <v>11651</v>
      </c>
    </row>
    <row r="7287" spans="2:9" ht="15" customHeight="1" x14ac:dyDescent="0.25">
      <c r="B7287" s="55" t="s">
        <v>280</v>
      </c>
      <c r="C7287" s="46">
        <v>2275</v>
      </c>
      <c r="D7287" s="69" t="s">
        <v>29417</v>
      </c>
      <c r="E7287" s="51"/>
      <c r="F7287" s="114" t="str">
        <f>IF(INDEX(I.Facility.P2aIDNumber,2275)="","",INDEX(I.Facility.P2aIDNumber,2275))</f>
        <v/>
      </c>
      <c r="G7287" s="51"/>
      <c r="H7287" s="46" t="str">
        <f>IF(AND(I.Developer.P2a=TRUE,I.Facility.P2aFacilityCount&gt;=2275,F7287=""),"Incomplete","Complete")</f>
        <v>Complete</v>
      </c>
      <c r="I7287" s="48" t="s">
        <v>11652</v>
      </c>
    </row>
    <row r="7288" spans="2:9" ht="15" customHeight="1" x14ac:dyDescent="0.25">
      <c r="B7288" s="55" t="s">
        <v>280</v>
      </c>
      <c r="C7288" s="46">
        <v>2276</v>
      </c>
      <c r="D7288" s="69" t="s">
        <v>29417</v>
      </c>
      <c r="E7288" s="51"/>
      <c r="F7288" s="114" t="str">
        <f>IF(INDEX(I.Facility.P2aIDNumber,2276)="","",INDEX(I.Facility.P2aIDNumber,2276))</f>
        <v/>
      </c>
      <c r="G7288" s="51"/>
      <c r="H7288" s="46" t="str">
        <f>IF(AND(I.Developer.P2a=TRUE,I.Facility.P2aFacilityCount&gt;=2276,F7288=""),"Incomplete","Complete")</f>
        <v>Complete</v>
      </c>
      <c r="I7288" s="48" t="s">
        <v>11653</v>
      </c>
    </row>
    <row r="7289" spans="2:9" ht="15" customHeight="1" x14ac:dyDescent="0.25">
      <c r="B7289" s="55" t="s">
        <v>280</v>
      </c>
      <c r="C7289" s="46">
        <v>2277</v>
      </c>
      <c r="D7289" s="69" t="s">
        <v>29417</v>
      </c>
      <c r="E7289" s="51"/>
      <c r="F7289" s="114" t="str">
        <f>IF(INDEX(I.Facility.P2aIDNumber,2277)="","",INDEX(I.Facility.P2aIDNumber,2277))</f>
        <v/>
      </c>
      <c r="G7289" s="51"/>
      <c r="H7289" s="46" t="str">
        <f>IF(AND(I.Developer.P2a=TRUE,I.Facility.P2aFacilityCount&gt;=2277,F7289=""),"Incomplete","Complete")</f>
        <v>Complete</v>
      </c>
      <c r="I7289" s="48" t="s">
        <v>11654</v>
      </c>
    </row>
    <row r="7290" spans="2:9" ht="15" customHeight="1" x14ac:dyDescent="0.25">
      <c r="B7290" s="55" t="s">
        <v>280</v>
      </c>
      <c r="C7290" s="46">
        <v>2278</v>
      </c>
      <c r="D7290" s="69" t="s">
        <v>29417</v>
      </c>
      <c r="E7290" s="51"/>
      <c r="F7290" s="114" t="str">
        <f>IF(INDEX(I.Facility.P2aIDNumber,2278)="","",INDEX(I.Facility.P2aIDNumber,2278))</f>
        <v/>
      </c>
      <c r="G7290" s="51"/>
      <c r="H7290" s="46" t="str">
        <f>IF(AND(I.Developer.P2a=TRUE,I.Facility.P2aFacilityCount&gt;=2278,F7290=""),"Incomplete","Complete")</f>
        <v>Complete</v>
      </c>
      <c r="I7290" s="48" t="s">
        <v>11655</v>
      </c>
    </row>
    <row r="7291" spans="2:9" ht="15" customHeight="1" x14ac:dyDescent="0.25">
      <c r="B7291" s="55" t="s">
        <v>280</v>
      </c>
      <c r="C7291" s="46">
        <v>2279</v>
      </c>
      <c r="D7291" s="69" t="s">
        <v>29417</v>
      </c>
      <c r="E7291" s="51"/>
      <c r="F7291" s="114" t="str">
        <f>IF(INDEX(I.Facility.P2aIDNumber,2279)="","",INDEX(I.Facility.P2aIDNumber,2279))</f>
        <v/>
      </c>
      <c r="G7291" s="51"/>
      <c r="H7291" s="46" t="str">
        <f>IF(AND(I.Developer.P2a=TRUE,I.Facility.P2aFacilityCount&gt;=2279,F7291=""),"Incomplete","Complete")</f>
        <v>Complete</v>
      </c>
      <c r="I7291" s="48" t="s">
        <v>11656</v>
      </c>
    </row>
    <row r="7292" spans="2:9" ht="15" customHeight="1" x14ac:dyDescent="0.25">
      <c r="B7292" s="55" t="s">
        <v>280</v>
      </c>
      <c r="C7292" s="46">
        <v>2280</v>
      </c>
      <c r="D7292" s="69" t="s">
        <v>29417</v>
      </c>
      <c r="E7292" s="51"/>
      <c r="F7292" s="114" t="str">
        <f>IF(INDEX(I.Facility.P2aIDNumber,2280)="","",INDEX(I.Facility.P2aIDNumber,2280))</f>
        <v/>
      </c>
      <c r="G7292" s="51"/>
      <c r="H7292" s="46" t="str">
        <f>IF(AND(I.Developer.P2a=TRUE,I.Facility.P2aFacilityCount&gt;=2280,F7292=""),"Incomplete","Complete")</f>
        <v>Complete</v>
      </c>
      <c r="I7292" s="48" t="s">
        <v>11657</v>
      </c>
    </row>
    <row r="7293" spans="2:9" ht="15" customHeight="1" x14ac:dyDescent="0.25">
      <c r="B7293" s="55" t="s">
        <v>280</v>
      </c>
      <c r="C7293" s="46">
        <v>2281</v>
      </c>
      <c r="D7293" s="69" t="s">
        <v>29417</v>
      </c>
      <c r="E7293" s="51"/>
      <c r="F7293" s="114" t="str">
        <f>IF(INDEX(I.Facility.P2aIDNumber,2281)="","",INDEX(I.Facility.P2aIDNumber,2281))</f>
        <v/>
      </c>
      <c r="G7293" s="51"/>
      <c r="H7293" s="46" t="str">
        <f>IF(AND(I.Developer.P2a=TRUE,I.Facility.P2aFacilityCount&gt;=2281,F7293=""),"Incomplete","Complete")</f>
        <v>Complete</v>
      </c>
      <c r="I7293" s="48" t="s">
        <v>11658</v>
      </c>
    </row>
    <row r="7294" spans="2:9" ht="15" customHeight="1" x14ac:dyDescent="0.25">
      <c r="B7294" s="55" t="s">
        <v>280</v>
      </c>
      <c r="C7294" s="46">
        <v>2282</v>
      </c>
      <c r="D7294" s="69" t="s">
        <v>29417</v>
      </c>
      <c r="E7294" s="51"/>
      <c r="F7294" s="114" t="str">
        <f>IF(INDEX(I.Facility.P2aIDNumber,2282)="","",INDEX(I.Facility.P2aIDNumber,2282))</f>
        <v/>
      </c>
      <c r="G7294" s="51"/>
      <c r="H7294" s="46" t="str">
        <f>IF(AND(I.Developer.P2a=TRUE,I.Facility.P2aFacilityCount&gt;=2282,F7294=""),"Incomplete","Complete")</f>
        <v>Complete</v>
      </c>
      <c r="I7294" s="48" t="s">
        <v>11659</v>
      </c>
    </row>
    <row r="7295" spans="2:9" ht="15" customHeight="1" x14ac:dyDescent="0.25">
      <c r="B7295" s="55" t="s">
        <v>280</v>
      </c>
      <c r="C7295" s="46">
        <v>2283</v>
      </c>
      <c r="D7295" s="69" t="s">
        <v>29417</v>
      </c>
      <c r="E7295" s="51"/>
      <c r="F7295" s="114" t="str">
        <f>IF(INDEX(I.Facility.P2aIDNumber,2283)="","",INDEX(I.Facility.P2aIDNumber,2283))</f>
        <v/>
      </c>
      <c r="G7295" s="51"/>
      <c r="H7295" s="46" t="str">
        <f>IF(AND(I.Developer.P2a=TRUE,I.Facility.P2aFacilityCount&gt;=2283,F7295=""),"Incomplete","Complete")</f>
        <v>Complete</v>
      </c>
      <c r="I7295" s="48" t="s">
        <v>11660</v>
      </c>
    </row>
    <row r="7296" spans="2:9" ht="15" customHeight="1" x14ac:dyDescent="0.25">
      <c r="B7296" s="55" t="s">
        <v>280</v>
      </c>
      <c r="C7296" s="46">
        <v>2284</v>
      </c>
      <c r="D7296" s="69" t="s">
        <v>29417</v>
      </c>
      <c r="E7296" s="51"/>
      <c r="F7296" s="114" t="str">
        <f>IF(INDEX(I.Facility.P2aIDNumber,2284)="","",INDEX(I.Facility.P2aIDNumber,2284))</f>
        <v/>
      </c>
      <c r="G7296" s="51"/>
      <c r="H7296" s="46" t="str">
        <f>IF(AND(I.Developer.P2a=TRUE,I.Facility.P2aFacilityCount&gt;=2284,F7296=""),"Incomplete","Complete")</f>
        <v>Complete</v>
      </c>
      <c r="I7296" s="48" t="s">
        <v>11661</v>
      </c>
    </row>
    <row r="7297" spans="2:9" ht="15" customHeight="1" x14ac:dyDescent="0.25">
      <c r="B7297" s="55" t="s">
        <v>280</v>
      </c>
      <c r="C7297" s="46">
        <v>2285</v>
      </c>
      <c r="D7297" s="69" t="s">
        <v>29417</v>
      </c>
      <c r="E7297" s="51"/>
      <c r="F7297" s="114" t="str">
        <f>IF(INDEX(I.Facility.P2aIDNumber,2285)="","",INDEX(I.Facility.P2aIDNumber,2285))</f>
        <v/>
      </c>
      <c r="G7297" s="51"/>
      <c r="H7297" s="46" t="str">
        <f>IF(AND(I.Developer.P2a=TRUE,I.Facility.P2aFacilityCount&gt;=2285,F7297=""),"Incomplete","Complete")</f>
        <v>Complete</v>
      </c>
      <c r="I7297" s="48" t="s">
        <v>11662</v>
      </c>
    </row>
    <row r="7298" spans="2:9" ht="15" customHeight="1" x14ac:dyDescent="0.25">
      <c r="B7298" s="55" t="s">
        <v>280</v>
      </c>
      <c r="C7298" s="46">
        <v>2286</v>
      </c>
      <c r="D7298" s="69" t="s">
        <v>29417</v>
      </c>
      <c r="E7298" s="51"/>
      <c r="F7298" s="114" t="str">
        <f>IF(INDEX(I.Facility.P2aIDNumber,2286)="","",INDEX(I.Facility.P2aIDNumber,2286))</f>
        <v/>
      </c>
      <c r="G7298" s="51"/>
      <c r="H7298" s="46" t="str">
        <f>IF(AND(I.Developer.P2a=TRUE,I.Facility.P2aFacilityCount&gt;=2286,F7298=""),"Incomplete","Complete")</f>
        <v>Complete</v>
      </c>
      <c r="I7298" s="48" t="s">
        <v>11663</v>
      </c>
    </row>
    <row r="7299" spans="2:9" ht="15" customHeight="1" x14ac:dyDescent="0.25">
      <c r="B7299" s="55" t="s">
        <v>280</v>
      </c>
      <c r="C7299" s="46">
        <v>2287</v>
      </c>
      <c r="D7299" s="69" t="s">
        <v>29417</v>
      </c>
      <c r="E7299" s="51"/>
      <c r="F7299" s="114" t="str">
        <f>IF(INDEX(I.Facility.P2aIDNumber,2287)="","",INDEX(I.Facility.P2aIDNumber,2287))</f>
        <v/>
      </c>
      <c r="G7299" s="51"/>
      <c r="H7299" s="46" t="str">
        <f>IF(AND(I.Developer.P2a=TRUE,I.Facility.P2aFacilityCount&gt;=2287,F7299=""),"Incomplete","Complete")</f>
        <v>Complete</v>
      </c>
      <c r="I7299" s="48" t="s">
        <v>11664</v>
      </c>
    </row>
    <row r="7300" spans="2:9" ht="15" customHeight="1" x14ac:dyDescent="0.25">
      <c r="B7300" s="55" t="s">
        <v>280</v>
      </c>
      <c r="C7300" s="46">
        <v>2288</v>
      </c>
      <c r="D7300" s="69" t="s">
        <v>29417</v>
      </c>
      <c r="E7300" s="51"/>
      <c r="F7300" s="114" t="str">
        <f>IF(INDEX(I.Facility.P2aIDNumber,2288)="","",INDEX(I.Facility.P2aIDNumber,2288))</f>
        <v/>
      </c>
      <c r="G7300" s="51"/>
      <c r="H7300" s="46" t="str">
        <f>IF(AND(I.Developer.P2a=TRUE,I.Facility.P2aFacilityCount&gt;=2288,F7300=""),"Incomplete","Complete")</f>
        <v>Complete</v>
      </c>
      <c r="I7300" s="48" t="s">
        <v>11665</v>
      </c>
    </row>
    <row r="7301" spans="2:9" ht="15" customHeight="1" x14ac:dyDescent="0.25">
      <c r="B7301" s="55" t="s">
        <v>280</v>
      </c>
      <c r="C7301" s="46">
        <v>2289</v>
      </c>
      <c r="D7301" s="69" t="s">
        <v>29417</v>
      </c>
      <c r="E7301" s="51"/>
      <c r="F7301" s="114" t="str">
        <f>IF(INDEX(I.Facility.P2aIDNumber,2289)="","",INDEX(I.Facility.P2aIDNumber,2289))</f>
        <v/>
      </c>
      <c r="G7301" s="51"/>
      <c r="H7301" s="46" t="str">
        <f>IF(AND(I.Developer.P2a=TRUE,I.Facility.P2aFacilityCount&gt;=2289,F7301=""),"Incomplete","Complete")</f>
        <v>Complete</v>
      </c>
      <c r="I7301" s="48" t="s">
        <v>11666</v>
      </c>
    </row>
    <row r="7302" spans="2:9" ht="15" customHeight="1" x14ac:dyDescent="0.25">
      <c r="B7302" s="55" t="s">
        <v>280</v>
      </c>
      <c r="C7302" s="46">
        <v>2290</v>
      </c>
      <c r="D7302" s="69" t="s">
        <v>29417</v>
      </c>
      <c r="E7302" s="51"/>
      <c r="F7302" s="114" t="str">
        <f>IF(INDEX(I.Facility.P2aIDNumber,2290)="","",INDEX(I.Facility.P2aIDNumber,2290))</f>
        <v/>
      </c>
      <c r="G7302" s="51"/>
      <c r="H7302" s="46" t="str">
        <f>IF(AND(I.Developer.P2a=TRUE,I.Facility.P2aFacilityCount&gt;=2290,F7302=""),"Incomplete","Complete")</f>
        <v>Complete</v>
      </c>
      <c r="I7302" s="48" t="s">
        <v>11667</v>
      </c>
    </row>
    <row r="7303" spans="2:9" ht="15" customHeight="1" x14ac:dyDescent="0.25">
      <c r="B7303" s="55" t="s">
        <v>280</v>
      </c>
      <c r="C7303" s="46">
        <v>2291</v>
      </c>
      <c r="D7303" s="69" t="s">
        <v>29417</v>
      </c>
      <c r="E7303" s="51"/>
      <c r="F7303" s="114" t="str">
        <f>IF(INDEX(I.Facility.P2aIDNumber,2291)="","",INDEX(I.Facility.P2aIDNumber,2291))</f>
        <v/>
      </c>
      <c r="G7303" s="51"/>
      <c r="H7303" s="46" t="str">
        <f>IF(AND(I.Developer.P2a=TRUE,I.Facility.P2aFacilityCount&gt;=2291,F7303=""),"Incomplete","Complete")</f>
        <v>Complete</v>
      </c>
      <c r="I7303" s="48" t="s">
        <v>11668</v>
      </c>
    </row>
    <row r="7304" spans="2:9" ht="15" customHeight="1" x14ac:dyDescent="0.25">
      <c r="B7304" s="55" t="s">
        <v>280</v>
      </c>
      <c r="C7304" s="46">
        <v>2292</v>
      </c>
      <c r="D7304" s="69" t="s">
        <v>29417</v>
      </c>
      <c r="E7304" s="51"/>
      <c r="F7304" s="114" t="str">
        <f>IF(INDEX(I.Facility.P2aIDNumber,2292)="","",INDEX(I.Facility.P2aIDNumber,2292))</f>
        <v/>
      </c>
      <c r="G7304" s="51"/>
      <c r="H7304" s="46" t="str">
        <f>IF(AND(I.Developer.P2a=TRUE,I.Facility.P2aFacilityCount&gt;=2292,F7304=""),"Incomplete","Complete")</f>
        <v>Complete</v>
      </c>
      <c r="I7304" s="48" t="s">
        <v>11669</v>
      </c>
    </row>
    <row r="7305" spans="2:9" ht="15" customHeight="1" x14ac:dyDescent="0.25">
      <c r="B7305" s="55" t="s">
        <v>280</v>
      </c>
      <c r="C7305" s="46">
        <v>2293</v>
      </c>
      <c r="D7305" s="69" t="s">
        <v>29417</v>
      </c>
      <c r="E7305" s="51"/>
      <c r="F7305" s="114" t="str">
        <f>IF(INDEX(I.Facility.P2aIDNumber,2293)="","",INDEX(I.Facility.P2aIDNumber,2293))</f>
        <v/>
      </c>
      <c r="G7305" s="51"/>
      <c r="H7305" s="46" t="str">
        <f>IF(AND(I.Developer.P2a=TRUE,I.Facility.P2aFacilityCount&gt;=2293,F7305=""),"Incomplete","Complete")</f>
        <v>Complete</v>
      </c>
      <c r="I7305" s="48" t="s">
        <v>11670</v>
      </c>
    </row>
    <row r="7306" spans="2:9" ht="15" customHeight="1" x14ac:dyDescent="0.25">
      <c r="B7306" s="55" t="s">
        <v>280</v>
      </c>
      <c r="C7306" s="46">
        <v>2294</v>
      </c>
      <c r="D7306" s="69" t="s">
        <v>29417</v>
      </c>
      <c r="E7306" s="51"/>
      <c r="F7306" s="114" t="str">
        <f>IF(INDEX(I.Facility.P2aIDNumber,2294)="","",INDEX(I.Facility.P2aIDNumber,2294))</f>
        <v/>
      </c>
      <c r="G7306" s="51"/>
      <c r="H7306" s="46" t="str">
        <f>IF(AND(I.Developer.P2a=TRUE,I.Facility.P2aFacilityCount&gt;=2294,F7306=""),"Incomplete","Complete")</f>
        <v>Complete</v>
      </c>
      <c r="I7306" s="48" t="s">
        <v>11671</v>
      </c>
    </row>
    <row r="7307" spans="2:9" ht="15" customHeight="1" x14ac:dyDescent="0.25">
      <c r="B7307" s="55" t="s">
        <v>280</v>
      </c>
      <c r="C7307" s="46">
        <v>2295</v>
      </c>
      <c r="D7307" s="69" t="s">
        <v>29417</v>
      </c>
      <c r="E7307" s="51"/>
      <c r="F7307" s="114" t="str">
        <f>IF(INDEX(I.Facility.P2aIDNumber,2295)="","",INDEX(I.Facility.P2aIDNumber,2295))</f>
        <v/>
      </c>
      <c r="G7307" s="51"/>
      <c r="H7307" s="46" t="str">
        <f>IF(AND(I.Developer.P2a=TRUE,I.Facility.P2aFacilityCount&gt;=2295,F7307=""),"Incomplete","Complete")</f>
        <v>Complete</v>
      </c>
      <c r="I7307" s="48" t="s">
        <v>11672</v>
      </c>
    </row>
    <row r="7308" spans="2:9" ht="15" customHeight="1" x14ac:dyDescent="0.25">
      <c r="B7308" s="55" t="s">
        <v>280</v>
      </c>
      <c r="C7308" s="46">
        <v>2296</v>
      </c>
      <c r="D7308" s="69" t="s">
        <v>29417</v>
      </c>
      <c r="E7308" s="51"/>
      <c r="F7308" s="114" t="str">
        <f>IF(INDEX(I.Facility.P2aIDNumber,2296)="","",INDEX(I.Facility.P2aIDNumber,2296))</f>
        <v/>
      </c>
      <c r="G7308" s="51"/>
      <c r="H7308" s="46" t="str">
        <f>IF(AND(I.Developer.P2a=TRUE,I.Facility.P2aFacilityCount&gt;=2296,F7308=""),"Incomplete","Complete")</f>
        <v>Complete</v>
      </c>
      <c r="I7308" s="48" t="s">
        <v>11673</v>
      </c>
    </row>
    <row r="7309" spans="2:9" ht="15" customHeight="1" x14ac:dyDescent="0.25">
      <c r="B7309" s="55" t="s">
        <v>280</v>
      </c>
      <c r="C7309" s="46">
        <v>2297</v>
      </c>
      <c r="D7309" s="69" t="s">
        <v>29417</v>
      </c>
      <c r="E7309" s="51"/>
      <c r="F7309" s="114" t="str">
        <f>IF(INDEX(I.Facility.P2aIDNumber,2297)="","",INDEX(I.Facility.P2aIDNumber,2297))</f>
        <v/>
      </c>
      <c r="G7309" s="51"/>
      <c r="H7309" s="46" t="str">
        <f>IF(AND(I.Developer.P2a=TRUE,I.Facility.P2aFacilityCount&gt;=2297,F7309=""),"Incomplete","Complete")</f>
        <v>Complete</v>
      </c>
      <c r="I7309" s="48" t="s">
        <v>11674</v>
      </c>
    </row>
    <row r="7310" spans="2:9" ht="15" customHeight="1" x14ac:dyDescent="0.25">
      <c r="B7310" s="55" t="s">
        <v>280</v>
      </c>
      <c r="C7310" s="46">
        <v>2298</v>
      </c>
      <c r="D7310" s="69" t="s">
        <v>29417</v>
      </c>
      <c r="E7310" s="51"/>
      <c r="F7310" s="114" t="str">
        <f>IF(INDEX(I.Facility.P2aIDNumber,2298)="","",INDEX(I.Facility.P2aIDNumber,2298))</f>
        <v/>
      </c>
      <c r="G7310" s="51"/>
      <c r="H7310" s="46" t="str">
        <f>IF(AND(I.Developer.P2a=TRUE,I.Facility.P2aFacilityCount&gt;=2298,F7310=""),"Incomplete","Complete")</f>
        <v>Complete</v>
      </c>
      <c r="I7310" s="48" t="s">
        <v>11675</v>
      </c>
    </row>
    <row r="7311" spans="2:9" ht="15" customHeight="1" x14ac:dyDescent="0.25">
      <c r="B7311" s="55" t="s">
        <v>280</v>
      </c>
      <c r="C7311" s="46">
        <v>2299</v>
      </c>
      <c r="D7311" s="69" t="s">
        <v>29417</v>
      </c>
      <c r="E7311" s="51"/>
      <c r="F7311" s="114" t="str">
        <f>IF(INDEX(I.Facility.P2aIDNumber,2299)="","",INDEX(I.Facility.P2aIDNumber,2299))</f>
        <v/>
      </c>
      <c r="G7311" s="51"/>
      <c r="H7311" s="46" t="str">
        <f>IF(AND(I.Developer.P2a=TRUE,I.Facility.P2aFacilityCount&gt;=2299,F7311=""),"Incomplete","Complete")</f>
        <v>Complete</v>
      </c>
      <c r="I7311" s="48" t="s">
        <v>11676</v>
      </c>
    </row>
    <row r="7312" spans="2:9" ht="15" customHeight="1" x14ac:dyDescent="0.25">
      <c r="B7312" s="55" t="s">
        <v>280</v>
      </c>
      <c r="C7312" s="46">
        <v>2300</v>
      </c>
      <c r="D7312" s="69" t="s">
        <v>29417</v>
      </c>
      <c r="E7312" s="51"/>
      <c r="F7312" s="114" t="str">
        <f>IF(INDEX(I.Facility.P2aIDNumber,2300)="","",INDEX(I.Facility.P2aIDNumber,2300))</f>
        <v/>
      </c>
      <c r="G7312" s="51"/>
      <c r="H7312" s="46" t="str">
        <f>IF(AND(I.Developer.P2a=TRUE,I.Facility.P2aFacilityCount&gt;=2300,F7312=""),"Incomplete","Complete")</f>
        <v>Complete</v>
      </c>
      <c r="I7312" s="48" t="s">
        <v>11677</v>
      </c>
    </row>
    <row r="7313" spans="2:9" ht="15" customHeight="1" x14ac:dyDescent="0.25">
      <c r="B7313" s="55" t="s">
        <v>280</v>
      </c>
      <c r="C7313" s="46">
        <v>2301</v>
      </c>
      <c r="D7313" s="69" t="s">
        <v>29417</v>
      </c>
      <c r="E7313" s="51"/>
      <c r="F7313" s="114" t="str">
        <f>IF(INDEX(I.Facility.P2aIDNumber,2301)="","",INDEX(I.Facility.P2aIDNumber,2301))</f>
        <v/>
      </c>
      <c r="G7313" s="51"/>
      <c r="H7313" s="46" t="str">
        <f>IF(AND(I.Developer.P2a=TRUE,I.Facility.P2aFacilityCount&gt;=2301,F7313=""),"Incomplete","Complete")</f>
        <v>Complete</v>
      </c>
      <c r="I7313" s="48" t="s">
        <v>11678</v>
      </c>
    </row>
    <row r="7314" spans="2:9" ht="15" customHeight="1" x14ac:dyDescent="0.25">
      <c r="B7314" s="55" t="s">
        <v>280</v>
      </c>
      <c r="C7314" s="46">
        <v>2302</v>
      </c>
      <c r="D7314" s="69" t="s">
        <v>29417</v>
      </c>
      <c r="E7314" s="51"/>
      <c r="F7314" s="114" t="str">
        <f>IF(INDEX(I.Facility.P2aIDNumber,2302)="","",INDEX(I.Facility.P2aIDNumber,2302))</f>
        <v/>
      </c>
      <c r="G7314" s="51"/>
      <c r="H7314" s="46" t="str">
        <f>IF(AND(I.Developer.P2a=TRUE,I.Facility.P2aFacilityCount&gt;=2302,F7314=""),"Incomplete","Complete")</f>
        <v>Complete</v>
      </c>
      <c r="I7314" s="48" t="s">
        <v>11679</v>
      </c>
    </row>
    <row r="7315" spans="2:9" ht="15" customHeight="1" x14ac:dyDescent="0.25">
      <c r="B7315" s="55" t="s">
        <v>280</v>
      </c>
      <c r="C7315" s="46">
        <v>2303</v>
      </c>
      <c r="D7315" s="69" t="s">
        <v>29417</v>
      </c>
      <c r="E7315" s="51"/>
      <c r="F7315" s="114" t="str">
        <f>IF(INDEX(I.Facility.P2aIDNumber,2303)="","",INDEX(I.Facility.P2aIDNumber,2303))</f>
        <v/>
      </c>
      <c r="G7315" s="51"/>
      <c r="H7315" s="46" t="str">
        <f>IF(AND(I.Developer.P2a=TRUE,I.Facility.P2aFacilityCount&gt;=2303,F7315=""),"Incomplete","Complete")</f>
        <v>Complete</v>
      </c>
      <c r="I7315" s="48" t="s">
        <v>11680</v>
      </c>
    </row>
    <row r="7316" spans="2:9" ht="15" customHeight="1" x14ac:dyDescent="0.25">
      <c r="B7316" s="55" t="s">
        <v>280</v>
      </c>
      <c r="C7316" s="46">
        <v>2304</v>
      </c>
      <c r="D7316" s="69" t="s">
        <v>29417</v>
      </c>
      <c r="E7316" s="51"/>
      <c r="F7316" s="114" t="str">
        <f>IF(INDEX(I.Facility.P2aIDNumber,2304)="","",INDEX(I.Facility.P2aIDNumber,2304))</f>
        <v/>
      </c>
      <c r="G7316" s="51"/>
      <c r="H7316" s="46" t="str">
        <f>IF(AND(I.Developer.P2a=TRUE,I.Facility.P2aFacilityCount&gt;=2304,F7316=""),"Incomplete","Complete")</f>
        <v>Complete</v>
      </c>
      <c r="I7316" s="48" t="s">
        <v>11681</v>
      </c>
    </row>
    <row r="7317" spans="2:9" ht="15" customHeight="1" x14ac:dyDescent="0.25">
      <c r="B7317" s="55" t="s">
        <v>280</v>
      </c>
      <c r="C7317" s="46">
        <v>2305</v>
      </c>
      <c r="D7317" s="69" t="s">
        <v>29417</v>
      </c>
      <c r="E7317" s="51"/>
      <c r="F7317" s="114" t="str">
        <f>IF(INDEX(I.Facility.P2aIDNumber,2305)="","",INDEX(I.Facility.P2aIDNumber,2305))</f>
        <v/>
      </c>
      <c r="G7317" s="51"/>
      <c r="H7317" s="46" t="str">
        <f>IF(AND(I.Developer.P2a=TRUE,I.Facility.P2aFacilityCount&gt;=2305,F7317=""),"Incomplete","Complete")</f>
        <v>Complete</v>
      </c>
      <c r="I7317" s="48" t="s">
        <v>11682</v>
      </c>
    </row>
    <row r="7318" spans="2:9" ht="15" customHeight="1" x14ac:dyDescent="0.25">
      <c r="B7318" s="55" t="s">
        <v>280</v>
      </c>
      <c r="C7318" s="46">
        <v>2306</v>
      </c>
      <c r="D7318" s="69" t="s">
        <v>29417</v>
      </c>
      <c r="E7318" s="51"/>
      <c r="F7318" s="114" t="str">
        <f>IF(INDEX(I.Facility.P2aIDNumber,2306)="","",INDEX(I.Facility.P2aIDNumber,2306))</f>
        <v/>
      </c>
      <c r="G7318" s="51"/>
      <c r="H7318" s="46" t="str">
        <f>IF(AND(I.Developer.P2a=TRUE,I.Facility.P2aFacilityCount&gt;=2306,F7318=""),"Incomplete","Complete")</f>
        <v>Complete</v>
      </c>
      <c r="I7318" s="48" t="s">
        <v>11683</v>
      </c>
    </row>
    <row r="7319" spans="2:9" ht="15" customHeight="1" x14ac:dyDescent="0.25">
      <c r="B7319" s="55" t="s">
        <v>280</v>
      </c>
      <c r="C7319" s="46">
        <v>2307</v>
      </c>
      <c r="D7319" s="69" t="s">
        <v>29417</v>
      </c>
      <c r="E7319" s="51"/>
      <c r="F7319" s="114" t="str">
        <f>IF(INDEX(I.Facility.P2aIDNumber,2307)="","",INDEX(I.Facility.P2aIDNumber,2307))</f>
        <v/>
      </c>
      <c r="G7319" s="51"/>
      <c r="H7319" s="46" t="str">
        <f>IF(AND(I.Developer.P2a=TRUE,I.Facility.P2aFacilityCount&gt;=2307,F7319=""),"Incomplete","Complete")</f>
        <v>Complete</v>
      </c>
      <c r="I7319" s="48" t="s">
        <v>11684</v>
      </c>
    </row>
    <row r="7320" spans="2:9" ht="15" customHeight="1" x14ac:dyDescent="0.25">
      <c r="B7320" s="55" t="s">
        <v>280</v>
      </c>
      <c r="C7320" s="46">
        <v>2308</v>
      </c>
      <c r="D7320" s="69" t="s">
        <v>29417</v>
      </c>
      <c r="E7320" s="51"/>
      <c r="F7320" s="114" t="str">
        <f>IF(INDEX(I.Facility.P2aIDNumber,2308)="","",INDEX(I.Facility.P2aIDNumber,2308))</f>
        <v/>
      </c>
      <c r="G7320" s="51"/>
      <c r="H7320" s="46" t="str">
        <f>IF(AND(I.Developer.P2a=TRUE,I.Facility.P2aFacilityCount&gt;=2308,F7320=""),"Incomplete","Complete")</f>
        <v>Complete</v>
      </c>
      <c r="I7320" s="48" t="s">
        <v>11685</v>
      </c>
    </row>
    <row r="7321" spans="2:9" ht="15" customHeight="1" x14ac:dyDescent="0.25">
      <c r="B7321" s="55" t="s">
        <v>280</v>
      </c>
      <c r="C7321" s="46">
        <v>2309</v>
      </c>
      <c r="D7321" s="69" t="s">
        <v>29417</v>
      </c>
      <c r="E7321" s="51"/>
      <c r="F7321" s="114" t="str">
        <f>IF(INDEX(I.Facility.P2aIDNumber,2309)="","",INDEX(I.Facility.P2aIDNumber,2309))</f>
        <v/>
      </c>
      <c r="G7321" s="51"/>
      <c r="H7321" s="46" t="str">
        <f>IF(AND(I.Developer.P2a=TRUE,I.Facility.P2aFacilityCount&gt;=2309,F7321=""),"Incomplete","Complete")</f>
        <v>Complete</v>
      </c>
      <c r="I7321" s="48" t="s">
        <v>11686</v>
      </c>
    </row>
    <row r="7322" spans="2:9" ht="15" customHeight="1" x14ac:dyDescent="0.25">
      <c r="B7322" s="55" t="s">
        <v>280</v>
      </c>
      <c r="C7322" s="46">
        <v>2310</v>
      </c>
      <c r="D7322" s="69" t="s">
        <v>29417</v>
      </c>
      <c r="E7322" s="51"/>
      <c r="F7322" s="114" t="str">
        <f>IF(INDEX(I.Facility.P2aIDNumber,2310)="","",INDEX(I.Facility.P2aIDNumber,2310))</f>
        <v/>
      </c>
      <c r="G7322" s="51"/>
      <c r="H7322" s="46" t="str">
        <f>IF(AND(I.Developer.P2a=TRUE,I.Facility.P2aFacilityCount&gt;=2310,F7322=""),"Incomplete","Complete")</f>
        <v>Complete</v>
      </c>
      <c r="I7322" s="48" t="s">
        <v>11687</v>
      </c>
    </row>
    <row r="7323" spans="2:9" ht="15" customHeight="1" x14ac:dyDescent="0.25">
      <c r="B7323" s="55" t="s">
        <v>280</v>
      </c>
      <c r="C7323" s="46">
        <v>2311</v>
      </c>
      <c r="D7323" s="69" t="s">
        <v>29417</v>
      </c>
      <c r="E7323" s="51"/>
      <c r="F7323" s="114" t="str">
        <f>IF(INDEX(I.Facility.P2aIDNumber,2311)="","",INDEX(I.Facility.P2aIDNumber,2311))</f>
        <v/>
      </c>
      <c r="G7323" s="51"/>
      <c r="H7323" s="46" t="str">
        <f>IF(AND(I.Developer.P2a=TRUE,I.Facility.P2aFacilityCount&gt;=2311,F7323=""),"Incomplete","Complete")</f>
        <v>Complete</v>
      </c>
      <c r="I7323" s="48" t="s">
        <v>11688</v>
      </c>
    </row>
    <row r="7324" spans="2:9" ht="15" customHeight="1" x14ac:dyDescent="0.25">
      <c r="B7324" s="55" t="s">
        <v>280</v>
      </c>
      <c r="C7324" s="46">
        <v>2312</v>
      </c>
      <c r="D7324" s="69" t="s">
        <v>29417</v>
      </c>
      <c r="E7324" s="51"/>
      <c r="F7324" s="114" t="str">
        <f>IF(INDEX(I.Facility.P2aIDNumber,2312)="","",INDEX(I.Facility.P2aIDNumber,2312))</f>
        <v/>
      </c>
      <c r="G7324" s="51"/>
      <c r="H7324" s="46" t="str">
        <f>IF(AND(I.Developer.P2a=TRUE,I.Facility.P2aFacilityCount&gt;=2312,F7324=""),"Incomplete","Complete")</f>
        <v>Complete</v>
      </c>
      <c r="I7324" s="48" t="s">
        <v>11689</v>
      </c>
    </row>
    <row r="7325" spans="2:9" ht="15" customHeight="1" x14ac:dyDescent="0.25">
      <c r="B7325" s="55" t="s">
        <v>280</v>
      </c>
      <c r="C7325" s="46">
        <v>2313</v>
      </c>
      <c r="D7325" s="69" t="s">
        <v>29417</v>
      </c>
      <c r="E7325" s="51"/>
      <c r="F7325" s="114" t="str">
        <f>IF(INDEX(I.Facility.P2aIDNumber,2313)="","",INDEX(I.Facility.P2aIDNumber,2313))</f>
        <v/>
      </c>
      <c r="G7325" s="51"/>
      <c r="H7325" s="46" t="str">
        <f>IF(AND(I.Developer.P2a=TRUE,I.Facility.P2aFacilityCount&gt;=2313,F7325=""),"Incomplete","Complete")</f>
        <v>Complete</v>
      </c>
      <c r="I7325" s="48" t="s">
        <v>11690</v>
      </c>
    </row>
    <row r="7326" spans="2:9" ht="15" customHeight="1" x14ac:dyDescent="0.25">
      <c r="B7326" s="55" t="s">
        <v>280</v>
      </c>
      <c r="C7326" s="46">
        <v>2314</v>
      </c>
      <c r="D7326" s="69" t="s">
        <v>29417</v>
      </c>
      <c r="E7326" s="51"/>
      <c r="F7326" s="114" t="str">
        <f>IF(INDEX(I.Facility.P2aIDNumber,2314)="","",INDEX(I.Facility.P2aIDNumber,2314))</f>
        <v/>
      </c>
      <c r="G7326" s="51"/>
      <c r="H7326" s="46" t="str">
        <f>IF(AND(I.Developer.P2a=TRUE,I.Facility.P2aFacilityCount&gt;=2314,F7326=""),"Incomplete","Complete")</f>
        <v>Complete</v>
      </c>
      <c r="I7326" s="48" t="s">
        <v>11691</v>
      </c>
    </row>
    <row r="7327" spans="2:9" ht="15" customHeight="1" x14ac:dyDescent="0.25">
      <c r="B7327" s="55" t="s">
        <v>280</v>
      </c>
      <c r="C7327" s="46">
        <v>2315</v>
      </c>
      <c r="D7327" s="69" t="s">
        <v>29417</v>
      </c>
      <c r="E7327" s="51"/>
      <c r="F7327" s="114" t="str">
        <f>IF(INDEX(I.Facility.P2aIDNumber,2315)="","",INDEX(I.Facility.P2aIDNumber,2315))</f>
        <v/>
      </c>
      <c r="G7327" s="51"/>
      <c r="H7327" s="46" t="str">
        <f>IF(AND(I.Developer.P2a=TRUE,I.Facility.P2aFacilityCount&gt;=2315,F7327=""),"Incomplete","Complete")</f>
        <v>Complete</v>
      </c>
      <c r="I7327" s="48" t="s">
        <v>11692</v>
      </c>
    </row>
    <row r="7328" spans="2:9" ht="15" customHeight="1" x14ac:dyDescent="0.25">
      <c r="B7328" s="55" t="s">
        <v>280</v>
      </c>
      <c r="C7328" s="46">
        <v>2316</v>
      </c>
      <c r="D7328" s="69" t="s">
        <v>29417</v>
      </c>
      <c r="E7328" s="51"/>
      <c r="F7328" s="114" t="str">
        <f>IF(INDEX(I.Facility.P2aIDNumber,2316)="","",INDEX(I.Facility.P2aIDNumber,2316))</f>
        <v/>
      </c>
      <c r="G7328" s="51"/>
      <c r="H7328" s="46" t="str">
        <f>IF(AND(I.Developer.P2a=TRUE,I.Facility.P2aFacilityCount&gt;=2316,F7328=""),"Incomplete","Complete")</f>
        <v>Complete</v>
      </c>
      <c r="I7328" s="48" t="s">
        <v>11693</v>
      </c>
    </row>
    <row r="7329" spans="2:9" ht="15" customHeight="1" x14ac:dyDescent="0.25">
      <c r="B7329" s="55" t="s">
        <v>280</v>
      </c>
      <c r="C7329" s="46">
        <v>2317</v>
      </c>
      <c r="D7329" s="69" t="s">
        <v>29417</v>
      </c>
      <c r="E7329" s="51"/>
      <c r="F7329" s="114" t="str">
        <f>IF(INDEX(I.Facility.P2aIDNumber,2317)="","",INDEX(I.Facility.P2aIDNumber,2317))</f>
        <v/>
      </c>
      <c r="G7329" s="51"/>
      <c r="H7329" s="46" t="str">
        <f>IF(AND(I.Developer.P2a=TRUE,I.Facility.P2aFacilityCount&gt;=2317,F7329=""),"Incomplete","Complete")</f>
        <v>Complete</v>
      </c>
      <c r="I7329" s="48" t="s">
        <v>11694</v>
      </c>
    </row>
    <row r="7330" spans="2:9" ht="15" customHeight="1" x14ac:dyDescent="0.25">
      <c r="B7330" s="55" t="s">
        <v>280</v>
      </c>
      <c r="C7330" s="46">
        <v>2318</v>
      </c>
      <c r="D7330" s="69" t="s">
        <v>29417</v>
      </c>
      <c r="E7330" s="51"/>
      <c r="F7330" s="114" t="str">
        <f>IF(INDEX(I.Facility.P2aIDNumber,2318)="","",INDEX(I.Facility.P2aIDNumber,2318))</f>
        <v/>
      </c>
      <c r="G7330" s="51"/>
      <c r="H7330" s="46" t="str">
        <f>IF(AND(I.Developer.P2a=TRUE,I.Facility.P2aFacilityCount&gt;=2318,F7330=""),"Incomplete","Complete")</f>
        <v>Complete</v>
      </c>
      <c r="I7330" s="48" t="s">
        <v>11695</v>
      </c>
    </row>
    <row r="7331" spans="2:9" ht="15" customHeight="1" x14ac:dyDescent="0.25">
      <c r="B7331" s="55" t="s">
        <v>280</v>
      </c>
      <c r="C7331" s="46">
        <v>2319</v>
      </c>
      <c r="D7331" s="69" t="s">
        <v>29417</v>
      </c>
      <c r="E7331" s="51"/>
      <c r="F7331" s="114" t="str">
        <f>IF(INDEX(I.Facility.P2aIDNumber,2319)="","",INDEX(I.Facility.P2aIDNumber,2319))</f>
        <v/>
      </c>
      <c r="G7331" s="51"/>
      <c r="H7331" s="46" t="str">
        <f>IF(AND(I.Developer.P2a=TRUE,I.Facility.P2aFacilityCount&gt;=2319,F7331=""),"Incomplete","Complete")</f>
        <v>Complete</v>
      </c>
      <c r="I7331" s="48" t="s">
        <v>11696</v>
      </c>
    </row>
    <row r="7332" spans="2:9" ht="15" customHeight="1" x14ac:dyDescent="0.25">
      <c r="B7332" s="55" t="s">
        <v>280</v>
      </c>
      <c r="C7332" s="46">
        <v>2320</v>
      </c>
      <c r="D7332" s="69" t="s">
        <v>29417</v>
      </c>
      <c r="E7332" s="51"/>
      <c r="F7332" s="114" t="str">
        <f>IF(INDEX(I.Facility.P2aIDNumber,2320)="","",INDEX(I.Facility.P2aIDNumber,2320))</f>
        <v/>
      </c>
      <c r="G7332" s="51"/>
      <c r="H7332" s="46" t="str">
        <f>IF(AND(I.Developer.P2a=TRUE,I.Facility.P2aFacilityCount&gt;=2320,F7332=""),"Incomplete","Complete")</f>
        <v>Complete</v>
      </c>
      <c r="I7332" s="48" t="s">
        <v>11697</v>
      </c>
    </row>
    <row r="7333" spans="2:9" ht="15" customHeight="1" x14ac:dyDescent="0.25">
      <c r="B7333" s="55" t="s">
        <v>280</v>
      </c>
      <c r="C7333" s="46">
        <v>2321</v>
      </c>
      <c r="D7333" s="69" t="s">
        <v>29417</v>
      </c>
      <c r="E7333" s="51"/>
      <c r="F7333" s="114" t="str">
        <f>IF(INDEX(I.Facility.P2aIDNumber,2321)="","",INDEX(I.Facility.P2aIDNumber,2321))</f>
        <v/>
      </c>
      <c r="G7333" s="51"/>
      <c r="H7333" s="46" t="str">
        <f>IF(AND(I.Developer.P2a=TRUE,I.Facility.P2aFacilityCount&gt;=2321,F7333=""),"Incomplete","Complete")</f>
        <v>Complete</v>
      </c>
      <c r="I7333" s="48" t="s">
        <v>11698</v>
      </c>
    </row>
    <row r="7334" spans="2:9" ht="15" customHeight="1" x14ac:dyDescent="0.25">
      <c r="B7334" s="55" t="s">
        <v>280</v>
      </c>
      <c r="C7334" s="46">
        <v>2322</v>
      </c>
      <c r="D7334" s="69" t="s">
        <v>29417</v>
      </c>
      <c r="E7334" s="51"/>
      <c r="F7334" s="114" t="str">
        <f>IF(INDEX(I.Facility.P2aIDNumber,2322)="","",INDEX(I.Facility.P2aIDNumber,2322))</f>
        <v/>
      </c>
      <c r="G7334" s="51"/>
      <c r="H7334" s="46" t="str">
        <f>IF(AND(I.Developer.P2a=TRUE,I.Facility.P2aFacilityCount&gt;=2322,F7334=""),"Incomplete","Complete")</f>
        <v>Complete</v>
      </c>
      <c r="I7334" s="48" t="s">
        <v>11699</v>
      </c>
    </row>
    <row r="7335" spans="2:9" ht="15" customHeight="1" x14ac:dyDescent="0.25">
      <c r="B7335" s="55" t="s">
        <v>280</v>
      </c>
      <c r="C7335" s="46">
        <v>2323</v>
      </c>
      <c r="D7335" s="69" t="s">
        <v>29417</v>
      </c>
      <c r="E7335" s="51"/>
      <c r="F7335" s="114" t="str">
        <f>IF(INDEX(I.Facility.P2aIDNumber,2323)="","",INDEX(I.Facility.P2aIDNumber,2323))</f>
        <v/>
      </c>
      <c r="G7335" s="51"/>
      <c r="H7335" s="46" t="str">
        <f>IF(AND(I.Developer.P2a=TRUE,I.Facility.P2aFacilityCount&gt;=2323,F7335=""),"Incomplete","Complete")</f>
        <v>Complete</v>
      </c>
      <c r="I7335" s="48" t="s">
        <v>11700</v>
      </c>
    </row>
    <row r="7336" spans="2:9" ht="15" customHeight="1" x14ac:dyDescent="0.25">
      <c r="B7336" s="55" t="s">
        <v>280</v>
      </c>
      <c r="C7336" s="46">
        <v>2324</v>
      </c>
      <c r="D7336" s="69" t="s">
        <v>29417</v>
      </c>
      <c r="E7336" s="51"/>
      <c r="F7336" s="114" t="str">
        <f>IF(INDEX(I.Facility.P2aIDNumber,2324)="","",INDEX(I.Facility.P2aIDNumber,2324))</f>
        <v/>
      </c>
      <c r="G7336" s="51"/>
      <c r="H7336" s="46" t="str">
        <f>IF(AND(I.Developer.P2a=TRUE,I.Facility.P2aFacilityCount&gt;=2324,F7336=""),"Incomplete","Complete")</f>
        <v>Complete</v>
      </c>
      <c r="I7336" s="48" t="s">
        <v>11701</v>
      </c>
    </row>
    <row r="7337" spans="2:9" ht="15" customHeight="1" x14ac:dyDescent="0.25">
      <c r="B7337" s="55" t="s">
        <v>280</v>
      </c>
      <c r="C7337" s="46">
        <v>2325</v>
      </c>
      <c r="D7337" s="69" t="s">
        <v>29417</v>
      </c>
      <c r="E7337" s="51"/>
      <c r="F7337" s="114" t="str">
        <f>IF(INDEX(I.Facility.P2aIDNumber,2325)="","",INDEX(I.Facility.P2aIDNumber,2325))</f>
        <v/>
      </c>
      <c r="G7337" s="51"/>
      <c r="H7337" s="46" t="str">
        <f>IF(AND(I.Developer.P2a=TRUE,I.Facility.P2aFacilityCount&gt;=2325,F7337=""),"Incomplete","Complete")</f>
        <v>Complete</v>
      </c>
      <c r="I7337" s="48" t="s">
        <v>11702</v>
      </c>
    </row>
    <row r="7338" spans="2:9" ht="15" customHeight="1" x14ac:dyDescent="0.25">
      <c r="B7338" s="55" t="s">
        <v>280</v>
      </c>
      <c r="C7338" s="46">
        <v>2326</v>
      </c>
      <c r="D7338" s="69" t="s">
        <v>29417</v>
      </c>
      <c r="E7338" s="51"/>
      <c r="F7338" s="114" t="str">
        <f>IF(INDEX(I.Facility.P2aIDNumber,2326)="","",INDEX(I.Facility.P2aIDNumber,2326))</f>
        <v/>
      </c>
      <c r="G7338" s="51"/>
      <c r="H7338" s="46" t="str">
        <f>IF(AND(I.Developer.P2a=TRUE,I.Facility.P2aFacilityCount&gt;=2326,F7338=""),"Incomplete","Complete")</f>
        <v>Complete</v>
      </c>
      <c r="I7338" s="48" t="s">
        <v>11703</v>
      </c>
    </row>
    <row r="7339" spans="2:9" ht="15" customHeight="1" x14ac:dyDescent="0.25">
      <c r="B7339" s="55" t="s">
        <v>280</v>
      </c>
      <c r="C7339" s="46">
        <v>2327</v>
      </c>
      <c r="D7339" s="69" t="s">
        <v>29417</v>
      </c>
      <c r="E7339" s="51"/>
      <c r="F7339" s="114" t="str">
        <f>IF(INDEX(I.Facility.P2aIDNumber,2327)="","",INDEX(I.Facility.P2aIDNumber,2327))</f>
        <v/>
      </c>
      <c r="G7339" s="51"/>
      <c r="H7339" s="46" t="str">
        <f>IF(AND(I.Developer.P2a=TRUE,I.Facility.P2aFacilityCount&gt;=2327,F7339=""),"Incomplete","Complete")</f>
        <v>Complete</v>
      </c>
      <c r="I7339" s="48" t="s">
        <v>11704</v>
      </c>
    </row>
    <row r="7340" spans="2:9" ht="15" customHeight="1" x14ac:dyDescent="0.25">
      <c r="B7340" s="55" t="s">
        <v>280</v>
      </c>
      <c r="C7340" s="46">
        <v>2328</v>
      </c>
      <c r="D7340" s="69" t="s">
        <v>29417</v>
      </c>
      <c r="E7340" s="51"/>
      <c r="F7340" s="114" t="str">
        <f>IF(INDEX(I.Facility.P2aIDNumber,2328)="","",INDEX(I.Facility.P2aIDNumber,2328))</f>
        <v/>
      </c>
      <c r="G7340" s="51"/>
      <c r="H7340" s="46" t="str">
        <f>IF(AND(I.Developer.P2a=TRUE,I.Facility.P2aFacilityCount&gt;=2328,F7340=""),"Incomplete","Complete")</f>
        <v>Complete</v>
      </c>
      <c r="I7340" s="48" t="s">
        <v>11705</v>
      </c>
    </row>
    <row r="7341" spans="2:9" ht="15" customHeight="1" x14ac:dyDescent="0.25">
      <c r="B7341" s="55" t="s">
        <v>280</v>
      </c>
      <c r="C7341" s="46">
        <v>2329</v>
      </c>
      <c r="D7341" s="69" t="s">
        <v>29417</v>
      </c>
      <c r="E7341" s="51"/>
      <c r="F7341" s="114" t="str">
        <f>IF(INDEX(I.Facility.P2aIDNumber,2329)="","",INDEX(I.Facility.P2aIDNumber,2329))</f>
        <v/>
      </c>
      <c r="G7341" s="51"/>
      <c r="H7341" s="46" t="str">
        <f>IF(AND(I.Developer.P2a=TRUE,I.Facility.P2aFacilityCount&gt;=2329,F7341=""),"Incomplete","Complete")</f>
        <v>Complete</v>
      </c>
      <c r="I7341" s="48" t="s">
        <v>11706</v>
      </c>
    </row>
    <row r="7342" spans="2:9" ht="15" customHeight="1" x14ac:dyDescent="0.25">
      <c r="B7342" s="55" t="s">
        <v>280</v>
      </c>
      <c r="C7342" s="46">
        <v>2330</v>
      </c>
      <c r="D7342" s="69" t="s">
        <v>29417</v>
      </c>
      <c r="E7342" s="51"/>
      <c r="F7342" s="114" t="str">
        <f>IF(INDEX(I.Facility.P2aIDNumber,2330)="","",INDEX(I.Facility.P2aIDNumber,2330))</f>
        <v/>
      </c>
      <c r="G7342" s="51"/>
      <c r="H7342" s="46" t="str">
        <f>IF(AND(I.Developer.P2a=TRUE,I.Facility.P2aFacilityCount&gt;=2330,F7342=""),"Incomplete","Complete")</f>
        <v>Complete</v>
      </c>
      <c r="I7342" s="48" t="s">
        <v>11707</v>
      </c>
    </row>
    <row r="7343" spans="2:9" ht="15" customHeight="1" x14ac:dyDescent="0.25">
      <c r="B7343" s="55" t="s">
        <v>280</v>
      </c>
      <c r="C7343" s="46">
        <v>2331</v>
      </c>
      <c r="D7343" s="69" t="s">
        <v>29417</v>
      </c>
      <c r="E7343" s="51"/>
      <c r="F7343" s="114" t="str">
        <f>IF(INDEX(I.Facility.P2aIDNumber,2331)="","",INDEX(I.Facility.P2aIDNumber,2331))</f>
        <v/>
      </c>
      <c r="G7343" s="51"/>
      <c r="H7343" s="46" t="str">
        <f>IF(AND(I.Developer.P2a=TRUE,I.Facility.P2aFacilityCount&gt;=2331,F7343=""),"Incomplete","Complete")</f>
        <v>Complete</v>
      </c>
      <c r="I7343" s="48" t="s">
        <v>11708</v>
      </c>
    </row>
    <row r="7344" spans="2:9" ht="15" customHeight="1" x14ac:dyDescent="0.25">
      <c r="B7344" s="55" t="s">
        <v>280</v>
      </c>
      <c r="C7344" s="46">
        <v>2332</v>
      </c>
      <c r="D7344" s="69" t="s">
        <v>29417</v>
      </c>
      <c r="E7344" s="51"/>
      <c r="F7344" s="114" t="str">
        <f>IF(INDEX(I.Facility.P2aIDNumber,2332)="","",INDEX(I.Facility.P2aIDNumber,2332))</f>
        <v/>
      </c>
      <c r="G7344" s="51"/>
      <c r="H7344" s="46" t="str">
        <f>IF(AND(I.Developer.P2a=TRUE,I.Facility.P2aFacilityCount&gt;=2332,F7344=""),"Incomplete","Complete")</f>
        <v>Complete</v>
      </c>
      <c r="I7344" s="48" t="s">
        <v>11709</v>
      </c>
    </row>
    <row r="7345" spans="2:9" ht="15" customHeight="1" x14ac:dyDescent="0.25">
      <c r="B7345" s="55" t="s">
        <v>280</v>
      </c>
      <c r="C7345" s="46">
        <v>2333</v>
      </c>
      <c r="D7345" s="69" t="s">
        <v>29417</v>
      </c>
      <c r="E7345" s="51"/>
      <c r="F7345" s="114" t="str">
        <f>IF(INDEX(I.Facility.P2aIDNumber,2333)="","",INDEX(I.Facility.P2aIDNumber,2333))</f>
        <v/>
      </c>
      <c r="G7345" s="51"/>
      <c r="H7345" s="46" t="str">
        <f>IF(AND(I.Developer.P2a=TRUE,I.Facility.P2aFacilityCount&gt;=2333,F7345=""),"Incomplete","Complete")</f>
        <v>Complete</v>
      </c>
      <c r="I7345" s="48" t="s">
        <v>11710</v>
      </c>
    </row>
    <row r="7346" spans="2:9" ht="15" customHeight="1" x14ac:dyDescent="0.25">
      <c r="B7346" s="55" t="s">
        <v>280</v>
      </c>
      <c r="C7346" s="46">
        <v>2334</v>
      </c>
      <c r="D7346" s="69" t="s">
        <v>29417</v>
      </c>
      <c r="E7346" s="51"/>
      <c r="F7346" s="114" t="str">
        <f>IF(INDEX(I.Facility.P2aIDNumber,2334)="","",INDEX(I.Facility.P2aIDNumber,2334))</f>
        <v/>
      </c>
      <c r="G7346" s="51"/>
      <c r="H7346" s="46" t="str">
        <f>IF(AND(I.Developer.P2a=TRUE,I.Facility.P2aFacilityCount&gt;=2334,F7346=""),"Incomplete","Complete")</f>
        <v>Complete</v>
      </c>
      <c r="I7346" s="48" t="s">
        <v>11711</v>
      </c>
    </row>
    <row r="7347" spans="2:9" ht="15" customHeight="1" x14ac:dyDescent="0.25">
      <c r="B7347" s="55" t="s">
        <v>280</v>
      </c>
      <c r="C7347" s="46">
        <v>2335</v>
      </c>
      <c r="D7347" s="69" t="s">
        <v>29417</v>
      </c>
      <c r="E7347" s="51"/>
      <c r="F7347" s="114" t="str">
        <f>IF(INDEX(I.Facility.P2aIDNumber,2335)="","",INDEX(I.Facility.P2aIDNumber,2335))</f>
        <v/>
      </c>
      <c r="G7347" s="51"/>
      <c r="H7347" s="46" t="str">
        <f>IF(AND(I.Developer.P2a=TRUE,I.Facility.P2aFacilityCount&gt;=2335,F7347=""),"Incomplete","Complete")</f>
        <v>Complete</v>
      </c>
      <c r="I7347" s="48" t="s">
        <v>11712</v>
      </c>
    </row>
    <row r="7348" spans="2:9" ht="15" customHeight="1" x14ac:dyDescent="0.25">
      <c r="B7348" s="55" t="s">
        <v>280</v>
      </c>
      <c r="C7348" s="46">
        <v>2336</v>
      </c>
      <c r="D7348" s="69" t="s">
        <v>29417</v>
      </c>
      <c r="E7348" s="51"/>
      <c r="F7348" s="114" t="str">
        <f>IF(INDEX(I.Facility.P2aIDNumber,2336)="","",INDEX(I.Facility.P2aIDNumber,2336))</f>
        <v/>
      </c>
      <c r="G7348" s="51"/>
      <c r="H7348" s="46" t="str">
        <f>IF(AND(I.Developer.P2a=TRUE,I.Facility.P2aFacilityCount&gt;=2336,F7348=""),"Incomplete","Complete")</f>
        <v>Complete</v>
      </c>
      <c r="I7348" s="48" t="s">
        <v>11713</v>
      </c>
    </row>
    <row r="7349" spans="2:9" ht="15" customHeight="1" x14ac:dyDescent="0.25">
      <c r="B7349" s="55" t="s">
        <v>280</v>
      </c>
      <c r="C7349" s="46">
        <v>2337</v>
      </c>
      <c r="D7349" s="69" t="s">
        <v>29417</v>
      </c>
      <c r="E7349" s="51"/>
      <c r="F7349" s="114" t="str">
        <f>IF(INDEX(I.Facility.P2aIDNumber,2337)="","",INDEX(I.Facility.P2aIDNumber,2337))</f>
        <v/>
      </c>
      <c r="G7349" s="51"/>
      <c r="H7349" s="46" t="str">
        <f>IF(AND(I.Developer.P2a=TRUE,I.Facility.P2aFacilityCount&gt;=2337,F7349=""),"Incomplete","Complete")</f>
        <v>Complete</v>
      </c>
      <c r="I7349" s="48" t="s">
        <v>11714</v>
      </c>
    </row>
    <row r="7350" spans="2:9" ht="15" customHeight="1" x14ac:dyDescent="0.25">
      <c r="B7350" s="55" t="s">
        <v>280</v>
      </c>
      <c r="C7350" s="46">
        <v>2338</v>
      </c>
      <c r="D7350" s="69" t="s">
        <v>29417</v>
      </c>
      <c r="E7350" s="51"/>
      <c r="F7350" s="114" t="str">
        <f>IF(INDEX(I.Facility.P2aIDNumber,2338)="","",INDEX(I.Facility.P2aIDNumber,2338))</f>
        <v/>
      </c>
      <c r="G7350" s="51"/>
      <c r="H7350" s="46" t="str">
        <f>IF(AND(I.Developer.P2a=TRUE,I.Facility.P2aFacilityCount&gt;=2338,F7350=""),"Incomplete","Complete")</f>
        <v>Complete</v>
      </c>
      <c r="I7350" s="48" t="s">
        <v>11715</v>
      </c>
    </row>
    <row r="7351" spans="2:9" ht="15" customHeight="1" x14ac:dyDescent="0.25">
      <c r="B7351" s="55" t="s">
        <v>280</v>
      </c>
      <c r="C7351" s="46">
        <v>2339</v>
      </c>
      <c r="D7351" s="69" t="s">
        <v>29417</v>
      </c>
      <c r="E7351" s="51"/>
      <c r="F7351" s="114" t="str">
        <f>IF(INDEX(I.Facility.P2aIDNumber,2339)="","",INDEX(I.Facility.P2aIDNumber,2339))</f>
        <v/>
      </c>
      <c r="G7351" s="51"/>
      <c r="H7351" s="46" t="str">
        <f>IF(AND(I.Developer.P2a=TRUE,I.Facility.P2aFacilityCount&gt;=2339,F7351=""),"Incomplete","Complete")</f>
        <v>Complete</v>
      </c>
      <c r="I7351" s="48" t="s">
        <v>11716</v>
      </c>
    </row>
    <row r="7352" spans="2:9" ht="15" customHeight="1" x14ac:dyDescent="0.25">
      <c r="B7352" s="55" t="s">
        <v>280</v>
      </c>
      <c r="C7352" s="46">
        <v>2340</v>
      </c>
      <c r="D7352" s="69" t="s">
        <v>29417</v>
      </c>
      <c r="E7352" s="51"/>
      <c r="F7352" s="114" t="str">
        <f>IF(INDEX(I.Facility.P2aIDNumber,2340)="","",INDEX(I.Facility.P2aIDNumber,2340))</f>
        <v/>
      </c>
      <c r="G7352" s="51"/>
      <c r="H7352" s="46" t="str">
        <f>IF(AND(I.Developer.P2a=TRUE,I.Facility.P2aFacilityCount&gt;=2340,F7352=""),"Incomplete","Complete")</f>
        <v>Complete</v>
      </c>
      <c r="I7352" s="48" t="s">
        <v>11717</v>
      </c>
    </row>
    <row r="7353" spans="2:9" ht="15" customHeight="1" x14ac:dyDescent="0.25">
      <c r="B7353" s="55" t="s">
        <v>280</v>
      </c>
      <c r="C7353" s="46">
        <v>2341</v>
      </c>
      <c r="D7353" s="69" t="s">
        <v>29417</v>
      </c>
      <c r="E7353" s="51"/>
      <c r="F7353" s="114" t="str">
        <f>IF(INDEX(I.Facility.P2aIDNumber,2341)="","",INDEX(I.Facility.P2aIDNumber,2341))</f>
        <v/>
      </c>
      <c r="G7353" s="51"/>
      <c r="H7353" s="46" t="str">
        <f>IF(AND(I.Developer.P2a=TRUE,I.Facility.P2aFacilityCount&gt;=2341,F7353=""),"Incomplete","Complete")</f>
        <v>Complete</v>
      </c>
      <c r="I7353" s="48" t="s">
        <v>11718</v>
      </c>
    </row>
    <row r="7354" spans="2:9" ht="15" customHeight="1" x14ac:dyDescent="0.25">
      <c r="B7354" s="55" t="s">
        <v>280</v>
      </c>
      <c r="C7354" s="46">
        <v>2342</v>
      </c>
      <c r="D7354" s="69" t="s">
        <v>29417</v>
      </c>
      <c r="E7354" s="51"/>
      <c r="F7354" s="114" t="str">
        <f>IF(INDEX(I.Facility.P2aIDNumber,2342)="","",INDEX(I.Facility.P2aIDNumber,2342))</f>
        <v/>
      </c>
      <c r="G7354" s="51"/>
      <c r="H7354" s="46" t="str">
        <f>IF(AND(I.Developer.P2a=TRUE,I.Facility.P2aFacilityCount&gt;=2342,F7354=""),"Incomplete","Complete")</f>
        <v>Complete</v>
      </c>
      <c r="I7354" s="48" t="s">
        <v>11719</v>
      </c>
    </row>
    <row r="7355" spans="2:9" ht="15" customHeight="1" x14ac:dyDescent="0.25">
      <c r="B7355" s="55" t="s">
        <v>280</v>
      </c>
      <c r="C7355" s="46">
        <v>2343</v>
      </c>
      <c r="D7355" s="69" t="s">
        <v>29417</v>
      </c>
      <c r="E7355" s="51"/>
      <c r="F7355" s="114" t="str">
        <f>IF(INDEX(I.Facility.P2aIDNumber,2343)="","",INDEX(I.Facility.P2aIDNumber,2343))</f>
        <v/>
      </c>
      <c r="G7355" s="51"/>
      <c r="H7355" s="46" t="str">
        <f>IF(AND(I.Developer.P2a=TRUE,I.Facility.P2aFacilityCount&gt;=2343,F7355=""),"Incomplete","Complete")</f>
        <v>Complete</v>
      </c>
      <c r="I7355" s="48" t="s">
        <v>11720</v>
      </c>
    </row>
    <row r="7356" spans="2:9" ht="15" customHeight="1" x14ac:dyDescent="0.25">
      <c r="B7356" s="55" t="s">
        <v>280</v>
      </c>
      <c r="C7356" s="46">
        <v>2344</v>
      </c>
      <c r="D7356" s="69" t="s">
        <v>29417</v>
      </c>
      <c r="E7356" s="51"/>
      <c r="F7356" s="114" t="str">
        <f>IF(INDEX(I.Facility.P2aIDNumber,2344)="","",INDEX(I.Facility.P2aIDNumber,2344))</f>
        <v/>
      </c>
      <c r="G7356" s="51"/>
      <c r="H7356" s="46" t="str">
        <f>IF(AND(I.Developer.P2a=TRUE,I.Facility.P2aFacilityCount&gt;=2344,F7356=""),"Incomplete","Complete")</f>
        <v>Complete</v>
      </c>
      <c r="I7356" s="48" t="s">
        <v>11721</v>
      </c>
    </row>
    <row r="7357" spans="2:9" ht="15" customHeight="1" x14ac:dyDescent="0.25">
      <c r="B7357" s="55" t="s">
        <v>280</v>
      </c>
      <c r="C7357" s="46">
        <v>2345</v>
      </c>
      <c r="D7357" s="69" t="s">
        <v>29417</v>
      </c>
      <c r="E7357" s="51"/>
      <c r="F7357" s="114" t="str">
        <f>IF(INDEX(I.Facility.P2aIDNumber,2345)="","",INDEX(I.Facility.P2aIDNumber,2345))</f>
        <v/>
      </c>
      <c r="G7357" s="51"/>
      <c r="H7357" s="46" t="str">
        <f>IF(AND(I.Developer.P2a=TRUE,I.Facility.P2aFacilityCount&gt;=2345,F7357=""),"Incomplete","Complete")</f>
        <v>Complete</v>
      </c>
      <c r="I7357" s="48" t="s">
        <v>11722</v>
      </c>
    </row>
    <row r="7358" spans="2:9" ht="15" customHeight="1" x14ac:dyDescent="0.25">
      <c r="B7358" s="55" t="s">
        <v>280</v>
      </c>
      <c r="C7358" s="46">
        <v>2346</v>
      </c>
      <c r="D7358" s="69" t="s">
        <v>29417</v>
      </c>
      <c r="E7358" s="51"/>
      <c r="F7358" s="114" t="str">
        <f>IF(INDEX(I.Facility.P2aIDNumber,2346)="","",INDEX(I.Facility.P2aIDNumber,2346))</f>
        <v/>
      </c>
      <c r="G7358" s="51"/>
      <c r="H7358" s="46" t="str">
        <f>IF(AND(I.Developer.P2a=TRUE,I.Facility.P2aFacilityCount&gt;=2346,F7358=""),"Incomplete","Complete")</f>
        <v>Complete</v>
      </c>
      <c r="I7358" s="48" t="s">
        <v>11723</v>
      </c>
    </row>
    <row r="7359" spans="2:9" ht="15" customHeight="1" x14ac:dyDescent="0.25">
      <c r="B7359" s="55" t="s">
        <v>280</v>
      </c>
      <c r="C7359" s="46">
        <v>2347</v>
      </c>
      <c r="D7359" s="69" t="s">
        <v>29417</v>
      </c>
      <c r="E7359" s="51"/>
      <c r="F7359" s="114" t="str">
        <f>IF(INDEX(I.Facility.P2aIDNumber,2347)="","",INDEX(I.Facility.P2aIDNumber,2347))</f>
        <v/>
      </c>
      <c r="G7359" s="51"/>
      <c r="H7359" s="46" t="str">
        <f>IF(AND(I.Developer.P2a=TRUE,I.Facility.P2aFacilityCount&gt;=2347,F7359=""),"Incomplete","Complete")</f>
        <v>Complete</v>
      </c>
      <c r="I7359" s="48" t="s">
        <v>11724</v>
      </c>
    </row>
    <row r="7360" spans="2:9" ht="15" customHeight="1" x14ac:dyDescent="0.25">
      <c r="B7360" s="55" t="s">
        <v>280</v>
      </c>
      <c r="C7360" s="46">
        <v>2348</v>
      </c>
      <c r="D7360" s="69" t="s">
        <v>29417</v>
      </c>
      <c r="E7360" s="51"/>
      <c r="F7360" s="114" t="str">
        <f>IF(INDEX(I.Facility.P2aIDNumber,2348)="","",INDEX(I.Facility.P2aIDNumber,2348))</f>
        <v/>
      </c>
      <c r="G7360" s="51"/>
      <c r="H7360" s="46" t="str">
        <f>IF(AND(I.Developer.P2a=TRUE,I.Facility.P2aFacilityCount&gt;=2348,F7360=""),"Incomplete","Complete")</f>
        <v>Complete</v>
      </c>
      <c r="I7360" s="48" t="s">
        <v>11725</v>
      </c>
    </row>
    <row r="7361" spans="2:9" ht="15" customHeight="1" x14ac:dyDescent="0.25">
      <c r="B7361" s="55" t="s">
        <v>280</v>
      </c>
      <c r="C7361" s="46">
        <v>2349</v>
      </c>
      <c r="D7361" s="69" t="s">
        <v>29417</v>
      </c>
      <c r="E7361" s="51"/>
      <c r="F7361" s="114" t="str">
        <f>IF(INDEX(I.Facility.P2aIDNumber,2349)="","",INDEX(I.Facility.P2aIDNumber,2349))</f>
        <v/>
      </c>
      <c r="G7361" s="51"/>
      <c r="H7361" s="46" t="str">
        <f>IF(AND(I.Developer.P2a=TRUE,I.Facility.P2aFacilityCount&gt;=2349,F7361=""),"Incomplete","Complete")</f>
        <v>Complete</v>
      </c>
      <c r="I7361" s="48" t="s">
        <v>11726</v>
      </c>
    </row>
    <row r="7362" spans="2:9" ht="15" customHeight="1" x14ac:dyDescent="0.25">
      <c r="B7362" s="55" t="s">
        <v>280</v>
      </c>
      <c r="C7362" s="46">
        <v>2350</v>
      </c>
      <c r="D7362" s="69" t="s">
        <v>29417</v>
      </c>
      <c r="E7362" s="51"/>
      <c r="F7362" s="114" t="str">
        <f>IF(INDEX(I.Facility.P2aIDNumber,2350)="","",INDEX(I.Facility.P2aIDNumber,2350))</f>
        <v/>
      </c>
      <c r="G7362" s="51"/>
      <c r="H7362" s="46" t="str">
        <f>IF(AND(I.Developer.P2a=TRUE,I.Facility.P2aFacilityCount&gt;=2350,F7362=""),"Incomplete","Complete")</f>
        <v>Complete</v>
      </c>
      <c r="I7362" s="48" t="s">
        <v>11727</v>
      </c>
    </row>
    <row r="7363" spans="2:9" ht="15" customHeight="1" x14ac:dyDescent="0.25">
      <c r="B7363" s="55" t="s">
        <v>280</v>
      </c>
      <c r="C7363" s="46">
        <v>2351</v>
      </c>
      <c r="D7363" s="69" t="s">
        <v>29417</v>
      </c>
      <c r="E7363" s="51"/>
      <c r="F7363" s="114" t="str">
        <f>IF(INDEX(I.Facility.P2aIDNumber,2351)="","",INDEX(I.Facility.P2aIDNumber,2351))</f>
        <v/>
      </c>
      <c r="G7363" s="51"/>
      <c r="H7363" s="46" t="str">
        <f>IF(AND(I.Developer.P2a=TRUE,I.Facility.P2aFacilityCount&gt;=2351,F7363=""),"Incomplete","Complete")</f>
        <v>Complete</v>
      </c>
      <c r="I7363" s="48" t="s">
        <v>11728</v>
      </c>
    </row>
    <row r="7364" spans="2:9" ht="15" customHeight="1" x14ac:dyDescent="0.25">
      <c r="B7364" s="55" t="s">
        <v>280</v>
      </c>
      <c r="C7364" s="46">
        <v>2352</v>
      </c>
      <c r="D7364" s="69" t="s">
        <v>29417</v>
      </c>
      <c r="E7364" s="51"/>
      <c r="F7364" s="114" t="str">
        <f>IF(INDEX(I.Facility.P2aIDNumber,2352)="","",INDEX(I.Facility.P2aIDNumber,2352))</f>
        <v/>
      </c>
      <c r="G7364" s="51"/>
      <c r="H7364" s="46" t="str">
        <f>IF(AND(I.Developer.P2a=TRUE,I.Facility.P2aFacilityCount&gt;=2352,F7364=""),"Incomplete","Complete")</f>
        <v>Complete</v>
      </c>
      <c r="I7364" s="48" t="s">
        <v>11729</v>
      </c>
    </row>
    <row r="7365" spans="2:9" ht="15" customHeight="1" x14ac:dyDescent="0.25">
      <c r="B7365" s="55" t="s">
        <v>280</v>
      </c>
      <c r="C7365" s="46">
        <v>2353</v>
      </c>
      <c r="D7365" s="69" t="s">
        <v>29417</v>
      </c>
      <c r="E7365" s="51"/>
      <c r="F7365" s="114" t="str">
        <f>IF(INDEX(I.Facility.P2aIDNumber,2353)="","",INDEX(I.Facility.P2aIDNumber,2353))</f>
        <v/>
      </c>
      <c r="G7365" s="51"/>
      <c r="H7365" s="46" t="str">
        <f>IF(AND(I.Developer.P2a=TRUE,I.Facility.P2aFacilityCount&gt;=2353,F7365=""),"Incomplete","Complete")</f>
        <v>Complete</v>
      </c>
      <c r="I7365" s="48" t="s">
        <v>11730</v>
      </c>
    </row>
    <row r="7366" spans="2:9" ht="15" customHeight="1" x14ac:dyDescent="0.25">
      <c r="B7366" s="55" t="s">
        <v>280</v>
      </c>
      <c r="C7366" s="46">
        <v>2354</v>
      </c>
      <c r="D7366" s="69" t="s">
        <v>29417</v>
      </c>
      <c r="E7366" s="51"/>
      <c r="F7366" s="114" t="str">
        <f>IF(INDEX(I.Facility.P2aIDNumber,2354)="","",INDEX(I.Facility.P2aIDNumber,2354))</f>
        <v/>
      </c>
      <c r="G7366" s="51"/>
      <c r="H7366" s="46" t="str">
        <f>IF(AND(I.Developer.P2a=TRUE,I.Facility.P2aFacilityCount&gt;=2354,F7366=""),"Incomplete","Complete")</f>
        <v>Complete</v>
      </c>
      <c r="I7366" s="48" t="s">
        <v>11731</v>
      </c>
    </row>
    <row r="7367" spans="2:9" ht="15" customHeight="1" x14ac:dyDescent="0.25">
      <c r="B7367" s="55" t="s">
        <v>280</v>
      </c>
      <c r="C7367" s="46">
        <v>2355</v>
      </c>
      <c r="D7367" s="69" t="s">
        <v>29417</v>
      </c>
      <c r="E7367" s="51"/>
      <c r="F7367" s="114" t="str">
        <f>IF(INDEX(I.Facility.P2aIDNumber,2355)="","",INDEX(I.Facility.P2aIDNumber,2355))</f>
        <v/>
      </c>
      <c r="G7367" s="51"/>
      <c r="H7367" s="46" t="str">
        <f>IF(AND(I.Developer.P2a=TRUE,I.Facility.P2aFacilityCount&gt;=2355,F7367=""),"Incomplete","Complete")</f>
        <v>Complete</v>
      </c>
      <c r="I7367" s="48" t="s">
        <v>11732</v>
      </c>
    </row>
    <row r="7368" spans="2:9" ht="15" customHeight="1" x14ac:dyDescent="0.25">
      <c r="B7368" s="55" t="s">
        <v>280</v>
      </c>
      <c r="C7368" s="46">
        <v>2356</v>
      </c>
      <c r="D7368" s="69" t="s">
        <v>29417</v>
      </c>
      <c r="E7368" s="51"/>
      <c r="F7368" s="114" t="str">
        <f>IF(INDEX(I.Facility.P2aIDNumber,2356)="","",INDEX(I.Facility.P2aIDNumber,2356))</f>
        <v/>
      </c>
      <c r="G7368" s="51"/>
      <c r="H7368" s="46" t="str">
        <f>IF(AND(I.Developer.P2a=TRUE,I.Facility.P2aFacilityCount&gt;=2356,F7368=""),"Incomplete","Complete")</f>
        <v>Complete</v>
      </c>
      <c r="I7368" s="48" t="s">
        <v>11733</v>
      </c>
    </row>
    <row r="7369" spans="2:9" ht="15" customHeight="1" x14ac:dyDescent="0.25">
      <c r="B7369" s="55" t="s">
        <v>280</v>
      </c>
      <c r="C7369" s="46">
        <v>2357</v>
      </c>
      <c r="D7369" s="69" t="s">
        <v>29417</v>
      </c>
      <c r="E7369" s="51"/>
      <c r="F7369" s="114" t="str">
        <f>IF(INDEX(I.Facility.P2aIDNumber,2357)="","",INDEX(I.Facility.P2aIDNumber,2357))</f>
        <v/>
      </c>
      <c r="G7369" s="51"/>
      <c r="H7369" s="46" t="str">
        <f>IF(AND(I.Developer.P2a=TRUE,I.Facility.P2aFacilityCount&gt;=2357,F7369=""),"Incomplete","Complete")</f>
        <v>Complete</v>
      </c>
      <c r="I7369" s="48" t="s">
        <v>11734</v>
      </c>
    </row>
    <row r="7370" spans="2:9" ht="15" customHeight="1" x14ac:dyDescent="0.25">
      <c r="B7370" s="55" t="s">
        <v>280</v>
      </c>
      <c r="C7370" s="46">
        <v>2358</v>
      </c>
      <c r="D7370" s="69" t="s">
        <v>29417</v>
      </c>
      <c r="E7370" s="51"/>
      <c r="F7370" s="114" t="str">
        <f>IF(INDEX(I.Facility.P2aIDNumber,2358)="","",INDEX(I.Facility.P2aIDNumber,2358))</f>
        <v/>
      </c>
      <c r="G7370" s="51"/>
      <c r="H7370" s="46" t="str">
        <f>IF(AND(I.Developer.P2a=TRUE,I.Facility.P2aFacilityCount&gt;=2358,F7370=""),"Incomplete","Complete")</f>
        <v>Complete</v>
      </c>
      <c r="I7370" s="48" t="s">
        <v>11735</v>
      </c>
    </row>
    <row r="7371" spans="2:9" ht="15" customHeight="1" x14ac:dyDescent="0.25">
      <c r="B7371" s="55" t="s">
        <v>280</v>
      </c>
      <c r="C7371" s="46">
        <v>2359</v>
      </c>
      <c r="D7371" s="69" t="s">
        <v>29417</v>
      </c>
      <c r="E7371" s="51"/>
      <c r="F7371" s="114" t="str">
        <f>IF(INDEX(I.Facility.P2aIDNumber,2359)="","",INDEX(I.Facility.P2aIDNumber,2359))</f>
        <v/>
      </c>
      <c r="G7371" s="51"/>
      <c r="H7371" s="46" t="str">
        <f>IF(AND(I.Developer.P2a=TRUE,I.Facility.P2aFacilityCount&gt;=2359,F7371=""),"Incomplete","Complete")</f>
        <v>Complete</v>
      </c>
      <c r="I7371" s="48" t="s">
        <v>11736</v>
      </c>
    </row>
    <row r="7372" spans="2:9" ht="15" customHeight="1" x14ac:dyDescent="0.25">
      <c r="B7372" s="55" t="s">
        <v>280</v>
      </c>
      <c r="C7372" s="46">
        <v>2360</v>
      </c>
      <c r="D7372" s="69" t="s">
        <v>29417</v>
      </c>
      <c r="E7372" s="51"/>
      <c r="F7372" s="114" t="str">
        <f>IF(INDEX(I.Facility.P2aIDNumber,2360)="","",INDEX(I.Facility.P2aIDNumber,2360))</f>
        <v/>
      </c>
      <c r="G7372" s="51"/>
      <c r="H7372" s="46" t="str">
        <f>IF(AND(I.Developer.P2a=TRUE,I.Facility.P2aFacilityCount&gt;=2360,F7372=""),"Incomplete","Complete")</f>
        <v>Complete</v>
      </c>
      <c r="I7372" s="48" t="s">
        <v>11737</v>
      </c>
    </row>
    <row r="7373" spans="2:9" ht="15" customHeight="1" x14ac:dyDescent="0.25">
      <c r="B7373" s="55" t="s">
        <v>280</v>
      </c>
      <c r="C7373" s="46">
        <v>2361</v>
      </c>
      <c r="D7373" s="69" t="s">
        <v>29417</v>
      </c>
      <c r="E7373" s="51"/>
      <c r="F7373" s="114" t="str">
        <f>IF(INDEX(I.Facility.P2aIDNumber,2361)="","",INDEX(I.Facility.P2aIDNumber,2361))</f>
        <v/>
      </c>
      <c r="G7373" s="51"/>
      <c r="H7373" s="46" t="str">
        <f>IF(AND(I.Developer.P2a=TRUE,I.Facility.P2aFacilityCount&gt;=2361,F7373=""),"Incomplete","Complete")</f>
        <v>Complete</v>
      </c>
      <c r="I7373" s="48" t="s">
        <v>11738</v>
      </c>
    </row>
    <row r="7374" spans="2:9" ht="15" customHeight="1" x14ac:dyDescent="0.25">
      <c r="B7374" s="55" t="s">
        <v>280</v>
      </c>
      <c r="C7374" s="46">
        <v>2362</v>
      </c>
      <c r="D7374" s="69" t="s">
        <v>29417</v>
      </c>
      <c r="E7374" s="51"/>
      <c r="F7374" s="114" t="str">
        <f>IF(INDEX(I.Facility.P2aIDNumber,2362)="","",INDEX(I.Facility.P2aIDNumber,2362))</f>
        <v/>
      </c>
      <c r="G7374" s="51"/>
      <c r="H7374" s="46" t="str">
        <f>IF(AND(I.Developer.P2a=TRUE,I.Facility.P2aFacilityCount&gt;=2362,F7374=""),"Incomplete","Complete")</f>
        <v>Complete</v>
      </c>
      <c r="I7374" s="48" t="s">
        <v>11739</v>
      </c>
    </row>
    <row r="7375" spans="2:9" ht="15" customHeight="1" x14ac:dyDescent="0.25">
      <c r="B7375" s="55" t="s">
        <v>280</v>
      </c>
      <c r="C7375" s="46">
        <v>2363</v>
      </c>
      <c r="D7375" s="69" t="s">
        <v>29417</v>
      </c>
      <c r="E7375" s="51"/>
      <c r="F7375" s="114" t="str">
        <f>IF(INDEX(I.Facility.P2aIDNumber,2363)="","",INDEX(I.Facility.P2aIDNumber,2363))</f>
        <v/>
      </c>
      <c r="G7375" s="51"/>
      <c r="H7375" s="46" t="str">
        <f>IF(AND(I.Developer.P2a=TRUE,I.Facility.P2aFacilityCount&gt;=2363,F7375=""),"Incomplete","Complete")</f>
        <v>Complete</v>
      </c>
      <c r="I7375" s="48" t="s">
        <v>11740</v>
      </c>
    </row>
    <row r="7376" spans="2:9" ht="15" customHeight="1" x14ac:dyDescent="0.25">
      <c r="B7376" s="55" t="s">
        <v>280</v>
      </c>
      <c r="C7376" s="46">
        <v>2364</v>
      </c>
      <c r="D7376" s="69" t="s">
        <v>29417</v>
      </c>
      <c r="E7376" s="51"/>
      <c r="F7376" s="114" t="str">
        <f>IF(INDEX(I.Facility.P2aIDNumber,2364)="","",INDEX(I.Facility.P2aIDNumber,2364))</f>
        <v/>
      </c>
      <c r="G7376" s="51"/>
      <c r="H7376" s="46" t="str">
        <f>IF(AND(I.Developer.P2a=TRUE,I.Facility.P2aFacilityCount&gt;=2364,F7376=""),"Incomplete","Complete")</f>
        <v>Complete</v>
      </c>
      <c r="I7376" s="48" t="s">
        <v>11741</v>
      </c>
    </row>
    <row r="7377" spans="2:9" ht="15" customHeight="1" x14ac:dyDescent="0.25">
      <c r="B7377" s="55" t="s">
        <v>280</v>
      </c>
      <c r="C7377" s="46">
        <v>2365</v>
      </c>
      <c r="D7377" s="69" t="s">
        <v>29417</v>
      </c>
      <c r="E7377" s="51"/>
      <c r="F7377" s="114" t="str">
        <f>IF(INDEX(I.Facility.P2aIDNumber,2365)="","",INDEX(I.Facility.P2aIDNumber,2365))</f>
        <v/>
      </c>
      <c r="G7377" s="51"/>
      <c r="H7377" s="46" t="str">
        <f>IF(AND(I.Developer.P2a=TRUE,I.Facility.P2aFacilityCount&gt;=2365,F7377=""),"Incomplete","Complete")</f>
        <v>Complete</v>
      </c>
      <c r="I7377" s="48" t="s">
        <v>11742</v>
      </c>
    </row>
    <row r="7378" spans="2:9" ht="15" customHeight="1" x14ac:dyDescent="0.25">
      <c r="B7378" s="55" t="s">
        <v>280</v>
      </c>
      <c r="C7378" s="46">
        <v>2366</v>
      </c>
      <c r="D7378" s="69" t="s">
        <v>29417</v>
      </c>
      <c r="E7378" s="51"/>
      <c r="F7378" s="114" t="str">
        <f>IF(INDEX(I.Facility.P2aIDNumber,2366)="","",INDEX(I.Facility.P2aIDNumber,2366))</f>
        <v/>
      </c>
      <c r="G7378" s="51"/>
      <c r="H7378" s="46" t="str">
        <f>IF(AND(I.Developer.P2a=TRUE,I.Facility.P2aFacilityCount&gt;=2366,F7378=""),"Incomplete","Complete")</f>
        <v>Complete</v>
      </c>
      <c r="I7378" s="48" t="s">
        <v>11743</v>
      </c>
    </row>
    <row r="7379" spans="2:9" ht="15" customHeight="1" x14ac:dyDescent="0.25">
      <c r="B7379" s="55" t="s">
        <v>280</v>
      </c>
      <c r="C7379" s="46">
        <v>2367</v>
      </c>
      <c r="D7379" s="69" t="s">
        <v>29417</v>
      </c>
      <c r="E7379" s="51"/>
      <c r="F7379" s="114" t="str">
        <f>IF(INDEX(I.Facility.P2aIDNumber,2367)="","",INDEX(I.Facility.P2aIDNumber,2367))</f>
        <v/>
      </c>
      <c r="G7379" s="51"/>
      <c r="H7379" s="46" t="str">
        <f>IF(AND(I.Developer.P2a=TRUE,I.Facility.P2aFacilityCount&gt;=2367,F7379=""),"Incomplete","Complete")</f>
        <v>Complete</v>
      </c>
      <c r="I7379" s="48" t="s">
        <v>11744</v>
      </c>
    </row>
    <row r="7380" spans="2:9" ht="15" customHeight="1" x14ac:dyDescent="0.25">
      <c r="B7380" s="55" t="s">
        <v>280</v>
      </c>
      <c r="C7380" s="46">
        <v>2368</v>
      </c>
      <c r="D7380" s="69" t="s">
        <v>29417</v>
      </c>
      <c r="E7380" s="51"/>
      <c r="F7380" s="114" t="str">
        <f>IF(INDEX(I.Facility.P2aIDNumber,2368)="","",INDEX(I.Facility.P2aIDNumber,2368))</f>
        <v/>
      </c>
      <c r="G7380" s="51"/>
      <c r="H7380" s="46" t="str">
        <f>IF(AND(I.Developer.P2a=TRUE,I.Facility.P2aFacilityCount&gt;=2368,F7380=""),"Incomplete","Complete")</f>
        <v>Complete</v>
      </c>
      <c r="I7380" s="48" t="s">
        <v>11745</v>
      </c>
    </row>
    <row r="7381" spans="2:9" ht="15" customHeight="1" x14ac:dyDescent="0.25">
      <c r="B7381" s="55" t="s">
        <v>280</v>
      </c>
      <c r="C7381" s="46">
        <v>2369</v>
      </c>
      <c r="D7381" s="69" t="s">
        <v>29417</v>
      </c>
      <c r="E7381" s="51"/>
      <c r="F7381" s="114" t="str">
        <f>IF(INDEX(I.Facility.P2aIDNumber,2369)="","",INDEX(I.Facility.P2aIDNumber,2369))</f>
        <v/>
      </c>
      <c r="G7381" s="51"/>
      <c r="H7381" s="46" t="str">
        <f>IF(AND(I.Developer.P2a=TRUE,I.Facility.P2aFacilityCount&gt;=2369,F7381=""),"Incomplete","Complete")</f>
        <v>Complete</v>
      </c>
      <c r="I7381" s="48" t="s">
        <v>11746</v>
      </c>
    </row>
    <row r="7382" spans="2:9" ht="15" customHeight="1" x14ac:dyDescent="0.25">
      <c r="B7382" s="55" t="s">
        <v>280</v>
      </c>
      <c r="C7382" s="46">
        <v>2370</v>
      </c>
      <c r="D7382" s="69" t="s">
        <v>29417</v>
      </c>
      <c r="E7382" s="51"/>
      <c r="F7382" s="114" t="str">
        <f>IF(INDEX(I.Facility.P2aIDNumber,2370)="","",INDEX(I.Facility.P2aIDNumber,2370))</f>
        <v/>
      </c>
      <c r="G7382" s="51"/>
      <c r="H7382" s="46" t="str">
        <f>IF(AND(I.Developer.P2a=TRUE,I.Facility.P2aFacilityCount&gt;=2370,F7382=""),"Incomplete","Complete")</f>
        <v>Complete</v>
      </c>
      <c r="I7382" s="48" t="s">
        <v>11747</v>
      </c>
    </row>
    <row r="7383" spans="2:9" ht="15" customHeight="1" x14ac:dyDescent="0.25">
      <c r="B7383" s="55" t="s">
        <v>280</v>
      </c>
      <c r="C7383" s="46">
        <v>2371</v>
      </c>
      <c r="D7383" s="69" t="s">
        <v>29417</v>
      </c>
      <c r="E7383" s="51"/>
      <c r="F7383" s="114" t="str">
        <f>IF(INDEX(I.Facility.P2aIDNumber,2371)="","",INDEX(I.Facility.P2aIDNumber,2371))</f>
        <v/>
      </c>
      <c r="G7383" s="51"/>
      <c r="H7383" s="46" t="str">
        <f>IF(AND(I.Developer.P2a=TRUE,I.Facility.P2aFacilityCount&gt;=2371,F7383=""),"Incomplete","Complete")</f>
        <v>Complete</v>
      </c>
      <c r="I7383" s="48" t="s">
        <v>11748</v>
      </c>
    </row>
    <row r="7384" spans="2:9" ht="15" customHeight="1" x14ac:dyDescent="0.25">
      <c r="B7384" s="55" t="s">
        <v>280</v>
      </c>
      <c r="C7384" s="46">
        <v>2372</v>
      </c>
      <c r="D7384" s="69" t="s">
        <v>29417</v>
      </c>
      <c r="E7384" s="51"/>
      <c r="F7384" s="114" t="str">
        <f>IF(INDEX(I.Facility.P2aIDNumber,2372)="","",INDEX(I.Facility.P2aIDNumber,2372))</f>
        <v/>
      </c>
      <c r="G7384" s="51"/>
      <c r="H7384" s="46" t="str">
        <f>IF(AND(I.Developer.P2a=TRUE,I.Facility.P2aFacilityCount&gt;=2372,F7384=""),"Incomplete","Complete")</f>
        <v>Complete</v>
      </c>
      <c r="I7384" s="48" t="s">
        <v>11749</v>
      </c>
    </row>
    <row r="7385" spans="2:9" ht="15" customHeight="1" x14ac:dyDescent="0.25">
      <c r="B7385" s="55" t="s">
        <v>280</v>
      </c>
      <c r="C7385" s="46">
        <v>2373</v>
      </c>
      <c r="D7385" s="69" t="s">
        <v>29417</v>
      </c>
      <c r="E7385" s="51"/>
      <c r="F7385" s="114" t="str">
        <f>IF(INDEX(I.Facility.P2aIDNumber,2373)="","",INDEX(I.Facility.P2aIDNumber,2373))</f>
        <v/>
      </c>
      <c r="G7385" s="51"/>
      <c r="H7385" s="46" t="str">
        <f>IF(AND(I.Developer.P2a=TRUE,I.Facility.P2aFacilityCount&gt;=2373,F7385=""),"Incomplete","Complete")</f>
        <v>Complete</v>
      </c>
      <c r="I7385" s="48" t="s">
        <v>11750</v>
      </c>
    </row>
    <row r="7386" spans="2:9" ht="15" customHeight="1" x14ac:dyDescent="0.25">
      <c r="B7386" s="55" t="s">
        <v>280</v>
      </c>
      <c r="C7386" s="46">
        <v>2374</v>
      </c>
      <c r="D7386" s="69" t="s">
        <v>29417</v>
      </c>
      <c r="E7386" s="51"/>
      <c r="F7386" s="114" t="str">
        <f>IF(INDEX(I.Facility.P2aIDNumber,2374)="","",INDEX(I.Facility.P2aIDNumber,2374))</f>
        <v/>
      </c>
      <c r="G7386" s="51"/>
      <c r="H7386" s="46" t="str">
        <f>IF(AND(I.Developer.P2a=TRUE,I.Facility.P2aFacilityCount&gt;=2374,F7386=""),"Incomplete","Complete")</f>
        <v>Complete</v>
      </c>
      <c r="I7386" s="48" t="s">
        <v>11751</v>
      </c>
    </row>
    <row r="7387" spans="2:9" ht="15" customHeight="1" x14ac:dyDescent="0.25">
      <c r="B7387" s="55" t="s">
        <v>280</v>
      </c>
      <c r="C7387" s="46">
        <v>2375</v>
      </c>
      <c r="D7387" s="69" t="s">
        <v>29417</v>
      </c>
      <c r="E7387" s="51"/>
      <c r="F7387" s="114" t="str">
        <f>IF(INDEX(I.Facility.P2aIDNumber,2375)="","",INDEX(I.Facility.P2aIDNumber,2375))</f>
        <v/>
      </c>
      <c r="G7387" s="51"/>
      <c r="H7387" s="46" t="str">
        <f>IF(AND(I.Developer.P2a=TRUE,I.Facility.P2aFacilityCount&gt;=2375,F7387=""),"Incomplete","Complete")</f>
        <v>Complete</v>
      </c>
      <c r="I7387" s="48" t="s">
        <v>11752</v>
      </c>
    </row>
    <row r="7388" spans="2:9" ht="15" customHeight="1" x14ac:dyDescent="0.25">
      <c r="B7388" s="55" t="s">
        <v>280</v>
      </c>
      <c r="C7388" s="46">
        <v>2376</v>
      </c>
      <c r="D7388" s="69" t="s">
        <v>29417</v>
      </c>
      <c r="E7388" s="51"/>
      <c r="F7388" s="114" t="str">
        <f>IF(INDEX(I.Facility.P2aIDNumber,2376)="","",INDEX(I.Facility.P2aIDNumber,2376))</f>
        <v/>
      </c>
      <c r="G7388" s="51"/>
      <c r="H7388" s="46" t="str">
        <f>IF(AND(I.Developer.P2a=TRUE,I.Facility.P2aFacilityCount&gt;=2376,F7388=""),"Incomplete","Complete")</f>
        <v>Complete</v>
      </c>
      <c r="I7388" s="48" t="s">
        <v>11753</v>
      </c>
    </row>
    <row r="7389" spans="2:9" ht="15" customHeight="1" x14ac:dyDescent="0.25">
      <c r="B7389" s="55" t="s">
        <v>280</v>
      </c>
      <c r="C7389" s="46">
        <v>2377</v>
      </c>
      <c r="D7389" s="69" t="s">
        <v>29417</v>
      </c>
      <c r="E7389" s="51"/>
      <c r="F7389" s="114" t="str">
        <f>IF(INDEX(I.Facility.P2aIDNumber,2377)="","",INDEX(I.Facility.P2aIDNumber,2377))</f>
        <v/>
      </c>
      <c r="G7389" s="51"/>
      <c r="H7389" s="46" t="str">
        <f>IF(AND(I.Developer.P2a=TRUE,I.Facility.P2aFacilityCount&gt;=2377,F7389=""),"Incomplete","Complete")</f>
        <v>Complete</v>
      </c>
      <c r="I7389" s="48" t="s">
        <v>11754</v>
      </c>
    </row>
    <row r="7390" spans="2:9" ht="15" customHeight="1" x14ac:dyDescent="0.25">
      <c r="B7390" s="55" t="s">
        <v>280</v>
      </c>
      <c r="C7390" s="46">
        <v>2378</v>
      </c>
      <c r="D7390" s="69" t="s">
        <v>29417</v>
      </c>
      <c r="E7390" s="51"/>
      <c r="F7390" s="114" t="str">
        <f>IF(INDEX(I.Facility.P2aIDNumber,2378)="","",INDEX(I.Facility.P2aIDNumber,2378))</f>
        <v/>
      </c>
      <c r="G7390" s="51"/>
      <c r="H7390" s="46" t="str">
        <f>IF(AND(I.Developer.P2a=TRUE,I.Facility.P2aFacilityCount&gt;=2378,F7390=""),"Incomplete","Complete")</f>
        <v>Complete</v>
      </c>
      <c r="I7390" s="48" t="s">
        <v>11755</v>
      </c>
    </row>
    <row r="7391" spans="2:9" ht="15" customHeight="1" x14ac:dyDescent="0.25">
      <c r="B7391" s="55" t="s">
        <v>280</v>
      </c>
      <c r="C7391" s="46">
        <v>2379</v>
      </c>
      <c r="D7391" s="69" t="s">
        <v>29417</v>
      </c>
      <c r="E7391" s="51"/>
      <c r="F7391" s="114" t="str">
        <f>IF(INDEX(I.Facility.P2aIDNumber,2379)="","",INDEX(I.Facility.P2aIDNumber,2379))</f>
        <v/>
      </c>
      <c r="G7391" s="51"/>
      <c r="H7391" s="46" t="str">
        <f>IF(AND(I.Developer.P2a=TRUE,I.Facility.P2aFacilityCount&gt;=2379,F7391=""),"Incomplete","Complete")</f>
        <v>Complete</v>
      </c>
      <c r="I7391" s="48" t="s">
        <v>11756</v>
      </c>
    </row>
    <row r="7392" spans="2:9" ht="15" customHeight="1" x14ac:dyDescent="0.25">
      <c r="B7392" s="55" t="s">
        <v>280</v>
      </c>
      <c r="C7392" s="46">
        <v>2380</v>
      </c>
      <c r="D7392" s="69" t="s">
        <v>29417</v>
      </c>
      <c r="E7392" s="51"/>
      <c r="F7392" s="114" t="str">
        <f>IF(INDEX(I.Facility.P2aIDNumber,2380)="","",INDEX(I.Facility.P2aIDNumber,2380))</f>
        <v/>
      </c>
      <c r="G7392" s="51"/>
      <c r="H7392" s="46" t="str">
        <f>IF(AND(I.Developer.P2a=TRUE,I.Facility.P2aFacilityCount&gt;=2380,F7392=""),"Incomplete","Complete")</f>
        <v>Complete</v>
      </c>
      <c r="I7392" s="48" t="s">
        <v>11757</v>
      </c>
    </row>
    <row r="7393" spans="2:9" ht="15" customHeight="1" x14ac:dyDescent="0.25">
      <c r="B7393" s="55" t="s">
        <v>280</v>
      </c>
      <c r="C7393" s="46">
        <v>2381</v>
      </c>
      <c r="D7393" s="69" t="s">
        <v>29417</v>
      </c>
      <c r="E7393" s="51"/>
      <c r="F7393" s="114" t="str">
        <f>IF(INDEX(I.Facility.P2aIDNumber,2381)="","",INDEX(I.Facility.P2aIDNumber,2381))</f>
        <v/>
      </c>
      <c r="G7393" s="51"/>
      <c r="H7393" s="46" t="str">
        <f>IF(AND(I.Developer.P2a=TRUE,I.Facility.P2aFacilityCount&gt;=2381,F7393=""),"Incomplete","Complete")</f>
        <v>Complete</v>
      </c>
      <c r="I7393" s="48" t="s">
        <v>11758</v>
      </c>
    </row>
    <row r="7394" spans="2:9" ht="15" customHeight="1" x14ac:dyDescent="0.25">
      <c r="B7394" s="55" t="s">
        <v>280</v>
      </c>
      <c r="C7394" s="46">
        <v>2382</v>
      </c>
      <c r="D7394" s="69" t="s">
        <v>29417</v>
      </c>
      <c r="E7394" s="51"/>
      <c r="F7394" s="114" t="str">
        <f>IF(INDEX(I.Facility.P2aIDNumber,2382)="","",INDEX(I.Facility.P2aIDNumber,2382))</f>
        <v/>
      </c>
      <c r="G7394" s="51"/>
      <c r="H7394" s="46" t="str">
        <f>IF(AND(I.Developer.P2a=TRUE,I.Facility.P2aFacilityCount&gt;=2382,F7394=""),"Incomplete","Complete")</f>
        <v>Complete</v>
      </c>
      <c r="I7394" s="48" t="s">
        <v>11759</v>
      </c>
    </row>
    <row r="7395" spans="2:9" ht="15" customHeight="1" x14ac:dyDescent="0.25">
      <c r="B7395" s="55" t="s">
        <v>280</v>
      </c>
      <c r="C7395" s="46">
        <v>2383</v>
      </c>
      <c r="D7395" s="69" t="s">
        <v>29417</v>
      </c>
      <c r="E7395" s="51"/>
      <c r="F7395" s="114" t="str">
        <f>IF(INDEX(I.Facility.P2aIDNumber,2383)="","",INDEX(I.Facility.P2aIDNumber,2383))</f>
        <v/>
      </c>
      <c r="G7395" s="51"/>
      <c r="H7395" s="46" t="str">
        <f>IF(AND(I.Developer.P2a=TRUE,I.Facility.P2aFacilityCount&gt;=2383,F7395=""),"Incomplete","Complete")</f>
        <v>Complete</v>
      </c>
      <c r="I7395" s="48" t="s">
        <v>11760</v>
      </c>
    </row>
    <row r="7396" spans="2:9" ht="15" customHeight="1" x14ac:dyDescent="0.25">
      <c r="B7396" s="55" t="s">
        <v>280</v>
      </c>
      <c r="C7396" s="46">
        <v>2384</v>
      </c>
      <c r="D7396" s="69" t="s">
        <v>29417</v>
      </c>
      <c r="E7396" s="51"/>
      <c r="F7396" s="114" t="str">
        <f>IF(INDEX(I.Facility.P2aIDNumber,2384)="","",INDEX(I.Facility.P2aIDNumber,2384))</f>
        <v/>
      </c>
      <c r="G7396" s="51"/>
      <c r="H7396" s="46" t="str">
        <f>IF(AND(I.Developer.P2a=TRUE,I.Facility.P2aFacilityCount&gt;=2384,F7396=""),"Incomplete","Complete")</f>
        <v>Complete</v>
      </c>
      <c r="I7396" s="48" t="s">
        <v>11761</v>
      </c>
    </row>
    <row r="7397" spans="2:9" ht="15" customHeight="1" x14ac:dyDescent="0.25">
      <c r="B7397" s="55" t="s">
        <v>280</v>
      </c>
      <c r="C7397" s="46">
        <v>2385</v>
      </c>
      <c r="D7397" s="69" t="s">
        <v>29417</v>
      </c>
      <c r="E7397" s="51"/>
      <c r="F7397" s="114" t="str">
        <f>IF(INDEX(I.Facility.P2aIDNumber,2385)="","",INDEX(I.Facility.P2aIDNumber,2385))</f>
        <v/>
      </c>
      <c r="G7397" s="51"/>
      <c r="H7397" s="46" t="str">
        <f>IF(AND(I.Developer.P2a=TRUE,I.Facility.P2aFacilityCount&gt;=2385,F7397=""),"Incomplete","Complete")</f>
        <v>Complete</v>
      </c>
      <c r="I7397" s="48" t="s">
        <v>11762</v>
      </c>
    </row>
    <row r="7398" spans="2:9" ht="15" customHeight="1" x14ac:dyDescent="0.25">
      <c r="B7398" s="55" t="s">
        <v>280</v>
      </c>
      <c r="C7398" s="46">
        <v>2386</v>
      </c>
      <c r="D7398" s="69" t="s">
        <v>29417</v>
      </c>
      <c r="E7398" s="51"/>
      <c r="F7398" s="114" t="str">
        <f>IF(INDEX(I.Facility.P2aIDNumber,2386)="","",INDEX(I.Facility.P2aIDNumber,2386))</f>
        <v/>
      </c>
      <c r="G7398" s="51"/>
      <c r="H7398" s="46" t="str">
        <f>IF(AND(I.Developer.P2a=TRUE,I.Facility.P2aFacilityCount&gt;=2386,F7398=""),"Incomplete","Complete")</f>
        <v>Complete</v>
      </c>
      <c r="I7398" s="48" t="s">
        <v>11763</v>
      </c>
    </row>
    <row r="7399" spans="2:9" ht="15" customHeight="1" x14ac:dyDescent="0.25">
      <c r="B7399" s="55" t="s">
        <v>280</v>
      </c>
      <c r="C7399" s="46">
        <v>2387</v>
      </c>
      <c r="D7399" s="69" t="s">
        <v>29417</v>
      </c>
      <c r="E7399" s="51"/>
      <c r="F7399" s="114" t="str">
        <f>IF(INDEX(I.Facility.P2aIDNumber,2387)="","",INDEX(I.Facility.P2aIDNumber,2387))</f>
        <v/>
      </c>
      <c r="G7399" s="51"/>
      <c r="H7399" s="46" t="str">
        <f>IF(AND(I.Developer.P2a=TRUE,I.Facility.P2aFacilityCount&gt;=2387,F7399=""),"Incomplete","Complete")</f>
        <v>Complete</v>
      </c>
      <c r="I7399" s="48" t="s">
        <v>11764</v>
      </c>
    </row>
    <row r="7400" spans="2:9" ht="15" customHeight="1" x14ac:dyDescent="0.25">
      <c r="B7400" s="55" t="s">
        <v>280</v>
      </c>
      <c r="C7400" s="46">
        <v>2388</v>
      </c>
      <c r="D7400" s="69" t="s">
        <v>29417</v>
      </c>
      <c r="E7400" s="51"/>
      <c r="F7400" s="114" t="str">
        <f>IF(INDEX(I.Facility.P2aIDNumber,2388)="","",INDEX(I.Facility.P2aIDNumber,2388))</f>
        <v/>
      </c>
      <c r="G7400" s="51"/>
      <c r="H7400" s="46" t="str">
        <f>IF(AND(I.Developer.P2a=TRUE,I.Facility.P2aFacilityCount&gt;=2388,F7400=""),"Incomplete","Complete")</f>
        <v>Complete</v>
      </c>
      <c r="I7400" s="48" t="s">
        <v>11765</v>
      </c>
    </row>
    <row r="7401" spans="2:9" ht="15" customHeight="1" x14ac:dyDescent="0.25">
      <c r="B7401" s="55" t="s">
        <v>280</v>
      </c>
      <c r="C7401" s="46">
        <v>2389</v>
      </c>
      <c r="D7401" s="69" t="s">
        <v>29417</v>
      </c>
      <c r="E7401" s="51"/>
      <c r="F7401" s="114" t="str">
        <f>IF(INDEX(I.Facility.P2aIDNumber,2389)="","",INDEX(I.Facility.P2aIDNumber,2389))</f>
        <v/>
      </c>
      <c r="G7401" s="51"/>
      <c r="H7401" s="46" t="str">
        <f>IF(AND(I.Developer.P2a=TRUE,I.Facility.P2aFacilityCount&gt;=2389,F7401=""),"Incomplete","Complete")</f>
        <v>Complete</v>
      </c>
      <c r="I7401" s="48" t="s">
        <v>11766</v>
      </c>
    </row>
    <row r="7402" spans="2:9" ht="15" customHeight="1" x14ac:dyDescent="0.25">
      <c r="B7402" s="55" t="s">
        <v>280</v>
      </c>
      <c r="C7402" s="46">
        <v>2390</v>
      </c>
      <c r="D7402" s="69" t="s">
        <v>29417</v>
      </c>
      <c r="E7402" s="51"/>
      <c r="F7402" s="114" t="str">
        <f>IF(INDEX(I.Facility.P2aIDNumber,2390)="","",INDEX(I.Facility.P2aIDNumber,2390))</f>
        <v/>
      </c>
      <c r="G7402" s="51"/>
      <c r="H7402" s="46" t="str">
        <f>IF(AND(I.Developer.P2a=TRUE,I.Facility.P2aFacilityCount&gt;=2390,F7402=""),"Incomplete","Complete")</f>
        <v>Complete</v>
      </c>
      <c r="I7402" s="48" t="s">
        <v>11767</v>
      </c>
    </row>
    <row r="7403" spans="2:9" ht="15" customHeight="1" x14ac:dyDescent="0.25">
      <c r="B7403" s="55" t="s">
        <v>280</v>
      </c>
      <c r="C7403" s="46">
        <v>2391</v>
      </c>
      <c r="D7403" s="69" t="s">
        <v>29417</v>
      </c>
      <c r="E7403" s="51"/>
      <c r="F7403" s="114" t="str">
        <f>IF(INDEX(I.Facility.P2aIDNumber,2391)="","",INDEX(I.Facility.P2aIDNumber,2391))</f>
        <v/>
      </c>
      <c r="G7403" s="51"/>
      <c r="H7403" s="46" t="str">
        <f>IF(AND(I.Developer.P2a=TRUE,I.Facility.P2aFacilityCount&gt;=2391,F7403=""),"Incomplete","Complete")</f>
        <v>Complete</v>
      </c>
      <c r="I7403" s="48" t="s">
        <v>11768</v>
      </c>
    </row>
    <row r="7404" spans="2:9" ht="15" customHeight="1" x14ac:dyDescent="0.25">
      <c r="B7404" s="55" t="s">
        <v>280</v>
      </c>
      <c r="C7404" s="46">
        <v>2392</v>
      </c>
      <c r="D7404" s="69" t="s">
        <v>29417</v>
      </c>
      <c r="E7404" s="51"/>
      <c r="F7404" s="114" t="str">
        <f>IF(INDEX(I.Facility.P2aIDNumber,2392)="","",INDEX(I.Facility.P2aIDNumber,2392))</f>
        <v/>
      </c>
      <c r="G7404" s="51"/>
      <c r="H7404" s="46" t="str">
        <f>IF(AND(I.Developer.P2a=TRUE,I.Facility.P2aFacilityCount&gt;=2392,F7404=""),"Incomplete","Complete")</f>
        <v>Complete</v>
      </c>
      <c r="I7404" s="48" t="s">
        <v>11769</v>
      </c>
    </row>
    <row r="7405" spans="2:9" ht="15" customHeight="1" x14ac:dyDescent="0.25">
      <c r="B7405" s="55" t="s">
        <v>280</v>
      </c>
      <c r="C7405" s="46">
        <v>2393</v>
      </c>
      <c r="D7405" s="69" t="s">
        <v>29417</v>
      </c>
      <c r="E7405" s="51"/>
      <c r="F7405" s="114" t="str">
        <f>IF(INDEX(I.Facility.P2aIDNumber,2393)="","",INDEX(I.Facility.P2aIDNumber,2393))</f>
        <v/>
      </c>
      <c r="G7405" s="51"/>
      <c r="H7405" s="46" t="str">
        <f>IF(AND(I.Developer.P2a=TRUE,I.Facility.P2aFacilityCount&gt;=2393,F7405=""),"Incomplete","Complete")</f>
        <v>Complete</v>
      </c>
      <c r="I7405" s="48" t="s">
        <v>11770</v>
      </c>
    </row>
    <row r="7406" spans="2:9" ht="15" customHeight="1" x14ac:dyDescent="0.25">
      <c r="B7406" s="55" t="s">
        <v>280</v>
      </c>
      <c r="C7406" s="46">
        <v>2394</v>
      </c>
      <c r="D7406" s="69" t="s">
        <v>29417</v>
      </c>
      <c r="E7406" s="51"/>
      <c r="F7406" s="114" t="str">
        <f>IF(INDEX(I.Facility.P2aIDNumber,2394)="","",INDEX(I.Facility.P2aIDNumber,2394))</f>
        <v/>
      </c>
      <c r="G7406" s="51"/>
      <c r="H7406" s="46" t="str">
        <f>IF(AND(I.Developer.P2a=TRUE,I.Facility.P2aFacilityCount&gt;=2394,F7406=""),"Incomplete","Complete")</f>
        <v>Complete</v>
      </c>
      <c r="I7406" s="48" t="s">
        <v>11771</v>
      </c>
    </row>
    <row r="7407" spans="2:9" ht="15" customHeight="1" x14ac:dyDescent="0.25">
      <c r="B7407" s="55" t="s">
        <v>280</v>
      </c>
      <c r="C7407" s="46">
        <v>2395</v>
      </c>
      <c r="D7407" s="69" t="s">
        <v>29417</v>
      </c>
      <c r="E7407" s="51"/>
      <c r="F7407" s="114" t="str">
        <f>IF(INDEX(I.Facility.P2aIDNumber,2395)="","",INDEX(I.Facility.P2aIDNumber,2395))</f>
        <v/>
      </c>
      <c r="G7407" s="51"/>
      <c r="H7407" s="46" t="str">
        <f>IF(AND(I.Developer.P2a=TRUE,I.Facility.P2aFacilityCount&gt;=2395,F7407=""),"Incomplete","Complete")</f>
        <v>Complete</v>
      </c>
      <c r="I7407" s="48" t="s">
        <v>11772</v>
      </c>
    </row>
    <row r="7408" spans="2:9" ht="15" customHeight="1" x14ac:dyDescent="0.25">
      <c r="B7408" s="55" t="s">
        <v>280</v>
      </c>
      <c r="C7408" s="46">
        <v>2396</v>
      </c>
      <c r="D7408" s="69" t="s">
        <v>29417</v>
      </c>
      <c r="E7408" s="51"/>
      <c r="F7408" s="114" t="str">
        <f>IF(INDEX(I.Facility.P2aIDNumber,2396)="","",INDEX(I.Facility.P2aIDNumber,2396))</f>
        <v/>
      </c>
      <c r="G7408" s="51"/>
      <c r="H7408" s="46" t="str">
        <f>IF(AND(I.Developer.P2a=TRUE,I.Facility.P2aFacilityCount&gt;=2396,F7408=""),"Incomplete","Complete")</f>
        <v>Complete</v>
      </c>
      <c r="I7408" s="48" t="s">
        <v>11773</v>
      </c>
    </row>
    <row r="7409" spans="2:9" ht="15" customHeight="1" x14ac:dyDescent="0.25">
      <c r="B7409" s="55" t="s">
        <v>280</v>
      </c>
      <c r="C7409" s="46">
        <v>2397</v>
      </c>
      <c r="D7409" s="69" t="s">
        <v>29417</v>
      </c>
      <c r="E7409" s="51"/>
      <c r="F7409" s="114" t="str">
        <f>IF(INDEX(I.Facility.P2aIDNumber,2397)="","",INDEX(I.Facility.P2aIDNumber,2397))</f>
        <v/>
      </c>
      <c r="G7409" s="51"/>
      <c r="H7409" s="46" t="str">
        <f>IF(AND(I.Developer.P2a=TRUE,I.Facility.P2aFacilityCount&gt;=2397,F7409=""),"Incomplete","Complete")</f>
        <v>Complete</v>
      </c>
      <c r="I7409" s="48" t="s">
        <v>11774</v>
      </c>
    </row>
    <row r="7410" spans="2:9" ht="15" customHeight="1" x14ac:dyDescent="0.25">
      <c r="B7410" s="55" t="s">
        <v>280</v>
      </c>
      <c r="C7410" s="46">
        <v>2398</v>
      </c>
      <c r="D7410" s="69" t="s">
        <v>29417</v>
      </c>
      <c r="E7410" s="51"/>
      <c r="F7410" s="114" t="str">
        <f>IF(INDEX(I.Facility.P2aIDNumber,2398)="","",INDEX(I.Facility.P2aIDNumber,2398))</f>
        <v/>
      </c>
      <c r="G7410" s="51"/>
      <c r="H7410" s="46" t="str">
        <f>IF(AND(I.Developer.P2a=TRUE,I.Facility.P2aFacilityCount&gt;=2398,F7410=""),"Incomplete","Complete")</f>
        <v>Complete</v>
      </c>
      <c r="I7410" s="48" t="s">
        <v>11775</v>
      </c>
    </row>
    <row r="7411" spans="2:9" ht="15" customHeight="1" x14ac:dyDescent="0.25">
      <c r="B7411" s="55" t="s">
        <v>280</v>
      </c>
      <c r="C7411" s="46">
        <v>2399</v>
      </c>
      <c r="D7411" s="69" t="s">
        <v>29417</v>
      </c>
      <c r="E7411" s="51"/>
      <c r="F7411" s="114" t="str">
        <f>IF(INDEX(I.Facility.P2aIDNumber,2399)="","",INDEX(I.Facility.P2aIDNumber,2399))</f>
        <v/>
      </c>
      <c r="G7411" s="51"/>
      <c r="H7411" s="46" t="str">
        <f>IF(AND(I.Developer.P2a=TRUE,I.Facility.P2aFacilityCount&gt;=2399,F7411=""),"Incomplete","Complete")</f>
        <v>Complete</v>
      </c>
      <c r="I7411" s="48" t="s">
        <v>11776</v>
      </c>
    </row>
    <row r="7412" spans="2:9" ht="15" customHeight="1" x14ac:dyDescent="0.25">
      <c r="B7412" s="55" t="s">
        <v>280</v>
      </c>
      <c r="C7412" s="46">
        <v>2400</v>
      </c>
      <c r="D7412" s="69" t="s">
        <v>29417</v>
      </c>
      <c r="E7412" s="51"/>
      <c r="F7412" s="114" t="str">
        <f>IF(INDEX(I.Facility.P2aIDNumber,2400)="","",INDEX(I.Facility.P2aIDNumber,2400))</f>
        <v/>
      </c>
      <c r="G7412" s="51"/>
      <c r="H7412" s="46" t="str">
        <f>IF(AND(I.Developer.P2a=TRUE,I.Facility.P2aFacilityCount&gt;=2400,F7412=""),"Incomplete","Complete")</f>
        <v>Complete</v>
      </c>
      <c r="I7412" s="48" t="s">
        <v>11777</v>
      </c>
    </row>
    <row r="7413" spans="2:9" ht="15" customHeight="1" x14ac:dyDescent="0.25">
      <c r="B7413" s="55" t="s">
        <v>280</v>
      </c>
      <c r="C7413" s="46">
        <v>2401</v>
      </c>
      <c r="D7413" s="69" t="s">
        <v>29417</v>
      </c>
      <c r="E7413" s="51"/>
      <c r="F7413" s="114" t="str">
        <f>IF(INDEX(I.Facility.P2aIDNumber,2401)="","",INDEX(I.Facility.P2aIDNumber,2401))</f>
        <v/>
      </c>
      <c r="G7413" s="51"/>
      <c r="H7413" s="46" t="str">
        <f>IF(AND(I.Developer.P2a=TRUE,I.Facility.P2aFacilityCount&gt;=2401,F7413=""),"Incomplete","Complete")</f>
        <v>Complete</v>
      </c>
      <c r="I7413" s="48" t="s">
        <v>11778</v>
      </c>
    </row>
    <row r="7414" spans="2:9" ht="15" customHeight="1" x14ac:dyDescent="0.25">
      <c r="B7414" s="55" t="s">
        <v>280</v>
      </c>
      <c r="C7414" s="46">
        <v>2402</v>
      </c>
      <c r="D7414" s="69" t="s">
        <v>29417</v>
      </c>
      <c r="E7414" s="51"/>
      <c r="F7414" s="114" t="str">
        <f>IF(INDEX(I.Facility.P2aIDNumber,2402)="","",INDEX(I.Facility.P2aIDNumber,2402))</f>
        <v/>
      </c>
      <c r="G7414" s="51"/>
      <c r="H7414" s="46" t="str">
        <f>IF(AND(I.Developer.P2a=TRUE,I.Facility.P2aFacilityCount&gt;=2402,F7414=""),"Incomplete","Complete")</f>
        <v>Complete</v>
      </c>
      <c r="I7414" s="48" t="s">
        <v>11779</v>
      </c>
    </row>
    <row r="7415" spans="2:9" ht="15" customHeight="1" x14ac:dyDescent="0.25">
      <c r="B7415" s="55" t="s">
        <v>280</v>
      </c>
      <c r="C7415" s="46">
        <v>2403</v>
      </c>
      <c r="D7415" s="69" t="s">
        <v>29417</v>
      </c>
      <c r="E7415" s="51"/>
      <c r="F7415" s="114" t="str">
        <f>IF(INDEX(I.Facility.P2aIDNumber,2403)="","",INDEX(I.Facility.P2aIDNumber,2403))</f>
        <v/>
      </c>
      <c r="G7415" s="51"/>
      <c r="H7415" s="46" t="str">
        <f>IF(AND(I.Developer.P2a=TRUE,I.Facility.P2aFacilityCount&gt;=2403,F7415=""),"Incomplete","Complete")</f>
        <v>Complete</v>
      </c>
      <c r="I7415" s="48" t="s">
        <v>11780</v>
      </c>
    </row>
    <row r="7416" spans="2:9" ht="15" customHeight="1" x14ac:dyDescent="0.25">
      <c r="B7416" s="55" t="s">
        <v>280</v>
      </c>
      <c r="C7416" s="46">
        <v>2404</v>
      </c>
      <c r="D7416" s="69" t="s">
        <v>29417</v>
      </c>
      <c r="E7416" s="51"/>
      <c r="F7416" s="114" t="str">
        <f>IF(INDEX(I.Facility.P2aIDNumber,2404)="","",INDEX(I.Facility.P2aIDNumber,2404))</f>
        <v/>
      </c>
      <c r="G7416" s="51"/>
      <c r="H7416" s="46" t="str">
        <f>IF(AND(I.Developer.P2a=TRUE,I.Facility.P2aFacilityCount&gt;=2404,F7416=""),"Incomplete","Complete")</f>
        <v>Complete</v>
      </c>
      <c r="I7416" s="48" t="s">
        <v>11781</v>
      </c>
    </row>
    <row r="7417" spans="2:9" ht="15" customHeight="1" x14ac:dyDescent="0.25">
      <c r="B7417" s="55" t="s">
        <v>280</v>
      </c>
      <c r="C7417" s="46">
        <v>2405</v>
      </c>
      <c r="D7417" s="69" t="s">
        <v>29417</v>
      </c>
      <c r="E7417" s="51"/>
      <c r="F7417" s="114" t="str">
        <f>IF(INDEX(I.Facility.P2aIDNumber,2405)="","",INDEX(I.Facility.P2aIDNumber,2405))</f>
        <v/>
      </c>
      <c r="G7417" s="51"/>
      <c r="H7417" s="46" t="str">
        <f>IF(AND(I.Developer.P2a=TRUE,I.Facility.P2aFacilityCount&gt;=2405,F7417=""),"Incomplete","Complete")</f>
        <v>Complete</v>
      </c>
      <c r="I7417" s="48" t="s">
        <v>11782</v>
      </c>
    </row>
    <row r="7418" spans="2:9" ht="15" customHeight="1" x14ac:dyDescent="0.25">
      <c r="B7418" s="55" t="s">
        <v>280</v>
      </c>
      <c r="C7418" s="46">
        <v>2406</v>
      </c>
      <c r="D7418" s="69" t="s">
        <v>29417</v>
      </c>
      <c r="E7418" s="51"/>
      <c r="F7418" s="114" t="str">
        <f>IF(INDEX(I.Facility.P2aIDNumber,2406)="","",INDEX(I.Facility.P2aIDNumber,2406))</f>
        <v/>
      </c>
      <c r="G7418" s="51"/>
      <c r="H7418" s="46" t="str">
        <f>IF(AND(I.Developer.P2a=TRUE,I.Facility.P2aFacilityCount&gt;=2406,F7418=""),"Incomplete","Complete")</f>
        <v>Complete</v>
      </c>
      <c r="I7418" s="48" t="s">
        <v>11783</v>
      </c>
    </row>
    <row r="7419" spans="2:9" ht="15" customHeight="1" x14ac:dyDescent="0.25">
      <c r="B7419" s="55" t="s">
        <v>280</v>
      </c>
      <c r="C7419" s="46">
        <v>2407</v>
      </c>
      <c r="D7419" s="69" t="s">
        <v>29417</v>
      </c>
      <c r="E7419" s="51"/>
      <c r="F7419" s="114" t="str">
        <f>IF(INDEX(I.Facility.P2aIDNumber,2407)="","",INDEX(I.Facility.P2aIDNumber,2407))</f>
        <v/>
      </c>
      <c r="G7419" s="51"/>
      <c r="H7419" s="46" t="str">
        <f>IF(AND(I.Developer.P2a=TRUE,I.Facility.P2aFacilityCount&gt;=2407,F7419=""),"Incomplete","Complete")</f>
        <v>Complete</v>
      </c>
      <c r="I7419" s="48" t="s">
        <v>11784</v>
      </c>
    </row>
    <row r="7420" spans="2:9" ht="15" customHeight="1" x14ac:dyDescent="0.25">
      <c r="B7420" s="55" t="s">
        <v>280</v>
      </c>
      <c r="C7420" s="46">
        <v>2408</v>
      </c>
      <c r="D7420" s="69" t="s">
        <v>29417</v>
      </c>
      <c r="E7420" s="51"/>
      <c r="F7420" s="114" t="str">
        <f>IF(INDEX(I.Facility.P2aIDNumber,2408)="","",INDEX(I.Facility.P2aIDNumber,2408))</f>
        <v/>
      </c>
      <c r="G7420" s="51"/>
      <c r="H7420" s="46" t="str">
        <f>IF(AND(I.Developer.P2a=TRUE,I.Facility.P2aFacilityCount&gt;=2408,F7420=""),"Incomplete","Complete")</f>
        <v>Complete</v>
      </c>
      <c r="I7420" s="48" t="s">
        <v>11785</v>
      </c>
    </row>
    <row r="7421" spans="2:9" ht="15" customHeight="1" x14ac:dyDescent="0.25">
      <c r="B7421" s="55" t="s">
        <v>280</v>
      </c>
      <c r="C7421" s="46">
        <v>2409</v>
      </c>
      <c r="D7421" s="69" t="s">
        <v>29417</v>
      </c>
      <c r="E7421" s="51"/>
      <c r="F7421" s="114" t="str">
        <f>IF(INDEX(I.Facility.P2aIDNumber,2409)="","",INDEX(I.Facility.P2aIDNumber,2409))</f>
        <v/>
      </c>
      <c r="G7421" s="51"/>
      <c r="H7421" s="46" t="str">
        <f>IF(AND(I.Developer.P2a=TRUE,I.Facility.P2aFacilityCount&gt;=2409,F7421=""),"Incomplete","Complete")</f>
        <v>Complete</v>
      </c>
      <c r="I7421" s="48" t="s">
        <v>11786</v>
      </c>
    </row>
    <row r="7422" spans="2:9" ht="15" customHeight="1" x14ac:dyDescent="0.25">
      <c r="B7422" s="55" t="s">
        <v>280</v>
      </c>
      <c r="C7422" s="46">
        <v>2410</v>
      </c>
      <c r="D7422" s="69" t="s">
        <v>29417</v>
      </c>
      <c r="E7422" s="51"/>
      <c r="F7422" s="114" t="str">
        <f>IF(INDEX(I.Facility.P2aIDNumber,2410)="","",INDEX(I.Facility.P2aIDNumber,2410))</f>
        <v/>
      </c>
      <c r="G7422" s="51"/>
      <c r="H7422" s="46" t="str">
        <f>IF(AND(I.Developer.P2a=TRUE,I.Facility.P2aFacilityCount&gt;=2410,F7422=""),"Incomplete","Complete")</f>
        <v>Complete</v>
      </c>
      <c r="I7422" s="48" t="s">
        <v>11787</v>
      </c>
    </row>
    <row r="7423" spans="2:9" ht="15" customHeight="1" x14ac:dyDescent="0.25">
      <c r="B7423" s="55" t="s">
        <v>280</v>
      </c>
      <c r="C7423" s="46">
        <v>2411</v>
      </c>
      <c r="D7423" s="69" t="s">
        <v>29417</v>
      </c>
      <c r="E7423" s="51"/>
      <c r="F7423" s="114" t="str">
        <f>IF(INDEX(I.Facility.P2aIDNumber,2411)="","",INDEX(I.Facility.P2aIDNumber,2411))</f>
        <v/>
      </c>
      <c r="G7423" s="51"/>
      <c r="H7423" s="46" t="str">
        <f>IF(AND(I.Developer.P2a=TRUE,I.Facility.P2aFacilityCount&gt;=2411,F7423=""),"Incomplete","Complete")</f>
        <v>Complete</v>
      </c>
      <c r="I7423" s="48" t="s">
        <v>11788</v>
      </c>
    </row>
    <row r="7424" spans="2:9" ht="15" customHeight="1" x14ac:dyDescent="0.25">
      <c r="B7424" s="55" t="s">
        <v>280</v>
      </c>
      <c r="C7424" s="46">
        <v>2412</v>
      </c>
      <c r="D7424" s="69" t="s">
        <v>29417</v>
      </c>
      <c r="E7424" s="51"/>
      <c r="F7424" s="114" t="str">
        <f>IF(INDEX(I.Facility.P2aIDNumber,2412)="","",INDEX(I.Facility.P2aIDNumber,2412))</f>
        <v/>
      </c>
      <c r="G7424" s="51"/>
      <c r="H7424" s="46" t="str">
        <f>IF(AND(I.Developer.P2a=TRUE,I.Facility.P2aFacilityCount&gt;=2412,F7424=""),"Incomplete","Complete")</f>
        <v>Complete</v>
      </c>
      <c r="I7424" s="48" t="s">
        <v>11789</v>
      </c>
    </row>
    <row r="7425" spans="2:9" ht="15" customHeight="1" x14ac:dyDescent="0.25">
      <c r="B7425" s="55" t="s">
        <v>280</v>
      </c>
      <c r="C7425" s="46">
        <v>2413</v>
      </c>
      <c r="D7425" s="69" t="s">
        <v>29417</v>
      </c>
      <c r="E7425" s="51"/>
      <c r="F7425" s="114" t="str">
        <f>IF(INDEX(I.Facility.P2aIDNumber,2413)="","",INDEX(I.Facility.P2aIDNumber,2413))</f>
        <v/>
      </c>
      <c r="G7425" s="51"/>
      <c r="H7425" s="46" t="str">
        <f>IF(AND(I.Developer.P2a=TRUE,I.Facility.P2aFacilityCount&gt;=2413,F7425=""),"Incomplete","Complete")</f>
        <v>Complete</v>
      </c>
      <c r="I7425" s="48" t="s">
        <v>11790</v>
      </c>
    </row>
    <row r="7426" spans="2:9" ht="15" customHeight="1" x14ac:dyDescent="0.25">
      <c r="B7426" s="55" t="s">
        <v>280</v>
      </c>
      <c r="C7426" s="46">
        <v>2414</v>
      </c>
      <c r="D7426" s="69" t="s">
        <v>29417</v>
      </c>
      <c r="E7426" s="51"/>
      <c r="F7426" s="114" t="str">
        <f>IF(INDEX(I.Facility.P2aIDNumber,2414)="","",INDEX(I.Facility.P2aIDNumber,2414))</f>
        <v/>
      </c>
      <c r="G7426" s="51"/>
      <c r="H7426" s="46" t="str">
        <f>IF(AND(I.Developer.P2a=TRUE,I.Facility.P2aFacilityCount&gt;=2414,F7426=""),"Incomplete","Complete")</f>
        <v>Complete</v>
      </c>
      <c r="I7426" s="48" t="s">
        <v>11791</v>
      </c>
    </row>
    <row r="7427" spans="2:9" ht="15" customHeight="1" x14ac:dyDescent="0.25">
      <c r="B7427" s="55" t="s">
        <v>280</v>
      </c>
      <c r="C7427" s="46">
        <v>2415</v>
      </c>
      <c r="D7427" s="69" t="s">
        <v>29417</v>
      </c>
      <c r="E7427" s="51"/>
      <c r="F7427" s="114" t="str">
        <f>IF(INDEX(I.Facility.P2aIDNumber,2415)="","",INDEX(I.Facility.P2aIDNumber,2415))</f>
        <v/>
      </c>
      <c r="G7427" s="51"/>
      <c r="H7427" s="46" t="str">
        <f>IF(AND(I.Developer.P2a=TRUE,I.Facility.P2aFacilityCount&gt;=2415,F7427=""),"Incomplete","Complete")</f>
        <v>Complete</v>
      </c>
      <c r="I7427" s="48" t="s">
        <v>11792</v>
      </c>
    </row>
    <row r="7428" spans="2:9" ht="15" customHeight="1" x14ac:dyDescent="0.25">
      <c r="B7428" s="55" t="s">
        <v>280</v>
      </c>
      <c r="C7428" s="46">
        <v>2416</v>
      </c>
      <c r="D7428" s="69" t="s">
        <v>29417</v>
      </c>
      <c r="E7428" s="51"/>
      <c r="F7428" s="114" t="str">
        <f>IF(INDEX(I.Facility.P2aIDNumber,2416)="","",INDEX(I.Facility.P2aIDNumber,2416))</f>
        <v/>
      </c>
      <c r="G7428" s="51"/>
      <c r="H7428" s="46" t="str">
        <f>IF(AND(I.Developer.P2a=TRUE,I.Facility.P2aFacilityCount&gt;=2416,F7428=""),"Incomplete","Complete")</f>
        <v>Complete</v>
      </c>
      <c r="I7428" s="48" t="s">
        <v>11793</v>
      </c>
    </row>
    <row r="7429" spans="2:9" ht="15" customHeight="1" x14ac:dyDescent="0.25">
      <c r="B7429" s="55" t="s">
        <v>280</v>
      </c>
      <c r="C7429" s="46">
        <v>2417</v>
      </c>
      <c r="D7429" s="69" t="s">
        <v>29417</v>
      </c>
      <c r="E7429" s="51"/>
      <c r="F7429" s="114" t="str">
        <f>IF(INDEX(I.Facility.P2aIDNumber,2417)="","",INDEX(I.Facility.P2aIDNumber,2417))</f>
        <v/>
      </c>
      <c r="G7429" s="51"/>
      <c r="H7429" s="46" t="str">
        <f>IF(AND(I.Developer.P2a=TRUE,I.Facility.P2aFacilityCount&gt;=2417,F7429=""),"Incomplete","Complete")</f>
        <v>Complete</v>
      </c>
      <c r="I7429" s="48" t="s">
        <v>11794</v>
      </c>
    </row>
    <row r="7430" spans="2:9" ht="15" customHeight="1" x14ac:dyDescent="0.25">
      <c r="B7430" s="55" t="s">
        <v>280</v>
      </c>
      <c r="C7430" s="46">
        <v>2418</v>
      </c>
      <c r="D7430" s="69" t="s">
        <v>29417</v>
      </c>
      <c r="E7430" s="51"/>
      <c r="F7430" s="114" t="str">
        <f>IF(INDEX(I.Facility.P2aIDNumber,2418)="","",INDEX(I.Facility.P2aIDNumber,2418))</f>
        <v/>
      </c>
      <c r="G7430" s="51"/>
      <c r="H7430" s="46" t="str">
        <f>IF(AND(I.Developer.P2a=TRUE,I.Facility.P2aFacilityCount&gt;=2418,F7430=""),"Incomplete","Complete")</f>
        <v>Complete</v>
      </c>
      <c r="I7430" s="48" t="s">
        <v>11795</v>
      </c>
    </row>
    <row r="7431" spans="2:9" ht="15" customHeight="1" x14ac:dyDescent="0.25">
      <c r="B7431" s="55" t="s">
        <v>280</v>
      </c>
      <c r="C7431" s="46">
        <v>2419</v>
      </c>
      <c r="D7431" s="69" t="s">
        <v>29417</v>
      </c>
      <c r="E7431" s="51"/>
      <c r="F7431" s="114" t="str">
        <f>IF(INDEX(I.Facility.P2aIDNumber,2419)="","",INDEX(I.Facility.P2aIDNumber,2419))</f>
        <v/>
      </c>
      <c r="G7431" s="51"/>
      <c r="H7431" s="46" t="str">
        <f>IF(AND(I.Developer.P2a=TRUE,I.Facility.P2aFacilityCount&gt;=2419,F7431=""),"Incomplete","Complete")</f>
        <v>Complete</v>
      </c>
      <c r="I7431" s="48" t="s">
        <v>11796</v>
      </c>
    </row>
    <row r="7432" spans="2:9" ht="15" customHeight="1" x14ac:dyDescent="0.25">
      <c r="B7432" s="55" t="s">
        <v>280</v>
      </c>
      <c r="C7432" s="46">
        <v>2420</v>
      </c>
      <c r="D7432" s="69" t="s">
        <v>29417</v>
      </c>
      <c r="E7432" s="51"/>
      <c r="F7432" s="114" t="str">
        <f>IF(INDEX(I.Facility.P2aIDNumber,2420)="","",INDEX(I.Facility.P2aIDNumber,2420))</f>
        <v/>
      </c>
      <c r="G7432" s="51"/>
      <c r="H7432" s="46" t="str">
        <f>IF(AND(I.Developer.P2a=TRUE,I.Facility.P2aFacilityCount&gt;=2420,F7432=""),"Incomplete","Complete")</f>
        <v>Complete</v>
      </c>
      <c r="I7432" s="48" t="s">
        <v>11797</v>
      </c>
    </row>
    <row r="7433" spans="2:9" ht="15" customHeight="1" x14ac:dyDescent="0.25">
      <c r="B7433" s="55" t="s">
        <v>280</v>
      </c>
      <c r="C7433" s="46">
        <v>2421</v>
      </c>
      <c r="D7433" s="69" t="s">
        <v>29417</v>
      </c>
      <c r="E7433" s="51"/>
      <c r="F7433" s="114" t="str">
        <f>IF(INDEX(I.Facility.P2aIDNumber,2421)="","",INDEX(I.Facility.P2aIDNumber,2421))</f>
        <v/>
      </c>
      <c r="G7433" s="51"/>
      <c r="H7433" s="46" t="str">
        <f>IF(AND(I.Developer.P2a=TRUE,I.Facility.P2aFacilityCount&gt;=2421,F7433=""),"Incomplete","Complete")</f>
        <v>Complete</v>
      </c>
      <c r="I7433" s="48" t="s">
        <v>11798</v>
      </c>
    </row>
    <row r="7434" spans="2:9" ht="15" customHeight="1" x14ac:dyDescent="0.25">
      <c r="B7434" s="55" t="s">
        <v>280</v>
      </c>
      <c r="C7434" s="46">
        <v>2422</v>
      </c>
      <c r="D7434" s="69" t="s">
        <v>29417</v>
      </c>
      <c r="E7434" s="51"/>
      <c r="F7434" s="114" t="str">
        <f>IF(INDEX(I.Facility.P2aIDNumber,2422)="","",INDEX(I.Facility.P2aIDNumber,2422))</f>
        <v/>
      </c>
      <c r="G7434" s="51"/>
      <c r="H7434" s="46" t="str">
        <f>IF(AND(I.Developer.P2a=TRUE,I.Facility.P2aFacilityCount&gt;=2422,F7434=""),"Incomplete","Complete")</f>
        <v>Complete</v>
      </c>
      <c r="I7434" s="48" t="s">
        <v>11799</v>
      </c>
    </row>
    <row r="7435" spans="2:9" ht="15" customHeight="1" x14ac:dyDescent="0.25">
      <c r="B7435" s="55" t="s">
        <v>280</v>
      </c>
      <c r="C7435" s="46">
        <v>2423</v>
      </c>
      <c r="D7435" s="69" t="s">
        <v>29417</v>
      </c>
      <c r="E7435" s="51"/>
      <c r="F7435" s="114" t="str">
        <f>IF(INDEX(I.Facility.P2aIDNumber,2423)="","",INDEX(I.Facility.P2aIDNumber,2423))</f>
        <v/>
      </c>
      <c r="G7435" s="51"/>
      <c r="H7435" s="46" t="str">
        <f>IF(AND(I.Developer.P2a=TRUE,I.Facility.P2aFacilityCount&gt;=2423,F7435=""),"Incomplete","Complete")</f>
        <v>Complete</v>
      </c>
      <c r="I7435" s="48" t="s">
        <v>11800</v>
      </c>
    </row>
    <row r="7436" spans="2:9" ht="15" customHeight="1" x14ac:dyDescent="0.25">
      <c r="B7436" s="55" t="s">
        <v>280</v>
      </c>
      <c r="C7436" s="46">
        <v>2424</v>
      </c>
      <c r="D7436" s="69" t="s">
        <v>29417</v>
      </c>
      <c r="E7436" s="51"/>
      <c r="F7436" s="114" t="str">
        <f>IF(INDEX(I.Facility.P2aIDNumber,2424)="","",INDEX(I.Facility.P2aIDNumber,2424))</f>
        <v/>
      </c>
      <c r="G7436" s="51"/>
      <c r="H7436" s="46" t="str">
        <f>IF(AND(I.Developer.P2a=TRUE,I.Facility.P2aFacilityCount&gt;=2424,F7436=""),"Incomplete","Complete")</f>
        <v>Complete</v>
      </c>
      <c r="I7436" s="48" t="s">
        <v>11801</v>
      </c>
    </row>
    <row r="7437" spans="2:9" ht="15" customHeight="1" x14ac:dyDescent="0.25">
      <c r="B7437" s="55" t="s">
        <v>280</v>
      </c>
      <c r="C7437" s="46">
        <v>2425</v>
      </c>
      <c r="D7437" s="69" t="s">
        <v>29417</v>
      </c>
      <c r="E7437" s="51"/>
      <c r="F7437" s="114" t="str">
        <f>IF(INDEX(I.Facility.P2aIDNumber,2425)="","",INDEX(I.Facility.P2aIDNumber,2425))</f>
        <v/>
      </c>
      <c r="G7437" s="51"/>
      <c r="H7437" s="46" t="str">
        <f>IF(AND(I.Developer.P2a=TRUE,I.Facility.P2aFacilityCount&gt;=2425,F7437=""),"Incomplete","Complete")</f>
        <v>Complete</v>
      </c>
      <c r="I7437" s="48" t="s">
        <v>11802</v>
      </c>
    </row>
    <row r="7438" spans="2:9" ht="15" customHeight="1" x14ac:dyDescent="0.25">
      <c r="B7438" s="55" t="s">
        <v>280</v>
      </c>
      <c r="C7438" s="46">
        <v>2426</v>
      </c>
      <c r="D7438" s="69" t="s">
        <v>29417</v>
      </c>
      <c r="E7438" s="51"/>
      <c r="F7438" s="114" t="str">
        <f>IF(INDEX(I.Facility.P2aIDNumber,2426)="","",INDEX(I.Facility.P2aIDNumber,2426))</f>
        <v/>
      </c>
      <c r="G7438" s="51"/>
      <c r="H7438" s="46" t="str">
        <f>IF(AND(I.Developer.P2a=TRUE,I.Facility.P2aFacilityCount&gt;=2426,F7438=""),"Incomplete","Complete")</f>
        <v>Complete</v>
      </c>
      <c r="I7438" s="48" t="s">
        <v>11803</v>
      </c>
    </row>
    <row r="7439" spans="2:9" ht="15" customHeight="1" x14ac:dyDescent="0.25">
      <c r="B7439" s="55" t="s">
        <v>280</v>
      </c>
      <c r="C7439" s="46">
        <v>2427</v>
      </c>
      <c r="D7439" s="69" t="s">
        <v>29417</v>
      </c>
      <c r="E7439" s="51"/>
      <c r="F7439" s="114" t="str">
        <f>IF(INDEX(I.Facility.P2aIDNumber,2427)="","",INDEX(I.Facility.P2aIDNumber,2427))</f>
        <v/>
      </c>
      <c r="G7439" s="51"/>
      <c r="H7439" s="46" t="str">
        <f>IF(AND(I.Developer.P2a=TRUE,I.Facility.P2aFacilityCount&gt;=2427,F7439=""),"Incomplete","Complete")</f>
        <v>Complete</v>
      </c>
      <c r="I7439" s="48" t="s">
        <v>11804</v>
      </c>
    </row>
    <row r="7440" spans="2:9" ht="15" customHeight="1" x14ac:dyDescent="0.25">
      <c r="B7440" s="55" t="s">
        <v>280</v>
      </c>
      <c r="C7440" s="46">
        <v>2428</v>
      </c>
      <c r="D7440" s="69" t="s">
        <v>29417</v>
      </c>
      <c r="E7440" s="51"/>
      <c r="F7440" s="114" t="str">
        <f>IF(INDEX(I.Facility.P2aIDNumber,2428)="","",INDEX(I.Facility.P2aIDNumber,2428))</f>
        <v/>
      </c>
      <c r="G7440" s="51"/>
      <c r="H7440" s="46" t="str">
        <f>IF(AND(I.Developer.P2a=TRUE,I.Facility.P2aFacilityCount&gt;=2428,F7440=""),"Incomplete","Complete")</f>
        <v>Complete</v>
      </c>
      <c r="I7440" s="48" t="s">
        <v>11805</v>
      </c>
    </row>
    <row r="7441" spans="2:9" ht="15" customHeight="1" x14ac:dyDescent="0.25">
      <c r="B7441" s="55" t="s">
        <v>280</v>
      </c>
      <c r="C7441" s="46">
        <v>2429</v>
      </c>
      <c r="D7441" s="69" t="s">
        <v>29417</v>
      </c>
      <c r="E7441" s="51"/>
      <c r="F7441" s="114" t="str">
        <f>IF(INDEX(I.Facility.P2aIDNumber,2429)="","",INDEX(I.Facility.P2aIDNumber,2429))</f>
        <v/>
      </c>
      <c r="G7441" s="51"/>
      <c r="H7441" s="46" t="str">
        <f>IF(AND(I.Developer.P2a=TRUE,I.Facility.P2aFacilityCount&gt;=2429,F7441=""),"Incomplete","Complete")</f>
        <v>Complete</v>
      </c>
      <c r="I7441" s="48" t="s">
        <v>11806</v>
      </c>
    </row>
    <row r="7442" spans="2:9" ht="15" customHeight="1" x14ac:dyDescent="0.25">
      <c r="B7442" s="55" t="s">
        <v>280</v>
      </c>
      <c r="C7442" s="46">
        <v>2430</v>
      </c>
      <c r="D7442" s="69" t="s">
        <v>29417</v>
      </c>
      <c r="E7442" s="51"/>
      <c r="F7442" s="114" t="str">
        <f>IF(INDEX(I.Facility.P2aIDNumber,2430)="","",INDEX(I.Facility.P2aIDNumber,2430))</f>
        <v/>
      </c>
      <c r="G7442" s="51"/>
      <c r="H7442" s="46" t="str">
        <f>IF(AND(I.Developer.P2a=TRUE,I.Facility.P2aFacilityCount&gt;=2430,F7442=""),"Incomplete","Complete")</f>
        <v>Complete</v>
      </c>
      <c r="I7442" s="48" t="s">
        <v>11807</v>
      </c>
    </row>
    <row r="7443" spans="2:9" ht="15" customHeight="1" x14ac:dyDescent="0.25">
      <c r="B7443" s="55" t="s">
        <v>280</v>
      </c>
      <c r="C7443" s="46">
        <v>2431</v>
      </c>
      <c r="D7443" s="69" t="s">
        <v>29417</v>
      </c>
      <c r="E7443" s="51"/>
      <c r="F7443" s="114" t="str">
        <f>IF(INDEX(I.Facility.P2aIDNumber,2431)="","",INDEX(I.Facility.P2aIDNumber,2431))</f>
        <v/>
      </c>
      <c r="G7443" s="51"/>
      <c r="H7443" s="46" t="str">
        <f>IF(AND(I.Developer.P2a=TRUE,I.Facility.P2aFacilityCount&gt;=2431,F7443=""),"Incomplete","Complete")</f>
        <v>Complete</v>
      </c>
      <c r="I7443" s="48" t="s">
        <v>11808</v>
      </c>
    </row>
    <row r="7444" spans="2:9" ht="15" customHeight="1" x14ac:dyDescent="0.25">
      <c r="B7444" s="55" t="s">
        <v>280</v>
      </c>
      <c r="C7444" s="46">
        <v>2432</v>
      </c>
      <c r="D7444" s="69" t="s">
        <v>29417</v>
      </c>
      <c r="E7444" s="51"/>
      <c r="F7444" s="114" t="str">
        <f>IF(INDEX(I.Facility.P2aIDNumber,2432)="","",INDEX(I.Facility.P2aIDNumber,2432))</f>
        <v/>
      </c>
      <c r="G7444" s="51"/>
      <c r="H7444" s="46" t="str">
        <f>IF(AND(I.Developer.P2a=TRUE,I.Facility.P2aFacilityCount&gt;=2432,F7444=""),"Incomplete","Complete")</f>
        <v>Complete</v>
      </c>
      <c r="I7444" s="48" t="s">
        <v>11809</v>
      </c>
    </row>
    <row r="7445" spans="2:9" ht="15" customHeight="1" x14ac:dyDescent="0.25">
      <c r="B7445" s="55" t="s">
        <v>280</v>
      </c>
      <c r="C7445" s="46">
        <v>2433</v>
      </c>
      <c r="D7445" s="69" t="s">
        <v>29417</v>
      </c>
      <c r="E7445" s="51"/>
      <c r="F7445" s="114" t="str">
        <f>IF(INDEX(I.Facility.P2aIDNumber,2433)="","",INDEX(I.Facility.P2aIDNumber,2433))</f>
        <v/>
      </c>
      <c r="G7445" s="51"/>
      <c r="H7445" s="46" t="str">
        <f>IF(AND(I.Developer.P2a=TRUE,I.Facility.P2aFacilityCount&gt;=2433,F7445=""),"Incomplete","Complete")</f>
        <v>Complete</v>
      </c>
      <c r="I7445" s="48" t="s">
        <v>11810</v>
      </c>
    </row>
    <row r="7446" spans="2:9" ht="15" customHeight="1" x14ac:dyDescent="0.25">
      <c r="B7446" s="55" t="s">
        <v>280</v>
      </c>
      <c r="C7446" s="46">
        <v>2434</v>
      </c>
      <c r="D7446" s="69" t="s">
        <v>29417</v>
      </c>
      <c r="E7446" s="51"/>
      <c r="F7446" s="114" t="str">
        <f>IF(INDEX(I.Facility.P2aIDNumber,2434)="","",INDEX(I.Facility.P2aIDNumber,2434))</f>
        <v/>
      </c>
      <c r="G7446" s="51"/>
      <c r="H7446" s="46" t="str">
        <f>IF(AND(I.Developer.P2a=TRUE,I.Facility.P2aFacilityCount&gt;=2434,F7446=""),"Incomplete","Complete")</f>
        <v>Complete</v>
      </c>
      <c r="I7446" s="48" t="s">
        <v>11811</v>
      </c>
    </row>
    <row r="7447" spans="2:9" ht="15" customHeight="1" x14ac:dyDescent="0.25">
      <c r="B7447" s="55" t="s">
        <v>280</v>
      </c>
      <c r="C7447" s="46">
        <v>2435</v>
      </c>
      <c r="D7447" s="69" t="s">
        <v>29417</v>
      </c>
      <c r="E7447" s="51"/>
      <c r="F7447" s="114" t="str">
        <f>IF(INDEX(I.Facility.P2aIDNumber,2435)="","",INDEX(I.Facility.P2aIDNumber,2435))</f>
        <v/>
      </c>
      <c r="G7447" s="51"/>
      <c r="H7447" s="46" t="str">
        <f>IF(AND(I.Developer.P2a=TRUE,I.Facility.P2aFacilityCount&gt;=2435,F7447=""),"Incomplete","Complete")</f>
        <v>Complete</v>
      </c>
      <c r="I7447" s="48" t="s">
        <v>11812</v>
      </c>
    </row>
    <row r="7448" spans="2:9" ht="15" customHeight="1" x14ac:dyDescent="0.25">
      <c r="B7448" s="55" t="s">
        <v>280</v>
      </c>
      <c r="C7448" s="46">
        <v>2436</v>
      </c>
      <c r="D7448" s="69" t="s">
        <v>29417</v>
      </c>
      <c r="E7448" s="51"/>
      <c r="F7448" s="114" t="str">
        <f>IF(INDEX(I.Facility.P2aIDNumber,2436)="","",INDEX(I.Facility.P2aIDNumber,2436))</f>
        <v/>
      </c>
      <c r="G7448" s="51"/>
      <c r="H7448" s="46" t="str">
        <f>IF(AND(I.Developer.P2a=TRUE,I.Facility.P2aFacilityCount&gt;=2436,F7448=""),"Incomplete","Complete")</f>
        <v>Complete</v>
      </c>
      <c r="I7448" s="48" t="s">
        <v>11813</v>
      </c>
    </row>
    <row r="7449" spans="2:9" ht="15" customHeight="1" x14ac:dyDescent="0.25">
      <c r="B7449" s="55" t="s">
        <v>280</v>
      </c>
      <c r="C7449" s="46">
        <v>2437</v>
      </c>
      <c r="D7449" s="69" t="s">
        <v>29417</v>
      </c>
      <c r="E7449" s="51"/>
      <c r="F7449" s="114" t="str">
        <f>IF(INDEX(I.Facility.P2aIDNumber,2437)="","",INDEX(I.Facility.P2aIDNumber,2437))</f>
        <v/>
      </c>
      <c r="G7449" s="51"/>
      <c r="H7449" s="46" t="str">
        <f>IF(AND(I.Developer.P2a=TRUE,I.Facility.P2aFacilityCount&gt;=2437,F7449=""),"Incomplete","Complete")</f>
        <v>Complete</v>
      </c>
      <c r="I7449" s="48" t="s">
        <v>11814</v>
      </c>
    </row>
    <row r="7450" spans="2:9" ht="15" customHeight="1" x14ac:dyDescent="0.25">
      <c r="B7450" s="55" t="s">
        <v>280</v>
      </c>
      <c r="C7450" s="46">
        <v>2438</v>
      </c>
      <c r="D7450" s="69" t="s">
        <v>29417</v>
      </c>
      <c r="E7450" s="51"/>
      <c r="F7450" s="114" t="str">
        <f>IF(INDEX(I.Facility.P2aIDNumber,2438)="","",INDEX(I.Facility.P2aIDNumber,2438))</f>
        <v/>
      </c>
      <c r="G7450" s="51"/>
      <c r="H7450" s="46" t="str">
        <f>IF(AND(I.Developer.P2a=TRUE,I.Facility.P2aFacilityCount&gt;=2438,F7450=""),"Incomplete","Complete")</f>
        <v>Complete</v>
      </c>
      <c r="I7450" s="48" t="s">
        <v>11815</v>
      </c>
    </row>
    <row r="7451" spans="2:9" ht="15" customHeight="1" x14ac:dyDescent="0.25">
      <c r="B7451" s="55" t="s">
        <v>280</v>
      </c>
      <c r="C7451" s="46">
        <v>2439</v>
      </c>
      <c r="D7451" s="69" t="s">
        <v>29417</v>
      </c>
      <c r="E7451" s="51"/>
      <c r="F7451" s="114" t="str">
        <f>IF(INDEX(I.Facility.P2aIDNumber,2439)="","",INDEX(I.Facility.P2aIDNumber,2439))</f>
        <v/>
      </c>
      <c r="G7451" s="51"/>
      <c r="H7451" s="46" t="str">
        <f>IF(AND(I.Developer.P2a=TRUE,I.Facility.P2aFacilityCount&gt;=2439,F7451=""),"Incomplete","Complete")</f>
        <v>Complete</v>
      </c>
      <c r="I7451" s="48" t="s">
        <v>11816</v>
      </c>
    </row>
    <row r="7452" spans="2:9" ht="15" customHeight="1" x14ac:dyDescent="0.25">
      <c r="B7452" s="55" t="s">
        <v>280</v>
      </c>
      <c r="C7452" s="46">
        <v>2440</v>
      </c>
      <c r="D7452" s="69" t="s">
        <v>29417</v>
      </c>
      <c r="E7452" s="51"/>
      <c r="F7452" s="114" t="str">
        <f>IF(INDEX(I.Facility.P2aIDNumber,2440)="","",INDEX(I.Facility.P2aIDNumber,2440))</f>
        <v/>
      </c>
      <c r="G7452" s="51"/>
      <c r="H7452" s="46" t="str">
        <f>IF(AND(I.Developer.P2a=TRUE,I.Facility.P2aFacilityCount&gt;=2440,F7452=""),"Incomplete","Complete")</f>
        <v>Complete</v>
      </c>
      <c r="I7452" s="48" t="s">
        <v>11817</v>
      </c>
    </row>
    <row r="7453" spans="2:9" ht="15" customHeight="1" x14ac:dyDescent="0.25">
      <c r="B7453" s="55" t="s">
        <v>280</v>
      </c>
      <c r="C7453" s="46">
        <v>2441</v>
      </c>
      <c r="D7453" s="69" t="s">
        <v>29417</v>
      </c>
      <c r="E7453" s="51"/>
      <c r="F7453" s="114" t="str">
        <f>IF(INDEX(I.Facility.P2aIDNumber,2441)="","",INDEX(I.Facility.P2aIDNumber,2441))</f>
        <v/>
      </c>
      <c r="G7453" s="51"/>
      <c r="H7453" s="46" t="str">
        <f>IF(AND(I.Developer.P2a=TRUE,I.Facility.P2aFacilityCount&gt;=2441,F7453=""),"Incomplete","Complete")</f>
        <v>Complete</v>
      </c>
      <c r="I7453" s="48" t="s">
        <v>11818</v>
      </c>
    </row>
    <row r="7454" spans="2:9" ht="15" customHeight="1" x14ac:dyDescent="0.25">
      <c r="B7454" s="55" t="s">
        <v>280</v>
      </c>
      <c r="C7454" s="46">
        <v>2442</v>
      </c>
      <c r="D7454" s="69" t="s">
        <v>29417</v>
      </c>
      <c r="E7454" s="51"/>
      <c r="F7454" s="114" t="str">
        <f>IF(INDEX(I.Facility.P2aIDNumber,2442)="","",INDEX(I.Facility.P2aIDNumber,2442))</f>
        <v/>
      </c>
      <c r="G7454" s="51"/>
      <c r="H7454" s="46" t="str">
        <f>IF(AND(I.Developer.P2a=TRUE,I.Facility.P2aFacilityCount&gt;=2442,F7454=""),"Incomplete","Complete")</f>
        <v>Complete</v>
      </c>
      <c r="I7454" s="48" t="s">
        <v>11819</v>
      </c>
    </row>
    <row r="7455" spans="2:9" ht="15" customHeight="1" x14ac:dyDescent="0.25">
      <c r="B7455" s="55" t="s">
        <v>280</v>
      </c>
      <c r="C7455" s="46">
        <v>2443</v>
      </c>
      <c r="D7455" s="69" t="s">
        <v>29417</v>
      </c>
      <c r="E7455" s="51"/>
      <c r="F7455" s="114" t="str">
        <f>IF(INDEX(I.Facility.P2aIDNumber,2443)="","",INDEX(I.Facility.P2aIDNumber,2443))</f>
        <v/>
      </c>
      <c r="G7455" s="51"/>
      <c r="H7455" s="46" t="str">
        <f>IF(AND(I.Developer.P2a=TRUE,I.Facility.P2aFacilityCount&gt;=2443,F7455=""),"Incomplete","Complete")</f>
        <v>Complete</v>
      </c>
      <c r="I7455" s="48" t="s">
        <v>11820</v>
      </c>
    </row>
    <row r="7456" spans="2:9" ht="15" customHeight="1" x14ac:dyDescent="0.25">
      <c r="B7456" s="55" t="s">
        <v>280</v>
      </c>
      <c r="C7456" s="46">
        <v>2444</v>
      </c>
      <c r="D7456" s="69" t="s">
        <v>29417</v>
      </c>
      <c r="E7456" s="51"/>
      <c r="F7456" s="114" t="str">
        <f>IF(INDEX(I.Facility.P2aIDNumber,2444)="","",INDEX(I.Facility.P2aIDNumber,2444))</f>
        <v/>
      </c>
      <c r="G7456" s="51"/>
      <c r="H7456" s="46" t="str">
        <f>IF(AND(I.Developer.P2a=TRUE,I.Facility.P2aFacilityCount&gt;=2444,F7456=""),"Incomplete","Complete")</f>
        <v>Complete</v>
      </c>
      <c r="I7456" s="48" t="s">
        <v>11821</v>
      </c>
    </row>
    <row r="7457" spans="2:9" ht="15" customHeight="1" x14ac:dyDescent="0.25">
      <c r="B7457" s="55" t="s">
        <v>280</v>
      </c>
      <c r="C7457" s="46">
        <v>2445</v>
      </c>
      <c r="D7457" s="69" t="s">
        <v>29417</v>
      </c>
      <c r="E7457" s="51"/>
      <c r="F7457" s="114" t="str">
        <f>IF(INDEX(I.Facility.P2aIDNumber,2445)="","",INDEX(I.Facility.P2aIDNumber,2445))</f>
        <v/>
      </c>
      <c r="G7457" s="51"/>
      <c r="H7457" s="46" t="str">
        <f>IF(AND(I.Developer.P2a=TRUE,I.Facility.P2aFacilityCount&gt;=2445,F7457=""),"Incomplete","Complete")</f>
        <v>Complete</v>
      </c>
      <c r="I7457" s="48" t="s">
        <v>11822</v>
      </c>
    </row>
    <row r="7458" spans="2:9" ht="15" customHeight="1" x14ac:dyDescent="0.25">
      <c r="B7458" s="55" t="s">
        <v>280</v>
      </c>
      <c r="C7458" s="46">
        <v>2446</v>
      </c>
      <c r="D7458" s="69" t="s">
        <v>29417</v>
      </c>
      <c r="E7458" s="51"/>
      <c r="F7458" s="114" t="str">
        <f>IF(INDEX(I.Facility.P2aIDNumber,2446)="","",INDEX(I.Facility.P2aIDNumber,2446))</f>
        <v/>
      </c>
      <c r="G7458" s="51"/>
      <c r="H7458" s="46" t="str">
        <f>IF(AND(I.Developer.P2a=TRUE,I.Facility.P2aFacilityCount&gt;=2446,F7458=""),"Incomplete","Complete")</f>
        <v>Complete</v>
      </c>
      <c r="I7458" s="48" t="s">
        <v>11823</v>
      </c>
    </row>
    <row r="7459" spans="2:9" ht="15" customHeight="1" x14ac:dyDescent="0.25">
      <c r="B7459" s="55" t="s">
        <v>280</v>
      </c>
      <c r="C7459" s="46">
        <v>2447</v>
      </c>
      <c r="D7459" s="69" t="s">
        <v>29417</v>
      </c>
      <c r="E7459" s="51"/>
      <c r="F7459" s="114" t="str">
        <f>IF(INDEX(I.Facility.P2aIDNumber,2447)="","",INDEX(I.Facility.P2aIDNumber,2447))</f>
        <v/>
      </c>
      <c r="G7459" s="51"/>
      <c r="H7459" s="46" t="str">
        <f>IF(AND(I.Developer.P2a=TRUE,I.Facility.P2aFacilityCount&gt;=2447,F7459=""),"Incomplete","Complete")</f>
        <v>Complete</v>
      </c>
      <c r="I7459" s="48" t="s">
        <v>11824</v>
      </c>
    </row>
    <row r="7460" spans="2:9" ht="15" customHeight="1" x14ac:dyDescent="0.25">
      <c r="B7460" s="55" t="s">
        <v>280</v>
      </c>
      <c r="C7460" s="46">
        <v>2448</v>
      </c>
      <c r="D7460" s="69" t="s">
        <v>29417</v>
      </c>
      <c r="E7460" s="51"/>
      <c r="F7460" s="114" t="str">
        <f>IF(INDEX(I.Facility.P2aIDNumber,2448)="","",INDEX(I.Facility.P2aIDNumber,2448))</f>
        <v/>
      </c>
      <c r="G7460" s="51"/>
      <c r="H7460" s="46" t="str">
        <f>IF(AND(I.Developer.P2a=TRUE,I.Facility.P2aFacilityCount&gt;=2448,F7460=""),"Incomplete","Complete")</f>
        <v>Complete</v>
      </c>
      <c r="I7460" s="48" t="s">
        <v>11825</v>
      </c>
    </row>
    <row r="7461" spans="2:9" ht="15" customHeight="1" x14ac:dyDescent="0.25">
      <c r="B7461" s="55" t="s">
        <v>280</v>
      </c>
      <c r="C7461" s="46">
        <v>2449</v>
      </c>
      <c r="D7461" s="69" t="s">
        <v>29417</v>
      </c>
      <c r="E7461" s="51"/>
      <c r="F7461" s="114" t="str">
        <f>IF(INDEX(I.Facility.P2aIDNumber,2449)="","",INDEX(I.Facility.P2aIDNumber,2449))</f>
        <v/>
      </c>
      <c r="G7461" s="51"/>
      <c r="H7461" s="46" t="str">
        <f>IF(AND(I.Developer.P2a=TRUE,I.Facility.P2aFacilityCount&gt;=2449,F7461=""),"Incomplete","Complete")</f>
        <v>Complete</v>
      </c>
      <c r="I7461" s="48" t="s">
        <v>11826</v>
      </c>
    </row>
    <row r="7462" spans="2:9" ht="15" customHeight="1" x14ac:dyDescent="0.25">
      <c r="B7462" s="55" t="s">
        <v>280</v>
      </c>
      <c r="C7462" s="46">
        <v>2450</v>
      </c>
      <c r="D7462" s="69" t="s">
        <v>29417</v>
      </c>
      <c r="E7462" s="51"/>
      <c r="F7462" s="114" t="str">
        <f>IF(INDEX(I.Facility.P2aIDNumber,2450)="","",INDEX(I.Facility.P2aIDNumber,2450))</f>
        <v/>
      </c>
      <c r="G7462" s="51"/>
      <c r="H7462" s="46" t="str">
        <f>IF(AND(I.Developer.P2a=TRUE,I.Facility.P2aFacilityCount&gt;=2450,F7462=""),"Incomplete","Complete")</f>
        <v>Complete</v>
      </c>
      <c r="I7462" s="48" t="s">
        <v>11827</v>
      </c>
    </row>
    <row r="7463" spans="2:9" ht="15" customHeight="1" x14ac:dyDescent="0.25">
      <c r="B7463" s="55" t="s">
        <v>280</v>
      </c>
      <c r="C7463" s="46">
        <v>2451</v>
      </c>
      <c r="D7463" s="69" t="s">
        <v>29417</v>
      </c>
      <c r="E7463" s="51"/>
      <c r="F7463" s="114" t="str">
        <f>IF(INDEX(I.Facility.P2aIDNumber,2451)="","",INDEX(I.Facility.P2aIDNumber,2451))</f>
        <v/>
      </c>
      <c r="G7463" s="51"/>
      <c r="H7463" s="46" t="str">
        <f>IF(AND(I.Developer.P2a=TRUE,I.Facility.P2aFacilityCount&gt;=2451,F7463=""),"Incomplete","Complete")</f>
        <v>Complete</v>
      </c>
      <c r="I7463" s="48" t="s">
        <v>11828</v>
      </c>
    </row>
    <row r="7464" spans="2:9" ht="15" customHeight="1" x14ac:dyDescent="0.25">
      <c r="B7464" s="55" t="s">
        <v>280</v>
      </c>
      <c r="C7464" s="46">
        <v>2452</v>
      </c>
      <c r="D7464" s="69" t="s">
        <v>29417</v>
      </c>
      <c r="E7464" s="51"/>
      <c r="F7464" s="114" t="str">
        <f>IF(INDEX(I.Facility.P2aIDNumber,2452)="","",INDEX(I.Facility.P2aIDNumber,2452))</f>
        <v/>
      </c>
      <c r="G7464" s="51"/>
      <c r="H7464" s="46" t="str">
        <f>IF(AND(I.Developer.P2a=TRUE,I.Facility.P2aFacilityCount&gt;=2452,F7464=""),"Incomplete","Complete")</f>
        <v>Complete</v>
      </c>
      <c r="I7464" s="48" t="s">
        <v>11829</v>
      </c>
    </row>
    <row r="7465" spans="2:9" ht="15" customHeight="1" x14ac:dyDescent="0.25">
      <c r="B7465" s="55" t="s">
        <v>280</v>
      </c>
      <c r="C7465" s="46">
        <v>2453</v>
      </c>
      <c r="D7465" s="69" t="s">
        <v>29417</v>
      </c>
      <c r="E7465" s="51"/>
      <c r="F7465" s="114" t="str">
        <f>IF(INDEX(I.Facility.P2aIDNumber,2453)="","",INDEX(I.Facility.P2aIDNumber,2453))</f>
        <v/>
      </c>
      <c r="G7465" s="51"/>
      <c r="H7465" s="46" t="str">
        <f>IF(AND(I.Developer.P2a=TRUE,I.Facility.P2aFacilityCount&gt;=2453,F7465=""),"Incomplete","Complete")</f>
        <v>Complete</v>
      </c>
      <c r="I7465" s="48" t="s">
        <v>11830</v>
      </c>
    </row>
    <row r="7466" spans="2:9" ht="15" customHeight="1" x14ac:dyDescent="0.25">
      <c r="B7466" s="55" t="s">
        <v>280</v>
      </c>
      <c r="C7466" s="46">
        <v>2454</v>
      </c>
      <c r="D7466" s="69" t="s">
        <v>29417</v>
      </c>
      <c r="E7466" s="51"/>
      <c r="F7466" s="114" t="str">
        <f>IF(INDEX(I.Facility.P2aIDNumber,2454)="","",INDEX(I.Facility.P2aIDNumber,2454))</f>
        <v/>
      </c>
      <c r="G7466" s="51"/>
      <c r="H7466" s="46" t="str">
        <f>IF(AND(I.Developer.P2a=TRUE,I.Facility.P2aFacilityCount&gt;=2454,F7466=""),"Incomplete","Complete")</f>
        <v>Complete</v>
      </c>
      <c r="I7466" s="48" t="s">
        <v>11831</v>
      </c>
    </row>
    <row r="7467" spans="2:9" ht="15" customHeight="1" x14ac:dyDescent="0.25">
      <c r="B7467" s="55" t="s">
        <v>280</v>
      </c>
      <c r="C7467" s="46">
        <v>2455</v>
      </c>
      <c r="D7467" s="69" t="s">
        <v>29417</v>
      </c>
      <c r="E7467" s="51"/>
      <c r="F7467" s="114" t="str">
        <f>IF(INDEX(I.Facility.P2aIDNumber,2455)="","",INDEX(I.Facility.P2aIDNumber,2455))</f>
        <v/>
      </c>
      <c r="G7467" s="51"/>
      <c r="H7467" s="46" t="str">
        <f>IF(AND(I.Developer.P2a=TRUE,I.Facility.P2aFacilityCount&gt;=2455,F7467=""),"Incomplete","Complete")</f>
        <v>Complete</v>
      </c>
      <c r="I7467" s="48" t="s">
        <v>11832</v>
      </c>
    </row>
    <row r="7468" spans="2:9" ht="15" customHeight="1" x14ac:dyDescent="0.25">
      <c r="B7468" s="55" t="s">
        <v>280</v>
      </c>
      <c r="C7468" s="46">
        <v>2456</v>
      </c>
      <c r="D7468" s="69" t="s">
        <v>29417</v>
      </c>
      <c r="E7468" s="51"/>
      <c r="F7468" s="114" t="str">
        <f>IF(INDEX(I.Facility.P2aIDNumber,2456)="","",INDEX(I.Facility.P2aIDNumber,2456))</f>
        <v/>
      </c>
      <c r="G7468" s="51"/>
      <c r="H7468" s="46" t="str">
        <f>IF(AND(I.Developer.P2a=TRUE,I.Facility.P2aFacilityCount&gt;=2456,F7468=""),"Incomplete","Complete")</f>
        <v>Complete</v>
      </c>
      <c r="I7468" s="48" t="s">
        <v>11833</v>
      </c>
    </row>
    <row r="7469" spans="2:9" ht="15" customHeight="1" x14ac:dyDescent="0.25">
      <c r="B7469" s="55" t="s">
        <v>280</v>
      </c>
      <c r="C7469" s="46">
        <v>2457</v>
      </c>
      <c r="D7469" s="69" t="s">
        <v>29417</v>
      </c>
      <c r="E7469" s="51"/>
      <c r="F7469" s="114" t="str">
        <f>IF(INDEX(I.Facility.P2aIDNumber,2457)="","",INDEX(I.Facility.P2aIDNumber,2457))</f>
        <v/>
      </c>
      <c r="G7469" s="51"/>
      <c r="H7469" s="46" t="str">
        <f>IF(AND(I.Developer.P2a=TRUE,I.Facility.P2aFacilityCount&gt;=2457,F7469=""),"Incomplete","Complete")</f>
        <v>Complete</v>
      </c>
      <c r="I7469" s="48" t="s">
        <v>11834</v>
      </c>
    </row>
    <row r="7470" spans="2:9" ht="15" customHeight="1" x14ac:dyDescent="0.25">
      <c r="B7470" s="55" t="s">
        <v>280</v>
      </c>
      <c r="C7470" s="46">
        <v>2458</v>
      </c>
      <c r="D7470" s="69" t="s">
        <v>29417</v>
      </c>
      <c r="E7470" s="51"/>
      <c r="F7470" s="114" t="str">
        <f>IF(INDEX(I.Facility.P2aIDNumber,2458)="","",INDEX(I.Facility.P2aIDNumber,2458))</f>
        <v/>
      </c>
      <c r="G7470" s="51"/>
      <c r="H7470" s="46" t="str">
        <f>IF(AND(I.Developer.P2a=TRUE,I.Facility.P2aFacilityCount&gt;=2458,F7470=""),"Incomplete","Complete")</f>
        <v>Complete</v>
      </c>
      <c r="I7470" s="48" t="s">
        <v>11835</v>
      </c>
    </row>
    <row r="7471" spans="2:9" ht="15" customHeight="1" x14ac:dyDescent="0.25">
      <c r="B7471" s="55" t="s">
        <v>280</v>
      </c>
      <c r="C7471" s="46">
        <v>2459</v>
      </c>
      <c r="D7471" s="69" t="s">
        <v>29417</v>
      </c>
      <c r="E7471" s="51"/>
      <c r="F7471" s="114" t="str">
        <f>IF(INDEX(I.Facility.P2aIDNumber,2459)="","",INDEX(I.Facility.P2aIDNumber,2459))</f>
        <v/>
      </c>
      <c r="G7471" s="51"/>
      <c r="H7471" s="46" t="str">
        <f>IF(AND(I.Developer.P2a=TRUE,I.Facility.P2aFacilityCount&gt;=2459,F7471=""),"Incomplete","Complete")</f>
        <v>Complete</v>
      </c>
      <c r="I7471" s="48" t="s">
        <v>11836</v>
      </c>
    </row>
    <row r="7472" spans="2:9" ht="15" customHeight="1" x14ac:dyDescent="0.25">
      <c r="B7472" s="55" t="s">
        <v>280</v>
      </c>
      <c r="C7472" s="46">
        <v>2460</v>
      </c>
      <c r="D7472" s="69" t="s">
        <v>29417</v>
      </c>
      <c r="E7472" s="51"/>
      <c r="F7472" s="114" t="str">
        <f>IF(INDEX(I.Facility.P2aIDNumber,2460)="","",INDEX(I.Facility.P2aIDNumber,2460))</f>
        <v/>
      </c>
      <c r="G7472" s="51"/>
      <c r="H7472" s="46" t="str">
        <f>IF(AND(I.Developer.P2a=TRUE,I.Facility.P2aFacilityCount&gt;=2460,F7472=""),"Incomplete","Complete")</f>
        <v>Complete</v>
      </c>
      <c r="I7472" s="48" t="s">
        <v>11837</v>
      </c>
    </row>
    <row r="7473" spans="2:9" ht="15" customHeight="1" x14ac:dyDescent="0.25">
      <c r="B7473" s="55" t="s">
        <v>280</v>
      </c>
      <c r="C7473" s="46">
        <v>2461</v>
      </c>
      <c r="D7473" s="69" t="s">
        <v>29417</v>
      </c>
      <c r="E7473" s="51"/>
      <c r="F7473" s="114" t="str">
        <f>IF(INDEX(I.Facility.P2aIDNumber,2461)="","",INDEX(I.Facility.P2aIDNumber,2461))</f>
        <v/>
      </c>
      <c r="G7473" s="51"/>
      <c r="H7473" s="46" t="str">
        <f>IF(AND(I.Developer.P2a=TRUE,I.Facility.P2aFacilityCount&gt;=2461,F7473=""),"Incomplete","Complete")</f>
        <v>Complete</v>
      </c>
      <c r="I7473" s="48" t="s">
        <v>11838</v>
      </c>
    </row>
    <row r="7474" spans="2:9" ht="15" customHeight="1" x14ac:dyDescent="0.25">
      <c r="B7474" s="55" t="s">
        <v>280</v>
      </c>
      <c r="C7474" s="46">
        <v>2462</v>
      </c>
      <c r="D7474" s="69" t="s">
        <v>29417</v>
      </c>
      <c r="E7474" s="51"/>
      <c r="F7474" s="114" t="str">
        <f>IF(INDEX(I.Facility.P2aIDNumber,2462)="","",INDEX(I.Facility.P2aIDNumber,2462))</f>
        <v/>
      </c>
      <c r="G7474" s="51"/>
      <c r="H7474" s="46" t="str">
        <f>IF(AND(I.Developer.P2a=TRUE,I.Facility.P2aFacilityCount&gt;=2462,F7474=""),"Incomplete","Complete")</f>
        <v>Complete</v>
      </c>
      <c r="I7474" s="48" t="s">
        <v>11839</v>
      </c>
    </row>
    <row r="7475" spans="2:9" ht="15" customHeight="1" x14ac:dyDescent="0.25">
      <c r="B7475" s="55" t="s">
        <v>280</v>
      </c>
      <c r="C7475" s="46">
        <v>2463</v>
      </c>
      <c r="D7475" s="69" t="s">
        <v>29417</v>
      </c>
      <c r="E7475" s="51"/>
      <c r="F7475" s="114" t="str">
        <f>IF(INDEX(I.Facility.P2aIDNumber,2463)="","",INDEX(I.Facility.P2aIDNumber,2463))</f>
        <v/>
      </c>
      <c r="G7475" s="51"/>
      <c r="H7475" s="46" t="str">
        <f>IF(AND(I.Developer.P2a=TRUE,I.Facility.P2aFacilityCount&gt;=2463,F7475=""),"Incomplete","Complete")</f>
        <v>Complete</v>
      </c>
      <c r="I7475" s="48" t="s">
        <v>11840</v>
      </c>
    </row>
    <row r="7476" spans="2:9" ht="15" customHeight="1" x14ac:dyDescent="0.25">
      <c r="B7476" s="55" t="s">
        <v>280</v>
      </c>
      <c r="C7476" s="46">
        <v>2464</v>
      </c>
      <c r="D7476" s="69" t="s">
        <v>29417</v>
      </c>
      <c r="E7476" s="51"/>
      <c r="F7476" s="114" t="str">
        <f>IF(INDEX(I.Facility.P2aIDNumber,2464)="","",INDEX(I.Facility.P2aIDNumber,2464))</f>
        <v/>
      </c>
      <c r="G7476" s="51"/>
      <c r="H7476" s="46" t="str">
        <f>IF(AND(I.Developer.P2a=TRUE,I.Facility.P2aFacilityCount&gt;=2464,F7476=""),"Incomplete","Complete")</f>
        <v>Complete</v>
      </c>
      <c r="I7476" s="48" t="s">
        <v>11841</v>
      </c>
    </row>
    <row r="7477" spans="2:9" ht="15" customHeight="1" x14ac:dyDescent="0.25">
      <c r="B7477" s="55" t="s">
        <v>280</v>
      </c>
      <c r="C7477" s="46">
        <v>2465</v>
      </c>
      <c r="D7477" s="69" t="s">
        <v>29417</v>
      </c>
      <c r="E7477" s="51"/>
      <c r="F7477" s="114" t="str">
        <f>IF(INDEX(I.Facility.P2aIDNumber,2465)="","",INDEX(I.Facility.P2aIDNumber,2465))</f>
        <v/>
      </c>
      <c r="G7477" s="51"/>
      <c r="H7477" s="46" t="str">
        <f>IF(AND(I.Developer.P2a=TRUE,I.Facility.P2aFacilityCount&gt;=2465,F7477=""),"Incomplete","Complete")</f>
        <v>Complete</v>
      </c>
      <c r="I7477" s="48" t="s">
        <v>11842</v>
      </c>
    </row>
    <row r="7478" spans="2:9" ht="15" customHeight="1" x14ac:dyDescent="0.25">
      <c r="B7478" s="55" t="s">
        <v>280</v>
      </c>
      <c r="C7478" s="46">
        <v>2466</v>
      </c>
      <c r="D7478" s="69" t="s">
        <v>29417</v>
      </c>
      <c r="E7478" s="51"/>
      <c r="F7478" s="114" t="str">
        <f>IF(INDEX(I.Facility.P2aIDNumber,2466)="","",INDEX(I.Facility.P2aIDNumber,2466))</f>
        <v/>
      </c>
      <c r="G7478" s="51"/>
      <c r="H7478" s="46" t="str">
        <f>IF(AND(I.Developer.P2a=TRUE,I.Facility.P2aFacilityCount&gt;=2466,F7478=""),"Incomplete","Complete")</f>
        <v>Complete</v>
      </c>
      <c r="I7478" s="48" t="s">
        <v>11843</v>
      </c>
    </row>
    <row r="7479" spans="2:9" ht="15" customHeight="1" x14ac:dyDescent="0.25">
      <c r="B7479" s="55" t="s">
        <v>280</v>
      </c>
      <c r="C7479" s="46">
        <v>2467</v>
      </c>
      <c r="D7479" s="69" t="s">
        <v>29417</v>
      </c>
      <c r="E7479" s="51"/>
      <c r="F7479" s="114" t="str">
        <f>IF(INDEX(I.Facility.P2aIDNumber,2467)="","",INDEX(I.Facility.P2aIDNumber,2467))</f>
        <v/>
      </c>
      <c r="G7479" s="51"/>
      <c r="H7479" s="46" t="str">
        <f>IF(AND(I.Developer.P2a=TRUE,I.Facility.P2aFacilityCount&gt;=2467,F7479=""),"Incomplete","Complete")</f>
        <v>Complete</v>
      </c>
      <c r="I7479" s="48" t="s">
        <v>11844</v>
      </c>
    </row>
    <row r="7480" spans="2:9" ht="15" customHeight="1" x14ac:dyDescent="0.25">
      <c r="B7480" s="55" t="s">
        <v>280</v>
      </c>
      <c r="C7480" s="46">
        <v>2468</v>
      </c>
      <c r="D7480" s="69" t="s">
        <v>29417</v>
      </c>
      <c r="E7480" s="51"/>
      <c r="F7480" s="114" t="str">
        <f>IF(INDEX(I.Facility.P2aIDNumber,2468)="","",INDEX(I.Facility.P2aIDNumber,2468))</f>
        <v/>
      </c>
      <c r="G7480" s="51"/>
      <c r="H7480" s="46" t="str">
        <f>IF(AND(I.Developer.P2a=TRUE,I.Facility.P2aFacilityCount&gt;=2468,F7480=""),"Incomplete","Complete")</f>
        <v>Complete</v>
      </c>
      <c r="I7480" s="48" t="s">
        <v>11845</v>
      </c>
    </row>
    <row r="7481" spans="2:9" ht="15" customHeight="1" x14ac:dyDescent="0.25">
      <c r="B7481" s="55" t="s">
        <v>280</v>
      </c>
      <c r="C7481" s="46">
        <v>2469</v>
      </c>
      <c r="D7481" s="69" t="s">
        <v>29417</v>
      </c>
      <c r="E7481" s="51"/>
      <c r="F7481" s="114" t="str">
        <f>IF(INDEX(I.Facility.P2aIDNumber,2469)="","",INDEX(I.Facility.P2aIDNumber,2469))</f>
        <v/>
      </c>
      <c r="G7481" s="51"/>
      <c r="H7481" s="46" t="str">
        <f>IF(AND(I.Developer.P2a=TRUE,I.Facility.P2aFacilityCount&gt;=2469,F7481=""),"Incomplete","Complete")</f>
        <v>Complete</v>
      </c>
      <c r="I7481" s="48" t="s">
        <v>11846</v>
      </c>
    </row>
    <row r="7482" spans="2:9" ht="15" customHeight="1" x14ac:dyDescent="0.25">
      <c r="B7482" s="55" t="s">
        <v>280</v>
      </c>
      <c r="C7482" s="46">
        <v>2470</v>
      </c>
      <c r="D7482" s="69" t="s">
        <v>29417</v>
      </c>
      <c r="E7482" s="51"/>
      <c r="F7482" s="114" t="str">
        <f>IF(INDEX(I.Facility.P2aIDNumber,2470)="","",INDEX(I.Facility.P2aIDNumber,2470))</f>
        <v/>
      </c>
      <c r="G7482" s="51"/>
      <c r="H7482" s="46" t="str">
        <f>IF(AND(I.Developer.P2a=TRUE,I.Facility.P2aFacilityCount&gt;=2470,F7482=""),"Incomplete","Complete")</f>
        <v>Complete</v>
      </c>
      <c r="I7482" s="48" t="s">
        <v>11847</v>
      </c>
    </row>
    <row r="7483" spans="2:9" ht="15" customHeight="1" x14ac:dyDescent="0.25">
      <c r="B7483" s="55" t="s">
        <v>280</v>
      </c>
      <c r="C7483" s="46">
        <v>2471</v>
      </c>
      <c r="D7483" s="69" t="s">
        <v>29417</v>
      </c>
      <c r="E7483" s="51"/>
      <c r="F7483" s="114" t="str">
        <f>IF(INDEX(I.Facility.P2aIDNumber,2471)="","",INDEX(I.Facility.P2aIDNumber,2471))</f>
        <v/>
      </c>
      <c r="G7483" s="51"/>
      <c r="H7483" s="46" t="str">
        <f>IF(AND(I.Developer.P2a=TRUE,I.Facility.P2aFacilityCount&gt;=2471,F7483=""),"Incomplete","Complete")</f>
        <v>Complete</v>
      </c>
      <c r="I7483" s="48" t="s">
        <v>11848</v>
      </c>
    </row>
    <row r="7484" spans="2:9" ht="15" customHeight="1" x14ac:dyDescent="0.25">
      <c r="B7484" s="55" t="s">
        <v>280</v>
      </c>
      <c r="C7484" s="46">
        <v>2472</v>
      </c>
      <c r="D7484" s="69" t="s">
        <v>29417</v>
      </c>
      <c r="E7484" s="51"/>
      <c r="F7484" s="114" t="str">
        <f>IF(INDEX(I.Facility.P2aIDNumber,2472)="","",INDEX(I.Facility.P2aIDNumber,2472))</f>
        <v/>
      </c>
      <c r="G7484" s="51"/>
      <c r="H7484" s="46" t="str">
        <f>IF(AND(I.Developer.P2a=TRUE,I.Facility.P2aFacilityCount&gt;=2472,F7484=""),"Incomplete","Complete")</f>
        <v>Complete</v>
      </c>
      <c r="I7484" s="48" t="s">
        <v>11849</v>
      </c>
    </row>
    <row r="7485" spans="2:9" ht="15" customHeight="1" x14ac:dyDescent="0.25">
      <c r="B7485" s="55" t="s">
        <v>280</v>
      </c>
      <c r="C7485" s="46">
        <v>2473</v>
      </c>
      <c r="D7485" s="69" t="s">
        <v>29417</v>
      </c>
      <c r="E7485" s="51"/>
      <c r="F7485" s="114" t="str">
        <f>IF(INDEX(I.Facility.P2aIDNumber,2473)="","",INDEX(I.Facility.P2aIDNumber,2473))</f>
        <v/>
      </c>
      <c r="G7485" s="51"/>
      <c r="H7485" s="46" t="str">
        <f>IF(AND(I.Developer.P2a=TRUE,I.Facility.P2aFacilityCount&gt;=2473,F7485=""),"Incomplete","Complete")</f>
        <v>Complete</v>
      </c>
      <c r="I7485" s="48" t="s">
        <v>11850</v>
      </c>
    </row>
    <row r="7486" spans="2:9" ht="15" customHeight="1" x14ac:dyDescent="0.25">
      <c r="B7486" s="55" t="s">
        <v>280</v>
      </c>
      <c r="C7486" s="46">
        <v>2474</v>
      </c>
      <c r="D7486" s="69" t="s">
        <v>29417</v>
      </c>
      <c r="E7486" s="51"/>
      <c r="F7486" s="114" t="str">
        <f>IF(INDEX(I.Facility.P2aIDNumber,2474)="","",INDEX(I.Facility.P2aIDNumber,2474))</f>
        <v/>
      </c>
      <c r="G7486" s="51"/>
      <c r="H7486" s="46" t="str">
        <f>IF(AND(I.Developer.P2a=TRUE,I.Facility.P2aFacilityCount&gt;=2474,F7486=""),"Incomplete","Complete")</f>
        <v>Complete</v>
      </c>
      <c r="I7486" s="48" t="s">
        <v>11851</v>
      </c>
    </row>
    <row r="7487" spans="2:9" ht="15" customHeight="1" x14ac:dyDescent="0.25">
      <c r="B7487" s="55" t="s">
        <v>280</v>
      </c>
      <c r="C7487" s="46">
        <v>2475</v>
      </c>
      <c r="D7487" s="69" t="s">
        <v>29417</v>
      </c>
      <c r="E7487" s="51"/>
      <c r="F7487" s="114" t="str">
        <f>IF(INDEX(I.Facility.P2aIDNumber,2475)="","",INDEX(I.Facility.P2aIDNumber,2475))</f>
        <v/>
      </c>
      <c r="G7487" s="51"/>
      <c r="H7487" s="46" t="str">
        <f>IF(AND(I.Developer.P2a=TRUE,I.Facility.P2aFacilityCount&gt;=2475,F7487=""),"Incomplete","Complete")</f>
        <v>Complete</v>
      </c>
      <c r="I7487" s="48" t="s">
        <v>11852</v>
      </c>
    </row>
    <row r="7488" spans="2:9" ht="15" customHeight="1" x14ac:dyDescent="0.25">
      <c r="B7488" s="55" t="s">
        <v>280</v>
      </c>
      <c r="C7488" s="46">
        <v>2476</v>
      </c>
      <c r="D7488" s="69" t="s">
        <v>29417</v>
      </c>
      <c r="E7488" s="51"/>
      <c r="F7488" s="114" t="str">
        <f>IF(INDEX(I.Facility.P2aIDNumber,2476)="","",INDEX(I.Facility.P2aIDNumber,2476))</f>
        <v/>
      </c>
      <c r="G7488" s="51"/>
      <c r="H7488" s="46" t="str">
        <f>IF(AND(I.Developer.P2a=TRUE,I.Facility.P2aFacilityCount&gt;=2476,F7488=""),"Incomplete","Complete")</f>
        <v>Complete</v>
      </c>
      <c r="I7488" s="48" t="s">
        <v>11853</v>
      </c>
    </row>
    <row r="7489" spans="2:9" ht="15" customHeight="1" x14ac:dyDescent="0.25">
      <c r="B7489" s="55" t="s">
        <v>280</v>
      </c>
      <c r="C7489" s="46">
        <v>2477</v>
      </c>
      <c r="D7489" s="69" t="s">
        <v>29417</v>
      </c>
      <c r="E7489" s="51"/>
      <c r="F7489" s="114" t="str">
        <f>IF(INDEX(I.Facility.P2aIDNumber,2477)="","",INDEX(I.Facility.P2aIDNumber,2477))</f>
        <v/>
      </c>
      <c r="G7489" s="51"/>
      <c r="H7489" s="46" t="str">
        <f>IF(AND(I.Developer.P2a=TRUE,I.Facility.P2aFacilityCount&gt;=2477,F7489=""),"Incomplete","Complete")</f>
        <v>Complete</v>
      </c>
      <c r="I7489" s="48" t="s">
        <v>11854</v>
      </c>
    </row>
    <row r="7490" spans="2:9" ht="15" customHeight="1" x14ac:dyDescent="0.25">
      <c r="B7490" s="55" t="s">
        <v>280</v>
      </c>
      <c r="C7490" s="46">
        <v>2478</v>
      </c>
      <c r="D7490" s="69" t="s">
        <v>29417</v>
      </c>
      <c r="E7490" s="51"/>
      <c r="F7490" s="114" t="str">
        <f>IF(INDEX(I.Facility.P2aIDNumber,2478)="","",INDEX(I.Facility.P2aIDNumber,2478))</f>
        <v/>
      </c>
      <c r="G7490" s="51"/>
      <c r="H7490" s="46" t="str">
        <f>IF(AND(I.Developer.P2a=TRUE,I.Facility.P2aFacilityCount&gt;=2478,F7490=""),"Incomplete","Complete")</f>
        <v>Complete</v>
      </c>
      <c r="I7490" s="48" t="s">
        <v>11855</v>
      </c>
    </row>
    <row r="7491" spans="2:9" ht="15" customHeight="1" x14ac:dyDescent="0.25">
      <c r="B7491" s="55" t="s">
        <v>280</v>
      </c>
      <c r="C7491" s="46">
        <v>2479</v>
      </c>
      <c r="D7491" s="69" t="s">
        <v>29417</v>
      </c>
      <c r="E7491" s="51"/>
      <c r="F7491" s="114" t="str">
        <f>IF(INDEX(I.Facility.P2aIDNumber,2479)="","",INDEX(I.Facility.P2aIDNumber,2479))</f>
        <v/>
      </c>
      <c r="G7491" s="51"/>
      <c r="H7491" s="46" t="str">
        <f>IF(AND(I.Developer.P2a=TRUE,I.Facility.P2aFacilityCount&gt;=2479,F7491=""),"Incomplete","Complete")</f>
        <v>Complete</v>
      </c>
      <c r="I7491" s="48" t="s">
        <v>11856</v>
      </c>
    </row>
    <row r="7492" spans="2:9" ht="15" customHeight="1" x14ac:dyDescent="0.25">
      <c r="B7492" s="55" t="s">
        <v>280</v>
      </c>
      <c r="C7492" s="46">
        <v>2480</v>
      </c>
      <c r="D7492" s="69" t="s">
        <v>29417</v>
      </c>
      <c r="E7492" s="51"/>
      <c r="F7492" s="114" t="str">
        <f>IF(INDEX(I.Facility.P2aIDNumber,2480)="","",INDEX(I.Facility.P2aIDNumber,2480))</f>
        <v/>
      </c>
      <c r="G7492" s="51"/>
      <c r="H7492" s="46" t="str">
        <f>IF(AND(I.Developer.P2a=TRUE,I.Facility.P2aFacilityCount&gt;=2480,F7492=""),"Incomplete","Complete")</f>
        <v>Complete</v>
      </c>
      <c r="I7492" s="48" t="s">
        <v>11857</v>
      </c>
    </row>
    <row r="7493" spans="2:9" ht="15" customHeight="1" x14ac:dyDescent="0.25">
      <c r="B7493" s="55" t="s">
        <v>280</v>
      </c>
      <c r="C7493" s="46">
        <v>2481</v>
      </c>
      <c r="D7493" s="69" t="s">
        <v>29417</v>
      </c>
      <c r="E7493" s="51"/>
      <c r="F7493" s="114" t="str">
        <f>IF(INDEX(I.Facility.P2aIDNumber,2481)="","",INDEX(I.Facility.P2aIDNumber,2481))</f>
        <v/>
      </c>
      <c r="G7493" s="51"/>
      <c r="H7493" s="46" t="str">
        <f>IF(AND(I.Developer.P2a=TRUE,I.Facility.P2aFacilityCount&gt;=2481,F7493=""),"Incomplete","Complete")</f>
        <v>Complete</v>
      </c>
      <c r="I7493" s="48" t="s">
        <v>11858</v>
      </c>
    </row>
    <row r="7494" spans="2:9" ht="15" customHeight="1" x14ac:dyDescent="0.25">
      <c r="B7494" s="55" t="s">
        <v>280</v>
      </c>
      <c r="C7494" s="46">
        <v>2482</v>
      </c>
      <c r="D7494" s="69" t="s">
        <v>29417</v>
      </c>
      <c r="E7494" s="51"/>
      <c r="F7494" s="114" t="str">
        <f>IF(INDEX(I.Facility.P2aIDNumber,2482)="","",INDEX(I.Facility.P2aIDNumber,2482))</f>
        <v/>
      </c>
      <c r="G7494" s="51"/>
      <c r="H7494" s="46" t="str">
        <f>IF(AND(I.Developer.P2a=TRUE,I.Facility.P2aFacilityCount&gt;=2482,F7494=""),"Incomplete","Complete")</f>
        <v>Complete</v>
      </c>
      <c r="I7494" s="48" t="s">
        <v>11859</v>
      </c>
    </row>
    <row r="7495" spans="2:9" ht="15" customHeight="1" x14ac:dyDescent="0.25">
      <c r="B7495" s="55" t="s">
        <v>280</v>
      </c>
      <c r="C7495" s="46">
        <v>2483</v>
      </c>
      <c r="D7495" s="69" t="s">
        <v>29417</v>
      </c>
      <c r="E7495" s="51"/>
      <c r="F7495" s="114" t="str">
        <f>IF(INDEX(I.Facility.P2aIDNumber,2483)="","",INDEX(I.Facility.P2aIDNumber,2483))</f>
        <v/>
      </c>
      <c r="G7495" s="51"/>
      <c r="H7495" s="46" t="str">
        <f>IF(AND(I.Developer.P2a=TRUE,I.Facility.P2aFacilityCount&gt;=2483,F7495=""),"Incomplete","Complete")</f>
        <v>Complete</v>
      </c>
      <c r="I7495" s="48" t="s">
        <v>11860</v>
      </c>
    </row>
    <row r="7496" spans="2:9" ht="15" customHeight="1" x14ac:dyDescent="0.25">
      <c r="B7496" s="55" t="s">
        <v>280</v>
      </c>
      <c r="C7496" s="46">
        <v>2484</v>
      </c>
      <c r="D7496" s="69" t="s">
        <v>29417</v>
      </c>
      <c r="E7496" s="51"/>
      <c r="F7496" s="114" t="str">
        <f>IF(INDEX(I.Facility.P2aIDNumber,2484)="","",INDEX(I.Facility.P2aIDNumber,2484))</f>
        <v/>
      </c>
      <c r="G7496" s="51"/>
      <c r="H7496" s="46" t="str">
        <f>IF(AND(I.Developer.P2a=TRUE,I.Facility.P2aFacilityCount&gt;=2484,F7496=""),"Incomplete","Complete")</f>
        <v>Complete</v>
      </c>
      <c r="I7496" s="48" t="s">
        <v>11861</v>
      </c>
    </row>
    <row r="7497" spans="2:9" ht="15" customHeight="1" x14ac:dyDescent="0.25">
      <c r="B7497" s="55" t="s">
        <v>280</v>
      </c>
      <c r="C7497" s="46">
        <v>2485</v>
      </c>
      <c r="D7497" s="69" t="s">
        <v>29417</v>
      </c>
      <c r="E7497" s="51"/>
      <c r="F7497" s="114" t="str">
        <f>IF(INDEX(I.Facility.P2aIDNumber,2485)="","",INDEX(I.Facility.P2aIDNumber,2485))</f>
        <v/>
      </c>
      <c r="G7497" s="51"/>
      <c r="H7497" s="46" t="str">
        <f>IF(AND(I.Developer.P2a=TRUE,I.Facility.P2aFacilityCount&gt;=2485,F7497=""),"Incomplete","Complete")</f>
        <v>Complete</v>
      </c>
      <c r="I7497" s="48" t="s">
        <v>11862</v>
      </c>
    </row>
    <row r="7498" spans="2:9" ht="15" customHeight="1" x14ac:dyDescent="0.25">
      <c r="B7498" s="55" t="s">
        <v>280</v>
      </c>
      <c r="C7498" s="46">
        <v>2486</v>
      </c>
      <c r="D7498" s="69" t="s">
        <v>29417</v>
      </c>
      <c r="E7498" s="51"/>
      <c r="F7498" s="114" t="str">
        <f>IF(INDEX(I.Facility.P2aIDNumber,2486)="","",INDEX(I.Facility.P2aIDNumber,2486))</f>
        <v/>
      </c>
      <c r="G7498" s="51"/>
      <c r="H7498" s="46" t="str">
        <f>IF(AND(I.Developer.P2a=TRUE,I.Facility.P2aFacilityCount&gt;=2486,F7498=""),"Incomplete","Complete")</f>
        <v>Complete</v>
      </c>
      <c r="I7498" s="48" t="s">
        <v>11863</v>
      </c>
    </row>
    <row r="7499" spans="2:9" ht="15" customHeight="1" x14ac:dyDescent="0.25">
      <c r="B7499" s="55" t="s">
        <v>280</v>
      </c>
      <c r="C7499" s="46">
        <v>2487</v>
      </c>
      <c r="D7499" s="69" t="s">
        <v>29417</v>
      </c>
      <c r="E7499" s="51"/>
      <c r="F7499" s="114" t="str">
        <f>IF(INDEX(I.Facility.P2aIDNumber,2487)="","",INDEX(I.Facility.P2aIDNumber,2487))</f>
        <v/>
      </c>
      <c r="G7499" s="51"/>
      <c r="H7499" s="46" t="str">
        <f>IF(AND(I.Developer.P2a=TRUE,I.Facility.P2aFacilityCount&gt;=2487,F7499=""),"Incomplete","Complete")</f>
        <v>Complete</v>
      </c>
      <c r="I7499" s="48" t="s">
        <v>11864</v>
      </c>
    </row>
    <row r="7500" spans="2:9" ht="15" customHeight="1" x14ac:dyDescent="0.25">
      <c r="B7500" s="55" t="s">
        <v>280</v>
      </c>
      <c r="C7500" s="46">
        <v>2488</v>
      </c>
      <c r="D7500" s="69" t="s">
        <v>29417</v>
      </c>
      <c r="E7500" s="51"/>
      <c r="F7500" s="114" t="str">
        <f>IF(INDEX(I.Facility.P2aIDNumber,2488)="","",INDEX(I.Facility.P2aIDNumber,2488))</f>
        <v/>
      </c>
      <c r="G7500" s="51"/>
      <c r="H7500" s="46" t="str">
        <f>IF(AND(I.Developer.P2a=TRUE,I.Facility.P2aFacilityCount&gt;=2488,F7500=""),"Incomplete","Complete")</f>
        <v>Complete</v>
      </c>
      <c r="I7500" s="48" t="s">
        <v>11865</v>
      </c>
    </row>
    <row r="7501" spans="2:9" ht="15" customHeight="1" x14ac:dyDescent="0.25">
      <c r="B7501" s="55" t="s">
        <v>280</v>
      </c>
      <c r="C7501" s="46">
        <v>2489</v>
      </c>
      <c r="D7501" s="69" t="s">
        <v>29417</v>
      </c>
      <c r="E7501" s="51"/>
      <c r="F7501" s="114" t="str">
        <f>IF(INDEX(I.Facility.P2aIDNumber,2489)="","",INDEX(I.Facility.P2aIDNumber,2489))</f>
        <v/>
      </c>
      <c r="G7501" s="51"/>
      <c r="H7501" s="46" t="str">
        <f>IF(AND(I.Developer.P2a=TRUE,I.Facility.P2aFacilityCount&gt;=2489,F7501=""),"Incomplete","Complete")</f>
        <v>Complete</v>
      </c>
      <c r="I7501" s="48" t="s">
        <v>11866</v>
      </c>
    </row>
    <row r="7502" spans="2:9" ht="15" customHeight="1" x14ac:dyDescent="0.25">
      <c r="B7502" s="55" t="s">
        <v>280</v>
      </c>
      <c r="C7502" s="46">
        <v>2490</v>
      </c>
      <c r="D7502" s="69" t="s">
        <v>29417</v>
      </c>
      <c r="E7502" s="51"/>
      <c r="F7502" s="114" t="str">
        <f>IF(INDEX(I.Facility.P2aIDNumber,2490)="","",INDEX(I.Facility.P2aIDNumber,2490))</f>
        <v/>
      </c>
      <c r="G7502" s="51"/>
      <c r="H7502" s="46" t="str">
        <f>IF(AND(I.Developer.P2a=TRUE,I.Facility.P2aFacilityCount&gt;=2490,F7502=""),"Incomplete","Complete")</f>
        <v>Complete</v>
      </c>
      <c r="I7502" s="48" t="s">
        <v>11867</v>
      </c>
    </row>
    <row r="7503" spans="2:9" ht="15" customHeight="1" x14ac:dyDescent="0.25">
      <c r="B7503" s="55" t="s">
        <v>280</v>
      </c>
      <c r="C7503" s="46">
        <v>2491</v>
      </c>
      <c r="D7503" s="69" t="s">
        <v>29417</v>
      </c>
      <c r="E7503" s="51"/>
      <c r="F7503" s="114" t="str">
        <f>IF(INDEX(I.Facility.P2aIDNumber,2491)="","",INDEX(I.Facility.P2aIDNumber,2491))</f>
        <v/>
      </c>
      <c r="G7503" s="51"/>
      <c r="H7503" s="46" t="str">
        <f>IF(AND(I.Developer.P2a=TRUE,I.Facility.P2aFacilityCount&gt;=2491,F7503=""),"Incomplete","Complete")</f>
        <v>Complete</v>
      </c>
      <c r="I7503" s="48" t="s">
        <v>11868</v>
      </c>
    </row>
    <row r="7504" spans="2:9" ht="15" customHeight="1" x14ac:dyDescent="0.25">
      <c r="B7504" s="55" t="s">
        <v>280</v>
      </c>
      <c r="C7504" s="46">
        <v>2492</v>
      </c>
      <c r="D7504" s="69" t="s">
        <v>29417</v>
      </c>
      <c r="E7504" s="51"/>
      <c r="F7504" s="114" t="str">
        <f>IF(INDEX(I.Facility.P2aIDNumber,2492)="","",INDEX(I.Facility.P2aIDNumber,2492))</f>
        <v/>
      </c>
      <c r="G7504" s="51"/>
      <c r="H7504" s="46" t="str">
        <f>IF(AND(I.Developer.P2a=TRUE,I.Facility.P2aFacilityCount&gt;=2492,F7504=""),"Incomplete","Complete")</f>
        <v>Complete</v>
      </c>
      <c r="I7504" s="48" t="s">
        <v>11869</v>
      </c>
    </row>
    <row r="7505" spans="2:9" ht="15" customHeight="1" x14ac:dyDescent="0.25">
      <c r="B7505" s="55" t="s">
        <v>280</v>
      </c>
      <c r="C7505" s="46">
        <v>2493</v>
      </c>
      <c r="D7505" s="69" t="s">
        <v>29417</v>
      </c>
      <c r="E7505" s="51"/>
      <c r="F7505" s="114" t="str">
        <f>IF(INDEX(I.Facility.P2aIDNumber,2493)="","",INDEX(I.Facility.P2aIDNumber,2493))</f>
        <v/>
      </c>
      <c r="G7505" s="51"/>
      <c r="H7505" s="46" t="str">
        <f>IF(AND(I.Developer.P2a=TRUE,I.Facility.P2aFacilityCount&gt;=2493,F7505=""),"Incomplete","Complete")</f>
        <v>Complete</v>
      </c>
      <c r="I7505" s="48" t="s">
        <v>11870</v>
      </c>
    </row>
    <row r="7506" spans="2:9" ht="15" customHeight="1" x14ac:dyDescent="0.25">
      <c r="B7506" s="55" t="s">
        <v>280</v>
      </c>
      <c r="C7506" s="46">
        <v>2494</v>
      </c>
      <c r="D7506" s="69" t="s">
        <v>29417</v>
      </c>
      <c r="E7506" s="51"/>
      <c r="F7506" s="114" t="str">
        <f>IF(INDEX(I.Facility.P2aIDNumber,2494)="","",INDEX(I.Facility.P2aIDNumber,2494))</f>
        <v/>
      </c>
      <c r="G7506" s="51"/>
      <c r="H7506" s="46" t="str">
        <f>IF(AND(I.Developer.P2a=TRUE,I.Facility.P2aFacilityCount&gt;=2494,F7506=""),"Incomplete","Complete")</f>
        <v>Complete</v>
      </c>
      <c r="I7506" s="48" t="s">
        <v>11871</v>
      </c>
    </row>
    <row r="7507" spans="2:9" ht="15" customHeight="1" x14ac:dyDescent="0.25">
      <c r="B7507" s="55" t="s">
        <v>280</v>
      </c>
      <c r="C7507" s="46">
        <v>2495</v>
      </c>
      <c r="D7507" s="69" t="s">
        <v>29417</v>
      </c>
      <c r="E7507" s="51"/>
      <c r="F7507" s="114" t="str">
        <f>IF(INDEX(I.Facility.P2aIDNumber,2495)="","",INDEX(I.Facility.P2aIDNumber,2495))</f>
        <v/>
      </c>
      <c r="G7507" s="51"/>
      <c r="H7507" s="46" t="str">
        <f>IF(AND(I.Developer.P2a=TRUE,I.Facility.P2aFacilityCount&gt;=2495,F7507=""),"Incomplete","Complete")</f>
        <v>Complete</v>
      </c>
      <c r="I7507" s="48" t="s">
        <v>11872</v>
      </c>
    </row>
    <row r="7508" spans="2:9" ht="15" customHeight="1" x14ac:dyDescent="0.25">
      <c r="B7508" s="55" t="s">
        <v>280</v>
      </c>
      <c r="C7508" s="46">
        <v>2496</v>
      </c>
      <c r="D7508" s="69" t="s">
        <v>29417</v>
      </c>
      <c r="E7508" s="51"/>
      <c r="F7508" s="114" t="str">
        <f>IF(INDEX(I.Facility.P2aIDNumber,2496)="","",INDEX(I.Facility.P2aIDNumber,2496))</f>
        <v/>
      </c>
      <c r="G7508" s="51"/>
      <c r="H7508" s="46" t="str">
        <f>IF(AND(I.Developer.P2a=TRUE,I.Facility.P2aFacilityCount&gt;=2496,F7508=""),"Incomplete","Complete")</f>
        <v>Complete</v>
      </c>
      <c r="I7508" s="48" t="s">
        <v>11873</v>
      </c>
    </row>
    <row r="7509" spans="2:9" ht="15" customHeight="1" x14ac:dyDescent="0.25">
      <c r="B7509" s="55" t="s">
        <v>280</v>
      </c>
      <c r="C7509" s="46">
        <v>2497</v>
      </c>
      <c r="D7509" s="69" t="s">
        <v>29417</v>
      </c>
      <c r="E7509" s="51"/>
      <c r="F7509" s="114" t="str">
        <f>IF(INDEX(I.Facility.P2aIDNumber,2497)="","",INDEX(I.Facility.P2aIDNumber,2497))</f>
        <v/>
      </c>
      <c r="G7509" s="51"/>
      <c r="H7509" s="46" t="str">
        <f>IF(AND(I.Developer.P2a=TRUE,I.Facility.P2aFacilityCount&gt;=2497,F7509=""),"Incomplete","Complete")</f>
        <v>Complete</v>
      </c>
      <c r="I7509" s="48" t="s">
        <v>11874</v>
      </c>
    </row>
    <row r="7510" spans="2:9" ht="15" customHeight="1" x14ac:dyDescent="0.25">
      <c r="B7510" s="55" t="s">
        <v>280</v>
      </c>
      <c r="C7510" s="46">
        <v>2498</v>
      </c>
      <c r="D7510" s="69" t="s">
        <v>29417</v>
      </c>
      <c r="E7510" s="51"/>
      <c r="F7510" s="114" t="str">
        <f>IF(INDEX(I.Facility.P2aIDNumber,2498)="","",INDEX(I.Facility.P2aIDNumber,2498))</f>
        <v/>
      </c>
      <c r="G7510" s="51"/>
      <c r="H7510" s="46" t="str">
        <f>IF(AND(I.Developer.P2a=TRUE,I.Facility.P2aFacilityCount&gt;=2498,F7510=""),"Incomplete","Complete")</f>
        <v>Complete</v>
      </c>
      <c r="I7510" s="48" t="s">
        <v>11875</v>
      </c>
    </row>
    <row r="7511" spans="2:9" ht="15" customHeight="1" x14ac:dyDescent="0.25">
      <c r="B7511" s="55" t="s">
        <v>280</v>
      </c>
      <c r="C7511" s="46">
        <v>2499</v>
      </c>
      <c r="D7511" s="69" t="s">
        <v>29417</v>
      </c>
      <c r="E7511" s="51"/>
      <c r="F7511" s="114" t="str">
        <f>IF(INDEX(I.Facility.P2aIDNumber,2499)="","",INDEX(I.Facility.P2aIDNumber,2499))</f>
        <v/>
      </c>
      <c r="G7511" s="51"/>
      <c r="H7511" s="46" t="str">
        <f>IF(AND(I.Developer.P2a=TRUE,I.Facility.P2aFacilityCount&gt;=2499,F7511=""),"Incomplete","Complete")</f>
        <v>Complete</v>
      </c>
      <c r="I7511" s="48" t="s">
        <v>11876</v>
      </c>
    </row>
    <row r="7512" spans="2:9" ht="15" customHeight="1" x14ac:dyDescent="0.25">
      <c r="B7512" s="55" t="s">
        <v>280</v>
      </c>
      <c r="C7512" s="46">
        <v>2500</v>
      </c>
      <c r="D7512" s="69" t="s">
        <v>29417</v>
      </c>
      <c r="E7512" s="51"/>
      <c r="F7512" s="114" t="str">
        <f>IF(INDEX(I.Facility.P2aIDNumber,2500)="","",INDEX(I.Facility.P2aIDNumber,2500))</f>
        <v/>
      </c>
      <c r="G7512" s="51"/>
      <c r="H7512" s="46" t="str">
        <f>IF(AND(I.Developer.P2a=TRUE,I.Facility.P2aFacilityCount&gt;=2500,F7512=""),"Incomplete","Complete")</f>
        <v>Complete</v>
      </c>
      <c r="I7512" s="48" t="s">
        <v>11877</v>
      </c>
    </row>
    <row r="7513" spans="2:9" ht="15" customHeight="1" x14ac:dyDescent="0.25">
      <c r="B7513" s="55" t="s">
        <v>280</v>
      </c>
      <c r="C7513" s="46">
        <v>2501</v>
      </c>
      <c r="D7513" s="69" t="s">
        <v>29417</v>
      </c>
      <c r="E7513" s="51"/>
      <c r="F7513" s="114" t="str">
        <f>IF(INDEX(I.Facility.P2aIDNumber,2501)="","",INDEX(I.Facility.P2aIDNumber,2501))</f>
        <v/>
      </c>
      <c r="G7513" s="51"/>
      <c r="H7513" s="46" t="str">
        <f>IF(AND(I.Developer.P2a=TRUE,I.Facility.P2aFacilityCount&gt;=2501,F7513=""),"Incomplete","Complete")</f>
        <v>Complete</v>
      </c>
      <c r="I7513" s="48" t="s">
        <v>11878</v>
      </c>
    </row>
    <row r="7514" spans="2:9" ht="15" customHeight="1" x14ac:dyDescent="0.25">
      <c r="B7514" s="55" t="s">
        <v>280</v>
      </c>
      <c r="C7514" s="46">
        <v>2502</v>
      </c>
      <c r="D7514" s="69" t="s">
        <v>29417</v>
      </c>
      <c r="E7514" s="51"/>
      <c r="F7514" s="114" t="str">
        <f>IF(INDEX(I.Facility.P2aIDNumber,2502)="","",INDEX(I.Facility.P2aIDNumber,2502))</f>
        <v/>
      </c>
      <c r="G7514" s="51"/>
      <c r="H7514" s="46" t="str">
        <f>IF(AND(I.Developer.P2a=TRUE,I.Facility.P2aFacilityCount&gt;=2502,F7514=""),"Incomplete","Complete")</f>
        <v>Complete</v>
      </c>
      <c r="I7514" s="48" t="s">
        <v>11879</v>
      </c>
    </row>
    <row r="7515" spans="2:9" ht="15" customHeight="1" x14ac:dyDescent="0.25">
      <c r="B7515" s="55" t="s">
        <v>280</v>
      </c>
      <c r="C7515" s="46">
        <v>2503</v>
      </c>
      <c r="D7515" s="69" t="s">
        <v>29417</v>
      </c>
      <c r="E7515" s="51"/>
      <c r="F7515" s="114" t="str">
        <f>IF(INDEX(I.Facility.P2aIDNumber,2503)="","",INDEX(I.Facility.P2aIDNumber,2503))</f>
        <v/>
      </c>
      <c r="G7515" s="51"/>
      <c r="H7515" s="46" t="str">
        <f>IF(AND(I.Developer.P2a=TRUE,I.Facility.P2aFacilityCount&gt;=2503,F7515=""),"Incomplete","Complete")</f>
        <v>Complete</v>
      </c>
      <c r="I7515" s="48" t="s">
        <v>11880</v>
      </c>
    </row>
    <row r="7516" spans="2:9" ht="15" customHeight="1" x14ac:dyDescent="0.25">
      <c r="B7516" s="55" t="s">
        <v>280</v>
      </c>
      <c r="C7516" s="46">
        <v>2504</v>
      </c>
      <c r="D7516" s="69" t="s">
        <v>29417</v>
      </c>
      <c r="E7516" s="51"/>
      <c r="F7516" s="114" t="str">
        <f>IF(INDEX(I.Facility.P2aIDNumber,2504)="","",INDEX(I.Facility.P2aIDNumber,2504))</f>
        <v/>
      </c>
      <c r="G7516" s="51"/>
      <c r="H7516" s="46" t="str">
        <f>IF(AND(I.Developer.P2a=TRUE,I.Facility.P2aFacilityCount&gt;=2504,F7516=""),"Incomplete","Complete")</f>
        <v>Complete</v>
      </c>
      <c r="I7516" s="48" t="s">
        <v>11881</v>
      </c>
    </row>
    <row r="7517" spans="2:9" ht="15" customHeight="1" x14ac:dyDescent="0.25">
      <c r="B7517" s="55" t="s">
        <v>280</v>
      </c>
      <c r="C7517" s="46">
        <v>2505</v>
      </c>
      <c r="D7517" s="69" t="s">
        <v>29417</v>
      </c>
      <c r="E7517" s="51"/>
      <c r="F7517" s="114" t="str">
        <f>IF(INDEX(I.Facility.P2aIDNumber,2505)="","",INDEX(I.Facility.P2aIDNumber,2505))</f>
        <v/>
      </c>
      <c r="G7517" s="51"/>
      <c r="H7517" s="46" t="str">
        <f>IF(AND(I.Developer.P2a=TRUE,I.Facility.P2aFacilityCount&gt;=2505,F7517=""),"Incomplete","Complete")</f>
        <v>Complete</v>
      </c>
      <c r="I7517" s="48" t="s">
        <v>11882</v>
      </c>
    </row>
    <row r="7518" spans="2:9" ht="15" customHeight="1" x14ac:dyDescent="0.25">
      <c r="B7518" s="55" t="s">
        <v>280</v>
      </c>
      <c r="C7518" s="46">
        <v>2506</v>
      </c>
      <c r="D7518" s="69" t="s">
        <v>29417</v>
      </c>
      <c r="E7518" s="51"/>
      <c r="F7518" s="114" t="str">
        <f>IF(INDEX(I.Facility.P2aIDNumber,2506)="","",INDEX(I.Facility.P2aIDNumber,2506))</f>
        <v/>
      </c>
      <c r="G7518" s="51"/>
      <c r="H7518" s="46" t="str">
        <f>IF(AND(I.Developer.P2a=TRUE,I.Facility.P2aFacilityCount&gt;=2506,F7518=""),"Incomplete","Complete")</f>
        <v>Complete</v>
      </c>
      <c r="I7518" s="48" t="s">
        <v>11883</v>
      </c>
    </row>
    <row r="7519" spans="2:9" ht="15" customHeight="1" x14ac:dyDescent="0.25">
      <c r="B7519" s="55" t="s">
        <v>280</v>
      </c>
      <c r="C7519" s="46">
        <v>2507</v>
      </c>
      <c r="D7519" s="69" t="s">
        <v>29417</v>
      </c>
      <c r="E7519" s="51"/>
      <c r="F7519" s="114" t="str">
        <f>IF(INDEX(I.Facility.P2aIDNumber,2507)="","",INDEX(I.Facility.P2aIDNumber,2507))</f>
        <v/>
      </c>
      <c r="G7519" s="51"/>
      <c r="H7519" s="46" t="str">
        <f>IF(AND(I.Developer.P2a=TRUE,I.Facility.P2aFacilityCount&gt;=2507,F7519=""),"Incomplete","Complete")</f>
        <v>Complete</v>
      </c>
      <c r="I7519" s="48" t="s">
        <v>11884</v>
      </c>
    </row>
    <row r="7520" spans="2:9" ht="15" customHeight="1" x14ac:dyDescent="0.25">
      <c r="B7520" s="55" t="s">
        <v>280</v>
      </c>
      <c r="C7520" s="46">
        <v>2508</v>
      </c>
      <c r="D7520" s="69" t="s">
        <v>29417</v>
      </c>
      <c r="E7520" s="51"/>
      <c r="F7520" s="114" t="str">
        <f>IF(INDEX(I.Facility.P2aIDNumber,2508)="","",INDEX(I.Facility.P2aIDNumber,2508))</f>
        <v/>
      </c>
      <c r="G7520" s="51"/>
      <c r="H7520" s="46" t="str">
        <f>IF(AND(I.Developer.P2a=TRUE,I.Facility.P2aFacilityCount&gt;=2508,F7520=""),"Incomplete","Complete")</f>
        <v>Complete</v>
      </c>
      <c r="I7520" s="48" t="s">
        <v>11885</v>
      </c>
    </row>
    <row r="7521" spans="2:9" ht="15" customHeight="1" x14ac:dyDescent="0.25">
      <c r="B7521" s="55" t="s">
        <v>280</v>
      </c>
      <c r="C7521" s="46">
        <v>2509</v>
      </c>
      <c r="D7521" s="69" t="s">
        <v>29417</v>
      </c>
      <c r="E7521" s="51"/>
      <c r="F7521" s="114" t="str">
        <f>IF(INDEX(I.Facility.P2aIDNumber,2509)="","",INDEX(I.Facility.P2aIDNumber,2509))</f>
        <v/>
      </c>
      <c r="G7521" s="51"/>
      <c r="H7521" s="46" t="str">
        <f>IF(AND(I.Developer.P2a=TRUE,I.Facility.P2aFacilityCount&gt;=2509,F7521=""),"Incomplete","Complete")</f>
        <v>Complete</v>
      </c>
      <c r="I7521" s="48" t="s">
        <v>11886</v>
      </c>
    </row>
    <row r="7522" spans="2:9" ht="15" customHeight="1" x14ac:dyDescent="0.25">
      <c r="B7522" s="55" t="s">
        <v>280</v>
      </c>
      <c r="C7522" s="46">
        <v>2510</v>
      </c>
      <c r="D7522" s="69" t="s">
        <v>29417</v>
      </c>
      <c r="E7522" s="51"/>
      <c r="F7522" s="114" t="str">
        <f>IF(INDEX(I.Facility.P2aIDNumber,2510)="","",INDEX(I.Facility.P2aIDNumber,2510))</f>
        <v/>
      </c>
      <c r="G7522" s="51"/>
      <c r="H7522" s="46" t="str">
        <f>IF(AND(I.Developer.P2a=TRUE,I.Facility.P2aFacilityCount&gt;=2510,F7522=""),"Incomplete","Complete")</f>
        <v>Complete</v>
      </c>
      <c r="I7522" s="48" t="s">
        <v>11887</v>
      </c>
    </row>
    <row r="7523" spans="2:9" ht="15" customHeight="1" x14ac:dyDescent="0.25">
      <c r="B7523" s="55" t="s">
        <v>280</v>
      </c>
      <c r="C7523" s="46">
        <v>2511</v>
      </c>
      <c r="D7523" s="69" t="s">
        <v>29417</v>
      </c>
      <c r="E7523" s="51"/>
      <c r="F7523" s="114" t="str">
        <f>IF(INDEX(I.Facility.P2aIDNumber,2511)="","",INDEX(I.Facility.P2aIDNumber,2511))</f>
        <v/>
      </c>
      <c r="G7523" s="51"/>
      <c r="H7523" s="46" t="str">
        <f>IF(AND(I.Developer.P2a=TRUE,I.Facility.P2aFacilityCount&gt;=2511,F7523=""),"Incomplete","Complete")</f>
        <v>Complete</v>
      </c>
      <c r="I7523" s="48" t="s">
        <v>11888</v>
      </c>
    </row>
    <row r="7524" spans="2:9" ht="15" customHeight="1" x14ac:dyDescent="0.25">
      <c r="B7524" s="55" t="s">
        <v>280</v>
      </c>
      <c r="C7524" s="46">
        <v>2512</v>
      </c>
      <c r="D7524" s="69" t="s">
        <v>29417</v>
      </c>
      <c r="E7524" s="51"/>
      <c r="F7524" s="114" t="str">
        <f>IF(INDEX(I.Facility.P2aIDNumber,2512)="","",INDEX(I.Facility.P2aIDNumber,2512))</f>
        <v/>
      </c>
      <c r="G7524" s="51"/>
      <c r="H7524" s="46" t="str">
        <f>IF(AND(I.Developer.P2a=TRUE,I.Facility.P2aFacilityCount&gt;=2512,F7524=""),"Incomplete","Complete")</f>
        <v>Complete</v>
      </c>
      <c r="I7524" s="48" t="s">
        <v>11889</v>
      </c>
    </row>
    <row r="7525" spans="2:9" ht="15" customHeight="1" x14ac:dyDescent="0.25">
      <c r="B7525" s="55" t="s">
        <v>280</v>
      </c>
      <c r="C7525" s="46">
        <v>2513</v>
      </c>
      <c r="D7525" s="69" t="s">
        <v>29417</v>
      </c>
      <c r="E7525" s="51"/>
      <c r="F7525" s="114" t="str">
        <f>IF(INDEX(I.Facility.P2aIDNumber,2513)="","",INDEX(I.Facility.P2aIDNumber,2513))</f>
        <v/>
      </c>
      <c r="G7525" s="51"/>
      <c r="H7525" s="46" t="str">
        <f>IF(AND(I.Developer.P2a=TRUE,I.Facility.P2aFacilityCount&gt;=2513,F7525=""),"Incomplete","Complete")</f>
        <v>Complete</v>
      </c>
      <c r="I7525" s="48" t="s">
        <v>11890</v>
      </c>
    </row>
    <row r="7526" spans="2:9" ht="15" customHeight="1" x14ac:dyDescent="0.25">
      <c r="B7526" s="55" t="s">
        <v>280</v>
      </c>
      <c r="C7526" s="46">
        <v>2514</v>
      </c>
      <c r="D7526" s="69" t="s">
        <v>29417</v>
      </c>
      <c r="E7526" s="51"/>
      <c r="F7526" s="114" t="str">
        <f>IF(INDEX(I.Facility.P2aIDNumber,2514)="","",INDEX(I.Facility.P2aIDNumber,2514))</f>
        <v/>
      </c>
      <c r="G7526" s="51"/>
      <c r="H7526" s="46" t="str">
        <f>IF(AND(I.Developer.P2a=TRUE,I.Facility.P2aFacilityCount&gt;=2514,F7526=""),"Incomplete","Complete")</f>
        <v>Complete</v>
      </c>
      <c r="I7526" s="48" t="s">
        <v>11891</v>
      </c>
    </row>
    <row r="7527" spans="2:9" ht="15" customHeight="1" x14ac:dyDescent="0.25">
      <c r="B7527" s="55" t="s">
        <v>280</v>
      </c>
      <c r="C7527" s="46">
        <v>2515</v>
      </c>
      <c r="D7527" s="69" t="s">
        <v>29417</v>
      </c>
      <c r="E7527" s="51"/>
      <c r="F7527" s="114" t="str">
        <f>IF(INDEX(I.Facility.P2aIDNumber,2515)="","",INDEX(I.Facility.P2aIDNumber,2515))</f>
        <v/>
      </c>
      <c r="G7527" s="51"/>
      <c r="H7527" s="46" t="str">
        <f>IF(AND(I.Developer.P2a=TRUE,I.Facility.P2aFacilityCount&gt;=2515,F7527=""),"Incomplete","Complete")</f>
        <v>Complete</v>
      </c>
      <c r="I7527" s="48" t="s">
        <v>11892</v>
      </c>
    </row>
    <row r="7528" spans="2:9" ht="15" customHeight="1" x14ac:dyDescent="0.25">
      <c r="B7528" s="55" t="s">
        <v>280</v>
      </c>
      <c r="C7528" s="46">
        <v>2516</v>
      </c>
      <c r="D7528" s="69" t="s">
        <v>29417</v>
      </c>
      <c r="E7528" s="51"/>
      <c r="F7528" s="114" t="str">
        <f>IF(INDEX(I.Facility.P2aIDNumber,2516)="","",INDEX(I.Facility.P2aIDNumber,2516))</f>
        <v/>
      </c>
      <c r="G7528" s="51"/>
      <c r="H7528" s="46" t="str">
        <f>IF(AND(I.Developer.P2a=TRUE,I.Facility.P2aFacilityCount&gt;=2516,F7528=""),"Incomplete","Complete")</f>
        <v>Complete</v>
      </c>
      <c r="I7528" s="48" t="s">
        <v>11893</v>
      </c>
    </row>
    <row r="7529" spans="2:9" ht="15" customHeight="1" x14ac:dyDescent="0.25">
      <c r="B7529" s="55" t="s">
        <v>280</v>
      </c>
      <c r="C7529" s="46">
        <v>2517</v>
      </c>
      <c r="D7529" s="69" t="s">
        <v>29417</v>
      </c>
      <c r="E7529" s="51"/>
      <c r="F7529" s="114" t="str">
        <f>IF(INDEX(I.Facility.P2aIDNumber,2517)="","",INDEX(I.Facility.P2aIDNumber,2517))</f>
        <v/>
      </c>
      <c r="G7529" s="51"/>
      <c r="H7529" s="46" t="str">
        <f>IF(AND(I.Developer.P2a=TRUE,I.Facility.P2aFacilityCount&gt;=2517,F7529=""),"Incomplete","Complete")</f>
        <v>Complete</v>
      </c>
      <c r="I7529" s="48" t="s">
        <v>11894</v>
      </c>
    </row>
    <row r="7530" spans="2:9" ht="15" customHeight="1" x14ac:dyDescent="0.25">
      <c r="B7530" s="55" t="s">
        <v>280</v>
      </c>
      <c r="C7530" s="46">
        <v>2518</v>
      </c>
      <c r="D7530" s="69" t="s">
        <v>29417</v>
      </c>
      <c r="E7530" s="51"/>
      <c r="F7530" s="114" t="str">
        <f>IF(INDEX(I.Facility.P2aIDNumber,2518)="","",INDEX(I.Facility.P2aIDNumber,2518))</f>
        <v/>
      </c>
      <c r="G7530" s="51"/>
      <c r="H7530" s="46" t="str">
        <f>IF(AND(I.Developer.P2a=TRUE,I.Facility.P2aFacilityCount&gt;=2518,F7530=""),"Incomplete","Complete")</f>
        <v>Complete</v>
      </c>
      <c r="I7530" s="48" t="s">
        <v>11895</v>
      </c>
    </row>
    <row r="7531" spans="2:9" ht="15" customHeight="1" x14ac:dyDescent="0.25">
      <c r="B7531" s="55" t="s">
        <v>280</v>
      </c>
      <c r="C7531" s="46">
        <v>2519</v>
      </c>
      <c r="D7531" s="69" t="s">
        <v>29417</v>
      </c>
      <c r="E7531" s="51"/>
      <c r="F7531" s="114" t="str">
        <f>IF(INDEX(I.Facility.P2aIDNumber,2519)="","",INDEX(I.Facility.P2aIDNumber,2519))</f>
        <v/>
      </c>
      <c r="G7531" s="51"/>
      <c r="H7531" s="46" t="str">
        <f>IF(AND(I.Developer.P2a=TRUE,I.Facility.P2aFacilityCount&gt;=2519,F7531=""),"Incomplete","Complete")</f>
        <v>Complete</v>
      </c>
      <c r="I7531" s="48" t="s">
        <v>11896</v>
      </c>
    </row>
    <row r="7532" spans="2:9" ht="15" customHeight="1" x14ac:dyDescent="0.25">
      <c r="B7532" s="55" t="s">
        <v>280</v>
      </c>
      <c r="C7532" s="46">
        <v>2520</v>
      </c>
      <c r="D7532" s="69" t="s">
        <v>29417</v>
      </c>
      <c r="E7532" s="51"/>
      <c r="F7532" s="114" t="str">
        <f>IF(INDEX(I.Facility.P2aIDNumber,2520)="","",INDEX(I.Facility.P2aIDNumber,2520))</f>
        <v/>
      </c>
      <c r="G7532" s="51"/>
      <c r="H7532" s="46" t="str">
        <f>IF(AND(I.Developer.P2a=TRUE,I.Facility.P2aFacilityCount&gt;=2520,F7532=""),"Incomplete","Complete")</f>
        <v>Complete</v>
      </c>
      <c r="I7532" s="48" t="s">
        <v>11897</v>
      </c>
    </row>
    <row r="7533" spans="2:9" ht="15" customHeight="1" x14ac:dyDescent="0.25">
      <c r="B7533" s="55" t="s">
        <v>280</v>
      </c>
      <c r="C7533" s="46">
        <v>2521</v>
      </c>
      <c r="D7533" s="69" t="s">
        <v>29417</v>
      </c>
      <c r="E7533" s="51"/>
      <c r="F7533" s="114" t="str">
        <f>IF(INDEX(I.Facility.P2aIDNumber,2521)="","",INDEX(I.Facility.P2aIDNumber,2521))</f>
        <v/>
      </c>
      <c r="G7533" s="51"/>
      <c r="H7533" s="46" t="str">
        <f>IF(AND(I.Developer.P2a=TRUE,I.Facility.P2aFacilityCount&gt;=2521,F7533=""),"Incomplete","Complete")</f>
        <v>Complete</v>
      </c>
      <c r="I7533" s="48" t="s">
        <v>11898</v>
      </c>
    </row>
    <row r="7534" spans="2:9" ht="15" customHeight="1" x14ac:dyDescent="0.25">
      <c r="B7534" s="55" t="s">
        <v>280</v>
      </c>
      <c r="C7534" s="46">
        <v>2522</v>
      </c>
      <c r="D7534" s="69" t="s">
        <v>29417</v>
      </c>
      <c r="E7534" s="51"/>
      <c r="F7534" s="114" t="str">
        <f>IF(INDEX(I.Facility.P2aIDNumber,2522)="","",INDEX(I.Facility.P2aIDNumber,2522))</f>
        <v/>
      </c>
      <c r="G7534" s="51"/>
      <c r="H7534" s="46" t="str">
        <f>IF(AND(I.Developer.P2a=TRUE,I.Facility.P2aFacilityCount&gt;=2522,F7534=""),"Incomplete","Complete")</f>
        <v>Complete</v>
      </c>
      <c r="I7534" s="48" t="s">
        <v>11899</v>
      </c>
    </row>
    <row r="7535" spans="2:9" ht="15" customHeight="1" x14ac:dyDescent="0.25">
      <c r="B7535" s="55" t="s">
        <v>280</v>
      </c>
      <c r="C7535" s="46">
        <v>2523</v>
      </c>
      <c r="D7535" s="69" t="s">
        <v>29417</v>
      </c>
      <c r="E7535" s="51"/>
      <c r="F7535" s="114" t="str">
        <f>IF(INDEX(I.Facility.P2aIDNumber,2523)="","",INDEX(I.Facility.P2aIDNumber,2523))</f>
        <v/>
      </c>
      <c r="G7535" s="51"/>
      <c r="H7535" s="46" t="str">
        <f>IF(AND(I.Developer.P2a=TRUE,I.Facility.P2aFacilityCount&gt;=2523,F7535=""),"Incomplete","Complete")</f>
        <v>Complete</v>
      </c>
      <c r="I7535" s="48" t="s">
        <v>11900</v>
      </c>
    </row>
    <row r="7536" spans="2:9" ht="15" customHeight="1" x14ac:dyDescent="0.25">
      <c r="B7536" s="55" t="s">
        <v>280</v>
      </c>
      <c r="C7536" s="46">
        <v>2524</v>
      </c>
      <c r="D7536" s="69" t="s">
        <v>29417</v>
      </c>
      <c r="E7536" s="51"/>
      <c r="F7536" s="114" t="str">
        <f>IF(INDEX(I.Facility.P2aIDNumber,2524)="","",INDEX(I.Facility.P2aIDNumber,2524))</f>
        <v/>
      </c>
      <c r="G7536" s="51"/>
      <c r="H7536" s="46" t="str">
        <f>IF(AND(I.Developer.P2a=TRUE,I.Facility.P2aFacilityCount&gt;=2524,F7536=""),"Incomplete","Complete")</f>
        <v>Complete</v>
      </c>
      <c r="I7536" s="48" t="s">
        <v>11901</v>
      </c>
    </row>
    <row r="7537" spans="2:9" ht="15" customHeight="1" x14ac:dyDescent="0.25">
      <c r="B7537" s="55" t="s">
        <v>280</v>
      </c>
      <c r="C7537" s="46">
        <v>2525</v>
      </c>
      <c r="D7537" s="69" t="s">
        <v>29417</v>
      </c>
      <c r="E7537" s="51"/>
      <c r="F7537" s="114" t="str">
        <f>IF(INDEX(I.Facility.P2aIDNumber,2525)="","",INDEX(I.Facility.P2aIDNumber,2525))</f>
        <v/>
      </c>
      <c r="G7537" s="51"/>
      <c r="H7537" s="46" t="str">
        <f>IF(AND(I.Developer.P2a=TRUE,I.Facility.P2aFacilityCount&gt;=2525,F7537=""),"Incomplete","Complete")</f>
        <v>Complete</v>
      </c>
      <c r="I7537" s="48" t="s">
        <v>11902</v>
      </c>
    </row>
    <row r="7538" spans="2:9" ht="15" customHeight="1" x14ac:dyDescent="0.25">
      <c r="B7538" s="55" t="s">
        <v>280</v>
      </c>
      <c r="C7538" s="46">
        <v>2526</v>
      </c>
      <c r="D7538" s="69" t="s">
        <v>29417</v>
      </c>
      <c r="E7538" s="51"/>
      <c r="F7538" s="114" t="str">
        <f>IF(INDEX(I.Facility.P2aIDNumber,2526)="","",INDEX(I.Facility.P2aIDNumber,2526))</f>
        <v/>
      </c>
      <c r="G7538" s="51"/>
      <c r="H7538" s="46" t="str">
        <f>IF(AND(I.Developer.P2a=TRUE,I.Facility.P2aFacilityCount&gt;=2526,F7538=""),"Incomplete","Complete")</f>
        <v>Complete</v>
      </c>
      <c r="I7538" s="48" t="s">
        <v>11903</v>
      </c>
    </row>
    <row r="7539" spans="2:9" ht="15" customHeight="1" x14ac:dyDescent="0.25">
      <c r="B7539" s="55" t="s">
        <v>280</v>
      </c>
      <c r="C7539" s="46">
        <v>2527</v>
      </c>
      <c r="D7539" s="69" t="s">
        <v>29417</v>
      </c>
      <c r="E7539" s="51"/>
      <c r="F7539" s="114" t="str">
        <f>IF(INDEX(I.Facility.P2aIDNumber,2527)="","",INDEX(I.Facility.P2aIDNumber,2527))</f>
        <v/>
      </c>
      <c r="G7539" s="51"/>
      <c r="H7539" s="46" t="str">
        <f>IF(AND(I.Developer.P2a=TRUE,I.Facility.P2aFacilityCount&gt;=2527,F7539=""),"Incomplete","Complete")</f>
        <v>Complete</v>
      </c>
      <c r="I7539" s="48" t="s">
        <v>11904</v>
      </c>
    </row>
    <row r="7540" spans="2:9" ht="15" customHeight="1" x14ac:dyDescent="0.25">
      <c r="B7540" s="55" t="s">
        <v>280</v>
      </c>
      <c r="C7540" s="46">
        <v>2528</v>
      </c>
      <c r="D7540" s="69" t="s">
        <v>29417</v>
      </c>
      <c r="E7540" s="51"/>
      <c r="F7540" s="114" t="str">
        <f>IF(INDEX(I.Facility.P2aIDNumber,2528)="","",INDEX(I.Facility.P2aIDNumber,2528))</f>
        <v/>
      </c>
      <c r="G7540" s="51"/>
      <c r="H7540" s="46" t="str">
        <f>IF(AND(I.Developer.P2a=TRUE,I.Facility.P2aFacilityCount&gt;=2528,F7540=""),"Incomplete","Complete")</f>
        <v>Complete</v>
      </c>
      <c r="I7540" s="48" t="s">
        <v>11905</v>
      </c>
    </row>
    <row r="7541" spans="2:9" ht="15" customHeight="1" x14ac:dyDescent="0.25">
      <c r="B7541" s="55" t="s">
        <v>280</v>
      </c>
      <c r="C7541" s="46">
        <v>2529</v>
      </c>
      <c r="D7541" s="69" t="s">
        <v>29417</v>
      </c>
      <c r="E7541" s="51"/>
      <c r="F7541" s="114" t="str">
        <f>IF(INDEX(I.Facility.P2aIDNumber,2529)="","",INDEX(I.Facility.P2aIDNumber,2529))</f>
        <v/>
      </c>
      <c r="G7541" s="51"/>
      <c r="H7541" s="46" t="str">
        <f>IF(AND(I.Developer.P2a=TRUE,I.Facility.P2aFacilityCount&gt;=2529,F7541=""),"Incomplete","Complete")</f>
        <v>Complete</v>
      </c>
      <c r="I7541" s="48" t="s">
        <v>11906</v>
      </c>
    </row>
    <row r="7542" spans="2:9" ht="15" customHeight="1" x14ac:dyDescent="0.25">
      <c r="B7542" s="55" t="s">
        <v>280</v>
      </c>
      <c r="C7542" s="46">
        <v>2530</v>
      </c>
      <c r="D7542" s="69" t="s">
        <v>29417</v>
      </c>
      <c r="E7542" s="51"/>
      <c r="F7542" s="114" t="str">
        <f>IF(INDEX(I.Facility.P2aIDNumber,2530)="","",INDEX(I.Facility.P2aIDNumber,2530))</f>
        <v/>
      </c>
      <c r="G7542" s="51"/>
      <c r="H7542" s="46" t="str">
        <f>IF(AND(I.Developer.P2a=TRUE,I.Facility.P2aFacilityCount&gt;=2530,F7542=""),"Incomplete","Complete")</f>
        <v>Complete</v>
      </c>
      <c r="I7542" s="48" t="s">
        <v>11907</v>
      </c>
    </row>
    <row r="7543" spans="2:9" ht="15" customHeight="1" x14ac:dyDescent="0.25">
      <c r="B7543" s="55" t="s">
        <v>280</v>
      </c>
      <c r="C7543" s="46">
        <v>2531</v>
      </c>
      <c r="D7543" s="69" t="s">
        <v>29417</v>
      </c>
      <c r="E7543" s="51"/>
      <c r="F7543" s="114" t="str">
        <f>IF(INDEX(I.Facility.P2aIDNumber,2531)="","",INDEX(I.Facility.P2aIDNumber,2531))</f>
        <v/>
      </c>
      <c r="G7543" s="51"/>
      <c r="H7543" s="46" t="str">
        <f>IF(AND(I.Developer.P2a=TRUE,I.Facility.P2aFacilityCount&gt;=2531,F7543=""),"Incomplete","Complete")</f>
        <v>Complete</v>
      </c>
      <c r="I7543" s="48" t="s">
        <v>11908</v>
      </c>
    </row>
    <row r="7544" spans="2:9" ht="15" customHeight="1" x14ac:dyDescent="0.25">
      <c r="B7544" s="55" t="s">
        <v>280</v>
      </c>
      <c r="C7544" s="46">
        <v>2532</v>
      </c>
      <c r="D7544" s="69" t="s">
        <v>29417</v>
      </c>
      <c r="E7544" s="51"/>
      <c r="F7544" s="114" t="str">
        <f>IF(INDEX(I.Facility.P2aIDNumber,2532)="","",INDEX(I.Facility.P2aIDNumber,2532))</f>
        <v/>
      </c>
      <c r="G7544" s="51"/>
      <c r="H7544" s="46" t="str">
        <f>IF(AND(I.Developer.P2a=TRUE,I.Facility.P2aFacilityCount&gt;=2532,F7544=""),"Incomplete","Complete")</f>
        <v>Complete</v>
      </c>
      <c r="I7544" s="48" t="s">
        <v>11909</v>
      </c>
    </row>
    <row r="7545" spans="2:9" ht="15" customHeight="1" x14ac:dyDescent="0.25">
      <c r="B7545" s="55" t="s">
        <v>280</v>
      </c>
      <c r="C7545" s="46">
        <v>2533</v>
      </c>
      <c r="D7545" s="69" t="s">
        <v>29417</v>
      </c>
      <c r="E7545" s="51"/>
      <c r="F7545" s="114" t="str">
        <f>IF(INDEX(I.Facility.P2aIDNumber,2533)="","",INDEX(I.Facility.P2aIDNumber,2533))</f>
        <v/>
      </c>
      <c r="G7545" s="51"/>
      <c r="H7545" s="46" t="str">
        <f>IF(AND(I.Developer.P2a=TRUE,I.Facility.P2aFacilityCount&gt;=2533,F7545=""),"Incomplete","Complete")</f>
        <v>Complete</v>
      </c>
      <c r="I7545" s="48" t="s">
        <v>11910</v>
      </c>
    </row>
    <row r="7546" spans="2:9" ht="15" customHeight="1" x14ac:dyDescent="0.25">
      <c r="B7546" s="55" t="s">
        <v>280</v>
      </c>
      <c r="C7546" s="46">
        <v>2534</v>
      </c>
      <c r="D7546" s="69" t="s">
        <v>29417</v>
      </c>
      <c r="E7546" s="51"/>
      <c r="F7546" s="114" t="str">
        <f>IF(INDEX(I.Facility.P2aIDNumber,2534)="","",INDEX(I.Facility.P2aIDNumber,2534))</f>
        <v/>
      </c>
      <c r="G7546" s="51"/>
      <c r="H7546" s="46" t="str">
        <f>IF(AND(I.Developer.P2a=TRUE,I.Facility.P2aFacilityCount&gt;=2534,F7546=""),"Incomplete","Complete")</f>
        <v>Complete</v>
      </c>
      <c r="I7546" s="48" t="s">
        <v>11911</v>
      </c>
    </row>
    <row r="7547" spans="2:9" ht="15" customHeight="1" x14ac:dyDescent="0.25">
      <c r="B7547" s="55" t="s">
        <v>280</v>
      </c>
      <c r="C7547" s="46">
        <v>2535</v>
      </c>
      <c r="D7547" s="69" t="s">
        <v>29417</v>
      </c>
      <c r="E7547" s="51"/>
      <c r="F7547" s="114" t="str">
        <f>IF(INDEX(I.Facility.P2aIDNumber,2535)="","",INDEX(I.Facility.P2aIDNumber,2535))</f>
        <v/>
      </c>
      <c r="G7547" s="51"/>
      <c r="H7547" s="46" t="str">
        <f>IF(AND(I.Developer.P2a=TRUE,I.Facility.P2aFacilityCount&gt;=2535,F7547=""),"Incomplete","Complete")</f>
        <v>Complete</v>
      </c>
      <c r="I7547" s="48" t="s">
        <v>11912</v>
      </c>
    </row>
    <row r="7548" spans="2:9" ht="15" customHeight="1" x14ac:dyDescent="0.25">
      <c r="B7548" s="55" t="s">
        <v>280</v>
      </c>
      <c r="C7548" s="46">
        <v>2536</v>
      </c>
      <c r="D7548" s="69" t="s">
        <v>29417</v>
      </c>
      <c r="E7548" s="51"/>
      <c r="F7548" s="114" t="str">
        <f>IF(INDEX(I.Facility.P2aIDNumber,2536)="","",INDEX(I.Facility.P2aIDNumber,2536))</f>
        <v/>
      </c>
      <c r="G7548" s="51"/>
      <c r="H7548" s="46" t="str">
        <f>IF(AND(I.Developer.P2a=TRUE,I.Facility.P2aFacilityCount&gt;=2536,F7548=""),"Incomplete","Complete")</f>
        <v>Complete</v>
      </c>
      <c r="I7548" s="48" t="s">
        <v>11913</v>
      </c>
    </row>
    <row r="7549" spans="2:9" ht="15" customHeight="1" x14ac:dyDescent="0.25">
      <c r="B7549" s="55" t="s">
        <v>280</v>
      </c>
      <c r="C7549" s="46">
        <v>2537</v>
      </c>
      <c r="D7549" s="69" t="s">
        <v>29417</v>
      </c>
      <c r="E7549" s="51"/>
      <c r="F7549" s="114" t="str">
        <f>IF(INDEX(I.Facility.P2aIDNumber,2537)="","",INDEX(I.Facility.P2aIDNumber,2537))</f>
        <v/>
      </c>
      <c r="G7549" s="51"/>
      <c r="H7549" s="46" t="str">
        <f>IF(AND(I.Developer.P2a=TRUE,I.Facility.P2aFacilityCount&gt;=2537,F7549=""),"Incomplete","Complete")</f>
        <v>Complete</v>
      </c>
      <c r="I7549" s="48" t="s">
        <v>11914</v>
      </c>
    </row>
    <row r="7550" spans="2:9" ht="15" customHeight="1" x14ac:dyDescent="0.25">
      <c r="B7550" s="55" t="s">
        <v>280</v>
      </c>
      <c r="C7550" s="46">
        <v>2538</v>
      </c>
      <c r="D7550" s="69" t="s">
        <v>29417</v>
      </c>
      <c r="E7550" s="51"/>
      <c r="F7550" s="114" t="str">
        <f>IF(INDEX(I.Facility.P2aIDNumber,2538)="","",INDEX(I.Facility.P2aIDNumber,2538))</f>
        <v/>
      </c>
      <c r="G7550" s="51"/>
      <c r="H7550" s="46" t="str">
        <f>IF(AND(I.Developer.P2a=TRUE,I.Facility.P2aFacilityCount&gt;=2538,F7550=""),"Incomplete","Complete")</f>
        <v>Complete</v>
      </c>
      <c r="I7550" s="48" t="s">
        <v>11915</v>
      </c>
    </row>
    <row r="7551" spans="2:9" ht="15" customHeight="1" x14ac:dyDescent="0.25">
      <c r="B7551" s="55" t="s">
        <v>280</v>
      </c>
      <c r="C7551" s="46">
        <v>2539</v>
      </c>
      <c r="D7551" s="69" t="s">
        <v>29417</v>
      </c>
      <c r="E7551" s="51"/>
      <c r="F7551" s="114" t="str">
        <f>IF(INDEX(I.Facility.P2aIDNumber,2539)="","",INDEX(I.Facility.P2aIDNumber,2539))</f>
        <v/>
      </c>
      <c r="G7551" s="51"/>
      <c r="H7551" s="46" t="str">
        <f>IF(AND(I.Developer.P2a=TRUE,I.Facility.P2aFacilityCount&gt;=2539,F7551=""),"Incomplete","Complete")</f>
        <v>Complete</v>
      </c>
      <c r="I7551" s="48" t="s">
        <v>11916</v>
      </c>
    </row>
    <row r="7552" spans="2:9" ht="15" customHeight="1" x14ac:dyDescent="0.25">
      <c r="B7552" s="55" t="s">
        <v>280</v>
      </c>
      <c r="C7552" s="46">
        <v>2540</v>
      </c>
      <c r="D7552" s="69" t="s">
        <v>29417</v>
      </c>
      <c r="E7552" s="51"/>
      <c r="F7552" s="114" t="str">
        <f>IF(INDEX(I.Facility.P2aIDNumber,2540)="","",INDEX(I.Facility.P2aIDNumber,2540))</f>
        <v/>
      </c>
      <c r="G7552" s="51"/>
      <c r="H7552" s="46" t="str">
        <f>IF(AND(I.Developer.P2a=TRUE,I.Facility.P2aFacilityCount&gt;=2540,F7552=""),"Incomplete","Complete")</f>
        <v>Complete</v>
      </c>
      <c r="I7552" s="48" t="s">
        <v>11917</v>
      </c>
    </row>
    <row r="7553" spans="2:9" ht="15" customHeight="1" x14ac:dyDescent="0.25">
      <c r="B7553" s="55" t="s">
        <v>280</v>
      </c>
      <c r="C7553" s="46">
        <v>2541</v>
      </c>
      <c r="D7553" s="69" t="s">
        <v>29417</v>
      </c>
      <c r="E7553" s="51"/>
      <c r="F7553" s="114" t="str">
        <f>IF(INDEX(I.Facility.P2aIDNumber,2541)="","",INDEX(I.Facility.P2aIDNumber,2541))</f>
        <v/>
      </c>
      <c r="G7553" s="51"/>
      <c r="H7553" s="46" t="str">
        <f>IF(AND(I.Developer.P2a=TRUE,I.Facility.P2aFacilityCount&gt;=2541,F7553=""),"Incomplete","Complete")</f>
        <v>Complete</v>
      </c>
      <c r="I7553" s="48" t="s">
        <v>11918</v>
      </c>
    </row>
    <row r="7554" spans="2:9" ht="15" customHeight="1" x14ac:dyDescent="0.25">
      <c r="B7554" s="55" t="s">
        <v>280</v>
      </c>
      <c r="C7554" s="46">
        <v>2542</v>
      </c>
      <c r="D7554" s="69" t="s">
        <v>29417</v>
      </c>
      <c r="E7554" s="51"/>
      <c r="F7554" s="114" t="str">
        <f>IF(INDEX(I.Facility.P2aIDNumber,2542)="","",INDEX(I.Facility.P2aIDNumber,2542))</f>
        <v/>
      </c>
      <c r="G7554" s="51"/>
      <c r="H7554" s="46" t="str">
        <f>IF(AND(I.Developer.P2a=TRUE,I.Facility.P2aFacilityCount&gt;=2542,F7554=""),"Incomplete","Complete")</f>
        <v>Complete</v>
      </c>
      <c r="I7554" s="48" t="s">
        <v>11919</v>
      </c>
    </row>
    <row r="7555" spans="2:9" ht="15" customHeight="1" x14ac:dyDescent="0.25">
      <c r="B7555" s="55" t="s">
        <v>280</v>
      </c>
      <c r="C7555" s="46">
        <v>2543</v>
      </c>
      <c r="D7555" s="69" t="s">
        <v>29417</v>
      </c>
      <c r="E7555" s="51"/>
      <c r="F7555" s="114" t="str">
        <f>IF(INDEX(I.Facility.P2aIDNumber,2543)="","",INDEX(I.Facility.P2aIDNumber,2543))</f>
        <v/>
      </c>
      <c r="G7555" s="51"/>
      <c r="H7555" s="46" t="str">
        <f>IF(AND(I.Developer.P2a=TRUE,I.Facility.P2aFacilityCount&gt;=2543,F7555=""),"Incomplete","Complete")</f>
        <v>Complete</v>
      </c>
      <c r="I7555" s="48" t="s">
        <v>11920</v>
      </c>
    </row>
    <row r="7556" spans="2:9" ht="15" customHeight="1" x14ac:dyDescent="0.25">
      <c r="B7556" s="55" t="s">
        <v>280</v>
      </c>
      <c r="C7556" s="46">
        <v>2544</v>
      </c>
      <c r="D7556" s="69" t="s">
        <v>29417</v>
      </c>
      <c r="E7556" s="51"/>
      <c r="F7556" s="114" t="str">
        <f>IF(INDEX(I.Facility.P2aIDNumber,2544)="","",INDEX(I.Facility.P2aIDNumber,2544))</f>
        <v/>
      </c>
      <c r="G7556" s="51"/>
      <c r="H7556" s="46" t="str">
        <f>IF(AND(I.Developer.P2a=TRUE,I.Facility.P2aFacilityCount&gt;=2544,F7556=""),"Incomplete","Complete")</f>
        <v>Complete</v>
      </c>
      <c r="I7556" s="48" t="s">
        <v>11921</v>
      </c>
    </row>
    <row r="7557" spans="2:9" ht="15" customHeight="1" x14ac:dyDescent="0.25">
      <c r="B7557" s="55" t="s">
        <v>280</v>
      </c>
      <c r="C7557" s="46">
        <v>2545</v>
      </c>
      <c r="D7557" s="69" t="s">
        <v>29417</v>
      </c>
      <c r="E7557" s="51"/>
      <c r="F7557" s="114" t="str">
        <f>IF(INDEX(I.Facility.P2aIDNumber,2545)="","",INDEX(I.Facility.P2aIDNumber,2545))</f>
        <v/>
      </c>
      <c r="G7557" s="51"/>
      <c r="H7557" s="46" t="str">
        <f>IF(AND(I.Developer.P2a=TRUE,I.Facility.P2aFacilityCount&gt;=2545,F7557=""),"Incomplete","Complete")</f>
        <v>Complete</v>
      </c>
      <c r="I7557" s="48" t="s">
        <v>11922</v>
      </c>
    </row>
    <row r="7558" spans="2:9" ht="15" customHeight="1" x14ac:dyDescent="0.25">
      <c r="B7558" s="55" t="s">
        <v>280</v>
      </c>
      <c r="C7558" s="46">
        <v>2546</v>
      </c>
      <c r="D7558" s="69" t="s">
        <v>29417</v>
      </c>
      <c r="E7558" s="51"/>
      <c r="F7558" s="114" t="str">
        <f>IF(INDEX(I.Facility.P2aIDNumber,2546)="","",INDEX(I.Facility.P2aIDNumber,2546))</f>
        <v/>
      </c>
      <c r="G7558" s="51"/>
      <c r="H7558" s="46" t="str">
        <f>IF(AND(I.Developer.P2a=TRUE,I.Facility.P2aFacilityCount&gt;=2546,F7558=""),"Incomplete","Complete")</f>
        <v>Complete</v>
      </c>
      <c r="I7558" s="48" t="s">
        <v>11923</v>
      </c>
    </row>
    <row r="7559" spans="2:9" ht="15" customHeight="1" x14ac:dyDescent="0.25">
      <c r="B7559" s="55" t="s">
        <v>280</v>
      </c>
      <c r="C7559" s="46">
        <v>2547</v>
      </c>
      <c r="D7559" s="69" t="s">
        <v>29417</v>
      </c>
      <c r="E7559" s="51"/>
      <c r="F7559" s="114" t="str">
        <f>IF(INDEX(I.Facility.P2aIDNumber,2547)="","",INDEX(I.Facility.P2aIDNumber,2547))</f>
        <v/>
      </c>
      <c r="G7559" s="51"/>
      <c r="H7559" s="46" t="str">
        <f>IF(AND(I.Developer.P2a=TRUE,I.Facility.P2aFacilityCount&gt;=2547,F7559=""),"Incomplete","Complete")</f>
        <v>Complete</v>
      </c>
      <c r="I7559" s="48" t="s">
        <v>11924</v>
      </c>
    </row>
    <row r="7560" spans="2:9" ht="15" customHeight="1" x14ac:dyDescent="0.25">
      <c r="B7560" s="55" t="s">
        <v>280</v>
      </c>
      <c r="C7560" s="46">
        <v>2548</v>
      </c>
      <c r="D7560" s="69" t="s">
        <v>29417</v>
      </c>
      <c r="E7560" s="51"/>
      <c r="F7560" s="114" t="str">
        <f>IF(INDEX(I.Facility.P2aIDNumber,2548)="","",INDEX(I.Facility.P2aIDNumber,2548))</f>
        <v/>
      </c>
      <c r="G7560" s="51"/>
      <c r="H7560" s="46" t="str">
        <f>IF(AND(I.Developer.P2a=TRUE,I.Facility.P2aFacilityCount&gt;=2548,F7560=""),"Incomplete","Complete")</f>
        <v>Complete</v>
      </c>
      <c r="I7560" s="48" t="s">
        <v>11925</v>
      </c>
    </row>
    <row r="7561" spans="2:9" ht="15" customHeight="1" x14ac:dyDescent="0.25">
      <c r="B7561" s="55" t="s">
        <v>280</v>
      </c>
      <c r="C7561" s="46">
        <v>2549</v>
      </c>
      <c r="D7561" s="69" t="s">
        <v>29417</v>
      </c>
      <c r="E7561" s="51"/>
      <c r="F7561" s="114" t="str">
        <f>IF(INDEX(I.Facility.P2aIDNumber,2549)="","",INDEX(I.Facility.P2aIDNumber,2549))</f>
        <v/>
      </c>
      <c r="G7561" s="51"/>
      <c r="H7561" s="46" t="str">
        <f>IF(AND(I.Developer.P2a=TRUE,I.Facility.P2aFacilityCount&gt;=2549,F7561=""),"Incomplete","Complete")</f>
        <v>Complete</v>
      </c>
      <c r="I7561" s="48" t="s">
        <v>11926</v>
      </c>
    </row>
    <row r="7562" spans="2:9" ht="15" customHeight="1" x14ac:dyDescent="0.25">
      <c r="B7562" s="55" t="s">
        <v>280</v>
      </c>
      <c r="C7562" s="46">
        <v>2550</v>
      </c>
      <c r="D7562" s="69" t="s">
        <v>29417</v>
      </c>
      <c r="E7562" s="51"/>
      <c r="F7562" s="114" t="str">
        <f>IF(INDEX(I.Facility.P2aIDNumber,2550)="","",INDEX(I.Facility.P2aIDNumber,2550))</f>
        <v/>
      </c>
      <c r="G7562" s="51"/>
      <c r="H7562" s="46" t="str">
        <f>IF(AND(I.Developer.P2a=TRUE,I.Facility.P2aFacilityCount&gt;=2550,F7562=""),"Incomplete","Complete")</f>
        <v>Complete</v>
      </c>
      <c r="I7562" s="48" t="s">
        <v>11927</v>
      </c>
    </row>
    <row r="7563" spans="2:9" ht="15" customHeight="1" x14ac:dyDescent="0.25">
      <c r="B7563" s="55" t="s">
        <v>280</v>
      </c>
      <c r="C7563" s="46">
        <v>2551</v>
      </c>
      <c r="D7563" s="69" t="s">
        <v>29417</v>
      </c>
      <c r="E7563" s="51"/>
      <c r="F7563" s="114" t="str">
        <f>IF(INDEX(I.Facility.P2aIDNumber,2551)="","",INDEX(I.Facility.P2aIDNumber,2551))</f>
        <v/>
      </c>
      <c r="G7563" s="51"/>
      <c r="H7563" s="46" t="str">
        <f>IF(AND(I.Developer.P2a=TRUE,I.Facility.P2aFacilityCount&gt;=2551,F7563=""),"Incomplete","Complete")</f>
        <v>Complete</v>
      </c>
      <c r="I7563" s="48" t="s">
        <v>11928</v>
      </c>
    </row>
    <row r="7564" spans="2:9" ht="15" customHeight="1" x14ac:dyDescent="0.25">
      <c r="B7564" s="55" t="s">
        <v>280</v>
      </c>
      <c r="C7564" s="46">
        <v>2552</v>
      </c>
      <c r="D7564" s="69" t="s">
        <v>29417</v>
      </c>
      <c r="E7564" s="51"/>
      <c r="F7564" s="114" t="str">
        <f>IF(INDEX(I.Facility.P2aIDNumber,2552)="","",INDEX(I.Facility.P2aIDNumber,2552))</f>
        <v/>
      </c>
      <c r="G7564" s="51"/>
      <c r="H7564" s="46" t="str">
        <f>IF(AND(I.Developer.P2a=TRUE,I.Facility.P2aFacilityCount&gt;=2552,F7564=""),"Incomplete","Complete")</f>
        <v>Complete</v>
      </c>
      <c r="I7564" s="48" t="s">
        <v>11929</v>
      </c>
    </row>
    <row r="7565" spans="2:9" ht="15" customHeight="1" x14ac:dyDescent="0.25">
      <c r="B7565" s="55" t="s">
        <v>280</v>
      </c>
      <c r="C7565" s="46">
        <v>2553</v>
      </c>
      <c r="D7565" s="69" t="s">
        <v>29417</v>
      </c>
      <c r="E7565" s="51"/>
      <c r="F7565" s="114" t="str">
        <f>IF(INDEX(I.Facility.P2aIDNumber,2553)="","",INDEX(I.Facility.P2aIDNumber,2553))</f>
        <v/>
      </c>
      <c r="G7565" s="51"/>
      <c r="H7565" s="46" t="str">
        <f>IF(AND(I.Developer.P2a=TRUE,I.Facility.P2aFacilityCount&gt;=2553,F7565=""),"Incomplete","Complete")</f>
        <v>Complete</v>
      </c>
      <c r="I7565" s="48" t="s">
        <v>11930</v>
      </c>
    </row>
    <row r="7566" spans="2:9" ht="15" customHeight="1" x14ac:dyDescent="0.25">
      <c r="B7566" s="55" t="s">
        <v>280</v>
      </c>
      <c r="C7566" s="46">
        <v>2554</v>
      </c>
      <c r="D7566" s="69" t="s">
        <v>29417</v>
      </c>
      <c r="E7566" s="51"/>
      <c r="F7566" s="114" t="str">
        <f>IF(INDEX(I.Facility.P2aIDNumber,2554)="","",INDEX(I.Facility.P2aIDNumber,2554))</f>
        <v/>
      </c>
      <c r="G7566" s="51"/>
      <c r="H7566" s="46" t="str">
        <f>IF(AND(I.Developer.P2a=TRUE,I.Facility.P2aFacilityCount&gt;=2554,F7566=""),"Incomplete","Complete")</f>
        <v>Complete</v>
      </c>
      <c r="I7566" s="48" t="s">
        <v>11931</v>
      </c>
    </row>
    <row r="7567" spans="2:9" ht="15" customHeight="1" x14ac:dyDescent="0.25">
      <c r="B7567" s="55" t="s">
        <v>280</v>
      </c>
      <c r="C7567" s="46">
        <v>2555</v>
      </c>
      <c r="D7567" s="69" t="s">
        <v>29417</v>
      </c>
      <c r="E7567" s="51"/>
      <c r="F7567" s="114" t="str">
        <f>IF(INDEX(I.Facility.P2aIDNumber,2555)="","",INDEX(I.Facility.P2aIDNumber,2555))</f>
        <v/>
      </c>
      <c r="G7567" s="51"/>
      <c r="H7567" s="46" t="str">
        <f>IF(AND(I.Developer.P2a=TRUE,I.Facility.P2aFacilityCount&gt;=2555,F7567=""),"Incomplete","Complete")</f>
        <v>Complete</v>
      </c>
      <c r="I7567" s="48" t="s">
        <v>11932</v>
      </c>
    </row>
    <row r="7568" spans="2:9" ht="15" customHeight="1" x14ac:dyDescent="0.25">
      <c r="B7568" s="55" t="s">
        <v>280</v>
      </c>
      <c r="C7568" s="46">
        <v>2556</v>
      </c>
      <c r="D7568" s="69" t="s">
        <v>29417</v>
      </c>
      <c r="E7568" s="51"/>
      <c r="F7568" s="114" t="str">
        <f>IF(INDEX(I.Facility.P2aIDNumber,2556)="","",INDEX(I.Facility.P2aIDNumber,2556))</f>
        <v/>
      </c>
      <c r="G7568" s="51"/>
      <c r="H7568" s="46" t="str">
        <f>IF(AND(I.Developer.P2a=TRUE,I.Facility.P2aFacilityCount&gt;=2556,F7568=""),"Incomplete","Complete")</f>
        <v>Complete</v>
      </c>
      <c r="I7568" s="48" t="s">
        <v>11933</v>
      </c>
    </row>
    <row r="7569" spans="2:9" ht="15" customHeight="1" x14ac:dyDescent="0.25">
      <c r="B7569" s="55" t="s">
        <v>280</v>
      </c>
      <c r="C7569" s="46">
        <v>2557</v>
      </c>
      <c r="D7569" s="69" t="s">
        <v>29417</v>
      </c>
      <c r="E7569" s="51"/>
      <c r="F7569" s="114" t="str">
        <f>IF(INDEX(I.Facility.P2aIDNumber,2557)="","",INDEX(I.Facility.P2aIDNumber,2557))</f>
        <v/>
      </c>
      <c r="G7569" s="51"/>
      <c r="H7569" s="46" t="str">
        <f>IF(AND(I.Developer.P2a=TRUE,I.Facility.P2aFacilityCount&gt;=2557,F7569=""),"Incomplete","Complete")</f>
        <v>Complete</v>
      </c>
      <c r="I7569" s="48" t="s">
        <v>11934</v>
      </c>
    </row>
    <row r="7570" spans="2:9" ht="15" customHeight="1" x14ac:dyDescent="0.25">
      <c r="B7570" s="55" t="s">
        <v>280</v>
      </c>
      <c r="C7570" s="46">
        <v>2558</v>
      </c>
      <c r="D7570" s="69" t="s">
        <v>29417</v>
      </c>
      <c r="E7570" s="51"/>
      <c r="F7570" s="114" t="str">
        <f>IF(INDEX(I.Facility.P2aIDNumber,2558)="","",INDEX(I.Facility.P2aIDNumber,2558))</f>
        <v/>
      </c>
      <c r="G7570" s="51"/>
      <c r="H7570" s="46" t="str">
        <f>IF(AND(I.Developer.P2a=TRUE,I.Facility.P2aFacilityCount&gt;=2558,F7570=""),"Incomplete","Complete")</f>
        <v>Complete</v>
      </c>
      <c r="I7570" s="48" t="s">
        <v>11935</v>
      </c>
    </row>
    <row r="7571" spans="2:9" ht="15" customHeight="1" x14ac:dyDescent="0.25">
      <c r="B7571" s="55" t="s">
        <v>280</v>
      </c>
      <c r="C7571" s="46">
        <v>2559</v>
      </c>
      <c r="D7571" s="69" t="s">
        <v>29417</v>
      </c>
      <c r="E7571" s="51"/>
      <c r="F7571" s="114" t="str">
        <f>IF(INDEX(I.Facility.P2aIDNumber,2559)="","",INDEX(I.Facility.P2aIDNumber,2559))</f>
        <v/>
      </c>
      <c r="G7571" s="51"/>
      <c r="H7571" s="46" t="str">
        <f>IF(AND(I.Developer.P2a=TRUE,I.Facility.P2aFacilityCount&gt;=2559,F7571=""),"Incomplete","Complete")</f>
        <v>Complete</v>
      </c>
      <c r="I7571" s="48" t="s">
        <v>11936</v>
      </c>
    </row>
    <row r="7572" spans="2:9" ht="15" customHeight="1" x14ac:dyDescent="0.25">
      <c r="B7572" s="55" t="s">
        <v>280</v>
      </c>
      <c r="C7572" s="46">
        <v>2560</v>
      </c>
      <c r="D7572" s="69" t="s">
        <v>29417</v>
      </c>
      <c r="E7572" s="51"/>
      <c r="F7572" s="114" t="str">
        <f>IF(INDEX(I.Facility.P2aIDNumber,2560)="","",INDEX(I.Facility.P2aIDNumber,2560))</f>
        <v/>
      </c>
      <c r="G7572" s="51"/>
      <c r="H7572" s="46" t="str">
        <f>IF(AND(I.Developer.P2a=TRUE,I.Facility.P2aFacilityCount&gt;=2560,F7572=""),"Incomplete","Complete")</f>
        <v>Complete</v>
      </c>
      <c r="I7572" s="48" t="s">
        <v>11937</v>
      </c>
    </row>
    <row r="7573" spans="2:9" ht="15" customHeight="1" x14ac:dyDescent="0.25">
      <c r="B7573" s="55" t="s">
        <v>280</v>
      </c>
      <c r="C7573" s="46">
        <v>2561</v>
      </c>
      <c r="D7573" s="69" t="s">
        <v>29417</v>
      </c>
      <c r="E7573" s="51"/>
      <c r="F7573" s="114" t="str">
        <f>IF(INDEX(I.Facility.P2aIDNumber,2561)="","",INDEX(I.Facility.P2aIDNumber,2561))</f>
        <v/>
      </c>
      <c r="G7573" s="51"/>
      <c r="H7573" s="46" t="str">
        <f>IF(AND(I.Developer.P2a=TRUE,I.Facility.P2aFacilityCount&gt;=2561,F7573=""),"Incomplete","Complete")</f>
        <v>Complete</v>
      </c>
      <c r="I7573" s="48" t="s">
        <v>11938</v>
      </c>
    </row>
    <row r="7574" spans="2:9" ht="15" customHeight="1" x14ac:dyDescent="0.25">
      <c r="B7574" s="55" t="s">
        <v>280</v>
      </c>
      <c r="C7574" s="46">
        <v>2562</v>
      </c>
      <c r="D7574" s="69" t="s">
        <v>29417</v>
      </c>
      <c r="E7574" s="51"/>
      <c r="F7574" s="114" t="str">
        <f>IF(INDEX(I.Facility.P2aIDNumber,2562)="","",INDEX(I.Facility.P2aIDNumber,2562))</f>
        <v/>
      </c>
      <c r="G7574" s="51"/>
      <c r="H7574" s="46" t="str">
        <f>IF(AND(I.Developer.P2a=TRUE,I.Facility.P2aFacilityCount&gt;=2562,F7574=""),"Incomplete","Complete")</f>
        <v>Complete</v>
      </c>
      <c r="I7574" s="48" t="s">
        <v>11939</v>
      </c>
    </row>
    <row r="7575" spans="2:9" ht="15" customHeight="1" x14ac:dyDescent="0.25">
      <c r="B7575" s="55" t="s">
        <v>280</v>
      </c>
      <c r="C7575" s="46">
        <v>2563</v>
      </c>
      <c r="D7575" s="69" t="s">
        <v>29417</v>
      </c>
      <c r="E7575" s="51"/>
      <c r="F7575" s="114" t="str">
        <f>IF(INDEX(I.Facility.P2aIDNumber,2563)="","",INDEX(I.Facility.P2aIDNumber,2563))</f>
        <v/>
      </c>
      <c r="G7575" s="51"/>
      <c r="H7575" s="46" t="str">
        <f>IF(AND(I.Developer.P2a=TRUE,I.Facility.P2aFacilityCount&gt;=2563,F7575=""),"Incomplete","Complete")</f>
        <v>Complete</v>
      </c>
      <c r="I7575" s="48" t="s">
        <v>11940</v>
      </c>
    </row>
    <row r="7576" spans="2:9" ht="15" customHeight="1" x14ac:dyDescent="0.25">
      <c r="B7576" s="55" t="s">
        <v>280</v>
      </c>
      <c r="C7576" s="46">
        <v>2564</v>
      </c>
      <c r="D7576" s="69" t="s">
        <v>29417</v>
      </c>
      <c r="E7576" s="51"/>
      <c r="F7576" s="114" t="str">
        <f>IF(INDEX(I.Facility.P2aIDNumber,2564)="","",INDEX(I.Facility.P2aIDNumber,2564))</f>
        <v/>
      </c>
      <c r="G7576" s="51"/>
      <c r="H7576" s="46" t="str">
        <f>IF(AND(I.Developer.P2a=TRUE,I.Facility.P2aFacilityCount&gt;=2564,F7576=""),"Incomplete","Complete")</f>
        <v>Complete</v>
      </c>
      <c r="I7576" s="48" t="s">
        <v>11941</v>
      </c>
    </row>
    <row r="7577" spans="2:9" ht="15" customHeight="1" x14ac:dyDescent="0.25">
      <c r="B7577" s="55" t="s">
        <v>280</v>
      </c>
      <c r="C7577" s="46">
        <v>2565</v>
      </c>
      <c r="D7577" s="69" t="s">
        <v>29417</v>
      </c>
      <c r="E7577" s="51"/>
      <c r="F7577" s="114" t="str">
        <f>IF(INDEX(I.Facility.P2aIDNumber,2565)="","",INDEX(I.Facility.P2aIDNumber,2565))</f>
        <v/>
      </c>
      <c r="G7577" s="51"/>
      <c r="H7577" s="46" t="str">
        <f>IF(AND(I.Developer.P2a=TRUE,I.Facility.P2aFacilityCount&gt;=2565,F7577=""),"Incomplete","Complete")</f>
        <v>Complete</v>
      </c>
      <c r="I7577" s="48" t="s">
        <v>11942</v>
      </c>
    </row>
    <row r="7578" spans="2:9" ht="15" customHeight="1" x14ac:dyDescent="0.25">
      <c r="B7578" s="55" t="s">
        <v>280</v>
      </c>
      <c r="C7578" s="46">
        <v>2566</v>
      </c>
      <c r="D7578" s="69" t="s">
        <v>29417</v>
      </c>
      <c r="E7578" s="51"/>
      <c r="F7578" s="114" t="str">
        <f>IF(INDEX(I.Facility.P2aIDNumber,2566)="","",INDEX(I.Facility.P2aIDNumber,2566))</f>
        <v/>
      </c>
      <c r="G7578" s="51"/>
      <c r="H7578" s="46" t="str">
        <f>IF(AND(I.Developer.P2a=TRUE,I.Facility.P2aFacilityCount&gt;=2566,F7578=""),"Incomplete","Complete")</f>
        <v>Complete</v>
      </c>
      <c r="I7578" s="48" t="s">
        <v>11943</v>
      </c>
    </row>
    <row r="7579" spans="2:9" ht="15" customHeight="1" x14ac:dyDescent="0.25">
      <c r="B7579" s="55" t="s">
        <v>280</v>
      </c>
      <c r="C7579" s="46">
        <v>2567</v>
      </c>
      <c r="D7579" s="69" t="s">
        <v>29417</v>
      </c>
      <c r="E7579" s="51"/>
      <c r="F7579" s="114" t="str">
        <f>IF(INDEX(I.Facility.P2aIDNumber,2567)="","",INDEX(I.Facility.P2aIDNumber,2567))</f>
        <v/>
      </c>
      <c r="G7579" s="51"/>
      <c r="H7579" s="46" t="str">
        <f>IF(AND(I.Developer.P2a=TRUE,I.Facility.P2aFacilityCount&gt;=2567,F7579=""),"Incomplete","Complete")</f>
        <v>Complete</v>
      </c>
      <c r="I7579" s="48" t="s">
        <v>11944</v>
      </c>
    </row>
    <row r="7580" spans="2:9" ht="15" customHeight="1" x14ac:dyDescent="0.25">
      <c r="B7580" s="55" t="s">
        <v>280</v>
      </c>
      <c r="C7580" s="46">
        <v>2568</v>
      </c>
      <c r="D7580" s="69" t="s">
        <v>29417</v>
      </c>
      <c r="E7580" s="51"/>
      <c r="F7580" s="114" t="str">
        <f>IF(INDEX(I.Facility.P2aIDNumber,2568)="","",INDEX(I.Facility.P2aIDNumber,2568))</f>
        <v/>
      </c>
      <c r="G7580" s="51"/>
      <c r="H7580" s="46" t="str">
        <f>IF(AND(I.Developer.P2a=TRUE,I.Facility.P2aFacilityCount&gt;=2568,F7580=""),"Incomplete","Complete")</f>
        <v>Complete</v>
      </c>
      <c r="I7580" s="48" t="s">
        <v>11945</v>
      </c>
    </row>
    <row r="7581" spans="2:9" ht="15" customHeight="1" x14ac:dyDescent="0.25">
      <c r="B7581" s="55" t="s">
        <v>280</v>
      </c>
      <c r="C7581" s="46">
        <v>2569</v>
      </c>
      <c r="D7581" s="69" t="s">
        <v>29417</v>
      </c>
      <c r="E7581" s="51"/>
      <c r="F7581" s="114" t="str">
        <f>IF(INDEX(I.Facility.P2aIDNumber,2569)="","",INDEX(I.Facility.P2aIDNumber,2569))</f>
        <v/>
      </c>
      <c r="G7581" s="51"/>
      <c r="H7581" s="46" t="str">
        <f>IF(AND(I.Developer.P2a=TRUE,I.Facility.P2aFacilityCount&gt;=2569,F7581=""),"Incomplete","Complete")</f>
        <v>Complete</v>
      </c>
      <c r="I7581" s="48" t="s">
        <v>11946</v>
      </c>
    </row>
    <row r="7582" spans="2:9" ht="15" customHeight="1" x14ac:dyDescent="0.25">
      <c r="B7582" s="55" t="s">
        <v>280</v>
      </c>
      <c r="C7582" s="46">
        <v>2570</v>
      </c>
      <c r="D7582" s="69" t="s">
        <v>29417</v>
      </c>
      <c r="E7582" s="51"/>
      <c r="F7582" s="114" t="str">
        <f>IF(INDEX(I.Facility.P2aIDNumber,2570)="","",INDEX(I.Facility.P2aIDNumber,2570))</f>
        <v/>
      </c>
      <c r="G7582" s="51"/>
      <c r="H7582" s="46" t="str">
        <f>IF(AND(I.Developer.P2a=TRUE,I.Facility.P2aFacilityCount&gt;=2570,F7582=""),"Incomplete","Complete")</f>
        <v>Complete</v>
      </c>
      <c r="I7582" s="48" t="s">
        <v>11947</v>
      </c>
    </row>
    <row r="7583" spans="2:9" ht="15" customHeight="1" x14ac:dyDescent="0.25">
      <c r="B7583" s="55" t="s">
        <v>280</v>
      </c>
      <c r="C7583" s="46">
        <v>2571</v>
      </c>
      <c r="D7583" s="69" t="s">
        <v>29417</v>
      </c>
      <c r="E7583" s="51"/>
      <c r="F7583" s="114" t="str">
        <f>IF(INDEX(I.Facility.P2aIDNumber,2571)="","",INDEX(I.Facility.P2aIDNumber,2571))</f>
        <v/>
      </c>
      <c r="G7583" s="51"/>
      <c r="H7583" s="46" t="str">
        <f>IF(AND(I.Developer.P2a=TRUE,I.Facility.P2aFacilityCount&gt;=2571,F7583=""),"Incomplete","Complete")</f>
        <v>Complete</v>
      </c>
      <c r="I7583" s="48" t="s">
        <v>11948</v>
      </c>
    </row>
    <row r="7584" spans="2:9" ht="15" customHeight="1" x14ac:dyDescent="0.25">
      <c r="B7584" s="55" t="s">
        <v>280</v>
      </c>
      <c r="C7584" s="46">
        <v>2572</v>
      </c>
      <c r="D7584" s="69" t="s">
        <v>29417</v>
      </c>
      <c r="E7584" s="51"/>
      <c r="F7584" s="114" t="str">
        <f>IF(INDEX(I.Facility.P2aIDNumber,2572)="","",INDEX(I.Facility.P2aIDNumber,2572))</f>
        <v/>
      </c>
      <c r="G7584" s="51"/>
      <c r="H7584" s="46" t="str">
        <f>IF(AND(I.Developer.P2a=TRUE,I.Facility.P2aFacilityCount&gt;=2572,F7584=""),"Incomplete","Complete")</f>
        <v>Complete</v>
      </c>
      <c r="I7584" s="48" t="s">
        <v>11949</v>
      </c>
    </row>
    <row r="7585" spans="2:9" ht="15" customHeight="1" x14ac:dyDescent="0.25">
      <c r="B7585" s="55" t="s">
        <v>280</v>
      </c>
      <c r="C7585" s="46">
        <v>2573</v>
      </c>
      <c r="D7585" s="69" t="s">
        <v>29417</v>
      </c>
      <c r="E7585" s="51"/>
      <c r="F7585" s="114" t="str">
        <f>IF(INDEX(I.Facility.P2aIDNumber,2573)="","",INDEX(I.Facility.P2aIDNumber,2573))</f>
        <v/>
      </c>
      <c r="G7585" s="51"/>
      <c r="H7585" s="46" t="str">
        <f>IF(AND(I.Developer.P2a=TRUE,I.Facility.P2aFacilityCount&gt;=2573,F7585=""),"Incomplete","Complete")</f>
        <v>Complete</v>
      </c>
      <c r="I7585" s="48" t="s">
        <v>11950</v>
      </c>
    </row>
    <row r="7586" spans="2:9" ht="15" customHeight="1" x14ac:dyDescent="0.25">
      <c r="B7586" s="55" t="s">
        <v>280</v>
      </c>
      <c r="C7586" s="46">
        <v>2574</v>
      </c>
      <c r="D7586" s="69" t="s">
        <v>29417</v>
      </c>
      <c r="E7586" s="51"/>
      <c r="F7586" s="114" t="str">
        <f>IF(INDEX(I.Facility.P2aIDNumber,2574)="","",INDEX(I.Facility.P2aIDNumber,2574))</f>
        <v/>
      </c>
      <c r="G7586" s="51"/>
      <c r="H7586" s="46" t="str">
        <f>IF(AND(I.Developer.P2a=TRUE,I.Facility.P2aFacilityCount&gt;=2574,F7586=""),"Incomplete","Complete")</f>
        <v>Complete</v>
      </c>
      <c r="I7586" s="48" t="s">
        <v>11951</v>
      </c>
    </row>
    <row r="7587" spans="2:9" ht="15" customHeight="1" x14ac:dyDescent="0.25">
      <c r="B7587" s="55" t="s">
        <v>280</v>
      </c>
      <c r="C7587" s="46">
        <v>2575</v>
      </c>
      <c r="D7587" s="69" t="s">
        <v>29417</v>
      </c>
      <c r="E7587" s="51"/>
      <c r="F7587" s="114" t="str">
        <f>IF(INDEX(I.Facility.P2aIDNumber,2575)="","",INDEX(I.Facility.P2aIDNumber,2575))</f>
        <v/>
      </c>
      <c r="G7587" s="51"/>
      <c r="H7587" s="46" t="str">
        <f>IF(AND(I.Developer.P2a=TRUE,I.Facility.P2aFacilityCount&gt;=2575,F7587=""),"Incomplete","Complete")</f>
        <v>Complete</v>
      </c>
      <c r="I7587" s="48" t="s">
        <v>11952</v>
      </c>
    </row>
    <row r="7588" spans="2:9" ht="15" customHeight="1" x14ac:dyDescent="0.25">
      <c r="B7588" s="55" t="s">
        <v>280</v>
      </c>
      <c r="C7588" s="46">
        <v>2576</v>
      </c>
      <c r="D7588" s="69" t="s">
        <v>29417</v>
      </c>
      <c r="E7588" s="51"/>
      <c r="F7588" s="114" t="str">
        <f>IF(INDEX(I.Facility.P2aIDNumber,2576)="","",INDEX(I.Facility.P2aIDNumber,2576))</f>
        <v/>
      </c>
      <c r="G7588" s="51"/>
      <c r="H7588" s="46" t="str">
        <f>IF(AND(I.Developer.P2a=TRUE,I.Facility.P2aFacilityCount&gt;=2576,F7588=""),"Incomplete","Complete")</f>
        <v>Complete</v>
      </c>
      <c r="I7588" s="48" t="s">
        <v>11953</v>
      </c>
    </row>
    <row r="7589" spans="2:9" ht="15" customHeight="1" x14ac:dyDescent="0.25">
      <c r="B7589" s="55" t="s">
        <v>280</v>
      </c>
      <c r="C7589" s="46">
        <v>2577</v>
      </c>
      <c r="D7589" s="69" t="s">
        <v>29417</v>
      </c>
      <c r="E7589" s="51"/>
      <c r="F7589" s="114" t="str">
        <f>IF(INDEX(I.Facility.P2aIDNumber,2577)="","",INDEX(I.Facility.P2aIDNumber,2577))</f>
        <v/>
      </c>
      <c r="G7589" s="51"/>
      <c r="H7589" s="46" t="str">
        <f>IF(AND(I.Developer.P2a=TRUE,I.Facility.P2aFacilityCount&gt;=2577,F7589=""),"Incomplete","Complete")</f>
        <v>Complete</v>
      </c>
      <c r="I7589" s="48" t="s">
        <v>11954</v>
      </c>
    </row>
    <row r="7590" spans="2:9" ht="15" customHeight="1" x14ac:dyDescent="0.25">
      <c r="B7590" s="55" t="s">
        <v>280</v>
      </c>
      <c r="C7590" s="46">
        <v>2578</v>
      </c>
      <c r="D7590" s="69" t="s">
        <v>29417</v>
      </c>
      <c r="E7590" s="51"/>
      <c r="F7590" s="114" t="str">
        <f>IF(INDEX(I.Facility.P2aIDNumber,2578)="","",INDEX(I.Facility.P2aIDNumber,2578))</f>
        <v/>
      </c>
      <c r="G7590" s="51"/>
      <c r="H7590" s="46" t="str">
        <f>IF(AND(I.Developer.P2a=TRUE,I.Facility.P2aFacilityCount&gt;=2578,F7590=""),"Incomplete","Complete")</f>
        <v>Complete</v>
      </c>
      <c r="I7590" s="48" t="s">
        <v>11955</v>
      </c>
    </row>
    <row r="7591" spans="2:9" ht="15" customHeight="1" x14ac:dyDescent="0.25">
      <c r="B7591" s="55" t="s">
        <v>280</v>
      </c>
      <c r="C7591" s="46">
        <v>2579</v>
      </c>
      <c r="D7591" s="69" t="s">
        <v>29417</v>
      </c>
      <c r="E7591" s="51"/>
      <c r="F7591" s="114" t="str">
        <f>IF(INDEX(I.Facility.P2aIDNumber,2579)="","",INDEX(I.Facility.P2aIDNumber,2579))</f>
        <v/>
      </c>
      <c r="G7591" s="51"/>
      <c r="H7591" s="46" t="str">
        <f>IF(AND(I.Developer.P2a=TRUE,I.Facility.P2aFacilityCount&gt;=2579,F7591=""),"Incomplete","Complete")</f>
        <v>Complete</v>
      </c>
      <c r="I7591" s="48" t="s">
        <v>11956</v>
      </c>
    </row>
    <row r="7592" spans="2:9" ht="15" customHeight="1" x14ac:dyDescent="0.25">
      <c r="B7592" s="55" t="s">
        <v>280</v>
      </c>
      <c r="C7592" s="46">
        <v>2580</v>
      </c>
      <c r="D7592" s="69" t="s">
        <v>29417</v>
      </c>
      <c r="E7592" s="51"/>
      <c r="F7592" s="114" t="str">
        <f>IF(INDEX(I.Facility.P2aIDNumber,2580)="","",INDEX(I.Facility.P2aIDNumber,2580))</f>
        <v/>
      </c>
      <c r="G7592" s="51"/>
      <c r="H7592" s="46" t="str">
        <f>IF(AND(I.Developer.P2a=TRUE,I.Facility.P2aFacilityCount&gt;=2580,F7592=""),"Incomplete","Complete")</f>
        <v>Complete</v>
      </c>
      <c r="I7592" s="48" t="s">
        <v>11957</v>
      </c>
    </row>
    <row r="7593" spans="2:9" ht="15" customHeight="1" x14ac:dyDescent="0.25">
      <c r="B7593" s="55" t="s">
        <v>280</v>
      </c>
      <c r="C7593" s="46">
        <v>2581</v>
      </c>
      <c r="D7593" s="69" t="s">
        <v>29417</v>
      </c>
      <c r="E7593" s="51"/>
      <c r="F7593" s="114" t="str">
        <f>IF(INDEX(I.Facility.P2aIDNumber,2581)="","",INDEX(I.Facility.P2aIDNumber,2581))</f>
        <v/>
      </c>
      <c r="G7593" s="51"/>
      <c r="H7593" s="46" t="str">
        <f>IF(AND(I.Developer.P2a=TRUE,I.Facility.P2aFacilityCount&gt;=2581,F7593=""),"Incomplete","Complete")</f>
        <v>Complete</v>
      </c>
      <c r="I7593" s="48" t="s">
        <v>11958</v>
      </c>
    </row>
    <row r="7594" spans="2:9" ht="15" customHeight="1" x14ac:dyDescent="0.25">
      <c r="B7594" s="55" t="s">
        <v>280</v>
      </c>
      <c r="C7594" s="46">
        <v>2582</v>
      </c>
      <c r="D7594" s="69" t="s">
        <v>29417</v>
      </c>
      <c r="E7594" s="51"/>
      <c r="F7594" s="114" t="str">
        <f>IF(INDEX(I.Facility.P2aIDNumber,2582)="","",INDEX(I.Facility.P2aIDNumber,2582))</f>
        <v/>
      </c>
      <c r="G7594" s="51"/>
      <c r="H7594" s="46" t="str">
        <f>IF(AND(I.Developer.P2a=TRUE,I.Facility.P2aFacilityCount&gt;=2582,F7594=""),"Incomplete","Complete")</f>
        <v>Complete</v>
      </c>
      <c r="I7594" s="48" t="s">
        <v>11959</v>
      </c>
    </row>
    <row r="7595" spans="2:9" ht="15" customHeight="1" x14ac:dyDescent="0.25">
      <c r="B7595" s="55" t="s">
        <v>280</v>
      </c>
      <c r="C7595" s="46">
        <v>2583</v>
      </c>
      <c r="D7595" s="69" t="s">
        <v>29417</v>
      </c>
      <c r="E7595" s="51"/>
      <c r="F7595" s="114" t="str">
        <f>IF(INDEX(I.Facility.P2aIDNumber,2583)="","",INDEX(I.Facility.P2aIDNumber,2583))</f>
        <v/>
      </c>
      <c r="G7595" s="51"/>
      <c r="H7595" s="46" t="str">
        <f>IF(AND(I.Developer.P2a=TRUE,I.Facility.P2aFacilityCount&gt;=2583,F7595=""),"Incomplete","Complete")</f>
        <v>Complete</v>
      </c>
      <c r="I7595" s="48" t="s">
        <v>11960</v>
      </c>
    </row>
    <row r="7596" spans="2:9" ht="15" customHeight="1" x14ac:dyDescent="0.25">
      <c r="B7596" s="55" t="s">
        <v>280</v>
      </c>
      <c r="C7596" s="46">
        <v>2584</v>
      </c>
      <c r="D7596" s="69" t="s">
        <v>29417</v>
      </c>
      <c r="E7596" s="51"/>
      <c r="F7596" s="114" t="str">
        <f>IF(INDEX(I.Facility.P2aIDNumber,2584)="","",INDEX(I.Facility.P2aIDNumber,2584))</f>
        <v/>
      </c>
      <c r="G7596" s="51"/>
      <c r="H7596" s="46" t="str">
        <f>IF(AND(I.Developer.P2a=TRUE,I.Facility.P2aFacilityCount&gt;=2584,F7596=""),"Incomplete","Complete")</f>
        <v>Complete</v>
      </c>
      <c r="I7596" s="48" t="s">
        <v>11961</v>
      </c>
    </row>
    <row r="7597" spans="2:9" ht="15" customHeight="1" x14ac:dyDescent="0.25">
      <c r="B7597" s="55" t="s">
        <v>280</v>
      </c>
      <c r="C7597" s="46">
        <v>2585</v>
      </c>
      <c r="D7597" s="69" t="s">
        <v>29417</v>
      </c>
      <c r="E7597" s="51"/>
      <c r="F7597" s="114" t="str">
        <f>IF(INDEX(I.Facility.P2aIDNumber,2585)="","",INDEX(I.Facility.P2aIDNumber,2585))</f>
        <v/>
      </c>
      <c r="G7597" s="51"/>
      <c r="H7597" s="46" t="str">
        <f>IF(AND(I.Developer.P2a=TRUE,I.Facility.P2aFacilityCount&gt;=2585,F7597=""),"Incomplete","Complete")</f>
        <v>Complete</v>
      </c>
      <c r="I7597" s="48" t="s">
        <v>11962</v>
      </c>
    </row>
    <row r="7598" spans="2:9" ht="15" customHeight="1" x14ac:dyDescent="0.25">
      <c r="B7598" s="55" t="s">
        <v>280</v>
      </c>
      <c r="C7598" s="46">
        <v>2586</v>
      </c>
      <c r="D7598" s="69" t="s">
        <v>29417</v>
      </c>
      <c r="E7598" s="51"/>
      <c r="F7598" s="114" t="str">
        <f>IF(INDEX(I.Facility.P2aIDNumber,2586)="","",INDEX(I.Facility.P2aIDNumber,2586))</f>
        <v/>
      </c>
      <c r="G7598" s="51"/>
      <c r="H7598" s="46" t="str">
        <f>IF(AND(I.Developer.P2a=TRUE,I.Facility.P2aFacilityCount&gt;=2586,F7598=""),"Incomplete","Complete")</f>
        <v>Complete</v>
      </c>
      <c r="I7598" s="48" t="s">
        <v>11963</v>
      </c>
    </row>
    <row r="7599" spans="2:9" ht="15" customHeight="1" x14ac:dyDescent="0.25">
      <c r="B7599" s="55" t="s">
        <v>280</v>
      </c>
      <c r="C7599" s="46">
        <v>2587</v>
      </c>
      <c r="D7599" s="69" t="s">
        <v>29417</v>
      </c>
      <c r="E7599" s="51"/>
      <c r="F7599" s="114" t="str">
        <f>IF(INDEX(I.Facility.P2aIDNumber,2587)="","",INDEX(I.Facility.P2aIDNumber,2587))</f>
        <v/>
      </c>
      <c r="G7599" s="51"/>
      <c r="H7599" s="46" t="str">
        <f>IF(AND(I.Developer.P2a=TRUE,I.Facility.P2aFacilityCount&gt;=2587,F7599=""),"Incomplete","Complete")</f>
        <v>Complete</v>
      </c>
      <c r="I7599" s="48" t="s">
        <v>11964</v>
      </c>
    </row>
    <row r="7600" spans="2:9" ht="15" customHeight="1" x14ac:dyDescent="0.25">
      <c r="B7600" s="55" t="s">
        <v>280</v>
      </c>
      <c r="C7600" s="46">
        <v>2588</v>
      </c>
      <c r="D7600" s="69" t="s">
        <v>29417</v>
      </c>
      <c r="E7600" s="51"/>
      <c r="F7600" s="114" t="str">
        <f>IF(INDEX(I.Facility.P2aIDNumber,2588)="","",INDEX(I.Facility.P2aIDNumber,2588))</f>
        <v/>
      </c>
      <c r="G7600" s="51"/>
      <c r="H7600" s="46" t="str">
        <f>IF(AND(I.Developer.P2a=TRUE,I.Facility.P2aFacilityCount&gt;=2588,F7600=""),"Incomplete","Complete")</f>
        <v>Complete</v>
      </c>
      <c r="I7600" s="48" t="s">
        <v>11965</v>
      </c>
    </row>
    <row r="7601" spans="2:9" ht="15" customHeight="1" x14ac:dyDescent="0.25">
      <c r="B7601" s="55" t="s">
        <v>280</v>
      </c>
      <c r="C7601" s="46">
        <v>2589</v>
      </c>
      <c r="D7601" s="69" t="s">
        <v>29417</v>
      </c>
      <c r="E7601" s="51"/>
      <c r="F7601" s="114" t="str">
        <f>IF(INDEX(I.Facility.P2aIDNumber,2589)="","",INDEX(I.Facility.P2aIDNumber,2589))</f>
        <v/>
      </c>
      <c r="G7601" s="51"/>
      <c r="H7601" s="46" t="str">
        <f>IF(AND(I.Developer.P2a=TRUE,I.Facility.P2aFacilityCount&gt;=2589,F7601=""),"Incomplete","Complete")</f>
        <v>Complete</v>
      </c>
      <c r="I7601" s="48" t="s">
        <v>11966</v>
      </c>
    </row>
    <row r="7602" spans="2:9" ht="15" customHeight="1" x14ac:dyDescent="0.25">
      <c r="B7602" s="55" t="s">
        <v>280</v>
      </c>
      <c r="C7602" s="46">
        <v>2590</v>
      </c>
      <c r="D7602" s="69" t="s">
        <v>29417</v>
      </c>
      <c r="E7602" s="51"/>
      <c r="F7602" s="114" t="str">
        <f>IF(INDEX(I.Facility.P2aIDNumber,2590)="","",INDEX(I.Facility.P2aIDNumber,2590))</f>
        <v/>
      </c>
      <c r="G7602" s="51"/>
      <c r="H7602" s="46" t="str">
        <f>IF(AND(I.Developer.P2a=TRUE,I.Facility.P2aFacilityCount&gt;=2590,F7602=""),"Incomplete","Complete")</f>
        <v>Complete</v>
      </c>
      <c r="I7602" s="48" t="s">
        <v>11967</v>
      </c>
    </row>
    <row r="7603" spans="2:9" ht="15" customHeight="1" x14ac:dyDescent="0.25">
      <c r="B7603" s="55" t="s">
        <v>280</v>
      </c>
      <c r="C7603" s="46">
        <v>2591</v>
      </c>
      <c r="D7603" s="69" t="s">
        <v>29417</v>
      </c>
      <c r="E7603" s="51"/>
      <c r="F7603" s="114" t="str">
        <f>IF(INDEX(I.Facility.P2aIDNumber,2591)="","",INDEX(I.Facility.P2aIDNumber,2591))</f>
        <v/>
      </c>
      <c r="G7603" s="51"/>
      <c r="H7603" s="46" t="str">
        <f>IF(AND(I.Developer.P2a=TRUE,I.Facility.P2aFacilityCount&gt;=2591,F7603=""),"Incomplete","Complete")</f>
        <v>Complete</v>
      </c>
      <c r="I7603" s="48" t="s">
        <v>11968</v>
      </c>
    </row>
    <row r="7604" spans="2:9" ht="15" customHeight="1" x14ac:dyDescent="0.25">
      <c r="B7604" s="55" t="s">
        <v>280</v>
      </c>
      <c r="C7604" s="46">
        <v>2592</v>
      </c>
      <c r="D7604" s="69" t="s">
        <v>29417</v>
      </c>
      <c r="E7604" s="51"/>
      <c r="F7604" s="114" t="str">
        <f>IF(INDEX(I.Facility.P2aIDNumber,2592)="","",INDEX(I.Facility.P2aIDNumber,2592))</f>
        <v/>
      </c>
      <c r="G7604" s="51"/>
      <c r="H7604" s="46" t="str">
        <f>IF(AND(I.Developer.P2a=TRUE,I.Facility.P2aFacilityCount&gt;=2592,F7604=""),"Incomplete","Complete")</f>
        <v>Complete</v>
      </c>
      <c r="I7604" s="48" t="s">
        <v>11969</v>
      </c>
    </row>
    <row r="7605" spans="2:9" ht="15" customHeight="1" x14ac:dyDescent="0.25">
      <c r="B7605" s="55" t="s">
        <v>280</v>
      </c>
      <c r="C7605" s="46">
        <v>2593</v>
      </c>
      <c r="D7605" s="69" t="s">
        <v>29417</v>
      </c>
      <c r="E7605" s="51"/>
      <c r="F7605" s="114" t="str">
        <f>IF(INDEX(I.Facility.P2aIDNumber,2593)="","",INDEX(I.Facility.P2aIDNumber,2593))</f>
        <v/>
      </c>
      <c r="G7605" s="51"/>
      <c r="H7605" s="46" t="str">
        <f>IF(AND(I.Developer.P2a=TRUE,I.Facility.P2aFacilityCount&gt;=2593,F7605=""),"Incomplete","Complete")</f>
        <v>Complete</v>
      </c>
      <c r="I7605" s="48" t="s">
        <v>11970</v>
      </c>
    </row>
    <row r="7606" spans="2:9" ht="15" customHeight="1" x14ac:dyDescent="0.25">
      <c r="B7606" s="55" t="s">
        <v>280</v>
      </c>
      <c r="C7606" s="46">
        <v>2594</v>
      </c>
      <c r="D7606" s="69" t="s">
        <v>29417</v>
      </c>
      <c r="E7606" s="51"/>
      <c r="F7606" s="114" t="str">
        <f>IF(INDEX(I.Facility.P2aIDNumber,2594)="","",INDEX(I.Facility.P2aIDNumber,2594))</f>
        <v/>
      </c>
      <c r="G7606" s="51"/>
      <c r="H7606" s="46" t="str">
        <f>IF(AND(I.Developer.P2a=TRUE,I.Facility.P2aFacilityCount&gt;=2594,F7606=""),"Incomplete","Complete")</f>
        <v>Complete</v>
      </c>
      <c r="I7606" s="48" t="s">
        <v>11971</v>
      </c>
    </row>
    <row r="7607" spans="2:9" ht="15" customHeight="1" x14ac:dyDescent="0.25">
      <c r="B7607" s="55" t="s">
        <v>280</v>
      </c>
      <c r="C7607" s="46">
        <v>2595</v>
      </c>
      <c r="D7607" s="69" t="s">
        <v>29417</v>
      </c>
      <c r="E7607" s="51"/>
      <c r="F7607" s="114" t="str">
        <f>IF(INDEX(I.Facility.P2aIDNumber,2595)="","",INDEX(I.Facility.P2aIDNumber,2595))</f>
        <v/>
      </c>
      <c r="G7607" s="51"/>
      <c r="H7607" s="46" t="str">
        <f>IF(AND(I.Developer.P2a=TRUE,I.Facility.P2aFacilityCount&gt;=2595,F7607=""),"Incomplete","Complete")</f>
        <v>Complete</v>
      </c>
      <c r="I7607" s="48" t="s">
        <v>11972</v>
      </c>
    </row>
    <row r="7608" spans="2:9" ht="15" customHeight="1" x14ac:dyDescent="0.25">
      <c r="B7608" s="55" t="s">
        <v>280</v>
      </c>
      <c r="C7608" s="46">
        <v>2596</v>
      </c>
      <c r="D7608" s="69" t="s">
        <v>29417</v>
      </c>
      <c r="E7608" s="51"/>
      <c r="F7608" s="114" t="str">
        <f>IF(INDEX(I.Facility.P2aIDNumber,2596)="","",INDEX(I.Facility.P2aIDNumber,2596))</f>
        <v/>
      </c>
      <c r="G7608" s="51"/>
      <c r="H7608" s="46" t="str">
        <f>IF(AND(I.Developer.P2a=TRUE,I.Facility.P2aFacilityCount&gt;=2596,F7608=""),"Incomplete","Complete")</f>
        <v>Complete</v>
      </c>
      <c r="I7608" s="48" t="s">
        <v>11973</v>
      </c>
    </row>
    <row r="7609" spans="2:9" ht="15" customHeight="1" x14ac:dyDescent="0.25">
      <c r="B7609" s="55" t="s">
        <v>280</v>
      </c>
      <c r="C7609" s="46">
        <v>2597</v>
      </c>
      <c r="D7609" s="69" t="s">
        <v>29417</v>
      </c>
      <c r="E7609" s="51"/>
      <c r="F7609" s="114" t="str">
        <f>IF(INDEX(I.Facility.P2aIDNumber,2597)="","",INDEX(I.Facility.P2aIDNumber,2597))</f>
        <v/>
      </c>
      <c r="G7609" s="51"/>
      <c r="H7609" s="46" t="str">
        <f>IF(AND(I.Developer.P2a=TRUE,I.Facility.P2aFacilityCount&gt;=2597,F7609=""),"Incomplete","Complete")</f>
        <v>Complete</v>
      </c>
      <c r="I7609" s="48" t="s">
        <v>11974</v>
      </c>
    </row>
    <row r="7610" spans="2:9" ht="15" customHeight="1" x14ac:dyDescent="0.25">
      <c r="B7610" s="55" t="s">
        <v>280</v>
      </c>
      <c r="C7610" s="46">
        <v>2598</v>
      </c>
      <c r="D7610" s="69" t="s">
        <v>29417</v>
      </c>
      <c r="E7610" s="51"/>
      <c r="F7610" s="114" t="str">
        <f>IF(INDEX(I.Facility.P2aIDNumber,2598)="","",INDEX(I.Facility.P2aIDNumber,2598))</f>
        <v/>
      </c>
      <c r="G7610" s="51"/>
      <c r="H7610" s="46" t="str">
        <f>IF(AND(I.Developer.P2a=TRUE,I.Facility.P2aFacilityCount&gt;=2598,F7610=""),"Incomplete","Complete")</f>
        <v>Complete</v>
      </c>
      <c r="I7610" s="48" t="s">
        <v>11975</v>
      </c>
    </row>
    <row r="7611" spans="2:9" ht="15" customHeight="1" x14ac:dyDescent="0.25">
      <c r="B7611" s="55" t="s">
        <v>280</v>
      </c>
      <c r="C7611" s="46">
        <v>2599</v>
      </c>
      <c r="D7611" s="69" t="s">
        <v>29417</v>
      </c>
      <c r="E7611" s="51"/>
      <c r="F7611" s="114" t="str">
        <f>IF(INDEX(I.Facility.P2aIDNumber,2599)="","",INDEX(I.Facility.P2aIDNumber,2599))</f>
        <v/>
      </c>
      <c r="G7611" s="51"/>
      <c r="H7611" s="46" t="str">
        <f>IF(AND(I.Developer.P2a=TRUE,I.Facility.P2aFacilityCount&gt;=2599,F7611=""),"Incomplete","Complete")</f>
        <v>Complete</v>
      </c>
      <c r="I7611" s="48" t="s">
        <v>11976</v>
      </c>
    </row>
    <row r="7612" spans="2:9" ht="15" customHeight="1" x14ac:dyDescent="0.25">
      <c r="B7612" s="55" t="s">
        <v>280</v>
      </c>
      <c r="C7612" s="46">
        <v>2600</v>
      </c>
      <c r="D7612" s="69" t="s">
        <v>29417</v>
      </c>
      <c r="E7612" s="51"/>
      <c r="F7612" s="114" t="str">
        <f>IF(INDEX(I.Facility.P2aIDNumber,2600)="","",INDEX(I.Facility.P2aIDNumber,2600))</f>
        <v/>
      </c>
      <c r="G7612" s="51"/>
      <c r="H7612" s="46" t="str">
        <f>IF(AND(I.Developer.P2a=TRUE,I.Facility.P2aFacilityCount&gt;=2600,F7612=""),"Incomplete","Complete")</f>
        <v>Complete</v>
      </c>
      <c r="I7612" s="48" t="s">
        <v>11977</v>
      </c>
    </row>
    <row r="7613" spans="2:9" ht="15" customHeight="1" x14ac:dyDescent="0.25">
      <c r="B7613" s="55" t="s">
        <v>280</v>
      </c>
      <c r="C7613" s="46">
        <v>2601</v>
      </c>
      <c r="D7613" s="69" t="s">
        <v>29417</v>
      </c>
      <c r="E7613" s="51"/>
      <c r="F7613" s="114" t="str">
        <f>IF(INDEX(I.Facility.P2aIDNumber,2601)="","",INDEX(I.Facility.P2aIDNumber,2601))</f>
        <v/>
      </c>
      <c r="G7613" s="51"/>
      <c r="H7613" s="46" t="str">
        <f>IF(AND(I.Developer.P2a=TRUE,I.Facility.P2aFacilityCount&gt;=2601,F7613=""),"Incomplete","Complete")</f>
        <v>Complete</v>
      </c>
      <c r="I7613" s="48" t="s">
        <v>11978</v>
      </c>
    </row>
    <row r="7614" spans="2:9" ht="15" customHeight="1" x14ac:dyDescent="0.25">
      <c r="B7614" s="55" t="s">
        <v>280</v>
      </c>
      <c r="C7614" s="46">
        <v>2602</v>
      </c>
      <c r="D7614" s="69" t="s">
        <v>29417</v>
      </c>
      <c r="E7614" s="51"/>
      <c r="F7614" s="114" t="str">
        <f>IF(INDEX(I.Facility.P2aIDNumber,2602)="","",INDEX(I.Facility.P2aIDNumber,2602))</f>
        <v/>
      </c>
      <c r="G7614" s="51"/>
      <c r="H7614" s="46" t="str">
        <f>IF(AND(I.Developer.P2a=TRUE,I.Facility.P2aFacilityCount&gt;=2602,F7614=""),"Incomplete","Complete")</f>
        <v>Complete</v>
      </c>
      <c r="I7614" s="48" t="s">
        <v>11979</v>
      </c>
    </row>
    <row r="7615" spans="2:9" ht="15" customHeight="1" x14ac:dyDescent="0.25">
      <c r="B7615" s="55" t="s">
        <v>280</v>
      </c>
      <c r="C7615" s="46">
        <v>2603</v>
      </c>
      <c r="D7615" s="69" t="s">
        <v>29417</v>
      </c>
      <c r="E7615" s="51"/>
      <c r="F7615" s="114" t="str">
        <f>IF(INDEX(I.Facility.P2aIDNumber,2603)="","",INDEX(I.Facility.P2aIDNumber,2603))</f>
        <v/>
      </c>
      <c r="G7615" s="51"/>
      <c r="H7615" s="46" t="str">
        <f>IF(AND(I.Developer.P2a=TRUE,I.Facility.P2aFacilityCount&gt;=2603,F7615=""),"Incomplete","Complete")</f>
        <v>Complete</v>
      </c>
      <c r="I7615" s="48" t="s">
        <v>11980</v>
      </c>
    </row>
    <row r="7616" spans="2:9" ht="15" customHeight="1" x14ac:dyDescent="0.25">
      <c r="B7616" s="55" t="s">
        <v>280</v>
      </c>
      <c r="C7616" s="46">
        <v>2604</v>
      </c>
      <c r="D7616" s="69" t="s">
        <v>29417</v>
      </c>
      <c r="E7616" s="51"/>
      <c r="F7616" s="114" t="str">
        <f>IF(INDEX(I.Facility.P2aIDNumber,2604)="","",INDEX(I.Facility.P2aIDNumber,2604))</f>
        <v/>
      </c>
      <c r="G7616" s="51"/>
      <c r="H7616" s="46" t="str">
        <f>IF(AND(I.Developer.P2a=TRUE,I.Facility.P2aFacilityCount&gt;=2604,F7616=""),"Incomplete","Complete")</f>
        <v>Complete</v>
      </c>
      <c r="I7616" s="48" t="s">
        <v>11981</v>
      </c>
    </row>
    <row r="7617" spans="2:9" ht="15" customHeight="1" x14ac:dyDescent="0.25">
      <c r="B7617" s="55" t="s">
        <v>280</v>
      </c>
      <c r="C7617" s="46">
        <v>2605</v>
      </c>
      <c r="D7617" s="69" t="s">
        <v>29417</v>
      </c>
      <c r="E7617" s="51"/>
      <c r="F7617" s="114" t="str">
        <f>IF(INDEX(I.Facility.P2aIDNumber,2605)="","",INDEX(I.Facility.P2aIDNumber,2605))</f>
        <v/>
      </c>
      <c r="G7617" s="51"/>
      <c r="H7617" s="46" t="str">
        <f>IF(AND(I.Developer.P2a=TRUE,I.Facility.P2aFacilityCount&gt;=2605,F7617=""),"Incomplete","Complete")</f>
        <v>Complete</v>
      </c>
      <c r="I7617" s="48" t="s">
        <v>11982</v>
      </c>
    </row>
    <row r="7618" spans="2:9" ht="15" customHeight="1" x14ac:dyDescent="0.25">
      <c r="B7618" s="55" t="s">
        <v>280</v>
      </c>
      <c r="C7618" s="46">
        <v>2606</v>
      </c>
      <c r="D7618" s="69" t="s">
        <v>29417</v>
      </c>
      <c r="E7618" s="51"/>
      <c r="F7618" s="114" t="str">
        <f>IF(INDEX(I.Facility.P2aIDNumber,2606)="","",INDEX(I.Facility.P2aIDNumber,2606))</f>
        <v/>
      </c>
      <c r="G7618" s="51"/>
      <c r="H7618" s="46" t="str">
        <f>IF(AND(I.Developer.P2a=TRUE,I.Facility.P2aFacilityCount&gt;=2606,F7618=""),"Incomplete","Complete")</f>
        <v>Complete</v>
      </c>
      <c r="I7618" s="48" t="s">
        <v>11983</v>
      </c>
    </row>
    <row r="7619" spans="2:9" ht="15" customHeight="1" x14ac:dyDescent="0.25">
      <c r="B7619" s="55" t="s">
        <v>280</v>
      </c>
      <c r="C7619" s="46">
        <v>2607</v>
      </c>
      <c r="D7619" s="69" t="s">
        <v>29417</v>
      </c>
      <c r="E7619" s="51"/>
      <c r="F7619" s="114" t="str">
        <f>IF(INDEX(I.Facility.P2aIDNumber,2607)="","",INDEX(I.Facility.P2aIDNumber,2607))</f>
        <v/>
      </c>
      <c r="G7619" s="51"/>
      <c r="H7619" s="46" t="str">
        <f>IF(AND(I.Developer.P2a=TRUE,I.Facility.P2aFacilityCount&gt;=2607,F7619=""),"Incomplete","Complete")</f>
        <v>Complete</v>
      </c>
      <c r="I7619" s="48" t="s">
        <v>11984</v>
      </c>
    </row>
    <row r="7620" spans="2:9" ht="15" customHeight="1" x14ac:dyDescent="0.25">
      <c r="B7620" s="55" t="s">
        <v>280</v>
      </c>
      <c r="C7620" s="46">
        <v>2608</v>
      </c>
      <c r="D7620" s="69" t="s">
        <v>29417</v>
      </c>
      <c r="E7620" s="51"/>
      <c r="F7620" s="114" t="str">
        <f>IF(INDEX(I.Facility.P2aIDNumber,2608)="","",INDEX(I.Facility.P2aIDNumber,2608))</f>
        <v/>
      </c>
      <c r="G7620" s="51"/>
      <c r="H7620" s="46" t="str">
        <f>IF(AND(I.Developer.P2a=TRUE,I.Facility.P2aFacilityCount&gt;=2608,F7620=""),"Incomplete","Complete")</f>
        <v>Complete</v>
      </c>
      <c r="I7620" s="48" t="s">
        <v>11985</v>
      </c>
    </row>
    <row r="7621" spans="2:9" ht="15" customHeight="1" x14ac:dyDescent="0.25">
      <c r="B7621" s="55" t="s">
        <v>280</v>
      </c>
      <c r="C7621" s="46">
        <v>2609</v>
      </c>
      <c r="D7621" s="69" t="s">
        <v>29417</v>
      </c>
      <c r="E7621" s="51"/>
      <c r="F7621" s="114" t="str">
        <f>IF(INDEX(I.Facility.P2aIDNumber,2609)="","",INDEX(I.Facility.P2aIDNumber,2609))</f>
        <v/>
      </c>
      <c r="G7621" s="51"/>
      <c r="H7621" s="46" t="str">
        <f>IF(AND(I.Developer.P2a=TRUE,I.Facility.P2aFacilityCount&gt;=2609,F7621=""),"Incomplete","Complete")</f>
        <v>Complete</v>
      </c>
      <c r="I7621" s="48" t="s">
        <v>11986</v>
      </c>
    </row>
    <row r="7622" spans="2:9" ht="15" customHeight="1" x14ac:dyDescent="0.25">
      <c r="B7622" s="55" t="s">
        <v>280</v>
      </c>
      <c r="C7622" s="46">
        <v>2610</v>
      </c>
      <c r="D7622" s="69" t="s">
        <v>29417</v>
      </c>
      <c r="E7622" s="51"/>
      <c r="F7622" s="114" t="str">
        <f>IF(INDEX(I.Facility.P2aIDNumber,2610)="","",INDEX(I.Facility.P2aIDNumber,2610))</f>
        <v/>
      </c>
      <c r="G7622" s="51"/>
      <c r="H7622" s="46" t="str">
        <f>IF(AND(I.Developer.P2a=TRUE,I.Facility.P2aFacilityCount&gt;=2610,F7622=""),"Incomplete","Complete")</f>
        <v>Complete</v>
      </c>
      <c r="I7622" s="48" t="s">
        <v>11987</v>
      </c>
    </row>
    <row r="7623" spans="2:9" ht="15" customHeight="1" x14ac:dyDescent="0.25">
      <c r="B7623" s="55" t="s">
        <v>280</v>
      </c>
      <c r="C7623" s="46">
        <v>2611</v>
      </c>
      <c r="D7623" s="69" t="s">
        <v>29417</v>
      </c>
      <c r="E7623" s="51"/>
      <c r="F7623" s="114" t="str">
        <f>IF(INDEX(I.Facility.P2aIDNumber,2611)="","",INDEX(I.Facility.P2aIDNumber,2611))</f>
        <v/>
      </c>
      <c r="G7623" s="51"/>
      <c r="H7623" s="46" t="str">
        <f>IF(AND(I.Developer.P2a=TRUE,I.Facility.P2aFacilityCount&gt;=2611,F7623=""),"Incomplete","Complete")</f>
        <v>Complete</v>
      </c>
      <c r="I7623" s="48" t="s">
        <v>11988</v>
      </c>
    </row>
    <row r="7624" spans="2:9" ht="15" customHeight="1" x14ac:dyDescent="0.25">
      <c r="B7624" s="55" t="s">
        <v>280</v>
      </c>
      <c r="C7624" s="46">
        <v>2612</v>
      </c>
      <c r="D7624" s="69" t="s">
        <v>29417</v>
      </c>
      <c r="E7624" s="51"/>
      <c r="F7624" s="114" t="str">
        <f>IF(INDEX(I.Facility.P2aIDNumber,2612)="","",INDEX(I.Facility.P2aIDNumber,2612))</f>
        <v/>
      </c>
      <c r="G7624" s="51"/>
      <c r="H7624" s="46" t="str">
        <f>IF(AND(I.Developer.P2a=TRUE,I.Facility.P2aFacilityCount&gt;=2612,F7624=""),"Incomplete","Complete")</f>
        <v>Complete</v>
      </c>
      <c r="I7624" s="48" t="s">
        <v>11989</v>
      </c>
    </row>
    <row r="7625" spans="2:9" ht="15" customHeight="1" x14ac:dyDescent="0.25">
      <c r="B7625" s="55" t="s">
        <v>280</v>
      </c>
      <c r="C7625" s="46">
        <v>2613</v>
      </c>
      <c r="D7625" s="69" t="s">
        <v>29417</v>
      </c>
      <c r="E7625" s="51"/>
      <c r="F7625" s="114" t="str">
        <f>IF(INDEX(I.Facility.P2aIDNumber,2613)="","",INDEX(I.Facility.P2aIDNumber,2613))</f>
        <v/>
      </c>
      <c r="G7625" s="51"/>
      <c r="H7625" s="46" t="str">
        <f>IF(AND(I.Developer.P2a=TRUE,I.Facility.P2aFacilityCount&gt;=2613,F7625=""),"Incomplete","Complete")</f>
        <v>Complete</v>
      </c>
      <c r="I7625" s="48" t="s">
        <v>11990</v>
      </c>
    </row>
    <row r="7626" spans="2:9" ht="15" customHeight="1" x14ac:dyDescent="0.25">
      <c r="B7626" s="55" t="s">
        <v>280</v>
      </c>
      <c r="C7626" s="46">
        <v>2614</v>
      </c>
      <c r="D7626" s="69" t="s">
        <v>29417</v>
      </c>
      <c r="E7626" s="51"/>
      <c r="F7626" s="114" t="str">
        <f>IF(INDEX(I.Facility.P2aIDNumber,2614)="","",INDEX(I.Facility.P2aIDNumber,2614))</f>
        <v/>
      </c>
      <c r="G7626" s="51"/>
      <c r="H7626" s="46" t="str">
        <f>IF(AND(I.Developer.P2a=TRUE,I.Facility.P2aFacilityCount&gt;=2614,F7626=""),"Incomplete","Complete")</f>
        <v>Complete</v>
      </c>
      <c r="I7626" s="48" t="s">
        <v>11991</v>
      </c>
    </row>
    <row r="7627" spans="2:9" ht="15" customHeight="1" x14ac:dyDescent="0.25">
      <c r="B7627" s="55" t="s">
        <v>280</v>
      </c>
      <c r="C7627" s="46">
        <v>2615</v>
      </c>
      <c r="D7627" s="69" t="s">
        <v>29417</v>
      </c>
      <c r="E7627" s="51"/>
      <c r="F7627" s="114" t="str">
        <f>IF(INDEX(I.Facility.P2aIDNumber,2615)="","",INDEX(I.Facility.P2aIDNumber,2615))</f>
        <v/>
      </c>
      <c r="G7627" s="51"/>
      <c r="H7627" s="46" t="str">
        <f>IF(AND(I.Developer.P2a=TRUE,I.Facility.P2aFacilityCount&gt;=2615,F7627=""),"Incomplete","Complete")</f>
        <v>Complete</v>
      </c>
      <c r="I7627" s="48" t="s">
        <v>11992</v>
      </c>
    </row>
    <row r="7628" spans="2:9" ht="15" customHeight="1" x14ac:dyDescent="0.25">
      <c r="B7628" s="55" t="s">
        <v>280</v>
      </c>
      <c r="C7628" s="46">
        <v>2616</v>
      </c>
      <c r="D7628" s="69" t="s">
        <v>29417</v>
      </c>
      <c r="E7628" s="51"/>
      <c r="F7628" s="114" t="str">
        <f>IF(INDEX(I.Facility.P2aIDNumber,2616)="","",INDEX(I.Facility.P2aIDNumber,2616))</f>
        <v/>
      </c>
      <c r="G7628" s="51"/>
      <c r="H7628" s="46" t="str">
        <f>IF(AND(I.Developer.P2a=TRUE,I.Facility.P2aFacilityCount&gt;=2616,F7628=""),"Incomplete","Complete")</f>
        <v>Complete</v>
      </c>
      <c r="I7628" s="48" t="s">
        <v>11993</v>
      </c>
    </row>
    <row r="7629" spans="2:9" ht="15" customHeight="1" x14ac:dyDescent="0.25">
      <c r="B7629" s="55" t="s">
        <v>280</v>
      </c>
      <c r="C7629" s="46">
        <v>2617</v>
      </c>
      <c r="D7629" s="69" t="s">
        <v>29417</v>
      </c>
      <c r="E7629" s="51"/>
      <c r="F7629" s="114" t="str">
        <f>IF(INDEX(I.Facility.P2aIDNumber,2617)="","",INDEX(I.Facility.P2aIDNumber,2617))</f>
        <v/>
      </c>
      <c r="G7629" s="51"/>
      <c r="H7629" s="46" t="str">
        <f>IF(AND(I.Developer.P2a=TRUE,I.Facility.P2aFacilityCount&gt;=2617,F7629=""),"Incomplete","Complete")</f>
        <v>Complete</v>
      </c>
      <c r="I7629" s="48" t="s">
        <v>11994</v>
      </c>
    </row>
    <row r="7630" spans="2:9" ht="15" customHeight="1" x14ac:dyDescent="0.25">
      <c r="B7630" s="55" t="s">
        <v>280</v>
      </c>
      <c r="C7630" s="46">
        <v>2618</v>
      </c>
      <c r="D7630" s="69" t="s">
        <v>29417</v>
      </c>
      <c r="E7630" s="51"/>
      <c r="F7630" s="114" t="str">
        <f>IF(INDEX(I.Facility.P2aIDNumber,2618)="","",INDEX(I.Facility.P2aIDNumber,2618))</f>
        <v/>
      </c>
      <c r="G7630" s="51"/>
      <c r="H7630" s="46" t="str">
        <f>IF(AND(I.Developer.P2a=TRUE,I.Facility.P2aFacilityCount&gt;=2618,F7630=""),"Incomplete","Complete")</f>
        <v>Complete</v>
      </c>
      <c r="I7630" s="48" t="s">
        <v>11995</v>
      </c>
    </row>
    <row r="7631" spans="2:9" ht="15" customHeight="1" x14ac:dyDescent="0.25">
      <c r="B7631" s="55" t="s">
        <v>280</v>
      </c>
      <c r="C7631" s="46">
        <v>2619</v>
      </c>
      <c r="D7631" s="69" t="s">
        <v>29417</v>
      </c>
      <c r="E7631" s="51"/>
      <c r="F7631" s="114" t="str">
        <f>IF(INDEX(I.Facility.P2aIDNumber,2619)="","",INDEX(I.Facility.P2aIDNumber,2619))</f>
        <v/>
      </c>
      <c r="G7631" s="51"/>
      <c r="H7631" s="46" t="str">
        <f>IF(AND(I.Developer.P2a=TRUE,I.Facility.P2aFacilityCount&gt;=2619,F7631=""),"Incomplete","Complete")</f>
        <v>Complete</v>
      </c>
      <c r="I7631" s="48" t="s">
        <v>11996</v>
      </c>
    </row>
    <row r="7632" spans="2:9" ht="15" customHeight="1" x14ac:dyDescent="0.25">
      <c r="B7632" s="55" t="s">
        <v>280</v>
      </c>
      <c r="C7632" s="46">
        <v>2620</v>
      </c>
      <c r="D7632" s="69" t="s">
        <v>29417</v>
      </c>
      <c r="E7632" s="51"/>
      <c r="F7632" s="114" t="str">
        <f>IF(INDEX(I.Facility.P2aIDNumber,2620)="","",INDEX(I.Facility.P2aIDNumber,2620))</f>
        <v/>
      </c>
      <c r="G7632" s="51"/>
      <c r="H7632" s="46" t="str">
        <f>IF(AND(I.Developer.P2a=TRUE,I.Facility.P2aFacilityCount&gt;=2620,F7632=""),"Incomplete","Complete")</f>
        <v>Complete</v>
      </c>
      <c r="I7632" s="48" t="s">
        <v>11997</v>
      </c>
    </row>
    <row r="7633" spans="2:9" ht="15" customHeight="1" x14ac:dyDescent="0.25">
      <c r="B7633" s="55" t="s">
        <v>280</v>
      </c>
      <c r="C7633" s="46">
        <v>2621</v>
      </c>
      <c r="D7633" s="69" t="s">
        <v>29417</v>
      </c>
      <c r="E7633" s="51"/>
      <c r="F7633" s="114" t="str">
        <f>IF(INDEX(I.Facility.P2aIDNumber,2621)="","",INDEX(I.Facility.P2aIDNumber,2621))</f>
        <v/>
      </c>
      <c r="G7633" s="51"/>
      <c r="H7633" s="46" t="str">
        <f>IF(AND(I.Developer.P2a=TRUE,I.Facility.P2aFacilityCount&gt;=2621,F7633=""),"Incomplete","Complete")</f>
        <v>Complete</v>
      </c>
      <c r="I7633" s="48" t="s">
        <v>11998</v>
      </c>
    </row>
    <row r="7634" spans="2:9" ht="15" customHeight="1" x14ac:dyDescent="0.25">
      <c r="B7634" s="55" t="s">
        <v>280</v>
      </c>
      <c r="C7634" s="46">
        <v>2622</v>
      </c>
      <c r="D7634" s="69" t="s">
        <v>29417</v>
      </c>
      <c r="E7634" s="51"/>
      <c r="F7634" s="114" t="str">
        <f>IF(INDEX(I.Facility.P2aIDNumber,2622)="","",INDEX(I.Facility.P2aIDNumber,2622))</f>
        <v/>
      </c>
      <c r="G7634" s="51"/>
      <c r="H7634" s="46" t="str">
        <f>IF(AND(I.Developer.P2a=TRUE,I.Facility.P2aFacilityCount&gt;=2622,F7634=""),"Incomplete","Complete")</f>
        <v>Complete</v>
      </c>
      <c r="I7634" s="48" t="s">
        <v>11999</v>
      </c>
    </row>
    <row r="7635" spans="2:9" ht="15" customHeight="1" x14ac:dyDescent="0.25">
      <c r="B7635" s="55" t="s">
        <v>280</v>
      </c>
      <c r="C7635" s="46">
        <v>2623</v>
      </c>
      <c r="D7635" s="69" t="s">
        <v>29417</v>
      </c>
      <c r="E7635" s="51"/>
      <c r="F7635" s="114" t="str">
        <f>IF(INDEX(I.Facility.P2aIDNumber,2623)="","",INDEX(I.Facility.P2aIDNumber,2623))</f>
        <v/>
      </c>
      <c r="G7635" s="51"/>
      <c r="H7635" s="46" t="str">
        <f>IF(AND(I.Developer.P2a=TRUE,I.Facility.P2aFacilityCount&gt;=2623,F7635=""),"Incomplete","Complete")</f>
        <v>Complete</v>
      </c>
      <c r="I7635" s="48" t="s">
        <v>12000</v>
      </c>
    </row>
    <row r="7636" spans="2:9" ht="15" customHeight="1" x14ac:dyDescent="0.25">
      <c r="B7636" s="55" t="s">
        <v>280</v>
      </c>
      <c r="C7636" s="46">
        <v>2624</v>
      </c>
      <c r="D7636" s="69" t="s">
        <v>29417</v>
      </c>
      <c r="E7636" s="51"/>
      <c r="F7636" s="114" t="str">
        <f>IF(INDEX(I.Facility.P2aIDNumber,2624)="","",INDEX(I.Facility.P2aIDNumber,2624))</f>
        <v/>
      </c>
      <c r="G7636" s="51"/>
      <c r="H7636" s="46" t="str">
        <f>IF(AND(I.Developer.P2a=TRUE,I.Facility.P2aFacilityCount&gt;=2624,F7636=""),"Incomplete","Complete")</f>
        <v>Complete</v>
      </c>
      <c r="I7636" s="48" t="s">
        <v>12001</v>
      </c>
    </row>
    <row r="7637" spans="2:9" ht="15" customHeight="1" x14ac:dyDescent="0.25">
      <c r="B7637" s="55" t="s">
        <v>280</v>
      </c>
      <c r="C7637" s="46">
        <v>2625</v>
      </c>
      <c r="D7637" s="69" t="s">
        <v>29417</v>
      </c>
      <c r="E7637" s="51"/>
      <c r="F7637" s="114" t="str">
        <f>IF(INDEX(I.Facility.P2aIDNumber,2625)="","",INDEX(I.Facility.P2aIDNumber,2625))</f>
        <v/>
      </c>
      <c r="G7637" s="51"/>
      <c r="H7637" s="46" t="str">
        <f>IF(AND(I.Developer.P2a=TRUE,I.Facility.P2aFacilityCount&gt;=2625,F7637=""),"Incomplete","Complete")</f>
        <v>Complete</v>
      </c>
      <c r="I7637" s="48" t="s">
        <v>12002</v>
      </c>
    </row>
    <row r="7638" spans="2:9" ht="15" customHeight="1" x14ac:dyDescent="0.25">
      <c r="B7638" s="55" t="s">
        <v>280</v>
      </c>
      <c r="C7638" s="46">
        <v>2626</v>
      </c>
      <c r="D7638" s="69" t="s">
        <v>29417</v>
      </c>
      <c r="E7638" s="51"/>
      <c r="F7638" s="114" t="str">
        <f>IF(INDEX(I.Facility.P2aIDNumber,2626)="","",INDEX(I.Facility.P2aIDNumber,2626))</f>
        <v/>
      </c>
      <c r="G7638" s="51"/>
      <c r="H7638" s="46" t="str">
        <f>IF(AND(I.Developer.P2a=TRUE,I.Facility.P2aFacilityCount&gt;=2626,F7638=""),"Incomplete","Complete")</f>
        <v>Complete</v>
      </c>
      <c r="I7638" s="48" t="s">
        <v>12003</v>
      </c>
    </row>
    <row r="7639" spans="2:9" ht="15" customHeight="1" x14ac:dyDescent="0.25">
      <c r="B7639" s="55" t="s">
        <v>280</v>
      </c>
      <c r="C7639" s="46">
        <v>2627</v>
      </c>
      <c r="D7639" s="69" t="s">
        <v>29417</v>
      </c>
      <c r="E7639" s="51"/>
      <c r="F7639" s="114" t="str">
        <f>IF(INDEX(I.Facility.P2aIDNumber,2627)="","",INDEX(I.Facility.P2aIDNumber,2627))</f>
        <v/>
      </c>
      <c r="G7639" s="51"/>
      <c r="H7639" s="46" t="str">
        <f>IF(AND(I.Developer.P2a=TRUE,I.Facility.P2aFacilityCount&gt;=2627,F7639=""),"Incomplete","Complete")</f>
        <v>Complete</v>
      </c>
      <c r="I7639" s="48" t="s">
        <v>12004</v>
      </c>
    </row>
    <row r="7640" spans="2:9" ht="15" customHeight="1" x14ac:dyDescent="0.25">
      <c r="B7640" s="55" t="s">
        <v>280</v>
      </c>
      <c r="C7640" s="46">
        <v>2628</v>
      </c>
      <c r="D7640" s="69" t="s">
        <v>29417</v>
      </c>
      <c r="E7640" s="51"/>
      <c r="F7640" s="114" t="str">
        <f>IF(INDEX(I.Facility.P2aIDNumber,2628)="","",INDEX(I.Facility.P2aIDNumber,2628))</f>
        <v/>
      </c>
      <c r="G7640" s="51"/>
      <c r="H7640" s="46" t="str">
        <f>IF(AND(I.Developer.P2a=TRUE,I.Facility.P2aFacilityCount&gt;=2628,F7640=""),"Incomplete","Complete")</f>
        <v>Complete</v>
      </c>
      <c r="I7640" s="48" t="s">
        <v>12005</v>
      </c>
    </row>
    <row r="7641" spans="2:9" ht="15" customHeight="1" x14ac:dyDescent="0.25">
      <c r="B7641" s="55" t="s">
        <v>280</v>
      </c>
      <c r="C7641" s="46">
        <v>2629</v>
      </c>
      <c r="D7641" s="69" t="s">
        <v>29417</v>
      </c>
      <c r="E7641" s="51"/>
      <c r="F7641" s="114" t="str">
        <f>IF(INDEX(I.Facility.P2aIDNumber,2629)="","",INDEX(I.Facility.P2aIDNumber,2629))</f>
        <v/>
      </c>
      <c r="G7641" s="51"/>
      <c r="H7641" s="46" t="str">
        <f>IF(AND(I.Developer.P2a=TRUE,I.Facility.P2aFacilityCount&gt;=2629,F7641=""),"Incomplete","Complete")</f>
        <v>Complete</v>
      </c>
      <c r="I7641" s="48" t="s">
        <v>12006</v>
      </c>
    </row>
    <row r="7642" spans="2:9" ht="15" customHeight="1" x14ac:dyDescent="0.25">
      <c r="B7642" s="55" t="s">
        <v>280</v>
      </c>
      <c r="C7642" s="46">
        <v>2630</v>
      </c>
      <c r="D7642" s="69" t="s">
        <v>29417</v>
      </c>
      <c r="E7642" s="51"/>
      <c r="F7642" s="114" t="str">
        <f>IF(INDEX(I.Facility.P2aIDNumber,2630)="","",INDEX(I.Facility.P2aIDNumber,2630))</f>
        <v/>
      </c>
      <c r="G7642" s="51"/>
      <c r="H7642" s="46" t="str">
        <f>IF(AND(I.Developer.P2a=TRUE,I.Facility.P2aFacilityCount&gt;=2630,F7642=""),"Incomplete","Complete")</f>
        <v>Complete</v>
      </c>
      <c r="I7642" s="48" t="s">
        <v>12007</v>
      </c>
    </row>
    <row r="7643" spans="2:9" ht="15" customHeight="1" x14ac:dyDescent="0.25">
      <c r="B7643" s="55" t="s">
        <v>280</v>
      </c>
      <c r="C7643" s="46">
        <v>2631</v>
      </c>
      <c r="D7643" s="69" t="s">
        <v>29417</v>
      </c>
      <c r="E7643" s="51"/>
      <c r="F7643" s="114" t="str">
        <f>IF(INDEX(I.Facility.P2aIDNumber,2631)="","",INDEX(I.Facility.P2aIDNumber,2631))</f>
        <v/>
      </c>
      <c r="G7643" s="51"/>
      <c r="H7643" s="46" t="str">
        <f>IF(AND(I.Developer.P2a=TRUE,I.Facility.P2aFacilityCount&gt;=2631,F7643=""),"Incomplete","Complete")</f>
        <v>Complete</v>
      </c>
      <c r="I7643" s="48" t="s">
        <v>12008</v>
      </c>
    </row>
    <row r="7644" spans="2:9" ht="15" customHeight="1" x14ac:dyDescent="0.25">
      <c r="B7644" s="55" t="s">
        <v>280</v>
      </c>
      <c r="C7644" s="46">
        <v>2632</v>
      </c>
      <c r="D7644" s="69" t="s">
        <v>29417</v>
      </c>
      <c r="E7644" s="51"/>
      <c r="F7644" s="114" t="str">
        <f>IF(INDEX(I.Facility.P2aIDNumber,2632)="","",INDEX(I.Facility.P2aIDNumber,2632))</f>
        <v/>
      </c>
      <c r="G7644" s="51"/>
      <c r="H7644" s="46" t="str">
        <f>IF(AND(I.Developer.P2a=TRUE,I.Facility.P2aFacilityCount&gt;=2632,F7644=""),"Incomplete","Complete")</f>
        <v>Complete</v>
      </c>
      <c r="I7644" s="48" t="s">
        <v>12009</v>
      </c>
    </row>
    <row r="7645" spans="2:9" ht="15" customHeight="1" x14ac:dyDescent="0.25">
      <c r="B7645" s="55" t="s">
        <v>280</v>
      </c>
      <c r="C7645" s="46">
        <v>2633</v>
      </c>
      <c r="D7645" s="69" t="s">
        <v>29417</v>
      </c>
      <c r="E7645" s="51"/>
      <c r="F7645" s="114" t="str">
        <f>IF(INDEX(I.Facility.P2aIDNumber,2633)="","",INDEX(I.Facility.P2aIDNumber,2633))</f>
        <v/>
      </c>
      <c r="G7645" s="51"/>
      <c r="H7645" s="46" t="str">
        <f>IF(AND(I.Developer.P2a=TRUE,I.Facility.P2aFacilityCount&gt;=2633,F7645=""),"Incomplete","Complete")</f>
        <v>Complete</v>
      </c>
      <c r="I7645" s="48" t="s">
        <v>12010</v>
      </c>
    </row>
    <row r="7646" spans="2:9" ht="15" customHeight="1" x14ac:dyDescent="0.25">
      <c r="B7646" s="55" t="s">
        <v>280</v>
      </c>
      <c r="C7646" s="46">
        <v>2634</v>
      </c>
      <c r="D7646" s="69" t="s">
        <v>29417</v>
      </c>
      <c r="E7646" s="51"/>
      <c r="F7646" s="114" t="str">
        <f>IF(INDEX(I.Facility.P2aIDNumber,2634)="","",INDEX(I.Facility.P2aIDNumber,2634))</f>
        <v/>
      </c>
      <c r="G7646" s="51"/>
      <c r="H7646" s="46" t="str">
        <f>IF(AND(I.Developer.P2a=TRUE,I.Facility.P2aFacilityCount&gt;=2634,F7646=""),"Incomplete","Complete")</f>
        <v>Complete</v>
      </c>
      <c r="I7646" s="48" t="s">
        <v>12011</v>
      </c>
    </row>
    <row r="7647" spans="2:9" ht="15" customHeight="1" x14ac:dyDescent="0.25">
      <c r="B7647" s="55" t="s">
        <v>280</v>
      </c>
      <c r="C7647" s="46">
        <v>2635</v>
      </c>
      <c r="D7647" s="69" t="s">
        <v>29417</v>
      </c>
      <c r="E7647" s="51"/>
      <c r="F7647" s="114" t="str">
        <f>IF(INDEX(I.Facility.P2aIDNumber,2635)="","",INDEX(I.Facility.P2aIDNumber,2635))</f>
        <v/>
      </c>
      <c r="G7647" s="51"/>
      <c r="H7647" s="46" t="str">
        <f>IF(AND(I.Developer.P2a=TRUE,I.Facility.P2aFacilityCount&gt;=2635,F7647=""),"Incomplete","Complete")</f>
        <v>Complete</v>
      </c>
      <c r="I7647" s="48" t="s">
        <v>12012</v>
      </c>
    </row>
    <row r="7648" spans="2:9" ht="15" customHeight="1" x14ac:dyDescent="0.25">
      <c r="B7648" s="55" t="s">
        <v>280</v>
      </c>
      <c r="C7648" s="46">
        <v>2636</v>
      </c>
      <c r="D7648" s="69" t="s">
        <v>29417</v>
      </c>
      <c r="E7648" s="51"/>
      <c r="F7648" s="114" t="str">
        <f>IF(INDEX(I.Facility.P2aIDNumber,2636)="","",INDEX(I.Facility.P2aIDNumber,2636))</f>
        <v/>
      </c>
      <c r="G7648" s="51"/>
      <c r="H7648" s="46" t="str">
        <f>IF(AND(I.Developer.P2a=TRUE,I.Facility.P2aFacilityCount&gt;=2636,F7648=""),"Incomplete","Complete")</f>
        <v>Complete</v>
      </c>
      <c r="I7648" s="48" t="s">
        <v>12013</v>
      </c>
    </row>
    <row r="7649" spans="2:9" ht="15" customHeight="1" x14ac:dyDescent="0.25">
      <c r="B7649" s="55" t="s">
        <v>280</v>
      </c>
      <c r="C7649" s="46">
        <v>2637</v>
      </c>
      <c r="D7649" s="69" t="s">
        <v>29417</v>
      </c>
      <c r="E7649" s="51"/>
      <c r="F7649" s="114" t="str">
        <f>IF(INDEX(I.Facility.P2aIDNumber,2637)="","",INDEX(I.Facility.P2aIDNumber,2637))</f>
        <v/>
      </c>
      <c r="G7649" s="51"/>
      <c r="H7649" s="46" t="str">
        <f>IF(AND(I.Developer.P2a=TRUE,I.Facility.P2aFacilityCount&gt;=2637,F7649=""),"Incomplete","Complete")</f>
        <v>Complete</v>
      </c>
      <c r="I7649" s="48" t="s">
        <v>12014</v>
      </c>
    </row>
    <row r="7650" spans="2:9" ht="15" customHeight="1" x14ac:dyDescent="0.25">
      <c r="B7650" s="55" t="s">
        <v>280</v>
      </c>
      <c r="C7650" s="46">
        <v>2638</v>
      </c>
      <c r="D7650" s="69" t="s">
        <v>29417</v>
      </c>
      <c r="E7650" s="51"/>
      <c r="F7650" s="114" t="str">
        <f>IF(INDEX(I.Facility.P2aIDNumber,2638)="","",INDEX(I.Facility.P2aIDNumber,2638))</f>
        <v/>
      </c>
      <c r="G7650" s="51"/>
      <c r="H7650" s="46" t="str">
        <f>IF(AND(I.Developer.P2a=TRUE,I.Facility.P2aFacilityCount&gt;=2638,F7650=""),"Incomplete","Complete")</f>
        <v>Complete</v>
      </c>
      <c r="I7650" s="48" t="s">
        <v>12015</v>
      </c>
    </row>
    <row r="7651" spans="2:9" ht="15" customHeight="1" x14ac:dyDescent="0.25">
      <c r="B7651" s="55" t="s">
        <v>280</v>
      </c>
      <c r="C7651" s="46">
        <v>2639</v>
      </c>
      <c r="D7651" s="69" t="s">
        <v>29417</v>
      </c>
      <c r="E7651" s="51"/>
      <c r="F7651" s="114" t="str">
        <f>IF(INDEX(I.Facility.P2aIDNumber,2639)="","",INDEX(I.Facility.P2aIDNumber,2639))</f>
        <v/>
      </c>
      <c r="G7651" s="51"/>
      <c r="H7651" s="46" t="str">
        <f>IF(AND(I.Developer.P2a=TRUE,I.Facility.P2aFacilityCount&gt;=2639,F7651=""),"Incomplete","Complete")</f>
        <v>Complete</v>
      </c>
      <c r="I7651" s="48" t="s">
        <v>12016</v>
      </c>
    </row>
    <row r="7652" spans="2:9" ht="15" customHeight="1" x14ac:dyDescent="0.25">
      <c r="B7652" s="55" t="s">
        <v>280</v>
      </c>
      <c r="C7652" s="46">
        <v>2640</v>
      </c>
      <c r="D7652" s="69" t="s">
        <v>29417</v>
      </c>
      <c r="E7652" s="51"/>
      <c r="F7652" s="114" t="str">
        <f>IF(INDEX(I.Facility.P2aIDNumber,2640)="","",INDEX(I.Facility.P2aIDNumber,2640))</f>
        <v/>
      </c>
      <c r="G7652" s="51"/>
      <c r="H7652" s="46" t="str">
        <f>IF(AND(I.Developer.P2a=TRUE,I.Facility.P2aFacilityCount&gt;=2640,F7652=""),"Incomplete","Complete")</f>
        <v>Complete</v>
      </c>
      <c r="I7652" s="48" t="s">
        <v>12017</v>
      </c>
    </row>
    <row r="7653" spans="2:9" ht="15" customHeight="1" x14ac:dyDescent="0.25">
      <c r="B7653" s="55" t="s">
        <v>280</v>
      </c>
      <c r="C7653" s="46">
        <v>2641</v>
      </c>
      <c r="D7653" s="69" t="s">
        <v>29417</v>
      </c>
      <c r="E7653" s="51"/>
      <c r="F7653" s="114" t="str">
        <f>IF(INDEX(I.Facility.P2aIDNumber,2641)="","",INDEX(I.Facility.P2aIDNumber,2641))</f>
        <v/>
      </c>
      <c r="G7653" s="51"/>
      <c r="H7653" s="46" t="str">
        <f>IF(AND(I.Developer.P2a=TRUE,I.Facility.P2aFacilityCount&gt;=2641,F7653=""),"Incomplete","Complete")</f>
        <v>Complete</v>
      </c>
      <c r="I7653" s="48" t="s">
        <v>12018</v>
      </c>
    </row>
    <row r="7654" spans="2:9" ht="15" customHeight="1" x14ac:dyDescent="0.25">
      <c r="B7654" s="55" t="s">
        <v>280</v>
      </c>
      <c r="C7654" s="46">
        <v>2642</v>
      </c>
      <c r="D7654" s="69" t="s">
        <v>29417</v>
      </c>
      <c r="E7654" s="51"/>
      <c r="F7654" s="114" t="str">
        <f>IF(INDEX(I.Facility.P2aIDNumber,2642)="","",INDEX(I.Facility.P2aIDNumber,2642))</f>
        <v/>
      </c>
      <c r="G7654" s="51"/>
      <c r="H7654" s="46" t="str">
        <f>IF(AND(I.Developer.P2a=TRUE,I.Facility.P2aFacilityCount&gt;=2642,F7654=""),"Incomplete","Complete")</f>
        <v>Complete</v>
      </c>
      <c r="I7654" s="48" t="s">
        <v>12019</v>
      </c>
    </row>
    <row r="7655" spans="2:9" ht="15" customHeight="1" x14ac:dyDescent="0.25">
      <c r="B7655" s="55" t="s">
        <v>280</v>
      </c>
      <c r="C7655" s="46">
        <v>2643</v>
      </c>
      <c r="D7655" s="69" t="s">
        <v>29417</v>
      </c>
      <c r="E7655" s="51"/>
      <c r="F7655" s="114" t="str">
        <f>IF(INDEX(I.Facility.P2aIDNumber,2643)="","",INDEX(I.Facility.P2aIDNumber,2643))</f>
        <v/>
      </c>
      <c r="G7655" s="51"/>
      <c r="H7655" s="46" t="str">
        <f>IF(AND(I.Developer.P2a=TRUE,I.Facility.P2aFacilityCount&gt;=2643,F7655=""),"Incomplete","Complete")</f>
        <v>Complete</v>
      </c>
      <c r="I7655" s="48" t="s">
        <v>12020</v>
      </c>
    </row>
    <row r="7656" spans="2:9" ht="15" customHeight="1" x14ac:dyDescent="0.25">
      <c r="B7656" s="55" t="s">
        <v>280</v>
      </c>
      <c r="C7656" s="46">
        <v>2644</v>
      </c>
      <c r="D7656" s="69" t="s">
        <v>29417</v>
      </c>
      <c r="E7656" s="51"/>
      <c r="F7656" s="114" t="str">
        <f>IF(INDEX(I.Facility.P2aIDNumber,2644)="","",INDEX(I.Facility.P2aIDNumber,2644))</f>
        <v/>
      </c>
      <c r="G7656" s="51"/>
      <c r="H7656" s="46" t="str">
        <f>IF(AND(I.Developer.P2a=TRUE,I.Facility.P2aFacilityCount&gt;=2644,F7656=""),"Incomplete","Complete")</f>
        <v>Complete</v>
      </c>
      <c r="I7656" s="48" t="s">
        <v>12021</v>
      </c>
    </row>
    <row r="7657" spans="2:9" ht="15" customHeight="1" x14ac:dyDescent="0.25">
      <c r="B7657" s="55" t="s">
        <v>280</v>
      </c>
      <c r="C7657" s="46">
        <v>2645</v>
      </c>
      <c r="D7657" s="69" t="s">
        <v>29417</v>
      </c>
      <c r="E7657" s="51"/>
      <c r="F7657" s="114" t="str">
        <f>IF(INDEX(I.Facility.P2aIDNumber,2645)="","",INDEX(I.Facility.P2aIDNumber,2645))</f>
        <v/>
      </c>
      <c r="G7657" s="51"/>
      <c r="H7657" s="46" t="str">
        <f>IF(AND(I.Developer.P2a=TRUE,I.Facility.P2aFacilityCount&gt;=2645,F7657=""),"Incomplete","Complete")</f>
        <v>Complete</v>
      </c>
      <c r="I7657" s="48" t="s">
        <v>12022</v>
      </c>
    </row>
    <row r="7658" spans="2:9" ht="15" customHeight="1" x14ac:dyDescent="0.25">
      <c r="B7658" s="55" t="s">
        <v>280</v>
      </c>
      <c r="C7658" s="46">
        <v>2646</v>
      </c>
      <c r="D7658" s="69" t="s">
        <v>29417</v>
      </c>
      <c r="E7658" s="51"/>
      <c r="F7658" s="114" t="str">
        <f>IF(INDEX(I.Facility.P2aIDNumber,2646)="","",INDEX(I.Facility.P2aIDNumber,2646))</f>
        <v/>
      </c>
      <c r="G7658" s="51"/>
      <c r="H7658" s="46" t="str">
        <f>IF(AND(I.Developer.P2a=TRUE,I.Facility.P2aFacilityCount&gt;=2646,F7658=""),"Incomplete","Complete")</f>
        <v>Complete</v>
      </c>
      <c r="I7658" s="48" t="s">
        <v>12023</v>
      </c>
    </row>
    <row r="7659" spans="2:9" ht="15" customHeight="1" x14ac:dyDescent="0.25">
      <c r="B7659" s="55" t="s">
        <v>280</v>
      </c>
      <c r="C7659" s="46">
        <v>2647</v>
      </c>
      <c r="D7659" s="69" t="s">
        <v>29417</v>
      </c>
      <c r="E7659" s="51"/>
      <c r="F7659" s="114" t="str">
        <f>IF(INDEX(I.Facility.P2aIDNumber,2647)="","",INDEX(I.Facility.P2aIDNumber,2647))</f>
        <v/>
      </c>
      <c r="G7659" s="51"/>
      <c r="H7659" s="46" t="str">
        <f>IF(AND(I.Developer.P2a=TRUE,I.Facility.P2aFacilityCount&gt;=2647,F7659=""),"Incomplete","Complete")</f>
        <v>Complete</v>
      </c>
      <c r="I7659" s="48" t="s">
        <v>12024</v>
      </c>
    </row>
    <row r="7660" spans="2:9" ht="15" customHeight="1" x14ac:dyDescent="0.25">
      <c r="B7660" s="55" t="s">
        <v>280</v>
      </c>
      <c r="C7660" s="46">
        <v>2648</v>
      </c>
      <c r="D7660" s="69" t="s">
        <v>29417</v>
      </c>
      <c r="E7660" s="51"/>
      <c r="F7660" s="114" t="str">
        <f>IF(INDEX(I.Facility.P2aIDNumber,2648)="","",INDEX(I.Facility.P2aIDNumber,2648))</f>
        <v/>
      </c>
      <c r="G7660" s="51"/>
      <c r="H7660" s="46" t="str">
        <f>IF(AND(I.Developer.P2a=TRUE,I.Facility.P2aFacilityCount&gt;=2648,F7660=""),"Incomplete","Complete")</f>
        <v>Complete</v>
      </c>
      <c r="I7660" s="48" t="s">
        <v>12025</v>
      </c>
    </row>
    <row r="7661" spans="2:9" ht="15" customHeight="1" x14ac:dyDescent="0.25">
      <c r="B7661" s="55" t="s">
        <v>280</v>
      </c>
      <c r="C7661" s="46">
        <v>2649</v>
      </c>
      <c r="D7661" s="69" t="s">
        <v>29417</v>
      </c>
      <c r="E7661" s="51"/>
      <c r="F7661" s="114" t="str">
        <f>IF(INDEX(I.Facility.P2aIDNumber,2649)="","",INDEX(I.Facility.P2aIDNumber,2649))</f>
        <v/>
      </c>
      <c r="G7661" s="51"/>
      <c r="H7661" s="46" t="str">
        <f>IF(AND(I.Developer.P2a=TRUE,I.Facility.P2aFacilityCount&gt;=2649,F7661=""),"Incomplete","Complete")</f>
        <v>Complete</v>
      </c>
      <c r="I7661" s="48" t="s">
        <v>12026</v>
      </c>
    </row>
    <row r="7662" spans="2:9" ht="15" customHeight="1" x14ac:dyDescent="0.25">
      <c r="B7662" s="55" t="s">
        <v>280</v>
      </c>
      <c r="C7662" s="46">
        <v>2650</v>
      </c>
      <c r="D7662" s="69" t="s">
        <v>29417</v>
      </c>
      <c r="E7662" s="51"/>
      <c r="F7662" s="114" t="str">
        <f>IF(INDEX(I.Facility.P2aIDNumber,2650)="","",INDEX(I.Facility.P2aIDNumber,2650))</f>
        <v/>
      </c>
      <c r="G7662" s="51"/>
      <c r="H7662" s="46" t="str">
        <f>IF(AND(I.Developer.P2a=TRUE,I.Facility.P2aFacilityCount&gt;=2650,F7662=""),"Incomplete","Complete")</f>
        <v>Complete</v>
      </c>
      <c r="I7662" s="48" t="s">
        <v>12027</v>
      </c>
    </row>
    <row r="7663" spans="2:9" ht="15" customHeight="1" x14ac:dyDescent="0.25">
      <c r="B7663" s="55" t="s">
        <v>280</v>
      </c>
      <c r="C7663" s="46">
        <v>2651</v>
      </c>
      <c r="D7663" s="69" t="s">
        <v>29417</v>
      </c>
      <c r="E7663" s="51"/>
      <c r="F7663" s="114" t="str">
        <f>IF(INDEX(I.Facility.P2aIDNumber,2651)="","",INDEX(I.Facility.P2aIDNumber,2651))</f>
        <v/>
      </c>
      <c r="G7663" s="51"/>
      <c r="H7663" s="46" t="str">
        <f>IF(AND(I.Developer.P2a=TRUE,I.Facility.P2aFacilityCount&gt;=2651,F7663=""),"Incomplete","Complete")</f>
        <v>Complete</v>
      </c>
      <c r="I7663" s="48" t="s">
        <v>12028</v>
      </c>
    </row>
    <row r="7664" spans="2:9" ht="15" customHeight="1" x14ac:dyDescent="0.25">
      <c r="B7664" s="55" t="s">
        <v>280</v>
      </c>
      <c r="C7664" s="46">
        <v>2652</v>
      </c>
      <c r="D7664" s="69" t="s">
        <v>29417</v>
      </c>
      <c r="E7664" s="51"/>
      <c r="F7664" s="114" t="str">
        <f>IF(INDEX(I.Facility.P2aIDNumber,2652)="","",INDEX(I.Facility.P2aIDNumber,2652))</f>
        <v/>
      </c>
      <c r="G7664" s="51"/>
      <c r="H7664" s="46" t="str">
        <f>IF(AND(I.Developer.P2a=TRUE,I.Facility.P2aFacilityCount&gt;=2652,F7664=""),"Incomplete","Complete")</f>
        <v>Complete</v>
      </c>
      <c r="I7664" s="48" t="s">
        <v>12029</v>
      </c>
    </row>
    <row r="7665" spans="2:9" ht="15" customHeight="1" x14ac:dyDescent="0.25">
      <c r="B7665" s="55" t="s">
        <v>280</v>
      </c>
      <c r="C7665" s="46">
        <v>2653</v>
      </c>
      <c r="D7665" s="69" t="s">
        <v>29417</v>
      </c>
      <c r="E7665" s="51"/>
      <c r="F7665" s="114" t="str">
        <f>IF(INDEX(I.Facility.P2aIDNumber,2653)="","",INDEX(I.Facility.P2aIDNumber,2653))</f>
        <v/>
      </c>
      <c r="G7665" s="51"/>
      <c r="H7665" s="46" t="str">
        <f>IF(AND(I.Developer.P2a=TRUE,I.Facility.P2aFacilityCount&gt;=2653,F7665=""),"Incomplete","Complete")</f>
        <v>Complete</v>
      </c>
      <c r="I7665" s="48" t="s">
        <v>12030</v>
      </c>
    </row>
    <row r="7666" spans="2:9" ht="15" customHeight="1" x14ac:dyDescent="0.25">
      <c r="B7666" s="55" t="s">
        <v>280</v>
      </c>
      <c r="C7666" s="46">
        <v>2654</v>
      </c>
      <c r="D7666" s="69" t="s">
        <v>29417</v>
      </c>
      <c r="E7666" s="51"/>
      <c r="F7666" s="114" t="str">
        <f>IF(INDEX(I.Facility.P2aIDNumber,2654)="","",INDEX(I.Facility.P2aIDNumber,2654))</f>
        <v/>
      </c>
      <c r="G7666" s="51"/>
      <c r="H7666" s="46" t="str">
        <f>IF(AND(I.Developer.P2a=TRUE,I.Facility.P2aFacilityCount&gt;=2654,F7666=""),"Incomplete","Complete")</f>
        <v>Complete</v>
      </c>
      <c r="I7666" s="48" t="s">
        <v>12031</v>
      </c>
    </row>
    <row r="7667" spans="2:9" ht="15" customHeight="1" x14ac:dyDescent="0.25">
      <c r="B7667" s="55" t="s">
        <v>280</v>
      </c>
      <c r="C7667" s="46">
        <v>2655</v>
      </c>
      <c r="D7667" s="69" t="s">
        <v>29417</v>
      </c>
      <c r="E7667" s="51"/>
      <c r="F7667" s="114" t="str">
        <f>IF(INDEX(I.Facility.P2aIDNumber,2655)="","",INDEX(I.Facility.P2aIDNumber,2655))</f>
        <v/>
      </c>
      <c r="G7667" s="51"/>
      <c r="H7667" s="46" t="str">
        <f>IF(AND(I.Developer.P2a=TRUE,I.Facility.P2aFacilityCount&gt;=2655,F7667=""),"Incomplete","Complete")</f>
        <v>Complete</v>
      </c>
      <c r="I7667" s="48" t="s">
        <v>12032</v>
      </c>
    </row>
    <row r="7668" spans="2:9" ht="15" customHeight="1" x14ac:dyDescent="0.25">
      <c r="B7668" s="55" t="s">
        <v>280</v>
      </c>
      <c r="C7668" s="46">
        <v>2656</v>
      </c>
      <c r="D7668" s="69" t="s">
        <v>29417</v>
      </c>
      <c r="E7668" s="51"/>
      <c r="F7668" s="114" t="str">
        <f>IF(INDEX(I.Facility.P2aIDNumber,2656)="","",INDEX(I.Facility.P2aIDNumber,2656))</f>
        <v/>
      </c>
      <c r="G7668" s="51"/>
      <c r="H7668" s="46" t="str">
        <f>IF(AND(I.Developer.P2a=TRUE,I.Facility.P2aFacilityCount&gt;=2656,F7668=""),"Incomplete","Complete")</f>
        <v>Complete</v>
      </c>
      <c r="I7668" s="48" t="s">
        <v>12033</v>
      </c>
    </row>
    <row r="7669" spans="2:9" ht="15" customHeight="1" x14ac:dyDescent="0.25">
      <c r="B7669" s="55" t="s">
        <v>280</v>
      </c>
      <c r="C7669" s="46">
        <v>2657</v>
      </c>
      <c r="D7669" s="69" t="s">
        <v>29417</v>
      </c>
      <c r="E7669" s="51"/>
      <c r="F7669" s="114" t="str">
        <f>IF(INDEX(I.Facility.P2aIDNumber,2657)="","",INDEX(I.Facility.P2aIDNumber,2657))</f>
        <v/>
      </c>
      <c r="G7669" s="51"/>
      <c r="H7669" s="46" t="str">
        <f>IF(AND(I.Developer.P2a=TRUE,I.Facility.P2aFacilityCount&gt;=2657,F7669=""),"Incomplete","Complete")</f>
        <v>Complete</v>
      </c>
      <c r="I7669" s="48" t="s">
        <v>12034</v>
      </c>
    </row>
    <row r="7670" spans="2:9" ht="15" customHeight="1" x14ac:dyDescent="0.25">
      <c r="B7670" s="55" t="s">
        <v>280</v>
      </c>
      <c r="C7670" s="46">
        <v>2658</v>
      </c>
      <c r="D7670" s="69" t="s">
        <v>29417</v>
      </c>
      <c r="E7670" s="51"/>
      <c r="F7670" s="114" t="str">
        <f>IF(INDEX(I.Facility.P2aIDNumber,2658)="","",INDEX(I.Facility.P2aIDNumber,2658))</f>
        <v/>
      </c>
      <c r="G7670" s="51"/>
      <c r="H7670" s="46" t="str">
        <f>IF(AND(I.Developer.P2a=TRUE,I.Facility.P2aFacilityCount&gt;=2658,F7670=""),"Incomplete","Complete")</f>
        <v>Complete</v>
      </c>
      <c r="I7670" s="48" t="s">
        <v>12035</v>
      </c>
    </row>
    <row r="7671" spans="2:9" ht="15" customHeight="1" x14ac:dyDescent="0.25">
      <c r="B7671" s="55" t="s">
        <v>280</v>
      </c>
      <c r="C7671" s="46">
        <v>2659</v>
      </c>
      <c r="D7671" s="69" t="s">
        <v>29417</v>
      </c>
      <c r="E7671" s="51"/>
      <c r="F7671" s="114" t="str">
        <f>IF(INDEX(I.Facility.P2aIDNumber,2659)="","",INDEX(I.Facility.P2aIDNumber,2659))</f>
        <v/>
      </c>
      <c r="G7671" s="51"/>
      <c r="H7671" s="46" t="str">
        <f>IF(AND(I.Developer.P2a=TRUE,I.Facility.P2aFacilityCount&gt;=2659,F7671=""),"Incomplete","Complete")</f>
        <v>Complete</v>
      </c>
      <c r="I7671" s="48" t="s">
        <v>12036</v>
      </c>
    </row>
    <row r="7672" spans="2:9" ht="15" customHeight="1" x14ac:dyDescent="0.25">
      <c r="B7672" s="55" t="s">
        <v>280</v>
      </c>
      <c r="C7672" s="46">
        <v>2660</v>
      </c>
      <c r="D7672" s="69" t="s">
        <v>29417</v>
      </c>
      <c r="E7672" s="51"/>
      <c r="F7672" s="114" t="str">
        <f>IF(INDEX(I.Facility.P2aIDNumber,2660)="","",INDEX(I.Facility.P2aIDNumber,2660))</f>
        <v/>
      </c>
      <c r="G7672" s="51"/>
      <c r="H7672" s="46" t="str">
        <f>IF(AND(I.Developer.P2a=TRUE,I.Facility.P2aFacilityCount&gt;=2660,F7672=""),"Incomplete","Complete")</f>
        <v>Complete</v>
      </c>
      <c r="I7672" s="48" t="s">
        <v>12037</v>
      </c>
    </row>
    <row r="7673" spans="2:9" ht="15" customHeight="1" x14ac:dyDescent="0.25">
      <c r="B7673" s="55" t="s">
        <v>280</v>
      </c>
      <c r="C7673" s="46">
        <v>2661</v>
      </c>
      <c r="D7673" s="69" t="s">
        <v>29417</v>
      </c>
      <c r="E7673" s="51"/>
      <c r="F7673" s="114" t="str">
        <f>IF(INDEX(I.Facility.P2aIDNumber,2661)="","",INDEX(I.Facility.P2aIDNumber,2661))</f>
        <v/>
      </c>
      <c r="G7673" s="51"/>
      <c r="H7673" s="46" t="str">
        <f>IF(AND(I.Developer.P2a=TRUE,I.Facility.P2aFacilityCount&gt;=2661,F7673=""),"Incomplete","Complete")</f>
        <v>Complete</v>
      </c>
      <c r="I7673" s="48" t="s">
        <v>12038</v>
      </c>
    </row>
    <row r="7674" spans="2:9" ht="15" customHeight="1" x14ac:dyDescent="0.25">
      <c r="B7674" s="55" t="s">
        <v>280</v>
      </c>
      <c r="C7674" s="46">
        <v>2662</v>
      </c>
      <c r="D7674" s="69" t="s">
        <v>29417</v>
      </c>
      <c r="E7674" s="51"/>
      <c r="F7674" s="114" t="str">
        <f>IF(INDEX(I.Facility.P2aIDNumber,2662)="","",INDEX(I.Facility.P2aIDNumber,2662))</f>
        <v/>
      </c>
      <c r="G7674" s="51"/>
      <c r="H7674" s="46" t="str">
        <f>IF(AND(I.Developer.P2a=TRUE,I.Facility.P2aFacilityCount&gt;=2662,F7674=""),"Incomplete","Complete")</f>
        <v>Complete</v>
      </c>
      <c r="I7674" s="48" t="s">
        <v>12039</v>
      </c>
    </row>
    <row r="7675" spans="2:9" ht="15" customHeight="1" x14ac:dyDescent="0.25">
      <c r="B7675" s="55" t="s">
        <v>280</v>
      </c>
      <c r="C7675" s="46">
        <v>2663</v>
      </c>
      <c r="D7675" s="69" t="s">
        <v>29417</v>
      </c>
      <c r="E7675" s="51"/>
      <c r="F7675" s="114" t="str">
        <f>IF(INDEX(I.Facility.P2aIDNumber,2663)="","",INDEX(I.Facility.P2aIDNumber,2663))</f>
        <v/>
      </c>
      <c r="G7675" s="51"/>
      <c r="H7675" s="46" t="str">
        <f>IF(AND(I.Developer.P2a=TRUE,I.Facility.P2aFacilityCount&gt;=2663,F7675=""),"Incomplete","Complete")</f>
        <v>Complete</v>
      </c>
      <c r="I7675" s="48" t="s">
        <v>12040</v>
      </c>
    </row>
    <row r="7676" spans="2:9" ht="15" customHeight="1" x14ac:dyDescent="0.25">
      <c r="B7676" s="55" t="s">
        <v>280</v>
      </c>
      <c r="C7676" s="46">
        <v>2664</v>
      </c>
      <c r="D7676" s="69" t="s">
        <v>29417</v>
      </c>
      <c r="E7676" s="51"/>
      <c r="F7676" s="114" t="str">
        <f>IF(INDEX(I.Facility.P2aIDNumber,2664)="","",INDEX(I.Facility.P2aIDNumber,2664))</f>
        <v/>
      </c>
      <c r="G7676" s="51"/>
      <c r="H7676" s="46" t="str">
        <f>IF(AND(I.Developer.P2a=TRUE,I.Facility.P2aFacilityCount&gt;=2664,F7676=""),"Incomplete","Complete")</f>
        <v>Complete</v>
      </c>
      <c r="I7676" s="48" t="s">
        <v>12041</v>
      </c>
    </row>
    <row r="7677" spans="2:9" ht="15" customHeight="1" x14ac:dyDescent="0.25">
      <c r="B7677" s="55" t="s">
        <v>280</v>
      </c>
      <c r="C7677" s="46">
        <v>2665</v>
      </c>
      <c r="D7677" s="69" t="s">
        <v>29417</v>
      </c>
      <c r="E7677" s="51"/>
      <c r="F7677" s="114" t="str">
        <f>IF(INDEX(I.Facility.P2aIDNumber,2665)="","",INDEX(I.Facility.P2aIDNumber,2665))</f>
        <v/>
      </c>
      <c r="G7677" s="51"/>
      <c r="H7677" s="46" t="str">
        <f>IF(AND(I.Developer.P2a=TRUE,I.Facility.P2aFacilityCount&gt;=2665,F7677=""),"Incomplete","Complete")</f>
        <v>Complete</v>
      </c>
      <c r="I7677" s="48" t="s">
        <v>12042</v>
      </c>
    </row>
    <row r="7678" spans="2:9" ht="15" customHeight="1" x14ac:dyDescent="0.25">
      <c r="B7678" s="55" t="s">
        <v>280</v>
      </c>
      <c r="C7678" s="46">
        <v>2666</v>
      </c>
      <c r="D7678" s="69" t="s">
        <v>29417</v>
      </c>
      <c r="E7678" s="51"/>
      <c r="F7678" s="114" t="str">
        <f>IF(INDEX(I.Facility.P2aIDNumber,2666)="","",INDEX(I.Facility.P2aIDNumber,2666))</f>
        <v/>
      </c>
      <c r="G7678" s="51"/>
      <c r="H7678" s="46" t="str">
        <f>IF(AND(I.Developer.P2a=TRUE,I.Facility.P2aFacilityCount&gt;=2666,F7678=""),"Incomplete","Complete")</f>
        <v>Complete</v>
      </c>
      <c r="I7678" s="48" t="s">
        <v>12043</v>
      </c>
    </row>
    <row r="7679" spans="2:9" ht="15" customHeight="1" x14ac:dyDescent="0.25">
      <c r="B7679" s="55" t="s">
        <v>280</v>
      </c>
      <c r="C7679" s="46">
        <v>2667</v>
      </c>
      <c r="D7679" s="69" t="s">
        <v>29417</v>
      </c>
      <c r="E7679" s="51"/>
      <c r="F7679" s="114" t="str">
        <f>IF(INDEX(I.Facility.P2aIDNumber,2667)="","",INDEX(I.Facility.P2aIDNumber,2667))</f>
        <v/>
      </c>
      <c r="G7679" s="51"/>
      <c r="H7679" s="46" t="str">
        <f>IF(AND(I.Developer.P2a=TRUE,I.Facility.P2aFacilityCount&gt;=2667,F7679=""),"Incomplete","Complete")</f>
        <v>Complete</v>
      </c>
      <c r="I7679" s="48" t="s">
        <v>12044</v>
      </c>
    </row>
    <row r="7680" spans="2:9" ht="15" customHeight="1" x14ac:dyDescent="0.25">
      <c r="B7680" s="55" t="s">
        <v>280</v>
      </c>
      <c r="C7680" s="46">
        <v>2668</v>
      </c>
      <c r="D7680" s="69" t="s">
        <v>29417</v>
      </c>
      <c r="E7680" s="51"/>
      <c r="F7680" s="114" t="str">
        <f>IF(INDEX(I.Facility.P2aIDNumber,2668)="","",INDEX(I.Facility.P2aIDNumber,2668))</f>
        <v/>
      </c>
      <c r="G7680" s="51"/>
      <c r="H7680" s="46" t="str">
        <f>IF(AND(I.Developer.P2a=TRUE,I.Facility.P2aFacilityCount&gt;=2668,F7680=""),"Incomplete","Complete")</f>
        <v>Complete</v>
      </c>
      <c r="I7680" s="48" t="s">
        <v>12045</v>
      </c>
    </row>
    <row r="7681" spans="2:9" ht="15" customHeight="1" x14ac:dyDescent="0.25">
      <c r="B7681" s="55" t="s">
        <v>280</v>
      </c>
      <c r="C7681" s="46">
        <v>2669</v>
      </c>
      <c r="D7681" s="69" t="s">
        <v>29417</v>
      </c>
      <c r="E7681" s="51"/>
      <c r="F7681" s="114" t="str">
        <f>IF(INDEX(I.Facility.P2aIDNumber,2669)="","",INDEX(I.Facility.P2aIDNumber,2669))</f>
        <v/>
      </c>
      <c r="G7681" s="51"/>
      <c r="H7681" s="46" t="str">
        <f>IF(AND(I.Developer.P2a=TRUE,I.Facility.P2aFacilityCount&gt;=2669,F7681=""),"Incomplete","Complete")</f>
        <v>Complete</v>
      </c>
      <c r="I7681" s="48" t="s">
        <v>12046</v>
      </c>
    </row>
    <row r="7682" spans="2:9" ht="15" customHeight="1" x14ac:dyDescent="0.25">
      <c r="B7682" s="55" t="s">
        <v>280</v>
      </c>
      <c r="C7682" s="46">
        <v>2670</v>
      </c>
      <c r="D7682" s="69" t="s">
        <v>29417</v>
      </c>
      <c r="E7682" s="51"/>
      <c r="F7682" s="114" t="str">
        <f>IF(INDEX(I.Facility.P2aIDNumber,2670)="","",INDEX(I.Facility.P2aIDNumber,2670))</f>
        <v/>
      </c>
      <c r="G7682" s="51"/>
      <c r="H7682" s="46" t="str">
        <f>IF(AND(I.Developer.P2a=TRUE,I.Facility.P2aFacilityCount&gt;=2670,F7682=""),"Incomplete","Complete")</f>
        <v>Complete</v>
      </c>
      <c r="I7682" s="48" t="s">
        <v>12047</v>
      </c>
    </row>
    <row r="7683" spans="2:9" ht="15" customHeight="1" x14ac:dyDescent="0.25">
      <c r="B7683" s="55" t="s">
        <v>280</v>
      </c>
      <c r="C7683" s="46">
        <v>2671</v>
      </c>
      <c r="D7683" s="69" t="s">
        <v>29417</v>
      </c>
      <c r="E7683" s="51"/>
      <c r="F7683" s="114" t="str">
        <f>IF(INDEX(I.Facility.P2aIDNumber,2671)="","",INDEX(I.Facility.P2aIDNumber,2671))</f>
        <v/>
      </c>
      <c r="G7683" s="51"/>
      <c r="H7683" s="46" t="str">
        <f>IF(AND(I.Developer.P2a=TRUE,I.Facility.P2aFacilityCount&gt;=2671,F7683=""),"Incomplete","Complete")</f>
        <v>Complete</v>
      </c>
      <c r="I7683" s="48" t="s">
        <v>12048</v>
      </c>
    </row>
    <row r="7684" spans="2:9" ht="15" customHeight="1" x14ac:dyDescent="0.25">
      <c r="B7684" s="55" t="s">
        <v>280</v>
      </c>
      <c r="C7684" s="46">
        <v>2672</v>
      </c>
      <c r="D7684" s="69" t="s">
        <v>29417</v>
      </c>
      <c r="E7684" s="51"/>
      <c r="F7684" s="114" t="str">
        <f>IF(INDEX(I.Facility.P2aIDNumber,2672)="","",INDEX(I.Facility.P2aIDNumber,2672))</f>
        <v/>
      </c>
      <c r="G7684" s="51"/>
      <c r="H7684" s="46" t="str">
        <f>IF(AND(I.Developer.P2a=TRUE,I.Facility.P2aFacilityCount&gt;=2672,F7684=""),"Incomplete","Complete")</f>
        <v>Complete</v>
      </c>
      <c r="I7684" s="48" t="s">
        <v>12049</v>
      </c>
    </row>
    <row r="7685" spans="2:9" ht="15" customHeight="1" x14ac:dyDescent="0.25">
      <c r="B7685" s="55" t="s">
        <v>280</v>
      </c>
      <c r="C7685" s="46">
        <v>2673</v>
      </c>
      <c r="D7685" s="69" t="s">
        <v>29417</v>
      </c>
      <c r="E7685" s="51"/>
      <c r="F7685" s="114" t="str">
        <f>IF(INDEX(I.Facility.P2aIDNumber,2673)="","",INDEX(I.Facility.P2aIDNumber,2673))</f>
        <v/>
      </c>
      <c r="G7685" s="51"/>
      <c r="H7685" s="46" t="str">
        <f>IF(AND(I.Developer.P2a=TRUE,I.Facility.P2aFacilityCount&gt;=2673,F7685=""),"Incomplete","Complete")</f>
        <v>Complete</v>
      </c>
      <c r="I7685" s="48" t="s">
        <v>12050</v>
      </c>
    </row>
    <row r="7686" spans="2:9" ht="15" customHeight="1" x14ac:dyDescent="0.25">
      <c r="B7686" s="55" t="s">
        <v>280</v>
      </c>
      <c r="C7686" s="46">
        <v>2674</v>
      </c>
      <c r="D7686" s="69" t="s">
        <v>29417</v>
      </c>
      <c r="E7686" s="51"/>
      <c r="F7686" s="114" t="str">
        <f>IF(INDEX(I.Facility.P2aIDNumber,2674)="","",INDEX(I.Facility.P2aIDNumber,2674))</f>
        <v/>
      </c>
      <c r="G7686" s="51"/>
      <c r="H7686" s="46" t="str">
        <f>IF(AND(I.Developer.P2a=TRUE,I.Facility.P2aFacilityCount&gt;=2674,F7686=""),"Incomplete","Complete")</f>
        <v>Complete</v>
      </c>
      <c r="I7686" s="48" t="s">
        <v>12051</v>
      </c>
    </row>
    <row r="7687" spans="2:9" ht="15" customHeight="1" x14ac:dyDescent="0.25">
      <c r="B7687" s="55" t="s">
        <v>280</v>
      </c>
      <c r="C7687" s="46">
        <v>2675</v>
      </c>
      <c r="D7687" s="69" t="s">
        <v>29417</v>
      </c>
      <c r="E7687" s="51"/>
      <c r="F7687" s="114" t="str">
        <f>IF(INDEX(I.Facility.P2aIDNumber,2675)="","",INDEX(I.Facility.P2aIDNumber,2675))</f>
        <v/>
      </c>
      <c r="G7687" s="51"/>
      <c r="H7687" s="46" t="str">
        <f>IF(AND(I.Developer.P2a=TRUE,I.Facility.P2aFacilityCount&gt;=2675,F7687=""),"Incomplete","Complete")</f>
        <v>Complete</v>
      </c>
      <c r="I7687" s="48" t="s">
        <v>12052</v>
      </c>
    </row>
    <row r="7688" spans="2:9" ht="15" customHeight="1" x14ac:dyDescent="0.25">
      <c r="B7688" s="55" t="s">
        <v>280</v>
      </c>
      <c r="C7688" s="46">
        <v>2676</v>
      </c>
      <c r="D7688" s="69" t="s">
        <v>29417</v>
      </c>
      <c r="E7688" s="51"/>
      <c r="F7688" s="114" t="str">
        <f>IF(INDEX(I.Facility.P2aIDNumber,2676)="","",INDEX(I.Facility.P2aIDNumber,2676))</f>
        <v/>
      </c>
      <c r="G7688" s="51"/>
      <c r="H7688" s="46" t="str">
        <f>IF(AND(I.Developer.P2a=TRUE,I.Facility.P2aFacilityCount&gt;=2676,F7688=""),"Incomplete","Complete")</f>
        <v>Complete</v>
      </c>
      <c r="I7688" s="48" t="s">
        <v>12053</v>
      </c>
    </row>
    <row r="7689" spans="2:9" ht="15" customHeight="1" x14ac:dyDescent="0.25">
      <c r="B7689" s="55" t="s">
        <v>280</v>
      </c>
      <c r="C7689" s="46">
        <v>2677</v>
      </c>
      <c r="D7689" s="69" t="s">
        <v>29417</v>
      </c>
      <c r="E7689" s="51"/>
      <c r="F7689" s="114" t="str">
        <f>IF(INDEX(I.Facility.P2aIDNumber,2677)="","",INDEX(I.Facility.P2aIDNumber,2677))</f>
        <v/>
      </c>
      <c r="G7689" s="51"/>
      <c r="H7689" s="46" t="str">
        <f>IF(AND(I.Developer.P2a=TRUE,I.Facility.P2aFacilityCount&gt;=2677,F7689=""),"Incomplete","Complete")</f>
        <v>Complete</v>
      </c>
      <c r="I7689" s="48" t="s">
        <v>12054</v>
      </c>
    </row>
    <row r="7690" spans="2:9" ht="15" customHeight="1" x14ac:dyDescent="0.25">
      <c r="B7690" s="55" t="s">
        <v>280</v>
      </c>
      <c r="C7690" s="46">
        <v>2678</v>
      </c>
      <c r="D7690" s="69" t="s">
        <v>29417</v>
      </c>
      <c r="E7690" s="51"/>
      <c r="F7690" s="114" t="str">
        <f>IF(INDEX(I.Facility.P2aIDNumber,2678)="","",INDEX(I.Facility.P2aIDNumber,2678))</f>
        <v/>
      </c>
      <c r="G7690" s="51"/>
      <c r="H7690" s="46" t="str">
        <f>IF(AND(I.Developer.P2a=TRUE,I.Facility.P2aFacilityCount&gt;=2678,F7690=""),"Incomplete","Complete")</f>
        <v>Complete</v>
      </c>
      <c r="I7690" s="48" t="s">
        <v>12055</v>
      </c>
    </row>
    <row r="7691" spans="2:9" ht="15" customHeight="1" x14ac:dyDescent="0.25">
      <c r="B7691" s="55" t="s">
        <v>280</v>
      </c>
      <c r="C7691" s="46">
        <v>2679</v>
      </c>
      <c r="D7691" s="69" t="s">
        <v>29417</v>
      </c>
      <c r="E7691" s="51"/>
      <c r="F7691" s="114" t="str">
        <f>IF(INDEX(I.Facility.P2aIDNumber,2679)="","",INDEX(I.Facility.P2aIDNumber,2679))</f>
        <v/>
      </c>
      <c r="G7691" s="51"/>
      <c r="H7691" s="46" t="str">
        <f>IF(AND(I.Developer.P2a=TRUE,I.Facility.P2aFacilityCount&gt;=2679,F7691=""),"Incomplete","Complete")</f>
        <v>Complete</v>
      </c>
      <c r="I7691" s="48" t="s">
        <v>12056</v>
      </c>
    </row>
    <row r="7692" spans="2:9" ht="15" customHeight="1" x14ac:dyDescent="0.25">
      <c r="B7692" s="55" t="s">
        <v>280</v>
      </c>
      <c r="C7692" s="46">
        <v>2680</v>
      </c>
      <c r="D7692" s="69" t="s">
        <v>29417</v>
      </c>
      <c r="E7692" s="51"/>
      <c r="F7692" s="114" t="str">
        <f>IF(INDEX(I.Facility.P2aIDNumber,2680)="","",INDEX(I.Facility.P2aIDNumber,2680))</f>
        <v/>
      </c>
      <c r="G7692" s="51"/>
      <c r="H7692" s="46" t="str">
        <f>IF(AND(I.Developer.P2a=TRUE,I.Facility.P2aFacilityCount&gt;=2680,F7692=""),"Incomplete","Complete")</f>
        <v>Complete</v>
      </c>
      <c r="I7692" s="48" t="s">
        <v>12057</v>
      </c>
    </row>
    <row r="7693" spans="2:9" ht="15" customHeight="1" x14ac:dyDescent="0.25">
      <c r="B7693" s="55" t="s">
        <v>280</v>
      </c>
      <c r="C7693" s="46">
        <v>2681</v>
      </c>
      <c r="D7693" s="69" t="s">
        <v>29417</v>
      </c>
      <c r="E7693" s="51"/>
      <c r="F7693" s="114" t="str">
        <f>IF(INDEX(I.Facility.P2aIDNumber,2681)="","",INDEX(I.Facility.P2aIDNumber,2681))</f>
        <v/>
      </c>
      <c r="G7693" s="51"/>
      <c r="H7693" s="46" t="str">
        <f>IF(AND(I.Developer.P2a=TRUE,I.Facility.P2aFacilityCount&gt;=2681,F7693=""),"Incomplete","Complete")</f>
        <v>Complete</v>
      </c>
      <c r="I7693" s="48" t="s">
        <v>12058</v>
      </c>
    </row>
    <row r="7694" spans="2:9" ht="15" customHeight="1" x14ac:dyDescent="0.25">
      <c r="B7694" s="55" t="s">
        <v>280</v>
      </c>
      <c r="C7694" s="46">
        <v>2682</v>
      </c>
      <c r="D7694" s="69" t="s">
        <v>29417</v>
      </c>
      <c r="E7694" s="51"/>
      <c r="F7694" s="114" t="str">
        <f>IF(INDEX(I.Facility.P2aIDNumber,2682)="","",INDEX(I.Facility.P2aIDNumber,2682))</f>
        <v/>
      </c>
      <c r="G7694" s="51"/>
      <c r="H7694" s="46" t="str">
        <f>IF(AND(I.Developer.P2a=TRUE,I.Facility.P2aFacilityCount&gt;=2682,F7694=""),"Incomplete","Complete")</f>
        <v>Complete</v>
      </c>
      <c r="I7694" s="48" t="s">
        <v>12059</v>
      </c>
    </row>
    <row r="7695" spans="2:9" ht="15" customHeight="1" x14ac:dyDescent="0.25">
      <c r="B7695" s="55" t="s">
        <v>280</v>
      </c>
      <c r="C7695" s="46">
        <v>2683</v>
      </c>
      <c r="D7695" s="69" t="s">
        <v>29417</v>
      </c>
      <c r="E7695" s="51"/>
      <c r="F7695" s="114" t="str">
        <f>IF(INDEX(I.Facility.P2aIDNumber,2683)="","",INDEX(I.Facility.P2aIDNumber,2683))</f>
        <v/>
      </c>
      <c r="G7695" s="51"/>
      <c r="H7695" s="46" t="str">
        <f>IF(AND(I.Developer.P2a=TRUE,I.Facility.P2aFacilityCount&gt;=2683,F7695=""),"Incomplete","Complete")</f>
        <v>Complete</v>
      </c>
      <c r="I7695" s="48" t="s">
        <v>12060</v>
      </c>
    </row>
    <row r="7696" spans="2:9" ht="15" customHeight="1" x14ac:dyDescent="0.25">
      <c r="B7696" s="55" t="s">
        <v>280</v>
      </c>
      <c r="C7696" s="46">
        <v>2684</v>
      </c>
      <c r="D7696" s="69" t="s">
        <v>29417</v>
      </c>
      <c r="E7696" s="51"/>
      <c r="F7696" s="114" t="str">
        <f>IF(INDEX(I.Facility.P2aIDNumber,2684)="","",INDEX(I.Facility.P2aIDNumber,2684))</f>
        <v/>
      </c>
      <c r="G7696" s="51"/>
      <c r="H7696" s="46" t="str">
        <f>IF(AND(I.Developer.P2a=TRUE,I.Facility.P2aFacilityCount&gt;=2684,F7696=""),"Incomplete","Complete")</f>
        <v>Complete</v>
      </c>
      <c r="I7696" s="48" t="s">
        <v>12061</v>
      </c>
    </row>
    <row r="7697" spans="2:9" ht="15" customHeight="1" x14ac:dyDescent="0.25">
      <c r="B7697" s="55" t="s">
        <v>280</v>
      </c>
      <c r="C7697" s="46">
        <v>2685</v>
      </c>
      <c r="D7697" s="69" t="s">
        <v>29417</v>
      </c>
      <c r="E7697" s="51"/>
      <c r="F7697" s="114" t="str">
        <f>IF(INDEX(I.Facility.P2aIDNumber,2685)="","",INDEX(I.Facility.P2aIDNumber,2685))</f>
        <v/>
      </c>
      <c r="G7697" s="51"/>
      <c r="H7697" s="46" t="str">
        <f>IF(AND(I.Developer.P2a=TRUE,I.Facility.P2aFacilityCount&gt;=2685,F7697=""),"Incomplete","Complete")</f>
        <v>Complete</v>
      </c>
      <c r="I7697" s="48" t="s">
        <v>12062</v>
      </c>
    </row>
    <row r="7698" spans="2:9" ht="15" customHeight="1" x14ac:dyDescent="0.25">
      <c r="B7698" s="55" t="s">
        <v>280</v>
      </c>
      <c r="C7698" s="46">
        <v>2686</v>
      </c>
      <c r="D7698" s="69" t="s">
        <v>29417</v>
      </c>
      <c r="E7698" s="51"/>
      <c r="F7698" s="114" t="str">
        <f>IF(INDEX(I.Facility.P2aIDNumber,2686)="","",INDEX(I.Facility.P2aIDNumber,2686))</f>
        <v/>
      </c>
      <c r="G7698" s="51"/>
      <c r="H7698" s="46" t="str">
        <f>IF(AND(I.Developer.P2a=TRUE,I.Facility.P2aFacilityCount&gt;=2686,F7698=""),"Incomplete","Complete")</f>
        <v>Complete</v>
      </c>
      <c r="I7698" s="48" t="s">
        <v>12063</v>
      </c>
    </row>
    <row r="7699" spans="2:9" ht="15" customHeight="1" x14ac:dyDescent="0.25">
      <c r="B7699" s="55" t="s">
        <v>280</v>
      </c>
      <c r="C7699" s="46">
        <v>2687</v>
      </c>
      <c r="D7699" s="69" t="s">
        <v>29417</v>
      </c>
      <c r="E7699" s="51"/>
      <c r="F7699" s="114" t="str">
        <f>IF(INDEX(I.Facility.P2aIDNumber,2687)="","",INDEX(I.Facility.P2aIDNumber,2687))</f>
        <v/>
      </c>
      <c r="G7699" s="51"/>
      <c r="H7699" s="46" t="str">
        <f>IF(AND(I.Developer.P2a=TRUE,I.Facility.P2aFacilityCount&gt;=2687,F7699=""),"Incomplete","Complete")</f>
        <v>Complete</v>
      </c>
      <c r="I7699" s="48" t="s">
        <v>12064</v>
      </c>
    </row>
    <row r="7700" spans="2:9" ht="15" customHeight="1" x14ac:dyDescent="0.25">
      <c r="B7700" s="55" t="s">
        <v>280</v>
      </c>
      <c r="C7700" s="46">
        <v>2688</v>
      </c>
      <c r="D7700" s="69" t="s">
        <v>29417</v>
      </c>
      <c r="E7700" s="51"/>
      <c r="F7700" s="114" t="str">
        <f>IF(INDEX(I.Facility.P2aIDNumber,2688)="","",INDEX(I.Facility.P2aIDNumber,2688))</f>
        <v/>
      </c>
      <c r="G7700" s="51"/>
      <c r="H7700" s="46" t="str">
        <f>IF(AND(I.Developer.P2a=TRUE,I.Facility.P2aFacilityCount&gt;=2688,F7700=""),"Incomplete","Complete")</f>
        <v>Complete</v>
      </c>
      <c r="I7700" s="48" t="s">
        <v>12065</v>
      </c>
    </row>
    <row r="7701" spans="2:9" ht="15" customHeight="1" x14ac:dyDescent="0.25">
      <c r="B7701" s="55" t="s">
        <v>280</v>
      </c>
      <c r="C7701" s="46">
        <v>2689</v>
      </c>
      <c r="D7701" s="69" t="s">
        <v>29417</v>
      </c>
      <c r="E7701" s="51"/>
      <c r="F7701" s="114" t="str">
        <f>IF(INDEX(I.Facility.P2aIDNumber,2689)="","",INDEX(I.Facility.P2aIDNumber,2689))</f>
        <v/>
      </c>
      <c r="G7701" s="51"/>
      <c r="H7701" s="46" t="str">
        <f>IF(AND(I.Developer.P2a=TRUE,I.Facility.P2aFacilityCount&gt;=2689,F7701=""),"Incomplete","Complete")</f>
        <v>Complete</v>
      </c>
      <c r="I7701" s="48" t="s">
        <v>12066</v>
      </c>
    </row>
    <row r="7702" spans="2:9" ht="15" customHeight="1" x14ac:dyDescent="0.25">
      <c r="B7702" s="55" t="s">
        <v>280</v>
      </c>
      <c r="C7702" s="46">
        <v>2690</v>
      </c>
      <c r="D7702" s="69" t="s">
        <v>29417</v>
      </c>
      <c r="E7702" s="51"/>
      <c r="F7702" s="114" t="str">
        <f>IF(INDEX(I.Facility.P2aIDNumber,2690)="","",INDEX(I.Facility.P2aIDNumber,2690))</f>
        <v/>
      </c>
      <c r="G7702" s="51"/>
      <c r="H7702" s="46" t="str">
        <f>IF(AND(I.Developer.P2a=TRUE,I.Facility.P2aFacilityCount&gt;=2690,F7702=""),"Incomplete","Complete")</f>
        <v>Complete</v>
      </c>
      <c r="I7702" s="48" t="s">
        <v>12067</v>
      </c>
    </row>
    <row r="7703" spans="2:9" ht="15" customHeight="1" x14ac:dyDescent="0.25">
      <c r="B7703" s="55" t="s">
        <v>280</v>
      </c>
      <c r="C7703" s="46">
        <v>2691</v>
      </c>
      <c r="D7703" s="69" t="s">
        <v>29417</v>
      </c>
      <c r="E7703" s="51"/>
      <c r="F7703" s="114" t="str">
        <f>IF(INDEX(I.Facility.P2aIDNumber,2691)="","",INDEX(I.Facility.P2aIDNumber,2691))</f>
        <v/>
      </c>
      <c r="G7703" s="51"/>
      <c r="H7703" s="46" t="str">
        <f>IF(AND(I.Developer.P2a=TRUE,I.Facility.P2aFacilityCount&gt;=2691,F7703=""),"Incomplete","Complete")</f>
        <v>Complete</v>
      </c>
      <c r="I7703" s="48" t="s">
        <v>12068</v>
      </c>
    </row>
    <row r="7704" spans="2:9" ht="15" customHeight="1" x14ac:dyDescent="0.25">
      <c r="B7704" s="55" t="s">
        <v>280</v>
      </c>
      <c r="C7704" s="46">
        <v>2692</v>
      </c>
      <c r="D7704" s="69" t="s">
        <v>29417</v>
      </c>
      <c r="E7704" s="51"/>
      <c r="F7704" s="114" t="str">
        <f>IF(INDEX(I.Facility.P2aIDNumber,2692)="","",INDEX(I.Facility.P2aIDNumber,2692))</f>
        <v/>
      </c>
      <c r="G7704" s="51"/>
      <c r="H7704" s="46" t="str">
        <f>IF(AND(I.Developer.P2a=TRUE,I.Facility.P2aFacilityCount&gt;=2692,F7704=""),"Incomplete","Complete")</f>
        <v>Complete</v>
      </c>
      <c r="I7704" s="48" t="s">
        <v>12069</v>
      </c>
    </row>
    <row r="7705" spans="2:9" ht="15" customHeight="1" x14ac:dyDescent="0.25">
      <c r="B7705" s="55" t="s">
        <v>280</v>
      </c>
      <c r="C7705" s="46">
        <v>2693</v>
      </c>
      <c r="D7705" s="69" t="s">
        <v>29417</v>
      </c>
      <c r="E7705" s="51"/>
      <c r="F7705" s="114" t="str">
        <f>IF(INDEX(I.Facility.P2aIDNumber,2693)="","",INDEX(I.Facility.P2aIDNumber,2693))</f>
        <v/>
      </c>
      <c r="G7705" s="51"/>
      <c r="H7705" s="46" t="str">
        <f>IF(AND(I.Developer.P2a=TRUE,I.Facility.P2aFacilityCount&gt;=2693,F7705=""),"Incomplete","Complete")</f>
        <v>Complete</v>
      </c>
      <c r="I7705" s="48" t="s">
        <v>12070</v>
      </c>
    </row>
    <row r="7706" spans="2:9" ht="15" customHeight="1" x14ac:dyDescent="0.25">
      <c r="B7706" s="55" t="s">
        <v>280</v>
      </c>
      <c r="C7706" s="46">
        <v>2694</v>
      </c>
      <c r="D7706" s="69" t="s">
        <v>29417</v>
      </c>
      <c r="E7706" s="51"/>
      <c r="F7706" s="114" t="str">
        <f>IF(INDEX(I.Facility.P2aIDNumber,2694)="","",INDEX(I.Facility.P2aIDNumber,2694))</f>
        <v/>
      </c>
      <c r="G7706" s="51"/>
      <c r="H7706" s="46" t="str">
        <f>IF(AND(I.Developer.P2a=TRUE,I.Facility.P2aFacilityCount&gt;=2694,F7706=""),"Incomplete","Complete")</f>
        <v>Complete</v>
      </c>
      <c r="I7706" s="48" t="s">
        <v>12071</v>
      </c>
    </row>
    <row r="7707" spans="2:9" ht="15" customHeight="1" x14ac:dyDescent="0.25">
      <c r="B7707" s="55" t="s">
        <v>280</v>
      </c>
      <c r="C7707" s="46">
        <v>2695</v>
      </c>
      <c r="D7707" s="69" t="s">
        <v>29417</v>
      </c>
      <c r="E7707" s="51"/>
      <c r="F7707" s="114" t="str">
        <f>IF(INDEX(I.Facility.P2aIDNumber,2695)="","",INDEX(I.Facility.P2aIDNumber,2695))</f>
        <v/>
      </c>
      <c r="G7707" s="51"/>
      <c r="H7707" s="46" t="str">
        <f>IF(AND(I.Developer.P2a=TRUE,I.Facility.P2aFacilityCount&gt;=2695,F7707=""),"Incomplete","Complete")</f>
        <v>Complete</v>
      </c>
      <c r="I7707" s="48" t="s">
        <v>12072</v>
      </c>
    </row>
    <row r="7708" spans="2:9" ht="15" customHeight="1" x14ac:dyDescent="0.25">
      <c r="B7708" s="55" t="s">
        <v>280</v>
      </c>
      <c r="C7708" s="46">
        <v>2696</v>
      </c>
      <c r="D7708" s="69" t="s">
        <v>29417</v>
      </c>
      <c r="E7708" s="51"/>
      <c r="F7708" s="114" t="str">
        <f>IF(INDEX(I.Facility.P2aIDNumber,2696)="","",INDEX(I.Facility.P2aIDNumber,2696))</f>
        <v/>
      </c>
      <c r="G7708" s="51"/>
      <c r="H7708" s="46" t="str">
        <f>IF(AND(I.Developer.P2a=TRUE,I.Facility.P2aFacilityCount&gt;=2696,F7708=""),"Incomplete","Complete")</f>
        <v>Complete</v>
      </c>
      <c r="I7708" s="48" t="s">
        <v>12073</v>
      </c>
    </row>
    <row r="7709" spans="2:9" ht="15" customHeight="1" x14ac:dyDescent="0.25">
      <c r="B7709" s="55" t="s">
        <v>280</v>
      </c>
      <c r="C7709" s="46">
        <v>2697</v>
      </c>
      <c r="D7709" s="69" t="s">
        <v>29417</v>
      </c>
      <c r="E7709" s="51"/>
      <c r="F7709" s="114" t="str">
        <f>IF(INDEX(I.Facility.P2aIDNumber,2697)="","",INDEX(I.Facility.P2aIDNumber,2697))</f>
        <v/>
      </c>
      <c r="G7709" s="51"/>
      <c r="H7709" s="46" t="str">
        <f>IF(AND(I.Developer.P2a=TRUE,I.Facility.P2aFacilityCount&gt;=2697,F7709=""),"Incomplete","Complete")</f>
        <v>Complete</v>
      </c>
      <c r="I7709" s="48" t="s">
        <v>12074</v>
      </c>
    </row>
    <row r="7710" spans="2:9" ht="15" customHeight="1" x14ac:dyDescent="0.25">
      <c r="B7710" s="55" t="s">
        <v>280</v>
      </c>
      <c r="C7710" s="46">
        <v>2698</v>
      </c>
      <c r="D7710" s="69" t="s">
        <v>29417</v>
      </c>
      <c r="E7710" s="51"/>
      <c r="F7710" s="114" t="str">
        <f>IF(INDEX(I.Facility.P2aIDNumber,2698)="","",INDEX(I.Facility.P2aIDNumber,2698))</f>
        <v/>
      </c>
      <c r="G7710" s="51"/>
      <c r="H7710" s="46" t="str">
        <f>IF(AND(I.Developer.P2a=TRUE,I.Facility.P2aFacilityCount&gt;=2698,F7710=""),"Incomplete","Complete")</f>
        <v>Complete</v>
      </c>
      <c r="I7710" s="48" t="s">
        <v>12075</v>
      </c>
    </row>
    <row r="7711" spans="2:9" ht="15" customHeight="1" x14ac:dyDescent="0.25">
      <c r="B7711" s="55" t="s">
        <v>280</v>
      </c>
      <c r="C7711" s="46">
        <v>2699</v>
      </c>
      <c r="D7711" s="69" t="s">
        <v>29417</v>
      </c>
      <c r="E7711" s="51"/>
      <c r="F7711" s="114" t="str">
        <f>IF(INDEX(I.Facility.P2aIDNumber,2699)="","",INDEX(I.Facility.P2aIDNumber,2699))</f>
        <v/>
      </c>
      <c r="G7711" s="51"/>
      <c r="H7711" s="46" t="str">
        <f>IF(AND(I.Developer.P2a=TRUE,I.Facility.P2aFacilityCount&gt;=2699,F7711=""),"Incomplete","Complete")</f>
        <v>Complete</v>
      </c>
      <c r="I7711" s="48" t="s">
        <v>12076</v>
      </c>
    </row>
    <row r="7712" spans="2:9" ht="15" customHeight="1" x14ac:dyDescent="0.25">
      <c r="B7712" s="55" t="s">
        <v>280</v>
      </c>
      <c r="C7712" s="46">
        <v>2700</v>
      </c>
      <c r="D7712" s="69" t="s">
        <v>29417</v>
      </c>
      <c r="E7712" s="51"/>
      <c r="F7712" s="114" t="str">
        <f>IF(INDEX(I.Facility.P2aIDNumber,2700)="","",INDEX(I.Facility.P2aIDNumber,2700))</f>
        <v/>
      </c>
      <c r="G7712" s="51"/>
      <c r="H7712" s="46" t="str">
        <f>IF(AND(I.Developer.P2a=TRUE,I.Facility.P2aFacilityCount&gt;=2700,F7712=""),"Incomplete","Complete")</f>
        <v>Complete</v>
      </c>
      <c r="I7712" s="48" t="s">
        <v>12077</v>
      </c>
    </row>
    <row r="7713" spans="2:9" ht="15" customHeight="1" x14ac:dyDescent="0.25">
      <c r="B7713" s="55" t="s">
        <v>280</v>
      </c>
      <c r="C7713" s="46">
        <v>2701</v>
      </c>
      <c r="D7713" s="69" t="s">
        <v>29417</v>
      </c>
      <c r="E7713" s="51"/>
      <c r="F7713" s="114" t="str">
        <f>IF(INDEX(I.Facility.P2aIDNumber,2701)="","",INDEX(I.Facility.P2aIDNumber,2701))</f>
        <v/>
      </c>
      <c r="G7713" s="51"/>
      <c r="H7713" s="46" t="str">
        <f>IF(AND(I.Developer.P2a=TRUE,I.Facility.P2aFacilityCount&gt;=2701,F7713=""),"Incomplete","Complete")</f>
        <v>Complete</v>
      </c>
      <c r="I7713" s="48" t="s">
        <v>12078</v>
      </c>
    </row>
    <row r="7714" spans="2:9" ht="15" customHeight="1" x14ac:dyDescent="0.25">
      <c r="B7714" s="55" t="s">
        <v>280</v>
      </c>
      <c r="C7714" s="46">
        <v>2702</v>
      </c>
      <c r="D7714" s="69" t="s">
        <v>29417</v>
      </c>
      <c r="E7714" s="51"/>
      <c r="F7714" s="114" t="str">
        <f>IF(INDEX(I.Facility.P2aIDNumber,2702)="","",INDEX(I.Facility.P2aIDNumber,2702))</f>
        <v/>
      </c>
      <c r="G7714" s="51"/>
      <c r="H7714" s="46" t="str">
        <f>IF(AND(I.Developer.P2a=TRUE,I.Facility.P2aFacilityCount&gt;=2702,F7714=""),"Incomplete","Complete")</f>
        <v>Complete</v>
      </c>
      <c r="I7714" s="48" t="s">
        <v>12079</v>
      </c>
    </row>
    <row r="7715" spans="2:9" ht="15" customHeight="1" x14ac:dyDescent="0.25">
      <c r="B7715" s="55" t="s">
        <v>280</v>
      </c>
      <c r="C7715" s="46">
        <v>2703</v>
      </c>
      <c r="D7715" s="69" t="s">
        <v>29417</v>
      </c>
      <c r="E7715" s="51"/>
      <c r="F7715" s="114" t="str">
        <f>IF(INDEX(I.Facility.P2aIDNumber,2703)="","",INDEX(I.Facility.P2aIDNumber,2703))</f>
        <v/>
      </c>
      <c r="G7715" s="51"/>
      <c r="H7715" s="46" t="str">
        <f>IF(AND(I.Developer.P2a=TRUE,I.Facility.P2aFacilityCount&gt;=2703,F7715=""),"Incomplete","Complete")</f>
        <v>Complete</v>
      </c>
      <c r="I7715" s="48" t="s">
        <v>12080</v>
      </c>
    </row>
    <row r="7716" spans="2:9" ht="15" customHeight="1" x14ac:dyDescent="0.25">
      <c r="B7716" s="55" t="s">
        <v>280</v>
      </c>
      <c r="C7716" s="46">
        <v>2704</v>
      </c>
      <c r="D7716" s="69" t="s">
        <v>29417</v>
      </c>
      <c r="E7716" s="51"/>
      <c r="F7716" s="114" t="str">
        <f>IF(INDEX(I.Facility.P2aIDNumber,2704)="","",INDEX(I.Facility.P2aIDNumber,2704))</f>
        <v/>
      </c>
      <c r="G7716" s="51"/>
      <c r="H7716" s="46" t="str">
        <f>IF(AND(I.Developer.P2a=TRUE,I.Facility.P2aFacilityCount&gt;=2704,F7716=""),"Incomplete","Complete")</f>
        <v>Complete</v>
      </c>
      <c r="I7716" s="48" t="s">
        <v>12081</v>
      </c>
    </row>
    <row r="7717" spans="2:9" ht="15" customHeight="1" x14ac:dyDescent="0.25">
      <c r="B7717" s="55" t="s">
        <v>280</v>
      </c>
      <c r="C7717" s="46">
        <v>2705</v>
      </c>
      <c r="D7717" s="69" t="s">
        <v>29417</v>
      </c>
      <c r="E7717" s="51"/>
      <c r="F7717" s="114" t="str">
        <f>IF(INDEX(I.Facility.P2aIDNumber,2705)="","",INDEX(I.Facility.P2aIDNumber,2705))</f>
        <v/>
      </c>
      <c r="G7717" s="51"/>
      <c r="H7717" s="46" t="str">
        <f>IF(AND(I.Developer.P2a=TRUE,I.Facility.P2aFacilityCount&gt;=2705,F7717=""),"Incomplete","Complete")</f>
        <v>Complete</v>
      </c>
      <c r="I7717" s="48" t="s">
        <v>12082</v>
      </c>
    </row>
    <row r="7718" spans="2:9" ht="15" customHeight="1" x14ac:dyDescent="0.25">
      <c r="B7718" s="55" t="s">
        <v>280</v>
      </c>
      <c r="C7718" s="46">
        <v>2706</v>
      </c>
      <c r="D7718" s="69" t="s">
        <v>29417</v>
      </c>
      <c r="E7718" s="51"/>
      <c r="F7718" s="114" t="str">
        <f>IF(INDEX(I.Facility.P2aIDNumber,2706)="","",INDEX(I.Facility.P2aIDNumber,2706))</f>
        <v/>
      </c>
      <c r="G7718" s="51"/>
      <c r="H7718" s="46" t="str">
        <f>IF(AND(I.Developer.P2a=TRUE,I.Facility.P2aFacilityCount&gt;=2706,F7718=""),"Incomplete","Complete")</f>
        <v>Complete</v>
      </c>
      <c r="I7718" s="48" t="s">
        <v>12083</v>
      </c>
    </row>
    <row r="7719" spans="2:9" ht="15" customHeight="1" x14ac:dyDescent="0.25">
      <c r="B7719" s="55" t="s">
        <v>280</v>
      </c>
      <c r="C7719" s="46">
        <v>2707</v>
      </c>
      <c r="D7719" s="69" t="s">
        <v>29417</v>
      </c>
      <c r="E7719" s="51"/>
      <c r="F7719" s="114" t="str">
        <f>IF(INDEX(I.Facility.P2aIDNumber,2707)="","",INDEX(I.Facility.P2aIDNumber,2707))</f>
        <v/>
      </c>
      <c r="G7719" s="51"/>
      <c r="H7719" s="46" t="str">
        <f>IF(AND(I.Developer.P2a=TRUE,I.Facility.P2aFacilityCount&gt;=2707,F7719=""),"Incomplete","Complete")</f>
        <v>Complete</v>
      </c>
      <c r="I7719" s="48" t="s">
        <v>12084</v>
      </c>
    </row>
    <row r="7720" spans="2:9" ht="15" customHeight="1" x14ac:dyDescent="0.25">
      <c r="B7720" s="55" t="s">
        <v>280</v>
      </c>
      <c r="C7720" s="46">
        <v>2708</v>
      </c>
      <c r="D7720" s="69" t="s">
        <v>29417</v>
      </c>
      <c r="E7720" s="51"/>
      <c r="F7720" s="114" t="str">
        <f>IF(INDEX(I.Facility.P2aIDNumber,2708)="","",INDEX(I.Facility.P2aIDNumber,2708))</f>
        <v/>
      </c>
      <c r="G7720" s="51"/>
      <c r="H7720" s="46" t="str">
        <f>IF(AND(I.Developer.P2a=TRUE,I.Facility.P2aFacilityCount&gt;=2708,F7720=""),"Incomplete","Complete")</f>
        <v>Complete</v>
      </c>
      <c r="I7720" s="48" t="s">
        <v>12085</v>
      </c>
    </row>
    <row r="7721" spans="2:9" ht="15" customHeight="1" x14ac:dyDescent="0.25">
      <c r="B7721" s="55" t="s">
        <v>280</v>
      </c>
      <c r="C7721" s="46">
        <v>2709</v>
      </c>
      <c r="D7721" s="69" t="s">
        <v>29417</v>
      </c>
      <c r="E7721" s="51"/>
      <c r="F7721" s="114" t="str">
        <f>IF(INDEX(I.Facility.P2aIDNumber,2709)="","",INDEX(I.Facility.P2aIDNumber,2709))</f>
        <v/>
      </c>
      <c r="G7721" s="51"/>
      <c r="H7721" s="46" t="str">
        <f>IF(AND(I.Developer.P2a=TRUE,I.Facility.P2aFacilityCount&gt;=2709,F7721=""),"Incomplete","Complete")</f>
        <v>Complete</v>
      </c>
      <c r="I7721" s="48" t="s">
        <v>12086</v>
      </c>
    </row>
    <row r="7722" spans="2:9" ht="15" customHeight="1" x14ac:dyDescent="0.25">
      <c r="B7722" s="55" t="s">
        <v>280</v>
      </c>
      <c r="C7722" s="46">
        <v>2710</v>
      </c>
      <c r="D7722" s="69" t="s">
        <v>29417</v>
      </c>
      <c r="E7722" s="51"/>
      <c r="F7722" s="114" t="str">
        <f>IF(INDEX(I.Facility.P2aIDNumber,2710)="","",INDEX(I.Facility.P2aIDNumber,2710))</f>
        <v/>
      </c>
      <c r="G7722" s="51"/>
      <c r="H7722" s="46" t="str">
        <f>IF(AND(I.Developer.P2a=TRUE,I.Facility.P2aFacilityCount&gt;=2710,F7722=""),"Incomplete","Complete")</f>
        <v>Complete</v>
      </c>
      <c r="I7722" s="48" t="s">
        <v>12087</v>
      </c>
    </row>
    <row r="7723" spans="2:9" ht="15" customHeight="1" x14ac:dyDescent="0.25">
      <c r="B7723" s="55" t="s">
        <v>280</v>
      </c>
      <c r="C7723" s="46">
        <v>2711</v>
      </c>
      <c r="D7723" s="69" t="s">
        <v>29417</v>
      </c>
      <c r="E7723" s="51"/>
      <c r="F7723" s="114" t="str">
        <f>IF(INDEX(I.Facility.P2aIDNumber,2711)="","",INDEX(I.Facility.P2aIDNumber,2711))</f>
        <v/>
      </c>
      <c r="G7723" s="51"/>
      <c r="H7723" s="46" t="str">
        <f>IF(AND(I.Developer.P2a=TRUE,I.Facility.P2aFacilityCount&gt;=2711,F7723=""),"Incomplete","Complete")</f>
        <v>Complete</v>
      </c>
      <c r="I7723" s="48" t="s">
        <v>12088</v>
      </c>
    </row>
    <row r="7724" spans="2:9" ht="15" customHeight="1" x14ac:dyDescent="0.25">
      <c r="B7724" s="55" t="s">
        <v>280</v>
      </c>
      <c r="C7724" s="46">
        <v>2712</v>
      </c>
      <c r="D7724" s="69" t="s">
        <v>29417</v>
      </c>
      <c r="E7724" s="51"/>
      <c r="F7724" s="114" t="str">
        <f>IF(INDEX(I.Facility.P2aIDNumber,2712)="","",INDEX(I.Facility.P2aIDNumber,2712))</f>
        <v/>
      </c>
      <c r="G7724" s="51"/>
      <c r="H7724" s="46" t="str">
        <f>IF(AND(I.Developer.P2a=TRUE,I.Facility.P2aFacilityCount&gt;=2712,F7724=""),"Incomplete","Complete")</f>
        <v>Complete</v>
      </c>
      <c r="I7724" s="48" t="s">
        <v>12089</v>
      </c>
    </row>
    <row r="7725" spans="2:9" ht="15" customHeight="1" x14ac:dyDescent="0.25">
      <c r="B7725" s="55" t="s">
        <v>280</v>
      </c>
      <c r="C7725" s="46">
        <v>2713</v>
      </c>
      <c r="D7725" s="69" t="s">
        <v>29417</v>
      </c>
      <c r="E7725" s="51"/>
      <c r="F7725" s="114" t="str">
        <f>IF(INDEX(I.Facility.P2aIDNumber,2713)="","",INDEX(I.Facility.P2aIDNumber,2713))</f>
        <v/>
      </c>
      <c r="G7725" s="51"/>
      <c r="H7725" s="46" t="str">
        <f>IF(AND(I.Developer.P2a=TRUE,I.Facility.P2aFacilityCount&gt;=2713,F7725=""),"Incomplete","Complete")</f>
        <v>Complete</v>
      </c>
      <c r="I7725" s="48" t="s">
        <v>12090</v>
      </c>
    </row>
    <row r="7726" spans="2:9" ht="15" customHeight="1" x14ac:dyDescent="0.25">
      <c r="B7726" s="55" t="s">
        <v>280</v>
      </c>
      <c r="C7726" s="46">
        <v>2714</v>
      </c>
      <c r="D7726" s="69" t="s">
        <v>29417</v>
      </c>
      <c r="E7726" s="51"/>
      <c r="F7726" s="114" t="str">
        <f>IF(INDEX(I.Facility.P2aIDNumber,2714)="","",INDEX(I.Facility.P2aIDNumber,2714))</f>
        <v/>
      </c>
      <c r="G7726" s="51"/>
      <c r="H7726" s="46" t="str">
        <f>IF(AND(I.Developer.P2a=TRUE,I.Facility.P2aFacilityCount&gt;=2714,F7726=""),"Incomplete","Complete")</f>
        <v>Complete</v>
      </c>
      <c r="I7726" s="48" t="s">
        <v>12091</v>
      </c>
    </row>
    <row r="7727" spans="2:9" ht="15" customHeight="1" x14ac:dyDescent="0.25">
      <c r="B7727" s="55" t="s">
        <v>280</v>
      </c>
      <c r="C7727" s="46">
        <v>2715</v>
      </c>
      <c r="D7727" s="69" t="s">
        <v>29417</v>
      </c>
      <c r="E7727" s="51"/>
      <c r="F7727" s="114" t="str">
        <f>IF(INDEX(I.Facility.P2aIDNumber,2715)="","",INDEX(I.Facility.P2aIDNumber,2715))</f>
        <v/>
      </c>
      <c r="G7727" s="51"/>
      <c r="H7727" s="46" t="str">
        <f>IF(AND(I.Developer.P2a=TRUE,I.Facility.P2aFacilityCount&gt;=2715,F7727=""),"Incomplete","Complete")</f>
        <v>Complete</v>
      </c>
      <c r="I7727" s="48" t="s">
        <v>12092</v>
      </c>
    </row>
    <row r="7728" spans="2:9" ht="15" customHeight="1" x14ac:dyDescent="0.25">
      <c r="B7728" s="55" t="s">
        <v>280</v>
      </c>
      <c r="C7728" s="46">
        <v>2716</v>
      </c>
      <c r="D7728" s="69" t="s">
        <v>29417</v>
      </c>
      <c r="E7728" s="51"/>
      <c r="F7728" s="114" t="str">
        <f>IF(INDEX(I.Facility.P2aIDNumber,2716)="","",INDEX(I.Facility.P2aIDNumber,2716))</f>
        <v/>
      </c>
      <c r="G7728" s="51"/>
      <c r="H7728" s="46" t="str">
        <f>IF(AND(I.Developer.P2a=TRUE,I.Facility.P2aFacilityCount&gt;=2716,F7728=""),"Incomplete","Complete")</f>
        <v>Complete</v>
      </c>
      <c r="I7728" s="48" t="s">
        <v>12093</v>
      </c>
    </row>
    <row r="7729" spans="2:9" ht="15" customHeight="1" x14ac:dyDescent="0.25">
      <c r="B7729" s="55" t="s">
        <v>280</v>
      </c>
      <c r="C7729" s="46">
        <v>2717</v>
      </c>
      <c r="D7729" s="69" t="s">
        <v>29417</v>
      </c>
      <c r="E7729" s="51"/>
      <c r="F7729" s="114" t="str">
        <f>IF(INDEX(I.Facility.P2aIDNumber,2717)="","",INDEX(I.Facility.P2aIDNumber,2717))</f>
        <v/>
      </c>
      <c r="G7729" s="51"/>
      <c r="H7729" s="46" t="str">
        <f>IF(AND(I.Developer.P2a=TRUE,I.Facility.P2aFacilityCount&gt;=2717,F7729=""),"Incomplete","Complete")</f>
        <v>Complete</v>
      </c>
      <c r="I7729" s="48" t="s">
        <v>12094</v>
      </c>
    </row>
    <row r="7730" spans="2:9" ht="15" customHeight="1" x14ac:dyDescent="0.25">
      <c r="B7730" s="55" t="s">
        <v>280</v>
      </c>
      <c r="C7730" s="46">
        <v>2718</v>
      </c>
      <c r="D7730" s="69" t="s">
        <v>29417</v>
      </c>
      <c r="E7730" s="51"/>
      <c r="F7730" s="114" t="str">
        <f>IF(INDEX(I.Facility.P2aIDNumber,2718)="","",INDEX(I.Facility.P2aIDNumber,2718))</f>
        <v/>
      </c>
      <c r="G7730" s="51"/>
      <c r="H7730" s="46" t="str">
        <f>IF(AND(I.Developer.P2a=TRUE,I.Facility.P2aFacilityCount&gt;=2718,F7730=""),"Incomplete","Complete")</f>
        <v>Complete</v>
      </c>
      <c r="I7730" s="48" t="s">
        <v>12095</v>
      </c>
    </row>
    <row r="7731" spans="2:9" ht="15" customHeight="1" x14ac:dyDescent="0.25">
      <c r="B7731" s="55" t="s">
        <v>280</v>
      </c>
      <c r="C7731" s="46">
        <v>2719</v>
      </c>
      <c r="D7731" s="69" t="s">
        <v>29417</v>
      </c>
      <c r="E7731" s="51"/>
      <c r="F7731" s="114" t="str">
        <f>IF(INDEX(I.Facility.P2aIDNumber,2719)="","",INDEX(I.Facility.P2aIDNumber,2719))</f>
        <v/>
      </c>
      <c r="G7731" s="51"/>
      <c r="H7731" s="46" t="str">
        <f>IF(AND(I.Developer.P2a=TRUE,I.Facility.P2aFacilityCount&gt;=2719,F7731=""),"Incomplete","Complete")</f>
        <v>Complete</v>
      </c>
      <c r="I7731" s="48" t="s">
        <v>12096</v>
      </c>
    </row>
    <row r="7732" spans="2:9" ht="15" customHeight="1" x14ac:dyDescent="0.25">
      <c r="B7732" s="55" t="s">
        <v>280</v>
      </c>
      <c r="C7732" s="46">
        <v>2720</v>
      </c>
      <c r="D7732" s="69" t="s">
        <v>29417</v>
      </c>
      <c r="E7732" s="51"/>
      <c r="F7732" s="114" t="str">
        <f>IF(INDEX(I.Facility.P2aIDNumber,2720)="","",INDEX(I.Facility.P2aIDNumber,2720))</f>
        <v/>
      </c>
      <c r="G7732" s="51"/>
      <c r="H7732" s="46" t="str">
        <f>IF(AND(I.Developer.P2a=TRUE,I.Facility.P2aFacilityCount&gt;=2720,F7732=""),"Incomplete","Complete")</f>
        <v>Complete</v>
      </c>
      <c r="I7732" s="48" t="s">
        <v>12097</v>
      </c>
    </row>
    <row r="7733" spans="2:9" ht="15" customHeight="1" x14ac:dyDescent="0.25">
      <c r="B7733" s="55" t="s">
        <v>280</v>
      </c>
      <c r="C7733" s="46">
        <v>2721</v>
      </c>
      <c r="D7733" s="69" t="s">
        <v>29417</v>
      </c>
      <c r="E7733" s="51"/>
      <c r="F7733" s="114" t="str">
        <f>IF(INDEX(I.Facility.P2aIDNumber,2721)="","",INDEX(I.Facility.P2aIDNumber,2721))</f>
        <v/>
      </c>
      <c r="G7733" s="51"/>
      <c r="H7733" s="46" t="str">
        <f>IF(AND(I.Developer.P2a=TRUE,I.Facility.P2aFacilityCount&gt;=2721,F7733=""),"Incomplete","Complete")</f>
        <v>Complete</v>
      </c>
      <c r="I7733" s="48" t="s">
        <v>12098</v>
      </c>
    </row>
    <row r="7734" spans="2:9" ht="15" customHeight="1" x14ac:dyDescent="0.25">
      <c r="B7734" s="55" t="s">
        <v>280</v>
      </c>
      <c r="C7734" s="46">
        <v>2722</v>
      </c>
      <c r="D7734" s="69" t="s">
        <v>29417</v>
      </c>
      <c r="E7734" s="51"/>
      <c r="F7734" s="114" t="str">
        <f>IF(INDEX(I.Facility.P2aIDNumber,2722)="","",INDEX(I.Facility.P2aIDNumber,2722))</f>
        <v/>
      </c>
      <c r="G7734" s="51"/>
      <c r="H7734" s="46" t="str">
        <f>IF(AND(I.Developer.P2a=TRUE,I.Facility.P2aFacilityCount&gt;=2722,F7734=""),"Incomplete","Complete")</f>
        <v>Complete</v>
      </c>
      <c r="I7734" s="48" t="s">
        <v>12099</v>
      </c>
    </row>
    <row r="7735" spans="2:9" ht="15" customHeight="1" x14ac:dyDescent="0.25">
      <c r="B7735" s="55" t="s">
        <v>280</v>
      </c>
      <c r="C7735" s="46">
        <v>2723</v>
      </c>
      <c r="D7735" s="69" t="s">
        <v>29417</v>
      </c>
      <c r="E7735" s="51"/>
      <c r="F7735" s="114" t="str">
        <f>IF(INDEX(I.Facility.P2aIDNumber,2723)="","",INDEX(I.Facility.P2aIDNumber,2723))</f>
        <v/>
      </c>
      <c r="G7735" s="51"/>
      <c r="H7735" s="46" t="str">
        <f>IF(AND(I.Developer.P2a=TRUE,I.Facility.P2aFacilityCount&gt;=2723,F7735=""),"Incomplete","Complete")</f>
        <v>Complete</v>
      </c>
      <c r="I7735" s="48" t="s">
        <v>12100</v>
      </c>
    </row>
    <row r="7736" spans="2:9" ht="15" customHeight="1" x14ac:dyDescent="0.25">
      <c r="B7736" s="55" t="s">
        <v>280</v>
      </c>
      <c r="C7736" s="46">
        <v>2724</v>
      </c>
      <c r="D7736" s="69" t="s">
        <v>29417</v>
      </c>
      <c r="E7736" s="51"/>
      <c r="F7736" s="114" t="str">
        <f>IF(INDEX(I.Facility.P2aIDNumber,2724)="","",INDEX(I.Facility.P2aIDNumber,2724))</f>
        <v/>
      </c>
      <c r="G7736" s="51"/>
      <c r="H7736" s="46" t="str">
        <f>IF(AND(I.Developer.P2a=TRUE,I.Facility.P2aFacilityCount&gt;=2724,F7736=""),"Incomplete","Complete")</f>
        <v>Complete</v>
      </c>
      <c r="I7736" s="48" t="s">
        <v>12101</v>
      </c>
    </row>
    <row r="7737" spans="2:9" ht="15" customHeight="1" x14ac:dyDescent="0.25">
      <c r="B7737" s="55" t="s">
        <v>280</v>
      </c>
      <c r="C7737" s="46">
        <v>2725</v>
      </c>
      <c r="D7737" s="69" t="s">
        <v>29417</v>
      </c>
      <c r="E7737" s="51"/>
      <c r="F7737" s="114" t="str">
        <f>IF(INDEX(I.Facility.P2aIDNumber,2725)="","",INDEX(I.Facility.P2aIDNumber,2725))</f>
        <v/>
      </c>
      <c r="G7737" s="51"/>
      <c r="H7737" s="46" t="str">
        <f>IF(AND(I.Developer.P2a=TRUE,I.Facility.P2aFacilityCount&gt;=2725,F7737=""),"Incomplete","Complete")</f>
        <v>Complete</v>
      </c>
      <c r="I7737" s="48" t="s">
        <v>12102</v>
      </c>
    </row>
    <row r="7738" spans="2:9" ht="15" customHeight="1" x14ac:dyDescent="0.25">
      <c r="B7738" s="55" t="s">
        <v>280</v>
      </c>
      <c r="C7738" s="46">
        <v>2726</v>
      </c>
      <c r="D7738" s="69" t="s">
        <v>29417</v>
      </c>
      <c r="E7738" s="51"/>
      <c r="F7738" s="114" t="str">
        <f>IF(INDEX(I.Facility.P2aIDNumber,2726)="","",INDEX(I.Facility.P2aIDNumber,2726))</f>
        <v/>
      </c>
      <c r="G7738" s="51"/>
      <c r="H7738" s="46" t="str">
        <f>IF(AND(I.Developer.P2a=TRUE,I.Facility.P2aFacilityCount&gt;=2726,F7738=""),"Incomplete","Complete")</f>
        <v>Complete</v>
      </c>
      <c r="I7738" s="48" t="s">
        <v>12103</v>
      </c>
    </row>
    <row r="7739" spans="2:9" ht="15" customHeight="1" x14ac:dyDescent="0.25">
      <c r="B7739" s="55" t="s">
        <v>280</v>
      </c>
      <c r="C7739" s="46">
        <v>2727</v>
      </c>
      <c r="D7739" s="69" t="s">
        <v>29417</v>
      </c>
      <c r="E7739" s="51"/>
      <c r="F7739" s="114" t="str">
        <f>IF(INDEX(I.Facility.P2aIDNumber,2727)="","",INDEX(I.Facility.P2aIDNumber,2727))</f>
        <v/>
      </c>
      <c r="G7739" s="51"/>
      <c r="H7739" s="46" t="str">
        <f>IF(AND(I.Developer.P2a=TRUE,I.Facility.P2aFacilityCount&gt;=2727,F7739=""),"Incomplete","Complete")</f>
        <v>Complete</v>
      </c>
      <c r="I7739" s="48" t="s">
        <v>12104</v>
      </c>
    </row>
    <row r="7740" spans="2:9" ht="15" customHeight="1" x14ac:dyDescent="0.25">
      <c r="B7740" s="55" t="s">
        <v>280</v>
      </c>
      <c r="C7740" s="46">
        <v>2728</v>
      </c>
      <c r="D7740" s="69" t="s">
        <v>29417</v>
      </c>
      <c r="E7740" s="51"/>
      <c r="F7740" s="114" t="str">
        <f>IF(INDEX(I.Facility.P2aIDNumber,2728)="","",INDEX(I.Facility.P2aIDNumber,2728))</f>
        <v/>
      </c>
      <c r="G7740" s="51"/>
      <c r="H7740" s="46" t="str">
        <f>IF(AND(I.Developer.P2a=TRUE,I.Facility.P2aFacilityCount&gt;=2728,F7740=""),"Incomplete","Complete")</f>
        <v>Complete</v>
      </c>
      <c r="I7740" s="48" t="s">
        <v>12105</v>
      </c>
    </row>
    <row r="7741" spans="2:9" ht="15" customHeight="1" x14ac:dyDescent="0.25">
      <c r="B7741" s="55" t="s">
        <v>280</v>
      </c>
      <c r="C7741" s="46">
        <v>2729</v>
      </c>
      <c r="D7741" s="69" t="s">
        <v>29417</v>
      </c>
      <c r="E7741" s="51"/>
      <c r="F7741" s="114" t="str">
        <f>IF(INDEX(I.Facility.P2aIDNumber,2729)="","",INDEX(I.Facility.P2aIDNumber,2729))</f>
        <v/>
      </c>
      <c r="G7741" s="51"/>
      <c r="H7741" s="46" t="str">
        <f>IF(AND(I.Developer.P2a=TRUE,I.Facility.P2aFacilityCount&gt;=2729,F7741=""),"Incomplete","Complete")</f>
        <v>Complete</v>
      </c>
      <c r="I7741" s="48" t="s">
        <v>12106</v>
      </c>
    </row>
    <row r="7742" spans="2:9" ht="15" customHeight="1" x14ac:dyDescent="0.25">
      <c r="B7742" s="55" t="s">
        <v>280</v>
      </c>
      <c r="C7742" s="46">
        <v>2730</v>
      </c>
      <c r="D7742" s="69" t="s">
        <v>29417</v>
      </c>
      <c r="E7742" s="51"/>
      <c r="F7742" s="114" t="str">
        <f>IF(INDEX(I.Facility.P2aIDNumber,2730)="","",INDEX(I.Facility.P2aIDNumber,2730))</f>
        <v/>
      </c>
      <c r="G7742" s="51"/>
      <c r="H7742" s="46" t="str">
        <f>IF(AND(I.Developer.P2a=TRUE,I.Facility.P2aFacilityCount&gt;=2730,F7742=""),"Incomplete","Complete")</f>
        <v>Complete</v>
      </c>
      <c r="I7742" s="48" t="s">
        <v>12107</v>
      </c>
    </row>
    <row r="7743" spans="2:9" ht="15" customHeight="1" x14ac:dyDescent="0.25">
      <c r="B7743" s="55" t="s">
        <v>280</v>
      </c>
      <c r="C7743" s="46">
        <v>2731</v>
      </c>
      <c r="D7743" s="69" t="s">
        <v>29417</v>
      </c>
      <c r="E7743" s="51"/>
      <c r="F7743" s="114" t="str">
        <f>IF(INDEX(I.Facility.P2aIDNumber,2731)="","",INDEX(I.Facility.P2aIDNumber,2731))</f>
        <v/>
      </c>
      <c r="G7743" s="51"/>
      <c r="H7743" s="46" t="str">
        <f>IF(AND(I.Developer.P2a=TRUE,I.Facility.P2aFacilityCount&gt;=2731,F7743=""),"Incomplete","Complete")</f>
        <v>Complete</v>
      </c>
      <c r="I7743" s="48" t="s">
        <v>12108</v>
      </c>
    </row>
    <row r="7744" spans="2:9" ht="15" customHeight="1" x14ac:dyDescent="0.25">
      <c r="B7744" s="55" t="s">
        <v>280</v>
      </c>
      <c r="C7744" s="46">
        <v>2732</v>
      </c>
      <c r="D7744" s="69" t="s">
        <v>29417</v>
      </c>
      <c r="E7744" s="51"/>
      <c r="F7744" s="114" t="str">
        <f>IF(INDEX(I.Facility.P2aIDNumber,2732)="","",INDEX(I.Facility.P2aIDNumber,2732))</f>
        <v/>
      </c>
      <c r="G7744" s="51"/>
      <c r="H7744" s="46" t="str">
        <f>IF(AND(I.Developer.P2a=TRUE,I.Facility.P2aFacilityCount&gt;=2732,F7744=""),"Incomplete","Complete")</f>
        <v>Complete</v>
      </c>
      <c r="I7744" s="48" t="s">
        <v>12109</v>
      </c>
    </row>
    <row r="7745" spans="2:9" ht="15" customHeight="1" x14ac:dyDescent="0.25">
      <c r="B7745" s="55" t="s">
        <v>280</v>
      </c>
      <c r="C7745" s="46">
        <v>2733</v>
      </c>
      <c r="D7745" s="69" t="s">
        <v>29417</v>
      </c>
      <c r="E7745" s="51"/>
      <c r="F7745" s="114" t="str">
        <f>IF(INDEX(I.Facility.P2aIDNumber,2733)="","",INDEX(I.Facility.P2aIDNumber,2733))</f>
        <v/>
      </c>
      <c r="G7745" s="51"/>
      <c r="H7745" s="46" t="str">
        <f>IF(AND(I.Developer.P2a=TRUE,I.Facility.P2aFacilityCount&gt;=2733,F7745=""),"Incomplete","Complete")</f>
        <v>Complete</v>
      </c>
      <c r="I7745" s="48" t="s">
        <v>12110</v>
      </c>
    </row>
    <row r="7746" spans="2:9" ht="15" customHeight="1" x14ac:dyDescent="0.25">
      <c r="B7746" s="55" t="s">
        <v>280</v>
      </c>
      <c r="C7746" s="46">
        <v>2734</v>
      </c>
      <c r="D7746" s="69" t="s">
        <v>29417</v>
      </c>
      <c r="E7746" s="51"/>
      <c r="F7746" s="114" t="str">
        <f>IF(INDEX(I.Facility.P2aIDNumber,2734)="","",INDEX(I.Facility.P2aIDNumber,2734))</f>
        <v/>
      </c>
      <c r="G7746" s="51"/>
      <c r="H7746" s="46" t="str">
        <f>IF(AND(I.Developer.P2a=TRUE,I.Facility.P2aFacilityCount&gt;=2734,F7746=""),"Incomplete","Complete")</f>
        <v>Complete</v>
      </c>
      <c r="I7746" s="48" t="s">
        <v>12111</v>
      </c>
    </row>
    <row r="7747" spans="2:9" ht="15" customHeight="1" x14ac:dyDescent="0.25">
      <c r="B7747" s="55" t="s">
        <v>280</v>
      </c>
      <c r="C7747" s="46">
        <v>2735</v>
      </c>
      <c r="D7747" s="69" t="s">
        <v>29417</v>
      </c>
      <c r="E7747" s="51"/>
      <c r="F7747" s="114" t="str">
        <f>IF(INDEX(I.Facility.P2aIDNumber,2735)="","",INDEX(I.Facility.P2aIDNumber,2735))</f>
        <v/>
      </c>
      <c r="G7747" s="51"/>
      <c r="H7747" s="46" t="str">
        <f>IF(AND(I.Developer.P2a=TRUE,I.Facility.P2aFacilityCount&gt;=2735,F7747=""),"Incomplete","Complete")</f>
        <v>Complete</v>
      </c>
      <c r="I7747" s="48" t="s">
        <v>12112</v>
      </c>
    </row>
    <row r="7748" spans="2:9" ht="15" customHeight="1" x14ac:dyDescent="0.25">
      <c r="B7748" s="55" t="s">
        <v>280</v>
      </c>
      <c r="C7748" s="46">
        <v>2736</v>
      </c>
      <c r="D7748" s="69" t="s">
        <v>29417</v>
      </c>
      <c r="E7748" s="51"/>
      <c r="F7748" s="114" t="str">
        <f>IF(INDEX(I.Facility.P2aIDNumber,2736)="","",INDEX(I.Facility.P2aIDNumber,2736))</f>
        <v/>
      </c>
      <c r="G7748" s="51"/>
      <c r="H7748" s="46" t="str">
        <f>IF(AND(I.Developer.P2a=TRUE,I.Facility.P2aFacilityCount&gt;=2736,F7748=""),"Incomplete","Complete")</f>
        <v>Complete</v>
      </c>
      <c r="I7748" s="48" t="s">
        <v>12113</v>
      </c>
    </row>
    <row r="7749" spans="2:9" ht="15" customHeight="1" x14ac:dyDescent="0.25">
      <c r="B7749" s="55" t="s">
        <v>280</v>
      </c>
      <c r="C7749" s="46">
        <v>2737</v>
      </c>
      <c r="D7749" s="69" t="s">
        <v>29417</v>
      </c>
      <c r="E7749" s="51"/>
      <c r="F7749" s="114" t="str">
        <f>IF(INDEX(I.Facility.P2aIDNumber,2737)="","",INDEX(I.Facility.P2aIDNumber,2737))</f>
        <v/>
      </c>
      <c r="G7749" s="51"/>
      <c r="H7749" s="46" t="str">
        <f>IF(AND(I.Developer.P2a=TRUE,I.Facility.P2aFacilityCount&gt;=2737,F7749=""),"Incomplete","Complete")</f>
        <v>Complete</v>
      </c>
      <c r="I7749" s="48" t="s">
        <v>12114</v>
      </c>
    </row>
    <row r="7750" spans="2:9" ht="15" customHeight="1" x14ac:dyDescent="0.25">
      <c r="B7750" s="55" t="s">
        <v>280</v>
      </c>
      <c r="C7750" s="46">
        <v>2738</v>
      </c>
      <c r="D7750" s="69" t="s">
        <v>29417</v>
      </c>
      <c r="E7750" s="51"/>
      <c r="F7750" s="114" t="str">
        <f>IF(INDEX(I.Facility.P2aIDNumber,2738)="","",INDEX(I.Facility.P2aIDNumber,2738))</f>
        <v/>
      </c>
      <c r="G7750" s="51"/>
      <c r="H7750" s="46" t="str">
        <f>IF(AND(I.Developer.P2a=TRUE,I.Facility.P2aFacilityCount&gt;=2738,F7750=""),"Incomplete","Complete")</f>
        <v>Complete</v>
      </c>
      <c r="I7750" s="48" t="s">
        <v>12115</v>
      </c>
    </row>
    <row r="7751" spans="2:9" ht="15" customHeight="1" x14ac:dyDescent="0.25">
      <c r="B7751" s="55" t="s">
        <v>280</v>
      </c>
      <c r="C7751" s="46">
        <v>2739</v>
      </c>
      <c r="D7751" s="69" t="s">
        <v>29417</v>
      </c>
      <c r="E7751" s="51"/>
      <c r="F7751" s="114" t="str">
        <f>IF(INDEX(I.Facility.P2aIDNumber,2739)="","",INDEX(I.Facility.P2aIDNumber,2739))</f>
        <v/>
      </c>
      <c r="G7751" s="51"/>
      <c r="H7751" s="46" t="str">
        <f>IF(AND(I.Developer.P2a=TRUE,I.Facility.P2aFacilityCount&gt;=2739,F7751=""),"Incomplete","Complete")</f>
        <v>Complete</v>
      </c>
      <c r="I7751" s="48" t="s">
        <v>12116</v>
      </c>
    </row>
    <row r="7752" spans="2:9" ht="15" customHeight="1" x14ac:dyDescent="0.25">
      <c r="B7752" s="55" t="s">
        <v>280</v>
      </c>
      <c r="C7752" s="46">
        <v>2740</v>
      </c>
      <c r="D7752" s="69" t="s">
        <v>29417</v>
      </c>
      <c r="E7752" s="51"/>
      <c r="F7752" s="114" t="str">
        <f>IF(INDEX(I.Facility.P2aIDNumber,2740)="","",INDEX(I.Facility.P2aIDNumber,2740))</f>
        <v/>
      </c>
      <c r="G7752" s="51"/>
      <c r="H7752" s="46" t="str">
        <f>IF(AND(I.Developer.P2a=TRUE,I.Facility.P2aFacilityCount&gt;=2740,F7752=""),"Incomplete","Complete")</f>
        <v>Complete</v>
      </c>
      <c r="I7752" s="48" t="s">
        <v>12117</v>
      </c>
    </row>
    <row r="7753" spans="2:9" ht="15" customHeight="1" x14ac:dyDescent="0.25">
      <c r="B7753" s="55" t="s">
        <v>280</v>
      </c>
      <c r="C7753" s="46">
        <v>2741</v>
      </c>
      <c r="D7753" s="69" t="s">
        <v>29417</v>
      </c>
      <c r="E7753" s="51"/>
      <c r="F7753" s="114" t="str">
        <f>IF(INDEX(I.Facility.P2aIDNumber,2741)="","",INDEX(I.Facility.P2aIDNumber,2741))</f>
        <v/>
      </c>
      <c r="G7753" s="51"/>
      <c r="H7753" s="46" t="str">
        <f>IF(AND(I.Developer.P2a=TRUE,I.Facility.P2aFacilityCount&gt;=2741,F7753=""),"Incomplete","Complete")</f>
        <v>Complete</v>
      </c>
      <c r="I7753" s="48" t="s">
        <v>12118</v>
      </c>
    </row>
    <row r="7754" spans="2:9" ht="15" customHeight="1" x14ac:dyDescent="0.25">
      <c r="B7754" s="55" t="s">
        <v>280</v>
      </c>
      <c r="C7754" s="46">
        <v>2742</v>
      </c>
      <c r="D7754" s="69" t="s">
        <v>29417</v>
      </c>
      <c r="E7754" s="51"/>
      <c r="F7754" s="114" t="str">
        <f>IF(INDEX(I.Facility.P2aIDNumber,2742)="","",INDEX(I.Facility.P2aIDNumber,2742))</f>
        <v/>
      </c>
      <c r="G7754" s="51"/>
      <c r="H7754" s="46" t="str">
        <f>IF(AND(I.Developer.P2a=TRUE,I.Facility.P2aFacilityCount&gt;=2742,F7754=""),"Incomplete","Complete")</f>
        <v>Complete</v>
      </c>
      <c r="I7754" s="48" t="s">
        <v>12119</v>
      </c>
    </row>
    <row r="7755" spans="2:9" ht="15" customHeight="1" x14ac:dyDescent="0.25">
      <c r="B7755" s="55" t="s">
        <v>280</v>
      </c>
      <c r="C7755" s="46">
        <v>2743</v>
      </c>
      <c r="D7755" s="69" t="s">
        <v>29417</v>
      </c>
      <c r="E7755" s="51"/>
      <c r="F7755" s="114" t="str">
        <f>IF(INDEX(I.Facility.P2aIDNumber,2743)="","",INDEX(I.Facility.P2aIDNumber,2743))</f>
        <v/>
      </c>
      <c r="G7755" s="51"/>
      <c r="H7755" s="46" t="str">
        <f>IF(AND(I.Developer.P2a=TRUE,I.Facility.P2aFacilityCount&gt;=2743,F7755=""),"Incomplete","Complete")</f>
        <v>Complete</v>
      </c>
      <c r="I7755" s="48" t="s">
        <v>12120</v>
      </c>
    </row>
    <row r="7756" spans="2:9" ht="15" customHeight="1" x14ac:dyDescent="0.25">
      <c r="B7756" s="55" t="s">
        <v>280</v>
      </c>
      <c r="C7756" s="46">
        <v>2744</v>
      </c>
      <c r="D7756" s="69" t="s">
        <v>29417</v>
      </c>
      <c r="E7756" s="51"/>
      <c r="F7756" s="114" t="str">
        <f>IF(INDEX(I.Facility.P2aIDNumber,2744)="","",INDEX(I.Facility.P2aIDNumber,2744))</f>
        <v/>
      </c>
      <c r="G7756" s="51"/>
      <c r="H7756" s="46" t="str">
        <f>IF(AND(I.Developer.P2a=TRUE,I.Facility.P2aFacilityCount&gt;=2744,F7756=""),"Incomplete","Complete")</f>
        <v>Complete</v>
      </c>
      <c r="I7756" s="48" t="s">
        <v>12121</v>
      </c>
    </row>
    <row r="7757" spans="2:9" ht="15" customHeight="1" x14ac:dyDescent="0.25">
      <c r="B7757" s="55" t="s">
        <v>280</v>
      </c>
      <c r="C7757" s="46">
        <v>2745</v>
      </c>
      <c r="D7757" s="69" t="s">
        <v>29417</v>
      </c>
      <c r="E7757" s="51"/>
      <c r="F7757" s="114" t="str">
        <f>IF(INDEX(I.Facility.P2aIDNumber,2745)="","",INDEX(I.Facility.P2aIDNumber,2745))</f>
        <v/>
      </c>
      <c r="G7757" s="51"/>
      <c r="H7757" s="46" t="str">
        <f>IF(AND(I.Developer.P2a=TRUE,I.Facility.P2aFacilityCount&gt;=2745,F7757=""),"Incomplete","Complete")</f>
        <v>Complete</v>
      </c>
      <c r="I7757" s="48" t="s">
        <v>12122</v>
      </c>
    </row>
    <row r="7758" spans="2:9" ht="15" customHeight="1" x14ac:dyDescent="0.25">
      <c r="B7758" s="55" t="s">
        <v>280</v>
      </c>
      <c r="C7758" s="46">
        <v>2746</v>
      </c>
      <c r="D7758" s="69" t="s">
        <v>29417</v>
      </c>
      <c r="E7758" s="51"/>
      <c r="F7758" s="114" t="str">
        <f>IF(INDEX(I.Facility.P2aIDNumber,2746)="","",INDEX(I.Facility.P2aIDNumber,2746))</f>
        <v/>
      </c>
      <c r="G7758" s="51"/>
      <c r="H7758" s="46" t="str">
        <f>IF(AND(I.Developer.P2a=TRUE,I.Facility.P2aFacilityCount&gt;=2746,F7758=""),"Incomplete","Complete")</f>
        <v>Complete</v>
      </c>
      <c r="I7758" s="48" t="s">
        <v>12123</v>
      </c>
    </row>
    <row r="7759" spans="2:9" ht="15" customHeight="1" x14ac:dyDescent="0.25">
      <c r="B7759" s="55" t="s">
        <v>280</v>
      </c>
      <c r="C7759" s="46">
        <v>2747</v>
      </c>
      <c r="D7759" s="69" t="s">
        <v>29417</v>
      </c>
      <c r="E7759" s="51"/>
      <c r="F7759" s="114" t="str">
        <f>IF(INDEX(I.Facility.P2aIDNumber,2747)="","",INDEX(I.Facility.P2aIDNumber,2747))</f>
        <v/>
      </c>
      <c r="G7759" s="51"/>
      <c r="H7759" s="46" t="str">
        <f>IF(AND(I.Developer.P2a=TRUE,I.Facility.P2aFacilityCount&gt;=2747,F7759=""),"Incomplete","Complete")</f>
        <v>Complete</v>
      </c>
      <c r="I7759" s="48" t="s">
        <v>12124</v>
      </c>
    </row>
    <row r="7760" spans="2:9" ht="15" customHeight="1" x14ac:dyDescent="0.25">
      <c r="B7760" s="55" t="s">
        <v>280</v>
      </c>
      <c r="C7760" s="46">
        <v>2748</v>
      </c>
      <c r="D7760" s="69" t="s">
        <v>29417</v>
      </c>
      <c r="E7760" s="51"/>
      <c r="F7760" s="114" t="str">
        <f>IF(INDEX(I.Facility.P2aIDNumber,2748)="","",INDEX(I.Facility.P2aIDNumber,2748))</f>
        <v/>
      </c>
      <c r="G7760" s="51"/>
      <c r="H7760" s="46" t="str">
        <f>IF(AND(I.Developer.P2a=TRUE,I.Facility.P2aFacilityCount&gt;=2748,F7760=""),"Incomplete","Complete")</f>
        <v>Complete</v>
      </c>
      <c r="I7760" s="48" t="s">
        <v>12125</v>
      </c>
    </row>
    <row r="7761" spans="2:9" ht="15" customHeight="1" x14ac:dyDescent="0.25">
      <c r="B7761" s="55" t="s">
        <v>280</v>
      </c>
      <c r="C7761" s="46">
        <v>2749</v>
      </c>
      <c r="D7761" s="69" t="s">
        <v>29417</v>
      </c>
      <c r="E7761" s="51"/>
      <c r="F7761" s="114" t="str">
        <f>IF(INDEX(I.Facility.P2aIDNumber,2749)="","",INDEX(I.Facility.P2aIDNumber,2749))</f>
        <v/>
      </c>
      <c r="G7761" s="51"/>
      <c r="H7761" s="46" t="str">
        <f>IF(AND(I.Developer.P2a=TRUE,I.Facility.P2aFacilityCount&gt;=2749,F7761=""),"Incomplete","Complete")</f>
        <v>Complete</v>
      </c>
      <c r="I7761" s="48" t="s">
        <v>12126</v>
      </c>
    </row>
    <row r="7762" spans="2:9" ht="15" customHeight="1" x14ac:dyDescent="0.25">
      <c r="B7762" s="55" t="s">
        <v>280</v>
      </c>
      <c r="C7762" s="46">
        <v>2750</v>
      </c>
      <c r="D7762" s="69" t="s">
        <v>29417</v>
      </c>
      <c r="E7762" s="51"/>
      <c r="F7762" s="114" t="str">
        <f>IF(INDEX(I.Facility.P2aIDNumber,2750)="","",INDEX(I.Facility.P2aIDNumber,2750))</f>
        <v/>
      </c>
      <c r="G7762" s="51"/>
      <c r="H7762" s="46" t="str">
        <f>IF(AND(I.Developer.P2a=TRUE,I.Facility.P2aFacilityCount&gt;=2750,F7762=""),"Incomplete","Complete")</f>
        <v>Complete</v>
      </c>
      <c r="I7762" s="48" t="s">
        <v>12127</v>
      </c>
    </row>
    <row r="7763" spans="2:9" ht="15" customHeight="1" x14ac:dyDescent="0.25">
      <c r="B7763" s="55" t="s">
        <v>280</v>
      </c>
      <c r="C7763" s="46">
        <v>2751</v>
      </c>
      <c r="D7763" s="69" t="s">
        <v>29417</v>
      </c>
      <c r="E7763" s="51"/>
      <c r="F7763" s="114" t="str">
        <f>IF(INDEX(I.Facility.P2aIDNumber,2751)="","",INDEX(I.Facility.P2aIDNumber,2751))</f>
        <v/>
      </c>
      <c r="G7763" s="51"/>
      <c r="H7763" s="46" t="str">
        <f>IF(AND(I.Developer.P2a=TRUE,I.Facility.P2aFacilityCount&gt;=2751,F7763=""),"Incomplete","Complete")</f>
        <v>Complete</v>
      </c>
      <c r="I7763" s="48" t="s">
        <v>12128</v>
      </c>
    </row>
    <row r="7764" spans="2:9" ht="15" customHeight="1" x14ac:dyDescent="0.25">
      <c r="B7764" s="55" t="s">
        <v>280</v>
      </c>
      <c r="C7764" s="46">
        <v>2752</v>
      </c>
      <c r="D7764" s="69" t="s">
        <v>29417</v>
      </c>
      <c r="E7764" s="51"/>
      <c r="F7764" s="114" t="str">
        <f>IF(INDEX(I.Facility.P2aIDNumber,2752)="","",INDEX(I.Facility.P2aIDNumber,2752))</f>
        <v/>
      </c>
      <c r="G7764" s="51"/>
      <c r="H7764" s="46" t="str">
        <f>IF(AND(I.Developer.P2a=TRUE,I.Facility.P2aFacilityCount&gt;=2752,F7764=""),"Incomplete","Complete")</f>
        <v>Complete</v>
      </c>
      <c r="I7764" s="48" t="s">
        <v>12129</v>
      </c>
    </row>
    <row r="7765" spans="2:9" ht="15" customHeight="1" x14ac:dyDescent="0.25">
      <c r="B7765" s="55" t="s">
        <v>280</v>
      </c>
      <c r="C7765" s="46">
        <v>2753</v>
      </c>
      <c r="D7765" s="69" t="s">
        <v>29417</v>
      </c>
      <c r="E7765" s="51"/>
      <c r="F7765" s="114" t="str">
        <f>IF(INDEX(I.Facility.P2aIDNumber,2753)="","",INDEX(I.Facility.P2aIDNumber,2753))</f>
        <v/>
      </c>
      <c r="G7765" s="51"/>
      <c r="H7765" s="46" t="str">
        <f>IF(AND(I.Developer.P2a=TRUE,I.Facility.P2aFacilityCount&gt;=2753,F7765=""),"Incomplete","Complete")</f>
        <v>Complete</v>
      </c>
      <c r="I7765" s="48" t="s">
        <v>12130</v>
      </c>
    </row>
    <row r="7766" spans="2:9" ht="15" customHeight="1" x14ac:dyDescent="0.25">
      <c r="B7766" s="55" t="s">
        <v>280</v>
      </c>
      <c r="C7766" s="46">
        <v>2754</v>
      </c>
      <c r="D7766" s="69" t="s">
        <v>29417</v>
      </c>
      <c r="E7766" s="51"/>
      <c r="F7766" s="114" t="str">
        <f>IF(INDEX(I.Facility.P2aIDNumber,2754)="","",INDEX(I.Facility.P2aIDNumber,2754))</f>
        <v/>
      </c>
      <c r="G7766" s="51"/>
      <c r="H7766" s="46" t="str">
        <f>IF(AND(I.Developer.P2a=TRUE,I.Facility.P2aFacilityCount&gt;=2754,F7766=""),"Incomplete","Complete")</f>
        <v>Complete</v>
      </c>
      <c r="I7766" s="48" t="s">
        <v>12131</v>
      </c>
    </row>
    <row r="7767" spans="2:9" ht="15" customHeight="1" x14ac:dyDescent="0.25">
      <c r="B7767" s="55" t="s">
        <v>280</v>
      </c>
      <c r="C7767" s="46">
        <v>2755</v>
      </c>
      <c r="D7767" s="69" t="s">
        <v>29417</v>
      </c>
      <c r="E7767" s="51"/>
      <c r="F7767" s="114" t="str">
        <f>IF(INDEX(I.Facility.P2aIDNumber,2755)="","",INDEX(I.Facility.P2aIDNumber,2755))</f>
        <v/>
      </c>
      <c r="G7767" s="51"/>
      <c r="H7767" s="46" t="str">
        <f>IF(AND(I.Developer.P2a=TRUE,I.Facility.P2aFacilityCount&gt;=2755,F7767=""),"Incomplete","Complete")</f>
        <v>Complete</v>
      </c>
      <c r="I7767" s="48" t="s">
        <v>12132</v>
      </c>
    </row>
    <row r="7768" spans="2:9" ht="15" customHeight="1" x14ac:dyDescent="0.25">
      <c r="B7768" s="55" t="s">
        <v>280</v>
      </c>
      <c r="C7768" s="46">
        <v>2756</v>
      </c>
      <c r="D7768" s="69" t="s">
        <v>29417</v>
      </c>
      <c r="E7768" s="51"/>
      <c r="F7768" s="114" t="str">
        <f>IF(INDEX(I.Facility.P2aIDNumber,2756)="","",INDEX(I.Facility.P2aIDNumber,2756))</f>
        <v/>
      </c>
      <c r="G7768" s="51"/>
      <c r="H7768" s="46" t="str">
        <f>IF(AND(I.Developer.P2a=TRUE,I.Facility.P2aFacilityCount&gt;=2756,F7768=""),"Incomplete","Complete")</f>
        <v>Complete</v>
      </c>
      <c r="I7768" s="48" t="s">
        <v>12133</v>
      </c>
    </row>
    <row r="7769" spans="2:9" ht="15" customHeight="1" x14ac:dyDescent="0.25">
      <c r="B7769" s="55" t="s">
        <v>280</v>
      </c>
      <c r="C7769" s="46">
        <v>2757</v>
      </c>
      <c r="D7769" s="69" t="s">
        <v>29417</v>
      </c>
      <c r="E7769" s="51"/>
      <c r="F7769" s="114" t="str">
        <f>IF(INDEX(I.Facility.P2aIDNumber,2757)="","",INDEX(I.Facility.P2aIDNumber,2757))</f>
        <v/>
      </c>
      <c r="G7769" s="51"/>
      <c r="H7769" s="46" t="str">
        <f>IF(AND(I.Developer.P2a=TRUE,I.Facility.P2aFacilityCount&gt;=2757,F7769=""),"Incomplete","Complete")</f>
        <v>Complete</v>
      </c>
      <c r="I7769" s="48" t="s">
        <v>12134</v>
      </c>
    </row>
    <row r="7770" spans="2:9" ht="15" customHeight="1" x14ac:dyDescent="0.25">
      <c r="B7770" s="55" t="s">
        <v>280</v>
      </c>
      <c r="C7770" s="46">
        <v>2758</v>
      </c>
      <c r="D7770" s="69" t="s">
        <v>29417</v>
      </c>
      <c r="E7770" s="51"/>
      <c r="F7770" s="114" t="str">
        <f>IF(INDEX(I.Facility.P2aIDNumber,2758)="","",INDEX(I.Facility.P2aIDNumber,2758))</f>
        <v/>
      </c>
      <c r="G7770" s="51"/>
      <c r="H7770" s="46" t="str">
        <f>IF(AND(I.Developer.P2a=TRUE,I.Facility.P2aFacilityCount&gt;=2758,F7770=""),"Incomplete","Complete")</f>
        <v>Complete</v>
      </c>
      <c r="I7770" s="48" t="s">
        <v>12135</v>
      </c>
    </row>
    <row r="7771" spans="2:9" ht="15" customHeight="1" x14ac:dyDescent="0.25">
      <c r="B7771" s="55" t="s">
        <v>280</v>
      </c>
      <c r="C7771" s="46">
        <v>2759</v>
      </c>
      <c r="D7771" s="69" t="s">
        <v>29417</v>
      </c>
      <c r="E7771" s="51"/>
      <c r="F7771" s="114" t="str">
        <f>IF(INDEX(I.Facility.P2aIDNumber,2759)="","",INDEX(I.Facility.P2aIDNumber,2759))</f>
        <v/>
      </c>
      <c r="G7771" s="51"/>
      <c r="H7771" s="46" t="str">
        <f>IF(AND(I.Developer.P2a=TRUE,I.Facility.P2aFacilityCount&gt;=2759,F7771=""),"Incomplete","Complete")</f>
        <v>Complete</v>
      </c>
      <c r="I7771" s="48" t="s">
        <v>12136</v>
      </c>
    </row>
    <row r="7772" spans="2:9" ht="15" customHeight="1" x14ac:dyDescent="0.25">
      <c r="B7772" s="55" t="s">
        <v>280</v>
      </c>
      <c r="C7772" s="46">
        <v>2760</v>
      </c>
      <c r="D7772" s="69" t="s">
        <v>29417</v>
      </c>
      <c r="E7772" s="51"/>
      <c r="F7772" s="114" t="str">
        <f>IF(INDEX(I.Facility.P2aIDNumber,2760)="","",INDEX(I.Facility.P2aIDNumber,2760))</f>
        <v/>
      </c>
      <c r="G7772" s="51"/>
      <c r="H7772" s="46" t="str">
        <f>IF(AND(I.Developer.P2a=TRUE,I.Facility.P2aFacilityCount&gt;=2760,F7772=""),"Incomplete","Complete")</f>
        <v>Complete</v>
      </c>
      <c r="I7772" s="48" t="s">
        <v>12137</v>
      </c>
    </row>
    <row r="7773" spans="2:9" ht="15" customHeight="1" x14ac:dyDescent="0.25">
      <c r="B7773" s="55" t="s">
        <v>280</v>
      </c>
      <c r="C7773" s="46">
        <v>2761</v>
      </c>
      <c r="D7773" s="69" t="s">
        <v>29417</v>
      </c>
      <c r="E7773" s="51"/>
      <c r="F7773" s="114" t="str">
        <f>IF(INDEX(I.Facility.P2aIDNumber,2761)="","",INDEX(I.Facility.P2aIDNumber,2761))</f>
        <v/>
      </c>
      <c r="G7773" s="51"/>
      <c r="H7773" s="46" t="str">
        <f>IF(AND(I.Developer.P2a=TRUE,I.Facility.P2aFacilityCount&gt;=2761,F7773=""),"Incomplete","Complete")</f>
        <v>Complete</v>
      </c>
      <c r="I7773" s="48" t="s">
        <v>12138</v>
      </c>
    </row>
    <row r="7774" spans="2:9" ht="15" customHeight="1" x14ac:dyDescent="0.25">
      <c r="B7774" s="55" t="s">
        <v>280</v>
      </c>
      <c r="C7774" s="46">
        <v>2762</v>
      </c>
      <c r="D7774" s="69" t="s">
        <v>29417</v>
      </c>
      <c r="E7774" s="51"/>
      <c r="F7774" s="114" t="str">
        <f>IF(INDEX(I.Facility.P2aIDNumber,2762)="","",INDEX(I.Facility.P2aIDNumber,2762))</f>
        <v/>
      </c>
      <c r="G7774" s="51"/>
      <c r="H7774" s="46" t="str">
        <f>IF(AND(I.Developer.P2a=TRUE,I.Facility.P2aFacilityCount&gt;=2762,F7774=""),"Incomplete","Complete")</f>
        <v>Complete</v>
      </c>
      <c r="I7774" s="48" t="s">
        <v>12139</v>
      </c>
    </row>
    <row r="7775" spans="2:9" ht="15" customHeight="1" x14ac:dyDescent="0.25">
      <c r="B7775" s="55" t="s">
        <v>280</v>
      </c>
      <c r="C7775" s="46">
        <v>2763</v>
      </c>
      <c r="D7775" s="69" t="s">
        <v>29417</v>
      </c>
      <c r="E7775" s="51"/>
      <c r="F7775" s="114" t="str">
        <f>IF(INDEX(I.Facility.P2aIDNumber,2763)="","",INDEX(I.Facility.P2aIDNumber,2763))</f>
        <v/>
      </c>
      <c r="G7775" s="51"/>
      <c r="H7775" s="46" t="str">
        <f>IF(AND(I.Developer.P2a=TRUE,I.Facility.P2aFacilityCount&gt;=2763,F7775=""),"Incomplete","Complete")</f>
        <v>Complete</v>
      </c>
      <c r="I7775" s="48" t="s">
        <v>12140</v>
      </c>
    </row>
    <row r="7776" spans="2:9" ht="15" customHeight="1" x14ac:dyDescent="0.25">
      <c r="B7776" s="55" t="s">
        <v>280</v>
      </c>
      <c r="C7776" s="46">
        <v>2764</v>
      </c>
      <c r="D7776" s="69" t="s">
        <v>29417</v>
      </c>
      <c r="E7776" s="51"/>
      <c r="F7776" s="114" t="str">
        <f>IF(INDEX(I.Facility.P2aIDNumber,2764)="","",INDEX(I.Facility.P2aIDNumber,2764))</f>
        <v/>
      </c>
      <c r="G7776" s="51"/>
      <c r="H7776" s="46" t="str">
        <f>IF(AND(I.Developer.P2a=TRUE,I.Facility.P2aFacilityCount&gt;=2764,F7776=""),"Incomplete","Complete")</f>
        <v>Complete</v>
      </c>
      <c r="I7776" s="48" t="s">
        <v>12141</v>
      </c>
    </row>
    <row r="7777" spans="2:9" ht="15" customHeight="1" x14ac:dyDescent="0.25">
      <c r="B7777" s="55" t="s">
        <v>280</v>
      </c>
      <c r="C7777" s="46">
        <v>2765</v>
      </c>
      <c r="D7777" s="69" t="s">
        <v>29417</v>
      </c>
      <c r="E7777" s="51"/>
      <c r="F7777" s="114" t="str">
        <f>IF(INDEX(I.Facility.P2aIDNumber,2765)="","",INDEX(I.Facility.P2aIDNumber,2765))</f>
        <v/>
      </c>
      <c r="G7777" s="51"/>
      <c r="H7777" s="46" t="str">
        <f>IF(AND(I.Developer.P2a=TRUE,I.Facility.P2aFacilityCount&gt;=2765,F7777=""),"Incomplete","Complete")</f>
        <v>Complete</v>
      </c>
      <c r="I7777" s="48" t="s">
        <v>12142</v>
      </c>
    </row>
    <row r="7778" spans="2:9" ht="15" customHeight="1" x14ac:dyDescent="0.25">
      <c r="B7778" s="55" t="s">
        <v>280</v>
      </c>
      <c r="C7778" s="46">
        <v>2766</v>
      </c>
      <c r="D7778" s="69" t="s">
        <v>29417</v>
      </c>
      <c r="E7778" s="51"/>
      <c r="F7778" s="114" t="str">
        <f>IF(INDEX(I.Facility.P2aIDNumber,2766)="","",INDEX(I.Facility.P2aIDNumber,2766))</f>
        <v/>
      </c>
      <c r="G7778" s="51"/>
      <c r="H7778" s="46" t="str">
        <f>IF(AND(I.Developer.P2a=TRUE,I.Facility.P2aFacilityCount&gt;=2766,F7778=""),"Incomplete","Complete")</f>
        <v>Complete</v>
      </c>
      <c r="I7778" s="48" t="s">
        <v>12143</v>
      </c>
    </row>
    <row r="7779" spans="2:9" ht="15" customHeight="1" x14ac:dyDescent="0.25">
      <c r="B7779" s="55" t="s">
        <v>280</v>
      </c>
      <c r="C7779" s="46">
        <v>2767</v>
      </c>
      <c r="D7779" s="69" t="s">
        <v>29417</v>
      </c>
      <c r="E7779" s="51"/>
      <c r="F7779" s="114" t="str">
        <f>IF(INDEX(I.Facility.P2aIDNumber,2767)="","",INDEX(I.Facility.P2aIDNumber,2767))</f>
        <v/>
      </c>
      <c r="G7779" s="51"/>
      <c r="H7779" s="46" t="str">
        <f>IF(AND(I.Developer.P2a=TRUE,I.Facility.P2aFacilityCount&gt;=2767,F7779=""),"Incomplete","Complete")</f>
        <v>Complete</v>
      </c>
      <c r="I7779" s="48" t="s">
        <v>12144</v>
      </c>
    </row>
    <row r="7780" spans="2:9" ht="15" customHeight="1" x14ac:dyDescent="0.25">
      <c r="B7780" s="55" t="s">
        <v>280</v>
      </c>
      <c r="C7780" s="46">
        <v>2768</v>
      </c>
      <c r="D7780" s="69" t="s">
        <v>29417</v>
      </c>
      <c r="E7780" s="51"/>
      <c r="F7780" s="114" t="str">
        <f>IF(INDEX(I.Facility.P2aIDNumber,2768)="","",INDEX(I.Facility.P2aIDNumber,2768))</f>
        <v/>
      </c>
      <c r="G7780" s="51"/>
      <c r="H7780" s="46" t="str">
        <f>IF(AND(I.Developer.P2a=TRUE,I.Facility.P2aFacilityCount&gt;=2768,F7780=""),"Incomplete","Complete")</f>
        <v>Complete</v>
      </c>
      <c r="I7780" s="48" t="s">
        <v>12145</v>
      </c>
    </row>
    <row r="7781" spans="2:9" ht="15" customHeight="1" x14ac:dyDescent="0.25">
      <c r="B7781" s="55" t="s">
        <v>280</v>
      </c>
      <c r="C7781" s="46">
        <v>2769</v>
      </c>
      <c r="D7781" s="69" t="s">
        <v>29417</v>
      </c>
      <c r="E7781" s="51"/>
      <c r="F7781" s="114" t="str">
        <f>IF(INDEX(I.Facility.P2aIDNumber,2769)="","",INDEX(I.Facility.P2aIDNumber,2769))</f>
        <v/>
      </c>
      <c r="G7781" s="51"/>
      <c r="H7781" s="46" t="str">
        <f>IF(AND(I.Developer.P2a=TRUE,I.Facility.P2aFacilityCount&gt;=2769,F7781=""),"Incomplete","Complete")</f>
        <v>Complete</v>
      </c>
      <c r="I7781" s="48" t="s">
        <v>12146</v>
      </c>
    </row>
    <row r="7782" spans="2:9" ht="15" customHeight="1" x14ac:dyDescent="0.25">
      <c r="B7782" s="55" t="s">
        <v>280</v>
      </c>
      <c r="C7782" s="46">
        <v>2770</v>
      </c>
      <c r="D7782" s="69" t="s">
        <v>29417</v>
      </c>
      <c r="E7782" s="51"/>
      <c r="F7782" s="114" t="str">
        <f>IF(INDEX(I.Facility.P2aIDNumber,2770)="","",INDEX(I.Facility.P2aIDNumber,2770))</f>
        <v/>
      </c>
      <c r="G7782" s="51"/>
      <c r="H7782" s="46" t="str">
        <f>IF(AND(I.Developer.P2a=TRUE,I.Facility.P2aFacilityCount&gt;=2770,F7782=""),"Incomplete","Complete")</f>
        <v>Complete</v>
      </c>
      <c r="I7782" s="48" t="s">
        <v>12147</v>
      </c>
    </row>
    <row r="7783" spans="2:9" ht="15" customHeight="1" x14ac:dyDescent="0.25">
      <c r="B7783" s="55" t="s">
        <v>280</v>
      </c>
      <c r="C7783" s="46">
        <v>2771</v>
      </c>
      <c r="D7783" s="69" t="s">
        <v>29417</v>
      </c>
      <c r="E7783" s="51"/>
      <c r="F7783" s="114" t="str">
        <f>IF(INDEX(I.Facility.P2aIDNumber,2771)="","",INDEX(I.Facility.P2aIDNumber,2771))</f>
        <v/>
      </c>
      <c r="G7783" s="51"/>
      <c r="H7783" s="46" t="str">
        <f>IF(AND(I.Developer.P2a=TRUE,I.Facility.P2aFacilityCount&gt;=2771,F7783=""),"Incomplete","Complete")</f>
        <v>Complete</v>
      </c>
      <c r="I7783" s="48" t="s">
        <v>12148</v>
      </c>
    </row>
    <row r="7784" spans="2:9" ht="15" customHeight="1" x14ac:dyDescent="0.25">
      <c r="B7784" s="55" t="s">
        <v>280</v>
      </c>
      <c r="C7784" s="46">
        <v>2772</v>
      </c>
      <c r="D7784" s="69" t="s">
        <v>29417</v>
      </c>
      <c r="E7784" s="51"/>
      <c r="F7784" s="114" t="str">
        <f>IF(INDEX(I.Facility.P2aIDNumber,2772)="","",INDEX(I.Facility.P2aIDNumber,2772))</f>
        <v/>
      </c>
      <c r="G7784" s="51"/>
      <c r="H7784" s="46" t="str">
        <f>IF(AND(I.Developer.P2a=TRUE,I.Facility.P2aFacilityCount&gt;=2772,F7784=""),"Incomplete","Complete")</f>
        <v>Complete</v>
      </c>
      <c r="I7784" s="48" t="s">
        <v>12149</v>
      </c>
    </row>
    <row r="7785" spans="2:9" ht="15" customHeight="1" x14ac:dyDescent="0.25">
      <c r="B7785" s="55" t="s">
        <v>280</v>
      </c>
      <c r="C7785" s="46">
        <v>2773</v>
      </c>
      <c r="D7785" s="69" t="s">
        <v>29417</v>
      </c>
      <c r="E7785" s="51"/>
      <c r="F7785" s="114" t="str">
        <f>IF(INDEX(I.Facility.P2aIDNumber,2773)="","",INDEX(I.Facility.P2aIDNumber,2773))</f>
        <v/>
      </c>
      <c r="G7785" s="51"/>
      <c r="H7785" s="46" t="str">
        <f>IF(AND(I.Developer.P2a=TRUE,I.Facility.P2aFacilityCount&gt;=2773,F7785=""),"Incomplete","Complete")</f>
        <v>Complete</v>
      </c>
      <c r="I7785" s="48" t="s">
        <v>12150</v>
      </c>
    </row>
    <row r="7786" spans="2:9" ht="15" customHeight="1" x14ac:dyDescent="0.25">
      <c r="B7786" s="55" t="s">
        <v>280</v>
      </c>
      <c r="C7786" s="46">
        <v>2774</v>
      </c>
      <c r="D7786" s="69" t="s">
        <v>29417</v>
      </c>
      <c r="E7786" s="51"/>
      <c r="F7786" s="114" t="str">
        <f>IF(INDEX(I.Facility.P2aIDNumber,2774)="","",INDEX(I.Facility.P2aIDNumber,2774))</f>
        <v/>
      </c>
      <c r="G7786" s="51"/>
      <c r="H7786" s="46" t="str">
        <f>IF(AND(I.Developer.P2a=TRUE,I.Facility.P2aFacilityCount&gt;=2774,F7786=""),"Incomplete","Complete")</f>
        <v>Complete</v>
      </c>
      <c r="I7786" s="48" t="s">
        <v>12151</v>
      </c>
    </row>
    <row r="7787" spans="2:9" ht="15" customHeight="1" x14ac:dyDescent="0.25">
      <c r="B7787" s="55" t="s">
        <v>280</v>
      </c>
      <c r="C7787" s="46">
        <v>2775</v>
      </c>
      <c r="D7787" s="69" t="s">
        <v>29417</v>
      </c>
      <c r="E7787" s="51"/>
      <c r="F7787" s="114" t="str">
        <f>IF(INDEX(I.Facility.P2aIDNumber,2775)="","",INDEX(I.Facility.P2aIDNumber,2775))</f>
        <v/>
      </c>
      <c r="G7787" s="51"/>
      <c r="H7787" s="46" t="str">
        <f>IF(AND(I.Developer.P2a=TRUE,I.Facility.P2aFacilityCount&gt;=2775,F7787=""),"Incomplete","Complete")</f>
        <v>Complete</v>
      </c>
      <c r="I7787" s="48" t="s">
        <v>12152</v>
      </c>
    </row>
    <row r="7788" spans="2:9" ht="15" customHeight="1" x14ac:dyDescent="0.25">
      <c r="B7788" s="55" t="s">
        <v>280</v>
      </c>
      <c r="C7788" s="46">
        <v>2776</v>
      </c>
      <c r="D7788" s="69" t="s">
        <v>29417</v>
      </c>
      <c r="E7788" s="51"/>
      <c r="F7788" s="114" t="str">
        <f>IF(INDEX(I.Facility.P2aIDNumber,2776)="","",INDEX(I.Facility.P2aIDNumber,2776))</f>
        <v/>
      </c>
      <c r="G7788" s="51"/>
      <c r="H7788" s="46" t="str">
        <f>IF(AND(I.Developer.P2a=TRUE,I.Facility.P2aFacilityCount&gt;=2776,F7788=""),"Incomplete","Complete")</f>
        <v>Complete</v>
      </c>
      <c r="I7788" s="48" t="s">
        <v>12153</v>
      </c>
    </row>
    <row r="7789" spans="2:9" ht="15" customHeight="1" x14ac:dyDescent="0.25">
      <c r="B7789" s="55" t="s">
        <v>280</v>
      </c>
      <c r="C7789" s="46">
        <v>2777</v>
      </c>
      <c r="D7789" s="69" t="s">
        <v>29417</v>
      </c>
      <c r="E7789" s="51"/>
      <c r="F7789" s="114" t="str">
        <f>IF(INDEX(I.Facility.P2aIDNumber,2777)="","",INDEX(I.Facility.P2aIDNumber,2777))</f>
        <v/>
      </c>
      <c r="G7789" s="51"/>
      <c r="H7789" s="46" t="str">
        <f>IF(AND(I.Developer.P2a=TRUE,I.Facility.P2aFacilityCount&gt;=2777,F7789=""),"Incomplete","Complete")</f>
        <v>Complete</v>
      </c>
      <c r="I7789" s="48" t="s">
        <v>12154</v>
      </c>
    </row>
    <row r="7790" spans="2:9" ht="15" customHeight="1" x14ac:dyDescent="0.25">
      <c r="B7790" s="55" t="s">
        <v>280</v>
      </c>
      <c r="C7790" s="46">
        <v>2778</v>
      </c>
      <c r="D7790" s="69" t="s">
        <v>29417</v>
      </c>
      <c r="E7790" s="51"/>
      <c r="F7790" s="114" t="str">
        <f>IF(INDEX(I.Facility.P2aIDNumber,2778)="","",INDEX(I.Facility.P2aIDNumber,2778))</f>
        <v/>
      </c>
      <c r="G7790" s="51"/>
      <c r="H7790" s="46" t="str">
        <f>IF(AND(I.Developer.P2a=TRUE,I.Facility.P2aFacilityCount&gt;=2778,F7790=""),"Incomplete","Complete")</f>
        <v>Complete</v>
      </c>
      <c r="I7790" s="48" t="s">
        <v>12155</v>
      </c>
    </row>
    <row r="7791" spans="2:9" ht="15" customHeight="1" x14ac:dyDescent="0.25">
      <c r="B7791" s="55" t="s">
        <v>280</v>
      </c>
      <c r="C7791" s="46">
        <v>2779</v>
      </c>
      <c r="D7791" s="69" t="s">
        <v>29417</v>
      </c>
      <c r="E7791" s="51"/>
      <c r="F7791" s="114" t="str">
        <f>IF(INDEX(I.Facility.P2aIDNumber,2779)="","",INDEX(I.Facility.P2aIDNumber,2779))</f>
        <v/>
      </c>
      <c r="G7791" s="51"/>
      <c r="H7791" s="46" t="str">
        <f>IF(AND(I.Developer.P2a=TRUE,I.Facility.P2aFacilityCount&gt;=2779,F7791=""),"Incomplete","Complete")</f>
        <v>Complete</v>
      </c>
      <c r="I7791" s="48" t="s">
        <v>12156</v>
      </c>
    </row>
    <row r="7792" spans="2:9" ht="15" customHeight="1" x14ac:dyDescent="0.25">
      <c r="B7792" s="55" t="s">
        <v>280</v>
      </c>
      <c r="C7792" s="46">
        <v>2780</v>
      </c>
      <c r="D7792" s="69" t="s">
        <v>29417</v>
      </c>
      <c r="E7792" s="51"/>
      <c r="F7792" s="114" t="str">
        <f>IF(INDEX(I.Facility.P2aIDNumber,2780)="","",INDEX(I.Facility.P2aIDNumber,2780))</f>
        <v/>
      </c>
      <c r="G7792" s="51"/>
      <c r="H7792" s="46" t="str">
        <f>IF(AND(I.Developer.P2a=TRUE,I.Facility.P2aFacilityCount&gt;=2780,F7792=""),"Incomplete","Complete")</f>
        <v>Complete</v>
      </c>
      <c r="I7792" s="48" t="s">
        <v>12157</v>
      </c>
    </row>
    <row r="7793" spans="2:9" ht="15" customHeight="1" x14ac:dyDescent="0.25">
      <c r="B7793" s="55" t="s">
        <v>280</v>
      </c>
      <c r="C7793" s="46">
        <v>2781</v>
      </c>
      <c r="D7793" s="69" t="s">
        <v>29417</v>
      </c>
      <c r="E7793" s="51"/>
      <c r="F7793" s="114" t="str">
        <f>IF(INDEX(I.Facility.P2aIDNumber,2781)="","",INDEX(I.Facility.P2aIDNumber,2781))</f>
        <v/>
      </c>
      <c r="G7793" s="51"/>
      <c r="H7793" s="46" t="str">
        <f>IF(AND(I.Developer.P2a=TRUE,I.Facility.P2aFacilityCount&gt;=2781,F7793=""),"Incomplete","Complete")</f>
        <v>Complete</v>
      </c>
      <c r="I7793" s="48" t="s">
        <v>12158</v>
      </c>
    </row>
    <row r="7794" spans="2:9" ht="15" customHeight="1" x14ac:dyDescent="0.25">
      <c r="B7794" s="55" t="s">
        <v>280</v>
      </c>
      <c r="C7794" s="46">
        <v>2782</v>
      </c>
      <c r="D7794" s="69" t="s">
        <v>29417</v>
      </c>
      <c r="E7794" s="51"/>
      <c r="F7794" s="114" t="str">
        <f>IF(INDEX(I.Facility.P2aIDNumber,2782)="","",INDEX(I.Facility.P2aIDNumber,2782))</f>
        <v/>
      </c>
      <c r="G7794" s="51"/>
      <c r="H7794" s="46" t="str">
        <f>IF(AND(I.Developer.P2a=TRUE,I.Facility.P2aFacilityCount&gt;=2782,F7794=""),"Incomplete","Complete")</f>
        <v>Complete</v>
      </c>
      <c r="I7794" s="48" t="s">
        <v>12159</v>
      </c>
    </row>
    <row r="7795" spans="2:9" ht="15" customHeight="1" x14ac:dyDescent="0.25">
      <c r="B7795" s="55" t="s">
        <v>280</v>
      </c>
      <c r="C7795" s="46">
        <v>2783</v>
      </c>
      <c r="D7795" s="69" t="s">
        <v>29417</v>
      </c>
      <c r="E7795" s="51"/>
      <c r="F7795" s="114" t="str">
        <f>IF(INDEX(I.Facility.P2aIDNumber,2783)="","",INDEX(I.Facility.P2aIDNumber,2783))</f>
        <v/>
      </c>
      <c r="G7795" s="51"/>
      <c r="H7795" s="46" t="str">
        <f>IF(AND(I.Developer.P2a=TRUE,I.Facility.P2aFacilityCount&gt;=2783,F7795=""),"Incomplete","Complete")</f>
        <v>Complete</v>
      </c>
      <c r="I7795" s="48" t="s">
        <v>12160</v>
      </c>
    </row>
    <row r="7796" spans="2:9" ht="15" customHeight="1" x14ac:dyDescent="0.25">
      <c r="B7796" s="55" t="s">
        <v>280</v>
      </c>
      <c r="C7796" s="46">
        <v>2784</v>
      </c>
      <c r="D7796" s="69" t="s">
        <v>29417</v>
      </c>
      <c r="E7796" s="51"/>
      <c r="F7796" s="114" t="str">
        <f>IF(INDEX(I.Facility.P2aIDNumber,2784)="","",INDEX(I.Facility.P2aIDNumber,2784))</f>
        <v/>
      </c>
      <c r="G7796" s="51"/>
      <c r="H7796" s="46" t="str">
        <f>IF(AND(I.Developer.P2a=TRUE,I.Facility.P2aFacilityCount&gt;=2784,F7796=""),"Incomplete","Complete")</f>
        <v>Complete</v>
      </c>
      <c r="I7796" s="48" t="s">
        <v>12161</v>
      </c>
    </row>
    <row r="7797" spans="2:9" ht="15" customHeight="1" x14ac:dyDescent="0.25">
      <c r="B7797" s="55" t="s">
        <v>280</v>
      </c>
      <c r="C7797" s="46">
        <v>2785</v>
      </c>
      <c r="D7797" s="69" t="s">
        <v>29417</v>
      </c>
      <c r="E7797" s="51"/>
      <c r="F7797" s="114" t="str">
        <f>IF(INDEX(I.Facility.P2aIDNumber,2785)="","",INDEX(I.Facility.P2aIDNumber,2785))</f>
        <v/>
      </c>
      <c r="G7797" s="51"/>
      <c r="H7797" s="46" t="str">
        <f>IF(AND(I.Developer.P2a=TRUE,I.Facility.P2aFacilityCount&gt;=2785,F7797=""),"Incomplete","Complete")</f>
        <v>Complete</v>
      </c>
      <c r="I7797" s="48" t="s">
        <v>12162</v>
      </c>
    </row>
    <row r="7798" spans="2:9" ht="15" customHeight="1" x14ac:dyDescent="0.25">
      <c r="B7798" s="55" t="s">
        <v>280</v>
      </c>
      <c r="C7798" s="46">
        <v>2786</v>
      </c>
      <c r="D7798" s="69" t="s">
        <v>29417</v>
      </c>
      <c r="E7798" s="51"/>
      <c r="F7798" s="114" t="str">
        <f>IF(INDEX(I.Facility.P2aIDNumber,2786)="","",INDEX(I.Facility.P2aIDNumber,2786))</f>
        <v/>
      </c>
      <c r="G7798" s="51"/>
      <c r="H7798" s="46" t="str">
        <f>IF(AND(I.Developer.P2a=TRUE,I.Facility.P2aFacilityCount&gt;=2786,F7798=""),"Incomplete","Complete")</f>
        <v>Complete</v>
      </c>
      <c r="I7798" s="48" t="s">
        <v>12163</v>
      </c>
    </row>
    <row r="7799" spans="2:9" ht="15" customHeight="1" x14ac:dyDescent="0.25">
      <c r="B7799" s="55" t="s">
        <v>280</v>
      </c>
      <c r="C7799" s="46">
        <v>2787</v>
      </c>
      <c r="D7799" s="69" t="s">
        <v>29417</v>
      </c>
      <c r="E7799" s="51"/>
      <c r="F7799" s="114" t="str">
        <f>IF(INDEX(I.Facility.P2aIDNumber,2787)="","",INDEX(I.Facility.P2aIDNumber,2787))</f>
        <v/>
      </c>
      <c r="G7799" s="51"/>
      <c r="H7799" s="46" t="str">
        <f>IF(AND(I.Developer.P2a=TRUE,I.Facility.P2aFacilityCount&gt;=2787,F7799=""),"Incomplete","Complete")</f>
        <v>Complete</v>
      </c>
      <c r="I7799" s="48" t="s">
        <v>12164</v>
      </c>
    </row>
    <row r="7800" spans="2:9" ht="15" customHeight="1" x14ac:dyDescent="0.25">
      <c r="B7800" s="55" t="s">
        <v>280</v>
      </c>
      <c r="C7800" s="46">
        <v>2788</v>
      </c>
      <c r="D7800" s="69" t="s">
        <v>29417</v>
      </c>
      <c r="E7800" s="51"/>
      <c r="F7800" s="114" t="str">
        <f>IF(INDEX(I.Facility.P2aIDNumber,2788)="","",INDEX(I.Facility.P2aIDNumber,2788))</f>
        <v/>
      </c>
      <c r="G7800" s="51"/>
      <c r="H7800" s="46" t="str">
        <f>IF(AND(I.Developer.P2a=TRUE,I.Facility.P2aFacilityCount&gt;=2788,F7800=""),"Incomplete","Complete")</f>
        <v>Complete</v>
      </c>
      <c r="I7800" s="48" t="s">
        <v>12165</v>
      </c>
    </row>
    <row r="7801" spans="2:9" ht="15" customHeight="1" x14ac:dyDescent="0.25">
      <c r="B7801" s="55" t="s">
        <v>280</v>
      </c>
      <c r="C7801" s="46">
        <v>2789</v>
      </c>
      <c r="D7801" s="69" t="s">
        <v>29417</v>
      </c>
      <c r="E7801" s="51"/>
      <c r="F7801" s="114" t="str">
        <f>IF(INDEX(I.Facility.P2aIDNumber,2789)="","",INDEX(I.Facility.P2aIDNumber,2789))</f>
        <v/>
      </c>
      <c r="G7801" s="51"/>
      <c r="H7801" s="46" t="str">
        <f>IF(AND(I.Developer.P2a=TRUE,I.Facility.P2aFacilityCount&gt;=2789,F7801=""),"Incomplete","Complete")</f>
        <v>Complete</v>
      </c>
      <c r="I7801" s="48" t="s">
        <v>12166</v>
      </c>
    </row>
    <row r="7802" spans="2:9" ht="15" customHeight="1" x14ac:dyDescent="0.25">
      <c r="B7802" s="55" t="s">
        <v>280</v>
      </c>
      <c r="C7802" s="46">
        <v>2790</v>
      </c>
      <c r="D7802" s="69" t="s">
        <v>29417</v>
      </c>
      <c r="E7802" s="51"/>
      <c r="F7802" s="114" t="str">
        <f>IF(INDEX(I.Facility.P2aIDNumber,2790)="","",INDEX(I.Facility.P2aIDNumber,2790))</f>
        <v/>
      </c>
      <c r="G7802" s="51"/>
      <c r="H7802" s="46" t="str">
        <f>IF(AND(I.Developer.P2a=TRUE,I.Facility.P2aFacilityCount&gt;=2790,F7802=""),"Incomplete","Complete")</f>
        <v>Complete</v>
      </c>
      <c r="I7802" s="48" t="s">
        <v>12167</v>
      </c>
    </row>
    <row r="7803" spans="2:9" ht="15" customHeight="1" x14ac:dyDescent="0.25">
      <c r="B7803" s="55" t="s">
        <v>280</v>
      </c>
      <c r="C7803" s="46">
        <v>2791</v>
      </c>
      <c r="D7803" s="69" t="s">
        <v>29417</v>
      </c>
      <c r="E7803" s="51"/>
      <c r="F7803" s="114" t="str">
        <f>IF(INDEX(I.Facility.P2aIDNumber,2791)="","",INDEX(I.Facility.P2aIDNumber,2791))</f>
        <v/>
      </c>
      <c r="G7803" s="51"/>
      <c r="H7803" s="46" t="str">
        <f>IF(AND(I.Developer.P2a=TRUE,I.Facility.P2aFacilityCount&gt;=2791,F7803=""),"Incomplete","Complete")</f>
        <v>Complete</v>
      </c>
      <c r="I7803" s="48" t="s">
        <v>12168</v>
      </c>
    </row>
    <row r="7804" spans="2:9" ht="15" customHeight="1" x14ac:dyDescent="0.25">
      <c r="B7804" s="55" t="s">
        <v>280</v>
      </c>
      <c r="C7804" s="46">
        <v>2792</v>
      </c>
      <c r="D7804" s="69" t="s">
        <v>29417</v>
      </c>
      <c r="E7804" s="51"/>
      <c r="F7804" s="114" t="str">
        <f>IF(INDEX(I.Facility.P2aIDNumber,2792)="","",INDEX(I.Facility.P2aIDNumber,2792))</f>
        <v/>
      </c>
      <c r="G7804" s="51"/>
      <c r="H7804" s="46" t="str">
        <f>IF(AND(I.Developer.P2a=TRUE,I.Facility.P2aFacilityCount&gt;=2792,F7804=""),"Incomplete","Complete")</f>
        <v>Complete</v>
      </c>
      <c r="I7804" s="48" t="s">
        <v>12169</v>
      </c>
    </row>
    <row r="7805" spans="2:9" ht="15" customHeight="1" x14ac:dyDescent="0.25">
      <c r="B7805" s="55" t="s">
        <v>280</v>
      </c>
      <c r="C7805" s="46">
        <v>2793</v>
      </c>
      <c r="D7805" s="69" t="s">
        <v>29417</v>
      </c>
      <c r="E7805" s="51"/>
      <c r="F7805" s="114" t="str">
        <f>IF(INDEX(I.Facility.P2aIDNumber,2793)="","",INDEX(I.Facility.P2aIDNumber,2793))</f>
        <v/>
      </c>
      <c r="G7805" s="51"/>
      <c r="H7805" s="46" t="str">
        <f>IF(AND(I.Developer.P2a=TRUE,I.Facility.P2aFacilityCount&gt;=2793,F7805=""),"Incomplete","Complete")</f>
        <v>Complete</v>
      </c>
      <c r="I7805" s="48" t="s">
        <v>12170</v>
      </c>
    </row>
    <row r="7806" spans="2:9" ht="15" customHeight="1" x14ac:dyDescent="0.25">
      <c r="B7806" s="55" t="s">
        <v>280</v>
      </c>
      <c r="C7806" s="46">
        <v>2794</v>
      </c>
      <c r="D7806" s="69" t="s">
        <v>29417</v>
      </c>
      <c r="E7806" s="51"/>
      <c r="F7806" s="114" t="str">
        <f>IF(INDEX(I.Facility.P2aIDNumber,2794)="","",INDEX(I.Facility.P2aIDNumber,2794))</f>
        <v/>
      </c>
      <c r="G7806" s="51"/>
      <c r="H7806" s="46" t="str">
        <f>IF(AND(I.Developer.P2a=TRUE,I.Facility.P2aFacilityCount&gt;=2794,F7806=""),"Incomplete","Complete")</f>
        <v>Complete</v>
      </c>
      <c r="I7806" s="48" t="s">
        <v>12171</v>
      </c>
    </row>
    <row r="7807" spans="2:9" ht="15" customHeight="1" x14ac:dyDescent="0.25">
      <c r="B7807" s="55" t="s">
        <v>280</v>
      </c>
      <c r="C7807" s="46">
        <v>2795</v>
      </c>
      <c r="D7807" s="69" t="s">
        <v>29417</v>
      </c>
      <c r="E7807" s="51"/>
      <c r="F7807" s="114" t="str">
        <f>IF(INDEX(I.Facility.P2aIDNumber,2795)="","",INDEX(I.Facility.P2aIDNumber,2795))</f>
        <v/>
      </c>
      <c r="G7807" s="51"/>
      <c r="H7807" s="46" t="str">
        <f>IF(AND(I.Developer.P2a=TRUE,I.Facility.P2aFacilityCount&gt;=2795,F7807=""),"Incomplete","Complete")</f>
        <v>Complete</v>
      </c>
      <c r="I7807" s="48" t="s">
        <v>12172</v>
      </c>
    </row>
    <row r="7808" spans="2:9" ht="15" customHeight="1" x14ac:dyDescent="0.25">
      <c r="B7808" s="55" t="s">
        <v>280</v>
      </c>
      <c r="C7808" s="46">
        <v>2796</v>
      </c>
      <c r="D7808" s="69" t="s">
        <v>29417</v>
      </c>
      <c r="E7808" s="51"/>
      <c r="F7808" s="114" t="str">
        <f>IF(INDEX(I.Facility.P2aIDNumber,2796)="","",INDEX(I.Facility.P2aIDNumber,2796))</f>
        <v/>
      </c>
      <c r="G7808" s="51"/>
      <c r="H7808" s="46" t="str">
        <f>IF(AND(I.Developer.P2a=TRUE,I.Facility.P2aFacilityCount&gt;=2796,F7808=""),"Incomplete","Complete")</f>
        <v>Complete</v>
      </c>
      <c r="I7808" s="48" t="s">
        <v>12173</v>
      </c>
    </row>
    <row r="7809" spans="2:9" ht="15" customHeight="1" x14ac:dyDescent="0.25">
      <c r="B7809" s="55" t="s">
        <v>280</v>
      </c>
      <c r="C7809" s="46">
        <v>2797</v>
      </c>
      <c r="D7809" s="69" t="s">
        <v>29417</v>
      </c>
      <c r="E7809" s="51"/>
      <c r="F7809" s="114" t="str">
        <f>IF(INDEX(I.Facility.P2aIDNumber,2797)="","",INDEX(I.Facility.P2aIDNumber,2797))</f>
        <v/>
      </c>
      <c r="G7809" s="51"/>
      <c r="H7809" s="46" t="str">
        <f>IF(AND(I.Developer.P2a=TRUE,I.Facility.P2aFacilityCount&gt;=2797,F7809=""),"Incomplete","Complete")</f>
        <v>Complete</v>
      </c>
      <c r="I7809" s="48" t="s">
        <v>12174</v>
      </c>
    </row>
    <row r="7810" spans="2:9" ht="15" customHeight="1" x14ac:dyDescent="0.25">
      <c r="B7810" s="55" t="s">
        <v>280</v>
      </c>
      <c r="C7810" s="46">
        <v>2798</v>
      </c>
      <c r="D7810" s="69" t="s">
        <v>29417</v>
      </c>
      <c r="E7810" s="51"/>
      <c r="F7810" s="114" t="str">
        <f>IF(INDEX(I.Facility.P2aIDNumber,2798)="","",INDEX(I.Facility.P2aIDNumber,2798))</f>
        <v/>
      </c>
      <c r="G7810" s="51"/>
      <c r="H7810" s="46" t="str">
        <f>IF(AND(I.Developer.P2a=TRUE,I.Facility.P2aFacilityCount&gt;=2798,F7810=""),"Incomplete","Complete")</f>
        <v>Complete</v>
      </c>
      <c r="I7810" s="48" t="s">
        <v>12175</v>
      </c>
    </row>
    <row r="7811" spans="2:9" ht="15" customHeight="1" x14ac:dyDescent="0.25">
      <c r="B7811" s="55" t="s">
        <v>280</v>
      </c>
      <c r="C7811" s="46">
        <v>2799</v>
      </c>
      <c r="D7811" s="69" t="s">
        <v>29417</v>
      </c>
      <c r="E7811" s="51"/>
      <c r="F7811" s="114" t="str">
        <f>IF(INDEX(I.Facility.P2aIDNumber,2799)="","",INDEX(I.Facility.P2aIDNumber,2799))</f>
        <v/>
      </c>
      <c r="G7811" s="51"/>
      <c r="H7811" s="46" t="str">
        <f>IF(AND(I.Developer.P2a=TRUE,I.Facility.P2aFacilityCount&gt;=2799,F7811=""),"Incomplete","Complete")</f>
        <v>Complete</v>
      </c>
      <c r="I7811" s="48" t="s">
        <v>12176</v>
      </c>
    </row>
    <row r="7812" spans="2:9" ht="15" customHeight="1" x14ac:dyDescent="0.25">
      <c r="B7812" s="55" t="s">
        <v>280</v>
      </c>
      <c r="C7812" s="46">
        <v>2800</v>
      </c>
      <c r="D7812" s="69" t="s">
        <v>29417</v>
      </c>
      <c r="E7812" s="51"/>
      <c r="F7812" s="114" t="str">
        <f>IF(INDEX(I.Facility.P2aIDNumber,2800)="","",INDEX(I.Facility.P2aIDNumber,2800))</f>
        <v/>
      </c>
      <c r="G7812" s="51"/>
      <c r="H7812" s="46" t="str">
        <f>IF(AND(I.Developer.P2a=TRUE,I.Facility.P2aFacilityCount&gt;=2800,F7812=""),"Incomplete","Complete")</f>
        <v>Complete</v>
      </c>
      <c r="I7812" s="48" t="s">
        <v>12177</v>
      </c>
    </row>
    <row r="7813" spans="2:9" ht="15" customHeight="1" x14ac:dyDescent="0.25">
      <c r="B7813" s="55" t="s">
        <v>280</v>
      </c>
      <c r="C7813" s="46">
        <v>2801</v>
      </c>
      <c r="D7813" s="69" t="s">
        <v>29417</v>
      </c>
      <c r="E7813" s="51"/>
      <c r="F7813" s="114" t="str">
        <f>IF(INDEX(I.Facility.P2aIDNumber,2801)="","",INDEX(I.Facility.P2aIDNumber,2801))</f>
        <v/>
      </c>
      <c r="G7813" s="51"/>
      <c r="H7813" s="46" t="str">
        <f>IF(AND(I.Developer.P2a=TRUE,I.Facility.P2aFacilityCount&gt;=2801,F7813=""),"Incomplete","Complete")</f>
        <v>Complete</v>
      </c>
      <c r="I7813" s="48" t="s">
        <v>12178</v>
      </c>
    </row>
    <row r="7814" spans="2:9" ht="15" customHeight="1" x14ac:dyDescent="0.25">
      <c r="B7814" s="55" t="s">
        <v>280</v>
      </c>
      <c r="C7814" s="46">
        <v>2802</v>
      </c>
      <c r="D7814" s="69" t="s">
        <v>29417</v>
      </c>
      <c r="E7814" s="51"/>
      <c r="F7814" s="114" t="str">
        <f>IF(INDEX(I.Facility.P2aIDNumber,2802)="","",INDEX(I.Facility.P2aIDNumber,2802))</f>
        <v/>
      </c>
      <c r="G7814" s="51"/>
      <c r="H7814" s="46" t="str">
        <f>IF(AND(I.Developer.P2a=TRUE,I.Facility.P2aFacilityCount&gt;=2802,F7814=""),"Incomplete","Complete")</f>
        <v>Complete</v>
      </c>
      <c r="I7814" s="48" t="s">
        <v>12179</v>
      </c>
    </row>
    <row r="7815" spans="2:9" ht="15" customHeight="1" x14ac:dyDescent="0.25">
      <c r="B7815" s="55" t="s">
        <v>280</v>
      </c>
      <c r="C7815" s="46">
        <v>2803</v>
      </c>
      <c r="D7815" s="69" t="s">
        <v>29417</v>
      </c>
      <c r="E7815" s="51"/>
      <c r="F7815" s="114" t="str">
        <f>IF(INDEX(I.Facility.P2aIDNumber,2803)="","",INDEX(I.Facility.P2aIDNumber,2803))</f>
        <v/>
      </c>
      <c r="G7815" s="51"/>
      <c r="H7815" s="46" t="str">
        <f>IF(AND(I.Developer.P2a=TRUE,I.Facility.P2aFacilityCount&gt;=2803,F7815=""),"Incomplete","Complete")</f>
        <v>Complete</v>
      </c>
      <c r="I7815" s="48" t="s">
        <v>12180</v>
      </c>
    </row>
    <row r="7816" spans="2:9" ht="15" customHeight="1" x14ac:dyDescent="0.25">
      <c r="B7816" s="55" t="s">
        <v>280</v>
      </c>
      <c r="C7816" s="46">
        <v>2804</v>
      </c>
      <c r="D7816" s="69" t="s">
        <v>29417</v>
      </c>
      <c r="E7816" s="51"/>
      <c r="F7816" s="114" t="str">
        <f>IF(INDEX(I.Facility.P2aIDNumber,2804)="","",INDEX(I.Facility.P2aIDNumber,2804))</f>
        <v/>
      </c>
      <c r="G7816" s="51"/>
      <c r="H7816" s="46" t="str">
        <f>IF(AND(I.Developer.P2a=TRUE,I.Facility.P2aFacilityCount&gt;=2804,F7816=""),"Incomplete","Complete")</f>
        <v>Complete</v>
      </c>
      <c r="I7816" s="48" t="s">
        <v>12181</v>
      </c>
    </row>
    <row r="7817" spans="2:9" ht="15" customHeight="1" x14ac:dyDescent="0.25">
      <c r="B7817" s="55" t="s">
        <v>280</v>
      </c>
      <c r="C7817" s="46">
        <v>2805</v>
      </c>
      <c r="D7817" s="69" t="s">
        <v>29417</v>
      </c>
      <c r="E7817" s="51"/>
      <c r="F7817" s="114" t="str">
        <f>IF(INDEX(I.Facility.P2aIDNumber,2805)="","",INDEX(I.Facility.P2aIDNumber,2805))</f>
        <v/>
      </c>
      <c r="G7817" s="51"/>
      <c r="H7817" s="46" t="str">
        <f>IF(AND(I.Developer.P2a=TRUE,I.Facility.P2aFacilityCount&gt;=2805,F7817=""),"Incomplete","Complete")</f>
        <v>Complete</v>
      </c>
      <c r="I7817" s="48" t="s">
        <v>12182</v>
      </c>
    </row>
    <row r="7818" spans="2:9" ht="15" customHeight="1" x14ac:dyDescent="0.25">
      <c r="B7818" s="55" t="s">
        <v>280</v>
      </c>
      <c r="C7818" s="46">
        <v>2806</v>
      </c>
      <c r="D7818" s="69" t="s">
        <v>29417</v>
      </c>
      <c r="E7818" s="51"/>
      <c r="F7818" s="114" t="str">
        <f>IF(INDEX(I.Facility.P2aIDNumber,2806)="","",INDEX(I.Facility.P2aIDNumber,2806))</f>
        <v/>
      </c>
      <c r="G7818" s="51"/>
      <c r="H7818" s="46" t="str">
        <f>IF(AND(I.Developer.P2a=TRUE,I.Facility.P2aFacilityCount&gt;=2806,F7818=""),"Incomplete","Complete")</f>
        <v>Complete</v>
      </c>
      <c r="I7818" s="48" t="s">
        <v>12183</v>
      </c>
    </row>
    <row r="7819" spans="2:9" ht="15" customHeight="1" x14ac:dyDescent="0.25">
      <c r="B7819" s="55" t="s">
        <v>280</v>
      </c>
      <c r="C7819" s="46">
        <v>2807</v>
      </c>
      <c r="D7819" s="69" t="s">
        <v>29417</v>
      </c>
      <c r="E7819" s="51"/>
      <c r="F7819" s="114" t="str">
        <f>IF(INDEX(I.Facility.P2aIDNumber,2807)="","",INDEX(I.Facility.P2aIDNumber,2807))</f>
        <v/>
      </c>
      <c r="G7819" s="51"/>
      <c r="H7819" s="46" t="str">
        <f>IF(AND(I.Developer.P2a=TRUE,I.Facility.P2aFacilityCount&gt;=2807,F7819=""),"Incomplete","Complete")</f>
        <v>Complete</v>
      </c>
      <c r="I7819" s="48" t="s">
        <v>12184</v>
      </c>
    </row>
    <row r="7820" spans="2:9" ht="15" customHeight="1" x14ac:dyDescent="0.25">
      <c r="B7820" s="55" t="s">
        <v>280</v>
      </c>
      <c r="C7820" s="46">
        <v>2808</v>
      </c>
      <c r="D7820" s="69" t="s">
        <v>29417</v>
      </c>
      <c r="E7820" s="51"/>
      <c r="F7820" s="114" t="str">
        <f>IF(INDEX(I.Facility.P2aIDNumber,2808)="","",INDEX(I.Facility.P2aIDNumber,2808))</f>
        <v/>
      </c>
      <c r="G7820" s="51"/>
      <c r="H7820" s="46" t="str">
        <f>IF(AND(I.Developer.P2a=TRUE,I.Facility.P2aFacilityCount&gt;=2808,F7820=""),"Incomplete","Complete")</f>
        <v>Complete</v>
      </c>
      <c r="I7820" s="48" t="s">
        <v>12185</v>
      </c>
    </row>
    <row r="7821" spans="2:9" ht="15" customHeight="1" x14ac:dyDescent="0.25">
      <c r="B7821" s="55" t="s">
        <v>280</v>
      </c>
      <c r="C7821" s="46">
        <v>2809</v>
      </c>
      <c r="D7821" s="69" t="s">
        <v>29417</v>
      </c>
      <c r="E7821" s="51"/>
      <c r="F7821" s="114" t="str">
        <f>IF(INDEX(I.Facility.P2aIDNumber,2809)="","",INDEX(I.Facility.P2aIDNumber,2809))</f>
        <v/>
      </c>
      <c r="G7821" s="51"/>
      <c r="H7821" s="46" t="str">
        <f>IF(AND(I.Developer.P2a=TRUE,I.Facility.P2aFacilityCount&gt;=2809,F7821=""),"Incomplete","Complete")</f>
        <v>Complete</v>
      </c>
      <c r="I7821" s="48" t="s">
        <v>12186</v>
      </c>
    </row>
    <row r="7822" spans="2:9" ht="15" customHeight="1" x14ac:dyDescent="0.25">
      <c r="B7822" s="55" t="s">
        <v>280</v>
      </c>
      <c r="C7822" s="46">
        <v>2810</v>
      </c>
      <c r="D7822" s="69" t="s">
        <v>29417</v>
      </c>
      <c r="E7822" s="51"/>
      <c r="F7822" s="114" t="str">
        <f>IF(INDEX(I.Facility.P2aIDNumber,2810)="","",INDEX(I.Facility.P2aIDNumber,2810))</f>
        <v/>
      </c>
      <c r="G7822" s="51"/>
      <c r="H7822" s="46" t="str">
        <f>IF(AND(I.Developer.P2a=TRUE,I.Facility.P2aFacilityCount&gt;=2810,F7822=""),"Incomplete","Complete")</f>
        <v>Complete</v>
      </c>
      <c r="I7822" s="48" t="s">
        <v>12187</v>
      </c>
    </row>
    <row r="7823" spans="2:9" ht="15" customHeight="1" x14ac:dyDescent="0.25">
      <c r="B7823" s="55" t="s">
        <v>280</v>
      </c>
      <c r="C7823" s="46">
        <v>2811</v>
      </c>
      <c r="D7823" s="69" t="s">
        <v>29417</v>
      </c>
      <c r="E7823" s="51"/>
      <c r="F7823" s="114" t="str">
        <f>IF(INDEX(I.Facility.P2aIDNumber,2811)="","",INDEX(I.Facility.P2aIDNumber,2811))</f>
        <v/>
      </c>
      <c r="G7823" s="51"/>
      <c r="H7823" s="46" t="str">
        <f>IF(AND(I.Developer.P2a=TRUE,I.Facility.P2aFacilityCount&gt;=2811,F7823=""),"Incomplete","Complete")</f>
        <v>Complete</v>
      </c>
      <c r="I7823" s="48" t="s">
        <v>12188</v>
      </c>
    </row>
    <row r="7824" spans="2:9" ht="15" customHeight="1" x14ac:dyDescent="0.25">
      <c r="B7824" s="55" t="s">
        <v>280</v>
      </c>
      <c r="C7824" s="46">
        <v>2812</v>
      </c>
      <c r="D7824" s="69" t="s">
        <v>29417</v>
      </c>
      <c r="E7824" s="51"/>
      <c r="F7824" s="114" t="str">
        <f>IF(INDEX(I.Facility.P2aIDNumber,2812)="","",INDEX(I.Facility.P2aIDNumber,2812))</f>
        <v/>
      </c>
      <c r="G7824" s="51"/>
      <c r="H7824" s="46" t="str">
        <f>IF(AND(I.Developer.P2a=TRUE,I.Facility.P2aFacilityCount&gt;=2812,F7824=""),"Incomplete","Complete")</f>
        <v>Complete</v>
      </c>
      <c r="I7824" s="48" t="s">
        <v>12189</v>
      </c>
    </row>
    <row r="7825" spans="2:9" ht="15" customHeight="1" x14ac:dyDescent="0.25">
      <c r="B7825" s="55" t="s">
        <v>280</v>
      </c>
      <c r="C7825" s="46">
        <v>2813</v>
      </c>
      <c r="D7825" s="69" t="s">
        <v>29417</v>
      </c>
      <c r="E7825" s="51"/>
      <c r="F7825" s="114" t="str">
        <f>IF(INDEX(I.Facility.P2aIDNumber,2813)="","",INDEX(I.Facility.P2aIDNumber,2813))</f>
        <v/>
      </c>
      <c r="G7825" s="51"/>
      <c r="H7825" s="46" t="str">
        <f>IF(AND(I.Developer.P2a=TRUE,I.Facility.P2aFacilityCount&gt;=2813,F7825=""),"Incomplete","Complete")</f>
        <v>Complete</v>
      </c>
      <c r="I7825" s="48" t="s">
        <v>12190</v>
      </c>
    </row>
    <row r="7826" spans="2:9" ht="15" customHeight="1" x14ac:dyDescent="0.25">
      <c r="B7826" s="55" t="s">
        <v>280</v>
      </c>
      <c r="C7826" s="46">
        <v>2814</v>
      </c>
      <c r="D7826" s="69" t="s">
        <v>29417</v>
      </c>
      <c r="E7826" s="51"/>
      <c r="F7826" s="114" t="str">
        <f>IF(INDEX(I.Facility.P2aIDNumber,2814)="","",INDEX(I.Facility.P2aIDNumber,2814))</f>
        <v/>
      </c>
      <c r="G7826" s="51"/>
      <c r="H7826" s="46" t="str">
        <f>IF(AND(I.Developer.P2a=TRUE,I.Facility.P2aFacilityCount&gt;=2814,F7826=""),"Incomplete","Complete")</f>
        <v>Complete</v>
      </c>
      <c r="I7826" s="48" t="s">
        <v>12191</v>
      </c>
    </row>
    <row r="7827" spans="2:9" ht="15" customHeight="1" x14ac:dyDescent="0.25">
      <c r="B7827" s="55" t="s">
        <v>280</v>
      </c>
      <c r="C7827" s="46">
        <v>2815</v>
      </c>
      <c r="D7827" s="69" t="s">
        <v>29417</v>
      </c>
      <c r="E7827" s="51"/>
      <c r="F7827" s="114" t="str">
        <f>IF(INDEX(I.Facility.P2aIDNumber,2815)="","",INDEX(I.Facility.P2aIDNumber,2815))</f>
        <v/>
      </c>
      <c r="G7827" s="51"/>
      <c r="H7827" s="46" t="str">
        <f>IF(AND(I.Developer.P2a=TRUE,I.Facility.P2aFacilityCount&gt;=2815,F7827=""),"Incomplete","Complete")</f>
        <v>Complete</v>
      </c>
      <c r="I7827" s="48" t="s">
        <v>12192</v>
      </c>
    </row>
    <row r="7828" spans="2:9" ht="15" customHeight="1" x14ac:dyDescent="0.25">
      <c r="B7828" s="55" t="s">
        <v>280</v>
      </c>
      <c r="C7828" s="46">
        <v>2816</v>
      </c>
      <c r="D7828" s="69" t="s">
        <v>29417</v>
      </c>
      <c r="E7828" s="51"/>
      <c r="F7828" s="114" t="str">
        <f>IF(INDEX(I.Facility.P2aIDNumber,2816)="","",INDEX(I.Facility.P2aIDNumber,2816))</f>
        <v/>
      </c>
      <c r="G7828" s="51"/>
      <c r="H7828" s="46" t="str">
        <f>IF(AND(I.Developer.P2a=TRUE,I.Facility.P2aFacilityCount&gt;=2816,F7828=""),"Incomplete","Complete")</f>
        <v>Complete</v>
      </c>
      <c r="I7828" s="48" t="s">
        <v>12193</v>
      </c>
    </row>
    <row r="7829" spans="2:9" ht="15" customHeight="1" x14ac:dyDescent="0.25">
      <c r="B7829" s="55" t="s">
        <v>280</v>
      </c>
      <c r="C7829" s="46">
        <v>2817</v>
      </c>
      <c r="D7829" s="69" t="s">
        <v>29417</v>
      </c>
      <c r="E7829" s="51"/>
      <c r="F7829" s="114" t="str">
        <f>IF(INDEX(I.Facility.P2aIDNumber,2817)="","",INDEX(I.Facility.P2aIDNumber,2817))</f>
        <v/>
      </c>
      <c r="G7829" s="51"/>
      <c r="H7829" s="46" t="str">
        <f>IF(AND(I.Developer.P2a=TRUE,I.Facility.P2aFacilityCount&gt;=2817,F7829=""),"Incomplete","Complete")</f>
        <v>Complete</v>
      </c>
      <c r="I7829" s="48" t="s">
        <v>12194</v>
      </c>
    </row>
    <row r="7830" spans="2:9" ht="15" customHeight="1" x14ac:dyDescent="0.25">
      <c r="B7830" s="55" t="s">
        <v>280</v>
      </c>
      <c r="C7830" s="46">
        <v>2818</v>
      </c>
      <c r="D7830" s="69" t="s">
        <v>29417</v>
      </c>
      <c r="E7830" s="51"/>
      <c r="F7830" s="114" t="str">
        <f>IF(INDEX(I.Facility.P2aIDNumber,2818)="","",INDEX(I.Facility.P2aIDNumber,2818))</f>
        <v/>
      </c>
      <c r="G7830" s="51"/>
      <c r="H7830" s="46" t="str">
        <f>IF(AND(I.Developer.P2a=TRUE,I.Facility.P2aFacilityCount&gt;=2818,F7830=""),"Incomplete","Complete")</f>
        <v>Complete</v>
      </c>
      <c r="I7830" s="48" t="s">
        <v>12195</v>
      </c>
    </row>
    <row r="7831" spans="2:9" ht="15" customHeight="1" x14ac:dyDescent="0.25">
      <c r="B7831" s="55" t="s">
        <v>280</v>
      </c>
      <c r="C7831" s="46">
        <v>2819</v>
      </c>
      <c r="D7831" s="69" t="s">
        <v>29417</v>
      </c>
      <c r="E7831" s="51"/>
      <c r="F7831" s="114" t="str">
        <f>IF(INDEX(I.Facility.P2aIDNumber,2819)="","",INDEX(I.Facility.P2aIDNumber,2819))</f>
        <v/>
      </c>
      <c r="G7831" s="51"/>
      <c r="H7831" s="46" t="str">
        <f>IF(AND(I.Developer.P2a=TRUE,I.Facility.P2aFacilityCount&gt;=2819,F7831=""),"Incomplete","Complete")</f>
        <v>Complete</v>
      </c>
      <c r="I7831" s="48" t="s">
        <v>12196</v>
      </c>
    </row>
    <row r="7832" spans="2:9" ht="15" customHeight="1" x14ac:dyDescent="0.25">
      <c r="B7832" s="55" t="s">
        <v>280</v>
      </c>
      <c r="C7832" s="46">
        <v>2820</v>
      </c>
      <c r="D7832" s="69" t="s">
        <v>29417</v>
      </c>
      <c r="E7832" s="51"/>
      <c r="F7832" s="114" t="str">
        <f>IF(INDEX(I.Facility.P2aIDNumber,2820)="","",INDEX(I.Facility.P2aIDNumber,2820))</f>
        <v/>
      </c>
      <c r="G7832" s="51"/>
      <c r="H7832" s="46" t="str">
        <f>IF(AND(I.Developer.P2a=TRUE,I.Facility.P2aFacilityCount&gt;=2820,F7832=""),"Incomplete","Complete")</f>
        <v>Complete</v>
      </c>
      <c r="I7832" s="48" t="s">
        <v>12197</v>
      </c>
    </row>
    <row r="7833" spans="2:9" ht="15" customHeight="1" x14ac:dyDescent="0.25">
      <c r="B7833" s="55" t="s">
        <v>280</v>
      </c>
      <c r="C7833" s="46">
        <v>2821</v>
      </c>
      <c r="D7833" s="69" t="s">
        <v>29417</v>
      </c>
      <c r="E7833" s="51"/>
      <c r="F7833" s="114" t="str">
        <f>IF(INDEX(I.Facility.P2aIDNumber,2821)="","",INDEX(I.Facility.P2aIDNumber,2821))</f>
        <v/>
      </c>
      <c r="G7833" s="51"/>
      <c r="H7833" s="46" t="str">
        <f>IF(AND(I.Developer.P2a=TRUE,I.Facility.P2aFacilityCount&gt;=2821,F7833=""),"Incomplete","Complete")</f>
        <v>Complete</v>
      </c>
      <c r="I7833" s="48" t="s">
        <v>12198</v>
      </c>
    </row>
    <row r="7834" spans="2:9" ht="15" customHeight="1" x14ac:dyDescent="0.25">
      <c r="B7834" s="55" t="s">
        <v>280</v>
      </c>
      <c r="C7834" s="46">
        <v>2822</v>
      </c>
      <c r="D7834" s="69" t="s">
        <v>29417</v>
      </c>
      <c r="E7834" s="51"/>
      <c r="F7834" s="114" t="str">
        <f>IF(INDEX(I.Facility.P2aIDNumber,2822)="","",INDEX(I.Facility.P2aIDNumber,2822))</f>
        <v/>
      </c>
      <c r="G7834" s="51"/>
      <c r="H7834" s="46" t="str">
        <f>IF(AND(I.Developer.P2a=TRUE,I.Facility.P2aFacilityCount&gt;=2822,F7834=""),"Incomplete","Complete")</f>
        <v>Complete</v>
      </c>
      <c r="I7834" s="48" t="s">
        <v>12199</v>
      </c>
    </row>
    <row r="7835" spans="2:9" ht="15" customHeight="1" x14ac:dyDescent="0.25">
      <c r="B7835" s="55" t="s">
        <v>280</v>
      </c>
      <c r="C7835" s="46">
        <v>2823</v>
      </c>
      <c r="D7835" s="69" t="s">
        <v>29417</v>
      </c>
      <c r="E7835" s="51"/>
      <c r="F7835" s="114" t="str">
        <f>IF(INDEX(I.Facility.P2aIDNumber,2823)="","",INDEX(I.Facility.P2aIDNumber,2823))</f>
        <v/>
      </c>
      <c r="G7835" s="51"/>
      <c r="H7835" s="46" t="str">
        <f>IF(AND(I.Developer.P2a=TRUE,I.Facility.P2aFacilityCount&gt;=2823,F7835=""),"Incomplete","Complete")</f>
        <v>Complete</v>
      </c>
      <c r="I7835" s="48" t="s">
        <v>12200</v>
      </c>
    </row>
    <row r="7836" spans="2:9" ht="15" customHeight="1" x14ac:dyDescent="0.25">
      <c r="B7836" s="55" t="s">
        <v>280</v>
      </c>
      <c r="C7836" s="46">
        <v>2824</v>
      </c>
      <c r="D7836" s="69" t="s">
        <v>29417</v>
      </c>
      <c r="E7836" s="51"/>
      <c r="F7836" s="114" t="str">
        <f>IF(INDEX(I.Facility.P2aIDNumber,2824)="","",INDEX(I.Facility.P2aIDNumber,2824))</f>
        <v/>
      </c>
      <c r="G7836" s="51"/>
      <c r="H7836" s="46" t="str">
        <f>IF(AND(I.Developer.P2a=TRUE,I.Facility.P2aFacilityCount&gt;=2824,F7836=""),"Incomplete","Complete")</f>
        <v>Complete</v>
      </c>
      <c r="I7836" s="48" t="s">
        <v>12201</v>
      </c>
    </row>
    <row r="7837" spans="2:9" ht="15" customHeight="1" x14ac:dyDescent="0.25">
      <c r="B7837" s="55" t="s">
        <v>280</v>
      </c>
      <c r="C7837" s="46">
        <v>2825</v>
      </c>
      <c r="D7837" s="69" t="s">
        <v>29417</v>
      </c>
      <c r="E7837" s="51"/>
      <c r="F7837" s="114" t="str">
        <f>IF(INDEX(I.Facility.P2aIDNumber,2825)="","",INDEX(I.Facility.P2aIDNumber,2825))</f>
        <v/>
      </c>
      <c r="G7837" s="51"/>
      <c r="H7837" s="46" t="str">
        <f>IF(AND(I.Developer.P2a=TRUE,I.Facility.P2aFacilityCount&gt;=2825,F7837=""),"Incomplete","Complete")</f>
        <v>Complete</v>
      </c>
      <c r="I7837" s="48" t="s">
        <v>12202</v>
      </c>
    </row>
    <row r="7838" spans="2:9" ht="15" customHeight="1" x14ac:dyDescent="0.25">
      <c r="B7838" s="55" t="s">
        <v>280</v>
      </c>
      <c r="C7838" s="46">
        <v>2826</v>
      </c>
      <c r="D7838" s="69" t="s">
        <v>29417</v>
      </c>
      <c r="E7838" s="51"/>
      <c r="F7838" s="114" t="str">
        <f>IF(INDEX(I.Facility.P2aIDNumber,2826)="","",INDEX(I.Facility.P2aIDNumber,2826))</f>
        <v/>
      </c>
      <c r="G7838" s="51"/>
      <c r="H7838" s="46" t="str">
        <f>IF(AND(I.Developer.P2a=TRUE,I.Facility.P2aFacilityCount&gt;=2826,F7838=""),"Incomplete","Complete")</f>
        <v>Complete</v>
      </c>
      <c r="I7838" s="48" t="s">
        <v>12203</v>
      </c>
    </row>
    <row r="7839" spans="2:9" ht="15" customHeight="1" x14ac:dyDescent="0.25">
      <c r="B7839" s="55" t="s">
        <v>280</v>
      </c>
      <c r="C7839" s="46">
        <v>2827</v>
      </c>
      <c r="D7839" s="69" t="s">
        <v>29417</v>
      </c>
      <c r="E7839" s="51"/>
      <c r="F7839" s="114" t="str">
        <f>IF(INDEX(I.Facility.P2aIDNumber,2827)="","",INDEX(I.Facility.P2aIDNumber,2827))</f>
        <v/>
      </c>
      <c r="G7839" s="51"/>
      <c r="H7839" s="46" t="str">
        <f>IF(AND(I.Developer.P2a=TRUE,I.Facility.P2aFacilityCount&gt;=2827,F7839=""),"Incomplete","Complete")</f>
        <v>Complete</v>
      </c>
      <c r="I7839" s="48" t="s">
        <v>12204</v>
      </c>
    </row>
    <row r="7840" spans="2:9" ht="15" customHeight="1" x14ac:dyDescent="0.25">
      <c r="B7840" s="55" t="s">
        <v>280</v>
      </c>
      <c r="C7840" s="46">
        <v>2828</v>
      </c>
      <c r="D7840" s="69" t="s">
        <v>29417</v>
      </c>
      <c r="E7840" s="51"/>
      <c r="F7840" s="114" t="str">
        <f>IF(INDEX(I.Facility.P2aIDNumber,2828)="","",INDEX(I.Facility.P2aIDNumber,2828))</f>
        <v/>
      </c>
      <c r="G7840" s="51"/>
      <c r="H7840" s="46" t="str">
        <f>IF(AND(I.Developer.P2a=TRUE,I.Facility.P2aFacilityCount&gt;=2828,F7840=""),"Incomplete","Complete")</f>
        <v>Complete</v>
      </c>
      <c r="I7840" s="48" t="s">
        <v>12205</v>
      </c>
    </row>
    <row r="7841" spans="2:9" ht="15" customHeight="1" x14ac:dyDescent="0.25">
      <c r="B7841" s="55" t="s">
        <v>280</v>
      </c>
      <c r="C7841" s="46">
        <v>2829</v>
      </c>
      <c r="D7841" s="69" t="s">
        <v>29417</v>
      </c>
      <c r="E7841" s="51"/>
      <c r="F7841" s="114" t="str">
        <f>IF(INDEX(I.Facility.P2aIDNumber,2829)="","",INDEX(I.Facility.P2aIDNumber,2829))</f>
        <v/>
      </c>
      <c r="G7841" s="51"/>
      <c r="H7841" s="46" t="str">
        <f>IF(AND(I.Developer.P2a=TRUE,I.Facility.P2aFacilityCount&gt;=2829,F7841=""),"Incomplete","Complete")</f>
        <v>Complete</v>
      </c>
      <c r="I7841" s="48" t="s">
        <v>12206</v>
      </c>
    </row>
    <row r="7842" spans="2:9" ht="15" customHeight="1" x14ac:dyDescent="0.25">
      <c r="B7842" s="55" t="s">
        <v>280</v>
      </c>
      <c r="C7842" s="46">
        <v>2830</v>
      </c>
      <c r="D7842" s="69" t="s">
        <v>29417</v>
      </c>
      <c r="E7842" s="51"/>
      <c r="F7842" s="114" t="str">
        <f>IF(INDEX(I.Facility.P2aIDNumber,2830)="","",INDEX(I.Facility.P2aIDNumber,2830))</f>
        <v/>
      </c>
      <c r="G7842" s="51"/>
      <c r="H7842" s="46" t="str">
        <f>IF(AND(I.Developer.P2a=TRUE,I.Facility.P2aFacilityCount&gt;=2830,F7842=""),"Incomplete","Complete")</f>
        <v>Complete</v>
      </c>
      <c r="I7842" s="48" t="s">
        <v>12207</v>
      </c>
    </row>
    <row r="7843" spans="2:9" ht="15" customHeight="1" x14ac:dyDescent="0.25">
      <c r="B7843" s="55" t="s">
        <v>280</v>
      </c>
      <c r="C7843" s="46">
        <v>2831</v>
      </c>
      <c r="D7843" s="69" t="s">
        <v>29417</v>
      </c>
      <c r="E7843" s="51"/>
      <c r="F7843" s="114" t="str">
        <f>IF(INDEX(I.Facility.P2aIDNumber,2831)="","",INDEX(I.Facility.P2aIDNumber,2831))</f>
        <v/>
      </c>
      <c r="G7843" s="51"/>
      <c r="H7843" s="46" t="str">
        <f>IF(AND(I.Developer.P2a=TRUE,I.Facility.P2aFacilityCount&gt;=2831,F7843=""),"Incomplete","Complete")</f>
        <v>Complete</v>
      </c>
      <c r="I7843" s="48" t="s">
        <v>12208</v>
      </c>
    </row>
    <row r="7844" spans="2:9" ht="15" customHeight="1" x14ac:dyDescent="0.25">
      <c r="B7844" s="55" t="s">
        <v>280</v>
      </c>
      <c r="C7844" s="46">
        <v>2832</v>
      </c>
      <c r="D7844" s="69" t="s">
        <v>29417</v>
      </c>
      <c r="E7844" s="51"/>
      <c r="F7844" s="114" t="str">
        <f>IF(INDEX(I.Facility.P2aIDNumber,2832)="","",INDEX(I.Facility.P2aIDNumber,2832))</f>
        <v/>
      </c>
      <c r="G7844" s="51"/>
      <c r="H7844" s="46" t="str">
        <f>IF(AND(I.Developer.P2a=TRUE,I.Facility.P2aFacilityCount&gt;=2832,F7844=""),"Incomplete","Complete")</f>
        <v>Complete</v>
      </c>
      <c r="I7844" s="48" t="s">
        <v>12209</v>
      </c>
    </row>
    <row r="7845" spans="2:9" ht="15" customHeight="1" x14ac:dyDescent="0.25">
      <c r="B7845" s="55" t="s">
        <v>280</v>
      </c>
      <c r="C7845" s="46">
        <v>2833</v>
      </c>
      <c r="D7845" s="69" t="s">
        <v>29417</v>
      </c>
      <c r="E7845" s="51"/>
      <c r="F7845" s="114" t="str">
        <f>IF(INDEX(I.Facility.P2aIDNumber,2833)="","",INDEX(I.Facility.P2aIDNumber,2833))</f>
        <v/>
      </c>
      <c r="G7845" s="51"/>
      <c r="H7845" s="46" t="str">
        <f>IF(AND(I.Developer.P2a=TRUE,I.Facility.P2aFacilityCount&gt;=2833,F7845=""),"Incomplete","Complete")</f>
        <v>Complete</v>
      </c>
      <c r="I7845" s="48" t="s">
        <v>12210</v>
      </c>
    </row>
    <row r="7846" spans="2:9" ht="15" customHeight="1" x14ac:dyDescent="0.25">
      <c r="B7846" s="55" t="s">
        <v>280</v>
      </c>
      <c r="C7846" s="46">
        <v>2834</v>
      </c>
      <c r="D7846" s="69" t="s">
        <v>29417</v>
      </c>
      <c r="E7846" s="51"/>
      <c r="F7846" s="114" t="str">
        <f>IF(INDEX(I.Facility.P2aIDNumber,2834)="","",INDEX(I.Facility.P2aIDNumber,2834))</f>
        <v/>
      </c>
      <c r="G7846" s="51"/>
      <c r="H7846" s="46" t="str">
        <f>IF(AND(I.Developer.P2a=TRUE,I.Facility.P2aFacilityCount&gt;=2834,F7846=""),"Incomplete","Complete")</f>
        <v>Complete</v>
      </c>
      <c r="I7846" s="48" t="s">
        <v>12211</v>
      </c>
    </row>
    <row r="7847" spans="2:9" ht="15" customHeight="1" x14ac:dyDescent="0.25">
      <c r="B7847" s="55" t="s">
        <v>280</v>
      </c>
      <c r="C7847" s="46">
        <v>2835</v>
      </c>
      <c r="D7847" s="69" t="s">
        <v>29417</v>
      </c>
      <c r="E7847" s="51"/>
      <c r="F7847" s="114" t="str">
        <f>IF(INDEX(I.Facility.P2aIDNumber,2835)="","",INDEX(I.Facility.P2aIDNumber,2835))</f>
        <v/>
      </c>
      <c r="G7847" s="51"/>
      <c r="H7847" s="46" t="str">
        <f>IF(AND(I.Developer.P2a=TRUE,I.Facility.P2aFacilityCount&gt;=2835,F7847=""),"Incomplete","Complete")</f>
        <v>Complete</v>
      </c>
      <c r="I7847" s="48" t="s">
        <v>12212</v>
      </c>
    </row>
    <row r="7848" spans="2:9" ht="15" customHeight="1" x14ac:dyDescent="0.25">
      <c r="B7848" s="55" t="s">
        <v>280</v>
      </c>
      <c r="C7848" s="46">
        <v>2836</v>
      </c>
      <c r="D7848" s="69" t="s">
        <v>29417</v>
      </c>
      <c r="E7848" s="51"/>
      <c r="F7848" s="114" t="str">
        <f>IF(INDEX(I.Facility.P2aIDNumber,2836)="","",INDEX(I.Facility.P2aIDNumber,2836))</f>
        <v/>
      </c>
      <c r="G7848" s="51"/>
      <c r="H7848" s="46" t="str">
        <f>IF(AND(I.Developer.P2a=TRUE,I.Facility.P2aFacilityCount&gt;=2836,F7848=""),"Incomplete","Complete")</f>
        <v>Complete</v>
      </c>
      <c r="I7848" s="48" t="s">
        <v>12213</v>
      </c>
    </row>
    <row r="7849" spans="2:9" ht="15" customHeight="1" x14ac:dyDescent="0.25">
      <c r="B7849" s="55" t="s">
        <v>280</v>
      </c>
      <c r="C7849" s="46">
        <v>2837</v>
      </c>
      <c r="D7849" s="69" t="s">
        <v>29417</v>
      </c>
      <c r="E7849" s="51"/>
      <c r="F7849" s="114" t="str">
        <f>IF(INDEX(I.Facility.P2aIDNumber,2837)="","",INDEX(I.Facility.P2aIDNumber,2837))</f>
        <v/>
      </c>
      <c r="G7849" s="51"/>
      <c r="H7849" s="46" t="str">
        <f>IF(AND(I.Developer.P2a=TRUE,I.Facility.P2aFacilityCount&gt;=2837,F7849=""),"Incomplete","Complete")</f>
        <v>Complete</v>
      </c>
      <c r="I7849" s="48" t="s">
        <v>12214</v>
      </c>
    </row>
    <row r="7850" spans="2:9" ht="15" customHeight="1" x14ac:dyDescent="0.25">
      <c r="B7850" s="55" t="s">
        <v>280</v>
      </c>
      <c r="C7850" s="46">
        <v>2838</v>
      </c>
      <c r="D7850" s="69" t="s">
        <v>29417</v>
      </c>
      <c r="E7850" s="51"/>
      <c r="F7850" s="114" t="str">
        <f>IF(INDEX(I.Facility.P2aIDNumber,2838)="","",INDEX(I.Facility.P2aIDNumber,2838))</f>
        <v/>
      </c>
      <c r="G7850" s="51"/>
      <c r="H7850" s="46" t="str">
        <f>IF(AND(I.Developer.P2a=TRUE,I.Facility.P2aFacilityCount&gt;=2838,F7850=""),"Incomplete","Complete")</f>
        <v>Complete</v>
      </c>
      <c r="I7850" s="48" t="s">
        <v>12215</v>
      </c>
    </row>
    <row r="7851" spans="2:9" ht="15" customHeight="1" x14ac:dyDescent="0.25">
      <c r="B7851" s="55" t="s">
        <v>280</v>
      </c>
      <c r="C7851" s="46">
        <v>2839</v>
      </c>
      <c r="D7851" s="69" t="s">
        <v>29417</v>
      </c>
      <c r="E7851" s="51"/>
      <c r="F7851" s="114" t="str">
        <f>IF(INDEX(I.Facility.P2aIDNumber,2839)="","",INDEX(I.Facility.P2aIDNumber,2839))</f>
        <v/>
      </c>
      <c r="G7851" s="51"/>
      <c r="H7851" s="46" t="str">
        <f>IF(AND(I.Developer.P2a=TRUE,I.Facility.P2aFacilityCount&gt;=2839,F7851=""),"Incomplete","Complete")</f>
        <v>Complete</v>
      </c>
      <c r="I7851" s="48" t="s">
        <v>12216</v>
      </c>
    </row>
    <row r="7852" spans="2:9" ht="15" customHeight="1" x14ac:dyDescent="0.25">
      <c r="B7852" s="55" t="s">
        <v>280</v>
      </c>
      <c r="C7852" s="46">
        <v>2840</v>
      </c>
      <c r="D7852" s="69" t="s">
        <v>29417</v>
      </c>
      <c r="E7852" s="51"/>
      <c r="F7852" s="114" t="str">
        <f>IF(INDEX(I.Facility.P2aIDNumber,2840)="","",INDEX(I.Facility.P2aIDNumber,2840))</f>
        <v/>
      </c>
      <c r="G7852" s="51"/>
      <c r="H7852" s="46" t="str">
        <f>IF(AND(I.Developer.P2a=TRUE,I.Facility.P2aFacilityCount&gt;=2840,F7852=""),"Incomplete","Complete")</f>
        <v>Complete</v>
      </c>
      <c r="I7852" s="48" t="s">
        <v>12217</v>
      </c>
    </row>
    <row r="7853" spans="2:9" ht="15" customHeight="1" x14ac:dyDescent="0.25">
      <c r="B7853" s="55" t="s">
        <v>280</v>
      </c>
      <c r="C7853" s="46">
        <v>2841</v>
      </c>
      <c r="D7853" s="69" t="s">
        <v>29417</v>
      </c>
      <c r="E7853" s="51"/>
      <c r="F7853" s="114" t="str">
        <f>IF(INDEX(I.Facility.P2aIDNumber,2841)="","",INDEX(I.Facility.P2aIDNumber,2841))</f>
        <v/>
      </c>
      <c r="G7853" s="51"/>
      <c r="H7853" s="46" t="str">
        <f>IF(AND(I.Developer.P2a=TRUE,I.Facility.P2aFacilityCount&gt;=2841,F7853=""),"Incomplete","Complete")</f>
        <v>Complete</v>
      </c>
      <c r="I7853" s="48" t="s">
        <v>12218</v>
      </c>
    </row>
    <row r="7854" spans="2:9" ht="15" customHeight="1" x14ac:dyDescent="0.25">
      <c r="B7854" s="55" t="s">
        <v>280</v>
      </c>
      <c r="C7854" s="46">
        <v>2842</v>
      </c>
      <c r="D7854" s="69" t="s">
        <v>29417</v>
      </c>
      <c r="E7854" s="51"/>
      <c r="F7854" s="114" t="str">
        <f>IF(INDEX(I.Facility.P2aIDNumber,2842)="","",INDEX(I.Facility.P2aIDNumber,2842))</f>
        <v/>
      </c>
      <c r="G7854" s="51"/>
      <c r="H7854" s="46" t="str">
        <f>IF(AND(I.Developer.P2a=TRUE,I.Facility.P2aFacilityCount&gt;=2842,F7854=""),"Incomplete","Complete")</f>
        <v>Complete</v>
      </c>
      <c r="I7854" s="48" t="s">
        <v>12219</v>
      </c>
    </row>
    <row r="7855" spans="2:9" ht="15" customHeight="1" x14ac:dyDescent="0.25">
      <c r="B7855" s="55" t="s">
        <v>280</v>
      </c>
      <c r="C7855" s="46">
        <v>2843</v>
      </c>
      <c r="D7855" s="69" t="s">
        <v>29417</v>
      </c>
      <c r="E7855" s="51"/>
      <c r="F7855" s="114" t="str">
        <f>IF(INDEX(I.Facility.P2aIDNumber,2843)="","",INDEX(I.Facility.P2aIDNumber,2843))</f>
        <v/>
      </c>
      <c r="G7855" s="51"/>
      <c r="H7855" s="46" t="str">
        <f>IF(AND(I.Developer.P2a=TRUE,I.Facility.P2aFacilityCount&gt;=2843,F7855=""),"Incomplete","Complete")</f>
        <v>Complete</v>
      </c>
      <c r="I7855" s="48" t="s">
        <v>12220</v>
      </c>
    </row>
    <row r="7856" spans="2:9" ht="15" customHeight="1" x14ac:dyDescent="0.25">
      <c r="B7856" s="55" t="s">
        <v>280</v>
      </c>
      <c r="C7856" s="46">
        <v>2844</v>
      </c>
      <c r="D7856" s="69" t="s">
        <v>29417</v>
      </c>
      <c r="E7856" s="51"/>
      <c r="F7856" s="114" t="str">
        <f>IF(INDEX(I.Facility.P2aIDNumber,2844)="","",INDEX(I.Facility.P2aIDNumber,2844))</f>
        <v/>
      </c>
      <c r="G7856" s="51"/>
      <c r="H7856" s="46" t="str">
        <f>IF(AND(I.Developer.P2a=TRUE,I.Facility.P2aFacilityCount&gt;=2844,F7856=""),"Incomplete","Complete")</f>
        <v>Complete</v>
      </c>
      <c r="I7856" s="48" t="s">
        <v>12221</v>
      </c>
    </row>
    <row r="7857" spans="2:9" ht="15" customHeight="1" x14ac:dyDescent="0.25">
      <c r="B7857" s="55" t="s">
        <v>280</v>
      </c>
      <c r="C7857" s="46">
        <v>2845</v>
      </c>
      <c r="D7857" s="69" t="s">
        <v>29417</v>
      </c>
      <c r="E7857" s="51"/>
      <c r="F7857" s="114" t="str">
        <f>IF(INDEX(I.Facility.P2aIDNumber,2845)="","",INDEX(I.Facility.P2aIDNumber,2845))</f>
        <v/>
      </c>
      <c r="G7857" s="51"/>
      <c r="H7857" s="46" t="str">
        <f>IF(AND(I.Developer.P2a=TRUE,I.Facility.P2aFacilityCount&gt;=2845,F7857=""),"Incomplete","Complete")</f>
        <v>Complete</v>
      </c>
      <c r="I7857" s="48" t="s">
        <v>12222</v>
      </c>
    </row>
    <row r="7858" spans="2:9" ht="15" customHeight="1" x14ac:dyDescent="0.25">
      <c r="B7858" s="55" t="s">
        <v>280</v>
      </c>
      <c r="C7858" s="46">
        <v>2846</v>
      </c>
      <c r="D7858" s="69" t="s">
        <v>29417</v>
      </c>
      <c r="E7858" s="51"/>
      <c r="F7858" s="114" t="str">
        <f>IF(INDEX(I.Facility.P2aIDNumber,2846)="","",INDEX(I.Facility.P2aIDNumber,2846))</f>
        <v/>
      </c>
      <c r="G7858" s="51"/>
      <c r="H7858" s="46" t="str">
        <f>IF(AND(I.Developer.P2a=TRUE,I.Facility.P2aFacilityCount&gt;=2846,F7858=""),"Incomplete","Complete")</f>
        <v>Complete</v>
      </c>
      <c r="I7858" s="48" t="s">
        <v>12223</v>
      </c>
    </row>
    <row r="7859" spans="2:9" ht="15" customHeight="1" x14ac:dyDescent="0.25">
      <c r="B7859" s="55" t="s">
        <v>280</v>
      </c>
      <c r="C7859" s="46">
        <v>2847</v>
      </c>
      <c r="D7859" s="69" t="s">
        <v>29417</v>
      </c>
      <c r="E7859" s="51"/>
      <c r="F7859" s="114" t="str">
        <f>IF(INDEX(I.Facility.P2aIDNumber,2847)="","",INDEX(I.Facility.P2aIDNumber,2847))</f>
        <v/>
      </c>
      <c r="G7859" s="51"/>
      <c r="H7859" s="46" t="str">
        <f>IF(AND(I.Developer.P2a=TRUE,I.Facility.P2aFacilityCount&gt;=2847,F7859=""),"Incomplete","Complete")</f>
        <v>Complete</v>
      </c>
      <c r="I7859" s="48" t="s">
        <v>12224</v>
      </c>
    </row>
    <row r="7860" spans="2:9" ht="15" customHeight="1" x14ac:dyDescent="0.25">
      <c r="B7860" s="55" t="s">
        <v>280</v>
      </c>
      <c r="C7860" s="46">
        <v>2848</v>
      </c>
      <c r="D7860" s="69" t="s">
        <v>29417</v>
      </c>
      <c r="E7860" s="51"/>
      <c r="F7860" s="114" t="str">
        <f>IF(INDEX(I.Facility.P2aIDNumber,2848)="","",INDEX(I.Facility.P2aIDNumber,2848))</f>
        <v/>
      </c>
      <c r="G7860" s="51"/>
      <c r="H7860" s="46" t="str">
        <f>IF(AND(I.Developer.P2a=TRUE,I.Facility.P2aFacilityCount&gt;=2848,F7860=""),"Incomplete","Complete")</f>
        <v>Complete</v>
      </c>
      <c r="I7860" s="48" t="s">
        <v>12225</v>
      </c>
    </row>
    <row r="7861" spans="2:9" ht="15" customHeight="1" x14ac:dyDescent="0.25">
      <c r="B7861" s="55" t="s">
        <v>280</v>
      </c>
      <c r="C7861" s="46">
        <v>2849</v>
      </c>
      <c r="D7861" s="69" t="s">
        <v>29417</v>
      </c>
      <c r="E7861" s="51"/>
      <c r="F7861" s="114" t="str">
        <f>IF(INDEX(I.Facility.P2aIDNumber,2849)="","",INDEX(I.Facility.P2aIDNumber,2849))</f>
        <v/>
      </c>
      <c r="G7861" s="51"/>
      <c r="H7861" s="46" t="str">
        <f>IF(AND(I.Developer.P2a=TRUE,I.Facility.P2aFacilityCount&gt;=2849,F7861=""),"Incomplete","Complete")</f>
        <v>Complete</v>
      </c>
      <c r="I7861" s="48" t="s">
        <v>12226</v>
      </c>
    </row>
    <row r="7862" spans="2:9" ht="15" customHeight="1" x14ac:dyDescent="0.25">
      <c r="B7862" s="55" t="s">
        <v>280</v>
      </c>
      <c r="C7862" s="46">
        <v>2850</v>
      </c>
      <c r="D7862" s="69" t="s">
        <v>29417</v>
      </c>
      <c r="E7862" s="51"/>
      <c r="F7862" s="114" t="str">
        <f>IF(INDEX(I.Facility.P2aIDNumber,2850)="","",INDEX(I.Facility.P2aIDNumber,2850))</f>
        <v/>
      </c>
      <c r="G7862" s="51"/>
      <c r="H7862" s="46" t="str">
        <f>IF(AND(I.Developer.P2a=TRUE,I.Facility.P2aFacilityCount&gt;=2850,F7862=""),"Incomplete","Complete")</f>
        <v>Complete</v>
      </c>
      <c r="I7862" s="48" t="s">
        <v>12227</v>
      </c>
    </row>
    <row r="7863" spans="2:9" ht="15" customHeight="1" x14ac:dyDescent="0.25">
      <c r="B7863" s="55" t="s">
        <v>280</v>
      </c>
      <c r="C7863" s="46">
        <v>2851</v>
      </c>
      <c r="D7863" s="69" t="s">
        <v>29417</v>
      </c>
      <c r="E7863" s="51"/>
      <c r="F7863" s="114" t="str">
        <f>IF(INDEX(I.Facility.P2aIDNumber,2851)="","",INDEX(I.Facility.P2aIDNumber,2851))</f>
        <v/>
      </c>
      <c r="G7863" s="51"/>
      <c r="H7863" s="46" t="str">
        <f>IF(AND(I.Developer.P2a=TRUE,I.Facility.P2aFacilityCount&gt;=2851,F7863=""),"Incomplete","Complete")</f>
        <v>Complete</v>
      </c>
      <c r="I7863" s="48" t="s">
        <v>12228</v>
      </c>
    </row>
    <row r="7864" spans="2:9" ht="15" customHeight="1" x14ac:dyDescent="0.25">
      <c r="B7864" s="55" t="s">
        <v>280</v>
      </c>
      <c r="C7864" s="46">
        <v>2852</v>
      </c>
      <c r="D7864" s="69" t="s">
        <v>29417</v>
      </c>
      <c r="E7864" s="51"/>
      <c r="F7864" s="114" t="str">
        <f>IF(INDEX(I.Facility.P2aIDNumber,2852)="","",INDEX(I.Facility.P2aIDNumber,2852))</f>
        <v/>
      </c>
      <c r="G7864" s="51"/>
      <c r="H7864" s="46" t="str">
        <f>IF(AND(I.Developer.P2a=TRUE,I.Facility.P2aFacilityCount&gt;=2852,F7864=""),"Incomplete","Complete")</f>
        <v>Complete</v>
      </c>
      <c r="I7864" s="48" t="s">
        <v>12229</v>
      </c>
    </row>
    <row r="7865" spans="2:9" ht="15" customHeight="1" x14ac:dyDescent="0.25">
      <c r="B7865" s="55" t="s">
        <v>280</v>
      </c>
      <c r="C7865" s="46">
        <v>2853</v>
      </c>
      <c r="D7865" s="69" t="s">
        <v>29417</v>
      </c>
      <c r="E7865" s="51"/>
      <c r="F7865" s="114" t="str">
        <f>IF(INDEX(I.Facility.P2aIDNumber,2853)="","",INDEX(I.Facility.P2aIDNumber,2853))</f>
        <v/>
      </c>
      <c r="G7865" s="51"/>
      <c r="H7865" s="46" t="str">
        <f>IF(AND(I.Developer.P2a=TRUE,I.Facility.P2aFacilityCount&gt;=2853,F7865=""),"Incomplete","Complete")</f>
        <v>Complete</v>
      </c>
      <c r="I7865" s="48" t="s">
        <v>12230</v>
      </c>
    </row>
    <row r="7866" spans="2:9" ht="15" customHeight="1" x14ac:dyDescent="0.25">
      <c r="B7866" s="55" t="s">
        <v>280</v>
      </c>
      <c r="C7866" s="46">
        <v>2854</v>
      </c>
      <c r="D7866" s="69" t="s">
        <v>29417</v>
      </c>
      <c r="E7866" s="51"/>
      <c r="F7866" s="114" t="str">
        <f>IF(INDEX(I.Facility.P2aIDNumber,2854)="","",INDEX(I.Facility.P2aIDNumber,2854))</f>
        <v/>
      </c>
      <c r="G7866" s="51"/>
      <c r="H7866" s="46" t="str">
        <f>IF(AND(I.Developer.P2a=TRUE,I.Facility.P2aFacilityCount&gt;=2854,F7866=""),"Incomplete","Complete")</f>
        <v>Complete</v>
      </c>
      <c r="I7866" s="48" t="s">
        <v>12231</v>
      </c>
    </row>
    <row r="7867" spans="2:9" ht="15" customHeight="1" x14ac:dyDescent="0.25">
      <c r="B7867" s="55" t="s">
        <v>280</v>
      </c>
      <c r="C7867" s="46">
        <v>2855</v>
      </c>
      <c r="D7867" s="69" t="s">
        <v>29417</v>
      </c>
      <c r="E7867" s="51"/>
      <c r="F7867" s="114" t="str">
        <f>IF(INDEX(I.Facility.P2aIDNumber,2855)="","",INDEX(I.Facility.P2aIDNumber,2855))</f>
        <v/>
      </c>
      <c r="G7867" s="51"/>
      <c r="H7867" s="46" t="str">
        <f>IF(AND(I.Developer.P2a=TRUE,I.Facility.P2aFacilityCount&gt;=2855,F7867=""),"Incomplete","Complete")</f>
        <v>Complete</v>
      </c>
      <c r="I7867" s="48" t="s">
        <v>12232</v>
      </c>
    </row>
    <row r="7868" spans="2:9" ht="15" customHeight="1" x14ac:dyDescent="0.25">
      <c r="B7868" s="55" t="s">
        <v>280</v>
      </c>
      <c r="C7868" s="46">
        <v>2856</v>
      </c>
      <c r="D7868" s="69" t="s">
        <v>29417</v>
      </c>
      <c r="E7868" s="51"/>
      <c r="F7868" s="114" t="str">
        <f>IF(INDEX(I.Facility.P2aIDNumber,2856)="","",INDEX(I.Facility.P2aIDNumber,2856))</f>
        <v/>
      </c>
      <c r="G7868" s="51"/>
      <c r="H7868" s="46" t="str">
        <f>IF(AND(I.Developer.P2a=TRUE,I.Facility.P2aFacilityCount&gt;=2856,F7868=""),"Incomplete","Complete")</f>
        <v>Complete</v>
      </c>
      <c r="I7868" s="48" t="s">
        <v>12233</v>
      </c>
    </row>
    <row r="7869" spans="2:9" ht="15" customHeight="1" x14ac:dyDescent="0.25">
      <c r="B7869" s="55" t="s">
        <v>280</v>
      </c>
      <c r="C7869" s="46">
        <v>2857</v>
      </c>
      <c r="D7869" s="69" t="s">
        <v>29417</v>
      </c>
      <c r="E7869" s="51"/>
      <c r="F7869" s="114" t="str">
        <f>IF(INDEX(I.Facility.P2aIDNumber,2857)="","",INDEX(I.Facility.P2aIDNumber,2857))</f>
        <v/>
      </c>
      <c r="G7869" s="51"/>
      <c r="H7869" s="46" t="str">
        <f>IF(AND(I.Developer.P2a=TRUE,I.Facility.P2aFacilityCount&gt;=2857,F7869=""),"Incomplete","Complete")</f>
        <v>Complete</v>
      </c>
      <c r="I7869" s="48" t="s">
        <v>12234</v>
      </c>
    </row>
    <row r="7870" spans="2:9" ht="15" customHeight="1" x14ac:dyDescent="0.25">
      <c r="B7870" s="55" t="s">
        <v>280</v>
      </c>
      <c r="C7870" s="46">
        <v>2858</v>
      </c>
      <c r="D7870" s="69" t="s">
        <v>29417</v>
      </c>
      <c r="E7870" s="51"/>
      <c r="F7870" s="114" t="str">
        <f>IF(INDEX(I.Facility.P2aIDNumber,2858)="","",INDEX(I.Facility.P2aIDNumber,2858))</f>
        <v/>
      </c>
      <c r="G7870" s="51"/>
      <c r="H7870" s="46" t="str">
        <f>IF(AND(I.Developer.P2a=TRUE,I.Facility.P2aFacilityCount&gt;=2858,F7870=""),"Incomplete","Complete")</f>
        <v>Complete</v>
      </c>
      <c r="I7870" s="48" t="s">
        <v>12235</v>
      </c>
    </row>
    <row r="7871" spans="2:9" ht="15" customHeight="1" x14ac:dyDescent="0.25">
      <c r="B7871" s="55" t="s">
        <v>280</v>
      </c>
      <c r="C7871" s="46">
        <v>2859</v>
      </c>
      <c r="D7871" s="69" t="s">
        <v>29417</v>
      </c>
      <c r="E7871" s="51"/>
      <c r="F7871" s="114" t="str">
        <f>IF(INDEX(I.Facility.P2aIDNumber,2859)="","",INDEX(I.Facility.P2aIDNumber,2859))</f>
        <v/>
      </c>
      <c r="G7871" s="51"/>
      <c r="H7871" s="46" t="str">
        <f>IF(AND(I.Developer.P2a=TRUE,I.Facility.P2aFacilityCount&gt;=2859,F7871=""),"Incomplete","Complete")</f>
        <v>Complete</v>
      </c>
      <c r="I7871" s="48" t="s">
        <v>12236</v>
      </c>
    </row>
    <row r="7872" spans="2:9" ht="15" customHeight="1" x14ac:dyDescent="0.25">
      <c r="B7872" s="55" t="s">
        <v>280</v>
      </c>
      <c r="C7872" s="46">
        <v>2860</v>
      </c>
      <c r="D7872" s="69" t="s">
        <v>29417</v>
      </c>
      <c r="E7872" s="51"/>
      <c r="F7872" s="114" t="str">
        <f>IF(INDEX(I.Facility.P2aIDNumber,2860)="","",INDEX(I.Facility.P2aIDNumber,2860))</f>
        <v/>
      </c>
      <c r="G7872" s="51"/>
      <c r="H7872" s="46" t="str">
        <f>IF(AND(I.Developer.P2a=TRUE,I.Facility.P2aFacilityCount&gt;=2860,F7872=""),"Incomplete","Complete")</f>
        <v>Complete</v>
      </c>
      <c r="I7872" s="48" t="s">
        <v>12237</v>
      </c>
    </row>
    <row r="7873" spans="2:9" ht="15" customHeight="1" x14ac:dyDescent="0.25">
      <c r="B7873" s="55" t="s">
        <v>280</v>
      </c>
      <c r="C7873" s="46">
        <v>2861</v>
      </c>
      <c r="D7873" s="69" t="s">
        <v>29417</v>
      </c>
      <c r="E7873" s="51"/>
      <c r="F7873" s="114" t="str">
        <f>IF(INDEX(I.Facility.P2aIDNumber,2861)="","",INDEX(I.Facility.P2aIDNumber,2861))</f>
        <v/>
      </c>
      <c r="G7873" s="51"/>
      <c r="H7873" s="46" t="str">
        <f>IF(AND(I.Developer.P2a=TRUE,I.Facility.P2aFacilityCount&gt;=2861,F7873=""),"Incomplete","Complete")</f>
        <v>Complete</v>
      </c>
      <c r="I7873" s="48" t="s">
        <v>12238</v>
      </c>
    </row>
    <row r="7874" spans="2:9" ht="15" customHeight="1" x14ac:dyDescent="0.25">
      <c r="B7874" s="55" t="s">
        <v>280</v>
      </c>
      <c r="C7874" s="46">
        <v>2862</v>
      </c>
      <c r="D7874" s="69" t="s">
        <v>29417</v>
      </c>
      <c r="E7874" s="51"/>
      <c r="F7874" s="114" t="str">
        <f>IF(INDEX(I.Facility.P2aIDNumber,2862)="","",INDEX(I.Facility.P2aIDNumber,2862))</f>
        <v/>
      </c>
      <c r="G7874" s="51"/>
      <c r="H7874" s="46" t="str">
        <f>IF(AND(I.Developer.P2a=TRUE,I.Facility.P2aFacilityCount&gt;=2862,F7874=""),"Incomplete","Complete")</f>
        <v>Complete</v>
      </c>
      <c r="I7874" s="48" t="s">
        <v>12239</v>
      </c>
    </row>
    <row r="7875" spans="2:9" ht="15" customHeight="1" x14ac:dyDescent="0.25">
      <c r="B7875" s="55" t="s">
        <v>280</v>
      </c>
      <c r="C7875" s="46">
        <v>2863</v>
      </c>
      <c r="D7875" s="69" t="s">
        <v>29417</v>
      </c>
      <c r="E7875" s="51"/>
      <c r="F7875" s="114" t="str">
        <f>IF(INDEX(I.Facility.P2aIDNumber,2863)="","",INDEX(I.Facility.P2aIDNumber,2863))</f>
        <v/>
      </c>
      <c r="G7875" s="51"/>
      <c r="H7875" s="46" t="str">
        <f>IF(AND(I.Developer.P2a=TRUE,I.Facility.P2aFacilityCount&gt;=2863,F7875=""),"Incomplete","Complete")</f>
        <v>Complete</v>
      </c>
      <c r="I7875" s="48" t="s">
        <v>12240</v>
      </c>
    </row>
    <row r="7876" spans="2:9" ht="15" customHeight="1" x14ac:dyDescent="0.25">
      <c r="B7876" s="55" t="s">
        <v>280</v>
      </c>
      <c r="C7876" s="46">
        <v>2864</v>
      </c>
      <c r="D7876" s="69" t="s">
        <v>29417</v>
      </c>
      <c r="E7876" s="51"/>
      <c r="F7876" s="114" t="str">
        <f>IF(INDEX(I.Facility.P2aIDNumber,2864)="","",INDEX(I.Facility.P2aIDNumber,2864))</f>
        <v/>
      </c>
      <c r="G7876" s="51"/>
      <c r="H7876" s="46" t="str">
        <f>IF(AND(I.Developer.P2a=TRUE,I.Facility.P2aFacilityCount&gt;=2864,F7876=""),"Incomplete","Complete")</f>
        <v>Complete</v>
      </c>
      <c r="I7876" s="48" t="s">
        <v>12241</v>
      </c>
    </row>
    <row r="7877" spans="2:9" ht="15" customHeight="1" x14ac:dyDescent="0.25">
      <c r="B7877" s="55" t="s">
        <v>280</v>
      </c>
      <c r="C7877" s="46">
        <v>2865</v>
      </c>
      <c r="D7877" s="69" t="s">
        <v>29417</v>
      </c>
      <c r="E7877" s="51"/>
      <c r="F7877" s="114" t="str">
        <f>IF(INDEX(I.Facility.P2aIDNumber,2865)="","",INDEX(I.Facility.P2aIDNumber,2865))</f>
        <v/>
      </c>
      <c r="G7877" s="51"/>
      <c r="H7877" s="46" t="str">
        <f>IF(AND(I.Developer.P2a=TRUE,I.Facility.P2aFacilityCount&gt;=2865,F7877=""),"Incomplete","Complete")</f>
        <v>Complete</v>
      </c>
      <c r="I7877" s="48" t="s">
        <v>12242</v>
      </c>
    </row>
    <row r="7878" spans="2:9" ht="15" customHeight="1" x14ac:dyDescent="0.25">
      <c r="B7878" s="55" t="s">
        <v>280</v>
      </c>
      <c r="C7878" s="46">
        <v>2866</v>
      </c>
      <c r="D7878" s="69" t="s">
        <v>29417</v>
      </c>
      <c r="E7878" s="51"/>
      <c r="F7878" s="114" t="str">
        <f>IF(INDEX(I.Facility.P2aIDNumber,2866)="","",INDEX(I.Facility.P2aIDNumber,2866))</f>
        <v/>
      </c>
      <c r="G7878" s="51"/>
      <c r="H7878" s="46" t="str">
        <f>IF(AND(I.Developer.P2a=TRUE,I.Facility.P2aFacilityCount&gt;=2866,F7878=""),"Incomplete","Complete")</f>
        <v>Complete</v>
      </c>
      <c r="I7878" s="48" t="s">
        <v>12243</v>
      </c>
    </row>
    <row r="7879" spans="2:9" ht="15" customHeight="1" x14ac:dyDescent="0.25">
      <c r="B7879" s="55" t="s">
        <v>280</v>
      </c>
      <c r="C7879" s="46">
        <v>2867</v>
      </c>
      <c r="D7879" s="69" t="s">
        <v>29417</v>
      </c>
      <c r="E7879" s="51"/>
      <c r="F7879" s="114" t="str">
        <f>IF(INDEX(I.Facility.P2aIDNumber,2867)="","",INDEX(I.Facility.P2aIDNumber,2867))</f>
        <v/>
      </c>
      <c r="G7879" s="51"/>
      <c r="H7879" s="46" t="str">
        <f>IF(AND(I.Developer.P2a=TRUE,I.Facility.P2aFacilityCount&gt;=2867,F7879=""),"Incomplete","Complete")</f>
        <v>Complete</v>
      </c>
      <c r="I7879" s="48" t="s">
        <v>12244</v>
      </c>
    </row>
    <row r="7880" spans="2:9" ht="15" customHeight="1" x14ac:dyDescent="0.25">
      <c r="B7880" s="55" t="s">
        <v>280</v>
      </c>
      <c r="C7880" s="46">
        <v>2868</v>
      </c>
      <c r="D7880" s="69" t="s">
        <v>29417</v>
      </c>
      <c r="E7880" s="51"/>
      <c r="F7880" s="114" t="str">
        <f>IF(INDEX(I.Facility.P2aIDNumber,2868)="","",INDEX(I.Facility.P2aIDNumber,2868))</f>
        <v/>
      </c>
      <c r="G7880" s="51"/>
      <c r="H7880" s="46" t="str">
        <f>IF(AND(I.Developer.P2a=TRUE,I.Facility.P2aFacilityCount&gt;=2868,F7880=""),"Incomplete","Complete")</f>
        <v>Complete</v>
      </c>
      <c r="I7880" s="48" t="s">
        <v>12245</v>
      </c>
    </row>
    <row r="7881" spans="2:9" ht="15" customHeight="1" x14ac:dyDescent="0.25">
      <c r="B7881" s="55" t="s">
        <v>280</v>
      </c>
      <c r="C7881" s="46">
        <v>2869</v>
      </c>
      <c r="D7881" s="69" t="s">
        <v>29417</v>
      </c>
      <c r="E7881" s="51"/>
      <c r="F7881" s="114" t="str">
        <f>IF(INDEX(I.Facility.P2aIDNumber,2869)="","",INDEX(I.Facility.P2aIDNumber,2869))</f>
        <v/>
      </c>
      <c r="G7881" s="51"/>
      <c r="H7881" s="46" t="str">
        <f>IF(AND(I.Developer.P2a=TRUE,I.Facility.P2aFacilityCount&gt;=2869,F7881=""),"Incomplete","Complete")</f>
        <v>Complete</v>
      </c>
      <c r="I7881" s="48" t="s">
        <v>12246</v>
      </c>
    </row>
    <row r="7882" spans="2:9" ht="15" customHeight="1" x14ac:dyDescent="0.25">
      <c r="B7882" s="55" t="s">
        <v>280</v>
      </c>
      <c r="C7882" s="46">
        <v>2870</v>
      </c>
      <c r="D7882" s="69" t="s">
        <v>29417</v>
      </c>
      <c r="E7882" s="51"/>
      <c r="F7882" s="114" t="str">
        <f>IF(INDEX(I.Facility.P2aIDNumber,2870)="","",INDEX(I.Facility.P2aIDNumber,2870))</f>
        <v/>
      </c>
      <c r="G7882" s="51"/>
      <c r="H7882" s="46" t="str">
        <f>IF(AND(I.Developer.P2a=TRUE,I.Facility.P2aFacilityCount&gt;=2870,F7882=""),"Incomplete","Complete")</f>
        <v>Complete</v>
      </c>
      <c r="I7882" s="48" t="s">
        <v>12247</v>
      </c>
    </row>
    <row r="7883" spans="2:9" ht="15" customHeight="1" x14ac:dyDescent="0.25">
      <c r="B7883" s="55" t="s">
        <v>280</v>
      </c>
      <c r="C7883" s="46">
        <v>2871</v>
      </c>
      <c r="D7883" s="69" t="s">
        <v>29417</v>
      </c>
      <c r="E7883" s="51"/>
      <c r="F7883" s="114" t="str">
        <f>IF(INDEX(I.Facility.P2aIDNumber,2871)="","",INDEX(I.Facility.P2aIDNumber,2871))</f>
        <v/>
      </c>
      <c r="G7883" s="51"/>
      <c r="H7883" s="46" t="str">
        <f>IF(AND(I.Developer.P2a=TRUE,I.Facility.P2aFacilityCount&gt;=2871,F7883=""),"Incomplete","Complete")</f>
        <v>Complete</v>
      </c>
      <c r="I7883" s="48" t="s">
        <v>12248</v>
      </c>
    </row>
    <row r="7884" spans="2:9" ht="15" customHeight="1" x14ac:dyDescent="0.25">
      <c r="B7884" s="55" t="s">
        <v>280</v>
      </c>
      <c r="C7884" s="46">
        <v>2872</v>
      </c>
      <c r="D7884" s="69" t="s">
        <v>29417</v>
      </c>
      <c r="E7884" s="51"/>
      <c r="F7884" s="114" t="str">
        <f>IF(INDEX(I.Facility.P2aIDNumber,2872)="","",INDEX(I.Facility.P2aIDNumber,2872))</f>
        <v/>
      </c>
      <c r="G7884" s="51"/>
      <c r="H7884" s="46" t="str">
        <f>IF(AND(I.Developer.P2a=TRUE,I.Facility.P2aFacilityCount&gt;=2872,F7884=""),"Incomplete","Complete")</f>
        <v>Complete</v>
      </c>
      <c r="I7884" s="48" t="s">
        <v>12249</v>
      </c>
    </row>
    <row r="7885" spans="2:9" ht="15" customHeight="1" x14ac:dyDescent="0.25">
      <c r="B7885" s="55" t="s">
        <v>280</v>
      </c>
      <c r="C7885" s="46">
        <v>2873</v>
      </c>
      <c r="D7885" s="69" t="s">
        <v>29417</v>
      </c>
      <c r="E7885" s="51"/>
      <c r="F7885" s="114" t="str">
        <f>IF(INDEX(I.Facility.P2aIDNumber,2873)="","",INDEX(I.Facility.P2aIDNumber,2873))</f>
        <v/>
      </c>
      <c r="G7885" s="51"/>
      <c r="H7885" s="46" t="str">
        <f>IF(AND(I.Developer.P2a=TRUE,I.Facility.P2aFacilityCount&gt;=2873,F7885=""),"Incomplete","Complete")</f>
        <v>Complete</v>
      </c>
      <c r="I7885" s="48" t="s">
        <v>12250</v>
      </c>
    </row>
    <row r="7886" spans="2:9" ht="15" customHeight="1" x14ac:dyDescent="0.25">
      <c r="B7886" s="55" t="s">
        <v>280</v>
      </c>
      <c r="C7886" s="46">
        <v>2874</v>
      </c>
      <c r="D7886" s="69" t="s">
        <v>29417</v>
      </c>
      <c r="E7886" s="51"/>
      <c r="F7886" s="114" t="str">
        <f>IF(INDEX(I.Facility.P2aIDNumber,2874)="","",INDEX(I.Facility.P2aIDNumber,2874))</f>
        <v/>
      </c>
      <c r="G7886" s="51"/>
      <c r="H7886" s="46" t="str">
        <f>IF(AND(I.Developer.P2a=TRUE,I.Facility.P2aFacilityCount&gt;=2874,F7886=""),"Incomplete","Complete")</f>
        <v>Complete</v>
      </c>
      <c r="I7886" s="48" t="s">
        <v>12251</v>
      </c>
    </row>
    <row r="7887" spans="2:9" ht="15" customHeight="1" x14ac:dyDescent="0.25">
      <c r="B7887" s="55" t="s">
        <v>280</v>
      </c>
      <c r="C7887" s="46">
        <v>2875</v>
      </c>
      <c r="D7887" s="69" t="s">
        <v>29417</v>
      </c>
      <c r="E7887" s="51"/>
      <c r="F7887" s="114" t="str">
        <f>IF(INDEX(I.Facility.P2aIDNumber,2875)="","",INDEX(I.Facility.P2aIDNumber,2875))</f>
        <v/>
      </c>
      <c r="G7887" s="51"/>
      <c r="H7887" s="46" t="str">
        <f>IF(AND(I.Developer.P2a=TRUE,I.Facility.P2aFacilityCount&gt;=2875,F7887=""),"Incomplete","Complete")</f>
        <v>Complete</v>
      </c>
      <c r="I7887" s="48" t="s">
        <v>12252</v>
      </c>
    </row>
    <row r="7888" spans="2:9" ht="15" customHeight="1" x14ac:dyDescent="0.25">
      <c r="B7888" s="55" t="s">
        <v>280</v>
      </c>
      <c r="C7888" s="46">
        <v>2876</v>
      </c>
      <c r="D7888" s="69" t="s">
        <v>29417</v>
      </c>
      <c r="E7888" s="51"/>
      <c r="F7888" s="114" t="str">
        <f>IF(INDEX(I.Facility.P2aIDNumber,2876)="","",INDEX(I.Facility.P2aIDNumber,2876))</f>
        <v/>
      </c>
      <c r="G7888" s="51"/>
      <c r="H7888" s="46" t="str">
        <f>IF(AND(I.Developer.P2a=TRUE,I.Facility.P2aFacilityCount&gt;=2876,F7888=""),"Incomplete","Complete")</f>
        <v>Complete</v>
      </c>
      <c r="I7888" s="48" t="s">
        <v>12253</v>
      </c>
    </row>
    <row r="7889" spans="2:9" ht="15" customHeight="1" x14ac:dyDescent="0.25">
      <c r="B7889" s="55" t="s">
        <v>280</v>
      </c>
      <c r="C7889" s="46">
        <v>2877</v>
      </c>
      <c r="D7889" s="69" t="s">
        <v>29417</v>
      </c>
      <c r="E7889" s="51"/>
      <c r="F7889" s="114" t="str">
        <f>IF(INDEX(I.Facility.P2aIDNumber,2877)="","",INDEX(I.Facility.P2aIDNumber,2877))</f>
        <v/>
      </c>
      <c r="G7889" s="51"/>
      <c r="H7889" s="46" t="str">
        <f>IF(AND(I.Developer.P2a=TRUE,I.Facility.P2aFacilityCount&gt;=2877,F7889=""),"Incomplete","Complete")</f>
        <v>Complete</v>
      </c>
      <c r="I7889" s="48" t="s">
        <v>12254</v>
      </c>
    </row>
    <row r="7890" spans="2:9" ht="15" customHeight="1" x14ac:dyDescent="0.25">
      <c r="B7890" s="55" t="s">
        <v>280</v>
      </c>
      <c r="C7890" s="46">
        <v>2878</v>
      </c>
      <c r="D7890" s="69" t="s">
        <v>29417</v>
      </c>
      <c r="E7890" s="51"/>
      <c r="F7890" s="114" t="str">
        <f>IF(INDEX(I.Facility.P2aIDNumber,2878)="","",INDEX(I.Facility.P2aIDNumber,2878))</f>
        <v/>
      </c>
      <c r="G7890" s="51"/>
      <c r="H7890" s="46" t="str">
        <f>IF(AND(I.Developer.P2a=TRUE,I.Facility.P2aFacilityCount&gt;=2878,F7890=""),"Incomplete","Complete")</f>
        <v>Complete</v>
      </c>
      <c r="I7890" s="48" t="s">
        <v>12255</v>
      </c>
    </row>
    <row r="7891" spans="2:9" ht="15" customHeight="1" x14ac:dyDescent="0.25">
      <c r="B7891" s="55" t="s">
        <v>280</v>
      </c>
      <c r="C7891" s="46">
        <v>2879</v>
      </c>
      <c r="D7891" s="69" t="s">
        <v>29417</v>
      </c>
      <c r="E7891" s="51"/>
      <c r="F7891" s="114" t="str">
        <f>IF(INDEX(I.Facility.P2aIDNumber,2879)="","",INDEX(I.Facility.P2aIDNumber,2879))</f>
        <v/>
      </c>
      <c r="G7891" s="51"/>
      <c r="H7891" s="46" t="str">
        <f>IF(AND(I.Developer.P2a=TRUE,I.Facility.P2aFacilityCount&gt;=2879,F7891=""),"Incomplete","Complete")</f>
        <v>Complete</v>
      </c>
      <c r="I7891" s="48" t="s">
        <v>12256</v>
      </c>
    </row>
    <row r="7892" spans="2:9" ht="15" customHeight="1" x14ac:dyDescent="0.25">
      <c r="B7892" s="55" t="s">
        <v>280</v>
      </c>
      <c r="C7892" s="46">
        <v>2880</v>
      </c>
      <c r="D7892" s="69" t="s">
        <v>29417</v>
      </c>
      <c r="E7892" s="51"/>
      <c r="F7892" s="114" t="str">
        <f>IF(INDEX(I.Facility.P2aIDNumber,2880)="","",INDEX(I.Facility.P2aIDNumber,2880))</f>
        <v/>
      </c>
      <c r="G7892" s="51"/>
      <c r="H7892" s="46" t="str">
        <f>IF(AND(I.Developer.P2a=TRUE,I.Facility.P2aFacilityCount&gt;=2880,F7892=""),"Incomplete","Complete")</f>
        <v>Complete</v>
      </c>
      <c r="I7892" s="48" t="s">
        <v>12257</v>
      </c>
    </row>
    <row r="7893" spans="2:9" ht="15" customHeight="1" x14ac:dyDescent="0.25">
      <c r="B7893" s="55" t="s">
        <v>280</v>
      </c>
      <c r="C7893" s="46">
        <v>2881</v>
      </c>
      <c r="D7893" s="69" t="s">
        <v>29417</v>
      </c>
      <c r="E7893" s="51"/>
      <c r="F7893" s="114" t="str">
        <f>IF(INDEX(I.Facility.P2aIDNumber,2881)="","",INDEX(I.Facility.P2aIDNumber,2881))</f>
        <v/>
      </c>
      <c r="G7893" s="51"/>
      <c r="H7893" s="46" t="str">
        <f>IF(AND(I.Developer.P2a=TRUE,I.Facility.P2aFacilityCount&gt;=2881,F7893=""),"Incomplete","Complete")</f>
        <v>Complete</v>
      </c>
      <c r="I7893" s="48" t="s">
        <v>12258</v>
      </c>
    </row>
    <row r="7894" spans="2:9" ht="15" customHeight="1" x14ac:dyDescent="0.25">
      <c r="B7894" s="55" t="s">
        <v>280</v>
      </c>
      <c r="C7894" s="46">
        <v>2882</v>
      </c>
      <c r="D7894" s="69" t="s">
        <v>29417</v>
      </c>
      <c r="E7894" s="51"/>
      <c r="F7894" s="114" t="str">
        <f>IF(INDEX(I.Facility.P2aIDNumber,2882)="","",INDEX(I.Facility.P2aIDNumber,2882))</f>
        <v/>
      </c>
      <c r="G7894" s="51"/>
      <c r="H7894" s="46" t="str">
        <f>IF(AND(I.Developer.P2a=TRUE,I.Facility.P2aFacilityCount&gt;=2882,F7894=""),"Incomplete","Complete")</f>
        <v>Complete</v>
      </c>
      <c r="I7894" s="48" t="s">
        <v>12259</v>
      </c>
    </row>
    <row r="7895" spans="2:9" ht="15" customHeight="1" x14ac:dyDescent="0.25">
      <c r="B7895" s="55" t="s">
        <v>280</v>
      </c>
      <c r="C7895" s="46">
        <v>2883</v>
      </c>
      <c r="D7895" s="69" t="s">
        <v>29417</v>
      </c>
      <c r="E7895" s="51"/>
      <c r="F7895" s="114" t="str">
        <f>IF(INDEX(I.Facility.P2aIDNumber,2883)="","",INDEX(I.Facility.P2aIDNumber,2883))</f>
        <v/>
      </c>
      <c r="G7895" s="51"/>
      <c r="H7895" s="46" t="str">
        <f>IF(AND(I.Developer.P2a=TRUE,I.Facility.P2aFacilityCount&gt;=2883,F7895=""),"Incomplete","Complete")</f>
        <v>Complete</v>
      </c>
      <c r="I7895" s="48" t="s">
        <v>12260</v>
      </c>
    </row>
    <row r="7896" spans="2:9" ht="15" customHeight="1" x14ac:dyDescent="0.25">
      <c r="B7896" s="55" t="s">
        <v>280</v>
      </c>
      <c r="C7896" s="46">
        <v>2884</v>
      </c>
      <c r="D7896" s="69" t="s">
        <v>29417</v>
      </c>
      <c r="E7896" s="51"/>
      <c r="F7896" s="114" t="str">
        <f>IF(INDEX(I.Facility.P2aIDNumber,2884)="","",INDEX(I.Facility.P2aIDNumber,2884))</f>
        <v/>
      </c>
      <c r="G7896" s="51"/>
      <c r="H7896" s="46" t="str">
        <f>IF(AND(I.Developer.P2a=TRUE,I.Facility.P2aFacilityCount&gt;=2884,F7896=""),"Incomplete","Complete")</f>
        <v>Complete</v>
      </c>
      <c r="I7896" s="48" t="s">
        <v>12261</v>
      </c>
    </row>
    <row r="7897" spans="2:9" ht="15" customHeight="1" x14ac:dyDescent="0.25">
      <c r="B7897" s="55" t="s">
        <v>280</v>
      </c>
      <c r="C7897" s="46">
        <v>2885</v>
      </c>
      <c r="D7897" s="69" t="s">
        <v>29417</v>
      </c>
      <c r="E7897" s="51"/>
      <c r="F7897" s="114" t="str">
        <f>IF(INDEX(I.Facility.P2aIDNumber,2885)="","",INDEX(I.Facility.P2aIDNumber,2885))</f>
        <v/>
      </c>
      <c r="G7897" s="51"/>
      <c r="H7897" s="46" t="str">
        <f>IF(AND(I.Developer.P2a=TRUE,I.Facility.P2aFacilityCount&gt;=2885,F7897=""),"Incomplete","Complete")</f>
        <v>Complete</v>
      </c>
      <c r="I7897" s="48" t="s">
        <v>12262</v>
      </c>
    </row>
    <row r="7898" spans="2:9" ht="15" customHeight="1" x14ac:dyDescent="0.25">
      <c r="B7898" s="55" t="s">
        <v>280</v>
      </c>
      <c r="C7898" s="46">
        <v>2886</v>
      </c>
      <c r="D7898" s="69" t="s">
        <v>29417</v>
      </c>
      <c r="E7898" s="51"/>
      <c r="F7898" s="114" t="str">
        <f>IF(INDEX(I.Facility.P2aIDNumber,2886)="","",INDEX(I.Facility.P2aIDNumber,2886))</f>
        <v/>
      </c>
      <c r="G7898" s="51"/>
      <c r="H7898" s="46" t="str">
        <f>IF(AND(I.Developer.P2a=TRUE,I.Facility.P2aFacilityCount&gt;=2886,F7898=""),"Incomplete","Complete")</f>
        <v>Complete</v>
      </c>
      <c r="I7898" s="48" t="s">
        <v>12263</v>
      </c>
    </row>
    <row r="7899" spans="2:9" ht="15" customHeight="1" x14ac:dyDescent="0.25">
      <c r="B7899" s="55" t="s">
        <v>280</v>
      </c>
      <c r="C7899" s="46">
        <v>2887</v>
      </c>
      <c r="D7899" s="69" t="s">
        <v>29417</v>
      </c>
      <c r="E7899" s="51"/>
      <c r="F7899" s="114" t="str">
        <f>IF(INDEX(I.Facility.P2aIDNumber,2887)="","",INDEX(I.Facility.P2aIDNumber,2887))</f>
        <v/>
      </c>
      <c r="G7899" s="51"/>
      <c r="H7899" s="46" t="str">
        <f>IF(AND(I.Developer.P2a=TRUE,I.Facility.P2aFacilityCount&gt;=2887,F7899=""),"Incomplete","Complete")</f>
        <v>Complete</v>
      </c>
      <c r="I7899" s="48" t="s">
        <v>12264</v>
      </c>
    </row>
    <row r="7900" spans="2:9" ht="15" customHeight="1" x14ac:dyDescent="0.25">
      <c r="B7900" s="55" t="s">
        <v>280</v>
      </c>
      <c r="C7900" s="46">
        <v>2888</v>
      </c>
      <c r="D7900" s="69" t="s">
        <v>29417</v>
      </c>
      <c r="E7900" s="51"/>
      <c r="F7900" s="114" t="str">
        <f>IF(INDEX(I.Facility.P2aIDNumber,2888)="","",INDEX(I.Facility.P2aIDNumber,2888))</f>
        <v/>
      </c>
      <c r="G7900" s="51"/>
      <c r="H7900" s="46" t="str">
        <f>IF(AND(I.Developer.P2a=TRUE,I.Facility.P2aFacilityCount&gt;=2888,F7900=""),"Incomplete","Complete")</f>
        <v>Complete</v>
      </c>
      <c r="I7900" s="48" t="s">
        <v>12265</v>
      </c>
    </row>
    <row r="7901" spans="2:9" ht="15" customHeight="1" x14ac:dyDescent="0.25">
      <c r="B7901" s="55" t="s">
        <v>280</v>
      </c>
      <c r="C7901" s="46">
        <v>2889</v>
      </c>
      <c r="D7901" s="69" t="s">
        <v>29417</v>
      </c>
      <c r="E7901" s="51"/>
      <c r="F7901" s="114" t="str">
        <f>IF(INDEX(I.Facility.P2aIDNumber,2889)="","",INDEX(I.Facility.P2aIDNumber,2889))</f>
        <v/>
      </c>
      <c r="G7901" s="51"/>
      <c r="H7901" s="46" t="str">
        <f>IF(AND(I.Developer.P2a=TRUE,I.Facility.P2aFacilityCount&gt;=2889,F7901=""),"Incomplete","Complete")</f>
        <v>Complete</v>
      </c>
      <c r="I7901" s="48" t="s">
        <v>12266</v>
      </c>
    </row>
    <row r="7902" spans="2:9" ht="15" customHeight="1" x14ac:dyDescent="0.25">
      <c r="B7902" s="55" t="s">
        <v>280</v>
      </c>
      <c r="C7902" s="46">
        <v>2890</v>
      </c>
      <c r="D7902" s="69" t="s">
        <v>29417</v>
      </c>
      <c r="E7902" s="51"/>
      <c r="F7902" s="114" t="str">
        <f>IF(INDEX(I.Facility.P2aIDNumber,2890)="","",INDEX(I.Facility.P2aIDNumber,2890))</f>
        <v/>
      </c>
      <c r="G7902" s="51"/>
      <c r="H7902" s="46" t="str">
        <f>IF(AND(I.Developer.P2a=TRUE,I.Facility.P2aFacilityCount&gt;=2890,F7902=""),"Incomplete","Complete")</f>
        <v>Complete</v>
      </c>
      <c r="I7902" s="48" t="s">
        <v>12267</v>
      </c>
    </row>
    <row r="7903" spans="2:9" ht="15" customHeight="1" x14ac:dyDescent="0.25">
      <c r="B7903" s="55" t="s">
        <v>280</v>
      </c>
      <c r="C7903" s="46">
        <v>2891</v>
      </c>
      <c r="D7903" s="69" t="s">
        <v>29417</v>
      </c>
      <c r="E7903" s="51"/>
      <c r="F7903" s="114" t="str">
        <f>IF(INDEX(I.Facility.P2aIDNumber,2891)="","",INDEX(I.Facility.P2aIDNumber,2891))</f>
        <v/>
      </c>
      <c r="G7903" s="51"/>
      <c r="H7903" s="46" t="str">
        <f>IF(AND(I.Developer.P2a=TRUE,I.Facility.P2aFacilityCount&gt;=2891,F7903=""),"Incomplete","Complete")</f>
        <v>Complete</v>
      </c>
      <c r="I7903" s="48" t="s">
        <v>12268</v>
      </c>
    </row>
    <row r="7904" spans="2:9" ht="15" customHeight="1" x14ac:dyDescent="0.25">
      <c r="B7904" s="55" t="s">
        <v>280</v>
      </c>
      <c r="C7904" s="46">
        <v>2892</v>
      </c>
      <c r="D7904" s="69" t="s">
        <v>29417</v>
      </c>
      <c r="E7904" s="51"/>
      <c r="F7904" s="114" t="str">
        <f>IF(INDEX(I.Facility.P2aIDNumber,2892)="","",INDEX(I.Facility.P2aIDNumber,2892))</f>
        <v/>
      </c>
      <c r="G7904" s="51"/>
      <c r="H7904" s="46" t="str">
        <f>IF(AND(I.Developer.P2a=TRUE,I.Facility.P2aFacilityCount&gt;=2892,F7904=""),"Incomplete","Complete")</f>
        <v>Complete</v>
      </c>
      <c r="I7904" s="48" t="s">
        <v>12269</v>
      </c>
    </row>
    <row r="7905" spans="2:9" ht="15" customHeight="1" x14ac:dyDescent="0.25">
      <c r="B7905" s="55" t="s">
        <v>280</v>
      </c>
      <c r="C7905" s="46">
        <v>2893</v>
      </c>
      <c r="D7905" s="69" t="s">
        <v>29417</v>
      </c>
      <c r="E7905" s="51"/>
      <c r="F7905" s="114" t="str">
        <f>IF(INDEX(I.Facility.P2aIDNumber,2893)="","",INDEX(I.Facility.P2aIDNumber,2893))</f>
        <v/>
      </c>
      <c r="G7905" s="51"/>
      <c r="H7905" s="46" t="str">
        <f>IF(AND(I.Developer.P2a=TRUE,I.Facility.P2aFacilityCount&gt;=2893,F7905=""),"Incomplete","Complete")</f>
        <v>Complete</v>
      </c>
      <c r="I7905" s="48" t="s">
        <v>12270</v>
      </c>
    </row>
    <row r="7906" spans="2:9" ht="15" customHeight="1" x14ac:dyDescent="0.25">
      <c r="B7906" s="55" t="s">
        <v>280</v>
      </c>
      <c r="C7906" s="46">
        <v>2894</v>
      </c>
      <c r="D7906" s="69" t="s">
        <v>29417</v>
      </c>
      <c r="E7906" s="51"/>
      <c r="F7906" s="114" t="str">
        <f>IF(INDEX(I.Facility.P2aIDNumber,2894)="","",INDEX(I.Facility.P2aIDNumber,2894))</f>
        <v/>
      </c>
      <c r="G7906" s="51"/>
      <c r="H7906" s="46" t="str">
        <f>IF(AND(I.Developer.P2a=TRUE,I.Facility.P2aFacilityCount&gt;=2894,F7906=""),"Incomplete","Complete")</f>
        <v>Complete</v>
      </c>
      <c r="I7906" s="48" t="s">
        <v>12271</v>
      </c>
    </row>
    <row r="7907" spans="2:9" ht="15" customHeight="1" x14ac:dyDescent="0.25">
      <c r="B7907" s="55" t="s">
        <v>280</v>
      </c>
      <c r="C7907" s="46">
        <v>2895</v>
      </c>
      <c r="D7907" s="69" t="s">
        <v>29417</v>
      </c>
      <c r="E7907" s="51"/>
      <c r="F7907" s="114" t="str">
        <f>IF(INDEX(I.Facility.P2aIDNumber,2895)="","",INDEX(I.Facility.P2aIDNumber,2895))</f>
        <v/>
      </c>
      <c r="G7907" s="51"/>
      <c r="H7907" s="46" t="str">
        <f>IF(AND(I.Developer.P2a=TRUE,I.Facility.P2aFacilityCount&gt;=2895,F7907=""),"Incomplete","Complete")</f>
        <v>Complete</v>
      </c>
      <c r="I7907" s="48" t="s">
        <v>12272</v>
      </c>
    </row>
    <row r="7908" spans="2:9" ht="15" customHeight="1" x14ac:dyDescent="0.25">
      <c r="B7908" s="55" t="s">
        <v>280</v>
      </c>
      <c r="C7908" s="46">
        <v>2896</v>
      </c>
      <c r="D7908" s="69" t="s">
        <v>29417</v>
      </c>
      <c r="E7908" s="51"/>
      <c r="F7908" s="114" t="str">
        <f>IF(INDEX(I.Facility.P2aIDNumber,2896)="","",INDEX(I.Facility.P2aIDNumber,2896))</f>
        <v/>
      </c>
      <c r="G7908" s="51"/>
      <c r="H7908" s="46" t="str">
        <f>IF(AND(I.Developer.P2a=TRUE,I.Facility.P2aFacilityCount&gt;=2896,F7908=""),"Incomplete","Complete")</f>
        <v>Complete</v>
      </c>
      <c r="I7908" s="48" t="s">
        <v>12273</v>
      </c>
    </row>
    <row r="7909" spans="2:9" ht="15" customHeight="1" x14ac:dyDescent="0.25">
      <c r="B7909" s="55" t="s">
        <v>280</v>
      </c>
      <c r="C7909" s="46">
        <v>2897</v>
      </c>
      <c r="D7909" s="69" t="s">
        <v>29417</v>
      </c>
      <c r="E7909" s="51"/>
      <c r="F7909" s="114" t="str">
        <f>IF(INDEX(I.Facility.P2aIDNumber,2897)="","",INDEX(I.Facility.P2aIDNumber,2897))</f>
        <v/>
      </c>
      <c r="G7909" s="51"/>
      <c r="H7909" s="46" t="str">
        <f>IF(AND(I.Developer.P2a=TRUE,I.Facility.P2aFacilityCount&gt;=2897,F7909=""),"Incomplete","Complete")</f>
        <v>Complete</v>
      </c>
      <c r="I7909" s="48" t="s">
        <v>12274</v>
      </c>
    </row>
    <row r="7910" spans="2:9" ht="15" customHeight="1" x14ac:dyDescent="0.25">
      <c r="B7910" s="55" t="s">
        <v>280</v>
      </c>
      <c r="C7910" s="46">
        <v>2898</v>
      </c>
      <c r="D7910" s="69" t="s">
        <v>29417</v>
      </c>
      <c r="E7910" s="51"/>
      <c r="F7910" s="114" t="str">
        <f>IF(INDEX(I.Facility.P2aIDNumber,2898)="","",INDEX(I.Facility.P2aIDNumber,2898))</f>
        <v/>
      </c>
      <c r="G7910" s="51"/>
      <c r="H7910" s="46" t="str">
        <f>IF(AND(I.Developer.P2a=TRUE,I.Facility.P2aFacilityCount&gt;=2898,F7910=""),"Incomplete","Complete")</f>
        <v>Complete</v>
      </c>
      <c r="I7910" s="48" t="s">
        <v>12275</v>
      </c>
    </row>
    <row r="7911" spans="2:9" ht="15" customHeight="1" x14ac:dyDescent="0.25">
      <c r="B7911" s="55" t="s">
        <v>280</v>
      </c>
      <c r="C7911" s="46">
        <v>2899</v>
      </c>
      <c r="D7911" s="69" t="s">
        <v>29417</v>
      </c>
      <c r="E7911" s="51"/>
      <c r="F7911" s="114" t="str">
        <f>IF(INDEX(I.Facility.P2aIDNumber,2899)="","",INDEX(I.Facility.P2aIDNumber,2899))</f>
        <v/>
      </c>
      <c r="G7911" s="51"/>
      <c r="H7911" s="46" t="str">
        <f>IF(AND(I.Developer.P2a=TRUE,I.Facility.P2aFacilityCount&gt;=2899,F7911=""),"Incomplete","Complete")</f>
        <v>Complete</v>
      </c>
      <c r="I7911" s="48" t="s">
        <v>12276</v>
      </c>
    </row>
    <row r="7912" spans="2:9" ht="15" customHeight="1" x14ac:dyDescent="0.25">
      <c r="B7912" s="55" t="s">
        <v>280</v>
      </c>
      <c r="C7912" s="46">
        <v>2900</v>
      </c>
      <c r="D7912" s="69" t="s">
        <v>29417</v>
      </c>
      <c r="E7912" s="51"/>
      <c r="F7912" s="114" t="str">
        <f>IF(INDEX(I.Facility.P2aIDNumber,2900)="","",INDEX(I.Facility.P2aIDNumber,2900))</f>
        <v/>
      </c>
      <c r="G7912" s="51"/>
      <c r="H7912" s="46" t="str">
        <f>IF(AND(I.Developer.P2a=TRUE,I.Facility.P2aFacilityCount&gt;=2900,F7912=""),"Incomplete","Complete")</f>
        <v>Complete</v>
      </c>
      <c r="I7912" s="48" t="s">
        <v>12277</v>
      </c>
    </row>
    <row r="7913" spans="2:9" ht="15" customHeight="1" x14ac:dyDescent="0.25">
      <c r="B7913" s="55" t="s">
        <v>280</v>
      </c>
      <c r="C7913" s="46">
        <v>2901</v>
      </c>
      <c r="D7913" s="69" t="s">
        <v>29417</v>
      </c>
      <c r="E7913" s="51"/>
      <c r="F7913" s="114" t="str">
        <f>IF(INDEX(I.Facility.P2aIDNumber,2901)="","",INDEX(I.Facility.P2aIDNumber,2901))</f>
        <v/>
      </c>
      <c r="G7913" s="51"/>
      <c r="H7913" s="46" t="str">
        <f>IF(AND(I.Developer.P2a=TRUE,I.Facility.P2aFacilityCount&gt;=2901,F7913=""),"Incomplete","Complete")</f>
        <v>Complete</v>
      </c>
      <c r="I7913" s="48" t="s">
        <v>12278</v>
      </c>
    </row>
    <row r="7914" spans="2:9" ht="15" customHeight="1" x14ac:dyDescent="0.25">
      <c r="B7914" s="55" t="s">
        <v>280</v>
      </c>
      <c r="C7914" s="46">
        <v>2902</v>
      </c>
      <c r="D7914" s="69" t="s">
        <v>29417</v>
      </c>
      <c r="E7914" s="51"/>
      <c r="F7914" s="114" t="str">
        <f>IF(INDEX(I.Facility.P2aIDNumber,2902)="","",INDEX(I.Facility.P2aIDNumber,2902))</f>
        <v/>
      </c>
      <c r="G7914" s="51"/>
      <c r="H7914" s="46" t="str">
        <f>IF(AND(I.Developer.P2a=TRUE,I.Facility.P2aFacilityCount&gt;=2902,F7914=""),"Incomplete","Complete")</f>
        <v>Complete</v>
      </c>
      <c r="I7914" s="48" t="s">
        <v>12279</v>
      </c>
    </row>
    <row r="7915" spans="2:9" ht="15" customHeight="1" x14ac:dyDescent="0.25">
      <c r="B7915" s="55" t="s">
        <v>280</v>
      </c>
      <c r="C7915" s="46">
        <v>2903</v>
      </c>
      <c r="D7915" s="69" t="s">
        <v>29417</v>
      </c>
      <c r="E7915" s="51"/>
      <c r="F7915" s="114" t="str">
        <f>IF(INDEX(I.Facility.P2aIDNumber,2903)="","",INDEX(I.Facility.P2aIDNumber,2903))</f>
        <v/>
      </c>
      <c r="G7915" s="51"/>
      <c r="H7915" s="46" t="str">
        <f>IF(AND(I.Developer.P2a=TRUE,I.Facility.P2aFacilityCount&gt;=2903,F7915=""),"Incomplete","Complete")</f>
        <v>Complete</v>
      </c>
      <c r="I7915" s="48" t="s">
        <v>12280</v>
      </c>
    </row>
    <row r="7916" spans="2:9" ht="15" customHeight="1" x14ac:dyDescent="0.25">
      <c r="B7916" s="55" t="s">
        <v>280</v>
      </c>
      <c r="C7916" s="46">
        <v>2904</v>
      </c>
      <c r="D7916" s="69" t="s">
        <v>29417</v>
      </c>
      <c r="E7916" s="51"/>
      <c r="F7916" s="114" t="str">
        <f>IF(INDEX(I.Facility.P2aIDNumber,2904)="","",INDEX(I.Facility.P2aIDNumber,2904))</f>
        <v/>
      </c>
      <c r="G7916" s="51"/>
      <c r="H7916" s="46" t="str">
        <f>IF(AND(I.Developer.P2a=TRUE,I.Facility.P2aFacilityCount&gt;=2904,F7916=""),"Incomplete","Complete")</f>
        <v>Complete</v>
      </c>
      <c r="I7916" s="48" t="s">
        <v>12281</v>
      </c>
    </row>
    <row r="7917" spans="2:9" ht="15" customHeight="1" x14ac:dyDescent="0.25">
      <c r="B7917" s="55" t="s">
        <v>280</v>
      </c>
      <c r="C7917" s="46">
        <v>2905</v>
      </c>
      <c r="D7917" s="69" t="s">
        <v>29417</v>
      </c>
      <c r="E7917" s="51"/>
      <c r="F7917" s="114" t="str">
        <f>IF(INDEX(I.Facility.P2aIDNumber,2905)="","",INDEX(I.Facility.P2aIDNumber,2905))</f>
        <v/>
      </c>
      <c r="G7917" s="51"/>
      <c r="H7917" s="46" t="str">
        <f>IF(AND(I.Developer.P2a=TRUE,I.Facility.P2aFacilityCount&gt;=2905,F7917=""),"Incomplete","Complete")</f>
        <v>Complete</v>
      </c>
      <c r="I7917" s="48" t="s">
        <v>12282</v>
      </c>
    </row>
    <row r="7918" spans="2:9" ht="15" customHeight="1" x14ac:dyDescent="0.25">
      <c r="B7918" s="55" t="s">
        <v>280</v>
      </c>
      <c r="C7918" s="46">
        <v>2906</v>
      </c>
      <c r="D7918" s="69" t="s">
        <v>29417</v>
      </c>
      <c r="E7918" s="51"/>
      <c r="F7918" s="114" t="str">
        <f>IF(INDEX(I.Facility.P2aIDNumber,2906)="","",INDEX(I.Facility.P2aIDNumber,2906))</f>
        <v/>
      </c>
      <c r="G7918" s="51"/>
      <c r="H7918" s="46" t="str">
        <f>IF(AND(I.Developer.P2a=TRUE,I.Facility.P2aFacilityCount&gt;=2906,F7918=""),"Incomplete","Complete")</f>
        <v>Complete</v>
      </c>
      <c r="I7918" s="48" t="s">
        <v>12283</v>
      </c>
    </row>
    <row r="7919" spans="2:9" ht="15" customHeight="1" x14ac:dyDescent="0.25">
      <c r="B7919" s="55" t="s">
        <v>280</v>
      </c>
      <c r="C7919" s="46">
        <v>2907</v>
      </c>
      <c r="D7919" s="69" t="s">
        <v>29417</v>
      </c>
      <c r="E7919" s="51"/>
      <c r="F7919" s="114" t="str">
        <f>IF(INDEX(I.Facility.P2aIDNumber,2907)="","",INDEX(I.Facility.P2aIDNumber,2907))</f>
        <v/>
      </c>
      <c r="G7919" s="51"/>
      <c r="H7919" s="46" t="str">
        <f>IF(AND(I.Developer.P2a=TRUE,I.Facility.P2aFacilityCount&gt;=2907,F7919=""),"Incomplete","Complete")</f>
        <v>Complete</v>
      </c>
      <c r="I7919" s="48" t="s">
        <v>12284</v>
      </c>
    </row>
    <row r="7920" spans="2:9" ht="15" customHeight="1" x14ac:dyDescent="0.25">
      <c r="B7920" s="55" t="s">
        <v>280</v>
      </c>
      <c r="C7920" s="46">
        <v>2908</v>
      </c>
      <c r="D7920" s="69" t="s">
        <v>29417</v>
      </c>
      <c r="E7920" s="51"/>
      <c r="F7920" s="114" t="str">
        <f>IF(INDEX(I.Facility.P2aIDNumber,2908)="","",INDEX(I.Facility.P2aIDNumber,2908))</f>
        <v/>
      </c>
      <c r="G7920" s="51"/>
      <c r="H7920" s="46" t="str">
        <f>IF(AND(I.Developer.P2a=TRUE,I.Facility.P2aFacilityCount&gt;=2908,F7920=""),"Incomplete","Complete")</f>
        <v>Complete</v>
      </c>
      <c r="I7920" s="48" t="s">
        <v>12285</v>
      </c>
    </row>
    <row r="7921" spans="2:9" ht="15" customHeight="1" x14ac:dyDescent="0.25">
      <c r="B7921" s="55" t="s">
        <v>280</v>
      </c>
      <c r="C7921" s="46">
        <v>2909</v>
      </c>
      <c r="D7921" s="69" t="s">
        <v>29417</v>
      </c>
      <c r="E7921" s="51"/>
      <c r="F7921" s="114" t="str">
        <f>IF(INDEX(I.Facility.P2aIDNumber,2909)="","",INDEX(I.Facility.P2aIDNumber,2909))</f>
        <v/>
      </c>
      <c r="G7921" s="51"/>
      <c r="H7921" s="46" t="str">
        <f>IF(AND(I.Developer.P2a=TRUE,I.Facility.P2aFacilityCount&gt;=2909,F7921=""),"Incomplete","Complete")</f>
        <v>Complete</v>
      </c>
      <c r="I7921" s="48" t="s">
        <v>12286</v>
      </c>
    </row>
    <row r="7922" spans="2:9" ht="15" customHeight="1" x14ac:dyDescent="0.25">
      <c r="B7922" s="55" t="s">
        <v>280</v>
      </c>
      <c r="C7922" s="46">
        <v>2910</v>
      </c>
      <c r="D7922" s="69" t="s">
        <v>29417</v>
      </c>
      <c r="E7922" s="51"/>
      <c r="F7922" s="114" t="str">
        <f>IF(INDEX(I.Facility.P2aIDNumber,2910)="","",INDEX(I.Facility.P2aIDNumber,2910))</f>
        <v/>
      </c>
      <c r="G7922" s="51"/>
      <c r="H7922" s="46" t="str">
        <f>IF(AND(I.Developer.P2a=TRUE,I.Facility.P2aFacilityCount&gt;=2910,F7922=""),"Incomplete","Complete")</f>
        <v>Complete</v>
      </c>
      <c r="I7922" s="48" t="s">
        <v>12287</v>
      </c>
    </row>
    <row r="7923" spans="2:9" ht="15" customHeight="1" x14ac:dyDescent="0.25">
      <c r="B7923" s="55" t="s">
        <v>280</v>
      </c>
      <c r="C7923" s="46">
        <v>2911</v>
      </c>
      <c r="D7923" s="69" t="s">
        <v>29417</v>
      </c>
      <c r="E7923" s="51"/>
      <c r="F7923" s="114" t="str">
        <f>IF(INDEX(I.Facility.P2aIDNumber,2911)="","",INDEX(I.Facility.P2aIDNumber,2911))</f>
        <v/>
      </c>
      <c r="G7923" s="51"/>
      <c r="H7923" s="46" t="str">
        <f>IF(AND(I.Developer.P2a=TRUE,I.Facility.P2aFacilityCount&gt;=2911,F7923=""),"Incomplete","Complete")</f>
        <v>Complete</v>
      </c>
      <c r="I7923" s="48" t="s">
        <v>12288</v>
      </c>
    </row>
    <row r="7924" spans="2:9" ht="15" customHeight="1" x14ac:dyDescent="0.25">
      <c r="B7924" s="55" t="s">
        <v>280</v>
      </c>
      <c r="C7924" s="46">
        <v>2912</v>
      </c>
      <c r="D7924" s="69" t="s">
        <v>29417</v>
      </c>
      <c r="E7924" s="51"/>
      <c r="F7924" s="114" t="str">
        <f>IF(INDEX(I.Facility.P2aIDNumber,2912)="","",INDEX(I.Facility.P2aIDNumber,2912))</f>
        <v/>
      </c>
      <c r="G7924" s="51"/>
      <c r="H7924" s="46" t="str">
        <f>IF(AND(I.Developer.P2a=TRUE,I.Facility.P2aFacilityCount&gt;=2912,F7924=""),"Incomplete","Complete")</f>
        <v>Complete</v>
      </c>
      <c r="I7924" s="48" t="s">
        <v>12289</v>
      </c>
    </row>
    <row r="7925" spans="2:9" ht="15" customHeight="1" x14ac:dyDescent="0.25">
      <c r="B7925" s="55" t="s">
        <v>280</v>
      </c>
      <c r="C7925" s="46">
        <v>2913</v>
      </c>
      <c r="D7925" s="69" t="s">
        <v>29417</v>
      </c>
      <c r="E7925" s="51"/>
      <c r="F7925" s="114" t="str">
        <f>IF(INDEX(I.Facility.P2aIDNumber,2913)="","",INDEX(I.Facility.P2aIDNumber,2913))</f>
        <v/>
      </c>
      <c r="G7925" s="51"/>
      <c r="H7925" s="46" t="str">
        <f>IF(AND(I.Developer.P2a=TRUE,I.Facility.P2aFacilityCount&gt;=2913,F7925=""),"Incomplete","Complete")</f>
        <v>Complete</v>
      </c>
      <c r="I7925" s="48" t="s">
        <v>12290</v>
      </c>
    </row>
    <row r="7926" spans="2:9" ht="15" customHeight="1" x14ac:dyDescent="0.25">
      <c r="B7926" s="55" t="s">
        <v>280</v>
      </c>
      <c r="C7926" s="46">
        <v>2914</v>
      </c>
      <c r="D7926" s="69" t="s">
        <v>29417</v>
      </c>
      <c r="E7926" s="51"/>
      <c r="F7926" s="114" t="str">
        <f>IF(INDEX(I.Facility.P2aIDNumber,2914)="","",INDEX(I.Facility.P2aIDNumber,2914))</f>
        <v/>
      </c>
      <c r="G7926" s="51"/>
      <c r="H7926" s="46" t="str">
        <f>IF(AND(I.Developer.P2a=TRUE,I.Facility.P2aFacilityCount&gt;=2914,F7926=""),"Incomplete","Complete")</f>
        <v>Complete</v>
      </c>
      <c r="I7926" s="48" t="s">
        <v>12291</v>
      </c>
    </row>
    <row r="7927" spans="2:9" ht="15" customHeight="1" x14ac:dyDescent="0.25">
      <c r="B7927" s="55" t="s">
        <v>280</v>
      </c>
      <c r="C7927" s="46">
        <v>2915</v>
      </c>
      <c r="D7927" s="69" t="s">
        <v>29417</v>
      </c>
      <c r="E7927" s="51"/>
      <c r="F7927" s="114" t="str">
        <f>IF(INDEX(I.Facility.P2aIDNumber,2915)="","",INDEX(I.Facility.P2aIDNumber,2915))</f>
        <v/>
      </c>
      <c r="G7927" s="51"/>
      <c r="H7927" s="46" t="str">
        <f>IF(AND(I.Developer.P2a=TRUE,I.Facility.P2aFacilityCount&gt;=2915,F7927=""),"Incomplete","Complete")</f>
        <v>Complete</v>
      </c>
      <c r="I7927" s="48" t="s">
        <v>12292</v>
      </c>
    </row>
    <row r="7928" spans="2:9" ht="15" customHeight="1" x14ac:dyDescent="0.25">
      <c r="B7928" s="55" t="s">
        <v>280</v>
      </c>
      <c r="C7928" s="46">
        <v>2916</v>
      </c>
      <c r="D7928" s="69" t="s">
        <v>29417</v>
      </c>
      <c r="E7928" s="51"/>
      <c r="F7928" s="114" t="str">
        <f>IF(INDEX(I.Facility.P2aIDNumber,2916)="","",INDEX(I.Facility.P2aIDNumber,2916))</f>
        <v/>
      </c>
      <c r="G7928" s="51"/>
      <c r="H7928" s="46" t="str">
        <f>IF(AND(I.Developer.P2a=TRUE,I.Facility.P2aFacilityCount&gt;=2916,F7928=""),"Incomplete","Complete")</f>
        <v>Complete</v>
      </c>
      <c r="I7928" s="48" t="s">
        <v>12293</v>
      </c>
    </row>
    <row r="7929" spans="2:9" ht="15" customHeight="1" x14ac:dyDescent="0.25">
      <c r="B7929" s="55" t="s">
        <v>280</v>
      </c>
      <c r="C7929" s="46">
        <v>2917</v>
      </c>
      <c r="D7929" s="69" t="s">
        <v>29417</v>
      </c>
      <c r="E7929" s="51"/>
      <c r="F7929" s="114" t="str">
        <f>IF(INDEX(I.Facility.P2aIDNumber,2917)="","",INDEX(I.Facility.P2aIDNumber,2917))</f>
        <v/>
      </c>
      <c r="G7929" s="51"/>
      <c r="H7929" s="46" t="str">
        <f>IF(AND(I.Developer.P2a=TRUE,I.Facility.P2aFacilityCount&gt;=2917,F7929=""),"Incomplete","Complete")</f>
        <v>Complete</v>
      </c>
      <c r="I7929" s="48" t="s">
        <v>12294</v>
      </c>
    </row>
    <row r="7930" spans="2:9" ht="15" customHeight="1" x14ac:dyDescent="0.25">
      <c r="B7930" s="55" t="s">
        <v>280</v>
      </c>
      <c r="C7930" s="46">
        <v>2918</v>
      </c>
      <c r="D7930" s="69" t="s">
        <v>29417</v>
      </c>
      <c r="E7930" s="51"/>
      <c r="F7930" s="114" t="str">
        <f>IF(INDEX(I.Facility.P2aIDNumber,2918)="","",INDEX(I.Facility.P2aIDNumber,2918))</f>
        <v/>
      </c>
      <c r="G7930" s="51"/>
      <c r="H7930" s="46" t="str">
        <f>IF(AND(I.Developer.P2a=TRUE,I.Facility.P2aFacilityCount&gt;=2918,F7930=""),"Incomplete","Complete")</f>
        <v>Complete</v>
      </c>
      <c r="I7930" s="48" t="s">
        <v>12295</v>
      </c>
    </row>
    <row r="7931" spans="2:9" ht="15" customHeight="1" x14ac:dyDescent="0.25">
      <c r="B7931" s="55" t="s">
        <v>280</v>
      </c>
      <c r="C7931" s="46">
        <v>2919</v>
      </c>
      <c r="D7931" s="69" t="s">
        <v>29417</v>
      </c>
      <c r="E7931" s="51"/>
      <c r="F7931" s="114" t="str">
        <f>IF(INDEX(I.Facility.P2aIDNumber,2919)="","",INDEX(I.Facility.P2aIDNumber,2919))</f>
        <v/>
      </c>
      <c r="G7931" s="51"/>
      <c r="H7931" s="46" t="str">
        <f>IF(AND(I.Developer.P2a=TRUE,I.Facility.P2aFacilityCount&gt;=2919,F7931=""),"Incomplete","Complete")</f>
        <v>Complete</v>
      </c>
      <c r="I7931" s="48" t="s">
        <v>12296</v>
      </c>
    </row>
    <row r="7932" spans="2:9" ht="15" customHeight="1" x14ac:dyDescent="0.25">
      <c r="B7932" s="55" t="s">
        <v>280</v>
      </c>
      <c r="C7932" s="46">
        <v>2920</v>
      </c>
      <c r="D7932" s="69" t="s">
        <v>29417</v>
      </c>
      <c r="E7932" s="51"/>
      <c r="F7932" s="114" t="str">
        <f>IF(INDEX(I.Facility.P2aIDNumber,2920)="","",INDEX(I.Facility.P2aIDNumber,2920))</f>
        <v/>
      </c>
      <c r="G7932" s="51"/>
      <c r="H7932" s="46" t="str">
        <f>IF(AND(I.Developer.P2a=TRUE,I.Facility.P2aFacilityCount&gt;=2920,F7932=""),"Incomplete","Complete")</f>
        <v>Complete</v>
      </c>
      <c r="I7932" s="48" t="s">
        <v>12297</v>
      </c>
    </row>
    <row r="7933" spans="2:9" ht="15" customHeight="1" x14ac:dyDescent="0.25">
      <c r="B7933" s="55" t="s">
        <v>280</v>
      </c>
      <c r="C7933" s="46">
        <v>2921</v>
      </c>
      <c r="D7933" s="69" t="s">
        <v>29417</v>
      </c>
      <c r="E7933" s="51"/>
      <c r="F7933" s="114" t="str">
        <f>IF(INDEX(I.Facility.P2aIDNumber,2921)="","",INDEX(I.Facility.P2aIDNumber,2921))</f>
        <v/>
      </c>
      <c r="G7933" s="51"/>
      <c r="H7933" s="46" t="str">
        <f>IF(AND(I.Developer.P2a=TRUE,I.Facility.P2aFacilityCount&gt;=2921,F7933=""),"Incomplete","Complete")</f>
        <v>Complete</v>
      </c>
      <c r="I7933" s="48" t="s">
        <v>12298</v>
      </c>
    </row>
    <row r="7934" spans="2:9" ht="15" customHeight="1" x14ac:dyDescent="0.25">
      <c r="B7934" s="55" t="s">
        <v>280</v>
      </c>
      <c r="C7934" s="46">
        <v>2922</v>
      </c>
      <c r="D7934" s="69" t="s">
        <v>29417</v>
      </c>
      <c r="E7934" s="51"/>
      <c r="F7934" s="114" t="str">
        <f>IF(INDEX(I.Facility.P2aIDNumber,2922)="","",INDEX(I.Facility.P2aIDNumber,2922))</f>
        <v/>
      </c>
      <c r="G7934" s="51"/>
      <c r="H7934" s="46" t="str">
        <f>IF(AND(I.Developer.P2a=TRUE,I.Facility.P2aFacilityCount&gt;=2922,F7934=""),"Incomplete","Complete")</f>
        <v>Complete</v>
      </c>
      <c r="I7934" s="48" t="s">
        <v>12299</v>
      </c>
    </row>
    <row r="7935" spans="2:9" ht="15" customHeight="1" x14ac:dyDescent="0.25">
      <c r="B7935" s="55" t="s">
        <v>280</v>
      </c>
      <c r="C7935" s="46">
        <v>2923</v>
      </c>
      <c r="D7935" s="69" t="s">
        <v>29417</v>
      </c>
      <c r="E7935" s="51"/>
      <c r="F7935" s="114" t="str">
        <f>IF(INDEX(I.Facility.P2aIDNumber,2923)="","",INDEX(I.Facility.P2aIDNumber,2923))</f>
        <v/>
      </c>
      <c r="G7935" s="51"/>
      <c r="H7935" s="46" t="str">
        <f>IF(AND(I.Developer.P2a=TRUE,I.Facility.P2aFacilityCount&gt;=2923,F7935=""),"Incomplete","Complete")</f>
        <v>Complete</v>
      </c>
      <c r="I7935" s="48" t="s">
        <v>12300</v>
      </c>
    </row>
    <row r="7936" spans="2:9" ht="15" customHeight="1" x14ac:dyDescent="0.25">
      <c r="B7936" s="55" t="s">
        <v>280</v>
      </c>
      <c r="C7936" s="46">
        <v>2924</v>
      </c>
      <c r="D7936" s="69" t="s">
        <v>29417</v>
      </c>
      <c r="E7936" s="51"/>
      <c r="F7936" s="114" t="str">
        <f>IF(INDEX(I.Facility.P2aIDNumber,2924)="","",INDEX(I.Facility.P2aIDNumber,2924))</f>
        <v/>
      </c>
      <c r="G7936" s="51"/>
      <c r="H7936" s="46" t="str">
        <f>IF(AND(I.Developer.P2a=TRUE,I.Facility.P2aFacilityCount&gt;=2924,F7936=""),"Incomplete","Complete")</f>
        <v>Complete</v>
      </c>
      <c r="I7936" s="48" t="s">
        <v>12301</v>
      </c>
    </row>
    <row r="7937" spans="2:9" ht="15" customHeight="1" x14ac:dyDescent="0.25">
      <c r="B7937" s="55" t="s">
        <v>280</v>
      </c>
      <c r="C7937" s="46">
        <v>2925</v>
      </c>
      <c r="D7937" s="69" t="s">
        <v>29417</v>
      </c>
      <c r="E7937" s="51"/>
      <c r="F7937" s="114" t="str">
        <f>IF(INDEX(I.Facility.P2aIDNumber,2925)="","",INDEX(I.Facility.P2aIDNumber,2925))</f>
        <v/>
      </c>
      <c r="G7937" s="51"/>
      <c r="H7937" s="46" t="str">
        <f>IF(AND(I.Developer.P2a=TRUE,I.Facility.P2aFacilityCount&gt;=2925,F7937=""),"Incomplete","Complete")</f>
        <v>Complete</v>
      </c>
      <c r="I7937" s="48" t="s">
        <v>12302</v>
      </c>
    </row>
    <row r="7938" spans="2:9" ht="15" customHeight="1" x14ac:dyDescent="0.25">
      <c r="B7938" s="55" t="s">
        <v>280</v>
      </c>
      <c r="C7938" s="46">
        <v>2926</v>
      </c>
      <c r="D7938" s="69" t="s">
        <v>29417</v>
      </c>
      <c r="E7938" s="51"/>
      <c r="F7938" s="114" t="str">
        <f>IF(INDEX(I.Facility.P2aIDNumber,2926)="","",INDEX(I.Facility.P2aIDNumber,2926))</f>
        <v/>
      </c>
      <c r="G7938" s="51"/>
      <c r="H7938" s="46" t="str">
        <f>IF(AND(I.Developer.P2a=TRUE,I.Facility.P2aFacilityCount&gt;=2926,F7938=""),"Incomplete","Complete")</f>
        <v>Complete</v>
      </c>
      <c r="I7938" s="48" t="s">
        <v>12303</v>
      </c>
    </row>
    <row r="7939" spans="2:9" ht="15" customHeight="1" x14ac:dyDescent="0.25">
      <c r="B7939" s="55" t="s">
        <v>280</v>
      </c>
      <c r="C7939" s="46">
        <v>2927</v>
      </c>
      <c r="D7939" s="69" t="s">
        <v>29417</v>
      </c>
      <c r="E7939" s="51"/>
      <c r="F7939" s="114" t="str">
        <f>IF(INDEX(I.Facility.P2aIDNumber,2927)="","",INDEX(I.Facility.P2aIDNumber,2927))</f>
        <v/>
      </c>
      <c r="G7939" s="51"/>
      <c r="H7939" s="46" t="str">
        <f>IF(AND(I.Developer.P2a=TRUE,I.Facility.P2aFacilityCount&gt;=2927,F7939=""),"Incomplete","Complete")</f>
        <v>Complete</v>
      </c>
      <c r="I7939" s="48" t="s">
        <v>12304</v>
      </c>
    </row>
    <row r="7940" spans="2:9" ht="15" customHeight="1" x14ac:dyDescent="0.25">
      <c r="B7940" s="55" t="s">
        <v>280</v>
      </c>
      <c r="C7940" s="46">
        <v>2928</v>
      </c>
      <c r="D7940" s="69" t="s">
        <v>29417</v>
      </c>
      <c r="E7940" s="51"/>
      <c r="F7940" s="114" t="str">
        <f>IF(INDEX(I.Facility.P2aIDNumber,2928)="","",INDEX(I.Facility.P2aIDNumber,2928))</f>
        <v/>
      </c>
      <c r="G7940" s="51"/>
      <c r="H7940" s="46" t="str">
        <f>IF(AND(I.Developer.P2a=TRUE,I.Facility.P2aFacilityCount&gt;=2928,F7940=""),"Incomplete","Complete")</f>
        <v>Complete</v>
      </c>
      <c r="I7940" s="48" t="s">
        <v>12305</v>
      </c>
    </row>
    <row r="7941" spans="2:9" ht="15" customHeight="1" x14ac:dyDescent="0.25">
      <c r="B7941" s="55" t="s">
        <v>280</v>
      </c>
      <c r="C7941" s="46">
        <v>2929</v>
      </c>
      <c r="D7941" s="69" t="s">
        <v>29417</v>
      </c>
      <c r="E7941" s="51"/>
      <c r="F7941" s="114" t="str">
        <f>IF(INDEX(I.Facility.P2aIDNumber,2929)="","",INDEX(I.Facility.P2aIDNumber,2929))</f>
        <v/>
      </c>
      <c r="G7941" s="51"/>
      <c r="H7941" s="46" t="str">
        <f>IF(AND(I.Developer.P2a=TRUE,I.Facility.P2aFacilityCount&gt;=2929,F7941=""),"Incomplete","Complete")</f>
        <v>Complete</v>
      </c>
      <c r="I7941" s="48" t="s">
        <v>12306</v>
      </c>
    </row>
    <row r="7942" spans="2:9" ht="15" customHeight="1" x14ac:dyDescent="0.25">
      <c r="B7942" s="55" t="s">
        <v>280</v>
      </c>
      <c r="C7942" s="46">
        <v>2930</v>
      </c>
      <c r="D7942" s="69" t="s">
        <v>29417</v>
      </c>
      <c r="E7942" s="51"/>
      <c r="F7942" s="114" t="str">
        <f>IF(INDEX(I.Facility.P2aIDNumber,2930)="","",INDEX(I.Facility.P2aIDNumber,2930))</f>
        <v/>
      </c>
      <c r="G7942" s="51"/>
      <c r="H7942" s="46" t="str">
        <f>IF(AND(I.Developer.P2a=TRUE,I.Facility.P2aFacilityCount&gt;=2930,F7942=""),"Incomplete","Complete")</f>
        <v>Complete</v>
      </c>
      <c r="I7942" s="48" t="s">
        <v>12307</v>
      </c>
    </row>
    <row r="7943" spans="2:9" ht="15" customHeight="1" x14ac:dyDescent="0.25">
      <c r="B7943" s="55" t="s">
        <v>280</v>
      </c>
      <c r="C7943" s="46">
        <v>2931</v>
      </c>
      <c r="D7943" s="69" t="s">
        <v>29417</v>
      </c>
      <c r="E7943" s="51"/>
      <c r="F7943" s="114" t="str">
        <f>IF(INDEX(I.Facility.P2aIDNumber,2931)="","",INDEX(I.Facility.P2aIDNumber,2931))</f>
        <v/>
      </c>
      <c r="G7943" s="51"/>
      <c r="H7943" s="46" t="str">
        <f>IF(AND(I.Developer.P2a=TRUE,I.Facility.P2aFacilityCount&gt;=2931,F7943=""),"Incomplete","Complete")</f>
        <v>Complete</v>
      </c>
      <c r="I7943" s="48" t="s">
        <v>12308</v>
      </c>
    </row>
    <row r="7944" spans="2:9" ht="15" customHeight="1" x14ac:dyDescent="0.25">
      <c r="B7944" s="55" t="s">
        <v>280</v>
      </c>
      <c r="C7944" s="46">
        <v>2932</v>
      </c>
      <c r="D7944" s="69" t="s">
        <v>29417</v>
      </c>
      <c r="E7944" s="51"/>
      <c r="F7944" s="114" t="str">
        <f>IF(INDEX(I.Facility.P2aIDNumber,2932)="","",INDEX(I.Facility.P2aIDNumber,2932))</f>
        <v/>
      </c>
      <c r="G7944" s="51"/>
      <c r="H7944" s="46" t="str">
        <f>IF(AND(I.Developer.P2a=TRUE,I.Facility.P2aFacilityCount&gt;=2932,F7944=""),"Incomplete","Complete")</f>
        <v>Complete</v>
      </c>
      <c r="I7944" s="48" t="s">
        <v>12309</v>
      </c>
    </row>
    <row r="7945" spans="2:9" ht="15" customHeight="1" x14ac:dyDescent="0.25">
      <c r="B7945" s="55" t="s">
        <v>280</v>
      </c>
      <c r="C7945" s="46">
        <v>2933</v>
      </c>
      <c r="D7945" s="69" t="s">
        <v>29417</v>
      </c>
      <c r="E7945" s="51"/>
      <c r="F7945" s="114" t="str">
        <f>IF(INDEX(I.Facility.P2aIDNumber,2933)="","",INDEX(I.Facility.P2aIDNumber,2933))</f>
        <v/>
      </c>
      <c r="G7945" s="51"/>
      <c r="H7945" s="46" t="str">
        <f>IF(AND(I.Developer.P2a=TRUE,I.Facility.P2aFacilityCount&gt;=2933,F7945=""),"Incomplete","Complete")</f>
        <v>Complete</v>
      </c>
      <c r="I7945" s="48" t="s">
        <v>12310</v>
      </c>
    </row>
    <row r="7946" spans="2:9" ht="15" customHeight="1" x14ac:dyDescent="0.25">
      <c r="B7946" s="55" t="s">
        <v>280</v>
      </c>
      <c r="C7946" s="46">
        <v>2934</v>
      </c>
      <c r="D7946" s="69" t="s">
        <v>29417</v>
      </c>
      <c r="E7946" s="51"/>
      <c r="F7946" s="114" t="str">
        <f>IF(INDEX(I.Facility.P2aIDNumber,2934)="","",INDEX(I.Facility.P2aIDNumber,2934))</f>
        <v/>
      </c>
      <c r="G7946" s="51"/>
      <c r="H7946" s="46" t="str">
        <f>IF(AND(I.Developer.P2a=TRUE,I.Facility.P2aFacilityCount&gt;=2934,F7946=""),"Incomplete","Complete")</f>
        <v>Complete</v>
      </c>
      <c r="I7946" s="48" t="s">
        <v>12311</v>
      </c>
    </row>
    <row r="7947" spans="2:9" ht="15" customHeight="1" x14ac:dyDescent="0.25">
      <c r="B7947" s="55" t="s">
        <v>280</v>
      </c>
      <c r="C7947" s="46">
        <v>2935</v>
      </c>
      <c r="D7947" s="69" t="s">
        <v>29417</v>
      </c>
      <c r="E7947" s="51"/>
      <c r="F7947" s="114" t="str">
        <f>IF(INDEX(I.Facility.P2aIDNumber,2935)="","",INDEX(I.Facility.P2aIDNumber,2935))</f>
        <v/>
      </c>
      <c r="G7947" s="51"/>
      <c r="H7947" s="46" t="str">
        <f>IF(AND(I.Developer.P2a=TRUE,I.Facility.P2aFacilityCount&gt;=2935,F7947=""),"Incomplete","Complete")</f>
        <v>Complete</v>
      </c>
      <c r="I7947" s="48" t="s">
        <v>12312</v>
      </c>
    </row>
    <row r="7948" spans="2:9" ht="15" customHeight="1" x14ac:dyDescent="0.25">
      <c r="B7948" s="55" t="s">
        <v>280</v>
      </c>
      <c r="C7948" s="46">
        <v>2936</v>
      </c>
      <c r="D7948" s="69" t="s">
        <v>29417</v>
      </c>
      <c r="E7948" s="51"/>
      <c r="F7948" s="114" t="str">
        <f>IF(INDEX(I.Facility.P2aIDNumber,2936)="","",INDEX(I.Facility.P2aIDNumber,2936))</f>
        <v/>
      </c>
      <c r="G7948" s="51"/>
      <c r="H7948" s="46" t="str">
        <f>IF(AND(I.Developer.P2a=TRUE,I.Facility.P2aFacilityCount&gt;=2936,F7948=""),"Incomplete","Complete")</f>
        <v>Complete</v>
      </c>
      <c r="I7948" s="48" t="s">
        <v>12313</v>
      </c>
    </row>
    <row r="7949" spans="2:9" ht="15" customHeight="1" x14ac:dyDescent="0.25">
      <c r="B7949" s="55" t="s">
        <v>280</v>
      </c>
      <c r="C7949" s="46">
        <v>2937</v>
      </c>
      <c r="D7949" s="69" t="s">
        <v>29417</v>
      </c>
      <c r="E7949" s="51"/>
      <c r="F7949" s="114" t="str">
        <f>IF(INDEX(I.Facility.P2aIDNumber,2937)="","",INDEX(I.Facility.P2aIDNumber,2937))</f>
        <v/>
      </c>
      <c r="G7949" s="51"/>
      <c r="H7949" s="46" t="str">
        <f>IF(AND(I.Developer.P2a=TRUE,I.Facility.P2aFacilityCount&gt;=2937,F7949=""),"Incomplete","Complete")</f>
        <v>Complete</v>
      </c>
      <c r="I7949" s="48" t="s">
        <v>12314</v>
      </c>
    </row>
    <row r="7950" spans="2:9" ht="15" customHeight="1" x14ac:dyDescent="0.25">
      <c r="B7950" s="55" t="s">
        <v>280</v>
      </c>
      <c r="C7950" s="46">
        <v>2938</v>
      </c>
      <c r="D7950" s="69" t="s">
        <v>29417</v>
      </c>
      <c r="E7950" s="51"/>
      <c r="F7950" s="114" t="str">
        <f>IF(INDEX(I.Facility.P2aIDNumber,2938)="","",INDEX(I.Facility.P2aIDNumber,2938))</f>
        <v/>
      </c>
      <c r="G7950" s="51"/>
      <c r="H7950" s="46" t="str">
        <f>IF(AND(I.Developer.P2a=TRUE,I.Facility.P2aFacilityCount&gt;=2938,F7950=""),"Incomplete","Complete")</f>
        <v>Complete</v>
      </c>
      <c r="I7950" s="48" t="s">
        <v>12315</v>
      </c>
    </row>
    <row r="7951" spans="2:9" ht="15" customHeight="1" x14ac:dyDescent="0.25">
      <c r="B7951" s="55" t="s">
        <v>280</v>
      </c>
      <c r="C7951" s="46">
        <v>2939</v>
      </c>
      <c r="D7951" s="69" t="s">
        <v>29417</v>
      </c>
      <c r="E7951" s="51"/>
      <c r="F7951" s="114" t="str">
        <f>IF(INDEX(I.Facility.P2aIDNumber,2939)="","",INDEX(I.Facility.P2aIDNumber,2939))</f>
        <v/>
      </c>
      <c r="G7951" s="51"/>
      <c r="H7951" s="46" t="str">
        <f>IF(AND(I.Developer.P2a=TRUE,I.Facility.P2aFacilityCount&gt;=2939,F7951=""),"Incomplete","Complete")</f>
        <v>Complete</v>
      </c>
      <c r="I7951" s="48" t="s">
        <v>12316</v>
      </c>
    </row>
    <row r="7952" spans="2:9" ht="15" customHeight="1" x14ac:dyDescent="0.25">
      <c r="B7952" s="55" t="s">
        <v>280</v>
      </c>
      <c r="C7952" s="46">
        <v>2940</v>
      </c>
      <c r="D7952" s="69" t="s">
        <v>29417</v>
      </c>
      <c r="E7952" s="51"/>
      <c r="F7952" s="114" t="str">
        <f>IF(INDEX(I.Facility.P2aIDNumber,2940)="","",INDEX(I.Facility.P2aIDNumber,2940))</f>
        <v/>
      </c>
      <c r="G7952" s="51"/>
      <c r="H7952" s="46" t="str">
        <f>IF(AND(I.Developer.P2a=TRUE,I.Facility.P2aFacilityCount&gt;=2940,F7952=""),"Incomplete","Complete")</f>
        <v>Complete</v>
      </c>
      <c r="I7952" s="48" t="s">
        <v>12317</v>
      </c>
    </row>
    <row r="7953" spans="2:9" ht="15" customHeight="1" x14ac:dyDescent="0.25">
      <c r="B7953" s="55" t="s">
        <v>280</v>
      </c>
      <c r="C7953" s="46">
        <v>2941</v>
      </c>
      <c r="D7953" s="69" t="s">
        <v>29417</v>
      </c>
      <c r="E7953" s="51"/>
      <c r="F7953" s="114" t="str">
        <f>IF(INDEX(I.Facility.P2aIDNumber,2941)="","",INDEX(I.Facility.P2aIDNumber,2941))</f>
        <v/>
      </c>
      <c r="G7953" s="51"/>
      <c r="H7953" s="46" t="str">
        <f>IF(AND(I.Developer.P2a=TRUE,I.Facility.P2aFacilityCount&gt;=2941,F7953=""),"Incomplete","Complete")</f>
        <v>Complete</v>
      </c>
      <c r="I7953" s="48" t="s">
        <v>12318</v>
      </c>
    </row>
    <row r="7954" spans="2:9" ht="15" customHeight="1" x14ac:dyDescent="0.25">
      <c r="B7954" s="55" t="s">
        <v>280</v>
      </c>
      <c r="C7954" s="46">
        <v>2942</v>
      </c>
      <c r="D7954" s="69" t="s">
        <v>29417</v>
      </c>
      <c r="E7954" s="51"/>
      <c r="F7954" s="114" t="str">
        <f>IF(INDEX(I.Facility.P2aIDNumber,2942)="","",INDEX(I.Facility.P2aIDNumber,2942))</f>
        <v/>
      </c>
      <c r="G7954" s="51"/>
      <c r="H7954" s="46" t="str">
        <f>IF(AND(I.Developer.P2a=TRUE,I.Facility.P2aFacilityCount&gt;=2942,F7954=""),"Incomplete","Complete")</f>
        <v>Complete</v>
      </c>
      <c r="I7954" s="48" t="s">
        <v>12319</v>
      </c>
    </row>
    <row r="7955" spans="2:9" ht="15" customHeight="1" x14ac:dyDescent="0.25">
      <c r="B7955" s="55" t="s">
        <v>280</v>
      </c>
      <c r="C7955" s="46">
        <v>2943</v>
      </c>
      <c r="D7955" s="69" t="s">
        <v>29417</v>
      </c>
      <c r="E7955" s="51"/>
      <c r="F7955" s="114" t="str">
        <f>IF(INDEX(I.Facility.P2aIDNumber,2943)="","",INDEX(I.Facility.P2aIDNumber,2943))</f>
        <v/>
      </c>
      <c r="G7955" s="51"/>
      <c r="H7955" s="46" t="str">
        <f>IF(AND(I.Developer.P2a=TRUE,I.Facility.P2aFacilityCount&gt;=2943,F7955=""),"Incomplete","Complete")</f>
        <v>Complete</v>
      </c>
      <c r="I7955" s="48" t="s">
        <v>12320</v>
      </c>
    </row>
    <row r="7956" spans="2:9" ht="15" customHeight="1" x14ac:dyDescent="0.25">
      <c r="B7956" s="55" t="s">
        <v>280</v>
      </c>
      <c r="C7956" s="46">
        <v>2944</v>
      </c>
      <c r="D7956" s="69" t="s">
        <v>29417</v>
      </c>
      <c r="E7956" s="51"/>
      <c r="F7956" s="114" t="str">
        <f>IF(INDEX(I.Facility.P2aIDNumber,2944)="","",INDEX(I.Facility.P2aIDNumber,2944))</f>
        <v/>
      </c>
      <c r="G7956" s="51"/>
      <c r="H7956" s="46" t="str">
        <f>IF(AND(I.Developer.P2a=TRUE,I.Facility.P2aFacilityCount&gt;=2944,F7956=""),"Incomplete","Complete")</f>
        <v>Complete</v>
      </c>
      <c r="I7956" s="48" t="s">
        <v>12321</v>
      </c>
    </row>
    <row r="7957" spans="2:9" ht="15" customHeight="1" x14ac:dyDescent="0.25">
      <c r="B7957" s="55" t="s">
        <v>280</v>
      </c>
      <c r="C7957" s="46">
        <v>2945</v>
      </c>
      <c r="D7957" s="69" t="s">
        <v>29417</v>
      </c>
      <c r="E7957" s="51"/>
      <c r="F7957" s="114" t="str">
        <f>IF(INDEX(I.Facility.P2aIDNumber,2945)="","",INDEX(I.Facility.P2aIDNumber,2945))</f>
        <v/>
      </c>
      <c r="G7957" s="51"/>
      <c r="H7957" s="46" t="str">
        <f>IF(AND(I.Developer.P2a=TRUE,I.Facility.P2aFacilityCount&gt;=2945,F7957=""),"Incomplete","Complete")</f>
        <v>Complete</v>
      </c>
      <c r="I7957" s="48" t="s">
        <v>12322</v>
      </c>
    </row>
    <row r="7958" spans="2:9" ht="15" customHeight="1" x14ac:dyDescent="0.25">
      <c r="B7958" s="55" t="s">
        <v>280</v>
      </c>
      <c r="C7958" s="46">
        <v>2946</v>
      </c>
      <c r="D7958" s="69" t="s">
        <v>29417</v>
      </c>
      <c r="E7958" s="51"/>
      <c r="F7958" s="114" t="str">
        <f>IF(INDEX(I.Facility.P2aIDNumber,2946)="","",INDEX(I.Facility.P2aIDNumber,2946))</f>
        <v/>
      </c>
      <c r="G7958" s="51"/>
      <c r="H7958" s="46" t="str">
        <f>IF(AND(I.Developer.P2a=TRUE,I.Facility.P2aFacilityCount&gt;=2946,F7958=""),"Incomplete","Complete")</f>
        <v>Complete</v>
      </c>
      <c r="I7958" s="48" t="s">
        <v>12323</v>
      </c>
    </row>
    <row r="7959" spans="2:9" ht="15" customHeight="1" x14ac:dyDescent="0.25">
      <c r="B7959" s="55" t="s">
        <v>280</v>
      </c>
      <c r="C7959" s="46">
        <v>2947</v>
      </c>
      <c r="D7959" s="69" t="s">
        <v>29417</v>
      </c>
      <c r="E7959" s="51"/>
      <c r="F7959" s="114" t="str">
        <f>IF(INDEX(I.Facility.P2aIDNumber,2947)="","",INDEX(I.Facility.P2aIDNumber,2947))</f>
        <v/>
      </c>
      <c r="G7959" s="51"/>
      <c r="H7959" s="46" t="str">
        <f>IF(AND(I.Developer.P2a=TRUE,I.Facility.P2aFacilityCount&gt;=2947,F7959=""),"Incomplete","Complete")</f>
        <v>Complete</v>
      </c>
      <c r="I7959" s="48" t="s">
        <v>12324</v>
      </c>
    </row>
    <row r="7960" spans="2:9" ht="15" customHeight="1" x14ac:dyDescent="0.25">
      <c r="B7960" s="55" t="s">
        <v>280</v>
      </c>
      <c r="C7960" s="46">
        <v>2948</v>
      </c>
      <c r="D7960" s="69" t="s">
        <v>29417</v>
      </c>
      <c r="E7960" s="51"/>
      <c r="F7960" s="114" t="str">
        <f>IF(INDEX(I.Facility.P2aIDNumber,2948)="","",INDEX(I.Facility.P2aIDNumber,2948))</f>
        <v/>
      </c>
      <c r="G7960" s="51"/>
      <c r="H7960" s="46" t="str">
        <f>IF(AND(I.Developer.P2a=TRUE,I.Facility.P2aFacilityCount&gt;=2948,F7960=""),"Incomplete","Complete")</f>
        <v>Complete</v>
      </c>
      <c r="I7960" s="48" t="s">
        <v>12325</v>
      </c>
    </row>
    <row r="7961" spans="2:9" ht="15" customHeight="1" x14ac:dyDescent="0.25">
      <c r="B7961" s="55" t="s">
        <v>280</v>
      </c>
      <c r="C7961" s="46">
        <v>2949</v>
      </c>
      <c r="D7961" s="69" t="s">
        <v>29417</v>
      </c>
      <c r="E7961" s="51"/>
      <c r="F7961" s="114" t="str">
        <f>IF(INDEX(I.Facility.P2aIDNumber,2949)="","",INDEX(I.Facility.P2aIDNumber,2949))</f>
        <v/>
      </c>
      <c r="G7961" s="51"/>
      <c r="H7961" s="46" t="str">
        <f>IF(AND(I.Developer.P2a=TRUE,I.Facility.P2aFacilityCount&gt;=2949,F7961=""),"Incomplete","Complete")</f>
        <v>Complete</v>
      </c>
      <c r="I7961" s="48" t="s">
        <v>12326</v>
      </c>
    </row>
    <row r="7962" spans="2:9" ht="15" customHeight="1" x14ac:dyDescent="0.25">
      <c r="B7962" s="55" t="s">
        <v>280</v>
      </c>
      <c r="C7962" s="46">
        <v>2950</v>
      </c>
      <c r="D7962" s="69" t="s">
        <v>29417</v>
      </c>
      <c r="E7962" s="51"/>
      <c r="F7962" s="114" t="str">
        <f>IF(INDEX(I.Facility.P2aIDNumber,2950)="","",INDEX(I.Facility.P2aIDNumber,2950))</f>
        <v/>
      </c>
      <c r="G7962" s="51"/>
      <c r="H7962" s="46" t="str">
        <f>IF(AND(I.Developer.P2a=TRUE,I.Facility.P2aFacilityCount&gt;=2950,F7962=""),"Incomplete","Complete")</f>
        <v>Complete</v>
      </c>
      <c r="I7962" s="48" t="s">
        <v>12327</v>
      </c>
    </row>
    <row r="7963" spans="2:9" ht="15" customHeight="1" x14ac:dyDescent="0.25">
      <c r="B7963" s="55" t="s">
        <v>280</v>
      </c>
      <c r="C7963" s="46">
        <v>2951</v>
      </c>
      <c r="D7963" s="69" t="s">
        <v>29417</v>
      </c>
      <c r="E7963" s="51"/>
      <c r="F7963" s="114" t="str">
        <f>IF(INDEX(I.Facility.P2aIDNumber,2951)="","",INDEX(I.Facility.P2aIDNumber,2951))</f>
        <v/>
      </c>
      <c r="G7963" s="51"/>
      <c r="H7963" s="46" t="str">
        <f>IF(AND(I.Developer.P2a=TRUE,I.Facility.P2aFacilityCount&gt;=2951,F7963=""),"Incomplete","Complete")</f>
        <v>Complete</v>
      </c>
      <c r="I7963" s="48" t="s">
        <v>12328</v>
      </c>
    </row>
    <row r="7964" spans="2:9" ht="15" customHeight="1" x14ac:dyDescent="0.25">
      <c r="B7964" s="55" t="s">
        <v>280</v>
      </c>
      <c r="C7964" s="46">
        <v>2952</v>
      </c>
      <c r="D7964" s="69" t="s">
        <v>29417</v>
      </c>
      <c r="E7964" s="51"/>
      <c r="F7964" s="114" t="str">
        <f>IF(INDEX(I.Facility.P2aIDNumber,2952)="","",INDEX(I.Facility.P2aIDNumber,2952))</f>
        <v/>
      </c>
      <c r="G7964" s="51"/>
      <c r="H7964" s="46" t="str">
        <f>IF(AND(I.Developer.P2a=TRUE,I.Facility.P2aFacilityCount&gt;=2952,F7964=""),"Incomplete","Complete")</f>
        <v>Complete</v>
      </c>
      <c r="I7964" s="48" t="s">
        <v>12329</v>
      </c>
    </row>
    <row r="7965" spans="2:9" ht="15" customHeight="1" x14ac:dyDescent="0.25">
      <c r="B7965" s="55" t="s">
        <v>280</v>
      </c>
      <c r="C7965" s="46">
        <v>2953</v>
      </c>
      <c r="D7965" s="69" t="s">
        <v>29417</v>
      </c>
      <c r="E7965" s="51"/>
      <c r="F7965" s="114" t="str">
        <f>IF(INDEX(I.Facility.P2aIDNumber,2953)="","",INDEX(I.Facility.P2aIDNumber,2953))</f>
        <v/>
      </c>
      <c r="G7965" s="51"/>
      <c r="H7965" s="46" t="str">
        <f>IF(AND(I.Developer.P2a=TRUE,I.Facility.P2aFacilityCount&gt;=2953,F7965=""),"Incomplete","Complete")</f>
        <v>Complete</v>
      </c>
      <c r="I7965" s="48" t="s">
        <v>12330</v>
      </c>
    </row>
    <row r="7966" spans="2:9" ht="15" customHeight="1" x14ac:dyDescent="0.25">
      <c r="B7966" s="55" t="s">
        <v>280</v>
      </c>
      <c r="C7966" s="46">
        <v>2954</v>
      </c>
      <c r="D7966" s="69" t="s">
        <v>29417</v>
      </c>
      <c r="E7966" s="51"/>
      <c r="F7966" s="114" t="str">
        <f>IF(INDEX(I.Facility.P2aIDNumber,2954)="","",INDEX(I.Facility.P2aIDNumber,2954))</f>
        <v/>
      </c>
      <c r="G7966" s="51"/>
      <c r="H7966" s="46" t="str">
        <f>IF(AND(I.Developer.P2a=TRUE,I.Facility.P2aFacilityCount&gt;=2954,F7966=""),"Incomplete","Complete")</f>
        <v>Complete</v>
      </c>
      <c r="I7966" s="48" t="s">
        <v>12331</v>
      </c>
    </row>
    <row r="7967" spans="2:9" ht="15" customHeight="1" x14ac:dyDescent="0.25">
      <c r="B7967" s="55" t="s">
        <v>280</v>
      </c>
      <c r="C7967" s="46">
        <v>2955</v>
      </c>
      <c r="D7967" s="69" t="s">
        <v>29417</v>
      </c>
      <c r="E7967" s="51"/>
      <c r="F7967" s="114" t="str">
        <f>IF(INDEX(I.Facility.P2aIDNumber,2955)="","",INDEX(I.Facility.P2aIDNumber,2955))</f>
        <v/>
      </c>
      <c r="G7967" s="51"/>
      <c r="H7967" s="46" t="str">
        <f>IF(AND(I.Developer.P2a=TRUE,I.Facility.P2aFacilityCount&gt;=2955,F7967=""),"Incomplete","Complete")</f>
        <v>Complete</v>
      </c>
      <c r="I7967" s="48" t="s">
        <v>12332</v>
      </c>
    </row>
    <row r="7968" spans="2:9" ht="15" customHeight="1" x14ac:dyDescent="0.25">
      <c r="B7968" s="55" t="s">
        <v>280</v>
      </c>
      <c r="C7968" s="46">
        <v>2956</v>
      </c>
      <c r="D7968" s="69" t="s">
        <v>29417</v>
      </c>
      <c r="E7968" s="51"/>
      <c r="F7968" s="114" t="str">
        <f>IF(INDEX(I.Facility.P2aIDNumber,2956)="","",INDEX(I.Facility.P2aIDNumber,2956))</f>
        <v/>
      </c>
      <c r="G7968" s="51"/>
      <c r="H7968" s="46" t="str">
        <f>IF(AND(I.Developer.P2a=TRUE,I.Facility.P2aFacilityCount&gt;=2956,F7968=""),"Incomplete","Complete")</f>
        <v>Complete</v>
      </c>
      <c r="I7968" s="48" t="s">
        <v>12333</v>
      </c>
    </row>
    <row r="7969" spans="2:9" ht="15" customHeight="1" x14ac:dyDescent="0.25">
      <c r="B7969" s="55" t="s">
        <v>280</v>
      </c>
      <c r="C7969" s="46">
        <v>2957</v>
      </c>
      <c r="D7969" s="69" t="s">
        <v>29417</v>
      </c>
      <c r="E7969" s="51"/>
      <c r="F7969" s="114" t="str">
        <f>IF(INDEX(I.Facility.P2aIDNumber,2957)="","",INDEX(I.Facility.P2aIDNumber,2957))</f>
        <v/>
      </c>
      <c r="G7969" s="51"/>
      <c r="H7969" s="46" t="str">
        <f>IF(AND(I.Developer.P2a=TRUE,I.Facility.P2aFacilityCount&gt;=2957,F7969=""),"Incomplete","Complete")</f>
        <v>Complete</v>
      </c>
      <c r="I7969" s="48" t="s">
        <v>12334</v>
      </c>
    </row>
    <row r="7970" spans="2:9" ht="15" customHeight="1" x14ac:dyDescent="0.25">
      <c r="B7970" s="55" t="s">
        <v>280</v>
      </c>
      <c r="C7970" s="46">
        <v>2958</v>
      </c>
      <c r="D7970" s="69" t="s">
        <v>29417</v>
      </c>
      <c r="E7970" s="51"/>
      <c r="F7970" s="114" t="str">
        <f>IF(INDEX(I.Facility.P2aIDNumber,2958)="","",INDEX(I.Facility.P2aIDNumber,2958))</f>
        <v/>
      </c>
      <c r="G7970" s="51"/>
      <c r="H7970" s="46" t="str">
        <f>IF(AND(I.Developer.P2a=TRUE,I.Facility.P2aFacilityCount&gt;=2958,F7970=""),"Incomplete","Complete")</f>
        <v>Complete</v>
      </c>
      <c r="I7970" s="48" t="s">
        <v>12335</v>
      </c>
    </row>
    <row r="7971" spans="2:9" ht="15" customHeight="1" x14ac:dyDescent="0.25">
      <c r="B7971" s="55" t="s">
        <v>280</v>
      </c>
      <c r="C7971" s="46">
        <v>2959</v>
      </c>
      <c r="D7971" s="69" t="s">
        <v>29417</v>
      </c>
      <c r="E7971" s="51"/>
      <c r="F7971" s="114" t="str">
        <f>IF(INDEX(I.Facility.P2aIDNumber,2959)="","",INDEX(I.Facility.P2aIDNumber,2959))</f>
        <v/>
      </c>
      <c r="G7971" s="51"/>
      <c r="H7971" s="46" t="str">
        <f>IF(AND(I.Developer.P2a=TRUE,I.Facility.P2aFacilityCount&gt;=2959,F7971=""),"Incomplete","Complete")</f>
        <v>Complete</v>
      </c>
      <c r="I7971" s="48" t="s">
        <v>12336</v>
      </c>
    </row>
    <row r="7972" spans="2:9" ht="15" customHeight="1" x14ac:dyDescent="0.25">
      <c r="B7972" s="55" t="s">
        <v>280</v>
      </c>
      <c r="C7972" s="46">
        <v>2960</v>
      </c>
      <c r="D7972" s="69" t="s">
        <v>29417</v>
      </c>
      <c r="E7972" s="51"/>
      <c r="F7972" s="114" t="str">
        <f>IF(INDEX(I.Facility.P2aIDNumber,2960)="","",INDEX(I.Facility.P2aIDNumber,2960))</f>
        <v/>
      </c>
      <c r="G7972" s="51"/>
      <c r="H7972" s="46" t="str">
        <f>IF(AND(I.Developer.P2a=TRUE,I.Facility.P2aFacilityCount&gt;=2960,F7972=""),"Incomplete","Complete")</f>
        <v>Complete</v>
      </c>
      <c r="I7972" s="48" t="s">
        <v>12337</v>
      </c>
    </row>
    <row r="7973" spans="2:9" ht="15" customHeight="1" x14ac:dyDescent="0.25">
      <c r="B7973" s="55" t="s">
        <v>280</v>
      </c>
      <c r="C7973" s="46">
        <v>2961</v>
      </c>
      <c r="D7973" s="69" t="s">
        <v>29417</v>
      </c>
      <c r="E7973" s="51"/>
      <c r="F7973" s="114" t="str">
        <f>IF(INDEX(I.Facility.P2aIDNumber,2961)="","",INDEX(I.Facility.P2aIDNumber,2961))</f>
        <v/>
      </c>
      <c r="G7973" s="51"/>
      <c r="H7973" s="46" t="str">
        <f>IF(AND(I.Developer.P2a=TRUE,I.Facility.P2aFacilityCount&gt;=2961,F7973=""),"Incomplete","Complete")</f>
        <v>Complete</v>
      </c>
      <c r="I7973" s="48" t="s">
        <v>12338</v>
      </c>
    </row>
    <row r="7974" spans="2:9" ht="15" customHeight="1" x14ac:dyDescent="0.25">
      <c r="B7974" s="55" t="s">
        <v>280</v>
      </c>
      <c r="C7974" s="46">
        <v>2962</v>
      </c>
      <c r="D7974" s="69" t="s">
        <v>29417</v>
      </c>
      <c r="E7974" s="51"/>
      <c r="F7974" s="114" t="str">
        <f>IF(INDEX(I.Facility.P2aIDNumber,2962)="","",INDEX(I.Facility.P2aIDNumber,2962))</f>
        <v/>
      </c>
      <c r="G7974" s="51"/>
      <c r="H7974" s="46" t="str">
        <f>IF(AND(I.Developer.P2a=TRUE,I.Facility.P2aFacilityCount&gt;=2962,F7974=""),"Incomplete","Complete")</f>
        <v>Complete</v>
      </c>
      <c r="I7974" s="48" t="s">
        <v>12339</v>
      </c>
    </row>
    <row r="7975" spans="2:9" ht="15" customHeight="1" x14ac:dyDescent="0.25">
      <c r="B7975" s="55" t="s">
        <v>280</v>
      </c>
      <c r="C7975" s="46">
        <v>2963</v>
      </c>
      <c r="D7975" s="69" t="s">
        <v>29417</v>
      </c>
      <c r="E7975" s="51"/>
      <c r="F7975" s="114" t="str">
        <f>IF(INDEX(I.Facility.P2aIDNumber,2963)="","",INDEX(I.Facility.P2aIDNumber,2963))</f>
        <v/>
      </c>
      <c r="G7975" s="51"/>
      <c r="H7975" s="46" t="str">
        <f>IF(AND(I.Developer.P2a=TRUE,I.Facility.P2aFacilityCount&gt;=2963,F7975=""),"Incomplete","Complete")</f>
        <v>Complete</v>
      </c>
      <c r="I7975" s="48" t="s">
        <v>12340</v>
      </c>
    </row>
    <row r="7976" spans="2:9" ht="15" customHeight="1" x14ac:dyDescent="0.25">
      <c r="B7976" s="55" t="s">
        <v>280</v>
      </c>
      <c r="C7976" s="46">
        <v>2964</v>
      </c>
      <c r="D7976" s="69" t="s">
        <v>29417</v>
      </c>
      <c r="E7976" s="51"/>
      <c r="F7976" s="114" t="str">
        <f>IF(INDEX(I.Facility.P2aIDNumber,2964)="","",INDEX(I.Facility.P2aIDNumber,2964))</f>
        <v/>
      </c>
      <c r="G7976" s="51"/>
      <c r="H7976" s="46" t="str">
        <f>IF(AND(I.Developer.P2a=TRUE,I.Facility.P2aFacilityCount&gt;=2964,F7976=""),"Incomplete","Complete")</f>
        <v>Complete</v>
      </c>
      <c r="I7976" s="48" t="s">
        <v>12341</v>
      </c>
    </row>
    <row r="7977" spans="2:9" ht="15" customHeight="1" x14ac:dyDescent="0.25">
      <c r="B7977" s="55" t="s">
        <v>280</v>
      </c>
      <c r="C7977" s="46">
        <v>2965</v>
      </c>
      <c r="D7977" s="69" t="s">
        <v>29417</v>
      </c>
      <c r="E7977" s="51"/>
      <c r="F7977" s="114" t="str">
        <f>IF(INDEX(I.Facility.P2aIDNumber,2965)="","",INDEX(I.Facility.P2aIDNumber,2965))</f>
        <v/>
      </c>
      <c r="G7977" s="51"/>
      <c r="H7977" s="46" t="str">
        <f>IF(AND(I.Developer.P2a=TRUE,I.Facility.P2aFacilityCount&gt;=2965,F7977=""),"Incomplete","Complete")</f>
        <v>Complete</v>
      </c>
      <c r="I7977" s="48" t="s">
        <v>12342</v>
      </c>
    </row>
    <row r="7978" spans="2:9" ht="15" customHeight="1" x14ac:dyDescent="0.25">
      <c r="B7978" s="55" t="s">
        <v>280</v>
      </c>
      <c r="C7978" s="46">
        <v>2966</v>
      </c>
      <c r="D7978" s="69" t="s">
        <v>29417</v>
      </c>
      <c r="E7978" s="51"/>
      <c r="F7978" s="114" t="str">
        <f>IF(INDEX(I.Facility.P2aIDNumber,2966)="","",INDEX(I.Facility.P2aIDNumber,2966))</f>
        <v/>
      </c>
      <c r="G7978" s="51"/>
      <c r="H7978" s="46" t="str">
        <f>IF(AND(I.Developer.P2a=TRUE,I.Facility.P2aFacilityCount&gt;=2966,F7978=""),"Incomplete","Complete")</f>
        <v>Complete</v>
      </c>
      <c r="I7978" s="48" t="s">
        <v>12343</v>
      </c>
    </row>
    <row r="7979" spans="2:9" ht="15" customHeight="1" x14ac:dyDescent="0.25">
      <c r="B7979" s="55" t="s">
        <v>280</v>
      </c>
      <c r="C7979" s="46">
        <v>2967</v>
      </c>
      <c r="D7979" s="69" t="s">
        <v>29417</v>
      </c>
      <c r="E7979" s="51"/>
      <c r="F7979" s="114" t="str">
        <f>IF(INDEX(I.Facility.P2aIDNumber,2967)="","",INDEX(I.Facility.P2aIDNumber,2967))</f>
        <v/>
      </c>
      <c r="G7979" s="51"/>
      <c r="H7979" s="46" t="str">
        <f>IF(AND(I.Developer.P2a=TRUE,I.Facility.P2aFacilityCount&gt;=2967,F7979=""),"Incomplete","Complete")</f>
        <v>Complete</v>
      </c>
      <c r="I7979" s="48" t="s">
        <v>12344</v>
      </c>
    </row>
    <row r="7980" spans="2:9" ht="15" customHeight="1" x14ac:dyDescent="0.25">
      <c r="B7980" s="55" t="s">
        <v>280</v>
      </c>
      <c r="C7980" s="46">
        <v>2968</v>
      </c>
      <c r="D7980" s="69" t="s">
        <v>29417</v>
      </c>
      <c r="E7980" s="51"/>
      <c r="F7980" s="114" t="str">
        <f>IF(INDEX(I.Facility.P2aIDNumber,2968)="","",INDEX(I.Facility.P2aIDNumber,2968))</f>
        <v/>
      </c>
      <c r="G7980" s="51"/>
      <c r="H7980" s="46" t="str">
        <f>IF(AND(I.Developer.P2a=TRUE,I.Facility.P2aFacilityCount&gt;=2968,F7980=""),"Incomplete","Complete")</f>
        <v>Complete</v>
      </c>
      <c r="I7980" s="48" t="s">
        <v>12345</v>
      </c>
    </row>
    <row r="7981" spans="2:9" ht="15" customHeight="1" x14ac:dyDescent="0.25">
      <c r="B7981" s="55" t="s">
        <v>280</v>
      </c>
      <c r="C7981" s="46">
        <v>2969</v>
      </c>
      <c r="D7981" s="69" t="s">
        <v>29417</v>
      </c>
      <c r="E7981" s="51"/>
      <c r="F7981" s="114" t="str">
        <f>IF(INDEX(I.Facility.P2aIDNumber,2969)="","",INDEX(I.Facility.P2aIDNumber,2969))</f>
        <v/>
      </c>
      <c r="G7981" s="51"/>
      <c r="H7981" s="46" t="str">
        <f>IF(AND(I.Developer.P2a=TRUE,I.Facility.P2aFacilityCount&gt;=2969,F7981=""),"Incomplete","Complete")</f>
        <v>Complete</v>
      </c>
      <c r="I7981" s="48" t="s">
        <v>12346</v>
      </c>
    </row>
    <row r="7982" spans="2:9" ht="15" customHeight="1" x14ac:dyDescent="0.25">
      <c r="B7982" s="55" t="s">
        <v>280</v>
      </c>
      <c r="C7982" s="46">
        <v>2970</v>
      </c>
      <c r="D7982" s="69" t="s">
        <v>29417</v>
      </c>
      <c r="E7982" s="51"/>
      <c r="F7982" s="114" t="str">
        <f>IF(INDEX(I.Facility.P2aIDNumber,2970)="","",INDEX(I.Facility.P2aIDNumber,2970))</f>
        <v/>
      </c>
      <c r="G7982" s="51"/>
      <c r="H7982" s="46" t="str">
        <f>IF(AND(I.Developer.P2a=TRUE,I.Facility.P2aFacilityCount&gt;=2970,F7982=""),"Incomplete","Complete")</f>
        <v>Complete</v>
      </c>
      <c r="I7982" s="48" t="s">
        <v>12347</v>
      </c>
    </row>
    <row r="7983" spans="2:9" ht="15" customHeight="1" x14ac:dyDescent="0.25">
      <c r="B7983" s="55" t="s">
        <v>280</v>
      </c>
      <c r="C7983" s="46">
        <v>2971</v>
      </c>
      <c r="D7983" s="69" t="s">
        <v>29417</v>
      </c>
      <c r="E7983" s="51"/>
      <c r="F7983" s="114" t="str">
        <f>IF(INDEX(I.Facility.P2aIDNumber,2971)="","",INDEX(I.Facility.P2aIDNumber,2971))</f>
        <v/>
      </c>
      <c r="G7983" s="51"/>
      <c r="H7983" s="46" t="str">
        <f>IF(AND(I.Developer.P2a=TRUE,I.Facility.P2aFacilityCount&gt;=2971,F7983=""),"Incomplete","Complete")</f>
        <v>Complete</v>
      </c>
      <c r="I7983" s="48" t="s">
        <v>12348</v>
      </c>
    </row>
    <row r="7984" spans="2:9" ht="15" customHeight="1" x14ac:dyDescent="0.25">
      <c r="B7984" s="55" t="s">
        <v>280</v>
      </c>
      <c r="C7984" s="46">
        <v>2972</v>
      </c>
      <c r="D7984" s="69" t="s">
        <v>29417</v>
      </c>
      <c r="E7984" s="51"/>
      <c r="F7984" s="114" t="str">
        <f>IF(INDEX(I.Facility.P2aIDNumber,2972)="","",INDEX(I.Facility.P2aIDNumber,2972))</f>
        <v/>
      </c>
      <c r="G7984" s="51"/>
      <c r="H7984" s="46" t="str">
        <f>IF(AND(I.Developer.P2a=TRUE,I.Facility.P2aFacilityCount&gt;=2972,F7984=""),"Incomplete","Complete")</f>
        <v>Complete</v>
      </c>
      <c r="I7984" s="48" t="s">
        <v>12349</v>
      </c>
    </row>
    <row r="7985" spans="2:9" ht="15" customHeight="1" x14ac:dyDescent="0.25">
      <c r="B7985" s="55" t="s">
        <v>280</v>
      </c>
      <c r="C7985" s="46">
        <v>2973</v>
      </c>
      <c r="D7985" s="69" t="s">
        <v>29417</v>
      </c>
      <c r="E7985" s="51"/>
      <c r="F7985" s="114" t="str">
        <f>IF(INDEX(I.Facility.P2aIDNumber,2973)="","",INDEX(I.Facility.P2aIDNumber,2973))</f>
        <v/>
      </c>
      <c r="G7985" s="51"/>
      <c r="H7985" s="46" t="str">
        <f>IF(AND(I.Developer.P2a=TRUE,I.Facility.P2aFacilityCount&gt;=2973,F7985=""),"Incomplete","Complete")</f>
        <v>Complete</v>
      </c>
      <c r="I7985" s="48" t="s">
        <v>12350</v>
      </c>
    </row>
    <row r="7986" spans="2:9" ht="15" customHeight="1" x14ac:dyDescent="0.25">
      <c r="B7986" s="55" t="s">
        <v>280</v>
      </c>
      <c r="C7986" s="46">
        <v>2974</v>
      </c>
      <c r="D7986" s="69" t="s">
        <v>29417</v>
      </c>
      <c r="E7986" s="51"/>
      <c r="F7986" s="114" t="str">
        <f>IF(INDEX(I.Facility.P2aIDNumber,2974)="","",INDEX(I.Facility.P2aIDNumber,2974))</f>
        <v/>
      </c>
      <c r="G7986" s="51"/>
      <c r="H7986" s="46" t="str">
        <f>IF(AND(I.Developer.P2a=TRUE,I.Facility.P2aFacilityCount&gt;=2974,F7986=""),"Incomplete","Complete")</f>
        <v>Complete</v>
      </c>
      <c r="I7986" s="48" t="s">
        <v>12351</v>
      </c>
    </row>
    <row r="7987" spans="2:9" ht="15" customHeight="1" x14ac:dyDescent="0.25">
      <c r="B7987" s="55" t="s">
        <v>280</v>
      </c>
      <c r="C7987" s="46">
        <v>2975</v>
      </c>
      <c r="D7987" s="69" t="s">
        <v>29417</v>
      </c>
      <c r="E7987" s="51"/>
      <c r="F7987" s="114" t="str">
        <f>IF(INDEX(I.Facility.P2aIDNumber,2975)="","",INDEX(I.Facility.P2aIDNumber,2975))</f>
        <v/>
      </c>
      <c r="G7987" s="51"/>
      <c r="H7987" s="46" t="str">
        <f>IF(AND(I.Developer.P2a=TRUE,I.Facility.P2aFacilityCount&gt;=2975,F7987=""),"Incomplete","Complete")</f>
        <v>Complete</v>
      </c>
      <c r="I7987" s="48" t="s">
        <v>12352</v>
      </c>
    </row>
    <row r="7988" spans="2:9" ht="15" customHeight="1" x14ac:dyDescent="0.25">
      <c r="B7988" s="55" t="s">
        <v>280</v>
      </c>
      <c r="C7988" s="46">
        <v>2976</v>
      </c>
      <c r="D7988" s="69" t="s">
        <v>29417</v>
      </c>
      <c r="E7988" s="51"/>
      <c r="F7988" s="114" t="str">
        <f>IF(INDEX(I.Facility.P2aIDNumber,2976)="","",INDEX(I.Facility.P2aIDNumber,2976))</f>
        <v/>
      </c>
      <c r="G7988" s="51"/>
      <c r="H7988" s="46" t="str">
        <f>IF(AND(I.Developer.P2a=TRUE,I.Facility.P2aFacilityCount&gt;=2976,F7988=""),"Incomplete","Complete")</f>
        <v>Complete</v>
      </c>
      <c r="I7988" s="48" t="s">
        <v>12353</v>
      </c>
    </row>
    <row r="7989" spans="2:9" ht="15" customHeight="1" x14ac:dyDescent="0.25">
      <c r="B7989" s="55" t="s">
        <v>280</v>
      </c>
      <c r="C7989" s="46">
        <v>2977</v>
      </c>
      <c r="D7989" s="69" t="s">
        <v>29417</v>
      </c>
      <c r="E7989" s="51"/>
      <c r="F7989" s="114" t="str">
        <f>IF(INDEX(I.Facility.P2aIDNumber,2977)="","",INDEX(I.Facility.P2aIDNumber,2977))</f>
        <v/>
      </c>
      <c r="G7989" s="51"/>
      <c r="H7989" s="46" t="str">
        <f>IF(AND(I.Developer.P2a=TRUE,I.Facility.P2aFacilityCount&gt;=2977,F7989=""),"Incomplete","Complete")</f>
        <v>Complete</v>
      </c>
      <c r="I7989" s="48" t="s">
        <v>12354</v>
      </c>
    </row>
    <row r="7990" spans="2:9" ht="15" customHeight="1" x14ac:dyDescent="0.25">
      <c r="B7990" s="55" t="s">
        <v>280</v>
      </c>
      <c r="C7990" s="46">
        <v>2978</v>
      </c>
      <c r="D7990" s="69" t="s">
        <v>29417</v>
      </c>
      <c r="E7990" s="51"/>
      <c r="F7990" s="114" t="str">
        <f>IF(INDEX(I.Facility.P2aIDNumber,2978)="","",INDEX(I.Facility.P2aIDNumber,2978))</f>
        <v/>
      </c>
      <c r="G7990" s="51"/>
      <c r="H7990" s="46" t="str">
        <f>IF(AND(I.Developer.P2a=TRUE,I.Facility.P2aFacilityCount&gt;=2978,F7990=""),"Incomplete","Complete")</f>
        <v>Complete</v>
      </c>
      <c r="I7990" s="48" t="s">
        <v>12355</v>
      </c>
    </row>
    <row r="7991" spans="2:9" ht="15" customHeight="1" x14ac:dyDescent="0.25">
      <c r="B7991" s="55" t="s">
        <v>280</v>
      </c>
      <c r="C7991" s="46">
        <v>2979</v>
      </c>
      <c r="D7991" s="69" t="s">
        <v>29417</v>
      </c>
      <c r="E7991" s="51"/>
      <c r="F7991" s="114" t="str">
        <f>IF(INDEX(I.Facility.P2aIDNumber,2979)="","",INDEX(I.Facility.P2aIDNumber,2979))</f>
        <v/>
      </c>
      <c r="G7991" s="51"/>
      <c r="H7991" s="46" t="str">
        <f>IF(AND(I.Developer.P2a=TRUE,I.Facility.P2aFacilityCount&gt;=2979,F7991=""),"Incomplete","Complete")</f>
        <v>Complete</v>
      </c>
      <c r="I7991" s="48" t="s">
        <v>12356</v>
      </c>
    </row>
    <row r="7992" spans="2:9" ht="15" customHeight="1" x14ac:dyDescent="0.25">
      <c r="B7992" s="55" t="s">
        <v>280</v>
      </c>
      <c r="C7992" s="46">
        <v>2980</v>
      </c>
      <c r="D7992" s="69" t="s">
        <v>29417</v>
      </c>
      <c r="E7992" s="51"/>
      <c r="F7992" s="114" t="str">
        <f>IF(INDEX(I.Facility.P2aIDNumber,2980)="","",INDEX(I.Facility.P2aIDNumber,2980))</f>
        <v/>
      </c>
      <c r="G7992" s="51"/>
      <c r="H7992" s="46" t="str">
        <f>IF(AND(I.Developer.P2a=TRUE,I.Facility.P2aFacilityCount&gt;=2980,F7992=""),"Incomplete","Complete")</f>
        <v>Complete</v>
      </c>
      <c r="I7992" s="48" t="s">
        <v>12357</v>
      </c>
    </row>
    <row r="7993" spans="2:9" ht="15" customHeight="1" x14ac:dyDescent="0.25">
      <c r="B7993" s="55" t="s">
        <v>280</v>
      </c>
      <c r="C7993" s="46">
        <v>2981</v>
      </c>
      <c r="D7993" s="69" t="s">
        <v>29417</v>
      </c>
      <c r="E7993" s="51"/>
      <c r="F7993" s="114" t="str">
        <f>IF(INDEX(I.Facility.P2aIDNumber,2981)="","",INDEX(I.Facility.P2aIDNumber,2981))</f>
        <v/>
      </c>
      <c r="G7993" s="51"/>
      <c r="H7993" s="46" t="str">
        <f>IF(AND(I.Developer.P2a=TRUE,I.Facility.P2aFacilityCount&gt;=2981,F7993=""),"Incomplete","Complete")</f>
        <v>Complete</v>
      </c>
      <c r="I7993" s="48" t="s">
        <v>12358</v>
      </c>
    </row>
    <row r="7994" spans="2:9" ht="15" customHeight="1" x14ac:dyDescent="0.25">
      <c r="B7994" s="55" t="s">
        <v>280</v>
      </c>
      <c r="C7994" s="46">
        <v>2982</v>
      </c>
      <c r="D7994" s="69" t="s">
        <v>29417</v>
      </c>
      <c r="E7994" s="51"/>
      <c r="F7994" s="114" t="str">
        <f>IF(INDEX(I.Facility.P2aIDNumber,2982)="","",INDEX(I.Facility.P2aIDNumber,2982))</f>
        <v/>
      </c>
      <c r="G7994" s="51"/>
      <c r="H7994" s="46" t="str">
        <f>IF(AND(I.Developer.P2a=TRUE,I.Facility.P2aFacilityCount&gt;=2982,F7994=""),"Incomplete","Complete")</f>
        <v>Complete</v>
      </c>
      <c r="I7994" s="48" t="s">
        <v>12359</v>
      </c>
    </row>
    <row r="7995" spans="2:9" ht="15" customHeight="1" x14ac:dyDescent="0.25">
      <c r="B7995" s="55" t="s">
        <v>280</v>
      </c>
      <c r="C7995" s="46">
        <v>2983</v>
      </c>
      <c r="D7995" s="69" t="s">
        <v>29417</v>
      </c>
      <c r="E7995" s="51"/>
      <c r="F7995" s="114" t="str">
        <f>IF(INDEX(I.Facility.P2aIDNumber,2983)="","",INDEX(I.Facility.P2aIDNumber,2983))</f>
        <v/>
      </c>
      <c r="G7995" s="51"/>
      <c r="H7995" s="46" t="str">
        <f>IF(AND(I.Developer.P2a=TRUE,I.Facility.P2aFacilityCount&gt;=2983,F7995=""),"Incomplete","Complete")</f>
        <v>Complete</v>
      </c>
      <c r="I7995" s="48" t="s">
        <v>12360</v>
      </c>
    </row>
    <row r="7996" spans="2:9" ht="15" customHeight="1" x14ac:dyDescent="0.25">
      <c r="B7996" s="55" t="s">
        <v>280</v>
      </c>
      <c r="C7996" s="46">
        <v>2984</v>
      </c>
      <c r="D7996" s="69" t="s">
        <v>29417</v>
      </c>
      <c r="E7996" s="51"/>
      <c r="F7996" s="114" t="str">
        <f>IF(INDEX(I.Facility.P2aIDNumber,2984)="","",INDEX(I.Facility.P2aIDNumber,2984))</f>
        <v/>
      </c>
      <c r="G7996" s="51"/>
      <c r="H7996" s="46" t="str">
        <f>IF(AND(I.Developer.P2a=TRUE,I.Facility.P2aFacilityCount&gt;=2984,F7996=""),"Incomplete","Complete")</f>
        <v>Complete</v>
      </c>
      <c r="I7996" s="48" t="s">
        <v>12361</v>
      </c>
    </row>
    <row r="7997" spans="2:9" ht="15" customHeight="1" x14ac:dyDescent="0.25">
      <c r="B7997" s="55" t="s">
        <v>280</v>
      </c>
      <c r="C7997" s="46">
        <v>2985</v>
      </c>
      <c r="D7997" s="69" t="s">
        <v>29417</v>
      </c>
      <c r="E7997" s="51"/>
      <c r="F7997" s="114" t="str">
        <f>IF(INDEX(I.Facility.P2aIDNumber,2985)="","",INDEX(I.Facility.P2aIDNumber,2985))</f>
        <v/>
      </c>
      <c r="G7997" s="51"/>
      <c r="H7997" s="46" t="str">
        <f>IF(AND(I.Developer.P2a=TRUE,I.Facility.P2aFacilityCount&gt;=2985,F7997=""),"Incomplete","Complete")</f>
        <v>Complete</v>
      </c>
      <c r="I7997" s="48" t="s">
        <v>12362</v>
      </c>
    </row>
    <row r="7998" spans="2:9" ht="15" customHeight="1" x14ac:dyDescent="0.25">
      <c r="B7998" s="55" t="s">
        <v>280</v>
      </c>
      <c r="C7998" s="46">
        <v>2986</v>
      </c>
      <c r="D7998" s="69" t="s">
        <v>29417</v>
      </c>
      <c r="E7998" s="51"/>
      <c r="F7998" s="114" t="str">
        <f>IF(INDEX(I.Facility.P2aIDNumber,2986)="","",INDEX(I.Facility.P2aIDNumber,2986))</f>
        <v/>
      </c>
      <c r="G7998" s="51"/>
      <c r="H7998" s="46" t="str">
        <f>IF(AND(I.Developer.P2a=TRUE,I.Facility.P2aFacilityCount&gt;=2986,F7998=""),"Incomplete","Complete")</f>
        <v>Complete</v>
      </c>
      <c r="I7998" s="48" t="s">
        <v>12363</v>
      </c>
    </row>
    <row r="7999" spans="2:9" ht="15" customHeight="1" x14ac:dyDescent="0.25">
      <c r="B7999" s="55" t="s">
        <v>280</v>
      </c>
      <c r="C7999" s="46">
        <v>2987</v>
      </c>
      <c r="D7999" s="69" t="s">
        <v>29417</v>
      </c>
      <c r="E7999" s="51"/>
      <c r="F7999" s="114" t="str">
        <f>IF(INDEX(I.Facility.P2aIDNumber,2987)="","",INDEX(I.Facility.P2aIDNumber,2987))</f>
        <v/>
      </c>
      <c r="G7999" s="51"/>
      <c r="H7999" s="46" t="str">
        <f>IF(AND(I.Developer.P2a=TRUE,I.Facility.P2aFacilityCount&gt;=2987,F7999=""),"Incomplete","Complete")</f>
        <v>Complete</v>
      </c>
      <c r="I7999" s="48" t="s">
        <v>12364</v>
      </c>
    </row>
    <row r="8000" spans="2:9" ht="15" customHeight="1" x14ac:dyDescent="0.25">
      <c r="B8000" s="55" t="s">
        <v>280</v>
      </c>
      <c r="C8000" s="46">
        <v>2988</v>
      </c>
      <c r="D8000" s="69" t="s">
        <v>29417</v>
      </c>
      <c r="E8000" s="51"/>
      <c r="F8000" s="114" t="str">
        <f>IF(INDEX(I.Facility.P2aIDNumber,2988)="","",INDEX(I.Facility.P2aIDNumber,2988))</f>
        <v/>
      </c>
      <c r="G8000" s="51"/>
      <c r="H8000" s="46" t="str">
        <f>IF(AND(I.Developer.P2a=TRUE,I.Facility.P2aFacilityCount&gt;=2988,F8000=""),"Incomplete","Complete")</f>
        <v>Complete</v>
      </c>
      <c r="I8000" s="48" t="s">
        <v>12365</v>
      </c>
    </row>
    <row r="8001" spans="2:9" ht="15" customHeight="1" x14ac:dyDescent="0.25">
      <c r="B8001" s="55" t="s">
        <v>280</v>
      </c>
      <c r="C8001" s="46">
        <v>2989</v>
      </c>
      <c r="D8001" s="69" t="s">
        <v>29417</v>
      </c>
      <c r="E8001" s="51"/>
      <c r="F8001" s="114" t="str">
        <f>IF(INDEX(I.Facility.P2aIDNumber,2989)="","",INDEX(I.Facility.P2aIDNumber,2989))</f>
        <v/>
      </c>
      <c r="G8001" s="51"/>
      <c r="H8001" s="46" t="str">
        <f>IF(AND(I.Developer.P2a=TRUE,I.Facility.P2aFacilityCount&gt;=2989,F8001=""),"Incomplete","Complete")</f>
        <v>Complete</v>
      </c>
      <c r="I8001" s="48" t="s">
        <v>12366</v>
      </c>
    </row>
    <row r="8002" spans="2:9" ht="15" customHeight="1" x14ac:dyDescent="0.25">
      <c r="B8002" s="55" t="s">
        <v>280</v>
      </c>
      <c r="C8002" s="46">
        <v>2990</v>
      </c>
      <c r="D8002" s="69" t="s">
        <v>29417</v>
      </c>
      <c r="E8002" s="51"/>
      <c r="F8002" s="114" t="str">
        <f>IF(INDEX(I.Facility.P2aIDNumber,2990)="","",INDEX(I.Facility.P2aIDNumber,2990))</f>
        <v/>
      </c>
      <c r="G8002" s="51"/>
      <c r="H8002" s="46" t="str">
        <f>IF(AND(I.Developer.P2a=TRUE,I.Facility.P2aFacilityCount&gt;=2990,F8002=""),"Incomplete","Complete")</f>
        <v>Complete</v>
      </c>
      <c r="I8002" s="48" t="s">
        <v>12367</v>
      </c>
    </row>
    <row r="8003" spans="2:9" ht="15" customHeight="1" x14ac:dyDescent="0.25">
      <c r="B8003" s="55" t="s">
        <v>280</v>
      </c>
      <c r="C8003" s="46">
        <v>2991</v>
      </c>
      <c r="D8003" s="69" t="s">
        <v>29417</v>
      </c>
      <c r="E8003" s="51"/>
      <c r="F8003" s="114" t="str">
        <f>IF(INDEX(I.Facility.P2aIDNumber,2991)="","",INDEX(I.Facility.P2aIDNumber,2991))</f>
        <v/>
      </c>
      <c r="G8003" s="51"/>
      <c r="H8003" s="46" t="str">
        <f>IF(AND(I.Developer.P2a=TRUE,I.Facility.P2aFacilityCount&gt;=2991,F8003=""),"Incomplete","Complete")</f>
        <v>Complete</v>
      </c>
      <c r="I8003" s="48" t="s">
        <v>12368</v>
      </c>
    </row>
    <row r="8004" spans="2:9" ht="15" customHeight="1" x14ac:dyDescent="0.25">
      <c r="B8004" s="55" t="s">
        <v>280</v>
      </c>
      <c r="C8004" s="46">
        <v>2992</v>
      </c>
      <c r="D8004" s="69" t="s">
        <v>29417</v>
      </c>
      <c r="E8004" s="51"/>
      <c r="F8004" s="114" t="str">
        <f>IF(INDEX(I.Facility.P2aIDNumber,2992)="","",INDEX(I.Facility.P2aIDNumber,2992))</f>
        <v/>
      </c>
      <c r="G8004" s="51"/>
      <c r="H8004" s="46" t="str">
        <f>IF(AND(I.Developer.P2a=TRUE,I.Facility.P2aFacilityCount&gt;=2992,F8004=""),"Incomplete","Complete")</f>
        <v>Complete</v>
      </c>
      <c r="I8004" s="48" t="s">
        <v>12369</v>
      </c>
    </row>
    <row r="8005" spans="2:9" ht="15" customHeight="1" x14ac:dyDescent="0.25">
      <c r="B8005" s="55" t="s">
        <v>280</v>
      </c>
      <c r="C8005" s="46">
        <v>2993</v>
      </c>
      <c r="D8005" s="69" t="s">
        <v>29417</v>
      </c>
      <c r="E8005" s="51"/>
      <c r="F8005" s="114" t="str">
        <f>IF(INDEX(I.Facility.P2aIDNumber,2993)="","",INDEX(I.Facility.P2aIDNumber,2993))</f>
        <v/>
      </c>
      <c r="G8005" s="51"/>
      <c r="H8005" s="46" t="str">
        <f>IF(AND(I.Developer.P2a=TRUE,I.Facility.P2aFacilityCount&gt;=2993,F8005=""),"Incomplete","Complete")</f>
        <v>Complete</v>
      </c>
      <c r="I8005" s="48" t="s">
        <v>12370</v>
      </c>
    </row>
    <row r="8006" spans="2:9" ht="15" customHeight="1" x14ac:dyDescent="0.25">
      <c r="B8006" s="55" t="s">
        <v>280</v>
      </c>
      <c r="C8006" s="46">
        <v>2994</v>
      </c>
      <c r="D8006" s="69" t="s">
        <v>29417</v>
      </c>
      <c r="E8006" s="51"/>
      <c r="F8006" s="114" t="str">
        <f>IF(INDEX(I.Facility.P2aIDNumber,2994)="","",INDEX(I.Facility.P2aIDNumber,2994))</f>
        <v/>
      </c>
      <c r="G8006" s="51"/>
      <c r="H8006" s="46" t="str">
        <f>IF(AND(I.Developer.P2a=TRUE,I.Facility.P2aFacilityCount&gt;=2994,F8006=""),"Incomplete","Complete")</f>
        <v>Complete</v>
      </c>
      <c r="I8006" s="48" t="s">
        <v>12371</v>
      </c>
    </row>
    <row r="8007" spans="2:9" ht="15" customHeight="1" x14ac:dyDescent="0.25">
      <c r="B8007" s="55" t="s">
        <v>280</v>
      </c>
      <c r="C8007" s="46">
        <v>2995</v>
      </c>
      <c r="D8007" s="69" t="s">
        <v>29417</v>
      </c>
      <c r="E8007" s="51"/>
      <c r="F8007" s="114" t="str">
        <f>IF(INDEX(I.Facility.P2aIDNumber,2995)="","",INDEX(I.Facility.P2aIDNumber,2995))</f>
        <v/>
      </c>
      <c r="G8007" s="51"/>
      <c r="H8007" s="46" t="str">
        <f>IF(AND(I.Developer.P2a=TRUE,I.Facility.P2aFacilityCount&gt;=2995,F8007=""),"Incomplete","Complete")</f>
        <v>Complete</v>
      </c>
      <c r="I8007" s="48" t="s">
        <v>12372</v>
      </c>
    </row>
    <row r="8008" spans="2:9" ht="15" customHeight="1" x14ac:dyDescent="0.25">
      <c r="B8008" s="55" t="s">
        <v>280</v>
      </c>
      <c r="C8008" s="46">
        <v>2996</v>
      </c>
      <c r="D8008" s="69" t="s">
        <v>29417</v>
      </c>
      <c r="E8008" s="51"/>
      <c r="F8008" s="114" t="str">
        <f>IF(INDEX(I.Facility.P2aIDNumber,2996)="","",INDEX(I.Facility.P2aIDNumber,2996))</f>
        <v/>
      </c>
      <c r="G8008" s="51"/>
      <c r="H8008" s="46" t="str">
        <f>IF(AND(I.Developer.P2a=TRUE,I.Facility.P2aFacilityCount&gt;=2996,F8008=""),"Incomplete","Complete")</f>
        <v>Complete</v>
      </c>
      <c r="I8008" s="48" t="s">
        <v>12373</v>
      </c>
    </row>
    <row r="8009" spans="2:9" ht="15" customHeight="1" x14ac:dyDescent="0.25">
      <c r="B8009" s="55" t="s">
        <v>280</v>
      </c>
      <c r="C8009" s="46">
        <v>2997</v>
      </c>
      <c r="D8009" s="69" t="s">
        <v>29417</v>
      </c>
      <c r="E8009" s="51"/>
      <c r="F8009" s="114" t="str">
        <f>IF(INDEX(I.Facility.P2aIDNumber,2997)="","",INDEX(I.Facility.P2aIDNumber,2997))</f>
        <v/>
      </c>
      <c r="G8009" s="51"/>
      <c r="H8009" s="46" t="str">
        <f>IF(AND(I.Developer.P2a=TRUE,I.Facility.P2aFacilityCount&gt;=2997,F8009=""),"Incomplete","Complete")</f>
        <v>Complete</v>
      </c>
      <c r="I8009" s="48" t="s">
        <v>12374</v>
      </c>
    </row>
    <row r="8010" spans="2:9" ht="15" customHeight="1" x14ac:dyDescent="0.25">
      <c r="B8010" s="55" t="s">
        <v>280</v>
      </c>
      <c r="C8010" s="46">
        <v>2998</v>
      </c>
      <c r="D8010" s="69" t="s">
        <v>29417</v>
      </c>
      <c r="E8010" s="51"/>
      <c r="F8010" s="114" t="str">
        <f>IF(INDEX(I.Facility.P2aIDNumber,2998)="","",INDEX(I.Facility.P2aIDNumber,2998))</f>
        <v/>
      </c>
      <c r="G8010" s="51"/>
      <c r="H8010" s="46" t="str">
        <f>IF(AND(I.Developer.P2a=TRUE,I.Facility.P2aFacilityCount&gt;=2998,F8010=""),"Incomplete","Complete")</f>
        <v>Complete</v>
      </c>
      <c r="I8010" s="48" t="s">
        <v>12375</v>
      </c>
    </row>
    <row r="8011" spans="2:9" ht="15" customHeight="1" x14ac:dyDescent="0.25">
      <c r="B8011" s="55" t="s">
        <v>280</v>
      </c>
      <c r="C8011" s="46">
        <v>2999</v>
      </c>
      <c r="D8011" s="69" t="s">
        <v>29417</v>
      </c>
      <c r="E8011" s="51"/>
      <c r="F8011" s="114" t="str">
        <f>IF(INDEX(I.Facility.P2aIDNumber,2999)="","",INDEX(I.Facility.P2aIDNumber,2999))</f>
        <v/>
      </c>
      <c r="G8011" s="51"/>
      <c r="H8011" s="46" t="str">
        <f>IF(AND(I.Developer.P2a=TRUE,I.Facility.P2aFacilityCount&gt;=2999,F8011=""),"Incomplete","Complete")</f>
        <v>Complete</v>
      </c>
      <c r="I8011" s="48" t="s">
        <v>12376</v>
      </c>
    </row>
    <row r="8012" spans="2:9" ht="15" customHeight="1" x14ac:dyDescent="0.25">
      <c r="B8012" s="55" t="s">
        <v>280</v>
      </c>
      <c r="C8012" s="46">
        <v>3000</v>
      </c>
      <c r="D8012" s="69" t="s">
        <v>29417</v>
      </c>
      <c r="E8012" s="51"/>
      <c r="F8012" s="114" t="str">
        <f>IF(INDEX(I.Facility.P2aIDNumber,3000)="","",INDEX(I.Facility.P2aIDNumber,3000))</f>
        <v/>
      </c>
      <c r="G8012" s="51"/>
      <c r="H8012" s="46" t="str">
        <f>IF(AND(I.Developer.P2a=TRUE,I.Facility.P2aFacilityCount&gt;=3000,F8012=""),"Incomplete","Complete")</f>
        <v>Complete</v>
      </c>
      <c r="I8012" s="48" t="s">
        <v>12377</v>
      </c>
    </row>
    <row r="8013" spans="2:9" ht="15" customHeight="1" x14ac:dyDescent="0.25">
      <c r="B8013" s="55" t="s">
        <v>280</v>
      </c>
      <c r="C8013" s="46">
        <v>3001</v>
      </c>
      <c r="D8013" s="69" t="s">
        <v>29417</v>
      </c>
      <c r="E8013" s="51"/>
      <c r="F8013" s="114" t="str">
        <f>IF(INDEX(I.Facility.P2aIDNumber,3001)="","",INDEX(I.Facility.P2aIDNumber,3001))</f>
        <v/>
      </c>
      <c r="G8013" s="51"/>
      <c r="H8013" s="46" t="str">
        <f>IF(AND(I.Developer.P2a=TRUE,I.Facility.P2aFacilityCount&gt;=3001,F8013=""),"Incomplete","Complete")</f>
        <v>Complete</v>
      </c>
      <c r="I8013" s="48" t="s">
        <v>12378</v>
      </c>
    </row>
    <row r="8014" spans="2:9" ht="15" customHeight="1" x14ac:dyDescent="0.25">
      <c r="B8014" s="55" t="s">
        <v>280</v>
      </c>
      <c r="C8014" s="46">
        <v>3002</v>
      </c>
      <c r="D8014" s="69" t="s">
        <v>29417</v>
      </c>
      <c r="E8014" s="51"/>
      <c r="F8014" s="114" t="str">
        <f>IF(INDEX(I.Facility.P2aIDNumber,3002)="","",INDEX(I.Facility.P2aIDNumber,3002))</f>
        <v/>
      </c>
      <c r="G8014" s="51"/>
      <c r="H8014" s="46" t="str">
        <f>IF(AND(I.Developer.P2a=TRUE,I.Facility.P2aFacilityCount&gt;=3002,F8014=""),"Incomplete","Complete")</f>
        <v>Complete</v>
      </c>
      <c r="I8014" s="48" t="s">
        <v>12379</v>
      </c>
    </row>
    <row r="8015" spans="2:9" ht="15" customHeight="1" x14ac:dyDescent="0.25">
      <c r="B8015" s="55" t="s">
        <v>280</v>
      </c>
      <c r="C8015" s="46">
        <v>3003</v>
      </c>
      <c r="D8015" s="69" t="s">
        <v>29417</v>
      </c>
      <c r="E8015" s="51"/>
      <c r="F8015" s="114" t="str">
        <f>IF(INDEX(I.Facility.P2aIDNumber,3003)="","",INDEX(I.Facility.P2aIDNumber,3003))</f>
        <v/>
      </c>
      <c r="G8015" s="51"/>
      <c r="H8015" s="46" t="str">
        <f>IF(AND(I.Developer.P2a=TRUE,I.Facility.P2aFacilityCount&gt;=3003,F8015=""),"Incomplete","Complete")</f>
        <v>Complete</v>
      </c>
      <c r="I8015" s="48" t="s">
        <v>12380</v>
      </c>
    </row>
    <row r="8016" spans="2:9" ht="15" customHeight="1" x14ac:dyDescent="0.25">
      <c r="B8016" s="55" t="s">
        <v>280</v>
      </c>
      <c r="C8016" s="46">
        <v>3004</v>
      </c>
      <c r="D8016" s="69" t="s">
        <v>29417</v>
      </c>
      <c r="E8016" s="51"/>
      <c r="F8016" s="114" t="str">
        <f>IF(INDEX(I.Facility.P2aIDNumber,3004)="","",INDEX(I.Facility.P2aIDNumber,3004))</f>
        <v/>
      </c>
      <c r="G8016" s="51"/>
      <c r="H8016" s="46" t="str">
        <f>IF(AND(I.Developer.P2a=TRUE,I.Facility.P2aFacilityCount&gt;=3004,F8016=""),"Incomplete","Complete")</f>
        <v>Complete</v>
      </c>
      <c r="I8016" s="48" t="s">
        <v>12381</v>
      </c>
    </row>
    <row r="8017" spans="2:9" ht="15" customHeight="1" x14ac:dyDescent="0.25">
      <c r="B8017" s="55" t="s">
        <v>280</v>
      </c>
      <c r="C8017" s="46">
        <v>3005</v>
      </c>
      <c r="D8017" s="69" t="s">
        <v>29417</v>
      </c>
      <c r="E8017" s="51"/>
      <c r="F8017" s="114" t="str">
        <f>IF(INDEX(I.Facility.P2aIDNumber,3005)="","",INDEX(I.Facility.P2aIDNumber,3005))</f>
        <v/>
      </c>
      <c r="G8017" s="51"/>
      <c r="H8017" s="46" t="str">
        <f>IF(AND(I.Developer.P2a=TRUE,I.Facility.P2aFacilityCount&gt;=3005,F8017=""),"Incomplete","Complete")</f>
        <v>Complete</v>
      </c>
      <c r="I8017" s="48" t="s">
        <v>12382</v>
      </c>
    </row>
    <row r="8018" spans="2:9" ht="15" customHeight="1" x14ac:dyDescent="0.25">
      <c r="B8018" s="55" t="s">
        <v>280</v>
      </c>
      <c r="C8018" s="46">
        <v>3006</v>
      </c>
      <c r="D8018" s="69" t="s">
        <v>29417</v>
      </c>
      <c r="E8018" s="51"/>
      <c r="F8018" s="114" t="str">
        <f>IF(INDEX(I.Facility.P2aIDNumber,3006)="","",INDEX(I.Facility.P2aIDNumber,3006))</f>
        <v/>
      </c>
      <c r="G8018" s="51"/>
      <c r="H8018" s="46" t="str">
        <f>IF(AND(I.Developer.P2a=TRUE,I.Facility.P2aFacilityCount&gt;=3006,F8018=""),"Incomplete","Complete")</f>
        <v>Complete</v>
      </c>
      <c r="I8018" s="48" t="s">
        <v>12383</v>
      </c>
    </row>
    <row r="8019" spans="2:9" ht="15" customHeight="1" x14ac:dyDescent="0.25">
      <c r="B8019" s="55" t="s">
        <v>280</v>
      </c>
      <c r="C8019" s="46">
        <v>3007</v>
      </c>
      <c r="D8019" s="69" t="s">
        <v>29417</v>
      </c>
      <c r="E8019" s="51"/>
      <c r="F8019" s="114" t="str">
        <f>IF(INDEX(I.Facility.P2aIDNumber,3007)="","",INDEX(I.Facility.P2aIDNumber,3007))</f>
        <v/>
      </c>
      <c r="G8019" s="51"/>
      <c r="H8019" s="46" t="str">
        <f>IF(AND(I.Developer.P2a=TRUE,I.Facility.P2aFacilityCount&gt;=3007,F8019=""),"Incomplete","Complete")</f>
        <v>Complete</v>
      </c>
      <c r="I8019" s="48" t="s">
        <v>12384</v>
      </c>
    </row>
    <row r="8020" spans="2:9" ht="15" customHeight="1" x14ac:dyDescent="0.25">
      <c r="B8020" s="55" t="s">
        <v>280</v>
      </c>
      <c r="C8020" s="46">
        <v>3008</v>
      </c>
      <c r="D8020" s="69" t="s">
        <v>29417</v>
      </c>
      <c r="E8020" s="51"/>
      <c r="F8020" s="114" t="str">
        <f>IF(INDEX(I.Facility.P2aIDNumber,3008)="","",INDEX(I.Facility.P2aIDNumber,3008))</f>
        <v/>
      </c>
      <c r="G8020" s="51"/>
      <c r="H8020" s="46" t="str">
        <f>IF(AND(I.Developer.P2a=TRUE,I.Facility.P2aFacilityCount&gt;=3008,F8020=""),"Incomplete","Complete")</f>
        <v>Complete</v>
      </c>
      <c r="I8020" s="48" t="s">
        <v>12385</v>
      </c>
    </row>
    <row r="8021" spans="2:9" ht="15" customHeight="1" x14ac:dyDescent="0.25">
      <c r="B8021" s="55" t="s">
        <v>280</v>
      </c>
      <c r="C8021" s="46">
        <v>3009</v>
      </c>
      <c r="D8021" s="69" t="s">
        <v>29417</v>
      </c>
      <c r="E8021" s="51"/>
      <c r="F8021" s="114" t="str">
        <f>IF(INDEX(I.Facility.P2aIDNumber,3009)="","",INDEX(I.Facility.P2aIDNumber,3009))</f>
        <v/>
      </c>
      <c r="G8021" s="51"/>
      <c r="H8021" s="46" t="str">
        <f>IF(AND(I.Developer.P2a=TRUE,I.Facility.P2aFacilityCount&gt;=3009,F8021=""),"Incomplete","Complete")</f>
        <v>Complete</v>
      </c>
      <c r="I8021" s="48" t="s">
        <v>12386</v>
      </c>
    </row>
    <row r="8022" spans="2:9" ht="15" customHeight="1" x14ac:dyDescent="0.25">
      <c r="B8022" s="55" t="s">
        <v>280</v>
      </c>
      <c r="C8022" s="46">
        <v>3010</v>
      </c>
      <c r="D8022" s="69" t="s">
        <v>29417</v>
      </c>
      <c r="E8022" s="51"/>
      <c r="F8022" s="114" t="str">
        <f>IF(INDEX(I.Facility.P2aIDNumber,3010)="","",INDEX(I.Facility.P2aIDNumber,3010))</f>
        <v/>
      </c>
      <c r="G8022" s="51"/>
      <c r="H8022" s="46" t="str">
        <f>IF(AND(I.Developer.P2a=TRUE,I.Facility.P2aFacilityCount&gt;=3010,F8022=""),"Incomplete","Complete")</f>
        <v>Complete</v>
      </c>
      <c r="I8022" s="48" t="s">
        <v>12387</v>
      </c>
    </row>
    <row r="8023" spans="2:9" ht="15" customHeight="1" x14ac:dyDescent="0.25">
      <c r="B8023" s="55" t="s">
        <v>280</v>
      </c>
      <c r="C8023" s="46">
        <v>3011</v>
      </c>
      <c r="D8023" s="69" t="s">
        <v>29417</v>
      </c>
      <c r="E8023" s="51"/>
      <c r="F8023" s="114" t="str">
        <f>IF(INDEX(I.Facility.P2aIDNumber,3011)="","",INDEX(I.Facility.P2aIDNumber,3011))</f>
        <v/>
      </c>
      <c r="G8023" s="51"/>
      <c r="H8023" s="46" t="str">
        <f>IF(AND(I.Developer.P2a=TRUE,I.Facility.P2aFacilityCount&gt;=3011,F8023=""),"Incomplete","Complete")</f>
        <v>Complete</v>
      </c>
      <c r="I8023" s="48" t="s">
        <v>12388</v>
      </c>
    </row>
    <row r="8024" spans="2:9" ht="15" customHeight="1" x14ac:dyDescent="0.25">
      <c r="B8024" s="55" t="s">
        <v>280</v>
      </c>
      <c r="C8024" s="46">
        <v>3012</v>
      </c>
      <c r="D8024" s="69" t="s">
        <v>29417</v>
      </c>
      <c r="E8024" s="51"/>
      <c r="F8024" s="114" t="str">
        <f>IF(INDEX(I.Facility.P2aIDNumber,3012)="","",INDEX(I.Facility.P2aIDNumber,3012))</f>
        <v/>
      </c>
      <c r="G8024" s="51"/>
      <c r="H8024" s="46" t="str">
        <f>IF(AND(I.Developer.P2a=TRUE,I.Facility.P2aFacilityCount&gt;=3012,F8024=""),"Incomplete","Complete")</f>
        <v>Complete</v>
      </c>
      <c r="I8024" s="48" t="s">
        <v>12389</v>
      </c>
    </row>
    <row r="8025" spans="2:9" ht="15" customHeight="1" x14ac:dyDescent="0.25">
      <c r="B8025" s="55" t="s">
        <v>280</v>
      </c>
      <c r="C8025" s="46">
        <v>3013</v>
      </c>
      <c r="D8025" s="69" t="s">
        <v>29417</v>
      </c>
      <c r="E8025" s="51"/>
      <c r="F8025" s="114" t="str">
        <f>IF(INDEX(I.Facility.P2aIDNumber,3013)="","",INDEX(I.Facility.P2aIDNumber,3013))</f>
        <v/>
      </c>
      <c r="G8025" s="51"/>
      <c r="H8025" s="46" t="str">
        <f>IF(AND(I.Developer.P2a=TRUE,I.Facility.P2aFacilityCount&gt;=3013,F8025=""),"Incomplete","Complete")</f>
        <v>Complete</v>
      </c>
      <c r="I8025" s="48" t="s">
        <v>12390</v>
      </c>
    </row>
    <row r="8026" spans="2:9" ht="15" customHeight="1" x14ac:dyDescent="0.25">
      <c r="B8026" s="55" t="s">
        <v>280</v>
      </c>
      <c r="C8026" s="46">
        <v>3014</v>
      </c>
      <c r="D8026" s="69" t="s">
        <v>29417</v>
      </c>
      <c r="E8026" s="51"/>
      <c r="F8026" s="114" t="str">
        <f>IF(INDEX(I.Facility.P2aIDNumber,3014)="","",INDEX(I.Facility.P2aIDNumber,3014))</f>
        <v/>
      </c>
      <c r="G8026" s="51"/>
      <c r="H8026" s="46" t="str">
        <f>IF(AND(I.Developer.P2a=TRUE,I.Facility.P2aFacilityCount&gt;=3014,F8026=""),"Incomplete","Complete")</f>
        <v>Complete</v>
      </c>
      <c r="I8026" s="48" t="s">
        <v>12391</v>
      </c>
    </row>
    <row r="8027" spans="2:9" ht="15" customHeight="1" x14ac:dyDescent="0.25">
      <c r="B8027" s="55" t="s">
        <v>280</v>
      </c>
      <c r="C8027" s="46">
        <v>3015</v>
      </c>
      <c r="D8027" s="69" t="s">
        <v>29417</v>
      </c>
      <c r="E8027" s="51"/>
      <c r="F8027" s="114" t="str">
        <f>IF(INDEX(I.Facility.P2aIDNumber,3015)="","",INDEX(I.Facility.P2aIDNumber,3015))</f>
        <v/>
      </c>
      <c r="G8027" s="51"/>
      <c r="H8027" s="46" t="str">
        <f>IF(AND(I.Developer.P2a=TRUE,I.Facility.P2aFacilityCount&gt;=3015,F8027=""),"Incomplete","Complete")</f>
        <v>Complete</v>
      </c>
      <c r="I8027" s="48" t="s">
        <v>12392</v>
      </c>
    </row>
    <row r="8028" spans="2:9" ht="15" customHeight="1" x14ac:dyDescent="0.25">
      <c r="B8028" s="55" t="s">
        <v>280</v>
      </c>
      <c r="C8028" s="46">
        <v>3016</v>
      </c>
      <c r="D8028" s="69" t="s">
        <v>29417</v>
      </c>
      <c r="E8028" s="51"/>
      <c r="F8028" s="114" t="str">
        <f>IF(INDEX(I.Facility.P2aIDNumber,3016)="","",INDEX(I.Facility.P2aIDNumber,3016))</f>
        <v/>
      </c>
      <c r="G8028" s="51"/>
      <c r="H8028" s="46" t="str">
        <f>IF(AND(I.Developer.P2a=TRUE,I.Facility.P2aFacilityCount&gt;=3016,F8028=""),"Incomplete","Complete")</f>
        <v>Complete</v>
      </c>
      <c r="I8028" s="48" t="s">
        <v>12393</v>
      </c>
    </row>
    <row r="8029" spans="2:9" ht="15" customHeight="1" x14ac:dyDescent="0.25">
      <c r="B8029" s="55" t="s">
        <v>280</v>
      </c>
      <c r="C8029" s="46">
        <v>3017</v>
      </c>
      <c r="D8029" s="69" t="s">
        <v>29417</v>
      </c>
      <c r="E8029" s="51"/>
      <c r="F8029" s="114" t="str">
        <f>IF(INDEX(I.Facility.P2aIDNumber,3017)="","",INDEX(I.Facility.P2aIDNumber,3017))</f>
        <v/>
      </c>
      <c r="G8029" s="51"/>
      <c r="H8029" s="46" t="str">
        <f>IF(AND(I.Developer.P2a=TRUE,I.Facility.P2aFacilityCount&gt;=3017,F8029=""),"Incomplete","Complete")</f>
        <v>Complete</v>
      </c>
      <c r="I8029" s="48" t="s">
        <v>12394</v>
      </c>
    </row>
    <row r="8030" spans="2:9" ht="15" customHeight="1" x14ac:dyDescent="0.25">
      <c r="B8030" s="55" t="s">
        <v>280</v>
      </c>
      <c r="C8030" s="46">
        <v>3018</v>
      </c>
      <c r="D8030" s="69" t="s">
        <v>29417</v>
      </c>
      <c r="E8030" s="51"/>
      <c r="F8030" s="114" t="str">
        <f>IF(INDEX(I.Facility.P2aIDNumber,3018)="","",INDEX(I.Facility.P2aIDNumber,3018))</f>
        <v/>
      </c>
      <c r="G8030" s="51"/>
      <c r="H8030" s="46" t="str">
        <f>IF(AND(I.Developer.P2a=TRUE,I.Facility.P2aFacilityCount&gt;=3018,F8030=""),"Incomplete","Complete")</f>
        <v>Complete</v>
      </c>
      <c r="I8030" s="48" t="s">
        <v>12395</v>
      </c>
    </row>
    <row r="8031" spans="2:9" ht="15" customHeight="1" x14ac:dyDescent="0.25">
      <c r="B8031" s="55" t="s">
        <v>280</v>
      </c>
      <c r="C8031" s="46">
        <v>3019</v>
      </c>
      <c r="D8031" s="69" t="s">
        <v>29417</v>
      </c>
      <c r="E8031" s="51"/>
      <c r="F8031" s="114" t="str">
        <f>IF(INDEX(I.Facility.P2aIDNumber,3019)="","",INDEX(I.Facility.P2aIDNumber,3019))</f>
        <v/>
      </c>
      <c r="G8031" s="51"/>
      <c r="H8031" s="46" t="str">
        <f>IF(AND(I.Developer.P2a=TRUE,I.Facility.P2aFacilityCount&gt;=3019,F8031=""),"Incomplete","Complete")</f>
        <v>Complete</v>
      </c>
      <c r="I8031" s="48" t="s">
        <v>12396</v>
      </c>
    </row>
    <row r="8032" spans="2:9" ht="15" customHeight="1" x14ac:dyDescent="0.25">
      <c r="B8032" s="55" t="s">
        <v>280</v>
      </c>
      <c r="C8032" s="46">
        <v>3020</v>
      </c>
      <c r="D8032" s="69" t="s">
        <v>29417</v>
      </c>
      <c r="E8032" s="51"/>
      <c r="F8032" s="114" t="str">
        <f>IF(INDEX(I.Facility.P2aIDNumber,3020)="","",INDEX(I.Facility.P2aIDNumber,3020))</f>
        <v/>
      </c>
      <c r="G8032" s="51"/>
      <c r="H8032" s="46" t="str">
        <f>IF(AND(I.Developer.P2a=TRUE,I.Facility.P2aFacilityCount&gt;=3020,F8032=""),"Incomplete","Complete")</f>
        <v>Complete</v>
      </c>
      <c r="I8032" s="48" t="s">
        <v>12397</v>
      </c>
    </row>
    <row r="8033" spans="2:9" ht="15" customHeight="1" x14ac:dyDescent="0.25">
      <c r="B8033" s="55" t="s">
        <v>280</v>
      </c>
      <c r="C8033" s="46">
        <v>3021</v>
      </c>
      <c r="D8033" s="69" t="s">
        <v>29417</v>
      </c>
      <c r="E8033" s="51"/>
      <c r="F8033" s="114" t="str">
        <f>IF(INDEX(I.Facility.P2aIDNumber,3021)="","",INDEX(I.Facility.P2aIDNumber,3021))</f>
        <v/>
      </c>
      <c r="G8033" s="51"/>
      <c r="H8033" s="46" t="str">
        <f>IF(AND(I.Developer.P2a=TRUE,I.Facility.P2aFacilityCount&gt;=3021,F8033=""),"Incomplete","Complete")</f>
        <v>Complete</v>
      </c>
      <c r="I8033" s="48" t="s">
        <v>12398</v>
      </c>
    </row>
    <row r="8034" spans="2:9" ht="15" customHeight="1" x14ac:dyDescent="0.25">
      <c r="B8034" s="55" t="s">
        <v>280</v>
      </c>
      <c r="C8034" s="46">
        <v>3022</v>
      </c>
      <c r="D8034" s="69" t="s">
        <v>29417</v>
      </c>
      <c r="E8034" s="51"/>
      <c r="F8034" s="114" t="str">
        <f>IF(INDEX(I.Facility.P2aIDNumber,3022)="","",INDEX(I.Facility.P2aIDNumber,3022))</f>
        <v/>
      </c>
      <c r="G8034" s="51"/>
      <c r="H8034" s="46" t="str">
        <f>IF(AND(I.Developer.P2a=TRUE,I.Facility.P2aFacilityCount&gt;=3022,F8034=""),"Incomplete","Complete")</f>
        <v>Complete</v>
      </c>
      <c r="I8034" s="48" t="s">
        <v>12399</v>
      </c>
    </row>
    <row r="8035" spans="2:9" ht="15" customHeight="1" x14ac:dyDescent="0.25">
      <c r="B8035" s="55" t="s">
        <v>280</v>
      </c>
      <c r="C8035" s="46">
        <v>3023</v>
      </c>
      <c r="D8035" s="69" t="s">
        <v>29417</v>
      </c>
      <c r="E8035" s="51"/>
      <c r="F8035" s="114" t="str">
        <f>IF(INDEX(I.Facility.P2aIDNumber,3023)="","",INDEX(I.Facility.P2aIDNumber,3023))</f>
        <v/>
      </c>
      <c r="G8035" s="51"/>
      <c r="H8035" s="46" t="str">
        <f>IF(AND(I.Developer.P2a=TRUE,I.Facility.P2aFacilityCount&gt;=3023,F8035=""),"Incomplete","Complete")</f>
        <v>Complete</v>
      </c>
      <c r="I8035" s="48" t="s">
        <v>12400</v>
      </c>
    </row>
    <row r="8036" spans="2:9" ht="15" customHeight="1" x14ac:dyDescent="0.25">
      <c r="B8036" s="55" t="s">
        <v>280</v>
      </c>
      <c r="C8036" s="46">
        <v>3024</v>
      </c>
      <c r="D8036" s="69" t="s">
        <v>29417</v>
      </c>
      <c r="E8036" s="51"/>
      <c r="F8036" s="114" t="str">
        <f>IF(INDEX(I.Facility.P2aIDNumber,3024)="","",INDEX(I.Facility.P2aIDNumber,3024))</f>
        <v/>
      </c>
      <c r="G8036" s="51"/>
      <c r="H8036" s="46" t="str">
        <f>IF(AND(I.Developer.P2a=TRUE,I.Facility.P2aFacilityCount&gt;=3024,F8036=""),"Incomplete","Complete")</f>
        <v>Complete</v>
      </c>
      <c r="I8036" s="48" t="s">
        <v>12401</v>
      </c>
    </row>
    <row r="8037" spans="2:9" ht="15" customHeight="1" x14ac:dyDescent="0.25">
      <c r="B8037" s="55" t="s">
        <v>280</v>
      </c>
      <c r="C8037" s="46">
        <v>3025</v>
      </c>
      <c r="D8037" s="69" t="s">
        <v>29417</v>
      </c>
      <c r="E8037" s="51"/>
      <c r="F8037" s="114" t="str">
        <f>IF(INDEX(I.Facility.P2aIDNumber,3025)="","",INDEX(I.Facility.P2aIDNumber,3025))</f>
        <v/>
      </c>
      <c r="G8037" s="51"/>
      <c r="H8037" s="46" t="str">
        <f>IF(AND(I.Developer.P2a=TRUE,I.Facility.P2aFacilityCount&gt;=3025,F8037=""),"Incomplete","Complete")</f>
        <v>Complete</v>
      </c>
      <c r="I8037" s="48" t="s">
        <v>12402</v>
      </c>
    </row>
    <row r="8038" spans="2:9" ht="15" customHeight="1" x14ac:dyDescent="0.25">
      <c r="B8038" s="55" t="s">
        <v>280</v>
      </c>
      <c r="C8038" s="46">
        <v>3026</v>
      </c>
      <c r="D8038" s="69" t="s">
        <v>29417</v>
      </c>
      <c r="E8038" s="51"/>
      <c r="F8038" s="114" t="str">
        <f>IF(INDEX(I.Facility.P2aIDNumber,3026)="","",INDEX(I.Facility.P2aIDNumber,3026))</f>
        <v/>
      </c>
      <c r="G8038" s="51"/>
      <c r="H8038" s="46" t="str">
        <f>IF(AND(I.Developer.P2a=TRUE,I.Facility.P2aFacilityCount&gt;=3026,F8038=""),"Incomplete","Complete")</f>
        <v>Complete</v>
      </c>
      <c r="I8038" s="48" t="s">
        <v>12403</v>
      </c>
    </row>
    <row r="8039" spans="2:9" ht="15" customHeight="1" x14ac:dyDescent="0.25">
      <c r="B8039" s="55" t="s">
        <v>280</v>
      </c>
      <c r="C8039" s="46">
        <v>3027</v>
      </c>
      <c r="D8039" s="69" t="s">
        <v>29417</v>
      </c>
      <c r="E8039" s="51"/>
      <c r="F8039" s="114" t="str">
        <f>IF(INDEX(I.Facility.P2aIDNumber,3027)="","",INDEX(I.Facility.P2aIDNumber,3027))</f>
        <v/>
      </c>
      <c r="G8039" s="51"/>
      <c r="H8039" s="46" t="str">
        <f>IF(AND(I.Developer.P2a=TRUE,I.Facility.P2aFacilityCount&gt;=3027,F8039=""),"Incomplete","Complete")</f>
        <v>Complete</v>
      </c>
      <c r="I8039" s="48" t="s">
        <v>12404</v>
      </c>
    </row>
    <row r="8040" spans="2:9" ht="15" customHeight="1" x14ac:dyDescent="0.25">
      <c r="B8040" s="55" t="s">
        <v>280</v>
      </c>
      <c r="C8040" s="46">
        <v>3028</v>
      </c>
      <c r="D8040" s="69" t="s">
        <v>29417</v>
      </c>
      <c r="E8040" s="51"/>
      <c r="F8040" s="114" t="str">
        <f>IF(INDEX(I.Facility.P2aIDNumber,3028)="","",INDEX(I.Facility.P2aIDNumber,3028))</f>
        <v/>
      </c>
      <c r="G8040" s="51"/>
      <c r="H8040" s="46" t="str">
        <f>IF(AND(I.Developer.P2a=TRUE,I.Facility.P2aFacilityCount&gt;=3028,F8040=""),"Incomplete","Complete")</f>
        <v>Complete</v>
      </c>
      <c r="I8040" s="48" t="s">
        <v>12405</v>
      </c>
    </row>
    <row r="8041" spans="2:9" ht="15" customHeight="1" x14ac:dyDescent="0.25">
      <c r="B8041" s="55" t="s">
        <v>280</v>
      </c>
      <c r="C8041" s="46">
        <v>3029</v>
      </c>
      <c r="D8041" s="69" t="s">
        <v>29417</v>
      </c>
      <c r="E8041" s="51"/>
      <c r="F8041" s="114" t="str">
        <f>IF(INDEX(I.Facility.P2aIDNumber,3029)="","",INDEX(I.Facility.P2aIDNumber,3029))</f>
        <v/>
      </c>
      <c r="G8041" s="51"/>
      <c r="H8041" s="46" t="str">
        <f>IF(AND(I.Developer.P2a=TRUE,I.Facility.P2aFacilityCount&gt;=3029,F8041=""),"Incomplete","Complete")</f>
        <v>Complete</v>
      </c>
      <c r="I8041" s="48" t="s">
        <v>12406</v>
      </c>
    </row>
    <row r="8042" spans="2:9" ht="15" customHeight="1" x14ac:dyDescent="0.25">
      <c r="B8042" s="55" t="s">
        <v>280</v>
      </c>
      <c r="C8042" s="46">
        <v>3030</v>
      </c>
      <c r="D8042" s="69" t="s">
        <v>29417</v>
      </c>
      <c r="E8042" s="51"/>
      <c r="F8042" s="114" t="str">
        <f>IF(INDEX(I.Facility.P2aIDNumber,3030)="","",INDEX(I.Facility.P2aIDNumber,3030))</f>
        <v/>
      </c>
      <c r="G8042" s="51"/>
      <c r="H8042" s="46" t="str">
        <f>IF(AND(I.Developer.P2a=TRUE,I.Facility.P2aFacilityCount&gt;=3030,F8042=""),"Incomplete","Complete")</f>
        <v>Complete</v>
      </c>
      <c r="I8042" s="48" t="s">
        <v>12407</v>
      </c>
    </row>
    <row r="8043" spans="2:9" ht="15" customHeight="1" x14ac:dyDescent="0.25">
      <c r="B8043" s="55" t="s">
        <v>280</v>
      </c>
      <c r="C8043" s="46">
        <v>3031</v>
      </c>
      <c r="D8043" s="69" t="s">
        <v>29417</v>
      </c>
      <c r="E8043" s="51"/>
      <c r="F8043" s="114" t="str">
        <f>IF(INDEX(I.Facility.P2aIDNumber,3031)="","",INDEX(I.Facility.P2aIDNumber,3031))</f>
        <v/>
      </c>
      <c r="G8043" s="51"/>
      <c r="H8043" s="46" t="str">
        <f>IF(AND(I.Developer.P2a=TRUE,I.Facility.P2aFacilityCount&gt;=3031,F8043=""),"Incomplete","Complete")</f>
        <v>Complete</v>
      </c>
      <c r="I8043" s="48" t="s">
        <v>12408</v>
      </c>
    </row>
    <row r="8044" spans="2:9" ht="15" customHeight="1" x14ac:dyDescent="0.25">
      <c r="B8044" s="55" t="s">
        <v>280</v>
      </c>
      <c r="C8044" s="46">
        <v>3032</v>
      </c>
      <c r="D8044" s="69" t="s">
        <v>29417</v>
      </c>
      <c r="E8044" s="51"/>
      <c r="F8044" s="114" t="str">
        <f>IF(INDEX(I.Facility.P2aIDNumber,3032)="","",INDEX(I.Facility.P2aIDNumber,3032))</f>
        <v/>
      </c>
      <c r="G8044" s="51"/>
      <c r="H8044" s="46" t="str">
        <f>IF(AND(I.Developer.P2a=TRUE,I.Facility.P2aFacilityCount&gt;=3032,F8044=""),"Incomplete","Complete")</f>
        <v>Complete</v>
      </c>
      <c r="I8044" s="48" t="s">
        <v>12409</v>
      </c>
    </row>
    <row r="8045" spans="2:9" ht="15" customHeight="1" x14ac:dyDescent="0.25">
      <c r="B8045" s="55" t="s">
        <v>280</v>
      </c>
      <c r="C8045" s="46">
        <v>3033</v>
      </c>
      <c r="D8045" s="69" t="s">
        <v>29417</v>
      </c>
      <c r="E8045" s="51"/>
      <c r="F8045" s="114" t="str">
        <f>IF(INDEX(I.Facility.P2aIDNumber,3033)="","",INDEX(I.Facility.P2aIDNumber,3033))</f>
        <v/>
      </c>
      <c r="G8045" s="51"/>
      <c r="H8045" s="46" t="str">
        <f>IF(AND(I.Developer.P2a=TRUE,I.Facility.P2aFacilityCount&gt;=3033,F8045=""),"Incomplete","Complete")</f>
        <v>Complete</v>
      </c>
      <c r="I8045" s="48" t="s">
        <v>12410</v>
      </c>
    </row>
    <row r="8046" spans="2:9" ht="15" customHeight="1" x14ac:dyDescent="0.25">
      <c r="B8046" s="55" t="s">
        <v>280</v>
      </c>
      <c r="C8046" s="46">
        <v>3034</v>
      </c>
      <c r="D8046" s="69" t="s">
        <v>29417</v>
      </c>
      <c r="E8046" s="51"/>
      <c r="F8046" s="114" t="str">
        <f>IF(INDEX(I.Facility.P2aIDNumber,3034)="","",INDEX(I.Facility.P2aIDNumber,3034))</f>
        <v/>
      </c>
      <c r="G8046" s="51"/>
      <c r="H8046" s="46" t="str">
        <f>IF(AND(I.Developer.P2a=TRUE,I.Facility.P2aFacilityCount&gt;=3034,F8046=""),"Incomplete","Complete")</f>
        <v>Complete</v>
      </c>
      <c r="I8046" s="48" t="s">
        <v>12411</v>
      </c>
    </row>
    <row r="8047" spans="2:9" ht="15" customHeight="1" x14ac:dyDescent="0.25">
      <c r="B8047" s="55" t="s">
        <v>280</v>
      </c>
      <c r="C8047" s="46">
        <v>3035</v>
      </c>
      <c r="D8047" s="69" t="s">
        <v>29417</v>
      </c>
      <c r="E8047" s="51"/>
      <c r="F8047" s="114" t="str">
        <f>IF(INDEX(I.Facility.P2aIDNumber,3035)="","",INDEX(I.Facility.P2aIDNumber,3035))</f>
        <v/>
      </c>
      <c r="G8047" s="51"/>
      <c r="H8047" s="46" t="str">
        <f>IF(AND(I.Developer.P2a=TRUE,I.Facility.P2aFacilityCount&gt;=3035,F8047=""),"Incomplete","Complete")</f>
        <v>Complete</v>
      </c>
      <c r="I8047" s="48" t="s">
        <v>12412</v>
      </c>
    </row>
    <row r="8048" spans="2:9" ht="15" customHeight="1" x14ac:dyDescent="0.25">
      <c r="B8048" s="55" t="s">
        <v>280</v>
      </c>
      <c r="C8048" s="46">
        <v>3036</v>
      </c>
      <c r="D8048" s="69" t="s">
        <v>29417</v>
      </c>
      <c r="E8048" s="51"/>
      <c r="F8048" s="114" t="str">
        <f>IF(INDEX(I.Facility.P2aIDNumber,3036)="","",INDEX(I.Facility.P2aIDNumber,3036))</f>
        <v/>
      </c>
      <c r="G8048" s="51"/>
      <c r="H8048" s="46" t="str">
        <f>IF(AND(I.Developer.P2a=TRUE,I.Facility.P2aFacilityCount&gt;=3036,F8048=""),"Incomplete","Complete")</f>
        <v>Complete</v>
      </c>
      <c r="I8048" s="48" t="s">
        <v>12413</v>
      </c>
    </row>
    <row r="8049" spans="2:9" ht="15" customHeight="1" x14ac:dyDescent="0.25">
      <c r="B8049" s="55" t="s">
        <v>280</v>
      </c>
      <c r="C8049" s="46">
        <v>3037</v>
      </c>
      <c r="D8049" s="69" t="s">
        <v>29417</v>
      </c>
      <c r="E8049" s="51"/>
      <c r="F8049" s="114" t="str">
        <f>IF(INDEX(I.Facility.P2aIDNumber,3037)="","",INDEX(I.Facility.P2aIDNumber,3037))</f>
        <v/>
      </c>
      <c r="G8049" s="51"/>
      <c r="H8049" s="46" t="str">
        <f>IF(AND(I.Developer.P2a=TRUE,I.Facility.P2aFacilityCount&gt;=3037,F8049=""),"Incomplete","Complete")</f>
        <v>Complete</v>
      </c>
      <c r="I8049" s="48" t="s">
        <v>12414</v>
      </c>
    </row>
    <row r="8050" spans="2:9" ht="15" customHeight="1" x14ac:dyDescent="0.25">
      <c r="B8050" s="55" t="s">
        <v>280</v>
      </c>
      <c r="C8050" s="46">
        <v>3038</v>
      </c>
      <c r="D8050" s="69" t="s">
        <v>29417</v>
      </c>
      <c r="E8050" s="51"/>
      <c r="F8050" s="114" t="str">
        <f>IF(INDEX(I.Facility.P2aIDNumber,3038)="","",INDEX(I.Facility.P2aIDNumber,3038))</f>
        <v/>
      </c>
      <c r="G8050" s="51"/>
      <c r="H8050" s="46" t="str">
        <f>IF(AND(I.Developer.P2a=TRUE,I.Facility.P2aFacilityCount&gt;=3038,F8050=""),"Incomplete","Complete")</f>
        <v>Complete</v>
      </c>
      <c r="I8050" s="48" t="s">
        <v>12415</v>
      </c>
    </row>
    <row r="8051" spans="2:9" ht="15" customHeight="1" x14ac:dyDescent="0.25">
      <c r="B8051" s="55" t="s">
        <v>280</v>
      </c>
      <c r="C8051" s="46">
        <v>3039</v>
      </c>
      <c r="D8051" s="69" t="s">
        <v>29417</v>
      </c>
      <c r="E8051" s="51"/>
      <c r="F8051" s="114" t="str">
        <f>IF(INDEX(I.Facility.P2aIDNumber,3039)="","",INDEX(I.Facility.P2aIDNumber,3039))</f>
        <v/>
      </c>
      <c r="G8051" s="51"/>
      <c r="H8051" s="46" t="str">
        <f>IF(AND(I.Developer.P2a=TRUE,I.Facility.P2aFacilityCount&gt;=3039,F8051=""),"Incomplete","Complete")</f>
        <v>Complete</v>
      </c>
      <c r="I8051" s="48" t="s">
        <v>12416</v>
      </c>
    </row>
    <row r="8052" spans="2:9" ht="15" customHeight="1" x14ac:dyDescent="0.25">
      <c r="B8052" s="55" t="s">
        <v>280</v>
      </c>
      <c r="C8052" s="46">
        <v>3040</v>
      </c>
      <c r="D8052" s="69" t="s">
        <v>29417</v>
      </c>
      <c r="E8052" s="51"/>
      <c r="F8052" s="114" t="str">
        <f>IF(INDEX(I.Facility.P2aIDNumber,3040)="","",INDEX(I.Facility.P2aIDNumber,3040))</f>
        <v/>
      </c>
      <c r="G8052" s="51"/>
      <c r="H8052" s="46" t="str">
        <f>IF(AND(I.Developer.P2a=TRUE,I.Facility.P2aFacilityCount&gt;=3040,F8052=""),"Incomplete","Complete")</f>
        <v>Complete</v>
      </c>
      <c r="I8052" s="48" t="s">
        <v>12417</v>
      </c>
    </row>
    <row r="8053" spans="2:9" ht="15" customHeight="1" x14ac:dyDescent="0.25">
      <c r="B8053" s="55" t="s">
        <v>280</v>
      </c>
      <c r="C8053" s="46">
        <v>3041</v>
      </c>
      <c r="D8053" s="69" t="s">
        <v>29417</v>
      </c>
      <c r="E8053" s="51"/>
      <c r="F8053" s="114" t="str">
        <f>IF(INDEX(I.Facility.P2aIDNumber,3041)="","",INDEX(I.Facility.P2aIDNumber,3041))</f>
        <v/>
      </c>
      <c r="G8053" s="51"/>
      <c r="H8053" s="46" t="str">
        <f>IF(AND(I.Developer.P2a=TRUE,I.Facility.P2aFacilityCount&gt;=3041,F8053=""),"Incomplete","Complete")</f>
        <v>Complete</v>
      </c>
      <c r="I8053" s="48" t="s">
        <v>12418</v>
      </c>
    </row>
    <row r="8054" spans="2:9" ht="15" customHeight="1" x14ac:dyDescent="0.25">
      <c r="B8054" s="55" t="s">
        <v>280</v>
      </c>
      <c r="C8054" s="46">
        <v>3042</v>
      </c>
      <c r="D8054" s="69" t="s">
        <v>29417</v>
      </c>
      <c r="E8054" s="51"/>
      <c r="F8054" s="114" t="str">
        <f>IF(INDEX(I.Facility.P2aIDNumber,3042)="","",INDEX(I.Facility.P2aIDNumber,3042))</f>
        <v/>
      </c>
      <c r="G8054" s="51"/>
      <c r="H8054" s="46" t="str">
        <f>IF(AND(I.Developer.P2a=TRUE,I.Facility.P2aFacilityCount&gt;=3042,F8054=""),"Incomplete","Complete")</f>
        <v>Complete</v>
      </c>
      <c r="I8054" s="48" t="s">
        <v>12419</v>
      </c>
    </row>
    <row r="8055" spans="2:9" ht="15" customHeight="1" x14ac:dyDescent="0.25">
      <c r="B8055" s="55" t="s">
        <v>280</v>
      </c>
      <c r="C8055" s="46">
        <v>3043</v>
      </c>
      <c r="D8055" s="69" t="s">
        <v>29417</v>
      </c>
      <c r="E8055" s="51"/>
      <c r="F8055" s="114" t="str">
        <f>IF(INDEX(I.Facility.P2aIDNumber,3043)="","",INDEX(I.Facility.P2aIDNumber,3043))</f>
        <v/>
      </c>
      <c r="G8055" s="51"/>
      <c r="H8055" s="46" t="str">
        <f>IF(AND(I.Developer.P2a=TRUE,I.Facility.P2aFacilityCount&gt;=3043,F8055=""),"Incomplete","Complete")</f>
        <v>Complete</v>
      </c>
      <c r="I8055" s="48" t="s">
        <v>12420</v>
      </c>
    </row>
    <row r="8056" spans="2:9" ht="15" customHeight="1" x14ac:dyDescent="0.25">
      <c r="B8056" s="55" t="s">
        <v>280</v>
      </c>
      <c r="C8056" s="46">
        <v>3044</v>
      </c>
      <c r="D8056" s="69" t="s">
        <v>29417</v>
      </c>
      <c r="E8056" s="51"/>
      <c r="F8056" s="114" t="str">
        <f>IF(INDEX(I.Facility.P2aIDNumber,3044)="","",INDEX(I.Facility.P2aIDNumber,3044))</f>
        <v/>
      </c>
      <c r="G8056" s="51"/>
      <c r="H8056" s="46" t="str">
        <f>IF(AND(I.Developer.P2a=TRUE,I.Facility.P2aFacilityCount&gt;=3044,F8056=""),"Incomplete","Complete")</f>
        <v>Complete</v>
      </c>
      <c r="I8056" s="48" t="s">
        <v>12421</v>
      </c>
    </row>
    <row r="8057" spans="2:9" ht="15" customHeight="1" x14ac:dyDescent="0.25">
      <c r="B8057" s="55" t="s">
        <v>280</v>
      </c>
      <c r="C8057" s="46">
        <v>3045</v>
      </c>
      <c r="D8057" s="69" t="s">
        <v>29417</v>
      </c>
      <c r="E8057" s="51"/>
      <c r="F8057" s="114" t="str">
        <f>IF(INDEX(I.Facility.P2aIDNumber,3045)="","",INDEX(I.Facility.P2aIDNumber,3045))</f>
        <v/>
      </c>
      <c r="G8057" s="51"/>
      <c r="H8057" s="46" t="str">
        <f>IF(AND(I.Developer.P2a=TRUE,I.Facility.P2aFacilityCount&gt;=3045,F8057=""),"Incomplete","Complete")</f>
        <v>Complete</v>
      </c>
      <c r="I8057" s="48" t="s">
        <v>12422</v>
      </c>
    </row>
    <row r="8058" spans="2:9" ht="15" customHeight="1" x14ac:dyDescent="0.25">
      <c r="B8058" s="55" t="s">
        <v>280</v>
      </c>
      <c r="C8058" s="46">
        <v>3046</v>
      </c>
      <c r="D8058" s="69" t="s">
        <v>29417</v>
      </c>
      <c r="E8058" s="51"/>
      <c r="F8058" s="114" t="str">
        <f>IF(INDEX(I.Facility.P2aIDNumber,3046)="","",INDEX(I.Facility.P2aIDNumber,3046))</f>
        <v/>
      </c>
      <c r="G8058" s="51"/>
      <c r="H8058" s="46" t="str">
        <f>IF(AND(I.Developer.P2a=TRUE,I.Facility.P2aFacilityCount&gt;=3046,F8058=""),"Incomplete","Complete")</f>
        <v>Complete</v>
      </c>
      <c r="I8058" s="48" t="s">
        <v>12423</v>
      </c>
    </row>
    <row r="8059" spans="2:9" ht="15" customHeight="1" x14ac:dyDescent="0.25">
      <c r="B8059" s="55" t="s">
        <v>280</v>
      </c>
      <c r="C8059" s="46">
        <v>3047</v>
      </c>
      <c r="D8059" s="69" t="s">
        <v>29417</v>
      </c>
      <c r="E8059" s="51"/>
      <c r="F8059" s="114" t="str">
        <f>IF(INDEX(I.Facility.P2aIDNumber,3047)="","",INDEX(I.Facility.P2aIDNumber,3047))</f>
        <v/>
      </c>
      <c r="G8059" s="51"/>
      <c r="H8059" s="46" t="str">
        <f>IF(AND(I.Developer.P2a=TRUE,I.Facility.P2aFacilityCount&gt;=3047,F8059=""),"Incomplete","Complete")</f>
        <v>Complete</v>
      </c>
      <c r="I8059" s="48" t="s">
        <v>12424</v>
      </c>
    </row>
    <row r="8060" spans="2:9" ht="15" customHeight="1" x14ac:dyDescent="0.25">
      <c r="B8060" s="55" t="s">
        <v>280</v>
      </c>
      <c r="C8060" s="46">
        <v>3048</v>
      </c>
      <c r="D8060" s="69" t="s">
        <v>29417</v>
      </c>
      <c r="E8060" s="51"/>
      <c r="F8060" s="114" t="str">
        <f>IF(INDEX(I.Facility.P2aIDNumber,3048)="","",INDEX(I.Facility.P2aIDNumber,3048))</f>
        <v/>
      </c>
      <c r="G8060" s="51"/>
      <c r="H8060" s="46" t="str">
        <f>IF(AND(I.Developer.P2a=TRUE,I.Facility.P2aFacilityCount&gt;=3048,F8060=""),"Incomplete","Complete")</f>
        <v>Complete</v>
      </c>
      <c r="I8060" s="48" t="s">
        <v>12425</v>
      </c>
    </row>
    <row r="8061" spans="2:9" ht="15" customHeight="1" x14ac:dyDescent="0.25">
      <c r="B8061" s="55" t="s">
        <v>280</v>
      </c>
      <c r="C8061" s="46">
        <v>3049</v>
      </c>
      <c r="D8061" s="69" t="s">
        <v>29417</v>
      </c>
      <c r="E8061" s="51"/>
      <c r="F8061" s="114" t="str">
        <f>IF(INDEX(I.Facility.P2aIDNumber,3049)="","",INDEX(I.Facility.P2aIDNumber,3049))</f>
        <v/>
      </c>
      <c r="G8061" s="51"/>
      <c r="H8061" s="46" t="str">
        <f>IF(AND(I.Developer.P2a=TRUE,I.Facility.P2aFacilityCount&gt;=3049,F8061=""),"Incomplete","Complete")</f>
        <v>Complete</v>
      </c>
      <c r="I8061" s="48" t="s">
        <v>12426</v>
      </c>
    </row>
    <row r="8062" spans="2:9" ht="15" customHeight="1" x14ac:dyDescent="0.25">
      <c r="B8062" s="55" t="s">
        <v>280</v>
      </c>
      <c r="C8062" s="46">
        <v>3050</v>
      </c>
      <c r="D8062" s="69" t="s">
        <v>29417</v>
      </c>
      <c r="E8062" s="51"/>
      <c r="F8062" s="114" t="str">
        <f>IF(INDEX(I.Facility.P2aIDNumber,3050)="","",INDEX(I.Facility.P2aIDNumber,3050))</f>
        <v/>
      </c>
      <c r="G8062" s="51"/>
      <c r="H8062" s="46" t="str">
        <f>IF(AND(I.Developer.P2a=TRUE,I.Facility.P2aFacilityCount&gt;=3050,F8062=""),"Incomplete","Complete")</f>
        <v>Complete</v>
      </c>
      <c r="I8062" s="48" t="s">
        <v>12427</v>
      </c>
    </row>
    <row r="8063" spans="2:9" ht="15" customHeight="1" x14ac:dyDescent="0.25">
      <c r="B8063" s="55" t="s">
        <v>280</v>
      </c>
      <c r="C8063" s="46">
        <v>3051</v>
      </c>
      <c r="D8063" s="69" t="s">
        <v>29417</v>
      </c>
      <c r="E8063" s="51"/>
      <c r="F8063" s="114" t="str">
        <f>IF(INDEX(I.Facility.P2aIDNumber,3051)="","",INDEX(I.Facility.P2aIDNumber,3051))</f>
        <v/>
      </c>
      <c r="G8063" s="51"/>
      <c r="H8063" s="46" t="str">
        <f>IF(AND(I.Developer.P2a=TRUE,I.Facility.P2aFacilityCount&gt;=3051,F8063=""),"Incomplete","Complete")</f>
        <v>Complete</v>
      </c>
      <c r="I8063" s="48" t="s">
        <v>12428</v>
      </c>
    </row>
    <row r="8064" spans="2:9" ht="15" customHeight="1" x14ac:dyDescent="0.25">
      <c r="B8064" s="55" t="s">
        <v>280</v>
      </c>
      <c r="C8064" s="46">
        <v>3052</v>
      </c>
      <c r="D8064" s="69" t="s">
        <v>29417</v>
      </c>
      <c r="E8064" s="51"/>
      <c r="F8064" s="114" t="str">
        <f>IF(INDEX(I.Facility.P2aIDNumber,3052)="","",INDEX(I.Facility.P2aIDNumber,3052))</f>
        <v/>
      </c>
      <c r="G8064" s="51"/>
      <c r="H8064" s="46" t="str">
        <f>IF(AND(I.Developer.P2a=TRUE,I.Facility.P2aFacilityCount&gt;=3052,F8064=""),"Incomplete","Complete")</f>
        <v>Complete</v>
      </c>
      <c r="I8064" s="48" t="s">
        <v>12429</v>
      </c>
    </row>
    <row r="8065" spans="2:9" ht="15" customHeight="1" x14ac:dyDescent="0.25">
      <c r="B8065" s="55" t="s">
        <v>280</v>
      </c>
      <c r="C8065" s="46">
        <v>3053</v>
      </c>
      <c r="D8065" s="69" t="s">
        <v>29417</v>
      </c>
      <c r="E8065" s="51"/>
      <c r="F8065" s="114" t="str">
        <f>IF(INDEX(I.Facility.P2aIDNumber,3053)="","",INDEX(I.Facility.P2aIDNumber,3053))</f>
        <v/>
      </c>
      <c r="G8065" s="51"/>
      <c r="H8065" s="46" t="str">
        <f>IF(AND(I.Developer.P2a=TRUE,I.Facility.P2aFacilityCount&gt;=3053,F8065=""),"Incomplete","Complete")</f>
        <v>Complete</v>
      </c>
      <c r="I8065" s="48" t="s">
        <v>12430</v>
      </c>
    </row>
    <row r="8066" spans="2:9" ht="15" customHeight="1" x14ac:dyDescent="0.25">
      <c r="B8066" s="55" t="s">
        <v>280</v>
      </c>
      <c r="C8066" s="46">
        <v>3054</v>
      </c>
      <c r="D8066" s="69" t="s">
        <v>29417</v>
      </c>
      <c r="E8066" s="51"/>
      <c r="F8066" s="114" t="str">
        <f>IF(INDEX(I.Facility.P2aIDNumber,3054)="","",INDEX(I.Facility.P2aIDNumber,3054))</f>
        <v/>
      </c>
      <c r="G8066" s="51"/>
      <c r="H8066" s="46" t="str">
        <f>IF(AND(I.Developer.P2a=TRUE,I.Facility.P2aFacilityCount&gt;=3054,F8066=""),"Incomplete","Complete")</f>
        <v>Complete</v>
      </c>
      <c r="I8066" s="48" t="s">
        <v>12431</v>
      </c>
    </row>
    <row r="8067" spans="2:9" ht="15" customHeight="1" x14ac:dyDescent="0.25">
      <c r="B8067" s="55" t="s">
        <v>280</v>
      </c>
      <c r="C8067" s="46">
        <v>3055</v>
      </c>
      <c r="D8067" s="69" t="s">
        <v>29417</v>
      </c>
      <c r="E8067" s="51"/>
      <c r="F8067" s="114" t="str">
        <f>IF(INDEX(I.Facility.P2aIDNumber,3055)="","",INDEX(I.Facility.P2aIDNumber,3055))</f>
        <v/>
      </c>
      <c r="G8067" s="51"/>
      <c r="H8067" s="46" t="str">
        <f>IF(AND(I.Developer.P2a=TRUE,I.Facility.P2aFacilityCount&gt;=3055,F8067=""),"Incomplete","Complete")</f>
        <v>Complete</v>
      </c>
      <c r="I8067" s="48" t="s">
        <v>12432</v>
      </c>
    </row>
    <row r="8068" spans="2:9" ht="15" customHeight="1" x14ac:dyDescent="0.25">
      <c r="B8068" s="55" t="s">
        <v>280</v>
      </c>
      <c r="C8068" s="46">
        <v>3056</v>
      </c>
      <c r="D8068" s="69" t="s">
        <v>29417</v>
      </c>
      <c r="E8068" s="51"/>
      <c r="F8068" s="114" t="str">
        <f>IF(INDEX(I.Facility.P2aIDNumber,3056)="","",INDEX(I.Facility.P2aIDNumber,3056))</f>
        <v/>
      </c>
      <c r="G8068" s="51"/>
      <c r="H8068" s="46" t="str">
        <f>IF(AND(I.Developer.P2a=TRUE,I.Facility.P2aFacilityCount&gt;=3056,F8068=""),"Incomplete","Complete")</f>
        <v>Complete</v>
      </c>
      <c r="I8068" s="48" t="s">
        <v>12433</v>
      </c>
    </row>
    <row r="8069" spans="2:9" ht="15" customHeight="1" x14ac:dyDescent="0.25">
      <c r="B8069" s="55" t="s">
        <v>280</v>
      </c>
      <c r="C8069" s="46">
        <v>3057</v>
      </c>
      <c r="D8069" s="69" t="s">
        <v>29417</v>
      </c>
      <c r="E8069" s="51"/>
      <c r="F8069" s="114" t="str">
        <f>IF(INDEX(I.Facility.P2aIDNumber,3057)="","",INDEX(I.Facility.P2aIDNumber,3057))</f>
        <v/>
      </c>
      <c r="G8069" s="51"/>
      <c r="H8069" s="46" t="str">
        <f>IF(AND(I.Developer.P2a=TRUE,I.Facility.P2aFacilityCount&gt;=3057,F8069=""),"Incomplete","Complete")</f>
        <v>Complete</v>
      </c>
      <c r="I8069" s="48" t="s">
        <v>12434</v>
      </c>
    </row>
    <row r="8070" spans="2:9" ht="15" customHeight="1" x14ac:dyDescent="0.25">
      <c r="B8070" s="55" t="s">
        <v>280</v>
      </c>
      <c r="C8070" s="46">
        <v>3058</v>
      </c>
      <c r="D8070" s="69" t="s">
        <v>29417</v>
      </c>
      <c r="E8070" s="51"/>
      <c r="F8070" s="114" t="str">
        <f>IF(INDEX(I.Facility.P2aIDNumber,3058)="","",INDEX(I.Facility.P2aIDNumber,3058))</f>
        <v/>
      </c>
      <c r="G8070" s="51"/>
      <c r="H8070" s="46" t="str">
        <f>IF(AND(I.Developer.P2a=TRUE,I.Facility.P2aFacilityCount&gt;=3058,F8070=""),"Incomplete","Complete")</f>
        <v>Complete</v>
      </c>
      <c r="I8070" s="48" t="s">
        <v>12435</v>
      </c>
    </row>
    <row r="8071" spans="2:9" ht="15" customHeight="1" x14ac:dyDescent="0.25">
      <c r="B8071" s="55" t="s">
        <v>280</v>
      </c>
      <c r="C8071" s="46">
        <v>3059</v>
      </c>
      <c r="D8071" s="69" t="s">
        <v>29417</v>
      </c>
      <c r="E8071" s="51"/>
      <c r="F8071" s="114" t="str">
        <f>IF(INDEX(I.Facility.P2aIDNumber,3059)="","",INDEX(I.Facility.P2aIDNumber,3059))</f>
        <v/>
      </c>
      <c r="G8071" s="51"/>
      <c r="H8071" s="46" t="str">
        <f>IF(AND(I.Developer.P2a=TRUE,I.Facility.P2aFacilityCount&gt;=3059,F8071=""),"Incomplete","Complete")</f>
        <v>Complete</v>
      </c>
      <c r="I8071" s="48" t="s">
        <v>12436</v>
      </c>
    </row>
    <row r="8072" spans="2:9" ht="15" customHeight="1" x14ac:dyDescent="0.25">
      <c r="B8072" s="55" t="s">
        <v>280</v>
      </c>
      <c r="C8072" s="46">
        <v>3060</v>
      </c>
      <c r="D8072" s="69" t="s">
        <v>29417</v>
      </c>
      <c r="E8072" s="51"/>
      <c r="F8072" s="114" t="str">
        <f>IF(INDEX(I.Facility.P2aIDNumber,3060)="","",INDEX(I.Facility.P2aIDNumber,3060))</f>
        <v/>
      </c>
      <c r="G8072" s="51"/>
      <c r="H8072" s="46" t="str">
        <f>IF(AND(I.Developer.P2a=TRUE,I.Facility.P2aFacilityCount&gt;=3060,F8072=""),"Incomplete","Complete")</f>
        <v>Complete</v>
      </c>
      <c r="I8072" s="48" t="s">
        <v>12437</v>
      </c>
    </row>
    <row r="8073" spans="2:9" ht="15" customHeight="1" x14ac:dyDescent="0.25">
      <c r="B8073" s="55" t="s">
        <v>280</v>
      </c>
      <c r="C8073" s="46">
        <v>3061</v>
      </c>
      <c r="D8073" s="69" t="s">
        <v>29417</v>
      </c>
      <c r="E8073" s="51"/>
      <c r="F8073" s="114" t="str">
        <f>IF(INDEX(I.Facility.P2aIDNumber,3061)="","",INDEX(I.Facility.P2aIDNumber,3061))</f>
        <v/>
      </c>
      <c r="G8073" s="51"/>
      <c r="H8073" s="46" t="str">
        <f>IF(AND(I.Developer.P2a=TRUE,I.Facility.P2aFacilityCount&gt;=3061,F8073=""),"Incomplete","Complete")</f>
        <v>Complete</v>
      </c>
      <c r="I8073" s="48" t="s">
        <v>12438</v>
      </c>
    </row>
    <row r="8074" spans="2:9" ht="15" customHeight="1" x14ac:dyDescent="0.25">
      <c r="B8074" s="55" t="s">
        <v>280</v>
      </c>
      <c r="C8074" s="46">
        <v>3062</v>
      </c>
      <c r="D8074" s="69" t="s">
        <v>29417</v>
      </c>
      <c r="E8074" s="51"/>
      <c r="F8074" s="114" t="str">
        <f>IF(INDEX(I.Facility.P2aIDNumber,3062)="","",INDEX(I.Facility.P2aIDNumber,3062))</f>
        <v/>
      </c>
      <c r="G8074" s="51"/>
      <c r="H8074" s="46" t="str">
        <f>IF(AND(I.Developer.P2a=TRUE,I.Facility.P2aFacilityCount&gt;=3062,F8074=""),"Incomplete","Complete")</f>
        <v>Complete</v>
      </c>
      <c r="I8074" s="48" t="s">
        <v>12439</v>
      </c>
    </row>
    <row r="8075" spans="2:9" ht="15" customHeight="1" x14ac:dyDescent="0.25">
      <c r="B8075" s="55" t="s">
        <v>280</v>
      </c>
      <c r="C8075" s="46">
        <v>3063</v>
      </c>
      <c r="D8075" s="69" t="s">
        <v>29417</v>
      </c>
      <c r="E8075" s="51"/>
      <c r="F8075" s="114" t="str">
        <f>IF(INDEX(I.Facility.P2aIDNumber,3063)="","",INDEX(I.Facility.P2aIDNumber,3063))</f>
        <v/>
      </c>
      <c r="G8075" s="51"/>
      <c r="H8075" s="46" t="str">
        <f>IF(AND(I.Developer.P2a=TRUE,I.Facility.P2aFacilityCount&gt;=3063,F8075=""),"Incomplete","Complete")</f>
        <v>Complete</v>
      </c>
      <c r="I8075" s="48" t="s">
        <v>12440</v>
      </c>
    </row>
    <row r="8076" spans="2:9" ht="15" customHeight="1" x14ac:dyDescent="0.25">
      <c r="B8076" s="55" t="s">
        <v>280</v>
      </c>
      <c r="C8076" s="46">
        <v>3064</v>
      </c>
      <c r="D8076" s="69" t="s">
        <v>29417</v>
      </c>
      <c r="E8076" s="51"/>
      <c r="F8076" s="114" t="str">
        <f>IF(INDEX(I.Facility.P2aIDNumber,3064)="","",INDEX(I.Facility.P2aIDNumber,3064))</f>
        <v/>
      </c>
      <c r="G8076" s="51"/>
      <c r="H8076" s="46" t="str">
        <f>IF(AND(I.Developer.P2a=TRUE,I.Facility.P2aFacilityCount&gt;=3064,F8076=""),"Incomplete","Complete")</f>
        <v>Complete</v>
      </c>
      <c r="I8076" s="48" t="s">
        <v>12441</v>
      </c>
    </row>
    <row r="8077" spans="2:9" ht="15" customHeight="1" x14ac:dyDescent="0.25">
      <c r="B8077" s="55" t="s">
        <v>280</v>
      </c>
      <c r="C8077" s="46">
        <v>3065</v>
      </c>
      <c r="D8077" s="69" t="s">
        <v>29417</v>
      </c>
      <c r="E8077" s="51"/>
      <c r="F8077" s="114" t="str">
        <f>IF(INDEX(I.Facility.P2aIDNumber,3065)="","",INDEX(I.Facility.P2aIDNumber,3065))</f>
        <v/>
      </c>
      <c r="G8077" s="51"/>
      <c r="H8077" s="46" t="str">
        <f>IF(AND(I.Developer.P2a=TRUE,I.Facility.P2aFacilityCount&gt;=3065,F8077=""),"Incomplete","Complete")</f>
        <v>Complete</v>
      </c>
      <c r="I8077" s="48" t="s">
        <v>12442</v>
      </c>
    </row>
    <row r="8078" spans="2:9" ht="15" customHeight="1" x14ac:dyDescent="0.25">
      <c r="B8078" s="55" t="s">
        <v>280</v>
      </c>
      <c r="C8078" s="46">
        <v>3066</v>
      </c>
      <c r="D8078" s="69" t="s">
        <v>29417</v>
      </c>
      <c r="E8078" s="51"/>
      <c r="F8078" s="114" t="str">
        <f>IF(INDEX(I.Facility.P2aIDNumber,3066)="","",INDEX(I.Facility.P2aIDNumber,3066))</f>
        <v/>
      </c>
      <c r="G8078" s="51"/>
      <c r="H8078" s="46" t="str">
        <f>IF(AND(I.Developer.P2a=TRUE,I.Facility.P2aFacilityCount&gt;=3066,F8078=""),"Incomplete","Complete")</f>
        <v>Complete</v>
      </c>
      <c r="I8078" s="48" t="s">
        <v>12443</v>
      </c>
    </row>
    <row r="8079" spans="2:9" ht="15" customHeight="1" x14ac:dyDescent="0.25">
      <c r="B8079" s="55" t="s">
        <v>280</v>
      </c>
      <c r="C8079" s="46">
        <v>3067</v>
      </c>
      <c r="D8079" s="69" t="s">
        <v>29417</v>
      </c>
      <c r="E8079" s="51"/>
      <c r="F8079" s="114" t="str">
        <f>IF(INDEX(I.Facility.P2aIDNumber,3067)="","",INDEX(I.Facility.P2aIDNumber,3067))</f>
        <v/>
      </c>
      <c r="G8079" s="51"/>
      <c r="H8079" s="46" t="str">
        <f>IF(AND(I.Developer.P2a=TRUE,I.Facility.P2aFacilityCount&gt;=3067,F8079=""),"Incomplete","Complete")</f>
        <v>Complete</v>
      </c>
      <c r="I8079" s="48" t="s">
        <v>12444</v>
      </c>
    </row>
    <row r="8080" spans="2:9" ht="15" customHeight="1" x14ac:dyDescent="0.25">
      <c r="B8080" s="55" t="s">
        <v>280</v>
      </c>
      <c r="C8080" s="46">
        <v>3068</v>
      </c>
      <c r="D8080" s="69" t="s">
        <v>29417</v>
      </c>
      <c r="E8080" s="51"/>
      <c r="F8080" s="114" t="str">
        <f>IF(INDEX(I.Facility.P2aIDNumber,3068)="","",INDEX(I.Facility.P2aIDNumber,3068))</f>
        <v/>
      </c>
      <c r="G8080" s="51"/>
      <c r="H8080" s="46" t="str">
        <f>IF(AND(I.Developer.P2a=TRUE,I.Facility.P2aFacilityCount&gt;=3068,F8080=""),"Incomplete","Complete")</f>
        <v>Complete</v>
      </c>
      <c r="I8080" s="48" t="s">
        <v>12445</v>
      </c>
    </row>
    <row r="8081" spans="2:9" ht="15" customHeight="1" x14ac:dyDescent="0.25">
      <c r="B8081" s="55" t="s">
        <v>280</v>
      </c>
      <c r="C8081" s="46">
        <v>3069</v>
      </c>
      <c r="D8081" s="69" t="s">
        <v>29417</v>
      </c>
      <c r="E8081" s="51"/>
      <c r="F8081" s="114" t="str">
        <f>IF(INDEX(I.Facility.P2aIDNumber,3069)="","",INDEX(I.Facility.P2aIDNumber,3069))</f>
        <v/>
      </c>
      <c r="G8081" s="51"/>
      <c r="H8081" s="46" t="str">
        <f>IF(AND(I.Developer.P2a=TRUE,I.Facility.P2aFacilityCount&gt;=3069,F8081=""),"Incomplete","Complete")</f>
        <v>Complete</v>
      </c>
      <c r="I8081" s="48" t="s">
        <v>12446</v>
      </c>
    </row>
    <row r="8082" spans="2:9" ht="15" customHeight="1" x14ac:dyDescent="0.25">
      <c r="B8082" s="55" t="s">
        <v>280</v>
      </c>
      <c r="C8082" s="46">
        <v>3070</v>
      </c>
      <c r="D8082" s="69" t="s">
        <v>29417</v>
      </c>
      <c r="E8082" s="51"/>
      <c r="F8082" s="114" t="str">
        <f>IF(INDEX(I.Facility.P2aIDNumber,3070)="","",INDEX(I.Facility.P2aIDNumber,3070))</f>
        <v/>
      </c>
      <c r="G8082" s="51"/>
      <c r="H8082" s="46" t="str">
        <f>IF(AND(I.Developer.P2a=TRUE,I.Facility.P2aFacilityCount&gt;=3070,F8082=""),"Incomplete","Complete")</f>
        <v>Complete</v>
      </c>
      <c r="I8082" s="48" t="s">
        <v>12447</v>
      </c>
    </row>
    <row r="8083" spans="2:9" ht="15" customHeight="1" x14ac:dyDescent="0.25">
      <c r="B8083" s="55" t="s">
        <v>280</v>
      </c>
      <c r="C8083" s="46">
        <v>3071</v>
      </c>
      <c r="D8083" s="69" t="s">
        <v>29417</v>
      </c>
      <c r="E8083" s="51"/>
      <c r="F8083" s="114" t="str">
        <f>IF(INDEX(I.Facility.P2aIDNumber,3071)="","",INDEX(I.Facility.P2aIDNumber,3071))</f>
        <v/>
      </c>
      <c r="G8083" s="51"/>
      <c r="H8083" s="46" t="str">
        <f>IF(AND(I.Developer.P2a=TRUE,I.Facility.P2aFacilityCount&gt;=3071,F8083=""),"Incomplete","Complete")</f>
        <v>Complete</v>
      </c>
      <c r="I8083" s="48" t="s">
        <v>12448</v>
      </c>
    </row>
    <row r="8084" spans="2:9" ht="15" customHeight="1" x14ac:dyDescent="0.25">
      <c r="B8084" s="55" t="s">
        <v>280</v>
      </c>
      <c r="C8084" s="46">
        <v>3072</v>
      </c>
      <c r="D8084" s="69" t="s">
        <v>29417</v>
      </c>
      <c r="E8084" s="51"/>
      <c r="F8084" s="114" t="str">
        <f>IF(INDEX(I.Facility.P2aIDNumber,3072)="","",INDEX(I.Facility.P2aIDNumber,3072))</f>
        <v/>
      </c>
      <c r="G8084" s="51"/>
      <c r="H8084" s="46" t="str">
        <f>IF(AND(I.Developer.P2a=TRUE,I.Facility.P2aFacilityCount&gt;=3072,F8084=""),"Incomplete","Complete")</f>
        <v>Complete</v>
      </c>
      <c r="I8084" s="48" t="s">
        <v>12449</v>
      </c>
    </row>
    <row r="8085" spans="2:9" ht="15" customHeight="1" x14ac:dyDescent="0.25">
      <c r="B8085" s="55" t="s">
        <v>280</v>
      </c>
      <c r="C8085" s="46">
        <v>3073</v>
      </c>
      <c r="D8085" s="69" t="s">
        <v>29417</v>
      </c>
      <c r="E8085" s="51"/>
      <c r="F8085" s="114" t="str">
        <f>IF(INDEX(I.Facility.P2aIDNumber,3073)="","",INDEX(I.Facility.P2aIDNumber,3073))</f>
        <v/>
      </c>
      <c r="G8085" s="51"/>
      <c r="H8085" s="46" t="str">
        <f>IF(AND(I.Developer.P2a=TRUE,I.Facility.P2aFacilityCount&gt;=3073,F8085=""),"Incomplete","Complete")</f>
        <v>Complete</v>
      </c>
      <c r="I8085" s="48" t="s">
        <v>12450</v>
      </c>
    </row>
    <row r="8086" spans="2:9" ht="15" customHeight="1" x14ac:dyDescent="0.25">
      <c r="B8086" s="55" t="s">
        <v>280</v>
      </c>
      <c r="C8086" s="46">
        <v>3074</v>
      </c>
      <c r="D8086" s="69" t="s">
        <v>29417</v>
      </c>
      <c r="E8086" s="51"/>
      <c r="F8086" s="114" t="str">
        <f>IF(INDEX(I.Facility.P2aIDNumber,3074)="","",INDEX(I.Facility.P2aIDNumber,3074))</f>
        <v/>
      </c>
      <c r="G8086" s="51"/>
      <c r="H8086" s="46" t="str">
        <f>IF(AND(I.Developer.P2a=TRUE,I.Facility.P2aFacilityCount&gt;=3074,F8086=""),"Incomplete","Complete")</f>
        <v>Complete</v>
      </c>
      <c r="I8086" s="48" t="s">
        <v>12451</v>
      </c>
    </row>
    <row r="8087" spans="2:9" ht="15" customHeight="1" x14ac:dyDescent="0.25">
      <c r="B8087" s="55" t="s">
        <v>280</v>
      </c>
      <c r="C8087" s="46">
        <v>3075</v>
      </c>
      <c r="D8087" s="69" t="s">
        <v>29417</v>
      </c>
      <c r="E8087" s="51"/>
      <c r="F8087" s="114" t="str">
        <f>IF(INDEX(I.Facility.P2aIDNumber,3075)="","",INDEX(I.Facility.P2aIDNumber,3075))</f>
        <v/>
      </c>
      <c r="G8087" s="51"/>
      <c r="H8087" s="46" t="str">
        <f>IF(AND(I.Developer.P2a=TRUE,I.Facility.P2aFacilityCount&gt;=3075,F8087=""),"Incomplete","Complete")</f>
        <v>Complete</v>
      </c>
      <c r="I8087" s="48" t="s">
        <v>12452</v>
      </c>
    </row>
    <row r="8088" spans="2:9" ht="15" customHeight="1" x14ac:dyDescent="0.25">
      <c r="B8088" s="55" t="s">
        <v>280</v>
      </c>
      <c r="C8088" s="46">
        <v>3076</v>
      </c>
      <c r="D8088" s="69" t="s">
        <v>29417</v>
      </c>
      <c r="E8088" s="51"/>
      <c r="F8088" s="114" t="str">
        <f>IF(INDEX(I.Facility.P2aIDNumber,3076)="","",INDEX(I.Facility.P2aIDNumber,3076))</f>
        <v/>
      </c>
      <c r="G8088" s="51"/>
      <c r="H8088" s="46" t="str">
        <f>IF(AND(I.Developer.P2a=TRUE,I.Facility.P2aFacilityCount&gt;=3076,F8088=""),"Incomplete","Complete")</f>
        <v>Complete</v>
      </c>
      <c r="I8088" s="48" t="s">
        <v>12453</v>
      </c>
    </row>
    <row r="8089" spans="2:9" ht="15" customHeight="1" x14ac:dyDescent="0.25">
      <c r="B8089" s="55" t="s">
        <v>280</v>
      </c>
      <c r="C8089" s="46">
        <v>3077</v>
      </c>
      <c r="D8089" s="69" t="s">
        <v>29417</v>
      </c>
      <c r="E8089" s="51"/>
      <c r="F8089" s="114" t="str">
        <f>IF(INDEX(I.Facility.P2aIDNumber,3077)="","",INDEX(I.Facility.P2aIDNumber,3077))</f>
        <v/>
      </c>
      <c r="G8089" s="51"/>
      <c r="H8089" s="46" t="str">
        <f>IF(AND(I.Developer.P2a=TRUE,I.Facility.P2aFacilityCount&gt;=3077,F8089=""),"Incomplete","Complete")</f>
        <v>Complete</v>
      </c>
      <c r="I8089" s="48" t="s">
        <v>12454</v>
      </c>
    </row>
    <row r="8090" spans="2:9" ht="15" customHeight="1" x14ac:dyDescent="0.25">
      <c r="B8090" s="55" t="s">
        <v>280</v>
      </c>
      <c r="C8090" s="46">
        <v>3078</v>
      </c>
      <c r="D8090" s="69" t="s">
        <v>29417</v>
      </c>
      <c r="E8090" s="51"/>
      <c r="F8090" s="114" t="str">
        <f>IF(INDEX(I.Facility.P2aIDNumber,3078)="","",INDEX(I.Facility.P2aIDNumber,3078))</f>
        <v/>
      </c>
      <c r="G8090" s="51"/>
      <c r="H8090" s="46" t="str">
        <f>IF(AND(I.Developer.P2a=TRUE,I.Facility.P2aFacilityCount&gt;=3078,F8090=""),"Incomplete","Complete")</f>
        <v>Complete</v>
      </c>
      <c r="I8090" s="48" t="s">
        <v>12455</v>
      </c>
    </row>
    <row r="8091" spans="2:9" ht="15" customHeight="1" x14ac:dyDescent="0.25">
      <c r="B8091" s="55" t="s">
        <v>280</v>
      </c>
      <c r="C8091" s="46">
        <v>3079</v>
      </c>
      <c r="D8091" s="69" t="s">
        <v>29417</v>
      </c>
      <c r="E8091" s="51"/>
      <c r="F8091" s="114" t="str">
        <f>IF(INDEX(I.Facility.P2aIDNumber,3079)="","",INDEX(I.Facility.P2aIDNumber,3079))</f>
        <v/>
      </c>
      <c r="G8091" s="51"/>
      <c r="H8091" s="46" t="str">
        <f>IF(AND(I.Developer.P2a=TRUE,I.Facility.P2aFacilityCount&gt;=3079,F8091=""),"Incomplete","Complete")</f>
        <v>Complete</v>
      </c>
      <c r="I8091" s="48" t="s">
        <v>12456</v>
      </c>
    </row>
    <row r="8092" spans="2:9" ht="15" customHeight="1" x14ac:dyDescent="0.25">
      <c r="B8092" s="55" t="s">
        <v>280</v>
      </c>
      <c r="C8092" s="46">
        <v>3080</v>
      </c>
      <c r="D8092" s="69" t="s">
        <v>29417</v>
      </c>
      <c r="E8092" s="51"/>
      <c r="F8092" s="114" t="str">
        <f>IF(INDEX(I.Facility.P2aIDNumber,3080)="","",INDEX(I.Facility.P2aIDNumber,3080))</f>
        <v/>
      </c>
      <c r="G8092" s="51"/>
      <c r="H8092" s="46" t="str">
        <f>IF(AND(I.Developer.P2a=TRUE,I.Facility.P2aFacilityCount&gt;=3080,F8092=""),"Incomplete","Complete")</f>
        <v>Complete</v>
      </c>
      <c r="I8092" s="48" t="s">
        <v>12457</v>
      </c>
    </row>
    <row r="8093" spans="2:9" ht="15" customHeight="1" x14ac:dyDescent="0.25">
      <c r="B8093" s="55" t="s">
        <v>280</v>
      </c>
      <c r="C8093" s="46">
        <v>3081</v>
      </c>
      <c r="D8093" s="69" t="s">
        <v>29417</v>
      </c>
      <c r="E8093" s="51"/>
      <c r="F8093" s="114" t="str">
        <f>IF(INDEX(I.Facility.P2aIDNumber,3081)="","",INDEX(I.Facility.P2aIDNumber,3081))</f>
        <v/>
      </c>
      <c r="G8093" s="51"/>
      <c r="H8093" s="46" t="str">
        <f>IF(AND(I.Developer.P2a=TRUE,I.Facility.P2aFacilityCount&gt;=3081,F8093=""),"Incomplete","Complete")</f>
        <v>Complete</v>
      </c>
      <c r="I8093" s="48" t="s">
        <v>12458</v>
      </c>
    </row>
    <row r="8094" spans="2:9" ht="15" customHeight="1" x14ac:dyDescent="0.25">
      <c r="B8094" s="55" t="s">
        <v>280</v>
      </c>
      <c r="C8094" s="46">
        <v>3082</v>
      </c>
      <c r="D8094" s="69" t="s">
        <v>29417</v>
      </c>
      <c r="E8094" s="51"/>
      <c r="F8094" s="114" t="str">
        <f>IF(INDEX(I.Facility.P2aIDNumber,3082)="","",INDEX(I.Facility.P2aIDNumber,3082))</f>
        <v/>
      </c>
      <c r="G8094" s="51"/>
      <c r="H8094" s="46" t="str">
        <f>IF(AND(I.Developer.P2a=TRUE,I.Facility.P2aFacilityCount&gt;=3082,F8094=""),"Incomplete","Complete")</f>
        <v>Complete</v>
      </c>
      <c r="I8094" s="48" t="s">
        <v>12459</v>
      </c>
    </row>
    <row r="8095" spans="2:9" ht="15" customHeight="1" x14ac:dyDescent="0.25">
      <c r="B8095" s="55" t="s">
        <v>280</v>
      </c>
      <c r="C8095" s="46">
        <v>3083</v>
      </c>
      <c r="D8095" s="69" t="s">
        <v>29417</v>
      </c>
      <c r="E8095" s="51"/>
      <c r="F8095" s="114" t="str">
        <f>IF(INDEX(I.Facility.P2aIDNumber,3083)="","",INDEX(I.Facility.P2aIDNumber,3083))</f>
        <v/>
      </c>
      <c r="G8095" s="51"/>
      <c r="H8095" s="46" t="str">
        <f>IF(AND(I.Developer.P2a=TRUE,I.Facility.P2aFacilityCount&gt;=3083,F8095=""),"Incomplete","Complete")</f>
        <v>Complete</v>
      </c>
      <c r="I8095" s="48" t="s">
        <v>12460</v>
      </c>
    </row>
    <row r="8096" spans="2:9" ht="15" customHeight="1" x14ac:dyDescent="0.25">
      <c r="B8096" s="55" t="s">
        <v>280</v>
      </c>
      <c r="C8096" s="46">
        <v>3084</v>
      </c>
      <c r="D8096" s="69" t="s">
        <v>29417</v>
      </c>
      <c r="E8096" s="51"/>
      <c r="F8096" s="114" t="str">
        <f>IF(INDEX(I.Facility.P2aIDNumber,3084)="","",INDEX(I.Facility.P2aIDNumber,3084))</f>
        <v/>
      </c>
      <c r="G8096" s="51"/>
      <c r="H8096" s="46" t="str">
        <f>IF(AND(I.Developer.P2a=TRUE,I.Facility.P2aFacilityCount&gt;=3084,F8096=""),"Incomplete","Complete")</f>
        <v>Complete</v>
      </c>
      <c r="I8096" s="48" t="s">
        <v>12461</v>
      </c>
    </row>
    <row r="8097" spans="2:9" ht="15" customHeight="1" x14ac:dyDescent="0.25">
      <c r="B8097" s="55" t="s">
        <v>280</v>
      </c>
      <c r="C8097" s="46">
        <v>3085</v>
      </c>
      <c r="D8097" s="69" t="s">
        <v>29417</v>
      </c>
      <c r="E8097" s="51"/>
      <c r="F8097" s="114" t="str">
        <f>IF(INDEX(I.Facility.P2aIDNumber,3085)="","",INDEX(I.Facility.P2aIDNumber,3085))</f>
        <v/>
      </c>
      <c r="G8097" s="51"/>
      <c r="H8097" s="46" t="str">
        <f>IF(AND(I.Developer.P2a=TRUE,I.Facility.P2aFacilityCount&gt;=3085,F8097=""),"Incomplete","Complete")</f>
        <v>Complete</v>
      </c>
      <c r="I8097" s="48" t="s">
        <v>12462</v>
      </c>
    </row>
    <row r="8098" spans="2:9" ht="15" customHeight="1" x14ac:dyDescent="0.25">
      <c r="B8098" s="55" t="s">
        <v>280</v>
      </c>
      <c r="C8098" s="46">
        <v>3086</v>
      </c>
      <c r="D8098" s="69" t="s">
        <v>29417</v>
      </c>
      <c r="E8098" s="51"/>
      <c r="F8098" s="114" t="str">
        <f>IF(INDEX(I.Facility.P2aIDNumber,3086)="","",INDEX(I.Facility.P2aIDNumber,3086))</f>
        <v/>
      </c>
      <c r="G8098" s="51"/>
      <c r="H8098" s="46" t="str">
        <f>IF(AND(I.Developer.P2a=TRUE,I.Facility.P2aFacilityCount&gt;=3086,F8098=""),"Incomplete","Complete")</f>
        <v>Complete</v>
      </c>
      <c r="I8098" s="48" t="s">
        <v>12463</v>
      </c>
    </row>
    <row r="8099" spans="2:9" ht="15" customHeight="1" x14ac:dyDescent="0.25">
      <c r="B8099" s="55" t="s">
        <v>280</v>
      </c>
      <c r="C8099" s="46">
        <v>3087</v>
      </c>
      <c r="D8099" s="69" t="s">
        <v>29417</v>
      </c>
      <c r="E8099" s="51"/>
      <c r="F8099" s="114" t="str">
        <f>IF(INDEX(I.Facility.P2aIDNumber,3087)="","",INDEX(I.Facility.P2aIDNumber,3087))</f>
        <v/>
      </c>
      <c r="G8099" s="51"/>
      <c r="H8099" s="46" t="str">
        <f>IF(AND(I.Developer.P2a=TRUE,I.Facility.P2aFacilityCount&gt;=3087,F8099=""),"Incomplete","Complete")</f>
        <v>Complete</v>
      </c>
      <c r="I8099" s="48" t="s">
        <v>12464</v>
      </c>
    </row>
    <row r="8100" spans="2:9" ht="15" customHeight="1" x14ac:dyDescent="0.25">
      <c r="B8100" s="55" t="s">
        <v>280</v>
      </c>
      <c r="C8100" s="46">
        <v>3088</v>
      </c>
      <c r="D8100" s="69" t="s">
        <v>29417</v>
      </c>
      <c r="E8100" s="51"/>
      <c r="F8100" s="114" t="str">
        <f>IF(INDEX(I.Facility.P2aIDNumber,3088)="","",INDEX(I.Facility.P2aIDNumber,3088))</f>
        <v/>
      </c>
      <c r="G8100" s="51"/>
      <c r="H8100" s="46" t="str">
        <f>IF(AND(I.Developer.P2a=TRUE,I.Facility.P2aFacilityCount&gt;=3088,F8100=""),"Incomplete","Complete")</f>
        <v>Complete</v>
      </c>
      <c r="I8100" s="48" t="s">
        <v>12465</v>
      </c>
    </row>
    <row r="8101" spans="2:9" ht="15" customHeight="1" x14ac:dyDescent="0.25">
      <c r="B8101" s="55" t="s">
        <v>280</v>
      </c>
      <c r="C8101" s="46">
        <v>3089</v>
      </c>
      <c r="D8101" s="69" t="s">
        <v>29417</v>
      </c>
      <c r="E8101" s="51"/>
      <c r="F8101" s="114" t="str">
        <f>IF(INDEX(I.Facility.P2aIDNumber,3089)="","",INDEX(I.Facility.P2aIDNumber,3089))</f>
        <v/>
      </c>
      <c r="G8101" s="51"/>
      <c r="H8101" s="46" t="str">
        <f>IF(AND(I.Developer.P2a=TRUE,I.Facility.P2aFacilityCount&gt;=3089,F8101=""),"Incomplete","Complete")</f>
        <v>Complete</v>
      </c>
      <c r="I8101" s="48" t="s">
        <v>12466</v>
      </c>
    </row>
    <row r="8102" spans="2:9" ht="15" customHeight="1" x14ac:dyDescent="0.25">
      <c r="B8102" s="55" t="s">
        <v>280</v>
      </c>
      <c r="C8102" s="46">
        <v>3090</v>
      </c>
      <c r="D8102" s="69" t="s">
        <v>29417</v>
      </c>
      <c r="E8102" s="51"/>
      <c r="F8102" s="114" t="str">
        <f>IF(INDEX(I.Facility.P2aIDNumber,3090)="","",INDEX(I.Facility.P2aIDNumber,3090))</f>
        <v/>
      </c>
      <c r="G8102" s="51"/>
      <c r="H8102" s="46" t="str">
        <f>IF(AND(I.Developer.P2a=TRUE,I.Facility.P2aFacilityCount&gt;=3090,F8102=""),"Incomplete","Complete")</f>
        <v>Complete</v>
      </c>
      <c r="I8102" s="48" t="s">
        <v>12467</v>
      </c>
    </row>
    <row r="8103" spans="2:9" ht="15" customHeight="1" x14ac:dyDescent="0.25">
      <c r="B8103" s="55" t="s">
        <v>280</v>
      </c>
      <c r="C8103" s="46">
        <v>3091</v>
      </c>
      <c r="D8103" s="69" t="s">
        <v>29417</v>
      </c>
      <c r="E8103" s="51"/>
      <c r="F8103" s="114" t="str">
        <f>IF(INDEX(I.Facility.P2aIDNumber,3091)="","",INDEX(I.Facility.P2aIDNumber,3091))</f>
        <v/>
      </c>
      <c r="G8103" s="51"/>
      <c r="H8103" s="46" t="str">
        <f>IF(AND(I.Developer.P2a=TRUE,I.Facility.P2aFacilityCount&gt;=3091,F8103=""),"Incomplete","Complete")</f>
        <v>Complete</v>
      </c>
      <c r="I8103" s="48" t="s">
        <v>12468</v>
      </c>
    </row>
    <row r="8104" spans="2:9" ht="15" customHeight="1" x14ac:dyDescent="0.25">
      <c r="B8104" s="55" t="s">
        <v>280</v>
      </c>
      <c r="C8104" s="46">
        <v>3092</v>
      </c>
      <c r="D8104" s="69" t="s">
        <v>29417</v>
      </c>
      <c r="E8104" s="51"/>
      <c r="F8104" s="114" t="str">
        <f>IF(INDEX(I.Facility.P2aIDNumber,3092)="","",INDEX(I.Facility.P2aIDNumber,3092))</f>
        <v/>
      </c>
      <c r="G8104" s="51"/>
      <c r="H8104" s="46" t="str">
        <f>IF(AND(I.Developer.P2a=TRUE,I.Facility.P2aFacilityCount&gt;=3092,F8104=""),"Incomplete","Complete")</f>
        <v>Complete</v>
      </c>
      <c r="I8104" s="48" t="s">
        <v>12469</v>
      </c>
    </row>
    <row r="8105" spans="2:9" ht="15" customHeight="1" x14ac:dyDescent="0.25">
      <c r="B8105" s="55" t="s">
        <v>280</v>
      </c>
      <c r="C8105" s="46">
        <v>3093</v>
      </c>
      <c r="D8105" s="69" t="s">
        <v>29417</v>
      </c>
      <c r="E8105" s="51"/>
      <c r="F8105" s="114" t="str">
        <f>IF(INDEX(I.Facility.P2aIDNumber,3093)="","",INDEX(I.Facility.P2aIDNumber,3093))</f>
        <v/>
      </c>
      <c r="G8105" s="51"/>
      <c r="H8105" s="46" t="str">
        <f>IF(AND(I.Developer.P2a=TRUE,I.Facility.P2aFacilityCount&gt;=3093,F8105=""),"Incomplete","Complete")</f>
        <v>Complete</v>
      </c>
      <c r="I8105" s="48" t="s">
        <v>12470</v>
      </c>
    </row>
    <row r="8106" spans="2:9" ht="15" customHeight="1" x14ac:dyDescent="0.25">
      <c r="B8106" s="55" t="s">
        <v>280</v>
      </c>
      <c r="C8106" s="46">
        <v>3094</v>
      </c>
      <c r="D8106" s="69" t="s">
        <v>29417</v>
      </c>
      <c r="E8106" s="51"/>
      <c r="F8106" s="114" t="str">
        <f>IF(INDEX(I.Facility.P2aIDNumber,3094)="","",INDEX(I.Facility.P2aIDNumber,3094))</f>
        <v/>
      </c>
      <c r="G8106" s="51"/>
      <c r="H8106" s="46" t="str">
        <f>IF(AND(I.Developer.P2a=TRUE,I.Facility.P2aFacilityCount&gt;=3094,F8106=""),"Incomplete","Complete")</f>
        <v>Complete</v>
      </c>
      <c r="I8106" s="48" t="s">
        <v>12471</v>
      </c>
    </row>
    <row r="8107" spans="2:9" ht="15" customHeight="1" x14ac:dyDescent="0.25">
      <c r="B8107" s="55" t="s">
        <v>280</v>
      </c>
      <c r="C8107" s="46">
        <v>3095</v>
      </c>
      <c r="D8107" s="69" t="s">
        <v>29417</v>
      </c>
      <c r="E8107" s="51"/>
      <c r="F8107" s="114" t="str">
        <f>IF(INDEX(I.Facility.P2aIDNumber,3095)="","",INDEX(I.Facility.P2aIDNumber,3095))</f>
        <v/>
      </c>
      <c r="G8107" s="51"/>
      <c r="H8107" s="46" t="str">
        <f>IF(AND(I.Developer.P2a=TRUE,I.Facility.P2aFacilityCount&gt;=3095,F8107=""),"Incomplete","Complete")</f>
        <v>Complete</v>
      </c>
      <c r="I8107" s="48" t="s">
        <v>12472</v>
      </c>
    </row>
    <row r="8108" spans="2:9" ht="15" customHeight="1" x14ac:dyDescent="0.25">
      <c r="B8108" s="55" t="s">
        <v>280</v>
      </c>
      <c r="C8108" s="46">
        <v>3096</v>
      </c>
      <c r="D8108" s="69" t="s">
        <v>29417</v>
      </c>
      <c r="E8108" s="51"/>
      <c r="F8108" s="114" t="str">
        <f>IF(INDEX(I.Facility.P2aIDNumber,3096)="","",INDEX(I.Facility.P2aIDNumber,3096))</f>
        <v/>
      </c>
      <c r="G8108" s="51"/>
      <c r="H8108" s="46" t="str">
        <f>IF(AND(I.Developer.P2a=TRUE,I.Facility.P2aFacilityCount&gt;=3096,F8108=""),"Incomplete","Complete")</f>
        <v>Complete</v>
      </c>
      <c r="I8108" s="48" t="s">
        <v>12473</v>
      </c>
    </row>
    <row r="8109" spans="2:9" ht="15" customHeight="1" x14ac:dyDescent="0.25">
      <c r="B8109" s="55" t="s">
        <v>280</v>
      </c>
      <c r="C8109" s="46">
        <v>3097</v>
      </c>
      <c r="D8109" s="69" t="s">
        <v>29417</v>
      </c>
      <c r="E8109" s="51"/>
      <c r="F8109" s="114" t="str">
        <f>IF(INDEX(I.Facility.P2aIDNumber,3097)="","",INDEX(I.Facility.P2aIDNumber,3097))</f>
        <v/>
      </c>
      <c r="G8109" s="51"/>
      <c r="H8109" s="46" t="str">
        <f>IF(AND(I.Developer.P2a=TRUE,I.Facility.P2aFacilityCount&gt;=3097,F8109=""),"Incomplete","Complete")</f>
        <v>Complete</v>
      </c>
      <c r="I8109" s="48" t="s">
        <v>12474</v>
      </c>
    </row>
    <row r="8110" spans="2:9" ht="15" customHeight="1" x14ac:dyDescent="0.25">
      <c r="B8110" s="55" t="s">
        <v>280</v>
      </c>
      <c r="C8110" s="46">
        <v>3098</v>
      </c>
      <c r="D8110" s="69" t="s">
        <v>29417</v>
      </c>
      <c r="E8110" s="51"/>
      <c r="F8110" s="114" t="str">
        <f>IF(INDEX(I.Facility.P2aIDNumber,3098)="","",INDEX(I.Facility.P2aIDNumber,3098))</f>
        <v/>
      </c>
      <c r="G8110" s="51"/>
      <c r="H8110" s="46" t="str">
        <f>IF(AND(I.Developer.P2a=TRUE,I.Facility.P2aFacilityCount&gt;=3098,F8110=""),"Incomplete","Complete")</f>
        <v>Complete</v>
      </c>
      <c r="I8110" s="48" t="s">
        <v>12475</v>
      </c>
    </row>
    <row r="8111" spans="2:9" ht="15" customHeight="1" x14ac:dyDescent="0.25">
      <c r="B8111" s="55" t="s">
        <v>280</v>
      </c>
      <c r="C8111" s="46">
        <v>3099</v>
      </c>
      <c r="D8111" s="69" t="s">
        <v>29417</v>
      </c>
      <c r="E8111" s="51"/>
      <c r="F8111" s="114" t="str">
        <f>IF(INDEX(I.Facility.P2aIDNumber,3099)="","",INDEX(I.Facility.P2aIDNumber,3099))</f>
        <v/>
      </c>
      <c r="G8111" s="51"/>
      <c r="H8111" s="46" t="str">
        <f>IF(AND(I.Developer.P2a=TRUE,I.Facility.P2aFacilityCount&gt;=3099,F8111=""),"Incomplete","Complete")</f>
        <v>Complete</v>
      </c>
      <c r="I8111" s="48" t="s">
        <v>12476</v>
      </c>
    </row>
    <row r="8112" spans="2:9" ht="15" customHeight="1" x14ac:dyDescent="0.25">
      <c r="B8112" s="55" t="s">
        <v>280</v>
      </c>
      <c r="C8112" s="46">
        <v>3100</v>
      </c>
      <c r="D8112" s="69" t="s">
        <v>29417</v>
      </c>
      <c r="E8112" s="51"/>
      <c r="F8112" s="114" t="str">
        <f>IF(INDEX(I.Facility.P2aIDNumber,3100)="","",INDEX(I.Facility.P2aIDNumber,3100))</f>
        <v/>
      </c>
      <c r="G8112" s="51"/>
      <c r="H8112" s="46" t="str">
        <f>IF(AND(I.Developer.P2a=TRUE,I.Facility.P2aFacilityCount&gt;=3100,F8112=""),"Incomplete","Complete")</f>
        <v>Complete</v>
      </c>
      <c r="I8112" s="48" t="s">
        <v>12477</v>
      </c>
    </row>
    <row r="8113" spans="2:9" ht="15" customHeight="1" x14ac:dyDescent="0.25">
      <c r="B8113" s="55" t="s">
        <v>280</v>
      </c>
      <c r="C8113" s="46">
        <v>3101</v>
      </c>
      <c r="D8113" s="69" t="s">
        <v>29417</v>
      </c>
      <c r="E8113" s="51"/>
      <c r="F8113" s="114" t="str">
        <f>IF(INDEX(I.Facility.P2aIDNumber,3101)="","",INDEX(I.Facility.P2aIDNumber,3101))</f>
        <v/>
      </c>
      <c r="G8113" s="51"/>
      <c r="H8113" s="46" t="str">
        <f>IF(AND(I.Developer.P2a=TRUE,I.Facility.P2aFacilityCount&gt;=3101,F8113=""),"Incomplete","Complete")</f>
        <v>Complete</v>
      </c>
      <c r="I8113" s="48" t="s">
        <v>12478</v>
      </c>
    </row>
    <row r="8114" spans="2:9" ht="15" customHeight="1" x14ac:dyDescent="0.25">
      <c r="B8114" s="55" t="s">
        <v>280</v>
      </c>
      <c r="C8114" s="46">
        <v>3102</v>
      </c>
      <c r="D8114" s="69" t="s">
        <v>29417</v>
      </c>
      <c r="E8114" s="51"/>
      <c r="F8114" s="114" t="str">
        <f>IF(INDEX(I.Facility.P2aIDNumber,3102)="","",INDEX(I.Facility.P2aIDNumber,3102))</f>
        <v/>
      </c>
      <c r="G8114" s="51"/>
      <c r="H8114" s="46" t="str">
        <f>IF(AND(I.Developer.P2a=TRUE,I.Facility.P2aFacilityCount&gt;=3102,F8114=""),"Incomplete","Complete")</f>
        <v>Complete</v>
      </c>
      <c r="I8114" s="48" t="s">
        <v>12479</v>
      </c>
    </row>
    <row r="8115" spans="2:9" ht="15" customHeight="1" x14ac:dyDescent="0.25">
      <c r="B8115" s="55" t="s">
        <v>280</v>
      </c>
      <c r="C8115" s="46">
        <v>3103</v>
      </c>
      <c r="D8115" s="69" t="s">
        <v>29417</v>
      </c>
      <c r="E8115" s="51"/>
      <c r="F8115" s="114" t="str">
        <f>IF(INDEX(I.Facility.P2aIDNumber,3103)="","",INDEX(I.Facility.P2aIDNumber,3103))</f>
        <v/>
      </c>
      <c r="G8115" s="51"/>
      <c r="H8115" s="46" t="str">
        <f>IF(AND(I.Developer.P2a=TRUE,I.Facility.P2aFacilityCount&gt;=3103,F8115=""),"Incomplete","Complete")</f>
        <v>Complete</v>
      </c>
      <c r="I8115" s="48" t="s">
        <v>12480</v>
      </c>
    </row>
    <row r="8116" spans="2:9" ht="15" customHeight="1" x14ac:dyDescent="0.25">
      <c r="B8116" s="55" t="s">
        <v>280</v>
      </c>
      <c r="C8116" s="46">
        <v>3104</v>
      </c>
      <c r="D8116" s="69" t="s">
        <v>29417</v>
      </c>
      <c r="E8116" s="51"/>
      <c r="F8116" s="114" t="str">
        <f>IF(INDEX(I.Facility.P2aIDNumber,3104)="","",INDEX(I.Facility.P2aIDNumber,3104))</f>
        <v/>
      </c>
      <c r="G8116" s="51"/>
      <c r="H8116" s="46" t="str">
        <f>IF(AND(I.Developer.P2a=TRUE,I.Facility.P2aFacilityCount&gt;=3104,F8116=""),"Incomplete","Complete")</f>
        <v>Complete</v>
      </c>
      <c r="I8116" s="48" t="s">
        <v>12481</v>
      </c>
    </row>
    <row r="8117" spans="2:9" ht="15" customHeight="1" x14ac:dyDescent="0.25">
      <c r="B8117" s="55" t="s">
        <v>280</v>
      </c>
      <c r="C8117" s="46">
        <v>3105</v>
      </c>
      <c r="D8117" s="69" t="s">
        <v>29417</v>
      </c>
      <c r="E8117" s="51"/>
      <c r="F8117" s="114" t="str">
        <f>IF(INDEX(I.Facility.P2aIDNumber,3105)="","",INDEX(I.Facility.P2aIDNumber,3105))</f>
        <v/>
      </c>
      <c r="G8117" s="51"/>
      <c r="H8117" s="46" t="str">
        <f>IF(AND(I.Developer.P2a=TRUE,I.Facility.P2aFacilityCount&gt;=3105,F8117=""),"Incomplete","Complete")</f>
        <v>Complete</v>
      </c>
      <c r="I8117" s="48" t="s">
        <v>12482</v>
      </c>
    </row>
    <row r="8118" spans="2:9" ht="15" customHeight="1" x14ac:dyDescent="0.25">
      <c r="B8118" s="55" t="s">
        <v>280</v>
      </c>
      <c r="C8118" s="46">
        <v>3106</v>
      </c>
      <c r="D8118" s="69" t="s">
        <v>29417</v>
      </c>
      <c r="E8118" s="51"/>
      <c r="F8118" s="114" t="str">
        <f>IF(INDEX(I.Facility.P2aIDNumber,3106)="","",INDEX(I.Facility.P2aIDNumber,3106))</f>
        <v/>
      </c>
      <c r="G8118" s="51"/>
      <c r="H8118" s="46" t="str">
        <f>IF(AND(I.Developer.P2a=TRUE,I.Facility.P2aFacilityCount&gt;=3106,F8118=""),"Incomplete","Complete")</f>
        <v>Complete</v>
      </c>
      <c r="I8118" s="48" t="s">
        <v>12483</v>
      </c>
    </row>
    <row r="8119" spans="2:9" ht="15" customHeight="1" x14ac:dyDescent="0.25">
      <c r="B8119" s="55" t="s">
        <v>280</v>
      </c>
      <c r="C8119" s="46">
        <v>3107</v>
      </c>
      <c r="D8119" s="69" t="s">
        <v>29417</v>
      </c>
      <c r="E8119" s="51"/>
      <c r="F8119" s="114" t="str">
        <f>IF(INDEX(I.Facility.P2aIDNumber,3107)="","",INDEX(I.Facility.P2aIDNumber,3107))</f>
        <v/>
      </c>
      <c r="G8119" s="51"/>
      <c r="H8119" s="46" t="str">
        <f>IF(AND(I.Developer.P2a=TRUE,I.Facility.P2aFacilityCount&gt;=3107,F8119=""),"Incomplete","Complete")</f>
        <v>Complete</v>
      </c>
      <c r="I8119" s="48" t="s">
        <v>12484</v>
      </c>
    </row>
    <row r="8120" spans="2:9" ht="15" customHeight="1" x14ac:dyDescent="0.25">
      <c r="B8120" s="55" t="s">
        <v>280</v>
      </c>
      <c r="C8120" s="46">
        <v>3108</v>
      </c>
      <c r="D8120" s="69" t="s">
        <v>29417</v>
      </c>
      <c r="E8120" s="51"/>
      <c r="F8120" s="114" t="str">
        <f>IF(INDEX(I.Facility.P2aIDNumber,3108)="","",INDEX(I.Facility.P2aIDNumber,3108))</f>
        <v/>
      </c>
      <c r="G8120" s="51"/>
      <c r="H8120" s="46" t="str">
        <f>IF(AND(I.Developer.P2a=TRUE,I.Facility.P2aFacilityCount&gt;=3108,F8120=""),"Incomplete","Complete")</f>
        <v>Complete</v>
      </c>
      <c r="I8120" s="48" t="s">
        <v>12485</v>
      </c>
    </row>
    <row r="8121" spans="2:9" ht="15" customHeight="1" x14ac:dyDescent="0.25">
      <c r="B8121" s="55" t="s">
        <v>280</v>
      </c>
      <c r="C8121" s="46">
        <v>3109</v>
      </c>
      <c r="D8121" s="69" t="s">
        <v>29417</v>
      </c>
      <c r="E8121" s="51"/>
      <c r="F8121" s="114" t="str">
        <f>IF(INDEX(I.Facility.P2aIDNumber,3109)="","",INDEX(I.Facility.P2aIDNumber,3109))</f>
        <v/>
      </c>
      <c r="G8121" s="51"/>
      <c r="H8121" s="46" t="str">
        <f>IF(AND(I.Developer.P2a=TRUE,I.Facility.P2aFacilityCount&gt;=3109,F8121=""),"Incomplete","Complete")</f>
        <v>Complete</v>
      </c>
      <c r="I8121" s="48" t="s">
        <v>12486</v>
      </c>
    </row>
    <row r="8122" spans="2:9" ht="15" customHeight="1" x14ac:dyDescent="0.25">
      <c r="B8122" s="55" t="s">
        <v>280</v>
      </c>
      <c r="C8122" s="46">
        <v>3110</v>
      </c>
      <c r="D8122" s="69" t="s">
        <v>29417</v>
      </c>
      <c r="E8122" s="51"/>
      <c r="F8122" s="114" t="str">
        <f>IF(INDEX(I.Facility.P2aIDNumber,3110)="","",INDEX(I.Facility.P2aIDNumber,3110))</f>
        <v/>
      </c>
      <c r="G8122" s="51"/>
      <c r="H8122" s="46" t="str">
        <f>IF(AND(I.Developer.P2a=TRUE,I.Facility.P2aFacilityCount&gt;=3110,F8122=""),"Incomplete","Complete")</f>
        <v>Complete</v>
      </c>
      <c r="I8122" s="48" t="s">
        <v>12487</v>
      </c>
    </row>
    <row r="8123" spans="2:9" ht="15" customHeight="1" x14ac:dyDescent="0.25">
      <c r="B8123" s="55" t="s">
        <v>280</v>
      </c>
      <c r="C8123" s="46">
        <v>3111</v>
      </c>
      <c r="D8123" s="69" t="s">
        <v>29417</v>
      </c>
      <c r="E8123" s="51"/>
      <c r="F8123" s="114" t="str">
        <f>IF(INDEX(I.Facility.P2aIDNumber,3111)="","",INDEX(I.Facility.P2aIDNumber,3111))</f>
        <v/>
      </c>
      <c r="G8123" s="51"/>
      <c r="H8123" s="46" t="str">
        <f>IF(AND(I.Developer.P2a=TRUE,I.Facility.P2aFacilityCount&gt;=3111,F8123=""),"Incomplete","Complete")</f>
        <v>Complete</v>
      </c>
      <c r="I8123" s="48" t="s">
        <v>12488</v>
      </c>
    </row>
    <row r="8124" spans="2:9" ht="15" customHeight="1" x14ac:dyDescent="0.25">
      <c r="B8124" s="55" t="s">
        <v>280</v>
      </c>
      <c r="C8124" s="46">
        <v>3112</v>
      </c>
      <c r="D8124" s="69" t="s">
        <v>29417</v>
      </c>
      <c r="E8124" s="51"/>
      <c r="F8124" s="114" t="str">
        <f>IF(INDEX(I.Facility.P2aIDNumber,3112)="","",INDEX(I.Facility.P2aIDNumber,3112))</f>
        <v/>
      </c>
      <c r="G8124" s="51"/>
      <c r="H8124" s="46" t="str">
        <f>IF(AND(I.Developer.P2a=TRUE,I.Facility.P2aFacilityCount&gt;=3112,F8124=""),"Incomplete","Complete")</f>
        <v>Complete</v>
      </c>
      <c r="I8124" s="48" t="s">
        <v>12489</v>
      </c>
    </row>
    <row r="8125" spans="2:9" ht="15" customHeight="1" x14ac:dyDescent="0.25">
      <c r="B8125" s="55" t="s">
        <v>280</v>
      </c>
      <c r="C8125" s="46">
        <v>3113</v>
      </c>
      <c r="D8125" s="69" t="s">
        <v>29417</v>
      </c>
      <c r="E8125" s="51"/>
      <c r="F8125" s="114" t="str">
        <f>IF(INDEX(I.Facility.P2aIDNumber,3113)="","",INDEX(I.Facility.P2aIDNumber,3113))</f>
        <v/>
      </c>
      <c r="G8125" s="51"/>
      <c r="H8125" s="46" t="str">
        <f>IF(AND(I.Developer.P2a=TRUE,I.Facility.P2aFacilityCount&gt;=3113,F8125=""),"Incomplete","Complete")</f>
        <v>Complete</v>
      </c>
      <c r="I8125" s="48" t="s">
        <v>12490</v>
      </c>
    </row>
    <row r="8126" spans="2:9" ht="15" customHeight="1" x14ac:dyDescent="0.25">
      <c r="B8126" s="55" t="s">
        <v>280</v>
      </c>
      <c r="C8126" s="46">
        <v>3114</v>
      </c>
      <c r="D8126" s="69" t="s">
        <v>29417</v>
      </c>
      <c r="E8126" s="51"/>
      <c r="F8126" s="114" t="str">
        <f>IF(INDEX(I.Facility.P2aIDNumber,3114)="","",INDEX(I.Facility.P2aIDNumber,3114))</f>
        <v/>
      </c>
      <c r="G8126" s="51"/>
      <c r="H8126" s="46" t="str">
        <f>IF(AND(I.Developer.P2a=TRUE,I.Facility.P2aFacilityCount&gt;=3114,F8126=""),"Incomplete","Complete")</f>
        <v>Complete</v>
      </c>
      <c r="I8126" s="48" t="s">
        <v>12491</v>
      </c>
    </row>
    <row r="8127" spans="2:9" ht="15" customHeight="1" x14ac:dyDescent="0.25">
      <c r="B8127" s="55" t="s">
        <v>280</v>
      </c>
      <c r="C8127" s="46">
        <v>3115</v>
      </c>
      <c r="D8127" s="69" t="s">
        <v>29417</v>
      </c>
      <c r="E8127" s="51"/>
      <c r="F8127" s="114" t="str">
        <f>IF(INDEX(I.Facility.P2aIDNumber,3115)="","",INDEX(I.Facility.P2aIDNumber,3115))</f>
        <v/>
      </c>
      <c r="G8127" s="51"/>
      <c r="H8127" s="46" t="str">
        <f>IF(AND(I.Developer.P2a=TRUE,I.Facility.P2aFacilityCount&gt;=3115,F8127=""),"Incomplete","Complete")</f>
        <v>Complete</v>
      </c>
      <c r="I8127" s="48" t="s">
        <v>12492</v>
      </c>
    </row>
    <row r="8128" spans="2:9" ht="15" customHeight="1" x14ac:dyDescent="0.25">
      <c r="B8128" s="55" t="s">
        <v>280</v>
      </c>
      <c r="C8128" s="46">
        <v>3116</v>
      </c>
      <c r="D8128" s="69" t="s">
        <v>29417</v>
      </c>
      <c r="E8128" s="51"/>
      <c r="F8128" s="114" t="str">
        <f>IF(INDEX(I.Facility.P2aIDNumber,3116)="","",INDEX(I.Facility.P2aIDNumber,3116))</f>
        <v/>
      </c>
      <c r="G8128" s="51"/>
      <c r="H8128" s="46" t="str">
        <f>IF(AND(I.Developer.P2a=TRUE,I.Facility.P2aFacilityCount&gt;=3116,F8128=""),"Incomplete","Complete")</f>
        <v>Complete</v>
      </c>
      <c r="I8128" s="48" t="s">
        <v>12493</v>
      </c>
    </row>
    <row r="8129" spans="2:9" ht="15" customHeight="1" x14ac:dyDescent="0.25">
      <c r="B8129" s="55" t="s">
        <v>280</v>
      </c>
      <c r="C8129" s="46">
        <v>3117</v>
      </c>
      <c r="D8129" s="69" t="s">
        <v>29417</v>
      </c>
      <c r="E8129" s="51"/>
      <c r="F8129" s="114" t="str">
        <f>IF(INDEX(I.Facility.P2aIDNumber,3117)="","",INDEX(I.Facility.P2aIDNumber,3117))</f>
        <v/>
      </c>
      <c r="G8129" s="51"/>
      <c r="H8129" s="46" t="str">
        <f>IF(AND(I.Developer.P2a=TRUE,I.Facility.P2aFacilityCount&gt;=3117,F8129=""),"Incomplete","Complete")</f>
        <v>Complete</v>
      </c>
      <c r="I8129" s="48" t="s">
        <v>12494</v>
      </c>
    </row>
    <row r="8130" spans="2:9" ht="15" customHeight="1" x14ac:dyDescent="0.25">
      <c r="B8130" s="55" t="s">
        <v>280</v>
      </c>
      <c r="C8130" s="46">
        <v>3118</v>
      </c>
      <c r="D8130" s="69" t="s">
        <v>29417</v>
      </c>
      <c r="E8130" s="51"/>
      <c r="F8130" s="114" t="str">
        <f>IF(INDEX(I.Facility.P2aIDNumber,3118)="","",INDEX(I.Facility.P2aIDNumber,3118))</f>
        <v/>
      </c>
      <c r="G8130" s="51"/>
      <c r="H8130" s="46" t="str">
        <f>IF(AND(I.Developer.P2a=TRUE,I.Facility.P2aFacilityCount&gt;=3118,F8130=""),"Incomplete","Complete")</f>
        <v>Complete</v>
      </c>
      <c r="I8130" s="48" t="s">
        <v>12495</v>
      </c>
    </row>
    <row r="8131" spans="2:9" ht="15" customHeight="1" x14ac:dyDescent="0.25">
      <c r="B8131" s="55" t="s">
        <v>280</v>
      </c>
      <c r="C8131" s="46">
        <v>3119</v>
      </c>
      <c r="D8131" s="69" t="s">
        <v>29417</v>
      </c>
      <c r="E8131" s="51"/>
      <c r="F8131" s="114" t="str">
        <f>IF(INDEX(I.Facility.P2aIDNumber,3119)="","",INDEX(I.Facility.P2aIDNumber,3119))</f>
        <v/>
      </c>
      <c r="G8131" s="51"/>
      <c r="H8131" s="46" t="str">
        <f>IF(AND(I.Developer.P2a=TRUE,I.Facility.P2aFacilityCount&gt;=3119,F8131=""),"Incomplete","Complete")</f>
        <v>Complete</v>
      </c>
      <c r="I8131" s="48" t="s">
        <v>12496</v>
      </c>
    </row>
    <row r="8132" spans="2:9" ht="15" customHeight="1" x14ac:dyDescent="0.25">
      <c r="B8132" s="55" t="s">
        <v>280</v>
      </c>
      <c r="C8132" s="46">
        <v>3120</v>
      </c>
      <c r="D8132" s="69" t="s">
        <v>29417</v>
      </c>
      <c r="E8132" s="51"/>
      <c r="F8132" s="114" t="str">
        <f>IF(INDEX(I.Facility.P2aIDNumber,3120)="","",INDEX(I.Facility.P2aIDNumber,3120))</f>
        <v/>
      </c>
      <c r="G8132" s="51"/>
      <c r="H8132" s="46" t="str">
        <f>IF(AND(I.Developer.P2a=TRUE,I.Facility.P2aFacilityCount&gt;=3120,F8132=""),"Incomplete","Complete")</f>
        <v>Complete</v>
      </c>
      <c r="I8132" s="48" t="s">
        <v>12497</v>
      </c>
    </row>
    <row r="8133" spans="2:9" ht="15" customHeight="1" x14ac:dyDescent="0.25">
      <c r="B8133" s="55" t="s">
        <v>280</v>
      </c>
      <c r="C8133" s="46">
        <v>3121</v>
      </c>
      <c r="D8133" s="69" t="s">
        <v>29417</v>
      </c>
      <c r="E8133" s="51"/>
      <c r="F8133" s="114" t="str">
        <f>IF(INDEX(I.Facility.P2aIDNumber,3121)="","",INDEX(I.Facility.P2aIDNumber,3121))</f>
        <v/>
      </c>
      <c r="G8133" s="51"/>
      <c r="H8133" s="46" t="str">
        <f>IF(AND(I.Developer.P2a=TRUE,I.Facility.P2aFacilityCount&gt;=3121,F8133=""),"Incomplete","Complete")</f>
        <v>Complete</v>
      </c>
      <c r="I8133" s="48" t="s">
        <v>12498</v>
      </c>
    </row>
    <row r="8134" spans="2:9" ht="15" customHeight="1" x14ac:dyDescent="0.25">
      <c r="B8134" s="55" t="s">
        <v>280</v>
      </c>
      <c r="C8134" s="46">
        <v>3122</v>
      </c>
      <c r="D8134" s="69" t="s">
        <v>29417</v>
      </c>
      <c r="E8134" s="51"/>
      <c r="F8134" s="114" t="str">
        <f>IF(INDEX(I.Facility.P2aIDNumber,3122)="","",INDEX(I.Facility.P2aIDNumber,3122))</f>
        <v/>
      </c>
      <c r="G8134" s="51"/>
      <c r="H8134" s="46" t="str">
        <f>IF(AND(I.Developer.P2a=TRUE,I.Facility.P2aFacilityCount&gt;=3122,F8134=""),"Incomplete","Complete")</f>
        <v>Complete</v>
      </c>
      <c r="I8134" s="48" t="s">
        <v>12499</v>
      </c>
    </row>
    <row r="8135" spans="2:9" ht="15" customHeight="1" x14ac:dyDescent="0.25">
      <c r="B8135" s="55" t="s">
        <v>280</v>
      </c>
      <c r="C8135" s="46">
        <v>3123</v>
      </c>
      <c r="D8135" s="69" t="s">
        <v>29417</v>
      </c>
      <c r="E8135" s="51"/>
      <c r="F8135" s="114" t="str">
        <f>IF(INDEX(I.Facility.P2aIDNumber,3123)="","",INDEX(I.Facility.P2aIDNumber,3123))</f>
        <v/>
      </c>
      <c r="G8135" s="51"/>
      <c r="H8135" s="46" t="str">
        <f>IF(AND(I.Developer.P2a=TRUE,I.Facility.P2aFacilityCount&gt;=3123,F8135=""),"Incomplete","Complete")</f>
        <v>Complete</v>
      </c>
      <c r="I8135" s="48" t="s">
        <v>12500</v>
      </c>
    </row>
    <row r="8136" spans="2:9" ht="15" customHeight="1" x14ac:dyDescent="0.25">
      <c r="B8136" s="55" t="s">
        <v>280</v>
      </c>
      <c r="C8136" s="46">
        <v>3124</v>
      </c>
      <c r="D8136" s="69" t="s">
        <v>29417</v>
      </c>
      <c r="E8136" s="51"/>
      <c r="F8136" s="114" t="str">
        <f>IF(INDEX(I.Facility.P2aIDNumber,3124)="","",INDEX(I.Facility.P2aIDNumber,3124))</f>
        <v/>
      </c>
      <c r="G8136" s="51"/>
      <c r="H8136" s="46" t="str">
        <f>IF(AND(I.Developer.P2a=TRUE,I.Facility.P2aFacilityCount&gt;=3124,F8136=""),"Incomplete","Complete")</f>
        <v>Complete</v>
      </c>
      <c r="I8136" s="48" t="s">
        <v>12501</v>
      </c>
    </row>
    <row r="8137" spans="2:9" ht="15" customHeight="1" x14ac:dyDescent="0.25">
      <c r="B8137" s="55" t="s">
        <v>280</v>
      </c>
      <c r="C8137" s="46">
        <v>3125</v>
      </c>
      <c r="D8137" s="69" t="s">
        <v>29417</v>
      </c>
      <c r="E8137" s="51"/>
      <c r="F8137" s="114" t="str">
        <f>IF(INDEX(I.Facility.P2aIDNumber,3125)="","",INDEX(I.Facility.P2aIDNumber,3125))</f>
        <v/>
      </c>
      <c r="G8137" s="51"/>
      <c r="H8137" s="46" t="str">
        <f>IF(AND(I.Developer.P2a=TRUE,I.Facility.P2aFacilityCount&gt;=3125,F8137=""),"Incomplete","Complete")</f>
        <v>Complete</v>
      </c>
      <c r="I8137" s="48" t="s">
        <v>12502</v>
      </c>
    </row>
    <row r="8138" spans="2:9" ht="15" customHeight="1" x14ac:dyDescent="0.25">
      <c r="B8138" s="55" t="s">
        <v>280</v>
      </c>
      <c r="C8138" s="46">
        <v>3126</v>
      </c>
      <c r="D8138" s="69" t="s">
        <v>29417</v>
      </c>
      <c r="E8138" s="51"/>
      <c r="F8138" s="114" t="str">
        <f>IF(INDEX(I.Facility.P2aIDNumber,3126)="","",INDEX(I.Facility.P2aIDNumber,3126))</f>
        <v/>
      </c>
      <c r="G8138" s="51"/>
      <c r="H8138" s="46" t="str">
        <f>IF(AND(I.Developer.P2a=TRUE,I.Facility.P2aFacilityCount&gt;=3126,F8138=""),"Incomplete","Complete")</f>
        <v>Complete</v>
      </c>
      <c r="I8138" s="48" t="s">
        <v>12503</v>
      </c>
    </row>
    <row r="8139" spans="2:9" ht="15" customHeight="1" x14ac:dyDescent="0.25">
      <c r="B8139" s="55" t="s">
        <v>280</v>
      </c>
      <c r="C8139" s="46">
        <v>3127</v>
      </c>
      <c r="D8139" s="69" t="s">
        <v>29417</v>
      </c>
      <c r="E8139" s="51"/>
      <c r="F8139" s="114" t="str">
        <f>IF(INDEX(I.Facility.P2aIDNumber,3127)="","",INDEX(I.Facility.P2aIDNumber,3127))</f>
        <v/>
      </c>
      <c r="G8139" s="51"/>
      <c r="H8139" s="46" t="str">
        <f>IF(AND(I.Developer.P2a=TRUE,I.Facility.P2aFacilityCount&gt;=3127,F8139=""),"Incomplete","Complete")</f>
        <v>Complete</v>
      </c>
      <c r="I8139" s="48" t="s">
        <v>12504</v>
      </c>
    </row>
    <row r="8140" spans="2:9" ht="15" customHeight="1" x14ac:dyDescent="0.25">
      <c r="B8140" s="55" t="s">
        <v>280</v>
      </c>
      <c r="C8140" s="46">
        <v>3128</v>
      </c>
      <c r="D8140" s="69" t="s">
        <v>29417</v>
      </c>
      <c r="E8140" s="51"/>
      <c r="F8140" s="114" t="str">
        <f>IF(INDEX(I.Facility.P2aIDNumber,3128)="","",INDEX(I.Facility.P2aIDNumber,3128))</f>
        <v/>
      </c>
      <c r="G8140" s="51"/>
      <c r="H8140" s="46" t="str">
        <f>IF(AND(I.Developer.P2a=TRUE,I.Facility.P2aFacilityCount&gt;=3128,F8140=""),"Incomplete","Complete")</f>
        <v>Complete</v>
      </c>
      <c r="I8140" s="48" t="s">
        <v>12505</v>
      </c>
    </row>
    <row r="8141" spans="2:9" ht="15" customHeight="1" x14ac:dyDescent="0.25">
      <c r="B8141" s="55" t="s">
        <v>280</v>
      </c>
      <c r="C8141" s="46">
        <v>3129</v>
      </c>
      <c r="D8141" s="69" t="s">
        <v>29417</v>
      </c>
      <c r="E8141" s="51"/>
      <c r="F8141" s="114" t="str">
        <f>IF(INDEX(I.Facility.P2aIDNumber,3129)="","",INDEX(I.Facility.P2aIDNumber,3129))</f>
        <v/>
      </c>
      <c r="G8141" s="51"/>
      <c r="H8141" s="46" t="str">
        <f>IF(AND(I.Developer.P2a=TRUE,I.Facility.P2aFacilityCount&gt;=3129,F8141=""),"Incomplete","Complete")</f>
        <v>Complete</v>
      </c>
      <c r="I8141" s="48" t="s">
        <v>12506</v>
      </c>
    </row>
    <row r="8142" spans="2:9" ht="15" customHeight="1" x14ac:dyDescent="0.25">
      <c r="B8142" s="55" t="s">
        <v>280</v>
      </c>
      <c r="C8142" s="46">
        <v>3130</v>
      </c>
      <c r="D8142" s="69" t="s">
        <v>29417</v>
      </c>
      <c r="E8142" s="51"/>
      <c r="F8142" s="114" t="str">
        <f>IF(INDEX(I.Facility.P2aIDNumber,3130)="","",INDEX(I.Facility.P2aIDNumber,3130))</f>
        <v/>
      </c>
      <c r="G8142" s="51"/>
      <c r="H8142" s="46" t="str">
        <f>IF(AND(I.Developer.P2a=TRUE,I.Facility.P2aFacilityCount&gt;=3130,F8142=""),"Incomplete","Complete")</f>
        <v>Complete</v>
      </c>
      <c r="I8142" s="48" t="s">
        <v>12507</v>
      </c>
    </row>
    <row r="8143" spans="2:9" ht="15" customHeight="1" x14ac:dyDescent="0.25">
      <c r="B8143" s="55" t="s">
        <v>280</v>
      </c>
      <c r="C8143" s="46">
        <v>3131</v>
      </c>
      <c r="D8143" s="69" t="s">
        <v>29417</v>
      </c>
      <c r="E8143" s="51"/>
      <c r="F8143" s="114" t="str">
        <f>IF(INDEX(I.Facility.P2aIDNumber,3131)="","",INDEX(I.Facility.P2aIDNumber,3131))</f>
        <v/>
      </c>
      <c r="G8143" s="51"/>
      <c r="H8143" s="46" t="str">
        <f>IF(AND(I.Developer.P2a=TRUE,I.Facility.P2aFacilityCount&gt;=3131,F8143=""),"Incomplete","Complete")</f>
        <v>Complete</v>
      </c>
      <c r="I8143" s="48" t="s">
        <v>12508</v>
      </c>
    </row>
    <row r="8144" spans="2:9" ht="15" customHeight="1" x14ac:dyDescent="0.25">
      <c r="B8144" s="55" t="s">
        <v>280</v>
      </c>
      <c r="C8144" s="46">
        <v>3132</v>
      </c>
      <c r="D8144" s="69" t="s">
        <v>29417</v>
      </c>
      <c r="E8144" s="51"/>
      <c r="F8144" s="114" t="str">
        <f>IF(INDEX(I.Facility.P2aIDNumber,3132)="","",INDEX(I.Facility.P2aIDNumber,3132))</f>
        <v/>
      </c>
      <c r="G8144" s="51"/>
      <c r="H8144" s="46" t="str">
        <f>IF(AND(I.Developer.P2a=TRUE,I.Facility.P2aFacilityCount&gt;=3132,F8144=""),"Incomplete","Complete")</f>
        <v>Complete</v>
      </c>
      <c r="I8144" s="48" t="s">
        <v>12509</v>
      </c>
    </row>
    <row r="8145" spans="2:9" ht="15" customHeight="1" x14ac:dyDescent="0.25">
      <c r="B8145" s="55" t="s">
        <v>280</v>
      </c>
      <c r="C8145" s="46">
        <v>3133</v>
      </c>
      <c r="D8145" s="69" t="s">
        <v>29417</v>
      </c>
      <c r="E8145" s="51"/>
      <c r="F8145" s="114" t="str">
        <f>IF(INDEX(I.Facility.P2aIDNumber,3133)="","",INDEX(I.Facility.P2aIDNumber,3133))</f>
        <v/>
      </c>
      <c r="G8145" s="51"/>
      <c r="H8145" s="46" t="str">
        <f>IF(AND(I.Developer.P2a=TRUE,I.Facility.P2aFacilityCount&gt;=3133,F8145=""),"Incomplete","Complete")</f>
        <v>Complete</v>
      </c>
      <c r="I8145" s="48" t="s">
        <v>12510</v>
      </c>
    </row>
    <row r="8146" spans="2:9" ht="15" customHeight="1" x14ac:dyDescent="0.25">
      <c r="B8146" s="55" t="s">
        <v>280</v>
      </c>
      <c r="C8146" s="46">
        <v>3134</v>
      </c>
      <c r="D8146" s="69" t="s">
        <v>29417</v>
      </c>
      <c r="E8146" s="51"/>
      <c r="F8146" s="114" t="str">
        <f>IF(INDEX(I.Facility.P2aIDNumber,3134)="","",INDEX(I.Facility.P2aIDNumber,3134))</f>
        <v/>
      </c>
      <c r="G8146" s="51"/>
      <c r="H8146" s="46" t="str">
        <f>IF(AND(I.Developer.P2a=TRUE,I.Facility.P2aFacilityCount&gt;=3134,F8146=""),"Incomplete","Complete")</f>
        <v>Complete</v>
      </c>
      <c r="I8146" s="48" t="s">
        <v>12511</v>
      </c>
    </row>
    <row r="8147" spans="2:9" ht="15" customHeight="1" x14ac:dyDescent="0.25">
      <c r="B8147" s="55" t="s">
        <v>280</v>
      </c>
      <c r="C8147" s="46">
        <v>3135</v>
      </c>
      <c r="D8147" s="69" t="s">
        <v>29417</v>
      </c>
      <c r="E8147" s="51"/>
      <c r="F8147" s="114" t="str">
        <f>IF(INDEX(I.Facility.P2aIDNumber,3135)="","",INDEX(I.Facility.P2aIDNumber,3135))</f>
        <v/>
      </c>
      <c r="G8147" s="51"/>
      <c r="H8147" s="46" t="str">
        <f>IF(AND(I.Developer.P2a=TRUE,I.Facility.P2aFacilityCount&gt;=3135,F8147=""),"Incomplete","Complete")</f>
        <v>Complete</v>
      </c>
      <c r="I8147" s="48" t="s">
        <v>12512</v>
      </c>
    </row>
    <row r="8148" spans="2:9" ht="15" customHeight="1" x14ac:dyDescent="0.25">
      <c r="B8148" s="55" t="s">
        <v>280</v>
      </c>
      <c r="C8148" s="46">
        <v>3136</v>
      </c>
      <c r="D8148" s="69" t="s">
        <v>29417</v>
      </c>
      <c r="E8148" s="51"/>
      <c r="F8148" s="114" t="str">
        <f>IF(INDEX(I.Facility.P2aIDNumber,3136)="","",INDEX(I.Facility.P2aIDNumber,3136))</f>
        <v/>
      </c>
      <c r="G8148" s="51"/>
      <c r="H8148" s="46" t="str">
        <f>IF(AND(I.Developer.P2a=TRUE,I.Facility.P2aFacilityCount&gt;=3136,F8148=""),"Incomplete","Complete")</f>
        <v>Complete</v>
      </c>
      <c r="I8148" s="48" t="s">
        <v>12513</v>
      </c>
    </row>
    <row r="8149" spans="2:9" ht="15" customHeight="1" x14ac:dyDescent="0.25">
      <c r="B8149" s="55" t="s">
        <v>280</v>
      </c>
      <c r="C8149" s="46">
        <v>3137</v>
      </c>
      <c r="D8149" s="69" t="s">
        <v>29417</v>
      </c>
      <c r="E8149" s="51"/>
      <c r="F8149" s="114" t="str">
        <f>IF(INDEX(I.Facility.P2aIDNumber,3137)="","",INDEX(I.Facility.P2aIDNumber,3137))</f>
        <v/>
      </c>
      <c r="G8149" s="51"/>
      <c r="H8149" s="46" t="str">
        <f>IF(AND(I.Developer.P2a=TRUE,I.Facility.P2aFacilityCount&gt;=3137,F8149=""),"Incomplete","Complete")</f>
        <v>Complete</v>
      </c>
      <c r="I8149" s="48" t="s">
        <v>12514</v>
      </c>
    </row>
    <row r="8150" spans="2:9" ht="15" customHeight="1" x14ac:dyDescent="0.25">
      <c r="B8150" s="55" t="s">
        <v>280</v>
      </c>
      <c r="C8150" s="46">
        <v>3138</v>
      </c>
      <c r="D8150" s="69" t="s">
        <v>29417</v>
      </c>
      <c r="E8150" s="51"/>
      <c r="F8150" s="114" t="str">
        <f>IF(INDEX(I.Facility.P2aIDNumber,3138)="","",INDEX(I.Facility.P2aIDNumber,3138))</f>
        <v/>
      </c>
      <c r="G8150" s="51"/>
      <c r="H8150" s="46" t="str">
        <f>IF(AND(I.Developer.P2a=TRUE,I.Facility.P2aFacilityCount&gt;=3138,F8150=""),"Incomplete","Complete")</f>
        <v>Complete</v>
      </c>
      <c r="I8150" s="48" t="s">
        <v>12515</v>
      </c>
    </row>
    <row r="8151" spans="2:9" ht="15" customHeight="1" x14ac:dyDescent="0.25">
      <c r="B8151" s="55" t="s">
        <v>280</v>
      </c>
      <c r="C8151" s="46">
        <v>3139</v>
      </c>
      <c r="D8151" s="69" t="s">
        <v>29417</v>
      </c>
      <c r="E8151" s="51"/>
      <c r="F8151" s="114" t="str">
        <f>IF(INDEX(I.Facility.P2aIDNumber,3139)="","",INDEX(I.Facility.P2aIDNumber,3139))</f>
        <v/>
      </c>
      <c r="G8151" s="51"/>
      <c r="H8151" s="46" t="str">
        <f>IF(AND(I.Developer.P2a=TRUE,I.Facility.P2aFacilityCount&gt;=3139,F8151=""),"Incomplete","Complete")</f>
        <v>Complete</v>
      </c>
      <c r="I8151" s="48" t="s">
        <v>12516</v>
      </c>
    </row>
    <row r="8152" spans="2:9" ht="15" customHeight="1" x14ac:dyDescent="0.25">
      <c r="B8152" s="55" t="s">
        <v>280</v>
      </c>
      <c r="C8152" s="46">
        <v>3140</v>
      </c>
      <c r="D8152" s="69" t="s">
        <v>29417</v>
      </c>
      <c r="E8152" s="51"/>
      <c r="F8152" s="114" t="str">
        <f>IF(INDEX(I.Facility.P2aIDNumber,3140)="","",INDEX(I.Facility.P2aIDNumber,3140))</f>
        <v/>
      </c>
      <c r="G8152" s="51"/>
      <c r="H8152" s="46" t="str">
        <f>IF(AND(I.Developer.P2a=TRUE,I.Facility.P2aFacilityCount&gt;=3140,F8152=""),"Incomplete","Complete")</f>
        <v>Complete</v>
      </c>
      <c r="I8152" s="48" t="s">
        <v>12517</v>
      </c>
    </row>
    <row r="8153" spans="2:9" ht="15" customHeight="1" x14ac:dyDescent="0.25">
      <c r="B8153" s="55" t="s">
        <v>280</v>
      </c>
      <c r="C8153" s="46">
        <v>3141</v>
      </c>
      <c r="D8153" s="69" t="s">
        <v>29417</v>
      </c>
      <c r="E8153" s="51"/>
      <c r="F8153" s="114" t="str">
        <f>IF(INDEX(I.Facility.P2aIDNumber,3141)="","",INDEX(I.Facility.P2aIDNumber,3141))</f>
        <v/>
      </c>
      <c r="G8153" s="51"/>
      <c r="H8153" s="46" t="str">
        <f>IF(AND(I.Developer.P2a=TRUE,I.Facility.P2aFacilityCount&gt;=3141,F8153=""),"Incomplete","Complete")</f>
        <v>Complete</v>
      </c>
      <c r="I8153" s="48" t="s">
        <v>12518</v>
      </c>
    </row>
    <row r="8154" spans="2:9" ht="15" customHeight="1" x14ac:dyDescent="0.25">
      <c r="B8154" s="55" t="s">
        <v>280</v>
      </c>
      <c r="C8154" s="46">
        <v>3142</v>
      </c>
      <c r="D8154" s="69" t="s">
        <v>29417</v>
      </c>
      <c r="E8154" s="51"/>
      <c r="F8154" s="114" t="str">
        <f>IF(INDEX(I.Facility.P2aIDNumber,3142)="","",INDEX(I.Facility.P2aIDNumber,3142))</f>
        <v/>
      </c>
      <c r="G8154" s="51"/>
      <c r="H8154" s="46" t="str">
        <f>IF(AND(I.Developer.P2a=TRUE,I.Facility.P2aFacilityCount&gt;=3142,F8154=""),"Incomplete","Complete")</f>
        <v>Complete</v>
      </c>
      <c r="I8154" s="48" t="s">
        <v>12519</v>
      </c>
    </row>
    <row r="8155" spans="2:9" ht="15" customHeight="1" x14ac:dyDescent="0.25">
      <c r="B8155" s="55" t="s">
        <v>280</v>
      </c>
      <c r="C8155" s="46">
        <v>3143</v>
      </c>
      <c r="D8155" s="69" t="s">
        <v>29417</v>
      </c>
      <c r="E8155" s="51"/>
      <c r="F8155" s="114" t="str">
        <f>IF(INDEX(I.Facility.P2aIDNumber,3143)="","",INDEX(I.Facility.P2aIDNumber,3143))</f>
        <v/>
      </c>
      <c r="G8155" s="51"/>
      <c r="H8155" s="46" t="str">
        <f>IF(AND(I.Developer.P2a=TRUE,I.Facility.P2aFacilityCount&gt;=3143,F8155=""),"Incomplete","Complete")</f>
        <v>Complete</v>
      </c>
      <c r="I8155" s="48" t="s">
        <v>12520</v>
      </c>
    </row>
    <row r="8156" spans="2:9" ht="15" customHeight="1" x14ac:dyDescent="0.25">
      <c r="B8156" s="55" t="s">
        <v>280</v>
      </c>
      <c r="C8156" s="46">
        <v>3144</v>
      </c>
      <c r="D8156" s="69" t="s">
        <v>29417</v>
      </c>
      <c r="E8156" s="51"/>
      <c r="F8156" s="114" t="str">
        <f>IF(INDEX(I.Facility.P2aIDNumber,3144)="","",INDEX(I.Facility.P2aIDNumber,3144))</f>
        <v/>
      </c>
      <c r="G8156" s="51"/>
      <c r="H8156" s="46" t="str">
        <f>IF(AND(I.Developer.P2a=TRUE,I.Facility.P2aFacilityCount&gt;=3144,F8156=""),"Incomplete","Complete")</f>
        <v>Complete</v>
      </c>
      <c r="I8156" s="48" t="s">
        <v>12521</v>
      </c>
    </row>
    <row r="8157" spans="2:9" ht="15" customHeight="1" x14ac:dyDescent="0.25">
      <c r="B8157" s="55" t="s">
        <v>280</v>
      </c>
      <c r="C8157" s="46">
        <v>3145</v>
      </c>
      <c r="D8157" s="69" t="s">
        <v>29417</v>
      </c>
      <c r="E8157" s="51"/>
      <c r="F8157" s="114" t="str">
        <f>IF(INDEX(I.Facility.P2aIDNumber,3145)="","",INDEX(I.Facility.P2aIDNumber,3145))</f>
        <v/>
      </c>
      <c r="G8157" s="51"/>
      <c r="H8157" s="46" t="str">
        <f>IF(AND(I.Developer.P2a=TRUE,I.Facility.P2aFacilityCount&gt;=3145,F8157=""),"Incomplete","Complete")</f>
        <v>Complete</v>
      </c>
      <c r="I8157" s="48" t="s">
        <v>12522</v>
      </c>
    </row>
    <row r="8158" spans="2:9" ht="15" customHeight="1" x14ac:dyDescent="0.25">
      <c r="B8158" s="55" t="s">
        <v>280</v>
      </c>
      <c r="C8158" s="46">
        <v>3146</v>
      </c>
      <c r="D8158" s="69" t="s">
        <v>29417</v>
      </c>
      <c r="E8158" s="51"/>
      <c r="F8158" s="114" t="str">
        <f>IF(INDEX(I.Facility.P2aIDNumber,3146)="","",INDEX(I.Facility.P2aIDNumber,3146))</f>
        <v/>
      </c>
      <c r="G8158" s="51"/>
      <c r="H8158" s="46" t="str">
        <f>IF(AND(I.Developer.P2a=TRUE,I.Facility.P2aFacilityCount&gt;=3146,F8158=""),"Incomplete","Complete")</f>
        <v>Complete</v>
      </c>
      <c r="I8158" s="48" t="s">
        <v>12523</v>
      </c>
    </row>
    <row r="8159" spans="2:9" ht="15" customHeight="1" x14ac:dyDescent="0.25">
      <c r="B8159" s="55" t="s">
        <v>280</v>
      </c>
      <c r="C8159" s="46">
        <v>3147</v>
      </c>
      <c r="D8159" s="69" t="s">
        <v>29417</v>
      </c>
      <c r="E8159" s="51"/>
      <c r="F8159" s="114" t="str">
        <f>IF(INDEX(I.Facility.P2aIDNumber,3147)="","",INDEX(I.Facility.P2aIDNumber,3147))</f>
        <v/>
      </c>
      <c r="G8159" s="51"/>
      <c r="H8159" s="46" t="str">
        <f>IF(AND(I.Developer.P2a=TRUE,I.Facility.P2aFacilityCount&gt;=3147,F8159=""),"Incomplete","Complete")</f>
        <v>Complete</v>
      </c>
      <c r="I8159" s="48" t="s">
        <v>12524</v>
      </c>
    </row>
    <row r="8160" spans="2:9" ht="15" customHeight="1" x14ac:dyDescent="0.25">
      <c r="B8160" s="55" t="s">
        <v>280</v>
      </c>
      <c r="C8160" s="46">
        <v>3148</v>
      </c>
      <c r="D8160" s="69" t="s">
        <v>29417</v>
      </c>
      <c r="E8160" s="51"/>
      <c r="F8160" s="114" t="str">
        <f>IF(INDEX(I.Facility.P2aIDNumber,3148)="","",INDEX(I.Facility.P2aIDNumber,3148))</f>
        <v/>
      </c>
      <c r="G8160" s="51"/>
      <c r="H8160" s="46" t="str">
        <f>IF(AND(I.Developer.P2a=TRUE,I.Facility.P2aFacilityCount&gt;=3148,F8160=""),"Incomplete","Complete")</f>
        <v>Complete</v>
      </c>
      <c r="I8160" s="48" t="s">
        <v>12525</v>
      </c>
    </row>
    <row r="8161" spans="2:9" ht="15" customHeight="1" x14ac:dyDescent="0.25">
      <c r="B8161" s="55" t="s">
        <v>280</v>
      </c>
      <c r="C8161" s="46">
        <v>3149</v>
      </c>
      <c r="D8161" s="69" t="s">
        <v>29417</v>
      </c>
      <c r="E8161" s="51"/>
      <c r="F8161" s="114" t="str">
        <f>IF(INDEX(I.Facility.P2aIDNumber,3149)="","",INDEX(I.Facility.P2aIDNumber,3149))</f>
        <v/>
      </c>
      <c r="G8161" s="51"/>
      <c r="H8161" s="46" t="str">
        <f>IF(AND(I.Developer.P2a=TRUE,I.Facility.P2aFacilityCount&gt;=3149,F8161=""),"Incomplete","Complete")</f>
        <v>Complete</v>
      </c>
      <c r="I8161" s="48" t="s">
        <v>12526</v>
      </c>
    </row>
    <row r="8162" spans="2:9" ht="15" customHeight="1" x14ac:dyDescent="0.25">
      <c r="B8162" s="55" t="s">
        <v>280</v>
      </c>
      <c r="C8162" s="46">
        <v>3150</v>
      </c>
      <c r="D8162" s="69" t="s">
        <v>29417</v>
      </c>
      <c r="E8162" s="51"/>
      <c r="F8162" s="114" t="str">
        <f>IF(INDEX(I.Facility.P2aIDNumber,3150)="","",INDEX(I.Facility.P2aIDNumber,3150))</f>
        <v/>
      </c>
      <c r="G8162" s="51"/>
      <c r="H8162" s="46" t="str">
        <f>IF(AND(I.Developer.P2a=TRUE,I.Facility.P2aFacilityCount&gt;=3150,F8162=""),"Incomplete","Complete")</f>
        <v>Complete</v>
      </c>
      <c r="I8162" s="48" t="s">
        <v>12527</v>
      </c>
    </row>
    <row r="8163" spans="2:9" ht="15" customHeight="1" x14ac:dyDescent="0.25">
      <c r="B8163" s="55" t="s">
        <v>280</v>
      </c>
      <c r="C8163" s="46">
        <v>3151</v>
      </c>
      <c r="D8163" s="69" t="s">
        <v>29417</v>
      </c>
      <c r="E8163" s="51"/>
      <c r="F8163" s="114" t="str">
        <f>IF(INDEX(I.Facility.P2aIDNumber,3151)="","",INDEX(I.Facility.P2aIDNumber,3151))</f>
        <v/>
      </c>
      <c r="G8163" s="51"/>
      <c r="H8163" s="46" t="str">
        <f>IF(AND(I.Developer.P2a=TRUE,I.Facility.P2aFacilityCount&gt;=3151,F8163=""),"Incomplete","Complete")</f>
        <v>Complete</v>
      </c>
      <c r="I8163" s="48" t="s">
        <v>12528</v>
      </c>
    </row>
    <row r="8164" spans="2:9" ht="15" customHeight="1" x14ac:dyDescent="0.25">
      <c r="B8164" s="55" t="s">
        <v>280</v>
      </c>
      <c r="C8164" s="46">
        <v>3152</v>
      </c>
      <c r="D8164" s="69" t="s">
        <v>29417</v>
      </c>
      <c r="E8164" s="51"/>
      <c r="F8164" s="114" t="str">
        <f>IF(INDEX(I.Facility.P2aIDNumber,3152)="","",INDEX(I.Facility.P2aIDNumber,3152))</f>
        <v/>
      </c>
      <c r="G8164" s="51"/>
      <c r="H8164" s="46" t="str">
        <f>IF(AND(I.Developer.P2a=TRUE,I.Facility.P2aFacilityCount&gt;=3152,F8164=""),"Incomplete","Complete")</f>
        <v>Complete</v>
      </c>
      <c r="I8164" s="48" t="s">
        <v>12529</v>
      </c>
    </row>
    <row r="8165" spans="2:9" ht="15" customHeight="1" x14ac:dyDescent="0.25">
      <c r="B8165" s="55" t="s">
        <v>280</v>
      </c>
      <c r="C8165" s="46">
        <v>3153</v>
      </c>
      <c r="D8165" s="69" t="s">
        <v>29417</v>
      </c>
      <c r="E8165" s="51"/>
      <c r="F8165" s="114" t="str">
        <f>IF(INDEX(I.Facility.P2aIDNumber,3153)="","",INDEX(I.Facility.P2aIDNumber,3153))</f>
        <v/>
      </c>
      <c r="G8165" s="51"/>
      <c r="H8165" s="46" t="str">
        <f>IF(AND(I.Developer.P2a=TRUE,I.Facility.P2aFacilityCount&gt;=3153,F8165=""),"Incomplete","Complete")</f>
        <v>Complete</v>
      </c>
      <c r="I8165" s="48" t="s">
        <v>12530</v>
      </c>
    </row>
    <row r="8166" spans="2:9" ht="15" customHeight="1" x14ac:dyDescent="0.25">
      <c r="B8166" s="55" t="s">
        <v>280</v>
      </c>
      <c r="C8166" s="46">
        <v>3154</v>
      </c>
      <c r="D8166" s="69" t="s">
        <v>29417</v>
      </c>
      <c r="E8166" s="51"/>
      <c r="F8166" s="114" t="str">
        <f>IF(INDEX(I.Facility.P2aIDNumber,3154)="","",INDEX(I.Facility.P2aIDNumber,3154))</f>
        <v/>
      </c>
      <c r="G8166" s="51"/>
      <c r="H8166" s="46" t="str">
        <f>IF(AND(I.Developer.P2a=TRUE,I.Facility.P2aFacilityCount&gt;=3154,F8166=""),"Incomplete","Complete")</f>
        <v>Complete</v>
      </c>
      <c r="I8166" s="48" t="s">
        <v>12531</v>
      </c>
    </row>
    <row r="8167" spans="2:9" ht="15" customHeight="1" x14ac:dyDescent="0.25">
      <c r="B8167" s="55" t="s">
        <v>280</v>
      </c>
      <c r="C8167" s="46">
        <v>3155</v>
      </c>
      <c r="D8167" s="69" t="s">
        <v>29417</v>
      </c>
      <c r="E8167" s="51"/>
      <c r="F8167" s="114" t="str">
        <f>IF(INDEX(I.Facility.P2aIDNumber,3155)="","",INDEX(I.Facility.P2aIDNumber,3155))</f>
        <v/>
      </c>
      <c r="G8167" s="51"/>
      <c r="H8167" s="46" t="str">
        <f>IF(AND(I.Developer.P2a=TRUE,I.Facility.P2aFacilityCount&gt;=3155,F8167=""),"Incomplete","Complete")</f>
        <v>Complete</v>
      </c>
      <c r="I8167" s="48" t="s">
        <v>12532</v>
      </c>
    </row>
    <row r="8168" spans="2:9" ht="15" customHeight="1" x14ac:dyDescent="0.25">
      <c r="B8168" s="55" t="s">
        <v>280</v>
      </c>
      <c r="C8168" s="46">
        <v>3156</v>
      </c>
      <c r="D8168" s="69" t="s">
        <v>29417</v>
      </c>
      <c r="E8168" s="51"/>
      <c r="F8168" s="114" t="str">
        <f>IF(INDEX(I.Facility.P2aIDNumber,3156)="","",INDEX(I.Facility.P2aIDNumber,3156))</f>
        <v/>
      </c>
      <c r="G8168" s="51"/>
      <c r="H8168" s="46" t="str">
        <f>IF(AND(I.Developer.P2a=TRUE,I.Facility.P2aFacilityCount&gt;=3156,F8168=""),"Incomplete","Complete")</f>
        <v>Complete</v>
      </c>
      <c r="I8168" s="48" t="s">
        <v>12533</v>
      </c>
    </row>
    <row r="8169" spans="2:9" ht="15" customHeight="1" x14ac:dyDescent="0.25">
      <c r="B8169" s="55" t="s">
        <v>280</v>
      </c>
      <c r="C8169" s="46">
        <v>3157</v>
      </c>
      <c r="D8169" s="69" t="s">
        <v>29417</v>
      </c>
      <c r="E8169" s="51"/>
      <c r="F8169" s="114" t="str">
        <f>IF(INDEX(I.Facility.P2aIDNumber,3157)="","",INDEX(I.Facility.P2aIDNumber,3157))</f>
        <v/>
      </c>
      <c r="G8169" s="51"/>
      <c r="H8169" s="46" t="str">
        <f>IF(AND(I.Developer.P2a=TRUE,I.Facility.P2aFacilityCount&gt;=3157,F8169=""),"Incomplete","Complete")</f>
        <v>Complete</v>
      </c>
      <c r="I8169" s="48" t="s">
        <v>12534</v>
      </c>
    </row>
    <row r="8170" spans="2:9" ht="15" customHeight="1" x14ac:dyDescent="0.25">
      <c r="B8170" s="55" t="s">
        <v>280</v>
      </c>
      <c r="C8170" s="46">
        <v>3158</v>
      </c>
      <c r="D8170" s="69" t="s">
        <v>29417</v>
      </c>
      <c r="E8170" s="51"/>
      <c r="F8170" s="114" t="str">
        <f>IF(INDEX(I.Facility.P2aIDNumber,3158)="","",INDEX(I.Facility.P2aIDNumber,3158))</f>
        <v/>
      </c>
      <c r="G8170" s="51"/>
      <c r="H8170" s="46" t="str">
        <f>IF(AND(I.Developer.P2a=TRUE,I.Facility.P2aFacilityCount&gt;=3158,F8170=""),"Incomplete","Complete")</f>
        <v>Complete</v>
      </c>
      <c r="I8170" s="48" t="s">
        <v>12535</v>
      </c>
    </row>
    <row r="8171" spans="2:9" ht="15" customHeight="1" x14ac:dyDescent="0.25">
      <c r="B8171" s="55" t="s">
        <v>280</v>
      </c>
      <c r="C8171" s="46">
        <v>3159</v>
      </c>
      <c r="D8171" s="69" t="s">
        <v>29417</v>
      </c>
      <c r="E8171" s="51"/>
      <c r="F8171" s="114" t="str">
        <f>IF(INDEX(I.Facility.P2aIDNumber,3159)="","",INDEX(I.Facility.P2aIDNumber,3159))</f>
        <v/>
      </c>
      <c r="G8171" s="51"/>
      <c r="H8171" s="46" t="str">
        <f>IF(AND(I.Developer.P2a=TRUE,I.Facility.P2aFacilityCount&gt;=3159,F8171=""),"Incomplete","Complete")</f>
        <v>Complete</v>
      </c>
      <c r="I8171" s="48" t="s">
        <v>12536</v>
      </c>
    </row>
    <row r="8172" spans="2:9" ht="15" customHeight="1" x14ac:dyDescent="0.25">
      <c r="B8172" s="55" t="s">
        <v>280</v>
      </c>
      <c r="C8172" s="46">
        <v>3160</v>
      </c>
      <c r="D8172" s="69" t="s">
        <v>29417</v>
      </c>
      <c r="E8172" s="51"/>
      <c r="F8172" s="114" t="str">
        <f>IF(INDEX(I.Facility.P2aIDNumber,3160)="","",INDEX(I.Facility.P2aIDNumber,3160))</f>
        <v/>
      </c>
      <c r="G8172" s="51"/>
      <c r="H8172" s="46" t="str">
        <f>IF(AND(I.Developer.P2a=TRUE,I.Facility.P2aFacilityCount&gt;=3160,F8172=""),"Incomplete","Complete")</f>
        <v>Complete</v>
      </c>
      <c r="I8172" s="48" t="s">
        <v>12537</v>
      </c>
    </row>
    <row r="8173" spans="2:9" ht="15" customHeight="1" x14ac:dyDescent="0.25">
      <c r="B8173" s="55" t="s">
        <v>280</v>
      </c>
      <c r="C8173" s="46">
        <v>3161</v>
      </c>
      <c r="D8173" s="69" t="s">
        <v>29417</v>
      </c>
      <c r="E8173" s="51"/>
      <c r="F8173" s="114" t="str">
        <f>IF(INDEX(I.Facility.P2aIDNumber,3161)="","",INDEX(I.Facility.P2aIDNumber,3161))</f>
        <v/>
      </c>
      <c r="G8173" s="51"/>
      <c r="H8173" s="46" t="str">
        <f>IF(AND(I.Developer.P2a=TRUE,I.Facility.P2aFacilityCount&gt;=3161,F8173=""),"Incomplete","Complete")</f>
        <v>Complete</v>
      </c>
      <c r="I8173" s="48" t="s">
        <v>12538</v>
      </c>
    </row>
    <row r="8174" spans="2:9" ht="15" customHeight="1" x14ac:dyDescent="0.25">
      <c r="B8174" s="55" t="s">
        <v>280</v>
      </c>
      <c r="C8174" s="46">
        <v>3162</v>
      </c>
      <c r="D8174" s="69" t="s">
        <v>29417</v>
      </c>
      <c r="E8174" s="51"/>
      <c r="F8174" s="114" t="str">
        <f>IF(INDEX(I.Facility.P2aIDNumber,3162)="","",INDEX(I.Facility.P2aIDNumber,3162))</f>
        <v/>
      </c>
      <c r="G8174" s="51"/>
      <c r="H8174" s="46" t="str">
        <f>IF(AND(I.Developer.P2a=TRUE,I.Facility.P2aFacilityCount&gt;=3162,F8174=""),"Incomplete","Complete")</f>
        <v>Complete</v>
      </c>
      <c r="I8174" s="48" t="s">
        <v>12539</v>
      </c>
    </row>
    <row r="8175" spans="2:9" ht="15" customHeight="1" x14ac:dyDescent="0.25">
      <c r="B8175" s="55" t="s">
        <v>280</v>
      </c>
      <c r="C8175" s="46">
        <v>3163</v>
      </c>
      <c r="D8175" s="69" t="s">
        <v>29417</v>
      </c>
      <c r="E8175" s="51"/>
      <c r="F8175" s="114" t="str">
        <f>IF(INDEX(I.Facility.P2aIDNumber,3163)="","",INDEX(I.Facility.P2aIDNumber,3163))</f>
        <v/>
      </c>
      <c r="G8175" s="51"/>
      <c r="H8175" s="46" t="str">
        <f>IF(AND(I.Developer.P2a=TRUE,I.Facility.P2aFacilityCount&gt;=3163,F8175=""),"Incomplete","Complete")</f>
        <v>Complete</v>
      </c>
      <c r="I8175" s="48" t="s">
        <v>12540</v>
      </c>
    </row>
    <row r="8176" spans="2:9" ht="15" customHeight="1" x14ac:dyDescent="0.25">
      <c r="B8176" s="55" t="s">
        <v>280</v>
      </c>
      <c r="C8176" s="46">
        <v>3164</v>
      </c>
      <c r="D8176" s="69" t="s">
        <v>29417</v>
      </c>
      <c r="E8176" s="51"/>
      <c r="F8176" s="114" t="str">
        <f>IF(INDEX(I.Facility.P2aIDNumber,3164)="","",INDEX(I.Facility.P2aIDNumber,3164))</f>
        <v/>
      </c>
      <c r="G8176" s="51"/>
      <c r="H8176" s="46" t="str">
        <f>IF(AND(I.Developer.P2a=TRUE,I.Facility.P2aFacilityCount&gt;=3164,F8176=""),"Incomplete","Complete")</f>
        <v>Complete</v>
      </c>
      <c r="I8176" s="48" t="s">
        <v>12541</v>
      </c>
    </row>
    <row r="8177" spans="2:9" ht="15" customHeight="1" x14ac:dyDescent="0.25">
      <c r="B8177" s="55" t="s">
        <v>280</v>
      </c>
      <c r="C8177" s="46">
        <v>3165</v>
      </c>
      <c r="D8177" s="69" t="s">
        <v>29417</v>
      </c>
      <c r="E8177" s="51"/>
      <c r="F8177" s="114" t="str">
        <f>IF(INDEX(I.Facility.P2aIDNumber,3165)="","",INDEX(I.Facility.P2aIDNumber,3165))</f>
        <v/>
      </c>
      <c r="G8177" s="51"/>
      <c r="H8177" s="46" t="str">
        <f>IF(AND(I.Developer.P2a=TRUE,I.Facility.P2aFacilityCount&gt;=3165,F8177=""),"Incomplete","Complete")</f>
        <v>Complete</v>
      </c>
      <c r="I8177" s="48" t="s">
        <v>12542</v>
      </c>
    </row>
    <row r="8178" spans="2:9" ht="15" customHeight="1" x14ac:dyDescent="0.25">
      <c r="B8178" s="55" t="s">
        <v>280</v>
      </c>
      <c r="C8178" s="46">
        <v>3166</v>
      </c>
      <c r="D8178" s="69" t="s">
        <v>29417</v>
      </c>
      <c r="E8178" s="51"/>
      <c r="F8178" s="114" t="str">
        <f>IF(INDEX(I.Facility.P2aIDNumber,3166)="","",INDEX(I.Facility.P2aIDNumber,3166))</f>
        <v/>
      </c>
      <c r="G8178" s="51"/>
      <c r="H8178" s="46" t="str">
        <f>IF(AND(I.Developer.P2a=TRUE,I.Facility.P2aFacilityCount&gt;=3166,F8178=""),"Incomplete","Complete")</f>
        <v>Complete</v>
      </c>
      <c r="I8178" s="48" t="s">
        <v>12543</v>
      </c>
    </row>
    <row r="8179" spans="2:9" ht="15" customHeight="1" x14ac:dyDescent="0.25">
      <c r="B8179" s="55" t="s">
        <v>280</v>
      </c>
      <c r="C8179" s="46">
        <v>3167</v>
      </c>
      <c r="D8179" s="69" t="s">
        <v>29417</v>
      </c>
      <c r="E8179" s="51"/>
      <c r="F8179" s="114" t="str">
        <f>IF(INDEX(I.Facility.P2aIDNumber,3167)="","",INDEX(I.Facility.P2aIDNumber,3167))</f>
        <v/>
      </c>
      <c r="G8179" s="51"/>
      <c r="H8179" s="46" t="str">
        <f>IF(AND(I.Developer.P2a=TRUE,I.Facility.P2aFacilityCount&gt;=3167,F8179=""),"Incomplete","Complete")</f>
        <v>Complete</v>
      </c>
      <c r="I8179" s="48" t="s">
        <v>12544</v>
      </c>
    </row>
    <row r="8180" spans="2:9" ht="15" customHeight="1" x14ac:dyDescent="0.25">
      <c r="B8180" s="55" t="s">
        <v>280</v>
      </c>
      <c r="C8180" s="46">
        <v>3168</v>
      </c>
      <c r="D8180" s="69" t="s">
        <v>29417</v>
      </c>
      <c r="E8180" s="51"/>
      <c r="F8180" s="114" t="str">
        <f>IF(INDEX(I.Facility.P2aIDNumber,3168)="","",INDEX(I.Facility.P2aIDNumber,3168))</f>
        <v/>
      </c>
      <c r="G8180" s="51"/>
      <c r="H8180" s="46" t="str">
        <f>IF(AND(I.Developer.P2a=TRUE,I.Facility.P2aFacilityCount&gt;=3168,F8180=""),"Incomplete","Complete")</f>
        <v>Complete</v>
      </c>
      <c r="I8180" s="48" t="s">
        <v>12545</v>
      </c>
    </row>
    <row r="8181" spans="2:9" ht="15" customHeight="1" x14ac:dyDescent="0.25">
      <c r="B8181" s="55" t="s">
        <v>280</v>
      </c>
      <c r="C8181" s="46">
        <v>3169</v>
      </c>
      <c r="D8181" s="69" t="s">
        <v>29417</v>
      </c>
      <c r="E8181" s="51"/>
      <c r="F8181" s="114" t="str">
        <f>IF(INDEX(I.Facility.P2aIDNumber,3169)="","",INDEX(I.Facility.P2aIDNumber,3169))</f>
        <v/>
      </c>
      <c r="G8181" s="51"/>
      <c r="H8181" s="46" t="str">
        <f>IF(AND(I.Developer.P2a=TRUE,I.Facility.P2aFacilityCount&gt;=3169,F8181=""),"Incomplete","Complete")</f>
        <v>Complete</v>
      </c>
      <c r="I8181" s="48" t="s">
        <v>12546</v>
      </c>
    </row>
    <row r="8182" spans="2:9" ht="15" customHeight="1" x14ac:dyDescent="0.25">
      <c r="B8182" s="55" t="s">
        <v>280</v>
      </c>
      <c r="C8182" s="46">
        <v>3170</v>
      </c>
      <c r="D8182" s="69" t="s">
        <v>29417</v>
      </c>
      <c r="E8182" s="51"/>
      <c r="F8182" s="114" t="str">
        <f>IF(INDEX(I.Facility.P2aIDNumber,3170)="","",INDEX(I.Facility.P2aIDNumber,3170))</f>
        <v/>
      </c>
      <c r="G8182" s="51"/>
      <c r="H8182" s="46" t="str">
        <f>IF(AND(I.Developer.P2a=TRUE,I.Facility.P2aFacilityCount&gt;=3170,F8182=""),"Incomplete","Complete")</f>
        <v>Complete</v>
      </c>
      <c r="I8182" s="48" t="s">
        <v>12547</v>
      </c>
    </row>
    <row r="8183" spans="2:9" ht="15" customHeight="1" x14ac:dyDescent="0.25">
      <c r="B8183" s="55" t="s">
        <v>280</v>
      </c>
      <c r="C8183" s="46">
        <v>3171</v>
      </c>
      <c r="D8183" s="69" t="s">
        <v>29417</v>
      </c>
      <c r="E8183" s="51"/>
      <c r="F8183" s="114" t="str">
        <f>IF(INDEX(I.Facility.P2aIDNumber,3171)="","",INDEX(I.Facility.P2aIDNumber,3171))</f>
        <v/>
      </c>
      <c r="G8183" s="51"/>
      <c r="H8183" s="46" t="str">
        <f>IF(AND(I.Developer.P2a=TRUE,I.Facility.P2aFacilityCount&gt;=3171,F8183=""),"Incomplete","Complete")</f>
        <v>Complete</v>
      </c>
      <c r="I8183" s="48" t="s">
        <v>12548</v>
      </c>
    </row>
    <row r="8184" spans="2:9" ht="15" customHeight="1" x14ac:dyDescent="0.25">
      <c r="B8184" s="55" t="s">
        <v>280</v>
      </c>
      <c r="C8184" s="46">
        <v>3172</v>
      </c>
      <c r="D8184" s="69" t="s">
        <v>29417</v>
      </c>
      <c r="E8184" s="51"/>
      <c r="F8184" s="114" t="str">
        <f>IF(INDEX(I.Facility.P2aIDNumber,3172)="","",INDEX(I.Facility.P2aIDNumber,3172))</f>
        <v/>
      </c>
      <c r="G8184" s="51"/>
      <c r="H8184" s="46" t="str">
        <f>IF(AND(I.Developer.P2a=TRUE,I.Facility.P2aFacilityCount&gt;=3172,F8184=""),"Incomplete","Complete")</f>
        <v>Complete</v>
      </c>
      <c r="I8184" s="48" t="s">
        <v>12549</v>
      </c>
    </row>
    <row r="8185" spans="2:9" ht="15" customHeight="1" x14ac:dyDescent="0.25">
      <c r="B8185" s="55" t="s">
        <v>280</v>
      </c>
      <c r="C8185" s="46">
        <v>3173</v>
      </c>
      <c r="D8185" s="69" t="s">
        <v>29417</v>
      </c>
      <c r="E8185" s="51"/>
      <c r="F8185" s="114" t="str">
        <f>IF(INDEX(I.Facility.P2aIDNumber,3173)="","",INDEX(I.Facility.P2aIDNumber,3173))</f>
        <v/>
      </c>
      <c r="G8185" s="51"/>
      <c r="H8185" s="46" t="str">
        <f>IF(AND(I.Developer.P2a=TRUE,I.Facility.P2aFacilityCount&gt;=3173,F8185=""),"Incomplete","Complete")</f>
        <v>Complete</v>
      </c>
      <c r="I8185" s="48" t="s">
        <v>12550</v>
      </c>
    </row>
    <row r="8186" spans="2:9" ht="15" customHeight="1" x14ac:dyDescent="0.25">
      <c r="B8186" s="55" t="s">
        <v>280</v>
      </c>
      <c r="C8186" s="46">
        <v>3174</v>
      </c>
      <c r="D8186" s="69" t="s">
        <v>29417</v>
      </c>
      <c r="E8186" s="51"/>
      <c r="F8186" s="114" t="str">
        <f>IF(INDEX(I.Facility.P2aIDNumber,3174)="","",INDEX(I.Facility.P2aIDNumber,3174))</f>
        <v/>
      </c>
      <c r="G8186" s="51"/>
      <c r="H8186" s="46" t="str">
        <f>IF(AND(I.Developer.P2a=TRUE,I.Facility.P2aFacilityCount&gt;=3174,F8186=""),"Incomplete","Complete")</f>
        <v>Complete</v>
      </c>
      <c r="I8186" s="48" t="s">
        <v>12551</v>
      </c>
    </row>
    <row r="8187" spans="2:9" ht="15" customHeight="1" x14ac:dyDescent="0.25">
      <c r="B8187" s="55" t="s">
        <v>280</v>
      </c>
      <c r="C8187" s="46">
        <v>3175</v>
      </c>
      <c r="D8187" s="69" t="s">
        <v>29417</v>
      </c>
      <c r="E8187" s="51"/>
      <c r="F8187" s="114" t="str">
        <f>IF(INDEX(I.Facility.P2aIDNumber,3175)="","",INDEX(I.Facility.P2aIDNumber,3175))</f>
        <v/>
      </c>
      <c r="G8187" s="51"/>
      <c r="H8187" s="46" t="str">
        <f>IF(AND(I.Developer.P2a=TRUE,I.Facility.P2aFacilityCount&gt;=3175,F8187=""),"Incomplete","Complete")</f>
        <v>Complete</v>
      </c>
      <c r="I8187" s="48" t="s">
        <v>12552</v>
      </c>
    </row>
    <row r="8188" spans="2:9" ht="15" customHeight="1" x14ac:dyDescent="0.25">
      <c r="B8188" s="55" t="s">
        <v>280</v>
      </c>
      <c r="C8188" s="46">
        <v>3176</v>
      </c>
      <c r="D8188" s="69" t="s">
        <v>29417</v>
      </c>
      <c r="E8188" s="51"/>
      <c r="F8188" s="114" t="str">
        <f>IF(INDEX(I.Facility.P2aIDNumber,3176)="","",INDEX(I.Facility.P2aIDNumber,3176))</f>
        <v/>
      </c>
      <c r="G8188" s="51"/>
      <c r="H8188" s="46" t="str">
        <f>IF(AND(I.Developer.P2a=TRUE,I.Facility.P2aFacilityCount&gt;=3176,F8188=""),"Incomplete","Complete")</f>
        <v>Complete</v>
      </c>
      <c r="I8188" s="48" t="s">
        <v>12553</v>
      </c>
    </row>
    <row r="8189" spans="2:9" ht="15" customHeight="1" x14ac:dyDescent="0.25">
      <c r="B8189" s="55" t="s">
        <v>280</v>
      </c>
      <c r="C8189" s="46">
        <v>3177</v>
      </c>
      <c r="D8189" s="69" t="s">
        <v>29417</v>
      </c>
      <c r="E8189" s="51"/>
      <c r="F8189" s="114" t="str">
        <f>IF(INDEX(I.Facility.P2aIDNumber,3177)="","",INDEX(I.Facility.P2aIDNumber,3177))</f>
        <v/>
      </c>
      <c r="G8189" s="51"/>
      <c r="H8189" s="46" t="str">
        <f>IF(AND(I.Developer.P2a=TRUE,I.Facility.P2aFacilityCount&gt;=3177,F8189=""),"Incomplete","Complete")</f>
        <v>Complete</v>
      </c>
      <c r="I8189" s="48" t="s">
        <v>12554</v>
      </c>
    </row>
    <row r="8190" spans="2:9" ht="15" customHeight="1" x14ac:dyDescent="0.25">
      <c r="B8190" s="55" t="s">
        <v>280</v>
      </c>
      <c r="C8190" s="46">
        <v>3178</v>
      </c>
      <c r="D8190" s="69" t="s">
        <v>29417</v>
      </c>
      <c r="E8190" s="51"/>
      <c r="F8190" s="114" t="str">
        <f>IF(INDEX(I.Facility.P2aIDNumber,3178)="","",INDEX(I.Facility.P2aIDNumber,3178))</f>
        <v/>
      </c>
      <c r="G8190" s="51"/>
      <c r="H8190" s="46" t="str">
        <f>IF(AND(I.Developer.P2a=TRUE,I.Facility.P2aFacilityCount&gt;=3178,F8190=""),"Incomplete","Complete")</f>
        <v>Complete</v>
      </c>
      <c r="I8190" s="48" t="s">
        <v>12555</v>
      </c>
    </row>
    <row r="8191" spans="2:9" ht="15" customHeight="1" x14ac:dyDescent="0.25">
      <c r="B8191" s="55" t="s">
        <v>280</v>
      </c>
      <c r="C8191" s="46">
        <v>3179</v>
      </c>
      <c r="D8191" s="69" t="s">
        <v>29417</v>
      </c>
      <c r="E8191" s="51"/>
      <c r="F8191" s="114" t="str">
        <f>IF(INDEX(I.Facility.P2aIDNumber,3179)="","",INDEX(I.Facility.P2aIDNumber,3179))</f>
        <v/>
      </c>
      <c r="G8191" s="51"/>
      <c r="H8191" s="46" t="str">
        <f>IF(AND(I.Developer.P2a=TRUE,I.Facility.P2aFacilityCount&gt;=3179,F8191=""),"Incomplete","Complete")</f>
        <v>Complete</v>
      </c>
      <c r="I8191" s="48" t="s">
        <v>12556</v>
      </c>
    </row>
    <row r="8192" spans="2:9" ht="15" customHeight="1" x14ac:dyDescent="0.25">
      <c r="B8192" s="55" t="s">
        <v>280</v>
      </c>
      <c r="C8192" s="46">
        <v>3180</v>
      </c>
      <c r="D8192" s="69" t="s">
        <v>29417</v>
      </c>
      <c r="E8192" s="51"/>
      <c r="F8192" s="114" t="str">
        <f>IF(INDEX(I.Facility.P2aIDNumber,3180)="","",INDEX(I.Facility.P2aIDNumber,3180))</f>
        <v/>
      </c>
      <c r="G8192" s="51"/>
      <c r="H8192" s="46" t="str">
        <f>IF(AND(I.Developer.P2a=TRUE,I.Facility.P2aFacilityCount&gt;=3180,F8192=""),"Incomplete","Complete")</f>
        <v>Complete</v>
      </c>
      <c r="I8192" s="48" t="s">
        <v>12557</v>
      </c>
    </row>
    <row r="8193" spans="2:9" ht="15" customHeight="1" x14ac:dyDescent="0.25">
      <c r="B8193" s="55" t="s">
        <v>280</v>
      </c>
      <c r="C8193" s="46">
        <v>3181</v>
      </c>
      <c r="D8193" s="69" t="s">
        <v>29417</v>
      </c>
      <c r="E8193" s="51"/>
      <c r="F8193" s="114" t="str">
        <f>IF(INDEX(I.Facility.P2aIDNumber,3181)="","",INDEX(I.Facility.P2aIDNumber,3181))</f>
        <v/>
      </c>
      <c r="G8193" s="51"/>
      <c r="H8193" s="46" t="str">
        <f>IF(AND(I.Developer.P2a=TRUE,I.Facility.P2aFacilityCount&gt;=3181,F8193=""),"Incomplete","Complete")</f>
        <v>Complete</v>
      </c>
      <c r="I8193" s="48" t="s">
        <v>12558</v>
      </c>
    </row>
    <row r="8194" spans="2:9" ht="15" customHeight="1" x14ac:dyDescent="0.25">
      <c r="B8194" s="55" t="s">
        <v>280</v>
      </c>
      <c r="C8194" s="46">
        <v>3182</v>
      </c>
      <c r="D8194" s="69" t="s">
        <v>29417</v>
      </c>
      <c r="E8194" s="51"/>
      <c r="F8194" s="114" t="str">
        <f>IF(INDEX(I.Facility.P2aIDNumber,3182)="","",INDEX(I.Facility.P2aIDNumber,3182))</f>
        <v/>
      </c>
      <c r="G8194" s="51"/>
      <c r="H8194" s="46" t="str">
        <f>IF(AND(I.Developer.P2a=TRUE,I.Facility.P2aFacilityCount&gt;=3182,F8194=""),"Incomplete","Complete")</f>
        <v>Complete</v>
      </c>
      <c r="I8194" s="48" t="s">
        <v>12559</v>
      </c>
    </row>
    <row r="8195" spans="2:9" ht="15" customHeight="1" x14ac:dyDescent="0.25">
      <c r="B8195" s="55" t="s">
        <v>280</v>
      </c>
      <c r="C8195" s="46">
        <v>3183</v>
      </c>
      <c r="D8195" s="69" t="s">
        <v>29417</v>
      </c>
      <c r="E8195" s="51"/>
      <c r="F8195" s="114" t="str">
        <f>IF(INDEX(I.Facility.P2aIDNumber,3183)="","",INDEX(I.Facility.P2aIDNumber,3183))</f>
        <v/>
      </c>
      <c r="G8195" s="51"/>
      <c r="H8195" s="46" t="str">
        <f>IF(AND(I.Developer.P2a=TRUE,I.Facility.P2aFacilityCount&gt;=3183,F8195=""),"Incomplete","Complete")</f>
        <v>Complete</v>
      </c>
      <c r="I8195" s="48" t="s">
        <v>12560</v>
      </c>
    </row>
    <row r="8196" spans="2:9" ht="15" customHeight="1" x14ac:dyDescent="0.25">
      <c r="B8196" s="55" t="s">
        <v>280</v>
      </c>
      <c r="C8196" s="46">
        <v>3184</v>
      </c>
      <c r="D8196" s="69" t="s">
        <v>29417</v>
      </c>
      <c r="E8196" s="51"/>
      <c r="F8196" s="114" t="str">
        <f>IF(INDEX(I.Facility.P2aIDNumber,3184)="","",INDEX(I.Facility.P2aIDNumber,3184))</f>
        <v/>
      </c>
      <c r="G8196" s="51"/>
      <c r="H8196" s="46" t="str">
        <f>IF(AND(I.Developer.P2a=TRUE,I.Facility.P2aFacilityCount&gt;=3184,F8196=""),"Incomplete","Complete")</f>
        <v>Complete</v>
      </c>
      <c r="I8196" s="48" t="s">
        <v>12561</v>
      </c>
    </row>
    <row r="8197" spans="2:9" ht="15" customHeight="1" x14ac:dyDescent="0.25">
      <c r="B8197" s="55" t="s">
        <v>280</v>
      </c>
      <c r="C8197" s="46">
        <v>3185</v>
      </c>
      <c r="D8197" s="69" t="s">
        <v>29417</v>
      </c>
      <c r="E8197" s="51"/>
      <c r="F8197" s="114" t="str">
        <f>IF(INDEX(I.Facility.P2aIDNumber,3185)="","",INDEX(I.Facility.P2aIDNumber,3185))</f>
        <v/>
      </c>
      <c r="G8197" s="51"/>
      <c r="H8197" s="46" t="str">
        <f>IF(AND(I.Developer.P2a=TRUE,I.Facility.P2aFacilityCount&gt;=3185,F8197=""),"Incomplete","Complete")</f>
        <v>Complete</v>
      </c>
      <c r="I8197" s="48" t="s">
        <v>12562</v>
      </c>
    </row>
    <row r="8198" spans="2:9" ht="15" customHeight="1" x14ac:dyDescent="0.25">
      <c r="B8198" s="55" t="s">
        <v>280</v>
      </c>
      <c r="C8198" s="46">
        <v>3186</v>
      </c>
      <c r="D8198" s="69" t="s">
        <v>29417</v>
      </c>
      <c r="E8198" s="51"/>
      <c r="F8198" s="114" t="str">
        <f>IF(INDEX(I.Facility.P2aIDNumber,3186)="","",INDEX(I.Facility.P2aIDNumber,3186))</f>
        <v/>
      </c>
      <c r="G8198" s="51"/>
      <c r="H8198" s="46" t="str">
        <f>IF(AND(I.Developer.P2a=TRUE,I.Facility.P2aFacilityCount&gt;=3186,F8198=""),"Incomplete","Complete")</f>
        <v>Complete</v>
      </c>
      <c r="I8198" s="48" t="s">
        <v>12563</v>
      </c>
    </row>
    <row r="8199" spans="2:9" ht="15" customHeight="1" x14ac:dyDescent="0.25">
      <c r="B8199" s="55" t="s">
        <v>280</v>
      </c>
      <c r="C8199" s="46">
        <v>3187</v>
      </c>
      <c r="D8199" s="69" t="s">
        <v>29417</v>
      </c>
      <c r="E8199" s="51"/>
      <c r="F8199" s="114" t="str">
        <f>IF(INDEX(I.Facility.P2aIDNumber,3187)="","",INDEX(I.Facility.P2aIDNumber,3187))</f>
        <v/>
      </c>
      <c r="G8199" s="51"/>
      <c r="H8199" s="46" t="str">
        <f>IF(AND(I.Developer.P2a=TRUE,I.Facility.P2aFacilityCount&gt;=3187,F8199=""),"Incomplete","Complete")</f>
        <v>Complete</v>
      </c>
      <c r="I8199" s="48" t="s">
        <v>12564</v>
      </c>
    </row>
    <row r="8200" spans="2:9" ht="15" customHeight="1" x14ac:dyDescent="0.25">
      <c r="B8200" s="55" t="s">
        <v>280</v>
      </c>
      <c r="C8200" s="46">
        <v>3188</v>
      </c>
      <c r="D8200" s="69" t="s">
        <v>29417</v>
      </c>
      <c r="E8200" s="51"/>
      <c r="F8200" s="114" t="str">
        <f>IF(INDEX(I.Facility.P2aIDNumber,3188)="","",INDEX(I.Facility.P2aIDNumber,3188))</f>
        <v/>
      </c>
      <c r="G8200" s="51"/>
      <c r="H8200" s="46" t="str">
        <f>IF(AND(I.Developer.P2a=TRUE,I.Facility.P2aFacilityCount&gt;=3188,F8200=""),"Incomplete","Complete")</f>
        <v>Complete</v>
      </c>
      <c r="I8200" s="48" t="s">
        <v>12565</v>
      </c>
    </row>
    <row r="8201" spans="2:9" ht="15" customHeight="1" x14ac:dyDescent="0.25">
      <c r="B8201" s="55" t="s">
        <v>280</v>
      </c>
      <c r="C8201" s="46">
        <v>3189</v>
      </c>
      <c r="D8201" s="69" t="s">
        <v>29417</v>
      </c>
      <c r="E8201" s="51"/>
      <c r="F8201" s="114" t="str">
        <f>IF(INDEX(I.Facility.P2aIDNumber,3189)="","",INDEX(I.Facility.P2aIDNumber,3189))</f>
        <v/>
      </c>
      <c r="G8201" s="51"/>
      <c r="H8201" s="46" t="str">
        <f>IF(AND(I.Developer.P2a=TRUE,I.Facility.P2aFacilityCount&gt;=3189,F8201=""),"Incomplete","Complete")</f>
        <v>Complete</v>
      </c>
      <c r="I8201" s="48" t="s">
        <v>12566</v>
      </c>
    </row>
    <row r="8202" spans="2:9" ht="15" customHeight="1" x14ac:dyDescent="0.25">
      <c r="B8202" s="55" t="s">
        <v>280</v>
      </c>
      <c r="C8202" s="46">
        <v>3190</v>
      </c>
      <c r="D8202" s="69" t="s">
        <v>29417</v>
      </c>
      <c r="E8202" s="51"/>
      <c r="F8202" s="114" t="str">
        <f>IF(INDEX(I.Facility.P2aIDNumber,3190)="","",INDEX(I.Facility.P2aIDNumber,3190))</f>
        <v/>
      </c>
      <c r="G8202" s="51"/>
      <c r="H8202" s="46" t="str">
        <f>IF(AND(I.Developer.P2a=TRUE,I.Facility.P2aFacilityCount&gt;=3190,F8202=""),"Incomplete","Complete")</f>
        <v>Complete</v>
      </c>
      <c r="I8202" s="48" t="s">
        <v>12567</v>
      </c>
    </row>
    <row r="8203" spans="2:9" ht="15" customHeight="1" x14ac:dyDescent="0.25">
      <c r="B8203" s="55" t="s">
        <v>280</v>
      </c>
      <c r="C8203" s="46">
        <v>3191</v>
      </c>
      <c r="D8203" s="69" t="s">
        <v>29417</v>
      </c>
      <c r="E8203" s="51"/>
      <c r="F8203" s="114" t="str">
        <f>IF(INDEX(I.Facility.P2aIDNumber,3191)="","",INDEX(I.Facility.P2aIDNumber,3191))</f>
        <v/>
      </c>
      <c r="G8203" s="51"/>
      <c r="H8203" s="46" t="str">
        <f>IF(AND(I.Developer.P2a=TRUE,I.Facility.P2aFacilityCount&gt;=3191,F8203=""),"Incomplete","Complete")</f>
        <v>Complete</v>
      </c>
      <c r="I8203" s="48" t="s">
        <v>12568</v>
      </c>
    </row>
    <row r="8204" spans="2:9" ht="15" customHeight="1" x14ac:dyDescent="0.25">
      <c r="B8204" s="55" t="s">
        <v>280</v>
      </c>
      <c r="C8204" s="46">
        <v>3192</v>
      </c>
      <c r="D8204" s="69" t="s">
        <v>29417</v>
      </c>
      <c r="E8204" s="51"/>
      <c r="F8204" s="114" t="str">
        <f>IF(INDEX(I.Facility.P2aIDNumber,3192)="","",INDEX(I.Facility.P2aIDNumber,3192))</f>
        <v/>
      </c>
      <c r="G8204" s="51"/>
      <c r="H8204" s="46" t="str">
        <f>IF(AND(I.Developer.P2a=TRUE,I.Facility.P2aFacilityCount&gt;=3192,F8204=""),"Incomplete","Complete")</f>
        <v>Complete</v>
      </c>
      <c r="I8204" s="48" t="s">
        <v>12569</v>
      </c>
    </row>
    <row r="8205" spans="2:9" ht="15" customHeight="1" x14ac:dyDescent="0.25">
      <c r="B8205" s="55" t="s">
        <v>280</v>
      </c>
      <c r="C8205" s="46">
        <v>3193</v>
      </c>
      <c r="D8205" s="69" t="s">
        <v>29417</v>
      </c>
      <c r="E8205" s="51"/>
      <c r="F8205" s="114" t="str">
        <f>IF(INDEX(I.Facility.P2aIDNumber,3193)="","",INDEX(I.Facility.P2aIDNumber,3193))</f>
        <v/>
      </c>
      <c r="G8205" s="51"/>
      <c r="H8205" s="46" t="str">
        <f>IF(AND(I.Developer.P2a=TRUE,I.Facility.P2aFacilityCount&gt;=3193,F8205=""),"Incomplete","Complete")</f>
        <v>Complete</v>
      </c>
      <c r="I8205" s="48" t="s">
        <v>12570</v>
      </c>
    </row>
    <row r="8206" spans="2:9" ht="15" customHeight="1" x14ac:dyDescent="0.25">
      <c r="B8206" s="55" t="s">
        <v>280</v>
      </c>
      <c r="C8206" s="46">
        <v>3194</v>
      </c>
      <c r="D8206" s="69" t="s">
        <v>29417</v>
      </c>
      <c r="E8206" s="51"/>
      <c r="F8206" s="114" t="str">
        <f>IF(INDEX(I.Facility.P2aIDNumber,3194)="","",INDEX(I.Facility.P2aIDNumber,3194))</f>
        <v/>
      </c>
      <c r="G8206" s="51"/>
      <c r="H8206" s="46" t="str">
        <f>IF(AND(I.Developer.P2a=TRUE,I.Facility.P2aFacilityCount&gt;=3194,F8206=""),"Incomplete","Complete")</f>
        <v>Complete</v>
      </c>
      <c r="I8206" s="48" t="s">
        <v>12571</v>
      </c>
    </row>
    <row r="8207" spans="2:9" ht="15" customHeight="1" x14ac:dyDescent="0.25">
      <c r="B8207" s="55" t="s">
        <v>280</v>
      </c>
      <c r="C8207" s="46">
        <v>3195</v>
      </c>
      <c r="D8207" s="69" t="s">
        <v>29417</v>
      </c>
      <c r="E8207" s="51"/>
      <c r="F8207" s="114" t="str">
        <f>IF(INDEX(I.Facility.P2aIDNumber,3195)="","",INDEX(I.Facility.P2aIDNumber,3195))</f>
        <v/>
      </c>
      <c r="G8207" s="51"/>
      <c r="H8207" s="46" t="str">
        <f>IF(AND(I.Developer.P2a=TRUE,I.Facility.P2aFacilityCount&gt;=3195,F8207=""),"Incomplete","Complete")</f>
        <v>Complete</v>
      </c>
      <c r="I8207" s="48" t="s">
        <v>12572</v>
      </c>
    </row>
    <row r="8208" spans="2:9" ht="15" customHeight="1" x14ac:dyDescent="0.25">
      <c r="B8208" s="55" t="s">
        <v>280</v>
      </c>
      <c r="C8208" s="46">
        <v>3196</v>
      </c>
      <c r="D8208" s="69" t="s">
        <v>29417</v>
      </c>
      <c r="E8208" s="51"/>
      <c r="F8208" s="114" t="str">
        <f>IF(INDEX(I.Facility.P2aIDNumber,3196)="","",INDEX(I.Facility.P2aIDNumber,3196))</f>
        <v/>
      </c>
      <c r="G8208" s="51"/>
      <c r="H8208" s="46" t="str">
        <f>IF(AND(I.Developer.P2a=TRUE,I.Facility.P2aFacilityCount&gt;=3196,F8208=""),"Incomplete","Complete")</f>
        <v>Complete</v>
      </c>
      <c r="I8208" s="48" t="s">
        <v>12573</v>
      </c>
    </row>
    <row r="8209" spans="2:9" ht="15" customHeight="1" x14ac:dyDescent="0.25">
      <c r="B8209" s="55" t="s">
        <v>280</v>
      </c>
      <c r="C8209" s="46">
        <v>3197</v>
      </c>
      <c r="D8209" s="69" t="s">
        <v>29417</v>
      </c>
      <c r="E8209" s="51"/>
      <c r="F8209" s="114" t="str">
        <f>IF(INDEX(I.Facility.P2aIDNumber,3197)="","",INDEX(I.Facility.P2aIDNumber,3197))</f>
        <v/>
      </c>
      <c r="G8209" s="51"/>
      <c r="H8209" s="46" t="str">
        <f>IF(AND(I.Developer.P2a=TRUE,I.Facility.P2aFacilityCount&gt;=3197,F8209=""),"Incomplete","Complete")</f>
        <v>Complete</v>
      </c>
      <c r="I8209" s="48" t="s">
        <v>12574</v>
      </c>
    </row>
    <row r="8210" spans="2:9" ht="15" customHeight="1" x14ac:dyDescent="0.25">
      <c r="B8210" s="55" t="s">
        <v>280</v>
      </c>
      <c r="C8210" s="46">
        <v>3198</v>
      </c>
      <c r="D8210" s="69" t="s">
        <v>29417</v>
      </c>
      <c r="E8210" s="51"/>
      <c r="F8210" s="114" t="str">
        <f>IF(INDEX(I.Facility.P2aIDNumber,3198)="","",INDEX(I.Facility.P2aIDNumber,3198))</f>
        <v/>
      </c>
      <c r="G8210" s="51"/>
      <c r="H8210" s="46" t="str">
        <f>IF(AND(I.Developer.P2a=TRUE,I.Facility.P2aFacilityCount&gt;=3198,F8210=""),"Incomplete","Complete")</f>
        <v>Complete</v>
      </c>
      <c r="I8210" s="48" t="s">
        <v>12575</v>
      </c>
    </row>
    <row r="8211" spans="2:9" ht="15" customHeight="1" x14ac:dyDescent="0.25">
      <c r="B8211" s="55" t="s">
        <v>280</v>
      </c>
      <c r="C8211" s="46">
        <v>3199</v>
      </c>
      <c r="D8211" s="69" t="s">
        <v>29417</v>
      </c>
      <c r="E8211" s="51"/>
      <c r="F8211" s="114" t="str">
        <f>IF(INDEX(I.Facility.P2aIDNumber,3199)="","",INDEX(I.Facility.P2aIDNumber,3199))</f>
        <v/>
      </c>
      <c r="G8211" s="51"/>
      <c r="H8211" s="46" t="str">
        <f>IF(AND(I.Developer.P2a=TRUE,I.Facility.P2aFacilityCount&gt;=3199,F8211=""),"Incomplete","Complete")</f>
        <v>Complete</v>
      </c>
      <c r="I8211" s="48" t="s">
        <v>12576</v>
      </c>
    </row>
    <row r="8212" spans="2:9" ht="15" customHeight="1" x14ac:dyDescent="0.25">
      <c r="B8212" s="55" t="s">
        <v>280</v>
      </c>
      <c r="C8212" s="46">
        <v>3200</v>
      </c>
      <c r="D8212" s="69" t="s">
        <v>29417</v>
      </c>
      <c r="E8212" s="51"/>
      <c r="F8212" s="114" t="str">
        <f>IF(INDEX(I.Facility.P2aIDNumber,3200)="","",INDEX(I.Facility.P2aIDNumber,3200))</f>
        <v/>
      </c>
      <c r="G8212" s="51"/>
      <c r="H8212" s="46" t="str">
        <f>IF(AND(I.Developer.P2a=TRUE,I.Facility.P2aFacilityCount&gt;=3200,F8212=""),"Incomplete","Complete")</f>
        <v>Complete</v>
      </c>
      <c r="I8212" s="48" t="s">
        <v>12577</v>
      </c>
    </row>
    <row r="8213" spans="2:9" ht="15" customHeight="1" x14ac:dyDescent="0.25">
      <c r="B8213" s="55" t="s">
        <v>280</v>
      </c>
      <c r="C8213" s="46">
        <v>3201</v>
      </c>
      <c r="D8213" s="69" t="s">
        <v>29417</v>
      </c>
      <c r="E8213" s="51"/>
      <c r="F8213" s="114" t="str">
        <f>IF(INDEX(I.Facility.P2aIDNumber,3201)="","",INDEX(I.Facility.P2aIDNumber,3201))</f>
        <v/>
      </c>
      <c r="G8213" s="51"/>
      <c r="H8213" s="46" t="str">
        <f>IF(AND(I.Developer.P2a=TRUE,I.Facility.P2aFacilityCount&gt;=3201,F8213=""),"Incomplete","Complete")</f>
        <v>Complete</v>
      </c>
      <c r="I8213" s="48" t="s">
        <v>12578</v>
      </c>
    </row>
    <row r="8214" spans="2:9" ht="15" customHeight="1" x14ac:dyDescent="0.25">
      <c r="B8214" s="55" t="s">
        <v>280</v>
      </c>
      <c r="C8214" s="46">
        <v>3202</v>
      </c>
      <c r="D8214" s="69" t="s">
        <v>29417</v>
      </c>
      <c r="E8214" s="51"/>
      <c r="F8214" s="114" t="str">
        <f>IF(INDEX(I.Facility.P2aIDNumber,3202)="","",INDEX(I.Facility.P2aIDNumber,3202))</f>
        <v/>
      </c>
      <c r="G8214" s="51"/>
      <c r="H8214" s="46" t="str">
        <f>IF(AND(I.Developer.P2a=TRUE,I.Facility.P2aFacilityCount&gt;=3202,F8214=""),"Incomplete","Complete")</f>
        <v>Complete</v>
      </c>
      <c r="I8214" s="48" t="s">
        <v>12579</v>
      </c>
    </row>
    <row r="8215" spans="2:9" ht="15" customHeight="1" x14ac:dyDescent="0.25">
      <c r="B8215" s="55" t="s">
        <v>280</v>
      </c>
      <c r="C8215" s="46">
        <v>3203</v>
      </c>
      <c r="D8215" s="69" t="s">
        <v>29417</v>
      </c>
      <c r="E8215" s="51"/>
      <c r="F8215" s="114" t="str">
        <f>IF(INDEX(I.Facility.P2aIDNumber,3203)="","",INDEX(I.Facility.P2aIDNumber,3203))</f>
        <v/>
      </c>
      <c r="G8215" s="51"/>
      <c r="H8215" s="46" t="str">
        <f>IF(AND(I.Developer.P2a=TRUE,I.Facility.P2aFacilityCount&gt;=3203,F8215=""),"Incomplete","Complete")</f>
        <v>Complete</v>
      </c>
      <c r="I8215" s="48" t="s">
        <v>12580</v>
      </c>
    </row>
    <row r="8216" spans="2:9" ht="15" customHeight="1" x14ac:dyDescent="0.25">
      <c r="B8216" s="55" t="s">
        <v>280</v>
      </c>
      <c r="C8216" s="46">
        <v>3204</v>
      </c>
      <c r="D8216" s="69" t="s">
        <v>29417</v>
      </c>
      <c r="E8216" s="51"/>
      <c r="F8216" s="114" t="str">
        <f>IF(INDEX(I.Facility.P2aIDNumber,3204)="","",INDEX(I.Facility.P2aIDNumber,3204))</f>
        <v/>
      </c>
      <c r="G8216" s="51"/>
      <c r="H8216" s="46" t="str">
        <f>IF(AND(I.Developer.P2a=TRUE,I.Facility.P2aFacilityCount&gt;=3204,F8216=""),"Incomplete","Complete")</f>
        <v>Complete</v>
      </c>
      <c r="I8216" s="48" t="s">
        <v>12581</v>
      </c>
    </row>
    <row r="8217" spans="2:9" ht="15" customHeight="1" x14ac:dyDescent="0.25">
      <c r="B8217" s="55" t="s">
        <v>280</v>
      </c>
      <c r="C8217" s="46">
        <v>3205</v>
      </c>
      <c r="D8217" s="69" t="s">
        <v>29417</v>
      </c>
      <c r="E8217" s="51"/>
      <c r="F8217" s="114" t="str">
        <f>IF(INDEX(I.Facility.P2aIDNumber,3205)="","",INDEX(I.Facility.P2aIDNumber,3205))</f>
        <v/>
      </c>
      <c r="G8217" s="51"/>
      <c r="H8217" s="46" t="str">
        <f>IF(AND(I.Developer.P2a=TRUE,I.Facility.P2aFacilityCount&gt;=3205,F8217=""),"Incomplete","Complete")</f>
        <v>Complete</v>
      </c>
      <c r="I8217" s="48" t="s">
        <v>12582</v>
      </c>
    </row>
    <row r="8218" spans="2:9" ht="15" customHeight="1" x14ac:dyDescent="0.25">
      <c r="B8218" s="55" t="s">
        <v>280</v>
      </c>
      <c r="C8218" s="46">
        <v>3206</v>
      </c>
      <c r="D8218" s="69" t="s">
        <v>29417</v>
      </c>
      <c r="E8218" s="51"/>
      <c r="F8218" s="114" t="str">
        <f>IF(INDEX(I.Facility.P2aIDNumber,3206)="","",INDEX(I.Facility.P2aIDNumber,3206))</f>
        <v/>
      </c>
      <c r="G8218" s="51"/>
      <c r="H8218" s="46" t="str">
        <f>IF(AND(I.Developer.P2a=TRUE,I.Facility.P2aFacilityCount&gt;=3206,F8218=""),"Incomplete","Complete")</f>
        <v>Complete</v>
      </c>
      <c r="I8218" s="48" t="s">
        <v>12583</v>
      </c>
    </row>
    <row r="8219" spans="2:9" ht="15" customHeight="1" x14ac:dyDescent="0.25">
      <c r="B8219" s="55" t="s">
        <v>280</v>
      </c>
      <c r="C8219" s="46">
        <v>3207</v>
      </c>
      <c r="D8219" s="69" t="s">
        <v>29417</v>
      </c>
      <c r="E8219" s="51"/>
      <c r="F8219" s="114" t="str">
        <f>IF(INDEX(I.Facility.P2aIDNumber,3207)="","",INDEX(I.Facility.P2aIDNumber,3207))</f>
        <v/>
      </c>
      <c r="G8219" s="51"/>
      <c r="H8219" s="46" t="str">
        <f>IF(AND(I.Developer.P2a=TRUE,I.Facility.P2aFacilityCount&gt;=3207,F8219=""),"Incomplete","Complete")</f>
        <v>Complete</v>
      </c>
      <c r="I8219" s="48" t="s">
        <v>12584</v>
      </c>
    </row>
    <row r="8220" spans="2:9" ht="15" customHeight="1" x14ac:dyDescent="0.25">
      <c r="B8220" s="55" t="s">
        <v>280</v>
      </c>
      <c r="C8220" s="46">
        <v>3208</v>
      </c>
      <c r="D8220" s="69" t="s">
        <v>29417</v>
      </c>
      <c r="E8220" s="51"/>
      <c r="F8220" s="114" t="str">
        <f>IF(INDEX(I.Facility.P2aIDNumber,3208)="","",INDEX(I.Facility.P2aIDNumber,3208))</f>
        <v/>
      </c>
      <c r="G8220" s="51"/>
      <c r="H8220" s="46" t="str">
        <f>IF(AND(I.Developer.P2a=TRUE,I.Facility.P2aFacilityCount&gt;=3208,F8220=""),"Incomplete","Complete")</f>
        <v>Complete</v>
      </c>
      <c r="I8220" s="48" t="s">
        <v>12585</v>
      </c>
    </row>
    <row r="8221" spans="2:9" ht="15" customHeight="1" x14ac:dyDescent="0.25">
      <c r="B8221" s="55" t="s">
        <v>280</v>
      </c>
      <c r="C8221" s="46">
        <v>3209</v>
      </c>
      <c r="D8221" s="69" t="s">
        <v>29417</v>
      </c>
      <c r="E8221" s="51"/>
      <c r="F8221" s="114" t="str">
        <f>IF(INDEX(I.Facility.P2aIDNumber,3209)="","",INDEX(I.Facility.P2aIDNumber,3209))</f>
        <v/>
      </c>
      <c r="G8221" s="51"/>
      <c r="H8221" s="46" t="str">
        <f>IF(AND(I.Developer.P2a=TRUE,I.Facility.P2aFacilityCount&gt;=3209,F8221=""),"Incomplete","Complete")</f>
        <v>Complete</v>
      </c>
      <c r="I8221" s="48" t="s">
        <v>12586</v>
      </c>
    </row>
    <row r="8222" spans="2:9" ht="15" customHeight="1" x14ac:dyDescent="0.25">
      <c r="B8222" s="55" t="s">
        <v>280</v>
      </c>
      <c r="C8222" s="46">
        <v>3210</v>
      </c>
      <c r="D8222" s="69" t="s">
        <v>29417</v>
      </c>
      <c r="E8222" s="51"/>
      <c r="F8222" s="114" t="str">
        <f>IF(INDEX(I.Facility.P2aIDNumber,3210)="","",INDEX(I.Facility.P2aIDNumber,3210))</f>
        <v/>
      </c>
      <c r="G8222" s="51"/>
      <c r="H8222" s="46" t="str">
        <f>IF(AND(I.Developer.P2a=TRUE,I.Facility.P2aFacilityCount&gt;=3210,F8222=""),"Incomplete","Complete")</f>
        <v>Complete</v>
      </c>
      <c r="I8222" s="48" t="s">
        <v>12587</v>
      </c>
    </row>
    <row r="8223" spans="2:9" ht="15" customHeight="1" x14ac:dyDescent="0.25">
      <c r="B8223" s="55" t="s">
        <v>280</v>
      </c>
      <c r="C8223" s="46">
        <v>3211</v>
      </c>
      <c r="D8223" s="69" t="s">
        <v>29417</v>
      </c>
      <c r="E8223" s="51"/>
      <c r="F8223" s="114" t="str">
        <f>IF(INDEX(I.Facility.P2aIDNumber,3211)="","",INDEX(I.Facility.P2aIDNumber,3211))</f>
        <v/>
      </c>
      <c r="G8223" s="51"/>
      <c r="H8223" s="46" t="str">
        <f>IF(AND(I.Developer.P2a=TRUE,I.Facility.P2aFacilityCount&gt;=3211,F8223=""),"Incomplete","Complete")</f>
        <v>Complete</v>
      </c>
      <c r="I8223" s="48" t="s">
        <v>12588</v>
      </c>
    </row>
    <row r="8224" spans="2:9" ht="15" customHeight="1" x14ac:dyDescent="0.25">
      <c r="B8224" s="55" t="s">
        <v>280</v>
      </c>
      <c r="C8224" s="46">
        <v>3212</v>
      </c>
      <c r="D8224" s="69" t="s">
        <v>29417</v>
      </c>
      <c r="E8224" s="51"/>
      <c r="F8224" s="114" t="str">
        <f>IF(INDEX(I.Facility.P2aIDNumber,3212)="","",INDEX(I.Facility.P2aIDNumber,3212))</f>
        <v/>
      </c>
      <c r="G8224" s="51"/>
      <c r="H8224" s="46" t="str">
        <f>IF(AND(I.Developer.P2a=TRUE,I.Facility.P2aFacilityCount&gt;=3212,F8224=""),"Incomplete","Complete")</f>
        <v>Complete</v>
      </c>
      <c r="I8224" s="48" t="s">
        <v>12589</v>
      </c>
    </row>
    <row r="8225" spans="2:9" ht="15" customHeight="1" x14ac:dyDescent="0.25">
      <c r="B8225" s="55" t="s">
        <v>280</v>
      </c>
      <c r="C8225" s="46">
        <v>3213</v>
      </c>
      <c r="D8225" s="69" t="s">
        <v>29417</v>
      </c>
      <c r="E8225" s="51"/>
      <c r="F8225" s="114" t="str">
        <f>IF(INDEX(I.Facility.P2aIDNumber,3213)="","",INDEX(I.Facility.P2aIDNumber,3213))</f>
        <v/>
      </c>
      <c r="G8225" s="51"/>
      <c r="H8225" s="46" t="str">
        <f>IF(AND(I.Developer.P2a=TRUE,I.Facility.P2aFacilityCount&gt;=3213,F8225=""),"Incomplete","Complete")</f>
        <v>Complete</v>
      </c>
      <c r="I8225" s="48" t="s">
        <v>12590</v>
      </c>
    </row>
    <row r="8226" spans="2:9" ht="15" customHeight="1" x14ac:dyDescent="0.25">
      <c r="B8226" s="55" t="s">
        <v>280</v>
      </c>
      <c r="C8226" s="46">
        <v>3214</v>
      </c>
      <c r="D8226" s="69" t="s">
        <v>29417</v>
      </c>
      <c r="E8226" s="51"/>
      <c r="F8226" s="114" t="str">
        <f>IF(INDEX(I.Facility.P2aIDNumber,3214)="","",INDEX(I.Facility.P2aIDNumber,3214))</f>
        <v/>
      </c>
      <c r="G8226" s="51"/>
      <c r="H8226" s="46" t="str">
        <f>IF(AND(I.Developer.P2a=TRUE,I.Facility.P2aFacilityCount&gt;=3214,F8226=""),"Incomplete","Complete")</f>
        <v>Complete</v>
      </c>
      <c r="I8226" s="48" t="s">
        <v>12591</v>
      </c>
    </row>
    <row r="8227" spans="2:9" ht="15" customHeight="1" x14ac:dyDescent="0.25">
      <c r="B8227" s="55" t="s">
        <v>280</v>
      </c>
      <c r="C8227" s="46">
        <v>3215</v>
      </c>
      <c r="D8227" s="69" t="s">
        <v>29417</v>
      </c>
      <c r="E8227" s="51"/>
      <c r="F8227" s="114" t="str">
        <f>IF(INDEX(I.Facility.P2aIDNumber,3215)="","",INDEX(I.Facility.P2aIDNumber,3215))</f>
        <v/>
      </c>
      <c r="G8227" s="51"/>
      <c r="H8227" s="46" t="str">
        <f>IF(AND(I.Developer.P2a=TRUE,I.Facility.P2aFacilityCount&gt;=3215,F8227=""),"Incomplete","Complete")</f>
        <v>Complete</v>
      </c>
      <c r="I8227" s="48" t="s">
        <v>12592</v>
      </c>
    </row>
    <row r="8228" spans="2:9" ht="15" customHeight="1" x14ac:dyDescent="0.25">
      <c r="B8228" s="55" t="s">
        <v>280</v>
      </c>
      <c r="C8228" s="46">
        <v>3216</v>
      </c>
      <c r="D8228" s="69" t="s">
        <v>29417</v>
      </c>
      <c r="E8228" s="51"/>
      <c r="F8228" s="114" t="str">
        <f>IF(INDEX(I.Facility.P2aIDNumber,3216)="","",INDEX(I.Facility.P2aIDNumber,3216))</f>
        <v/>
      </c>
      <c r="G8228" s="51"/>
      <c r="H8228" s="46" t="str">
        <f>IF(AND(I.Developer.P2a=TRUE,I.Facility.P2aFacilityCount&gt;=3216,F8228=""),"Incomplete","Complete")</f>
        <v>Complete</v>
      </c>
      <c r="I8228" s="48" t="s">
        <v>12593</v>
      </c>
    </row>
    <row r="8229" spans="2:9" ht="15" customHeight="1" x14ac:dyDescent="0.25">
      <c r="B8229" s="55" t="s">
        <v>280</v>
      </c>
      <c r="C8229" s="46">
        <v>3217</v>
      </c>
      <c r="D8229" s="69" t="s">
        <v>29417</v>
      </c>
      <c r="E8229" s="51"/>
      <c r="F8229" s="114" t="str">
        <f>IF(INDEX(I.Facility.P2aIDNumber,3217)="","",INDEX(I.Facility.P2aIDNumber,3217))</f>
        <v/>
      </c>
      <c r="G8229" s="51"/>
      <c r="H8229" s="46" t="str">
        <f>IF(AND(I.Developer.P2a=TRUE,I.Facility.P2aFacilityCount&gt;=3217,F8229=""),"Incomplete","Complete")</f>
        <v>Complete</v>
      </c>
      <c r="I8229" s="48" t="s">
        <v>12594</v>
      </c>
    </row>
    <row r="8230" spans="2:9" ht="15" customHeight="1" x14ac:dyDescent="0.25">
      <c r="B8230" s="55" t="s">
        <v>280</v>
      </c>
      <c r="C8230" s="46">
        <v>3218</v>
      </c>
      <c r="D8230" s="69" t="s">
        <v>29417</v>
      </c>
      <c r="E8230" s="51"/>
      <c r="F8230" s="114" t="str">
        <f>IF(INDEX(I.Facility.P2aIDNumber,3218)="","",INDEX(I.Facility.P2aIDNumber,3218))</f>
        <v/>
      </c>
      <c r="G8230" s="51"/>
      <c r="H8230" s="46" t="str">
        <f>IF(AND(I.Developer.P2a=TRUE,I.Facility.P2aFacilityCount&gt;=3218,F8230=""),"Incomplete","Complete")</f>
        <v>Complete</v>
      </c>
      <c r="I8230" s="48" t="s">
        <v>12595</v>
      </c>
    </row>
    <row r="8231" spans="2:9" ht="15" customHeight="1" x14ac:dyDescent="0.25">
      <c r="B8231" s="55" t="s">
        <v>280</v>
      </c>
      <c r="C8231" s="46">
        <v>3219</v>
      </c>
      <c r="D8231" s="69" t="s">
        <v>29417</v>
      </c>
      <c r="E8231" s="51"/>
      <c r="F8231" s="114" t="str">
        <f>IF(INDEX(I.Facility.P2aIDNumber,3219)="","",INDEX(I.Facility.P2aIDNumber,3219))</f>
        <v/>
      </c>
      <c r="G8231" s="51"/>
      <c r="H8231" s="46" t="str">
        <f>IF(AND(I.Developer.P2a=TRUE,I.Facility.P2aFacilityCount&gt;=3219,F8231=""),"Incomplete","Complete")</f>
        <v>Complete</v>
      </c>
      <c r="I8231" s="48" t="s">
        <v>12596</v>
      </c>
    </row>
    <row r="8232" spans="2:9" ht="15" customHeight="1" x14ac:dyDescent="0.25">
      <c r="B8232" s="55" t="s">
        <v>280</v>
      </c>
      <c r="C8232" s="46">
        <v>3220</v>
      </c>
      <c r="D8232" s="69" t="s">
        <v>29417</v>
      </c>
      <c r="E8232" s="51"/>
      <c r="F8232" s="114" t="str">
        <f>IF(INDEX(I.Facility.P2aIDNumber,3220)="","",INDEX(I.Facility.P2aIDNumber,3220))</f>
        <v/>
      </c>
      <c r="G8232" s="51"/>
      <c r="H8232" s="46" t="str">
        <f>IF(AND(I.Developer.P2a=TRUE,I.Facility.P2aFacilityCount&gt;=3220,F8232=""),"Incomplete","Complete")</f>
        <v>Complete</v>
      </c>
      <c r="I8232" s="48" t="s">
        <v>12597</v>
      </c>
    </row>
    <row r="8233" spans="2:9" ht="15" customHeight="1" x14ac:dyDescent="0.25">
      <c r="B8233" s="55" t="s">
        <v>280</v>
      </c>
      <c r="C8233" s="46">
        <v>3221</v>
      </c>
      <c r="D8233" s="69" t="s">
        <v>29417</v>
      </c>
      <c r="E8233" s="51"/>
      <c r="F8233" s="114" t="str">
        <f>IF(INDEX(I.Facility.P2aIDNumber,3221)="","",INDEX(I.Facility.P2aIDNumber,3221))</f>
        <v/>
      </c>
      <c r="G8233" s="51"/>
      <c r="H8233" s="46" t="str">
        <f>IF(AND(I.Developer.P2a=TRUE,I.Facility.P2aFacilityCount&gt;=3221,F8233=""),"Incomplete","Complete")</f>
        <v>Complete</v>
      </c>
      <c r="I8233" s="48" t="s">
        <v>12598</v>
      </c>
    </row>
    <row r="8234" spans="2:9" ht="15" customHeight="1" x14ac:dyDescent="0.25">
      <c r="B8234" s="55" t="s">
        <v>280</v>
      </c>
      <c r="C8234" s="46">
        <v>3222</v>
      </c>
      <c r="D8234" s="69" t="s">
        <v>29417</v>
      </c>
      <c r="E8234" s="51"/>
      <c r="F8234" s="114" t="str">
        <f>IF(INDEX(I.Facility.P2aIDNumber,3222)="","",INDEX(I.Facility.P2aIDNumber,3222))</f>
        <v/>
      </c>
      <c r="G8234" s="51"/>
      <c r="H8234" s="46" t="str">
        <f>IF(AND(I.Developer.P2a=TRUE,I.Facility.P2aFacilityCount&gt;=3222,F8234=""),"Incomplete","Complete")</f>
        <v>Complete</v>
      </c>
      <c r="I8234" s="48" t="s">
        <v>12599</v>
      </c>
    </row>
    <row r="8235" spans="2:9" ht="15" customHeight="1" x14ac:dyDescent="0.25">
      <c r="B8235" s="55" t="s">
        <v>280</v>
      </c>
      <c r="C8235" s="46">
        <v>3223</v>
      </c>
      <c r="D8235" s="69" t="s">
        <v>29417</v>
      </c>
      <c r="E8235" s="51"/>
      <c r="F8235" s="114" t="str">
        <f>IF(INDEX(I.Facility.P2aIDNumber,3223)="","",INDEX(I.Facility.P2aIDNumber,3223))</f>
        <v/>
      </c>
      <c r="G8235" s="51"/>
      <c r="H8235" s="46" t="str">
        <f>IF(AND(I.Developer.P2a=TRUE,I.Facility.P2aFacilityCount&gt;=3223,F8235=""),"Incomplete","Complete")</f>
        <v>Complete</v>
      </c>
      <c r="I8235" s="48" t="s">
        <v>12600</v>
      </c>
    </row>
    <row r="8236" spans="2:9" ht="15" customHeight="1" x14ac:dyDescent="0.25">
      <c r="B8236" s="55" t="s">
        <v>280</v>
      </c>
      <c r="C8236" s="46">
        <v>3224</v>
      </c>
      <c r="D8236" s="69" t="s">
        <v>29417</v>
      </c>
      <c r="E8236" s="51"/>
      <c r="F8236" s="114" t="str">
        <f>IF(INDEX(I.Facility.P2aIDNumber,3224)="","",INDEX(I.Facility.P2aIDNumber,3224))</f>
        <v/>
      </c>
      <c r="G8236" s="51"/>
      <c r="H8236" s="46" t="str">
        <f>IF(AND(I.Developer.P2a=TRUE,I.Facility.P2aFacilityCount&gt;=3224,F8236=""),"Incomplete","Complete")</f>
        <v>Complete</v>
      </c>
      <c r="I8236" s="48" t="s">
        <v>12601</v>
      </c>
    </row>
    <row r="8237" spans="2:9" ht="15" customHeight="1" x14ac:dyDescent="0.25">
      <c r="B8237" s="55" t="s">
        <v>280</v>
      </c>
      <c r="C8237" s="46">
        <v>3225</v>
      </c>
      <c r="D8237" s="69" t="s">
        <v>29417</v>
      </c>
      <c r="E8237" s="51"/>
      <c r="F8237" s="114" t="str">
        <f>IF(INDEX(I.Facility.P2aIDNumber,3225)="","",INDEX(I.Facility.P2aIDNumber,3225))</f>
        <v/>
      </c>
      <c r="G8237" s="51"/>
      <c r="H8237" s="46" t="str">
        <f>IF(AND(I.Developer.P2a=TRUE,I.Facility.P2aFacilityCount&gt;=3225,F8237=""),"Incomplete","Complete")</f>
        <v>Complete</v>
      </c>
      <c r="I8237" s="48" t="s">
        <v>12602</v>
      </c>
    </row>
    <row r="8238" spans="2:9" ht="15" customHeight="1" x14ac:dyDescent="0.25">
      <c r="B8238" s="55" t="s">
        <v>280</v>
      </c>
      <c r="C8238" s="46">
        <v>3226</v>
      </c>
      <c r="D8238" s="69" t="s">
        <v>29417</v>
      </c>
      <c r="E8238" s="51"/>
      <c r="F8238" s="114" t="str">
        <f>IF(INDEX(I.Facility.P2aIDNumber,3226)="","",INDEX(I.Facility.P2aIDNumber,3226))</f>
        <v/>
      </c>
      <c r="G8238" s="51"/>
      <c r="H8238" s="46" t="str">
        <f>IF(AND(I.Developer.P2a=TRUE,I.Facility.P2aFacilityCount&gt;=3226,F8238=""),"Incomplete","Complete")</f>
        <v>Complete</v>
      </c>
      <c r="I8238" s="48" t="s">
        <v>12603</v>
      </c>
    </row>
    <row r="8239" spans="2:9" ht="15" customHeight="1" x14ac:dyDescent="0.25">
      <c r="B8239" s="55" t="s">
        <v>280</v>
      </c>
      <c r="C8239" s="46">
        <v>3227</v>
      </c>
      <c r="D8239" s="69" t="s">
        <v>29417</v>
      </c>
      <c r="E8239" s="51"/>
      <c r="F8239" s="114" t="str">
        <f>IF(INDEX(I.Facility.P2aIDNumber,3227)="","",INDEX(I.Facility.P2aIDNumber,3227))</f>
        <v/>
      </c>
      <c r="G8239" s="51"/>
      <c r="H8239" s="46" t="str">
        <f>IF(AND(I.Developer.P2a=TRUE,I.Facility.P2aFacilityCount&gt;=3227,F8239=""),"Incomplete","Complete")</f>
        <v>Complete</v>
      </c>
      <c r="I8239" s="48" t="s">
        <v>12604</v>
      </c>
    </row>
    <row r="8240" spans="2:9" ht="15" customHeight="1" x14ac:dyDescent="0.25">
      <c r="B8240" s="55" t="s">
        <v>280</v>
      </c>
      <c r="C8240" s="46">
        <v>3228</v>
      </c>
      <c r="D8240" s="69" t="s">
        <v>29417</v>
      </c>
      <c r="E8240" s="51"/>
      <c r="F8240" s="114" t="str">
        <f>IF(INDEX(I.Facility.P2aIDNumber,3228)="","",INDEX(I.Facility.P2aIDNumber,3228))</f>
        <v/>
      </c>
      <c r="G8240" s="51"/>
      <c r="H8240" s="46" t="str">
        <f>IF(AND(I.Developer.P2a=TRUE,I.Facility.P2aFacilityCount&gt;=3228,F8240=""),"Incomplete","Complete")</f>
        <v>Complete</v>
      </c>
      <c r="I8240" s="48" t="s">
        <v>12605</v>
      </c>
    </row>
    <row r="8241" spans="2:9" ht="15" customHeight="1" x14ac:dyDescent="0.25">
      <c r="B8241" s="55" t="s">
        <v>280</v>
      </c>
      <c r="C8241" s="46">
        <v>3229</v>
      </c>
      <c r="D8241" s="69" t="s">
        <v>29417</v>
      </c>
      <c r="E8241" s="51"/>
      <c r="F8241" s="114" t="str">
        <f>IF(INDEX(I.Facility.P2aIDNumber,3229)="","",INDEX(I.Facility.P2aIDNumber,3229))</f>
        <v/>
      </c>
      <c r="G8241" s="51"/>
      <c r="H8241" s="46" t="str">
        <f>IF(AND(I.Developer.P2a=TRUE,I.Facility.P2aFacilityCount&gt;=3229,F8241=""),"Incomplete","Complete")</f>
        <v>Complete</v>
      </c>
      <c r="I8241" s="48" t="s">
        <v>12606</v>
      </c>
    </row>
    <row r="8242" spans="2:9" ht="15" customHeight="1" x14ac:dyDescent="0.25">
      <c r="B8242" s="55" t="s">
        <v>280</v>
      </c>
      <c r="C8242" s="46">
        <v>3230</v>
      </c>
      <c r="D8242" s="69" t="s">
        <v>29417</v>
      </c>
      <c r="E8242" s="51"/>
      <c r="F8242" s="114" t="str">
        <f>IF(INDEX(I.Facility.P2aIDNumber,3230)="","",INDEX(I.Facility.P2aIDNumber,3230))</f>
        <v/>
      </c>
      <c r="G8242" s="51"/>
      <c r="H8242" s="46" t="str">
        <f>IF(AND(I.Developer.P2a=TRUE,I.Facility.P2aFacilityCount&gt;=3230,F8242=""),"Incomplete","Complete")</f>
        <v>Complete</v>
      </c>
      <c r="I8242" s="48" t="s">
        <v>12607</v>
      </c>
    </row>
    <row r="8243" spans="2:9" ht="15" customHeight="1" x14ac:dyDescent="0.25">
      <c r="B8243" s="55" t="s">
        <v>280</v>
      </c>
      <c r="C8243" s="46">
        <v>3231</v>
      </c>
      <c r="D8243" s="69" t="s">
        <v>29417</v>
      </c>
      <c r="E8243" s="51"/>
      <c r="F8243" s="114" t="str">
        <f>IF(INDEX(I.Facility.P2aIDNumber,3231)="","",INDEX(I.Facility.P2aIDNumber,3231))</f>
        <v/>
      </c>
      <c r="G8243" s="51"/>
      <c r="H8243" s="46" t="str">
        <f>IF(AND(I.Developer.P2a=TRUE,I.Facility.P2aFacilityCount&gt;=3231,F8243=""),"Incomplete","Complete")</f>
        <v>Complete</v>
      </c>
      <c r="I8243" s="48" t="s">
        <v>12608</v>
      </c>
    </row>
    <row r="8244" spans="2:9" ht="15" customHeight="1" x14ac:dyDescent="0.25">
      <c r="B8244" s="55" t="s">
        <v>280</v>
      </c>
      <c r="C8244" s="46">
        <v>3232</v>
      </c>
      <c r="D8244" s="69" t="s">
        <v>29417</v>
      </c>
      <c r="E8244" s="51"/>
      <c r="F8244" s="114" t="str">
        <f>IF(INDEX(I.Facility.P2aIDNumber,3232)="","",INDEX(I.Facility.P2aIDNumber,3232))</f>
        <v/>
      </c>
      <c r="G8244" s="51"/>
      <c r="H8244" s="46" t="str">
        <f>IF(AND(I.Developer.P2a=TRUE,I.Facility.P2aFacilityCount&gt;=3232,F8244=""),"Incomplete","Complete")</f>
        <v>Complete</v>
      </c>
      <c r="I8244" s="48" t="s">
        <v>12609</v>
      </c>
    </row>
    <row r="8245" spans="2:9" ht="15" customHeight="1" x14ac:dyDescent="0.25">
      <c r="B8245" s="55" t="s">
        <v>280</v>
      </c>
      <c r="C8245" s="46">
        <v>3233</v>
      </c>
      <c r="D8245" s="69" t="s">
        <v>29417</v>
      </c>
      <c r="E8245" s="51"/>
      <c r="F8245" s="114" t="str">
        <f>IF(INDEX(I.Facility.P2aIDNumber,3233)="","",INDEX(I.Facility.P2aIDNumber,3233))</f>
        <v/>
      </c>
      <c r="G8245" s="51"/>
      <c r="H8245" s="46" t="str">
        <f>IF(AND(I.Developer.P2a=TRUE,I.Facility.P2aFacilityCount&gt;=3233,F8245=""),"Incomplete","Complete")</f>
        <v>Complete</v>
      </c>
      <c r="I8245" s="48" t="s">
        <v>12610</v>
      </c>
    </row>
    <row r="8246" spans="2:9" ht="15" customHeight="1" x14ac:dyDescent="0.25">
      <c r="B8246" s="55" t="s">
        <v>280</v>
      </c>
      <c r="C8246" s="46">
        <v>3234</v>
      </c>
      <c r="D8246" s="69" t="s">
        <v>29417</v>
      </c>
      <c r="E8246" s="51"/>
      <c r="F8246" s="114" t="str">
        <f>IF(INDEX(I.Facility.P2aIDNumber,3234)="","",INDEX(I.Facility.P2aIDNumber,3234))</f>
        <v/>
      </c>
      <c r="G8246" s="51"/>
      <c r="H8246" s="46" t="str">
        <f>IF(AND(I.Developer.P2a=TRUE,I.Facility.P2aFacilityCount&gt;=3234,F8246=""),"Incomplete","Complete")</f>
        <v>Complete</v>
      </c>
      <c r="I8246" s="48" t="s">
        <v>12611</v>
      </c>
    </row>
    <row r="8247" spans="2:9" ht="15" customHeight="1" x14ac:dyDescent="0.25">
      <c r="B8247" s="55" t="s">
        <v>280</v>
      </c>
      <c r="C8247" s="46">
        <v>3235</v>
      </c>
      <c r="D8247" s="69" t="s">
        <v>29417</v>
      </c>
      <c r="E8247" s="51"/>
      <c r="F8247" s="114" t="str">
        <f>IF(INDEX(I.Facility.P2aIDNumber,3235)="","",INDEX(I.Facility.P2aIDNumber,3235))</f>
        <v/>
      </c>
      <c r="G8247" s="51"/>
      <c r="H8247" s="46" t="str">
        <f>IF(AND(I.Developer.P2a=TRUE,I.Facility.P2aFacilityCount&gt;=3235,F8247=""),"Incomplete","Complete")</f>
        <v>Complete</v>
      </c>
      <c r="I8247" s="48" t="s">
        <v>12612</v>
      </c>
    </row>
    <row r="8248" spans="2:9" ht="15" customHeight="1" x14ac:dyDescent="0.25">
      <c r="B8248" s="55" t="s">
        <v>280</v>
      </c>
      <c r="C8248" s="46">
        <v>3236</v>
      </c>
      <c r="D8248" s="69" t="s">
        <v>29417</v>
      </c>
      <c r="E8248" s="51"/>
      <c r="F8248" s="114" t="str">
        <f>IF(INDEX(I.Facility.P2aIDNumber,3236)="","",INDEX(I.Facility.P2aIDNumber,3236))</f>
        <v/>
      </c>
      <c r="G8248" s="51"/>
      <c r="H8248" s="46" t="str">
        <f>IF(AND(I.Developer.P2a=TRUE,I.Facility.P2aFacilityCount&gt;=3236,F8248=""),"Incomplete","Complete")</f>
        <v>Complete</v>
      </c>
      <c r="I8248" s="48" t="s">
        <v>12613</v>
      </c>
    </row>
    <row r="8249" spans="2:9" ht="15" customHeight="1" x14ac:dyDescent="0.25">
      <c r="B8249" s="55" t="s">
        <v>280</v>
      </c>
      <c r="C8249" s="46">
        <v>3237</v>
      </c>
      <c r="D8249" s="69" t="s">
        <v>29417</v>
      </c>
      <c r="E8249" s="51"/>
      <c r="F8249" s="114" t="str">
        <f>IF(INDEX(I.Facility.P2aIDNumber,3237)="","",INDEX(I.Facility.P2aIDNumber,3237))</f>
        <v/>
      </c>
      <c r="G8249" s="51"/>
      <c r="H8249" s="46" t="str">
        <f>IF(AND(I.Developer.P2a=TRUE,I.Facility.P2aFacilityCount&gt;=3237,F8249=""),"Incomplete","Complete")</f>
        <v>Complete</v>
      </c>
      <c r="I8249" s="48" t="s">
        <v>12614</v>
      </c>
    </row>
    <row r="8250" spans="2:9" ht="15" customHeight="1" x14ac:dyDescent="0.25">
      <c r="B8250" s="55" t="s">
        <v>280</v>
      </c>
      <c r="C8250" s="46">
        <v>3238</v>
      </c>
      <c r="D8250" s="69" t="s">
        <v>29417</v>
      </c>
      <c r="E8250" s="51"/>
      <c r="F8250" s="114" t="str">
        <f>IF(INDEX(I.Facility.P2aIDNumber,3238)="","",INDEX(I.Facility.P2aIDNumber,3238))</f>
        <v/>
      </c>
      <c r="G8250" s="51"/>
      <c r="H8250" s="46" t="str">
        <f>IF(AND(I.Developer.P2a=TRUE,I.Facility.P2aFacilityCount&gt;=3238,F8250=""),"Incomplete","Complete")</f>
        <v>Complete</v>
      </c>
      <c r="I8250" s="48" t="s">
        <v>12615</v>
      </c>
    </row>
    <row r="8251" spans="2:9" ht="15" customHeight="1" x14ac:dyDescent="0.25">
      <c r="B8251" s="55" t="s">
        <v>280</v>
      </c>
      <c r="C8251" s="46">
        <v>3239</v>
      </c>
      <c r="D8251" s="69" t="s">
        <v>29417</v>
      </c>
      <c r="E8251" s="51"/>
      <c r="F8251" s="114" t="str">
        <f>IF(INDEX(I.Facility.P2aIDNumber,3239)="","",INDEX(I.Facility.P2aIDNumber,3239))</f>
        <v/>
      </c>
      <c r="G8251" s="51"/>
      <c r="H8251" s="46" t="str">
        <f>IF(AND(I.Developer.P2a=TRUE,I.Facility.P2aFacilityCount&gt;=3239,F8251=""),"Incomplete","Complete")</f>
        <v>Complete</v>
      </c>
      <c r="I8251" s="48" t="s">
        <v>12616</v>
      </c>
    </row>
    <row r="8252" spans="2:9" ht="15" customHeight="1" x14ac:dyDescent="0.25">
      <c r="B8252" s="55" t="s">
        <v>280</v>
      </c>
      <c r="C8252" s="46">
        <v>3240</v>
      </c>
      <c r="D8252" s="69" t="s">
        <v>29417</v>
      </c>
      <c r="E8252" s="51"/>
      <c r="F8252" s="114" t="str">
        <f>IF(INDEX(I.Facility.P2aIDNumber,3240)="","",INDEX(I.Facility.P2aIDNumber,3240))</f>
        <v/>
      </c>
      <c r="G8252" s="51"/>
      <c r="H8252" s="46" t="str">
        <f>IF(AND(I.Developer.P2a=TRUE,I.Facility.P2aFacilityCount&gt;=3240,F8252=""),"Incomplete","Complete")</f>
        <v>Complete</v>
      </c>
      <c r="I8252" s="48" t="s">
        <v>12617</v>
      </c>
    </row>
    <row r="8253" spans="2:9" ht="15" customHeight="1" x14ac:dyDescent="0.25">
      <c r="B8253" s="55" t="s">
        <v>280</v>
      </c>
      <c r="C8253" s="46">
        <v>3241</v>
      </c>
      <c r="D8253" s="69" t="s">
        <v>29417</v>
      </c>
      <c r="E8253" s="51"/>
      <c r="F8253" s="114" t="str">
        <f>IF(INDEX(I.Facility.P2aIDNumber,3241)="","",INDEX(I.Facility.P2aIDNumber,3241))</f>
        <v/>
      </c>
      <c r="G8253" s="51"/>
      <c r="H8253" s="46" t="str">
        <f>IF(AND(I.Developer.P2a=TRUE,I.Facility.P2aFacilityCount&gt;=3241,F8253=""),"Incomplete","Complete")</f>
        <v>Complete</v>
      </c>
      <c r="I8253" s="48" t="s">
        <v>12618</v>
      </c>
    </row>
    <row r="8254" spans="2:9" ht="15" customHeight="1" x14ac:dyDescent="0.25">
      <c r="B8254" s="55" t="s">
        <v>280</v>
      </c>
      <c r="C8254" s="46">
        <v>3242</v>
      </c>
      <c r="D8254" s="69" t="s">
        <v>29417</v>
      </c>
      <c r="E8254" s="51"/>
      <c r="F8254" s="114" t="str">
        <f>IF(INDEX(I.Facility.P2aIDNumber,3242)="","",INDEX(I.Facility.P2aIDNumber,3242))</f>
        <v/>
      </c>
      <c r="G8254" s="51"/>
      <c r="H8254" s="46" t="str">
        <f>IF(AND(I.Developer.P2a=TRUE,I.Facility.P2aFacilityCount&gt;=3242,F8254=""),"Incomplete","Complete")</f>
        <v>Complete</v>
      </c>
      <c r="I8254" s="48" t="s">
        <v>12619</v>
      </c>
    </row>
    <row r="8255" spans="2:9" ht="15" customHeight="1" x14ac:dyDescent="0.25">
      <c r="B8255" s="55" t="s">
        <v>280</v>
      </c>
      <c r="C8255" s="46">
        <v>3243</v>
      </c>
      <c r="D8255" s="69" t="s">
        <v>29417</v>
      </c>
      <c r="E8255" s="51"/>
      <c r="F8255" s="114" t="str">
        <f>IF(INDEX(I.Facility.P2aIDNumber,3243)="","",INDEX(I.Facility.P2aIDNumber,3243))</f>
        <v/>
      </c>
      <c r="G8255" s="51"/>
      <c r="H8255" s="46" t="str">
        <f>IF(AND(I.Developer.P2a=TRUE,I.Facility.P2aFacilityCount&gt;=3243,F8255=""),"Incomplete","Complete")</f>
        <v>Complete</v>
      </c>
      <c r="I8255" s="48" t="s">
        <v>12620</v>
      </c>
    </row>
    <row r="8256" spans="2:9" ht="15" customHeight="1" x14ac:dyDescent="0.25">
      <c r="B8256" s="55" t="s">
        <v>280</v>
      </c>
      <c r="C8256" s="46">
        <v>3244</v>
      </c>
      <c r="D8256" s="69" t="s">
        <v>29417</v>
      </c>
      <c r="E8256" s="51"/>
      <c r="F8256" s="114" t="str">
        <f>IF(INDEX(I.Facility.P2aIDNumber,3244)="","",INDEX(I.Facility.P2aIDNumber,3244))</f>
        <v/>
      </c>
      <c r="G8256" s="51"/>
      <c r="H8256" s="46" t="str">
        <f>IF(AND(I.Developer.P2a=TRUE,I.Facility.P2aFacilityCount&gt;=3244,F8256=""),"Incomplete","Complete")</f>
        <v>Complete</v>
      </c>
      <c r="I8256" s="48" t="s">
        <v>12621</v>
      </c>
    </row>
    <row r="8257" spans="2:9" ht="15" customHeight="1" x14ac:dyDescent="0.25">
      <c r="B8257" s="55" t="s">
        <v>280</v>
      </c>
      <c r="C8257" s="46">
        <v>3245</v>
      </c>
      <c r="D8257" s="69" t="s">
        <v>29417</v>
      </c>
      <c r="E8257" s="51"/>
      <c r="F8257" s="114" t="str">
        <f>IF(INDEX(I.Facility.P2aIDNumber,3245)="","",INDEX(I.Facility.P2aIDNumber,3245))</f>
        <v/>
      </c>
      <c r="G8257" s="51"/>
      <c r="H8257" s="46" t="str">
        <f>IF(AND(I.Developer.P2a=TRUE,I.Facility.P2aFacilityCount&gt;=3245,F8257=""),"Incomplete","Complete")</f>
        <v>Complete</v>
      </c>
      <c r="I8257" s="48" t="s">
        <v>12622</v>
      </c>
    </row>
    <row r="8258" spans="2:9" ht="15" customHeight="1" x14ac:dyDescent="0.25">
      <c r="B8258" s="55" t="s">
        <v>280</v>
      </c>
      <c r="C8258" s="46">
        <v>3246</v>
      </c>
      <c r="D8258" s="69" t="s">
        <v>29417</v>
      </c>
      <c r="E8258" s="51"/>
      <c r="F8258" s="114" t="str">
        <f>IF(INDEX(I.Facility.P2aIDNumber,3246)="","",INDEX(I.Facility.P2aIDNumber,3246))</f>
        <v/>
      </c>
      <c r="G8258" s="51"/>
      <c r="H8258" s="46" t="str">
        <f>IF(AND(I.Developer.P2a=TRUE,I.Facility.P2aFacilityCount&gt;=3246,F8258=""),"Incomplete","Complete")</f>
        <v>Complete</v>
      </c>
      <c r="I8258" s="48" t="s">
        <v>12623</v>
      </c>
    </row>
    <row r="8259" spans="2:9" ht="15" customHeight="1" x14ac:dyDescent="0.25">
      <c r="B8259" s="55" t="s">
        <v>280</v>
      </c>
      <c r="C8259" s="46">
        <v>3247</v>
      </c>
      <c r="D8259" s="69" t="s">
        <v>29417</v>
      </c>
      <c r="E8259" s="51"/>
      <c r="F8259" s="114" t="str">
        <f>IF(INDEX(I.Facility.P2aIDNumber,3247)="","",INDEX(I.Facility.P2aIDNumber,3247))</f>
        <v/>
      </c>
      <c r="G8259" s="51"/>
      <c r="H8259" s="46" t="str">
        <f>IF(AND(I.Developer.P2a=TRUE,I.Facility.P2aFacilityCount&gt;=3247,F8259=""),"Incomplete","Complete")</f>
        <v>Complete</v>
      </c>
      <c r="I8259" s="48" t="s">
        <v>12624</v>
      </c>
    </row>
    <row r="8260" spans="2:9" ht="15" customHeight="1" x14ac:dyDescent="0.25">
      <c r="B8260" s="55" t="s">
        <v>280</v>
      </c>
      <c r="C8260" s="46">
        <v>3248</v>
      </c>
      <c r="D8260" s="69" t="s">
        <v>29417</v>
      </c>
      <c r="E8260" s="51"/>
      <c r="F8260" s="114" t="str">
        <f>IF(INDEX(I.Facility.P2aIDNumber,3248)="","",INDEX(I.Facility.P2aIDNumber,3248))</f>
        <v/>
      </c>
      <c r="G8260" s="51"/>
      <c r="H8260" s="46" t="str">
        <f>IF(AND(I.Developer.P2a=TRUE,I.Facility.P2aFacilityCount&gt;=3248,F8260=""),"Incomplete","Complete")</f>
        <v>Complete</v>
      </c>
      <c r="I8260" s="48" t="s">
        <v>12625</v>
      </c>
    </row>
    <row r="8261" spans="2:9" ht="15" customHeight="1" x14ac:dyDescent="0.25">
      <c r="B8261" s="55" t="s">
        <v>280</v>
      </c>
      <c r="C8261" s="46">
        <v>3249</v>
      </c>
      <c r="D8261" s="69" t="s">
        <v>29417</v>
      </c>
      <c r="E8261" s="51"/>
      <c r="F8261" s="114" t="str">
        <f>IF(INDEX(I.Facility.P2aIDNumber,3249)="","",INDEX(I.Facility.P2aIDNumber,3249))</f>
        <v/>
      </c>
      <c r="G8261" s="51"/>
      <c r="H8261" s="46" t="str">
        <f>IF(AND(I.Developer.P2a=TRUE,I.Facility.P2aFacilityCount&gt;=3249,F8261=""),"Incomplete","Complete")</f>
        <v>Complete</v>
      </c>
      <c r="I8261" s="48" t="s">
        <v>12626</v>
      </c>
    </row>
    <row r="8262" spans="2:9" ht="15" customHeight="1" x14ac:dyDescent="0.25">
      <c r="B8262" s="55" t="s">
        <v>280</v>
      </c>
      <c r="C8262" s="46">
        <v>3250</v>
      </c>
      <c r="D8262" s="69" t="s">
        <v>29417</v>
      </c>
      <c r="E8262" s="51"/>
      <c r="F8262" s="114" t="str">
        <f>IF(INDEX(I.Facility.P2aIDNumber,3250)="","",INDEX(I.Facility.P2aIDNumber,3250))</f>
        <v/>
      </c>
      <c r="G8262" s="51"/>
      <c r="H8262" s="46" t="str">
        <f>IF(AND(I.Developer.P2a=TRUE,I.Facility.P2aFacilityCount&gt;=3250,F8262=""),"Incomplete","Complete")</f>
        <v>Complete</v>
      </c>
      <c r="I8262" s="48" t="s">
        <v>12627</v>
      </c>
    </row>
    <row r="8263" spans="2:9" ht="15" customHeight="1" x14ac:dyDescent="0.25">
      <c r="B8263" s="55" t="s">
        <v>280</v>
      </c>
      <c r="C8263" s="46">
        <v>3251</v>
      </c>
      <c r="D8263" s="69" t="s">
        <v>29417</v>
      </c>
      <c r="E8263" s="51"/>
      <c r="F8263" s="114" t="str">
        <f>IF(INDEX(I.Facility.P2aIDNumber,3251)="","",INDEX(I.Facility.P2aIDNumber,3251))</f>
        <v/>
      </c>
      <c r="G8263" s="51"/>
      <c r="H8263" s="46" t="str">
        <f>IF(AND(I.Developer.P2a=TRUE,I.Facility.P2aFacilityCount&gt;=3251,F8263=""),"Incomplete","Complete")</f>
        <v>Complete</v>
      </c>
      <c r="I8263" s="48" t="s">
        <v>12628</v>
      </c>
    </row>
    <row r="8264" spans="2:9" ht="15" customHeight="1" x14ac:dyDescent="0.25">
      <c r="B8264" s="55" t="s">
        <v>280</v>
      </c>
      <c r="C8264" s="46">
        <v>3252</v>
      </c>
      <c r="D8264" s="69" t="s">
        <v>29417</v>
      </c>
      <c r="E8264" s="51"/>
      <c r="F8264" s="114" t="str">
        <f>IF(INDEX(I.Facility.P2aIDNumber,3252)="","",INDEX(I.Facility.P2aIDNumber,3252))</f>
        <v/>
      </c>
      <c r="G8264" s="51"/>
      <c r="H8264" s="46" t="str">
        <f>IF(AND(I.Developer.P2a=TRUE,I.Facility.P2aFacilityCount&gt;=3252,F8264=""),"Incomplete","Complete")</f>
        <v>Complete</v>
      </c>
      <c r="I8264" s="48" t="s">
        <v>12629</v>
      </c>
    </row>
    <row r="8265" spans="2:9" ht="15" customHeight="1" x14ac:dyDescent="0.25">
      <c r="B8265" s="55" t="s">
        <v>280</v>
      </c>
      <c r="C8265" s="46">
        <v>3253</v>
      </c>
      <c r="D8265" s="69" t="s">
        <v>29417</v>
      </c>
      <c r="E8265" s="51"/>
      <c r="F8265" s="114" t="str">
        <f>IF(INDEX(I.Facility.P2aIDNumber,3253)="","",INDEX(I.Facility.P2aIDNumber,3253))</f>
        <v/>
      </c>
      <c r="G8265" s="51"/>
      <c r="H8265" s="46" t="str">
        <f>IF(AND(I.Developer.P2a=TRUE,I.Facility.P2aFacilityCount&gt;=3253,F8265=""),"Incomplete","Complete")</f>
        <v>Complete</v>
      </c>
      <c r="I8265" s="48" t="s">
        <v>12630</v>
      </c>
    </row>
    <row r="8266" spans="2:9" ht="15" customHeight="1" x14ac:dyDescent="0.25">
      <c r="B8266" s="55" t="s">
        <v>280</v>
      </c>
      <c r="C8266" s="46">
        <v>3254</v>
      </c>
      <c r="D8266" s="69" t="s">
        <v>29417</v>
      </c>
      <c r="E8266" s="51"/>
      <c r="F8266" s="114" t="str">
        <f>IF(INDEX(I.Facility.P2aIDNumber,3254)="","",INDEX(I.Facility.P2aIDNumber,3254))</f>
        <v/>
      </c>
      <c r="G8266" s="51"/>
      <c r="H8266" s="46" t="str">
        <f>IF(AND(I.Developer.P2a=TRUE,I.Facility.P2aFacilityCount&gt;=3254,F8266=""),"Incomplete","Complete")</f>
        <v>Complete</v>
      </c>
      <c r="I8266" s="48" t="s">
        <v>12631</v>
      </c>
    </row>
    <row r="8267" spans="2:9" ht="15" customHeight="1" x14ac:dyDescent="0.25">
      <c r="B8267" s="55" t="s">
        <v>280</v>
      </c>
      <c r="C8267" s="46">
        <v>3255</v>
      </c>
      <c r="D8267" s="69" t="s">
        <v>29417</v>
      </c>
      <c r="E8267" s="51"/>
      <c r="F8267" s="114" t="str">
        <f>IF(INDEX(I.Facility.P2aIDNumber,3255)="","",INDEX(I.Facility.P2aIDNumber,3255))</f>
        <v/>
      </c>
      <c r="G8267" s="51"/>
      <c r="H8267" s="46" t="str">
        <f>IF(AND(I.Developer.P2a=TRUE,I.Facility.P2aFacilityCount&gt;=3255,F8267=""),"Incomplete","Complete")</f>
        <v>Complete</v>
      </c>
      <c r="I8267" s="48" t="s">
        <v>12632</v>
      </c>
    </row>
    <row r="8268" spans="2:9" ht="15" customHeight="1" x14ac:dyDescent="0.25">
      <c r="B8268" s="55" t="s">
        <v>280</v>
      </c>
      <c r="C8268" s="46">
        <v>3256</v>
      </c>
      <c r="D8268" s="69" t="s">
        <v>29417</v>
      </c>
      <c r="E8268" s="51"/>
      <c r="F8268" s="114" t="str">
        <f>IF(INDEX(I.Facility.P2aIDNumber,3256)="","",INDEX(I.Facility.P2aIDNumber,3256))</f>
        <v/>
      </c>
      <c r="G8268" s="51"/>
      <c r="H8268" s="46" t="str">
        <f>IF(AND(I.Developer.P2a=TRUE,I.Facility.P2aFacilityCount&gt;=3256,F8268=""),"Incomplete","Complete")</f>
        <v>Complete</v>
      </c>
      <c r="I8268" s="48" t="s">
        <v>12633</v>
      </c>
    </row>
    <row r="8269" spans="2:9" ht="15" customHeight="1" x14ac:dyDescent="0.25">
      <c r="B8269" s="55" t="s">
        <v>280</v>
      </c>
      <c r="C8269" s="46">
        <v>3257</v>
      </c>
      <c r="D8269" s="69" t="s">
        <v>29417</v>
      </c>
      <c r="E8269" s="51"/>
      <c r="F8269" s="114" t="str">
        <f>IF(INDEX(I.Facility.P2aIDNumber,3257)="","",INDEX(I.Facility.P2aIDNumber,3257))</f>
        <v/>
      </c>
      <c r="G8269" s="51"/>
      <c r="H8269" s="46" t="str">
        <f>IF(AND(I.Developer.P2a=TRUE,I.Facility.P2aFacilityCount&gt;=3257,F8269=""),"Incomplete","Complete")</f>
        <v>Complete</v>
      </c>
      <c r="I8269" s="48" t="s">
        <v>12634</v>
      </c>
    </row>
    <row r="8270" spans="2:9" ht="15" customHeight="1" x14ac:dyDescent="0.25">
      <c r="B8270" s="55" t="s">
        <v>280</v>
      </c>
      <c r="C8270" s="46">
        <v>3258</v>
      </c>
      <c r="D8270" s="69" t="s">
        <v>29417</v>
      </c>
      <c r="E8270" s="51"/>
      <c r="F8270" s="114" t="str">
        <f>IF(INDEX(I.Facility.P2aIDNumber,3258)="","",INDEX(I.Facility.P2aIDNumber,3258))</f>
        <v/>
      </c>
      <c r="G8270" s="51"/>
      <c r="H8270" s="46" t="str">
        <f>IF(AND(I.Developer.P2a=TRUE,I.Facility.P2aFacilityCount&gt;=3258,F8270=""),"Incomplete","Complete")</f>
        <v>Complete</v>
      </c>
      <c r="I8270" s="48" t="s">
        <v>12635</v>
      </c>
    </row>
    <row r="8271" spans="2:9" ht="15" customHeight="1" x14ac:dyDescent="0.25">
      <c r="B8271" s="55" t="s">
        <v>280</v>
      </c>
      <c r="C8271" s="46">
        <v>3259</v>
      </c>
      <c r="D8271" s="69" t="s">
        <v>29417</v>
      </c>
      <c r="E8271" s="51"/>
      <c r="F8271" s="114" t="str">
        <f>IF(INDEX(I.Facility.P2aIDNumber,3259)="","",INDEX(I.Facility.P2aIDNumber,3259))</f>
        <v/>
      </c>
      <c r="G8271" s="51"/>
      <c r="H8271" s="46" t="str">
        <f>IF(AND(I.Developer.P2a=TRUE,I.Facility.P2aFacilityCount&gt;=3259,F8271=""),"Incomplete","Complete")</f>
        <v>Complete</v>
      </c>
      <c r="I8271" s="48" t="s">
        <v>12636</v>
      </c>
    </row>
    <row r="8272" spans="2:9" ht="15" customHeight="1" x14ac:dyDescent="0.25">
      <c r="B8272" s="55" t="s">
        <v>280</v>
      </c>
      <c r="C8272" s="46">
        <v>3260</v>
      </c>
      <c r="D8272" s="69" t="s">
        <v>29417</v>
      </c>
      <c r="E8272" s="51"/>
      <c r="F8272" s="114" t="str">
        <f>IF(INDEX(I.Facility.P2aIDNumber,3260)="","",INDEX(I.Facility.P2aIDNumber,3260))</f>
        <v/>
      </c>
      <c r="G8272" s="51"/>
      <c r="H8272" s="46" t="str">
        <f>IF(AND(I.Developer.P2a=TRUE,I.Facility.P2aFacilityCount&gt;=3260,F8272=""),"Incomplete","Complete")</f>
        <v>Complete</v>
      </c>
      <c r="I8272" s="48" t="s">
        <v>12637</v>
      </c>
    </row>
    <row r="8273" spans="2:9" ht="15" customHeight="1" x14ac:dyDescent="0.25">
      <c r="B8273" s="55" t="s">
        <v>280</v>
      </c>
      <c r="C8273" s="46">
        <v>3261</v>
      </c>
      <c r="D8273" s="69" t="s">
        <v>29417</v>
      </c>
      <c r="E8273" s="51"/>
      <c r="F8273" s="114" t="str">
        <f>IF(INDEX(I.Facility.P2aIDNumber,3261)="","",INDEX(I.Facility.P2aIDNumber,3261))</f>
        <v/>
      </c>
      <c r="G8273" s="51"/>
      <c r="H8273" s="46" t="str">
        <f>IF(AND(I.Developer.P2a=TRUE,I.Facility.P2aFacilityCount&gt;=3261,F8273=""),"Incomplete","Complete")</f>
        <v>Complete</v>
      </c>
      <c r="I8273" s="48" t="s">
        <v>12638</v>
      </c>
    </row>
    <row r="8274" spans="2:9" ht="15" customHeight="1" x14ac:dyDescent="0.25">
      <c r="B8274" s="55" t="s">
        <v>280</v>
      </c>
      <c r="C8274" s="46">
        <v>3262</v>
      </c>
      <c r="D8274" s="69" t="s">
        <v>29417</v>
      </c>
      <c r="E8274" s="51"/>
      <c r="F8274" s="114" t="str">
        <f>IF(INDEX(I.Facility.P2aIDNumber,3262)="","",INDEX(I.Facility.P2aIDNumber,3262))</f>
        <v/>
      </c>
      <c r="G8274" s="51"/>
      <c r="H8274" s="46" t="str">
        <f>IF(AND(I.Developer.P2a=TRUE,I.Facility.P2aFacilityCount&gt;=3262,F8274=""),"Incomplete","Complete")</f>
        <v>Complete</v>
      </c>
      <c r="I8274" s="48" t="s">
        <v>12639</v>
      </c>
    </row>
    <row r="8275" spans="2:9" ht="15" customHeight="1" x14ac:dyDescent="0.25">
      <c r="B8275" s="55" t="s">
        <v>280</v>
      </c>
      <c r="C8275" s="46">
        <v>3263</v>
      </c>
      <c r="D8275" s="69" t="s">
        <v>29417</v>
      </c>
      <c r="E8275" s="51"/>
      <c r="F8275" s="114" t="str">
        <f>IF(INDEX(I.Facility.P2aIDNumber,3263)="","",INDEX(I.Facility.P2aIDNumber,3263))</f>
        <v/>
      </c>
      <c r="G8275" s="51"/>
      <c r="H8275" s="46" t="str">
        <f>IF(AND(I.Developer.P2a=TRUE,I.Facility.P2aFacilityCount&gt;=3263,F8275=""),"Incomplete","Complete")</f>
        <v>Complete</v>
      </c>
      <c r="I8275" s="48" t="s">
        <v>12640</v>
      </c>
    </row>
    <row r="8276" spans="2:9" ht="15" customHeight="1" x14ac:dyDescent="0.25">
      <c r="B8276" s="55" t="s">
        <v>280</v>
      </c>
      <c r="C8276" s="46">
        <v>3264</v>
      </c>
      <c r="D8276" s="69" t="s">
        <v>29417</v>
      </c>
      <c r="E8276" s="51"/>
      <c r="F8276" s="114" t="str">
        <f>IF(INDEX(I.Facility.P2aIDNumber,3264)="","",INDEX(I.Facility.P2aIDNumber,3264))</f>
        <v/>
      </c>
      <c r="G8276" s="51"/>
      <c r="H8276" s="46" t="str">
        <f>IF(AND(I.Developer.P2a=TRUE,I.Facility.P2aFacilityCount&gt;=3264,F8276=""),"Incomplete","Complete")</f>
        <v>Complete</v>
      </c>
      <c r="I8276" s="48" t="s">
        <v>12641</v>
      </c>
    </row>
    <row r="8277" spans="2:9" ht="15" customHeight="1" x14ac:dyDescent="0.25">
      <c r="B8277" s="55" t="s">
        <v>280</v>
      </c>
      <c r="C8277" s="46">
        <v>3265</v>
      </c>
      <c r="D8277" s="69" t="s">
        <v>29417</v>
      </c>
      <c r="E8277" s="51"/>
      <c r="F8277" s="114" t="str">
        <f>IF(INDEX(I.Facility.P2aIDNumber,3265)="","",INDEX(I.Facility.P2aIDNumber,3265))</f>
        <v/>
      </c>
      <c r="G8277" s="51"/>
      <c r="H8277" s="46" t="str">
        <f>IF(AND(I.Developer.P2a=TRUE,I.Facility.P2aFacilityCount&gt;=3265,F8277=""),"Incomplete","Complete")</f>
        <v>Complete</v>
      </c>
      <c r="I8277" s="48" t="s">
        <v>12642</v>
      </c>
    </row>
    <row r="8278" spans="2:9" ht="15" customHeight="1" x14ac:dyDescent="0.25">
      <c r="B8278" s="55" t="s">
        <v>280</v>
      </c>
      <c r="C8278" s="46">
        <v>3266</v>
      </c>
      <c r="D8278" s="69" t="s">
        <v>29417</v>
      </c>
      <c r="E8278" s="51"/>
      <c r="F8278" s="114" t="str">
        <f>IF(INDEX(I.Facility.P2aIDNumber,3266)="","",INDEX(I.Facility.P2aIDNumber,3266))</f>
        <v/>
      </c>
      <c r="G8278" s="51"/>
      <c r="H8278" s="46" t="str">
        <f>IF(AND(I.Developer.P2a=TRUE,I.Facility.P2aFacilityCount&gt;=3266,F8278=""),"Incomplete","Complete")</f>
        <v>Complete</v>
      </c>
      <c r="I8278" s="48" t="s">
        <v>12643</v>
      </c>
    </row>
    <row r="8279" spans="2:9" ht="15" customHeight="1" x14ac:dyDescent="0.25">
      <c r="B8279" s="55" t="s">
        <v>280</v>
      </c>
      <c r="C8279" s="46">
        <v>3267</v>
      </c>
      <c r="D8279" s="69" t="s">
        <v>29417</v>
      </c>
      <c r="E8279" s="51"/>
      <c r="F8279" s="114" t="str">
        <f>IF(INDEX(I.Facility.P2aIDNumber,3267)="","",INDEX(I.Facility.P2aIDNumber,3267))</f>
        <v/>
      </c>
      <c r="G8279" s="51"/>
      <c r="H8279" s="46" t="str">
        <f>IF(AND(I.Developer.P2a=TRUE,I.Facility.P2aFacilityCount&gt;=3267,F8279=""),"Incomplete","Complete")</f>
        <v>Complete</v>
      </c>
      <c r="I8279" s="48" t="s">
        <v>12644</v>
      </c>
    </row>
    <row r="8280" spans="2:9" ht="15" customHeight="1" x14ac:dyDescent="0.25">
      <c r="B8280" s="55" t="s">
        <v>280</v>
      </c>
      <c r="C8280" s="46">
        <v>3268</v>
      </c>
      <c r="D8280" s="69" t="s">
        <v>29417</v>
      </c>
      <c r="E8280" s="51"/>
      <c r="F8280" s="114" t="str">
        <f>IF(INDEX(I.Facility.P2aIDNumber,3268)="","",INDEX(I.Facility.P2aIDNumber,3268))</f>
        <v/>
      </c>
      <c r="G8280" s="51"/>
      <c r="H8280" s="46" t="str">
        <f>IF(AND(I.Developer.P2a=TRUE,I.Facility.P2aFacilityCount&gt;=3268,F8280=""),"Incomplete","Complete")</f>
        <v>Complete</v>
      </c>
      <c r="I8280" s="48" t="s">
        <v>12645</v>
      </c>
    </row>
    <row r="8281" spans="2:9" ht="15" customHeight="1" x14ac:dyDescent="0.25">
      <c r="B8281" s="55" t="s">
        <v>280</v>
      </c>
      <c r="C8281" s="46">
        <v>3269</v>
      </c>
      <c r="D8281" s="69" t="s">
        <v>29417</v>
      </c>
      <c r="E8281" s="51"/>
      <c r="F8281" s="114" t="str">
        <f>IF(INDEX(I.Facility.P2aIDNumber,3269)="","",INDEX(I.Facility.P2aIDNumber,3269))</f>
        <v/>
      </c>
      <c r="G8281" s="51"/>
      <c r="H8281" s="46" t="str">
        <f>IF(AND(I.Developer.P2a=TRUE,I.Facility.P2aFacilityCount&gt;=3269,F8281=""),"Incomplete","Complete")</f>
        <v>Complete</v>
      </c>
      <c r="I8281" s="48" t="s">
        <v>12646</v>
      </c>
    </row>
    <row r="8282" spans="2:9" ht="15" customHeight="1" x14ac:dyDescent="0.25">
      <c r="B8282" s="55" t="s">
        <v>280</v>
      </c>
      <c r="C8282" s="46">
        <v>3270</v>
      </c>
      <c r="D8282" s="69" t="s">
        <v>29417</v>
      </c>
      <c r="E8282" s="51"/>
      <c r="F8282" s="114" t="str">
        <f>IF(INDEX(I.Facility.P2aIDNumber,3270)="","",INDEX(I.Facility.P2aIDNumber,3270))</f>
        <v/>
      </c>
      <c r="G8282" s="51"/>
      <c r="H8282" s="46" t="str">
        <f>IF(AND(I.Developer.P2a=TRUE,I.Facility.P2aFacilityCount&gt;=3270,F8282=""),"Incomplete","Complete")</f>
        <v>Complete</v>
      </c>
      <c r="I8282" s="48" t="s">
        <v>12647</v>
      </c>
    </row>
    <row r="8283" spans="2:9" ht="15" customHeight="1" x14ac:dyDescent="0.25">
      <c r="B8283" s="55" t="s">
        <v>280</v>
      </c>
      <c r="C8283" s="46">
        <v>3271</v>
      </c>
      <c r="D8283" s="69" t="s">
        <v>29417</v>
      </c>
      <c r="E8283" s="51"/>
      <c r="F8283" s="114" t="str">
        <f>IF(INDEX(I.Facility.P2aIDNumber,3271)="","",INDEX(I.Facility.P2aIDNumber,3271))</f>
        <v/>
      </c>
      <c r="G8283" s="51"/>
      <c r="H8283" s="46" t="str">
        <f>IF(AND(I.Developer.P2a=TRUE,I.Facility.P2aFacilityCount&gt;=3271,F8283=""),"Incomplete","Complete")</f>
        <v>Complete</v>
      </c>
      <c r="I8283" s="48" t="s">
        <v>12648</v>
      </c>
    </row>
    <row r="8284" spans="2:9" ht="15" customHeight="1" x14ac:dyDescent="0.25">
      <c r="B8284" s="55" t="s">
        <v>280</v>
      </c>
      <c r="C8284" s="46">
        <v>3272</v>
      </c>
      <c r="D8284" s="69" t="s">
        <v>29417</v>
      </c>
      <c r="E8284" s="51"/>
      <c r="F8284" s="114" t="str">
        <f>IF(INDEX(I.Facility.P2aIDNumber,3272)="","",INDEX(I.Facility.P2aIDNumber,3272))</f>
        <v/>
      </c>
      <c r="G8284" s="51"/>
      <c r="H8284" s="46" t="str">
        <f>IF(AND(I.Developer.P2a=TRUE,I.Facility.P2aFacilityCount&gt;=3272,F8284=""),"Incomplete","Complete")</f>
        <v>Complete</v>
      </c>
      <c r="I8284" s="48" t="s">
        <v>12649</v>
      </c>
    </row>
    <row r="8285" spans="2:9" ht="15" customHeight="1" x14ac:dyDescent="0.25">
      <c r="B8285" s="55" t="s">
        <v>280</v>
      </c>
      <c r="C8285" s="46">
        <v>3273</v>
      </c>
      <c r="D8285" s="69" t="s">
        <v>29417</v>
      </c>
      <c r="E8285" s="51"/>
      <c r="F8285" s="114" t="str">
        <f>IF(INDEX(I.Facility.P2aIDNumber,3273)="","",INDEX(I.Facility.P2aIDNumber,3273))</f>
        <v/>
      </c>
      <c r="G8285" s="51"/>
      <c r="H8285" s="46" t="str">
        <f>IF(AND(I.Developer.P2a=TRUE,I.Facility.P2aFacilityCount&gt;=3273,F8285=""),"Incomplete","Complete")</f>
        <v>Complete</v>
      </c>
      <c r="I8285" s="48" t="s">
        <v>12650</v>
      </c>
    </row>
    <row r="8286" spans="2:9" ht="15" customHeight="1" x14ac:dyDescent="0.25">
      <c r="B8286" s="55" t="s">
        <v>280</v>
      </c>
      <c r="C8286" s="46">
        <v>3274</v>
      </c>
      <c r="D8286" s="69" t="s">
        <v>29417</v>
      </c>
      <c r="E8286" s="51"/>
      <c r="F8286" s="114" t="str">
        <f>IF(INDEX(I.Facility.P2aIDNumber,3274)="","",INDEX(I.Facility.P2aIDNumber,3274))</f>
        <v/>
      </c>
      <c r="G8286" s="51"/>
      <c r="H8286" s="46" t="str">
        <f>IF(AND(I.Developer.P2a=TRUE,I.Facility.P2aFacilityCount&gt;=3274,F8286=""),"Incomplete","Complete")</f>
        <v>Complete</v>
      </c>
      <c r="I8286" s="48" t="s">
        <v>12651</v>
      </c>
    </row>
    <row r="8287" spans="2:9" ht="15" customHeight="1" x14ac:dyDescent="0.25">
      <c r="B8287" s="55" t="s">
        <v>280</v>
      </c>
      <c r="C8287" s="46">
        <v>3275</v>
      </c>
      <c r="D8287" s="69" t="s">
        <v>29417</v>
      </c>
      <c r="E8287" s="51"/>
      <c r="F8287" s="114" t="str">
        <f>IF(INDEX(I.Facility.P2aIDNumber,3275)="","",INDEX(I.Facility.P2aIDNumber,3275))</f>
        <v/>
      </c>
      <c r="G8287" s="51"/>
      <c r="H8287" s="46" t="str">
        <f>IF(AND(I.Developer.P2a=TRUE,I.Facility.P2aFacilityCount&gt;=3275,F8287=""),"Incomplete","Complete")</f>
        <v>Complete</v>
      </c>
      <c r="I8287" s="48" t="s">
        <v>12652</v>
      </c>
    </row>
    <row r="8288" spans="2:9" ht="15" customHeight="1" x14ac:dyDescent="0.25">
      <c r="B8288" s="55" t="s">
        <v>280</v>
      </c>
      <c r="C8288" s="46">
        <v>3276</v>
      </c>
      <c r="D8288" s="69" t="s">
        <v>29417</v>
      </c>
      <c r="E8288" s="51"/>
      <c r="F8288" s="114" t="str">
        <f>IF(INDEX(I.Facility.P2aIDNumber,3276)="","",INDEX(I.Facility.P2aIDNumber,3276))</f>
        <v/>
      </c>
      <c r="G8288" s="51"/>
      <c r="H8288" s="46" t="str">
        <f>IF(AND(I.Developer.P2a=TRUE,I.Facility.P2aFacilityCount&gt;=3276,F8288=""),"Incomplete","Complete")</f>
        <v>Complete</v>
      </c>
      <c r="I8288" s="48" t="s">
        <v>12653</v>
      </c>
    </row>
    <row r="8289" spans="2:9" ht="15" customHeight="1" x14ac:dyDescent="0.25">
      <c r="B8289" s="55" t="s">
        <v>280</v>
      </c>
      <c r="C8289" s="46">
        <v>3277</v>
      </c>
      <c r="D8289" s="69" t="s">
        <v>29417</v>
      </c>
      <c r="E8289" s="51"/>
      <c r="F8289" s="114" t="str">
        <f>IF(INDEX(I.Facility.P2aIDNumber,3277)="","",INDEX(I.Facility.P2aIDNumber,3277))</f>
        <v/>
      </c>
      <c r="G8289" s="51"/>
      <c r="H8289" s="46" t="str">
        <f>IF(AND(I.Developer.P2a=TRUE,I.Facility.P2aFacilityCount&gt;=3277,F8289=""),"Incomplete","Complete")</f>
        <v>Complete</v>
      </c>
      <c r="I8289" s="48" t="s">
        <v>12654</v>
      </c>
    </row>
    <row r="8290" spans="2:9" ht="15" customHeight="1" x14ac:dyDescent="0.25">
      <c r="B8290" s="55" t="s">
        <v>280</v>
      </c>
      <c r="C8290" s="46">
        <v>3278</v>
      </c>
      <c r="D8290" s="69" t="s">
        <v>29417</v>
      </c>
      <c r="E8290" s="51"/>
      <c r="F8290" s="114" t="str">
        <f>IF(INDEX(I.Facility.P2aIDNumber,3278)="","",INDEX(I.Facility.P2aIDNumber,3278))</f>
        <v/>
      </c>
      <c r="G8290" s="51"/>
      <c r="H8290" s="46" t="str">
        <f>IF(AND(I.Developer.P2a=TRUE,I.Facility.P2aFacilityCount&gt;=3278,F8290=""),"Incomplete","Complete")</f>
        <v>Complete</v>
      </c>
      <c r="I8290" s="48" t="s">
        <v>12655</v>
      </c>
    </row>
    <row r="8291" spans="2:9" ht="15" customHeight="1" x14ac:dyDescent="0.25">
      <c r="B8291" s="55" t="s">
        <v>280</v>
      </c>
      <c r="C8291" s="46">
        <v>3279</v>
      </c>
      <c r="D8291" s="69" t="s">
        <v>29417</v>
      </c>
      <c r="E8291" s="51"/>
      <c r="F8291" s="114" t="str">
        <f>IF(INDEX(I.Facility.P2aIDNumber,3279)="","",INDEX(I.Facility.P2aIDNumber,3279))</f>
        <v/>
      </c>
      <c r="G8291" s="51"/>
      <c r="H8291" s="46" t="str">
        <f>IF(AND(I.Developer.P2a=TRUE,I.Facility.P2aFacilityCount&gt;=3279,F8291=""),"Incomplete","Complete")</f>
        <v>Complete</v>
      </c>
      <c r="I8291" s="48" t="s">
        <v>12656</v>
      </c>
    </row>
    <row r="8292" spans="2:9" ht="15" customHeight="1" x14ac:dyDescent="0.25">
      <c r="B8292" s="55" t="s">
        <v>280</v>
      </c>
      <c r="C8292" s="46">
        <v>3280</v>
      </c>
      <c r="D8292" s="69" t="s">
        <v>29417</v>
      </c>
      <c r="E8292" s="51"/>
      <c r="F8292" s="114" t="str">
        <f>IF(INDEX(I.Facility.P2aIDNumber,3280)="","",INDEX(I.Facility.P2aIDNumber,3280))</f>
        <v/>
      </c>
      <c r="G8292" s="51"/>
      <c r="H8292" s="46" t="str">
        <f>IF(AND(I.Developer.P2a=TRUE,I.Facility.P2aFacilityCount&gt;=3280,F8292=""),"Incomplete","Complete")</f>
        <v>Complete</v>
      </c>
      <c r="I8292" s="48" t="s">
        <v>12657</v>
      </c>
    </row>
    <row r="8293" spans="2:9" ht="15" customHeight="1" x14ac:dyDescent="0.25">
      <c r="B8293" s="55" t="s">
        <v>280</v>
      </c>
      <c r="C8293" s="46">
        <v>3281</v>
      </c>
      <c r="D8293" s="69" t="s">
        <v>29417</v>
      </c>
      <c r="E8293" s="51"/>
      <c r="F8293" s="114" t="str">
        <f>IF(INDEX(I.Facility.P2aIDNumber,3281)="","",INDEX(I.Facility.P2aIDNumber,3281))</f>
        <v/>
      </c>
      <c r="G8293" s="51"/>
      <c r="H8293" s="46" t="str">
        <f>IF(AND(I.Developer.P2a=TRUE,I.Facility.P2aFacilityCount&gt;=3281,F8293=""),"Incomplete","Complete")</f>
        <v>Complete</v>
      </c>
      <c r="I8293" s="48" t="s">
        <v>12658</v>
      </c>
    </row>
    <row r="8294" spans="2:9" ht="15" customHeight="1" x14ac:dyDescent="0.25">
      <c r="B8294" s="55" t="s">
        <v>280</v>
      </c>
      <c r="C8294" s="46">
        <v>3282</v>
      </c>
      <c r="D8294" s="69" t="s">
        <v>29417</v>
      </c>
      <c r="E8294" s="51"/>
      <c r="F8294" s="114" t="str">
        <f>IF(INDEX(I.Facility.P2aIDNumber,3282)="","",INDEX(I.Facility.P2aIDNumber,3282))</f>
        <v/>
      </c>
      <c r="G8294" s="51"/>
      <c r="H8294" s="46" t="str">
        <f>IF(AND(I.Developer.P2a=TRUE,I.Facility.P2aFacilityCount&gt;=3282,F8294=""),"Incomplete","Complete")</f>
        <v>Complete</v>
      </c>
      <c r="I8294" s="48" t="s">
        <v>12659</v>
      </c>
    </row>
    <row r="8295" spans="2:9" ht="15" customHeight="1" x14ac:dyDescent="0.25">
      <c r="B8295" s="55" t="s">
        <v>280</v>
      </c>
      <c r="C8295" s="46">
        <v>3283</v>
      </c>
      <c r="D8295" s="69" t="s">
        <v>29417</v>
      </c>
      <c r="E8295" s="51"/>
      <c r="F8295" s="114" t="str">
        <f>IF(INDEX(I.Facility.P2aIDNumber,3283)="","",INDEX(I.Facility.P2aIDNumber,3283))</f>
        <v/>
      </c>
      <c r="G8295" s="51"/>
      <c r="H8295" s="46" t="str">
        <f>IF(AND(I.Developer.P2a=TRUE,I.Facility.P2aFacilityCount&gt;=3283,F8295=""),"Incomplete","Complete")</f>
        <v>Complete</v>
      </c>
      <c r="I8295" s="48" t="s">
        <v>12660</v>
      </c>
    </row>
    <row r="8296" spans="2:9" ht="15" customHeight="1" x14ac:dyDescent="0.25">
      <c r="B8296" s="55" t="s">
        <v>280</v>
      </c>
      <c r="C8296" s="46">
        <v>3284</v>
      </c>
      <c r="D8296" s="69" t="s">
        <v>29417</v>
      </c>
      <c r="E8296" s="51"/>
      <c r="F8296" s="114" t="str">
        <f>IF(INDEX(I.Facility.P2aIDNumber,3284)="","",INDEX(I.Facility.P2aIDNumber,3284))</f>
        <v/>
      </c>
      <c r="G8296" s="51"/>
      <c r="H8296" s="46" t="str">
        <f>IF(AND(I.Developer.P2a=TRUE,I.Facility.P2aFacilityCount&gt;=3284,F8296=""),"Incomplete","Complete")</f>
        <v>Complete</v>
      </c>
      <c r="I8296" s="48" t="s">
        <v>12661</v>
      </c>
    </row>
    <row r="8297" spans="2:9" ht="15" customHeight="1" x14ac:dyDescent="0.25">
      <c r="B8297" s="55" t="s">
        <v>280</v>
      </c>
      <c r="C8297" s="46">
        <v>3285</v>
      </c>
      <c r="D8297" s="69" t="s">
        <v>29417</v>
      </c>
      <c r="E8297" s="51"/>
      <c r="F8297" s="114" t="str">
        <f>IF(INDEX(I.Facility.P2aIDNumber,3285)="","",INDEX(I.Facility.P2aIDNumber,3285))</f>
        <v/>
      </c>
      <c r="G8297" s="51"/>
      <c r="H8297" s="46" t="str">
        <f>IF(AND(I.Developer.P2a=TRUE,I.Facility.P2aFacilityCount&gt;=3285,F8297=""),"Incomplete","Complete")</f>
        <v>Complete</v>
      </c>
      <c r="I8297" s="48" t="s">
        <v>12662</v>
      </c>
    </row>
    <row r="8298" spans="2:9" ht="15" customHeight="1" x14ac:dyDescent="0.25">
      <c r="B8298" s="55" t="s">
        <v>280</v>
      </c>
      <c r="C8298" s="46">
        <v>3286</v>
      </c>
      <c r="D8298" s="69" t="s">
        <v>29417</v>
      </c>
      <c r="E8298" s="51"/>
      <c r="F8298" s="114" t="str">
        <f>IF(INDEX(I.Facility.P2aIDNumber,3286)="","",INDEX(I.Facility.P2aIDNumber,3286))</f>
        <v/>
      </c>
      <c r="G8298" s="51"/>
      <c r="H8298" s="46" t="str">
        <f>IF(AND(I.Developer.P2a=TRUE,I.Facility.P2aFacilityCount&gt;=3286,F8298=""),"Incomplete","Complete")</f>
        <v>Complete</v>
      </c>
      <c r="I8298" s="48" t="s">
        <v>12663</v>
      </c>
    </row>
    <row r="8299" spans="2:9" ht="15" customHeight="1" x14ac:dyDescent="0.25">
      <c r="B8299" s="55" t="s">
        <v>280</v>
      </c>
      <c r="C8299" s="46">
        <v>3287</v>
      </c>
      <c r="D8299" s="69" t="s">
        <v>29417</v>
      </c>
      <c r="E8299" s="51"/>
      <c r="F8299" s="114" t="str">
        <f>IF(INDEX(I.Facility.P2aIDNumber,3287)="","",INDEX(I.Facility.P2aIDNumber,3287))</f>
        <v/>
      </c>
      <c r="G8299" s="51"/>
      <c r="H8299" s="46" t="str">
        <f>IF(AND(I.Developer.P2a=TRUE,I.Facility.P2aFacilityCount&gt;=3287,F8299=""),"Incomplete","Complete")</f>
        <v>Complete</v>
      </c>
      <c r="I8299" s="48" t="s">
        <v>12664</v>
      </c>
    </row>
    <row r="8300" spans="2:9" ht="15" customHeight="1" x14ac:dyDescent="0.25">
      <c r="B8300" s="55" t="s">
        <v>280</v>
      </c>
      <c r="C8300" s="46">
        <v>3288</v>
      </c>
      <c r="D8300" s="69" t="s">
        <v>29417</v>
      </c>
      <c r="E8300" s="51"/>
      <c r="F8300" s="114" t="str">
        <f>IF(INDEX(I.Facility.P2aIDNumber,3288)="","",INDEX(I.Facility.P2aIDNumber,3288))</f>
        <v/>
      </c>
      <c r="G8300" s="51"/>
      <c r="H8300" s="46" t="str">
        <f>IF(AND(I.Developer.P2a=TRUE,I.Facility.P2aFacilityCount&gt;=3288,F8300=""),"Incomplete","Complete")</f>
        <v>Complete</v>
      </c>
      <c r="I8300" s="48" t="s">
        <v>12665</v>
      </c>
    </row>
    <row r="8301" spans="2:9" ht="15" customHeight="1" x14ac:dyDescent="0.25">
      <c r="B8301" s="55" t="s">
        <v>280</v>
      </c>
      <c r="C8301" s="46">
        <v>3289</v>
      </c>
      <c r="D8301" s="69" t="s">
        <v>29417</v>
      </c>
      <c r="E8301" s="51"/>
      <c r="F8301" s="114" t="str">
        <f>IF(INDEX(I.Facility.P2aIDNumber,3289)="","",INDEX(I.Facility.P2aIDNumber,3289))</f>
        <v/>
      </c>
      <c r="G8301" s="51"/>
      <c r="H8301" s="46" t="str">
        <f>IF(AND(I.Developer.P2a=TRUE,I.Facility.P2aFacilityCount&gt;=3289,F8301=""),"Incomplete","Complete")</f>
        <v>Complete</v>
      </c>
      <c r="I8301" s="48" t="s">
        <v>12666</v>
      </c>
    </row>
    <row r="8302" spans="2:9" ht="15" customHeight="1" x14ac:dyDescent="0.25">
      <c r="B8302" s="55" t="s">
        <v>280</v>
      </c>
      <c r="C8302" s="46">
        <v>3290</v>
      </c>
      <c r="D8302" s="69" t="s">
        <v>29417</v>
      </c>
      <c r="E8302" s="51"/>
      <c r="F8302" s="114" t="str">
        <f>IF(INDEX(I.Facility.P2aIDNumber,3290)="","",INDEX(I.Facility.P2aIDNumber,3290))</f>
        <v/>
      </c>
      <c r="G8302" s="51"/>
      <c r="H8302" s="46" t="str">
        <f>IF(AND(I.Developer.P2a=TRUE,I.Facility.P2aFacilityCount&gt;=3290,F8302=""),"Incomplete","Complete")</f>
        <v>Complete</v>
      </c>
      <c r="I8302" s="48" t="s">
        <v>12667</v>
      </c>
    </row>
    <row r="8303" spans="2:9" ht="15" customHeight="1" x14ac:dyDescent="0.25">
      <c r="B8303" s="55" t="s">
        <v>280</v>
      </c>
      <c r="C8303" s="46">
        <v>3291</v>
      </c>
      <c r="D8303" s="69" t="s">
        <v>29417</v>
      </c>
      <c r="E8303" s="51"/>
      <c r="F8303" s="114" t="str">
        <f>IF(INDEX(I.Facility.P2aIDNumber,3291)="","",INDEX(I.Facility.P2aIDNumber,3291))</f>
        <v/>
      </c>
      <c r="G8303" s="51"/>
      <c r="H8303" s="46" t="str">
        <f>IF(AND(I.Developer.P2a=TRUE,I.Facility.P2aFacilityCount&gt;=3291,F8303=""),"Incomplete","Complete")</f>
        <v>Complete</v>
      </c>
      <c r="I8303" s="48" t="s">
        <v>12668</v>
      </c>
    </row>
    <row r="8304" spans="2:9" ht="15" customHeight="1" x14ac:dyDescent="0.25">
      <c r="B8304" s="55" t="s">
        <v>280</v>
      </c>
      <c r="C8304" s="46">
        <v>3292</v>
      </c>
      <c r="D8304" s="69" t="s">
        <v>29417</v>
      </c>
      <c r="E8304" s="51"/>
      <c r="F8304" s="114" t="str">
        <f>IF(INDEX(I.Facility.P2aIDNumber,3292)="","",INDEX(I.Facility.P2aIDNumber,3292))</f>
        <v/>
      </c>
      <c r="G8304" s="51"/>
      <c r="H8304" s="46" t="str">
        <f>IF(AND(I.Developer.P2a=TRUE,I.Facility.P2aFacilityCount&gt;=3292,F8304=""),"Incomplete","Complete")</f>
        <v>Complete</v>
      </c>
      <c r="I8304" s="48" t="s">
        <v>12669</v>
      </c>
    </row>
    <row r="8305" spans="2:9" ht="15" customHeight="1" x14ac:dyDescent="0.25">
      <c r="B8305" s="55" t="s">
        <v>280</v>
      </c>
      <c r="C8305" s="46">
        <v>3293</v>
      </c>
      <c r="D8305" s="69" t="s">
        <v>29417</v>
      </c>
      <c r="E8305" s="51"/>
      <c r="F8305" s="114" t="str">
        <f>IF(INDEX(I.Facility.P2aIDNumber,3293)="","",INDEX(I.Facility.P2aIDNumber,3293))</f>
        <v/>
      </c>
      <c r="G8305" s="51"/>
      <c r="H8305" s="46" t="str">
        <f>IF(AND(I.Developer.P2a=TRUE,I.Facility.P2aFacilityCount&gt;=3293,F8305=""),"Incomplete","Complete")</f>
        <v>Complete</v>
      </c>
      <c r="I8305" s="48" t="s">
        <v>12670</v>
      </c>
    </row>
    <row r="8306" spans="2:9" ht="15" customHeight="1" x14ac:dyDescent="0.25">
      <c r="B8306" s="55" t="s">
        <v>280</v>
      </c>
      <c r="C8306" s="46">
        <v>3294</v>
      </c>
      <c r="D8306" s="69" t="s">
        <v>29417</v>
      </c>
      <c r="E8306" s="51"/>
      <c r="F8306" s="114" t="str">
        <f>IF(INDEX(I.Facility.P2aIDNumber,3294)="","",INDEX(I.Facility.P2aIDNumber,3294))</f>
        <v/>
      </c>
      <c r="G8306" s="51"/>
      <c r="H8306" s="46" t="str">
        <f>IF(AND(I.Developer.P2a=TRUE,I.Facility.P2aFacilityCount&gt;=3294,F8306=""),"Incomplete","Complete")</f>
        <v>Complete</v>
      </c>
      <c r="I8306" s="48" t="s">
        <v>12671</v>
      </c>
    </row>
    <row r="8307" spans="2:9" ht="15" customHeight="1" x14ac:dyDescent="0.25">
      <c r="B8307" s="55" t="s">
        <v>280</v>
      </c>
      <c r="C8307" s="46">
        <v>3295</v>
      </c>
      <c r="D8307" s="69" t="s">
        <v>29417</v>
      </c>
      <c r="E8307" s="51"/>
      <c r="F8307" s="114" t="str">
        <f>IF(INDEX(I.Facility.P2aIDNumber,3295)="","",INDEX(I.Facility.P2aIDNumber,3295))</f>
        <v/>
      </c>
      <c r="G8307" s="51"/>
      <c r="H8307" s="46" t="str">
        <f>IF(AND(I.Developer.P2a=TRUE,I.Facility.P2aFacilityCount&gt;=3295,F8307=""),"Incomplete","Complete")</f>
        <v>Complete</v>
      </c>
      <c r="I8307" s="48" t="s">
        <v>12672</v>
      </c>
    </row>
    <row r="8308" spans="2:9" ht="15" customHeight="1" x14ac:dyDescent="0.25">
      <c r="B8308" s="55" t="s">
        <v>280</v>
      </c>
      <c r="C8308" s="46">
        <v>3296</v>
      </c>
      <c r="D8308" s="69" t="s">
        <v>29417</v>
      </c>
      <c r="E8308" s="51"/>
      <c r="F8308" s="114" t="str">
        <f>IF(INDEX(I.Facility.P2aIDNumber,3296)="","",INDEX(I.Facility.P2aIDNumber,3296))</f>
        <v/>
      </c>
      <c r="G8308" s="51"/>
      <c r="H8308" s="46" t="str">
        <f>IF(AND(I.Developer.P2a=TRUE,I.Facility.P2aFacilityCount&gt;=3296,F8308=""),"Incomplete","Complete")</f>
        <v>Complete</v>
      </c>
      <c r="I8308" s="48" t="s">
        <v>12673</v>
      </c>
    </row>
    <row r="8309" spans="2:9" ht="15" customHeight="1" x14ac:dyDescent="0.25">
      <c r="B8309" s="55" t="s">
        <v>280</v>
      </c>
      <c r="C8309" s="46">
        <v>3297</v>
      </c>
      <c r="D8309" s="69" t="s">
        <v>29417</v>
      </c>
      <c r="E8309" s="51"/>
      <c r="F8309" s="114" t="str">
        <f>IF(INDEX(I.Facility.P2aIDNumber,3297)="","",INDEX(I.Facility.P2aIDNumber,3297))</f>
        <v/>
      </c>
      <c r="G8309" s="51"/>
      <c r="H8309" s="46" t="str">
        <f>IF(AND(I.Developer.P2a=TRUE,I.Facility.P2aFacilityCount&gt;=3297,F8309=""),"Incomplete","Complete")</f>
        <v>Complete</v>
      </c>
      <c r="I8309" s="48" t="s">
        <v>12674</v>
      </c>
    </row>
    <row r="8310" spans="2:9" ht="15" customHeight="1" x14ac:dyDescent="0.25">
      <c r="B8310" s="55" t="s">
        <v>280</v>
      </c>
      <c r="C8310" s="46">
        <v>3298</v>
      </c>
      <c r="D8310" s="69" t="s">
        <v>29417</v>
      </c>
      <c r="E8310" s="51"/>
      <c r="F8310" s="114" t="str">
        <f>IF(INDEX(I.Facility.P2aIDNumber,3298)="","",INDEX(I.Facility.P2aIDNumber,3298))</f>
        <v/>
      </c>
      <c r="G8310" s="51"/>
      <c r="H8310" s="46" t="str">
        <f>IF(AND(I.Developer.P2a=TRUE,I.Facility.P2aFacilityCount&gt;=3298,F8310=""),"Incomplete","Complete")</f>
        <v>Complete</v>
      </c>
      <c r="I8310" s="48" t="s">
        <v>12675</v>
      </c>
    </row>
    <row r="8311" spans="2:9" ht="15" customHeight="1" x14ac:dyDescent="0.25">
      <c r="B8311" s="55" t="s">
        <v>280</v>
      </c>
      <c r="C8311" s="46">
        <v>3299</v>
      </c>
      <c r="D8311" s="69" t="s">
        <v>29417</v>
      </c>
      <c r="E8311" s="51"/>
      <c r="F8311" s="114" t="str">
        <f>IF(INDEX(I.Facility.P2aIDNumber,3299)="","",INDEX(I.Facility.P2aIDNumber,3299))</f>
        <v/>
      </c>
      <c r="G8311" s="51"/>
      <c r="H8311" s="46" t="str">
        <f>IF(AND(I.Developer.P2a=TRUE,I.Facility.P2aFacilityCount&gt;=3299,F8311=""),"Incomplete","Complete")</f>
        <v>Complete</v>
      </c>
      <c r="I8311" s="48" t="s">
        <v>12676</v>
      </c>
    </row>
    <row r="8312" spans="2:9" ht="15" customHeight="1" x14ac:dyDescent="0.25">
      <c r="B8312" s="55" t="s">
        <v>280</v>
      </c>
      <c r="C8312" s="46">
        <v>3300</v>
      </c>
      <c r="D8312" s="69" t="s">
        <v>29417</v>
      </c>
      <c r="E8312" s="51"/>
      <c r="F8312" s="114" t="str">
        <f>IF(INDEX(I.Facility.P2aIDNumber,3300)="","",INDEX(I.Facility.P2aIDNumber,3300))</f>
        <v/>
      </c>
      <c r="G8312" s="51"/>
      <c r="H8312" s="46" t="str">
        <f>IF(AND(I.Developer.P2a=TRUE,I.Facility.P2aFacilityCount&gt;=3300,F8312=""),"Incomplete","Complete")</f>
        <v>Complete</v>
      </c>
      <c r="I8312" s="48" t="s">
        <v>12677</v>
      </c>
    </row>
    <row r="8313" spans="2:9" ht="15" customHeight="1" x14ac:dyDescent="0.25">
      <c r="B8313" s="55" t="s">
        <v>280</v>
      </c>
      <c r="C8313" s="46">
        <v>3301</v>
      </c>
      <c r="D8313" s="69" t="s">
        <v>29417</v>
      </c>
      <c r="E8313" s="51"/>
      <c r="F8313" s="114" t="str">
        <f>IF(INDEX(I.Facility.P2aIDNumber,3301)="","",INDEX(I.Facility.P2aIDNumber,3301))</f>
        <v/>
      </c>
      <c r="G8313" s="51"/>
      <c r="H8313" s="46" t="str">
        <f>IF(AND(I.Developer.P2a=TRUE,I.Facility.P2aFacilityCount&gt;=3301,F8313=""),"Incomplete","Complete")</f>
        <v>Complete</v>
      </c>
      <c r="I8313" s="48" t="s">
        <v>12678</v>
      </c>
    </row>
    <row r="8314" spans="2:9" ht="15" customHeight="1" x14ac:dyDescent="0.25">
      <c r="B8314" s="55" t="s">
        <v>280</v>
      </c>
      <c r="C8314" s="46">
        <v>3302</v>
      </c>
      <c r="D8314" s="69" t="s">
        <v>29417</v>
      </c>
      <c r="E8314" s="51"/>
      <c r="F8314" s="114" t="str">
        <f>IF(INDEX(I.Facility.P2aIDNumber,3302)="","",INDEX(I.Facility.P2aIDNumber,3302))</f>
        <v/>
      </c>
      <c r="G8314" s="51"/>
      <c r="H8314" s="46" t="str">
        <f>IF(AND(I.Developer.P2a=TRUE,I.Facility.P2aFacilityCount&gt;=3302,F8314=""),"Incomplete","Complete")</f>
        <v>Complete</v>
      </c>
      <c r="I8314" s="48" t="s">
        <v>12679</v>
      </c>
    </row>
    <row r="8315" spans="2:9" ht="15" customHeight="1" x14ac:dyDescent="0.25">
      <c r="B8315" s="55" t="s">
        <v>280</v>
      </c>
      <c r="C8315" s="46">
        <v>3303</v>
      </c>
      <c r="D8315" s="69" t="s">
        <v>29417</v>
      </c>
      <c r="E8315" s="51"/>
      <c r="F8315" s="114" t="str">
        <f>IF(INDEX(I.Facility.P2aIDNumber,3303)="","",INDEX(I.Facility.P2aIDNumber,3303))</f>
        <v/>
      </c>
      <c r="G8315" s="51"/>
      <c r="H8315" s="46" t="str">
        <f>IF(AND(I.Developer.P2a=TRUE,I.Facility.P2aFacilityCount&gt;=3303,F8315=""),"Incomplete","Complete")</f>
        <v>Complete</v>
      </c>
      <c r="I8315" s="48" t="s">
        <v>12680</v>
      </c>
    </row>
    <row r="8316" spans="2:9" ht="15" customHeight="1" x14ac:dyDescent="0.25">
      <c r="B8316" s="55" t="s">
        <v>280</v>
      </c>
      <c r="C8316" s="46">
        <v>3304</v>
      </c>
      <c r="D8316" s="69" t="s">
        <v>29417</v>
      </c>
      <c r="E8316" s="51"/>
      <c r="F8316" s="114" t="str">
        <f>IF(INDEX(I.Facility.P2aIDNumber,3304)="","",INDEX(I.Facility.P2aIDNumber,3304))</f>
        <v/>
      </c>
      <c r="G8316" s="51"/>
      <c r="H8316" s="46" t="str">
        <f>IF(AND(I.Developer.P2a=TRUE,I.Facility.P2aFacilityCount&gt;=3304,F8316=""),"Incomplete","Complete")</f>
        <v>Complete</v>
      </c>
      <c r="I8316" s="48" t="s">
        <v>12681</v>
      </c>
    </row>
    <row r="8317" spans="2:9" ht="15" customHeight="1" x14ac:dyDescent="0.25">
      <c r="B8317" s="55" t="s">
        <v>280</v>
      </c>
      <c r="C8317" s="46">
        <v>3305</v>
      </c>
      <c r="D8317" s="69" t="s">
        <v>29417</v>
      </c>
      <c r="E8317" s="51"/>
      <c r="F8317" s="114" t="str">
        <f>IF(INDEX(I.Facility.P2aIDNumber,3305)="","",INDEX(I.Facility.P2aIDNumber,3305))</f>
        <v/>
      </c>
      <c r="G8317" s="51"/>
      <c r="H8317" s="46" t="str">
        <f>IF(AND(I.Developer.P2a=TRUE,I.Facility.P2aFacilityCount&gt;=3305,F8317=""),"Incomplete","Complete")</f>
        <v>Complete</v>
      </c>
      <c r="I8317" s="48" t="s">
        <v>12682</v>
      </c>
    </row>
    <row r="8318" spans="2:9" ht="15" customHeight="1" x14ac:dyDescent="0.25">
      <c r="B8318" s="55" t="s">
        <v>280</v>
      </c>
      <c r="C8318" s="46">
        <v>3306</v>
      </c>
      <c r="D8318" s="69" t="s">
        <v>29417</v>
      </c>
      <c r="E8318" s="51"/>
      <c r="F8318" s="114" t="str">
        <f>IF(INDEX(I.Facility.P2aIDNumber,3306)="","",INDEX(I.Facility.P2aIDNumber,3306))</f>
        <v/>
      </c>
      <c r="G8318" s="51"/>
      <c r="H8318" s="46" t="str">
        <f>IF(AND(I.Developer.P2a=TRUE,I.Facility.P2aFacilityCount&gt;=3306,F8318=""),"Incomplete","Complete")</f>
        <v>Complete</v>
      </c>
      <c r="I8318" s="48" t="s">
        <v>12683</v>
      </c>
    </row>
    <row r="8319" spans="2:9" ht="15" customHeight="1" x14ac:dyDescent="0.25">
      <c r="B8319" s="55" t="s">
        <v>280</v>
      </c>
      <c r="C8319" s="46">
        <v>3307</v>
      </c>
      <c r="D8319" s="69" t="s">
        <v>29417</v>
      </c>
      <c r="E8319" s="51"/>
      <c r="F8319" s="114" t="str">
        <f>IF(INDEX(I.Facility.P2aIDNumber,3307)="","",INDEX(I.Facility.P2aIDNumber,3307))</f>
        <v/>
      </c>
      <c r="G8319" s="51"/>
      <c r="H8319" s="46" t="str">
        <f>IF(AND(I.Developer.P2a=TRUE,I.Facility.P2aFacilityCount&gt;=3307,F8319=""),"Incomplete","Complete")</f>
        <v>Complete</v>
      </c>
      <c r="I8319" s="48" t="s">
        <v>12684</v>
      </c>
    </row>
    <row r="8320" spans="2:9" ht="15" customHeight="1" x14ac:dyDescent="0.25">
      <c r="B8320" s="55" t="s">
        <v>280</v>
      </c>
      <c r="C8320" s="46">
        <v>3308</v>
      </c>
      <c r="D8320" s="69" t="s">
        <v>29417</v>
      </c>
      <c r="E8320" s="51"/>
      <c r="F8320" s="114" t="str">
        <f>IF(INDEX(I.Facility.P2aIDNumber,3308)="","",INDEX(I.Facility.P2aIDNumber,3308))</f>
        <v/>
      </c>
      <c r="G8320" s="51"/>
      <c r="H8320" s="46" t="str">
        <f>IF(AND(I.Developer.P2a=TRUE,I.Facility.P2aFacilityCount&gt;=3308,F8320=""),"Incomplete","Complete")</f>
        <v>Complete</v>
      </c>
      <c r="I8320" s="48" t="s">
        <v>12685</v>
      </c>
    </row>
    <row r="8321" spans="2:9" ht="15" customHeight="1" x14ac:dyDescent="0.25">
      <c r="B8321" s="55" t="s">
        <v>280</v>
      </c>
      <c r="C8321" s="46">
        <v>3309</v>
      </c>
      <c r="D8321" s="69" t="s">
        <v>29417</v>
      </c>
      <c r="E8321" s="51"/>
      <c r="F8321" s="114" t="str">
        <f>IF(INDEX(I.Facility.P2aIDNumber,3309)="","",INDEX(I.Facility.P2aIDNumber,3309))</f>
        <v/>
      </c>
      <c r="G8321" s="51"/>
      <c r="H8321" s="46" t="str">
        <f>IF(AND(I.Developer.P2a=TRUE,I.Facility.P2aFacilityCount&gt;=3309,F8321=""),"Incomplete","Complete")</f>
        <v>Complete</v>
      </c>
      <c r="I8321" s="48" t="s">
        <v>12686</v>
      </c>
    </row>
    <row r="8322" spans="2:9" ht="15" customHeight="1" x14ac:dyDescent="0.25">
      <c r="B8322" s="55" t="s">
        <v>280</v>
      </c>
      <c r="C8322" s="46">
        <v>3310</v>
      </c>
      <c r="D8322" s="69" t="s">
        <v>29417</v>
      </c>
      <c r="E8322" s="51"/>
      <c r="F8322" s="114" t="str">
        <f>IF(INDEX(I.Facility.P2aIDNumber,3310)="","",INDEX(I.Facility.P2aIDNumber,3310))</f>
        <v/>
      </c>
      <c r="G8322" s="51"/>
      <c r="H8322" s="46" t="str">
        <f>IF(AND(I.Developer.P2a=TRUE,I.Facility.P2aFacilityCount&gt;=3310,F8322=""),"Incomplete","Complete")</f>
        <v>Complete</v>
      </c>
      <c r="I8322" s="48" t="s">
        <v>12687</v>
      </c>
    </row>
    <row r="8323" spans="2:9" ht="15" customHeight="1" x14ac:dyDescent="0.25">
      <c r="B8323" s="55" t="s">
        <v>280</v>
      </c>
      <c r="C8323" s="46">
        <v>3311</v>
      </c>
      <c r="D8323" s="69" t="s">
        <v>29417</v>
      </c>
      <c r="E8323" s="51"/>
      <c r="F8323" s="114" t="str">
        <f>IF(INDEX(I.Facility.P2aIDNumber,3311)="","",INDEX(I.Facility.P2aIDNumber,3311))</f>
        <v/>
      </c>
      <c r="G8323" s="51"/>
      <c r="H8323" s="46" t="str">
        <f>IF(AND(I.Developer.P2a=TRUE,I.Facility.P2aFacilityCount&gt;=3311,F8323=""),"Incomplete","Complete")</f>
        <v>Complete</v>
      </c>
      <c r="I8323" s="48" t="s">
        <v>12688</v>
      </c>
    </row>
    <row r="8324" spans="2:9" ht="15" customHeight="1" x14ac:dyDescent="0.25">
      <c r="B8324" s="55" t="s">
        <v>280</v>
      </c>
      <c r="C8324" s="46">
        <v>3312</v>
      </c>
      <c r="D8324" s="69" t="s">
        <v>29417</v>
      </c>
      <c r="E8324" s="51"/>
      <c r="F8324" s="114" t="str">
        <f>IF(INDEX(I.Facility.P2aIDNumber,3312)="","",INDEX(I.Facility.P2aIDNumber,3312))</f>
        <v/>
      </c>
      <c r="G8324" s="51"/>
      <c r="H8324" s="46" t="str">
        <f>IF(AND(I.Developer.P2a=TRUE,I.Facility.P2aFacilityCount&gt;=3312,F8324=""),"Incomplete","Complete")</f>
        <v>Complete</v>
      </c>
      <c r="I8324" s="48" t="s">
        <v>12689</v>
      </c>
    </row>
    <row r="8325" spans="2:9" ht="15" customHeight="1" x14ac:dyDescent="0.25">
      <c r="B8325" s="55" t="s">
        <v>280</v>
      </c>
      <c r="C8325" s="46">
        <v>3313</v>
      </c>
      <c r="D8325" s="69" t="s">
        <v>29417</v>
      </c>
      <c r="E8325" s="51"/>
      <c r="F8325" s="114" t="str">
        <f>IF(INDEX(I.Facility.P2aIDNumber,3313)="","",INDEX(I.Facility.P2aIDNumber,3313))</f>
        <v/>
      </c>
      <c r="G8325" s="51"/>
      <c r="H8325" s="46" t="str">
        <f>IF(AND(I.Developer.P2a=TRUE,I.Facility.P2aFacilityCount&gt;=3313,F8325=""),"Incomplete","Complete")</f>
        <v>Complete</v>
      </c>
      <c r="I8325" s="48" t="s">
        <v>12690</v>
      </c>
    </row>
    <row r="8326" spans="2:9" ht="15" customHeight="1" x14ac:dyDescent="0.25">
      <c r="B8326" s="55" t="s">
        <v>280</v>
      </c>
      <c r="C8326" s="46">
        <v>3314</v>
      </c>
      <c r="D8326" s="69" t="s">
        <v>29417</v>
      </c>
      <c r="E8326" s="51"/>
      <c r="F8326" s="114" t="str">
        <f>IF(INDEX(I.Facility.P2aIDNumber,3314)="","",INDEX(I.Facility.P2aIDNumber,3314))</f>
        <v/>
      </c>
      <c r="G8326" s="51"/>
      <c r="H8326" s="46" t="str">
        <f>IF(AND(I.Developer.P2a=TRUE,I.Facility.P2aFacilityCount&gt;=3314,F8326=""),"Incomplete","Complete")</f>
        <v>Complete</v>
      </c>
      <c r="I8326" s="48" t="s">
        <v>12691</v>
      </c>
    </row>
    <row r="8327" spans="2:9" ht="15" customHeight="1" x14ac:dyDescent="0.25">
      <c r="B8327" s="55" t="s">
        <v>280</v>
      </c>
      <c r="C8327" s="46">
        <v>3315</v>
      </c>
      <c r="D8327" s="69" t="s">
        <v>29417</v>
      </c>
      <c r="E8327" s="51"/>
      <c r="F8327" s="114" t="str">
        <f>IF(INDEX(I.Facility.P2aIDNumber,3315)="","",INDEX(I.Facility.P2aIDNumber,3315))</f>
        <v/>
      </c>
      <c r="G8327" s="51"/>
      <c r="H8327" s="46" t="str">
        <f>IF(AND(I.Developer.P2a=TRUE,I.Facility.P2aFacilityCount&gt;=3315,F8327=""),"Incomplete","Complete")</f>
        <v>Complete</v>
      </c>
      <c r="I8327" s="48" t="s">
        <v>12692</v>
      </c>
    </row>
    <row r="8328" spans="2:9" ht="15" customHeight="1" x14ac:dyDescent="0.25">
      <c r="B8328" s="55" t="s">
        <v>280</v>
      </c>
      <c r="C8328" s="46">
        <v>3316</v>
      </c>
      <c r="D8328" s="69" t="s">
        <v>29417</v>
      </c>
      <c r="E8328" s="51"/>
      <c r="F8328" s="114" t="str">
        <f>IF(INDEX(I.Facility.P2aIDNumber,3316)="","",INDEX(I.Facility.P2aIDNumber,3316))</f>
        <v/>
      </c>
      <c r="G8328" s="51"/>
      <c r="H8328" s="46" t="str">
        <f>IF(AND(I.Developer.P2a=TRUE,I.Facility.P2aFacilityCount&gt;=3316,F8328=""),"Incomplete","Complete")</f>
        <v>Complete</v>
      </c>
      <c r="I8328" s="48" t="s">
        <v>12693</v>
      </c>
    </row>
    <row r="8329" spans="2:9" ht="15" customHeight="1" x14ac:dyDescent="0.25">
      <c r="B8329" s="55" t="s">
        <v>280</v>
      </c>
      <c r="C8329" s="46">
        <v>3317</v>
      </c>
      <c r="D8329" s="69" t="s">
        <v>29417</v>
      </c>
      <c r="E8329" s="51"/>
      <c r="F8329" s="114" t="str">
        <f>IF(INDEX(I.Facility.P2aIDNumber,3317)="","",INDEX(I.Facility.P2aIDNumber,3317))</f>
        <v/>
      </c>
      <c r="G8329" s="51"/>
      <c r="H8329" s="46" t="str">
        <f>IF(AND(I.Developer.P2a=TRUE,I.Facility.P2aFacilityCount&gt;=3317,F8329=""),"Incomplete","Complete")</f>
        <v>Complete</v>
      </c>
      <c r="I8329" s="48" t="s">
        <v>12694</v>
      </c>
    </row>
    <row r="8330" spans="2:9" ht="15" customHeight="1" x14ac:dyDescent="0.25">
      <c r="B8330" s="55" t="s">
        <v>280</v>
      </c>
      <c r="C8330" s="46">
        <v>3318</v>
      </c>
      <c r="D8330" s="69" t="s">
        <v>29417</v>
      </c>
      <c r="E8330" s="51"/>
      <c r="F8330" s="114" t="str">
        <f>IF(INDEX(I.Facility.P2aIDNumber,3318)="","",INDEX(I.Facility.P2aIDNumber,3318))</f>
        <v/>
      </c>
      <c r="G8330" s="51"/>
      <c r="H8330" s="46" t="str">
        <f>IF(AND(I.Developer.P2a=TRUE,I.Facility.P2aFacilityCount&gt;=3318,F8330=""),"Incomplete","Complete")</f>
        <v>Complete</v>
      </c>
      <c r="I8330" s="48" t="s">
        <v>12695</v>
      </c>
    </row>
    <row r="8331" spans="2:9" ht="15" customHeight="1" x14ac:dyDescent="0.25">
      <c r="B8331" s="55" t="s">
        <v>280</v>
      </c>
      <c r="C8331" s="46">
        <v>3319</v>
      </c>
      <c r="D8331" s="69" t="s">
        <v>29417</v>
      </c>
      <c r="E8331" s="51"/>
      <c r="F8331" s="114" t="str">
        <f>IF(INDEX(I.Facility.P2aIDNumber,3319)="","",INDEX(I.Facility.P2aIDNumber,3319))</f>
        <v/>
      </c>
      <c r="G8331" s="51"/>
      <c r="H8331" s="46" t="str">
        <f>IF(AND(I.Developer.P2a=TRUE,I.Facility.P2aFacilityCount&gt;=3319,F8331=""),"Incomplete","Complete")</f>
        <v>Complete</v>
      </c>
      <c r="I8331" s="48" t="s">
        <v>12696</v>
      </c>
    </row>
    <row r="8332" spans="2:9" ht="15" customHeight="1" x14ac:dyDescent="0.25">
      <c r="B8332" s="55" t="s">
        <v>280</v>
      </c>
      <c r="C8332" s="46">
        <v>3320</v>
      </c>
      <c r="D8332" s="69" t="s">
        <v>29417</v>
      </c>
      <c r="E8332" s="51"/>
      <c r="F8332" s="114" t="str">
        <f>IF(INDEX(I.Facility.P2aIDNumber,3320)="","",INDEX(I.Facility.P2aIDNumber,3320))</f>
        <v/>
      </c>
      <c r="G8332" s="51"/>
      <c r="H8332" s="46" t="str">
        <f>IF(AND(I.Developer.P2a=TRUE,I.Facility.P2aFacilityCount&gt;=3320,F8332=""),"Incomplete","Complete")</f>
        <v>Complete</v>
      </c>
      <c r="I8332" s="48" t="s">
        <v>12697</v>
      </c>
    </row>
    <row r="8333" spans="2:9" ht="15" customHeight="1" x14ac:dyDescent="0.25">
      <c r="B8333" s="55" t="s">
        <v>280</v>
      </c>
      <c r="C8333" s="46">
        <v>3321</v>
      </c>
      <c r="D8333" s="69" t="s">
        <v>29417</v>
      </c>
      <c r="E8333" s="51"/>
      <c r="F8333" s="114" t="str">
        <f>IF(INDEX(I.Facility.P2aIDNumber,3321)="","",INDEX(I.Facility.P2aIDNumber,3321))</f>
        <v/>
      </c>
      <c r="G8333" s="51"/>
      <c r="H8333" s="46" t="str">
        <f>IF(AND(I.Developer.P2a=TRUE,I.Facility.P2aFacilityCount&gt;=3321,F8333=""),"Incomplete","Complete")</f>
        <v>Complete</v>
      </c>
      <c r="I8333" s="48" t="s">
        <v>12698</v>
      </c>
    </row>
    <row r="8334" spans="2:9" ht="15" customHeight="1" x14ac:dyDescent="0.25">
      <c r="B8334" s="55" t="s">
        <v>280</v>
      </c>
      <c r="C8334" s="46">
        <v>3322</v>
      </c>
      <c r="D8334" s="69" t="s">
        <v>29417</v>
      </c>
      <c r="E8334" s="51"/>
      <c r="F8334" s="114" t="str">
        <f>IF(INDEX(I.Facility.P2aIDNumber,3322)="","",INDEX(I.Facility.P2aIDNumber,3322))</f>
        <v/>
      </c>
      <c r="G8334" s="51"/>
      <c r="H8334" s="46" t="str">
        <f>IF(AND(I.Developer.P2a=TRUE,I.Facility.P2aFacilityCount&gt;=3322,F8334=""),"Incomplete","Complete")</f>
        <v>Complete</v>
      </c>
      <c r="I8334" s="48" t="s">
        <v>12699</v>
      </c>
    </row>
    <row r="8335" spans="2:9" ht="15" customHeight="1" x14ac:dyDescent="0.25">
      <c r="B8335" s="55" t="s">
        <v>280</v>
      </c>
      <c r="C8335" s="46">
        <v>3323</v>
      </c>
      <c r="D8335" s="69" t="s">
        <v>29417</v>
      </c>
      <c r="E8335" s="51"/>
      <c r="F8335" s="114" t="str">
        <f>IF(INDEX(I.Facility.P2aIDNumber,3323)="","",INDEX(I.Facility.P2aIDNumber,3323))</f>
        <v/>
      </c>
      <c r="G8335" s="51"/>
      <c r="H8335" s="46" t="str">
        <f>IF(AND(I.Developer.P2a=TRUE,I.Facility.P2aFacilityCount&gt;=3323,F8335=""),"Incomplete","Complete")</f>
        <v>Complete</v>
      </c>
      <c r="I8335" s="48" t="s">
        <v>12700</v>
      </c>
    </row>
    <row r="8336" spans="2:9" ht="15" customHeight="1" x14ac:dyDescent="0.25">
      <c r="B8336" s="55" t="s">
        <v>280</v>
      </c>
      <c r="C8336" s="46">
        <v>3324</v>
      </c>
      <c r="D8336" s="69" t="s">
        <v>29417</v>
      </c>
      <c r="E8336" s="51"/>
      <c r="F8336" s="114" t="str">
        <f>IF(INDEX(I.Facility.P2aIDNumber,3324)="","",INDEX(I.Facility.P2aIDNumber,3324))</f>
        <v/>
      </c>
      <c r="G8336" s="51"/>
      <c r="H8336" s="46" t="str">
        <f>IF(AND(I.Developer.P2a=TRUE,I.Facility.P2aFacilityCount&gt;=3324,F8336=""),"Incomplete","Complete")</f>
        <v>Complete</v>
      </c>
      <c r="I8336" s="48" t="s">
        <v>12701</v>
      </c>
    </row>
    <row r="8337" spans="2:9" ht="15" customHeight="1" x14ac:dyDescent="0.25">
      <c r="B8337" s="55" t="s">
        <v>280</v>
      </c>
      <c r="C8337" s="46">
        <v>3325</v>
      </c>
      <c r="D8337" s="69" t="s">
        <v>29417</v>
      </c>
      <c r="E8337" s="51"/>
      <c r="F8337" s="114" t="str">
        <f>IF(INDEX(I.Facility.P2aIDNumber,3325)="","",INDEX(I.Facility.P2aIDNumber,3325))</f>
        <v/>
      </c>
      <c r="G8337" s="51"/>
      <c r="H8337" s="46" t="str">
        <f>IF(AND(I.Developer.P2a=TRUE,I.Facility.P2aFacilityCount&gt;=3325,F8337=""),"Incomplete","Complete")</f>
        <v>Complete</v>
      </c>
      <c r="I8337" s="48" t="s">
        <v>12702</v>
      </c>
    </row>
    <row r="8338" spans="2:9" ht="15" customHeight="1" x14ac:dyDescent="0.25">
      <c r="B8338" s="55" t="s">
        <v>280</v>
      </c>
      <c r="C8338" s="46">
        <v>3326</v>
      </c>
      <c r="D8338" s="69" t="s">
        <v>29417</v>
      </c>
      <c r="E8338" s="51"/>
      <c r="F8338" s="114" t="str">
        <f>IF(INDEX(I.Facility.P2aIDNumber,3326)="","",INDEX(I.Facility.P2aIDNumber,3326))</f>
        <v/>
      </c>
      <c r="G8338" s="51"/>
      <c r="H8338" s="46" t="str">
        <f>IF(AND(I.Developer.P2a=TRUE,I.Facility.P2aFacilityCount&gt;=3326,F8338=""),"Incomplete","Complete")</f>
        <v>Complete</v>
      </c>
      <c r="I8338" s="48" t="s">
        <v>12703</v>
      </c>
    </row>
    <row r="8339" spans="2:9" ht="15" customHeight="1" x14ac:dyDescent="0.25">
      <c r="B8339" s="55" t="s">
        <v>280</v>
      </c>
      <c r="C8339" s="46">
        <v>3327</v>
      </c>
      <c r="D8339" s="69" t="s">
        <v>29417</v>
      </c>
      <c r="E8339" s="51"/>
      <c r="F8339" s="114" t="str">
        <f>IF(INDEX(I.Facility.P2aIDNumber,3327)="","",INDEX(I.Facility.P2aIDNumber,3327))</f>
        <v/>
      </c>
      <c r="G8339" s="51"/>
      <c r="H8339" s="46" t="str">
        <f>IF(AND(I.Developer.P2a=TRUE,I.Facility.P2aFacilityCount&gt;=3327,F8339=""),"Incomplete","Complete")</f>
        <v>Complete</v>
      </c>
      <c r="I8339" s="48" t="s">
        <v>12704</v>
      </c>
    </row>
    <row r="8340" spans="2:9" ht="15" customHeight="1" x14ac:dyDescent="0.25">
      <c r="B8340" s="55" t="s">
        <v>280</v>
      </c>
      <c r="C8340" s="46">
        <v>3328</v>
      </c>
      <c r="D8340" s="69" t="s">
        <v>29417</v>
      </c>
      <c r="E8340" s="51"/>
      <c r="F8340" s="114" t="str">
        <f>IF(INDEX(I.Facility.P2aIDNumber,3328)="","",INDEX(I.Facility.P2aIDNumber,3328))</f>
        <v/>
      </c>
      <c r="G8340" s="51"/>
      <c r="H8340" s="46" t="str">
        <f>IF(AND(I.Developer.P2a=TRUE,I.Facility.P2aFacilityCount&gt;=3328,F8340=""),"Incomplete","Complete")</f>
        <v>Complete</v>
      </c>
      <c r="I8340" s="48" t="s">
        <v>12705</v>
      </c>
    </row>
    <row r="8341" spans="2:9" ht="15" customHeight="1" x14ac:dyDescent="0.25">
      <c r="B8341" s="55" t="s">
        <v>280</v>
      </c>
      <c r="C8341" s="46">
        <v>3329</v>
      </c>
      <c r="D8341" s="69" t="s">
        <v>29417</v>
      </c>
      <c r="E8341" s="51"/>
      <c r="F8341" s="114" t="str">
        <f>IF(INDEX(I.Facility.P2aIDNumber,3329)="","",INDEX(I.Facility.P2aIDNumber,3329))</f>
        <v/>
      </c>
      <c r="G8341" s="51"/>
      <c r="H8341" s="46" t="str">
        <f>IF(AND(I.Developer.P2a=TRUE,I.Facility.P2aFacilityCount&gt;=3329,F8341=""),"Incomplete","Complete")</f>
        <v>Complete</v>
      </c>
      <c r="I8341" s="48" t="s">
        <v>12706</v>
      </c>
    </row>
    <row r="8342" spans="2:9" ht="15" customHeight="1" x14ac:dyDescent="0.25">
      <c r="B8342" s="55" t="s">
        <v>280</v>
      </c>
      <c r="C8342" s="46">
        <v>3330</v>
      </c>
      <c r="D8342" s="69" t="s">
        <v>29417</v>
      </c>
      <c r="E8342" s="51"/>
      <c r="F8342" s="114" t="str">
        <f>IF(INDEX(I.Facility.P2aIDNumber,3330)="","",INDEX(I.Facility.P2aIDNumber,3330))</f>
        <v/>
      </c>
      <c r="G8342" s="51"/>
      <c r="H8342" s="46" t="str">
        <f>IF(AND(I.Developer.P2a=TRUE,I.Facility.P2aFacilityCount&gt;=3330,F8342=""),"Incomplete","Complete")</f>
        <v>Complete</v>
      </c>
      <c r="I8342" s="48" t="s">
        <v>12707</v>
      </c>
    </row>
    <row r="8343" spans="2:9" ht="15" customHeight="1" x14ac:dyDescent="0.25">
      <c r="B8343" s="55" t="s">
        <v>280</v>
      </c>
      <c r="C8343" s="46">
        <v>3331</v>
      </c>
      <c r="D8343" s="69" t="s">
        <v>29417</v>
      </c>
      <c r="E8343" s="51"/>
      <c r="F8343" s="114" t="str">
        <f>IF(INDEX(I.Facility.P2aIDNumber,3331)="","",INDEX(I.Facility.P2aIDNumber,3331))</f>
        <v/>
      </c>
      <c r="G8343" s="51"/>
      <c r="H8343" s="46" t="str">
        <f>IF(AND(I.Developer.P2a=TRUE,I.Facility.P2aFacilityCount&gt;=3331,F8343=""),"Incomplete","Complete")</f>
        <v>Complete</v>
      </c>
      <c r="I8343" s="48" t="s">
        <v>12708</v>
      </c>
    </row>
    <row r="8344" spans="2:9" ht="15" customHeight="1" x14ac:dyDescent="0.25">
      <c r="B8344" s="55" t="s">
        <v>280</v>
      </c>
      <c r="C8344" s="46">
        <v>3332</v>
      </c>
      <c r="D8344" s="69" t="s">
        <v>29417</v>
      </c>
      <c r="E8344" s="51"/>
      <c r="F8344" s="114" t="str">
        <f>IF(INDEX(I.Facility.P2aIDNumber,3332)="","",INDEX(I.Facility.P2aIDNumber,3332))</f>
        <v/>
      </c>
      <c r="G8344" s="51"/>
      <c r="H8344" s="46" t="str">
        <f>IF(AND(I.Developer.P2a=TRUE,I.Facility.P2aFacilityCount&gt;=3332,F8344=""),"Incomplete","Complete")</f>
        <v>Complete</v>
      </c>
      <c r="I8344" s="48" t="s">
        <v>12709</v>
      </c>
    </row>
    <row r="8345" spans="2:9" ht="15" customHeight="1" x14ac:dyDescent="0.25">
      <c r="B8345" s="55" t="s">
        <v>280</v>
      </c>
      <c r="C8345" s="46">
        <v>3333</v>
      </c>
      <c r="D8345" s="69" t="s">
        <v>29417</v>
      </c>
      <c r="E8345" s="51"/>
      <c r="F8345" s="114" t="str">
        <f>IF(INDEX(I.Facility.P2aIDNumber,3333)="","",INDEX(I.Facility.P2aIDNumber,3333))</f>
        <v/>
      </c>
      <c r="G8345" s="51"/>
      <c r="H8345" s="46" t="str">
        <f>IF(AND(I.Developer.P2a=TRUE,I.Facility.P2aFacilityCount&gt;=3333,F8345=""),"Incomplete","Complete")</f>
        <v>Complete</v>
      </c>
      <c r="I8345" s="48" t="s">
        <v>12710</v>
      </c>
    </row>
    <row r="8346" spans="2:9" ht="15" customHeight="1" x14ac:dyDescent="0.25">
      <c r="B8346" s="55" t="s">
        <v>280</v>
      </c>
      <c r="C8346" s="46">
        <v>3334</v>
      </c>
      <c r="D8346" s="69" t="s">
        <v>29417</v>
      </c>
      <c r="E8346" s="51"/>
      <c r="F8346" s="114" t="str">
        <f>IF(INDEX(I.Facility.P2aIDNumber,3334)="","",INDEX(I.Facility.P2aIDNumber,3334))</f>
        <v/>
      </c>
      <c r="G8346" s="51"/>
      <c r="H8346" s="46" t="str">
        <f>IF(AND(I.Developer.P2a=TRUE,I.Facility.P2aFacilityCount&gt;=3334,F8346=""),"Incomplete","Complete")</f>
        <v>Complete</v>
      </c>
      <c r="I8346" s="48" t="s">
        <v>12711</v>
      </c>
    </row>
    <row r="8347" spans="2:9" ht="15" customHeight="1" x14ac:dyDescent="0.25">
      <c r="B8347" s="55" t="s">
        <v>280</v>
      </c>
      <c r="C8347" s="46">
        <v>3335</v>
      </c>
      <c r="D8347" s="69" t="s">
        <v>29417</v>
      </c>
      <c r="E8347" s="51"/>
      <c r="F8347" s="114" t="str">
        <f>IF(INDEX(I.Facility.P2aIDNumber,3335)="","",INDEX(I.Facility.P2aIDNumber,3335))</f>
        <v/>
      </c>
      <c r="G8347" s="51"/>
      <c r="H8347" s="46" t="str">
        <f>IF(AND(I.Developer.P2a=TRUE,I.Facility.P2aFacilityCount&gt;=3335,F8347=""),"Incomplete","Complete")</f>
        <v>Complete</v>
      </c>
      <c r="I8347" s="48" t="s">
        <v>12712</v>
      </c>
    </row>
    <row r="8348" spans="2:9" ht="15" customHeight="1" x14ac:dyDescent="0.25">
      <c r="B8348" s="55" t="s">
        <v>280</v>
      </c>
      <c r="C8348" s="46">
        <v>3336</v>
      </c>
      <c r="D8348" s="69" t="s">
        <v>29417</v>
      </c>
      <c r="E8348" s="51"/>
      <c r="F8348" s="114" t="str">
        <f>IF(INDEX(I.Facility.P2aIDNumber,3336)="","",INDEX(I.Facility.P2aIDNumber,3336))</f>
        <v/>
      </c>
      <c r="G8348" s="51"/>
      <c r="H8348" s="46" t="str">
        <f>IF(AND(I.Developer.P2a=TRUE,I.Facility.P2aFacilityCount&gt;=3336,F8348=""),"Incomplete","Complete")</f>
        <v>Complete</v>
      </c>
      <c r="I8348" s="48" t="s">
        <v>12713</v>
      </c>
    </row>
    <row r="8349" spans="2:9" ht="15" customHeight="1" x14ac:dyDescent="0.25">
      <c r="B8349" s="55" t="s">
        <v>280</v>
      </c>
      <c r="C8349" s="46">
        <v>3337</v>
      </c>
      <c r="D8349" s="69" t="s">
        <v>29417</v>
      </c>
      <c r="E8349" s="51"/>
      <c r="F8349" s="114" t="str">
        <f>IF(INDEX(I.Facility.P2aIDNumber,3337)="","",INDEX(I.Facility.P2aIDNumber,3337))</f>
        <v/>
      </c>
      <c r="G8349" s="51"/>
      <c r="H8349" s="46" t="str">
        <f>IF(AND(I.Developer.P2a=TRUE,I.Facility.P2aFacilityCount&gt;=3337,F8349=""),"Incomplete","Complete")</f>
        <v>Complete</v>
      </c>
      <c r="I8349" s="48" t="s">
        <v>12714</v>
      </c>
    </row>
    <row r="8350" spans="2:9" ht="15" customHeight="1" x14ac:dyDescent="0.25">
      <c r="B8350" s="55" t="s">
        <v>280</v>
      </c>
      <c r="C8350" s="46">
        <v>3338</v>
      </c>
      <c r="D8350" s="69" t="s">
        <v>29417</v>
      </c>
      <c r="E8350" s="51"/>
      <c r="F8350" s="114" t="str">
        <f>IF(INDEX(I.Facility.P2aIDNumber,3338)="","",INDEX(I.Facility.P2aIDNumber,3338))</f>
        <v/>
      </c>
      <c r="G8350" s="51"/>
      <c r="H8350" s="46" t="str">
        <f>IF(AND(I.Developer.P2a=TRUE,I.Facility.P2aFacilityCount&gt;=3338,F8350=""),"Incomplete","Complete")</f>
        <v>Complete</v>
      </c>
      <c r="I8350" s="48" t="s">
        <v>12715</v>
      </c>
    </row>
    <row r="8351" spans="2:9" ht="15" customHeight="1" x14ac:dyDescent="0.25">
      <c r="B8351" s="55" t="s">
        <v>280</v>
      </c>
      <c r="C8351" s="46">
        <v>3339</v>
      </c>
      <c r="D8351" s="69" t="s">
        <v>29417</v>
      </c>
      <c r="E8351" s="51"/>
      <c r="F8351" s="114" t="str">
        <f>IF(INDEX(I.Facility.P2aIDNumber,3339)="","",INDEX(I.Facility.P2aIDNumber,3339))</f>
        <v/>
      </c>
      <c r="G8351" s="51"/>
      <c r="H8351" s="46" t="str">
        <f>IF(AND(I.Developer.P2a=TRUE,I.Facility.P2aFacilityCount&gt;=3339,F8351=""),"Incomplete","Complete")</f>
        <v>Complete</v>
      </c>
      <c r="I8351" s="48" t="s">
        <v>12716</v>
      </c>
    </row>
    <row r="8352" spans="2:9" ht="15" customHeight="1" x14ac:dyDescent="0.25">
      <c r="B8352" s="55" t="s">
        <v>280</v>
      </c>
      <c r="C8352" s="46">
        <v>3340</v>
      </c>
      <c r="D8352" s="69" t="s">
        <v>29417</v>
      </c>
      <c r="E8352" s="51"/>
      <c r="F8352" s="114" t="str">
        <f>IF(INDEX(I.Facility.P2aIDNumber,3340)="","",INDEX(I.Facility.P2aIDNumber,3340))</f>
        <v/>
      </c>
      <c r="G8352" s="51"/>
      <c r="H8352" s="46" t="str">
        <f>IF(AND(I.Developer.P2a=TRUE,I.Facility.P2aFacilityCount&gt;=3340,F8352=""),"Incomplete","Complete")</f>
        <v>Complete</v>
      </c>
      <c r="I8352" s="48" t="s">
        <v>12717</v>
      </c>
    </row>
    <row r="8353" spans="2:9" ht="15" customHeight="1" x14ac:dyDescent="0.25">
      <c r="B8353" s="55" t="s">
        <v>280</v>
      </c>
      <c r="C8353" s="46">
        <v>3341</v>
      </c>
      <c r="D8353" s="69" t="s">
        <v>29417</v>
      </c>
      <c r="E8353" s="51"/>
      <c r="F8353" s="114" t="str">
        <f>IF(INDEX(I.Facility.P2aIDNumber,3341)="","",INDEX(I.Facility.P2aIDNumber,3341))</f>
        <v/>
      </c>
      <c r="G8353" s="51"/>
      <c r="H8353" s="46" t="str">
        <f>IF(AND(I.Developer.P2a=TRUE,I.Facility.P2aFacilityCount&gt;=3341,F8353=""),"Incomplete","Complete")</f>
        <v>Complete</v>
      </c>
      <c r="I8353" s="48" t="s">
        <v>12718</v>
      </c>
    </row>
    <row r="8354" spans="2:9" ht="15" customHeight="1" x14ac:dyDescent="0.25">
      <c r="B8354" s="55" t="s">
        <v>280</v>
      </c>
      <c r="C8354" s="46">
        <v>3342</v>
      </c>
      <c r="D8354" s="69" t="s">
        <v>29417</v>
      </c>
      <c r="E8354" s="51"/>
      <c r="F8354" s="114" t="str">
        <f>IF(INDEX(I.Facility.P2aIDNumber,3342)="","",INDEX(I.Facility.P2aIDNumber,3342))</f>
        <v/>
      </c>
      <c r="G8354" s="51"/>
      <c r="H8354" s="46" t="str">
        <f>IF(AND(I.Developer.P2a=TRUE,I.Facility.P2aFacilityCount&gt;=3342,F8354=""),"Incomplete","Complete")</f>
        <v>Complete</v>
      </c>
      <c r="I8354" s="48" t="s">
        <v>12719</v>
      </c>
    </row>
    <row r="8355" spans="2:9" ht="15" customHeight="1" x14ac:dyDescent="0.25">
      <c r="B8355" s="55" t="s">
        <v>280</v>
      </c>
      <c r="C8355" s="46">
        <v>3343</v>
      </c>
      <c r="D8355" s="69" t="s">
        <v>29417</v>
      </c>
      <c r="E8355" s="51"/>
      <c r="F8355" s="114" t="str">
        <f>IF(INDEX(I.Facility.P2aIDNumber,3343)="","",INDEX(I.Facility.P2aIDNumber,3343))</f>
        <v/>
      </c>
      <c r="G8355" s="51"/>
      <c r="H8355" s="46" t="str">
        <f>IF(AND(I.Developer.P2a=TRUE,I.Facility.P2aFacilityCount&gt;=3343,F8355=""),"Incomplete","Complete")</f>
        <v>Complete</v>
      </c>
      <c r="I8355" s="48" t="s">
        <v>12720</v>
      </c>
    </row>
    <row r="8356" spans="2:9" ht="15" customHeight="1" x14ac:dyDescent="0.25">
      <c r="B8356" s="55" t="s">
        <v>280</v>
      </c>
      <c r="C8356" s="46">
        <v>3344</v>
      </c>
      <c r="D8356" s="69" t="s">
        <v>29417</v>
      </c>
      <c r="E8356" s="51"/>
      <c r="F8356" s="114" t="str">
        <f>IF(INDEX(I.Facility.P2aIDNumber,3344)="","",INDEX(I.Facility.P2aIDNumber,3344))</f>
        <v/>
      </c>
      <c r="G8356" s="51"/>
      <c r="H8356" s="46" t="str">
        <f>IF(AND(I.Developer.P2a=TRUE,I.Facility.P2aFacilityCount&gt;=3344,F8356=""),"Incomplete","Complete")</f>
        <v>Complete</v>
      </c>
      <c r="I8356" s="48" t="s">
        <v>12721</v>
      </c>
    </row>
    <row r="8357" spans="2:9" ht="15" customHeight="1" x14ac:dyDescent="0.25">
      <c r="B8357" s="55" t="s">
        <v>280</v>
      </c>
      <c r="C8357" s="46">
        <v>3345</v>
      </c>
      <c r="D8357" s="69" t="s">
        <v>29417</v>
      </c>
      <c r="E8357" s="51"/>
      <c r="F8357" s="114" t="str">
        <f>IF(INDEX(I.Facility.P2aIDNumber,3345)="","",INDEX(I.Facility.P2aIDNumber,3345))</f>
        <v/>
      </c>
      <c r="G8357" s="51"/>
      <c r="H8357" s="46" t="str">
        <f>IF(AND(I.Developer.P2a=TRUE,I.Facility.P2aFacilityCount&gt;=3345,F8357=""),"Incomplete","Complete")</f>
        <v>Complete</v>
      </c>
      <c r="I8357" s="48" t="s">
        <v>12722</v>
      </c>
    </row>
    <row r="8358" spans="2:9" ht="15" customHeight="1" x14ac:dyDescent="0.25">
      <c r="B8358" s="55" t="s">
        <v>280</v>
      </c>
      <c r="C8358" s="46">
        <v>3346</v>
      </c>
      <c r="D8358" s="69" t="s">
        <v>29417</v>
      </c>
      <c r="E8358" s="51"/>
      <c r="F8358" s="114" t="str">
        <f>IF(INDEX(I.Facility.P2aIDNumber,3346)="","",INDEX(I.Facility.P2aIDNumber,3346))</f>
        <v/>
      </c>
      <c r="G8358" s="51"/>
      <c r="H8358" s="46" t="str">
        <f>IF(AND(I.Developer.P2a=TRUE,I.Facility.P2aFacilityCount&gt;=3346,F8358=""),"Incomplete","Complete")</f>
        <v>Complete</v>
      </c>
      <c r="I8358" s="48" t="s">
        <v>12723</v>
      </c>
    </row>
    <row r="8359" spans="2:9" ht="15" customHeight="1" x14ac:dyDescent="0.25">
      <c r="B8359" s="55" t="s">
        <v>280</v>
      </c>
      <c r="C8359" s="46">
        <v>3347</v>
      </c>
      <c r="D8359" s="69" t="s">
        <v>29417</v>
      </c>
      <c r="E8359" s="51"/>
      <c r="F8359" s="114" t="str">
        <f>IF(INDEX(I.Facility.P2aIDNumber,3347)="","",INDEX(I.Facility.P2aIDNumber,3347))</f>
        <v/>
      </c>
      <c r="G8359" s="51"/>
      <c r="H8359" s="46" t="str">
        <f>IF(AND(I.Developer.P2a=TRUE,I.Facility.P2aFacilityCount&gt;=3347,F8359=""),"Incomplete","Complete")</f>
        <v>Complete</v>
      </c>
      <c r="I8359" s="48" t="s">
        <v>12724</v>
      </c>
    </row>
    <row r="8360" spans="2:9" ht="15" customHeight="1" x14ac:dyDescent="0.25">
      <c r="B8360" s="55" t="s">
        <v>280</v>
      </c>
      <c r="C8360" s="46">
        <v>3348</v>
      </c>
      <c r="D8360" s="69" t="s">
        <v>29417</v>
      </c>
      <c r="E8360" s="51"/>
      <c r="F8360" s="114" t="str">
        <f>IF(INDEX(I.Facility.P2aIDNumber,3348)="","",INDEX(I.Facility.P2aIDNumber,3348))</f>
        <v/>
      </c>
      <c r="G8360" s="51"/>
      <c r="H8360" s="46" t="str">
        <f>IF(AND(I.Developer.P2a=TRUE,I.Facility.P2aFacilityCount&gt;=3348,F8360=""),"Incomplete","Complete")</f>
        <v>Complete</v>
      </c>
      <c r="I8360" s="48" t="s">
        <v>12725</v>
      </c>
    </row>
    <row r="8361" spans="2:9" ht="15" customHeight="1" x14ac:dyDescent="0.25">
      <c r="B8361" s="55" t="s">
        <v>280</v>
      </c>
      <c r="C8361" s="46">
        <v>3349</v>
      </c>
      <c r="D8361" s="69" t="s">
        <v>29417</v>
      </c>
      <c r="E8361" s="51"/>
      <c r="F8361" s="114" t="str">
        <f>IF(INDEX(I.Facility.P2aIDNumber,3349)="","",INDEX(I.Facility.P2aIDNumber,3349))</f>
        <v/>
      </c>
      <c r="G8361" s="51"/>
      <c r="H8361" s="46" t="str">
        <f>IF(AND(I.Developer.P2a=TRUE,I.Facility.P2aFacilityCount&gt;=3349,F8361=""),"Incomplete","Complete")</f>
        <v>Complete</v>
      </c>
      <c r="I8361" s="48" t="s">
        <v>12726</v>
      </c>
    </row>
    <row r="8362" spans="2:9" ht="15" customHeight="1" x14ac:dyDescent="0.25">
      <c r="B8362" s="55" t="s">
        <v>280</v>
      </c>
      <c r="C8362" s="46">
        <v>3350</v>
      </c>
      <c r="D8362" s="69" t="s">
        <v>29417</v>
      </c>
      <c r="E8362" s="51"/>
      <c r="F8362" s="114" t="str">
        <f>IF(INDEX(I.Facility.P2aIDNumber,3350)="","",INDEX(I.Facility.P2aIDNumber,3350))</f>
        <v/>
      </c>
      <c r="G8362" s="51"/>
      <c r="H8362" s="46" t="str">
        <f>IF(AND(I.Developer.P2a=TRUE,I.Facility.P2aFacilityCount&gt;=3350,F8362=""),"Incomplete","Complete")</f>
        <v>Complete</v>
      </c>
      <c r="I8362" s="48" t="s">
        <v>12727</v>
      </c>
    </row>
    <row r="8363" spans="2:9" ht="15" customHeight="1" x14ac:dyDescent="0.25">
      <c r="B8363" s="55" t="s">
        <v>280</v>
      </c>
      <c r="C8363" s="46">
        <v>3351</v>
      </c>
      <c r="D8363" s="69" t="s">
        <v>29417</v>
      </c>
      <c r="E8363" s="51"/>
      <c r="F8363" s="114" t="str">
        <f>IF(INDEX(I.Facility.P2aIDNumber,3351)="","",INDEX(I.Facility.P2aIDNumber,3351))</f>
        <v/>
      </c>
      <c r="G8363" s="51"/>
      <c r="H8363" s="46" t="str">
        <f>IF(AND(I.Developer.P2a=TRUE,I.Facility.P2aFacilityCount&gt;=3351,F8363=""),"Incomplete","Complete")</f>
        <v>Complete</v>
      </c>
      <c r="I8363" s="48" t="s">
        <v>12728</v>
      </c>
    </row>
    <row r="8364" spans="2:9" ht="15" customHeight="1" x14ac:dyDescent="0.25">
      <c r="B8364" s="55" t="s">
        <v>280</v>
      </c>
      <c r="C8364" s="46">
        <v>3352</v>
      </c>
      <c r="D8364" s="69" t="s">
        <v>29417</v>
      </c>
      <c r="E8364" s="51"/>
      <c r="F8364" s="114" t="str">
        <f>IF(INDEX(I.Facility.P2aIDNumber,3352)="","",INDEX(I.Facility.P2aIDNumber,3352))</f>
        <v/>
      </c>
      <c r="G8364" s="51"/>
      <c r="H8364" s="46" t="str">
        <f>IF(AND(I.Developer.P2a=TRUE,I.Facility.P2aFacilityCount&gt;=3352,F8364=""),"Incomplete","Complete")</f>
        <v>Complete</v>
      </c>
      <c r="I8364" s="48" t="s">
        <v>12729</v>
      </c>
    </row>
    <row r="8365" spans="2:9" ht="15" customHeight="1" x14ac:dyDescent="0.25">
      <c r="B8365" s="55" t="s">
        <v>280</v>
      </c>
      <c r="C8365" s="46">
        <v>3353</v>
      </c>
      <c r="D8365" s="69" t="s">
        <v>29417</v>
      </c>
      <c r="E8365" s="51"/>
      <c r="F8365" s="114" t="str">
        <f>IF(INDEX(I.Facility.P2aIDNumber,3353)="","",INDEX(I.Facility.P2aIDNumber,3353))</f>
        <v/>
      </c>
      <c r="G8365" s="51"/>
      <c r="H8365" s="46" t="str">
        <f>IF(AND(I.Developer.P2a=TRUE,I.Facility.P2aFacilityCount&gt;=3353,F8365=""),"Incomplete","Complete")</f>
        <v>Complete</v>
      </c>
      <c r="I8365" s="48" t="s">
        <v>12730</v>
      </c>
    </row>
    <row r="8366" spans="2:9" ht="15" customHeight="1" x14ac:dyDescent="0.25">
      <c r="B8366" s="55" t="s">
        <v>280</v>
      </c>
      <c r="C8366" s="46">
        <v>3354</v>
      </c>
      <c r="D8366" s="69" t="s">
        <v>29417</v>
      </c>
      <c r="E8366" s="51"/>
      <c r="F8366" s="114" t="str">
        <f>IF(INDEX(I.Facility.P2aIDNumber,3354)="","",INDEX(I.Facility.P2aIDNumber,3354))</f>
        <v/>
      </c>
      <c r="G8366" s="51"/>
      <c r="H8366" s="46" t="str">
        <f>IF(AND(I.Developer.P2a=TRUE,I.Facility.P2aFacilityCount&gt;=3354,F8366=""),"Incomplete","Complete")</f>
        <v>Complete</v>
      </c>
      <c r="I8366" s="48" t="s">
        <v>12731</v>
      </c>
    </row>
    <row r="8367" spans="2:9" ht="15" customHeight="1" x14ac:dyDescent="0.25">
      <c r="B8367" s="55" t="s">
        <v>280</v>
      </c>
      <c r="C8367" s="46">
        <v>3355</v>
      </c>
      <c r="D8367" s="69" t="s">
        <v>29417</v>
      </c>
      <c r="E8367" s="51"/>
      <c r="F8367" s="114" t="str">
        <f>IF(INDEX(I.Facility.P2aIDNumber,3355)="","",INDEX(I.Facility.P2aIDNumber,3355))</f>
        <v/>
      </c>
      <c r="G8367" s="51"/>
      <c r="H8367" s="46" t="str">
        <f>IF(AND(I.Developer.P2a=TRUE,I.Facility.P2aFacilityCount&gt;=3355,F8367=""),"Incomplete","Complete")</f>
        <v>Complete</v>
      </c>
      <c r="I8367" s="48" t="s">
        <v>12732</v>
      </c>
    </row>
    <row r="8368" spans="2:9" ht="15" customHeight="1" x14ac:dyDescent="0.25">
      <c r="B8368" s="55" t="s">
        <v>280</v>
      </c>
      <c r="C8368" s="46">
        <v>3356</v>
      </c>
      <c r="D8368" s="69" t="s">
        <v>29417</v>
      </c>
      <c r="E8368" s="51"/>
      <c r="F8368" s="114" t="str">
        <f>IF(INDEX(I.Facility.P2aIDNumber,3356)="","",INDEX(I.Facility.P2aIDNumber,3356))</f>
        <v/>
      </c>
      <c r="G8368" s="51"/>
      <c r="H8368" s="46" t="str">
        <f>IF(AND(I.Developer.P2a=TRUE,I.Facility.P2aFacilityCount&gt;=3356,F8368=""),"Incomplete","Complete")</f>
        <v>Complete</v>
      </c>
      <c r="I8368" s="48" t="s">
        <v>12733</v>
      </c>
    </row>
    <row r="8369" spans="2:9" ht="15" customHeight="1" x14ac:dyDescent="0.25">
      <c r="B8369" s="55" t="s">
        <v>280</v>
      </c>
      <c r="C8369" s="46">
        <v>3357</v>
      </c>
      <c r="D8369" s="69" t="s">
        <v>29417</v>
      </c>
      <c r="E8369" s="51"/>
      <c r="F8369" s="114" t="str">
        <f>IF(INDEX(I.Facility.P2aIDNumber,3357)="","",INDEX(I.Facility.P2aIDNumber,3357))</f>
        <v/>
      </c>
      <c r="G8369" s="51"/>
      <c r="H8369" s="46" t="str">
        <f>IF(AND(I.Developer.P2a=TRUE,I.Facility.P2aFacilityCount&gt;=3357,F8369=""),"Incomplete","Complete")</f>
        <v>Complete</v>
      </c>
      <c r="I8369" s="48" t="s">
        <v>12734</v>
      </c>
    </row>
    <row r="8370" spans="2:9" ht="15" customHeight="1" x14ac:dyDescent="0.25">
      <c r="B8370" s="55" t="s">
        <v>280</v>
      </c>
      <c r="C8370" s="46">
        <v>3358</v>
      </c>
      <c r="D8370" s="69" t="s">
        <v>29417</v>
      </c>
      <c r="E8370" s="51"/>
      <c r="F8370" s="114" t="str">
        <f>IF(INDEX(I.Facility.P2aIDNumber,3358)="","",INDEX(I.Facility.P2aIDNumber,3358))</f>
        <v/>
      </c>
      <c r="G8370" s="51"/>
      <c r="H8370" s="46" t="str">
        <f>IF(AND(I.Developer.P2a=TRUE,I.Facility.P2aFacilityCount&gt;=3358,F8370=""),"Incomplete","Complete")</f>
        <v>Complete</v>
      </c>
      <c r="I8370" s="48" t="s">
        <v>12735</v>
      </c>
    </row>
    <row r="8371" spans="2:9" ht="15" customHeight="1" x14ac:dyDescent="0.25">
      <c r="B8371" s="55" t="s">
        <v>280</v>
      </c>
      <c r="C8371" s="46">
        <v>3359</v>
      </c>
      <c r="D8371" s="69" t="s">
        <v>29417</v>
      </c>
      <c r="E8371" s="51"/>
      <c r="F8371" s="114" t="str">
        <f>IF(INDEX(I.Facility.P2aIDNumber,3359)="","",INDEX(I.Facility.P2aIDNumber,3359))</f>
        <v/>
      </c>
      <c r="G8371" s="51"/>
      <c r="H8371" s="46" t="str">
        <f>IF(AND(I.Developer.P2a=TRUE,I.Facility.P2aFacilityCount&gt;=3359,F8371=""),"Incomplete","Complete")</f>
        <v>Complete</v>
      </c>
      <c r="I8371" s="48" t="s">
        <v>12736</v>
      </c>
    </row>
    <row r="8372" spans="2:9" ht="15" customHeight="1" x14ac:dyDescent="0.25">
      <c r="B8372" s="55" t="s">
        <v>280</v>
      </c>
      <c r="C8372" s="46">
        <v>3360</v>
      </c>
      <c r="D8372" s="69" t="s">
        <v>29417</v>
      </c>
      <c r="E8372" s="51"/>
      <c r="F8372" s="114" t="str">
        <f>IF(INDEX(I.Facility.P2aIDNumber,3360)="","",INDEX(I.Facility.P2aIDNumber,3360))</f>
        <v/>
      </c>
      <c r="G8372" s="51"/>
      <c r="H8372" s="46" t="str">
        <f>IF(AND(I.Developer.P2a=TRUE,I.Facility.P2aFacilityCount&gt;=3360,F8372=""),"Incomplete","Complete")</f>
        <v>Complete</v>
      </c>
      <c r="I8372" s="48" t="s">
        <v>12737</v>
      </c>
    </row>
    <row r="8373" spans="2:9" ht="15" customHeight="1" x14ac:dyDescent="0.25">
      <c r="B8373" s="55" t="s">
        <v>280</v>
      </c>
      <c r="C8373" s="46">
        <v>3361</v>
      </c>
      <c r="D8373" s="69" t="s">
        <v>29417</v>
      </c>
      <c r="E8373" s="51"/>
      <c r="F8373" s="114" t="str">
        <f>IF(INDEX(I.Facility.P2aIDNumber,3361)="","",INDEX(I.Facility.P2aIDNumber,3361))</f>
        <v/>
      </c>
      <c r="G8373" s="51"/>
      <c r="H8373" s="46" t="str">
        <f>IF(AND(I.Developer.P2a=TRUE,I.Facility.P2aFacilityCount&gt;=3361,F8373=""),"Incomplete","Complete")</f>
        <v>Complete</v>
      </c>
      <c r="I8373" s="48" t="s">
        <v>12738</v>
      </c>
    </row>
    <row r="8374" spans="2:9" ht="15" customHeight="1" x14ac:dyDescent="0.25">
      <c r="B8374" s="55" t="s">
        <v>280</v>
      </c>
      <c r="C8374" s="46">
        <v>3362</v>
      </c>
      <c r="D8374" s="69" t="s">
        <v>29417</v>
      </c>
      <c r="E8374" s="51"/>
      <c r="F8374" s="114" t="str">
        <f>IF(INDEX(I.Facility.P2aIDNumber,3362)="","",INDEX(I.Facility.P2aIDNumber,3362))</f>
        <v/>
      </c>
      <c r="G8374" s="51"/>
      <c r="H8374" s="46" t="str">
        <f>IF(AND(I.Developer.P2a=TRUE,I.Facility.P2aFacilityCount&gt;=3362,F8374=""),"Incomplete","Complete")</f>
        <v>Complete</v>
      </c>
      <c r="I8374" s="48" t="s">
        <v>12739</v>
      </c>
    </row>
    <row r="8375" spans="2:9" ht="15" customHeight="1" x14ac:dyDescent="0.25">
      <c r="B8375" s="55" t="s">
        <v>280</v>
      </c>
      <c r="C8375" s="46">
        <v>3363</v>
      </c>
      <c r="D8375" s="69" t="s">
        <v>29417</v>
      </c>
      <c r="E8375" s="51"/>
      <c r="F8375" s="114" t="str">
        <f>IF(INDEX(I.Facility.P2aIDNumber,3363)="","",INDEX(I.Facility.P2aIDNumber,3363))</f>
        <v/>
      </c>
      <c r="G8375" s="51"/>
      <c r="H8375" s="46" t="str">
        <f>IF(AND(I.Developer.P2a=TRUE,I.Facility.P2aFacilityCount&gt;=3363,F8375=""),"Incomplete","Complete")</f>
        <v>Complete</v>
      </c>
      <c r="I8375" s="48" t="s">
        <v>12740</v>
      </c>
    </row>
    <row r="8376" spans="2:9" ht="15" customHeight="1" x14ac:dyDescent="0.25">
      <c r="B8376" s="55" t="s">
        <v>280</v>
      </c>
      <c r="C8376" s="46">
        <v>3364</v>
      </c>
      <c r="D8376" s="69" t="s">
        <v>29417</v>
      </c>
      <c r="E8376" s="51"/>
      <c r="F8376" s="114" t="str">
        <f>IF(INDEX(I.Facility.P2aIDNumber,3364)="","",INDEX(I.Facility.P2aIDNumber,3364))</f>
        <v/>
      </c>
      <c r="G8376" s="51"/>
      <c r="H8376" s="46" t="str">
        <f>IF(AND(I.Developer.P2a=TRUE,I.Facility.P2aFacilityCount&gt;=3364,F8376=""),"Incomplete","Complete")</f>
        <v>Complete</v>
      </c>
      <c r="I8376" s="48" t="s">
        <v>12741</v>
      </c>
    </row>
    <row r="8377" spans="2:9" ht="15" customHeight="1" x14ac:dyDescent="0.25">
      <c r="B8377" s="55" t="s">
        <v>280</v>
      </c>
      <c r="C8377" s="46">
        <v>3365</v>
      </c>
      <c r="D8377" s="69" t="s">
        <v>29417</v>
      </c>
      <c r="E8377" s="51"/>
      <c r="F8377" s="114" t="str">
        <f>IF(INDEX(I.Facility.P2aIDNumber,3365)="","",INDEX(I.Facility.P2aIDNumber,3365))</f>
        <v/>
      </c>
      <c r="G8377" s="51"/>
      <c r="H8377" s="46" t="str">
        <f>IF(AND(I.Developer.P2a=TRUE,I.Facility.P2aFacilityCount&gt;=3365,F8377=""),"Incomplete","Complete")</f>
        <v>Complete</v>
      </c>
      <c r="I8377" s="48" t="s">
        <v>12742</v>
      </c>
    </row>
    <row r="8378" spans="2:9" ht="15" customHeight="1" x14ac:dyDescent="0.25">
      <c r="B8378" s="55" t="s">
        <v>280</v>
      </c>
      <c r="C8378" s="46">
        <v>3366</v>
      </c>
      <c r="D8378" s="69" t="s">
        <v>29417</v>
      </c>
      <c r="E8378" s="51"/>
      <c r="F8378" s="114" t="str">
        <f>IF(INDEX(I.Facility.P2aIDNumber,3366)="","",INDEX(I.Facility.P2aIDNumber,3366))</f>
        <v/>
      </c>
      <c r="G8378" s="51"/>
      <c r="H8378" s="46" t="str">
        <f>IF(AND(I.Developer.P2a=TRUE,I.Facility.P2aFacilityCount&gt;=3366,F8378=""),"Incomplete","Complete")</f>
        <v>Complete</v>
      </c>
      <c r="I8378" s="48" t="s">
        <v>12743</v>
      </c>
    </row>
    <row r="8379" spans="2:9" ht="15" customHeight="1" x14ac:dyDescent="0.25">
      <c r="B8379" s="55" t="s">
        <v>280</v>
      </c>
      <c r="C8379" s="46">
        <v>3367</v>
      </c>
      <c r="D8379" s="69" t="s">
        <v>29417</v>
      </c>
      <c r="E8379" s="51"/>
      <c r="F8379" s="114" t="str">
        <f>IF(INDEX(I.Facility.P2aIDNumber,3367)="","",INDEX(I.Facility.P2aIDNumber,3367))</f>
        <v/>
      </c>
      <c r="G8379" s="51"/>
      <c r="H8379" s="46" t="str">
        <f>IF(AND(I.Developer.P2a=TRUE,I.Facility.P2aFacilityCount&gt;=3367,F8379=""),"Incomplete","Complete")</f>
        <v>Complete</v>
      </c>
      <c r="I8379" s="48" t="s">
        <v>12744</v>
      </c>
    </row>
    <row r="8380" spans="2:9" ht="15" customHeight="1" x14ac:dyDescent="0.25">
      <c r="B8380" s="55" t="s">
        <v>280</v>
      </c>
      <c r="C8380" s="46">
        <v>3368</v>
      </c>
      <c r="D8380" s="69" t="s">
        <v>29417</v>
      </c>
      <c r="E8380" s="51"/>
      <c r="F8380" s="114" t="str">
        <f>IF(INDEX(I.Facility.P2aIDNumber,3368)="","",INDEX(I.Facility.P2aIDNumber,3368))</f>
        <v/>
      </c>
      <c r="G8380" s="51"/>
      <c r="H8380" s="46" t="str">
        <f>IF(AND(I.Developer.P2a=TRUE,I.Facility.P2aFacilityCount&gt;=3368,F8380=""),"Incomplete","Complete")</f>
        <v>Complete</v>
      </c>
      <c r="I8380" s="48" t="s">
        <v>12745</v>
      </c>
    </row>
    <row r="8381" spans="2:9" ht="15" customHeight="1" x14ac:dyDescent="0.25">
      <c r="B8381" s="55" t="s">
        <v>280</v>
      </c>
      <c r="C8381" s="46">
        <v>3369</v>
      </c>
      <c r="D8381" s="69" t="s">
        <v>29417</v>
      </c>
      <c r="E8381" s="51"/>
      <c r="F8381" s="114" t="str">
        <f>IF(INDEX(I.Facility.P2aIDNumber,3369)="","",INDEX(I.Facility.P2aIDNumber,3369))</f>
        <v/>
      </c>
      <c r="G8381" s="51"/>
      <c r="H8381" s="46" t="str">
        <f>IF(AND(I.Developer.P2a=TRUE,I.Facility.P2aFacilityCount&gt;=3369,F8381=""),"Incomplete","Complete")</f>
        <v>Complete</v>
      </c>
      <c r="I8381" s="48" t="s">
        <v>12746</v>
      </c>
    </row>
    <row r="8382" spans="2:9" ht="15" customHeight="1" x14ac:dyDescent="0.25">
      <c r="B8382" s="55" t="s">
        <v>280</v>
      </c>
      <c r="C8382" s="46">
        <v>3370</v>
      </c>
      <c r="D8382" s="69" t="s">
        <v>29417</v>
      </c>
      <c r="E8382" s="51"/>
      <c r="F8382" s="114" t="str">
        <f>IF(INDEX(I.Facility.P2aIDNumber,3370)="","",INDEX(I.Facility.P2aIDNumber,3370))</f>
        <v/>
      </c>
      <c r="G8382" s="51"/>
      <c r="H8382" s="46" t="str">
        <f>IF(AND(I.Developer.P2a=TRUE,I.Facility.P2aFacilityCount&gt;=3370,F8382=""),"Incomplete","Complete")</f>
        <v>Complete</v>
      </c>
      <c r="I8382" s="48" t="s">
        <v>12747</v>
      </c>
    </row>
    <row r="8383" spans="2:9" ht="15" customHeight="1" x14ac:dyDescent="0.25">
      <c r="B8383" s="55" t="s">
        <v>280</v>
      </c>
      <c r="C8383" s="46">
        <v>3371</v>
      </c>
      <c r="D8383" s="69" t="s">
        <v>29417</v>
      </c>
      <c r="E8383" s="51"/>
      <c r="F8383" s="114" t="str">
        <f>IF(INDEX(I.Facility.P2aIDNumber,3371)="","",INDEX(I.Facility.P2aIDNumber,3371))</f>
        <v/>
      </c>
      <c r="G8383" s="51"/>
      <c r="H8383" s="46" t="str">
        <f>IF(AND(I.Developer.P2a=TRUE,I.Facility.P2aFacilityCount&gt;=3371,F8383=""),"Incomplete","Complete")</f>
        <v>Complete</v>
      </c>
      <c r="I8383" s="48" t="s">
        <v>12748</v>
      </c>
    </row>
    <row r="8384" spans="2:9" ht="15" customHeight="1" x14ac:dyDescent="0.25">
      <c r="B8384" s="55" t="s">
        <v>280</v>
      </c>
      <c r="C8384" s="46">
        <v>3372</v>
      </c>
      <c r="D8384" s="69" t="s">
        <v>29417</v>
      </c>
      <c r="E8384" s="51"/>
      <c r="F8384" s="114" t="str">
        <f>IF(INDEX(I.Facility.P2aIDNumber,3372)="","",INDEX(I.Facility.P2aIDNumber,3372))</f>
        <v/>
      </c>
      <c r="G8384" s="51"/>
      <c r="H8384" s="46" t="str">
        <f>IF(AND(I.Developer.P2a=TRUE,I.Facility.P2aFacilityCount&gt;=3372,F8384=""),"Incomplete","Complete")</f>
        <v>Complete</v>
      </c>
      <c r="I8384" s="48" t="s">
        <v>12749</v>
      </c>
    </row>
    <row r="8385" spans="2:9" ht="15" customHeight="1" x14ac:dyDescent="0.25">
      <c r="B8385" s="55" t="s">
        <v>280</v>
      </c>
      <c r="C8385" s="46">
        <v>3373</v>
      </c>
      <c r="D8385" s="69" t="s">
        <v>29417</v>
      </c>
      <c r="E8385" s="51"/>
      <c r="F8385" s="114" t="str">
        <f>IF(INDEX(I.Facility.P2aIDNumber,3373)="","",INDEX(I.Facility.P2aIDNumber,3373))</f>
        <v/>
      </c>
      <c r="G8385" s="51"/>
      <c r="H8385" s="46" t="str">
        <f>IF(AND(I.Developer.P2a=TRUE,I.Facility.P2aFacilityCount&gt;=3373,F8385=""),"Incomplete","Complete")</f>
        <v>Complete</v>
      </c>
      <c r="I8385" s="48" t="s">
        <v>12750</v>
      </c>
    </row>
    <row r="8386" spans="2:9" ht="15" customHeight="1" x14ac:dyDescent="0.25">
      <c r="B8386" s="55" t="s">
        <v>280</v>
      </c>
      <c r="C8386" s="46">
        <v>3374</v>
      </c>
      <c r="D8386" s="69" t="s">
        <v>29417</v>
      </c>
      <c r="E8386" s="51"/>
      <c r="F8386" s="114" t="str">
        <f>IF(INDEX(I.Facility.P2aIDNumber,3374)="","",INDEX(I.Facility.P2aIDNumber,3374))</f>
        <v/>
      </c>
      <c r="G8386" s="51"/>
      <c r="H8386" s="46" t="str">
        <f>IF(AND(I.Developer.P2a=TRUE,I.Facility.P2aFacilityCount&gt;=3374,F8386=""),"Incomplete","Complete")</f>
        <v>Complete</v>
      </c>
      <c r="I8386" s="48" t="s">
        <v>12751</v>
      </c>
    </row>
    <row r="8387" spans="2:9" ht="15" customHeight="1" x14ac:dyDescent="0.25">
      <c r="B8387" s="55" t="s">
        <v>280</v>
      </c>
      <c r="C8387" s="46">
        <v>3375</v>
      </c>
      <c r="D8387" s="69" t="s">
        <v>29417</v>
      </c>
      <c r="E8387" s="51"/>
      <c r="F8387" s="114" t="str">
        <f>IF(INDEX(I.Facility.P2aIDNumber,3375)="","",INDEX(I.Facility.P2aIDNumber,3375))</f>
        <v/>
      </c>
      <c r="G8387" s="51"/>
      <c r="H8387" s="46" t="str">
        <f>IF(AND(I.Developer.P2a=TRUE,I.Facility.P2aFacilityCount&gt;=3375,F8387=""),"Incomplete","Complete")</f>
        <v>Complete</v>
      </c>
      <c r="I8387" s="48" t="s">
        <v>12752</v>
      </c>
    </row>
    <row r="8388" spans="2:9" ht="15" customHeight="1" x14ac:dyDescent="0.25">
      <c r="B8388" s="55" t="s">
        <v>280</v>
      </c>
      <c r="C8388" s="46">
        <v>3376</v>
      </c>
      <c r="D8388" s="69" t="s">
        <v>29417</v>
      </c>
      <c r="E8388" s="51"/>
      <c r="F8388" s="114" t="str">
        <f>IF(INDEX(I.Facility.P2aIDNumber,3376)="","",INDEX(I.Facility.P2aIDNumber,3376))</f>
        <v/>
      </c>
      <c r="G8388" s="51"/>
      <c r="H8388" s="46" t="str">
        <f>IF(AND(I.Developer.P2a=TRUE,I.Facility.P2aFacilityCount&gt;=3376,F8388=""),"Incomplete","Complete")</f>
        <v>Complete</v>
      </c>
      <c r="I8388" s="48" t="s">
        <v>12753</v>
      </c>
    </row>
    <row r="8389" spans="2:9" ht="15" customHeight="1" x14ac:dyDescent="0.25">
      <c r="B8389" s="55" t="s">
        <v>280</v>
      </c>
      <c r="C8389" s="46">
        <v>3377</v>
      </c>
      <c r="D8389" s="69" t="s">
        <v>29417</v>
      </c>
      <c r="E8389" s="51"/>
      <c r="F8389" s="114" t="str">
        <f>IF(INDEX(I.Facility.P2aIDNumber,3377)="","",INDEX(I.Facility.P2aIDNumber,3377))</f>
        <v/>
      </c>
      <c r="G8389" s="51"/>
      <c r="H8389" s="46" t="str">
        <f>IF(AND(I.Developer.P2a=TRUE,I.Facility.P2aFacilityCount&gt;=3377,F8389=""),"Incomplete","Complete")</f>
        <v>Complete</v>
      </c>
      <c r="I8389" s="48" t="s">
        <v>12754</v>
      </c>
    </row>
    <row r="8390" spans="2:9" ht="15" customHeight="1" x14ac:dyDescent="0.25">
      <c r="B8390" s="55" t="s">
        <v>280</v>
      </c>
      <c r="C8390" s="46">
        <v>3378</v>
      </c>
      <c r="D8390" s="69" t="s">
        <v>29417</v>
      </c>
      <c r="E8390" s="51"/>
      <c r="F8390" s="114" t="str">
        <f>IF(INDEX(I.Facility.P2aIDNumber,3378)="","",INDEX(I.Facility.P2aIDNumber,3378))</f>
        <v/>
      </c>
      <c r="G8390" s="51"/>
      <c r="H8390" s="46" t="str">
        <f>IF(AND(I.Developer.P2a=TRUE,I.Facility.P2aFacilityCount&gt;=3378,F8390=""),"Incomplete","Complete")</f>
        <v>Complete</v>
      </c>
      <c r="I8390" s="48" t="s">
        <v>12755</v>
      </c>
    </row>
    <row r="8391" spans="2:9" ht="15" customHeight="1" x14ac:dyDescent="0.25">
      <c r="B8391" s="55" t="s">
        <v>280</v>
      </c>
      <c r="C8391" s="46">
        <v>3379</v>
      </c>
      <c r="D8391" s="69" t="s">
        <v>29417</v>
      </c>
      <c r="E8391" s="51"/>
      <c r="F8391" s="114" t="str">
        <f>IF(INDEX(I.Facility.P2aIDNumber,3379)="","",INDEX(I.Facility.P2aIDNumber,3379))</f>
        <v/>
      </c>
      <c r="G8391" s="51"/>
      <c r="H8391" s="46" t="str">
        <f>IF(AND(I.Developer.P2a=TRUE,I.Facility.P2aFacilityCount&gt;=3379,F8391=""),"Incomplete","Complete")</f>
        <v>Complete</v>
      </c>
      <c r="I8391" s="48" t="s">
        <v>12756</v>
      </c>
    </row>
    <row r="8392" spans="2:9" ht="15" customHeight="1" x14ac:dyDescent="0.25">
      <c r="B8392" s="55" t="s">
        <v>280</v>
      </c>
      <c r="C8392" s="46">
        <v>3380</v>
      </c>
      <c r="D8392" s="69" t="s">
        <v>29417</v>
      </c>
      <c r="E8392" s="51"/>
      <c r="F8392" s="114" t="str">
        <f>IF(INDEX(I.Facility.P2aIDNumber,3380)="","",INDEX(I.Facility.P2aIDNumber,3380))</f>
        <v/>
      </c>
      <c r="G8392" s="51"/>
      <c r="H8392" s="46" t="str">
        <f>IF(AND(I.Developer.P2a=TRUE,I.Facility.P2aFacilityCount&gt;=3380,F8392=""),"Incomplete","Complete")</f>
        <v>Complete</v>
      </c>
      <c r="I8392" s="48" t="s">
        <v>12757</v>
      </c>
    </row>
    <row r="8393" spans="2:9" ht="15" customHeight="1" x14ac:dyDescent="0.25">
      <c r="B8393" s="55" t="s">
        <v>280</v>
      </c>
      <c r="C8393" s="46">
        <v>3381</v>
      </c>
      <c r="D8393" s="69" t="s">
        <v>29417</v>
      </c>
      <c r="E8393" s="51"/>
      <c r="F8393" s="114" t="str">
        <f>IF(INDEX(I.Facility.P2aIDNumber,3381)="","",INDEX(I.Facility.P2aIDNumber,3381))</f>
        <v/>
      </c>
      <c r="G8393" s="51"/>
      <c r="H8393" s="46" t="str">
        <f>IF(AND(I.Developer.P2a=TRUE,I.Facility.P2aFacilityCount&gt;=3381,F8393=""),"Incomplete","Complete")</f>
        <v>Complete</v>
      </c>
      <c r="I8393" s="48" t="s">
        <v>12758</v>
      </c>
    </row>
    <row r="8394" spans="2:9" ht="15" customHeight="1" x14ac:dyDescent="0.25">
      <c r="B8394" s="55" t="s">
        <v>280</v>
      </c>
      <c r="C8394" s="46">
        <v>3382</v>
      </c>
      <c r="D8394" s="69" t="s">
        <v>29417</v>
      </c>
      <c r="E8394" s="51"/>
      <c r="F8394" s="114" t="str">
        <f>IF(INDEX(I.Facility.P2aIDNumber,3382)="","",INDEX(I.Facility.P2aIDNumber,3382))</f>
        <v/>
      </c>
      <c r="G8394" s="51"/>
      <c r="H8394" s="46" t="str">
        <f>IF(AND(I.Developer.P2a=TRUE,I.Facility.P2aFacilityCount&gt;=3382,F8394=""),"Incomplete","Complete")</f>
        <v>Complete</v>
      </c>
      <c r="I8394" s="48" t="s">
        <v>12759</v>
      </c>
    </row>
    <row r="8395" spans="2:9" ht="15" customHeight="1" x14ac:dyDescent="0.25">
      <c r="B8395" s="55" t="s">
        <v>280</v>
      </c>
      <c r="C8395" s="46">
        <v>3383</v>
      </c>
      <c r="D8395" s="69" t="s">
        <v>29417</v>
      </c>
      <c r="E8395" s="51"/>
      <c r="F8395" s="114" t="str">
        <f>IF(INDEX(I.Facility.P2aIDNumber,3383)="","",INDEX(I.Facility.P2aIDNumber,3383))</f>
        <v/>
      </c>
      <c r="G8395" s="51"/>
      <c r="H8395" s="46" t="str">
        <f>IF(AND(I.Developer.P2a=TRUE,I.Facility.P2aFacilityCount&gt;=3383,F8395=""),"Incomplete","Complete")</f>
        <v>Complete</v>
      </c>
      <c r="I8395" s="48" t="s">
        <v>12760</v>
      </c>
    </row>
    <row r="8396" spans="2:9" ht="15" customHeight="1" x14ac:dyDescent="0.25">
      <c r="B8396" s="55" t="s">
        <v>280</v>
      </c>
      <c r="C8396" s="46">
        <v>3384</v>
      </c>
      <c r="D8396" s="69" t="s">
        <v>29417</v>
      </c>
      <c r="E8396" s="51"/>
      <c r="F8396" s="114" t="str">
        <f>IF(INDEX(I.Facility.P2aIDNumber,3384)="","",INDEX(I.Facility.P2aIDNumber,3384))</f>
        <v/>
      </c>
      <c r="G8396" s="51"/>
      <c r="H8396" s="46" t="str">
        <f>IF(AND(I.Developer.P2a=TRUE,I.Facility.P2aFacilityCount&gt;=3384,F8396=""),"Incomplete","Complete")</f>
        <v>Complete</v>
      </c>
      <c r="I8396" s="48" t="s">
        <v>12761</v>
      </c>
    </row>
    <row r="8397" spans="2:9" ht="15" customHeight="1" x14ac:dyDescent="0.25">
      <c r="B8397" s="55" t="s">
        <v>280</v>
      </c>
      <c r="C8397" s="46">
        <v>3385</v>
      </c>
      <c r="D8397" s="69" t="s">
        <v>29417</v>
      </c>
      <c r="E8397" s="51"/>
      <c r="F8397" s="114" t="str">
        <f>IF(INDEX(I.Facility.P2aIDNumber,3385)="","",INDEX(I.Facility.P2aIDNumber,3385))</f>
        <v/>
      </c>
      <c r="G8397" s="51"/>
      <c r="H8397" s="46" t="str">
        <f>IF(AND(I.Developer.P2a=TRUE,I.Facility.P2aFacilityCount&gt;=3385,F8397=""),"Incomplete","Complete")</f>
        <v>Complete</v>
      </c>
      <c r="I8397" s="48" t="s">
        <v>12762</v>
      </c>
    </row>
    <row r="8398" spans="2:9" ht="15" customHeight="1" x14ac:dyDescent="0.25">
      <c r="B8398" s="55" t="s">
        <v>280</v>
      </c>
      <c r="C8398" s="46">
        <v>3386</v>
      </c>
      <c r="D8398" s="69" t="s">
        <v>29417</v>
      </c>
      <c r="E8398" s="51"/>
      <c r="F8398" s="114" t="str">
        <f>IF(INDEX(I.Facility.P2aIDNumber,3386)="","",INDEX(I.Facility.P2aIDNumber,3386))</f>
        <v/>
      </c>
      <c r="G8398" s="51"/>
      <c r="H8398" s="46" t="str">
        <f>IF(AND(I.Developer.P2a=TRUE,I.Facility.P2aFacilityCount&gt;=3386,F8398=""),"Incomplete","Complete")</f>
        <v>Complete</v>
      </c>
      <c r="I8398" s="48" t="s">
        <v>12763</v>
      </c>
    </row>
    <row r="8399" spans="2:9" ht="15" customHeight="1" x14ac:dyDescent="0.25">
      <c r="B8399" s="55" t="s">
        <v>280</v>
      </c>
      <c r="C8399" s="46">
        <v>3387</v>
      </c>
      <c r="D8399" s="69" t="s">
        <v>29417</v>
      </c>
      <c r="E8399" s="51"/>
      <c r="F8399" s="114" t="str">
        <f>IF(INDEX(I.Facility.P2aIDNumber,3387)="","",INDEX(I.Facility.P2aIDNumber,3387))</f>
        <v/>
      </c>
      <c r="G8399" s="51"/>
      <c r="H8399" s="46" t="str">
        <f>IF(AND(I.Developer.P2a=TRUE,I.Facility.P2aFacilityCount&gt;=3387,F8399=""),"Incomplete","Complete")</f>
        <v>Complete</v>
      </c>
      <c r="I8399" s="48" t="s">
        <v>12764</v>
      </c>
    </row>
    <row r="8400" spans="2:9" ht="15" customHeight="1" x14ac:dyDescent="0.25">
      <c r="B8400" s="55" t="s">
        <v>280</v>
      </c>
      <c r="C8400" s="46">
        <v>3388</v>
      </c>
      <c r="D8400" s="69" t="s">
        <v>29417</v>
      </c>
      <c r="E8400" s="51"/>
      <c r="F8400" s="114" t="str">
        <f>IF(INDEX(I.Facility.P2aIDNumber,3388)="","",INDEX(I.Facility.P2aIDNumber,3388))</f>
        <v/>
      </c>
      <c r="G8400" s="51"/>
      <c r="H8400" s="46" t="str">
        <f>IF(AND(I.Developer.P2a=TRUE,I.Facility.P2aFacilityCount&gt;=3388,F8400=""),"Incomplete","Complete")</f>
        <v>Complete</v>
      </c>
      <c r="I8400" s="48" t="s">
        <v>12765</v>
      </c>
    </row>
    <row r="8401" spans="2:9" ht="15" customHeight="1" x14ac:dyDescent="0.25">
      <c r="B8401" s="55" t="s">
        <v>280</v>
      </c>
      <c r="C8401" s="46">
        <v>3389</v>
      </c>
      <c r="D8401" s="69" t="s">
        <v>29417</v>
      </c>
      <c r="E8401" s="51"/>
      <c r="F8401" s="114" t="str">
        <f>IF(INDEX(I.Facility.P2aIDNumber,3389)="","",INDEX(I.Facility.P2aIDNumber,3389))</f>
        <v/>
      </c>
      <c r="G8401" s="51"/>
      <c r="H8401" s="46" t="str">
        <f>IF(AND(I.Developer.P2a=TRUE,I.Facility.P2aFacilityCount&gt;=3389,F8401=""),"Incomplete","Complete")</f>
        <v>Complete</v>
      </c>
      <c r="I8401" s="48" t="s">
        <v>12766</v>
      </c>
    </row>
    <row r="8402" spans="2:9" ht="15" customHeight="1" x14ac:dyDescent="0.25">
      <c r="B8402" s="55" t="s">
        <v>280</v>
      </c>
      <c r="C8402" s="46">
        <v>3390</v>
      </c>
      <c r="D8402" s="69" t="s">
        <v>29417</v>
      </c>
      <c r="E8402" s="51"/>
      <c r="F8402" s="114" t="str">
        <f>IF(INDEX(I.Facility.P2aIDNumber,3390)="","",INDEX(I.Facility.P2aIDNumber,3390))</f>
        <v/>
      </c>
      <c r="G8402" s="51"/>
      <c r="H8402" s="46" t="str">
        <f>IF(AND(I.Developer.P2a=TRUE,I.Facility.P2aFacilityCount&gt;=3390,F8402=""),"Incomplete","Complete")</f>
        <v>Complete</v>
      </c>
      <c r="I8402" s="48" t="s">
        <v>12767</v>
      </c>
    </row>
    <row r="8403" spans="2:9" ht="15" customHeight="1" x14ac:dyDescent="0.25">
      <c r="B8403" s="55" t="s">
        <v>280</v>
      </c>
      <c r="C8403" s="46">
        <v>3391</v>
      </c>
      <c r="D8403" s="69" t="s">
        <v>29417</v>
      </c>
      <c r="E8403" s="51"/>
      <c r="F8403" s="114" t="str">
        <f>IF(INDEX(I.Facility.P2aIDNumber,3391)="","",INDEX(I.Facility.P2aIDNumber,3391))</f>
        <v/>
      </c>
      <c r="G8403" s="51"/>
      <c r="H8403" s="46" t="str">
        <f>IF(AND(I.Developer.P2a=TRUE,I.Facility.P2aFacilityCount&gt;=3391,F8403=""),"Incomplete","Complete")</f>
        <v>Complete</v>
      </c>
      <c r="I8403" s="48" t="s">
        <v>12768</v>
      </c>
    </row>
    <row r="8404" spans="2:9" ht="15" customHeight="1" x14ac:dyDescent="0.25">
      <c r="B8404" s="55" t="s">
        <v>280</v>
      </c>
      <c r="C8404" s="46">
        <v>3392</v>
      </c>
      <c r="D8404" s="69" t="s">
        <v>29417</v>
      </c>
      <c r="E8404" s="51"/>
      <c r="F8404" s="114" t="str">
        <f>IF(INDEX(I.Facility.P2aIDNumber,3392)="","",INDEX(I.Facility.P2aIDNumber,3392))</f>
        <v/>
      </c>
      <c r="G8404" s="51"/>
      <c r="H8404" s="46" t="str">
        <f>IF(AND(I.Developer.P2a=TRUE,I.Facility.P2aFacilityCount&gt;=3392,F8404=""),"Incomplete","Complete")</f>
        <v>Complete</v>
      </c>
      <c r="I8404" s="48" t="s">
        <v>12769</v>
      </c>
    </row>
    <row r="8405" spans="2:9" ht="15" customHeight="1" x14ac:dyDescent="0.25">
      <c r="B8405" s="55" t="s">
        <v>280</v>
      </c>
      <c r="C8405" s="46">
        <v>3393</v>
      </c>
      <c r="D8405" s="69" t="s">
        <v>29417</v>
      </c>
      <c r="E8405" s="51"/>
      <c r="F8405" s="114" t="str">
        <f>IF(INDEX(I.Facility.P2aIDNumber,3393)="","",INDEX(I.Facility.P2aIDNumber,3393))</f>
        <v/>
      </c>
      <c r="G8405" s="51"/>
      <c r="H8405" s="46" t="str">
        <f>IF(AND(I.Developer.P2a=TRUE,I.Facility.P2aFacilityCount&gt;=3393,F8405=""),"Incomplete","Complete")</f>
        <v>Complete</v>
      </c>
      <c r="I8405" s="48" t="s">
        <v>12770</v>
      </c>
    </row>
    <row r="8406" spans="2:9" ht="15" customHeight="1" x14ac:dyDescent="0.25">
      <c r="B8406" s="55" t="s">
        <v>280</v>
      </c>
      <c r="C8406" s="46">
        <v>3394</v>
      </c>
      <c r="D8406" s="69" t="s">
        <v>29417</v>
      </c>
      <c r="E8406" s="51"/>
      <c r="F8406" s="114" t="str">
        <f>IF(INDEX(I.Facility.P2aIDNumber,3394)="","",INDEX(I.Facility.P2aIDNumber,3394))</f>
        <v/>
      </c>
      <c r="G8406" s="51"/>
      <c r="H8406" s="46" t="str">
        <f>IF(AND(I.Developer.P2a=TRUE,I.Facility.P2aFacilityCount&gt;=3394,F8406=""),"Incomplete","Complete")</f>
        <v>Complete</v>
      </c>
      <c r="I8406" s="48" t="s">
        <v>12771</v>
      </c>
    </row>
    <row r="8407" spans="2:9" ht="15" customHeight="1" x14ac:dyDescent="0.25">
      <c r="B8407" s="55" t="s">
        <v>280</v>
      </c>
      <c r="C8407" s="46">
        <v>3395</v>
      </c>
      <c r="D8407" s="69" t="s">
        <v>29417</v>
      </c>
      <c r="E8407" s="51"/>
      <c r="F8407" s="114" t="str">
        <f>IF(INDEX(I.Facility.P2aIDNumber,3395)="","",INDEX(I.Facility.P2aIDNumber,3395))</f>
        <v/>
      </c>
      <c r="G8407" s="51"/>
      <c r="H8407" s="46" t="str">
        <f>IF(AND(I.Developer.P2a=TRUE,I.Facility.P2aFacilityCount&gt;=3395,F8407=""),"Incomplete","Complete")</f>
        <v>Complete</v>
      </c>
      <c r="I8407" s="48" t="s">
        <v>12772</v>
      </c>
    </row>
    <row r="8408" spans="2:9" ht="15" customHeight="1" x14ac:dyDescent="0.25">
      <c r="B8408" s="55" t="s">
        <v>280</v>
      </c>
      <c r="C8408" s="46">
        <v>3396</v>
      </c>
      <c r="D8408" s="69" t="s">
        <v>29417</v>
      </c>
      <c r="E8408" s="51"/>
      <c r="F8408" s="114" t="str">
        <f>IF(INDEX(I.Facility.P2aIDNumber,3396)="","",INDEX(I.Facility.P2aIDNumber,3396))</f>
        <v/>
      </c>
      <c r="G8408" s="51"/>
      <c r="H8408" s="46" t="str">
        <f>IF(AND(I.Developer.P2a=TRUE,I.Facility.P2aFacilityCount&gt;=3396,F8408=""),"Incomplete","Complete")</f>
        <v>Complete</v>
      </c>
      <c r="I8408" s="48" t="s">
        <v>12773</v>
      </c>
    </row>
    <row r="8409" spans="2:9" ht="15" customHeight="1" x14ac:dyDescent="0.25">
      <c r="B8409" s="55" t="s">
        <v>280</v>
      </c>
      <c r="C8409" s="46">
        <v>3397</v>
      </c>
      <c r="D8409" s="69" t="s">
        <v>29417</v>
      </c>
      <c r="E8409" s="51"/>
      <c r="F8409" s="114" t="str">
        <f>IF(INDEX(I.Facility.P2aIDNumber,3397)="","",INDEX(I.Facility.P2aIDNumber,3397))</f>
        <v/>
      </c>
      <c r="G8409" s="51"/>
      <c r="H8409" s="46" t="str">
        <f>IF(AND(I.Developer.P2a=TRUE,I.Facility.P2aFacilityCount&gt;=3397,F8409=""),"Incomplete","Complete")</f>
        <v>Complete</v>
      </c>
      <c r="I8409" s="48" t="s">
        <v>12774</v>
      </c>
    </row>
    <row r="8410" spans="2:9" ht="15" customHeight="1" x14ac:dyDescent="0.25">
      <c r="B8410" s="55" t="s">
        <v>280</v>
      </c>
      <c r="C8410" s="46">
        <v>3398</v>
      </c>
      <c r="D8410" s="69" t="s">
        <v>29417</v>
      </c>
      <c r="E8410" s="51"/>
      <c r="F8410" s="114" t="str">
        <f>IF(INDEX(I.Facility.P2aIDNumber,3398)="","",INDEX(I.Facility.P2aIDNumber,3398))</f>
        <v/>
      </c>
      <c r="G8410" s="51"/>
      <c r="H8410" s="46" t="str">
        <f>IF(AND(I.Developer.P2a=TRUE,I.Facility.P2aFacilityCount&gt;=3398,F8410=""),"Incomplete","Complete")</f>
        <v>Complete</v>
      </c>
      <c r="I8410" s="48" t="s">
        <v>12775</v>
      </c>
    </row>
    <row r="8411" spans="2:9" ht="15" customHeight="1" x14ac:dyDescent="0.25">
      <c r="B8411" s="55" t="s">
        <v>280</v>
      </c>
      <c r="C8411" s="46">
        <v>3399</v>
      </c>
      <c r="D8411" s="69" t="s">
        <v>29417</v>
      </c>
      <c r="E8411" s="51"/>
      <c r="F8411" s="114" t="str">
        <f>IF(INDEX(I.Facility.P2aIDNumber,3399)="","",INDEX(I.Facility.P2aIDNumber,3399))</f>
        <v/>
      </c>
      <c r="G8411" s="51"/>
      <c r="H8411" s="46" t="str">
        <f>IF(AND(I.Developer.P2a=TRUE,I.Facility.P2aFacilityCount&gt;=3399,F8411=""),"Incomplete","Complete")</f>
        <v>Complete</v>
      </c>
      <c r="I8411" s="48" t="s">
        <v>12776</v>
      </c>
    </row>
    <row r="8412" spans="2:9" ht="15" customHeight="1" x14ac:dyDescent="0.25">
      <c r="B8412" s="55" t="s">
        <v>280</v>
      </c>
      <c r="C8412" s="46">
        <v>3400</v>
      </c>
      <c r="D8412" s="69" t="s">
        <v>29417</v>
      </c>
      <c r="E8412" s="51"/>
      <c r="F8412" s="114" t="str">
        <f>IF(INDEX(I.Facility.P2aIDNumber,3400)="","",INDEX(I.Facility.P2aIDNumber,3400))</f>
        <v/>
      </c>
      <c r="G8412" s="51"/>
      <c r="H8412" s="46" t="str">
        <f>IF(AND(I.Developer.P2a=TRUE,I.Facility.P2aFacilityCount&gt;=3400,F8412=""),"Incomplete","Complete")</f>
        <v>Complete</v>
      </c>
      <c r="I8412" s="48" t="s">
        <v>12777</v>
      </c>
    </row>
    <row r="8413" spans="2:9" ht="15" customHeight="1" x14ac:dyDescent="0.25">
      <c r="B8413" s="55" t="s">
        <v>280</v>
      </c>
      <c r="C8413" s="46">
        <v>3401</v>
      </c>
      <c r="D8413" s="69" t="s">
        <v>29417</v>
      </c>
      <c r="E8413" s="51"/>
      <c r="F8413" s="114" t="str">
        <f>IF(INDEX(I.Facility.P2aIDNumber,3401)="","",INDEX(I.Facility.P2aIDNumber,3401))</f>
        <v/>
      </c>
      <c r="G8413" s="51"/>
      <c r="H8413" s="46" t="str">
        <f>IF(AND(I.Developer.P2a=TRUE,I.Facility.P2aFacilityCount&gt;=3401,F8413=""),"Incomplete","Complete")</f>
        <v>Complete</v>
      </c>
      <c r="I8413" s="48" t="s">
        <v>12778</v>
      </c>
    </row>
    <row r="8414" spans="2:9" ht="15" customHeight="1" x14ac:dyDescent="0.25">
      <c r="B8414" s="55" t="s">
        <v>280</v>
      </c>
      <c r="C8414" s="46">
        <v>3402</v>
      </c>
      <c r="D8414" s="69" t="s">
        <v>29417</v>
      </c>
      <c r="E8414" s="51"/>
      <c r="F8414" s="114" t="str">
        <f>IF(INDEX(I.Facility.P2aIDNumber,3402)="","",INDEX(I.Facility.P2aIDNumber,3402))</f>
        <v/>
      </c>
      <c r="G8414" s="51"/>
      <c r="H8414" s="46" t="str">
        <f>IF(AND(I.Developer.P2a=TRUE,I.Facility.P2aFacilityCount&gt;=3402,F8414=""),"Incomplete","Complete")</f>
        <v>Complete</v>
      </c>
      <c r="I8414" s="48" t="s">
        <v>12779</v>
      </c>
    </row>
    <row r="8415" spans="2:9" ht="15" customHeight="1" x14ac:dyDescent="0.25">
      <c r="B8415" s="55" t="s">
        <v>280</v>
      </c>
      <c r="C8415" s="46">
        <v>3403</v>
      </c>
      <c r="D8415" s="69" t="s">
        <v>29417</v>
      </c>
      <c r="E8415" s="51"/>
      <c r="F8415" s="114" t="str">
        <f>IF(INDEX(I.Facility.P2aIDNumber,3403)="","",INDEX(I.Facility.P2aIDNumber,3403))</f>
        <v/>
      </c>
      <c r="G8415" s="51"/>
      <c r="H8415" s="46" t="str">
        <f>IF(AND(I.Developer.P2a=TRUE,I.Facility.P2aFacilityCount&gt;=3403,F8415=""),"Incomplete","Complete")</f>
        <v>Complete</v>
      </c>
      <c r="I8415" s="48" t="s">
        <v>12780</v>
      </c>
    </row>
    <row r="8416" spans="2:9" ht="15" customHeight="1" x14ac:dyDescent="0.25">
      <c r="B8416" s="55" t="s">
        <v>280</v>
      </c>
      <c r="C8416" s="46">
        <v>3404</v>
      </c>
      <c r="D8416" s="69" t="s">
        <v>29417</v>
      </c>
      <c r="E8416" s="51"/>
      <c r="F8416" s="114" t="str">
        <f>IF(INDEX(I.Facility.P2aIDNumber,3404)="","",INDEX(I.Facility.P2aIDNumber,3404))</f>
        <v/>
      </c>
      <c r="G8416" s="51"/>
      <c r="H8416" s="46" t="str">
        <f>IF(AND(I.Developer.P2a=TRUE,I.Facility.P2aFacilityCount&gt;=3404,F8416=""),"Incomplete","Complete")</f>
        <v>Complete</v>
      </c>
      <c r="I8416" s="48" t="s">
        <v>12781</v>
      </c>
    </row>
    <row r="8417" spans="2:9" ht="15" customHeight="1" x14ac:dyDescent="0.25">
      <c r="B8417" s="55" t="s">
        <v>280</v>
      </c>
      <c r="C8417" s="46">
        <v>3405</v>
      </c>
      <c r="D8417" s="69" t="s">
        <v>29417</v>
      </c>
      <c r="E8417" s="51"/>
      <c r="F8417" s="114" t="str">
        <f>IF(INDEX(I.Facility.P2aIDNumber,3405)="","",INDEX(I.Facility.P2aIDNumber,3405))</f>
        <v/>
      </c>
      <c r="G8417" s="51"/>
      <c r="H8417" s="46" t="str">
        <f>IF(AND(I.Developer.P2a=TRUE,I.Facility.P2aFacilityCount&gt;=3405,F8417=""),"Incomplete","Complete")</f>
        <v>Complete</v>
      </c>
      <c r="I8417" s="48" t="s">
        <v>12782</v>
      </c>
    </row>
    <row r="8418" spans="2:9" ht="15" customHeight="1" x14ac:dyDescent="0.25">
      <c r="B8418" s="55" t="s">
        <v>280</v>
      </c>
      <c r="C8418" s="46">
        <v>3406</v>
      </c>
      <c r="D8418" s="69" t="s">
        <v>29417</v>
      </c>
      <c r="E8418" s="51"/>
      <c r="F8418" s="114" t="str">
        <f>IF(INDEX(I.Facility.P2aIDNumber,3406)="","",INDEX(I.Facility.P2aIDNumber,3406))</f>
        <v/>
      </c>
      <c r="G8418" s="51"/>
      <c r="H8418" s="46" t="str">
        <f>IF(AND(I.Developer.P2a=TRUE,I.Facility.P2aFacilityCount&gt;=3406,F8418=""),"Incomplete","Complete")</f>
        <v>Complete</v>
      </c>
      <c r="I8418" s="48" t="s">
        <v>12783</v>
      </c>
    </row>
    <row r="8419" spans="2:9" ht="15" customHeight="1" x14ac:dyDescent="0.25">
      <c r="B8419" s="55" t="s">
        <v>280</v>
      </c>
      <c r="C8419" s="46">
        <v>3407</v>
      </c>
      <c r="D8419" s="69" t="s">
        <v>29417</v>
      </c>
      <c r="E8419" s="51"/>
      <c r="F8419" s="114" t="str">
        <f>IF(INDEX(I.Facility.P2aIDNumber,3407)="","",INDEX(I.Facility.P2aIDNumber,3407))</f>
        <v/>
      </c>
      <c r="G8419" s="51"/>
      <c r="H8419" s="46" t="str">
        <f>IF(AND(I.Developer.P2a=TRUE,I.Facility.P2aFacilityCount&gt;=3407,F8419=""),"Incomplete","Complete")</f>
        <v>Complete</v>
      </c>
      <c r="I8419" s="48" t="s">
        <v>12784</v>
      </c>
    </row>
    <row r="8420" spans="2:9" ht="15" customHeight="1" x14ac:dyDescent="0.25">
      <c r="B8420" s="55" t="s">
        <v>280</v>
      </c>
      <c r="C8420" s="46">
        <v>3408</v>
      </c>
      <c r="D8420" s="69" t="s">
        <v>29417</v>
      </c>
      <c r="E8420" s="51"/>
      <c r="F8420" s="114" t="str">
        <f>IF(INDEX(I.Facility.P2aIDNumber,3408)="","",INDEX(I.Facility.P2aIDNumber,3408))</f>
        <v/>
      </c>
      <c r="G8420" s="51"/>
      <c r="H8420" s="46" t="str">
        <f>IF(AND(I.Developer.P2a=TRUE,I.Facility.P2aFacilityCount&gt;=3408,F8420=""),"Incomplete","Complete")</f>
        <v>Complete</v>
      </c>
      <c r="I8420" s="48" t="s">
        <v>12785</v>
      </c>
    </row>
    <row r="8421" spans="2:9" ht="15" customHeight="1" x14ac:dyDescent="0.25">
      <c r="B8421" s="55" t="s">
        <v>280</v>
      </c>
      <c r="C8421" s="46">
        <v>3409</v>
      </c>
      <c r="D8421" s="69" t="s">
        <v>29417</v>
      </c>
      <c r="E8421" s="51"/>
      <c r="F8421" s="114" t="str">
        <f>IF(INDEX(I.Facility.P2aIDNumber,3409)="","",INDEX(I.Facility.P2aIDNumber,3409))</f>
        <v/>
      </c>
      <c r="G8421" s="51"/>
      <c r="H8421" s="46" t="str">
        <f>IF(AND(I.Developer.P2a=TRUE,I.Facility.P2aFacilityCount&gt;=3409,F8421=""),"Incomplete","Complete")</f>
        <v>Complete</v>
      </c>
      <c r="I8421" s="48" t="s">
        <v>12786</v>
      </c>
    </row>
    <row r="8422" spans="2:9" ht="15" customHeight="1" x14ac:dyDescent="0.25">
      <c r="B8422" s="55" t="s">
        <v>280</v>
      </c>
      <c r="C8422" s="46">
        <v>3410</v>
      </c>
      <c r="D8422" s="69" t="s">
        <v>29417</v>
      </c>
      <c r="E8422" s="51"/>
      <c r="F8422" s="114" t="str">
        <f>IF(INDEX(I.Facility.P2aIDNumber,3410)="","",INDEX(I.Facility.P2aIDNumber,3410))</f>
        <v/>
      </c>
      <c r="G8422" s="51"/>
      <c r="H8422" s="46" t="str">
        <f>IF(AND(I.Developer.P2a=TRUE,I.Facility.P2aFacilityCount&gt;=3410,F8422=""),"Incomplete","Complete")</f>
        <v>Complete</v>
      </c>
      <c r="I8422" s="48" t="s">
        <v>12787</v>
      </c>
    </row>
    <row r="8423" spans="2:9" ht="15" customHeight="1" x14ac:dyDescent="0.25">
      <c r="B8423" s="55" t="s">
        <v>280</v>
      </c>
      <c r="C8423" s="46">
        <v>3411</v>
      </c>
      <c r="D8423" s="69" t="s">
        <v>29417</v>
      </c>
      <c r="E8423" s="51"/>
      <c r="F8423" s="114" t="str">
        <f>IF(INDEX(I.Facility.P2aIDNumber,3411)="","",INDEX(I.Facility.P2aIDNumber,3411))</f>
        <v/>
      </c>
      <c r="G8423" s="51"/>
      <c r="H8423" s="46" t="str">
        <f>IF(AND(I.Developer.P2a=TRUE,I.Facility.P2aFacilityCount&gt;=3411,F8423=""),"Incomplete","Complete")</f>
        <v>Complete</v>
      </c>
      <c r="I8423" s="48" t="s">
        <v>12788</v>
      </c>
    </row>
    <row r="8424" spans="2:9" ht="15" customHeight="1" x14ac:dyDescent="0.25">
      <c r="B8424" s="55" t="s">
        <v>280</v>
      </c>
      <c r="C8424" s="46">
        <v>3412</v>
      </c>
      <c r="D8424" s="69" t="s">
        <v>29417</v>
      </c>
      <c r="E8424" s="51"/>
      <c r="F8424" s="114" t="str">
        <f>IF(INDEX(I.Facility.P2aIDNumber,3412)="","",INDEX(I.Facility.P2aIDNumber,3412))</f>
        <v/>
      </c>
      <c r="G8424" s="51"/>
      <c r="H8424" s="46" t="str">
        <f>IF(AND(I.Developer.P2a=TRUE,I.Facility.P2aFacilityCount&gt;=3412,F8424=""),"Incomplete","Complete")</f>
        <v>Complete</v>
      </c>
      <c r="I8424" s="48" t="s">
        <v>12789</v>
      </c>
    </row>
    <row r="8425" spans="2:9" ht="15" customHeight="1" x14ac:dyDescent="0.25">
      <c r="B8425" s="55" t="s">
        <v>280</v>
      </c>
      <c r="C8425" s="46">
        <v>3413</v>
      </c>
      <c r="D8425" s="69" t="s">
        <v>29417</v>
      </c>
      <c r="E8425" s="51"/>
      <c r="F8425" s="114" t="str">
        <f>IF(INDEX(I.Facility.P2aIDNumber,3413)="","",INDEX(I.Facility.P2aIDNumber,3413))</f>
        <v/>
      </c>
      <c r="G8425" s="51"/>
      <c r="H8425" s="46" t="str">
        <f>IF(AND(I.Developer.P2a=TRUE,I.Facility.P2aFacilityCount&gt;=3413,F8425=""),"Incomplete","Complete")</f>
        <v>Complete</v>
      </c>
      <c r="I8425" s="48" t="s">
        <v>12790</v>
      </c>
    </row>
    <row r="8426" spans="2:9" ht="15" customHeight="1" x14ac:dyDescent="0.25">
      <c r="B8426" s="55" t="s">
        <v>280</v>
      </c>
      <c r="C8426" s="46">
        <v>3414</v>
      </c>
      <c r="D8426" s="69" t="s">
        <v>29417</v>
      </c>
      <c r="E8426" s="51"/>
      <c r="F8426" s="114" t="str">
        <f>IF(INDEX(I.Facility.P2aIDNumber,3414)="","",INDEX(I.Facility.P2aIDNumber,3414))</f>
        <v/>
      </c>
      <c r="G8426" s="51"/>
      <c r="H8426" s="46" t="str">
        <f>IF(AND(I.Developer.P2a=TRUE,I.Facility.P2aFacilityCount&gt;=3414,F8426=""),"Incomplete","Complete")</f>
        <v>Complete</v>
      </c>
      <c r="I8426" s="48" t="s">
        <v>12791</v>
      </c>
    </row>
    <row r="8427" spans="2:9" ht="15" customHeight="1" x14ac:dyDescent="0.25">
      <c r="B8427" s="55" t="s">
        <v>280</v>
      </c>
      <c r="C8427" s="46">
        <v>3415</v>
      </c>
      <c r="D8427" s="69" t="s">
        <v>29417</v>
      </c>
      <c r="E8427" s="51"/>
      <c r="F8427" s="114" t="str">
        <f>IF(INDEX(I.Facility.P2aIDNumber,3415)="","",INDEX(I.Facility.P2aIDNumber,3415))</f>
        <v/>
      </c>
      <c r="G8427" s="51"/>
      <c r="H8427" s="46" t="str">
        <f>IF(AND(I.Developer.P2a=TRUE,I.Facility.P2aFacilityCount&gt;=3415,F8427=""),"Incomplete","Complete")</f>
        <v>Complete</v>
      </c>
      <c r="I8427" s="48" t="s">
        <v>12792</v>
      </c>
    </row>
    <row r="8428" spans="2:9" ht="15" customHeight="1" x14ac:dyDescent="0.25">
      <c r="B8428" s="55" t="s">
        <v>280</v>
      </c>
      <c r="C8428" s="46">
        <v>3416</v>
      </c>
      <c r="D8428" s="69" t="s">
        <v>29417</v>
      </c>
      <c r="E8428" s="51"/>
      <c r="F8428" s="114" t="str">
        <f>IF(INDEX(I.Facility.P2aIDNumber,3416)="","",INDEX(I.Facility.P2aIDNumber,3416))</f>
        <v/>
      </c>
      <c r="G8428" s="51"/>
      <c r="H8428" s="46" t="str">
        <f>IF(AND(I.Developer.P2a=TRUE,I.Facility.P2aFacilityCount&gt;=3416,F8428=""),"Incomplete","Complete")</f>
        <v>Complete</v>
      </c>
      <c r="I8428" s="48" t="s">
        <v>12793</v>
      </c>
    </row>
    <row r="8429" spans="2:9" ht="15" customHeight="1" x14ac:dyDescent="0.25">
      <c r="B8429" s="55" t="s">
        <v>280</v>
      </c>
      <c r="C8429" s="46">
        <v>3417</v>
      </c>
      <c r="D8429" s="69" t="s">
        <v>29417</v>
      </c>
      <c r="E8429" s="51"/>
      <c r="F8429" s="114" t="str">
        <f>IF(INDEX(I.Facility.P2aIDNumber,3417)="","",INDEX(I.Facility.P2aIDNumber,3417))</f>
        <v/>
      </c>
      <c r="G8429" s="51"/>
      <c r="H8429" s="46" t="str">
        <f>IF(AND(I.Developer.P2a=TRUE,I.Facility.P2aFacilityCount&gt;=3417,F8429=""),"Incomplete","Complete")</f>
        <v>Complete</v>
      </c>
      <c r="I8429" s="48" t="s">
        <v>12794</v>
      </c>
    </row>
    <row r="8430" spans="2:9" ht="15" customHeight="1" x14ac:dyDescent="0.25">
      <c r="B8430" s="55" t="s">
        <v>280</v>
      </c>
      <c r="C8430" s="46">
        <v>3418</v>
      </c>
      <c r="D8430" s="69" t="s">
        <v>29417</v>
      </c>
      <c r="E8430" s="51"/>
      <c r="F8430" s="114" t="str">
        <f>IF(INDEX(I.Facility.P2aIDNumber,3418)="","",INDEX(I.Facility.P2aIDNumber,3418))</f>
        <v/>
      </c>
      <c r="G8430" s="51"/>
      <c r="H8430" s="46" t="str">
        <f>IF(AND(I.Developer.P2a=TRUE,I.Facility.P2aFacilityCount&gt;=3418,F8430=""),"Incomplete","Complete")</f>
        <v>Complete</v>
      </c>
      <c r="I8430" s="48" t="s">
        <v>12795</v>
      </c>
    </row>
    <row r="8431" spans="2:9" ht="15" customHeight="1" x14ac:dyDescent="0.25">
      <c r="B8431" s="55" t="s">
        <v>280</v>
      </c>
      <c r="C8431" s="46">
        <v>3419</v>
      </c>
      <c r="D8431" s="69" t="s">
        <v>29417</v>
      </c>
      <c r="E8431" s="51"/>
      <c r="F8431" s="114" t="str">
        <f>IF(INDEX(I.Facility.P2aIDNumber,3419)="","",INDEX(I.Facility.P2aIDNumber,3419))</f>
        <v/>
      </c>
      <c r="G8431" s="51"/>
      <c r="H8431" s="46" t="str">
        <f>IF(AND(I.Developer.P2a=TRUE,I.Facility.P2aFacilityCount&gt;=3419,F8431=""),"Incomplete","Complete")</f>
        <v>Complete</v>
      </c>
      <c r="I8431" s="48" t="s">
        <v>12796</v>
      </c>
    </row>
    <row r="8432" spans="2:9" ht="15" customHeight="1" x14ac:dyDescent="0.25">
      <c r="B8432" s="55" t="s">
        <v>280</v>
      </c>
      <c r="C8432" s="46">
        <v>3420</v>
      </c>
      <c r="D8432" s="69" t="s">
        <v>29417</v>
      </c>
      <c r="E8432" s="51"/>
      <c r="F8432" s="114" t="str">
        <f>IF(INDEX(I.Facility.P2aIDNumber,3420)="","",INDEX(I.Facility.P2aIDNumber,3420))</f>
        <v/>
      </c>
      <c r="G8432" s="51"/>
      <c r="H8432" s="46" t="str">
        <f>IF(AND(I.Developer.P2a=TRUE,I.Facility.P2aFacilityCount&gt;=3420,F8432=""),"Incomplete","Complete")</f>
        <v>Complete</v>
      </c>
      <c r="I8432" s="48" t="s">
        <v>12797</v>
      </c>
    </row>
    <row r="8433" spans="2:9" ht="15" customHeight="1" x14ac:dyDescent="0.25">
      <c r="B8433" s="55" t="s">
        <v>280</v>
      </c>
      <c r="C8433" s="46">
        <v>3421</v>
      </c>
      <c r="D8433" s="69" t="s">
        <v>29417</v>
      </c>
      <c r="E8433" s="51"/>
      <c r="F8433" s="114" t="str">
        <f>IF(INDEX(I.Facility.P2aIDNumber,3421)="","",INDEX(I.Facility.P2aIDNumber,3421))</f>
        <v/>
      </c>
      <c r="G8433" s="51"/>
      <c r="H8433" s="46" t="str">
        <f>IF(AND(I.Developer.P2a=TRUE,I.Facility.P2aFacilityCount&gt;=3421,F8433=""),"Incomplete","Complete")</f>
        <v>Complete</v>
      </c>
      <c r="I8433" s="48" t="s">
        <v>12798</v>
      </c>
    </row>
    <row r="8434" spans="2:9" ht="15" customHeight="1" x14ac:dyDescent="0.25">
      <c r="B8434" s="55" t="s">
        <v>280</v>
      </c>
      <c r="C8434" s="46">
        <v>3422</v>
      </c>
      <c r="D8434" s="69" t="s">
        <v>29417</v>
      </c>
      <c r="E8434" s="51"/>
      <c r="F8434" s="114" t="str">
        <f>IF(INDEX(I.Facility.P2aIDNumber,3422)="","",INDEX(I.Facility.P2aIDNumber,3422))</f>
        <v/>
      </c>
      <c r="G8434" s="51"/>
      <c r="H8434" s="46" t="str">
        <f>IF(AND(I.Developer.P2a=TRUE,I.Facility.P2aFacilityCount&gt;=3422,F8434=""),"Incomplete","Complete")</f>
        <v>Complete</v>
      </c>
      <c r="I8434" s="48" t="s">
        <v>12799</v>
      </c>
    </row>
    <row r="8435" spans="2:9" ht="15" customHeight="1" x14ac:dyDescent="0.25">
      <c r="B8435" s="55" t="s">
        <v>280</v>
      </c>
      <c r="C8435" s="46">
        <v>3423</v>
      </c>
      <c r="D8435" s="69" t="s">
        <v>29417</v>
      </c>
      <c r="E8435" s="51"/>
      <c r="F8435" s="114" t="str">
        <f>IF(INDEX(I.Facility.P2aIDNumber,3423)="","",INDEX(I.Facility.P2aIDNumber,3423))</f>
        <v/>
      </c>
      <c r="G8435" s="51"/>
      <c r="H8435" s="46" t="str">
        <f>IF(AND(I.Developer.P2a=TRUE,I.Facility.P2aFacilityCount&gt;=3423,F8435=""),"Incomplete","Complete")</f>
        <v>Complete</v>
      </c>
      <c r="I8435" s="48" t="s">
        <v>12800</v>
      </c>
    </row>
    <row r="8436" spans="2:9" ht="15" customHeight="1" x14ac:dyDescent="0.25">
      <c r="B8436" s="55" t="s">
        <v>280</v>
      </c>
      <c r="C8436" s="46">
        <v>3424</v>
      </c>
      <c r="D8436" s="69" t="s">
        <v>29417</v>
      </c>
      <c r="E8436" s="51"/>
      <c r="F8436" s="114" t="str">
        <f>IF(INDEX(I.Facility.P2aIDNumber,3424)="","",INDEX(I.Facility.P2aIDNumber,3424))</f>
        <v/>
      </c>
      <c r="G8436" s="51"/>
      <c r="H8436" s="46" t="str">
        <f>IF(AND(I.Developer.P2a=TRUE,I.Facility.P2aFacilityCount&gt;=3424,F8436=""),"Incomplete","Complete")</f>
        <v>Complete</v>
      </c>
      <c r="I8436" s="48" t="s">
        <v>12801</v>
      </c>
    </row>
    <row r="8437" spans="2:9" ht="15" customHeight="1" x14ac:dyDescent="0.25">
      <c r="B8437" s="55" t="s">
        <v>280</v>
      </c>
      <c r="C8437" s="46">
        <v>3425</v>
      </c>
      <c r="D8437" s="69" t="s">
        <v>29417</v>
      </c>
      <c r="E8437" s="51"/>
      <c r="F8437" s="114" t="str">
        <f>IF(INDEX(I.Facility.P2aIDNumber,3425)="","",INDEX(I.Facility.P2aIDNumber,3425))</f>
        <v/>
      </c>
      <c r="G8437" s="51"/>
      <c r="H8437" s="46" t="str">
        <f>IF(AND(I.Developer.P2a=TRUE,I.Facility.P2aFacilityCount&gt;=3425,F8437=""),"Incomplete","Complete")</f>
        <v>Complete</v>
      </c>
      <c r="I8437" s="48" t="s">
        <v>12802</v>
      </c>
    </row>
    <row r="8438" spans="2:9" ht="15" customHeight="1" x14ac:dyDescent="0.25">
      <c r="B8438" s="55" t="s">
        <v>280</v>
      </c>
      <c r="C8438" s="46">
        <v>3426</v>
      </c>
      <c r="D8438" s="69" t="s">
        <v>29417</v>
      </c>
      <c r="E8438" s="51"/>
      <c r="F8438" s="114" t="str">
        <f>IF(INDEX(I.Facility.P2aIDNumber,3426)="","",INDEX(I.Facility.P2aIDNumber,3426))</f>
        <v/>
      </c>
      <c r="G8438" s="51"/>
      <c r="H8438" s="46" t="str">
        <f>IF(AND(I.Developer.P2a=TRUE,I.Facility.P2aFacilityCount&gt;=3426,F8438=""),"Incomplete","Complete")</f>
        <v>Complete</v>
      </c>
      <c r="I8438" s="48" t="s">
        <v>12803</v>
      </c>
    </row>
    <row r="8439" spans="2:9" ht="15" customHeight="1" x14ac:dyDescent="0.25">
      <c r="B8439" s="55" t="s">
        <v>280</v>
      </c>
      <c r="C8439" s="46">
        <v>3427</v>
      </c>
      <c r="D8439" s="69" t="s">
        <v>29417</v>
      </c>
      <c r="E8439" s="51"/>
      <c r="F8439" s="114" t="str">
        <f>IF(INDEX(I.Facility.P2aIDNumber,3427)="","",INDEX(I.Facility.P2aIDNumber,3427))</f>
        <v/>
      </c>
      <c r="G8439" s="51"/>
      <c r="H8439" s="46" t="str">
        <f>IF(AND(I.Developer.P2a=TRUE,I.Facility.P2aFacilityCount&gt;=3427,F8439=""),"Incomplete","Complete")</f>
        <v>Complete</v>
      </c>
      <c r="I8439" s="48" t="s">
        <v>12804</v>
      </c>
    </row>
    <row r="8440" spans="2:9" ht="15" customHeight="1" x14ac:dyDescent="0.25">
      <c r="B8440" s="55" t="s">
        <v>280</v>
      </c>
      <c r="C8440" s="46">
        <v>3428</v>
      </c>
      <c r="D8440" s="69" t="s">
        <v>29417</v>
      </c>
      <c r="E8440" s="51"/>
      <c r="F8440" s="114" t="str">
        <f>IF(INDEX(I.Facility.P2aIDNumber,3428)="","",INDEX(I.Facility.P2aIDNumber,3428))</f>
        <v/>
      </c>
      <c r="G8440" s="51"/>
      <c r="H8440" s="46" t="str">
        <f>IF(AND(I.Developer.P2a=TRUE,I.Facility.P2aFacilityCount&gt;=3428,F8440=""),"Incomplete","Complete")</f>
        <v>Complete</v>
      </c>
      <c r="I8440" s="48" t="s">
        <v>12805</v>
      </c>
    </row>
    <row r="8441" spans="2:9" ht="15" customHeight="1" x14ac:dyDescent="0.25">
      <c r="B8441" s="55" t="s">
        <v>280</v>
      </c>
      <c r="C8441" s="46">
        <v>3429</v>
      </c>
      <c r="D8441" s="69" t="s">
        <v>29417</v>
      </c>
      <c r="E8441" s="51"/>
      <c r="F8441" s="114" t="str">
        <f>IF(INDEX(I.Facility.P2aIDNumber,3429)="","",INDEX(I.Facility.P2aIDNumber,3429))</f>
        <v/>
      </c>
      <c r="G8441" s="51"/>
      <c r="H8441" s="46" t="str">
        <f>IF(AND(I.Developer.P2a=TRUE,I.Facility.P2aFacilityCount&gt;=3429,F8441=""),"Incomplete","Complete")</f>
        <v>Complete</v>
      </c>
      <c r="I8441" s="48" t="s">
        <v>12806</v>
      </c>
    </row>
    <row r="8442" spans="2:9" ht="15" customHeight="1" x14ac:dyDescent="0.25">
      <c r="B8442" s="55" t="s">
        <v>280</v>
      </c>
      <c r="C8442" s="46">
        <v>3430</v>
      </c>
      <c r="D8442" s="69" t="s">
        <v>29417</v>
      </c>
      <c r="E8442" s="51"/>
      <c r="F8442" s="114" t="str">
        <f>IF(INDEX(I.Facility.P2aIDNumber,3430)="","",INDEX(I.Facility.P2aIDNumber,3430))</f>
        <v/>
      </c>
      <c r="G8442" s="51"/>
      <c r="H8442" s="46" t="str">
        <f>IF(AND(I.Developer.P2a=TRUE,I.Facility.P2aFacilityCount&gt;=3430,F8442=""),"Incomplete","Complete")</f>
        <v>Complete</v>
      </c>
      <c r="I8442" s="48" t="s">
        <v>12807</v>
      </c>
    </row>
    <row r="8443" spans="2:9" ht="15" customHeight="1" x14ac:dyDescent="0.25">
      <c r="B8443" s="55" t="s">
        <v>280</v>
      </c>
      <c r="C8443" s="46">
        <v>3431</v>
      </c>
      <c r="D8443" s="69" t="s">
        <v>29417</v>
      </c>
      <c r="E8443" s="51"/>
      <c r="F8443" s="114" t="str">
        <f>IF(INDEX(I.Facility.P2aIDNumber,3431)="","",INDEX(I.Facility.P2aIDNumber,3431))</f>
        <v/>
      </c>
      <c r="G8443" s="51"/>
      <c r="H8443" s="46" t="str">
        <f>IF(AND(I.Developer.P2a=TRUE,I.Facility.P2aFacilityCount&gt;=3431,F8443=""),"Incomplete","Complete")</f>
        <v>Complete</v>
      </c>
      <c r="I8443" s="48" t="s">
        <v>12808</v>
      </c>
    </row>
    <row r="8444" spans="2:9" ht="15" customHeight="1" x14ac:dyDescent="0.25">
      <c r="B8444" s="55" t="s">
        <v>280</v>
      </c>
      <c r="C8444" s="46">
        <v>3432</v>
      </c>
      <c r="D8444" s="69" t="s">
        <v>29417</v>
      </c>
      <c r="E8444" s="51"/>
      <c r="F8444" s="114" t="str">
        <f>IF(INDEX(I.Facility.P2aIDNumber,3432)="","",INDEX(I.Facility.P2aIDNumber,3432))</f>
        <v/>
      </c>
      <c r="G8444" s="51"/>
      <c r="H8444" s="46" t="str">
        <f>IF(AND(I.Developer.P2a=TRUE,I.Facility.P2aFacilityCount&gt;=3432,F8444=""),"Incomplete","Complete")</f>
        <v>Complete</v>
      </c>
      <c r="I8444" s="48" t="s">
        <v>12809</v>
      </c>
    </row>
    <row r="8445" spans="2:9" ht="15" customHeight="1" x14ac:dyDescent="0.25">
      <c r="B8445" s="55" t="s">
        <v>280</v>
      </c>
      <c r="C8445" s="46">
        <v>3433</v>
      </c>
      <c r="D8445" s="69" t="s">
        <v>29417</v>
      </c>
      <c r="E8445" s="51"/>
      <c r="F8445" s="114" t="str">
        <f>IF(INDEX(I.Facility.P2aIDNumber,3433)="","",INDEX(I.Facility.P2aIDNumber,3433))</f>
        <v/>
      </c>
      <c r="G8445" s="51"/>
      <c r="H8445" s="46" t="str">
        <f>IF(AND(I.Developer.P2a=TRUE,I.Facility.P2aFacilityCount&gt;=3433,F8445=""),"Incomplete","Complete")</f>
        <v>Complete</v>
      </c>
      <c r="I8445" s="48" t="s">
        <v>12810</v>
      </c>
    </row>
    <row r="8446" spans="2:9" ht="15" customHeight="1" x14ac:dyDescent="0.25">
      <c r="B8446" s="55" t="s">
        <v>280</v>
      </c>
      <c r="C8446" s="46">
        <v>3434</v>
      </c>
      <c r="D8446" s="69" t="s">
        <v>29417</v>
      </c>
      <c r="E8446" s="51"/>
      <c r="F8446" s="114" t="str">
        <f>IF(INDEX(I.Facility.P2aIDNumber,3434)="","",INDEX(I.Facility.P2aIDNumber,3434))</f>
        <v/>
      </c>
      <c r="G8446" s="51"/>
      <c r="H8446" s="46" t="str">
        <f>IF(AND(I.Developer.P2a=TRUE,I.Facility.P2aFacilityCount&gt;=3434,F8446=""),"Incomplete","Complete")</f>
        <v>Complete</v>
      </c>
      <c r="I8446" s="48" t="s">
        <v>12811</v>
      </c>
    </row>
    <row r="8447" spans="2:9" ht="15" customHeight="1" x14ac:dyDescent="0.25">
      <c r="B8447" s="55" t="s">
        <v>280</v>
      </c>
      <c r="C8447" s="46">
        <v>3435</v>
      </c>
      <c r="D8447" s="69" t="s">
        <v>29417</v>
      </c>
      <c r="E8447" s="51"/>
      <c r="F8447" s="114" t="str">
        <f>IF(INDEX(I.Facility.P2aIDNumber,3435)="","",INDEX(I.Facility.P2aIDNumber,3435))</f>
        <v/>
      </c>
      <c r="G8447" s="51"/>
      <c r="H8447" s="46" t="str">
        <f>IF(AND(I.Developer.P2a=TRUE,I.Facility.P2aFacilityCount&gt;=3435,F8447=""),"Incomplete","Complete")</f>
        <v>Complete</v>
      </c>
      <c r="I8447" s="48" t="s">
        <v>12812</v>
      </c>
    </row>
    <row r="8448" spans="2:9" ht="15" customHeight="1" x14ac:dyDescent="0.25">
      <c r="B8448" s="55" t="s">
        <v>280</v>
      </c>
      <c r="C8448" s="46">
        <v>3436</v>
      </c>
      <c r="D8448" s="69" t="s">
        <v>29417</v>
      </c>
      <c r="E8448" s="51"/>
      <c r="F8448" s="114" t="str">
        <f>IF(INDEX(I.Facility.P2aIDNumber,3436)="","",INDEX(I.Facility.P2aIDNumber,3436))</f>
        <v/>
      </c>
      <c r="G8448" s="51"/>
      <c r="H8448" s="46" t="str">
        <f>IF(AND(I.Developer.P2a=TRUE,I.Facility.P2aFacilityCount&gt;=3436,F8448=""),"Incomplete","Complete")</f>
        <v>Complete</v>
      </c>
      <c r="I8448" s="48" t="s">
        <v>12813</v>
      </c>
    </row>
    <row r="8449" spans="2:9" ht="15" customHeight="1" x14ac:dyDescent="0.25">
      <c r="B8449" s="55" t="s">
        <v>280</v>
      </c>
      <c r="C8449" s="46">
        <v>3437</v>
      </c>
      <c r="D8449" s="69" t="s">
        <v>29417</v>
      </c>
      <c r="E8449" s="51"/>
      <c r="F8449" s="114" t="str">
        <f>IF(INDEX(I.Facility.P2aIDNumber,3437)="","",INDEX(I.Facility.P2aIDNumber,3437))</f>
        <v/>
      </c>
      <c r="G8449" s="51"/>
      <c r="H8449" s="46" t="str">
        <f>IF(AND(I.Developer.P2a=TRUE,I.Facility.P2aFacilityCount&gt;=3437,F8449=""),"Incomplete","Complete")</f>
        <v>Complete</v>
      </c>
      <c r="I8449" s="48" t="s">
        <v>12814</v>
      </c>
    </row>
    <row r="8450" spans="2:9" ht="15" customHeight="1" x14ac:dyDescent="0.25">
      <c r="B8450" s="55" t="s">
        <v>280</v>
      </c>
      <c r="C8450" s="46">
        <v>3438</v>
      </c>
      <c r="D8450" s="69" t="s">
        <v>29417</v>
      </c>
      <c r="E8450" s="51"/>
      <c r="F8450" s="114" t="str">
        <f>IF(INDEX(I.Facility.P2aIDNumber,3438)="","",INDEX(I.Facility.P2aIDNumber,3438))</f>
        <v/>
      </c>
      <c r="G8450" s="51"/>
      <c r="H8450" s="46" t="str">
        <f>IF(AND(I.Developer.P2a=TRUE,I.Facility.P2aFacilityCount&gt;=3438,F8450=""),"Incomplete","Complete")</f>
        <v>Complete</v>
      </c>
      <c r="I8450" s="48" t="s">
        <v>12815</v>
      </c>
    </row>
    <row r="8451" spans="2:9" ht="15" customHeight="1" x14ac:dyDescent="0.25">
      <c r="B8451" s="55" t="s">
        <v>280</v>
      </c>
      <c r="C8451" s="46">
        <v>3439</v>
      </c>
      <c r="D8451" s="69" t="s">
        <v>29417</v>
      </c>
      <c r="E8451" s="51"/>
      <c r="F8451" s="114" t="str">
        <f>IF(INDEX(I.Facility.P2aIDNumber,3439)="","",INDEX(I.Facility.P2aIDNumber,3439))</f>
        <v/>
      </c>
      <c r="G8451" s="51"/>
      <c r="H8451" s="46" t="str">
        <f>IF(AND(I.Developer.P2a=TRUE,I.Facility.P2aFacilityCount&gt;=3439,F8451=""),"Incomplete","Complete")</f>
        <v>Complete</v>
      </c>
      <c r="I8451" s="48" t="s">
        <v>12816</v>
      </c>
    </row>
    <row r="8452" spans="2:9" ht="15" customHeight="1" x14ac:dyDescent="0.25">
      <c r="B8452" s="55" t="s">
        <v>280</v>
      </c>
      <c r="C8452" s="46">
        <v>3440</v>
      </c>
      <c r="D8452" s="69" t="s">
        <v>29417</v>
      </c>
      <c r="E8452" s="51"/>
      <c r="F8452" s="114" t="str">
        <f>IF(INDEX(I.Facility.P2aIDNumber,3440)="","",INDEX(I.Facility.P2aIDNumber,3440))</f>
        <v/>
      </c>
      <c r="G8452" s="51"/>
      <c r="H8452" s="46" t="str">
        <f>IF(AND(I.Developer.P2a=TRUE,I.Facility.P2aFacilityCount&gt;=3440,F8452=""),"Incomplete","Complete")</f>
        <v>Complete</v>
      </c>
      <c r="I8452" s="48" t="s">
        <v>12817</v>
      </c>
    </row>
    <row r="8453" spans="2:9" ht="15" customHeight="1" x14ac:dyDescent="0.25">
      <c r="B8453" s="55" t="s">
        <v>280</v>
      </c>
      <c r="C8453" s="46">
        <v>3441</v>
      </c>
      <c r="D8453" s="69" t="s">
        <v>29417</v>
      </c>
      <c r="E8453" s="51"/>
      <c r="F8453" s="114" t="str">
        <f>IF(INDEX(I.Facility.P2aIDNumber,3441)="","",INDEX(I.Facility.P2aIDNumber,3441))</f>
        <v/>
      </c>
      <c r="G8453" s="51"/>
      <c r="H8453" s="46" t="str">
        <f>IF(AND(I.Developer.P2a=TRUE,I.Facility.P2aFacilityCount&gt;=3441,F8453=""),"Incomplete","Complete")</f>
        <v>Complete</v>
      </c>
      <c r="I8453" s="48" t="s">
        <v>12818</v>
      </c>
    </row>
    <row r="8454" spans="2:9" ht="15" customHeight="1" x14ac:dyDescent="0.25">
      <c r="B8454" s="55" t="s">
        <v>280</v>
      </c>
      <c r="C8454" s="46">
        <v>3442</v>
      </c>
      <c r="D8454" s="69" t="s">
        <v>29417</v>
      </c>
      <c r="E8454" s="51"/>
      <c r="F8454" s="114" t="str">
        <f>IF(INDEX(I.Facility.P2aIDNumber,3442)="","",INDEX(I.Facility.P2aIDNumber,3442))</f>
        <v/>
      </c>
      <c r="G8454" s="51"/>
      <c r="H8454" s="46" t="str">
        <f>IF(AND(I.Developer.P2a=TRUE,I.Facility.P2aFacilityCount&gt;=3442,F8454=""),"Incomplete","Complete")</f>
        <v>Complete</v>
      </c>
      <c r="I8454" s="48" t="s">
        <v>12819</v>
      </c>
    </row>
    <row r="8455" spans="2:9" ht="15" customHeight="1" x14ac:dyDescent="0.25">
      <c r="B8455" s="55" t="s">
        <v>280</v>
      </c>
      <c r="C8455" s="46">
        <v>3443</v>
      </c>
      <c r="D8455" s="69" t="s">
        <v>29417</v>
      </c>
      <c r="E8455" s="51"/>
      <c r="F8455" s="114" t="str">
        <f>IF(INDEX(I.Facility.P2aIDNumber,3443)="","",INDEX(I.Facility.P2aIDNumber,3443))</f>
        <v/>
      </c>
      <c r="G8455" s="51"/>
      <c r="H8455" s="46" t="str">
        <f>IF(AND(I.Developer.P2a=TRUE,I.Facility.P2aFacilityCount&gt;=3443,F8455=""),"Incomplete","Complete")</f>
        <v>Complete</v>
      </c>
      <c r="I8455" s="48" t="s">
        <v>12820</v>
      </c>
    </row>
    <row r="8456" spans="2:9" ht="15" customHeight="1" x14ac:dyDescent="0.25">
      <c r="B8456" s="55" t="s">
        <v>280</v>
      </c>
      <c r="C8456" s="46">
        <v>3444</v>
      </c>
      <c r="D8456" s="69" t="s">
        <v>29417</v>
      </c>
      <c r="E8456" s="51"/>
      <c r="F8456" s="114" t="str">
        <f>IF(INDEX(I.Facility.P2aIDNumber,3444)="","",INDEX(I.Facility.P2aIDNumber,3444))</f>
        <v/>
      </c>
      <c r="G8456" s="51"/>
      <c r="H8456" s="46" t="str">
        <f>IF(AND(I.Developer.P2a=TRUE,I.Facility.P2aFacilityCount&gt;=3444,F8456=""),"Incomplete","Complete")</f>
        <v>Complete</v>
      </c>
      <c r="I8456" s="48" t="s">
        <v>12821</v>
      </c>
    </row>
    <row r="8457" spans="2:9" ht="15" customHeight="1" x14ac:dyDescent="0.25">
      <c r="B8457" s="55" t="s">
        <v>280</v>
      </c>
      <c r="C8457" s="46">
        <v>3445</v>
      </c>
      <c r="D8457" s="69" t="s">
        <v>29417</v>
      </c>
      <c r="E8457" s="51"/>
      <c r="F8457" s="114" t="str">
        <f>IF(INDEX(I.Facility.P2aIDNumber,3445)="","",INDEX(I.Facility.P2aIDNumber,3445))</f>
        <v/>
      </c>
      <c r="G8457" s="51"/>
      <c r="H8457" s="46" t="str">
        <f>IF(AND(I.Developer.P2a=TRUE,I.Facility.P2aFacilityCount&gt;=3445,F8457=""),"Incomplete","Complete")</f>
        <v>Complete</v>
      </c>
      <c r="I8457" s="48" t="s">
        <v>12822</v>
      </c>
    </row>
    <row r="8458" spans="2:9" ht="15" customHeight="1" x14ac:dyDescent="0.25">
      <c r="B8458" s="55" t="s">
        <v>280</v>
      </c>
      <c r="C8458" s="46">
        <v>3446</v>
      </c>
      <c r="D8458" s="69" t="s">
        <v>29417</v>
      </c>
      <c r="E8458" s="51"/>
      <c r="F8458" s="114" t="str">
        <f>IF(INDEX(I.Facility.P2aIDNumber,3446)="","",INDEX(I.Facility.P2aIDNumber,3446))</f>
        <v/>
      </c>
      <c r="G8458" s="51"/>
      <c r="H8458" s="46" t="str">
        <f>IF(AND(I.Developer.P2a=TRUE,I.Facility.P2aFacilityCount&gt;=3446,F8458=""),"Incomplete","Complete")</f>
        <v>Complete</v>
      </c>
      <c r="I8458" s="48" t="s">
        <v>12823</v>
      </c>
    </row>
    <row r="8459" spans="2:9" ht="15" customHeight="1" x14ac:dyDescent="0.25">
      <c r="B8459" s="55" t="s">
        <v>280</v>
      </c>
      <c r="C8459" s="46">
        <v>3447</v>
      </c>
      <c r="D8459" s="69" t="s">
        <v>29417</v>
      </c>
      <c r="E8459" s="51"/>
      <c r="F8459" s="114" t="str">
        <f>IF(INDEX(I.Facility.P2aIDNumber,3447)="","",INDEX(I.Facility.P2aIDNumber,3447))</f>
        <v/>
      </c>
      <c r="G8459" s="51"/>
      <c r="H8459" s="46" t="str">
        <f>IF(AND(I.Developer.P2a=TRUE,I.Facility.P2aFacilityCount&gt;=3447,F8459=""),"Incomplete","Complete")</f>
        <v>Complete</v>
      </c>
      <c r="I8459" s="48" t="s">
        <v>12824</v>
      </c>
    </row>
    <row r="8460" spans="2:9" ht="15" customHeight="1" x14ac:dyDescent="0.25">
      <c r="B8460" s="55" t="s">
        <v>280</v>
      </c>
      <c r="C8460" s="46">
        <v>3448</v>
      </c>
      <c r="D8460" s="69" t="s">
        <v>29417</v>
      </c>
      <c r="E8460" s="51"/>
      <c r="F8460" s="114" t="str">
        <f>IF(INDEX(I.Facility.P2aIDNumber,3448)="","",INDEX(I.Facility.P2aIDNumber,3448))</f>
        <v/>
      </c>
      <c r="G8460" s="51"/>
      <c r="H8460" s="46" t="str">
        <f>IF(AND(I.Developer.P2a=TRUE,I.Facility.P2aFacilityCount&gt;=3448,F8460=""),"Incomplete","Complete")</f>
        <v>Complete</v>
      </c>
      <c r="I8460" s="48" t="s">
        <v>12825</v>
      </c>
    </row>
    <row r="8461" spans="2:9" ht="15" customHeight="1" x14ac:dyDescent="0.25">
      <c r="B8461" s="55" t="s">
        <v>280</v>
      </c>
      <c r="C8461" s="46">
        <v>3449</v>
      </c>
      <c r="D8461" s="69" t="s">
        <v>29417</v>
      </c>
      <c r="E8461" s="51"/>
      <c r="F8461" s="114" t="str">
        <f>IF(INDEX(I.Facility.P2aIDNumber,3449)="","",INDEX(I.Facility.P2aIDNumber,3449))</f>
        <v/>
      </c>
      <c r="G8461" s="51"/>
      <c r="H8461" s="46" t="str">
        <f>IF(AND(I.Developer.P2a=TRUE,I.Facility.P2aFacilityCount&gt;=3449,F8461=""),"Incomplete","Complete")</f>
        <v>Complete</v>
      </c>
      <c r="I8461" s="48" t="s">
        <v>12826</v>
      </c>
    </row>
    <row r="8462" spans="2:9" ht="15" customHeight="1" x14ac:dyDescent="0.25">
      <c r="B8462" s="55" t="s">
        <v>280</v>
      </c>
      <c r="C8462" s="46">
        <v>3450</v>
      </c>
      <c r="D8462" s="69" t="s">
        <v>29417</v>
      </c>
      <c r="E8462" s="51"/>
      <c r="F8462" s="114" t="str">
        <f>IF(INDEX(I.Facility.P2aIDNumber,3450)="","",INDEX(I.Facility.P2aIDNumber,3450))</f>
        <v/>
      </c>
      <c r="G8462" s="51"/>
      <c r="H8462" s="46" t="str">
        <f>IF(AND(I.Developer.P2a=TRUE,I.Facility.P2aFacilityCount&gt;=3450,F8462=""),"Incomplete","Complete")</f>
        <v>Complete</v>
      </c>
      <c r="I8462" s="48" t="s">
        <v>12827</v>
      </c>
    </row>
    <row r="8463" spans="2:9" ht="15" customHeight="1" x14ac:dyDescent="0.25">
      <c r="B8463" s="55" t="s">
        <v>280</v>
      </c>
      <c r="C8463" s="46">
        <v>3451</v>
      </c>
      <c r="D8463" s="69" t="s">
        <v>29417</v>
      </c>
      <c r="E8463" s="51"/>
      <c r="F8463" s="114" t="str">
        <f>IF(INDEX(I.Facility.P2aIDNumber,3451)="","",INDEX(I.Facility.P2aIDNumber,3451))</f>
        <v/>
      </c>
      <c r="G8463" s="51"/>
      <c r="H8463" s="46" t="str">
        <f>IF(AND(I.Developer.P2a=TRUE,I.Facility.P2aFacilityCount&gt;=3451,F8463=""),"Incomplete","Complete")</f>
        <v>Complete</v>
      </c>
      <c r="I8463" s="48" t="s">
        <v>12828</v>
      </c>
    </row>
    <row r="8464" spans="2:9" ht="15" customHeight="1" x14ac:dyDescent="0.25">
      <c r="B8464" s="55" t="s">
        <v>280</v>
      </c>
      <c r="C8464" s="46">
        <v>3452</v>
      </c>
      <c r="D8464" s="69" t="s">
        <v>29417</v>
      </c>
      <c r="E8464" s="51"/>
      <c r="F8464" s="114" t="str">
        <f>IF(INDEX(I.Facility.P2aIDNumber,3452)="","",INDEX(I.Facility.P2aIDNumber,3452))</f>
        <v/>
      </c>
      <c r="G8464" s="51"/>
      <c r="H8464" s="46" t="str">
        <f>IF(AND(I.Developer.P2a=TRUE,I.Facility.P2aFacilityCount&gt;=3452,F8464=""),"Incomplete","Complete")</f>
        <v>Complete</v>
      </c>
      <c r="I8464" s="48" t="s">
        <v>12829</v>
      </c>
    </row>
    <row r="8465" spans="2:9" ht="15" customHeight="1" x14ac:dyDescent="0.25">
      <c r="B8465" s="55" t="s">
        <v>280</v>
      </c>
      <c r="C8465" s="46">
        <v>3453</v>
      </c>
      <c r="D8465" s="69" t="s">
        <v>29417</v>
      </c>
      <c r="E8465" s="51"/>
      <c r="F8465" s="114" t="str">
        <f>IF(INDEX(I.Facility.P2aIDNumber,3453)="","",INDEX(I.Facility.P2aIDNumber,3453))</f>
        <v/>
      </c>
      <c r="G8465" s="51"/>
      <c r="H8465" s="46" t="str">
        <f>IF(AND(I.Developer.P2a=TRUE,I.Facility.P2aFacilityCount&gt;=3453,F8465=""),"Incomplete","Complete")</f>
        <v>Complete</v>
      </c>
      <c r="I8465" s="48" t="s">
        <v>12830</v>
      </c>
    </row>
    <row r="8466" spans="2:9" ht="15" customHeight="1" x14ac:dyDescent="0.25">
      <c r="B8466" s="55" t="s">
        <v>280</v>
      </c>
      <c r="C8466" s="46">
        <v>3454</v>
      </c>
      <c r="D8466" s="69" t="s">
        <v>29417</v>
      </c>
      <c r="E8466" s="51"/>
      <c r="F8466" s="114" t="str">
        <f>IF(INDEX(I.Facility.P2aIDNumber,3454)="","",INDEX(I.Facility.P2aIDNumber,3454))</f>
        <v/>
      </c>
      <c r="G8466" s="51"/>
      <c r="H8466" s="46" t="str">
        <f>IF(AND(I.Developer.P2a=TRUE,I.Facility.P2aFacilityCount&gt;=3454,F8466=""),"Incomplete","Complete")</f>
        <v>Complete</v>
      </c>
      <c r="I8466" s="48" t="s">
        <v>12831</v>
      </c>
    </row>
    <row r="8467" spans="2:9" ht="15" customHeight="1" x14ac:dyDescent="0.25">
      <c r="B8467" s="55" t="s">
        <v>280</v>
      </c>
      <c r="C8467" s="46">
        <v>3455</v>
      </c>
      <c r="D8467" s="69" t="s">
        <v>29417</v>
      </c>
      <c r="E8467" s="51"/>
      <c r="F8467" s="114" t="str">
        <f>IF(INDEX(I.Facility.P2aIDNumber,3455)="","",INDEX(I.Facility.P2aIDNumber,3455))</f>
        <v/>
      </c>
      <c r="G8467" s="51"/>
      <c r="H8467" s="46" t="str">
        <f>IF(AND(I.Developer.P2a=TRUE,I.Facility.P2aFacilityCount&gt;=3455,F8467=""),"Incomplete","Complete")</f>
        <v>Complete</v>
      </c>
      <c r="I8467" s="48" t="s">
        <v>12832</v>
      </c>
    </row>
    <row r="8468" spans="2:9" ht="15" customHeight="1" x14ac:dyDescent="0.25">
      <c r="B8468" s="55" t="s">
        <v>280</v>
      </c>
      <c r="C8468" s="46">
        <v>3456</v>
      </c>
      <c r="D8468" s="69" t="s">
        <v>29417</v>
      </c>
      <c r="E8468" s="51"/>
      <c r="F8468" s="114" t="str">
        <f>IF(INDEX(I.Facility.P2aIDNumber,3456)="","",INDEX(I.Facility.P2aIDNumber,3456))</f>
        <v/>
      </c>
      <c r="G8468" s="51"/>
      <c r="H8468" s="46" t="str">
        <f>IF(AND(I.Developer.P2a=TRUE,I.Facility.P2aFacilityCount&gt;=3456,F8468=""),"Incomplete","Complete")</f>
        <v>Complete</v>
      </c>
      <c r="I8468" s="48" t="s">
        <v>12833</v>
      </c>
    </row>
    <row r="8469" spans="2:9" ht="15" customHeight="1" x14ac:dyDescent="0.25">
      <c r="B8469" s="55" t="s">
        <v>280</v>
      </c>
      <c r="C8469" s="46">
        <v>3457</v>
      </c>
      <c r="D8469" s="69" t="s">
        <v>29417</v>
      </c>
      <c r="E8469" s="51"/>
      <c r="F8469" s="114" t="str">
        <f>IF(INDEX(I.Facility.P2aIDNumber,3457)="","",INDEX(I.Facility.P2aIDNumber,3457))</f>
        <v/>
      </c>
      <c r="G8469" s="51"/>
      <c r="H8469" s="46" t="str">
        <f>IF(AND(I.Developer.P2a=TRUE,I.Facility.P2aFacilityCount&gt;=3457,F8469=""),"Incomplete","Complete")</f>
        <v>Complete</v>
      </c>
      <c r="I8469" s="48" t="s">
        <v>12834</v>
      </c>
    </row>
    <row r="8470" spans="2:9" ht="15" customHeight="1" x14ac:dyDescent="0.25">
      <c r="B8470" s="55" t="s">
        <v>280</v>
      </c>
      <c r="C8470" s="46">
        <v>3458</v>
      </c>
      <c r="D8470" s="69" t="s">
        <v>29417</v>
      </c>
      <c r="E8470" s="51"/>
      <c r="F8470" s="114" t="str">
        <f>IF(INDEX(I.Facility.P2aIDNumber,3458)="","",INDEX(I.Facility.P2aIDNumber,3458))</f>
        <v/>
      </c>
      <c r="G8470" s="51"/>
      <c r="H8470" s="46" t="str">
        <f>IF(AND(I.Developer.P2a=TRUE,I.Facility.P2aFacilityCount&gt;=3458,F8470=""),"Incomplete","Complete")</f>
        <v>Complete</v>
      </c>
      <c r="I8470" s="48" t="s">
        <v>12835</v>
      </c>
    </row>
    <row r="8471" spans="2:9" ht="15" customHeight="1" x14ac:dyDescent="0.25">
      <c r="B8471" s="55" t="s">
        <v>280</v>
      </c>
      <c r="C8471" s="46">
        <v>3459</v>
      </c>
      <c r="D8471" s="69" t="s">
        <v>29417</v>
      </c>
      <c r="E8471" s="51"/>
      <c r="F8471" s="114" t="str">
        <f>IF(INDEX(I.Facility.P2aIDNumber,3459)="","",INDEX(I.Facility.P2aIDNumber,3459))</f>
        <v/>
      </c>
      <c r="G8471" s="51"/>
      <c r="H8471" s="46" t="str">
        <f>IF(AND(I.Developer.P2a=TRUE,I.Facility.P2aFacilityCount&gt;=3459,F8471=""),"Incomplete","Complete")</f>
        <v>Complete</v>
      </c>
      <c r="I8471" s="48" t="s">
        <v>12836</v>
      </c>
    </row>
    <row r="8472" spans="2:9" ht="15" customHeight="1" x14ac:dyDescent="0.25">
      <c r="B8472" s="55" t="s">
        <v>280</v>
      </c>
      <c r="C8472" s="46">
        <v>3460</v>
      </c>
      <c r="D8472" s="69" t="s">
        <v>29417</v>
      </c>
      <c r="E8472" s="51"/>
      <c r="F8472" s="114" t="str">
        <f>IF(INDEX(I.Facility.P2aIDNumber,3460)="","",INDEX(I.Facility.P2aIDNumber,3460))</f>
        <v/>
      </c>
      <c r="G8472" s="51"/>
      <c r="H8472" s="46" t="str">
        <f>IF(AND(I.Developer.P2a=TRUE,I.Facility.P2aFacilityCount&gt;=3460,F8472=""),"Incomplete","Complete")</f>
        <v>Complete</v>
      </c>
      <c r="I8472" s="48" t="s">
        <v>12837</v>
      </c>
    </row>
    <row r="8473" spans="2:9" ht="15" customHeight="1" x14ac:dyDescent="0.25">
      <c r="B8473" s="55" t="s">
        <v>280</v>
      </c>
      <c r="C8473" s="46">
        <v>3461</v>
      </c>
      <c r="D8473" s="69" t="s">
        <v>29417</v>
      </c>
      <c r="E8473" s="51"/>
      <c r="F8473" s="114" t="str">
        <f>IF(INDEX(I.Facility.P2aIDNumber,3461)="","",INDEX(I.Facility.P2aIDNumber,3461))</f>
        <v/>
      </c>
      <c r="G8473" s="51"/>
      <c r="H8473" s="46" t="str">
        <f>IF(AND(I.Developer.P2a=TRUE,I.Facility.P2aFacilityCount&gt;=3461,F8473=""),"Incomplete","Complete")</f>
        <v>Complete</v>
      </c>
      <c r="I8473" s="48" t="s">
        <v>12838</v>
      </c>
    </row>
    <row r="8474" spans="2:9" ht="15" customHeight="1" x14ac:dyDescent="0.25">
      <c r="B8474" s="55" t="s">
        <v>280</v>
      </c>
      <c r="C8474" s="46">
        <v>3462</v>
      </c>
      <c r="D8474" s="69" t="s">
        <v>29417</v>
      </c>
      <c r="E8474" s="51"/>
      <c r="F8474" s="114" t="str">
        <f>IF(INDEX(I.Facility.P2aIDNumber,3462)="","",INDEX(I.Facility.P2aIDNumber,3462))</f>
        <v/>
      </c>
      <c r="G8474" s="51"/>
      <c r="H8474" s="46" t="str">
        <f>IF(AND(I.Developer.P2a=TRUE,I.Facility.P2aFacilityCount&gt;=3462,F8474=""),"Incomplete","Complete")</f>
        <v>Complete</v>
      </c>
      <c r="I8474" s="48" t="s">
        <v>12839</v>
      </c>
    </row>
    <row r="8475" spans="2:9" ht="15" customHeight="1" x14ac:dyDescent="0.25">
      <c r="B8475" s="55" t="s">
        <v>280</v>
      </c>
      <c r="C8475" s="46">
        <v>3463</v>
      </c>
      <c r="D8475" s="69" t="s">
        <v>29417</v>
      </c>
      <c r="E8475" s="51"/>
      <c r="F8475" s="114" t="str">
        <f>IF(INDEX(I.Facility.P2aIDNumber,3463)="","",INDEX(I.Facility.P2aIDNumber,3463))</f>
        <v/>
      </c>
      <c r="G8475" s="51"/>
      <c r="H8475" s="46" t="str">
        <f>IF(AND(I.Developer.P2a=TRUE,I.Facility.P2aFacilityCount&gt;=3463,F8475=""),"Incomplete","Complete")</f>
        <v>Complete</v>
      </c>
      <c r="I8475" s="48" t="s">
        <v>12840</v>
      </c>
    </row>
    <row r="8476" spans="2:9" ht="15" customHeight="1" x14ac:dyDescent="0.25">
      <c r="B8476" s="55" t="s">
        <v>280</v>
      </c>
      <c r="C8476" s="46">
        <v>3464</v>
      </c>
      <c r="D8476" s="69" t="s">
        <v>29417</v>
      </c>
      <c r="E8476" s="51"/>
      <c r="F8476" s="114" t="str">
        <f>IF(INDEX(I.Facility.P2aIDNumber,3464)="","",INDEX(I.Facility.P2aIDNumber,3464))</f>
        <v/>
      </c>
      <c r="G8476" s="51"/>
      <c r="H8476" s="46" t="str">
        <f>IF(AND(I.Developer.P2a=TRUE,I.Facility.P2aFacilityCount&gt;=3464,F8476=""),"Incomplete","Complete")</f>
        <v>Complete</v>
      </c>
      <c r="I8476" s="48" t="s">
        <v>12841</v>
      </c>
    </row>
    <row r="8477" spans="2:9" ht="15" customHeight="1" x14ac:dyDescent="0.25">
      <c r="B8477" s="55" t="s">
        <v>280</v>
      </c>
      <c r="C8477" s="46">
        <v>3465</v>
      </c>
      <c r="D8477" s="69" t="s">
        <v>29417</v>
      </c>
      <c r="E8477" s="51"/>
      <c r="F8477" s="114" t="str">
        <f>IF(INDEX(I.Facility.P2aIDNumber,3465)="","",INDEX(I.Facility.P2aIDNumber,3465))</f>
        <v/>
      </c>
      <c r="G8477" s="51"/>
      <c r="H8477" s="46" t="str">
        <f>IF(AND(I.Developer.P2a=TRUE,I.Facility.P2aFacilityCount&gt;=3465,F8477=""),"Incomplete","Complete")</f>
        <v>Complete</v>
      </c>
      <c r="I8477" s="48" t="s">
        <v>12842</v>
      </c>
    </row>
    <row r="8478" spans="2:9" ht="15" customHeight="1" x14ac:dyDescent="0.25">
      <c r="B8478" s="55" t="s">
        <v>280</v>
      </c>
      <c r="C8478" s="46">
        <v>3466</v>
      </c>
      <c r="D8478" s="69" t="s">
        <v>29417</v>
      </c>
      <c r="E8478" s="51"/>
      <c r="F8478" s="114" t="str">
        <f>IF(INDEX(I.Facility.P2aIDNumber,3466)="","",INDEX(I.Facility.P2aIDNumber,3466))</f>
        <v/>
      </c>
      <c r="G8478" s="51"/>
      <c r="H8478" s="46" t="str">
        <f>IF(AND(I.Developer.P2a=TRUE,I.Facility.P2aFacilityCount&gt;=3466,F8478=""),"Incomplete","Complete")</f>
        <v>Complete</v>
      </c>
      <c r="I8478" s="48" t="s">
        <v>12843</v>
      </c>
    </row>
    <row r="8479" spans="2:9" ht="15" customHeight="1" x14ac:dyDescent="0.25">
      <c r="B8479" s="55" t="s">
        <v>280</v>
      </c>
      <c r="C8479" s="46">
        <v>3467</v>
      </c>
      <c r="D8479" s="69" t="s">
        <v>29417</v>
      </c>
      <c r="E8479" s="51"/>
      <c r="F8479" s="114" t="str">
        <f>IF(INDEX(I.Facility.P2aIDNumber,3467)="","",INDEX(I.Facility.P2aIDNumber,3467))</f>
        <v/>
      </c>
      <c r="G8479" s="51"/>
      <c r="H8479" s="46" t="str">
        <f>IF(AND(I.Developer.P2a=TRUE,I.Facility.P2aFacilityCount&gt;=3467,F8479=""),"Incomplete","Complete")</f>
        <v>Complete</v>
      </c>
      <c r="I8479" s="48" t="s">
        <v>12844</v>
      </c>
    </row>
    <row r="8480" spans="2:9" ht="15" customHeight="1" x14ac:dyDescent="0.25">
      <c r="B8480" s="55" t="s">
        <v>280</v>
      </c>
      <c r="C8480" s="46">
        <v>3468</v>
      </c>
      <c r="D8480" s="69" t="s">
        <v>29417</v>
      </c>
      <c r="E8480" s="51"/>
      <c r="F8480" s="114" t="str">
        <f>IF(INDEX(I.Facility.P2aIDNumber,3468)="","",INDEX(I.Facility.P2aIDNumber,3468))</f>
        <v/>
      </c>
      <c r="G8480" s="51"/>
      <c r="H8480" s="46" t="str">
        <f>IF(AND(I.Developer.P2a=TRUE,I.Facility.P2aFacilityCount&gt;=3468,F8480=""),"Incomplete","Complete")</f>
        <v>Complete</v>
      </c>
      <c r="I8480" s="48" t="s">
        <v>12845</v>
      </c>
    </row>
    <row r="8481" spans="2:9" ht="15" customHeight="1" x14ac:dyDescent="0.25">
      <c r="B8481" s="55" t="s">
        <v>280</v>
      </c>
      <c r="C8481" s="46">
        <v>3469</v>
      </c>
      <c r="D8481" s="69" t="s">
        <v>29417</v>
      </c>
      <c r="E8481" s="51"/>
      <c r="F8481" s="114" t="str">
        <f>IF(INDEX(I.Facility.P2aIDNumber,3469)="","",INDEX(I.Facility.P2aIDNumber,3469))</f>
        <v/>
      </c>
      <c r="G8481" s="51"/>
      <c r="H8481" s="46" t="str">
        <f>IF(AND(I.Developer.P2a=TRUE,I.Facility.P2aFacilityCount&gt;=3469,F8481=""),"Incomplete","Complete")</f>
        <v>Complete</v>
      </c>
      <c r="I8481" s="48" t="s">
        <v>12846</v>
      </c>
    </row>
    <row r="8482" spans="2:9" ht="15" customHeight="1" x14ac:dyDescent="0.25">
      <c r="B8482" s="55" t="s">
        <v>280</v>
      </c>
      <c r="C8482" s="46">
        <v>3470</v>
      </c>
      <c r="D8482" s="69" t="s">
        <v>29417</v>
      </c>
      <c r="E8482" s="51"/>
      <c r="F8482" s="114" t="str">
        <f>IF(INDEX(I.Facility.P2aIDNumber,3470)="","",INDEX(I.Facility.P2aIDNumber,3470))</f>
        <v/>
      </c>
      <c r="G8482" s="51"/>
      <c r="H8482" s="46" t="str">
        <f>IF(AND(I.Developer.P2a=TRUE,I.Facility.P2aFacilityCount&gt;=3470,F8482=""),"Incomplete","Complete")</f>
        <v>Complete</v>
      </c>
      <c r="I8482" s="48" t="s">
        <v>12847</v>
      </c>
    </row>
    <row r="8483" spans="2:9" ht="15" customHeight="1" x14ac:dyDescent="0.25">
      <c r="B8483" s="55" t="s">
        <v>280</v>
      </c>
      <c r="C8483" s="46">
        <v>3471</v>
      </c>
      <c r="D8483" s="69" t="s">
        <v>29417</v>
      </c>
      <c r="E8483" s="51"/>
      <c r="F8483" s="114" t="str">
        <f>IF(INDEX(I.Facility.P2aIDNumber,3471)="","",INDEX(I.Facility.P2aIDNumber,3471))</f>
        <v/>
      </c>
      <c r="G8483" s="51"/>
      <c r="H8483" s="46" t="str">
        <f>IF(AND(I.Developer.P2a=TRUE,I.Facility.P2aFacilityCount&gt;=3471,F8483=""),"Incomplete","Complete")</f>
        <v>Complete</v>
      </c>
      <c r="I8483" s="48" t="s">
        <v>12848</v>
      </c>
    </row>
    <row r="8484" spans="2:9" ht="15" customHeight="1" x14ac:dyDescent="0.25">
      <c r="B8484" s="55" t="s">
        <v>280</v>
      </c>
      <c r="C8484" s="46">
        <v>3472</v>
      </c>
      <c r="D8484" s="69" t="s">
        <v>29417</v>
      </c>
      <c r="E8484" s="51"/>
      <c r="F8484" s="114" t="str">
        <f>IF(INDEX(I.Facility.P2aIDNumber,3472)="","",INDEX(I.Facility.P2aIDNumber,3472))</f>
        <v/>
      </c>
      <c r="G8484" s="51"/>
      <c r="H8484" s="46" t="str">
        <f>IF(AND(I.Developer.P2a=TRUE,I.Facility.P2aFacilityCount&gt;=3472,F8484=""),"Incomplete","Complete")</f>
        <v>Complete</v>
      </c>
      <c r="I8484" s="48" t="s">
        <v>12849</v>
      </c>
    </row>
    <row r="8485" spans="2:9" ht="15" customHeight="1" x14ac:dyDescent="0.25">
      <c r="B8485" s="55" t="s">
        <v>280</v>
      </c>
      <c r="C8485" s="46">
        <v>3473</v>
      </c>
      <c r="D8485" s="69" t="s">
        <v>29417</v>
      </c>
      <c r="E8485" s="51"/>
      <c r="F8485" s="114" t="str">
        <f>IF(INDEX(I.Facility.P2aIDNumber,3473)="","",INDEX(I.Facility.P2aIDNumber,3473))</f>
        <v/>
      </c>
      <c r="G8485" s="51"/>
      <c r="H8485" s="46" t="str">
        <f>IF(AND(I.Developer.P2a=TRUE,I.Facility.P2aFacilityCount&gt;=3473,F8485=""),"Incomplete","Complete")</f>
        <v>Complete</v>
      </c>
      <c r="I8485" s="48" t="s">
        <v>12850</v>
      </c>
    </row>
    <row r="8486" spans="2:9" ht="15" customHeight="1" x14ac:dyDescent="0.25">
      <c r="B8486" s="55" t="s">
        <v>280</v>
      </c>
      <c r="C8486" s="46">
        <v>3474</v>
      </c>
      <c r="D8486" s="69" t="s">
        <v>29417</v>
      </c>
      <c r="E8486" s="51"/>
      <c r="F8486" s="114" t="str">
        <f>IF(INDEX(I.Facility.P2aIDNumber,3474)="","",INDEX(I.Facility.P2aIDNumber,3474))</f>
        <v/>
      </c>
      <c r="G8486" s="51"/>
      <c r="H8486" s="46" t="str">
        <f>IF(AND(I.Developer.P2a=TRUE,I.Facility.P2aFacilityCount&gt;=3474,F8486=""),"Incomplete","Complete")</f>
        <v>Complete</v>
      </c>
      <c r="I8486" s="48" t="s">
        <v>12851</v>
      </c>
    </row>
    <row r="8487" spans="2:9" ht="15" customHeight="1" x14ac:dyDescent="0.25">
      <c r="B8487" s="55" t="s">
        <v>280</v>
      </c>
      <c r="C8487" s="46">
        <v>3475</v>
      </c>
      <c r="D8487" s="69" t="s">
        <v>29417</v>
      </c>
      <c r="E8487" s="51"/>
      <c r="F8487" s="114" t="str">
        <f>IF(INDEX(I.Facility.P2aIDNumber,3475)="","",INDEX(I.Facility.P2aIDNumber,3475))</f>
        <v/>
      </c>
      <c r="G8487" s="51"/>
      <c r="H8487" s="46" t="str">
        <f>IF(AND(I.Developer.P2a=TRUE,I.Facility.P2aFacilityCount&gt;=3475,F8487=""),"Incomplete","Complete")</f>
        <v>Complete</v>
      </c>
      <c r="I8487" s="48" t="s">
        <v>12852</v>
      </c>
    </row>
    <row r="8488" spans="2:9" ht="15" customHeight="1" x14ac:dyDescent="0.25">
      <c r="B8488" s="55" t="s">
        <v>280</v>
      </c>
      <c r="C8488" s="46">
        <v>3476</v>
      </c>
      <c r="D8488" s="69" t="s">
        <v>29417</v>
      </c>
      <c r="E8488" s="51"/>
      <c r="F8488" s="114" t="str">
        <f>IF(INDEX(I.Facility.P2aIDNumber,3476)="","",INDEX(I.Facility.P2aIDNumber,3476))</f>
        <v/>
      </c>
      <c r="G8488" s="51"/>
      <c r="H8488" s="46" t="str">
        <f>IF(AND(I.Developer.P2a=TRUE,I.Facility.P2aFacilityCount&gt;=3476,F8488=""),"Incomplete","Complete")</f>
        <v>Complete</v>
      </c>
      <c r="I8488" s="48" t="s">
        <v>12853</v>
      </c>
    </row>
    <row r="8489" spans="2:9" ht="15" customHeight="1" x14ac:dyDescent="0.25">
      <c r="B8489" s="55" t="s">
        <v>280</v>
      </c>
      <c r="C8489" s="46">
        <v>3477</v>
      </c>
      <c r="D8489" s="69" t="s">
        <v>29417</v>
      </c>
      <c r="E8489" s="51"/>
      <c r="F8489" s="114" t="str">
        <f>IF(INDEX(I.Facility.P2aIDNumber,3477)="","",INDEX(I.Facility.P2aIDNumber,3477))</f>
        <v/>
      </c>
      <c r="G8489" s="51"/>
      <c r="H8489" s="46" t="str">
        <f>IF(AND(I.Developer.P2a=TRUE,I.Facility.P2aFacilityCount&gt;=3477,F8489=""),"Incomplete","Complete")</f>
        <v>Complete</v>
      </c>
      <c r="I8489" s="48" t="s">
        <v>12854</v>
      </c>
    </row>
    <row r="8490" spans="2:9" ht="15" customHeight="1" x14ac:dyDescent="0.25">
      <c r="B8490" s="55" t="s">
        <v>280</v>
      </c>
      <c r="C8490" s="46">
        <v>3478</v>
      </c>
      <c r="D8490" s="69" t="s">
        <v>29417</v>
      </c>
      <c r="E8490" s="51"/>
      <c r="F8490" s="114" t="str">
        <f>IF(INDEX(I.Facility.P2aIDNumber,3478)="","",INDEX(I.Facility.P2aIDNumber,3478))</f>
        <v/>
      </c>
      <c r="G8490" s="51"/>
      <c r="H8490" s="46" t="str">
        <f>IF(AND(I.Developer.P2a=TRUE,I.Facility.P2aFacilityCount&gt;=3478,F8490=""),"Incomplete","Complete")</f>
        <v>Complete</v>
      </c>
      <c r="I8490" s="48" t="s">
        <v>12855</v>
      </c>
    </row>
    <row r="8491" spans="2:9" ht="15" customHeight="1" x14ac:dyDescent="0.25">
      <c r="B8491" s="55" t="s">
        <v>280</v>
      </c>
      <c r="C8491" s="46">
        <v>3479</v>
      </c>
      <c r="D8491" s="69" t="s">
        <v>29417</v>
      </c>
      <c r="E8491" s="51"/>
      <c r="F8491" s="114" t="str">
        <f>IF(INDEX(I.Facility.P2aIDNumber,3479)="","",INDEX(I.Facility.P2aIDNumber,3479))</f>
        <v/>
      </c>
      <c r="G8491" s="51"/>
      <c r="H8491" s="46" t="str">
        <f>IF(AND(I.Developer.P2a=TRUE,I.Facility.P2aFacilityCount&gt;=3479,F8491=""),"Incomplete","Complete")</f>
        <v>Complete</v>
      </c>
      <c r="I8491" s="48" t="s">
        <v>12856</v>
      </c>
    </row>
    <row r="8492" spans="2:9" ht="15" customHeight="1" x14ac:dyDescent="0.25">
      <c r="B8492" s="55" t="s">
        <v>280</v>
      </c>
      <c r="C8492" s="46">
        <v>3480</v>
      </c>
      <c r="D8492" s="69" t="s">
        <v>29417</v>
      </c>
      <c r="E8492" s="51"/>
      <c r="F8492" s="114" t="str">
        <f>IF(INDEX(I.Facility.P2aIDNumber,3480)="","",INDEX(I.Facility.P2aIDNumber,3480))</f>
        <v/>
      </c>
      <c r="G8492" s="51"/>
      <c r="H8492" s="46" t="str">
        <f>IF(AND(I.Developer.P2a=TRUE,I.Facility.P2aFacilityCount&gt;=3480,F8492=""),"Incomplete","Complete")</f>
        <v>Complete</v>
      </c>
      <c r="I8492" s="48" t="s">
        <v>12857</v>
      </c>
    </row>
    <row r="8493" spans="2:9" ht="15" customHeight="1" x14ac:dyDescent="0.25">
      <c r="B8493" s="55" t="s">
        <v>280</v>
      </c>
      <c r="C8493" s="46">
        <v>3481</v>
      </c>
      <c r="D8493" s="69" t="s">
        <v>29417</v>
      </c>
      <c r="E8493" s="51"/>
      <c r="F8493" s="114" t="str">
        <f>IF(INDEX(I.Facility.P2aIDNumber,3481)="","",INDEX(I.Facility.P2aIDNumber,3481))</f>
        <v/>
      </c>
      <c r="G8493" s="51"/>
      <c r="H8493" s="46" t="str">
        <f>IF(AND(I.Developer.P2a=TRUE,I.Facility.P2aFacilityCount&gt;=3481,F8493=""),"Incomplete","Complete")</f>
        <v>Complete</v>
      </c>
      <c r="I8493" s="48" t="s">
        <v>12858</v>
      </c>
    </row>
    <row r="8494" spans="2:9" ht="15" customHeight="1" x14ac:dyDescent="0.25">
      <c r="B8494" s="55" t="s">
        <v>280</v>
      </c>
      <c r="C8494" s="46">
        <v>3482</v>
      </c>
      <c r="D8494" s="69" t="s">
        <v>29417</v>
      </c>
      <c r="E8494" s="51"/>
      <c r="F8494" s="114" t="str">
        <f>IF(INDEX(I.Facility.P2aIDNumber,3482)="","",INDEX(I.Facility.P2aIDNumber,3482))</f>
        <v/>
      </c>
      <c r="G8494" s="51"/>
      <c r="H8494" s="46" t="str">
        <f>IF(AND(I.Developer.P2a=TRUE,I.Facility.P2aFacilityCount&gt;=3482,F8494=""),"Incomplete","Complete")</f>
        <v>Complete</v>
      </c>
      <c r="I8494" s="48" t="s">
        <v>12859</v>
      </c>
    </row>
    <row r="8495" spans="2:9" ht="15" customHeight="1" x14ac:dyDescent="0.25">
      <c r="B8495" s="55" t="s">
        <v>280</v>
      </c>
      <c r="C8495" s="46">
        <v>3483</v>
      </c>
      <c r="D8495" s="69" t="s">
        <v>29417</v>
      </c>
      <c r="E8495" s="51"/>
      <c r="F8495" s="114" t="str">
        <f>IF(INDEX(I.Facility.P2aIDNumber,3483)="","",INDEX(I.Facility.P2aIDNumber,3483))</f>
        <v/>
      </c>
      <c r="G8495" s="51"/>
      <c r="H8495" s="46" t="str">
        <f>IF(AND(I.Developer.P2a=TRUE,I.Facility.P2aFacilityCount&gt;=3483,F8495=""),"Incomplete","Complete")</f>
        <v>Complete</v>
      </c>
      <c r="I8495" s="48" t="s">
        <v>12860</v>
      </c>
    </row>
    <row r="8496" spans="2:9" ht="15" customHeight="1" x14ac:dyDescent="0.25">
      <c r="B8496" s="55" t="s">
        <v>280</v>
      </c>
      <c r="C8496" s="46">
        <v>3484</v>
      </c>
      <c r="D8496" s="69" t="s">
        <v>29417</v>
      </c>
      <c r="E8496" s="51"/>
      <c r="F8496" s="114" t="str">
        <f>IF(INDEX(I.Facility.P2aIDNumber,3484)="","",INDEX(I.Facility.P2aIDNumber,3484))</f>
        <v/>
      </c>
      <c r="G8496" s="51"/>
      <c r="H8496" s="46" t="str">
        <f>IF(AND(I.Developer.P2a=TRUE,I.Facility.P2aFacilityCount&gt;=3484,F8496=""),"Incomplete","Complete")</f>
        <v>Complete</v>
      </c>
      <c r="I8496" s="48" t="s">
        <v>12861</v>
      </c>
    </row>
    <row r="8497" spans="2:9" ht="15" customHeight="1" x14ac:dyDescent="0.25">
      <c r="B8497" s="55" t="s">
        <v>280</v>
      </c>
      <c r="C8497" s="46">
        <v>3485</v>
      </c>
      <c r="D8497" s="69" t="s">
        <v>29417</v>
      </c>
      <c r="E8497" s="51"/>
      <c r="F8497" s="114" t="str">
        <f>IF(INDEX(I.Facility.P2aIDNumber,3485)="","",INDEX(I.Facility.P2aIDNumber,3485))</f>
        <v/>
      </c>
      <c r="G8497" s="51"/>
      <c r="H8497" s="46" t="str">
        <f>IF(AND(I.Developer.P2a=TRUE,I.Facility.P2aFacilityCount&gt;=3485,F8497=""),"Incomplete","Complete")</f>
        <v>Complete</v>
      </c>
      <c r="I8497" s="48" t="s">
        <v>12862</v>
      </c>
    </row>
    <row r="8498" spans="2:9" ht="15" customHeight="1" x14ac:dyDescent="0.25">
      <c r="B8498" s="55" t="s">
        <v>280</v>
      </c>
      <c r="C8498" s="46">
        <v>3486</v>
      </c>
      <c r="D8498" s="69" t="s">
        <v>29417</v>
      </c>
      <c r="E8498" s="51"/>
      <c r="F8498" s="114" t="str">
        <f>IF(INDEX(I.Facility.P2aIDNumber,3486)="","",INDEX(I.Facility.P2aIDNumber,3486))</f>
        <v/>
      </c>
      <c r="G8498" s="51"/>
      <c r="H8498" s="46" t="str">
        <f>IF(AND(I.Developer.P2a=TRUE,I.Facility.P2aFacilityCount&gt;=3486,F8498=""),"Incomplete","Complete")</f>
        <v>Complete</v>
      </c>
      <c r="I8498" s="48" t="s">
        <v>12863</v>
      </c>
    </row>
    <row r="8499" spans="2:9" ht="15" customHeight="1" x14ac:dyDescent="0.25">
      <c r="B8499" s="55" t="s">
        <v>280</v>
      </c>
      <c r="C8499" s="46">
        <v>3487</v>
      </c>
      <c r="D8499" s="69" t="s">
        <v>29417</v>
      </c>
      <c r="E8499" s="51"/>
      <c r="F8499" s="114" t="str">
        <f>IF(INDEX(I.Facility.P2aIDNumber,3487)="","",INDEX(I.Facility.P2aIDNumber,3487))</f>
        <v/>
      </c>
      <c r="G8499" s="51"/>
      <c r="H8499" s="46" t="str">
        <f>IF(AND(I.Developer.P2a=TRUE,I.Facility.P2aFacilityCount&gt;=3487,F8499=""),"Incomplete","Complete")</f>
        <v>Complete</v>
      </c>
      <c r="I8499" s="48" t="s">
        <v>12864</v>
      </c>
    </row>
    <row r="8500" spans="2:9" ht="15" customHeight="1" x14ac:dyDescent="0.25">
      <c r="B8500" s="55" t="s">
        <v>280</v>
      </c>
      <c r="C8500" s="46">
        <v>3488</v>
      </c>
      <c r="D8500" s="69" t="s">
        <v>29417</v>
      </c>
      <c r="E8500" s="51"/>
      <c r="F8500" s="114" t="str">
        <f>IF(INDEX(I.Facility.P2aIDNumber,3488)="","",INDEX(I.Facility.P2aIDNumber,3488))</f>
        <v/>
      </c>
      <c r="G8500" s="51"/>
      <c r="H8500" s="46" t="str">
        <f>IF(AND(I.Developer.P2a=TRUE,I.Facility.P2aFacilityCount&gt;=3488,F8500=""),"Incomplete","Complete")</f>
        <v>Complete</v>
      </c>
      <c r="I8500" s="48" t="s">
        <v>12865</v>
      </c>
    </row>
    <row r="8501" spans="2:9" ht="15" customHeight="1" x14ac:dyDescent="0.25">
      <c r="B8501" s="55" t="s">
        <v>280</v>
      </c>
      <c r="C8501" s="46">
        <v>3489</v>
      </c>
      <c r="D8501" s="69" t="s">
        <v>29417</v>
      </c>
      <c r="E8501" s="51"/>
      <c r="F8501" s="114" t="str">
        <f>IF(INDEX(I.Facility.P2aIDNumber,3489)="","",INDEX(I.Facility.P2aIDNumber,3489))</f>
        <v/>
      </c>
      <c r="G8501" s="51"/>
      <c r="H8501" s="46" t="str">
        <f>IF(AND(I.Developer.P2a=TRUE,I.Facility.P2aFacilityCount&gt;=3489,F8501=""),"Incomplete","Complete")</f>
        <v>Complete</v>
      </c>
      <c r="I8501" s="48" t="s">
        <v>12866</v>
      </c>
    </row>
    <row r="8502" spans="2:9" ht="15" customHeight="1" x14ac:dyDescent="0.25">
      <c r="B8502" s="55" t="s">
        <v>280</v>
      </c>
      <c r="C8502" s="46">
        <v>3490</v>
      </c>
      <c r="D8502" s="69" t="s">
        <v>29417</v>
      </c>
      <c r="E8502" s="51"/>
      <c r="F8502" s="114" t="str">
        <f>IF(INDEX(I.Facility.P2aIDNumber,3490)="","",INDEX(I.Facility.P2aIDNumber,3490))</f>
        <v/>
      </c>
      <c r="G8502" s="51"/>
      <c r="H8502" s="46" t="str">
        <f>IF(AND(I.Developer.P2a=TRUE,I.Facility.P2aFacilityCount&gt;=3490,F8502=""),"Incomplete","Complete")</f>
        <v>Complete</v>
      </c>
      <c r="I8502" s="48" t="s">
        <v>12867</v>
      </c>
    </row>
    <row r="8503" spans="2:9" ht="15" customHeight="1" x14ac:dyDescent="0.25">
      <c r="B8503" s="55" t="s">
        <v>280</v>
      </c>
      <c r="C8503" s="46">
        <v>3491</v>
      </c>
      <c r="D8503" s="69" t="s">
        <v>29417</v>
      </c>
      <c r="E8503" s="51"/>
      <c r="F8503" s="114" t="str">
        <f>IF(INDEX(I.Facility.P2aIDNumber,3491)="","",INDEX(I.Facility.P2aIDNumber,3491))</f>
        <v/>
      </c>
      <c r="G8503" s="51"/>
      <c r="H8503" s="46" t="str">
        <f>IF(AND(I.Developer.P2a=TRUE,I.Facility.P2aFacilityCount&gt;=3491,F8503=""),"Incomplete","Complete")</f>
        <v>Complete</v>
      </c>
      <c r="I8503" s="48" t="s">
        <v>12868</v>
      </c>
    </row>
    <row r="8504" spans="2:9" ht="15" customHeight="1" x14ac:dyDescent="0.25">
      <c r="B8504" s="55" t="s">
        <v>280</v>
      </c>
      <c r="C8504" s="46">
        <v>3492</v>
      </c>
      <c r="D8504" s="69" t="s">
        <v>29417</v>
      </c>
      <c r="E8504" s="51"/>
      <c r="F8504" s="114" t="str">
        <f>IF(INDEX(I.Facility.P2aIDNumber,3492)="","",INDEX(I.Facility.P2aIDNumber,3492))</f>
        <v/>
      </c>
      <c r="G8504" s="51"/>
      <c r="H8504" s="46" t="str">
        <f>IF(AND(I.Developer.P2a=TRUE,I.Facility.P2aFacilityCount&gt;=3492,F8504=""),"Incomplete","Complete")</f>
        <v>Complete</v>
      </c>
      <c r="I8504" s="48" t="s">
        <v>12869</v>
      </c>
    </row>
    <row r="8505" spans="2:9" ht="15" customHeight="1" x14ac:dyDescent="0.25">
      <c r="B8505" s="55" t="s">
        <v>280</v>
      </c>
      <c r="C8505" s="46">
        <v>3493</v>
      </c>
      <c r="D8505" s="69" t="s">
        <v>29417</v>
      </c>
      <c r="E8505" s="51"/>
      <c r="F8505" s="114" t="str">
        <f>IF(INDEX(I.Facility.P2aIDNumber,3493)="","",INDEX(I.Facility.P2aIDNumber,3493))</f>
        <v/>
      </c>
      <c r="G8505" s="51"/>
      <c r="H8505" s="46" t="str">
        <f>IF(AND(I.Developer.P2a=TRUE,I.Facility.P2aFacilityCount&gt;=3493,F8505=""),"Incomplete","Complete")</f>
        <v>Complete</v>
      </c>
      <c r="I8505" s="48" t="s">
        <v>12870</v>
      </c>
    </row>
    <row r="8506" spans="2:9" ht="15" customHeight="1" x14ac:dyDescent="0.25">
      <c r="B8506" s="55" t="s">
        <v>280</v>
      </c>
      <c r="C8506" s="46">
        <v>3494</v>
      </c>
      <c r="D8506" s="69" t="s">
        <v>29417</v>
      </c>
      <c r="E8506" s="51"/>
      <c r="F8506" s="114" t="str">
        <f>IF(INDEX(I.Facility.P2aIDNumber,3494)="","",INDEX(I.Facility.P2aIDNumber,3494))</f>
        <v/>
      </c>
      <c r="G8506" s="51"/>
      <c r="H8506" s="46" t="str">
        <f>IF(AND(I.Developer.P2a=TRUE,I.Facility.P2aFacilityCount&gt;=3494,F8506=""),"Incomplete","Complete")</f>
        <v>Complete</v>
      </c>
      <c r="I8506" s="48" t="s">
        <v>12871</v>
      </c>
    </row>
    <row r="8507" spans="2:9" ht="15" customHeight="1" x14ac:dyDescent="0.25">
      <c r="B8507" s="55" t="s">
        <v>280</v>
      </c>
      <c r="C8507" s="46">
        <v>3495</v>
      </c>
      <c r="D8507" s="69" t="s">
        <v>29417</v>
      </c>
      <c r="E8507" s="51"/>
      <c r="F8507" s="114" t="str">
        <f>IF(INDEX(I.Facility.P2aIDNumber,3495)="","",INDEX(I.Facility.P2aIDNumber,3495))</f>
        <v/>
      </c>
      <c r="G8507" s="51"/>
      <c r="H8507" s="46" t="str">
        <f>IF(AND(I.Developer.P2a=TRUE,I.Facility.P2aFacilityCount&gt;=3495,F8507=""),"Incomplete","Complete")</f>
        <v>Complete</v>
      </c>
      <c r="I8507" s="48" t="s">
        <v>12872</v>
      </c>
    </row>
    <row r="8508" spans="2:9" ht="15" customHeight="1" x14ac:dyDescent="0.25">
      <c r="B8508" s="55" t="s">
        <v>280</v>
      </c>
      <c r="C8508" s="46">
        <v>3496</v>
      </c>
      <c r="D8508" s="69" t="s">
        <v>29417</v>
      </c>
      <c r="E8508" s="51"/>
      <c r="F8508" s="114" t="str">
        <f>IF(INDEX(I.Facility.P2aIDNumber,3496)="","",INDEX(I.Facility.P2aIDNumber,3496))</f>
        <v/>
      </c>
      <c r="G8508" s="51"/>
      <c r="H8508" s="46" t="str">
        <f>IF(AND(I.Developer.P2a=TRUE,I.Facility.P2aFacilityCount&gt;=3496,F8508=""),"Incomplete","Complete")</f>
        <v>Complete</v>
      </c>
      <c r="I8508" s="48" t="s">
        <v>12873</v>
      </c>
    </row>
    <row r="8509" spans="2:9" ht="15" customHeight="1" x14ac:dyDescent="0.25">
      <c r="B8509" s="55" t="s">
        <v>280</v>
      </c>
      <c r="C8509" s="46">
        <v>3497</v>
      </c>
      <c r="D8509" s="69" t="s">
        <v>29417</v>
      </c>
      <c r="E8509" s="51"/>
      <c r="F8509" s="114" t="str">
        <f>IF(INDEX(I.Facility.P2aIDNumber,3497)="","",INDEX(I.Facility.P2aIDNumber,3497))</f>
        <v/>
      </c>
      <c r="G8509" s="51"/>
      <c r="H8509" s="46" t="str">
        <f>IF(AND(I.Developer.P2a=TRUE,I.Facility.P2aFacilityCount&gt;=3497,F8509=""),"Incomplete","Complete")</f>
        <v>Complete</v>
      </c>
      <c r="I8509" s="48" t="s">
        <v>12874</v>
      </c>
    </row>
    <row r="8510" spans="2:9" ht="15" customHeight="1" x14ac:dyDescent="0.25">
      <c r="B8510" s="55" t="s">
        <v>280</v>
      </c>
      <c r="C8510" s="46">
        <v>3498</v>
      </c>
      <c r="D8510" s="69" t="s">
        <v>29417</v>
      </c>
      <c r="E8510" s="51"/>
      <c r="F8510" s="114" t="str">
        <f>IF(INDEX(I.Facility.P2aIDNumber,3498)="","",INDEX(I.Facility.P2aIDNumber,3498))</f>
        <v/>
      </c>
      <c r="G8510" s="51"/>
      <c r="H8510" s="46" t="str">
        <f>IF(AND(I.Developer.P2a=TRUE,I.Facility.P2aFacilityCount&gt;=3498,F8510=""),"Incomplete","Complete")</f>
        <v>Complete</v>
      </c>
      <c r="I8510" s="48" t="s">
        <v>12875</v>
      </c>
    </row>
    <row r="8511" spans="2:9" ht="15" customHeight="1" x14ac:dyDescent="0.25">
      <c r="B8511" s="55" t="s">
        <v>280</v>
      </c>
      <c r="C8511" s="46">
        <v>3499</v>
      </c>
      <c r="D8511" s="69" t="s">
        <v>29417</v>
      </c>
      <c r="E8511" s="51"/>
      <c r="F8511" s="114" t="str">
        <f>IF(INDEX(I.Facility.P2aIDNumber,3499)="","",INDEX(I.Facility.P2aIDNumber,3499))</f>
        <v/>
      </c>
      <c r="G8511" s="51"/>
      <c r="H8511" s="46" t="str">
        <f>IF(AND(I.Developer.P2a=TRUE,I.Facility.P2aFacilityCount&gt;=3499,F8511=""),"Incomplete","Complete")</f>
        <v>Complete</v>
      </c>
      <c r="I8511" s="48" t="s">
        <v>12876</v>
      </c>
    </row>
    <row r="8512" spans="2:9" ht="15" customHeight="1" x14ac:dyDescent="0.25">
      <c r="B8512" s="55" t="s">
        <v>280</v>
      </c>
      <c r="C8512" s="46">
        <v>3500</v>
      </c>
      <c r="D8512" s="69" t="s">
        <v>29417</v>
      </c>
      <c r="E8512" s="51"/>
      <c r="F8512" s="114" t="str">
        <f>IF(INDEX(I.Facility.P2aIDNumber,3500)="","",INDEX(I.Facility.P2aIDNumber,3500))</f>
        <v/>
      </c>
      <c r="G8512" s="51"/>
      <c r="H8512" s="46" t="str">
        <f>IF(AND(I.Developer.P2a=TRUE,I.Facility.P2aFacilityCount&gt;=3500,F8512=""),"Incomplete","Complete")</f>
        <v>Complete</v>
      </c>
      <c r="I8512" s="48" t="s">
        <v>12877</v>
      </c>
    </row>
    <row r="8513" spans="2:9" ht="15" customHeight="1" x14ac:dyDescent="0.25">
      <c r="B8513" s="55" t="s">
        <v>280</v>
      </c>
      <c r="C8513" s="46">
        <v>3501</v>
      </c>
      <c r="D8513" s="69" t="s">
        <v>29417</v>
      </c>
      <c r="E8513" s="51"/>
      <c r="F8513" s="114" t="str">
        <f>IF(INDEX(I.Facility.P2aIDNumber,3501)="","",INDEX(I.Facility.P2aIDNumber,3501))</f>
        <v/>
      </c>
      <c r="G8513" s="51"/>
      <c r="H8513" s="46" t="str">
        <f>IF(AND(I.Developer.P2a=TRUE,I.Facility.P2aFacilityCount&gt;=3501,F8513=""),"Incomplete","Complete")</f>
        <v>Complete</v>
      </c>
      <c r="I8513" s="48" t="s">
        <v>12878</v>
      </c>
    </row>
    <row r="8514" spans="2:9" ht="15" customHeight="1" x14ac:dyDescent="0.25">
      <c r="B8514" s="55" t="s">
        <v>280</v>
      </c>
      <c r="C8514" s="46">
        <v>3502</v>
      </c>
      <c r="D8514" s="69" t="s">
        <v>29417</v>
      </c>
      <c r="E8514" s="51"/>
      <c r="F8514" s="114" t="str">
        <f>IF(INDEX(I.Facility.P2aIDNumber,3502)="","",INDEX(I.Facility.P2aIDNumber,3502))</f>
        <v/>
      </c>
      <c r="G8514" s="51"/>
      <c r="H8514" s="46" t="str">
        <f>IF(AND(I.Developer.P2a=TRUE,I.Facility.P2aFacilityCount&gt;=3502,F8514=""),"Incomplete","Complete")</f>
        <v>Complete</v>
      </c>
      <c r="I8514" s="48" t="s">
        <v>12879</v>
      </c>
    </row>
    <row r="8515" spans="2:9" ht="15" customHeight="1" x14ac:dyDescent="0.25">
      <c r="B8515" s="55" t="s">
        <v>280</v>
      </c>
      <c r="C8515" s="46">
        <v>3503</v>
      </c>
      <c r="D8515" s="69" t="s">
        <v>29417</v>
      </c>
      <c r="E8515" s="51"/>
      <c r="F8515" s="114" t="str">
        <f>IF(INDEX(I.Facility.P2aIDNumber,3503)="","",INDEX(I.Facility.P2aIDNumber,3503))</f>
        <v/>
      </c>
      <c r="G8515" s="51"/>
      <c r="H8515" s="46" t="str">
        <f>IF(AND(I.Developer.P2a=TRUE,I.Facility.P2aFacilityCount&gt;=3503,F8515=""),"Incomplete","Complete")</f>
        <v>Complete</v>
      </c>
      <c r="I8515" s="48" t="s">
        <v>12880</v>
      </c>
    </row>
    <row r="8516" spans="2:9" ht="15" customHeight="1" x14ac:dyDescent="0.25">
      <c r="B8516" s="55" t="s">
        <v>280</v>
      </c>
      <c r="C8516" s="46">
        <v>3504</v>
      </c>
      <c r="D8516" s="69" t="s">
        <v>29417</v>
      </c>
      <c r="E8516" s="51"/>
      <c r="F8516" s="114" t="str">
        <f>IF(INDEX(I.Facility.P2aIDNumber,3504)="","",INDEX(I.Facility.P2aIDNumber,3504))</f>
        <v/>
      </c>
      <c r="G8516" s="51"/>
      <c r="H8516" s="46" t="str">
        <f>IF(AND(I.Developer.P2a=TRUE,I.Facility.P2aFacilityCount&gt;=3504,F8516=""),"Incomplete","Complete")</f>
        <v>Complete</v>
      </c>
      <c r="I8516" s="48" t="s">
        <v>12881</v>
      </c>
    </row>
    <row r="8517" spans="2:9" ht="15" customHeight="1" x14ac:dyDescent="0.25">
      <c r="B8517" s="55" t="s">
        <v>280</v>
      </c>
      <c r="C8517" s="46">
        <v>3505</v>
      </c>
      <c r="D8517" s="69" t="s">
        <v>29417</v>
      </c>
      <c r="E8517" s="51"/>
      <c r="F8517" s="114" t="str">
        <f>IF(INDEX(I.Facility.P2aIDNumber,3505)="","",INDEX(I.Facility.P2aIDNumber,3505))</f>
        <v/>
      </c>
      <c r="G8517" s="51"/>
      <c r="H8517" s="46" t="str">
        <f>IF(AND(I.Developer.P2a=TRUE,I.Facility.P2aFacilityCount&gt;=3505,F8517=""),"Incomplete","Complete")</f>
        <v>Complete</v>
      </c>
      <c r="I8517" s="48" t="s">
        <v>12882</v>
      </c>
    </row>
    <row r="8518" spans="2:9" ht="15" customHeight="1" x14ac:dyDescent="0.25">
      <c r="B8518" s="55" t="s">
        <v>280</v>
      </c>
      <c r="C8518" s="46">
        <v>3506</v>
      </c>
      <c r="D8518" s="69" t="s">
        <v>29417</v>
      </c>
      <c r="E8518" s="51"/>
      <c r="F8518" s="114" t="str">
        <f>IF(INDEX(I.Facility.P2aIDNumber,3506)="","",INDEX(I.Facility.P2aIDNumber,3506))</f>
        <v/>
      </c>
      <c r="G8518" s="51"/>
      <c r="H8518" s="46" t="str">
        <f>IF(AND(I.Developer.P2a=TRUE,I.Facility.P2aFacilityCount&gt;=3506,F8518=""),"Incomplete","Complete")</f>
        <v>Complete</v>
      </c>
      <c r="I8518" s="48" t="s">
        <v>12883</v>
      </c>
    </row>
    <row r="8519" spans="2:9" ht="15" customHeight="1" x14ac:dyDescent="0.25">
      <c r="B8519" s="55" t="s">
        <v>280</v>
      </c>
      <c r="C8519" s="46">
        <v>3507</v>
      </c>
      <c r="D8519" s="69" t="s">
        <v>29417</v>
      </c>
      <c r="E8519" s="51"/>
      <c r="F8519" s="114" t="str">
        <f>IF(INDEX(I.Facility.P2aIDNumber,3507)="","",INDEX(I.Facility.P2aIDNumber,3507))</f>
        <v/>
      </c>
      <c r="G8519" s="51"/>
      <c r="H8519" s="46" t="str">
        <f>IF(AND(I.Developer.P2a=TRUE,I.Facility.P2aFacilityCount&gt;=3507,F8519=""),"Incomplete","Complete")</f>
        <v>Complete</v>
      </c>
      <c r="I8519" s="48" t="s">
        <v>12884</v>
      </c>
    </row>
    <row r="8520" spans="2:9" ht="15" customHeight="1" x14ac:dyDescent="0.25">
      <c r="B8520" s="55" t="s">
        <v>280</v>
      </c>
      <c r="C8520" s="46">
        <v>3508</v>
      </c>
      <c r="D8520" s="69" t="s">
        <v>29417</v>
      </c>
      <c r="E8520" s="51"/>
      <c r="F8520" s="114" t="str">
        <f>IF(INDEX(I.Facility.P2aIDNumber,3508)="","",INDEX(I.Facility.P2aIDNumber,3508))</f>
        <v/>
      </c>
      <c r="G8520" s="51"/>
      <c r="H8520" s="46" t="str">
        <f>IF(AND(I.Developer.P2a=TRUE,I.Facility.P2aFacilityCount&gt;=3508,F8520=""),"Incomplete","Complete")</f>
        <v>Complete</v>
      </c>
      <c r="I8520" s="48" t="s">
        <v>12885</v>
      </c>
    </row>
    <row r="8521" spans="2:9" ht="15" customHeight="1" x14ac:dyDescent="0.25">
      <c r="B8521" s="55" t="s">
        <v>280</v>
      </c>
      <c r="C8521" s="46">
        <v>3509</v>
      </c>
      <c r="D8521" s="69" t="s">
        <v>29417</v>
      </c>
      <c r="E8521" s="51"/>
      <c r="F8521" s="114" t="str">
        <f>IF(INDEX(I.Facility.P2aIDNumber,3509)="","",INDEX(I.Facility.P2aIDNumber,3509))</f>
        <v/>
      </c>
      <c r="G8521" s="51"/>
      <c r="H8521" s="46" t="str">
        <f>IF(AND(I.Developer.P2a=TRUE,I.Facility.P2aFacilityCount&gt;=3509,F8521=""),"Incomplete","Complete")</f>
        <v>Complete</v>
      </c>
      <c r="I8521" s="48" t="s">
        <v>12886</v>
      </c>
    </row>
    <row r="8522" spans="2:9" ht="15" customHeight="1" x14ac:dyDescent="0.25">
      <c r="B8522" s="55" t="s">
        <v>280</v>
      </c>
      <c r="C8522" s="46">
        <v>3510</v>
      </c>
      <c r="D8522" s="69" t="s">
        <v>29417</v>
      </c>
      <c r="E8522" s="51"/>
      <c r="F8522" s="114" t="str">
        <f>IF(INDEX(I.Facility.P2aIDNumber,3510)="","",INDEX(I.Facility.P2aIDNumber,3510))</f>
        <v/>
      </c>
      <c r="G8522" s="51"/>
      <c r="H8522" s="46" t="str">
        <f>IF(AND(I.Developer.P2a=TRUE,I.Facility.P2aFacilityCount&gt;=3510,F8522=""),"Incomplete","Complete")</f>
        <v>Complete</v>
      </c>
      <c r="I8522" s="48" t="s">
        <v>12887</v>
      </c>
    </row>
    <row r="8523" spans="2:9" ht="15" customHeight="1" x14ac:dyDescent="0.25">
      <c r="B8523" s="55" t="s">
        <v>280</v>
      </c>
      <c r="C8523" s="46">
        <v>3511</v>
      </c>
      <c r="D8523" s="69" t="s">
        <v>29417</v>
      </c>
      <c r="E8523" s="51"/>
      <c r="F8523" s="114" t="str">
        <f>IF(INDEX(I.Facility.P2aIDNumber,3511)="","",INDEX(I.Facility.P2aIDNumber,3511))</f>
        <v/>
      </c>
      <c r="G8523" s="51"/>
      <c r="H8523" s="46" t="str">
        <f>IF(AND(I.Developer.P2a=TRUE,I.Facility.P2aFacilityCount&gt;=3511,F8523=""),"Incomplete","Complete")</f>
        <v>Complete</v>
      </c>
      <c r="I8523" s="48" t="s">
        <v>12888</v>
      </c>
    </row>
    <row r="8524" spans="2:9" ht="15" customHeight="1" x14ac:dyDescent="0.25">
      <c r="B8524" s="55" t="s">
        <v>280</v>
      </c>
      <c r="C8524" s="46">
        <v>3512</v>
      </c>
      <c r="D8524" s="69" t="s">
        <v>29417</v>
      </c>
      <c r="E8524" s="51"/>
      <c r="F8524" s="114" t="str">
        <f>IF(INDEX(I.Facility.P2aIDNumber,3512)="","",INDEX(I.Facility.P2aIDNumber,3512))</f>
        <v/>
      </c>
      <c r="G8524" s="51"/>
      <c r="H8524" s="46" t="str">
        <f>IF(AND(I.Developer.P2a=TRUE,I.Facility.P2aFacilityCount&gt;=3512,F8524=""),"Incomplete","Complete")</f>
        <v>Complete</v>
      </c>
      <c r="I8524" s="48" t="s">
        <v>12889</v>
      </c>
    </row>
    <row r="8525" spans="2:9" ht="15" customHeight="1" x14ac:dyDescent="0.25">
      <c r="B8525" s="55" t="s">
        <v>280</v>
      </c>
      <c r="C8525" s="46">
        <v>3513</v>
      </c>
      <c r="D8525" s="69" t="s">
        <v>29417</v>
      </c>
      <c r="E8525" s="51"/>
      <c r="F8525" s="114" t="str">
        <f>IF(INDEX(I.Facility.P2aIDNumber,3513)="","",INDEX(I.Facility.P2aIDNumber,3513))</f>
        <v/>
      </c>
      <c r="G8525" s="51"/>
      <c r="H8525" s="46" t="str">
        <f>IF(AND(I.Developer.P2a=TRUE,I.Facility.P2aFacilityCount&gt;=3513,F8525=""),"Incomplete","Complete")</f>
        <v>Complete</v>
      </c>
      <c r="I8525" s="48" t="s">
        <v>12890</v>
      </c>
    </row>
    <row r="8526" spans="2:9" ht="15" customHeight="1" x14ac:dyDescent="0.25">
      <c r="B8526" s="55" t="s">
        <v>280</v>
      </c>
      <c r="C8526" s="46">
        <v>3514</v>
      </c>
      <c r="D8526" s="69" t="s">
        <v>29417</v>
      </c>
      <c r="E8526" s="51"/>
      <c r="F8526" s="114" t="str">
        <f>IF(INDEX(I.Facility.P2aIDNumber,3514)="","",INDEX(I.Facility.P2aIDNumber,3514))</f>
        <v/>
      </c>
      <c r="G8526" s="51"/>
      <c r="H8526" s="46" t="str">
        <f>IF(AND(I.Developer.P2a=TRUE,I.Facility.P2aFacilityCount&gt;=3514,F8526=""),"Incomplete","Complete")</f>
        <v>Complete</v>
      </c>
      <c r="I8526" s="48" t="s">
        <v>12891</v>
      </c>
    </row>
    <row r="8527" spans="2:9" ht="15" customHeight="1" x14ac:dyDescent="0.25">
      <c r="B8527" s="55" t="s">
        <v>280</v>
      </c>
      <c r="C8527" s="46">
        <v>3515</v>
      </c>
      <c r="D8527" s="69" t="s">
        <v>29417</v>
      </c>
      <c r="E8527" s="51"/>
      <c r="F8527" s="114" t="str">
        <f>IF(INDEX(I.Facility.P2aIDNumber,3515)="","",INDEX(I.Facility.P2aIDNumber,3515))</f>
        <v/>
      </c>
      <c r="G8527" s="51"/>
      <c r="H8527" s="46" t="str">
        <f>IF(AND(I.Developer.P2a=TRUE,I.Facility.P2aFacilityCount&gt;=3515,F8527=""),"Incomplete","Complete")</f>
        <v>Complete</v>
      </c>
      <c r="I8527" s="48" t="s">
        <v>12892</v>
      </c>
    </row>
    <row r="8528" spans="2:9" ht="15" customHeight="1" x14ac:dyDescent="0.25">
      <c r="B8528" s="55" t="s">
        <v>280</v>
      </c>
      <c r="C8528" s="46">
        <v>3516</v>
      </c>
      <c r="D8528" s="69" t="s">
        <v>29417</v>
      </c>
      <c r="E8528" s="51"/>
      <c r="F8528" s="114" t="str">
        <f>IF(INDEX(I.Facility.P2aIDNumber,3516)="","",INDEX(I.Facility.P2aIDNumber,3516))</f>
        <v/>
      </c>
      <c r="G8528" s="51"/>
      <c r="H8528" s="46" t="str">
        <f>IF(AND(I.Developer.P2a=TRUE,I.Facility.P2aFacilityCount&gt;=3516,F8528=""),"Incomplete","Complete")</f>
        <v>Complete</v>
      </c>
      <c r="I8528" s="48" t="s">
        <v>12893</v>
      </c>
    </row>
    <row r="8529" spans="2:9" ht="15" customHeight="1" x14ac:dyDescent="0.25">
      <c r="B8529" s="55" t="s">
        <v>280</v>
      </c>
      <c r="C8529" s="46">
        <v>3517</v>
      </c>
      <c r="D8529" s="69" t="s">
        <v>29417</v>
      </c>
      <c r="E8529" s="51"/>
      <c r="F8529" s="114" t="str">
        <f>IF(INDEX(I.Facility.P2aIDNumber,3517)="","",INDEX(I.Facility.P2aIDNumber,3517))</f>
        <v/>
      </c>
      <c r="G8529" s="51"/>
      <c r="H8529" s="46" t="str">
        <f>IF(AND(I.Developer.P2a=TRUE,I.Facility.P2aFacilityCount&gt;=3517,F8529=""),"Incomplete","Complete")</f>
        <v>Complete</v>
      </c>
      <c r="I8529" s="48" t="s">
        <v>12894</v>
      </c>
    </row>
    <row r="8530" spans="2:9" ht="15" customHeight="1" x14ac:dyDescent="0.25">
      <c r="B8530" s="55" t="s">
        <v>280</v>
      </c>
      <c r="C8530" s="46">
        <v>3518</v>
      </c>
      <c r="D8530" s="69" t="s">
        <v>29417</v>
      </c>
      <c r="E8530" s="51"/>
      <c r="F8530" s="114" t="str">
        <f>IF(INDEX(I.Facility.P2aIDNumber,3518)="","",INDEX(I.Facility.P2aIDNumber,3518))</f>
        <v/>
      </c>
      <c r="G8530" s="51"/>
      <c r="H8530" s="46" t="str">
        <f>IF(AND(I.Developer.P2a=TRUE,I.Facility.P2aFacilityCount&gt;=3518,F8530=""),"Incomplete","Complete")</f>
        <v>Complete</v>
      </c>
      <c r="I8530" s="48" t="s">
        <v>12895</v>
      </c>
    </row>
    <row r="8531" spans="2:9" ht="15" customHeight="1" x14ac:dyDescent="0.25">
      <c r="B8531" s="55" t="s">
        <v>280</v>
      </c>
      <c r="C8531" s="46">
        <v>3519</v>
      </c>
      <c r="D8531" s="69" t="s">
        <v>29417</v>
      </c>
      <c r="E8531" s="51"/>
      <c r="F8531" s="114" t="str">
        <f>IF(INDEX(I.Facility.P2aIDNumber,3519)="","",INDEX(I.Facility.P2aIDNumber,3519))</f>
        <v/>
      </c>
      <c r="G8531" s="51"/>
      <c r="H8531" s="46" t="str">
        <f>IF(AND(I.Developer.P2a=TRUE,I.Facility.P2aFacilityCount&gt;=3519,F8531=""),"Incomplete","Complete")</f>
        <v>Complete</v>
      </c>
      <c r="I8531" s="48" t="s">
        <v>12896</v>
      </c>
    </row>
    <row r="8532" spans="2:9" ht="15" customHeight="1" x14ac:dyDescent="0.25">
      <c r="B8532" s="55" t="s">
        <v>280</v>
      </c>
      <c r="C8532" s="46">
        <v>3520</v>
      </c>
      <c r="D8532" s="69" t="s">
        <v>29417</v>
      </c>
      <c r="E8532" s="51"/>
      <c r="F8532" s="114" t="str">
        <f>IF(INDEX(I.Facility.P2aIDNumber,3520)="","",INDEX(I.Facility.P2aIDNumber,3520))</f>
        <v/>
      </c>
      <c r="G8532" s="51"/>
      <c r="H8532" s="46" t="str">
        <f>IF(AND(I.Developer.P2a=TRUE,I.Facility.P2aFacilityCount&gt;=3520,F8532=""),"Incomplete","Complete")</f>
        <v>Complete</v>
      </c>
      <c r="I8532" s="48" t="s">
        <v>12897</v>
      </c>
    </row>
    <row r="8533" spans="2:9" ht="15" customHeight="1" x14ac:dyDescent="0.25">
      <c r="B8533" s="55" t="s">
        <v>280</v>
      </c>
      <c r="C8533" s="46">
        <v>3521</v>
      </c>
      <c r="D8533" s="69" t="s">
        <v>29417</v>
      </c>
      <c r="E8533" s="51"/>
      <c r="F8533" s="114" t="str">
        <f>IF(INDEX(I.Facility.P2aIDNumber,3521)="","",INDEX(I.Facility.P2aIDNumber,3521))</f>
        <v/>
      </c>
      <c r="G8533" s="51"/>
      <c r="H8533" s="46" t="str">
        <f>IF(AND(I.Developer.P2a=TRUE,I.Facility.P2aFacilityCount&gt;=3521,F8533=""),"Incomplete","Complete")</f>
        <v>Complete</v>
      </c>
      <c r="I8533" s="48" t="s">
        <v>12898</v>
      </c>
    </row>
    <row r="8534" spans="2:9" ht="15" customHeight="1" x14ac:dyDescent="0.25">
      <c r="B8534" s="55" t="s">
        <v>280</v>
      </c>
      <c r="C8534" s="46">
        <v>3522</v>
      </c>
      <c r="D8534" s="69" t="s">
        <v>29417</v>
      </c>
      <c r="E8534" s="51"/>
      <c r="F8534" s="114" t="str">
        <f>IF(INDEX(I.Facility.P2aIDNumber,3522)="","",INDEX(I.Facility.P2aIDNumber,3522))</f>
        <v/>
      </c>
      <c r="G8534" s="51"/>
      <c r="H8534" s="46" t="str">
        <f>IF(AND(I.Developer.P2a=TRUE,I.Facility.P2aFacilityCount&gt;=3522,F8534=""),"Incomplete","Complete")</f>
        <v>Complete</v>
      </c>
      <c r="I8534" s="48" t="s">
        <v>12899</v>
      </c>
    </row>
    <row r="8535" spans="2:9" ht="15" customHeight="1" x14ac:dyDescent="0.25">
      <c r="B8535" s="55" t="s">
        <v>280</v>
      </c>
      <c r="C8535" s="46">
        <v>3523</v>
      </c>
      <c r="D8535" s="69" t="s">
        <v>29417</v>
      </c>
      <c r="E8535" s="51"/>
      <c r="F8535" s="114" t="str">
        <f>IF(INDEX(I.Facility.P2aIDNumber,3523)="","",INDEX(I.Facility.P2aIDNumber,3523))</f>
        <v/>
      </c>
      <c r="G8535" s="51"/>
      <c r="H8535" s="46" t="str">
        <f>IF(AND(I.Developer.P2a=TRUE,I.Facility.P2aFacilityCount&gt;=3523,F8535=""),"Incomplete","Complete")</f>
        <v>Complete</v>
      </c>
      <c r="I8535" s="48" t="s">
        <v>12900</v>
      </c>
    </row>
    <row r="8536" spans="2:9" ht="15" customHeight="1" x14ac:dyDescent="0.25">
      <c r="B8536" s="55" t="s">
        <v>280</v>
      </c>
      <c r="C8536" s="46">
        <v>3524</v>
      </c>
      <c r="D8536" s="69" t="s">
        <v>29417</v>
      </c>
      <c r="E8536" s="51"/>
      <c r="F8536" s="114" t="str">
        <f>IF(INDEX(I.Facility.P2aIDNumber,3524)="","",INDEX(I.Facility.P2aIDNumber,3524))</f>
        <v/>
      </c>
      <c r="G8536" s="51"/>
      <c r="H8536" s="46" t="str">
        <f>IF(AND(I.Developer.P2a=TRUE,I.Facility.P2aFacilityCount&gt;=3524,F8536=""),"Incomplete","Complete")</f>
        <v>Complete</v>
      </c>
      <c r="I8536" s="48" t="s">
        <v>12901</v>
      </c>
    </row>
    <row r="8537" spans="2:9" ht="15" customHeight="1" x14ac:dyDescent="0.25">
      <c r="B8537" s="55" t="s">
        <v>280</v>
      </c>
      <c r="C8537" s="46">
        <v>3525</v>
      </c>
      <c r="D8537" s="69" t="s">
        <v>29417</v>
      </c>
      <c r="E8537" s="51"/>
      <c r="F8537" s="114" t="str">
        <f>IF(INDEX(I.Facility.P2aIDNumber,3525)="","",INDEX(I.Facility.P2aIDNumber,3525))</f>
        <v/>
      </c>
      <c r="G8537" s="51"/>
      <c r="H8537" s="46" t="str">
        <f>IF(AND(I.Developer.P2a=TRUE,I.Facility.P2aFacilityCount&gt;=3525,F8537=""),"Incomplete","Complete")</f>
        <v>Complete</v>
      </c>
      <c r="I8537" s="48" t="s">
        <v>12902</v>
      </c>
    </row>
    <row r="8538" spans="2:9" ht="15" customHeight="1" x14ac:dyDescent="0.25">
      <c r="B8538" s="55" t="s">
        <v>280</v>
      </c>
      <c r="C8538" s="46">
        <v>3526</v>
      </c>
      <c r="D8538" s="69" t="s">
        <v>29417</v>
      </c>
      <c r="E8538" s="51"/>
      <c r="F8538" s="114" t="str">
        <f>IF(INDEX(I.Facility.P2aIDNumber,3526)="","",INDEX(I.Facility.P2aIDNumber,3526))</f>
        <v/>
      </c>
      <c r="G8538" s="51"/>
      <c r="H8538" s="46" t="str">
        <f>IF(AND(I.Developer.P2a=TRUE,I.Facility.P2aFacilityCount&gt;=3526,F8538=""),"Incomplete","Complete")</f>
        <v>Complete</v>
      </c>
      <c r="I8538" s="48" t="s">
        <v>12903</v>
      </c>
    </row>
    <row r="8539" spans="2:9" ht="15" customHeight="1" x14ac:dyDescent="0.25">
      <c r="B8539" s="55" t="s">
        <v>280</v>
      </c>
      <c r="C8539" s="46">
        <v>3527</v>
      </c>
      <c r="D8539" s="69" t="s">
        <v>29417</v>
      </c>
      <c r="E8539" s="51"/>
      <c r="F8539" s="114" t="str">
        <f>IF(INDEX(I.Facility.P2aIDNumber,3527)="","",INDEX(I.Facility.P2aIDNumber,3527))</f>
        <v/>
      </c>
      <c r="G8539" s="51"/>
      <c r="H8539" s="46" t="str">
        <f>IF(AND(I.Developer.P2a=TRUE,I.Facility.P2aFacilityCount&gt;=3527,F8539=""),"Incomplete","Complete")</f>
        <v>Complete</v>
      </c>
      <c r="I8539" s="48" t="s">
        <v>12904</v>
      </c>
    </row>
    <row r="8540" spans="2:9" ht="15" customHeight="1" x14ac:dyDescent="0.25">
      <c r="B8540" s="55" t="s">
        <v>280</v>
      </c>
      <c r="C8540" s="46">
        <v>3528</v>
      </c>
      <c r="D8540" s="69" t="s">
        <v>29417</v>
      </c>
      <c r="E8540" s="51"/>
      <c r="F8540" s="114" t="str">
        <f>IF(INDEX(I.Facility.P2aIDNumber,3528)="","",INDEX(I.Facility.P2aIDNumber,3528))</f>
        <v/>
      </c>
      <c r="G8540" s="51"/>
      <c r="H8540" s="46" t="str">
        <f>IF(AND(I.Developer.P2a=TRUE,I.Facility.P2aFacilityCount&gt;=3528,F8540=""),"Incomplete","Complete")</f>
        <v>Complete</v>
      </c>
      <c r="I8540" s="48" t="s">
        <v>12905</v>
      </c>
    </row>
    <row r="8541" spans="2:9" ht="15" customHeight="1" x14ac:dyDescent="0.25">
      <c r="B8541" s="55" t="s">
        <v>280</v>
      </c>
      <c r="C8541" s="46">
        <v>3529</v>
      </c>
      <c r="D8541" s="69" t="s">
        <v>29417</v>
      </c>
      <c r="E8541" s="51"/>
      <c r="F8541" s="114" t="str">
        <f>IF(INDEX(I.Facility.P2aIDNumber,3529)="","",INDEX(I.Facility.P2aIDNumber,3529))</f>
        <v/>
      </c>
      <c r="G8541" s="51"/>
      <c r="H8541" s="46" t="str">
        <f>IF(AND(I.Developer.P2a=TRUE,I.Facility.P2aFacilityCount&gt;=3529,F8541=""),"Incomplete","Complete")</f>
        <v>Complete</v>
      </c>
      <c r="I8541" s="48" t="s">
        <v>12906</v>
      </c>
    </row>
    <row r="8542" spans="2:9" ht="15" customHeight="1" x14ac:dyDescent="0.25">
      <c r="B8542" s="55" t="s">
        <v>280</v>
      </c>
      <c r="C8542" s="46">
        <v>3530</v>
      </c>
      <c r="D8542" s="69" t="s">
        <v>29417</v>
      </c>
      <c r="E8542" s="51"/>
      <c r="F8542" s="114" t="str">
        <f>IF(INDEX(I.Facility.P2aIDNumber,3530)="","",INDEX(I.Facility.P2aIDNumber,3530))</f>
        <v/>
      </c>
      <c r="G8542" s="51"/>
      <c r="H8542" s="46" t="str">
        <f>IF(AND(I.Developer.P2a=TRUE,I.Facility.P2aFacilityCount&gt;=3530,F8542=""),"Incomplete","Complete")</f>
        <v>Complete</v>
      </c>
      <c r="I8542" s="48" t="s">
        <v>12907</v>
      </c>
    </row>
    <row r="8543" spans="2:9" ht="15" customHeight="1" x14ac:dyDescent="0.25">
      <c r="B8543" s="55" t="s">
        <v>280</v>
      </c>
      <c r="C8543" s="46">
        <v>3531</v>
      </c>
      <c r="D8543" s="69" t="s">
        <v>29417</v>
      </c>
      <c r="E8543" s="51"/>
      <c r="F8543" s="114" t="str">
        <f>IF(INDEX(I.Facility.P2aIDNumber,3531)="","",INDEX(I.Facility.P2aIDNumber,3531))</f>
        <v/>
      </c>
      <c r="G8543" s="51"/>
      <c r="H8543" s="46" t="str">
        <f>IF(AND(I.Developer.P2a=TRUE,I.Facility.P2aFacilityCount&gt;=3531,F8543=""),"Incomplete","Complete")</f>
        <v>Complete</v>
      </c>
      <c r="I8543" s="48" t="s">
        <v>12908</v>
      </c>
    </row>
    <row r="8544" spans="2:9" ht="15" customHeight="1" x14ac:dyDescent="0.25">
      <c r="B8544" s="55" t="s">
        <v>280</v>
      </c>
      <c r="C8544" s="46">
        <v>3532</v>
      </c>
      <c r="D8544" s="69" t="s">
        <v>29417</v>
      </c>
      <c r="E8544" s="51"/>
      <c r="F8544" s="114" t="str">
        <f>IF(INDEX(I.Facility.P2aIDNumber,3532)="","",INDEX(I.Facility.P2aIDNumber,3532))</f>
        <v/>
      </c>
      <c r="G8544" s="51"/>
      <c r="H8544" s="46" t="str">
        <f>IF(AND(I.Developer.P2a=TRUE,I.Facility.P2aFacilityCount&gt;=3532,F8544=""),"Incomplete","Complete")</f>
        <v>Complete</v>
      </c>
      <c r="I8544" s="48" t="s">
        <v>12909</v>
      </c>
    </row>
    <row r="8545" spans="2:9" ht="15" customHeight="1" x14ac:dyDescent="0.25">
      <c r="B8545" s="55" t="s">
        <v>280</v>
      </c>
      <c r="C8545" s="46">
        <v>3533</v>
      </c>
      <c r="D8545" s="69" t="s">
        <v>29417</v>
      </c>
      <c r="E8545" s="51"/>
      <c r="F8545" s="114" t="str">
        <f>IF(INDEX(I.Facility.P2aIDNumber,3533)="","",INDEX(I.Facility.P2aIDNumber,3533))</f>
        <v/>
      </c>
      <c r="G8545" s="51"/>
      <c r="H8545" s="46" t="str">
        <f>IF(AND(I.Developer.P2a=TRUE,I.Facility.P2aFacilityCount&gt;=3533,F8545=""),"Incomplete","Complete")</f>
        <v>Complete</v>
      </c>
      <c r="I8545" s="48" t="s">
        <v>12910</v>
      </c>
    </row>
    <row r="8546" spans="2:9" ht="15" customHeight="1" x14ac:dyDescent="0.25">
      <c r="B8546" s="55" t="s">
        <v>280</v>
      </c>
      <c r="C8546" s="46">
        <v>3534</v>
      </c>
      <c r="D8546" s="69" t="s">
        <v>29417</v>
      </c>
      <c r="E8546" s="51"/>
      <c r="F8546" s="114" t="str">
        <f>IF(INDEX(I.Facility.P2aIDNumber,3534)="","",INDEX(I.Facility.P2aIDNumber,3534))</f>
        <v/>
      </c>
      <c r="G8546" s="51"/>
      <c r="H8546" s="46" t="str">
        <f>IF(AND(I.Developer.P2a=TRUE,I.Facility.P2aFacilityCount&gt;=3534,F8546=""),"Incomplete","Complete")</f>
        <v>Complete</v>
      </c>
      <c r="I8546" s="48" t="s">
        <v>12911</v>
      </c>
    </row>
    <row r="8547" spans="2:9" ht="15" customHeight="1" x14ac:dyDescent="0.25">
      <c r="B8547" s="55" t="s">
        <v>280</v>
      </c>
      <c r="C8547" s="46">
        <v>3535</v>
      </c>
      <c r="D8547" s="69" t="s">
        <v>29417</v>
      </c>
      <c r="E8547" s="51"/>
      <c r="F8547" s="114" t="str">
        <f>IF(INDEX(I.Facility.P2aIDNumber,3535)="","",INDEX(I.Facility.P2aIDNumber,3535))</f>
        <v/>
      </c>
      <c r="G8547" s="51"/>
      <c r="H8547" s="46" t="str">
        <f>IF(AND(I.Developer.P2a=TRUE,I.Facility.P2aFacilityCount&gt;=3535,F8547=""),"Incomplete","Complete")</f>
        <v>Complete</v>
      </c>
      <c r="I8547" s="48" t="s">
        <v>12912</v>
      </c>
    </row>
    <row r="8548" spans="2:9" ht="15" customHeight="1" x14ac:dyDescent="0.25">
      <c r="B8548" s="55" t="s">
        <v>280</v>
      </c>
      <c r="C8548" s="46">
        <v>3536</v>
      </c>
      <c r="D8548" s="69" t="s">
        <v>29417</v>
      </c>
      <c r="E8548" s="51"/>
      <c r="F8548" s="114" t="str">
        <f>IF(INDEX(I.Facility.P2aIDNumber,3536)="","",INDEX(I.Facility.P2aIDNumber,3536))</f>
        <v/>
      </c>
      <c r="G8548" s="51"/>
      <c r="H8548" s="46" t="str">
        <f>IF(AND(I.Developer.P2a=TRUE,I.Facility.P2aFacilityCount&gt;=3536,F8548=""),"Incomplete","Complete")</f>
        <v>Complete</v>
      </c>
      <c r="I8548" s="48" t="s">
        <v>12913</v>
      </c>
    </row>
    <row r="8549" spans="2:9" ht="15" customHeight="1" x14ac:dyDescent="0.25">
      <c r="B8549" s="55" t="s">
        <v>280</v>
      </c>
      <c r="C8549" s="46">
        <v>3537</v>
      </c>
      <c r="D8549" s="69" t="s">
        <v>29417</v>
      </c>
      <c r="E8549" s="51"/>
      <c r="F8549" s="114" t="str">
        <f>IF(INDEX(I.Facility.P2aIDNumber,3537)="","",INDEX(I.Facility.P2aIDNumber,3537))</f>
        <v/>
      </c>
      <c r="G8549" s="51"/>
      <c r="H8549" s="46" t="str">
        <f>IF(AND(I.Developer.P2a=TRUE,I.Facility.P2aFacilityCount&gt;=3537,F8549=""),"Incomplete","Complete")</f>
        <v>Complete</v>
      </c>
      <c r="I8549" s="48" t="s">
        <v>12914</v>
      </c>
    </row>
    <row r="8550" spans="2:9" ht="15" customHeight="1" x14ac:dyDescent="0.25">
      <c r="B8550" s="55" t="s">
        <v>280</v>
      </c>
      <c r="C8550" s="46">
        <v>3538</v>
      </c>
      <c r="D8550" s="69" t="s">
        <v>29417</v>
      </c>
      <c r="E8550" s="51"/>
      <c r="F8550" s="114" t="str">
        <f>IF(INDEX(I.Facility.P2aIDNumber,3538)="","",INDEX(I.Facility.P2aIDNumber,3538))</f>
        <v/>
      </c>
      <c r="G8550" s="51"/>
      <c r="H8550" s="46" t="str">
        <f>IF(AND(I.Developer.P2a=TRUE,I.Facility.P2aFacilityCount&gt;=3538,F8550=""),"Incomplete","Complete")</f>
        <v>Complete</v>
      </c>
      <c r="I8550" s="48" t="s">
        <v>12915</v>
      </c>
    </row>
    <row r="8551" spans="2:9" ht="15" customHeight="1" x14ac:dyDescent="0.25">
      <c r="B8551" s="55" t="s">
        <v>280</v>
      </c>
      <c r="C8551" s="46">
        <v>3539</v>
      </c>
      <c r="D8551" s="69" t="s">
        <v>29417</v>
      </c>
      <c r="E8551" s="51"/>
      <c r="F8551" s="114" t="str">
        <f>IF(INDEX(I.Facility.P2aIDNumber,3539)="","",INDEX(I.Facility.P2aIDNumber,3539))</f>
        <v/>
      </c>
      <c r="G8551" s="51"/>
      <c r="H8551" s="46" t="str">
        <f>IF(AND(I.Developer.P2a=TRUE,I.Facility.P2aFacilityCount&gt;=3539,F8551=""),"Incomplete","Complete")</f>
        <v>Complete</v>
      </c>
      <c r="I8551" s="48" t="s">
        <v>12916</v>
      </c>
    </row>
    <row r="8552" spans="2:9" ht="15" customHeight="1" x14ac:dyDescent="0.25">
      <c r="B8552" s="55" t="s">
        <v>280</v>
      </c>
      <c r="C8552" s="46">
        <v>3540</v>
      </c>
      <c r="D8552" s="69" t="s">
        <v>29417</v>
      </c>
      <c r="E8552" s="51"/>
      <c r="F8552" s="114" t="str">
        <f>IF(INDEX(I.Facility.P2aIDNumber,3540)="","",INDEX(I.Facility.P2aIDNumber,3540))</f>
        <v/>
      </c>
      <c r="G8552" s="51"/>
      <c r="H8552" s="46" t="str">
        <f>IF(AND(I.Developer.P2a=TRUE,I.Facility.P2aFacilityCount&gt;=3540,F8552=""),"Incomplete","Complete")</f>
        <v>Complete</v>
      </c>
      <c r="I8552" s="48" t="s">
        <v>12917</v>
      </c>
    </row>
    <row r="8553" spans="2:9" ht="15" customHeight="1" x14ac:dyDescent="0.25">
      <c r="B8553" s="55" t="s">
        <v>280</v>
      </c>
      <c r="C8553" s="46">
        <v>3541</v>
      </c>
      <c r="D8553" s="69" t="s">
        <v>29417</v>
      </c>
      <c r="E8553" s="51"/>
      <c r="F8553" s="114" t="str">
        <f>IF(INDEX(I.Facility.P2aIDNumber,3541)="","",INDEX(I.Facility.P2aIDNumber,3541))</f>
        <v/>
      </c>
      <c r="G8553" s="51"/>
      <c r="H8553" s="46" t="str">
        <f>IF(AND(I.Developer.P2a=TRUE,I.Facility.P2aFacilityCount&gt;=3541,F8553=""),"Incomplete","Complete")</f>
        <v>Complete</v>
      </c>
      <c r="I8553" s="48" t="s">
        <v>12918</v>
      </c>
    </row>
    <row r="8554" spans="2:9" ht="15" customHeight="1" x14ac:dyDescent="0.25">
      <c r="B8554" s="55" t="s">
        <v>280</v>
      </c>
      <c r="C8554" s="46">
        <v>3542</v>
      </c>
      <c r="D8554" s="69" t="s">
        <v>29417</v>
      </c>
      <c r="E8554" s="51"/>
      <c r="F8554" s="114" t="str">
        <f>IF(INDEX(I.Facility.P2aIDNumber,3542)="","",INDEX(I.Facility.P2aIDNumber,3542))</f>
        <v/>
      </c>
      <c r="G8554" s="51"/>
      <c r="H8554" s="46" t="str">
        <f>IF(AND(I.Developer.P2a=TRUE,I.Facility.P2aFacilityCount&gt;=3542,F8554=""),"Incomplete","Complete")</f>
        <v>Complete</v>
      </c>
      <c r="I8554" s="48" t="s">
        <v>12919</v>
      </c>
    </row>
    <row r="8555" spans="2:9" ht="15" customHeight="1" x14ac:dyDescent="0.25">
      <c r="B8555" s="55" t="s">
        <v>280</v>
      </c>
      <c r="C8555" s="46">
        <v>3543</v>
      </c>
      <c r="D8555" s="69" t="s">
        <v>29417</v>
      </c>
      <c r="E8555" s="51"/>
      <c r="F8555" s="114" t="str">
        <f>IF(INDEX(I.Facility.P2aIDNumber,3543)="","",INDEX(I.Facility.P2aIDNumber,3543))</f>
        <v/>
      </c>
      <c r="G8555" s="51"/>
      <c r="H8555" s="46" t="str">
        <f>IF(AND(I.Developer.P2a=TRUE,I.Facility.P2aFacilityCount&gt;=3543,F8555=""),"Incomplete","Complete")</f>
        <v>Complete</v>
      </c>
      <c r="I8555" s="48" t="s">
        <v>12920</v>
      </c>
    </row>
    <row r="8556" spans="2:9" ht="15" customHeight="1" x14ac:dyDescent="0.25">
      <c r="B8556" s="55" t="s">
        <v>280</v>
      </c>
      <c r="C8556" s="46">
        <v>3544</v>
      </c>
      <c r="D8556" s="69" t="s">
        <v>29417</v>
      </c>
      <c r="E8556" s="51"/>
      <c r="F8556" s="114" t="str">
        <f>IF(INDEX(I.Facility.P2aIDNumber,3544)="","",INDEX(I.Facility.P2aIDNumber,3544))</f>
        <v/>
      </c>
      <c r="G8556" s="51"/>
      <c r="H8556" s="46" t="str">
        <f>IF(AND(I.Developer.P2a=TRUE,I.Facility.P2aFacilityCount&gt;=3544,F8556=""),"Incomplete","Complete")</f>
        <v>Complete</v>
      </c>
      <c r="I8556" s="48" t="s">
        <v>12921</v>
      </c>
    </row>
    <row r="8557" spans="2:9" ht="15" customHeight="1" x14ac:dyDescent="0.25">
      <c r="B8557" s="55" t="s">
        <v>280</v>
      </c>
      <c r="C8557" s="46">
        <v>3545</v>
      </c>
      <c r="D8557" s="69" t="s">
        <v>29417</v>
      </c>
      <c r="E8557" s="51"/>
      <c r="F8557" s="114" t="str">
        <f>IF(INDEX(I.Facility.P2aIDNumber,3545)="","",INDEX(I.Facility.P2aIDNumber,3545))</f>
        <v/>
      </c>
      <c r="G8557" s="51"/>
      <c r="H8557" s="46" t="str">
        <f>IF(AND(I.Developer.P2a=TRUE,I.Facility.P2aFacilityCount&gt;=3545,F8557=""),"Incomplete","Complete")</f>
        <v>Complete</v>
      </c>
      <c r="I8557" s="48" t="s">
        <v>12922</v>
      </c>
    </row>
    <row r="8558" spans="2:9" ht="15" customHeight="1" x14ac:dyDescent="0.25">
      <c r="B8558" s="55" t="s">
        <v>280</v>
      </c>
      <c r="C8558" s="46">
        <v>3546</v>
      </c>
      <c r="D8558" s="69" t="s">
        <v>29417</v>
      </c>
      <c r="E8558" s="51"/>
      <c r="F8558" s="114" t="str">
        <f>IF(INDEX(I.Facility.P2aIDNumber,3546)="","",INDEX(I.Facility.P2aIDNumber,3546))</f>
        <v/>
      </c>
      <c r="G8558" s="51"/>
      <c r="H8558" s="46" t="str">
        <f>IF(AND(I.Developer.P2a=TRUE,I.Facility.P2aFacilityCount&gt;=3546,F8558=""),"Incomplete","Complete")</f>
        <v>Complete</v>
      </c>
      <c r="I8558" s="48" t="s">
        <v>12923</v>
      </c>
    </row>
    <row r="8559" spans="2:9" ht="15" customHeight="1" x14ac:dyDescent="0.25">
      <c r="B8559" s="55" t="s">
        <v>280</v>
      </c>
      <c r="C8559" s="46">
        <v>3547</v>
      </c>
      <c r="D8559" s="69" t="s">
        <v>29417</v>
      </c>
      <c r="E8559" s="51"/>
      <c r="F8559" s="114" t="str">
        <f>IF(INDEX(I.Facility.P2aIDNumber,3547)="","",INDEX(I.Facility.P2aIDNumber,3547))</f>
        <v/>
      </c>
      <c r="G8559" s="51"/>
      <c r="H8559" s="46" t="str">
        <f>IF(AND(I.Developer.P2a=TRUE,I.Facility.P2aFacilityCount&gt;=3547,F8559=""),"Incomplete","Complete")</f>
        <v>Complete</v>
      </c>
      <c r="I8559" s="48" t="s">
        <v>12924</v>
      </c>
    </row>
    <row r="8560" spans="2:9" ht="15" customHeight="1" x14ac:dyDescent="0.25">
      <c r="B8560" s="55" t="s">
        <v>280</v>
      </c>
      <c r="C8560" s="46">
        <v>3548</v>
      </c>
      <c r="D8560" s="69" t="s">
        <v>29417</v>
      </c>
      <c r="E8560" s="51"/>
      <c r="F8560" s="114" t="str">
        <f>IF(INDEX(I.Facility.P2aIDNumber,3548)="","",INDEX(I.Facility.P2aIDNumber,3548))</f>
        <v/>
      </c>
      <c r="G8560" s="51"/>
      <c r="H8560" s="46" t="str">
        <f>IF(AND(I.Developer.P2a=TRUE,I.Facility.P2aFacilityCount&gt;=3548,F8560=""),"Incomplete","Complete")</f>
        <v>Complete</v>
      </c>
      <c r="I8560" s="48" t="s">
        <v>12925</v>
      </c>
    </row>
    <row r="8561" spans="2:9" ht="15" customHeight="1" x14ac:dyDescent="0.25">
      <c r="B8561" s="55" t="s">
        <v>280</v>
      </c>
      <c r="C8561" s="46">
        <v>3549</v>
      </c>
      <c r="D8561" s="69" t="s">
        <v>29417</v>
      </c>
      <c r="E8561" s="51"/>
      <c r="F8561" s="114" t="str">
        <f>IF(INDEX(I.Facility.P2aIDNumber,3549)="","",INDEX(I.Facility.P2aIDNumber,3549))</f>
        <v/>
      </c>
      <c r="G8561" s="51"/>
      <c r="H8561" s="46" t="str">
        <f>IF(AND(I.Developer.P2a=TRUE,I.Facility.P2aFacilityCount&gt;=3549,F8561=""),"Incomplete","Complete")</f>
        <v>Complete</v>
      </c>
      <c r="I8561" s="48" t="s">
        <v>12926</v>
      </c>
    </row>
    <row r="8562" spans="2:9" ht="15" customHeight="1" x14ac:dyDescent="0.25">
      <c r="B8562" s="55" t="s">
        <v>280</v>
      </c>
      <c r="C8562" s="46">
        <v>3550</v>
      </c>
      <c r="D8562" s="69" t="s">
        <v>29417</v>
      </c>
      <c r="E8562" s="51"/>
      <c r="F8562" s="114" t="str">
        <f>IF(INDEX(I.Facility.P2aIDNumber,3550)="","",INDEX(I.Facility.P2aIDNumber,3550))</f>
        <v/>
      </c>
      <c r="G8562" s="51"/>
      <c r="H8562" s="46" t="str">
        <f>IF(AND(I.Developer.P2a=TRUE,I.Facility.P2aFacilityCount&gt;=3550,F8562=""),"Incomplete","Complete")</f>
        <v>Complete</v>
      </c>
      <c r="I8562" s="48" t="s">
        <v>12927</v>
      </c>
    </row>
    <row r="8563" spans="2:9" ht="15" customHeight="1" x14ac:dyDescent="0.25">
      <c r="B8563" s="55" t="s">
        <v>280</v>
      </c>
      <c r="C8563" s="46">
        <v>3551</v>
      </c>
      <c r="D8563" s="69" t="s">
        <v>29417</v>
      </c>
      <c r="E8563" s="51"/>
      <c r="F8563" s="114" t="str">
        <f>IF(INDEX(I.Facility.P2aIDNumber,3551)="","",INDEX(I.Facility.P2aIDNumber,3551))</f>
        <v/>
      </c>
      <c r="G8563" s="51"/>
      <c r="H8563" s="46" t="str">
        <f>IF(AND(I.Developer.P2a=TRUE,I.Facility.P2aFacilityCount&gt;=3551,F8563=""),"Incomplete","Complete")</f>
        <v>Complete</v>
      </c>
      <c r="I8563" s="48" t="s">
        <v>12928</v>
      </c>
    </row>
    <row r="8564" spans="2:9" ht="15" customHeight="1" x14ac:dyDescent="0.25">
      <c r="B8564" s="55" t="s">
        <v>280</v>
      </c>
      <c r="C8564" s="46">
        <v>3552</v>
      </c>
      <c r="D8564" s="69" t="s">
        <v>29417</v>
      </c>
      <c r="E8564" s="51"/>
      <c r="F8564" s="114" t="str">
        <f>IF(INDEX(I.Facility.P2aIDNumber,3552)="","",INDEX(I.Facility.P2aIDNumber,3552))</f>
        <v/>
      </c>
      <c r="G8564" s="51"/>
      <c r="H8564" s="46" t="str">
        <f>IF(AND(I.Developer.P2a=TRUE,I.Facility.P2aFacilityCount&gt;=3552,F8564=""),"Incomplete","Complete")</f>
        <v>Complete</v>
      </c>
      <c r="I8564" s="48" t="s">
        <v>12929</v>
      </c>
    </row>
    <row r="8565" spans="2:9" ht="15" customHeight="1" x14ac:dyDescent="0.25">
      <c r="B8565" s="55" t="s">
        <v>280</v>
      </c>
      <c r="C8565" s="46">
        <v>3553</v>
      </c>
      <c r="D8565" s="69" t="s">
        <v>29417</v>
      </c>
      <c r="E8565" s="51"/>
      <c r="F8565" s="114" t="str">
        <f>IF(INDEX(I.Facility.P2aIDNumber,3553)="","",INDEX(I.Facility.P2aIDNumber,3553))</f>
        <v/>
      </c>
      <c r="G8565" s="51"/>
      <c r="H8565" s="46" t="str">
        <f>IF(AND(I.Developer.P2a=TRUE,I.Facility.P2aFacilityCount&gt;=3553,F8565=""),"Incomplete","Complete")</f>
        <v>Complete</v>
      </c>
      <c r="I8565" s="48" t="s">
        <v>12930</v>
      </c>
    </row>
    <row r="8566" spans="2:9" ht="15" customHeight="1" x14ac:dyDescent="0.25">
      <c r="B8566" s="55" t="s">
        <v>280</v>
      </c>
      <c r="C8566" s="46">
        <v>3554</v>
      </c>
      <c r="D8566" s="69" t="s">
        <v>29417</v>
      </c>
      <c r="E8566" s="51"/>
      <c r="F8566" s="114" t="str">
        <f>IF(INDEX(I.Facility.P2aIDNumber,3554)="","",INDEX(I.Facility.P2aIDNumber,3554))</f>
        <v/>
      </c>
      <c r="G8566" s="51"/>
      <c r="H8566" s="46" t="str">
        <f>IF(AND(I.Developer.P2a=TRUE,I.Facility.P2aFacilityCount&gt;=3554,F8566=""),"Incomplete","Complete")</f>
        <v>Complete</v>
      </c>
      <c r="I8566" s="48" t="s">
        <v>12931</v>
      </c>
    </row>
    <row r="8567" spans="2:9" ht="15" customHeight="1" x14ac:dyDescent="0.25">
      <c r="B8567" s="55" t="s">
        <v>280</v>
      </c>
      <c r="C8567" s="46">
        <v>3555</v>
      </c>
      <c r="D8567" s="69" t="s">
        <v>29417</v>
      </c>
      <c r="E8567" s="51"/>
      <c r="F8567" s="114" t="str">
        <f>IF(INDEX(I.Facility.P2aIDNumber,3555)="","",INDEX(I.Facility.P2aIDNumber,3555))</f>
        <v/>
      </c>
      <c r="G8567" s="51"/>
      <c r="H8567" s="46" t="str">
        <f>IF(AND(I.Developer.P2a=TRUE,I.Facility.P2aFacilityCount&gt;=3555,F8567=""),"Incomplete","Complete")</f>
        <v>Complete</v>
      </c>
      <c r="I8567" s="48" t="s">
        <v>12932</v>
      </c>
    </row>
    <row r="8568" spans="2:9" ht="15" customHeight="1" x14ac:dyDescent="0.25">
      <c r="B8568" s="55" t="s">
        <v>280</v>
      </c>
      <c r="C8568" s="46">
        <v>3556</v>
      </c>
      <c r="D8568" s="69" t="s">
        <v>29417</v>
      </c>
      <c r="E8568" s="51"/>
      <c r="F8568" s="114" t="str">
        <f>IF(INDEX(I.Facility.P2aIDNumber,3556)="","",INDEX(I.Facility.P2aIDNumber,3556))</f>
        <v/>
      </c>
      <c r="G8568" s="51"/>
      <c r="H8568" s="46" t="str">
        <f>IF(AND(I.Developer.P2a=TRUE,I.Facility.P2aFacilityCount&gt;=3556,F8568=""),"Incomplete","Complete")</f>
        <v>Complete</v>
      </c>
      <c r="I8568" s="48" t="s">
        <v>12933</v>
      </c>
    </row>
    <row r="8569" spans="2:9" ht="15" customHeight="1" x14ac:dyDescent="0.25">
      <c r="B8569" s="55" t="s">
        <v>280</v>
      </c>
      <c r="C8569" s="46">
        <v>3557</v>
      </c>
      <c r="D8569" s="69" t="s">
        <v>29417</v>
      </c>
      <c r="E8569" s="51"/>
      <c r="F8569" s="114" t="str">
        <f>IF(INDEX(I.Facility.P2aIDNumber,3557)="","",INDEX(I.Facility.P2aIDNumber,3557))</f>
        <v/>
      </c>
      <c r="G8569" s="51"/>
      <c r="H8569" s="46" t="str">
        <f>IF(AND(I.Developer.P2a=TRUE,I.Facility.P2aFacilityCount&gt;=3557,F8569=""),"Incomplete","Complete")</f>
        <v>Complete</v>
      </c>
      <c r="I8569" s="48" t="s">
        <v>12934</v>
      </c>
    </row>
    <row r="8570" spans="2:9" ht="15" customHeight="1" x14ac:dyDescent="0.25">
      <c r="B8570" s="55" t="s">
        <v>280</v>
      </c>
      <c r="C8570" s="46">
        <v>3558</v>
      </c>
      <c r="D8570" s="69" t="s">
        <v>29417</v>
      </c>
      <c r="E8570" s="51"/>
      <c r="F8570" s="114" t="str">
        <f>IF(INDEX(I.Facility.P2aIDNumber,3558)="","",INDEX(I.Facility.P2aIDNumber,3558))</f>
        <v/>
      </c>
      <c r="G8570" s="51"/>
      <c r="H8570" s="46" t="str">
        <f>IF(AND(I.Developer.P2a=TRUE,I.Facility.P2aFacilityCount&gt;=3558,F8570=""),"Incomplete","Complete")</f>
        <v>Complete</v>
      </c>
      <c r="I8570" s="48" t="s">
        <v>12935</v>
      </c>
    </row>
    <row r="8571" spans="2:9" ht="15" customHeight="1" x14ac:dyDescent="0.25">
      <c r="B8571" s="55" t="s">
        <v>280</v>
      </c>
      <c r="C8571" s="46">
        <v>3559</v>
      </c>
      <c r="D8571" s="69" t="s">
        <v>29417</v>
      </c>
      <c r="E8571" s="51"/>
      <c r="F8571" s="114" t="str">
        <f>IF(INDEX(I.Facility.P2aIDNumber,3559)="","",INDEX(I.Facility.P2aIDNumber,3559))</f>
        <v/>
      </c>
      <c r="G8571" s="51"/>
      <c r="H8571" s="46" t="str">
        <f>IF(AND(I.Developer.P2a=TRUE,I.Facility.P2aFacilityCount&gt;=3559,F8571=""),"Incomplete","Complete")</f>
        <v>Complete</v>
      </c>
      <c r="I8571" s="48" t="s">
        <v>12936</v>
      </c>
    </row>
    <row r="8572" spans="2:9" ht="15" customHeight="1" x14ac:dyDescent="0.25">
      <c r="B8572" s="55" t="s">
        <v>280</v>
      </c>
      <c r="C8572" s="46">
        <v>3560</v>
      </c>
      <c r="D8572" s="69" t="s">
        <v>29417</v>
      </c>
      <c r="E8572" s="51"/>
      <c r="F8572" s="114" t="str">
        <f>IF(INDEX(I.Facility.P2aIDNumber,3560)="","",INDEX(I.Facility.P2aIDNumber,3560))</f>
        <v/>
      </c>
      <c r="G8572" s="51"/>
      <c r="H8572" s="46" t="str">
        <f>IF(AND(I.Developer.P2a=TRUE,I.Facility.P2aFacilityCount&gt;=3560,F8572=""),"Incomplete","Complete")</f>
        <v>Complete</v>
      </c>
      <c r="I8572" s="48" t="s">
        <v>12937</v>
      </c>
    </row>
    <row r="8573" spans="2:9" ht="15" customHeight="1" x14ac:dyDescent="0.25">
      <c r="B8573" s="55" t="s">
        <v>280</v>
      </c>
      <c r="C8573" s="46">
        <v>3561</v>
      </c>
      <c r="D8573" s="69" t="s">
        <v>29417</v>
      </c>
      <c r="E8573" s="51"/>
      <c r="F8573" s="114" t="str">
        <f>IF(INDEX(I.Facility.P2aIDNumber,3561)="","",INDEX(I.Facility.P2aIDNumber,3561))</f>
        <v/>
      </c>
      <c r="G8573" s="51"/>
      <c r="H8573" s="46" t="str">
        <f>IF(AND(I.Developer.P2a=TRUE,I.Facility.P2aFacilityCount&gt;=3561,F8573=""),"Incomplete","Complete")</f>
        <v>Complete</v>
      </c>
      <c r="I8573" s="48" t="s">
        <v>12938</v>
      </c>
    </row>
    <row r="8574" spans="2:9" ht="15" customHeight="1" x14ac:dyDescent="0.25">
      <c r="B8574" s="55" t="s">
        <v>280</v>
      </c>
      <c r="C8574" s="46">
        <v>3562</v>
      </c>
      <c r="D8574" s="69" t="s">
        <v>29417</v>
      </c>
      <c r="E8574" s="51"/>
      <c r="F8574" s="114" t="str">
        <f>IF(INDEX(I.Facility.P2aIDNumber,3562)="","",INDEX(I.Facility.P2aIDNumber,3562))</f>
        <v/>
      </c>
      <c r="G8574" s="51"/>
      <c r="H8574" s="46" t="str">
        <f>IF(AND(I.Developer.P2a=TRUE,I.Facility.P2aFacilityCount&gt;=3562,F8574=""),"Incomplete","Complete")</f>
        <v>Complete</v>
      </c>
      <c r="I8574" s="48" t="s">
        <v>12939</v>
      </c>
    </row>
    <row r="8575" spans="2:9" ht="15" customHeight="1" x14ac:dyDescent="0.25">
      <c r="B8575" s="55" t="s">
        <v>280</v>
      </c>
      <c r="C8575" s="46">
        <v>3563</v>
      </c>
      <c r="D8575" s="69" t="s">
        <v>29417</v>
      </c>
      <c r="E8575" s="51"/>
      <c r="F8575" s="114" t="str">
        <f>IF(INDEX(I.Facility.P2aIDNumber,3563)="","",INDEX(I.Facility.P2aIDNumber,3563))</f>
        <v/>
      </c>
      <c r="G8575" s="51"/>
      <c r="H8575" s="46" t="str">
        <f>IF(AND(I.Developer.P2a=TRUE,I.Facility.P2aFacilityCount&gt;=3563,F8575=""),"Incomplete","Complete")</f>
        <v>Complete</v>
      </c>
      <c r="I8575" s="48" t="s">
        <v>12940</v>
      </c>
    </row>
    <row r="8576" spans="2:9" ht="15" customHeight="1" x14ac:dyDescent="0.25">
      <c r="B8576" s="55" t="s">
        <v>280</v>
      </c>
      <c r="C8576" s="46">
        <v>3564</v>
      </c>
      <c r="D8576" s="69" t="s">
        <v>29417</v>
      </c>
      <c r="E8576" s="51"/>
      <c r="F8576" s="114" t="str">
        <f>IF(INDEX(I.Facility.P2aIDNumber,3564)="","",INDEX(I.Facility.P2aIDNumber,3564))</f>
        <v/>
      </c>
      <c r="G8576" s="51"/>
      <c r="H8576" s="46" t="str">
        <f>IF(AND(I.Developer.P2a=TRUE,I.Facility.P2aFacilityCount&gt;=3564,F8576=""),"Incomplete","Complete")</f>
        <v>Complete</v>
      </c>
      <c r="I8576" s="48" t="s">
        <v>12941</v>
      </c>
    </row>
    <row r="8577" spans="2:9" ht="15" customHeight="1" x14ac:dyDescent="0.25">
      <c r="B8577" s="55" t="s">
        <v>280</v>
      </c>
      <c r="C8577" s="46">
        <v>3565</v>
      </c>
      <c r="D8577" s="69" t="s">
        <v>29417</v>
      </c>
      <c r="E8577" s="51"/>
      <c r="F8577" s="114" t="str">
        <f>IF(INDEX(I.Facility.P2aIDNumber,3565)="","",INDEX(I.Facility.P2aIDNumber,3565))</f>
        <v/>
      </c>
      <c r="G8577" s="51"/>
      <c r="H8577" s="46" t="str">
        <f>IF(AND(I.Developer.P2a=TRUE,I.Facility.P2aFacilityCount&gt;=3565,F8577=""),"Incomplete","Complete")</f>
        <v>Complete</v>
      </c>
      <c r="I8577" s="48" t="s">
        <v>12942</v>
      </c>
    </row>
    <row r="8578" spans="2:9" ht="15" customHeight="1" x14ac:dyDescent="0.25">
      <c r="B8578" s="55" t="s">
        <v>280</v>
      </c>
      <c r="C8578" s="46">
        <v>3566</v>
      </c>
      <c r="D8578" s="69" t="s">
        <v>29417</v>
      </c>
      <c r="E8578" s="51"/>
      <c r="F8578" s="114" t="str">
        <f>IF(INDEX(I.Facility.P2aIDNumber,3566)="","",INDEX(I.Facility.P2aIDNumber,3566))</f>
        <v/>
      </c>
      <c r="G8578" s="51"/>
      <c r="H8578" s="46" t="str">
        <f>IF(AND(I.Developer.P2a=TRUE,I.Facility.P2aFacilityCount&gt;=3566,F8578=""),"Incomplete","Complete")</f>
        <v>Complete</v>
      </c>
      <c r="I8578" s="48" t="s">
        <v>12943</v>
      </c>
    </row>
    <row r="8579" spans="2:9" ht="15" customHeight="1" x14ac:dyDescent="0.25">
      <c r="B8579" s="55" t="s">
        <v>280</v>
      </c>
      <c r="C8579" s="46">
        <v>3567</v>
      </c>
      <c r="D8579" s="69" t="s">
        <v>29417</v>
      </c>
      <c r="E8579" s="51"/>
      <c r="F8579" s="114" t="str">
        <f>IF(INDEX(I.Facility.P2aIDNumber,3567)="","",INDEX(I.Facility.P2aIDNumber,3567))</f>
        <v/>
      </c>
      <c r="G8579" s="51"/>
      <c r="H8579" s="46" t="str">
        <f>IF(AND(I.Developer.P2a=TRUE,I.Facility.P2aFacilityCount&gt;=3567,F8579=""),"Incomplete","Complete")</f>
        <v>Complete</v>
      </c>
      <c r="I8579" s="48" t="s">
        <v>12944</v>
      </c>
    </row>
    <row r="8580" spans="2:9" ht="15" customHeight="1" x14ac:dyDescent="0.25">
      <c r="B8580" s="55" t="s">
        <v>280</v>
      </c>
      <c r="C8580" s="46">
        <v>3568</v>
      </c>
      <c r="D8580" s="69" t="s">
        <v>29417</v>
      </c>
      <c r="E8580" s="51"/>
      <c r="F8580" s="114" t="str">
        <f>IF(INDEX(I.Facility.P2aIDNumber,3568)="","",INDEX(I.Facility.P2aIDNumber,3568))</f>
        <v/>
      </c>
      <c r="G8580" s="51"/>
      <c r="H8580" s="46" t="str">
        <f>IF(AND(I.Developer.P2a=TRUE,I.Facility.P2aFacilityCount&gt;=3568,F8580=""),"Incomplete","Complete")</f>
        <v>Complete</v>
      </c>
      <c r="I8580" s="48" t="s">
        <v>12945</v>
      </c>
    </row>
    <row r="8581" spans="2:9" ht="15" customHeight="1" x14ac:dyDescent="0.25">
      <c r="B8581" s="55" t="s">
        <v>280</v>
      </c>
      <c r="C8581" s="46">
        <v>3569</v>
      </c>
      <c r="D8581" s="69" t="s">
        <v>29417</v>
      </c>
      <c r="E8581" s="51"/>
      <c r="F8581" s="114" t="str">
        <f>IF(INDEX(I.Facility.P2aIDNumber,3569)="","",INDEX(I.Facility.P2aIDNumber,3569))</f>
        <v/>
      </c>
      <c r="G8581" s="51"/>
      <c r="H8581" s="46" t="str">
        <f>IF(AND(I.Developer.P2a=TRUE,I.Facility.P2aFacilityCount&gt;=3569,F8581=""),"Incomplete","Complete")</f>
        <v>Complete</v>
      </c>
      <c r="I8581" s="48" t="s">
        <v>12946</v>
      </c>
    </row>
    <row r="8582" spans="2:9" ht="15" customHeight="1" x14ac:dyDescent="0.25">
      <c r="B8582" s="55" t="s">
        <v>280</v>
      </c>
      <c r="C8582" s="46">
        <v>3570</v>
      </c>
      <c r="D8582" s="69" t="s">
        <v>29417</v>
      </c>
      <c r="E8582" s="51"/>
      <c r="F8582" s="114" t="str">
        <f>IF(INDEX(I.Facility.P2aIDNumber,3570)="","",INDEX(I.Facility.P2aIDNumber,3570))</f>
        <v/>
      </c>
      <c r="G8582" s="51"/>
      <c r="H8582" s="46" t="str">
        <f>IF(AND(I.Developer.P2a=TRUE,I.Facility.P2aFacilityCount&gt;=3570,F8582=""),"Incomplete","Complete")</f>
        <v>Complete</v>
      </c>
      <c r="I8582" s="48" t="s">
        <v>12947</v>
      </c>
    </row>
    <row r="8583" spans="2:9" ht="15" customHeight="1" x14ac:dyDescent="0.25">
      <c r="B8583" s="55" t="s">
        <v>280</v>
      </c>
      <c r="C8583" s="46">
        <v>3571</v>
      </c>
      <c r="D8583" s="69" t="s">
        <v>29417</v>
      </c>
      <c r="E8583" s="51"/>
      <c r="F8583" s="114" t="str">
        <f>IF(INDEX(I.Facility.P2aIDNumber,3571)="","",INDEX(I.Facility.P2aIDNumber,3571))</f>
        <v/>
      </c>
      <c r="G8583" s="51"/>
      <c r="H8583" s="46" t="str">
        <f>IF(AND(I.Developer.P2a=TRUE,I.Facility.P2aFacilityCount&gt;=3571,F8583=""),"Incomplete","Complete")</f>
        <v>Complete</v>
      </c>
      <c r="I8583" s="48" t="s">
        <v>12948</v>
      </c>
    </row>
    <row r="8584" spans="2:9" ht="15" customHeight="1" x14ac:dyDescent="0.25">
      <c r="B8584" s="55" t="s">
        <v>280</v>
      </c>
      <c r="C8584" s="46">
        <v>3572</v>
      </c>
      <c r="D8584" s="69" t="s">
        <v>29417</v>
      </c>
      <c r="E8584" s="51"/>
      <c r="F8584" s="114" t="str">
        <f>IF(INDEX(I.Facility.P2aIDNumber,3572)="","",INDEX(I.Facility.P2aIDNumber,3572))</f>
        <v/>
      </c>
      <c r="G8584" s="51"/>
      <c r="H8584" s="46" t="str">
        <f>IF(AND(I.Developer.P2a=TRUE,I.Facility.P2aFacilityCount&gt;=3572,F8584=""),"Incomplete","Complete")</f>
        <v>Complete</v>
      </c>
      <c r="I8584" s="48" t="s">
        <v>12949</v>
      </c>
    </row>
    <row r="8585" spans="2:9" ht="15" customHeight="1" x14ac:dyDescent="0.25">
      <c r="B8585" s="55" t="s">
        <v>280</v>
      </c>
      <c r="C8585" s="46">
        <v>3573</v>
      </c>
      <c r="D8585" s="69" t="s">
        <v>29417</v>
      </c>
      <c r="E8585" s="51"/>
      <c r="F8585" s="114" t="str">
        <f>IF(INDEX(I.Facility.P2aIDNumber,3573)="","",INDEX(I.Facility.P2aIDNumber,3573))</f>
        <v/>
      </c>
      <c r="G8585" s="51"/>
      <c r="H8585" s="46" t="str">
        <f>IF(AND(I.Developer.P2a=TRUE,I.Facility.P2aFacilityCount&gt;=3573,F8585=""),"Incomplete","Complete")</f>
        <v>Complete</v>
      </c>
      <c r="I8585" s="48" t="s">
        <v>12950</v>
      </c>
    </row>
    <row r="8586" spans="2:9" ht="15" customHeight="1" x14ac:dyDescent="0.25">
      <c r="B8586" s="55" t="s">
        <v>280</v>
      </c>
      <c r="C8586" s="46">
        <v>3574</v>
      </c>
      <c r="D8586" s="69" t="s">
        <v>29417</v>
      </c>
      <c r="E8586" s="51"/>
      <c r="F8586" s="114" t="str">
        <f>IF(INDEX(I.Facility.P2aIDNumber,3574)="","",INDEX(I.Facility.P2aIDNumber,3574))</f>
        <v/>
      </c>
      <c r="G8586" s="51"/>
      <c r="H8586" s="46" t="str">
        <f>IF(AND(I.Developer.P2a=TRUE,I.Facility.P2aFacilityCount&gt;=3574,F8586=""),"Incomplete","Complete")</f>
        <v>Complete</v>
      </c>
      <c r="I8586" s="48" t="s">
        <v>12951</v>
      </c>
    </row>
    <row r="8587" spans="2:9" ht="15" customHeight="1" x14ac:dyDescent="0.25">
      <c r="B8587" s="55" t="s">
        <v>280</v>
      </c>
      <c r="C8587" s="46">
        <v>3575</v>
      </c>
      <c r="D8587" s="69" t="s">
        <v>29417</v>
      </c>
      <c r="E8587" s="51"/>
      <c r="F8587" s="114" t="str">
        <f>IF(INDEX(I.Facility.P2aIDNumber,3575)="","",INDEX(I.Facility.P2aIDNumber,3575))</f>
        <v/>
      </c>
      <c r="G8587" s="51"/>
      <c r="H8587" s="46" t="str">
        <f>IF(AND(I.Developer.P2a=TRUE,I.Facility.P2aFacilityCount&gt;=3575,F8587=""),"Incomplete","Complete")</f>
        <v>Complete</v>
      </c>
      <c r="I8587" s="48" t="s">
        <v>12952</v>
      </c>
    </row>
    <row r="8588" spans="2:9" ht="15" customHeight="1" x14ac:dyDescent="0.25">
      <c r="B8588" s="55" t="s">
        <v>280</v>
      </c>
      <c r="C8588" s="46">
        <v>3576</v>
      </c>
      <c r="D8588" s="69" t="s">
        <v>29417</v>
      </c>
      <c r="E8588" s="51"/>
      <c r="F8588" s="114" t="str">
        <f>IF(INDEX(I.Facility.P2aIDNumber,3576)="","",INDEX(I.Facility.P2aIDNumber,3576))</f>
        <v/>
      </c>
      <c r="G8588" s="51"/>
      <c r="H8588" s="46" t="str">
        <f>IF(AND(I.Developer.P2a=TRUE,I.Facility.P2aFacilityCount&gt;=3576,F8588=""),"Incomplete","Complete")</f>
        <v>Complete</v>
      </c>
      <c r="I8588" s="48" t="s">
        <v>12953</v>
      </c>
    </row>
    <row r="8589" spans="2:9" ht="15" customHeight="1" x14ac:dyDescent="0.25">
      <c r="B8589" s="55" t="s">
        <v>280</v>
      </c>
      <c r="C8589" s="46">
        <v>3577</v>
      </c>
      <c r="D8589" s="69" t="s">
        <v>29417</v>
      </c>
      <c r="E8589" s="51"/>
      <c r="F8589" s="114" t="str">
        <f>IF(INDEX(I.Facility.P2aIDNumber,3577)="","",INDEX(I.Facility.P2aIDNumber,3577))</f>
        <v/>
      </c>
      <c r="G8589" s="51"/>
      <c r="H8589" s="46" t="str">
        <f>IF(AND(I.Developer.P2a=TRUE,I.Facility.P2aFacilityCount&gt;=3577,F8589=""),"Incomplete","Complete")</f>
        <v>Complete</v>
      </c>
      <c r="I8589" s="48" t="s">
        <v>12954</v>
      </c>
    </row>
    <row r="8590" spans="2:9" ht="15" customHeight="1" x14ac:dyDescent="0.25">
      <c r="B8590" s="55" t="s">
        <v>280</v>
      </c>
      <c r="C8590" s="46">
        <v>3578</v>
      </c>
      <c r="D8590" s="69" t="s">
        <v>29417</v>
      </c>
      <c r="E8590" s="51"/>
      <c r="F8590" s="114" t="str">
        <f>IF(INDEX(I.Facility.P2aIDNumber,3578)="","",INDEX(I.Facility.P2aIDNumber,3578))</f>
        <v/>
      </c>
      <c r="G8590" s="51"/>
      <c r="H8590" s="46" t="str">
        <f>IF(AND(I.Developer.P2a=TRUE,I.Facility.P2aFacilityCount&gt;=3578,F8590=""),"Incomplete","Complete")</f>
        <v>Complete</v>
      </c>
      <c r="I8590" s="48" t="s">
        <v>12955</v>
      </c>
    </row>
    <row r="8591" spans="2:9" ht="15" customHeight="1" x14ac:dyDescent="0.25">
      <c r="B8591" s="55" t="s">
        <v>280</v>
      </c>
      <c r="C8591" s="46">
        <v>3579</v>
      </c>
      <c r="D8591" s="69" t="s">
        <v>29417</v>
      </c>
      <c r="E8591" s="51"/>
      <c r="F8591" s="114" t="str">
        <f>IF(INDEX(I.Facility.P2aIDNumber,3579)="","",INDEX(I.Facility.P2aIDNumber,3579))</f>
        <v/>
      </c>
      <c r="G8591" s="51"/>
      <c r="H8591" s="46" t="str">
        <f>IF(AND(I.Developer.P2a=TRUE,I.Facility.P2aFacilityCount&gt;=3579,F8591=""),"Incomplete","Complete")</f>
        <v>Complete</v>
      </c>
      <c r="I8591" s="48" t="s">
        <v>12956</v>
      </c>
    </row>
    <row r="8592" spans="2:9" ht="15" customHeight="1" x14ac:dyDescent="0.25">
      <c r="B8592" s="55" t="s">
        <v>280</v>
      </c>
      <c r="C8592" s="46">
        <v>3580</v>
      </c>
      <c r="D8592" s="69" t="s">
        <v>29417</v>
      </c>
      <c r="E8592" s="51"/>
      <c r="F8592" s="114" t="str">
        <f>IF(INDEX(I.Facility.P2aIDNumber,3580)="","",INDEX(I.Facility.P2aIDNumber,3580))</f>
        <v/>
      </c>
      <c r="G8592" s="51"/>
      <c r="H8592" s="46" t="str">
        <f>IF(AND(I.Developer.P2a=TRUE,I.Facility.P2aFacilityCount&gt;=3580,F8592=""),"Incomplete","Complete")</f>
        <v>Complete</v>
      </c>
      <c r="I8592" s="48" t="s">
        <v>12957</v>
      </c>
    </row>
    <row r="8593" spans="2:9" ht="15" customHeight="1" x14ac:dyDescent="0.25">
      <c r="B8593" s="55" t="s">
        <v>280</v>
      </c>
      <c r="C8593" s="46">
        <v>3581</v>
      </c>
      <c r="D8593" s="69" t="s">
        <v>29417</v>
      </c>
      <c r="E8593" s="51"/>
      <c r="F8593" s="114" t="str">
        <f>IF(INDEX(I.Facility.P2aIDNumber,3581)="","",INDEX(I.Facility.P2aIDNumber,3581))</f>
        <v/>
      </c>
      <c r="G8593" s="51"/>
      <c r="H8593" s="46" t="str">
        <f>IF(AND(I.Developer.P2a=TRUE,I.Facility.P2aFacilityCount&gt;=3581,F8593=""),"Incomplete","Complete")</f>
        <v>Complete</v>
      </c>
      <c r="I8593" s="48" t="s">
        <v>12958</v>
      </c>
    </row>
    <row r="8594" spans="2:9" ht="15" customHeight="1" x14ac:dyDescent="0.25">
      <c r="B8594" s="55" t="s">
        <v>280</v>
      </c>
      <c r="C8594" s="46">
        <v>3582</v>
      </c>
      <c r="D8594" s="69" t="s">
        <v>29417</v>
      </c>
      <c r="E8594" s="51"/>
      <c r="F8594" s="114" t="str">
        <f>IF(INDEX(I.Facility.P2aIDNumber,3582)="","",INDEX(I.Facility.P2aIDNumber,3582))</f>
        <v/>
      </c>
      <c r="G8594" s="51"/>
      <c r="H8594" s="46" t="str">
        <f>IF(AND(I.Developer.P2a=TRUE,I.Facility.P2aFacilityCount&gt;=3582,F8594=""),"Incomplete","Complete")</f>
        <v>Complete</v>
      </c>
      <c r="I8594" s="48" t="s">
        <v>12959</v>
      </c>
    </row>
    <row r="8595" spans="2:9" ht="15" customHeight="1" x14ac:dyDescent="0.25">
      <c r="B8595" s="55" t="s">
        <v>280</v>
      </c>
      <c r="C8595" s="46">
        <v>3583</v>
      </c>
      <c r="D8595" s="69" t="s">
        <v>29417</v>
      </c>
      <c r="E8595" s="51"/>
      <c r="F8595" s="114" t="str">
        <f>IF(INDEX(I.Facility.P2aIDNumber,3583)="","",INDEX(I.Facility.P2aIDNumber,3583))</f>
        <v/>
      </c>
      <c r="G8595" s="51"/>
      <c r="H8595" s="46" t="str">
        <f>IF(AND(I.Developer.P2a=TRUE,I.Facility.P2aFacilityCount&gt;=3583,F8595=""),"Incomplete","Complete")</f>
        <v>Complete</v>
      </c>
      <c r="I8595" s="48" t="s">
        <v>12960</v>
      </c>
    </row>
    <row r="8596" spans="2:9" ht="15" customHeight="1" x14ac:dyDescent="0.25">
      <c r="B8596" s="55" t="s">
        <v>280</v>
      </c>
      <c r="C8596" s="46">
        <v>3584</v>
      </c>
      <c r="D8596" s="69" t="s">
        <v>29417</v>
      </c>
      <c r="E8596" s="51"/>
      <c r="F8596" s="114" t="str">
        <f>IF(INDEX(I.Facility.P2aIDNumber,3584)="","",INDEX(I.Facility.P2aIDNumber,3584))</f>
        <v/>
      </c>
      <c r="G8596" s="51"/>
      <c r="H8596" s="46" t="str">
        <f>IF(AND(I.Developer.P2a=TRUE,I.Facility.P2aFacilityCount&gt;=3584,F8596=""),"Incomplete","Complete")</f>
        <v>Complete</v>
      </c>
      <c r="I8596" s="48" t="s">
        <v>12961</v>
      </c>
    </row>
    <row r="8597" spans="2:9" ht="15" customHeight="1" x14ac:dyDescent="0.25">
      <c r="B8597" s="55" t="s">
        <v>280</v>
      </c>
      <c r="C8597" s="46">
        <v>3585</v>
      </c>
      <c r="D8597" s="69" t="s">
        <v>29417</v>
      </c>
      <c r="E8597" s="51"/>
      <c r="F8597" s="114" t="str">
        <f>IF(INDEX(I.Facility.P2aIDNumber,3585)="","",INDEX(I.Facility.P2aIDNumber,3585))</f>
        <v/>
      </c>
      <c r="G8597" s="51"/>
      <c r="H8597" s="46" t="str">
        <f>IF(AND(I.Developer.P2a=TRUE,I.Facility.P2aFacilityCount&gt;=3585,F8597=""),"Incomplete","Complete")</f>
        <v>Complete</v>
      </c>
      <c r="I8597" s="48" t="s">
        <v>12962</v>
      </c>
    </row>
    <row r="8598" spans="2:9" ht="15" customHeight="1" x14ac:dyDescent="0.25">
      <c r="B8598" s="55" t="s">
        <v>280</v>
      </c>
      <c r="C8598" s="46">
        <v>3586</v>
      </c>
      <c r="D8598" s="69" t="s">
        <v>29417</v>
      </c>
      <c r="E8598" s="51"/>
      <c r="F8598" s="114" t="str">
        <f>IF(INDEX(I.Facility.P2aIDNumber,3586)="","",INDEX(I.Facility.P2aIDNumber,3586))</f>
        <v/>
      </c>
      <c r="G8598" s="51"/>
      <c r="H8598" s="46" t="str">
        <f>IF(AND(I.Developer.P2a=TRUE,I.Facility.P2aFacilityCount&gt;=3586,F8598=""),"Incomplete","Complete")</f>
        <v>Complete</v>
      </c>
      <c r="I8598" s="48" t="s">
        <v>12963</v>
      </c>
    </row>
    <row r="8599" spans="2:9" ht="15" customHeight="1" x14ac:dyDescent="0.25">
      <c r="B8599" s="55" t="s">
        <v>280</v>
      </c>
      <c r="C8599" s="46">
        <v>3587</v>
      </c>
      <c r="D8599" s="69" t="s">
        <v>29417</v>
      </c>
      <c r="E8599" s="51"/>
      <c r="F8599" s="114" t="str">
        <f>IF(INDEX(I.Facility.P2aIDNumber,3587)="","",INDEX(I.Facility.P2aIDNumber,3587))</f>
        <v/>
      </c>
      <c r="G8599" s="51"/>
      <c r="H8599" s="46" t="str">
        <f>IF(AND(I.Developer.P2a=TRUE,I.Facility.P2aFacilityCount&gt;=3587,F8599=""),"Incomplete","Complete")</f>
        <v>Complete</v>
      </c>
      <c r="I8599" s="48" t="s">
        <v>12964</v>
      </c>
    </row>
    <row r="8600" spans="2:9" ht="15" customHeight="1" x14ac:dyDescent="0.25">
      <c r="B8600" s="55" t="s">
        <v>280</v>
      </c>
      <c r="C8600" s="46">
        <v>3588</v>
      </c>
      <c r="D8600" s="69" t="s">
        <v>29417</v>
      </c>
      <c r="E8600" s="51"/>
      <c r="F8600" s="114" t="str">
        <f>IF(INDEX(I.Facility.P2aIDNumber,3588)="","",INDEX(I.Facility.P2aIDNumber,3588))</f>
        <v/>
      </c>
      <c r="G8600" s="51"/>
      <c r="H8600" s="46" t="str">
        <f>IF(AND(I.Developer.P2a=TRUE,I.Facility.P2aFacilityCount&gt;=3588,F8600=""),"Incomplete","Complete")</f>
        <v>Complete</v>
      </c>
      <c r="I8600" s="48" t="s">
        <v>12965</v>
      </c>
    </row>
    <row r="8601" spans="2:9" ht="15" customHeight="1" x14ac:dyDescent="0.25">
      <c r="B8601" s="55" t="s">
        <v>280</v>
      </c>
      <c r="C8601" s="46">
        <v>3589</v>
      </c>
      <c r="D8601" s="69" t="s">
        <v>29417</v>
      </c>
      <c r="E8601" s="51"/>
      <c r="F8601" s="114" t="str">
        <f>IF(INDEX(I.Facility.P2aIDNumber,3589)="","",INDEX(I.Facility.P2aIDNumber,3589))</f>
        <v/>
      </c>
      <c r="G8601" s="51"/>
      <c r="H8601" s="46" t="str">
        <f>IF(AND(I.Developer.P2a=TRUE,I.Facility.P2aFacilityCount&gt;=3589,F8601=""),"Incomplete","Complete")</f>
        <v>Complete</v>
      </c>
      <c r="I8601" s="48" t="s">
        <v>12966</v>
      </c>
    </row>
    <row r="8602" spans="2:9" ht="15" customHeight="1" x14ac:dyDescent="0.25">
      <c r="B8602" s="55" t="s">
        <v>280</v>
      </c>
      <c r="C8602" s="46">
        <v>3590</v>
      </c>
      <c r="D8602" s="69" t="s">
        <v>29417</v>
      </c>
      <c r="E8602" s="51"/>
      <c r="F8602" s="114" t="str">
        <f>IF(INDEX(I.Facility.P2aIDNumber,3590)="","",INDEX(I.Facility.P2aIDNumber,3590))</f>
        <v/>
      </c>
      <c r="G8602" s="51"/>
      <c r="H8602" s="46" t="str">
        <f>IF(AND(I.Developer.P2a=TRUE,I.Facility.P2aFacilityCount&gt;=3590,F8602=""),"Incomplete","Complete")</f>
        <v>Complete</v>
      </c>
      <c r="I8602" s="48" t="s">
        <v>12967</v>
      </c>
    </row>
    <row r="8603" spans="2:9" ht="15" customHeight="1" x14ac:dyDescent="0.25">
      <c r="B8603" s="55" t="s">
        <v>280</v>
      </c>
      <c r="C8603" s="46">
        <v>3591</v>
      </c>
      <c r="D8603" s="69" t="s">
        <v>29417</v>
      </c>
      <c r="E8603" s="51"/>
      <c r="F8603" s="114" t="str">
        <f>IF(INDEX(I.Facility.P2aIDNumber,3591)="","",INDEX(I.Facility.P2aIDNumber,3591))</f>
        <v/>
      </c>
      <c r="G8603" s="51"/>
      <c r="H8603" s="46" t="str">
        <f>IF(AND(I.Developer.P2a=TRUE,I.Facility.P2aFacilityCount&gt;=3591,F8603=""),"Incomplete","Complete")</f>
        <v>Complete</v>
      </c>
      <c r="I8603" s="48" t="s">
        <v>12968</v>
      </c>
    </row>
    <row r="8604" spans="2:9" ht="15" customHeight="1" x14ac:dyDescent="0.25">
      <c r="B8604" s="55" t="s">
        <v>280</v>
      </c>
      <c r="C8604" s="46">
        <v>3592</v>
      </c>
      <c r="D8604" s="69" t="s">
        <v>29417</v>
      </c>
      <c r="E8604" s="51"/>
      <c r="F8604" s="114" t="str">
        <f>IF(INDEX(I.Facility.P2aIDNumber,3592)="","",INDEX(I.Facility.P2aIDNumber,3592))</f>
        <v/>
      </c>
      <c r="G8604" s="51"/>
      <c r="H8604" s="46" t="str">
        <f>IF(AND(I.Developer.P2a=TRUE,I.Facility.P2aFacilityCount&gt;=3592,F8604=""),"Incomplete","Complete")</f>
        <v>Complete</v>
      </c>
      <c r="I8604" s="48" t="s">
        <v>12969</v>
      </c>
    </row>
    <row r="8605" spans="2:9" ht="15" customHeight="1" x14ac:dyDescent="0.25">
      <c r="B8605" s="55" t="s">
        <v>280</v>
      </c>
      <c r="C8605" s="46">
        <v>3593</v>
      </c>
      <c r="D8605" s="69" t="s">
        <v>29417</v>
      </c>
      <c r="E8605" s="51"/>
      <c r="F8605" s="114" t="str">
        <f>IF(INDEX(I.Facility.P2aIDNumber,3593)="","",INDEX(I.Facility.P2aIDNumber,3593))</f>
        <v/>
      </c>
      <c r="G8605" s="51"/>
      <c r="H8605" s="46" t="str">
        <f>IF(AND(I.Developer.P2a=TRUE,I.Facility.P2aFacilityCount&gt;=3593,F8605=""),"Incomplete","Complete")</f>
        <v>Complete</v>
      </c>
      <c r="I8605" s="48" t="s">
        <v>12970</v>
      </c>
    </row>
    <row r="8606" spans="2:9" ht="15" customHeight="1" x14ac:dyDescent="0.25">
      <c r="B8606" s="55" t="s">
        <v>280</v>
      </c>
      <c r="C8606" s="46">
        <v>3594</v>
      </c>
      <c r="D8606" s="69" t="s">
        <v>29417</v>
      </c>
      <c r="E8606" s="51"/>
      <c r="F8606" s="114" t="str">
        <f>IF(INDEX(I.Facility.P2aIDNumber,3594)="","",INDEX(I.Facility.P2aIDNumber,3594))</f>
        <v/>
      </c>
      <c r="G8606" s="51"/>
      <c r="H8606" s="46" t="str">
        <f>IF(AND(I.Developer.P2a=TRUE,I.Facility.P2aFacilityCount&gt;=3594,F8606=""),"Incomplete","Complete")</f>
        <v>Complete</v>
      </c>
      <c r="I8606" s="48" t="s">
        <v>12971</v>
      </c>
    </row>
    <row r="8607" spans="2:9" ht="15" customHeight="1" x14ac:dyDescent="0.25">
      <c r="B8607" s="55" t="s">
        <v>280</v>
      </c>
      <c r="C8607" s="46">
        <v>3595</v>
      </c>
      <c r="D8607" s="69" t="s">
        <v>29417</v>
      </c>
      <c r="E8607" s="51"/>
      <c r="F8607" s="114" t="str">
        <f>IF(INDEX(I.Facility.P2aIDNumber,3595)="","",INDEX(I.Facility.P2aIDNumber,3595))</f>
        <v/>
      </c>
      <c r="G8607" s="51"/>
      <c r="H8607" s="46" t="str">
        <f>IF(AND(I.Developer.P2a=TRUE,I.Facility.P2aFacilityCount&gt;=3595,F8607=""),"Incomplete","Complete")</f>
        <v>Complete</v>
      </c>
      <c r="I8607" s="48" t="s">
        <v>12972</v>
      </c>
    </row>
    <row r="8608" spans="2:9" ht="15" customHeight="1" x14ac:dyDescent="0.25">
      <c r="B8608" s="55" t="s">
        <v>280</v>
      </c>
      <c r="C8608" s="46">
        <v>3596</v>
      </c>
      <c r="D8608" s="69" t="s">
        <v>29417</v>
      </c>
      <c r="E8608" s="51"/>
      <c r="F8608" s="114" t="str">
        <f>IF(INDEX(I.Facility.P2aIDNumber,3596)="","",INDEX(I.Facility.P2aIDNumber,3596))</f>
        <v/>
      </c>
      <c r="G8608" s="51"/>
      <c r="H8608" s="46" t="str">
        <f>IF(AND(I.Developer.P2a=TRUE,I.Facility.P2aFacilityCount&gt;=3596,F8608=""),"Incomplete","Complete")</f>
        <v>Complete</v>
      </c>
      <c r="I8608" s="48" t="s">
        <v>12973</v>
      </c>
    </row>
    <row r="8609" spans="2:9" ht="15" customHeight="1" x14ac:dyDescent="0.25">
      <c r="B8609" s="55" t="s">
        <v>280</v>
      </c>
      <c r="C8609" s="46">
        <v>3597</v>
      </c>
      <c r="D8609" s="69" t="s">
        <v>29417</v>
      </c>
      <c r="E8609" s="51"/>
      <c r="F8609" s="114" t="str">
        <f>IF(INDEX(I.Facility.P2aIDNumber,3597)="","",INDEX(I.Facility.P2aIDNumber,3597))</f>
        <v/>
      </c>
      <c r="G8609" s="51"/>
      <c r="H8609" s="46" t="str">
        <f>IF(AND(I.Developer.P2a=TRUE,I.Facility.P2aFacilityCount&gt;=3597,F8609=""),"Incomplete","Complete")</f>
        <v>Complete</v>
      </c>
      <c r="I8609" s="48" t="s">
        <v>12974</v>
      </c>
    </row>
    <row r="8610" spans="2:9" ht="15" customHeight="1" x14ac:dyDescent="0.25">
      <c r="B8610" s="55" t="s">
        <v>280</v>
      </c>
      <c r="C8610" s="46">
        <v>3598</v>
      </c>
      <c r="D8610" s="69" t="s">
        <v>29417</v>
      </c>
      <c r="E8610" s="51"/>
      <c r="F8610" s="114" t="str">
        <f>IF(INDEX(I.Facility.P2aIDNumber,3598)="","",INDEX(I.Facility.P2aIDNumber,3598))</f>
        <v/>
      </c>
      <c r="G8610" s="51"/>
      <c r="H8610" s="46" t="str">
        <f>IF(AND(I.Developer.P2a=TRUE,I.Facility.P2aFacilityCount&gt;=3598,F8610=""),"Incomplete","Complete")</f>
        <v>Complete</v>
      </c>
      <c r="I8610" s="48" t="s">
        <v>12975</v>
      </c>
    </row>
    <row r="8611" spans="2:9" ht="15" customHeight="1" x14ac:dyDescent="0.25">
      <c r="B8611" s="55" t="s">
        <v>280</v>
      </c>
      <c r="C8611" s="46">
        <v>3599</v>
      </c>
      <c r="D8611" s="69" t="s">
        <v>29417</v>
      </c>
      <c r="E8611" s="51"/>
      <c r="F8611" s="114" t="str">
        <f>IF(INDEX(I.Facility.P2aIDNumber,3599)="","",INDEX(I.Facility.P2aIDNumber,3599))</f>
        <v/>
      </c>
      <c r="G8611" s="51"/>
      <c r="H8611" s="46" t="str">
        <f>IF(AND(I.Developer.P2a=TRUE,I.Facility.P2aFacilityCount&gt;=3599,F8611=""),"Incomplete","Complete")</f>
        <v>Complete</v>
      </c>
      <c r="I8611" s="48" t="s">
        <v>12976</v>
      </c>
    </row>
    <row r="8612" spans="2:9" ht="15" customHeight="1" x14ac:dyDescent="0.25">
      <c r="B8612" s="55" t="s">
        <v>280</v>
      </c>
      <c r="C8612" s="46">
        <v>3600</v>
      </c>
      <c r="D8612" s="69" t="s">
        <v>29417</v>
      </c>
      <c r="E8612" s="51"/>
      <c r="F8612" s="114" t="str">
        <f>IF(INDEX(I.Facility.P2aIDNumber,3600)="","",INDEX(I.Facility.P2aIDNumber,3600))</f>
        <v/>
      </c>
      <c r="G8612" s="51"/>
      <c r="H8612" s="46" t="str">
        <f>IF(AND(I.Developer.P2a=TRUE,I.Facility.P2aFacilityCount&gt;=3600,F8612=""),"Incomplete","Complete")</f>
        <v>Complete</v>
      </c>
      <c r="I8612" s="48" t="s">
        <v>12977</v>
      </c>
    </row>
    <row r="8613" spans="2:9" ht="15" customHeight="1" x14ac:dyDescent="0.25">
      <c r="B8613" s="55" t="s">
        <v>280</v>
      </c>
      <c r="C8613" s="46">
        <v>3601</v>
      </c>
      <c r="D8613" s="69" t="s">
        <v>29417</v>
      </c>
      <c r="E8613" s="51"/>
      <c r="F8613" s="114" t="str">
        <f>IF(INDEX(I.Facility.P2aIDNumber,3601)="","",INDEX(I.Facility.P2aIDNumber,3601))</f>
        <v/>
      </c>
      <c r="G8613" s="51"/>
      <c r="H8613" s="46" t="str">
        <f>IF(AND(I.Developer.P2a=TRUE,I.Facility.P2aFacilityCount&gt;=3601,F8613=""),"Incomplete","Complete")</f>
        <v>Complete</v>
      </c>
      <c r="I8613" s="48" t="s">
        <v>12978</v>
      </c>
    </row>
    <row r="8614" spans="2:9" ht="15" customHeight="1" x14ac:dyDescent="0.25">
      <c r="B8614" s="55" t="s">
        <v>280</v>
      </c>
      <c r="C8614" s="46">
        <v>3602</v>
      </c>
      <c r="D8614" s="69" t="s">
        <v>29417</v>
      </c>
      <c r="E8614" s="51"/>
      <c r="F8614" s="114" t="str">
        <f>IF(INDEX(I.Facility.P2aIDNumber,3602)="","",INDEX(I.Facility.P2aIDNumber,3602))</f>
        <v/>
      </c>
      <c r="G8614" s="51"/>
      <c r="H8614" s="46" t="str">
        <f>IF(AND(I.Developer.P2a=TRUE,I.Facility.P2aFacilityCount&gt;=3602,F8614=""),"Incomplete","Complete")</f>
        <v>Complete</v>
      </c>
      <c r="I8614" s="48" t="s">
        <v>12979</v>
      </c>
    </row>
    <row r="8615" spans="2:9" ht="15" customHeight="1" x14ac:dyDescent="0.25">
      <c r="B8615" s="55" t="s">
        <v>280</v>
      </c>
      <c r="C8615" s="46">
        <v>3603</v>
      </c>
      <c r="D8615" s="69" t="s">
        <v>29417</v>
      </c>
      <c r="E8615" s="51"/>
      <c r="F8615" s="114" t="str">
        <f>IF(INDEX(I.Facility.P2aIDNumber,3603)="","",INDEX(I.Facility.P2aIDNumber,3603))</f>
        <v/>
      </c>
      <c r="G8615" s="51"/>
      <c r="H8615" s="46" t="str">
        <f>IF(AND(I.Developer.P2a=TRUE,I.Facility.P2aFacilityCount&gt;=3603,F8615=""),"Incomplete","Complete")</f>
        <v>Complete</v>
      </c>
      <c r="I8615" s="48" t="s">
        <v>12980</v>
      </c>
    </row>
    <row r="8616" spans="2:9" ht="15" customHeight="1" x14ac:dyDescent="0.25">
      <c r="B8616" s="55" t="s">
        <v>280</v>
      </c>
      <c r="C8616" s="46">
        <v>3604</v>
      </c>
      <c r="D8616" s="69" t="s">
        <v>29417</v>
      </c>
      <c r="E8616" s="51"/>
      <c r="F8616" s="114" t="str">
        <f>IF(INDEX(I.Facility.P2aIDNumber,3604)="","",INDEX(I.Facility.P2aIDNumber,3604))</f>
        <v/>
      </c>
      <c r="G8616" s="51"/>
      <c r="H8616" s="46" t="str">
        <f>IF(AND(I.Developer.P2a=TRUE,I.Facility.P2aFacilityCount&gt;=3604,F8616=""),"Incomplete","Complete")</f>
        <v>Complete</v>
      </c>
      <c r="I8616" s="48" t="s">
        <v>12981</v>
      </c>
    </row>
    <row r="8617" spans="2:9" ht="15" customHeight="1" x14ac:dyDescent="0.25">
      <c r="B8617" s="55" t="s">
        <v>280</v>
      </c>
      <c r="C8617" s="46">
        <v>3605</v>
      </c>
      <c r="D8617" s="69" t="s">
        <v>29417</v>
      </c>
      <c r="E8617" s="51"/>
      <c r="F8617" s="114" t="str">
        <f>IF(INDEX(I.Facility.P2aIDNumber,3605)="","",INDEX(I.Facility.P2aIDNumber,3605))</f>
        <v/>
      </c>
      <c r="G8617" s="51"/>
      <c r="H8617" s="46" t="str">
        <f>IF(AND(I.Developer.P2a=TRUE,I.Facility.P2aFacilityCount&gt;=3605,F8617=""),"Incomplete","Complete")</f>
        <v>Complete</v>
      </c>
      <c r="I8617" s="48" t="s">
        <v>12982</v>
      </c>
    </row>
    <row r="8618" spans="2:9" ht="15" customHeight="1" x14ac:dyDescent="0.25">
      <c r="B8618" s="55" t="s">
        <v>280</v>
      </c>
      <c r="C8618" s="46">
        <v>3606</v>
      </c>
      <c r="D8618" s="69" t="s">
        <v>29417</v>
      </c>
      <c r="E8618" s="51"/>
      <c r="F8618" s="114" t="str">
        <f>IF(INDEX(I.Facility.P2aIDNumber,3606)="","",INDEX(I.Facility.P2aIDNumber,3606))</f>
        <v/>
      </c>
      <c r="G8618" s="51"/>
      <c r="H8618" s="46" t="str">
        <f>IF(AND(I.Developer.P2a=TRUE,I.Facility.P2aFacilityCount&gt;=3606,F8618=""),"Incomplete","Complete")</f>
        <v>Complete</v>
      </c>
      <c r="I8618" s="48" t="s">
        <v>12983</v>
      </c>
    </row>
    <row r="8619" spans="2:9" ht="15" customHeight="1" x14ac:dyDescent="0.25">
      <c r="B8619" s="55" t="s">
        <v>280</v>
      </c>
      <c r="C8619" s="46">
        <v>3607</v>
      </c>
      <c r="D8619" s="69" t="s">
        <v>29417</v>
      </c>
      <c r="E8619" s="51"/>
      <c r="F8619" s="114" t="str">
        <f>IF(INDEX(I.Facility.P2aIDNumber,3607)="","",INDEX(I.Facility.P2aIDNumber,3607))</f>
        <v/>
      </c>
      <c r="G8619" s="51"/>
      <c r="H8619" s="46" t="str">
        <f>IF(AND(I.Developer.P2a=TRUE,I.Facility.P2aFacilityCount&gt;=3607,F8619=""),"Incomplete","Complete")</f>
        <v>Complete</v>
      </c>
      <c r="I8619" s="48" t="s">
        <v>12984</v>
      </c>
    </row>
    <row r="8620" spans="2:9" ht="15" customHeight="1" x14ac:dyDescent="0.25">
      <c r="B8620" s="55" t="s">
        <v>280</v>
      </c>
      <c r="C8620" s="46">
        <v>3608</v>
      </c>
      <c r="D8620" s="69" t="s">
        <v>29417</v>
      </c>
      <c r="E8620" s="51"/>
      <c r="F8620" s="114" t="str">
        <f>IF(INDEX(I.Facility.P2aIDNumber,3608)="","",INDEX(I.Facility.P2aIDNumber,3608))</f>
        <v/>
      </c>
      <c r="G8620" s="51"/>
      <c r="H8620" s="46" t="str">
        <f>IF(AND(I.Developer.P2a=TRUE,I.Facility.P2aFacilityCount&gt;=3608,F8620=""),"Incomplete","Complete")</f>
        <v>Complete</v>
      </c>
      <c r="I8620" s="48" t="s">
        <v>12985</v>
      </c>
    </row>
    <row r="8621" spans="2:9" ht="15" customHeight="1" x14ac:dyDescent="0.25">
      <c r="B8621" s="55" t="s">
        <v>280</v>
      </c>
      <c r="C8621" s="46">
        <v>3609</v>
      </c>
      <c r="D8621" s="69" t="s">
        <v>29417</v>
      </c>
      <c r="E8621" s="51"/>
      <c r="F8621" s="114" t="str">
        <f>IF(INDEX(I.Facility.P2aIDNumber,3609)="","",INDEX(I.Facility.P2aIDNumber,3609))</f>
        <v/>
      </c>
      <c r="G8621" s="51"/>
      <c r="H8621" s="46" t="str">
        <f>IF(AND(I.Developer.P2a=TRUE,I.Facility.P2aFacilityCount&gt;=3609,F8621=""),"Incomplete","Complete")</f>
        <v>Complete</v>
      </c>
      <c r="I8621" s="48" t="s">
        <v>12986</v>
      </c>
    </row>
    <row r="8622" spans="2:9" ht="15" customHeight="1" x14ac:dyDescent="0.25">
      <c r="B8622" s="55" t="s">
        <v>280</v>
      </c>
      <c r="C8622" s="46">
        <v>3610</v>
      </c>
      <c r="D8622" s="69" t="s">
        <v>29417</v>
      </c>
      <c r="E8622" s="51"/>
      <c r="F8622" s="114" t="str">
        <f>IF(INDEX(I.Facility.P2aIDNumber,3610)="","",INDEX(I.Facility.P2aIDNumber,3610))</f>
        <v/>
      </c>
      <c r="G8622" s="51"/>
      <c r="H8622" s="46" t="str">
        <f>IF(AND(I.Developer.P2a=TRUE,I.Facility.P2aFacilityCount&gt;=3610,F8622=""),"Incomplete","Complete")</f>
        <v>Complete</v>
      </c>
      <c r="I8622" s="48" t="s">
        <v>12987</v>
      </c>
    </row>
    <row r="8623" spans="2:9" ht="15" customHeight="1" x14ac:dyDescent="0.25">
      <c r="B8623" s="55" t="s">
        <v>280</v>
      </c>
      <c r="C8623" s="46">
        <v>3611</v>
      </c>
      <c r="D8623" s="69" t="s">
        <v>29417</v>
      </c>
      <c r="E8623" s="51"/>
      <c r="F8623" s="114" t="str">
        <f>IF(INDEX(I.Facility.P2aIDNumber,3611)="","",INDEX(I.Facility.P2aIDNumber,3611))</f>
        <v/>
      </c>
      <c r="G8623" s="51"/>
      <c r="H8623" s="46" t="str">
        <f>IF(AND(I.Developer.P2a=TRUE,I.Facility.P2aFacilityCount&gt;=3611,F8623=""),"Incomplete","Complete")</f>
        <v>Complete</v>
      </c>
      <c r="I8623" s="48" t="s">
        <v>12988</v>
      </c>
    </row>
    <row r="8624" spans="2:9" ht="15" customHeight="1" x14ac:dyDescent="0.25">
      <c r="B8624" s="55" t="s">
        <v>280</v>
      </c>
      <c r="C8624" s="46">
        <v>3612</v>
      </c>
      <c r="D8624" s="69" t="s">
        <v>29417</v>
      </c>
      <c r="E8624" s="51"/>
      <c r="F8624" s="114" t="str">
        <f>IF(INDEX(I.Facility.P2aIDNumber,3612)="","",INDEX(I.Facility.P2aIDNumber,3612))</f>
        <v/>
      </c>
      <c r="G8624" s="51"/>
      <c r="H8624" s="46" t="str">
        <f>IF(AND(I.Developer.P2a=TRUE,I.Facility.P2aFacilityCount&gt;=3612,F8624=""),"Incomplete","Complete")</f>
        <v>Complete</v>
      </c>
      <c r="I8624" s="48" t="s">
        <v>12989</v>
      </c>
    </row>
    <row r="8625" spans="2:9" ht="15" customHeight="1" x14ac:dyDescent="0.25">
      <c r="B8625" s="55" t="s">
        <v>280</v>
      </c>
      <c r="C8625" s="46">
        <v>3613</v>
      </c>
      <c r="D8625" s="69" t="s">
        <v>29417</v>
      </c>
      <c r="E8625" s="51"/>
      <c r="F8625" s="114" t="str">
        <f>IF(INDEX(I.Facility.P2aIDNumber,3613)="","",INDEX(I.Facility.P2aIDNumber,3613))</f>
        <v/>
      </c>
      <c r="G8625" s="51"/>
      <c r="H8625" s="46" t="str">
        <f>IF(AND(I.Developer.P2a=TRUE,I.Facility.P2aFacilityCount&gt;=3613,F8625=""),"Incomplete","Complete")</f>
        <v>Complete</v>
      </c>
      <c r="I8625" s="48" t="s">
        <v>12990</v>
      </c>
    </row>
    <row r="8626" spans="2:9" ht="15" customHeight="1" x14ac:dyDescent="0.25">
      <c r="B8626" s="55" t="s">
        <v>280</v>
      </c>
      <c r="C8626" s="46">
        <v>3614</v>
      </c>
      <c r="D8626" s="69" t="s">
        <v>29417</v>
      </c>
      <c r="E8626" s="51"/>
      <c r="F8626" s="114" t="str">
        <f>IF(INDEX(I.Facility.P2aIDNumber,3614)="","",INDEX(I.Facility.P2aIDNumber,3614))</f>
        <v/>
      </c>
      <c r="G8626" s="51"/>
      <c r="H8626" s="46" t="str">
        <f>IF(AND(I.Developer.P2a=TRUE,I.Facility.P2aFacilityCount&gt;=3614,F8626=""),"Incomplete","Complete")</f>
        <v>Complete</v>
      </c>
      <c r="I8626" s="48" t="s">
        <v>12991</v>
      </c>
    </row>
    <row r="8627" spans="2:9" ht="15" customHeight="1" x14ac:dyDescent="0.25">
      <c r="B8627" s="55" t="s">
        <v>280</v>
      </c>
      <c r="C8627" s="46">
        <v>3615</v>
      </c>
      <c r="D8627" s="69" t="s">
        <v>29417</v>
      </c>
      <c r="E8627" s="51"/>
      <c r="F8627" s="114" t="str">
        <f>IF(INDEX(I.Facility.P2aIDNumber,3615)="","",INDEX(I.Facility.P2aIDNumber,3615))</f>
        <v/>
      </c>
      <c r="G8627" s="51"/>
      <c r="H8627" s="46" t="str">
        <f>IF(AND(I.Developer.P2a=TRUE,I.Facility.P2aFacilityCount&gt;=3615,F8627=""),"Incomplete","Complete")</f>
        <v>Complete</v>
      </c>
      <c r="I8627" s="48" t="s">
        <v>12992</v>
      </c>
    </row>
    <row r="8628" spans="2:9" ht="15" customHeight="1" x14ac:dyDescent="0.25">
      <c r="B8628" s="55" t="s">
        <v>280</v>
      </c>
      <c r="C8628" s="46">
        <v>3616</v>
      </c>
      <c r="D8628" s="69" t="s">
        <v>29417</v>
      </c>
      <c r="E8628" s="51"/>
      <c r="F8628" s="114" t="str">
        <f>IF(INDEX(I.Facility.P2aIDNumber,3616)="","",INDEX(I.Facility.P2aIDNumber,3616))</f>
        <v/>
      </c>
      <c r="G8628" s="51"/>
      <c r="H8628" s="46" t="str">
        <f>IF(AND(I.Developer.P2a=TRUE,I.Facility.P2aFacilityCount&gt;=3616,F8628=""),"Incomplete","Complete")</f>
        <v>Complete</v>
      </c>
      <c r="I8628" s="48" t="s">
        <v>12993</v>
      </c>
    </row>
    <row r="8629" spans="2:9" ht="15" customHeight="1" x14ac:dyDescent="0.25">
      <c r="B8629" s="55" t="s">
        <v>280</v>
      </c>
      <c r="C8629" s="46">
        <v>3617</v>
      </c>
      <c r="D8629" s="69" t="s">
        <v>29417</v>
      </c>
      <c r="E8629" s="51"/>
      <c r="F8629" s="114" t="str">
        <f>IF(INDEX(I.Facility.P2aIDNumber,3617)="","",INDEX(I.Facility.P2aIDNumber,3617))</f>
        <v/>
      </c>
      <c r="G8629" s="51"/>
      <c r="H8629" s="46" t="str">
        <f>IF(AND(I.Developer.P2a=TRUE,I.Facility.P2aFacilityCount&gt;=3617,F8629=""),"Incomplete","Complete")</f>
        <v>Complete</v>
      </c>
      <c r="I8629" s="48" t="s">
        <v>12994</v>
      </c>
    </row>
    <row r="8630" spans="2:9" ht="15" customHeight="1" x14ac:dyDescent="0.25">
      <c r="B8630" s="55" t="s">
        <v>280</v>
      </c>
      <c r="C8630" s="46">
        <v>3618</v>
      </c>
      <c r="D8630" s="69" t="s">
        <v>29417</v>
      </c>
      <c r="E8630" s="51"/>
      <c r="F8630" s="114" t="str">
        <f>IF(INDEX(I.Facility.P2aIDNumber,3618)="","",INDEX(I.Facility.P2aIDNumber,3618))</f>
        <v/>
      </c>
      <c r="G8630" s="51"/>
      <c r="H8630" s="46" t="str">
        <f>IF(AND(I.Developer.P2a=TRUE,I.Facility.P2aFacilityCount&gt;=3618,F8630=""),"Incomplete","Complete")</f>
        <v>Complete</v>
      </c>
      <c r="I8630" s="48" t="s">
        <v>12995</v>
      </c>
    </row>
    <row r="8631" spans="2:9" ht="15" customHeight="1" x14ac:dyDescent="0.25">
      <c r="B8631" s="55" t="s">
        <v>280</v>
      </c>
      <c r="C8631" s="46">
        <v>3619</v>
      </c>
      <c r="D8631" s="69" t="s">
        <v>29417</v>
      </c>
      <c r="E8631" s="51"/>
      <c r="F8631" s="114" t="str">
        <f>IF(INDEX(I.Facility.P2aIDNumber,3619)="","",INDEX(I.Facility.P2aIDNumber,3619))</f>
        <v/>
      </c>
      <c r="G8631" s="51"/>
      <c r="H8631" s="46" t="str">
        <f>IF(AND(I.Developer.P2a=TRUE,I.Facility.P2aFacilityCount&gt;=3619,F8631=""),"Incomplete","Complete")</f>
        <v>Complete</v>
      </c>
      <c r="I8631" s="48" t="s">
        <v>12996</v>
      </c>
    </row>
    <row r="8632" spans="2:9" ht="15" customHeight="1" x14ac:dyDescent="0.25">
      <c r="B8632" s="55" t="s">
        <v>280</v>
      </c>
      <c r="C8632" s="46">
        <v>3620</v>
      </c>
      <c r="D8632" s="69" t="s">
        <v>29417</v>
      </c>
      <c r="E8632" s="51"/>
      <c r="F8632" s="114" t="str">
        <f>IF(INDEX(I.Facility.P2aIDNumber,3620)="","",INDEX(I.Facility.P2aIDNumber,3620))</f>
        <v/>
      </c>
      <c r="G8632" s="51"/>
      <c r="H8632" s="46" t="str">
        <f>IF(AND(I.Developer.P2a=TRUE,I.Facility.P2aFacilityCount&gt;=3620,F8632=""),"Incomplete","Complete")</f>
        <v>Complete</v>
      </c>
      <c r="I8632" s="48" t="s">
        <v>12997</v>
      </c>
    </row>
    <row r="8633" spans="2:9" ht="15" customHeight="1" x14ac:dyDescent="0.25">
      <c r="B8633" s="55" t="s">
        <v>280</v>
      </c>
      <c r="C8633" s="46">
        <v>3621</v>
      </c>
      <c r="D8633" s="69" t="s">
        <v>29417</v>
      </c>
      <c r="E8633" s="51"/>
      <c r="F8633" s="114" t="str">
        <f>IF(INDEX(I.Facility.P2aIDNumber,3621)="","",INDEX(I.Facility.P2aIDNumber,3621))</f>
        <v/>
      </c>
      <c r="G8633" s="51"/>
      <c r="H8633" s="46" t="str">
        <f>IF(AND(I.Developer.P2a=TRUE,I.Facility.P2aFacilityCount&gt;=3621,F8633=""),"Incomplete","Complete")</f>
        <v>Complete</v>
      </c>
      <c r="I8633" s="48" t="s">
        <v>12998</v>
      </c>
    </row>
    <row r="8634" spans="2:9" ht="15" customHeight="1" x14ac:dyDescent="0.25">
      <c r="B8634" s="55" t="s">
        <v>280</v>
      </c>
      <c r="C8634" s="46">
        <v>3622</v>
      </c>
      <c r="D8634" s="69" t="s">
        <v>29417</v>
      </c>
      <c r="E8634" s="51"/>
      <c r="F8634" s="114" t="str">
        <f>IF(INDEX(I.Facility.P2aIDNumber,3622)="","",INDEX(I.Facility.P2aIDNumber,3622))</f>
        <v/>
      </c>
      <c r="G8634" s="51"/>
      <c r="H8634" s="46" t="str">
        <f>IF(AND(I.Developer.P2a=TRUE,I.Facility.P2aFacilityCount&gt;=3622,F8634=""),"Incomplete","Complete")</f>
        <v>Complete</v>
      </c>
      <c r="I8634" s="48" t="s">
        <v>12999</v>
      </c>
    </row>
    <row r="8635" spans="2:9" ht="15" customHeight="1" x14ac:dyDescent="0.25">
      <c r="B8635" s="55" t="s">
        <v>280</v>
      </c>
      <c r="C8635" s="46">
        <v>3623</v>
      </c>
      <c r="D8635" s="69" t="s">
        <v>29417</v>
      </c>
      <c r="E8635" s="51"/>
      <c r="F8635" s="114" t="str">
        <f>IF(INDEX(I.Facility.P2aIDNumber,3623)="","",INDEX(I.Facility.P2aIDNumber,3623))</f>
        <v/>
      </c>
      <c r="G8635" s="51"/>
      <c r="H8635" s="46" t="str">
        <f>IF(AND(I.Developer.P2a=TRUE,I.Facility.P2aFacilityCount&gt;=3623,F8635=""),"Incomplete","Complete")</f>
        <v>Complete</v>
      </c>
      <c r="I8635" s="48" t="s">
        <v>13000</v>
      </c>
    </row>
    <row r="8636" spans="2:9" ht="15" customHeight="1" x14ac:dyDescent="0.25">
      <c r="B8636" s="55" t="s">
        <v>280</v>
      </c>
      <c r="C8636" s="46">
        <v>3624</v>
      </c>
      <c r="D8636" s="69" t="s">
        <v>29417</v>
      </c>
      <c r="E8636" s="51"/>
      <c r="F8636" s="114" t="str">
        <f>IF(INDEX(I.Facility.P2aIDNumber,3624)="","",INDEX(I.Facility.P2aIDNumber,3624))</f>
        <v/>
      </c>
      <c r="G8636" s="51"/>
      <c r="H8636" s="46" t="str">
        <f>IF(AND(I.Developer.P2a=TRUE,I.Facility.P2aFacilityCount&gt;=3624,F8636=""),"Incomplete","Complete")</f>
        <v>Complete</v>
      </c>
      <c r="I8636" s="48" t="s">
        <v>13001</v>
      </c>
    </row>
    <row r="8637" spans="2:9" ht="15" customHeight="1" x14ac:dyDescent="0.25">
      <c r="B8637" s="55" t="s">
        <v>280</v>
      </c>
      <c r="C8637" s="46">
        <v>3625</v>
      </c>
      <c r="D8637" s="69" t="s">
        <v>29417</v>
      </c>
      <c r="E8637" s="51"/>
      <c r="F8637" s="114" t="str">
        <f>IF(INDEX(I.Facility.P2aIDNumber,3625)="","",INDEX(I.Facility.P2aIDNumber,3625))</f>
        <v/>
      </c>
      <c r="G8637" s="51"/>
      <c r="H8637" s="46" t="str">
        <f>IF(AND(I.Developer.P2a=TRUE,I.Facility.P2aFacilityCount&gt;=3625,F8637=""),"Incomplete","Complete")</f>
        <v>Complete</v>
      </c>
      <c r="I8637" s="48" t="s">
        <v>13002</v>
      </c>
    </row>
    <row r="8638" spans="2:9" ht="15" customHeight="1" x14ac:dyDescent="0.25">
      <c r="B8638" s="55" t="s">
        <v>280</v>
      </c>
      <c r="C8638" s="46">
        <v>3626</v>
      </c>
      <c r="D8638" s="69" t="s">
        <v>29417</v>
      </c>
      <c r="E8638" s="51"/>
      <c r="F8638" s="114" t="str">
        <f>IF(INDEX(I.Facility.P2aIDNumber,3626)="","",INDEX(I.Facility.P2aIDNumber,3626))</f>
        <v/>
      </c>
      <c r="G8638" s="51"/>
      <c r="H8638" s="46" t="str">
        <f>IF(AND(I.Developer.P2a=TRUE,I.Facility.P2aFacilityCount&gt;=3626,F8638=""),"Incomplete","Complete")</f>
        <v>Complete</v>
      </c>
      <c r="I8638" s="48" t="s">
        <v>13003</v>
      </c>
    </row>
    <row r="8639" spans="2:9" ht="15" customHeight="1" x14ac:dyDescent="0.25">
      <c r="B8639" s="55" t="s">
        <v>280</v>
      </c>
      <c r="C8639" s="46">
        <v>3627</v>
      </c>
      <c r="D8639" s="69" t="s">
        <v>29417</v>
      </c>
      <c r="E8639" s="51"/>
      <c r="F8639" s="114" t="str">
        <f>IF(INDEX(I.Facility.P2aIDNumber,3627)="","",INDEX(I.Facility.P2aIDNumber,3627))</f>
        <v/>
      </c>
      <c r="G8639" s="51"/>
      <c r="H8639" s="46" t="str">
        <f>IF(AND(I.Developer.P2a=TRUE,I.Facility.P2aFacilityCount&gt;=3627,F8639=""),"Incomplete","Complete")</f>
        <v>Complete</v>
      </c>
      <c r="I8639" s="48" t="s">
        <v>13004</v>
      </c>
    </row>
    <row r="8640" spans="2:9" ht="15" customHeight="1" x14ac:dyDescent="0.25">
      <c r="B8640" s="55" t="s">
        <v>280</v>
      </c>
      <c r="C8640" s="46">
        <v>3628</v>
      </c>
      <c r="D8640" s="69" t="s">
        <v>29417</v>
      </c>
      <c r="E8640" s="51"/>
      <c r="F8640" s="114" t="str">
        <f>IF(INDEX(I.Facility.P2aIDNumber,3628)="","",INDEX(I.Facility.P2aIDNumber,3628))</f>
        <v/>
      </c>
      <c r="G8640" s="51"/>
      <c r="H8640" s="46" t="str">
        <f>IF(AND(I.Developer.P2a=TRUE,I.Facility.P2aFacilityCount&gt;=3628,F8640=""),"Incomplete","Complete")</f>
        <v>Complete</v>
      </c>
      <c r="I8640" s="48" t="s">
        <v>13005</v>
      </c>
    </row>
    <row r="8641" spans="2:9" ht="15" customHeight="1" x14ac:dyDescent="0.25">
      <c r="B8641" s="55" t="s">
        <v>280</v>
      </c>
      <c r="C8641" s="46">
        <v>3629</v>
      </c>
      <c r="D8641" s="69" t="s">
        <v>29417</v>
      </c>
      <c r="E8641" s="51"/>
      <c r="F8641" s="114" t="str">
        <f>IF(INDEX(I.Facility.P2aIDNumber,3629)="","",INDEX(I.Facility.P2aIDNumber,3629))</f>
        <v/>
      </c>
      <c r="G8641" s="51"/>
      <c r="H8641" s="46" t="str">
        <f>IF(AND(I.Developer.P2a=TRUE,I.Facility.P2aFacilityCount&gt;=3629,F8641=""),"Incomplete","Complete")</f>
        <v>Complete</v>
      </c>
      <c r="I8641" s="48" t="s">
        <v>13006</v>
      </c>
    </row>
    <row r="8642" spans="2:9" ht="15" customHeight="1" x14ac:dyDescent="0.25">
      <c r="B8642" s="55" t="s">
        <v>280</v>
      </c>
      <c r="C8642" s="46">
        <v>3630</v>
      </c>
      <c r="D8642" s="69" t="s">
        <v>29417</v>
      </c>
      <c r="E8642" s="51"/>
      <c r="F8642" s="114" t="str">
        <f>IF(INDEX(I.Facility.P2aIDNumber,3630)="","",INDEX(I.Facility.P2aIDNumber,3630))</f>
        <v/>
      </c>
      <c r="G8642" s="51"/>
      <c r="H8642" s="46" t="str">
        <f>IF(AND(I.Developer.P2a=TRUE,I.Facility.P2aFacilityCount&gt;=3630,F8642=""),"Incomplete","Complete")</f>
        <v>Complete</v>
      </c>
      <c r="I8642" s="48" t="s">
        <v>13007</v>
      </c>
    </row>
    <row r="8643" spans="2:9" ht="15" customHeight="1" x14ac:dyDescent="0.25">
      <c r="B8643" s="55" t="s">
        <v>280</v>
      </c>
      <c r="C8643" s="46">
        <v>3631</v>
      </c>
      <c r="D8643" s="69" t="s">
        <v>29417</v>
      </c>
      <c r="E8643" s="51"/>
      <c r="F8643" s="114" t="str">
        <f>IF(INDEX(I.Facility.P2aIDNumber,3631)="","",INDEX(I.Facility.P2aIDNumber,3631))</f>
        <v/>
      </c>
      <c r="G8643" s="51"/>
      <c r="H8643" s="46" t="str">
        <f>IF(AND(I.Developer.P2a=TRUE,I.Facility.P2aFacilityCount&gt;=3631,F8643=""),"Incomplete","Complete")</f>
        <v>Complete</v>
      </c>
      <c r="I8643" s="48" t="s">
        <v>13008</v>
      </c>
    </row>
    <row r="8644" spans="2:9" ht="15" customHeight="1" x14ac:dyDescent="0.25">
      <c r="B8644" s="55" t="s">
        <v>280</v>
      </c>
      <c r="C8644" s="46">
        <v>3632</v>
      </c>
      <c r="D8644" s="69" t="s">
        <v>29417</v>
      </c>
      <c r="E8644" s="51"/>
      <c r="F8644" s="114" t="str">
        <f>IF(INDEX(I.Facility.P2aIDNumber,3632)="","",INDEX(I.Facility.P2aIDNumber,3632))</f>
        <v/>
      </c>
      <c r="G8644" s="51"/>
      <c r="H8644" s="46" t="str">
        <f>IF(AND(I.Developer.P2a=TRUE,I.Facility.P2aFacilityCount&gt;=3632,F8644=""),"Incomplete","Complete")</f>
        <v>Complete</v>
      </c>
      <c r="I8644" s="48" t="s">
        <v>13009</v>
      </c>
    </row>
    <row r="8645" spans="2:9" ht="15" customHeight="1" x14ac:dyDescent="0.25">
      <c r="B8645" s="55" t="s">
        <v>280</v>
      </c>
      <c r="C8645" s="46">
        <v>3633</v>
      </c>
      <c r="D8645" s="69" t="s">
        <v>29417</v>
      </c>
      <c r="E8645" s="51"/>
      <c r="F8645" s="114" t="str">
        <f>IF(INDEX(I.Facility.P2aIDNumber,3633)="","",INDEX(I.Facility.P2aIDNumber,3633))</f>
        <v/>
      </c>
      <c r="G8645" s="51"/>
      <c r="H8645" s="46" t="str">
        <f>IF(AND(I.Developer.P2a=TRUE,I.Facility.P2aFacilityCount&gt;=3633,F8645=""),"Incomplete","Complete")</f>
        <v>Complete</v>
      </c>
      <c r="I8645" s="48" t="s">
        <v>13010</v>
      </c>
    </row>
    <row r="8646" spans="2:9" ht="15" customHeight="1" x14ac:dyDescent="0.25">
      <c r="B8646" s="55" t="s">
        <v>280</v>
      </c>
      <c r="C8646" s="46">
        <v>3634</v>
      </c>
      <c r="D8646" s="69" t="s">
        <v>29417</v>
      </c>
      <c r="E8646" s="51"/>
      <c r="F8646" s="114" t="str">
        <f>IF(INDEX(I.Facility.P2aIDNumber,3634)="","",INDEX(I.Facility.P2aIDNumber,3634))</f>
        <v/>
      </c>
      <c r="G8646" s="51"/>
      <c r="H8646" s="46" t="str">
        <f>IF(AND(I.Developer.P2a=TRUE,I.Facility.P2aFacilityCount&gt;=3634,F8646=""),"Incomplete","Complete")</f>
        <v>Complete</v>
      </c>
      <c r="I8646" s="48" t="s">
        <v>13011</v>
      </c>
    </row>
    <row r="8647" spans="2:9" ht="15" customHeight="1" x14ac:dyDescent="0.25">
      <c r="B8647" s="55" t="s">
        <v>280</v>
      </c>
      <c r="C8647" s="46">
        <v>3635</v>
      </c>
      <c r="D8647" s="69" t="s">
        <v>29417</v>
      </c>
      <c r="E8647" s="51"/>
      <c r="F8647" s="114" t="str">
        <f>IF(INDEX(I.Facility.P2aIDNumber,3635)="","",INDEX(I.Facility.P2aIDNumber,3635))</f>
        <v/>
      </c>
      <c r="G8647" s="51"/>
      <c r="H8647" s="46" t="str">
        <f>IF(AND(I.Developer.P2a=TRUE,I.Facility.P2aFacilityCount&gt;=3635,F8647=""),"Incomplete","Complete")</f>
        <v>Complete</v>
      </c>
      <c r="I8647" s="48" t="s">
        <v>13012</v>
      </c>
    </row>
    <row r="8648" spans="2:9" ht="15" customHeight="1" x14ac:dyDescent="0.25">
      <c r="B8648" s="55" t="s">
        <v>280</v>
      </c>
      <c r="C8648" s="46">
        <v>3636</v>
      </c>
      <c r="D8648" s="69" t="s">
        <v>29417</v>
      </c>
      <c r="E8648" s="51"/>
      <c r="F8648" s="114" t="str">
        <f>IF(INDEX(I.Facility.P2aIDNumber,3636)="","",INDEX(I.Facility.P2aIDNumber,3636))</f>
        <v/>
      </c>
      <c r="G8648" s="51"/>
      <c r="H8648" s="46" t="str">
        <f>IF(AND(I.Developer.P2a=TRUE,I.Facility.P2aFacilityCount&gt;=3636,F8648=""),"Incomplete","Complete")</f>
        <v>Complete</v>
      </c>
      <c r="I8648" s="48" t="s">
        <v>13013</v>
      </c>
    </row>
    <row r="8649" spans="2:9" ht="15" customHeight="1" x14ac:dyDescent="0.25">
      <c r="B8649" s="55" t="s">
        <v>280</v>
      </c>
      <c r="C8649" s="46">
        <v>3637</v>
      </c>
      <c r="D8649" s="69" t="s">
        <v>29417</v>
      </c>
      <c r="E8649" s="51"/>
      <c r="F8649" s="114" t="str">
        <f>IF(INDEX(I.Facility.P2aIDNumber,3637)="","",INDEX(I.Facility.P2aIDNumber,3637))</f>
        <v/>
      </c>
      <c r="G8649" s="51"/>
      <c r="H8649" s="46" t="str">
        <f>IF(AND(I.Developer.P2a=TRUE,I.Facility.P2aFacilityCount&gt;=3637,F8649=""),"Incomplete","Complete")</f>
        <v>Complete</v>
      </c>
      <c r="I8649" s="48" t="s">
        <v>13014</v>
      </c>
    </row>
    <row r="8650" spans="2:9" ht="15" customHeight="1" x14ac:dyDescent="0.25">
      <c r="B8650" s="55" t="s">
        <v>280</v>
      </c>
      <c r="C8650" s="46">
        <v>3638</v>
      </c>
      <c r="D8650" s="69" t="s">
        <v>29417</v>
      </c>
      <c r="E8650" s="51"/>
      <c r="F8650" s="114" t="str">
        <f>IF(INDEX(I.Facility.P2aIDNumber,3638)="","",INDEX(I.Facility.P2aIDNumber,3638))</f>
        <v/>
      </c>
      <c r="G8650" s="51"/>
      <c r="H8650" s="46" t="str">
        <f>IF(AND(I.Developer.P2a=TRUE,I.Facility.P2aFacilityCount&gt;=3638,F8650=""),"Incomplete","Complete")</f>
        <v>Complete</v>
      </c>
      <c r="I8650" s="48" t="s">
        <v>13015</v>
      </c>
    </row>
    <row r="8651" spans="2:9" ht="15" customHeight="1" x14ac:dyDescent="0.25">
      <c r="B8651" s="55" t="s">
        <v>280</v>
      </c>
      <c r="C8651" s="46">
        <v>3639</v>
      </c>
      <c r="D8651" s="69" t="s">
        <v>29417</v>
      </c>
      <c r="E8651" s="51"/>
      <c r="F8651" s="114" t="str">
        <f>IF(INDEX(I.Facility.P2aIDNumber,3639)="","",INDEX(I.Facility.P2aIDNumber,3639))</f>
        <v/>
      </c>
      <c r="G8651" s="51"/>
      <c r="H8651" s="46" t="str">
        <f>IF(AND(I.Developer.P2a=TRUE,I.Facility.P2aFacilityCount&gt;=3639,F8651=""),"Incomplete","Complete")</f>
        <v>Complete</v>
      </c>
      <c r="I8651" s="48" t="s">
        <v>13016</v>
      </c>
    </row>
    <row r="8652" spans="2:9" ht="15" customHeight="1" x14ac:dyDescent="0.25">
      <c r="B8652" s="55" t="s">
        <v>280</v>
      </c>
      <c r="C8652" s="46">
        <v>3640</v>
      </c>
      <c r="D8652" s="69" t="s">
        <v>29417</v>
      </c>
      <c r="E8652" s="51"/>
      <c r="F8652" s="114" t="str">
        <f>IF(INDEX(I.Facility.P2aIDNumber,3640)="","",INDEX(I.Facility.P2aIDNumber,3640))</f>
        <v/>
      </c>
      <c r="G8652" s="51"/>
      <c r="H8652" s="46" t="str">
        <f>IF(AND(I.Developer.P2a=TRUE,I.Facility.P2aFacilityCount&gt;=3640,F8652=""),"Incomplete","Complete")</f>
        <v>Complete</v>
      </c>
      <c r="I8652" s="48" t="s">
        <v>13017</v>
      </c>
    </row>
    <row r="8653" spans="2:9" ht="15" customHeight="1" x14ac:dyDescent="0.25">
      <c r="B8653" s="55" t="s">
        <v>280</v>
      </c>
      <c r="C8653" s="46">
        <v>3641</v>
      </c>
      <c r="D8653" s="69" t="s">
        <v>29417</v>
      </c>
      <c r="E8653" s="51"/>
      <c r="F8653" s="114" t="str">
        <f>IF(INDEX(I.Facility.P2aIDNumber,3641)="","",INDEX(I.Facility.P2aIDNumber,3641))</f>
        <v/>
      </c>
      <c r="G8653" s="51"/>
      <c r="H8653" s="46" t="str">
        <f>IF(AND(I.Developer.P2a=TRUE,I.Facility.P2aFacilityCount&gt;=3641,F8653=""),"Incomplete","Complete")</f>
        <v>Complete</v>
      </c>
      <c r="I8653" s="48" t="s">
        <v>13018</v>
      </c>
    </row>
    <row r="8654" spans="2:9" ht="15" customHeight="1" x14ac:dyDescent="0.25">
      <c r="B8654" s="55" t="s">
        <v>280</v>
      </c>
      <c r="C8654" s="46">
        <v>3642</v>
      </c>
      <c r="D8654" s="69" t="s">
        <v>29417</v>
      </c>
      <c r="E8654" s="51"/>
      <c r="F8654" s="114" t="str">
        <f>IF(INDEX(I.Facility.P2aIDNumber,3642)="","",INDEX(I.Facility.P2aIDNumber,3642))</f>
        <v/>
      </c>
      <c r="G8654" s="51"/>
      <c r="H8654" s="46" t="str">
        <f>IF(AND(I.Developer.P2a=TRUE,I.Facility.P2aFacilityCount&gt;=3642,F8654=""),"Incomplete","Complete")</f>
        <v>Complete</v>
      </c>
      <c r="I8654" s="48" t="s">
        <v>13019</v>
      </c>
    </row>
    <row r="8655" spans="2:9" ht="15" customHeight="1" x14ac:dyDescent="0.25">
      <c r="B8655" s="55" t="s">
        <v>280</v>
      </c>
      <c r="C8655" s="46">
        <v>3643</v>
      </c>
      <c r="D8655" s="69" t="s">
        <v>29417</v>
      </c>
      <c r="E8655" s="51"/>
      <c r="F8655" s="114" t="str">
        <f>IF(INDEX(I.Facility.P2aIDNumber,3643)="","",INDEX(I.Facility.P2aIDNumber,3643))</f>
        <v/>
      </c>
      <c r="G8655" s="51"/>
      <c r="H8655" s="46" t="str">
        <f>IF(AND(I.Developer.P2a=TRUE,I.Facility.P2aFacilityCount&gt;=3643,F8655=""),"Incomplete","Complete")</f>
        <v>Complete</v>
      </c>
      <c r="I8655" s="48" t="s">
        <v>13020</v>
      </c>
    </row>
    <row r="8656" spans="2:9" ht="15" customHeight="1" x14ac:dyDescent="0.25">
      <c r="B8656" s="55" t="s">
        <v>280</v>
      </c>
      <c r="C8656" s="46">
        <v>3644</v>
      </c>
      <c r="D8656" s="69" t="s">
        <v>29417</v>
      </c>
      <c r="E8656" s="51"/>
      <c r="F8656" s="114" t="str">
        <f>IF(INDEX(I.Facility.P2aIDNumber,3644)="","",INDEX(I.Facility.P2aIDNumber,3644))</f>
        <v/>
      </c>
      <c r="G8656" s="51"/>
      <c r="H8656" s="46" t="str">
        <f>IF(AND(I.Developer.P2a=TRUE,I.Facility.P2aFacilityCount&gt;=3644,F8656=""),"Incomplete","Complete")</f>
        <v>Complete</v>
      </c>
      <c r="I8656" s="48" t="s">
        <v>13021</v>
      </c>
    </row>
    <row r="8657" spans="2:9" ht="15" customHeight="1" x14ac:dyDescent="0.25">
      <c r="B8657" s="55" t="s">
        <v>280</v>
      </c>
      <c r="C8657" s="46">
        <v>3645</v>
      </c>
      <c r="D8657" s="69" t="s">
        <v>29417</v>
      </c>
      <c r="E8657" s="51"/>
      <c r="F8657" s="114" t="str">
        <f>IF(INDEX(I.Facility.P2aIDNumber,3645)="","",INDEX(I.Facility.P2aIDNumber,3645))</f>
        <v/>
      </c>
      <c r="G8657" s="51"/>
      <c r="H8657" s="46" t="str">
        <f>IF(AND(I.Developer.P2a=TRUE,I.Facility.P2aFacilityCount&gt;=3645,F8657=""),"Incomplete","Complete")</f>
        <v>Complete</v>
      </c>
      <c r="I8657" s="48" t="s">
        <v>13022</v>
      </c>
    </row>
    <row r="8658" spans="2:9" ht="15" customHeight="1" x14ac:dyDescent="0.25">
      <c r="B8658" s="55" t="s">
        <v>280</v>
      </c>
      <c r="C8658" s="46">
        <v>3646</v>
      </c>
      <c r="D8658" s="69" t="s">
        <v>29417</v>
      </c>
      <c r="E8658" s="51"/>
      <c r="F8658" s="114" t="str">
        <f>IF(INDEX(I.Facility.P2aIDNumber,3646)="","",INDEX(I.Facility.P2aIDNumber,3646))</f>
        <v/>
      </c>
      <c r="G8658" s="51"/>
      <c r="H8658" s="46" t="str">
        <f>IF(AND(I.Developer.P2a=TRUE,I.Facility.P2aFacilityCount&gt;=3646,F8658=""),"Incomplete","Complete")</f>
        <v>Complete</v>
      </c>
      <c r="I8658" s="48" t="s">
        <v>13023</v>
      </c>
    </row>
    <row r="8659" spans="2:9" ht="15" customHeight="1" x14ac:dyDescent="0.25">
      <c r="B8659" s="55" t="s">
        <v>280</v>
      </c>
      <c r="C8659" s="46">
        <v>3647</v>
      </c>
      <c r="D8659" s="69" t="s">
        <v>29417</v>
      </c>
      <c r="E8659" s="51"/>
      <c r="F8659" s="114" t="str">
        <f>IF(INDEX(I.Facility.P2aIDNumber,3647)="","",INDEX(I.Facility.P2aIDNumber,3647))</f>
        <v/>
      </c>
      <c r="G8659" s="51"/>
      <c r="H8659" s="46" t="str">
        <f>IF(AND(I.Developer.P2a=TRUE,I.Facility.P2aFacilityCount&gt;=3647,F8659=""),"Incomplete","Complete")</f>
        <v>Complete</v>
      </c>
      <c r="I8659" s="48" t="s">
        <v>13024</v>
      </c>
    </row>
    <row r="8660" spans="2:9" ht="15" customHeight="1" x14ac:dyDescent="0.25">
      <c r="B8660" s="55" t="s">
        <v>280</v>
      </c>
      <c r="C8660" s="46">
        <v>3648</v>
      </c>
      <c r="D8660" s="69" t="s">
        <v>29417</v>
      </c>
      <c r="E8660" s="51"/>
      <c r="F8660" s="114" t="str">
        <f>IF(INDEX(I.Facility.P2aIDNumber,3648)="","",INDEX(I.Facility.P2aIDNumber,3648))</f>
        <v/>
      </c>
      <c r="G8660" s="51"/>
      <c r="H8660" s="46" t="str">
        <f>IF(AND(I.Developer.P2a=TRUE,I.Facility.P2aFacilityCount&gt;=3648,F8660=""),"Incomplete","Complete")</f>
        <v>Complete</v>
      </c>
      <c r="I8660" s="48" t="s">
        <v>13025</v>
      </c>
    </row>
    <row r="8661" spans="2:9" ht="15" customHeight="1" x14ac:dyDescent="0.25">
      <c r="B8661" s="55" t="s">
        <v>280</v>
      </c>
      <c r="C8661" s="46">
        <v>3649</v>
      </c>
      <c r="D8661" s="69" t="s">
        <v>29417</v>
      </c>
      <c r="E8661" s="51"/>
      <c r="F8661" s="114" t="str">
        <f>IF(INDEX(I.Facility.P2aIDNumber,3649)="","",INDEX(I.Facility.P2aIDNumber,3649))</f>
        <v/>
      </c>
      <c r="G8661" s="51"/>
      <c r="H8661" s="46" t="str">
        <f>IF(AND(I.Developer.P2a=TRUE,I.Facility.P2aFacilityCount&gt;=3649,F8661=""),"Incomplete","Complete")</f>
        <v>Complete</v>
      </c>
      <c r="I8661" s="48" t="s">
        <v>13026</v>
      </c>
    </row>
    <row r="8662" spans="2:9" ht="15" customHeight="1" x14ac:dyDescent="0.25">
      <c r="B8662" s="55" t="s">
        <v>280</v>
      </c>
      <c r="C8662" s="46">
        <v>3650</v>
      </c>
      <c r="D8662" s="69" t="s">
        <v>29417</v>
      </c>
      <c r="E8662" s="51"/>
      <c r="F8662" s="114" t="str">
        <f>IF(INDEX(I.Facility.P2aIDNumber,3650)="","",INDEX(I.Facility.P2aIDNumber,3650))</f>
        <v/>
      </c>
      <c r="G8662" s="51"/>
      <c r="H8662" s="46" t="str">
        <f>IF(AND(I.Developer.P2a=TRUE,I.Facility.P2aFacilityCount&gt;=3650,F8662=""),"Incomplete","Complete")</f>
        <v>Complete</v>
      </c>
      <c r="I8662" s="48" t="s">
        <v>13027</v>
      </c>
    </row>
    <row r="8663" spans="2:9" ht="15" customHeight="1" x14ac:dyDescent="0.25">
      <c r="B8663" s="55" t="s">
        <v>280</v>
      </c>
      <c r="C8663" s="46">
        <v>3651</v>
      </c>
      <c r="D8663" s="69" t="s">
        <v>29417</v>
      </c>
      <c r="E8663" s="51"/>
      <c r="F8663" s="114" t="str">
        <f>IF(INDEX(I.Facility.P2aIDNumber,3651)="","",INDEX(I.Facility.P2aIDNumber,3651))</f>
        <v/>
      </c>
      <c r="G8663" s="51"/>
      <c r="H8663" s="46" t="str">
        <f>IF(AND(I.Developer.P2a=TRUE,I.Facility.P2aFacilityCount&gt;=3651,F8663=""),"Incomplete","Complete")</f>
        <v>Complete</v>
      </c>
      <c r="I8663" s="48" t="s">
        <v>13028</v>
      </c>
    </row>
    <row r="8664" spans="2:9" ht="15" customHeight="1" x14ac:dyDescent="0.25">
      <c r="B8664" s="55" t="s">
        <v>280</v>
      </c>
      <c r="C8664" s="46">
        <v>3652</v>
      </c>
      <c r="D8664" s="69" t="s">
        <v>29417</v>
      </c>
      <c r="E8664" s="51"/>
      <c r="F8664" s="114" t="str">
        <f>IF(INDEX(I.Facility.P2aIDNumber,3652)="","",INDEX(I.Facility.P2aIDNumber,3652))</f>
        <v/>
      </c>
      <c r="G8664" s="51"/>
      <c r="H8664" s="46" t="str">
        <f>IF(AND(I.Developer.P2a=TRUE,I.Facility.P2aFacilityCount&gt;=3652,F8664=""),"Incomplete","Complete")</f>
        <v>Complete</v>
      </c>
      <c r="I8664" s="48" t="s">
        <v>13029</v>
      </c>
    </row>
    <row r="8665" spans="2:9" ht="15" customHeight="1" x14ac:dyDescent="0.25">
      <c r="B8665" s="55" t="s">
        <v>280</v>
      </c>
      <c r="C8665" s="46">
        <v>3653</v>
      </c>
      <c r="D8665" s="69" t="s">
        <v>29417</v>
      </c>
      <c r="E8665" s="51"/>
      <c r="F8665" s="114" t="str">
        <f>IF(INDEX(I.Facility.P2aIDNumber,3653)="","",INDEX(I.Facility.P2aIDNumber,3653))</f>
        <v/>
      </c>
      <c r="G8665" s="51"/>
      <c r="H8665" s="46" t="str">
        <f>IF(AND(I.Developer.P2a=TRUE,I.Facility.P2aFacilityCount&gt;=3653,F8665=""),"Incomplete","Complete")</f>
        <v>Complete</v>
      </c>
      <c r="I8665" s="48" t="s">
        <v>13030</v>
      </c>
    </row>
    <row r="8666" spans="2:9" ht="15" customHeight="1" x14ac:dyDescent="0.25">
      <c r="B8666" s="55" t="s">
        <v>280</v>
      </c>
      <c r="C8666" s="46">
        <v>3654</v>
      </c>
      <c r="D8666" s="69" t="s">
        <v>29417</v>
      </c>
      <c r="E8666" s="51"/>
      <c r="F8666" s="114" t="str">
        <f>IF(INDEX(I.Facility.P2aIDNumber,3654)="","",INDEX(I.Facility.P2aIDNumber,3654))</f>
        <v/>
      </c>
      <c r="G8666" s="51"/>
      <c r="H8666" s="46" t="str">
        <f>IF(AND(I.Developer.P2a=TRUE,I.Facility.P2aFacilityCount&gt;=3654,F8666=""),"Incomplete","Complete")</f>
        <v>Complete</v>
      </c>
      <c r="I8666" s="48" t="s">
        <v>13031</v>
      </c>
    </row>
    <row r="8667" spans="2:9" ht="15" customHeight="1" x14ac:dyDescent="0.25">
      <c r="B8667" s="55" t="s">
        <v>280</v>
      </c>
      <c r="C8667" s="46">
        <v>3655</v>
      </c>
      <c r="D8667" s="69" t="s">
        <v>29417</v>
      </c>
      <c r="E8667" s="51"/>
      <c r="F8667" s="114" t="str">
        <f>IF(INDEX(I.Facility.P2aIDNumber,3655)="","",INDEX(I.Facility.P2aIDNumber,3655))</f>
        <v/>
      </c>
      <c r="G8667" s="51"/>
      <c r="H8667" s="46" t="str">
        <f>IF(AND(I.Developer.P2a=TRUE,I.Facility.P2aFacilityCount&gt;=3655,F8667=""),"Incomplete","Complete")</f>
        <v>Complete</v>
      </c>
      <c r="I8667" s="48" t="s">
        <v>13032</v>
      </c>
    </row>
    <row r="8668" spans="2:9" ht="15" customHeight="1" x14ac:dyDescent="0.25">
      <c r="B8668" s="55" t="s">
        <v>280</v>
      </c>
      <c r="C8668" s="46">
        <v>3656</v>
      </c>
      <c r="D8668" s="69" t="s">
        <v>29417</v>
      </c>
      <c r="E8668" s="51"/>
      <c r="F8668" s="114" t="str">
        <f>IF(INDEX(I.Facility.P2aIDNumber,3656)="","",INDEX(I.Facility.P2aIDNumber,3656))</f>
        <v/>
      </c>
      <c r="G8668" s="51"/>
      <c r="H8668" s="46" t="str">
        <f>IF(AND(I.Developer.P2a=TRUE,I.Facility.P2aFacilityCount&gt;=3656,F8668=""),"Incomplete","Complete")</f>
        <v>Complete</v>
      </c>
      <c r="I8668" s="48" t="s">
        <v>13033</v>
      </c>
    </row>
    <row r="8669" spans="2:9" ht="15" customHeight="1" x14ac:dyDescent="0.25">
      <c r="B8669" s="55" t="s">
        <v>280</v>
      </c>
      <c r="C8669" s="46">
        <v>3657</v>
      </c>
      <c r="D8669" s="69" t="s">
        <v>29417</v>
      </c>
      <c r="E8669" s="51"/>
      <c r="F8669" s="114" t="str">
        <f>IF(INDEX(I.Facility.P2aIDNumber,3657)="","",INDEX(I.Facility.P2aIDNumber,3657))</f>
        <v/>
      </c>
      <c r="G8669" s="51"/>
      <c r="H8669" s="46" t="str">
        <f>IF(AND(I.Developer.P2a=TRUE,I.Facility.P2aFacilityCount&gt;=3657,F8669=""),"Incomplete","Complete")</f>
        <v>Complete</v>
      </c>
      <c r="I8669" s="48" t="s">
        <v>13034</v>
      </c>
    </row>
    <row r="8670" spans="2:9" ht="15" customHeight="1" x14ac:dyDescent="0.25">
      <c r="B8670" s="55" t="s">
        <v>280</v>
      </c>
      <c r="C8670" s="46">
        <v>3658</v>
      </c>
      <c r="D8670" s="69" t="s">
        <v>29417</v>
      </c>
      <c r="E8670" s="51"/>
      <c r="F8670" s="114" t="str">
        <f>IF(INDEX(I.Facility.P2aIDNumber,3658)="","",INDEX(I.Facility.P2aIDNumber,3658))</f>
        <v/>
      </c>
      <c r="G8670" s="51"/>
      <c r="H8670" s="46" t="str">
        <f>IF(AND(I.Developer.P2a=TRUE,I.Facility.P2aFacilityCount&gt;=3658,F8670=""),"Incomplete","Complete")</f>
        <v>Complete</v>
      </c>
      <c r="I8670" s="48" t="s">
        <v>13035</v>
      </c>
    </row>
    <row r="8671" spans="2:9" ht="15" customHeight="1" x14ac:dyDescent="0.25">
      <c r="B8671" s="55" t="s">
        <v>280</v>
      </c>
      <c r="C8671" s="46">
        <v>3659</v>
      </c>
      <c r="D8671" s="69" t="s">
        <v>29417</v>
      </c>
      <c r="E8671" s="51"/>
      <c r="F8671" s="114" t="str">
        <f>IF(INDEX(I.Facility.P2aIDNumber,3659)="","",INDEX(I.Facility.P2aIDNumber,3659))</f>
        <v/>
      </c>
      <c r="G8671" s="51"/>
      <c r="H8671" s="46" t="str">
        <f>IF(AND(I.Developer.P2a=TRUE,I.Facility.P2aFacilityCount&gt;=3659,F8671=""),"Incomplete","Complete")</f>
        <v>Complete</v>
      </c>
      <c r="I8671" s="48" t="s">
        <v>13036</v>
      </c>
    </row>
    <row r="8672" spans="2:9" ht="15" customHeight="1" x14ac:dyDescent="0.25">
      <c r="B8672" s="55" t="s">
        <v>280</v>
      </c>
      <c r="C8672" s="46">
        <v>3660</v>
      </c>
      <c r="D8672" s="69" t="s">
        <v>29417</v>
      </c>
      <c r="E8672" s="51"/>
      <c r="F8672" s="114" t="str">
        <f>IF(INDEX(I.Facility.P2aIDNumber,3660)="","",INDEX(I.Facility.P2aIDNumber,3660))</f>
        <v/>
      </c>
      <c r="G8672" s="51"/>
      <c r="H8672" s="46" t="str">
        <f>IF(AND(I.Developer.P2a=TRUE,I.Facility.P2aFacilityCount&gt;=3660,F8672=""),"Incomplete","Complete")</f>
        <v>Complete</v>
      </c>
      <c r="I8672" s="48" t="s">
        <v>13037</v>
      </c>
    </row>
    <row r="8673" spans="2:9" ht="15" customHeight="1" x14ac:dyDescent="0.25">
      <c r="B8673" s="55" t="s">
        <v>280</v>
      </c>
      <c r="C8673" s="46">
        <v>3661</v>
      </c>
      <c r="D8673" s="69" t="s">
        <v>29417</v>
      </c>
      <c r="E8673" s="51"/>
      <c r="F8673" s="114" t="str">
        <f>IF(INDEX(I.Facility.P2aIDNumber,3661)="","",INDEX(I.Facility.P2aIDNumber,3661))</f>
        <v/>
      </c>
      <c r="G8673" s="51"/>
      <c r="H8673" s="46" t="str">
        <f>IF(AND(I.Developer.P2a=TRUE,I.Facility.P2aFacilityCount&gt;=3661,F8673=""),"Incomplete","Complete")</f>
        <v>Complete</v>
      </c>
      <c r="I8673" s="48" t="s">
        <v>13038</v>
      </c>
    </row>
    <row r="8674" spans="2:9" ht="15" customHeight="1" x14ac:dyDescent="0.25">
      <c r="B8674" s="55" t="s">
        <v>280</v>
      </c>
      <c r="C8674" s="46">
        <v>3662</v>
      </c>
      <c r="D8674" s="69" t="s">
        <v>29417</v>
      </c>
      <c r="E8674" s="51"/>
      <c r="F8674" s="114" t="str">
        <f>IF(INDEX(I.Facility.P2aIDNumber,3662)="","",INDEX(I.Facility.P2aIDNumber,3662))</f>
        <v/>
      </c>
      <c r="G8674" s="51"/>
      <c r="H8674" s="46" t="str">
        <f>IF(AND(I.Developer.P2a=TRUE,I.Facility.P2aFacilityCount&gt;=3662,F8674=""),"Incomplete","Complete")</f>
        <v>Complete</v>
      </c>
      <c r="I8674" s="48" t="s">
        <v>13039</v>
      </c>
    </row>
    <row r="8675" spans="2:9" ht="15" customHeight="1" x14ac:dyDescent="0.25">
      <c r="B8675" s="55" t="s">
        <v>280</v>
      </c>
      <c r="C8675" s="46">
        <v>3663</v>
      </c>
      <c r="D8675" s="69" t="s">
        <v>29417</v>
      </c>
      <c r="E8675" s="51"/>
      <c r="F8675" s="114" t="str">
        <f>IF(INDEX(I.Facility.P2aIDNumber,3663)="","",INDEX(I.Facility.P2aIDNumber,3663))</f>
        <v/>
      </c>
      <c r="G8675" s="51"/>
      <c r="H8675" s="46" t="str">
        <f>IF(AND(I.Developer.P2a=TRUE,I.Facility.P2aFacilityCount&gt;=3663,F8675=""),"Incomplete","Complete")</f>
        <v>Complete</v>
      </c>
      <c r="I8675" s="48" t="s">
        <v>13040</v>
      </c>
    </row>
    <row r="8676" spans="2:9" ht="15" customHeight="1" x14ac:dyDescent="0.25">
      <c r="B8676" s="55" t="s">
        <v>280</v>
      </c>
      <c r="C8676" s="46">
        <v>3664</v>
      </c>
      <c r="D8676" s="69" t="s">
        <v>29417</v>
      </c>
      <c r="E8676" s="51"/>
      <c r="F8676" s="114" t="str">
        <f>IF(INDEX(I.Facility.P2aIDNumber,3664)="","",INDEX(I.Facility.P2aIDNumber,3664))</f>
        <v/>
      </c>
      <c r="G8676" s="51"/>
      <c r="H8676" s="46" t="str">
        <f>IF(AND(I.Developer.P2a=TRUE,I.Facility.P2aFacilityCount&gt;=3664,F8676=""),"Incomplete","Complete")</f>
        <v>Complete</v>
      </c>
      <c r="I8676" s="48" t="s">
        <v>13041</v>
      </c>
    </row>
    <row r="8677" spans="2:9" ht="15" customHeight="1" x14ac:dyDescent="0.25">
      <c r="B8677" s="55" t="s">
        <v>280</v>
      </c>
      <c r="C8677" s="46">
        <v>3665</v>
      </c>
      <c r="D8677" s="69" t="s">
        <v>29417</v>
      </c>
      <c r="E8677" s="51"/>
      <c r="F8677" s="114" t="str">
        <f>IF(INDEX(I.Facility.P2aIDNumber,3665)="","",INDEX(I.Facility.P2aIDNumber,3665))</f>
        <v/>
      </c>
      <c r="G8677" s="51"/>
      <c r="H8677" s="46" t="str">
        <f>IF(AND(I.Developer.P2a=TRUE,I.Facility.P2aFacilityCount&gt;=3665,F8677=""),"Incomplete","Complete")</f>
        <v>Complete</v>
      </c>
      <c r="I8677" s="48" t="s">
        <v>13042</v>
      </c>
    </row>
    <row r="8678" spans="2:9" ht="15" customHeight="1" x14ac:dyDescent="0.25">
      <c r="B8678" s="55" t="s">
        <v>280</v>
      </c>
      <c r="C8678" s="46">
        <v>3666</v>
      </c>
      <c r="D8678" s="69" t="s">
        <v>29417</v>
      </c>
      <c r="E8678" s="51"/>
      <c r="F8678" s="114" t="str">
        <f>IF(INDEX(I.Facility.P2aIDNumber,3666)="","",INDEX(I.Facility.P2aIDNumber,3666))</f>
        <v/>
      </c>
      <c r="G8678" s="51"/>
      <c r="H8678" s="46" t="str">
        <f>IF(AND(I.Developer.P2a=TRUE,I.Facility.P2aFacilityCount&gt;=3666,F8678=""),"Incomplete","Complete")</f>
        <v>Complete</v>
      </c>
      <c r="I8678" s="48" t="s">
        <v>13043</v>
      </c>
    </row>
    <row r="8679" spans="2:9" ht="15" customHeight="1" x14ac:dyDescent="0.25">
      <c r="B8679" s="55" t="s">
        <v>280</v>
      </c>
      <c r="C8679" s="46">
        <v>3667</v>
      </c>
      <c r="D8679" s="69" t="s">
        <v>29417</v>
      </c>
      <c r="E8679" s="51"/>
      <c r="F8679" s="114" t="str">
        <f>IF(INDEX(I.Facility.P2aIDNumber,3667)="","",INDEX(I.Facility.P2aIDNumber,3667))</f>
        <v/>
      </c>
      <c r="G8679" s="51"/>
      <c r="H8679" s="46" t="str">
        <f>IF(AND(I.Developer.P2a=TRUE,I.Facility.P2aFacilityCount&gt;=3667,F8679=""),"Incomplete","Complete")</f>
        <v>Complete</v>
      </c>
      <c r="I8679" s="48" t="s">
        <v>13044</v>
      </c>
    </row>
    <row r="8680" spans="2:9" ht="15" customHeight="1" x14ac:dyDescent="0.25">
      <c r="B8680" s="55" t="s">
        <v>280</v>
      </c>
      <c r="C8680" s="46">
        <v>3668</v>
      </c>
      <c r="D8680" s="69" t="s">
        <v>29417</v>
      </c>
      <c r="E8680" s="51"/>
      <c r="F8680" s="114" t="str">
        <f>IF(INDEX(I.Facility.P2aIDNumber,3668)="","",INDEX(I.Facility.P2aIDNumber,3668))</f>
        <v/>
      </c>
      <c r="G8680" s="51"/>
      <c r="H8680" s="46" t="str">
        <f>IF(AND(I.Developer.P2a=TRUE,I.Facility.P2aFacilityCount&gt;=3668,F8680=""),"Incomplete","Complete")</f>
        <v>Complete</v>
      </c>
      <c r="I8680" s="48" t="s">
        <v>13045</v>
      </c>
    </row>
    <row r="8681" spans="2:9" ht="15" customHeight="1" x14ac:dyDescent="0.25">
      <c r="B8681" s="55" t="s">
        <v>280</v>
      </c>
      <c r="C8681" s="46">
        <v>3669</v>
      </c>
      <c r="D8681" s="69" t="s">
        <v>29417</v>
      </c>
      <c r="E8681" s="51"/>
      <c r="F8681" s="114" t="str">
        <f>IF(INDEX(I.Facility.P2aIDNumber,3669)="","",INDEX(I.Facility.P2aIDNumber,3669))</f>
        <v/>
      </c>
      <c r="G8681" s="51"/>
      <c r="H8681" s="46" t="str">
        <f>IF(AND(I.Developer.P2a=TRUE,I.Facility.P2aFacilityCount&gt;=3669,F8681=""),"Incomplete","Complete")</f>
        <v>Complete</v>
      </c>
      <c r="I8681" s="48" t="s">
        <v>13046</v>
      </c>
    </row>
    <row r="8682" spans="2:9" ht="15" customHeight="1" x14ac:dyDescent="0.25">
      <c r="B8682" s="55" t="s">
        <v>280</v>
      </c>
      <c r="C8682" s="46">
        <v>3670</v>
      </c>
      <c r="D8682" s="69" t="s">
        <v>29417</v>
      </c>
      <c r="E8682" s="51"/>
      <c r="F8682" s="114" t="str">
        <f>IF(INDEX(I.Facility.P2aIDNumber,3670)="","",INDEX(I.Facility.P2aIDNumber,3670))</f>
        <v/>
      </c>
      <c r="G8682" s="51"/>
      <c r="H8682" s="46" t="str">
        <f>IF(AND(I.Developer.P2a=TRUE,I.Facility.P2aFacilityCount&gt;=3670,F8682=""),"Incomplete","Complete")</f>
        <v>Complete</v>
      </c>
      <c r="I8682" s="48" t="s">
        <v>13047</v>
      </c>
    </row>
    <row r="8683" spans="2:9" ht="15" customHeight="1" x14ac:dyDescent="0.25">
      <c r="B8683" s="55" t="s">
        <v>280</v>
      </c>
      <c r="C8683" s="46">
        <v>3671</v>
      </c>
      <c r="D8683" s="69" t="s">
        <v>29417</v>
      </c>
      <c r="E8683" s="51"/>
      <c r="F8683" s="114" t="str">
        <f>IF(INDEX(I.Facility.P2aIDNumber,3671)="","",INDEX(I.Facility.P2aIDNumber,3671))</f>
        <v/>
      </c>
      <c r="G8683" s="51"/>
      <c r="H8683" s="46" t="str">
        <f>IF(AND(I.Developer.P2a=TRUE,I.Facility.P2aFacilityCount&gt;=3671,F8683=""),"Incomplete","Complete")</f>
        <v>Complete</v>
      </c>
      <c r="I8683" s="48" t="s">
        <v>13048</v>
      </c>
    </row>
    <row r="8684" spans="2:9" ht="15" customHeight="1" x14ac:dyDescent="0.25">
      <c r="B8684" s="55" t="s">
        <v>280</v>
      </c>
      <c r="C8684" s="46">
        <v>3672</v>
      </c>
      <c r="D8684" s="69" t="s">
        <v>29417</v>
      </c>
      <c r="E8684" s="51"/>
      <c r="F8684" s="114" t="str">
        <f>IF(INDEX(I.Facility.P2aIDNumber,3672)="","",INDEX(I.Facility.P2aIDNumber,3672))</f>
        <v/>
      </c>
      <c r="G8684" s="51"/>
      <c r="H8684" s="46" t="str">
        <f>IF(AND(I.Developer.P2a=TRUE,I.Facility.P2aFacilityCount&gt;=3672,F8684=""),"Incomplete","Complete")</f>
        <v>Complete</v>
      </c>
      <c r="I8684" s="48" t="s">
        <v>13049</v>
      </c>
    </row>
    <row r="8685" spans="2:9" ht="15" customHeight="1" x14ac:dyDescent="0.25">
      <c r="B8685" s="55" t="s">
        <v>280</v>
      </c>
      <c r="C8685" s="46">
        <v>3673</v>
      </c>
      <c r="D8685" s="69" t="s">
        <v>29417</v>
      </c>
      <c r="E8685" s="51"/>
      <c r="F8685" s="114" t="str">
        <f>IF(INDEX(I.Facility.P2aIDNumber,3673)="","",INDEX(I.Facility.P2aIDNumber,3673))</f>
        <v/>
      </c>
      <c r="G8685" s="51"/>
      <c r="H8685" s="46" t="str">
        <f>IF(AND(I.Developer.P2a=TRUE,I.Facility.P2aFacilityCount&gt;=3673,F8685=""),"Incomplete","Complete")</f>
        <v>Complete</v>
      </c>
      <c r="I8685" s="48" t="s">
        <v>13050</v>
      </c>
    </row>
    <row r="8686" spans="2:9" ht="15" customHeight="1" x14ac:dyDescent="0.25">
      <c r="B8686" s="55" t="s">
        <v>280</v>
      </c>
      <c r="C8686" s="46">
        <v>3674</v>
      </c>
      <c r="D8686" s="69" t="s">
        <v>29417</v>
      </c>
      <c r="E8686" s="51"/>
      <c r="F8686" s="114" t="str">
        <f>IF(INDEX(I.Facility.P2aIDNumber,3674)="","",INDEX(I.Facility.P2aIDNumber,3674))</f>
        <v/>
      </c>
      <c r="G8686" s="51"/>
      <c r="H8686" s="46" t="str">
        <f>IF(AND(I.Developer.P2a=TRUE,I.Facility.P2aFacilityCount&gt;=3674,F8686=""),"Incomplete","Complete")</f>
        <v>Complete</v>
      </c>
      <c r="I8686" s="48" t="s">
        <v>13051</v>
      </c>
    </row>
    <row r="8687" spans="2:9" ht="15" customHeight="1" x14ac:dyDescent="0.25">
      <c r="B8687" s="55" t="s">
        <v>280</v>
      </c>
      <c r="C8687" s="46">
        <v>3675</v>
      </c>
      <c r="D8687" s="69" t="s">
        <v>29417</v>
      </c>
      <c r="E8687" s="51"/>
      <c r="F8687" s="114" t="str">
        <f>IF(INDEX(I.Facility.P2aIDNumber,3675)="","",INDEX(I.Facility.P2aIDNumber,3675))</f>
        <v/>
      </c>
      <c r="G8687" s="51"/>
      <c r="H8687" s="46" t="str">
        <f>IF(AND(I.Developer.P2a=TRUE,I.Facility.P2aFacilityCount&gt;=3675,F8687=""),"Incomplete","Complete")</f>
        <v>Complete</v>
      </c>
      <c r="I8687" s="48" t="s">
        <v>13052</v>
      </c>
    </row>
    <row r="8688" spans="2:9" ht="15" customHeight="1" x14ac:dyDescent="0.25">
      <c r="B8688" s="55" t="s">
        <v>280</v>
      </c>
      <c r="C8688" s="46">
        <v>3676</v>
      </c>
      <c r="D8688" s="69" t="s">
        <v>29417</v>
      </c>
      <c r="E8688" s="51"/>
      <c r="F8688" s="114" t="str">
        <f>IF(INDEX(I.Facility.P2aIDNumber,3676)="","",INDEX(I.Facility.P2aIDNumber,3676))</f>
        <v/>
      </c>
      <c r="G8688" s="51"/>
      <c r="H8688" s="46" t="str">
        <f>IF(AND(I.Developer.P2a=TRUE,I.Facility.P2aFacilityCount&gt;=3676,F8688=""),"Incomplete","Complete")</f>
        <v>Complete</v>
      </c>
      <c r="I8688" s="48" t="s">
        <v>13053</v>
      </c>
    </row>
    <row r="8689" spans="2:9" ht="15" customHeight="1" x14ac:dyDescent="0.25">
      <c r="B8689" s="55" t="s">
        <v>280</v>
      </c>
      <c r="C8689" s="46">
        <v>3677</v>
      </c>
      <c r="D8689" s="69" t="s">
        <v>29417</v>
      </c>
      <c r="E8689" s="51"/>
      <c r="F8689" s="114" t="str">
        <f>IF(INDEX(I.Facility.P2aIDNumber,3677)="","",INDEX(I.Facility.P2aIDNumber,3677))</f>
        <v/>
      </c>
      <c r="G8689" s="51"/>
      <c r="H8689" s="46" t="str">
        <f>IF(AND(I.Developer.P2a=TRUE,I.Facility.P2aFacilityCount&gt;=3677,F8689=""),"Incomplete","Complete")</f>
        <v>Complete</v>
      </c>
      <c r="I8689" s="48" t="s">
        <v>13054</v>
      </c>
    </row>
    <row r="8690" spans="2:9" ht="15" customHeight="1" x14ac:dyDescent="0.25">
      <c r="B8690" s="55" t="s">
        <v>280</v>
      </c>
      <c r="C8690" s="46">
        <v>3678</v>
      </c>
      <c r="D8690" s="69" t="s">
        <v>29417</v>
      </c>
      <c r="E8690" s="51"/>
      <c r="F8690" s="114" t="str">
        <f>IF(INDEX(I.Facility.P2aIDNumber,3678)="","",INDEX(I.Facility.P2aIDNumber,3678))</f>
        <v/>
      </c>
      <c r="G8690" s="51"/>
      <c r="H8690" s="46" t="str">
        <f>IF(AND(I.Developer.P2a=TRUE,I.Facility.P2aFacilityCount&gt;=3678,F8690=""),"Incomplete","Complete")</f>
        <v>Complete</v>
      </c>
      <c r="I8690" s="48" t="s">
        <v>13055</v>
      </c>
    </row>
    <row r="8691" spans="2:9" ht="15" customHeight="1" x14ac:dyDescent="0.25">
      <c r="B8691" s="55" t="s">
        <v>280</v>
      </c>
      <c r="C8691" s="46">
        <v>3679</v>
      </c>
      <c r="D8691" s="69" t="s">
        <v>29417</v>
      </c>
      <c r="E8691" s="51"/>
      <c r="F8691" s="114" t="str">
        <f>IF(INDEX(I.Facility.P2aIDNumber,3679)="","",INDEX(I.Facility.P2aIDNumber,3679))</f>
        <v/>
      </c>
      <c r="G8691" s="51"/>
      <c r="H8691" s="46" t="str">
        <f>IF(AND(I.Developer.P2a=TRUE,I.Facility.P2aFacilityCount&gt;=3679,F8691=""),"Incomplete","Complete")</f>
        <v>Complete</v>
      </c>
      <c r="I8691" s="48" t="s">
        <v>13056</v>
      </c>
    </row>
    <row r="8692" spans="2:9" ht="15" customHeight="1" x14ac:dyDescent="0.25">
      <c r="B8692" s="55" t="s">
        <v>280</v>
      </c>
      <c r="C8692" s="46">
        <v>3680</v>
      </c>
      <c r="D8692" s="69" t="s">
        <v>29417</v>
      </c>
      <c r="E8692" s="51"/>
      <c r="F8692" s="114" t="str">
        <f>IF(INDEX(I.Facility.P2aIDNumber,3680)="","",INDEX(I.Facility.P2aIDNumber,3680))</f>
        <v/>
      </c>
      <c r="G8692" s="51"/>
      <c r="H8692" s="46" t="str">
        <f>IF(AND(I.Developer.P2a=TRUE,I.Facility.P2aFacilityCount&gt;=3680,F8692=""),"Incomplete","Complete")</f>
        <v>Complete</v>
      </c>
      <c r="I8692" s="48" t="s">
        <v>13057</v>
      </c>
    </row>
    <row r="8693" spans="2:9" ht="15" customHeight="1" x14ac:dyDescent="0.25">
      <c r="B8693" s="55" t="s">
        <v>280</v>
      </c>
      <c r="C8693" s="46">
        <v>3681</v>
      </c>
      <c r="D8693" s="69" t="s">
        <v>29417</v>
      </c>
      <c r="E8693" s="51"/>
      <c r="F8693" s="114" t="str">
        <f>IF(INDEX(I.Facility.P2aIDNumber,3681)="","",INDEX(I.Facility.P2aIDNumber,3681))</f>
        <v/>
      </c>
      <c r="G8693" s="51"/>
      <c r="H8693" s="46" t="str">
        <f>IF(AND(I.Developer.P2a=TRUE,I.Facility.P2aFacilityCount&gt;=3681,F8693=""),"Incomplete","Complete")</f>
        <v>Complete</v>
      </c>
      <c r="I8693" s="48" t="s">
        <v>13058</v>
      </c>
    </row>
    <row r="8694" spans="2:9" ht="15" customHeight="1" x14ac:dyDescent="0.25">
      <c r="B8694" s="55" t="s">
        <v>280</v>
      </c>
      <c r="C8694" s="46">
        <v>3682</v>
      </c>
      <c r="D8694" s="69" t="s">
        <v>29417</v>
      </c>
      <c r="E8694" s="51"/>
      <c r="F8694" s="114" t="str">
        <f>IF(INDEX(I.Facility.P2aIDNumber,3682)="","",INDEX(I.Facility.P2aIDNumber,3682))</f>
        <v/>
      </c>
      <c r="G8694" s="51"/>
      <c r="H8694" s="46" t="str">
        <f>IF(AND(I.Developer.P2a=TRUE,I.Facility.P2aFacilityCount&gt;=3682,F8694=""),"Incomplete","Complete")</f>
        <v>Complete</v>
      </c>
      <c r="I8694" s="48" t="s">
        <v>13059</v>
      </c>
    </row>
    <row r="8695" spans="2:9" ht="15" customHeight="1" x14ac:dyDescent="0.25">
      <c r="B8695" s="55" t="s">
        <v>280</v>
      </c>
      <c r="C8695" s="46">
        <v>3683</v>
      </c>
      <c r="D8695" s="69" t="s">
        <v>29417</v>
      </c>
      <c r="E8695" s="51"/>
      <c r="F8695" s="114" t="str">
        <f>IF(INDEX(I.Facility.P2aIDNumber,3683)="","",INDEX(I.Facility.P2aIDNumber,3683))</f>
        <v/>
      </c>
      <c r="G8695" s="51"/>
      <c r="H8695" s="46" t="str">
        <f>IF(AND(I.Developer.P2a=TRUE,I.Facility.P2aFacilityCount&gt;=3683,F8695=""),"Incomplete","Complete")</f>
        <v>Complete</v>
      </c>
      <c r="I8695" s="48" t="s">
        <v>13060</v>
      </c>
    </row>
    <row r="8696" spans="2:9" ht="15" customHeight="1" x14ac:dyDescent="0.25">
      <c r="B8696" s="55" t="s">
        <v>280</v>
      </c>
      <c r="C8696" s="46">
        <v>3684</v>
      </c>
      <c r="D8696" s="69" t="s">
        <v>29417</v>
      </c>
      <c r="E8696" s="51"/>
      <c r="F8696" s="114" t="str">
        <f>IF(INDEX(I.Facility.P2aIDNumber,3684)="","",INDEX(I.Facility.P2aIDNumber,3684))</f>
        <v/>
      </c>
      <c r="G8696" s="51"/>
      <c r="H8696" s="46" t="str">
        <f>IF(AND(I.Developer.P2a=TRUE,I.Facility.P2aFacilityCount&gt;=3684,F8696=""),"Incomplete","Complete")</f>
        <v>Complete</v>
      </c>
      <c r="I8696" s="48" t="s">
        <v>13061</v>
      </c>
    </row>
    <row r="8697" spans="2:9" ht="15" customHeight="1" x14ac:dyDescent="0.25">
      <c r="B8697" s="55" t="s">
        <v>280</v>
      </c>
      <c r="C8697" s="46">
        <v>3685</v>
      </c>
      <c r="D8697" s="69" t="s">
        <v>29417</v>
      </c>
      <c r="E8697" s="51"/>
      <c r="F8697" s="114" t="str">
        <f>IF(INDEX(I.Facility.P2aIDNumber,3685)="","",INDEX(I.Facility.P2aIDNumber,3685))</f>
        <v/>
      </c>
      <c r="G8697" s="51"/>
      <c r="H8697" s="46" t="str">
        <f>IF(AND(I.Developer.P2a=TRUE,I.Facility.P2aFacilityCount&gt;=3685,F8697=""),"Incomplete","Complete")</f>
        <v>Complete</v>
      </c>
      <c r="I8697" s="48" t="s">
        <v>13062</v>
      </c>
    </row>
    <row r="8698" spans="2:9" ht="15" customHeight="1" x14ac:dyDescent="0.25">
      <c r="B8698" s="55" t="s">
        <v>280</v>
      </c>
      <c r="C8698" s="46">
        <v>3686</v>
      </c>
      <c r="D8698" s="69" t="s">
        <v>29417</v>
      </c>
      <c r="E8698" s="51"/>
      <c r="F8698" s="114" t="str">
        <f>IF(INDEX(I.Facility.P2aIDNumber,3686)="","",INDEX(I.Facility.P2aIDNumber,3686))</f>
        <v/>
      </c>
      <c r="G8698" s="51"/>
      <c r="H8698" s="46" t="str">
        <f>IF(AND(I.Developer.P2a=TRUE,I.Facility.P2aFacilityCount&gt;=3686,F8698=""),"Incomplete","Complete")</f>
        <v>Complete</v>
      </c>
      <c r="I8698" s="48" t="s">
        <v>13063</v>
      </c>
    </row>
    <row r="8699" spans="2:9" ht="15" customHeight="1" x14ac:dyDescent="0.25">
      <c r="B8699" s="55" t="s">
        <v>280</v>
      </c>
      <c r="C8699" s="46">
        <v>3687</v>
      </c>
      <c r="D8699" s="69" t="s">
        <v>29417</v>
      </c>
      <c r="E8699" s="51"/>
      <c r="F8699" s="114" t="str">
        <f>IF(INDEX(I.Facility.P2aIDNumber,3687)="","",INDEX(I.Facility.P2aIDNumber,3687))</f>
        <v/>
      </c>
      <c r="G8699" s="51"/>
      <c r="H8699" s="46" t="str">
        <f>IF(AND(I.Developer.P2a=TRUE,I.Facility.P2aFacilityCount&gt;=3687,F8699=""),"Incomplete","Complete")</f>
        <v>Complete</v>
      </c>
      <c r="I8699" s="48" t="s">
        <v>13064</v>
      </c>
    </row>
    <row r="8700" spans="2:9" ht="15" customHeight="1" x14ac:dyDescent="0.25">
      <c r="B8700" s="55" t="s">
        <v>280</v>
      </c>
      <c r="C8700" s="46">
        <v>3688</v>
      </c>
      <c r="D8700" s="69" t="s">
        <v>29417</v>
      </c>
      <c r="E8700" s="51"/>
      <c r="F8700" s="114" t="str">
        <f>IF(INDEX(I.Facility.P2aIDNumber,3688)="","",INDEX(I.Facility.P2aIDNumber,3688))</f>
        <v/>
      </c>
      <c r="G8700" s="51"/>
      <c r="H8700" s="46" t="str">
        <f>IF(AND(I.Developer.P2a=TRUE,I.Facility.P2aFacilityCount&gt;=3688,F8700=""),"Incomplete","Complete")</f>
        <v>Complete</v>
      </c>
      <c r="I8700" s="48" t="s">
        <v>13065</v>
      </c>
    </row>
    <row r="8701" spans="2:9" ht="15" customHeight="1" x14ac:dyDescent="0.25">
      <c r="B8701" s="55" t="s">
        <v>280</v>
      </c>
      <c r="C8701" s="46">
        <v>3689</v>
      </c>
      <c r="D8701" s="69" t="s">
        <v>29417</v>
      </c>
      <c r="E8701" s="51"/>
      <c r="F8701" s="114" t="str">
        <f>IF(INDEX(I.Facility.P2aIDNumber,3689)="","",INDEX(I.Facility.P2aIDNumber,3689))</f>
        <v/>
      </c>
      <c r="G8701" s="51"/>
      <c r="H8701" s="46" t="str">
        <f>IF(AND(I.Developer.P2a=TRUE,I.Facility.P2aFacilityCount&gt;=3689,F8701=""),"Incomplete","Complete")</f>
        <v>Complete</v>
      </c>
      <c r="I8701" s="48" t="s">
        <v>13066</v>
      </c>
    </row>
    <row r="8702" spans="2:9" ht="15" customHeight="1" x14ac:dyDescent="0.25">
      <c r="B8702" s="55" t="s">
        <v>280</v>
      </c>
      <c r="C8702" s="46">
        <v>3690</v>
      </c>
      <c r="D8702" s="69" t="s">
        <v>29417</v>
      </c>
      <c r="E8702" s="51"/>
      <c r="F8702" s="114" t="str">
        <f>IF(INDEX(I.Facility.P2aIDNumber,3690)="","",INDEX(I.Facility.P2aIDNumber,3690))</f>
        <v/>
      </c>
      <c r="G8702" s="51"/>
      <c r="H8702" s="46" t="str">
        <f>IF(AND(I.Developer.P2a=TRUE,I.Facility.P2aFacilityCount&gt;=3690,F8702=""),"Incomplete","Complete")</f>
        <v>Complete</v>
      </c>
      <c r="I8702" s="48" t="s">
        <v>13067</v>
      </c>
    </row>
    <row r="8703" spans="2:9" ht="15" customHeight="1" x14ac:dyDescent="0.25">
      <c r="B8703" s="55" t="s">
        <v>280</v>
      </c>
      <c r="C8703" s="46">
        <v>3691</v>
      </c>
      <c r="D8703" s="69" t="s">
        <v>29417</v>
      </c>
      <c r="E8703" s="51"/>
      <c r="F8703" s="114" t="str">
        <f>IF(INDEX(I.Facility.P2aIDNumber,3691)="","",INDEX(I.Facility.P2aIDNumber,3691))</f>
        <v/>
      </c>
      <c r="G8703" s="51"/>
      <c r="H8703" s="46" t="str">
        <f>IF(AND(I.Developer.P2a=TRUE,I.Facility.P2aFacilityCount&gt;=3691,F8703=""),"Incomplete","Complete")</f>
        <v>Complete</v>
      </c>
      <c r="I8703" s="48" t="s">
        <v>13068</v>
      </c>
    </row>
    <row r="8704" spans="2:9" ht="15" customHeight="1" x14ac:dyDescent="0.25">
      <c r="B8704" s="55" t="s">
        <v>280</v>
      </c>
      <c r="C8704" s="46">
        <v>3692</v>
      </c>
      <c r="D8704" s="69" t="s">
        <v>29417</v>
      </c>
      <c r="E8704" s="51"/>
      <c r="F8704" s="114" t="str">
        <f>IF(INDEX(I.Facility.P2aIDNumber,3692)="","",INDEX(I.Facility.P2aIDNumber,3692))</f>
        <v/>
      </c>
      <c r="G8704" s="51"/>
      <c r="H8704" s="46" t="str">
        <f>IF(AND(I.Developer.P2a=TRUE,I.Facility.P2aFacilityCount&gt;=3692,F8704=""),"Incomplete","Complete")</f>
        <v>Complete</v>
      </c>
      <c r="I8704" s="48" t="s">
        <v>13069</v>
      </c>
    </row>
    <row r="8705" spans="2:9" ht="15" customHeight="1" x14ac:dyDescent="0.25">
      <c r="B8705" s="55" t="s">
        <v>280</v>
      </c>
      <c r="C8705" s="46">
        <v>3693</v>
      </c>
      <c r="D8705" s="69" t="s">
        <v>29417</v>
      </c>
      <c r="E8705" s="51"/>
      <c r="F8705" s="114" t="str">
        <f>IF(INDEX(I.Facility.P2aIDNumber,3693)="","",INDEX(I.Facility.P2aIDNumber,3693))</f>
        <v/>
      </c>
      <c r="G8705" s="51"/>
      <c r="H8705" s="46" t="str">
        <f>IF(AND(I.Developer.P2a=TRUE,I.Facility.P2aFacilityCount&gt;=3693,F8705=""),"Incomplete","Complete")</f>
        <v>Complete</v>
      </c>
      <c r="I8705" s="48" t="s">
        <v>13070</v>
      </c>
    </row>
    <row r="8706" spans="2:9" ht="15" customHeight="1" x14ac:dyDescent="0.25">
      <c r="B8706" s="55" t="s">
        <v>280</v>
      </c>
      <c r="C8706" s="46">
        <v>3694</v>
      </c>
      <c r="D8706" s="69" t="s">
        <v>29417</v>
      </c>
      <c r="E8706" s="51"/>
      <c r="F8706" s="114" t="str">
        <f>IF(INDEX(I.Facility.P2aIDNumber,3694)="","",INDEX(I.Facility.P2aIDNumber,3694))</f>
        <v/>
      </c>
      <c r="G8706" s="51"/>
      <c r="H8706" s="46" t="str">
        <f>IF(AND(I.Developer.P2a=TRUE,I.Facility.P2aFacilityCount&gt;=3694,F8706=""),"Incomplete","Complete")</f>
        <v>Complete</v>
      </c>
      <c r="I8706" s="48" t="s">
        <v>13071</v>
      </c>
    </row>
    <row r="8707" spans="2:9" ht="15" customHeight="1" x14ac:dyDescent="0.25">
      <c r="B8707" s="55" t="s">
        <v>280</v>
      </c>
      <c r="C8707" s="46">
        <v>3695</v>
      </c>
      <c r="D8707" s="69" t="s">
        <v>29417</v>
      </c>
      <c r="E8707" s="51"/>
      <c r="F8707" s="114" t="str">
        <f>IF(INDEX(I.Facility.P2aIDNumber,3695)="","",INDEX(I.Facility.P2aIDNumber,3695))</f>
        <v/>
      </c>
      <c r="G8707" s="51"/>
      <c r="H8707" s="46" t="str">
        <f>IF(AND(I.Developer.P2a=TRUE,I.Facility.P2aFacilityCount&gt;=3695,F8707=""),"Incomplete","Complete")</f>
        <v>Complete</v>
      </c>
      <c r="I8707" s="48" t="s">
        <v>13072</v>
      </c>
    </row>
    <row r="8708" spans="2:9" ht="15" customHeight="1" x14ac:dyDescent="0.25">
      <c r="B8708" s="55" t="s">
        <v>280</v>
      </c>
      <c r="C8708" s="46">
        <v>3696</v>
      </c>
      <c r="D8708" s="69" t="s">
        <v>29417</v>
      </c>
      <c r="E8708" s="51"/>
      <c r="F8708" s="114" t="str">
        <f>IF(INDEX(I.Facility.P2aIDNumber,3696)="","",INDEX(I.Facility.P2aIDNumber,3696))</f>
        <v/>
      </c>
      <c r="G8708" s="51"/>
      <c r="H8708" s="46" t="str">
        <f>IF(AND(I.Developer.P2a=TRUE,I.Facility.P2aFacilityCount&gt;=3696,F8708=""),"Incomplete","Complete")</f>
        <v>Complete</v>
      </c>
      <c r="I8708" s="48" t="s">
        <v>13073</v>
      </c>
    </row>
    <row r="8709" spans="2:9" ht="15" customHeight="1" x14ac:dyDescent="0.25">
      <c r="B8709" s="55" t="s">
        <v>280</v>
      </c>
      <c r="C8709" s="46">
        <v>3697</v>
      </c>
      <c r="D8709" s="69" t="s">
        <v>29417</v>
      </c>
      <c r="E8709" s="51"/>
      <c r="F8709" s="114" t="str">
        <f>IF(INDEX(I.Facility.P2aIDNumber,3697)="","",INDEX(I.Facility.P2aIDNumber,3697))</f>
        <v/>
      </c>
      <c r="G8709" s="51"/>
      <c r="H8709" s="46" t="str">
        <f>IF(AND(I.Developer.P2a=TRUE,I.Facility.P2aFacilityCount&gt;=3697,F8709=""),"Incomplete","Complete")</f>
        <v>Complete</v>
      </c>
      <c r="I8709" s="48" t="s">
        <v>13074</v>
      </c>
    </row>
    <row r="8710" spans="2:9" ht="15" customHeight="1" x14ac:dyDescent="0.25">
      <c r="B8710" s="55" t="s">
        <v>280</v>
      </c>
      <c r="C8710" s="46">
        <v>3698</v>
      </c>
      <c r="D8710" s="69" t="s">
        <v>29417</v>
      </c>
      <c r="E8710" s="51"/>
      <c r="F8710" s="114" t="str">
        <f>IF(INDEX(I.Facility.P2aIDNumber,3698)="","",INDEX(I.Facility.P2aIDNumber,3698))</f>
        <v/>
      </c>
      <c r="G8710" s="51"/>
      <c r="H8710" s="46" t="str">
        <f>IF(AND(I.Developer.P2a=TRUE,I.Facility.P2aFacilityCount&gt;=3698,F8710=""),"Incomplete","Complete")</f>
        <v>Complete</v>
      </c>
      <c r="I8710" s="48" t="s">
        <v>13075</v>
      </c>
    </row>
    <row r="8711" spans="2:9" ht="15" customHeight="1" x14ac:dyDescent="0.25">
      <c r="B8711" s="55" t="s">
        <v>280</v>
      </c>
      <c r="C8711" s="46">
        <v>3699</v>
      </c>
      <c r="D8711" s="69" t="s">
        <v>29417</v>
      </c>
      <c r="E8711" s="51"/>
      <c r="F8711" s="114" t="str">
        <f>IF(INDEX(I.Facility.P2aIDNumber,3699)="","",INDEX(I.Facility.P2aIDNumber,3699))</f>
        <v/>
      </c>
      <c r="G8711" s="51"/>
      <c r="H8711" s="46" t="str">
        <f>IF(AND(I.Developer.P2a=TRUE,I.Facility.P2aFacilityCount&gt;=3699,F8711=""),"Incomplete","Complete")</f>
        <v>Complete</v>
      </c>
      <c r="I8711" s="48" t="s">
        <v>13076</v>
      </c>
    </row>
    <row r="8712" spans="2:9" ht="15" customHeight="1" x14ac:dyDescent="0.25">
      <c r="B8712" s="55" t="s">
        <v>280</v>
      </c>
      <c r="C8712" s="46">
        <v>3700</v>
      </c>
      <c r="D8712" s="69" t="s">
        <v>29417</v>
      </c>
      <c r="E8712" s="51"/>
      <c r="F8712" s="114" t="str">
        <f>IF(INDEX(I.Facility.P2aIDNumber,3700)="","",INDEX(I.Facility.P2aIDNumber,3700))</f>
        <v/>
      </c>
      <c r="G8712" s="51"/>
      <c r="H8712" s="46" t="str">
        <f>IF(AND(I.Developer.P2a=TRUE,I.Facility.P2aFacilityCount&gt;=3700,F8712=""),"Incomplete","Complete")</f>
        <v>Complete</v>
      </c>
      <c r="I8712" s="48" t="s">
        <v>13077</v>
      </c>
    </row>
    <row r="8713" spans="2:9" ht="15" customHeight="1" x14ac:dyDescent="0.25">
      <c r="B8713" s="55" t="s">
        <v>280</v>
      </c>
      <c r="C8713" s="46">
        <v>3701</v>
      </c>
      <c r="D8713" s="69" t="s">
        <v>29417</v>
      </c>
      <c r="E8713" s="51"/>
      <c r="F8713" s="114" t="str">
        <f>IF(INDEX(I.Facility.P2aIDNumber,3701)="","",INDEX(I.Facility.P2aIDNumber,3701))</f>
        <v/>
      </c>
      <c r="G8713" s="51"/>
      <c r="H8713" s="46" t="str">
        <f>IF(AND(I.Developer.P2a=TRUE,I.Facility.P2aFacilityCount&gt;=3701,F8713=""),"Incomplete","Complete")</f>
        <v>Complete</v>
      </c>
      <c r="I8713" s="48" t="s">
        <v>13078</v>
      </c>
    </row>
    <row r="8714" spans="2:9" ht="15" customHeight="1" x14ac:dyDescent="0.25">
      <c r="B8714" s="55" t="s">
        <v>280</v>
      </c>
      <c r="C8714" s="46">
        <v>3702</v>
      </c>
      <c r="D8714" s="69" t="s">
        <v>29417</v>
      </c>
      <c r="E8714" s="51"/>
      <c r="F8714" s="114" t="str">
        <f>IF(INDEX(I.Facility.P2aIDNumber,3702)="","",INDEX(I.Facility.P2aIDNumber,3702))</f>
        <v/>
      </c>
      <c r="G8714" s="51"/>
      <c r="H8714" s="46" t="str">
        <f>IF(AND(I.Developer.P2a=TRUE,I.Facility.P2aFacilityCount&gt;=3702,F8714=""),"Incomplete","Complete")</f>
        <v>Complete</v>
      </c>
      <c r="I8714" s="48" t="s">
        <v>13079</v>
      </c>
    </row>
    <row r="8715" spans="2:9" ht="15" customHeight="1" x14ac:dyDescent="0.25">
      <c r="B8715" s="55" t="s">
        <v>280</v>
      </c>
      <c r="C8715" s="46">
        <v>3703</v>
      </c>
      <c r="D8715" s="69" t="s">
        <v>29417</v>
      </c>
      <c r="E8715" s="51"/>
      <c r="F8715" s="114" t="str">
        <f>IF(INDEX(I.Facility.P2aIDNumber,3703)="","",INDEX(I.Facility.P2aIDNumber,3703))</f>
        <v/>
      </c>
      <c r="G8715" s="51"/>
      <c r="H8715" s="46" t="str">
        <f>IF(AND(I.Developer.P2a=TRUE,I.Facility.P2aFacilityCount&gt;=3703,F8715=""),"Incomplete","Complete")</f>
        <v>Complete</v>
      </c>
      <c r="I8715" s="48" t="s">
        <v>13080</v>
      </c>
    </row>
    <row r="8716" spans="2:9" ht="15" customHeight="1" x14ac:dyDescent="0.25">
      <c r="B8716" s="55" t="s">
        <v>280</v>
      </c>
      <c r="C8716" s="46">
        <v>3704</v>
      </c>
      <c r="D8716" s="69" t="s">
        <v>29417</v>
      </c>
      <c r="E8716" s="51"/>
      <c r="F8716" s="114" t="str">
        <f>IF(INDEX(I.Facility.P2aIDNumber,3704)="","",INDEX(I.Facility.P2aIDNumber,3704))</f>
        <v/>
      </c>
      <c r="G8716" s="51"/>
      <c r="H8716" s="46" t="str">
        <f>IF(AND(I.Developer.P2a=TRUE,I.Facility.P2aFacilityCount&gt;=3704,F8716=""),"Incomplete","Complete")</f>
        <v>Complete</v>
      </c>
      <c r="I8716" s="48" t="s">
        <v>13081</v>
      </c>
    </row>
    <row r="8717" spans="2:9" ht="15" customHeight="1" x14ac:dyDescent="0.25">
      <c r="B8717" s="55" t="s">
        <v>280</v>
      </c>
      <c r="C8717" s="46">
        <v>3705</v>
      </c>
      <c r="D8717" s="69" t="s">
        <v>29417</v>
      </c>
      <c r="E8717" s="51"/>
      <c r="F8717" s="114" t="str">
        <f>IF(INDEX(I.Facility.P2aIDNumber,3705)="","",INDEX(I.Facility.P2aIDNumber,3705))</f>
        <v/>
      </c>
      <c r="G8717" s="51"/>
      <c r="H8717" s="46" t="str">
        <f>IF(AND(I.Developer.P2a=TRUE,I.Facility.P2aFacilityCount&gt;=3705,F8717=""),"Incomplete","Complete")</f>
        <v>Complete</v>
      </c>
      <c r="I8717" s="48" t="s">
        <v>13082</v>
      </c>
    </row>
    <row r="8718" spans="2:9" ht="15" customHeight="1" x14ac:dyDescent="0.25">
      <c r="B8718" s="55" t="s">
        <v>280</v>
      </c>
      <c r="C8718" s="46">
        <v>3706</v>
      </c>
      <c r="D8718" s="69" t="s">
        <v>29417</v>
      </c>
      <c r="E8718" s="51"/>
      <c r="F8718" s="114" t="str">
        <f>IF(INDEX(I.Facility.P2aIDNumber,3706)="","",INDEX(I.Facility.P2aIDNumber,3706))</f>
        <v/>
      </c>
      <c r="G8718" s="51"/>
      <c r="H8718" s="46" t="str">
        <f>IF(AND(I.Developer.P2a=TRUE,I.Facility.P2aFacilityCount&gt;=3706,F8718=""),"Incomplete","Complete")</f>
        <v>Complete</v>
      </c>
      <c r="I8718" s="48" t="s">
        <v>13083</v>
      </c>
    </row>
    <row r="8719" spans="2:9" ht="15" customHeight="1" x14ac:dyDescent="0.25">
      <c r="B8719" s="55" t="s">
        <v>280</v>
      </c>
      <c r="C8719" s="46">
        <v>3707</v>
      </c>
      <c r="D8719" s="69" t="s">
        <v>29417</v>
      </c>
      <c r="E8719" s="51"/>
      <c r="F8719" s="114" t="str">
        <f>IF(INDEX(I.Facility.P2aIDNumber,3707)="","",INDEX(I.Facility.P2aIDNumber,3707))</f>
        <v/>
      </c>
      <c r="G8719" s="51"/>
      <c r="H8719" s="46" t="str">
        <f>IF(AND(I.Developer.P2a=TRUE,I.Facility.P2aFacilityCount&gt;=3707,F8719=""),"Incomplete","Complete")</f>
        <v>Complete</v>
      </c>
      <c r="I8719" s="48" t="s">
        <v>13084</v>
      </c>
    </row>
    <row r="8720" spans="2:9" ht="15" customHeight="1" x14ac:dyDescent="0.25">
      <c r="B8720" s="55" t="s">
        <v>280</v>
      </c>
      <c r="C8720" s="46">
        <v>3708</v>
      </c>
      <c r="D8720" s="69" t="s">
        <v>29417</v>
      </c>
      <c r="E8720" s="51"/>
      <c r="F8720" s="114" t="str">
        <f>IF(INDEX(I.Facility.P2aIDNumber,3708)="","",INDEX(I.Facility.P2aIDNumber,3708))</f>
        <v/>
      </c>
      <c r="G8720" s="51"/>
      <c r="H8720" s="46" t="str">
        <f>IF(AND(I.Developer.P2a=TRUE,I.Facility.P2aFacilityCount&gt;=3708,F8720=""),"Incomplete","Complete")</f>
        <v>Complete</v>
      </c>
      <c r="I8720" s="48" t="s">
        <v>13085</v>
      </c>
    </row>
    <row r="8721" spans="2:9" ht="15" customHeight="1" x14ac:dyDescent="0.25">
      <c r="B8721" s="55" t="s">
        <v>280</v>
      </c>
      <c r="C8721" s="46">
        <v>3709</v>
      </c>
      <c r="D8721" s="69" t="s">
        <v>29417</v>
      </c>
      <c r="E8721" s="51"/>
      <c r="F8721" s="114" t="str">
        <f>IF(INDEX(I.Facility.P2aIDNumber,3709)="","",INDEX(I.Facility.P2aIDNumber,3709))</f>
        <v/>
      </c>
      <c r="G8721" s="51"/>
      <c r="H8721" s="46" t="str">
        <f>IF(AND(I.Developer.P2a=TRUE,I.Facility.P2aFacilityCount&gt;=3709,F8721=""),"Incomplete","Complete")</f>
        <v>Complete</v>
      </c>
      <c r="I8721" s="48" t="s">
        <v>13086</v>
      </c>
    </row>
    <row r="8722" spans="2:9" ht="15" customHeight="1" x14ac:dyDescent="0.25">
      <c r="B8722" s="55" t="s">
        <v>280</v>
      </c>
      <c r="C8722" s="46">
        <v>3710</v>
      </c>
      <c r="D8722" s="69" t="s">
        <v>29417</v>
      </c>
      <c r="E8722" s="51"/>
      <c r="F8722" s="114" t="str">
        <f>IF(INDEX(I.Facility.P2aIDNumber,3710)="","",INDEX(I.Facility.P2aIDNumber,3710))</f>
        <v/>
      </c>
      <c r="G8722" s="51"/>
      <c r="H8722" s="46" t="str">
        <f>IF(AND(I.Developer.P2a=TRUE,I.Facility.P2aFacilityCount&gt;=3710,F8722=""),"Incomplete","Complete")</f>
        <v>Complete</v>
      </c>
      <c r="I8722" s="48" t="s">
        <v>13087</v>
      </c>
    </row>
    <row r="8723" spans="2:9" ht="15" customHeight="1" x14ac:dyDescent="0.25">
      <c r="B8723" s="55" t="s">
        <v>280</v>
      </c>
      <c r="C8723" s="46">
        <v>3711</v>
      </c>
      <c r="D8723" s="69" t="s">
        <v>29417</v>
      </c>
      <c r="E8723" s="51"/>
      <c r="F8723" s="114" t="str">
        <f>IF(INDEX(I.Facility.P2aIDNumber,3711)="","",INDEX(I.Facility.P2aIDNumber,3711))</f>
        <v/>
      </c>
      <c r="G8723" s="51"/>
      <c r="H8723" s="46" t="str">
        <f>IF(AND(I.Developer.P2a=TRUE,I.Facility.P2aFacilityCount&gt;=3711,F8723=""),"Incomplete","Complete")</f>
        <v>Complete</v>
      </c>
      <c r="I8723" s="48" t="s">
        <v>13088</v>
      </c>
    </row>
    <row r="8724" spans="2:9" ht="15" customHeight="1" x14ac:dyDescent="0.25">
      <c r="B8724" s="55" t="s">
        <v>280</v>
      </c>
      <c r="C8724" s="46">
        <v>3712</v>
      </c>
      <c r="D8724" s="69" t="s">
        <v>29417</v>
      </c>
      <c r="E8724" s="51"/>
      <c r="F8724" s="114" t="str">
        <f>IF(INDEX(I.Facility.P2aIDNumber,3712)="","",INDEX(I.Facility.P2aIDNumber,3712))</f>
        <v/>
      </c>
      <c r="G8724" s="51"/>
      <c r="H8724" s="46" t="str">
        <f>IF(AND(I.Developer.P2a=TRUE,I.Facility.P2aFacilityCount&gt;=3712,F8724=""),"Incomplete","Complete")</f>
        <v>Complete</v>
      </c>
      <c r="I8724" s="48" t="s">
        <v>13089</v>
      </c>
    </row>
    <row r="8725" spans="2:9" ht="15" customHeight="1" x14ac:dyDescent="0.25">
      <c r="B8725" s="55" t="s">
        <v>280</v>
      </c>
      <c r="C8725" s="46">
        <v>3713</v>
      </c>
      <c r="D8725" s="69" t="s">
        <v>29417</v>
      </c>
      <c r="E8725" s="51"/>
      <c r="F8725" s="114" t="str">
        <f>IF(INDEX(I.Facility.P2aIDNumber,3713)="","",INDEX(I.Facility.P2aIDNumber,3713))</f>
        <v/>
      </c>
      <c r="G8725" s="51"/>
      <c r="H8725" s="46" t="str">
        <f>IF(AND(I.Developer.P2a=TRUE,I.Facility.P2aFacilityCount&gt;=3713,F8725=""),"Incomplete","Complete")</f>
        <v>Complete</v>
      </c>
      <c r="I8725" s="48" t="s">
        <v>13090</v>
      </c>
    </row>
    <row r="8726" spans="2:9" ht="15" customHeight="1" x14ac:dyDescent="0.25">
      <c r="B8726" s="55" t="s">
        <v>280</v>
      </c>
      <c r="C8726" s="46">
        <v>3714</v>
      </c>
      <c r="D8726" s="69" t="s">
        <v>29417</v>
      </c>
      <c r="E8726" s="51"/>
      <c r="F8726" s="114" t="str">
        <f>IF(INDEX(I.Facility.P2aIDNumber,3714)="","",INDEX(I.Facility.P2aIDNumber,3714))</f>
        <v/>
      </c>
      <c r="G8726" s="51"/>
      <c r="H8726" s="46" t="str">
        <f>IF(AND(I.Developer.P2a=TRUE,I.Facility.P2aFacilityCount&gt;=3714,F8726=""),"Incomplete","Complete")</f>
        <v>Complete</v>
      </c>
      <c r="I8726" s="48" t="s">
        <v>13091</v>
      </c>
    </row>
    <row r="8727" spans="2:9" ht="15" customHeight="1" x14ac:dyDescent="0.25">
      <c r="B8727" s="55" t="s">
        <v>280</v>
      </c>
      <c r="C8727" s="46">
        <v>3715</v>
      </c>
      <c r="D8727" s="69" t="s">
        <v>29417</v>
      </c>
      <c r="E8727" s="51"/>
      <c r="F8727" s="114" t="str">
        <f>IF(INDEX(I.Facility.P2aIDNumber,3715)="","",INDEX(I.Facility.P2aIDNumber,3715))</f>
        <v/>
      </c>
      <c r="G8727" s="51"/>
      <c r="H8727" s="46" t="str">
        <f>IF(AND(I.Developer.P2a=TRUE,I.Facility.P2aFacilityCount&gt;=3715,F8727=""),"Incomplete","Complete")</f>
        <v>Complete</v>
      </c>
      <c r="I8727" s="48" t="s">
        <v>13092</v>
      </c>
    </row>
    <row r="8728" spans="2:9" ht="15" customHeight="1" x14ac:dyDescent="0.25">
      <c r="B8728" s="55" t="s">
        <v>280</v>
      </c>
      <c r="C8728" s="46">
        <v>3716</v>
      </c>
      <c r="D8728" s="69" t="s">
        <v>29417</v>
      </c>
      <c r="E8728" s="51"/>
      <c r="F8728" s="114" t="str">
        <f>IF(INDEX(I.Facility.P2aIDNumber,3716)="","",INDEX(I.Facility.P2aIDNumber,3716))</f>
        <v/>
      </c>
      <c r="G8728" s="51"/>
      <c r="H8728" s="46" t="str">
        <f>IF(AND(I.Developer.P2a=TRUE,I.Facility.P2aFacilityCount&gt;=3716,F8728=""),"Incomplete","Complete")</f>
        <v>Complete</v>
      </c>
      <c r="I8728" s="48" t="s">
        <v>13093</v>
      </c>
    </row>
    <row r="8729" spans="2:9" ht="15" customHeight="1" x14ac:dyDescent="0.25">
      <c r="B8729" s="55" t="s">
        <v>280</v>
      </c>
      <c r="C8729" s="46">
        <v>3717</v>
      </c>
      <c r="D8729" s="69" t="s">
        <v>29417</v>
      </c>
      <c r="E8729" s="51"/>
      <c r="F8729" s="114" t="str">
        <f>IF(INDEX(I.Facility.P2aIDNumber,3717)="","",INDEX(I.Facility.P2aIDNumber,3717))</f>
        <v/>
      </c>
      <c r="G8729" s="51"/>
      <c r="H8729" s="46" t="str">
        <f>IF(AND(I.Developer.P2a=TRUE,I.Facility.P2aFacilityCount&gt;=3717,F8729=""),"Incomplete","Complete")</f>
        <v>Complete</v>
      </c>
      <c r="I8729" s="48" t="s">
        <v>13094</v>
      </c>
    </row>
    <row r="8730" spans="2:9" ht="15" customHeight="1" x14ac:dyDescent="0.25">
      <c r="B8730" s="55" t="s">
        <v>280</v>
      </c>
      <c r="C8730" s="46">
        <v>3718</v>
      </c>
      <c r="D8730" s="69" t="s">
        <v>29417</v>
      </c>
      <c r="E8730" s="51"/>
      <c r="F8730" s="114" t="str">
        <f>IF(INDEX(I.Facility.P2aIDNumber,3718)="","",INDEX(I.Facility.P2aIDNumber,3718))</f>
        <v/>
      </c>
      <c r="G8730" s="51"/>
      <c r="H8730" s="46" t="str">
        <f>IF(AND(I.Developer.P2a=TRUE,I.Facility.P2aFacilityCount&gt;=3718,F8730=""),"Incomplete","Complete")</f>
        <v>Complete</v>
      </c>
      <c r="I8730" s="48" t="s">
        <v>13095</v>
      </c>
    </row>
    <row r="8731" spans="2:9" ht="15" customHeight="1" x14ac:dyDescent="0.25">
      <c r="B8731" s="55" t="s">
        <v>280</v>
      </c>
      <c r="C8731" s="46">
        <v>3719</v>
      </c>
      <c r="D8731" s="69" t="s">
        <v>29417</v>
      </c>
      <c r="E8731" s="51"/>
      <c r="F8731" s="114" t="str">
        <f>IF(INDEX(I.Facility.P2aIDNumber,3719)="","",INDEX(I.Facility.P2aIDNumber,3719))</f>
        <v/>
      </c>
      <c r="G8731" s="51"/>
      <c r="H8731" s="46" t="str">
        <f>IF(AND(I.Developer.P2a=TRUE,I.Facility.P2aFacilityCount&gt;=3719,F8731=""),"Incomplete","Complete")</f>
        <v>Complete</v>
      </c>
      <c r="I8731" s="48" t="s">
        <v>13096</v>
      </c>
    </row>
    <row r="8732" spans="2:9" ht="15" customHeight="1" x14ac:dyDescent="0.25">
      <c r="B8732" s="55" t="s">
        <v>280</v>
      </c>
      <c r="C8732" s="46">
        <v>3720</v>
      </c>
      <c r="D8732" s="69" t="s">
        <v>29417</v>
      </c>
      <c r="E8732" s="51"/>
      <c r="F8732" s="114" t="str">
        <f>IF(INDEX(I.Facility.P2aIDNumber,3720)="","",INDEX(I.Facility.P2aIDNumber,3720))</f>
        <v/>
      </c>
      <c r="G8732" s="51"/>
      <c r="H8732" s="46" t="str">
        <f>IF(AND(I.Developer.P2a=TRUE,I.Facility.P2aFacilityCount&gt;=3720,F8732=""),"Incomplete","Complete")</f>
        <v>Complete</v>
      </c>
      <c r="I8732" s="48" t="s">
        <v>13097</v>
      </c>
    </row>
    <row r="8733" spans="2:9" ht="15" customHeight="1" x14ac:dyDescent="0.25">
      <c r="B8733" s="55" t="s">
        <v>280</v>
      </c>
      <c r="C8733" s="46">
        <v>3721</v>
      </c>
      <c r="D8733" s="69" t="s">
        <v>29417</v>
      </c>
      <c r="E8733" s="51"/>
      <c r="F8733" s="114" t="str">
        <f>IF(INDEX(I.Facility.P2aIDNumber,3721)="","",INDEX(I.Facility.P2aIDNumber,3721))</f>
        <v/>
      </c>
      <c r="G8733" s="51"/>
      <c r="H8733" s="46" t="str">
        <f>IF(AND(I.Developer.P2a=TRUE,I.Facility.P2aFacilityCount&gt;=3721,F8733=""),"Incomplete","Complete")</f>
        <v>Complete</v>
      </c>
      <c r="I8733" s="48" t="s">
        <v>13098</v>
      </c>
    </row>
    <row r="8734" spans="2:9" ht="15" customHeight="1" x14ac:dyDescent="0.25">
      <c r="B8734" s="55" t="s">
        <v>280</v>
      </c>
      <c r="C8734" s="46">
        <v>3722</v>
      </c>
      <c r="D8734" s="69" t="s">
        <v>29417</v>
      </c>
      <c r="E8734" s="51"/>
      <c r="F8734" s="114" t="str">
        <f>IF(INDEX(I.Facility.P2aIDNumber,3722)="","",INDEX(I.Facility.P2aIDNumber,3722))</f>
        <v/>
      </c>
      <c r="G8734" s="51"/>
      <c r="H8734" s="46" t="str">
        <f>IF(AND(I.Developer.P2a=TRUE,I.Facility.P2aFacilityCount&gt;=3722,F8734=""),"Incomplete","Complete")</f>
        <v>Complete</v>
      </c>
      <c r="I8734" s="48" t="s">
        <v>13099</v>
      </c>
    </row>
    <row r="8735" spans="2:9" ht="15" customHeight="1" x14ac:dyDescent="0.25">
      <c r="B8735" s="55" t="s">
        <v>280</v>
      </c>
      <c r="C8735" s="46">
        <v>3723</v>
      </c>
      <c r="D8735" s="69" t="s">
        <v>29417</v>
      </c>
      <c r="E8735" s="51"/>
      <c r="F8735" s="114" t="str">
        <f>IF(INDEX(I.Facility.P2aIDNumber,3723)="","",INDEX(I.Facility.P2aIDNumber,3723))</f>
        <v/>
      </c>
      <c r="G8735" s="51"/>
      <c r="H8735" s="46" t="str">
        <f>IF(AND(I.Developer.P2a=TRUE,I.Facility.P2aFacilityCount&gt;=3723,F8735=""),"Incomplete","Complete")</f>
        <v>Complete</v>
      </c>
      <c r="I8735" s="48" t="s">
        <v>13100</v>
      </c>
    </row>
    <row r="8736" spans="2:9" ht="15" customHeight="1" x14ac:dyDescent="0.25">
      <c r="B8736" s="55" t="s">
        <v>280</v>
      </c>
      <c r="C8736" s="46">
        <v>3724</v>
      </c>
      <c r="D8736" s="69" t="s">
        <v>29417</v>
      </c>
      <c r="E8736" s="51"/>
      <c r="F8736" s="114" t="str">
        <f>IF(INDEX(I.Facility.P2aIDNumber,3724)="","",INDEX(I.Facility.P2aIDNumber,3724))</f>
        <v/>
      </c>
      <c r="G8736" s="51"/>
      <c r="H8736" s="46" t="str">
        <f>IF(AND(I.Developer.P2a=TRUE,I.Facility.P2aFacilityCount&gt;=3724,F8736=""),"Incomplete","Complete")</f>
        <v>Complete</v>
      </c>
      <c r="I8736" s="48" t="s">
        <v>13101</v>
      </c>
    </row>
    <row r="8737" spans="2:9" ht="15" customHeight="1" x14ac:dyDescent="0.25">
      <c r="B8737" s="55" t="s">
        <v>280</v>
      </c>
      <c r="C8737" s="46">
        <v>3725</v>
      </c>
      <c r="D8737" s="69" t="s">
        <v>29417</v>
      </c>
      <c r="E8737" s="51"/>
      <c r="F8737" s="114" t="str">
        <f>IF(INDEX(I.Facility.P2aIDNumber,3725)="","",INDEX(I.Facility.P2aIDNumber,3725))</f>
        <v/>
      </c>
      <c r="G8737" s="51"/>
      <c r="H8737" s="46" t="str">
        <f>IF(AND(I.Developer.P2a=TRUE,I.Facility.P2aFacilityCount&gt;=3725,F8737=""),"Incomplete","Complete")</f>
        <v>Complete</v>
      </c>
      <c r="I8737" s="48" t="s">
        <v>13102</v>
      </c>
    </row>
    <row r="8738" spans="2:9" ht="15" customHeight="1" x14ac:dyDescent="0.25">
      <c r="B8738" s="55" t="s">
        <v>280</v>
      </c>
      <c r="C8738" s="46">
        <v>3726</v>
      </c>
      <c r="D8738" s="69" t="s">
        <v>29417</v>
      </c>
      <c r="E8738" s="51"/>
      <c r="F8738" s="114" t="str">
        <f>IF(INDEX(I.Facility.P2aIDNumber,3726)="","",INDEX(I.Facility.P2aIDNumber,3726))</f>
        <v/>
      </c>
      <c r="G8738" s="51"/>
      <c r="H8738" s="46" t="str">
        <f>IF(AND(I.Developer.P2a=TRUE,I.Facility.P2aFacilityCount&gt;=3726,F8738=""),"Incomplete","Complete")</f>
        <v>Complete</v>
      </c>
      <c r="I8738" s="48" t="s">
        <v>13103</v>
      </c>
    </row>
    <row r="8739" spans="2:9" ht="15" customHeight="1" x14ac:dyDescent="0.25">
      <c r="B8739" s="55" t="s">
        <v>280</v>
      </c>
      <c r="C8739" s="46">
        <v>3727</v>
      </c>
      <c r="D8739" s="69" t="s">
        <v>29417</v>
      </c>
      <c r="E8739" s="51"/>
      <c r="F8739" s="114" t="str">
        <f>IF(INDEX(I.Facility.P2aIDNumber,3727)="","",INDEX(I.Facility.P2aIDNumber,3727))</f>
        <v/>
      </c>
      <c r="G8739" s="51"/>
      <c r="H8739" s="46" t="str">
        <f>IF(AND(I.Developer.P2a=TRUE,I.Facility.P2aFacilityCount&gt;=3727,F8739=""),"Incomplete","Complete")</f>
        <v>Complete</v>
      </c>
      <c r="I8739" s="48" t="s">
        <v>13104</v>
      </c>
    </row>
    <row r="8740" spans="2:9" ht="15" customHeight="1" x14ac:dyDescent="0.25">
      <c r="B8740" s="55" t="s">
        <v>280</v>
      </c>
      <c r="C8740" s="46">
        <v>3728</v>
      </c>
      <c r="D8740" s="69" t="s">
        <v>29417</v>
      </c>
      <c r="E8740" s="51"/>
      <c r="F8740" s="114" t="str">
        <f>IF(INDEX(I.Facility.P2aIDNumber,3728)="","",INDEX(I.Facility.P2aIDNumber,3728))</f>
        <v/>
      </c>
      <c r="G8740" s="51"/>
      <c r="H8740" s="46" t="str">
        <f>IF(AND(I.Developer.P2a=TRUE,I.Facility.P2aFacilityCount&gt;=3728,F8740=""),"Incomplete","Complete")</f>
        <v>Complete</v>
      </c>
      <c r="I8740" s="48" t="s">
        <v>13105</v>
      </c>
    </row>
    <row r="8741" spans="2:9" ht="15" customHeight="1" x14ac:dyDescent="0.25">
      <c r="B8741" s="55" t="s">
        <v>280</v>
      </c>
      <c r="C8741" s="46">
        <v>3729</v>
      </c>
      <c r="D8741" s="69" t="s">
        <v>29417</v>
      </c>
      <c r="E8741" s="51"/>
      <c r="F8741" s="114" t="str">
        <f>IF(INDEX(I.Facility.P2aIDNumber,3729)="","",INDEX(I.Facility.P2aIDNumber,3729))</f>
        <v/>
      </c>
      <c r="G8741" s="51"/>
      <c r="H8741" s="46" t="str">
        <f>IF(AND(I.Developer.P2a=TRUE,I.Facility.P2aFacilityCount&gt;=3729,F8741=""),"Incomplete","Complete")</f>
        <v>Complete</v>
      </c>
      <c r="I8741" s="48" t="s">
        <v>13106</v>
      </c>
    </row>
    <row r="8742" spans="2:9" ht="15" customHeight="1" x14ac:dyDescent="0.25">
      <c r="B8742" s="55" t="s">
        <v>280</v>
      </c>
      <c r="C8742" s="46">
        <v>3730</v>
      </c>
      <c r="D8742" s="69" t="s">
        <v>29417</v>
      </c>
      <c r="E8742" s="51"/>
      <c r="F8742" s="114" t="str">
        <f>IF(INDEX(I.Facility.P2aIDNumber,3730)="","",INDEX(I.Facility.P2aIDNumber,3730))</f>
        <v/>
      </c>
      <c r="G8742" s="51"/>
      <c r="H8742" s="46" t="str">
        <f>IF(AND(I.Developer.P2a=TRUE,I.Facility.P2aFacilityCount&gt;=3730,F8742=""),"Incomplete","Complete")</f>
        <v>Complete</v>
      </c>
      <c r="I8742" s="48" t="s">
        <v>13107</v>
      </c>
    </row>
    <row r="8743" spans="2:9" ht="15" customHeight="1" x14ac:dyDescent="0.25">
      <c r="B8743" s="55" t="s">
        <v>280</v>
      </c>
      <c r="C8743" s="46">
        <v>3731</v>
      </c>
      <c r="D8743" s="69" t="s">
        <v>29417</v>
      </c>
      <c r="E8743" s="51"/>
      <c r="F8743" s="114" t="str">
        <f>IF(INDEX(I.Facility.P2aIDNumber,3731)="","",INDEX(I.Facility.P2aIDNumber,3731))</f>
        <v/>
      </c>
      <c r="G8743" s="51"/>
      <c r="H8743" s="46" t="str">
        <f>IF(AND(I.Developer.P2a=TRUE,I.Facility.P2aFacilityCount&gt;=3731,F8743=""),"Incomplete","Complete")</f>
        <v>Complete</v>
      </c>
      <c r="I8743" s="48" t="s">
        <v>13108</v>
      </c>
    </row>
    <row r="8744" spans="2:9" ht="15" customHeight="1" x14ac:dyDescent="0.25">
      <c r="B8744" s="55" t="s">
        <v>280</v>
      </c>
      <c r="C8744" s="46">
        <v>3732</v>
      </c>
      <c r="D8744" s="69" t="s">
        <v>29417</v>
      </c>
      <c r="E8744" s="51"/>
      <c r="F8744" s="114" t="str">
        <f>IF(INDEX(I.Facility.P2aIDNumber,3732)="","",INDEX(I.Facility.P2aIDNumber,3732))</f>
        <v/>
      </c>
      <c r="G8744" s="51"/>
      <c r="H8744" s="46" t="str">
        <f>IF(AND(I.Developer.P2a=TRUE,I.Facility.P2aFacilityCount&gt;=3732,F8744=""),"Incomplete","Complete")</f>
        <v>Complete</v>
      </c>
      <c r="I8744" s="48" t="s">
        <v>13109</v>
      </c>
    </row>
    <row r="8745" spans="2:9" ht="15" customHeight="1" x14ac:dyDescent="0.25">
      <c r="B8745" s="55" t="s">
        <v>280</v>
      </c>
      <c r="C8745" s="46">
        <v>3733</v>
      </c>
      <c r="D8745" s="69" t="s">
        <v>29417</v>
      </c>
      <c r="E8745" s="51"/>
      <c r="F8745" s="114" t="str">
        <f>IF(INDEX(I.Facility.P2aIDNumber,3733)="","",INDEX(I.Facility.P2aIDNumber,3733))</f>
        <v/>
      </c>
      <c r="G8745" s="51"/>
      <c r="H8745" s="46" t="str">
        <f>IF(AND(I.Developer.P2a=TRUE,I.Facility.P2aFacilityCount&gt;=3733,F8745=""),"Incomplete","Complete")</f>
        <v>Complete</v>
      </c>
      <c r="I8745" s="48" t="s">
        <v>13110</v>
      </c>
    </row>
    <row r="8746" spans="2:9" ht="15" customHeight="1" x14ac:dyDescent="0.25">
      <c r="B8746" s="55" t="s">
        <v>280</v>
      </c>
      <c r="C8746" s="46">
        <v>3734</v>
      </c>
      <c r="D8746" s="69" t="s">
        <v>29417</v>
      </c>
      <c r="E8746" s="51"/>
      <c r="F8746" s="114" t="str">
        <f>IF(INDEX(I.Facility.P2aIDNumber,3734)="","",INDEX(I.Facility.P2aIDNumber,3734))</f>
        <v/>
      </c>
      <c r="G8746" s="51"/>
      <c r="H8746" s="46" t="str">
        <f>IF(AND(I.Developer.P2a=TRUE,I.Facility.P2aFacilityCount&gt;=3734,F8746=""),"Incomplete","Complete")</f>
        <v>Complete</v>
      </c>
      <c r="I8746" s="48" t="s">
        <v>13111</v>
      </c>
    </row>
    <row r="8747" spans="2:9" ht="15" customHeight="1" x14ac:dyDescent="0.25">
      <c r="B8747" s="55" t="s">
        <v>280</v>
      </c>
      <c r="C8747" s="46">
        <v>3735</v>
      </c>
      <c r="D8747" s="69" t="s">
        <v>29417</v>
      </c>
      <c r="E8747" s="51"/>
      <c r="F8747" s="114" t="str">
        <f>IF(INDEX(I.Facility.P2aIDNumber,3735)="","",INDEX(I.Facility.P2aIDNumber,3735))</f>
        <v/>
      </c>
      <c r="G8747" s="51"/>
      <c r="H8747" s="46" t="str">
        <f>IF(AND(I.Developer.P2a=TRUE,I.Facility.P2aFacilityCount&gt;=3735,F8747=""),"Incomplete","Complete")</f>
        <v>Complete</v>
      </c>
      <c r="I8747" s="48" t="s">
        <v>13112</v>
      </c>
    </row>
    <row r="8748" spans="2:9" ht="15" customHeight="1" x14ac:dyDescent="0.25">
      <c r="B8748" s="55" t="s">
        <v>280</v>
      </c>
      <c r="C8748" s="46">
        <v>3736</v>
      </c>
      <c r="D8748" s="69" t="s">
        <v>29417</v>
      </c>
      <c r="E8748" s="51"/>
      <c r="F8748" s="114" t="str">
        <f>IF(INDEX(I.Facility.P2aIDNumber,3736)="","",INDEX(I.Facility.P2aIDNumber,3736))</f>
        <v/>
      </c>
      <c r="G8748" s="51"/>
      <c r="H8748" s="46" t="str">
        <f>IF(AND(I.Developer.P2a=TRUE,I.Facility.P2aFacilityCount&gt;=3736,F8748=""),"Incomplete","Complete")</f>
        <v>Complete</v>
      </c>
      <c r="I8748" s="48" t="s">
        <v>13113</v>
      </c>
    </row>
    <row r="8749" spans="2:9" ht="15" customHeight="1" x14ac:dyDescent="0.25">
      <c r="B8749" s="55" t="s">
        <v>280</v>
      </c>
      <c r="C8749" s="46">
        <v>3737</v>
      </c>
      <c r="D8749" s="69" t="s">
        <v>29417</v>
      </c>
      <c r="E8749" s="51"/>
      <c r="F8749" s="114" t="str">
        <f>IF(INDEX(I.Facility.P2aIDNumber,3737)="","",INDEX(I.Facility.P2aIDNumber,3737))</f>
        <v/>
      </c>
      <c r="G8749" s="51"/>
      <c r="H8749" s="46" t="str">
        <f>IF(AND(I.Developer.P2a=TRUE,I.Facility.P2aFacilityCount&gt;=3737,F8749=""),"Incomplete","Complete")</f>
        <v>Complete</v>
      </c>
      <c r="I8749" s="48" t="s">
        <v>13114</v>
      </c>
    </row>
    <row r="8750" spans="2:9" ht="15" customHeight="1" x14ac:dyDescent="0.25">
      <c r="B8750" s="55" t="s">
        <v>280</v>
      </c>
      <c r="C8750" s="46">
        <v>3738</v>
      </c>
      <c r="D8750" s="69" t="s">
        <v>29417</v>
      </c>
      <c r="E8750" s="51"/>
      <c r="F8750" s="114" t="str">
        <f>IF(INDEX(I.Facility.P2aIDNumber,3738)="","",INDEX(I.Facility.P2aIDNumber,3738))</f>
        <v/>
      </c>
      <c r="G8750" s="51"/>
      <c r="H8750" s="46" t="str">
        <f>IF(AND(I.Developer.P2a=TRUE,I.Facility.P2aFacilityCount&gt;=3738,F8750=""),"Incomplete","Complete")</f>
        <v>Complete</v>
      </c>
      <c r="I8750" s="48" t="s">
        <v>13115</v>
      </c>
    </row>
    <row r="8751" spans="2:9" ht="15" customHeight="1" x14ac:dyDescent="0.25">
      <c r="B8751" s="55" t="s">
        <v>280</v>
      </c>
      <c r="C8751" s="46">
        <v>3739</v>
      </c>
      <c r="D8751" s="69" t="s">
        <v>29417</v>
      </c>
      <c r="E8751" s="51"/>
      <c r="F8751" s="114" t="str">
        <f>IF(INDEX(I.Facility.P2aIDNumber,3739)="","",INDEX(I.Facility.P2aIDNumber,3739))</f>
        <v/>
      </c>
      <c r="G8751" s="51"/>
      <c r="H8751" s="46" t="str">
        <f>IF(AND(I.Developer.P2a=TRUE,I.Facility.P2aFacilityCount&gt;=3739,F8751=""),"Incomplete","Complete")</f>
        <v>Complete</v>
      </c>
      <c r="I8751" s="48" t="s">
        <v>13116</v>
      </c>
    </row>
    <row r="8752" spans="2:9" ht="15" customHeight="1" x14ac:dyDescent="0.25">
      <c r="B8752" s="55" t="s">
        <v>280</v>
      </c>
      <c r="C8752" s="46">
        <v>3740</v>
      </c>
      <c r="D8752" s="69" t="s">
        <v>29417</v>
      </c>
      <c r="E8752" s="51"/>
      <c r="F8752" s="114" t="str">
        <f>IF(INDEX(I.Facility.P2aIDNumber,3740)="","",INDEX(I.Facility.P2aIDNumber,3740))</f>
        <v/>
      </c>
      <c r="G8752" s="51"/>
      <c r="H8752" s="46" t="str">
        <f>IF(AND(I.Developer.P2a=TRUE,I.Facility.P2aFacilityCount&gt;=3740,F8752=""),"Incomplete","Complete")</f>
        <v>Complete</v>
      </c>
      <c r="I8752" s="48" t="s">
        <v>13117</v>
      </c>
    </row>
    <row r="8753" spans="2:9" ht="15" customHeight="1" x14ac:dyDescent="0.25">
      <c r="B8753" s="55" t="s">
        <v>280</v>
      </c>
      <c r="C8753" s="46">
        <v>3741</v>
      </c>
      <c r="D8753" s="69" t="s">
        <v>29417</v>
      </c>
      <c r="E8753" s="51"/>
      <c r="F8753" s="114" t="str">
        <f>IF(INDEX(I.Facility.P2aIDNumber,3741)="","",INDEX(I.Facility.P2aIDNumber,3741))</f>
        <v/>
      </c>
      <c r="G8753" s="51"/>
      <c r="H8753" s="46" t="str">
        <f>IF(AND(I.Developer.P2a=TRUE,I.Facility.P2aFacilityCount&gt;=3741,F8753=""),"Incomplete","Complete")</f>
        <v>Complete</v>
      </c>
      <c r="I8753" s="48" t="s">
        <v>13118</v>
      </c>
    </row>
    <row r="8754" spans="2:9" ht="15" customHeight="1" x14ac:dyDescent="0.25">
      <c r="B8754" s="55" t="s">
        <v>280</v>
      </c>
      <c r="C8754" s="46">
        <v>3742</v>
      </c>
      <c r="D8754" s="69" t="s">
        <v>29417</v>
      </c>
      <c r="E8754" s="51"/>
      <c r="F8754" s="114" t="str">
        <f>IF(INDEX(I.Facility.P2aIDNumber,3742)="","",INDEX(I.Facility.P2aIDNumber,3742))</f>
        <v/>
      </c>
      <c r="G8754" s="51"/>
      <c r="H8754" s="46" t="str">
        <f>IF(AND(I.Developer.P2a=TRUE,I.Facility.P2aFacilityCount&gt;=3742,F8754=""),"Incomplete","Complete")</f>
        <v>Complete</v>
      </c>
      <c r="I8754" s="48" t="s">
        <v>13119</v>
      </c>
    </row>
    <row r="8755" spans="2:9" ht="15" customHeight="1" x14ac:dyDescent="0.25">
      <c r="B8755" s="55" t="s">
        <v>280</v>
      </c>
      <c r="C8755" s="46">
        <v>3743</v>
      </c>
      <c r="D8755" s="69" t="s">
        <v>29417</v>
      </c>
      <c r="E8755" s="51"/>
      <c r="F8755" s="114" t="str">
        <f>IF(INDEX(I.Facility.P2aIDNumber,3743)="","",INDEX(I.Facility.P2aIDNumber,3743))</f>
        <v/>
      </c>
      <c r="G8755" s="51"/>
      <c r="H8755" s="46" t="str">
        <f>IF(AND(I.Developer.P2a=TRUE,I.Facility.P2aFacilityCount&gt;=3743,F8755=""),"Incomplete","Complete")</f>
        <v>Complete</v>
      </c>
      <c r="I8755" s="48" t="s">
        <v>13120</v>
      </c>
    </row>
    <row r="8756" spans="2:9" ht="15" customHeight="1" x14ac:dyDescent="0.25">
      <c r="B8756" s="55" t="s">
        <v>280</v>
      </c>
      <c r="C8756" s="46">
        <v>3744</v>
      </c>
      <c r="D8756" s="69" t="s">
        <v>29417</v>
      </c>
      <c r="E8756" s="51"/>
      <c r="F8756" s="114" t="str">
        <f>IF(INDEX(I.Facility.P2aIDNumber,3744)="","",INDEX(I.Facility.P2aIDNumber,3744))</f>
        <v/>
      </c>
      <c r="G8756" s="51"/>
      <c r="H8756" s="46" t="str">
        <f>IF(AND(I.Developer.P2a=TRUE,I.Facility.P2aFacilityCount&gt;=3744,F8756=""),"Incomplete","Complete")</f>
        <v>Complete</v>
      </c>
      <c r="I8756" s="48" t="s">
        <v>13121</v>
      </c>
    </row>
    <row r="8757" spans="2:9" ht="15" customHeight="1" x14ac:dyDescent="0.25">
      <c r="B8757" s="55" t="s">
        <v>280</v>
      </c>
      <c r="C8757" s="46">
        <v>3745</v>
      </c>
      <c r="D8757" s="69" t="s">
        <v>29417</v>
      </c>
      <c r="E8757" s="51"/>
      <c r="F8757" s="114" t="str">
        <f>IF(INDEX(I.Facility.P2aIDNumber,3745)="","",INDEX(I.Facility.P2aIDNumber,3745))</f>
        <v/>
      </c>
      <c r="G8757" s="51"/>
      <c r="H8757" s="46" t="str">
        <f>IF(AND(I.Developer.P2a=TRUE,I.Facility.P2aFacilityCount&gt;=3745,F8757=""),"Incomplete","Complete")</f>
        <v>Complete</v>
      </c>
      <c r="I8757" s="48" t="s">
        <v>13122</v>
      </c>
    </row>
    <row r="8758" spans="2:9" ht="15" customHeight="1" x14ac:dyDescent="0.25">
      <c r="B8758" s="55" t="s">
        <v>280</v>
      </c>
      <c r="C8758" s="46">
        <v>3746</v>
      </c>
      <c r="D8758" s="69" t="s">
        <v>29417</v>
      </c>
      <c r="E8758" s="51"/>
      <c r="F8758" s="114" t="str">
        <f>IF(INDEX(I.Facility.P2aIDNumber,3746)="","",INDEX(I.Facility.P2aIDNumber,3746))</f>
        <v/>
      </c>
      <c r="G8758" s="51"/>
      <c r="H8758" s="46" t="str">
        <f>IF(AND(I.Developer.P2a=TRUE,I.Facility.P2aFacilityCount&gt;=3746,F8758=""),"Incomplete","Complete")</f>
        <v>Complete</v>
      </c>
      <c r="I8758" s="48" t="s">
        <v>13123</v>
      </c>
    </row>
    <row r="8759" spans="2:9" ht="15" customHeight="1" x14ac:dyDescent="0.25">
      <c r="B8759" s="55" t="s">
        <v>280</v>
      </c>
      <c r="C8759" s="46">
        <v>3747</v>
      </c>
      <c r="D8759" s="69" t="s">
        <v>29417</v>
      </c>
      <c r="E8759" s="51"/>
      <c r="F8759" s="114" t="str">
        <f>IF(INDEX(I.Facility.P2aIDNumber,3747)="","",INDEX(I.Facility.P2aIDNumber,3747))</f>
        <v/>
      </c>
      <c r="G8759" s="51"/>
      <c r="H8759" s="46" t="str">
        <f>IF(AND(I.Developer.P2a=TRUE,I.Facility.P2aFacilityCount&gt;=3747,F8759=""),"Incomplete","Complete")</f>
        <v>Complete</v>
      </c>
      <c r="I8759" s="48" t="s">
        <v>13124</v>
      </c>
    </row>
    <row r="8760" spans="2:9" ht="15" customHeight="1" x14ac:dyDescent="0.25">
      <c r="B8760" s="55" t="s">
        <v>280</v>
      </c>
      <c r="C8760" s="46">
        <v>3748</v>
      </c>
      <c r="D8760" s="69" t="s">
        <v>29417</v>
      </c>
      <c r="E8760" s="51"/>
      <c r="F8760" s="114" t="str">
        <f>IF(INDEX(I.Facility.P2aIDNumber,3748)="","",INDEX(I.Facility.P2aIDNumber,3748))</f>
        <v/>
      </c>
      <c r="G8760" s="51"/>
      <c r="H8760" s="46" t="str">
        <f>IF(AND(I.Developer.P2a=TRUE,I.Facility.P2aFacilityCount&gt;=3748,F8760=""),"Incomplete","Complete")</f>
        <v>Complete</v>
      </c>
      <c r="I8760" s="48" t="s">
        <v>13125</v>
      </c>
    </row>
    <row r="8761" spans="2:9" ht="15" customHeight="1" x14ac:dyDescent="0.25">
      <c r="B8761" s="55" t="s">
        <v>280</v>
      </c>
      <c r="C8761" s="46">
        <v>3749</v>
      </c>
      <c r="D8761" s="69" t="s">
        <v>29417</v>
      </c>
      <c r="E8761" s="51"/>
      <c r="F8761" s="114" t="str">
        <f>IF(INDEX(I.Facility.P2aIDNumber,3749)="","",INDEX(I.Facility.P2aIDNumber,3749))</f>
        <v/>
      </c>
      <c r="G8761" s="51"/>
      <c r="H8761" s="46" t="str">
        <f>IF(AND(I.Developer.P2a=TRUE,I.Facility.P2aFacilityCount&gt;=3749,F8761=""),"Incomplete","Complete")</f>
        <v>Complete</v>
      </c>
      <c r="I8761" s="48" t="s">
        <v>13126</v>
      </c>
    </row>
    <row r="8762" spans="2:9" ht="15" customHeight="1" x14ac:dyDescent="0.25">
      <c r="B8762" s="55" t="s">
        <v>280</v>
      </c>
      <c r="C8762" s="46">
        <v>3750</v>
      </c>
      <c r="D8762" s="69" t="s">
        <v>29417</v>
      </c>
      <c r="E8762" s="51"/>
      <c r="F8762" s="114" t="str">
        <f>IF(INDEX(I.Facility.P2aIDNumber,3750)="","",INDEX(I.Facility.P2aIDNumber,3750))</f>
        <v/>
      </c>
      <c r="G8762" s="51"/>
      <c r="H8762" s="46" t="str">
        <f>IF(AND(I.Developer.P2a=TRUE,I.Facility.P2aFacilityCount&gt;=3750,F8762=""),"Incomplete","Complete")</f>
        <v>Complete</v>
      </c>
      <c r="I8762" s="48" t="s">
        <v>13127</v>
      </c>
    </row>
    <row r="8763" spans="2:9" ht="15" customHeight="1" x14ac:dyDescent="0.25">
      <c r="B8763" s="55" t="s">
        <v>280</v>
      </c>
      <c r="C8763" s="46">
        <v>3751</v>
      </c>
      <c r="D8763" s="69" t="s">
        <v>29417</v>
      </c>
      <c r="E8763" s="51"/>
      <c r="F8763" s="114" t="str">
        <f>IF(INDEX(I.Facility.P2aIDNumber,3751)="","",INDEX(I.Facility.P2aIDNumber,3751))</f>
        <v/>
      </c>
      <c r="G8763" s="51"/>
      <c r="H8763" s="46" t="str">
        <f>IF(AND(I.Developer.P2a=TRUE,I.Facility.P2aFacilityCount&gt;=3751,F8763=""),"Incomplete","Complete")</f>
        <v>Complete</v>
      </c>
      <c r="I8763" s="48" t="s">
        <v>13128</v>
      </c>
    </row>
    <row r="8764" spans="2:9" ht="15" customHeight="1" x14ac:dyDescent="0.25">
      <c r="B8764" s="55" t="s">
        <v>280</v>
      </c>
      <c r="C8764" s="46">
        <v>3752</v>
      </c>
      <c r="D8764" s="69" t="s">
        <v>29417</v>
      </c>
      <c r="E8764" s="51"/>
      <c r="F8764" s="114" t="str">
        <f>IF(INDEX(I.Facility.P2aIDNumber,3752)="","",INDEX(I.Facility.P2aIDNumber,3752))</f>
        <v/>
      </c>
      <c r="G8764" s="51"/>
      <c r="H8764" s="46" t="str">
        <f>IF(AND(I.Developer.P2a=TRUE,I.Facility.P2aFacilityCount&gt;=3752,F8764=""),"Incomplete","Complete")</f>
        <v>Complete</v>
      </c>
      <c r="I8764" s="48" t="s">
        <v>13129</v>
      </c>
    </row>
    <row r="8765" spans="2:9" ht="15" customHeight="1" x14ac:dyDescent="0.25">
      <c r="B8765" s="55" t="s">
        <v>280</v>
      </c>
      <c r="C8765" s="46">
        <v>3753</v>
      </c>
      <c r="D8765" s="69" t="s">
        <v>29417</v>
      </c>
      <c r="E8765" s="51"/>
      <c r="F8765" s="114" t="str">
        <f>IF(INDEX(I.Facility.P2aIDNumber,3753)="","",INDEX(I.Facility.P2aIDNumber,3753))</f>
        <v/>
      </c>
      <c r="G8765" s="51"/>
      <c r="H8765" s="46" t="str">
        <f>IF(AND(I.Developer.P2a=TRUE,I.Facility.P2aFacilityCount&gt;=3753,F8765=""),"Incomplete","Complete")</f>
        <v>Complete</v>
      </c>
      <c r="I8765" s="48" t="s">
        <v>13130</v>
      </c>
    </row>
    <row r="8766" spans="2:9" ht="15" customHeight="1" x14ac:dyDescent="0.25">
      <c r="B8766" s="55" t="s">
        <v>280</v>
      </c>
      <c r="C8766" s="46">
        <v>3754</v>
      </c>
      <c r="D8766" s="69" t="s">
        <v>29417</v>
      </c>
      <c r="E8766" s="51"/>
      <c r="F8766" s="114" t="str">
        <f>IF(INDEX(I.Facility.P2aIDNumber,3754)="","",INDEX(I.Facility.P2aIDNumber,3754))</f>
        <v/>
      </c>
      <c r="G8766" s="51"/>
      <c r="H8766" s="46" t="str">
        <f>IF(AND(I.Developer.P2a=TRUE,I.Facility.P2aFacilityCount&gt;=3754,F8766=""),"Incomplete","Complete")</f>
        <v>Complete</v>
      </c>
      <c r="I8766" s="48" t="s">
        <v>13131</v>
      </c>
    </row>
    <row r="8767" spans="2:9" ht="15" customHeight="1" x14ac:dyDescent="0.25">
      <c r="B8767" s="55" t="s">
        <v>280</v>
      </c>
      <c r="C8767" s="46">
        <v>3755</v>
      </c>
      <c r="D8767" s="69" t="s">
        <v>29417</v>
      </c>
      <c r="E8767" s="51"/>
      <c r="F8767" s="114" t="str">
        <f>IF(INDEX(I.Facility.P2aIDNumber,3755)="","",INDEX(I.Facility.P2aIDNumber,3755))</f>
        <v/>
      </c>
      <c r="G8767" s="51"/>
      <c r="H8767" s="46" t="str">
        <f>IF(AND(I.Developer.P2a=TRUE,I.Facility.P2aFacilityCount&gt;=3755,F8767=""),"Incomplete","Complete")</f>
        <v>Complete</v>
      </c>
      <c r="I8767" s="48" t="s">
        <v>13132</v>
      </c>
    </row>
    <row r="8768" spans="2:9" ht="15" customHeight="1" x14ac:dyDescent="0.25">
      <c r="B8768" s="55" t="s">
        <v>280</v>
      </c>
      <c r="C8768" s="46">
        <v>3756</v>
      </c>
      <c r="D8768" s="69" t="s">
        <v>29417</v>
      </c>
      <c r="E8768" s="51"/>
      <c r="F8768" s="114" t="str">
        <f>IF(INDEX(I.Facility.P2aIDNumber,3756)="","",INDEX(I.Facility.P2aIDNumber,3756))</f>
        <v/>
      </c>
      <c r="G8768" s="51"/>
      <c r="H8768" s="46" t="str">
        <f>IF(AND(I.Developer.P2a=TRUE,I.Facility.P2aFacilityCount&gt;=3756,F8768=""),"Incomplete","Complete")</f>
        <v>Complete</v>
      </c>
      <c r="I8768" s="48" t="s">
        <v>13133</v>
      </c>
    </row>
    <row r="8769" spans="2:9" ht="15" customHeight="1" x14ac:dyDescent="0.25">
      <c r="B8769" s="55" t="s">
        <v>280</v>
      </c>
      <c r="C8769" s="46">
        <v>3757</v>
      </c>
      <c r="D8769" s="69" t="s">
        <v>29417</v>
      </c>
      <c r="E8769" s="51"/>
      <c r="F8769" s="114" t="str">
        <f>IF(INDEX(I.Facility.P2aIDNumber,3757)="","",INDEX(I.Facility.P2aIDNumber,3757))</f>
        <v/>
      </c>
      <c r="G8769" s="51"/>
      <c r="H8769" s="46" t="str">
        <f>IF(AND(I.Developer.P2a=TRUE,I.Facility.P2aFacilityCount&gt;=3757,F8769=""),"Incomplete","Complete")</f>
        <v>Complete</v>
      </c>
      <c r="I8769" s="48" t="s">
        <v>13134</v>
      </c>
    </row>
    <row r="8770" spans="2:9" ht="15" customHeight="1" x14ac:dyDescent="0.25">
      <c r="B8770" s="55" t="s">
        <v>280</v>
      </c>
      <c r="C8770" s="46">
        <v>3758</v>
      </c>
      <c r="D8770" s="69" t="s">
        <v>29417</v>
      </c>
      <c r="E8770" s="51"/>
      <c r="F8770" s="114" t="str">
        <f>IF(INDEX(I.Facility.P2aIDNumber,3758)="","",INDEX(I.Facility.P2aIDNumber,3758))</f>
        <v/>
      </c>
      <c r="G8770" s="51"/>
      <c r="H8770" s="46" t="str">
        <f>IF(AND(I.Developer.P2a=TRUE,I.Facility.P2aFacilityCount&gt;=3758,F8770=""),"Incomplete","Complete")</f>
        <v>Complete</v>
      </c>
      <c r="I8770" s="48" t="s">
        <v>13135</v>
      </c>
    </row>
    <row r="8771" spans="2:9" ht="15" customHeight="1" x14ac:dyDescent="0.25">
      <c r="B8771" s="55" t="s">
        <v>280</v>
      </c>
      <c r="C8771" s="46">
        <v>3759</v>
      </c>
      <c r="D8771" s="69" t="s">
        <v>29417</v>
      </c>
      <c r="E8771" s="51"/>
      <c r="F8771" s="114" t="str">
        <f>IF(INDEX(I.Facility.P2aIDNumber,3759)="","",INDEX(I.Facility.P2aIDNumber,3759))</f>
        <v/>
      </c>
      <c r="G8771" s="51"/>
      <c r="H8771" s="46" t="str">
        <f>IF(AND(I.Developer.P2a=TRUE,I.Facility.P2aFacilityCount&gt;=3759,F8771=""),"Incomplete","Complete")</f>
        <v>Complete</v>
      </c>
      <c r="I8771" s="48" t="s">
        <v>13136</v>
      </c>
    </row>
    <row r="8772" spans="2:9" ht="15" customHeight="1" x14ac:dyDescent="0.25">
      <c r="B8772" s="55" t="s">
        <v>280</v>
      </c>
      <c r="C8772" s="46">
        <v>3760</v>
      </c>
      <c r="D8772" s="69" t="s">
        <v>29417</v>
      </c>
      <c r="E8772" s="51"/>
      <c r="F8772" s="114" t="str">
        <f>IF(INDEX(I.Facility.P2aIDNumber,3760)="","",INDEX(I.Facility.P2aIDNumber,3760))</f>
        <v/>
      </c>
      <c r="G8772" s="51"/>
      <c r="H8772" s="46" t="str">
        <f>IF(AND(I.Developer.P2a=TRUE,I.Facility.P2aFacilityCount&gt;=3760,F8772=""),"Incomplete","Complete")</f>
        <v>Complete</v>
      </c>
      <c r="I8772" s="48" t="s">
        <v>13137</v>
      </c>
    </row>
    <row r="8773" spans="2:9" ht="15" customHeight="1" x14ac:dyDescent="0.25">
      <c r="B8773" s="55" t="s">
        <v>280</v>
      </c>
      <c r="C8773" s="46">
        <v>3761</v>
      </c>
      <c r="D8773" s="69" t="s">
        <v>29417</v>
      </c>
      <c r="E8773" s="51"/>
      <c r="F8773" s="114" t="str">
        <f>IF(INDEX(I.Facility.P2aIDNumber,3761)="","",INDEX(I.Facility.P2aIDNumber,3761))</f>
        <v/>
      </c>
      <c r="G8773" s="51"/>
      <c r="H8773" s="46" t="str">
        <f>IF(AND(I.Developer.P2a=TRUE,I.Facility.P2aFacilityCount&gt;=3761,F8773=""),"Incomplete","Complete")</f>
        <v>Complete</v>
      </c>
      <c r="I8773" s="48" t="s">
        <v>13138</v>
      </c>
    </row>
    <row r="8774" spans="2:9" ht="15" customHeight="1" x14ac:dyDescent="0.25">
      <c r="B8774" s="55" t="s">
        <v>280</v>
      </c>
      <c r="C8774" s="46">
        <v>3762</v>
      </c>
      <c r="D8774" s="69" t="s">
        <v>29417</v>
      </c>
      <c r="E8774" s="51"/>
      <c r="F8774" s="114" t="str">
        <f>IF(INDEX(I.Facility.P2aIDNumber,3762)="","",INDEX(I.Facility.P2aIDNumber,3762))</f>
        <v/>
      </c>
      <c r="G8774" s="51"/>
      <c r="H8774" s="46" t="str">
        <f>IF(AND(I.Developer.P2a=TRUE,I.Facility.P2aFacilityCount&gt;=3762,F8774=""),"Incomplete","Complete")</f>
        <v>Complete</v>
      </c>
      <c r="I8774" s="48" t="s">
        <v>13139</v>
      </c>
    </row>
    <row r="8775" spans="2:9" ht="15" customHeight="1" x14ac:dyDescent="0.25">
      <c r="B8775" s="55" t="s">
        <v>280</v>
      </c>
      <c r="C8775" s="46">
        <v>3763</v>
      </c>
      <c r="D8775" s="69" t="s">
        <v>29417</v>
      </c>
      <c r="E8775" s="51"/>
      <c r="F8775" s="114" t="str">
        <f>IF(INDEX(I.Facility.P2aIDNumber,3763)="","",INDEX(I.Facility.P2aIDNumber,3763))</f>
        <v/>
      </c>
      <c r="G8775" s="51"/>
      <c r="H8775" s="46" t="str">
        <f>IF(AND(I.Developer.P2a=TRUE,I.Facility.P2aFacilityCount&gt;=3763,F8775=""),"Incomplete","Complete")</f>
        <v>Complete</v>
      </c>
      <c r="I8775" s="48" t="s">
        <v>13140</v>
      </c>
    </row>
    <row r="8776" spans="2:9" ht="15" customHeight="1" x14ac:dyDescent="0.25">
      <c r="B8776" s="55" t="s">
        <v>280</v>
      </c>
      <c r="C8776" s="46">
        <v>3764</v>
      </c>
      <c r="D8776" s="69" t="s">
        <v>29417</v>
      </c>
      <c r="E8776" s="51"/>
      <c r="F8776" s="114" t="str">
        <f>IF(INDEX(I.Facility.P2aIDNumber,3764)="","",INDEX(I.Facility.P2aIDNumber,3764))</f>
        <v/>
      </c>
      <c r="G8776" s="51"/>
      <c r="H8776" s="46" t="str">
        <f>IF(AND(I.Developer.P2a=TRUE,I.Facility.P2aFacilityCount&gt;=3764,F8776=""),"Incomplete","Complete")</f>
        <v>Complete</v>
      </c>
      <c r="I8776" s="48" t="s">
        <v>13141</v>
      </c>
    </row>
    <row r="8777" spans="2:9" ht="15" customHeight="1" x14ac:dyDescent="0.25">
      <c r="B8777" s="55" t="s">
        <v>280</v>
      </c>
      <c r="C8777" s="46">
        <v>3765</v>
      </c>
      <c r="D8777" s="69" t="s">
        <v>29417</v>
      </c>
      <c r="E8777" s="51"/>
      <c r="F8777" s="114" t="str">
        <f>IF(INDEX(I.Facility.P2aIDNumber,3765)="","",INDEX(I.Facility.P2aIDNumber,3765))</f>
        <v/>
      </c>
      <c r="G8777" s="51"/>
      <c r="H8777" s="46" t="str">
        <f>IF(AND(I.Developer.P2a=TRUE,I.Facility.P2aFacilityCount&gt;=3765,F8777=""),"Incomplete","Complete")</f>
        <v>Complete</v>
      </c>
      <c r="I8777" s="48" t="s">
        <v>13142</v>
      </c>
    </row>
    <row r="8778" spans="2:9" ht="15" customHeight="1" x14ac:dyDescent="0.25">
      <c r="B8778" s="55" t="s">
        <v>280</v>
      </c>
      <c r="C8778" s="46">
        <v>3766</v>
      </c>
      <c r="D8778" s="69" t="s">
        <v>29417</v>
      </c>
      <c r="E8778" s="51"/>
      <c r="F8778" s="114" t="str">
        <f>IF(INDEX(I.Facility.P2aIDNumber,3766)="","",INDEX(I.Facility.P2aIDNumber,3766))</f>
        <v/>
      </c>
      <c r="G8778" s="51"/>
      <c r="H8778" s="46" t="str">
        <f>IF(AND(I.Developer.P2a=TRUE,I.Facility.P2aFacilityCount&gt;=3766,F8778=""),"Incomplete","Complete")</f>
        <v>Complete</v>
      </c>
      <c r="I8778" s="48" t="s">
        <v>13143</v>
      </c>
    </row>
    <row r="8779" spans="2:9" ht="15" customHeight="1" x14ac:dyDescent="0.25">
      <c r="B8779" s="55" t="s">
        <v>280</v>
      </c>
      <c r="C8779" s="46">
        <v>3767</v>
      </c>
      <c r="D8779" s="69" t="s">
        <v>29417</v>
      </c>
      <c r="E8779" s="51"/>
      <c r="F8779" s="114" t="str">
        <f>IF(INDEX(I.Facility.P2aIDNumber,3767)="","",INDEX(I.Facility.P2aIDNumber,3767))</f>
        <v/>
      </c>
      <c r="G8779" s="51"/>
      <c r="H8779" s="46" t="str">
        <f>IF(AND(I.Developer.P2a=TRUE,I.Facility.P2aFacilityCount&gt;=3767,F8779=""),"Incomplete","Complete")</f>
        <v>Complete</v>
      </c>
      <c r="I8779" s="48" t="s">
        <v>13144</v>
      </c>
    </row>
    <row r="8780" spans="2:9" ht="15" customHeight="1" x14ac:dyDescent="0.25">
      <c r="B8780" s="55" t="s">
        <v>280</v>
      </c>
      <c r="C8780" s="46">
        <v>3768</v>
      </c>
      <c r="D8780" s="69" t="s">
        <v>29417</v>
      </c>
      <c r="E8780" s="51"/>
      <c r="F8780" s="114" t="str">
        <f>IF(INDEX(I.Facility.P2aIDNumber,3768)="","",INDEX(I.Facility.P2aIDNumber,3768))</f>
        <v/>
      </c>
      <c r="G8780" s="51"/>
      <c r="H8780" s="46" t="str">
        <f>IF(AND(I.Developer.P2a=TRUE,I.Facility.P2aFacilityCount&gt;=3768,F8780=""),"Incomplete","Complete")</f>
        <v>Complete</v>
      </c>
      <c r="I8780" s="48" t="s">
        <v>13145</v>
      </c>
    </row>
    <row r="8781" spans="2:9" ht="15" customHeight="1" x14ac:dyDescent="0.25">
      <c r="B8781" s="55" t="s">
        <v>280</v>
      </c>
      <c r="C8781" s="46">
        <v>3769</v>
      </c>
      <c r="D8781" s="69" t="s">
        <v>29417</v>
      </c>
      <c r="E8781" s="51"/>
      <c r="F8781" s="114" t="str">
        <f>IF(INDEX(I.Facility.P2aIDNumber,3769)="","",INDEX(I.Facility.P2aIDNumber,3769))</f>
        <v/>
      </c>
      <c r="G8781" s="51"/>
      <c r="H8781" s="46" t="str">
        <f>IF(AND(I.Developer.P2a=TRUE,I.Facility.P2aFacilityCount&gt;=3769,F8781=""),"Incomplete","Complete")</f>
        <v>Complete</v>
      </c>
      <c r="I8781" s="48" t="s">
        <v>13146</v>
      </c>
    </row>
    <row r="8782" spans="2:9" ht="15" customHeight="1" x14ac:dyDescent="0.25">
      <c r="B8782" s="55" t="s">
        <v>280</v>
      </c>
      <c r="C8782" s="46">
        <v>3770</v>
      </c>
      <c r="D8782" s="69" t="s">
        <v>29417</v>
      </c>
      <c r="E8782" s="51"/>
      <c r="F8782" s="114" t="str">
        <f>IF(INDEX(I.Facility.P2aIDNumber,3770)="","",INDEX(I.Facility.P2aIDNumber,3770))</f>
        <v/>
      </c>
      <c r="G8782" s="51"/>
      <c r="H8782" s="46" t="str">
        <f>IF(AND(I.Developer.P2a=TRUE,I.Facility.P2aFacilityCount&gt;=3770,F8782=""),"Incomplete","Complete")</f>
        <v>Complete</v>
      </c>
      <c r="I8782" s="48" t="s">
        <v>13147</v>
      </c>
    </row>
    <row r="8783" spans="2:9" ht="15" customHeight="1" x14ac:dyDescent="0.25">
      <c r="B8783" s="55" t="s">
        <v>280</v>
      </c>
      <c r="C8783" s="46">
        <v>3771</v>
      </c>
      <c r="D8783" s="69" t="s">
        <v>29417</v>
      </c>
      <c r="E8783" s="51"/>
      <c r="F8783" s="114" t="str">
        <f>IF(INDEX(I.Facility.P2aIDNumber,3771)="","",INDEX(I.Facility.P2aIDNumber,3771))</f>
        <v/>
      </c>
      <c r="G8783" s="51"/>
      <c r="H8783" s="46" t="str">
        <f>IF(AND(I.Developer.P2a=TRUE,I.Facility.P2aFacilityCount&gt;=3771,F8783=""),"Incomplete","Complete")</f>
        <v>Complete</v>
      </c>
      <c r="I8783" s="48" t="s">
        <v>13148</v>
      </c>
    </row>
    <row r="8784" spans="2:9" ht="15" customHeight="1" x14ac:dyDescent="0.25">
      <c r="B8784" s="55" t="s">
        <v>280</v>
      </c>
      <c r="C8784" s="46">
        <v>3772</v>
      </c>
      <c r="D8784" s="69" t="s">
        <v>29417</v>
      </c>
      <c r="E8784" s="51"/>
      <c r="F8784" s="114" t="str">
        <f>IF(INDEX(I.Facility.P2aIDNumber,3772)="","",INDEX(I.Facility.P2aIDNumber,3772))</f>
        <v/>
      </c>
      <c r="G8784" s="51"/>
      <c r="H8784" s="46" t="str">
        <f>IF(AND(I.Developer.P2a=TRUE,I.Facility.P2aFacilityCount&gt;=3772,F8784=""),"Incomplete","Complete")</f>
        <v>Complete</v>
      </c>
      <c r="I8784" s="48" t="s">
        <v>13149</v>
      </c>
    </row>
    <row r="8785" spans="2:9" ht="15" customHeight="1" x14ac:dyDescent="0.25">
      <c r="B8785" s="55" t="s">
        <v>280</v>
      </c>
      <c r="C8785" s="46">
        <v>3773</v>
      </c>
      <c r="D8785" s="69" t="s">
        <v>29417</v>
      </c>
      <c r="E8785" s="51"/>
      <c r="F8785" s="114" t="str">
        <f>IF(INDEX(I.Facility.P2aIDNumber,3773)="","",INDEX(I.Facility.P2aIDNumber,3773))</f>
        <v/>
      </c>
      <c r="G8785" s="51"/>
      <c r="H8785" s="46" t="str">
        <f>IF(AND(I.Developer.P2a=TRUE,I.Facility.P2aFacilityCount&gt;=3773,F8785=""),"Incomplete","Complete")</f>
        <v>Complete</v>
      </c>
      <c r="I8785" s="48" t="s">
        <v>13150</v>
      </c>
    </row>
    <row r="8786" spans="2:9" ht="15" customHeight="1" x14ac:dyDescent="0.25">
      <c r="B8786" s="55" t="s">
        <v>280</v>
      </c>
      <c r="C8786" s="46">
        <v>3774</v>
      </c>
      <c r="D8786" s="69" t="s">
        <v>29417</v>
      </c>
      <c r="E8786" s="51"/>
      <c r="F8786" s="114" t="str">
        <f>IF(INDEX(I.Facility.P2aIDNumber,3774)="","",INDEX(I.Facility.P2aIDNumber,3774))</f>
        <v/>
      </c>
      <c r="G8786" s="51"/>
      <c r="H8786" s="46" t="str">
        <f>IF(AND(I.Developer.P2a=TRUE,I.Facility.P2aFacilityCount&gt;=3774,F8786=""),"Incomplete","Complete")</f>
        <v>Complete</v>
      </c>
      <c r="I8786" s="48" t="s">
        <v>13151</v>
      </c>
    </row>
    <row r="8787" spans="2:9" ht="15" customHeight="1" x14ac:dyDescent="0.25">
      <c r="B8787" s="55" t="s">
        <v>280</v>
      </c>
      <c r="C8787" s="46">
        <v>3775</v>
      </c>
      <c r="D8787" s="69" t="s">
        <v>29417</v>
      </c>
      <c r="E8787" s="51"/>
      <c r="F8787" s="114" t="str">
        <f>IF(INDEX(I.Facility.P2aIDNumber,3775)="","",INDEX(I.Facility.P2aIDNumber,3775))</f>
        <v/>
      </c>
      <c r="G8787" s="51"/>
      <c r="H8787" s="46" t="str">
        <f>IF(AND(I.Developer.P2a=TRUE,I.Facility.P2aFacilityCount&gt;=3775,F8787=""),"Incomplete","Complete")</f>
        <v>Complete</v>
      </c>
      <c r="I8787" s="48" t="s">
        <v>13152</v>
      </c>
    </row>
    <row r="8788" spans="2:9" ht="15" customHeight="1" x14ac:dyDescent="0.25">
      <c r="B8788" s="55" t="s">
        <v>280</v>
      </c>
      <c r="C8788" s="46">
        <v>3776</v>
      </c>
      <c r="D8788" s="69" t="s">
        <v>29417</v>
      </c>
      <c r="E8788" s="51"/>
      <c r="F8788" s="114" t="str">
        <f>IF(INDEX(I.Facility.P2aIDNumber,3776)="","",INDEX(I.Facility.P2aIDNumber,3776))</f>
        <v/>
      </c>
      <c r="G8788" s="51"/>
      <c r="H8788" s="46" t="str">
        <f>IF(AND(I.Developer.P2a=TRUE,I.Facility.P2aFacilityCount&gt;=3776,F8788=""),"Incomplete","Complete")</f>
        <v>Complete</v>
      </c>
      <c r="I8788" s="48" t="s">
        <v>13153</v>
      </c>
    </row>
    <row r="8789" spans="2:9" ht="15" customHeight="1" x14ac:dyDescent="0.25">
      <c r="B8789" s="55" t="s">
        <v>280</v>
      </c>
      <c r="C8789" s="46">
        <v>3777</v>
      </c>
      <c r="D8789" s="69" t="s">
        <v>29417</v>
      </c>
      <c r="E8789" s="51"/>
      <c r="F8789" s="114" t="str">
        <f>IF(INDEX(I.Facility.P2aIDNumber,3777)="","",INDEX(I.Facility.P2aIDNumber,3777))</f>
        <v/>
      </c>
      <c r="G8789" s="51"/>
      <c r="H8789" s="46" t="str">
        <f>IF(AND(I.Developer.P2a=TRUE,I.Facility.P2aFacilityCount&gt;=3777,F8789=""),"Incomplete","Complete")</f>
        <v>Complete</v>
      </c>
      <c r="I8789" s="48" t="s">
        <v>13154</v>
      </c>
    </row>
    <row r="8790" spans="2:9" ht="15" customHeight="1" x14ac:dyDescent="0.25">
      <c r="B8790" s="55" t="s">
        <v>280</v>
      </c>
      <c r="C8790" s="46">
        <v>3778</v>
      </c>
      <c r="D8790" s="69" t="s">
        <v>29417</v>
      </c>
      <c r="E8790" s="51"/>
      <c r="F8790" s="114" t="str">
        <f>IF(INDEX(I.Facility.P2aIDNumber,3778)="","",INDEX(I.Facility.P2aIDNumber,3778))</f>
        <v/>
      </c>
      <c r="G8790" s="51"/>
      <c r="H8790" s="46" t="str">
        <f>IF(AND(I.Developer.P2a=TRUE,I.Facility.P2aFacilityCount&gt;=3778,F8790=""),"Incomplete","Complete")</f>
        <v>Complete</v>
      </c>
      <c r="I8790" s="48" t="s">
        <v>13155</v>
      </c>
    </row>
    <row r="8791" spans="2:9" ht="15" customHeight="1" x14ac:dyDescent="0.25">
      <c r="B8791" s="55" t="s">
        <v>280</v>
      </c>
      <c r="C8791" s="46">
        <v>3779</v>
      </c>
      <c r="D8791" s="69" t="s">
        <v>29417</v>
      </c>
      <c r="E8791" s="51"/>
      <c r="F8791" s="114" t="str">
        <f>IF(INDEX(I.Facility.P2aIDNumber,3779)="","",INDEX(I.Facility.P2aIDNumber,3779))</f>
        <v/>
      </c>
      <c r="G8791" s="51"/>
      <c r="H8791" s="46" t="str">
        <f>IF(AND(I.Developer.P2a=TRUE,I.Facility.P2aFacilityCount&gt;=3779,F8791=""),"Incomplete","Complete")</f>
        <v>Complete</v>
      </c>
      <c r="I8791" s="48" t="s">
        <v>13156</v>
      </c>
    </row>
    <row r="8792" spans="2:9" ht="15" customHeight="1" x14ac:dyDescent="0.25">
      <c r="B8792" s="55" t="s">
        <v>280</v>
      </c>
      <c r="C8792" s="46">
        <v>3780</v>
      </c>
      <c r="D8792" s="69" t="s">
        <v>29417</v>
      </c>
      <c r="E8792" s="51"/>
      <c r="F8792" s="114" t="str">
        <f>IF(INDEX(I.Facility.P2aIDNumber,3780)="","",INDEX(I.Facility.P2aIDNumber,3780))</f>
        <v/>
      </c>
      <c r="G8792" s="51"/>
      <c r="H8792" s="46" t="str">
        <f>IF(AND(I.Developer.P2a=TRUE,I.Facility.P2aFacilityCount&gt;=3780,F8792=""),"Incomplete","Complete")</f>
        <v>Complete</v>
      </c>
      <c r="I8792" s="48" t="s">
        <v>13157</v>
      </c>
    </row>
    <row r="8793" spans="2:9" ht="15" customHeight="1" x14ac:dyDescent="0.25">
      <c r="B8793" s="55" t="s">
        <v>280</v>
      </c>
      <c r="C8793" s="46">
        <v>3781</v>
      </c>
      <c r="D8793" s="69" t="s">
        <v>29417</v>
      </c>
      <c r="E8793" s="51"/>
      <c r="F8793" s="114" t="str">
        <f>IF(INDEX(I.Facility.P2aIDNumber,3781)="","",INDEX(I.Facility.P2aIDNumber,3781))</f>
        <v/>
      </c>
      <c r="G8793" s="51"/>
      <c r="H8793" s="46" t="str">
        <f>IF(AND(I.Developer.P2a=TRUE,I.Facility.P2aFacilityCount&gt;=3781,F8793=""),"Incomplete","Complete")</f>
        <v>Complete</v>
      </c>
      <c r="I8793" s="48" t="s">
        <v>13158</v>
      </c>
    </row>
    <row r="8794" spans="2:9" ht="15" customHeight="1" x14ac:dyDescent="0.25">
      <c r="B8794" s="55" t="s">
        <v>280</v>
      </c>
      <c r="C8794" s="46">
        <v>3782</v>
      </c>
      <c r="D8794" s="69" t="s">
        <v>29417</v>
      </c>
      <c r="E8794" s="51"/>
      <c r="F8794" s="114" t="str">
        <f>IF(INDEX(I.Facility.P2aIDNumber,3782)="","",INDEX(I.Facility.P2aIDNumber,3782))</f>
        <v/>
      </c>
      <c r="G8794" s="51"/>
      <c r="H8794" s="46" t="str">
        <f>IF(AND(I.Developer.P2a=TRUE,I.Facility.P2aFacilityCount&gt;=3782,F8794=""),"Incomplete","Complete")</f>
        <v>Complete</v>
      </c>
      <c r="I8794" s="48" t="s">
        <v>13159</v>
      </c>
    </row>
    <row r="8795" spans="2:9" ht="15" customHeight="1" x14ac:dyDescent="0.25">
      <c r="B8795" s="55" t="s">
        <v>280</v>
      </c>
      <c r="C8795" s="46">
        <v>3783</v>
      </c>
      <c r="D8795" s="69" t="s">
        <v>29417</v>
      </c>
      <c r="E8795" s="51"/>
      <c r="F8795" s="114" t="str">
        <f>IF(INDEX(I.Facility.P2aIDNumber,3783)="","",INDEX(I.Facility.P2aIDNumber,3783))</f>
        <v/>
      </c>
      <c r="G8795" s="51"/>
      <c r="H8795" s="46" t="str">
        <f>IF(AND(I.Developer.P2a=TRUE,I.Facility.P2aFacilityCount&gt;=3783,F8795=""),"Incomplete","Complete")</f>
        <v>Complete</v>
      </c>
      <c r="I8795" s="48" t="s">
        <v>13160</v>
      </c>
    </row>
    <row r="8796" spans="2:9" ht="15" customHeight="1" x14ac:dyDescent="0.25">
      <c r="B8796" s="55" t="s">
        <v>280</v>
      </c>
      <c r="C8796" s="46">
        <v>3784</v>
      </c>
      <c r="D8796" s="69" t="s">
        <v>29417</v>
      </c>
      <c r="E8796" s="51"/>
      <c r="F8796" s="114" t="str">
        <f>IF(INDEX(I.Facility.P2aIDNumber,3784)="","",INDEX(I.Facility.P2aIDNumber,3784))</f>
        <v/>
      </c>
      <c r="G8796" s="51"/>
      <c r="H8796" s="46" t="str">
        <f>IF(AND(I.Developer.P2a=TRUE,I.Facility.P2aFacilityCount&gt;=3784,F8796=""),"Incomplete","Complete")</f>
        <v>Complete</v>
      </c>
      <c r="I8796" s="48" t="s">
        <v>13161</v>
      </c>
    </row>
    <row r="8797" spans="2:9" ht="15" customHeight="1" x14ac:dyDescent="0.25">
      <c r="B8797" s="55" t="s">
        <v>280</v>
      </c>
      <c r="C8797" s="46">
        <v>3785</v>
      </c>
      <c r="D8797" s="69" t="s">
        <v>29417</v>
      </c>
      <c r="E8797" s="51"/>
      <c r="F8797" s="114" t="str">
        <f>IF(INDEX(I.Facility.P2aIDNumber,3785)="","",INDEX(I.Facility.P2aIDNumber,3785))</f>
        <v/>
      </c>
      <c r="G8797" s="51"/>
      <c r="H8797" s="46" t="str">
        <f>IF(AND(I.Developer.P2a=TRUE,I.Facility.P2aFacilityCount&gt;=3785,F8797=""),"Incomplete","Complete")</f>
        <v>Complete</v>
      </c>
      <c r="I8797" s="48" t="s">
        <v>13162</v>
      </c>
    </row>
    <row r="8798" spans="2:9" ht="15" customHeight="1" x14ac:dyDescent="0.25">
      <c r="B8798" s="55" t="s">
        <v>280</v>
      </c>
      <c r="C8798" s="46">
        <v>3786</v>
      </c>
      <c r="D8798" s="69" t="s">
        <v>29417</v>
      </c>
      <c r="E8798" s="51"/>
      <c r="F8798" s="114" t="str">
        <f>IF(INDEX(I.Facility.P2aIDNumber,3786)="","",INDEX(I.Facility.P2aIDNumber,3786))</f>
        <v/>
      </c>
      <c r="G8798" s="51"/>
      <c r="H8798" s="46" t="str">
        <f>IF(AND(I.Developer.P2a=TRUE,I.Facility.P2aFacilityCount&gt;=3786,F8798=""),"Incomplete","Complete")</f>
        <v>Complete</v>
      </c>
      <c r="I8798" s="48" t="s">
        <v>13163</v>
      </c>
    </row>
    <row r="8799" spans="2:9" ht="15" customHeight="1" x14ac:dyDescent="0.25">
      <c r="B8799" s="55" t="s">
        <v>280</v>
      </c>
      <c r="C8799" s="46">
        <v>3787</v>
      </c>
      <c r="D8799" s="69" t="s">
        <v>29417</v>
      </c>
      <c r="E8799" s="51"/>
      <c r="F8799" s="114" t="str">
        <f>IF(INDEX(I.Facility.P2aIDNumber,3787)="","",INDEX(I.Facility.P2aIDNumber,3787))</f>
        <v/>
      </c>
      <c r="G8799" s="51"/>
      <c r="H8799" s="46" t="str">
        <f>IF(AND(I.Developer.P2a=TRUE,I.Facility.P2aFacilityCount&gt;=3787,F8799=""),"Incomplete","Complete")</f>
        <v>Complete</v>
      </c>
      <c r="I8799" s="48" t="s">
        <v>13164</v>
      </c>
    </row>
    <row r="8800" spans="2:9" ht="15" customHeight="1" x14ac:dyDescent="0.25">
      <c r="B8800" s="55" t="s">
        <v>280</v>
      </c>
      <c r="C8800" s="46">
        <v>3788</v>
      </c>
      <c r="D8800" s="69" t="s">
        <v>29417</v>
      </c>
      <c r="E8800" s="51"/>
      <c r="F8800" s="114" t="str">
        <f>IF(INDEX(I.Facility.P2aIDNumber,3788)="","",INDEX(I.Facility.P2aIDNumber,3788))</f>
        <v/>
      </c>
      <c r="G8800" s="51"/>
      <c r="H8800" s="46" t="str">
        <f>IF(AND(I.Developer.P2a=TRUE,I.Facility.P2aFacilityCount&gt;=3788,F8800=""),"Incomplete","Complete")</f>
        <v>Complete</v>
      </c>
      <c r="I8800" s="48" t="s">
        <v>13165</v>
      </c>
    </row>
    <row r="8801" spans="2:9" ht="15" customHeight="1" x14ac:dyDescent="0.25">
      <c r="B8801" s="55" t="s">
        <v>280</v>
      </c>
      <c r="C8801" s="46">
        <v>3789</v>
      </c>
      <c r="D8801" s="69" t="s">
        <v>29417</v>
      </c>
      <c r="E8801" s="51"/>
      <c r="F8801" s="114" t="str">
        <f>IF(INDEX(I.Facility.P2aIDNumber,3789)="","",INDEX(I.Facility.P2aIDNumber,3789))</f>
        <v/>
      </c>
      <c r="G8801" s="51"/>
      <c r="H8801" s="46" t="str">
        <f>IF(AND(I.Developer.P2a=TRUE,I.Facility.P2aFacilityCount&gt;=3789,F8801=""),"Incomplete","Complete")</f>
        <v>Complete</v>
      </c>
      <c r="I8801" s="48" t="s">
        <v>13166</v>
      </c>
    </row>
    <row r="8802" spans="2:9" ht="15" customHeight="1" x14ac:dyDescent="0.25">
      <c r="B8802" s="55" t="s">
        <v>280</v>
      </c>
      <c r="C8802" s="46">
        <v>3790</v>
      </c>
      <c r="D8802" s="69" t="s">
        <v>29417</v>
      </c>
      <c r="E8802" s="51"/>
      <c r="F8802" s="114" t="str">
        <f>IF(INDEX(I.Facility.P2aIDNumber,3790)="","",INDEX(I.Facility.P2aIDNumber,3790))</f>
        <v/>
      </c>
      <c r="G8802" s="51"/>
      <c r="H8802" s="46" t="str">
        <f>IF(AND(I.Developer.P2a=TRUE,I.Facility.P2aFacilityCount&gt;=3790,F8802=""),"Incomplete","Complete")</f>
        <v>Complete</v>
      </c>
      <c r="I8802" s="48" t="s">
        <v>13167</v>
      </c>
    </row>
    <row r="8803" spans="2:9" ht="15" customHeight="1" x14ac:dyDescent="0.25">
      <c r="B8803" s="55" t="s">
        <v>280</v>
      </c>
      <c r="C8803" s="46">
        <v>3791</v>
      </c>
      <c r="D8803" s="69" t="s">
        <v>29417</v>
      </c>
      <c r="E8803" s="51"/>
      <c r="F8803" s="114" t="str">
        <f>IF(INDEX(I.Facility.P2aIDNumber,3791)="","",INDEX(I.Facility.P2aIDNumber,3791))</f>
        <v/>
      </c>
      <c r="G8803" s="51"/>
      <c r="H8803" s="46" t="str">
        <f>IF(AND(I.Developer.P2a=TRUE,I.Facility.P2aFacilityCount&gt;=3791,F8803=""),"Incomplete","Complete")</f>
        <v>Complete</v>
      </c>
      <c r="I8803" s="48" t="s">
        <v>13168</v>
      </c>
    </row>
    <row r="8804" spans="2:9" ht="15" customHeight="1" x14ac:dyDescent="0.25">
      <c r="B8804" s="55" t="s">
        <v>280</v>
      </c>
      <c r="C8804" s="46">
        <v>3792</v>
      </c>
      <c r="D8804" s="69" t="s">
        <v>29417</v>
      </c>
      <c r="E8804" s="51"/>
      <c r="F8804" s="114" t="str">
        <f>IF(INDEX(I.Facility.P2aIDNumber,3792)="","",INDEX(I.Facility.P2aIDNumber,3792))</f>
        <v/>
      </c>
      <c r="G8804" s="51"/>
      <c r="H8804" s="46" t="str">
        <f>IF(AND(I.Developer.P2a=TRUE,I.Facility.P2aFacilityCount&gt;=3792,F8804=""),"Incomplete","Complete")</f>
        <v>Complete</v>
      </c>
      <c r="I8804" s="48" t="s">
        <v>13169</v>
      </c>
    </row>
    <row r="8805" spans="2:9" ht="15" customHeight="1" x14ac:dyDescent="0.25">
      <c r="B8805" s="55" t="s">
        <v>280</v>
      </c>
      <c r="C8805" s="46">
        <v>3793</v>
      </c>
      <c r="D8805" s="69" t="s">
        <v>29417</v>
      </c>
      <c r="E8805" s="51"/>
      <c r="F8805" s="114" t="str">
        <f>IF(INDEX(I.Facility.P2aIDNumber,3793)="","",INDEX(I.Facility.P2aIDNumber,3793))</f>
        <v/>
      </c>
      <c r="G8805" s="51"/>
      <c r="H8805" s="46" t="str">
        <f>IF(AND(I.Developer.P2a=TRUE,I.Facility.P2aFacilityCount&gt;=3793,F8805=""),"Incomplete","Complete")</f>
        <v>Complete</v>
      </c>
      <c r="I8805" s="48" t="s">
        <v>13170</v>
      </c>
    </row>
    <row r="8806" spans="2:9" ht="15" customHeight="1" x14ac:dyDescent="0.25">
      <c r="B8806" s="55" t="s">
        <v>280</v>
      </c>
      <c r="C8806" s="46">
        <v>3794</v>
      </c>
      <c r="D8806" s="69" t="s">
        <v>29417</v>
      </c>
      <c r="E8806" s="51"/>
      <c r="F8806" s="114" t="str">
        <f>IF(INDEX(I.Facility.P2aIDNumber,3794)="","",INDEX(I.Facility.P2aIDNumber,3794))</f>
        <v/>
      </c>
      <c r="G8806" s="51"/>
      <c r="H8806" s="46" t="str">
        <f>IF(AND(I.Developer.P2a=TRUE,I.Facility.P2aFacilityCount&gt;=3794,F8806=""),"Incomplete","Complete")</f>
        <v>Complete</v>
      </c>
      <c r="I8806" s="48" t="s">
        <v>13171</v>
      </c>
    </row>
    <row r="8807" spans="2:9" ht="15" customHeight="1" x14ac:dyDescent="0.25">
      <c r="B8807" s="55" t="s">
        <v>280</v>
      </c>
      <c r="C8807" s="46">
        <v>3795</v>
      </c>
      <c r="D8807" s="69" t="s">
        <v>29417</v>
      </c>
      <c r="E8807" s="51"/>
      <c r="F8807" s="114" t="str">
        <f>IF(INDEX(I.Facility.P2aIDNumber,3795)="","",INDEX(I.Facility.P2aIDNumber,3795))</f>
        <v/>
      </c>
      <c r="G8807" s="51"/>
      <c r="H8807" s="46" t="str">
        <f>IF(AND(I.Developer.P2a=TRUE,I.Facility.P2aFacilityCount&gt;=3795,F8807=""),"Incomplete","Complete")</f>
        <v>Complete</v>
      </c>
      <c r="I8807" s="48" t="s">
        <v>13172</v>
      </c>
    </row>
    <row r="8808" spans="2:9" ht="15" customHeight="1" x14ac:dyDescent="0.25">
      <c r="B8808" s="55" t="s">
        <v>280</v>
      </c>
      <c r="C8808" s="46">
        <v>3796</v>
      </c>
      <c r="D8808" s="69" t="s">
        <v>29417</v>
      </c>
      <c r="E8808" s="51"/>
      <c r="F8808" s="114" t="str">
        <f>IF(INDEX(I.Facility.P2aIDNumber,3796)="","",INDEX(I.Facility.P2aIDNumber,3796))</f>
        <v/>
      </c>
      <c r="G8808" s="51"/>
      <c r="H8808" s="46" t="str">
        <f>IF(AND(I.Developer.P2a=TRUE,I.Facility.P2aFacilityCount&gt;=3796,F8808=""),"Incomplete","Complete")</f>
        <v>Complete</v>
      </c>
      <c r="I8808" s="48" t="s">
        <v>13173</v>
      </c>
    </row>
    <row r="8809" spans="2:9" ht="15" customHeight="1" x14ac:dyDescent="0.25">
      <c r="B8809" s="55" t="s">
        <v>280</v>
      </c>
      <c r="C8809" s="46">
        <v>3797</v>
      </c>
      <c r="D8809" s="69" t="s">
        <v>29417</v>
      </c>
      <c r="E8809" s="51"/>
      <c r="F8809" s="114" t="str">
        <f>IF(INDEX(I.Facility.P2aIDNumber,3797)="","",INDEX(I.Facility.P2aIDNumber,3797))</f>
        <v/>
      </c>
      <c r="G8809" s="51"/>
      <c r="H8809" s="46" t="str">
        <f>IF(AND(I.Developer.P2a=TRUE,I.Facility.P2aFacilityCount&gt;=3797,F8809=""),"Incomplete","Complete")</f>
        <v>Complete</v>
      </c>
      <c r="I8809" s="48" t="s">
        <v>13174</v>
      </c>
    </row>
    <row r="8810" spans="2:9" ht="15" customHeight="1" x14ac:dyDescent="0.25">
      <c r="B8810" s="55" t="s">
        <v>280</v>
      </c>
      <c r="C8810" s="46">
        <v>3798</v>
      </c>
      <c r="D8810" s="69" t="s">
        <v>29417</v>
      </c>
      <c r="E8810" s="51"/>
      <c r="F8810" s="114" t="str">
        <f>IF(INDEX(I.Facility.P2aIDNumber,3798)="","",INDEX(I.Facility.P2aIDNumber,3798))</f>
        <v/>
      </c>
      <c r="G8810" s="51"/>
      <c r="H8810" s="46" t="str">
        <f>IF(AND(I.Developer.P2a=TRUE,I.Facility.P2aFacilityCount&gt;=3798,F8810=""),"Incomplete","Complete")</f>
        <v>Complete</v>
      </c>
      <c r="I8810" s="48" t="s">
        <v>13175</v>
      </c>
    </row>
    <row r="8811" spans="2:9" ht="15" customHeight="1" x14ac:dyDescent="0.25">
      <c r="B8811" s="55" t="s">
        <v>280</v>
      </c>
      <c r="C8811" s="46">
        <v>3799</v>
      </c>
      <c r="D8811" s="69" t="s">
        <v>29417</v>
      </c>
      <c r="E8811" s="51"/>
      <c r="F8811" s="114" t="str">
        <f>IF(INDEX(I.Facility.P2aIDNumber,3799)="","",INDEX(I.Facility.P2aIDNumber,3799))</f>
        <v/>
      </c>
      <c r="G8811" s="51"/>
      <c r="H8811" s="46" t="str">
        <f>IF(AND(I.Developer.P2a=TRUE,I.Facility.P2aFacilityCount&gt;=3799,F8811=""),"Incomplete","Complete")</f>
        <v>Complete</v>
      </c>
      <c r="I8811" s="48" t="s">
        <v>13176</v>
      </c>
    </row>
    <row r="8812" spans="2:9" ht="15" customHeight="1" x14ac:dyDescent="0.25">
      <c r="B8812" s="55" t="s">
        <v>280</v>
      </c>
      <c r="C8812" s="46">
        <v>3800</v>
      </c>
      <c r="D8812" s="69" t="s">
        <v>29417</v>
      </c>
      <c r="E8812" s="51"/>
      <c r="F8812" s="114" t="str">
        <f>IF(INDEX(I.Facility.P2aIDNumber,3800)="","",INDEX(I.Facility.P2aIDNumber,3800))</f>
        <v/>
      </c>
      <c r="G8812" s="51"/>
      <c r="H8812" s="46" t="str">
        <f>IF(AND(I.Developer.P2a=TRUE,I.Facility.P2aFacilityCount&gt;=3800,F8812=""),"Incomplete","Complete")</f>
        <v>Complete</v>
      </c>
      <c r="I8812" s="48" t="s">
        <v>13177</v>
      </c>
    </row>
    <row r="8813" spans="2:9" ht="15" customHeight="1" x14ac:dyDescent="0.25">
      <c r="B8813" s="55" t="s">
        <v>280</v>
      </c>
      <c r="C8813" s="46">
        <v>3801</v>
      </c>
      <c r="D8813" s="69" t="s">
        <v>29417</v>
      </c>
      <c r="E8813" s="51"/>
      <c r="F8813" s="114" t="str">
        <f>IF(INDEX(I.Facility.P2aIDNumber,3801)="","",INDEX(I.Facility.P2aIDNumber,3801))</f>
        <v/>
      </c>
      <c r="G8813" s="51"/>
      <c r="H8813" s="46" t="str">
        <f>IF(AND(I.Developer.P2a=TRUE,I.Facility.P2aFacilityCount&gt;=3801,F8813=""),"Incomplete","Complete")</f>
        <v>Complete</v>
      </c>
      <c r="I8813" s="48" t="s">
        <v>13178</v>
      </c>
    </row>
    <row r="8814" spans="2:9" ht="15" customHeight="1" x14ac:dyDescent="0.25">
      <c r="B8814" s="55" t="s">
        <v>280</v>
      </c>
      <c r="C8814" s="46">
        <v>3802</v>
      </c>
      <c r="D8814" s="69" t="s">
        <v>29417</v>
      </c>
      <c r="E8814" s="51"/>
      <c r="F8814" s="114" t="str">
        <f>IF(INDEX(I.Facility.P2aIDNumber,3802)="","",INDEX(I.Facility.P2aIDNumber,3802))</f>
        <v/>
      </c>
      <c r="G8814" s="51"/>
      <c r="H8814" s="46" t="str">
        <f>IF(AND(I.Developer.P2a=TRUE,I.Facility.P2aFacilityCount&gt;=3802,F8814=""),"Incomplete","Complete")</f>
        <v>Complete</v>
      </c>
      <c r="I8814" s="48" t="s">
        <v>13179</v>
      </c>
    </row>
    <row r="8815" spans="2:9" ht="15" customHeight="1" x14ac:dyDescent="0.25">
      <c r="B8815" s="55" t="s">
        <v>280</v>
      </c>
      <c r="C8815" s="46">
        <v>3803</v>
      </c>
      <c r="D8815" s="69" t="s">
        <v>29417</v>
      </c>
      <c r="E8815" s="51"/>
      <c r="F8815" s="114" t="str">
        <f>IF(INDEX(I.Facility.P2aIDNumber,3803)="","",INDEX(I.Facility.P2aIDNumber,3803))</f>
        <v/>
      </c>
      <c r="G8815" s="51"/>
      <c r="H8815" s="46" t="str">
        <f>IF(AND(I.Developer.P2a=TRUE,I.Facility.P2aFacilityCount&gt;=3803,F8815=""),"Incomplete","Complete")</f>
        <v>Complete</v>
      </c>
      <c r="I8815" s="48" t="s">
        <v>13180</v>
      </c>
    </row>
    <row r="8816" spans="2:9" ht="15" customHeight="1" x14ac:dyDescent="0.25">
      <c r="B8816" s="55" t="s">
        <v>280</v>
      </c>
      <c r="C8816" s="46">
        <v>3804</v>
      </c>
      <c r="D8816" s="69" t="s">
        <v>29417</v>
      </c>
      <c r="E8816" s="51"/>
      <c r="F8816" s="114" t="str">
        <f>IF(INDEX(I.Facility.P2aIDNumber,3804)="","",INDEX(I.Facility.P2aIDNumber,3804))</f>
        <v/>
      </c>
      <c r="G8816" s="51"/>
      <c r="H8816" s="46" t="str">
        <f>IF(AND(I.Developer.P2a=TRUE,I.Facility.P2aFacilityCount&gt;=3804,F8816=""),"Incomplete","Complete")</f>
        <v>Complete</v>
      </c>
      <c r="I8816" s="48" t="s">
        <v>13181</v>
      </c>
    </row>
    <row r="8817" spans="2:9" ht="15" customHeight="1" x14ac:dyDescent="0.25">
      <c r="B8817" s="55" t="s">
        <v>280</v>
      </c>
      <c r="C8817" s="46">
        <v>3805</v>
      </c>
      <c r="D8817" s="69" t="s">
        <v>29417</v>
      </c>
      <c r="E8817" s="51"/>
      <c r="F8817" s="114" t="str">
        <f>IF(INDEX(I.Facility.P2aIDNumber,3805)="","",INDEX(I.Facility.P2aIDNumber,3805))</f>
        <v/>
      </c>
      <c r="G8817" s="51"/>
      <c r="H8817" s="46" t="str">
        <f>IF(AND(I.Developer.P2a=TRUE,I.Facility.P2aFacilityCount&gt;=3805,F8817=""),"Incomplete","Complete")</f>
        <v>Complete</v>
      </c>
      <c r="I8817" s="48" t="s">
        <v>13182</v>
      </c>
    </row>
    <row r="8818" spans="2:9" ht="15" customHeight="1" x14ac:dyDescent="0.25">
      <c r="B8818" s="55" t="s">
        <v>280</v>
      </c>
      <c r="C8818" s="46">
        <v>3806</v>
      </c>
      <c r="D8818" s="69" t="s">
        <v>29417</v>
      </c>
      <c r="E8818" s="51"/>
      <c r="F8818" s="114" t="str">
        <f>IF(INDEX(I.Facility.P2aIDNumber,3806)="","",INDEX(I.Facility.P2aIDNumber,3806))</f>
        <v/>
      </c>
      <c r="G8818" s="51"/>
      <c r="H8818" s="46" t="str">
        <f>IF(AND(I.Developer.P2a=TRUE,I.Facility.P2aFacilityCount&gt;=3806,F8818=""),"Incomplete","Complete")</f>
        <v>Complete</v>
      </c>
      <c r="I8818" s="48" t="s">
        <v>13183</v>
      </c>
    </row>
    <row r="8819" spans="2:9" ht="15" customHeight="1" x14ac:dyDescent="0.25">
      <c r="B8819" s="55" t="s">
        <v>280</v>
      </c>
      <c r="C8819" s="46">
        <v>3807</v>
      </c>
      <c r="D8819" s="69" t="s">
        <v>29417</v>
      </c>
      <c r="E8819" s="51"/>
      <c r="F8819" s="114" t="str">
        <f>IF(INDEX(I.Facility.P2aIDNumber,3807)="","",INDEX(I.Facility.P2aIDNumber,3807))</f>
        <v/>
      </c>
      <c r="G8819" s="51"/>
      <c r="H8819" s="46" t="str">
        <f>IF(AND(I.Developer.P2a=TRUE,I.Facility.P2aFacilityCount&gt;=3807,F8819=""),"Incomplete","Complete")</f>
        <v>Complete</v>
      </c>
      <c r="I8819" s="48" t="s">
        <v>13184</v>
      </c>
    </row>
    <row r="8820" spans="2:9" ht="15" customHeight="1" x14ac:dyDescent="0.25">
      <c r="B8820" s="55" t="s">
        <v>280</v>
      </c>
      <c r="C8820" s="46">
        <v>3808</v>
      </c>
      <c r="D8820" s="69" t="s">
        <v>29417</v>
      </c>
      <c r="E8820" s="51"/>
      <c r="F8820" s="114" t="str">
        <f>IF(INDEX(I.Facility.P2aIDNumber,3808)="","",INDEX(I.Facility.P2aIDNumber,3808))</f>
        <v/>
      </c>
      <c r="G8820" s="51"/>
      <c r="H8820" s="46" t="str">
        <f>IF(AND(I.Developer.P2a=TRUE,I.Facility.P2aFacilityCount&gt;=3808,F8820=""),"Incomplete","Complete")</f>
        <v>Complete</v>
      </c>
      <c r="I8820" s="48" t="s">
        <v>13185</v>
      </c>
    </row>
    <row r="8821" spans="2:9" ht="15" customHeight="1" x14ac:dyDescent="0.25">
      <c r="B8821" s="55" t="s">
        <v>280</v>
      </c>
      <c r="C8821" s="46">
        <v>3809</v>
      </c>
      <c r="D8821" s="69" t="s">
        <v>29417</v>
      </c>
      <c r="E8821" s="51"/>
      <c r="F8821" s="114" t="str">
        <f>IF(INDEX(I.Facility.P2aIDNumber,3809)="","",INDEX(I.Facility.P2aIDNumber,3809))</f>
        <v/>
      </c>
      <c r="G8821" s="51"/>
      <c r="H8821" s="46" t="str">
        <f>IF(AND(I.Developer.P2a=TRUE,I.Facility.P2aFacilityCount&gt;=3809,F8821=""),"Incomplete","Complete")</f>
        <v>Complete</v>
      </c>
      <c r="I8821" s="48" t="s">
        <v>13186</v>
      </c>
    </row>
    <row r="8822" spans="2:9" ht="15" customHeight="1" x14ac:dyDescent="0.25">
      <c r="B8822" s="55" t="s">
        <v>280</v>
      </c>
      <c r="C8822" s="46">
        <v>3810</v>
      </c>
      <c r="D8822" s="69" t="s">
        <v>29417</v>
      </c>
      <c r="E8822" s="51"/>
      <c r="F8822" s="114" t="str">
        <f>IF(INDEX(I.Facility.P2aIDNumber,3810)="","",INDEX(I.Facility.P2aIDNumber,3810))</f>
        <v/>
      </c>
      <c r="G8822" s="51"/>
      <c r="H8822" s="46" t="str">
        <f>IF(AND(I.Developer.P2a=TRUE,I.Facility.P2aFacilityCount&gt;=3810,F8822=""),"Incomplete","Complete")</f>
        <v>Complete</v>
      </c>
      <c r="I8822" s="48" t="s">
        <v>13187</v>
      </c>
    </row>
    <row r="8823" spans="2:9" ht="15" customHeight="1" x14ac:dyDescent="0.25">
      <c r="B8823" s="55" t="s">
        <v>280</v>
      </c>
      <c r="C8823" s="46">
        <v>3811</v>
      </c>
      <c r="D8823" s="69" t="s">
        <v>29417</v>
      </c>
      <c r="E8823" s="51"/>
      <c r="F8823" s="114" t="str">
        <f>IF(INDEX(I.Facility.P2aIDNumber,3811)="","",INDEX(I.Facility.P2aIDNumber,3811))</f>
        <v/>
      </c>
      <c r="G8823" s="51"/>
      <c r="H8823" s="46" t="str">
        <f>IF(AND(I.Developer.P2a=TRUE,I.Facility.P2aFacilityCount&gt;=3811,F8823=""),"Incomplete","Complete")</f>
        <v>Complete</v>
      </c>
      <c r="I8823" s="48" t="s">
        <v>13188</v>
      </c>
    </row>
    <row r="8824" spans="2:9" ht="15" customHeight="1" x14ac:dyDescent="0.25">
      <c r="B8824" s="55" t="s">
        <v>280</v>
      </c>
      <c r="C8824" s="46">
        <v>3812</v>
      </c>
      <c r="D8824" s="69" t="s">
        <v>29417</v>
      </c>
      <c r="E8824" s="51"/>
      <c r="F8824" s="114" t="str">
        <f>IF(INDEX(I.Facility.P2aIDNumber,3812)="","",INDEX(I.Facility.P2aIDNumber,3812))</f>
        <v/>
      </c>
      <c r="G8824" s="51"/>
      <c r="H8824" s="46" t="str">
        <f>IF(AND(I.Developer.P2a=TRUE,I.Facility.P2aFacilityCount&gt;=3812,F8824=""),"Incomplete","Complete")</f>
        <v>Complete</v>
      </c>
      <c r="I8824" s="48" t="s">
        <v>13189</v>
      </c>
    </row>
    <row r="8825" spans="2:9" ht="15" customHeight="1" x14ac:dyDescent="0.25">
      <c r="B8825" s="55" t="s">
        <v>280</v>
      </c>
      <c r="C8825" s="46">
        <v>3813</v>
      </c>
      <c r="D8825" s="69" t="s">
        <v>29417</v>
      </c>
      <c r="E8825" s="51"/>
      <c r="F8825" s="114" t="str">
        <f>IF(INDEX(I.Facility.P2aIDNumber,3813)="","",INDEX(I.Facility.P2aIDNumber,3813))</f>
        <v/>
      </c>
      <c r="G8825" s="51"/>
      <c r="H8825" s="46" t="str">
        <f>IF(AND(I.Developer.P2a=TRUE,I.Facility.P2aFacilityCount&gt;=3813,F8825=""),"Incomplete","Complete")</f>
        <v>Complete</v>
      </c>
      <c r="I8825" s="48" t="s">
        <v>13190</v>
      </c>
    </row>
    <row r="8826" spans="2:9" ht="15" customHeight="1" x14ac:dyDescent="0.25">
      <c r="B8826" s="55" t="s">
        <v>280</v>
      </c>
      <c r="C8826" s="46">
        <v>3814</v>
      </c>
      <c r="D8826" s="69" t="s">
        <v>29417</v>
      </c>
      <c r="E8826" s="51"/>
      <c r="F8826" s="114" t="str">
        <f>IF(INDEX(I.Facility.P2aIDNumber,3814)="","",INDEX(I.Facility.P2aIDNumber,3814))</f>
        <v/>
      </c>
      <c r="G8826" s="51"/>
      <c r="H8826" s="46" t="str">
        <f>IF(AND(I.Developer.P2a=TRUE,I.Facility.P2aFacilityCount&gt;=3814,F8826=""),"Incomplete","Complete")</f>
        <v>Complete</v>
      </c>
      <c r="I8826" s="48" t="s">
        <v>13191</v>
      </c>
    </row>
    <row r="8827" spans="2:9" ht="15" customHeight="1" x14ac:dyDescent="0.25">
      <c r="B8827" s="55" t="s">
        <v>280</v>
      </c>
      <c r="C8827" s="46">
        <v>3815</v>
      </c>
      <c r="D8827" s="69" t="s">
        <v>29417</v>
      </c>
      <c r="E8827" s="51"/>
      <c r="F8827" s="114" t="str">
        <f>IF(INDEX(I.Facility.P2aIDNumber,3815)="","",INDEX(I.Facility.P2aIDNumber,3815))</f>
        <v/>
      </c>
      <c r="G8827" s="51"/>
      <c r="H8827" s="46" t="str">
        <f>IF(AND(I.Developer.P2a=TRUE,I.Facility.P2aFacilityCount&gt;=3815,F8827=""),"Incomplete","Complete")</f>
        <v>Complete</v>
      </c>
      <c r="I8827" s="48" t="s">
        <v>13192</v>
      </c>
    </row>
    <row r="8828" spans="2:9" ht="15" customHeight="1" x14ac:dyDescent="0.25">
      <c r="B8828" s="55" t="s">
        <v>280</v>
      </c>
      <c r="C8828" s="46">
        <v>3816</v>
      </c>
      <c r="D8828" s="69" t="s">
        <v>29417</v>
      </c>
      <c r="E8828" s="51"/>
      <c r="F8828" s="114" t="str">
        <f>IF(INDEX(I.Facility.P2aIDNumber,3816)="","",INDEX(I.Facility.P2aIDNumber,3816))</f>
        <v/>
      </c>
      <c r="G8828" s="51"/>
      <c r="H8828" s="46" t="str">
        <f>IF(AND(I.Developer.P2a=TRUE,I.Facility.P2aFacilityCount&gt;=3816,F8828=""),"Incomplete","Complete")</f>
        <v>Complete</v>
      </c>
      <c r="I8828" s="48" t="s">
        <v>13193</v>
      </c>
    </row>
    <row r="8829" spans="2:9" ht="15" customHeight="1" x14ac:dyDescent="0.25">
      <c r="B8829" s="55" t="s">
        <v>280</v>
      </c>
      <c r="C8829" s="46">
        <v>3817</v>
      </c>
      <c r="D8829" s="69" t="s">
        <v>29417</v>
      </c>
      <c r="E8829" s="51"/>
      <c r="F8829" s="114" t="str">
        <f>IF(INDEX(I.Facility.P2aIDNumber,3817)="","",INDEX(I.Facility.P2aIDNumber,3817))</f>
        <v/>
      </c>
      <c r="G8829" s="51"/>
      <c r="H8829" s="46" t="str">
        <f>IF(AND(I.Developer.P2a=TRUE,I.Facility.P2aFacilityCount&gt;=3817,F8829=""),"Incomplete","Complete")</f>
        <v>Complete</v>
      </c>
      <c r="I8829" s="48" t="s">
        <v>13194</v>
      </c>
    </row>
    <row r="8830" spans="2:9" ht="15" customHeight="1" x14ac:dyDescent="0.25">
      <c r="B8830" s="55" t="s">
        <v>280</v>
      </c>
      <c r="C8830" s="46">
        <v>3818</v>
      </c>
      <c r="D8830" s="69" t="s">
        <v>29417</v>
      </c>
      <c r="E8830" s="51"/>
      <c r="F8830" s="114" t="str">
        <f>IF(INDEX(I.Facility.P2aIDNumber,3818)="","",INDEX(I.Facility.P2aIDNumber,3818))</f>
        <v/>
      </c>
      <c r="G8830" s="51"/>
      <c r="H8830" s="46" t="str">
        <f>IF(AND(I.Developer.P2a=TRUE,I.Facility.P2aFacilityCount&gt;=3818,F8830=""),"Incomplete","Complete")</f>
        <v>Complete</v>
      </c>
      <c r="I8830" s="48" t="s">
        <v>13195</v>
      </c>
    </row>
    <row r="8831" spans="2:9" ht="15" customHeight="1" x14ac:dyDescent="0.25">
      <c r="B8831" s="55" t="s">
        <v>280</v>
      </c>
      <c r="C8831" s="46">
        <v>3819</v>
      </c>
      <c r="D8831" s="69" t="s">
        <v>29417</v>
      </c>
      <c r="E8831" s="51"/>
      <c r="F8831" s="114" t="str">
        <f>IF(INDEX(I.Facility.P2aIDNumber,3819)="","",INDEX(I.Facility.P2aIDNumber,3819))</f>
        <v/>
      </c>
      <c r="G8831" s="51"/>
      <c r="H8831" s="46" t="str">
        <f>IF(AND(I.Developer.P2a=TRUE,I.Facility.P2aFacilityCount&gt;=3819,F8831=""),"Incomplete","Complete")</f>
        <v>Complete</v>
      </c>
      <c r="I8831" s="48" t="s">
        <v>13196</v>
      </c>
    </row>
    <row r="8832" spans="2:9" ht="15" customHeight="1" x14ac:dyDescent="0.25">
      <c r="B8832" s="55" t="s">
        <v>280</v>
      </c>
      <c r="C8832" s="46">
        <v>3820</v>
      </c>
      <c r="D8832" s="69" t="s">
        <v>29417</v>
      </c>
      <c r="E8832" s="51"/>
      <c r="F8832" s="114" t="str">
        <f>IF(INDEX(I.Facility.P2aIDNumber,3820)="","",INDEX(I.Facility.P2aIDNumber,3820))</f>
        <v/>
      </c>
      <c r="G8832" s="51"/>
      <c r="H8832" s="46" t="str">
        <f>IF(AND(I.Developer.P2a=TRUE,I.Facility.P2aFacilityCount&gt;=3820,F8832=""),"Incomplete","Complete")</f>
        <v>Complete</v>
      </c>
      <c r="I8832" s="48" t="s">
        <v>13197</v>
      </c>
    </row>
    <row r="8833" spans="2:9" ht="15" customHeight="1" x14ac:dyDescent="0.25">
      <c r="B8833" s="55" t="s">
        <v>280</v>
      </c>
      <c r="C8833" s="46">
        <v>3821</v>
      </c>
      <c r="D8833" s="69" t="s">
        <v>29417</v>
      </c>
      <c r="E8833" s="51"/>
      <c r="F8833" s="114" t="str">
        <f>IF(INDEX(I.Facility.P2aIDNumber,3821)="","",INDEX(I.Facility.P2aIDNumber,3821))</f>
        <v/>
      </c>
      <c r="G8833" s="51"/>
      <c r="H8833" s="46" t="str">
        <f>IF(AND(I.Developer.P2a=TRUE,I.Facility.P2aFacilityCount&gt;=3821,F8833=""),"Incomplete","Complete")</f>
        <v>Complete</v>
      </c>
      <c r="I8833" s="48" t="s">
        <v>13198</v>
      </c>
    </row>
    <row r="8834" spans="2:9" ht="15" customHeight="1" x14ac:dyDescent="0.25">
      <c r="B8834" s="55" t="s">
        <v>280</v>
      </c>
      <c r="C8834" s="46">
        <v>3822</v>
      </c>
      <c r="D8834" s="69" t="s">
        <v>29417</v>
      </c>
      <c r="E8834" s="51"/>
      <c r="F8834" s="114" t="str">
        <f>IF(INDEX(I.Facility.P2aIDNumber,3822)="","",INDEX(I.Facility.P2aIDNumber,3822))</f>
        <v/>
      </c>
      <c r="G8834" s="51"/>
      <c r="H8834" s="46" t="str">
        <f>IF(AND(I.Developer.P2a=TRUE,I.Facility.P2aFacilityCount&gt;=3822,F8834=""),"Incomplete","Complete")</f>
        <v>Complete</v>
      </c>
      <c r="I8834" s="48" t="s">
        <v>13199</v>
      </c>
    </row>
    <row r="8835" spans="2:9" ht="15" customHeight="1" x14ac:dyDescent="0.25">
      <c r="B8835" s="55" t="s">
        <v>280</v>
      </c>
      <c r="C8835" s="46">
        <v>3823</v>
      </c>
      <c r="D8835" s="69" t="s">
        <v>29417</v>
      </c>
      <c r="E8835" s="51"/>
      <c r="F8835" s="114" t="str">
        <f>IF(INDEX(I.Facility.P2aIDNumber,3823)="","",INDEX(I.Facility.P2aIDNumber,3823))</f>
        <v/>
      </c>
      <c r="G8835" s="51"/>
      <c r="H8835" s="46" t="str">
        <f>IF(AND(I.Developer.P2a=TRUE,I.Facility.P2aFacilityCount&gt;=3823,F8835=""),"Incomplete","Complete")</f>
        <v>Complete</v>
      </c>
      <c r="I8835" s="48" t="s">
        <v>13200</v>
      </c>
    </row>
    <row r="8836" spans="2:9" ht="15" customHeight="1" x14ac:dyDescent="0.25">
      <c r="B8836" s="55" t="s">
        <v>280</v>
      </c>
      <c r="C8836" s="46">
        <v>3824</v>
      </c>
      <c r="D8836" s="69" t="s">
        <v>29417</v>
      </c>
      <c r="E8836" s="51"/>
      <c r="F8836" s="114" t="str">
        <f>IF(INDEX(I.Facility.P2aIDNumber,3824)="","",INDEX(I.Facility.P2aIDNumber,3824))</f>
        <v/>
      </c>
      <c r="G8836" s="51"/>
      <c r="H8836" s="46" t="str">
        <f>IF(AND(I.Developer.P2a=TRUE,I.Facility.P2aFacilityCount&gt;=3824,F8836=""),"Incomplete","Complete")</f>
        <v>Complete</v>
      </c>
      <c r="I8836" s="48" t="s">
        <v>13201</v>
      </c>
    </row>
    <row r="8837" spans="2:9" ht="15" customHeight="1" x14ac:dyDescent="0.25">
      <c r="B8837" s="55" t="s">
        <v>280</v>
      </c>
      <c r="C8837" s="46">
        <v>3825</v>
      </c>
      <c r="D8837" s="69" t="s">
        <v>29417</v>
      </c>
      <c r="E8837" s="51"/>
      <c r="F8837" s="114" t="str">
        <f>IF(INDEX(I.Facility.P2aIDNumber,3825)="","",INDEX(I.Facility.P2aIDNumber,3825))</f>
        <v/>
      </c>
      <c r="G8837" s="51"/>
      <c r="H8837" s="46" t="str">
        <f>IF(AND(I.Developer.P2a=TRUE,I.Facility.P2aFacilityCount&gt;=3825,F8837=""),"Incomplete","Complete")</f>
        <v>Complete</v>
      </c>
      <c r="I8837" s="48" t="s">
        <v>13202</v>
      </c>
    </row>
    <row r="8838" spans="2:9" ht="15" customHeight="1" x14ac:dyDescent="0.25">
      <c r="B8838" s="55" t="s">
        <v>280</v>
      </c>
      <c r="C8838" s="46">
        <v>3826</v>
      </c>
      <c r="D8838" s="69" t="s">
        <v>29417</v>
      </c>
      <c r="E8838" s="51"/>
      <c r="F8838" s="114" t="str">
        <f>IF(INDEX(I.Facility.P2aIDNumber,3826)="","",INDEX(I.Facility.P2aIDNumber,3826))</f>
        <v/>
      </c>
      <c r="G8838" s="51"/>
      <c r="H8838" s="46" t="str">
        <f>IF(AND(I.Developer.P2a=TRUE,I.Facility.P2aFacilityCount&gt;=3826,F8838=""),"Incomplete","Complete")</f>
        <v>Complete</v>
      </c>
      <c r="I8838" s="48" t="s">
        <v>13203</v>
      </c>
    </row>
    <row r="8839" spans="2:9" ht="15" customHeight="1" x14ac:dyDescent="0.25">
      <c r="B8839" s="55" t="s">
        <v>280</v>
      </c>
      <c r="C8839" s="46">
        <v>3827</v>
      </c>
      <c r="D8839" s="69" t="s">
        <v>29417</v>
      </c>
      <c r="E8839" s="51"/>
      <c r="F8839" s="114" t="str">
        <f>IF(INDEX(I.Facility.P2aIDNumber,3827)="","",INDEX(I.Facility.P2aIDNumber,3827))</f>
        <v/>
      </c>
      <c r="G8839" s="51"/>
      <c r="H8839" s="46" t="str">
        <f>IF(AND(I.Developer.P2a=TRUE,I.Facility.P2aFacilityCount&gt;=3827,F8839=""),"Incomplete","Complete")</f>
        <v>Complete</v>
      </c>
      <c r="I8839" s="48" t="s">
        <v>13204</v>
      </c>
    </row>
    <row r="8840" spans="2:9" ht="15" customHeight="1" x14ac:dyDescent="0.25">
      <c r="B8840" s="55" t="s">
        <v>280</v>
      </c>
      <c r="C8840" s="46">
        <v>3828</v>
      </c>
      <c r="D8840" s="69" t="s">
        <v>29417</v>
      </c>
      <c r="E8840" s="51"/>
      <c r="F8840" s="114" t="str">
        <f>IF(INDEX(I.Facility.P2aIDNumber,3828)="","",INDEX(I.Facility.P2aIDNumber,3828))</f>
        <v/>
      </c>
      <c r="G8840" s="51"/>
      <c r="H8840" s="46" t="str">
        <f>IF(AND(I.Developer.P2a=TRUE,I.Facility.P2aFacilityCount&gt;=3828,F8840=""),"Incomplete","Complete")</f>
        <v>Complete</v>
      </c>
      <c r="I8840" s="48" t="s">
        <v>13205</v>
      </c>
    </row>
    <row r="8841" spans="2:9" ht="15" customHeight="1" x14ac:dyDescent="0.25">
      <c r="B8841" s="55" t="s">
        <v>280</v>
      </c>
      <c r="C8841" s="46">
        <v>3829</v>
      </c>
      <c r="D8841" s="69" t="s">
        <v>29417</v>
      </c>
      <c r="E8841" s="51"/>
      <c r="F8841" s="114" t="str">
        <f>IF(INDEX(I.Facility.P2aIDNumber,3829)="","",INDEX(I.Facility.P2aIDNumber,3829))</f>
        <v/>
      </c>
      <c r="G8841" s="51"/>
      <c r="H8841" s="46" t="str">
        <f>IF(AND(I.Developer.P2a=TRUE,I.Facility.P2aFacilityCount&gt;=3829,F8841=""),"Incomplete","Complete")</f>
        <v>Complete</v>
      </c>
      <c r="I8841" s="48" t="s">
        <v>13206</v>
      </c>
    </row>
    <row r="8842" spans="2:9" ht="15" customHeight="1" x14ac:dyDescent="0.25">
      <c r="B8842" s="55" t="s">
        <v>280</v>
      </c>
      <c r="C8842" s="46">
        <v>3830</v>
      </c>
      <c r="D8842" s="69" t="s">
        <v>29417</v>
      </c>
      <c r="E8842" s="51"/>
      <c r="F8842" s="114" t="str">
        <f>IF(INDEX(I.Facility.P2aIDNumber,3830)="","",INDEX(I.Facility.P2aIDNumber,3830))</f>
        <v/>
      </c>
      <c r="G8842" s="51"/>
      <c r="H8842" s="46" t="str">
        <f>IF(AND(I.Developer.P2a=TRUE,I.Facility.P2aFacilityCount&gt;=3830,F8842=""),"Incomplete","Complete")</f>
        <v>Complete</v>
      </c>
      <c r="I8842" s="48" t="s">
        <v>13207</v>
      </c>
    </row>
    <row r="8843" spans="2:9" ht="15" customHeight="1" x14ac:dyDescent="0.25">
      <c r="B8843" s="55" t="s">
        <v>280</v>
      </c>
      <c r="C8843" s="46">
        <v>3831</v>
      </c>
      <c r="D8843" s="69" t="s">
        <v>29417</v>
      </c>
      <c r="E8843" s="51"/>
      <c r="F8843" s="114" t="str">
        <f>IF(INDEX(I.Facility.P2aIDNumber,3831)="","",INDEX(I.Facility.P2aIDNumber,3831))</f>
        <v/>
      </c>
      <c r="G8843" s="51"/>
      <c r="H8843" s="46" t="str">
        <f>IF(AND(I.Developer.P2a=TRUE,I.Facility.P2aFacilityCount&gt;=3831,F8843=""),"Incomplete","Complete")</f>
        <v>Complete</v>
      </c>
      <c r="I8843" s="48" t="s">
        <v>13208</v>
      </c>
    </row>
    <row r="8844" spans="2:9" ht="15" customHeight="1" x14ac:dyDescent="0.25">
      <c r="B8844" s="55" t="s">
        <v>280</v>
      </c>
      <c r="C8844" s="46">
        <v>3832</v>
      </c>
      <c r="D8844" s="69" t="s">
        <v>29417</v>
      </c>
      <c r="E8844" s="51"/>
      <c r="F8844" s="114" t="str">
        <f>IF(INDEX(I.Facility.P2aIDNumber,3832)="","",INDEX(I.Facility.P2aIDNumber,3832))</f>
        <v/>
      </c>
      <c r="G8844" s="51"/>
      <c r="H8844" s="46" t="str">
        <f>IF(AND(I.Developer.P2a=TRUE,I.Facility.P2aFacilityCount&gt;=3832,F8844=""),"Incomplete","Complete")</f>
        <v>Complete</v>
      </c>
      <c r="I8844" s="48" t="s">
        <v>13209</v>
      </c>
    </row>
    <row r="8845" spans="2:9" ht="15" customHeight="1" x14ac:dyDescent="0.25">
      <c r="B8845" s="55" t="s">
        <v>280</v>
      </c>
      <c r="C8845" s="46">
        <v>3833</v>
      </c>
      <c r="D8845" s="69" t="s">
        <v>29417</v>
      </c>
      <c r="E8845" s="51"/>
      <c r="F8845" s="114" t="str">
        <f>IF(INDEX(I.Facility.P2aIDNumber,3833)="","",INDEX(I.Facility.P2aIDNumber,3833))</f>
        <v/>
      </c>
      <c r="G8845" s="51"/>
      <c r="H8845" s="46" t="str">
        <f>IF(AND(I.Developer.P2a=TRUE,I.Facility.P2aFacilityCount&gt;=3833,F8845=""),"Incomplete","Complete")</f>
        <v>Complete</v>
      </c>
      <c r="I8845" s="48" t="s">
        <v>13210</v>
      </c>
    </row>
    <row r="8846" spans="2:9" ht="15" customHeight="1" x14ac:dyDescent="0.25">
      <c r="B8846" s="55" t="s">
        <v>280</v>
      </c>
      <c r="C8846" s="46">
        <v>3834</v>
      </c>
      <c r="D8846" s="69" t="s">
        <v>29417</v>
      </c>
      <c r="E8846" s="51"/>
      <c r="F8846" s="114" t="str">
        <f>IF(INDEX(I.Facility.P2aIDNumber,3834)="","",INDEX(I.Facility.P2aIDNumber,3834))</f>
        <v/>
      </c>
      <c r="G8846" s="51"/>
      <c r="H8846" s="46" t="str">
        <f>IF(AND(I.Developer.P2a=TRUE,I.Facility.P2aFacilityCount&gt;=3834,F8846=""),"Incomplete","Complete")</f>
        <v>Complete</v>
      </c>
      <c r="I8846" s="48" t="s">
        <v>13211</v>
      </c>
    </row>
    <row r="8847" spans="2:9" ht="15" customHeight="1" x14ac:dyDescent="0.25">
      <c r="B8847" s="55" t="s">
        <v>280</v>
      </c>
      <c r="C8847" s="46">
        <v>3835</v>
      </c>
      <c r="D8847" s="69" t="s">
        <v>29417</v>
      </c>
      <c r="E8847" s="51"/>
      <c r="F8847" s="114" t="str">
        <f>IF(INDEX(I.Facility.P2aIDNumber,3835)="","",INDEX(I.Facility.P2aIDNumber,3835))</f>
        <v/>
      </c>
      <c r="G8847" s="51"/>
      <c r="H8847" s="46" t="str">
        <f>IF(AND(I.Developer.P2a=TRUE,I.Facility.P2aFacilityCount&gt;=3835,F8847=""),"Incomplete","Complete")</f>
        <v>Complete</v>
      </c>
      <c r="I8847" s="48" t="s">
        <v>13212</v>
      </c>
    </row>
    <row r="8848" spans="2:9" ht="15" customHeight="1" x14ac:dyDescent="0.25">
      <c r="B8848" s="55" t="s">
        <v>280</v>
      </c>
      <c r="C8848" s="46">
        <v>3836</v>
      </c>
      <c r="D8848" s="69" t="s">
        <v>29417</v>
      </c>
      <c r="E8848" s="51"/>
      <c r="F8848" s="114" t="str">
        <f>IF(INDEX(I.Facility.P2aIDNumber,3836)="","",INDEX(I.Facility.P2aIDNumber,3836))</f>
        <v/>
      </c>
      <c r="G8848" s="51"/>
      <c r="H8848" s="46" t="str">
        <f>IF(AND(I.Developer.P2a=TRUE,I.Facility.P2aFacilityCount&gt;=3836,F8848=""),"Incomplete","Complete")</f>
        <v>Complete</v>
      </c>
      <c r="I8848" s="48" t="s">
        <v>13213</v>
      </c>
    </row>
    <row r="8849" spans="2:9" ht="15" customHeight="1" x14ac:dyDescent="0.25">
      <c r="B8849" s="55" t="s">
        <v>280</v>
      </c>
      <c r="C8849" s="46">
        <v>3837</v>
      </c>
      <c r="D8849" s="69" t="s">
        <v>29417</v>
      </c>
      <c r="E8849" s="51"/>
      <c r="F8849" s="114" t="str">
        <f>IF(INDEX(I.Facility.P2aIDNumber,3837)="","",INDEX(I.Facility.P2aIDNumber,3837))</f>
        <v/>
      </c>
      <c r="G8849" s="51"/>
      <c r="H8849" s="46" t="str">
        <f>IF(AND(I.Developer.P2a=TRUE,I.Facility.P2aFacilityCount&gt;=3837,F8849=""),"Incomplete","Complete")</f>
        <v>Complete</v>
      </c>
      <c r="I8849" s="48" t="s">
        <v>13214</v>
      </c>
    </row>
    <row r="8850" spans="2:9" ht="15" customHeight="1" x14ac:dyDescent="0.25">
      <c r="B8850" s="55" t="s">
        <v>280</v>
      </c>
      <c r="C8850" s="46">
        <v>3838</v>
      </c>
      <c r="D8850" s="69" t="s">
        <v>29417</v>
      </c>
      <c r="E8850" s="51"/>
      <c r="F8850" s="114" t="str">
        <f>IF(INDEX(I.Facility.P2aIDNumber,3838)="","",INDEX(I.Facility.P2aIDNumber,3838))</f>
        <v/>
      </c>
      <c r="G8850" s="51"/>
      <c r="H8850" s="46" t="str">
        <f>IF(AND(I.Developer.P2a=TRUE,I.Facility.P2aFacilityCount&gt;=3838,F8850=""),"Incomplete","Complete")</f>
        <v>Complete</v>
      </c>
      <c r="I8850" s="48" t="s">
        <v>13215</v>
      </c>
    </row>
    <row r="8851" spans="2:9" ht="15" customHeight="1" x14ac:dyDescent="0.25">
      <c r="B8851" s="55" t="s">
        <v>280</v>
      </c>
      <c r="C8851" s="46">
        <v>3839</v>
      </c>
      <c r="D8851" s="69" t="s">
        <v>29417</v>
      </c>
      <c r="E8851" s="51"/>
      <c r="F8851" s="114" t="str">
        <f>IF(INDEX(I.Facility.P2aIDNumber,3839)="","",INDEX(I.Facility.P2aIDNumber,3839))</f>
        <v/>
      </c>
      <c r="G8851" s="51"/>
      <c r="H8851" s="46" t="str">
        <f>IF(AND(I.Developer.P2a=TRUE,I.Facility.P2aFacilityCount&gt;=3839,F8851=""),"Incomplete","Complete")</f>
        <v>Complete</v>
      </c>
      <c r="I8851" s="48" t="s">
        <v>13216</v>
      </c>
    </row>
    <row r="8852" spans="2:9" ht="15" customHeight="1" x14ac:dyDescent="0.25">
      <c r="B8852" s="55" t="s">
        <v>280</v>
      </c>
      <c r="C8852" s="46">
        <v>3840</v>
      </c>
      <c r="D8852" s="69" t="s">
        <v>29417</v>
      </c>
      <c r="E8852" s="51"/>
      <c r="F8852" s="114" t="str">
        <f>IF(INDEX(I.Facility.P2aIDNumber,3840)="","",INDEX(I.Facility.P2aIDNumber,3840))</f>
        <v/>
      </c>
      <c r="G8852" s="51"/>
      <c r="H8852" s="46" t="str">
        <f>IF(AND(I.Developer.P2a=TRUE,I.Facility.P2aFacilityCount&gt;=3840,F8852=""),"Incomplete","Complete")</f>
        <v>Complete</v>
      </c>
      <c r="I8852" s="48" t="s">
        <v>13217</v>
      </c>
    </row>
    <row r="8853" spans="2:9" ht="15" customHeight="1" x14ac:dyDescent="0.25">
      <c r="B8853" s="55" t="s">
        <v>280</v>
      </c>
      <c r="C8853" s="46">
        <v>3841</v>
      </c>
      <c r="D8853" s="69" t="s">
        <v>29417</v>
      </c>
      <c r="E8853" s="51"/>
      <c r="F8853" s="114" t="str">
        <f>IF(INDEX(I.Facility.P2aIDNumber,3841)="","",INDEX(I.Facility.P2aIDNumber,3841))</f>
        <v/>
      </c>
      <c r="G8853" s="51"/>
      <c r="H8853" s="46" t="str">
        <f>IF(AND(I.Developer.P2a=TRUE,I.Facility.P2aFacilityCount&gt;=3841,F8853=""),"Incomplete","Complete")</f>
        <v>Complete</v>
      </c>
      <c r="I8853" s="48" t="s">
        <v>13218</v>
      </c>
    </row>
    <row r="8854" spans="2:9" ht="15" customHeight="1" x14ac:dyDescent="0.25">
      <c r="B8854" s="55" t="s">
        <v>280</v>
      </c>
      <c r="C8854" s="46">
        <v>3842</v>
      </c>
      <c r="D8854" s="69" t="s">
        <v>29417</v>
      </c>
      <c r="E8854" s="51"/>
      <c r="F8854" s="114" t="str">
        <f>IF(INDEX(I.Facility.P2aIDNumber,3842)="","",INDEX(I.Facility.P2aIDNumber,3842))</f>
        <v/>
      </c>
      <c r="G8854" s="51"/>
      <c r="H8854" s="46" t="str">
        <f>IF(AND(I.Developer.P2a=TRUE,I.Facility.P2aFacilityCount&gt;=3842,F8854=""),"Incomplete","Complete")</f>
        <v>Complete</v>
      </c>
      <c r="I8854" s="48" t="s">
        <v>13219</v>
      </c>
    </row>
    <row r="8855" spans="2:9" ht="15" customHeight="1" x14ac:dyDescent="0.25">
      <c r="B8855" s="55" t="s">
        <v>280</v>
      </c>
      <c r="C8855" s="46">
        <v>3843</v>
      </c>
      <c r="D8855" s="69" t="s">
        <v>29417</v>
      </c>
      <c r="E8855" s="51"/>
      <c r="F8855" s="114" t="str">
        <f>IF(INDEX(I.Facility.P2aIDNumber,3843)="","",INDEX(I.Facility.P2aIDNumber,3843))</f>
        <v/>
      </c>
      <c r="G8855" s="51"/>
      <c r="H8855" s="46" t="str">
        <f>IF(AND(I.Developer.P2a=TRUE,I.Facility.P2aFacilityCount&gt;=3843,F8855=""),"Incomplete","Complete")</f>
        <v>Complete</v>
      </c>
      <c r="I8855" s="48" t="s">
        <v>13220</v>
      </c>
    </row>
    <row r="8856" spans="2:9" ht="15" customHeight="1" x14ac:dyDescent="0.25">
      <c r="B8856" s="55" t="s">
        <v>280</v>
      </c>
      <c r="C8856" s="46">
        <v>3844</v>
      </c>
      <c r="D8856" s="69" t="s">
        <v>29417</v>
      </c>
      <c r="E8856" s="51"/>
      <c r="F8856" s="114" t="str">
        <f>IF(INDEX(I.Facility.P2aIDNumber,3844)="","",INDEX(I.Facility.P2aIDNumber,3844))</f>
        <v/>
      </c>
      <c r="G8856" s="51"/>
      <c r="H8856" s="46" t="str">
        <f>IF(AND(I.Developer.P2a=TRUE,I.Facility.P2aFacilityCount&gt;=3844,F8856=""),"Incomplete","Complete")</f>
        <v>Complete</v>
      </c>
      <c r="I8856" s="48" t="s">
        <v>13221</v>
      </c>
    </row>
    <row r="8857" spans="2:9" ht="15" customHeight="1" x14ac:dyDescent="0.25">
      <c r="B8857" s="55" t="s">
        <v>280</v>
      </c>
      <c r="C8857" s="46">
        <v>3845</v>
      </c>
      <c r="D8857" s="69" t="s">
        <v>29417</v>
      </c>
      <c r="E8857" s="51"/>
      <c r="F8857" s="114" t="str">
        <f>IF(INDEX(I.Facility.P2aIDNumber,3845)="","",INDEX(I.Facility.P2aIDNumber,3845))</f>
        <v/>
      </c>
      <c r="G8857" s="51"/>
      <c r="H8857" s="46" t="str">
        <f>IF(AND(I.Developer.P2a=TRUE,I.Facility.P2aFacilityCount&gt;=3845,F8857=""),"Incomplete","Complete")</f>
        <v>Complete</v>
      </c>
      <c r="I8857" s="48" t="s">
        <v>13222</v>
      </c>
    </row>
    <row r="8858" spans="2:9" ht="15" customHeight="1" x14ac:dyDescent="0.25">
      <c r="B8858" s="55" t="s">
        <v>280</v>
      </c>
      <c r="C8858" s="46">
        <v>3846</v>
      </c>
      <c r="D8858" s="69" t="s">
        <v>29417</v>
      </c>
      <c r="E8858" s="51"/>
      <c r="F8858" s="114" t="str">
        <f>IF(INDEX(I.Facility.P2aIDNumber,3846)="","",INDEX(I.Facility.P2aIDNumber,3846))</f>
        <v/>
      </c>
      <c r="G8858" s="51"/>
      <c r="H8858" s="46" t="str">
        <f>IF(AND(I.Developer.P2a=TRUE,I.Facility.P2aFacilityCount&gt;=3846,F8858=""),"Incomplete","Complete")</f>
        <v>Complete</v>
      </c>
      <c r="I8858" s="48" t="s">
        <v>13223</v>
      </c>
    </row>
    <row r="8859" spans="2:9" ht="15" customHeight="1" x14ac:dyDescent="0.25">
      <c r="B8859" s="55" t="s">
        <v>280</v>
      </c>
      <c r="C8859" s="46">
        <v>3847</v>
      </c>
      <c r="D8859" s="69" t="s">
        <v>29417</v>
      </c>
      <c r="E8859" s="51"/>
      <c r="F8859" s="114" t="str">
        <f>IF(INDEX(I.Facility.P2aIDNumber,3847)="","",INDEX(I.Facility.P2aIDNumber,3847))</f>
        <v/>
      </c>
      <c r="G8859" s="51"/>
      <c r="H8859" s="46" t="str">
        <f>IF(AND(I.Developer.P2a=TRUE,I.Facility.P2aFacilityCount&gt;=3847,F8859=""),"Incomplete","Complete")</f>
        <v>Complete</v>
      </c>
      <c r="I8859" s="48" t="s">
        <v>13224</v>
      </c>
    </row>
    <row r="8860" spans="2:9" ht="15" customHeight="1" x14ac:dyDescent="0.25">
      <c r="B8860" s="55" t="s">
        <v>280</v>
      </c>
      <c r="C8860" s="46">
        <v>3848</v>
      </c>
      <c r="D8860" s="69" t="s">
        <v>29417</v>
      </c>
      <c r="E8860" s="51"/>
      <c r="F8860" s="114" t="str">
        <f>IF(INDEX(I.Facility.P2aIDNumber,3848)="","",INDEX(I.Facility.P2aIDNumber,3848))</f>
        <v/>
      </c>
      <c r="G8860" s="51"/>
      <c r="H8860" s="46" t="str">
        <f>IF(AND(I.Developer.P2a=TRUE,I.Facility.P2aFacilityCount&gt;=3848,F8860=""),"Incomplete","Complete")</f>
        <v>Complete</v>
      </c>
      <c r="I8860" s="48" t="s">
        <v>13225</v>
      </c>
    </row>
    <row r="8861" spans="2:9" ht="15" customHeight="1" x14ac:dyDescent="0.25">
      <c r="B8861" s="55" t="s">
        <v>280</v>
      </c>
      <c r="C8861" s="46">
        <v>3849</v>
      </c>
      <c r="D8861" s="69" t="s">
        <v>29417</v>
      </c>
      <c r="E8861" s="51"/>
      <c r="F8861" s="114" t="str">
        <f>IF(INDEX(I.Facility.P2aIDNumber,3849)="","",INDEX(I.Facility.P2aIDNumber,3849))</f>
        <v/>
      </c>
      <c r="G8861" s="51"/>
      <c r="H8861" s="46" t="str">
        <f>IF(AND(I.Developer.P2a=TRUE,I.Facility.P2aFacilityCount&gt;=3849,F8861=""),"Incomplete","Complete")</f>
        <v>Complete</v>
      </c>
      <c r="I8861" s="48" t="s">
        <v>13226</v>
      </c>
    </row>
    <row r="8862" spans="2:9" ht="15" customHeight="1" x14ac:dyDescent="0.25">
      <c r="B8862" s="55" t="s">
        <v>280</v>
      </c>
      <c r="C8862" s="46">
        <v>3850</v>
      </c>
      <c r="D8862" s="69" t="s">
        <v>29417</v>
      </c>
      <c r="E8862" s="51"/>
      <c r="F8862" s="114" t="str">
        <f>IF(INDEX(I.Facility.P2aIDNumber,3850)="","",INDEX(I.Facility.P2aIDNumber,3850))</f>
        <v/>
      </c>
      <c r="G8862" s="51"/>
      <c r="H8862" s="46" t="str">
        <f>IF(AND(I.Developer.P2a=TRUE,I.Facility.P2aFacilityCount&gt;=3850,F8862=""),"Incomplete","Complete")</f>
        <v>Complete</v>
      </c>
      <c r="I8862" s="48" t="s">
        <v>13227</v>
      </c>
    </row>
    <row r="8863" spans="2:9" ht="15" customHeight="1" x14ac:dyDescent="0.25">
      <c r="B8863" s="55" t="s">
        <v>280</v>
      </c>
      <c r="C8863" s="46">
        <v>3851</v>
      </c>
      <c r="D8863" s="69" t="s">
        <v>29417</v>
      </c>
      <c r="E8863" s="51"/>
      <c r="F8863" s="114" t="str">
        <f>IF(INDEX(I.Facility.P2aIDNumber,3851)="","",INDEX(I.Facility.P2aIDNumber,3851))</f>
        <v/>
      </c>
      <c r="G8863" s="51"/>
      <c r="H8863" s="46" t="str">
        <f>IF(AND(I.Developer.P2a=TRUE,I.Facility.P2aFacilityCount&gt;=3851,F8863=""),"Incomplete","Complete")</f>
        <v>Complete</v>
      </c>
      <c r="I8863" s="48" t="s">
        <v>13228</v>
      </c>
    </row>
    <row r="8864" spans="2:9" ht="15" customHeight="1" x14ac:dyDescent="0.25">
      <c r="B8864" s="55" t="s">
        <v>280</v>
      </c>
      <c r="C8864" s="46">
        <v>3852</v>
      </c>
      <c r="D8864" s="69" t="s">
        <v>29417</v>
      </c>
      <c r="E8864" s="51"/>
      <c r="F8864" s="114" t="str">
        <f>IF(INDEX(I.Facility.P2aIDNumber,3852)="","",INDEX(I.Facility.P2aIDNumber,3852))</f>
        <v/>
      </c>
      <c r="G8864" s="51"/>
      <c r="H8864" s="46" t="str">
        <f>IF(AND(I.Developer.P2a=TRUE,I.Facility.P2aFacilityCount&gt;=3852,F8864=""),"Incomplete","Complete")</f>
        <v>Complete</v>
      </c>
      <c r="I8864" s="48" t="s">
        <v>13229</v>
      </c>
    </row>
    <row r="8865" spans="2:9" ht="15" customHeight="1" x14ac:dyDescent="0.25">
      <c r="B8865" s="55" t="s">
        <v>280</v>
      </c>
      <c r="C8865" s="46">
        <v>3853</v>
      </c>
      <c r="D8865" s="69" t="s">
        <v>29417</v>
      </c>
      <c r="E8865" s="51"/>
      <c r="F8865" s="114" t="str">
        <f>IF(INDEX(I.Facility.P2aIDNumber,3853)="","",INDEX(I.Facility.P2aIDNumber,3853))</f>
        <v/>
      </c>
      <c r="G8865" s="51"/>
      <c r="H8865" s="46" t="str">
        <f>IF(AND(I.Developer.P2a=TRUE,I.Facility.P2aFacilityCount&gt;=3853,F8865=""),"Incomplete","Complete")</f>
        <v>Complete</v>
      </c>
      <c r="I8865" s="48" t="s">
        <v>13230</v>
      </c>
    </row>
    <row r="8866" spans="2:9" ht="15" customHeight="1" x14ac:dyDescent="0.25">
      <c r="B8866" s="55" t="s">
        <v>280</v>
      </c>
      <c r="C8866" s="46">
        <v>3854</v>
      </c>
      <c r="D8866" s="69" t="s">
        <v>29417</v>
      </c>
      <c r="E8866" s="51"/>
      <c r="F8866" s="114" t="str">
        <f>IF(INDEX(I.Facility.P2aIDNumber,3854)="","",INDEX(I.Facility.P2aIDNumber,3854))</f>
        <v/>
      </c>
      <c r="G8866" s="51"/>
      <c r="H8866" s="46" t="str">
        <f>IF(AND(I.Developer.P2a=TRUE,I.Facility.P2aFacilityCount&gt;=3854,F8866=""),"Incomplete","Complete")</f>
        <v>Complete</v>
      </c>
      <c r="I8866" s="48" t="s">
        <v>13231</v>
      </c>
    </row>
    <row r="8867" spans="2:9" ht="15" customHeight="1" x14ac:dyDescent="0.25">
      <c r="B8867" s="55" t="s">
        <v>280</v>
      </c>
      <c r="C8867" s="46">
        <v>3855</v>
      </c>
      <c r="D8867" s="69" t="s">
        <v>29417</v>
      </c>
      <c r="E8867" s="51"/>
      <c r="F8867" s="114" t="str">
        <f>IF(INDEX(I.Facility.P2aIDNumber,3855)="","",INDEX(I.Facility.P2aIDNumber,3855))</f>
        <v/>
      </c>
      <c r="G8867" s="51"/>
      <c r="H8867" s="46" t="str">
        <f>IF(AND(I.Developer.P2a=TRUE,I.Facility.P2aFacilityCount&gt;=3855,F8867=""),"Incomplete","Complete")</f>
        <v>Complete</v>
      </c>
      <c r="I8867" s="48" t="s">
        <v>13232</v>
      </c>
    </row>
    <row r="8868" spans="2:9" ht="15" customHeight="1" x14ac:dyDescent="0.25">
      <c r="B8868" s="55" t="s">
        <v>280</v>
      </c>
      <c r="C8868" s="46">
        <v>3856</v>
      </c>
      <c r="D8868" s="69" t="s">
        <v>29417</v>
      </c>
      <c r="E8868" s="51"/>
      <c r="F8868" s="114" t="str">
        <f>IF(INDEX(I.Facility.P2aIDNumber,3856)="","",INDEX(I.Facility.P2aIDNumber,3856))</f>
        <v/>
      </c>
      <c r="G8868" s="51"/>
      <c r="H8868" s="46" t="str">
        <f>IF(AND(I.Developer.P2a=TRUE,I.Facility.P2aFacilityCount&gt;=3856,F8868=""),"Incomplete","Complete")</f>
        <v>Complete</v>
      </c>
      <c r="I8868" s="48" t="s">
        <v>13233</v>
      </c>
    </row>
    <row r="8869" spans="2:9" ht="15" customHeight="1" x14ac:dyDescent="0.25">
      <c r="B8869" s="55" t="s">
        <v>280</v>
      </c>
      <c r="C8869" s="46">
        <v>3857</v>
      </c>
      <c r="D8869" s="69" t="s">
        <v>29417</v>
      </c>
      <c r="E8869" s="51"/>
      <c r="F8869" s="114" t="str">
        <f>IF(INDEX(I.Facility.P2aIDNumber,3857)="","",INDEX(I.Facility.P2aIDNumber,3857))</f>
        <v/>
      </c>
      <c r="G8869" s="51"/>
      <c r="H8869" s="46" t="str">
        <f>IF(AND(I.Developer.P2a=TRUE,I.Facility.P2aFacilityCount&gt;=3857,F8869=""),"Incomplete","Complete")</f>
        <v>Complete</v>
      </c>
      <c r="I8869" s="48" t="s">
        <v>13234</v>
      </c>
    </row>
    <row r="8870" spans="2:9" ht="15" customHeight="1" x14ac:dyDescent="0.25">
      <c r="B8870" s="55" t="s">
        <v>280</v>
      </c>
      <c r="C8870" s="46">
        <v>3858</v>
      </c>
      <c r="D8870" s="69" t="s">
        <v>29417</v>
      </c>
      <c r="E8870" s="51"/>
      <c r="F8870" s="114" t="str">
        <f>IF(INDEX(I.Facility.P2aIDNumber,3858)="","",INDEX(I.Facility.P2aIDNumber,3858))</f>
        <v/>
      </c>
      <c r="G8870" s="51"/>
      <c r="H8870" s="46" t="str">
        <f>IF(AND(I.Developer.P2a=TRUE,I.Facility.P2aFacilityCount&gt;=3858,F8870=""),"Incomplete","Complete")</f>
        <v>Complete</v>
      </c>
      <c r="I8870" s="48" t="s">
        <v>13235</v>
      </c>
    </row>
    <row r="8871" spans="2:9" ht="15" customHeight="1" x14ac:dyDescent="0.25">
      <c r="B8871" s="55" t="s">
        <v>280</v>
      </c>
      <c r="C8871" s="46">
        <v>3859</v>
      </c>
      <c r="D8871" s="69" t="s">
        <v>29417</v>
      </c>
      <c r="E8871" s="51"/>
      <c r="F8871" s="114" t="str">
        <f>IF(INDEX(I.Facility.P2aIDNumber,3859)="","",INDEX(I.Facility.P2aIDNumber,3859))</f>
        <v/>
      </c>
      <c r="G8871" s="51"/>
      <c r="H8871" s="46" t="str">
        <f>IF(AND(I.Developer.P2a=TRUE,I.Facility.P2aFacilityCount&gt;=3859,F8871=""),"Incomplete","Complete")</f>
        <v>Complete</v>
      </c>
      <c r="I8871" s="48" t="s">
        <v>13236</v>
      </c>
    </row>
    <row r="8872" spans="2:9" ht="15" customHeight="1" x14ac:dyDescent="0.25">
      <c r="B8872" s="55" t="s">
        <v>280</v>
      </c>
      <c r="C8872" s="46">
        <v>3860</v>
      </c>
      <c r="D8872" s="69" t="s">
        <v>29417</v>
      </c>
      <c r="E8872" s="51"/>
      <c r="F8872" s="114" t="str">
        <f>IF(INDEX(I.Facility.P2aIDNumber,3860)="","",INDEX(I.Facility.P2aIDNumber,3860))</f>
        <v/>
      </c>
      <c r="G8872" s="51"/>
      <c r="H8872" s="46" t="str">
        <f>IF(AND(I.Developer.P2a=TRUE,I.Facility.P2aFacilityCount&gt;=3860,F8872=""),"Incomplete","Complete")</f>
        <v>Complete</v>
      </c>
      <c r="I8872" s="48" t="s">
        <v>13237</v>
      </c>
    </row>
    <row r="8873" spans="2:9" ht="15" customHeight="1" x14ac:dyDescent="0.25">
      <c r="B8873" s="55" t="s">
        <v>280</v>
      </c>
      <c r="C8873" s="46">
        <v>3861</v>
      </c>
      <c r="D8873" s="69" t="s">
        <v>29417</v>
      </c>
      <c r="E8873" s="51"/>
      <c r="F8873" s="114" t="str">
        <f>IF(INDEX(I.Facility.P2aIDNumber,3861)="","",INDEX(I.Facility.P2aIDNumber,3861))</f>
        <v/>
      </c>
      <c r="G8873" s="51"/>
      <c r="H8873" s="46" t="str">
        <f>IF(AND(I.Developer.P2a=TRUE,I.Facility.P2aFacilityCount&gt;=3861,F8873=""),"Incomplete","Complete")</f>
        <v>Complete</v>
      </c>
      <c r="I8873" s="48" t="s">
        <v>13238</v>
      </c>
    </row>
    <row r="8874" spans="2:9" ht="15" customHeight="1" x14ac:dyDescent="0.25">
      <c r="B8874" s="55" t="s">
        <v>280</v>
      </c>
      <c r="C8874" s="46">
        <v>3862</v>
      </c>
      <c r="D8874" s="69" t="s">
        <v>29417</v>
      </c>
      <c r="E8874" s="51"/>
      <c r="F8874" s="114" t="str">
        <f>IF(INDEX(I.Facility.P2aIDNumber,3862)="","",INDEX(I.Facility.P2aIDNumber,3862))</f>
        <v/>
      </c>
      <c r="G8874" s="51"/>
      <c r="H8874" s="46" t="str">
        <f>IF(AND(I.Developer.P2a=TRUE,I.Facility.P2aFacilityCount&gt;=3862,F8874=""),"Incomplete","Complete")</f>
        <v>Complete</v>
      </c>
      <c r="I8874" s="48" t="s">
        <v>13239</v>
      </c>
    </row>
    <row r="8875" spans="2:9" ht="15" customHeight="1" x14ac:dyDescent="0.25">
      <c r="B8875" s="55" t="s">
        <v>280</v>
      </c>
      <c r="C8875" s="46">
        <v>3863</v>
      </c>
      <c r="D8875" s="69" t="s">
        <v>29417</v>
      </c>
      <c r="E8875" s="51"/>
      <c r="F8875" s="114" t="str">
        <f>IF(INDEX(I.Facility.P2aIDNumber,3863)="","",INDEX(I.Facility.P2aIDNumber,3863))</f>
        <v/>
      </c>
      <c r="G8875" s="51"/>
      <c r="H8875" s="46" t="str">
        <f>IF(AND(I.Developer.P2a=TRUE,I.Facility.P2aFacilityCount&gt;=3863,F8875=""),"Incomplete","Complete")</f>
        <v>Complete</v>
      </c>
      <c r="I8875" s="48" t="s">
        <v>13240</v>
      </c>
    </row>
    <row r="8876" spans="2:9" ht="15" customHeight="1" x14ac:dyDescent="0.25">
      <c r="B8876" s="55" t="s">
        <v>280</v>
      </c>
      <c r="C8876" s="46">
        <v>3864</v>
      </c>
      <c r="D8876" s="69" t="s">
        <v>29417</v>
      </c>
      <c r="E8876" s="51"/>
      <c r="F8876" s="114" t="str">
        <f>IF(INDEX(I.Facility.P2aIDNumber,3864)="","",INDEX(I.Facility.P2aIDNumber,3864))</f>
        <v/>
      </c>
      <c r="G8876" s="51"/>
      <c r="H8876" s="46" t="str">
        <f>IF(AND(I.Developer.P2a=TRUE,I.Facility.P2aFacilityCount&gt;=3864,F8876=""),"Incomplete","Complete")</f>
        <v>Complete</v>
      </c>
      <c r="I8876" s="48" t="s">
        <v>13241</v>
      </c>
    </row>
    <row r="8877" spans="2:9" ht="15" customHeight="1" x14ac:dyDescent="0.25">
      <c r="B8877" s="55" t="s">
        <v>280</v>
      </c>
      <c r="C8877" s="46">
        <v>3865</v>
      </c>
      <c r="D8877" s="69" t="s">
        <v>29417</v>
      </c>
      <c r="E8877" s="51"/>
      <c r="F8877" s="114" t="str">
        <f>IF(INDEX(I.Facility.P2aIDNumber,3865)="","",INDEX(I.Facility.P2aIDNumber,3865))</f>
        <v/>
      </c>
      <c r="G8877" s="51"/>
      <c r="H8877" s="46" t="str">
        <f>IF(AND(I.Developer.P2a=TRUE,I.Facility.P2aFacilityCount&gt;=3865,F8877=""),"Incomplete","Complete")</f>
        <v>Complete</v>
      </c>
      <c r="I8877" s="48" t="s">
        <v>13242</v>
      </c>
    </row>
    <row r="8878" spans="2:9" ht="15" customHeight="1" x14ac:dyDescent="0.25">
      <c r="B8878" s="55" t="s">
        <v>280</v>
      </c>
      <c r="C8878" s="46">
        <v>3866</v>
      </c>
      <c r="D8878" s="69" t="s">
        <v>29417</v>
      </c>
      <c r="E8878" s="51"/>
      <c r="F8878" s="114" t="str">
        <f>IF(INDEX(I.Facility.P2aIDNumber,3866)="","",INDEX(I.Facility.P2aIDNumber,3866))</f>
        <v/>
      </c>
      <c r="G8878" s="51"/>
      <c r="H8878" s="46" t="str">
        <f>IF(AND(I.Developer.P2a=TRUE,I.Facility.P2aFacilityCount&gt;=3866,F8878=""),"Incomplete","Complete")</f>
        <v>Complete</v>
      </c>
      <c r="I8878" s="48" t="s">
        <v>13243</v>
      </c>
    </row>
    <row r="8879" spans="2:9" ht="15" customHeight="1" x14ac:dyDescent="0.25">
      <c r="B8879" s="55" t="s">
        <v>280</v>
      </c>
      <c r="C8879" s="46">
        <v>3867</v>
      </c>
      <c r="D8879" s="69" t="s">
        <v>29417</v>
      </c>
      <c r="E8879" s="51"/>
      <c r="F8879" s="114" t="str">
        <f>IF(INDEX(I.Facility.P2aIDNumber,3867)="","",INDEX(I.Facility.P2aIDNumber,3867))</f>
        <v/>
      </c>
      <c r="G8879" s="51"/>
      <c r="H8879" s="46" t="str">
        <f>IF(AND(I.Developer.P2a=TRUE,I.Facility.P2aFacilityCount&gt;=3867,F8879=""),"Incomplete","Complete")</f>
        <v>Complete</v>
      </c>
      <c r="I8879" s="48" t="s">
        <v>13244</v>
      </c>
    </row>
    <row r="8880" spans="2:9" ht="15" customHeight="1" x14ac:dyDescent="0.25">
      <c r="B8880" s="55" t="s">
        <v>280</v>
      </c>
      <c r="C8880" s="46">
        <v>3868</v>
      </c>
      <c r="D8880" s="69" t="s">
        <v>29417</v>
      </c>
      <c r="E8880" s="51"/>
      <c r="F8880" s="114" t="str">
        <f>IF(INDEX(I.Facility.P2aIDNumber,3868)="","",INDEX(I.Facility.P2aIDNumber,3868))</f>
        <v/>
      </c>
      <c r="G8880" s="51"/>
      <c r="H8880" s="46" t="str">
        <f>IF(AND(I.Developer.P2a=TRUE,I.Facility.P2aFacilityCount&gt;=3868,F8880=""),"Incomplete","Complete")</f>
        <v>Complete</v>
      </c>
      <c r="I8880" s="48" t="s">
        <v>13245</v>
      </c>
    </row>
    <row r="8881" spans="2:9" ht="15" customHeight="1" x14ac:dyDescent="0.25">
      <c r="B8881" s="55" t="s">
        <v>280</v>
      </c>
      <c r="C8881" s="46">
        <v>3869</v>
      </c>
      <c r="D8881" s="69" t="s">
        <v>29417</v>
      </c>
      <c r="E8881" s="51"/>
      <c r="F8881" s="114" t="str">
        <f>IF(INDEX(I.Facility.P2aIDNumber,3869)="","",INDEX(I.Facility.P2aIDNumber,3869))</f>
        <v/>
      </c>
      <c r="G8881" s="51"/>
      <c r="H8881" s="46" t="str">
        <f>IF(AND(I.Developer.P2a=TRUE,I.Facility.P2aFacilityCount&gt;=3869,F8881=""),"Incomplete","Complete")</f>
        <v>Complete</v>
      </c>
      <c r="I8881" s="48" t="s">
        <v>13246</v>
      </c>
    </row>
    <row r="8882" spans="2:9" ht="15" customHeight="1" x14ac:dyDescent="0.25">
      <c r="B8882" s="55" t="s">
        <v>280</v>
      </c>
      <c r="C8882" s="46">
        <v>3870</v>
      </c>
      <c r="D8882" s="69" t="s">
        <v>29417</v>
      </c>
      <c r="E8882" s="51"/>
      <c r="F8882" s="114" t="str">
        <f>IF(INDEX(I.Facility.P2aIDNumber,3870)="","",INDEX(I.Facility.P2aIDNumber,3870))</f>
        <v/>
      </c>
      <c r="G8882" s="51"/>
      <c r="H8882" s="46" t="str">
        <f>IF(AND(I.Developer.P2a=TRUE,I.Facility.P2aFacilityCount&gt;=3870,F8882=""),"Incomplete","Complete")</f>
        <v>Complete</v>
      </c>
      <c r="I8882" s="48" t="s">
        <v>13247</v>
      </c>
    </row>
    <row r="8883" spans="2:9" ht="15" customHeight="1" x14ac:dyDescent="0.25">
      <c r="B8883" s="55" t="s">
        <v>280</v>
      </c>
      <c r="C8883" s="46">
        <v>3871</v>
      </c>
      <c r="D8883" s="69" t="s">
        <v>29417</v>
      </c>
      <c r="E8883" s="51"/>
      <c r="F8883" s="114" t="str">
        <f>IF(INDEX(I.Facility.P2aIDNumber,3871)="","",INDEX(I.Facility.P2aIDNumber,3871))</f>
        <v/>
      </c>
      <c r="G8883" s="51"/>
      <c r="H8883" s="46" t="str">
        <f>IF(AND(I.Developer.P2a=TRUE,I.Facility.P2aFacilityCount&gt;=3871,F8883=""),"Incomplete","Complete")</f>
        <v>Complete</v>
      </c>
      <c r="I8883" s="48" t="s">
        <v>13248</v>
      </c>
    </row>
    <row r="8884" spans="2:9" ht="15" customHeight="1" x14ac:dyDescent="0.25">
      <c r="B8884" s="55" t="s">
        <v>280</v>
      </c>
      <c r="C8884" s="46">
        <v>3872</v>
      </c>
      <c r="D8884" s="69" t="s">
        <v>29417</v>
      </c>
      <c r="E8884" s="51"/>
      <c r="F8884" s="114" t="str">
        <f>IF(INDEX(I.Facility.P2aIDNumber,3872)="","",INDEX(I.Facility.P2aIDNumber,3872))</f>
        <v/>
      </c>
      <c r="G8884" s="51"/>
      <c r="H8884" s="46" t="str">
        <f>IF(AND(I.Developer.P2a=TRUE,I.Facility.P2aFacilityCount&gt;=3872,F8884=""),"Incomplete","Complete")</f>
        <v>Complete</v>
      </c>
      <c r="I8884" s="48" t="s">
        <v>13249</v>
      </c>
    </row>
    <row r="8885" spans="2:9" ht="15" customHeight="1" x14ac:dyDescent="0.25">
      <c r="B8885" s="55" t="s">
        <v>280</v>
      </c>
      <c r="C8885" s="46">
        <v>3873</v>
      </c>
      <c r="D8885" s="69" t="s">
        <v>29417</v>
      </c>
      <c r="E8885" s="51"/>
      <c r="F8885" s="114" t="str">
        <f>IF(INDEX(I.Facility.P2aIDNumber,3873)="","",INDEX(I.Facility.P2aIDNumber,3873))</f>
        <v/>
      </c>
      <c r="G8885" s="51"/>
      <c r="H8885" s="46" t="str">
        <f>IF(AND(I.Developer.P2a=TRUE,I.Facility.P2aFacilityCount&gt;=3873,F8885=""),"Incomplete","Complete")</f>
        <v>Complete</v>
      </c>
      <c r="I8885" s="48" t="s">
        <v>13250</v>
      </c>
    </row>
    <row r="8886" spans="2:9" ht="15" customHeight="1" x14ac:dyDescent="0.25">
      <c r="B8886" s="55" t="s">
        <v>280</v>
      </c>
      <c r="C8886" s="46">
        <v>3874</v>
      </c>
      <c r="D8886" s="69" t="s">
        <v>29417</v>
      </c>
      <c r="E8886" s="51"/>
      <c r="F8886" s="114" t="str">
        <f>IF(INDEX(I.Facility.P2aIDNumber,3874)="","",INDEX(I.Facility.P2aIDNumber,3874))</f>
        <v/>
      </c>
      <c r="G8886" s="51"/>
      <c r="H8886" s="46" t="str">
        <f>IF(AND(I.Developer.P2a=TRUE,I.Facility.P2aFacilityCount&gt;=3874,F8886=""),"Incomplete","Complete")</f>
        <v>Complete</v>
      </c>
      <c r="I8886" s="48" t="s">
        <v>13251</v>
      </c>
    </row>
    <row r="8887" spans="2:9" ht="15" customHeight="1" x14ac:dyDescent="0.25">
      <c r="B8887" s="55" t="s">
        <v>280</v>
      </c>
      <c r="C8887" s="46">
        <v>3875</v>
      </c>
      <c r="D8887" s="69" t="s">
        <v>29417</v>
      </c>
      <c r="E8887" s="51"/>
      <c r="F8887" s="114" t="str">
        <f>IF(INDEX(I.Facility.P2aIDNumber,3875)="","",INDEX(I.Facility.P2aIDNumber,3875))</f>
        <v/>
      </c>
      <c r="G8887" s="51"/>
      <c r="H8887" s="46" t="str">
        <f>IF(AND(I.Developer.P2a=TRUE,I.Facility.P2aFacilityCount&gt;=3875,F8887=""),"Incomplete","Complete")</f>
        <v>Complete</v>
      </c>
      <c r="I8887" s="48" t="s">
        <v>13252</v>
      </c>
    </row>
    <row r="8888" spans="2:9" ht="15" customHeight="1" x14ac:dyDescent="0.25">
      <c r="B8888" s="55" t="s">
        <v>280</v>
      </c>
      <c r="C8888" s="46">
        <v>3876</v>
      </c>
      <c r="D8888" s="69" t="s">
        <v>29417</v>
      </c>
      <c r="E8888" s="51"/>
      <c r="F8888" s="114" t="str">
        <f>IF(INDEX(I.Facility.P2aIDNumber,3876)="","",INDEX(I.Facility.P2aIDNumber,3876))</f>
        <v/>
      </c>
      <c r="G8888" s="51"/>
      <c r="H8888" s="46" t="str">
        <f>IF(AND(I.Developer.P2a=TRUE,I.Facility.P2aFacilityCount&gt;=3876,F8888=""),"Incomplete","Complete")</f>
        <v>Complete</v>
      </c>
      <c r="I8888" s="48" t="s">
        <v>13253</v>
      </c>
    </row>
    <row r="8889" spans="2:9" ht="15" customHeight="1" x14ac:dyDescent="0.25">
      <c r="B8889" s="55" t="s">
        <v>280</v>
      </c>
      <c r="C8889" s="46">
        <v>3877</v>
      </c>
      <c r="D8889" s="69" t="s">
        <v>29417</v>
      </c>
      <c r="E8889" s="51"/>
      <c r="F8889" s="114" t="str">
        <f>IF(INDEX(I.Facility.P2aIDNumber,3877)="","",INDEX(I.Facility.P2aIDNumber,3877))</f>
        <v/>
      </c>
      <c r="G8889" s="51"/>
      <c r="H8889" s="46" t="str">
        <f>IF(AND(I.Developer.P2a=TRUE,I.Facility.P2aFacilityCount&gt;=3877,F8889=""),"Incomplete","Complete")</f>
        <v>Complete</v>
      </c>
      <c r="I8889" s="48" t="s">
        <v>13254</v>
      </c>
    </row>
    <row r="8890" spans="2:9" ht="15" customHeight="1" x14ac:dyDescent="0.25">
      <c r="B8890" s="55" t="s">
        <v>280</v>
      </c>
      <c r="C8890" s="46">
        <v>3878</v>
      </c>
      <c r="D8890" s="69" t="s">
        <v>29417</v>
      </c>
      <c r="E8890" s="51"/>
      <c r="F8890" s="114" t="str">
        <f>IF(INDEX(I.Facility.P2aIDNumber,3878)="","",INDEX(I.Facility.P2aIDNumber,3878))</f>
        <v/>
      </c>
      <c r="G8890" s="51"/>
      <c r="H8890" s="46" t="str">
        <f>IF(AND(I.Developer.P2a=TRUE,I.Facility.P2aFacilityCount&gt;=3878,F8890=""),"Incomplete","Complete")</f>
        <v>Complete</v>
      </c>
      <c r="I8890" s="48" t="s">
        <v>13255</v>
      </c>
    </row>
    <row r="8891" spans="2:9" ht="15" customHeight="1" x14ac:dyDescent="0.25">
      <c r="B8891" s="55" t="s">
        <v>280</v>
      </c>
      <c r="C8891" s="46">
        <v>3879</v>
      </c>
      <c r="D8891" s="69" t="s">
        <v>29417</v>
      </c>
      <c r="E8891" s="51"/>
      <c r="F8891" s="114" t="str">
        <f>IF(INDEX(I.Facility.P2aIDNumber,3879)="","",INDEX(I.Facility.P2aIDNumber,3879))</f>
        <v/>
      </c>
      <c r="G8891" s="51"/>
      <c r="H8891" s="46" t="str">
        <f>IF(AND(I.Developer.P2a=TRUE,I.Facility.P2aFacilityCount&gt;=3879,F8891=""),"Incomplete","Complete")</f>
        <v>Complete</v>
      </c>
      <c r="I8891" s="48" t="s">
        <v>13256</v>
      </c>
    </row>
    <row r="8892" spans="2:9" ht="15" customHeight="1" x14ac:dyDescent="0.25">
      <c r="B8892" s="55" t="s">
        <v>280</v>
      </c>
      <c r="C8892" s="46">
        <v>3880</v>
      </c>
      <c r="D8892" s="69" t="s">
        <v>29417</v>
      </c>
      <c r="E8892" s="51"/>
      <c r="F8892" s="114" t="str">
        <f>IF(INDEX(I.Facility.P2aIDNumber,3880)="","",INDEX(I.Facility.P2aIDNumber,3880))</f>
        <v/>
      </c>
      <c r="G8892" s="51"/>
      <c r="H8892" s="46" t="str">
        <f>IF(AND(I.Developer.P2a=TRUE,I.Facility.P2aFacilityCount&gt;=3880,F8892=""),"Incomplete","Complete")</f>
        <v>Complete</v>
      </c>
      <c r="I8892" s="48" t="s">
        <v>13257</v>
      </c>
    </row>
    <row r="8893" spans="2:9" ht="15" customHeight="1" x14ac:dyDescent="0.25">
      <c r="B8893" s="55" t="s">
        <v>280</v>
      </c>
      <c r="C8893" s="46">
        <v>3881</v>
      </c>
      <c r="D8893" s="69" t="s">
        <v>29417</v>
      </c>
      <c r="E8893" s="51"/>
      <c r="F8893" s="114" t="str">
        <f>IF(INDEX(I.Facility.P2aIDNumber,3881)="","",INDEX(I.Facility.P2aIDNumber,3881))</f>
        <v/>
      </c>
      <c r="G8893" s="51"/>
      <c r="H8893" s="46" t="str">
        <f>IF(AND(I.Developer.P2a=TRUE,I.Facility.P2aFacilityCount&gt;=3881,F8893=""),"Incomplete","Complete")</f>
        <v>Complete</v>
      </c>
      <c r="I8893" s="48" t="s">
        <v>13258</v>
      </c>
    </row>
    <row r="8894" spans="2:9" ht="15" customHeight="1" x14ac:dyDescent="0.25">
      <c r="B8894" s="55" t="s">
        <v>280</v>
      </c>
      <c r="C8894" s="46">
        <v>3882</v>
      </c>
      <c r="D8894" s="69" t="s">
        <v>29417</v>
      </c>
      <c r="E8894" s="51"/>
      <c r="F8894" s="114" t="str">
        <f>IF(INDEX(I.Facility.P2aIDNumber,3882)="","",INDEX(I.Facility.P2aIDNumber,3882))</f>
        <v/>
      </c>
      <c r="G8894" s="51"/>
      <c r="H8894" s="46" t="str">
        <f>IF(AND(I.Developer.P2a=TRUE,I.Facility.P2aFacilityCount&gt;=3882,F8894=""),"Incomplete","Complete")</f>
        <v>Complete</v>
      </c>
      <c r="I8894" s="48" t="s">
        <v>13259</v>
      </c>
    </row>
    <row r="8895" spans="2:9" ht="15" customHeight="1" x14ac:dyDescent="0.25">
      <c r="B8895" s="55" t="s">
        <v>280</v>
      </c>
      <c r="C8895" s="46">
        <v>3883</v>
      </c>
      <c r="D8895" s="69" t="s">
        <v>29417</v>
      </c>
      <c r="E8895" s="51"/>
      <c r="F8895" s="114" t="str">
        <f>IF(INDEX(I.Facility.P2aIDNumber,3883)="","",INDEX(I.Facility.P2aIDNumber,3883))</f>
        <v/>
      </c>
      <c r="G8895" s="51"/>
      <c r="H8895" s="46" t="str">
        <f>IF(AND(I.Developer.P2a=TRUE,I.Facility.P2aFacilityCount&gt;=3883,F8895=""),"Incomplete","Complete")</f>
        <v>Complete</v>
      </c>
      <c r="I8895" s="48" t="s">
        <v>13260</v>
      </c>
    </row>
    <row r="8896" spans="2:9" ht="15" customHeight="1" x14ac:dyDescent="0.25">
      <c r="B8896" s="55" t="s">
        <v>280</v>
      </c>
      <c r="C8896" s="46">
        <v>3884</v>
      </c>
      <c r="D8896" s="69" t="s">
        <v>29417</v>
      </c>
      <c r="E8896" s="51"/>
      <c r="F8896" s="114" t="str">
        <f>IF(INDEX(I.Facility.P2aIDNumber,3884)="","",INDEX(I.Facility.P2aIDNumber,3884))</f>
        <v/>
      </c>
      <c r="G8896" s="51"/>
      <c r="H8896" s="46" t="str">
        <f>IF(AND(I.Developer.P2a=TRUE,I.Facility.P2aFacilityCount&gt;=3884,F8896=""),"Incomplete","Complete")</f>
        <v>Complete</v>
      </c>
      <c r="I8896" s="48" t="s">
        <v>13261</v>
      </c>
    </row>
    <row r="8897" spans="2:9" ht="15" customHeight="1" x14ac:dyDescent="0.25">
      <c r="B8897" s="55" t="s">
        <v>280</v>
      </c>
      <c r="C8897" s="46">
        <v>3885</v>
      </c>
      <c r="D8897" s="69" t="s">
        <v>29417</v>
      </c>
      <c r="E8897" s="51"/>
      <c r="F8897" s="114" t="str">
        <f>IF(INDEX(I.Facility.P2aIDNumber,3885)="","",INDEX(I.Facility.P2aIDNumber,3885))</f>
        <v/>
      </c>
      <c r="G8897" s="51"/>
      <c r="H8897" s="46" t="str">
        <f>IF(AND(I.Developer.P2a=TRUE,I.Facility.P2aFacilityCount&gt;=3885,F8897=""),"Incomplete","Complete")</f>
        <v>Complete</v>
      </c>
      <c r="I8897" s="48" t="s">
        <v>13262</v>
      </c>
    </row>
    <row r="8898" spans="2:9" ht="15" customHeight="1" x14ac:dyDescent="0.25">
      <c r="B8898" s="55" t="s">
        <v>280</v>
      </c>
      <c r="C8898" s="46">
        <v>3886</v>
      </c>
      <c r="D8898" s="69" t="s">
        <v>29417</v>
      </c>
      <c r="E8898" s="51"/>
      <c r="F8898" s="114" t="str">
        <f>IF(INDEX(I.Facility.P2aIDNumber,3886)="","",INDEX(I.Facility.P2aIDNumber,3886))</f>
        <v/>
      </c>
      <c r="G8898" s="51"/>
      <c r="H8898" s="46" t="str">
        <f>IF(AND(I.Developer.P2a=TRUE,I.Facility.P2aFacilityCount&gt;=3886,F8898=""),"Incomplete","Complete")</f>
        <v>Complete</v>
      </c>
      <c r="I8898" s="48" t="s">
        <v>13263</v>
      </c>
    </row>
    <row r="8899" spans="2:9" ht="15" customHeight="1" x14ac:dyDescent="0.25">
      <c r="B8899" s="55" t="s">
        <v>280</v>
      </c>
      <c r="C8899" s="46">
        <v>3887</v>
      </c>
      <c r="D8899" s="69" t="s">
        <v>29417</v>
      </c>
      <c r="E8899" s="51"/>
      <c r="F8899" s="114" t="str">
        <f>IF(INDEX(I.Facility.P2aIDNumber,3887)="","",INDEX(I.Facility.P2aIDNumber,3887))</f>
        <v/>
      </c>
      <c r="G8899" s="51"/>
      <c r="H8899" s="46" t="str">
        <f>IF(AND(I.Developer.P2a=TRUE,I.Facility.P2aFacilityCount&gt;=3887,F8899=""),"Incomplete","Complete")</f>
        <v>Complete</v>
      </c>
      <c r="I8899" s="48" t="s">
        <v>13264</v>
      </c>
    </row>
    <row r="8900" spans="2:9" ht="15" customHeight="1" x14ac:dyDescent="0.25">
      <c r="B8900" s="55" t="s">
        <v>280</v>
      </c>
      <c r="C8900" s="46">
        <v>3888</v>
      </c>
      <c r="D8900" s="69" t="s">
        <v>29417</v>
      </c>
      <c r="E8900" s="51"/>
      <c r="F8900" s="114" t="str">
        <f>IF(INDEX(I.Facility.P2aIDNumber,3888)="","",INDEX(I.Facility.P2aIDNumber,3888))</f>
        <v/>
      </c>
      <c r="G8900" s="51"/>
      <c r="H8900" s="46" t="str">
        <f>IF(AND(I.Developer.P2a=TRUE,I.Facility.P2aFacilityCount&gt;=3888,F8900=""),"Incomplete","Complete")</f>
        <v>Complete</v>
      </c>
      <c r="I8900" s="48" t="s">
        <v>13265</v>
      </c>
    </row>
    <row r="8901" spans="2:9" ht="15" customHeight="1" x14ac:dyDescent="0.25">
      <c r="B8901" s="55" t="s">
        <v>280</v>
      </c>
      <c r="C8901" s="46">
        <v>3889</v>
      </c>
      <c r="D8901" s="69" t="s">
        <v>29417</v>
      </c>
      <c r="E8901" s="51"/>
      <c r="F8901" s="114" t="str">
        <f>IF(INDEX(I.Facility.P2aIDNumber,3889)="","",INDEX(I.Facility.P2aIDNumber,3889))</f>
        <v/>
      </c>
      <c r="G8901" s="51"/>
      <c r="H8901" s="46" t="str">
        <f>IF(AND(I.Developer.P2a=TRUE,I.Facility.P2aFacilityCount&gt;=3889,F8901=""),"Incomplete","Complete")</f>
        <v>Complete</v>
      </c>
      <c r="I8901" s="48" t="s">
        <v>13266</v>
      </c>
    </row>
    <row r="8902" spans="2:9" ht="15" customHeight="1" x14ac:dyDescent="0.25">
      <c r="B8902" s="55" t="s">
        <v>280</v>
      </c>
      <c r="C8902" s="46">
        <v>3890</v>
      </c>
      <c r="D8902" s="69" t="s">
        <v>29417</v>
      </c>
      <c r="E8902" s="51"/>
      <c r="F8902" s="114" t="str">
        <f>IF(INDEX(I.Facility.P2aIDNumber,3890)="","",INDEX(I.Facility.P2aIDNumber,3890))</f>
        <v/>
      </c>
      <c r="G8902" s="51"/>
      <c r="H8902" s="46" t="str">
        <f>IF(AND(I.Developer.P2a=TRUE,I.Facility.P2aFacilityCount&gt;=3890,F8902=""),"Incomplete","Complete")</f>
        <v>Complete</v>
      </c>
      <c r="I8902" s="48" t="s">
        <v>13267</v>
      </c>
    </row>
    <row r="8903" spans="2:9" ht="15" customHeight="1" x14ac:dyDescent="0.25">
      <c r="B8903" s="55" t="s">
        <v>280</v>
      </c>
      <c r="C8903" s="46">
        <v>3891</v>
      </c>
      <c r="D8903" s="69" t="s">
        <v>29417</v>
      </c>
      <c r="E8903" s="51"/>
      <c r="F8903" s="114" t="str">
        <f>IF(INDEX(I.Facility.P2aIDNumber,3891)="","",INDEX(I.Facility.P2aIDNumber,3891))</f>
        <v/>
      </c>
      <c r="G8903" s="51"/>
      <c r="H8903" s="46" t="str">
        <f>IF(AND(I.Developer.P2a=TRUE,I.Facility.P2aFacilityCount&gt;=3891,F8903=""),"Incomplete","Complete")</f>
        <v>Complete</v>
      </c>
      <c r="I8903" s="48" t="s">
        <v>13268</v>
      </c>
    </row>
    <row r="8904" spans="2:9" ht="15" customHeight="1" x14ac:dyDescent="0.25">
      <c r="B8904" s="55" t="s">
        <v>280</v>
      </c>
      <c r="C8904" s="46">
        <v>3892</v>
      </c>
      <c r="D8904" s="69" t="s">
        <v>29417</v>
      </c>
      <c r="E8904" s="51"/>
      <c r="F8904" s="114" t="str">
        <f>IF(INDEX(I.Facility.P2aIDNumber,3892)="","",INDEX(I.Facility.P2aIDNumber,3892))</f>
        <v/>
      </c>
      <c r="G8904" s="51"/>
      <c r="H8904" s="46" t="str">
        <f>IF(AND(I.Developer.P2a=TRUE,I.Facility.P2aFacilityCount&gt;=3892,F8904=""),"Incomplete","Complete")</f>
        <v>Complete</v>
      </c>
      <c r="I8904" s="48" t="s">
        <v>13269</v>
      </c>
    </row>
    <row r="8905" spans="2:9" ht="15" customHeight="1" x14ac:dyDescent="0.25">
      <c r="B8905" s="55" t="s">
        <v>280</v>
      </c>
      <c r="C8905" s="46">
        <v>3893</v>
      </c>
      <c r="D8905" s="69" t="s">
        <v>29417</v>
      </c>
      <c r="E8905" s="51"/>
      <c r="F8905" s="114" t="str">
        <f>IF(INDEX(I.Facility.P2aIDNumber,3893)="","",INDEX(I.Facility.P2aIDNumber,3893))</f>
        <v/>
      </c>
      <c r="G8905" s="51"/>
      <c r="H8905" s="46" t="str">
        <f>IF(AND(I.Developer.P2a=TRUE,I.Facility.P2aFacilityCount&gt;=3893,F8905=""),"Incomplete","Complete")</f>
        <v>Complete</v>
      </c>
      <c r="I8905" s="48" t="s">
        <v>13270</v>
      </c>
    </row>
    <row r="8906" spans="2:9" ht="15" customHeight="1" x14ac:dyDescent="0.25">
      <c r="B8906" s="55" t="s">
        <v>280</v>
      </c>
      <c r="C8906" s="46">
        <v>3894</v>
      </c>
      <c r="D8906" s="69" t="s">
        <v>29417</v>
      </c>
      <c r="E8906" s="51"/>
      <c r="F8906" s="114" t="str">
        <f>IF(INDEX(I.Facility.P2aIDNumber,3894)="","",INDEX(I.Facility.P2aIDNumber,3894))</f>
        <v/>
      </c>
      <c r="G8906" s="51"/>
      <c r="H8906" s="46" t="str">
        <f>IF(AND(I.Developer.P2a=TRUE,I.Facility.P2aFacilityCount&gt;=3894,F8906=""),"Incomplete","Complete")</f>
        <v>Complete</v>
      </c>
      <c r="I8906" s="48" t="s">
        <v>13271</v>
      </c>
    </row>
    <row r="8907" spans="2:9" ht="15" customHeight="1" x14ac:dyDescent="0.25">
      <c r="B8907" s="55" t="s">
        <v>280</v>
      </c>
      <c r="C8907" s="46">
        <v>3895</v>
      </c>
      <c r="D8907" s="69" t="s">
        <v>29417</v>
      </c>
      <c r="E8907" s="51"/>
      <c r="F8907" s="114" t="str">
        <f>IF(INDEX(I.Facility.P2aIDNumber,3895)="","",INDEX(I.Facility.P2aIDNumber,3895))</f>
        <v/>
      </c>
      <c r="G8907" s="51"/>
      <c r="H8907" s="46" t="str">
        <f>IF(AND(I.Developer.P2a=TRUE,I.Facility.P2aFacilityCount&gt;=3895,F8907=""),"Incomplete","Complete")</f>
        <v>Complete</v>
      </c>
      <c r="I8907" s="48" t="s">
        <v>13272</v>
      </c>
    </row>
    <row r="8908" spans="2:9" ht="15" customHeight="1" x14ac:dyDescent="0.25">
      <c r="B8908" s="55" t="s">
        <v>280</v>
      </c>
      <c r="C8908" s="46">
        <v>3896</v>
      </c>
      <c r="D8908" s="69" t="s">
        <v>29417</v>
      </c>
      <c r="E8908" s="51"/>
      <c r="F8908" s="114" t="str">
        <f>IF(INDEX(I.Facility.P2aIDNumber,3896)="","",INDEX(I.Facility.P2aIDNumber,3896))</f>
        <v/>
      </c>
      <c r="G8908" s="51"/>
      <c r="H8908" s="46" t="str">
        <f>IF(AND(I.Developer.P2a=TRUE,I.Facility.P2aFacilityCount&gt;=3896,F8908=""),"Incomplete","Complete")</f>
        <v>Complete</v>
      </c>
      <c r="I8908" s="48" t="s">
        <v>13273</v>
      </c>
    </row>
    <row r="8909" spans="2:9" ht="15" customHeight="1" x14ac:dyDescent="0.25">
      <c r="B8909" s="55" t="s">
        <v>280</v>
      </c>
      <c r="C8909" s="46">
        <v>3897</v>
      </c>
      <c r="D8909" s="69" t="s">
        <v>29417</v>
      </c>
      <c r="E8909" s="51"/>
      <c r="F8909" s="114" t="str">
        <f>IF(INDEX(I.Facility.P2aIDNumber,3897)="","",INDEX(I.Facility.P2aIDNumber,3897))</f>
        <v/>
      </c>
      <c r="G8909" s="51"/>
      <c r="H8909" s="46" t="str">
        <f>IF(AND(I.Developer.P2a=TRUE,I.Facility.P2aFacilityCount&gt;=3897,F8909=""),"Incomplete","Complete")</f>
        <v>Complete</v>
      </c>
      <c r="I8909" s="48" t="s">
        <v>13274</v>
      </c>
    </row>
    <row r="8910" spans="2:9" ht="15" customHeight="1" x14ac:dyDescent="0.25">
      <c r="B8910" s="55" t="s">
        <v>280</v>
      </c>
      <c r="C8910" s="46">
        <v>3898</v>
      </c>
      <c r="D8910" s="69" t="s">
        <v>29417</v>
      </c>
      <c r="E8910" s="51"/>
      <c r="F8910" s="114" t="str">
        <f>IF(INDEX(I.Facility.P2aIDNumber,3898)="","",INDEX(I.Facility.P2aIDNumber,3898))</f>
        <v/>
      </c>
      <c r="G8910" s="51"/>
      <c r="H8910" s="46" t="str">
        <f>IF(AND(I.Developer.P2a=TRUE,I.Facility.P2aFacilityCount&gt;=3898,F8910=""),"Incomplete","Complete")</f>
        <v>Complete</v>
      </c>
      <c r="I8910" s="48" t="s">
        <v>13275</v>
      </c>
    </row>
    <row r="8911" spans="2:9" ht="15" customHeight="1" x14ac:dyDescent="0.25">
      <c r="B8911" s="55" t="s">
        <v>280</v>
      </c>
      <c r="C8911" s="46">
        <v>3899</v>
      </c>
      <c r="D8911" s="69" t="s">
        <v>29417</v>
      </c>
      <c r="E8911" s="51"/>
      <c r="F8911" s="114" t="str">
        <f>IF(INDEX(I.Facility.P2aIDNumber,3899)="","",INDEX(I.Facility.P2aIDNumber,3899))</f>
        <v/>
      </c>
      <c r="G8911" s="51"/>
      <c r="H8911" s="46" t="str">
        <f>IF(AND(I.Developer.P2a=TRUE,I.Facility.P2aFacilityCount&gt;=3899,F8911=""),"Incomplete","Complete")</f>
        <v>Complete</v>
      </c>
      <c r="I8911" s="48" t="s">
        <v>13276</v>
      </c>
    </row>
    <row r="8912" spans="2:9" ht="15" customHeight="1" x14ac:dyDescent="0.25">
      <c r="B8912" s="55" t="s">
        <v>280</v>
      </c>
      <c r="C8912" s="46">
        <v>3900</v>
      </c>
      <c r="D8912" s="69" t="s">
        <v>29417</v>
      </c>
      <c r="E8912" s="51"/>
      <c r="F8912" s="114" t="str">
        <f>IF(INDEX(I.Facility.P2aIDNumber,3900)="","",INDEX(I.Facility.P2aIDNumber,3900))</f>
        <v/>
      </c>
      <c r="G8912" s="51"/>
      <c r="H8912" s="46" t="str">
        <f>IF(AND(I.Developer.P2a=TRUE,I.Facility.P2aFacilityCount&gt;=3900,F8912=""),"Incomplete","Complete")</f>
        <v>Complete</v>
      </c>
      <c r="I8912" s="48" t="s">
        <v>13277</v>
      </c>
    </row>
    <row r="8913" spans="2:9" ht="15" customHeight="1" x14ac:dyDescent="0.25">
      <c r="B8913" s="55" t="s">
        <v>280</v>
      </c>
      <c r="C8913" s="46">
        <v>3901</v>
      </c>
      <c r="D8913" s="69" t="s">
        <v>29417</v>
      </c>
      <c r="E8913" s="51"/>
      <c r="F8913" s="114" t="str">
        <f>IF(INDEX(I.Facility.P2aIDNumber,3901)="","",INDEX(I.Facility.P2aIDNumber,3901))</f>
        <v/>
      </c>
      <c r="G8913" s="51"/>
      <c r="H8913" s="46" t="str">
        <f>IF(AND(I.Developer.P2a=TRUE,I.Facility.P2aFacilityCount&gt;=3901,F8913=""),"Incomplete","Complete")</f>
        <v>Complete</v>
      </c>
      <c r="I8913" s="48" t="s">
        <v>13278</v>
      </c>
    </row>
    <row r="8914" spans="2:9" ht="15" customHeight="1" x14ac:dyDescent="0.25">
      <c r="B8914" s="55" t="s">
        <v>280</v>
      </c>
      <c r="C8914" s="46">
        <v>3902</v>
      </c>
      <c r="D8914" s="69" t="s">
        <v>29417</v>
      </c>
      <c r="E8914" s="51"/>
      <c r="F8914" s="114" t="str">
        <f>IF(INDEX(I.Facility.P2aIDNumber,3902)="","",INDEX(I.Facility.P2aIDNumber,3902))</f>
        <v/>
      </c>
      <c r="G8914" s="51"/>
      <c r="H8914" s="46" t="str">
        <f>IF(AND(I.Developer.P2a=TRUE,I.Facility.P2aFacilityCount&gt;=3902,F8914=""),"Incomplete","Complete")</f>
        <v>Complete</v>
      </c>
      <c r="I8914" s="48" t="s">
        <v>13279</v>
      </c>
    </row>
    <row r="8915" spans="2:9" ht="15" customHeight="1" x14ac:dyDescent="0.25">
      <c r="B8915" s="55" t="s">
        <v>280</v>
      </c>
      <c r="C8915" s="46">
        <v>3903</v>
      </c>
      <c r="D8915" s="69" t="s">
        <v>29417</v>
      </c>
      <c r="E8915" s="51"/>
      <c r="F8915" s="114" t="str">
        <f>IF(INDEX(I.Facility.P2aIDNumber,3903)="","",INDEX(I.Facility.P2aIDNumber,3903))</f>
        <v/>
      </c>
      <c r="G8915" s="51"/>
      <c r="H8915" s="46" t="str">
        <f>IF(AND(I.Developer.P2a=TRUE,I.Facility.P2aFacilityCount&gt;=3903,F8915=""),"Incomplete","Complete")</f>
        <v>Complete</v>
      </c>
      <c r="I8915" s="48" t="s">
        <v>13280</v>
      </c>
    </row>
    <row r="8916" spans="2:9" ht="15" customHeight="1" x14ac:dyDescent="0.25">
      <c r="B8916" s="55" t="s">
        <v>280</v>
      </c>
      <c r="C8916" s="46">
        <v>3904</v>
      </c>
      <c r="D8916" s="69" t="s">
        <v>29417</v>
      </c>
      <c r="E8916" s="51"/>
      <c r="F8916" s="114" t="str">
        <f>IF(INDEX(I.Facility.P2aIDNumber,3904)="","",INDEX(I.Facility.P2aIDNumber,3904))</f>
        <v/>
      </c>
      <c r="G8916" s="51"/>
      <c r="H8916" s="46" t="str">
        <f>IF(AND(I.Developer.P2a=TRUE,I.Facility.P2aFacilityCount&gt;=3904,F8916=""),"Incomplete","Complete")</f>
        <v>Complete</v>
      </c>
      <c r="I8916" s="48" t="s">
        <v>13281</v>
      </c>
    </row>
    <row r="8917" spans="2:9" ht="15" customHeight="1" x14ac:dyDescent="0.25">
      <c r="B8917" s="55" t="s">
        <v>280</v>
      </c>
      <c r="C8917" s="46">
        <v>3905</v>
      </c>
      <c r="D8917" s="69" t="s">
        <v>29417</v>
      </c>
      <c r="E8917" s="51"/>
      <c r="F8917" s="114" t="str">
        <f>IF(INDEX(I.Facility.P2aIDNumber,3905)="","",INDEX(I.Facility.P2aIDNumber,3905))</f>
        <v/>
      </c>
      <c r="G8917" s="51"/>
      <c r="H8917" s="46" t="str">
        <f>IF(AND(I.Developer.P2a=TRUE,I.Facility.P2aFacilityCount&gt;=3905,F8917=""),"Incomplete","Complete")</f>
        <v>Complete</v>
      </c>
      <c r="I8917" s="48" t="s">
        <v>13282</v>
      </c>
    </row>
    <row r="8918" spans="2:9" ht="15" customHeight="1" x14ac:dyDescent="0.25">
      <c r="B8918" s="55" t="s">
        <v>280</v>
      </c>
      <c r="C8918" s="46">
        <v>3906</v>
      </c>
      <c r="D8918" s="69" t="s">
        <v>29417</v>
      </c>
      <c r="E8918" s="51"/>
      <c r="F8918" s="114" t="str">
        <f>IF(INDEX(I.Facility.P2aIDNumber,3906)="","",INDEX(I.Facility.P2aIDNumber,3906))</f>
        <v/>
      </c>
      <c r="G8918" s="51"/>
      <c r="H8918" s="46" t="str">
        <f>IF(AND(I.Developer.P2a=TRUE,I.Facility.P2aFacilityCount&gt;=3906,F8918=""),"Incomplete","Complete")</f>
        <v>Complete</v>
      </c>
      <c r="I8918" s="48" t="s">
        <v>13283</v>
      </c>
    </row>
    <row r="8919" spans="2:9" ht="15" customHeight="1" x14ac:dyDescent="0.25">
      <c r="B8919" s="55" t="s">
        <v>280</v>
      </c>
      <c r="C8919" s="46">
        <v>3907</v>
      </c>
      <c r="D8919" s="69" t="s">
        <v>29417</v>
      </c>
      <c r="E8919" s="51"/>
      <c r="F8919" s="114" t="str">
        <f>IF(INDEX(I.Facility.P2aIDNumber,3907)="","",INDEX(I.Facility.P2aIDNumber,3907))</f>
        <v/>
      </c>
      <c r="G8919" s="51"/>
      <c r="H8919" s="46" t="str">
        <f>IF(AND(I.Developer.P2a=TRUE,I.Facility.P2aFacilityCount&gt;=3907,F8919=""),"Incomplete","Complete")</f>
        <v>Complete</v>
      </c>
      <c r="I8919" s="48" t="s">
        <v>13284</v>
      </c>
    </row>
    <row r="8920" spans="2:9" ht="15" customHeight="1" x14ac:dyDescent="0.25">
      <c r="B8920" s="55" t="s">
        <v>280</v>
      </c>
      <c r="C8920" s="46">
        <v>3908</v>
      </c>
      <c r="D8920" s="69" t="s">
        <v>29417</v>
      </c>
      <c r="E8920" s="51"/>
      <c r="F8920" s="114" t="str">
        <f>IF(INDEX(I.Facility.P2aIDNumber,3908)="","",INDEX(I.Facility.P2aIDNumber,3908))</f>
        <v/>
      </c>
      <c r="G8920" s="51"/>
      <c r="H8920" s="46" t="str">
        <f>IF(AND(I.Developer.P2a=TRUE,I.Facility.P2aFacilityCount&gt;=3908,F8920=""),"Incomplete","Complete")</f>
        <v>Complete</v>
      </c>
      <c r="I8920" s="48" t="s">
        <v>13285</v>
      </c>
    </row>
    <row r="8921" spans="2:9" ht="15" customHeight="1" x14ac:dyDescent="0.25">
      <c r="B8921" s="55" t="s">
        <v>280</v>
      </c>
      <c r="C8921" s="46">
        <v>3909</v>
      </c>
      <c r="D8921" s="69" t="s">
        <v>29417</v>
      </c>
      <c r="E8921" s="51"/>
      <c r="F8921" s="114" t="str">
        <f>IF(INDEX(I.Facility.P2aIDNumber,3909)="","",INDEX(I.Facility.P2aIDNumber,3909))</f>
        <v/>
      </c>
      <c r="G8921" s="51"/>
      <c r="H8921" s="46" t="str">
        <f>IF(AND(I.Developer.P2a=TRUE,I.Facility.P2aFacilityCount&gt;=3909,F8921=""),"Incomplete","Complete")</f>
        <v>Complete</v>
      </c>
      <c r="I8921" s="48" t="s">
        <v>13286</v>
      </c>
    </row>
    <row r="8922" spans="2:9" ht="15" customHeight="1" x14ac:dyDescent="0.25">
      <c r="B8922" s="55" t="s">
        <v>280</v>
      </c>
      <c r="C8922" s="46">
        <v>3910</v>
      </c>
      <c r="D8922" s="69" t="s">
        <v>29417</v>
      </c>
      <c r="E8922" s="51"/>
      <c r="F8922" s="114" t="str">
        <f>IF(INDEX(I.Facility.P2aIDNumber,3910)="","",INDEX(I.Facility.P2aIDNumber,3910))</f>
        <v/>
      </c>
      <c r="G8922" s="51"/>
      <c r="H8922" s="46" t="str">
        <f>IF(AND(I.Developer.P2a=TRUE,I.Facility.P2aFacilityCount&gt;=3910,F8922=""),"Incomplete","Complete")</f>
        <v>Complete</v>
      </c>
      <c r="I8922" s="48" t="s">
        <v>13287</v>
      </c>
    </row>
    <row r="8923" spans="2:9" ht="15" customHeight="1" x14ac:dyDescent="0.25">
      <c r="B8923" s="55" t="s">
        <v>280</v>
      </c>
      <c r="C8923" s="46">
        <v>3911</v>
      </c>
      <c r="D8923" s="69" t="s">
        <v>29417</v>
      </c>
      <c r="E8923" s="51"/>
      <c r="F8923" s="114" t="str">
        <f>IF(INDEX(I.Facility.P2aIDNumber,3911)="","",INDEX(I.Facility.P2aIDNumber,3911))</f>
        <v/>
      </c>
      <c r="G8923" s="51"/>
      <c r="H8923" s="46" t="str">
        <f>IF(AND(I.Developer.P2a=TRUE,I.Facility.P2aFacilityCount&gt;=3911,F8923=""),"Incomplete","Complete")</f>
        <v>Complete</v>
      </c>
      <c r="I8923" s="48" t="s">
        <v>13288</v>
      </c>
    </row>
    <row r="8924" spans="2:9" ht="15" customHeight="1" x14ac:dyDescent="0.25">
      <c r="B8924" s="55" t="s">
        <v>280</v>
      </c>
      <c r="C8924" s="46">
        <v>3912</v>
      </c>
      <c r="D8924" s="69" t="s">
        <v>29417</v>
      </c>
      <c r="E8924" s="51"/>
      <c r="F8924" s="114" t="str">
        <f>IF(INDEX(I.Facility.P2aIDNumber,3912)="","",INDEX(I.Facility.P2aIDNumber,3912))</f>
        <v/>
      </c>
      <c r="G8924" s="51"/>
      <c r="H8924" s="46" t="str">
        <f>IF(AND(I.Developer.P2a=TRUE,I.Facility.P2aFacilityCount&gt;=3912,F8924=""),"Incomplete","Complete")</f>
        <v>Complete</v>
      </c>
      <c r="I8924" s="48" t="s">
        <v>13289</v>
      </c>
    </row>
    <row r="8925" spans="2:9" ht="15" customHeight="1" x14ac:dyDescent="0.25">
      <c r="B8925" s="55" t="s">
        <v>280</v>
      </c>
      <c r="C8925" s="46">
        <v>3913</v>
      </c>
      <c r="D8925" s="69" t="s">
        <v>29417</v>
      </c>
      <c r="E8925" s="51"/>
      <c r="F8925" s="114" t="str">
        <f>IF(INDEX(I.Facility.P2aIDNumber,3913)="","",INDEX(I.Facility.P2aIDNumber,3913))</f>
        <v/>
      </c>
      <c r="G8925" s="51"/>
      <c r="H8925" s="46" t="str">
        <f>IF(AND(I.Developer.P2a=TRUE,I.Facility.P2aFacilityCount&gt;=3913,F8925=""),"Incomplete","Complete")</f>
        <v>Complete</v>
      </c>
      <c r="I8925" s="48" t="s">
        <v>13290</v>
      </c>
    </row>
    <row r="8926" spans="2:9" ht="15" customHeight="1" x14ac:dyDescent="0.25">
      <c r="B8926" s="55" t="s">
        <v>280</v>
      </c>
      <c r="C8926" s="46">
        <v>3914</v>
      </c>
      <c r="D8926" s="69" t="s">
        <v>29417</v>
      </c>
      <c r="E8926" s="51"/>
      <c r="F8926" s="114" t="str">
        <f>IF(INDEX(I.Facility.P2aIDNumber,3914)="","",INDEX(I.Facility.P2aIDNumber,3914))</f>
        <v/>
      </c>
      <c r="G8926" s="51"/>
      <c r="H8926" s="46" t="str">
        <f>IF(AND(I.Developer.P2a=TRUE,I.Facility.P2aFacilityCount&gt;=3914,F8926=""),"Incomplete","Complete")</f>
        <v>Complete</v>
      </c>
      <c r="I8926" s="48" t="s">
        <v>13291</v>
      </c>
    </row>
    <row r="8927" spans="2:9" ht="15" customHeight="1" x14ac:dyDescent="0.25">
      <c r="B8927" s="55" t="s">
        <v>280</v>
      </c>
      <c r="C8927" s="46">
        <v>3915</v>
      </c>
      <c r="D8927" s="69" t="s">
        <v>29417</v>
      </c>
      <c r="E8927" s="51"/>
      <c r="F8927" s="114" t="str">
        <f>IF(INDEX(I.Facility.P2aIDNumber,3915)="","",INDEX(I.Facility.P2aIDNumber,3915))</f>
        <v/>
      </c>
      <c r="G8927" s="51"/>
      <c r="H8927" s="46" t="str">
        <f>IF(AND(I.Developer.P2a=TRUE,I.Facility.P2aFacilityCount&gt;=3915,F8927=""),"Incomplete","Complete")</f>
        <v>Complete</v>
      </c>
      <c r="I8927" s="48" t="s">
        <v>13292</v>
      </c>
    </row>
    <row r="8928" spans="2:9" ht="15" customHeight="1" x14ac:dyDescent="0.25">
      <c r="B8928" s="55" t="s">
        <v>280</v>
      </c>
      <c r="C8928" s="46">
        <v>3916</v>
      </c>
      <c r="D8928" s="69" t="s">
        <v>29417</v>
      </c>
      <c r="E8928" s="51"/>
      <c r="F8928" s="114" t="str">
        <f>IF(INDEX(I.Facility.P2aIDNumber,3916)="","",INDEX(I.Facility.P2aIDNumber,3916))</f>
        <v/>
      </c>
      <c r="G8928" s="51"/>
      <c r="H8928" s="46" t="str">
        <f>IF(AND(I.Developer.P2a=TRUE,I.Facility.P2aFacilityCount&gt;=3916,F8928=""),"Incomplete","Complete")</f>
        <v>Complete</v>
      </c>
      <c r="I8928" s="48" t="s">
        <v>13293</v>
      </c>
    </row>
    <row r="8929" spans="2:9" ht="15" customHeight="1" x14ac:dyDescent="0.25">
      <c r="B8929" s="55" t="s">
        <v>280</v>
      </c>
      <c r="C8929" s="46">
        <v>3917</v>
      </c>
      <c r="D8929" s="69" t="s">
        <v>29417</v>
      </c>
      <c r="E8929" s="51"/>
      <c r="F8929" s="114" t="str">
        <f>IF(INDEX(I.Facility.P2aIDNumber,3917)="","",INDEX(I.Facility.P2aIDNumber,3917))</f>
        <v/>
      </c>
      <c r="G8929" s="51"/>
      <c r="H8929" s="46" t="str">
        <f>IF(AND(I.Developer.P2a=TRUE,I.Facility.P2aFacilityCount&gt;=3917,F8929=""),"Incomplete","Complete")</f>
        <v>Complete</v>
      </c>
      <c r="I8929" s="48" t="s">
        <v>13294</v>
      </c>
    </row>
    <row r="8930" spans="2:9" ht="15" customHeight="1" x14ac:dyDescent="0.25">
      <c r="B8930" s="55" t="s">
        <v>280</v>
      </c>
      <c r="C8930" s="46">
        <v>3918</v>
      </c>
      <c r="D8930" s="69" t="s">
        <v>29417</v>
      </c>
      <c r="E8930" s="51"/>
      <c r="F8930" s="114" t="str">
        <f>IF(INDEX(I.Facility.P2aIDNumber,3918)="","",INDEX(I.Facility.P2aIDNumber,3918))</f>
        <v/>
      </c>
      <c r="G8930" s="51"/>
      <c r="H8930" s="46" t="str">
        <f>IF(AND(I.Developer.P2a=TRUE,I.Facility.P2aFacilityCount&gt;=3918,F8930=""),"Incomplete","Complete")</f>
        <v>Complete</v>
      </c>
      <c r="I8930" s="48" t="s">
        <v>13295</v>
      </c>
    </row>
    <row r="8931" spans="2:9" ht="15" customHeight="1" x14ac:dyDescent="0.25">
      <c r="B8931" s="55" t="s">
        <v>280</v>
      </c>
      <c r="C8931" s="46">
        <v>3919</v>
      </c>
      <c r="D8931" s="69" t="s">
        <v>29417</v>
      </c>
      <c r="E8931" s="51"/>
      <c r="F8931" s="114" t="str">
        <f>IF(INDEX(I.Facility.P2aIDNumber,3919)="","",INDEX(I.Facility.P2aIDNumber,3919))</f>
        <v/>
      </c>
      <c r="G8931" s="51"/>
      <c r="H8931" s="46" t="str">
        <f>IF(AND(I.Developer.P2a=TRUE,I.Facility.P2aFacilityCount&gt;=3919,F8931=""),"Incomplete","Complete")</f>
        <v>Complete</v>
      </c>
      <c r="I8931" s="48" t="s">
        <v>13296</v>
      </c>
    </row>
    <row r="8932" spans="2:9" ht="15" customHeight="1" x14ac:dyDescent="0.25">
      <c r="B8932" s="55" t="s">
        <v>280</v>
      </c>
      <c r="C8932" s="46">
        <v>3920</v>
      </c>
      <c r="D8932" s="69" t="s">
        <v>29417</v>
      </c>
      <c r="E8932" s="51"/>
      <c r="F8932" s="114" t="str">
        <f>IF(INDEX(I.Facility.P2aIDNumber,3920)="","",INDEX(I.Facility.P2aIDNumber,3920))</f>
        <v/>
      </c>
      <c r="G8932" s="51"/>
      <c r="H8932" s="46" t="str">
        <f>IF(AND(I.Developer.P2a=TRUE,I.Facility.P2aFacilityCount&gt;=3920,F8932=""),"Incomplete","Complete")</f>
        <v>Complete</v>
      </c>
      <c r="I8932" s="48" t="s">
        <v>13297</v>
      </c>
    </row>
    <row r="8933" spans="2:9" ht="15" customHeight="1" x14ac:dyDescent="0.25">
      <c r="B8933" s="55" t="s">
        <v>280</v>
      </c>
      <c r="C8933" s="46">
        <v>3921</v>
      </c>
      <c r="D8933" s="69" t="s">
        <v>29417</v>
      </c>
      <c r="E8933" s="51"/>
      <c r="F8933" s="114" t="str">
        <f>IF(INDEX(I.Facility.P2aIDNumber,3921)="","",INDEX(I.Facility.P2aIDNumber,3921))</f>
        <v/>
      </c>
      <c r="G8933" s="51"/>
      <c r="H8933" s="46" t="str">
        <f>IF(AND(I.Developer.P2a=TRUE,I.Facility.P2aFacilityCount&gt;=3921,F8933=""),"Incomplete","Complete")</f>
        <v>Complete</v>
      </c>
      <c r="I8933" s="48" t="s">
        <v>13298</v>
      </c>
    </row>
    <row r="8934" spans="2:9" ht="15" customHeight="1" x14ac:dyDescent="0.25">
      <c r="B8934" s="55" t="s">
        <v>280</v>
      </c>
      <c r="C8934" s="46">
        <v>3922</v>
      </c>
      <c r="D8934" s="69" t="s">
        <v>29417</v>
      </c>
      <c r="E8934" s="51"/>
      <c r="F8934" s="114" t="str">
        <f>IF(INDEX(I.Facility.P2aIDNumber,3922)="","",INDEX(I.Facility.P2aIDNumber,3922))</f>
        <v/>
      </c>
      <c r="G8934" s="51"/>
      <c r="H8934" s="46" t="str">
        <f>IF(AND(I.Developer.P2a=TRUE,I.Facility.P2aFacilityCount&gt;=3922,F8934=""),"Incomplete","Complete")</f>
        <v>Complete</v>
      </c>
      <c r="I8934" s="48" t="s">
        <v>13299</v>
      </c>
    </row>
    <row r="8935" spans="2:9" ht="15" customHeight="1" x14ac:dyDescent="0.25">
      <c r="B8935" s="55" t="s">
        <v>280</v>
      </c>
      <c r="C8935" s="46">
        <v>3923</v>
      </c>
      <c r="D8935" s="69" t="s">
        <v>29417</v>
      </c>
      <c r="E8935" s="51"/>
      <c r="F8935" s="114" t="str">
        <f>IF(INDEX(I.Facility.P2aIDNumber,3923)="","",INDEX(I.Facility.P2aIDNumber,3923))</f>
        <v/>
      </c>
      <c r="G8935" s="51"/>
      <c r="H8935" s="46" t="str">
        <f>IF(AND(I.Developer.P2a=TRUE,I.Facility.P2aFacilityCount&gt;=3923,F8935=""),"Incomplete","Complete")</f>
        <v>Complete</v>
      </c>
      <c r="I8935" s="48" t="s">
        <v>13300</v>
      </c>
    </row>
    <row r="8936" spans="2:9" ht="15" customHeight="1" x14ac:dyDescent="0.25">
      <c r="B8936" s="55" t="s">
        <v>280</v>
      </c>
      <c r="C8936" s="46">
        <v>3924</v>
      </c>
      <c r="D8936" s="69" t="s">
        <v>29417</v>
      </c>
      <c r="E8936" s="51"/>
      <c r="F8936" s="114" t="str">
        <f>IF(INDEX(I.Facility.P2aIDNumber,3924)="","",INDEX(I.Facility.P2aIDNumber,3924))</f>
        <v/>
      </c>
      <c r="G8936" s="51"/>
      <c r="H8936" s="46" t="str">
        <f>IF(AND(I.Developer.P2a=TRUE,I.Facility.P2aFacilityCount&gt;=3924,F8936=""),"Incomplete","Complete")</f>
        <v>Complete</v>
      </c>
      <c r="I8936" s="48" t="s">
        <v>13301</v>
      </c>
    </row>
    <row r="8937" spans="2:9" ht="15" customHeight="1" x14ac:dyDescent="0.25">
      <c r="B8937" s="55" t="s">
        <v>280</v>
      </c>
      <c r="C8937" s="46">
        <v>3925</v>
      </c>
      <c r="D8937" s="69" t="s">
        <v>29417</v>
      </c>
      <c r="E8937" s="51"/>
      <c r="F8937" s="114" t="str">
        <f>IF(INDEX(I.Facility.P2aIDNumber,3925)="","",INDEX(I.Facility.P2aIDNumber,3925))</f>
        <v/>
      </c>
      <c r="G8937" s="51"/>
      <c r="H8937" s="46" t="str">
        <f>IF(AND(I.Developer.P2a=TRUE,I.Facility.P2aFacilityCount&gt;=3925,F8937=""),"Incomplete","Complete")</f>
        <v>Complete</v>
      </c>
      <c r="I8937" s="48" t="s">
        <v>13302</v>
      </c>
    </row>
    <row r="8938" spans="2:9" ht="15" customHeight="1" x14ac:dyDescent="0.25">
      <c r="B8938" s="55" t="s">
        <v>280</v>
      </c>
      <c r="C8938" s="46">
        <v>3926</v>
      </c>
      <c r="D8938" s="69" t="s">
        <v>29417</v>
      </c>
      <c r="E8938" s="51"/>
      <c r="F8938" s="114" t="str">
        <f>IF(INDEX(I.Facility.P2aIDNumber,3926)="","",INDEX(I.Facility.P2aIDNumber,3926))</f>
        <v/>
      </c>
      <c r="G8938" s="51"/>
      <c r="H8938" s="46" t="str">
        <f>IF(AND(I.Developer.P2a=TRUE,I.Facility.P2aFacilityCount&gt;=3926,F8938=""),"Incomplete","Complete")</f>
        <v>Complete</v>
      </c>
      <c r="I8938" s="48" t="s">
        <v>13303</v>
      </c>
    </row>
    <row r="8939" spans="2:9" ht="15" customHeight="1" x14ac:dyDescent="0.25">
      <c r="B8939" s="55" t="s">
        <v>280</v>
      </c>
      <c r="C8939" s="46">
        <v>3927</v>
      </c>
      <c r="D8939" s="69" t="s">
        <v>29417</v>
      </c>
      <c r="E8939" s="51"/>
      <c r="F8939" s="114" t="str">
        <f>IF(INDEX(I.Facility.P2aIDNumber,3927)="","",INDEX(I.Facility.P2aIDNumber,3927))</f>
        <v/>
      </c>
      <c r="G8939" s="51"/>
      <c r="H8939" s="46" t="str">
        <f>IF(AND(I.Developer.P2a=TRUE,I.Facility.P2aFacilityCount&gt;=3927,F8939=""),"Incomplete","Complete")</f>
        <v>Complete</v>
      </c>
      <c r="I8939" s="48" t="s">
        <v>13304</v>
      </c>
    </row>
    <row r="8940" spans="2:9" ht="15" customHeight="1" x14ac:dyDescent="0.25">
      <c r="B8940" s="55" t="s">
        <v>280</v>
      </c>
      <c r="C8940" s="46">
        <v>3928</v>
      </c>
      <c r="D8940" s="69" t="s">
        <v>29417</v>
      </c>
      <c r="E8940" s="51"/>
      <c r="F8940" s="114" t="str">
        <f>IF(INDEX(I.Facility.P2aIDNumber,3928)="","",INDEX(I.Facility.P2aIDNumber,3928))</f>
        <v/>
      </c>
      <c r="G8940" s="51"/>
      <c r="H8940" s="46" t="str">
        <f>IF(AND(I.Developer.P2a=TRUE,I.Facility.P2aFacilityCount&gt;=3928,F8940=""),"Incomplete","Complete")</f>
        <v>Complete</v>
      </c>
      <c r="I8940" s="48" t="s">
        <v>13305</v>
      </c>
    </row>
    <row r="8941" spans="2:9" ht="15" customHeight="1" x14ac:dyDescent="0.25">
      <c r="B8941" s="55" t="s">
        <v>280</v>
      </c>
      <c r="C8941" s="46">
        <v>3929</v>
      </c>
      <c r="D8941" s="69" t="s">
        <v>29417</v>
      </c>
      <c r="E8941" s="51"/>
      <c r="F8941" s="114" t="str">
        <f>IF(INDEX(I.Facility.P2aIDNumber,3929)="","",INDEX(I.Facility.P2aIDNumber,3929))</f>
        <v/>
      </c>
      <c r="G8941" s="51"/>
      <c r="H8941" s="46" t="str">
        <f>IF(AND(I.Developer.P2a=TRUE,I.Facility.P2aFacilityCount&gt;=3929,F8941=""),"Incomplete","Complete")</f>
        <v>Complete</v>
      </c>
      <c r="I8941" s="48" t="s">
        <v>13306</v>
      </c>
    </row>
    <row r="8942" spans="2:9" ht="15" customHeight="1" x14ac:dyDescent="0.25">
      <c r="B8942" s="55" t="s">
        <v>280</v>
      </c>
      <c r="C8942" s="46">
        <v>3930</v>
      </c>
      <c r="D8942" s="69" t="s">
        <v>29417</v>
      </c>
      <c r="E8942" s="51"/>
      <c r="F8942" s="114" t="str">
        <f>IF(INDEX(I.Facility.P2aIDNumber,3930)="","",INDEX(I.Facility.P2aIDNumber,3930))</f>
        <v/>
      </c>
      <c r="G8942" s="51"/>
      <c r="H8942" s="46" t="str">
        <f>IF(AND(I.Developer.P2a=TRUE,I.Facility.P2aFacilityCount&gt;=3930,F8942=""),"Incomplete","Complete")</f>
        <v>Complete</v>
      </c>
      <c r="I8942" s="48" t="s">
        <v>13307</v>
      </c>
    </row>
    <row r="8943" spans="2:9" ht="15" customHeight="1" x14ac:dyDescent="0.25">
      <c r="B8943" s="55" t="s">
        <v>280</v>
      </c>
      <c r="C8943" s="46">
        <v>3931</v>
      </c>
      <c r="D8943" s="69" t="s">
        <v>29417</v>
      </c>
      <c r="E8943" s="51"/>
      <c r="F8943" s="114" t="str">
        <f>IF(INDEX(I.Facility.P2aIDNumber,3931)="","",INDEX(I.Facility.P2aIDNumber,3931))</f>
        <v/>
      </c>
      <c r="G8943" s="51"/>
      <c r="H8943" s="46" t="str">
        <f>IF(AND(I.Developer.P2a=TRUE,I.Facility.P2aFacilityCount&gt;=3931,F8943=""),"Incomplete","Complete")</f>
        <v>Complete</v>
      </c>
      <c r="I8943" s="48" t="s">
        <v>13308</v>
      </c>
    </row>
    <row r="8944" spans="2:9" ht="15" customHeight="1" x14ac:dyDescent="0.25">
      <c r="B8944" s="55" t="s">
        <v>280</v>
      </c>
      <c r="C8944" s="46">
        <v>3932</v>
      </c>
      <c r="D8944" s="69" t="s">
        <v>29417</v>
      </c>
      <c r="E8944" s="51"/>
      <c r="F8944" s="114" t="str">
        <f>IF(INDEX(I.Facility.P2aIDNumber,3932)="","",INDEX(I.Facility.P2aIDNumber,3932))</f>
        <v/>
      </c>
      <c r="G8944" s="51"/>
      <c r="H8944" s="46" t="str">
        <f>IF(AND(I.Developer.P2a=TRUE,I.Facility.P2aFacilityCount&gt;=3932,F8944=""),"Incomplete","Complete")</f>
        <v>Complete</v>
      </c>
      <c r="I8944" s="48" t="s">
        <v>13309</v>
      </c>
    </row>
    <row r="8945" spans="2:9" ht="15" customHeight="1" x14ac:dyDescent="0.25">
      <c r="B8945" s="55" t="s">
        <v>280</v>
      </c>
      <c r="C8945" s="46">
        <v>3933</v>
      </c>
      <c r="D8945" s="69" t="s">
        <v>29417</v>
      </c>
      <c r="E8945" s="51"/>
      <c r="F8945" s="114" t="str">
        <f>IF(INDEX(I.Facility.P2aIDNumber,3933)="","",INDEX(I.Facility.P2aIDNumber,3933))</f>
        <v/>
      </c>
      <c r="G8945" s="51"/>
      <c r="H8945" s="46" t="str">
        <f>IF(AND(I.Developer.P2a=TRUE,I.Facility.P2aFacilityCount&gt;=3933,F8945=""),"Incomplete","Complete")</f>
        <v>Complete</v>
      </c>
      <c r="I8945" s="48" t="s">
        <v>13310</v>
      </c>
    </row>
    <row r="8946" spans="2:9" ht="15" customHeight="1" x14ac:dyDescent="0.25">
      <c r="B8946" s="55" t="s">
        <v>280</v>
      </c>
      <c r="C8946" s="46">
        <v>3934</v>
      </c>
      <c r="D8946" s="69" t="s">
        <v>29417</v>
      </c>
      <c r="E8946" s="51"/>
      <c r="F8946" s="114" t="str">
        <f>IF(INDEX(I.Facility.P2aIDNumber,3934)="","",INDEX(I.Facility.P2aIDNumber,3934))</f>
        <v/>
      </c>
      <c r="G8946" s="51"/>
      <c r="H8946" s="46" t="str">
        <f>IF(AND(I.Developer.P2a=TRUE,I.Facility.P2aFacilityCount&gt;=3934,F8946=""),"Incomplete","Complete")</f>
        <v>Complete</v>
      </c>
      <c r="I8946" s="48" t="s">
        <v>13311</v>
      </c>
    </row>
    <row r="8947" spans="2:9" ht="15" customHeight="1" x14ac:dyDescent="0.25">
      <c r="B8947" s="55" t="s">
        <v>280</v>
      </c>
      <c r="C8947" s="46">
        <v>3935</v>
      </c>
      <c r="D8947" s="69" t="s">
        <v>29417</v>
      </c>
      <c r="E8947" s="51"/>
      <c r="F8947" s="114" t="str">
        <f>IF(INDEX(I.Facility.P2aIDNumber,3935)="","",INDEX(I.Facility.P2aIDNumber,3935))</f>
        <v/>
      </c>
      <c r="G8947" s="51"/>
      <c r="H8947" s="46" t="str">
        <f>IF(AND(I.Developer.P2a=TRUE,I.Facility.P2aFacilityCount&gt;=3935,F8947=""),"Incomplete","Complete")</f>
        <v>Complete</v>
      </c>
      <c r="I8947" s="48" t="s">
        <v>13312</v>
      </c>
    </row>
    <row r="8948" spans="2:9" ht="15" customHeight="1" x14ac:dyDescent="0.25">
      <c r="B8948" s="55" t="s">
        <v>280</v>
      </c>
      <c r="C8948" s="46">
        <v>3936</v>
      </c>
      <c r="D8948" s="69" t="s">
        <v>29417</v>
      </c>
      <c r="E8948" s="51"/>
      <c r="F8948" s="114" t="str">
        <f>IF(INDEX(I.Facility.P2aIDNumber,3936)="","",INDEX(I.Facility.P2aIDNumber,3936))</f>
        <v/>
      </c>
      <c r="G8948" s="51"/>
      <c r="H8948" s="46" t="str">
        <f>IF(AND(I.Developer.P2a=TRUE,I.Facility.P2aFacilityCount&gt;=3936,F8948=""),"Incomplete","Complete")</f>
        <v>Complete</v>
      </c>
      <c r="I8948" s="48" t="s">
        <v>13313</v>
      </c>
    </row>
    <row r="8949" spans="2:9" ht="15" customHeight="1" x14ac:dyDescent="0.25">
      <c r="B8949" s="55" t="s">
        <v>280</v>
      </c>
      <c r="C8949" s="46">
        <v>3937</v>
      </c>
      <c r="D8949" s="69" t="s">
        <v>29417</v>
      </c>
      <c r="E8949" s="51"/>
      <c r="F8949" s="114" t="str">
        <f>IF(INDEX(I.Facility.P2aIDNumber,3937)="","",INDEX(I.Facility.P2aIDNumber,3937))</f>
        <v/>
      </c>
      <c r="G8949" s="51"/>
      <c r="H8949" s="46" t="str">
        <f>IF(AND(I.Developer.P2a=TRUE,I.Facility.P2aFacilityCount&gt;=3937,F8949=""),"Incomplete","Complete")</f>
        <v>Complete</v>
      </c>
      <c r="I8949" s="48" t="s">
        <v>13314</v>
      </c>
    </row>
    <row r="8950" spans="2:9" ht="15" customHeight="1" x14ac:dyDescent="0.25">
      <c r="B8950" s="55" t="s">
        <v>280</v>
      </c>
      <c r="C8950" s="46">
        <v>3938</v>
      </c>
      <c r="D8950" s="69" t="s">
        <v>29417</v>
      </c>
      <c r="E8950" s="51"/>
      <c r="F8950" s="114" t="str">
        <f>IF(INDEX(I.Facility.P2aIDNumber,3938)="","",INDEX(I.Facility.P2aIDNumber,3938))</f>
        <v/>
      </c>
      <c r="G8950" s="51"/>
      <c r="H8950" s="46" t="str">
        <f>IF(AND(I.Developer.P2a=TRUE,I.Facility.P2aFacilityCount&gt;=3938,F8950=""),"Incomplete","Complete")</f>
        <v>Complete</v>
      </c>
      <c r="I8950" s="48" t="s">
        <v>13315</v>
      </c>
    </row>
    <row r="8951" spans="2:9" ht="15" customHeight="1" x14ac:dyDescent="0.25">
      <c r="B8951" s="55" t="s">
        <v>280</v>
      </c>
      <c r="C8951" s="46">
        <v>3939</v>
      </c>
      <c r="D8951" s="69" t="s">
        <v>29417</v>
      </c>
      <c r="E8951" s="51"/>
      <c r="F8951" s="114" t="str">
        <f>IF(INDEX(I.Facility.P2aIDNumber,3939)="","",INDEX(I.Facility.P2aIDNumber,3939))</f>
        <v/>
      </c>
      <c r="G8951" s="51"/>
      <c r="H8951" s="46" t="str">
        <f>IF(AND(I.Developer.P2a=TRUE,I.Facility.P2aFacilityCount&gt;=3939,F8951=""),"Incomplete","Complete")</f>
        <v>Complete</v>
      </c>
      <c r="I8951" s="48" t="s">
        <v>13316</v>
      </c>
    </row>
    <row r="8952" spans="2:9" ht="15" customHeight="1" x14ac:dyDescent="0.25">
      <c r="B8952" s="55" t="s">
        <v>280</v>
      </c>
      <c r="C8952" s="46">
        <v>3940</v>
      </c>
      <c r="D8952" s="69" t="s">
        <v>29417</v>
      </c>
      <c r="E8952" s="51"/>
      <c r="F8952" s="114" t="str">
        <f>IF(INDEX(I.Facility.P2aIDNumber,3940)="","",INDEX(I.Facility.P2aIDNumber,3940))</f>
        <v/>
      </c>
      <c r="G8952" s="51"/>
      <c r="H8952" s="46" t="str">
        <f>IF(AND(I.Developer.P2a=TRUE,I.Facility.P2aFacilityCount&gt;=3940,F8952=""),"Incomplete","Complete")</f>
        <v>Complete</v>
      </c>
      <c r="I8952" s="48" t="s">
        <v>13317</v>
      </c>
    </row>
    <row r="8953" spans="2:9" ht="15" customHeight="1" x14ac:dyDescent="0.25">
      <c r="B8953" s="55" t="s">
        <v>280</v>
      </c>
      <c r="C8953" s="46">
        <v>3941</v>
      </c>
      <c r="D8953" s="69" t="s">
        <v>29417</v>
      </c>
      <c r="E8953" s="51"/>
      <c r="F8953" s="114" t="str">
        <f>IF(INDEX(I.Facility.P2aIDNumber,3941)="","",INDEX(I.Facility.P2aIDNumber,3941))</f>
        <v/>
      </c>
      <c r="G8953" s="51"/>
      <c r="H8953" s="46" t="str">
        <f>IF(AND(I.Developer.P2a=TRUE,I.Facility.P2aFacilityCount&gt;=3941,F8953=""),"Incomplete","Complete")</f>
        <v>Complete</v>
      </c>
      <c r="I8953" s="48" t="s">
        <v>13318</v>
      </c>
    </row>
    <row r="8954" spans="2:9" ht="15" customHeight="1" x14ac:dyDescent="0.25">
      <c r="B8954" s="55" t="s">
        <v>280</v>
      </c>
      <c r="C8954" s="46">
        <v>3942</v>
      </c>
      <c r="D8954" s="69" t="s">
        <v>29417</v>
      </c>
      <c r="E8954" s="51"/>
      <c r="F8954" s="114" t="str">
        <f>IF(INDEX(I.Facility.P2aIDNumber,3942)="","",INDEX(I.Facility.P2aIDNumber,3942))</f>
        <v/>
      </c>
      <c r="G8954" s="51"/>
      <c r="H8954" s="46" t="str">
        <f>IF(AND(I.Developer.P2a=TRUE,I.Facility.P2aFacilityCount&gt;=3942,F8954=""),"Incomplete","Complete")</f>
        <v>Complete</v>
      </c>
      <c r="I8954" s="48" t="s">
        <v>13319</v>
      </c>
    </row>
    <row r="8955" spans="2:9" ht="15" customHeight="1" x14ac:dyDescent="0.25">
      <c r="B8955" s="55" t="s">
        <v>280</v>
      </c>
      <c r="C8955" s="46">
        <v>3943</v>
      </c>
      <c r="D8955" s="69" t="s">
        <v>29417</v>
      </c>
      <c r="E8955" s="51"/>
      <c r="F8955" s="114" t="str">
        <f>IF(INDEX(I.Facility.P2aIDNumber,3943)="","",INDEX(I.Facility.P2aIDNumber,3943))</f>
        <v/>
      </c>
      <c r="G8955" s="51"/>
      <c r="H8955" s="46" t="str">
        <f>IF(AND(I.Developer.P2a=TRUE,I.Facility.P2aFacilityCount&gt;=3943,F8955=""),"Incomplete","Complete")</f>
        <v>Complete</v>
      </c>
      <c r="I8955" s="48" t="s">
        <v>13320</v>
      </c>
    </row>
    <row r="8956" spans="2:9" ht="15" customHeight="1" x14ac:dyDescent="0.25">
      <c r="B8956" s="55" t="s">
        <v>280</v>
      </c>
      <c r="C8956" s="46">
        <v>3944</v>
      </c>
      <c r="D8956" s="69" t="s">
        <v>29417</v>
      </c>
      <c r="E8956" s="51"/>
      <c r="F8956" s="114" t="str">
        <f>IF(INDEX(I.Facility.P2aIDNumber,3944)="","",INDEX(I.Facility.P2aIDNumber,3944))</f>
        <v/>
      </c>
      <c r="G8956" s="51"/>
      <c r="H8956" s="46" t="str">
        <f>IF(AND(I.Developer.P2a=TRUE,I.Facility.P2aFacilityCount&gt;=3944,F8956=""),"Incomplete","Complete")</f>
        <v>Complete</v>
      </c>
      <c r="I8956" s="48" t="s">
        <v>13321</v>
      </c>
    </row>
    <row r="8957" spans="2:9" ht="15" customHeight="1" x14ac:dyDescent="0.25">
      <c r="B8957" s="55" t="s">
        <v>280</v>
      </c>
      <c r="C8957" s="46">
        <v>3945</v>
      </c>
      <c r="D8957" s="69" t="s">
        <v>29417</v>
      </c>
      <c r="E8957" s="51"/>
      <c r="F8957" s="114" t="str">
        <f>IF(INDEX(I.Facility.P2aIDNumber,3945)="","",INDEX(I.Facility.P2aIDNumber,3945))</f>
        <v/>
      </c>
      <c r="G8957" s="51"/>
      <c r="H8957" s="46" t="str">
        <f>IF(AND(I.Developer.P2a=TRUE,I.Facility.P2aFacilityCount&gt;=3945,F8957=""),"Incomplete","Complete")</f>
        <v>Complete</v>
      </c>
      <c r="I8957" s="48" t="s">
        <v>13322</v>
      </c>
    </row>
    <row r="8958" spans="2:9" ht="15" customHeight="1" x14ac:dyDescent="0.25">
      <c r="B8958" s="55" t="s">
        <v>280</v>
      </c>
      <c r="C8958" s="46">
        <v>3946</v>
      </c>
      <c r="D8958" s="69" t="s">
        <v>29417</v>
      </c>
      <c r="E8958" s="51"/>
      <c r="F8958" s="114" t="str">
        <f>IF(INDEX(I.Facility.P2aIDNumber,3946)="","",INDEX(I.Facility.P2aIDNumber,3946))</f>
        <v/>
      </c>
      <c r="G8958" s="51"/>
      <c r="H8958" s="46" t="str">
        <f>IF(AND(I.Developer.P2a=TRUE,I.Facility.P2aFacilityCount&gt;=3946,F8958=""),"Incomplete","Complete")</f>
        <v>Complete</v>
      </c>
      <c r="I8958" s="48" t="s">
        <v>13323</v>
      </c>
    </row>
    <row r="8959" spans="2:9" ht="15" customHeight="1" x14ac:dyDescent="0.25">
      <c r="B8959" s="55" t="s">
        <v>280</v>
      </c>
      <c r="C8959" s="46">
        <v>3947</v>
      </c>
      <c r="D8959" s="69" t="s">
        <v>29417</v>
      </c>
      <c r="E8959" s="51"/>
      <c r="F8959" s="114" t="str">
        <f>IF(INDEX(I.Facility.P2aIDNumber,3947)="","",INDEX(I.Facility.P2aIDNumber,3947))</f>
        <v/>
      </c>
      <c r="G8959" s="51"/>
      <c r="H8959" s="46" t="str">
        <f>IF(AND(I.Developer.P2a=TRUE,I.Facility.P2aFacilityCount&gt;=3947,F8959=""),"Incomplete","Complete")</f>
        <v>Complete</v>
      </c>
      <c r="I8959" s="48" t="s">
        <v>13324</v>
      </c>
    </row>
    <row r="8960" spans="2:9" ht="15" customHeight="1" x14ac:dyDescent="0.25">
      <c r="B8960" s="55" t="s">
        <v>280</v>
      </c>
      <c r="C8960" s="46">
        <v>3948</v>
      </c>
      <c r="D8960" s="69" t="s">
        <v>29417</v>
      </c>
      <c r="E8960" s="51"/>
      <c r="F8960" s="114" t="str">
        <f>IF(INDEX(I.Facility.P2aIDNumber,3948)="","",INDEX(I.Facility.P2aIDNumber,3948))</f>
        <v/>
      </c>
      <c r="G8960" s="51"/>
      <c r="H8960" s="46" t="str">
        <f>IF(AND(I.Developer.P2a=TRUE,I.Facility.P2aFacilityCount&gt;=3948,F8960=""),"Incomplete","Complete")</f>
        <v>Complete</v>
      </c>
      <c r="I8960" s="48" t="s">
        <v>13325</v>
      </c>
    </row>
    <row r="8961" spans="2:9" ht="15" customHeight="1" x14ac:dyDescent="0.25">
      <c r="B8961" s="55" t="s">
        <v>280</v>
      </c>
      <c r="C8961" s="46">
        <v>3949</v>
      </c>
      <c r="D8961" s="69" t="s">
        <v>29417</v>
      </c>
      <c r="E8961" s="51"/>
      <c r="F8961" s="114" t="str">
        <f>IF(INDEX(I.Facility.P2aIDNumber,3949)="","",INDEX(I.Facility.P2aIDNumber,3949))</f>
        <v/>
      </c>
      <c r="G8961" s="51"/>
      <c r="H8961" s="46" t="str">
        <f>IF(AND(I.Developer.P2a=TRUE,I.Facility.P2aFacilityCount&gt;=3949,F8961=""),"Incomplete","Complete")</f>
        <v>Complete</v>
      </c>
      <c r="I8961" s="48" t="s">
        <v>13326</v>
      </c>
    </row>
    <row r="8962" spans="2:9" ht="15" customHeight="1" x14ac:dyDescent="0.25">
      <c r="B8962" s="55" t="s">
        <v>280</v>
      </c>
      <c r="C8962" s="46">
        <v>3950</v>
      </c>
      <c r="D8962" s="69" t="s">
        <v>29417</v>
      </c>
      <c r="E8962" s="51"/>
      <c r="F8962" s="114" t="str">
        <f>IF(INDEX(I.Facility.P2aIDNumber,3950)="","",INDEX(I.Facility.P2aIDNumber,3950))</f>
        <v/>
      </c>
      <c r="G8962" s="51"/>
      <c r="H8962" s="46" t="str">
        <f>IF(AND(I.Developer.P2a=TRUE,I.Facility.P2aFacilityCount&gt;=3950,F8962=""),"Incomplete","Complete")</f>
        <v>Complete</v>
      </c>
      <c r="I8962" s="48" t="s">
        <v>13327</v>
      </c>
    </row>
    <row r="8963" spans="2:9" ht="15" customHeight="1" x14ac:dyDescent="0.25">
      <c r="B8963" s="55" t="s">
        <v>280</v>
      </c>
      <c r="C8963" s="46">
        <v>3951</v>
      </c>
      <c r="D8963" s="69" t="s">
        <v>29417</v>
      </c>
      <c r="E8963" s="51"/>
      <c r="F8963" s="114" t="str">
        <f>IF(INDEX(I.Facility.P2aIDNumber,3951)="","",INDEX(I.Facility.P2aIDNumber,3951))</f>
        <v/>
      </c>
      <c r="G8963" s="51"/>
      <c r="H8963" s="46" t="str">
        <f>IF(AND(I.Developer.P2a=TRUE,I.Facility.P2aFacilityCount&gt;=3951,F8963=""),"Incomplete","Complete")</f>
        <v>Complete</v>
      </c>
      <c r="I8963" s="48" t="s">
        <v>13328</v>
      </c>
    </row>
    <row r="8964" spans="2:9" ht="15" customHeight="1" x14ac:dyDescent="0.25">
      <c r="B8964" s="55" t="s">
        <v>280</v>
      </c>
      <c r="C8964" s="46">
        <v>3952</v>
      </c>
      <c r="D8964" s="69" t="s">
        <v>29417</v>
      </c>
      <c r="E8964" s="51"/>
      <c r="F8964" s="114" t="str">
        <f>IF(INDEX(I.Facility.P2aIDNumber,3952)="","",INDEX(I.Facility.P2aIDNumber,3952))</f>
        <v/>
      </c>
      <c r="G8964" s="51"/>
      <c r="H8964" s="46" t="str">
        <f>IF(AND(I.Developer.P2a=TRUE,I.Facility.P2aFacilityCount&gt;=3952,F8964=""),"Incomplete","Complete")</f>
        <v>Complete</v>
      </c>
      <c r="I8964" s="48" t="s">
        <v>13329</v>
      </c>
    </row>
    <row r="8965" spans="2:9" ht="15" customHeight="1" x14ac:dyDescent="0.25">
      <c r="B8965" s="55" t="s">
        <v>280</v>
      </c>
      <c r="C8965" s="46">
        <v>3953</v>
      </c>
      <c r="D8965" s="69" t="s">
        <v>29417</v>
      </c>
      <c r="E8965" s="51"/>
      <c r="F8965" s="114" t="str">
        <f>IF(INDEX(I.Facility.P2aIDNumber,3953)="","",INDEX(I.Facility.P2aIDNumber,3953))</f>
        <v/>
      </c>
      <c r="G8965" s="51"/>
      <c r="H8965" s="46" t="str">
        <f>IF(AND(I.Developer.P2a=TRUE,I.Facility.P2aFacilityCount&gt;=3953,F8965=""),"Incomplete","Complete")</f>
        <v>Complete</v>
      </c>
      <c r="I8965" s="48" t="s">
        <v>13330</v>
      </c>
    </row>
    <row r="8966" spans="2:9" ht="15" customHeight="1" x14ac:dyDescent="0.25">
      <c r="B8966" s="55" t="s">
        <v>280</v>
      </c>
      <c r="C8966" s="46">
        <v>3954</v>
      </c>
      <c r="D8966" s="69" t="s">
        <v>29417</v>
      </c>
      <c r="E8966" s="51"/>
      <c r="F8966" s="114" t="str">
        <f>IF(INDEX(I.Facility.P2aIDNumber,3954)="","",INDEX(I.Facility.P2aIDNumber,3954))</f>
        <v/>
      </c>
      <c r="G8966" s="51"/>
      <c r="H8966" s="46" t="str">
        <f>IF(AND(I.Developer.P2a=TRUE,I.Facility.P2aFacilityCount&gt;=3954,F8966=""),"Incomplete","Complete")</f>
        <v>Complete</v>
      </c>
      <c r="I8966" s="48" t="s">
        <v>13331</v>
      </c>
    </row>
    <row r="8967" spans="2:9" ht="15" customHeight="1" x14ac:dyDescent="0.25">
      <c r="B8967" s="55" t="s">
        <v>280</v>
      </c>
      <c r="C8967" s="46">
        <v>3955</v>
      </c>
      <c r="D8967" s="69" t="s">
        <v>29417</v>
      </c>
      <c r="E8967" s="51"/>
      <c r="F8967" s="114" t="str">
        <f>IF(INDEX(I.Facility.P2aIDNumber,3955)="","",INDEX(I.Facility.P2aIDNumber,3955))</f>
        <v/>
      </c>
      <c r="G8967" s="51"/>
      <c r="H8967" s="46" t="str">
        <f>IF(AND(I.Developer.P2a=TRUE,I.Facility.P2aFacilityCount&gt;=3955,F8967=""),"Incomplete","Complete")</f>
        <v>Complete</v>
      </c>
      <c r="I8967" s="48" t="s">
        <v>13332</v>
      </c>
    </row>
    <row r="8968" spans="2:9" ht="15" customHeight="1" x14ac:dyDescent="0.25">
      <c r="B8968" s="55" t="s">
        <v>280</v>
      </c>
      <c r="C8968" s="46">
        <v>3956</v>
      </c>
      <c r="D8968" s="69" t="s">
        <v>29417</v>
      </c>
      <c r="E8968" s="51"/>
      <c r="F8968" s="114" t="str">
        <f>IF(INDEX(I.Facility.P2aIDNumber,3956)="","",INDEX(I.Facility.P2aIDNumber,3956))</f>
        <v/>
      </c>
      <c r="G8968" s="51"/>
      <c r="H8968" s="46" t="str">
        <f>IF(AND(I.Developer.P2a=TRUE,I.Facility.P2aFacilityCount&gt;=3956,F8968=""),"Incomplete","Complete")</f>
        <v>Complete</v>
      </c>
      <c r="I8968" s="48" t="s">
        <v>13333</v>
      </c>
    </row>
    <row r="8969" spans="2:9" ht="15" customHeight="1" x14ac:dyDescent="0.25">
      <c r="B8969" s="55" t="s">
        <v>280</v>
      </c>
      <c r="C8969" s="46">
        <v>3957</v>
      </c>
      <c r="D8969" s="69" t="s">
        <v>29417</v>
      </c>
      <c r="E8969" s="51"/>
      <c r="F8969" s="114" t="str">
        <f>IF(INDEX(I.Facility.P2aIDNumber,3957)="","",INDEX(I.Facility.P2aIDNumber,3957))</f>
        <v/>
      </c>
      <c r="G8969" s="51"/>
      <c r="H8969" s="46" t="str">
        <f>IF(AND(I.Developer.P2a=TRUE,I.Facility.P2aFacilityCount&gt;=3957,F8969=""),"Incomplete","Complete")</f>
        <v>Complete</v>
      </c>
      <c r="I8969" s="48" t="s">
        <v>13334</v>
      </c>
    </row>
    <row r="8970" spans="2:9" ht="15" customHeight="1" x14ac:dyDescent="0.25">
      <c r="B8970" s="55" t="s">
        <v>280</v>
      </c>
      <c r="C8970" s="46">
        <v>3958</v>
      </c>
      <c r="D8970" s="69" t="s">
        <v>29417</v>
      </c>
      <c r="E8970" s="51"/>
      <c r="F8970" s="114" t="str">
        <f>IF(INDEX(I.Facility.P2aIDNumber,3958)="","",INDEX(I.Facility.P2aIDNumber,3958))</f>
        <v/>
      </c>
      <c r="G8970" s="51"/>
      <c r="H8970" s="46" t="str">
        <f>IF(AND(I.Developer.P2a=TRUE,I.Facility.P2aFacilityCount&gt;=3958,F8970=""),"Incomplete","Complete")</f>
        <v>Complete</v>
      </c>
      <c r="I8970" s="48" t="s">
        <v>13335</v>
      </c>
    </row>
    <row r="8971" spans="2:9" ht="15" customHeight="1" x14ac:dyDescent="0.25">
      <c r="B8971" s="55" t="s">
        <v>280</v>
      </c>
      <c r="C8971" s="46">
        <v>3959</v>
      </c>
      <c r="D8971" s="69" t="s">
        <v>29417</v>
      </c>
      <c r="E8971" s="51"/>
      <c r="F8971" s="114" t="str">
        <f>IF(INDEX(I.Facility.P2aIDNumber,3959)="","",INDEX(I.Facility.P2aIDNumber,3959))</f>
        <v/>
      </c>
      <c r="G8971" s="51"/>
      <c r="H8971" s="46" t="str">
        <f>IF(AND(I.Developer.P2a=TRUE,I.Facility.P2aFacilityCount&gt;=3959,F8971=""),"Incomplete","Complete")</f>
        <v>Complete</v>
      </c>
      <c r="I8971" s="48" t="s">
        <v>13336</v>
      </c>
    </row>
    <row r="8972" spans="2:9" ht="15" customHeight="1" x14ac:dyDescent="0.25">
      <c r="B8972" s="55" t="s">
        <v>280</v>
      </c>
      <c r="C8972" s="46">
        <v>3960</v>
      </c>
      <c r="D8972" s="69" t="s">
        <v>29417</v>
      </c>
      <c r="E8972" s="51"/>
      <c r="F8972" s="114" t="str">
        <f>IF(INDEX(I.Facility.P2aIDNumber,3960)="","",INDEX(I.Facility.P2aIDNumber,3960))</f>
        <v/>
      </c>
      <c r="G8972" s="51"/>
      <c r="H8972" s="46" t="str">
        <f>IF(AND(I.Developer.P2a=TRUE,I.Facility.P2aFacilityCount&gt;=3960,F8972=""),"Incomplete","Complete")</f>
        <v>Complete</v>
      </c>
      <c r="I8972" s="48" t="s">
        <v>13337</v>
      </c>
    </row>
    <row r="8973" spans="2:9" ht="15" customHeight="1" x14ac:dyDescent="0.25">
      <c r="B8973" s="55" t="s">
        <v>280</v>
      </c>
      <c r="C8973" s="46">
        <v>3961</v>
      </c>
      <c r="D8973" s="69" t="s">
        <v>29417</v>
      </c>
      <c r="E8973" s="51"/>
      <c r="F8973" s="114" t="str">
        <f>IF(INDEX(I.Facility.P2aIDNumber,3961)="","",INDEX(I.Facility.P2aIDNumber,3961))</f>
        <v/>
      </c>
      <c r="G8973" s="51"/>
      <c r="H8973" s="46" t="str">
        <f>IF(AND(I.Developer.P2a=TRUE,I.Facility.P2aFacilityCount&gt;=3961,F8973=""),"Incomplete","Complete")</f>
        <v>Complete</v>
      </c>
      <c r="I8973" s="48" t="s">
        <v>13338</v>
      </c>
    </row>
    <row r="8974" spans="2:9" ht="15" customHeight="1" x14ac:dyDescent="0.25">
      <c r="B8974" s="55" t="s">
        <v>280</v>
      </c>
      <c r="C8974" s="46">
        <v>3962</v>
      </c>
      <c r="D8974" s="69" t="s">
        <v>29417</v>
      </c>
      <c r="E8974" s="51"/>
      <c r="F8974" s="114" t="str">
        <f>IF(INDEX(I.Facility.P2aIDNumber,3962)="","",INDEX(I.Facility.P2aIDNumber,3962))</f>
        <v/>
      </c>
      <c r="G8974" s="51"/>
      <c r="H8974" s="46" t="str">
        <f>IF(AND(I.Developer.P2a=TRUE,I.Facility.P2aFacilityCount&gt;=3962,F8974=""),"Incomplete","Complete")</f>
        <v>Complete</v>
      </c>
      <c r="I8974" s="48" t="s">
        <v>13339</v>
      </c>
    </row>
    <row r="8975" spans="2:9" ht="15" customHeight="1" x14ac:dyDescent="0.25">
      <c r="B8975" s="55" t="s">
        <v>280</v>
      </c>
      <c r="C8975" s="46">
        <v>3963</v>
      </c>
      <c r="D8975" s="69" t="s">
        <v>29417</v>
      </c>
      <c r="E8975" s="51"/>
      <c r="F8975" s="114" t="str">
        <f>IF(INDEX(I.Facility.P2aIDNumber,3963)="","",INDEX(I.Facility.P2aIDNumber,3963))</f>
        <v/>
      </c>
      <c r="G8975" s="51"/>
      <c r="H8975" s="46" t="str">
        <f>IF(AND(I.Developer.P2a=TRUE,I.Facility.P2aFacilityCount&gt;=3963,F8975=""),"Incomplete","Complete")</f>
        <v>Complete</v>
      </c>
      <c r="I8975" s="48" t="s">
        <v>13340</v>
      </c>
    </row>
    <row r="8976" spans="2:9" ht="15" customHeight="1" x14ac:dyDescent="0.25">
      <c r="B8976" s="55" t="s">
        <v>280</v>
      </c>
      <c r="C8976" s="46">
        <v>3964</v>
      </c>
      <c r="D8976" s="69" t="s">
        <v>29417</v>
      </c>
      <c r="E8976" s="51"/>
      <c r="F8976" s="114" t="str">
        <f>IF(INDEX(I.Facility.P2aIDNumber,3964)="","",INDEX(I.Facility.P2aIDNumber,3964))</f>
        <v/>
      </c>
      <c r="G8976" s="51"/>
      <c r="H8976" s="46" t="str">
        <f>IF(AND(I.Developer.P2a=TRUE,I.Facility.P2aFacilityCount&gt;=3964,F8976=""),"Incomplete","Complete")</f>
        <v>Complete</v>
      </c>
      <c r="I8976" s="48" t="s">
        <v>13341</v>
      </c>
    </row>
    <row r="8977" spans="2:9" ht="15" customHeight="1" x14ac:dyDescent="0.25">
      <c r="B8977" s="55" t="s">
        <v>280</v>
      </c>
      <c r="C8977" s="46">
        <v>3965</v>
      </c>
      <c r="D8977" s="69" t="s">
        <v>29417</v>
      </c>
      <c r="E8977" s="51"/>
      <c r="F8977" s="114" t="str">
        <f>IF(INDEX(I.Facility.P2aIDNumber,3965)="","",INDEX(I.Facility.P2aIDNumber,3965))</f>
        <v/>
      </c>
      <c r="G8977" s="51"/>
      <c r="H8977" s="46" t="str">
        <f>IF(AND(I.Developer.P2a=TRUE,I.Facility.P2aFacilityCount&gt;=3965,F8977=""),"Incomplete","Complete")</f>
        <v>Complete</v>
      </c>
      <c r="I8977" s="48" t="s">
        <v>13342</v>
      </c>
    </row>
    <row r="8978" spans="2:9" ht="15" customHeight="1" x14ac:dyDescent="0.25">
      <c r="B8978" s="55" t="s">
        <v>280</v>
      </c>
      <c r="C8978" s="46">
        <v>3966</v>
      </c>
      <c r="D8978" s="69" t="s">
        <v>29417</v>
      </c>
      <c r="E8978" s="51"/>
      <c r="F8978" s="114" t="str">
        <f>IF(INDEX(I.Facility.P2aIDNumber,3966)="","",INDEX(I.Facility.P2aIDNumber,3966))</f>
        <v/>
      </c>
      <c r="G8978" s="51"/>
      <c r="H8978" s="46" t="str">
        <f>IF(AND(I.Developer.P2a=TRUE,I.Facility.P2aFacilityCount&gt;=3966,F8978=""),"Incomplete","Complete")</f>
        <v>Complete</v>
      </c>
      <c r="I8978" s="48" t="s">
        <v>13343</v>
      </c>
    </row>
    <row r="8979" spans="2:9" ht="15" customHeight="1" x14ac:dyDescent="0.25">
      <c r="B8979" s="55" t="s">
        <v>280</v>
      </c>
      <c r="C8979" s="46">
        <v>3967</v>
      </c>
      <c r="D8979" s="69" t="s">
        <v>29417</v>
      </c>
      <c r="E8979" s="51"/>
      <c r="F8979" s="114" t="str">
        <f>IF(INDEX(I.Facility.P2aIDNumber,3967)="","",INDEX(I.Facility.P2aIDNumber,3967))</f>
        <v/>
      </c>
      <c r="G8979" s="51"/>
      <c r="H8979" s="46" t="str">
        <f>IF(AND(I.Developer.P2a=TRUE,I.Facility.P2aFacilityCount&gt;=3967,F8979=""),"Incomplete","Complete")</f>
        <v>Complete</v>
      </c>
      <c r="I8979" s="48" t="s">
        <v>13344</v>
      </c>
    </row>
    <row r="8980" spans="2:9" ht="15" customHeight="1" x14ac:dyDescent="0.25">
      <c r="B8980" s="55" t="s">
        <v>280</v>
      </c>
      <c r="C8980" s="46">
        <v>3968</v>
      </c>
      <c r="D8980" s="69" t="s">
        <v>29417</v>
      </c>
      <c r="E8980" s="51"/>
      <c r="F8980" s="114" t="str">
        <f>IF(INDEX(I.Facility.P2aIDNumber,3968)="","",INDEX(I.Facility.P2aIDNumber,3968))</f>
        <v/>
      </c>
      <c r="G8980" s="51"/>
      <c r="H8980" s="46" t="str">
        <f>IF(AND(I.Developer.P2a=TRUE,I.Facility.P2aFacilityCount&gt;=3968,F8980=""),"Incomplete","Complete")</f>
        <v>Complete</v>
      </c>
      <c r="I8980" s="48" t="s">
        <v>13345</v>
      </c>
    </row>
    <row r="8981" spans="2:9" ht="15" customHeight="1" x14ac:dyDescent="0.25">
      <c r="B8981" s="55" t="s">
        <v>280</v>
      </c>
      <c r="C8981" s="46">
        <v>3969</v>
      </c>
      <c r="D8981" s="69" t="s">
        <v>29417</v>
      </c>
      <c r="E8981" s="51"/>
      <c r="F8981" s="114" t="str">
        <f>IF(INDEX(I.Facility.P2aIDNumber,3969)="","",INDEX(I.Facility.P2aIDNumber,3969))</f>
        <v/>
      </c>
      <c r="G8981" s="51"/>
      <c r="H8981" s="46" t="str">
        <f>IF(AND(I.Developer.P2a=TRUE,I.Facility.P2aFacilityCount&gt;=3969,F8981=""),"Incomplete","Complete")</f>
        <v>Complete</v>
      </c>
      <c r="I8981" s="48" t="s">
        <v>13346</v>
      </c>
    </row>
    <row r="8982" spans="2:9" ht="15" customHeight="1" x14ac:dyDescent="0.25">
      <c r="B8982" s="55" t="s">
        <v>280</v>
      </c>
      <c r="C8982" s="46">
        <v>3970</v>
      </c>
      <c r="D8982" s="69" t="s">
        <v>29417</v>
      </c>
      <c r="E8982" s="51"/>
      <c r="F8982" s="114" t="str">
        <f>IF(INDEX(I.Facility.P2aIDNumber,3970)="","",INDEX(I.Facility.P2aIDNumber,3970))</f>
        <v/>
      </c>
      <c r="G8982" s="51"/>
      <c r="H8982" s="46" t="str">
        <f>IF(AND(I.Developer.P2a=TRUE,I.Facility.P2aFacilityCount&gt;=3970,F8982=""),"Incomplete","Complete")</f>
        <v>Complete</v>
      </c>
      <c r="I8982" s="48" t="s">
        <v>13347</v>
      </c>
    </row>
    <row r="8983" spans="2:9" ht="15" customHeight="1" x14ac:dyDescent="0.25">
      <c r="B8983" s="55" t="s">
        <v>280</v>
      </c>
      <c r="C8983" s="46">
        <v>3971</v>
      </c>
      <c r="D8983" s="69" t="s">
        <v>29417</v>
      </c>
      <c r="E8983" s="51"/>
      <c r="F8983" s="114" t="str">
        <f>IF(INDEX(I.Facility.P2aIDNumber,3971)="","",INDEX(I.Facility.P2aIDNumber,3971))</f>
        <v/>
      </c>
      <c r="G8983" s="51"/>
      <c r="H8983" s="46" t="str">
        <f>IF(AND(I.Developer.P2a=TRUE,I.Facility.P2aFacilityCount&gt;=3971,F8983=""),"Incomplete","Complete")</f>
        <v>Complete</v>
      </c>
      <c r="I8983" s="48" t="s">
        <v>13348</v>
      </c>
    </row>
    <row r="8984" spans="2:9" ht="15" customHeight="1" x14ac:dyDescent="0.25">
      <c r="B8984" s="55" t="s">
        <v>280</v>
      </c>
      <c r="C8984" s="46">
        <v>3972</v>
      </c>
      <c r="D8984" s="69" t="s">
        <v>29417</v>
      </c>
      <c r="E8984" s="51"/>
      <c r="F8984" s="114" t="str">
        <f>IF(INDEX(I.Facility.P2aIDNumber,3972)="","",INDEX(I.Facility.P2aIDNumber,3972))</f>
        <v/>
      </c>
      <c r="G8984" s="51"/>
      <c r="H8984" s="46" t="str">
        <f>IF(AND(I.Developer.P2a=TRUE,I.Facility.P2aFacilityCount&gt;=3972,F8984=""),"Incomplete","Complete")</f>
        <v>Complete</v>
      </c>
      <c r="I8984" s="48" t="s">
        <v>13349</v>
      </c>
    </row>
    <row r="8985" spans="2:9" ht="15" customHeight="1" x14ac:dyDescent="0.25">
      <c r="B8985" s="55" t="s">
        <v>280</v>
      </c>
      <c r="C8985" s="46">
        <v>3973</v>
      </c>
      <c r="D8985" s="69" t="s">
        <v>29417</v>
      </c>
      <c r="E8985" s="51"/>
      <c r="F8985" s="114" t="str">
        <f>IF(INDEX(I.Facility.P2aIDNumber,3973)="","",INDEX(I.Facility.P2aIDNumber,3973))</f>
        <v/>
      </c>
      <c r="G8985" s="51"/>
      <c r="H8985" s="46" t="str">
        <f>IF(AND(I.Developer.P2a=TRUE,I.Facility.P2aFacilityCount&gt;=3973,F8985=""),"Incomplete","Complete")</f>
        <v>Complete</v>
      </c>
      <c r="I8985" s="48" t="s">
        <v>13350</v>
      </c>
    </row>
    <row r="8986" spans="2:9" ht="15" customHeight="1" x14ac:dyDescent="0.25">
      <c r="B8986" s="55" t="s">
        <v>280</v>
      </c>
      <c r="C8986" s="46">
        <v>3974</v>
      </c>
      <c r="D8986" s="69" t="s">
        <v>29417</v>
      </c>
      <c r="E8986" s="51"/>
      <c r="F8986" s="114" t="str">
        <f>IF(INDEX(I.Facility.P2aIDNumber,3974)="","",INDEX(I.Facility.P2aIDNumber,3974))</f>
        <v/>
      </c>
      <c r="G8986" s="51"/>
      <c r="H8986" s="46" t="str">
        <f>IF(AND(I.Developer.P2a=TRUE,I.Facility.P2aFacilityCount&gt;=3974,F8986=""),"Incomplete","Complete")</f>
        <v>Complete</v>
      </c>
      <c r="I8986" s="48" t="s">
        <v>13351</v>
      </c>
    </row>
    <row r="8987" spans="2:9" ht="15" customHeight="1" x14ac:dyDescent="0.25">
      <c r="B8987" s="55" t="s">
        <v>280</v>
      </c>
      <c r="C8987" s="46">
        <v>3975</v>
      </c>
      <c r="D8987" s="69" t="s">
        <v>29417</v>
      </c>
      <c r="E8987" s="51"/>
      <c r="F8987" s="114" t="str">
        <f>IF(INDEX(I.Facility.P2aIDNumber,3975)="","",INDEX(I.Facility.P2aIDNumber,3975))</f>
        <v/>
      </c>
      <c r="G8987" s="51"/>
      <c r="H8987" s="46" t="str">
        <f>IF(AND(I.Developer.P2a=TRUE,I.Facility.P2aFacilityCount&gt;=3975,F8987=""),"Incomplete","Complete")</f>
        <v>Complete</v>
      </c>
      <c r="I8987" s="48" t="s">
        <v>13352</v>
      </c>
    </row>
    <row r="8988" spans="2:9" ht="15" customHeight="1" x14ac:dyDescent="0.25">
      <c r="B8988" s="55" t="s">
        <v>280</v>
      </c>
      <c r="C8988" s="46">
        <v>3976</v>
      </c>
      <c r="D8988" s="69" t="s">
        <v>29417</v>
      </c>
      <c r="E8988" s="51"/>
      <c r="F8988" s="114" t="str">
        <f>IF(INDEX(I.Facility.P2aIDNumber,3976)="","",INDEX(I.Facility.P2aIDNumber,3976))</f>
        <v/>
      </c>
      <c r="G8988" s="51"/>
      <c r="H8988" s="46" t="str">
        <f>IF(AND(I.Developer.P2a=TRUE,I.Facility.P2aFacilityCount&gt;=3976,F8988=""),"Incomplete","Complete")</f>
        <v>Complete</v>
      </c>
      <c r="I8988" s="48" t="s">
        <v>13353</v>
      </c>
    </row>
    <row r="8989" spans="2:9" ht="15" customHeight="1" x14ac:dyDescent="0.25">
      <c r="B8989" s="55" t="s">
        <v>280</v>
      </c>
      <c r="C8989" s="46">
        <v>3977</v>
      </c>
      <c r="D8989" s="69" t="s">
        <v>29417</v>
      </c>
      <c r="E8989" s="51"/>
      <c r="F8989" s="114" t="str">
        <f>IF(INDEX(I.Facility.P2aIDNumber,3977)="","",INDEX(I.Facility.P2aIDNumber,3977))</f>
        <v/>
      </c>
      <c r="G8989" s="51"/>
      <c r="H8989" s="46" t="str">
        <f>IF(AND(I.Developer.P2a=TRUE,I.Facility.P2aFacilityCount&gt;=3977,F8989=""),"Incomplete","Complete")</f>
        <v>Complete</v>
      </c>
      <c r="I8989" s="48" t="s">
        <v>13354</v>
      </c>
    </row>
    <row r="8990" spans="2:9" ht="15" customHeight="1" x14ac:dyDescent="0.25">
      <c r="B8990" s="55" t="s">
        <v>280</v>
      </c>
      <c r="C8990" s="46">
        <v>3978</v>
      </c>
      <c r="D8990" s="69" t="s">
        <v>29417</v>
      </c>
      <c r="E8990" s="51"/>
      <c r="F8990" s="114" t="str">
        <f>IF(INDEX(I.Facility.P2aIDNumber,3978)="","",INDEX(I.Facility.P2aIDNumber,3978))</f>
        <v/>
      </c>
      <c r="G8990" s="51"/>
      <c r="H8990" s="46" t="str">
        <f>IF(AND(I.Developer.P2a=TRUE,I.Facility.P2aFacilityCount&gt;=3978,F8990=""),"Incomplete","Complete")</f>
        <v>Complete</v>
      </c>
      <c r="I8990" s="48" t="s">
        <v>13355</v>
      </c>
    </row>
    <row r="8991" spans="2:9" ht="15" customHeight="1" x14ac:dyDescent="0.25">
      <c r="B8991" s="55" t="s">
        <v>280</v>
      </c>
      <c r="C8991" s="46">
        <v>3979</v>
      </c>
      <c r="D8991" s="69" t="s">
        <v>29417</v>
      </c>
      <c r="E8991" s="51"/>
      <c r="F8991" s="114" t="str">
        <f>IF(INDEX(I.Facility.P2aIDNumber,3979)="","",INDEX(I.Facility.P2aIDNumber,3979))</f>
        <v/>
      </c>
      <c r="G8991" s="51"/>
      <c r="H8991" s="46" t="str">
        <f>IF(AND(I.Developer.P2a=TRUE,I.Facility.P2aFacilityCount&gt;=3979,F8991=""),"Incomplete","Complete")</f>
        <v>Complete</v>
      </c>
      <c r="I8991" s="48" t="s">
        <v>13356</v>
      </c>
    </row>
    <row r="8992" spans="2:9" ht="15" customHeight="1" x14ac:dyDescent="0.25">
      <c r="B8992" s="55" t="s">
        <v>280</v>
      </c>
      <c r="C8992" s="46">
        <v>3980</v>
      </c>
      <c r="D8992" s="69" t="s">
        <v>29417</v>
      </c>
      <c r="E8992" s="51"/>
      <c r="F8992" s="114" t="str">
        <f>IF(INDEX(I.Facility.P2aIDNumber,3980)="","",INDEX(I.Facility.P2aIDNumber,3980))</f>
        <v/>
      </c>
      <c r="G8992" s="51"/>
      <c r="H8992" s="46" t="str">
        <f>IF(AND(I.Developer.P2a=TRUE,I.Facility.P2aFacilityCount&gt;=3980,F8992=""),"Incomplete","Complete")</f>
        <v>Complete</v>
      </c>
      <c r="I8992" s="48" t="s">
        <v>13357</v>
      </c>
    </row>
    <row r="8993" spans="2:9" ht="15" customHeight="1" x14ac:dyDescent="0.25">
      <c r="B8993" s="55" t="s">
        <v>280</v>
      </c>
      <c r="C8993" s="46">
        <v>3981</v>
      </c>
      <c r="D8993" s="69" t="s">
        <v>29417</v>
      </c>
      <c r="E8993" s="51"/>
      <c r="F8993" s="114" t="str">
        <f>IF(INDEX(I.Facility.P2aIDNumber,3981)="","",INDEX(I.Facility.P2aIDNumber,3981))</f>
        <v/>
      </c>
      <c r="G8993" s="51"/>
      <c r="H8993" s="46" t="str">
        <f>IF(AND(I.Developer.P2a=TRUE,I.Facility.P2aFacilityCount&gt;=3981,F8993=""),"Incomplete","Complete")</f>
        <v>Complete</v>
      </c>
      <c r="I8993" s="48" t="s">
        <v>13358</v>
      </c>
    </row>
    <row r="8994" spans="2:9" ht="15" customHeight="1" x14ac:dyDescent="0.25">
      <c r="B8994" s="55" t="s">
        <v>280</v>
      </c>
      <c r="C8994" s="46">
        <v>3982</v>
      </c>
      <c r="D8994" s="69" t="s">
        <v>29417</v>
      </c>
      <c r="E8994" s="51"/>
      <c r="F8994" s="114" t="str">
        <f>IF(INDEX(I.Facility.P2aIDNumber,3982)="","",INDEX(I.Facility.P2aIDNumber,3982))</f>
        <v/>
      </c>
      <c r="G8994" s="51"/>
      <c r="H8994" s="46" t="str">
        <f>IF(AND(I.Developer.P2a=TRUE,I.Facility.P2aFacilityCount&gt;=3982,F8994=""),"Incomplete","Complete")</f>
        <v>Complete</v>
      </c>
      <c r="I8994" s="48" t="s">
        <v>13359</v>
      </c>
    </row>
    <row r="8995" spans="2:9" ht="15" customHeight="1" x14ac:dyDescent="0.25">
      <c r="B8995" s="55" t="s">
        <v>280</v>
      </c>
      <c r="C8995" s="46">
        <v>3983</v>
      </c>
      <c r="D8995" s="69" t="s">
        <v>29417</v>
      </c>
      <c r="E8995" s="51"/>
      <c r="F8995" s="114" t="str">
        <f>IF(INDEX(I.Facility.P2aIDNumber,3983)="","",INDEX(I.Facility.P2aIDNumber,3983))</f>
        <v/>
      </c>
      <c r="G8995" s="51"/>
      <c r="H8995" s="46" t="str">
        <f>IF(AND(I.Developer.P2a=TRUE,I.Facility.P2aFacilityCount&gt;=3983,F8995=""),"Incomplete","Complete")</f>
        <v>Complete</v>
      </c>
      <c r="I8995" s="48" t="s">
        <v>13360</v>
      </c>
    </row>
    <row r="8996" spans="2:9" ht="15" customHeight="1" x14ac:dyDescent="0.25">
      <c r="B8996" s="55" t="s">
        <v>280</v>
      </c>
      <c r="C8996" s="46">
        <v>3984</v>
      </c>
      <c r="D8996" s="69" t="s">
        <v>29417</v>
      </c>
      <c r="E8996" s="51"/>
      <c r="F8996" s="114" t="str">
        <f>IF(INDEX(I.Facility.P2aIDNumber,3984)="","",INDEX(I.Facility.P2aIDNumber,3984))</f>
        <v/>
      </c>
      <c r="G8996" s="51"/>
      <c r="H8996" s="46" t="str">
        <f>IF(AND(I.Developer.P2a=TRUE,I.Facility.P2aFacilityCount&gt;=3984,F8996=""),"Incomplete","Complete")</f>
        <v>Complete</v>
      </c>
      <c r="I8996" s="48" t="s">
        <v>13361</v>
      </c>
    </row>
    <row r="8997" spans="2:9" ht="15" customHeight="1" x14ac:dyDescent="0.25">
      <c r="B8997" s="55" t="s">
        <v>280</v>
      </c>
      <c r="C8997" s="46">
        <v>3985</v>
      </c>
      <c r="D8997" s="69" t="s">
        <v>29417</v>
      </c>
      <c r="E8997" s="51"/>
      <c r="F8997" s="114" t="str">
        <f>IF(INDEX(I.Facility.P2aIDNumber,3985)="","",INDEX(I.Facility.P2aIDNumber,3985))</f>
        <v/>
      </c>
      <c r="G8997" s="51"/>
      <c r="H8997" s="46" t="str">
        <f>IF(AND(I.Developer.P2a=TRUE,I.Facility.P2aFacilityCount&gt;=3985,F8997=""),"Incomplete","Complete")</f>
        <v>Complete</v>
      </c>
      <c r="I8997" s="48" t="s">
        <v>13362</v>
      </c>
    </row>
    <row r="8998" spans="2:9" ht="15" customHeight="1" x14ac:dyDescent="0.25">
      <c r="B8998" s="55" t="s">
        <v>280</v>
      </c>
      <c r="C8998" s="46">
        <v>3986</v>
      </c>
      <c r="D8998" s="69" t="s">
        <v>29417</v>
      </c>
      <c r="E8998" s="51"/>
      <c r="F8998" s="114" t="str">
        <f>IF(INDEX(I.Facility.P2aIDNumber,3986)="","",INDEX(I.Facility.P2aIDNumber,3986))</f>
        <v/>
      </c>
      <c r="G8998" s="51"/>
      <c r="H8998" s="46" t="str">
        <f>IF(AND(I.Developer.P2a=TRUE,I.Facility.P2aFacilityCount&gt;=3986,F8998=""),"Incomplete","Complete")</f>
        <v>Complete</v>
      </c>
      <c r="I8998" s="48" t="s">
        <v>13363</v>
      </c>
    </row>
    <row r="8999" spans="2:9" ht="15" customHeight="1" x14ac:dyDescent="0.25">
      <c r="B8999" s="55" t="s">
        <v>280</v>
      </c>
      <c r="C8999" s="46">
        <v>3987</v>
      </c>
      <c r="D8999" s="69" t="s">
        <v>29417</v>
      </c>
      <c r="E8999" s="51"/>
      <c r="F8999" s="114" t="str">
        <f>IF(INDEX(I.Facility.P2aIDNumber,3987)="","",INDEX(I.Facility.P2aIDNumber,3987))</f>
        <v/>
      </c>
      <c r="G8999" s="51"/>
      <c r="H8999" s="46" t="str">
        <f>IF(AND(I.Developer.P2a=TRUE,I.Facility.P2aFacilityCount&gt;=3987,F8999=""),"Incomplete","Complete")</f>
        <v>Complete</v>
      </c>
      <c r="I8999" s="48" t="s">
        <v>13364</v>
      </c>
    </row>
    <row r="9000" spans="2:9" ht="15" customHeight="1" x14ac:dyDescent="0.25">
      <c r="B9000" s="55" t="s">
        <v>280</v>
      </c>
      <c r="C9000" s="46">
        <v>3988</v>
      </c>
      <c r="D9000" s="69" t="s">
        <v>29417</v>
      </c>
      <c r="E9000" s="51"/>
      <c r="F9000" s="114" t="str">
        <f>IF(INDEX(I.Facility.P2aIDNumber,3988)="","",INDEX(I.Facility.P2aIDNumber,3988))</f>
        <v/>
      </c>
      <c r="G9000" s="51"/>
      <c r="H9000" s="46" t="str">
        <f>IF(AND(I.Developer.P2a=TRUE,I.Facility.P2aFacilityCount&gt;=3988,F9000=""),"Incomplete","Complete")</f>
        <v>Complete</v>
      </c>
      <c r="I9000" s="48" t="s">
        <v>13365</v>
      </c>
    </row>
    <row r="9001" spans="2:9" ht="15" customHeight="1" x14ac:dyDescent="0.25">
      <c r="B9001" s="55" t="s">
        <v>280</v>
      </c>
      <c r="C9001" s="46">
        <v>3989</v>
      </c>
      <c r="D9001" s="69" t="s">
        <v>29417</v>
      </c>
      <c r="E9001" s="51"/>
      <c r="F9001" s="114" t="str">
        <f>IF(INDEX(I.Facility.P2aIDNumber,3989)="","",INDEX(I.Facility.P2aIDNumber,3989))</f>
        <v/>
      </c>
      <c r="G9001" s="51"/>
      <c r="H9001" s="46" t="str">
        <f>IF(AND(I.Developer.P2a=TRUE,I.Facility.P2aFacilityCount&gt;=3989,F9001=""),"Incomplete","Complete")</f>
        <v>Complete</v>
      </c>
      <c r="I9001" s="48" t="s">
        <v>13366</v>
      </c>
    </row>
    <row r="9002" spans="2:9" ht="15" customHeight="1" x14ac:dyDescent="0.25">
      <c r="B9002" s="55" t="s">
        <v>280</v>
      </c>
      <c r="C9002" s="46">
        <v>3990</v>
      </c>
      <c r="D9002" s="69" t="s">
        <v>29417</v>
      </c>
      <c r="E9002" s="51"/>
      <c r="F9002" s="114" t="str">
        <f>IF(INDEX(I.Facility.P2aIDNumber,3990)="","",INDEX(I.Facility.P2aIDNumber,3990))</f>
        <v/>
      </c>
      <c r="G9002" s="51"/>
      <c r="H9002" s="46" t="str">
        <f>IF(AND(I.Developer.P2a=TRUE,I.Facility.P2aFacilityCount&gt;=3990,F9002=""),"Incomplete","Complete")</f>
        <v>Complete</v>
      </c>
      <c r="I9002" s="48" t="s">
        <v>13367</v>
      </c>
    </row>
    <row r="9003" spans="2:9" ht="15" customHeight="1" x14ac:dyDescent="0.25">
      <c r="B9003" s="55" t="s">
        <v>280</v>
      </c>
      <c r="C9003" s="46">
        <v>3991</v>
      </c>
      <c r="D9003" s="69" t="s">
        <v>29417</v>
      </c>
      <c r="E9003" s="51"/>
      <c r="F9003" s="114" t="str">
        <f>IF(INDEX(I.Facility.P2aIDNumber,3991)="","",INDEX(I.Facility.P2aIDNumber,3991))</f>
        <v/>
      </c>
      <c r="G9003" s="51"/>
      <c r="H9003" s="46" t="str">
        <f>IF(AND(I.Developer.P2a=TRUE,I.Facility.P2aFacilityCount&gt;=3991,F9003=""),"Incomplete","Complete")</f>
        <v>Complete</v>
      </c>
      <c r="I9003" s="48" t="s">
        <v>13368</v>
      </c>
    </row>
    <row r="9004" spans="2:9" ht="15" customHeight="1" x14ac:dyDescent="0.25">
      <c r="B9004" s="55" t="s">
        <v>280</v>
      </c>
      <c r="C9004" s="46">
        <v>3992</v>
      </c>
      <c r="D9004" s="69" t="s">
        <v>29417</v>
      </c>
      <c r="E9004" s="51"/>
      <c r="F9004" s="114" t="str">
        <f>IF(INDEX(I.Facility.P2aIDNumber,3992)="","",INDEX(I.Facility.P2aIDNumber,3992))</f>
        <v/>
      </c>
      <c r="G9004" s="51"/>
      <c r="H9004" s="46" t="str">
        <f>IF(AND(I.Developer.P2a=TRUE,I.Facility.P2aFacilityCount&gt;=3992,F9004=""),"Incomplete","Complete")</f>
        <v>Complete</v>
      </c>
      <c r="I9004" s="48" t="s">
        <v>13369</v>
      </c>
    </row>
    <row r="9005" spans="2:9" ht="15" customHeight="1" x14ac:dyDescent="0.25">
      <c r="B9005" s="55" t="s">
        <v>280</v>
      </c>
      <c r="C9005" s="46">
        <v>3993</v>
      </c>
      <c r="D9005" s="69" t="s">
        <v>29417</v>
      </c>
      <c r="E9005" s="51"/>
      <c r="F9005" s="114" t="str">
        <f>IF(INDEX(I.Facility.P2aIDNumber,3993)="","",INDEX(I.Facility.P2aIDNumber,3993))</f>
        <v/>
      </c>
      <c r="G9005" s="51"/>
      <c r="H9005" s="46" t="str">
        <f>IF(AND(I.Developer.P2a=TRUE,I.Facility.P2aFacilityCount&gt;=3993,F9005=""),"Incomplete","Complete")</f>
        <v>Complete</v>
      </c>
      <c r="I9005" s="48" t="s">
        <v>13370</v>
      </c>
    </row>
    <row r="9006" spans="2:9" ht="15" customHeight="1" x14ac:dyDescent="0.25">
      <c r="B9006" s="55" t="s">
        <v>280</v>
      </c>
      <c r="C9006" s="46">
        <v>3994</v>
      </c>
      <c r="D9006" s="69" t="s">
        <v>29417</v>
      </c>
      <c r="E9006" s="51"/>
      <c r="F9006" s="114" t="str">
        <f>IF(INDEX(I.Facility.P2aIDNumber,3994)="","",INDEX(I.Facility.P2aIDNumber,3994))</f>
        <v/>
      </c>
      <c r="G9006" s="51"/>
      <c r="H9006" s="46" t="str">
        <f>IF(AND(I.Developer.P2a=TRUE,I.Facility.P2aFacilityCount&gt;=3994,F9006=""),"Incomplete","Complete")</f>
        <v>Complete</v>
      </c>
      <c r="I9006" s="48" t="s">
        <v>13371</v>
      </c>
    </row>
    <row r="9007" spans="2:9" ht="15" customHeight="1" x14ac:dyDescent="0.25">
      <c r="B9007" s="55" t="s">
        <v>280</v>
      </c>
      <c r="C9007" s="46">
        <v>3995</v>
      </c>
      <c r="D9007" s="69" t="s">
        <v>29417</v>
      </c>
      <c r="E9007" s="51"/>
      <c r="F9007" s="114" t="str">
        <f>IF(INDEX(I.Facility.P2aIDNumber,3995)="","",INDEX(I.Facility.P2aIDNumber,3995))</f>
        <v/>
      </c>
      <c r="G9007" s="51"/>
      <c r="H9007" s="46" t="str">
        <f>IF(AND(I.Developer.P2a=TRUE,I.Facility.P2aFacilityCount&gt;=3995,F9007=""),"Incomplete","Complete")</f>
        <v>Complete</v>
      </c>
      <c r="I9007" s="48" t="s">
        <v>13372</v>
      </c>
    </row>
    <row r="9008" spans="2:9" ht="15" customHeight="1" x14ac:dyDescent="0.25">
      <c r="B9008" s="55" t="s">
        <v>280</v>
      </c>
      <c r="C9008" s="46">
        <v>3996</v>
      </c>
      <c r="D9008" s="69" t="s">
        <v>29417</v>
      </c>
      <c r="E9008" s="51"/>
      <c r="F9008" s="114" t="str">
        <f>IF(INDEX(I.Facility.P2aIDNumber,3996)="","",INDEX(I.Facility.P2aIDNumber,3996))</f>
        <v/>
      </c>
      <c r="G9008" s="51"/>
      <c r="H9008" s="46" t="str">
        <f>IF(AND(I.Developer.P2a=TRUE,I.Facility.P2aFacilityCount&gt;=3996,F9008=""),"Incomplete","Complete")</f>
        <v>Complete</v>
      </c>
      <c r="I9008" s="48" t="s">
        <v>13373</v>
      </c>
    </row>
    <row r="9009" spans="2:9" ht="15" customHeight="1" x14ac:dyDescent="0.25">
      <c r="B9009" s="55" t="s">
        <v>280</v>
      </c>
      <c r="C9009" s="46">
        <v>3997</v>
      </c>
      <c r="D9009" s="69" t="s">
        <v>29417</v>
      </c>
      <c r="E9009" s="51"/>
      <c r="F9009" s="114" t="str">
        <f>IF(INDEX(I.Facility.P2aIDNumber,3997)="","",INDEX(I.Facility.P2aIDNumber,3997))</f>
        <v/>
      </c>
      <c r="G9009" s="51"/>
      <c r="H9009" s="46" t="str">
        <f>IF(AND(I.Developer.P2a=TRUE,I.Facility.P2aFacilityCount&gt;=3997,F9009=""),"Incomplete","Complete")</f>
        <v>Complete</v>
      </c>
      <c r="I9009" s="48" t="s">
        <v>13374</v>
      </c>
    </row>
    <row r="9010" spans="2:9" ht="15" customHeight="1" x14ac:dyDescent="0.25">
      <c r="B9010" s="55" t="s">
        <v>280</v>
      </c>
      <c r="C9010" s="46">
        <v>3998</v>
      </c>
      <c r="D9010" s="69" t="s">
        <v>29417</v>
      </c>
      <c r="E9010" s="51"/>
      <c r="F9010" s="114" t="str">
        <f>IF(INDEX(I.Facility.P2aIDNumber,3998)="","",INDEX(I.Facility.P2aIDNumber,3998))</f>
        <v/>
      </c>
      <c r="G9010" s="51"/>
      <c r="H9010" s="46" t="str">
        <f>IF(AND(I.Developer.P2a=TRUE,I.Facility.P2aFacilityCount&gt;=3998,F9010=""),"Incomplete","Complete")</f>
        <v>Complete</v>
      </c>
      <c r="I9010" s="48" t="s">
        <v>13375</v>
      </c>
    </row>
    <row r="9011" spans="2:9" ht="15" customHeight="1" x14ac:dyDescent="0.25">
      <c r="B9011" s="55" t="s">
        <v>280</v>
      </c>
      <c r="C9011" s="46">
        <v>3999</v>
      </c>
      <c r="D9011" s="69" t="s">
        <v>29417</v>
      </c>
      <c r="E9011" s="51"/>
      <c r="F9011" s="114" t="str">
        <f>IF(INDEX(I.Facility.P2aIDNumber,3999)="","",INDEX(I.Facility.P2aIDNumber,3999))</f>
        <v/>
      </c>
      <c r="G9011" s="51"/>
      <c r="H9011" s="46" t="str">
        <f>IF(AND(I.Developer.P2a=TRUE,I.Facility.P2aFacilityCount&gt;=3999,F9011=""),"Incomplete","Complete")</f>
        <v>Complete</v>
      </c>
      <c r="I9011" s="48" t="s">
        <v>13376</v>
      </c>
    </row>
    <row r="9012" spans="2:9" ht="15" customHeight="1" x14ac:dyDescent="0.25">
      <c r="B9012" s="55" t="s">
        <v>280</v>
      </c>
      <c r="C9012" s="46">
        <v>4000</v>
      </c>
      <c r="D9012" s="69" t="s">
        <v>29417</v>
      </c>
      <c r="E9012" s="51"/>
      <c r="F9012" s="114" t="str">
        <f>IF(INDEX(I.Facility.P2aIDNumber,4000)="","",INDEX(I.Facility.P2aIDNumber,4000))</f>
        <v/>
      </c>
      <c r="G9012" s="51"/>
      <c r="H9012" s="46" t="str">
        <f>IF(AND(I.Developer.P2a=TRUE,I.Facility.P2aFacilityCount&gt;=4000,F9012=""),"Incomplete","Complete")</f>
        <v>Complete</v>
      </c>
      <c r="I9012" s="48" t="s">
        <v>13377</v>
      </c>
    </row>
    <row r="9013" spans="2:9" ht="15" customHeight="1" x14ac:dyDescent="0.25">
      <c r="B9013" s="55" t="s">
        <v>280</v>
      </c>
      <c r="C9013" s="46">
        <v>4001</v>
      </c>
      <c r="D9013" s="69" t="s">
        <v>29417</v>
      </c>
      <c r="E9013" s="51"/>
      <c r="F9013" s="114" t="str">
        <f>IF(INDEX(I.Facility.P2aIDNumber,4001)="","",INDEX(I.Facility.P2aIDNumber,4001))</f>
        <v/>
      </c>
      <c r="G9013" s="51"/>
      <c r="H9013" s="46" t="str">
        <f>IF(AND(I.Developer.P2a=TRUE,I.Facility.P2aFacilityCount&gt;=4001,F9013=""),"Incomplete","Complete")</f>
        <v>Complete</v>
      </c>
      <c r="I9013" s="48" t="s">
        <v>13378</v>
      </c>
    </row>
    <row r="9014" spans="2:9" ht="15" customHeight="1" x14ac:dyDescent="0.25">
      <c r="B9014" s="55" t="s">
        <v>280</v>
      </c>
      <c r="C9014" s="46">
        <v>4002</v>
      </c>
      <c r="D9014" s="69" t="s">
        <v>29417</v>
      </c>
      <c r="E9014" s="51"/>
      <c r="F9014" s="114" t="str">
        <f>IF(INDEX(I.Facility.P2aIDNumber,4002)="","",INDEX(I.Facility.P2aIDNumber,4002))</f>
        <v/>
      </c>
      <c r="G9014" s="51"/>
      <c r="H9014" s="46" t="str">
        <f>IF(AND(I.Developer.P2a=TRUE,I.Facility.P2aFacilityCount&gt;=4002,F9014=""),"Incomplete","Complete")</f>
        <v>Complete</v>
      </c>
      <c r="I9014" s="48" t="s">
        <v>13379</v>
      </c>
    </row>
    <row r="9015" spans="2:9" ht="15" customHeight="1" x14ac:dyDescent="0.25">
      <c r="B9015" s="55" t="s">
        <v>280</v>
      </c>
      <c r="C9015" s="46">
        <v>4003</v>
      </c>
      <c r="D9015" s="69" t="s">
        <v>29417</v>
      </c>
      <c r="E9015" s="51"/>
      <c r="F9015" s="114" t="str">
        <f>IF(INDEX(I.Facility.P2aIDNumber,4003)="","",INDEX(I.Facility.P2aIDNumber,4003))</f>
        <v/>
      </c>
      <c r="G9015" s="51"/>
      <c r="H9015" s="46" t="str">
        <f>IF(AND(I.Developer.P2a=TRUE,I.Facility.P2aFacilityCount&gt;=4003,F9015=""),"Incomplete","Complete")</f>
        <v>Complete</v>
      </c>
      <c r="I9015" s="48" t="s">
        <v>13380</v>
      </c>
    </row>
    <row r="9016" spans="2:9" ht="15" customHeight="1" x14ac:dyDescent="0.25">
      <c r="B9016" s="55" t="s">
        <v>280</v>
      </c>
      <c r="C9016" s="46">
        <v>4004</v>
      </c>
      <c r="D9016" s="69" t="s">
        <v>29417</v>
      </c>
      <c r="E9016" s="51"/>
      <c r="F9016" s="114" t="str">
        <f>IF(INDEX(I.Facility.P2aIDNumber,4004)="","",INDEX(I.Facility.P2aIDNumber,4004))</f>
        <v/>
      </c>
      <c r="G9016" s="51"/>
      <c r="H9016" s="46" t="str">
        <f>IF(AND(I.Developer.P2a=TRUE,I.Facility.P2aFacilityCount&gt;=4004,F9016=""),"Incomplete","Complete")</f>
        <v>Complete</v>
      </c>
      <c r="I9016" s="48" t="s">
        <v>13381</v>
      </c>
    </row>
    <row r="9017" spans="2:9" ht="15" customHeight="1" x14ac:dyDescent="0.25">
      <c r="B9017" s="55" t="s">
        <v>280</v>
      </c>
      <c r="C9017" s="46">
        <v>4005</v>
      </c>
      <c r="D9017" s="69" t="s">
        <v>29417</v>
      </c>
      <c r="E9017" s="51"/>
      <c r="F9017" s="114" t="str">
        <f>IF(INDEX(I.Facility.P2aIDNumber,4005)="","",INDEX(I.Facility.P2aIDNumber,4005))</f>
        <v/>
      </c>
      <c r="G9017" s="51"/>
      <c r="H9017" s="46" t="str">
        <f>IF(AND(I.Developer.P2a=TRUE,I.Facility.P2aFacilityCount&gt;=4005,F9017=""),"Incomplete","Complete")</f>
        <v>Complete</v>
      </c>
      <c r="I9017" s="48" t="s">
        <v>13382</v>
      </c>
    </row>
    <row r="9018" spans="2:9" ht="15" customHeight="1" x14ac:dyDescent="0.25">
      <c r="B9018" s="55" t="s">
        <v>280</v>
      </c>
      <c r="C9018" s="46">
        <v>4006</v>
      </c>
      <c r="D9018" s="69" t="s">
        <v>29417</v>
      </c>
      <c r="E9018" s="51"/>
      <c r="F9018" s="114" t="str">
        <f>IF(INDEX(I.Facility.P2aIDNumber,4006)="","",INDEX(I.Facility.P2aIDNumber,4006))</f>
        <v/>
      </c>
      <c r="G9018" s="51"/>
      <c r="H9018" s="46" t="str">
        <f>IF(AND(I.Developer.P2a=TRUE,I.Facility.P2aFacilityCount&gt;=4006,F9018=""),"Incomplete","Complete")</f>
        <v>Complete</v>
      </c>
      <c r="I9018" s="48" t="s">
        <v>13383</v>
      </c>
    </row>
    <row r="9019" spans="2:9" ht="15" customHeight="1" x14ac:dyDescent="0.25">
      <c r="B9019" s="55" t="s">
        <v>280</v>
      </c>
      <c r="C9019" s="46">
        <v>4007</v>
      </c>
      <c r="D9019" s="69" t="s">
        <v>29417</v>
      </c>
      <c r="E9019" s="51"/>
      <c r="F9019" s="114" t="str">
        <f>IF(INDEX(I.Facility.P2aIDNumber,4007)="","",INDEX(I.Facility.P2aIDNumber,4007))</f>
        <v/>
      </c>
      <c r="G9019" s="51"/>
      <c r="H9019" s="46" t="str">
        <f>IF(AND(I.Developer.P2a=TRUE,I.Facility.P2aFacilityCount&gt;=4007,F9019=""),"Incomplete","Complete")</f>
        <v>Complete</v>
      </c>
      <c r="I9019" s="48" t="s">
        <v>13384</v>
      </c>
    </row>
    <row r="9020" spans="2:9" ht="15" customHeight="1" x14ac:dyDescent="0.25">
      <c r="B9020" s="55" t="s">
        <v>280</v>
      </c>
      <c r="C9020" s="46">
        <v>4008</v>
      </c>
      <c r="D9020" s="69" t="s">
        <v>29417</v>
      </c>
      <c r="E9020" s="51"/>
      <c r="F9020" s="114" t="str">
        <f>IF(INDEX(I.Facility.P2aIDNumber,4008)="","",INDEX(I.Facility.P2aIDNumber,4008))</f>
        <v/>
      </c>
      <c r="G9020" s="51"/>
      <c r="H9020" s="46" t="str">
        <f>IF(AND(I.Developer.P2a=TRUE,I.Facility.P2aFacilityCount&gt;=4008,F9020=""),"Incomplete","Complete")</f>
        <v>Complete</v>
      </c>
      <c r="I9020" s="48" t="s">
        <v>13385</v>
      </c>
    </row>
    <row r="9021" spans="2:9" ht="15" customHeight="1" x14ac:dyDescent="0.25">
      <c r="B9021" s="55" t="s">
        <v>280</v>
      </c>
      <c r="C9021" s="46">
        <v>4009</v>
      </c>
      <c r="D9021" s="69" t="s">
        <v>29417</v>
      </c>
      <c r="E9021" s="51"/>
      <c r="F9021" s="114" t="str">
        <f>IF(INDEX(I.Facility.P2aIDNumber,4009)="","",INDEX(I.Facility.P2aIDNumber,4009))</f>
        <v/>
      </c>
      <c r="G9021" s="51"/>
      <c r="H9021" s="46" t="str">
        <f>IF(AND(I.Developer.P2a=TRUE,I.Facility.P2aFacilityCount&gt;=4009,F9021=""),"Incomplete","Complete")</f>
        <v>Complete</v>
      </c>
      <c r="I9021" s="48" t="s">
        <v>13386</v>
      </c>
    </row>
    <row r="9022" spans="2:9" ht="15" customHeight="1" x14ac:dyDescent="0.25">
      <c r="B9022" s="55" t="s">
        <v>280</v>
      </c>
      <c r="C9022" s="46">
        <v>4010</v>
      </c>
      <c r="D9022" s="69" t="s">
        <v>29417</v>
      </c>
      <c r="E9022" s="51"/>
      <c r="F9022" s="114" t="str">
        <f>IF(INDEX(I.Facility.P2aIDNumber,4010)="","",INDEX(I.Facility.P2aIDNumber,4010))</f>
        <v/>
      </c>
      <c r="G9022" s="51"/>
      <c r="H9022" s="46" t="str">
        <f>IF(AND(I.Developer.P2a=TRUE,I.Facility.P2aFacilityCount&gt;=4010,F9022=""),"Incomplete","Complete")</f>
        <v>Complete</v>
      </c>
      <c r="I9022" s="48" t="s">
        <v>13387</v>
      </c>
    </row>
    <row r="9023" spans="2:9" ht="15" customHeight="1" x14ac:dyDescent="0.25">
      <c r="B9023" s="55" t="s">
        <v>280</v>
      </c>
      <c r="C9023" s="46">
        <v>4011</v>
      </c>
      <c r="D9023" s="69" t="s">
        <v>29417</v>
      </c>
      <c r="E9023" s="51"/>
      <c r="F9023" s="114" t="str">
        <f>IF(INDEX(I.Facility.P2aIDNumber,4011)="","",INDEX(I.Facility.P2aIDNumber,4011))</f>
        <v/>
      </c>
      <c r="G9023" s="51"/>
      <c r="H9023" s="46" t="str">
        <f>IF(AND(I.Developer.P2a=TRUE,I.Facility.P2aFacilityCount&gt;=4011,F9023=""),"Incomplete","Complete")</f>
        <v>Complete</v>
      </c>
      <c r="I9023" s="48" t="s">
        <v>13388</v>
      </c>
    </row>
    <row r="9024" spans="2:9" ht="15" customHeight="1" x14ac:dyDescent="0.25">
      <c r="B9024" s="55" t="s">
        <v>280</v>
      </c>
      <c r="C9024" s="46">
        <v>4012</v>
      </c>
      <c r="D9024" s="69" t="s">
        <v>29417</v>
      </c>
      <c r="E9024" s="51"/>
      <c r="F9024" s="114" t="str">
        <f>IF(INDEX(I.Facility.P2aIDNumber,4012)="","",INDEX(I.Facility.P2aIDNumber,4012))</f>
        <v/>
      </c>
      <c r="G9024" s="51"/>
      <c r="H9024" s="46" t="str">
        <f>IF(AND(I.Developer.P2a=TRUE,I.Facility.P2aFacilityCount&gt;=4012,F9024=""),"Incomplete","Complete")</f>
        <v>Complete</v>
      </c>
      <c r="I9024" s="48" t="s">
        <v>13389</v>
      </c>
    </row>
    <row r="9025" spans="2:9" ht="15" customHeight="1" x14ac:dyDescent="0.25">
      <c r="B9025" s="55" t="s">
        <v>280</v>
      </c>
      <c r="C9025" s="46">
        <v>4013</v>
      </c>
      <c r="D9025" s="69" t="s">
        <v>29417</v>
      </c>
      <c r="E9025" s="51"/>
      <c r="F9025" s="114" t="str">
        <f>IF(INDEX(I.Facility.P2aIDNumber,4013)="","",INDEX(I.Facility.P2aIDNumber,4013))</f>
        <v/>
      </c>
      <c r="G9025" s="51"/>
      <c r="H9025" s="46" t="str">
        <f>IF(AND(I.Developer.P2a=TRUE,I.Facility.P2aFacilityCount&gt;=4013,F9025=""),"Incomplete","Complete")</f>
        <v>Complete</v>
      </c>
      <c r="I9025" s="48" t="s">
        <v>13390</v>
      </c>
    </row>
    <row r="9026" spans="2:9" ht="15" customHeight="1" x14ac:dyDescent="0.25">
      <c r="B9026" s="55" t="s">
        <v>280</v>
      </c>
      <c r="C9026" s="46">
        <v>4014</v>
      </c>
      <c r="D9026" s="69" t="s">
        <v>29417</v>
      </c>
      <c r="E9026" s="51"/>
      <c r="F9026" s="114" t="str">
        <f>IF(INDEX(I.Facility.P2aIDNumber,4014)="","",INDEX(I.Facility.P2aIDNumber,4014))</f>
        <v/>
      </c>
      <c r="G9026" s="51"/>
      <c r="H9026" s="46" t="str">
        <f>IF(AND(I.Developer.P2a=TRUE,I.Facility.P2aFacilityCount&gt;=4014,F9026=""),"Incomplete","Complete")</f>
        <v>Complete</v>
      </c>
      <c r="I9026" s="48" t="s">
        <v>13391</v>
      </c>
    </row>
    <row r="9027" spans="2:9" ht="15" customHeight="1" x14ac:dyDescent="0.25">
      <c r="B9027" s="55" t="s">
        <v>280</v>
      </c>
      <c r="C9027" s="46">
        <v>4015</v>
      </c>
      <c r="D9027" s="69" t="s">
        <v>29417</v>
      </c>
      <c r="E9027" s="51"/>
      <c r="F9027" s="114" t="str">
        <f>IF(INDEX(I.Facility.P2aIDNumber,4015)="","",INDEX(I.Facility.P2aIDNumber,4015))</f>
        <v/>
      </c>
      <c r="G9027" s="51"/>
      <c r="H9027" s="46" t="str">
        <f>IF(AND(I.Developer.P2a=TRUE,I.Facility.P2aFacilityCount&gt;=4015,F9027=""),"Incomplete","Complete")</f>
        <v>Complete</v>
      </c>
      <c r="I9027" s="48" t="s">
        <v>13392</v>
      </c>
    </row>
    <row r="9028" spans="2:9" ht="15" customHeight="1" x14ac:dyDescent="0.25">
      <c r="B9028" s="55" t="s">
        <v>280</v>
      </c>
      <c r="C9028" s="46">
        <v>4016</v>
      </c>
      <c r="D9028" s="69" t="s">
        <v>29417</v>
      </c>
      <c r="E9028" s="51"/>
      <c r="F9028" s="114" t="str">
        <f>IF(INDEX(I.Facility.P2aIDNumber,4016)="","",INDEX(I.Facility.P2aIDNumber,4016))</f>
        <v/>
      </c>
      <c r="G9028" s="51"/>
      <c r="H9028" s="46" t="str">
        <f>IF(AND(I.Developer.P2a=TRUE,I.Facility.P2aFacilityCount&gt;=4016,F9028=""),"Incomplete","Complete")</f>
        <v>Complete</v>
      </c>
      <c r="I9028" s="48" t="s">
        <v>13393</v>
      </c>
    </row>
    <row r="9029" spans="2:9" ht="15" customHeight="1" x14ac:dyDescent="0.25">
      <c r="B9029" s="55" t="s">
        <v>280</v>
      </c>
      <c r="C9029" s="46">
        <v>4017</v>
      </c>
      <c r="D9029" s="69" t="s">
        <v>29417</v>
      </c>
      <c r="E9029" s="51"/>
      <c r="F9029" s="114" t="str">
        <f>IF(INDEX(I.Facility.P2aIDNumber,4017)="","",INDEX(I.Facility.P2aIDNumber,4017))</f>
        <v/>
      </c>
      <c r="G9029" s="51"/>
      <c r="H9029" s="46" t="str">
        <f>IF(AND(I.Developer.P2a=TRUE,I.Facility.P2aFacilityCount&gt;=4017,F9029=""),"Incomplete","Complete")</f>
        <v>Complete</v>
      </c>
      <c r="I9029" s="48" t="s">
        <v>13394</v>
      </c>
    </row>
    <row r="9030" spans="2:9" ht="15" customHeight="1" x14ac:dyDescent="0.25">
      <c r="B9030" s="55" t="s">
        <v>280</v>
      </c>
      <c r="C9030" s="46">
        <v>4018</v>
      </c>
      <c r="D9030" s="69" t="s">
        <v>29417</v>
      </c>
      <c r="E9030" s="51"/>
      <c r="F9030" s="114" t="str">
        <f>IF(INDEX(I.Facility.P2aIDNumber,4018)="","",INDEX(I.Facility.P2aIDNumber,4018))</f>
        <v/>
      </c>
      <c r="G9030" s="51"/>
      <c r="H9030" s="46" t="str">
        <f>IF(AND(I.Developer.P2a=TRUE,I.Facility.P2aFacilityCount&gt;=4018,F9030=""),"Incomplete","Complete")</f>
        <v>Complete</v>
      </c>
      <c r="I9030" s="48" t="s">
        <v>13395</v>
      </c>
    </row>
    <row r="9031" spans="2:9" ht="15" customHeight="1" x14ac:dyDescent="0.25">
      <c r="B9031" s="55" t="s">
        <v>280</v>
      </c>
      <c r="C9031" s="46">
        <v>4019</v>
      </c>
      <c r="D9031" s="69" t="s">
        <v>29417</v>
      </c>
      <c r="E9031" s="51"/>
      <c r="F9031" s="114" t="str">
        <f>IF(INDEX(I.Facility.P2aIDNumber,4019)="","",INDEX(I.Facility.P2aIDNumber,4019))</f>
        <v/>
      </c>
      <c r="G9031" s="51"/>
      <c r="H9031" s="46" t="str">
        <f>IF(AND(I.Developer.P2a=TRUE,I.Facility.P2aFacilityCount&gt;=4019,F9031=""),"Incomplete","Complete")</f>
        <v>Complete</v>
      </c>
      <c r="I9031" s="48" t="s">
        <v>13396</v>
      </c>
    </row>
    <row r="9032" spans="2:9" ht="15" customHeight="1" x14ac:dyDescent="0.25">
      <c r="B9032" s="55" t="s">
        <v>280</v>
      </c>
      <c r="C9032" s="46">
        <v>4020</v>
      </c>
      <c r="D9032" s="69" t="s">
        <v>29417</v>
      </c>
      <c r="E9032" s="51"/>
      <c r="F9032" s="114" t="str">
        <f>IF(INDEX(I.Facility.P2aIDNumber,4020)="","",INDEX(I.Facility.P2aIDNumber,4020))</f>
        <v/>
      </c>
      <c r="G9032" s="51"/>
      <c r="H9032" s="46" t="str">
        <f>IF(AND(I.Developer.P2a=TRUE,I.Facility.P2aFacilityCount&gt;=4020,F9032=""),"Incomplete","Complete")</f>
        <v>Complete</v>
      </c>
      <c r="I9032" s="48" t="s">
        <v>13397</v>
      </c>
    </row>
    <row r="9033" spans="2:9" ht="15" customHeight="1" x14ac:dyDescent="0.25">
      <c r="B9033" s="55" t="s">
        <v>280</v>
      </c>
      <c r="C9033" s="46">
        <v>4021</v>
      </c>
      <c r="D9033" s="69" t="s">
        <v>29417</v>
      </c>
      <c r="E9033" s="51"/>
      <c r="F9033" s="114" t="str">
        <f>IF(INDEX(I.Facility.P2aIDNumber,4021)="","",INDEX(I.Facility.P2aIDNumber,4021))</f>
        <v/>
      </c>
      <c r="G9033" s="51"/>
      <c r="H9033" s="46" t="str">
        <f>IF(AND(I.Developer.P2a=TRUE,I.Facility.P2aFacilityCount&gt;=4021,F9033=""),"Incomplete","Complete")</f>
        <v>Complete</v>
      </c>
      <c r="I9033" s="48" t="s">
        <v>13398</v>
      </c>
    </row>
    <row r="9034" spans="2:9" ht="15" customHeight="1" x14ac:dyDescent="0.25">
      <c r="B9034" s="55" t="s">
        <v>280</v>
      </c>
      <c r="C9034" s="46">
        <v>4022</v>
      </c>
      <c r="D9034" s="69" t="s">
        <v>29417</v>
      </c>
      <c r="E9034" s="51"/>
      <c r="F9034" s="114" t="str">
        <f>IF(INDEX(I.Facility.P2aIDNumber,4022)="","",INDEX(I.Facility.P2aIDNumber,4022))</f>
        <v/>
      </c>
      <c r="G9034" s="51"/>
      <c r="H9034" s="46" t="str">
        <f>IF(AND(I.Developer.P2a=TRUE,I.Facility.P2aFacilityCount&gt;=4022,F9034=""),"Incomplete","Complete")</f>
        <v>Complete</v>
      </c>
      <c r="I9034" s="48" t="s">
        <v>13399</v>
      </c>
    </row>
    <row r="9035" spans="2:9" ht="15" customHeight="1" x14ac:dyDescent="0.25">
      <c r="B9035" s="55" t="s">
        <v>280</v>
      </c>
      <c r="C9035" s="46">
        <v>4023</v>
      </c>
      <c r="D9035" s="69" t="s">
        <v>29417</v>
      </c>
      <c r="E9035" s="51"/>
      <c r="F9035" s="114" t="str">
        <f>IF(INDEX(I.Facility.P2aIDNumber,4023)="","",INDEX(I.Facility.P2aIDNumber,4023))</f>
        <v/>
      </c>
      <c r="G9035" s="51"/>
      <c r="H9035" s="46" t="str">
        <f>IF(AND(I.Developer.P2a=TRUE,I.Facility.P2aFacilityCount&gt;=4023,F9035=""),"Incomplete","Complete")</f>
        <v>Complete</v>
      </c>
      <c r="I9035" s="48" t="s">
        <v>13400</v>
      </c>
    </row>
    <row r="9036" spans="2:9" ht="15" customHeight="1" x14ac:dyDescent="0.25">
      <c r="B9036" s="55" t="s">
        <v>280</v>
      </c>
      <c r="C9036" s="46">
        <v>4024</v>
      </c>
      <c r="D9036" s="69" t="s">
        <v>29417</v>
      </c>
      <c r="E9036" s="51"/>
      <c r="F9036" s="114" t="str">
        <f>IF(INDEX(I.Facility.P2aIDNumber,4024)="","",INDEX(I.Facility.P2aIDNumber,4024))</f>
        <v/>
      </c>
      <c r="G9036" s="51"/>
      <c r="H9036" s="46" t="str">
        <f>IF(AND(I.Developer.P2a=TRUE,I.Facility.P2aFacilityCount&gt;=4024,F9036=""),"Incomplete","Complete")</f>
        <v>Complete</v>
      </c>
      <c r="I9036" s="48" t="s">
        <v>13401</v>
      </c>
    </row>
    <row r="9037" spans="2:9" ht="15" customHeight="1" x14ac:dyDescent="0.25">
      <c r="B9037" s="55" t="s">
        <v>280</v>
      </c>
      <c r="C9037" s="46">
        <v>4025</v>
      </c>
      <c r="D9037" s="69" t="s">
        <v>29417</v>
      </c>
      <c r="E9037" s="51"/>
      <c r="F9037" s="114" t="str">
        <f>IF(INDEX(I.Facility.P2aIDNumber,4025)="","",INDEX(I.Facility.P2aIDNumber,4025))</f>
        <v/>
      </c>
      <c r="G9037" s="51"/>
      <c r="H9037" s="46" t="str">
        <f>IF(AND(I.Developer.P2a=TRUE,I.Facility.P2aFacilityCount&gt;=4025,F9037=""),"Incomplete","Complete")</f>
        <v>Complete</v>
      </c>
      <c r="I9037" s="48" t="s">
        <v>13402</v>
      </c>
    </row>
    <row r="9038" spans="2:9" ht="15" customHeight="1" x14ac:dyDescent="0.25">
      <c r="B9038" s="55" t="s">
        <v>280</v>
      </c>
      <c r="C9038" s="46">
        <v>4026</v>
      </c>
      <c r="D9038" s="69" t="s">
        <v>29417</v>
      </c>
      <c r="E9038" s="51"/>
      <c r="F9038" s="114" t="str">
        <f>IF(INDEX(I.Facility.P2aIDNumber,4026)="","",INDEX(I.Facility.P2aIDNumber,4026))</f>
        <v/>
      </c>
      <c r="G9038" s="51"/>
      <c r="H9038" s="46" t="str">
        <f>IF(AND(I.Developer.P2a=TRUE,I.Facility.P2aFacilityCount&gt;=4026,F9038=""),"Incomplete","Complete")</f>
        <v>Complete</v>
      </c>
      <c r="I9038" s="48" t="s">
        <v>13403</v>
      </c>
    </row>
    <row r="9039" spans="2:9" ht="15" customHeight="1" x14ac:dyDescent="0.25">
      <c r="B9039" s="55" t="s">
        <v>280</v>
      </c>
      <c r="C9039" s="46">
        <v>4027</v>
      </c>
      <c r="D9039" s="69" t="s">
        <v>29417</v>
      </c>
      <c r="E9039" s="51"/>
      <c r="F9039" s="114" t="str">
        <f>IF(INDEX(I.Facility.P2aIDNumber,4027)="","",INDEX(I.Facility.P2aIDNumber,4027))</f>
        <v/>
      </c>
      <c r="G9039" s="51"/>
      <c r="H9039" s="46" t="str">
        <f>IF(AND(I.Developer.P2a=TRUE,I.Facility.P2aFacilityCount&gt;=4027,F9039=""),"Incomplete","Complete")</f>
        <v>Complete</v>
      </c>
      <c r="I9039" s="48" t="s">
        <v>13404</v>
      </c>
    </row>
    <row r="9040" spans="2:9" ht="15" customHeight="1" x14ac:dyDescent="0.25">
      <c r="B9040" s="55" t="s">
        <v>280</v>
      </c>
      <c r="C9040" s="46">
        <v>4028</v>
      </c>
      <c r="D9040" s="69" t="s">
        <v>29417</v>
      </c>
      <c r="E9040" s="51"/>
      <c r="F9040" s="114" t="str">
        <f>IF(INDEX(I.Facility.P2aIDNumber,4028)="","",INDEX(I.Facility.P2aIDNumber,4028))</f>
        <v/>
      </c>
      <c r="G9040" s="51"/>
      <c r="H9040" s="46" t="str">
        <f>IF(AND(I.Developer.P2a=TRUE,I.Facility.P2aFacilityCount&gt;=4028,F9040=""),"Incomplete","Complete")</f>
        <v>Complete</v>
      </c>
      <c r="I9040" s="48" t="s">
        <v>13405</v>
      </c>
    </row>
    <row r="9041" spans="2:9" ht="15" customHeight="1" x14ac:dyDescent="0.25">
      <c r="B9041" s="55" t="s">
        <v>280</v>
      </c>
      <c r="C9041" s="46">
        <v>4029</v>
      </c>
      <c r="D9041" s="69" t="s">
        <v>29417</v>
      </c>
      <c r="E9041" s="51"/>
      <c r="F9041" s="114" t="str">
        <f>IF(INDEX(I.Facility.P2aIDNumber,4029)="","",INDEX(I.Facility.P2aIDNumber,4029))</f>
        <v/>
      </c>
      <c r="G9041" s="51"/>
      <c r="H9041" s="46" t="str">
        <f>IF(AND(I.Developer.P2a=TRUE,I.Facility.P2aFacilityCount&gt;=4029,F9041=""),"Incomplete","Complete")</f>
        <v>Complete</v>
      </c>
      <c r="I9041" s="48" t="s">
        <v>13406</v>
      </c>
    </row>
    <row r="9042" spans="2:9" ht="15" customHeight="1" x14ac:dyDescent="0.25">
      <c r="B9042" s="55" t="s">
        <v>280</v>
      </c>
      <c r="C9042" s="46">
        <v>4030</v>
      </c>
      <c r="D9042" s="69" t="s">
        <v>29417</v>
      </c>
      <c r="E9042" s="51"/>
      <c r="F9042" s="114" t="str">
        <f>IF(INDEX(I.Facility.P2aIDNumber,4030)="","",INDEX(I.Facility.P2aIDNumber,4030))</f>
        <v/>
      </c>
      <c r="G9042" s="51"/>
      <c r="H9042" s="46" t="str">
        <f>IF(AND(I.Developer.P2a=TRUE,I.Facility.P2aFacilityCount&gt;=4030,F9042=""),"Incomplete","Complete")</f>
        <v>Complete</v>
      </c>
      <c r="I9042" s="48" t="s">
        <v>13407</v>
      </c>
    </row>
    <row r="9043" spans="2:9" ht="15" customHeight="1" x14ac:dyDescent="0.25">
      <c r="B9043" s="55" t="s">
        <v>280</v>
      </c>
      <c r="C9043" s="46">
        <v>4031</v>
      </c>
      <c r="D9043" s="69" t="s">
        <v>29417</v>
      </c>
      <c r="E9043" s="51"/>
      <c r="F9043" s="114" t="str">
        <f>IF(INDEX(I.Facility.P2aIDNumber,4031)="","",INDEX(I.Facility.P2aIDNumber,4031))</f>
        <v/>
      </c>
      <c r="G9043" s="51"/>
      <c r="H9043" s="46" t="str">
        <f>IF(AND(I.Developer.P2a=TRUE,I.Facility.P2aFacilityCount&gt;=4031,F9043=""),"Incomplete","Complete")</f>
        <v>Complete</v>
      </c>
      <c r="I9043" s="48" t="s">
        <v>13408</v>
      </c>
    </row>
    <row r="9044" spans="2:9" ht="15" customHeight="1" x14ac:dyDescent="0.25">
      <c r="B9044" s="55" t="s">
        <v>280</v>
      </c>
      <c r="C9044" s="46">
        <v>4032</v>
      </c>
      <c r="D9044" s="69" t="s">
        <v>29417</v>
      </c>
      <c r="E9044" s="51"/>
      <c r="F9044" s="114" t="str">
        <f>IF(INDEX(I.Facility.P2aIDNumber,4032)="","",INDEX(I.Facility.P2aIDNumber,4032))</f>
        <v/>
      </c>
      <c r="G9044" s="51"/>
      <c r="H9044" s="46" t="str">
        <f>IF(AND(I.Developer.P2a=TRUE,I.Facility.P2aFacilityCount&gt;=4032,F9044=""),"Incomplete","Complete")</f>
        <v>Complete</v>
      </c>
      <c r="I9044" s="48" t="s">
        <v>13409</v>
      </c>
    </row>
    <row r="9045" spans="2:9" ht="15" customHeight="1" x14ac:dyDescent="0.25">
      <c r="B9045" s="55" t="s">
        <v>280</v>
      </c>
      <c r="C9045" s="46">
        <v>4033</v>
      </c>
      <c r="D9045" s="69" t="s">
        <v>29417</v>
      </c>
      <c r="E9045" s="51"/>
      <c r="F9045" s="114" t="str">
        <f>IF(INDEX(I.Facility.P2aIDNumber,4033)="","",INDEX(I.Facility.P2aIDNumber,4033))</f>
        <v/>
      </c>
      <c r="G9045" s="51"/>
      <c r="H9045" s="46" t="str">
        <f>IF(AND(I.Developer.P2a=TRUE,I.Facility.P2aFacilityCount&gt;=4033,F9045=""),"Incomplete","Complete")</f>
        <v>Complete</v>
      </c>
      <c r="I9045" s="48" t="s">
        <v>13410</v>
      </c>
    </row>
    <row r="9046" spans="2:9" ht="15" customHeight="1" x14ac:dyDescent="0.25">
      <c r="B9046" s="55" t="s">
        <v>280</v>
      </c>
      <c r="C9046" s="46">
        <v>4034</v>
      </c>
      <c r="D9046" s="69" t="s">
        <v>29417</v>
      </c>
      <c r="E9046" s="51"/>
      <c r="F9046" s="114" t="str">
        <f>IF(INDEX(I.Facility.P2aIDNumber,4034)="","",INDEX(I.Facility.P2aIDNumber,4034))</f>
        <v/>
      </c>
      <c r="G9046" s="51"/>
      <c r="H9046" s="46" t="str">
        <f>IF(AND(I.Developer.P2a=TRUE,I.Facility.P2aFacilityCount&gt;=4034,F9046=""),"Incomplete","Complete")</f>
        <v>Complete</v>
      </c>
      <c r="I9046" s="48" t="s">
        <v>13411</v>
      </c>
    </row>
    <row r="9047" spans="2:9" ht="15" customHeight="1" x14ac:dyDescent="0.25">
      <c r="B9047" s="55" t="s">
        <v>280</v>
      </c>
      <c r="C9047" s="46">
        <v>4035</v>
      </c>
      <c r="D9047" s="69" t="s">
        <v>29417</v>
      </c>
      <c r="E9047" s="51"/>
      <c r="F9047" s="114" t="str">
        <f>IF(INDEX(I.Facility.P2aIDNumber,4035)="","",INDEX(I.Facility.P2aIDNumber,4035))</f>
        <v/>
      </c>
      <c r="G9047" s="51"/>
      <c r="H9047" s="46" t="str">
        <f>IF(AND(I.Developer.P2a=TRUE,I.Facility.P2aFacilityCount&gt;=4035,F9047=""),"Incomplete","Complete")</f>
        <v>Complete</v>
      </c>
      <c r="I9047" s="48" t="s">
        <v>13412</v>
      </c>
    </row>
    <row r="9048" spans="2:9" ht="15" customHeight="1" x14ac:dyDescent="0.25">
      <c r="B9048" s="55" t="s">
        <v>280</v>
      </c>
      <c r="C9048" s="46">
        <v>4036</v>
      </c>
      <c r="D9048" s="69" t="s">
        <v>29417</v>
      </c>
      <c r="E9048" s="51"/>
      <c r="F9048" s="114" t="str">
        <f>IF(INDEX(I.Facility.P2aIDNumber,4036)="","",INDEX(I.Facility.P2aIDNumber,4036))</f>
        <v/>
      </c>
      <c r="G9048" s="51"/>
      <c r="H9048" s="46" t="str">
        <f>IF(AND(I.Developer.P2a=TRUE,I.Facility.P2aFacilityCount&gt;=4036,F9048=""),"Incomplete","Complete")</f>
        <v>Complete</v>
      </c>
      <c r="I9048" s="48" t="s">
        <v>13413</v>
      </c>
    </row>
    <row r="9049" spans="2:9" ht="15" customHeight="1" x14ac:dyDescent="0.25">
      <c r="B9049" s="55" t="s">
        <v>280</v>
      </c>
      <c r="C9049" s="46">
        <v>4037</v>
      </c>
      <c r="D9049" s="69" t="s">
        <v>29417</v>
      </c>
      <c r="E9049" s="51"/>
      <c r="F9049" s="114" t="str">
        <f>IF(INDEX(I.Facility.P2aIDNumber,4037)="","",INDEX(I.Facility.P2aIDNumber,4037))</f>
        <v/>
      </c>
      <c r="G9049" s="51"/>
      <c r="H9049" s="46" t="str">
        <f>IF(AND(I.Developer.P2a=TRUE,I.Facility.P2aFacilityCount&gt;=4037,F9049=""),"Incomplete","Complete")</f>
        <v>Complete</v>
      </c>
      <c r="I9049" s="48" t="s">
        <v>13414</v>
      </c>
    </row>
    <row r="9050" spans="2:9" ht="15" customHeight="1" x14ac:dyDescent="0.25">
      <c r="B9050" s="55" t="s">
        <v>280</v>
      </c>
      <c r="C9050" s="46">
        <v>4038</v>
      </c>
      <c r="D9050" s="69" t="s">
        <v>29417</v>
      </c>
      <c r="E9050" s="51"/>
      <c r="F9050" s="114" t="str">
        <f>IF(INDEX(I.Facility.P2aIDNumber,4038)="","",INDEX(I.Facility.P2aIDNumber,4038))</f>
        <v/>
      </c>
      <c r="G9050" s="51"/>
      <c r="H9050" s="46" t="str">
        <f>IF(AND(I.Developer.P2a=TRUE,I.Facility.P2aFacilityCount&gt;=4038,F9050=""),"Incomplete","Complete")</f>
        <v>Complete</v>
      </c>
      <c r="I9050" s="48" t="s">
        <v>13415</v>
      </c>
    </row>
    <row r="9051" spans="2:9" ht="15" customHeight="1" x14ac:dyDescent="0.25">
      <c r="B9051" s="55" t="s">
        <v>280</v>
      </c>
      <c r="C9051" s="46">
        <v>4039</v>
      </c>
      <c r="D9051" s="69" t="s">
        <v>29417</v>
      </c>
      <c r="E9051" s="51"/>
      <c r="F9051" s="114" t="str">
        <f>IF(INDEX(I.Facility.P2aIDNumber,4039)="","",INDEX(I.Facility.P2aIDNumber,4039))</f>
        <v/>
      </c>
      <c r="G9051" s="51"/>
      <c r="H9051" s="46" t="str">
        <f>IF(AND(I.Developer.P2a=TRUE,I.Facility.P2aFacilityCount&gt;=4039,F9051=""),"Incomplete","Complete")</f>
        <v>Complete</v>
      </c>
      <c r="I9051" s="48" t="s">
        <v>13416</v>
      </c>
    </row>
    <row r="9052" spans="2:9" ht="15" customHeight="1" x14ac:dyDescent="0.25">
      <c r="B9052" s="55" t="s">
        <v>280</v>
      </c>
      <c r="C9052" s="46">
        <v>4040</v>
      </c>
      <c r="D9052" s="69" t="s">
        <v>29417</v>
      </c>
      <c r="E9052" s="51"/>
      <c r="F9052" s="114" t="str">
        <f>IF(INDEX(I.Facility.P2aIDNumber,4040)="","",INDEX(I.Facility.P2aIDNumber,4040))</f>
        <v/>
      </c>
      <c r="G9052" s="51"/>
      <c r="H9052" s="46" t="str">
        <f>IF(AND(I.Developer.P2a=TRUE,I.Facility.P2aFacilityCount&gt;=4040,F9052=""),"Incomplete","Complete")</f>
        <v>Complete</v>
      </c>
      <c r="I9052" s="48" t="s">
        <v>13417</v>
      </c>
    </row>
    <row r="9053" spans="2:9" ht="15" customHeight="1" x14ac:dyDescent="0.25">
      <c r="B9053" s="55" t="s">
        <v>280</v>
      </c>
      <c r="C9053" s="46">
        <v>4041</v>
      </c>
      <c r="D9053" s="69" t="s">
        <v>29417</v>
      </c>
      <c r="E9053" s="51"/>
      <c r="F9053" s="114" t="str">
        <f>IF(INDEX(I.Facility.P2aIDNumber,4041)="","",INDEX(I.Facility.P2aIDNumber,4041))</f>
        <v/>
      </c>
      <c r="G9053" s="51"/>
      <c r="H9053" s="46" t="str">
        <f>IF(AND(I.Developer.P2a=TRUE,I.Facility.P2aFacilityCount&gt;=4041,F9053=""),"Incomplete","Complete")</f>
        <v>Complete</v>
      </c>
      <c r="I9053" s="48" t="s">
        <v>13418</v>
      </c>
    </row>
    <row r="9054" spans="2:9" ht="15" customHeight="1" x14ac:dyDescent="0.25">
      <c r="B9054" s="55" t="s">
        <v>280</v>
      </c>
      <c r="C9054" s="46">
        <v>4042</v>
      </c>
      <c r="D9054" s="69" t="s">
        <v>29417</v>
      </c>
      <c r="E9054" s="51"/>
      <c r="F9054" s="114" t="str">
        <f>IF(INDEX(I.Facility.P2aIDNumber,4042)="","",INDEX(I.Facility.P2aIDNumber,4042))</f>
        <v/>
      </c>
      <c r="G9054" s="51"/>
      <c r="H9054" s="46" t="str">
        <f>IF(AND(I.Developer.P2a=TRUE,I.Facility.P2aFacilityCount&gt;=4042,F9054=""),"Incomplete","Complete")</f>
        <v>Complete</v>
      </c>
      <c r="I9054" s="48" t="s">
        <v>13419</v>
      </c>
    </row>
    <row r="9055" spans="2:9" ht="15" customHeight="1" x14ac:dyDescent="0.25">
      <c r="B9055" s="55" t="s">
        <v>280</v>
      </c>
      <c r="C9055" s="46">
        <v>4043</v>
      </c>
      <c r="D9055" s="69" t="s">
        <v>29417</v>
      </c>
      <c r="E9055" s="51"/>
      <c r="F9055" s="114" t="str">
        <f>IF(INDEX(I.Facility.P2aIDNumber,4043)="","",INDEX(I.Facility.P2aIDNumber,4043))</f>
        <v/>
      </c>
      <c r="G9055" s="51"/>
      <c r="H9055" s="46" t="str">
        <f>IF(AND(I.Developer.P2a=TRUE,I.Facility.P2aFacilityCount&gt;=4043,F9055=""),"Incomplete","Complete")</f>
        <v>Complete</v>
      </c>
      <c r="I9055" s="48" t="s">
        <v>13420</v>
      </c>
    </row>
    <row r="9056" spans="2:9" ht="15" customHeight="1" x14ac:dyDescent="0.25">
      <c r="B9056" s="55" t="s">
        <v>280</v>
      </c>
      <c r="C9056" s="46">
        <v>4044</v>
      </c>
      <c r="D9056" s="69" t="s">
        <v>29417</v>
      </c>
      <c r="E9056" s="51"/>
      <c r="F9056" s="114" t="str">
        <f>IF(INDEX(I.Facility.P2aIDNumber,4044)="","",INDEX(I.Facility.P2aIDNumber,4044))</f>
        <v/>
      </c>
      <c r="G9056" s="51"/>
      <c r="H9056" s="46" t="str">
        <f>IF(AND(I.Developer.P2a=TRUE,I.Facility.P2aFacilityCount&gt;=4044,F9056=""),"Incomplete","Complete")</f>
        <v>Complete</v>
      </c>
      <c r="I9056" s="48" t="s">
        <v>13421</v>
      </c>
    </row>
    <row r="9057" spans="2:9" ht="15" customHeight="1" x14ac:dyDescent="0.25">
      <c r="B9057" s="55" t="s">
        <v>280</v>
      </c>
      <c r="C9057" s="46">
        <v>4045</v>
      </c>
      <c r="D9057" s="69" t="s">
        <v>29417</v>
      </c>
      <c r="E9057" s="51"/>
      <c r="F9057" s="114" t="str">
        <f>IF(INDEX(I.Facility.P2aIDNumber,4045)="","",INDEX(I.Facility.P2aIDNumber,4045))</f>
        <v/>
      </c>
      <c r="G9057" s="51"/>
      <c r="H9057" s="46" t="str">
        <f>IF(AND(I.Developer.P2a=TRUE,I.Facility.P2aFacilityCount&gt;=4045,F9057=""),"Incomplete","Complete")</f>
        <v>Complete</v>
      </c>
      <c r="I9057" s="48" t="s">
        <v>13422</v>
      </c>
    </row>
    <row r="9058" spans="2:9" ht="15" customHeight="1" x14ac:dyDescent="0.25">
      <c r="B9058" s="55" t="s">
        <v>280</v>
      </c>
      <c r="C9058" s="46">
        <v>4046</v>
      </c>
      <c r="D9058" s="69" t="s">
        <v>29417</v>
      </c>
      <c r="E9058" s="51"/>
      <c r="F9058" s="114" t="str">
        <f>IF(INDEX(I.Facility.P2aIDNumber,4046)="","",INDEX(I.Facility.P2aIDNumber,4046))</f>
        <v/>
      </c>
      <c r="G9058" s="51"/>
      <c r="H9058" s="46" t="str">
        <f>IF(AND(I.Developer.P2a=TRUE,I.Facility.P2aFacilityCount&gt;=4046,F9058=""),"Incomplete","Complete")</f>
        <v>Complete</v>
      </c>
      <c r="I9058" s="48" t="s">
        <v>13423</v>
      </c>
    </row>
    <row r="9059" spans="2:9" ht="15" customHeight="1" x14ac:dyDescent="0.25">
      <c r="B9059" s="55" t="s">
        <v>280</v>
      </c>
      <c r="C9059" s="46">
        <v>4047</v>
      </c>
      <c r="D9059" s="69" t="s">
        <v>29417</v>
      </c>
      <c r="E9059" s="51"/>
      <c r="F9059" s="114" t="str">
        <f>IF(INDEX(I.Facility.P2aIDNumber,4047)="","",INDEX(I.Facility.P2aIDNumber,4047))</f>
        <v/>
      </c>
      <c r="G9059" s="51"/>
      <c r="H9059" s="46" t="str">
        <f>IF(AND(I.Developer.P2a=TRUE,I.Facility.P2aFacilityCount&gt;=4047,F9059=""),"Incomplete","Complete")</f>
        <v>Complete</v>
      </c>
      <c r="I9059" s="48" t="s">
        <v>13424</v>
      </c>
    </row>
    <row r="9060" spans="2:9" ht="15" customHeight="1" x14ac:dyDescent="0.25">
      <c r="B9060" s="55" t="s">
        <v>280</v>
      </c>
      <c r="C9060" s="46">
        <v>4048</v>
      </c>
      <c r="D9060" s="69" t="s">
        <v>29417</v>
      </c>
      <c r="E9060" s="51"/>
      <c r="F9060" s="114" t="str">
        <f>IF(INDEX(I.Facility.P2aIDNumber,4048)="","",INDEX(I.Facility.P2aIDNumber,4048))</f>
        <v/>
      </c>
      <c r="G9060" s="51"/>
      <c r="H9060" s="46" t="str">
        <f>IF(AND(I.Developer.P2a=TRUE,I.Facility.P2aFacilityCount&gt;=4048,F9060=""),"Incomplete","Complete")</f>
        <v>Complete</v>
      </c>
      <c r="I9060" s="48" t="s">
        <v>13425</v>
      </c>
    </row>
    <row r="9061" spans="2:9" ht="15" customHeight="1" x14ac:dyDescent="0.25">
      <c r="B9061" s="55" t="s">
        <v>280</v>
      </c>
      <c r="C9061" s="46">
        <v>4049</v>
      </c>
      <c r="D9061" s="69" t="s">
        <v>29417</v>
      </c>
      <c r="E9061" s="51"/>
      <c r="F9061" s="114" t="str">
        <f>IF(INDEX(I.Facility.P2aIDNumber,4049)="","",INDEX(I.Facility.P2aIDNumber,4049))</f>
        <v/>
      </c>
      <c r="G9061" s="51"/>
      <c r="H9061" s="46" t="str">
        <f>IF(AND(I.Developer.P2a=TRUE,I.Facility.P2aFacilityCount&gt;=4049,F9061=""),"Incomplete","Complete")</f>
        <v>Complete</v>
      </c>
      <c r="I9061" s="48" t="s">
        <v>13426</v>
      </c>
    </row>
    <row r="9062" spans="2:9" ht="15" customHeight="1" x14ac:dyDescent="0.25">
      <c r="B9062" s="55" t="s">
        <v>280</v>
      </c>
      <c r="C9062" s="46">
        <v>4050</v>
      </c>
      <c r="D9062" s="69" t="s">
        <v>29417</v>
      </c>
      <c r="E9062" s="51"/>
      <c r="F9062" s="114" t="str">
        <f>IF(INDEX(I.Facility.P2aIDNumber,4050)="","",INDEX(I.Facility.P2aIDNumber,4050))</f>
        <v/>
      </c>
      <c r="G9062" s="51"/>
      <c r="H9062" s="46" t="str">
        <f>IF(AND(I.Developer.P2a=TRUE,I.Facility.P2aFacilityCount&gt;=4050,F9062=""),"Incomplete","Complete")</f>
        <v>Complete</v>
      </c>
      <c r="I9062" s="48" t="s">
        <v>13427</v>
      </c>
    </row>
    <row r="9063" spans="2:9" ht="15" customHeight="1" x14ac:dyDescent="0.25">
      <c r="B9063" s="55" t="s">
        <v>280</v>
      </c>
      <c r="C9063" s="46">
        <v>4051</v>
      </c>
      <c r="D9063" s="69" t="s">
        <v>29417</v>
      </c>
      <c r="E9063" s="51"/>
      <c r="F9063" s="114" t="str">
        <f>IF(INDEX(I.Facility.P2aIDNumber,4051)="","",INDEX(I.Facility.P2aIDNumber,4051))</f>
        <v/>
      </c>
      <c r="G9063" s="51"/>
      <c r="H9063" s="46" t="str">
        <f>IF(AND(I.Developer.P2a=TRUE,I.Facility.P2aFacilityCount&gt;=4051,F9063=""),"Incomplete","Complete")</f>
        <v>Complete</v>
      </c>
      <c r="I9063" s="48" t="s">
        <v>13428</v>
      </c>
    </row>
    <row r="9064" spans="2:9" ht="15" customHeight="1" x14ac:dyDescent="0.25">
      <c r="B9064" s="55" t="s">
        <v>280</v>
      </c>
      <c r="C9064" s="46">
        <v>4052</v>
      </c>
      <c r="D9064" s="69" t="s">
        <v>29417</v>
      </c>
      <c r="E9064" s="51"/>
      <c r="F9064" s="114" t="str">
        <f>IF(INDEX(I.Facility.P2aIDNumber,4052)="","",INDEX(I.Facility.P2aIDNumber,4052))</f>
        <v/>
      </c>
      <c r="G9064" s="51"/>
      <c r="H9064" s="46" t="str">
        <f>IF(AND(I.Developer.P2a=TRUE,I.Facility.P2aFacilityCount&gt;=4052,F9064=""),"Incomplete","Complete")</f>
        <v>Complete</v>
      </c>
      <c r="I9064" s="48" t="s">
        <v>13429</v>
      </c>
    </row>
    <row r="9065" spans="2:9" ht="15" customHeight="1" x14ac:dyDescent="0.25">
      <c r="B9065" s="55" t="s">
        <v>280</v>
      </c>
      <c r="C9065" s="46">
        <v>4053</v>
      </c>
      <c r="D9065" s="69" t="s">
        <v>29417</v>
      </c>
      <c r="E9065" s="51"/>
      <c r="F9065" s="114" t="str">
        <f>IF(INDEX(I.Facility.P2aIDNumber,4053)="","",INDEX(I.Facility.P2aIDNumber,4053))</f>
        <v/>
      </c>
      <c r="G9065" s="51"/>
      <c r="H9065" s="46" t="str">
        <f>IF(AND(I.Developer.P2a=TRUE,I.Facility.P2aFacilityCount&gt;=4053,F9065=""),"Incomplete","Complete")</f>
        <v>Complete</v>
      </c>
      <c r="I9065" s="48" t="s">
        <v>13430</v>
      </c>
    </row>
    <row r="9066" spans="2:9" ht="15" customHeight="1" x14ac:dyDescent="0.25">
      <c r="B9066" s="55" t="s">
        <v>280</v>
      </c>
      <c r="C9066" s="46">
        <v>4054</v>
      </c>
      <c r="D9066" s="69" t="s">
        <v>29417</v>
      </c>
      <c r="E9066" s="51"/>
      <c r="F9066" s="114" t="str">
        <f>IF(INDEX(I.Facility.P2aIDNumber,4054)="","",INDEX(I.Facility.P2aIDNumber,4054))</f>
        <v/>
      </c>
      <c r="G9066" s="51"/>
      <c r="H9066" s="46" t="str">
        <f>IF(AND(I.Developer.P2a=TRUE,I.Facility.P2aFacilityCount&gt;=4054,F9066=""),"Incomplete","Complete")</f>
        <v>Complete</v>
      </c>
      <c r="I9066" s="48" t="s">
        <v>13431</v>
      </c>
    </row>
    <row r="9067" spans="2:9" ht="15" customHeight="1" x14ac:dyDescent="0.25">
      <c r="B9067" s="55" t="s">
        <v>280</v>
      </c>
      <c r="C9067" s="46">
        <v>4055</v>
      </c>
      <c r="D9067" s="69" t="s">
        <v>29417</v>
      </c>
      <c r="E9067" s="51"/>
      <c r="F9067" s="114" t="str">
        <f>IF(INDEX(I.Facility.P2aIDNumber,4055)="","",INDEX(I.Facility.P2aIDNumber,4055))</f>
        <v/>
      </c>
      <c r="G9067" s="51"/>
      <c r="H9067" s="46" t="str">
        <f>IF(AND(I.Developer.P2a=TRUE,I.Facility.P2aFacilityCount&gt;=4055,F9067=""),"Incomplete","Complete")</f>
        <v>Complete</v>
      </c>
      <c r="I9067" s="48" t="s">
        <v>13432</v>
      </c>
    </row>
    <row r="9068" spans="2:9" ht="15" customHeight="1" x14ac:dyDescent="0.25">
      <c r="B9068" s="55" t="s">
        <v>280</v>
      </c>
      <c r="C9068" s="46">
        <v>4056</v>
      </c>
      <c r="D9068" s="69" t="s">
        <v>29417</v>
      </c>
      <c r="E9068" s="51"/>
      <c r="F9068" s="114" t="str">
        <f>IF(INDEX(I.Facility.P2aIDNumber,4056)="","",INDEX(I.Facility.P2aIDNumber,4056))</f>
        <v/>
      </c>
      <c r="G9068" s="51"/>
      <c r="H9068" s="46" t="str">
        <f>IF(AND(I.Developer.P2a=TRUE,I.Facility.P2aFacilityCount&gt;=4056,F9068=""),"Incomplete","Complete")</f>
        <v>Complete</v>
      </c>
      <c r="I9068" s="48" t="s">
        <v>13433</v>
      </c>
    </row>
    <row r="9069" spans="2:9" ht="15" customHeight="1" x14ac:dyDescent="0.25">
      <c r="B9069" s="55" t="s">
        <v>280</v>
      </c>
      <c r="C9069" s="46">
        <v>4057</v>
      </c>
      <c r="D9069" s="69" t="s">
        <v>29417</v>
      </c>
      <c r="E9069" s="51"/>
      <c r="F9069" s="114" t="str">
        <f>IF(INDEX(I.Facility.P2aIDNumber,4057)="","",INDEX(I.Facility.P2aIDNumber,4057))</f>
        <v/>
      </c>
      <c r="G9069" s="51"/>
      <c r="H9069" s="46" t="str">
        <f>IF(AND(I.Developer.P2a=TRUE,I.Facility.P2aFacilityCount&gt;=4057,F9069=""),"Incomplete","Complete")</f>
        <v>Complete</v>
      </c>
      <c r="I9069" s="48" t="s">
        <v>13434</v>
      </c>
    </row>
    <row r="9070" spans="2:9" ht="15" customHeight="1" x14ac:dyDescent="0.25">
      <c r="B9070" s="55" t="s">
        <v>280</v>
      </c>
      <c r="C9070" s="46">
        <v>4058</v>
      </c>
      <c r="D9070" s="69" t="s">
        <v>29417</v>
      </c>
      <c r="E9070" s="51"/>
      <c r="F9070" s="114" t="str">
        <f>IF(INDEX(I.Facility.P2aIDNumber,4058)="","",INDEX(I.Facility.P2aIDNumber,4058))</f>
        <v/>
      </c>
      <c r="G9070" s="51"/>
      <c r="H9070" s="46" t="str">
        <f>IF(AND(I.Developer.P2a=TRUE,I.Facility.P2aFacilityCount&gt;=4058,F9070=""),"Incomplete","Complete")</f>
        <v>Complete</v>
      </c>
      <c r="I9070" s="48" t="s">
        <v>13435</v>
      </c>
    </row>
    <row r="9071" spans="2:9" ht="15" customHeight="1" x14ac:dyDescent="0.25">
      <c r="B9071" s="55" t="s">
        <v>280</v>
      </c>
      <c r="C9071" s="46">
        <v>4059</v>
      </c>
      <c r="D9071" s="69" t="s">
        <v>29417</v>
      </c>
      <c r="E9071" s="51"/>
      <c r="F9071" s="114" t="str">
        <f>IF(INDEX(I.Facility.P2aIDNumber,4059)="","",INDEX(I.Facility.P2aIDNumber,4059))</f>
        <v/>
      </c>
      <c r="G9071" s="51"/>
      <c r="H9071" s="46" t="str">
        <f>IF(AND(I.Developer.P2a=TRUE,I.Facility.P2aFacilityCount&gt;=4059,F9071=""),"Incomplete","Complete")</f>
        <v>Complete</v>
      </c>
      <c r="I9071" s="48" t="s">
        <v>13436</v>
      </c>
    </row>
    <row r="9072" spans="2:9" ht="15" customHeight="1" x14ac:dyDescent="0.25">
      <c r="B9072" s="55" t="s">
        <v>280</v>
      </c>
      <c r="C9072" s="46">
        <v>4060</v>
      </c>
      <c r="D9072" s="69" t="s">
        <v>29417</v>
      </c>
      <c r="E9072" s="51"/>
      <c r="F9072" s="114" t="str">
        <f>IF(INDEX(I.Facility.P2aIDNumber,4060)="","",INDEX(I.Facility.P2aIDNumber,4060))</f>
        <v/>
      </c>
      <c r="G9072" s="51"/>
      <c r="H9072" s="46" t="str">
        <f>IF(AND(I.Developer.P2a=TRUE,I.Facility.P2aFacilityCount&gt;=4060,F9072=""),"Incomplete","Complete")</f>
        <v>Complete</v>
      </c>
      <c r="I9072" s="48" t="s">
        <v>13437</v>
      </c>
    </row>
    <row r="9073" spans="2:9" ht="15" customHeight="1" x14ac:dyDescent="0.25">
      <c r="B9073" s="55" t="s">
        <v>280</v>
      </c>
      <c r="C9073" s="46">
        <v>4061</v>
      </c>
      <c r="D9073" s="69" t="s">
        <v>29417</v>
      </c>
      <c r="E9073" s="51"/>
      <c r="F9073" s="114" t="str">
        <f>IF(INDEX(I.Facility.P2aIDNumber,4061)="","",INDEX(I.Facility.P2aIDNumber,4061))</f>
        <v/>
      </c>
      <c r="G9073" s="51"/>
      <c r="H9073" s="46" t="str">
        <f>IF(AND(I.Developer.P2a=TRUE,I.Facility.P2aFacilityCount&gt;=4061,F9073=""),"Incomplete","Complete")</f>
        <v>Complete</v>
      </c>
      <c r="I9073" s="48" t="s">
        <v>13438</v>
      </c>
    </row>
    <row r="9074" spans="2:9" ht="15" customHeight="1" x14ac:dyDescent="0.25">
      <c r="B9074" s="55" t="s">
        <v>280</v>
      </c>
      <c r="C9074" s="46">
        <v>4062</v>
      </c>
      <c r="D9074" s="69" t="s">
        <v>29417</v>
      </c>
      <c r="E9074" s="51"/>
      <c r="F9074" s="114" t="str">
        <f>IF(INDEX(I.Facility.P2aIDNumber,4062)="","",INDEX(I.Facility.P2aIDNumber,4062))</f>
        <v/>
      </c>
      <c r="G9074" s="51"/>
      <c r="H9074" s="46" t="str">
        <f>IF(AND(I.Developer.P2a=TRUE,I.Facility.P2aFacilityCount&gt;=4062,F9074=""),"Incomplete","Complete")</f>
        <v>Complete</v>
      </c>
      <c r="I9074" s="48" t="s">
        <v>13439</v>
      </c>
    </row>
    <row r="9075" spans="2:9" ht="15" customHeight="1" x14ac:dyDescent="0.25">
      <c r="B9075" s="55" t="s">
        <v>280</v>
      </c>
      <c r="C9075" s="46">
        <v>4063</v>
      </c>
      <c r="D9075" s="69" t="s">
        <v>29417</v>
      </c>
      <c r="E9075" s="51"/>
      <c r="F9075" s="114" t="str">
        <f>IF(INDEX(I.Facility.P2aIDNumber,4063)="","",INDEX(I.Facility.P2aIDNumber,4063))</f>
        <v/>
      </c>
      <c r="G9075" s="51"/>
      <c r="H9075" s="46" t="str">
        <f>IF(AND(I.Developer.P2a=TRUE,I.Facility.P2aFacilityCount&gt;=4063,F9075=""),"Incomplete","Complete")</f>
        <v>Complete</v>
      </c>
      <c r="I9075" s="48" t="s">
        <v>13440</v>
      </c>
    </row>
    <row r="9076" spans="2:9" ht="15" customHeight="1" x14ac:dyDescent="0.25">
      <c r="B9076" s="55" t="s">
        <v>280</v>
      </c>
      <c r="C9076" s="46">
        <v>4064</v>
      </c>
      <c r="D9076" s="69" t="s">
        <v>29417</v>
      </c>
      <c r="E9076" s="51"/>
      <c r="F9076" s="114" t="str">
        <f>IF(INDEX(I.Facility.P2aIDNumber,4064)="","",INDEX(I.Facility.P2aIDNumber,4064))</f>
        <v/>
      </c>
      <c r="G9076" s="51"/>
      <c r="H9076" s="46" t="str">
        <f>IF(AND(I.Developer.P2a=TRUE,I.Facility.P2aFacilityCount&gt;=4064,F9076=""),"Incomplete","Complete")</f>
        <v>Complete</v>
      </c>
      <c r="I9076" s="48" t="s">
        <v>13441</v>
      </c>
    </row>
    <row r="9077" spans="2:9" ht="15" customHeight="1" x14ac:dyDescent="0.25">
      <c r="B9077" s="55" t="s">
        <v>280</v>
      </c>
      <c r="C9077" s="46">
        <v>4065</v>
      </c>
      <c r="D9077" s="69" t="s">
        <v>29417</v>
      </c>
      <c r="E9077" s="51"/>
      <c r="F9077" s="114" t="str">
        <f>IF(INDEX(I.Facility.P2aIDNumber,4065)="","",INDEX(I.Facility.P2aIDNumber,4065))</f>
        <v/>
      </c>
      <c r="G9077" s="51"/>
      <c r="H9077" s="46" t="str">
        <f>IF(AND(I.Developer.P2a=TRUE,I.Facility.P2aFacilityCount&gt;=4065,F9077=""),"Incomplete","Complete")</f>
        <v>Complete</v>
      </c>
      <c r="I9077" s="48" t="s">
        <v>13442</v>
      </c>
    </row>
    <row r="9078" spans="2:9" ht="15" customHeight="1" x14ac:dyDescent="0.25">
      <c r="B9078" s="55" t="s">
        <v>280</v>
      </c>
      <c r="C9078" s="46">
        <v>4066</v>
      </c>
      <c r="D9078" s="69" t="s">
        <v>29417</v>
      </c>
      <c r="E9078" s="51"/>
      <c r="F9078" s="114" t="str">
        <f>IF(INDEX(I.Facility.P2aIDNumber,4066)="","",INDEX(I.Facility.P2aIDNumber,4066))</f>
        <v/>
      </c>
      <c r="G9078" s="51"/>
      <c r="H9078" s="46" t="str">
        <f>IF(AND(I.Developer.P2a=TRUE,I.Facility.P2aFacilityCount&gt;=4066,F9078=""),"Incomplete","Complete")</f>
        <v>Complete</v>
      </c>
      <c r="I9078" s="48" t="s">
        <v>13443</v>
      </c>
    </row>
    <row r="9079" spans="2:9" ht="15" customHeight="1" x14ac:dyDescent="0.25">
      <c r="B9079" s="55" t="s">
        <v>280</v>
      </c>
      <c r="C9079" s="46">
        <v>4067</v>
      </c>
      <c r="D9079" s="69" t="s">
        <v>29417</v>
      </c>
      <c r="E9079" s="51"/>
      <c r="F9079" s="114" t="str">
        <f>IF(INDEX(I.Facility.P2aIDNumber,4067)="","",INDEX(I.Facility.P2aIDNumber,4067))</f>
        <v/>
      </c>
      <c r="G9079" s="51"/>
      <c r="H9079" s="46" t="str">
        <f>IF(AND(I.Developer.P2a=TRUE,I.Facility.P2aFacilityCount&gt;=4067,F9079=""),"Incomplete","Complete")</f>
        <v>Complete</v>
      </c>
      <c r="I9079" s="48" t="s">
        <v>13444</v>
      </c>
    </row>
    <row r="9080" spans="2:9" ht="15" customHeight="1" x14ac:dyDescent="0.25">
      <c r="B9080" s="55" t="s">
        <v>280</v>
      </c>
      <c r="C9080" s="46">
        <v>4068</v>
      </c>
      <c r="D9080" s="69" t="s">
        <v>29417</v>
      </c>
      <c r="E9080" s="51"/>
      <c r="F9080" s="114" t="str">
        <f>IF(INDEX(I.Facility.P2aIDNumber,4068)="","",INDEX(I.Facility.P2aIDNumber,4068))</f>
        <v/>
      </c>
      <c r="G9080" s="51"/>
      <c r="H9080" s="46" t="str">
        <f>IF(AND(I.Developer.P2a=TRUE,I.Facility.P2aFacilityCount&gt;=4068,F9080=""),"Incomplete","Complete")</f>
        <v>Complete</v>
      </c>
      <c r="I9080" s="48" t="s">
        <v>13445</v>
      </c>
    </row>
    <row r="9081" spans="2:9" ht="15" customHeight="1" x14ac:dyDescent="0.25">
      <c r="B9081" s="55" t="s">
        <v>280</v>
      </c>
      <c r="C9081" s="46">
        <v>4069</v>
      </c>
      <c r="D9081" s="69" t="s">
        <v>29417</v>
      </c>
      <c r="E9081" s="51"/>
      <c r="F9081" s="114" t="str">
        <f>IF(INDEX(I.Facility.P2aIDNumber,4069)="","",INDEX(I.Facility.P2aIDNumber,4069))</f>
        <v/>
      </c>
      <c r="G9081" s="51"/>
      <c r="H9081" s="46" t="str">
        <f>IF(AND(I.Developer.P2a=TRUE,I.Facility.P2aFacilityCount&gt;=4069,F9081=""),"Incomplete","Complete")</f>
        <v>Complete</v>
      </c>
      <c r="I9081" s="48" t="s">
        <v>13446</v>
      </c>
    </row>
    <row r="9082" spans="2:9" ht="15" customHeight="1" x14ac:dyDescent="0.25">
      <c r="B9082" s="55" t="s">
        <v>280</v>
      </c>
      <c r="C9082" s="46">
        <v>4070</v>
      </c>
      <c r="D9082" s="69" t="s">
        <v>29417</v>
      </c>
      <c r="E9082" s="51"/>
      <c r="F9082" s="114" t="str">
        <f>IF(INDEX(I.Facility.P2aIDNumber,4070)="","",INDEX(I.Facility.P2aIDNumber,4070))</f>
        <v/>
      </c>
      <c r="G9082" s="51"/>
      <c r="H9082" s="46" t="str">
        <f>IF(AND(I.Developer.P2a=TRUE,I.Facility.P2aFacilityCount&gt;=4070,F9082=""),"Incomplete","Complete")</f>
        <v>Complete</v>
      </c>
      <c r="I9082" s="48" t="s">
        <v>13447</v>
      </c>
    </row>
    <row r="9083" spans="2:9" ht="15" customHeight="1" x14ac:dyDescent="0.25">
      <c r="B9083" s="55" t="s">
        <v>280</v>
      </c>
      <c r="C9083" s="46">
        <v>4071</v>
      </c>
      <c r="D9083" s="69" t="s">
        <v>29417</v>
      </c>
      <c r="E9083" s="51"/>
      <c r="F9083" s="114" t="str">
        <f>IF(INDEX(I.Facility.P2aIDNumber,4071)="","",INDEX(I.Facility.P2aIDNumber,4071))</f>
        <v/>
      </c>
      <c r="G9083" s="51"/>
      <c r="H9083" s="46" t="str">
        <f>IF(AND(I.Developer.P2a=TRUE,I.Facility.P2aFacilityCount&gt;=4071,F9083=""),"Incomplete","Complete")</f>
        <v>Complete</v>
      </c>
      <c r="I9083" s="48" t="s">
        <v>13448</v>
      </c>
    </row>
    <row r="9084" spans="2:9" ht="15" customHeight="1" x14ac:dyDescent="0.25">
      <c r="B9084" s="55" t="s">
        <v>280</v>
      </c>
      <c r="C9084" s="46">
        <v>4072</v>
      </c>
      <c r="D9084" s="69" t="s">
        <v>29417</v>
      </c>
      <c r="E9084" s="51"/>
      <c r="F9084" s="114" t="str">
        <f>IF(INDEX(I.Facility.P2aIDNumber,4072)="","",INDEX(I.Facility.P2aIDNumber,4072))</f>
        <v/>
      </c>
      <c r="G9084" s="51"/>
      <c r="H9084" s="46" t="str">
        <f>IF(AND(I.Developer.P2a=TRUE,I.Facility.P2aFacilityCount&gt;=4072,F9084=""),"Incomplete","Complete")</f>
        <v>Complete</v>
      </c>
      <c r="I9084" s="48" t="s">
        <v>13449</v>
      </c>
    </row>
    <row r="9085" spans="2:9" ht="15" customHeight="1" x14ac:dyDescent="0.25">
      <c r="B9085" s="55" t="s">
        <v>280</v>
      </c>
      <c r="C9085" s="46">
        <v>4073</v>
      </c>
      <c r="D9085" s="69" t="s">
        <v>29417</v>
      </c>
      <c r="E9085" s="51"/>
      <c r="F9085" s="114" t="str">
        <f>IF(INDEX(I.Facility.P2aIDNumber,4073)="","",INDEX(I.Facility.P2aIDNumber,4073))</f>
        <v/>
      </c>
      <c r="G9085" s="51"/>
      <c r="H9085" s="46" t="str">
        <f>IF(AND(I.Developer.P2a=TRUE,I.Facility.P2aFacilityCount&gt;=4073,F9085=""),"Incomplete","Complete")</f>
        <v>Complete</v>
      </c>
      <c r="I9085" s="48" t="s">
        <v>13450</v>
      </c>
    </row>
    <row r="9086" spans="2:9" ht="15" customHeight="1" x14ac:dyDescent="0.25">
      <c r="B9086" s="55" t="s">
        <v>280</v>
      </c>
      <c r="C9086" s="46">
        <v>4074</v>
      </c>
      <c r="D9086" s="69" t="s">
        <v>29417</v>
      </c>
      <c r="E9086" s="51"/>
      <c r="F9086" s="114" t="str">
        <f>IF(INDEX(I.Facility.P2aIDNumber,4074)="","",INDEX(I.Facility.P2aIDNumber,4074))</f>
        <v/>
      </c>
      <c r="G9086" s="51"/>
      <c r="H9086" s="46" t="str">
        <f>IF(AND(I.Developer.P2a=TRUE,I.Facility.P2aFacilityCount&gt;=4074,F9086=""),"Incomplete","Complete")</f>
        <v>Complete</v>
      </c>
      <c r="I9086" s="48" t="s">
        <v>13451</v>
      </c>
    </row>
    <row r="9087" spans="2:9" ht="15" customHeight="1" x14ac:dyDescent="0.25">
      <c r="B9087" s="55" t="s">
        <v>280</v>
      </c>
      <c r="C9087" s="46">
        <v>4075</v>
      </c>
      <c r="D9087" s="69" t="s">
        <v>29417</v>
      </c>
      <c r="E9087" s="51"/>
      <c r="F9087" s="114" t="str">
        <f>IF(INDEX(I.Facility.P2aIDNumber,4075)="","",INDEX(I.Facility.P2aIDNumber,4075))</f>
        <v/>
      </c>
      <c r="G9087" s="51"/>
      <c r="H9087" s="46" t="str">
        <f>IF(AND(I.Developer.P2a=TRUE,I.Facility.P2aFacilityCount&gt;=4075,F9087=""),"Incomplete","Complete")</f>
        <v>Complete</v>
      </c>
      <c r="I9087" s="48" t="s">
        <v>13452</v>
      </c>
    </row>
    <row r="9088" spans="2:9" ht="15" customHeight="1" x14ac:dyDescent="0.25">
      <c r="B9088" s="55" t="s">
        <v>280</v>
      </c>
      <c r="C9088" s="46">
        <v>4076</v>
      </c>
      <c r="D9088" s="69" t="s">
        <v>29417</v>
      </c>
      <c r="E9088" s="51"/>
      <c r="F9088" s="114" t="str">
        <f>IF(INDEX(I.Facility.P2aIDNumber,4076)="","",INDEX(I.Facility.P2aIDNumber,4076))</f>
        <v/>
      </c>
      <c r="G9088" s="51"/>
      <c r="H9088" s="46" t="str">
        <f>IF(AND(I.Developer.P2a=TRUE,I.Facility.P2aFacilityCount&gt;=4076,F9088=""),"Incomplete","Complete")</f>
        <v>Complete</v>
      </c>
      <c r="I9088" s="48" t="s">
        <v>13453</v>
      </c>
    </row>
    <row r="9089" spans="2:9" ht="15" customHeight="1" x14ac:dyDescent="0.25">
      <c r="B9089" s="55" t="s">
        <v>280</v>
      </c>
      <c r="C9089" s="46">
        <v>4077</v>
      </c>
      <c r="D9089" s="69" t="s">
        <v>29417</v>
      </c>
      <c r="E9089" s="51"/>
      <c r="F9089" s="114" t="str">
        <f>IF(INDEX(I.Facility.P2aIDNumber,4077)="","",INDEX(I.Facility.P2aIDNumber,4077))</f>
        <v/>
      </c>
      <c r="G9089" s="51"/>
      <c r="H9089" s="46" t="str">
        <f>IF(AND(I.Developer.P2a=TRUE,I.Facility.P2aFacilityCount&gt;=4077,F9089=""),"Incomplete","Complete")</f>
        <v>Complete</v>
      </c>
      <c r="I9089" s="48" t="s">
        <v>13454</v>
      </c>
    </row>
    <row r="9090" spans="2:9" ht="15" customHeight="1" x14ac:dyDescent="0.25">
      <c r="B9090" s="55" t="s">
        <v>280</v>
      </c>
      <c r="C9090" s="46">
        <v>4078</v>
      </c>
      <c r="D9090" s="69" t="s">
        <v>29417</v>
      </c>
      <c r="E9090" s="51"/>
      <c r="F9090" s="114" t="str">
        <f>IF(INDEX(I.Facility.P2aIDNumber,4078)="","",INDEX(I.Facility.P2aIDNumber,4078))</f>
        <v/>
      </c>
      <c r="G9090" s="51"/>
      <c r="H9090" s="46" t="str">
        <f>IF(AND(I.Developer.P2a=TRUE,I.Facility.P2aFacilityCount&gt;=4078,F9090=""),"Incomplete","Complete")</f>
        <v>Complete</v>
      </c>
      <c r="I9090" s="48" t="s">
        <v>13455</v>
      </c>
    </row>
    <row r="9091" spans="2:9" ht="15" customHeight="1" x14ac:dyDescent="0.25">
      <c r="B9091" s="55" t="s">
        <v>280</v>
      </c>
      <c r="C9091" s="46">
        <v>4079</v>
      </c>
      <c r="D9091" s="69" t="s">
        <v>29417</v>
      </c>
      <c r="E9091" s="51"/>
      <c r="F9091" s="114" t="str">
        <f>IF(INDEX(I.Facility.P2aIDNumber,4079)="","",INDEX(I.Facility.P2aIDNumber,4079))</f>
        <v/>
      </c>
      <c r="G9091" s="51"/>
      <c r="H9091" s="46" t="str">
        <f>IF(AND(I.Developer.P2a=TRUE,I.Facility.P2aFacilityCount&gt;=4079,F9091=""),"Incomplete","Complete")</f>
        <v>Complete</v>
      </c>
      <c r="I9091" s="48" t="s">
        <v>13456</v>
      </c>
    </row>
    <row r="9092" spans="2:9" ht="15" customHeight="1" x14ac:dyDescent="0.25">
      <c r="B9092" s="55" t="s">
        <v>280</v>
      </c>
      <c r="C9092" s="46">
        <v>4080</v>
      </c>
      <c r="D9092" s="69" t="s">
        <v>29417</v>
      </c>
      <c r="E9092" s="51"/>
      <c r="F9092" s="114" t="str">
        <f>IF(INDEX(I.Facility.P2aIDNumber,4080)="","",INDEX(I.Facility.P2aIDNumber,4080))</f>
        <v/>
      </c>
      <c r="G9092" s="51"/>
      <c r="H9092" s="46" t="str">
        <f>IF(AND(I.Developer.P2a=TRUE,I.Facility.P2aFacilityCount&gt;=4080,F9092=""),"Incomplete","Complete")</f>
        <v>Complete</v>
      </c>
      <c r="I9092" s="48" t="s">
        <v>13457</v>
      </c>
    </row>
    <row r="9093" spans="2:9" ht="15" customHeight="1" x14ac:dyDescent="0.25">
      <c r="B9093" s="55" t="s">
        <v>280</v>
      </c>
      <c r="C9093" s="46">
        <v>4081</v>
      </c>
      <c r="D9093" s="69" t="s">
        <v>29417</v>
      </c>
      <c r="E9093" s="51"/>
      <c r="F9093" s="114" t="str">
        <f>IF(INDEX(I.Facility.P2aIDNumber,4081)="","",INDEX(I.Facility.P2aIDNumber,4081))</f>
        <v/>
      </c>
      <c r="G9093" s="51"/>
      <c r="H9093" s="46" t="str">
        <f>IF(AND(I.Developer.P2a=TRUE,I.Facility.P2aFacilityCount&gt;=4081,F9093=""),"Incomplete","Complete")</f>
        <v>Complete</v>
      </c>
      <c r="I9093" s="48" t="s">
        <v>13458</v>
      </c>
    </row>
    <row r="9094" spans="2:9" ht="15" customHeight="1" x14ac:dyDescent="0.25">
      <c r="B9094" s="55" t="s">
        <v>280</v>
      </c>
      <c r="C9094" s="46">
        <v>4082</v>
      </c>
      <c r="D9094" s="69" t="s">
        <v>29417</v>
      </c>
      <c r="E9094" s="51"/>
      <c r="F9094" s="114" t="str">
        <f>IF(INDEX(I.Facility.P2aIDNumber,4082)="","",INDEX(I.Facility.P2aIDNumber,4082))</f>
        <v/>
      </c>
      <c r="G9094" s="51"/>
      <c r="H9094" s="46" t="str">
        <f>IF(AND(I.Developer.P2a=TRUE,I.Facility.P2aFacilityCount&gt;=4082,F9094=""),"Incomplete","Complete")</f>
        <v>Complete</v>
      </c>
      <c r="I9094" s="48" t="s">
        <v>13459</v>
      </c>
    </row>
    <row r="9095" spans="2:9" ht="15" customHeight="1" x14ac:dyDescent="0.25">
      <c r="B9095" s="55" t="s">
        <v>280</v>
      </c>
      <c r="C9095" s="46">
        <v>4083</v>
      </c>
      <c r="D9095" s="69" t="s">
        <v>29417</v>
      </c>
      <c r="E9095" s="51"/>
      <c r="F9095" s="114" t="str">
        <f>IF(INDEX(I.Facility.P2aIDNumber,4083)="","",INDEX(I.Facility.P2aIDNumber,4083))</f>
        <v/>
      </c>
      <c r="G9095" s="51"/>
      <c r="H9095" s="46" t="str">
        <f>IF(AND(I.Developer.P2a=TRUE,I.Facility.P2aFacilityCount&gt;=4083,F9095=""),"Incomplete","Complete")</f>
        <v>Complete</v>
      </c>
      <c r="I9095" s="48" t="s">
        <v>13460</v>
      </c>
    </row>
    <row r="9096" spans="2:9" ht="15" customHeight="1" x14ac:dyDescent="0.25">
      <c r="B9096" s="55" t="s">
        <v>280</v>
      </c>
      <c r="C9096" s="46">
        <v>4084</v>
      </c>
      <c r="D9096" s="69" t="s">
        <v>29417</v>
      </c>
      <c r="E9096" s="51"/>
      <c r="F9096" s="114" t="str">
        <f>IF(INDEX(I.Facility.P2aIDNumber,4084)="","",INDEX(I.Facility.P2aIDNumber,4084))</f>
        <v/>
      </c>
      <c r="G9096" s="51"/>
      <c r="H9096" s="46" t="str">
        <f>IF(AND(I.Developer.P2a=TRUE,I.Facility.P2aFacilityCount&gt;=4084,F9096=""),"Incomplete","Complete")</f>
        <v>Complete</v>
      </c>
      <c r="I9096" s="48" t="s">
        <v>13461</v>
      </c>
    </row>
    <row r="9097" spans="2:9" ht="15" customHeight="1" x14ac:dyDescent="0.25">
      <c r="B9097" s="55" t="s">
        <v>280</v>
      </c>
      <c r="C9097" s="46">
        <v>4085</v>
      </c>
      <c r="D9097" s="69" t="s">
        <v>29417</v>
      </c>
      <c r="E9097" s="51"/>
      <c r="F9097" s="114" t="str">
        <f>IF(INDEX(I.Facility.P2aIDNumber,4085)="","",INDEX(I.Facility.P2aIDNumber,4085))</f>
        <v/>
      </c>
      <c r="G9097" s="51"/>
      <c r="H9097" s="46" t="str">
        <f>IF(AND(I.Developer.P2a=TRUE,I.Facility.P2aFacilityCount&gt;=4085,F9097=""),"Incomplete","Complete")</f>
        <v>Complete</v>
      </c>
      <c r="I9097" s="48" t="s">
        <v>13462</v>
      </c>
    </row>
    <row r="9098" spans="2:9" ht="15" customHeight="1" x14ac:dyDescent="0.25">
      <c r="B9098" s="55" t="s">
        <v>280</v>
      </c>
      <c r="C9098" s="46">
        <v>4086</v>
      </c>
      <c r="D9098" s="69" t="s">
        <v>29417</v>
      </c>
      <c r="E9098" s="51"/>
      <c r="F9098" s="114" t="str">
        <f>IF(INDEX(I.Facility.P2aIDNumber,4086)="","",INDEX(I.Facility.P2aIDNumber,4086))</f>
        <v/>
      </c>
      <c r="G9098" s="51"/>
      <c r="H9098" s="46" t="str">
        <f>IF(AND(I.Developer.P2a=TRUE,I.Facility.P2aFacilityCount&gt;=4086,F9098=""),"Incomplete","Complete")</f>
        <v>Complete</v>
      </c>
      <c r="I9098" s="48" t="s">
        <v>13463</v>
      </c>
    </row>
    <row r="9099" spans="2:9" ht="15" customHeight="1" x14ac:dyDescent="0.25">
      <c r="B9099" s="55" t="s">
        <v>280</v>
      </c>
      <c r="C9099" s="46">
        <v>4087</v>
      </c>
      <c r="D9099" s="69" t="s">
        <v>29417</v>
      </c>
      <c r="E9099" s="51"/>
      <c r="F9099" s="114" t="str">
        <f>IF(INDEX(I.Facility.P2aIDNumber,4087)="","",INDEX(I.Facility.P2aIDNumber,4087))</f>
        <v/>
      </c>
      <c r="G9099" s="51"/>
      <c r="H9099" s="46" t="str">
        <f>IF(AND(I.Developer.P2a=TRUE,I.Facility.P2aFacilityCount&gt;=4087,F9099=""),"Incomplete","Complete")</f>
        <v>Complete</v>
      </c>
      <c r="I9099" s="48" t="s">
        <v>13464</v>
      </c>
    </row>
    <row r="9100" spans="2:9" ht="15" customHeight="1" x14ac:dyDescent="0.25">
      <c r="B9100" s="55" t="s">
        <v>280</v>
      </c>
      <c r="C9100" s="46">
        <v>4088</v>
      </c>
      <c r="D9100" s="69" t="s">
        <v>29417</v>
      </c>
      <c r="E9100" s="51"/>
      <c r="F9100" s="114" t="str">
        <f>IF(INDEX(I.Facility.P2aIDNumber,4088)="","",INDEX(I.Facility.P2aIDNumber,4088))</f>
        <v/>
      </c>
      <c r="G9100" s="51"/>
      <c r="H9100" s="46" t="str">
        <f>IF(AND(I.Developer.P2a=TRUE,I.Facility.P2aFacilityCount&gt;=4088,F9100=""),"Incomplete","Complete")</f>
        <v>Complete</v>
      </c>
      <c r="I9100" s="48" t="s">
        <v>13465</v>
      </c>
    </row>
    <row r="9101" spans="2:9" ht="15" customHeight="1" x14ac:dyDescent="0.25">
      <c r="B9101" s="55" t="s">
        <v>280</v>
      </c>
      <c r="C9101" s="46">
        <v>4089</v>
      </c>
      <c r="D9101" s="69" t="s">
        <v>29417</v>
      </c>
      <c r="E9101" s="51"/>
      <c r="F9101" s="114" t="str">
        <f>IF(INDEX(I.Facility.P2aIDNumber,4089)="","",INDEX(I.Facility.P2aIDNumber,4089))</f>
        <v/>
      </c>
      <c r="G9101" s="51"/>
      <c r="H9101" s="46" t="str">
        <f>IF(AND(I.Developer.P2a=TRUE,I.Facility.P2aFacilityCount&gt;=4089,F9101=""),"Incomplete","Complete")</f>
        <v>Complete</v>
      </c>
      <c r="I9101" s="48" t="s">
        <v>13466</v>
      </c>
    </row>
    <row r="9102" spans="2:9" ht="15" customHeight="1" x14ac:dyDescent="0.25">
      <c r="B9102" s="55" t="s">
        <v>280</v>
      </c>
      <c r="C9102" s="46">
        <v>4090</v>
      </c>
      <c r="D9102" s="69" t="s">
        <v>29417</v>
      </c>
      <c r="E9102" s="51"/>
      <c r="F9102" s="114" t="str">
        <f>IF(INDEX(I.Facility.P2aIDNumber,4090)="","",INDEX(I.Facility.P2aIDNumber,4090))</f>
        <v/>
      </c>
      <c r="G9102" s="51"/>
      <c r="H9102" s="46" t="str">
        <f>IF(AND(I.Developer.P2a=TRUE,I.Facility.P2aFacilityCount&gt;=4090,F9102=""),"Incomplete","Complete")</f>
        <v>Complete</v>
      </c>
      <c r="I9102" s="48" t="s">
        <v>13467</v>
      </c>
    </row>
    <row r="9103" spans="2:9" ht="15" customHeight="1" x14ac:dyDescent="0.25">
      <c r="B9103" s="55" t="s">
        <v>280</v>
      </c>
      <c r="C9103" s="46">
        <v>4091</v>
      </c>
      <c r="D9103" s="69" t="s">
        <v>29417</v>
      </c>
      <c r="E9103" s="51"/>
      <c r="F9103" s="114" t="str">
        <f>IF(INDEX(I.Facility.P2aIDNumber,4091)="","",INDEX(I.Facility.P2aIDNumber,4091))</f>
        <v/>
      </c>
      <c r="G9103" s="51"/>
      <c r="H9103" s="46" t="str">
        <f>IF(AND(I.Developer.P2a=TRUE,I.Facility.P2aFacilityCount&gt;=4091,F9103=""),"Incomplete","Complete")</f>
        <v>Complete</v>
      </c>
      <c r="I9103" s="48" t="s">
        <v>13468</v>
      </c>
    </row>
    <row r="9104" spans="2:9" ht="15" customHeight="1" x14ac:dyDescent="0.25">
      <c r="B9104" s="55" t="s">
        <v>280</v>
      </c>
      <c r="C9104" s="46">
        <v>4092</v>
      </c>
      <c r="D9104" s="69" t="s">
        <v>29417</v>
      </c>
      <c r="E9104" s="51"/>
      <c r="F9104" s="114" t="str">
        <f>IF(INDEX(I.Facility.P2aIDNumber,4092)="","",INDEX(I.Facility.P2aIDNumber,4092))</f>
        <v/>
      </c>
      <c r="G9104" s="51"/>
      <c r="H9104" s="46" t="str">
        <f>IF(AND(I.Developer.P2a=TRUE,I.Facility.P2aFacilityCount&gt;=4092,F9104=""),"Incomplete","Complete")</f>
        <v>Complete</v>
      </c>
      <c r="I9104" s="48" t="s">
        <v>13469</v>
      </c>
    </row>
    <row r="9105" spans="2:9" ht="15" customHeight="1" x14ac:dyDescent="0.25">
      <c r="B9105" s="55" t="s">
        <v>280</v>
      </c>
      <c r="C9105" s="46">
        <v>4093</v>
      </c>
      <c r="D9105" s="69" t="s">
        <v>29417</v>
      </c>
      <c r="E9105" s="51"/>
      <c r="F9105" s="114" t="str">
        <f>IF(INDEX(I.Facility.P2aIDNumber,4093)="","",INDEX(I.Facility.P2aIDNumber,4093))</f>
        <v/>
      </c>
      <c r="G9105" s="51"/>
      <c r="H9105" s="46" t="str">
        <f>IF(AND(I.Developer.P2a=TRUE,I.Facility.P2aFacilityCount&gt;=4093,F9105=""),"Incomplete","Complete")</f>
        <v>Complete</v>
      </c>
      <c r="I9105" s="48" t="s">
        <v>13470</v>
      </c>
    </row>
    <row r="9106" spans="2:9" ht="15" customHeight="1" x14ac:dyDescent="0.25">
      <c r="B9106" s="55" t="s">
        <v>280</v>
      </c>
      <c r="C9106" s="46">
        <v>4094</v>
      </c>
      <c r="D9106" s="69" t="s">
        <v>29417</v>
      </c>
      <c r="E9106" s="51"/>
      <c r="F9106" s="114" t="str">
        <f>IF(INDEX(I.Facility.P2aIDNumber,4094)="","",INDEX(I.Facility.P2aIDNumber,4094))</f>
        <v/>
      </c>
      <c r="G9106" s="51"/>
      <c r="H9106" s="46" t="str">
        <f>IF(AND(I.Developer.P2a=TRUE,I.Facility.P2aFacilityCount&gt;=4094,F9106=""),"Incomplete","Complete")</f>
        <v>Complete</v>
      </c>
      <c r="I9106" s="48" t="s">
        <v>13471</v>
      </c>
    </row>
    <row r="9107" spans="2:9" ht="15" customHeight="1" x14ac:dyDescent="0.25">
      <c r="B9107" s="55" t="s">
        <v>280</v>
      </c>
      <c r="C9107" s="46">
        <v>4095</v>
      </c>
      <c r="D9107" s="69" t="s">
        <v>29417</v>
      </c>
      <c r="E9107" s="51"/>
      <c r="F9107" s="114" t="str">
        <f>IF(INDEX(I.Facility.P2aIDNumber,4095)="","",INDEX(I.Facility.P2aIDNumber,4095))</f>
        <v/>
      </c>
      <c r="G9107" s="51"/>
      <c r="H9107" s="46" t="str">
        <f>IF(AND(I.Developer.P2a=TRUE,I.Facility.P2aFacilityCount&gt;=4095,F9107=""),"Incomplete","Complete")</f>
        <v>Complete</v>
      </c>
      <c r="I9107" s="48" t="s">
        <v>13472</v>
      </c>
    </row>
    <row r="9108" spans="2:9" ht="15" customHeight="1" x14ac:dyDescent="0.25">
      <c r="B9108" s="55" t="s">
        <v>280</v>
      </c>
      <c r="C9108" s="46">
        <v>4096</v>
      </c>
      <c r="D9108" s="69" t="s">
        <v>29417</v>
      </c>
      <c r="E9108" s="51"/>
      <c r="F9108" s="114" t="str">
        <f>IF(INDEX(I.Facility.P2aIDNumber,4096)="","",INDEX(I.Facility.P2aIDNumber,4096))</f>
        <v/>
      </c>
      <c r="G9108" s="51"/>
      <c r="H9108" s="46" t="str">
        <f>IF(AND(I.Developer.P2a=TRUE,I.Facility.P2aFacilityCount&gt;=4096,F9108=""),"Incomplete","Complete")</f>
        <v>Complete</v>
      </c>
      <c r="I9108" s="48" t="s">
        <v>13473</v>
      </c>
    </row>
    <row r="9109" spans="2:9" ht="15" customHeight="1" x14ac:dyDescent="0.25">
      <c r="B9109" s="55" t="s">
        <v>280</v>
      </c>
      <c r="C9109" s="46">
        <v>4097</v>
      </c>
      <c r="D9109" s="69" t="s">
        <v>29417</v>
      </c>
      <c r="E9109" s="51"/>
      <c r="F9109" s="114" t="str">
        <f>IF(INDEX(I.Facility.P2aIDNumber,4097)="","",INDEX(I.Facility.P2aIDNumber,4097))</f>
        <v/>
      </c>
      <c r="G9109" s="51"/>
      <c r="H9109" s="46" t="str">
        <f>IF(AND(I.Developer.P2a=TRUE,I.Facility.P2aFacilityCount&gt;=4097,F9109=""),"Incomplete","Complete")</f>
        <v>Complete</v>
      </c>
      <c r="I9109" s="48" t="s">
        <v>13474</v>
      </c>
    </row>
    <row r="9110" spans="2:9" ht="15" customHeight="1" x14ac:dyDescent="0.25">
      <c r="B9110" s="55" t="s">
        <v>280</v>
      </c>
      <c r="C9110" s="46">
        <v>4098</v>
      </c>
      <c r="D9110" s="69" t="s">
        <v>29417</v>
      </c>
      <c r="E9110" s="51"/>
      <c r="F9110" s="114" t="str">
        <f>IF(INDEX(I.Facility.P2aIDNumber,4098)="","",INDEX(I.Facility.P2aIDNumber,4098))</f>
        <v/>
      </c>
      <c r="G9110" s="51"/>
      <c r="H9110" s="46" t="str">
        <f>IF(AND(I.Developer.P2a=TRUE,I.Facility.P2aFacilityCount&gt;=4098,F9110=""),"Incomplete","Complete")</f>
        <v>Complete</v>
      </c>
      <c r="I9110" s="48" t="s">
        <v>13475</v>
      </c>
    </row>
    <row r="9111" spans="2:9" ht="15" customHeight="1" x14ac:dyDescent="0.25">
      <c r="B9111" s="55" t="s">
        <v>280</v>
      </c>
      <c r="C9111" s="46">
        <v>4099</v>
      </c>
      <c r="D9111" s="69" t="s">
        <v>29417</v>
      </c>
      <c r="E9111" s="51"/>
      <c r="F9111" s="114" t="str">
        <f>IF(INDEX(I.Facility.P2aIDNumber,4099)="","",INDEX(I.Facility.P2aIDNumber,4099))</f>
        <v/>
      </c>
      <c r="G9111" s="51"/>
      <c r="H9111" s="46" t="str">
        <f>IF(AND(I.Developer.P2a=TRUE,I.Facility.P2aFacilityCount&gt;=4099,F9111=""),"Incomplete","Complete")</f>
        <v>Complete</v>
      </c>
      <c r="I9111" s="48" t="s">
        <v>13476</v>
      </c>
    </row>
    <row r="9112" spans="2:9" ht="15" customHeight="1" x14ac:dyDescent="0.25">
      <c r="B9112" s="55" t="s">
        <v>280</v>
      </c>
      <c r="C9112" s="46">
        <v>4100</v>
      </c>
      <c r="D9112" s="69" t="s">
        <v>29417</v>
      </c>
      <c r="E9112" s="51"/>
      <c r="F9112" s="114" t="str">
        <f>IF(INDEX(I.Facility.P2aIDNumber,4100)="","",INDEX(I.Facility.P2aIDNumber,4100))</f>
        <v/>
      </c>
      <c r="G9112" s="51"/>
      <c r="H9112" s="46" t="str">
        <f>IF(AND(I.Developer.P2a=TRUE,I.Facility.P2aFacilityCount&gt;=4100,F9112=""),"Incomplete","Complete")</f>
        <v>Complete</v>
      </c>
      <c r="I9112" s="48" t="s">
        <v>13477</v>
      </c>
    </row>
    <row r="9113" spans="2:9" ht="15" customHeight="1" x14ac:dyDescent="0.25">
      <c r="B9113" s="55" t="s">
        <v>280</v>
      </c>
      <c r="C9113" s="46">
        <v>4101</v>
      </c>
      <c r="D9113" s="69" t="s">
        <v>29417</v>
      </c>
      <c r="E9113" s="51"/>
      <c r="F9113" s="114" t="str">
        <f>IF(INDEX(I.Facility.P2aIDNumber,4101)="","",INDEX(I.Facility.P2aIDNumber,4101))</f>
        <v/>
      </c>
      <c r="G9113" s="51"/>
      <c r="H9113" s="46" t="str">
        <f>IF(AND(I.Developer.P2a=TRUE,I.Facility.P2aFacilityCount&gt;=4101,F9113=""),"Incomplete","Complete")</f>
        <v>Complete</v>
      </c>
      <c r="I9113" s="48" t="s">
        <v>13478</v>
      </c>
    </row>
    <row r="9114" spans="2:9" ht="15" customHeight="1" x14ac:dyDescent="0.25">
      <c r="B9114" s="55" t="s">
        <v>280</v>
      </c>
      <c r="C9114" s="46">
        <v>4102</v>
      </c>
      <c r="D9114" s="69" t="s">
        <v>29417</v>
      </c>
      <c r="E9114" s="51"/>
      <c r="F9114" s="114" t="str">
        <f>IF(INDEX(I.Facility.P2aIDNumber,4102)="","",INDEX(I.Facility.P2aIDNumber,4102))</f>
        <v/>
      </c>
      <c r="G9114" s="51"/>
      <c r="H9114" s="46" t="str">
        <f>IF(AND(I.Developer.P2a=TRUE,I.Facility.P2aFacilityCount&gt;=4102,F9114=""),"Incomplete","Complete")</f>
        <v>Complete</v>
      </c>
      <c r="I9114" s="48" t="s">
        <v>13479</v>
      </c>
    </row>
    <row r="9115" spans="2:9" ht="15" customHeight="1" x14ac:dyDescent="0.25">
      <c r="B9115" s="55" t="s">
        <v>280</v>
      </c>
      <c r="C9115" s="46">
        <v>4103</v>
      </c>
      <c r="D9115" s="69" t="s">
        <v>29417</v>
      </c>
      <c r="E9115" s="51"/>
      <c r="F9115" s="114" t="str">
        <f>IF(INDEX(I.Facility.P2aIDNumber,4103)="","",INDEX(I.Facility.P2aIDNumber,4103))</f>
        <v/>
      </c>
      <c r="G9115" s="51"/>
      <c r="H9115" s="46" t="str">
        <f>IF(AND(I.Developer.P2a=TRUE,I.Facility.P2aFacilityCount&gt;=4103,F9115=""),"Incomplete","Complete")</f>
        <v>Complete</v>
      </c>
      <c r="I9115" s="48" t="s">
        <v>13480</v>
      </c>
    </row>
    <row r="9116" spans="2:9" ht="15" customHeight="1" x14ac:dyDescent="0.25">
      <c r="B9116" s="55" t="s">
        <v>280</v>
      </c>
      <c r="C9116" s="46">
        <v>4104</v>
      </c>
      <c r="D9116" s="69" t="s">
        <v>29417</v>
      </c>
      <c r="E9116" s="51"/>
      <c r="F9116" s="114" t="str">
        <f>IF(INDEX(I.Facility.P2aIDNumber,4104)="","",INDEX(I.Facility.P2aIDNumber,4104))</f>
        <v/>
      </c>
      <c r="G9116" s="51"/>
      <c r="H9116" s="46" t="str">
        <f>IF(AND(I.Developer.P2a=TRUE,I.Facility.P2aFacilityCount&gt;=4104,F9116=""),"Incomplete","Complete")</f>
        <v>Complete</v>
      </c>
      <c r="I9116" s="48" t="s">
        <v>13481</v>
      </c>
    </row>
    <row r="9117" spans="2:9" ht="15" customHeight="1" x14ac:dyDescent="0.25">
      <c r="B9117" s="55" t="s">
        <v>280</v>
      </c>
      <c r="C9117" s="46">
        <v>4105</v>
      </c>
      <c r="D9117" s="69" t="s">
        <v>29417</v>
      </c>
      <c r="E9117" s="51"/>
      <c r="F9117" s="114" t="str">
        <f>IF(INDEX(I.Facility.P2aIDNumber,4105)="","",INDEX(I.Facility.P2aIDNumber,4105))</f>
        <v/>
      </c>
      <c r="G9117" s="51"/>
      <c r="H9117" s="46" t="str">
        <f>IF(AND(I.Developer.P2a=TRUE,I.Facility.P2aFacilityCount&gt;=4105,F9117=""),"Incomplete","Complete")</f>
        <v>Complete</v>
      </c>
      <c r="I9117" s="48" t="s">
        <v>13482</v>
      </c>
    </row>
    <row r="9118" spans="2:9" ht="15" customHeight="1" x14ac:dyDescent="0.25">
      <c r="B9118" s="55" t="s">
        <v>280</v>
      </c>
      <c r="C9118" s="46">
        <v>4106</v>
      </c>
      <c r="D9118" s="69" t="s">
        <v>29417</v>
      </c>
      <c r="E9118" s="51"/>
      <c r="F9118" s="114" t="str">
        <f>IF(INDEX(I.Facility.P2aIDNumber,4106)="","",INDEX(I.Facility.P2aIDNumber,4106))</f>
        <v/>
      </c>
      <c r="G9118" s="51"/>
      <c r="H9118" s="46" t="str">
        <f>IF(AND(I.Developer.P2a=TRUE,I.Facility.P2aFacilityCount&gt;=4106,F9118=""),"Incomplete","Complete")</f>
        <v>Complete</v>
      </c>
      <c r="I9118" s="48" t="s">
        <v>13483</v>
      </c>
    </row>
    <row r="9119" spans="2:9" ht="15" customHeight="1" x14ac:dyDescent="0.25">
      <c r="B9119" s="55" t="s">
        <v>280</v>
      </c>
      <c r="C9119" s="46">
        <v>4107</v>
      </c>
      <c r="D9119" s="69" t="s">
        <v>29417</v>
      </c>
      <c r="E9119" s="51"/>
      <c r="F9119" s="114" t="str">
        <f>IF(INDEX(I.Facility.P2aIDNumber,4107)="","",INDEX(I.Facility.P2aIDNumber,4107))</f>
        <v/>
      </c>
      <c r="G9119" s="51"/>
      <c r="H9119" s="46" t="str">
        <f>IF(AND(I.Developer.P2a=TRUE,I.Facility.P2aFacilityCount&gt;=4107,F9119=""),"Incomplete","Complete")</f>
        <v>Complete</v>
      </c>
      <c r="I9119" s="48" t="s">
        <v>13484</v>
      </c>
    </row>
    <row r="9120" spans="2:9" ht="15" customHeight="1" x14ac:dyDescent="0.25">
      <c r="B9120" s="55" t="s">
        <v>280</v>
      </c>
      <c r="C9120" s="46">
        <v>4108</v>
      </c>
      <c r="D9120" s="69" t="s">
        <v>29417</v>
      </c>
      <c r="E9120" s="51"/>
      <c r="F9120" s="114" t="str">
        <f>IF(INDEX(I.Facility.P2aIDNumber,4108)="","",INDEX(I.Facility.P2aIDNumber,4108))</f>
        <v/>
      </c>
      <c r="G9120" s="51"/>
      <c r="H9120" s="46" t="str">
        <f>IF(AND(I.Developer.P2a=TRUE,I.Facility.P2aFacilityCount&gt;=4108,F9120=""),"Incomplete","Complete")</f>
        <v>Complete</v>
      </c>
      <c r="I9120" s="48" t="s">
        <v>13485</v>
      </c>
    </row>
    <row r="9121" spans="2:9" ht="15" customHeight="1" x14ac:dyDescent="0.25">
      <c r="B9121" s="55" t="s">
        <v>280</v>
      </c>
      <c r="C9121" s="46">
        <v>4109</v>
      </c>
      <c r="D9121" s="69" t="s">
        <v>29417</v>
      </c>
      <c r="E9121" s="51"/>
      <c r="F9121" s="114" t="str">
        <f>IF(INDEX(I.Facility.P2aIDNumber,4109)="","",INDEX(I.Facility.P2aIDNumber,4109))</f>
        <v/>
      </c>
      <c r="G9121" s="51"/>
      <c r="H9121" s="46" t="str">
        <f>IF(AND(I.Developer.P2a=TRUE,I.Facility.P2aFacilityCount&gt;=4109,F9121=""),"Incomplete","Complete")</f>
        <v>Complete</v>
      </c>
      <c r="I9121" s="48" t="s">
        <v>13486</v>
      </c>
    </row>
    <row r="9122" spans="2:9" ht="15" customHeight="1" x14ac:dyDescent="0.25">
      <c r="B9122" s="55" t="s">
        <v>280</v>
      </c>
      <c r="C9122" s="46">
        <v>4110</v>
      </c>
      <c r="D9122" s="69" t="s">
        <v>29417</v>
      </c>
      <c r="E9122" s="51"/>
      <c r="F9122" s="114" t="str">
        <f>IF(INDEX(I.Facility.P2aIDNumber,4110)="","",INDEX(I.Facility.P2aIDNumber,4110))</f>
        <v/>
      </c>
      <c r="G9122" s="51"/>
      <c r="H9122" s="46" t="str">
        <f>IF(AND(I.Developer.P2a=TRUE,I.Facility.P2aFacilityCount&gt;=4110,F9122=""),"Incomplete","Complete")</f>
        <v>Complete</v>
      </c>
      <c r="I9122" s="48" t="s">
        <v>13487</v>
      </c>
    </row>
    <row r="9123" spans="2:9" ht="15" customHeight="1" x14ac:dyDescent="0.25">
      <c r="B9123" s="55" t="s">
        <v>280</v>
      </c>
      <c r="C9123" s="46">
        <v>4111</v>
      </c>
      <c r="D9123" s="69" t="s">
        <v>29417</v>
      </c>
      <c r="E9123" s="51"/>
      <c r="F9123" s="114" t="str">
        <f>IF(INDEX(I.Facility.P2aIDNumber,4111)="","",INDEX(I.Facility.P2aIDNumber,4111))</f>
        <v/>
      </c>
      <c r="G9123" s="51"/>
      <c r="H9123" s="46" t="str">
        <f>IF(AND(I.Developer.P2a=TRUE,I.Facility.P2aFacilityCount&gt;=4111,F9123=""),"Incomplete","Complete")</f>
        <v>Complete</v>
      </c>
      <c r="I9123" s="48" t="s">
        <v>13488</v>
      </c>
    </row>
    <row r="9124" spans="2:9" ht="15" customHeight="1" x14ac:dyDescent="0.25">
      <c r="B9124" s="55" t="s">
        <v>280</v>
      </c>
      <c r="C9124" s="46">
        <v>4112</v>
      </c>
      <c r="D9124" s="69" t="s">
        <v>29417</v>
      </c>
      <c r="E9124" s="51"/>
      <c r="F9124" s="114" t="str">
        <f>IF(INDEX(I.Facility.P2aIDNumber,4112)="","",INDEX(I.Facility.P2aIDNumber,4112))</f>
        <v/>
      </c>
      <c r="G9124" s="51"/>
      <c r="H9124" s="46" t="str">
        <f>IF(AND(I.Developer.P2a=TRUE,I.Facility.P2aFacilityCount&gt;=4112,F9124=""),"Incomplete","Complete")</f>
        <v>Complete</v>
      </c>
      <c r="I9124" s="48" t="s">
        <v>13489</v>
      </c>
    </row>
    <row r="9125" spans="2:9" ht="15" customHeight="1" x14ac:dyDescent="0.25">
      <c r="B9125" s="55" t="s">
        <v>280</v>
      </c>
      <c r="C9125" s="46">
        <v>4113</v>
      </c>
      <c r="D9125" s="69" t="s">
        <v>29417</v>
      </c>
      <c r="E9125" s="51"/>
      <c r="F9125" s="114" t="str">
        <f>IF(INDEX(I.Facility.P2aIDNumber,4113)="","",INDEX(I.Facility.P2aIDNumber,4113))</f>
        <v/>
      </c>
      <c r="G9125" s="51"/>
      <c r="H9125" s="46" t="str">
        <f>IF(AND(I.Developer.P2a=TRUE,I.Facility.P2aFacilityCount&gt;=4113,F9125=""),"Incomplete","Complete")</f>
        <v>Complete</v>
      </c>
      <c r="I9125" s="48" t="s">
        <v>13490</v>
      </c>
    </row>
    <row r="9126" spans="2:9" ht="15" customHeight="1" x14ac:dyDescent="0.25">
      <c r="B9126" s="55" t="s">
        <v>280</v>
      </c>
      <c r="C9126" s="46">
        <v>4114</v>
      </c>
      <c r="D9126" s="69" t="s">
        <v>29417</v>
      </c>
      <c r="E9126" s="51"/>
      <c r="F9126" s="114" t="str">
        <f>IF(INDEX(I.Facility.P2aIDNumber,4114)="","",INDEX(I.Facility.P2aIDNumber,4114))</f>
        <v/>
      </c>
      <c r="G9126" s="51"/>
      <c r="H9126" s="46" t="str">
        <f>IF(AND(I.Developer.P2a=TRUE,I.Facility.P2aFacilityCount&gt;=4114,F9126=""),"Incomplete","Complete")</f>
        <v>Complete</v>
      </c>
      <c r="I9126" s="48" t="s">
        <v>13491</v>
      </c>
    </row>
    <row r="9127" spans="2:9" ht="15" customHeight="1" x14ac:dyDescent="0.25">
      <c r="B9127" s="55" t="s">
        <v>280</v>
      </c>
      <c r="C9127" s="46">
        <v>4115</v>
      </c>
      <c r="D9127" s="69" t="s">
        <v>29417</v>
      </c>
      <c r="E9127" s="51"/>
      <c r="F9127" s="114" t="str">
        <f>IF(INDEX(I.Facility.P2aIDNumber,4115)="","",INDEX(I.Facility.P2aIDNumber,4115))</f>
        <v/>
      </c>
      <c r="G9127" s="51"/>
      <c r="H9127" s="46" t="str">
        <f>IF(AND(I.Developer.P2a=TRUE,I.Facility.P2aFacilityCount&gt;=4115,F9127=""),"Incomplete","Complete")</f>
        <v>Complete</v>
      </c>
      <c r="I9127" s="48" t="s">
        <v>13492</v>
      </c>
    </row>
    <row r="9128" spans="2:9" ht="15" customHeight="1" x14ac:dyDescent="0.25">
      <c r="B9128" s="55" t="s">
        <v>280</v>
      </c>
      <c r="C9128" s="46">
        <v>4116</v>
      </c>
      <c r="D9128" s="69" t="s">
        <v>29417</v>
      </c>
      <c r="E9128" s="51"/>
      <c r="F9128" s="114" t="str">
        <f>IF(INDEX(I.Facility.P2aIDNumber,4116)="","",INDEX(I.Facility.P2aIDNumber,4116))</f>
        <v/>
      </c>
      <c r="G9128" s="51"/>
      <c r="H9128" s="46" t="str">
        <f>IF(AND(I.Developer.P2a=TRUE,I.Facility.P2aFacilityCount&gt;=4116,F9128=""),"Incomplete","Complete")</f>
        <v>Complete</v>
      </c>
      <c r="I9128" s="48" t="s">
        <v>13493</v>
      </c>
    </row>
    <row r="9129" spans="2:9" ht="15" customHeight="1" x14ac:dyDescent="0.25">
      <c r="B9129" s="55" t="s">
        <v>280</v>
      </c>
      <c r="C9129" s="46">
        <v>4117</v>
      </c>
      <c r="D9129" s="69" t="s">
        <v>29417</v>
      </c>
      <c r="E9129" s="51"/>
      <c r="F9129" s="114" t="str">
        <f>IF(INDEX(I.Facility.P2aIDNumber,4117)="","",INDEX(I.Facility.P2aIDNumber,4117))</f>
        <v/>
      </c>
      <c r="G9129" s="51"/>
      <c r="H9129" s="46" t="str">
        <f>IF(AND(I.Developer.P2a=TRUE,I.Facility.P2aFacilityCount&gt;=4117,F9129=""),"Incomplete","Complete")</f>
        <v>Complete</v>
      </c>
      <c r="I9129" s="48" t="s">
        <v>13494</v>
      </c>
    </row>
    <row r="9130" spans="2:9" ht="15" customHeight="1" x14ac:dyDescent="0.25">
      <c r="B9130" s="55" t="s">
        <v>280</v>
      </c>
      <c r="C9130" s="46">
        <v>4118</v>
      </c>
      <c r="D9130" s="69" t="s">
        <v>29417</v>
      </c>
      <c r="E9130" s="51"/>
      <c r="F9130" s="114" t="str">
        <f>IF(INDEX(I.Facility.P2aIDNumber,4118)="","",INDEX(I.Facility.P2aIDNumber,4118))</f>
        <v/>
      </c>
      <c r="G9130" s="51"/>
      <c r="H9130" s="46" t="str">
        <f>IF(AND(I.Developer.P2a=TRUE,I.Facility.P2aFacilityCount&gt;=4118,F9130=""),"Incomplete","Complete")</f>
        <v>Complete</v>
      </c>
      <c r="I9130" s="48" t="s">
        <v>13495</v>
      </c>
    </row>
    <row r="9131" spans="2:9" ht="15" customHeight="1" x14ac:dyDescent="0.25">
      <c r="B9131" s="55" t="s">
        <v>280</v>
      </c>
      <c r="C9131" s="46">
        <v>4119</v>
      </c>
      <c r="D9131" s="69" t="s">
        <v>29417</v>
      </c>
      <c r="E9131" s="51"/>
      <c r="F9131" s="114" t="str">
        <f>IF(INDEX(I.Facility.P2aIDNumber,4119)="","",INDEX(I.Facility.P2aIDNumber,4119))</f>
        <v/>
      </c>
      <c r="G9131" s="51"/>
      <c r="H9131" s="46" t="str">
        <f>IF(AND(I.Developer.P2a=TRUE,I.Facility.P2aFacilityCount&gt;=4119,F9131=""),"Incomplete","Complete")</f>
        <v>Complete</v>
      </c>
      <c r="I9131" s="48" t="s">
        <v>13496</v>
      </c>
    </row>
    <row r="9132" spans="2:9" ht="15" customHeight="1" x14ac:dyDescent="0.25">
      <c r="B9132" s="55" t="s">
        <v>280</v>
      </c>
      <c r="C9132" s="46">
        <v>4120</v>
      </c>
      <c r="D9132" s="69" t="s">
        <v>29417</v>
      </c>
      <c r="E9132" s="51"/>
      <c r="F9132" s="114" t="str">
        <f>IF(INDEX(I.Facility.P2aIDNumber,4120)="","",INDEX(I.Facility.P2aIDNumber,4120))</f>
        <v/>
      </c>
      <c r="G9132" s="51"/>
      <c r="H9132" s="46" t="str">
        <f>IF(AND(I.Developer.P2a=TRUE,I.Facility.P2aFacilityCount&gt;=4120,F9132=""),"Incomplete","Complete")</f>
        <v>Complete</v>
      </c>
      <c r="I9132" s="48" t="s">
        <v>13497</v>
      </c>
    </row>
    <row r="9133" spans="2:9" ht="15" customHeight="1" x14ac:dyDescent="0.25">
      <c r="B9133" s="55" t="s">
        <v>280</v>
      </c>
      <c r="C9133" s="46">
        <v>4121</v>
      </c>
      <c r="D9133" s="69" t="s">
        <v>29417</v>
      </c>
      <c r="E9133" s="51"/>
      <c r="F9133" s="114" t="str">
        <f>IF(INDEX(I.Facility.P2aIDNumber,4121)="","",INDEX(I.Facility.P2aIDNumber,4121))</f>
        <v/>
      </c>
      <c r="G9133" s="51"/>
      <c r="H9133" s="46" t="str">
        <f>IF(AND(I.Developer.P2a=TRUE,I.Facility.P2aFacilityCount&gt;=4121,F9133=""),"Incomplete","Complete")</f>
        <v>Complete</v>
      </c>
      <c r="I9133" s="48" t="s">
        <v>13498</v>
      </c>
    </row>
    <row r="9134" spans="2:9" ht="15" customHeight="1" x14ac:dyDescent="0.25">
      <c r="B9134" s="55" t="s">
        <v>280</v>
      </c>
      <c r="C9134" s="46">
        <v>4122</v>
      </c>
      <c r="D9134" s="69" t="s">
        <v>29417</v>
      </c>
      <c r="E9134" s="51"/>
      <c r="F9134" s="114" t="str">
        <f>IF(INDEX(I.Facility.P2aIDNumber,4122)="","",INDEX(I.Facility.P2aIDNumber,4122))</f>
        <v/>
      </c>
      <c r="G9134" s="51"/>
      <c r="H9134" s="46" t="str">
        <f>IF(AND(I.Developer.P2a=TRUE,I.Facility.P2aFacilityCount&gt;=4122,F9134=""),"Incomplete","Complete")</f>
        <v>Complete</v>
      </c>
      <c r="I9134" s="48" t="s">
        <v>13499</v>
      </c>
    </row>
    <row r="9135" spans="2:9" ht="15" customHeight="1" x14ac:dyDescent="0.25">
      <c r="B9135" s="55" t="s">
        <v>280</v>
      </c>
      <c r="C9135" s="46">
        <v>4123</v>
      </c>
      <c r="D9135" s="69" t="s">
        <v>29417</v>
      </c>
      <c r="E9135" s="51"/>
      <c r="F9135" s="114" t="str">
        <f>IF(INDEX(I.Facility.P2aIDNumber,4123)="","",INDEX(I.Facility.P2aIDNumber,4123))</f>
        <v/>
      </c>
      <c r="G9135" s="51"/>
      <c r="H9135" s="46" t="str">
        <f>IF(AND(I.Developer.P2a=TRUE,I.Facility.P2aFacilityCount&gt;=4123,F9135=""),"Incomplete","Complete")</f>
        <v>Complete</v>
      </c>
      <c r="I9135" s="48" t="s">
        <v>13500</v>
      </c>
    </row>
    <row r="9136" spans="2:9" ht="15" customHeight="1" x14ac:dyDescent="0.25">
      <c r="B9136" s="55" t="s">
        <v>280</v>
      </c>
      <c r="C9136" s="46">
        <v>4124</v>
      </c>
      <c r="D9136" s="69" t="s">
        <v>29417</v>
      </c>
      <c r="E9136" s="51"/>
      <c r="F9136" s="114" t="str">
        <f>IF(INDEX(I.Facility.P2aIDNumber,4124)="","",INDEX(I.Facility.P2aIDNumber,4124))</f>
        <v/>
      </c>
      <c r="G9136" s="51"/>
      <c r="H9136" s="46" t="str">
        <f>IF(AND(I.Developer.P2a=TRUE,I.Facility.P2aFacilityCount&gt;=4124,F9136=""),"Incomplete","Complete")</f>
        <v>Complete</v>
      </c>
      <c r="I9136" s="48" t="s">
        <v>13501</v>
      </c>
    </row>
    <row r="9137" spans="2:9" ht="15" customHeight="1" x14ac:dyDescent="0.25">
      <c r="B9137" s="55" t="s">
        <v>280</v>
      </c>
      <c r="C9137" s="46">
        <v>4125</v>
      </c>
      <c r="D9137" s="69" t="s">
        <v>29417</v>
      </c>
      <c r="E9137" s="51"/>
      <c r="F9137" s="114" t="str">
        <f>IF(INDEX(I.Facility.P2aIDNumber,4125)="","",INDEX(I.Facility.P2aIDNumber,4125))</f>
        <v/>
      </c>
      <c r="G9137" s="51"/>
      <c r="H9137" s="46" t="str">
        <f>IF(AND(I.Developer.P2a=TRUE,I.Facility.P2aFacilityCount&gt;=4125,F9137=""),"Incomplete","Complete")</f>
        <v>Complete</v>
      </c>
      <c r="I9137" s="48" t="s">
        <v>13502</v>
      </c>
    </row>
    <row r="9138" spans="2:9" ht="15" customHeight="1" x14ac:dyDescent="0.25">
      <c r="B9138" s="55" t="s">
        <v>280</v>
      </c>
      <c r="C9138" s="46">
        <v>4126</v>
      </c>
      <c r="D9138" s="69" t="s">
        <v>29417</v>
      </c>
      <c r="E9138" s="51"/>
      <c r="F9138" s="114" t="str">
        <f>IF(INDEX(I.Facility.P2aIDNumber,4126)="","",INDEX(I.Facility.P2aIDNumber,4126))</f>
        <v/>
      </c>
      <c r="G9138" s="51"/>
      <c r="H9138" s="46" t="str">
        <f>IF(AND(I.Developer.P2a=TRUE,I.Facility.P2aFacilityCount&gt;=4126,F9138=""),"Incomplete","Complete")</f>
        <v>Complete</v>
      </c>
      <c r="I9138" s="48" t="s">
        <v>13503</v>
      </c>
    </row>
    <row r="9139" spans="2:9" ht="15" customHeight="1" x14ac:dyDescent="0.25">
      <c r="B9139" s="55" t="s">
        <v>280</v>
      </c>
      <c r="C9139" s="46">
        <v>4127</v>
      </c>
      <c r="D9139" s="69" t="s">
        <v>29417</v>
      </c>
      <c r="E9139" s="51"/>
      <c r="F9139" s="114" t="str">
        <f>IF(INDEX(I.Facility.P2aIDNumber,4127)="","",INDEX(I.Facility.P2aIDNumber,4127))</f>
        <v/>
      </c>
      <c r="G9139" s="51"/>
      <c r="H9139" s="46" t="str">
        <f>IF(AND(I.Developer.P2a=TRUE,I.Facility.P2aFacilityCount&gt;=4127,F9139=""),"Incomplete","Complete")</f>
        <v>Complete</v>
      </c>
      <c r="I9139" s="48" t="s">
        <v>13504</v>
      </c>
    </row>
    <row r="9140" spans="2:9" ht="15" customHeight="1" x14ac:dyDescent="0.25">
      <c r="B9140" s="55" t="s">
        <v>280</v>
      </c>
      <c r="C9140" s="46">
        <v>4128</v>
      </c>
      <c r="D9140" s="69" t="s">
        <v>29417</v>
      </c>
      <c r="E9140" s="51"/>
      <c r="F9140" s="114" t="str">
        <f>IF(INDEX(I.Facility.P2aIDNumber,4128)="","",INDEX(I.Facility.P2aIDNumber,4128))</f>
        <v/>
      </c>
      <c r="G9140" s="51"/>
      <c r="H9140" s="46" t="str">
        <f>IF(AND(I.Developer.P2a=TRUE,I.Facility.P2aFacilityCount&gt;=4128,F9140=""),"Incomplete","Complete")</f>
        <v>Complete</v>
      </c>
      <c r="I9140" s="48" t="s">
        <v>13505</v>
      </c>
    </row>
    <row r="9141" spans="2:9" ht="15" customHeight="1" x14ac:dyDescent="0.25">
      <c r="B9141" s="55" t="s">
        <v>280</v>
      </c>
      <c r="C9141" s="46">
        <v>4129</v>
      </c>
      <c r="D9141" s="69" t="s">
        <v>29417</v>
      </c>
      <c r="E9141" s="51"/>
      <c r="F9141" s="114" t="str">
        <f>IF(INDEX(I.Facility.P2aIDNumber,4129)="","",INDEX(I.Facility.P2aIDNumber,4129))</f>
        <v/>
      </c>
      <c r="G9141" s="51"/>
      <c r="H9141" s="46" t="str">
        <f>IF(AND(I.Developer.P2a=TRUE,I.Facility.P2aFacilityCount&gt;=4129,F9141=""),"Incomplete","Complete")</f>
        <v>Complete</v>
      </c>
      <c r="I9141" s="48" t="s">
        <v>13506</v>
      </c>
    </row>
    <row r="9142" spans="2:9" ht="15" customHeight="1" x14ac:dyDescent="0.25">
      <c r="B9142" s="55" t="s">
        <v>280</v>
      </c>
      <c r="C9142" s="46">
        <v>4130</v>
      </c>
      <c r="D9142" s="69" t="s">
        <v>29417</v>
      </c>
      <c r="E9142" s="51"/>
      <c r="F9142" s="114" t="str">
        <f>IF(INDEX(I.Facility.P2aIDNumber,4130)="","",INDEX(I.Facility.P2aIDNumber,4130))</f>
        <v/>
      </c>
      <c r="G9142" s="51"/>
      <c r="H9142" s="46" t="str">
        <f>IF(AND(I.Developer.P2a=TRUE,I.Facility.P2aFacilityCount&gt;=4130,F9142=""),"Incomplete","Complete")</f>
        <v>Complete</v>
      </c>
      <c r="I9142" s="48" t="s">
        <v>13507</v>
      </c>
    </row>
    <row r="9143" spans="2:9" ht="15" customHeight="1" x14ac:dyDescent="0.25">
      <c r="B9143" s="55" t="s">
        <v>280</v>
      </c>
      <c r="C9143" s="46">
        <v>4131</v>
      </c>
      <c r="D9143" s="69" t="s">
        <v>29417</v>
      </c>
      <c r="E9143" s="51"/>
      <c r="F9143" s="114" t="str">
        <f>IF(INDEX(I.Facility.P2aIDNumber,4131)="","",INDEX(I.Facility.P2aIDNumber,4131))</f>
        <v/>
      </c>
      <c r="G9143" s="51"/>
      <c r="H9143" s="46" t="str">
        <f>IF(AND(I.Developer.P2a=TRUE,I.Facility.P2aFacilityCount&gt;=4131,F9143=""),"Incomplete","Complete")</f>
        <v>Complete</v>
      </c>
      <c r="I9143" s="48" t="s">
        <v>13508</v>
      </c>
    </row>
    <row r="9144" spans="2:9" ht="15" customHeight="1" x14ac:dyDescent="0.25">
      <c r="B9144" s="55" t="s">
        <v>280</v>
      </c>
      <c r="C9144" s="46">
        <v>4132</v>
      </c>
      <c r="D9144" s="69" t="s">
        <v>29417</v>
      </c>
      <c r="E9144" s="51"/>
      <c r="F9144" s="114" t="str">
        <f>IF(INDEX(I.Facility.P2aIDNumber,4132)="","",INDEX(I.Facility.P2aIDNumber,4132))</f>
        <v/>
      </c>
      <c r="G9144" s="51"/>
      <c r="H9144" s="46" t="str">
        <f>IF(AND(I.Developer.P2a=TRUE,I.Facility.P2aFacilityCount&gt;=4132,F9144=""),"Incomplete","Complete")</f>
        <v>Complete</v>
      </c>
      <c r="I9144" s="48" t="s">
        <v>13509</v>
      </c>
    </row>
    <row r="9145" spans="2:9" ht="15" customHeight="1" x14ac:dyDescent="0.25">
      <c r="B9145" s="55" t="s">
        <v>280</v>
      </c>
      <c r="C9145" s="46">
        <v>4133</v>
      </c>
      <c r="D9145" s="69" t="s">
        <v>29417</v>
      </c>
      <c r="E9145" s="51"/>
      <c r="F9145" s="114" t="str">
        <f>IF(INDEX(I.Facility.P2aIDNumber,4133)="","",INDEX(I.Facility.P2aIDNumber,4133))</f>
        <v/>
      </c>
      <c r="G9145" s="51"/>
      <c r="H9145" s="46" t="str">
        <f>IF(AND(I.Developer.P2a=TRUE,I.Facility.P2aFacilityCount&gt;=4133,F9145=""),"Incomplete","Complete")</f>
        <v>Complete</v>
      </c>
      <c r="I9145" s="48" t="s">
        <v>13510</v>
      </c>
    </row>
    <row r="9146" spans="2:9" ht="15" customHeight="1" x14ac:dyDescent="0.25">
      <c r="B9146" s="55" t="s">
        <v>280</v>
      </c>
      <c r="C9146" s="46">
        <v>4134</v>
      </c>
      <c r="D9146" s="69" t="s">
        <v>29417</v>
      </c>
      <c r="E9146" s="51"/>
      <c r="F9146" s="114" t="str">
        <f>IF(INDEX(I.Facility.P2aIDNumber,4134)="","",INDEX(I.Facility.P2aIDNumber,4134))</f>
        <v/>
      </c>
      <c r="G9146" s="51"/>
      <c r="H9146" s="46" t="str">
        <f>IF(AND(I.Developer.P2a=TRUE,I.Facility.P2aFacilityCount&gt;=4134,F9146=""),"Incomplete","Complete")</f>
        <v>Complete</v>
      </c>
      <c r="I9146" s="48" t="s">
        <v>13511</v>
      </c>
    </row>
    <row r="9147" spans="2:9" ht="15" customHeight="1" x14ac:dyDescent="0.25">
      <c r="B9147" s="55" t="s">
        <v>280</v>
      </c>
      <c r="C9147" s="46">
        <v>4135</v>
      </c>
      <c r="D9147" s="69" t="s">
        <v>29417</v>
      </c>
      <c r="E9147" s="51"/>
      <c r="F9147" s="114" t="str">
        <f>IF(INDEX(I.Facility.P2aIDNumber,4135)="","",INDEX(I.Facility.P2aIDNumber,4135))</f>
        <v/>
      </c>
      <c r="G9147" s="51"/>
      <c r="H9147" s="46" t="str">
        <f>IF(AND(I.Developer.P2a=TRUE,I.Facility.P2aFacilityCount&gt;=4135,F9147=""),"Incomplete","Complete")</f>
        <v>Complete</v>
      </c>
      <c r="I9147" s="48" t="s">
        <v>13512</v>
      </c>
    </row>
    <row r="9148" spans="2:9" ht="15" customHeight="1" x14ac:dyDescent="0.25">
      <c r="B9148" s="55" t="s">
        <v>280</v>
      </c>
      <c r="C9148" s="46">
        <v>4136</v>
      </c>
      <c r="D9148" s="69" t="s">
        <v>29417</v>
      </c>
      <c r="E9148" s="51"/>
      <c r="F9148" s="114" t="str">
        <f>IF(INDEX(I.Facility.P2aIDNumber,4136)="","",INDEX(I.Facility.P2aIDNumber,4136))</f>
        <v/>
      </c>
      <c r="G9148" s="51"/>
      <c r="H9148" s="46" t="str">
        <f>IF(AND(I.Developer.P2a=TRUE,I.Facility.P2aFacilityCount&gt;=4136,F9148=""),"Incomplete","Complete")</f>
        <v>Complete</v>
      </c>
      <c r="I9148" s="48" t="s">
        <v>13513</v>
      </c>
    </row>
    <row r="9149" spans="2:9" ht="15" customHeight="1" x14ac:dyDescent="0.25">
      <c r="B9149" s="55" t="s">
        <v>280</v>
      </c>
      <c r="C9149" s="46">
        <v>4137</v>
      </c>
      <c r="D9149" s="69" t="s">
        <v>29417</v>
      </c>
      <c r="E9149" s="51"/>
      <c r="F9149" s="114" t="str">
        <f>IF(INDEX(I.Facility.P2aIDNumber,4137)="","",INDEX(I.Facility.P2aIDNumber,4137))</f>
        <v/>
      </c>
      <c r="G9149" s="51"/>
      <c r="H9149" s="46" t="str">
        <f>IF(AND(I.Developer.P2a=TRUE,I.Facility.P2aFacilityCount&gt;=4137,F9149=""),"Incomplete","Complete")</f>
        <v>Complete</v>
      </c>
      <c r="I9149" s="48" t="s">
        <v>13514</v>
      </c>
    </row>
    <row r="9150" spans="2:9" ht="15" customHeight="1" x14ac:dyDescent="0.25">
      <c r="B9150" s="55" t="s">
        <v>280</v>
      </c>
      <c r="C9150" s="46">
        <v>4138</v>
      </c>
      <c r="D9150" s="69" t="s">
        <v>29417</v>
      </c>
      <c r="E9150" s="51"/>
      <c r="F9150" s="114" t="str">
        <f>IF(INDEX(I.Facility.P2aIDNumber,4138)="","",INDEX(I.Facility.P2aIDNumber,4138))</f>
        <v/>
      </c>
      <c r="G9150" s="51"/>
      <c r="H9150" s="46" t="str">
        <f>IF(AND(I.Developer.P2a=TRUE,I.Facility.P2aFacilityCount&gt;=4138,F9150=""),"Incomplete","Complete")</f>
        <v>Complete</v>
      </c>
      <c r="I9150" s="48" t="s">
        <v>13515</v>
      </c>
    </row>
    <row r="9151" spans="2:9" ht="15" customHeight="1" x14ac:dyDescent="0.25">
      <c r="B9151" s="55" t="s">
        <v>280</v>
      </c>
      <c r="C9151" s="46">
        <v>4139</v>
      </c>
      <c r="D9151" s="69" t="s">
        <v>29417</v>
      </c>
      <c r="E9151" s="51"/>
      <c r="F9151" s="114" t="str">
        <f>IF(INDEX(I.Facility.P2aIDNumber,4139)="","",INDEX(I.Facility.P2aIDNumber,4139))</f>
        <v/>
      </c>
      <c r="G9151" s="51"/>
      <c r="H9151" s="46" t="str">
        <f>IF(AND(I.Developer.P2a=TRUE,I.Facility.P2aFacilityCount&gt;=4139,F9151=""),"Incomplete","Complete")</f>
        <v>Complete</v>
      </c>
      <c r="I9151" s="48" t="s">
        <v>13516</v>
      </c>
    </row>
    <row r="9152" spans="2:9" ht="15" customHeight="1" x14ac:dyDescent="0.25">
      <c r="B9152" s="55" t="s">
        <v>280</v>
      </c>
      <c r="C9152" s="46">
        <v>4140</v>
      </c>
      <c r="D9152" s="69" t="s">
        <v>29417</v>
      </c>
      <c r="E9152" s="51"/>
      <c r="F9152" s="114" t="str">
        <f>IF(INDEX(I.Facility.P2aIDNumber,4140)="","",INDEX(I.Facility.P2aIDNumber,4140))</f>
        <v/>
      </c>
      <c r="G9152" s="51"/>
      <c r="H9152" s="46" t="str">
        <f>IF(AND(I.Developer.P2a=TRUE,I.Facility.P2aFacilityCount&gt;=4140,F9152=""),"Incomplete","Complete")</f>
        <v>Complete</v>
      </c>
      <c r="I9152" s="48" t="s">
        <v>13517</v>
      </c>
    </row>
    <row r="9153" spans="2:9" ht="15" customHeight="1" x14ac:dyDescent="0.25">
      <c r="B9153" s="55" t="s">
        <v>280</v>
      </c>
      <c r="C9153" s="46">
        <v>4141</v>
      </c>
      <c r="D9153" s="69" t="s">
        <v>29417</v>
      </c>
      <c r="E9153" s="51"/>
      <c r="F9153" s="114" t="str">
        <f>IF(INDEX(I.Facility.P2aIDNumber,4141)="","",INDEX(I.Facility.P2aIDNumber,4141))</f>
        <v/>
      </c>
      <c r="G9153" s="51"/>
      <c r="H9153" s="46" t="str">
        <f>IF(AND(I.Developer.P2a=TRUE,I.Facility.P2aFacilityCount&gt;=4141,F9153=""),"Incomplete","Complete")</f>
        <v>Complete</v>
      </c>
      <c r="I9153" s="48" t="s">
        <v>13518</v>
      </c>
    </row>
    <row r="9154" spans="2:9" ht="15" customHeight="1" x14ac:dyDescent="0.25">
      <c r="B9154" s="55" t="s">
        <v>280</v>
      </c>
      <c r="C9154" s="46">
        <v>4142</v>
      </c>
      <c r="D9154" s="69" t="s">
        <v>29417</v>
      </c>
      <c r="E9154" s="51"/>
      <c r="F9154" s="114" t="str">
        <f>IF(INDEX(I.Facility.P2aIDNumber,4142)="","",INDEX(I.Facility.P2aIDNumber,4142))</f>
        <v/>
      </c>
      <c r="G9154" s="51"/>
      <c r="H9154" s="46" t="str">
        <f>IF(AND(I.Developer.P2a=TRUE,I.Facility.P2aFacilityCount&gt;=4142,F9154=""),"Incomplete","Complete")</f>
        <v>Complete</v>
      </c>
      <c r="I9154" s="48" t="s">
        <v>13519</v>
      </c>
    </row>
    <row r="9155" spans="2:9" ht="15" customHeight="1" x14ac:dyDescent="0.25">
      <c r="B9155" s="55" t="s">
        <v>280</v>
      </c>
      <c r="C9155" s="46">
        <v>4143</v>
      </c>
      <c r="D9155" s="69" t="s">
        <v>29417</v>
      </c>
      <c r="E9155" s="51"/>
      <c r="F9155" s="114" t="str">
        <f>IF(INDEX(I.Facility.P2aIDNumber,4143)="","",INDEX(I.Facility.P2aIDNumber,4143))</f>
        <v/>
      </c>
      <c r="G9155" s="51"/>
      <c r="H9155" s="46" t="str">
        <f>IF(AND(I.Developer.P2a=TRUE,I.Facility.P2aFacilityCount&gt;=4143,F9155=""),"Incomplete","Complete")</f>
        <v>Complete</v>
      </c>
      <c r="I9155" s="48" t="s">
        <v>13520</v>
      </c>
    </row>
    <row r="9156" spans="2:9" ht="15" customHeight="1" x14ac:dyDescent="0.25">
      <c r="B9156" s="55" t="s">
        <v>280</v>
      </c>
      <c r="C9156" s="46">
        <v>4144</v>
      </c>
      <c r="D9156" s="69" t="s">
        <v>29417</v>
      </c>
      <c r="E9156" s="51"/>
      <c r="F9156" s="114" t="str">
        <f>IF(INDEX(I.Facility.P2aIDNumber,4144)="","",INDEX(I.Facility.P2aIDNumber,4144))</f>
        <v/>
      </c>
      <c r="G9156" s="51"/>
      <c r="H9156" s="46" t="str">
        <f>IF(AND(I.Developer.P2a=TRUE,I.Facility.P2aFacilityCount&gt;=4144,F9156=""),"Incomplete","Complete")</f>
        <v>Complete</v>
      </c>
      <c r="I9156" s="48" t="s">
        <v>13521</v>
      </c>
    </row>
    <row r="9157" spans="2:9" ht="15" customHeight="1" x14ac:dyDescent="0.25">
      <c r="B9157" s="55" t="s">
        <v>280</v>
      </c>
      <c r="C9157" s="46">
        <v>4145</v>
      </c>
      <c r="D9157" s="69" t="s">
        <v>29417</v>
      </c>
      <c r="E9157" s="51"/>
      <c r="F9157" s="114" t="str">
        <f>IF(INDEX(I.Facility.P2aIDNumber,4145)="","",INDEX(I.Facility.P2aIDNumber,4145))</f>
        <v/>
      </c>
      <c r="G9157" s="51"/>
      <c r="H9157" s="46" t="str">
        <f>IF(AND(I.Developer.P2a=TRUE,I.Facility.P2aFacilityCount&gt;=4145,F9157=""),"Incomplete","Complete")</f>
        <v>Complete</v>
      </c>
      <c r="I9157" s="48" t="s">
        <v>13522</v>
      </c>
    </row>
    <row r="9158" spans="2:9" ht="15" customHeight="1" x14ac:dyDescent="0.25">
      <c r="B9158" s="55" t="s">
        <v>280</v>
      </c>
      <c r="C9158" s="46">
        <v>4146</v>
      </c>
      <c r="D9158" s="69" t="s">
        <v>29417</v>
      </c>
      <c r="E9158" s="51"/>
      <c r="F9158" s="114" t="str">
        <f>IF(INDEX(I.Facility.P2aIDNumber,4146)="","",INDEX(I.Facility.P2aIDNumber,4146))</f>
        <v/>
      </c>
      <c r="G9158" s="51"/>
      <c r="H9158" s="46" t="str">
        <f>IF(AND(I.Developer.P2a=TRUE,I.Facility.P2aFacilityCount&gt;=4146,F9158=""),"Incomplete","Complete")</f>
        <v>Complete</v>
      </c>
      <c r="I9158" s="48" t="s">
        <v>13523</v>
      </c>
    </row>
    <row r="9159" spans="2:9" ht="15" customHeight="1" x14ac:dyDescent="0.25">
      <c r="B9159" s="55" t="s">
        <v>280</v>
      </c>
      <c r="C9159" s="46">
        <v>4147</v>
      </c>
      <c r="D9159" s="69" t="s">
        <v>29417</v>
      </c>
      <c r="E9159" s="51"/>
      <c r="F9159" s="114" t="str">
        <f>IF(INDEX(I.Facility.P2aIDNumber,4147)="","",INDEX(I.Facility.P2aIDNumber,4147))</f>
        <v/>
      </c>
      <c r="G9159" s="51"/>
      <c r="H9159" s="46" t="str">
        <f>IF(AND(I.Developer.P2a=TRUE,I.Facility.P2aFacilityCount&gt;=4147,F9159=""),"Incomplete","Complete")</f>
        <v>Complete</v>
      </c>
      <c r="I9159" s="48" t="s">
        <v>13524</v>
      </c>
    </row>
    <row r="9160" spans="2:9" ht="15" customHeight="1" x14ac:dyDescent="0.25">
      <c r="B9160" s="55" t="s">
        <v>280</v>
      </c>
      <c r="C9160" s="46">
        <v>4148</v>
      </c>
      <c r="D9160" s="69" t="s">
        <v>29417</v>
      </c>
      <c r="E9160" s="51"/>
      <c r="F9160" s="114" t="str">
        <f>IF(INDEX(I.Facility.P2aIDNumber,4148)="","",INDEX(I.Facility.P2aIDNumber,4148))</f>
        <v/>
      </c>
      <c r="G9160" s="51"/>
      <c r="H9160" s="46" t="str">
        <f>IF(AND(I.Developer.P2a=TRUE,I.Facility.P2aFacilityCount&gt;=4148,F9160=""),"Incomplete","Complete")</f>
        <v>Complete</v>
      </c>
      <c r="I9160" s="48" t="s">
        <v>13525</v>
      </c>
    </row>
    <row r="9161" spans="2:9" ht="15" customHeight="1" x14ac:dyDescent="0.25">
      <c r="B9161" s="55" t="s">
        <v>280</v>
      </c>
      <c r="C9161" s="46">
        <v>4149</v>
      </c>
      <c r="D9161" s="69" t="s">
        <v>29417</v>
      </c>
      <c r="E9161" s="51"/>
      <c r="F9161" s="114" t="str">
        <f>IF(INDEX(I.Facility.P2aIDNumber,4149)="","",INDEX(I.Facility.P2aIDNumber,4149))</f>
        <v/>
      </c>
      <c r="G9161" s="51"/>
      <c r="H9161" s="46" t="str">
        <f>IF(AND(I.Developer.P2a=TRUE,I.Facility.P2aFacilityCount&gt;=4149,F9161=""),"Incomplete","Complete")</f>
        <v>Complete</v>
      </c>
      <c r="I9161" s="48" t="s">
        <v>13526</v>
      </c>
    </row>
    <row r="9162" spans="2:9" ht="15" customHeight="1" x14ac:dyDescent="0.25">
      <c r="B9162" s="55" t="s">
        <v>280</v>
      </c>
      <c r="C9162" s="46">
        <v>4150</v>
      </c>
      <c r="D9162" s="69" t="s">
        <v>29417</v>
      </c>
      <c r="E9162" s="51"/>
      <c r="F9162" s="114" t="str">
        <f>IF(INDEX(I.Facility.P2aIDNumber,4150)="","",INDEX(I.Facility.P2aIDNumber,4150))</f>
        <v/>
      </c>
      <c r="G9162" s="51"/>
      <c r="H9162" s="46" t="str">
        <f>IF(AND(I.Developer.P2a=TRUE,I.Facility.P2aFacilityCount&gt;=4150,F9162=""),"Incomplete","Complete")</f>
        <v>Complete</v>
      </c>
      <c r="I9162" s="48" t="s">
        <v>13527</v>
      </c>
    </row>
    <row r="9163" spans="2:9" ht="15" customHeight="1" x14ac:dyDescent="0.25">
      <c r="B9163" s="55" t="s">
        <v>280</v>
      </c>
      <c r="C9163" s="46">
        <v>4151</v>
      </c>
      <c r="D9163" s="69" t="s">
        <v>29417</v>
      </c>
      <c r="E9163" s="51"/>
      <c r="F9163" s="114" t="str">
        <f>IF(INDEX(I.Facility.P2aIDNumber,4151)="","",INDEX(I.Facility.P2aIDNumber,4151))</f>
        <v/>
      </c>
      <c r="G9163" s="51"/>
      <c r="H9163" s="46" t="str">
        <f>IF(AND(I.Developer.P2a=TRUE,I.Facility.P2aFacilityCount&gt;=4151,F9163=""),"Incomplete","Complete")</f>
        <v>Complete</v>
      </c>
      <c r="I9163" s="48" t="s">
        <v>13528</v>
      </c>
    </row>
    <row r="9164" spans="2:9" ht="15" customHeight="1" x14ac:dyDescent="0.25">
      <c r="B9164" s="55" t="s">
        <v>280</v>
      </c>
      <c r="C9164" s="46">
        <v>4152</v>
      </c>
      <c r="D9164" s="69" t="s">
        <v>29417</v>
      </c>
      <c r="E9164" s="51"/>
      <c r="F9164" s="114" t="str">
        <f>IF(INDEX(I.Facility.P2aIDNumber,4152)="","",INDEX(I.Facility.P2aIDNumber,4152))</f>
        <v/>
      </c>
      <c r="G9164" s="51"/>
      <c r="H9164" s="46" t="str">
        <f>IF(AND(I.Developer.P2a=TRUE,I.Facility.P2aFacilityCount&gt;=4152,F9164=""),"Incomplete","Complete")</f>
        <v>Complete</v>
      </c>
      <c r="I9164" s="48" t="s">
        <v>13529</v>
      </c>
    </row>
    <row r="9165" spans="2:9" ht="15" customHeight="1" x14ac:dyDescent="0.25">
      <c r="B9165" s="55" t="s">
        <v>280</v>
      </c>
      <c r="C9165" s="46">
        <v>4153</v>
      </c>
      <c r="D9165" s="69" t="s">
        <v>29417</v>
      </c>
      <c r="E9165" s="51"/>
      <c r="F9165" s="114" t="str">
        <f>IF(INDEX(I.Facility.P2aIDNumber,4153)="","",INDEX(I.Facility.P2aIDNumber,4153))</f>
        <v/>
      </c>
      <c r="G9165" s="51"/>
      <c r="H9165" s="46" t="str">
        <f>IF(AND(I.Developer.P2a=TRUE,I.Facility.P2aFacilityCount&gt;=4153,F9165=""),"Incomplete","Complete")</f>
        <v>Complete</v>
      </c>
      <c r="I9165" s="48" t="s">
        <v>13530</v>
      </c>
    </row>
    <row r="9166" spans="2:9" ht="15" customHeight="1" x14ac:dyDescent="0.25">
      <c r="B9166" s="55" t="s">
        <v>280</v>
      </c>
      <c r="C9166" s="46">
        <v>4154</v>
      </c>
      <c r="D9166" s="69" t="s">
        <v>29417</v>
      </c>
      <c r="E9166" s="51"/>
      <c r="F9166" s="114" t="str">
        <f>IF(INDEX(I.Facility.P2aIDNumber,4154)="","",INDEX(I.Facility.P2aIDNumber,4154))</f>
        <v/>
      </c>
      <c r="G9166" s="51"/>
      <c r="H9166" s="46" t="str">
        <f>IF(AND(I.Developer.P2a=TRUE,I.Facility.P2aFacilityCount&gt;=4154,F9166=""),"Incomplete","Complete")</f>
        <v>Complete</v>
      </c>
      <c r="I9166" s="48" t="s">
        <v>13531</v>
      </c>
    </row>
    <row r="9167" spans="2:9" ht="15" customHeight="1" x14ac:dyDescent="0.25">
      <c r="B9167" s="55" t="s">
        <v>280</v>
      </c>
      <c r="C9167" s="46">
        <v>4155</v>
      </c>
      <c r="D9167" s="69" t="s">
        <v>29417</v>
      </c>
      <c r="E9167" s="51"/>
      <c r="F9167" s="114" t="str">
        <f>IF(INDEX(I.Facility.P2aIDNumber,4155)="","",INDEX(I.Facility.P2aIDNumber,4155))</f>
        <v/>
      </c>
      <c r="G9167" s="51"/>
      <c r="H9167" s="46" t="str">
        <f>IF(AND(I.Developer.P2a=TRUE,I.Facility.P2aFacilityCount&gt;=4155,F9167=""),"Incomplete","Complete")</f>
        <v>Complete</v>
      </c>
      <c r="I9167" s="48" t="s">
        <v>13532</v>
      </c>
    </row>
    <row r="9168" spans="2:9" ht="15" customHeight="1" x14ac:dyDescent="0.25">
      <c r="B9168" s="55" t="s">
        <v>280</v>
      </c>
      <c r="C9168" s="46">
        <v>4156</v>
      </c>
      <c r="D9168" s="69" t="s">
        <v>29417</v>
      </c>
      <c r="E9168" s="51"/>
      <c r="F9168" s="114" t="str">
        <f>IF(INDEX(I.Facility.P2aIDNumber,4156)="","",INDEX(I.Facility.P2aIDNumber,4156))</f>
        <v/>
      </c>
      <c r="G9168" s="51"/>
      <c r="H9168" s="46" t="str">
        <f>IF(AND(I.Developer.P2a=TRUE,I.Facility.P2aFacilityCount&gt;=4156,F9168=""),"Incomplete","Complete")</f>
        <v>Complete</v>
      </c>
      <c r="I9168" s="48" t="s">
        <v>13533</v>
      </c>
    </row>
    <row r="9169" spans="2:9" ht="15" customHeight="1" x14ac:dyDescent="0.25">
      <c r="B9169" s="55" t="s">
        <v>280</v>
      </c>
      <c r="C9169" s="46">
        <v>4157</v>
      </c>
      <c r="D9169" s="69" t="s">
        <v>29417</v>
      </c>
      <c r="E9169" s="51"/>
      <c r="F9169" s="114" t="str">
        <f>IF(INDEX(I.Facility.P2aIDNumber,4157)="","",INDEX(I.Facility.P2aIDNumber,4157))</f>
        <v/>
      </c>
      <c r="G9169" s="51"/>
      <c r="H9169" s="46" t="str">
        <f>IF(AND(I.Developer.P2a=TRUE,I.Facility.P2aFacilityCount&gt;=4157,F9169=""),"Incomplete","Complete")</f>
        <v>Complete</v>
      </c>
      <c r="I9169" s="48" t="s">
        <v>13534</v>
      </c>
    </row>
    <row r="9170" spans="2:9" ht="15" customHeight="1" x14ac:dyDescent="0.25">
      <c r="B9170" s="55" t="s">
        <v>280</v>
      </c>
      <c r="C9170" s="46">
        <v>4158</v>
      </c>
      <c r="D9170" s="69" t="s">
        <v>29417</v>
      </c>
      <c r="E9170" s="51"/>
      <c r="F9170" s="114" t="str">
        <f>IF(INDEX(I.Facility.P2aIDNumber,4158)="","",INDEX(I.Facility.P2aIDNumber,4158))</f>
        <v/>
      </c>
      <c r="G9170" s="51"/>
      <c r="H9170" s="46" t="str">
        <f>IF(AND(I.Developer.P2a=TRUE,I.Facility.P2aFacilityCount&gt;=4158,F9170=""),"Incomplete","Complete")</f>
        <v>Complete</v>
      </c>
      <c r="I9170" s="48" t="s">
        <v>13535</v>
      </c>
    </row>
    <row r="9171" spans="2:9" ht="15" customHeight="1" x14ac:dyDescent="0.25">
      <c r="B9171" s="55" t="s">
        <v>280</v>
      </c>
      <c r="C9171" s="46">
        <v>4159</v>
      </c>
      <c r="D9171" s="69" t="s">
        <v>29417</v>
      </c>
      <c r="E9171" s="51"/>
      <c r="F9171" s="114" t="str">
        <f>IF(INDEX(I.Facility.P2aIDNumber,4159)="","",INDEX(I.Facility.P2aIDNumber,4159))</f>
        <v/>
      </c>
      <c r="G9171" s="51"/>
      <c r="H9171" s="46" t="str">
        <f>IF(AND(I.Developer.P2a=TRUE,I.Facility.P2aFacilityCount&gt;=4159,F9171=""),"Incomplete","Complete")</f>
        <v>Complete</v>
      </c>
      <c r="I9171" s="48" t="s">
        <v>13536</v>
      </c>
    </row>
    <row r="9172" spans="2:9" ht="15" customHeight="1" x14ac:dyDescent="0.25">
      <c r="B9172" s="55" t="s">
        <v>280</v>
      </c>
      <c r="C9172" s="46">
        <v>4160</v>
      </c>
      <c r="D9172" s="69" t="s">
        <v>29417</v>
      </c>
      <c r="E9172" s="51"/>
      <c r="F9172" s="114" t="str">
        <f>IF(INDEX(I.Facility.P2aIDNumber,4160)="","",INDEX(I.Facility.P2aIDNumber,4160))</f>
        <v/>
      </c>
      <c r="G9172" s="51"/>
      <c r="H9172" s="46" t="str">
        <f>IF(AND(I.Developer.P2a=TRUE,I.Facility.P2aFacilityCount&gt;=4160,F9172=""),"Incomplete","Complete")</f>
        <v>Complete</v>
      </c>
      <c r="I9172" s="48" t="s">
        <v>13537</v>
      </c>
    </row>
    <row r="9173" spans="2:9" ht="15" customHeight="1" x14ac:dyDescent="0.25">
      <c r="B9173" s="55" t="s">
        <v>280</v>
      </c>
      <c r="C9173" s="46">
        <v>4161</v>
      </c>
      <c r="D9173" s="69" t="s">
        <v>29417</v>
      </c>
      <c r="E9173" s="51"/>
      <c r="F9173" s="114" t="str">
        <f>IF(INDEX(I.Facility.P2aIDNumber,4161)="","",INDEX(I.Facility.P2aIDNumber,4161))</f>
        <v/>
      </c>
      <c r="G9173" s="51"/>
      <c r="H9173" s="46" t="str">
        <f>IF(AND(I.Developer.P2a=TRUE,I.Facility.P2aFacilityCount&gt;=4161,F9173=""),"Incomplete","Complete")</f>
        <v>Complete</v>
      </c>
      <c r="I9173" s="48" t="s">
        <v>13538</v>
      </c>
    </row>
    <row r="9174" spans="2:9" ht="15" customHeight="1" x14ac:dyDescent="0.25">
      <c r="B9174" s="55" t="s">
        <v>280</v>
      </c>
      <c r="C9174" s="46">
        <v>4162</v>
      </c>
      <c r="D9174" s="69" t="s">
        <v>29417</v>
      </c>
      <c r="E9174" s="51"/>
      <c r="F9174" s="114" t="str">
        <f>IF(INDEX(I.Facility.P2aIDNumber,4162)="","",INDEX(I.Facility.P2aIDNumber,4162))</f>
        <v/>
      </c>
      <c r="G9174" s="51"/>
      <c r="H9174" s="46" t="str">
        <f>IF(AND(I.Developer.P2a=TRUE,I.Facility.P2aFacilityCount&gt;=4162,F9174=""),"Incomplete","Complete")</f>
        <v>Complete</v>
      </c>
      <c r="I9174" s="48" t="s">
        <v>13539</v>
      </c>
    </row>
    <row r="9175" spans="2:9" ht="15" customHeight="1" x14ac:dyDescent="0.25">
      <c r="B9175" s="55" t="s">
        <v>280</v>
      </c>
      <c r="C9175" s="46">
        <v>4163</v>
      </c>
      <c r="D9175" s="69" t="s">
        <v>29417</v>
      </c>
      <c r="E9175" s="51"/>
      <c r="F9175" s="114" t="str">
        <f>IF(INDEX(I.Facility.P2aIDNumber,4163)="","",INDEX(I.Facility.P2aIDNumber,4163))</f>
        <v/>
      </c>
      <c r="G9175" s="51"/>
      <c r="H9175" s="46" t="str">
        <f>IF(AND(I.Developer.P2a=TRUE,I.Facility.P2aFacilityCount&gt;=4163,F9175=""),"Incomplete","Complete")</f>
        <v>Complete</v>
      </c>
      <c r="I9175" s="48" t="s">
        <v>13540</v>
      </c>
    </row>
    <row r="9176" spans="2:9" ht="15" customHeight="1" x14ac:dyDescent="0.25">
      <c r="B9176" s="55" t="s">
        <v>280</v>
      </c>
      <c r="C9176" s="46">
        <v>4164</v>
      </c>
      <c r="D9176" s="69" t="s">
        <v>29417</v>
      </c>
      <c r="E9176" s="51"/>
      <c r="F9176" s="114" t="str">
        <f>IF(INDEX(I.Facility.P2aIDNumber,4164)="","",INDEX(I.Facility.P2aIDNumber,4164))</f>
        <v/>
      </c>
      <c r="G9176" s="51"/>
      <c r="H9176" s="46" t="str">
        <f>IF(AND(I.Developer.P2a=TRUE,I.Facility.P2aFacilityCount&gt;=4164,F9176=""),"Incomplete","Complete")</f>
        <v>Complete</v>
      </c>
      <c r="I9176" s="48" t="s">
        <v>13541</v>
      </c>
    </row>
    <row r="9177" spans="2:9" ht="15" customHeight="1" x14ac:dyDescent="0.25">
      <c r="B9177" s="55" t="s">
        <v>280</v>
      </c>
      <c r="C9177" s="46">
        <v>4165</v>
      </c>
      <c r="D9177" s="69" t="s">
        <v>29417</v>
      </c>
      <c r="E9177" s="51"/>
      <c r="F9177" s="114" t="str">
        <f>IF(INDEX(I.Facility.P2aIDNumber,4165)="","",INDEX(I.Facility.P2aIDNumber,4165))</f>
        <v/>
      </c>
      <c r="G9177" s="51"/>
      <c r="H9177" s="46" t="str">
        <f>IF(AND(I.Developer.P2a=TRUE,I.Facility.P2aFacilityCount&gt;=4165,F9177=""),"Incomplete","Complete")</f>
        <v>Complete</v>
      </c>
      <c r="I9177" s="48" t="s">
        <v>13542</v>
      </c>
    </row>
    <row r="9178" spans="2:9" ht="15" customHeight="1" x14ac:dyDescent="0.25">
      <c r="B9178" s="55" t="s">
        <v>280</v>
      </c>
      <c r="C9178" s="46">
        <v>4166</v>
      </c>
      <c r="D9178" s="69" t="s">
        <v>29417</v>
      </c>
      <c r="E9178" s="51"/>
      <c r="F9178" s="114" t="str">
        <f>IF(INDEX(I.Facility.P2aIDNumber,4166)="","",INDEX(I.Facility.P2aIDNumber,4166))</f>
        <v/>
      </c>
      <c r="G9178" s="51"/>
      <c r="H9178" s="46" t="str">
        <f>IF(AND(I.Developer.P2a=TRUE,I.Facility.P2aFacilityCount&gt;=4166,F9178=""),"Incomplete","Complete")</f>
        <v>Complete</v>
      </c>
      <c r="I9178" s="48" t="s">
        <v>13543</v>
      </c>
    </row>
    <row r="9179" spans="2:9" ht="15" customHeight="1" x14ac:dyDescent="0.25">
      <c r="B9179" s="55" t="s">
        <v>280</v>
      </c>
      <c r="C9179" s="46">
        <v>4167</v>
      </c>
      <c r="D9179" s="69" t="s">
        <v>29417</v>
      </c>
      <c r="E9179" s="51"/>
      <c r="F9179" s="114" t="str">
        <f>IF(INDEX(I.Facility.P2aIDNumber,4167)="","",INDEX(I.Facility.P2aIDNumber,4167))</f>
        <v/>
      </c>
      <c r="G9179" s="51"/>
      <c r="H9179" s="46" t="str">
        <f>IF(AND(I.Developer.P2a=TRUE,I.Facility.P2aFacilityCount&gt;=4167,F9179=""),"Incomplete","Complete")</f>
        <v>Complete</v>
      </c>
      <c r="I9179" s="48" t="s">
        <v>13544</v>
      </c>
    </row>
    <row r="9180" spans="2:9" ht="15" customHeight="1" x14ac:dyDescent="0.25">
      <c r="B9180" s="55" t="s">
        <v>280</v>
      </c>
      <c r="C9180" s="46">
        <v>4168</v>
      </c>
      <c r="D9180" s="69" t="s">
        <v>29417</v>
      </c>
      <c r="E9180" s="51"/>
      <c r="F9180" s="114" t="str">
        <f>IF(INDEX(I.Facility.P2aIDNumber,4168)="","",INDEX(I.Facility.P2aIDNumber,4168))</f>
        <v/>
      </c>
      <c r="G9180" s="51"/>
      <c r="H9180" s="46" t="str">
        <f>IF(AND(I.Developer.P2a=TRUE,I.Facility.P2aFacilityCount&gt;=4168,F9180=""),"Incomplete","Complete")</f>
        <v>Complete</v>
      </c>
      <c r="I9180" s="48" t="s">
        <v>13545</v>
      </c>
    </row>
    <row r="9181" spans="2:9" ht="15" customHeight="1" x14ac:dyDescent="0.25">
      <c r="B9181" s="55" t="s">
        <v>280</v>
      </c>
      <c r="C9181" s="46">
        <v>4169</v>
      </c>
      <c r="D9181" s="69" t="s">
        <v>29417</v>
      </c>
      <c r="E9181" s="51"/>
      <c r="F9181" s="114" t="str">
        <f>IF(INDEX(I.Facility.P2aIDNumber,4169)="","",INDEX(I.Facility.P2aIDNumber,4169))</f>
        <v/>
      </c>
      <c r="G9181" s="51"/>
      <c r="H9181" s="46" t="str">
        <f>IF(AND(I.Developer.P2a=TRUE,I.Facility.P2aFacilityCount&gt;=4169,F9181=""),"Incomplete","Complete")</f>
        <v>Complete</v>
      </c>
      <c r="I9181" s="48" t="s">
        <v>13546</v>
      </c>
    </row>
    <row r="9182" spans="2:9" ht="15" customHeight="1" x14ac:dyDescent="0.25">
      <c r="B9182" s="55" t="s">
        <v>280</v>
      </c>
      <c r="C9182" s="46">
        <v>4170</v>
      </c>
      <c r="D9182" s="69" t="s">
        <v>29417</v>
      </c>
      <c r="E9182" s="51"/>
      <c r="F9182" s="114" t="str">
        <f>IF(INDEX(I.Facility.P2aIDNumber,4170)="","",INDEX(I.Facility.P2aIDNumber,4170))</f>
        <v/>
      </c>
      <c r="G9182" s="51"/>
      <c r="H9182" s="46" t="str">
        <f>IF(AND(I.Developer.P2a=TRUE,I.Facility.P2aFacilityCount&gt;=4170,F9182=""),"Incomplete","Complete")</f>
        <v>Complete</v>
      </c>
      <c r="I9182" s="48" t="s">
        <v>13547</v>
      </c>
    </row>
    <row r="9183" spans="2:9" ht="15" customHeight="1" x14ac:dyDescent="0.25">
      <c r="B9183" s="55" t="s">
        <v>280</v>
      </c>
      <c r="C9183" s="46">
        <v>4171</v>
      </c>
      <c r="D9183" s="69" t="s">
        <v>29417</v>
      </c>
      <c r="E9183" s="51"/>
      <c r="F9183" s="114" t="str">
        <f>IF(INDEX(I.Facility.P2aIDNumber,4171)="","",INDEX(I.Facility.P2aIDNumber,4171))</f>
        <v/>
      </c>
      <c r="G9183" s="51"/>
      <c r="H9183" s="46" t="str">
        <f>IF(AND(I.Developer.P2a=TRUE,I.Facility.P2aFacilityCount&gt;=4171,F9183=""),"Incomplete","Complete")</f>
        <v>Complete</v>
      </c>
      <c r="I9183" s="48" t="s">
        <v>13548</v>
      </c>
    </row>
    <row r="9184" spans="2:9" ht="15" customHeight="1" x14ac:dyDescent="0.25">
      <c r="B9184" s="55" t="s">
        <v>280</v>
      </c>
      <c r="C9184" s="46">
        <v>4172</v>
      </c>
      <c r="D9184" s="69" t="s">
        <v>29417</v>
      </c>
      <c r="E9184" s="51"/>
      <c r="F9184" s="114" t="str">
        <f>IF(INDEX(I.Facility.P2aIDNumber,4172)="","",INDEX(I.Facility.P2aIDNumber,4172))</f>
        <v/>
      </c>
      <c r="G9184" s="51"/>
      <c r="H9184" s="46" t="str">
        <f>IF(AND(I.Developer.P2a=TRUE,I.Facility.P2aFacilityCount&gt;=4172,F9184=""),"Incomplete","Complete")</f>
        <v>Complete</v>
      </c>
      <c r="I9184" s="48" t="s">
        <v>13549</v>
      </c>
    </row>
    <row r="9185" spans="2:9" ht="15" customHeight="1" x14ac:dyDescent="0.25">
      <c r="B9185" s="55" t="s">
        <v>280</v>
      </c>
      <c r="C9185" s="46">
        <v>4173</v>
      </c>
      <c r="D9185" s="69" t="s">
        <v>29417</v>
      </c>
      <c r="E9185" s="51"/>
      <c r="F9185" s="114" t="str">
        <f>IF(INDEX(I.Facility.P2aIDNumber,4173)="","",INDEX(I.Facility.P2aIDNumber,4173))</f>
        <v/>
      </c>
      <c r="G9185" s="51"/>
      <c r="H9185" s="46" t="str">
        <f>IF(AND(I.Developer.P2a=TRUE,I.Facility.P2aFacilityCount&gt;=4173,F9185=""),"Incomplete","Complete")</f>
        <v>Complete</v>
      </c>
      <c r="I9185" s="48" t="s">
        <v>13550</v>
      </c>
    </row>
    <row r="9186" spans="2:9" ht="15" customHeight="1" x14ac:dyDescent="0.25">
      <c r="B9186" s="55" t="s">
        <v>280</v>
      </c>
      <c r="C9186" s="46">
        <v>4174</v>
      </c>
      <c r="D9186" s="69" t="s">
        <v>29417</v>
      </c>
      <c r="E9186" s="51"/>
      <c r="F9186" s="114" t="str">
        <f>IF(INDEX(I.Facility.P2aIDNumber,4174)="","",INDEX(I.Facility.P2aIDNumber,4174))</f>
        <v/>
      </c>
      <c r="G9186" s="51"/>
      <c r="H9186" s="46" t="str">
        <f>IF(AND(I.Developer.P2a=TRUE,I.Facility.P2aFacilityCount&gt;=4174,F9186=""),"Incomplete","Complete")</f>
        <v>Complete</v>
      </c>
      <c r="I9186" s="48" t="s">
        <v>13551</v>
      </c>
    </row>
    <row r="9187" spans="2:9" ht="15" customHeight="1" x14ac:dyDescent="0.25">
      <c r="B9187" s="55" t="s">
        <v>280</v>
      </c>
      <c r="C9187" s="46">
        <v>4175</v>
      </c>
      <c r="D9187" s="69" t="s">
        <v>29417</v>
      </c>
      <c r="E9187" s="51"/>
      <c r="F9187" s="114" t="str">
        <f>IF(INDEX(I.Facility.P2aIDNumber,4175)="","",INDEX(I.Facility.P2aIDNumber,4175))</f>
        <v/>
      </c>
      <c r="G9187" s="51"/>
      <c r="H9187" s="46" t="str">
        <f>IF(AND(I.Developer.P2a=TRUE,I.Facility.P2aFacilityCount&gt;=4175,F9187=""),"Incomplete","Complete")</f>
        <v>Complete</v>
      </c>
      <c r="I9187" s="48" t="s">
        <v>13552</v>
      </c>
    </row>
    <row r="9188" spans="2:9" ht="15" customHeight="1" x14ac:dyDescent="0.25">
      <c r="B9188" s="55" t="s">
        <v>280</v>
      </c>
      <c r="C9188" s="46">
        <v>4176</v>
      </c>
      <c r="D9188" s="69" t="s">
        <v>29417</v>
      </c>
      <c r="E9188" s="51"/>
      <c r="F9188" s="114" t="str">
        <f>IF(INDEX(I.Facility.P2aIDNumber,4176)="","",INDEX(I.Facility.P2aIDNumber,4176))</f>
        <v/>
      </c>
      <c r="G9188" s="51"/>
      <c r="H9188" s="46" t="str">
        <f>IF(AND(I.Developer.P2a=TRUE,I.Facility.P2aFacilityCount&gt;=4176,F9188=""),"Incomplete","Complete")</f>
        <v>Complete</v>
      </c>
      <c r="I9188" s="48" t="s">
        <v>13553</v>
      </c>
    </row>
    <row r="9189" spans="2:9" ht="15" customHeight="1" x14ac:dyDescent="0.25">
      <c r="B9189" s="55" t="s">
        <v>280</v>
      </c>
      <c r="C9189" s="46">
        <v>4177</v>
      </c>
      <c r="D9189" s="69" t="s">
        <v>29417</v>
      </c>
      <c r="E9189" s="51"/>
      <c r="F9189" s="114" t="str">
        <f>IF(INDEX(I.Facility.P2aIDNumber,4177)="","",INDEX(I.Facility.P2aIDNumber,4177))</f>
        <v/>
      </c>
      <c r="G9189" s="51"/>
      <c r="H9189" s="46" t="str">
        <f>IF(AND(I.Developer.P2a=TRUE,I.Facility.P2aFacilityCount&gt;=4177,F9189=""),"Incomplete","Complete")</f>
        <v>Complete</v>
      </c>
      <c r="I9189" s="48" t="s">
        <v>13554</v>
      </c>
    </row>
    <row r="9190" spans="2:9" ht="15" customHeight="1" x14ac:dyDescent="0.25">
      <c r="B9190" s="55" t="s">
        <v>280</v>
      </c>
      <c r="C9190" s="46">
        <v>4178</v>
      </c>
      <c r="D9190" s="69" t="s">
        <v>29417</v>
      </c>
      <c r="E9190" s="51"/>
      <c r="F9190" s="114" t="str">
        <f>IF(INDEX(I.Facility.P2aIDNumber,4178)="","",INDEX(I.Facility.P2aIDNumber,4178))</f>
        <v/>
      </c>
      <c r="G9190" s="51"/>
      <c r="H9190" s="46" t="str">
        <f>IF(AND(I.Developer.P2a=TRUE,I.Facility.P2aFacilityCount&gt;=4178,F9190=""),"Incomplete","Complete")</f>
        <v>Complete</v>
      </c>
      <c r="I9190" s="48" t="s">
        <v>13555</v>
      </c>
    </row>
    <row r="9191" spans="2:9" ht="15" customHeight="1" x14ac:dyDescent="0.25">
      <c r="B9191" s="55" t="s">
        <v>280</v>
      </c>
      <c r="C9191" s="46">
        <v>4179</v>
      </c>
      <c r="D9191" s="69" t="s">
        <v>29417</v>
      </c>
      <c r="E9191" s="51"/>
      <c r="F9191" s="114" t="str">
        <f>IF(INDEX(I.Facility.P2aIDNumber,4179)="","",INDEX(I.Facility.P2aIDNumber,4179))</f>
        <v/>
      </c>
      <c r="G9191" s="51"/>
      <c r="H9191" s="46" t="str">
        <f>IF(AND(I.Developer.P2a=TRUE,I.Facility.P2aFacilityCount&gt;=4179,F9191=""),"Incomplete","Complete")</f>
        <v>Complete</v>
      </c>
      <c r="I9191" s="48" t="s">
        <v>13556</v>
      </c>
    </row>
    <row r="9192" spans="2:9" ht="15" customHeight="1" x14ac:dyDescent="0.25">
      <c r="B9192" s="55" t="s">
        <v>280</v>
      </c>
      <c r="C9192" s="46">
        <v>4180</v>
      </c>
      <c r="D9192" s="69" t="s">
        <v>29417</v>
      </c>
      <c r="E9192" s="51"/>
      <c r="F9192" s="114" t="str">
        <f>IF(INDEX(I.Facility.P2aIDNumber,4180)="","",INDEX(I.Facility.P2aIDNumber,4180))</f>
        <v/>
      </c>
      <c r="G9192" s="51"/>
      <c r="H9192" s="46" t="str">
        <f>IF(AND(I.Developer.P2a=TRUE,I.Facility.P2aFacilityCount&gt;=4180,F9192=""),"Incomplete","Complete")</f>
        <v>Complete</v>
      </c>
      <c r="I9192" s="48" t="s">
        <v>13557</v>
      </c>
    </row>
    <row r="9193" spans="2:9" ht="15" customHeight="1" x14ac:dyDescent="0.25">
      <c r="B9193" s="55" t="s">
        <v>280</v>
      </c>
      <c r="C9193" s="46">
        <v>4181</v>
      </c>
      <c r="D9193" s="69" t="s">
        <v>29417</v>
      </c>
      <c r="E9193" s="51"/>
      <c r="F9193" s="114" t="str">
        <f>IF(INDEX(I.Facility.P2aIDNumber,4181)="","",INDEX(I.Facility.P2aIDNumber,4181))</f>
        <v/>
      </c>
      <c r="G9193" s="51"/>
      <c r="H9193" s="46" t="str">
        <f>IF(AND(I.Developer.P2a=TRUE,I.Facility.P2aFacilityCount&gt;=4181,F9193=""),"Incomplete","Complete")</f>
        <v>Complete</v>
      </c>
      <c r="I9193" s="48" t="s">
        <v>13558</v>
      </c>
    </row>
    <row r="9194" spans="2:9" ht="15" customHeight="1" x14ac:dyDescent="0.25">
      <c r="B9194" s="55" t="s">
        <v>280</v>
      </c>
      <c r="C9194" s="46">
        <v>4182</v>
      </c>
      <c r="D9194" s="69" t="s">
        <v>29417</v>
      </c>
      <c r="E9194" s="51"/>
      <c r="F9194" s="114" t="str">
        <f>IF(INDEX(I.Facility.P2aIDNumber,4182)="","",INDEX(I.Facility.P2aIDNumber,4182))</f>
        <v/>
      </c>
      <c r="G9194" s="51"/>
      <c r="H9194" s="46" t="str">
        <f>IF(AND(I.Developer.P2a=TRUE,I.Facility.P2aFacilityCount&gt;=4182,F9194=""),"Incomplete","Complete")</f>
        <v>Complete</v>
      </c>
      <c r="I9194" s="48" t="s">
        <v>13559</v>
      </c>
    </row>
    <row r="9195" spans="2:9" ht="15" customHeight="1" x14ac:dyDescent="0.25">
      <c r="B9195" s="55" t="s">
        <v>280</v>
      </c>
      <c r="C9195" s="46">
        <v>4183</v>
      </c>
      <c r="D9195" s="69" t="s">
        <v>29417</v>
      </c>
      <c r="E9195" s="51"/>
      <c r="F9195" s="114" t="str">
        <f>IF(INDEX(I.Facility.P2aIDNumber,4183)="","",INDEX(I.Facility.P2aIDNumber,4183))</f>
        <v/>
      </c>
      <c r="G9195" s="51"/>
      <c r="H9195" s="46" t="str">
        <f>IF(AND(I.Developer.P2a=TRUE,I.Facility.P2aFacilityCount&gt;=4183,F9195=""),"Incomplete","Complete")</f>
        <v>Complete</v>
      </c>
      <c r="I9195" s="48" t="s">
        <v>13560</v>
      </c>
    </row>
    <row r="9196" spans="2:9" ht="15" customHeight="1" x14ac:dyDescent="0.25">
      <c r="B9196" s="55" t="s">
        <v>280</v>
      </c>
      <c r="C9196" s="46">
        <v>4184</v>
      </c>
      <c r="D9196" s="69" t="s">
        <v>29417</v>
      </c>
      <c r="E9196" s="51"/>
      <c r="F9196" s="114" t="str">
        <f>IF(INDEX(I.Facility.P2aIDNumber,4184)="","",INDEX(I.Facility.P2aIDNumber,4184))</f>
        <v/>
      </c>
      <c r="G9196" s="51"/>
      <c r="H9196" s="46" t="str">
        <f>IF(AND(I.Developer.P2a=TRUE,I.Facility.P2aFacilityCount&gt;=4184,F9196=""),"Incomplete","Complete")</f>
        <v>Complete</v>
      </c>
      <c r="I9196" s="48" t="s">
        <v>13561</v>
      </c>
    </row>
    <row r="9197" spans="2:9" ht="15" customHeight="1" x14ac:dyDescent="0.25">
      <c r="B9197" s="55" t="s">
        <v>280</v>
      </c>
      <c r="C9197" s="46">
        <v>4185</v>
      </c>
      <c r="D9197" s="69" t="s">
        <v>29417</v>
      </c>
      <c r="E9197" s="51"/>
      <c r="F9197" s="114" t="str">
        <f>IF(INDEX(I.Facility.P2aIDNumber,4185)="","",INDEX(I.Facility.P2aIDNumber,4185))</f>
        <v/>
      </c>
      <c r="G9197" s="51"/>
      <c r="H9197" s="46" t="str">
        <f>IF(AND(I.Developer.P2a=TRUE,I.Facility.P2aFacilityCount&gt;=4185,F9197=""),"Incomplete","Complete")</f>
        <v>Complete</v>
      </c>
      <c r="I9197" s="48" t="s">
        <v>13562</v>
      </c>
    </row>
    <row r="9198" spans="2:9" ht="15" customHeight="1" x14ac:dyDescent="0.25">
      <c r="B9198" s="55" t="s">
        <v>280</v>
      </c>
      <c r="C9198" s="46">
        <v>4186</v>
      </c>
      <c r="D9198" s="69" t="s">
        <v>29417</v>
      </c>
      <c r="E9198" s="51"/>
      <c r="F9198" s="114" t="str">
        <f>IF(INDEX(I.Facility.P2aIDNumber,4186)="","",INDEX(I.Facility.P2aIDNumber,4186))</f>
        <v/>
      </c>
      <c r="G9198" s="51"/>
      <c r="H9198" s="46" t="str">
        <f>IF(AND(I.Developer.P2a=TRUE,I.Facility.P2aFacilityCount&gt;=4186,F9198=""),"Incomplete","Complete")</f>
        <v>Complete</v>
      </c>
      <c r="I9198" s="48" t="s">
        <v>13563</v>
      </c>
    </row>
    <row r="9199" spans="2:9" ht="15" customHeight="1" x14ac:dyDescent="0.25">
      <c r="B9199" s="55" t="s">
        <v>280</v>
      </c>
      <c r="C9199" s="46">
        <v>4187</v>
      </c>
      <c r="D9199" s="69" t="s">
        <v>29417</v>
      </c>
      <c r="E9199" s="51"/>
      <c r="F9199" s="114" t="str">
        <f>IF(INDEX(I.Facility.P2aIDNumber,4187)="","",INDEX(I.Facility.P2aIDNumber,4187))</f>
        <v/>
      </c>
      <c r="G9199" s="51"/>
      <c r="H9199" s="46" t="str">
        <f>IF(AND(I.Developer.P2a=TRUE,I.Facility.P2aFacilityCount&gt;=4187,F9199=""),"Incomplete","Complete")</f>
        <v>Complete</v>
      </c>
      <c r="I9199" s="48" t="s">
        <v>13564</v>
      </c>
    </row>
    <row r="9200" spans="2:9" ht="15" customHeight="1" x14ac:dyDescent="0.25">
      <c r="B9200" s="55" t="s">
        <v>280</v>
      </c>
      <c r="C9200" s="46">
        <v>4188</v>
      </c>
      <c r="D9200" s="69" t="s">
        <v>29417</v>
      </c>
      <c r="E9200" s="51"/>
      <c r="F9200" s="114" t="str">
        <f>IF(INDEX(I.Facility.P2aIDNumber,4188)="","",INDEX(I.Facility.P2aIDNumber,4188))</f>
        <v/>
      </c>
      <c r="G9200" s="51"/>
      <c r="H9200" s="46" t="str">
        <f>IF(AND(I.Developer.P2a=TRUE,I.Facility.P2aFacilityCount&gt;=4188,F9200=""),"Incomplete","Complete")</f>
        <v>Complete</v>
      </c>
      <c r="I9200" s="48" t="s">
        <v>13565</v>
      </c>
    </row>
    <row r="9201" spans="2:9" ht="15" customHeight="1" x14ac:dyDescent="0.25">
      <c r="B9201" s="55" t="s">
        <v>280</v>
      </c>
      <c r="C9201" s="46">
        <v>4189</v>
      </c>
      <c r="D9201" s="69" t="s">
        <v>29417</v>
      </c>
      <c r="E9201" s="51"/>
      <c r="F9201" s="114" t="str">
        <f>IF(INDEX(I.Facility.P2aIDNumber,4189)="","",INDEX(I.Facility.P2aIDNumber,4189))</f>
        <v/>
      </c>
      <c r="G9201" s="51"/>
      <c r="H9201" s="46" t="str">
        <f>IF(AND(I.Developer.P2a=TRUE,I.Facility.P2aFacilityCount&gt;=4189,F9201=""),"Incomplete","Complete")</f>
        <v>Complete</v>
      </c>
      <c r="I9201" s="48" t="s">
        <v>13566</v>
      </c>
    </row>
    <row r="9202" spans="2:9" ht="15" customHeight="1" x14ac:dyDescent="0.25">
      <c r="B9202" s="55" t="s">
        <v>280</v>
      </c>
      <c r="C9202" s="46">
        <v>4190</v>
      </c>
      <c r="D9202" s="69" t="s">
        <v>29417</v>
      </c>
      <c r="E9202" s="51"/>
      <c r="F9202" s="114" t="str">
        <f>IF(INDEX(I.Facility.P2aIDNumber,4190)="","",INDEX(I.Facility.P2aIDNumber,4190))</f>
        <v/>
      </c>
      <c r="G9202" s="51"/>
      <c r="H9202" s="46" t="str">
        <f>IF(AND(I.Developer.P2a=TRUE,I.Facility.P2aFacilityCount&gt;=4190,F9202=""),"Incomplete","Complete")</f>
        <v>Complete</v>
      </c>
      <c r="I9202" s="48" t="s">
        <v>13567</v>
      </c>
    </row>
    <row r="9203" spans="2:9" ht="15" customHeight="1" x14ac:dyDescent="0.25">
      <c r="B9203" s="55" t="s">
        <v>280</v>
      </c>
      <c r="C9203" s="46">
        <v>4191</v>
      </c>
      <c r="D9203" s="69" t="s">
        <v>29417</v>
      </c>
      <c r="E9203" s="51"/>
      <c r="F9203" s="114" t="str">
        <f>IF(INDEX(I.Facility.P2aIDNumber,4191)="","",INDEX(I.Facility.P2aIDNumber,4191))</f>
        <v/>
      </c>
      <c r="G9203" s="51"/>
      <c r="H9203" s="46" t="str">
        <f>IF(AND(I.Developer.P2a=TRUE,I.Facility.P2aFacilityCount&gt;=4191,F9203=""),"Incomplete","Complete")</f>
        <v>Complete</v>
      </c>
      <c r="I9203" s="48" t="s">
        <v>13568</v>
      </c>
    </row>
    <row r="9204" spans="2:9" ht="15" customHeight="1" x14ac:dyDescent="0.25">
      <c r="B9204" s="55" t="s">
        <v>280</v>
      </c>
      <c r="C9204" s="46">
        <v>4192</v>
      </c>
      <c r="D9204" s="69" t="s">
        <v>29417</v>
      </c>
      <c r="E9204" s="51"/>
      <c r="F9204" s="114" t="str">
        <f>IF(INDEX(I.Facility.P2aIDNumber,4192)="","",INDEX(I.Facility.P2aIDNumber,4192))</f>
        <v/>
      </c>
      <c r="G9204" s="51"/>
      <c r="H9204" s="46" t="str">
        <f>IF(AND(I.Developer.P2a=TRUE,I.Facility.P2aFacilityCount&gt;=4192,F9204=""),"Incomplete","Complete")</f>
        <v>Complete</v>
      </c>
      <c r="I9204" s="48" t="s">
        <v>13569</v>
      </c>
    </row>
    <row r="9205" spans="2:9" ht="15" customHeight="1" x14ac:dyDescent="0.25">
      <c r="B9205" s="55" t="s">
        <v>280</v>
      </c>
      <c r="C9205" s="46">
        <v>4193</v>
      </c>
      <c r="D9205" s="69" t="s">
        <v>29417</v>
      </c>
      <c r="E9205" s="51"/>
      <c r="F9205" s="114" t="str">
        <f>IF(INDEX(I.Facility.P2aIDNumber,4193)="","",INDEX(I.Facility.P2aIDNumber,4193))</f>
        <v/>
      </c>
      <c r="G9205" s="51"/>
      <c r="H9205" s="46" t="str">
        <f>IF(AND(I.Developer.P2a=TRUE,I.Facility.P2aFacilityCount&gt;=4193,F9205=""),"Incomplete","Complete")</f>
        <v>Complete</v>
      </c>
      <c r="I9205" s="48" t="s">
        <v>13570</v>
      </c>
    </row>
    <row r="9206" spans="2:9" ht="15" customHeight="1" x14ac:dyDescent="0.25">
      <c r="B9206" s="55" t="s">
        <v>280</v>
      </c>
      <c r="C9206" s="46">
        <v>4194</v>
      </c>
      <c r="D9206" s="69" t="s">
        <v>29417</v>
      </c>
      <c r="E9206" s="51"/>
      <c r="F9206" s="114" t="str">
        <f>IF(INDEX(I.Facility.P2aIDNumber,4194)="","",INDEX(I.Facility.P2aIDNumber,4194))</f>
        <v/>
      </c>
      <c r="G9206" s="51"/>
      <c r="H9206" s="46" t="str">
        <f>IF(AND(I.Developer.P2a=TRUE,I.Facility.P2aFacilityCount&gt;=4194,F9206=""),"Incomplete","Complete")</f>
        <v>Complete</v>
      </c>
      <c r="I9206" s="48" t="s">
        <v>13571</v>
      </c>
    </row>
    <row r="9207" spans="2:9" ht="15" customHeight="1" x14ac:dyDescent="0.25">
      <c r="B9207" s="55" t="s">
        <v>280</v>
      </c>
      <c r="C9207" s="46">
        <v>4195</v>
      </c>
      <c r="D9207" s="69" t="s">
        <v>29417</v>
      </c>
      <c r="E9207" s="51"/>
      <c r="F9207" s="114" t="str">
        <f>IF(INDEX(I.Facility.P2aIDNumber,4195)="","",INDEX(I.Facility.P2aIDNumber,4195))</f>
        <v/>
      </c>
      <c r="G9207" s="51"/>
      <c r="H9207" s="46" t="str">
        <f>IF(AND(I.Developer.P2a=TRUE,I.Facility.P2aFacilityCount&gt;=4195,F9207=""),"Incomplete","Complete")</f>
        <v>Complete</v>
      </c>
      <c r="I9207" s="48" t="s">
        <v>13572</v>
      </c>
    </row>
    <row r="9208" spans="2:9" ht="15" customHeight="1" x14ac:dyDescent="0.25">
      <c r="B9208" s="55" t="s">
        <v>280</v>
      </c>
      <c r="C9208" s="46">
        <v>4196</v>
      </c>
      <c r="D9208" s="69" t="s">
        <v>29417</v>
      </c>
      <c r="E9208" s="51"/>
      <c r="F9208" s="114" t="str">
        <f>IF(INDEX(I.Facility.P2aIDNumber,4196)="","",INDEX(I.Facility.P2aIDNumber,4196))</f>
        <v/>
      </c>
      <c r="G9208" s="51"/>
      <c r="H9208" s="46" t="str">
        <f>IF(AND(I.Developer.P2a=TRUE,I.Facility.P2aFacilityCount&gt;=4196,F9208=""),"Incomplete","Complete")</f>
        <v>Complete</v>
      </c>
      <c r="I9208" s="48" t="s">
        <v>13573</v>
      </c>
    </row>
    <row r="9209" spans="2:9" ht="15" customHeight="1" x14ac:dyDescent="0.25">
      <c r="B9209" s="55" t="s">
        <v>280</v>
      </c>
      <c r="C9209" s="46">
        <v>4197</v>
      </c>
      <c r="D9209" s="69" t="s">
        <v>29417</v>
      </c>
      <c r="E9209" s="51"/>
      <c r="F9209" s="114" t="str">
        <f>IF(INDEX(I.Facility.P2aIDNumber,4197)="","",INDEX(I.Facility.P2aIDNumber,4197))</f>
        <v/>
      </c>
      <c r="G9209" s="51"/>
      <c r="H9209" s="46" t="str">
        <f>IF(AND(I.Developer.P2a=TRUE,I.Facility.P2aFacilityCount&gt;=4197,F9209=""),"Incomplete","Complete")</f>
        <v>Complete</v>
      </c>
      <c r="I9209" s="48" t="s">
        <v>13574</v>
      </c>
    </row>
    <row r="9210" spans="2:9" ht="15" customHeight="1" x14ac:dyDescent="0.25">
      <c r="B9210" s="55" t="s">
        <v>280</v>
      </c>
      <c r="C9210" s="46">
        <v>4198</v>
      </c>
      <c r="D9210" s="69" t="s">
        <v>29417</v>
      </c>
      <c r="E9210" s="51"/>
      <c r="F9210" s="114" t="str">
        <f>IF(INDEX(I.Facility.P2aIDNumber,4198)="","",INDEX(I.Facility.P2aIDNumber,4198))</f>
        <v/>
      </c>
      <c r="G9210" s="51"/>
      <c r="H9210" s="46" t="str">
        <f>IF(AND(I.Developer.P2a=TRUE,I.Facility.P2aFacilityCount&gt;=4198,F9210=""),"Incomplete","Complete")</f>
        <v>Complete</v>
      </c>
      <c r="I9210" s="48" t="s">
        <v>13575</v>
      </c>
    </row>
    <row r="9211" spans="2:9" ht="15" customHeight="1" x14ac:dyDescent="0.25">
      <c r="B9211" s="55" t="s">
        <v>280</v>
      </c>
      <c r="C9211" s="46">
        <v>4199</v>
      </c>
      <c r="D9211" s="69" t="s">
        <v>29417</v>
      </c>
      <c r="E9211" s="51"/>
      <c r="F9211" s="114" t="str">
        <f>IF(INDEX(I.Facility.P2aIDNumber,4199)="","",INDEX(I.Facility.P2aIDNumber,4199))</f>
        <v/>
      </c>
      <c r="G9211" s="51"/>
      <c r="H9211" s="46" t="str">
        <f>IF(AND(I.Developer.P2a=TRUE,I.Facility.P2aFacilityCount&gt;=4199,F9211=""),"Incomplete","Complete")</f>
        <v>Complete</v>
      </c>
      <c r="I9211" s="48" t="s">
        <v>13576</v>
      </c>
    </row>
    <row r="9212" spans="2:9" ht="15" customHeight="1" x14ac:dyDescent="0.25">
      <c r="B9212" s="55" t="s">
        <v>280</v>
      </c>
      <c r="C9212" s="46">
        <v>4200</v>
      </c>
      <c r="D9212" s="69" t="s">
        <v>29417</v>
      </c>
      <c r="E9212" s="51"/>
      <c r="F9212" s="114" t="str">
        <f>IF(INDEX(I.Facility.P2aIDNumber,4200)="","",INDEX(I.Facility.P2aIDNumber,4200))</f>
        <v/>
      </c>
      <c r="G9212" s="51"/>
      <c r="H9212" s="46" t="str">
        <f>IF(AND(I.Developer.P2a=TRUE,I.Facility.P2aFacilityCount&gt;=4200,F9212=""),"Incomplete","Complete")</f>
        <v>Complete</v>
      </c>
      <c r="I9212" s="48" t="s">
        <v>13577</v>
      </c>
    </row>
    <row r="9213" spans="2:9" ht="15" customHeight="1" x14ac:dyDescent="0.25">
      <c r="B9213" s="55" t="s">
        <v>280</v>
      </c>
      <c r="C9213" s="46">
        <v>4201</v>
      </c>
      <c r="D9213" s="69" t="s">
        <v>29417</v>
      </c>
      <c r="E9213" s="51"/>
      <c r="F9213" s="114" t="str">
        <f>IF(INDEX(I.Facility.P2aIDNumber,4201)="","",INDEX(I.Facility.P2aIDNumber,4201))</f>
        <v/>
      </c>
      <c r="G9213" s="51"/>
      <c r="H9213" s="46" t="str">
        <f>IF(AND(I.Developer.P2a=TRUE,I.Facility.P2aFacilityCount&gt;=4201,F9213=""),"Incomplete","Complete")</f>
        <v>Complete</v>
      </c>
      <c r="I9213" s="48" t="s">
        <v>13578</v>
      </c>
    </row>
    <row r="9214" spans="2:9" ht="15" customHeight="1" x14ac:dyDescent="0.25">
      <c r="B9214" s="55" t="s">
        <v>280</v>
      </c>
      <c r="C9214" s="46">
        <v>4202</v>
      </c>
      <c r="D9214" s="69" t="s">
        <v>29417</v>
      </c>
      <c r="E9214" s="51"/>
      <c r="F9214" s="114" t="str">
        <f>IF(INDEX(I.Facility.P2aIDNumber,4202)="","",INDEX(I.Facility.P2aIDNumber,4202))</f>
        <v/>
      </c>
      <c r="G9214" s="51"/>
      <c r="H9214" s="46" t="str">
        <f>IF(AND(I.Developer.P2a=TRUE,I.Facility.P2aFacilityCount&gt;=4202,F9214=""),"Incomplete","Complete")</f>
        <v>Complete</v>
      </c>
      <c r="I9214" s="48" t="s">
        <v>13579</v>
      </c>
    </row>
    <row r="9215" spans="2:9" ht="15" customHeight="1" x14ac:dyDescent="0.25">
      <c r="B9215" s="55" t="s">
        <v>280</v>
      </c>
      <c r="C9215" s="46">
        <v>4203</v>
      </c>
      <c r="D9215" s="69" t="s">
        <v>29417</v>
      </c>
      <c r="E9215" s="51"/>
      <c r="F9215" s="114" t="str">
        <f>IF(INDEX(I.Facility.P2aIDNumber,4203)="","",INDEX(I.Facility.P2aIDNumber,4203))</f>
        <v/>
      </c>
      <c r="G9215" s="51"/>
      <c r="H9215" s="46" t="str">
        <f>IF(AND(I.Developer.P2a=TRUE,I.Facility.P2aFacilityCount&gt;=4203,F9215=""),"Incomplete","Complete")</f>
        <v>Complete</v>
      </c>
      <c r="I9215" s="48" t="s">
        <v>13580</v>
      </c>
    </row>
    <row r="9216" spans="2:9" ht="15" customHeight="1" x14ac:dyDescent="0.25">
      <c r="B9216" s="55" t="s">
        <v>280</v>
      </c>
      <c r="C9216" s="46">
        <v>4204</v>
      </c>
      <c r="D9216" s="69" t="s">
        <v>29417</v>
      </c>
      <c r="E9216" s="51"/>
      <c r="F9216" s="114" t="str">
        <f>IF(INDEX(I.Facility.P2aIDNumber,4204)="","",INDEX(I.Facility.P2aIDNumber,4204))</f>
        <v/>
      </c>
      <c r="G9216" s="51"/>
      <c r="H9216" s="46" t="str">
        <f>IF(AND(I.Developer.P2a=TRUE,I.Facility.P2aFacilityCount&gt;=4204,F9216=""),"Incomplete","Complete")</f>
        <v>Complete</v>
      </c>
      <c r="I9216" s="48" t="s">
        <v>13581</v>
      </c>
    </row>
    <row r="9217" spans="2:9" ht="15" customHeight="1" x14ac:dyDescent="0.25">
      <c r="B9217" s="55" t="s">
        <v>280</v>
      </c>
      <c r="C9217" s="46">
        <v>4205</v>
      </c>
      <c r="D9217" s="69" t="s">
        <v>29417</v>
      </c>
      <c r="E9217" s="51"/>
      <c r="F9217" s="114" t="str">
        <f>IF(INDEX(I.Facility.P2aIDNumber,4205)="","",INDEX(I.Facility.P2aIDNumber,4205))</f>
        <v/>
      </c>
      <c r="G9217" s="51"/>
      <c r="H9217" s="46" t="str">
        <f>IF(AND(I.Developer.P2a=TRUE,I.Facility.P2aFacilityCount&gt;=4205,F9217=""),"Incomplete","Complete")</f>
        <v>Complete</v>
      </c>
      <c r="I9217" s="48" t="s">
        <v>13582</v>
      </c>
    </row>
    <row r="9218" spans="2:9" ht="15" customHeight="1" x14ac:dyDescent="0.25">
      <c r="B9218" s="55" t="s">
        <v>280</v>
      </c>
      <c r="C9218" s="46">
        <v>4206</v>
      </c>
      <c r="D9218" s="69" t="s">
        <v>29417</v>
      </c>
      <c r="E9218" s="51"/>
      <c r="F9218" s="114" t="str">
        <f>IF(INDEX(I.Facility.P2aIDNumber,4206)="","",INDEX(I.Facility.P2aIDNumber,4206))</f>
        <v/>
      </c>
      <c r="G9218" s="51"/>
      <c r="H9218" s="46" t="str">
        <f>IF(AND(I.Developer.P2a=TRUE,I.Facility.P2aFacilityCount&gt;=4206,F9218=""),"Incomplete","Complete")</f>
        <v>Complete</v>
      </c>
      <c r="I9218" s="48" t="s">
        <v>13583</v>
      </c>
    </row>
    <row r="9219" spans="2:9" ht="15" customHeight="1" x14ac:dyDescent="0.25">
      <c r="B9219" s="55" t="s">
        <v>280</v>
      </c>
      <c r="C9219" s="46">
        <v>4207</v>
      </c>
      <c r="D9219" s="69" t="s">
        <v>29417</v>
      </c>
      <c r="E9219" s="51"/>
      <c r="F9219" s="114" t="str">
        <f>IF(INDEX(I.Facility.P2aIDNumber,4207)="","",INDEX(I.Facility.P2aIDNumber,4207))</f>
        <v/>
      </c>
      <c r="G9219" s="51"/>
      <c r="H9219" s="46" t="str">
        <f>IF(AND(I.Developer.P2a=TRUE,I.Facility.P2aFacilityCount&gt;=4207,F9219=""),"Incomplete","Complete")</f>
        <v>Complete</v>
      </c>
      <c r="I9219" s="48" t="s">
        <v>13584</v>
      </c>
    </row>
    <row r="9220" spans="2:9" ht="15" customHeight="1" x14ac:dyDescent="0.25">
      <c r="B9220" s="55" t="s">
        <v>280</v>
      </c>
      <c r="C9220" s="46">
        <v>4208</v>
      </c>
      <c r="D9220" s="69" t="s">
        <v>29417</v>
      </c>
      <c r="E9220" s="51"/>
      <c r="F9220" s="114" t="str">
        <f>IF(INDEX(I.Facility.P2aIDNumber,4208)="","",INDEX(I.Facility.P2aIDNumber,4208))</f>
        <v/>
      </c>
      <c r="G9220" s="51"/>
      <c r="H9220" s="46" t="str">
        <f>IF(AND(I.Developer.P2a=TRUE,I.Facility.P2aFacilityCount&gt;=4208,F9220=""),"Incomplete","Complete")</f>
        <v>Complete</v>
      </c>
      <c r="I9220" s="48" t="s">
        <v>13585</v>
      </c>
    </row>
    <row r="9221" spans="2:9" ht="15" customHeight="1" x14ac:dyDescent="0.25">
      <c r="B9221" s="55" t="s">
        <v>280</v>
      </c>
      <c r="C9221" s="46">
        <v>4209</v>
      </c>
      <c r="D9221" s="69" t="s">
        <v>29417</v>
      </c>
      <c r="E9221" s="51"/>
      <c r="F9221" s="114" t="str">
        <f>IF(INDEX(I.Facility.P2aIDNumber,4209)="","",INDEX(I.Facility.P2aIDNumber,4209))</f>
        <v/>
      </c>
      <c r="G9221" s="51"/>
      <c r="H9221" s="46" t="str">
        <f>IF(AND(I.Developer.P2a=TRUE,I.Facility.P2aFacilityCount&gt;=4209,F9221=""),"Incomplete","Complete")</f>
        <v>Complete</v>
      </c>
      <c r="I9221" s="48" t="s">
        <v>13586</v>
      </c>
    </row>
    <row r="9222" spans="2:9" ht="15" customHeight="1" x14ac:dyDescent="0.25">
      <c r="B9222" s="55" t="s">
        <v>280</v>
      </c>
      <c r="C9222" s="46">
        <v>4210</v>
      </c>
      <c r="D9222" s="69" t="s">
        <v>29417</v>
      </c>
      <c r="E9222" s="51"/>
      <c r="F9222" s="114" t="str">
        <f>IF(INDEX(I.Facility.P2aIDNumber,4210)="","",INDEX(I.Facility.P2aIDNumber,4210))</f>
        <v/>
      </c>
      <c r="G9222" s="51"/>
      <c r="H9222" s="46" t="str">
        <f>IF(AND(I.Developer.P2a=TRUE,I.Facility.P2aFacilityCount&gt;=4210,F9222=""),"Incomplete","Complete")</f>
        <v>Complete</v>
      </c>
      <c r="I9222" s="48" t="s">
        <v>13587</v>
      </c>
    </row>
    <row r="9223" spans="2:9" ht="15" customHeight="1" x14ac:dyDescent="0.25">
      <c r="B9223" s="55" t="s">
        <v>280</v>
      </c>
      <c r="C9223" s="46">
        <v>4211</v>
      </c>
      <c r="D9223" s="69" t="s">
        <v>29417</v>
      </c>
      <c r="E9223" s="51"/>
      <c r="F9223" s="114" t="str">
        <f>IF(INDEX(I.Facility.P2aIDNumber,4211)="","",INDEX(I.Facility.P2aIDNumber,4211))</f>
        <v/>
      </c>
      <c r="G9223" s="51"/>
      <c r="H9223" s="46" t="str">
        <f>IF(AND(I.Developer.P2a=TRUE,I.Facility.P2aFacilityCount&gt;=4211,F9223=""),"Incomplete","Complete")</f>
        <v>Complete</v>
      </c>
      <c r="I9223" s="48" t="s">
        <v>13588</v>
      </c>
    </row>
    <row r="9224" spans="2:9" ht="15" customHeight="1" x14ac:dyDescent="0.25">
      <c r="B9224" s="55" t="s">
        <v>280</v>
      </c>
      <c r="C9224" s="46">
        <v>4212</v>
      </c>
      <c r="D9224" s="69" t="s">
        <v>29417</v>
      </c>
      <c r="E9224" s="51"/>
      <c r="F9224" s="114" t="str">
        <f>IF(INDEX(I.Facility.P2aIDNumber,4212)="","",INDEX(I.Facility.P2aIDNumber,4212))</f>
        <v/>
      </c>
      <c r="G9224" s="51"/>
      <c r="H9224" s="46" t="str">
        <f>IF(AND(I.Developer.P2a=TRUE,I.Facility.P2aFacilityCount&gt;=4212,F9224=""),"Incomplete","Complete")</f>
        <v>Complete</v>
      </c>
      <c r="I9224" s="48" t="s">
        <v>13589</v>
      </c>
    </row>
    <row r="9225" spans="2:9" ht="15" customHeight="1" x14ac:dyDescent="0.25">
      <c r="B9225" s="55" t="s">
        <v>280</v>
      </c>
      <c r="C9225" s="46">
        <v>4213</v>
      </c>
      <c r="D9225" s="69" t="s">
        <v>29417</v>
      </c>
      <c r="E9225" s="51"/>
      <c r="F9225" s="114" t="str">
        <f>IF(INDEX(I.Facility.P2aIDNumber,4213)="","",INDEX(I.Facility.P2aIDNumber,4213))</f>
        <v/>
      </c>
      <c r="G9225" s="51"/>
      <c r="H9225" s="46" t="str">
        <f>IF(AND(I.Developer.P2a=TRUE,I.Facility.P2aFacilityCount&gt;=4213,F9225=""),"Incomplete","Complete")</f>
        <v>Complete</v>
      </c>
      <c r="I9225" s="48" t="s">
        <v>13590</v>
      </c>
    </row>
    <row r="9226" spans="2:9" ht="15" customHeight="1" x14ac:dyDescent="0.25">
      <c r="B9226" s="55" t="s">
        <v>280</v>
      </c>
      <c r="C9226" s="46">
        <v>4214</v>
      </c>
      <c r="D9226" s="69" t="s">
        <v>29417</v>
      </c>
      <c r="E9226" s="51"/>
      <c r="F9226" s="114" t="str">
        <f>IF(INDEX(I.Facility.P2aIDNumber,4214)="","",INDEX(I.Facility.P2aIDNumber,4214))</f>
        <v/>
      </c>
      <c r="G9226" s="51"/>
      <c r="H9226" s="46" t="str">
        <f>IF(AND(I.Developer.P2a=TRUE,I.Facility.P2aFacilityCount&gt;=4214,F9226=""),"Incomplete","Complete")</f>
        <v>Complete</v>
      </c>
      <c r="I9226" s="48" t="s">
        <v>13591</v>
      </c>
    </row>
    <row r="9227" spans="2:9" ht="15" customHeight="1" x14ac:dyDescent="0.25">
      <c r="B9227" s="55" t="s">
        <v>280</v>
      </c>
      <c r="C9227" s="46">
        <v>4215</v>
      </c>
      <c r="D9227" s="69" t="s">
        <v>29417</v>
      </c>
      <c r="E9227" s="51"/>
      <c r="F9227" s="114" t="str">
        <f>IF(INDEX(I.Facility.P2aIDNumber,4215)="","",INDEX(I.Facility.P2aIDNumber,4215))</f>
        <v/>
      </c>
      <c r="G9227" s="51"/>
      <c r="H9227" s="46" t="str">
        <f>IF(AND(I.Developer.P2a=TRUE,I.Facility.P2aFacilityCount&gt;=4215,F9227=""),"Incomplete","Complete")</f>
        <v>Complete</v>
      </c>
      <c r="I9227" s="48" t="s">
        <v>13592</v>
      </c>
    </row>
    <row r="9228" spans="2:9" ht="15" customHeight="1" x14ac:dyDescent="0.25">
      <c r="B9228" s="55" t="s">
        <v>280</v>
      </c>
      <c r="C9228" s="46">
        <v>4216</v>
      </c>
      <c r="D9228" s="69" t="s">
        <v>29417</v>
      </c>
      <c r="E9228" s="51"/>
      <c r="F9228" s="114" t="str">
        <f>IF(INDEX(I.Facility.P2aIDNumber,4216)="","",INDEX(I.Facility.P2aIDNumber,4216))</f>
        <v/>
      </c>
      <c r="G9228" s="51"/>
      <c r="H9228" s="46" t="str">
        <f>IF(AND(I.Developer.P2a=TRUE,I.Facility.P2aFacilityCount&gt;=4216,F9228=""),"Incomplete","Complete")</f>
        <v>Complete</v>
      </c>
      <c r="I9228" s="48" t="s">
        <v>13593</v>
      </c>
    </row>
    <row r="9229" spans="2:9" ht="15" customHeight="1" x14ac:dyDescent="0.25">
      <c r="B9229" s="55" t="s">
        <v>280</v>
      </c>
      <c r="C9229" s="46">
        <v>4217</v>
      </c>
      <c r="D9229" s="69" t="s">
        <v>29417</v>
      </c>
      <c r="E9229" s="51"/>
      <c r="F9229" s="114" t="str">
        <f>IF(INDEX(I.Facility.P2aIDNumber,4217)="","",INDEX(I.Facility.P2aIDNumber,4217))</f>
        <v/>
      </c>
      <c r="G9229" s="51"/>
      <c r="H9229" s="46" t="str">
        <f>IF(AND(I.Developer.P2a=TRUE,I.Facility.P2aFacilityCount&gt;=4217,F9229=""),"Incomplete","Complete")</f>
        <v>Complete</v>
      </c>
      <c r="I9229" s="48" t="s">
        <v>13594</v>
      </c>
    </row>
    <row r="9230" spans="2:9" ht="15" customHeight="1" x14ac:dyDescent="0.25">
      <c r="B9230" s="55" t="s">
        <v>280</v>
      </c>
      <c r="C9230" s="46">
        <v>4218</v>
      </c>
      <c r="D9230" s="69" t="s">
        <v>29417</v>
      </c>
      <c r="E9230" s="51"/>
      <c r="F9230" s="114" t="str">
        <f>IF(INDEX(I.Facility.P2aIDNumber,4218)="","",INDEX(I.Facility.P2aIDNumber,4218))</f>
        <v/>
      </c>
      <c r="G9230" s="51"/>
      <c r="H9230" s="46" t="str">
        <f>IF(AND(I.Developer.P2a=TRUE,I.Facility.P2aFacilityCount&gt;=4218,F9230=""),"Incomplete","Complete")</f>
        <v>Complete</v>
      </c>
      <c r="I9230" s="48" t="s">
        <v>13595</v>
      </c>
    </row>
    <row r="9231" spans="2:9" ht="15" customHeight="1" x14ac:dyDescent="0.25">
      <c r="B9231" s="55" t="s">
        <v>280</v>
      </c>
      <c r="C9231" s="46">
        <v>4219</v>
      </c>
      <c r="D9231" s="69" t="s">
        <v>29417</v>
      </c>
      <c r="E9231" s="51"/>
      <c r="F9231" s="114" t="str">
        <f>IF(INDEX(I.Facility.P2aIDNumber,4219)="","",INDEX(I.Facility.P2aIDNumber,4219))</f>
        <v/>
      </c>
      <c r="G9231" s="51"/>
      <c r="H9231" s="46" t="str">
        <f>IF(AND(I.Developer.P2a=TRUE,I.Facility.P2aFacilityCount&gt;=4219,F9231=""),"Incomplete","Complete")</f>
        <v>Complete</v>
      </c>
      <c r="I9231" s="48" t="s">
        <v>13596</v>
      </c>
    </row>
    <row r="9232" spans="2:9" ht="15" customHeight="1" x14ac:dyDescent="0.25">
      <c r="B9232" s="55" t="s">
        <v>280</v>
      </c>
      <c r="C9232" s="46">
        <v>4220</v>
      </c>
      <c r="D9232" s="69" t="s">
        <v>29417</v>
      </c>
      <c r="E9232" s="51"/>
      <c r="F9232" s="114" t="str">
        <f>IF(INDEX(I.Facility.P2aIDNumber,4220)="","",INDEX(I.Facility.P2aIDNumber,4220))</f>
        <v/>
      </c>
      <c r="G9232" s="51"/>
      <c r="H9232" s="46" t="str">
        <f>IF(AND(I.Developer.P2a=TRUE,I.Facility.P2aFacilityCount&gt;=4220,F9232=""),"Incomplete","Complete")</f>
        <v>Complete</v>
      </c>
      <c r="I9232" s="48" t="s">
        <v>13597</v>
      </c>
    </row>
    <row r="9233" spans="2:9" ht="15" customHeight="1" x14ac:dyDescent="0.25">
      <c r="B9233" s="55" t="s">
        <v>280</v>
      </c>
      <c r="C9233" s="46">
        <v>4221</v>
      </c>
      <c r="D9233" s="69" t="s">
        <v>29417</v>
      </c>
      <c r="E9233" s="51"/>
      <c r="F9233" s="114" t="str">
        <f>IF(INDEX(I.Facility.P2aIDNumber,4221)="","",INDEX(I.Facility.P2aIDNumber,4221))</f>
        <v/>
      </c>
      <c r="G9233" s="51"/>
      <c r="H9233" s="46" t="str">
        <f>IF(AND(I.Developer.P2a=TRUE,I.Facility.P2aFacilityCount&gt;=4221,F9233=""),"Incomplete","Complete")</f>
        <v>Complete</v>
      </c>
      <c r="I9233" s="48" t="s">
        <v>13598</v>
      </c>
    </row>
    <row r="9234" spans="2:9" ht="15" customHeight="1" x14ac:dyDescent="0.25">
      <c r="B9234" s="55" t="s">
        <v>280</v>
      </c>
      <c r="C9234" s="46">
        <v>4222</v>
      </c>
      <c r="D9234" s="69" t="s">
        <v>29417</v>
      </c>
      <c r="E9234" s="51"/>
      <c r="F9234" s="114" t="str">
        <f>IF(INDEX(I.Facility.P2aIDNumber,4222)="","",INDEX(I.Facility.P2aIDNumber,4222))</f>
        <v/>
      </c>
      <c r="G9234" s="51"/>
      <c r="H9234" s="46" t="str">
        <f>IF(AND(I.Developer.P2a=TRUE,I.Facility.P2aFacilityCount&gt;=4222,F9234=""),"Incomplete","Complete")</f>
        <v>Complete</v>
      </c>
      <c r="I9234" s="48" t="s">
        <v>13599</v>
      </c>
    </row>
    <row r="9235" spans="2:9" ht="15" customHeight="1" x14ac:dyDescent="0.25">
      <c r="B9235" s="55" t="s">
        <v>280</v>
      </c>
      <c r="C9235" s="46">
        <v>4223</v>
      </c>
      <c r="D9235" s="69" t="s">
        <v>29417</v>
      </c>
      <c r="E9235" s="51"/>
      <c r="F9235" s="114" t="str">
        <f>IF(INDEX(I.Facility.P2aIDNumber,4223)="","",INDEX(I.Facility.P2aIDNumber,4223))</f>
        <v/>
      </c>
      <c r="G9235" s="51"/>
      <c r="H9235" s="46" t="str">
        <f>IF(AND(I.Developer.P2a=TRUE,I.Facility.P2aFacilityCount&gt;=4223,F9235=""),"Incomplete","Complete")</f>
        <v>Complete</v>
      </c>
      <c r="I9235" s="48" t="s">
        <v>13600</v>
      </c>
    </row>
    <row r="9236" spans="2:9" ht="15" customHeight="1" x14ac:dyDescent="0.25">
      <c r="B9236" s="55" t="s">
        <v>280</v>
      </c>
      <c r="C9236" s="46">
        <v>4224</v>
      </c>
      <c r="D9236" s="69" t="s">
        <v>29417</v>
      </c>
      <c r="E9236" s="51"/>
      <c r="F9236" s="114" t="str">
        <f>IF(INDEX(I.Facility.P2aIDNumber,4224)="","",INDEX(I.Facility.P2aIDNumber,4224))</f>
        <v/>
      </c>
      <c r="G9236" s="51"/>
      <c r="H9236" s="46" t="str">
        <f>IF(AND(I.Developer.P2a=TRUE,I.Facility.P2aFacilityCount&gt;=4224,F9236=""),"Incomplete","Complete")</f>
        <v>Complete</v>
      </c>
      <c r="I9236" s="48" t="s">
        <v>13601</v>
      </c>
    </row>
    <row r="9237" spans="2:9" ht="15" customHeight="1" x14ac:dyDescent="0.25">
      <c r="B9237" s="55" t="s">
        <v>280</v>
      </c>
      <c r="C9237" s="46">
        <v>4225</v>
      </c>
      <c r="D9237" s="69" t="s">
        <v>29417</v>
      </c>
      <c r="E9237" s="51"/>
      <c r="F9237" s="114" t="str">
        <f>IF(INDEX(I.Facility.P2aIDNumber,4225)="","",INDEX(I.Facility.P2aIDNumber,4225))</f>
        <v/>
      </c>
      <c r="G9237" s="51"/>
      <c r="H9237" s="46" t="str">
        <f>IF(AND(I.Developer.P2a=TRUE,I.Facility.P2aFacilityCount&gt;=4225,F9237=""),"Incomplete","Complete")</f>
        <v>Complete</v>
      </c>
      <c r="I9237" s="48" t="s">
        <v>13602</v>
      </c>
    </row>
    <row r="9238" spans="2:9" ht="15" customHeight="1" x14ac:dyDescent="0.25">
      <c r="B9238" s="55" t="s">
        <v>280</v>
      </c>
      <c r="C9238" s="46">
        <v>4226</v>
      </c>
      <c r="D9238" s="69" t="s">
        <v>29417</v>
      </c>
      <c r="E9238" s="51"/>
      <c r="F9238" s="114" t="str">
        <f>IF(INDEX(I.Facility.P2aIDNumber,4226)="","",INDEX(I.Facility.P2aIDNumber,4226))</f>
        <v/>
      </c>
      <c r="G9238" s="51"/>
      <c r="H9238" s="46" t="str">
        <f>IF(AND(I.Developer.P2a=TRUE,I.Facility.P2aFacilityCount&gt;=4226,F9238=""),"Incomplete","Complete")</f>
        <v>Complete</v>
      </c>
      <c r="I9238" s="48" t="s">
        <v>13603</v>
      </c>
    </row>
    <row r="9239" spans="2:9" ht="15" customHeight="1" x14ac:dyDescent="0.25">
      <c r="B9239" s="55" t="s">
        <v>280</v>
      </c>
      <c r="C9239" s="46">
        <v>4227</v>
      </c>
      <c r="D9239" s="69" t="s">
        <v>29417</v>
      </c>
      <c r="E9239" s="51"/>
      <c r="F9239" s="114" t="str">
        <f>IF(INDEX(I.Facility.P2aIDNumber,4227)="","",INDEX(I.Facility.P2aIDNumber,4227))</f>
        <v/>
      </c>
      <c r="G9239" s="51"/>
      <c r="H9239" s="46" t="str">
        <f>IF(AND(I.Developer.P2a=TRUE,I.Facility.P2aFacilityCount&gt;=4227,F9239=""),"Incomplete","Complete")</f>
        <v>Complete</v>
      </c>
      <c r="I9239" s="48" t="s">
        <v>13604</v>
      </c>
    </row>
    <row r="9240" spans="2:9" ht="15" customHeight="1" x14ac:dyDescent="0.25">
      <c r="B9240" s="55" t="s">
        <v>280</v>
      </c>
      <c r="C9240" s="46">
        <v>4228</v>
      </c>
      <c r="D9240" s="69" t="s">
        <v>29417</v>
      </c>
      <c r="E9240" s="51"/>
      <c r="F9240" s="114" t="str">
        <f>IF(INDEX(I.Facility.P2aIDNumber,4228)="","",INDEX(I.Facility.P2aIDNumber,4228))</f>
        <v/>
      </c>
      <c r="G9240" s="51"/>
      <c r="H9240" s="46" t="str">
        <f>IF(AND(I.Developer.P2a=TRUE,I.Facility.P2aFacilityCount&gt;=4228,F9240=""),"Incomplete","Complete")</f>
        <v>Complete</v>
      </c>
      <c r="I9240" s="48" t="s">
        <v>13605</v>
      </c>
    </row>
    <row r="9241" spans="2:9" ht="15" customHeight="1" x14ac:dyDescent="0.25">
      <c r="B9241" s="55" t="s">
        <v>280</v>
      </c>
      <c r="C9241" s="46">
        <v>4229</v>
      </c>
      <c r="D9241" s="69" t="s">
        <v>29417</v>
      </c>
      <c r="E9241" s="51"/>
      <c r="F9241" s="114" t="str">
        <f>IF(INDEX(I.Facility.P2aIDNumber,4229)="","",INDEX(I.Facility.P2aIDNumber,4229))</f>
        <v/>
      </c>
      <c r="G9241" s="51"/>
      <c r="H9241" s="46" t="str">
        <f>IF(AND(I.Developer.P2a=TRUE,I.Facility.P2aFacilityCount&gt;=4229,F9241=""),"Incomplete","Complete")</f>
        <v>Complete</v>
      </c>
      <c r="I9241" s="48" t="s">
        <v>13606</v>
      </c>
    </row>
    <row r="9242" spans="2:9" ht="15" customHeight="1" x14ac:dyDescent="0.25">
      <c r="B9242" s="55" t="s">
        <v>280</v>
      </c>
      <c r="C9242" s="46">
        <v>4230</v>
      </c>
      <c r="D9242" s="69" t="s">
        <v>29417</v>
      </c>
      <c r="E9242" s="51"/>
      <c r="F9242" s="114" t="str">
        <f>IF(INDEX(I.Facility.P2aIDNumber,4230)="","",INDEX(I.Facility.P2aIDNumber,4230))</f>
        <v/>
      </c>
      <c r="G9242" s="51"/>
      <c r="H9242" s="46" t="str">
        <f>IF(AND(I.Developer.P2a=TRUE,I.Facility.P2aFacilityCount&gt;=4230,F9242=""),"Incomplete","Complete")</f>
        <v>Complete</v>
      </c>
      <c r="I9242" s="48" t="s">
        <v>13607</v>
      </c>
    </row>
    <row r="9243" spans="2:9" ht="15" customHeight="1" x14ac:dyDescent="0.25">
      <c r="B9243" s="55" t="s">
        <v>280</v>
      </c>
      <c r="C9243" s="46">
        <v>4231</v>
      </c>
      <c r="D9243" s="69" t="s">
        <v>29417</v>
      </c>
      <c r="E9243" s="51"/>
      <c r="F9243" s="114" t="str">
        <f>IF(INDEX(I.Facility.P2aIDNumber,4231)="","",INDEX(I.Facility.P2aIDNumber,4231))</f>
        <v/>
      </c>
      <c r="G9243" s="51"/>
      <c r="H9243" s="46" t="str">
        <f>IF(AND(I.Developer.P2a=TRUE,I.Facility.P2aFacilityCount&gt;=4231,F9243=""),"Incomplete","Complete")</f>
        <v>Complete</v>
      </c>
      <c r="I9243" s="48" t="s">
        <v>13608</v>
      </c>
    </row>
    <row r="9244" spans="2:9" ht="15" customHeight="1" x14ac:dyDescent="0.25">
      <c r="B9244" s="55" t="s">
        <v>280</v>
      </c>
      <c r="C9244" s="46">
        <v>4232</v>
      </c>
      <c r="D9244" s="69" t="s">
        <v>29417</v>
      </c>
      <c r="E9244" s="51"/>
      <c r="F9244" s="114" t="str">
        <f>IF(INDEX(I.Facility.P2aIDNumber,4232)="","",INDEX(I.Facility.P2aIDNumber,4232))</f>
        <v/>
      </c>
      <c r="G9244" s="51"/>
      <c r="H9244" s="46" t="str">
        <f>IF(AND(I.Developer.P2a=TRUE,I.Facility.P2aFacilityCount&gt;=4232,F9244=""),"Incomplete","Complete")</f>
        <v>Complete</v>
      </c>
      <c r="I9244" s="48" t="s">
        <v>13609</v>
      </c>
    </row>
    <row r="9245" spans="2:9" ht="15" customHeight="1" x14ac:dyDescent="0.25">
      <c r="B9245" s="55" t="s">
        <v>280</v>
      </c>
      <c r="C9245" s="46">
        <v>4233</v>
      </c>
      <c r="D9245" s="69" t="s">
        <v>29417</v>
      </c>
      <c r="E9245" s="51"/>
      <c r="F9245" s="114" t="str">
        <f>IF(INDEX(I.Facility.P2aIDNumber,4233)="","",INDEX(I.Facility.P2aIDNumber,4233))</f>
        <v/>
      </c>
      <c r="G9245" s="51"/>
      <c r="H9245" s="46" t="str">
        <f>IF(AND(I.Developer.P2a=TRUE,I.Facility.P2aFacilityCount&gt;=4233,F9245=""),"Incomplete","Complete")</f>
        <v>Complete</v>
      </c>
      <c r="I9245" s="48" t="s">
        <v>13610</v>
      </c>
    </row>
    <row r="9246" spans="2:9" ht="15" customHeight="1" x14ac:dyDescent="0.25">
      <c r="B9246" s="55" t="s">
        <v>280</v>
      </c>
      <c r="C9246" s="46">
        <v>4234</v>
      </c>
      <c r="D9246" s="69" t="s">
        <v>29417</v>
      </c>
      <c r="E9246" s="51"/>
      <c r="F9246" s="114" t="str">
        <f>IF(INDEX(I.Facility.P2aIDNumber,4234)="","",INDEX(I.Facility.P2aIDNumber,4234))</f>
        <v/>
      </c>
      <c r="G9246" s="51"/>
      <c r="H9246" s="46" t="str">
        <f>IF(AND(I.Developer.P2a=TRUE,I.Facility.P2aFacilityCount&gt;=4234,F9246=""),"Incomplete","Complete")</f>
        <v>Complete</v>
      </c>
      <c r="I9246" s="48" t="s">
        <v>13611</v>
      </c>
    </row>
    <row r="9247" spans="2:9" ht="15" customHeight="1" x14ac:dyDescent="0.25">
      <c r="B9247" s="55" t="s">
        <v>280</v>
      </c>
      <c r="C9247" s="46">
        <v>4235</v>
      </c>
      <c r="D9247" s="69" t="s">
        <v>29417</v>
      </c>
      <c r="E9247" s="51"/>
      <c r="F9247" s="114" t="str">
        <f>IF(INDEX(I.Facility.P2aIDNumber,4235)="","",INDEX(I.Facility.P2aIDNumber,4235))</f>
        <v/>
      </c>
      <c r="G9247" s="51"/>
      <c r="H9247" s="46" t="str">
        <f>IF(AND(I.Developer.P2a=TRUE,I.Facility.P2aFacilityCount&gt;=4235,F9247=""),"Incomplete","Complete")</f>
        <v>Complete</v>
      </c>
      <c r="I9247" s="48" t="s">
        <v>13612</v>
      </c>
    </row>
    <row r="9248" spans="2:9" ht="15" customHeight="1" x14ac:dyDescent="0.25">
      <c r="B9248" s="55" t="s">
        <v>280</v>
      </c>
      <c r="C9248" s="46">
        <v>4236</v>
      </c>
      <c r="D9248" s="69" t="s">
        <v>29417</v>
      </c>
      <c r="E9248" s="51"/>
      <c r="F9248" s="114" t="str">
        <f>IF(INDEX(I.Facility.P2aIDNumber,4236)="","",INDEX(I.Facility.P2aIDNumber,4236))</f>
        <v/>
      </c>
      <c r="G9248" s="51"/>
      <c r="H9248" s="46" t="str">
        <f>IF(AND(I.Developer.P2a=TRUE,I.Facility.P2aFacilityCount&gt;=4236,F9248=""),"Incomplete","Complete")</f>
        <v>Complete</v>
      </c>
      <c r="I9248" s="48" t="s">
        <v>13613</v>
      </c>
    </row>
    <row r="9249" spans="2:9" ht="15" customHeight="1" x14ac:dyDescent="0.25">
      <c r="B9249" s="55" t="s">
        <v>280</v>
      </c>
      <c r="C9249" s="46">
        <v>4237</v>
      </c>
      <c r="D9249" s="69" t="s">
        <v>29417</v>
      </c>
      <c r="E9249" s="51"/>
      <c r="F9249" s="114" t="str">
        <f>IF(INDEX(I.Facility.P2aIDNumber,4237)="","",INDEX(I.Facility.P2aIDNumber,4237))</f>
        <v/>
      </c>
      <c r="G9249" s="51"/>
      <c r="H9249" s="46" t="str">
        <f>IF(AND(I.Developer.P2a=TRUE,I.Facility.P2aFacilityCount&gt;=4237,F9249=""),"Incomplete","Complete")</f>
        <v>Complete</v>
      </c>
      <c r="I9249" s="48" t="s">
        <v>13614</v>
      </c>
    </row>
    <row r="9250" spans="2:9" ht="15" customHeight="1" x14ac:dyDescent="0.25">
      <c r="B9250" s="55" t="s">
        <v>280</v>
      </c>
      <c r="C9250" s="46">
        <v>4238</v>
      </c>
      <c r="D9250" s="69" t="s">
        <v>29417</v>
      </c>
      <c r="E9250" s="51"/>
      <c r="F9250" s="114" t="str">
        <f>IF(INDEX(I.Facility.P2aIDNumber,4238)="","",INDEX(I.Facility.P2aIDNumber,4238))</f>
        <v/>
      </c>
      <c r="G9250" s="51"/>
      <c r="H9250" s="46" t="str">
        <f>IF(AND(I.Developer.P2a=TRUE,I.Facility.P2aFacilityCount&gt;=4238,F9250=""),"Incomplete","Complete")</f>
        <v>Complete</v>
      </c>
      <c r="I9250" s="48" t="s">
        <v>13615</v>
      </c>
    </row>
    <row r="9251" spans="2:9" ht="15" customHeight="1" x14ac:dyDescent="0.25">
      <c r="B9251" s="55" t="s">
        <v>280</v>
      </c>
      <c r="C9251" s="46">
        <v>4239</v>
      </c>
      <c r="D9251" s="69" t="s">
        <v>29417</v>
      </c>
      <c r="E9251" s="51"/>
      <c r="F9251" s="114" t="str">
        <f>IF(INDEX(I.Facility.P2aIDNumber,4239)="","",INDEX(I.Facility.P2aIDNumber,4239))</f>
        <v/>
      </c>
      <c r="G9251" s="51"/>
      <c r="H9251" s="46" t="str">
        <f>IF(AND(I.Developer.P2a=TRUE,I.Facility.P2aFacilityCount&gt;=4239,F9251=""),"Incomplete","Complete")</f>
        <v>Complete</v>
      </c>
      <c r="I9251" s="48" t="s">
        <v>13616</v>
      </c>
    </row>
    <row r="9252" spans="2:9" ht="15" customHeight="1" x14ac:dyDescent="0.25">
      <c r="B9252" s="55" t="s">
        <v>280</v>
      </c>
      <c r="C9252" s="46">
        <v>4240</v>
      </c>
      <c r="D9252" s="69" t="s">
        <v>29417</v>
      </c>
      <c r="E9252" s="51"/>
      <c r="F9252" s="114" t="str">
        <f>IF(INDEX(I.Facility.P2aIDNumber,4240)="","",INDEX(I.Facility.P2aIDNumber,4240))</f>
        <v/>
      </c>
      <c r="G9252" s="51"/>
      <c r="H9252" s="46" t="str">
        <f>IF(AND(I.Developer.P2a=TRUE,I.Facility.P2aFacilityCount&gt;=4240,F9252=""),"Incomplete","Complete")</f>
        <v>Complete</v>
      </c>
      <c r="I9252" s="48" t="s">
        <v>13617</v>
      </c>
    </row>
    <row r="9253" spans="2:9" ht="15" customHeight="1" x14ac:dyDescent="0.25">
      <c r="B9253" s="55" t="s">
        <v>280</v>
      </c>
      <c r="C9253" s="46">
        <v>4241</v>
      </c>
      <c r="D9253" s="69" t="s">
        <v>29417</v>
      </c>
      <c r="E9253" s="51"/>
      <c r="F9253" s="114" t="str">
        <f>IF(INDEX(I.Facility.P2aIDNumber,4241)="","",INDEX(I.Facility.P2aIDNumber,4241))</f>
        <v/>
      </c>
      <c r="G9253" s="51"/>
      <c r="H9253" s="46" t="str">
        <f>IF(AND(I.Developer.P2a=TRUE,I.Facility.P2aFacilityCount&gt;=4241,F9253=""),"Incomplete","Complete")</f>
        <v>Complete</v>
      </c>
      <c r="I9253" s="48" t="s">
        <v>13618</v>
      </c>
    </row>
    <row r="9254" spans="2:9" ht="15" customHeight="1" x14ac:dyDescent="0.25">
      <c r="B9254" s="55" t="s">
        <v>280</v>
      </c>
      <c r="C9254" s="46">
        <v>4242</v>
      </c>
      <c r="D9254" s="69" t="s">
        <v>29417</v>
      </c>
      <c r="E9254" s="51"/>
      <c r="F9254" s="114" t="str">
        <f>IF(INDEX(I.Facility.P2aIDNumber,4242)="","",INDEX(I.Facility.P2aIDNumber,4242))</f>
        <v/>
      </c>
      <c r="G9254" s="51"/>
      <c r="H9254" s="46" t="str">
        <f>IF(AND(I.Developer.P2a=TRUE,I.Facility.P2aFacilityCount&gt;=4242,F9254=""),"Incomplete","Complete")</f>
        <v>Complete</v>
      </c>
      <c r="I9254" s="48" t="s">
        <v>13619</v>
      </c>
    </row>
    <row r="9255" spans="2:9" ht="15" customHeight="1" x14ac:dyDescent="0.25">
      <c r="B9255" s="55" t="s">
        <v>280</v>
      </c>
      <c r="C9255" s="46">
        <v>4243</v>
      </c>
      <c r="D9255" s="69" t="s">
        <v>29417</v>
      </c>
      <c r="E9255" s="51"/>
      <c r="F9255" s="114" t="str">
        <f>IF(INDEX(I.Facility.P2aIDNumber,4243)="","",INDEX(I.Facility.P2aIDNumber,4243))</f>
        <v/>
      </c>
      <c r="G9255" s="51"/>
      <c r="H9255" s="46" t="str">
        <f>IF(AND(I.Developer.P2a=TRUE,I.Facility.P2aFacilityCount&gt;=4243,F9255=""),"Incomplete","Complete")</f>
        <v>Complete</v>
      </c>
      <c r="I9255" s="48" t="s">
        <v>13620</v>
      </c>
    </row>
    <row r="9256" spans="2:9" ht="15" customHeight="1" x14ac:dyDescent="0.25">
      <c r="B9256" s="55" t="s">
        <v>280</v>
      </c>
      <c r="C9256" s="46">
        <v>4244</v>
      </c>
      <c r="D9256" s="69" t="s">
        <v>29417</v>
      </c>
      <c r="E9256" s="51"/>
      <c r="F9256" s="114" t="str">
        <f>IF(INDEX(I.Facility.P2aIDNumber,4244)="","",INDEX(I.Facility.P2aIDNumber,4244))</f>
        <v/>
      </c>
      <c r="G9256" s="51"/>
      <c r="H9256" s="46" t="str">
        <f>IF(AND(I.Developer.P2a=TRUE,I.Facility.P2aFacilityCount&gt;=4244,F9256=""),"Incomplete","Complete")</f>
        <v>Complete</v>
      </c>
      <c r="I9256" s="48" t="s">
        <v>13621</v>
      </c>
    </row>
    <row r="9257" spans="2:9" ht="15" customHeight="1" x14ac:dyDescent="0.25">
      <c r="B9257" s="55" t="s">
        <v>280</v>
      </c>
      <c r="C9257" s="46">
        <v>4245</v>
      </c>
      <c r="D9257" s="69" t="s">
        <v>29417</v>
      </c>
      <c r="E9257" s="51"/>
      <c r="F9257" s="114" t="str">
        <f>IF(INDEX(I.Facility.P2aIDNumber,4245)="","",INDEX(I.Facility.P2aIDNumber,4245))</f>
        <v/>
      </c>
      <c r="G9257" s="51"/>
      <c r="H9257" s="46" t="str">
        <f>IF(AND(I.Developer.P2a=TRUE,I.Facility.P2aFacilityCount&gt;=4245,F9257=""),"Incomplete","Complete")</f>
        <v>Complete</v>
      </c>
      <c r="I9257" s="48" t="s">
        <v>13622</v>
      </c>
    </row>
    <row r="9258" spans="2:9" ht="15" customHeight="1" x14ac:dyDescent="0.25">
      <c r="B9258" s="55" t="s">
        <v>280</v>
      </c>
      <c r="C9258" s="46">
        <v>4246</v>
      </c>
      <c r="D9258" s="69" t="s">
        <v>29417</v>
      </c>
      <c r="E9258" s="51"/>
      <c r="F9258" s="114" t="str">
        <f>IF(INDEX(I.Facility.P2aIDNumber,4246)="","",INDEX(I.Facility.P2aIDNumber,4246))</f>
        <v/>
      </c>
      <c r="G9258" s="51"/>
      <c r="H9258" s="46" t="str">
        <f>IF(AND(I.Developer.P2a=TRUE,I.Facility.P2aFacilityCount&gt;=4246,F9258=""),"Incomplete","Complete")</f>
        <v>Complete</v>
      </c>
      <c r="I9258" s="48" t="s">
        <v>13623</v>
      </c>
    </row>
    <row r="9259" spans="2:9" ht="15" customHeight="1" x14ac:dyDescent="0.25">
      <c r="B9259" s="55" t="s">
        <v>280</v>
      </c>
      <c r="C9259" s="46">
        <v>4247</v>
      </c>
      <c r="D9259" s="69" t="s">
        <v>29417</v>
      </c>
      <c r="E9259" s="51"/>
      <c r="F9259" s="114" t="str">
        <f>IF(INDEX(I.Facility.P2aIDNumber,4247)="","",INDEX(I.Facility.P2aIDNumber,4247))</f>
        <v/>
      </c>
      <c r="G9259" s="51"/>
      <c r="H9259" s="46" t="str">
        <f>IF(AND(I.Developer.P2a=TRUE,I.Facility.P2aFacilityCount&gt;=4247,F9259=""),"Incomplete","Complete")</f>
        <v>Complete</v>
      </c>
      <c r="I9259" s="48" t="s">
        <v>13624</v>
      </c>
    </row>
    <row r="9260" spans="2:9" ht="15" customHeight="1" x14ac:dyDescent="0.25">
      <c r="B9260" s="55" t="s">
        <v>280</v>
      </c>
      <c r="C9260" s="46">
        <v>4248</v>
      </c>
      <c r="D9260" s="69" t="s">
        <v>29417</v>
      </c>
      <c r="E9260" s="51"/>
      <c r="F9260" s="114" t="str">
        <f>IF(INDEX(I.Facility.P2aIDNumber,4248)="","",INDEX(I.Facility.P2aIDNumber,4248))</f>
        <v/>
      </c>
      <c r="G9260" s="51"/>
      <c r="H9260" s="46" t="str">
        <f>IF(AND(I.Developer.P2a=TRUE,I.Facility.P2aFacilityCount&gt;=4248,F9260=""),"Incomplete","Complete")</f>
        <v>Complete</v>
      </c>
      <c r="I9260" s="48" t="s">
        <v>13625</v>
      </c>
    </row>
    <row r="9261" spans="2:9" ht="15" customHeight="1" x14ac:dyDescent="0.25">
      <c r="B9261" s="55" t="s">
        <v>280</v>
      </c>
      <c r="C9261" s="46">
        <v>4249</v>
      </c>
      <c r="D9261" s="69" t="s">
        <v>29417</v>
      </c>
      <c r="E9261" s="51"/>
      <c r="F9261" s="114" t="str">
        <f>IF(INDEX(I.Facility.P2aIDNumber,4249)="","",INDEX(I.Facility.P2aIDNumber,4249))</f>
        <v/>
      </c>
      <c r="G9261" s="51"/>
      <c r="H9261" s="46" t="str">
        <f>IF(AND(I.Developer.P2a=TRUE,I.Facility.P2aFacilityCount&gt;=4249,F9261=""),"Incomplete","Complete")</f>
        <v>Complete</v>
      </c>
      <c r="I9261" s="48" t="s">
        <v>13626</v>
      </c>
    </row>
    <row r="9262" spans="2:9" ht="15" customHeight="1" x14ac:dyDescent="0.25">
      <c r="B9262" s="55" t="s">
        <v>280</v>
      </c>
      <c r="C9262" s="46">
        <v>4250</v>
      </c>
      <c r="D9262" s="69" t="s">
        <v>29417</v>
      </c>
      <c r="E9262" s="51"/>
      <c r="F9262" s="114" t="str">
        <f>IF(INDEX(I.Facility.P2aIDNumber,4250)="","",INDEX(I.Facility.P2aIDNumber,4250))</f>
        <v/>
      </c>
      <c r="G9262" s="51"/>
      <c r="H9262" s="46" t="str">
        <f>IF(AND(I.Developer.P2a=TRUE,I.Facility.P2aFacilityCount&gt;=4250,F9262=""),"Incomplete","Complete")</f>
        <v>Complete</v>
      </c>
      <c r="I9262" s="48" t="s">
        <v>13627</v>
      </c>
    </row>
    <row r="9263" spans="2:9" ht="15" customHeight="1" x14ac:dyDescent="0.25">
      <c r="B9263" s="55" t="s">
        <v>280</v>
      </c>
      <c r="C9263" s="46">
        <v>4251</v>
      </c>
      <c r="D9263" s="69" t="s">
        <v>29417</v>
      </c>
      <c r="E9263" s="51"/>
      <c r="F9263" s="114" t="str">
        <f>IF(INDEX(I.Facility.P2aIDNumber,4251)="","",INDEX(I.Facility.P2aIDNumber,4251))</f>
        <v/>
      </c>
      <c r="G9263" s="51"/>
      <c r="H9263" s="46" t="str">
        <f>IF(AND(I.Developer.P2a=TRUE,I.Facility.P2aFacilityCount&gt;=4251,F9263=""),"Incomplete","Complete")</f>
        <v>Complete</v>
      </c>
      <c r="I9263" s="48" t="s">
        <v>13628</v>
      </c>
    </row>
    <row r="9264" spans="2:9" ht="15" customHeight="1" x14ac:dyDescent="0.25">
      <c r="B9264" s="55" t="s">
        <v>280</v>
      </c>
      <c r="C9264" s="46">
        <v>4252</v>
      </c>
      <c r="D9264" s="69" t="s">
        <v>29417</v>
      </c>
      <c r="E9264" s="51"/>
      <c r="F9264" s="114" t="str">
        <f>IF(INDEX(I.Facility.P2aIDNumber,4252)="","",INDEX(I.Facility.P2aIDNumber,4252))</f>
        <v/>
      </c>
      <c r="G9264" s="51"/>
      <c r="H9264" s="46" t="str">
        <f>IF(AND(I.Developer.P2a=TRUE,I.Facility.P2aFacilityCount&gt;=4252,F9264=""),"Incomplete","Complete")</f>
        <v>Complete</v>
      </c>
      <c r="I9264" s="48" t="s">
        <v>13629</v>
      </c>
    </row>
    <row r="9265" spans="2:9" ht="15" customHeight="1" x14ac:dyDescent="0.25">
      <c r="B9265" s="55" t="s">
        <v>280</v>
      </c>
      <c r="C9265" s="46">
        <v>4253</v>
      </c>
      <c r="D9265" s="69" t="s">
        <v>29417</v>
      </c>
      <c r="E9265" s="51"/>
      <c r="F9265" s="114" t="str">
        <f>IF(INDEX(I.Facility.P2aIDNumber,4253)="","",INDEX(I.Facility.P2aIDNumber,4253))</f>
        <v/>
      </c>
      <c r="G9265" s="51"/>
      <c r="H9265" s="46" t="str">
        <f>IF(AND(I.Developer.P2a=TRUE,I.Facility.P2aFacilityCount&gt;=4253,F9265=""),"Incomplete","Complete")</f>
        <v>Complete</v>
      </c>
      <c r="I9265" s="48" t="s">
        <v>13630</v>
      </c>
    </row>
    <row r="9266" spans="2:9" ht="15" customHeight="1" x14ac:dyDescent="0.25">
      <c r="B9266" s="55" t="s">
        <v>280</v>
      </c>
      <c r="C9266" s="46">
        <v>4254</v>
      </c>
      <c r="D9266" s="69" t="s">
        <v>29417</v>
      </c>
      <c r="E9266" s="51"/>
      <c r="F9266" s="114" t="str">
        <f>IF(INDEX(I.Facility.P2aIDNumber,4254)="","",INDEX(I.Facility.P2aIDNumber,4254))</f>
        <v/>
      </c>
      <c r="G9266" s="51"/>
      <c r="H9266" s="46" t="str">
        <f>IF(AND(I.Developer.P2a=TRUE,I.Facility.P2aFacilityCount&gt;=4254,F9266=""),"Incomplete","Complete")</f>
        <v>Complete</v>
      </c>
      <c r="I9266" s="48" t="s">
        <v>13631</v>
      </c>
    </row>
    <row r="9267" spans="2:9" ht="15" customHeight="1" x14ac:dyDescent="0.25">
      <c r="B9267" s="55" t="s">
        <v>280</v>
      </c>
      <c r="C9267" s="46">
        <v>4255</v>
      </c>
      <c r="D9267" s="69" t="s">
        <v>29417</v>
      </c>
      <c r="E9267" s="51"/>
      <c r="F9267" s="114" t="str">
        <f>IF(INDEX(I.Facility.P2aIDNumber,4255)="","",INDEX(I.Facility.P2aIDNumber,4255))</f>
        <v/>
      </c>
      <c r="G9267" s="51"/>
      <c r="H9267" s="46" t="str">
        <f>IF(AND(I.Developer.P2a=TRUE,I.Facility.P2aFacilityCount&gt;=4255,F9267=""),"Incomplete","Complete")</f>
        <v>Complete</v>
      </c>
      <c r="I9267" s="48" t="s">
        <v>13632</v>
      </c>
    </row>
    <row r="9268" spans="2:9" ht="15" customHeight="1" x14ac:dyDescent="0.25">
      <c r="B9268" s="55" t="s">
        <v>280</v>
      </c>
      <c r="C9268" s="46">
        <v>4256</v>
      </c>
      <c r="D9268" s="69" t="s">
        <v>29417</v>
      </c>
      <c r="E9268" s="51"/>
      <c r="F9268" s="114" t="str">
        <f>IF(INDEX(I.Facility.P2aIDNumber,4256)="","",INDEX(I.Facility.P2aIDNumber,4256))</f>
        <v/>
      </c>
      <c r="G9268" s="51"/>
      <c r="H9268" s="46" t="str">
        <f>IF(AND(I.Developer.P2a=TRUE,I.Facility.P2aFacilityCount&gt;=4256,F9268=""),"Incomplete","Complete")</f>
        <v>Complete</v>
      </c>
      <c r="I9268" s="48" t="s">
        <v>13633</v>
      </c>
    </row>
    <row r="9269" spans="2:9" ht="15" customHeight="1" x14ac:dyDescent="0.25">
      <c r="B9269" s="55" t="s">
        <v>280</v>
      </c>
      <c r="C9269" s="46">
        <v>4257</v>
      </c>
      <c r="D9269" s="69" t="s">
        <v>29417</v>
      </c>
      <c r="E9269" s="51"/>
      <c r="F9269" s="114" t="str">
        <f>IF(INDEX(I.Facility.P2aIDNumber,4257)="","",INDEX(I.Facility.P2aIDNumber,4257))</f>
        <v/>
      </c>
      <c r="G9269" s="51"/>
      <c r="H9269" s="46" t="str">
        <f>IF(AND(I.Developer.P2a=TRUE,I.Facility.P2aFacilityCount&gt;=4257,F9269=""),"Incomplete","Complete")</f>
        <v>Complete</v>
      </c>
      <c r="I9269" s="48" t="s">
        <v>13634</v>
      </c>
    </row>
    <row r="9270" spans="2:9" ht="15" customHeight="1" x14ac:dyDescent="0.25">
      <c r="B9270" s="55" t="s">
        <v>280</v>
      </c>
      <c r="C9270" s="46">
        <v>4258</v>
      </c>
      <c r="D9270" s="69" t="s">
        <v>29417</v>
      </c>
      <c r="E9270" s="51"/>
      <c r="F9270" s="114" t="str">
        <f>IF(INDEX(I.Facility.P2aIDNumber,4258)="","",INDEX(I.Facility.P2aIDNumber,4258))</f>
        <v/>
      </c>
      <c r="G9270" s="51"/>
      <c r="H9270" s="46" t="str">
        <f>IF(AND(I.Developer.P2a=TRUE,I.Facility.P2aFacilityCount&gt;=4258,F9270=""),"Incomplete","Complete")</f>
        <v>Complete</v>
      </c>
      <c r="I9270" s="48" t="s">
        <v>13635</v>
      </c>
    </row>
    <row r="9271" spans="2:9" ht="15" customHeight="1" x14ac:dyDescent="0.25">
      <c r="B9271" s="55" t="s">
        <v>280</v>
      </c>
      <c r="C9271" s="46">
        <v>4259</v>
      </c>
      <c r="D9271" s="69" t="s">
        <v>29417</v>
      </c>
      <c r="E9271" s="51"/>
      <c r="F9271" s="114" t="str">
        <f>IF(INDEX(I.Facility.P2aIDNumber,4259)="","",INDEX(I.Facility.P2aIDNumber,4259))</f>
        <v/>
      </c>
      <c r="G9271" s="51"/>
      <c r="H9271" s="46" t="str">
        <f>IF(AND(I.Developer.P2a=TRUE,I.Facility.P2aFacilityCount&gt;=4259,F9271=""),"Incomplete","Complete")</f>
        <v>Complete</v>
      </c>
      <c r="I9271" s="48" t="s">
        <v>13636</v>
      </c>
    </row>
    <row r="9272" spans="2:9" ht="15" customHeight="1" x14ac:dyDescent="0.25">
      <c r="B9272" s="55" t="s">
        <v>280</v>
      </c>
      <c r="C9272" s="46">
        <v>4260</v>
      </c>
      <c r="D9272" s="69" t="s">
        <v>29417</v>
      </c>
      <c r="E9272" s="51"/>
      <c r="F9272" s="114" t="str">
        <f>IF(INDEX(I.Facility.P2aIDNumber,4260)="","",INDEX(I.Facility.P2aIDNumber,4260))</f>
        <v/>
      </c>
      <c r="G9272" s="51"/>
      <c r="H9272" s="46" t="str">
        <f>IF(AND(I.Developer.P2a=TRUE,I.Facility.P2aFacilityCount&gt;=4260,F9272=""),"Incomplete","Complete")</f>
        <v>Complete</v>
      </c>
      <c r="I9272" s="48" t="s">
        <v>13637</v>
      </c>
    </row>
    <row r="9273" spans="2:9" ht="15" customHeight="1" x14ac:dyDescent="0.25">
      <c r="B9273" s="55" t="s">
        <v>280</v>
      </c>
      <c r="C9273" s="46">
        <v>4261</v>
      </c>
      <c r="D9273" s="69" t="s">
        <v>29417</v>
      </c>
      <c r="E9273" s="51"/>
      <c r="F9273" s="114" t="str">
        <f>IF(INDEX(I.Facility.P2aIDNumber,4261)="","",INDEX(I.Facility.P2aIDNumber,4261))</f>
        <v/>
      </c>
      <c r="G9273" s="51"/>
      <c r="H9273" s="46" t="str">
        <f>IF(AND(I.Developer.P2a=TRUE,I.Facility.P2aFacilityCount&gt;=4261,F9273=""),"Incomplete","Complete")</f>
        <v>Complete</v>
      </c>
      <c r="I9273" s="48" t="s">
        <v>13638</v>
      </c>
    </row>
    <row r="9274" spans="2:9" ht="15" customHeight="1" x14ac:dyDescent="0.25">
      <c r="B9274" s="55" t="s">
        <v>280</v>
      </c>
      <c r="C9274" s="46">
        <v>4262</v>
      </c>
      <c r="D9274" s="69" t="s">
        <v>29417</v>
      </c>
      <c r="E9274" s="51"/>
      <c r="F9274" s="114" t="str">
        <f>IF(INDEX(I.Facility.P2aIDNumber,4262)="","",INDEX(I.Facility.P2aIDNumber,4262))</f>
        <v/>
      </c>
      <c r="G9274" s="51"/>
      <c r="H9274" s="46" t="str">
        <f>IF(AND(I.Developer.P2a=TRUE,I.Facility.P2aFacilityCount&gt;=4262,F9274=""),"Incomplete","Complete")</f>
        <v>Complete</v>
      </c>
      <c r="I9274" s="48" t="s">
        <v>13639</v>
      </c>
    </row>
    <row r="9275" spans="2:9" ht="15" customHeight="1" x14ac:dyDescent="0.25">
      <c r="B9275" s="55" t="s">
        <v>280</v>
      </c>
      <c r="C9275" s="46">
        <v>4263</v>
      </c>
      <c r="D9275" s="69" t="s">
        <v>29417</v>
      </c>
      <c r="E9275" s="51"/>
      <c r="F9275" s="114" t="str">
        <f>IF(INDEX(I.Facility.P2aIDNumber,4263)="","",INDEX(I.Facility.P2aIDNumber,4263))</f>
        <v/>
      </c>
      <c r="G9275" s="51"/>
      <c r="H9275" s="46" t="str">
        <f>IF(AND(I.Developer.P2a=TRUE,I.Facility.P2aFacilityCount&gt;=4263,F9275=""),"Incomplete","Complete")</f>
        <v>Complete</v>
      </c>
      <c r="I9275" s="48" t="s">
        <v>13640</v>
      </c>
    </row>
    <row r="9276" spans="2:9" ht="15" customHeight="1" x14ac:dyDescent="0.25">
      <c r="B9276" s="55" t="s">
        <v>280</v>
      </c>
      <c r="C9276" s="46">
        <v>4264</v>
      </c>
      <c r="D9276" s="69" t="s">
        <v>29417</v>
      </c>
      <c r="E9276" s="51"/>
      <c r="F9276" s="114" t="str">
        <f>IF(INDEX(I.Facility.P2aIDNumber,4264)="","",INDEX(I.Facility.P2aIDNumber,4264))</f>
        <v/>
      </c>
      <c r="G9276" s="51"/>
      <c r="H9276" s="46" t="str">
        <f>IF(AND(I.Developer.P2a=TRUE,I.Facility.P2aFacilityCount&gt;=4264,F9276=""),"Incomplete","Complete")</f>
        <v>Complete</v>
      </c>
      <c r="I9276" s="48" t="s">
        <v>13641</v>
      </c>
    </row>
    <row r="9277" spans="2:9" ht="15" customHeight="1" x14ac:dyDescent="0.25">
      <c r="B9277" s="55" t="s">
        <v>280</v>
      </c>
      <c r="C9277" s="46">
        <v>4265</v>
      </c>
      <c r="D9277" s="69" t="s">
        <v>29417</v>
      </c>
      <c r="E9277" s="51"/>
      <c r="F9277" s="114" t="str">
        <f>IF(INDEX(I.Facility.P2aIDNumber,4265)="","",INDEX(I.Facility.P2aIDNumber,4265))</f>
        <v/>
      </c>
      <c r="G9277" s="51"/>
      <c r="H9277" s="46" t="str">
        <f>IF(AND(I.Developer.P2a=TRUE,I.Facility.P2aFacilityCount&gt;=4265,F9277=""),"Incomplete","Complete")</f>
        <v>Complete</v>
      </c>
      <c r="I9277" s="48" t="s">
        <v>13642</v>
      </c>
    </row>
    <row r="9278" spans="2:9" ht="15" customHeight="1" x14ac:dyDescent="0.25">
      <c r="B9278" s="55" t="s">
        <v>280</v>
      </c>
      <c r="C9278" s="46">
        <v>4266</v>
      </c>
      <c r="D9278" s="69" t="s">
        <v>29417</v>
      </c>
      <c r="E9278" s="51"/>
      <c r="F9278" s="114" t="str">
        <f>IF(INDEX(I.Facility.P2aIDNumber,4266)="","",INDEX(I.Facility.P2aIDNumber,4266))</f>
        <v/>
      </c>
      <c r="G9278" s="51"/>
      <c r="H9278" s="46" t="str">
        <f>IF(AND(I.Developer.P2a=TRUE,I.Facility.P2aFacilityCount&gt;=4266,F9278=""),"Incomplete","Complete")</f>
        <v>Complete</v>
      </c>
      <c r="I9278" s="48" t="s">
        <v>13643</v>
      </c>
    </row>
    <row r="9279" spans="2:9" ht="15" customHeight="1" x14ac:dyDescent="0.25">
      <c r="B9279" s="55" t="s">
        <v>280</v>
      </c>
      <c r="C9279" s="46">
        <v>4267</v>
      </c>
      <c r="D9279" s="69" t="s">
        <v>29417</v>
      </c>
      <c r="E9279" s="51"/>
      <c r="F9279" s="114" t="str">
        <f>IF(INDEX(I.Facility.P2aIDNumber,4267)="","",INDEX(I.Facility.P2aIDNumber,4267))</f>
        <v/>
      </c>
      <c r="G9279" s="51"/>
      <c r="H9279" s="46" t="str">
        <f>IF(AND(I.Developer.P2a=TRUE,I.Facility.P2aFacilityCount&gt;=4267,F9279=""),"Incomplete","Complete")</f>
        <v>Complete</v>
      </c>
      <c r="I9279" s="48" t="s">
        <v>13644</v>
      </c>
    </row>
    <row r="9280" spans="2:9" ht="15" customHeight="1" x14ac:dyDescent="0.25">
      <c r="B9280" s="55" t="s">
        <v>280</v>
      </c>
      <c r="C9280" s="46">
        <v>4268</v>
      </c>
      <c r="D9280" s="69" t="s">
        <v>29417</v>
      </c>
      <c r="E9280" s="51"/>
      <c r="F9280" s="114" t="str">
        <f>IF(INDEX(I.Facility.P2aIDNumber,4268)="","",INDEX(I.Facility.P2aIDNumber,4268))</f>
        <v/>
      </c>
      <c r="G9280" s="51"/>
      <c r="H9280" s="46" t="str">
        <f>IF(AND(I.Developer.P2a=TRUE,I.Facility.P2aFacilityCount&gt;=4268,F9280=""),"Incomplete","Complete")</f>
        <v>Complete</v>
      </c>
      <c r="I9280" s="48" t="s">
        <v>13645</v>
      </c>
    </row>
    <row r="9281" spans="2:9" ht="15" customHeight="1" x14ac:dyDescent="0.25">
      <c r="B9281" s="55" t="s">
        <v>280</v>
      </c>
      <c r="C9281" s="46">
        <v>4269</v>
      </c>
      <c r="D9281" s="69" t="s">
        <v>29417</v>
      </c>
      <c r="E9281" s="51"/>
      <c r="F9281" s="114" t="str">
        <f>IF(INDEX(I.Facility.P2aIDNumber,4269)="","",INDEX(I.Facility.P2aIDNumber,4269))</f>
        <v/>
      </c>
      <c r="G9281" s="51"/>
      <c r="H9281" s="46" t="str">
        <f>IF(AND(I.Developer.P2a=TRUE,I.Facility.P2aFacilityCount&gt;=4269,F9281=""),"Incomplete","Complete")</f>
        <v>Complete</v>
      </c>
      <c r="I9281" s="48" t="s">
        <v>13646</v>
      </c>
    </row>
    <row r="9282" spans="2:9" ht="15" customHeight="1" x14ac:dyDescent="0.25">
      <c r="B9282" s="55" t="s">
        <v>280</v>
      </c>
      <c r="C9282" s="46">
        <v>4270</v>
      </c>
      <c r="D9282" s="69" t="s">
        <v>29417</v>
      </c>
      <c r="E9282" s="51"/>
      <c r="F9282" s="114" t="str">
        <f>IF(INDEX(I.Facility.P2aIDNumber,4270)="","",INDEX(I.Facility.P2aIDNumber,4270))</f>
        <v/>
      </c>
      <c r="G9282" s="51"/>
      <c r="H9282" s="46" t="str">
        <f>IF(AND(I.Developer.P2a=TRUE,I.Facility.P2aFacilityCount&gt;=4270,F9282=""),"Incomplete","Complete")</f>
        <v>Complete</v>
      </c>
      <c r="I9282" s="48" t="s">
        <v>13647</v>
      </c>
    </row>
    <row r="9283" spans="2:9" ht="15" customHeight="1" x14ac:dyDescent="0.25">
      <c r="B9283" s="55" t="s">
        <v>280</v>
      </c>
      <c r="C9283" s="46">
        <v>4271</v>
      </c>
      <c r="D9283" s="69" t="s">
        <v>29417</v>
      </c>
      <c r="E9283" s="51"/>
      <c r="F9283" s="114" t="str">
        <f>IF(INDEX(I.Facility.P2aIDNumber,4271)="","",INDEX(I.Facility.P2aIDNumber,4271))</f>
        <v/>
      </c>
      <c r="G9283" s="51"/>
      <c r="H9283" s="46" t="str">
        <f>IF(AND(I.Developer.P2a=TRUE,I.Facility.P2aFacilityCount&gt;=4271,F9283=""),"Incomplete","Complete")</f>
        <v>Complete</v>
      </c>
      <c r="I9283" s="48" t="s">
        <v>13648</v>
      </c>
    </row>
    <row r="9284" spans="2:9" ht="15" customHeight="1" x14ac:dyDescent="0.25">
      <c r="B9284" s="55" t="s">
        <v>280</v>
      </c>
      <c r="C9284" s="46">
        <v>4272</v>
      </c>
      <c r="D9284" s="69" t="s">
        <v>29417</v>
      </c>
      <c r="E9284" s="51"/>
      <c r="F9284" s="114" t="str">
        <f>IF(INDEX(I.Facility.P2aIDNumber,4272)="","",INDEX(I.Facility.P2aIDNumber,4272))</f>
        <v/>
      </c>
      <c r="G9284" s="51"/>
      <c r="H9284" s="46" t="str">
        <f>IF(AND(I.Developer.P2a=TRUE,I.Facility.P2aFacilityCount&gt;=4272,F9284=""),"Incomplete","Complete")</f>
        <v>Complete</v>
      </c>
      <c r="I9284" s="48" t="s">
        <v>13649</v>
      </c>
    </row>
    <row r="9285" spans="2:9" ht="15" customHeight="1" x14ac:dyDescent="0.25">
      <c r="B9285" s="55" t="s">
        <v>280</v>
      </c>
      <c r="C9285" s="46">
        <v>4273</v>
      </c>
      <c r="D9285" s="69" t="s">
        <v>29417</v>
      </c>
      <c r="E9285" s="51"/>
      <c r="F9285" s="114" t="str">
        <f>IF(INDEX(I.Facility.P2aIDNumber,4273)="","",INDEX(I.Facility.P2aIDNumber,4273))</f>
        <v/>
      </c>
      <c r="G9285" s="51"/>
      <c r="H9285" s="46" t="str">
        <f>IF(AND(I.Developer.P2a=TRUE,I.Facility.P2aFacilityCount&gt;=4273,F9285=""),"Incomplete","Complete")</f>
        <v>Complete</v>
      </c>
      <c r="I9285" s="48" t="s">
        <v>13650</v>
      </c>
    </row>
    <row r="9286" spans="2:9" ht="15" customHeight="1" x14ac:dyDescent="0.25">
      <c r="B9286" s="55" t="s">
        <v>280</v>
      </c>
      <c r="C9286" s="46">
        <v>4274</v>
      </c>
      <c r="D9286" s="69" t="s">
        <v>29417</v>
      </c>
      <c r="E9286" s="51"/>
      <c r="F9286" s="114" t="str">
        <f>IF(INDEX(I.Facility.P2aIDNumber,4274)="","",INDEX(I.Facility.P2aIDNumber,4274))</f>
        <v/>
      </c>
      <c r="G9286" s="51"/>
      <c r="H9286" s="46" t="str">
        <f>IF(AND(I.Developer.P2a=TRUE,I.Facility.P2aFacilityCount&gt;=4274,F9286=""),"Incomplete","Complete")</f>
        <v>Complete</v>
      </c>
      <c r="I9286" s="48" t="s">
        <v>13651</v>
      </c>
    </row>
    <row r="9287" spans="2:9" ht="15" customHeight="1" x14ac:dyDescent="0.25">
      <c r="B9287" s="55" t="s">
        <v>280</v>
      </c>
      <c r="C9287" s="46">
        <v>4275</v>
      </c>
      <c r="D9287" s="69" t="s">
        <v>29417</v>
      </c>
      <c r="E9287" s="51"/>
      <c r="F9287" s="114" t="str">
        <f>IF(INDEX(I.Facility.P2aIDNumber,4275)="","",INDEX(I.Facility.P2aIDNumber,4275))</f>
        <v/>
      </c>
      <c r="G9287" s="51"/>
      <c r="H9287" s="46" t="str">
        <f>IF(AND(I.Developer.P2a=TRUE,I.Facility.P2aFacilityCount&gt;=4275,F9287=""),"Incomplete","Complete")</f>
        <v>Complete</v>
      </c>
      <c r="I9287" s="48" t="s">
        <v>13652</v>
      </c>
    </row>
    <row r="9288" spans="2:9" ht="15" customHeight="1" x14ac:dyDescent="0.25">
      <c r="B9288" s="55" t="s">
        <v>280</v>
      </c>
      <c r="C9288" s="46">
        <v>4276</v>
      </c>
      <c r="D9288" s="69" t="s">
        <v>29417</v>
      </c>
      <c r="E9288" s="51"/>
      <c r="F9288" s="114" t="str">
        <f>IF(INDEX(I.Facility.P2aIDNumber,4276)="","",INDEX(I.Facility.P2aIDNumber,4276))</f>
        <v/>
      </c>
      <c r="G9288" s="51"/>
      <c r="H9288" s="46" t="str">
        <f>IF(AND(I.Developer.P2a=TRUE,I.Facility.P2aFacilityCount&gt;=4276,F9288=""),"Incomplete","Complete")</f>
        <v>Complete</v>
      </c>
      <c r="I9288" s="48" t="s">
        <v>13653</v>
      </c>
    </row>
    <row r="9289" spans="2:9" ht="15" customHeight="1" x14ac:dyDescent="0.25">
      <c r="B9289" s="55" t="s">
        <v>280</v>
      </c>
      <c r="C9289" s="46">
        <v>4277</v>
      </c>
      <c r="D9289" s="69" t="s">
        <v>29417</v>
      </c>
      <c r="E9289" s="51"/>
      <c r="F9289" s="114" t="str">
        <f>IF(INDEX(I.Facility.P2aIDNumber,4277)="","",INDEX(I.Facility.P2aIDNumber,4277))</f>
        <v/>
      </c>
      <c r="G9289" s="51"/>
      <c r="H9289" s="46" t="str">
        <f>IF(AND(I.Developer.P2a=TRUE,I.Facility.P2aFacilityCount&gt;=4277,F9289=""),"Incomplete","Complete")</f>
        <v>Complete</v>
      </c>
      <c r="I9289" s="48" t="s">
        <v>13654</v>
      </c>
    </row>
    <row r="9290" spans="2:9" ht="15" customHeight="1" x14ac:dyDescent="0.25">
      <c r="B9290" s="55" t="s">
        <v>280</v>
      </c>
      <c r="C9290" s="46">
        <v>4278</v>
      </c>
      <c r="D9290" s="69" t="s">
        <v>29417</v>
      </c>
      <c r="E9290" s="51"/>
      <c r="F9290" s="114" t="str">
        <f>IF(INDEX(I.Facility.P2aIDNumber,4278)="","",INDEX(I.Facility.P2aIDNumber,4278))</f>
        <v/>
      </c>
      <c r="G9290" s="51"/>
      <c r="H9290" s="46" t="str">
        <f>IF(AND(I.Developer.P2a=TRUE,I.Facility.P2aFacilityCount&gt;=4278,F9290=""),"Incomplete","Complete")</f>
        <v>Complete</v>
      </c>
      <c r="I9290" s="48" t="s">
        <v>13655</v>
      </c>
    </row>
    <row r="9291" spans="2:9" ht="15" customHeight="1" x14ac:dyDescent="0.25">
      <c r="B9291" s="55" t="s">
        <v>280</v>
      </c>
      <c r="C9291" s="46">
        <v>4279</v>
      </c>
      <c r="D9291" s="69" t="s">
        <v>29417</v>
      </c>
      <c r="E9291" s="51"/>
      <c r="F9291" s="114" t="str">
        <f>IF(INDEX(I.Facility.P2aIDNumber,4279)="","",INDEX(I.Facility.P2aIDNumber,4279))</f>
        <v/>
      </c>
      <c r="G9291" s="51"/>
      <c r="H9291" s="46" t="str">
        <f>IF(AND(I.Developer.P2a=TRUE,I.Facility.P2aFacilityCount&gt;=4279,F9291=""),"Incomplete","Complete")</f>
        <v>Complete</v>
      </c>
      <c r="I9291" s="48" t="s">
        <v>13656</v>
      </c>
    </row>
    <row r="9292" spans="2:9" ht="15" customHeight="1" x14ac:dyDescent="0.25">
      <c r="B9292" s="55" t="s">
        <v>280</v>
      </c>
      <c r="C9292" s="46">
        <v>4280</v>
      </c>
      <c r="D9292" s="69" t="s">
        <v>29417</v>
      </c>
      <c r="E9292" s="51"/>
      <c r="F9292" s="114" t="str">
        <f>IF(INDEX(I.Facility.P2aIDNumber,4280)="","",INDEX(I.Facility.P2aIDNumber,4280))</f>
        <v/>
      </c>
      <c r="G9292" s="51"/>
      <c r="H9292" s="46" t="str">
        <f>IF(AND(I.Developer.P2a=TRUE,I.Facility.P2aFacilityCount&gt;=4280,F9292=""),"Incomplete","Complete")</f>
        <v>Complete</v>
      </c>
      <c r="I9292" s="48" t="s">
        <v>13657</v>
      </c>
    </row>
    <row r="9293" spans="2:9" ht="15" customHeight="1" x14ac:dyDescent="0.25">
      <c r="B9293" s="55" t="s">
        <v>280</v>
      </c>
      <c r="C9293" s="46">
        <v>4281</v>
      </c>
      <c r="D9293" s="69" t="s">
        <v>29417</v>
      </c>
      <c r="E9293" s="51"/>
      <c r="F9293" s="114" t="str">
        <f>IF(INDEX(I.Facility.P2aIDNumber,4281)="","",INDEX(I.Facility.P2aIDNumber,4281))</f>
        <v/>
      </c>
      <c r="G9293" s="51"/>
      <c r="H9293" s="46" t="str">
        <f>IF(AND(I.Developer.P2a=TRUE,I.Facility.P2aFacilityCount&gt;=4281,F9293=""),"Incomplete","Complete")</f>
        <v>Complete</v>
      </c>
      <c r="I9293" s="48" t="s">
        <v>13658</v>
      </c>
    </row>
    <row r="9294" spans="2:9" ht="15" customHeight="1" x14ac:dyDescent="0.25">
      <c r="B9294" s="55" t="s">
        <v>280</v>
      </c>
      <c r="C9294" s="46">
        <v>4282</v>
      </c>
      <c r="D9294" s="69" t="s">
        <v>29417</v>
      </c>
      <c r="E9294" s="51"/>
      <c r="F9294" s="114" t="str">
        <f>IF(INDEX(I.Facility.P2aIDNumber,4282)="","",INDEX(I.Facility.P2aIDNumber,4282))</f>
        <v/>
      </c>
      <c r="G9294" s="51"/>
      <c r="H9294" s="46" t="str">
        <f>IF(AND(I.Developer.P2a=TRUE,I.Facility.P2aFacilityCount&gt;=4282,F9294=""),"Incomplete","Complete")</f>
        <v>Complete</v>
      </c>
      <c r="I9294" s="48" t="s">
        <v>13659</v>
      </c>
    </row>
    <row r="9295" spans="2:9" ht="15" customHeight="1" x14ac:dyDescent="0.25">
      <c r="B9295" s="55" t="s">
        <v>280</v>
      </c>
      <c r="C9295" s="46">
        <v>4283</v>
      </c>
      <c r="D9295" s="69" t="s">
        <v>29417</v>
      </c>
      <c r="E9295" s="51"/>
      <c r="F9295" s="114" t="str">
        <f>IF(INDEX(I.Facility.P2aIDNumber,4283)="","",INDEX(I.Facility.P2aIDNumber,4283))</f>
        <v/>
      </c>
      <c r="G9295" s="51"/>
      <c r="H9295" s="46" t="str">
        <f>IF(AND(I.Developer.P2a=TRUE,I.Facility.P2aFacilityCount&gt;=4283,F9295=""),"Incomplete","Complete")</f>
        <v>Complete</v>
      </c>
      <c r="I9295" s="48" t="s">
        <v>13660</v>
      </c>
    </row>
    <row r="9296" spans="2:9" ht="15" customHeight="1" x14ac:dyDescent="0.25">
      <c r="B9296" s="55" t="s">
        <v>280</v>
      </c>
      <c r="C9296" s="46">
        <v>4284</v>
      </c>
      <c r="D9296" s="69" t="s">
        <v>29417</v>
      </c>
      <c r="E9296" s="51"/>
      <c r="F9296" s="114" t="str">
        <f>IF(INDEX(I.Facility.P2aIDNumber,4284)="","",INDEX(I.Facility.P2aIDNumber,4284))</f>
        <v/>
      </c>
      <c r="G9296" s="51"/>
      <c r="H9296" s="46" t="str">
        <f>IF(AND(I.Developer.P2a=TRUE,I.Facility.P2aFacilityCount&gt;=4284,F9296=""),"Incomplete","Complete")</f>
        <v>Complete</v>
      </c>
      <c r="I9296" s="48" t="s">
        <v>13661</v>
      </c>
    </row>
    <row r="9297" spans="2:9" ht="15" customHeight="1" x14ac:dyDescent="0.25">
      <c r="B9297" s="55" t="s">
        <v>280</v>
      </c>
      <c r="C9297" s="46">
        <v>4285</v>
      </c>
      <c r="D9297" s="69" t="s">
        <v>29417</v>
      </c>
      <c r="E9297" s="51"/>
      <c r="F9297" s="114" t="str">
        <f>IF(INDEX(I.Facility.P2aIDNumber,4285)="","",INDEX(I.Facility.P2aIDNumber,4285))</f>
        <v/>
      </c>
      <c r="G9297" s="51"/>
      <c r="H9297" s="46" t="str">
        <f>IF(AND(I.Developer.P2a=TRUE,I.Facility.P2aFacilityCount&gt;=4285,F9297=""),"Incomplete","Complete")</f>
        <v>Complete</v>
      </c>
      <c r="I9297" s="48" t="s">
        <v>13662</v>
      </c>
    </row>
    <row r="9298" spans="2:9" ht="15" customHeight="1" x14ac:dyDescent="0.25">
      <c r="B9298" s="55" t="s">
        <v>280</v>
      </c>
      <c r="C9298" s="46">
        <v>4286</v>
      </c>
      <c r="D9298" s="69" t="s">
        <v>29417</v>
      </c>
      <c r="E9298" s="51"/>
      <c r="F9298" s="114" t="str">
        <f>IF(INDEX(I.Facility.P2aIDNumber,4286)="","",INDEX(I.Facility.P2aIDNumber,4286))</f>
        <v/>
      </c>
      <c r="G9298" s="51"/>
      <c r="H9298" s="46" t="str">
        <f>IF(AND(I.Developer.P2a=TRUE,I.Facility.P2aFacilityCount&gt;=4286,F9298=""),"Incomplete","Complete")</f>
        <v>Complete</v>
      </c>
      <c r="I9298" s="48" t="s">
        <v>13663</v>
      </c>
    </row>
    <row r="9299" spans="2:9" ht="15" customHeight="1" x14ac:dyDescent="0.25">
      <c r="B9299" s="55" t="s">
        <v>280</v>
      </c>
      <c r="C9299" s="46">
        <v>4287</v>
      </c>
      <c r="D9299" s="69" t="s">
        <v>29417</v>
      </c>
      <c r="E9299" s="51"/>
      <c r="F9299" s="114" t="str">
        <f>IF(INDEX(I.Facility.P2aIDNumber,4287)="","",INDEX(I.Facility.P2aIDNumber,4287))</f>
        <v/>
      </c>
      <c r="G9299" s="51"/>
      <c r="H9299" s="46" t="str">
        <f>IF(AND(I.Developer.P2a=TRUE,I.Facility.P2aFacilityCount&gt;=4287,F9299=""),"Incomplete","Complete")</f>
        <v>Complete</v>
      </c>
      <c r="I9299" s="48" t="s">
        <v>13664</v>
      </c>
    </row>
    <row r="9300" spans="2:9" ht="15" customHeight="1" x14ac:dyDescent="0.25">
      <c r="B9300" s="55" t="s">
        <v>280</v>
      </c>
      <c r="C9300" s="46">
        <v>4288</v>
      </c>
      <c r="D9300" s="69" t="s">
        <v>29417</v>
      </c>
      <c r="E9300" s="51"/>
      <c r="F9300" s="114" t="str">
        <f>IF(INDEX(I.Facility.P2aIDNumber,4288)="","",INDEX(I.Facility.P2aIDNumber,4288))</f>
        <v/>
      </c>
      <c r="G9300" s="51"/>
      <c r="H9300" s="46" t="str">
        <f>IF(AND(I.Developer.P2a=TRUE,I.Facility.P2aFacilityCount&gt;=4288,F9300=""),"Incomplete","Complete")</f>
        <v>Complete</v>
      </c>
      <c r="I9300" s="48" t="s">
        <v>13665</v>
      </c>
    </row>
    <row r="9301" spans="2:9" ht="15" customHeight="1" x14ac:dyDescent="0.25">
      <c r="B9301" s="55" t="s">
        <v>280</v>
      </c>
      <c r="C9301" s="46">
        <v>4289</v>
      </c>
      <c r="D9301" s="69" t="s">
        <v>29417</v>
      </c>
      <c r="E9301" s="51"/>
      <c r="F9301" s="114" t="str">
        <f>IF(INDEX(I.Facility.P2aIDNumber,4289)="","",INDEX(I.Facility.P2aIDNumber,4289))</f>
        <v/>
      </c>
      <c r="G9301" s="51"/>
      <c r="H9301" s="46" t="str">
        <f>IF(AND(I.Developer.P2a=TRUE,I.Facility.P2aFacilityCount&gt;=4289,F9301=""),"Incomplete","Complete")</f>
        <v>Complete</v>
      </c>
      <c r="I9301" s="48" t="s">
        <v>13666</v>
      </c>
    </row>
    <row r="9302" spans="2:9" ht="15" customHeight="1" x14ac:dyDescent="0.25">
      <c r="B9302" s="55" t="s">
        <v>280</v>
      </c>
      <c r="C9302" s="46">
        <v>4290</v>
      </c>
      <c r="D9302" s="69" t="s">
        <v>29417</v>
      </c>
      <c r="E9302" s="51"/>
      <c r="F9302" s="114" t="str">
        <f>IF(INDEX(I.Facility.P2aIDNumber,4290)="","",INDEX(I.Facility.P2aIDNumber,4290))</f>
        <v/>
      </c>
      <c r="G9302" s="51"/>
      <c r="H9302" s="46" t="str">
        <f>IF(AND(I.Developer.P2a=TRUE,I.Facility.P2aFacilityCount&gt;=4290,F9302=""),"Incomplete","Complete")</f>
        <v>Complete</v>
      </c>
      <c r="I9302" s="48" t="s">
        <v>13667</v>
      </c>
    </row>
    <row r="9303" spans="2:9" ht="15" customHeight="1" x14ac:dyDescent="0.25">
      <c r="B9303" s="55" t="s">
        <v>280</v>
      </c>
      <c r="C9303" s="46">
        <v>4291</v>
      </c>
      <c r="D9303" s="69" t="s">
        <v>29417</v>
      </c>
      <c r="E9303" s="51"/>
      <c r="F9303" s="114" t="str">
        <f>IF(INDEX(I.Facility.P2aIDNumber,4291)="","",INDEX(I.Facility.P2aIDNumber,4291))</f>
        <v/>
      </c>
      <c r="G9303" s="51"/>
      <c r="H9303" s="46" t="str">
        <f>IF(AND(I.Developer.P2a=TRUE,I.Facility.P2aFacilityCount&gt;=4291,F9303=""),"Incomplete","Complete")</f>
        <v>Complete</v>
      </c>
      <c r="I9303" s="48" t="s">
        <v>13668</v>
      </c>
    </row>
    <row r="9304" spans="2:9" ht="15" customHeight="1" x14ac:dyDescent="0.25">
      <c r="B9304" s="55" t="s">
        <v>280</v>
      </c>
      <c r="C9304" s="46">
        <v>4292</v>
      </c>
      <c r="D9304" s="69" t="s">
        <v>29417</v>
      </c>
      <c r="E9304" s="51"/>
      <c r="F9304" s="114" t="str">
        <f>IF(INDEX(I.Facility.P2aIDNumber,4292)="","",INDEX(I.Facility.P2aIDNumber,4292))</f>
        <v/>
      </c>
      <c r="G9304" s="51"/>
      <c r="H9304" s="46" t="str">
        <f>IF(AND(I.Developer.P2a=TRUE,I.Facility.P2aFacilityCount&gt;=4292,F9304=""),"Incomplete","Complete")</f>
        <v>Complete</v>
      </c>
      <c r="I9304" s="48" t="s">
        <v>13669</v>
      </c>
    </row>
    <row r="9305" spans="2:9" ht="15" customHeight="1" x14ac:dyDescent="0.25">
      <c r="B9305" s="55" t="s">
        <v>280</v>
      </c>
      <c r="C9305" s="46">
        <v>4293</v>
      </c>
      <c r="D9305" s="69" t="s">
        <v>29417</v>
      </c>
      <c r="E9305" s="51"/>
      <c r="F9305" s="114" t="str">
        <f>IF(INDEX(I.Facility.P2aIDNumber,4293)="","",INDEX(I.Facility.P2aIDNumber,4293))</f>
        <v/>
      </c>
      <c r="G9305" s="51"/>
      <c r="H9305" s="46" t="str">
        <f>IF(AND(I.Developer.P2a=TRUE,I.Facility.P2aFacilityCount&gt;=4293,F9305=""),"Incomplete","Complete")</f>
        <v>Complete</v>
      </c>
      <c r="I9305" s="48" t="s">
        <v>13670</v>
      </c>
    </row>
    <row r="9306" spans="2:9" ht="15" customHeight="1" x14ac:dyDescent="0.25">
      <c r="B9306" s="55" t="s">
        <v>280</v>
      </c>
      <c r="C9306" s="46">
        <v>4294</v>
      </c>
      <c r="D9306" s="69" t="s">
        <v>29417</v>
      </c>
      <c r="E9306" s="51"/>
      <c r="F9306" s="114" t="str">
        <f>IF(INDEX(I.Facility.P2aIDNumber,4294)="","",INDEX(I.Facility.P2aIDNumber,4294))</f>
        <v/>
      </c>
      <c r="G9306" s="51"/>
      <c r="H9306" s="46" t="str">
        <f>IF(AND(I.Developer.P2a=TRUE,I.Facility.P2aFacilityCount&gt;=4294,F9306=""),"Incomplete","Complete")</f>
        <v>Complete</v>
      </c>
      <c r="I9306" s="48" t="s">
        <v>13671</v>
      </c>
    </row>
    <row r="9307" spans="2:9" ht="15" customHeight="1" x14ac:dyDescent="0.25">
      <c r="B9307" s="55" t="s">
        <v>280</v>
      </c>
      <c r="C9307" s="46">
        <v>4295</v>
      </c>
      <c r="D9307" s="69" t="s">
        <v>29417</v>
      </c>
      <c r="E9307" s="51"/>
      <c r="F9307" s="114" t="str">
        <f>IF(INDEX(I.Facility.P2aIDNumber,4295)="","",INDEX(I.Facility.P2aIDNumber,4295))</f>
        <v/>
      </c>
      <c r="G9307" s="51"/>
      <c r="H9307" s="46" t="str">
        <f>IF(AND(I.Developer.P2a=TRUE,I.Facility.P2aFacilityCount&gt;=4295,F9307=""),"Incomplete","Complete")</f>
        <v>Complete</v>
      </c>
      <c r="I9307" s="48" t="s">
        <v>13672</v>
      </c>
    </row>
    <row r="9308" spans="2:9" ht="15" customHeight="1" x14ac:dyDescent="0.25">
      <c r="B9308" s="55" t="s">
        <v>280</v>
      </c>
      <c r="C9308" s="46">
        <v>4296</v>
      </c>
      <c r="D9308" s="69" t="s">
        <v>29417</v>
      </c>
      <c r="E9308" s="51"/>
      <c r="F9308" s="114" t="str">
        <f>IF(INDEX(I.Facility.P2aIDNumber,4296)="","",INDEX(I.Facility.P2aIDNumber,4296))</f>
        <v/>
      </c>
      <c r="G9308" s="51"/>
      <c r="H9308" s="46" t="str">
        <f>IF(AND(I.Developer.P2a=TRUE,I.Facility.P2aFacilityCount&gt;=4296,F9308=""),"Incomplete","Complete")</f>
        <v>Complete</v>
      </c>
      <c r="I9308" s="48" t="s">
        <v>13673</v>
      </c>
    </row>
    <row r="9309" spans="2:9" ht="15" customHeight="1" x14ac:dyDescent="0.25">
      <c r="B9309" s="55" t="s">
        <v>280</v>
      </c>
      <c r="C9309" s="46">
        <v>4297</v>
      </c>
      <c r="D9309" s="69" t="s">
        <v>29417</v>
      </c>
      <c r="E9309" s="51"/>
      <c r="F9309" s="114" t="str">
        <f>IF(INDEX(I.Facility.P2aIDNumber,4297)="","",INDEX(I.Facility.P2aIDNumber,4297))</f>
        <v/>
      </c>
      <c r="G9309" s="51"/>
      <c r="H9309" s="46" t="str">
        <f>IF(AND(I.Developer.P2a=TRUE,I.Facility.P2aFacilityCount&gt;=4297,F9309=""),"Incomplete","Complete")</f>
        <v>Complete</v>
      </c>
      <c r="I9309" s="48" t="s">
        <v>13674</v>
      </c>
    </row>
    <row r="9310" spans="2:9" ht="15" customHeight="1" x14ac:dyDescent="0.25">
      <c r="B9310" s="55" t="s">
        <v>280</v>
      </c>
      <c r="C9310" s="46">
        <v>4298</v>
      </c>
      <c r="D9310" s="69" t="s">
        <v>29417</v>
      </c>
      <c r="E9310" s="51"/>
      <c r="F9310" s="114" t="str">
        <f>IF(INDEX(I.Facility.P2aIDNumber,4298)="","",INDEX(I.Facility.P2aIDNumber,4298))</f>
        <v/>
      </c>
      <c r="G9310" s="51"/>
      <c r="H9310" s="46" t="str">
        <f>IF(AND(I.Developer.P2a=TRUE,I.Facility.P2aFacilityCount&gt;=4298,F9310=""),"Incomplete","Complete")</f>
        <v>Complete</v>
      </c>
      <c r="I9310" s="48" t="s">
        <v>13675</v>
      </c>
    </row>
    <row r="9311" spans="2:9" ht="15" customHeight="1" x14ac:dyDescent="0.25">
      <c r="B9311" s="55" t="s">
        <v>280</v>
      </c>
      <c r="C9311" s="46">
        <v>4299</v>
      </c>
      <c r="D9311" s="69" t="s">
        <v>29417</v>
      </c>
      <c r="E9311" s="51"/>
      <c r="F9311" s="114" t="str">
        <f>IF(INDEX(I.Facility.P2aIDNumber,4299)="","",INDEX(I.Facility.P2aIDNumber,4299))</f>
        <v/>
      </c>
      <c r="G9311" s="51"/>
      <c r="H9311" s="46" t="str">
        <f>IF(AND(I.Developer.P2a=TRUE,I.Facility.P2aFacilityCount&gt;=4299,F9311=""),"Incomplete","Complete")</f>
        <v>Complete</v>
      </c>
      <c r="I9311" s="48" t="s">
        <v>13676</v>
      </c>
    </row>
    <row r="9312" spans="2:9" ht="15" customHeight="1" x14ac:dyDescent="0.25">
      <c r="B9312" s="55" t="s">
        <v>280</v>
      </c>
      <c r="C9312" s="46">
        <v>4300</v>
      </c>
      <c r="D9312" s="69" t="s">
        <v>29417</v>
      </c>
      <c r="E9312" s="51"/>
      <c r="F9312" s="114" t="str">
        <f>IF(INDEX(I.Facility.P2aIDNumber,4300)="","",INDEX(I.Facility.P2aIDNumber,4300))</f>
        <v/>
      </c>
      <c r="G9312" s="51"/>
      <c r="H9312" s="46" t="str">
        <f>IF(AND(I.Developer.P2a=TRUE,I.Facility.P2aFacilityCount&gt;=4300,F9312=""),"Incomplete","Complete")</f>
        <v>Complete</v>
      </c>
      <c r="I9312" s="48" t="s">
        <v>13677</v>
      </c>
    </row>
    <row r="9313" spans="2:9" ht="15" customHeight="1" x14ac:dyDescent="0.25">
      <c r="B9313" s="55" t="s">
        <v>280</v>
      </c>
      <c r="C9313" s="46">
        <v>4301</v>
      </c>
      <c r="D9313" s="69" t="s">
        <v>29417</v>
      </c>
      <c r="E9313" s="51"/>
      <c r="F9313" s="114" t="str">
        <f>IF(INDEX(I.Facility.P2aIDNumber,4301)="","",INDEX(I.Facility.P2aIDNumber,4301))</f>
        <v/>
      </c>
      <c r="G9313" s="51"/>
      <c r="H9313" s="46" t="str">
        <f>IF(AND(I.Developer.P2a=TRUE,I.Facility.P2aFacilityCount&gt;=4301,F9313=""),"Incomplete","Complete")</f>
        <v>Complete</v>
      </c>
      <c r="I9313" s="48" t="s">
        <v>13678</v>
      </c>
    </row>
    <row r="9314" spans="2:9" ht="15" customHeight="1" x14ac:dyDescent="0.25">
      <c r="B9314" s="55" t="s">
        <v>280</v>
      </c>
      <c r="C9314" s="46">
        <v>4302</v>
      </c>
      <c r="D9314" s="69" t="s">
        <v>29417</v>
      </c>
      <c r="E9314" s="51"/>
      <c r="F9314" s="114" t="str">
        <f>IF(INDEX(I.Facility.P2aIDNumber,4302)="","",INDEX(I.Facility.P2aIDNumber,4302))</f>
        <v/>
      </c>
      <c r="G9314" s="51"/>
      <c r="H9314" s="46" t="str">
        <f>IF(AND(I.Developer.P2a=TRUE,I.Facility.P2aFacilityCount&gt;=4302,F9314=""),"Incomplete","Complete")</f>
        <v>Complete</v>
      </c>
      <c r="I9314" s="48" t="s">
        <v>13679</v>
      </c>
    </row>
    <row r="9315" spans="2:9" ht="15" customHeight="1" x14ac:dyDescent="0.25">
      <c r="B9315" s="55" t="s">
        <v>280</v>
      </c>
      <c r="C9315" s="46">
        <v>4303</v>
      </c>
      <c r="D9315" s="69" t="s">
        <v>29417</v>
      </c>
      <c r="E9315" s="51"/>
      <c r="F9315" s="114" t="str">
        <f>IF(INDEX(I.Facility.P2aIDNumber,4303)="","",INDEX(I.Facility.P2aIDNumber,4303))</f>
        <v/>
      </c>
      <c r="G9315" s="51"/>
      <c r="H9315" s="46" t="str">
        <f>IF(AND(I.Developer.P2a=TRUE,I.Facility.P2aFacilityCount&gt;=4303,F9315=""),"Incomplete","Complete")</f>
        <v>Complete</v>
      </c>
      <c r="I9315" s="48" t="s">
        <v>13680</v>
      </c>
    </row>
    <row r="9316" spans="2:9" ht="15" customHeight="1" x14ac:dyDescent="0.25">
      <c r="B9316" s="55" t="s">
        <v>280</v>
      </c>
      <c r="C9316" s="46">
        <v>4304</v>
      </c>
      <c r="D9316" s="69" t="s">
        <v>29417</v>
      </c>
      <c r="E9316" s="51"/>
      <c r="F9316" s="114" t="str">
        <f>IF(INDEX(I.Facility.P2aIDNumber,4304)="","",INDEX(I.Facility.P2aIDNumber,4304))</f>
        <v/>
      </c>
      <c r="G9316" s="51"/>
      <c r="H9316" s="46" t="str">
        <f>IF(AND(I.Developer.P2a=TRUE,I.Facility.P2aFacilityCount&gt;=4304,F9316=""),"Incomplete","Complete")</f>
        <v>Complete</v>
      </c>
      <c r="I9316" s="48" t="s">
        <v>13681</v>
      </c>
    </row>
    <row r="9317" spans="2:9" ht="15" customHeight="1" x14ac:dyDescent="0.25">
      <c r="B9317" s="55" t="s">
        <v>280</v>
      </c>
      <c r="C9317" s="46">
        <v>4305</v>
      </c>
      <c r="D9317" s="69" t="s">
        <v>29417</v>
      </c>
      <c r="E9317" s="51"/>
      <c r="F9317" s="114" t="str">
        <f>IF(INDEX(I.Facility.P2aIDNumber,4305)="","",INDEX(I.Facility.P2aIDNumber,4305))</f>
        <v/>
      </c>
      <c r="G9317" s="51"/>
      <c r="H9317" s="46" t="str">
        <f>IF(AND(I.Developer.P2a=TRUE,I.Facility.P2aFacilityCount&gt;=4305,F9317=""),"Incomplete","Complete")</f>
        <v>Complete</v>
      </c>
      <c r="I9317" s="48" t="s">
        <v>13682</v>
      </c>
    </row>
    <row r="9318" spans="2:9" ht="15" customHeight="1" x14ac:dyDescent="0.25">
      <c r="B9318" s="55" t="s">
        <v>280</v>
      </c>
      <c r="C9318" s="46">
        <v>4306</v>
      </c>
      <c r="D9318" s="69" t="s">
        <v>29417</v>
      </c>
      <c r="E9318" s="51"/>
      <c r="F9318" s="114" t="str">
        <f>IF(INDEX(I.Facility.P2aIDNumber,4306)="","",INDEX(I.Facility.P2aIDNumber,4306))</f>
        <v/>
      </c>
      <c r="G9318" s="51"/>
      <c r="H9318" s="46" t="str">
        <f>IF(AND(I.Developer.P2a=TRUE,I.Facility.P2aFacilityCount&gt;=4306,F9318=""),"Incomplete","Complete")</f>
        <v>Complete</v>
      </c>
      <c r="I9318" s="48" t="s">
        <v>13683</v>
      </c>
    </row>
    <row r="9319" spans="2:9" ht="15" customHeight="1" x14ac:dyDescent="0.25">
      <c r="B9319" s="55" t="s">
        <v>280</v>
      </c>
      <c r="C9319" s="46">
        <v>4307</v>
      </c>
      <c r="D9319" s="69" t="s">
        <v>29417</v>
      </c>
      <c r="E9319" s="51"/>
      <c r="F9319" s="114" t="str">
        <f>IF(INDEX(I.Facility.P2aIDNumber,4307)="","",INDEX(I.Facility.P2aIDNumber,4307))</f>
        <v/>
      </c>
      <c r="G9319" s="51"/>
      <c r="H9319" s="46" t="str">
        <f>IF(AND(I.Developer.P2a=TRUE,I.Facility.P2aFacilityCount&gt;=4307,F9319=""),"Incomplete","Complete")</f>
        <v>Complete</v>
      </c>
      <c r="I9319" s="48" t="s">
        <v>13684</v>
      </c>
    </row>
    <row r="9320" spans="2:9" ht="15" customHeight="1" x14ac:dyDescent="0.25">
      <c r="B9320" s="55" t="s">
        <v>280</v>
      </c>
      <c r="C9320" s="46">
        <v>4308</v>
      </c>
      <c r="D9320" s="69" t="s">
        <v>29417</v>
      </c>
      <c r="E9320" s="51"/>
      <c r="F9320" s="114" t="str">
        <f>IF(INDEX(I.Facility.P2aIDNumber,4308)="","",INDEX(I.Facility.P2aIDNumber,4308))</f>
        <v/>
      </c>
      <c r="G9320" s="51"/>
      <c r="H9320" s="46" t="str">
        <f>IF(AND(I.Developer.P2a=TRUE,I.Facility.P2aFacilityCount&gt;=4308,F9320=""),"Incomplete","Complete")</f>
        <v>Complete</v>
      </c>
      <c r="I9320" s="48" t="s">
        <v>13685</v>
      </c>
    </row>
    <row r="9321" spans="2:9" ht="15" customHeight="1" x14ac:dyDescent="0.25">
      <c r="B9321" s="55" t="s">
        <v>280</v>
      </c>
      <c r="C9321" s="46">
        <v>4309</v>
      </c>
      <c r="D9321" s="69" t="s">
        <v>29417</v>
      </c>
      <c r="E9321" s="51"/>
      <c r="F9321" s="114" t="str">
        <f>IF(INDEX(I.Facility.P2aIDNumber,4309)="","",INDEX(I.Facility.P2aIDNumber,4309))</f>
        <v/>
      </c>
      <c r="G9321" s="51"/>
      <c r="H9321" s="46" t="str">
        <f>IF(AND(I.Developer.P2a=TRUE,I.Facility.P2aFacilityCount&gt;=4309,F9321=""),"Incomplete","Complete")</f>
        <v>Complete</v>
      </c>
      <c r="I9321" s="48" t="s">
        <v>13686</v>
      </c>
    </row>
    <row r="9322" spans="2:9" ht="15" customHeight="1" x14ac:dyDescent="0.25">
      <c r="B9322" s="55" t="s">
        <v>280</v>
      </c>
      <c r="C9322" s="46">
        <v>4310</v>
      </c>
      <c r="D9322" s="69" t="s">
        <v>29417</v>
      </c>
      <c r="E9322" s="51"/>
      <c r="F9322" s="114" t="str">
        <f>IF(INDEX(I.Facility.P2aIDNumber,4310)="","",INDEX(I.Facility.P2aIDNumber,4310))</f>
        <v/>
      </c>
      <c r="G9322" s="51"/>
      <c r="H9322" s="46" t="str">
        <f>IF(AND(I.Developer.P2a=TRUE,I.Facility.P2aFacilityCount&gt;=4310,F9322=""),"Incomplete","Complete")</f>
        <v>Complete</v>
      </c>
      <c r="I9322" s="48" t="s">
        <v>13687</v>
      </c>
    </row>
    <row r="9323" spans="2:9" ht="15" customHeight="1" x14ac:dyDescent="0.25">
      <c r="B9323" s="55" t="s">
        <v>280</v>
      </c>
      <c r="C9323" s="46">
        <v>4311</v>
      </c>
      <c r="D9323" s="69" t="s">
        <v>29417</v>
      </c>
      <c r="E9323" s="51"/>
      <c r="F9323" s="114" t="str">
        <f>IF(INDEX(I.Facility.P2aIDNumber,4311)="","",INDEX(I.Facility.P2aIDNumber,4311))</f>
        <v/>
      </c>
      <c r="G9323" s="51"/>
      <c r="H9323" s="46" t="str">
        <f>IF(AND(I.Developer.P2a=TRUE,I.Facility.P2aFacilityCount&gt;=4311,F9323=""),"Incomplete","Complete")</f>
        <v>Complete</v>
      </c>
      <c r="I9323" s="48" t="s">
        <v>13688</v>
      </c>
    </row>
    <row r="9324" spans="2:9" ht="15" customHeight="1" x14ac:dyDescent="0.25">
      <c r="B9324" s="55" t="s">
        <v>280</v>
      </c>
      <c r="C9324" s="46">
        <v>4312</v>
      </c>
      <c r="D9324" s="69" t="s">
        <v>29417</v>
      </c>
      <c r="E9324" s="51"/>
      <c r="F9324" s="114" t="str">
        <f>IF(INDEX(I.Facility.P2aIDNumber,4312)="","",INDEX(I.Facility.P2aIDNumber,4312))</f>
        <v/>
      </c>
      <c r="G9324" s="51"/>
      <c r="H9324" s="46" t="str">
        <f>IF(AND(I.Developer.P2a=TRUE,I.Facility.P2aFacilityCount&gt;=4312,F9324=""),"Incomplete","Complete")</f>
        <v>Complete</v>
      </c>
      <c r="I9324" s="48" t="s">
        <v>13689</v>
      </c>
    </row>
    <row r="9325" spans="2:9" ht="15" customHeight="1" x14ac:dyDescent="0.25">
      <c r="B9325" s="55" t="s">
        <v>280</v>
      </c>
      <c r="C9325" s="46">
        <v>4313</v>
      </c>
      <c r="D9325" s="69" t="s">
        <v>29417</v>
      </c>
      <c r="E9325" s="51"/>
      <c r="F9325" s="114" t="str">
        <f>IF(INDEX(I.Facility.P2aIDNumber,4313)="","",INDEX(I.Facility.P2aIDNumber,4313))</f>
        <v/>
      </c>
      <c r="G9325" s="51"/>
      <c r="H9325" s="46" t="str">
        <f>IF(AND(I.Developer.P2a=TRUE,I.Facility.P2aFacilityCount&gt;=4313,F9325=""),"Incomplete","Complete")</f>
        <v>Complete</v>
      </c>
      <c r="I9325" s="48" t="s">
        <v>13690</v>
      </c>
    </row>
    <row r="9326" spans="2:9" ht="15" customHeight="1" x14ac:dyDescent="0.25">
      <c r="B9326" s="55" t="s">
        <v>280</v>
      </c>
      <c r="C9326" s="46">
        <v>4314</v>
      </c>
      <c r="D9326" s="69" t="s">
        <v>29417</v>
      </c>
      <c r="E9326" s="51"/>
      <c r="F9326" s="114" t="str">
        <f>IF(INDEX(I.Facility.P2aIDNumber,4314)="","",INDEX(I.Facility.P2aIDNumber,4314))</f>
        <v/>
      </c>
      <c r="G9326" s="51"/>
      <c r="H9326" s="46" t="str">
        <f>IF(AND(I.Developer.P2a=TRUE,I.Facility.P2aFacilityCount&gt;=4314,F9326=""),"Incomplete","Complete")</f>
        <v>Complete</v>
      </c>
      <c r="I9326" s="48" t="s">
        <v>13691</v>
      </c>
    </row>
    <row r="9327" spans="2:9" ht="15" customHeight="1" x14ac:dyDescent="0.25">
      <c r="B9327" s="55" t="s">
        <v>280</v>
      </c>
      <c r="C9327" s="46">
        <v>4315</v>
      </c>
      <c r="D9327" s="69" t="s">
        <v>29417</v>
      </c>
      <c r="E9327" s="51"/>
      <c r="F9327" s="114" t="str">
        <f>IF(INDEX(I.Facility.P2aIDNumber,4315)="","",INDEX(I.Facility.P2aIDNumber,4315))</f>
        <v/>
      </c>
      <c r="G9327" s="51"/>
      <c r="H9327" s="46" t="str">
        <f>IF(AND(I.Developer.P2a=TRUE,I.Facility.P2aFacilityCount&gt;=4315,F9327=""),"Incomplete","Complete")</f>
        <v>Complete</v>
      </c>
      <c r="I9327" s="48" t="s">
        <v>13692</v>
      </c>
    </row>
    <row r="9328" spans="2:9" ht="15" customHeight="1" x14ac:dyDescent="0.25">
      <c r="B9328" s="55" t="s">
        <v>280</v>
      </c>
      <c r="C9328" s="46">
        <v>4316</v>
      </c>
      <c r="D9328" s="69" t="s">
        <v>29417</v>
      </c>
      <c r="E9328" s="51"/>
      <c r="F9328" s="114" t="str">
        <f>IF(INDEX(I.Facility.P2aIDNumber,4316)="","",INDEX(I.Facility.P2aIDNumber,4316))</f>
        <v/>
      </c>
      <c r="G9328" s="51"/>
      <c r="H9328" s="46" t="str">
        <f>IF(AND(I.Developer.P2a=TRUE,I.Facility.P2aFacilityCount&gt;=4316,F9328=""),"Incomplete","Complete")</f>
        <v>Complete</v>
      </c>
      <c r="I9328" s="48" t="s">
        <v>13693</v>
      </c>
    </row>
    <row r="9329" spans="2:9" ht="15" customHeight="1" x14ac:dyDescent="0.25">
      <c r="B9329" s="55" t="s">
        <v>280</v>
      </c>
      <c r="C9329" s="46">
        <v>4317</v>
      </c>
      <c r="D9329" s="69" t="s">
        <v>29417</v>
      </c>
      <c r="E9329" s="51"/>
      <c r="F9329" s="114" t="str">
        <f>IF(INDEX(I.Facility.P2aIDNumber,4317)="","",INDEX(I.Facility.P2aIDNumber,4317))</f>
        <v/>
      </c>
      <c r="G9329" s="51"/>
      <c r="H9329" s="46" t="str">
        <f>IF(AND(I.Developer.P2a=TRUE,I.Facility.P2aFacilityCount&gt;=4317,F9329=""),"Incomplete","Complete")</f>
        <v>Complete</v>
      </c>
      <c r="I9329" s="48" t="s">
        <v>13694</v>
      </c>
    </row>
    <row r="9330" spans="2:9" ht="15" customHeight="1" x14ac:dyDescent="0.25">
      <c r="B9330" s="55" t="s">
        <v>280</v>
      </c>
      <c r="C9330" s="46">
        <v>4318</v>
      </c>
      <c r="D9330" s="69" t="s">
        <v>29417</v>
      </c>
      <c r="E9330" s="51"/>
      <c r="F9330" s="114" t="str">
        <f>IF(INDEX(I.Facility.P2aIDNumber,4318)="","",INDEX(I.Facility.P2aIDNumber,4318))</f>
        <v/>
      </c>
      <c r="G9330" s="51"/>
      <c r="H9330" s="46" t="str">
        <f>IF(AND(I.Developer.P2a=TRUE,I.Facility.P2aFacilityCount&gt;=4318,F9330=""),"Incomplete","Complete")</f>
        <v>Complete</v>
      </c>
      <c r="I9330" s="48" t="s">
        <v>13695</v>
      </c>
    </row>
    <row r="9331" spans="2:9" ht="15" customHeight="1" x14ac:dyDescent="0.25">
      <c r="B9331" s="55" t="s">
        <v>280</v>
      </c>
      <c r="C9331" s="46">
        <v>4319</v>
      </c>
      <c r="D9331" s="69" t="s">
        <v>29417</v>
      </c>
      <c r="E9331" s="51"/>
      <c r="F9331" s="114" t="str">
        <f>IF(INDEX(I.Facility.P2aIDNumber,4319)="","",INDEX(I.Facility.P2aIDNumber,4319))</f>
        <v/>
      </c>
      <c r="G9331" s="51"/>
      <c r="H9331" s="46" t="str">
        <f>IF(AND(I.Developer.P2a=TRUE,I.Facility.P2aFacilityCount&gt;=4319,F9331=""),"Incomplete","Complete")</f>
        <v>Complete</v>
      </c>
      <c r="I9331" s="48" t="s">
        <v>13696</v>
      </c>
    </row>
    <row r="9332" spans="2:9" ht="15" customHeight="1" x14ac:dyDescent="0.25">
      <c r="B9332" s="55" t="s">
        <v>280</v>
      </c>
      <c r="C9332" s="46">
        <v>4320</v>
      </c>
      <c r="D9332" s="69" t="s">
        <v>29417</v>
      </c>
      <c r="E9332" s="51"/>
      <c r="F9332" s="114" t="str">
        <f>IF(INDEX(I.Facility.P2aIDNumber,4320)="","",INDEX(I.Facility.P2aIDNumber,4320))</f>
        <v/>
      </c>
      <c r="G9332" s="51"/>
      <c r="H9332" s="46" t="str">
        <f>IF(AND(I.Developer.P2a=TRUE,I.Facility.P2aFacilityCount&gt;=4320,F9332=""),"Incomplete","Complete")</f>
        <v>Complete</v>
      </c>
      <c r="I9332" s="48" t="s">
        <v>13697</v>
      </c>
    </row>
    <row r="9333" spans="2:9" ht="15" customHeight="1" x14ac:dyDescent="0.25">
      <c r="B9333" s="55" t="s">
        <v>280</v>
      </c>
      <c r="C9333" s="46">
        <v>4321</v>
      </c>
      <c r="D9333" s="69" t="s">
        <v>29417</v>
      </c>
      <c r="E9333" s="51"/>
      <c r="F9333" s="114" t="str">
        <f>IF(INDEX(I.Facility.P2aIDNumber,4321)="","",INDEX(I.Facility.P2aIDNumber,4321))</f>
        <v/>
      </c>
      <c r="G9333" s="51"/>
      <c r="H9333" s="46" t="str">
        <f>IF(AND(I.Developer.P2a=TRUE,I.Facility.P2aFacilityCount&gt;=4321,F9333=""),"Incomplete","Complete")</f>
        <v>Complete</v>
      </c>
      <c r="I9333" s="48" t="s">
        <v>13698</v>
      </c>
    </row>
    <row r="9334" spans="2:9" ht="15" customHeight="1" x14ac:dyDescent="0.25">
      <c r="B9334" s="55" t="s">
        <v>280</v>
      </c>
      <c r="C9334" s="46">
        <v>4322</v>
      </c>
      <c r="D9334" s="69" t="s">
        <v>29417</v>
      </c>
      <c r="E9334" s="51"/>
      <c r="F9334" s="114" t="str">
        <f>IF(INDEX(I.Facility.P2aIDNumber,4322)="","",INDEX(I.Facility.P2aIDNumber,4322))</f>
        <v/>
      </c>
      <c r="G9334" s="51"/>
      <c r="H9334" s="46" t="str">
        <f>IF(AND(I.Developer.P2a=TRUE,I.Facility.P2aFacilityCount&gt;=4322,F9334=""),"Incomplete","Complete")</f>
        <v>Complete</v>
      </c>
      <c r="I9334" s="48" t="s">
        <v>13699</v>
      </c>
    </row>
    <row r="9335" spans="2:9" ht="15" customHeight="1" x14ac:dyDescent="0.25">
      <c r="B9335" s="55" t="s">
        <v>280</v>
      </c>
      <c r="C9335" s="46">
        <v>4323</v>
      </c>
      <c r="D9335" s="69" t="s">
        <v>29417</v>
      </c>
      <c r="E9335" s="51"/>
      <c r="F9335" s="114" t="str">
        <f>IF(INDEX(I.Facility.P2aIDNumber,4323)="","",INDEX(I.Facility.P2aIDNumber,4323))</f>
        <v/>
      </c>
      <c r="G9335" s="51"/>
      <c r="H9335" s="46" t="str">
        <f>IF(AND(I.Developer.P2a=TRUE,I.Facility.P2aFacilityCount&gt;=4323,F9335=""),"Incomplete","Complete")</f>
        <v>Complete</v>
      </c>
      <c r="I9335" s="48" t="s">
        <v>13700</v>
      </c>
    </row>
    <row r="9336" spans="2:9" ht="15" customHeight="1" x14ac:dyDescent="0.25">
      <c r="B9336" s="55" t="s">
        <v>280</v>
      </c>
      <c r="C9336" s="46">
        <v>4324</v>
      </c>
      <c r="D9336" s="69" t="s">
        <v>29417</v>
      </c>
      <c r="E9336" s="51"/>
      <c r="F9336" s="114" t="str">
        <f>IF(INDEX(I.Facility.P2aIDNumber,4324)="","",INDEX(I.Facility.P2aIDNumber,4324))</f>
        <v/>
      </c>
      <c r="G9336" s="51"/>
      <c r="H9336" s="46" t="str">
        <f>IF(AND(I.Developer.P2a=TRUE,I.Facility.P2aFacilityCount&gt;=4324,F9336=""),"Incomplete","Complete")</f>
        <v>Complete</v>
      </c>
      <c r="I9336" s="48" t="s">
        <v>13701</v>
      </c>
    </row>
    <row r="9337" spans="2:9" ht="15" customHeight="1" x14ac:dyDescent="0.25">
      <c r="B9337" s="55" t="s">
        <v>280</v>
      </c>
      <c r="C9337" s="46">
        <v>4325</v>
      </c>
      <c r="D9337" s="69" t="s">
        <v>29417</v>
      </c>
      <c r="E9337" s="51"/>
      <c r="F9337" s="114" t="str">
        <f>IF(INDEX(I.Facility.P2aIDNumber,4325)="","",INDEX(I.Facility.P2aIDNumber,4325))</f>
        <v/>
      </c>
      <c r="G9337" s="51"/>
      <c r="H9337" s="46" t="str">
        <f>IF(AND(I.Developer.P2a=TRUE,I.Facility.P2aFacilityCount&gt;=4325,F9337=""),"Incomplete","Complete")</f>
        <v>Complete</v>
      </c>
      <c r="I9337" s="48" t="s">
        <v>13702</v>
      </c>
    </row>
    <row r="9338" spans="2:9" ht="15" customHeight="1" x14ac:dyDescent="0.25">
      <c r="B9338" s="55" t="s">
        <v>280</v>
      </c>
      <c r="C9338" s="46">
        <v>4326</v>
      </c>
      <c r="D9338" s="69" t="s">
        <v>29417</v>
      </c>
      <c r="E9338" s="51"/>
      <c r="F9338" s="114" t="str">
        <f>IF(INDEX(I.Facility.P2aIDNumber,4326)="","",INDEX(I.Facility.P2aIDNumber,4326))</f>
        <v/>
      </c>
      <c r="G9338" s="51"/>
      <c r="H9338" s="46" t="str">
        <f>IF(AND(I.Developer.P2a=TRUE,I.Facility.P2aFacilityCount&gt;=4326,F9338=""),"Incomplete","Complete")</f>
        <v>Complete</v>
      </c>
      <c r="I9338" s="48" t="s">
        <v>13703</v>
      </c>
    </row>
    <row r="9339" spans="2:9" ht="15" customHeight="1" x14ac:dyDescent="0.25">
      <c r="B9339" s="55" t="s">
        <v>280</v>
      </c>
      <c r="C9339" s="46">
        <v>4327</v>
      </c>
      <c r="D9339" s="69" t="s">
        <v>29417</v>
      </c>
      <c r="E9339" s="51"/>
      <c r="F9339" s="114" t="str">
        <f>IF(INDEX(I.Facility.P2aIDNumber,4327)="","",INDEX(I.Facility.P2aIDNumber,4327))</f>
        <v/>
      </c>
      <c r="G9339" s="51"/>
      <c r="H9339" s="46" t="str">
        <f>IF(AND(I.Developer.P2a=TRUE,I.Facility.P2aFacilityCount&gt;=4327,F9339=""),"Incomplete","Complete")</f>
        <v>Complete</v>
      </c>
      <c r="I9339" s="48" t="s">
        <v>13704</v>
      </c>
    </row>
    <row r="9340" spans="2:9" ht="15" customHeight="1" x14ac:dyDescent="0.25">
      <c r="B9340" s="55" t="s">
        <v>280</v>
      </c>
      <c r="C9340" s="46">
        <v>4328</v>
      </c>
      <c r="D9340" s="69" t="s">
        <v>29417</v>
      </c>
      <c r="E9340" s="51"/>
      <c r="F9340" s="114" t="str">
        <f>IF(INDEX(I.Facility.P2aIDNumber,4328)="","",INDEX(I.Facility.P2aIDNumber,4328))</f>
        <v/>
      </c>
      <c r="G9340" s="51"/>
      <c r="H9340" s="46" t="str">
        <f>IF(AND(I.Developer.P2a=TRUE,I.Facility.P2aFacilityCount&gt;=4328,F9340=""),"Incomplete","Complete")</f>
        <v>Complete</v>
      </c>
      <c r="I9340" s="48" t="s">
        <v>13705</v>
      </c>
    </row>
    <row r="9341" spans="2:9" ht="15" customHeight="1" x14ac:dyDescent="0.25">
      <c r="B9341" s="55" t="s">
        <v>280</v>
      </c>
      <c r="C9341" s="46">
        <v>4329</v>
      </c>
      <c r="D9341" s="69" t="s">
        <v>29417</v>
      </c>
      <c r="E9341" s="51"/>
      <c r="F9341" s="114" t="str">
        <f>IF(INDEX(I.Facility.P2aIDNumber,4329)="","",INDEX(I.Facility.P2aIDNumber,4329))</f>
        <v/>
      </c>
      <c r="G9341" s="51"/>
      <c r="H9341" s="46" t="str">
        <f>IF(AND(I.Developer.P2a=TRUE,I.Facility.P2aFacilityCount&gt;=4329,F9341=""),"Incomplete","Complete")</f>
        <v>Complete</v>
      </c>
      <c r="I9341" s="48" t="s">
        <v>13706</v>
      </c>
    </row>
    <row r="9342" spans="2:9" ht="15" customHeight="1" x14ac:dyDescent="0.25">
      <c r="B9342" s="55" t="s">
        <v>280</v>
      </c>
      <c r="C9342" s="46">
        <v>4330</v>
      </c>
      <c r="D9342" s="69" t="s">
        <v>29417</v>
      </c>
      <c r="E9342" s="51"/>
      <c r="F9342" s="114" t="str">
        <f>IF(INDEX(I.Facility.P2aIDNumber,4330)="","",INDEX(I.Facility.P2aIDNumber,4330))</f>
        <v/>
      </c>
      <c r="G9342" s="51"/>
      <c r="H9342" s="46" t="str">
        <f>IF(AND(I.Developer.P2a=TRUE,I.Facility.P2aFacilityCount&gt;=4330,F9342=""),"Incomplete","Complete")</f>
        <v>Complete</v>
      </c>
      <c r="I9342" s="48" t="s">
        <v>13707</v>
      </c>
    </row>
    <row r="9343" spans="2:9" ht="15" customHeight="1" x14ac:dyDescent="0.25">
      <c r="B9343" s="55" t="s">
        <v>280</v>
      </c>
      <c r="C9343" s="46">
        <v>4331</v>
      </c>
      <c r="D9343" s="69" t="s">
        <v>29417</v>
      </c>
      <c r="E9343" s="51"/>
      <c r="F9343" s="114" t="str">
        <f>IF(INDEX(I.Facility.P2aIDNumber,4331)="","",INDEX(I.Facility.P2aIDNumber,4331))</f>
        <v/>
      </c>
      <c r="G9343" s="51"/>
      <c r="H9343" s="46" t="str">
        <f>IF(AND(I.Developer.P2a=TRUE,I.Facility.P2aFacilityCount&gt;=4331,F9343=""),"Incomplete","Complete")</f>
        <v>Complete</v>
      </c>
      <c r="I9343" s="48" t="s">
        <v>13708</v>
      </c>
    </row>
    <row r="9344" spans="2:9" ht="15" customHeight="1" x14ac:dyDescent="0.25">
      <c r="B9344" s="55" t="s">
        <v>280</v>
      </c>
      <c r="C9344" s="46">
        <v>4332</v>
      </c>
      <c r="D9344" s="69" t="s">
        <v>29417</v>
      </c>
      <c r="E9344" s="51"/>
      <c r="F9344" s="114" t="str">
        <f>IF(INDEX(I.Facility.P2aIDNumber,4332)="","",INDEX(I.Facility.P2aIDNumber,4332))</f>
        <v/>
      </c>
      <c r="G9344" s="51"/>
      <c r="H9344" s="46" t="str">
        <f>IF(AND(I.Developer.P2a=TRUE,I.Facility.P2aFacilityCount&gt;=4332,F9344=""),"Incomplete","Complete")</f>
        <v>Complete</v>
      </c>
      <c r="I9344" s="48" t="s">
        <v>13709</v>
      </c>
    </row>
    <row r="9345" spans="2:9" ht="15" customHeight="1" x14ac:dyDescent="0.25">
      <c r="B9345" s="55" t="s">
        <v>280</v>
      </c>
      <c r="C9345" s="46">
        <v>4333</v>
      </c>
      <c r="D9345" s="69" t="s">
        <v>29417</v>
      </c>
      <c r="E9345" s="51"/>
      <c r="F9345" s="114" t="str">
        <f>IF(INDEX(I.Facility.P2aIDNumber,4333)="","",INDEX(I.Facility.P2aIDNumber,4333))</f>
        <v/>
      </c>
      <c r="G9345" s="51"/>
      <c r="H9345" s="46" t="str">
        <f>IF(AND(I.Developer.P2a=TRUE,I.Facility.P2aFacilityCount&gt;=4333,F9345=""),"Incomplete","Complete")</f>
        <v>Complete</v>
      </c>
      <c r="I9345" s="48" t="s">
        <v>13710</v>
      </c>
    </row>
    <row r="9346" spans="2:9" ht="15" customHeight="1" x14ac:dyDescent="0.25">
      <c r="B9346" s="55" t="s">
        <v>280</v>
      </c>
      <c r="C9346" s="46">
        <v>4334</v>
      </c>
      <c r="D9346" s="69" t="s">
        <v>29417</v>
      </c>
      <c r="E9346" s="51"/>
      <c r="F9346" s="114" t="str">
        <f>IF(INDEX(I.Facility.P2aIDNumber,4334)="","",INDEX(I.Facility.P2aIDNumber,4334))</f>
        <v/>
      </c>
      <c r="G9346" s="51"/>
      <c r="H9346" s="46" t="str">
        <f>IF(AND(I.Developer.P2a=TRUE,I.Facility.P2aFacilityCount&gt;=4334,F9346=""),"Incomplete","Complete")</f>
        <v>Complete</v>
      </c>
      <c r="I9346" s="48" t="s">
        <v>13711</v>
      </c>
    </row>
    <row r="9347" spans="2:9" ht="15" customHeight="1" x14ac:dyDescent="0.25">
      <c r="B9347" s="55" t="s">
        <v>280</v>
      </c>
      <c r="C9347" s="46">
        <v>4335</v>
      </c>
      <c r="D9347" s="69" t="s">
        <v>29417</v>
      </c>
      <c r="E9347" s="51"/>
      <c r="F9347" s="114" t="str">
        <f>IF(INDEX(I.Facility.P2aIDNumber,4335)="","",INDEX(I.Facility.P2aIDNumber,4335))</f>
        <v/>
      </c>
      <c r="G9347" s="51"/>
      <c r="H9347" s="46" t="str">
        <f>IF(AND(I.Developer.P2a=TRUE,I.Facility.P2aFacilityCount&gt;=4335,F9347=""),"Incomplete","Complete")</f>
        <v>Complete</v>
      </c>
      <c r="I9347" s="48" t="s">
        <v>13712</v>
      </c>
    </row>
    <row r="9348" spans="2:9" ht="15" customHeight="1" x14ac:dyDescent="0.25">
      <c r="B9348" s="55" t="s">
        <v>280</v>
      </c>
      <c r="C9348" s="46">
        <v>4336</v>
      </c>
      <c r="D9348" s="69" t="s">
        <v>29417</v>
      </c>
      <c r="E9348" s="51"/>
      <c r="F9348" s="114" t="str">
        <f>IF(INDEX(I.Facility.P2aIDNumber,4336)="","",INDEX(I.Facility.P2aIDNumber,4336))</f>
        <v/>
      </c>
      <c r="G9348" s="51"/>
      <c r="H9348" s="46" t="str">
        <f>IF(AND(I.Developer.P2a=TRUE,I.Facility.P2aFacilityCount&gt;=4336,F9348=""),"Incomplete","Complete")</f>
        <v>Complete</v>
      </c>
      <c r="I9348" s="48" t="s">
        <v>13713</v>
      </c>
    </row>
    <row r="9349" spans="2:9" ht="15" customHeight="1" x14ac:dyDescent="0.25">
      <c r="B9349" s="55" t="s">
        <v>280</v>
      </c>
      <c r="C9349" s="46">
        <v>4337</v>
      </c>
      <c r="D9349" s="69" t="s">
        <v>29417</v>
      </c>
      <c r="E9349" s="51"/>
      <c r="F9349" s="114" t="str">
        <f>IF(INDEX(I.Facility.P2aIDNumber,4337)="","",INDEX(I.Facility.P2aIDNumber,4337))</f>
        <v/>
      </c>
      <c r="G9349" s="51"/>
      <c r="H9349" s="46" t="str">
        <f>IF(AND(I.Developer.P2a=TRUE,I.Facility.P2aFacilityCount&gt;=4337,F9349=""),"Incomplete","Complete")</f>
        <v>Complete</v>
      </c>
      <c r="I9349" s="48" t="s">
        <v>13714</v>
      </c>
    </row>
    <row r="9350" spans="2:9" ht="15" customHeight="1" x14ac:dyDescent="0.25">
      <c r="B9350" s="55" t="s">
        <v>280</v>
      </c>
      <c r="C9350" s="46">
        <v>4338</v>
      </c>
      <c r="D9350" s="69" t="s">
        <v>29417</v>
      </c>
      <c r="E9350" s="51"/>
      <c r="F9350" s="114" t="str">
        <f>IF(INDEX(I.Facility.P2aIDNumber,4338)="","",INDEX(I.Facility.P2aIDNumber,4338))</f>
        <v/>
      </c>
      <c r="G9350" s="51"/>
      <c r="H9350" s="46" t="str">
        <f>IF(AND(I.Developer.P2a=TRUE,I.Facility.P2aFacilityCount&gt;=4338,F9350=""),"Incomplete","Complete")</f>
        <v>Complete</v>
      </c>
      <c r="I9350" s="48" t="s">
        <v>13715</v>
      </c>
    </row>
    <row r="9351" spans="2:9" ht="15" customHeight="1" x14ac:dyDescent="0.25">
      <c r="B9351" s="55" t="s">
        <v>280</v>
      </c>
      <c r="C9351" s="46">
        <v>4339</v>
      </c>
      <c r="D9351" s="69" t="s">
        <v>29417</v>
      </c>
      <c r="E9351" s="51"/>
      <c r="F9351" s="114" t="str">
        <f>IF(INDEX(I.Facility.P2aIDNumber,4339)="","",INDEX(I.Facility.P2aIDNumber,4339))</f>
        <v/>
      </c>
      <c r="G9351" s="51"/>
      <c r="H9351" s="46" t="str">
        <f>IF(AND(I.Developer.P2a=TRUE,I.Facility.P2aFacilityCount&gt;=4339,F9351=""),"Incomplete","Complete")</f>
        <v>Complete</v>
      </c>
      <c r="I9351" s="48" t="s">
        <v>13716</v>
      </c>
    </row>
    <row r="9352" spans="2:9" ht="15" customHeight="1" x14ac:dyDescent="0.25">
      <c r="B9352" s="55" t="s">
        <v>280</v>
      </c>
      <c r="C9352" s="46">
        <v>4340</v>
      </c>
      <c r="D9352" s="69" t="s">
        <v>29417</v>
      </c>
      <c r="E9352" s="51"/>
      <c r="F9352" s="114" t="str">
        <f>IF(INDEX(I.Facility.P2aIDNumber,4340)="","",INDEX(I.Facility.P2aIDNumber,4340))</f>
        <v/>
      </c>
      <c r="G9352" s="51"/>
      <c r="H9352" s="46" t="str">
        <f>IF(AND(I.Developer.P2a=TRUE,I.Facility.P2aFacilityCount&gt;=4340,F9352=""),"Incomplete","Complete")</f>
        <v>Complete</v>
      </c>
      <c r="I9352" s="48" t="s">
        <v>13717</v>
      </c>
    </row>
    <row r="9353" spans="2:9" ht="15" customHeight="1" x14ac:dyDescent="0.25">
      <c r="B9353" s="55" t="s">
        <v>280</v>
      </c>
      <c r="C9353" s="46">
        <v>4341</v>
      </c>
      <c r="D9353" s="69" t="s">
        <v>29417</v>
      </c>
      <c r="E9353" s="51"/>
      <c r="F9353" s="114" t="str">
        <f>IF(INDEX(I.Facility.P2aIDNumber,4341)="","",INDEX(I.Facility.P2aIDNumber,4341))</f>
        <v/>
      </c>
      <c r="G9353" s="51"/>
      <c r="H9353" s="46" t="str">
        <f>IF(AND(I.Developer.P2a=TRUE,I.Facility.P2aFacilityCount&gt;=4341,F9353=""),"Incomplete","Complete")</f>
        <v>Complete</v>
      </c>
      <c r="I9353" s="48" t="s">
        <v>13718</v>
      </c>
    </row>
    <row r="9354" spans="2:9" ht="15" customHeight="1" x14ac:dyDescent="0.25">
      <c r="B9354" s="55" t="s">
        <v>280</v>
      </c>
      <c r="C9354" s="46">
        <v>4342</v>
      </c>
      <c r="D9354" s="69" t="s">
        <v>29417</v>
      </c>
      <c r="E9354" s="51"/>
      <c r="F9354" s="114" t="str">
        <f>IF(INDEX(I.Facility.P2aIDNumber,4342)="","",INDEX(I.Facility.P2aIDNumber,4342))</f>
        <v/>
      </c>
      <c r="G9354" s="51"/>
      <c r="H9354" s="46" t="str">
        <f>IF(AND(I.Developer.P2a=TRUE,I.Facility.P2aFacilityCount&gt;=4342,F9354=""),"Incomplete","Complete")</f>
        <v>Complete</v>
      </c>
      <c r="I9354" s="48" t="s">
        <v>13719</v>
      </c>
    </row>
    <row r="9355" spans="2:9" ht="15" customHeight="1" x14ac:dyDescent="0.25">
      <c r="B9355" s="55" t="s">
        <v>280</v>
      </c>
      <c r="C9355" s="46">
        <v>4343</v>
      </c>
      <c r="D9355" s="69" t="s">
        <v>29417</v>
      </c>
      <c r="E9355" s="51"/>
      <c r="F9355" s="114" t="str">
        <f>IF(INDEX(I.Facility.P2aIDNumber,4343)="","",INDEX(I.Facility.P2aIDNumber,4343))</f>
        <v/>
      </c>
      <c r="G9355" s="51"/>
      <c r="H9355" s="46" t="str">
        <f>IF(AND(I.Developer.P2a=TRUE,I.Facility.P2aFacilityCount&gt;=4343,F9355=""),"Incomplete","Complete")</f>
        <v>Complete</v>
      </c>
      <c r="I9355" s="48" t="s">
        <v>13720</v>
      </c>
    </row>
    <row r="9356" spans="2:9" ht="15" customHeight="1" x14ac:dyDescent="0.25">
      <c r="B9356" s="55" t="s">
        <v>280</v>
      </c>
      <c r="C9356" s="46">
        <v>4344</v>
      </c>
      <c r="D9356" s="69" t="s">
        <v>29417</v>
      </c>
      <c r="E9356" s="51"/>
      <c r="F9356" s="114" t="str">
        <f>IF(INDEX(I.Facility.P2aIDNumber,4344)="","",INDEX(I.Facility.P2aIDNumber,4344))</f>
        <v/>
      </c>
      <c r="G9356" s="51"/>
      <c r="H9356" s="46" t="str">
        <f>IF(AND(I.Developer.P2a=TRUE,I.Facility.P2aFacilityCount&gt;=4344,F9356=""),"Incomplete","Complete")</f>
        <v>Complete</v>
      </c>
      <c r="I9356" s="48" t="s">
        <v>13721</v>
      </c>
    </row>
    <row r="9357" spans="2:9" ht="15" customHeight="1" x14ac:dyDescent="0.25">
      <c r="B9357" s="55" t="s">
        <v>280</v>
      </c>
      <c r="C9357" s="46">
        <v>4345</v>
      </c>
      <c r="D9357" s="69" t="s">
        <v>29417</v>
      </c>
      <c r="E9357" s="51"/>
      <c r="F9357" s="114" t="str">
        <f>IF(INDEX(I.Facility.P2aIDNumber,4345)="","",INDEX(I.Facility.P2aIDNumber,4345))</f>
        <v/>
      </c>
      <c r="G9357" s="51"/>
      <c r="H9357" s="46" t="str">
        <f>IF(AND(I.Developer.P2a=TRUE,I.Facility.P2aFacilityCount&gt;=4345,F9357=""),"Incomplete","Complete")</f>
        <v>Complete</v>
      </c>
      <c r="I9357" s="48" t="s">
        <v>13722</v>
      </c>
    </row>
    <row r="9358" spans="2:9" ht="15" customHeight="1" x14ac:dyDescent="0.25">
      <c r="B9358" s="55" t="s">
        <v>280</v>
      </c>
      <c r="C9358" s="46">
        <v>4346</v>
      </c>
      <c r="D9358" s="69" t="s">
        <v>29417</v>
      </c>
      <c r="E9358" s="51"/>
      <c r="F9358" s="114" t="str">
        <f>IF(INDEX(I.Facility.P2aIDNumber,4346)="","",INDEX(I.Facility.P2aIDNumber,4346))</f>
        <v/>
      </c>
      <c r="G9358" s="51"/>
      <c r="H9358" s="46" t="str">
        <f>IF(AND(I.Developer.P2a=TRUE,I.Facility.P2aFacilityCount&gt;=4346,F9358=""),"Incomplete","Complete")</f>
        <v>Complete</v>
      </c>
      <c r="I9358" s="48" t="s">
        <v>13723</v>
      </c>
    </row>
    <row r="9359" spans="2:9" ht="15" customHeight="1" x14ac:dyDescent="0.25">
      <c r="B9359" s="55" t="s">
        <v>280</v>
      </c>
      <c r="C9359" s="46">
        <v>4347</v>
      </c>
      <c r="D9359" s="69" t="s">
        <v>29417</v>
      </c>
      <c r="E9359" s="51"/>
      <c r="F9359" s="114" t="str">
        <f>IF(INDEX(I.Facility.P2aIDNumber,4347)="","",INDEX(I.Facility.P2aIDNumber,4347))</f>
        <v/>
      </c>
      <c r="G9359" s="51"/>
      <c r="H9359" s="46" t="str">
        <f>IF(AND(I.Developer.P2a=TRUE,I.Facility.P2aFacilityCount&gt;=4347,F9359=""),"Incomplete","Complete")</f>
        <v>Complete</v>
      </c>
      <c r="I9359" s="48" t="s">
        <v>13724</v>
      </c>
    </row>
    <row r="9360" spans="2:9" ht="15" customHeight="1" x14ac:dyDescent="0.25">
      <c r="B9360" s="55" t="s">
        <v>280</v>
      </c>
      <c r="C9360" s="46">
        <v>4348</v>
      </c>
      <c r="D9360" s="69" t="s">
        <v>29417</v>
      </c>
      <c r="E9360" s="51"/>
      <c r="F9360" s="114" t="str">
        <f>IF(INDEX(I.Facility.P2aIDNumber,4348)="","",INDEX(I.Facility.P2aIDNumber,4348))</f>
        <v/>
      </c>
      <c r="G9360" s="51"/>
      <c r="H9360" s="46" t="str">
        <f>IF(AND(I.Developer.P2a=TRUE,I.Facility.P2aFacilityCount&gt;=4348,F9360=""),"Incomplete","Complete")</f>
        <v>Complete</v>
      </c>
      <c r="I9360" s="48" t="s">
        <v>13725</v>
      </c>
    </row>
    <row r="9361" spans="2:9" ht="15" customHeight="1" x14ac:dyDescent="0.25">
      <c r="B9361" s="55" t="s">
        <v>280</v>
      </c>
      <c r="C9361" s="46">
        <v>4349</v>
      </c>
      <c r="D9361" s="69" t="s">
        <v>29417</v>
      </c>
      <c r="E9361" s="51"/>
      <c r="F9361" s="114" t="str">
        <f>IF(INDEX(I.Facility.P2aIDNumber,4349)="","",INDEX(I.Facility.P2aIDNumber,4349))</f>
        <v/>
      </c>
      <c r="G9361" s="51"/>
      <c r="H9361" s="46" t="str">
        <f>IF(AND(I.Developer.P2a=TRUE,I.Facility.P2aFacilityCount&gt;=4349,F9361=""),"Incomplete","Complete")</f>
        <v>Complete</v>
      </c>
      <c r="I9361" s="48" t="s">
        <v>13726</v>
      </c>
    </row>
    <row r="9362" spans="2:9" ht="15" customHeight="1" x14ac:dyDescent="0.25">
      <c r="B9362" s="55" t="s">
        <v>280</v>
      </c>
      <c r="C9362" s="46">
        <v>4350</v>
      </c>
      <c r="D9362" s="69" t="s">
        <v>29417</v>
      </c>
      <c r="E9362" s="51"/>
      <c r="F9362" s="114" t="str">
        <f>IF(INDEX(I.Facility.P2aIDNumber,4350)="","",INDEX(I.Facility.P2aIDNumber,4350))</f>
        <v/>
      </c>
      <c r="G9362" s="51"/>
      <c r="H9362" s="46" t="str">
        <f>IF(AND(I.Developer.P2a=TRUE,I.Facility.P2aFacilityCount&gt;=4350,F9362=""),"Incomplete","Complete")</f>
        <v>Complete</v>
      </c>
      <c r="I9362" s="48" t="s">
        <v>13727</v>
      </c>
    </row>
    <row r="9363" spans="2:9" ht="15" customHeight="1" x14ac:dyDescent="0.25">
      <c r="B9363" s="55" t="s">
        <v>280</v>
      </c>
      <c r="C9363" s="46">
        <v>4351</v>
      </c>
      <c r="D9363" s="69" t="s">
        <v>29417</v>
      </c>
      <c r="E9363" s="51"/>
      <c r="F9363" s="114" t="str">
        <f>IF(INDEX(I.Facility.P2aIDNumber,4351)="","",INDEX(I.Facility.P2aIDNumber,4351))</f>
        <v/>
      </c>
      <c r="G9363" s="51"/>
      <c r="H9363" s="46" t="str">
        <f>IF(AND(I.Developer.P2a=TRUE,I.Facility.P2aFacilityCount&gt;=4351,F9363=""),"Incomplete","Complete")</f>
        <v>Complete</v>
      </c>
      <c r="I9363" s="48" t="s">
        <v>13728</v>
      </c>
    </row>
    <row r="9364" spans="2:9" ht="15" customHeight="1" x14ac:dyDescent="0.25">
      <c r="B9364" s="55" t="s">
        <v>280</v>
      </c>
      <c r="C9364" s="46">
        <v>4352</v>
      </c>
      <c r="D9364" s="69" t="s">
        <v>29417</v>
      </c>
      <c r="E9364" s="51"/>
      <c r="F9364" s="114" t="str">
        <f>IF(INDEX(I.Facility.P2aIDNumber,4352)="","",INDEX(I.Facility.P2aIDNumber,4352))</f>
        <v/>
      </c>
      <c r="G9364" s="51"/>
      <c r="H9364" s="46" t="str">
        <f>IF(AND(I.Developer.P2a=TRUE,I.Facility.P2aFacilityCount&gt;=4352,F9364=""),"Incomplete","Complete")</f>
        <v>Complete</v>
      </c>
      <c r="I9364" s="48" t="s">
        <v>13729</v>
      </c>
    </row>
    <row r="9365" spans="2:9" ht="15" customHeight="1" x14ac:dyDescent="0.25">
      <c r="B9365" s="55" t="s">
        <v>280</v>
      </c>
      <c r="C9365" s="46">
        <v>4353</v>
      </c>
      <c r="D9365" s="69" t="s">
        <v>29417</v>
      </c>
      <c r="E9365" s="51"/>
      <c r="F9365" s="114" t="str">
        <f>IF(INDEX(I.Facility.P2aIDNumber,4353)="","",INDEX(I.Facility.P2aIDNumber,4353))</f>
        <v/>
      </c>
      <c r="G9365" s="51"/>
      <c r="H9365" s="46" t="str">
        <f>IF(AND(I.Developer.P2a=TRUE,I.Facility.P2aFacilityCount&gt;=4353,F9365=""),"Incomplete","Complete")</f>
        <v>Complete</v>
      </c>
      <c r="I9365" s="48" t="s">
        <v>13730</v>
      </c>
    </row>
    <row r="9366" spans="2:9" ht="15" customHeight="1" x14ac:dyDescent="0.25">
      <c r="B9366" s="55" t="s">
        <v>280</v>
      </c>
      <c r="C9366" s="46">
        <v>4354</v>
      </c>
      <c r="D9366" s="69" t="s">
        <v>29417</v>
      </c>
      <c r="E9366" s="51"/>
      <c r="F9366" s="114" t="str">
        <f>IF(INDEX(I.Facility.P2aIDNumber,4354)="","",INDEX(I.Facility.P2aIDNumber,4354))</f>
        <v/>
      </c>
      <c r="G9366" s="51"/>
      <c r="H9366" s="46" t="str">
        <f>IF(AND(I.Developer.P2a=TRUE,I.Facility.P2aFacilityCount&gt;=4354,F9366=""),"Incomplete","Complete")</f>
        <v>Complete</v>
      </c>
      <c r="I9366" s="48" t="s">
        <v>13731</v>
      </c>
    </row>
    <row r="9367" spans="2:9" ht="15" customHeight="1" x14ac:dyDescent="0.25">
      <c r="B9367" s="55" t="s">
        <v>280</v>
      </c>
      <c r="C9367" s="46">
        <v>4355</v>
      </c>
      <c r="D9367" s="69" t="s">
        <v>29417</v>
      </c>
      <c r="E9367" s="51"/>
      <c r="F9367" s="114" t="str">
        <f>IF(INDEX(I.Facility.P2aIDNumber,4355)="","",INDEX(I.Facility.P2aIDNumber,4355))</f>
        <v/>
      </c>
      <c r="G9367" s="51"/>
      <c r="H9367" s="46" t="str">
        <f>IF(AND(I.Developer.P2a=TRUE,I.Facility.P2aFacilityCount&gt;=4355,F9367=""),"Incomplete","Complete")</f>
        <v>Complete</v>
      </c>
      <c r="I9367" s="48" t="s">
        <v>13732</v>
      </c>
    </row>
    <row r="9368" spans="2:9" ht="15" customHeight="1" x14ac:dyDescent="0.25">
      <c r="B9368" s="55" t="s">
        <v>280</v>
      </c>
      <c r="C9368" s="46">
        <v>4356</v>
      </c>
      <c r="D9368" s="69" t="s">
        <v>29417</v>
      </c>
      <c r="E9368" s="51"/>
      <c r="F9368" s="114" t="str">
        <f>IF(INDEX(I.Facility.P2aIDNumber,4356)="","",INDEX(I.Facility.P2aIDNumber,4356))</f>
        <v/>
      </c>
      <c r="G9368" s="51"/>
      <c r="H9368" s="46" t="str">
        <f>IF(AND(I.Developer.P2a=TRUE,I.Facility.P2aFacilityCount&gt;=4356,F9368=""),"Incomplete","Complete")</f>
        <v>Complete</v>
      </c>
      <c r="I9368" s="48" t="s">
        <v>13733</v>
      </c>
    </row>
    <row r="9369" spans="2:9" ht="15" customHeight="1" x14ac:dyDescent="0.25">
      <c r="B9369" s="55" t="s">
        <v>280</v>
      </c>
      <c r="C9369" s="46">
        <v>4357</v>
      </c>
      <c r="D9369" s="69" t="s">
        <v>29417</v>
      </c>
      <c r="E9369" s="51"/>
      <c r="F9369" s="114" t="str">
        <f>IF(INDEX(I.Facility.P2aIDNumber,4357)="","",INDEX(I.Facility.P2aIDNumber,4357))</f>
        <v/>
      </c>
      <c r="G9369" s="51"/>
      <c r="H9369" s="46" t="str">
        <f>IF(AND(I.Developer.P2a=TRUE,I.Facility.P2aFacilityCount&gt;=4357,F9369=""),"Incomplete","Complete")</f>
        <v>Complete</v>
      </c>
      <c r="I9369" s="48" t="s">
        <v>13734</v>
      </c>
    </row>
    <row r="9370" spans="2:9" ht="15" customHeight="1" x14ac:dyDescent="0.25">
      <c r="B9370" s="55" t="s">
        <v>280</v>
      </c>
      <c r="C9370" s="46">
        <v>4358</v>
      </c>
      <c r="D9370" s="69" t="s">
        <v>29417</v>
      </c>
      <c r="E9370" s="51"/>
      <c r="F9370" s="114" t="str">
        <f>IF(INDEX(I.Facility.P2aIDNumber,4358)="","",INDEX(I.Facility.P2aIDNumber,4358))</f>
        <v/>
      </c>
      <c r="G9370" s="51"/>
      <c r="H9370" s="46" t="str">
        <f>IF(AND(I.Developer.P2a=TRUE,I.Facility.P2aFacilityCount&gt;=4358,F9370=""),"Incomplete","Complete")</f>
        <v>Complete</v>
      </c>
      <c r="I9370" s="48" t="s">
        <v>13735</v>
      </c>
    </row>
    <row r="9371" spans="2:9" ht="15" customHeight="1" x14ac:dyDescent="0.25">
      <c r="B9371" s="55" t="s">
        <v>280</v>
      </c>
      <c r="C9371" s="46">
        <v>4359</v>
      </c>
      <c r="D9371" s="69" t="s">
        <v>29417</v>
      </c>
      <c r="E9371" s="51"/>
      <c r="F9371" s="114" t="str">
        <f>IF(INDEX(I.Facility.P2aIDNumber,4359)="","",INDEX(I.Facility.P2aIDNumber,4359))</f>
        <v/>
      </c>
      <c r="G9371" s="51"/>
      <c r="H9371" s="46" t="str">
        <f>IF(AND(I.Developer.P2a=TRUE,I.Facility.P2aFacilityCount&gt;=4359,F9371=""),"Incomplete","Complete")</f>
        <v>Complete</v>
      </c>
      <c r="I9371" s="48" t="s">
        <v>13736</v>
      </c>
    </row>
    <row r="9372" spans="2:9" ht="15" customHeight="1" x14ac:dyDescent="0.25">
      <c r="B9372" s="55" t="s">
        <v>280</v>
      </c>
      <c r="C9372" s="46">
        <v>4360</v>
      </c>
      <c r="D9372" s="69" t="s">
        <v>29417</v>
      </c>
      <c r="E9372" s="51"/>
      <c r="F9372" s="114" t="str">
        <f>IF(INDEX(I.Facility.P2aIDNumber,4360)="","",INDEX(I.Facility.P2aIDNumber,4360))</f>
        <v/>
      </c>
      <c r="G9372" s="51"/>
      <c r="H9372" s="46" t="str">
        <f>IF(AND(I.Developer.P2a=TRUE,I.Facility.P2aFacilityCount&gt;=4360,F9372=""),"Incomplete","Complete")</f>
        <v>Complete</v>
      </c>
      <c r="I9372" s="48" t="s">
        <v>13737</v>
      </c>
    </row>
    <row r="9373" spans="2:9" ht="15" customHeight="1" x14ac:dyDescent="0.25">
      <c r="B9373" s="55" t="s">
        <v>280</v>
      </c>
      <c r="C9373" s="46">
        <v>4361</v>
      </c>
      <c r="D9373" s="69" t="s">
        <v>29417</v>
      </c>
      <c r="E9373" s="51"/>
      <c r="F9373" s="114" t="str">
        <f>IF(INDEX(I.Facility.P2aIDNumber,4361)="","",INDEX(I.Facility.P2aIDNumber,4361))</f>
        <v/>
      </c>
      <c r="G9373" s="51"/>
      <c r="H9373" s="46" t="str">
        <f>IF(AND(I.Developer.P2a=TRUE,I.Facility.P2aFacilityCount&gt;=4361,F9373=""),"Incomplete","Complete")</f>
        <v>Complete</v>
      </c>
      <c r="I9373" s="48" t="s">
        <v>13738</v>
      </c>
    </row>
    <row r="9374" spans="2:9" ht="15" customHeight="1" x14ac:dyDescent="0.25">
      <c r="B9374" s="55" t="s">
        <v>280</v>
      </c>
      <c r="C9374" s="46">
        <v>4362</v>
      </c>
      <c r="D9374" s="69" t="s">
        <v>29417</v>
      </c>
      <c r="E9374" s="51"/>
      <c r="F9374" s="114" t="str">
        <f>IF(INDEX(I.Facility.P2aIDNumber,4362)="","",INDEX(I.Facility.P2aIDNumber,4362))</f>
        <v/>
      </c>
      <c r="G9374" s="51"/>
      <c r="H9374" s="46" t="str">
        <f>IF(AND(I.Developer.P2a=TRUE,I.Facility.P2aFacilityCount&gt;=4362,F9374=""),"Incomplete","Complete")</f>
        <v>Complete</v>
      </c>
      <c r="I9374" s="48" t="s">
        <v>13739</v>
      </c>
    </row>
    <row r="9375" spans="2:9" ht="15" customHeight="1" x14ac:dyDescent="0.25">
      <c r="B9375" s="55" t="s">
        <v>280</v>
      </c>
      <c r="C9375" s="46">
        <v>4363</v>
      </c>
      <c r="D9375" s="69" t="s">
        <v>29417</v>
      </c>
      <c r="E9375" s="51"/>
      <c r="F9375" s="114" t="str">
        <f>IF(INDEX(I.Facility.P2aIDNumber,4363)="","",INDEX(I.Facility.P2aIDNumber,4363))</f>
        <v/>
      </c>
      <c r="G9375" s="51"/>
      <c r="H9375" s="46" t="str">
        <f>IF(AND(I.Developer.P2a=TRUE,I.Facility.P2aFacilityCount&gt;=4363,F9375=""),"Incomplete","Complete")</f>
        <v>Complete</v>
      </c>
      <c r="I9375" s="48" t="s">
        <v>13740</v>
      </c>
    </row>
    <row r="9376" spans="2:9" ht="15" customHeight="1" x14ac:dyDescent="0.25">
      <c r="B9376" s="55" t="s">
        <v>280</v>
      </c>
      <c r="C9376" s="46">
        <v>4364</v>
      </c>
      <c r="D9376" s="69" t="s">
        <v>29417</v>
      </c>
      <c r="E9376" s="51"/>
      <c r="F9376" s="114" t="str">
        <f>IF(INDEX(I.Facility.P2aIDNumber,4364)="","",INDEX(I.Facility.P2aIDNumber,4364))</f>
        <v/>
      </c>
      <c r="G9376" s="51"/>
      <c r="H9376" s="46" t="str">
        <f>IF(AND(I.Developer.P2a=TRUE,I.Facility.P2aFacilityCount&gt;=4364,F9376=""),"Incomplete","Complete")</f>
        <v>Complete</v>
      </c>
      <c r="I9376" s="48" t="s">
        <v>13741</v>
      </c>
    </row>
    <row r="9377" spans="2:9" ht="15" customHeight="1" x14ac:dyDescent="0.25">
      <c r="B9377" s="55" t="s">
        <v>280</v>
      </c>
      <c r="C9377" s="46">
        <v>4365</v>
      </c>
      <c r="D9377" s="69" t="s">
        <v>29417</v>
      </c>
      <c r="E9377" s="51"/>
      <c r="F9377" s="114" t="str">
        <f>IF(INDEX(I.Facility.P2aIDNumber,4365)="","",INDEX(I.Facility.P2aIDNumber,4365))</f>
        <v/>
      </c>
      <c r="G9377" s="51"/>
      <c r="H9377" s="46" t="str">
        <f>IF(AND(I.Developer.P2a=TRUE,I.Facility.P2aFacilityCount&gt;=4365,F9377=""),"Incomplete","Complete")</f>
        <v>Complete</v>
      </c>
      <c r="I9377" s="48" t="s">
        <v>13742</v>
      </c>
    </row>
    <row r="9378" spans="2:9" ht="15" customHeight="1" x14ac:dyDescent="0.25">
      <c r="B9378" s="55" t="s">
        <v>280</v>
      </c>
      <c r="C9378" s="46">
        <v>4366</v>
      </c>
      <c r="D9378" s="69" t="s">
        <v>29417</v>
      </c>
      <c r="E9378" s="51"/>
      <c r="F9378" s="114" t="str">
        <f>IF(INDEX(I.Facility.P2aIDNumber,4366)="","",INDEX(I.Facility.P2aIDNumber,4366))</f>
        <v/>
      </c>
      <c r="G9378" s="51"/>
      <c r="H9378" s="46" t="str">
        <f>IF(AND(I.Developer.P2a=TRUE,I.Facility.P2aFacilityCount&gt;=4366,F9378=""),"Incomplete","Complete")</f>
        <v>Complete</v>
      </c>
      <c r="I9378" s="48" t="s">
        <v>13743</v>
      </c>
    </row>
    <row r="9379" spans="2:9" ht="15" customHeight="1" x14ac:dyDescent="0.25">
      <c r="B9379" s="55" t="s">
        <v>280</v>
      </c>
      <c r="C9379" s="46">
        <v>4367</v>
      </c>
      <c r="D9379" s="69" t="s">
        <v>29417</v>
      </c>
      <c r="E9379" s="51"/>
      <c r="F9379" s="114" t="str">
        <f>IF(INDEX(I.Facility.P2aIDNumber,4367)="","",INDEX(I.Facility.P2aIDNumber,4367))</f>
        <v/>
      </c>
      <c r="G9379" s="51"/>
      <c r="H9379" s="46" t="str">
        <f>IF(AND(I.Developer.P2a=TRUE,I.Facility.P2aFacilityCount&gt;=4367,F9379=""),"Incomplete","Complete")</f>
        <v>Complete</v>
      </c>
      <c r="I9379" s="48" t="s">
        <v>13744</v>
      </c>
    </row>
    <row r="9380" spans="2:9" ht="15" customHeight="1" x14ac:dyDescent="0.25">
      <c r="B9380" s="55" t="s">
        <v>280</v>
      </c>
      <c r="C9380" s="46">
        <v>4368</v>
      </c>
      <c r="D9380" s="69" t="s">
        <v>29417</v>
      </c>
      <c r="E9380" s="51"/>
      <c r="F9380" s="114" t="str">
        <f>IF(INDEX(I.Facility.P2aIDNumber,4368)="","",INDEX(I.Facility.P2aIDNumber,4368))</f>
        <v/>
      </c>
      <c r="G9380" s="51"/>
      <c r="H9380" s="46" t="str">
        <f>IF(AND(I.Developer.P2a=TRUE,I.Facility.P2aFacilityCount&gt;=4368,F9380=""),"Incomplete","Complete")</f>
        <v>Complete</v>
      </c>
      <c r="I9380" s="48" t="s">
        <v>13745</v>
      </c>
    </row>
    <row r="9381" spans="2:9" ht="15" customHeight="1" x14ac:dyDescent="0.25">
      <c r="B9381" s="55" t="s">
        <v>280</v>
      </c>
      <c r="C9381" s="46">
        <v>4369</v>
      </c>
      <c r="D9381" s="69" t="s">
        <v>29417</v>
      </c>
      <c r="E9381" s="51"/>
      <c r="F9381" s="114" t="str">
        <f>IF(INDEX(I.Facility.P2aIDNumber,4369)="","",INDEX(I.Facility.P2aIDNumber,4369))</f>
        <v/>
      </c>
      <c r="G9381" s="51"/>
      <c r="H9381" s="46" t="str">
        <f>IF(AND(I.Developer.P2a=TRUE,I.Facility.P2aFacilityCount&gt;=4369,F9381=""),"Incomplete","Complete")</f>
        <v>Complete</v>
      </c>
      <c r="I9381" s="48" t="s">
        <v>13746</v>
      </c>
    </row>
    <row r="9382" spans="2:9" ht="15" customHeight="1" x14ac:dyDescent="0.25">
      <c r="B9382" s="55" t="s">
        <v>280</v>
      </c>
      <c r="C9382" s="46">
        <v>4370</v>
      </c>
      <c r="D9382" s="69" t="s">
        <v>29417</v>
      </c>
      <c r="E9382" s="51"/>
      <c r="F9382" s="114" t="str">
        <f>IF(INDEX(I.Facility.P2aIDNumber,4370)="","",INDEX(I.Facility.P2aIDNumber,4370))</f>
        <v/>
      </c>
      <c r="G9382" s="51"/>
      <c r="H9382" s="46" t="str">
        <f>IF(AND(I.Developer.P2a=TRUE,I.Facility.P2aFacilityCount&gt;=4370,F9382=""),"Incomplete","Complete")</f>
        <v>Complete</v>
      </c>
      <c r="I9382" s="48" t="s">
        <v>13747</v>
      </c>
    </row>
    <row r="9383" spans="2:9" ht="15" customHeight="1" x14ac:dyDescent="0.25">
      <c r="B9383" s="55" t="s">
        <v>280</v>
      </c>
      <c r="C9383" s="46">
        <v>4371</v>
      </c>
      <c r="D9383" s="69" t="s">
        <v>29417</v>
      </c>
      <c r="E9383" s="51"/>
      <c r="F9383" s="114" t="str">
        <f>IF(INDEX(I.Facility.P2aIDNumber,4371)="","",INDEX(I.Facility.P2aIDNumber,4371))</f>
        <v/>
      </c>
      <c r="G9383" s="51"/>
      <c r="H9383" s="46" t="str">
        <f>IF(AND(I.Developer.P2a=TRUE,I.Facility.P2aFacilityCount&gt;=4371,F9383=""),"Incomplete","Complete")</f>
        <v>Complete</v>
      </c>
      <c r="I9383" s="48" t="s">
        <v>13748</v>
      </c>
    </row>
    <row r="9384" spans="2:9" ht="15" customHeight="1" x14ac:dyDescent="0.25">
      <c r="B9384" s="55" t="s">
        <v>280</v>
      </c>
      <c r="C9384" s="46">
        <v>4372</v>
      </c>
      <c r="D9384" s="69" t="s">
        <v>29417</v>
      </c>
      <c r="E9384" s="51"/>
      <c r="F9384" s="114" t="str">
        <f>IF(INDEX(I.Facility.P2aIDNumber,4372)="","",INDEX(I.Facility.P2aIDNumber,4372))</f>
        <v/>
      </c>
      <c r="G9384" s="51"/>
      <c r="H9384" s="46" t="str">
        <f>IF(AND(I.Developer.P2a=TRUE,I.Facility.P2aFacilityCount&gt;=4372,F9384=""),"Incomplete","Complete")</f>
        <v>Complete</v>
      </c>
      <c r="I9384" s="48" t="s">
        <v>13749</v>
      </c>
    </row>
    <row r="9385" spans="2:9" ht="15" customHeight="1" x14ac:dyDescent="0.25">
      <c r="B9385" s="55" t="s">
        <v>280</v>
      </c>
      <c r="C9385" s="46">
        <v>4373</v>
      </c>
      <c r="D9385" s="69" t="s">
        <v>29417</v>
      </c>
      <c r="E9385" s="51"/>
      <c r="F9385" s="114" t="str">
        <f>IF(INDEX(I.Facility.P2aIDNumber,4373)="","",INDEX(I.Facility.P2aIDNumber,4373))</f>
        <v/>
      </c>
      <c r="G9385" s="51"/>
      <c r="H9385" s="46" t="str">
        <f>IF(AND(I.Developer.P2a=TRUE,I.Facility.P2aFacilityCount&gt;=4373,F9385=""),"Incomplete","Complete")</f>
        <v>Complete</v>
      </c>
      <c r="I9385" s="48" t="s">
        <v>13750</v>
      </c>
    </row>
    <row r="9386" spans="2:9" ht="15" customHeight="1" x14ac:dyDescent="0.25">
      <c r="B9386" s="55" t="s">
        <v>280</v>
      </c>
      <c r="C9386" s="46">
        <v>4374</v>
      </c>
      <c r="D9386" s="69" t="s">
        <v>29417</v>
      </c>
      <c r="E9386" s="51"/>
      <c r="F9386" s="114" t="str">
        <f>IF(INDEX(I.Facility.P2aIDNumber,4374)="","",INDEX(I.Facility.P2aIDNumber,4374))</f>
        <v/>
      </c>
      <c r="G9386" s="51"/>
      <c r="H9386" s="46" t="str">
        <f>IF(AND(I.Developer.P2a=TRUE,I.Facility.P2aFacilityCount&gt;=4374,F9386=""),"Incomplete","Complete")</f>
        <v>Complete</v>
      </c>
      <c r="I9386" s="48" t="s">
        <v>13751</v>
      </c>
    </row>
    <row r="9387" spans="2:9" ht="15" customHeight="1" x14ac:dyDescent="0.25">
      <c r="B9387" s="55" t="s">
        <v>280</v>
      </c>
      <c r="C9387" s="46">
        <v>4375</v>
      </c>
      <c r="D9387" s="69" t="s">
        <v>29417</v>
      </c>
      <c r="E9387" s="51"/>
      <c r="F9387" s="114" t="str">
        <f>IF(INDEX(I.Facility.P2aIDNumber,4375)="","",INDEX(I.Facility.P2aIDNumber,4375))</f>
        <v/>
      </c>
      <c r="G9387" s="51"/>
      <c r="H9387" s="46" t="str">
        <f>IF(AND(I.Developer.P2a=TRUE,I.Facility.P2aFacilityCount&gt;=4375,F9387=""),"Incomplete","Complete")</f>
        <v>Complete</v>
      </c>
      <c r="I9387" s="48" t="s">
        <v>13752</v>
      </c>
    </row>
    <row r="9388" spans="2:9" ht="15" customHeight="1" x14ac:dyDescent="0.25">
      <c r="B9388" s="55" t="s">
        <v>280</v>
      </c>
      <c r="C9388" s="46">
        <v>4376</v>
      </c>
      <c r="D9388" s="69" t="s">
        <v>29417</v>
      </c>
      <c r="E9388" s="51"/>
      <c r="F9388" s="114" t="str">
        <f>IF(INDEX(I.Facility.P2aIDNumber,4376)="","",INDEX(I.Facility.P2aIDNumber,4376))</f>
        <v/>
      </c>
      <c r="G9388" s="51"/>
      <c r="H9388" s="46" t="str">
        <f>IF(AND(I.Developer.P2a=TRUE,I.Facility.P2aFacilityCount&gt;=4376,F9388=""),"Incomplete","Complete")</f>
        <v>Complete</v>
      </c>
      <c r="I9388" s="48" t="s">
        <v>13753</v>
      </c>
    </row>
    <row r="9389" spans="2:9" ht="15" customHeight="1" x14ac:dyDescent="0.25">
      <c r="B9389" s="55" t="s">
        <v>280</v>
      </c>
      <c r="C9389" s="46">
        <v>4377</v>
      </c>
      <c r="D9389" s="69" t="s">
        <v>29417</v>
      </c>
      <c r="E9389" s="51"/>
      <c r="F9389" s="114" t="str">
        <f>IF(INDEX(I.Facility.P2aIDNumber,4377)="","",INDEX(I.Facility.P2aIDNumber,4377))</f>
        <v/>
      </c>
      <c r="G9389" s="51"/>
      <c r="H9389" s="46" t="str">
        <f>IF(AND(I.Developer.P2a=TRUE,I.Facility.P2aFacilityCount&gt;=4377,F9389=""),"Incomplete","Complete")</f>
        <v>Complete</v>
      </c>
      <c r="I9389" s="48" t="s">
        <v>13754</v>
      </c>
    </row>
    <row r="9390" spans="2:9" ht="15" customHeight="1" x14ac:dyDescent="0.25">
      <c r="B9390" s="55" t="s">
        <v>280</v>
      </c>
      <c r="C9390" s="46">
        <v>4378</v>
      </c>
      <c r="D9390" s="69" t="s">
        <v>29417</v>
      </c>
      <c r="E9390" s="51"/>
      <c r="F9390" s="114" t="str">
        <f>IF(INDEX(I.Facility.P2aIDNumber,4378)="","",INDEX(I.Facility.P2aIDNumber,4378))</f>
        <v/>
      </c>
      <c r="G9390" s="51"/>
      <c r="H9390" s="46" t="str">
        <f>IF(AND(I.Developer.P2a=TRUE,I.Facility.P2aFacilityCount&gt;=4378,F9390=""),"Incomplete","Complete")</f>
        <v>Complete</v>
      </c>
      <c r="I9390" s="48" t="s">
        <v>13755</v>
      </c>
    </row>
    <row r="9391" spans="2:9" ht="15" customHeight="1" x14ac:dyDescent="0.25">
      <c r="B9391" s="55" t="s">
        <v>280</v>
      </c>
      <c r="C9391" s="46">
        <v>4379</v>
      </c>
      <c r="D9391" s="69" t="s">
        <v>29417</v>
      </c>
      <c r="E9391" s="51"/>
      <c r="F9391" s="114" t="str">
        <f>IF(INDEX(I.Facility.P2aIDNumber,4379)="","",INDEX(I.Facility.P2aIDNumber,4379))</f>
        <v/>
      </c>
      <c r="G9391" s="51"/>
      <c r="H9391" s="46" t="str">
        <f>IF(AND(I.Developer.P2a=TRUE,I.Facility.P2aFacilityCount&gt;=4379,F9391=""),"Incomplete","Complete")</f>
        <v>Complete</v>
      </c>
      <c r="I9391" s="48" t="s">
        <v>13756</v>
      </c>
    </row>
    <row r="9392" spans="2:9" ht="15" customHeight="1" x14ac:dyDescent="0.25">
      <c r="B9392" s="55" t="s">
        <v>280</v>
      </c>
      <c r="C9392" s="46">
        <v>4380</v>
      </c>
      <c r="D9392" s="69" t="s">
        <v>29417</v>
      </c>
      <c r="E9392" s="51"/>
      <c r="F9392" s="114" t="str">
        <f>IF(INDEX(I.Facility.P2aIDNumber,4380)="","",INDEX(I.Facility.P2aIDNumber,4380))</f>
        <v/>
      </c>
      <c r="G9392" s="51"/>
      <c r="H9392" s="46" t="str">
        <f>IF(AND(I.Developer.P2a=TRUE,I.Facility.P2aFacilityCount&gt;=4380,F9392=""),"Incomplete","Complete")</f>
        <v>Complete</v>
      </c>
      <c r="I9392" s="48" t="s">
        <v>13757</v>
      </c>
    </row>
    <row r="9393" spans="2:9" ht="15" customHeight="1" x14ac:dyDescent="0.25">
      <c r="B9393" s="55" t="s">
        <v>280</v>
      </c>
      <c r="C9393" s="46">
        <v>4381</v>
      </c>
      <c r="D9393" s="69" t="s">
        <v>29417</v>
      </c>
      <c r="E9393" s="51"/>
      <c r="F9393" s="114" t="str">
        <f>IF(INDEX(I.Facility.P2aIDNumber,4381)="","",INDEX(I.Facility.P2aIDNumber,4381))</f>
        <v/>
      </c>
      <c r="G9393" s="51"/>
      <c r="H9393" s="46" t="str">
        <f>IF(AND(I.Developer.P2a=TRUE,I.Facility.P2aFacilityCount&gt;=4381,F9393=""),"Incomplete","Complete")</f>
        <v>Complete</v>
      </c>
      <c r="I9393" s="48" t="s">
        <v>13758</v>
      </c>
    </row>
    <row r="9394" spans="2:9" ht="15" customHeight="1" x14ac:dyDescent="0.25">
      <c r="B9394" s="55" t="s">
        <v>280</v>
      </c>
      <c r="C9394" s="46">
        <v>4382</v>
      </c>
      <c r="D9394" s="69" t="s">
        <v>29417</v>
      </c>
      <c r="E9394" s="51"/>
      <c r="F9394" s="114" t="str">
        <f>IF(INDEX(I.Facility.P2aIDNumber,4382)="","",INDEX(I.Facility.P2aIDNumber,4382))</f>
        <v/>
      </c>
      <c r="G9394" s="51"/>
      <c r="H9394" s="46" t="str">
        <f>IF(AND(I.Developer.P2a=TRUE,I.Facility.P2aFacilityCount&gt;=4382,F9394=""),"Incomplete","Complete")</f>
        <v>Complete</v>
      </c>
      <c r="I9394" s="48" t="s">
        <v>13759</v>
      </c>
    </row>
    <row r="9395" spans="2:9" ht="15" customHeight="1" x14ac:dyDescent="0.25">
      <c r="B9395" s="55" t="s">
        <v>280</v>
      </c>
      <c r="C9395" s="46">
        <v>4383</v>
      </c>
      <c r="D9395" s="69" t="s">
        <v>29417</v>
      </c>
      <c r="E9395" s="51"/>
      <c r="F9395" s="114" t="str">
        <f>IF(INDEX(I.Facility.P2aIDNumber,4383)="","",INDEX(I.Facility.P2aIDNumber,4383))</f>
        <v/>
      </c>
      <c r="G9395" s="51"/>
      <c r="H9395" s="46" t="str">
        <f>IF(AND(I.Developer.P2a=TRUE,I.Facility.P2aFacilityCount&gt;=4383,F9395=""),"Incomplete","Complete")</f>
        <v>Complete</v>
      </c>
      <c r="I9395" s="48" t="s">
        <v>13760</v>
      </c>
    </row>
    <row r="9396" spans="2:9" ht="15" customHeight="1" x14ac:dyDescent="0.25">
      <c r="B9396" s="55" t="s">
        <v>280</v>
      </c>
      <c r="C9396" s="46">
        <v>4384</v>
      </c>
      <c r="D9396" s="69" t="s">
        <v>29417</v>
      </c>
      <c r="E9396" s="51"/>
      <c r="F9396" s="114" t="str">
        <f>IF(INDEX(I.Facility.P2aIDNumber,4384)="","",INDEX(I.Facility.P2aIDNumber,4384))</f>
        <v/>
      </c>
      <c r="G9396" s="51"/>
      <c r="H9396" s="46" t="str">
        <f>IF(AND(I.Developer.P2a=TRUE,I.Facility.P2aFacilityCount&gt;=4384,F9396=""),"Incomplete","Complete")</f>
        <v>Complete</v>
      </c>
      <c r="I9396" s="48" t="s">
        <v>13761</v>
      </c>
    </row>
    <row r="9397" spans="2:9" ht="15" customHeight="1" x14ac:dyDescent="0.25">
      <c r="B9397" s="55" t="s">
        <v>280</v>
      </c>
      <c r="C9397" s="46">
        <v>4385</v>
      </c>
      <c r="D9397" s="69" t="s">
        <v>29417</v>
      </c>
      <c r="E9397" s="51"/>
      <c r="F9397" s="114" t="str">
        <f>IF(INDEX(I.Facility.P2aIDNumber,4385)="","",INDEX(I.Facility.P2aIDNumber,4385))</f>
        <v/>
      </c>
      <c r="G9397" s="51"/>
      <c r="H9397" s="46" t="str">
        <f>IF(AND(I.Developer.P2a=TRUE,I.Facility.P2aFacilityCount&gt;=4385,F9397=""),"Incomplete","Complete")</f>
        <v>Complete</v>
      </c>
      <c r="I9397" s="48" t="s">
        <v>13762</v>
      </c>
    </row>
    <row r="9398" spans="2:9" ht="15" customHeight="1" x14ac:dyDescent="0.25">
      <c r="B9398" s="55" t="s">
        <v>280</v>
      </c>
      <c r="C9398" s="46">
        <v>4386</v>
      </c>
      <c r="D9398" s="69" t="s">
        <v>29417</v>
      </c>
      <c r="E9398" s="51"/>
      <c r="F9398" s="114" t="str">
        <f>IF(INDEX(I.Facility.P2aIDNumber,4386)="","",INDEX(I.Facility.P2aIDNumber,4386))</f>
        <v/>
      </c>
      <c r="G9398" s="51"/>
      <c r="H9398" s="46" t="str">
        <f>IF(AND(I.Developer.P2a=TRUE,I.Facility.P2aFacilityCount&gt;=4386,F9398=""),"Incomplete","Complete")</f>
        <v>Complete</v>
      </c>
      <c r="I9398" s="48" t="s">
        <v>13763</v>
      </c>
    </row>
    <row r="9399" spans="2:9" ht="15" customHeight="1" x14ac:dyDescent="0.25">
      <c r="B9399" s="55" t="s">
        <v>280</v>
      </c>
      <c r="C9399" s="46">
        <v>4387</v>
      </c>
      <c r="D9399" s="69" t="s">
        <v>29417</v>
      </c>
      <c r="E9399" s="51"/>
      <c r="F9399" s="114" t="str">
        <f>IF(INDEX(I.Facility.P2aIDNumber,4387)="","",INDEX(I.Facility.P2aIDNumber,4387))</f>
        <v/>
      </c>
      <c r="G9399" s="51"/>
      <c r="H9399" s="46" t="str">
        <f>IF(AND(I.Developer.P2a=TRUE,I.Facility.P2aFacilityCount&gt;=4387,F9399=""),"Incomplete","Complete")</f>
        <v>Complete</v>
      </c>
      <c r="I9399" s="48" t="s">
        <v>13764</v>
      </c>
    </row>
    <row r="9400" spans="2:9" ht="15" customHeight="1" x14ac:dyDescent="0.25">
      <c r="B9400" s="55" t="s">
        <v>280</v>
      </c>
      <c r="C9400" s="46">
        <v>4388</v>
      </c>
      <c r="D9400" s="69" t="s">
        <v>29417</v>
      </c>
      <c r="E9400" s="51"/>
      <c r="F9400" s="114" t="str">
        <f>IF(INDEX(I.Facility.P2aIDNumber,4388)="","",INDEX(I.Facility.P2aIDNumber,4388))</f>
        <v/>
      </c>
      <c r="G9400" s="51"/>
      <c r="H9400" s="46" t="str">
        <f>IF(AND(I.Developer.P2a=TRUE,I.Facility.P2aFacilityCount&gt;=4388,F9400=""),"Incomplete","Complete")</f>
        <v>Complete</v>
      </c>
      <c r="I9400" s="48" t="s">
        <v>13765</v>
      </c>
    </row>
    <row r="9401" spans="2:9" ht="15" customHeight="1" x14ac:dyDescent="0.25">
      <c r="B9401" s="55" t="s">
        <v>280</v>
      </c>
      <c r="C9401" s="46">
        <v>4389</v>
      </c>
      <c r="D9401" s="69" t="s">
        <v>29417</v>
      </c>
      <c r="E9401" s="51"/>
      <c r="F9401" s="114" t="str">
        <f>IF(INDEX(I.Facility.P2aIDNumber,4389)="","",INDEX(I.Facility.P2aIDNumber,4389))</f>
        <v/>
      </c>
      <c r="G9401" s="51"/>
      <c r="H9401" s="46" t="str">
        <f>IF(AND(I.Developer.P2a=TRUE,I.Facility.P2aFacilityCount&gt;=4389,F9401=""),"Incomplete","Complete")</f>
        <v>Complete</v>
      </c>
      <c r="I9401" s="48" t="s">
        <v>13766</v>
      </c>
    </row>
    <row r="9402" spans="2:9" ht="15" customHeight="1" x14ac:dyDescent="0.25">
      <c r="B9402" s="55" t="s">
        <v>280</v>
      </c>
      <c r="C9402" s="46">
        <v>4390</v>
      </c>
      <c r="D9402" s="69" t="s">
        <v>29417</v>
      </c>
      <c r="E9402" s="51"/>
      <c r="F9402" s="114" t="str">
        <f>IF(INDEX(I.Facility.P2aIDNumber,4390)="","",INDEX(I.Facility.P2aIDNumber,4390))</f>
        <v/>
      </c>
      <c r="G9402" s="51"/>
      <c r="H9402" s="46" t="str">
        <f>IF(AND(I.Developer.P2a=TRUE,I.Facility.P2aFacilityCount&gt;=4390,F9402=""),"Incomplete","Complete")</f>
        <v>Complete</v>
      </c>
      <c r="I9402" s="48" t="s">
        <v>13767</v>
      </c>
    </row>
    <row r="9403" spans="2:9" ht="15" customHeight="1" x14ac:dyDescent="0.25">
      <c r="B9403" s="55" t="s">
        <v>280</v>
      </c>
      <c r="C9403" s="46">
        <v>4391</v>
      </c>
      <c r="D9403" s="69" t="s">
        <v>29417</v>
      </c>
      <c r="E9403" s="51"/>
      <c r="F9403" s="114" t="str">
        <f>IF(INDEX(I.Facility.P2aIDNumber,4391)="","",INDEX(I.Facility.P2aIDNumber,4391))</f>
        <v/>
      </c>
      <c r="G9403" s="51"/>
      <c r="H9403" s="46" t="str">
        <f>IF(AND(I.Developer.P2a=TRUE,I.Facility.P2aFacilityCount&gt;=4391,F9403=""),"Incomplete","Complete")</f>
        <v>Complete</v>
      </c>
      <c r="I9403" s="48" t="s">
        <v>13768</v>
      </c>
    </row>
    <row r="9404" spans="2:9" ht="15" customHeight="1" x14ac:dyDescent="0.25">
      <c r="B9404" s="55" t="s">
        <v>280</v>
      </c>
      <c r="C9404" s="46">
        <v>4392</v>
      </c>
      <c r="D9404" s="69" t="s">
        <v>29417</v>
      </c>
      <c r="E9404" s="51"/>
      <c r="F9404" s="114" t="str">
        <f>IF(INDEX(I.Facility.P2aIDNumber,4392)="","",INDEX(I.Facility.P2aIDNumber,4392))</f>
        <v/>
      </c>
      <c r="G9404" s="51"/>
      <c r="H9404" s="46" t="str">
        <f>IF(AND(I.Developer.P2a=TRUE,I.Facility.P2aFacilityCount&gt;=4392,F9404=""),"Incomplete","Complete")</f>
        <v>Complete</v>
      </c>
      <c r="I9404" s="48" t="s">
        <v>13769</v>
      </c>
    </row>
    <row r="9405" spans="2:9" ht="15" customHeight="1" x14ac:dyDescent="0.25">
      <c r="B9405" s="55" t="s">
        <v>280</v>
      </c>
      <c r="C9405" s="46">
        <v>4393</v>
      </c>
      <c r="D9405" s="69" t="s">
        <v>29417</v>
      </c>
      <c r="E9405" s="51"/>
      <c r="F9405" s="114" t="str">
        <f>IF(INDEX(I.Facility.P2aIDNumber,4393)="","",INDEX(I.Facility.P2aIDNumber,4393))</f>
        <v/>
      </c>
      <c r="G9405" s="51"/>
      <c r="H9405" s="46" t="str">
        <f>IF(AND(I.Developer.P2a=TRUE,I.Facility.P2aFacilityCount&gt;=4393,F9405=""),"Incomplete","Complete")</f>
        <v>Complete</v>
      </c>
      <c r="I9405" s="48" t="s">
        <v>13770</v>
      </c>
    </row>
    <row r="9406" spans="2:9" ht="15" customHeight="1" x14ac:dyDescent="0.25">
      <c r="B9406" s="55" t="s">
        <v>280</v>
      </c>
      <c r="C9406" s="46">
        <v>4394</v>
      </c>
      <c r="D9406" s="69" t="s">
        <v>29417</v>
      </c>
      <c r="E9406" s="51"/>
      <c r="F9406" s="114" t="str">
        <f>IF(INDEX(I.Facility.P2aIDNumber,4394)="","",INDEX(I.Facility.P2aIDNumber,4394))</f>
        <v/>
      </c>
      <c r="G9406" s="51"/>
      <c r="H9406" s="46" t="str">
        <f>IF(AND(I.Developer.P2a=TRUE,I.Facility.P2aFacilityCount&gt;=4394,F9406=""),"Incomplete","Complete")</f>
        <v>Complete</v>
      </c>
      <c r="I9406" s="48" t="s">
        <v>13771</v>
      </c>
    </row>
    <row r="9407" spans="2:9" ht="15" customHeight="1" x14ac:dyDescent="0.25">
      <c r="B9407" s="55" t="s">
        <v>280</v>
      </c>
      <c r="C9407" s="46">
        <v>4395</v>
      </c>
      <c r="D9407" s="69" t="s">
        <v>29417</v>
      </c>
      <c r="E9407" s="51"/>
      <c r="F9407" s="114" t="str">
        <f>IF(INDEX(I.Facility.P2aIDNumber,4395)="","",INDEX(I.Facility.P2aIDNumber,4395))</f>
        <v/>
      </c>
      <c r="G9407" s="51"/>
      <c r="H9407" s="46" t="str">
        <f>IF(AND(I.Developer.P2a=TRUE,I.Facility.P2aFacilityCount&gt;=4395,F9407=""),"Incomplete","Complete")</f>
        <v>Complete</v>
      </c>
      <c r="I9407" s="48" t="s">
        <v>13772</v>
      </c>
    </row>
    <row r="9408" spans="2:9" ht="15" customHeight="1" x14ac:dyDescent="0.25">
      <c r="B9408" s="55" t="s">
        <v>280</v>
      </c>
      <c r="C9408" s="46">
        <v>4396</v>
      </c>
      <c r="D9408" s="69" t="s">
        <v>29417</v>
      </c>
      <c r="E9408" s="51"/>
      <c r="F9408" s="114" t="str">
        <f>IF(INDEX(I.Facility.P2aIDNumber,4396)="","",INDEX(I.Facility.P2aIDNumber,4396))</f>
        <v/>
      </c>
      <c r="G9408" s="51"/>
      <c r="H9408" s="46" t="str">
        <f>IF(AND(I.Developer.P2a=TRUE,I.Facility.P2aFacilityCount&gt;=4396,F9408=""),"Incomplete","Complete")</f>
        <v>Complete</v>
      </c>
      <c r="I9408" s="48" t="s">
        <v>13773</v>
      </c>
    </row>
    <row r="9409" spans="2:9" ht="15" customHeight="1" x14ac:dyDescent="0.25">
      <c r="B9409" s="55" t="s">
        <v>280</v>
      </c>
      <c r="C9409" s="46">
        <v>4397</v>
      </c>
      <c r="D9409" s="69" t="s">
        <v>29417</v>
      </c>
      <c r="E9409" s="51"/>
      <c r="F9409" s="114" t="str">
        <f>IF(INDEX(I.Facility.P2aIDNumber,4397)="","",INDEX(I.Facility.P2aIDNumber,4397))</f>
        <v/>
      </c>
      <c r="G9409" s="51"/>
      <c r="H9409" s="46" t="str">
        <f>IF(AND(I.Developer.P2a=TRUE,I.Facility.P2aFacilityCount&gt;=4397,F9409=""),"Incomplete","Complete")</f>
        <v>Complete</v>
      </c>
      <c r="I9409" s="48" t="s">
        <v>13774</v>
      </c>
    </row>
    <row r="9410" spans="2:9" ht="15" customHeight="1" x14ac:dyDescent="0.25">
      <c r="B9410" s="55" t="s">
        <v>280</v>
      </c>
      <c r="C9410" s="46">
        <v>4398</v>
      </c>
      <c r="D9410" s="69" t="s">
        <v>29417</v>
      </c>
      <c r="E9410" s="51"/>
      <c r="F9410" s="114" t="str">
        <f>IF(INDEX(I.Facility.P2aIDNumber,4398)="","",INDEX(I.Facility.P2aIDNumber,4398))</f>
        <v/>
      </c>
      <c r="G9410" s="51"/>
      <c r="H9410" s="46" t="str">
        <f>IF(AND(I.Developer.P2a=TRUE,I.Facility.P2aFacilityCount&gt;=4398,F9410=""),"Incomplete","Complete")</f>
        <v>Complete</v>
      </c>
      <c r="I9410" s="48" t="s">
        <v>13775</v>
      </c>
    </row>
    <row r="9411" spans="2:9" ht="15" customHeight="1" x14ac:dyDescent="0.25">
      <c r="B9411" s="55" t="s">
        <v>280</v>
      </c>
      <c r="C9411" s="46">
        <v>4399</v>
      </c>
      <c r="D9411" s="69" t="s">
        <v>29417</v>
      </c>
      <c r="E9411" s="51"/>
      <c r="F9411" s="114" t="str">
        <f>IF(INDEX(I.Facility.P2aIDNumber,4399)="","",INDEX(I.Facility.P2aIDNumber,4399))</f>
        <v/>
      </c>
      <c r="G9411" s="51"/>
      <c r="H9411" s="46" t="str">
        <f>IF(AND(I.Developer.P2a=TRUE,I.Facility.P2aFacilityCount&gt;=4399,F9411=""),"Incomplete","Complete")</f>
        <v>Complete</v>
      </c>
      <c r="I9411" s="48" t="s">
        <v>13776</v>
      </c>
    </row>
    <row r="9412" spans="2:9" ht="15" customHeight="1" x14ac:dyDescent="0.25">
      <c r="B9412" s="55" t="s">
        <v>280</v>
      </c>
      <c r="C9412" s="46">
        <v>4400</v>
      </c>
      <c r="D9412" s="69" t="s">
        <v>29417</v>
      </c>
      <c r="E9412" s="51"/>
      <c r="F9412" s="114" t="str">
        <f>IF(INDEX(I.Facility.P2aIDNumber,4400)="","",INDEX(I.Facility.P2aIDNumber,4400))</f>
        <v/>
      </c>
      <c r="G9412" s="51"/>
      <c r="H9412" s="46" t="str">
        <f>IF(AND(I.Developer.P2a=TRUE,I.Facility.P2aFacilityCount&gt;=4400,F9412=""),"Incomplete","Complete")</f>
        <v>Complete</v>
      </c>
      <c r="I9412" s="48" t="s">
        <v>13777</v>
      </c>
    </row>
    <row r="9413" spans="2:9" ht="15" customHeight="1" x14ac:dyDescent="0.25">
      <c r="B9413" s="55" t="s">
        <v>280</v>
      </c>
      <c r="C9413" s="46">
        <v>4401</v>
      </c>
      <c r="D9413" s="69" t="s">
        <v>29417</v>
      </c>
      <c r="E9413" s="51"/>
      <c r="F9413" s="114" t="str">
        <f>IF(INDEX(I.Facility.P2aIDNumber,4401)="","",INDEX(I.Facility.P2aIDNumber,4401))</f>
        <v/>
      </c>
      <c r="G9413" s="51"/>
      <c r="H9413" s="46" t="str">
        <f>IF(AND(I.Developer.P2a=TRUE,I.Facility.P2aFacilityCount&gt;=4401,F9413=""),"Incomplete","Complete")</f>
        <v>Complete</v>
      </c>
      <c r="I9413" s="48" t="s">
        <v>13778</v>
      </c>
    </row>
    <row r="9414" spans="2:9" ht="15" customHeight="1" x14ac:dyDescent="0.25">
      <c r="B9414" s="55" t="s">
        <v>280</v>
      </c>
      <c r="C9414" s="46">
        <v>4402</v>
      </c>
      <c r="D9414" s="69" t="s">
        <v>29417</v>
      </c>
      <c r="E9414" s="51"/>
      <c r="F9414" s="114" t="str">
        <f>IF(INDEX(I.Facility.P2aIDNumber,4402)="","",INDEX(I.Facility.P2aIDNumber,4402))</f>
        <v/>
      </c>
      <c r="G9414" s="51"/>
      <c r="H9414" s="46" t="str">
        <f>IF(AND(I.Developer.P2a=TRUE,I.Facility.P2aFacilityCount&gt;=4402,F9414=""),"Incomplete","Complete")</f>
        <v>Complete</v>
      </c>
      <c r="I9414" s="48" t="s">
        <v>13779</v>
      </c>
    </row>
    <row r="9415" spans="2:9" ht="15" customHeight="1" x14ac:dyDescent="0.25">
      <c r="B9415" s="55" t="s">
        <v>280</v>
      </c>
      <c r="C9415" s="46">
        <v>4403</v>
      </c>
      <c r="D9415" s="69" t="s">
        <v>29417</v>
      </c>
      <c r="E9415" s="51"/>
      <c r="F9415" s="114" t="str">
        <f>IF(INDEX(I.Facility.P2aIDNumber,4403)="","",INDEX(I.Facility.P2aIDNumber,4403))</f>
        <v/>
      </c>
      <c r="G9415" s="51"/>
      <c r="H9415" s="46" t="str">
        <f>IF(AND(I.Developer.P2a=TRUE,I.Facility.P2aFacilityCount&gt;=4403,F9415=""),"Incomplete","Complete")</f>
        <v>Complete</v>
      </c>
      <c r="I9415" s="48" t="s">
        <v>13780</v>
      </c>
    </row>
    <row r="9416" spans="2:9" ht="15" customHeight="1" x14ac:dyDescent="0.25">
      <c r="B9416" s="55" t="s">
        <v>280</v>
      </c>
      <c r="C9416" s="46">
        <v>4404</v>
      </c>
      <c r="D9416" s="69" t="s">
        <v>29417</v>
      </c>
      <c r="E9416" s="51"/>
      <c r="F9416" s="114" t="str">
        <f>IF(INDEX(I.Facility.P2aIDNumber,4404)="","",INDEX(I.Facility.P2aIDNumber,4404))</f>
        <v/>
      </c>
      <c r="G9416" s="51"/>
      <c r="H9416" s="46" t="str">
        <f>IF(AND(I.Developer.P2a=TRUE,I.Facility.P2aFacilityCount&gt;=4404,F9416=""),"Incomplete","Complete")</f>
        <v>Complete</v>
      </c>
      <c r="I9416" s="48" t="s">
        <v>13781</v>
      </c>
    </row>
    <row r="9417" spans="2:9" ht="15" customHeight="1" x14ac:dyDescent="0.25">
      <c r="B9417" s="55" t="s">
        <v>280</v>
      </c>
      <c r="C9417" s="46">
        <v>4405</v>
      </c>
      <c r="D9417" s="69" t="s">
        <v>29417</v>
      </c>
      <c r="E9417" s="51"/>
      <c r="F9417" s="114" t="str">
        <f>IF(INDEX(I.Facility.P2aIDNumber,4405)="","",INDEX(I.Facility.P2aIDNumber,4405))</f>
        <v/>
      </c>
      <c r="G9417" s="51"/>
      <c r="H9417" s="46" t="str">
        <f>IF(AND(I.Developer.P2a=TRUE,I.Facility.P2aFacilityCount&gt;=4405,F9417=""),"Incomplete","Complete")</f>
        <v>Complete</v>
      </c>
      <c r="I9417" s="48" t="s">
        <v>13782</v>
      </c>
    </row>
    <row r="9418" spans="2:9" ht="15" customHeight="1" x14ac:dyDescent="0.25">
      <c r="B9418" s="55" t="s">
        <v>280</v>
      </c>
      <c r="C9418" s="46">
        <v>4406</v>
      </c>
      <c r="D9418" s="69" t="s">
        <v>29417</v>
      </c>
      <c r="E9418" s="51"/>
      <c r="F9418" s="114" t="str">
        <f>IF(INDEX(I.Facility.P2aIDNumber,4406)="","",INDEX(I.Facility.P2aIDNumber,4406))</f>
        <v/>
      </c>
      <c r="G9418" s="51"/>
      <c r="H9418" s="46" t="str">
        <f>IF(AND(I.Developer.P2a=TRUE,I.Facility.P2aFacilityCount&gt;=4406,F9418=""),"Incomplete","Complete")</f>
        <v>Complete</v>
      </c>
      <c r="I9418" s="48" t="s">
        <v>13783</v>
      </c>
    </row>
    <row r="9419" spans="2:9" ht="15" customHeight="1" x14ac:dyDescent="0.25">
      <c r="B9419" s="55" t="s">
        <v>280</v>
      </c>
      <c r="C9419" s="46">
        <v>4407</v>
      </c>
      <c r="D9419" s="69" t="s">
        <v>29417</v>
      </c>
      <c r="E9419" s="51"/>
      <c r="F9419" s="114" t="str">
        <f>IF(INDEX(I.Facility.P2aIDNumber,4407)="","",INDEX(I.Facility.P2aIDNumber,4407))</f>
        <v/>
      </c>
      <c r="G9419" s="51"/>
      <c r="H9419" s="46" t="str">
        <f>IF(AND(I.Developer.P2a=TRUE,I.Facility.P2aFacilityCount&gt;=4407,F9419=""),"Incomplete","Complete")</f>
        <v>Complete</v>
      </c>
      <c r="I9419" s="48" t="s">
        <v>13784</v>
      </c>
    </row>
    <row r="9420" spans="2:9" ht="15" customHeight="1" x14ac:dyDescent="0.25">
      <c r="B9420" s="55" t="s">
        <v>280</v>
      </c>
      <c r="C9420" s="46">
        <v>4408</v>
      </c>
      <c r="D9420" s="69" t="s">
        <v>29417</v>
      </c>
      <c r="E9420" s="51"/>
      <c r="F9420" s="114" t="str">
        <f>IF(INDEX(I.Facility.P2aIDNumber,4408)="","",INDEX(I.Facility.P2aIDNumber,4408))</f>
        <v/>
      </c>
      <c r="G9420" s="51"/>
      <c r="H9420" s="46" t="str">
        <f>IF(AND(I.Developer.P2a=TRUE,I.Facility.P2aFacilityCount&gt;=4408,F9420=""),"Incomplete","Complete")</f>
        <v>Complete</v>
      </c>
      <c r="I9420" s="48" t="s">
        <v>13785</v>
      </c>
    </row>
    <row r="9421" spans="2:9" ht="15" customHeight="1" x14ac:dyDescent="0.25">
      <c r="B9421" s="55" t="s">
        <v>280</v>
      </c>
      <c r="C9421" s="46">
        <v>4409</v>
      </c>
      <c r="D9421" s="69" t="s">
        <v>29417</v>
      </c>
      <c r="E9421" s="51"/>
      <c r="F9421" s="114" t="str">
        <f>IF(INDEX(I.Facility.P2aIDNumber,4409)="","",INDEX(I.Facility.P2aIDNumber,4409))</f>
        <v/>
      </c>
      <c r="G9421" s="51"/>
      <c r="H9421" s="46" t="str">
        <f>IF(AND(I.Developer.P2a=TRUE,I.Facility.P2aFacilityCount&gt;=4409,F9421=""),"Incomplete","Complete")</f>
        <v>Complete</v>
      </c>
      <c r="I9421" s="48" t="s">
        <v>13786</v>
      </c>
    </row>
    <row r="9422" spans="2:9" ht="15" customHeight="1" x14ac:dyDescent="0.25">
      <c r="B9422" s="55" t="s">
        <v>280</v>
      </c>
      <c r="C9422" s="46">
        <v>4410</v>
      </c>
      <c r="D9422" s="69" t="s">
        <v>29417</v>
      </c>
      <c r="E9422" s="51"/>
      <c r="F9422" s="114" t="str">
        <f>IF(INDEX(I.Facility.P2aIDNumber,4410)="","",INDEX(I.Facility.P2aIDNumber,4410))</f>
        <v/>
      </c>
      <c r="G9422" s="51"/>
      <c r="H9422" s="46" t="str">
        <f>IF(AND(I.Developer.P2a=TRUE,I.Facility.P2aFacilityCount&gt;=4410,F9422=""),"Incomplete","Complete")</f>
        <v>Complete</v>
      </c>
      <c r="I9422" s="48" t="s">
        <v>13787</v>
      </c>
    </row>
    <row r="9423" spans="2:9" ht="15" customHeight="1" x14ac:dyDescent="0.25">
      <c r="B9423" s="55" t="s">
        <v>280</v>
      </c>
      <c r="C9423" s="46">
        <v>4411</v>
      </c>
      <c r="D9423" s="69" t="s">
        <v>29417</v>
      </c>
      <c r="E9423" s="51"/>
      <c r="F9423" s="114" t="str">
        <f>IF(INDEX(I.Facility.P2aIDNumber,4411)="","",INDEX(I.Facility.P2aIDNumber,4411))</f>
        <v/>
      </c>
      <c r="G9423" s="51"/>
      <c r="H9423" s="46" t="str">
        <f>IF(AND(I.Developer.P2a=TRUE,I.Facility.P2aFacilityCount&gt;=4411,F9423=""),"Incomplete","Complete")</f>
        <v>Complete</v>
      </c>
      <c r="I9423" s="48" t="s">
        <v>13788</v>
      </c>
    </row>
    <row r="9424" spans="2:9" ht="15" customHeight="1" x14ac:dyDescent="0.25">
      <c r="B9424" s="55" t="s">
        <v>280</v>
      </c>
      <c r="C9424" s="46">
        <v>4412</v>
      </c>
      <c r="D9424" s="69" t="s">
        <v>29417</v>
      </c>
      <c r="E9424" s="51"/>
      <c r="F9424" s="114" t="str">
        <f>IF(INDEX(I.Facility.P2aIDNumber,4412)="","",INDEX(I.Facility.P2aIDNumber,4412))</f>
        <v/>
      </c>
      <c r="G9424" s="51"/>
      <c r="H9424" s="46" t="str">
        <f>IF(AND(I.Developer.P2a=TRUE,I.Facility.P2aFacilityCount&gt;=4412,F9424=""),"Incomplete","Complete")</f>
        <v>Complete</v>
      </c>
      <c r="I9424" s="48" t="s">
        <v>13789</v>
      </c>
    </row>
    <row r="9425" spans="2:9" ht="15" customHeight="1" x14ac:dyDescent="0.25">
      <c r="B9425" s="55" t="s">
        <v>280</v>
      </c>
      <c r="C9425" s="46">
        <v>4413</v>
      </c>
      <c r="D9425" s="69" t="s">
        <v>29417</v>
      </c>
      <c r="E9425" s="51"/>
      <c r="F9425" s="114" t="str">
        <f>IF(INDEX(I.Facility.P2aIDNumber,4413)="","",INDEX(I.Facility.P2aIDNumber,4413))</f>
        <v/>
      </c>
      <c r="G9425" s="51"/>
      <c r="H9425" s="46" t="str">
        <f>IF(AND(I.Developer.P2a=TRUE,I.Facility.P2aFacilityCount&gt;=4413,F9425=""),"Incomplete","Complete")</f>
        <v>Complete</v>
      </c>
      <c r="I9425" s="48" t="s">
        <v>13790</v>
      </c>
    </row>
    <row r="9426" spans="2:9" ht="15" customHeight="1" x14ac:dyDescent="0.25">
      <c r="B9426" s="55" t="s">
        <v>280</v>
      </c>
      <c r="C9426" s="46">
        <v>4414</v>
      </c>
      <c r="D9426" s="69" t="s">
        <v>29417</v>
      </c>
      <c r="E9426" s="51"/>
      <c r="F9426" s="114" t="str">
        <f>IF(INDEX(I.Facility.P2aIDNumber,4414)="","",INDEX(I.Facility.P2aIDNumber,4414))</f>
        <v/>
      </c>
      <c r="G9426" s="51"/>
      <c r="H9426" s="46" t="str">
        <f>IF(AND(I.Developer.P2a=TRUE,I.Facility.P2aFacilityCount&gt;=4414,F9426=""),"Incomplete","Complete")</f>
        <v>Complete</v>
      </c>
      <c r="I9426" s="48" t="s">
        <v>13791</v>
      </c>
    </row>
    <row r="9427" spans="2:9" ht="15" customHeight="1" x14ac:dyDescent="0.25">
      <c r="B9427" s="55" t="s">
        <v>280</v>
      </c>
      <c r="C9427" s="46">
        <v>4415</v>
      </c>
      <c r="D9427" s="69" t="s">
        <v>29417</v>
      </c>
      <c r="E9427" s="51"/>
      <c r="F9427" s="114" t="str">
        <f>IF(INDEX(I.Facility.P2aIDNumber,4415)="","",INDEX(I.Facility.P2aIDNumber,4415))</f>
        <v/>
      </c>
      <c r="G9427" s="51"/>
      <c r="H9427" s="46" t="str">
        <f>IF(AND(I.Developer.P2a=TRUE,I.Facility.P2aFacilityCount&gt;=4415,F9427=""),"Incomplete","Complete")</f>
        <v>Complete</v>
      </c>
      <c r="I9427" s="48" t="s">
        <v>13792</v>
      </c>
    </row>
    <row r="9428" spans="2:9" ht="15" customHeight="1" x14ac:dyDescent="0.25">
      <c r="B9428" s="55" t="s">
        <v>280</v>
      </c>
      <c r="C9428" s="46">
        <v>4416</v>
      </c>
      <c r="D9428" s="69" t="s">
        <v>29417</v>
      </c>
      <c r="E9428" s="51"/>
      <c r="F9428" s="114" t="str">
        <f>IF(INDEX(I.Facility.P2aIDNumber,4416)="","",INDEX(I.Facility.P2aIDNumber,4416))</f>
        <v/>
      </c>
      <c r="G9428" s="51"/>
      <c r="H9428" s="46" t="str">
        <f>IF(AND(I.Developer.P2a=TRUE,I.Facility.P2aFacilityCount&gt;=4416,F9428=""),"Incomplete","Complete")</f>
        <v>Complete</v>
      </c>
      <c r="I9428" s="48" t="s">
        <v>13793</v>
      </c>
    </row>
    <row r="9429" spans="2:9" ht="15" customHeight="1" x14ac:dyDescent="0.25">
      <c r="B9429" s="55" t="s">
        <v>280</v>
      </c>
      <c r="C9429" s="46">
        <v>4417</v>
      </c>
      <c r="D9429" s="69" t="s">
        <v>29417</v>
      </c>
      <c r="E9429" s="51"/>
      <c r="F9429" s="114" t="str">
        <f>IF(INDEX(I.Facility.P2aIDNumber,4417)="","",INDEX(I.Facility.P2aIDNumber,4417))</f>
        <v/>
      </c>
      <c r="G9429" s="51"/>
      <c r="H9429" s="46" t="str">
        <f>IF(AND(I.Developer.P2a=TRUE,I.Facility.P2aFacilityCount&gt;=4417,F9429=""),"Incomplete","Complete")</f>
        <v>Complete</v>
      </c>
      <c r="I9429" s="48" t="s">
        <v>13794</v>
      </c>
    </row>
    <row r="9430" spans="2:9" ht="15" customHeight="1" x14ac:dyDescent="0.25">
      <c r="B9430" s="55" t="s">
        <v>280</v>
      </c>
      <c r="C9430" s="46">
        <v>4418</v>
      </c>
      <c r="D9430" s="69" t="s">
        <v>29417</v>
      </c>
      <c r="E9430" s="51"/>
      <c r="F9430" s="114" t="str">
        <f>IF(INDEX(I.Facility.P2aIDNumber,4418)="","",INDEX(I.Facility.P2aIDNumber,4418))</f>
        <v/>
      </c>
      <c r="G9430" s="51"/>
      <c r="H9430" s="46" t="str">
        <f>IF(AND(I.Developer.P2a=TRUE,I.Facility.P2aFacilityCount&gt;=4418,F9430=""),"Incomplete","Complete")</f>
        <v>Complete</v>
      </c>
      <c r="I9430" s="48" t="s">
        <v>13795</v>
      </c>
    </row>
    <row r="9431" spans="2:9" ht="15" customHeight="1" x14ac:dyDescent="0.25">
      <c r="B9431" s="55" t="s">
        <v>280</v>
      </c>
      <c r="C9431" s="46">
        <v>4419</v>
      </c>
      <c r="D9431" s="69" t="s">
        <v>29417</v>
      </c>
      <c r="E9431" s="51"/>
      <c r="F9431" s="114" t="str">
        <f>IF(INDEX(I.Facility.P2aIDNumber,4419)="","",INDEX(I.Facility.P2aIDNumber,4419))</f>
        <v/>
      </c>
      <c r="G9431" s="51"/>
      <c r="H9431" s="46" t="str">
        <f>IF(AND(I.Developer.P2a=TRUE,I.Facility.P2aFacilityCount&gt;=4419,F9431=""),"Incomplete","Complete")</f>
        <v>Complete</v>
      </c>
      <c r="I9431" s="48" t="s">
        <v>13796</v>
      </c>
    </row>
    <row r="9432" spans="2:9" ht="15" customHeight="1" x14ac:dyDescent="0.25">
      <c r="B9432" s="55" t="s">
        <v>280</v>
      </c>
      <c r="C9432" s="46">
        <v>4420</v>
      </c>
      <c r="D9432" s="69" t="s">
        <v>29417</v>
      </c>
      <c r="E9432" s="51"/>
      <c r="F9432" s="114" t="str">
        <f>IF(INDEX(I.Facility.P2aIDNumber,4420)="","",INDEX(I.Facility.P2aIDNumber,4420))</f>
        <v/>
      </c>
      <c r="G9432" s="51"/>
      <c r="H9432" s="46" t="str">
        <f>IF(AND(I.Developer.P2a=TRUE,I.Facility.P2aFacilityCount&gt;=4420,F9432=""),"Incomplete","Complete")</f>
        <v>Complete</v>
      </c>
      <c r="I9432" s="48" t="s">
        <v>13797</v>
      </c>
    </row>
    <row r="9433" spans="2:9" ht="15" customHeight="1" x14ac:dyDescent="0.25">
      <c r="B9433" s="55" t="s">
        <v>280</v>
      </c>
      <c r="C9433" s="46">
        <v>4421</v>
      </c>
      <c r="D9433" s="69" t="s">
        <v>29417</v>
      </c>
      <c r="E9433" s="51"/>
      <c r="F9433" s="114" t="str">
        <f>IF(INDEX(I.Facility.P2aIDNumber,4421)="","",INDEX(I.Facility.P2aIDNumber,4421))</f>
        <v/>
      </c>
      <c r="G9433" s="51"/>
      <c r="H9433" s="46" t="str">
        <f>IF(AND(I.Developer.P2a=TRUE,I.Facility.P2aFacilityCount&gt;=4421,F9433=""),"Incomplete","Complete")</f>
        <v>Complete</v>
      </c>
      <c r="I9433" s="48" t="s">
        <v>13798</v>
      </c>
    </row>
    <row r="9434" spans="2:9" ht="15" customHeight="1" x14ac:dyDescent="0.25">
      <c r="B9434" s="55" t="s">
        <v>280</v>
      </c>
      <c r="C9434" s="46">
        <v>4422</v>
      </c>
      <c r="D9434" s="69" t="s">
        <v>29417</v>
      </c>
      <c r="E9434" s="51"/>
      <c r="F9434" s="114" t="str">
        <f>IF(INDEX(I.Facility.P2aIDNumber,4422)="","",INDEX(I.Facility.P2aIDNumber,4422))</f>
        <v/>
      </c>
      <c r="G9434" s="51"/>
      <c r="H9434" s="46" t="str">
        <f>IF(AND(I.Developer.P2a=TRUE,I.Facility.P2aFacilityCount&gt;=4422,F9434=""),"Incomplete","Complete")</f>
        <v>Complete</v>
      </c>
      <c r="I9434" s="48" t="s">
        <v>13799</v>
      </c>
    </row>
    <row r="9435" spans="2:9" ht="15" customHeight="1" x14ac:dyDescent="0.25">
      <c r="B9435" s="55" t="s">
        <v>280</v>
      </c>
      <c r="C9435" s="46">
        <v>4423</v>
      </c>
      <c r="D9435" s="69" t="s">
        <v>29417</v>
      </c>
      <c r="E9435" s="51"/>
      <c r="F9435" s="114" t="str">
        <f>IF(INDEX(I.Facility.P2aIDNumber,4423)="","",INDEX(I.Facility.P2aIDNumber,4423))</f>
        <v/>
      </c>
      <c r="G9435" s="51"/>
      <c r="H9435" s="46" t="str">
        <f>IF(AND(I.Developer.P2a=TRUE,I.Facility.P2aFacilityCount&gt;=4423,F9435=""),"Incomplete","Complete")</f>
        <v>Complete</v>
      </c>
      <c r="I9435" s="48" t="s">
        <v>13800</v>
      </c>
    </row>
    <row r="9436" spans="2:9" ht="15" customHeight="1" x14ac:dyDescent="0.25">
      <c r="B9436" s="55" t="s">
        <v>280</v>
      </c>
      <c r="C9436" s="46">
        <v>4424</v>
      </c>
      <c r="D9436" s="69" t="s">
        <v>29417</v>
      </c>
      <c r="E9436" s="51"/>
      <c r="F9436" s="114" t="str">
        <f>IF(INDEX(I.Facility.P2aIDNumber,4424)="","",INDEX(I.Facility.P2aIDNumber,4424))</f>
        <v/>
      </c>
      <c r="G9436" s="51"/>
      <c r="H9436" s="46" t="str">
        <f>IF(AND(I.Developer.P2a=TRUE,I.Facility.P2aFacilityCount&gt;=4424,F9436=""),"Incomplete","Complete")</f>
        <v>Complete</v>
      </c>
      <c r="I9436" s="48" t="s">
        <v>13801</v>
      </c>
    </row>
    <row r="9437" spans="2:9" ht="15" customHeight="1" x14ac:dyDescent="0.25">
      <c r="B9437" s="55" t="s">
        <v>280</v>
      </c>
      <c r="C9437" s="46">
        <v>4425</v>
      </c>
      <c r="D9437" s="69" t="s">
        <v>29417</v>
      </c>
      <c r="E9437" s="51"/>
      <c r="F9437" s="114" t="str">
        <f>IF(INDEX(I.Facility.P2aIDNumber,4425)="","",INDEX(I.Facility.P2aIDNumber,4425))</f>
        <v/>
      </c>
      <c r="G9437" s="51"/>
      <c r="H9437" s="46" t="str">
        <f>IF(AND(I.Developer.P2a=TRUE,I.Facility.P2aFacilityCount&gt;=4425,F9437=""),"Incomplete","Complete")</f>
        <v>Complete</v>
      </c>
      <c r="I9437" s="48" t="s">
        <v>13802</v>
      </c>
    </row>
    <row r="9438" spans="2:9" ht="15" customHeight="1" x14ac:dyDescent="0.25">
      <c r="B9438" s="55" t="s">
        <v>280</v>
      </c>
      <c r="C9438" s="46">
        <v>4426</v>
      </c>
      <c r="D9438" s="69" t="s">
        <v>29417</v>
      </c>
      <c r="E9438" s="51"/>
      <c r="F9438" s="114" t="str">
        <f>IF(INDEX(I.Facility.P2aIDNumber,4426)="","",INDEX(I.Facility.P2aIDNumber,4426))</f>
        <v/>
      </c>
      <c r="G9438" s="51"/>
      <c r="H9438" s="46" t="str">
        <f>IF(AND(I.Developer.P2a=TRUE,I.Facility.P2aFacilityCount&gt;=4426,F9438=""),"Incomplete","Complete")</f>
        <v>Complete</v>
      </c>
      <c r="I9438" s="48" t="s">
        <v>13803</v>
      </c>
    </row>
    <row r="9439" spans="2:9" ht="15" customHeight="1" x14ac:dyDescent="0.25">
      <c r="B9439" s="55" t="s">
        <v>280</v>
      </c>
      <c r="C9439" s="46">
        <v>4427</v>
      </c>
      <c r="D9439" s="69" t="s">
        <v>29417</v>
      </c>
      <c r="E9439" s="51"/>
      <c r="F9439" s="114" t="str">
        <f>IF(INDEX(I.Facility.P2aIDNumber,4427)="","",INDEX(I.Facility.P2aIDNumber,4427))</f>
        <v/>
      </c>
      <c r="G9439" s="51"/>
      <c r="H9439" s="46" t="str">
        <f>IF(AND(I.Developer.P2a=TRUE,I.Facility.P2aFacilityCount&gt;=4427,F9439=""),"Incomplete","Complete")</f>
        <v>Complete</v>
      </c>
      <c r="I9439" s="48" t="s">
        <v>13804</v>
      </c>
    </row>
    <row r="9440" spans="2:9" ht="15" customHeight="1" x14ac:dyDescent="0.25">
      <c r="B9440" s="55" t="s">
        <v>280</v>
      </c>
      <c r="C9440" s="46">
        <v>4428</v>
      </c>
      <c r="D9440" s="69" t="s">
        <v>29417</v>
      </c>
      <c r="E9440" s="51"/>
      <c r="F9440" s="114" t="str">
        <f>IF(INDEX(I.Facility.P2aIDNumber,4428)="","",INDEX(I.Facility.P2aIDNumber,4428))</f>
        <v/>
      </c>
      <c r="G9440" s="51"/>
      <c r="H9440" s="46" t="str">
        <f>IF(AND(I.Developer.P2a=TRUE,I.Facility.P2aFacilityCount&gt;=4428,F9440=""),"Incomplete","Complete")</f>
        <v>Complete</v>
      </c>
      <c r="I9440" s="48" t="s">
        <v>13805</v>
      </c>
    </row>
    <row r="9441" spans="2:9" ht="15" customHeight="1" x14ac:dyDescent="0.25">
      <c r="B9441" s="55" t="s">
        <v>280</v>
      </c>
      <c r="C9441" s="46">
        <v>4429</v>
      </c>
      <c r="D9441" s="69" t="s">
        <v>29417</v>
      </c>
      <c r="E9441" s="51"/>
      <c r="F9441" s="114" t="str">
        <f>IF(INDEX(I.Facility.P2aIDNumber,4429)="","",INDEX(I.Facility.P2aIDNumber,4429))</f>
        <v/>
      </c>
      <c r="G9441" s="51"/>
      <c r="H9441" s="46" t="str">
        <f>IF(AND(I.Developer.P2a=TRUE,I.Facility.P2aFacilityCount&gt;=4429,F9441=""),"Incomplete","Complete")</f>
        <v>Complete</v>
      </c>
      <c r="I9441" s="48" t="s">
        <v>13806</v>
      </c>
    </row>
    <row r="9442" spans="2:9" ht="15" customHeight="1" x14ac:dyDescent="0.25">
      <c r="B9442" s="55" t="s">
        <v>280</v>
      </c>
      <c r="C9442" s="46">
        <v>4430</v>
      </c>
      <c r="D9442" s="69" t="s">
        <v>29417</v>
      </c>
      <c r="E9442" s="51"/>
      <c r="F9442" s="114" t="str">
        <f>IF(INDEX(I.Facility.P2aIDNumber,4430)="","",INDEX(I.Facility.P2aIDNumber,4430))</f>
        <v/>
      </c>
      <c r="G9442" s="51"/>
      <c r="H9442" s="46" t="str">
        <f>IF(AND(I.Developer.P2a=TRUE,I.Facility.P2aFacilityCount&gt;=4430,F9442=""),"Incomplete","Complete")</f>
        <v>Complete</v>
      </c>
      <c r="I9442" s="48" t="s">
        <v>13807</v>
      </c>
    </row>
    <row r="9443" spans="2:9" ht="15" customHeight="1" x14ac:dyDescent="0.25">
      <c r="B9443" s="55" t="s">
        <v>280</v>
      </c>
      <c r="C9443" s="46">
        <v>4431</v>
      </c>
      <c r="D9443" s="69" t="s">
        <v>29417</v>
      </c>
      <c r="E9443" s="51"/>
      <c r="F9443" s="114" t="str">
        <f>IF(INDEX(I.Facility.P2aIDNumber,4431)="","",INDEX(I.Facility.P2aIDNumber,4431))</f>
        <v/>
      </c>
      <c r="G9443" s="51"/>
      <c r="H9443" s="46" t="str">
        <f>IF(AND(I.Developer.P2a=TRUE,I.Facility.P2aFacilityCount&gt;=4431,F9443=""),"Incomplete","Complete")</f>
        <v>Complete</v>
      </c>
      <c r="I9443" s="48" t="s">
        <v>13808</v>
      </c>
    </row>
    <row r="9444" spans="2:9" ht="15" customHeight="1" x14ac:dyDescent="0.25">
      <c r="B9444" s="55" t="s">
        <v>280</v>
      </c>
      <c r="C9444" s="46">
        <v>4432</v>
      </c>
      <c r="D9444" s="69" t="s">
        <v>29417</v>
      </c>
      <c r="E9444" s="51"/>
      <c r="F9444" s="114" t="str">
        <f>IF(INDEX(I.Facility.P2aIDNumber,4432)="","",INDEX(I.Facility.P2aIDNumber,4432))</f>
        <v/>
      </c>
      <c r="G9444" s="51"/>
      <c r="H9444" s="46" t="str">
        <f>IF(AND(I.Developer.P2a=TRUE,I.Facility.P2aFacilityCount&gt;=4432,F9444=""),"Incomplete","Complete")</f>
        <v>Complete</v>
      </c>
      <c r="I9444" s="48" t="s">
        <v>13809</v>
      </c>
    </row>
    <row r="9445" spans="2:9" ht="15" customHeight="1" x14ac:dyDescent="0.25">
      <c r="B9445" s="55" t="s">
        <v>280</v>
      </c>
      <c r="C9445" s="46">
        <v>4433</v>
      </c>
      <c r="D9445" s="69" t="s">
        <v>29417</v>
      </c>
      <c r="E9445" s="51"/>
      <c r="F9445" s="114" t="str">
        <f>IF(INDEX(I.Facility.P2aIDNumber,4433)="","",INDEX(I.Facility.P2aIDNumber,4433))</f>
        <v/>
      </c>
      <c r="G9445" s="51"/>
      <c r="H9445" s="46" t="str">
        <f>IF(AND(I.Developer.P2a=TRUE,I.Facility.P2aFacilityCount&gt;=4433,F9445=""),"Incomplete","Complete")</f>
        <v>Complete</v>
      </c>
      <c r="I9445" s="48" t="s">
        <v>13810</v>
      </c>
    </row>
    <row r="9446" spans="2:9" ht="15" customHeight="1" x14ac:dyDescent="0.25">
      <c r="B9446" s="55" t="s">
        <v>280</v>
      </c>
      <c r="C9446" s="46">
        <v>4434</v>
      </c>
      <c r="D9446" s="69" t="s">
        <v>29417</v>
      </c>
      <c r="E9446" s="51"/>
      <c r="F9446" s="114" t="str">
        <f>IF(INDEX(I.Facility.P2aIDNumber,4434)="","",INDEX(I.Facility.P2aIDNumber,4434))</f>
        <v/>
      </c>
      <c r="G9446" s="51"/>
      <c r="H9446" s="46" t="str">
        <f>IF(AND(I.Developer.P2a=TRUE,I.Facility.P2aFacilityCount&gt;=4434,F9446=""),"Incomplete","Complete")</f>
        <v>Complete</v>
      </c>
      <c r="I9446" s="48" t="s">
        <v>13811</v>
      </c>
    </row>
    <row r="9447" spans="2:9" ht="15" customHeight="1" x14ac:dyDescent="0.25">
      <c r="B9447" s="55" t="s">
        <v>280</v>
      </c>
      <c r="C9447" s="46">
        <v>4435</v>
      </c>
      <c r="D9447" s="69" t="s">
        <v>29417</v>
      </c>
      <c r="E9447" s="51"/>
      <c r="F9447" s="114" t="str">
        <f>IF(INDEX(I.Facility.P2aIDNumber,4435)="","",INDEX(I.Facility.P2aIDNumber,4435))</f>
        <v/>
      </c>
      <c r="G9447" s="51"/>
      <c r="H9447" s="46" t="str">
        <f>IF(AND(I.Developer.P2a=TRUE,I.Facility.P2aFacilityCount&gt;=4435,F9447=""),"Incomplete","Complete")</f>
        <v>Complete</v>
      </c>
      <c r="I9447" s="48" t="s">
        <v>13812</v>
      </c>
    </row>
    <row r="9448" spans="2:9" ht="15" customHeight="1" x14ac:dyDescent="0.25">
      <c r="B9448" s="55" t="s">
        <v>280</v>
      </c>
      <c r="C9448" s="46">
        <v>4436</v>
      </c>
      <c r="D9448" s="69" t="s">
        <v>29417</v>
      </c>
      <c r="E9448" s="51"/>
      <c r="F9448" s="114" t="str">
        <f>IF(INDEX(I.Facility.P2aIDNumber,4436)="","",INDEX(I.Facility.P2aIDNumber,4436))</f>
        <v/>
      </c>
      <c r="G9448" s="51"/>
      <c r="H9448" s="46" t="str">
        <f>IF(AND(I.Developer.P2a=TRUE,I.Facility.P2aFacilityCount&gt;=4436,F9448=""),"Incomplete","Complete")</f>
        <v>Complete</v>
      </c>
      <c r="I9448" s="48" t="s">
        <v>13813</v>
      </c>
    </row>
    <row r="9449" spans="2:9" ht="15" customHeight="1" x14ac:dyDescent="0.25">
      <c r="B9449" s="55" t="s">
        <v>280</v>
      </c>
      <c r="C9449" s="46">
        <v>4437</v>
      </c>
      <c r="D9449" s="69" t="s">
        <v>29417</v>
      </c>
      <c r="E9449" s="51"/>
      <c r="F9449" s="114" t="str">
        <f>IF(INDEX(I.Facility.P2aIDNumber,4437)="","",INDEX(I.Facility.P2aIDNumber,4437))</f>
        <v/>
      </c>
      <c r="G9449" s="51"/>
      <c r="H9449" s="46" t="str">
        <f>IF(AND(I.Developer.P2a=TRUE,I.Facility.P2aFacilityCount&gt;=4437,F9449=""),"Incomplete","Complete")</f>
        <v>Complete</v>
      </c>
      <c r="I9449" s="48" t="s">
        <v>13814</v>
      </c>
    </row>
    <row r="9450" spans="2:9" ht="15" customHeight="1" x14ac:dyDescent="0.25">
      <c r="B9450" s="55" t="s">
        <v>280</v>
      </c>
      <c r="C9450" s="46">
        <v>4438</v>
      </c>
      <c r="D9450" s="69" t="s">
        <v>29417</v>
      </c>
      <c r="E9450" s="51"/>
      <c r="F9450" s="114" t="str">
        <f>IF(INDEX(I.Facility.P2aIDNumber,4438)="","",INDEX(I.Facility.P2aIDNumber,4438))</f>
        <v/>
      </c>
      <c r="G9450" s="51"/>
      <c r="H9450" s="46" t="str">
        <f>IF(AND(I.Developer.P2a=TRUE,I.Facility.P2aFacilityCount&gt;=4438,F9450=""),"Incomplete","Complete")</f>
        <v>Complete</v>
      </c>
      <c r="I9450" s="48" t="s">
        <v>13815</v>
      </c>
    </row>
    <row r="9451" spans="2:9" ht="15" customHeight="1" x14ac:dyDescent="0.25">
      <c r="B9451" s="55" t="s">
        <v>280</v>
      </c>
      <c r="C9451" s="46">
        <v>4439</v>
      </c>
      <c r="D9451" s="69" t="s">
        <v>29417</v>
      </c>
      <c r="E9451" s="51"/>
      <c r="F9451" s="114" t="str">
        <f>IF(INDEX(I.Facility.P2aIDNumber,4439)="","",INDEX(I.Facility.P2aIDNumber,4439))</f>
        <v/>
      </c>
      <c r="G9451" s="51"/>
      <c r="H9451" s="46" t="str">
        <f>IF(AND(I.Developer.P2a=TRUE,I.Facility.P2aFacilityCount&gt;=4439,F9451=""),"Incomplete","Complete")</f>
        <v>Complete</v>
      </c>
      <c r="I9451" s="48" t="s">
        <v>13816</v>
      </c>
    </row>
    <row r="9452" spans="2:9" ht="15" customHeight="1" x14ac:dyDescent="0.25">
      <c r="B9452" s="55" t="s">
        <v>280</v>
      </c>
      <c r="C9452" s="46">
        <v>4440</v>
      </c>
      <c r="D9452" s="69" t="s">
        <v>29417</v>
      </c>
      <c r="E9452" s="51"/>
      <c r="F9452" s="114" t="str">
        <f>IF(INDEX(I.Facility.P2aIDNumber,4440)="","",INDEX(I.Facility.P2aIDNumber,4440))</f>
        <v/>
      </c>
      <c r="G9452" s="51"/>
      <c r="H9452" s="46" t="str">
        <f>IF(AND(I.Developer.P2a=TRUE,I.Facility.P2aFacilityCount&gt;=4440,F9452=""),"Incomplete","Complete")</f>
        <v>Complete</v>
      </c>
      <c r="I9452" s="48" t="s">
        <v>13817</v>
      </c>
    </row>
    <row r="9453" spans="2:9" ht="15" customHeight="1" x14ac:dyDescent="0.25">
      <c r="B9453" s="55" t="s">
        <v>280</v>
      </c>
      <c r="C9453" s="46">
        <v>4441</v>
      </c>
      <c r="D9453" s="69" t="s">
        <v>29417</v>
      </c>
      <c r="E9453" s="51"/>
      <c r="F9453" s="114" t="str">
        <f>IF(INDEX(I.Facility.P2aIDNumber,4441)="","",INDEX(I.Facility.P2aIDNumber,4441))</f>
        <v/>
      </c>
      <c r="G9453" s="51"/>
      <c r="H9453" s="46" t="str">
        <f>IF(AND(I.Developer.P2a=TRUE,I.Facility.P2aFacilityCount&gt;=4441,F9453=""),"Incomplete","Complete")</f>
        <v>Complete</v>
      </c>
      <c r="I9453" s="48" t="s">
        <v>13818</v>
      </c>
    </row>
    <row r="9454" spans="2:9" ht="15" customHeight="1" x14ac:dyDescent="0.25">
      <c r="B9454" s="55" t="s">
        <v>280</v>
      </c>
      <c r="C9454" s="46">
        <v>4442</v>
      </c>
      <c r="D9454" s="69" t="s">
        <v>29417</v>
      </c>
      <c r="E9454" s="51"/>
      <c r="F9454" s="114" t="str">
        <f>IF(INDEX(I.Facility.P2aIDNumber,4442)="","",INDEX(I.Facility.P2aIDNumber,4442))</f>
        <v/>
      </c>
      <c r="G9454" s="51"/>
      <c r="H9454" s="46" t="str">
        <f>IF(AND(I.Developer.P2a=TRUE,I.Facility.P2aFacilityCount&gt;=4442,F9454=""),"Incomplete","Complete")</f>
        <v>Complete</v>
      </c>
      <c r="I9454" s="48" t="s">
        <v>13819</v>
      </c>
    </row>
    <row r="9455" spans="2:9" ht="15" customHeight="1" x14ac:dyDescent="0.25">
      <c r="B9455" s="55" t="s">
        <v>280</v>
      </c>
      <c r="C9455" s="46">
        <v>4443</v>
      </c>
      <c r="D9455" s="69" t="s">
        <v>29417</v>
      </c>
      <c r="E9455" s="51"/>
      <c r="F9455" s="114" t="str">
        <f>IF(INDEX(I.Facility.P2aIDNumber,4443)="","",INDEX(I.Facility.P2aIDNumber,4443))</f>
        <v/>
      </c>
      <c r="G9455" s="51"/>
      <c r="H9455" s="46" t="str">
        <f>IF(AND(I.Developer.P2a=TRUE,I.Facility.P2aFacilityCount&gt;=4443,F9455=""),"Incomplete","Complete")</f>
        <v>Complete</v>
      </c>
      <c r="I9455" s="48" t="s">
        <v>13820</v>
      </c>
    </row>
    <row r="9456" spans="2:9" ht="15" customHeight="1" x14ac:dyDescent="0.25">
      <c r="B9456" s="55" t="s">
        <v>280</v>
      </c>
      <c r="C9456" s="46">
        <v>4444</v>
      </c>
      <c r="D9456" s="69" t="s">
        <v>29417</v>
      </c>
      <c r="E9456" s="51"/>
      <c r="F9456" s="114" t="str">
        <f>IF(INDEX(I.Facility.P2aIDNumber,4444)="","",INDEX(I.Facility.P2aIDNumber,4444))</f>
        <v/>
      </c>
      <c r="G9456" s="51"/>
      <c r="H9456" s="46" t="str">
        <f>IF(AND(I.Developer.P2a=TRUE,I.Facility.P2aFacilityCount&gt;=4444,F9456=""),"Incomplete","Complete")</f>
        <v>Complete</v>
      </c>
      <c r="I9456" s="48" t="s">
        <v>13821</v>
      </c>
    </row>
    <row r="9457" spans="2:9" ht="15" customHeight="1" x14ac:dyDescent="0.25">
      <c r="B9457" s="55" t="s">
        <v>280</v>
      </c>
      <c r="C9457" s="46">
        <v>4445</v>
      </c>
      <c r="D9457" s="69" t="s">
        <v>29417</v>
      </c>
      <c r="E9457" s="51"/>
      <c r="F9457" s="114" t="str">
        <f>IF(INDEX(I.Facility.P2aIDNumber,4445)="","",INDEX(I.Facility.P2aIDNumber,4445))</f>
        <v/>
      </c>
      <c r="G9457" s="51"/>
      <c r="H9457" s="46" t="str">
        <f>IF(AND(I.Developer.P2a=TRUE,I.Facility.P2aFacilityCount&gt;=4445,F9457=""),"Incomplete","Complete")</f>
        <v>Complete</v>
      </c>
      <c r="I9457" s="48" t="s">
        <v>13822</v>
      </c>
    </row>
    <row r="9458" spans="2:9" ht="15" customHeight="1" x14ac:dyDescent="0.25">
      <c r="B9458" s="55" t="s">
        <v>280</v>
      </c>
      <c r="C9458" s="46">
        <v>4446</v>
      </c>
      <c r="D9458" s="69" t="s">
        <v>29417</v>
      </c>
      <c r="E9458" s="51"/>
      <c r="F9458" s="114" t="str">
        <f>IF(INDEX(I.Facility.P2aIDNumber,4446)="","",INDEX(I.Facility.P2aIDNumber,4446))</f>
        <v/>
      </c>
      <c r="G9458" s="51"/>
      <c r="H9458" s="46" t="str">
        <f>IF(AND(I.Developer.P2a=TRUE,I.Facility.P2aFacilityCount&gt;=4446,F9458=""),"Incomplete","Complete")</f>
        <v>Complete</v>
      </c>
      <c r="I9458" s="48" t="s">
        <v>13823</v>
      </c>
    </row>
    <row r="9459" spans="2:9" ht="15" customHeight="1" x14ac:dyDescent="0.25">
      <c r="B9459" s="55" t="s">
        <v>280</v>
      </c>
      <c r="C9459" s="46">
        <v>4447</v>
      </c>
      <c r="D9459" s="69" t="s">
        <v>29417</v>
      </c>
      <c r="E9459" s="51"/>
      <c r="F9459" s="114" t="str">
        <f>IF(INDEX(I.Facility.P2aIDNumber,4447)="","",INDEX(I.Facility.P2aIDNumber,4447))</f>
        <v/>
      </c>
      <c r="G9459" s="51"/>
      <c r="H9459" s="46" t="str">
        <f>IF(AND(I.Developer.P2a=TRUE,I.Facility.P2aFacilityCount&gt;=4447,F9459=""),"Incomplete","Complete")</f>
        <v>Complete</v>
      </c>
      <c r="I9459" s="48" t="s">
        <v>13824</v>
      </c>
    </row>
    <row r="9460" spans="2:9" ht="15" customHeight="1" x14ac:dyDescent="0.25">
      <c r="B9460" s="55" t="s">
        <v>280</v>
      </c>
      <c r="C9460" s="46">
        <v>4448</v>
      </c>
      <c r="D9460" s="69" t="s">
        <v>29417</v>
      </c>
      <c r="E9460" s="51"/>
      <c r="F9460" s="114" t="str">
        <f>IF(INDEX(I.Facility.P2aIDNumber,4448)="","",INDEX(I.Facility.P2aIDNumber,4448))</f>
        <v/>
      </c>
      <c r="G9460" s="51"/>
      <c r="H9460" s="46" t="str">
        <f>IF(AND(I.Developer.P2a=TRUE,I.Facility.P2aFacilityCount&gt;=4448,F9460=""),"Incomplete","Complete")</f>
        <v>Complete</v>
      </c>
      <c r="I9460" s="48" t="s">
        <v>13825</v>
      </c>
    </row>
    <row r="9461" spans="2:9" ht="15" customHeight="1" x14ac:dyDescent="0.25">
      <c r="B9461" s="55" t="s">
        <v>280</v>
      </c>
      <c r="C9461" s="46">
        <v>4449</v>
      </c>
      <c r="D9461" s="69" t="s">
        <v>29417</v>
      </c>
      <c r="E9461" s="51"/>
      <c r="F9461" s="114" t="str">
        <f>IF(INDEX(I.Facility.P2aIDNumber,4449)="","",INDEX(I.Facility.P2aIDNumber,4449))</f>
        <v/>
      </c>
      <c r="G9461" s="51"/>
      <c r="H9461" s="46" t="str">
        <f>IF(AND(I.Developer.P2a=TRUE,I.Facility.P2aFacilityCount&gt;=4449,F9461=""),"Incomplete","Complete")</f>
        <v>Complete</v>
      </c>
      <c r="I9461" s="48" t="s">
        <v>13826</v>
      </c>
    </row>
    <row r="9462" spans="2:9" ht="15" customHeight="1" x14ac:dyDescent="0.25">
      <c r="B9462" s="55" t="s">
        <v>280</v>
      </c>
      <c r="C9462" s="46">
        <v>4450</v>
      </c>
      <c r="D9462" s="69" t="s">
        <v>29417</v>
      </c>
      <c r="E9462" s="51"/>
      <c r="F9462" s="114" t="str">
        <f>IF(INDEX(I.Facility.P2aIDNumber,4450)="","",INDEX(I.Facility.P2aIDNumber,4450))</f>
        <v/>
      </c>
      <c r="G9462" s="51"/>
      <c r="H9462" s="46" t="str">
        <f>IF(AND(I.Developer.P2a=TRUE,I.Facility.P2aFacilityCount&gt;=4450,F9462=""),"Incomplete","Complete")</f>
        <v>Complete</v>
      </c>
      <c r="I9462" s="48" t="s">
        <v>13827</v>
      </c>
    </row>
    <row r="9463" spans="2:9" ht="15" customHeight="1" x14ac:dyDescent="0.25">
      <c r="B9463" s="55" t="s">
        <v>280</v>
      </c>
      <c r="C9463" s="46">
        <v>4451</v>
      </c>
      <c r="D9463" s="69" t="s">
        <v>29417</v>
      </c>
      <c r="E9463" s="51"/>
      <c r="F9463" s="114" t="str">
        <f>IF(INDEX(I.Facility.P2aIDNumber,4451)="","",INDEX(I.Facility.P2aIDNumber,4451))</f>
        <v/>
      </c>
      <c r="G9463" s="51"/>
      <c r="H9463" s="46" t="str">
        <f>IF(AND(I.Developer.P2a=TRUE,I.Facility.P2aFacilityCount&gt;=4451,F9463=""),"Incomplete","Complete")</f>
        <v>Complete</v>
      </c>
      <c r="I9463" s="48" t="s">
        <v>13828</v>
      </c>
    </row>
    <row r="9464" spans="2:9" ht="15" customHeight="1" x14ac:dyDescent="0.25">
      <c r="B9464" s="55" t="s">
        <v>280</v>
      </c>
      <c r="C9464" s="46">
        <v>4452</v>
      </c>
      <c r="D9464" s="69" t="s">
        <v>29417</v>
      </c>
      <c r="E9464" s="51"/>
      <c r="F9464" s="114" t="str">
        <f>IF(INDEX(I.Facility.P2aIDNumber,4452)="","",INDEX(I.Facility.P2aIDNumber,4452))</f>
        <v/>
      </c>
      <c r="G9464" s="51"/>
      <c r="H9464" s="46" t="str">
        <f>IF(AND(I.Developer.P2a=TRUE,I.Facility.P2aFacilityCount&gt;=4452,F9464=""),"Incomplete","Complete")</f>
        <v>Complete</v>
      </c>
      <c r="I9464" s="48" t="s">
        <v>13829</v>
      </c>
    </row>
    <row r="9465" spans="2:9" ht="15" customHeight="1" x14ac:dyDescent="0.25">
      <c r="B9465" s="55" t="s">
        <v>280</v>
      </c>
      <c r="C9465" s="46">
        <v>4453</v>
      </c>
      <c r="D9465" s="69" t="s">
        <v>29417</v>
      </c>
      <c r="E9465" s="51"/>
      <c r="F9465" s="114" t="str">
        <f>IF(INDEX(I.Facility.P2aIDNumber,4453)="","",INDEX(I.Facility.P2aIDNumber,4453))</f>
        <v/>
      </c>
      <c r="G9465" s="51"/>
      <c r="H9465" s="46" t="str">
        <f>IF(AND(I.Developer.P2a=TRUE,I.Facility.P2aFacilityCount&gt;=4453,F9465=""),"Incomplete","Complete")</f>
        <v>Complete</v>
      </c>
      <c r="I9465" s="48" t="s">
        <v>13830</v>
      </c>
    </row>
    <row r="9466" spans="2:9" ht="15" customHeight="1" x14ac:dyDescent="0.25">
      <c r="B9466" s="55" t="s">
        <v>280</v>
      </c>
      <c r="C9466" s="46">
        <v>4454</v>
      </c>
      <c r="D9466" s="69" t="s">
        <v>29417</v>
      </c>
      <c r="E9466" s="51"/>
      <c r="F9466" s="114" t="str">
        <f>IF(INDEX(I.Facility.P2aIDNumber,4454)="","",INDEX(I.Facility.P2aIDNumber,4454))</f>
        <v/>
      </c>
      <c r="G9466" s="51"/>
      <c r="H9466" s="46" t="str">
        <f>IF(AND(I.Developer.P2a=TRUE,I.Facility.P2aFacilityCount&gt;=4454,F9466=""),"Incomplete","Complete")</f>
        <v>Complete</v>
      </c>
      <c r="I9466" s="48" t="s">
        <v>13831</v>
      </c>
    </row>
    <row r="9467" spans="2:9" ht="15" customHeight="1" x14ac:dyDescent="0.25">
      <c r="B9467" s="55" t="s">
        <v>280</v>
      </c>
      <c r="C9467" s="46">
        <v>4455</v>
      </c>
      <c r="D9467" s="69" t="s">
        <v>29417</v>
      </c>
      <c r="E9467" s="51"/>
      <c r="F9467" s="114" t="str">
        <f>IF(INDEX(I.Facility.P2aIDNumber,4455)="","",INDEX(I.Facility.P2aIDNumber,4455))</f>
        <v/>
      </c>
      <c r="G9467" s="51"/>
      <c r="H9467" s="46" t="str">
        <f>IF(AND(I.Developer.P2a=TRUE,I.Facility.P2aFacilityCount&gt;=4455,F9467=""),"Incomplete","Complete")</f>
        <v>Complete</v>
      </c>
      <c r="I9467" s="48" t="s">
        <v>13832</v>
      </c>
    </row>
    <row r="9468" spans="2:9" ht="15" customHeight="1" x14ac:dyDescent="0.25">
      <c r="B9468" s="55" t="s">
        <v>280</v>
      </c>
      <c r="C9468" s="46">
        <v>4456</v>
      </c>
      <c r="D9468" s="69" t="s">
        <v>29417</v>
      </c>
      <c r="E9468" s="51"/>
      <c r="F9468" s="114" t="str">
        <f>IF(INDEX(I.Facility.P2aIDNumber,4456)="","",INDEX(I.Facility.P2aIDNumber,4456))</f>
        <v/>
      </c>
      <c r="G9468" s="51"/>
      <c r="H9468" s="46" t="str">
        <f>IF(AND(I.Developer.P2a=TRUE,I.Facility.P2aFacilityCount&gt;=4456,F9468=""),"Incomplete","Complete")</f>
        <v>Complete</v>
      </c>
      <c r="I9468" s="48" t="s">
        <v>13833</v>
      </c>
    </row>
    <row r="9469" spans="2:9" ht="15" customHeight="1" x14ac:dyDescent="0.25">
      <c r="B9469" s="55" t="s">
        <v>280</v>
      </c>
      <c r="C9469" s="46">
        <v>4457</v>
      </c>
      <c r="D9469" s="69" t="s">
        <v>29417</v>
      </c>
      <c r="E9469" s="51"/>
      <c r="F9469" s="114" t="str">
        <f>IF(INDEX(I.Facility.P2aIDNumber,4457)="","",INDEX(I.Facility.P2aIDNumber,4457))</f>
        <v/>
      </c>
      <c r="G9469" s="51"/>
      <c r="H9469" s="46" t="str">
        <f>IF(AND(I.Developer.P2a=TRUE,I.Facility.P2aFacilityCount&gt;=4457,F9469=""),"Incomplete","Complete")</f>
        <v>Complete</v>
      </c>
      <c r="I9469" s="48" t="s">
        <v>13834</v>
      </c>
    </row>
    <row r="9470" spans="2:9" ht="15" customHeight="1" x14ac:dyDescent="0.25">
      <c r="B9470" s="55" t="s">
        <v>280</v>
      </c>
      <c r="C9470" s="46">
        <v>4458</v>
      </c>
      <c r="D9470" s="69" t="s">
        <v>29417</v>
      </c>
      <c r="E9470" s="51"/>
      <c r="F9470" s="114" t="str">
        <f>IF(INDEX(I.Facility.P2aIDNumber,4458)="","",INDEX(I.Facility.P2aIDNumber,4458))</f>
        <v/>
      </c>
      <c r="G9470" s="51"/>
      <c r="H9470" s="46" t="str">
        <f>IF(AND(I.Developer.P2a=TRUE,I.Facility.P2aFacilityCount&gt;=4458,F9470=""),"Incomplete","Complete")</f>
        <v>Complete</v>
      </c>
      <c r="I9470" s="48" t="s">
        <v>13835</v>
      </c>
    </row>
    <row r="9471" spans="2:9" ht="15" customHeight="1" x14ac:dyDescent="0.25">
      <c r="B9471" s="55" t="s">
        <v>280</v>
      </c>
      <c r="C9471" s="46">
        <v>4459</v>
      </c>
      <c r="D9471" s="69" t="s">
        <v>29417</v>
      </c>
      <c r="E9471" s="51"/>
      <c r="F9471" s="114" t="str">
        <f>IF(INDEX(I.Facility.P2aIDNumber,4459)="","",INDEX(I.Facility.P2aIDNumber,4459))</f>
        <v/>
      </c>
      <c r="G9471" s="51"/>
      <c r="H9471" s="46" t="str">
        <f>IF(AND(I.Developer.P2a=TRUE,I.Facility.P2aFacilityCount&gt;=4459,F9471=""),"Incomplete","Complete")</f>
        <v>Complete</v>
      </c>
      <c r="I9471" s="48" t="s">
        <v>13836</v>
      </c>
    </row>
    <row r="9472" spans="2:9" ht="15" customHeight="1" x14ac:dyDescent="0.25">
      <c r="B9472" s="55" t="s">
        <v>280</v>
      </c>
      <c r="C9472" s="46">
        <v>4460</v>
      </c>
      <c r="D9472" s="69" t="s">
        <v>29417</v>
      </c>
      <c r="E9472" s="51"/>
      <c r="F9472" s="114" t="str">
        <f>IF(INDEX(I.Facility.P2aIDNumber,4460)="","",INDEX(I.Facility.P2aIDNumber,4460))</f>
        <v/>
      </c>
      <c r="G9472" s="51"/>
      <c r="H9472" s="46" t="str">
        <f>IF(AND(I.Developer.P2a=TRUE,I.Facility.P2aFacilityCount&gt;=4460,F9472=""),"Incomplete","Complete")</f>
        <v>Complete</v>
      </c>
      <c r="I9472" s="48" t="s">
        <v>13837</v>
      </c>
    </row>
    <row r="9473" spans="2:9" ht="15" customHeight="1" x14ac:dyDescent="0.25">
      <c r="B9473" s="55" t="s">
        <v>280</v>
      </c>
      <c r="C9473" s="46">
        <v>4461</v>
      </c>
      <c r="D9473" s="69" t="s">
        <v>29417</v>
      </c>
      <c r="E9473" s="51"/>
      <c r="F9473" s="114" t="str">
        <f>IF(INDEX(I.Facility.P2aIDNumber,4461)="","",INDEX(I.Facility.P2aIDNumber,4461))</f>
        <v/>
      </c>
      <c r="G9473" s="51"/>
      <c r="H9473" s="46" t="str">
        <f>IF(AND(I.Developer.P2a=TRUE,I.Facility.P2aFacilityCount&gt;=4461,F9473=""),"Incomplete","Complete")</f>
        <v>Complete</v>
      </c>
      <c r="I9473" s="48" t="s">
        <v>13838</v>
      </c>
    </row>
    <row r="9474" spans="2:9" ht="15" customHeight="1" x14ac:dyDescent="0.25">
      <c r="B9474" s="55" t="s">
        <v>280</v>
      </c>
      <c r="C9474" s="46">
        <v>4462</v>
      </c>
      <c r="D9474" s="69" t="s">
        <v>29417</v>
      </c>
      <c r="E9474" s="51"/>
      <c r="F9474" s="114" t="str">
        <f>IF(INDEX(I.Facility.P2aIDNumber,4462)="","",INDEX(I.Facility.P2aIDNumber,4462))</f>
        <v/>
      </c>
      <c r="G9474" s="51"/>
      <c r="H9474" s="46" t="str">
        <f>IF(AND(I.Developer.P2a=TRUE,I.Facility.P2aFacilityCount&gt;=4462,F9474=""),"Incomplete","Complete")</f>
        <v>Complete</v>
      </c>
      <c r="I9474" s="48" t="s">
        <v>13839</v>
      </c>
    </row>
    <row r="9475" spans="2:9" ht="15" customHeight="1" x14ac:dyDescent="0.25">
      <c r="B9475" s="55" t="s">
        <v>280</v>
      </c>
      <c r="C9475" s="46">
        <v>4463</v>
      </c>
      <c r="D9475" s="69" t="s">
        <v>29417</v>
      </c>
      <c r="E9475" s="51"/>
      <c r="F9475" s="114" t="str">
        <f>IF(INDEX(I.Facility.P2aIDNumber,4463)="","",INDEX(I.Facility.P2aIDNumber,4463))</f>
        <v/>
      </c>
      <c r="G9475" s="51"/>
      <c r="H9475" s="46" t="str">
        <f>IF(AND(I.Developer.P2a=TRUE,I.Facility.P2aFacilityCount&gt;=4463,F9475=""),"Incomplete","Complete")</f>
        <v>Complete</v>
      </c>
      <c r="I9475" s="48" t="s">
        <v>13840</v>
      </c>
    </row>
    <row r="9476" spans="2:9" ht="15" customHeight="1" x14ac:dyDescent="0.25">
      <c r="B9476" s="55" t="s">
        <v>280</v>
      </c>
      <c r="C9476" s="46">
        <v>4464</v>
      </c>
      <c r="D9476" s="69" t="s">
        <v>29417</v>
      </c>
      <c r="E9476" s="51"/>
      <c r="F9476" s="114" t="str">
        <f>IF(INDEX(I.Facility.P2aIDNumber,4464)="","",INDEX(I.Facility.P2aIDNumber,4464))</f>
        <v/>
      </c>
      <c r="G9476" s="51"/>
      <c r="H9476" s="46" t="str">
        <f>IF(AND(I.Developer.P2a=TRUE,I.Facility.P2aFacilityCount&gt;=4464,F9476=""),"Incomplete","Complete")</f>
        <v>Complete</v>
      </c>
      <c r="I9476" s="48" t="s">
        <v>13841</v>
      </c>
    </row>
    <row r="9477" spans="2:9" ht="15" customHeight="1" x14ac:dyDescent="0.25">
      <c r="B9477" s="55" t="s">
        <v>280</v>
      </c>
      <c r="C9477" s="46">
        <v>4465</v>
      </c>
      <c r="D9477" s="69" t="s">
        <v>29417</v>
      </c>
      <c r="E9477" s="51"/>
      <c r="F9477" s="114" t="str">
        <f>IF(INDEX(I.Facility.P2aIDNumber,4465)="","",INDEX(I.Facility.P2aIDNumber,4465))</f>
        <v/>
      </c>
      <c r="G9477" s="51"/>
      <c r="H9477" s="46" t="str">
        <f>IF(AND(I.Developer.P2a=TRUE,I.Facility.P2aFacilityCount&gt;=4465,F9477=""),"Incomplete","Complete")</f>
        <v>Complete</v>
      </c>
      <c r="I9477" s="48" t="s">
        <v>13842</v>
      </c>
    </row>
    <row r="9478" spans="2:9" ht="15" customHeight="1" x14ac:dyDescent="0.25">
      <c r="B9478" s="55" t="s">
        <v>280</v>
      </c>
      <c r="C9478" s="46">
        <v>4466</v>
      </c>
      <c r="D9478" s="69" t="s">
        <v>29417</v>
      </c>
      <c r="E9478" s="51"/>
      <c r="F9478" s="114" t="str">
        <f>IF(INDEX(I.Facility.P2aIDNumber,4466)="","",INDEX(I.Facility.P2aIDNumber,4466))</f>
        <v/>
      </c>
      <c r="G9478" s="51"/>
      <c r="H9478" s="46" t="str">
        <f>IF(AND(I.Developer.P2a=TRUE,I.Facility.P2aFacilityCount&gt;=4466,F9478=""),"Incomplete","Complete")</f>
        <v>Complete</v>
      </c>
      <c r="I9478" s="48" t="s">
        <v>13843</v>
      </c>
    </row>
    <row r="9479" spans="2:9" ht="15" customHeight="1" x14ac:dyDescent="0.25">
      <c r="B9479" s="55" t="s">
        <v>280</v>
      </c>
      <c r="C9479" s="46">
        <v>4467</v>
      </c>
      <c r="D9479" s="69" t="s">
        <v>29417</v>
      </c>
      <c r="E9479" s="51"/>
      <c r="F9479" s="114" t="str">
        <f>IF(INDEX(I.Facility.P2aIDNumber,4467)="","",INDEX(I.Facility.P2aIDNumber,4467))</f>
        <v/>
      </c>
      <c r="G9479" s="51"/>
      <c r="H9479" s="46" t="str">
        <f>IF(AND(I.Developer.P2a=TRUE,I.Facility.P2aFacilityCount&gt;=4467,F9479=""),"Incomplete","Complete")</f>
        <v>Complete</v>
      </c>
      <c r="I9479" s="48" t="s">
        <v>13844</v>
      </c>
    </row>
    <row r="9480" spans="2:9" ht="15" customHeight="1" x14ac:dyDescent="0.25">
      <c r="B9480" s="55" t="s">
        <v>280</v>
      </c>
      <c r="C9480" s="46">
        <v>4468</v>
      </c>
      <c r="D9480" s="69" t="s">
        <v>29417</v>
      </c>
      <c r="E9480" s="51"/>
      <c r="F9480" s="114" t="str">
        <f>IF(INDEX(I.Facility.P2aIDNumber,4468)="","",INDEX(I.Facility.P2aIDNumber,4468))</f>
        <v/>
      </c>
      <c r="G9480" s="51"/>
      <c r="H9480" s="46" t="str">
        <f>IF(AND(I.Developer.P2a=TRUE,I.Facility.P2aFacilityCount&gt;=4468,F9480=""),"Incomplete","Complete")</f>
        <v>Complete</v>
      </c>
      <c r="I9480" s="48" t="s">
        <v>13845</v>
      </c>
    </row>
    <row r="9481" spans="2:9" ht="15" customHeight="1" x14ac:dyDescent="0.25">
      <c r="B9481" s="55" t="s">
        <v>280</v>
      </c>
      <c r="C9481" s="46">
        <v>4469</v>
      </c>
      <c r="D9481" s="69" t="s">
        <v>29417</v>
      </c>
      <c r="E9481" s="51"/>
      <c r="F9481" s="114" t="str">
        <f>IF(INDEX(I.Facility.P2aIDNumber,4469)="","",INDEX(I.Facility.P2aIDNumber,4469))</f>
        <v/>
      </c>
      <c r="G9481" s="51"/>
      <c r="H9481" s="46" t="str">
        <f>IF(AND(I.Developer.P2a=TRUE,I.Facility.P2aFacilityCount&gt;=4469,F9481=""),"Incomplete","Complete")</f>
        <v>Complete</v>
      </c>
      <c r="I9481" s="48" t="s">
        <v>13846</v>
      </c>
    </row>
    <row r="9482" spans="2:9" ht="15" customHeight="1" x14ac:dyDescent="0.25">
      <c r="B9482" s="55" t="s">
        <v>280</v>
      </c>
      <c r="C9482" s="46">
        <v>4470</v>
      </c>
      <c r="D9482" s="69" t="s">
        <v>29417</v>
      </c>
      <c r="E9482" s="51"/>
      <c r="F9482" s="114" t="str">
        <f>IF(INDEX(I.Facility.P2aIDNumber,4470)="","",INDEX(I.Facility.P2aIDNumber,4470))</f>
        <v/>
      </c>
      <c r="G9482" s="51"/>
      <c r="H9482" s="46" t="str">
        <f>IF(AND(I.Developer.P2a=TRUE,I.Facility.P2aFacilityCount&gt;=4470,F9482=""),"Incomplete","Complete")</f>
        <v>Complete</v>
      </c>
      <c r="I9482" s="48" t="s">
        <v>13847</v>
      </c>
    </row>
    <row r="9483" spans="2:9" ht="15" customHeight="1" x14ac:dyDescent="0.25">
      <c r="B9483" s="55" t="s">
        <v>280</v>
      </c>
      <c r="C9483" s="46">
        <v>4471</v>
      </c>
      <c r="D9483" s="69" t="s">
        <v>29417</v>
      </c>
      <c r="E9483" s="51"/>
      <c r="F9483" s="114" t="str">
        <f>IF(INDEX(I.Facility.P2aIDNumber,4471)="","",INDEX(I.Facility.P2aIDNumber,4471))</f>
        <v/>
      </c>
      <c r="G9483" s="51"/>
      <c r="H9483" s="46" t="str">
        <f>IF(AND(I.Developer.P2a=TRUE,I.Facility.P2aFacilityCount&gt;=4471,F9483=""),"Incomplete","Complete")</f>
        <v>Complete</v>
      </c>
      <c r="I9483" s="48" t="s">
        <v>13848</v>
      </c>
    </row>
    <row r="9484" spans="2:9" ht="15" customHeight="1" x14ac:dyDescent="0.25">
      <c r="B9484" s="55" t="s">
        <v>280</v>
      </c>
      <c r="C9484" s="46">
        <v>4472</v>
      </c>
      <c r="D9484" s="69" t="s">
        <v>29417</v>
      </c>
      <c r="E9484" s="51"/>
      <c r="F9484" s="114" t="str">
        <f>IF(INDEX(I.Facility.P2aIDNumber,4472)="","",INDEX(I.Facility.P2aIDNumber,4472))</f>
        <v/>
      </c>
      <c r="G9484" s="51"/>
      <c r="H9484" s="46" t="str">
        <f>IF(AND(I.Developer.P2a=TRUE,I.Facility.P2aFacilityCount&gt;=4472,F9484=""),"Incomplete","Complete")</f>
        <v>Complete</v>
      </c>
      <c r="I9484" s="48" t="s">
        <v>13849</v>
      </c>
    </row>
    <row r="9485" spans="2:9" ht="15" customHeight="1" x14ac:dyDescent="0.25">
      <c r="B9485" s="55" t="s">
        <v>280</v>
      </c>
      <c r="C9485" s="46">
        <v>4473</v>
      </c>
      <c r="D9485" s="69" t="s">
        <v>29417</v>
      </c>
      <c r="E9485" s="51"/>
      <c r="F9485" s="114" t="str">
        <f>IF(INDEX(I.Facility.P2aIDNumber,4473)="","",INDEX(I.Facility.P2aIDNumber,4473))</f>
        <v/>
      </c>
      <c r="G9485" s="51"/>
      <c r="H9485" s="46" t="str">
        <f>IF(AND(I.Developer.P2a=TRUE,I.Facility.P2aFacilityCount&gt;=4473,F9485=""),"Incomplete","Complete")</f>
        <v>Complete</v>
      </c>
      <c r="I9485" s="48" t="s">
        <v>13850</v>
      </c>
    </row>
    <row r="9486" spans="2:9" ht="15" customHeight="1" x14ac:dyDescent="0.25">
      <c r="B9486" s="55" t="s">
        <v>280</v>
      </c>
      <c r="C9486" s="46">
        <v>4474</v>
      </c>
      <c r="D9486" s="69" t="s">
        <v>29417</v>
      </c>
      <c r="E9486" s="51"/>
      <c r="F9486" s="114" t="str">
        <f>IF(INDEX(I.Facility.P2aIDNumber,4474)="","",INDEX(I.Facility.P2aIDNumber,4474))</f>
        <v/>
      </c>
      <c r="G9486" s="51"/>
      <c r="H9486" s="46" t="str">
        <f>IF(AND(I.Developer.P2a=TRUE,I.Facility.P2aFacilityCount&gt;=4474,F9486=""),"Incomplete","Complete")</f>
        <v>Complete</v>
      </c>
      <c r="I9486" s="48" t="s">
        <v>13851</v>
      </c>
    </row>
    <row r="9487" spans="2:9" ht="15" customHeight="1" x14ac:dyDescent="0.25">
      <c r="B9487" s="55" t="s">
        <v>280</v>
      </c>
      <c r="C9487" s="46">
        <v>4475</v>
      </c>
      <c r="D9487" s="69" t="s">
        <v>29417</v>
      </c>
      <c r="E9487" s="51"/>
      <c r="F9487" s="114" t="str">
        <f>IF(INDEX(I.Facility.P2aIDNumber,4475)="","",INDEX(I.Facility.P2aIDNumber,4475))</f>
        <v/>
      </c>
      <c r="G9487" s="51"/>
      <c r="H9487" s="46" t="str">
        <f>IF(AND(I.Developer.P2a=TRUE,I.Facility.P2aFacilityCount&gt;=4475,F9487=""),"Incomplete","Complete")</f>
        <v>Complete</v>
      </c>
      <c r="I9487" s="48" t="s">
        <v>13852</v>
      </c>
    </row>
    <row r="9488" spans="2:9" ht="15" customHeight="1" x14ac:dyDescent="0.25">
      <c r="B9488" s="55" t="s">
        <v>280</v>
      </c>
      <c r="C9488" s="46">
        <v>4476</v>
      </c>
      <c r="D9488" s="69" t="s">
        <v>29417</v>
      </c>
      <c r="E9488" s="51"/>
      <c r="F9488" s="114" t="str">
        <f>IF(INDEX(I.Facility.P2aIDNumber,4476)="","",INDEX(I.Facility.P2aIDNumber,4476))</f>
        <v/>
      </c>
      <c r="G9488" s="51"/>
      <c r="H9488" s="46" t="str">
        <f>IF(AND(I.Developer.P2a=TRUE,I.Facility.P2aFacilityCount&gt;=4476,F9488=""),"Incomplete","Complete")</f>
        <v>Complete</v>
      </c>
      <c r="I9488" s="48" t="s">
        <v>13853</v>
      </c>
    </row>
    <row r="9489" spans="2:9" ht="15" customHeight="1" x14ac:dyDescent="0.25">
      <c r="B9489" s="55" t="s">
        <v>280</v>
      </c>
      <c r="C9489" s="46">
        <v>4477</v>
      </c>
      <c r="D9489" s="69" t="s">
        <v>29417</v>
      </c>
      <c r="E9489" s="51"/>
      <c r="F9489" s="114" t="str">
        <f>IF(INDEX(I.Facility.P2aIDNumber,4477)="","",INDEX(I.Facility.P2aIDNumber,4477))</f>
        <v/>
      </c>
      <c r="G9489" s="51"/>
      <c r="H9489" s="46" t="str">
        <f>IF(AND(I.Developer.P2a=TRUE,I.Facility.P2aFacilityCount&gt;=4477,F9489=""),"Incomplete","Complete")</f>
        <v>Complete</v>
      </c>
      <c r="I9489" s="48" t="s">
        <v>13854</v>
      </c>
    </row>
    <row r="9490" spans="2:9" ht="15" customHeight="1" x14ac:dyDescent="0.25">
      <c r="B9490" s="55" t="s">
        <v>280</v>
      </c>
      <c r="C9490" s="46">
        <v>4478</v>
      </c>
      <c r="D9490" s="69" t="s">
        <v>29417</v>
      </c>
      <c r="E9490" s="51"/>
      <c r="F9490" s="114" t="str">
        <f>IF(INDEX(I.Facility.P2aIDNumber,4478)="","",INDEX(I.Facility.P2aIDNumber,4478))</f>
        <v/>
      </c>
      <c r="G9490" s="51"/>
      <c r="H9490" s="46" t="str">
        <f>IF(AND(I.Developer.P2a=TRUE,I.Facility.P2aFacilityCount&gt;=4478,F9490=""),"Incomplete","Complete")</f>
        <v>Complete</v>
      </c>
      <c r="I9490" s="48" t="s">
        <v>13855</v>
      </c>
    </row>
    <row r="9491" spans="2:9" ht="15" customHeight="1" x14ac:dyDescent="0.25">
      <c r="B9491" s="55" t="s">
        <v>280</v>
      </c>
      <c r="C9491" s="46">
        <v>4479</v>
      </c>
      <c r="D9491" s="69" t="s">
        <v>29417</v>
      </c>
      <c r="E9491" s="51"/>
      <c r="F9491" s="114" t="str">
        <f>IF(INDEX(I.Facility.P2aIDNumber,4479)="","",INDEX(I.Facility.P2aIDNumber,4479))</f>
        <v/>
      </c>
      <c r="G9491" s="51"/>
      <c r="H9491" s="46" t="str">
        <f>IF(AND(I.Developer.P2a=TRUE,I.Facility.P2aFacilityCount&gt;=4479,F9491=""),"Incomplete","Complete")</f>
        <v>Complete</v>
      </c>
      <c r="I9491" s="48" t="s">
        <v>13856</v>
      </c>
    </row>
    <row r="9492" spans="2:9" ht="15" customHeight="1" x14ac:dyDescent="0.25">
      <c r="B9492" s="55" t="s">
        <v>280</v>
      </c>
      <c r="C9492" s="46">
        <v>4480</v>
      </c>
      <c r="D9492" s="69" t="s">
        <v>29417</v>
      </c>
      <c r="E9492" s="51"/>
      <c r="F9492" s="114" t="str">
        <f>IF(INDEX(I.Facility.P2aIDNumber,4480)="","",INDEX(I.Facility.P2aIDNumber,4480))</f>
        <v/>
      </c>
      <c r="G9492" s="51"/>
      <c r="H9492" s="46" t="str">
        <f>IF(AND(I.Developer.P2a=TRUE,I.Facility.P2aFacilityCount&gt;=4480,F9492=""),"Incomplete","Complete")</f>
        <v>Complete</v>
      </c>
      <c r="I9492" s="48" t="s">
        <v>13857</v>
      </c>
    </row>
    <row r="9493" spans="2:9" ht="15" customHeight="1" x14ac:dyDescent="0.25">
      <c r="B9493" s="55" t="s">
        <v>280</v>
      </c>
      <c r="C9493" s="46">
        <v>4481</v>
      </c>
      <c r="D9493" s="69" t="s">
        <v>29417</v>
      </c>
      <c r="E9493" s="51"/>
      <c r="F9493" s="114" t="str">
        <f>IF(INDEX(I.Facility.P2aIDNumber,4481)="","",INDEX(I.Facility.P2aIDNumber,4481))</f>
        <v/>
      </c>
      <c r="G9493" s="51"/>
      <c r="H9493" s="46" t="str">
        <f>IF(AND(I.Developer.P2a=TRUE,I.Facility.P2aFacilityCount&gt;=4481,F9493=""),"Incomplete","Complete")</f>
        <v>Complete</v>
      </c>
      <c r="I9493" s="48" t="s">
        <v>13858</v>
      </c>
    </row>
    <row r="9494" spans="2:9" ht="15" customHeight="1" x14ac:dyDescent="0.25">
      <c r="B9494" s="55" t="s">
        <v>280</v>
      </c>
      <c r="C9494" s="46">
        <v>4482</v>
      </c>
      <c r="D9494" s="69" t="s">
        <v>29417</v>
      </c>
      <c r="E9494" s="51"/>
      <c r="F9494" s="114" t="str">
        <f>IF(INDEX(I.Facility.P2aIDNumber,4482)="","",INDEX(I.Facility.P2aIDNumber,4482))</f>
        <v/>
      </c>
      <c r="G9494" s="51"/>
      <c r="H9494" s="46" t="str">
        <f>IF(AND(I.Developer.P2a=TRUE,I.Facility.P2aFacilityCount&gt;=4482,F9494=""),"Incomplete","Complete")</f>
        <v>Complete</v>
      </c>
      <c r="I9494" s="48" t="s">
        <v>13859</v>
      </c>
    </row>
    <row r="9495" spans="2:9" ht="15" customHeight="1" x14ac:dyDescent="0.25">
      <c r="B9495" s="55" t="s">
        <v>280</v>
      </c>
      <c r="C9495" s="46">
        <v>4483</v>
      </c>
      <c r="D9495" s="69" t="s">
        <v>29417</v>
      </c>
      <c r="E9495" s="51"/>
      <c r="F9495" s="114" t="str">
        <f>IF(INDEX(I.Facility.P2aIDNumber,4483)="","",INDEX(I.Facility.P2aIDNumber,4483))</f>
        <v/>
      </c>
      <c r="G9495" s="51"/>
      <c r="H9495" s="46" t="str">
        <f>IF(AND(I.Developer.P2a=TRUE,I.Facility.P2aFacilityCount&gt;=4483,F9495=""),"Incomplete","Complete")</f>
        <v>Complete</v>
      </c>
      <c r="I9495" s="48" t="s">
        <v>13860</v>
      </c>
    </row>
    <row r="9496" spans="2:9" ht="15" customHeight="1" x14ac:dyDescent="0.25">
      <c r="B9496" s="55" t="s">
        <v>280</v>
      </c>
      <c r="C9496" s="46">
        <v>4484</v>
      </c>
      <c r="D9496" s="69" t="s">
        <v>29417</v>
      </c>
      <c r="E9496" s="51"/>
      <c r="F9496" s="114" t="str">
        <f>IF(INDEX(I.Facility.P2aIDNumber,4484)="","",INDEX(I.Facility.P2aIDNumber,4484))</f>
        <v/>
      </c>
      <c r="G9496" s="51"/>
      <c r="H9496" s="46" t="str">
        <f>IF(AND(I.Developer.P2a=TRUE,I.Facility.P2aFacilityCount&gt;=4484,F9496=""),"Incomplete","Complete")</f>
        <v>Complete</v>
      </c>
      <c r="I9496" s="48" t="s">
        <v>13861</v>
      </c>
    </row>
    <row r="9497" spans="2:9" ht="15" customHeight="1" x14ac:dyDescent="0.25">
      <c r="B9497" s="55" t="s">
        <v>280</v>
      </c>
      <c r="C9497" s="46">
        <v>4485</v>
      </c>
      <c r="D9497" s="69" t="s">
        <v>29417</v>
      </c>
      <c r="E9497" s="51"/>
      <c r="F9497" s="114" t="str">
        <f>IF(INDEX(I.Facility.P2aIDNumber,4485)="","",INDEX(I.Facility.P2aIDNumber,4485))</f>
        <v/>
      </c>
      <c r="G9497" s="51"/>
      <c r="H9497" s="46" t="str">
        <f>IF(AND(I.Developer.P2a=TRUE,I.Facility.P2aFacilityCount&gt;=4485,F9497=""),"Incomplete","Complete")</f>
        <v>Complete</v>
      </c>
      <c r="I9497" s="48" t="s">
        <v>13862</v>
      </c>
    </row>
    <row r="9498" spans="2:9" ht="15" customHeight="1" x14ac:dyDescent="0.25">
      <c r="B9498" s="55" t="s">
        <v>280</v>
      </c>
      <c r="C9498" s="46">
        <v>4486</v>
      </c>
      <c r="D9498" s="69" t="s">
        <v>29417</v>
      </c>
      <c r="E9498" s="51"/>
      <c r="F9498" s="114" t="str">
        <f>IF(INDEX(I.Facility.P2aIDNumber,4486)="","",INDEX(I.Facility.P2aIDNumber,4486))</f>
        <v/>
      </c>
      <c r="G9498" s="51"/>
      <c r="H9498" s="46" t="str">
        <f>IF(AND(I.Developer.P2a=TRUE,I.Facility.P2aFacilityCount&gt;=4486,F9498=""),"Incomplete","Complete")</f>
        <v>Complete</v>
      </c>
      <c r="I9498" s="48" t="s">
        <v>13863</v>
      </c>
    </row>
    <row r="9499" spans="2:9" ht="15" customHeight="1" x14ac:dyDescent="0.25">
      <c r="B9499" s="55" t="s">
        <v>280</v>
      </c>
      <c r="C9499" s="46">
        <v>4487</v>
      </c>
      <c r="D9499" s="69" t="s">
        <v>29417</v>
      </c>
      <c r="E9499" s="51"/>
      <c r="F9499" s="114" t="str">
        <f>IF(INDEX(I.Facility.P2aIDNumber,4487)="","",INDEX(I.Facility.P2aIDNumber,4487))</f>
        <v/>
      </c>
      <c r="G9499" s="51"/>
      <c r="H9499" s="46" t="str">
        <f>IF(AND(I.Developer.P2a=TRUE,I.Facility.P2aFacilityCount&gt;=4487,F9499=""),"Incomplete","Complete")</f>
        <v>Complete</v>
      </c>
      <c r="I9499" s="48" t="s">
        <v>13864</v>
      </c>
    </row>
    <row r="9500" spans="2:9" ht="15" customHeight="1" x14ac:dyDescent="0.25">
      <c r="B9500" s="55" t="s">
        <v>280</v>
      </c>
      <c r="C9500" s="46">
        <v>4488</v>
      </c>
      <c r="D9500" s="69" t="s">
        <v>29417</v>
      </c>
      <c r="E9500" s="51"/>
      <c r="F9500" s="114" t="str">
        <f>IF(INDEX(I.Facility.P2aIDNumber,4488)="","",INDEX(I.Facility.P2aIDNumber,4488))</f>
        <v/>
      </c>
      <c r="G9500" s="51"/>
      <c r="H9500" s="46" t="str">
        <f>IF(AND(I.Developer.P2a=TRUE,I.Facility.P2aFacilityCount&gt;=4488,F9500=""),"Incomplete","Complete")</f>
        <v>Complete</v>
      </c>
      <c r="I9500" s="48" t="s">
        <v>13865</v>
      </c>
    </row>
    <row r="9501" spans="2:9" ht="15" customHeight="1" x14ac:dyDescent="0.25">
      <c r="B9501" s="55" t="s">
        <v>280</v>
      </c>
      <c r="C9501" s="46">
        <v>4489</v>
      </c>
      <c r="D9501" s="69" t="s">
        <v>29417</v>
      </c>
      <c r="E9501" s="51"/>
      <c r="F9501" s="114" t="str">
        <f>IF(INDEX(I.Facility.P2aIDNumber,4489)="","",INDEX(I.Facility.P2aIDNumber,4489))</f>
        <v/>
      </c>
      <c r="G9501" s="51"/>
      <c r="H9501" s="46" t="str">
        <f>IF(AND(I.Developer.P2a=TRUE,I.Facility.P2aFacilityCount&gt;=4489,F9501=""),"Incomplete","Complete")</f>
        <v>Complete</v>
      </c>
      <c r="I9501" s="48" t="s">
        <v>13866</v>
      </c>
    </row>
    <row r="9502" spans="2:9" ht="15" customHeight="1" x14ac:dyDescent="0.25">
      <c r="B9502" s="55" t="s">
        <v>280</v>
      </c>
      <c r="C9502" s="46">
        <v>4490</v>
      </c>
      <c r="D9502" s="69" t="s">
        <v>29417</v>
      </c>
      <c r="E9502" s="51"/>
      <c r="F9502" s="114" t="str">
        <f>IF(INDEX(I.Facility.P2aIDNumber,4490)="","",INDEX(I.Facility.P2aIDNumber,4490))</f>
        <v/>
      </c>
      <c r="G9502" s="51"/>
      <c r="H9502" s="46" t="str">
        <f>IF(AND(I.Developer.P2a=TRUE,I.Facility.P2aFacilityCount&gt;=4490,F9502=""),"Incomplete","Complete")</f>
        <v>Complete</v>
      </c>
      <c r="I9502" s="48" t="s">
        <v>13867</v>
      </c>
    </row>
    <row r="9503" spans="2:9" ht="15" customHeight="1" x14ac:dyDescent="0.25">
      <c r="B9503" s="55" t="s">
        <v>280</v>
      </c>
      <c r="C9503" s="46">
        <v>4491</v>
      </c>
      <c r="D9503" s="69" t="s">
        <v>29417</v>
      </c>
      <c r="E9503" s="51"/>
      <c r="F9503" s="114" t="str">
        <f>IF(INDEX(I.Facility.P2aIDNumber,4491)="","",INDEX(I.Facility.P2aIDNumber,4491))</f>
        <v/>
      </c>
      <c r="G9503" s="51"/>
      <c r="H9503" s="46" t="str">
        <f>IF(AND(I.Developer.P2a=TRUE,I.Facility.P2aFacilityCount&gt;=4491,F9503=""),"Incomplete","Complete")</f>
        <v>Complete</v>
      </c>
      <c r="I9503" s="48" t="s">
        <v>13868</v>
      </c>
    </row>
    <row r="9504" spans="2:9" ht="15" customHeight="1" x14ac:dyDescent="0.25">
      <c r="B9504" s="55" t="s">
        <v>280</v>
      </c>
      <c r="C9504" s="46">
        <v>4492</v>
      </c>
      <c r="D9504" s="69" t="s">
        <v>29417</v>
      </c>
      <c r="E9504" s="51"/>
      <c r="F9504" s="114" t="str">
        <f>IF(INDEX(I.Facility.P2aIDNumber,4492)="","",INDEX(I.Facility.P2aIDNumber,4492))</f>
        <v/>
      </c>
      <c r="G9504" s="51"/>
      <c r="H9504" s="46" t="str">
        <f>IF(AND(I.Developer.P2a=TRUE,I.Facility.P2aFacilityCount&gt;=4492,F9504=""),"Incomplete","Complete")</f>
        <v>Complete</v>
      </c>
      <c r="I9504" s="48" t="s">
        <v>13869</v>
      </c>
    </row>
    <row r="9505" spans="2:9" ht="15" customHeight="1" x14ac:dyDescent="0.25">
      <c r="B9505" s="55" t="s">
        <v>280</v>
      </c>
      <c r="C9505" s="46">
        <v>4493</v>
      </c>
      <c r="D9505" s="69" t="s">
        <v>29417</v>
      </c>
      <c r="E9505" s="51"/>
      <c r="F9505" s="114" t="str">
        <f>IF(INDEX(I.Facility.P2aIDNumber,4493)="","",INDEX(I.Facility.P2aIDNumber,4493))</f>
        <v/>
      </c>
      <c r="G9505" s="51"/>
      <c r="H9505" s="46" t="str">
        <f>IF(AND(I.Developer.P2a=TRUE,I.Facility.P2aFacilityCount&gt;=4493,F9505=""),"Incomplete","Complete")</f>
        <v>Complete</v>
      </c>
      <c r="I9505" s="48" t="s">
        <v>13870</v>
      </c>
    </row>
    <row r="9506" spans="2:9" ht="15" customHeight="1" x14ac:dyDescent="0.25">
      <c r="B9506" s="55" t="s">
        <v>280</v>
      </c>
      <c r="C9506" s="46">
        <v>4494</v>
      </c>
      <c r="D9506" s="69" t="s">
        <v>29417</v>
      </c>
      <c r="E9506" s="51"/>
      <c r="F9506" s="114" t="str">
        <f>IF(INDEX(I.Facility.P2aIDNumber,4494)="","",INDEX(I.Facility.P2aIDNumber,4494))</f>
        <v/>
      </c>
      <c r="G9506" s="51"/>
      <c r="H9506" s="46" t="str">
        <f>IF(AND(I.Developer.P2a=TRUE,I.Facility.P2aFacilityCount&gt;=4494,F9506=""),"Incomplete","Complete")</f>
        <v>Complete</v>
      </c>
      <c r="I9506" s="48" t="s">
        <v>13871</v>
      </c>
    </row>
    <row r="9507" spans="2:9" ht="15" customHeight="1" x14ac:dyDescent="0.25">
      <c r="B9507" s="55" t="s">
        <v>280</v>
      </c>
      <c r="C9507" s="46">
        <v>4495</v>
      </c>
      <c r="D9507" s="69" t="s">
        <v>29417</v>
      </c>
      <c r="E9507" s="51"/>
      <c r="F9507" s="114" t="str">
        <f>IF(INDEX(I.Facility.P2aIDNumber,4495)="","",INDEX(I.Facility.P2aIDNumber,4495))</f>
        <v/>
      </c>
      <c r="G9507" s="51"/>
      <c r="H9507" s="46" t="str">
        <f>IF(AND(I.Developer.P2a=TRUE,I.Facility.P2aFacilityCount&gt;=4495,F9507=""),"Incomplete","Complete")</f>
        <v>Complete</v>
      </c>
      <c r="I9507" s="48" t="s">
        <v>13872</v>
      </c>
    </row>
    <row r="9508" spans="2:9" ht="15" customHeight="1" x14ac:dyDescent="0.25">
      <c r="B9508" s="55" t="s">
        <v>280</v>
      </c>
      <c r="C9508" s="46">
        <v>4496</v>
      </c>
      <c r="D9508" s="69" t="s">
        <v>29417</v>
      </c>
      <c r="E9508" s="51"/>
      <c r="F9508" s="114" t="str">
        <f>IF(INDEX(I.Facility.P2aIDNumber,4496)="","",INDEX(I.Facility.P2aIDNumber,4496))</f>
        <v/>
      </c>
      <c r="G9508" s="51"/>
      <c r="H9508" s="46" t="str">
        <f>IF(AND(I.Developer.P2a=TRUE,I.Facility.P2aFacilityCount&gt;=4496,F9508=""),"Incomplete","Complete")</f>
        <v>Complete</v>
      </c>
      <c r="I9508" s="48" t="s">
        <v>13873</v>
      </c>
    </row>
    <row r="9509" spans="2:9" ht="15" customHeight="1" x14ac:dyDescent="0.25">
      <c r="B9509" s="55" t="s">
        <v>280</v>
      </c>
      <c r="C9509" s="46">
        <v>4497</v>
      </c>
      <c r="D9509" s="69" t="s">
        <v>29417</v>
      </c>
      <c r="E9509" s="51"/>
      <c r="F9509" s="114" t="str">
        <f>IF(INDEX(I.Facility.P2aIDNumber,4497)="","",INDEX(I.Facility.P2aIDNumber,4497))</f>
        <v/>
      </c>
      <c r="G9509" s="51"/>
      <c r="H9509" s="46" t="str">
        <f>IF(AND(I.Developer.P2a=TRUE,I.Facility.P2aFacilityCount&gt;=4497,F9509=""),"Incomplete","Complete")</f>
        <v>Complete</v>
      </c>
      <c r="I9509" s="48" t="s">
        <v>13874</v>
      </c>
    </row>
    <row r="9510" spans="2:9" ht="15" customHeight="1" x14ac:dyDescent="0.25">
      <c r="B9510" s="55" t="s">
        <v>280</v>
      </c>
      <c r="C9510" s="46">
        <v>4498</v>
      </c>
      <c r="D9510" s="69" t="s">
        <v>29417</v>
      </c>
      <c r="E9510" s="51"/>
      <c r="F9510" s="114" t="str">
        <f>IF(INDEX(I.Facility.P2aIDNumber,4498)="","",INDEX(I.Facility.P2aIDNumber,4498))</f>
        <v/>
      </c>
      <c r="G9510" s="51"/>
      <c r="H9510" s="46" t="str">
        <f>IF(AND(I.Developer.P2a=TRUE,I.Facility.P2aFacilityCount&gt;=4498,F9510=""),"Incomplete","Complete")</f>
        <v>Complete</v>
      </c>
      <c r="I9510" s="48" t="s">
        <v>13875</v>
      </c>
    </row>
    <row r="9511" spans="2:9" ht="15" customHeight="1" x14ac:dyDescent="0.25">
      <c r="B9511" s="55" t="s">
        <v>280</v>
      </c>
      <c r="C9511" s="46">
        <v>4499</v>
      </c>
      <c r="D9511" s="69" t="s">
        <v>29417</v>
      </c>
      <c r="E9511" s="51"/>
      <c r="F9511" s="114" t="str">
        <f>IF(INDEX(I.Facility.P2aIDNumber,4499)="","",INDEX(I.Facility.P2aIDNumber,4499))</f>
        <v/>
      </c>
      <c r="G9511" s="51"/>
      <c r="H9511" s="46" t="str">
        <f>IF(AND(I.Developer.P2a=TRUE,I.Facility.P2aFacilityCount&gt;=4499,F9511=""),"Incomplete","Complete")</f>
        <v>Complete</v>
      </c>
      <c r="I9511" s="48" t="s">
        <v>13876</v>
      </c>
    </row>
    <row r="9512" spans="2:9" ht="15" customHeight="1" x14ac:dyDescent="0.25">
      <c r="B9512" s="55" t="s">
        <v>280</v>
      </c>
      <c r="C9512" s="46">
        <v>4500</v>
      </c>
      <c r="D9512" s="69" t="s">
        <v>29417</v>
      </c>
      <c r="E9512" s="51"/>
      <c r="F9512" s="114" t="str">
        <f>IF(INDEX(I.Facility.P2aIDNumber,4500)="","",INDEX(I.Facility.P2aIDNumber,4500))</f>
        <v/>
      </c>
      <c r="G9512" s="51"/>
      <c r="H9512" s="46" t="str">
        <f>IF(AND(I.Developer.P2a=TRUE,I.Facility.P2aFacilityCount&gt;=4500,F9512=""),"Incomplete","Complete")</f>
        <v>Complete</v>
      </c>
      <c r="I9512" s="48" t="s">
        <v>13877</v>
      </c>
    </row>
    <row r="9513" spans="2:9" ht="15" customHeight="1" x14ac:dyDescent="0.25">
      <c r="B9513" s="55" t="s">
        <v>280</v>
      </c>
      <c r="C9513" s="46">
        <v>4501</v>
      </c>
      <c r="D9513" s="69" t="s">
        <v>29417</v>
      </c>
      <c r="E9513" s="51"/>
      <c r="F9513" s="114" t="str">
        <f>IF(INDEX(I.Facility.P2aIDNumber,4501)="","",INDEX(I.Facility.P2aIDNumber,4501))</f>
        <v/>
      </c>
      <c r="G9513" s="51"/>
      <c r="H9513" s="46" t="str">
        <f>IF(AND(I.Developer.P2a=TRUE,I.Facility.P2aFacilityCount&gt;=4501,F9513=""),"Incomplete","Complete")</f>
        <v>Complete</v>
      </c>
      <c r="I9513" s="48" t="s">
        <v>13878</v>
      </c>
    </row>
    <row r="9514" spans="2:9" ht="15" customHeight="1" x14ac:dyDescent="0.25">
      <c r="B9514" s="55" t="s">
        <v>280</v>
      </c>
      <c r="C9514" s="46">
        <v>4502</v>
      </c>
      <c r="D9514" s="69" t="s">
        <v>29417</v>
      </c>
      <c r="E9514" s="51"/>
      <c r="F9514" s="114" t="str">
        <f>IF(INDEX(I.Facility.P2aIDNumber,4502)="","",INDEX(I.Facility.P2aIDNumber,4502))</f>
        <v/>
      </c>
      <c r="G9514" s="51"/>
      <c r="H9514" s="46" t="str">
        <f>IF(AND(I.Developer.P2a=TRUE,I.Facility.P2aFacilityCount&gt;=4502,F9514=""),"Incomplete","Complete")</f>
        <v>Complete</v>
      </c>
      <c r="I9514" s="48" t="s">
        <v>13879</v>
      </c>
    </row>
    <row r="9515" spans="2:9" ht="15" customHeight="1" x14ac:dyDescent="0.25">
      <c r="B9515" s="55" t="s">
        <v>280</v>
      </c>
      <c r="C9515" s="46">
        <v>4503</v>
      </c>
      <c r="D9515" s="69" t="s">
        <v>29417</v>
      </c>
      <c r="E9515" s="51"/>
      <c r="F9515" s="114" t="str">
        <f>IF(INDEX(I.Facility.P2aIDNumber,4503)="","",INDEX(I.Facility.P2aIDNumber,4503))</f>
        <v/>
      </c>
      <c r="G9515" s="51"/>
      <c r="H9515" s="46" t="str">
        <f>IF(AND(I.Developer.P2a=TRUE,I.Facility.P2aFacilityCount&gt;=4503,F9515=""),"Incomplete","Complete")</f>
        <v>Complete</v>
      </c>
      <c r="I9515" s="48" t="s">
        <v>13880</v>
      </c>
    </row>
    <row r="9516" spans="2:9" ht="15" customHeight="1" x14ac:dyDescent="0.25">
      <c r="B9516" s="55" t="s">
        <v>280</v>
      </c>
      <c r="C9516" s="46">
        <v>4504</v>
      </c>
      <c r="D9516" s="69" t="s">
        <v>29417</v>
      </c>
      <c r="E9516" s="51"/>
      <c r="F9516" s="114" t="str">
        <f>IF(INDEX(I.Facility.P2aIDNumber,4504)="","",INDEX(I.Facility.P2aIDNumber,4504))</f>
        <v/>
      </c>
      <c r="G9516" s="51"/>
      <c r="H9516" s="46" t="str">
        <f>IF(AND(I.Developer.P2a=TRUE,I.Facility.P2aFacilityCount&gt;=4504,F9516=""),"Incomplete","Complete")</f>
        <v>Complete</v>
      </c>
      <c r="I9516" s="48" t="s">
        <v>13881</v>
      </c>
    </row>
    <row r="9517" spans="2:9" ht="15" customHeight="1" x14ac:dyDescent="0.25">
      <c r="B9517" s="55" t="s">
        <v>280</v>
      </c>
      <c r="C9517" s="46">
        <v>4505</v>
      </c>
      <c r="D9517" s="69" t="s">
        <v>29417</v>
      </c>
      <c r="E9517" s="51"/>
      <c r="F9517" s="114" t="str">
        <f>IF(INDEX(I.Facility.P2aIDNumber,4505)="","",INDEX(I.Facility.P2aIDNumber,4505))</f>
        <v/>
      </c>
      <c r="G9517" s="51"/>
      <c r="H9517" s="46" t="str">
        <f>IF(AND(I.Developer.P2a=TRUE,I.Facility.P2aFacilityCount&gt;=4505,F9517=""),"Incomplete","Complete")</f>
        <v>Complete</v>
      </c>
      <c r="I9517" s="48" t="s">
        <v>13882</v>
      </c>
    </row>
    <row r="9518" spans="2:9" ht="15" customHeight="1" x14ac:dyDescent="0.25">
      <c r="B9518" s="55" t="s">
        <v>280</v>
      </c>
      <c r="C9518" s="46">
        <v>4506</v>
      </c>
      <c r="D9518" s="69" t="s">
        <v>29417</v>
      </c>
      <c r="E9518" s="51"/>
      <c r="F9518" s="114" t="str">
        <f>IF(INDEX(I.Facility.P2aIDNumber,4506)="","",INDEX(I.Facility.P2aIDNumber,4506))</f>
        <v/>
      </c>
      <c r="G9518" s="51"/>
      <c r="H9518" s="46" t="str">
        <f>IF(AND(I.Developer.P2a=TRUE,I.Facility.P2aFacilityCount&gt;=4506,F9518=""),"Incomplete","Complete")</f>
        <v>Complete</v>
      </c>
      <c r="I9518" s="48" t="s">
        <v>13883</v>
      </c>
    </row>
    <row r="9519" spans="2:9" ht="15" customHeight="1" x14ac:dyDescent="0.25">
      <c r="B9519" s="55" t="s">
        <v>280</v>
      </c>
      <c r="C9519" s="46">
        <v>4507</v>
      </c>
      <c r="D9519" s="69" t="s">
        <v>29417</v>
      </c>
      <c r="E9519" s="51"/>
      <c r="F9519" s="114" t="str">
        <f>IF(INDEX(I.Facility.P2aIDNumber,4507)="","",INDEX(I.Facility.P2aIDNumber,4507))</f>
        <v/>
      </c>
      <c r="G9519" s="51"/>
      <c r="H9519" s="46" t="str">
        <f>IF(AND(I.Developer.P2a=TRUE,I.Facility.P2aFacilityCount&gt;=4507,F9519=""),"Incomplete","Complete")</f>
        <v>Complete</v>
      </c>
      <c r="I9519" s="48" t="s">
        <v>13884</v>
      </c>
    </row>
    <row r="9520" spans="2:9" ht="15" customHeight="1" x14ac:dyDescent="0.25">
      <c r="B9520" s="55" t="s">
        <v>280</v>
      </c>
      <c r="C9520" s="46">
        <v>4508</v>
      </c>
      <c r="D9520" s="69" t="s">
        <v>29417</v>
      </c>
      <c r="E9520" s="51"/>
      <c r="F9520" s="114" t="str">
        <f>IF(INDEX(I.Facility.P2aIDNumber,4508)="","",INDEX(I.Facility.P2aIDNumber,4508))</f>
        <v/>
      </c>
      <c r="G9520" s="51"/>
      <c r="H9520" s="46" t="str">
        <f>IF(AND(I.Developer.P2a=TRUE,I.Facility.P2aFacilityCount&gt;=4508,F9520=""),"Incomplete","Complete")</f>
        <v>Complete</v>
      </c>
      <c r="I9520" s="48" t="s">
        <v>13885</v>
      </c>
    </row>
    <row r="9521" spans="2:9" ht="15" customHeight="1" x14ac:dyDescent="0.25">
      <c r="B9521" s="55" t="s">
        <v>280</v>
      </c>
      <c r="C9521" s="46">
        <v>4509</v>
      </c>
      <c r="D9521" s="69" t="s">
        <v>29417</v>
      </c>
      <c r="E9521" s="51"/>
      <c r="F9521" s="114" t="str">
        <f>IF(INDEX(I.Facility.P2aIDNumber,4509)="","",INDEX(I.Facility.P2aIDNumber,4509))</f>
        <v/>
      </c>
      <c r="G9521" s="51"/>
      <c r="H9521" s="46" t="str">
        <f>IF(AND(I.Developer.P2a=TRUE,I.Facility.P2aFacilityCount&gt;=4509,F9521=""),"Incomplete","Complete")</f>
        <v>Complete</v>
      </c>
      <c r="I9521" s="48" t="s">
        <v>13886</v>
      </c>
    </row>
    <row r="9522" spans="2:9" ht="15" customHeight="1" x14ac:dyDescent="0.25">
      <c r="B9522" s="55" t="s">
        <v>280</v>
      </c>
      <c r="C9522" s="46">
        <v>4510</v>
      </c>
      <c r="D9522" s="69" t="s">
        <v>29417</v>
      </c>
      <c r="E9522" s="51"/>
      <c r="F9522" s="114" t="str">
        <f>IF(INDEX(I.Facility.P2aIDNumber,4510)="","",INDEX(I.Facility.P2aIDNumber,4510))</f>
        <v/>
      </c>
      <c r="G9522" s="51"/>
      <c r="H9522" s="46" t="str">
        <f>IF(AND(I.Developer.P2a=TRUE,I.Facility.P2aFacilityCount&gt;=4510,F9522=""),"Incomplete","Complete")</f>
        <v>Complete</v>
      </c>
      <c r="I9522" s="48" t="s">
        <v>13887</v>
      </c>
    </row>
    <row r="9523" spans="2:9" ht="15" customHeight="1" x14ac:dyDescent="0.25">
      <c r="B9523" s="55" t="s">
        <v>280</v>
      </c>
      <c r="C9523" s="46">
        <v>4511</v>
      </c>
      <c r="D9523" s="69" t="s">
        <v>29417</v>
      </c>
      <c r="E9523" s="51"/>
      <c r="F9523" s="114" t="str">
        <f>IF(INDEX(I.Facility.P2aIDNumber,4511)="","",INDEX(I.Facility.P2aIDNumber,4511))</f>
        <v/>
      </c>
      <c r="G9523" s="51"/>
      <c r="H9523" s="46" t="str">
        <f>IF(AND(I.Developer.P2a=TRUE,I.Facility.P2aFacilityCount&gt;=4511,F9523=""),"Incomplete","Complete")</f>
        <v>Complete</v>
      </c>
      <c r="I9523" s="48" t="s">
        <v>13888</v>
      </c>
    </row>
    <row r="9524" spans="2:9" ht="15" customHeight="1" x14ac:dyDescent="0.25">
      <c r="B9524" s="55" t="s">
        <v>280</v>
      </c>
      <c r="C9524" s="46">
        <v>4512</v>
      </c>
      <c r="D9524" s="69" t="s">
        <v>29417</v>
      </c>
      <c r="E9524" s="51"/>
      <c r="F9524" s="114" t="str">
        <f>IF(INDEX(I.Facility.P2aIDNumber,4512)="","",INDEX(I.Facility.P2aIDNumber,4512))</f>
        <v/>
      </c>
      <c r="G9524" s="51"/>
      <c r="H9524" s="46" t="str">
        <f>IF(AND(I.Developer.P2a=TRUE,I.Facility.P2aFacilityCount&gt;=4512,F9524=""),"Incomplete","Complete")</f>
        <v>Complete</v>
      </c>
      <c r="I9524" s="48" t="s">
        <v>13889</v>
      </c>
    </row>
    <row r="9525" spans="2:9" ht="15" customHeight="1" x14ac:dyDescent="0.25">
      <c r="B9525" s="55" t="s">
        <v>280</v>
      </c>
      <c r="C9525" s="46">
        <v>4513</v>
      </c>
      <c r="D9525" s="69" t="s">
        <v>29417</v>
      </c>
      <c r="E9525" s="51"/>
      <c r="F9525" s="114" t="str">
        <f>IF(INDEX(I.Facility.P2aIDNumber,4513)="","",INDEX(I.Facility.P2aIDNumber,4513))</f>
        <v/>
      </c>
      <c r="G9525" s="51"/>
      <c r="H9525" s="46" t="str">
        <f>IF(AND(I.Developer.P2a=TRUE,I.Facility.P2aFacilityCount&gt;=4513,F9525=""),"Incomplete","Complete")</f>
        <v>Complete</v>
      </c>
      <c r="I9525" s="48" t="s">
        <v>13890</v>
      </c>
    </row>
    <row r="9526" spans="2:9" ht="15" customHeight="1" x14ac:dyDescent="0.25">
      <c r="B9526" s="55" t="s">
        <v>280</v>
      </c>
      <c r="C9526" s="46">
        <v>4514</v>
      </c>
      <c r="D9526" s="69" t="s">
        <v>29417</v>
      </c>
      <c r="E9526" s="51"/>
      <c r="F9526" s="114" t="str">
        <f>IF(INDEX(I.Facility.P2aIDNumber,4514)="","",INDEX(I.Facility.P2aIDNumber,4514))</f>
        <v/>
      </c>
      <c r="G9526" s="51"/>
      <c r="H9526" s="46" t="str">
        <f>IF(AND(I.Developer.P2a=TRUE,I.Facility.P2aFacilityCount&gt;=4514,F9526=""),"Incomplete","Complete")</f>
        <v>Complete</v>
      </c>
      <c r="I9526" s="48" t="s">
        <v>13891</v>
      </c>
    </row>
    <row r="9527" spans="2:9" ht="15" customHeight="1" x14ac:dyDescent="0.25">
      <c r="B9527" s="55" t="s">
        <v>280</v>
      </c>
      <c r="C9527" s="46">
        <v>4515</v>
      </c>
      <c r="D9527" s="69" t="s">
        <v>29417</v>
      </c>
      <c r="E9527" s="51"/>
      <c r="F9527" s="114" t="str">
        <f>IF(INDEX(I.Facility.P2aIDNumber,4515)="","",INDEX(I.Facility.P2aIDNumber,4515))</f>
        <v/>
      </c>
      <c r="G9527" s="51"/>
      <c r="H9527" s="46" t="str">
        <f>IF(AND(I.Developer.P2a=TRUE,I.Facility.P2aFacilityCount&gt;=4515,F9527=""),"Incomplete","Complete")</f>
        <v>Complete</v>
      </c>
      <c r="I9527" s="48" t="s">
        <v>13892</v>
      </c>
    </row>
    <row r="9528" spans="2:9" ht="15" customHeight="1" x14ac:dyDescent="0.25">
      <c r="B9528" s="55" t="s">
        <v>280</v>
      </c>
      <c r="C9528" s="46">
        <v>4516</v>
      </c>
      <c r="D9528" s="69" t="s">
        <v>29417</v>
      </c>
      <c r="E9528" s="51"/>
      <c r="F9528" s="114" t="str">
        <f>IF(INDEX(I.Facility.P2aIDNumber,4516)="","",INDEX(I.Facility.P2aIDNumber,4516))</f>
        <v/>
      </c>
      <c r="G9528" s="51"/>
      <c r="H9528" s="46" t="str">
        <f>IF(AND(I.Developer.P2a=TRUE,I.Facility.P2aFacilityCount&gt;=4516,F9528=""),"Incomplete","Complete")</f>
        <v>Complete</v>
      </c>
      <c r="I9528" s="48" t="s">
        <v>13893</v>
      </c>
    </row>
    <row r="9529" spans="2:9" ht="15" customHeight="1" x14ac:dyDescent="0.25">
      <c r="B9529" s="55" t="s">
        <v>280</v>
      </c>
      <c r="C9529" s="46">
        <v>4517</v>
      </c>
      <c r="D9529" s="69" t="s">
        <v>29417</v>
      </c>
      <c r="E9529" s="51"/>
      <c r="F9529" s="114" t="str">
        <f>IF(INDEX(I.Facility.P2aIDNumber,4517)="","",INDEX(I.Facility.P2aIDNumber,4517))</f>
        <v/>
      </c>
      <c r="G9529" s="51"/>
      <c r="H9529" s="46" t="str">
        <f>IF(AND(I.Developer.P2a=TRUE,I.Facility.P2aFacilityCount&gt;=4517,F9529=""),"Incomplete","Complete")</f>
        <v>Complete</v>
      </c>
      <c r="I9529" s="48" t="s">
        <v>13894</v>
      </c>
    </row>
    <row r="9530" spans="2:9" ht="15" customHeight="1" x14ac:dyDescent="0.25">
      <c r="B9530" s="55" t="s">
        <v>280</v>
      </c>
      <c r="C9530" s="46">
        <v>4518</v>
      </c>
      <c r="D9530" s="69" t="s">
        <v>29417</v>
      </c>
      <c r="E9530" s="51"/>
      <c r="F9530" s="114" t="str">
        <f>IF(INDEX(I.Facility.P2aIDNumber,4518)="","",INDEX(I.Facility.P2aIDNumber,4518))</f>
        <v/>
      </c>
      <c r="G9530" s="51"/>
      <c r="H9530" s="46" t="str">
        <f>IF(AND(I.Developer.P2a=TRUE,I.Facility.P2aFacilityCount&gt;=4518,F9530=""),"Incomplete","Complete")</f>
        <v>Complete</v>
      </c>
      <c r="I9530" s="48" t="s">
        <v>13895</v>
      </c>
    </row>
    <row r="9531" spans="2:9" ht="15" customHeight="1" x14ac:dyDescent="0.25">
      <c r="B9531" s="55" t="s">
        <v>280</v>
      </c>
      <c r="C9531" s="46">
        <v>4519</v>
      </c>
      <c r="D9531" s="69" t="s">
        <v>29417</v>
      </c>
      <c r="E9531" s="51"/>
      <c r="F9531" s="114" t="str">
        <f>IF(INDEX(I.Facility.P2aIDNumber,4519)="","",INDEX(I.Facility.P2aIDNumber,4519))</f>
        <v/>
      </c>
      <c r="G9531" s="51"/>
      <c r="H9531" s="46" t="str">
        <f>IF(AND(I.Developer.P2a=TRUE,I.Facility.P2aFacilityCount&gt;=4519,F9531=""),"Incomplete","Complete")</f>
        <v>Complete</v>
      </c>
      <c r="I9531" s="48" t="s">
        <v>13896</v>
      </c>
    </row>
    <row r="9532" spans="2:9" ht="15" customHeight="1" x14ac:dyDescent="0.25">
      <c r="B9532" s="55" t="s">
        <v>280</v>
      </c>
      <c r="C9532" s="46">
        <v>4520</v>
      </c>
      <c r="D9532" s="69" t="s">
        <v>29417</v>
      </c>
      <c r="E9532" s="51"/>
      <c r="F9532" s="114" t="str">
        <f>IF(INDEX(I.Facility.P2aIDNumber,4520)="","",INDEX(I.Facility.P2aIDNumber,4520))</f>
        <v/>
      </c>
      <c r="G9532" s="51"/>
      <c r="H9532" s="46" t="str">
        <f>IF(AND(I.Developer.P2a=TRUE,I.Facility.P2aFacilityCount&gt;=4520,F9532=""),"Incomplete","Complete")</f>
        <v>Complete</v>
      </c>
      <c r="I9532" s="48" t="s">
        <v>13897</v>
      </c>
    </row>
    <row r="9533" spans="2:9" ht="15" customHeight="1" x14ac:dyDescent="0.25">
      <c r="B9533" s="55" t="s">
        <v>280</v>
      </c>
      <c r="C9533" s="46">
        <v>4521</v>
      </c>
      <c r="D9533" s="69" t="s">
        <v>29417</v>
      </c>
      <c r="E9533" s="51"/>
      <c r="F9533" s="114" t="str">
        <f>IF(INDEX(I.Facility.P2aIDNumber,4521)="","",INDEX(I.Facility.P2aIDNumber,4521))</f>
        <v/>
      </c>
      <c r="G9533" s="51"/>
      <c r="H9533" s="46" t="str">
        <f>IF(AND(I.Developer.P2a=TRUE,I.Facility.P2aFacilityCount&gt;=4521,F9533=""),"Incomplete","Complete")</f>
        <v>Complete</v>
      </c>
      <c r="I9533" s="48" t="s">
        <v>13898</v>
      </c>
    </row>
    <row r="9534" spans="2:9" ht="15" customHeight="1" x14ac:dyDescent="0.25">
      <c r="B9534" s="55" t="s">
        <v>280</v>
      </c>
      <c r="C9534" s="46">
        <v>4522</v>
      </c>
      <c r="D9534" s="69" t="s">
        <v>29417</v>
      </c>
      <c r="E9534" s="51"/>
      <c r="F9534" s="114" t="str">
        <f>IF(INDEX(I.Facility.P2aIDNumber,4522)="","",INDEX(I.Facility.P2aIDNumber,4522))</f>
        <v/>
      </c>
      <c r="G9534" s="51"/>
      <c r="H9534" s="46" t="str">
        <f>IF(AND(I.Developer.P2a=TRUE,I.Facility.P2aFacilityCount&gt;=4522,F9534=""),"Incomplete","Complete")</f>
        <v>Complete</v>
      </c>
      <c r="I9534" s="48" t="s">
        <v>13899</v>
      </c>
    </row>
    <row r="9535" spans="2:9" ht="15" customHeight="1" x14ac:dyDescent="0.25">
      <c r="B9535" s="55" t="s">
        <v>280</v>
      </c>
      <c r="C9535" s="46">
        <v>4523</v>
      </c>
      <c r="D9535" s="69" t="s">
        <v>29417</v>
      </c>
      <c r="E9535" s="51"/>
      <c r="F9535" s="114" t="str">
        <f>IF(INDEX(I.Facility.P2aIDNumber,4523)="","",INDEX(I.Facility.P2aIDNumber,4523))</f>
        <v/>
      </c>
      <c r="G9535" s="51"/>
      <c r="H9535" s="46" t="str">
        <f>IF(AND(I.Developer.P2a=TRUE,I.Facility.P2aFacilityCount&gt;=4523,F9535=""),"Incomplete","Complete")</f>
        <v>Complete</v>
      </c>
      <c r="I9535" s="48" t="s">
        <v>13900</v>
      </c>
    </row>
    <row r="9536" spans="2:9" ht="15" customHeight="1" x14ac:dyDescent="0.25">
      <c r="B9536" s="55" t="s">
        <v>280</v>
      </c>
      <c r="C9536" s="46">
        <v>4524</v>
      </c>
      <c r="D9536" s="69" t="s">
        <v>29417</v>
      </c>
      <c r="E9536" s="51"/>
      <c r="F9536" s="114" t="str">
        <f>IF(INDEX(I.Facility.P2aIDNumber,4524)="","",INDEX(I.Facility.P2aIDNumber,4524))</f>
        <v/>
      </c>
      <c r="G9536" s="51"/>
      <c r="H9536" s="46" t="str">
        <f>IF(AND(I.Developer.P2a=TRUE,I.Facility.P2aFacilityCount&gt;=4524,F9536=""),"Incomplete","Complete")</f>
        <v>Complete</v>
      </c>
      <c r="I9536" s="48" t="s">
        <v>13901</v>
      </c>
    </row>
    <row r="9537" spans="2:9" ht="15" customHeight="1" x14ac:dyDescent="0.25">
      <c r="B9537" s="55" t="s">
        <v>280</v>
      </c>
      <c r="C9537" s="46">
        <v>4525</v>
      </c>
      <c r="D9537" s="69" t="s">
        <v>29417</v>
      </c>
      <c r="E9537" s="51"/>
      <c r="F9537" s="114" t="str">
        <f>IF(INDEX(I.Facility.P2aIDNumber,4525)="","",INDEX(I.Facility.P2aIDNumber,4525))</f>
        <v/>
      </c>
      <c r="G9537" s="51"/>
      <c r="H9537" s="46" t="str">
        <f>IF(AND(I.Developer.P2a=TRUE,I.Facility.P2aFacilityCount&gt;=4525,F9537=""),"Incomplete","Complete")</f>
        <v>Complete</v>
      </c>
      <c r="I9537" s="48" t="s">
        <v>13902</v>
      </c>
    </row>
    <row r="9538" spans="2:9" ht="15" customHeight="1" x14ac:dyDescent="0.25">
      <c r="B9538" s="55" t="s">
        <v>280</v>
      </c>
      <c r="C9538" s="46">
        <v>4526</v>
      </c>
      <c r="D9538" s="69" t="s">
        <v>29417</v>
      </c>
      <c r="E9538" s="51"/>
      <c r="F9538" s="114" t="str">
        <f>IF(INDEX(I.Facility.P2aIDNumber,4526)="","",INDEX(I.Facility.P2aIDNumber,4526))</f>
        <v/>
      </c>
      <c r="G9538" s="51"/>
      <c r="H9538" s="46" t="str">
        <f>IF(AND(I.Developer.P2a=TRUE,I.Facility.P2aFacilityCount&gt;=4526,F9538=""),"Incomplete","Complete")</f>
        <v>Complete</v>
      </c>
      <c r="I9538" s="48" t="s">
        <v>13903</v>
      </c>
    </row>
    <row r="9539" spans="2:9" ht="15" customHeight="1" x14ac:dyDescent="0.25">
      <c r="B9539" s="55" t="s">
        <v>280</v>
      </c>
      <c r="C9539" s="46">
        <v>4527</v>
      </c>
      <c r="D9539" s="69" t="s">
        <v>29417</v>
      </c>
      <c r="E9539" s="51"/>
      <c r="F9539" s="114" t="str">
        <f>IF(INDEX(I.Facility.P2aIDNumber,4527)="","",INDEX(I.Facility.P2aIDNumber,4527))</f>
        <v/>
      </c>
      <c r="G9539" s="51"/>
      <c r="H9539" s="46" t="str">
        <f>IF(AND(I.Developer.P2a=TRUE,I.Facility.P2aFacilityCount&gt;=4527,F9539=""),"Incomplete","Complete")</f>
        <v>Complete</v>
      </c>
      <c r="I9539" s="48" t="s">
        <v>13904</v>
      </c>
    </row>
    <row r="9540" spans="2:9" ht="15" customHeight="1" x14ac:dyDescent="0.25">
      <c r="B9540" s="55" t="s">
        <v>280</v>
      </c>
      <c r="C9540" s="46">
        <v>4528</v>
      </c>
      <c r="D9540" s="69" t="s">
        <v>29417</v>
      </c>
      <c r="E9540" s="51"/>
      <c r="F9540" s="114" t="str">
        <f>IF(INDEX(I.Facility.P2aIDNumber,4528)="","",INDEX(I.Facility.P2aIDNumber,4528))</f>
        <v/>
      </c>
      <c r="G9540" s="51"/>
      <c r="H9540" s="46" t="str">
        <f>IF(AND(I.Developer.P2a=TRUE,I.Facility.P2aFacilityCount&gt;=4528,F9540=""),"Incomplete","Complete")</f>
        <v>Complete</v>
      </c>
      <c r="I9540" s="48" t="s">
        <v>13905</v>
      </c>
    </row>
    <row r="9541" spans="2:9" ht="15" customHeight="1" x14ac:dyDescent="0.25">
      <c r="B9541" s="55" t="s">
        <v>280</v>
      </c>
      <c r="C9541" s="46">
        <v>4529</v>
      </c>
      <c r="D9541" s="69" t="s">
        <v>29417</v>
      </c>
      <c r="E9541" s="51"/>
      <c r="F9541" s="114" t="str">
        <f>IF(INDEX(I.Facility.P2aIDNumber,4529)="","",INDEX(I.Facility.P2aIDNumber,4529))</f>
        <v/>
      </c>
      <c r="G9541" s="51"/>
      <c r="H9541" s="46" t="str">
        <f>IF(AND(I.Developer.P2a=TRUE,I.Facility.P2aFacilityCount&gt;=4529,F9541=""),"Incomplete","Complete")</f>
        <v>Complete</v>
      </c>
      <c r="I9541" s="48" t="s">
        <v>13906</v>
      </c>
    </row>
    <row r="9542" spans="2:9" ht="15" customHeight="1" x14ac:dyDescent="0.25">
      <c r="B9542" s="55" t="s">
        <v>280</v>
      </c>
      <c r="C9542" s="46">
        <v>4530</v>
      </c>
      <c r="D9542" s="69" t="s">
        <v>29417</v>
      </c>
      <c r="E9542" s="51"/>
      <c r="F9542" s="114" t="str">
        <f>IF(INDEX(I.Facility.P2aIDNumber,4530)="","",INDEX(I.Facility.P2aIDNumber,4530))</f>
        <v/>
      </c>
      <c r="G9542" s="51"/>
      <c r="H9542" s="46" t="str">
        <f>IF(AND(I.Developer.P2a=TRUE,I.Facility.P2aFacilityCount&gt;=4530,F9542=""),"Incomplete","Complete")</f>
        <v>Complete</v>
      </c>
      <c r="I9542" s="48" t="s">
        <v>13907</v>
      </c>
    </row>
    <row r="9543" spans="2:9" ht="15" customHeight="1" x14ac:dyDescent="0.25">
      <c r="B9543" s="55" t="s">
        <v>280</v>
      </c>
      <c r="C9543" s="46">
        <v>4531</v>
      </c>
      <c r="D9543" s="69" t="s">
        <v>29417</v>
      </c>
      <c r="E9543" s="51"/>
      <c r="F9543" s="114" t="str">
        <f>IF(INDEX(I.Facility.P2aIDNumber,4531)="","",INDEX(I.Facility.P2aIDNumber,4531))</f>
        <v/>
      </c>
      <c r="G9543" s="51"/>
      <c r="H9543" s="46" t="str">
        <f>IF(AND(I.Developer.P2a=TRUE,I.Facility.P2aFacilityCount&gt;=4531,F9543=""),"Incomplete","Complete")</f>
        <v>Complete</v>
      </c>
      <c r="I9543" s="48" t="s">
        <v>13908</v>
      </c>
    </row>
    <row r="9544" spans="2:9" ht="15" customHeight="1" x14ac:dyDescent="0.25">
      <c r="B9544" s="55" t="s">
        <v>280</v>
      </c>
      <c r="C9544" s="46">
        <v>4532</v>
      </c>
      <c r="D9544" s="69" t="s">
        <v>29417</v>
      </c>
      <c r="E9544" s="51"/>
      <c r="F9544" s="114" t="str">
        <f>IF(INDEX(I.Facility.P2aIDNumber,4532)="","",INDEX(I.Facility.P2aIDNumber,4532))</f>
        <v/>
      </c>
      <c r="G9544" s="51"/>
      <c r="H9544" s="46" t="str">
        <f>IF(AND(I.Developer.P2a=TRUE,I.Facility.P2aFacilityCount&gt;=4532,F9544=""),"Incomplete","Complete")</f>
        <v>Complete</v>
      </c>
      <c r="I9544" s="48" t="s">
        <v>13909</v>
      </c>
    </row>
    <row r="9545" spans="2:9" ht="15" customHeight="1" x14ac:dyDescent="0.25">
      <c r="B9545" s="55" t="s">
        <v>280</v>
      </c>
      <c r="C9545" s="46">
        <v>4533</v>
      </c>
      <c r="D9545" s="69" t="s">
        <v>29417</v>
      </c>
      <c r="E9545" s="51"/>
      <c r="F9545" s="114" t="str">
        <f>IF(INDEX(I.Facility.P2aIDNumber,4533)="","",INDEX(I.Facility.P2aIDNumber,4533))</f>
        <v/>
      </c>
      <c r="G9545" s="51"/>
      <c r="H9545" s="46" t="str">
        <f>IF(AND(I.Developer.P2a=TRUE,I.Facility.P2aFacilityCount&gt;=4533,F9545=""),"Incomplete","Complete")</f>
        <v>Complete</v>
      </c>
      <c r="I9545" s="48" t="s">
        <v>13910</v>
      </c>
    </row>
    <row r="9546" spans="2:9" ht="15" customHeight="1" x14ac:dyDescent="0.25">
      <c r="B9546" s="55" t="s">
        <v>280</v>
      </c>
      <c r="C9546" s="46">
        <v>4534</v>
      </c>
      <c r="D9546" s="69" t="s">
        <v>29417</v>
      </c>
      <c r="E9546" s="51"/>
      <c r="F9546" s="114" t="str">
        <f>IF(INDEX(I.Facility.P2aIDNumber,4534)="","",INDEX(I.Facility.P2aIDNumber,4534))</f>
        <v/>
      </c>
      <c r="G9546" s="51"/>
      <c r="H9546" s="46" t="str">
        <f>IF(AND(I.Developer.P2a=TRUE,I.Facility.P2aFacilityCount&gt;=4534,F9546=""),"Incomplete","Complete")</f>
        <v>Complete</v>
      </c>
      <c r="I9546" s="48" t="s">
        <v>13911</v>
      </c>
    </row>
    <row r="9547" spans="2:9" ht="15" customHeight="1" x14ac:dyDescent="0.25">
      <c r="B9547" s="55" t="s">
        <v>280</v>
      </c>
      <c r="C9547" s="46">
        <v>4535</v>
      </c>
      <c r="D9547" s="69" t="s">
        <v>29417</v>
      </c>
      <c r="E9547" s="51"/>
      <c r="F9547" s="114" t="str">
        <f>IF(INDEX(I.Facility.P2aIDNumber,4535)="","",INDEX(I.Facility.P2aIDNumber,4535))</f>
        <v/>
      </c>
      <c r="G9547" s="51"/>
      <c r="H9547" s="46" t="str">
        <f>IF(AND(I.Developer.P2a=TRUE,I.Facility.P2aFacilityCount&gt;=4535,F9547=""),"Incomplete","Complete")</f>
        <v>Complete</v>
      </c>
      <c r="I9547" s="48" t="s">
        <v>13912</v>
      </c>
    </row>
    <row r="9548" spans="2:9" ht="15" customHeight="1" x14ac:dyDescent="0.25">
      <c r="B9548" s="55" t="s">
        <v>280</v>
      </c>
      <c r="C9548" s="46">
        <v>4536</v>
      </c>
      <c r="D9548" s="69" t="s">
        <v>29417</v>
      </c>
      <c r="E9548" s="51"/>
      <c r="F9548" s="114" t="str">
        <f>IF(INDEX(I.Facility.P2aIDNumber,4536)="","",INDEX(I.Facility.P2aIDNumber,4536))</f>
        <v/>
      </c>
      <c r="G9548" s="51"/>
      <c r="H9548" s="46" t="str">
        <f>IF(AND(I.Developer.P2a=TRUE,I.Facility.P2aFacilityCount&gt;=4536,F9548=""),"Incomplete","Complete")</f>
        <v>Complete</v>
      </c>
      <c r="I9548" s="48" t="s">
        <v>13913</v>
      </c>
    </row>
    <row r="9549" spans="2:9" ht="15" customHeight="1" x14ac:dyDescent="0.25">
      <c r="B9549" s="55" t="s">
        <v>280</v>
      </c>
      <c r="C9549" s="46">
        <v>4537</v>
      </c>
      <c r="D9549" s="69" t="s">
        <v>29417</v>
      </c>
      <c r="E9549" s="51"/>
      <c r="F9549" s="114" t="str">
        <f>IF(INDEX(I.Facility.P2aIDNumber,4537)="","",INDEX(I.Facility.P2aIDNumber,4537))</f>
        <v/>
      </c>
      <c r="G9549" s="51"/>
      <c r="H9549" s="46" t="str">
        <f>IF(AND(I.Developer.P2a=TRUE,I.Facility.P2aFacilityCount&gt;=4537,F9549=""),"Incomplete","Complete")</f>
        <v>Complete</v>
      </c>
      <c r="I9549" s="48" t="s">
        <v>13914</v>
      </c>
    </row>
    <row r="9550" spans="2:9" ht="15" customHeight="1" x14ac:dyDescent="0.25">
      <c r="B9550" s="55" t="s">
        <v>280</v>
      </c>
      <c r="C9550" s="46">
        <v>4538</v>
      </c>
      <c r="D9550" s="69" t="s">
        <v>29417</v>
      </c>
      <c r="E9550" s="51"/>
      <c r="F9550" s="114" t="str">
        <f>IF(INDEX(I.Facility.P2aIDNumber,4538)="","",INDEX(I.Facility.P2aIDNumber,4538))</f>
        <v/>
      </c>
      <c r="G9550" s="51"/>
      <c r="H9550" s="46" t="str">
        <f>IF(AND(I.Developer.P2a=TRUE,I.Facility.P2aFacilityCount&gt;=4538,F9550=""),"Incomplete","Complete")</f>
        <v>Complete</v>
      </c>
      <c r="I9550" s="48" t="s">
        <v>13915</v>
      </c>
    </row>
    <row r="9551" spans="2:9" ht="15" customHeight="1" x14ac:dyDescent="0.25">
      <c r="B9551" s="55" t="s">
        <v>280</v>
      </c>
      <c r="C9551" s="46">
        <v>4539</v>
      </c>
      <c r="D9551" s="69" t="s">
        <v>29417</v>
      </c>
      <c r="E9551" s="51"/>
      <c r="F9551" s="114" t="str">
        <f>IF(INDEX(I.Facility.P2aIDNumber,4539)="","",INDEX(I.Facility.P2aIDNumber,4539))</f>
        <v/>
      </c>
      <c r="G9551" s="51"/>
      <c r="H9551" s="46" t="str">
        <f>IF(AND(I.Developer.P2a=TRUE,I.Facility.P2aFacilityCount&gt;=4539,F9551=""),"Incomplete","Complete")</f>
        <v>Complete</v>
      </c>
      <c r="I9551" s="48" t="s">
        <v>13916</v>
      </c>
    </row>
    <row r="9552" spans="2:9" ht="15" customHeight="1" x14ac:dyDescent="0.25">
      <c r="B9552" s="55" t="s">
        <v>280</v>
      </c>
      <c r="C9552" s="46">
        <v>4540</v>
      </c>
      <c r="D9552" s="69" t="s">
        <v>29417</v>
      </c>
      <c r="E9552" s="51"/>
      <c r="F9552" s="114" t="str">
        <f>IF(INDEX(I.Facility.P2aIDNumber,4540)="","",INDEX(I.Facility.P2aIDNumber,4540))</f>
        <v/>
      </c>
      <c r="G9552" s="51"/>
      <c r="H9552" s="46" t="str">
        <f>IF(AND(I.Developer.P2a=TRUE,I.Facility.P2aFacilityCount&gt;=4540,F9552=""),"Incomplete","Complete")</f>
        <v>Complete</v>
      </c>
      <c r="I9552" s="48" t="s">
        <v>13917</v>
      </c>
    </row>
    <row r="9553" spans="2:9" ht="15" customHeight="1" x14ac:dyDescent="0.25">
      <c r="B9553" s="55" t="s">
        <v>280</v>
      </c>
      <c r="C9553" s="46">
        <v>4541</v>
      </c>
      <c r="D9553" s="69" t="s">
        <v>29417</v>
      </c>
      <c r="E9553" s="51"/>
      <c r="F9553" s="114" t="str">
        <f>IF(INDEX(I.Facility.P2aIDNumber,4541)="","",INDEX(I.Facility.P2aIDNumber,4541))</f>
        <v/>
      </c>
      <c r="G9553" s="51"/>
      <c r="H9553" s="46" t="str">
        <f>IF(AND(I.Developer.P2a=TRUE,I.Facility.P2aFacilityCount&gt;=4541,F9553=""),"Incomplete","Complete")</f>
        <v>Complete</v>
      </c>
      <c r="I9553" s="48" t="s">
        <v>13918</v>
      </c>
    </row>
    <row r="9554" spans="2:9" ht="15" customHeight="1" x14ac:dyDescent="0.25">
      <c r="B9554" s="55" t="s">
        <v>280</v>
      </c>
      <c r="C9554" s="46">
        <v>4542</v>
      </c>
      <c r="D9554" s="69" t="s">
        <v>29417</v>
      </c>
      <c r="E9554" s="51"/>
      <c r="F9554" s="114" t="str">
        <f>IF(INDEX(I.Facility.P2aIDNumber,4542)="","",INDEX(I.Facility.P2aIDNumber,4542))</f>
        <v/>
      </c>
      <c r="G9554" s="51"/>
      <c r="H9554" s="46" t="str">
        <f>IF(AND(I.Developer.P2a=TRUE,I.Facility.P2aFacilityCount&gt;=4542,F9554=""),"Incomplete","Complete")</f>
        <v>Complete</v>
      </c>
      <c r="I9554" s="48" t="s">
        <v>13919</v>
      </c>
    </row>
    <row r="9555" spans="2:9" ht="15" customHeight="1" x14ac:dyDescent="0.25">
      <c r="B9555" s="55" t="s">
        <v>280</v>
      </c>
      <c r="C9555" s="46">
        <v>4543</v>
      </c>
      <c r="D9555" s="69" t="s">
        <v>29417</v>
      </c>
      <c r="E9555" s="51"/>
      <c r="F9555" s="114" t="str">
        <f>IF(INDEX(I.Facility.P2aIDNumber,4543)="","",INDEX(I.Facility.P2aIDNumber,4543))</f>
        <v/>
      </c>
      <c r="G9555" s="51"/>
      <c r="H9555" s="46" t="str">
        <f>IF(AND(I.Developer.P2a=TRUE,I.Facility.P2aFacilityCount&gt;=4543,F9555=""),"Incomplete","Complete")</f>
        <v>Complete</v>
      </c>
      <c r="I9555" s="48" t="s">
        <v>13920</v>
      </c>
    </row>
    <row r="9556" spans="2:9" ht="15" customHeight="1" x14ac:dyDescent="0.25">
      <c r="B9556" s="55" t="s">
        <v>280</v>
      </c>
      <c r="C9556" s="46">
        <v>4544</v>
      </c>
      <c r="D9556" s="69" t="s">
        <v>29417</v>
      </c>
      <c r="E9556" s="51"/>
      <c r="F9556" s="114" t="str">
        <f>IF(INDEX(I.Facility.P2aIDNumber,4544)="","",INDEX(I.Facility.P2aIDNumber,4544))</f>
        <v/>
      </c>
      <c r="G9556" s="51"/>
      <c r="H9556" s="46" t="str">
        <f>IF(AND(I.Developer.P2a=TRUE,I.Facility.P2aFacilityCount&gt;=4544,F9556=""),"Incomplete","Complete")</f>
        <v>Complete</v>
      </c>
      <c r="I9556" s="48" t="s">
        <v>13921</v>
      </c>
    </row>
    <row r="9557" spans="2:9" ht="15" customHeight="1" x14ac:dyDescent="0.25">
      <c r="B9557" s="55" t="s">
        <v>280</v>
      </c>
      <c r="C9557" s="46">
        <v>4545</v>
      </c>
      <c r="D9557" s="69" t="s">
        <v>29417</v>
      </c>
      <c r="E9557" s="51"/>
      <c r="F9557" s="114" t="str">
        <f>IF(INDEX(I.Facility.P2aIDNumber,4545)="","",INDEX(I.Facility.P2aIDNumber,4545))</f>
        <v/>
      </c>
      <c r="G9557" s="51"/>
      <c r="H9557" s="46" t="str">
        <f>IF(AND(I.Developer.P2a=TRUE,I.Facility.P2aFacilityCount&gt;=4545,F9557=""),"Incomplete","Complete")</f>
        <v>Complete</v>
      </c>
      <c r="I9557" s="48" t="s">
        <v>13922</v>
      </c>
    </row>
    <row r="9558" spans="2:9" ht="15" customHeight="1" x14ac:dyDescent="0.25">
      <c r="B9558" s="55" t="s">
        <v>280</v>
      </c>
      <c r="C9558" s="46">
        <v>4546</v>
      </c>
      <c r="D9558" s="69" t="s">
        <v>29417</v>
      </c>
      <c r="E9558" s="51"/>
      <c r="F9558" s="114" t="str">
        <f>IF(INDEX(I.Facility.P2aIDNumber,4546)="","",INDEX(I.Facility.P2aIDNumber,4546))</f>
        <v/>
      </c>
      <c r="G9558" s="51"/>
      <c r="H9558" s="46" t="str">
        <f>IF(AND(I.Developer.P2a=TRUE,I.Facility.P2aFacilityCount&gt;=4546,F9558=""),"Incomplete","Complete")</f>
        <v>Complete</v>
      </c>
      <c r="I9558" s="48" t="s">
        <v>13923</v>
      </c>
    </row>
    <row r="9559" spans="2:9" ht="15" customHeight="1" x14ac:dyDescent="0.25">
      <c r="B9559" s="55" t="s">
        <v>280</v>
      </c>
      <c r="C9559" s="46">
        <v>4547</v>
      </c>
      <c r="D9559" s="69" t="s">
        <v>29417</v>
      </c>
      <c r="E9559" s="51"/>
      <c r="F9559" s="114" t="str">
        <f>IF(INDEX(I.Facility.P2aIDNumber,4547)="","",INDEX(I.Facility.P2aIDNumber,4547))</f>
        <v/>
      </c>
      <c r="G9559" s="51"/>
      <c r="H9559" s="46" t="str">
        <f>IF(AND(I.Developer.P2a=TRUE,I.Facility.P2aFacilityCount&gt;=4547,F9559=""),"Incomplete","Complete")</f>
        <v>Complete</v>
      </c>
      <c r="I9559" s="48" t="s">
        <v>13924</v>
      </c>
    </row>
    <row r="9560" spans="2:9" ht="15" customHeight="1" x14ac:dyDescent="0.25">
      <c r="B9560" s="55" t="s">
        <v>280</v>
      </c>
      <c r="C9560" s="46">
        <v>4548</v>
      </c>
      <c r="D9560" s="69" t="s">
        <v>29417</v>
      </c>
      <c r="E9560" s="51"/>
      <c r="F9560" s="114" t="str">
        <f>IF(INDEX(I.Facility.P2aIDNumber,4548)="","",INDEX(I.Facility.P2aIDNumber,4548))</f>
        <v/>
      </c>
      <c r="G9560" s="51"/>
      <c r="H9560" s="46" t="str">
        <f>IF(AND(I.Developer.P2a=TRUE,I.Facility.P2aFacilityCount&gt;=4548,F9560=""),"Incomplete","Complete")</f>
        <v>Complete</v>
      </c>
      <c r="I9560" s="48" t="s">
        <v>13925</v>
      </c>
    </row>
    <row r="9561" spans="2:9" ht="15" customHeight="1" x14ac:dyDescent="0.25">
      <c r="B9561" s="55" t="s">
        <v>280</v>
      </c>
      <c r="C9561" s="46">
        <v>4549</v>
      </c>
      <c r="D9561" s="69" t="s">
        <v>29417</v>
      </c>
      <c r="E9561" s="51"/>
      <c r="F9561" s="114" t="str">
        <f>IF(INDEX(I.Facility.P2aIDNumber,4549)="","",INDEX(I.Facility.P2aIDNumber,4549))</f>
        <v/>
      </c>
      <c r="G9561" s="51"/>
      <c r="H9561" s="46" t="str">
        <f>IF(AND(I.Developer.P2a=TRUE,I.Facility.P2aFacilityCount&gt;=4549,F9561=""),"Incomplete","Complete")</f>
        <v>Complete</v>
      </c>
      <c r="I9561" s="48" t="s">
        <v>13926</v>
      </c>
    </row>
    <row r="9562" spans="2:9" ht="15" customHeight="1" x14ac:dyDescent="0.25">
      <c r="B9562" s="55" t="s">
        <v>280</v>
      </c>
      <c r="C9562" s="46">
        <v>4550</v>
      </c>
      <c r="D9562" s="69" t="s">
        <v>29417</v>
      </c>
      <c r="E9562" s="51"/>
      <c r="F9562" s="114" t="str">
        <f>IF(INDEX(I.Facility.P2aIDNumber,4550)="","",INDEX(I.Facility.P2aIDNumber,4550))</f>
        <v/>
      </c>
      <c r="G9562" s="51"/>
      <c r="H9562" s="46" t="str">
        <f>IF(AND(I.Developer.P2a=TRUE,I.Facility.P2aFacilityCount&gt;=4550,F9562=""),"Incomplete","Complete")</f>
        <v>Complete</v>
      </c>
      <c r="I9562" s="48" t="s">
        <v>13927</v>
      </c>
    </row>
    <row r="9563" spans="2:9" ht="15" customHeight="1" x14ac:dyDescent="0.25">
      <c r="B9563" s="55" t="s">
        <v>280</v>
      </c>
      <c r="C9563" s="46">
        <v>4551</v>
      </c>
      <c r="D9563" s="69" t="s">
        <v>29417</v>
      </c>
      <c r="E9563" s="51"/>
      <c r="F9563" s="114" t="str">
        <f>IF(INDEX(I.Facility.P2aIDNumber,4551)="","",INDEX(I.Facility.P2aIDNumber,4551))</f>
        <v/>
      </c>
      <c r="G9563" s="51"/>
      <c r="H9563" s="46" t="str">
        <f>IF(AND(I.Developer.P2a=TRUE,I.Facility.P2aFacilityCount&gt;=4551,F9563=""),"Incomplete","Complete")</f>
        <v>Complete</v>
      </c>
      <c r="I9563" s="48" t="s">
        <v>13928</v>
      </c>
    </row>
    <row r="9564" spans="2:9" ht="15" customHeight="1" x14ac:dyDescent="0.25">
      <c r="B9564" s="55" t="s">
        <v>280</v>
      </c>
      <c r="C9564" s="46">
        <v>4552</v>
      </c>
      <c r="D9564" s="69" t="s">
        <v>29417</v>
      </c>
      <c r="E9564" s="51"/>
      <c r="F9564" s="114" t="str">
        <f>IF(INDEX(I.Facility.P2aIDNumber,4552)="","",INDEX(I.Facility.P2aIDNumber,4552))</f>
        <v/>
      </c>
      <c r="G9564" s="51"/>
      <c r="H9564" s="46" t="str">
        <f>IF(AND(I.Developer.P2a=TRUE,I.Facility.P2aFacilityCount&gt;=4552,F9564=""),"Incomplete","Complete")</f>
        <v>Complete</v>
      </c>
      <c r="I9564" s="48" t="s">
        <v>13929</v>
      </c>
    </row>
    <row r="9565" spans="2:9" ht="15" customHeight="1" x14ac:dyDescent="0.25">
      <c r="B9565" s="55" t="s">
        <v>280</v>
      </c>
      <c r="C9565" s="46">
        <v>4553</v>
      </c>
      <c r="D9565" s="69" t="s">
        <v>29417</v>
      </c>
      <c r="E9565" s="51"/>
      <c r="F9565" s="114" t="str">
        <f>IF(INDEX(I.Facility.P2aIDNumber,4553)="","",INDEX(I.Facility.P2aIDNumber,4553))</f>
        <v/>
      </c>
      <c r="G9565" s="51"/>
      <c r="H9565" s="46" t="str">
        <f>IF(AND(I.Developer.P2a=TRUE,I.Facility.P2aFacilityCount&gt;=4553,F9565=""),"Incomplete","Complete")</f>
        <v>Complete</v>
      </c>
      <c r="I9565" s="48" t="s">
        <v>13930</v>
      </c>
    </row>
    <row r="9566" spans="2:9" ht="15" customHeight="1" x14ac:dyDescent="0.25">
      <c r="B9566" s="55" t="s">
        <v>280</v>
      </c>
      <c r="C9566" s="46">
        <v>4554</v>
      </c>
      <c r="D9566" s="69" t="s">
        <v>29417</v>
      </c>
      <c r="E9566" s="51"/>
      <c r="F9566" s="114" t="str">
        <f>IF(INDEX(I.Facility.P2aIDNumber,4554)="","",INDEX(I.Facility.P2aIDNumber,4554))</f>
        <v/>
      </c>
      <c r="G9566" s="51"/>
      <c r="H9566" s="46" t="str">
        <f>IF(AND(I.Developer.P2a=TRUE,I.Facility.P2aFacilityCount&gt;=4554,F9566=""),"Incomplete","Complete")</f>
        <v>Complete</v>
      </c>
      <c r="I9566" s="48" t="s">
        <v>13931</v>
      </c>
    </row>
    <row r="9567" spans="2:9" ht="15" customHeight="1" x14ac:dyDescent="0.25">
      <c r="B9567" s="55" t="s">
        <v>280</v>
      </c>
      <c r="C9567" s="46">
        <v>4555</v>
      </c>
      <c r="D9567" s="69" t="s">
        <v>29417</v>
      </c>
      <c r="E9567" s="51"/>
      <c r="F9567" s="114" t="str">
        <f>IF(INDEX(I.Facility.P2aIDNumber,4555)="","",INDEX(I.Facility.P2aIDNumber,4555))</f>
        <v/>
      </c>
      <c r="G9567" s="51"/>
      <c r="H9567" s="46" t="str">
        <f>IF(AND(I.Developer.P2a=TRUE,I.Facility.P2aFacilityCount&gt;=4555,F9567=""),"Incomplete","Complete")</f>
        <v>Complete</v>
      </c>
      <c r="I9567" s="48" t="s">
        <v>13932</v>
      </c>
    </row>
    <row r="9568" spans="2:9" ht="15" customHeight="1" x14ac:dyDescent="0.25">
      <c r="B9568" s="55" t="s">
        <v>280</v>
      </c>
      <c r="C9568" s="46">
        <v>4556</v>
      </c>
      <c r="D9568" s="69" t="s">
        <v>29417</v>
      </c>
      <c r="E9568" s="51"/>
      <c r="F9568" s="114" t="str">
        <f>IF(INDEX(I.Facility.P2aIDNumber,4556)="","",INDEX(I.Facility.P2aIDNumber,4556))</f>
        <v/>
      </c>
      <c r="G9568" s="51"/>
      <c r="H9568" s="46" t="str">
        <f>IF(AND(I.Developer.P2a=TRUE,I.Facility.P2aFacilityCount&gt;=4556,F9568=""),"Incomplete","Complete")</f>
        <v>Complete</v>
      </c>
      <c r="I9568" s="48" t="s">
        <v>13933</v>
      </c>
    </row>
    <row r="9569" spans="2:9" ht="15" customHeight="1" x14ac:dyDescent="0.25">
      <c r="B9569" s="55" t="s">
        <v>280</v>
      </c>
      <c r="C9569" s="46">
        <v>4557</v>
      </c>
      <c r="D9569" s="69" t="s">
        <v>29417</v>
      </c>
      <c r="E9569" s="51"/>
      <c r="F9569" s="114" t="str">
        <f>IF(INDEX(I.Facility.P2aIDNumber,4557)="","",INDEX(I.Facility.P2aIDNumber,4557))</f>
        <v/>
      </c>
      <c r="G9569" s="51"/>
      <c r="H9569" s="46" t="str">
        <f>IF(AND(I.Developer.P2a=TRUE,I.Facility.P2aFacilityCount&gt;=4557,F9569=""),"Incomplete","Complete")</f>
        <v>Complete</v>
      </c>
      <c r="I9569" s="48" t="s">
        <v>13934</v>
      </c>
    </row>
    <row r="9570" spans="2:9" ht="15" customHeight="1" x14ac:dyDescent="0.25">
      <c r="B9570" s="55" t="s">
        <v>280</v>
      </c>
      <c r="C9570" s="46">
        <v>4558</v>
      </c>
      <c r="D9570" s="69" t="s">
        <v>29417</v>
      </c>
      <c r="E9570" s="51"/>
      <c r="F9570" s="114" t="str">
        <f>IF(INDEX(I.Facility.P2aIDNumber,4558)="","",INDEX(I.Facility.P2aIDNumber,4558))</f>
        <v/>
      </c>
      <c r="G9570" s="51"/>
      <c r="H9570" s="46" t="str">
        <f>IF(AND(I.Developer.P2a=TRUE,I.Facility.P2aFacilityCount&gt;=4558,F9570=""),"Incomplete","Complete")</f>
        <v>Complete</v>
      </c>
      <c r="I9570" s="48" t="s">
        <v>13935</v>
      </c>
    </row>
    <row r="9571" spans="2:9" ht="15" customHeight="1" x14ac:dyDescent="0.25">
      <c r="B9571" s="55" t="s">
        <v>280</v>
      </c>
      <c r="C9571" s="46">
        <v>4559</v>
      </c>
      <c r="D9571" s="69" t="s">
        <v>29417</v>
      </c>
      <c r="E9571" s="51"/>
      <c r="F9571" s="114" t="str">
        <f>IF(INDEX(I.Facility.P2aIDNumber,4559)="","",INDEX(I.Facility.P2aIDNumber,4559))</f>
        <v/>
      </c>
      <c r="G9571" s="51"/>
      <c r="H9571" s="46" t="str">
        <f>IF(AND(I.Developer.P2a=TRUE,I.Facility.P2aFacilityCount&gt;=4559,F9571=""),"Incomplete","Complete")</f>
        <v>Complete</v>
      </c>
      <c r="I9571" s="48" t="s">
        <v>13936</v>
      </c>
    </row>
    <row r="9572" spans="2:9" ht="15" customHeight="1" x14ac:dyDescent="0.25">
      <c r="B9572" s="55" t="s">
        <v>280</v>
      </c>
      <c r="C9572" s="46">
        <v>4560</v>
      </c>
      <c r="D9572" s="69" t="s">
        <v>29417</v>
      </c>
      <c r="E9572" s="51"/>
      <c r="F9572" s="114" t="str">
        <f>IF(INDEX(I.Facility.P2aIDNumber,4560)="","",INDEX(I.Facility.P2aIDNumber,4560))</f>
        <v/>
      </c>
      <c r="G9572" s="51"/>
      <c r="H9572" s="46" t="str">
        <f>IF(AND(I.Developer.P2a=TRUE,I.Facility.P2aFacilityCount&gt;=4560,F9572=""),"Incomplete","Complete")</f>
        <v>Complete</v>
      </c>
      <c r="I9572" s="48" t="s">
        <v>13937</v>
      </c>
    </row>
    <row r="9573" spans="2:9" ht="15" customHeight="1" x14ac:dyDescent="0.25">
      <c r="B9573" s="55" t="s">
        <v>280</v>
      </c>
      <c r="C9573" s="46">
        <v>4561</v>
      </c>
      <c r="D9573" s="69" t="s">
        <v>29417</v>
      </c>
      <c r="E9573" s="51"/>
      <c r="F9573" s="114" t="str">
        <f>IF(INDEX(I.Facility.P2aIDNumber,4561)="","",INDEX(I.Facility.P2aIDNumber,4561))</f>
        <v/>
      </c>
      <c r="G9573" s="51"/>
      <c r="H9573" s="46" t="str">
        <f>IF(AND(I.Developer.P2a=TRUE,I.Facility.P2aFacilityCount&gt;=4561,F9573=""),"Incomplete","Complete")</f>
        <v>Complete</v>
      </c>
      <c r="I9573" s="48" t="s">
        <v>13938</v>
      </c>
    </row>
    <row r="9574" spans="2:9" ht="15" customHeight="1" x14ac:dyDescent="0.25">
      <c r="B9574" s="55" t="s">
        <v>280</v>
      </c>
      <c r="C9574" s="46">
        <v>4562</v>
      </c>
      <c r="D9574" s="69" t="s">
        <v>29417</v>
      </c>
      <c r="E9574" s="51"/>
      <c r="F9574" s="114" t="str">
        <f>IF(INDEX(I.Facility.P2aIDNumber,4562)="","",INDEX(I.Facility.P2aIDNumber,4562))</f>
        <v/>
      </c>
      <c r="G9574" s="51"/>
      <c r="H9574" s="46" t="str">
        <f>IF(AND(I.Developer.P2a=TRUE,I.Facility.P2aFacilityCount&gt;=4562,F9574=""),"Incomplete","Complete")</f>
        <v>Complete</v>
      </c>
      <c r="I9574" s="48" t="s">
        <v>13939</v>
      </c>
    </row>
    <row r="9575" spans="2:9" ht="15" customHeight="1" x14ac:dyDescent="0.25">
      <c r="B9575" s="55" t="s">
        <v>280</v>
      </c>
      <c r="C9575" s="46">
        <v>4563</v>
      </c>
      <c r="D9575" s="69" t="s">
        <v>29417</v>
      </c>
      <c r="E9575" s="51"/>
      <c r="F9575" s="114" t="str">
        <f>IF(INDEX(I.Facility.P2aIDNumber,4563)="","",INDEX(I.Facility.P2aIDNumber,4563))</f>
        <v/>
      </c>
      <c r="G9575" s="51"/>
      <c r="H9575" s="46" t="str">
        <f>IF(AND(I.Developer.P2a=TRUE,I.Facility.P2aFacilityCount&gt;=4563,F9575=""),"Incomplete","Complete")</f>
        <v>Complete</v>
      </c>
      <c r="I9575" s="48" t="s">
        <v>13940</v>
      </c>
    </row>
    <row r="9576" spans="2:9" ht="15" customHeight="1" x14ac:dyDescent="0.25">
      <c r="B9576" s="55" t="s">
        <v>280</v>
      </c>
      <c r="C9576" s="46">
        <v>4564</v>
      </c>
      <c r="D9576" s="69" t="s">
        <v>29417</v>
      </c>
      <c r="E9576" s="51"/>
      <c r="F9576" s="114" t="str">
        <f>IF(INDEX(I.Facility.P2aIDNumber,4564)="","",INDEX(I.Facility.P2aIDNumber,4564))</f>
        <v/>
      </c>
      <c r="G9576" s="51"/>
      <c r="H9576" s="46" t="str">
        <f>IF(AND(I.Developer.P2a=TRUE,I.Facility.P2aFacilityCount&gt;=4564,F9576=""),"Incomplete","Complete")</f>
        <v>Complete</v>
      </c>
      <c r="I9576" s="48" t="s">
        <v>13941</v>
      </c>
    </row>
    <row r="9577" spans="2:9" ht="15" customHeight="1" x14ac:dyDescent="0.25">
      <c r="B9577" s="55" t="s">
        <v>280</v>
      </c>
      <c r="C9577" s="46">
        <v>4565</v>
      </c>
      <c r="D9577" s="69" t="s">
        <v>29417</v>
      </c>
      <c r="E9577" s="51"/>
      <c r="F9577" s="114" t="str">
        <f>IF(INDEX(I.Facility.P2aIDNumber,4565)="","",INDEX(I.Facility.P2aIDNumber,4565))</f>
        <v/>
      </c>
      <c r="G9577" s="51"/>
      <c r="H9577" s="46" t="str">
        <f>IF(AND(I.Developer.P2a=TRUE,I.Facility.P2aFacilityCount&gt;=4565,F9577=""),"Incomplete","Complete")</f>
        <v>Complete</v>
      </c>
      <c r="I9577" s="48" t="s">
        <v>13942</v>
      </c>
    </row>
    <row r="9578" spans="2:9" ht="15" customHeight="1" x14ac:dyDescent="0.25">
      <c r="B9578" s="55" t="s">
        <v>280</v>
      </c>
      <c r="C9578" s="46">
        <v>4566</v>
      </c>
      <c r="D9578" s="69" t="s">
        <v>29417</v>
      </c>
      <c r="E9578" s="51"/>
      <c r="F9578" s="114" t="str">
        <f>IF(INDEX(I.Facility.P2aIDNumber,4566)="","",INDEX(I.Facility.P2aIDNumber,4566))</f>
        <v/>
      </c>
      <c r="G9578" s="51"/>
      <c r="H9578" s="46" t="str">
        <f>IF(AND(I.Developer.P2a=TRUE,I.Facility.P2aFacilityCount&gt;=4566,F9578=""),"Incomplete","Complete")</f>
        <v>Complete</v>
      </c>
      <c r="I9578" s="48" t="s">
        <v>13943</v>
      </c>
    </row>
    <row r="9579" spans="2:9" ht="15" customHeight="1" x14ac:dyDescent="0.25">
      <c r="B9579" s="55" t="s">
        <v>280</v>
      </c>
      <c r="C9579" s="46">
        <v>4567</v>
      </c>
      <c r="D9579" s="69" t="s">
        <v>29417</v>
      </c>
      <c r="E9579" s="51"/>
      <c r="F9579" s="114" t="str">
        <f>IF(INDEX(I.Facility.P2aIDNumber,4567)="","",INDEX(I.Facility.P2aIDNumber,4567))</f>
        <v/>
      </c>
      <c r="G9579" s="51"/>
      <c r="H9579" s="46" t="str">
        <f>IF(AND(I.Developer.P2a=TRUE,I.Facility.P2aFacilityCount&gt;=4567,F9579=""),"Incomplete","Complete")</f>
        <v>Complete</v>
      </c>
      <c r="I9579" s="48" t="s">
        <v>13944</v>
      </c>
    </row>
    <row r="9580" spans="2:9" ht="15" customHeight="1" x14ac:dyDescent="0.25">
      <c r="B9580" s="55" t="s">
        <v>280</v>
      </c>
      <c r="C9580" s="46">
        <v>4568</v>
      </c>
      <c r="D9580" s="69" t="s">
        <v>29417</v>
      </c>
      <c r="E9580" s="51"/>
      <c r="F9580" s="114" t="str">
        <f>IF(INDEX(I.Facility.P2aIDNumber,4568)="","",INDEX(I.Facility.P2aIDNumber,4568))</f>
        <v/>
      </c>
      <c r="G9580" s="51"/>
      <c r="H9580" s="46" t="str">
        <f>IF(AND(I.Developer.P2a=TRUE,I.Facility.P2aFacilityCount&gt;=4568,F9580=""),"Incomplete","Complete")</f>
        <v>Complete</v>
      </c>
      <c r="I9580" s="48" t="s">
        <v>13945</v>
      </c>
    </row>
    <row r="9581" spans="2:9" ht="15" customHeight="1" x14ac:dyDescent="0.25">
      <c r="B9581" s="55" t="s">
        <v>280</v>
      </c>
      <c r="C9581" s="46">
        <v>4569</v>
      </c>
      <c r="D9581" s="69" t="s">
        <v>29417</v>
      </c>
      <c r="E9581" s="51"/>
      <c r="F9581" s="114" t="str">
        <f>IF(INDEX(I.Facility.P2aIDNumber,4569)="","",INDEX(I.Facility.P2aIDNumber,4569))</f>
        <v/>
      </c>
      <c r="G9581" s="51"/>
      <c r="H9581" s="46" t="str">
        <f>IF(AND(I.Developer.P2a=TRUE,I.Facility.P2aFacilityCount&gt;=4569,F9581=""),"Incomplete","Complete")</f>
        <v>Complete</v>
      </c>
      <c r="I9581" s="48" t="s">
        <v>13946</v>
      </c>
    </row>
    <row r="9582" spans="2:9" ht="15" customHeight="1" x14ac:dyDescent="0.25">
      <c r="B9582" s="55" t="s">
        <v>280</v>
      </c>
      <c r="C9582" s="46">
        <v>4570</v>
      </c>
      <c r="D9582" s="69" t="s">
        <v>29417</v>
      </c>
      <c r="E9582" s="51"/>
      <c r="F9582" s="114" t="str">
        <f>IF(INDEX(I.Facility.P2aIDNumber,4570)="","",INDEX(I.Facility.P2aIDNumber,4570))</f>
        <v/>
      </c>
      <c r="G9582" s="51"/>
      <c r="H9582" s="46" t="str">
        <f>IF(AND(I.Developer.P2a=TRUE,I.Facility.P2aFacilityCount&gt;=4570,F9582=""),"Incomplete","Complete")</f>
        <v>Complete</v>
      </c>
      <c r="I9582" s="48" t="s">
        <v>13947</v>
      </c>
    </row>
    <row r="9583" spans="2:9" ht="15" customHeight="1" x14ac:dyDescent="0.25">
      <c r="B9583" s="55" t="s">
        <v>280</v>
      </c>
      <c r="C9583" s="46">
        <v>4571</v>
      </c>
      <c r="D9583" s="69" t="s">
        <v>29417</v>
      </c>
      <c r="E9583" s="51"/>
      <c r="F9583" s="114" t="str">
        <f>IF(INDEX(I.Facility.P2aIDNumber,4571)="","",INDEX(I.Facility.P2aIDNumber,4571))</f>
        <v/>
      </c>
      <c r="G9583" s="51"/>
      <c r="H9583" s="46" t="str">
        <f>IF(AND(I.Developer.P2a=TRUE,I.Facility.P2aFacilityCount&gt;=4571,F9583=""),"Incomplete","Complete")</f>
        <v>Complete</v>
      </c>
      <c r="I9583" s="48" t="s">
        <v>13948</v>
      </c>
    </row>
    <row r="9584" spans="2:9" ht="15" customHeight="1" x14ac:dyDescent="0.25">
      <c r="B9584" s="55" t="s">
        <v>280</v>
      </c>
      <c r="C9584" s="46">
        <v>4572</v>
      </c>
      <c r="D9584" s="69" t="s">
        <v>29417</v>
      </c>
      <c r="E9584" s="51"/>
      <c r="F9584" s="114" t="str">
        <f>IF(INDEX(I.Facility.P2aIDNumber,4572)="","",INDEX(I.Facility.P2aIDNumber,4572))</f>
        <v/>
      </c>
      <c r="G9584" s="51"/>
      <c r="H9584" s="46" t="str">
        <f>IF(AND(I.Developer.P2a=TRUE,I.Facility.P2aFacilityCount&gt;=4572,F9584=""),"Incomplete","Complete")</f>
        <v>Complete</v>
      </c>
      <c r="I9584" s="48" t="s">
        <v>13949</v>
      </c>
    </row>
    <row r="9585" spans="2:9" ht="15" customHeight="1" x14ac:dyDescent="0.25">
      <c r="B9585" s="55" t="s">
        <v>280</v>
      </c>
      <c r="C9585" s="46">
        <v>4573</v>
      </c>
      <c r="D9585" s="69" t="s">
        <v>29417</v>
      </c>
      <c r="E9585" s="51"/>
      <c r="F9585" s="114" t="str">
        <f>IF(INDEX(I.Facility.P2aIDNumber,4573)="","",INDEX(I.Facility.P2aIDNumber,4573))</f>
        <v/>
      </c>
      <c r="G9585" s="51"/>
      <c r="H9585" s="46" t="str">
        <f>IF(AND(I.Developer.P2a=TRUE,I.Facility.P2aFacilityCount&gt;=4573,F9585=""),"Incomplete","Complete")</f>
        <v>Complete</v>
      </c>
      <c r="I9585" s="48" t="s">
        <v>13950</v>
      </c>
    </row>
    <row r="9586" spans="2:9" ht="15" customHeight="1" x14ac:dyDescent="0.25">
      <c r="B9586" s="55" t="s">
        <v>280</v>
      </c>
      <c r="C9586" s="46">
        <v>4574</v>
      </c>
      <c r="D9586" s="69" t="s">
        <v>29417</v>
      </c>
      <c r="E9586" s="51"/>
      <c r="F9586" s="114" t="str">
        <f>IF(INDEX(I.Facility.P2aIDNumber,4574)="","",INDEX(I.Facility.P2aIDNumber,4574))</f>
        <v/>
      </c>
      <c r="G9586" s="51"/>
      <c r="H9586" s="46" t="str">
        <f>IF(AND(I.Developer.P2a=TRUE,I.Facility.P2aFacilityCount&gt;=4574,F9586=""),"Incomplete","Complete")</f>
        <v>Complete</v>
      </c>
      <c r="I9586" s="48" t="s">
        <v>13951</v>
      </c>
    </row>
    <row r="9587" spans="2:9" ht="15" customHeight="1" x14ac:dyDescent="0.25">
      <c r="B9587" s="55" t="s">
        <v>280</v>
      </c>
      <c r="C9587" s="46">
        <v>4575</v>
      </c>
      <c r="D9587" s="69" t="s">
        <v>29417</v>
      </c>
      <c r="E9587" s="51"/>
      <c r="F9587" s="114" t="str">
        <f>IF(INDEX(I.Facility.P2aIDNumber,4575)="","",INDEX(I.Facility.P2aIDNumber,4575))</f>
        <v/>
      </c>
      <c r="G9587" s="51"/>
      <c r="H9587" s="46" t="str">
        <f>IF(AND(I.Developer.P2a=TRUE,I.Facility.P2aFacilityCount&gt;=4575,F9587=""),"Incomplete","Complete")</f>
        <v>Complete</v>
      </c>
      <c r="I9587" s="48" t="s">
        <v>13952</v>
      </c>
    </row>
    <row r="9588" spans="2:9" ht="15" customHeight="1" x14ac:dyDescent="0.25">
      <c r="B9588" s="55" t="s">
        <v>280</v>
      </c>
      <c r="C9588" s="46">
        <v>4576</v>
      </c>
      <c r="D9588" s="69" t="s">
        <v>29417</v>
      </c>
      <c r="E9588" s="51"/>
      <c r="F9588" s="114" t="str">
        <f>IF(INDEX(I.Facility.P2aIDNumber,4576)="","",INDEX(I.Facility.P2aIDNumber,4576))</f>
        <v/>
      </c>
      <c r="G9588" s="51"/>
      <c r="H9588" s="46" t="str">
        <f>IF(AND(I.Developer.P2a=TRUE,I.Facility.P2aFacilityCount&gt;=4576,F9588=""),"Incomplete","Complete")</f>
        <v>Complete</v>
      </c>
      <c r="I9588" s="48" t="s">
        <v>13953</v>
      </c>
    </row>
    <row r="9589" spans="2:9" ht="15" customHeight="1" x14ac:dyDescent="0.25">
      <c r="B9589" s="55" t="s">
        <v>280</v>
      </c>
      <c r="C9589" s="46">
        <v>4577</v>
      </c>
      <c r="D9589" s="69" t="s">
        <v>29417</v>
      </c>
      <c r="E9589" s="51"/>
      <c r="F9589" s="114" t="str">
        <f>IF(INDEX(I.Facility.P2aIDNumber,4577)="","",INDEX(I.Facility.P2aIDNumber,4577))</f>
        <v/>
      </c>
      <c r="G9589" s="51"/>
      <c r="H9589" s="46" t="str">
        <f>IF(AND(I.Developer.P2a=TRUE,I.Facility.P2aFacilityCount&gt;=4577,F9589=""),"Incomplete","Complete")</f>
        <v>Complete</v>
      </c>
      <c r="I9589" s="48" t="s">
        <v>13954</v>
      </c>
    </row>
    <row r="9590" spans="2:9" ht="15" customHeight="1" x14ac:dyDescent="0.25">
      <c r="B9590" s="55" t="s">
        <v>280</v>
      </c>
      <c r="C9590" s="46">
        <v>4578</v>
      </c>
      <c r="D9590" s="69" t="s">
        <v>29417</v>
      </c>
      <c r="E9590" s="51"/>
      <c r="F9590" s="114" t="str">
        <f>IF(INDEX(I.Facility.P2aIDNumber,4578)="","",INDEX(I.Facility.P2aIDNumber,4578))</f>
        <v/>
      </c>
      <c r="G9590" s="51"/>
      <c r="H9590" s="46" t="str">
        <f>IF(AND(I.Developer.P2a=TRUE,I.Facility.P2aFacilityCount&gt;=4578,F9590=""),"Incomplete","Complete")</f>
        <v>Complete</v>
      </c>
      <c r="I9590" s="48" t="s">
        <v>13955</v>
      </c>
    </row>
    <row r="9591" spans="2:9" ht="15" customHeight="1" x14ac:dyDescent="0.25">
      <c r="B9591" s="55" t="s">
        <v>280</v>
      </c>
      <c r="C9591" s="46">
        <v>4579</v>
      </c>
      <c r="D9591" s="69" t="s">
        <v>29417</v>
      </c>
      <c r="E9591" s="51"/>
      <c r="F9591" s="114" t="str">
        <f>IF(INDEX(I.Facility.P2aIDNumber,4579)="","",INDEX(I.Facility.P2aIDNumber,4579))</f>
        <v/>
      </c>
      <c r="G9591" s="51"/>
      <c r="H9591" s="46" t="str">
        <f>IF(AND(I.Developer.P2a=TRUE,I.Facility.P2aFacilityCount&gt;=4579,F9591=""),"Incomplete","Complete")</f>
        <v>Complete</v>
      </c>
      <c r="I9591" s="48" t="s">
        <v>13956</v>
      </c>
    </row>
    <row r="9592" spans="2:9" ht="15" customHeight="1" x14ac:dyDescent="0.25">
      <c r="B9592" s="55" t="s">
        <v>280</v>
      </c>
      <c r="C9592" s="46">
        <v>4580</v>
      </c>
      <c r="D9592" s="69" t="s">
        <v>29417</v>
      </c>
      <c r="E9592" s="51"/>
      <c r="F9592" s="114" t="str">
        <f>IF(INDEX(I.Facility.P2aIDNumber,4580)="","",INDEX(I.Facility.P2aIDNumber,4580))</f>
        <v/>
      </c>
      <c r="G9592" s="51"/>
      <c r="H9592" s="46" t="str">
        <f>IF(AND(I.Developer.P2a=TRUE,I.Facility.P2aFacilityCount&gt;=4580,F9592=""),"Incomplete","Complete")</f>
        <v>Complete</v>
      </c>
      <c r="I9592" s="48" t="s">
        <v>13957</v>
      </c>
    </row>
    <row r="9593" spans="2:9" ht="15" customHeight="1" x14ac:dyDescent="0.25">
      <c r="B9593" s="55" t="s">
        <v>280</v>
      </c>
      <c r="C9593" s="46">
        <v>4581</v>
      </c>
      <c r="D9593" s="69" t="s">
        <v>29417</v>
      </c>
      <c r="E9593" s="51"/>
      <c r="F9593" s="114" t="str">
        <f>IF(INDEX(I.Facility.P2aIDNumber,4581)="","",INDEX(I.Facility.P2aIDNumber,4581))</f>
        <v/>
      </c>
      <c r="G9593" s="51"/>
      <c r="H9593" s="46" t="str">
        <f>IF(AND(I.Developer.P2a=TRUE,I.Facility.P2aFacilityCount&gt;=4581,F9593=""),"Incomplete","Complete")</f>
        <v>Complete</v>
      </c>
      <c r="I9593" s="48" t="s">
        <v>13958</v>
      </c>
    </row>
    <row r="9594" spans="2:9" ht="15" customHeight="1" x14ac:dyDescent="0.25">
      <c r="B9594" s="55" t="s">
        <v>280</v>
      </c>
      <c r="C9594" s="46">
        <v>4582</v>
      </c>
      <c r="D9594" s="69" t="s">
        <v>29417</v>
      </c>
      <c r="E9594" s="51"/>
      <c r="F9594" s="114" t="str">
        <f>IF(INDEX(I.Facility.P2aIDNumber,4582)="","",INDEX(I.Facility.P2aIDNumber,4582))</f>
        <v/>
      </c>
      <c r="G9594" s="51"/>
      <c r="H9594" s="46" t="str">
        <f>IF(AND(I.Developer.P2a=TRUE,I.Facility.P2aFacilityCount&gt;=4582,F9594=""),"Incomplete","Complete")</f>
        <v>Complete</v>
      </c>
      <c r="I9594" s="48" t="s">
        <v>13959</v>
      </c>
    </row>
    <row r="9595" spans="2:9" ht="15" customHeight="1" x14ac:dyDescent="0.25">
      <c r="B9595" s="55" t="s">
        <v>280</v>
      </c>
      <c r="C9595" s="46">
        <v>4583</v>
      </c>
      <c r="D9595" s="69" t="s">
        <v>29417</v>
      </c>
      <c r="E9595" s="51"/>
      <c r="F9595" s="114" t="str">
        <f>IF(INDEX(I.Facility.P2aIDNumber,4583)="","",INDEX(I.Facility.P2aIDNumber,4583))</f>
        <v/>
      </c>
      <c r="G9595" s="51"/>
      <c r="H9595" s="46" t="str">
        <f>IF(AND(I.Developer.P2a=TRUE,I.Facility.P2aFacilityCount&gt;=4583,F9595=""),"Incomplete","Complete")</f>
        <v>Complete</v>
      </c>
      <c r="I9595" s="48" t="s">
        <v>13960</v>
      </c>
    </row>
    <row r="9596" spans="2:9" ht="15" customHeight="1" x14ac:dyDescent="0.25">
      <c r="B9596" s="55" t="s">
        <v>280</v>
      </c>
      <c r="C9596" s="46">
        <v>4584</v>
      </c>
      <c r="D9596" s="69" t="s">
        <v>29417</v>
      </c>
      <c r="E9596" s="51"/>
      <c r="F9596" s="114" t="str">
        <f>IF(INDEX(I.Facility.P2aIDNumber,4584)="","",INDEX(I.Facility.P2aIDNumber,4584))</f>
        <v/>
      </c>
      <c r="G9596" s="51"/>
      <c r="H9596" s="46" t="str">
        <f>IF(AND(I.Developer.P2a=TRUE,I.Facility.P2aFacilityCount&gt;=4584,F9596=""),"Incomplete","Complete")</f>
        <v>Complete</v>
      </c>
      <c r="I9596" s="48" t="s">
        <v>13961</v>
      </c>
    </row>
    <row r="9597" spans="2:9" ht="15" customHeight="1" x14ac:dyDescent="0.25">
      <c r="B9597" s="55" t="s">
        <v>280</v>
      </c>
      <c r="C9597" s="46">
        <v>4585</v>
      </c>
      <c r="D9597" s="69" t="s">
        <v>29417</v>
      </c>
      <c r="E9597" s="51"/>
      <c r="F9597" s="114" t="str">
        <f>IF(INDEX(I.Facility.P2aIDNumber,4585)="","",INDEX(I.Facility.P2aIDNumber,4585))</f>
        <v/>
      </c>
      <c r="G9597" s="51"/>
      <c r="H9597" s="46" t="str">
        <f>IF(AND(I.Developer.P2a=TRUE,I.Facility.P2aFacilityCount&gt;=4585,F9597=""),"Incomplete","Complete")</f>
        <v>Complete</v>
      </c>
      <c r="I9597" s="48" t="s">
        <v>13962</v>
      </c>
    </row>
    <row r="9598" spans="2:9" ht="15" customHeight="1" x14ac:dyDescent="0.25">
      <c r="B9598" s="55" t="s">
        <v>280</v>
      </c>
      <c r="C9598" s="46">
        <v>4586</v>
      </c>
      <c r="D9598" s="69" t="s">
        <v>29417</v>
      </c>
      <c r="E9598" s="51"/>
      <c r="F9598" s="114" t="str">
        <f>IF(INDEX(I.Facility.P2aIDNumber,4586)="","",INDEX(I.Facility.P2aIDNumber,4586))</f>
        <v/>
      </c>
      <c r="G9598" s="51"/>
      <c r="H9598" s="46" t="str">
        <f>IF(AND(I.Developer.P2a=TRUE,I.Facility.P2aFacilityCount&gt;=4586,F9598=""),"Incomplete","Complete")</f>
        <v>Complete</v>
      </c>
      <c r="I9598" s="48" t="s">
        <v>13963</v>
      </c>
    </row>
    <row r="9599" spans="2:9" ht="15" customHeight="1" x14ac:dyDescent="0.25">
      <c r="B9599" s="55" t="s">
        <v>280</v>
      </c>
      <c r="C9599" s="46">
        <v>4587</v>
      </c>
      <c r="D9599" s="69" t="s">
        <v>29417</v>
      </c>
      <c r="E9599" s="51"/>
      <c r="F9599" s="114" t="str">
        <f>IF(INDEX(I.Facility.P2aIDNumber,4587)="","",INDEX(I.Facility.P2aIDNumber,4587))</f>
        <v/>
      </c>
      <c r="G9599" s="51"/>
      <c r="H9599" s="46" t="str">
        <f>IF(AND(I.Developer.P2a=TRUE,I.Facility.P2aFacilityCount&gt;=4587,F9599=""),"Incomplete","Complete")</f>
        <v>Complete</v>
      </c>
      <c r="I9599" s="48" t="s">
        <v>13964</v>
      </c>
    </row>
    <row r="9600" spans="2:9" ht="15" customHeight="1" x14ac:dyDescent="0.25">
      <c r="B9600" s="55" t="s">
        <v>280</v>
      </c>
      <c r="C9600" s="46">
        <v>4588</v>
      </c>
      <c r="D9600" s="69" t="s">
        <v>29417</v>
      </c>
      <c r="E9600" s="51"/>
      <c r="F9600" s="114" t="str">
        <f>IF(INDEX(I.Facility.P2aIDNumber,4588)="","",INDEX(I.Facility.P2aIDNumber,4588))</f>
        <v/>
      </c>
      <c r="G9600" s="51"/>
      <c r="H9600" s="46" t="str">
        <f>IF(AND(I.Developer.P2a=TRUE,I.Facility.P2aFacilityCount&gt;=4588,F9600=""),"Incomplete","Complete")</f>
        <v>Complete</v>
      </c>
      <c r="I9600" s="48" t="s">
        <v>13965</v>
      </c>
    </row>
    <row r="9601" spans="2:9" ht="15" customHeight="1" x14ac:dyDescent="0.25">
      <c r="B9601" s="55" t="s">
        <v>280</v>
      </c>
      <c r="C9601" s="46">
        <v>4589</v>
      </c>
      <c r="D9601" s="69" t="s">
        <v>29417</v>
      </c>
      <c r="E9601" s="51"/>
      <c r="F9601" s="114" t="str">
        <f>IF(INDEX(I.Facility.P2aIDNumber,4589)="","",INDEX(I.Facility.P2aIDNumber,4589))</f>
        <v/>
      </c>
      <c r="G9601" s="51"/>
      <c r="H9601" s="46" t="str">
        <f>IF(AND(I.Developer.P2a=TRUE,I.Facility.P2aFacilityCount&gt;=4589,F9601=""),"Incomplete","Complete")</f>
        <v>Complete</v>
      </c>
      <c r="I9601" s="48" t="s">
        <v>13966</v>
      </c>
    </row>
    <row r="9602" spans="2:9" ht="15" customHeight="1" x14ac:dyDescent="0.25">
      <c r="B9602" s="55" t="s">
        <v>280</v>
      </c>
      <c r="C9602" s="46">
        <v>4590</v>
      </c>
      <c r="D9602" s="69" t="s">
        <v>29417</v>
      </c>
      <c r="E9602" s="51"/>
      <c r="F9602" s="114" t="str">
        <f>IF(INDEX(I.Facility.P2aIDNumber,4590)="","",INDEX(I.Facility.P2aIDNumber,4590))</f>
        <v/>
      </c>
      <c r="G9602" s="51"/>
      <c r="H9602" s="46" t="str">
        <f>IF(AND(I.Developer.P2a=TRUE,I.Facility.P2aFacilityCount&gt;=4590,F9602=""),"Incomplete","Complete")</f>
        <v>Complete</v>
      </c>
      <c r="I9602" s="48" t="s">
        <v>13967</v>
      </c>
    </row>
    <row r="9603" spans="2:9" ht="15" customHeight="1" x14ac:dyDescent="0.25">
      <c r="B9603" s="55" t="s">
        <v>280</v>
      </c>
      <c r="C9603" s="46">
        <v>4591</v>
      </c>
      <c r="D9603" s="69" t="s">
        <v>29417</v>
      </c>
      <c r="E9603" s="51"/>
      <c r="F9603" s="114" t="str">
        <f>IF(INDEX(I.Facility.P2aIDNumber,4591)="","",INDEX(I.Facility.P2aIDNumber,4591))</f>
        <v/>
      </c>
      <c r="G9603" s="51"/>
      <c r="H9603" s="46" t="str">
        <f>IF(AND(I.Developer.P2a=TRUE,I.Facility.P2aFacilityCount&gt;=4591,F9603=""),"Incomplete","Complete")</f>
        <v>Complete</v>
      </c>
      <c r="I9603" s="48" t="s">
        <v>13968</v>
      </c>
    </row>
    <row r="9604" spans="2:9" ht="15" customHeight="1" x14ac:dyDescent="0.25">
      <c r="B9604" s="55" t="s">
        <v>280</v>
      </c>
      <c r="C9604" s="46">
        <v>4592</v>
      </c>
      <c r="D9604" s="69" t="s">
        <v>29417</v>
      </c>
      <c r="E9604" s="51"/>
      <c r="F9604" s="114" t="str">
        <f>IF(INDEX(I.Facility.P2aIDNumber,4592)="","",INDEX(I.Facility.P2aIDNumber,4592))</f>
        <v/>
      </c>
      <c r="G9604" s="51"/>
      <c r="H9604" s="46" t="str">
        <f>IF(AND(I.Developer.P2a=TRUE,I.Facility.P2aFacilityCount&gt;=4592,F9604=""),"Incomplete","Complete")</f>
        <v>Complete</v>
      </c>
      <c r="I9604" s="48" t="s">
        <v>13969</v>
      </c>
    </row>
    <row r="9605" spans="2:9" ht="15" customHeight="1" x14ac:dyDescent="0.25">
      <c r="B9605" s="55" t="s">
        <v>280</v>
      </c>
      <c r="C9605" s="46">
        <v>4593</v>
      </c>
      <c r="D9605" s="69" t="s">
        <v>29417</v>
      </c>
      <c r="E9605" s="51"/>
      <c r="F9605" s="114" t="str">
        <f>IF(INDEX(I.Facility.P2aIDNumber,4593)="","",INDEX(I.Facility.P2aIDNumber,4593))</f>
        <v/>
      </c>
      <c r="G9605" s="51"/>
      <c r="H9605" s="46" t="str">
        <f>IF(AND(I.Developer.P2a=TRUE,I.Facility.P2aFacilityCount&gt;=4593,F9605=""),"Incomplete","Complete")</f>
        <v>Complete</v>
      </c>
      <c r="I9605" s="48" t="s">
        <v>13970</v>
      </c>
    </row>
    <row r="9606" spans="2:9" ht="15" customHeight="1" x14ac:dyDescent="0.25">
      <c r="B9606" s="55" t="s">
        <v>280</v>
      </c>
      <c r="C9606" s="46">
        <v>4594</v>
      </c>
      <c r="D9606" s="69" t="s">
        <v>29417</v>
      </c>
      <c r="E9606" s="51"/>
      <c r="F9606" s="114" t="str">
        <f>IF(INDEX(I.Facility.P2aIDNumber,4594)="","",INDEX(I.Facility.P2aIDNumber,4594))</f>
        <v/>
      </c>
      <c r="G9606" s="51"/>
      <c r="H9606" s="46" t="str">
        <f>IF(AND(I.Developer.P2a=TRUE,I.Facility.P2aFacilityCount&gt;=4594,F9606=""),"Incomplete","Complete")</f>
        <v>Complete</v>
      </c>
      <c r="I9606" s="48" t="s">
        <v>13971</v>
      </c>
    </row>
    <row r="9607" spans="2:9" ht="15" customHeight="1" x14ac:dyDescent="0.25">
      <c r="B9607" s="55" t="s">
        <v>280</v>
      </c>
      <c r="C9607" s="46">
        <v>4595</v>
      </c>
      <c r="D9607" s="69" t="s">
        <v>29417</v>
      </c>
      <c r="E9607" s="51"/>
      <c r="F9607" s="114" t="str">
        <f>IF(INDEX(I.Facility.P2aIDNumber,4595)="","",INDEX(I.Facility.P2aIDNumber,4595))</f>
        <v/>
      </c>
      <c r="G9607" s="51"/>
      <c r="H9607" s="46" t="str">
        <f>IF(AND(I.Developer.P2a=TRUE,I.Facility.P2aFacilityCount&gt;=4595,F9607=""),"Incomplete","Complete")</f>
        <v>Complete</v>
      </c>
      <c r="I9607" s="48" t="s">
        <v>13972</v>
      </c>
    </row>
    <row r="9608" spans="2:9" ht="15" customHeight="1" x14ac:dyDescent="0.25">
      <c r="B9608" s="55" t="s">
        <v>280</v>
      </c>
      <c r="C9608" s="46">
        <v>4596</v>
      </c>
      <c r="D9608" s="69" t="s">
        <v>29417</v>
      </c>
      <c r="E9608" s="51"/>
      <c r="F9608" s="114" t="str">
        <f>IF(INDEX(I.Facility.P2aIDNumber,4596)="","",INDEX(I.Facility.P2aIDNumber,4596))</f>
        <v/>
      </c>
      <c r="G9608" s="51"/>
      <c r="H9608" s="46" t="str">
        <f>IF(AND(I.Developer.P2a=TRUE,I.Facility.P2aFacilityCount&gt;=4596,F9608=""),"Incomplete","Complete")</f>
        <v>Complete</v>
      </c>
      <c r="I9608" s="48" t="s">
        <v>13973</v>
      </c>
    </row>
    <row r="9609" spans="2:9" ht="15" customHeight="1" x14ac:dyDescent="0.25">
      <c r="B9609" s="55" t="s">
        <v>280</v>
      </c>
      <c r="C9609" s="46">
        <v>4597</v>
      </c>
      <c r="D9609" s="69" t="s">
        <v>29417</v>
      </c>
      <c r="E9609" s="51"/>
      <c r="F9609" s="114" t="str">
        <f>IF(INDEX(I.Facility.P2aIDNumber,4597)="","",INDEX(I.Facility.P2aIDNumber,4597))</f>
        <v/>
      </c>
      <c r="G9609" s="51"/>
      <c r="H9609" s="46" t="str">
        <f>IF(AND(I.Developer.P2a=TRUE,I.Facility.P2aFacilityCount&gt;=4597,F9609=""),"Incomplete","Complete")</f>
        <v>Complete</v>
      </c>
      <c r="I9609" s="48" t="s">
        <v>13974</v>
      </c>
    </row>
    <row r="9610" spans="2:9" ht="15" customHeight="1" x14ac:dyDescent="0.25">
      <c r="B9610" s="55" t="s">
        <v>280</v>
      </c>
      <c r="C9610" s="46">
        <v>4598</v>
      </c>
      <c r="D9610" s="69" t="s">
        <v>29417</v>
      </c>
      <c r="E9610" s="51"/>
      <c r="F9610" s="114" t="str">
        <f>IF(INDEX(I.Facility.P2aIDNumber,4598)="","",INDEX(I.Facility.P2aIDNumber,4598))</f>
        <v/>
      </c>
      <c r="G9610" s="51"/>
      <c r="H9610" s="46" t="str">
        <f>IF(AND(I.Developer.P2a=TRUE,I.Facility.P2aFacilityCount&gt;=4598,F9610=""),"Incomplete","Complete")</f>
        <v>Complete</v>
      </c>
      <c r="I9610" s="48" t="s">
        <v>13975</v>
      </c>
    </row>
    <row r="9611" spans="2:9" ht="15" customHeight="1" x14ac:dyDescent="0.25">
      <c r="B9611" s="55" t="s">
        <v>280</v>
      </c>
      <c r="C9611" s="46">
        <v>4599</v>
      </c>
      <c r="D9611" s="69" t="s">
        <v>29417</v>
      </c>
      <c r="E9611" s="51"/>
      <c r="F9611" s="114" t="str">
        <f>IF(INDEX(I.Facility.P2aIDNumber,4599)="","",INDEX(I.Facility.P2aIDNumber,4599))</f>
        <v/>
      </c>
      <c r="G9611" s="51"/>
      <c r="H9611" s="46" t="str">
        <f>IF(AND(I.Developer.P2a=TRUE,I.Facility.P2aFacilityCount&gt;=4599,F9611=""),"Incomplete","Complete")</f>
        <v>Complete</v>
      </c>
      <c r="I9611" s="48" t="s">
        <v>13976</v>
      </c>
    </row>
    <row r="9612" spans="2:9" ht="15" customHeight="1" x14ac:dyDescent="0.25">
      <c r="B9612" s="55" t="s">
        <v>280</v>
      </c>
      <c r="C9612" s="46">
        <v>4600</v>
      </c>
      <c r="D9612" s="69" t="s">
        <v>29417</v>
      </c>
      <c r="E9612" s="51"/>
      <c r="F9612" s="114" t="str">
        <f>IF(INDEX(I.Facility.P2aIDNumber,4600)="","",INDEX(I.Facility.P2aIDNumber,4600))</f>
        <v/>
      </c>
      <c r="G9612" s="51"/>
      <c r="H9612" s="46" t="str">
        <f>IF(AND(I.Developer.P2a=TRUE,I.Facility.P2aFacilityCount&gt;=4600,F9612=""),"Incomplete","Complete")</f>
        <v>Complete</v>
      </c>
      <c r="I9612" s="48" t="s">
        <v>13977</v>
      </c>
    </row>
    <row r="9613" spans="2:9" ht="15" customHeight="1" x14ac:dyDescent="0.25">
      <c r="B9613" s="55" t="s">
        <v>280</v>
      </c>
      <c r="C9613" s="46">
        <v>4601</v>
      </c>
      <c r="D9613" s="69" t="s">
        <v>29417</v>
      </c>
      <c r="E9613" s="51"/>
      <c r="F9613" s="114" t="str">
        <f>IF(INDEX(I.Facility.P2aIDNumber,4601)="","",INDEX(I.Facility.P2aIDNumber,4601))</f>
        <v/>
      </c>
      <c r="G9613" s="51"/>
      <c r="H9613" s="46" t="str">
        <f>IF(AND(I.Developer.P2a=TRUE,I.Facility.P2aFacilityCount&gt;=4601,F9613=""),"Incomplete","Complete")</f>
        <v>Complete</v>
      </c>
      <c r="I9613" s="48" t="s">
        <v>13978</v>
      </c>
    </row>
    <row r="9614" spans="2:9" ht="15" customHeight="1" x14ac:dyDescent="0.25">
      <c r="B9614" s="55" t="s">
        <v>280</v>
      </c>
      <c r="C9614" s="46">
        <v>4602</v>
      </c>
      <c r="D9614" s="69" t="s">
        <v>29417</v>
      </c>
      <c r="E9614" s="51"/>
      <c r="F9614" s="114" t="str">
        <f>IF(INDEX(I.Facility.P2aIDNumber,4602)="","",INDEX(I.Facility.P2aIDNumber,4602))</f>
        <v/>
      </c>
      <c r="G9614" s="51"/>
      <c r="H9614" s="46" t="str">
        <f>IF(AND(I.Developer.P2a=TRUE,I.Facility.P2aFacilityCount&gt;=4602,F9614=""),"Incomplete","Complete")</f>
        <v>Complete</v>
      </c>
      <c r="I9614" s="48" t="s">
        <v>13979</v>
      </c>
    </row>
    <row r="9615" spans="2:9" ht="15" customHeight="1" x14ac:dyDescent="0.25">
      <c r="B9615" s="55" t="s">
        <v>280</v>
      </c>
      <c r="C9615" s="46">
        <v>4603</v>
      </c>
      <c r="D9615" s="69" t="s">
        <v>29417</v>
      </c>
      <c r="E9615" s="51"/>
      <c r="F9615" s="114" t="str">
        <f>IF(INDEX(I.Facility.P2aIDNumber,4603)="","",INDEX(I.Facility.P2aIDNumber,4603))</f>
        <v/>
      </c>
      <c r="G9615" s="51"/>
      <c r="H9615" s="46" t="str">
        <f>IF(AND(I.Developer.P2a=TRUE,I.Facility.P2aFacilityCount&gt;=4603,F9615=""),"Incomplete","Complete")</f>
        <v>Complete</v>
      </c>
      <c r="I9615" s="48" t="s">
        <v>13980</v>
      </c>
    </row>
    <row r="9616" spans="2:9" ht="15" customHeight="1" x14ac:dyDescent="0.25">
      <c r="B9616" s="55" t="s">
        <v>280</v>
      </c>
      <c r="C9616" s="46">
        <v>4604</v>
      </c>
      <c r="D9616" s="69" t="s">
        <v>29417</v>
      </c>
      <c r="E9616" s="51"/>
      <c r="F9616" s="114" t="str">
        <f>IF(INDEX(I.Facility.P2aIDNumber,4604)="","",INDEX(I.Facility.P2aIDNumber,4604))</f>
        <v/>
      </c>
      <c r="G9616" s="51"/>
      <c r="H9616" s="46" t="str">
        <f>IF(AND(I.Developer.P2a=TRUE,I.Facility.P2aFacilityCount&gt;=4604,F9616=""),"Incomplete","Complete")</f>
        <v>Complete</v>
      </c>
      <c r="I9616" s="48" t="s">
        <v>13981</v>
      </c>
    </row>
    <row r="9617" spans="2:9" ht="15" customHeight="1" x14ac:dyDescent="0.25">
      <c r="B9617" s="55" t="s">
        <v>280</v>
      </c>
      <c r="C9617" s="46">
        <v>4605</v>
      </c>
      <c r="D9617" s="69" t="s">
        <v>29417</v>
      </c>
      <c r="E9617" s="51"/>
      <c r="F9617" s="114" t="str">
        <f>IF(INDEX(I.Facility.P2aIDNumber,4605)="","",INDEX(I.Facility.P2aIDNumber,4605))</f>
        <v/>
      </c>
      <c r="G9617" s="51"/>
      <c r="H9617" s="46" t="str">
        <f>IF(AND(I.Developer.P2a=TRUE,I.Facility.P2aFacilityCount&gt;=4605,F9617=""),"Incomplete","Complete")</f>
        <v>Complete</v>
      </c>
      <c r="I9617" s="48" t="s">
        <v>13982</v>
      </c>
    </row>
    <row r="9618" spans="2:9" ht="15" customHeight="1" x14ac:dyDescent="0.25">
      <c r="B9618" s="55" t="s">
        <v>280</v>
      </c>
      <c r="C9618" s="46">
        <v>4606</v>
      </c>
      <c r="D9618" s="69" t="s">
        <v>29417</v>
      </c>
      <c r="E9618" s="51"/>
      <c r="F9618" s="114" t="str">
        <f>IF(INDEX(I.Facility.P2aIDNumber,4606)="","",INDEX(I.Facility.P2aIDNumber,4606))</f>
        <v/>
      </c>
      <c r="G9618" s="51"/>
      <c r="H9618" s="46" t="str">
        <f>IF(AND(I.Developer.P2a=TRUE,I.Facility.P2aFacilityCount&gt;=4606,F9618=""),"Incomplete","Complete")</f>
        <v>Complete</v>
      </c>
      <c r="I9618" s="48" t="s">
        <v>13983</v>
      </c>
    </row>
    <row r="9619" spans="2:9" ht="15" customHeight="1" x14ac:dyDescent="0.25">
      <c r="B9619" s="55" t="s">
        <v>280</v>
      </c>
      <c r="C9619" s="46">
        <v>4607</v>
      </c>
      <c r="D9619" s="69" t="s">
        <v>29417</v>
      </c>
      <c r="E9619" s="51"/>
      <c r="F9619" s="114" t="str">
        <f>IF(INDEX(I.Facility.P2aIDNumber,4607)="","",INDEX(I.Facility.P2aIDNumber,4607))</f>
        <v/>
      </c>
      <c r="G9619" s="51"/>
      <c r="H9619" s="46" t="str">
        <f>IF(AND(I.Developer.P2a=TRUE,I.Facility.P2aFacilityCount&gt;=4607,F9619=""),"Incomplete","Complete")</f>
        <v>Complete</v>
      </c>
      <c r="I9619" s="48" t="s">
        <v>13984</v>
      </c>
    </row>
    <row r="9620" spans="2:9" ht="15" customHeight="1" x14ac:dyDescent="0.25">
      <c r="B9620" s="55" t="s">
        <v>280</v>
      </c>
      <c r="C9620" s="46">
        <v>4608</v>
      </c>
      <c r="D9620" s="69" t="s">
        <v>29417</v>
      </c>
      <c r="E9620" s="51"/>
      <c r="F9620" s="114" t="str">
        <f>IF(INDEX(I.Facility.P2aIDNumber,4608)="","",INDEX(I.Facility.P2aIDNumber,4608))</f>
        <v/>
      </c>
      <c r="G9620" s="51"/>
      <c r="H9620" s="46" t="str">
        <f>IF(AND(I.Developer.P2a=TRUE,I.Facility.P2aFacilityCount&gt;=4608,F9620=""),"Incomplete","Complete")</f>
        <v>Complete</v>
      </c>
      <c r="I9620" s="48" t="s">
        <v>13985</v>
      </c>
    </row>
    <row r="9621" spans="2:9" ht="15" customHeight="1" x14ac:dyDescent="0.25">
      <c r="B9621" s="55" t="s">
        <v>280</v>
      </c>
      <c r="C9621" s="46">
        <v>4609</v>
      </c>
      <c r="D9621" s="69" t="s">
        <v>29417</v>
      </c>
      <c r="E9621" s="51"/>
      <c r="F9621" s="114" t="str">
        <f>IF(INDEX(I.Facility.P2aIDNumber,4609)="","",INDEX(I.Facility.P2aIDNumber,4609))</f>
        <v/>
      </c>
      <c r="G9621" s="51"/>
      <c r="H9621" s="46" t="str">
        <f>IF(AND(I.Developer.P2a=TRUE,I.Facility.P2aFacilityCount&gt;=4609,F9621=""),"Incomplete","Complete")</f>
        <v>Complete</v>
      </c>
      <c r="I9621" s="48" t="s">
        <v>13986</v>
      </c>
    </row>
    <row r="9622" spans="2:9" ht="15" customHeight="1" x14ac:dyDescent="0.25">
      <c r="B9622" s="55" t="s">
        <v>280</v>
      </c>
      <c r="C9622" s="46">
        <v>4610</v>
      </c>
      <c r="D9622" s="69" t="s">
        <v>29417</v>
      </c>
      <c r="E9622" s="51"/>
      <c r="F9622" s="114" t="str">
        <f>IF(INDEX(I.Facility.P2aIDNumber,4610)="","",INDEX(I.Facility.P2aIDNumber,4610))</f>
        <v/>
      </c>
      <c r="G9622" s="51"/>
      <c r="H9622" s="46" t="str">
        <f>IF(AND(I.Developer.P2a=TRUE,I.Facility.P2aFacilityCount&gt;=4610,F9622=""),"Incomplete","Complete")</f>
        <v>Complete</v>
      </c>
      <c r="I9622" s="48" t="s">
        <v>13987</v>
      </c>
    </row>
    <row r="9623" spans="2:9" ht="15" customHeight="1" x14ac:dyDescent="0.25">
      <c r="B9623" s="55" t="s">
        <v>280</v>
      </c>
      <c r="C9623" s="46">
        <v>4611</v>
      </c>
      <c r="D9623" s="69" t="s">
        <v>29417</v>
      </c>
      <c r="E9623" s="51"/>
      <c r="F9623" s="114" t="str">
        <f>IF(INDEX(I.Facility.P2aIDNumber,4611)="","",INDEX(I.Facility.P2aIDNumber,4611))</f>
        <v/>
      </c>
      <c r="G9623" s="51"/>
      <c r="H9623" s="46" t="str">
        <f>IF(AND(I.Developer.P2a=TRUE,I.Facility.P2aFacilityCount&gt;=4611,F9623=""),"Incomplete","Complete")</f>
        <v>Complete</v>
      </c>
      <c r="I9623" s="48" t="s">
        <v>13988</v>
      </c>
    </row>
    <row r="9624" spans="2:9" ht="15" customHeight="1" x14ac:dyDescent="0.25">
      <c r="B9624" s="55" t="s">
        <v>280</v>
      </c>
      <c r="C9624" s="46">
        <v>4612</v>
      </c>
      <c r="D9624" s="69" t="s">
        <v>29417</v>
      </c>
      <c r="E9624" s="51"/>
      <c r="F9624" s="114" t="str">
        <f>IF(INDEX(I.Facility.P2aIDNumber,4612)="","",INDEX(I.Facility.P2aIDNumber,4612))</f>
        <v/>
      </c>
      <c r="G9624" s="51"/>
      <c r="H9624" s="46" t="str">
        <f>IF(AND(I.Developer.P2a=TRUE,I.Facility.P2aFacilityCount&gt;=4612,F9624=""),"Incomplete","Complete")</f>
        <v>Complete</v>
      </c>
      <c r="I9624" s="48" t="s">
        <v>13989</v>
      </c>
    </row>
    <row r="9625" spans="2:9" ht="15" customHeight="1" x14ac:dyDescent="0.25">
      <c r="B9625" s="55" t="s">
        <v>280</v>
      </c>
      <c r="C9625" s="46">
        <v>4613</v>
      </c>
      <c r="D9625" s="69" t="s">
        <v>29417</v>
      </c>
      <c r="E9625" s="51"/>
      <c r="F9625" s="114" t="str">
        <f>IF(INDEX(I.Facility.P2aIDNumber,4613)="","",INDEX(I.Facility.P2aIDNumber,4613))</f>
        <v/>
      </c>
      <c r="G9625" s="51"/>
      <c r="H9625" s="46" t="str">
        <f>IF(AND(I.Developer.P2a=TRUE,I.Facility.P2aFacilityCount&gt;=4613,F9625=""),"Incomplete","Complete")</f>
        <v>Complete</v>
      </c>
      <c r="I9625" s="48" t="s">
        <v>13990</v>
      </c>
    </row>
    <row r="9626" spans="2:9" ht="15" customHeight="1" x14ac:dyDescent="0.25">
      <c r="B9626" s="55" t="s">
        <v>280</v>
      </c>
      <c r="C9626" s="46">
        <v>4614</v>
      </c>
      <c r="D9626" s="69" t="s">
        <v>29417</v>
      </c>
      <c r="E9626" s="51"/>
      <c r="F9626" s="114" t="str">
        <f>IF(INDEX(I.Facility.P2aIDNumber,4614)="","",INDEX(I.Facility.P2aIDNumber,4614))</f>
        <v/>
      </c>
      <c r="G9626" s="51"/>
      <c r="H9626" s="46" t="str">
        <f>IF(AND(I.Developer.P2a=TRUE,I.Facility.P2aFacilityCount&gt;=4614,F9626=""),"Incomplete","Complete")</f>
        <v>Complete</v>
      </c>
      <c r="I9626" s="48" t="s">
        <v>13991</v>
      </c>
    </row>
    <row r="9627" spans="2:9" ht="15" customHeight="1" x14ac:dyDescent="0.25">
      <c r="B9627" s="55" t="s">
        <v>280</v>
      </c>
      <c r="C9627" s="46">
        <v>4615</v>
      </c>
      <c r="D9627" s="69" t="s">
        <v>29417</v>
      </c>
      <c r="E9627" s="51"/>
      <c r="F9627" s="114" t="str">
        <f>IF(INDEX(I.Facility.P2aIDNumber,4615)="","",INDEX(I.Facility.P2aIDNumber,4615))</f>
        <v/>
      </c>
      <c r="G9627" s="51"/>
      <c r="H9627" s="46" t="str">
        <f>IF(AND(I.Developer.P2a=TRUE,I.Facility.P2aFacilityCount&gt;=4615,F9627=""),"Incomplete","Complete")</f>
        <v>Complete</v>
      </c>
      <c r="I9627" s="48" t="s">
        <v>13992</v>
      </c>
    </row>
    <row r="9628" spans="2:9" ht="15" customHeight="1" x14ac:dyDescent="0.25">
      <c r="B9628" s="55" t="s">
        <v>280</v>
      </c>
      <c r="C9628" s="46">
        <v>4616</v>
      </c>
      <c r="D9628" s="69" t="s">
        <v>29417</v>
      </c>
      <c r="E9628" s="51"/>
      <c r="F9628" s="114" t="str">
        <f>IF(INDEX(I.Facility.P2aIDNumber,4616)="","",INDEX(I.Facility.P2aIDNumber,4616))</f>
        <v/>
      </c>
      <c r="G9628" s="51"/>
      <c r="H9628" s="46" t="str">
        <f>IF(AND(I.Developer.P2a=TRUE,I.Facility.P2aFacilityCount&gt;=4616,F9628=""),"Incomplete","Complete")</f>
        <v>Complete</v>
      </c>
      <c r="I9628" s="48" t="s">
        <v>13993</v>
      </c>
    </row>
    <row r="9629" spans="2:9" ht="15" customHeight="1" x14ac:dyDescent="0.25">
      <c r="B9629" s="55" t="s">
        <v>280</v>
      </c>
      <c r="C9629" s="46">
        <v>4617</v>
      </c>
      <c r="D9629" s="69" t="s">
        <v>29417</v>
      </c>
      <c r="E9629" s="51"/>
      <c r="F9629" s="114" t="str">
        <f>IF(INDEX(I.Facility.P2aIDNumber,4617)="","",INDEX(I.Facility.P2aIDNumber,4617))</f>
        <v/>
      </c>
      <c r="G9629" s="51"/>
      <c r="H9629" s="46" t="str">
        <f>IF(AND(I.Developer.P2a=TRUE,I.Facility.P2aFacilityCount&gt;=4617,F9629=""),"Incomplete","Complete")</f>
        <v>Complete</v>
      </c>
      <c r="I9629" s="48" t="s">
        <v>13994</v>
      </c>
    </row>
    <row r="9630" spans="2:9" ht="15" customHeight="1" x14ac:dyDescent="0.25">
      <c r="B9630" s="55" t="s">
        <v>280</v>
      </c>
      <c r="C9630" s="46">
        <v>4618</v>
      </c>
      <c r="D9630" s="69" t="s">
        <v>29417</v>
      </c>
      <c r="E9630" s="51"/>
      <c r="F9630" s="114" t="str">
        <f>IF(INDEX(I.Facility.P2aIDNumber,4618)="","",INDEX(I.Facility.P2aIDNumber,4618))</f>
        <v/>
      </c>
      <c r="G9630" s="51"/>
      <c r="H9630" s="46" t="str">
        <f>IF(AND(I.Developer.P2a=TRUE,I.Facility.P2aFacilityCount&gt;=4618,F9630=""),"Incomplete","Complete")</f>
        <v>Complete</v>
      </c>
      <c r="I9630" s="48" t="s">
        <v>13995</v>
      </c>
    </row>
    <row r="9631" spans="2:9" ht="15" customHeight="1" x14ac:dyDescent="0.25">
      <c r="B9631" s="55" t="s">
        <v>280</v>
      </c>
      <c r="C9631" s="46">
        <v>4619</v>
      </c>
      <c r="D9631" s="69" t="s">
        <v>29417</v>
      </c>
      <c r="E9631" s="51"/>
      <c r="F9631" s="114" t="str">
        <f>IF(INDEX(I.Facility.P2aIDNumber,4619)="","",INDEX(I.Facility.P2aIDNumber,4619))</f>
        <v/>
      </c>
      <c r="G9631" s="51"/>
      <c r="H9631" s="46" t="str">
        <f>IF(AND(I.Developer.P2a=TRUE,I.Facility.P2aFacilityCount&gt;=4619,F9631=""),"Incomplete","Complete")</f>
        <v>Complete</v>
      </c>
      <c r="I9631" s="48" t="s">
        <v>13996</v>
      </c>
    </row>
    <row r="9632" spans="2:9" ht="15" customHeight="1" x14ac:dyDescent="0.25">
      <c r="B9632" s="55" t="s">
        <v>280</v>
      </c>
      <c r="C9632" s="46">
        <v>4620</v>
      </c>
      <c r="D9632" s="69" t="s">
        <v>29417</v>
      </c>
      <c r="E9632" s="51"/>
      <c r="F9632" s="114" t="str">
        <f>IF(INDEX(I.Facility.P2aIDNumber,4620)="","",INDEX(I.Facility.P2aIDNumber,4620))</f>
        <v/>
      </c>
      <c r="G9632" s="51"/>
      <c r="H9632" s="46" t="str">
        <f>IF(AND(I.Developer.P2a=TRUE,I.Facility.P2aFacilityCount&gt;=4620,F9632=""),"Incomplete","Complete")</f>
        <v>Complete</v>
      </c>
      <c r="I9632" s="48" t="s">
        <v>13997</v>
      </c>
    </row>
    <row r="9633" spans="2:9" ht="15" customHeight="1" x14ac:dyDescent="0.25">
      <c r="B9633" s="55" t="s">
        <v>280</v>
      </c>
      <c r="C9633" s="46">
        <v>4621</v>
      </c>
      <c r="D9633" s="69" t="s">
        <v>29417</v>
      </c>
      <c r="E9633" s="51"/>
      <c r="F9633" s="114" t="str">
        <f>IF(INDEX(I.Facility.P2aIDNumber,4621)="","",INDEX(I.Facility.P2aIDNumber,4621))</f>
        <v/>
      </c>
      <c r="G9633" s="51"/>
      <c r="H9633" s="46" t="str">
        <f>IF(AND(I.Developer.P2a=TRUE,I.Facility.P2aFacilityCount&gt;=4621,F9633=""),"Incomplete","Complete")</f>
        <v>Complete</v>
      </c>
      <c r="I9633" s="48" t="s">
        <v>13998</v>
      </c>
    </row>
    <row r="9634" spans="2:9" ht="15" customHeight="1" x14ac:dyDescent="0.25">
      <c r="B9634" s="55" t="s">
        <v>280</v>
      </c>
      <c r="C9634" s="46">
        <v>4622</v>
      </c>
      <c r="D9634" s="69" t="s">
        <v>29417</v>
      </c>
      <c r="E9634" s="51"/>
      <c r="F9634" s="114" t="str">
        <f>IF(INDEX(I.Facility.P2aIDNumber,4622)="","",INDEX(I.Facility.P2aIDNumber,4622))</f>
        <v/>
      </c>
      <c r="G9634" s="51"/>
      <c r="H9634" s="46" t="str">
        <f>IF(AND(I.Developer.P2a=TRUE,I.Facility.P2aFacilityCount&gt;=4622,F9634=""),"Incomplete","Complete")</f>
        <v>Complete</v>
      </c>
      <c r="I9634" s="48" t="s">
        <v>13999</v>
      </c>
    </row>
    <row r="9635" spans="2:9" ht="15" customHeight="1" x14ac:dyDescent="0.25">
      <c r="B9635" s="55" t="s">
        <v>280</v>
      </c>
      <c r="C9635" s="46">
        <v>4623</v>
      </c>
      <c r="D9635" s="69" t="s">
        <v>29417</v>
      </c>
      <c r="E9635" s="51"/>
      <c r="F9635" s="114" t="str">
        <f>IF(INDEX(I.Facility.P2aIDNumber,4623)="","",INDEX(I.Facility.P2aIDNumber,4623))</f>
        <v/>
      </c>
      <c r="G9635" s="51"/>
      <c r="H9635" s="46" t="str">
        <f>IF(AND(I.Developer.P2a=TRUE,I.Facility.P2aFacilityCount&gt;=4623,F9635=""),"Incomplete","Complete")</f>
        <v>Complete</v>
      </c>
      <c r="I9635" s="48" t="s">
        <v>14000</v>
      </c>
    </row>
    <row r="9636" spans="2:9" ht="15" customHeight="1" x14ac:dyDescent="0.25">
      <c r="B9636" s="55" t="s">
        <v>280</v>
      </c>
      <c r="C9636" s="46">
        <v>4624</v>
      </c>
      <c r="D9636" s="69" t="s">
        <v>29417</v>
      </c>
      <c r="E9636" s="51"/>
      <c r="F9636" s="114" t="str">
        <f>IF(INDEX(I.Facility.P2aIDNumber,4624)="","",INDEX(I.Facility.P2aIDNumber,4624))</f>
        <v/>
      </c>
      <c r="G9636" s="51"/>
      <c r="H9636" s="46" t="str">
        <f>IF(AND(I.Developer.P2a=TRUE,I.Facility.P2aFacilityCount&gt;=4624,F9636=""),"Incomplete","Complete")</f>
        <v>Complete</v>
      </c>
      <c r="I9636" s="48" t="s">
        <v>14001</v>
      </c>
    </row>
    <row r="9637" spans="2:9" ht="15" customHeight="1" x14ac:dyDescent="0.25">
      <c r="B9637" s="55" t="s">
        <v>280</v>
      </c>
      <c r="C9637" s="46">
        <v>4625</v>
      </c>
      <c r="D9637" s="69" t="s">
        <v>29417</v>
      </c>
      <c r="E9637" s="51"/>
      <c r="F9637" s="114" t="str">
        <f>IF(INDEX(I.Facility.P2aIDNumber,4625)="","",INDEX(I.Facility.P2aIDNumber,4625))</f>
        <v/>
      </c>
      <c r="G9637" s="51"/>
      <c r="H9637" s="46" t="str">
        <f>IF(AND(I.Developer.P2a=TRUE,I.Facility.P2aFacilityCount&gt;=4625,F9637=""),"Incomplete","Complete")</f>
        <v>Complete</v>
      </c>
      <c r="I9637" s="48" t="s">
        <v>14002</v>
      </c>
    </row>
    <row r="9638" spans="2:9" ht="15" customHeight="1" x14ac:dyDescent="0.25">
      <c r="B9638" s="55" t="s">
        <v>280</v>
      </c>
      <c r="C9638" s="46">
        <v>4626</v>
      </c>
      <c r="D9638" s="69" t="s">
        <v>29417</v>
      </c>
      <c r="E9638" s="51"/>
      <c r="F9638" s="114" t="str">
        <f>IF(INDEX(I.Facility.P2aIDNumber,4626)="","",INDEX(I.Facility.P2aIDNumber,4626))</f>
        <v/>
      </c>
      <c r="G9638" s="51"/>
      <c r="H9638" s="46" t="str">
        <f>IF(AND(I.Developer.P2a=TRUE,I.Facility.P2aFacilityCount&gt;=4626,F9638=""),"Incomplete","Complete")</f>
        <v>Complete</v>
      </c>
      <c r="I9638" s="48" t="s">
        <v>14003</v>
      </c>
    </row>
    <row r="9639" spans="2:9" ht="15" customHeight="1" x14ac:dyDescent="0.25">
      <c r="B9639" s="55" t="s">
        <v>280</v>
      </c>
      <c r="C9639" s="46">
        <v>4627</v>
      </c>
      <c r="D9639" s="69" t="s">
        <v>29417</v>
      </c>
      <c r="E9639" s="51"/>
      <c r="F9639" s="114" t="str">
        <f>IF(INDEX(I.Facility.P2aIDNumber,4627)="","",INDEX(I.Facility.P2aIDNumber,4627))</f>
        <v/>
      </c>
      <c r="G9639" s="51"/>
      <c r="H9639" s="46" t="str">
        <f>IF(AND(I.Developer.P2a=TRUE,I.Facility.P2aFacilityCount&gt;=4627,F9639=""),"Incomplete","Complete")</f>
        <v>Complete</v>
      </c>
      <c r="I9639" s="48" t="s">
        <v>14004</v>
      </c>
    </row>
    <row r="9640" spans="2:9" ht="15" customHeight="1" x14ac:dyDescent="0.25">
      <c r="B9640" s="55" t="s">
        <v>280</v>
      </c>
      <c r="C9640" s="46">
        <v>4628</v>
      </c>
      <c r="D9640" s="69" t="s">
        <v>29417</v>
      </c>
      <c r="E9640" s="51"/>
      <c r="F9640" s="114" t="str">
        <f>IF(INDEX(I.Facility.P2aIDNumber,4628)="","",INDEX(I.Facility.P2aIDNumber,4628))</f>
        <v/>
      </c>
      <c r="G9640" s="51"/>
      <c r="H9640" s="46" t="str">
        <f>IF(AND(I.Developer.P2a=TRUE,I.Facility.P2aFacilityCount&gt;=4628,F9640=""),"Incomplete","Complete")</f>
        <v>Complete</v>
      </c>
      <c r="I9640" s="48" t="s">
        <v>14005</v>
      </c>
    </row>
    <row r="9641" spans="2:9" ht="15" customHeight="1" x14ac:dyDescent="0.25">
      <c r="B9641" s="55" t="s">
        <v>280</v>
      </c>
      <c r="C9641" s="46">
        <v>4629</v>
      </c>
      <c r="D9641" s="69" t="s">
        <v>29417</v>
      </c>
      <c r="E9641" s="51"/>
      <c r="F9641" s="114" t="str">
        <f>IF(INDEX(I.Facility.P2aIDNumber,4629)="","",INDEX(I.Facility.P2aIDNumber,4629))</f>
        <v/>
      </c>
      <c r="G9641" s="51"/>
      <c r="H9641" s="46" t="str">
        <f>IF(AND(I.Developer.P2a=TRUE,I.Facility.P2aFacilityCount&gt;=4629,F9641=""),"Incomplete","Complete")</f>
        <v>Complete</v>
      </c>
      <c r="I9641" s="48" t="s">
        <v>14006</v>
      </c>
    </row>
    <row r="9642" spans="2:9" ht="15" customHeight="1" x14ac:dyDescent="0.25">
      <c r="B9642" s="55" t="s">
        <v>280</v>
      </c>
      <c r="C9642" s="46">
        <v>4630</v>
      </c>
      <c r="D9642" s="69" t="s">
        <v>29417</v>
      </c>
      <c r="E9642" s="51"/>
      <c r="F9642" s="114" t="str">
        <f>IF(INDEX(I.Facility.P2aIDNumber,4630)="","",INDEX(I.Facility.P2aIDNumber,4630))</f>
        <v/>
      </c>
      <c r="G9642" s="51"/>
      <c r="H9642" s="46" t="str">
        <f>IF(AND(I.Developer.P2a=TRUE,I.Facility.P2aFacilityCount&gt;=4630,F9642=""),"Incomplete","Complete")</f>
        <v>Complete</v>
      </c>
      <c r="I9642" s="48" t="s">
        <v>14007</v>
      </c>
    </row>
    <row r="9643" spans="2:9" ht="15" customHeight="1" x14ac:dyDescent="0.25">
      <c r="B9643" s="55" t="s">
        <v>280</v>
      </c>
      <c r="C9643" s="46">
        <v>4631</v>
      </c>
      <c r="D9643" s="69" t="s">
        <v>29417</v>
      </c>
      <c r="E9643" s="51"/>
      <c r="F9643" s="114" t="str">
        <f>IF(INDEX(I.Facility.P2aIDNumber,4631)="","",INDEX(I.Facility.P2aIDNumber,4631))</f>
        <v/>
      </c>
      <c r="G9643" s="51"/>
      <c r="H9643" s="46" t="str">
        <f>IF(AND(I.Developer.P2a=TRUE,I.Facility.P2aFacilityCount&gt;=4631,F9643=""),"Incomplete","Complete")</f>
        <v>Complete</v>
      </c>
      <c r="I9643" s="48" t="s">
        <v>14008</v>
      </c>
    </row>
    <row r="9644" spans="2:9" ht="15" customHeight="1" x14ac:dyDescent="0.25">
      <c r="B9644" s="55" t="s">
        <v>280</v>
      </c>
      <c r="C9644" s="46">
        <v>4632</v>
      </c>
      <c r="D9644" s="69" t="s">
        <v>29417</v>
      </c>
      <c r="E9644" s="51"/>
      <c r="F9644" s="114" t="str">
        <f>IF(INDEX(I.Facility.P2aIDNumber,4632)="","",INDEX(I.Facility.P2aIDNumber,4632))</f>
        <v/>
      </c>
      <c r="G9644" s="51"/>
      <c r="H9644" s="46" t="str">
        <f>IF(AND(I.Developer.P2a=TRUE,I.Facility.P2aFacilityCount&gt;=4632,F9644=""),"Incomplete","Complete")</f>
        <v>Complete</v>
      </c>
      <c r="I9644" s="48" t="s">
        <v>14009</v>
      </c>
    </row>
    <row r="9645" spans="2:9" ht="15" customHeight="1" x14ac:dyDescent="0.25">
      <c r="B9645" s="55" t="s">
        <v>280</v>
      </c>
      <c r="C9645" s="46">
        <v>4633</v>
      </c>
      <c r="D9645" s="69" t="s">
        <v>29417</v>
      </c>
      <c r="E9645" s="51"/>
      <c r="F9645" s="114" t="str">
        <f>IF(INDEX(I.Facility.P2aIDNumber,4633)="","",INDEX(I.Facility.P2aIDNumber,4633))</f>
        <v/>
      </c>
      <c r="G9645" s="51"/>
      <c r="H9645" s="46" t="str">
        <f>IF(AND(I.Developer.P2a=TRUE,I.Facility.P2aFacilityCount&gt;=4633,F9645=""),"Incomplete","Complete")</f>
        <v>Complete</v>
      </c>
      <c r="I9645" s="48" t="s">
        <v>14010</v>
      </c>
    </row>
    <row r="9646" spans="2:9" ht="15" customHeight="1" x14ac:dyDescent="0.25">
      <c r="B9646" s="55" t="s">
        <v>280</v>
      </c>
      <c r="C9646" s="46">
        <v>4634</v>
      </c>
      <c r="D9646" s="69" t="s">
        <v>29417</v>
      </c>
      <c r="E9646" s="51"/>
      <c r="F9646" s="114" t="str">
        <f>IF(INDEX(I.Facility.P2aIDNumber,4634)="","",INDEX(I.Facility.P2aIDNumber,4634))</f>
        <v/>
      </c>
      <c r="G9646" s="51"/>
      <c r="H9646" s="46" t="str">
        <f>IF(AND(I.Developer.P2a=TRUE,I.Facility.P2aFacilityCount&gt;=4634,F9646=""),"Incomplete","Complete")</f>
        <v>Complete</v>
      </c>
      <c r="I9646" s="48" t="s">
        <v>14011</v>
      </c>
    </row>
    <row r="9647" spans="2:9" ht="15" customHeight="1" x14ac:dyDescent="0.25">
      <c r="B9647" s="55" t="s">
        <v>280</v>
      </c>
      <c r="C9647" s="46">
        <v>4635</v>
      </c>
      <c r="D9647" s="69" t="s">
        <v>29417</v>
      </c>
      <c r="E9647" s="51"/>
      <c r="F9647" s="114" t="str">
        <f>IF(INDEX(I.Facility.P2aIDNumber,4635)="","",INDEX(I.Facility.P2aIDNumber,4635))</f>
        <v/>
      </c>
      <c r="G9647" s="51"/>
      <c r="H9647" s="46" t="str">
        <f>IF(AND(I.Developer.P2a=TRUE,I.Facility.P2aFacilityCount&gt;=4635,F9647=""),"Incomplete","Complete")</f>
        <v>Complete</v>
      </c>
      <c r="I9647" s="48" t="s">
        <v>14012</v>
      </c>
    </row>
    <row r="9648" spans="2:9" ht="15" customHeight="1" x14ac:dyDescent="0.25">
      <c r="B9648" s="55" t="s">
        <v>280</v>
      </c>
      <c r="C9648" s="46">
        <v>4636</v>
      </c>
      <c r="D9648" s="69" t="s">
        <v>29417</v>
      </c>
      <c r="E9648" s="51"/>
      <c r="F9648" s="114" t="str">
        <f>IF(INDEX(I.Facility.P2aIDNumber,4636)="","",INDEX(I.Facility.P2aIDNumber,4636))</f>
        <v/>
      </c>
      <c r="G9648" s="51"/>
      <c r="H9648" s="46" t="str">
        <f>IF(AND(I.Developer.P2a=TRUE,I.Facility.P2aFacilityCount&gt;=4636,F9648=""),"Incomplete","Complete")</f>
        <v>Complete</v>
      </c>
      <c r="I9648" s="48" t="s">
        <v>14013</v>
      </c>
    </row>
    <row r="9649" spans="2:9" ht="15" customHeight="1" x14ac:dyDescent="0.25">
      <c r="B9649" s="55" t="s">
        <v>280</v>
      </c>
      <c r="C9649" s="46">
        <v>4637</v>
      </c>
      <c r="D9649" s="69" t="s">
        <v>29417</v>
      </c>
      <c r="E9649" s="51"/>
      <c r="F9649" s="114" t="str">
        <f>IF(INDEX(I.Facility.P2aIDNumber,4637)="","",INDEX(I.Facility.P2aIDNumber,4637))</f>
        <v/>
      </c>
      <c r="G9649" s="51"/>
      <c r="H9649" s="46" t="str">
        <f>IF(AND(I.Developer.P2a=TRUE,I.Facility.P2aFacilityCount&gt;=4637,F9649=""),"Incomplete","Complete")</f>
        <v>Complete</v>
      </c>
      <c r="I9649" s="48" t="s">
        <v>14014</v>
      </c>
    </row>
    <row r="9650" spans="2:9" ht="15" customHeight="1" x14ac:dyDescent="0.25">
      <c r="B9650" s="55" t="s">
        <v>280</v>
      </c>
      <c r="C9650" s="46">
        <v>4638</v>
      </c>
      <c r="D9650" s="69" t="s">
        <v>29417</v>
      </c>
      <c r="E9650" s="51"/>
      <c r="F9650" s="114" t="str">
        <f>IF(INDEX(I.Facility.P2aIDNumber,4638)="","",INDEX(I.Facility.P2aIDNumber,4638))</f>
        <v/>
      </c>
      <c r="G9650" s="51"/>
      <c r="H9650" s="46" t="str">
        <f>IF(AND(I.Developer.P2a=TRUE,I.Facility.P2aFacilityCount&gt;=4638,F9650=""),"Incomplete","Complete")</f>
        <v>Complete</v>
      </c>
      <c r="I9650" s="48" t="s">
        <v>14015</v>
      </c>
    </row>
    <row r="9651" spans="2:9" ht="15" customHeight="1" x14ac:dyDescent="0.25">
      <c r="B9651" s="55" t="s">
        <v>280</v>
      </c>
      <c r="C9651" s="46">
        <v>4639</v>
      </c>
      <c r="D9651" s="69" t="s">
        <v>29417</v>
      </c>
      <c r="E9651" s="51"/>
      <c r="F9651" s="114" t="str">
        <f>IF(INDEX(I.Facility.P2aIDNumber,4639)="","",INDEX(I.Facility.P2aIDNumber,4639))</f>
        <v/>
      </c>
      <c r="G9651" s="51"/>
      <c r="H9651" s="46" t="str">
        <f>IF(AND(I.Developer.P2a=TRUE,I.Facility.P2aFacilityCount&gt;=4639,F9651=""),"Incomplete","Complete")</f>
        <v>Complete</v>
      </c>
      <c r="I9651" s="48" t="s">
        <v>14016</v>
      </c>
    </row>
    <row r="9652" spans="2:9" ht="15" customHeight="1" x14ac:dyDescent="0.25">
      <c r="B9652" s="55" t="s">
        <v>280</v>
      </c>
      <c r="C9652" s="46">
        <v>4640</v>
      </c>
      <c r="D9652" s="69" t="s">
        <v>29417</v>
      </c>
      <c r="E9652" s="51"/>
      <c r="F9652" s="114" t="str">
        <f>IF(INDEX(I.Facility.P2aIDNumber,4640)="","",INDEX(I.Facility.P2aIDNumber,4640))</f>
        <v/>
      </c>
      <c r="G9652" s="51"/>
      <c r="H9652" s="46" t="str">
        <f>IF(AND(I.Developer.P2a=TRUE,I.Facility.P2aFacilityCount&gt;=4640,F9652=""),"Incomplete","Complete")</f>
        <v>Complete</v>
      </c>
      <c r="I9652" s="48" t="s">
        <v>14017</v>
      </c>
    </row>
    <row r="9653" spans="2:9" ht="15" customHeight="1" x14ac:dyDescent="0.25">
      <c r="B9653" s="55" t="s">
        <v>280</v>
      </c>
      <c r="C9653" s="46">
        <v>4641</v>
      </c>
      <c r="D9653" s="69" t="s">
        <v>29417</v>
      </c>
      <c r="E9653" s="51"/>
      <c r="F9653" s="114" t="str">
        <f>IF(INDEX(I.Facility.P2aIDNumber,4641)="","",INDEX(I.Facility.P2aIDNumber,4641))</f>
        <v/>
      </c>
      <c r="G9653" s="51"/>
      <c r="H9653" s="46" t="str">
        <f>IF(AND(I.Developer.P2a=TRUE,I.Facility.P2aFacilityCount&gt;=4641,F9653=""),"Incomplete","Complete")</f>
        <v>Complete</v>
      </c>
      <c r="I9653" s="48" t="s">
        <v>14018</v>
      </c>
    </row>
    <row r="9654" spans="2:9" ht="15" customHeight="1" x14ac:dyDescent="0.25">
      <c r="B9654" s="55" t="s">
        <v>280</v>
      </c>
      <c r="C9654" s="46">
        <v>4642</v>
      </c>
      <c r="D9654" s="69" t="s">
        <v>29417</v>
      </c>
      <c r="E9654" s="51"/>
      <c r="F9654" s="114" t="str">
        <f>IF(INDEX(I.Facility.P2aIDNumber,4642)="","",INDEX(I.Facility.P2aIDNumber,4642))</f>
        <v/>
      </c>
      <c r="G9654" s="51"/>
      <c r="H9654" s="46" t="str">
        <f>IF(AND(I.Developer.P2a=TRUE,I.Facility.P2aFacilityCount&gt;=4642,F9654=""),"Incomplete","Complete")</f>
        <v>Complete</v>
      </c>
      <c r="I9654" s="48" t="s">
        <v>14019</v>
      </c>
    </row>
    <row r="9655" spans="2:9" ht="15" customHeight="1" x14ac:dyDescent="0.25">
      <c r="B9655" s="55" t="s">
        <v>280</v>
      </c>
      <c r="C9655" s="46">
        <v>4643</v>
      </c>
      <c r="D9655" s="69" t="s">
        <v>29417</v>
      </c>
      <c r="E9655" s="51"/>
      <c r="F9655" s="114" t="str">
        <f>IF(INDEX(I.Facility.P2aIDNumber,4643)="","",INDEX(I.Facility.P2aIDNumber,4643))</f>
        <v/>
      </c>
      <c r="G9655" s="51"/>
      <c r="H9655" s="46" t="str">
        <f>IF(AND(I.Developer.P2a=TRUE,I.Facility.P2aFacilityCount&gt;=4643,F9655=""),"Incomplete","Complete")</f>
        <v>Complete</v>
      </c>
      <c r="I9655" s="48" t="s">
        <v>14020</v>
      </c>
    </row>
    <row r="9656" spans="2:9" ht="15" customHeight="1" x14ac:dyDescent="0.25">
      <c r="B9656" s="55" t="s">
        <v>280</v>
      </c>
      <c r="C9656" s="46">
        <v>4644</v>
      </c>
      <c r="D9656" s="69" t="s">
        <v>29417</v>
      </c>
      <c r="E9656" s="51"/>
      <c r="F9656" s="114" t="str">
        <f>IF(INDEX(I.Facility.P2aIDNumber,4644)="","",INDEX(I.Facility.P2aIDNumber,4644))</f>
        <v/>
      </c>
      <c r="G9656" s="51"/>
      <c r="H9656" s="46" t="str">
        <f>IF(AND(I.Developer.P2a=TRUE,I.Facility.P2aFacilityCount&gt;=4644,F9656=""),"Incomplete","Complete")</f>
        <v>Complete</v>
      </c>
      <c r="I9656" s="48" t="s">
        <v>14021</v>
      </c>
    </row>
    <row r="9657" spans="2:9" ht="15" customHeight="1" x14ac:dyDescent="0.25">
      <c r="B9657" s="55" t="s">
        <v>280</v>
      </c>
      <c r="C9657" s="46">
        <v>4645</v>
      </c>
      <c r="D9657" s="69" t="s">
        <v>29417</v>
      </c>
      <c r="E9657" s="51"/>
      <c r="F9657" s="114" t="str">
        <f>IF(INDEX(I.Facility.P2aIDNumber,4645)="","",INDEX(I.Facility.P2aIDNumber,4645))</f>
        <v/>
      </c>
      <c r="G9657" s="51"/>
      <c r="H9657" s="46" t="str">
        <f>IF(AND(I.Developer.P2a=TRUE,I.Facility.P2aFacilityCount&gt;=4645,F9657=""),"Incomplete","Complete")</f>
        <v>Complete</v>
      </c>
      <c r="I9657" s="48" t="s">
        <v>14022</v>
      </c>
    </row>
    <row r="9658" spans="2:9" ht="15" customHeight="1" x14ac:dyDescent="0.25">
      <c r="B9658" s="55" t="s">
        <v>280</v>
      </c>
      <c r="C9658" s="46">
        <v>4646</v>
      </c>
      <c r="D9658" s="69" t="s">
        <v>29417</v>
      </c>
      <c r="E9658" s="51"/>
      <c r="F9658" s="114" t="str">
        <f>IF(INDEX(I.Facility.P2aIDNumber,4646)="","",INDEX(I.Facility.P2aIDNumber,4646))</f>
        <v/>
      </c>
      <c r="G9658" s="51"/>
      <c r="H9658" s="46" t="str">
        <f>IF(AND(I.Developer.P2a=TRUE,I.Facility.P2aFacilityCount&gt;=4646,F9658=""),"Incomplete","Complete")</f>
        <v>Complete</v>
      </c>
      <c r="I9658" s="48" t="s">
        <v>14023</v>
      </c>
    </row>
    <row r="9659" spans="2:9" ht="15" customHeight="1" x14ac:dyDescent="0.25">
      <c r="B9659" s="55" t="s">
        <v>280</v>
      </c>
      <c r="C9659" s="46">
        <v>4647</v>
      </c>
      <c r="D9659" s="69" t="s">
        <v>29417</v>
      </c>
      <c r="E9659" s="51"/>
      <c r="F9659" s="114" t="str">
        <f>IF(INDEX(I.Facility.P2aIDNumber,4647)="","",INDEX(I.Facility.P2aIDNumber,4647))</f>
        <v/>
      </c>
      <c r="G9659" s="51"/>
      <c r="H9659" s="46" t="str">
        <f>IF(AND(I.Developer.P2a=TRUE,I.Facility.P2aFacilityCount&gt;=4647,F9659=""),"Incomplete","Complete")</f>
        <v>Complete</v>
      </c>
      <c r="I9659" s="48" t="s">
        <v>14024</v>
      </c>
    </row>
    <row r="9660" spans="2:9" ht="15" customHeight="1" x14ac:dyDescent="0.25">
      <c r="B9660" s="55" t="s">
        <v>280</v>
      </c>
      <c r="C9660" s="46">
        <v>4648</v>
      </c>
      <c r="D9660" s="69" t="s">
        <v>29417</v>
      </c>
      <c r="E9660" s="51"/>
      <c r="F9660" s="114" t="str">
        <f>IF(INDEX(I.Facility.P2aIDNumber,4648)="","",INDEX(I.Facility.P2aIDNumber,4648))</f>
        <v/>
      </c>
      <c r="G9660" s="51"/>
      <c r="H9660" s="46" t="str">
        <f>IF(AND(I.Developer.P2a=TRUE,I.Facility.P2aFacilityCount&gt;=4648,F9660=""),"Incomplete","Complete")</f>
        <v>Complete</v>
      </c>
      <c r="I9660" s="48" t="s">
        <v>14025</v>
      </c>
    </row>
    <row r="9661" spans="2:9" ht="15" customHeight="1" x14ac:dyDescent="0.25">
      <c r="B9661" s="55" t="s">
        <v>280</v>
      </c>
      <c r="C9661" s="46">
        <v>4649</v>
      </c>
      <c r="D9661" s="69" t="s">
        <v>29417</v>
      </c>
      <c r="E9661" s="51"/>
      <c r="F9661" s="114" t="str">
        <f>IF(INDEX(I.Facility.P2aIDNumber,4649)="","",INDEX(I.Facility.P2aIDNumber,4649))</f>
        <v/>
      </c>
      <c r="G9661" s="51"/>
      <c r="H9661" s="46" t="str">
        <f>IF(AND(I.Developer.P2a=TRUE,I.Facility.P2aFacilityCount&gt;=4649,F9661=""),"Incomplete","Complete")</f>
        <v>Complete</v>
      </c>
      <c r="I9661" s="48" t="s">
        <v>14026</v>
      </c>
    </row>
    <row r="9662" spans="2:9" ht="15" customHeight="1" x14ac:dyDescent="0.25">
      <c r="B9662" s="55" t="s">
        <v>280</v>
      </c>
      <c r="C9662" s="46">
        <v>4650</v>
      </c>
      <c r="D9662" s="69" t="s">
        <v>29417</v>
      </c>
      <c r="E9662" s="51"/>
      <c r="F9662" s="114" t="str">
        <f>IF(INDEX(I.Facility.P2aIDNumber,4650)="","",INDEX(I.Facility.P2aIDNumber,4650))</f>
        <v/>
      </c>
      <c r="G9662" s="51"/>
      <c r="H9662" s="46" t="str">
        <f>IF(AND(I.Developer.P2a=TRUE,I.Facility.P2aFacilityCount&gt;=4650,F9662=""),"Incomplete","Complete")</f>
        <v>Complete</v>
      </c>
      <c r="I9662" s="48" t="s">
        <v>14027</v>
      </c>
    </row>
    <row r="9663" spans="2:9" ht="15" customHeight="1" x14ac:dyDescent="0.25">
      <c r="B9663" s="55" t="s">
        <v>280</v>
      </c>
      <c r="C9663" s="46">
        <v>4651</v>
      </c>
      <c r="D9663" s="69" t="s">
        <v>29417</v>
      </c>
      <c r="E9663" s="51"/>
      <c r="F9663" s="114" t="str">
        <f>IF(INDEX(I.Facility.P2aIDNumber,4651)="","",INDEX(I.Facility.P2aIDNumber,4651))</f>
        <v/>
      </c>
      <c r="G9663" s="51"/>
      <c r="H9663" s="46" t="str">
        <f>IF(AND(I.Developer.P2a=TRUE,I.Facility.P2aFacilityCount&gt;=4651,F9663=""),"Incomplete","Complete")</f>
        <v>Complete</v>
      </c>
      <c r="I9663" s="48" t="s">
        <v>14028</v>
      </c>
    </row>
    <row r="9664" spans="2:9" ht="15" customHeight="1" x14ac:dyDescent="0.25">
      <c r="B9664" s="55" t="s">
        <v>280</v>
      </c>
      <c r="C9664" s="46">
        <v>4652</v>
      </c>
      <c r="D9664" s="69" t="s">
        <v>29417</v>
      </c>
      <c r="E9664" s="51"/>
      <c r="F9664" s="114" t="str">
        <f>IF(INDEX(I.Facility.P2aIDNumber,4652)="","",INDEX(I.Facility.P2aIDNumber,4652))</f>
        <v/>
      </c>
      <c r="G9664" s="51"/>
      <c r="H9664" s="46" t="str">
        <f>IF(AND(I.Developer.P2a=TRUE,I.Facility.P2aFacilityCount&gt;=4652,F9664=""),"Incomplete","Complete")</f>
        <v>Complete</v>
      </c>
      <c r="I9664" s="48" t="s">
        <v>14029</v>
      </c>
    </row>
    <row r="9665" spans="2:9" ht="15" customHeight="1" x14ac:dyDescent="0.25">
      <c r="B9665" s="55" t="s">
        <v>280</v>
      </c>
      <c r="C9665" s="46">
        <v>4653</v>
      </c>
      <c r="D9665" s="69" t="s">
        <v>29417</v>
      </c>
      <c r="E9665" s="51"/>
      <c r="F9665" s="114" t="str">
        <f>IF(INDEX(I.Facility.P2aIDNumber,4653)="","",INDEX(I.Facility.P2aIDNumber,4653))</f>
        <v/>
      </c>
      <c r="G9665" s="51"/>
      <c r="H9665" s="46" t="str">
        <f>IF(AND(I.Developer.P2a=TRUE,I.Facility.P2aFacilityCount&gt;=4653,F9665=""),"Incomplete","Complete")</f>
        <v>Complete</v>
      </c>
      <c r="I9665" s="48" t="s">
        <v>14030</v>
      </c>
    </row>
    <row r="9666" spans="2:9" ht="15" customHeight="1" x14ac:dyDescent="0.25">
      <c r="B9666" s="55" t="s">
        <v>280</v>
      </c>
      <c r="C9666" s="46">
        <v>4654</v>
      </c>
      <c r="D9666" s="69" t="s">
        <v>29417</v>
      </c>
      <c r="E9666" s="51"/>
      <c r="F9666" s="114" t="str">
        <f>IF(INDEX(I.Facility.P2aIDNumber,4654)="","",INDEX(I.Facility.P2aIDNumber,4654))</f>
        <v/>
      </c>
      <c r="G9666" s="51"/>
      <c r="H9666" s="46" t="str">
        <f>IF(AND(I.Developer.P2a=TRUE,I.Facility.P2aFacilityCount&gt;=4654,F9666=""),"Incomplete","Complete")</f>
        <v>Complete</v>
      </c>
      <c r="I9666" s="48" t="s">
        <v>14031</v>
      </c>
    </row>
    <row r="9667" spans="2:9" ht="15" customHeight="1" x14ac:dyDescent="0.25">
      <c r="B9667" s="55" t="s">
        <v>280</v>
      </c>
      <c r="C9667" s="46">
        <v>4655</v>
      </c>
      <c r="D9667" s="69" t="s">
        <v>29417</v>
      </c>
      <c r="E9667" s="51"/>
      <c r="F9667" s="114" t="str">
        <f>IF(INDEX(I.Facility.P2aIDNumber,4655)="","",INDEX(I.Facility.P2aIDNumber,4655))</f>
        <v/>
      </c>
      <c r="G9667" s="51"/>
      <c r="H9667" s="46" t="str">
        <f>IF(AND(I.Developer.P2a=TRUE,I.Facility.P2aFacilityCount&gt;=4655,F9667=""),"Incomplete","Complete")</f>
        <v>Complete</v>
      </c>
      <c r="I9667" s="48" t="s">
        <v>14032</v>
      </c>
    </row>
    <row r="9668" spans="2:9" ht="15" customHeight="1" x14ac:dyDescent="0.25">
      <c r="B9668" s="55" t="s">
        <v>280</v>
      </c>
      <c r="C9668" s="46">
        <v>4656</v>
      </c>
      <c r="D9668" s="69" t="s">
        <v>29417</v>
      </c>
      <c r="E9668" s="51"/>
      <c r="F9668" s="114" t="str">
        <f>IF(INDEX(I.Facility.P2aIDNumber,4656)="","",INDEX(I.Facility.P2aIDNumber,4656))</f>
        <v/>
      </c>
      <c r="G9668" s="51"/>
      <c r="H9668" s="46" t="str">
        <f>IF(AND(I.Developer.P2a=TRUE,I.Facility.P2aFacilityCount&gt;=4656,F9668=""),"Incomplete","Complete")</f>
        <v>Complete</v>
      </c>
      <c r="I9668" s="48" t="s">
        <v>14033</v>
      </c>
    </row>
    <row r="9669" spans="2:9" ht="15" customHeight="1" x14ac:dyDescent="0.25">
      <c r="B9669" s="55" t="s">
        <v>280</v>
      </c>
      <c r="C9669" s="46">
        <v>4657</v>
      </c>
      <c r="D9669" s="69" t="s">
        <v>29417</v>
      </c>
      <c r="E9669" s="51"/>
      <c r="F9669" s="114" t="str">
        <f>IF(INDEX(I.Facility.P2aIDNumber,4657)="","",INDEX(I.Facility.P2aIDNumber,4657))</f>
        <v/>
      </c>
      <c r="G9669" s="51"/>
      <c r="H9669" s="46" t="str">
        <f>IF(AND(I.Developer.P2a=TRUE,I.Facility.P2aFacilityCount&gt;=4657,F9669=""),"Incomplete","Complete")</f>
        <v>Complete</v>
      </c>
      <c r="I9669" s="48" t="s">
        <v>14034</v>
      </c>
    </row>
    <row r="9670" spans="2:9" ht="15" customHeight="1" x14ac:dyDescent="0.25">
      <c r="B9670" s="55" t="s">
        <v>280</v>
      </c>
      <c r="C9670" s="46">
        <v>4658</v>
      </c>
      <c r="D9670" s="69" t="s">
        <v>29417</v>
      </c>
      <c r="E9670" s="51"/>
      <c r="F9670" s="114" t="str">
        <f>IF(INDEX(I.Facility.P2aIDNumber,4658)="","",INDEX(I.Facility.P2aIDNumber,4658))</f>
        <v/>
      </c>
      <c r="G9670" s="51"/>
      <c r="H9670" s="46" t="str">
        <f>IF(AND(I.Developer.P2a=TRUE,I.Facility.P2aFacilityCount&gt;=4658,F9670=""),"Incomplete","Complete")</f>
        <v>Complete</v>
      </c>
      <c r="I9670" s="48" t="s">
        <v>14035</v>
      </c>
    </row>
    <row r="9671" spans="2:9" ht="15" customHeight="1" x14ac:dyDescent="0.25">
      <c r="B9671" s="55" t="s">
        <v>280</v>
      </c>
      <c r="C9671" s="46">
        <v>4659</v>
      </c>
      <c r="D9671" s="69" t="s">
        <v>29417</v>
      </c>
      <c r="E9671" s="51"/>
      <c r="F9671" s="114" t="str">
        <f>IF(INDEX(I.Facility.P2aIDNumber,4659)="","",INDEX(I.Facility.P2aIDNumber,4659))</f>
        <v/>
      </c>
      <c r="G9671" s="51"/>
      <c r="H9671" s="46" t="str">
        <f>IF(AND(I.Developer.P2a=TRUE,I.Facility.P2aFacilityCount&gt;=4659,F9671=""),"Incomplete","Complete")</f>
        <v>Complete</v>
      </c>
      <c r="I9671" s="48" t="s">
        <v>14036</v>
      </c>
    </row>
    <row r="9672" spans="2:9" ht="15" customHeight="1" x14ac:dyDescent="0.25">
      <c r="B9672" s="55" t="s">
        <v>280</v>
      </c>
      <c r="C9672" s="46">
        <v>4660</v>
      </c>
      <c r="D9672" s="69" t="s">
        <v>29417</v>
      </c>
      <c r="E9672" s="51"/>
      <c r="F9672" s="114" t="str">
        <f>IF(INDEX(I.Facility.P2aIDNumber,4660)="","",INDEX(I.Facility.P2aIDNumber,4660))</f>
        <v/>
      </c>
      <c r="G9672" s="51"/>
      <c r="H9672" s="46" t="str">
        <f>IF(AND(I.Developer.P2a=TRUE,I.Facility.P2aFacilityCount&gt;=4660,F9672=""),"Incomplete","Complete")</f>
        <v>Complete</v>
      </c>
      <c r="I9672" s="48" t="s">
        <v>14037</v>
      </c>
    </row>
    <row r="9673" spans="2:9" ht="15" customHeight="1" x14ac:dyDescent="0.25">
      <c r="B9673" s="55" t="s">
        <v>280</v>
      </c>
      <c r="C9673" s="46">
        <v>4661</v>
      </c>
      <c r="D9673" s="69" t="s">
        <v>29417</v>
      </c>
      <c r="E9673" s="51"/>
      <c r="F9673" s="114" t="str">
        <f>IF(INDEX(I.Facility.P2aIDNumber,4661)="","",INDEX(I.Facility.P2aIDNumber,4661))</f>
        <v/>
      </c>
      <c r="G9673" s="51"/>
      <c r="H9673" s="46" t="str">
        <f>IF(AND(I.Developer.P2a=TRUE,I.Facility.P2aFacilityCount&gt;=4661,F9673=""),"Incomplete","Complete")</f>
        <v>Complete</v>
      </c>
      <c r="I9673" s="48" t="s">
        <v>14038</v>
      </c>
    </row>
    <row r="9674" spans="2:9" ht="15" customHeight="1" x14ac:dyDescent="0.25">
      <c r="B9674" s="55" t="s">
        <v>280</v>
      </c>
      <c r="C9674" s="46">
        <v>4662</v>
      </c>
      <c r="D9674" s="69" t="s">
        <v>29417</v>
      </c>
      <c r="E9674" s="51"/>
      <c r="F9674" s="114" t="str">
        <f>IF(INDEX(I.Facility.P2aIDNumber,4662)="","",INDEX(I.Facility.P2aIDNumber,4662))</f>
        <v/>
      </c>
      <c r="G9674" s="51"/>
      <c r="H9674" s="46" t="str">
        <f>IF(AND(I.Developer.P2a=TRUE,I.Facility.P2aFacilityCount&gt;=4662,F9674=""),"Incomplete","Complete")</f>
        <v>Complete</v>
      </c>
      <c r="I9674" s="48" t="s">
        <v>14039</v>
      </c>
    </row>
    <row r="9675" spans="2:9" ht="15" customHeight="1" x14ac:dyDescent="0.25">
      <c r="B9675" s="55" t="s">
        <v>280</v>
      </c>
      <c r="C9675" s="46">
        <v>4663</v>
      </c>
      <c r="D9675" s="69" t="s">
        <v>29417</v>
      </c>
      <c r="E9675" s="51"/>
      <c r="F9675" s="114" t="str">
        <f>IF(INDEX(I.Facility.P2aIDNumber,4663)="","",INDEX(I.Facility.P2aIDNumber,4663))</f>
        <v/>
      </c>
      <c r="G9675" s="51"/>
      <c r="H9675" s="46" t="str">
        <f>IF(AND(I.Developer.P2a=TRUE,I.Facility.P2aFacilityCount&gt;=4663,F9675=""),"Incomplete","Complete")</f>
        <v>Complete</v>
      </c>
      <c r="I9675" s="48" t="s">
        <v>14040</v>
      </c>
    </row>
    <row r="9676" spans="2:9" ht="15" customHeight="1" x14ac:dyDescent="0.25">
      <c r="B9676" s="55" t="s">
        <v>280</v>
      </c>
      <c r="C9676" s="46">
        <v>4664</v>
      </c>
      <c r="D9676" s="69" t="s">
        <v>29417</v>
      </c>
      <c r="E9676" s="51"/>
      <c r="F9676" s="114" t="str">
        <f>IF(INDEX(I.Facility.P2aIDNumber,4664)="","",INDEX(I.Facility.P2aIDNumber,4664))</f>
        <v/>
      </c>
      <c r="G9676" s="51"/>
      <c r="H9676" s="46" t="str">
        <f>IF(AND(I.Developer.P2a=TRUE,I.Facility.P2aFacilityCount&gt;=4664,F9676=""),"Incomplete","Complete")</f>
        <v>Complete</v>
      </c>
      <c r="I9676" s="48" t="s">
        <v>14041</v>
      </c>
    </row>
    <row r="9677" spans="2:9" ht="15" customHeight="1" x14ac:dyDescent="0.25">
      <c r="B9677" s="55" t="s">
        <v>280</v>
      </c>
      <c r="C9677" s="46">
        <v>4665</v>
      </c>
      <c r="D9677" s="69" t="s">
        <v>29417</v>
      </c>
      <c r="E9677" s="51"/>
      <c r="F9677" s="114" t="str">
        <f>IF(INDEX(I.Facility.P2aIDNumber,4665)="","",INDEX(I.Facility.P2aIDNumber,4665))</f>
        <v/>
      </c>
      <c r="G9677" s="51"/>
      <c r="H9677" s="46" t="str">
        <f>IF(AND(I.Developer.P2a=TRUE,I.Facility.P2aFacilityCount&gt;=4665,F9677=""),"Incomplete","Complete")</f>
        <v>Complete</v>
      </c>
      <c r="I9677" s="48" t="s">
        <v>14042</v>
      </c>
    </row>
    <row r="9678" spans="2:9" ht="15" customHeight="1" x14ac:dyDescent="0.25">
      <c r="B9678" s="55" t="s">
        <v>280</v>
      </c>
      <c r="C9678" s="46">
        <v>4666</v>
      </c>
      <c r="D9678" s="69" t="s">
        <v>29417</v>
      </c>
      <c r="E9678" s="51"/>
      <c r="F9678" s="114" t="str">
        <f>IF(INDEX(I.Facility.P2aIDNumber,4666)="","",INDEX(I.Facility.P2aIDNumber,4666))</f>
        <v/>
      </c>
      <c r="G9678" s="51"/>
      <c r="H9678" s="46" t="str">
        <f>IF(AND(I.Developer.P2a=TRUE,I.Facility.P2aFacilityCount&gt;=4666,F9678=""),"Incomplete","Complete")</f>
        <v>Complete</v>
      </c>
      <c r="I9678" s="48" t="s">
        <v>14043</v>
      </c>
    </row>
    <row r="9679" spans="2:9" ht="15" customHeight="1" x14ac:dyDescent="0.25">
      <c r="B9679" s="55" t="s">
        <v>280</v>
      </c>
      <c r="C9679" s="46">
        <v>4667</v>
      </c>
      <c r="D9679" s="69" t="s">
        <v>29417</v>
      </c>
      <c r="E9679" s="51"/>
      <c r="F9679" s="114" t="str">
        <f>IF(INDEX(I.Facility.P2aIDNumber,4667)="","",INDEX(I.Facility.P2aIDNumber,4667))</f>
        <v/>
      </c>
      <c r="G9679" s="51"/>
      <c r="H9679" s="46" t="str">
        <f>IF(AND(I.Developer.P2a=TRUE,I.Facility.P2aFacilityCount&gt;=4667,F9679=""),"Incomplete","Complete")</f>
        <v>Complete</v>
      </c>
      <c r="I9679" s="48" t="s">
        <v>14044</v>
      </c>
    </row>
    <row r="9680" spans="2:9" ht="15" customHeight="1" x14ac:dyDescent="0.25">
      <c r="B9680" s="55" t="s">
        <v>280</v>
      </c>
      <c r="C9680" s="46">
        <v>4668</v>
      </c>
      <c r="D9680" s="69" t="s">
        <v>29417</v>
      </c>
      <c r="E9680" s="51"/>
      <c r="F9680" s="114" t="str">
        <f>IF(INDEX(I.Facility.P2aIDNumber,4668)="","",INDEX(I.Facility.P2aIDNumber,4668))</f>
        <v/>
      </c>
      <c r="G9680" s="51"/>
      <c r="H9680" s="46" t="str">
        <f>IF(AND(I.Developer.P2a=TRUE,I.Facility.P2aFacilityCount&gt;=4668,F9680=""),"Incomplete","Complete")</f>
        <v>Complete</v>
      </c>
      <c r="I9680" s="48" t="s">
        <v>14045</v>
      </c>
    </row>
    <row r="9681" spans="2:9" ht="15" customHeight="1" x14ac:dyDescent="0.25">
      <c r="B9681" s="55" t="s">
        <v>280</v>
      </c>
      <c r="C9681" s="46">
        <v>4669</v>
      </c>
      <c r="D9681" s="69" t="s">
        <v>29417</v>
      </c>
      <c r="E9681" s="51"/>
      <c r="F9681" s="114" t="str">
        <f>IF(INDEX(I.Facility.P2aIDNumber,4669)="","",INDEX(I.Facility.P2aIDNumber,4669))</f>
        <v/>
      </c>
      <c r="G9681" s="51"/>
      <c r="H9681" s="46" t="str">
        <f>IF(AND(I.Developer.P2a=TRUE,I.Facility.P2aFacilityCount&gt;=4669,F9681=""),"Incomplete","Complete")</f>
        <v>Complete</v>
      </c>
      <c r="I9681" s="48" t="s">
        <v>14046</v>
      </c>
    </row>
    <row r="9682" spans="2:9" ht="15" customHeight="1" x14ac:dyDescent="0.25">
      <c r="B9682" s="55" t="s">
        <v>280</v>
      </c>
      <c r="C9682" s="46">
        <v>4670</v>
      </c>
      <c r="D9682" s="69" t="s">
        <v>29417</v>
      </c>
      <c r="E9682" s="51"/>
      <c r="F9682" s="114" t="str">
        <f>IF(INDEX(I.Facility.P2aIDNumber,4670)="","",INDEX(I.Facility.P2aIDNumber,4670))</f>
        <v/>
      </c>
      <c r="G9682" s="51"/>
      <c r="H9682" s="46" t="str">
        <f>IF(AND(I.Developer.P2a=TRUE,I.Facility.P2aFacilityCount&gt;=4670,F9682=""),"Incomplete","Complete")</f>
        <v>Complete</v>
      </c>
      <c r="I9682" s="48" t="s">
        <v>14047</v>
      </c>
    </row>
    <row r="9683" spans="2:9" ht="15" customHeight="1" x14ac:dyDescent="0.25">
      <c r="B9683" s="55" t="s">
        <v>280</v>
      </c>
      <c r="C9683" s="46">
        <v>4671</v>
      </c>
      <c r="D9683" s="69" t="s">
        <v>29417</v>
      </c>
      <c r="E9683" s="51"/>
      <c r="F9683" s="114" t="str">
        <f>IF(INDEX(I.Facility.P2aIDNumber,4671)="","",INDEX(I.Facility.P2aIDNumber,4671))</f>
        <v/>
      </c>
      <c r="G9683" s="51"/>
      <c r="H9683" s="46" t="str">
        <f>IF(AND(I.Developer.P2a=TRUE,I.Facility.P2aFacilityCount&gt;=4671,F9683=""),"Incomplete","Complete")</f>
        <v>Complete</v>
      </c>
      <c r="I9683" s="48" t="s">
        <v>14048</v>
      </c>
    </row>
    <row r="9684" spans="2:9" ht="15" customHeight="1" x14ac:dyDescent="0.25">
      <c r="B9684" s="55" t="s">
        <v>280</v>
      </c>
      <c r="C9684" s="46">
        <v>4672</v>
      </c>
      <c r="D9684" s="69" t="s">
        <v>29417</v>
      </c>
      <c r="E9684" s="51"/>
      <c r="F9684" s="114" t="str">
        <f>IF(INDEX(I.Facility.P2aIDNumber,4672)="","",INDEX(I.Facility.P2aIDNumber,4672))</f>
        <v/>
      </c>
      <c r="G9684" s="51"/>
      <c r="H9684" s="46" t="str">
        <f>IF(AND(I.Developer.P2a=TRUE,I.Facility.P2aFacilityCount&gt;=4672,F9684=""),"Incomplete","Complete")</f>
        <v>Complete</v>
      </c>
      <c r="I9684" s="48" t="s">
        <v>14049</v>
      </c>
    </row>
    <row r="9685" spans="2:9" ht="15" customHeight="1" x14ac:dyDescent="0.25">
      <c r="B9685" s="55" t="s">
        <v>280</v>
      </c>
      <c r="C9685" s="46">
        <v>4673</v>
      </c>
      <c r="D9685" s="69" t="s">
        <v>29417</v>
      </c>
      <c r="E9685" s="51"/>
      <c r="F9685" s="114" t="str">
        <f>IF(INDEX(I.Facility.P2aIDNumber,4673)="","",INDEX(I.Facility.P2aIDNumber,4673))</f>
        <v/>
      </c>
      <c r="G9685" s="51"/>
      <c r="H9685" s="46" t="str">
        <f>IF(AND(I.Developer.P2a=TRUE,I.Facility.P2aFacilityCount&gt;=4673,F9685=""),"Incomplete","Complete")</f>
        <v>Complete</v>
      </c>
      <c r="I9685" s="48" t="s">
        <v>14050</v>
      </c>
    </row>
    <row r="9686" spans="2:9" ht="15" customHeight="1" x14ac:dyDescent="0.25">
      <c r="B9686" s="55" t="s">
        <v>280</v>
      </c>
      <c r="C9686" s="46">
        <v>4674</v>
      </c>
      <c r="D9686" s="69" t="s">
        <v>29417</v>
      </c>
      <c r="E9686" s="51"/>
      <c r="F9686" s="114" t="str">
        <f>IF(INDEX(I.Facility.P2aIDNumber,4674)="","",INDEX(I.Facility.P2aIDNumber,4674))</f>
        <v/>
      </c>
      <c r="G9686" s="51"/>
      <c r="H9686" s="46" t="str">
        <f>IF(AND(I.Developer.P2a=TRUE,I.Facility.P2aFacilityCount&gt;=4674,F9686=""),"Incomplete","Complete")</f>
        <v>Complete</v>
      </c>
      <c r="I9686" s="48" t="s">
        <v>14051</v>
      </c>
    </row>
    <row r="9687" spans="2:9" ht="15" customHeight="1" x14ac:dyDescent="0.25">
      <c r="B9687" s="55" t="s">
        <v>280</v>
      </c>
      <c r="C9687" s="46">
        <v>4675</v>
      </c>
      <c r="D9687" s="69" t="s">
        <v>29417</v>
      </c>
      <c r="E9687" s="51"/>
      <c r="F9687" s="114" t="str">
        <f>IF(INDEX(I.Facility.P2aIDNumber,4675)="","",INDEX(I.Facility.P2aIDNumber,4675))</f>
        <v/>
      </c>
      <c r="G9687" s="51"/>
      <c r="H9687" s="46" t="str">
        <f>IF(AND(I.Developer.P2a=TRUE,I.Facility.P2aFacilityCount&gt;=4675,F9687=""),"Incomplete","Complete")</f>
        <v>Complete</v>
      </c>
      <c r="I9687" s="48" t="s">
        <v>14052</v>
      </c>
    </row>
    <row r="9688" spans="2:9" ht="15" customHeight="1" x14ac:dyDescent="0.25">
      <c r="B9688" s="55" t="s">
        <v>280</v>
      </c>
      <c r="C9688" s="46">
        <v>4676</v>
      </c>
      <c r="D9688" s="69" t="s">
        <v>29417</v>
      </c>
      <c r="E9688" s="51"/>
      <c r="F9688" s="114" t="str">
        <f>IF(INDEX(I.Facility.P2aIDNumber,4676)="","",INDEX(I.Facility.P2aIDNumber,4676))</f>
        <v/>
      </c>
      <c r="G9688" s="51"/>
      <c r="H9688" s="46" t="str">
        <f>IF(AND(I.Developer.P2a=TRUE,I.Facility.P2aFacilityCount&gt;=4676,F9688=""),"Incomplete","Complete")</f>
        <v>Complete</v>
      </c>
      <c r="I9688" s="48" t="s">
        <v>14053</v>
      </c>
    </row>
    <row r="9689" spans="2:9" ht="15" customHeight="1" x14ac:dyDescent="0.25">
      <c r="B9689" s="55" t="s">
        <v>280</v>
      </c>
      <c r="C9689" s="46">
        <v>4677</v>
      </c>
      <c r="D9689" s="69" t="s">
        <v>29417</v>
      </c>
      <c r="E9689" s="51"/>
      <c r="F9689" s="114" t="str">
        <f>IF(INDEX(I.Facility.P2aIDNumber,4677)="","",INDEX(I.Facility.P2aIDNumber,4677))</f>
        <v/>
      </c>
      <c r="G9689" s="51"/>
      <c r="H9689" s="46" t="str">
        <f>IF(AND(I.Developer.P2a=TRUE,I.Facility.P2aFacilityCount&gt;=4677,F9689=""),"Incomplete","Complete")</f>
        <v>Complete</v>
      </c>
      <c r="I9689" s="48" t="s">
        <v>14054</v>
      </c>
    </row>
    <row r="9690" spans="2:9" ht="15" customHeight="1" x14ac:dyDescent="0.25">
      <c r="B9690" s="55" t="s">
        <v>280</v>
      </c>
      <c r="C9690" s="46">
        <v>4678</v>
      </c>
      <c r="D9690" s="69" t="s">
        <v>29417</v>
      </c>
      <c r="E9690" s="51"/>
      <c r="F9690" s="114" t="str">
        <f>IF(INDEX(I.Facility.P2aIDNumber,4678)="","",INDEX(I.Facility.P2aIDNumber,4678))</f>
        <v/>
      </c>
      <c r="G9690" s="51"/>
      <c r="H9690" s="46" t="str">
        <f>IF(AND(I.Developer.P2a=TRUE,I.Facility.P2aFacilityCount&gt;=4678,F9690=""),"Incomplete","Complete")</f>
        <v>Complete</v>
      </c>
      <c r="I9690" s="48" t="s">
        <v>14055</v>
      </c>
    </row>
    <row r="9691" spans="2:9" ht="15" customHeight="1" x14ac:dyDescent="0.25">
      <c r="B9691" s="55" t="s">
        <v>280</v>
      </c>
      <c r="C9691" s="46">
        <v>4679</v>
      </c>
      <c r="D9691" s="69" t="s">
        <v>29417</v>
      </c>
      <c r="E9691" s="51"/>
      <c r="F9691" s="114" t="str">
        <f>IF(INDEX(I.Facility.P2aIDNumber,4679)="","",INDEX(I.Facility.P2aIDNumber,4679))</f>
        <v/>
      </c>
      <c r="G9691" s="51"/>
      <c r="H9691" s="46" t="str">
        <f>IF(AND(I.Developer.P2a=TRUE,I.Facility.P2aFacilityCount&gt;=4679,F9691=""),"Incomplete","Complete")</f>
        <v>Complete</v>
      </c>
      <c r="I9691" s="48" t="s">
        <v>14056</v>
      </c>
    </row>
    <row r="9692" spans="2:9" ht="15" customHeight="1" x14ac:dyDescent="0.25">
      <c r="B9692" s="55" t="s">
        <v>280</v>
      </c>
      <c r="C9692" s="46">
        <v>4680</v>
      </c>
      <c r="D9692" s="69" t="s">
        <v>29417</v>
      </c>
      <c r="E9692" s="51"/>
      <c r="F9692" s="114" t="str">
        <f>IF(INDEX(I.Facility.P2aIDNumber,4680)="","",INDEX(I.Facility.P2aIDNumber,4680))</f>
        <v/>
      </c>
      <c r="G9692" s="51"/>
      <c r="H9692" s="46" t="str">
        <f>IF(AND(I.Developer.P2a=TRUE,I.Facility.P2aFacilityCount&gt;=4680,F9692=""),"Incomplete","Complete")</f>
        <v>Complete</v>
      </c>
      <c r="I9692" s="48" t="s">
        <v>14057</v>
      </c>
    </row>
    <row r="9693" spans="2:9" ht="15" customHeight="1" x14ac:dyDescent="0.25">
      <c r="B9693" s="55" t="s">
        <v>280</v>
      </c>
      <c r="C9693" s="46">
        <v>4681</v>
      </c>
      <c r="D9693" s="69" t="s">
        <v>29417</v>
      </c>
      <c r="E9693" s="51"/>
      <c r="F9693" s="114" t="str">
        <f>IF(INDEX(I.Facility.P2aIDNumber,4681)="","",INDEX(I.Facility.P2aIDNumber,4681))</f>
        <v/>
      </c>
      <c r="G9693" s="51"/>
      <c r="H9693" s="46" t="str">
        <f>IF(AND(I.Developer.P2a=TRUE,I.Facility.P2aFacilityCount&gt;=4681,F9693=""),"Incomplete","Complete")</f>
        <v>Complete</v>
      </c>
      <c r="I9693" s="48" t="s">
        <v>14058</v>
      </c>
    </row>
    <row r="9694" spans="2:9" ht="15" customHeight="1" x14ac:dyDescent="0.25">
      <c r="B9694" s="55" t="s">
        <v>280</v>
      </c>
      <c r="C9694" s="46">
        <v>4682</v>
      </c>
      <c r="D9694" s="69" t="s">
        <v>29417</v>
      </c>
      <c r="E9694" s="51"/>
      <c r="F9694" s="114" t="str">
        <f>IF(INDEX(I.Facility.P2aIDNumber,4682)="","",INDEX(I.Facility.P2aIDNumber,4682))</f>
        <v/>
      </c>
      <c r="G9694" s="51"/>
      <c r="H9694" s="46" t="str">
        <f>IF(AND(I.Developer.P2a=TRUE,I.Facility.P2aFacilityCount&gt;=4682,F9694=""),"Incomplete","Complete")</f>
        <v>Complete</v>
      </c>
      <c r="I9694" s="48" t="s">
        <v>14059</v>
      </c>
    </row>
    <row r="9695" spans="2:9" ht="15" customHeight="1" x14ac:dyDescent="0.25">
      <c r="B9695" s="55" t="s">
        <v>280</v>
      </c>
      <c r="C9695" s="46">
        <v>4683</v>
      </c>
      <c r="D9695" s="69" t="s">
        <v>29417</v>
      </c>
      <c r="E9695" s="51"/>
      <c r="F9695" s="114" t="str">
        <f>IF(INDEX(I.Facility.P2aIDNumber,4683)="","",INDEX(I.Facility.P2aIDNumber,4683))</f>
        <v/>
      </c>
      <c r="G9695" s="51"/>
      <c r="H9695" s="46" t="str">
        <f>IF(AND(I.Developer.P2a=TRUE,I.Facility.P2aFacilityCount&gt;=4683,F9695=""),"Incomplete","Complete")</f>
        <v>Complete</v>
      </c>
      <c r="I9695" s="48" t="s">
        <v>14060</v>
      </c>
    </row>
    <row r="9696" spans="2:9" ht="15" customHeight="1" x14ac:dyDescent="0.25">
      <c r="B9696" s="55" t="s">
        <v>280</v>
      </c>
      <c r="C9696" s="46">
        <v>4684</v>
      </c>
      <c r="D9696" s="69" t="s">
        <v>29417</v>
      </c>
      <c r="E9696" s="51"/>
      <c r="F9696" s="114" t="str">
        <f>IF(INDEX(I.Facility.P2aIDNumber,4684)="","",INDEX(I.Facility.P2aIDNumber,4684))</f>
        <v/>
      </c>
      <c r="G9696" s="51"/>
      <c r="H9696" s="46" t="str">
        <f>IF(AND(I.Developer.P2a=TRUE,I.Facility.P2aFacilityCount&gt;=4684,F9696=""),"Incomplete","Complete")</f>
        <v>Complete</v>
      </c>
      <c r="I9696" s="48" t="s">
        <v>14061</v>
      </c>
    </row>
    <row r="9697" spans="2:9" ht="15" customHeight="1" x14ac:dyDescent="0.25">
      <c r="B9697" s="55" t="s">
        <v>280</v>
      </c>
      <c r="C9697" s="46">
        <v>4685</v>
      </c>
      <c r="D9697" s="69" t="s">
        <v>29417</v>
      </c>
      <c r="E9697" s="51"/>
      <c r="F9697" s="114" t="str">
        <f>IF(INDEX(I.Facility.P2aIDNumber,4685)="","",INDEX(I.Facility.P2aIDNumber,4685))</f>
        <v/>
      </c>
      <c r="G9697" s="51"/>
      <c r="H9697" s="46" t="str">
        <f>IF(AND(I.Developer.P2a=TRUE,I.Facility.P2aFacilityCount&gt;=4685,F9697=""),"Incomplete","Complete")</f>
        <v>Complete</v>
      </c>
      <c r="I9697" s="48" t="s">
        <v>14062</v>
      </c>
    </row>
    <row r="9698" spans="2:9" ht="15" customHeight="1" x14ac:dyDescent="0.25">
      <c r="B9698" s="55" t="s">
        <v>280</v>
      </c>
      <c r="C9698" s="46">
        <v>4686</v>
      </c>
      <c r="D9698" s="69" t="s">
        <v>29417</v>
      </c>
      <c r="E9698" s="51"/>
      <c r="F9698" s="114" t="str">
        <f>IF(INDEX(I.Facility.P2aIDNumber,4686)="","",INDEX(I.Facility.P2aIDNumber,4686))</f>
        <v/>
      </c>
      <c r="G9698" s="51"/>
      <c r="H9698" s="46" t="str">
        <f>IF(AND(I.Developer.P2a=TRUE,I.Facility.P2aFacilityCount&gt;=4686,F9698=""),"Incomplete","Complete")</f>
        <v>Complete</v>
      </c>
      <c r="I9698" s="48" t="s">
        <v>14063</v>
      </c>
    </row>
    <row r="9699" spans="2:9" ht="15" customHeight="1" x14ac:dyDescent="0.25">
      <c r="B9699" s="55" t="s">
        <v>280</v>
      </c>
      <c r="C9699" s="46">
        <v>4687</v>
      </c>
      <c r="D9699" s="69" t="s">
        <v>29417</v>
      </c>
      <c r="E9699" s="51"/>
      <c r="F9699" s="114" t="str">
        <f>IF(INDEX(I.Facility.P2aIDNumber,4687)="","",INDEX(I.Facility.P2aIDNumber,4687))</f>
        <v/>
      </c>
      <c r="G9699" s="51"/>
      <c r="H9699" s="46" t="str">
        <f>IF(AND(I.Developer.P2a=TRUE,I.Facility.P2aFacilityCount&gt;=4687,F9699=""),"Incomplete","Complete")</f>
        <v>Complete</v>
      </c>
      <c r="I9699" s="48" t="s">
        <v>14064</v>
      </c>
    </row>
    <row r="9700" spans="2:9" ht="15" customHeight="1" x14ac:dyDescent="0.25">
      <c r="B9700" s="55" t="s">
        <v>280</v>
      </c>
      <c r="C9700" s="46">
        <v>4688</v>
      </c>
      <c r="D9700" s="69" t="s">
        <v>29417</v>
      </c>
      <c r="E9700" s="51"/>
      <c r="F9700" s="114" t="str">
        <f>IF(INDEX(I.Facility.P2aIDNumber,4688)="","",INDEX(I.Facility.P2aIDNumber,4688))</f>
        <v/>
      </c>
      <c r="G9700" s="51"/>
      <c r="H9700" s="46" t="str">
        <f>IF(AND(I.Developer.P2a=TRUE,I.Facility.P2aFacilityCount&gt;=4688,F9700=""),"Incomplete","Complete")</f>
        <v>Complete</v>
      </c>
      <c r="I9700" s="48" t="s">
        <v>14065</v>
      </c>
    </row>
    <row r="9701" spans="2:9" ht="15" customHeight="1" x14ac:dyDescent="0.25">
      <c r="B9701" s="55" t="s">
        <v>280</v>
      </c>
      <c r="C9701" s="46">
        <v>4689</v>
      </c>
      <c r="D9701" s="69" t="s">
        <v>29417</v>
      </c>
      <c r="E9701" s="51"/>
      <c r="F9701" s="114" t="str">
        <f>IF(INDEX(I.Facility.P2aIDNumber,4689)="","",INDEX(I.Facility.P2aIDNumber,4689))</f>
        <v/>
      </c>
      <c r="G9701" s="51"/>
      <c r="H9701" s="46" t="str">
        <f>IF(AND(I.Developer.P2a=TRUE,I.Facility.P2aFacilityCount&gt;=4689,F9701=""),"Incomplete","Complete")</f>
        <v>Complete</v>
      </c>
      <c r="I9701" s="48" t="s">
        <v>14066</v>
      </c>
    </row>
    <row r="9702" spans="2:9" ht="15" customHeight="1" x14ac:dyDescent="0.25">
      <c r="B9702" s="55" t="s">
        <v>280</v>
      </c>
      <c r="C9702" s="46">
        <v>4690</v>
      </c>
      <c r="D9702" s="69" t="s">
        <v>29417</v>
      </c>
      <c r="E9702" s="51"/>
      <c r="F9702" s="114" t="str">
        <f>IF(INDEX(I.Facility.P2aIDNumber,4690)="","",INDEX(I.Facility.P2aIDNumber,4690))</f>
        <v/>
      </c>
      <c r="G9702" s="51"/>
      <c r="H9702" s="46" t="str">
        <f>IF(AND(I.Developer.P2a=TRUE,I.Facility.P2aFacilityCount&gt;=4690,F9702=""),"Incomplete","Complete")</f>
        <v>Complete</v>
      </c>
      <c r="I9702" s="48" t="s">
        <v>14067</v>
      </c>
    </row>
    <row r="9703" spans="2:9" ht="15" customHeight="1" x14ac:dyDescent="0.25">
      <c r="B9703" s="55" t="s">
        <v>280</v>
      </c>
      <c r="C9703" s="46">
        <v>4691</v>
      </c>
      <c r="D9703" s="69" t="s">
        <v>29417</v>
      </c>
      <c r="E9703" s="51"/>
      <c r="F9703" s="114" t="str">
        <f>IF(INDEX(I.Facility.P2aIDNumber,4691)="","",INDEX(I.Facility.P2aIDNumber,4691))</f>
        <v/>
      </c>
      <c r="G9703" s="51"/>
      <c r="H9703" s="46" t="str">
        <f>IF(AND(I.Developer.P2a=TRUE,I.Facility.P2aFacilityCount&gt;=4691,F9703=""),"Incomplete","Complete")</f>
        <v>Complete</v>
      </c>
      <c r="I9703" s="48" t="s">
        <v>14068</v>
      </c>
    </row>
    <row r="9704" spans="2:9" ht="15" customHeight="1" x14ac:dyDescent="0.25">
      <c r="B9704" s="55" t="s">
        <v>280</v>
      </c>
      <c r="C9704" s="46">
        <v>4692</v>
      </c>
      <c r="D9704" s="69" t="s">
        <v>29417</v>
      </c>
      <c r="E9704" s="51"/>
      <c r="F9704" s="114" t="str">
        <f>IF(INDEX(I.Facility.P2aIDNumber,4692)="","",INDEX(I.Facility.P2aIDNumber,4692))</f>
        <v/>
      </c>
      <c r="G9704" s="51"/>
      <c r="H9704" s="46" t="str">
        <f>IF(AND(I.Developer.P2a=TRUE,I.Facility.P2aFacilityCount&gt;=4692,F9704=""),"Incomplete","Complete")</f>
        <v>Complete</v>
      </c>
      <c r="I9704" s="48" t="s">
        <v>14069</v>
      </c>
    </row>
    <row r="9705" spans="2:9" ht="15" customHeight="1" x14ac:dyDescent="0.25">
      <c r="B9705" s="55" t="s">
        <v>280</v>
      </c>
      <c r="C9705" s="46">
        <v>4693</v>
      </c>
      <c r="D9705" s="69" t="s">
        <v>29417</v>
      </c>
      <c r="E9705" s="51"/>
      <c r="F9705" s="114" t="str">
        <f>IF(INDEX(I.Facility.P2aIDNumber,4693)="","",INDEX(I.Facility.P2aIDNumber,4693))</f>
        <v/>
      </c>
      <c r="G9705" s="51"/>
      <c r="H9705" s="46" t="str">
        <f>IF(AND(I.Developer.P2a=TRUE,I.Facility.P2aFacilityCount&gt;=4693,F9705=""),"Incomplete","Complete")</f>
        <v>Complete</v>
      </c>
      <c r="I9705" s="48" t="s">
        <v>14070</v>
      </c>
    </row>
    <row r="9706" spans="2:9" ht="15" customHeight="1" x14ac:dyDescent="0.25">
      <c r="B9706" s="55" t="s">
        <v>280</v>
      </c>
      <c r="C9706" s="46">
        <v>4694</v>
      </c>
      <c r="D9706" s="69" t="s">
        <v>29417</v>
      </c>
      <c r="E9706" s="51"/>
      <c r="F9706" s="114" t="str">
        <f>IF(INDEX(I.Facility.P2aIDNumber,4694)="","",INDEX(I.Facility.P2aIDNumber,4694))</f>
        <v/>
      </c>
      <c r="G9706" s="51"/>
      <c r="H9706" s="46" t="str">
        <f>IF(AND(I.Developer.P2a=TRUE,I.Facility.P2aFacilityCount&gt;=4694,F9706=""),"Incomplete","Complete")</f>
        <v>Complete</v>
      </c>
      <c r="I9706" s="48" t="s">
        <v>14071</v>
      </c>
    </row>
    <row r="9707" spans="2:9" ht="15" customHeight="1" x14ac:dyDescent="0.25">
      <c r="B9707" s="55" t="s">
        <v>280</v>
      </c>
      <c r="C9707" s="46">
        <v>4695</v>
      </c>
      <c r="D9707" s="69" t="s">
        <v>29417</v>
      </c>
      <c r="E9707" s="51"/>
      <c r="F9707" s="114" t="str">
        <f>IF(INDEX(I.Facility.P2aIDNumber,4695)="","",INDEX(I.Facility.P2aIDNumber,4695))</f>
        <v/>
      </c>
      <c r="G9707" s="51"/>
      <c r="H9707" s="46" t="str">
        <f>IF(AND(I.Developer.P2a=TRUE,I.Facility.P2aFacilityCount&gt;=4695,F9707=""),"Incomplete","Complete")</f>
        <v>Complete</v>
      </c>
      <c r="I9707" s="48" t="s">
        <v>14072</v>
      </c>
    </row>
    <row r="9708" spans="2:9" ht="15" customHeight="1" x14ac:dyDescent="0.25">
      <c r="B9708" s="55" t="s">
        <v>280</v>
      </c>
      <c r="C9708" s="46">
        <v>4696</v>
      </c>
      <c r="D9708" s="69" t="s">
        <v>29417</v>
      </c>
      <c r="E9708" s="51"/>
      <c r="F9708" s="114" t="str">
        <f>IF(INDEX(I.Facility.P2aIDNumber,4696)="","",INDEX(I.Facility.P2aIDNumber,4696))</f>
        <v/>
      </c>
      <c r="G9708" s="51"/>
      <c r="H9708" s="46" t="str">
        <f>IF(AND(I.Developer.P2a=TRUE,I.Facility.P2aFacilityCount&gt;=4696,F9708=""),"Incomplete","Complete")</f>
        <v>Complete</v>
      </c>
      <c r="I9708" s="48" t="s">
        <v>14073</v>
      </c>
    </row>
    <row r="9709" spans="2:9" ht="15" customHeight="1" x14ac:dyDescent="0.25">
      <c r="B9709" s="55" t="s">
        <v>280</v>
      </c>
      <c r="C9709" s="46">
        <v>4697</v>
      </c>
      <c r="D9709" s="69" t="s">
        <v>29417</v>
      </c>
      <c r="E9709" s="51"/>
      <c r="F9709" s="114" t="str">
        <f>IF(INDEX(I.Facility.P2aIDNumber,4697)="","",INDEX(I.Facility.P2aIDNumber,4697))</f>
        <v/>
      </c>
      <c r="G9709" s="51"/>
      <c r="H9709" s="46" t="str">
        <f>IF(AND(I.Developer.P2a=TRUE,I.Facility.P2aFacilityCount&gt;=4697,F9709=""),"Incomplete","Complete")</f>
        <v>Complete</v>
      </c>
      <c r="I9709" s="48" t="s">
        <v>14074</v>
      </c>
    </row>
    <row r="9710" spans="2:9" ht="15" customHeight="1" x14ac:dyDescent="0.25">
      <c r="B9710" s="55" t="s">
        <v>280</v>
      </c>
      <c r="C9710" s="46">
        <v>4698</v>
      </c>
      <c r="D9710" s="69" t="s">
        <v>29417</v>
      </c>
      <c r="E9710" s="51"/>
      <c r="F9710" s="114" t="str">
        <f>IF(INDEX(I.Facility.P2aIDNumber,4698)="","",INDEX(I.Facility.P2aIDNumber,4698))</f>
        <v/>
      </c>
      <c r="G9710" s="51"/>
      <c r="H9710" s="46" t="str">
        <f>IF(AND(I.Developer.P2a=TRUE,I.Facility.P2aFacilityCount&gt;=4698,F9710=""),"Incomplete","Complete")</f>
        <v>Complete</v>
      </c>
      <c r="I9710" s="48" t="s">
        <v>14075</v>
      </c>
    </row>
    <row r="9711" spans="2:9" ht="15" customHeight="1" x14ac:dyDescent="0.25">
      <c r="B9711" s="55" t="s">
        <v>280</v>
      </c>
      <c r="C9711" s="46">
        <v>4699</v>
      </c>
      <c r="D9711" s="69" t="s">
        <v>29417</v>
      </c>
      <c r="E9711" s="51"/>
      <c r="F9711" s="114" t="str">
        <f>IF(INDEX(I.Facility.P2aIDNumber,4699)="","",INDEX(I.Facility.P2aIDNumber,4699))</f>
        <v/>
      </c>
      <c r="G9711" s="51"/>
      <c r="H9711" s="46" t="str">
        <f>IF(AND(I.Developer.P2a=TRUE,I.Facility.P2aFacilityCount&gt;=4699,F9711=""),"Incomplete","Complete")</f>
        <v>Complete</v>
      </c>
      <c r="I9711" s="48" t="s">
        <v>14076</v>
      </c>
    </row>
    <row r="9712" spans="2:9" ht="15" customHeight="1" x14ac:dyDescent="0.25">
      <c r="B9712" s="55" t="s">
        <v>280</v>
      </c>
      <c r="C9712" s="46">
        <v>4700</v>
      </c>
      <c r="D9712" s="69" t="s">
        <v>29417</v>
      </c>
      <c r="E9712" s="51"/>
      <c r="F9712" s="114" t="str">
        <f>IF(INDEX(I.Facility.P2aIDNumber,4700)="","",INDEX(I.Facility.P2aIDNumber,4700))</f>
        <v/>
      </c>
      <c r="G9712" s="51"/>
      <c r="H9712" s="46" t="str">
        <f>IF(AND(I.Developer.P2a=TRUE,I.Facility.P2aFacilityCount&gt;=4700,F9712=""),"Incomplete","Complete")</f>
        <v>Complete</v>
      </c>
      <c r="I9712" s="48" t="s">
        <v>14077</v>
      </c>
    </row>
    <row r="9713" spans="2:9" ht="15" customHeight="1" x14ac:dyDescent="0.25">
      <c r="B9713" s="55" t="s">
        <v>280</v>
      </c>
      <c r="C9713" s="46">
        <v>4701</v>
      </c>
      <c r="D9713" s="69" t="s">
        <v>29417</v>
      </c>
      <c r="E9713" s="51"/>
      <c r="F9713" s="114" t="str">
        <f>IF(INDEX(I.Facility.P2aIDNumber,4701)="","",INDEX(I.Facility.P2aIDNumber,4701))</f>
        <v/>
      </c>
      <c r="G9713" s="51"/>
      <c r="H9713" s="46" t="str">
        <f>IF(AND(I.Developer.P2a=TRUE,I.Facility.P2aFacilityCount&gt;=4701,F9713=""),"Incomplete","Complete")</f>
        <v>Complete</v>
      </c>
      <c r="I9713" s="48" t="s">
        <v>14078</v>
      </c>
    </row>
    <row r="9714" spans="2:9" ht="15" customHeight="1" x14ac:dyDescent="0.25">
      <c r="B9714" s="55" t="s">
        <v>280</v>
      </c>
      <c r="C9714" s="46">
        <v>4702</v>
      </c>
      <c r="D9714" s="69" t="s">
        <v>29417</v>
      </c>
      <c r="E9714" s="51"/>
      <c r="F9714" s="114" t="str">
        <f>IF(INDEX(I.Facility.P2aIDNumber,4702)="","",INDEX(I.Facility.P2aIDNumber,4702))</f>
        <v/>
      </c>
      <c r="G9714" s="51"/>
      <c r="H9714" s="46" t="str">
        <f>IF(AND(I.Developer.P2a=TRUE,I.Facility.P2aFacilityCount&gt;=4702,F9714=""),"Incomplete","Complete")</f>
        <v>Complete</v>
      </c>
      <c r="I9714" s="48" t="s">
        <v>14079</v>
      </c>
    </row>
    <row r="9715" spans="2:9" ht="15" customHeight="1" x14ac:dyDescent="0.25">
      <c r="B9715" s="55" t="s">
        <v>280</v>
      </c>
      <c r="C9715" s="46">
        <v>4703</v>
      </c>
      <c r="D9715" s="69" t="s">
        <v>29417</v>
      </c>
      <c r="E9715" s="51"/>
      <c r="F9715" s="114" t="str">
        <f>IF(INDEX(I.Facility.P2aIDNumber,4703)="","",INDEX(I.Facility.P2aIDNumber,4703))</f>
        <v/>
      </c>
      <c r="G9715" s="51"/>
      <c r="H9715" s="46" t="str">
        <f>IF(AND(I.Developer.P2a=TRUE,I.Facility.P2aFacilityCount&gt;=4703,F9715=""),"Incomplete","Complete")</f>
        <v>Complete</v>
      </c>
      <c r="I9715" s="48" t="s">
        <v>14080</v>
      </c>
    </row>
    <row r="9716" spans="2:9" ht="15" customHeight="1" x14ac:dyDescent="0.25">
      <c r="B9716" s="55" t="s">
        <v>280</v>
      </c>
      <c r="C9716" s="46">
        <v>4704</v>
      </c>
      <c r="D9716" s="69" t="s">
        <v>29417</v>
      </c>
      <c r="E9716" s="51"/>
      <c r="F9716" s="114" t="str">
        <f>IF(INDEX(I.Facility.P2aIDNumber,4704)="","",INDEX(I.Facility.P2aIDNumber,4704))</f>
        <v/>
      </c>
      <c r="G9716" s="51"/>
      <c r="H9716" s="46" t="str">
        <f>IF(AND(I.Developer.P2a=TRUE,I.Facility.P2aFacilityCount&gt;=4704,F9716=""),"Incomplete","Complete")</f>
        <v>Complete</v>
      </c>
      <c r="I9716" s="48" t="s">
        <v>14081</v>
      </c>
    </row>
    <row r="9717" spans="2:9" ht="15" customHeight="1" x14ac:dyDescent="0.25">
      <c r="B9717" s="55" t="s">
        <v>280</v>
      </c>
      <c r="C9717" s="46">
        <v>4705</v>
      </c>
      <c r="D9717" s="69" t="s">
        <v>29417</v>
      </c>
      <c r="E9717" s="51"/>
      <c r="F9717" s="114" t="str">
        <f>IF(INDEX(I.Facility.P2aIDNumber,4705)="","",INDEX(I.Facility.P2aIDNumber,4705))</f>
        <v/>
      </c>
      <c r="G9717" s="51"/>
      <c r="H9717" s="46" t="str">
        <f>IF(AND(I.Developer.P2a=TRUE,I.Facility.P2aFacilityCount&gt;=4705,F9717=""),"Incomplete","Complete")</f>
        <v>Complete</v>
      </c>
      <c r="I9717" s="48" t="s">
        <v>14082</v>
      </c>
    </row>
    <row r="9718" spans="2:9" ht="15" customHeight="1" x14ac:dyDescent="0.25">
      <c r="B9718" s="55" t="s">
        <v>280</v>
      </c>
      <c r="C9718" s="46">
        <v>4706</v>
      </c>
      <c r="D9718" s="69" t="s">
        <v>29417</v>
      </c>
      <c r="E9718" s="51"/>
      <c r="F9718" s="114" t="str">
        <f>IF(INDEX(I.Facility.P2aIDNumber,4706)="","",INDEX(I.Facility.P2aIDNumber,4706))</f>
        <v/>
      </c>
      <c r="G9718" s="51"/>
      <c r="H9718" s="46" t="str">
        <f>IF(AND(I.Developer.P2a=TRUE,I.Facility.P2aFacilityCount&gt;=4706,F9718=""),"Incomplete","Complete")</f>
        <v>Complete</v>
      </c>
      <c r="I9718" s="48" t="s">
        <v>14083</v>
      </c>
    </row>
    <row r="9719" spans="2:9" ht="15" customHeight="1" x14ac:dyDescent="0.25">
      <c r="B9719" s="55" t="s">
        <v>280</v>
      </c>
      <c r="C9719" s="46">
        <v>4707</v>
      </c>
      <c r="D9719" s="69" t="s">
        <v>29417</v>
      </c>
      <c r="E9719" s="51"/>
      <c r="F9719" s="114" t="str">
        <f>IF(INDEX(I.Facility.P2aIDNumber,4707)="","",INDEX(I.Facility.P2aIDNumber,4707))</f>
        <v/>
      </c>
      <c r="G9719" s="51"/>
      <c r="H9719" s="46" t="str">
        <f>IF(AND(I.Developer.P2a=TRUE,I.Facility.P2aFacilityCount&gt;=4707,F9719=""),"Incomplete","Complete")</f>
        <v>Complete</v>
      </c>
      <c r="I9719" s="48" t="s">
        <v>14084</v>
      </c>
    </row>
    <row r="9720" spans="2:9" ht="15" customHeight="1" x14ac:dyDescent="0.25">
      <c r="B9720" s="55" t="s">
        <v>280</v>
      </c>
      <c r="C9720" s="46">
        <v>4708</v>
      </c>
      <c r="D9720" s="69" t="s">
        <v>29417</v>
      </c>
      <c r="E9720" s="51"/>
      <c r="F9720" s="114" t="str">
        <f>IF(INDEX(I.Facility.P2aIDNumber,4708)="","",INDEX(I.Facility.P2aIDNumber,4708))</f>
        <v/>
      </c>
      <c r="G9720" s="51"/>
      <c r="H9720" s="46" t="str">
        <f>IF(AND(I.Developer.P2a=TRUE,I.Facility.P2aFacilityCount&gt;=4708,F9720=""),"Incomplete","Complete")</f>
        <v>Complete</v>
      </c>
      <c r="I9720" s="48" t="s">
        <v>14085</v>
      </c>
    </row>
    <row r="9721" spans="2:9" ht="15" customHeight="1" x14ac:dyDescent="0.25">
      <c r="B9721" s="55" t="s">
        <v>280</v>
      </c>
      <c r="C9721" s="46">
        <v>4709</v>
      </c>
      <c r="D9721" s="69" t="s">
        <v>29417</v>
      </c>
      <c r="E9721" s="51"/>
      <c r="F9721" s="114" t="str">
        <f>IF(INDEX(I.Facility.P2aIDNumber,4709)="","",INDEX(I.Facility.P2aIDNumber,4709))</f>
        <v/>
      </c>
      <c r="G9721" s="51"/>
      <c r="H9721" s="46" t="str">
        <f>IF(AND(I.Developer.P2a=TRUE,I.Facility.P2aFacilityCount&gt;=4709,F9721=""),"Incomplete","Complete")</f>
        <v>Complete</v>
      </c>
      <c r="I9721" s="48" t="s">
        <v>14086</v>
      </c>
    </row>
    <row r="9722" spans="2:9" ht="15" customHeight="1" x14ac:dyDescent="0.25">
      <c r="B9722" s="55" t="s">
        <v>280</v>
      </c>
      <c r="C9722" s="46">
        <v>4710</v>
      </c>
      <c r="D9722" s="69" t="s">
        <v>29417</v>
      </c>
      <c r="E9722" s="51"/>
      <c r="F9722" s="114" t="str">
        <f>IF(INDEX(I.Facility.P2aIDNumber,4710)="","",INDEX(I.Facility.P2aIDNumber,4710))</f>
        <v/>
      </c>
      <c r="G9722" s="51"/>
      <c r="H9722" s="46" t="str">
        <f>IF(AND(I.Developer.P2a=TRUE,I.Facility.P2aFacilityCount&gt;=4710,F9722=""),"Incomplete","Complete")</f>
        <v>Complete</v>
      </c>
      <c r="I9722" s="48" t="s">
        <v>14087</v>
      </c>
    </row>
    <row r="9723" spans="2:9" ht="15" customHeight="1" x14ac:dyDescent="0.25">
      <c r="B9723" s="55" t="s">
        <v>280</v>
      </c>
      <c r="C9723" s="46">
        <v>4711</v>
      </c>
      <c r="D9723" s="69" t="s">
        <v>29417</v>
      </c>
      <c r="E9723" s="51"/>
      <c r="F9723" s="114" t="str">
        <f>IF(INDEX(I.Facility.P2aIDNumber,4711)="","",INDEX(I.Facility.P2aIDNumber,4711))</f>
        <v/>
      </c>
      <c r="G9723" s="51"/>
      <c r="H9723" s="46" t="str">
        <f>IF(AND(I.Developer.P2a=TRUE,I.Facility.P2aFacilityCount&gt;=4711,F9723=""),"Incomplete","Complete")</f>
        <v>Complete</v>
      </c>
      <c r="I9723" s="48" t="s">
        <v>14088</v>
      </c>
    </row>
    <row r="9724" spans="2:9" ht="15" customHeight="1" x14ac:dyDescent="0.25">
      <c r="B9724" s="55" t="s">
        <v>280</v>
      </c>
      <c r="C9724" s="46">
        <v>4712</v>
      </c>
      <c r="D9724" s="69" t="s">
        <v>29417</v>
      </c>
      <c r="E9724" s="51"/>
      <c r="F9724" s="114" t="str">
        <f>IF(INDEX(I.Facility.P2aIDNumber,4712)="","",INDEX(I.Facility.P2aIDNumber,4712))</f>
        <v/>
      </c>
      <c r="G9724" s="51"/>
      <c r="H9724" s="46" t="str">
        <f>IF(AND(I.Developer.P2a=TRUE,I.Facility.P2aFacilityCount&gt;=4712,F9724=""),"Incomplete","Complete")</f>
        <v>Complete</v>
      </c>
      <c r="I9724" s="48" t="s">
        <v>14089</v>
      </c>
    </row>
    <row r="9725" spans="2:9" ht="15" customHeight="1" x14ac:dyDescent="0.25">
      <c r="B9725" s="55" t="s">
        <v>280</v>
      </c>
      <c r="C9725" s="46">
        <v>4713</v>
      </c>
      <c r="D9725" s="69" t="s">
        <v>29417</v>
      </c>
      <c r="E9725" s="51"/>
      <c r="F9725" s="114" t="str">
        <f>IF(INDEX(I.Facility.P2aIDNumber,4713)="","",INDEX(I.Facility.P2aIDNumber,4713))</f>
        <v/>
      </c>
      <c r="G9725" s="51"/>
      <c r="H9725" s="46" t="str">
        <f>IF(AND(I.Developer.P2a=TRUE,I.Facility.P2aFacilityCount&gt;=4713,F9725=""),"Incomplete","Complete")</f>
        <v>Complete</v>
      </c>
      <c r="I9725" s="48" t="s">
        <v>14090</v>
      </c>
    </row>
    <row r="9726" spans="2:9" ht="15" customHeight="1" x14ac:dyDescent="0.25">
      <c r="B9726" s="55" t="s">
        <v>280</v>
      </c>
      <c r="C9726" s="46">
        <v>4714</v>
      </c>
      <c r="D9726" s="69" t="s">
        <v>29417</v>
      </c>
      <c r="E9726" s="51"/>
      <c r="F9726" s="114" t="str">
        <f>IF(INDEX(I.Facility.P2aIDNumber,4714)="","",INDEX(I.Facility.P2aIDNumber,4714))</f>
        <v/>
      </c>
      <c r="G9726" s="51"/>
      <c r="H9726" s="46" t="str">
        <f>IF(AND(I.Developer.P2a=TRUE,I.Facility.P2aFacilityCount&gt;=4714,F9726=""),"Incomplete","Complete")</f>
        <v>Complete</v>
      </c>
      <c r="I9726" s="48" t="s">
        <v>14091</v>
      </c>
    </row>
    <row r="9727" spans="2:9" ht="15" customHeight="1" x14ac:dyDescent="0.25">
      <c r="B9727" s="55" t="s">
        <v>280</v>
      </c>
      <c r="C9727" s="46">
        <v>4715</v>
      </c>
      <c r="D9727" s="69" t="s">
        <v>29417</v>
      </c>
      <c r="E9727" s="51"/>
      <c r="F9727" s="114" t="str">
        <f>IF(INDEX(I.Facility.P2aIDNumber,4715)="","",INDEX(I.Facility.P2aIDNumber,4715))</f>
        <v/>
      </c>
      <c r="G9727" s="51"/>
      <c r="H9727" s="46" t="str">
        <f>IF(AND(I.Developer.P2a=TRUE,I.Facility.P2aFacilityCount&gt;=4715,F9727=""),"Incomplete","Complete")</f>
        <v>Complete</v>
      </c>
      <c r="I9727" s="48" t="s">
        <v>14092</v>
      </c>
    </row>
    <row r="9728" spans="2:9" ht="15" customHeight="1" x14ac:dyDescent="0.25">
      <c r="B9728" s="55" t="s">
        <v>280</v>
      </c>
      <c r="C9728" s="46">
        <v>4716</v>
      </c>
      <c r="D9728" s="69" t="s">
        <v>29417</v>
      </c>
      <c r="E9728" s="51"/>
      <c r="F9728" s="114" t="str">
        <f>IF(INDEX(I.Facility.P2aIDNumber,4716)="","",INDEX(I.Facility.P2aIDNumber,4716))</f>
        <v/>
      </c>
      <c r="G9728" s="51"/>
      <c r="H9728" s="46" t="str">
        <f>IF(AND(I.Developer.P2a=TRUE,I.Facility.P2aFacilityCount&gt;=4716,F9728=""),"Incomplete","Complete")</f>
        <v>Complete</v>
      </c>
      <c r="I9728" s="48" t="s">
        <v>14093</v>
      </c>
    </row>
    <row r="9729" spans="2:9" ht="15" customHeight="1" x14ac:dyDescent="0.25">
      <c r="B9729" s="55" t="s">
        <v>280</v>
      </c>
      <c r="C9729" s="46">
        <v>4717</v>
      </c>
      <c r="D9729" s="69" t="s">
        <v>29417</v>
      </c>
      <c r="E9729" s="51"/>
      <c r="F9729" s="114" t="str">
        <f>IF(INDEX(I.Facility.P2aIDNumber,4717)="","",INDEX(I.Facility.P2aIDNumber,4717))</f>
        <v/>
      </c>
      <c r="G9729" s="51"/>
      <c r="H9729" s="46" t="str">
        <f>IF(AND(I.Developer.P2a=TRUE,I.Facility.P2aFacilityCount&gt;=4717,F9729=""),"Incomplete","Complete")</f>
        <v>Complete</v>
      </c>
      <c r="I9729" s="48" t="s">
        <v>14094</v>
      </c>
    </row>
    <row r="9730" spans="2:9" ht="15" customHeight="1" x14ac:dyDescent="0.25">
      <c r="B9730" s="55" t="s">
        <v>280</v>
      </c>
      <c r="C9730" s="46">
        <v>4718</v>
      </c>
      <c r="D9730" s="69" t="s">
        <v>29417</v>
      </c>
      <c r="E9730" s="51"/>
      <c r="F9730" s="114" t="str">
        <f>IF(INDEX(I.Facility.P2aIDNumber,4718)="","",INDEX(I.Facility.P2aIDNumber,4718))</f>
        <v/>
      </c>
      <c r="G9730" s="51"/>
      <c r="H9730" s="46" t="str">
        <f>IF(AND(I.Developer.P2a=TRUE,I.Facility.P2aFacilityCount&gt;=4718,F9730=""),"Incomplete","Complete")</f>
        <v>Complete</v>
      </c>
      <c r="I9730" s="48" t="s">
        <v>14095</v>
      </c>
    </row>
    <row r="9731" spans="2:9" ht="15" customHeight="1" x14ac:dyDescent="0.25">
      <c r="B9731" s="55" t="s">
        <v>280</v>
      </c>
      <c r="C9731" s="46">
        <v>4719</v>
      </c>
      <c r="D9731" s="69" t="s">
        <v>29417</v>
      </c>
      <c r="E9731" s="51"/>
      <c r="F9731" s="114" t="str">
        <f>IF(INDEX(I.Facility.P2aIDNumber,4719)="","",INDEX(I.Facility.P2aIDNumber,4719))</f>
        <v/>
      </c>
      <c r="G9731" s="51"/>
      <c r="H9731" s="46" t="str">
        <f>IF(AND(I.Developer.P2a=TRUE,I.Facility.P2aFacilityCount&gt;=4719,F9731=""),"Incomplete","Complete")</f>
        <v>Complete</v>
      </c>
      <c r="I9731" s="48" t="s">
        <v>14096</v>
      </c>
    </row>
    <row r="9732" spans="2:9" ht="15" customHeight="1" x14ac:dyDescent="0.25">
      <c r="B9732" s="55" t="s">
        <v>280</v>
      </c>
      <c r="C9732" s="46">
        <v>4720</v>
      </c>
      <c r="D9732" s="69" t="s">
        <v>29417</v>
      </c>
      <c r="E9732" s="51"/>
      <c r="F9732" s="114" t="str">
        <f>IF(INDEX(I.Facility.P2aIDNumber,4720)="","",INDEX(I.Facility.P2aIDNumber,4720))</f>
        <v/>
      </c>
      <c r="G9732" s="51"/>
      <c r="H9732" s="46" t="str">
        <f>IF(AND(I.Developer.P2a=TRUE,I.Facility.P2aFacilityCount&gt;=4720,F9732=""),"Incomplete","Complete")</f>
        <v>Complete</v>
      </c>
      <c r="I9732" s="48" t="s">
        <v>14097</v>
      </c>
    </row>
    <row r="9733" spans="2:9" ht="15" customHeight="1" x14ac:dyDescent="0.25">
      <c r="B9733" s="55" t="s">
        <v>280</v>
      </c>
      <c r="C9733" s="46">
        <v>4721</v>
      </c>
      <c r="D9733" s="69" t="s">
        <v>29417</v>
      </c>
      <c r="E9733" s="51"/>
      <c r="F9733" s="114" t="str">
        <f>IF(INDEX(I.Facility.P2aIDNumber,4721)="","",INDEX(I.Facility.P2aIDNumber,4721))</f>
        <v/>
      </c>
      <c r="G9733" s="51"/>
      <c r="H9733" s="46" t="str">
        <f>IF(AND(I.Developer.P2a=TRUE,I.Facility.P2aFacilityCount&gt;=4721,F9733=""),"Incomplete","Complete")</f>
        <v>Complete</v>
      </c>
      <c r="I9733" s="48" t="s">
        <v>14098</v>
      </c>
    </row>
    <row r="9734" spans="2:9" ht="15" customHeight="1" x14ac:dyDescent="0.25">
      <c r="B9734" s="55" t="s">
        <v>280</v>
      </c>
      <c r="C9734" s="46">
        <v>4722</v>
      </c>
      <c r="D9734" s="69" t="s">
        <v>29417</v>
      </c>
      <c r="E9734" s="51"/>
      <c r="F9734" s="114" t="str">
        <f>IF(INDEX(I.Facility.P2aIDNumber,4722)="","",INDEX(I.Facility.P2aIDNumber,4722))</f>
        <v/>
      </c>
      <c r="G9734" s="51"/>
      <c r="H9734" s="46" t="str">
        <f>IF(AND(I.Developer.P2a=TRUE,I.Facility.P2aFacilityCount&gt;=4722,F9734=""),"Incomplete","Complete")</f>
        <v>Complete</v>
      </c>
      <c r="I9734" s="48" t="s">
        <v>14099</v>
      </c>
    </row>
    <row r="9735" spans="2:9" ht="15" customHeight="1" x14ac:dyDescent="0.25">
      <c r="B9735" s="55" t="s">
        <v>280</v>
      </c>
      <c r="C9735" s="46">
        <v>4723</v>
      </c>
      <c r="D9735" s="69" t="s">
        <v>29417</v>
      </c>
      <c r="E9735" s="51"/>
      <c r="F9735" s="114" t="str">
        <f>IF(INDEX(I.Facility.P2aIDNumber,4723)="","",INDEX(I.Facility.P2aIDNumber,4723))</f>
        <v/>
      </c>
      <c r="G9735" s="51"/>
      <c r="H9735" s="46" t="str">
        <f>IF(AND(I.Developer.P2a=TRUE,I.Facility.P2aFacilityCount&gt;=4723,F9735=""),"Incomplete","Complete")</f>
        <v>Complete</v>
      </c>
      <c r="I9735" s="48" t="s">
        <v>14100</v>
      </c>
    </row>
    <row r="9736" spans="2:9" ht="15" customHeight="1" x14ac:dyDescent="0.25">
      <c r="B9736" s="55" t="s">
        <v>280</v>
      </c>
      <c r="C9736" s="46">
        <v>4724</v>
      </c>
      <c r="D9736" s="69" t="s">
        <v>29417</v>
      </c>
      <c r="E9736" s="51"/>
      <c r="F9736" s="114" t="str">
        <f>IF(INDEX(I.Facility.P2aIDNumber,4724)="","",INDEX(I.Facility.P2aIDNumber,4724))</f>
        <v/>
      </c>
      <c r="G9736" s="51"/>
      <c r="H9736" s="46" t="str">
        <f>IF(AND(I.Developer.P2a=TRUE,I.Facility.P2aFacilityCount&gt;=4724,F9736=""),"Incomplete","Complete")</f>
        <v>Complete</v>
      </c>
      <c r="I9736" s="48" t="s">
        <v>14101</v>
      </c>
    </row>
    <row r="9737" spans="2:9" ht="15" customHeight="1" x14ac:dyDescent="0.25">
      <c r="B9737" s="55" t="s">
        <v>280</v>
      </c>
      <c r="C9737" s="46">
        <v>4725</v>
      </c>
      <c r="D9737" s="69" t="s">
        <v>29417</v>
      </c>
      <c r="E9737" s="51"/>
      <c r="F9737" s="114" t="str">
        <f>IF(INDEX(I.Facility.P2aIDNumber,4725)="","",INDEX(I.Facility.P2aIDNumber,4725))</f>
        <v/>
      </c>
      <c r="G9737" s="51"/>
      <c r="H9737" s="46" t="str">
        <f>IF(AND(I.Developer.P2a=TRUE,I.Facility.P2aFacilityCount&gt;=4725,F9737=""),"Incomplete","Complete")</f>
        <v>Complete</v>
      </c>
      <c r="I9737" s="48" t="s">
        <v>14102</v>
      </c>
    </row>
    <row r="9738" spans="2:9" ht="15" customHeight="1" x14ac:dyDescent="0.25">
      <c r="B9738" s="55" t="s">
        <v>280</v>
      </c>
      <c r="C9738" s="46">
        <v>4726</v>
      </c>
      <c r="D9738" s="69" t="s">
        <v>29417</v>
      </c>
      <c r="E9738" s="51"/>
      <c r="F9738" s="114" t="str">
        <f>IF(INDEX(I.Facility.P2aIDNumber,4726)="","",INDEX(I.Facility.P2aIDNumber,4726))</f>
        <v/>
      </c>
      <c r="G9738" s="51"/>
      <c r="H9738" s="46" t="str">
        <f>IF(AND(I.Developer.P2a=TRUE,I.Facility.P2aFacilityCount&gt;=4726,F9738=""),"Incomplete","Complete")</f>
        <v>Complete</v>
      </c>
      <c r="I9738" s="48" t="s">
        <v>14103</v>
      </c>
    </row>
    <row r="9739" spans="2:9" ht="15" customHeight="1" x14ac:dyDescent="0.25">
      <c r="B9739" s="55" t="s">
        <v>280</v>
      </c>
      <c r="C9739" s="46">
        <v>4727</v>
      </c>
      <c r="D9739" s="69" t="s">
        <v>29417</v>
      </c>
      <c r="E9739" s="51"/>
      <c r="F9739" s="114" t="str">
        <f>IF(INDEX(I.Facility.P2aIDNumber,4727)="","",INDEX(I.Facility.P2aIDNumber,4727))</f>
        <v/>
      </c>
      <c r="G9739" s="51"/>
      <c r="H9739" s="46" t="str">
        <f>IF(AND(I.Developer.P2a=TRUE,I.Facility.P2aFacilityCount&gt;=4727,F9739=""),"Incomplete","Complete")</f>
        <v>Complete</v>
      </c>
      <c r="I9739" s="48" t="s">
        <v>14104</v>
      </c>
    </row>
    <row r="9740" spans="2:9" ht="15" customHeight="1" x14ac:dyDescent="0.25">
      <c r="B9740" s="55" t="s">
        <v>280</v>
      </c>
      <c r="C9740" s="46">
        <v>4728</v>
      </c>
      <c r="D9740" s="69" t="s">
        <v>29417</v>
      </c>
      <c r="E9740" s="51"/>
      <c r="F9740" s="114" t="str">
        <f>IF(INDEX(I.Facility.P2aIDNumber,4728)="","",INDEX(I.Facility.P2aIDNumber,4728))</f>
        <v/>
      </c>
      <c r="G9740" s="51"/>
      <c r="H9740" s="46" t="str">
        <f>IF(AND(I.Developer.P2a=TRUE,I.Facility.P2aFacilityCount&gt;=4728,F9740=""),"Incomplete","Complete")</f>
        <v>Complete</v>
      </c>
      <c r="I9740" s="48" t="s">
        <v>14105</v>
      </c>
    </row>
    <row r="9741" spans="2:9" ht="15" customHeight="1" x14ac:dyDescent="0.25">
      <c r="B9741" s="55" t="s">
        <v>280</v>
      </c>
      <c r="C9741" s="46">
        <v>4729</v>
      </c>
      <c r="D9741" s="69" t="s">
        <v>29417</v>
      </c>
      <c r="E9741" s="51"/>
      <c r="F9741" s="114" t="str">
        <f>IF(INDEX(I.Facility.P2aIDNumber,4729)="","",INDEX(I.Facility.P2aIDNumber,4729))</f>
        <v/>
      </c>
      <c r="G9741" s="51"/>
      <c r="H9741" s="46" t="str">
        <f>IF(AND(I.Developer.P2a=TRUE,I.Facility.P2aFacilityCount&gt;=4729,F9741=""),"Incomplete","Complete")</f>
        <v>Complete</v>
      </c>
      <c r="I9741" s="48" t="s">
        <v>14106</v>
      </c>
    </row>
    <row r="9742" spans="2:9" ht="15" customHeight="1" x14ac:dyDescent="0.25">
      <c r="B9742" s="55" t="s">
        <v>280</v>
      </c>
      <c r="C9742" s="46">
        <v>4730</v>
      </c>
      <c r="D9742" s="69" t="s">
        <v>29417</v>
      </c>
      <c r="E9742" s="51"/>
      <c r="F9742" s="114" t="str">
        <f>IF(INDEX(I.Facility.P2aIDNumber,4730)="","",INDEX(I.Facility.P2aIDNumber,4730))</f>
        <v/>
      </c>
      <c r="G9742" s="51"/>
      <c r="H9742" s="46" t="str">
        <f>IF(AND(I.Developer.P2a=TRUE,I.Facility.P2aFacilityCount&gt;=4730,F9742=""),"Incomplete","Complete")</f>
        <v>Complete</v>
      </c>
      <c r="I9742" s="48" t="s">
        <v>14107</v>
      </c>
    </row>
    <row r="9743" spans="2:9" ht="15" customHeight="1" x14ac:dyDescent="0.25">
      <c r="B9743" s="55" t="s">
        <v>280</v>
      </c>
      <c r="C9743" s="46">
        <v>4731</v>
      </c>
      <c r="D9743" s="69" t="s">
        <v>29417</v>
      </c>
      <c r="E9743" s="51"/>
      <c r="F9743" s="114" t="str">
        <f>IF(INDEX(I.Facility.P2aIDNumber,4731)="","",INDEX(I.Facility.P2aIDNumber,4731))</f>
        <v/>
      </c>
      <c r="G9743" s="51"/>
      <c r="H9743" s="46" t="str">
        <f>IF(AND(I.Developer.P2a=TRUE,I.Facility.P2aFacilityCount&gt;=4731,F9743=""),"Incomplete","Complete")</f>
        <v>Complete</v>
      </c>
      <c r="I9743" s="48" t="s">
        <v>14108</v>
      </c>
    </row>
    <row r="9744" spans="2:9" ht="15" customHeight="1" x14ac:dyDescent="0.25">
      <c r="B9744" s="55" t="s">
        <v>280</v>
      </c>
      <c r="C9744" s="46">
        <v>4732</v>
      </c>
      <c r="D9744" s="69" t="s">
        <v>29417</v>
      </c>
      <c r="E9744" s="51"/>
      <c r="F9744" s="114" t="str">
        <f>IF(INDEX(I.Facility.P2aIDNumber,4732)="","",INDEX(I.Facility.P2aIDNumber,4732))</f>
        <v/>
      </c>
      <c r="G9744" s="51"/>
      <c r="H9744" s="46" t="str">
        <f>IF(AND(I.Developer.P2a=TRUE,I.Facility.P2aFacilityCount&gt;=4732,F9744=""),"Incomplete","Complete")</f>
        <v>Complete</v>
      </c>
      <c r="I9744" s="48" t="s">
        <v>14109</v>
      </c>
    </row>
    <row r="9745" spans="2:9" ht="15" customHeight="1" x14ac:dyDescent="0.25">
      <c r="B9745" s="55" t="s">
        <v>280</v>
      </c>
      <c r="C9745" s="46">
        <v>4733</v>
      </c>
      <c r="D9745" s="69" t="s">
        <v>29417</v>
      </c>
      <c r="E9745" s="51"/>
      <c r="F9745" s="114" t="str">
        <f>IF(INDEX(I.Facility.P2aIDNumber,4733)="","",INDEX(I.Facility.P2aIDNumber,4733))</f>
        <v/>
      </c>
      <c r="G9745" s="51"/>
      <c r="H9745" s="46" t="str">
        <f>IF(AND(I.Developer.P2a=TRUE,I.Facility.P2aFacilityCount&gt;=4733,F9745=""),"Incomplete","Complete")</f>
        <v>Complete</v>
      </c>
      <c r="I9745" s="48" t="s">
        <v>14110</v>
      </c>
    </row>
    <row r="9746" spans="2:9" ht="15" customHeight="1" x14ac:dyDescent="0.25">
      <c r="B9746" s="55" t="s">
        <v>280</v>
      </c>
      <c r="C9746" s="46">
        <v>4734</v>
      </c>
      <c r="D9746" s="69" t="s">
        <v>29417</v>
      </c>
      <c r="E9746" s="51"/>
      <c r="F9746" s="114" t="str">
        <f>IF(INDEX(I.Facility.P2aIDNumber,4734)="","",INDEX(I.Facility.P2aIDNumber,4734))</f>
        <v/>
      </c>
      <c r="G9746" s="51"/>
      <c r="H9746" s="46" t="str">
        <f>IF(AND(I.Developer.P2a=TRUE,I.Facility.P2aFacilityCount&gt;=4734,F9746=""),"Incomplete","Complete")</f>
        <v>Complete</v>
      </c>
      <c r="I9746" s="48" t="s">
        <v>14111</v>
      </c>
    </row>
    <row r="9747" spans="2:9" ht="15" customHeight="1" x14ac:dyDescent="0.25">
      <c r="B9747" s="55" t="s">
        <v>280</v>
      </c>
      <c r="C9747" s="46">
        <v>4735</v>
      </c>
      <c r="D9747" s="69" t="s">
        <v>29417</v>
      </c>
      <c r="E9747" s="51"/>
      <c r="F9747" s="114" t="str">
        <f>IF(INDEX(I.Facility.P2aIDNumber,4735)="","",INDEX(I.Facility.P2aIDNumber,4735))</f>
        <v/>
      </c>
      <c r="G9747" s="51"/>
      <c r="H9747" s="46" t="str">
        <f>IF(AND(I.Developer.P2a=TRUE,I.Facility.P2aFacilityCount&gt;=4735,F9747=""),"Incomplete","Complete")</f>
        <v>Complete</v>
      </c>
      <c r="I9747" s="48" t="s">
        <v>14112</v>
      </c>
    </row>
    <row r="9748" spans="2:9" ht="15" customHeight="1" x14ac:dyDescent="0.25">
      <c r="B9748" s="55" t="s">
        <v>280</v>
      </c>
      <c r="C9748" s="46">
        <v>4736</v>
      </c>
      <c r="D9748" s="69" t="s">
        <v>29417</v>
      </c>
      <c r="E9748" s="51"/>
      <c r="F9748" s="114" t="str">
        <f>IF(INDEX(I.Facility.P2aIDNumber,4736)="","",INDEX(I.Facility.P2aIDNumber,4736))</f>
        <v/>
      </c>
      <c r="G9748" s="51"/>
      <c r="H9748" s="46" t="str">
        <f>IF(AND(I.Developer.P2a=TRUE,I.Facility.P2aFacilityCount&gt;=4736,F9748=""),"Incomplete","Complete")</f>
        <v>Complete</v>
      </c>
      <c r="I9748" s="48" t="s">
        <v>14113</v>
      </c>
    </row>
    <row r="9749" spans="2:9" ht="15" customHeight="1" x14ac:dyDescent="0.25">
      <c r="B9749" s="55" t="s">
        <v>280</v>
      </c>
      <c r="C9749" s="46">
        <v>4737</v>
      </c>
      <c r="D9749" s="69" t="s">
        <v>29417</v>
      </c>
      <c r="E9749" s="51"/>
      <c r="F9749" s="114" t="str">
        <f>IF(INDEX(I.Facility.P2aIDNumber,4737)="","",INDEX(I.Facility.P2aIDNumber,4737))</f>
        <v/>
      </c>
      <c r="G9749" s="51"/>
      <c r="H9749" s="46" t="str">
        <f>IF(AND(I.Developer.P2a=TRUE,I.Facility.P2aFacilityCount&gt;=4737,F9749=""),"Incomplete","Complete")</f>
        <v>Complete</v>
      </c>
      <c r="I9749" s="48" t="s">
        <v>14114</v>
      </c>
    </row>
    <row r="9750" spans="2:9" ht="15" customHeight="1" x14ac:dyDescent="0.25">
      <c r="B9750" s="55" t="s">
        <v>280</v>
      </c>
      <c r="C9750" s="46">
        <v>4738</v>
      </c>
      <c r="D9750" s="69" t="s">
        <v>29417</v>
      </c>
      <c r="E9750" s="51"/>
      <c r="F9750" s="114" t="str">
        <f>IF(INDEX(I.Facility.P2aIDNumber,4738)="","",INDEX(I.Facility.P2aIDNumber,4738))</f>
        <v/>
      </c>
      <c r="G9750" s="51"/>
      <c r="H9750" s="46" t="str">
        <f>IF(AND(I.Developer.P2a=TRUE,I.Facility.P2aFacilityCount&gt;=4738,F9750=""),"Incomplete","Complete")</f>
        <v>Complete</v>
      </c>
      <c r="I9750" s="48" t="s">
        <v>14115</v>
      </c>
    </row>
    <row r="9751" spans="2:9" ht="15" customHeight="1" x14ac:dyDescent="0.25">
      <c r="B9751" s="55" t="s">
        <v>280</v>
      </c>
      <c r="C9751" s="46">
        <v>4739</v>
      </c>
      <c r="D9751" s="69" t="s">
        <v>29417</v>
      </c>
      <c r="E9751" s="51"/>
      <c r="F9751" s="114" t="str">
        <f>IF(INDEX(I.Facility.P2aIDNumber,4739)="","",INDEX(I.Facility.P2aIDNumber,4739))</f>
        <v/>
      </c>
      <c r="G9751" s="51"/>
      <c r="H9751" s="46" t="str">
        <f>IF(AND(I.Developer.P2a=TRUE,I.Facility.P2aFacilityCount&gt;=4739,F9751=""),"Incomplete","Complete")</f>
        <v>Complete</v>
      </c>
      <c r="I9751" s="48" t="s">
        <v>14116</v>
      </c>
    </row>
    <row r="9752" spans="2:9" ht="15" customHeight="1" x14ac:dyDescent="0.25">
      <c r="B9752" s="55" t="s">
        <v>280</v>
      </c>
      <c r="C9752" s="46">
        <v>4740</v>
      </c>
      <c r="D9752" s="69" t="s">
        <v>29417</v>
      </c>
      <c r="E9752" s="51"/>
      <c r="F9752" s="114" t="str">
        <f>IF(INDEX(I.Facility.P2aIDNumber,4740)="","",INDEX(I.Facility.P2aIDNumber,4740))</f>
        <v/>
      </c>
      <c r="G9752" s="51"/>
      <c r="H9752" s="46" t="str">
        <f>IF(AND(I.Developer.P2a=TRUE,I.Facility.P2aFacilityCount&gt;=4740,F9752=""),"Incomplete","Complete")</f>
        <v>Complete</v>
      </c>
      <c r="I9752" s="48" t="s">
        <v>14117</v>
      </c>
    </row>
    <row r="9753" spans="2:9" ht="15" customHeight="1" x14ac:dyDescent="0.25">
      <c r="B9753" s="55" t="s">
        <v>280</v>
      </c>
      <c r="C9753" s="46">
        <v>4741</v>
      </c>
      <c r="D9753" s="69" t="s">
        <v>29417</v>
      </c>
      <c r="E9753" s="51"/>
      <c r="F9753" s="114" t="str">
        <f>IF(INDEX(I.Facility.P2aIDNumber,4741)="","",INDEX(I.Facility.P2aIDNumber,4741))</f>
        <v/>
      </c>
      <c r="G9753" s="51"/>
      <c r="H9753" s="46" t="str">
        <f>IF(AND(I.Developer.P2a=TRUE,I.Facility.P2aFacilityCount&gt;=4741,F9753=""),"Incomplete","Complete")</f>
        <v>Complete</v>
      </c>
      <c r="I9753" s="48" t="s">
        <v>14118</v>
      </c>
    </row>
    <row r="9754" spans="2:9" ht="15" customHeight="1" x14ac:dyDescent="0.25">
      <c r="B9754" s="55" t="s">
        <v>280</v>
      </c>
      <c r="C9754" s="46">
        <v>4742</v>
      </c>
      <c r="D9754" s="69" t="s">
        <v>29417</v>
      </c>
      <c r="E9754" s="51"/>
      <c r="F9754" s="114" t="str">
        <f>IF(INDEX(I.Facility.P2aIDNumber,4742)="","",INDEX(I.Facility.P2aIDNumber,4742))</f>
        <v/>
      </c>
      <c r="G9754" s="51"/>
      <c r="H9754" s="46" t="str">
        <f>IF(AND(I.Developer.P2a=TRUE,I.Facility.P2aFacilityCount&gt;=4742,F9754=""),"Incomplete","Complete")</f>
        <v>Complete</v>
      </c>
      <c r="I9754" s="48" t="s">
        <v>14119</v>
      </c>
    </row>
    <row r="9755" spans="2:9" ht="15" customHeight="1" x14ac:dyDescent="0.25">
      <c r="B9755" s="55" t="s">
        <v>280</v>
      </c>
      <c r="C9755" s="46">
        <v>4743</v>
      </c>
      <c r="D9755" s="69" t="s">
        <v>29417</v>
      </c>
      <c r="E9755" s="51"/>
      <c r="F9755" s="114" t="str">
        <f>IF(INDEX(I.Facility.P2aIDNumber,4743)="","",INDEX(I.Facility.P2aIDNumber,4743))</f>
        <v/>
      </c>
      <c r="G9755" s="51"/>
      <c r="H9755" s="46" t="str">
        <f>IF(AND(I.Developer.P2a=TRUE,I.Facility.P2aFacilityCount&gt;=4743,F9755=""),"Incomplete","Complete")</f>
        <v>Complete</v>
      </c>
      <c r="I9755" s="48" t="s">
        <v>14120</v>
      </c>
    </row>
    <row r="9756" spans="2:9" ht="15" customHeight="1" x14ac:dyDescent="0.25">
      <c r="B9756" s="55" t="s">
        <v>280</v>
      </c>
      <c r="C9756" s="46">
        <v>4744</v>
      </c>
      <c r="D9756" s="69" t="s">
        <v>29417</v>
      </c>
      <c r="E9756" s="51"/>
      <c r="F9756" s="114" t="str">
        <f>IF(INDEX(I.Facility.P2aIDNumber,4744)="","",INDEX(I.Facility.P2aIDNumber,4744))</f>
        <v/>
      </c>
      <c r="G9756" s="51"/>
      <c r="H9756" s="46" t="str">
        <f>IF(AND(I.Developer.P2a=TRUE,I.Facility.P2aFacilityCount&gt;=4744,F9756=""),"Incomplete","Complete")</f>
        <v>Complete</v>
      </c>
      <c r="I9756" s="48" t="s">
        <v>14121</v>
      </c>
    </row>
    <row r="9757" spans="2:9" ht="15" customHeight="1" x14ac:dyDescent="0.25">
      <c r="B9757" s="55" t="s">
        <v>280</v>
      </c>
      <c r="C9757" s="46">
        <v>4745</v>
      </c>
      <c r="D9757" s="69" t="s">
        <v>29417</v>
      </c>
      <c r="E9757" s="51"/>
      <c r="F9757" s="114" t="str">
        <f>IF(INDEX(I.Facility.P2aIDNumber,4745)="","",INDEX(I.Facility.P2aIDNumber,4745))</f>
        <v/>
      </c>
      <c r="G9757" s="51"/>
      <c r="H9757" s="46" t="str">
        <f>IF(AND(I.Developer.P2a=TRUE,I.Facility.P2aFacilityCount&gt;=4745,F9757=""),"Incomplete","Complete")</f>
        <v>Complete</v>
      </c>
      <c r="I9757" s="48" t="s">
        <v>14122</v>
      </c>
    </row>
    <row r="9758" spans="2:9" ht="15" customHeight="1" x14ac:dyDescent="0.25">
      <c r="B9758" s="55" t="s">
        <v>280</v>
      </c>
      <c r="C9758" s="46">
        <v>4746</v>
      </c>
      <c r="D9758" s="69" t="s">
        <v>29417</v>
      </c>
      <c r="E9758" s="51"/>
      <c r="F9758" s="114" t="str">
        <f>IF(INDEX(I.Facility.P2aIDNumber,4746)="","",INDEX(I.Facility.P2aIDNumber,4746))</f>
        <v/>
      </c>
      <c r="G9758" s="51"/>
      <c r="H9758" s="46" t="str">
        <f>IF(AND(I.Developer.P2a=TRUE,I.Facility.P2aFacilityCount&gt;=4746,F9758=""),"Incomplete","Complete")</f>
        <v>Complete</v>
      </c>
      <c r="I9758" s="48" t="s">
        <v>14123</v>
      </c>
    </row>
    <row r="9759" spans="2:9" ht="15" customHeight="1" x14ac:dyDescent="0.25">
      <c r="B9759" s="55" t="s">
        <v>280</v>
      </c>
      <c r="C9759" s="46">
        <v>4747</v>
      </c>
      <c r="D9759" s="69" t="s">
        <v>29417</v>
      </c>
      <c r="E9759" s="51"/>
      <c r="F9759" s="114" t="str">
        <f>IF(INDEX(I.Facility.P2aIDNumber,4747)="","",INDEX(I.Facility.P2aIDNumber,4747))</f>
        <v/>
      </c>
      <c r="G9759" s="51"/>
      <c r="H9759" s="46" t="str">
        <f>IF(AND(I.Developer.P2a=TRUE,I.Facility.P2aFacilityCount&gt;=4747,F9759=""),"Incomplete","Complete")</f>
        <v>Complete</v>
      </c>
      <c r="I9759" s="48" t="s">
        <v>14124</v>
      </c>
    </row>
    <row r="9760" spans="2:9" ht="15" customHeight="1" x14ac:dyDescent="0.25">
      <c r="B9760" s="55" t="s">
        <v>280</v>
      </c>
      <c r="C9760" s="46">
        <v>4748</v>
      </c>
      <c r="D9760" s="69" t="s">
        <v>29417</v>
      </c>
      <c r="E9760" s="51"/>
      <c r="F9760" s="114" t="str">
        <f>IF(INDEX(I.Facility.P2aIDNumber,4748)="","",INDEX(I.Facility.P2aIDNumber,4748))</f>
        <v/>
      </c>
      <c r="G9760" s="51"/>
      <c r="H9760" s="46" t="str">
        <f>IF(AND(I.Developer.P2a=TRUE,I.Facility.P2aFacilityCount&gt;=4748,F9760=""),"Incomplete","Complete")</f>
        <v>Complete</v>
      </c>
      <c r="I9760" s="48" t="s">
        <v>14125</v>
      </c>
    </row>
    <row r="9761" spans="2:9" ht="15" customHeight="1" x14ac:dyDescent="0.25">
      <c r="B9761" s="55" t="s">
        <v>280</v>
      </c>
      <c r="C9761" s="46">
        <v>4749</v>
      </c>
      <c r="D9761" s="69" t="s">
        <v>29417</v>
      </c>
      <c r="E9761" s="51"/>
      <c r="F9761" s="114" t="str">
        <f>IF(INDEX(I.Facility.P2aIDNumber,4749)="","",INDEX(I.Facility.P2aIDNumber,4749))</f>
        <v/>
      </c>
      <c r="G9761" s="51"/>
      <c r="H9761" s="46" t="str">
        <f>IF(AND(I.Developer.P2a=TRUE,I.Facility.P2aFacilityCount&gt;=4749,F9761=""),"Incomplete","Complete")</f>
        <v>Complete</v>
      </c>
      <c r="I9761" s="48" t="s">
        <v>14126</v>
      </c>
    </row>
    <row r="9762" spans="2:9" ht="15" customHeight="1" x14ac:dyDescent="0.25">
      <c r="B9762" s="55" t="s">
        <v>280</v>
      </c>
      <c r="C9762" s="46">
        <v>4750</v>
      </c>
      <c r="D9762" s="69" t="s">
        <v>29417</v>
      </c>
      <c r="E9762" s="51"/>
      <c r="F9762" s="114" t="str">
        <f>IF(INDEX(I.Facility.P2aIDNumber,4750)="","",INDEX(I.Facility.P2aIDNumber,4750))</f>
        <v/>
      </c>
      <c r="G9762" s="51"/>
      <c r="H9762" s="46" t="str">
        <f>IF(AND(I.Developer.P2a=TRUE,I.Facility.P2aFacilityCount&gt;=4750,F9762=""),"Incomplete","Complete")</f>
        <v>Complete</v>
      </c>
      <c r="I9762" s="48" t="s">
        <v>14127</v>
      </c>
    </row>
    <row r="9763" spans="2:9" ht="15" customHeight="1" x14ac:dyDescent="0.25">
      <c r="B9763" s="55" t="s">
        <v>280</v>
      </c>
      <c r="C9763" s="46">
        <v>4751</v>
      </c>
      <c r="D9763" s="69" t="s">
        <v>29417</v>
      </c>
      <c r="E9763" s="51"/>
      <c r="F9763" s="114" t="str">
        <f>IF(INDEX(I.Facility.P2aIDNumber,4751)="","",INDEX(I.Facility.P2aIDNumber,4751))</f>
        <v/>
      </c>
      <c r="G9763" s="51"/>
      <c r="H9763" s="46" t="str">
        <f>IF(AND(I.Developer.P2a=TRUE,I.Facility.P2aFacilityCount&gt;=4751,F9763=""),"Incomplete","Complete")</f>
        <v>Complete</v>
      </c>
      <c r="I9763" s="48" t="s">
        <v>14128</v>
      </c>
    </row>
    <row r="9764" spans="2:9" ht="15" customHeight="1" x14ac:dyDescent="0.25">
      <c r="B9764" s="55" t="s">
        <v>280</v>
      </c>
      <c r="C9764" s="46">
        <v>4752</v>
      </c>
      <c r="D9764" s="69" t="s">
        <v>29417</v>
      </c>
      <c r="E9764" s="51"/>
      <c r="F9764" s="114" t="str">
        <f>IF(INDEX(I.Facility.P2aIDNumber,4752)="","",INDEX(I.Facility.P2aIDNumber,4752))</f>
        <v/>
      </c>
      <c r="G9764" s="51"/>
      <c r="H9764" s="46" t="str">
        <f>IF(AND(I.Developer.P2a=TRUE,I.Facility.P2aFacilityCount&gt;=4752,F9764=""),"Incomplete","Complete")</f>
        <v>Complete</v>
      </c>
      <c r="I9764" s="48" t="s">
        <v>14129</v>
      </c>
    </row>
    <row r="9765" spans="2:9" ht="15" customHeight="1" x14ac:dyDescent="0.25">
      <c r="B9765" s="55" t="s">
        <v>280</v>
      </c>
      <c r="C9765" s="46">
        <v>4753</v>
      </c>
      <c r="D9765" s="69" t="s">
        <v>29417</v>
      </c>
      <c r="E9765" s="51"/>
      <c r="F9765" s="114" t="str">
        <f>IF(INDEX(I.Facility.P2aIDNumber,4753)="","",INDEX(I.Facility.P2aIDNumber,4753))</f>
        <v/>
      </c>
      <c r="G9765" s="51"/>
      <c r="H9765" s="46" t="str">
        <f>IF(AND(I.Developer.P2a=TRUE,I.Facility.P2aFacilityCount&gt;=4753,F9765=""),"Incomplete","Complete")</f>
        <v>Complete</v>
      </c>
      <c r="I9765" s="48" t="s">
        <v>14130</v>
      </c>
    </row>
    <row r="9766" spans="2:9" ht="15" customHeight="1" x14ac:dyDescent="0.25">
      <c r="B9766" s="55" t="s">
        <v>280</v>
      </c>
      <c r="C9766" s="46">
        <v>4754</v>
      </c>
      <c r="D9766" s="69" t="s">
        <v>29417</v>
      </c>
      <c r="E9766" s="51"/>
      <c r="F9766" s="114" t="str">
        <f>IF(INDEX(I.Facility.P2aIDNumber,4754)="","",INDEX(I.Facility.P2aIDNumber,4754))</f>
        <v/>
      </c>
      <c r="G9766" s="51"/>
      <c r="H9766" s="46" t="str">
        <f>IF(AND(I.Developer.P2a=TRUE,I.Facility.P2aFacilityCount&gt;=4754,F9766=""),"Incomplete","Complete")</f>
        <v>Complete</v>
      </c>
      <c r="I9766" s="48" t="s">
        <v>14131</v>
      </c>
    </row>
    <row r="9767" spans="2:9" ht="15" customHeight="1" x14ac:dyDescent="0.25">
      <c r="B9767" s="55" t="s">
        <v>280</v>
      </c>
      <c r="C9767" s="46">
        <v>4755</v>
      </c>
      <c r="D9767" s="69" t="s">
        <v>29417</v>
      </c>
      <c r="E9767" s="51"/>
      <c r="F9767" s="114" t="str">
        <f>IF(INDEX(I.Facility.P2aIDNumber,4755)="","",INDEX(I.Facility.P2aIDNumber,4755))</f>
        <v/>
      </c>
      <c r="G9767" s="51"/>
      <c r="H9767" s="46" t="str">
        <f>IF(AND(I.Developer.P2a=TRUE,I.Facility.P2aFacilityCount&gt;=4755,F9767=""),"Incomplete","Complete")</f>
        <v>Complete</v>
      </c>
      <c r="I9767" s="48" t="s">
        <v>14132</v>
      </c>
    </row>
    <row r="9768" spans="2:9" ht="15" customHeight="1" x14ac:dyDescent="0.25">
      <c r="B9768" s="55" t="s">
        <v>280</v>
      </c>
      <c r="C9768" s="46">
        <v>4756</v>
      </c>
      <c r="D9768" s="69" t="s">
        <v>29417</v>
      </c>
      <c r="E9768" s="51"/>
      <c r="F9768" s="114" t="str">
        <f>IF(INDEX(I.Facility.P2aIDNumber,4756)="","",INDEX(I.Facility.P2aIDNumber,4756))</f>
        <v/>
      </c>
      <c r="G9768" s="51"/>
      <c r="H9768" s="46" t="str">
        <f>IF(AND(I.Developer.P2a=TRUE,I.Facility.P2aFacilityCount&gt;=4756,F9768=""),"Incomplete","Complete")</f>
        <v>Complete</v>
      </c>
      <c r="I9768" s="48" t="s">
        <v>14133</v>
      </c>
    </row>
    <row r="9769" spans="2:9" ht="15" customHeight="1" x14ac:dyDescent="0.25">
      <c r="B9769" s="55" t="s">
        <v>280</v>
      </c>
      <c r="C9769" s="46">
        <v>4757</v>
      </c>
      <c r="D9769" s="69" t="s">
        <v>29417</v>
      </c>
      <c r="E9769" s="51"/>
      <c r="F9769" s="114" t="str">
        <f>IF(INDEX(I.Facility.P2aIDNumber,4757)="","",INDEX(I.Facility.P2aIDNumber,4757))</f>
        <v/>
      </c>
      <c r="G9769" s="51"/>
      <c r="H9769" s="46" t="str">
        <f>IF(AND(I.Developer.P2a=TRUE,I.Facility.P2aFacilityCount&gt;=4757,F9769=""),"Incomplete","Complete")</f>
        <v>Complete</v>
      </c>
      <c r="I9769" s="48" t="s">
        <v>14134</v>
      </c>
    </row>
    <row r="9770" spans="2:9" ht="15" customHeight="1" x14ac:dyDescent="0.25">
      <c r="B9770" s="55" t="s">
        <v>280</v>
      </c>
      <c r="C9770" s="46">
        <v>4758</v>
      </c>
      <c r="D9770" s="69" t="s">
        <v>29417</v>
      </c>
      <c r="E9770" s="51"/>
      <c r="F9770" s="114" t="str">
        <f>IF(INDEX(I.Facility.P2aIDNumber,4758)="","",INDEX(I.Facility.P2aIDNumber,4758))</f>
        <v/>
      </c>
      <c r="G9770" s="51"/>
      <c r="H9770" s="46" t="str">
        <f>IF(AND(I.Developer.P2a=TRUE,I.Facility.P2aFacilityCount&gt;=4758,F9770=""),"Incomplete","Complete")</f>
        <v>Complete</v>
      </c>
      <c r="I9770" s="48" t="s">
        <v>14135</v>
      </c>
    </row>
    <row r="9771" spans="2:9" ht="15" customHeight="1" x14ac:dyDescent="0.25">
      <c r="B9771" s="55" t="s">
        <v>280</v>
      </c>
      <c r="C9771" s="46">
        <v>4759</v>
      </c>
      <c r="D9771" s="69" t="s">
        <v>29417</v>
      </c>
      <c r="E9771" s="51"/>
      <c r="F9771" s="114" t="str">
        <f>IF(INDEX(I.Facility.P2aIDNumber,4759)="","",INDEX(I.Facility.P2aIDNumber,4759))</f>
        <v/>
      </c>
      <c r="G9771" s="51"/>
      <c r="H9771" s="46" t="str">
        <f>IF(AND(I.Developer.P2a=TRUE,I.Facility.P2aFacilityCount&gt;=4759,F9771=""),"Incomplete","Complete")</f>
        <v>Complete</v>
      </c>
      <c r="I9771" s="48" t="s">
        <v>14136</v>
      </c>
    </row>
    <row r="9772" spans="2:9" ht="15" customHeight="1" x14ac:dyDescent="0.25">
      <c r="B9772" s="55" t="s">
        <v>280</v>
      </c>
      <c r="C9772" s="46">
        <v>4760</v>
      </c>
      <c r="D9772" s="69" t="s">
        <v>29417</v>
      </c>
      <c r="E9772" s="51"/>
      <c r="F9772" s="114" t="str">
        <f>IF(INDEX(I.Facility.P2aIDNumber,4760)="","",INDEX(I.Facility.P2aIDNumber,4760))</f>
        <v/>
      </c>
      <c r="G9772" s="51"/>
      <c r="H9772" s="46" t="str">
        <f>IF(AND(I.Developer.P2a=TRUE,I.Facility.P2aFacilityCount&gt;=4760,F9772=""),"Incomplete","Complete")</f>
        <v>Complete</v>
      </c>
      <c r="I9772" s="48" t="s">
        <v>14137</v>
      </c>
    </row>
    <row r="9773" spans="2:9" ht="15" customHeight="1" x14ac:dyDescent="0.25">
      <c r="B9773" s="55" t="s">
        <v>280</v>
      </c>
      <c r="C9773" s="46">
        <v>4761</v>
      </c>
      <c r="D9773" s="69" t="s">
        <v>29417</v>
      </c>
      <c r="E9773" s="51"/>
      <c r="F9773" s="114" t="str">
        <f>IF(INDEX(I.Facility.P2aIDNumber,4761)="","",INDEX(I.Facility.P2aIDNumber,4761))</f>
        <v/>
      </c>
      <c r="G9773" s="51"/>
      <c r="H9773" s="46" t="str">
        <f>IF(AND(I.Developer.P2a=TRUE,I.Facility.P2aFacilityCount&gt;=4761,F9773=""),"Incomplete","Complete")</f>
        <v>Complete</v>
      </c>
      <c r="I9773" s="48" t="s">
        <v>14138</v>
      </c>
    </row>
    <row r="9774" spans="2:9" ht="15" customHeight="1" x14ac:dyDescent="0.25">
      <c r="B9774" s="55" t="s">
        <v>280</v>
      </c>
      <c r="C9774" s="46">
        <v>4762</v>
      </c>
      <c r="D9774" s="69" t="s">
        <v>29417</v>
      </c>
      <c r="E9774" s="51"/>
      <c r="F9774" s="114" t="str">
        <f>IF(INDEX(I.Facility.P2aIDNumber,4762)="","",INDEX(I.Facility.P2aIDNumber,4762))</f>
        <v/>
      </c>
      <c r="G9774" s="51"/>
      <c r="H9774" s="46" t="str">
        <f>IF(AND(I.Developer.P2a=TRUE,I.Facility.P2aFacilityCount&gt;=4762,F9774=""),"Incomplete","Complete")</f>
        <v>Complete</v>
      </c>
      <c r="I9774" s="48" t="s">
        <v>14139</v>
      </c>
    </row>
    <row r="9775" spans="2:9" ht="15" customHeight="1" x14ac:dyDescent="0.25">
      <c r="B9775" s="55" t="s">
        <v>280</v>
      </c>
      <c r="C9775" s="46">
        <v>4763</v>
      </c>
      <c r="D9775" s="69" t="s">
        <v>29417</v>
      </c>
      <c r="E9775" s="51"/>
      <c r="F9775" s="114" t="str">
        <f>IF(INDEX(I.Facility.P2aIDNumber,4763)="","",INDEX(I.Facility.P2aIDNumber,4763))</f>
        <v/>
      </c>
      <c r="G9775" s="51"/>
      <c r="H9775" s="46" t="str">
        <f>IF(AND(I.Developer.P2a=TRUE,I.Facility.P2aFacilityCount&gt;=4763,F9775=""),"Incomplete","Complete")</f>
        <v>Complete</v>
      </c>
      <c r="I9775" s="48" t="s">
        <v>14140</v>
      </c>
    </row>
    <row r="9776" spans="2:9" ht="15" customHeight="1" x14ac:dyDescent="0.25">
      <c r="B9776" s="55" t="s">
        <v>280</v>
      </c>
      <c r="C9776" s="46">
        <v>4764</v>
      </c>
      <c r="D9776" s="69" t="s">
        <v>29417</v>
      </c>
      <c r="E9776" s="51"/>
      <c r="F9776" s="114" t="str">
        <f>IF(INDEX(I.Facility.P2aIDNumber,4764)="","",INDEX(I.Facility.P2aIDNumber,4764))</f>
        <v/>
      </c>
      <c r="G9776" s="51"/>
      <c r="H9776" s="46" t="str">
        <f>IF(AND(I.Developer.P2a=TRUE,I.Facility.P2aFacilityCount&gt;=4764,F9776=""),"Incomplete","Complete")</f>
        <v>Complete</v>
      </c>
      <c r="I9776" s="48" t="s">
        <v>14141</v>
      </c>
    </row>
    <row r="9777" spans="2:9" ht="15" customHeight="1" x14ac:dyDescent="0.25">
      <c r="B9777" s="55" t="s">
        <v>280</v>
      </c>
      <c r="C9777" s="46">
        <v>4765</v>
      </c>
      <c r="D9777" s="69" t="s">
        <v>29417</v>
      </c>
      <c r="E9777" s="51"/>
      <c r="F9777" s="114" t="str">
        <f>IF(INDEX(I.Facility.P2aIDNumber,4765)="","",INDEX(I.Facility.P2aIDNumber,4765))</f>
        <v/>
      </c>
      <c r="G9777" s="51"/>
      <c r="H9777" s="46" t="str">
        <f>IF(AND(I.Developer.P2a=TRUE,I.Facility.P2aFacilityCount&gt;=4765,F9777=""),"Incomplete","Complete")</f>
        <v>Complete</v>
      </c>
      <c r="I9777" s="48" t="s">
        <v>14142</v>
      </c>
    </row>
    <row r="9778" spans="2:9" ht="15" customHeight="1" x14ac:dyDescent="0.25">
      <c r="B9778" s="55" t="s">
        <v>280</v>
      </c>
      <c r="C9778" s="46">
        <v>4766</v>
      </c>
      <c r="D9778" s="69" t="s">
        <v>29417</v>
      </c>
      <c r="E9778" s="51"/>
      <c r="F9778" s="114" t="str">
        <f>IF(INDEX(I.Facility.P2aIDNumber,4766)="","",INDEX(I.Facility.P2aIDNumber,4766))</f>
        <v/>
      </c>
      <c r="G9778" s="51"/>
      <c r="H9778" s="46" t="str">
        <f>IF(AND(I.Developer.P2a=TRUE,I.Facility.P2aFacilityCount&gt;=4766,F9778=""),"Incomplete","Complete")</f>
        <v>Complete</v>
      </c>
      <c r="I9778" s="48" t="s">
        <v>14143</v>
      </c>
    </row>
    <row r="9779" spans="2:9" ht="15" customHeight="1" x14ac:dyDescent="0.25">
      <c r="B9779" s="55" t="s">
        <v>280</v>
      </c>
      <c r="C9779" s="46">
        <v>4767</v>
      </c>
      <c r="D9779" s="69" t="s">
        <v>29417</v>
      </c>
      <c r="E9779" s="51"/>
      <c r="F9779" s="114" t="str">
        <f>IF(INDEX(I.Facility.P2aIDNumber,4767)="","",INDEX(I.Facility.P2aIDNumber,4767))</f>
        <v/>
      </c>
      <c r="G9779" s="51"/>
      <c r="H9779" s="46" t="str">
        <f>IF(AND(I.Developer.P2a=TRUE,I.Facility.P2aFacilityCount&gt;=4767,F9779=""),"Incomplete","Complete")</f>
        <v>Complete</v>
      </c>
      <c r="I9779" s="48" t="s">
        <v>14144</v>
      </c>
    </row>
    <row r="9780" spans="2:9" ht="15" customHeight="1" x14ac:dyDescent="0.25">
      <c r="B9780" s="55" t="s">
        <v>280</v>
      </c>
      <c r="C9780" s="46">
        <v>4768</v>
      </c>
      <c r="D9780" s="69" t="s">
        <v>29417</v>
      </c>
      <c r="E9780" s="51"/>
      <c r="F9780" s="114" t="str">
        <f>IF(INDEX(I.Facility.P2aIDNumber,4768)="","",INDEX(I.Facility.P2aIDNumber,4768))</f>
        <v/>
      </c>
      <c r="G9780" s="51"/>
      <c r="H9780" s="46" t="str">
        <f>IF(AND(I.Developer.P2a=TRUE,I.Facility.P2aFacilityCount&gt;=4768,F9780=""),"Incomplete","Complete")</f>
        <v>Complete</v>
      </c>
      <c r="I9780" s="48" t="s">
        <v>14145</v>
      </c>
    </row>
    <row r="9781" spans="2:9" ht="15" customHeight="1" x14ac:dyDescent="0.25">
      <c r="B9781" s="55" t="s">
        <v>280</v>
      </c>
      <c r="C9781" s="46">
        <v>4769</v>
      </c>
      <c r="D9781" s="69" t="s">
        <v>29417</v>
      </c>
      <c r="E9781" s="51"/>
      <c r="F9781" s="114" t="str">
        <f>IF(INDEX(I.Facility.P2aIDNumber,4769)="","",INDEX(I.Facility.P2aIDNumber,4769))</f>
        <v/>
      </c>
      <c r="G9781" s="51"/>
      <c r="H9781" s="46" t="str">
        <f>IF(AND(I.Developer.P2a=TRUE,I.Facility.P2aFacilityCount&gt;=4769,F9781=""),"Incomplete","Complete")</f>
        <v>Complete</v>
      </c>
      <c r="I9781" s="48" t="s">
        <v>14146</v>
      </c>
    </row>
    <row r="9782" spans="2:9" ht="15" customHeight="1" x14ac:dyDescent="0.25">
      <c r="B9782" s="55" t="s">
        <v>280</v>
      </c>
      <c r="C9782" s="46">
        <v>4770</v>
      </c>
      <c r="D9782" s="69" t="s">
        <v>29417</v>
      </c>
      <c r="E9782" s="51"/>
      <c r="F9782" s="114" t="str">
        <f>IF(INDEX(I.Facility.P2aIDNumber,4770)="","",INDEX(I.Facility.P2aIDNumber,4770))</f>
        <v/>
      </c>
      <c r="G9782" s="51"/>
      <c r="H9782" s="46" t="str">
        <f>IF(AND(I.Developer.P2a=TRUE,I.Facility.P2aFacilityCount&gt;=4770,F9782=""),"Incomplete","Complete")</f>
        <v>Complete</v>
      </c>
      <c r="I9782" s="48" t="s">
        <v>14147</v>
      </c>
    </row>
    <row r="9783" spans="2:9" ht="15" customHeight="1" x14ac:dyDescent="0.25">
      <c r="B9783" s="55" t="s">
        <v>280</v>
      </c>
      <c r="C9783" s="46">
        <v>4771</v>
      </c>
      <c r="D9783" s="69" t="s">
        <v>29417</v>
      </c>
      <c r="E9783" s="51"/>
      <c r="F9783" s="114" t="str">
        <f>IF(INDEX(I.Facility.P2aIDNumber,4771)="","",INDEX(I.Facility.P2aIDNumber,4771))</f>
        <v/>
      </c>
      <c r="G9783" s="51"/>
      <c r="H9783" s="46" t="str">
        <f>IF(AND(I.Developer.P2a=TRUE,I.Facility.P2aFacilityCount&gt;=4771,F9783=""),"Incomplete","Complete")</f>
        <v>Complete</v>
      </c>
      <c r="I9783" s="48" t="s">
        <v>14148</v>
      </c>
    </row>
    <row r="9784" spans="2:9" ht="15" customHeight="1" x14ac:dyDescent="0.25">
      <c r="B9784" s="55" t="s">
        <v>280</v>
      </c>
      <c r="C9784" s="46">
        <v>4772</v>
      </c>
      <c r="D9784" s="69" t="s">
        <v>29417</v>
      </c>
      <c r="E9784" s="51"/>
      <c r="F9784" s="114" t="str">
        <f>IF(INDEX(I.Facility.P2aIDNumber,4772)="","",INDEX(I.Facility.P2aIDNumber,4772))</f>
        <v/>
      </c>
      <c r="G9784" s="51"/>
      <c r="H9784" s="46" t="str">
        <f>IF(AND(I.Developer.P2a=TRUE,I.Facility.P2aFacilityCount&gt;=4772,F9784=""),"Incomplete","Complete")</f>
        <v>Complete</v>
      </c>
      <c r="I9784" s="48" t="s">
        <v>14149</v>
      </c>
    </row>
    <row r="9785" spans="2:9" ht="15" customHeight="1" x14ac:dyDescent="0.25">
      <c r="B9785" s="55" t="s">
        <v>280</v>
      </c>
      <c r="C9785" s="46">
        <v>4773</v>
      </c>
      <c r="D9785" s="69" t="s">
        <v>29417</v>
      </c>
      <c r="E9785" s="51"/>
      <c r="F9785" s="114" t="str">
        <f>IF(INDEX(I.Facility.P2aIDNumber,4773)="","",INDEX(I.Facility.P2aIDNumber,4773))</f>
        <v/>
      </c>
      <c r="G9785" s="51"/>
      <c r="H9785" s="46" t="str">
        <f>IF(AND(I.Developer.P2a=TRUE,I.Facility.P2aFacilityCount&gt;=4773,F9785=""),"Incomplete","Complete")</f>
        <v>Complete</v>
      </c>
      <c r="I9785" s="48" t="s">
        <v>14150</v>
      </c>
    </row>
    <row r="9786" spans="2:9" ht="15" customHeight="1" x14ac:dyDescent="0.25">
      <c r="B9786" s="55" t="s">
        <v>280</v>
      </c>
      <c r="C9786" s="46">
        <v>4774</v>
      </c>
      <c r="D9786" s="69" t="s">
        <v>29417</v>
      </c>
      <c r="E9786" s="51"/>
      <c r="F9786" s="114" t="str">
        <f>IF(INDEX(I.Facility.P2aIDNumber,4774)="","",INDEX(I.Facility.P2aIDNumber,4774))</f>
        <v/>
      </c>
      <c r="G9786" s="51"/>
      <c r="H9786" s="46" t="str">
        <f>IF(AND(I.Developer.P2a=TRUE,I.Facility.P2aFacilityCount&gt;=4774,F9786=""),"Incomplete","Complete")</f>
        <v>Complete</v>
      </c>
      <c r="I9786" s="48" t="s">
        <v>14151</v>
      </c>
    </row>
    <row r="9787" spans="2:9" ht="15" customHeight="1" x14ac:dyDescent="0.25">
      <c r="B9787" s="55" t="s">
        <v>280</v>
      </c>
      <c r="C9787" s="46">
        <v>4775</v>
      </c>
      <c r="D9787" s="69" t="s">
        <v>29417</v>
      </c>
      <c r="E9787" s="51"/>
      <c r="F9787" s="114" t="str">
        <f>IF(INDEX(I.Facility.P2aIDNumber,4775)="","",INDEX(I.Facility.P2aIDNumber,4775))</f>
        <v/>
      </c>
      <c r="G9787" s="51"/>
      <c r="H9787" s="46" t="str">
        <f>IF(AND(I.Developer.P2a=TRUE,I.Facility.P2aFacilityCount&gt;=4775,F9787=""),"Incomplete","Complete")</f>
        <v>Complete</v>
      </c>
      <c r="I9787" s="48" t="s">
        <v>14152</v>
      </c>
    </row>
    <row r="9788" spans="2:9" ht="15" customHeight="1" x14ac:dyDescent="0.25">
      <c r="B9788" s="55" t="s">
        <v>280</v>
      </c>
      <c r="C9788" s="46">
        <v>4776</v>
      </c>
      <c r="D9788" s="69" t="s">
        <v>29417</v>
      </c>
      <c r="E9788" s="51"/>
      <c r="F9788" s="114" t="str">
        <f>IF(INDEX(I.Facility.P2aIDNumber,4776)="","",INDEX(I.Facility.P2aIDNumber,4776))</f>
        <v/>
      </c>
      <c r="G9788" s="51"/>
      <c r="H9788" s="46" t="str">
        <f>IF(AND(I.Developer.P2a=TRUE,I.Facility.P2aFacilityCount&gt;=4776,F9788=""),"Incomplete","Complete")</f>
        <v>Complete</v>
      </c>
      <c r="I9788" s="48" t="s">
        <v>14153</v>
      </c>
    </row>
    <row r="9789" spans="2:9" ht="15" customHeight="1" x14ac:dyDescent="0.25">
      <c r="B9789" s="55" t="s">
        <v>280</v>
      </c>
      <c r="C9789" s="46">
        <v>4777</v>
      </c>
      <c r="D9789" s="69" t="s">
        <v>29417</v>
      </c>
      <c r="E9789" s="51"/>
      <c r="F9789" s="114" t="str">
        <f>IF(INDEX(I.Facility.P2aIDNumber,4777)="","",INDEX(I.Facility.P2aIDNumber,4777))</f>
        <v/>
      </c>
      <c r="G9789" s="51"/>
      <c r="H9789" s="46" t="str">
        <f>IF(AND(I.Developer.P2a=TRUE,I.Facility.P2aFacilityCount&gt;=4777,F9789=""),"Incomplete","Complete")</f>
        <v>Complete</v>
      </c>
      <c r="I9789" s="48" t="s">
        <v>14154</v>
      </c>
    </row>
    <row r="9790" spans="2:9" ht="15" customHeight="1" x14ac:dyDescent="0.25">
      <c r="B9790" s="55" t="s">
        <v>280</v>
      </c>
      <c r="C9790" s="46">
        <v>4778</v>
      </c>
      <c r="D9790" s="69" t="s">
        <v>29417</v>
      </c>
      <c r="E9790" s="51"/>
      <c r="F9790" s="114" t="str">
        <f>IF(INDEX(I.Facility.P2aIDNumber,4778)="","",INDEX(I.Facility.P2aIDNumber,4778))</f>
        <v/>
      </c>
      <c r="G9790" s="51"/>
      <c r="H9790" s="46" t="str">
        <f>IF(AND(I.Developer.P2a=TRUE,I.Facility.P2aFacilityCount&gt;=4778,F9790=""),"Incomplete","Complete")</f>
        <v>Complete</v>
      </c>
      <c r="I9790" s="48" t="s">
        <v>14155</v>
      </c>
    </row>
    <row r="9791" spans="2:9" ht="15" customHeight="1" x14ac:dyDescent="0.25">
      <c r="B9791" s="55" t="s">
        <v>280</v>
      </c>
      <c r="C9791" s="46">
        <v>4779</v>
      </c>
      <c r="D9791" s="69" t="s">
        <v>29417</v>
      </c>
      <c r="E9791" s="51"/>
      <c r="F9791" s="114" t="str">
        <f>IF(INDEX(I.Facility.P2aIDNumber,4779)="","",INDEX(I.Facility.P2aIDNumber,4779))</f>
        <v/>
      </c>
      <c r="G9791" s="51"/>
      <c r="H9791" s="46" t="str">
        <f>IF(AND(I.Developer.P2a=TRUE,I.Facility.P2aFacilityCount&gt;=4779,F9791=""),"Incomplete","Complete")</f>
        <v>Complete</v>
      </c>
      <c r="I9791" s="48" t="s">
        <v>14156</v>
      </c>
    </row>
    <row r="9792" spans="2:9" ht="15" customHeight="1" x14ac:dyDescent="0.25">
      <c r="B9792" s="55" t="s">
        <v>280</v>
      </c>
      <c r="C9792" s="46">
        <v>4780</v>
      </c>
      <c r="D9792" s="69" t="s">
        <v>29417</v>
      </c>
      <c r="E9792" s="51"/>
      <c r="F9792" s="114" t="str">
        <f>IF(INDEX(I.Facility.P2aIDNumber,4780)="","",INDEX(I.Facility.P2aIDNumber,4780))</f>
        <v/>
      </c>
      <c r="G9792" s="51"/>
      <c r="H9792" s="46" t="str">
        <f>IF(AND(I.Developer.P2a=TRUE,I.Facility.P2aFacilityCount&gt;=4780,F9792=""),"Incomplete","Complete")</f>
        <v>Complete</v>
      </c>
      <c r="I9792" s="48" t="s">
        <v>14157</v>
      </c>
    </row>
    <row r="9793" spans="2:9" ht="15" customHeight="1" x14ac:dyDescent="0.25">
      <c r="B9793" s="55" t="s">
        <v>280</v>
      </c>
      <c r="C9793" s="46">
        <v>4781</v>
      </c>
      <c r="D9793" s="69" t="s">
        <v>29417</v>
      </c>
      <c r="E9793" s="51"/>
      <c r="F9793" s="114" t="str">
        <f>IF(INDEX(I.Facility.P2aIDNumber,4781)="","",INDEX(I.Facility.P2aIDNumber,4781))</f>
        <v/>
      </c>
      <c r="G9793" s="51"/>
      <c r="H9793" s="46" t="str">
        <f>IF(AND(I.Developer.P2a=TRUE,I.Facility.P2aFacilityCount&gt;=4781,F9793=""),"Incomplete","Complete")</f>
        <v>Complete</v>
      </c>
      <c r="I9793" s="48" t="s">
        <v>14158</v>
      </c>
    </row>
    <row r="9794" spans="2:9" ht="15" customHeight="1" x14ac:dyDescent="0.25">
      <c r="B9794" s="55" t="s">
        <v>280</v>
      </c>
      <c r="C9794" s="46">
        <v>4782</v>
      </c>
      <c r="D9794" s="69" t="s">
        <v>29417</v>
      </c>
      <c r="E9794" s="51"/>
      <c r="F9794" s="114" t="str">
        <f>IF(INDEX(I.Facility.P2aIDNumber,4782)="","",INDEX(I.Facility.P2aIDNumber,4782))</f>
        <v/>
      </c>
      <c r="G9794" s="51"/>
      <c r="H9794" s="46" t="str">
        <f>IF(AND(I.Developer.P2a=TRUE,I.Facility.P2aFacilityCount&gt;=4782,F9794=""),"Incomplete","Complete")</f>
        <v>Complete</v>
      </c>
      <c r="I9794" s="48" t="s">
        <v>14159</v>
      </c>
    </row>
    <row r="9795" spans="2:9" ht="15" customHeight="1" x14ac:dyDescent="0.25">
      <c r="B9795" s="55" t="s">
        <v>280</v>
      </c>
      <c r="C9795" s="46">
        <v>4783</v>
      </c>
      <c r="D9795" s="69" t="s">
        <v>29417</v>
      </c>
      <c r="E9795" s="51"/>
      <c r="F9795" s="114" t="str">
        <f>IF(INDEX(I.Facility.P2aIDNumber,4783)="","",INDEX(I.Facility.P2aIDNumber,4783))</f>
        <v/>
      </c>
      <c r="G9795" s="51"/>
      <c r="H9795" s="46" t="str">
        <f>IF(AND(I.Developer.P2a=TRUE,I.Facility.P2aFacilityCount&gt;=4783,F9795=""),"Incomplete","Complete")</f>
        <v>Complete</v>
      </c>
      <c r="I9795" s="48" t="s">
        <v>14160</v>
      </c>
    </row>
    <row r="9796" spans="2:9" ht="15" customHeight="1" x14ac:dyDescent="0.25">
      <c r="B9796" s="55" t="s">
        <v>280</v>
      </c>
      <c r="C9796" s="46">
        <v>4784</v>
      </c>
      <c r="D9796" s="69" t="s">
        <v>29417</v>
      </c>
      <c r="E9796" s="51"/>
      <c r="F9796" s="114" t="str">
        <f>IF(INDEX(I.Facility.P2aIDNumber,4784)="","",INDEX(I.Facility.P2aIDNumber,4784))</f>
        <v/>
      </c>
      <c r="G9796" s="51"/>
      <c r="H9796" s="46" t="str">
        <f>IF(AND(I.Developer.P2a=TRUE,I.Facility.P2aFacilityCount&gt;=4784,F9796=""),"Incomplete","Complete")</f>
        <v>Complete</v>
      </c>
      <c r="I9796" s="48" t="s">
        <v>14161</v>
      </c>
    </row>
    <row r="9797" spans="2:9" ht="15" customHeight="1" x14ac:dyDescent="0.25">
      <c r="B9797" s="55" t="s">
        <v>280</v>
      </c>
      <c r="C9797" s="46">
        <v>4785</v>
      </c>
      <c r="D9797" s="69" t="s">
        <v>29417</v>
      </c>
      <c r="E9797" s="51"/>
      <c r="F9797" s="114" t="str">
        <f>IF(INDEX(I.Facility.P2aIDNumber,4785)="","",INDEX(I.Facility.P2aIDNumber,4785))</f>
        <v/>
      </c>
      <c r="G9797" s="51"/>
      <c r="H9797" s="46" t="str">
        <f>IF(AND(I.Developer.P2a=TRUE,I.Facility.P2aFacilityCount&gt;=4785,F9797=""),"Incomplete","Complete")</f>
        <v>Complete</v>
      </c>
      <c r="I9797" s="48" t="s">
        <v>14162</v>
      </c>
    </row>
    <row r="9798" spans="2:9" ht="15" customHeight="1" x14ac:dyDescent="0.25">
      <c r="B9798" s="55" t="s">
        <v>280</v>
      </c>
      <c r="C9798" s="46">
        <v>4786</v>
      </c>
      <c r="D9798" s="69" t="s">
        <v>29417</v>
      </c>
      <c r="E9798" s="51"/>
      <c r="F9798" s="114" t="str">
        <f>IF(INDEX(I.Facility.P2aIDNumber,4786)="","",INDEX(I.Facility.P2aIDNumber,4786))</f>
        <v/>
      </c>
      <c r="G9798" s="51"/>
      <c r="H9798" s="46" t="str">
        <f>IF(AND(I.Developer.P2a=TRUE,I.Facility.P2aFacilityCount&gt;=4786,F9798=""),"Incomplete","Complete")</f>
        <v>Complete</v>
      </c>
      <c r="I9798" s="48" t="s">
        <v>14163</v>
      </c>
    </row>
    <row r="9799" spans="2:9" ht="15" customHeight="1" x14ac:dyDescent="0.25">
      <c r="B9799" s="55" t="s">
        <v>280</v>
      </c>
      <c r="C9799" s="46">
        <v>4787</v>
      </c>
      <c r="D9799" s="69" t="s">
        <v>29417</v>
      </c>
      <c r="E9799" s="51"/>
      <c r="F9799" s="114" t="str">
        <f>IF(INDEX(I.Facility.P2aIDNumber,4787)="","",INDEX(I.Facility.P2aIDNumber,4787))</f>
        <v/>
      </c>
      <c r="G9799" s="51"/>
      <c r="H9799" s="46" t="str">
        <f>IF(AND(I.Developer.P2a=TRUE,I.Facility.P2aFacilityCount&gt;=4787,F9799=""),"Incomplete","Complete")</f>
        <v>Complete</v>
      </c>
      <c r="I9799" s="48" t="s">
        <v>14164</v>
      </c>
    </row>
    <row r="9800" spans="2:9" ht="15" customHeight="1" x14ac:dyDescent="0.25">
      <c r="B9800" s="55" t="s">
        <v>280</v>
      </c>
      <c r="C9800" s="46">
        <v>4788</v>
      </c>
      <c r="D9800" s="69" t="s">
        <v>29417</v>
      </c>
      <c r="E9800" s="51"/>
      <c r="F9800" s="114" t="str">
        <f>IF(INDEX(I.Facility.P2aIDNumber,4788)="","",INDEX(I.Facility.P2aIDNumber,4788))</f>
        <v/>
      </c>
      <c r="G9800" s="51"/>
      <c r="H9800" s="46" t="str">
        <f>IF(AND(I.Developer.P2a=TRUE,I.Facility.P2aFacilityCount&gt;=4788,F9800=""),"Incomplete","Complete")</f>
        <v>Complete</v>
      </c>
      <c r="I9800" s="48" t="s">
        <v>14165</v>
      </c>
    </row>
    <row r="9801" spans="2:9" ht="15" customHeight="1" x14ac:dyDescent="0.25">
      <c r="B9801" s="55" t="s">
        <v>280</v>
      </c>
      <c r="C9801" s="46">
        <v>4789</v>
      </c>
      <c r="D9801" s="69" t="s">
        <v>29417</v>
      </c>
      <c r="E9801" s="51"/>
      <c r="F9801" s="114" t="str">
        <f>IF(INDEX(I.Facility.P2aIDNumber,4789)="","",INDEX(I.Facility.P2aIDNumber,4789))</f>
        <v/>
      </c>
      <c r="G9801" s="51"/>
      <c r="H9801" s="46" t="str">
        <f>IF(AND(I.Developer.P2a=TRUE,I.Facility.P2aFacilityCount&gt;=4789,F9801=""),"Incomplete","Complete")</f>
        <v>Complete</v>
      </c>
      <c r="I9801" s="48" t="s">
        <v>14166</v>
      </c>
    </row>
    <row r="9802" spans="2:9" ht="15" customHeight="1" x14ac:dyDescent="0.25">
      <c r="B9802" s="55" t="s">
        <v>280</v>
      </c>
      <c r="C9802" s="46">
        <v>4790</v>
      </c>
      <c r="D9802" s="69" t="s">
        <v>29417</v>
      </c>
      <c r="E9802" s="51"/>
      <c r="F9802" s="114" t="str">
        <f>IF(INDEX(I.Facility.P2aIDNumber,4790)="","",INDEX(I.Facility.P2aIDNumber,4790))</f>
        <v/>
      </c>
      <c r="G9802" s="51"/>
      <c r="H9802" s="46" t="str">
        <f>IF(AND(I.Developer.P2a=TRUE,I.Facility.P2aFacilityCount&gt;=4790,F9802=""),"Incomplete","Complete")</f>
        <v>Complete</v>
      </c>
      <c r="I9802" s="48" t="s">
        <v>14167</v>
      </c>
    </row>
    <row r="9803" spans="2:9" ht="15" customHeight="1" x14ac:dyDescent="0.25">
      <c r="B9803" s="55" t="s">
        <v>280</v>
      </c>
      <c r="C9803" s="46">
        <v>4791</v>
      </c>
      <c r="D9803" s="69" t="s">
        <v>29417</v>
      </c>
      <c r="E9803" s="51"/>
      <c r="F9803" s="114" t="str">
        <f>IF(INDEX(I.Facility.P2aIDNumber,4791)="","",INDEX(I.Facility.P2aIDNumber,4791))</f>
        <v/>
      </c>
      <c r="G9803" s="51"/>
      <c r="H9803" s="46" t="str">
        <f>IF(AND(I.Developer.P2a=TRUE,I.Facility.P2aFacilityCount&gt;=4791,F9803=""),"Incomplete","Complete")</f>
        <v>Complete</v>
      </c>
      <c r="I9803" s="48" t="s">
        <v>14168</v>
      </c>
    </row>
    <row r="9804" spans="2:9" ht="15" customHeight="1" x14ac:dyDescent="0.25">
      <c r="B9804" s="55" t="s">
        <v>280</v>
      </c>
      <c r="C9804" s="46">
        <v>4792</v>
      </c>
      <c r="D9804" s="69" t="s">
        <v>29417</v>
      </c>
      <c r="E9804" s="51"/>
      <c r="F9804" s="114" t="str">
        <f>IF(INDEX(I.Facility.P2aIDNumber,4792)="","",INDEX(I.Facility.P2aIDNumber,4792))</f>
        <v/>
      </c>
      <c r="G9804" s="51"/>
      <c r="H9804" s="46" t="str">
        <f>IF(AND(I.Developer.P2a=TRUE,I.Facility.P2aFacilityCount&gt;=4792,F9804=""),"Incomplete","Complete")</f>
        <v>Complete</v>
      </c>
      <c r="I9804" s="48" t="s">
        <v>14169</v>
      </c>
    </row>
    <row r="9805" spans="2:9" ht="15" customHeight="1" x14ac:dyDescent="0.25">
      <c r="B9805" s="55" t="s">
        <v>280</v>
      </c>
      <c r="C9805" s="46">
        <v>4793</v>
      </c>
      <c r="D9805" s="69" t="s">
        <v>29417</v>
      </c>
      <c r="E9805" s="51"/>
      <c r="F9805" s="114" t="str">
        <f>IF(INDEX(I.Facility.P2aIDNumber,4793)="","",INDEX(I.Facility.P2aIDNumber,4793))</f>
        <v/>
      </c>
      <c r="G9805" s="51"/>
      <c r="H9805" s="46" t="str">
        <f>IF(AND(I.Developer.P2a=TRUE,I.Facility.P2aFacilityCount&gt;=4793,F9805=""),"Incomplete","Complete")</f>
        <v>Complete</v>
      </c>
      <c r="I9805" s="48" t="s">
        <v>14170</v>
      </c>
    </row>
    <row r="9806" spans="2:9" ht="15" customHeight="1" x14ac:dyDescent="0.25">
      <c r="B9806" s="55" t="s">
        <v>280</v>
      </c>
      <c r="C9806" s="46">
        <v>4794</v>
      </c>
      <c r="D9806" s="69" t="s">
        <v>29417</v>
      </c>
      <c r="E9806" s="51"/>
      <c r="F9806" s="114" t="str">
        <f>IF(INDEX(I.Facility.P2aIDNumber,4794)="","",INDEX(I.Facility.P2aIDNumber,4794))</f>
        <v/>
      </c>
      <c r="G9806" s="51"/>
      <c r="H9806" s="46" t="str">
        <f>IF(AND(I.Developer.P2a=TRUE,I.Facility.P2aFacilityCount&gt;=4794,F9806=""),"Incomplete","Complete")</f>
        <v>Complete</v>
      </c>
      <c r="I9806" s="48" t="s">
        <v>14171</v>
      </c>
    </row>
    <row r="9807" spans="2:9" ht="15" customHeight="1" x14ac:dyDescent="0.25">
      <c r="B9807" s="55" t="s">
        <v>280</v>
      </c>
      <c r="C9807" s="46">
        <v>4795</v>
      </c>
      <c r="D9807" s="69" t="s">
        <v>29417</v>
      </c>
      <c r="E9807" s="51"/>
      <c r="F9807" s="114" t="str">
        <f>IF(INDEX(I.Facility.P2aIDNumber,4795)="","",INDEX(I.Facility.P2aIDNumber,4795))</f>
        <v/>
      </c>
      <c r="G9807" s="51"/>
      <c r="H9807" s="46" t="str">
        <f>IF(AND(I.Developer.P2a=TRUE,I.Facility.P2aFacilityCount&gt;=4795,F9807=""),"Incomplete","Complete")</f>
        <v>Complete</v>
      </c>
      <c r="I9807" s="48" t="s">
        <v>14172</v>
      </c>
    </row>
    <row r="9808" spans="2:9" ht="15" customHeight="1" x14ac:dyDescent="0.25">
      <c r="B9808" s="55" t="s">
        <v>280</v>
      </c>
      <c r="C9808" s="46">
        <v>4796</v>
      </c>
      <c r="D9808" s="69" t="s">
        <v>29417</v>
      </c>
      <c r="E9808" s="51"/>
      <c r="F9808" s="114" t="str">
        <f>IF(INDEX(I.Facility.P2aIDNumber,4796)="","",INDEX(I.Facility.P2aIDNumber,4796))</f>
        <v/>
      </c>
      <c r="G9808" s="51"/>
      <c r="H9808" s="46" t="str">
        <f>IF(AND(I.Developer.P2a=TRUE,I.Facility.P2aFacilityCount&gt;=4796,F9808=""),"Incomplete","Complete")</f>
        <v>Complete</v>
      </c>
      <c r="I9808" s="48" t="s">
        <v>14173</v>
      </c>
    </row>
    <row r="9809" spans="2:9" ht="15" customHeight="1" x14ac:dyDescent="0.25">
      <c r="B9809" s="55" t="s">
        <v>280</v>
      </c>
      <c r="C9809" s="46">
        <v>4797</v>
      </c>
      <c r="D9809" s="69" t="s">
        <v>29417</v>
      </c>
      <c r="E9809" s="51"/>
      <c r="F9809" s="114" t="str">
        <f>IF(INDEX(I.Facility.P2aIDNumber,4797)="","",INDEX(I.Facility.P2aIDNumber,4797))</f>
        <v/>
      </c>
      <c r="G9809" s="51"/>
      <c r="H9809" s="46" t="str">
        <f>IF(AND(I.Developer.P2a=TRUE,I.Facility.P2aFacilityCount&gt;=4797,F9809=""),"Incomplete","Complete")</f>
        <v>Complete</v>
      </c>
      <c r="I9809" s="48" t="s">
        <v>14174</v>
      </c>
    </row>
    <row r="9810" spans="2:9" ht="15" customHeight="1" x14ac:dyDescent="0.25">
      <c r="B9810" s="55" t="s">
        <v>280</v>
      </c>
      <c r="C9810" s="46">
        <v>4798</v>
      </c>
      <c r="D9810" s="69" t="s">
        <v>29417</v>
      </c>
      <c r="E9810" s="51"/>
      <c r="F9810" s="114" t="str">
        <f>IF(INDEX(I.Facility.P2aIDNumber,4798)="","",INDEX(I.Facility.P2aIDNumber,4798))</f>
        <v/>
      </c>
      <c r="G9810" s="51"/>
      <c r="H9810" s="46" t="str">
        <f>IF(AND(I.Developer.P2a=TRUE,I.Facility.P2aFacilityCount&gt;=4798,F9810=""),"Incomplete","Complete")</f>
        <v>Complete</v>
      </c>
      <c r="I9810" s="48" t="s">
        <v>14175</v>
      </c>
    </row>
    <row r="9811" spans="2:9" ht="15" customHeight="1" x14ac:dyDescent="0.25">
      <c r="B9811" s="55" t="s">
        <v>280</v>
      </c>
      <c r="C9811" s="46">
        <v>4799</v>
      </c>
      <c r="D9811" s="69" t="s">
        <v>29417</v>
      </c>
      <c r="E9811" s="51"/>
      <c r="F9811" s="114" t="str">
        <f>IF(INDEX(I.Facility.P2aIDNumber,4799)="","",INDEX(I.Facility.P2aIDNumber,4799))</f>
        <v/>
      </c>
      <c r="G9811" s="51"/>
      <c r="H9811" s="46" t="str">
        <f>IF(AND(I.Developer.P2a=TRUE,I.Facility.P2aFacilityCount&gt;=4799,F9811=""),"Incomplete","Complete")</f>
        <v>Complete</v>
      </c>
      <c r="I9811" s="48" t="s">
        <v>14176</v>
      </c>
    </row>
    <row r="9812" spans="2:9" ht="15" customHeight="1" x14ac:dyDescent="0.25">
      <c r="B9812" s="55" t="s">
        <v>280</v>
      </c>
      <c r="C9812" s="46">
        <v>4800</v>
      </c>
      <c r="D9812" s="69" t="s">
        <v>29417</v>
      </c>
      <c r="E9812" s="51"/>
      <c r="F9812" s="114" t="str">
        <f>IF(INDEX(I.Facility.P2aIDNumber,4800)="","",INDEX(I.Facility.P2aIDNumber,4800))</f>
        <v/>
      </c>
      <c r="G9812" s="51"/>
      <c r="H9812" s="46" t="str">
        <f>IF(AND(I.Developer.P2a=TRUE,I.Facility.P2aFacilityCount&gt;=4800,F9812=""),"Incomplete","Complete")</f>
        <v>Complete</v>
      </c>
      <c r="I9812" s="48" t="s">
        <v>14177</v>
      </c>
    </row>
    <row r="9813" spans="2:9" ht="15" customHeight="1" x14ac:dyDescent="0.25">
      <c r="B9813" s="55" t="s">
        <v>280</v>
      </c>
      <c r="C9813" s="46">
        <v>4801</v>
      </c>
      <c r="D9813" s="69" t="s">
        <v>29417</v>
      </c>
      <c r="E9813" s="51"/>
      <c r="F9813" s="114" t="str">
        <f>IF(INDEX(I.Facility.P2aIDNumber,4801)="","",INDEX(I.Facility.P2aIDNumber,4801))</f>
        <v/>
      </c>
      <c r="G9813" s="51"/>
      <c r="H9813" s="46" t="str">
        <f>IF(AND(I.Developer.P2a=TRUE,I.Facility.P2aFacilityCount&gt;=4801,F9813=""),"Incomplete","Complete")</f>
        <v>Complete</v>
      </c>
      <c r="I9813" s="48" t="s">
        <v>14178</v>
      </c>
    </row>
    <row r="9814" spans="2:9" ht="15" customHeight="1" x14ac:dyDescent="0.25">
      <c r="B9814" s="55" t="s">
        <v>280</v>
      </c>
      <c r="C9814" s="46">
        <v>4802</v>
      </c>
      <c r="D9814" s="69" t="s">
        <v>29417</v>
      </c>
      <c r="E9814" s="51"/>
      <c r="F9814" s="114" t="str">
        <f>IF(INDEX(I.Facility.P2aIDNumber,4802)="","",INDEX(I.Facility.P2aIDNumber,4802))</f>
        <v/>
      </c>
      <c r="G9814" s="51"/>
      <c r="H9814" s="46" t="str">
        <f>IF(AND(I.Developer.P2a=TRUE,I.Facility.P2aFacilityCount&gt;=4802,F9814=""),"Incomplete","Complete")</f>
        <v>Complete</v>
      </c>
      <c r="I9814" s="48" t="s">
        <v>14179</v>
      </c>
    </row>
    <row r="9815" spans="2:9" ht="15" customHeight="1" x14ac:dyDescent="0.25">
      <c r="B9815" s="55" t="s">
        <v>280</v>
      </c>
      <c r="C9815" s="46">
        <v>4803</v>
      </c>
      <c r="D9815" s="69" t="s">
        <v>29417</v>
      </c>
      <c r="E9815" s="51"/>
      <c r="F9815" s="114" t="str">
        <f>IF(INDEX(I.Facility.P2aIDNumber,4803)="","",INDEX(I.Facility.P2aIDNumber,4803))</f>
        <v/>
      </c>
      <c r="G9815" s="51"/>
      <c r="H9815" s="46" t="str">
        <f>IF(AND(I.Developer.P2a=TRUE,I.Facility.P2aFacilityCount&gt;=4803,F9815=""),"Incomplete","Complete")</f>
        <v>Complete</v>
      </c>
      <c r="I9815" s="48" t="s">
        <v>14180</v>
      </c>
    </row>
    <row r="9816" spans="2:9" ht="15" customHeight="1" x14ac:dyDescent="0.25">
      <c r="B9816" s="55" t="s">
        <v>280</v>
      </c>
      <c r="C9816" s="46">
        <v>4804</v>
      </c>
      <c r="D9816" s="69" t="s">
        <v>29417</v>
      </c>
      <c r="E9816" s="51"/>
      <c r="F9816" s="114" t="str">
        <f>IF(INDEX(I.Facility.P2aIDNumber,4804)="","",INDEX(I.Facility.P2aIDNumber,4804))</f>
        <v/>
      </c>
      <c r="G9816" s="51"/>
      <c r="H9816" s="46" t="str">
        <f>IF(AND(I.Developer.P2a=TRUE,I.Facility.P2aFacilityCount&gt;=4804,F9816=""),"Incomplete","Complete")</f>
        <v>Complete</v>
      </c>
      <c r="I9816" s="48" t="s">
        <v>14181</v>
      </c>
    </row>
    <row r="9817" spans="2:9" ht="15" customHeight="1" x14ac:dyDescent="0.25">
      <c r="B9817" s="55" t="s">
        <v>280</v>
      </c>
      <c r="C9817" s="46">
        <v>4805</v>
      </c>
      <c r="D9817" s="69" t="s">
        <v>29417</v>
      </c>
      <c r="E9817" s="51"/>
      <c r="F9817" s="114" t="str">
        <f>IF(INDEX(I.Facility.P2aIDNumber,4805)="","",INDEX(I.Facility.P2aIDNumber,4805))</f>
        <v/>
      </c>
      <c r="G9817" s="51"/>
      <c r="H9817" s="46" t="str">
        <f>IF(AND(I.Developer.P2a=TRUE,I.Facility.P2aFacilityCount&gt;=4805,F9817=""),"Incomplete","Complete")</f>
        <v>Complete</v>
      </c>
      <c r="I9817" s="48" t="s">
        <v>14182</v>
      </c>
    </row>
    <row r="9818" spans="2:9" ht="15" customHeight="1" x14ac:dyDescent="0.25">
      <c r="B9818" s="55" t="s">
        <v>280</v>
      </c>
      <c r="C9818" s="46">
        <v>4806</v>
      </c>
      <c r="D9818" s="69" t="s">
        <v>29417</v>
      </c>
      <c r="E9818" s="51"/>
      <c r="F9818" s="114" t="str">
        <f>IF(INDEX(I.Facility.P2aIDNumber,4806)="","",INDEX(I.Facility.P2aIDNumber,4806))</f>
        <v/>
      </c>
      <c r="G9818" s="51"/>
      <c r="H9818" s="46" t="str">
        <f>IF(AND(I.Developer.P2a=TRUE,I.Facility.P2aFacilityCount&gt;=4806,F9818=""),"Incomplete","Complete")</f>
        <v>Complete</v>
      </c>
      <c r="I9818" s="48" t="s">
        <v>14183</v>
      </c>
    </row>
    <row r="9819" spans="2:9" ht="15" customHeight="1" x14ac:dyDescent="0.25">
      <c r="B9819" s="55" t="s">
        <v>280</v>
      </c>
      <c r="C9819" s="46">
        <v>4807</v>
      </c>
      <c r="D9819" s="69" t="s">
        <v>29417</v>
      </c>
      <c r="E9819" s="51"/>
      <c r="F9819" s="114" t="str">
        <f>IF(INDEX(I.Facility.P2aIDNumber,4807)="","",INDEX(I.Facility.P2aIDNumber,4807))</f>
        <v/>
      </c>
      <c r="G9819" s="51"/>
      <c r="H9819" s="46" t="str">
        <f>IF(AND(I.Developer.P2a=TRUE,I.Facility.P2aFacilityCount&gt;=4807,F9819=""),"Incomplete","Complete")</f>
        <v>Complete</v>
      </c>
      <c r="I9819" s="48" t="s">
        <v>14184</v>
      </c>
    </row>
    <row r="9820" spans="2:9" ht="15" customHeight="1" x14ac:dyDescent="0.25">
      <c r="B9820" s="55" t="s">
        <v>280</v>
      </c>
      <c r="C9820" s="46">
        <v>4808</v>
      </c>
      <c r="D9820" s="69" t="s">
        <v>29417</v>
      </c>
      <c r="E9820" s="51"/>
      <c r="F9820" s="114" t="str">
        <f>IF(INDEX(I.Facility.P2aIDNumber,4808)="","",INDEX(I.Facility.P2aIDNumber,4808))</f>
        <v/>
      </c>
      <c r="G9820" s="51"/>
      <c r="H9820" s="46" t="str">
        <f>IF(AND(I.Developer.P2a=TRUE,I.Facility.P2aFacilityCount&gt;=4808,F9820=""),"Incomplete","Complete")</f>
        <v>Complete</v>
      </c>
      <c r="I9820" s="48" t="s">
        <v>14185</v>
      </c>
    </row>
    <row r="9821" spans="2:9" ht="15" customHeight="1" x14ac:dyDescent="0.25">
      <c r="B9821" s="55" t="s">
        <v>280</v>
      </c>
      <c r="C9821" s="46">
        <v>4809</v>
      </c>
      <c r="D9821" s="69" t="s">
        <v>29417</v>
      </c>
      <c r="E9821" s="51"/>
      <c r="F9821" s="114" t="str">
        <f>IF(INDEX(I.Facility.P2aIDNumber,4809)="","",INDEX(I.Facility.P2aIDNumber,4809))</f>
        <v/>
      </c>
      <c r="G9821" s="51"/>
      <c r="H9821" s="46" t="str">
        <f>IF(AND(I.Developer.P2a=TRUE,I.Facility.P2aFacilityCount&gt;=4809,F9821=""),"Incomplete","Complete")</f>
        <v>Complete</v>
      </c>
      <c r="I9821" s="48" t="s">
        <v>14186</v>
      </c>
    </row>
    <row r="9822" spans="2:9" ht="15" customHeight="1" x14ac:dyDescent="0.25">
      <c r="B9822" s="55" t="s">
        <v>280</v>
      </c>
      <c r="C9822" s="46">
        <v>4810</v>
      </c>
      <c r="D9822" s="69" t="s">
        <v>29417</v>
      </c>
      <c r="E9822" s="51"/>
      <c r="F9822" s="114" t="str">
        <f>IF(INDEX(I.Facility.P2aIDNumber,4810)="","",INDEX(I.Facility.P2aIDNumber,4810))</f>
        <v/>
      </c>
      <c r="G9822" s="51"/>
      <c r="H9822" s="46" t="str">
        <f>IF(AND(I.Developer.P2a=TRUE,I.Facility.P2aFacilityCount&gt;=4810,F9822=""),"Incomplete","Complete")</f>
        <v>Complete</v>
      </c>
      <c r="I9822" s="48" t="s">
        <v>14187</v>
      </c>
    </row>
    <row r="9823" spans="2:9" ht="15" customHeight="1" x14ac:dyDescent="0.25">
      <c r="B9823" s="55" t="s">
        <v>280</v>
      </c>
      <c r="C9823" s="46">
        <v>4811</v>
      </c>
      <c r="D9823" s="69" t="s">
        <v>29417</v>
      </c>
      <c r="E9823" s="51"/>
      <c r="F9823" s="114" t="str">
        <f>IF(INDEX(I.Facility.P2aIDNumber,4811)="","",INDEX(I.Facility.P2aIDNumber,4811))</f>
        <v/>
      </c>
      <c r="G9823" s="51"/>
      <c r="H9823" s="46" t="str">
        <f>IF(AND(I.Developer.P2a=TRUE,I.Facility.P2aFacilityCount&gt;=4811,F9823=""),"Incomplete","Complete")</f>
        <v>Complete</v>
      </c>
      <c r="I9823" s="48" t="s">
        <v>14188</v>
      </c>
    </row>
    <row r="9824" spans="2:9" ht="15" customHeight="1" x14ac:dyDescent="0.25">
      <c r="B9824" s="55" t="s">
        <v>280</v>
      </c>
      <c r="C9824" s="46">
        <v>4812</v>
      </c>
      <c r="D9824" s="69" t="s">
        <v>29417</v>
      </c>
      <c r="E9824" s="51"/>
      <c r="F9824" s="114" t="str">
        <f>IF(INDEX(I.Facility.P2aIDNumber,4812)="","",INDEX(I.Facility.P2aIDNumber,4812))</f>
        <v/>
      </c>
      <c r="G9824" s="51"/>
      <c r="H9824" s="46" t="str">
        <f>IF(AND(I.Developer.P2a=TRUE,I.Facility.P2aFacilityCount&gt;=4812,F9824=""),"Incomplete","Complete")</f>
        <v>Complete</v>
      </c>
      <c r="I9824" s="48" t="s">
        <v>14189</v>
      </c>
    </row>
    <row r="9825" spans="2:9" ht="15" customHeight="1" x14ac:dyDescent="0.25">
      <c r="B9825" s="55" t="s">
        <v>280</v>
      </c>
      <c r="C9825" s="46">
        <v>4813</v>
      </c>
      <c r="D9825" s="69" t="s">
        <v>29417</v>
      </c>
      <c r="E9825" s="51"/>
      <c r="F9825" s="114" t="str">
        <f>IF(INDEX(I.Facility.P2aIDNumber,4813)="","",INDEX(I.Facility.P2aIDNumber,4813))</f>
        <v/>
      </c>
      <c r="G9825" s="51"/>
      <c r="H9825" s="46" t="str">
        <f>IF(AND(I.Developer.P2a=TRUE,I.Facility.P2aFacilityCount&gt;=4813,F9825=""),"Incomplete","Complete")</f>
        <v>Complete</v>
      </c>
      <c r="I9825" s="48" t="s">
        <v>14190</v>
      </c>
    </row>
    <row r="9826" spans="2:9" ht="15" customHeight="1" x14ac:dyDescent="0.25">
      <c r="B9826" s="55" t="s">
        <v>280</v>
      </c>
      <c r="C9826" s="46">
        <v>4814</v>
      </c>
      <c r="D9826" s="69" t="s">
        <v>29417</v>
      </c>
      <c r="E9826" s="51"/>
      <c r="F9826" s="114" t="str">
        <f>IF(INDEX(I.Facility.P2aIDNumber,4814)="","",INDEX(I.Facility.P2aIDNumber,4814))</f>
        <v/>
      </c>
      <c r="G9826" s="51"/>
      <c r="H9826" s="46" t="str">
        <f>IF(AND(I.Developer.P2a=TRUE,I.Facility.P2aFacilityCount&gt;=4814,F9826=""),"Incomplete","Complete")</f>
        <v>Complete</v>
      </c>
      <c r="I9826" s="48" t="s">
        <v>14191</v>
      </c>
    </row>
    <row r="9827" spans="2:9" ht="15" customHeight="1" x14ac:dyDescent="0.25">
      <c r="B9827" s="55" t="s">
        <v>280</v>
      </c>
      <c r="C9827" s="46">
        <v>4815</v>
      </c>
      <c r="D9827" s="69" t="s">
        <v>29417</v>
      </c>
      <c r="E9827" s="51"/>
      <c r="F9827" s="114" t="str">
        <f>IF(INDEX(I.Facility.P2aIDNumber,4815)="","",INDEX(I.Facility.P2aIDNumber,4815))</f>
        <v/>
      </c>
      <c r="G9827" s="51"/>
      <c r="H9827" s="46" t="str">
        <f>IF(AND(I.Developer.P2a=TRUE,I.Facility.P2aFacilityCount&gt;=4815,F9827=""),"Incomplete","Complete")</f>
        <v>Complete</v>
      </c>
      <c r="I9827" s="48" t="s">
        <v>14192</v>
      </c>
    </row>
    <row r="9828" spans="2:9" ht="15" customHeight="1" x14ac:dyDescent="0.25">
      <c r="B9828" s="55" t="s">
        <v>280</v>
      </c>
      <c r="C9828" s="46">
        <v>4816</v>
      </c>
      <c r="D9828" s="69" t="s">
        <v>29417</v>
      </c>
      <c r="E9828" s="51"/>
      <c r="F9828" s="114" t="str">
        <f>IF(INDEX(I.Facility.P2aIDNumber,4816)="","",INDEX(I.Facility.P2aIDNumber,4816))</f>
        <v/>
      </c>
      <c r="G9828" s="51"/>
      <c r="H9828" s="46" t="str">
        <f>IF(AND(I.Developer.P2a=TRUE,I.Facility.P2aFacilityCount&gt;=4816,F9828=""),"Incomplete","Complete")</f>
        <v>Complete</v>
      </c>
      <c r="I9828" s="48" t="s">
        <v>14193</v>
      </c>
    </row>
    <row r="9829" spans="2:9" ht="15" customHeight="1" x14ac:dyDescent="0.25">
      <c r="B9829" s="55" t="s">
        <v>280</v>
      </c>
      <c r="C9829" s="46">
        <v>4817</v>
      </c>
      <c r="D9829" s="69" t="s">
        <v>29417</v>
      </c>
      <c r="E9829" s="51"/>
      <c r="F9829" s="114" t="str">
        <f>IF(INDEX(I.Facility.P2aIDNumber,4817)="","",INDEX(I.Facility.P2aIDNumber,4817))</f>
        <v/>
      </c>
      <c r="G9829" s="51"/>
      <c r="H9829" s="46" t="str">
        <f>IF(AND(I.Developer.P2a=TRUE,I.Facility.P2aFacilityCount&gt;=4817,F9829=""),"Incomplete","Complete")</f>
        <v>Complete</v>
      </c>
      <c r="I9829" s="48" t="s">
        <v>14194</v>
      </c>
    </row>
    <row r="9830" spans="2:9" ht="15" customHeight="1" x14ac:dyDescent="0.25">
      <c r="B9830" s="55" t="s">
        <v>280</v>
      </c>
      <c r="C9830" s="46">
        <v>4818</v>
      </c>
      <c r="D9830" s="69" t="s">
        <v>29417</v>
      </c>
      <c r="E9830" s="51"/>
      <c r="F9830" s="114" t="str">
        <f>IF(INDEX(I.Facility.P2aIDNumber,4818)="","",INDEX(I.Facility.P2aIDNumber,4818))</f>
        <v/>
      </c>
      <c r="G9830" s="51"/>
      <c r="H9830" s="46" t="str">
        <f>IF(AND(I.Developer.P2a=TRUE,I.Facility.P2aFacilityCount&gt;=4818,F9830=""),"Incomplete","Complete")</f>
        <v>Complete</v>
      </c>
      <c r="I9830" s="48" t="s">
        <v>14195</v>
      </c>
    </row>
    <row r="9831" spans="2:9" ht="15" customHeight="1" x14ac:dyDescent="0.25">
      <c r="B9831" s="55" t="s">
        <v>280</v>
      </c>
      <c r="C9831" s="46">
        <v>4819</v>
      </c>
      <c r="D9831" s="69" t="s">
        <v>29417</v>
      </c>
      <c r="E9831" s="51"/>
      <c r="F9831" s="114" t="str">
        <f>IF(INDEX(I.Facility.P2aIDNumber,4819)="","",INDEX(I.Facility.P2aIDNumber,4819))</f>
        <v/>
      </c>
      <c r="G9831" s="51"/>
      <c r="H9831" s="46" t="str">
        <f>IF(AND(I.Developer.P2a=TRUE,I.Facility.P2aFacilityCount&gt;=4819,F9831=""),"Incomplete","Complete")</f>
        <v>Complete</v>
      </c>
      <c r="I9831" s="48" t="s">
        <v>14196</v>
      </c>
    </row>
    <row r="9832" spans="2:9" ht="15" customHeight="1" x14ac:dyDescent="0.25">
      <c r="B9832" s="55" t="s">
        <v>280</v>
      </c>
      <c r="C9832" s="46">
        <v>4820</v>
      </c>
      <c r="D9832" s="69" t="s">
        <v>29417</v>
      </c>
      <c r="E9832" s="51"/>
      <c r="F9832" s="114" t="str">
        <f>IF(INDEX(I.Facility.P2aIDNumber,4820)="","",INDEX(I.Facility.P2aIDNumber,4820))</f>
        <v/>
      </c>
      <c r="G9832" s="51"/>
      <c r="H9832" s="46" t="str">
        <f>IF(AND(I.Developer.P2a=TRUE,I.Facility.P2aFacilityCount&gt;=4820,F9832=""),"Incomplete","Complete")</f>
        <v>Complete</v>
      </c>
      <c r="I9832" s="48" t="s">
        <v>14197</v>
      </c>
    </row>
    <row r="9833" spans="2:9" ht="15" customHeight="1" x14ac:dyDescent="0.25">
      <c r="B9833" s="55" t="s">
        <v>280</v>
      </c>
      <c r="C9833" s="46">
        <v>4821</v>
      </c>
      <c r="D9833" s="69" t="s">
        <v>29417</v>
      </c>
      <c r="E9833" s="51"/>
      <c r="F9833" s="114" t="str">
        <f>IF(INDEX(I.Facility.P2aIDNumber,4821)="","",INDEX(I.Facility.P2aIDNumber,4821))</f>
        <v/>
      </c>
      <c r="G9833" s="51"/>
      <c r="H9833" s="46" t="str">
        <f>IF(AND(I.Developer.P2a=TRUE,I.Facility.P2aFacilityCount&gt;=4821,F9833=""),"Incomplete","Complete")</f>
        <v>Complete</v>
      </c>
      <c r="I9833" s="48" t="s">
        <v>14198</v>
      </c>
    </row>
    <row r="9834" spans="2:9" ht="15" customHeight="1" x14ac:dyDescent="0.25">
      <c r="B9834" s="55" t="s">
        <v>280</v>
      </c>
      <c r="C9834" s="46">
        <v>4822</v>
      </c>
      <c r="D9834" s="69" t="s">
        <v>29417</v>
      </c>
      <c r="E9834" s="51"/>
      <c r="F9834" s="114" t="str">
        <f>IF(INDEX(I.Facility.P2aIDNumber,4822)="","",INDEX(I.Facility.P2aIDNumber,4822))</f>
        <v/>
      </c>
      <c r="G9834" s="51"/>
      <c r="H9834" s="46" t="str">
        <f>IF(AND(I.Developer.P2a=TRUE,I.Facility.P2aFacilityCount&gt;=4822,F9834=""),"Incomplete","Complete")</f>
        <v>Complete</v>
      </c>
      <c r="I9834" s="48" t="s">
        <v>14199</v>
      </c>
    </row>
    <row r="9835" spans="2:9" ht="15" customHeight="1" x14ac:dyDescent="0.25">
      <c r="B9835" s="55" t="s">
        <v>280</v>
      </c>
      <c r="C9835" s="46">
        <v>4823</v>
      </c>
      <c r="D9835" s="69" t="s">
        <v>29417</v>
      </c>
      <c r="E9835" s="51"/>
      <c r="F9835" s="114" t="str">
        <f>IF(INDEX(I.Facility.P2aIDNumber,4823)="","",INDEX(I.Facility.P2aIDNumber,4823))</f>
        <v/>
      </c>
      <c r="G9835" s="51"/>
      <c r="H9835" s="46" t="str">
        <f>IF(AND(I.Developer.P2a=TRUE,I.Facility.P2aFacilityCount&gt;=4823,F9835=""),"Incomplete","Complete")</f>
        <v>Complete</v>
      </c>
      <c r="I9835" s="48" t="s">
        <v>14200</v>
      </c>
    </row>
    <row r="9836" spans="2:9" ht="15" customHeight="1" x14ac:dyDescent="0.25">
      <c r="B9836" s="55" t="s">
        <v>280</v>
      </c>
      <c r="C9836" s="46">
        <v>4824</v>
      </c>
      <c r="D9836" s="69" t="s">
        <v>29417</v>
      </c>
      <c r="E9836" s="51"/>
      <c r="F9836" s="114" t="str">
        <f>IF(INDEX(I.Facility.P2aIDNumber,4824)="","",INDEX(I.Facility.P2aIDNumber,4824))</f>
        <v/>
      </c>
      <c r="G9836" s="51"/>
      <c r="H9836" s="46" t="str">
        <f>IF(AND(I.Developer.P2a=TRUE,I.Facility.P2aFacilityCount&gt;=4824,F9836=""),"Incomplete","Complete")</f>
        <v>Complete</v>
      </c>
      <c r="I9836" s="48" t="s">
        <v>14201</v>
      </c>
    </row>
    <row r="9837" spans="2:9" ht="15" customHeight="1" x14ac:dyDescent="0.25">
      <c r="B9837" s="55" t="s">
        <v>280</v>
      </c>
      <c r="C9837" s="46">
        <v>4825</v>
      </c>
      <c r="D9837" s="69" t="s">
        <v>29417</v>
      </c>
      <c r="E9837" s="51"/>
      <c r="F9837" s="114" t="str">
        <f>IF(INDEX(I.Facility.P2aIDNumber,4825)="","",INDEX(I.Facility.P2aIDNumber,4825))</f>
        <v/>
      </c>
      <c r="G9837" s="51"/>
      <c r="H9837" s="46" t="str">
        <f>IF(AND(I.Developer.P2a=TRUE,I.Facility.P2aFacilityCount&gt;=4825,F9837=""),"Incomplete","Complete")</f>
        <v>Complete</v>
      </c>
      <c r="I9837" s="48" t="s">
        <v>14202</v>
      </c>
    </row>
    <row r="9838" spans="2:9" ht="15" customHeight="1" x14ac:dyDescent="0.25">
      <c r="B9838" s="55" t="s">
        <v>280</v>
      </c>
      <c r="C9838" s="46">
        <v>4826</v>
      </c>
      <c r="D9838" s="69" t="s">
        <v>29417</v>
      </c>
      <c r="E9838" s="51"/>
      <c r="F9838" s="114" t="str">
        <f>IF(INDEX(I.Facility.P2aIDNumber,4826)="","",INDEX(I.Facility.P2aIDNumber,4826))</f>
        <v/>
      </c>
      <c r="G9838" s="51"/>
      <c r="H9838" s="46" t="str">
        <f>IF(AND(I.Developer.P2a=TRUE,I.Facility.P2aFacilityCount&gt;=4826,F9838=""),"Incomplete","Complete")</f>
        <v>Complete</v>
      </c>
      <c r="I9838" s="48" t="s">
        <v>14203</v>
      </c>
    </row>
    <row r="9839" spans="2:9" ht="15" customHeight="1" x14ac:dyDescent="0.25">
      <c r="B9839" s="55" t="s">
        <v>280</v>
      </c>
      <c r="C9839" s="46">
        <v>4827</v>
      </c>
      <c r="D9839" s="69" t="s">
        <v>29417</v>
      </c>
      <c r="E9839" s="51"/>
      <c r="F9839" s="114" t="str">
        <f>IF(INDEX(I.Facility.P2aIDNumber,4827)="","",INDEX(I.Facility.P2aIDNumber,4827))</f>
        <v/>
      </c>
      <c r="G9839" s="51"/>
      <c r="H9839" s="46" t="str">
        <f>IF(AND(I.Developer.P2a=TRUE,I.Facility.P2aFacilityCount&gt;=4827,F9839=""),"Incomplete","Complete")</f>
        <v>Complete</v>
      </c>
      <c r="I9839" s="48" t="s">
        <v>14204</v>
      </c>
    </row>
    <row r="9840" spans="2:9" ht="15" customHeight="1" x14ac:dyDescent="0.25">
      <c r="B9840" s="55" t="s">
        <v>280</v>
      </c>
      <c r="C9840" s="46">
        <v>4828</v>
      </c>
      <c r="D9840" s="69" t="s">
        <v>29417</v>
      </c>
      <c r="E9840" s="51"/>
      <c r="F9840" s="114" t="str">
        <f>IF(INDEX(I.Facility.P2aIDNumber,4828)="","",INDEX(I.Facility.P2aIDNumber,4828))</f>
        <v/>
      </c>
      <c r="G9840" s="51"/>
      <c r="H9840" s="46" t="str">
        <f>IF(AND(I.Developer.P2a=TRUE,I.Facility.P2aFacilityCount&gt;=4828,F9840=""),"Incomplete","Complete")</f>
        <v>Complete</v>
      </c>
      <c r="I9840" s="48" t="s">
        <v>14205</v>
      </c>
    </row>
    <row r="9841" spans="2:9" ht="15" customHeight="1" x14ac:dyDescent="0.25">
      <c r="B9841" s="55" t="s">
        <v>280</v>
      </c>
      <c r="C9841" s="46">
        <v>4829</v>
      </c>
      <c r="D9841" s="69" t="s">
        <v>29417</v>
      </c>
      <c r="E9841" s="51"/>
      <c r="F9841" s="114" t="str">
        <f>IF(INDEX(I.Facility.P2aIDNumber,4829)="","",INDEX(I.Facility.P2aIDNumber,4829))</f>
        <v/>
      </c>
      <c r="G9841" s="51"/>
      <c r="H9841" s="46" t="str">
        <f>IF(AND(I.Developer.P2a=TRUE,I.Facility.P2aFacilityCount&gt;=4829,F9841=""),"Incomplete","Complete")</f>
        <v>Complete</v>
      </c>
      <c r="I9841" s="48" t="s">
        <v>14206</v>
      </c>
    </row>
    <row r="9842" spans="2:9" ht="15" customHeight="1" x14ac:dyDescent="0.25">
      <c r="B9842" s="55" t="s">
        <v>280</v>
      </c>
      <c r="C9842" s="46">
        <v>4830</v>
      </c>
      <c r="D9842" s="69" t="s">
        <v>29417</v>
      </c>
      <c r="E9842" s="51"/>
      <c r="F9842" s="114" t="str">
        <f>IF(INDEX(I.Facility.P2aIDNumber,4830)="","",INDEX(I.Facility.P2aIDNumber,4830))</f>
        <v/>
      </c>
      <c r="G9842" s="51"/>
      <c r="H9842" s="46" t="str">
        <f>IF(AND(I.Developer.P2a=TRUE,I.Facility.P2aFacilityCount&gt;=4830,F9842=""),"Incomplete","Complete")</f>
        <v>Complete</v>
      </c>
      <c r="I9842" s="48" t="s">
        <v>14207</v>
      </c>
    </row>
    <row r="9843" spans="2:9" ht="15" customHeight="1" x14ac:dyDescent="0.25">
      <c r="B9843" s="55" t="s">
        <v>280</v>
      </c>
      <c r="C9843" s="46">
        <v>4831</v>
      </c>
      <c r="D9843" s="69" t="s">
        <v>29417</v>
      </c>
      <c r="E9843" s="51"/>
      <c r="F9843" s="114" t="str">
        <f>IF(INDEX(I.Facility.P2aIDNumber,4831)="","",INDEX(I.Facility.P2aIDNumber,4831))</f>
        <v/>
      </c>
      <c r="G9843" s="51"/>
      <c r="H9843" s="46" t="str">
        <f>IF(AND(I.Developer.P2a=TRUE,I.Facility.P2aFacilityCount&gt;=4831,F9843=""),"Incomplete","Complete")</f>
        <v>Complete</v>
      </c>
      <c r="I9843" s="48" t="s">
        <v>14208</v>
      </c>
    </row>
    <row r="9844" spans="2:9" ht="15" customHeight="1" x14ac:dyDescent="0.25">
      <c r="B9844" s="55" t="s">
        <v>280</v>
      </c>
      <c r="C9844" s="46">
        <v>4832</v>
      </c>
      <c r="D9844" s="69" t="s">
        <v>29417</v>
      </c>
      <c r="E9844" s="51"/>
      <c r="F9844" s="114" t="str">
        <f>IF(INDEX(I.Facility.P2aIDNumber,4832)="","",INDEX(I.Facility.P2aIDNumber,4832))</f>
        <v/>
      </c>
      <c r="G9844" s="51"/>
      <c r="H9844" s="46" t="str">
        <f>IF(AND(I.Developer.P2a=TRUE,I.Facility.P2aFacilityCount&gt;=4832,F9844=""),"Incomplete","Complete")</f>
        <v>Complete</v>
      </c>
      <c r="I9844" s="48" t="s">
        <v>14209</v>
      </c>
    </row>
    <row r="9845" spans="2:9" ht="15" customHeight="1" x14ac:dyDescent="0.25">
      <c r="B9845" s="55" t="s">
        <v>280</v>
      </c>
      <c r="C9845" s="46">
        <v>4833</v>
      </c>
      <c r="D9845" s="69" t="s">
        <v>29417</v>
      </c>
      <c r="E9845" s="51"/>
      <c r="F9845" s="114" t="str">
        <f>IF(INDEX(I.Facility.P2aIDNumber,4833)="","",INDEX(I.Facility.P2aIDNumber,4833))</f>
        <v/>
      </c>
      <c r="G9845" s="51"/>
      <c r="H9845" s="46" t="str">
        <f>IF(AND(I.Developer.P2a=TRUE,I.Facility.P2aFacilityCount&gt;=4833,F9845=""),"Incomplete","Complete")</f>
        <v>Complete</v>
      </c>
      <c r="I9845" s="48" t="s">
        <v>14210</v>
      </c>
    </row>
    <row r="9846" spans="2:9" ht="15" customHeight="1" x14ac:dyDescent="0.25">
      <c r="B9846" s="55" t="s">
        <v>280</v>
      </c>
      <c r="C9846" s="46">
        <v>4834</v>
      </c>
      <c r="D9846" s="69" t="s">
        <v>29417</v>
      </c>
      <c r="E9846" s="51"/>
      <c r="F9846" s="114" t="str">
        <f>IF(INDEX(I.Facility.P2aIDNumber,4834)="","",INDEX(I.Facility.P2aIDNumber,4834))</f>
        <v/>
      </c>
      <c r="G9846" s="51"/>
      <c r="H9846" s="46" t="str">
        <f>IF(AND(I.Developer.P2a=TRUE,I.Facility.P2aFacilityCount&gt;=4834,F9846=""),"Incomplete","Complete")</f>
        <v>Complete</v>
      </c>
      <c r="I9846" s="48" t="s">
        <v>14211</v>
      </c>
    </row>
    <row r="9847" spans="2:9" ht="15" customHeight="1" x14ac:dyDescent="0.25">
      <c r="B9847" s="55" t="s">
        <v>280</v>
      </c>
      <c r="C9847" s="46">
        <v>4835</v>
      </c>
      <c r="D9847" s="69" t="s">
        <v>29417</v>
      </c>
      <c r="E9847" s="51"/>
      <c r="F9847" s="114" t="str">
        <f>IF(INDEX(I.Facility.P2aIDNumber,4835)="","",INDEX(I.Facility.P2aIDNumber,4835))</f>
        <v/>
      </c>
      <c r="G9847" s="51"/>
      <c r="H9847" s="46" t="str">
        <f>IF(AND(I.Developer.P2a=TRUE,I.Facility.P2aFacilityCount&gt;=4835,F9847=""),"Incomplete","Complete")</f>
        <v>Complete</v>
      </c>
      <c r="I9847" s="48" t="s">
        <v>14212</v>
      </c>
    </row>
    <row r="9848" spans="2:9" ht="15" customHeight="1" x14ac:dyDescent="0.25">
      <c r="B9848" s="55" t="s">
        <v>280</v>
      </c>
      <c r="C9848" s="46">
        <v>4836</v>
      </c>
      <c r="D9848" s="69" t="s">
        <v>29417</v>
      </c>
      <c r="E9848" s="51"/>
      <c r="F9848" s="114" t="str">
        <f>IF(INDEX(I.Facility.P2aIDNumber,4836)="","",INDEX(I.Facility.P2aIDNumber,4836))</f>
        <v/>
      </c>
      <c r="G9848" s="51"/>
      <c r="H9848" s="46" t="str">
        <f>IF(AND(I.Developer.P2a=TRUE,I.Facility.P2aFacilityCount&gt;=4836,F9848=""),"Incomplete","Complete")</f>
        <v>Complete</v>
      </c>
      <c r="I9848" s="48" t="s">
        <v>14213</v>
      </c>
    </row>
    <row r="9849" spans="2:9" ht="15" customHeight="1" x14ac:dyDescent="0.25">
      <c r="B9849" s="55" t="s">
        <v>280</v>
      </c>
      <c r="C9849" s="46">
        <v>4837</v>
      </c>
      <c r="D9849" s="69" t="s">
        <v>29417</v>
      </c>
      <c r="E9849" s="51"/>
      <c r="F9849" s="114" t="str">
        <f>IF(INDEX(I.Facility.P2aIDNumber,4837)="","",INDEX(I.Facility.P2aIDNumber,4837))</f>
        <v/>
      </c>
      <c r="G9849" s="51"/>
      <c r="H9849" s="46" t="str">
        <f>IF(AND(I.Developer.P2a=TRUE,I.Facility.P2aFacilityCount&gt;=4837,F9849=""),"Incomplete","Complete")</f>
        <v>Complete</v>
      </c>
      <c r="I9849" s="48" t="s">
        <v>14214</v>
      </c>
    </row>
    <row r="9850" spans="2:9" ht="15" customHeight="1" x14ac:dyDescent="0.25">
      <c r="B9850" s="55" t="s">
        <v>280</v>
      </c>
      <c r="C9850" s="46">
        <v>4838</v>
      </c>
      <c r="D9850" s="69" t="s">
        <v>29417</v>
      </c>
      <c r="E9850" s="51"/>
      <c r="F9850" s="114" t="str">
        <f>IF(INDEX(I.Facility.P2aIDNumber,4838)="","",INDEX(I.Facility.P2aIDNumber,4838))</f>
        <v/>
      </c>
      <c r="G9850" s="51"/>
      <c r="H9850" s="46" t="str">
        <f>IF(AND(I.Developer.P2a=TRUE,I.Facility.P2aFacilityCount&gt;=4838,F9850=""),"Incomplete","Complete")</f>
        <v>Complete</v>
      </c>
      <c r="I9850" s="48" t="s">
        <v>14215</v>
      </c>
    </row>
    <row r="9851" spans="2:9" ht="15" customHeight="1" x14ac:dyDescent="0.25">
      <c r="B9851" s="55" t="s">
        <v>280</v>
      </c>
      <c r="C9851" s="46">
        <v>4839</v>
      </c>
      <c r="D9851" s="69" t="s">
        <v>29417</v>
      </c>
      <c r="E9851" s="51"/>
      <c r="F9851" s="114" t="str">
        <f>IF(INDEX(I.Facility.P2aIDNumber,4839)="","",INDEX(I.Facility.P2aIDNumber,4839))</f>
        <v/>
      </c>
      <c r="G9851" s="51"/>
      <c r="H9851" s="46" t="str">
        <f>IF(AND(I.Developer.P2a=TRUE,I.Facility.P2aFacilityCount&gt;=4839,F9851=""),"Incomplete","Complete")</f>
        <v>Complete</v>
      </c>
      <c r="I9851" s="48" t="s">
        <v>14216</v>
      </c>
    </row>
    <row r="9852" spans="2:9" ht="15" customHeight="1" x14ac:dyDescent="0.25">
      <c r="B9852" s="55" t="s">
        <v>280</v>
      </c>
      <c r="C9852" s="46">
        <v>4840</v>
      </c>
      <c r="D9852" s="69" t="s">
        <v>29417</v>
      </c>
      <c r="E9852" s="51"/>
      <c r="F9852" s="114" t="str">
        <f>IF(INDEX(I.Facility.P2aIDNumber,4840)="","",INDEX(I.Facility.P2aIDNumber,4840))</f>
        <v/>
      </c>
      <c r="G9852" s="51"/>
      <c r="H9852" s="46" t="str">
        <f>IF(AND(I.Developer.P2a=TRUE,I.Facility.P2aFacilityCount&gt;=4840,F9852=""),"Incomplete","Complete")</f>
        <v>Complete</v>
      </c>
      <c r="I9852" s="48" t="s">
        <v>14217</v>
      </c>
    </row>
    <row r="9853" spans="2:9" ht="15" customHeight="1" x14ac:dyDescent="0.25">
      <c r="B9853" s="55" t="s">
        <v>280</v>
      </c>
      <c r="C9853" s="46">
        <v>4841</v>
      </c>
      <c r="D9853" s="69" t="s">
        <v>29417</v>
      </c>
      <c r="E9853" s="51"/>
      <c r="F9853" s="114" t="str">
        <f>IF(INDEX(I.Facility.P2aIDNumber,4841)="","",INDEX(I.Facility.P2aIDNumber,4841))</f>
        <v/>
      </c>
      <c r="G9853" s="51"/>
      <c r="H9853" s="46" t="str">
        <f>IF(AND(I.Developer.P2a=TRUE,I.Facility.P2aFacilityCount&gt;=4841,F9853=""),"Incomplete","Complete")</f>
        <v>Complete</v>
      </c>
      <c r="I9853" s="48" t="s">
        <v>14218</v>
      </c>
    </row>
    <row r="9854" spans="2:9" ht="15" customHeight="1" x14ac:dyDescent="0.25">
      <c r="B9854" s="55" t="s">
        <v>280</v>
      </c>
      <c r="C9854" s="46">
        <v>4842</v>
      </c>
      <c r="D9854" s="69" t="s">
        <v>29417</v>
      </c>
      <c r="E9854" s="51"/>
      <c r="F9854" s="114" t="str">
        <f>IF(INDEX(I.Facility.P2aIDNumber,4842)="","",INDEX(I.Facility.P2aIDNumber,4842))</f>
        <v/>
      </c>
      <c r="G9854" s="51"/>
      <c r="H9854" s="46" t="str">
        <f>IF(AND(I.Developer.P2a=TRUE,I.Facility.P2aFacilityCount&gt;=4842,F9854=""),"Incomplete","Complete")</f>
        <v>Complete</v>
      </c>
      <c r="I9854" s="48" t="s">
        <v>14219</v>
      </c>
    </row>
    <row r="9855" spans="2:9" ht="15" customHeight="1" x14ac:dyDescent="0.25">
      <c r="B9855" s="55" t="s">
        <v>280</v>
      </c>
      <c r="C9855" s="46">
        <v>4843</v>
      </c>
      <c r="D9855" s="69" t="s">
        <v>29417</v>
      </c>
      <c r="E9855" s="51"/>
      <c r="F9855" s="114" t="str">
        <f>IF(INDEX(I.Facility.P2aIDNumber,4843)="","",INDEX(I.Facility.P2aIDNumber,4843))</f>
        <v/>
      </c>
      <c r="G9855" s="51"/>
      <c r="H9855" s="46" t="str">
        <f>IF(AND(I.Developer.P2a=TRUE,I.Facility.P2aFacilityCount&gt;=4843,F9855=""),"Incomplete","Complete")</f>
        <v>Complete</v>
      </c>
      <c r="I9855" s="48" t="s">
        <v>14220</v>
      </c>
    </row>
    <row r="9856" spans="2:9" ht="15" customHeight="1" x14ac:dyDescent="0.25">
      <c r="B9856" s="55" t="s">
        <v>280</v>
      </c>
      <c r="C9856" s="46">
        <v>4844</v>
      </c>
      <c r="D9856" s="69" t="s">
        <v>29417</v>
      </c>
      <c r="E9856" s="51"/>
      <c r="F9856" s="114" t="str">
        <f>IF(INDEX(I.Facility.P2aIDNumber,4844)="","",INDEX(I.Facility.P2aIDNumber,4844))</f>
        <v/>
      </c>
      <c r="G9856" s="51"/>
      <c r="H9856" s="46" t="str">
        <f>IF(AND(I.Developer.P2a=TRUE,I.Facility.P2aFacilityCount&gt;=4844,F9856=""),"Incomplete","Complete")</f>
        <v>Complete</v>
      </c>
      <c r="I9856" s="48" t="s">
        <v>14221</v>
      </c>
    </row>
    <row r="9857" spans="2:9" ht="15" customHeight="1" x14ac:dyDescent="0.25">
      <c r="B9857" s="55" t="s">
        <v>280</v>
      </c>
      <c r="C9857" s="46">
        <v>4845</v>
      </c>
      <c r="D9857" s="69" t="s">
        <v>29417</v>
      </c>
      <c r="E9857" s="51"/>
      <c r="F9857" s="114" t="str">
        <f>IF(INDEX(I.Facility.P2aIDNumber,4845)="","",INDEX(I.Facility.P2aIDNumber,4845))</f>
        <v/>
      </c>
      <c r="G9857" s="51"/>
      <c r="H9857" s="46" t="str">
        <f>IF(AND(I.Developer.P2a=TRUE,I.Facility.P2aFacilityCount&gt;=4845,F9857=""),"Incomplete","Complete")</f>
        <v>Complete</v>
      </c>
      <c r="I9857" s="48" t="s">
        <v>14222</v>
      </c>
    </row>
    <row r="9858" spans="2:9" ht="15" customHeight="1" x14ac:dyDescent="0.25">
      <c r="B9858" s="55" t="s">
        <v>280</v>
      </c>
      <c r="C9858" s="46">
        <v>4846</v>
      </c>
      <c r="D9858" s="69" t="s">
        <v>29417</v>
      </c>
      <c r="E9858" s="51"/>
      <c r="F9858" s="114" t="str">
        <f>IF(INDEX(I.Facility.P2aIDNumber,4846)="","",INDEX(I.Facility.P2aIDNumber,4846))</f>
        <v/>
      </c>
      <c r="G9858" s="51"/>
      <c r="H9858" s="46" t="str">
        <f>IF(AND(I.Developer.P2a=TRUE,I.Facility.P2aFacilityCount&gt;=4846,F9858=""),"Incomplete","Complete")</f>
        <v>Complete</v>
      </c>
      <c r="I9858" s="48" t="s">
        <v>14223</v>
      </c>
    </row>
    <row r="9859" spans="2:9" ht="15" customHeight="1" x14ac:dyDescent="0.25">
      <c r="B9859" s="55" t="s">
        <v>280</v>
      </c>
      <c r="C9859" s="46">
        <v>4847</v>
      </c>
      <c r="D9859" s="69" t="s">
        <v>29417</v>
      </c>
      <c r="E9859" s="51"/>
      <c r="F9859" s="114" t="str">
        <f>IF(INDEX(I.Facility.P2aIDNumber,4847)="","",INDEX(I.Facility.P2aIDNumber,4847))</f>
        <v/>
      </c>
      <c r="G9859" s="51"/>
      <c r="H9859" s="46" t="str">
        <f>IF(AND(I.Developer.P2a=TRUE,I.Facility.P2aFacilityCount&gt;=4847,F9859=""),"Incomplete","Complete")</f>
        <v>Complete</v>
      </c>
      <c r="I9859" s="48" t="s">
        <v>14224</v>
      </c>
    </row>
    <row r="9860" spans="2:9" ht="15" customHeight="1" x14ac:dyDescent="0.25">
      <c r="B9860" s="55" t="s">
        <v>280</v>
      </c>
      <c r="C9860" s="46">
        <v>4848</v>
      </c>
      <c r="D9860" s="69" t="s">
        <v>29417</v>
      </c>
      <c r="E9860" s="51"/>
      <c r="F9860" s="114" t="str">
        <f>IF(INDEX(I.Facility.P2aIDNumber,4848)="","",INDEX(I.Facility.P2aIDNumber,4848))</f>
        <v/>
      </c>
      <c r="G9860" s="51"/>
      <c r="H9860" s="46" t="str">
        <f>IF(AND(I.Developer.P2a=TRUE,I.Facility.P2aFacilityCount&gt;=4848,F9860=""),"Incomplete","Complete")</f>
        <v>Complete</v>
      </c>
      <c r="I9860" s="48" t="s">
        <v>14225</v>
      </c>
    </row>
    <row r="9861" spans="2:9" ht="15" customHeight="1" x14ac:dyDescent="0.25">
      <c r="B9861" s="55" t="s">
        <v>280</v>
      </c>
      <c r="C9861" s="46">
        <v>4849</v>
      </c>
      <c r="D9861" s="69" t="s">
        <v>29417</v>
      </c>
      <c r="E9861" s="51"/>
      <c r="F9861" s="114" t="str">
        <f>IF(INDEX(I.Facility.P2aIDNumber,4849)="","",INDEX(I.Facility.P2aIDNumber,4849))</f>
        <v/>
      </c>
      <c r="G9861" s="51"/>
      <c r="H9861" s="46" t="str">
        <f>IF(AND(I.Developer.P2a=TRUE,I.Facility.P2aFacilityCount&gt;=4849,F9861=""),"Incomplete","Complete")</f>
        <v>Complete</v>
      </c>
      <c r="I9861" s="48" t="s">
        <v>14226</v>
      </c>
    </row>
    <row r="9862" spans="2:9" ht="15" customHeight="1" x14ac:dyDescent="0.25">
      <c r="B9862" s="55" t="s">
        <v>280</v>
      </c>
      <c r="C9862" s="46">
        <v>4850</v>
      </c>
      <c r="D9862" s="69" t="s">
        <v>29417</v>
      </c>
      <c r="E9862" s="51"/>
      <c r="F9862" s="114" t="str">
        <f>IF(INDEX(I.Facility.P2aIDNumber,4850)="","",INDEX(I.Facility.P2aIDNumber,4850))</f>
        <v/>
      </c>
      <c r="G9862" s="51"/>
      <c r="H9862" s="46" t="str">
        <f>IF(AND(I.Developer.P2a=TRUE,I.Facility.P2aFacilityCount&gt;=4850,F9862=""),"Incomplete","Complete")</f>
        <v>Complete</v>
      </c>
      <c r="I9862" s="48" t="s">
        <v>14227</v>
      </c>
    </row>
    <row r="9863" spans="2:9" ht="15" customHeight="1" x14ac:dyDescent="0.25">
      <c r="B9863" s="55" t="s">
        <v>280</v>
      </c>
      <c r="C9863" s="46">
        <v>4851</v>
      </c>
      <c r="D9863" s="69" t="s">
        <v>29417</v>
      </c>
      <c r="E9863" s="51"/>
      <c r="F9863" s="114" t="str">
        <f>IF(INDEX(I.Facility.P2aIDNumber,4851)="","",INDEX(I.Facility.P2aIDNumber,4851))</f>
        <v/>
      </c>
      <c r="G9863" s="51"/>
      <c r="H9863" s="46" t="str">
        <f>IF(AND(I.Developer.P2a=TRUE,I.Facility.P2aFacilityCount&gt;=4851,F9863=""),"Incomplete","Complete")</f>
        <v>Complete</v>
      </c>
      <c r="I9863" s="48" t="s">
        <v>14228</v>
      </c>
    </row>
    <row r="9864" spans="2:9" ht="15" customHeight="1" x14ac:dyDescent="0.25">
      <c r="B9864" s="55" t="s">
        <v>280</v>
      </c>
      <c r="C9864" s="46">
        <v>4852</v>
      </c>
      <c r="D9864" s="69" t="s">
        <v>29417</v>
      </c>
      <c r="E9864" s="51"/>
      <c r="F9864" s="114" t="str">
        <f>IF(INDEX(I.Facility.P2aIDNumber,4852)="","",INDEX(I.Facility.P2aIDNumber,4852))</f>
        <v/>
      </c>
      <c r="G9864" s="51"/>
      <c r="H9864" s="46" t="str">
        <f>IF(AND(I.Developer.P2a=TRUE,I.Facility.P2aFacilityCount&gt;=4852,F9864=""),"Incomplete","Complete")</f>
        <v>Complete</v>
      </c>
      <c r="I9864" s="48" t="s">
        <v>14229</v>
      </c>
    </row>
    <row r="9865" spans="2:9" ht="15" customHeight="1" x14ac:dyDescent="0.25">
      <c r="B9865" s="55" t="s">
        <v>280</v>
      </c>
      <c r="C9865" s="46">
        <v>4853</v>
      </c>
      <c r="D9865" s="69" t="s">
        <v>29417</v>
      </c>
      <c r="E9865" s="51"/>
      <c r="F9865" s="114" t="str">
        <f>IF(INDEX(I.Facility.P2aIDNumber,4853)="","",INDEX(I.Facility.P2aIDNumber,4853))</f>
        <v/>
      </c>
      <c r="G9865" s="51"/>
      <c r="H9865" s="46" t="str">
        <f>IF(AND(I.Developer.P2a=TRUE,I.Facility.P2aFacilityCount&gt;=4853,F9865=""),"Incomplete","Complete")</f>
        <v>Complete</v>
      </c>
      <c r="I9865" s="48" t="s">
        <v>14230</v>
      </c>
    </row>
    <row r="9866" spans="2:9" ht="15" customHeight="1" x14ac:dyDescent="0.25">
      <c r="B9866" s="55" t="s">
        <v>280</v>
      </c>
      <c r="C9866" s="46">
        <v>4854</v>
      </c>
      <c r="D9866" s="69" t="s">
        <v>29417</v>
      </c>
      <c r="E9866" s="51"/>
      <c r="F9866" s="114" t="str">
        <f>IF(INDEX(I.Facility.P2aIDNumber,4854)="","",INDEX(I.Facility.P2aIDNumber,4854))</f>
        <v/>
      </c>
      <c r="G9866" s="51"/>
      <c r="H9866" s="46" t="str">
        <f>IF(AND(I.Developer.P2a=TRUE,I.Facility.P2aFacilityCount&gt;=4854,F9866=""),"Incomplete","Complete")</f>
        <v>Complete</v>
      </c>
      <c r="I9866" s="48" t="s">
        <v>14231</v>
      </c>
    </row>
    <row r="9867" spans="2:9" ht="15" customHeight="1" x14ac:dyDescent="0.25">
      <c r="B9867" s="55" t="s">
        <v>280</v>
      </c>
      <c r="C9867" s="46">
        <v>4855</v>
      </c>
      <c r="D9867" s="69" t="s">
        <v>29417</v>
      </c>
      <c r="E9867" s="51"/>
      <c r="F9867" s="114" t="str">
        <f>IF(INDEX(I.Facility.P2aIDNumber,4855)="","",INDEX(I.Facility.P2aIDNumber,4855))</f>
        <v/>
      </c>
      <c r="G9867" s="51"/>
      <c r="H9867" s="46" t="str">
        <f>IF(AND(I.Developer.P2a=TRUE,I.Facility.P2aFacilityCount&gt;=4855,F9867=""),"Incomplete","Complete")</f>
        <v>Complete</v>
      </c>
      <c r="I9867" s="48" t="s">
        <v>14232</v>
      </c>
    </row>
    <row r="9868" spans="2:9" ht="15" customHeight="1" x14ac:dyDescent="0.25">
      <c r="B9868" s="55" t="s">
        <v>280</v>
      </c>
      <c r="C9868" s="46">
        <v>4856</v>
      </c>
      <c r="D9868" s="69" t="s">
        <v>29417</v>
      </c>
      <c r="E9868" s="51"/>
      <c r="F9868" s="114" t="str">
        <f>IF(INDEX(I.Facility.P2aIDNumber,4856)="","",INDEX(I.Facility.P2aIDNumber,4856))</f>
        <v/>
      </c>
      <c r="G9868" s="51"/>
      <c r="H9868" s="46" t="str">
        <f>IF(AND(I.Developer.P2a=TRUE,I.Facility.P2aFacilityCount&gt;=4856,F9868=""),"Incomplete","Complete")</f>
        <v>Complete</v>
      </c>
      <c r="I9868" s="48" t="s">
        <v>14233</v>
      </c>
    </row>
    <row r="9869" spans="2:9" ht="15" customHeight="1" x14ac:dyDescent="0.25">
      <c r="B9869" s="55" t="s">
        <v>280</v>
      </c>
      <c r="C9869" s="46">
        <v>4857</v>
      </c>
      <c r="D9869" s="69" t="s">
        <v>29417</v>
      </c>
      <c r="E9869" s="51"/>
      <c r="F9869" s="114" t="str">
        <f>IF(INDEX(I.Facility.P2aIDNumber,4857)="","",INDEX(I.Facility.P2aIDNumber,4857))</f>
        <v/>
      </c>
      <c r="G9869" s="51"/>
      <c r="H9869" s="46" t="str">
        <f>IF(AND(I.Developer.P2a=TRUE,I.Facility.P2aFacilityCount&gt;=4857,F9869=""),"Incomplete","Complete")</f>
        <v>Complete</v>
      </c>
      <c r="I9869" s="48" t="s">
        <v>14234</v>
      </c>
    </row>
    <row r="9870" spans="2:9" ht="15" customHeight="1" x14ac:dyDescent="0.25">
      <c r="B9870" s="55" t="s">
        <v>280</v>
      </c>
      <c r="C9870" s="46">
        <v>4858</v>
      </c>
      <c r="D9870" s="69" t="s">
        <v>29417</v>
      </c>
      <c r="E9870" s="51"/>
      <c r="F9870" s="114" t="str">
        <f>IF(INDEX(I.Facility.P2aIDNumber,4858)="","",INDEX(I.Facility.P2aIDNumber,4858))</f>
        <v/>
      </c>
      <c r="G9870" s="51"/>
      <c r="H9870" s="46" t="str">
        <f>IF(AND(I.Developer.P2a=TRUE,I.Facility.P2aFacilityCount&gt;=4858,F9870=""),"Incomplete","Complete")</f>
        <v>Complete</v>
      </c>
      <c r="I9870" s="48" t="s">
        <v>14235</v>
      </c>
    </row>
    <row r="9871" spans="2:9" ht="15" customHeight="1" x14ac:dyDescent="0.25">
      <c r="B9871" s="55" t="s">
        <v>280</v>
      </c>
      <c r="C9871" s="46">
        <v>4859</v>
      </c>
      <c r="D9871" s="69" t="s">
        <v>29417</v>
      </c>
      <c r="E9871" s="51"/>
      <c r="F9871" s="114" t="str">
        <f>IF(INDEX(I.Facility.P2aIDNumber,4859)="","",INDEX(I.Facility.P2aIDNumber,4859))</f>
        <v/>
      </c>
      <c r="G9871" s="51"/>
      <c r="H9871" s="46" t="str">
        <f>IF(AND(I.Developer.P2a=TRUE,I.Facility.P2aFacilityCount&gt;=4859,F9871=""),"Incomplete","Complete")</f>
        <v>Complete</v>
      </c>
      <c r="I9871" s="48" t="s">
        <v>14236</v>
      </c>
    </row>
    <row r="9872" spans="2:9" ht="15" customHeight="1" x14ac:dyDescent="0.25">
      <c r="B9872" s="55" t="s">
        <v>280</v>
      </c>
      <c r="C9872" s="46">
        <v>4860</v>
      </c>
      <c r="D9872" s="69" t="s">
        <v>29417</v>
      </c>
      <c r="E9872" s="51"/>
      <c r="F9872" s="114" t="str">
        <f>IF(INDEX(I.Facility.P2aIDNumber,4860)="","",INDEX(I.Facility.P2aIDNumber,4860))</f>
        <v/>
      </c>
      <c r="G9872" s="51"/>
      <c r="H9872" s="46" t="str">
        <f>IF(AND(I.Developer.P2a=TRUE,I.Facility.P2aFacilityCount&gt;=4860,F9872=""),"Incomplete","Complete")</f>
        <v>Complete</v>
      </c>
      <c r="I9872" s="48" t="s">
        <v>14237</v>
      </c>
    </row>
    <row r="9873" spans="2:9" ht="15" customHeight="1" x14ac:dyDescent="0.25">
      <c r="B9873" s="55" t="s">
        <v>280</v>
      </c>
      <c r="C9873" s="46">
        <v>4861</v>
      </c>
      <c r="D9873" s="69" t="s">
        <v>29417</v>
      </c>
      <c r="E9873" s="51"/>
      <c r="F9873" s="114" t="str">
        <f>IF(INDEX(I.Facility.P2aIDNumber,4861)="","",INDEX(I.Facility.P2aIDNumber,4861))</f>
        <v/>
      </c>
      <c r="G9873" s="51"/>
      <c r="H9873" s="46" t="str">
        <f>IF(AND(I.Developer.P2a=TRUE,I.Facility.P2aFacilityCount&gt;=4861,F9873=""),"Incomplete","Complete")</f>
        <v>Complete</v>
      </c>
      <c r="I9873" s="48" t="s">
        <v>14238</v>
      </c>
    </row>
    <row r="9874" spans="2:9" ht="15" customHeight="1" x14ac:dyDescent="0.25">
      <c r="B9874" s="55" t="s">
        <v>280</v>
      </c>
      <c r="C9874" s="46">
        <v>4862</v>
      </c>
      <c r="D9874" s="69" t="s">
        <v>29417</v>
      </c>
      <c r="E9874" s="51"/>
      <c r="F9874" s="114" t="str">
        <f>IF(INDEX(I.Facility.P2aIDNumber,4862)="","",INDEX(I.Facility.P2aIDNumber,4862))</f>
        <v/>
      </c>
      <c r="G9874" s="51"/>
      <c r="H9874" s="46" t="str">
        <f>IF(AND(I.Developer.P2a=TRUE,I.Facility.P2aFacilityCount&gt;=4862,F9874=""),"Incomplete","Complete")</f>
        <v>Complete</v>
      </c>
      <c r="I9874" s="48" t="s">
        <v>14239</v>
      </c>
    </row>
    <row r="9875" spans="2:9" ht="15" customHeight="1" x14ac:dyDescent="0.25">
      <c r="B9875" s="55" t="s">
        <v>280</v>
      </c>
      <c r="C9875" s="46">
        <v>4863</v>
      </c>
      <c r="D9875" s="69" t="s">
        <v>29417</v>
      </c>
      <c r="E9875" s="51"/>
      <c r="F9875" s="114" t="str">
        <f>IF(INDEX(I.Facility.P2aIDNumber,4863)="","",INDEX(I.Facility.P2aIDNumber,4863))</f>
        <v/>
      </c>
      <c r="G9875" s="51"/>
      <c r="H9875" s="46" t="str">
        <f>IF(AND(I.Developer.P2a=TRUE,I.Facility.P2aFacilityCount&gt;=4863,F9875=""),"Incomplete","Complete")</f>
        <v>Complete</v>
      </c>
      <c r="I9875" s="48" t="s">
        <v>14240</v>
      </c>
    </row>
    <row r="9876" spans="2:9" ht="15" customHeight="1" x14ac:dyDescent="0.25">
      <c r="B9876" s="55" t="s">
        <v>280</v>
      </c>
      <c r="C9876" s="46">
        <v>4864</v>
      </c>
      <c r="D9876" s="69" t="s">
        <v>29417</v>
      </c>
      <c r="E9876" s="51"/>
      <c r="F9876" s="114" t="str">
        <f>IF(INDEX(I.Facility.P2aIDNumber,4864)="","",INDEX(I.Facility.P2aIDNumber,4864))</f>
        <v/>
      </c>
      <c r="G9876" s="51"/>
      <c r="H9876" s="46" t="str">
        <f>IF(AND(I.Developer.P2a=TRUE,I.Facility.P2aFacilityCount&gt;=4864,F9876=""),"Incomplete","Complete")</f>
        <v>Complete</v>
      </c>
      <c r="I9876" s="48" t="s">
        <v>14241</v>
      </c>
    </row>
    <row r="9877" spans="2:9" ht="15" customHeight="1" x14ac:dyDescent="0.25">
      <c r="B9877" s="55" t="s">
        <v>280</v>
      </c>
      <c r="C9877" s="46">
        <v>4865</v>
      </c>
      <c r="D9877" s="69" t="s">
        <v>29417</v>
      </c>
      <c r="E9877" s="51"/>
      <c r="F9877" s="114" t="str">
        <f>IF(INDEX(I.Facility.P2aIDNumber,4865)="","",INDEX(I.Facility.P2aIDNumber,4865))</f>
        <v/>
      </c>
      <c r="G9877" s="51"/>
      <c r="H9877" s="46" t="str">
        <f>IF(AND(I.Developer.P2a=TRUE,I.Facility.P2aFacilityCount&gt;=4865,F9877=""),"Incomplete","Complete")</f>
        <v>Complete</v>
      </c>
      <c r="I9877" s="48" t="s">
        <v>14242</v>
      </c>
    </row>
    <row r="9878" spans="2:9" ht="15" customHeight="1" x14ac:dyDescent="0.25">
      <c r="B9878" s="55" t="s">
        <v>280</v>
      </c>
      <c r="C9878" s="46">
        <v>4866</v>
      </c>
      <c r="D9878" s="69" t="s">
        <v>29417</v>
      </c>
      <c r="E9878" s="51"/>
      <c r="F9878" s="114" t="str">
        <f>IF(INDEX(I.Facility.P2aIDNumber,4866)="","",INDEX(I.Facility.P2aIDNumber,4866))</f>
        <v/>
      </c>
      <c r="G9878" s="51"/>
      <c r="H9878" s="46" t="str">
        <f>IF(AND(I.Developer.P2a=TRUE,I.Facility.P2aFacilityCount&gt;=4866,F9878=""),"Incomplete","Complete")</f>
        <v>Complete</v>
      </c>
      <c r="I9878" s="48" t="s">
        <v>14243</v>
      </c>
    </row>
    <row r="9879" spans="2:9" ht="15" customHeight="1" x14ac:dyDescent="0.25">
      <c r="B9879" s="55" t="s">
        <v>280</v>
      </c>
      <c r="C9879" s="46">
        <v>4867</v>
      </c>
      <c r="D9879" s="69" t="s">
        <v>29417</v>
      </c>
      <c r="E9879" s="51"/>
      <c r="F9879" s="114" t="str">
        <f>IF(INDEX(I.Facility.P2aIDNumber,4867)="","",INDEX(I.Facility.P2aIDNumber,4867))</f>
        <v/>
      </c>
      <c r="G9879" s="51"/>
      <c r="H9879" s="46" t="str">
        <f>IF(AND(I.Developer.P2a=TRUE,I.Facility.P2aFacilityCount&gt;=4867,F9879=""),"Incomplete","Complete")</f>
        <v>Complete</v>
      </c>
      <c r="I9879" s="48" t="s">
        <v>14244</v>
      </c>
    </row>
    <row r="9880" spans="2:9" ht="15" customHeight="1" x14ac:dyDescent="0.25">
      <c r="B9880" s="55" t="s">
        <v>280</v>
      </c>
      <c r="C9880" s="46">
        <v>4868</v>
      </c>
      <c r="D9880" s="69" t="s">
        <v>29417</v>
      </c>
      <c r="E9880" s="51"/>
      <c r="F9880" s="114" t="str">
        <f>IF(INDEX(I.Facility.P2aIDNumber,4868)="","",INDEX(I.Facility.P2aIDNumber,4868))</f>
        <v/>
      </c>
      <c r="G9880" s="51"/>
      <c r="H9880" s="46" t="str">
        <f>IF(AND(I.Developer.P2a=TRUE,I.Facility.P2aFacilityCount&gt;=4868,F9880=""),"Incomplete","Complete")</f>
        <v>Complete</v>
      </c>
      <c r="I9880" s="48" t="s">
        <v>14245</v>
      </c>
    </row>
    <row r="9881" spans="2:9" ht="15" customHeight="1" x14ac:dyDescent="0.25">
      <c r="B9881" s="55" t="s">
        <v>280</v>
      </c>
      <c r="C9881" s="46">
        <v>4869</v>
      </c>
      <c r="D9881" s="69" t="s">
        <v>29417</v>
      </c>
      <c r="E9881" s="51"/>
      <c r="F9881" s="114" t="str">
        <f>IF(INDEX(I.Facility.P2aIDNumber,4869)="","",INDEX(I.Facility.P2aIDNumber,4869))</f>
        <v/>
      </c>
      <c r="G9881" s="51"/>
      <c r="H9881" s="46" t="str">
        <f>IF(AND(I.Developer.P2a=TRUE,I.Facility.P2aFacilityCount&gt;=4869,F9881=""),"Incomplete","Complete")</f>
        <v>Complete</v>
      </c>
      <c r="I9881" s="48" t="s">
        <v>14246</v>
      </c>
    </row>
    <row r="9882" spans="2:9" ht="15" customHeight="1" x14ac:dyDescent="0.25">
      <c r="B9882" s="55" t="s">
        <v>280</v>
      </c>
      <c r="C9882" s="46">
        <v>4870</v>
      </c>
      <c r="D9882" s="69" t="s">
        <v>29417</v>
      </c>
      <c r="E9882" s="51"/>
      <c r="F9882" s="114" t="str">
        <f>IF(INDEX(I.Facility.P2aIDNumber,4870)="","",INDEX(I.Facility.P2aIDNumber,4870))</f>
        <v/>
      </c>
      <c r="G9882" s="51"/>
      <c r="H9882" s="46" t="str">
        <f>IF(AND(I.Developer.P2a=TRUE,I.Facility.P2aFacilityCount&gt;=4870,F9882=""),"Incomplete","Complete")</f>
        <v>Complete</v>
      </c>
      <c r="I9882" s="48" t="s">
        <v>14247</v>
      </c>
    </row>
    <row r="9883" spans="2:9" ht="15" customHeight="1" x14ac:dyDescent="0.25">
      <c r="B9883" s="55" t="s">
        <v>280</v>
      </c>
      <c r="C9883" s="46">
        <v>4871</v>
      </c>
      <c r="D9883" s="69" t="s">
        <v>29417</v>
      </c>
      <c r="E9883" s="51"/>
      <c r="F9883" s="114" t="str">
        <f>IF(INDEX(I.Facility.P2aIDNumber,4871)="","",INDEX(I.Facility.P2aIDNumber,4871))</f>
        <v/>
      </c>
      <c r="G9883" s="51"/>
      <c r="H9883" s="46" t="str">
        <f>IF(AND(I.Developer.P2a=TRUE,I.Facility.P2aFacilityCount&gt;=4871,F9883=""),"Incomplete","Complete")</f>
        <v>Complete</v>
      </c>
      <c r="I9883" s="48" t="s">
        <v>14248</v>
      </c>
    </row>
    <row r="9884" spans="2:9" ht="15" customHeight="1" x14ac:dyDescent="0.25">
      <c r="B9884" s="55" t="s">
        <v>280</v>
      </c>
      <c r="C9884" s="46">
        <v>4872</v>
      </c>
      <c r="D9884" s="69" t="s">
        <v>29417</v>
      </c>
      <c r="E9884" s="51"/>
      <c r="F9884" s="114" t="str">
        <f>IF(INDEX(I.Facility.P2aIDNumber,4872)="","",INDEX(I.Facility.P2aIDNumber,4872))</f>
        <v/>
      </c>
      <c r="G9884" s="51"/>
      <c r="H9884" s="46" t="str">
        <f>IF(AND(I.Developer.P2a=TRUE,I.Facility.P2aFacilityCount&gt;=4872,F9884=""),"Incomplete","Complete")</f>
        <v>Complete</v>
      </c>
      <c r="I9884" s="48" t="s">
        <v>14249</v>
      </c>
    </row>
    <row r="9885" spans="2:9" ht="15" customHeight="1" x14ac:dyDescent="0.25">
      <c r="B9885" s="55" t="s">
        <v>280</v>
      </c>
      <c r="C9885" s="46">
        <v>4873</v>
      </c>
      <c r="D9885" s="69" t="s">
        <v>29417</v>
      </c>
      <c r="E9885" s="51"/>
      <c r="F9885" s="114" t="str">
        <f>IF(INDEX(I.Facility.P2aIDNumber,4873)="","",INDEX(I.Facility.P2aIDNumber,4873))</f>
        <v/>
      </c>
      <c r="G9885" s="51"/>
      <c r="H9885" s="46" t="str">
        <f>IF(AND(I.Developer.P2a=TRUE,I.Facility.P2aFacilityCount&gt;=4873,F9885=""),"Incomplete","Complete")</f>
        <v>Complete</v>
      </c>
      <c r="I9885" s="48" t="s">
        <v>14250</v>
      </c>
    </row>
    <row r="9886" spans="2:9" ht="15" customHeight="1" x14ac:dyDescent="0.25">
      <c r="B9886" s="55" t="s">
        <v>280</v>
      </c>
      <c r="C9886" s="46">
        <v>4874</v>
      </c>
      <c r="D9886" s="69" t="s">
        <v>29417</v>
      </c>
      <c r="E9886" s="51"/>
      <c r="F9886" s="114" t="str">
        <f>IF(INDEX(I.Facility.P2aIDNumber,4874)="","",INDEX(I.Facility.P2aIDNumber,4874))</f>
        <v/>
      </c>
      <c r="G9886" s="51"/>
      <c r="H9886" s="46" t="str">
        <f>IF(AND(I.Developer.P2a=TRUE,I.Facility.P2aFacilityCount&gt;=4874,F9886=""),"Incomplete","Complete")</f>
        <v>Complete</v>
      </c>
      <c r="I9886" s="48" t="s">
        <v>14251</v>
      </c>
    </row>
    <row r="9887" spans="2:9" ht="15" customHeight="1" x14ac:dyDescent="0.25">
      <c r="B9887" s="55" t="s">
        <v>280</v>
      </c>
      <c r="C9887" s="46">
        <v>4875</v>
      </c>
      <c r="D9887" s="69" t="s">
        <v>29417</v>
      </c>
      <c r="E9887" s="51"/>
      <c r="F9887" s="114" t="str">
        <f>IF(INDEX(I.Facility.P2aIDNumber,4875)="","",INDEX(I.Facility.P2aIDNumber,4875))</f>
        <v/>
      </c>
      <c r="G9887" s="51"/>
      <c r="H9887" s="46" t="str">
        <f>IF(AND(I.Developer.P2a=TRUE,I.Facility.P2aFacilityCount&gt;=4875,F9887=""),"Incomplete","Complete")</f>
        <v>Complete</v>
      </c>
      <c r="I9887" s="48" t="s">
        <v>14252</v>
      </c>
    </row>
    <row r="9888" spans="2:9" ht="15" customHeight="1" x14ac:dyDescent="0.25">
      <c r="B9888" s="55" t="s">
        <v>280</v>
      </c>
      <c r="C9888" s="46">
        <v>4876</v>
      </c>
      <c r="D9888" s="69" t="s">
        <v>29417</v>
      </c>
      <c r="E9888" s="51"/>
      <c r="F9888" s="114" t="str">
        <f>IF(INDEX(I.Facility.P2aIDNumber,4876)="","",INDEX(I.Facility.P2aIDNumber,4876))</f>
        <v/>
      </c>
      <c r="G9888" s="51"/>
      <c r="H9888" s="46" t="str">
        <f>IF(AND(I.Developer.P2a=TRUE,I.Facility.P2aFacilityCount&gt;=4876,F9888=""),"Incomplete","Complete")</f>
        <v>Complete</v>
      </c>
      <c r="I9888" s="48" t="s">
        <v>14253</v>
      </c>
    </row>
    <row r="9889" spans="2:9" ht="15" customHeight="1" x14ac:dyDescent="0.25">
      <c r="B9889" s="55" t="s">
        <v>280</v>
      </c>
      <c r="C9889" s="46">
        <v>4877</v>
      </c>
      <c r="D9889" s="69" t="s">
        <v>29417</v>
      </c>
      <c r="E9889" s="51"/>
      <c r="F9889" s="114" t="str">
        <f>IF(INDEX(I.Facility.P2aIDNumber,4877)="","",INDEX(I.Facility.P2aIDNumber,4877))</f>
        <v/>
      </c>
      <c r="G9889" s="51"/>
      <c r="H9889" s="46" t="str">
        <f>IF(AND(I.Developer.P2a=TRUE,I.Facility.P2aFacilityCount&gt;=4877,F9889=""),"Incomplete","Complete")</f>
        <v>Complete</v>
      </c>
      <c r="I9889" s="48" t="s">
        <v>14254</v>
      </c>
    </row>
    <row r="9890" spans="2:9" ht="15" customHeight="1" x14ac:dyDescent="0.25">
      <c r="B9890" s="55" t="s">
        <v>280</v>
      </c>
      <c r="C9890" s="46">
        <v>4878</v>
      </c>
      <c r="D9890" s="69" t="s">
        <v>29417</v>
      </c>
      <c r="E9890" s="51"/>
      <c r="F9890" s="114" t="str">
        <f>IF(INDEX(I.Facility.P2aIDNumber,4878)="","",INDEX(I.Facility.P2aIDNumber,4878))</f>
        <v/>
      </c>
      <c r="G9890" s="51"/>
      <c r="H9890" s="46" t="str">
        <f>IF(AND(I.Developer.P2a=TRUE,I.Facility.P2aFacilityCount&gt;=4878,F9890=""),"Incomplete","Complete")</f>
        <v>Complete</v>
      </c>
      <c r="I9890" s="48" t="s">
        <v>14255</v>
      </c>
    </row>
    <row r="9891" spans="2:9" ht="15" customHeight="1" x14ac:dyDescent="0.25">
      <c r="B9891" s="55" t="s">
        <v>280</v>
      </c>
      <c r="C9891" s="46">
        <v>4879</v>
      </c>
      <c r="D9891" s="69" t="s">
        <v>29417</v>
      </c>
      <c r="E9891" s="51"/>
      <c r="F9891" s="114" t="str">
        <f>IF(INDEX(I.Facility.P2aIDNumber,4879)="","",INDEX(I.Facility.P2aIDNumber,4879))</f>
        <v/>
      </c>
      <c r="G9891" s="51"/>
      <c r="H9891" s="46" t="str">
        <f>IF(AND(I.Developer.P2a=TRUE,I.Facility.P2aFacilityCount&gt;=4879,F9891=""),"Incomplete","Complete")</f>
        <v>Complete</v>
      </c>
      <c r="I9891" s="48" t="s">
        <v>14256</v>
      </c>
    </row>
    <row r="9892" spans="2:9" ht="15" customHeight="1" x14ac:dyDescent="0.25">
      <c r="B9892" s="55" t="s">
        <v>280</v>
      </c>
      <c r="C9892" s="46">
        <v>4880</v>
      </c>
      <c r="D9892" s="69" t="s">
        <v>29417</v>
      </c>
      <c r="E9892" s="51"/>
      <c r="F9892" s="114" t="str">
        <f>IF(INDEX(I.Facility.P2aIDNumber,4880)="","",INDEX(I.Facility.P2aIDNumber,4880))</f>
        <v/>
      </c>
      <c r="G9892" s="51"/>
      <c r="H9892" s="46" t="str">
        <f>IF(AND(I.Developer.P2a=TRUE,I.Facility.P2aFacilityCount&gt;=4880,F9892=""),"Incomplete","Complete")</f>
        <v>Complete</v>
      </c>
      <c r="I9892" s="48" t="s">
        <v>14257</v>
      </c>
    </row>
    <row r="9893" spans="2:9" ht="15" customHeight="1" x14ac:dyDescent="0.25">
      <c r="B9893" s="55" t="s">
        <v>280</v>
      </c>
      <c r="C9893" s="46">
        <v>4881</v>
      </c>
      <c r="D9893" s="69" t="s">
        <v>29417</v>
      </c>
      <c r="E9893" s="51"/>
      <c r="F9893" s="114" t="str">
        <f>IF(INDEX(I.Facility.P2aIDNumber,4881)="","",INDEX(I.Facility.P2aIDNumber,4881))</f>
        <v/>
      </c>
      <c r="G9893" s="51"/>
      <c r="H9893" s="46" t="str">
        <f>IF(AND(I.Developer.P2a=TRUE,I.Facility.P2aFacilityCount&gt;=4881,F9893=""),"Incomplete","Complete")</f>
        <v>Complete</v>
      </c>
      <c r="I9893" s="48" t="s">
        <v>14258</v>
      </c>
    </row>
    <row r="9894" spans="2:9" ht="15" customHeight="1" x14ac:dyDescent="0.25">
      <c r="B9894" s="55" t="s">
        <v>280</v>
      </c>
      <c r="C9894" s="46">
        <v>4882</v>
      </c>
      <c r="D9894" s="69" t="s">
        <v>29417</v>
      </c>
      <c r="E9894" s="51"/>
      <c r="F9894" s="114" t="str">
        <f>IF(INDEX(I.Facility.P2aIDNumber,4882)="","",INDEX(I.Facility.P2aIDNumber,4882))</f>
        <v/>
      </c>
      <c r="G9894" s="51"/>
      <c r="H9894" s="46" t="str">
        <f>IF(AND(I.Developer.P2a=TRUE,I.Facility.P2aFacilityCount&gt;=4882,F9894=""),"Incomplete","Complete")</f>
        <v>Complete</v>
      </c>
      <c r="I9894" s="48" t="s">
        <v>14259</v>
      </c>
    </row>
    <row r="9895" spans="2:9" ht="15" customHeight="1" x14ac:dyDescent="0.25">
      <c r="B9895" s="55" t="s">
        <v>280</v>
      </c>
      <c r="C9895" s="46">
        <v>4883</v>
      </c>
      <c r="D9895" s="69" t="s">
        <v>29417</v>
      </c>
      <c r="E9895" s="51"/>
      <c r="F9895" s="114" t="str">
        <f>IF(INDEX(I.Facility.P2aIDNumber,4883)="","",INDEX(I.Facility.P2aIDNumber,4883))</f>
        <v/>
      </c>
      <c r="G9895" s="51"/>
      <c r="H9895" s="46" t="str">
        <f>IF(AND(I.Developer.P2a=TRUE,I.Facility.P2aFacilityCount&gt;=4883,F9895=""),"Incomplete","Complete")</f>
        <v>Complete</v>
      </c>
      <c r="I9895" s="48" t="s">
        <v>14260</v>
      </c>
    </row>
    <row r="9896" spans="2:9" ht="15" customHeight="1" x14ac:dyDescent="0.25">
      <c r="B9896" s="55" t="s">
        <v>280</v>
      </c>
      <c r="C9896" s="46">
        <v>4884</v>
      </c>
      <c r="D9896" s="69" t="s">
        <v>29417</v>
      </c>
      <c r="E9896" s="51"/>
      <c r="F9896" s="114" t="str">
        <f>IF(INDEX(I.Facility.P2aIDNumber,4884)="","",INDEX(I.Facility.P2aIDNumber,4884))</f>
        <v/>
      </c>
      <c r="G9896" s="51"/>
      <c r="H9896" s="46" t="str">
        <f>IF(AND(I.Developer.P2a=TRUE,I.Facility.P2aFacilityCount&gt;=4884,F9896=""),"Incomplete","Complete")</f>
        <v>Complete</v>
      </c>
      <c r="I9896" s="48" t="s">
        <v>14261</v>
      </c>
    </row>
    <row r="9897" spans="2:9" ht="15" customHeight="1" x14ac:dyDescent="0.25">
      <c r="B9897" s="55" t="s">
        <v>280</v>
      </c>
      <c r="C9897" s="46">
        <v>4885</v>
      </c>
      <c r="D9897" s="69" t="s">
        <v>29417</v>
      </c>
      <c r="E9897" s="51"/>
      <c r="F9897" s="114" t="str">
        <f>IF(INDEX(I.Facility.P2aIDNumber,4885)="","",INDEX(I.Facility.P2aIDNumber,4885))</f>
        <v/>
      </c>
      <c r="G9897" s="51"/>
      <c r="H9897" s="46" t="str">
        <f>IF(AND(I.Developer.P2a=TRUE,I.Facility.P2aFacilityCount&gt;=4885,F9897=""),"Incomplete","Complete")</f>
        <v>Complete</v>
      </c>
      <c r="I9897" s="48" t="s">
        <v>14262</v>
      </c>
    </row>
    <row r="9898" spans="2:9" ht="15" customHeight="1" x14ac:dyDescent="0.25">
      <c r="B9898" s="55" t="s">
        <v>280</v>
      </c>
      <c r="C9898" s="46">
        <v>4886</v>
      </c>
      <c r="D9898" s="69" t="s">
        <v>29417</v>
      </c>
      <c r="E9898" s="51"/>
      <c r="F9898" s="114" t="str">
        <f>IF(INDEX(I.Facility.P2aIDNumber,4886)="","",INDEX(I.Facility.P2aIDNumber,4886))</f>
        <v/>
      </c>
      <c r="G9898" s="51"/>
      <c r="H9898" s="46" t="str">
        <f>IF(AND(I.Developer.P2a=TRUE,I.Facility.P2aFacilityCount&gt;=4886,F9898=""),"Incomplete","Complete")</f>
        <v>Complete</v>
      </c>
      <c r="I9898" s="48" t="s">
        <v>14263</v>
      </c>
    </row>
    <row r="9899" spans="2:9" ht="15" customHeight="1" x14ac:dyDescent="0.25">
      <c r="B9899" s="55" t="s">
        <v>280</v>
      </c>
      <c r="C9899" s="46">
        <v>4887</v>
      </c>
      <c r="D9899" s="69" t="s">
        <v>29417</v>
      </c>
      <c r="E9899" s="51"/>
      <c r="F9899" s="114" t="str">
        <f>IF(INDEX(I.Facility.P2aIDNumber,4887)="","",INDEX(I.Facility.P2aIDNumber,4887))</f>
        <v/>
      </c>
      <c r="G9899" s="51"/>
      <c r="H9899" s="46" t="str">
        <f>IF(AND(I.Developer.P2a=TRUE,I.Facility.P2aFacilityCount&gt;=4887,F9899=""),"Incomplete","Complete")</f>
        <v>Complete</v>
      </c>
      <c r="I9899" s="48" t="s">
        <v>14264</v>
      </c>
    </row>
    <row r="9900" spans="2:9" ht="15" customHeight="1" x14ac:dyDescent="0.25">
      <c r="B9900" s="55" t="s">
        <v>280</v>
      </c>
      <c r="C9900" s="46">
        <v>4888</v>
      </c>
      <c r="D9900" s="69" t="s">
        <v>29417</v>
      </c>
      <c r="E9900" s="51"/>
      <c r="F9900" s="114" t="str">
        <f>IF(INDEX(I.Facility.P2aIDNumber,4888)="","",INDEX(I.Facility.P2aIDNumber,4888))</f>
        <v/>
      </c>
      <c r="G9900" s="51"/>
      <c r="H9900" s="46" t="str">
        <f>IF(AND(I.Developer.P2a=TRUE,I.Facility.P2aFacilityCount&gt;=4888,F9900=""),"Incomplete","Complete")</f>
        <v>Complete</v>
      </c>
      <c r="I9900" s="48" t="s">
        <v>14265</v>
      </c>
    </row>
    <row r="9901" spans="2:9" ht="15" customHeight="1" x14ac:dyDescent="0.25">
      <c r="B9901" s="55" t="s">
        <v>280</v>
      </c>
      <c r="C9901" s="46">
        <v>4889</v>
      </c>
      <c r="D9901" s="69" t="s">
        <v>29417</v>
      </c>
      <c r="E9901" s="51"/>
      <c r="F9901" s="114" t="str">
        <f>IF(INDEX(I.Facility.P2aIDNumber,4889)="","",INDEX(I.Facility.P2aIDNumber,4889))</f>
        <v/>
      </c>
      <c r="G9901" s="51"/>
      <c r="H9901" s="46" t="str">
        <f>IF(AND(I.Developer.P2a=TRUE,I.Facility.P2aFacilityCount&gt;=4889,F9901=""),"Incomplete","Complete")</f>
        <v>Complete</v>
      </c>
      <c r="I9901" s="48" t="s">
        <v>14266</v>
      </c>
    </row>
    <row r="9902" spans="2:9" ht="15" customHeight="1" x14ac:dyDescent="0.25">
      <c r="B9902" s="55" t="s">
        <v>280</v>
      </c>
      <c r="C9902" s="46">
        <v>4890</v>
      </c>
      <c r="D9902" s="69" t="s">
        <v>29417</v>
      </c>
      <c r="E9902" s="51"/>
      <c r="F9902" s="114" t="str">
        <f>IF(INDEX(I.Facility.P2aIDNumber,4890)="","",INDEX(I.Facility.P2aIDNumber,4890))</f>
        <v/>
      </c>
      <c r="G9902" s="51"/>
      <c r="H9902" s="46" t="str">
        <f>IF(AND(I.Developer.P2a=TRUE,I.Facility.P2aFacilityCount&gt;=4890,F9902=""),"Incomplete","Complete")</f>
        <v>Complete</v>
      </c>
      <c r="I9902" s="48" t="s">
        <v>14267</v>
      </c>
    </row>
    <row r="9903" spans="2:9" ht="15" customHeight="1" x14ac:dyDescent="0.25">
      <c r="B9903" s="55" t="s">
        <v>280</v>
      </c>
      <c r="C9903" s="46">
        <v>4891</v>
      </c>
      <c r="D9903" s="69" t="s">
        <v>29417</v>
      </c>
      <c r="E9903" s="51"/>
      <c r="F9903" s="114" t="str">
        <f>IF(INDEX(I.Facility.P2aIDNumber,4891)="","",INDEX(I.Facility.P2aIDNumber,4891))</f>
        <v/>
      </c>
      <c r="G9903" s="51"/>
      <c r="H9903" s="46" t="str">
        <f>IF(AND(I.Developer.P2a=TRUE,I.Facility.P2aFacilityCount&gt;=4891,F9903=""),"Incomplete","Complete")</f>
        <v>Complete</v>
      </c>
      <c r="I9903" s="48" t="s">
        <v>14268</v>
      </c>
    </row>
    <row r="9904" spans="2:9" ht="15" customHeight="1" x14ac:dyDescent="0.25">
      <c r="B9904" s="55" t="s">
        <v>280</v>
      </c>
      <c r="C9904" s="46">
        <v>4892</v>
      </c>
      <c r="D9904" s="69" t="s">
        <v>29417</v>
      </c>
      <c r="E9904" s="51"/>
      <c r="F9904" s="114" t="str">
        <f>IF(INDEX(I.Facility.P2aIDNumber,4892)="","",INDEX(I.Facility.P2aIDNumber,4892))</f>
        <v/>
      </c>
      <c r="G9904" s="51"/>
      <c r="H9904" s="46" t="str">
        <f>IF(AND(I.Developer.P2a=TRUE,I.Facility.P2aFacilityCount&gt;=4892,F9904=""),"Incomplete","Complete")</f>
        <v>Complete</v>
      </c>
      <c r="I9904" s="48" t="s">
        <v>14269</v>
      </c>
    </row>
    <row r="9905" spans="2:9" ht="15" customHeight="1" x14ac:dyDescent="0.25">
      <c r="B9905" s="55" t="s">
        <v>280</v>
      </c>
      <c r="C9905" s="46">
        <v>4893</v>
      </c>
      <c r="D9905" s="69" t="s">
        <v>29417</v>
      </c>
      <c r="E9905" s="51"/>
      <c r="F9905" s="114" t="str">
        <f>IF(INDEX(I.Facility.P2aIDNumber,4893)="","",INDEX(I.Facility.P2aIDNumber,4893))</f>
        <v/>
      </c>
      <c r="G9905" s="51"/>
      <c r="H9905" s="46" t="str">
        <f>IF(AND(I.Developer.P2a=TRUE,I.Facility.P2aFacilityCount&gt;=4893,F9905=""),"Incomplete","Complete")</f>
        <v>Complete</v>
      </c>
      <c r="I9905" s="48" t="s">
        <v>14270</v>
      </c>
    </row>
    <row r="9906" spans="2:9" ht="15" customHeight="1" x14ac:dyDescent="0.25">
      <c r="B9906" s="55" t="s">
        <v>280</v>
      </c>
      <c r="C9906" s="46">
        <v>4894</v>
      </c>
      <c r="D9906" s="69" t="s">
        <v>29417</v>
      </c>
      <c r="E9906" s="51"/>
      <c r="F9906" s="114" t="str">
        <f>IF(INDEX(I.Facility.P2aIDNumber,4894)="","",INDEX(I.Facility.P2aIDNumber,4894))</f>
        <v/>
      </c>
      <c r="G9906" s="51"/>
      <c r="H9906" s="46" t="str">
        <f>IF(AND(I.Developer.P2a=TRUE,I.Facility.P2aFacilityCount&gt;=4894,F9906=""),"Incomplete","Complete")</f>
        <v>Complete</v>
      </c>
      <c r="I9906" s="48" t="s">
        <v>14271</v>
      </c>
    </row>
    <row r="9907" spans="2:9" ht="15" customHeight="1" x14ac:dyDescent="0.25">
      <c r="B9907" s="55" t="s">
        <v>280</v>
      </c>
      <c r="C9907" s="46">
        <v>4895</v>
      </c>
      <c r="D9907" s="69" t="s">
        <v>29417</v>
      </c>
      <c r="E9907" s="51"/>
      <c r="F9907" s="114" t="str">
        <f>IF(INDEX(I.Facility.P2aIDNumber,4895)="","",INDEX(I.Facility.P2aIDNumber,4895))</f>
        <v/>
      </c>
      <c r="G9907" s="51"/>
      <c r="H9907" s="46" t="str">
        <f>IF(AND(I.Developer.P2a=TRUE,I.Facility.P2aFacilityCount&gt;=4895,F9907=""),"Incomplete","Complete")</f>
        <v>Complete</v>
      </c>
      <c r="I9907" s="48" t="s">
        <v>14272</v>
      </c>
    </row>
    <row r="9908" spans="2:9" ht="15" customHeight="1" x14ac:dyDescent="0.25">
      <c r="B9908" s="55" t="s">
        <v>280</v>
      </c>
      <c r="C9908" s="46">
        <v>4896</v>
      </c>
      <c r="D9908" s="69" t="s">
        <v>29417</v>
      </c>
      <c r="E9908" s="51"/>
      <c r="F9908" s="114" t="str">
        <f>IF(INDEX(I.Facility.P2aIDNumber,4896)="","",INDEX(I.Facility.P2aIDNumber,4896))</f>
        <v/>
      </c>
      <c r="G9908" s="51"/>
      <c r="H9908" s="46" t="str">
        <f>IF(AND(I.Developer.P2a=TRUE,I.Facility.P2aFacilityCount&gt;=4896,F9908=""),"Incomplete","Complete")</f>
        <v>Complete</v>
      </c>
      <c r="I9908" s="48" t="s">
        <v>14273</v>
      </c>
    </row>
    <row r="9909" spans="2:9" ht="15" customHeight="1" x14ac:dyDescent="0.25">
      <c r="B9909" s="55" t="s">
        <v>280</v>
      </c>
      <c r="C9909" s="46">
        <v>4897</v>
      </c>
      <c r="D9909" s="69" t="s">
        <v>29417</v>
      </c>
      <c r="E9909" s="51"/>
      <c r="F9909" s="114" t="str">
        <f>IF(INDEX(I.Facility.P2aIDNumber,4897)="","",INDEX(I.Facility.P2aIDNumber,4897))</f>
        <v/>
      </c>
      <c r="G9909" s="51"/>
      <c r="H9909" s="46" t="str">
        <f>IF(AND(I.Developer.P2a=TRUE,I.Facility.P2aFacilityCount&gt;=4897,F9909=""),"Incomplete","Complete")</f>
        <v>Complete</v>
      </c>
      <c r="I9909" s="48" t="s">
        <v>14274</v>
      </c>
    </row>
    <row r="9910" spans="2:9" ht="15" customHeight="1" x14ac:dyDescent="0.25">
      <c r="B9910" s="55" t="s">
        <v>280</v>
      </c>
      <c r="C9910" s="46">
        <v>4898</v>
      </c>
      <c r="D9910" s="69" t="s">
        <v>29417</v>
      </c>
      <c r="E9910" s="51"/>
      <c r="F9910" s="114" t="str">
        <f>IF(INDEX(I.Facility.P2aIDNumber,4898)="","",INDEX(I.Facility.P2aIDNumber,4898))</f>
        <v/>
      </c>
      <c r="G9910" s="51"/>
      <c r="H9910" s="46" t="str">
        <f>IF(AND(I.Developer.P2a=TRUE,I.Facility.P2aFacilityCount&gt;=4898,F9910=""),"Incomplete","Complete")</f>
        <v>Complete</v>
      </c>
      <c r="I9910" s="48" t="s">
        <v>14275</v>
      </c>
    </row>
    <row r="9911" spans="2:9" ht="15" customHeight="1" x14ac:dyDescent="0.25">
      <c r="B9911" s="55" t="s">
        <v>280</v>
      </c>
      <c r="C9911" s="46">
        <v>4899</v>
      </c>
      <c r="D9911" s="69" t="s">
        <v>29417</v>
      </c>
      <c r="E9911" s="51"/>
      <c r="F9911" s="114" t="str">
        <f>IF(INDEX(I.Facility.P2aIDNumber,4899)="","",INDEX(I.Facility.P2aIDNumber,4899))</f>
        <v/>
      </c>
      <c r="G9911" s="51"/>
      <c r="H9911" s="46" t="str">
        <f>IF(AND(I.Developer.P2a=TRUE,I.Facility.P2aFacilityCount&gt;=4899,F9911=""),"Incomplete","Complete")</f>
        <v>Complete</v>
      </c>
      <c r="I9911" s="48" t="s">
        <v>14276</v>
      </c>
    </row>
    <row r="9912" spans="2:9" ht="15" customHeight="1" x14ac:dyDescent="0.25">
      <c r="B9912" s="55" t="s">
        <v>280</v>
      </c>
      <c r="C9912" s="46">
        <v>4900</v>
      </c>
      <c r="D9912" s="69" t="s">
        <v>29417</v>
      </c>
      <c r="E9912" s="51"/>
      <c r="F9912" s="114" t="str">
        <f>IF(INDEX(I.Facility.P2aIDNumber,4900)="","",INDEX(I.Facility.P2aIDNumber,4900))</f>
        <v/>
      </c>
      <c r="G9912" s="51"/>
      <c r="H9912" s="46" t="str">
        <f>IF(AND(I.Developer.P2a=TRUE,I.Facility.P2aFacilityCount&gt;=4900,F9912=""),"Incomplete","Complete")</f>
        <v>Complete</v>
      </c>
      <c r="I9912" s="48" t="s">
        <v>14277</v>
      </c>
    </row>
    <row r="9913" spans="2:9" ht="15" customHeight="1" x14ac:dyDescent="0.25">
      <c r="B9913" s="55" t="s">
        <v>280</v>
      </c>
      <c r="C9913" s="46">
        <v>4901</v>
      </c>
      <c r="D9913" s="69" t="s">
        <v>29417</v>
      </c>
      <c r="E9913" s="51"/>
      <c r="F9913" s="114" t="str">
        <f>IF(INDEX(I.Facility.P2aIDNumber,4901)="","",INDEX(I.Facility.P2aIDNumber,4901))</f>
        <v/>
      </c>
      <c r="G9913" s="51"/>
      <c r="H9913" s="46" t="str">
        <f>IF(AND(I.Developer.P2a=TRUE,I.Facility.P2aFacilityCount&gt;=4901,F9913=""),"Incomplete","Complete")</f>
        <v>Complete</v>
      </c>
      <c r="I9913" s="48" t="s">
        <v>14278</v>
      </c>
    </row>
    <row r="9914" spans="2:9" ht="15" customHeight="1" x14ac:dyDescent="0.25">
      <c r="B9914" s="55" t="s">
        <v>280</v>
      </c>
      <c r="C9914" s="46">
        <v>4902</v>
      </c>
      <c r="D9914" s="69" t="s">
        <v>29417</v>
      </c>
      <c r="E9914" s="51"/>
      <c r="F9914" s="114" t="str">
        <f>IF(INDEX(I.Facility.P2aIDNumber,4902)="","",INDEX(I.Facility.P2aIDNumber,4902))</f>
        <v/>
      </c>
      <c r="G9914" s="51"/>
      <c r="H9914" s="46" t="str">
        <f>IF(AND(I.Developer.P2a=TRUE,I.Facility.P2aFacilityCount&gt;=4902,F9914=""),"Incomplete","Complete")</f>
        <v>Complete</v>
      </c>
      <c r="I9914" s="48" t="s">
        <v>14279</v>
      </c>
    </row>
    <row r="9915" spans="2:9" ht="15" customHeight="1" x14ac:dyDescent="0.25">
      <c r="B9915" s="55" t="s">
        <v>280</v>
      </c>
      <c r="C9915" s="46">
        <v>4903</v>
      </c>
      <c r="D9915" s="69" t="s">
        <v>29417</v>
      </c>
      <c r="E9915" s="51"/>
      <c r="F9915" s="114" t="str">
        <f>IF(INDEX(I.Facility.P2aIDNumber,4903)="","",INDEX(I.Facility.P2aIDNumber,4903))</f>
        <v/>
      </c>
      <c r="G9915" s="51"/>
      <c r="H9915" s="46" t="str">
        <f>IF(AND(I.Developer.P2a=TRUE,I.Facility.P2aFacilityCount&gt;=4903,F9915=""),"Incomplete","Complete")</f>
        <v>Complete</v>
      </c>
      <c r="I9915" s="48" t="s">
        <v>14280</v>
      </c>
    </row>
    <row r="9916" spans="2:9" ht="15" customHeight="1" x14ac:dyDescent="0.25">
      <c r="B9916" s="55" t="s">
        <v>280</v>
      </c>
      <c r="C9916" s="46">
        <v>4904</v>
      </c>
      <c r="D9916" s="69" t="s">
        <v>29417</v>
      </c>
      <c r="E9916" s="51"/>
      <c r="F9916" s="114" t="str">
        <f>IF(INDEX(I.Facility.P2aIDNumber,4904)="","",INDEX(I.Facility.P2aIDNumber,4904))</f>
        <v/>
      </c>
      <c r="G9916" s="51"/>
      <c r="H9916" s="46" t="str">
        <f>IF(AND(I.Developer.P2a=TRUE,I.Facility.P2aFacilityCount&gt;=4904,F9916=""),"Incomplete","Complete")</f>
        <v>Complete</v>
      </c>
      <c r="I9916" s="48" t="s">
        <v>14281</v>
      </c>
    </row>
    <row r="9917" spans="2:9" ht="15" customHeight="1" x14ac:dyDescent="0.25">
      <c r="B9917" s="55" t="s">
        <v>280</v>
      </c>
      <c r="C9917" s="46">
        <v>4905</v>
      </c>
      <c r="D9917" s="69" t="s">
        <v>29417</v>
      </c>
      <c r="E9917" s="51"/>
      <c r="F9917" s="114" t="str">
        <f>IF(INDEX(I.Facility.P2aIDNumber,4905)="","",INDEX(I.Facility.P2aIDNumber,4905))</f>
        <v/>
      </c>
      <c r="G9917" s="51"/>
      <c r="H9917" s="46" t="str">
        <f>IF(AND(I.Developer.P2a=TRUE,I.Facility.P2aFacilityCount&gt;=4905,F9917=""),"Incomplete","Complete")</f>
        <v>Complete</v>
      </c>
      <c r="I9917" s="48" t="s">
        <v>14282</v>
      </c>
    </row>
    <row r="9918" spans="2:9" ht="15" customHeight="1" x14ac:dyDescent="0.25">
      <c r="B9918" s="55" t="s">
        <v>280</v>
      </c>
      <c r="C9918" s="46">
        <v>4906</v>
      </c>
      <c r="D9918" s="69" t="s">
        <v>29417</v>
      </c>
      <c r="E9918" s="51"/>
      <c r="F9918" s="114" t="str">
        <f>IF(INDEX(I.Facility.P2aIDNumber,4906)="","",INDEX(I.Facility.P2aIDNumber,4906))</f>
        <v/>
      </c>
      <c r="G9918" s="51"/>
      <c r="H9918" s="46" t="str">
        <f>IF(AND(I.Developer.P2a=TRUE,I.Facility.P2aFacilityCount&gt;=4906,F9918=""),"Incomplete","Complete")</f>
        <v>Complete</v>
      </c>
      <c r="I9918" s="48" t="s">
        <v>14283</v>
      </c>
    </row>
    <row r="9919" spans="2:9" ht="15" customHeight="1" x14ac:dyDescent="0.25">
      <c r="B9919" s="55" t="s">
        <v>280</v>
      </c>
      <c r="C9919" s="46">
        <v>4907</v>
      </c>
      <c r="D9919" s="69" t="s">
        <v>29417</v>
      </c>
      <c r="E9919" s="51"/>
      <c r="F9919" s="114" t="str">
        <f>IF(INDEX(I.Facility.P2aIDNumber,4907)="","",INDEX(I.Facility.P2aIDNumber,4907))</f>
        <v/>
      </c>
      <c r="G9919" s="51"/>
      <c r="H9919" s="46" t="str">
        <f>IF(AND(I.Developer.P2a=TRUE,I.Facility.P2aFacilityCount&gt;=4907,F9919=""),"Incomplete","Complete")</f>
        <v>Complete</v>
      </c>
      <c r="I9919" s="48" t="s">
        <v>14284</v>
      </c>
    </row>
    <row r="9920" spans="2:9" ht="15" customHeight="1" x14ac:dyDescent="0.25">
      <c r="B9920" s="55" t="s">
        <v>280</v>
      </c>
      <c r="C9920" s="46">
        <v>4908</v>
      </c>
      <c r="D9920" s="69" t="s">
        <v>29417</v>
      </c>
      <c r="E9920" s="51"/>
      <c r="F9920" s="114" t="str">
        <f>IF(INDEX(I.Facility.P2aIDNumber,4908)="","",INDEX(I.Facility.P2aIDNumber,4908))</f>
        <v/>
      </c>
      <c r="G9920" s="51"/>
      <c r="H9920" s="46" t="str">
        <f>IF(AND(I.Developer.P2a=TRUE,I.Facility.P2aFacilityCount&gt;=4908,F9920=""),"Incomplete","Complete")</f>
        <v>Complete</v>
      </c>
      <c r="I9920" s="48" t="s">
        <v>14285</v>
      </c>
    </row>
    <row r="9921" spans="2:9" ht="15" customHeight="1" x14ac:dyDescent="0.25">
      <c r="B9921" s="55" t="s">
        <v>280</v>
      </c>
      <c r="C9921" s="46">
        <v>4909</v>
      </c>
      <c r="D9921" s="69" t="s">
        <v>29417</v>
      </c>
      <c r="E9921" s="51"/>
      <c r="F9921" s="114" t="str">
        <f>IF(INDEX(I.Facility.P2aIDNumber,4909)="","",INDEX(I.Facility.P2aIDNumber,4909))</f>
        <v/>
      </c>
      <c r="G9921" s="51"/>
      <c r="H9921" s="46" t="str">
        <f>IF(AND(I.Developer.P2a=TRUE,I.Facility.P2aFacilityCount&gt;=4909,F9921=""),"Incomplete","Complete")</f>
        <v>Complete</v>
      </c>
      <c r="I9921" s="48" t="s">
        <v>14286</v>
      </c>
    </row>
    <row r="9922" spans="2:9" ht="15" customHeight="1" x14ac:dyDescent="0.25">
      <c r="B9922" s="55" t="s">
        <v>280</v>
      </c>
      <c r="C9922" s="46">
        <v>4910</v>
      </c>
      <c r="D9922" s="69" t="s">
        <v>29417</v>
      </c>
      <c r="E9922" s="51"/>
      <c r="F9922" s="114" t="str">
        <f>IF(INDEX(I.Facility.P2aIDNumber,4910)="","",INDEX(I.Facility.P2aIDNumber,4910))</f>
        <v/>
      </c>
      <c r="G9922" s="51"/>
      <c r="H9922" s="46" t="str">
        <f>IF(AND(I.Developer.P2a=TRUE,I.Facility.P2aFacilityCount&gt;=4910,F9922=""),"Incomplete","Complete")</f>
        <v>Complete</v>
      </c>
      <c r="I9922" s="48" t="s">
        <v>14287</v>
      </c>
    </row>
    <row r="9923" spans="2:9" ht="15" customHeight="1" x14ac:dyDescent="0.25">
      <c r="B9923" s="55" t="s">
        <v>280</v>
      </c>
      <c r="C9923" s="46">
        <v>4911</v>
      </c>
      <c r="D9923" s="69" t="s">
        <v>29417</v>
      </c>
      <c r="E9923" s="51"/>
      <c r="F9923" s="114" t="str">
        <f>IF(INDEX(I.Facility.P2aIDNumber,4911)="","",INDEX(I.Facility.P2aIDNumber,4911))</f>
        <v/>
      </c>
      <c r="G9923" s="51"/>
      <c r="H9923" s="46" t="str">
        <f>IF(AND(I.Developer.P2a=TRUE,I.Facility.P2aFacilityCount&gt;=4911,F9923=""),"Incomplete","Complete")</f>
        <v>Complete</v>
      </c>
      <c r="I9923" s="48" t="s">
        <v>14288</v>
      </c>
    </row>
    <row r="9924" spans="2:9" ht="15" customHeight="1" x14ac:dyDescent="0.25">
      <c r="B9924" s="55" t="s">
        <v>280</v>
      </c>
      <c r="C9924" s="46">
        <v>4912</v>
      </c>
      <c r="D9924" s="69" t="s">
        <v>29417</v>
      </c>
      <c r="E9924" s="51"/>
      <c r="F9924" s="114" t="str">
        <f>IF(INDEX(I.Facility.P2aIDNumber,4912)="","",INDEX(I.Facility.P2aIDNumber,4912))</f>
        <v/>
      </c>
      <c r="G9924" s="51"/>
      <c r="H9924" s="46" t="str">
        <f>IF(AND(I.Developer.P2a=TRUE,I.Facility.P2aFacilityCount&gt;=4912,F9924=""),"Incomplete","Complete")</f>
        <v>Complete</v>
      </c>
      <c r="I9924" s="48" t="s">
        <v>14289</v>
      </c>
    </row>
    <row r="9925" spans="2:9" ht="15" customHeight="1" x14ac:dyDescent="0.25">
      <c r="B9925" s="55" t="s">
        <v>280</v>
      </c>
      <c r="C9925" s="46">
        <v>4913</v>
      </c>
      <c r="D9925" s="69" t="s">
        <v>29417</v>
      </c>
      <c r="E9925" s="51"/>
      <c r="F9925" s="114" t="str">
        <f>IF(INDEX(I.Facility.P2aIDNumber,4913)="","",INDEX(I.Facility.P2aIDNumber,4913))</f>
        <v/>
      </c>
      <c r="G9925" s="51"/>
      <c r="H9925" s="46" t="str">
        <f>IF(AND(I.Developer.P2a=TRUE,I.Facility.P2aFacilityCount&gt;=4913,F9925=""),"Incomplete","Complete")</f>
        <v>Complete</v>
      </c>
      <c r="I9925" s="48" t="s">
        <v>14290</v>
      </c>
    </row>
    <row r="9926" spans="2:9" ht="15" customHeight="1" x14ac:dyDescent="0.25">
      <c r="B9926" s="55" t="s">
        <v>280</v>
      </c>
      <c r="C9926" s="46">
        <v>4914</v>
      </c>
      <c r="D9926" s="69" t="s">
        <v>29417</v>
      </c>
      <c r="E9926" s="51"/>
      <c r="F9926" s="114" t="str">
        <f>IF(INDEX(I.Facility.P2aIDNumber,4914)="","",INDEX(I.Facility.P2aIDNumber,4914))</f>
        <v/>
      </c>
      <c r="G9926" s="51"/>
      <c r="H9926" s="46" t="str">
        <f>IF(AND(I.Developer.P2a=TRUE,I.Facility.P2aFacilityCount&gt;=4914,F9926=""),"Incomplete","Complete")</f>
        <v>Complete</v>
      </c>
      <c r="I9926" s="48" t="s">
        <v>14291</v>
      </c>
    </row>
    <row r="9927" spans="2:9" ht="15" customHeight="1" x14ac:dyDescent="0.25">
      <c r="B9927" s="55" t="s">
        <v>280</v>
      </c>
      <c r="C9927" s="46">
        <v>4915</v>
      </c>
      <c r="D9927" s="69" t="s">
        <v>29417</v>
      </c>
      <c r="E9927" s="51"/>
      <c r="F9927" s="114" t="str">
        <f>IF(INDEX(I.Facility.P2aIDNumber,4915)="","",INDEX(I.Facility.P2aIDNumber,4915))</f>
        <v/>
      </c>
      <c r="G9927" s="51"/>
      <c r="H9927" s="46" t="str">
        <f>IF(AND(I.Developer.P2a=TRUE,I.Facility.P2aFacilityCount&gt;=4915,F9927=""),"Incomplete","Complete")</f>
        <v>Complete</v>
      </c>
      <c r="I9927" s="48" t="s">
        <v>14292</v>
      </c>
    </row>
    <row r="9928" spans="2:9" ht="15" customHeight="1" x14ac:dyDescent="0.25">
      <c r="B9928" s="55" t="s">
        <v>280</v>
      </c>
      <c r="C9928" s="46">
        <v>4916</v>
      </c>
      <c r="D9928" s="69" t="s">
        <v>29417</v>
      </c>
      <c r="E9928" s="51"/>
      <c r="F9928" s="114" t="str">
        <f>IF(INDEX(I.Facility.P2aIDNumber,4916)="","",INDEX(I.Facility.P2aIDNumber,4916))</f>
        <v/>
      </c>
      <c r="G9928" s="51"/>
      <c r="H9928" s="46" t="str">
        <f>IF(AND(I.Developer.P2a=TRUE,I.Facility.P2aFacilityCount&gt;=4916,F9928=""),"Incomplete","Complete")</f>
        <v>Complete</v>
      </c>
      <c r="I9928" s="48" t="s">
        <v>14293</v>
      </c>
    </row>
    <row r="9929" spans="2:9" ht="15" customHeight="1" x14ac:dyDescent="0.25">
      <c r="B9929" s="55" t="s">
        <v>280</v>
      </c>
      <c r="C9929" s="46">
        <v>4917</v>
      </c>
      <c r="D9929" s="69" t="s">
        <v>29417</v>
      </c>
      <c r="E9929" s="51"/>
      <c r="F9929" s="114" t="str">
        <f>IF(INDEX(I.Facility.P2aIDNumber,4917)="","",INDEX(I.Facility.P2aIDNumber,4917))</f>
        <v/>
      </c>
      <c r="G9929" s="51"/>
      <c r="H9929" s="46" t="str">
        <f>IF(AND(I.Developer.P2a=TRUE,I.Facility.P2aFacilityCount&gt;=4917,F9929=""),"Incomplete","Complete")</f>
        <v>Complete</v>
      </c>
      <c r="I9929" s="48" t="s">
        <v>14294</v>
      </c>
    </row>
    <row r="9930" spans="2:9" ht="15" customHeight="1" x14ac:dyDescent="0.25">
      <c r="B9930" s="55" t="s">
        <v>280</v>
      </c>
      <c r="C9930" s="46">
        <v>4918</v>
      </c>
      <c r="D9930" s="69" t="s">
        <v>29417</v>
      </c>
      <c r="E9930" s="51"/>
      <c r="F9930" s="114" t="str">
        <f>IF(INDEX(I.Facility.P2aIDNumber,4918)="","",INDEX(I.Facility.P2aIDNumber,4918))</f>
        <v/>
      </c>
      <c r="G9930" s="51"/>
      <c r="H9930" s="46" t="str">
        <f>IF(AND(I.Developer.P2a=TRUE,I.Facility.P2aFacilityCount&gt;=4918,F9930=""),"Incomplete","Complete")</f>
        <v>Complete</v>
      </c>
      <c r="I9930" s="48" t="s">
        <v>14295</v>
      </c>
    </row>
    <row r="9931" spans="2:9" ht="15" customHeight="1" x14ac:dyDescent="0.25">
      <c r="B9931" s="55" t="s">
        <v>280</v>
      </c>
      <c r="C9931" s="46">
        <v>4919</v>
      </c>
      <c r="D9931" s="69" t="s">
        <v>29417</v>
      </c>
      <c r="E9931" s="51"/>
      <c r="F9931" s="114" t="str">
        <f>IF(INDEX(I.Facility.P2aIDNumber,4919)="","",INDEX(I.Facility.P2aIDNumber,4919))</f>
        <v/>
      </c>
      <c r="G9931" s="51"/>
      <c r="H9931" s="46" t="str">
        <f>IF(AND(I.Developer.P2a=TRUE,I.Facility.P2aFacilityCount&gt;=4919,F9931=""),"Incomplete","Complete")</f>
        <v>Complete</v>
      </c>
      <c r="I9931" s="48" t="s">
        <v>14296</v>
      </c>
    </row>
    <row r="9932" spans="2:9" ht="15" customHeight="1" x14ac:dyDescent="0.25">
      <c r="B9932" s="55" t="s">
        <v>280</v>
      </c>
      <c r="C9932" s="46">
        <v>4920</v>
      </c>
      <c r="D9932" s="69" t="s">
        <v>29417</v>
      </c>
      <c r="E9932" s="51"/>
      <c r="F9932" s="114" t="str">
        <f>IF(INDEX(I.Facility.P2aIDNumber,4920)="","",INDEX(I.Facility.P2aIDNumber,4920))</f>
        <v/>
      </c>
      <c r="G9932" s="51"/>
      <c r="H9932" s="46" t="str">
        <f>IF(AND(I.Developer.P2a=TRUE,I.Facility.P2aFacilityCount&gt;=4920,F9932=""),"Incomplete","Complete")</f>
        <v>Complete</v>
      </c>
      <c r="I9932" s="48" t="s">
        <v>14297</v>
      </c>
    </row>
    <row r="9933" spans="2:9" ht="15" customHeight="1" x14ac:dyDescent="0.25">
      <c r="B9933" s="55" t="s">
        <v>280</v>
      </c>
      <c r="C9933" s="46">
        <v>4921</v>
      </c>
      <c r="D9933" s="69" t="s">
        <v>29417</v>
      </c>
      <c r="E9933" s="51"/>
      <c r="F9933" s="114" t="str">
        <f>IF(INDEX(I.Facility.P2aIDNumber,4921)="","",INDEX(I.Facility.P2aIDNumber,4921))</f>
        <v/>
      </c>
      <c r="G9933" s="51"/>
      <c r="H9933" s="46" t="str">
        <f>IF(AND(I.Developer.P2a=TRUE,I.Facility.P2aFacilityCount&gt;=4921,F9933=""),"Incomplete","Complete")</f>
        <v>Complete</v>
      </c>
      <c r="I9933" s="48" t="s">
        <v>14298</v>
      </c>
    </row>
    <row r="9934" spans="2:9" ht="15" customHeight="1" x14ac:dyDescent="0.25">
      <c r="B9934" s="55" t="s">
        <v>280</v>
      </c>
      <c r="C9934" s="46">
        <v>4922</v>
      </c>
      <c r="D9934" s="69" t="s">
        <v>29417</v>
      </c>
      <c r="E9934" s="51"/>
      <c r="F9934" s="114" t="str">
        <f>IF(INDEX(I.Facility.P2aIDNumber,4922)="","",INDEX(I.Facility.P2aIDNumber,4922))</f>
        <v/>
      </c>
      <c r="G9934" s="51"/>
      <c r="H9934" s="46" t="str">
        <f>IF(AND(I.Developer.P2a=TRUE,I.Facility.P2aFacilityCount&gt;=4922,F9934=""),"Incomplete","Complete")</f>
        <v>Complete</v>
      </c>
      <c r="I9934" s="48" t="s">
        <v>14299</v>
      </c>
    </row>
    <row r="9935" spans="2:9" ht="15" customHeight="1" x14ac:dyDescent="0.25">
      <c r="B9935" s="55" t="s">
        <v>280</v>
      </c>
      <c r="C9935" s="46">
        <v>4923</v>
      </c>
      <c r="D9935" s="69" t="s">
        <v>29417</v>
      </c>
      <c r="E9935" s="51"/>
      <c r="F9935" s="114" t="str">
        <f>IF(INDEX(I.Facility.P2aIDNumber,4923)="","",INDEX(I.Facility.P2aIDNumber,4923))</f>
        <v/>
      </c>
      <c r="G9935" s="51"/>
      <c r="H9935" s="46" t="str">
        <f>IF(AND(I.Developer.P2a=TRUE,I.Facility.P2aFacilityCount&gt;=4923,F9935=""),"Incomplete","Complete")</f>
        <v>Complete</v>
      </c>
      <c r="I9935" s="48" t="s">
        <v>14300</v>
      </c>
    </row>
    <row r="9936" spans="2:9" ht="15" customHeight="1" x14ac:dyDescent="0.25">
      <c r="B9936" s="55" t="s">
        <v>280</v>
      </c>
      <c r="C9936" s="46">
        <v>4924</v>
      </c>
      <c r="D9936" s="69" t="s">
        <v>29417</v>
      </c>
      <c r="E9936" s="51"/>
      <c r="F9936" s="114" t="str">
        <f>IF(INDEX(I.Facility.P2aIDNumber,4924)="","",INDEX(I.Facility.P2aIDNumber,4924))</f>
        <v/>
      </c>
      <c r="G9936" s="51"/>
      <c r="H9936" s="46" t="str">
        <f>IF(AND(I.Developer.P2a=TRUE,I.Facility.P2aFacilityCount&gt;=4924,F9936=""),"Incomplete","Complete")</f>
        <v>Complete</v>
      </c>
      <c r="I9936" s="48" t="s">
        <v>14301</v>
      </c>
    </row>
    <row r="9937" spans="2:9" ht="15" customHeight="1" x14ac:dyDescent="0.25">
      <c r="B9937" s="55" t="s">
        <v>280</v>
      </c>
      <c r="C9937" s="46">
        <v>4925</v>
      </c>
      <c r="D9937" s="69" t="s">
        <v>29417</v>
      </c>
      <c r="E9937" s="51"/>
      <c r="F9937" s="114" t="str">
        <f>IF(INDEX(I.Facility.P2aIDNumber,4925)="","",INDEX(I.Facility.P2aIDNumber,4925))</f>
        <v/>
      </c>
      <c r="G9937" s="51"/>
      <c r="H9937" s="46" t="str">
        <f>IF(AND(I.Developer.P2a=TRUE,I.Facility.P2aFacilityCount&gt;=4925,F9937=""),"Incomplete","Complete")</f>
        <v>Complete</v>
      </c>
      <c r="I9937" s="48" t="s">
        <v>14302</v>
      </c>
    </row>
    <row r="9938" spans="2:9" ht="15" customHeight="1" x14ac:dyDescent="0.25">
      <c r="B9938" s="55" t="s">
        <v>280</v>
      </c>
      <c r="C9938" s="46">
        <v>4926</v>
      </c>
      <c r="D9938" s="69" t="s">
        <v>29417</v>
      </c>
      <c r="E9938" s="51"/>
      <c r="F9938" s="114" t="str">
        <f>IF(INDEX(I.Facility.P2aIDNumber,4926)="","",INDEX(I.Facility.P2aIDNumber,4926))</f>
        <v/>
      </c>
      <c r="G9938" s="51"/>
      <c r="H9938" s="46" t="str">
        <f>IF(AND(I.Developer.P2a=TRUE,I.Facility.P2aFacilityCount&gt;=4926,F9938=""),"Incomplete","Complete")</f>
        <v>Complete</v>
      </c>
      <c r="I9938" s="48" t="s">
        <v>14303</v>
      </c>
    </row>
    <row r="9939" spans="2:9" ht="15" customHeight="1" x14ac:dyDescent="0.25">
      <c r="B9939" s="55" t="s">
        <v>280</v>
      </c>
      <c r="C9939" s="46">
        <v>4927</v>
      </c>
      <c r="D9939" s="69" t="s">
        <v>29417</v>
      </c>
      <c r="E9939" s="51"/>
      <c r="F9939" s="114" t="str">
        <f>IF(INDEX(I.Facility.P2aIDNumber,4927)="","",INDEX(I.Facility.P2aIDNumber,4927))</f>
        <v/>
      </c>
      <c r="G9939" s="51"/>
      <c r="H9939" s="46" t="str">
        <f>IF(AND(I.Developer.P2a=TRUE,I.Facility.P2aFacilityCount&gt;=4927,F9939=""),"Incomplete","Complete")</f>
        <v>Complete</v>
      </c>
      <c r="I9939" s="48" t="s">
        <v>14304</v>
      </c>
    </row>
    <row r="9940" spans="2:9" ht="15" customHeight="1" x14ac:dyDescent="0.25">
      <c r="B9940" s="55" t="s">
        <v>280</v>
      </c>
      <c r="C9940" s="46">
        <v>4928</v>
      </c>
      <c r="D9940" s="69" t="s">
        <v>29417</v>
      </c>
      <c r="E9940" s="51"/>
      <c r="F9940" s="114" t="str">
        <f>IF(INDEX(I.Facility.P2aIDNumber,4928)="","",INDEX(I.Facility.P2aIDNumber,4928))</f>
        <v/>
      </c>
      <c r="G9940" s="51"/>
      <c r="H9940" s="46" t="str">
        <f>IF(AND(I.Developer.P2a=TRUE,I.Facility.P2aFacilityCount&gt;=4928,F9940=""),"Incomplete","Complete")</f>
        <v>Complete</v>
      </c>
      <c r="I9940" s="48" t="s">
        <v>14305</v>
      </c>
    </row>
    <row r="9941" spans="2:9" ht="15" customHeight="1" x14ac:dyDescent="0.25">
      <c r="B9941" s="55" t="s">
        <v>280</v>
      </c>
      <c r="C9941" s="46">
        <v>4929</v>
      </c>
      <c r="D9941" s="69" t="s">
        <v>29417</v>
      </c>
      <c r="E9941" s="51"/>
      <c r="F9941" s="114" t="str">
        <f>IF(INDEX(I.Facility.P2aIDNumber,4929)="","",INDEX(I.Facility.P2aIDNumber,4929))</f>
        <v/>
      </c>
      <c r="G9941" s="51"/>
      <c r="H9941" s="46" t="str">
        <f>IF(AND(I.Developer.P2a=TRUE,I.Facility.P2aFacilityCount&gt;=4929,F9941=""),"Incomplete","Complete")</f>
        <v>Complete</v>
      </c>
      <c r="I9941" s="48" t="s">
        <v>14306</v>
      </c>
    </row>
    <row r="9942" spans="2:9" ht="15" customHeight="1" x14ac:dyDescent="0.25">
      <c r="B9942" s="55" t="s">
        <v>280</v>
      </c>
      <c r="C9942" s="46">
        <v>4930</v>
      </c>
      <c r="D9942" s="69" t="s">
        <v>29417</v>
      </c>
      <c r="E9942" s="51"/>
      <c r="F9942" s="114" t="str">
        <f>IF(INDEX(I.Facility.P2aIDNumber,4930)="","",INDEX(I.Facility.P2aIDNumber,4930))</f>
        <v/>
      </c>
      <c r="G9942" s="51"/>
      <c r="H9942" s="46" t="str">
        <f>IF(AND(I.Developer.P2a=TRUE,I.Facility.P2aFacilityCount&gt;=4930,F9942=""),"Incomplete","Complete")</f>
        <v>Complete</v>
      </c>
      <c r="I9942" s="48" t="s">
        <v>14307</v>
      </c>
    </row>
    <row r="9943" spans="2:9" ht="15" customHeight="1" x14ac:dyDescent="0.25">
      <c r="B9943" s="55" t="s">
        <v>280</v>
      </c>
      <c r="C9943" s="46">
        <v>4931</v>
      </c>
      <c r="D9943" s="69" t="s">
        <v>29417</v>
      </c>
      <c r="E9943" s="51"/>
      <c r="F9943" s="114" t="str">
        <f>IF(INDEX(I.Facility.P2aIDNumber,4931)="","",INDEX(I.Facility.P2aIDNumber,4931))</f>
        <v/>
      </c>
      <c r="G9943" s="51"/>
      <c r="H9943" s="46" t="str">
        <f>IF(AND(I.Developer.P2a=TRUE,I.Facility.P2aFacilityCount&gt;=4931,F9943=""),"Incomplete","Complete")</f>
        <v>Complete</v>
      </c>
      <c r="I9943" s="48" t="s">
        <v>14308</v>
      </c>
    </row>
    <row r="9944" spans="2:9" ht="15" customHeight="1" x14ac:dyDescent="0.25">
      <c r="B9944" s="55" t="s">
        <v>280</v>
      </c>
      <c r="C9944" s="46">
        <v>4932</v>
      </c>
      <c r="D9944" s="69" t="s">
        <v>29417</v>
      </c>
      <c r="E9944" s="51"/>
      <c r="F9944" s="114" t="str">
        <f>IF(INDEX(I.Facility.P2aIDNumber,4932)="","",INDEX(I.Facility.P2aIDNumber,4932))</f>
        <v/>
      </c>
      <c r="G9944" s="51"/>
      <c r="H9944" s="46" t="str">
        <f>IF(AND(I.Developer.P2a=TRUE,I.Facility.P2aFacilityCount&gt;=4932,F9944=""),"Incomplete","Complete")</f>
        <v>Complete</v>
      </c>
      <c r="I9944" s="48" t="s">
        <v>14309</v>
      </c>
    </row>
    <row r="9945" spans="2:9" ht="15" customHeight="1" x14ac:dyDescent="0.25">
      <c r="B9945" s="55" t="s">
        <v>280</v>
      </c>
      <c r="C9945" s="46">
        <v>4933</v>
      </c>
      <c r="D9945" s="69" t="s">
        <v>29417</v>
      </c>
      <c r="E9945" s="51"/>
      <c r="F9945" s="114" t="str">
        <f>IF(INDEX(I.Facility.P2aIDNumber,4933)="","",INDEX(I.Facility.P2aIDNumber,4933))</f>
        <v/>
      </c>
      <c r="G9945" s="51"/>
      <c r="H9945" s="46" t="str">
        <f>IF(AND(I.Developer.P2a=TRUE,I.Facility.P2aFacilityCount&gt;=4933,F9945=""),"Incomplete","Complete")</f>
        <v>Complete</v>
      </c>
      <c r="I9945" s="48" t="s">
        <v>14310</v>
      </c>
    </row>
    <row r="9946" spans="2:9" ht="15" customHeight="1" x14ac:dyDescent="0.25">
      <c r="B9946" s="55" t="s">
        <v>280</v>
      </c>
      <c r="C9946" s="46">
        <v>4934</v>
      </c>
      <c r="D9946" s="69" t="s">
        <v>29417</v>
      </c>
      <c r="E9946" s="51"/>
      <c r="F9946" s="114" t="str">
        <f>IF(INDEX(I.Facility.P2aIDNumber,4934)="","",INDEX(I.Facility.P2aIDNumber,4934))</f>
        <v/>
      </c>
      <c r="G9946" s="51"/>
      <c r="H9946" s="46" t="str">
        <f>IF(AND(I.Developer.P2a=TRUE,I.Facility.P2aFacilityCount&gt;=4934,F9946=""),"Incomplete","Complete")</f>
        <v>Complete</v>
      </c>
      <c r="I9946" s="48" t="s">
        <v>14311</v>
      </c>
    </row>
    <row r="9947" spans="2:9" ht="15" customHeight="1" x14ac:dyDescent="0.25">
      <c r="B9947" s="55" t="s">
        <v>280</v>
      </c>
      <c r="C9947" s="46">
        <v>4935</v>
      </c>
      <c r="D9947" s="69" t="s">
        <v>29417</v>
      </c>
      <c r="E9947" s="51"/>
      <c r="F9947" s="114" t="str">
        <f>IF(INDEX(I.Facility.P2aIDNumber,4935)="","",INDEX(I.Facility.P2aIDNumber,4935))</f>
        <v/>
      </c>
      <c r="G9947" s="51"/>
      <c r="H9947" s="46" t="str">
        <f>IF(AND(I.Developer.P2a=TRUE,I.Facility.P2aFacilityCount&gt;=4935,F9947=""),"Incomplete","Complete")</f>
        <v>Complete</v>
      </c>
      <c r="I9947" s="48" t="s">
        <v>14312</v>
      </c>
    </row>
    <row r="9948" spans="2:9" ht="15" customHeight="1" x14ac:dyDescent="0.25">
      <c r="B9948" s="55" t="s">
        <v>280</v>
      </c>
      <c r="C9948" s="46">
        <v>4936</v>
      </c>
      <c r="D9948" s="69" t="s">
        <v>29417</v>
      </c>
      <c r="E9948" s="51"/>
      <c r="F9948" s="114" t="str">
        <f>IF(INDEX(I.Facility.P2aIDNumber,4936)="","",INDEX(I.Facility.P2aIDNumber,4936))</f>
        <v/>
      </c>
      <c r="G9948" s="51"/>
      <c r="H9948" s="46" t="str">
        <f>IF(AND(I.Developer.P2a=TRUE,I.Facility.P2aFacilityCount&gt;=4936,F9948=""),"Incomplete","Complete")</f>
        <v>Complete</v>
      </c>
      <c r="I9948" s="48" t="s">
        <v>14313</v>
      </c>
    </row>
    <row r="9949" spans="2:9" ht="15" customHeight="1" x14ac:dyDescent="0.25">
      <c r="B9949" s="55" t="s">
        <v>280</v>
      </c>
      <c r="C9949" s="46">
        <v>4937</v>
      </c>
      <c r="D9949" s="69" t="s">
        <v>29417</v>
      </c>
      <c r="E9949" s="51"/>
      <c r="F9949" s="114" t="str">
        <f>IF(INDEX(I.Facility.P2aIDNumber,4937)="","",INDEX(I.Facility.P2aIDNumber,4937))</f>
        <v/>
      </c>
      <c r="G9949" s="51"/>
      <c r="H9949" s="46" t="str">
        <f>IF(AND(I.Developer.P2a=TRUE,I.Facility.P2aFacilityCount&gt;=4937,F9949=""),"Incomplete","Complete")</f>
        <v>Complete</v>
      </c>
      <c r="I9949" s="48" t="s">
        <v>14314</v>
      </c>
    </row>
    <row r="9950" spans="2:9" ht="15" customHeight="1" x14ac:dyDescent="0.25">
      <c r="B9950" s="55" t="s">
        <v>280</v>
      </c>
      <c r="C9950" s="46">
        <v>4938</v>
      </c>
      <c r="D9950" s="69" t="s">
        <v>29417</v>
      </c>
      <c r="E9950" s="51"/>
      <c r="F9950" s="114" t="str">
        <f>IF(INDEX(I.Facility.P2aIDNumber,4938)="","",INDEX(I.Facility.P2aIDNumber,4938))</f>
        <v/>
      </c>
      <c r="G9950" s="51"/>
      <c r="H9950" s="46" t="str">
        <f>IF(AND(I.Developer.P2a=TRUE,I.Facility.P2aFacilityCount&gt;=4938,F9950=""),"Incomplete","Complete")</f>
        <v>Complete</v>
      </c>
      <c r="I9950" s="48" t="s">
        <v>14315</v>
      </c>
    </row>
    <row r="9951" spans="2:9" ht="15" customHeight="1" x14ac:dyDescent="0.25">
      <c r="B9951" s="55" t="s">
        <v>280</v>
      </c>
      <c r="C9951" s="46">
        <v>4939</v>
      </c>
      <c r="D9951" s="69" t="s">
        <v>29417</v>
      </c>
      <c r="E9951" s="51"/>
      <c r="F9951" s="114" t="str">
        <f>IF(INDEX(I.Facility.P2aIDNumber,4939)="","",INDEX(I.Facility.P2aIDNumber,4939))</f>
        <v/>
      </c>
      <c r="G9951" s="51"/>
      <c r="H9951" s="46" t="str">
        <f>IF(AND(I.Developer.P2a=TRUE,I.Facility.P2aFacilityCount&gt;=4939,F9951=""),"Incomplete","Complete")</f>
        <v>Complete</v>
      </c>
      <c r="I9951" s="48" t="s">
        <v>14316</v>
      </c>
    </row>
    <row r="9952" spans="2:9" ht="15" customHeight="1" x14ac:dyDescent="0.25">
      <c r="B9952" s="55" t="s">
        <v>280</v>
      </c>
      <c r="C9952" s="46">
        <v>4940</v>
      </c>
      <c r="D9952" s="69" t="s">
        <v>29417</v>
      </c>
      <c r="E9952" s="51"/>
      <c r="F9952" s="114" t="str">
        <f>IF(INDEX(I.Facility.P2aIDNumber,4940)="","",INDEX(I.Facility.P2aIDNumber,4940))</f>
        <v/>
      </c>
      <c r="G9952" s="51"/>
      <c r="H9952" s="46" t="str">
        <f>IF(AND(I.Developer.P2a=TRUE,I.Facility.P2aFacilityCount&gt;=4940,F9952=""),"Incomplete","Complete")</f>
        <v>Complete</v>
      </c>
      <c r="I9952" s="48" t="s">
        <v>14317</v>
      </c>
    </row>
    <row r="9953" spans="2:9" ht="15" customHeight="1" x14ac:dyDescent="0.25">
      <c r="B9953" s="55" t="s">
        <v>280</v>
      </c>
      <c r="C9953" s="46">
        <v>4941</v>
      </c>
      <c r="D9953" s="69" t="s">
        <v>29417</v>
      </c>
      <c r="E9953" s="51"/>
      <c r="F9953" s="114" t="str">
        <f>IF(INDEX(I.Facility.P2aIDNumber,4941)="","",INDEX(I.Facility.P2aIDNumber,4941))</f>
        <v/>
      </c>
      <c r="G9953" s="51"/>
      <c r="H9953" s="46" t="str">
        <f>IF(AND(I.Developer.P2a=TRUE,I.Facility.P2aFacilityCount&gt;=4941,F9953=""),"Incomplete","Complete")</f>
        <v>Complete</v>
      </c>
      <c r="I9953" s="48" t="s">
        <v>14318</v>
      </c>
    </row>
    <row r="9954" spans="2:9" ht="15" customHeight="1" x14ac:dyDescent="0.25">
      <c r="B9954" s="55" t="s">
        <v>280</v>
      </c>
      <c r="C9954" s="46">
        <v>4942</v>
      </c>
      <c r="D9954" s="69" t="s">
        <v>29417</v>
      </c>
      <c r="E9954" s="51"/>
      <c r="F9954" s="114" t="str">
        <f>IF(INDEX(I.Facility.P2aIDNumber,4942)="","",INDEX(I.Facility.P2aIDNumber,4942))</f>
        <v/>
      </c>
      <c r="G9954" s="51"/>
      <c r="H9954" s="46" t="str">
        <f>IF(AND(I.Developer.P2a=TRUE,I.Facility.P2aFacilityCount&gt;=4942,F9954=""),"Incomplete","Complete")</f>
        <v>Complete</v>
      </c>
      <c r="I9954" s="48" t="s">
        <v>14319</v>
      </c>
    </row>
    <row r="9955" spans="2:9" ht="15" customHeight="1" x14ac:dyDescent="0.25">
      <c r="B9955" s="55" t="s">
        <v>280</v>
      </c>
      <c r="C9955" s="46">
        <v>4943</v>
      </c>
      <c r="D9955" s="69" t="s">
        <v>29417</v>
      </c>
      <c r="E9955" s="51"/>
      <c r="F9955" s="114" t="str">
        <f>IF(INDEX(I.Facility.P2aIDNumber,4943)="","",INDEX(I.Facility.P2aIDNumber,4943))</f>
        <v/>
      </c>
      <c r="G9955" s="51"/>
      <c r="H9955" s="46" t="str">
        <f>IF(AND(I.Developer.P2a=TRUE,I.Facility.P2aFacilityCount&gt;=4943,F9955=""),"Incomplete","Complete")</f>
        <v>Complete</v>
      </c>
      <c r="I9955" s="48" t="s">
        <v>14320</v>
      </c>
    </row>
    <row r="9956" spans="2:9" ht="15" customHeight="1" x14ac:dyDescent="0.25">
      <c r="B9956" s="55" t="s">
        <v>280</v>
      </c>
      <c r="C9956" s="46">
        <v>4944</v>
      </c>
      <c r="D9956" s="69" t="s">
        <v>29417</v>
      </c>
      <c r="E9956" s="51"/>
      <c r="F9956" s="114" t="str">
        <f>IF(INDEX(I.Facility.P2aIDNumber,4944)="","",INDEX(I.Facility.P2aIDNumber,4944))</f>
        <v/>
      </c>
      <c r="G9956" s="51"/>
      <c r="H9956" s="46" t="str">
        <f>IF(AND(I.Developer.P2a=TRUE,I.Facility.P2aFacilityCount&gt;=4944,F9956=""),"Incomplete","Complete")</f>
        <v>Complete</v>
      </c>
      <c r="I9956" s="48" t="s">
        <v>14321</v>
      </c>
    </row>
    <row r="9957" spans="2:9" ht="15" customHeight="1" x14ac:dyDescent="0.25">
      <c r="B9957" s="55" t="s">
        <v>280</v>
      </c>
      <c r="C9957" s="46">
        <v>4945</v>
      </c>
      <c r="D9957" s="69" t="s">
        <v>29417</v>
      </c>
      <c r="E9957" s="51"/>
      <c r="F9957" s="114" t="str">
        <f>IF(INDEX(I.Facility.P2aIDNumber,4945)="","",INDEX(I.Facility.P2aIDNumber,4945))</f>
        <v/>
      </c>
      <c r="G9957" s="51"/>
      <c r="H9957" s="46" t="str">
        <f>IF(AND(I.Developer.P2a=TRUE,I.Facility.P2aFacilityCount&gt;=4945,F9957=""),"Incomplete","Complete")</f>
        <v>Complete</v>
      </c>
      <c r="I9957" s="48" t="s">
        <v>14322</v>
      </c>
    </row>
    <row r="9958" spans="2:9" ht="15" customHeight="1" x14ac:dyDescent="0.25">
      <c r="B9958" s="55" t="s">
        <v>280</v>
      </c>
      <c r="C9958" s="46">
        <v>4946</v>
      </c>
      <c r="D9958" s="69" t="s">
        <v>29417</v>
      </c>
      <c r="E9958" s="51"/>
      <c r="F9958" s="114" t="str">
        <f>IF(INDEX(I.Facility.P2aIDNumber,4946)="","",INDEX(I.Facility.P2aIDNumber,4946))</f>
        <v/>
      </c>
      <c r="G9958" s="51"/>
      <c r="H9958" s="46" t="str">
        <f>IF(AND(I.Developer.P2a=TRUE,I.Facility.P2aFacilityCount&gt;=4946,F9958=""),"Incomplete","Complete")</f>
        <v>Complete</v>
      </c>
      <c r="I9958" s="48" t="s">
        <v>14323</v>
      </c>
    </row>
    <row r="9959" spans="2:9" ht="15" customHeight="1" x14ac:dyDescent="0.25">
      <c r="B9959" s="55" t="s">
        <v>280</v>
      </c>
      <c r="C9959" s="46">
        <v>4947</v>
      </c>
      <c r="D9959" s="69" t="s">
        <v>29417</v>
      </c>
      <c r="E9959" s="51"/>
      <c r="F9959" s="114" t="str">
        <f>IF(INDEX(I.Facility.P2aIDNumber,4947)="","",INDEX(I.Facility.P2aIDNumber,4947))</f>
        <v/>
      </c>
      <c r="G9959" s="51"/>
      <c r="H9959" s="46" t="str">
        <f>IF(AND(I.Developer.P2a=TRUE,I.Facility.P2aFacilityCount&gt;=4947,F9959=""),"Incomplete","Complete")</f>
        <v>Complete</v>
      </c>
      <c r="I9959" s="48" t="s">
        <v>14324</v>
      </c>
    </row>
    <row r="9960" spans="2:9" ht="15" customHeight="1" x14ac:dyDescent="0.25">
      <c r="B9960" s="55" t="s">
        <v>280</v>
      </c>
      <c r="C9960" s="46">
        <v>4948</v>
      </c>
      <c r="D9960" s="69" t="s">
        <v>29417</v>
      </c>
      <c r="E9960" s="51"/>
      <c r="F9960" s="114" t="str">
        <f>IF(INDEX(I.Facility.P2aIDNumber,4948)="","",INDEX(I.Facility.P2aIDNumber,4948))</f>
        <v/>
      </c>
      <c r="G9960" s="51"/>
      <c r="H9960" s="46" t="str">
        <f>IF(AND(I.Developer.P2a=TRUE,I.Facility.P2aFacilityCount&gt;=4948,F9960=""),"Incomplete","Complete")</f>
        <v>Complete</v>
      </c>
      <c r="I9960" s="48" t="s">
        <v>14325</v>
      </c>
    </row>
    <row r="9961" spans="2:9" ht="15" customHeight="1" x14ac:dyDescent="0.25">
      <c r="B9961" s="55" t="s">
        <v>280</v>
      </c>
      <c r="C9961" s="46">
        <v>4949</v>
      </c>
      <c r="D9961" s="69" t="s">
        <v>29417</v>
      </c>
      <c r="E9961" s="51"/>
      <c r="F9961" s="114" t="str">
        <f>IF(INDEX(I.Facility.P2aIDNumber,4949)="","",INDEX(I.Facility.P2aIDNumber,4949))</f>
        <v/>
      </c>
      <c r="G9961" s="51"/>
      <c r="H9961" s="46" t="str">
        <f>IF(AND(I.Developer.P2a=TRUE,I.Facility.P2aFacilityCount&gt;=4949,F9961=""),"Incomplete","Complete")</f>
        <v>Complete</v>
      </c>
      <c r="I9961" s="48" t="s">
        <v>14326</v>
      </c>
    </row>
    <row r="9962" spans="2:9" ht="15" customHeight="1" x14ac:dyDescent="0.25">
      <c r="B9962" s="55" t="s">
        <v>280</v>
      </c>
      <c r="C9962" s="46">
        <v>4950</v>
      </c>
      <c r="D9962" s="69" t="s">
        <v>29417</v>
      </c>
      <c r="E9962" s="51"/>
      <c r="F9962" s="114" t="str">
        <f>IF(INDEX(I.Facility.P2aIDNumber,4950)="","",INDEX(I.Facility.P2aIDNumber,4950))</f>
        <v/>
      </c>
      <c r="G9962" s="51"/>
      <c r="H9962" s="46" t="str">
        <f>IF(AND(I.Developer.P2a=TRUE,I.Facility.P2aFacilityCount&gt;=4950,F9962=""),"Incomplete","Complete")</f>
        <v>Complete</v>
      </c>
      <c r="I9962" s="48" t="s">
        <v>14327</v>
      </c>
    </row>
    <row r="9963" spans="2:9" ht="15" customHeight="1" x14ac:dyDescent="0.25">
      <c r="B9963" s="55" t="s">
        <v>280</v>
      </c>
      <c r="C9963" s="46">
        <v>4951</v>
      </c>
      <c r="D9963" s="69" t="s">
        <v>29417</v>
      </c>
      <c r="E9963" s="51"/>
      <c r="F9963" s="114" t="str">
        <f>IF(INDEX(I.Facility.P2aIDNumber,4951)="","",INDEX(I.Facility.P2aIDNumber,4951))</f>
        <v/>
      </c>
      <c r="G9963" s="51"/>
      <c r="H9963" s="46" t="str">
        <f>IF(AND(I.Developer.P2a=TRUE,I.Facility.P2aFacilityCount&gt;=4951,F9963=""),"Incomplete","Complete")</f>
        <v>Complete</v>
      </c>
      <c r="I9963" s="48" t="s">
        <v>14328</v>
      </c>
    </row>
    <row r="9964" spans="2:9" ht="15" customHeight="1" x14ac:dyDescent="0.25">
      <c r="B9964" s="55" t="s">
        <v>280</v>
      </c>
      <c r="C9964" s="46">
        <v>4952</v>
      </c>
      <c r="D9964" s="69" t="s">
        <v>29417</v>
      </c>
      <c r="E9964" s="51"/>
      <c r="F9964" s="114" t="str">
        <f>IF(INDEX(I.Facility.P2aIDNumber,4952)="","",INDEX(I.Facility.P2aIDNumber,4952))</f>
        <v/>
      </c>
      <c r="G9964" s="51"/>
      <c r="H9964" s="46" t="str">
        <f>IF(AND(I.Developer.P2a=TRUE,I.Facility.P2aFacilityCount&gt;=4952,F9964=""),"Incomplete","Complete")</f>
        <v>Complete</v>
      </c>
      <c r="I9964" s="48" t="s">
        <v>14329</v>
      </c>
    </row>
    <row r="9965" spans="2:9" ht="15" customHeight="1" x14ac:dyDescent="0.25">
      <c r="B9965" s="55" t="s">
        <v>280</v>
      </c>
      <c r="C9965" s="46">
        <v>4953</v>
      </c>
      <c r="D9965" s="69" t="s">
        <v>29417</v>
      </c>
      <c r="E9965" s="51"/>
      <c r="F9965" s="114" t="str">
        <f>IF(INDEX(I.Facility.P2aIDNumber,4953)="","",INDEX(I.Facility.P2aIDNumber,4953))</f>
        <v/>
      </c>
      <c r="G9965" s="51"/>
      <c r="H9965" s="46" t="str">
        <f>IF(AND(I.Developer.P2a=TRUE,I.Facility.P2aFacilityCount&gt;=4953,F9965=""),"Incomplete","Complete")</f>
        <v>Complete</v>
      </c>
      <c r="I9965" s="48" t="s">
        <v>14330</v>
      </c>
    </row>
    <row r="9966" spans="2:9" ht="15" customHeight="1" x14ac:dyDescent="0.25">
      <c r="B9966" s="55" t="s">
        <v>280</v>
      </c>
      <c r="C9966" s="46">
        <v>4954</v>
      </c>
      <c r="D9966" s="69" t="s">
        <v>29417</v>
      </c>
      <c r="E9966" s="51"/>
      <c r="F9966" s="114" t="str">
        <f>IF(INDEX(I.Facility.P2aIDNumber,4954)="","",INDEX(I.Facility.P2aIDNumber,4954))</f>
        <v/>
      </c>
      <c r="G9966" s="51"/>
      <c r="H9966" s="46" t="str">
        <f>IF(AND(I.Developer.P2a=TRUE,I.Facility.P2aFacilityCount&gt;=4954,F9966=""),"Incomplete","Complete")</f>
        <v>Complete</v>
      </c>
      <c r="I9966" s="48" t="s">
        <v>14331</v>
      </c>
    </row>
    <row r="9967" spans="2:9" ht="15" customHeight="1" x14ac:dyDescent="0.25">
      <c r="B9967" s="55" t="s">
        <v>280</v>
      </c>
      <c r="C9967" s="46">
        <v>4955</v>
      </c>
      <c r="D9967" s="69" t="s">
        <v>29417</v>
      </c>
      <c r="E9967" s="51"/>
      <c r="F9967" s="114" t="str">
        <f>IF(INDEX(I.Facility.P2aIDNumber,4955)="","",INDEX(I.Facility.P2aIDNumber,4955))</f>
        <v/>
      </c>
      <c r="G9967" s="51"/>
      <c r="H9967" s="46" t="str">
        <f>IF(AND(I.Developer.P2a=TRUE,I.Facility.P2aFacilityCount&gt;=4955,F9967=""),"Incomplete","Complete")</f>
        <v>Complete</v>
      </c>
      <c r="I9967" s="48" t="s">
        <v>14332</v>
      </c>
    </row>
    <row r="9968" spans="2:9" ht="15" customHeight="1" x14ac:dyDescent="0.25">
      <c r="B9968" s="55" t="s">
        <v>280</v>
      </c>
      <c r="C9968" s="46">
        <v>4956</v>
      </c>
      <c r="D9968" s="69" t="s">
        <v>29417</v>
      </c>
      <c r="E9968" s="51"/>
      <c r="F9968" s="114" t="str">
        <f>IF(INDEX(I.Facility.P2aIDNumber,4956)="","",INDEX(I.Facility.P2aIDNumber,4956))</f>
        <v/>
      </c>
      <c r="G9968" s="51"/>
      <c r="H9968" s="46" t="str">
        <f>IF(AND(I.Developer.P2a=TRUE,I.Facility.P2aFacilityCount&gt;=4956,F9968=""),"Incomplete","Complete")</f>
        <v>Complete</v>
      </c>
      <c r="I9968" s="48" t="s">
        <v>14333</v>
      </c>
    </row>
    <row r="9969" spans="2:9" ht="15" customHeight="1" x14ac:dyDescent="0.25">
      <c r="B9969" s="55" t="s">
        <v>280</v>
      </c>
      <c r="C9969" s="46">
        <v>4957</v>
      </c>
      <c r="D9969" s="69" t="s">
        <v>29417</v>
      </c>
      <c r="E9969" s="51"/>
      <c r="F9969" s="114" t="str">
        <f>IF(INDEX(I.Facility.P2aIDNumber,4957)="","",INDEX(I.Facility.P2aIDNumber,4957))</f>
        <v/>
      </c>
      <c r="G9969" s="51"/>
      <c r="H9969" s="46" t="str">
        <f>IF(AND(I.Developer.P2a=TRUE,I.Facility.P2aFacilityCount&gt;=4957,F9969=""),"Incomplete","Complete")</f>
        <v>Complete</v>
      </c>
      <c r="I9969" s="48" t="s">
        <v>14334</v>
      </c>
    </row>
    <row r="9970" spans="2:9" ht="15" customHeight="1" x14ac:dyDescent="0.25">
      <c r="B9970" s="55" t="s">
        <v>280</v>
      </c>
      <c r="C9970" s="46">
        <v>4958</v>
      </c>
      <c r="D9970" s="69" t="s">
        <v>29417</v>
      </c>
      <c r="E9970" s="51"/>
      <c r="F9970" s="114" t="str">
        <f>IF(INDEX(I.Facility.P2aIDNumber,4958)="","",INDEX(I.Facility.P2aIDNumber,4958))</f>
        <v/>
      </c>
      <c r="G9970" s="51"/>
      <c r="H9970" s="46" t="str">
        <f>IF(AND(I.Developer.P2a=TRUE,I.Facility.P2aFacilityCount&gt;=4958,F9970=""),"Incomplete","Complete")</f>
        <v>Complete</v>
      </c>
      <c r="I9970" s="48" t="s">
        <v>14335</v>
      </c>
    </row>
    <row r="9971" spans="2:9" ht="15" customHeight="1" x14ac:dyDescent="0.25">
      <c r="B9971" s="55" t="s">
        <v>280</v>
      </c>
      <c r="C9971" s="46">
        <v>4959</v>
      </c>
      <c r="D9971" s="69" t="s">
        <v>29417</v>
      </c>
      <c r="E9971" s="51"/>
      <c r="F9971" s="114" t="str">
        <f>IF(INDEX(I.Facility.P2aIDNumber,4959)="","",INDEX(I.Facility.P2aIDNumber,4959))</f>
        <v/>
      </c>
      <c r="G9971" s="51"/>
      <c r="H9971" s="46" t="str">
        <f>IF(AND(I.Developer.P2a=TRUE,I.Facility.P2aFacilityCount&gt;=4959,F9971=""),"Incomplete","Complete")</f>
        <v>Complete</v>
      </c>
      <c r="I9971" s="48" t="s">
        <v>14336</v>
      </c>
    </row>
    <row r="9972" spans="2:9" ht="15" customHeight="1" x14ac:dyDescent="0.25">
      <c r="B9972" s="55" t="s">
        <v>280</v>
      </c>
      <c r="C9972" s="46">
        <v>4960</v>
      </c>
      <c r="D9972" s="69" t="s">
        <v>29417</v>
      </c>
      <c r="E9972" s="51"/>
      <c r="F9972" s="114" t="str">
        <f>IF(INDEX(I.Facility.P2aIDNumber,4960)="","",INDEX(I.Facility.P2aIDNumber,4960))</f>
        <v/>
      </c>
      <c r="G9972" s="51"/>
      <c r="H9972" s="46" t="str">
        <f>IF(AND(I.Developer.P2a=TRUE,I.Facility.P2aFacilityCount&gt;=4960,F9972=""),"Incomplete","Complete")</f>
        <v>Complete</v>
      </c>
      <c r="I9972" s="48" t="s">
        <v>14337</v>
      </c>
    </row>
    <row r="9973" spans="2:9" ht="15" customHeight="1" x14ac:dyDescent="0.25">
      <c r="B9973" s="55" t="s">
        <v>280</v>
      </c>
      <c r="C9973" s="46">
        <v>4961</v>
      </c>
      <c r="D9973" s="69" t="s">
        <v>29417</v>
      </c>
      <c r="E9973" s="51"/>
      <c r="F9973" s="114" t="str">
        <f>IF(INDEX(I.Facility.P2aIDNumber,4961)="","",INDEX(I.Facility.P2aIDNumber,4961))</f>
        <v/>
      </c>
      <c r="G9973" s="51"/>
      <c r="H9973" s="46" t="str">
        <f>IF(AND(I.Developer.P2a=TRUE,I.Facility.P2aFacilityCount&gt;=4961,F9973=""),"Incomplete","Complete")</f>
        <v>Complete</v>
      </c>
      <c r="I9973" s="48" t="s">
        <v>14338</v>
      </c>
    </row>
    <row r="9974" spans="2:9" ht="15" customHeight="1" x14ac:dyDescent="0.25">
      <c r="B9974" s="55" t="s">
        <v>280</v>
      </c>
      <c r="C9974" s="46">
        <v>4962</v>
      </c>
      <c r="D9974" s="69" t="s">
        <v>29417</v>
      </c>
      <c r="E9974" s="51"/>
      <c r="F9974" s="114" t="str">
        <f>IF(INDEX(I.Facility.P2aIDNumber,4962)="","",INDEX(I.Facility.P2aIDNumber,4962))</f>
        <v/>
      </c>
      <c r="G9974" s="51"/>
      <c r="H9974" s="46" t="str">
        <f>IF(AND(I.Developer.P2a=TRUE,I.Facility.P2aFacilityCount&gt;=4962,F9974=""),"Incomplete","Complete")</f>
        <v>Complete</v>
      </c>
      <c r="I9974" s="48" t="s">
        <v>14339</v>
      </c>
    </row>
    <row r="9975" spans="2:9" ht="15" customHeight="1" x14ac:dyDescent="0.25">
      <c r="B9975" s="55" t="s">
        <v>280</v>
      </c>
      <c r="C9975" s="46">
        <v>4963</v>
      </c>
      <c r="D9975" s="69" t="s">
        <v>29417</v>
      </c>
      <c r="E9975" s="51"/>
      <c r="F9975" s="114" t="str">
        <f>IF(INDEX(I.Facility.P2aIDNumber,4963)="","",INDEX(I.Facility.P2aIDNumber,4963))</f>
        <v/>
      </c>
      <c r="G9975" s="51"/>
      <c r="H9975" s="46" t="str">
        <f>IF(AND(I.Developer.P2a=TRUE,I.Facility.P2aFacilityCount&gt;=4963,F9975=""),"Incomplete","Complete")</f>
        <v>Complete</v>
      </c>
      <c r="I9975" s="48" t="s">
        <v>14340</v>
      </c>
    </row>
    <row r="9976" spans="2:9" ht="15" customHeight="1" x14ac:dyDescent="0.25">
      <c r="B9976" s="55" t="s">
        <v>280</v>
      </c>
      <c r="C9976" s="46">
        <v>4964</v>
      </c>
      <c r="D9976" s="69" t="s">
        <v>29417</v>
      </c>
      <c r="E9976" s="51"/>
      <c r="F9976" s="114" t="str">
        <f>IF(INDEX(I.Facility.P2aIDNumber,4964)="","",INDEX(I.Facility.P2aIDNumber,4964))</f>
        <v/>
      </c>
      <c r="G9976" s="51"/>
      <c r="H9976" s="46" t="str">
        <f>IF(AND(I.Developer.P2a=TRUE,I.Facility.P2aFacilityCount&gt;=4964,F9976=""),"Incomplete","Complete")</f>
        <v>Complete</v>
      </c>
      <c r="I9976" s="48" t="s">
        <v>14341</v>
      </c>
    </row>
    <row r="9977" spans="2:9" ht="15" customHeight="1" x14ac:dyDescent="0.25">
      <c r="B9977" s="55" t="s">
        <v>280</v>
      </c>
      <c r="C9977" s="46">
        <v>4965</v>
      </c>
      <c r="D9977" s="69" t="s">
        <v>29417</v>
      </c>
      <c r="E9977" s="51"/>
      <c r="F9977" s="114" t="str">
        <f>IF(INDEX(I.Facility.P2aIDNumber,4965)="","",INDEX(I.Facility.P2aIDNumber,4965))</f>
        <v/>
      </c>
      <c r="G9977" s="51"/>
      <c r="H9977" s="46" t="str">
        <f>IF(AND(I.Developer.P2a=TRUE,I.Facility.P2aFacilityCount&gt;=4965,F9977=""),"Incomplete","Complete")</f>
        <v>Complete</v>
      </c>
      <c r="I9977" s="48" t="s">
        <v>14342</v>
      </c>
    </row>
    <row r="9978" spans="2:9" ht="15" customHeight="1" x14ac:dyDescent="0.25">
      <c r="B9978" s="55" t="s">
        <v>280</v>
      </c>
      <c r="C9978" s="46">
        <v>4966</v>
      </c>
      <c r="D9978" s="69" t="s">
        <v>29417</v>
      </c>
      <c r="E9978" s="51"/>
      <c r="F9978" s="114" t="str">
        <f>IF(INDEX(I.Facility.P2aIDNumber,4966)="","",INDEX(I.Facility.P2aIDNumber,4966))</f>
        <v/>
      </c>
      <c r="G9978" s="51"/>
      <c r="H9978" s="46" t="str">
        <f>IF(AND(I.Developer.P2a=TRUE,I.Facility.P2aFacilityCount&gt;=4966,F9978=""),"Incomplete","Complete")</f>
        <v>Complete</v>
      </c>
      <c r="I9978" s="48" t="s">
        <v>14343</v>
      </c>
    </row>
    <row r="9979" spans="2:9" ht="15" customHeight="1" x14ac:dyDescent="0.25">
      <c r="B9979" s="55" t="s">
        <v>280</v>
      </c>
      <c r="C9979" s="46">
        <v>4967</v>
      </c>
      <c r="D9979" s="69" t="s">
        <v>29417</v>
      </c>
      <c r="E9979" s="51"/>
      <c r="F9979" s="114" t="str">
        <f>IF(INDEX(I.Facility.P2aIDNumber,4967)="","",INDEX(I.Facility.P2aIDNumber,4967))</f>
        <v/>
      </c>
      <c r="G9979" s="51"/>
      <c r="H9979" s="46" t="str">
        <f>IF(AND(I.Developer.P2a=TRUE,I.Facility.P2aFacilityCount&gt;=4967,F9979=""),"Incomplete","Complete")</f>
        <v>Complete</v>
      </c>
      <c r="I9979" s="48" t="s">
        <v>14344</v>
      </c>
    </row>
    <row r="9980" spans="2:9" ht="15" customHeight="1" x14ac:dyDescent="0.25">
      <c r="B9980" s="55" t="s">
        <v>280</v>
      </c>
      <c r="C9980" s="46">
        <v>4968</v>
      </c>
      <c r="D9980" s="69" t="s">
        <v>29417</v>
      </c>
      <c r="E9980" s="51"/>
      <c r="F9980" s="114" t="str">
        <f>IF(INDEX(I.Facility.P2aIDNumber,4968)="","",INDEX(I.Facility.P2aIDNumber,4968))</f>
        <v/>
      </c>
      <c r="G9980" s="51"/>
      <c r="H9980" s="46" t="str">
        <f>IF(AND(I.Developer.P2a=TRUE,I.Facility.P2aFacilityCount&gt;=4968,F9980=""),"Incomplete","Complete")</f>
        <v>Complete</v>
      </c>
      <c r="I9980" s="48" t="s">
        <v>14345</v>
      </c>
    </row>
    <row r="9981" spans="2:9" ht="15" customHeight="1" x14ac:dyDescent="0.25">
      <c r="B9981" s="55" t="s">
        <v>280</v>
      </c>
      <c r="C9981" s="46">
        <v>4969</v>
      </c>
      <c r="D9981" s="69" t="s">
        <v>29417</v>
      </c>
      <c r="E9981" s="51"/>
      <c r="F9981" s="114" t="str">
        <f>IF(INDEX(I.Facility.P2aIDNumber,4969)="","",INDEX(I.Facility.P2aIDNumber,4969))</f>
        <v/>
      </c>
      <c r="G9981" s="51"/>
      <c r="H9981" s="46" t="str">
        <f>IF(AND(I.Developer.P2a=TRUE,I.Facility.P2aFacilityCount&gt;=4969,F9981=""),"Incomplete","Complete")</f>
        <v>Complete</v>
      </c>
      <c r="I9981" s="48" t="s">
        <v>14346</v>
      </c>
    </row>
    <row r="9982" spans="2:9" ht="15" customHeight="1" x14ac:dyDescent="0.25">
      <c r="B9982" s="55" t="s">
        <v>280</v>
      </c>
      <c r="C9982" s="46">
        <v>4970</v>
      </c>
      <c r="D9982" s="69" t="s">
        <v>29417</v>
      </c>
      <c r="E9982" s="51"/>
      <c r="F9982" s="114" t="str">
        <f>IF(INDEX(I.Facility.P2aIDNumber,4970)="","",INDEX(I.Facility.P2aIDNumber,4970))</f>
        <v/>
      </c>
      <c r="G9982" s="51"/>
      <c r="H9982" s="46" t="str">
        <f>IF(AND(I.Developer.P2a=TRUE,I.Facility.P2aFacilityCount&gt;=4970,F9982=""),"Incomplete","Complete")</f>
        <v>Complete</v>
      </c>
      <c r="I9982" s="48" t="s">
        <v>14347</v>
      </c>
    </row>
    <row r="9983" spans="2:9" ht="15" customHeight="1" x14ac:dyDescent="0.25">
      <c r="B9983" s="55" t="s">
        <v>280</v>
      </c>
      <c r="C9983" s="46">
        <v>4971</v>
      </c>
      <c r="D9983" s="69" t="s">
        <v>29417</v>
      </c>
      <c r="E9983" s="51"/>
      <c r="F9983" s="114" t="str">
        <f>IF(INDEX(I.Facility.P2aIDNumber,4971)="","",INDEX(I.Facility.P2aIDNumber,4971))</f>
        <v/>
      </c>
      <c r="G9983" s="51"/>
      <c r="H9983" s="46" t="str">
        <f>IF(AND(I.Developer.P2a=TRUE,I.Facility.P2aFacilityCount&gt;=4971,F9983=""),"Incomplete","Complete")</f>
        <v>Complete</v>
      </c>
      <c r="I9983" s="48" t="s">
        <v>14348</v>
      </c>
    </row>
    <row r="9984" spans="2:9" ht="15" customHeight="1" x14ac:dyDescent="0.25">
      <c r="B9984" s="55" t="s">
        <v>280</v>
      </c>
      <c r="C9984" s="46">
        <v>4972</v>
      </c>
      <c r="D9984" s="69" t="s">
        <v>29417</v>
      </c>
      <c r="E9984" s="51"/>
      <c r="F9984" s="114" t="str">
        <f>IF(INDEX(I.Facility.P2aIDNumber,4972)="","",INDEX(I.Facility.P2aIDNumber,4972))</f>
        <v/>
      </c>
      <c r="G9984" s="51"/>
      <c r="H9984" s="46" t="str">
        <f>IF(AND(I.Developer.P2a=TRUE,I.Facility.P2aFacilityCount&gt;=4972,F9984=""),"Incomplete","Complete")</f>
        <v>Complete</v>
      </c>
      <c r="I9984" s="48" t="s">
        <v>14349</v>
      </c>
    </row>
    <row r="9985" spans="2:9" ht="15" customHeight="1" x14ac:dyDescent="0.25">
      <c r="B9985" s="55" t="s">
        <v>280</v>
      </c>
      <c r="C9985" s="46">
        <v>4973</v>
      </c>
      <c r="D9985" s="69" t="s">
        <v>29417</v>
      </c>
      <c r="E9985" s="51"/>
      <c r="F9985" s="114" t="str">
        <f>IF(INDEX(I.Facility.P2aIDNumber,4973)="","",INDEX(I.Facility.P2aIDNumber,4973))</f>
        <v/>
      </c>
      <c r="G9985" s="51"/>
      <c r="H9985" s="46" t="str">
        <f>IF(AND(I.Developer.P2a=TRUE,I.Facility.P2aFacilityCount&gt;=4973,F9985=""),"Incomplete","Complete")</f>
        <v>Complete</v>
      </c>
      <c r="I9985" s="48" t="s">
        <v>14350</v>
      </c>
    </row>
    <row r="9986" spans="2:9" ht="15" customHeight="1" x14ac:dyDescent="0.25">
      <c r="B9986" s="55" t="s">
        <v>280</v>
      </c>
      <c r="C9986" s="46">
        <v>4974</v>
      </c>
      <c r="D9986" s="69" t="s">
        <v>29417</v>
      </c>
      <c r="E9986" s="51"/>
      <c r="F9986" s="114" t="str">
        <f>IF(INDEX(I.Facility.P2aIDNumber,4974)="","",INDEX(I.Facility.P2aIDNumber,4974))</f>
        <v/>
      </c>
      <c r="G9986" s="51"/>
      <c r="H9986" s="46" t="str">
        <f>IF(AND(I.Developer.P2a=TRUE,I.Facility.P2aFacilityCount&gt;=4974,F9986=""),"Incomplete","Complete")</f>
        <v>Complete</v>
      </c>
      <c r="I9986" s="48" t="s">
        <v>14351</v>
      </c>
    </row>
    <row r="9987" spans="2:9" ht="15" customHeight="1" x14ac:dyDescent="0.25">
      <c r="B9987" s="55" t="s">
        <v>280</v>
      </c>
      <c r="C9987" s="46">
        <v>4975</v>
      </c>
      <c r="D9987" s="69" t="s">
        <v>29417</v>
      </c>
      <c r="E9987" s="51"/>
      <c r="F9987" s="114" t="str">
        <f>IF(INDEX(I.Facility.P2aIDNumber,4975)="","",INDEX(I.Facility.P2aIDNumber,4975))</f>
        <v/>
      </c>
      <c r="G9987" s="51"/>
      <c r="H9987" s="46" t="str">
        <f>IF(AND(I.Developer.P2a=TRUE,I.Facility.P2aFacilityCount&gt;=4975,F9987=""),"Incomplete","Complete")</f>
        <v>Complete</v>
      </c>
      <c r="I9987" s="48" t="s">
        <v>14352</v>
      </c>
    </row>
    <row r="9988" spans="2:9" ht="15" customHeight="1" x14ac:dyDescent="0.25">
      <c r="B9988" s="55" t="s">
        <v>280</v>
      </c>
      <c r="C9988" s="46">
        <v>4976</v>
      </c>
      <c r="D9988" s="69" t="s">
        <v>29417</v>
      </c>
      <c r="E9988" s="51"/>
      <c r="F9988" s="114" t="str">
        <f>IF(INDEX(I.Facility.P2aIDNumber,4976)="","",INDEX(I.Facility.P2aIDNumber,4976))</f>
        <v/>
      </c>
      <c r="G9988" s="51"/>
      <c r="H9988" s="46" t="str">
        <f>IF(AND(I.Developer.P2a=TRUE,I.Facility.P2aFacilityCount&gt;=4976,F9988=""),"Incomplete","Complete")</f>
        <v>Complete</v>
      </c>
      <c r="I9988" s="48" t="s">
        <v>14353</v>
      </c>
    </row>
    <row r="9989" spans="2:9" ht="15" customHeight="1" x14ac:dyDescent="0.25">
      <c r="B9989" s="55" t="s">
        <v>280</v>
      </c>
      <c r="C9989" s="46">
        <v>4977</v>
      </c>
      <c r="D9989" s="69" t="s">
        <v>29417</v>
      </c>
      <c r="E9989" s="51"/>
      <c r="F9989" s="114" t="str">
        <f>IF(INDEX(I.Facility.P2aIDNumber,4977)="","",INDEX(I.Facility.P2aIDNumber,4977))</f>
        <v/>
      </c>
      <c r="G9989" s="51"/>
      <c r="H9989" s="46" t="str">
        <f>IF(AND(I.Developer.P2a=TRUE,I.Facility.P2aFacilityCount&gt;=4977,F9989=""),"Incomplete","Complete")</f>
        <v>Complete</v>
      </c>
      <c r="I9989" s="48" t="s">
        <v>14354</v>
      </c>
    </row>
    <row r="9990" spans="2:9" ht="15" customHeight="1" x14ac:dyDescent="0.25">
      <c r="B9990" s="55" t="s">
        <v>280</v>
      </c>
      <c r="C9990" s="46">
        <v>4978</v>
      </c>
      <c r="D9990" s="69" t="s">
        <v>29417</v>
      </c>
      <c r="E9990" s="51"/>
      <c r="F9990" s="114" t="str">
        <f>IF(INDEX(I.Facility.P2aIDNumber,4978)="","",INDEX(I.Facility.P2aIDNumber,4978))</f>
        <v/>
      </c>
      <c r="G9990" s="51"/>
      <c r="H9990" s="46" t="str">
        <f>IF(AND(I.Developer.P2a=TRUE,I.Facility.P2aFacilityCount&gt;=4978,F9990=""),"Incomplete","Complete")</f>
        <v>Complete</v>
      </c>
      <c r="I9990" s="48" t="s">
        <v>14355</v>
      </c>
    </row>
    <row r="9991" spans="2:9" ht="15" customHeight="1" x14ac:dyDescent="0.25">
      <c r="B9991" s="55" t="s">
        <v>280</v>
      </c>
      <c r="C9991" s="46">
        <v>4979</v>
      </c>
      <c r="D9991" s="69" t="s">
        <v>29417</v>
      </c>
      <c r="E9991" s="51"/>
      <c r="F9991" s="114" t="str">
        <f>IF(INDEX(I.Facility.P2aIDNumber,4979)="","",INDEX(I.Facility.P2aIDNumber,4979))</f>
        <v/>
      </c>
      <c r="G9991" s="51"/>
      <c r="H9991" s="46" t="str">
        <f>IF(AND(I.Developer.P2a=TRUE,I.Facility.P2aFacilityCount&gt;=4979,F9991=""),"Incomplete","Complete")</f>
        <v>Complete</v>
      </c>
      <c r="I9991" s="48" t="s">
        <v>14356</v>
      </c>
    </row>
    <row r="9992" spans="2:9" ht="15" customHeight="1" x14ac:dyDescent="0.25">
      <c r="B9992" s="55" t="s">
        <v>280</v>
      </c>
      <c r="C9992" s="46">
        <v>4980</v>
      </c>
      <c r="D9992" s="69" t="s">
        <v>29417</v>
      </c>
      <c r="E9992" s="51"/>
      <c r="F9992" s="114" t="str">
        <f>IF(INDEX(I.Facility.P2aIDNumber,4980)="","",INDEX(I.Facility.P2aIDNumber,4980))</f>
        <v/>
      </c>
      <c r="G9992" s="51"/>
      <c r="H9992" s="46" t="str">
        <f>IF(AND(I.Developer.P2a=TRUE,I.Facility.P2aFacilityCount&gt;=4980,F9992=""),"Incomplete","Complete")</f>
        <v>Complete</v>
      </c>
      <c r="I9992" s="48" t="s">
        <v>14357</v>
      </c>
    </row>
    <row r="9993" spans="2:9" ht="15" customHeight="1" x14ac:dyDescent="0.25">
      <c r="B9993" s="55" t="s">
        <v>280</v>
      </c>
      <c r="C9993" s="46">
        <v>4981</v>
      </c>
      <c r="D9993" s="69" t="s">
        <v>29417</v>
      </c>
      <c r="E9993" s="51"/>
      <c r="F9993" s="114" t="str">
        <f>IF(INDEX(I.Facility.P2aIDNumber,4981)="","",INDEX(I.Facility.P2aIDNumber,4981))</f>
        <v/>
      </c>
      <c r="G9993" s="51"/>
      <c r="H9993" s="46" t="str">
        <f>IF(AND(I.Developer.P2a=TRUE,I.Facility.P2aFacilityCount&gt;=4981,F9993=""),"Incomplete","Complete")</f>
        <v>Complete</v>
      </c>
      <c r="I9993" s="48" t="s">
        <v>14358</v>
      </c>
    </row>
    <row r="9994" spans="2:9" ht="15" customHeight="1" x14ac:dyDescent="0.25">
      <c r="B9994" s="55" t="s">
        <v>280</v>
      </c>
      <c r="C9994" s="46">
        <v>4982</v>
      </c>
      <c r="D9994" s="69" t="s">
        <v>29417</v>
      </c>
      <c r="E9994" s="51"/>
      <c r="F9994" s="114" t="str">
        <f>IF(INDEX(I.Facility.P2aIDNumber,4982)="","",INDEX(I.Facility.P2aIDNumber,4982))</f>
        <v/>
      </c>
      <c r="G9994" s="51"/>
      <c r="H9994" s="46" t="str">
        <f>IF(AND(I.Developer.P2a=TRUE,I.Facility.P2aFacilityCount&gt;=4982,F9994=""),"Incomplete","Complete")</f>
        <v>Complete</v>
      </c>
      <c r="I9994" s="48" t="s">
        <v>14359</v>
      </c>
    </row>
    <row r="9995" spans="2:9" ht="15" customHeight="1" x14ac:dyDescent="0.25">
      <c r="B9995" s="55" t="s">
        <v>280</v>
      </c>
      <c r="C9995" s="46">
        <v>4983</v>
      </c>
      <c r="D9995" s="69" t="s">
        <v>29417</v>
      </c>
      <c r="E9995" s="51"/>
      <c r="F9995" s="114" t="str">
        <f>IF(INDEX(I.Facility.P2aIDNumber,4983)="","",INDEX(I.Facility.P2aIDNumber,4983))</f>
        <v/>
      </c>
      <c r="G9995" s="51"/>
      <c r="H9995" s="46" t="str">
        <f>IF(AND(I.Developer.P2a=TRUE,I.Facility.P2aFacilityCount&gt;=4983,F9995=""),"Incomplete","Complete")</f>
        <v>Complete</v>
      </c>
      <c r="I9995" s="48" t="s">
        <v>14360</v>
      </c>
    </row>
    <row r="9996" spans="2:9" ht="15" customHeight="1" x14ac:dyDescent="0.25">
      <c r="B9996" s="55" t="s">
        <v>280</v>
      </c>
      <c r="C9996" s="46">
        <v>4984</v>
      </c>
      <c r="D9996" s="69" t="s">
        <v>29417</v>
      </c>
      <c r="E9996" s="51"/>
      <c r="F9996" s="114" t="str">
        <f>IF(INDEX(I.Facility.P2aIDNumber,4984)="","",INDEX(I.Facility.P2aIDNumber,4984))</f>
        <v/>
      </c>
      <c r="G9996" s="51"/>
      <c r="H9996" s="46" t="str">
        <f>IF(AND(I.Developer.P2a=TRUE,I.Facility.P2aFacilityCount&gt;=4984,F9996=""),"Incomplete","Complete")</f>
        <v>Complete</v>
      </c>
      <c r="I9996" s="48" t="s">
        <v>14361</v>
      </c>
    </row>
    <row r="9997" spans="2:9" ht="15" customHeight="1" x14ac:dyDescent="0.25">
      <c r="B9997" s="55" t="s">
        <v>280</v>
      </c>
      <c r="C9997" s="46">
        <v>4985</v>
      </c>
      <c r="D9997" s="69" t="s">
        <v>29417</v>
      </c>
      <c r="E9997" s="51"/>
      <c r="F9997" s="114" t="str">
        <f>IF(INDEX(I.Facility.P2aIDNumber,4985)="","",INDEX(I.Facility.P2aIDNumber,4985))</f>
        <v/>
      </c>
      <c r="G9997" s="51"/>
      <c r="H9997" s="46" t="str">
        <f>IF(AND(I.Developer.P2a=TRUE,I.Facility.P2aFacilityCount&gt;=4985,F9997=""),"Incomplete","Complete")</f>
        <v>Complete</v>
      </c>
      <c r="I9997" s="48" t="s">
        <v>14362</v>
      </c>
    </row>
    <row r="9998" spans="2:9" ht="15" customHeight="1" x14ac:dyDescent="0.25">
      <c r="B9998" s="55" t="s">
        <v>280</v>
      </c>
      <c r="C9998" s="46">
        <v>4986</v>
      </c>
      <c r="D9998" s="69" t="s">
        <v>29417</v>
      </c>
      <c r="E9998" s="51"/>
      <c r="F9998" s="114" t="str">
        <f>IF(INDEX(I.Facility.P2aIDNumber,4986)="","",INDEX(I.Facility.P2aIDNumber,4986))</f>
        <v/>
      </c>
      <c r="G9998" s="51"/>
      <c r="H9998" s="46" t="str">
        <f>IF(AND(I.Developer.P2a=TRUE,I.Facility.P2aFacilityCount&gt;=4986,F9998=""),"Incomplete","Complete")</f>
        <v>Complete</v>
      </c>
      <c r="I9998" s="48" t="s">
        <v>14363</v>
      </c>
    </row>
    <row r="9999" spans="2:9" ht="15" customHeight="1" x14ac:dyDescent="0.25">
      <c r="B9999" s="55" t="s">
        <v>280</v>
      </c>
      <c r="C9999" s="46">
        <v>4987</v>
      </c>
      <c r="D9999" s="69" t="s">
        <v>29417</v>
      </c>
      <c r="E9999" s="51"/>
      <c r="F9999" s="114" t="str">
        <f>IF(INDEX(I.Facility.P2aIDNumber,4987)="","",INDEX(I.Facility.P2aIDNumber,4987))</f>
        <v/>
      </c>
      <c r="G9999" s="51"/>
      <c r="H9999" s="46" t="str">
        <f>IF(AND(I.Developer.P2a=TRUE,I.Facility.P2aFacilityCount&gt;=4987,F9999=""),"Incomplete","Complete")</f>
        <v>Complete</v>
      </c>
      <c r="I9999" s="48" t="s">
        <v>14364</v>
      </c>
    </row>
    <row r="10000" spans="2:9" ht="15" customHeight="1" x14ac:dyDescent="0.25">
      <c r="B10000" s="55" t="s">
        <v>280</v>
      </c>
      <c r="C10000" s="46">
        <v>4988</v>
      </c>
      <c r="D10000" s="69" t="s">
        <v>29417</v>
      </c>
      <c r="E10000" s="51"/>
      <c r="F10000" s="114" t="str">
        <f>IF(INDEX(I.Facility.P2aIDNumber,4988)="","",INDEX(I.Facility.P2aIDNumber,4988))</f>
        <v/>
      </c>
      <c r="G10000" s="51"/>
      <c r="H10000" s="46" t="str">
        <f>IF(AND(I.Developer.P2a=TRUE,I.Facility.P2aFacilityCount&gt;=4988,F10000=""),"Incomplete","Complete")</f>
        <v>Complete</v>
      </c>
      <c r="I10000" s="48" t="s">
        <v>14365</v>
      </c>
    </row>
    <row r="10001" spans="2:9" ht="15" customHeight="1" x14ac:dyDescent="0.25">
      <c r="B10001" s="55" t="s">
        <v>280</v>
      </c>
      <c r="C10001" s="46">
        <v>4989</v>
      </c>
      <c r="D10001" s="69" t="s">
        <v>29417</v>
      </c>
      <c r="E10001" s="51"/>
      <c r="F10001" s="114" t="str">
        <f>IF(INDEX(I.Facility.P2aIDNumber,4989)="","",INDEX(I.Facility.P2aIDNumber,4989))</f>
        <v/>
      </c>
      <c r="G10001" s="51"/>
      <c r="H10001" s="46" t="str">
        <f>IF(AND(I.Developer.P2a=TRUE,I.Facility.P2aFacilityCount&gt;=4989,F10001=""),"Incomplete","Complete")</f>
        <v>Complete</v>
      </c>
      <c r="I10001" s="48" t="s">
        <v>14366</v>
      </c>
    </row>
    <row r="10002" spans="2:9" ht="15" customHeight="1" x14ac:dyDescent="0.25">
      <c r="B10002" s="55" t="s">
        <v>280</v>
      </c>
      <c r="C10002" s="46">
        <v>4990</v>
      </c>
      <c r="D10002" s="69" t="s">
        <v>29417</v>
      </c>
      <c r="E10002" s="51"/>
      <c r="F10002" s="114" t="str">
        <f>IF(INDEX(I.Facility.P2aIDNumber,4990)="","",INDEX(I.Facility.P2aIDNumber,4990))</f>
        <v/>
      </c>
      <c r="G10002" s="51"/>
      <c r="H10002" s="46" t="str">
        <f>IF(AND(I.Developer.P2a=TRUE,I.Facility.P2aFacilityCount&gt;=4990,F10002=""),"Incomplete","Complete")</f>
        <v>Complete</v>
      </c>
      <c r="I10002" s="48" t="s">
        <v>14367</v>
      </c>
    </row>
    <row r="10003" spans="2:9" ht="15" customHeight="1" x14ac:dyDescent="0.25">
      <c r="B10003" s="55" t="s">
        <v>280</v>
      </c>
      <c r="C10003" s="46">
        <v>4991</v>
      </c>
      <c r="D10003" s="69" t="s">
        <v>29417</v>
      </c>
      <c r="E10003" s="51"/>
      <c r="F10003" s="114" t="str">
        <f>IF(INDEX(I.Facility.P2aIDNumber,4991)="","",INDEX(I.Facility.P2aIDNumber,4991))</f>
        <v/>
      </c>
      <c r="G10003" s="51"/>
      <c r="H10003" s="46" t="str">
        <f>IF(AND(I.Developer.P2a=TRUE,I.Facility.P2aFacilityCount&gt;=4991,F10003=""),"Incomplete","Complete")</f>
        <v>Complete</v>
      </c>
      <c r="I10003" s="48" t="s">
        <v>14368</v>
      </c>
    </row>
    <row r="10004" spans="2:9" ht="15" customHeight="1" x14ac:dyDescent="0.25">
      <c r="B10004" s="55" t="s">
        <v>280</v>
      </c>
      <c r="C10004" s="46">
        <v>4992</v>
      </c>
      <c r="D10004" s="69" t="s">
        <v>29417</v>
      </c>
      <c r="E10004" s="51"/>
      <c r="F10004" s="114" t="str">
        <f>IF(INDEX(I.Facility.P2aIDNumber,4992)="","",INDEX(I.Facility.P2aIDNumber,4992))</f>
        <v/>
      </c>
      <c r="G10004" s="51"/>
      <c r="H10004" s="46" t="str">
        <f>IF(AND(I.Developer.P2a=TRUE,I.Facility.P2aFacilityCount&gt;=4992,F10004=""),"Incomplete","Complete")</f>
        <v>Complete</v>
      </c>
      <c r="I10004" s="48" t="s">
        <v>14369</v>
      </c>
    </row>
    <row r="10005" spans="2:9" ht="15" customHeight="1" x14ac:dyDescent="0.25">
      <c r="B10005" s="55" t="s">
        <v>280</v>
      </c>
      <c r="C10005" s="46">
        <v>4993</v>
      </c>
      <c r="D10005" s="69" t="s">
        <v>29417</v>
      </c>
      <c r="E10005" s="51"/>
      <c r="F10005" s="114" t="str">
        <f>IF(INDEX(I.Facility.P2aIDNumber,4993)="","",INDEX(I.Facility.P2aIDNumber,4993))</f>
        <v/>
      </c>
      <c r="G10005" s="51"/>
      <c r="H10005" s="46" t="str">
        <f>IF(AND(I.Developer.P2a=TRUE,I.Facility.P2aFacilityCount&gt;=4993,F10005=""),"Incomplete","Complete")</f>
        <v>Complete</v>
      </c>
      <c r="I10005" s="48" t="s">
        <v>14370</v>
      </c>
    </row>
    <row r="10006" spans="2:9" ht="15" customHeight="1" x14ac:dyDescent="0.25">
      <c r="B10006" s="55" t="s">
        <v>280</v>
      </c>
      <c r="C10006" s="46">
        <v>4994</v>
      </c>
      <c r="D10006" s="69" t="s">
        <v>29417</v>
      </c>
      <c r="E10006" s="51"/>
      <c r="F10006" s="114" t="str">
        <f>IF(INDEX(I.Facility.P2aIDNumber,4994)="","",INDEX(I.Facility.P2aIDNumber,4994))</f>
        <v/>
      </c>
      <c r="G10006" s="51"/>
      <c r="H10006" s="46" t="str">
        <f>IF(AND(I.Developer.P2a=TRUE,I.Facility.P2aFacilityCount&gt;=4994,F10006=""),"Incomplete","Complete")</f>
        <v>Complete</v>
      </c>
      <c r="I10006" s="48" t="s">
        <v>14371</v>
      </c>
    </row>
    <row r="10007" spans="2:9" ht="15" customHeight="1" x14ac:dyDescent="0.25">
      <c r="B10007" s="55" t="s">
        <v>280</v>
      </c>
      <c r="C10007" s="46">
        <v>4995</v>
      </c>
      <c r="D10007" s="69" t="s">
        <v>29417</v>
      </c>
      <c r="E10007" s="51"/>
      <c r="F10007" s="114" t="str">
        <f>IF(INDEX(I.Facility.P2aIDNumber,4995)="","",INDEX(I.Facility.P2aIDNumber,4995))</f>
        <v/>
      </c>
      <c r="G10007" s="51"/>
      <c r="H10007" s="46" t="str">
        <f>IF(AND(I.Developer.P2a=TRUE,I.Facility.P2aFacilityCount&gt;=4995,F10007=""),"Incomplete","Complete")</f>
        <v>Complete</v>
      </c>
      <c r="I10007" s="48" t="s">
        <v>14372</v>
      </c>
    </row>
    <row r="10008" spans="2:9" ht="15" customHeight="1" x14ac:dyDescent="0.25">
      <c r="B10008" s="55" t="s">
        <v>280</v>
      </c>
      <c r="C10008" s="46">
        <v>4996</v>
      </c>
      <c r="D10008" s="69" t="s">
        <v>29417</v>
      </c>
      <c r="E10008" s="51"/>
      <c r="F10008" s="114" t="str">
        <f>IF(INDEX(I.Facility.P2aIDNumber,4996)="","",INDEX(I.Facility.P2aIDNumber,4996))</f>
        <v/>
      </c>
      <c r="G10008" s="51"/>
      <c r="H10008" s="46" t="str">
        <f>IF(AND(I.Developer.P2a=TRUE,I.Facility.P2aFacilityCount&gt;=4996,F10008=""),"Incomplete","Complete")</f>
        <v>Complete</v>
      </c>
      <c r="I10008" s="48" t="s">
        <v>14373</v>
      </c>
    </row>
    <row r="10009" spans="2:9" ht="15" customHeight="1" x14ac:dyDescent="0.25">
      <c r="B10009" s="55" t="s">
        <v>280</v>
      </c>
      <c r="C10009" s="46">
        <v>4997</v>
      </c>
      <c r="D10009" s="69" t="s">
        <v>29417</v>
      </c>
      <c r="E10009" s="51"/>
      <c r="F10009" s="114" t="str">
        <f>IF(INDEX(I.Facility.P2aIDNumber,4997)="","",INDEX(I.Facility.P2aIDNumber,4997))</f>
        <v/>
      </c>
      <c r="G10009" s="51"/>
      <c r="H10009" s="46" t="str">
        <f>IF(AND(I.Developer.P2a=TRUE,I.Facility.P2aFacilityCount&gt;=4997,F10009=""),"Incomplete","Complete")</f>
        <v>Complete</v>
      </c>
      <c r="I10009" s="48" t="s">
        <v>14374</v>
      </c>
    </row>
    <row r="10010" spans="2:9" ht="15" customHeight="1" x14ac:dyDescent="0.25">
      <c r="B10010" s="55" t="s">
        <v>280</v>
      </c>
      <c r="C10010" s="46">
        <v>4998</v>
      </c>
      <c r="D10010" s="69" t="s">
        <v>29417</v>
      </c>
      <c r="E10010" s="51"/>
      <c r="F10010" s="114" t="str">
        <f>IF(INDEX(I.Facility.P2aIDNumber,4998)="","",INDEX(I.Facility.P2aIDNumber,4998))</f>
        <v/>
      </c>
      <c r="G10010" s="51"/>
      <c r="H10010" s="46" t="str">
        <f>IF(AND(I.Developer.P2a=TRUE,I.Facility.P2aFacilityCount&gt;=4998,F10010=""),"Incomplete","Complete")</f>
        <v>Complete</v>
      </c>
      <c r="I10010" s="48" t="s">
        <v>14375</v>
      </c>
    </row>
    <row r="10011" spans="2:9" ht="15" customHeight="1" x14ac:dyDescent="0.25">
      <c r="B10011" s="55" t="s">
        <v>280</v>
      </c>
      <c r="C10011" s="46">
        <v>4999</v>
      </c>
      <c r="D10011" s="69" t="s">
        <v>29417</v>
      </c>
      <c r="E10011" s="51"/>
      <c r="F10011" s="114" t="str">
        <f>IF(INDEX(I.Facility.P2aIDNumber,4999)="","",INDEX(I.Facility.P2aIDNumber,4999))</f>
        <v/>
      </c>
      <c r="G10011" s="51"/>
      <c r="H10011" s="46" t="str">
        <f>IF(AND(I.Developer.P2a=TRUE,I.Facility.P2aFacilityCount&gt;=4999,F10011=""),"Incomplete","Complete")</f>
        <v>Complete</v>
      </c>
      <c r="I10011" s="48" t="s">
        <v>14376</v>
      </c>
    </row>
    <row r="10012" spans="2:9" ht="15" customHeight="1" x14ac:dyDescent="0.25">
      <c r="B10012" s="56" t="s">
        <v>280</v>
      </c>
      <c r="C10012" s="57">
        <v>5000</v>
      </c>
      <c r="D10012" s="71" t="s">
        <v>29417</v>
      </c>
      <c r="E10012" s="58"/>
      <c r="F10012" s="115" t="str">
        <f>IF(INDEX(I.Facility.P2aIDNumber,5000)="","",INDEX(I.Facility.P2aIDNumber,5000))</f>
        <v/>
      </c>
      <c r="G10012" s="58"/>
      <c r="H10012" s="57" t="str">
        <f>IF(AND(I.Developer.P2a=TRUE,I.Facility.P2aFacilityCount&gt;=5000,F10012=""),"Incomplete","Complete")</f>
        <v>Complete</v>
      </c>
      <c r="I10012" s="49" t="s">
        <v>14377</v>
      </c>
    </row>
    <row r="10013" spans="2:9" ht="15" customHeight="1" x14ac:dyDescent="0.25">
      <c r="B10013" s="55" t="s">
        <v>281</v>
      </c>
      <c r="C10013" s="46">
        <v>1</v>
      </c>
      <c r="D10013" s="69" t="s">
        <v>29418</v>
      </c>
      <c r="E10013" s="51"/>
      <c r="F10013" s="114" t="str">
        <f>IF(INDEX(I.Facility.P2bIDNumber,1)="","",INDEX(I.Facility.P2bIDNumber,1))</f>
        <v/>
      </c>
      <c r="G10013" s="51"/>
      <c r="H10013" s="46" t="str">
        <f>IF(AND(I.Developer.P2b=TRUE,I.Facility.P2bFacilityCount&gt;=1,F10013=""),"Incomplete","Complete")</f>
        <v>Complete</v>
      </c>
      <c r="I10013" s="48" t="s">
        <v>14378</v>
      </c>
    </row>
    <row r="10014" spans="2:9" ht="15" customHeight="1" x14ac:dyDescent="0.25">
      <c r="B10014" s="55" t="s">
        <v>281</v>
      </c>
      <c r="C10014" s="46">
        <v>2</v>
      </c>
      <c r="D10014" s="69" t="s">
        <v>29418</v>
      </c>
      <c r="E10014" s="51"/>
      <c r="F10014" s="114" t="str">
        <f>IF(INDEX(I.Facility.P2bIDNumber,2)="","",INDEX(I.Facility.P2bIDNumber,2))</f>
        <v/>
      </c>
      <c r="G10014" s="51"/>
      <c r="H10014" s="46" t="str">
        <f>IF(AND(I.Developer.P2b=TRUE,I.Facility.P2bFacilityCount&gt;=2,F10014=""),"Incomplete","Complete")</f>
        <v>Complete</v>
      </c>
      <c r="I10014" s="48" t="s">
        <v>14379</v>
      </c>
    </row>
    <row r="10015" spans="2:9" ht="15" customHeight="1" x14ac:dyDescent="0.25">
      <c r="B10015" s="55" t="s">
        <v>281</v>
      </c>
      <c r="C10015" s="46">
        <v>3</v>
      </c>
      <c r="D10015" s="69" t="s">
        <v>29418</v>
      </c>
      <c r="E10015" s="51"/>
      <c r="F10015" s="114" t="str">
        <f>IF(INDEX(I.Facility.P2bIDNumber,3)="","",INDEX(I.Facility.P2bIDNumber,3))</f>
        <v/>
      </c>
      <c r="G10015" s="51"/>
      <c r="H10015" s="46" t="str">
        <f>IF(AND(I.Developer.P2b=TRUE,I.Facility.P2bFacilityCount&gt;=3,F10015=""),"Incomplete","Complete")</f>
        <v>Complete</v>
      </c>
      <c r="I10015" s="48" t="s">
        <v>14380</v>
      </c>
    </row>
    <row r="10016" spans="2:9" ht="15" customHeight="1" x14ac:dyDescent="0.25">
      <c r="B10016" s="55" t="s">
        <v>281</v>
      </c>
      <c r="C10016" s="46">
        <v>4</v>
      </c>
      <c r="D10016" s="69" t="s">
        <v>29418</v>
      </c>
      <c r="E10016" s="51"/>
      <c r="F10016" s="114" t="str">
        <f>IF(INDEX(I.Facility.P2bIDNumber,4)="","",INDEX(I.Facility.P2bIDNumber,4))</f>
        <v/>
      </c>
      <c r="G10016" s="51"/>
      <c r="H10016" s="46" t="str">
        <f>IF(AND(I.Developer.P2b=TRUE,I.Facility.P2bFacilityCount&gt;=4,F10016=""),"Incomplete","Complete")</f>
        <v>Complete</v>
      </c>
      <c r="I10016" s="48" t="s">
        <v>14381</v>
      </c>
    </row>
    <row r="10017" spans="2:9" ht="15" customHeight="1" x14ac:dyDescent="0.25">
      <c r="B10017" s="55" t="s">
        <v>281</v>
      </c>
      <c r="C10017" s="46">
        <v>5</v>
      </c>
      <c r="D10017" s="69" t="s">
        <v>29418</v>
      </c>
      <c r="E10017" s="51"/>
      <c r="F10017" s="114" t="str">
        <f>IF(INDEX(I.Facility.P2bIDNumber,5)="","",INDEX(I.Facility.P2bIDNumber,5))</f>
        <v/>
      </c>
      <c r="G10017" s="51"/>
      <c r="H10017" s="46" t="str">
        <f>IF(AND(I.Developer.P2b=TRUE,I.Facility.P2bFacilityCount&gt;=5,F10017=""),"Incomplete","Complete")</f>
        <v>Complete</v>
      </c>
      <c r="I10017" s="48" t="s">
        <v>14382</v>
      </c>
    </row>
    <row r="10018" spans="2:9" ht="15" customHeight="1" x14ac:dyDescent="0.25">
      <c r="B10018" s="55" t="s">
        <v>281</v>
      </c>
      <c r="C10018" s="46">
        <v>6</v>
      </c>
      <c r="D10018" s="69" t="s">
        <v>29418</v>
      </c>
      <c r="E10018" s="51"/>
      <c r="F10018" s="114" t="str">
        <f>IF(INDEX(I.Facility.P2bIDNumber,6)="","",INDEX(I.Facility.P2bIDNumber,6))</f>
        <v/>
      </c>
      <c r="G10018" s="51"/>
      <c r="H10018" s="46" t="str">
        <f>IF(AND(I.Developer.P2b=TRUE,I.Facility.P2bFacilityCount&gt;=6,F10018=""),"Incomplete","Complete")</f>
        <v>Complete</v>
      </c>
      <c r="I10018" s="48" t="s">
        <v>14383</v>
      </c>
    </row>
    <row r="10019" spans="2:9" ht="15" customHeight="1" x14ac:dyDescent="0.25">
      <c r="B10019" s="55" t="s">
        <v>281</v>
      </c>
      <c r="C10019" s="46">
        <v>7</v>
      </c>
      <c r="D10019" s="69" t="s">
        <v>29418</v>
      </c>
      <c r="E10019" s="51"/>
      <c r="F10019" s="114" t="str">
        <f>IF(INDEX(I.Facility.P2bIDNumber,7)="","",INDEX(I.Facility.P2bIDNumber,7))</f>
        <v/>
      </c>
      <c r="G10019" s="51"/>
      <c r="H10019" s="46" t="str">
        <f>IF(AND(I.Developer.P2b=TRUE,I.Facility.P2bFacilityCount&gt;=7,F10019=""),"Incomplete","Complete")</f>
        <v>Complete</v>
      </c>
      <c r="I10019" s="48" t="s">
        <v>14384</v>
      </c>
    </row>
    <row r="10020" spans="2:9" ht="15" customHeight="1" x14ac:dyDescent="0.25">
      <c r="B10020" s="55" t="s">
        <v>281</v>
      </c>
      <c r="C10020" s="46">
        <v>8</v>
      </c>
      <c r="D10020" s="69" t="s">
        <v>29418</v>
      </c>
      <c r="E10020" s="51"/>
      <c r="F10020" s="114" t="str">
        <f>IF(INDEX(I.Facility.P2bIDNumber,8)="","",INDEX(I.Facility.P2bIDNumber,8))</f>
        <v/>
      </c>
      <c r="G10020" s="51"/>
      <c r="H10020" s="46" t="str">
        <f>IF(AND(I.Developer.P2b=TRUE,I.Facility.P2bFacilityCount&gt;=8,F10020=""),"Incomplete","Complete")</f>
        <v>Complete</v>
      </c>
      <c r="I10020" s="48" t="s">
        <v>14385</v>
      </c>
    </row>
    <row r="10021" spans="2:9" ht="15" customHeight="1" x14ac:dyDescent="0.25">
      <c r="B10021" s="55" t="s">
        <v>281</v>
      </c>
      <c r="C10021" s="46">
        <v>9</v>
      </c>
      <c r="D10021" s="69" t="s">
        <v>29418</v>
      </c>
      <c r="E10021" s="51"/>
      <c r="F10021" s="114" t="str">
        <f>IF(INDEX(I.Facility.P2bIDNumber,9)="","",INDEX(I.Facility.P2bIDNumber,9))</f>
        <v/>
      </c>
      <c r="G10021" s="51"/>
      <c r="H10021" s="46" t="str">
        <f>IF(AND(I.Developer.P2b=TRUE,I.Facility.P2bFacilityCount&gt;=9,F10021=""),"Incomplete","Complete")</f>
        <v>Complete</v>
      </c>
      <c r="I10021" s="48" t="s">
        <v>14386</v>
      </c>
    </row>
    <row r="10022" spans="2:9" ht="15" customHeight="1" x14ac:dyDescent="0.25">
      <c r="B10022" s="55" t="s">
        <v>281</v>
      </c>
      <c r="C10022" s="46">
        <v>10</v>
      </c>
      <c r="D10022" s="69" t="s">
        <v>29418</v>
      </c>
      <c r="E10022" s="51"/>
      <c r="F10022" s="114" t="str">
        <f>IF(INDEX(I.Facility.P2bIDNumber,10)="","",INDEX(I.Facility.P2bIDNumber,10))</f>
        <v/>
      </c>
      <c r="G10022" s="51"/>
      <c r="H10022" s="46" t="str">
        <f>IF(AND(I.Developer.P2b=TRUE,I.Facility.P2bFacilityCount&gt;=10,F10022=""),"Incomplete","Complete")</f>
        <v>Complete</v>
      </c>
      <c r="I10022" s="48" t="s">
        <v>14387</v>
      </c>
    </row>
    <row r="10023" spans="2:9" ht="15" customHeight="1" x14ac:dyDescent="0.25">
      <c r="B10023" s="55" t="s">
        <v>281</v>
      </c>
      <c r="C10023" s="46">
        <v>11</v>
      </c>
      <c r="D10023" s="69" t="s">
        <v>29418</v>
      </c>
      <c r="E10023" s="51"/>
      <c r="F10023" s="114" t="str">
        <f>IF(INDEX(I.Facility.P2bIDNumber,11)="","",INDEX(I.Facility.P2bIDNumber,11))</f>
        <v/>
      </c>
      <c r="G10023" s="51"/>
      <c r="H10023" s="46" t="str">
        <f>IF(AND(I.Developer.P2b=TRUE,I.Facility.P2bFacilityCount&gt;=11,F10023=""),"Incomplete","Complete")</f>
        <v>Complete</v>
      </c>
      <c r="I10023" s="48" t="s">
        <v>14388</v>
      </c>
    </row>
    <row r="10024" spans="2:9" ht="15" customHeight="1" x14ac:dyDescent="0.25">
      <c r="B10024" s="55" t="s">
        <v>281</v>
      </c>
      <c r="C10024" s="46">
        <v>12</v>
      </c>
      <c r="D10024" s="69" t="s">
        <v>29418</v>
      </c>
      <c r="E10024" s="51"/>
      <c r="F10024" s="114" t="str">
        <f>IF(INDEX(I.Facility.P2bIDNumber,12)="","",INDEX(I.Facility.P2bIDNumber,12))</f>
        <v/>
      </c>
      <c r="G10024" s="51"/>
      <c r="H10024" s="46" t="str">
        <f>IF(AND(I.Developer.P2b=TRUE,I.Facility.P2bFacilityCount&gt;=12,F10024=""),"Incomplete","Complete")</f>
        <v>Complete</v>
      </c>
      <c r="I10024" s="48" t="s">
        <v>14389</v>
      </c>
    </row>
    <row r="10025" spans="2:9" ht="15" customHeight="1" x14ac:dyDescent="0.25">
      <c r="B10025" s="55" t="s">
        <v>281</v>
      </c>
      <c r="C10025" s="46">
        <v>13</v>
      </c>
      <c r="D10025" s="69" t="s">
        <v>29418</v>
      </c>
      <c r="E10025" s="51"/>
      <c r="F10025" s="114" t="str">
        <f>IF(INDEX(I.Facility.P2bIDNumber,13)="","",INDEX(I.Facility.P2bIDNumber,13))</f>
        <v/>
      </c>
      <c r="G10025" s="51"/>
      <c r="H10025" s="46" t="str">
        <f>IF(AND(I.Developer.P2b=TRUE,I.Facility.P2bFacilityCount&gt;=13,F10025=""),"Incomplete","Complete")</f>
        <v>Complete</v>
      </c>
      <c r="I10025" s="48" t="s">
        <v>14390</v>
      </c>
    </row>
    <row r="10026" spans="2:9" ht="15" customHeight="1" x14ac:dyDescent="0.25">
      <c r="B10026" s="55" t="s">
        <v>281</v>
      </c>
      <c r="C10026" s="46">
        <v>14</v>
      </c>
      <c r="D10026" s="69" t="s">
        <v>29418</v>
      </c>
      <c r="E10026" s="51"/>
      <c r="F10026" s="114" t="str">
        <f>IF(INDEX(I.Facility.P2bIDNumber,14)="","",INDEX(I.Facility.P2bIDNumber,14))</f>
        <v/>
      </c>
      <c r="G10026" s="51"/>
      <c r="H10026" s="46" t="str">
        <f>IF(AND(I.Developer.P2b=TRUE,I.Facility.P2bFacilityCount&gt;=14,F10026=""),"Incomplete","Complete")</f>
        <v>Complete</v>
      </c>
      <c r="I10026" s="48" t="s">
        <v>14391</v>
      </c>
    </row>
    <row r="10027" spans="2:9" ht="15" customHeight="1" x14ac:dyDescent="0.25">
      <c r="B10027" s="55" t="s">
        <v>281</v>
      </c>
      <c r="C10027" s="46">
        <v>15</v>
      </c>
      <c r="D10027" s="69" t="s">
        <v>29418</v>
      </c>
      <c r="E10027" s="51"/>
      <c r="F10027" s="114" t="str">
        <f>IF(INDEX(I.Facility.P2bIDNumber,15)="","",INDEX(I.Facility.P2bIDNumber,15))</f>
        <v/>
      </c>
      <c r="G10027" s="51"/>
      <c r="H10027" s="46" t="str">
        <f>IF(AND(I.Developer.P2b=TRUE,I.Facility.P2bFacilityCount&gt;=15,F10027=""),"Incomplete","Complete")</f>
        <v>Complete</v>
      </c>
      <c r="I10027" s="48" t="s">
        <v>14392</v>
      </c>
    </row>
    <row r="10028" spans="2:9" ht="15" customHeight="1" x14ac:dyDescent="0.25">
      <c r="B10028" s="55" t="s">
        <v>281</v>
      </c>
      <c r="C10028" s="46">
        <v>16</v>
      </c>
      <c r="D10028" s="69" t="s">
        <v>29418</v>
      </c>
      <c r="E10028" s="51"/>
      <c r="F10028" s="114" t="str">
        <f>IF(INDEX(I.Facility.P2bIDNumber,16)="","",INDEX(I.Facility.P2bIDNumber,16))</f>
        <v/>
      </c>
      <c r="G10028" s="51"/>
      <c r="H10028" s="46" t="str">
        <f>IF(AND(I.Developer.P2b=TRUE,I.Facility.P2bFacilityCount&gt;=16,F10028=""),"Incomplete","Complete")</f>
        <v>Complete</v>
      </c>
      <c r="I10028" s="48" t="s">
        <v>14393</v>
      </c>
    </row>
    <row r="10029" spans="2:9" ht="15" customHeight="1" x14ac:dyDescent="0.25">
      <c r="B10029" s="55" t="s">
        <v>281</v>
      </c>
      <c r="C10029" s="46">
        <v>17</v>
      </c>
      <c r="D10029" s="69" t="s">
        <v>29418</v>
      </c>
      <c r="E10029" s="51"/>
      <c r="F10029" s="114" t="str">
        <f>IF(INDEX(I.Facility.P2bIDNumber,17)="","",INDEX(I.Facility.P2bIDNumber,17))</f>
        <v/>
      </c>
      <c r="G10029" s="51"/>
      <c r="H10029" s="46" t="str">
        <f>IF(AND(I.Developer.P2b=TRUE,I.Facility.P2bFacilityCount&gt;=17,F10029=""),"Incomplete","Complete")</f>
        <v>Complete</v>
      </c>
      <c r="I10029" s="48" t="s">
        <v>14394</v>
      </c>
    </row>
    <row r="10030" spans="2:9" ht="15" customHeight="1" x14ac:dyDescent="0.25">
      <c r="B10030" s="55" t="s">
        <v>281</v>
      </c>
      <c r="C10030" s="46">
        <v>18</v>
      </c>
      <c r="D10030" s="69" t="s">
        <v>29418</v>
      </c>
      <c r="E10030" s="51"/>
      <c r="F10030" s="114" t="str">
        <f>IF(INDEX(I.Facility.P2bIDNumber,18)="","",INDEX(I.Facility.P2bIDNumber,18))</f>
        <v/>
      </c>
      <c r="G10030" s="51"/>
      <c r="H10030" s="46" t="str">
        <f>IF(AND(I.Developer.P2b=TRUE,I.Facility.P2bFacilityCount&gt;=18,F10030=""),"Incomplete","Complete")</f>
        <v>Complete</v>
      </c>
      <c r="I10030" s="48" t="s">
        <v>14395</v>
      </c>
    </row>
    <row r="10031" spans="2:9" ht="15" customHeight="1" x14ac:dyDescent="0.25">
      <c r="B10031" s="55" t="s">
        <v>281</v>
      </c>
      <c r="C10031" s="46">
        <v>19</v>
      </c>
      <c r="D10031" s="69" t="s">
        <v>29418</v>
      </c>
      <c r="E10031" s="51"/>
      <c r="F10031" s="114" t="str">
        <f>IF(INDEX(I.Facility.P2bIDNumber,19)="","",INDEX(I.Facility.P2bIDNumber,19))</f>
        <v/>
      </c>
      <c r="G10031" s="51"/>
      <c r="H10031" s="46" t="str">
        <f>IF(AND(I.Developer.P2b=TRUE,I.Facility.P2bFacilityCount&gt;=19,F10031=""),"Incomplete","Complete")</f>
        <v>Complete</v>
      </c>
      <c r="I10031" s="48" t="s">
        <v>14396</v>
      </c>
    </row>
    <row r="10032" spans="2:9" ht="15" customHeight="1" x14ac:dyDescent="0.25">
      <c r="B10032" s="55" t="s">
        <v>281</v>
      </c>
      <c r="C10032" s="46">
        <v>20</v>
      </c>
      <c r="D10032" s="69" t="s">
        <v>29418</v>
      </c>
      <c r="E10032" s="51"/>
      <c r="F10032" s="114" t="str">
        <f>IF(INDEX(I.Facility.P2bIDNumber,20)="","",INDEX(I.Facility.P2bIDNumber,20))</f>
        <v/>
      </c>
      <c r="G10032" s="51"/>
      <c r="H10032" s="46" t="str">
        <f>IF(AND(I.Developer.P2b=TRUE,I.Facility.P2bFacilityCount&gt;=20,F10032=""),"Incomplete","Complete")</f>
        <v>Complete</v>
      </c>
      <c r="I10032" s="48" t="s">
        <v>14397</v>
      </c>
    </row>
    <row r="10033" spans="2:9" ht="15" customHeight="1" x14ac:dyDescent="0.25">
      <c r="B10033" s="55" t="s">
        <v>281</v>
      </c>
      <c r="C10033" s="46">
        <v>21</v>
      </c>
      <c r="D10033" s="69" t="s">
        <v>29418</v>
      </c>
      <c r="E10033" s="51"/>
      <c r="F10033" s="114" t="str">
        <f>IF(INDEX(I.Facility.P2bIDNumber,21)="","",INDEX(I.Facility.P2bIDNumber,21))</f>
        <v/>
      </c>
      <c r="G10033" s="51"/>
      <c r="H10033" s="46" t="str">
        <f>IF(AND(I.Developer.P2b=TRUE,I.Facility.P2bFacilityCount&gt;=21,F10033=""),"Incomplete","Complete")</f>
        <v>Complete</v>
      </c>
      <c r="I10033" s="48" t="s">
        <v>14398</v>
      </c>
    </row>
    <row r="10034" spans="2:9" ht="15" customHeight="1" x14ac:dyDescent="0.25">
      <c r="B10034" s="55" t="s">
        <v>281</v>
      </c>
      <c r="C10034" s="46">
        <v>22</v>
      </c>
      <c r="D10034" s="69" t="s">
        <v>29418</v>
      </c>
      <c r="E10034" s="51"/>
      <c r="F10034" s="114" t="str">
        <f>IF(INDEX(I.Facility.P2bIDNumber,22)="","",INDEX(I.Facility.P2bIDNumber,22))</f>
        <v/>
      </c>
      <c r="G10034" s="51"/>
      <c r="H10034" s="46" t="str">
        <f>IF(AND(I.Developer.P2b=TRUE,I.Facility.P2bFacilityCount&gt;=22,F10034=""),"Incomplete","Complete")</f>
        <v>Complete</v>
      </c>
      <c r="I10034" s="48" t="s">
        <v>14399</v>
      </c>
    </row>
    <row r="10035" spans="2:9" ht="15" customHeight="1" x14ac:dyDescent="0.25">
      <c r="B10035" s="55" t="s">
        <v>281</v>
      </c>
      <c r="C10035" s="46">
        <v>23</v>
      </c>
      <c r="D10035" s="69" t="s">
        <v>29418</v>
      </c>
      <c r="E10035" s="51"/>
      <c r="F10035" s="114" t="str">
        <f>IF(INDEX(I.Facility.P2bIDNumber,23)="","",INDEX(I.Facility.P2bIDNumber,23))</f>
        <v/>
      </c>
      <c r="G10035" s="51"/>
      <c r="H10035" s="46" t="str">
        <f>IF(AND(I.Developer.P2b=TRUE,I.Facility.P2bFacilityCount&gt;=23,F10035=""),"Incomplete","Complete")</f>
        <v>Complete</v>
      </c>
      <c r="I10035" s="48" t="s">
        <v>14400</v>
      </c>
    </row>
    <row r="10036" spans="2:9" ht="15" customHeight="1" x14ac:dyDescent="0.25">
      <c r="B10036" s="55" t="s">
        <v>281</v>
      </c>
      <c r="C10036" s="46">
        <v>24</v>
      </c>
      <c r="D10036" s="69" t="s">
        <v>29418</v>
      </c>
      <c r="E10036" s="51"/>
      <c r="F10036" s="114" t="str">
        <f>IF(INDEX(I.Facility.P2bIDNumber,24)="","",INDEX(I.Facility.P2bIDNumber,24))</f>
        <v/>
      </c>
      <c r="G10036" s="51"/>
      <c r="H10036" s="46" t="str">
        <f>IF(AND(I.Developer.P2b=TRUE,I.Facility.P2bFacilityCount&gt;=24,F10036=""),"Incomplete","Complete")</f>
        <v>Complete</v>
      </c>
      <c r="I10036" s="48" t="s">
        <v>14401</v>
      </c>
    </row>
    <row r="10037" spans="2:9" ht="15" customHeight="1" x14ac:dyDescent="0.25">
      <c r="B10037" s="55" t="s">
        <v>281</v>
      </c>
      <c r="C10037" s="46">
        <v>25</v>
      </c>
      <c r="D10037" s="69" t="s">
        <v>29418</v>
      </c>
      <c r="E10037" s="51"/>
      <c r="F10037" s="114" t="str">
        <f>IF(INDEX(I.Facility.P2bIDNumber,25)="","",INDEX(I.Facility.P2bIDNumber,25))</f>
        <v/>
      </c>
      <c r="G10037" s="51"/>
      <c r="H10037" s="46" t="str">
        <f>IF(AND(I.Developer.P2b=TRUE,I.Facility.P2bFacilityCount&gt;=25,F10037=""),"Incomplete","Complete")</f>
        <v>Complete</v>
      </c>
      <c r="I10037" s="48" t="s">
        <v>14402</v>
      </c>
    </row>
    <row r="10038" spans="2:9" ht="15" customHeight="1" x14ac:dyDescent="0.25">
      <c r="B10038" s="55" t="s">
        <v>281</v>
      </c>
      <c r="C10038" s="46">
        <v>26</v>
      </c>
      <c r="D10038" s="69" t="s">
        <v>29418</v>
      </c>
      <c r="E10038" s="51"/>
      <c r="F10038" s="114" t="str">
        <f>IF(INDEX(I.Facility.P2bIDNumber,26)="","",INDEX(I.Facility.P2bIDNumber,26))</f>
        <v/>
      </c>
      <c r="G10038" s="51"/>
      <c r="H10038" s="46" t="str">
        <f>IF(AND(I.Developer.P2b=TRUE,I.Facility.P2bFacilityCount&gt;=26,F10038=""),"Incomplete","Complete")</f>
        <v>Complete</v>
      </c>
      <c r="I10038" s="48" t="s">
        <v>14403</v>
      </c>
    </row>
    <row r="10039" spans="2:9" ht="15" customHeight="1" x14ac:dyDescent="0.25">
      <c r="B10039" s="55" t="s">
        <v>281</v>
      </c>
      <c r="C10039" s="46">
        <v>27</v>
      </c>
      <c r="D10039" s="69" t="s">
        <v>29418</v>
      </c>
      <c r="E10039" s="51"/>
      <c r="F10039" s="114" t="str">
        <f>IF(INDEX(I.Facility.P2bIDNumber,27)="","",INDEX(I.Facility.P2bIDNumber,27))</f>
        <v/>
      </c>
      <c r="G10039" s="51"/>
      <c r="H10039" s="46" t="str">
        <f>IF(AND(I.Developer.P2b=TRUE,I.Facility.P2bFacilityCount&gt;=27,F10039=""),"Incomplete","Complete")</f>
        <v>Complete</v>
      </c>
      <c r="I10039" s="48" t="s">
        <v>14404</v>
      </c>
    </row>
    <row r="10040" spans="2:9" ht="15" customHeight="1" x14ac:dyDescent="0.25">
      <c r="B10040" s="55" t="s">
        <v>281</v>
      </c>
      <c r="C10040" s="46">
        <v>28</v>
      </c>
      <c r="D10040" s="69" t="s">
        <v>29418</v>
      </c>
      <c r="E10040" s="51"/>
      <c r="F10040" s="114" t="str">
        <f>IF(INDEX(I.Facility.P2bIDNumber,28)="","",INDEX(I.Facility.P2bIDNumber,28))</f>
        <v/>
      </c>
      <c r="G10040" s="51"/>
      <c r="H10040" s="46" t="str">
        <f>IF(AND(I.Developer.P2b=TRUE,I.Facility.P2bFacilityCount&gt;=28,F10040=""),"Incomplete","Complete")</f>
        <v>Complete</v>
      </c>
      <c r="I10040" s="48" t="s">
        <v>14405</v>
      </c>
    </row>
    <row r="10041" spans="2:9" ht="15" customHeight="1" x14ac:dyDescent="0.25">
      <c r="B10041" s="55" t="s">
        <v>281</v>
      </c>
      <c r="C10041" s="46">
        <v>29</v>
      </c>
      <c r="D10041" s="69" t="s">
        <v>29418</v>
      </c>
      <c r="E10041" s="51"/>
      <c r="F10041" s="114" t="str">
        <f>IF(INDEX(I.Facility.P2bIDNumber,29)="","",INDEX(I.Facility.P2bIDNumber,29))</f>
        <v/>
      </c>
      <c r="G10041" s="51"/>
      <c r="H10041" s="46" t="str">
        <f>IF(AND(I.Developer.P2b=TRUE,I.Facility.P2bFacilityCount&gt;=29,F10041=""),"Incomplete","Complete")</f>
        <v>Complete</v>
      </c>
      <c r="I10041" s="48" t="s">
        <v>14406</v>
      </c>
    </row>
    <row r="10042" spans="2:9" ht="15" customHeight="1" x14ac:dyDescent="0.25">
      <c r="B10042" s="55" t="s">
        <v>281</v>
      </c>
      <c r="C10042" s="46">
        <v>30</v>
      </c>
      <c r="D10042" s="69" t="s">
        <v>29418</v>
      </c>
      <c r="E10042" s="51"/>
      <c r="F10042" s="114" t="str">
        <f>IF(INDEX(I.Facility.P2bIDNumber,30)="","",INDEX(I.Facility.P2bIDNumber,30))</f>
        <v/>
      </c>
      <c r="G10042" s="51"/>
      <c r="H10042" s="46" t="str">
        <f>IF(AND(I.Developer.P2b=TRUE,I.Facility.P2bFacilityCount&gt;=30,F10042=""),"Incomplete","Complete")</f>
        <v>Complete</v>
      </c>
      <c r="I10042" s="48" t="s">
        <v>14407</v>
      </c>
    </row>
    <row r="10043" spans="2:9" ht="15" customHeight="1" x14ac:dyDescent="0.25">
      <c r="B10043" s="55" t="s">
        <v>281</v>
      </c>
      <c r="C10043" s="46">
        <v>31</v>
      </c>
      <c r="D10043" s="69" t="s">
        <v>29418</v>
      </c>
      <c r="E10043" s="51"/>
      <c r="F10043" s="114" t="str">
        <f>IF(INDEX(I.Facility.P2bIDNumber,31)="","",INDEX(I.Facility.P2bIDNumber,31))</f>
        <v/>
      </c>
      <c r="G10043" s="51"/>
      <c r="H10043" s="46" t="str">
        <f>IF(AND(I.Developer.P2b=TRUE,I.Facility.P2bFacilityCount&gt;=31,F10043=""),"Incomplete","Complete")</f>
        <v>Complete</v>
      </c>
      <c r="I10043" s="48" t="s">
        <v>14408</v>
      </c>
    </row>
    <row r="10044" spans="2:9" ht="15" customHeight="1" x14ac:dyDescent="0.25">
      <c r="B10044" s="55" t="s">
        <v>281</v>
      </c>
      <c r="C10044" s="46">
        <v>32</v>
      </c>
      <c r="D10044" s="69" t="s">
        <v>29418</v>
      </c>
      <c r="E10044" s="51"/>
      <c r="F10044" s="114" t="str">
        <f>IF(INDEX(I.Facility.P2bIDNumber,32)="","",INDEX(I.Facility.P2bIDNumber,32))</f>
        <v/>
      </c>
      <c r="G10044" s="51"/>
      <c r="H10044" s="46" t="str">
        <f>IF(AND(I.Developer.P2b=TRUE,I.Facility.P2bFacilityCount&gt;=32,F10044=""),"Incomplete","Complete")</f>
        <v>Complete</v>
      </c>
      <c r="I10044" s="48" t="s">
        <v>14409</v>
      </c>
    </row>
    <row r="10045" spans="2:9" ht="15" customHeight="1" x14ac:dyDescent="0.25">
      <c r="B10045" s="55" t="s">
        <v>281</v>
      </c>
      <c r="C10045" s="46">
        <v>33</v>
      </c>
      <c r="D10045" s="69" t="s">
        <v>29418</v>
      </c>
      <c r="E10045" s="51"/>
      <c r="F10045" s="114" t="str">
        <f>IF(INDEX(I.Facility.P2bIDNumber,33)="","",INDEX(I.Facility.P2bIDNumber,33))</f>
        <v/>
      </c>
      <c r="G10045" s="51"/>
      <c r="H10045" s="46" t="str">
        <f>IF(AND(I.Developer.P2b=TRUE,I.Facility.P2bFacilityCount&gt;=33,F10045=""),"Incomplete","Complete")</f>
        <v>Complete</v>
      </c>
      <c r="I10045" s="48" t="s">
        <v>14410</v>
      </c>
    </row>
    <row r="10046" spans="2:9" ht="15" customHeight="1" x14ac:dyDescent="0.25">
      <c r="B10046" s="55" t="s">
        <v>281</v>
      </c>
      <c r="C10046" s="46">
        <v>34</v>
      </c>
      <c r="D10046" s="69" t="s">
        <v>29418</v>
      </c>
      <c r="E10046" s="51"/>
      <c r="F10046" s="114" t="str">
        <f>IF(INDEX(I.Facility.P2bIDNumber,34)="","",INDEX(I.Facility.P2bIDNumber,34))</f>
        <v/>
      </c>
      <c r="G10046" s="51"/>
      <c r="H10046" s="46" t="str">
        <f>IF(AND(I.Developer.P2b=TRUE,I.Facility.P2bFacilityCount&gt;=34,F10046=""),"Incomplete","Complete")</f>
        <v>Complete</v>
      </c>
      <c r="I10046" s="48" t="s">
        <v>14411</v>
      </c>
    </row>
    <row r="10047" spans="2:9" ht="15" customHeight="1" x14ac:dyDescent="0.25">
      <c r="B10047" s="55" t="s">
        <v>281</v>
      </c>
      <c r="C10047" s="46">
        <v>35</v>
      </c>
      <c r="D10047" s="69" t="s">
        <v>29418</v>
      </c>
      <c r="E10047" s="51"/>
      <c r="F10047" s="114" t="str">
        <f>IF(INDEX(I.Facility.P2bIDNumber,35)="","",INDEX(I.Facility.P2bIDNumber,35))</f>
        <v/>
      </c>
      <c r="G10047" s="51"/>
      <c r="H10047" s="46" t="str">
        <f>IF(AND(I.Developer.P2b=TRUE,I.Facility.P2bFacilityCount&gt;=35,F10047=""),"Incomplete","Complete")</f>
        <v>Complete</v>
      </c>
      <c r="I10047" s="48" t="s">
        <v>14412</v>
      </c>
    </row>
    <row r="10048" spans="2:9" ht="15" customHeight="1" x14ac:dyDescent="0.25">
      <c r="B10048" s="55" t="s">
        <v>281</v>
      </c>
      <c r="C10048" s="46">
        <v>36</v>
      </c>
      <c r="D10048" s="69" t="s">
        <v>29418</v>
      </c>
      <c r="E10048" s="51"/>
      <c r="F10048" s="114" t="str">
        <f>IF(INDEX(I.Facility.P2bIDNumber,36)="","",INDEX(I.Facility.P2bIDNumber,36))</f>
        <v/>
      </c>
      <c r="G10048" s="51"/>
      <c r="H10048" s="46" t="str">
        <f>IF(AND(I.Developer.P2b=TRUE,I.Facility.P2bFacilityCount&gt;=36,F10048=""),"Incomplete","Complete")</f>
        <v>Complete</v>
      </c>
      <c r="I10048" s="48" t="s">
        <v>14413</v>
      </c>
    </row>
    <row r="10049" spans="2:9" ht="15" customHeight="1" x14ac:dyDescent="0.25">
      <c r="B10049" s="55" t="s">
        <v>281</v>
      </c>
      <c r="C10049" s="46">
        <v>37</v>
      </c>
      <c r="D10049" s="69" t="s">
        <v>29418</v>
      </c>
      <c r="E10049" s="51"/>
      <c r="F10049" s="114" t="str">
        <f>IF(INDEX(I.Facility.P2bIDNumber,37)="","",INDEX(I.Facility.P2bIDNumber,37))</f>
        <v/>
      </c>
      <c r="G10049" s="51"/>
      <c r="H10049" s="46" t="str">
        <f>IF(AND(I.Developer.P2b=TRUE,I.Facility.P2bFacilityCount&gt;=37,F10049=""),"Incomplete","Complete")</f>
        <v>Complete</v>
      </c>
      <c r="I10049" s="48" t="s">
        <v>14414</v>
      </c>
    </row>
    <row r="10050" spans="2:9" ht="15" customHeight="1" x14ac:dyDescent="0.25">
      <c r="B10050" s="55" t="s">
        <v>281</v>
      </c>
      <c r="C10050" s="46">
        <v>38</v>
      </c>
      <c r="D10050" s="69" t="s">
        <v>29418</v>
      </c>
      <c r="E10050" s="51"/>
      <c r="F10050" s="114" t="str">
        <f>IF(INDEX(I.Facility.P2bIDNumber,38)="","",INDEX(I.Facility.P2bIDNumber,38))</f>
        <v/>
      </c>
      <c r="G10050" s="51"/>
      <c r="H10050" s="46" t="str">
        <f>IF(AND(I.Developer.P2b=TRUE,I.Facility.P2bFacilityCount&gt;=38,F10050=""),"Incomplete","Complete")</f>
        <v>Complete</v>
      </c>
      <c r="I10050" s="48" t="s">
        <v>14415</v>
      </c>
    </row>
    <row r="10051" spans="2:9" ht="15" customHeight="1" x14ac:dyDescent="0.25">
      <c r="B10051" s="55" t="s">
        <v>281</v>
      </c>
      <c r="C10051" s="46">
        <v>39</v>
      </c>
      <c r="D10051" s="69" t="s">
        <v>29418</v>
      </c>
      <c r="E10051" s="51"/>
      <c r="F10051" s="114" t="str">
        <f>IF(INDEX(I.Facility.P2bIDNumber,39)="","",INDEX(I.Facility.P2bIDNumber,39))</f>
        <v/>
      </c>
      <c r="G10051" s="51"/>
      <c r="H10051" s="46" t="str">
        <f>IF(AND(I.Developer.P2b=TRUE,I.Facility.P2bFacilityCount&gt;=39,F10051=""),"Incomplete","Complete")</f>
        <v>Complete</v>
      </c>
      <c r="I10051" s="48" t="s">
        <v>14416</v>
      </c>
    </row>
    <row r="10052" spans="2:9" ht="15" customHeight="1" x14ac:dyDescent="0.25">
      <c r="B10052" s="55" t="s">
        <v>281</v>
      </c>
      <c r="C10052" s="46">
        <v>40</v>
      </c>
      <c r="D10052" s="69" t="s">
        <v>29418</v>
      </c>
      <c r="E10052" s="51"/>
      <c r="F10052" s="114" t="str">
        <f>IF(INDEX(I.Facility.P2bIDNumber,40)="","",INDEX(I.Facility.P2bIDNumber,40))</f>
        <v/>
      </c>
      <c r="G10052" s="51"/>
      <c r="H10052" s="46" t="str">
        <f>IF(AND(I.Developer.P2b=TRUE,I.Facility.P2bFacilityCount&gt;=40,F10052=""),"Incomplete","Complete")</f>
        <v>Complete</v>
      </c>
      <c r="I10052" s="48" t="s">
        <v>14417</v>
      </c>
    </row>
    <row r="10053" spans="2:9" ht="15" customHeight="1" x14ac:dyDescent="0.25">
      <c r="B10053" s="55" t="s">
        <v>281</v>
      </c>
      <c r="C10053" s="46">
        <v>41</v>
      </c>
      <c r="D10053" s="69" t="s">
        <v>29418</v>
      </c>
      <c r="E10053" s="51"/>
      <c r="F10053" s="114" t="str">
        <f>IF(INDEX(I.Facility.P2bIDNumber,41)="","",INDEX(I.Facility.P2bIDNumber,41))</f>
        <v/>
      </c>
      <c r="G10053" s="51"/>
      <c r="H10053" s="46" t="str">
        <f>IF(AND(I.Developer.P2b=TRUE,I.Facility.P2bFacilityCount&gt;=41,F10053=""),"Incomplete","Complete")</f>
        <v>Complete</v>
      </c>
      <c r="I10053" s="48" t="s">
        <v>14418</v>
      </c>
    </row>
    <row r="10054" spans="2:9" ht="15" customHeight="1" x14ac:dyDescent="0.25">
      <c r="B10054" s="55" t="s">
        <v>281</v>
      </c>
      <c r="C10054" s="46">
        <v>42</v>
      </c>
      <c r="D10054" s="69" t="s">
        <v>29418</v>
      </c>
      <c r="E10054" s="51"/>
      <c r="F10054" s="114" t="str">
        <f>IF(INDEX(I.Facility.P2bIDNumber,42)="","",INDEX(I.Facility.P2bIDNumber,42))</f>
        <v/>
      </c>
      <c r="G10054" s="51"/>
      <c r="H10054" s="46" t="str">
        <f>IF(AND(I.Developer.P2b=TRUE,I.Facility.P2bFacilityCount&gt;=42,F10054=""),"Incomplete","Complete")</f>
        <v>Complete</v>
      </c>
      <c r="I10054" s="48" t="s">
        <v>14419</v>
      </c>
    </row>
    <row r="10055" spans="2:9" ht="15" customHeight="1" x14ac:dyDescent="0.25">
      <c r="B10055" s="55" t="s">
        <v>281</v>
      </c>
      <c r="C10055" s="46">
        <v>43</v>
      </c>
      <c r="D10055" s="69" t="s">
        <v>29418</v>
      </c>
      <c r="E10055" s="51"/>
      <c r="F10055" s="114" t="str">
        <f>IF(INDEX(I.Facility.P2bIDNumber,43)="","",INDEX(I.Facility.P2bIDNumber,43))</f>
        <v/>
      </c>
      <c r="G10055" s="51"/>
      <c r="H10055" s="46" t="str">
        <f>IF(AND(I.Developer.P2b=TRUE,I.Facility.P2bFacilityCount&gt;=43,F10055=""),"Incomplete","Complete")</f>
        <v>Complete</v>
      </c>
      <c r="I10055" s="48" t="s">
        <v>14420</v>
      </c>
    </row>
    <row r="10056" spans="2:9" ht="15" customHeight="1" x14ac:dyDescent="0.25">
      <c r="B10056" s="55" t="s">
        <v>281</v>
      </c>
      <c r="C10056" s="46">
        <v>44</v>
      </c>
      <c r="D10056" s="69" t="s">
        <v>29418</v>
      </c>
      <c r="E10056" s="51"/>
      <c r="F10056" s="114" t="str">
        <f>IF(INDEX(I.Facility.P2bIDNumber,44)="","",INDEX(I.Facility.P2bIDNumber,44))</f>
        <v/>
      </c>
      <c r="G10056" s="51"/>
      <c r="H10056" s="46" t="str">
        <f>IF(AND(I.Developer.P2b=TRUE,I.Facility.P2bFacilityCount&gt;=44,F10056=""),"Incomplete","Complete")</f>
        <v>Complete</v>
      </c>
      <c r="I10056" s="48" t="s">
        <v>14421</v>
      </c>
    </row>
    <row r="10057" spans="2:9" ht="15" customHeight="1" x14ac:dyDescent="0.25">
      <c r="B10057" s="55" t="s">
        <v>281</v>
      </c>
      <c r="C10057" s="46">
        <v>45</v>
      </c>
      <c r="D10057" s="69" t="s">
        <v>29418</v>
      </c>
      <c r="E10057" s="51"/>
      <c r="F10057" s="114" t="str">
        <f>IF(INDEX(I.Facility.P2bIDNumber,45)="","",INDEX(I.Facility.P2bIDNumber,45))</f>
        <v/>
      </c>
      <c r="G10057" s="51"/>
      <c r="H10057" s="46" t="str">
        <f>IF(AND(I.Developer.P2b=TRUE,I.Facility.P2bFacilityCount&gt;=45,F10057=""),"Incomplete","Complete")</f>
        <v>Complete</v>
      </c>
      <c r="I10057" s="48" t="s">
        <v>14422</v>
      </c>
    </row>
    <row r="10058" spans="2:9" ht="15" customHeight="1" x14ac:dyDescent="0.25">
      <c r="B10058" s="55" t="s">
        <v>281</v>
      </c>
      <c r="C10058" s="46">
        <v>46</v>
      </c>
      <c r="D10058" s="69" t="s">
        <v>29418</v>
      </c>
      <c r="E10058" s="51"/>
      <c r="F10058" s="114" t="str">
        <f>IF(INDEX(I.Facility.P2bIDNumber,46)="","",INDEX(I.Facility.P2bIDNumber,46))</f>
        <v/>
      </c>
      <c r="G10058" s="51"/>
      <c r="H10058" s="46" t="str">
        <f>IF(AND(I.Developer.P2b=TRUE,I.Facility.P2bFacilityCount&gt;=46,F10058=""),"Incomplete","Complete")</f>
        <v>Complete</v>
      </c>
      <c r="I10058" s="48" t="s">
        <v>14423</v>
      </c>
    </row>
    <row r="10059" spans="2:9" ht="15" customHeight="1" x14ac:dyDescent="0.25">
      <c r="B10059" s="55" t="s">
        <v>281</v>
      </c>
      <c r="C10059" s="46">
        <v>47</v>
      </c>
      <c r="D10059" s="69" t="s">
        <v>29418</v>
      </c>
      <c r="E10059" s="51"/>
      <c r="F10059" s="114" t="str">
        <f>IF(INDEX(I.Facility.P2bIDNumber,47)="","",INDEX(I.Facility.P2bIDNumber,47))</f>
        <v/>
      </c>
      <c r="G10059" s="51"/>
      <c r="H10059" s="46" t="str">
        <f>IF(AND(I.Developer.P2b=TRUE,I.Facility.P2bFacilityCount&gt;=47,F10059=""),"Incomplete","Complete")</f>
        <v>Complete</v>
      </c>
      <c r="I10059" s="48" t="s">
        <v>14424</v>
      </c>
    </row>
    <row r="10060" spans="2:9" ht="15" customHeight="1" x14ac:dyDescent="0.25">
      <c r="B10060" s="55" t="s">
        <v>281</v>
      </c>
      <c r="C10060" s="46">
        <v>48</v>
      </c>
      <c r="D10060" s="69" t="s">
        <v>29418</v>
      </c>
      <c r="E10060" s="51"/>
      <c r="F10060" s="114" t="str">
        <f>IF(INDEX(I.Facility.P2bIDNumber,48)="","",INDEX(I.Facility.P2bIDNumber,48))</f>
        <v/>
      </c>
      <c r="G10060" s="51"/>
      <c r="H10060" s="46" t="str">
        <f>IF(AND(I.Developer.P2b=TRUE,I.Facility.P2bFacilityCount&gt;=48,F10060=""),"Incomplete","Complete")</f>
        <v>Complete</v>
      </c>
      <c r="I10060" s="48" t="s">
        <v>14425</v>
      </c>
    </row>
    <row r="10061" spans="2:9" ht="15" customHeight="1" x14ac:dyDescent="0.25">
      <c r="B10061" s="55" t="s">
        <v>281</v>
      </c>
      <c r="C10061" s="46">
        <v>49</v>
      </c>
      <c r="D10061" s="69" t="s">
        <v>29418</v>
      </c>
      <c r="E10061" s="51"/>
      <c r="F10061" s="114" t="str">
        <f>IF(INDEX(I.Facility.P2bIDNumber,49)="","",INDEX(I.Facility.P2bIDNumber,49))</f>
        <v/>
      </c>
      <c r="G10061" s="51"/>
      <c r="H10061" s="46" t="str">
        <f>IF(AND(I.Developer.P2b=TRUE,I.Facility.P2bFacilityCount&gt;=49,F10061=""),"Incomplete","Complete")</f>
        <v>Complete</v>
      </c>
      <c r="I10061" s="48" t="s">
        <v>14426</v>
      </c>
    </row>
    <row r="10062" spans="2:9" ht="15" customHeight="1" x14ac:dyDescent="0.25">
      <c r="B10062" s="55" t="s">
        <v>281</v>
      </c>
      <c r="C10062" s="46">
        <v>50</v>
      </c>
      <c r="D10062" s="69" t="s">
        <v>29418</v>
      </c>
      <c r="E10062" s="51"/>
      <c r="F10062" s="114" t="str">
        <f>IF(INDEX(I.Facility.P2bIDNumber,50)="","",INDEX(I.Facility.P2bIDNumber,50))</f>
        <v/>
      </c>
      <c r="G10062" s="51"/>
      <c r="H10062" s="46" t="str">
        <f>IF(AND(I.Developer.P2b=TRUE,I.Facility.P2bFacilityCount&gt;=50,F10062=""),"Incomplete","Complete")</f>
        <v>Complete</v>
      </c>
      <c r="I10062" s="48" t="s">
        <v>14427</v>
      </c>
    </row>
    <row r="10063" spans="2:9" ht="15" customHeight="1" x14ac:dyDescent="0.25">
      <c r="B10063" s="55" t="s">
        <v>281</v>
      </c>
      <c r="C10063" s="46">
        <v>51</v>
      </c>
      <c r="D10063" s="69" t="s">
        <v>29418</v>
      </c>
      <c r="E10063" s="51"/>
      <c r="F10063" s="114" t="str">
        <f>IF(INDEX(I.Facility.P2bIDNumber,51)="","",INDEX(I.Facility.P2bIDNumber,51))</f>
        <v/>
      </c>
      <c r="G10063" s="51"/>
      <c r="H10063" s="46" t="str">
        <f>IF(AND(I.Developer.P2b=TRUE,I.Facility.P2bFacilityCount&gt;=51,F10063=""),"Incomplete","Complete")</f>
        <v>Complete</v>
      </c>
      <c r="I10063" s="48" t="s">
        <v>14428</v>
      </c>
    </row>
    <row r="10064" spans="2:9" ht="15" customHeight="1" x14ac:dyDescent="0.25">
      <c r="B10064" s="55" t="s">
        <v>281</v>
      </c>
      <c r="C10064" s="46">
        <v>52</v>
      </c>
      <c r="D10064" s="69" t="s">
        <v>29418</v>
      </c>
      <c r="E10064" s="51"/>
      <c r="F10064" s="114" t="str">
        <f>IF(INDEX(I.Facility.P2bIDNumber,52)="","",INDEX(I.Facility.P2bIDNumber,52))</f>
        <v/>
      </c>
      <c r="G10064" s="51"/>
      <c r="H10064" s="46" t="str">
        <f>IF(AND(I.Developer.P2b=TRUE,I.Facility.P2bFacilityCount&gt;=52,F10064=""),"Incomplete","Complete")</f>
        <v>Complete</v>
      </c>
      <c r="I10064" s="48" t="s">
        <v>14429</v>
      </c>
    </row>
    <row r="10065" spans="2:9" ht="15" customHeight="1" x14ac:dyDescent="0.25">
      <c r="B10065" s="55" t="s">
        <v>281</v>
      </c>
      <c r="C10065" s="46">
        <v>53</v>
      </c>
      <c r="D10065" s="69" t="s">
        <v>29418</v>
      </c>
      <c r="E10065" s="51"/>
      <c r="F10065" s="114" t="str">
        <f>IF(INDEX(I.Facility.P2bIDNumber,53)="","",INDEX(I.Facility.P2bIDNumber,53))</f>
        <v/>
      </c>
      <c r="G10065" s="51"/>
      <c r="H10065" s="46" t="str">
        <f>IF(AND(I.Developer.P2b=TRUE,I.Facility.P2bFacilityCount&gt;=53,F10065=""),"Incomplete","Complete")</f>
        <v>Complete</v>
      </c>
      <c r="I10065" s="48" t="s">
        <v>14430</v>
      </c>
    </row>
    <row r="10066" spans="2:9" ht="15" customHeight="1" x14ac:dyDescent="0.25">
      <c r="B10066" s="55" t="s">
        <v>281</v>
      </c>
      <c r="C10066" s="46">
        <v>54</v>
      </c>
      <c r="D10066" s="69" t="s">
        <v>29418</v>
      </c>
      <c r="E10066" s="51"/>
      <c r="F10066" s="114" t="str">
        <f>IF(INDEX(I.Facility.P2bIDNumber,54)="","",INDEX(I.Facility.P2bIDNumber,54))</f>
        <v/>
      </c>
      <c r="G10066" s="51"/>
      <c r="H10066" s="46" t="str">
        <f>IF(AND(I.Developer.P2b=TRUE,I.Facility.P2bFacilityCount&gt;=54,F10066=""),"Incomplete","Complete")</f>
        <v>Complete</v>
      </c>
      <c r="I10066" s="48" t="s">
        <v>14431</v>
      </c>
    </row>
    <row r="10067" spans="2:9" ht="15" customHeight="1" x14ac:dyDescent="0.25">
      <c r="B10067" s="55" t="s">
        <v>281</v>
      </c>
      <c r="C10067" s="46">
        <v>55</v>
      </c>
      <c r="D10067" s="69" t="s">
        <v>29418</v>
      </c>
      <c r="E10067" s="51"/>
      <c r="F10067" s="114" t="str">
        <f>IF(INDEX(I.Facility.P2bIDNumber,55)="","",INDEX(I.Facility.P2bIDNumber,55))</f>
        <v/>
      </c>
      <c r="G10067" s="51"/>
      <c r="H10067" s="46" t="str">
        <f>IF(AND(I.Developer.P2b=TRUE,I.Facility.P2bFacilityCount&gt;=55,F10067=""),"Incomplete","Complete")</f>
        <v>Complete</v>
      </c>
      <c r="I10067" s="48" t="s">
        <v>14432</v>
      </c>
    </row>
    <row r="10068" spans="2:9" ht="15" customHeight="1" x14ac:dyDescent="0.25">
      <c r="B10068" s="55" t="s">
        <v>281</v>
      </c>
      <c r="C10068" s="46">
        <v>56</v>
      </c>
      <c r="D10068" s="69" t="s">
        <v>29418</v>
      </c>
      <c r="E10068" s="51"/>
      <c r="F10068" s="114" t="str">
        <f>IF(INDEX(I.Facility.P2bIDNumber,56)="","",INDEX(I.Facility.P2bIDNumber,56))</f>
        <v/>
      </c>
      <c r="G10068" s="51"/>
      <c r="H10068" s="46" t="str">
        <f>IF(AND(I.Developer.P2b=TRUE,I.Facility.P2bFacilityCount&gt;=56,F10068=""),"Incomplete","Complete")</f>
        <v>Complete</v>
      </c>
      <c r="I10068" s="48" t="s">
        <v>14433</v>
      </c>
    </row>
    <row r="10069" spans="2:9" ht="15" customHeight="1" x14ac:dyDescent="0.25">
      <c r="B10069" s="55" t="s">
        <v>281</v>
      </c>
      <c r="C10069" s="46">
        <v>57</v>
      </c>
      <c r="D10069" s="69" t="s">
        <v>29418</v>
      </c>
      <c r="E10069" s="51"/>
      <c r="F10069" s="114" t="str">
        <f>IF(INDEX(I.Facility.P2bIDNumber,57)="","",INDEX(I.Facility.P2bIDNumber,57))</f>
        <v/>
      </c>
      <c r="G10069" s="51"/>
      <c r="H10069" s="46" t="str">
        <f>IF(AND(I.Developer.P2b=TRUE,I.Facility.P2bFacilityCount&gt;=57,F10069=""),"Incomplete","Complete")</f>
        <v>Complete</v>
      </c>
      <c r="I10069" s="48" t="s">
        <v>14434</v>
      </c>
    </row>
    <row r="10070" spans="2:9" ht="15" customHeight="1" x14ac:dyDescent="0.25">
      <c r="B10070" s="55" t="s">
        <v>281</v>
      </c>
      <c r="C10070" s="46">
        <v>58</v>
      </c>
      <c r="D10070" s="69" t="s">
        <v>29418</v>
      </c>
      <c r="E10070" s="51"/>
      <c r="F10070" s="114" t="str">
        <f>IF(INDEX(I.Facility.P2bIDNumber,58)="","",INDEX(I.Facility.P2bIDNumber,58))</f>
        <v/>
      </c>
      <c r="G10070" s="51"/>
      <c r="H10070" s="46" t="str">
        <f>IF(AND(I.Developer.P2b=TRUE,I.Facility.P2bFacilityCount&gt;=58,F10070=""),"Incomplete","Complete")</f>
        <v>Complete</v>
      </c>
      <c r="I10070" s="48" t="s">
        <v>14435</v>
      </c>
    </row>
    <row r="10071" spans="2:9" ht="15" customHeight="1" x14ac:dyDescent="0.25">
      <c r="B10071" s="55" t="s">
        <v>281</v>
      </c>
      <c r="C10071" s="46">
        <v>59</v>
      </c>
      <c r="D10071" s="69" t="s">
        <v>29418</v>
      </c>
      <c r="E10071" s="51"/>
      <c r="F10071" s="114" t="str">
        <f>IF(INDEX(I.Facility.P2bIDNumber,59)="","",INDEX(I.Facility.P2bIDNumber,59))</f>
        <v/>
      </c>
      <c r="G10071" s="51"/>
      <c r="H10071" s="46" t="str">
        <f>IF(AND(I.Developer.P2b=TRUE,I.Facility.P2bFacilityCount&gt;=59,F10071=""),"Incomplete","Complete")</f>
        <v>Complete</v>
      </c>
      <c r="I10071" s="48" t="s">
        <v>14436</v>
      </c>
    </row>
    <row r="10072" spans="2:9" ht="15" customHeight="1" x14ac:dyDescent="0.25">
      <c r="B10072" s="55" t="s">
        <v>281</v>
      </c>
      <c r="C10072" s="46">
        <v>60</v>
      </c>
      <c r="D10072" s="69" t="s">
        <v>29418</v>
      </c>
      <c r="E10072" s="51"/>
      <c r="F10072" s="114" t="str">
        <f>IF(INDEX(I.Facility.P2bIDNumber,60)="","",INDEX(I.Facility.P2bIDNumber,60))</f>
        <v/>
      </c>
      <c r="G10072" s="51"/>
      <c r="H10072" s="46" t="str">
        <f>IF(AND(I.Developer.P2b=TRUE,I.Facility.P2bFacilityCount&gt;=60,F10072=""),"Incomplete","Complete")</f>
        <v>Complete</v>
      </c>
      <c r="I10072" s="48" t="s">
        <v>14437</v>
      </c>
    </row>
    <row r="10073" spans="2:9" ht="15" customHeight="1" x14ac:dyDescent="0.25">
      <c r="B10073" s="55" t="s">
        <v>281</v>
      </c>
      <c r="C10073" s="46">
        <v>61</v>
      </c>
      <c r="D10073" s="69" t="s">
        <v>29418</v>
      </c>
      <c r="E10073" s="51"/>
      <c r="F10073" s="114" t="str">
        <f>IF(INDEX(I.Facility.P2bIDNumber,61)="","",INDEX(I.Facility.P2bIDNumber,61))</f>
        <v/>
      </c>
      <c r="G10073" s="51"/>
      <c r="H10073" s="46" t="str">
        <f>IF(AND(I.Developer.P2b=TRUE,I.Facility.P2bFacilityCount&gt;=61,F10073=""),"Incomplete","Complete")</f>
        <v>Complete</v>
      </c>
      <c r="I10073" s="48" t="s">
        <v>14438</v>
      </c>
    </row>
    <row r="10074" spans="2:9" ht="15" customHeight="1" x14ac:dyDescent="0.25">
      <c r="B10074" s="55" t="s">
        <v>281</v>
      </c>
      <c r="C10074" s="46">
        <v>62</v>
      </c>
      <c r="D10074" s="69" t="s">
        <v>29418</v>
      </c>
      <c r="E10074" s="51"/>
      <c r="F10074" s="114" t="str">
        <f>IF(INDEX(I.Facility.P2bIDNumber,62)="","",INDEX(I.Facility.P2bIDNumber,62))</f>
        <v/>
      </c>
      <c r="G10074" s="51"/>
      <c r="H10074" s="46" t="str">
        <f>IF(AND(I.Developer.P2b=TRUE,I.Facility.P2bFacilityCount&gt;=62,F10074=""),"Incomplete","Complete")</f>
        <v>Complete</v>
      </c>
      <c r="I10074" s="48" t="s">
        <v>14439</v>
      </c>
    </row>
    <row r="10075" spans="2:9" ht="15" customHeight="1" x14ac:dyDescent="0.25">
      <c r="B10075" s="55" t="s">
        <v>281</v>
      </c>
      <c r="C10075" s="46">
        <v>63</v>
      </c>
      <c r="D10075" s="69" t="s">
        <v>29418</v>
      </c>
      <c r="E10075" s="51"/>
      <c r="F10075" s="114" t="str">
        <f>IF(INDEX(I.Facility.P2bIDNumber,63)="","",INDEX(I.Facility.P2bIDNumber,63))</f>
        <v/>
      </c>
      <c r="G10075" s="51"/>
      <c r="H10075" s="46" t="str">
        <f>IF(AND(I.Developer.P2b=TRUE,I.Facility.P2bFacilityCount&gt;=63,F10075=""),"Incomplete","Complete")</f>
        <v>Complete</v>
      </c>
      <c r="I10075" s="48" t="s">
        <v>14440</v>
      </c>
    </row>
    <row r="10076" spans="2:9" ht="15" customHeight="1" x14ac:dyDescent="0.25">
      <c r="B10076" s="55" t="s">
        <v>281</v>
      </c>
      <c r="C10076" s="46">
        <v>64</v>
      </c>
      <c r="D10076" s="69" t="s">
        <v>29418</v>
      </c>
      <c r="E10076" s="51"/>
      <c r="F10076" s="114" t="str">
        <f>IF(INDEX(I.Facility.P2bIDNumber,64)="","",INDEX(I.Facility.P2bIDNumber,64))</f>
        <v/>
      </c>
      <c r="G10076" s="51"/>
      <c r="H10076" s="46" t="str">
        <f>IF(AND(I.Developer.P2b=TRUE,I.Facility.P2bFacilityCount&gt;=64,F10076=""),"Incomplete","Complete")</f>
        <v>Complete</v>
      </c>
      <c r="I10076" s="48" t="s">
        <v>14441</v>
      </c>
    </row>
    <row r="10077" spans="2:9" ht="15" customHeight="1" x14ac:dyDescent="0.25">
      <c r="B10077" s="55" t="s">
        <v>281</v>
      </c>
      <c r="C10077" s="46">
        <v>65</v>
      </c>
      <c r="D10077" s="69" t="s">
        <v>29418</v>
      </c>
      <c r="E10077" s="51"/>
      <c r="F10077" s="114" t="str">
        <f>IF(INDEX(I.Facility.P2bIDNumber,65)="","",INDEX(I.Facility.P2bIDNumber,65))</f>
        <v/>
      </c>
      <c r="G10077" s="51"/>
      <c r="H10077" s="46" t="str">
        <f>IF(AND(I.Developer.P2b=TRUE,I.Facility.P2bFacilityCount&gt;=65,F10077=""),"Incomplete","Complete")</f>
        <v>Complete</v>
      </c>
      <c r="I10077" s="48" t="s">
        <v>14442</v>
      </c>
    </row>
    <row r="10078" spans="2:9" ht="15" customHeight="1" x14ac:dyDescent="0.25">
      <c r="B10078" s="55" t="s">
        <v>281</v>
      </c>
      <c r="C10078" s="46">
        <v>66</v>
      </c>
      <c r="D10078" s="69" t="s">
        <v>29418</v>
      </c>
      <c r="E10078" s="51"/>
      <c r="F10078" s="114" t="str">
        <f>IF(INDEX(I.Facility.P2bIDNumber,66)="","",INDEX(I.Facility.P2bIDNumber,66))</f>
        <v/>
      </c>
      <c r="G10078" s="51"/>
      <c r="H10078" s="46" t="str">
        <f>IF(AND(I.Developer.P2b=TRUE,I.Facility.P2bFacilityCount&gt;=66,F10078=""),"Incomplete","Complete")</f>
        <v>Complete</v>
      </c>
      <c r="I10078" s="48" t="s">
        <v>14443</v>
      </c>
    </row>
    <row r="10079" spans="2:9" ht="15" customHeight="1" x14ac:dyDescent="0.25">
      <c r="B10079" s="55" t="s">
        <v>281</v>
      </c>
      <c r="C10079" s="46">
        <v>67</v>
      </c>
      <c r="D10079" s="69" t="s">
        <v>29418</v>
      </c>
      <c r="E10079" s="51"/>
      <c r="F10079" s="114" t="str">
        <f>IF(INDEX(I.Facility.P2bIDNumber,67)="","",INDEX(I.Facility.P2bIDNumber,67))</f>
        <v/>
      </c>
      <c r="G10079" s="51"/>
      <c r="H10079" s="46" t="str">
        <f>IF(AND(I.Developer.P2b=TRUE,I.Facility.P2bFacilityCount&gt;=67,F10079=""),"Incomplete","Complete")</f>
        <v>Complete</v>
      </c>
      <c r="I10079" s="48" t="s">
        <v>14444</v>
      </c>
    </row>
    <row r="10080" spans="2:9" ht="15" customHeight="1" x14ac:dyDescent="0.25">
      <c r="B10080" s="55" t="s">
        <v>281</v>
      </c>
      <c r="C10080" s="46">
        <v>68</v>
      </c>
      <c r="D10080" s="69" t="s">
        <v>29418</v>
      </c>
      <c r="E10080" s="51"/>
      <c r="F10080" s="114" t="str">
        <f>IF(INDEX(I.Facility.P2bIDNumber,68)="","",INDEX(I.Facility.P2bIDNumber,68))</f>
        <v/>
      </c>
      <c r="G10080" s="51"/>
      <c r="H10080" s="46" t="str">
        <f>IF(AND(I.Developer.P2b=TRUE,I.Facility.P2bFacilityCount&gt;=68,F10080=""),"Incomplete","Complete")</f>
        <v>Complete</v>
      </c>
      <c r="I10080" s="48" t="s">
        <v>14445</v>
      </c>
    </row>
    <row r="10081" spans="2:9" ht="15" customHeight="1" x14ac:dyDescent="0.25">
      <c r="B10081" s="55" t="s">
        <v>281</v>
      </c>
      <c r="C10081" s="46">
        <v>69</v>
      </c>
      <c r="D10081" s="69" t="s">
        <v>29418</v>
      </c>
      <c r="E10081" s="51"/>
      <c r="F10081" s="114" t="str">
        <f>IF(INDEX(I.Facility.P2bIDNumber,69)="","",INDEX(I.Facility.P2bIDNumber,69))</f>
        <v/>
      </c>
      <c r="G10081" s="51"/>
      <c r="H10081" s="46" t="str">
        <f>IF(AND(I.Developer.P2b=TRUE,I.Facility.P2bFacilityCount&gt;=69,F10081=""),"Incomplete","Complete")</f>
        <v>Complete</v>
      </c>
      <c r="I10081" s="48" t="s">
        <v>14446</v>
      </c>
    </row>
    <row r="10082" spans="2:9" ht="15" customHeight="1" x14ac:dyDescent="0.25">
      <c r="B10082" s="55" t="s">
        <v>281</v>
      </c>
      <c r="C10082" s="46">
        <v>70</v>
      </c>
      <c r="D10082" s="69" t="s">
        <v>29418</v>
      </c>
      <c r="E10082" s="51"/>
      <c r="F10082" s="114" t="str">
        <f>IF(INDEX(I.Facility.P2bIDNumber,70)="","",INDEX(I.Facility.P2bIDNumber,70))</f>
        <v/>
      </c>
      <c r="G10082" s="51"/>
      <c r="H10082" s="46" t="str">
        <f>IF(AND(I.Developer.P2b=TRUE,I.Facility.P2bFacilityCount&gt;=70,F10082=""),"Incomplete","Complete")</f>
        <v>Complete</v>
      </c>
      <c r="I10082" s="48" t="s">
        <v>14447</v>
      </c>
    </row>
    <row r="10083" spans="2:9" ht="15" customHeight="1" x14ac:dyDescent="0.25">
      <c r="B10083" s="55" t="s">
        <v>281</v>
      </c>
      <c r="C10083" s="46">
        <v>71</v>
      </c>
      <c r="D10083" s="69" t="s">
        <v>29418</v>
      </c>
      <c r="E10083" s="51"/>
      <c r="F10083" s="114" t="str">
        <f>IF(INDEX(I.Facility.P2bIDNumber,71)="","",INDEX(I.Facility.P2bIDNumber,71))</f>
        <v/>
      </c>
      <c r="G10083" s="51"/>
      <c r="H10083" s="46" t="str">
        <f>IF(AND(I.Developer.P2b=TRUE,I.Facility.P2bFacilityCount&gt;=71,F10083=""),"Incomplete","Complete")</f>
        <v>Complete</v>
      </c>
      <c r="I10083" s="48" t="s">
        <v>14448</v>
      </c>
    </row>
    <row r="10084" spans="2:9" ht="15" customHeight="1" x14ac:dyDescent="0.25">
      <c r="B10084" s="55" t="s">
        <v>281</v>
      </c>
      <c r="C10084" s="46">
        <v>72</v>
      </c>
      <c r="D10084" s="69" t="s">
        <v>29418</v>
      </c>
      <c r="E10084" s="51"/>
      <c r="F10084" s="114" t="str">
        <f>IF(INDEX(I.Facility.P2bIDNumber,72)="","",INDEX(I.Facility.P2bIDNumber,72))</f>
        <v/>
      </c>
      <c r="G10084" s="51"/>
      <c r="H10084" s="46" t="str">
        <f>IF(AND(I.Developer.P2b=TRUE,I.Facility.P2bFacilityCount&gt;=72,F10084=""),"Incomplete","Complete")</f>
        <v>Complete</v>
      </c>
      <c r="I10084" s="48" t="s">
        <v>14449</v>
      </c>
    </row>
    <row r="10085" spans="2:9" ht="15" customHeight="1" x14ac:dyDescent="0.25">
      <c r="B10085" s="55" t="s">
        <v>281</v>
      </c>
      <c r="C10085" s="46">
        <v>73</v>
      </c>
      <c r="D10085" s="69" t="s">
        <v>29418</v>
      </c>
      <c r="E10085" s="51"/>
      <c r="F10085" s="114" t="str">
        <f>IF(INDEX(I.Facility.P2bIDNumber,73)="","",INDEX(I.Facility.P2bIDNumber,73))</f>
        <v/>
      </c>
      <c r="G10085" s="51"/>
      <c r="H10085" s="46" t="str">
        <f>IF(AND(I.Developer.P2b=TRUE,I.Facility.P2bFacilityCount&gt;=73,F10085=""),"Incomplete","Complete")</f>
        <v>Complete</v>
      </c>
      <c r="I10085" s="48" t="s">
        <v>14450</v>
      </c>
    </row>
    <row r="10086" spans="2:9" ht="15" customHeight="1" x14ac:dyDescent="0.25">
      <c r="B10086" s="55" t="s">
        <v>281</v>
      </c>
      <c r="C10086" s="46">
        <v>74</v>
      </c>
      <c r="D10086" s="69" t="s">
        <v>29418</v>
      </c>
      <c r="E10086" s="51"/>
      <c r="F10086" s="114" t="str">
        <f>IF(INDEX(I.Facility.P2bIDNumber,74)="","",INDEX(I.Facility.P2bIDNumber,74))</f>
        <v/>
      </c>
      <c r="G10086" s="51"/>
      <c r="H10086" s="46" t="str">
        <f>IF(AND(I.Developer.P2b=TRUE,I.Facility.P2bFacilityCount&gt;=74,F10086=""),"Incomplete","Complete")</f>
        <v>Complete</v>
      </c>
      <c r="I10086" s="48" t="s">
        <v>14451</v>
      </c>
    </row>
    <row r="10087" spans="2:9" ht="15" customHeight="1" x14ac:dyDescent="0.25">
      <c r="B10087" s="55" t="s">
        <v>281</v>
      </c>
      <c r="C10087" s="46">
        <v>75</v>
      </c>
      <c r="D10087" s="69" t="s">
        <v>29418</v>
      </c>
      <c r="E10087" s="51"/>
      <c r="F10087" s="114" t="str">
        <f>IF(INDEX(I.Facility.P2bIDNumber,75)="","",INDEX(I.Facility.P2bIDNumber,75))</f>
        <v/>
      </c>
      <c r="G10087" s="51"/>
      <c r="H10087" s="46" t="str">
        <f>IF(AND(I.Developer.P2b=TRUE,I.Facility.P2bFacilityCount&gt;=75,F10087=""),"Incomplete","Complete")</f>
        <v>Complete</v>
      </c>
      <c r="I10087" s="48" t="s">
        <v>14452</v>
      </c>
    </row>
    <row r="10088" spans="2:9" ht="15" customHeight="1" x14ac:dyDescent="0.25">
      <c r="B10088" s="55" t="s">
        <v>281</v>
      </c>
      <c r="C10088" s="46">
        <v>76</v>
      </c>
      <c r="D10088" s="69" t="s">
        <v>29418</v>
      </c>
      <c r="E10088" s="51"/>
      <c r="F10088" s="114" t="str">
        <f>IF(INDEX(I.Facility.P2bIDNumber,76)="","",INDEX(I.Facility.P2bIDNumber,76))</f>
        <v/>
      </c>
      <c r="G10088" s="51"/>
      <c r="H10088" s="46" t="str">
        <f>IF(AND(I.Developer.P2b=TRUE,I.Facility.P2bFacilityCount&gt;=76,F10088=""),"Incomplete","Complete")</f>
        <v>Complete</v>
      </c>
      <c r="I10088" s="48" t="s">
        <v>14453</v>
      </c>
    </row>
    <row r="10089" spans="2:9" ht="15" customHeight="1" x14ac:dyDescent="0.25">
      <c r="B10089" s="55" t="s">
        <v>281</v>
      </c>
      <c r="C10089" s="46">
        <v>77</v>
      </c>
      <c r="D10089" s="69" t="s">
        <v>29418</v>
      </c>
      <c r="E10089" s="51"/>
      <c r="F10089" s="114" t="str">
        <f>IF(INDEX(I.Facility.P2bIDNumber,77)="","",INDEX(I.Facility.P2bIDNumber,77))</f>
        <v/>
      </c>
      <c r="G10089" s="51"/>
      <c r="H10089" s="46" t="str">
        <f>IF(AND(I.Developer.P2b=TRUE,I.Facility.P2bFacilityCount&gt;=77,F10089=""),"Incomplete","Complete")</f>
        <v>Complete</v>
      </c>
      <c r="I10089" s="48" t="s">
        <v>14454</v>
      </c>
    </row>
    <row r="10090" spans="2:9" ht="15" customHeight="1" x14ac:dyDescent="0.25">
      <c r="B10090" s="55" t="s">
        <v>281</v>
      </c>
      <c r="C10090" s="46">
        <v>78</v>
      </c>
      <c r="D10090" s="69" t="s">
        <v>29418</v>
      </c>
      <c r="E10090" s="51"/>
      <c r="F10090" s="114" t="str">
        <f>IF(INDEX(I.Facility.P2bIDNumber,78)="","",INDEX(I.Facility.P2bIDNumber,78))</f>
        <v/>
      </c>
      <c r="G10090" s="51"/>
      <c r="H10090" s="46" t="str">
        <f>IF(AND(I.Developer.P2b=TRUE,I.Facility.P2bFacilityCount&gt;=78,F10090=""),"Incomplete","Complete")</f>
        <v>Complete</v>
      </c>
      <c r="I10090" s="48" t="s">
        <v>14455</v>
      </c>
    </row>
    <row r="10091" spans="2:9" ht="15" customHeight="1" x14ac:dyDescent="0.25">
      <c r="B10091" s="55" t="s">
        <v>281</v>
      </c>
      <c r="C10091" s="46">
        <v>79</v>
      </c>
      <c r="D10091" s="69" t="s">
        <v>29418</v>
      </c>
      <c r="E10091" s="51"/>
      <c r="F10091" s="114" t="str">
        <f>IF(INDEX(I.Facility.P2bIDNumber,79)="","",INDEX(I.Facility.P2bIDNumber,79))</f>
        <v/>
      </c>
      <c r="G10091" s="51"/>
      <c r="H10091" s="46" t="str">
        <f>IF(AND(I.Developer.P2b=TRUE,I.Facility.P2bFacilityCount&gt;=79,F10091=""),"Incomplete","Complete")</f>
        <v>Complete</v>
      </c>
      <c r="I10091" s="48" t="s">
        <v>14456</v>
      </c>
    </row>
    <row r="10092" spans="2:9" ht="15" customHeight="1" x14ac:dyDescent="0.25">
      <c r="B10092" s="55" t="s">
        <v>281</v>
      </c>
      <c r="C10092" s="46">
        <v>80</v>
      </c>
      <c r="D10092" s="69" t="s">
        <v>29418</v>
      </c>
      <c r="E10092" s="51"/>
      <c r="F10092" s="114" t="str">
        <f>IF(INDEX(I.Facility.P2bIDNumber,80)="","",INDEX(I.Facility.P2bIDNumber,80))</f>
        <v/>
      </c>
      <c r="G10092" s="51"/>
      <c r="H10092" s="46" t="str">
        <f>IF(AND(I.Developer.P2b=TRUE,I.Facility.P2bFacilityCount&gt;=80,F10092=""),"Incomplete","Complete")</f>
        <v>Complete</v>
      </c>
      <c r="I10092" s="48" t="s">
        <v>14457</v>
      </c>
    </row>
    <row r="10093" spans="2:9" ht="15" customHeight="1" x14ac:dyDescent="0.25">
      <c r="B10093" s="55" t="s">
        <v>281</v>
      </c>
      <c r="C10093" s="46">
        <v>81</v>
      </c>
      <c r="D10093" s="69" t="s">
        <v>29418</v>
      </c>
      <c r="E10093" s="51"/>
      <c r="F10093" s="114" t="str">
        <f>IF(INDEX(I.Facility.P2bIDNumber,81)="","",INDEX(I.Facility.P2bIDNumber,81))</f>
        <v/>
      </c>
      <c r="G10093" s="51"/>
      <c r="H10093" s="46" t="str">
        <f>IF(AND(I.Developer.P2b=TRUE,I.Facility.P2bFacilityCount&gt;=81,F10093=""),"Incomplete","Complete")</f>
        <v>Complete</v>
      </c>
      <c r="I10093" s="48" t="s">
        <v>14458</v>
      </c>
    </row>
    <row r="10094" spans="2:9" ht="15" customHeight="1" x14ac:dyDescent="0.25">
      <c r="B10094" s="55" t="s">
        <v>281</v>
      </c>
      <c r="C10094" s="46">
        <v>82</v>
      </c>
      <c r="D10094" s="69" t="s">
        <v>29418</v>
      </c>
      <c r="E10094" s="51"/>
      <c r="F10094" s="114" t="str">
        <f>IF(INDEX(I.Facility.P2bIDNumber,82)="","",INDEX(I.Facility.P2bIDNumber,82))</f>
        <v/>
      </c>
      <c r="G10094" s="51"/>
      <c r="H10094" s="46" t="str">
        <f>IF(AND(I.Developer.P2b=TRUE,I.Facility.P2bFacilityCount&gt;=82,F10094=""),"Incomplete","Complete")</f>
        <v>Complete</v>
      </c>
      <c r="I10094" s="48" t="s">
        <v>14459</v>
      </c>
    </row>
    <row r="10095" spans="2:9" ht="15" customHeight="1" x14ac:dyDescent="0.25">
      <c r="B10095" s="55" t="s">
        <v>281</v>
      </c>
      <c r="C10095" s="46">
        <v>83</v>
      </c>
      <c r="D10095" s="69" t="s">
        <v>29418</v>
      </c>
      <c r="E10095" s="51"/>
      <c r="F10095" s="114" t="str">
        <f>IF(INDEX(I.Facility.P2bIDNumber,83)="","",INDEX(I.Facility.P2bIDNumber,83))</f>
        <v/>
      </c>
      <c r="G10095" s="51"/>
      <c r="H10095" s="46" t="str">
        <f>IF(AND(I.Developer.P2b=TRUE,I.Facility.P2bFacilityCount&gt;=83,F10095=""),"Incomplete","Complete")</f>
        <v>Complete</v>
      </c>
      <c r="I10095" s="48" t="s">
        <v>14460</v>
      </c>
    </row>
    <row r="10096" spans="2:9" ht="15" customHeight="1" x14ac:dyDescent="0.25">
      <c r="B10096" s="55" t="s">
        <v>281</v>
      </c>
      <c r="C10096" s="46">
        <v>84</v>
      </c>
      <c r="D10096" s="69" t="s">
        <v>29418</v>
      </c>
      <c r="E10096" s="51"/>
      <c r="F10096" s="114" t="str">
        <f>IF(INDEX(I.Facility.P2bIDNumber,84)="","",INDEX(I.Facility.P2bIDNumber,84))</f>
        <v/>
      </c>
      <c r="G10096" s="51"/>
      <c r="H10096" s="46" t="str">
        <f>IF(AND(I.Developer.P2b=TRUE,I.Facility.P2bFacilityCount&gt;=84,F10096=""),"Incomplete","Complete")</f>
        <v>Complete</v>
      </c>
      <c r="I10096" s="48" t="s">
        <v>14461</v>
      </c>
    </row>
    <row r="10097" spans="2:9" ht="15" customHeight="1" x14ac:dyDescent="0.25">
      <c r="B10097" s="55" t="s">
        <v>281</v>
      </c>
      <c r="C10097" s="46">
        <v>85</v>
      </c>
      <c r="D10097" s="69" t="s">
        <v>29418</v>
      </c>
      <c r="E10097" s="51"/>
      <c r="F10097" s="114" t="str">
        <f>IF(INDEX(I.Facility.P2bIDNumber,85)="","",INDEX(I.Facility.P2bIDNumber,85))</f>
        <v/>
      </c>
      <c r="G10097" s="51"/>
      <c r="H10097" s="46" t="str">
        <f>IF(AND(I.Developer.P2b=TRUE,I.Facility.P2bFacilityCount&gt;=85,F10097=""),"Incomplete","Complete")</f>
        <v>Complete</v>
      </c>
      <c r="I10097" s="48" t="s">
        <v>14462</v>
      </c>
    </row>
    <row r="10098" spans="2:9" ht="15" customHeight="1" x14ac:dyDescent="0.25">
      <c r="B10098" s="55" t="s">
        <v>281</v>
      </c>
      <c r="C10098" s="46">
        <v>86</v>
      </c>
      <c r="D10098" s="69" t="s">
        <v>29418</v>
      </c>
      <c r="E10098" s="51"/>
      <c r="F10098" s="114" t="str">
        <f>IF(INDEX(I.Facility.P2bIDNumber,86)="","",INDEX(I.Facility.P2bIDNumber,86))</f>
        <v/>
      </c>
      <c r="G10098" s="51"/>
      <c r="H10098" s="46" t="str">
        <f>IF(AND(I.Developer.P2b=TRUE,I.Facility.P2bFacilityCount&gt;=86,F10098=""),"Incomplete","Complete")</f>
        <v>Complete</v>
      </c>
      <c r="I10098" s="48" t="s">
        <v>14463</v>
      </c>
    </row>
    <row r="10099" spans="2:9" ht="15" customHeight="1" x14ac:dyDescent="0.25">
      <c r="B10099" s="55" t="s">
        <v>281</v>
      </c>
      <c r="C10099" s="46">
        <v>87</v>
      </c>
      <c r="D10099" s="69" t="s">
        <v>29418</v>
      </c>
      <c r="E10099" s="51"/>
      <c r="F10099" s="114" t="str">
        <f>IF(INDEX(I.Facility.P2bIDNumber,87)="","",INDEX(I.Facility.P2bIDNumber,87))</f>
        <v/>
      </c>
      <c r="G10099" s="51"/>
      <c r="H10099" s="46" t="str">
        <f>IF(AND(I.Developer.P2b=TRUE,I.Facility.P2bFacilityCount&gt;=87,F10099=""),"Incomplete","Complete")</f>
        <v>Complete</v>
      </c>
      <c r="I10099" s="48" t="s">
        <v>14464</v>
      </c>
    </row>
    <row r="10100" spans="2:9" ht="15" customHeight="1" x14ac:dyDescent="0.25">
      <c r="B10100" s="55" t="s">
        <v>281</v>
      </c>
      <c r="C10100" s="46">
        <v>88</v>
      </c>
      <c r="D10100" s="69" t="s">
        <v>29418</v>
      </c>
      <c r="E10100" s="51"/>
      <c r="F10100" s="114" t="str">
        <f>IF(INDEX(I.Facility.P2bIDNumber,88)="","",INDEX(I.Facility.P2bIDNumber,88))</f>
        <v/>
      </c>
      <c r="G10100" s="51"/>
      <c r="H10100" s="46" t="str">
        <f>IF(AND(I.Developer.P2b=TRUE,I.Facility.P2bFacilityCount&gt;=88,F10100=""),"Incomplete","Complete")</f>
        <v>Complete</v>
      </c>
      <c r="I10100" s="48" t="s">
        <v>14465</v>
      </c>
    </row>
    <row r="10101" spans="2:9" ht="15" customHeight="1" x14ac:dyDescent="0.25">
      <c r="B10101" s="55" t="s">
        <v>281</v>
      </c>
      <c r="C10101" s="46">
        <v>89</v>
      </c>
      <c r="D10101" s="69" t="s">
        <v>29418</v>
      </c>
      <c r="E10101" s="51"/>
      <c r="F10101" s="114" t="str">
        <f>IF(INDEX(I.Facility.P2bIDNumber,89)="","",INDEX(I.Facility.P2bIDNumber,89))</f>
        <v/>
      </c>
      <c r="G10101" s="51"/>
      <c r="H10101" s="46" t="str">
        <f>IF(AND(I.Developer.P2b=TRUE,I.Facility.P2bFacilityCount&gt;=89,F10101=""),"Incomplete","Complete")</f>
        <v>Complete</v>
      </c>
      <c r="I10101" s="48" t="s">
        <v>14466</v>
      </c>
    </row>
    <row r="10102" spans="2:9" ht="15" customHeight="1" x14ac:dyDescent="0.25">
      <c r="B10102" s="55" t="s">
        <v>281</v>
      </c>
      <c r="C10102" s="46">
        <v>90</v>
      </c>
      <c r="D10102" s="69" t="s">
        <v>29418</v>
      </c>
      <c r="E10102" s="51"/>
      <c r="F10102" s="114" t="str">
        <f>IF(INDEX(I.Facility.P2bIDNumber,90)="","",INDEX(I.Facility.P2bIDNumber,90))</f>
        <v/>
      </c>
      <c r="G10102" s="51"/>
      <c r="H10102" s="46" t="str">
        <f>IF(AND(I.Developer.P2b=TRUE,I.Facility.P2bFacilityCount&gt;=90,F10102=""),"Incomplete","Complete")</f>
        <v>Complete</v>
      </c>
      <c r="I10102" s="48" t="s">
        <v>14467</v>
      </c>
    </row>
    <row r="10103" spans="2:9" ht="15" customHeight="1" x14ac:dyDescent="0.25">
      <c r="B10103" s="55" t="s">
        <v>281</v>
      </c>
      <c r="C10103" s="46">
        <v>91</v>
      </c>
      <c r="D10103" s="69" t="s">
        <v>29418</v>
      </c>
      <c r="E10103" s="51"/>
      <c r="F10103" s="114" t="str">
        <f>IF(INDEX(I.Facility.P2bIDNumber,91)="","",INDEX(I.Facility.P2bIDNumber,91))</f>
        <v/>
      </c>
      <c r="G10103" s="51"/>
      <c r="H10103" s="46" t="str">
        <f>IF(AND(I.Developer.P2b=TRUE,I.Facility.P2bFacilityCount&gt;=91,F10103=""),"Incomplete","Complete")</f>
        <v>Complete</v>
      </c>
      <c r="I10103" s="48" t="s">
        <v>14468</v>
      </c>
    </row>
    <row r="10104" spans="2:9" ht="15" customHeight="1" x14ac:dyDescent="0.25">
      <c r="B10104" s="55" t="s">
        <v>281</v>
      </c>
      <c r="C10104" s="46">
        <v>92</v>
      </c>
      <c r="D10104" s="69" t="s">
        <v>29418</v>
      </c>
      <c r="E10104" s="51"/>
      <c r="F10104" s="114" t="str">
        <f>IF(INDEX(I.Facility.P2bIDNumber,92)="","",INDEX(I.Facility.P2bIDNumber,92))</f>
        <v/>
      </c>
      <c r="G10104" s="51"/>
      <c r="H10104" s="46" t="str">
        <f>IF(AND(I.Developer.P2b=TRUE,I.Facility.P2bFacilityCount&gt;=92,F10104=""),"Incomplete","Complete")</f>
        <v>Complete</v>
      </c>
      <c r="I10104" s="48" t="s">
        <v>14469</v>
      </c>
    </row>
    <row r="10105" spans="2:9" ht="15" customHeight="1" x14ac:dyDescent="0.25">
      <c r="B10105" s="55" t="s">
        <v>281</v>
      </c>
      <c r="C10105" s="46">
        <v>93</v>
      </c>
      <c r="D10105" s="69" t="s">
        <v>29418</v>
      </c>
      <c r="E10105" s="51"/>
      <c r="F10105" s="114" t="str">
        <f>IF(INDEX(I.Facility.P2bIDNumber,93)="","",INDEX(I.Facility.P2bIDNumber,93))</f>
        <v/>
      </c>
      <c r="G10105" s="51"/>
      <c r="H10105" s="46" t="str">
        <f>IF(AND(I.Developer.P2b=TRUE,I.Facility.P2bFacilityCount&gt;=93,F10105=""),"Incomplete","Complete")</f>
        <v>Complete</v>
      </c>
      <c r="I10105" s="48" t="s">
        <v>14470</v>
      </c>
    </row>
    <row r="10106" spans="2:9" ht="15" customHeight="1" x14ac:dyDescent="0.25">
      <c r="B10106" s="55" t="s">
        <v>281</v>
      </c>
      <c r="C10106" s="46">
        <v>94</v>
      </c>
      <c r="D10106" s="69" t="s">
        <v>29418</v>
      </c>
      <c r="E10106" s="51"/>
      <c r="F10106" s="114" t="str">
        <f>IF(INDEX(I.Facility.P2bIDNumber,94)="","",INDEX(I.Facility.P2bIDNumber,94))</f>
        <v/>
      </c>
      <c r="G10106" s="51"/>
      <c r="H10106" s="46" t="str">
        <f>IF(AND(I.Developer.P2b=TRUE,I.Facility.P2bFacilityCount&gt;=94,F10106=""),"Incomplete","Complete")</f>
        <v>Complete</v>
      </c>
      <c r="I10106" s="48" t="s">
        <v>14471</v>
      </c>
    </row>
    <row r="10107" spans="2:9" ht="15" customHeight="1" x14ac:dyDescent="0.25">
      <c r="B10107" s="55" t="s">
        <v>281</v>
      </c>
      <c r="C10107" s="46">
        <v>95</v>
      </c>
      <c r="D10107" s="69" t="s">
        <v>29418</v>
      </c>
      <c r="E10107" s="51"/>
      <c r="F10107" s="114" t="str">
        <f>IF(INDEX(I.Facility.P2bIDNumber,95)="","",INDEX(I.Facility.P2bIDNumber,95))</f>
        <v/>
      </c>
      <c r="G10107" s="51"/>
      <c r="H10107" s="46" t="str">
        <f>IF(AND(I.Developer.P2b=TRUE,I.Facility.P2bFacilityCount&gt;=95,F10107=""),"Incomplete","Complete")</f>
        <v>Complete</v>
      </c>
      <c r="I10107" s="48" t="s">
        <v>14472</v>
      </c>
    </row>
    <row r="10108" spans="2:9" ht="15" customHeight="1" x14ac:dyDescent="0.25">
      <c r="B10108" s="55" t="s">
        <v>281</v>
      </c>
      <c r="C10108" s="46">
        <v>96</v>
      </c>
      <c r="D10108" s="69" t="s">
        <v>29418</v>
      </c>
      <c r="E10108" s="51"/>
      <c r="F10108" s="114" t="str">
        <f>IF(INDEX(I.Facility.P2bIDNumber,96)="","",INDEX(I.Facility.P2bIDNumber,96))</f>
        <v/>
      </c>
      <c r="G10108" s="51"/>
      <c r="H10108" s="46" t="str">
        <f>IF(AND(I.Developer.P2b=TRUE,I.Facility.P2bFacilityCount&gt;=96,F10108=""),"Incomplete","Complete")</f>
        <v>Complete</v>
      </c>
      <c r="I10108" s="48" t="s">
        <v>14473</v>
      </c>
    </row>
    <row r="10109" spans="2:9" ht="15" customHeight="1" x14ac:dyDescent="0.25">
      <c r="B10109" s="55" t="s">
        <v>281</v>
      </c>
      <c r="C10109" s="46">
        <v>97</v>
      </c>
      <c r="D10109" s="69" t="s">
        <v>29418</v>
      </c>
      <c r="E10109" s="51"/>
      <c r="F10109" s="114" t="str">
        <f>IF(INDEX(I.Facility.P2bIDNumber,97)="","",INDEX(I.Facility.P2bIDNumber,97))</f>
        <v/>
      </c>
      <c r="G10109" s="51"/>
      <c r="H10109" s="46" t="str">
        <f>IF(AND(I.Developer.P2b=TRUE,I.Facility.P2bFacilityCount&gt;=97,F10109=""),"Incomplete","Complete")</f>
        <v>Complete</v>
      </c>
      <c r="I10109" s="48" t="s">
        <v>14474</v>
      </c>
    </row>
    <row r="10110" spans="2:9" ht="15" customHeight="1" x14ac:dyDescent="0.25">
      <c r="B10110" s="55" t="s">
        <v>281</v>
      </c>
      <c r="C10110" s="46">
        <v>98</v>
      </c>
      <c r="D10110" s="69" t="s">
        <v>29418</v>
      </c>
      <c r="E10110" s="51"/>
      <c r="F10110" s="114" t="str">
        <f>IF(INDEX(I.Facility.P2bIDNumber,98)="","",INDEX(I.Facility.P2bIDNumber,98))</f>
        <v/>
      </c>
      <c r="G10110" s="51"/>
      <c r="H10110" s="46" t="str">
        <f>IF(AND(I.Developer.P2b=TRUE,I.Facility.P2bFacilityCount&gt;=98,F10110=""),"Incomplete","Complete")</f>
        <v>Complete</v>
      </c>
      <c r="I10110" s="48" t="s">
        <v>14475</v>
      </c>
    </row>
    <row r="10111" spans="2:9" ht="15" customHeight="1" x14ac:dyDescent="0.25">
      <c r="B10111" s="55" t="s">
        <v>281</v>
      </c>
      <c r="C10111" s="46">
        <v>99</v>
      </c>
      <c r="D10111" s="69" t="s">
        <v>29418</v>
      </c>
      <c r="E10111" s="51"/>
      <c r="F10111" s="114" t="str">
        <f>IF(INDEX(I.Facility.P2bIDNumber,99)="","",INDEX(I.Facility.P2bIDNumber,99))</f>
        <v/>
      </c>
      <c r="G10111" s="51"/>
      <c r="H10111" s="46" t="str">
        <f>IF(AND(I.Developer.P2b=TRUE,I.Facility.P2bFacilityCount&gt;=99,F10111=""),"Incomplete","Complete")</f>
        <v>Complete</v>
      </c>
      <c r="I10111" s="48" t="s">
        <v>14476</v>
      </c>
    </row>
    <row r="10112" spans="2:9" ht="15" customHeight="1" x14ac:dyDescent="0.25">
      <c r="B10112" s="55" t="s">
        <v>281</v>
      </c>
      <c r="C10112" s="46">
        <v>100</v>
      </c>
      <c r="D10112" s="69" t="s">
        <v>29418</v>
      </c>
      <c r="E10112" s="51"/>
      <c r="F10112" s="114" t="str">
        <f>IF(INDEX(I.Facility.P2bIDNumber,100)="","",INDEX(I.Facility.P2bIDNumber,100))</f>
        <v/>
      </c>
      <c r="G10112" s="51"/>
      <c r="H10112" s="46" t="str">
        <f>IF(AND(I.Developer.P2b=TRUE,I.Facility.P2bFacilityCount&gt;=100,F10112=""),"Incomplete","Complete")</f>
        <v>Complete</v>
      </c>
      <c r="I10112" s="48" t="s">
        <v>14477</v>
      </c>
    </row>
    <row r="10113" spans="2:9" ht="15" customHeight="1" x14ac:dyDescent="0.25">
      <c r="B10113" s="55" t="s">
        <v>281</v>
      </c>
      <c r="C10113" s="46">
        <v>101</v>
      </c>
      <c r="D10113" s="69" t="s">
        <v>29418</v>
      </c>
      <c r="E10113" s="51"/>
      <c r="F10113" s="114" t="str">
        <f>IF(INDEX(I.Facility.P2bIDNumber,101)="","",INDEX(I.Facility.P2bIDNumber,101))</f>
        <v/>
      </c>
      <c r="G10113" s="51"/>
      <c r="H10113" s="46" t="str">
        <f>IF(AND(I.Developer.P2b=TRUE,I.Facility.P2bFacilityCount&gt;=101,F10113=""),"Incomplete","Complete")</f>
        <v>Complete</v>
      </c>
      <c r="I10113" s="48" t="s">
        <v>14478</v>
      </c>
    </row>
    <row r="10114" spans="2:9" ht="15" customHeight="1" x14ac:dyDescent="0.25">
      <c r="B10114" s="55" t="s">
        <v>281</v>
      </c>
      <c r="C10114" s="46">
        <v>102</v>
      </c>
      <c r="D10114" s="69" t="s">
        <v>29418</v>
      </c>
      <c r="E10114" s="51"/>
      <c r="F10114" s="114" t="str">
        <f>IF(INDEX(I.Facility.P2bIDNumber,102)="","",INDEX(I.Facility.P2bIDNumber,102))</f>
        <v/>
      </c>
      <c r="G10114" s="51"/>
      <c r="H10114" s="46" t="str">
        <f>IF(AND(I.Developer.P2b=TRUE,I.Facility.P2bFacilityCount&gt;=102,F10114=""),"Incomplete","Complete")</f>
        <v>Complete</v>
      </c>
      <c r="I10114" s="48" t="s">
        <v>14479</v>
      </c>
    </row>
    <row r="10115" spans="2:9" ht="15" customHeight="1" x14ac:dyDescent="0.25">
      <c r="B10115" s="55" t="s">
        <v>281</v>
      </c>
      <c r="C10115" s="46">
        <v>103</v>
      </c>
      <c r="D10115" s="69" t="s">
        <v>29418</v>
      </c>
      <c r="E10115" s="51"/>
      <c r="F10115" s="114" t="str">
        <f>IF(INDEX(I.Facility.P2bIDNumber,103)="","",INDEX(I.Facility.P2bIDNumber,103))</f>
        <v/>
      </c>
      <c r="G10115" s="51"/>
      <c r="H10115" s="46" t="str">
        <f>IF(AND(I.Developer.P2b=TRUE,I.Facility.P2bFacilityCount&gt;=103,F10115=""),"Incomplete","Complete")</f>
        <v>Complete</v>
      </c>
      <c r="I10115" s="48" t="s">
        <v>14480</v>
      </c>
    </row>
    <row r="10116" spans="2:9" ht="15" customHeight="1" x14ac:dyDescent="0.25">
      <c r="B10116" s="55" t="s">
        <v>281</v>
      </c>
      <c r="C10116" s="46">
        <v>104</v>
      </c>
      <c r="D10116" s="69" t="s">
        <v>29418</v>
      </c>
      <c r="E10116" s="51"/>
      <c r="F10116" s="114" t="str">
        <f>IF(INDEX(I.Facility.P2bIDNumber,104)="","",INDEX(I.Facility.P2bIDNumber,104))</f>
        <v/>
      </c>
      <c r="G10116" s="51"/>
      <c r="H10116" s="46" t="str">
        <f>IF(AND(I.Developer.P2b=TRUE,I.Facility.P2bFacilityCount&gt;=104,F10116=""),"Incomplete","Complete")</f>
        <v>Complete</v>
      </c>
      <c r="I10116" s="48" t="s">
        <v>14481</v>
      </c>
    </row>
    <row r="10117" spans="2:9" ht="15" customHeight="1" x14ac:dyDescent="0.25">
      <c r="B10117" s="55" t="s">
        <v>281</v>
      </c>
      <c r="C10117" s="46">
        <v>105</v>
      </c>
      <c r="D10117" s="69" t="s">
        <v>29418</v>
      </c>
      <c r="E10117" s="51"/>
      <c r="F10117" s="114" t="str">
        <f>IF(INDEX(I.Facility.P2bIDNumber,105)="","",INDEX(I.Facility.P2bIDNumber,105))</f>
        <v/>
      </c>
      <c r="G10117" s="51"/>
      <c r="H10117" s="46" t="str">
        <f>IF(AND(I.Developer.P2b=TRUE,I.Facility.P2bFacilityCount&gt;=105,F10117=""),"Incomplete","Complete")</f>
        <v>Complete</v>
      </c>
      <c r="I10117" s="48" t="s">
        <v>14482</v>
      </c>
    </row>
    <row r="10118" spans="2:9" ht="15" customHeight="1" x14ac:dyDescent="0.25">
      <c r="B10118" s="55" t="s">
        <v>281</v>
      </c>
      <c r="C10118" s="46">
        <v>106</v>
      </c>
      <c r="D10118" s="69" t="s">
        <v>29418</v>
      </c>
      <c r="E10118" s="51"/>
      <c r="F10118" s="114" t="str">
        <f>IF(INDEX(I.Facility.P2bIDNumber,106)="","",INDEX(I.Facility.P2bIDNumber,106))</f>
        <v/>
      </c>
      <c r="G10118" s="51"/>
      <c r="H10118" s="46" t="str">
        <f>IF(AND(I.Developer.P2b=TRUE,I.Facility.P2bFacilityCount&gt;=106,F10118=""),"Incomplete","Complete")</f>
        <v>Complete</v>
      </c>
      <c r="I10118" s="48" t="s">
        <v>14483</v>
      </c>
    </row>
    <row r="10119" spans="2:9" ht="15" customHeight="1" x14ac:dyDescent="0.25">
      <c r="B10119" s="55" t="s">
        <v>281</v>
      </c>
      <c r="C10119" s="46">
        <v>107</v>
      </c>
      <c r="D10119" s="69" t="s">
        <v>29418</v>
      </c>
      <c r="E10119" s="51"/>
      <c r="F10119" s="114" t="str">
        <f>IF(INDEX(I.Facility.P2bIDNumber,107)="","",INDEX(I.Facility.P2bIDNumber,107))</f>
        <v/>
      </c>
      <c r="G10119" s="51"/>
      <c r="H10119" s="46" t="str">
        <f>IF(AND(I.Developer.P2b=TRUE,I.Facility.P2bFacilityCount&gt;=107,F10119=""),"Incomplete","Complete")</f>
        <v>Complete</v>
      </c>
      <c r="I10119" s="48" t="s">
        <v>14484</v>
      </c>
    </row>
    <row r="10120" spans="2:9" ht="15" customHeight="1" x14ac:dyDescent="0.25">
      <c r="B10120" s="55" t="s">
        <v>281</v>
      </c>
      <c r="C10120" s="46">
        <v>108</v>
      </c>
      <c r="D10120" s="69" t="s">
        <v>29418</v>
      </c>
      <c r="E10120" s="51"/>
      <c r="F10120" s="114" t="str">
        <f>IF(INDEX(I.Facility.P2bIDNumber,108)="","",INDEX(I.Facility.P2bIDNumber,108))</f>
        <v/>
      </c>
      <c r="G10120" s="51"/>
      <c r="H10120" s="46" t="str">
        <f>IF(AND(I.Developer.P2b=TRUE,I.Facility.P2bFacilityCount&gt;=108,F10120=""),"Incomplete","Complete")</f>
        <v>Complete</v>
      </c>
      <c r="I10120" s="48" t="s">
        <v>14485</v>
      </c>
    </row>
    <row r="10121" spans="2:9" ht="15" customHeight="1" x14ac:dyDescent="0.25">
      <c r="B10121" s="55" t="s">
        <v>281</v>
      </c>
      <c r="C10121" s="46">
        <v>109</v>
      </c>
      <c r="D10121" s="69" t="s">
        <v>29418</v>
      </c>
      <c r="E10121" s="51"/>
      <c r="F10121" s="114" t="str">
        <f>IF(INDEX(I.Facility.P2bIDNumber,109)="","",INDEX(I.Facility.P2bIDNumber,109))</f>
        <v/>
      </c>
      <c r="G10121" s="51"/>
      <c r="H10121" s="46" t="str">
        <f>IF(AND(I.Developer.P2b=TRUE,I.Facility.P2bFacilityCount&gt;=109,F10121=""),"Incomplete","Complete")</f>
        <v>Complete</v>
      </c>
      <c r="I10121" s="48" t="s">
        <v>14486</v>
      </c>
    </row>
    <row r="10122" spans="2:9" ht="15" customHeight="1" x14ac:dyDescent="0.25">
      <c r="B10122" s="55" t="s">
        <v>281</v>
      </c>
      <c r="C10122" s="46">
        <v>110</v>
      </c>
      <c r="D10122" s="69" t="s">
        <v>29418</v>
      </c>
      <c r="E10122" s="51"/>
      <c r="F10122" s="114" t="str">
        <f>IF(INDEX(I.Facility.P2bIDNumber,110)="","",INDEX(I.Facility.P2bIDNumber,110))</f>
        <v/>
      </c>
      <c r="G10122" s="51"/>
      <c r="H10122" s="46" t="str">
        <f>IF(AND(I.Developer.P2b=TRUE,I.Facility.P2bFacilityCount&gt;=110,F10122=""),"Incomplete","Complete")</f>
        <v>Complete</v>
      </c>
      <c r="I10122" s="48" t="s">
        <v>14487</v>
      </c>
    </row>
    <row r="10123" spans="2:9" ht="15" customHeight="1" x14ac:dyDescent="0.25">
      <c r="B10123" s="55" t="s">
        <v>281</v>
      </c>
      <c r="C10123" s="46">
        <v>111</v>
      </c>
      <c r="D10123" s="69" t="s">
        <v>29418</v>
      </c>
      <c r="E10123" s="51"/>
      <c r="F10123" s="114" t="str">
        <f>IF(INDEX(I.Facility.P2bIDNumber,111)="","",INDEX(I.Facility.P2bIDNumber,111))</f>
        <v/>
      </c>
      <c r="G10123" s="51"/>
      <c r="H10123" s="46" t="str">
        <f>IF(AND(I.Developer.P2b=TRUE,I.Facility.P2bFacilityCount&gt;=111,F10123=""),"Incomplete","Complete")</f>
        <v>Complete</v>
      </c>
      <c r="I10123" s="48" t="s">
        <v>14488</v>
      </c>
    </row>
    <row r="10124" spans="2:9" ht="15" customHeight="1" x14ac:dyDescent="0.25">
      <c r="B10124" s="55" t="s">
        <v>281</v>
      </c>
      <c r="C10124" s="46">
        <v>112</v>
      </c>
      <c r="D10124" s="69" t="s">
        <v>29418</v>
      </c>
      <c r="E10124" s="51"/>
      <c r="F10124" s="114" t="str">
        <f>IF(INDEX(I.Facility.P2bIDNumber,112)="","",INDEX(I.Facility.P2bIDNumber,112))</f>
        <v/>
      </c>
      <c r="G10124" s="51"/>
      <c r="H10124" s="46" t="str">
        <f>IF(AND(I.Developer.P2b=TRUE,I.Facility.P2bFacilityCount&gt;=112,F10124=""),"Incomplete","Complete")</f>
        <v>Complete</v>
      </c>
      <c r="I10124" s="48" t="s">
        <v>14489</v>
      </c>
    </row>
    <row r="10125" spans="2:9" ht="15" customHeight="1" x14ac:dyDescent="0.25">
      <c r="B10125" s="55" t="s">
        <v>281</v>
      </c>
      <c r="C10125" s="46">
        <v>113</v>
      </c>
      <c r="D10125" s="69" t="s">
        <v>29418</v>
      </c>
      <c r="E10125" s="51"/>
      <c r="F10125" s="114" t="str">
        <f>IF(INDEX(I.Facility.P2bIDNumber,113)="","",INDEX(I.Facility.P2bIDNumber,113))</f>
        <v/>
      </c>
      <c r="G10125" s="51"/>
      <c r="H10125" s="46" t="str">
        <f>IF(AND(I.Developer.P2b=TRUE,I.Facility.P2bFacilityCount&gt;=113,F10125=""),"Incomplete","Complete")</f>
        <v>Complete</v>
      </c>
      <c r="I10125" s="48" t="s">
        <v>14490</v>
      </c>
    </row>
    <row r="10126" spans="2:9" ht="15" customHeight="1" x14ac:dyDescent="0.25">
      <c r="B10126" s="55" t="s">
        <v>281</v>
      </c>
      <c r="C10126" s="46">
        <v>114</v>
      </c>
      <c r="D10126" s="69" t="s">
        <v>29418</v>
      </c>
      <c r="E10126" s="51"/>
      <c r="F10126" s="114" t="str">
        <f>IF(INDEX(I.Facility.P2bIDNumber,114)="","",INDEX(I.Facility.P2bIDNumber,114))</f>
        <v/>
      </c>
      <c r="G10126" s="51"/>
      <c r="H10126" s="46" t="str">
        <f>IF(AND(I.Developer.P2b=TRUE,I.Facility.P2bFacilityCount&gt;=114,F10126=""),"Incomplete","Complete")</f>
        <v>Complete</v>
      </c>
      <c r="I10126" s="48" t="s">
        <v>14491</v>
      </c>
    </row>
    <row r="10127" spans="2:9" ht="15" customHeight="1" x14ac:dyDescent="0.25">
      <c r="B10127" s="55" t="s">
        <v>281</v>
      </c>
      <c r="C10127" s="46">
        <v>115</v>
      </c>
      <c r="D10127" s="69" t="s">
        <v>29418</v>
      </c>
      <c r="E10127" s="51"/>
      <c r="F10127" s="114" t="str">
        <f>IF(INDEX(I.Facility.P2bIDNumber,115)="","",INDEX(I.Facility.P2bIDNumber,115))</f>
        <v/>
      </c>
      <c r="G10127" s="51"/>
      <c r="H10127" s="46" t="str">
        <f>IF(AND(I.Developer.P2b=TRUE,I.Facility.P2bFacilityCount&gt;=115,F10127=""),"Incomplete","Complete")</f>
        <v>Complete</v>
      </c>
      <c r="I10127" s="48" t="s">
        <v>14492</v>
      </c>
    </row>
    <row r="10128" spans="2:9" ht="15" customHeight="1" x14ac:dyDescent="0.25">
      <c r="B10128" s="55" t="s">
        <v>281</v>
      </c>
      <c r="C10128" s="46">
        <v>116</v>
      </c>
      <c r="D10128" s="69" t="s">
        <v>29418</v>
      </c>
      <c r="E10128" s="51"/>
      <c r="F10128" s="114" t="str">
        <f>IF(INDEX(I.Facility.P2bIDNumber,116)="","",INDEX(I.Facility.P2bIDNumber,116))</f>
        <v/>
      </c>
      <c r="G10128" s="51"/>
      <c r="H10128" s="46" t="str">
        <f>IF(AND(I.Developer.P2b=TRUE,I.Facility.P2bFacilityCount&gt;=116,F10128=""),"Incomplete","Complete")</f>
        <v>Complete</v>
      </c>
      <c r="I10128" s="48" t="s">
        <v>14493</v>
      </c>
    </row>
    <row r="10129" spans="2:9" ht="15" customHeight="1" x14ac:dyDescent="0.25">
      <c r="B10129" s="55" t="s">
        <v>281</v>
      </c>
      <c r="C10129" s="46">
        <v>117</v>
      </c>
      <c r="D10129" s="69" t="s">
        <v>29418</v>
      </c>
      <c r="E10129" s="51"/>
      <c r="F10129" s="114" t="str">
        <f>IF(INDEX(I.Facility.P2bIDNumber,117)="","",INDEX(I.Facility.P2bIDNumber,117))</f>
        <v/>
      </c>
      <c r="G10129" s="51"/>
      <c r="H10129" s="46" t="str">
        <f>IF(AND(I.Developer.P2b=TRUE,I.Facility.P2bFacilityCount&gt;=117,F10129=""),"Incomplete","Complete")</f>
        <v>Complete</v>
      </c>
      <c r="I10129" s="48" t="s">
        <v>14494</v>
      </c>
    </row>
    <row r="10130" spans="2:9" ht="15" customHeight="1" x14ac:dyDescent="0.25">
      <c r="B10130" s="55" t="s">
        <v>281</v>
      </c>
      <c r="C10130" s="46">
        <v>118</v>
      </c>
      <c r="D10130" s="69" t="s">
        <v>29418</v>
      </c>
      <c r="E10130" s="51"/>
      <c r="F10130" s="114" t="str">
        <f>IF(INDEX(I.Facility.P2bIDNumber,118)="","",INDEX(I.Facility.P2bIDNumber,118))</f>
        <v/>
      </c>
      <c r="G10130" s="51"/>
      <c r="H10130" s="46" t="str">
        <f>IF(AND(I.Developer.P2b=TRUE,I.Facility.P2bFacilityCount&gt;=118,F10130=""),"Incomplete","Complete")</f>
        <v>Complete</v>
      </c>
      <c r="I10130" s="48" t="s">
        <v>14495</v>
      </c>
    </row>
    <row r="10131" spans="2:9" ht="15" customHeight="1" x14ac:dyDescent="0.25">
      <c r="B10131" s="55" t="s">
        <v>281</v>
      </c>
      <c r="C10131" s="46">
        <v>119</v>
      </c>
      <c r="D10131" s="69" t="s">
        <v>29418</v>
      </c>
      <c r="E10131" s="51"/>
      <c r="F10131" s="114" t="str">
        <f>IF(INDEX(I.Facility.P2bIDNumber,119)="","",INDEX(I.Facility.P2bIDNumber,119))</f>
        <v/>
      </c>
      <c r="G10131" s="51"/>
      <c r="H10131" s="46" t="str">
        <f>IF(AND(I.Developer.P2b=TRUE,I.Facility.P2bFacilityCount&gt;=119,F10131=""),"Incomplete","Complete")</f>
        <v>Complete</v>
      </c>
      <c r="I10131" s="48" t="s">
        <v>14496</v>
      </c>
    </row>
    <row r="10132" spans="2:9" ht="15" customHeight="1" x14ac:dyDescent="0.25">
      <c r="B10132" s="55" t="s">
        <v>281</v>
      </c>
      <c r="C10132" s="46">
        <v>120</v>
      </c>
      <c r="D10132" s="69" t="s">
        <v>29418</v>
      </c>
      <c r="E10132" s="51"/>
      <c r="F10132" s="114" t="str">
        <f>IF(INDEX(I.Facility.P2bIDNumber,120)="","",INDEX(I.Facility.P2bIDNumber,120))</f>
        <v/>
      </c>
      <c r="G10132" s="51"/>
      <c r="H10132" s="46" t="str">
        <f>IF(AND(I.Developer.P2b=TRUE,I.Facility.P2bFacilityCount&gt;=120,F10132=""),"Incomplete","Complete")</f>
        <v>Complete</v>
      </c>
      <c r="I10132" s="48" t="s">
        <v>14497</v>
      </c>
    </row>
    <row r="10133" spans="2:9" ht="15" customHeight="1" x14ac:dyDescent="0.25">
      <c r="B10133" s="55" t="s">
        <v>281</v>
      </c>
      <c r="C10133" s="46">
        <v>121</v>
      </c>
      <c r="D10133" s="69" t="s">
        <v>29418</v>
      </c>
      <c r="E10133" s="51"/>
      <c r="F10133" s="114" t="str">
        <f>IF(INDEX(I.Facility.P2bIDNumber,121)="","",INDEX(I.Facility.P2bIDNumber,121))</f>
        <v/>
      </c>
      <c r="G10133" s="51"/>
      <c r="H10133" s="46" t="str">
        <f>IF(AND(I.Developer.P2b=TRUE,I.Facility.P2bFacilityCount&gt;=121,F10133=""),"Incomplete","Complete")</f>
        <v>Complete</v>
      </c>
      <c r="I10133" s="48" t="s">
        <v>14498</v>
      </c>
    </row>
    <row r="10134" spans="2:9" ht="15" customHeight="1" x14ac:dyDescent="0.25">
      <c r="B10134" s="55" t="s">
        <v>281</v>
      </c>
      <c r="C10134" s="46">
        <v>122</v>
      </c>
      <c r="D10134" s="69" t="s">
        <v>29418</v>
      </c>
      <c r="E10134" s="51"/>
      <c r="F10134" s="114" t="str">
        <f>IF(INDEX(I.Facility.P2bIDNumber,122)="","",INDEX(I.Facility.P2bIDNumber,122))</f>
        <v/>
      </c>
      <c r="G10134" s="51"/>
      <c r="H10134" s="46" t="str">
        <f>IF(AND(I.Developer.P2b=TRUE,I.Facility.P2bFacilityCount&gt;=122,F10134=""),"Incomplete","Complete")</f>
        <v>Complete</v>
      </c>
      <c r="I10134" s="48" t="s">
        <v>14499</v>
      </c>
    </row>
    <row r="10135" spans="2:9" ht="15" customHeight="1" x14ac:dyDescent="0.25">
      <c r="B10135" s="55" t="s">
        <v>281</v>
      </c>
      <c r="C10135" s="46">
        <v>123</v>
      </c>
      <c r="D10135" s="69" t="s">
        <v>29418</v>
      </c>
      <c r="E10135" s="51"/>
      <c r="F10135" s="114" t="str">
        <f>IF(INDEX(I.Facility.P2bIDNumber,123)="","",INDEX(I.Facility.P2bIDNumber,123))</f>
        <v/>
      </c>
      <c r="G10135" s="51"/>
      <c r="H10135" s="46" t="str">
        <f>IF(AND(I.Developer.P2b=TRUE,I.Facility.P2bFacilityCount&gt;=123,F10135=""),"Incomplete","Complete")</f>
        <v>Complete</v>
      </c>
      <c r="I10135" s="48" t="s">
        <v>14500</v>
      </c>
    </row>
    <row r="10136" spans="2:9" ht="15" customHeight="1" x14ac:dyDescent="0.25">
      <c r="B10136" s="55" t="s">
        <v>281</v>
      </c>
      <c r="C10136" s="46">
        <v>124</v>
      </c>
      <c r="D10136" s="69" t="s">
        <v>29418</v>
      </c>
      <c r="E10136" s="51"/>
      <c r="F10136" s="114" t="str">
        <f>IF(INDEX(I.Facility.P2bIDNumber,124)="","",INDEX(I.Facility.P2bIDNumber,124))</f>
        <v/>
      </c>
      <c r="G10136" s="51"/>
      <c r="H10136" s="46" t="str">
        <f>IF(AND(I.Developer.P2b=TRUE,I.Facility.P2bFacilityCount&gt;=124,F10136=""),"Incomplete","Complete")</f>
        <v>Complete</v>
      </c>
      <c r="I10136" s="48" t="s">
        <v>14501</v>
      </c>
    </row>
    <row r="10137" spans="2:9" ht="15" customHeight="1" x14ac:dyDescent="0.25">
      <c r="B10137" s="55" t="s">
        <v>281</v>
      </c>
      <c r="C10137" s="46">
        <v>125</v>
      </c>
      <c r="D10137" s="69" t="s">
        <v>29418</v>
      </c>
      <c r="E10137" s="51"/>
      <c r="F10137" s="114" t="str">
        <f>IF(INDEX(I.Facility.P2bIDNumber,125)="","",INDEX(I.Facility.P2bIDNumber,125))</f>
        <v/>
      </c>
      <c r="G10137" s="51"/>
      <c r="H10137" s="46" t="str">
        <f>IF(AND(I.Developer.P2b=TRUE,I.Facility.P2bFacilityCount&gt;=125,F10137=""),"Incomplete","Complete")</f>
        <v>Complete</v>
      </c>
      <c r="I10137" s="48" t="s">
        <v>14502</v>
      </c>
    </row>
    <row r="10138" spans="2:9" ht="15" customHeight="1" x14ac:dyDescent="0.25">
      <c r="B10138" s="55" t="s">
        <v>281</v>
      </c>
      <c r="C10138" s="46">
        <v>126</v>
      </c>
      <c r="D10138" s="69" t="s">
        <v>29418</v>
      </c>
      <c r="E10138" s="51"/>
      <c r="F10138" s="114" t="str">
        <f>IF(INDEX(I.Facility.P2bIDNumber,126)="","",INDEX(I.Facility.P2bIDNumber,126))</f>
        <v/>
      </c>
      <c r="G10138" s="51"/>
      <c r="H10138" s="46" t="str">
        <f>IF(AND(I.Developer.P2b=TRUE,I.Facility.P2bFacilityCount&gt;=126,F10138=""),"Incomplete","Complete")</f>
        <v>Complete</v>
      </c>
      <c r="I10138" s="48" t="s">
        <v>14503</v>
      </c>
    </row>
    <row r="10139" spans="2:9" ht="15" customHeight="1" x14ac:dyDescent="0.25">
      <c r="B10139" s="55" t="s">
        <v>281</v>
      </c>
      <c r="C10139" s="46">
        <v>127</v>
      </c>
      <c r="D10139" s="69" t="s">
        <v>29418</v>
      </c>
      <c r="E10139" s="51"/>
      <c r="F10139" s="114" t="str">
        <f>IF(INDEX(I.Facility.P2bIDNumber,127)="","",INDEX(I.Facility.P2bIDNumber,127))</f>
        <v/>
      </c>
      <c r="G10139" s="51"/>
      <c r="H10139" s="46" t="str">
        <f>IF(AND(I.Developer.P2b=TRUE,I.Facility.P2bFacilityCount&gt;=127,F10139=""),"Incomplete","Complete")</f>
        <v>Complete</v>
      </c>
      <c r="I10139" s="48" t="s">
        <v>14504</v>
      </c>
    </row>
    <row r="10140" spans="2:9" ht="15" customHeight="1" x14ac:dyDescent="0.25">
      <c r="B10140" s="55" t="s">
        <v>281</v>
      </c>
      <c r="C10140" s="46">
        <v>128</v>
      </c>
      <c r="D10140" s="69" t="s">
        <v>29418</v>
      </c>
      <c r="E10140" s="51"/>
      <c r="F10140" s="114" t="str">
        <f>IF(INDEX(I.Facility.P2bIDNumber,128)="","",INDEX(I.Facility.P2bIDNumber,128))</f>
        <v/>
      </c>
      <c r="G10140" s="51"/>
      <c r="H10140" s="46" t="str">
        <f>IF(AND(I.Developer.P2b=TRUE,I.Facility.P2bFacilityCount&gt;=128,F10140=""),"Incomplete","Complete")</f>
        <v>Complete</v>
      </c>
      <c r="I10140" s="48" t="s">
        <v>14505</v>
      </c>
    </row>
    <row r="10141" spans="2:9" ht="15" customHeight="1" x14ac:dyDescent="0.25">
      <c r="B10141" s="55" t="s">
        <v>281</v>
      </c>
      <c r="C10141" s="46">
        <v>129</v>
      </c>
      <c r="D10141" s="69" t="s">
        <v>29418</v>
      </c>
      <c r="E10141" s="51"/>
      <c r="F10141" s="114" t="str">
        <f>IF(INDEX(I.Facility.P2bIDNumber,129)="","",INDEX(I.Facility.P2bIDNumber,129))</f>
        <v/>
      </c>
      <c r="G10141" s="51"/>
      <c r="H10141" s="46" t="str">
        <f>IF(AND(I.Developer.P2b=TRUE,I.Facility.P2bFacilityCount&gt;=129,F10141=""),"Incomplete","Complete")</f>
        <v>Complete</v>
      </c>
      <c r="I10141" s="48" t="s">
        <v>14506</v>
      </c>
    </row>
    <row r="10142" spans="2:9" ht="15" customHeight="1" x14ac:dyDescent="0.25">
      <c r="B10142" s="55" t="s">
        <v>281</v>
      </c>
      <c r="C10142" s="46">
        <v>130</v>
      </c>
      <c r="D10142" s="69" t="s">
        <v>29418</v>
      </c>
      <c r="E10142" s="51"/>
      <c r="F10142" s="114" t="str">
        <f>IF(INDEX(I.Facility.P2bIDNumber,130)="","",INDEX(I.Facility.P2bIDNumber,130))</f>
        <v/>
      </c>
      <c r="G10142" s="51"/>
      <c r="H10142" s="46" t="str">
        <f>IF(AND(I.Developer.P2b=TRUE,I.Facility.P2bFacilityCount&gt;=130,F10142=""),"Incomplete","Complete")</f>
        <v>Complete</v>
      </c>
      <c r="I10142" s="48" t="s">
        <v>14507</v>
      </c>
    </row>
    <row r="10143" spans="2:9" ht="15" customHeight="1" x14ac:dyDescent="0.25">
      <c r="B10143" s="55" t="s">
        <v>281</v>
      </c>
      <c r="C10143" s="46">
        <v>131</v>
      </c>
      <c r="D10143" s="69" t="s">
        <v>29418</v>
      </c>
      <c r="E10143" s="51"/>
      <c r="F10143" s="114" t="str">
        <f>IF(INDEX(I.Facility.P2bIDNumber,131)="","",INDEX(I.Facility.P2bIDNumber,131))</f>
        <v/>
      </c>
      <c r="G10143" s="51"/>
      <c r="H10143" s="46" t="str">
        <f>IF(AND(I.Developer.P2b=TRUE,I.Facility.P2bFacilityCount&gt;=131,F10143=""),"Incomplete","Complete")</f>
        <v>Complete</v>
      </c>
      <c r="I10143" s="48" t="s">
        <v>14508</v>
      </c>
    </row>
    <row r="10144" spans="2:9" ht="15" customHeight="1" x14ac:dyDescent="0.25">
      <c r="B10144" s="55" t="s">
        <v>281</v>
      </c>
      <c r="C10144" s="46">
        <v>132</v>
      </c>
      <c r="D10144" s="69" t="s">
        <v>29418</v>
      </c>
      <c r="E10144" s="51"/>
      <c r="F10144" s="114" t="str">
        <f>IF(INDEX(I.Facility.P2bIDNumber,132)="","",INDEX(I.Facility.P2bIDNumber,132))</f>
        <v/>
      </c>
      <c r="G10144" s="51"/>
      <c r="H10144" s="46" t="str">
        <f>IF(AND(I.Developer.P2b=TRUE,I.Facility.P2bFacilityCount&gt;=132,F10144=""),"Incomplete","Complete")</f>
        <v>Complete</v>
      </c>
      <c r="I10144" s="48" t="s">
        <v>14509</v>
      </c>
    </row>
    <row r="10145" spans="2:9" ht="15" customHeight="1" x14ac:dyDescent="0.25">
      <c r="B10145" s="55" t="s">
        <v>281</v>
      </c>
      <c r="C10145" s="46">
        <v>133</v>
      </c>
      <c r="D10145" s="69" t="s">
        <v>29418</v>
      </c>
      <c r="E10145" s="51"/>
      <c r="F10145" s="114" t="str">
        <f>IF(INDEX(I.Facility.P2bIDNumber,133)="","",INDEX(I.Facility.P2bIDNumber,133))</f>
        <v/>
      </c>
      <c r="G10145" s="51"/>
      <c r="H10145" s="46" t="str">
        <f>IF(AND(I.Developer.P2b=TRUE,I.Facility.P2bFacilityCount&gt;=133,F10145=""),"Incomplete","Complete")</f>
        <v>Complete</v>
      </c>
      <c r="I10145" s="48" t="s">
        <v>14510</v>
      </c>
    </row>
    <row r="10146" spans="2:9" ht="15" customHeight="1" x14ac:dyDescent="0.25">
      <c r="B10146" s="55" t="s">
        <v>281</v>
      </c>
      <c r="C10146" s="46">
        <v>134</v>
      </c>
      <c r="D10146" s="69" t="s">
        <v>29418</v>
      </c>
      <c r="E10146" s="51"/>
      <c r="F10146" s="114" t="str">
        <f>IF(INDEX(I.Facility.P2bIDNumber,134)="","",INDEX(I.Facility.P2bIDNumber,134))</f>
        <v/>
      </c>
      <c r="G10146" s="51"/>
      <c r="H10146" s="46" t="str">
        <f>IF(AND(I.Developer.P2b=TRUE,I.Facility.P2bFacilityCount&gt;=134,F10146=""),"Incomplete","Complete")</f>
        <v>Complete</v>
      </c>
      <c r="I10146" s="48" t="s">
        <v>14511</v>
      </c>
    </row>
    <row r="10147" spans="2:9" ht="15" customHeight="1" x14ac:dyDescent="0.25">
      <c r="B10147" s="55" t="s">
        <v>281</v>
      </c>
      <c r="C10147" s="46">
        <v>135</v>
      </c>
      <c r="D10147" s="69" t="s">
        <v>29418</v>
      </c>
      <c r="E10147" s="51"/>
      <c r="F10147" s="114" t="str">
        <f>IF(INDEX(I.Facility.P2bIDNumber,135)="","",INDEX(I.Facility.P2bIDNumber,135))</f>
        <v/>
      </c>
      <c r="G10147" s="51"/>
      <c r="H10147" s="46" t="str">
        <f>IF(AND(I.Developer.P2b=TRUE,I.Facility.P2bFacilityCount&gt;=135,F10147=""),"Incomplete","Complete")</f>
        <v>Complete</v>
      </c>
      <c r="I10147" s="48" t="s">
        <v>14512</v>
      </c>
    </row>
    <row r="10148" spans="2:9" ht="15" customHeight="1" x14ac:dyDescent="0.25">
      <c r="B10148" s="55" t="s">
        <v>281</v>
      </c>
      <c r="C10148" s="46">
        <v>136</v>
      </c>
      <c r="D10148" s="69" t="s">
        <v>29418</v>
      </c>
      <c r="E10148" s="51"/>
      <c r="F10148" s="114" t="str">
        <f>IF(INDEX(I.Facility.P2bIDNumber,136)="","",INDEX(I.Facility.P2bIDNumber,136))</f>
        <v/>
      </c>
      <c r="G10148" s="51"/>
      <c r="H10148" s="46" t="str">
        <f>IF(AND(I.Developer.P2b=TRUE,I.Facility.P2bFacilityCount&gt;=136,F10148=""),"Incomplete","Complete")</f>
        <v>Complete</v>
      </c>
      <c r="I10148" s="48" t="s">
        <v>14513</v>
      </c>
    </row>
    <row r="10149" spans="2:9" ht="15" customHeight="1" x14ac:dyDescent="0.25">
      <c r="B10149" s="55" t="s">
        <v>281</v>
      </c>
      <c r="C10149" s="46">
        <v>137</v>
      </c>
      <c r="D10149" s="69" t="s">
        <v>29418</v>
      </c>
      <c r="E10149" s="51"/>
      <c r="F10149" s="114" t="str">
        <f>IF(INDEX(I.Facility.P2bIDNumber,137)="","",INDEX(I.Facility.P2bIDNumber,137))</f>
        <v/>
      </c>
      <c r="G10149" s="51"/>
      <c r="H10149" s="46" t="str">
        <f>IF(AND(I.Developer.P2b=TRUE,I.Facility.P2bFacilityCount&gt;=137,F10149=""),"Incomplete","Complete")</f>
        <v>Complete</v>
      </c>
      <c r="I10149" s="48" t="s">
        <v>14514</v>
      </c>
    </row>
    <row r="10150" spans="2:9" ht="15" customHeight="1" x14ac:dyDescent="0.25">
      <c r="B10150" s="55" t="s">
        <v>281</v>
      </c>
      <c r="C10150" s="46">
        <v>138</v>
      </c>
      <c r="D10150" s="69" t="s">
        <v>29418</v>
      </c>
      <c r="E10150" s="51"/>
      <c r="F10150" s="114" t="str">
        <f>IF(INDEX(I.Facility.P2bIDNumber,138)="","",INDEX(I.Facility.P2bIDNumber,138))</f>
        <v/>
      </c>
      <c r="G10150" s="51"/>
      <c r="H10150" s="46" t="str">
        <f>IF(AND(I.Developer.P2b=TRUE,I.Facility.P2bFacilityCount&gt;=138,F10150=""),"Incomplete","Complete")</f>
        <v>Complete</v>
      </c>
      <c r="I10150" s="48" t="s">
        <v>14515</v>
      </c>
    </row>
    <row r="10151" spans="2:9" ht="15" customHeight="1" x14ac:dyDescent="0.25">
      <c r="B10151" s="55" t="s">
        <v>281</v>
      </c>
      <c r="C10151" s="46">
        <v>139</v>
      </c>
      <c r="D10151" s="69" t="s">
        <v>29418</v>
      </c>
      <c r="E10151" s="51"/>
      <c r="F10151" s="114" t="str">
        <f>IF(INDEX(I.Facility.P2bIDNumber,139)="","",INDEX(I.Facility.P2bIDNumber,139))</f>
        <v/>
      </c>
      <c r="G10151" s="51"/>
      <c r="H10151" s="46" t="str">
        <f>IF(AND(I.Developer.P2b=TRUE,I.Facility.P2bFacilityCount&gt;=139,F10151=""),"Incomplete","Complete")</f>
        <v>Complete</v>
      </c>
      <c r="I10151" s="48" t="s">
        <v>14516</v>
      </c>
    </row>
    <row r="10152" spans="2:9" ht="15" customHeight="1" x14ac:dyDescent="0.25">
      <c r="B10152" s="55" t="s">
        <v>281</v>
      </c>
      <c r="C10152" s="46">
        <v>140</v>
      </c>
      <c r="D10152" s="69" t="s">
        <v>29418</v>
      </c>
      <c r="E10152" s="51"/>
      <c r="F10152" s="114" t="str">
        <f>IF(INDEX(I.Facility.P2bIDNumber,140)="","",INDEX(I.Facility.P2bIDNumber,140))</f>
        <v/>
      </c>
      <c r="G10152" s="51"/>
      <c r="H10152" s="46" t="str">
        <f>IF(AND(I.Developer.P2b=TRUE,I.Facility.P2bFacilityCount&gt;=140,F10152=""),"Incomplete","Complete")</f>
        <v>Complete</v>
      </c>
      <c r="I10152" s="48" t="s">
        <v>14517</v>
      </c>
    </row>
    <row r="10153" spans="2:9" ht="15" customHeight="1" x14ac:dyDescent="0.25">
      <c r="B10153" s="55" t="s">
        <v>281</v>
      </c>
      <c r="C10153" s="46">
        <v>141</v>
      </c>
      <c r="D10153" s="69" t="s">
        <v>29418</v>
      </c>
      <c r="E10153" s="51"/>
      <c r="F10153" s="114" t="str">
        <f>IF(INDEX(I.Facility.P2bIDNumber,141)="","",INDEX(I.Facility.P2bIDNumber,141))</f>
        <v/>
      </c>
      <c r="G10153" s="51"/>
      <c r="H10153" s="46" t="str">
        <f>IF(AND(I.Developer.P2b=TRUE,I.Facility.P2bFacilityCount&gt;=141,F10153=""),"Incomplete","Complete")</f>
        <v>Complete</v>
      </c>
      <c r="I10153" s="48" t="s">
        <v>14518</v>
      </c>
    </row>
    <row r="10154" spans="2:9" ht="15" customHeight="1" x14ac:dyDescent="0.25">
      <c r="B10154" s="55" t="s">
        <v>281</v>
      </c>
      <c r="C10154" s="46">
        <v>142</v>
      </c>
      <c r="D10154" s="69" t="s">
        <v>29418</v>
      </c>
      <c r="E10154" s="51"/>
      <c r="F10154" s="114" t="str">
        <f>IF(INDEX(I.Facility.P2bIDNumber,142)="","",INDEX(I.Facility.P2bIDNumber,142))</f>
        <v/>
      </c>
      <c r="G10154" s="51"/>
      <c r="H10154" s="46" t="str">
        <f>IF(AND(I.Developer.P2b=TRUE,I.Facility.P2bFacilityCount&gt;=142,F10154=""),"Incomplete","Complete")</f>
        <v>Complete</v>
      </c>
      <c r="I10154" s="48" t="s">
        <v>14519</v>
      </c>
    </row>
    <row r="10155" spans="2:9" ht="15" customHeight="1" x14ac:dyDescent="0.25">
      <c r="B10155" s="55" t="s">
        <v>281</v>
      </c>
      <c r="C10155" s="46">
        <v>143</v>
      </c>
      <c r="D10155" s="69" t="s">
        <v>29418</v>
      </c>
      <c r="E10155" s="51"/>
      <c r="F10155" s="114" t="str">
        <f>IF(INDEX(I.Facility.P2bIDNumber,143)="","",INDEX(I.Facility.P2bIDNumber,143))</f>
        <v/>
      </c>
      <c r="G10155" s="51"/>
      <c r="H10155" s="46" t="str">
        <f>IF(AND(I.Developer.P2b=TRUE,I.Facility.P2bFacilityCount&gt;=143,F10155=""),"Incomplete","Complete")</f>
        <v>Complete</v>
      </c>
      <c r="I10155" s="48" t="s">
        <v>14520</v>
      </c>
    </row>
    <row r="10156" spans="2:9" ht="15" customHeight="1" x14ac:dyDescent="0.25">
      <c r="B10156" s="55" t="s">
        <v>281</v>
      </c>
      <c r="C10156" s="46">
        <v>144</v>
      </c>
      <c r="D10156" s="69" t="s">
        <v>29418</v>
      </c>
      <c r="E10156" s="51"/>
      <c r="F10156" s="114" t="str">
        <f>IF(INDEX(I.Facility.P2bIDNumber,144)="","",INDEX(I.Facility.P2bIDNumber,144))</f>
        <v/>
      </c>
      <c r="G10156" s="51"/>
      <c r="H10156" s="46" t="str">
        <f>IF(AND(I.Developer.P2b=TRUE,I.Facility.P2bFacilityCount&gt;=144,F10156=""),"Incomplete","Complete")</f>
        <v>Complete</v>
      </c>
      <c r="I10156" s="48" t="s">
        <v>14521</v>
      </c>
    </row>
    <row r="10157" spans="2:9" ht="15" customHeight="1" x14ac:dyDescent="0.25">
      <c r="B10157" s="55" t="s">
        <v>281</v>
      </c>
      <c r="C10157" s="46">
        <v>145</v>
      </c>
      <c r="D10157" s="69" t="s">
        <v>29418</v>
      </c>
      <c r="E10157" s="51"/>
      <c r="F10157" s="114" t="str">
        <f>IF(INDEX(I.Facility.P2bIDNumber,145)="","",INDEX(I.Facility.P2bIDNumber,145))</f>
        <v/>
      </c>
      <c r="G10157" s="51"/>
      <c r="H10157" s="46" t="str">
        <f>IF(AND(I.Developer.P2b=TRUE,I.Facility.P2bFacilityCount&gt;=145,F10157=""),"Incomplete","Complete")</f>
        <v>Complete</v>
      </c>
      <c r="I10157" s="48" t="s">
        <v>14522</v>
      </c>
    </row>
    <row r="10158" spans="2:9" ht="15" customHeight="1" x14ac:dyDescent="0.25">
      <c r="B10158" s="55" t="s">
        <v>281</v>
      </c>
      <c r="C10158" s="46">
        <v>146</v>
      </c>
      <c r="D10158" s="69" t="s">
        <v>29418</v>
      </c>
      <c r="E10158" s="51"/>
      <c r="F10158" s="114" t="str">
        <f>IF(INDEX(I.Facility.P2bIDNumber,146)="","",INDEX(I.Facility.P2bIDNumber,146))</f>
        <v/>
      </c>
      <c r="G10158" s="51"/>
      <c r="H10158" s="46" t="str">
        <f>IF(AND(I.Developer.P2b=TRUE,I.Facility.P2bFacilityCount&gt;=146,F10158=""),"Incomplete","Complete")</f>
        <v>Complete</v>
      </c>
      <c r="I10158" s="48" t="s">
        <v>14523</v>
      </c>
    </row>
    <row r="10159" spans="2:9" ht="15" customHeight="1" x14ac:dyDescent="0.25">
      <c r="B10159" s="55" t="s">
        <v>281</v>
      </c>
      <c r="C10159" s="46">
        <v>147</v>
      </c>
      <c r="D10159" s="69" t="s">
        <v>29418</v>
      </c>
      <c r="E10159" s="51"/>
      <c r="F10159" s="114" t="str">
        <f>IF(INDEX(I.Facility.P2bIDNumber,147)="","",INDEX(I.Facility.P2bIDNumber,147))</f>
        <v/>
      </c>
      <c r="G10159" s="51"/>
      <c r="H10159" s="46" t="str">
        <f>IF(AND(I.Developer.P2b=TRUE,I.Facility.P2bFacilityCount&gt;=147,F10159=""),"Incomplete","Complete")</f>
        <v>Complete</v>
      </c>
      <c r="I10159" s="48" t="s">
        <v>14524</v>
      </c>
    </row>
    <row r="10160" spans="2:9" ht="15" customHeight="1" x14ac:dyDescent="0.25">
      <c r="B10160" s="55" t="s">
        <v>281</v>
      </c>
      <c r="C10160" s="46">
        <v>148</v>
      </c>
      <c r="D10160" s="69" t="s">
        <v>29418</v>
      </c>
      <c r="E10160" s="51"/>
      <c r="F10160" s="114" t="str">
        <f>IF(INDEX(I.Facility.P2bIDNumber,148)="","",INDEX(I.Facility.P2bIDNumber,148))</f>
        <v/>
      </c>
      <c r="G10160" s="51"/>
      <c r="H10160" s="46" t="str">
        <f>IF(AND(I.Developer.P2b=TRUE,I.Facility.P2bFacilityCount&gt;=148,F10160=""),"Incomplete","Complete")</f>
        <v>Complete</v>
      </c>
      <c r="I10160" s="48" t="s">
        <v>14525</v>
      </c>
    </row>
    <row r="10161" spans="2:9" ht="15" customHeight="1" x14ac:dyDescent="0.25">
      <c r="B10161" s="55" t="s">
        <v>281</v>
      </c>
      <c r="C10161" s="46">
        <v>149</v>
      </c>
      <c r="D10161" s="69" t="s">
        <v>29418</v>
      </c>
      <c r="E10161" s="51"/>
      <c r="F10161" s="114" t="str">
        <f>IF(INDEX(I.Facility.P2bIDNumber,149)="","",INDEX(I.Facility.P2bIDNumber,149))</f>
        <v/>
      </c>
      <c r="G10161" s="51"/>
      <c r="H10161" s="46" t="str">
        <f>IF(AND(I.Developer.P2b=TRUE,I.Facility.P2bFacilityCount&gt;=149,F10161=""),"Incomplete","Complete")</f>
        <v>Complete</v>
      </c>
      <c r="I10161" s="48" t="s">
        <v>14526</v>
      </c>
    </row>
    <row r="10162" spans="2:9" ht="15" customHeight="1" x14ac:dyDescent="0.25">
      <c r="B10162" s="55" t="s">
        <v>281</v>
      </c>
      <c r="C10162" s="46">
        <v>150</v>
      </c>
      <c r="D10162" s="69" t="s">
        <v>29418</v>
      </c>
      <c r="E10162" s="51"/>
      <c r="F10162" s="114" t="str">
        <f>IF(INDEX(I.Facility.P2bIDNumber,150)="","",INDEX(I.Facility.P2bIDNumber,150))</f>
        <v/>
      </c>
      <c r="G10162" s="51"/>
      <c r="H10162" s="46" t="str">
        <f>IF(AND(I.Developer.P2b=TRUE,I.Facility.P2bFacilityCount&gt;=150,F10162=""),"Incomplete","Complete")</f>
        <v>Complete</v>
      </c>
      <c r="I10162" s="48" t="s">
        <v>14527</v>
      </c>
    </row>
    <row r="10163" spans="2:9" ht="15" customHeight="1" x14ac:dyDescent="0.25">
      <c r="B10163" s="55" t="s">
        <v>281</v>
      </c>
      <c r="C10163" s="46">
        <v>151</v>
      </c>
      <c r="D10163" s="69" t="s">
        <v>29418</v>
      </c>
      <c r="E10163" s="51"/>
      <c r="F10163" s="114" t="str">
        <f>IF(INDEX(I.Facility.P2bIDNumber,151)="","",INDEX(I.Facility.P2bIDNumber,151))</f>
        <v/>
      </c>
      <c r="G10163" s="51"/>
      <c r="H10163" s="46" t="str">
        <f>IF(AND(I.Developer.P2b=TRUE,I.Facility.P2bFacilityCount&gt;=151,F10163=""),"Incomplete","Complete")</f>
        <v>Complete</v>
      </c>
      <c r="I10163" s="48" t="s">
        <v>14528</v>
      </c>
    </row>
    <row r="10164" spans="2:9" ht="15" customHeight="1" x14ac:dyDescent="0.25">
      <c r="B10164" s="55" t="s">
        <v>281</v>
      </c>
      <c r="C10164" s="46">
        <v>152</v>
      </c>
      <c r="D10164" s="69" t="s">
        <v>29418</v>
      </c>
      <c r="E10164" s="51"/>
      <c r="F10164" s="114" t="str">
        <f>IF(INDEX(I.Facility.P2bIDNumber,152)="","",INDEX(I.Facility.P2bIDNumber,152))</f>
        <v/>
      </c>
      <c r="G10164" s="51"/>
      <c r="H10164" s="46" t="str">
        <f>IF(AND(I.Developer.P2b=TRUE,I.Facility.P2bFacilityCount&gt;=152,F10164=""),"Incomplete","Complete")</f>
        <v>Complete</v>
      </c>
      <c r="I10164" s="48" t="s">
        <v>14529</v>
      </c>
    </row>
    <row r="10165" spans="2:9" ht="15" customHeight="1" x14ac:dyDescent="0.25">
      <c r="B10165" s="55" t="s">
        <v>281</v>
      </c>
      <c r="C10165" s="46">
        <v>153</v>
      </c>
      <c r="D10165" s="69" t="s">
        <v>29418</v>
      </c>
      <c r="E10165" s="51"/>
      <c r="F10165" s="114" t="str">
        <f>IF(INDEX(I.Facility.P2bIDNumber,153)="","",INDEX(I.Facility.P2bIDNumber,153))</f>
        <v/>
      </c>
      <c r="G10165" s="51"/>
      <c r="H10165" s="46" t="str">
        <f>IF(AND(I.Developer.P2b=TRUE,I.Facility.P2bFacilityCount&gt;=153,F10165=""),"Incomplete","Complete")</f>
        <v>Complete</v>
      </c>
      <c r="I10165" s="48" t="s">
        <v>14530</v>
      </c>
    </row>
    <row r="10166" spans="2:9" ht="15" customHeight="1" x14ac:dyDescent="0.25">
      <c r="B10166" s="55" t="s">
        <v>281</v>
      </c>
      <c r="C10166" s="46">
        <v>154</v>
      </c>
      <c r="D10166" s="69" t="s">
        <v>29418</v>
      </c>
      <c r="E10166" s="51"/>
      <c r="F10166" s="114" t="str">
        <f>IF(INDEX(I.Facility.P2bIDNumber,154)="","",INDEX(I.Facility.P2bIDNumber,154))</f>
        <v/>
      </c>
      <c r="G10166" s="51"/>
      <c r="H10166" s="46" t="str">
        <f>IF(AND(I.Developer.P2b=TRUE,I.Facility.P2bFacilityCount&gt;=154,F10166=""),"Incomplete","Complete")</f>
        <v>Complete</v>
      </c>
      <c r="I10166" s="48" t="s">
        <v>14531</v>
      </c>
    </row>
    <row r="10167" spans="2:9" ht="15" customHeight="1" x14ac:dyDescent="0.25">
      <c r="B10167" s="55" t="s">
        <v>281</v>
      </c>
      <c r="C10167" s="46">
        <v>155</v>
      </c>
      <c r="D10167" s="69" t="s">
        <v>29418</v>
      </c>
      <c r="E10167" s="51"/>
      <c r="F10167" s="114" t="str">
        <f>IF(INDEX(I.Facility.P2bIDNumber,155)="","",INDEX(I.Facility.P2bIDNumber,155))</f>
        <v/>
      </c>
      <c r="G10167" s="51"/>
      <c r="H10167" s="46" t="str">
        <f>IF(AND(I.Developer.P2b=TRUE,I.Facility.P2bFacilityCount&gt;=155,F10167=""),"Incomplete","Complete")</f>
        <v>Complete</v>
      </c>
      <c r="I10167" s="48" t="s">
        <v>14532</v>
      </c>
    </row>
    <row r="10168" spans="2:9" ht="15" customHeight="1" x14ac:dyDescent="0.25">
      <c r="B10168" s="55" t="s">
        <v>281</v>
      </c>
      <c r="C10168" s="46">
        <v>156</v>
      </c>
      <c r="D10168" s="69" t="s">
        <v>29418</v>
      </c>
      <c r="E10168" s="51"/>
      <c r="F10168" s="114" t="str">
        <f>IF(INDEX(I.Facility.P2bIDNumber,156)="","",INDEX(I.Facility.P2bIDNumber,156))</f>
        <v/>
      </c>
      <c r="G10168" s="51"/>
      <c r="H10168" s="46" t="str">
        <f>IF(AND(I.Developer.P2b=TRUE,I.Facility.P2bFacilityCount&gt;=156,F10168=""),"Incomplete","Complete")</f>
        <v>Complete</v>
      </c>
      <c r="I10168" s="48" t="s">
        <v>14533</v>
      </c>
    </row>
    <row r="10169" spans="2:9" ht="15" customHeight="1" x14ac:dyDescent="0.25">
      <c r="B10169" s="55" t="s">
        <v>281</v>
      </c>
      <c r="C10169" s="46">
        <v>157</v>
      </c>
      <c r="D10169" s="69" t="s">
        <v>29418</v>
      </c>
      <c r="E10169" s="51"/>
      <c r="F10169" s="114" t="str">
        <f>IF(INDEX(I.Facility.P2bIDNumber,157)="","",INDEX(I.Facility.P2bIDNumber,157))</f>
        <v/>
      </c>
      <c r="G10169" s="51"/>
      <c r="H10169" s="46" t="str">
        <f>IF(AND(I.Developer.P2b=TRUE,I.Facility.P2bFacilityCount&gt;=157,F10169=""),"Incomplete","Complete")</f>
        <v>Complete</v>
      </c>
      <c r="I10169" s="48" t="s">
        <v>14534</v>
      </c>
    </row>
    <row r="10170" spans="2:9" ht="15" customHeight="1" x14ac:dyDescent="0.25">
      <c r="B10170" s="55" t="s">
        <v>281</v>
      </c>
      <c r="C10170" s="46">
        <v>158</v>
      </c>
      <c r="D10170" s="69" t="s">
        <v>29418</v>
      </c>
      <c r="E10170" s="51"/>
      <c r="F10170" s="114" t="str">
        <f>IF(INDEX(I.Facility.P2bIDNumber,158)="","",INDEX(I.Facility.P2bIDNumber,158))</f>
        <v/>
      </c>
      <c r="G10170" s="51"/>
      <c r="H10170" s="46" t="str">
        <f>IF(AND(I.Developer.P2b=TRUE,I.Facility.P2bFacilityCount&gt;=158,F10170=""),"Incomplete","Complete")</f>
        <v>Complete</v>
      </c>
      <c r="I10170" s="48" t="s">
        <v>14535</v>
      </c>
    </row>
    <row r="10171" spans="2:9" ht="15" customHeight="1" x14ac:dyDescent="0.25">
      <c r="B10171" s="55" t="s">
        <v>281</v>
      </c>
      <c r="C10171" s="46">
        <v>159</v>
      </c>
      <c r="D10171" s="69" t="s">
        <v>29418</v>
      </c>
      <c r="E10171" s="51"/>
      <c r="F10171" s="114" t="str">
        <f>IF(INDEX(I.Facility.P2bIDNumber,159)="","",INDEX(I.Facility.P2bIDNumber,159))</f>
        <v/>
      </c>
      <c r="G10171" s="51"/>
      <c r="H10171" s="46" t="str">
        <f>IF(AND(I.Developer.P2b=TRUE,I.Facility.P2bFacilityCount&gt;=159,F10171=""),"Incomplete","Complete")</f>
        <v>Complete</v>
      </c>
      <c r="I10171" s="48" t="s">
        <v>14536</v>
      </c>
    </row>
    <row r="10172" spans="2:9" ht="15" customHeight="1" x14ac:dyDescent="0.25">
      <c r="B10172" s="55" t="s">
        <v>281</v>
      </c>
      <c r="C10172" s="46">
        <v>160</v>
      </c>
      <c r="D10172" s="69" t="s">
        <v>29418</v>
      </c>
      <c r="E10172" s="51"/>
      <c r="F10172" s="114" t="str">
        <f>IF(INDEX(I.Facility.P2bIDNumber,160)="","",INDEX(I.Facility.P2bIDNumber,160))</f>
        <v/>
      </c>
      <c r="G10172" s="51"/>
      <c r="H10172" s="46" t="str">
        <f>IF(AND(I.Developer.P2b=TRUE,I.Facility.P2bFacilityCount&gt;=160,F10172=""),"Incomplete","Complete")</f>
        <v>Complete</v>
      </c>
      <c r="I10172" s="48" t="s">
        <v>14537</v>
      </c>
    </row>
    <row r="10173" spans="2:9" ht="15" customHeight="1" x14ac:dyDescent="0.25">
      <c r="B10173" s="55" t="s">
        <v>281</v>
      </c>
      <c r="C10173" s="46">
        <v>161</v>
      </c>
      <c r="D10173" s="69" t="s">
        <v>29418</v>
      </c>
      <c r="E10173" s="51"/>
      <c r="F10173" s="114" t="str">
        <f>IF(INDEX(I.Facility.P2bIDNumber,161)="","",INDEX(I.Facility.P2bIDNumber,161))</f>
        <v/>
      </c>
      <c r="G10173" s="51"/>
      <c r="H10173" s="46" t="str">
        <f>IF(AND(I.Developer.P2b=TRUE,I.Facility.P2bFacilityCount&gt;=161,F10173=""),"Incomplete","Complete")</f>
        <v>Complete</v>
      </c>
      <c r="I10173" s="48" t="s">
        <v>14538</v>
      </c>
    </row>
    <row r="10174" spans="2:9" ht="15" customHeight="1" x14ac:dyDescent="0.25">
      <c r="B10174" s="55" t="s">
        <v>281</v>
      </c>
      <c r="C10174" s="46">
        <v>162</v>
      </c>
      <c r="D10174" s="69" t="s">
        <v>29418</v>
      </c>
      <c r="E10174" s="51"/>
      <c r="F10174" s="114" t="str">
        <f>IF(INDEX(I.Facility.P2bIDNumber,162)="","",INDEX(I.Facility.P2bIDNumber,162))</f>
        <v/>
      </c>
      <c r="G10174" s="51"/>
      <c r="H10174" s="46" t="str">
        <f>IF(AND(I.Developer.P2b=TRUE,I.Facility.P2bFacilityCount&gt;=162,F10174=""),"Incomplete","Complete")</f>
        <v>Complete</v>
      </c>
      <c r="I10174" s="48" t="s">
        <v>14539</v>
      </c>
    </row>
    <row r="10175" spans="2:9" ht="15" customHeight="1" x14ac:dyDescent="0.25">
      <c r="B10175" s="55" t="s">
        <v>281</v>
      </c>
      <c r="C10175" s="46">
        <v>163</v>
      </c>
      <c r="D10175" s="69" t="s">
        <v>29418</v>
      </c>
      <c r="E10175" s="51"/>
      <c r="F10175" s="114" t="str">
        <f>IF(INDEX(I.Facility.P2bIDNumber,163)="","",INDEX(I.Facility.P2bIDNumber,163))</f>
        <v/>
      </c>
      <c r="G10175" s="51"/>
      <c r="H10175" s="46" t="str">
        <f>IF(AND(I.Developer.P2b=TRUE,I.Facility.P2bFacilityCount&gt;=163,F10175=""),"Incomplete","Complete")</f>
        <v>Complete</v>
      </c>
      <c r="I10175" s="48" t="s">
        <v>14540</v>
      </c>
    </row>
    <row r="10176" spans="2:9" ht="15" customHeight="1" x14ac:dyDescent="0.25">
      <c r="B10176" s="55" t="s">
        <v>281</v>
      </c>
      <c r="C10176" s="46">
        <v>164</v>
      </c>
      <c r="D10176" s="69" t="s">
        <v>29418</v>
      </c>
      <c r="E10176" s="51"/>
      <c r="F10176" s="114" t="str">
        <f>IF(INDEX(I.Facility.P2bIDNumber,164)="","",INDEX(I.Facility.P2bIDNumber,164))</f>
        <v/>
      </c>
      <c r="G10176" s="51"/>
      <c r="H10176" s="46" t="str">
        <f>IF(AND(I.Developer.P2b=TRUE,I.Facility.P2bFacilityCount&gt;=164,F10176=""),"Incomplete","Complete")</f>
        <v>Complete</v>
      </c>
      <c r="I10176" s="48" t="s">
        <v>14541</v>
      </c>
    </row>
    <row r="10177" spans="2:9" ht="15" customHeight="1" x14ac:dyDescent="0.25">
      <c r="B10177" s="55" t="s">
        <v>281</v>
      </c>
      <c r="C10177" s="46">
        <v>165</v>
      </c>
      <c r="D10177" s="69" t="s">
        <v>29418</v>
      </c>
      <c r="E10177" s="51"/>
      <c r="F10177" s="114" t="str">
        <f>IF(INDEX(I.Facility.P2bIDNumber,165)="","",INDEX(I.Facility.P2bIDNumber,165))</f>
        <v/>
      </c>
      <c r="G10177" s="51"/>
      <c r="H10177" s="46" t="str">
        <f>IF(AND(I.Developer.P2b=TRUE,I.Facility.P2bFacilityCount&gt;=165,F10177=""),"Incomplete","Complete")</f>
        <v>Complete</v>
      </c>
      <c r="I10177" s="48" t="s">
        <v>14542</v>
      </c>
    </row>
    <row r="10178" spans="2:9" ht="15" customHeight="1" x14ac:dyDescent="0.25">
      <c r="B10178" s="55" t="s">
        <v>281</v>
      </c>
      <c r="C10178" s="46">
        <v>166</v>
      </c>
      <c r="D10178" s="69" t="s">
        <v>29418</v>
      </c>
      <c r="E10178" s="51"/>
      <c r="F10178" s="114" t="str">
        <f>IF(INDEX(I.Facility.P2bIDNumber,166)="","",INDEX(I.Facility.P2bIDNumber,166))</f>
        <v/>
      </c>
      <c r="G10178" s="51"/>
      <c r="H10178" s="46" t="str">
        <f>IF(AND(I.Developer.P2b=TRUE,I.Facility.P2bFacilityCount&gt;=166,F10178=""),"Incomplete","Complete")</f>
        <v>Complete</v>
      </c>
      <c r="I10178" s="48" t="s">
        <v>14543</v>
      </c>
    </row>
    <row r="10179" spans="2:9" ht="15" customHeight="1" x14ac:dyDescent="0.25">
      <c r="B10179" s="55" t="s">
        <v>281</v>
      </c>
      <c r="C10179" s="46">
        <v>167</v>
      </c>
      <c r="D10179" s="69" t="s">
        <v>29418</v>
      </c>
      <c r="E10179" s="51"/>
      <c r="F10179" s="114" t="str">
        <f>IF(INDEX(I.Facility.P2bIDNumber,167)="","",INDEX(I.Facility.P2bIDNumber,167))</f>
        <v/>
      </c>
      <c r="G10179" s="51"/>
      <c r="H10179" s="46" t="str">
        <f>IF(AND(I.Developer.P2b=TRUE,I.Facility.P2bFacilityCount&gt;=167,F10179=""),"Incomplete","Complete")</f>
        <v>Complete</v>
      </c>
      <c r="I10179" s="48" t="s">
        <v>14544</v>
      </c>
    </row>
    <row r="10180" spans="2:9" ht="15" customHeight="1" x14ac:dyDescent="0.25">
      <c r="B10180" s="55" t="s">
        <v>281</v>
      </c>
      <c r="C10180" s="46">
        <v>168</v>
      </c>
      <c r="D10180" s="69" t="s">
        <v>29418</v>
      </c>
      <c r="E10180" s="51"/>
      <c r="F10180" s="114" t="str">
        <f>IF(INDEX(I.Facility.P2bIDNumber,168)="","",INDEX(I.Facility.P2bIDNumber,168))</f>
        <v/>
      </c>
      <c r="G10180" s="51"/>
      <c r="H10180" s="46" t="str">
        <f>IF(AND(I.Developer.P2b=TRUE,I.Facility.P2bFacilityCount&gt;=168,F10180=""),"Incomplete","Complete")</f>
        <v>Complete</v>
      </c>
      <c r="I10180" s="48" t="s">
        <v>14545</v>
      </c>
    </row>
    <row r="10181" spans="2:9" ht="15" customHeight="1" x14ac:dyDescent="0.25">
      <c r="B10181" s="55" t="s">
        <v>281</v>
      </c>
      <c r="C10181" s="46">
        <v>169</v>
      </c>
      <c r="D10181" s="69" t="s">
        <v>29418</v>
      </c>
      <c r="E10181" s="51"/>
      <c r="F10181" s="114" t="str">
        <f>IF(INDEX(I.Facility.P2bIDNumber,169)="","",INDEX(I.Facility.P2bIDNumber,169))</f>
        <v/>
      </c>
      <c r="G10181" s="51"/>
      <c r="H10181" s="46" t="str">
        <f>IF(AND(I.Developer.P2b=TRUE,I.Facility.P2bFacilityCount&gt;=169,F10181=""),"Incomplete","Complete")</f>
        <v>Complete</v>
      </c>
      <c r="I10181" s="48" t="s">
        <v>14546</v>
      </c>
    </row>
    <row r="10182" spans="2:9" ht="15" customHeight="1" x14ac:dyDescent="0.25">
      <c r="B10182" s="55" t="s">
        <v>281</v>
      </c>
      <c r="C10182" s="46">
        <v>170</v>
      </c>
      <c r="D10182" s="69" t="s">
        <v>29418</v>
      </c>
      <c r="E10182" s="51"/>
      <c r="F10182" s="114" t="str">
        <f>IF(INDEX(I.Facility.P2bIDNumber,170)="","",INDEX(I.Facility.P2bIDNumber,170))</f>
        <v/>
      </c>
      <c r="G10182" s="51"/>
      <c r="H10182" s="46" t="str">
        <f>IF(AND(I.Developer.P2b=TRUE,I.Facility.P2bFacilityCount&gt;=170,F10182=""),"Incomplete","Complete")</f>
        <v>Complete</v>
      </c>
      <c r="I10182" s="48" t="s">
        <v>14547</v>
      </c>
    </row>
    <row r="10183" spans="2:9" ht="15" customHeight="1" x14ac:dyDescent="0.25">
      <c r="B10183" s="55" t="s">
        <v>281</v>
      </c>
      <c r="C10183" s="46">
        <v>171</v>
      </c>
      <c r="D10183" s="69" t="s">
        <v>29418</v>
      </c>
      <c r="E10183" s="51"/>
      <c r="F10183" s="114" t="str">
        <f>IF(INDEX(I.Facility.P2bIDNumber,171)="","",INDEX(I.Facility.P2bIDNumber,171))</f>
        <v/>
      </c>
      <c r="G10183" s="51"/>
      <c r="H10183" s="46" t="str">
        <f>IF(AND(I.Developer.P2b=TRUE,I.Facility.P2bFacilityCount&gt;=171,F10183=""),"Incomplete","Complete")</f>
        <v>Complete</v>
      </c>
      <c r="I10183" s="48" t="s">
        <v>14548</v>
      </c>
    </row>
    <row r="10184" spans="2:9" ht="15" customHeight="1" x14ac:dyDescent="0.25">
      <c r="B10184" s="55" t="s">
        <v>281</v>
      </c>
      <c r="C10184" s="46">
        <v>172</v>
      </c>
      <c r="D10184" s="69" t="s">
        <v>29418</v>
      </c>
      <c r="E10184" s="51"/>
      <c r="F10184" s="114" t="str">
        <f>IF(INDEX(I.Facility.P2bIDNumber,172)="","",INDEX(I.Facility.P2bIDNumber,172))</f>
        <v/>
      </c>
      <c r="G10184" s="51"/>
      <c r="H10184" s="46" t="str">
        <f>IF(AND(I.Developer.P2b=TRUE,I.Facility.P2bFacilityCount&gt;=172,F10184=""),"Incomplete","Complete")</f>
        <v>Complete</v>
      </c>
      <c r="I10184" s="48" t="s">
        <v>14549</v>
      </c>
    </row>
    <row r="10185" spans="2:9" ht="15" customHeight="1" x14ac:dyDescent="0.25">
      <c r="B10185" s="55" t="s">
        <v>281</v>
      </c>
      <c r="C10185" s="46">
        <v>173</v>
      </c>
      <c r="D10185" s="69" t="s">
        <v>29418</v>
      </c>
      <c r="E10185" s="51"/>
      <c r="F10185" s="114" t="str">
        <f>IF(INDEX(I.Facility.P2bIDNumber,173)="","",INDEX(I.Facility.P2bIDNumber,173))</f>
        <v/>
      </c>
      <c r="G10185" s="51"/>
      <c r="H10185" s="46" t="str">
        <f>IF(AND(I.Developer.P2b=TRUE,I.Facility.P2bFacilityCount&gt;=173,F10185=""),"Incomplete","Complete")</f>
        <v>Complete</v>
      </c>
      <c r="I10185" s="48" t="s">
        <v>14550</v>
      </c>
    </row>
    <row r="10186" spans="2:9" ht="15" customHeight="1" x14ac:dyDescent="0.25">
      <c r="B10186" s="55" t="s">
        <v>281</v>
      </c>
      <c r="C10186" s="46">
        <v>174</v>
      </c>
      <c r="D10186" s="69" t="s">
        <v>29418</v>
      </c>
      <c r="E10186" s="51"/>
      <c r="F10186" s="114" t="str">
        <f>IF(INDEX(I.Facility.P2bIDNumber,174)="","",INDEX(I.Facility.P2bIDNumber,174))</f>
        <v/>
      </c>
      <c r="G10186" s="51"/>
      <c r="H10186" s="46" t="str">
        <f>IF(AND(I.Developer.P2b=TRUE,I.Facility.P2bFacilityCount&gt;=174,F10186=""),"Incomplete","Complete")</f>
        <v>Complete</v>
      </c>
      <c r="I10186" s="48" t="s">
        <v>14551</v>
      </c>
    </row>
    <row r="10187" spans="2:9" ht="15" customHeight="1" x14ac:dyDescent="0.25">
      <c r="B10187" s="55" t="s">
        <v>281</v>
      </c>
      <c r="C10187" s="46">
        <v>175</v>
      </c>
      <c r="D10187" s="69" t="s">
        <v>29418</v>
      </c>
      <c r="E10187" s="51"/>
      <c r="F10187" s="114" t="str">
        <f>IF(INDEX(I.Facility.P2bIDNumber,175)="","",INDEX(I.Facility.P2bIDNumber,175))</f>
        <v/>
      </c>
      <c r="G10187" s="51"/>
      <c r="H10187" s="46" t="str">
        <f>IF(AND(I.Developer.P2b=TRUE,I.Facility.P2bFacilityCount&gt;=175,F10187=""),"Incomplete","Complete")</f>
        <v>Complete</v>
      </c>
      <c r="I10187" s="48" t="s">
        <v>14552</v>
      </c>
    </row>
    <row r="10188" spans="2:9" ht="15" customHeight="1" x14ac:dyDescent="0.25">
      <c r="B10188" s="55" t="s">
        <v>281</v>
      </c>
      <c r="C10188" s="46">
        <v>176</v>
      </c>
      <c r="D10188" s="69" t="s">
        <v>29418</v>
      </c>
      <c r="E10188" s="51"/>
      <c r="F10188" s="114" t="str">
        <f>IF(INDEX(I.Facility.P2bIDNumber,176)="","",INDEX(I.Facility.P2bIDNumber,176))</f>
        <v/>
      </c>
      <c r="G10188" s="51"/>
      <c r="H10188" s="46" t="str">
        <f>IF(AND(I.Developer.P2b=TRUE,I.Facility.P2bFacilityCount&gt;=176,F10188=""),"Incomplete","Complete")</f>
        <v>Complete</v>
      </c>
      <c r="I10188" s="48" t="s">
        <v>14553</v>
      </c>
    </row>
    <row r="10189" spans="2:9" ht="15" customHeight="1" x14ac:dyDescent="0.25">
      <c r="B10189" s="55" t="s">
        <v>281</v>
      </c>
      <c r="C10189" s="46">
        <v>177</v>
      </c>
      <c r="D10189" s="69" t="s">
        <v>29418</v>
      </c>
      <c r="E10189" s="51"/>
      <c r="F10189" s="114" t="str">
        <f>IF(INDEX(I.Facility.P2bIDNumber,177)="","",INDEX(I.Facility.P2bIDNumber,177))</f>
        <v/>
      </c>
      <c r="G10189" s="51"/>
      <c r="H10189" s="46" t="str">
        <f>IF(AND(I.Developer.P2b=TRUE,I.Facility.P2bFacilityCount&gt;=177,F10189=""),"Incomplete","Complete")</f>
        <v>Complete</v>
      </c>
      <c r="I10189" s="48" t="s">
        <v>14554</v>
      </c>
    </row>
    <row r="10190" spans="2:9" ht="15" customHeight="1" x14ac:dyDescent="0.25">
      <c r="B10190" s="55" t="s">
        <v>281</v>
      </c>
      <c r="C10190" s="46">
        <v>178</v>
      </c>
      <c r="D10190" s="69" t="s">
        <v>29418</v>
      </c>
      <c r="E10190" s="51"/>
      <c r="F10190" s="114" t="str">
        <f>IF(INDEX(I.Facility.P2bIDNumber,178)="","",INDEX(I.Facility.P2bIDNumber,178))</f>
        <v/>
      </c>
      <c r="G10190" s="51"/>
      <c r="H10190" s="46" t="str">
        <f>IF(AND(I.Developer.P2b=TRUE,I.Facility.P2bFacilityCount&gt;=178,F10190=""),"Incomplete","Complete")</f>
        <v>Complete</v>
      </c>
      <c r="I10190" s="48" t="s">
        <v>14555</v>
      </c>
    </row>
    <row r="10191" spans="2:9" ht="15" customHeight="1" x14ac:dyDescent="0.25">
      <c r="B10191" s="55" t="s">
        <v>281</v>
      </c>
      <c r="C10191" s="46">
        <v>179</v>
      </c>
      <c r="D10191" s="69" t="s">
        <v>29418</v>
      </c>
      <c r="E10191" s="51"/>
      <c r="F10191" s="114" t="str">
        <f>IF(INDEX(I.Facility.P2bIDNumber,179)="","",INDEX(I.Facility.P2bIDNumber,179))</f>
        <v/>
      </c>
      <c r="G10191" s="51"/>
      <c r="H10191" s="46" t="str">
        <f>IF(AND(I.Developer.P2b=TRUE,I.Facility.P2bFacilityCount&gt;=179,F10191=""),"Incomplete","Complete")</f>
        <v>Complete</v>
      </c>
      <c r="I10191" s="48" t="s">
        <v>14556</v>
      </c>
    </row>
    <row r="10192" spans="2:9" ht="15" customHeight="1" x14ac:dyDescent="0.25">
      <c r="B10192" s="55" t="s">
        <v>281</v>
      </c>
      <c r="C10192" s="46">
        <v>180</v>
      </c>
      <c r="D10192" s="69" t="s">
        <v>29418</v>
      </c>
      <c r="E10192" s="51"/>
      <c r="F10192" s="114" t="str">
        <f>IF(INDEX(I.Facility.P2bIDNumber,180)="","",INDEX(I.Facility.P2bIDNumber,180))</f>
        <v/>
      </c>
      <c r="G10192" s="51"/>
      <c r="H10192" s="46" t="str">
        <f>IF(AND(I.Developer.P2b=TRUE,I.Facility.P2bFacilityCount&gt;=180,F10192=""),"Incomplete","Complete")</f>
        <v>Complete</v>
      </c>
      <c r="I10192" s="48" t="s">
        <v>14557</v>
      </c>
    </row>
    <row r="10193" spans="2:9" ht="15" customHeight="1" x14ac:dyDescent="0.25">
      <c r="B10193" s="55" t="s">
        <v>281</v>
      </c>
      <c r="C10193" s="46">
        <v>181</v>
      </c>
      <c r="D10193" s="69" t="s">
        <v>29418</v>
      </c>
      <c r="E10193" s="51"/>
      <c r="F10193" s="114" t="str">
        <f>IF(INDEX(I.Facility.P2bIDNumber,181)="","",INDEX(I.Facility.P2bIDNumber,181))</f>
        <v/>
      </c>
      <c r="G10193" s="51"/>
      <c r="H10193" s="46" t="str">
        <f>IF(AND(I.Developer.P2b=TRUE,I.Facility.P2bFacilityCount&gt;=181,F10193=""),"Incomplete","Complete")</f>
        <v>Complete</v>
      </c>
      <c r="I10193" s="48" t="s">
        <v>14558</v>
      </c>
    </row>
    <row r="10194" spans="2:9" ht="15" customHeight="1" x14ac:dyDescent="0.25">
      <c r="B10194" s="55" t="s">
        <v>281</v>
      </c>
      <c r="C10194" s="46">
        <v>182</v>
      </c>
      <c r="D10194" s="69" t="s">
        <v>29418</v>
      </c>
      <c r="E10194" s="51"/>
      <c r="F10194" s="114" t="str">
        <f>IF(INDEX(I.Facility.P2bIDNumber,182)="","",INDEX(I.Facility.P2bIDNumber,182))</f>
        <v/>
      </c>
      <c r="G10194" s="51"/>
      <c r="H10194" s="46" t="str">
        <f>IF(AND(I.Developer.P2b=TRUE,I.Facility.P2bFacilityCount&gt;=182,F10194=""),"Incomplete","Complete")</f>
        <v>Complete</v>
      </c>
      <c r="I10194" s="48" t="s">
        <v>14559</v>
      </c>
    </row>
    <row r="10195" spans="2:9" ht="15" customHeight="1" x14ac:dyDescent="0.25">
      <c r="B10195" s="55" t="s">
        <v>281</v>
      </c>
      <c r="C10195" s="46">
        <v>183</v>
      </c>
      <c r="D10195" s="69" t="s">
        <v>29418</v>
      </c>
      <c r="E10195" s="51"/>
      <c r="F10195" s="114" t="str">
        <f>IF(INDEX(I.Facility.P2bIDNumber,183)="","",INDEX(I.Facility.P2bIDNumber,183))</f>
        <v/>
      </c>
      <c r="G10195" s="51"/>
      <c r="H10195" s="46" t="str">
        <f>IF(AND(I.Developer.P2b=TRUE,I.Facility.P2bFacilityCount&gt;=183,F10195=""),"Incomplete","Complete")</f>
        <v>Complete</v>
      </c>
      <c r="I10195" s="48" t="s">
        <v>14560</v>
      </c>
    </row>
    <row r="10196" spans="2:9" ht="15" customHeight="1" x14ac:dyDescent="0.25">
      <c r="B10196" s="55" t="s">
        <v>281</v>
      </c>
      <c r="C10196" s="46">
        <v>184</v>
      </c>
      <c r="D10196" s="69" t="s">
        <v>29418</v>
      </c>
      <c r="E10196" s="51"/>
      <c r="F10196" s="114" t="str">
        <f>IF(INDEX(I.Facility.P2bIDNumber,184)="","",INDEX(I.Facility.P2bIDNumber,184))</f>
        <v/>
      </c>
      <c r="G10196" s="51"/>
      <c r="H10196" s="46" t="str">
        <f>IF(AND(I.Developer.P2b=TRUE,I.Facility.P2bFacilityCount&gt;=184,F10196=""),"Incomplete","Complete")</f>
        <v>Complete</v>
      </c>
      <c r="I10196" s="48" t="s">
        <v>14561</v>
      </c>
    </row>
    <row r="10197" spans="2:9" ht="15" customHeight="1" x14ac:dyDescent="0.25">
      <c r="B10197" s="55" t="s">
        <v>281</v>
      </c>
      <c r="C10197" s="46">
        <v>185</v>
      </c>
      <c r="D10197" s="69" t="s">
        <v>29418</v>
      </c>
      <c r="E10197" s="51"/>
      <c r="F10197" s="114" t="str">
        <f>IF(INDEX(I.Facility.P2bIDNumber,185)="","",INDEX(I.Facility.P2bIDNumber,185))</f>
        <v/>
      </c>
      <c r="G10197" s="51"/>
      <c r="H10197" s="46" t="str">
        <f>IF(AND(I.Developer.P2b=TRUE,I.Facility.P2bFacilityCount&gt;=185,F10197=""),"Incomplete","Complete")</f>
        <v>Complete</v>
      </c>
      <c r="I10197" s="48" t="s">
        <v>14562</v>
      </c>
    </row>
    <row r="10198" spans="2:9" ht="15" customHeight="1" x14ac:dyDescent="0.25">
      <c r="B10198" s="55" t="s">
        <v>281</v>
      </c>
      <c r="C10198" s="46">
        <v>186</v>
      </c>
      <c r="D10198" s="69" t="s">
        <v>29418</v>
      </c>
      <c r="E10198" s="51"/>
      <c r="F10198" s="114" t="str">
        <f>IF(INDEX(I.Facility.P2bIDNumber,186)="","",INDEX(I.Facility.P2bIDNumber,186))</f>
        <v/>
      </c>
      <c r="G10198" s="51"/>
      <c r="H10198" s="46" t="str">
        <f>IF(AND(I.Developer.P2b=TRUE,I.Facility.P2bFacilityCount&gt;=186,F10198=""),"Incomplete","Complete")</f>
        <v>Complete</v>
      </c>
      <c r="I10198" s="48" t="s">
        <v>14563</v>
      </c>
    </row>
    <row r="10199" spans="2:9" ht="15" customHeight="1" x14ac:dyDescent="0.25">
      <c r="B10199" s="55" t="s">
        <v>281</v>
      </c>
      <c r="C10199" s="46">
        <v>187</v>
      </c>
      <c r="D10199" s="69" t="s">
        <v>29418</v>
      </c>
      <c r="E10199" s="51"/>
      <c r="F10199" s="114" t="str">
        <f>IF(INDEX(I.Facility.P2bIDNumber,187)="","",INDEX(I.Facility.P2bIDNumber,187))</f>
        <v/>
      </c>
      <c r="G10199" s="51"/>
      <c r="H10199" s="46" t="str">
        <f>IF(AND(I.Developer.P2b=TRUE,I.Facility.P2bFacilityCount&gt;=187,F10199=""),"Incomplete","Complete")</f>
        <v>Complete</v>
      </c>
      <c r="I10199" s="48" t="s">
        <v>14564</v>
      </c>
    </row>
    <row r="10200" spans="2:9" ht="15" customHeight="1" x14ac:dyDescent="0.25">
      <c r="B10200" s="55" t="s">
        <v>281</v>
      </c>
      <c r="C10200" s="46">
        <v>188</v>
      </c>
      <c r="D10200" s="69" t="s">
        <v>29418</v>
      </c>
      <c r="E10200" s="51"/>
      <c r="F10200" s="114" t="str">
        <f>IF(INDEX(I.Facility.P2bIDNumber,188)="","",INDEX(I.Facility.P2bIDNumber,188))</f>
        <v/>
      </c>
      <c r="G10200" s="51"/>
      <c r="H10200" s="46" t="str">
        <f>IF(AND(I.Developer.P2b=TRUE,I.Facility.P2bFacilityCount&gt;=188,F10200=""),"Incomplete","Complete")</f>
        <v>Complete</v>
      </c>
      <c r="I10200" s="48" t="s">
        <v>14565</v>
      </c>
    </row>
    <row r="10201" spans="2:9" ht="15" customHeight="1" x14ac:dyDescent="0.25">
      <c r="B10201" s="55" t="s">
        <v>281</v>
      </c>
      <c r="C10201" s="46">
        <v>189</v>
      </c>
      <c r="D10201" s="69" t="s">
        <v>29418</v>
      </c>
      <c r="E10201" s="51"/>
      <c r="F10201" s="114" t="str">
        <f>IF(INDEX(I.Facility.P2bIDNumber,189)="","",INDEX(I.Facility.P2bIDNumber,189))</f>
        <v/>
      </c>
      <c r="G10201" s="51"/>
      <c r="H10201" s="46" t="str">
        <f>IF(AND(I.Developer.P2b=TRUE,I.Facility.P2bFacilityCount&gt;=189,F10201=""),"Incomplete","Complete")</f>
        <v>Complete</v>
      </c>
      <c r="I10201" s="48" t="s">
        <v>14566</v>
      </c>
    </row>
    <row r="10202" spans="2:9" ht="15" customHeight="1" x14ac:dyDescent="0.25">
      <c r="B10202" s="55" t="s">
        <v>281</v>
      </c>
      <c r="C10202" s="46">
        <v>190</v>
      </c>
      <c r="D10202" s="69" t="s">
        <v>29418</v>
      </c>
      <c r="E10202" s="51"/>
      <c r="F10202" s="114" t="str">
        <f>IF(INDEX(I.Facility.P2bIDNumber,190)="","",INDEX(I.Facility.P2bIDNumber,190))</f>
        <v/>
      </c>
      <c r="G10202" s="51"/>
      <c r="H10202" s="46" t="str">
        <f>IF(AND(I.Developer.P2b=TRUE,I.Facility.P2bFacilityCount&gt;=190,F10202=""),"Incomplete","Complete")</f>
        <v>Complete</v>
      </c>
      <c r="I10202" s="48" t="s">
        <v>14567</v>
      </c>
    </row>
    <row r="10203" spans="2:9" ht="15" customHeight="1" x14ac:dyDescent="0.25">
      <c r="B10203" s="55" t="s">
        <v>281</v>
      </c>
      <c r="C10203" s="46">
        <v>191</v>
      </c>
      <c r="D10203" s="69" t="s">
        <v>29418</v>
      </c>
      <c r="E10203" s="51"/>
      <c r="F10203" s="114" t="str">
        <f>IF(INDEX(I.Facility.P2bIDNumber,191)="","",INDEX(I.Facility.P2bIDNumber,191))</f>
        <v/>
      </c>
      <c r="G10203" s="51"/>
      <c r="H10203" s="46" t="str">
        <f>IF(AND(I.Developer.P2b=TRUE,I.Facility.P2bFacilityCount&gt;=191,F10203=""),"Incomplete","Complete")</f>
        <v>Complete</v>
      </c>
      <c r="I10203" s="48" t="s">
        <v>14568</v>
      </c>
    </row>
    <row r="10204" spans="2:9" ht="15" customHeight="1" x14ac:dyDescent="0.25">
      <c r="B10204" s="55" t="s">
        <v>281</v>
      </c>
      <c r="C10204" s="46">
        <v>192</v>
      </c>
      <c r="D10204" s="69" t="s">
        <v>29418</v>
      </c>
      <c r="E10204" s="51"/>
      <c r="F10204" s="114" t="str">
        <f>IF(INDEX(I.Facility.P2bIDNumber,192)="","",INDEX(I.Facility.P2bIDNumber,192))</f>
        <v/>
      </c>
      <c r="G10204" s="51"/>
      <c r="H10204" s="46" t="str">
        <f>IF(AND(I.Developer.P2b=TRUE,I.Facility.P2bFacilityCount&gt;=192,F10204=""),"Incomplete","Complete")</f>
        <v>Complete</v>
      </c>
      <c r="I10204" s="48" t="s">
        <v>14569</v>
      </c>
    </row>
    <row r="10205" spans="2:9" ht="15" customHeight="1" x14ac:dyDescent="0.25">
      <c r="B10205" s="55" t="s">
        <v>281</v>
      </c>
      <c r="C10205" s="46">
        <v>193</v>
      </c>
      <c r="D10205" s="69" t="s">
        <v>29418</v>
      </c>
      <c r="E10205" s="51"/>
      <c r="F10205" s="114" t="str">
        <f>IF(INDEX(I.Facility.P2bIDNumber,193)="","",INDEX(I.Facility.P2bIDNumber,193))</f>
        <v/>
      </c>
      <c r="G10205" s="51"/>
      <c r="H10205" s="46" t="str">
        <f>IF(AND(I.Developer.P2b=TRUE,I.Facility.P2bFacilityCount&gt;=193,F10205=""),"Incomplete","Complete")</f>
        <v>Complete</v>
      </c>
      <c r="I10205" s="48" t="s">
        <v>14570</v>
      </c>
    </row>
    <row r="10206" spans="2:9" ht="15" customHeight="1" x14ac:dyDescent="0.25">
      <c r="B10206" s="55" t="s">
        <v>281</v>
      </c>
      <c r="C10206" s="46">
        <v>194</v>
      </c>
      <c r="D10206" s="69" t="s">
        <v>29418</v>
      </c>
      <c r="E10206" s="51"/>
      <c r="F10206" s="114" t="str">
        <f>IF(INDEX(I.Facility.P2bIDNumber,194)="","",INDEX(I.Facility.P2bIDNumber,194))</f>
        <v/>
      </c>
      <c r="G10206" s="51"/>
      <c r="H10206" s="46" t="str">
        <f>IF(AND(I.Developer.P2b=TRUE,I.Facility.P2bFacilityCount&gt;=194,F10206=""),"Incomplete","Complete")</f>
        <v>Complete</v>
      </c>
      <c r="I10206" s="48" t="s">
        <v>14571</v>
      </c>
    </row>
    <row r="10207" spans="2:9" ht="15" customHeight="1" x14ac:dyDescent="0.25">
      <c r="B10207" s="55" t="s">
        <v>281</v>
      </c>
      <c r="C10207" s="46">
        <v>195</v>
      </c>
      <c r="D10207" s="69" t="s">
        <v>29418</v>
      </c>
      <c r="E10207" s="51"/>
      <c r="F10207" s="114" t="str">
        <f>IF(INDEX(I.Facility.P2bIDNumber,195)="","",INDEX(I.Facility.P2bIDNumber,195))</f>
        <v/>
      </c>
      <c r="G10207" s="51"/>
      <c r="H10207" s="46" t="str">
        <f>IF(AND(I.Developer.P2b=TRUE,I.Facility.P2bFacilityCount&gt;=195,F10207=""),"Incomplete","Complete")</f>
        <v>Complete</v>
      </c>
      <c r="I10207" s="48" t="s">
        <v>14572</v>
      </c>
    </row>
    <row r="10208" spans="2:9" ht="15" customHeight="1" x14ac:dyDescent="0.25">
      <c r="B10208" s="55" t="s">
        <v>281</v>
      </c>
      <c r="C10208" s="46">
        <v>196</v>
      </c>
      <c r="D10208" s="69" t="s">
        <v>29418</v>
      </c>
      <c r="E10208" s="51"/>
      <c r="F10208" s="114" t="str">
        <f>IF(INDEX(I.Facility.P2bIDNumber,196)="","",INDEX(I.Facility.P2bIDNumber,196))</f>
        <v/>
      </c>
      <c r="G10208" s="51"/>
      <c r="H10208" s="46" t="str">
        <f>IF(AND(I.Developer.P2b=TRUE,I.Facility.P2bFacilityCount&gt;=196,F10208=""),"Incomplete","Complete")</f>
        <v>Complete</v>
      </c>
      <c r="I10208" s="48" t="s">
        <v>14573</v>
      </c>
    </row>
    <row r="10209" spans="2:9" ht="15" customHeight="1" x14ac:dyDescent="0.25">
      <c r="B10209" s="55" t="s">
        <v>281</v>
      </c>
      <c r="C10209" s="46">
        <v>197</v>
      </c>
      <c r="D10209" s="69" t="s">
        <v>29418</v>
      </c>
      <c r="E10209" s="51"/>
      <c r="F10209" s="114" t="str">
        <f>IF(INDEX(I.Facility.P2bIDNumber,197)="","",INDEX(I.Facility.P2bIDNumber,197))</f>
        <v/>
      </c>
      <c r="G10209" s="51"/>
      <c r="H10209" s="46" t="str">
        <f>IF(AND(I.Developer.P2b=TRUE,I.Facility.P2bFacilityCount&gt;=197,F10209=""),"Incomplete","Complete")</f>
        <v>Complete</v>
      </c>
      <c r="I10209" s="48" t="s">
        <v>14574</v>
      </c>
    </row>
    <row r="10210" spans="2:9" ht="15" customHeight="1" x14ac:dyDescent="0.25">
      <c r="B10210" s="55" t="s">
        <v>281</v>
      </c>
      <c r="C10210" s="46">
        <v>198</v>
      </c>
      <c r="D10210" s="69" t="s">
        <v>29418</v>
      </c>
      <c r="E10210" s="51"/>
      <c r="F10210" s="114" t="str">
        <f>IF(INDEX(I.Facility.P2bIDNumber,198)="","",INDEX(I.Facility.P2bIDNumber,198))</f>
        <v/>
      </c>
      <c r="G10210" s="51"/>
      <c r="H10210" s="46" t="str">
        <f>IF(AND(I.Developer.P2b=TRUE,I.Facility.P2bFacilityCount&gt;=198,F10210=""),"Incomplete","Complete")</f>
        <v>Complete</v>
      </c>
      <c r="I10210" s="48" t="s">
        <v>14575</v>
      </c>
    </row>
    <row r="10211" spans="2:9" ht="15" customHeight="1" x14ac:dyDescent="0.25">
      <c r="B10211" s="55" t="s">
        <v>281</v>
      </c>
      <c r="C10211" s="46">
        <v>199</v>
      </c>
      <c r="D10211" s="69" t="s">
        <v>29418</v>
      </c>
      <c r="E10211" s="51"/>
      <c r="F10211" s="114" t="str">
        <f>IF(INDEX(I.Facility.P2bIDNumber,199)="","",INDEX(I.Facility.P2bIDNumber,199))</f>
        <v/>
      </c>
      <c r="G10211" s="51"/>
      <c r="H10211" s="46" t="str">
        <f>IF(AND(I.Developer.P2b=TRUE,I.Facility.P2bFacilityCount&gt;=199,F10211=""),"Incomplete","Complete")</f>
        <v>Complete</v>
      </c>
      <c r="I10211" s="48" t="s">
        <v>14576</v>
      </c>
    </row>
    <row r="10212" spans="2:9" ht="15" customHeight="1" x14ac:dyDescent="0.25">
      <c r="B10212" s="55" t="s">
        <v>281</v>
      </c>
      <c r="C10212" s="46">
        <v>200</v>
      </c>
      <c r="D10212" s="69" t="s">
        <v>29418</v>
      </c>
      <c r="E10212" s="51"/>
      <c r="F10212" s="114" t="str">
        <f>IF(INDEX(I.Facility.P2bIDNumber,200)="","",INDEX(I.Facility.P2bIDNumber,200))</f>
        <v/>
      </c>
      <c r="G10212" s="51"/>
      <c r="H10212" s="46" t="str">
        <f>IF(AND(I.Developer.P2b=TRUE,I.Facility.P2bFacilityCount&gt;=200,F10212=""),"Incomplete","Complete")</f>
        <v>Complete</v>
      </c>
      <c r="I10212" s="48" t="s">
        <v>14577</v>
      </c>
    </row>
    <row r="10213" spans="2:9" ht="15" customHeight="1" x14ac:dyDescent="0.25">
      <c r="B10213" s="55" t="s">
        <v>281</v>
      </c>
      <c r="C10213" s="46">
        <v>201</v>
      </c>
      <c r="D10213" s="69" t="s">
        <v>29418</v>
      </c>
      <c r="E10213" s="51"/>
      <c r="F10213" s="114" t="str">
        <f>IF(INDEX(I.Facility.P2bIDNumber,201)="","",INDEX(I.Facility.P2bIDNumber,201))</f>
        <v/>
      </c>
      <c r="G10213" s="51"/>
      <c r="H10213" s="46" t="str">
        <f>IF(AND(I.Developer.P2b=TRUE,I.Facility.P2bFacilityCount&gt;=201,F10213=""),"Incomplete","Complete")</f>
        <v>Complete</v>
      </c>
      <c r="I10213" s="48" t="s">
        <v>14578</v>
      </c>
    </row>
    <row r="10214" spans="2:9" ht="15" customHeight="1" x14ac:dyDescent="0.25">
      <c r="B10214" s="55" t="s">
        <v>281</v>
      </c>
      <c r="C10214" s="46">
        <v>202</v>
      </c>
      <c r="D10214" s="69" t="s">
        <v>29418</v>
      </c>
      <c r="E10214" s="51"/>
      <c r="F10214" s="114" t="str">
        <f>IF(INDEX(I.Facility.P2bIDNumber,202)="","",INDEX(I.Facility.P2bIDNumber,202))</f>
        <v/>
      </c>
      <c r="G10214" s="51"/>
      <c r="H10214" s="46" t="str">
        <f>IF(AND(I.Developer.P2b=TRUE,I.Facility.P2bFacilityCount&gt;=202,F10214=""),"Incomplete","Complete")</f>
        <v>Complete</v>
      </c>
      <c r="I10214" s="48" t="s">
        <v>14579</v>
      </c>
    </row>
    <row r="10215" spans="2:9" ht="15" customHeight="1" x14ac:dyDescent="0.25">
      <c r="B10215" s="55" t="s">
        <v>281</v>
      </c>
      <c r="C10215" s="46">
        <v>203</v>
      </c>
      <c r="D10215" s="69" t="s">
        <v>29418</v>
      </c>
      <c r="E10215" s="51"/>
      <c r="F10215" s="114" t="str">
        <f>IF(INDEX(I.Facility.P2bIDNumber,203)="","",INDEX(I.Facility.P2bIDNumber,203))</f>
        <v/>
      </c>
      <c r="G10215" s="51"/>
      <c r="H10215" s="46" t="str">
        <f>IF(AND(I.Developer.P2b=TRUE,I.Facility.P2bFacilityCount&gt;=203,F10215=""),"Incomplete","Complete")</f>
        <v>Complete</v>
      </c>
      <c r="I10215" s="48" t="s">
        <v>14580</v>
      </c>
    </row>
    <row r="10216" spans="2:9" ht="15" customHeight="1" x14ac:dyDescent="0.25">
      <c r="B10216" s="55" t="s">
        <v>281</v>
      </c>
      <c r="C10216" s="46">
        <v>204</v>
      </c>
      <c r="D10216" s="69" t="s">
        <v>29418</v>
      </c>
      <c r="E10216" s="51"/>
      <c r="F10216" s="114" t="str">
        <f>IF(INDEX(I.Facility.P2bIDNumber,204)="","",INDEX(I.Facility.P2bIDNumber,204))</f>
        <v/>
      </c>
      <c r="G10216" s="51"/>
      <c r="H10216" s="46" t="str">
        <f>IF(AND(I.Developer.P2b=TRUE,I.Facility.P2bFacilityCount&gt;=204,F10216=""),"Incomplete","Complete")</f>
        <v>Complete</v>
      </c>
      <c r="I10216" s="48" t="s">
        <v>14581</v>
      </c>
    </row>
    <row r="10217" spans="2:9" ht="15" customHeight="1" x14ac:dyDescent="0.25">
      <c r="B10217" s="55" t="s">
        <v>281</v>
      </c>
      <c r="C10217" s="46">
        <v>205</v>
      </c>
      <c r="D10217" s="69" t="s">
        <v>29418</v>
      </c>
      <c r="E10217" s="51"/>
      <c r="F10217" s="114" t="str">
        <f>IF(INDEX(I.Facility.P2bIDNumber,205)="","",INDEX(I.Facility.P2bIDNumber,205))</f>
        <v/>
      </c>
      <c r="G10217" s="51"/>
      <c r="H10217" s="46" t="str">
        <f>IF(AND(I.Developer.P2b=TRUE,I.Facility.P2bFacilityCount&gt;=205,F10217=""),"Incomplete","Complete")</f>
        <v>Complete</v>
      </c>
      <c r="I10217" s="48" t="s">
        <v>14582</v>
      </c>
    </row>
    <row r="10218" spans="2:9" ht="15" customHeight="1" x14ac:dyDescent="0.25">
      <c r="B10218" s="55" t="s">
        <v>281</v>
      </c>
      <c r="C10218" s="46">
        <v>206</v>
      </c>
      <c r="D10218" s="69" t="s">
        <v>29418</v>
      </c>
      <c r="E10218" s="51"/>
      <c r="F10218" s="114" t="str">
        <f>IF(INDEX(I.Facility.P2bIDNumber,206)="","",INDEX(I.Facility.P2bIDNumber,206))</f>
        <v/>
      </c>
      <c r="G10218" s="51"/>
      <c r="H10218" s="46" t="str">
        <f>IF(AND(I.Developer.P2b=TRUE,I.Facility.P2bFacilityCount&gt;=206,F10218=""),"Incomplete","Complete")</f>
        <v>Complete</v>
      </c>
      <c r="I10218" s="48" t="s">
        <v>14583</v>
      </c>
    </row>
    <row r="10219" spans="2:9" ht="15" customHeight="1" x14ac:dyDescent="0.25">
      <c r="B10219" s="55" t="s">
        <v>281</v>
      </c>
      <c r="C10219" s="46">
        <v>207</v>
      </c>
      <c r="D10219" s="69" t="s">
        <v>29418</v>
      </c>
      <c r="E10219" s="51"/>
      <c r="F10219" s="114" t="str">
        <f>IF(INDEX(I.Facility.P2bIDNumber,207)="","",INDEX(I.Facility.P2bIDNumber,207))</f>
        <v/>
      </c>
      <c r="G10219" s="51"/>
      <c r="H10219" s="46" t="str">
        <f>IF(AND(I.Developer.P2b=TRUE,I.Facility.P2bFacilityCount&gt;=207,F10219=""),"Incomplete","Complete")</f>
        <v>Complete</v>
      </c>
      <c r="I10219" s="48" t="s">
        <v>14584</v>
      </c>
    </row>
    <row r="10220" spans="2:9" ht="15" customHeight="1" x14ac:dyDescent="0.25">
      <c r="B10220" s="55" t="s">
        <v>281</v>
      </c>
      <c r="C10220" s="46">
        <v>208</v>
      </c>
      <c r="D10220" s="69" t="s">
        <v>29418</v>
      </c>
      <c r="E10220" s="51"/>
      <c r="F10220" s="114" t="str">
        <f>IF(INDEX(I.Facility.P2bIDNumber,208)="","",INDEX(I.Facility.P2bIDNumber,208))</f>
        <v/>
      </c>
      <c r="G10220" s="51"/>
      <c r="H10220" s="46" t="str">
        <f>IF(AND(I.Developer.P2b=TRUE,I.Facility.P2bFacilityCount&gt;=208,F10220=""),"Incomplete","Complete")</f>
        <v>Complete</v>
      </c>
      <c r="I10220" s="48" t="s">
        <v>14585</v>
      </c>
    </row>
    <row r="10221" spans="2:9" ht="15" customHeight="1" x14ac:dyDescent="0.25">
      <c r="B10221" s="55" t="s">
        <v>281</v>
      </c>
      <c r="C10221" s="46">
        <v>209</v>
      </c>
      <c r="D10221" s="69" t="s">
        <v>29418</v>
      </c>
      <c r="E10221" s="51"/>
      <c r="F10221" s="114" t="str">
        <f>IF(INDEX(I.Facility.P2bIDNumber,209)="","",INDEX(I.Facility.P2bIDNumber,209))</f>
        <v/>
      </c>
      <c r="G10221" s="51"/>
      <c r="H10221" s="46" t="str">
        <f>IF(AND(I.Developer.P2b=TRUE,I.Facility.P2bFacilityCount&gt;=209,F10221=""),"Incomplete","Complete")</f>
        <v>Complete</v>
      </c>
      <c r="I10221" s="48" t="s">
        <v>14586</v>
      </c>
    </row>
    <row r="10222" spans="2:9" ht="15" customHeight="1" x14ac:dyDescent="0.25">
      <c r="B10222" s="55" t="s">
        <v>281</v>
      </c>
      <c r="C10222" s="46">
        <v>210</v>
      </c>
      <c r="D10222" s="69" t="s">
        <v>29418</v>
      </c>
      <c r="E10222" s="51"/>
      <c r="F10222" s="114" t="str">
        <f>IF(INDEX(I.Facility.P2bIDNumber,210)="","",INDEX(I.Facility.P2bIDNumber,210))</f>
        <v/>
      </c>
      <c r="G10222" s="51"/>
      <c r="H10222" s="46" t="str">
        <f>IF(AND(I.Developer.P2b=TRUE,I.Facility.P2bFacilityCount&gt;=210,F10222=""),"Incomplete","Complete")</f>
        <v>Complete</v>
      </c>
      <c r="I10222" s="48" t="s">
        <v>14587</v>
      </c>
    </row>
    <row r="10223" spans="2:9" ht="15" customHeight="1" x14ac:dyDescent="0.25">
      <c r="B10223" s="55" t="s">
        <v>281</v>
      </c>
      <c r="C10223" s="46">
        <v>211</v>
      </c>
      <c r="D10223" s="69" t="s">
        <v>29418</v>
      </c>
      <c r="E10223" s="51"/>
      <c r="F10223" s="114" t="str">
        <f>IF(INDEX(I.Facility.P2bIDNumber,211)="","",INDEX(I.Facility.P2bIDNumber,211))</f>
        <v/>
      </c>
      <c r="G10223" s="51"/>
      <c r="H10223" s="46" t="str">
        <f>IF(AND(I.Developer.P2b=TRUE,I.Facility.P2bFacilityCount&gt;=211,F10223=""),"Incomplete","Complete")</f>
        <v>Complete</v>
      </c>
      <c r="I10223" s="48" t="s">
        <v>14588</v>
      </c>
    </row>
    <row r="10224" spans="2:9" ht="15" customHeight="1" x14ac:dyDescent="0.25">
      <c r="B10224" s="55" t="s">
        <v>281</v>
      </c>
      <c r="C10224" s="46">
        <v>212</v>
      </c>
      <c r="D10224" s="69" t="s">
        <v>29418</v>
      </c>
      <c r="E10224" s="51"/>
      <c r="F10224" s="114" t="str">
        <f>IF(INDEX(I.Facility.P2bIDNumber,212)="","",INDEX(I.Facility.P2bIDNumber,212))</f>
        <v/>
      </c>
      <c r="G10224" s="51"/>
      <c r="H10224" s="46" t="str">
        <f>IF(AND(I.Developer.P2b=TRUE,I.Facility.P2bFacilityCount&gt;=212,F10224=""),"Incomplete","Complete")</f>
        <v>Complete</v>
      </c>
      <c r="I10224" s="48" t="s">
        <v>14589</v>
      </c>
    </row>
    <row r="10225" spans="2:9" ht="15" customHeight="1" x14ac:dyDescent="0.25">
      <c r="B10225" s="55" t="s">
        <v>281</v>
      </c>
      <c r="C10225" s="46">
        <v>213</v>
      </c>
      <c r="D10225" s="69" t="s">
        <v>29418</v>
      </c>
      <c r="E10225" s="51"/>
      <c r="F10225" s="114" t="str">
        <f>IF(INDEX(I.Facility.P2bIDNumber,213)="","",INDEX(I.Facility.P2bIDNumber,213))</f>
        <v/>
      </c>
      <c r="G10225" s="51"/>
      <c r="H10225" s="46" t="str">
        <f>IF(AND(I.Developer.P2b=TRUE,I.Facility.P2bFacilityCount&gt;=213,F10225=""),"Incomplete","Complete")</f>
        <v>Complete</v>
      </c>
      <c r="I10225" s="48" t="s">
        <v>14590</v>
      </c>
    </row>
    <row r="10226" spans="2:9" ht="15" customHeight="1" x14ac:dyDescent="0.25">
      <c r="B10226" s="55" t="s">
        <v>281</v>
      </c>
      <c r="C10226" s="46">
        <v>214</v>
      </c>
      <c r="D10226" s="69" t="s">
        <v>29418</v>
      </c>
      <c r="E10226" s="51"/>
      <c r="F10226" s="114" t="str">
        <f>IF(INDEX(I.Facility.P2bIDNumber,214)="","",INDEX(I.Facility.P2bIDNumber,214))</f>
        <v/>
      </c>
      <c r="G10226" s="51"/>
      <c r="H10226" s="46" t="str">
        <f>IF(AND(I.Developer.P2b=TRUE,I.Facility.P2bFacilityCount&gt;=214,F10226=""),"Incomplete","Complete")</f>
        <v>Complete</v>
      </c>
      <c r="I10226" s="48" t="s">
        <v>14591</v>
      </c>
    </row>
    <row r="10227" spans="2:9" ht="15" customHeight="1" x14ac:dyDescent="0.25">
      <c r="B10227" s="55" t="s">
        <v>281</v>
      </c>
      <c r="C10227" s="46">
        <v>215</v>
      </c>
      <c r="D10227" s="69" t="s">
        <v>29418</v>
      </c>
      <c r="E10227" s="51"/>
      <c r="F10227" s="114" t="str">
        <f>IF(INDEX(I.Facility.P2bIDNumber,215)="","",INDEX(I.Facility.P2bIDNumber,215))</f>
        <v/>
      </c>
      <c r="G10227" s="51"/>
      <c r="H10227" s="46" t="str">
        <f>IF(AND(I.Developer.P2b=TRUE,I.Facility.P2bFacilityCount&gt;=215,F10227=""),"Incomplete","Complete")</f>
        <v>Complete</v>
      </c>
      <c r="I10227" s="48" t="s">
        <v>14592</v>
      </c>
    </row>
    <row r="10228" spans="2:9" ht="15" customHeight="1" x14ac:dyDescent="0.25">
      <c r="B10228" s="55" t="s">
        <v>281</v>
      </c>
      <c r="C10228" s="46">
        <v>216</v>
      </c>
      <c r="D10228" s="69" t="s">
        <v>29418</v>
      </c>
      <c r="E10228" s="51"/>
      <c r="F10228" s="114" t="str">
        <f>IF(INDEX(I.Facility.P2bIDNumber,216)="","",INDEX(I.Facility.P2bIDNumber,216))</f>
        <v/>
      </c>
      <c r="G10228" s="51"/>
      <c r="H10228" s="46" t="str">
        <f>IF(AND(I.Developer.P2b=TRUE,I.Facility.P2bFacilityCount&gt;=216,F10228=""),"Incomplete","Complete")</f>
        <v>Complete</v>
      </c>
      <c r="I10228" s="48" t="s">
        <v>14593</v>
      </c>
    </row>
    <row r="10229" spans="2:9" ht="15" customHeight="1" x14ac:dyDescent="0.25">
      <c r="B10229" s="55" t="s">
        <v>281</v>
      </c>
      <c r="C10229" s="46">
        <v>217</v>
      </c>
      <c r="D10229" s="69" t="s">
        <v>29418</v>
      </c>
      <c r="E10229" s="51"/>
      <c r="F10229" s="114" t="str">
        <f>IF(INDEX(I.Facility.P2bIDNumber,217)="","",INDEX(I.Facility.P2bIDNumber,217))</f>
        <v/>
      </c>
      <c r="G10229" s="51"/>
      <c r="H10229" s="46" t="str">
        <f>IF(AND(I.Developer.P2b=TRUE,I.Facility.P2bFacilityCount&gt;=217,F10229=""),"Incomplete","Complete")</f>
        <v>Complete</v>
      </c>
      <c r="I10229" s="48" t="s">
        <v>14594</v>
      </c>
    </row>
    <row r="10230" spans="2:9" ht="15" customHeight="1" x14ac:dyDescent="0.25">
      <c r="B10230" s="55" t="s">
        <v>281</v>
      </c>
      <c r="C10230" s="46">
        <v>218</v>
      </c>
      <c r="D10230" s="69" t="s">
        <v>29418</v>
      </c>
      <c r="E10230" s="51"/>
      <c r="F10230" s="114" t="str">
        <f>IF(INDEX(I.Facility.P2bIDNumber,218)="","",INDEX(I.Facility.P2bIDNumber,218))</f>
        <v/>
      </c>
      <c r="G10230" s="51"/>
      <c r="H10230" s="46" t="str">
        <f>IF(AND(I.Developer.P2b=TRUE,I.Facility.P2bFacilityCount&gt;=218,F10230=""),"Incomplete","Complete")</f>
        <v>Complete</v>
      </c>
      <c r="I10230" s="48" t="s">
        <v>14595</v>
      </c>
    </row>
    <row r="10231" spans="2:9" ht="15" customHeight="1" x14ac:dyDescent="0.25">
      <c r="B10231" s="55" t="s">
        <v>281</v>
      </c>
      <c r="C10231" s="46">
        <v>219</v>
      </c>
      <c r="D10231" s="69" t="s">
        <v>29418</v>
      </c>
      <c r="E10231" s="51"/>
      <c r="F10231" s="114" t="str">
        <f>IF(INDEX(I.Facility.P2bIDNumber,219)="","",INDEX(I.Facility.P2bIDNumber,219))</f>
        <v/>
      </c>
      <c r="G10231" s="51"/>
      <c r="H10231" s="46" t="str">
        <f>IF(AND(I.Developer.P2b=TRUE,I.Facility.P2bFacilityCount&gt;=219,F10231=""),"Incomplete","Complete")</f>
        <v>Complete</v>
      </c>
      <c r="I10231" s="48" t="s">
        <v>14596</v>
      </c>
    </row>
    <row r="10232" spans="2:9" ht="15" customHeight="1" x14ac:dyDescent="0.25">
      <c r="B10232" s="55" t="s">
        <v>281</v>
      </c>
      <c r="C10232" s="46">
        <v>220</v>
      </c>
      <c r="D10232" s="69" t="s">
        <v>29418</v>
      </c>
      <c r="E10232" s="51"/>
      <c r="F10232" s="114" t="str">
        <f>IF(INDEX(I.Facility.P2bIDNumber,220)="","",INDEX(I.Facility.P2bIDNumber,220))</f>
        <v/>
      </c>
      <c r="G10232" s="51"/>
      <c r="H10232" s="46" t="str">
        <f>IF(AND(I.Developer.P2b=TRUE,I.Facility.P2bFacilityCount&gt;=220,F10232=""),"Incomplete","Complete")</f>
        <v>Complete</v>
      </c>
      <c r="I10232" s="48" t="s">
        <v>14597</v>
      </c>
    </row>
    <row r="10233" spans="2:9" ht="15" customHeight="1" x14ac:dyDescent="0.25">
      <c r="B10233" s="55" t="s">
        <v>281</v>
      </c>
      <c r="C10233" s="46">
        <v>221</v>
      </c>
      <c r="D10233" s="69" t="s">
        <v>29418</v>
      </c>
      <c r="E10233" s="51"/>
      <c r="F10233" s="114" t="str">
        <f>IF(INDEX(I.Facility.P2bIDNumber,221)="","",INDEX(I.Facility.P2bIDNumber,221))</f>
        <v/>
      </c>
      <c r="G10233" s="51"/>
      <c r="H10233" s="46" t="str">
        <f>IF(AND(I.Developer.P2b=TRUE,I.Facility.P2bFacilityCount&gt;=221,F10233=""),"Incomplete","Complete")</f>
        <v>Complete</v>
      </c>
      <c r="I10233" s="48" t="s">
        <v>14598</v>
      </c>
    </row>
    <row r="10234" spans="2:9" ht="15" customHeight="1" x14ac:dyDescent="0.25">
      <c r="B10234" s="55" t="s">
        <v>281</v>
      </c>
      <c r="C10234" s="46">
        <v>222</v>
      </c>
      <c r="D10234" s="69" t="s">
        <v>29418</v>
      </c>
      <c r="E10234" s="51"/>
      <c r="F10234" s="114" t="str">
        <f>IF(INDEX(I.Facility.P2bIDNumber,222)="","",INDEX(I.Facility.P2bIDNumber,222))</f>
        <v/>
      </c>
      <c r="G10234" s="51"/>
      <c r="H10234" s="46" t="str">
        <f>IF(AND(I.Developer.P2b=TRUE,I.Facility.P2bFacilityCount&gt;=222,F10234=""),"Incomplete","Complete")</f>
        <v>Complete</v>
      </c>
      <c r="I10234" s="48" t="s">
        <v>14599</v>
      </c>
    </row>
    <row r="10235" spans="2:9" ht="15" customHeight="1" x14ac:dyDescent="0.25">
      <c r="B10235" s="55" t="s">
        <v>281</v>
      </c>
      <c r="C10235" s="46">
        <v>223</v>
      </c>
      <c r="D10235" s="69" t="s">
        <v>29418</v>
      </c>
      <c r="E10235" s="51"/>
      <c r="F10235" s="114" t="str">
        <f>IF(INDEX(I.Facility.P2bIDNumber,223)="","",INDEX(I.Facility.P2bIDNumber,223))</f>
        <v/>
      </c>
      <c r="G10235" s="51"/>
      <c r="H10235" s="46" t="str">
        <f>IF(AND(I.Developer.P2b=TRUE,I.Facility.P2bFacilityCount&gt;=223,F10235=""),"Incomplete","Complete")</f>
        <v>Complete</v>
      </c>
      <c r="I10235" s="48" t="s">
        <v>14600</v>
      </c>
    </row>
    <row r="10236" spans="2:9" ht="15" customHeight="1" x14ac:dyDescent="0.25">
      <c r="B10236" s="55" t="s">
        <v>281</v>
      </c>
      <c r="C10236" s="46">
        <v>224</v>
      </c>
      <c r="D10236" s="69" t="s">
        <v>29418</v>
      </c>
      <c r="E10236" s="51"/>
      <c r="F10236" s="114" t="str">
        <f>IF(INDEX(I.Facility.P2bIDNumber,224)="","",INDEX(I.Facility.P2bIDNumber,224))</f>
        <v/>
      </c>
      <c r="G10236" s="51"/>
      <c r="H10236" s="46" t="str">
        <f>IF(AND(I.Developer.P2b=TRUE,I.Facility.P2bFacilityCount&gt;=224,F10236=""),"Incomplete","Complete")</f>
        <v>Complete</v>
      </c>
      <c r="I10236" s="48" t="s">
        <v>14601</v>
      </c>
    </row>
    <row r="10237" spans="2:9" ht="15" customHeight="1" x14ac:dyDescent="0.25">
      <c r="B10237" s="55" t="s">
        <v>281</v>
      </c>
      <c r="C10237" s="46">
        <v>225</v>
      </c>
      <c r="D10237" s="69" t="s">
        <v>29418</v>
      </c>
      <c r="E10237" s="51"/>
      <c r="F10237" s="114" t="str">
        <f>IF(INDEX(I.Facility.P2bIDNumber,225)="","",INDEX(I.Facility.P2bIDNumber,225))</f>
        <v/>
      </c>
      <c r="G10237" s="51"/>
      <c r="H10237" s="46" t="str">
        <f>IF(AND(I.Developer.P2b=TRUE,I.Facility.P2bFacilityCount&gt;=225,F10237=""),"Incomplete","Complete")</f>
        <v>Complete</v>
      </c>
      <c r="I10237" s="48" t="s">
        <v>14602</v>
      </c>
    </row>
    <row r="10238" spans="2:9" ht="15" customHeight="1" x14ac:dyDescent="0.25">
      <c r="B10238" s="55" t="s">
        <v>281</v>
      </c>
      <c r="C10238" s="46">
        <v>226</v>
      </c>
      <c r="D10238" s="69" t="s">
        <v>29418</v>
      </c>
      <c r="E10238" s="51"/>
      <c r="F10238" s="114" t="str">
        <f>IF(INDEX(I.Facility.P2bIDNumber,226)="","",INDEX(I.Facility.P2bIDNumber,226))</f>
        <v/>
      </c>
      <c r="G10238" s="51"/>
      <c r="H10238" s="46" t="str">
        <f>IF(AND(I.Developer.P2b=TRUE,I.Facility.P2bFacilityCount&gt;=226,F10238=""),"Incomplete","Complete")</f>
        <v>Complete</v>
      </c>
      <c r="I10238" s="48" t="s">
        <v>14603</v>
      </c>
    </row>
    <row r="10239" spans="2:9" ht="15" customHeight="1" x14ac:dyDescent="0.25">
      <c r="B10239" s="55" t="s">
        <v>281</v>
      </c>
      <c r="C10239" s="46">
        <v>227</v>
      </c>
      <c r="D10239" s="69" t="s">
        <v>29418</v>
      </c>
      <c r="E10239" s="51"/>
      <c r="F10239" s="114" t="str">
        <f>IF(INDEX(I.Facility.P2bIDNumber,227)="","",INDEX(I.Facility.P2bIDNumber,227))</f>
        <v/>
      </c>
      <c r="G10239" s="51"/>
      <c r="H10239" s="46" t="str">
        <f>IF(AND(I.Developer.P2b=TRUE,I.Facility.P2bFacilityCount&gt;=227,F10239=""),"Incomplete","Complete")</f>
        <v>Complete</v>
      </c>
      <c r="I10239" s="48" t="s">
        <v>14604</v>
      </c>
    </row>
    <row r="10240" spans="2:9" ht="15" customHeight="1" x14ac:dyDescent="0.25">
      <c r="B10240" s="55" t="s">
        <v>281</v>
      </c>
      <c r="C10240" s="46">
        <v>228</v>
      </c>
      <c r="D10240" s="69" t="s">
        <v>29418</v>
      </c>
      <c r="E10240" s="51"/>
      <c r="F10240" s="114" t="str">
        <f>IF(INDEX(I.Facility.P2bIDNumber,228)="","",INDEX(I.Facility.P2bIDNumber,228))</f>
        <v/>
      </c>
      <c r="G10240" s="51"/>
      <c r="H10240" s="46" t="str">
        <f>IF(AND(I.Developer.P2b=TRUE,I.Facility.P2bFacilityCount&gt;=228,F10240=""),"Incomplete","Complete")</f>
        <v>Complete</v>
      </c>
      <c r="I10240" s="48" t="s">
        <v>14605</v>
      </c>
    </row>
    <row r="10241" spans="2:9" ht="15" customHeight="1" x14ac:dyDescent="0.25">
      <c r="B10241" s="55" t="s">
        <v>281</v>
      </c>
      <c r="C10241" s="46">
        <v>229</v>
      </c>
      <c r="D10241" s="69" t="s">
        <v>29418</v>
      </c>
      <c r="E10241" s="51"/>
      <c r="F10241" s="114" t="str">
        <f>IF(INDEX(I.Facility.P2bIDNumber,229)="","",INDEX(I.Facility.P2bIDNumber,229))</f>
        <v/>
      </c>
      <c r="G10241" s="51"/>
      <c r="H10241" s="46" t="str">
        <f>IF(AND(I.Developer.P2b=TRUE,I.Facility.P2bFacilityCount&gt;=229,F10241=""),"Incomplete","Complete")</f>
        <v>Complete</v>
      </c>
      <c r="I10241" s="48" t="s">
        <v>14606</v>
      </c>
    </row>
    <row r="10242" spans="2:9" ht="15" customHeight="1" x14ac:dyDescent="0.25">
      <c r="B10242" s="55" t="s">
        <v>281</v>
      </c>
      <c r="C10242" s="46">
        <v>230</v>
      </c>
      <c r="D10242" s="69" t="s">
        <v>29418</v>
      </c>
      <c r="E10242" s="51"/>
      <c r="F10242" s="114" t="str">
        <f>IF(INDEX(I.Facility.P2bIDNumber,230)="","",INDEX(I.Facility.P2bIDNumber,230))</f>
        <v/>
      </c>
      <c r="G10242" s="51"/>
      <c r="H10242" s="46" t="str">
        <f>IF(AND(I.Developer.P2b=TRUE,I.Facility.P2bFacilityCount&gt;=230,F10242=""),"Incomplete","Complete")</f>
        <v>Complete</v>
      </c>
      <c r="I10242" s="48" t="s">
        <v>14607</v>
      </c>
    </row>
    <row r="10243" spans="2:9" ht="15" customHeight="1" x14ac:dyDescent="0.25">
      <c r="B10243" s="55" t="s">
        <v>281</v>
      </c>
      <c r="C10243" s="46">
        <v>231</v>
      </c>
      <c r="D10243" s="69" t="s">
        <v>29418</v>
      </c>
      <c r="E10243" s="51"/>
      <c r="F10243" s="114" t="str">
        <f>IF(INDEX(I.Facility.P2bIDNumber,231)="","",INDEX(I.Facility.P2bIDNumber,231))</f>
        <v/>
      </c>
      <c r="G10243" s="51"/>
      <c r="H10243" s="46" t="str">
        <f>IF(AND(I.Developer.P2b=TRUE,I.Facility.P2bFacilityCount&gt;=231,F10243=""),"Incomplete","Complete")</f>
        <v>Complete</v>
      </c>
      <c r="I10243" s="48" t="s">
        <v>14608</v>
      </c>
    </row>
    <row r="10244" spans="2:9" ht="15" customHeight="1" x14ac:dyDescent="0.25">
      <c r="B10244" s="55" t="s">
        <v>281</v>
      </c>
      <c r="C10244" s="46">
        <v>232</v>
      </c>
      <c r="D10244" s="69" t="s">
        <v>29418</v>
      </c>
      <c r="E10244" s="51"/>
      <c r="F10244" s="114" t="str">
        <f>IF(INDEX(I.Facility.P2bIDNumber,232)="","",INDEX(I.Facility.P2bIDNumber,232))</f>
        <v/>
      </c>
      <c r="G10244" s="51"/>
      <c r="H10244" s="46" t="str">
        <f>IF(AND(I.Developer.P2b=TRUE,I.Facility.P2bFacilityCount&gt;=232,F10244=""),"Incomplete","Complete")</f>
        <v>Complete</v>
      </c>
      <c r="I10244" s="48" t="s">
        <v>14609</v>
      </c>
    </row>
    <row r="10245" spans="2:9" ht="15" customHeight="1" x14ac:dyDescent="0.25">
      <c r="B10245" s="55" t="s">
        <v>281</v>
      </c>
      <c r="C10245" s="46">
        <v>233</v>
      </c>
      <c r="D10245" s="69" t="s">
        <v>29418</v>
      </c>
      <c r="E10245" s="51"/>
      <c r="F10245" s="114" t="str">
        <f>IF(INDEX(I.Facility.P2bIDNumber,233)="","",INDEX(I.Facility.P2bIDNumber,233))</f>
        <v/>
      </c>
      <c r="G10245" s="51"/>
      <c r="H10245" s="46" t="str">
        <f>IF(AND(I.Developer.P2b=TRUE,I.Facility.P2bFacilityCount&gt;=233,F10245=""),"Incomplete","Complete")</f>
        <v>Complete</v>
      </c>
      <c r="I10245" s="48" t="s">
        <v>14610</v>
      </c>
    </row>
    <row r="10246" spans="2:9" ht="15" customHeight="1" x14ac:dyDescent="0.25">
      <c r="B10246" s="55" t="s">
        <v>281</v>
      </c>
      <c r="C10246" s="46">
        <v>234</v>
      </c>
      <c r="D10246" s="69" t="s">
        <v>29418</v>
      </c>
      <c r="E10246" s="51"/>
      <c r="F10246" s="114" t="str">
        <f>IF(INDEX(I.Facility.P2bIDNumber,234)="","",INDEX(I.Facility.P2bIDNumber,234))</f>
        <v/>
      </c>
      <c r="G10246" s="51"/>
      <c r="H10246" s="46" t="str">
        <f>IF(AND(I.Developer.P2b=TRUE,I.Facility.P2bFacilityCount&gt;=234,F10246=""),"Incomplete","Complete")</f>
        <v>Complete</v>
      </c>
      <c r="I10246" s="48" t="s">
        <v>14611</v>
      </c>
    </row>
    <row r="10247" spans="2:9" ht="15" customHeight="1" x14ac:dyDescent="0.25">
      <c r="B10247" s="55" t="s">
        <v>281</v>
      </c>
      <c r="C10247" s="46">
        <v>235</v>
      </c>
      <c r="D10247" s="69" t="s">
        <v>29418</v>
      </c>
      <c r="E10247" s="51"/>
      <c r="F10247" s="114" t="str">
        <f>IF(INDEX(I.Facility.P2bIDNumber,235)="","",INDEX(I.Facility.P2bIDNumber,235))</f>
        <v/>
      </c>
      <c r="G10247" s="51"/>
      <c r="H10247" s="46" t="str">
        <f>IF(AND(I.Developer.P2b=TRUE,I.Facility.P2bFacilityCount&gt;=235,F10247=""),"Incomplete","Complete")</f>
        <v>Complete</v>
      </c>
      <c r="I10247" s="48" t="s">
        <v>14612</v>
      </c>
    </row>
    <row r="10248" spans="2:9" ht="15" customHeight="1" x14ac:dyDescent="0.25">
      <c r="B10248" s="55" t="s">
        <v>281</v>
      </c>
      <c r="C10248" s="46">
        <v>236</v>
      </c>
      <c r="D10248" s="69" t="s">
        <v>29418</v>
      </c>
      <c r="E10248" s="51"/>
      <c r="F10248" s="114" t="str">
        <f>IF(INDEX(I.Facility.P2bIDNumber,236)="","",INDEX(I.Facility.P2bIDNumber,236))</f>
        <v/>
      </c>
      <c r="G10248" s="51"/>
      <c r="H10248" s="46" t="str">
        <f>IF(AND(I.Developer.P2b=TRUE,I.Facility.P2bFacilityCount&gt;=236,F10248=""),"Incomplete","Complete")</f>
        <v>Complete</v>
      </c>
      <c r="I10248" s="48" t="s">
        <v>14613</v>
      </c>
    </row>
    <row r="10249" spans="2:9" ht="15" customHeight="1" x14ac:dyDescent="0.25">
      <c r="B10249" s="55" t="s">
        <v>281</v>
      </c>
      <c r="C10249" s="46">
        <v>237</v>
      </c>
      <c r="D10249" s="69" t="s">
        <v>29418</v>
      </c>
      <c r="E10249" s="51"/>
      <c r="F10249" s="114" t="str">
        <f>IF(INDEX(I.Facility.P2bIDNumber,237)="","",INDEX(I.Facility.P2bIDNumber,237))</f>
        <v/>
      </c>
      <c r="G10249" s="51"/>
      <c r="H10249" s="46" t="str">
        <f>IF(AND(I.Developer.P2b=TRUE,I.Facility.P2bFacilityCount&gt;=237,F10249=""),"Incomplete","Complete")</f>
        <v>Complete</v>
      </c>
      <c r="I10249" s="48" t="s">
        <v>14614</v>
      </c>
    </row>
    <row r="10250" spans="2:9" ht="15" customHeight="1" x14ac:dyDescent="0.25">
      <c r="B10250" s="55" t="s">
        <v>281</v>
      </c>
      <c r="C10250" s="46">
        <v>238</v>
      </c>
      <c r="D10250" s="69" t="s">
        <v>29418</v>
      </c>
      <c r="E10250" s="51"/>
      <c r="F10250" s="114" t="str">
        <f>IF(INDEX(I.Facility.P2bIDNumber,238)="","",INDEX(I.Facility.P2bIDNumber,238))</f>
        <v/>
      </c>
      <c r="G10250" s="51"/>
      <c r="H10250" s="46" t="str">
        <f>IF(AND(I.Developer.P2b=TRUE,I.Facility.P2bFacilityCount&gt;=238,F10250=""),"Incomplete","Complete")</f>
        <v>Complete</v>
      </c>
      <c r="I10250" s="48" t="s">
        <v>14615</v>
      </c>
    </row>
    <row r="10251" spans="2:9" ht="15" customHeight="1" x14ac:dyDescent="0.25">
      <c r="B10251" s="55" t="s">
        <v>281</v>
      </c>
      <c r="C10251" s="46">
        <v>239</v>
      </c>
      <c r="D10251" s="69" t="s">
        <v>29418</v>
      </c>
      <c r="E10251" s="51"/>
      <c r="F10251" s="114" t="str">
        <f>IF(INDEX(I.Facility.P2bIDNumber,239)="","",INDEX(I.Facility.P2bIDNumber,239))</f>
        <v/>
      </c>
      <c r="G10251" s="51"/>
      <c r="H10251" s="46" t="str">
        <f>IF(AND(I.Developer.P2b=TRUE,I.Facility.P2bFacilityCount&gt;=239,F10251=""),"Incomplete","Complete")</f>
        <v>Complete</v>
      </c>
      <c r="I10251" s="48" t="s">
        <v>14616</v>
      </c>
    </row>
    <row r="10252" spans="2:9" ht="15" customHeight="1" x14ac:dyDescent="0.25">
      <c r="B10252" s="55" t="s">
        <v>281</v>
      </c>
      <c r="C10252" s="46">
        <v>240</v>
      </c>
      <c r="D10252" s="69" t="s">
        <v>29418</v>
      </c>
      <c r="E10252" s="51"/>
      <c r="F10252" s="114" t="str">
        <f>IF(INDEX(I.Facility.P2bIDNumber,240)="","",INDEX(I.Facility.P2bIDNumber,240))</f>
        <v/>
      </c>
      <c r="G10252" s="51"/>
      <c r="H10252" s="46" t="str">
        <f>IF(AND(I.Developer.P2b=TRUE,I.Facility.P2bFacilityCount&gt;=240,F10252=""),"Incomplete","Complete")</f>
        <v>Complete</v>
      </c>
      <c r="I10252" s="48" t="s">
        <v>14617</v>
      </c>
    </row>
    <row r="10253" spans="2:9" ht="15" customHeight="1" x14ac:dyDescent="0.25">
      <c r="B10253" s="55" t="s">
        <v>281</v>
      </c>
      <c r="C10253" s="46">
        <v>241</v>
      </c>
      <c r="D10253" s="69" t="s">
        <v>29418</v>
      </c>
      <c r="E10253" s="51"/>
      <c r="F10253" s="114" t="str">
        <f>IF(INDEX(I.Facility.P2bIDNumber,241)="","",INDEX(I.Facility.P2bIDNumber,241))</f>
        <v/>
      </c>
      <c r="G10253" s="51"/>
      <c r="H10253" s="46" t="str">
        <f>IF(AND(I.Developer.P2b=TRUE,I.Facility.P2bFacilityCount&gt;=241,F10253=""),"Incomplete","Complete")</f>
        <v>Complete</v>
      </c>
      <c r="I10253" s="48" t="s">
        <v>14618</v>
      </c>
    </row>
    <row r="10254" spans="2:9" ht="15" customHeight="1" x14ac:dyDescent="0.25">
      <c r="B10254" s="55" t="s">
        <v>281</v>
      </c>
      <c r="C10254" s="46">
        <v>242</v>
      </c>
      <c r="D10254" s="69" t="s">
        <v>29418</v>
      </c>
      <c r="E10254" s="51"/>
      <c r="F10254" s="114" t="str">
        <f>IF(INDEX(I.Facility.P2bIDNumber,242)="","",INDEX(I.Facility.P2bIDNumber,242))</f>
        <v/>
      </c>
      <c r="G10254" s="51"/>
      <c r="H10254" s="46" t="str">
        <f>IF(AND(I.Developer.P2b=TRUE,I.Facility.P2bFacilityCount&gt;=242,F10254=""),"Incomplete","Complete")</f>
        <v>Complete</v>
      </c>
      <c r="I10254" s="48" t="s">
        <v>14619</v>
      </c>
    </row>
    <row r="10255" spans="2:9" ht="15" customHeight="1" x14ac:dyDescent="0.25">
      <c r="B10255" s="55" t="s">
        <v>281</v>
      </c>
      <c r="C10255" s="46">
        <v>243</v>
      </c>
      <c r="D10255" s="69" t="s">
        <v>29418</v>
      </c>
      <c r="E10255" s="51"/>
      <c r="F10255" s="114" t="str">
        <f>IF(INDEX(I.Facility.P2bIDNumber,243)="","",INDEX(I.Facility.P2bIDNumber,243))</f>
        <v/>
      </c>
      <c r="G10255" s="51"/>
      <c r="H10255" s="46" t="str">
        <f>IF(AND(I.Developer.P2b=TRUE,I.Facility.P2bFacilityCount&gt;=243,F10255=""),"Incomplete","Complete")</f>
        <v>Complete</v>
      </c>
      <c r="I10255" s="48" t="s">
        <v>14620</v>
      </c>
    </row>
    <row r="10256" spans="2:9" ht="15" customHeight="1" x14ac:dyDescent="0.25">
      <c r="B10256" s="55" t="s">
        <v>281</v>
      </c>
      <c r="C10256" s="46">
        <v>244</v>
      </c>
      <c r="D10256" s="69" t="s">
        <v>29418</v>
      </c>
      <c r="E10256" s="51"/>
      <c r="F10256" s="114" t="str">
        <f>IF(INDEX(I.Facility.P2bIDNumber,244)="","",INDEX(I.Facility.P2bIDNumber,244))</f>
        <v/>
      </c>
      <c r="G10256" s="51"/>
      <c r="H10256" s="46" t="str">
        <f>IF(AND(I.Developer.P2b=TRUE,I.Facility.P2bFacilityCount&gt;=244,F10256=""),"Incomplete","Complete")</f>
        <v>Complete</v>
      </c>
      <c r="I10256" s="48" t="s">
        <v>14621</v>
      </c>
    </row>
    <row r="10257" spans="2:9" ht="15" customHeight="1" x14ac:dyDescent="0.25">
      <c r="B10257" s="55" t="s">
        <v>281</v>
      </c>
      <c r="C10257" s="46">
        <v>245</v>
      </c>
      <c r="D10257" s="69" t="s">
        <v>29418</v>
      </c>
      <c r="E10257" s="51"/>
      <c r="F10257" s="114" t="str">
        <f>IF(INDEX(I.Facility.P2bIDNumber,245)="","",INDEX(I.Facility.P2bIDNumber,245))</f>
        <v/>
      </c>
      <c r="G10257" s="51"/>
      <c r="H10257" s="46" t="str">
        <f>IF(AND(I.Developer.P2b=TRUE,I.Facility.P2bFacilityCount&gt;=245,F10257=""),"Incomplete","Complete")</f>
        <v>Complete</v>
      </c>
      <c r="I10257" s="48" t="s">
        <v>14622</v>
      </c>
    </row>
    <row r="10258" spans="2:9" ht="15" customHeight="1" x14ac:dyDescent="0.25">
      <c r="B10258" s="55" t="s">
        <v>281</v>
      </c>
      <c r="C10258" s="46">
        <v>246</v>
      </c>
      <c r="D10258" s="69" t="s">
        <v>29418</v>
      </c>
      <c r="E10258" s="51"/>
      <c r="F10258" s="114" t="str">
        <f>IF(INDEX(I.Facility.P2bIDNumber,246)="","",INDEX(I.Facility.P2bIDNumber,246))</f>
        <v/>
      </c>
      <c r="G10258" s="51"/>
      <c r="H10258" s="46" t="str">
        <f>IF(AND(I.Developer.P2b=TRUE,I.Facility.P2bFacilityCount&gt;=246,F10258=""),"Incomplete","Complete")</f>
        <v>Complete</v>
      </c>
      <c r="I10258" s="48" t="s">
        <v>14623</v>
      </c>
    </row>
    <row r="10259" spans="2:9" ht="15" customHeight="1" x14ac:dyDescent="0.25">
      <c r="B10259" s="55" t="s">
        <v>281</v>
      </c>
      <c r="C10259" s="46">
        <v>247</v>
      </c>
      <c r="D10259" s="69" t="s">
        <v>29418</v>
      </c>
      <c r="E10259" s="51"/>
      <c r="F10259" s="114" t="str">
        <f>IF(INDEX(I.Facility.P2bIDNumber,247)="","",INDEX(I.Facility.P2bIDNumber,247))</f>
        <v/>
      </c>
      <c r="G10259" s="51"/>
      <c r="H10259" s="46" t="str">
        <f>IF(AND(I.Developer.P2b=TRUE,I.Facility.P2bFacilityCount&gt;=247,F10259=""),"Incomplete","Complete")</f>
        <v>Complete</v>
      </c>
      <c r="I10259" s="48" t="s">
        <v>14624</v>
      </c>
    </row>
    <row r="10260" spans="2:9" ht="15" customHeight="1" x14ac:dyDescent="0.25">
      <c r="B10260" s="55" t="s">
        <v>281</v>
      </c>
      <c r="C10260" s="46">
        <v>248</v>
      </c>
      <c r="D10260" s="69" t="s">
        <v>29418</v>
      </c>
      <c r="E10260" s="51"/>
      <c r="F10260" s="114" t="str">
        <f>IF(INDEX(I.Facility.P2bIDNumber,248)="","",INDEX(I.Facility.P2bIDNumber,248))</f>
        <v/>
      </c>
      <c r="G10260" s="51"/>
      <c r="H10260" s="46" t="str">
        <f>IF(AND(I.Developer.P2b=TRUE,I.Facility.P2bFacilityCount&gt;=248,F10260=""),"Incomplete","Complete")</f>
        <v>Complete</v>
      </c>
      <c r="I10260" s="48" t="s">
        <v>14625</v>
      </c>
    </row>
    <row r="10261" spans="2:9" ht="15" customHeight="1" x14ac:dyDescent="0.25">
      <c r="B10261" s="55" t="s">
        <v>281</v>
      </c>
      <c r="C10261" s="46">
        <v>249</v>
      </c>
      <c r="D10261" s="69" t="s">
        <v>29418</v>
      </c>
      <c r="E10261" s="51"/>
      <c r="F10261" s="114" t="str">
        <f>IF(INDEX(I.Facility.P2bIDNumber,249)="","",INDEX(I.Facility.P2bIDNumber,249))</f>
        <v/>
      </c>
      <c r="G10261" s="51"/>
      <c r="H10261" s="46" t="str">
        <f>IF(AND(I.Developer.P2b=TRUE,I.Facility.P2bFacilityCount&gt;=249,F10261=""),"Incomplete","Complete")</f>
        <v>Complete</v>
      </c>
      <c r="I10261" s="48" t="s">
        <v>14626</v>
      </c>
    </row>
    <row r="10262" spans="2:9" ht="15" customHeight="1" x14ac:dyDescent="0.25">
      <c r="B10262" s="55" t="s">
        <v>281</v>
      </c>
      <c r="C10262" s="46">
        <v>250</v>
      </c>
      <c r="D10262" s="69" t="s">
        <v>29418</v>
      </c>
      <c r="E10262" s="51"/>
      <c r="F10262" s="114" t="str">
        <f>IF(INDEX(I.Facility.P2bIDNumber,250)="","",INDEX(I.Facility.P2bIDNumber,250))</f>
        <v/>
      </c>
      <c r="G10262" s="51"/>
      <c r="H10262" s="46" t="str">
        <f>IF(AND(I.Developer.P2b=TRUE,I.Facility.P2bFacilityCount&gt;=250,F10262=""),"Incomplete","Complete")</f>
        <v>Complete</v>
      </c>
      <c r="I10262" s="48" t="s">
        <v>14627</v>
      </c>
    </row>
    <row r="10263" spans="2:9" ht="15" customHeight="1" x14ac:dyDescent="0.25">
      <c r="B10263" s="55" t="s">
        <v>281</v>
      </c>
      <c r="C10263" s="46">
        <v>251</v>
      </c>
      <c r="D10263" s="69" t="s">
        <v>29418</v>
      </c>
      <c r="E10263" s="51"/>
      <c r="F10263" s="114" t="str">
        <f>IF(INDEX(I.Facility.P2bIDNumber,251)="","",INDEX(I.Facility.P2bIDNumber,251))</f>
        <v/>
      </c>
      <c r="G10263" s="51"/>
      <c r="H10263" s="46" t="str">
        <f>IF(AND(I.Developer.P2b=TRUE,I.Facility.P2bFacilityCount&gt;=251,F10263=""),"Incomplete","Complete")</f>
        <v>Complete</v>
      </c>
      <c r="I10263" s="48" t="s">
        <v>14628</v>
      </c>
    </row>
    <row r="10264" spans="2:9" ht="15" customHeight="1" x14ac:dyDescent="0.25">
      <c r="B10264" s="55" t="s">
        <v>281</v>
      </c>
      <c r="C10264" s="46">
        <v>252</v>
      </c>
      <c r="D10264" s="69" t="s">
        <v>29418</v>
      </c>
      <c r="E10264" s="51"/>
      <c r="F10264" s="114" t="str">
        <f>IF(INDEX(I.Facility.P2bIDNumber,252)="","",INDEX(I.Facility.P2bIDNumber,252))</f>
        <v/>
      </c>
      <c r="G10264" s="51"/>
      <c r="H10264" s="46" t="str">
        <f>IF(AND(I.Developer.P2b=TRUE,I.Facility.P2bFacilityCount&gt;=252,F10264=""),"Incomplete","Complete")</f>
        <v>Complete</v>
      </c>
      <c r="I10264" s="48" t="s">
        <v>14629</v>
      </c>
    </row>
    <row r="10265" spans="2:9" ht="15" customHeight="1" x14ac:dyDescent="0.25">
      <c r="B10265" s="55" t="s">
        <v>281</v>
      </c>
      <c r="C10265" s="46">
        <v>253</v>
      </c>
      <c r="D10265" s="69" t="s">
        <v>29418</v>
      </c>
      <c r="E10265" s="51"/>
      <c r="F10265" s="114" t="str">
        <f>IF(INDEX(I.Facility.P2bIDNumber,253)="","",INDEX(I.Facility.P2bIDNumber,253))</f>
        <v/>
      </c>
      <c r="G10265" s="51"/>
      <c r="H10265" s="46" t="str">
        <f>IF(AND(I.Developer.P2b=TRUE,I.Facility.P2bFacilityCount&gt;=253,F10265=""),"Incomplete","Complete")</f>
        <v>Complete</v>
      </c>
      <c r="I10265" s="48" t="s">
        <v>14630</v>
      </c>
    </row>
    <row r="10266" spans="2:9" ht="15" customHeight="1" x14ac:dyDescent="0.25">
      <c r="B10266" s="55" t="s">
        <v>281</v>
      </c>
      <c r="C10266" s="46">
        <v>254</v>
      </c>
      <c r="D10266" s="69" t="s">
        <v>29418</v>
      </c>
      <c r="E10266" s="51"/>
      <c r="F10266" s="114" t="str">
        <f>IF(INDEX(I.Facility.P2bIDNumber,254)="","",INDEX(I.Facility.P2bIDNumber,254))</f>
        <v/>
      </c>
      <c r="G10266" s="51"/>
      <c r="H10266" s="46" t="str">
        <f>IF(AND(I.Developer.P2b=TRUE,I.Facility.P2bFacilityCount&gt;=254,F10266=""),"Incomplete","Complete")</f>
        <v>Complete</v>
      </c>
      <c r="I10266" s="48" t="s">
        <v>14631</v>
      </c>
    </row>
    <row r="10267" spans="2:9" ht="15" customHeight="1" x14ac:dyDescent="0.25">
      <c r="B10267" s="55" t="s">
        <v>281</v>
      </c>
      <c r="C10267" s="46">
        <v>255</v>
      </c>
      <c r="D10267" s="69" t="s">
        <v>29418</v>
      </c>
      <c r="E10267" s="51"/>
      <c r="F10267" s="114" t="str">
        <f>IF(INDEX(I.Facility.P2bIDNumber,255)="","",INDEX(I.Facility.P2bIDNumber,255))</f>
        <v/>
      </c>
      <c r="G10267" s="51"/>
      <c r="H10267" s="46" t="str">
        <f>IF(AND(I.Developer.P2b=TRUE,I.Facility.P2bFacilityCount&gt;=255,F10267=""),"Incomplete","Complete")</f>
        <v>Complete</v>
      </c>
      <c r="I10267" s="48" t="s">
        <v>14632</v>
      </c>
    </row>
    <row r="10268" spans="2:9" ht="15" customHeight="1" x14ac:dyDescent="0.25">
      <c r="B10268" s="55" t="s">
        <v>281</v>
      </c>
      <c r="C10268" s="46">
        <v>256</v>
      </c>
      <c r="D10268" s="69" t="s">
        <v>29418</v>
      </c>
      <c r="E10268" s="51"/>
      <c r="F10268" s="114" t="str">
        <f>IF(INDEX(I.Facility.P2bIDNumber,256)="","",INDEX(I.Facility.P2bIDNumber,256))</f>
        <v/>
      </c>
      <c r="G10268" s="51"/>
      <c r="H10268" s="46" t="str">
        <f>IF(AND(I.Developer.P2b=TRUE,I.Facility.P2bFacilityCount&gt;=256,F10268=""),"Incomplete","Complete")</f>
        <v>Complete</v>
      </c>
      <c r="I10268" s="48" t="s">
        <v>14633</v>
      </c>
    </row>
    <row r="10269" spans="2:9" ht="15" customHeight="1" x14ac:dyDescent="0.25">
      <c r="B10269" s="55" t="s">
        <v>281</v>
      </c>
      <c r="C10269" s="46">
        <v>257</v>
      </c>
      <c r="D10269" s="69" t="s">
        <v>29418</v>
      </c>
      <c r="E10269" s="51"/>
      <c r="F10269" s="114" t="str">
        <f>IF(INDEX(I.Facility.P2bIDNumber,257)="","",INDEX(I.Facility.P2bIDNumber,257))</f>
        <v/>
      </c>
      <c r="G10269" s="51"/>
      <c r="H10269" s="46" t="str">
        <f>IF(AND(I.Developer.P2b=TRUE,I.Facility.P2bFacilityCount&gt;=257,F10269=""),"Incomplete","Complete")</f>
        <v>Complete</v>
      </c>
      <c r="I10269" s="48" t="s">
        <v>14634</v>
      </c>
    </row>
    <row r="10270" spans="2:9" ht="15" customHeight="1" x14ac:dyDescent="0.25">
      <c r="B10270" s="55" t="s">
        <v>281</v>
      </c>
      <c r="C10270" s="46">
        <v>258</v>
      </c>
      <c r="D10270" s="69" t="s">
        <v>29418</v>
      </c>
      <c r="E10270" s="51"/>
      <c r="F10270" s="114" t="str">
        <f>IF(INDEX(I.Facility.P2bIDNumber,258)="","",INDEX(I.Facility.P2bIDNumber,258))</f>
        <v/>
      </c>
      <c r="G10270" s="51"/>
      <c r="H10270" s="46" t="str">
        <f>IF(AND(I.Developer.P2b=TRUE,I.Facility.P2bFacilityCount&gt;=258,F10270=""),"Incomplete","Complete")</f>
        <v>Complete</v>
      </c>
      <c r="I10270" s="48" t="s">
        <v>14635</v>
      </c>
    </row>
    <row r="10271" spans="2:9" ht="15" customHeight="1" x14ac:dyDescent="0.25">
      <c r="B10271" s="55" t="s">
        <v>281</v>
      </c>
      <c r="C10271" s="46">
        <v>259</v>
      </c>
      <c r="D10271" s="69" t="s">
        <v>29418</v>
      </c>
      <c r="E10271" s="51"/>
      <c r="F10271" s="114" t="str">
        <f>IF(INDEX(I.Facility.P2bIDNumber,259)="","",INDEX(I.Facility.P2bIDNumber,259))</f>
        <v/>
      </c>
      <c r="G10271" s="51"/>
      <c r="H10271" s="46" t="str">
        <f>IF(AND(I.Developer.P2b=TRUE,I.Facility.P2bFacilityCount&gt;=259,F10271=""),"Incomplete","Complete")</f>
        <v>Complete</v>
      </c>
      <c r="I10271" s="48" t="s">
        <v>14636</v>
      </c>
    </row>
    <row r="10272" spans="2:9" ht="15" customHeight="1" x14ac:dyDescent="0.25">
      <c r="B10272" s="55" t="s">
        <v>281</v>
      </c>
      <c r="C10272" s="46">
        <v>260</v>
      </c>
      <c r="D10272" s="69" t="s">
        <v>29418</v>
      </c>
      <c r="E10272" s="51"/>
      <c r="F10272" s="114" t="str">
        <f>IF(INDEX(I.Facility.P2bIDNumber,260)="","",INDEX(I.Facility.P2bIDNumber,260))</f>
        <v/>
      </c>
      <c r="G10272" s="51"/>
      <c r="H10272" s="46" t="str">
        <f>IF(AND(I.Developer.P2b=TRUE,I.Facility.P2bFacilityCount&gt;=260,F10272=""),"Incomplete","Complete")</f>
        <v>Complete</v>
      </c>
      <c r="I10272" s="48" t="s">
        <v>14637</v>
      </c>
    </row>
    <row r="10273" spans="2:9" ht="15" customHeight="1" x14ac:dyDescent="0.25">
      <c r="B10273" s="55" t="s">
        <v>281</v>
      </c>
      <c r="C10273" s="46">
        <v>261</v>
      </c>
      <c r="D10273" s="69" t="s">
        <v>29418</v>
      </c>
      <c r="E10273" s="51"/>
      <c r="F10273" s="114" t="str">
        <f>IF(INDEX(I.Facility.P2bIDNumber,261)="","",INDEX(I.Facility.P2bIDNumber,261))</f>
        <v/>
      </c>
      <c r="G10273" s="51"/>
      <c r="H10273" s="46" t="str">
        <f>IF(AND(I.Developer.P2b=TRUE,I.Facility.P2bFacilityCount&gt;=261,F10273=""),"Incomplete","Complete")</f>
        <v>Complete</v>
      </c>
      <c r="I10273" s="48" t="s">
        <v>14638</v>
      </c>
    </row>
    <row r="10274" spans="2:9" ht="15" customHeight="1" x14ac:dyDescent="0.25">
      <c r="B10274" s="55" t="s">
        <v>281</v>
      </c>
      <c r="C10274" s="46">
        <v>262</v>
      </c>
      <c r="D10274" s="69" t="s">
        <v>29418</v>
      </c>
      <c r="E10274" s="51"/>
      <c r="F10274" s="114" t="str">
        <f>IF(INDEX(I.Facility.P2bIDNumber,262)="","",INDEX(I.Facility.P2bIDNumber,262))</f>
        <v/>
      </c>
      <c r="G10274" s="51"/>
      <c r="H10274" s="46" t="str">
        <f>IF(AND(I.Developer.P2b=TRUE,I.Facility.P2bFacilityCount&gt;=262,F10274=""),"Incomplete","Complete")</f>
        <v>Complete</v>
      </c>
      <c r="I10274" s="48" t="s">
        <v>14639</v>
      </c>
    </row>
    <row r="10275" spans="2:9" ht="15" customHeight="1" x14ac:dyDescent="0.25">
      <c r="B10275" s="55" t="s">
        <v>281</v>
      </c>
      <c r="C10275" s="46">
        <v>263</v>
      </c>
      <c r="D10275" s="69" t="s">
        <v>29418</v>
      </c>
      <c r="E10275" s="51"/>
      <c r="F10275" s="114" t="str">
        <f>IF(INDEX(I.Facility.P2bIDNumber,263)="","",INDEX(I.Facility.P2bIDNumber,263))</f>
        <v/>
      </c>
      <c r="G10275" s="51"/>
      <c r="H10275" s="46" t="str">
        <f>IF(AND(I.Developer.P2b=TRUE,I.Facility.P2bFacilityCount&gt;=263,F10275=""),"Incomplete","Complete")</f>
        <v>Complete</v>
      </c>
      <c r="I10275" s="48" t="s">
        <v>14640</v>
      </c>
    </row>
    <row r="10276" spans="2:9" ht="15" customHeight="1" x14ac:dyDescent="0.25">
      <c r="B10276" s="55" t="s">
        <v>281</v>
      </c>
      <c r="C10276" s="46">
        <v>264</v>
      </c>
      <c r="D10276" s="69" t="s">
        <v>29418</v>
      </c>
      <c r="E10276" s="51"/>
      <c r="F10276" s="114" t="str">
        <f>IF(INDEX(I.Facility.P2bIDNumber,264)="","",INDEX(I.Facility.P2bIDNumber,264))</f>
        <v/>
      </c>
      <c r="G10276" s="51"/>
      <c r="H10276" s="46" t="str">
        <f>IF(AND(I.Developer.P2b=TRUE,I.Facility.P2bFacilityCount&gt;=264,F10276=""),"Incomplete","Complete")</f>
        <v>Complete</v>
      </c>
      <c r="I10276" s="48" t="s">
        <v>14641</v>
      </c>
    </row>
    <row r="10277" spans="2:9" ht="15" customHeight="1" x14ac:dyDescent="0.25">
      <c r="B10277" s="55" t="s">
        <v>281</v>
      </c>
      <c r="C10277" s="46">
        <v>265</v>
      </c>
      <c r="D10277" s="69" t="s">
        <v>29418</v>
      </c>
      <c r="E10277" s="51"/>
      <c r="F10277" s="114" t="str">
        <f>IF(INDEX(I.Facility.P2bIDNumber,265)="","",INDEX(I.Facility.P2bIDNumber,265))</f>
        <v/>
      </c>
      <c r="G10277" s="51"/>
      <c r="H10277" s="46" t="str">
        <f>IF(AND(I.Developer.P2b=TRUE,I.Facility.P2bFacilityCount&gt;=265,F10277=""),"Incomplete","Complete")</f>
        <v>Complete</v>
      </c>
      <c r="I10277" s="48" t="s">
        <v>14642</v>
      </c>
    </row>
    <row r="10278" spans="2:9" ht="15" customHeight="1" x14ac:dyDescent="0.25">
      <c r="B10278" s="55" t="s">
        <v>281</v>
      </c>
      <c r="C10278" s="46">
        <v>266</v>
      </c>
      <c r="D10278" s="69" t="s">
        <v>29418</v>
      </c>
      <c r="E10278" s="51"/>
      <c r="F10278" s="114" t="str">
        <f>IF(INDEX(I.Facility.P2bIDNumber,266)="","",INDEX(I.Facility.P2bIDNumber,266))</f>
        <v/>
      </c>
      <c r="G10278" s="51"/>
      <c r="H10278" s="46" t="str">
        <f>IF(AND(I.Developer.P2b=TRUE,I.Facility.P2bFacilityCount&gt;=266,F10278=""),"Incomplete","Complete")</f>
        <v>Complete</v>
      </c>
      <c r="I10278" s="48" t="s">
        <v>14643</v>
      </c>
    </row>
    <row r="10279" spans="2:9" ht="15" customHeight="1" x14ac:dyDescent="0.25">
      <c r="B10279" s="55" t="s">
        <v>281</v>
      </c>
      <c r="C10279" s="46">
        <v>267</v>
      </c>
      <c r="D10279" s="69" t="s">
        <v>29418</v>
      </c>
      <c r="E10279" s="51"/>
      <c r="F10279" s="114" t="str">
        <f>IF(INDEX(I.Facility.P2bIDNumber,267)="","",INDEX(I.Facility.P2bIDNumber,267))</f>
        <v/>
      </c>
      <c r="G10279" s="51"/>
      <c r="H10279" s="46" t="str">
        <f>IF(AND(I.Developer.P2b=TRUE,I.Facility.P2bFacilityCount&gt;=267,F10279=""),"Incomplete","Complete")</f>
        <v>Complete</v>
      </c>
      <c r="I10279" s="48" t="s">
        <v>14644</v>
      </c>
    </row>
    <row r="10280" spans="2:9" ht="15" customHeight="1" x14ac:dyDescent="0.25">
      <c r="B10280" s="55" t="s">
        <v>281</v>
      </c>
      <c r="C10280" s="46">
        <v>268</v>
      </c>
      <c r="D10280" s="69" t="s">
        <v>29418</v>
      </c>
      <c r="E10280" s="51"/>
      <c r="F10280" s="114" t="str">
        <f>IF(INDEX(I.Facility.P2bIDNumber,268)="","",INDEX(I.Facility.P2bIDNumber,268))</f>
        <v/>
      </c>
      <c r="G10280" s="51"/>
      <c r="H10280" s="46" t="str">
        <f>IF(AND(I.Developer.P2b=TRUE,I.Facility.P2bFacilityCount&gt;=268,F10280=""),"Incomplete","Complete")</f>
        <v>Complete</v>
      </c>
      <c r="I10280" s="48" t="s">
        <v>14645</v>
      </c>
    </row>
    <row r="10281" spans="2:9" ht="15" customHeight="1" x14ac:dyDescent="0.25">
      <c r="B10281" s="55" t="s">
        <v>281</v>
      </c>
      <c r="C10281" s="46">
        <v>269</v>
      </c>
      <c r="D10281" s="69" t="s">
        <v>29418</v>
      </c>
      <c r="E10281" s="51"/>
      <c r="F10281" s="114" t="str">
        <f>IF(INDEX(I.Facility.P2bIDNumber,269)="","",INDEX(I.Facility.P2bIDNumber,269))</f>
        <v/>
      </c>
      <c r="G10281" s="51"/>
      <c r="H10281" s="46" t="str">
        <f>IF(AND(I.Developer.P2b=TRUE,I.Facility.P2bFacilityCount&gt;=269,F10281=""),"Incomplete","Complete")</f>
        <v>Complete</v>
      </c>
      <c r="I10281" s="48" t="s">
        <v>14646</v>
      </c>
    </row>
    <row r="10282" spans="2:9" ht="15" customHeight="1" x14ac:dyDescent="0.25">
      <c r="B10282" s="55" t="s">
        <v>281</v>
      </c>
      <c r="C10282" s="46">
        <v>270</v>
      </c>
      <c r="D10282" s="69" t="s">
        <v>29418</v>
      </c>
      <c r="E10282" s="51"/>
      <c r="F10282" s="114" t="str">
        <f>IF(INDEX(I.Facility.P2bIDNumber,270)="","",INDEX(I.Facility.P2bIDNumber,270))</f>
        <v/>
      </c>
      <c r="G10282" s="51"/>
      <c r="H10282" s="46" t="str">
        <f>IF(AND(I.Developer.P2b=TRUE,I.Facility.P2bFacilityCount&gt;=270,F10282=""),"Incomplete","Complete")</f>
        <v>Complete</v>
      </c>
      <c r="I10282" s="48" t="s">
        <v>14647</v>
      </c>
    </row>
    <row r="10283" spans="2:9" ht="15" customHeight="1" x14ac:dyDescent="0.25">
      <c r="B10283" s="55" t="s">
        <v>281</v>
      </c>
      <c r="C10283" s="46">
        <v>271</v>
      </c>
      <c r="D10283" s="69" t="s">
        <v>29418</v>
      </c>
      <c r="E10283" s="51"/>
      <c r="F10283" s="114" t="str">
        <f>IF(INDEX(I.Facility.P2bIDNumber,271)="","",INDEX(I.Facility.P2bIDNumber,271))</f>
        <v/>
      </c>
      <c r="G10283" s="51"/>
      <c r="H10283" s="46" t="str">
        <f>IF(AND(I.Developer.P2b=TRUE,I.Facility.P2bFacilityCount&gt;=271,F10283=""),"Incomplete","Complete")</f>
        <v>Complete</v>
      </c>
      <c r="I10283" s="48" t="s">
        <v>14648</v>
      </c>
    </row>
    <row r="10284" spans="2:9" ht="15" customHeight="1" x14ac:dyDescent="0.25">
      <c r="B10284" s="55" t="s">
        <v>281</v>
      </c>
      <c r="C10284" s="46">
        <v>272</v>
      </c>
      <c r="D10284" s="69" t="s">
        <v>29418</v>
      </c>
      <c r="E10284" s="51"/>
      <c r="F10284" s="114" t="str">
        <f>IF(INDEX(I.Facility.P2bIDNumber,272)="","",INDEX(I.Facility.P2bIDNumber,272))</f>
        <v/>
      </c>
      <c r="G10284" s="51"/>
      <c r="H10284" s="46" t="str">
        <f>IF(AND(I.Developer.P2b=TRUE,I.Facility.P2bFacilityCount&gt;=272,F10284=""),"Incomplete","Complete")</f>
        <v>Complete</v>
      </c>
      <c r="I10284" s="48" t="s">
        <v>14649</v>
      </c>
    </row>
    <row r="10285" spans="2:9" ht="15" customHeight="1" x14ac:dyDescent="0.25">
      <c r="B10285" s="55" t="s">
        <v>281</v>
      </c>
      <c r="C10285" s="46">
        <v>273</v>
      </c>
      <c r="D10285" s="69" t="s">
        <v>29418</v>
      </c>
      <c r="E10285" s="51"/>
      <c r="F10285" s="114" t="str">
        <f>IF(INDEX(I.Facility.P2bIDNumber,273)="","",INDEX(I.Facility.P2bIDNumber,273))</f>
        <v/>
      </c>
      <c r="G10285" s="51"/>
      <c r="H10285" s="46" t="str">
        <f>IF(AND(I.Developer.P2b=TRUE,I.Facility.P2bFacilityCount&gt;=273,F10285=""),"Incomplete","Complete")</f>
        <v>Complete</v>
      </c>
      <c r="I10285" s="48" t="s">
        <v>14650</v>
      </c>
    </row>
    <row r="10286" spans="2:9" ht="15" customHeight="1" x14ac:dyDescent="0.25">
      <c r="B10286" s="55" t="s">
        <v>281</v>
      </c>
      <c r="C10286" s="46">
        <v>274</v>
      </c>
      <c r="D10286" s="69" t="s">
        <v>29418</v>
      </c>
      <c r="E10286" s="51"/>
      <c r="F10286" s="114" t="str">
        <f>IF(INDEX(I.Facility.P2bIDNumber,274)="","",INDEX(I.Facility.P2bIDNumber,274))</f>
        <v/>
      </c>
      <c r="G10286" s="51"/>
      <c r="H10286" s="46" t="str">
        <f>IF(AND(I.Developer.P2b=TRUE,I.Facility.P2bFacilityCount&gt;=274,F10286=""),"Incomplete","Complete")</f>
        <v>Complete</v>
      </c>
      <c r="I10286" s="48" t="s">
        <v>14651</v>
      </c>
    </row>
    <row r="10287" spans="2:9" ht="15" customHeight="1" x14ac:dyDescent="0.25">
      <c r="B10287" s="55" t="s">
        <v>281</v>
      </c>
      <c r="C10287" s="46">
        <v>275</v>
      </c>
      <c r="D10287" s="69" t="s">
        <v>29418</v>
      </c>
      <c r="E10287" s="51"/>
      <c r="F10287" s="114" t="str">
        <f>IF(INDEX(I.Facility.P2bIDNumber,275)="","",INDEX(I.Facility.P2bIDNumber,275))</f>
        <v/>
      </c>
      <c r="G10287" s="51"/>
      <c r="H10287" s="46" t="str">
        <f>IF(AND(I.Developer.P2b=TRUE,I.Facility.P2bFacilityCount&gt;=275,F10287=""),"Incomplete","Complete")</f>
        <v>Complete</v>
      </c>
      <c r="I10287" s="48" t="s">
        <v>14652</v>
      </c>
    </row>
    <row r="10288" spans="2:9" ht="15" customHeight="1" x14ac:dyDescent="0.25">
      <c r="B10288" s="55" t="s">
        <v>281</v>
      </c>
      <c r="C10288" s="46">
        <v>276</v>
      </c>
      <c r="D10288" s="69" t="s">
        <v>29418</v>
      </c>
      <c r="E10288" s="51"/>
      <c r="F10288" s="114" t="str">
        <f>IF(INDEX(I.Facility.P2bIDNumber,276)="","",INDEX(I.Facility.P2bIDNumber,276))</f>
        <v/>
      </c>
      <c r="G10288" s="51"/>
      <c r="H10288" s="46" t="str">
        <f>IF(AND(I.Developer.P2b=TRUE,I.Facility.P2bFacilityCount&gt;=276,F10288=""),"Incomplete","Complete")</f>
        <v>Complete</v>
      </c>
      <c r="I10288" s="48" t="s">
        <v>14653</v>
      </c>
    </row>
    <row r="10289" spans="2:9" ht="15" customHeight="1" x14ac:dyDescent="0.25">
      <c r="B10289" s="55" t="s">
        <v>281</v>
      </c>
      <c r="C10289" s="46">
        <v>277</v>
      </c>
      <c r="D10289" s="69" t="s">
        <v>29418</v>
      </c>
      <c r="E10289" s="51"/>
      <c r="F10289" s="114" t="str">
        <f>IF(INDEX(I.Facility.P2bIDNumber,277)="","",INDEX(I.Facility.P2bIDNumber,277))</f>
        <v/>
      </c>
      <c r="G10289" s="51"/>
      <c r="H10289" s="46" t="str">
        <f>IF(AND(I.Developer.P2b=TRUE,I.Facility.P2bFacilityCount&gt;=277,F10289=""),"Incomplete","Complete")</f>
        <v>Complete</v>
      </c>
      <c r="I10289" s="48" t="s">
        <v>14654</v>
      </c>
    </row>
    <row r="10290" spans="2:9" ht="15" customHeight="1" x14ac:dyDescent="0.25">
      <c r="B10290" s="55" t="s">
        <v>281</v>
      </c>
      <c r="C10290" s="46">
        <v>278</v>
      </c>
      <c r="D10290" s="69" t="s">
        <v>29418</v>
      </c>
      <c r="E10290" s="51"/>
      <c r="F10290" s="114" t="str">
        <f>IF(INDEX(I.Facility.P2bIDNumber,278)="","",INDEX(I.Facility.P2bIDNumber,278))</f>
        <v/>
      </c>
      <c r="G10290" s="51"/>
      <c r="H10290" s="46" t="str">
        <f>IF(AND(I.Developer.P2b=TRUE,I.Facility.P2bFacilityCount&gt;=278,F10290=""),"Incomplete","Complete")</f>
        <v>Complete</v>
      </c>
      <c r="I10290" s="48" t="s">
        <v>14655</v>
      </c>
    </row>
    <row r="10291" spans="2:9" ht="15" customHeight="1" x14ac:dyDescent="0.25">
      <c r="B10291" s="55" t="s">
        <v>281</v>
      </c>
      <c r="C10291" s="46">
        <v>279</v>
      </c>
      <c r="D10291" s="69" t="s">
        <v>29418</v>
      </c>
      <c r="E10291" s="51"/>
      <c r="F10291" s="114" t="str">
        <f>IF(INDEX(I.Facility.P2bIDNumber,279)="","",INDEX(I.Facility.P2bIDNumber,279))</f>
        <v/>
      </c>
      <c r="G10291" s="51"/>
      <c r="H10291" s="46" t="str">
        <f>IF(AND(I.Developer.P2b=TRUE,I.Facility.P2bFacilityCount&gt;=279,F10291=""),"Incomplete","Complete")</f>
        <v>Complete</v>
      </c>
      <c r="I10291" s="48" t="s">
        <v>14656</v>
      </c>
    </row>
    <row r="10292" spans="2:9" ht="15" customHeight="1" x14ac:dyDescent="0.25">
      <c r="B10292" s="55" t="s">
        <v>281</v>
      </c>
      <c r="C10292" s="46">
        <v>280</v>
      </c>
      <c r="D10292" s="69" t="s">
        <v>29418</v>
      </c>
      <c r="E10292" s="51"/>
      <c r="F10292" s="114" t="str">
        <f>IF(INDEX(I.Facility.P2bIDNumber,280)="","",INDEX(I.Facility.P2bIDNumber,280))</f>
        <v/>
      </c>
      <c r="G10292" s="51"/>
      <c r="H10292" s="46" t="str">
        <f>IF(AND(I.Developer.P2b=TRUE,I.Facility.P2bFacilityCount&gt;=280,F10292=""),"Incomplete","Complete")</f>
        <v>Complete</v>
      </c>
      <c r="I10292" s="48" t="s">
        <v>14657</v>
      </c>
    </row>
    <row r="10293" spans="2:9" ht="15" customHeight="1" x14ac:dyDescent="0.25">
      <c r="B10293" s="55" t="s">
        <v>281</v>
      </c>
      <c r="C10293" s="46">
        <v>281</v>
      </c>
      <c r="D10293" s="69" t="s">
        <v>29418</v>
      </c>
      <c r="E10293" s="51"/>
      <c r="F10293" s="114" t="str">
        <f>IF(INDEX(I.Facility.P2bIDNumber,281)="","",INDEX(I.Facility.P2bIDNumber,281))</f>
        <v/>
      </c>
      <c r="G10293" s="51"/>
      <c r="H10293" s="46" t="str">
        <f>IF(AND(I.Developer.P2b=TRUE,I.Facility.P2bFacilityCount&gt;=281,F10293=""),"Incomplete","Complete")</f>
        <v>Complete</v>
      </c>
      <c r="I10293" s="48" t="s">
        <v>14658</v>
      </c>
    </row>
    <row r="10294" spans="2:9" ht="15" customHeight="1" x14ac:dyDescent="0.25">
      <c r="B10294" s="55" t="s">
        <v>281</v>
      </c>
      <c r="C10294" s="46">
        <v>282</v>
      </c>
      <c r="D10294" s="69" t="s">
        <v>29418</v>
      </c>
      <c r="E10294" s="51"/>
      <c r="F10294" s="114" t="str">
        <f>IF(INDEX(I.Facility.P2bIDNumber,282)="","",INDEX(I.Facility.P2bIDNumber,282))</f>
        <v/>
      </c>
      <c r="G10294" s="51"/>
      <c r="H10294" s="46" t="str">
        <f>IF(AND(I.Developer.P2b=TRUE,I.Facility.P2bFacilityCount&gt;=282,F10294=""),"Incomplete","Complete")</f>
        <v>Complete</v>
      </c>
      <c r="I10294" s="48" t="s">
        <v>14659</v>
      </c>
    </row>
    <row r="10295" spans="2:9" ht="15" customHeight="1" x14ac:dyDescent="0.25">
      <c r="B10295" s="55" t="s">
        <v>281</v>
      </c>
      <c r="C10295" s="46">
        <v>283</v>
      </c>
      <c r="D10295" s="69" t="s">
        <v>29418</v>
      </c>
      <c r="E10295" s="51"/>
      <c r="F10295" s="114" t="str">
        <f>IF(INDEX(I.Facility.P2bIDNumber,283)="","",INDEX(I.Facility.P2bIDNumber,283))</f>
        <v/>
      </c>
      <c r="G10295" s="51"/>
      <c r="H10295" s="46" t="str">
        <f>IF(AND(I.Developer.P2b=TRUE,I.Facility.P2bFacilityCount&gt;=283,F10295=""),"Incomplete","Complete")</f>
        <v>Complete</v>
      </c>
      <c r="I10295" s="48" t="s">
        <v>14660</v>
      </c>
    </row>
    <row r="10296" spans="2:9" ht="15" customHeight="1" x14ac:dyDescent="0.25">
      <c r="B10296" s="55" t="s">
        <v>281</v>
      </c>
      <c r="C10296" s="46">
        <v>284</v>
      </c>
      <c r="D10296" s="69" t="s">
        <v>29418</v>
      </c>
      <c r="E10296" s="51"/>
      <c r="F10296" s="114" t="str">
        <f>IF(INDEX(I.Facility.P2bIDNumber,284)="","",INDEX(I.Facility.P2bIDNumber,284))</f>
        <v/>
      </c>
      <c r="G10296" s="51"/>
      <c r="H10296" s="46" t="str">
        <f>IF(AND(I.Developer.P2b=TRUE,I.Facility.P2bFacilityCount&gt;=284,F10296=""),"Incomplete","Complete")</f>
        <v>Complete</v>
      </c>
      <c r="I10296" s="48" t="s">
        <v>14661</v>
      </c>
    </row>
    <row r="10297" spans="2:9" ht="15" customHeight="1" x14ac:dyDescent="0.25">
      <c r="B10297" s="55" t="s">
        <v>281</v>
      </c>
      <c r="C10297" s="46">
        <v>285</v>
      </c>
      <c r="D10297" s="69" t="s">
        <v>29418</v>
      </c>
      <c r="E10297" s="51"/>
      <c r="F10297" s="114" t="str">
        <f>IF(INDEX(I.Facility.P2bIDNumber,285)="","",INDEX(I.Facility.P2bIDNumber,285))</f>
        <v/>
      </c>
      <c r="G10297" s="51"/>
      <c r="H10297" s="46" t="str">
        <f>IF(AND(I.Developer.P2b=TRUE,I.Facility.P2bFacilityCount&gt;=285,F10297=""),"Incomplete","Complete")</f>
        <v>Complete</v>
      </c>
      <c r="I10297" s="48" t="s">
        <v>14662</v>
      </c>
    </row>
    <row r="10298" spans="2:9" ht="15" customHeight="1" x14ac:dyDescent="0.25">
      <c r="B10298" s="55" t="s">
        <v>281</v>
      </c>
      <c r="C10298" s="46">
        <v>286</v>
      </c>
      <c r="D10298" s="69" t="s">
        <v>29418</v>
      </c>
      <c r="E10298" s="51"/>
      <c r="F10298" s="114" t="str">
        <f>IF(INDEX(I.Facility.P2bIDNumber,286)="","",INDEX(I.Facility.P2bIDNumber,286))</f>
        <v/>
      </c>
      <c r="G10298" s="51"/>
      <c r="H10298" s="46" t="str">
        <f>IF(AND(I.Developer.P2b=TRUE,I.Facility.P2bFacilityCount&gt;=286,F10298=""),"Incomplete","Complete")</f>
        <v>Complete</v>
      </c>
      <c r="I10298" s="48" t="s">
        <v>14663</v>
      </c>
    </row>
    <row r="10299" spans="2:9" ht="15" customHeight="1" x14ac:dyDescent="0.25">
      <c r="B10299" s="55" t="s">
        <v>281</v>
      </c>
      <c r="C10299" s="46">
        <v>287</v>
      </c>
      <c r="D10299" s="69" t="s">
        <v>29418</v>
      </c>
      <c r="E10299" s="51"/>
      <c r="F10299" s="114" t="str">
        <f>IF(INDEX(I.Facility.P2bIDNumber,287)="","",INDEX(I.Facility.P2bIDNumber,287))</f>
        <v/>
      </c>
      <c r="G10299" s="51"/>
      <c r="H10299" s="46" t="str">
        <f>IF(AND(I.Developer.P2b=TRUE,I.Facility.P2bFacilityCount&gt;=287,F10299=""),"Incomplete","Complete")</f>
        <v>Complete</v>
      </c>
      <c r="I10299" s="48" t="s">
        <v>14664</v>
      </c>
    </row>
    <row r="10300" spans="2:9" ht="15" customHeight="1" x14ac:dyDescent="0.25">
      <c r="B10300" s="55" t="s">
        <v>281</v>
      </c>
      <c r="C10300" s="46">
        <v>288</v>
      </c>
      <c r="D10300" s="69" t="s">
        <v>29418</v>
      </c>
      <c r="E10300" s="51"/>
      <c r="F10300" s="114" t="str">
        <f>IF(INDEX(I.Facility.P2bIDNumber,288)="","",INDEX(I.Facility.P2bIDNumber,288))</f>
        <v/>
      </c>
      <c r="G10300" s="51"/>
      <c r="H10300" s="46" t="str">
        <f>IF(AND(I.Developer.P2b=TRUE,I.Facility.P2bFacilityCount&gt;=288,F10300=""),"Incomplete","Complete")</f>
        <v>Complete</v>
      </c>
      <c r="I10300" s="48" t="s">
        <v>14665</v>
      </c>
    </row>
    <row r="10301" spans="2:9" ht="15" customHeight="1" x14ac:dyDescent="0.25">
      <c r="B10301" s="55" t="s">
        <v>281</v>
      </c>
      <c r="C10301" s="46">
        <v>289</v>
      </c>
      <c r="D10301" s="69" t="s">
        <v>29418</v>
      </c>
      <c r="E10301" s="51"/>
      <c r="F10301" s="114" t="str">
        <f>IF(INDEX(I.Facility.P2bIDNumber,289)="","",INDEX(I.Facility.P2bIDNumber,289))</f>
        <v/>
      </c>
      <c r="G10301" s="51"/>
      <c r="H10301" s="46" t="str">
        <f>IF(AND(I.Developer.P2b=TRUE,I.Facility.P2bFacilityCount&gt;=289,F10301=""),"Incomplete","Complete")</f>
        <v>Complete</v>
      </c>
      <c r="I10301" s="48" t="s">
        <v>14666</v>
      </c>
    </row>
    <row r="10302" spans="2:9" ht="15" customHeight="1" x14ac:dyDescent="0.25">
      <c r="B10302" s="55" t="s">
        <v>281</v>
      </c>
      <c r="C10302" s="46">
        <v>290</v>
      </c>
      <c r="D10302" s="69" t="s">
        <v>29418</v>
      </c>
      <c r="E10302" s="51"/>
      <c r="F10302" s="114" t="str">
        <f>IF(INDEX(I.Facility.P2bIDNumber,290)="","",INDEX(I.Facility.P2bIDNumber,290))</f>
        <v/>
      </c>
      <c r="G10302" s="51"/>
      <c r="H10302" s="46" t="str">
        <f>IF(AND(I.Developer.P2b=TRUE,I.Facility.P2bFacilityCount&gt;=290,F10302=""),"Incomplete","Complete")</f>
        <v>Complete</v>
      </c>
      <c r="I10302" s="48" t="s">
        <v>14667</v>
      </c>
    </row>
    <row r="10303" spans="2:9" ht="15" customHeight="1" x14ac:dyDescent="0.25">
      <c r="B10303" s="55" t="s">
        <v>281</v>
      </c>
      <c r="C10303" s="46">
        <v>291</v>
      </c>
      <c r="D10303" s="69" t="s">
        <v>29418</v>
      </c>
      <c r="E10303" s="51"/>
      <c r="F10303" s="114" t="str">
        <f>IF(INDEX(I.Facility.P2bIDNumber,291)="","",INDEX(I.Facility.P2bIDNumber,291))</f>
        <v/>
      </c>
      <c r="G10303" s="51"/>
      <c r="H10303" s="46" t="str">
        <f>IF(AND(I.Developer.P2b=TRUE,I.Facility.P2bFacilityCount&gt;=291,F10303=""),"Incomplete","Complete")</f>
        <v>Complete</v>
      </c>
      <c r="I10303" s="48" t="s">
        <v>14668</v>
      </c>
    </row>
    <row r="10304" spans="2:9" ht="15" customHeight="1" x14ac:dyDescent="0.25">
      <c r="B10304" s="55" t="s">
        <v>281</v>
      </c>
      <c r="C10304" s="46">
        <v>292</v>
      </c>
      <c r="D10304" s="69" t="s">
        <v>29418</v>
      </c>
      <c r="E10304" s="51"/>
      <c r="F10304" s="114" t="str">
        <f>IF(INDEX(I.Facility.P2bIDNumber,292)="","",INDEX(I.Facility.P2bIDNumber,292))</f>
        <v/>
      </c>
      <c r="G10304" s="51"/>
      <c r="H10304" s="46" t="str">
        <f>IF(AND(I.Developer.P2b=TRUE,I.Facility.P2bFacilityCount&gt;=292,F10304=""),"Incomplete","Complete")</f>
        <v>Complete</v>
      </c>
      <c r="I10304" s="48" t="s">
        <v>14669</v>
      </c>
    </row>
    <row r="10305" spans="2:9" ht="15" customHeight="1" x14ac:dyDescent="0.25">
      <c r="B10305" s="55" t="s">
        <v>281</v>
      </c>
      <c r="C10305" s="46">
        <v>293</v>
      </c>
      <c r="D10305" s="69" t="s">
        <v>29418</v>
      </c>
      <c r="E10305" s="51"/>
      <c r="F10305" s="114" t="str">
        <f>IF(INDEX(I.Facility.P2bIDNumber,293)="","",INDEX(I.Facility.P2bIDNumber,293))</f>
        <v/>
      </c>
      <c r="G10305" s="51"/>
      <c r="H10305" s="46" t="str">
        <f>IF(AND(I.Developer.P2b=TRUE,I.Facility.P2bFacilityCount&gt;=293,F10305=""),"Incomplete","Complete")</f>
        <v>Complete</v>
      </c>
      <c r="I10305" s="48" t="s">
        <v>14670</v>
      </c>
    </row>
    <row r="10306" spans="2:9" ht="15" customHeight="1" x14ac:dyDescent="0.25">
      <c r="B10306" s="55" t="s">
        <v>281</v>
      </c>
      <c r="C10306" s="46">
        <v>294</v>
      </c>
      <c r="D10306" s="69" t="s">
        <v>29418</v>
      </c>
      <c r="E10306" s="51"/>
      <c r="F10306" s="114" t="str">
        <f>IF(INDEX(I.Facility.P2bIDNumber,294)="","",INDEX(I.Facility.P2bIDNumber,294))</f>
        <v/>
      </c>
      <c r="G10306" s="51"/>
      <c r="H10306" s="46" t="str">
        <f>IF(AND(I.Developer.P2b=TRUE,I.Facility.P2bFacilityCount&gt;=294,F10306=""),"Incomplete","Complete")</f>
        <v>Complete</v>
      </c>
      <c r="I10306" s="48" t="s">
        <v>14671</v>
      </c>
    </row>
    <row r="10307" spans="2:9" ht="15" customHeight="1" x14ac:dyDescent="0.25">
      <c r="B10307" s="55" t="s">
        <v>281</v>
      </c>
      <c r="C10307" s="46">
        <v>295</v>
      </c>
      <c r="D10307" s="69" t="s">
        <v>29418</v>
      </c>
      <c r="E10307" s="51"/>
      <c r="F10307" s="114" t="str">
        <f>IF(INDEX(I.Facility.P2bIDNumber,295)="","",INDEX(I.Facility.P2bIDNumber,295))</f>
        <v/>
      </c>
      <c r="G10307" s="51"/>
      <c r="H10307" s="46" t="str">
        <f>IF(AND(I.Developer.P2b=TRUE,I.Facility.P2bFacilityCount&gt;=295,F10307=""),"Incomplete","Complete")</f>
        <v>Complete</v>
      </c>
      <c r="I10307" s="48" t="s">
        <v>14672</v>
      </c>
    </row>
    <row r="10308" spans="2:9" ht="15" customHeight="1" x14ac:dyDescent="0.25">
      <c r="B10308" s="55" t="s">
        <v>281</v>
      </c>
      <c r="C10308" s="46">
        <v>296</v>
      </c>
      <c r="D10308" s="69" t="s">
        <v>29418</v>
      </c>
      <c r="E10308" s="51"/>
      <c r="F10308" s="114" t="str">
        <f>IF(INDEX(I.Facility.P2bIDNumber,296)="","",INDEX(I.Facility.P2bIDNumber,296))</f>
        <v/>
      </c>
      <c r="G10308" s="51"/>
      <c r="H10308" s="46" t="str">
        <f>IF(AND(I.Developer.P2b=TRUE,I.Facility.P2bFacilityCount&gt;=296,F10308=""),"Incomplete","Complete")</f>
        <v>Complete</v>
      </c>
      <c r="I10308" s="48" t="s">
        <v>14673</v>
      </c>
    </row>
    <row r="10309" spans="2:9" ht="15" customHeight="1" x14ac:dyDescent="0.25">
      <c r="B10309" s="55" t="s">
        <v>281</v>
      </c>
      <c r="C10309" s="46">
        <v>297</v>
      </c>
      <c r="D10309" s="69" t="s">
        <v>29418</v>
      </c>
      <c r="E10309" s="51"/>
      <c r="F10309" s="114" t="str">
        <f>IF(INDEX(I.Facility.P2bIDNumber,297)="","",INDEX(I.Facility.P2bIDNumber,297))</f>
        <v/>
      </c>
      <c r="G10309" s="51"/>
      <c r="H10309" s="46" t="str">
        <f>IF(AND(I.Developer.P2b=TRUE,I.Facility.P2bFacilityCount&gt;=297,F10309=""),"Incomplete","Complete")</f>
        <v>Complete</v>
      </c>
      <c r="I10309" s="48" t="s">
        <v>14674</v>
      </c>
    </row>
    <row r="10310" spans="2:9" ht="15" customHeight="1" x14ac:dyDescent="0.25">
      <c r="B10310" s="55" t="s">
        <v>281</v>
      </c>
      <c r="C10310" s="46">
        <v>298</v>
      </c>
      <c r="D10310" s="69" t="s">
        <v>29418</v>
      </c>
      <c r="E10310" s="51"/>
      <c r="F10310" s="114" t="str">
        <f>IF(INDEX(I.Facility.P2bIDNumber,298)="","",INDEX(I.Facility.P2bIDNumber,298))</f>
        <v/>
      </c>
      <c r="G10310" s="51"/>
      <c r="H10310" s="46" t="str">
        <f>IF(AND(I.Developer.P2b=TRUE,I.Facility.P2bFacilityCount&gt;=298,F10310=""),"Incomplete","Complete")</f>
        <v>Complete</v>
      </c>
      <c r="I10310" s="48" t="s">
        <v>14675</v>
      </c>
    </row>
    <row r="10311" spans="2:9" ht="15" customHeight="1" x14ac:dyDescent="0.25">
      <c r="B10311" s="55" t="s">
        <v>281</v>
      </c>
      <c r="C10311" s="46">
        <v>299</v>
      </c>
      <c r="D10311" s="69" t="s">
        <v>29418</v>
      </c>
      <c r="E10311" s="51"/>
      <c r="F10311" s="114" t="str">
        <f>IF(INDEX(I.Facility.P2bIDNumber,299)="","",INDEX(I.Facility.P2bIDNumber,299))</f>
        <v/>
      </c>
      <c r="G10311" s="51"/>
      <c r="H10311" s="46" t="str">
        <f>IF(AND(I.Developer.P2b=TRUE,I.Facility.P2bFacilityCount&gt;=299,F10311=""),"Incomplete","Complete")</f>
        <v>Complete</v>
      </c>
      <c r="I10311" s="48" t="s">
        <v>14676</v>
      </c>
    </row>
    <row r="10312" spans="2:9" ht="15" customHeight="1" x14ac:dyDescent="0.25">
      <c r="B10312" s="55" t="s">
        <v>281</v>
      </c>
      <c r="C10312" s="46">
        <v>300</v>
      </c>
      <c r="D10312" s="69" t="s">
        <v>29418</v>
      </c>
      <c r="E10312" s="51"/>
      <c r="F10312" s="114" t="str">
        <f>IF(INDEX(I.Facility.P2bIDNumber,300)="","",INDEX(I.Facility.P2bIDNumber,300))</f>
        <v/>
      </c>
      <c r="G10312" s="51"/>
      <c r="H10312" s="46" t="str">
        <f>IF(AND(I.Developer.P2b=TRUE,I.Facility.P2bFacilityCount&gt;=300,F10312=""),"Incomplete","Complete")</f>
        <v>Complete</v>
      </c>
      <c r="I10312" s="48" t="s">
        <v>14677</v>
      </c>
    </row>
    <row r="10313" spans="2:9" ht="15" customHeight="1" x14ac:dyDescent="0.25">
      <c r="B10313" s="55" t="s">
        <v>281</v>
      </c>
      <c r="C10313" s="46">
        <v>301</v>
      </c>
      <c r="D10313" s="69" t="s">
        <v>29418</v>
      </c>
      <c r="E10313" s="51"/>
      <c r="F10313" s="114" t="str">
        <f>IF(INDEX(I.Facility.P2bIDNumber,301)="","",INDEX(I.Facility.P2bIDNumber,301))</f>
        <v/>
      </c>
      <c r="G10313" s="51"/>
      <c r="H10313" s="46" t="str">
        <f>IF(AND(I.Developer.P2b=TRUE,I.Facility.P2bFacilityCount&gt;=301,F10313=""),"Incomplete","Complete")</f>
        <v>Complete</v>
      </c>
      <c r="I10313" s="48" t="s">
        <v>14678</v>
      </c>
    </row>
    <row r="10314" spans="2:9" ht="15" customHeight="1" x14ac:dyDescent="0.25">
      <c r="B10314" s="55" t="s">
        <v>281</v>
      </c>
      <c r="C10314" s="46">
        <v>302</v>
      </c>
      <c r="D10314" s="69" t="s">
        <v>29418</v>
      </c>
      <c r="E10314" s="51"/>
      <c r="F10314" s="114" t="str">
        <f>IF(INDEX(I.Facility.P2bIDNumber,302)="","",INDEX(I.Facility.P2bIDNumber,302))</f>
        <v/>
      </c>
      <c r="G10314" s="51"/>
      <c r="H10314" s="46" t="str">
        <f>IF(AND(I.Developer.P2b=TRUE,I.Facility.P2bFacilityCount&gt;=302,F10314=""),"Incomplete","Complete")</f>
        <v>Complete</v>
      </c>
      <c r="I10314" s="48" t="s">
        <v>14679</v>
      </c>
    </row>
    <row r="10315" spans="2:9" ht="15" customHeight="1" x14ac:dyDescent="0.25">
      <c r="B10315" s="55" t="s">
        <v>281</v>
      </c>
      <c r="C10315" s="46">
        <v>303</v>
      </c>
      <c r="D10315" s="69" t="s">
        <v>29418</v>
      </c>
      <c r="E10315" s="51"/>
      <c r="F10315" s="114" t="str">
        <f>IF(INDEX(I.Facility.P2bIDNumber,303)="","",INDEX(I.Facility.P2bIDNumber,303))</f>
        <v/>
      </c>
      <c r="G10315" s="51"/>
      <c r="H10315" s="46" t="str">
        <f>IF(AND(I.Developer.P2b=TRUE,I.Facility.P2bFacilityCount&gt;=303,F10315=""),"Incomplete","Complete")</f>
        <v>Complete</v>
      </c>
      <c r="I10315" s="48" t="s">
        <v>14680</v>
      </c>
    </row>
    <row r="10316" spans="2:9" ht="15" customHeight="1" x14ac:dyDescent="0.25">
      <c r="B10316" s="55" t="s">
        <v>281</v>
      </c>
      <c r="C10316" s="46">
        <v>304</v>
      </c>
      <c r="D10316" s="69" t="s">
        <v>29418</v>
      </c>
      <c r="E10316" s="51"/>
      <c r="F10316" s="114" t="str">
        <f>IF(INDEX(I.Facility.P2bIDNumber,304)="","",INDEX(I.Facility.P2bIDNumber,304))</f>
        <v/>
      </c>
      <c r="G10316" s="51"/>
      <c r="H10316" s="46" t="str">
        <f>IF(AND(I.Developer.P2b=TRUE,I.Facility.P2bFacilityCount&gt;=304,F10316=""),"Incomplete","Complete")</f>
        <v>Complete</v>
      </c>
      <c r="I10316" s="48" t="s">
        <v>14681</v>
      </c>
    </row>
    <row r="10317" spans="2:9" ht="15" customHeight="1" x14ac:dyDescent="0.25">
      <c r="B10317" s="55" t="s">
        <v>281</v>
      </c>
      <c r="C10317" s="46">
        <v>305</v>
      </c>
      <c r="D10317" s="69" t="s">
        <v>29418</v>
      </c>
      <c r="E10317" s="51"/>
      <c r="F10317" s="114" t="str">
        <f>IF(INDEX(I.Facility.P2bIDNumber,305)="","",INDEX(I.Facility.P2bIDNumber,305))</f>
        <v/>
      </c>
      <c r="G10317" s="51"/>
      <c r="H10317" s="46" t="str">
        <f>IF(AND(I.Developer.P2b=TRUE,I.Facility.P2bFacilityCount&gt;=305,F10317=""),"Incomplete","Complete")</f>
        <v>Complete</v>
      </c>
      <c r="I10317" s="48" t="s">
        <v>14682</v>
      </c>
    </row>
    <row r="10318" spans="2:9" ht="15" customHeight="1" x14ac:dyDescent="0.25">
      <c r="B10318" s="55" t="s">
        <v>281</v>
      </c>
      <c r="C10318" s="46">
        <v>306</v>
      </c>
      <c r="D10318" s="69" t="s">
        <v>29418</v>
      </c>
      <c r="E10318" s="51"/>
      <c r="F10318" s="114" t="str">
        <f>IF(INDEX(I.Facility.P2bIDNumber,306)="","",INDEX(I.Facility.P2bIDNumber,306))</f>
        <v/>
      </c>
      <c r="G10318" s="51"/>
      <c r="H10318" s="46" t="str">
        <f>IF(AND(I.Developer.P2b=TRUE,I.Facility.P2bFacilityCount&gt;=306,F10318=""),"Incomplete","Complete")</f>
        <v>Complete</v>
      </c>
      <c r="I10318" s="48" t="s">
        <v>14683</v>
      </c>
    </row>
    <row r="10319" spans="2:9" ht="15" customHeight="1" x14ac:dyDescent="0.25">
      <c r="B10319" s="55" t="s">
        <v>281</v>
      </c>
      <c r="C10319" s="46">
        <v>307</v>
      </c>
      <c r="D10319" s="69" t="s">
        <v>29418</v>
      </c>
      <c r="E10319" s="51"/>
      <c r="F10319" s="114" t="str">
        <f>IF(INDEX(I.Facility.P2bIDNumber,307)="","",INDEX(I.Facility.P2bIDNumber,307))</f>
        <v/>
      </c>
      <c r="G10319" s="51"/>
      <c r="H10319" s="46" t="str">
        <f>IF(AND(I.Developer.P2b=TRUE,I.Facility.P2bFacilityCount&gt;=307,F10319=""),"Incomplete","Complete")</f>
        <v>Complete</v>
      </c>
      <c r="I10319" s="48" t="s">
        <v>14684</v>
      </c>
    </row>
    <row r="10320" spans="2:9" ht="15" customHeight="1" x14ac:dyDescent="0.25">
      <c r="B10320" s="55" t="s">
        <v>281</v>
      </c>
      <c r="C10320" s="46">
        <v>308</v>
      </c>
      <c r="D10320" s="69" t="s">
        <v>29418</v>
      </c>
      <c r="E10320" s="51"/>
      <c r="F10320" s="114" t="str">
        <f>IF(INDEX(I.Facility.P2bIDNumber,308)="","",INDEX(I.Facility.P2bIDNumber,308))</f>
        <v/>
      </c>
      <c r="G10320" s="51"/>
      <c r="H10320" s="46" t="str">
        <f>IF(AND(I.Developer.P2b=TRUE,I.Facility.P2bFacilityCount&gt;=308,F10320=""),"Incomplete","Complete")</f>
        <v>Complete</v>
      </c>
      <c r="I10320" s="48" t="s">
        <v>14685</v>
      </c>
    </row>
    <row r="10321" spans="2:9" ht="15" customHeight="1" x14ac:dyDescent="0.25">
      <c r="B10321" s="55" t="s">
        <v>281</v>
      </c>
      <c r="C10321" s="46">
        <v>309</v>
      </c>
      <c r="D10321" s="69" t="s">
        <v>29418</v>
      </c>
      <c r="E10321" s="51"/>
      <c r="F10321" s="114" t="str">
        <f>IF(INDEX(I.Facility.P2bIDNumber,309)="","",INDEX(I.Facility.P2bIDNumber,309))</f>
        <v/>
      </c>
      <c r="G10321" s="51"/>
      <c r="H10321" s="46" t="str">
        <f>IF(AND(I.Developer.P2b=TRUE,I.Facility.P2bFacilityCount&gt;=309,F10321=""),"Incomplete","Complete")</f>
        <v>Complete</v>
      </c>
      <c r="I10321" s="48" t="s">
        <v>14686</v>
      </c>
    </row>
    <row r="10322" spans="2:9" ht="15" customHeight="1" x14ac:dyDescent="0.25">
      <c r="B10322" s="55" t="s">
        <v>281</v>
      </c>
      <c r="C10322" s="46">
        <v>310</v>
      </c>
      <c r="D10322" s="69" t="s">
        <v>29418</v>
      </c>
      <c r="E10322" s="51"/>
      <c r="F10322" s="114" t="str">
        <f>IF(INDEX(I.Facility.P2bIDNumber,310)="","",INDEX(I.Facility.P2bIDNumber,310))</f>
        <v/>
      </c>
      <c r="G10322" s="51"/>
      <c r="H10322" s="46" t="str">
        <f>IF(AND(I.Developer.P2b=TRUE,I.Facility.P2bFacilityCount&gt;=310,F10322=""),"Incomplete","Complete")</f>
        <v>Complete</v>
      </c>
      <c r="I10322" s="48" t="s">
        <v>14687</v>
      </c>
    </row>
    <row r="10323" spans="2:9" ht="15" customHeight="1" x14ac:dyDescent="0.25">
      <c r="B10323" s="55" t="s">
        <v>281</v>
      </c>
      <c r="C10323" s="46">
        <v>311</v>
      </c>
      <c r="D10323" s="69" t="s">
        <v>29418</v>
      </c>
      <c r="E10323" s="51"/>
      <c r="F10323" s="114" t="str">
        <f>IF(INDEX(I.Facility.P2bIDNumber,311)="","",INDEX(I.Facility.P2bIDNumber,311))</f>
        <v/>
      </c>
      <c r="G10323" s="51"/>
      <c r="H10323" s="46" t="str">
        <f>IF(AND(I.Developer.P2b=TRUE,I.Facility.P2bFacilityCount&gt;=311,F10323=""),"Incomplete","Complete")</f>
        <v>Complete</v>
      </c>
      <c r="I10323" s="48" t="s">
        <v>14688</v>
      </c>
    </row>
    <row r="10324" spans="2:9" ht="15" customHeight="1" x14ac:dyDescent="0.25">
      <c r="B10324" s="55" t="s">
        <v>281</v>
      </c>
      <c r="C10324" s="46">
        <v>312</v>
      </c>
      <c r="D10324" s="69" t="s">
        <v>29418</v>
      </c>
      <c r="E10324" s="51"/>
      <c r="F10324" s="114" t="str">
        <f>IF(INDEX(I.Facility.P2bIDNumber,312)="","",INDEX(I.Facility.P2bIDNumber,312))</f>
        <v/>
      </c>
      <c r="G10324" s="51"/>
      <c r="H10324" s="46" t="str">
        <f>IF(AND(I.Developer.P2b=TRUE,I.Facility.P2bFacilityCount&gt;=312,F10324=""),"Incomplete","Complete")</f>
        <v>Complete</v>
      </c>
      <c r="I10324" s="48" t="s">
        <v>14689</v>
      </c>
    </row>
    <row r="10325" spans="2:9" ht="15" customHeight="1" x14ac:dyDescent="0.25">
      <c r="B10325" s="55" t="s">
        <v>281</v>
      </c>
      <c r="C10325" s="46">
        <v>313</v>
      </c>
      <c r="D10325" s="69" t="s">
        <v>29418</v>
      </c>
      <c r="E10325" s="51"/>
      <c r="F10325" s="114" t="str">
        <f>IF(INDEX(I.Facility.P2bIDNumber,313)="","",INDEX(I.Facility.P2bIDNumber,313))</f>
        <v/>
      </c>
      <c r="G10325" s="51"/>
      <c r="H10325" s="46" t="str">
        <f>IF(AND(I.Developer.P2b=TRUE,I.Facility.P2bFacilityCount&gt;=313,F10325=""),"Incomplete","Complete")</f>
        <v>Complete</v>
      </c>
      <c r="I10325" s="48" t="s">
        <v>14690</v>
      </c>
    </row>
    <row r="10326" spans="2:9" ht="15" customHeight="1" x14ac:dyDescent="0.25">
      <c r="B10326" s="55" t="s">
        <v>281</v>
      </c>
      <c r="C10326" s="46">
        <v>314</v>
      </c>
      <c r="D10326" s="69" t="s">
        <v>29418</v>
      </c>
      <c r="E10326" s="51"/>
      <c r="F10326" s="114" t="str">
        <f>IF(INDEX(I.Facility.P2bIDNumber,314)="","",INDEX(I.Facility.P2bIDNumber,314))</f>
        <v/>
      </c>
      <c r="G10326" s="51"/>
      <c r="H10326" s="46" t="str">
        <f>IF(AND(I.Developer.P2b=TRUE,I.Facility.P2bFacilityCount&gt;=314,F10326=""),"Incomplete","Complete")</f>
        <v>Complete</v>
      </c>
      <c r="I10326" s="48" t="s">
        <v>14691</v>
      </c>
    </row>
    <row r="10327" spans="2:9" ht="15" customHeight="1" x14ac:dyDescent="0.25">
      <c r="B10327" s="55" t="s">
        <v>281</v>
      </c>
      <c r="C10327" s="46">
        <v>315</v>
      </c>
      <c r="D10327" s="69" t="s">
        <v>29418</v>
      </c>
      <c r="E10327" s="51"/>
      <c r="F10327" s="114" t="str">
        <f>IF(INDEX(I.Facility.P2bIDNumber,315)="","",INDEX(I.Facility.P2bIDNumber,315))</f>
        <v/>
      </c>
      <c r="G10327" s="51"/>
      <c r="H10327" s="46" t="str">
        <f>IF(AND(I.Developer.P2b=TRUE,I.Facility.P2bFacilityCount&gt;=315,F10327=""),"Incomplete","Complete")</f>
        <v>Complete</v>
      </c>
      <c r="I10327" s="48" t="s">
        <v>14692</v>
      </c>
    </row>
    <row r="10328" spans="2:9" ht="15" customHeight="1" x14ac:dyDescent="0.25">
      <c r="B10328" s="55" t="s">
        <v>281</v>
      </c>
      <c r="C10328" s="46">
        <v>316</v>
      </c>
      <c r="D10328" s="69" t="s">
        <v>29418</v>
      </c>
      <c r="E10328" s="51"/>
      <c r="F10328" s="114" t="str">
        <f>IF(INDEX(I.Facility.P2bIDNumber,316)="","",INDEX(I.Facility.P2bIDNumber,316))</f>
        <v/>
      </c>
      <c r="G10328" s="51"/>
      <c r="H10328" s="46" t="str">
        <f>IF(AND(I.Developer.P2b=TRUE,I.Facility.P2bFacilityCount&gt;=316,F10328=""),"Incomplete","Complete")</f>
        <v>Complete</v>
      </c>
      <c r="I10328" s="48" t="s">
        <v>14693</v>
      </c>
    </row>
    <row r="10329" spans="2:9" ht="15" customHeight="1" x14ac:dyDescent="0.25">
      <c r="B10329" s="55" t="s">
        <v>281</v>
      </c>
      <c r="C10329" s="46">
        <v>317</v>
      </c>
      <c r="D10329" s="69" t="s">
        <v>29418</v>
      </c>
      <c r="E10329" s="51"/>
      <c r="F10329" s="114" t="str">
        <f>IF(INDEX(I.Facility.P2bIDNumber,317)="","",INDEX(I.Facility.P2bIDNumber,317))</f>
        <v/>
      </c>
      <c r="G10329" s="51"/>
      <c r="H10329" s="46" t="str">
        <f>IF(AND(I.Developer.P2b=TRUE,I.Facility.P2bFacilityCount&gt;=317,F10329=""),"Incomplete","Complete")</f>
        <v>Complete</v>
      </c>
      <c r="I10329" s="48" t="s">
        <v>14694</v>
      </c>
    </row>
    <row r="10330" spans="2:9" ht="15" customHeight="1" x14ac:dyDescent="0.25">
      <c r="B10330" s="55" t="s">
        <v>281</v>
      </c>
      <c r="C10330" s="46">
        <v>318</v>
      </c>
      <c r="D10330" s="69" t="s">
        <v>29418</v>
      </c>
      <c r="E10330" s="51"/>
      <c r="F10330" s="114" t="str">
        <f>IF(INDEX(I.Facility.P2bIDNumber,318)="","",INDEX(I.Facility.P2bIDNumber,318))</f>
        <v/>
      </c>
      <c r="G10330" s="51"/>
      <c r="H10330" s="46" t="str">
        <f>IF(AND(I.Developer.P2b=TRUE,I.Facility.P2bFacilityCount&gt;=318,F10330=""),"Incomplete","Complete")</f>
        <v>Complete</v>
      </c>
      <c r="I10330" s="48" t="s">
        <v>14695</v>
      </c>
    </row>
    <row r="10331" spans="2:9" ht="15" customHeight="1" x14ac:dyDescent="0.25">
      <c r="B10331" s="55" t="s">
        <v>281</v>
      </c>
      <c r="C10331" s="46">
        <v>319</v>
      </c>
      <c r="D10331" s="69" t="s">
        <v>29418</v>
      </c>
      <c r="E10331" s="51"/>
      <c r="F10331" s="114" t="str">
        <f>IF(INDEX(I.Facility.P2bIDNumber,319)="","",INDEX(I.Facility.P2bIDNumber,319))</f>
        <v/>
      </c>
      <c r="G10331" s="51"/>
      <c r="H10331" s="46" t="str">
        <f>IF(AND(I.Developer.P2b=TRUE,I.Facility.P2bFacilityCount&gt;=319,F10331=""),"Incomplete","Complete")</f>
        <v>Complete</v>
      </c>
      <c r="I10331" s="48" t="s">
        <v>14696</v>
      </c>
    </row>
    <row r="10332" spans="2:9" ht="15" customHeight="1" x14ac:dyDescent="0.25">
      <c r="B10332" s="55" t="s">
        <v>281</v>
      </c>
      <c r="C10332" s="46">
        <v>320</v>
      </c>
      <c r="D10332" s="69" t="s">
        <v>29418</v>
      </c>
      <c r="E10332" s="51"/>
      <c r="F10332" s="114" t="str">
        <f>IF(INDEX(I.Facility.P2bIDNumber,320)="","",INDEX(I.Facility.P2bIDNumber,320))</f>
        <v/>
      </c>
      <c r="G10332" s="51"/>
      <c r="H10332" s="46" t="str">
        <f>IF(AND(I.Developer.P2b=TRUE,I.Facility.P2bFacilityCount&gt;=320,F10332=""),"Incomplete","Complete")</f>
        <v>Complete</v>
      </c>
      <c r="I10332" s="48" t="s">
        <v>14697</v>
      </c>
    </row>
    <row r="10333" spans="2:9" ht="15" customHeight="1" x14ac:dyDescent="0.25">
      <c r="B10333" s="55" t="s">
        <v>281</v>
      </c>
      <c r="C10333" s="46">
        <v>321</v>
      </c>
      <c r="D10333" s="69" t="s">
        <v>29418</v>
      </c>
      <c r="E10333" s="51"/>
      <c r="F10333" s="114" t="str">
        <f>IF(INDEX(I.Facility.P2bIDNumber,321)="","",INDEX(I.Facility.P2bIDNumber,321))</f>
        <v/>
      </c>
      <c r="G10333" s="51"/>
      <c r="H10333" s="46" t="str">
        <f>IF(AND(I.Developer.P2b=TRUE,I.Facility.P2bFacilityCount&gt;=321,F10333=""),"Incomplete","Complete")</f>
        <v>Complete</v>
      </c>
      <c r="I10333" s="48" t="s">
        <v>14698</v>
      </c>
    </row>
    <row r="10334" spans="2:9" ht="15" customHeight="1" x14ac:dyDescent="0.25">
      <c r="B10334" s="55" t="s">
        <v>281</v>
      </c>
      <c r="C10334" s="46">
        <v>322</v>
      </c>
      <c r="D10334" s="69" t="s">
        <v>29418</v>
      </c>
      <c r="E10334" s="51"/>
      <c r="F10334" s="114" t="str">
        <f>IF(INDEX(I.Facility.P2bIDNumber,322)="","",INDEX(I.Facility.P2bIDNumber,322))</f>
        <v/>
      </c>
      <c r="G10334" s="51"/>
      <c r="H10334" s="46" t="str">
        <f>IF(AND(I.Developer.P2b=TRUE,I.Facility.P2bFacilityCount&gt;=322,F10334=""),"Incomplete","Complete")</f>
        <v>Complete</v>
      </c>
      <c r="I10334" s="48" t="s">
        <v>14699</v>
      </c>
    </row>
    <row r="10335" spans="2:9" ht="15" customHeight="1" x14ac:dyDescent="0.25">
      <c r="B10335" s="55" t="s">
        <v>281</v>
      </c>
      <c r="C10335" s="46">
        <v>323</v>
      </c>
      <c r="D10335" s="69" t="s">
        <v>29418</v>
      </c>
      <c r="E10335" s="51"/>
      <c r="F10335" s="114" t="str">
        <f>IF(INDEX(I.Facility.P2bIDNumber,323)="","",INDEX(I.Facility.P2bIDNumber,323))</f>
        <v/>
      </c>
      <c r="G10335" s="51"/>
      <c r="H10335" s="46" t="str">
        <f>IF(AND(I.Developer.P2b=TRUE,I.Facility.P2bFacilityCount&gt;=323,F10335=""),"Incomplete","Complete")</f>
        <v>Complete</v>
      </c>
      <c r="I10335" s="48" t="s">
        <v>14700</v>
      </c>
    </row>
    <row r="10336" spans="2:9" ht="15" customHeight="1" x14ac:dyDescent="0.25">
      <c r="B10336" s="55" t="s">
        <v>281</v>
      </c>
      <c r="C10336" s="46">
        <v>324</v>
      </c>
      <c r="D10336" s="69" t="s">
        <v>29418</v>
      </c>
      <c r="E10336" s="51"/>
      <c r="F10336" s="114" t="str">
        <f>IF(INDEX(I.Facility.P2bIDNumber,324)="","",INDEX(I.Facility.P2bIDNumber,324))</f>
        <v/>
      </c>
      <c r="G10336" s="51"/>
      <c r="H10336" s="46" t="str">
        <f>IF(AND(I.Developer.P2b=TRUE,I.Facility.P2bFacilityCount&gt;=324,F10336=""),"Incomplete","Complete")</f>
        <v>Complete</v>
      </c>
      <c r="I10336" s="48" t="s">
        <v>14701</v>
      </c>
    </row>
    <row r="10337" spans="2:9" ht="15" customHeight="1" x14ac:dyDescent="0.25">
      <c r="B10337" s="55" t="s">
        <v>281</v>
      </c>
      <c r="C10337" s="46">
        <v>325</v>
      </c>
      <c r="D10337" s="69" t="s">
        <v>29418</v>
      </c>
      <c r="E10337" s="51"/>
      <c r="F10337" s="114" t="str">
        <f>IF(INDEX(I.Facility.P2bIDNumber,325)="","",INDEX(I.Facility.P2bIDNumber,325))</f>
        <v/>
      </c>
      <c r="G10337" s="51"/>
      <c r="H10337" s="46" t="str">
        <f>IF(AND(I.Developer.P2b=TRUE,I.Facility.P2bFacilityCount&gt;=325,F10337=""),"Incomplete","Complete")</f>
        <v>Complete</v>
      </c>
      <c r="I10337" s="48" t="s">
        <v>14702</v>
      </c>
    </row>
    <row r="10338" spans="2:9" ht="15" customHeight="1" x14ac:dyDescent="0.25">
      <c r="B10338" s="55" t="s">
        <v>281</v>
      </c>
      <c r="C10338" s="46">
        <v>326</v>
      </c>
      <c r="D10338" s="69" t="s">
        <v>29418</v>
      </c>
      <c r="E10338" s="51"/>
      <c r="F10338" s="114" t="str">
        <f>IF(INDEX(I.Facility.P2bIDNumber,326)="","",INDEX(I.Facility.P2bIDNumber,326))</f>
        <v/>
      </c>
      <c r="G10338" s="51"/>
      <c r="H10338" s="46" t="str">
        <f>IF(AND(I.Developer.P2b=TRUE,I.Facility.P2bFacilityCount&gt;=326,F10338=""),"Incomplete","Complete")</f>
        <v>Complete</v>
      </c>
      <c r="I10338" s="48" t="s">
        <v>14703</v>
      </c>
    </row>
    <row r="10339" spans="2:9" ht="15" customHeight="1" x14ac:dyDescent="0.25">
      <c r="B10339" s="55" t="s">
        <v>281</v>
      </c>
      <c r="C10339" s="46">
        <v>327</v>
      </c>
      <c r="D10339" s="69" t="s">
        <v>29418</v>
      </c>
      <c r="E10339" s="51"/>
      <c r="F10339" s="114" t="str">
        <f>IF(INDEX(I.Facility.P2bIDNumber,327)="","",INDEX(I.Facility.P2bIDNumber,327))</f>
        <v/>
      </c>
      <c r="G10339" s="51"/>
      <c r="H10339" s="46" t="str">
        <f>IF(AND(I.Developer.P2b=TRUE,I.Facility.P2bFacilityCount&gt;=327,F10339=""),"Incomplete","Complete")</f>
        <v>Complete</v>
      </c>
      <c r="I10339" s="48" t="s">
        <v>14704</v>
      </c>
    </row>
    <row r="10340" spans="2:9" ht="15" customHeight="1" x14ac:dyDescent="0.25">
      <c r="B10340" s="55" t="s">
        <v>281</v>
      </c>
      <c r="C10340" s="46">
        <v>328</v>
      </c>
      <c r="D10340" s="69" t="s">
        <v>29418</v>
      </c>
      <c r="E10340" s="51"/>
      <c r="F10340" s="114" t="str">
        <f>IF(INDEX(I.Facility.P2bIDNumber,328)="","",INDEX(I.Facility.P2bIDNumber,328))</f>
        <v/>
      </c>
      <c r="G10340" s="51"/>
      <c r="H10340" s="46" t="str">
        <f>IF(AND(I.Developer.P2b=TRUE,I.Facility.P2bFacilityCount&gt;=328,F10340=""),"Incomplete","Complete")</f>
        <v>Complete</v>
      </c>
      <c r="I10340" s="48" t="s">
        <v>14705</v>
      </c>
    </row>
    <row r="10341" spans="2:9" ht="15" customHeight="1" x14ac:dyDescent="0.25">
      <c r="B10341" s="55" t="s">
        <v>281</v>
      </c>
      <c r="C10341" s="46">
        <v>329</v>
      </c>
      <c r="D10341" s="69" t="s">
        <v>29418</v>
      </c>
      <c r="E10341" s="51"/>
      <c r="F10341" s="114" t="str">
        <f>IF(INDEX(I.Facility.P2bIDNumber,329)="","",INDEX(I.Facility.P2bIDNumber,329))</f>
        <v/>
      </c>
      <c r="G10341" s="51"/>
      <c r="H10341" s="46" t="str">
        <f>IF(AND(I.Developer.P2b=TRUE,I.Facility.P2bFacilityCount&gt;=329,F10341=""),"Incomplete","Complete")</f>
        <v>Complete</v>
      </c>
      <c r="I10341" s="48" t="s">
        <v>14706</v>
      </c>
    </row>
    <row r="10342" spans="2:9" ht="15" customHeight="1" x14ac:dyDescent="0.25">
      <c r="B10342" s="55" t="s">
        <v>281</v>
      </c>
      <c r="C10342" s="46">
        <v>330</v>
      </c>
      <c r="D10342" s="69" t="s">
        <v>29418</v>
      </c>
      <c r="E10342" s="51"/>
      <c r="F10342" s="114" t="str">
        <f>IF(INDEX(I.Facility.P2bIDNumber,330)="","",INDEX(I.Facility.P2bIDNumber,330))</f>
        <v/>
      </c>
      <c r="G10342" s="51"/>
      <c r="H10342" s="46" t="str">
        <f>IF(AND(I.Developer.P2b=TRUE,I.Facility.P2bFacilityCount&gt;=330,F10342=""),"Incomplete","Complete")</f>
        <v>Complete</v>
      </c>
      <c r="I10342" s="48" t="s">
        <v>14707</v>
      </c>
    </row>
    <row r="10343" spans="2:9" ht="15" customHeight="1" x14ac:dyDescent="0.25">
      <c r="B10343" s="55" t="s">
        <v>281</v>
      </c>
      <c r="C10343" s="46">
        <v>331</v>
      </c>
      <c r="D10343" s="69" t="s">
        <v>29418</v>
      </c>
      <c r="E10343" s="51"/>
      <c r="F10343" s="114" t="str">
        <f>IF(INDEX(I.Facility.P2bIDNumber,331)="","",INDEX(I.Facility.P2bIDNumber,331))</f>
        <v/>
      </c>
      <c r="G10343" s="51"/>
      <c r="H10343" s="46" t="str">
        <f>IF(AND(I.Developer.P2b=TRUE,I.Facility.P2bFacilityCount&gt;=331,F10343=""),"Incomplete","Complete")</f>
        <v>Complete</v>
      </c>
      <c r="I10343" s="48" t="s">
        <v>14708</v>
      </c>
    </row>
    <row r="10344" spans="2:9" ht="15" customHeight="1" x14ac:dyDescent="0.25">
      <c r="B10344" s="55" t="s">
        <v>281</v>
      </c>
      <c r="C10344" s="46">
        <v>332</v>
      </c>
      <c r="D10344" s="69" t="s">
        <v>29418</v>
      </c>
      <c r="E10344" s="51"/>
      <c r="F10344" s="114" t="str">
        <f>IF(INDEX(I.Facility.P2bIDNumber,332)="","",INDEX(I.Facility.P2bIDNumber,332))</f>
        <v/>
      </c>
      <c r="G10344" s="51"/>
      <c r="H10344" s="46" t="str">
        <f>IF(AND(I.Developer.P2b=TRUE,I.Facility.P2bFacilityCount&gt;=332,F10344=""),"Incomplete","Complete")</f>
        <v>Complete</v>
      </c>
      <c r="I10344" s="48" t="s">
        <v>14709</v>
      </c>
    </row>
    <row r="10345" spans="2:9" ht="15" customHeight="1" x14ac:dyDescent="0.25">
      <c r="B10345" s="55" t="s">
        <v>281</v>
      </c>
      <c r="C10345" s="46">
        <v>333</v>
      </c>
      <c r="D10345" s="69" t="s">
        <v>29418</v>
      </c>
      <c r="E10345" s="51"/>
      <c r="F10345" s="114" t="str">
        <f>IF(INDEX(I.Facility.P2bIDNumber,333)="","",INDEX(I.Facility.P2bIDNumber,333))</f>
        <v/>
      </c>
      <c r="G10345" s="51"/>
      <c r="H10345" s="46" t="str">
        <f>IF(AND(I.Developer.P2b=TRUE,I.Facility.P2bFacilityCount&gt;=333,F10345=""),"Incomplete","Complete")</f>
        <v>Complete</v>
      </c>
      <c r="I10345" s="48" t="s">
        <v>14710</v>
      </c>
    </row>
    <row r="10346" spans="2:9" ht="15" customHeight="1" x14ac:dyDescent="0.25">
      <c r="B10346" s="55" t="s">
        <v>281</v>
      </c>
      <c r="C10346" s="46">
        <v>334</v>
      </c>
      <c r="D10346" s="69" t="s">
        <v>29418</v>
      </c>
      <c r="E10346" s="51"/>
      <c r="F10346" s="114" t="str">
        <f>IF(INDEX(I.Facility.P2bIDNumber,334)="","",INDEX(I.Facility.P2bIDNumber,334))</f>
        <v/>
      </c>
      <c r="G10346" s="51"/>
      <c r="H10346" s="46" t="str">
        <f>IF(AND(I.Developer.P2b=TRUE,I.Facility.P2bFacilityCount&gt;=334,F10346=""),"Incomplete","Complete")</f>
        <v>Complete</v>
      </c>
      <c r="I10346" s="48" t="s">
        <v>14711</v>
      </c>
    </row>
    <row r="10347" spans="2:9" ht="15" customHeight="1" x14ac:dyDescent="0.25">
      <c r="B10347" s="55" t="s">
        <v>281</v>
      </c>
      <c r="C10347" s="46">
        <v>335</v>
      </c>
      <c r="D10347" s="69" t="s">
        <v>29418</v>
      </c>
      <c r="E10347" s="51"/>
      <c r="F10347" s="114" t="str">
        <f>IF(INDEX(I.Facility.P2bIDNumber,335)="","",INDEX(I.Facility.P2bIDNumber,335))</f>
        <v/>
      </c>
      <c r="G10347" s="51"/>
      <c r="H10347" s="46" t="str">
        <f>IF(AND(I.Developer.P2b=TRUE,I.Facility.P2bFacilityCount&gt;=335,F10347=""),"Incomplete","Complete")</f>
        <v>Complete</v>
      </c>
      <c r="I10347" s="48" t="s">
        <v>14712</v>
      </c>
    </row>
    <row r="10348" spans="2:9" ht="15" customHeight="1" x14ac:dyDescent="0.25">
      <c r="B10348" s="55" t="s">
        <v>281</v>
      </c>
      <c r="C10348" s="46">
        <v>336</v>
      </c>
      <c r="D10348" s="69" t="s">
        <v>29418</v>
      </c>
      <c r="E10348" s="51"/>
      <c r="F10348" s="114" t="str">
        <f>IF(INDEX(I.Facility.P2bIDNumber,336)="","",INDEX(I.Facility.P2bIDNumber,336))</f>
        <v/>
      </c>
      <c r="G10348" s="51"/>
      <c r="H10348" s="46" t="str">
        <f>IF(AND(I.Developer.P2b=TRUE,I.Facility.P2bFacilityCount&gt;=336,F10348=""),"Incomplete","Complete")</f>
        <v>Complete</v>
      </c>
      <c r="I10348" s="48" t="s">
        <v>14713</v>
      </c>
    </row>
    <row r="10349" spans="2:9" ht="15" customHeight="1" x14ac:dyDescent="0.25">
      <c r="B10349" s="55" t="s">
        <v>281</v>
      </c>
      <c r="C10349" s="46">
        <v>337</v>
      </c>
      <c r="D10349" s="69" t="s">
        <v>29418</v>
      </c>
      <c r="E10349" s="51"/>
      <c r="F10349" s="114" t="str">
        <f>IF(INDEX(I.Facility.P2bIDNumber,337)="","",INDEX(I.Facility.P2bIDNumber,337))</f>
        <v/>
      </c>
      <c r="G10349" s="51"/>
      <c r="H10349" s="46" t="str">
        <f>IF(AND(I.Developer.P2b=TRUE,I.Facility.P2bFacilityCount&gt;=337,F10349=""),"Incomplete","Complete")</f>
        <v>Complete</v>
      </c>
      <c r="I10349" s="48" t="s">
        <v>14714</v>
      </c>
    </row>
    <row r="10350" spans="2:9" ht="15" customHeight="1" x14ac:dyDescent="0.25">
      <c r="B10350" s="55" t="s">
        <v>281</v>
      </c>
      <c r="C10350" s="46">
        <v>338</v>
      </c>
      <c r="D10350" s="69" t="s">
        <v>29418</v>
      </c>
      <c r="E10350" s="51"/>
      <c r="F10350" s="114" t="str">
        <f>IF(INDEX(I.Facility.P2bIDNumber,338)="","",INDEX(I.Facility.P2bIDNumber,338))</f>
        <v/>
      </c>
      <c r="G10350" s="51"/>
      <c r="H10350" s="46" t="str">
        <f>IF(AND(I.Developer.P2b=TRUE,I.Facility.P2bFacilityCount&gt;=338,F10350=""),"Incomplete","Complete")</f>
        <v>Complete</v>
      </c>
      <c r="I10350" s="48" t="s">
        <v>14715</v>
      </c>
    </row>
    <row r="10351" spans="2:9" ht="15" customHeight="1" x14ac:dyDescent="0.25">
      <c r="B10351" s="55" t="s">
        <v>281</v>
      </c>
      <c r="C10351" s="46">
        <v>339</v>
      </c>
      <c r="D10351" s="69" t="s">
        <v>29418</v>
      </c>
      <c r="E10351" s="51"/>
      <c r="F10351" s="114" t="str">
        <f>IF(INDEX(I.Facility.P2bIDNumber,339)="","",INDEX(I.Facility.P2bIDNumber,339))</f>
        <v/>
      </c>
      <c r="G10351" s="51"/>
      <c r="H10351" s="46" t="str">
        <f>IF(AND(I.Developer.P2b=TRUE,I.Facility.P2bFacilityCount&gt;=339,F10351=""),"Incomplete","Complete")</f>
        <v>Complete</v>
      </c>
      <c r="I10351" s="48" t="s">
        <v>14716</v>
      </c>
    </row>
    <row r="10352" spans="2:9" ht="15" customHeight="1" x14ac:dyDescent="0.25">
      <c r="B10352" s="55" t="s">
        <v>281</v>
      </c>
      <c r="C10352" s="46">
        <v>340</v>
      </c>
      <c r="D10352" s="69" t="s">
        <v>29418</v>
      </c>
      <c r="E10352" s="51"/>
      <c r="F10352" s="114" t="str">
        <f>IF(INDEX(I.Facility.P2bIDNumber,340)="","",INDEX(I.Facility.P2bIDNumber,340))</f>
        <v/>
      </c>
      <c r="G10352" s="51"/>
      <c r="H10352" s="46" t="str">
        <f>IF(AND(I.Developer.P2b=TRUE,I.Facility.P2bFacilityCount&gt;=340,F10352=""),"Incomplete","Complete")</f>
        <v>Complete</v>
      </c>
      <c r="I10352" s="48" t="s">
        <v>14717</v>
      </c>
    </row>
    <row r="10353" spans="2:9" ht="15" customHeight="1" x14ac:dyDescent="0.25">
      <c r="B10353" s="55" t="s">
        <v>281</v>
      </c>
      <c r="C10353" s="46">
        <v>341</v>
      </c>
      <c r="D10353" s="69" t="s">
        <v>29418</v>
      </c>
      <c r="E10353" s="51"/>
      <c r="F10353" s="114" t="str">
        <f>IF(INDEX(I.Facility.P2bIDNumber,341)="","",INDEX(I.Facility.P2bIDNumber,341))</f>
        <v/>
      </c>
      <c r="G10353" s="51"/>
      <c r="H10353" s="46" t="str">
        <f>IF(AND(I.Developer.P2b=TRUE,I.Facility.P2bFacilityCount&gt;=341,F10353=""),"Incomplete","Complete")</f>
        <v>Complete</v>
      </c>
      <c r="I10353" s="48" t="s">
        <v>14718</v>
      </c>
    </row>
    <row r="10354" spans="2:9" ht="15" customHeight="1" x14ac:dyDescent="0.25">
      <c r="B10354" s="55" t="s">
        <v>281</v>
      </c>
      <c r="C10354" s="46">
        <v>342</v>
      </c>
      <c r="D10354" s="69" t="s">
        <v>29418</v>
      </c>
      <c r="E10354" s="51"/>
      <c r="F10354" s="114" t="str">
        <f>IF(INDEX(I.Facility.P2bIDNumber,342)="","",INDEX(I.Facility.P2bIDNumber,342))</f>
        <v/>
      </c>
      <c r="G10354" s="51"/>
      <c r="H10354" s="46" t="str">
        <f>IF(AND(I.Developer.P2b=TRUE,I.Facility.P2bFacilityCount&gt;=342,F10354=""),"Incomplete","Complete")</f>
        <v>Complete</v>
      </c>
      <c r="I10354" s="48" t="s">
        <v>14719</v>
      </c>
    </row>
    <row r="10355" spans="2:9" ht="15" customHeight="1" x14ac:dyDescent="0.25">
      <c r="B10355" s="55" t="s">
        <v>281</v>
      </c>
      <c r="C10355" s="46">
        <v>343</v>
      </c>
      <c r="D10355" s="69" t="s">
        <v>29418</v>
      </c>
      <c r="E10355" s="51"/>
      <c r="F10355" s="114" t="str">
        <f>IF(INDEX(I.Facility.P2bIDNumber,343)="","",INDEX(I.Facility.P2bIDNumber,343))</f>
        <v/>
      </c>
      <c r="G10355" s="51"/>
      <c r="H10355" s="46" t="str">
        <f>IF(AND(I.Developer.P2b=TRUE,I.Facility.P2bFacilityCount&gt;=343,F10355=""),"Incomplete","Complete")</f>
        <v>Complete</v>
      </c>
      <c r="I10355" s="48" t="s">
        <v>14720</v>
      </c>
    </row>
    <row r="10356" spans="2:9" ht="15" customHeight="1" x14ac:dyDescent="0.25">
      <c r="B10356" s="55" t="s">
        <v>281</v>
      </c>
      <c r="C10356" s="46">
        <v>344</v>
      </c>
      <c r="D10356" s="69" t="s">
        <v>29418</v>
      </c>
      <c r="E10356" s="51"/>
      <c r="F10356" s="114" t="str">
        <f>IF(INDEX(I.Facility.P2bIDNumber,344)="","",INDEX(I.Facility.P2bIDNumber,344))</f>
        <v/>
      </c>
      <c r="G10356" s="51"/>
      <c r="H10356" s="46" t="str">
        <f>IF(AND(I.Developer.P2b=TRUE,I.Facility.P2bFacilityCount&gt;=344,F10356=""),"Incomplete","Complete")</f>
        <v>Complete</v>
      </c>
      <c r="I10356" s="48" t="s">
        <v>14721</v>
      </c>
    </row>
    <row r="10357" spans="2:9" ht="15" customHeight="1" x14ac:dyDescent="0.25">
      <c r="B10357" s="55" t="s">
        <v>281</v>
      </c>
      <c r="C10357" s="46">
        <v>345</v>
      </c>
      <c r="D10357" s="69" t="s">
        <v>29418</v>
      </c>
      <c r="E10357" s="51"/>
      <c r="F10357" s="114" t="str">
        <f>IF(INDEX(I.Facility.P2bIDNumber,345)="","",INDEX(I.Facility.P2bIDNumber,345))</f>
        <v/>
      </c>
      <c r="G10357" s="51"/>
      <c r="H10357" s="46" t="str">
        <f>IF(AND(I.Developer.P2b=TRUE,I.Facility.P2bFacilityCount&gt;=345,F10357=""),"Incomplete","Complete")</f>
        <v>Complete</v>
      </c>
      <c r="I10357" s="48" t="s">
        <v>14722</v>
      </c>
    </row>
    <row r="10358" spans="2:9" ht="15" customHeight="1" x14ac:dyDescent="0.25">
      <c r="B10358" s="55" t="s">
        <v>281</v>
      </c>
      <c r="C10358" s="46">
        <v>346</v>
      </c>
      <c r="D10358" s="69" t="s">
        <v>29418</v>
      </c>
      <c r="E10358" s="51"/>
      <c r="F10358" s="114" t="str">
        <f>IF(INDEX(I.Facility.P2bIDNumber,346)="","",INDEX(I.Facility.P2bIDNumber,346))</f>
        <v/>
      </c>
      <c r="G10358" s="51"/>
      <c r="H10358" s="46" t="str">
        <f>IF(AND(I.Developer.P2b=TRUE,I.Facility.P2bFacilityCount&gt;=346,F10358=""),"Incomplete","Complete")</f>
        <v>Complete</v>
      </c>
      <c r="I10358" s="48" t="s">
        <v>14723</v>
      </c>
    </row>
    <row r="10359" spans="2:9" ht="15" customHeight="1" x14ac:dyDescent="0.25">
      <c r="B10359" s="55" t="s">
        <v>281</v>
      </c>
      <c r="C10359" s="46">
        <v>347</v>
      </c>
      <c r="D10359" s="69" t="s">
        <v>29418</v>
      </c>
      <c r="E10359" s="51"/>
      <c r="F10359" s="114" t="str">
        <f>IF(INDEX(I.Facility.P2bIDNumber,347)="","",INDEX(I.Facility.P2bIDNumber,347))</f>
        <v/>
      </c>
      <c r="G10359" s="51"/>
      <c r="H10359" s="46" t="str">
        <f>IF(AND(I.Developer.P2b=TRUE,I.Facility.P2bFacilityCount&gt;=347,F10359=""),"Incomplete","Complete")</f>
        <v>Complete</v>
      </c>
      <c r="I10359" s="48" t="s">
        <v>14724</v>
      </c>
    </row>
    <row r="10360" spans="2:9" ht="15" customHeight="1" x14ac:dyDescent="0.25">
      <c r="B10360" s="55" t="s">
        <v>281</v>
      </c>
      <c r="C10360" s="46">
        <v>348</v>
      </c>
      <c r="D10360" s="69" t="s">
        <v>29418</v>
      </c>
      <c r="E10360" s="51"/>
      <c r="F10360" s="114" t="str">
        <f>IF(INDEX(I.Facility.P2bIDNumber,348)="","",INDEX(I.Facility.P2bIDNumber,348))</f>
        <v/>
      </c>
      <c r="G10360" s="51"/>
      <c r="H10360" s="46" t="str">
        <f>IF(AND(I.Developer.P2b=TRUE,I.Facility.P2bFacilityCount&gt;=348,F10360=""),"Incomplete","Complete")</f>
        <v>Complete</v>
      </c>
      <c r="I10360" s="48" t="s">
        <v>14725</v>
      </c>
    </row>
    <row r="10361" spans="2:9" ht="15" customHeight="1" x14ac:dyDescent="0.25">
      <c r="B10361" s="55" t="s">
        <v>281</v>
      </c>
      <c r="C10361" s="46">
        <v>349</v>
      </c>
      <c r="D10361" s="69" t="s">
        <v>29418</v>
      </c>
      <c r="E10361" s="51"/>
      <c r="F10361" s="114" t="str">
        <f>IF(INDEX(I.Facility.P2bIDNumber,349)="","",INDEX(I.Facility.P2bIDNumber,349))</f>
        <v/>
      </c>
      <c r="G10361" s="51"/>
      <c r="H10361" s="46" t="str">
        <f>IF(AND(I.Developer.P2b=TRUE,I.Facility.P2bFacilityCount&gt;=349,F10361=""),"Incomplete","Complete")</f>
        <v>Complete</v>
      </c>
      <c r="I10361" s="48" t="s">
        <v>14726</v>
      </c>
    </row>
    <row r="10362" spans="2:9" ht="15" customHeight="1" x14ac:dyDescent="0.25">
      <c r="B10362" s="55" t="s">
        <v>281</v>
      </c>
      <c r="C10362" s="46">
        <v>350</v>
      </c>
      <c r="D10362" s="69" t="s">
        <v>29418</v>
      </c>
      <c r="E10362" s="51"/>
      <c r="F10362" s="114" t="str">
        <f>IF(INDEX(I.Facility.P2bIDNumber,350)="","",INDEX(I.Facility.P2bIDNumber,350))</f>
        <v/>
      </c>
      <c r="G10362" s="51"/>
      <c r="H10362" s="46" t="str">
        <f>IF(AND(I.Developer.P2b=TRUE,I.Facility.P2bFacilityCount&gt;=350,F10362=""),"Incomplete","Complete")</f>
        <v>Complete</v>
      </c>
      <c r="I10362" s="48" t="s">
        <v>14727</v>
      </c>
    </row>
    <row r="10363" spans="2:9" ht="15" customHeight="1" x14ac:dyDescent="0.25">
      <c r="B10363" s="55" t="s">
        <v>281</v>
      </c>
      <c r="C10363" s="46">
        <v>351</v>
      </c>
      <c r="D10363" s="69" t="s">
        <v>29418</v>
      </c>
      <c r="E10363" s="51"/>
      <c r="F10363" s="114" t="str">
        <f>IF(INDEX(I.Facility.P2bIDNumber,351)="","",INDEX(I.Facility.P2bIDNumber,351))</f>
        <v/>
      </c>
      <c r="G10363" s="51"/>
      <c r="H10363" s="46" t="str">
        <f>IF(AND(I.Developer.P2b=TRUE,I.Facility.P2bFacilityCount&gt;=351,F10363=""),"Incomplete","Complete")</f>
        <v>Complete</v>
      </c>
      <c r="I10363" s="48" t="s">
        <v>14728</v>
      </c>
    </row>
    <row r="10364" spans="2:9" ht="15" customHeight="1" x14ac:dyDescent="0.25">
      <c r="B10364" s="55" t="s">
        <v>281</v>
      </c>
      <c r="C10364" s="46">
        <v>352</v>
      </c>
      <c r="D10364" s="69" t="s">
        <v>29418</v>
      </c>
      <c r="E10364" s="51"/>
      <c r="F10364" s="114" t="str">
        <f>IF(INDEX(I.Facility.P2bIDNumber,352)="","",INDEX(I.Facility.P2bIDNumber,352))</f>
        <v/>
      </c>
      <c r="G10364" s="51"/>
      <c r="H10364" s="46" t="str">
        <f>IF(AND(I.Developer.P2b=TRUE,I.Facility.P2bFacilityCount&gt;=352,F10364=""),"Incomplete","Complete")</f>
        <v>Complete</v>
      </c>
      <c r="I10364" s="48" t="s">
        <v>14729</v>
      </c>
    </row>
    <row r="10365" spans="2:9" ht="15" customHeight="1" x14ac:dyDescent="0.25">
      <c r="B10365" s="55" t="s">
        <v>281</v>
      </c>
      <c r="C10365" s="46">
        <v>353</v>
      </c>
      <c r="D10365" s="69" t="s">
        <v>29418</v>
      </c>
      <c r="E10365" s="51"/>
      <c r="F10365" s="114" t="str">
        <f>IF(INDEX(I.Facility.P2bIDNumber,353)="","",INDEX(I.Facility.P2bIDNumber,353))</f>
        <v/>
      </c>
      <c r="G10365" s="51"/>
      <c r="H10365" s="46" t="str">
        <f>IF(AND(I.Developer.P2b=TRUE,I.Facility.P2bFacilityCount&gt;=353,F10365=""),"Incomplete","Complete")</f>
        <v>Complete</v>
      </c>
      <c r="I10365" s="48" t="s">
        <v>14730</v>
      </c>
    </row>
    <row r="10366" spans="2:9" ht="15" customHeight="1" x14ac:dyDescent="0.25">
      <c r="B10366" s="55" t="s">
        <v>281</v>
      </c>
      <c r="C10366" s="46">
        <v>354</v>
      </c>
      <c r="D10366" s="69" t="s">
        <v>29418</v>
      </c>
      <c r="E10366" s="51"/>
      <c r="F10366" s="114" t="str">
        <f>IF(INDEX(I.Facility.P2bIDNumber,354)="","",INDEX(I.Facility.P2bIDNumber,354))</f>
        <v/>
      </c>
      <c r="G10366" s="51"/>
      <c r="H10366" s="46" t="str">
        <f>IF(AND(I.Developer.P2b=TRUE,I.Facility.P2bFacilityCount&gt;=354,F10366=""),"Incomplete","Complete")</f>
        <v>Complete</v>
      </c>
      <c r="I10366" s="48" t="s">
        <v>14731</v>
      </c>
    </row>
    <row r="10367" spans="2:9" ht="15" customHeight="1" x14ac:dyDescent="0.25">
      <c r="B10367" s="55" t="s">
        <v>281</v>
      </c>
      <c r="C10367" s="46">
        <v>355</v>
      </c>
      <c r="D10367" s="69" t="s">
        <v>29418</v>
      </c>
      <c r="E10367" s="51"/>
      <c r="F10367" s="114" t="str">
        <f>IF(INDEX(I.Facility.P2bIDNumber,355)="","",INDEX(I.Facility.P2bIDNumber,355))</f>
        <v/>
      </c>
      <c r="G10367" s="51"/>
      <c r="H10367" s="46" t="str">
        <f>IF(AND(I.Developer.P2b=TRUE,I.Facility.P2bFacilityCount&gt;=355,F10367=""),"Incomplete","Complete")</f>
        <v>Complete</v>
      </c>
      <c r="I10367" s="48" t="s">
        <v>14732</v>
      </c>
    </row>
    <row r="10368" spans="2:9" ht="15" customHeight="1" x14ac:dyDescent="0.25">
      <c r="B10368" s="55" t="s">
        <v>281</v>
      </c>
      <c r="C10368" s="46">
        <v>356</v>
      </c>
      <c r="D10368" s="69" t="s">
        <v>29418</v>
      </c>
      <c r="E10368" s="51"/>
      <c r="F10368" s="114" t="str">
        <f>IF(INDEX(I.Facility.P2bIDNumber,356)="","",INDEX(I.Facility.P2bIDNumber,356))</f>
        <v/>
      </c>
      <c r="G10368" s="51"/>
      <c r="H10368" s="46" t="str">
        <f>IF(AND(I.Developer.P2b=TRUE,I.Facility.P2bFacilityCount&gt;=356,F10368=""),"Incomplete","Complete")</f>
        <v>Complete</v>
      </c>
      <c r="I10368" s="48" t="s">
        <v>14733</v>
      </c>
    </row>
    <row r="10369" spans="2:9" ht="15" customHeight="1" x14ac:dyDescent="0.25">
      <c r="B10369" s="55" t="s">
        <v>281</v>
      </c>
      <c r="C10369" s="46">
        <v>357</v>
      </c>
      <c r="D10369" s="69" t="s">
        <v>29418</v>
      </c>
      <c r="E10369" s="51"/>
      <c r="F10369" s="114" t="str">
        <f>IF(INDEX(I.Facility.P2bIDNumber,357)="","",INDEX(I.Facility.P2bIDNumber,357))</f>
        <v/>
      </c>
      <c r="G10369" s="51"/>
      <c r="H10369" s="46" t="str">
        <f>IF(AND(I.Developer.P2b=TRUE,I.Facility.P2bFacilityCount&gt;=357,F10369=""),"Incomplete","Complete")</f>
        <v>Complete</v>
      </c>
      <c r="I10369" s="48" t="s">
        <v>14734</v>
      </c>
    </row>
    <row r="10370" spans="2:9" ht="15" customHeight="1" x14ac:dyDescent="0.25">
      <c r="B10370" s="55" t="s">
        <v>281</v>
      </c>
      <c r="C10370" s="46">
        <v>358</v>
      </c>
      <c r="D10370" s="69" t="s">
        <v>29418</v>
      </c>
      <c r="E10370" s="51"/>
      <c r="F10370" s="114" t="str">
        <f>IF(INDEX(I.Facility.P2bIDNumber,358)="","",INDEX(I.Facility.P2bIDNumber,358))</f>
        <v/>
      </c>
      <c r="G10370" s="51"/>
      <c r="H10370" s="46" t="str">
        <f>IF(AND(I.Developer.P2b=TRUE,I.Facility.P2bFacilityCount&gt;=358,F10370=""),"Incomplete","Complete")</f>
        <v>Complete</v>
      </c>
      <c r="I10370" s="48" t="s">
        <v>14735</v>
      </c>
    </row>
    <row r="10371" spans="2:9" ht="15" customHeight="1" x14ac:dyDescent="0.25">
      <c r="B10371" s="55" t="s">
        <v>281</v>
      </c>
      <c r="C10371" s="46">
        <v>359</v>
      </c>
      <c r="D10371" s="69" t="s">
        <v>29418</v>
      </c>
      <c r="E10371" s="51"/>
      <c r="F10371" s="114" t="str">
        <f>IF(INDEX(I.Facility.P2bIDNumber,359)="","",INDEX(I.Facility.P2bIDNumber,359))</f>
        <v/>
      </c>
      <c r="G10371" s="51"/>
      <c r="H10371" s="46" t="str">
        <f>IF(AND(I.Developer.P2b=TRUE,I.Facility.P2bFacilityCount&gt;=359,F10371=""),"Incomplete","Complete")</f>
        <v>Complete</v>
      </c>
      <c r="I10371" s="48" t="s">
        <v>14736</v>
      </c>
    </row>
    <row r="10372" spans="2:9" ht="15" customHeight="1" x14ac:dyDescent="0.25">
      <c r="B10372" s="55" t="s">
        <v>281</v>
      </c>
      <c r="C10372" s="46">
        <v>360</v>
      </c>
      <c r="D10372" s="69" t="s">
        <v>29418</v>
      </c>
      <c r="E10372" s="51"/>
      <c r="F10372" s="114" t="str">
        <f>IF(INDEX(I.Facility.P2bIDNumber,360)="","",INDEX(I.Facility.P2bIDNumber,360))</f>
        <v/>
      </c>
      <c r="G10372" s="51"/>
      <c r="H10372" s="46" t="str">
        <f>IF(AND(I.Developer.P2b=TRUE,I.Facility.P2bFacilityCount&gt;=360,F10372=""),"Incomplete","Complete")</f>
        <v>Complete</v>
      </c>
      <c r="I10372" s="48" t="s">
        <v>14737</v>
      </c>
    </row>
    <row r="10373" spans="2:9" ht="15" customHeight="1" x14ac:dyDescent="0.25">
      <c r="B10373" s="55" t="s">
        <v>281</v>
      </c>
      <c r="C10373" s="46">
        <v>361</v>
      </c>
      <c r="D10373" s="69" t="s">
        <v>29418</v>
      </c>
      <c r="E10373" s="51"/>
      <c r="F10373" s="114" t="str">
        <f>IF(INDEX(I.Facility.P2bIDNumber,361)="","",INDEX(I.Facility.P2bIDNumber,361))</f>
        <v/>
      </c>
      <c r="G10373" s="51"/>
      <c r="H10373" s="46" t="str">
        <f>IF(AND(I.Developer.P2b=TRUE,I.Facility.P2bFacilityCount&gt;=361,F10373=""),"Incomplete","Complete")</f>
        <v>Complete</v>
      </c>
      <c r="I10373" s="48" t="s">
        <v>14738</v>
      </c>
    </row>
    <row r="10374" spans="2:9" ht="15" customHeight="1" x14ac:dyDescent="0.25">
      <c r="B10374" s="55" t="s">
        <v>281</v>
      </c>
      <c r="C10374" s="46">
        <v>362</v>
      </c>
      <c r="D10374" s="69" t="s">
        <v>29418</v>
      </c>
      <c r="E10374" s="51"/>
      <c r="F10374" s="114" t="str">
        <f>IF(INDEX(I.Facility.P2bIDNumber,362)="","",INDEX(I.Facility.P2bIDNumber,362))</f>
        <v/>
      </c>
      <c r="G10374" s="51"/>
      <c r="H10374" s="46" t="str">
        <f>IF(AND(I.Developer.P2b=TRUE,I.Facility.P2bFacilityCount&gt;=362,F10374=""),"Incomplete","Complete")</f>
        <v>Complete</v>
      </c>
      <c r="I10374" s="48" t="s">
        <v>14739</v>
      </c>
    </row>
    <row r="10375" spans="2:9" ht="15" customHeight="1" x14ac:dyDescent="0.25">
      <c r="B10375" s="55" t="s">
        <v>281</v>
      </c>
      <c r="C10375" s="46">
        <v>363</v>
      </c>
      <c r="D10375" s="69" t="s">
        <v>29418</v>
      </c>
      <c r="E10375" s="51"/>
      <c r="F10375" s="114" t="str">
        <f>IF(INDEX(I.Facility.P2bIDNumber,363)="","",INDEX(I.Facility.P2bIDNumber,363))</f>
        <v/>
      </c>
      <c r="G10375" s="51"/>
      <c r="H10375" s="46" t="str">
        <f>IF(AND(I.Developer.P2b=TRUE,I.Facility.P2bFacilityCount&gt;=363,F10375=""),"Incomplete","Complete")</f>
        <v>Complete</v>
      </c>
      <c r="I10375" s="48" t="s">
        <v>14740</v>
      </c>
    </row>
    <row r="10376" spans="2:9" ht="15" customHeight="1" x14ac:dyDescent="0.25">
      <c r="B10376" s="55" t="s">
        <v>281</v>
      </c>
      <c r="C10376" s="46">
        <v>364</v>
      </c>
      <c r="D10376" s="69" t="s">
        <v>29418</v>
      </c>
      <c r="E10376" s="51"/>
      <c r="F10376" s="114" t="str">
        <f>IF(INDEX(I.Facility.P2bIDNumber,364)="","",INDEX(I.Facility.P2bIDNumber,364))</f>
        <v/>
      </c>
      <c r="G10376" s="51"/>
      <c r="H10376" s="46" t="str">
        <f>IF(AND(I.Developer.P2b=TRUE,I.Facility.P2bFacilityCount&gt;=364,F10376=""),"Incomplete","Complete")</f>
        <v>Complete</v>
      </c>
      <c r="I10376" s="48" t="s">
        <v>14741</v>
      </c>
    </row>
    <row r="10377" spans="2:9" ht="15" customHeight="1" x14ac:dyDescent="0.25">
      <c r="B10377" s="55" t="s">
        <v>281</v>
      </c>
      <c r="C10377" s="46">
        <v>365</v>
      </c>
      <c r="D10377" s="69" t="s">
        <v>29418</v>
      </c>
      <c r="E10377" s="51"/>
      <c r="F10377" s="114" t="str">
        <f>IF(INDEX(I.Facility.P2bIDNumber,365)="","",INDEX(I.Facility.P2bIDNumber,365))</f>
        <v/>
      </c>
      <c r="G10377" s="51"/>
      <c r="H10377" s="46" t="str">
        <f>IF(AND(I.Developer.P2b=TRUE,I.Facility.P2bFacilityCount&gt;=365,F10377=""),"Incomplete","Complete")</f>
        <v>Complete</v>
      </c>
      <c r="I10377" s="48" t="s">
        <v>14742</v>
      </c>
    </row>
    <row r="10378" spans="2:9" ht="15" customHeight="1" x14ac:dyDescent="0.25">
      <c r="B10378" s="55" t="s">
        <v>281</v>
      </c>
      <c r="C10378" s="46">
        <v>366</v>
      </c>
      <c r="D10378" s="69" t="s">
        <v>29418</v>
      </c>
      <c r="E10378" s="51"/>
      <c r="F10378" s="114" t="str">
        <f>IF(INDEX(I.Facility.P2bIDNumber,366)="","",INDEX(I.Facility.P2bIDNumber,366))</f>
        <v/>
      </c>
      <c r="G10378" s="51"/>
      <c r="H10378" s="46" t="str">
        <f>IF(AND(I.Developer.P2b=TRUE,I.Facility.P2bFacilityCount&gt;=366,F10378=""),"Incomplete","Complete")</f>
        <v>Complete</v>
      </c>
      <c r="I10378" s="48" t="s">
        <v>14743</v>
      </c>
    </row>
    <row r="10379" spans="2:9" ht="15" customHeight="1" x14ac:dyDescent="0.25">
      <c r="B10379" s="55" t="s">
        <v>281</v>
      </c>
      <c r="C10379" s="46">
        <v>367</v>
      </c>
      <c r="D10379" s="69" t="s">
        <v>29418</v>
      </c>
      <c r="E10379" s="51"/>
      <c r="F10379" s="114" t="str">
        <f>IF(INDEX(I.Facility.P2bIDNumber,367)="","",INDEX(I.Facility.P2bIDNumber,367))</f>
        <v/>
      </c>
      <c r="G10379" s="51"/>
      <c r="H10379" s="46" t="str">
        <f>IF(AND(I.Developer.P2b=TRUE,I.Facility.P2bFacilityCount&gt;=367,F10379=""),"Incomplete","Complete")</f>
        <v>Complete</v>
      </c>
      <c r="I10379" s="48" t="s">
        <v>14744</v>
      </c>
    </row>
    <row r="10380" spans="2:9" ht="15" customHeight="1" x14ac:dyDescent="0.25">
      <c r="B10380" s="55" t="s">
        <v>281</v>
      </c>
      <c r="C10380" s="46">
        <v>368</v>
      </c>
      <c r="D10380" s="69" t="s">
        <v>29418</v>
      </c>
      <c r="E10380" s="51"/>
      <c r="F10380" s="114" t="str">
        <f>IF(INDEX(I.Facility.P2bIDNumber,368)="","",INDEX(I.Facility.P2bIDNumber,368))</f>
        <v/>
      </c>
      <c r="G10380" s="51"/>
      <c r="H10380" s="46" t="str">
        <f>IF(AND(I.Developer.P2b=TRUE,I.Facility.P2bFacilityCount&gt;=368,F10380=""),"Incomplete","Complete")</f>
        <v>Complete</v>
      </c>
      <c r="I10380" s="48" t="s">
        <v>14745</v>
      </c>
    </row>
    <row r="10381" spans="2:9" ht="15" customHeight="1" x14ac:dyDescent="0.25">
      <c r="B10381" s="55" t="s">
        <v>281</v>
      </c>
      <c r="C10381" s="46">
        <v>369</v>
      </c>
      <c r="D10381" s="69" t="s">
        <v>29418</v>
      </c>
      <c r="E10381" s="51"/>
      <c r="F10381" s="114" t="str">
        <f>IF(INDEX(I.Facility.P2bIDNumber,369)="","",INDEX(I.Facility.P2bIDNumber,369))</f>
        <v/>
      </c>
      <c r="G10381" s="51"/>
      <c r="H10381" s="46" t="str">
        <f>IF(AND(I.Developer.P2b=TRUE,I.Facility.P2bFacilityCount&gt;=369,F10381=""),"Incomplete","Complete")</f>
        <v>Complete</v>
      </c>
      <c r="I10381" s="48" t="s">
        <v>14746</v>
      </c>
    </row>
    <row r="10382" spans="2:9" ht="15" customHeight="1" x14ac:dyDescent="0.25">
      <c r="B10382" s="55" t="s">
        <v>281</v>
      </c>
      <c r="C10382" s="46">
        <v>370</v>
      </c>
      <c r="D10382" s="69" t="s">
        <v>29418</v>
      </c>
      <c r="E10382" s="51"/>
      <c r="F10382" s="114" t="str">
        <f>IF(INDEX(I.Facility.P2bIDNumber,370)="","",INDEX(I.Facility.P2bIDNumber,370))</f>
        <v/>
      </c>
      <c r="G10382" s="51"/>
      <c r="H10382" s="46" t="str">
        <f>IF(AND(I.Developer.P2b=TRUE,I.Facility.P2bFacilityCount&gt;=370,F10382=""),"Incomplete","Complete")</f>
        <v>Complete</v>
      </c>
      <c r="I10382" s="48" t="s">
        <v>14747</v>
      </c>
    </row>
    <row r="10383" spans="2:9" ht="15" customHeight="1" x14ac:dyDescent="0.25">
      <c r="B10383" s="55" t="s">
        <v>281</v>
      </c>
      <c r="C10383" s="46">
        <v>371</v>
      </c>
      <c r="D10383" s="69" t="s">
        <v>29418</v>
      </c>
      <c r="E10383" s="51"/>
      <c r="F10383" s="114" t="str">
        <f>IF(INDEX(I.Facility.P2bIDNumber,371)="","",INDEX(I.Facility.P2bIDNumber,371))</f>
        <v/>
      </c>
      <c r="G10383" s="51"/>
      <c r="H10383" s="46" t="str">
        <f>IF(AND(I.Developer.P2b=TRUE,I.Facility.P2bFacilityCount&gt;=371,F10383=""),"Incomplete","Complete")</f>
        <v>Complete</v>
      </c>
      <c r="I10383" s="48" t="s">
        <v>14748</v>
      </c>
    </row>
    <row r="10384" spans="2:9" ht="15" customHeight="1" x14ac:dyDescent="0.25">
      <c r="B10384" s="55" t="s">
        <v>281</v>
      </c>
      <c r="C10384" s="46">
        <v>372</v>
      </c>
      <c r="D10384" s="69" t="s">
        <v>29418</v>
      </c>
      <c r="E10384" s="51"/>
      <c r="F10384" s="114" t="str">
        <f>IF(INDEX(I.Facility.P2bIDNumber,372)="","",INDEX(I.Facility.P2bIDNumber,372))</f>
        <v/>
      </c>
      <c r="G10384" s="51"/>
      <c r="H10384" s="46" t="str">
        <f>IF(AND(I.Developer.P2b=TRUE,I.Facility.P2bFacilityCount&gt;=372,F10384=""),"Incomplete","Complete")</f>
        <v>Complete</v>
      </c>
      <c r="I10384" s="48" t="s">
        <v>14749</v>
      </c>
    </row>
    <row r="10385" spans="2:9" ht="15" customHeight="1" x14ac:dyDescent="0.25">
      <c r="B10385" s="55" t="s">
        <v>281</v>
      </c>
      <c r="C10385" s="46">
        <v>373</v>
      </c>
      <c r="D10385" s="69" t="s">
        <v>29418</v>
      </c>
      <c r="E10385" s="51"/>
      <c r="F10385" s="114" t="str">
        <f>IF(INDEX(I.Facility.P2bIDNumber,373)="","",INDEX(I.Facility.P2bIDNumber,373))</f>
        <v/>
      </c>
      <c r="G10385" s="51"/>
      <c r="H10385" s="46" t="str">
        <f>IF(AND(I.Developer.P2b=TRUE,I.Facility.P2bFacilityCount&gt;=373,F10385=""),"Incomplete","Complete")</f>
        <v>Complete</v>
      </c>
      <c r="I10385" s="48" t="s">
        <v>14750</v>
      </c>
    </row>
    <row r="10386" spans="2:9" ht="15" customHeight="1" x14ac:dyDescent="0.25">
      <c r="B10386" s="55" t="s">
        <v>281</v>
      </c>
      <c r="C10386" s="46">
        <v>374</v>
      </c>
      <c r="D10386" s="69" t="s">
        <v>29418</v>
      </c>
      <c r="E10386" s="51"/>
      <c r="F10386" s="114" t="str">
        <f>IF(INDEX(I.Facility.P2bIDNumber,374)="","",INDEX(I.Facility.P2bIDNumber,374))</f>
        <v/>
      </c>
      <c r="G10386" s="51"/>
      <c r="H10386" s="46" t="str">
        <f>IF(AND(I.Developer.P2b=TRUE,I.Facility.P2bFacilityCount&gt;=374,F10386=""),"Incomplete","Complete")</f>
        <v>Complete</v>
      </c>
      <c r="I10386" s="48" t="s">
        <v>14751</v>
      </c>
    </row>
    <row r="10387" spans="2:9" ht="15" customHeight="1" x14ac:dyDescent="0.25">
      <c r="B10387" s="55" t="s">
        <v>281</v>
      </c>
      <c r="C10387" s="46">
        <v>375</v>
      </c>
      <c r="D10387" s="69" t="s">
        <v>29418</v>
      </c>
      <c r="E10387" s="51"/>
      <c r="F10387" s="114" t="str">
        <f>IF(INDEX(I.Facility.P2bIDNumber,375)="","",INDEX(I.Facility.P2bIDNumber,375))</f>
        <v/>
      </c>
      <c r="G10387" s="51"/>
      <c r="H10387" s="46" t="str">
        <f>IF(AND(I.Developer.P2b=TRUE,I.Facility.P2bFacilityCount&gt;=375,F10387=""),"Incomplete","Complete")</f>
        <v>Complete</v>
      </c>
      <c r="I10387" s="48" t="s">
        <v>14752</v>
      </c>
    </row>
    <row r="10388" spans="2:9" ht="15" customHeight="1" x14ac:dyDescent="0.25">
      <c r="B10388" s="55" t="s">
        <v>281</v>
      </c>
      <c r="C10388" s="46">
        <v>376</v>
      </c>
      <c r="D10388" s="69" t="s">
        <v>29418</v>
      </c>
      <c r="E10388" s="51"/>
      <c r="F10388" s="114" t="str">
        <f>IF(INDEX(I.Facility.P2bIDNumber,376)="","",INDEX(I.Facility.P2bIDNumber,376))</f>
        <v/>
      </c>
      <c r="G10388" s="51"/>
      <c r="H10388" s="46" t="str">
        <f>IF(AND(I.Developer.P2b=TRUE,I.Facility.P2bFacilityCount&gt;=376,F10388=""),"Incomplete","Complete")</f>
        <v>Complete</v>
      </c>
      <c r="I10388" s="48" t="s">
        <v>14753</v>
      </c>
    </row>
    <row r="10389" spans="2:9" ht="15" customHeight="1" x14ac:dyDescent="0.25">
      <c r="B10389" s="55" t="s">
        <v>281</v>
      </c>
      <c r="C10389" s="46">
        <v>377</v>
      </c>
      <c r="D10389" s="69" t="s">
        <v>29418</v>
      </c>
      <c r="E10389" s="51"/>
      <c r="F10389" s="114" t="str">
        <f>IF(INDEX(I.Facility.P2bIDNumber,377)="","",INDEX(I.Facility.P2bIDNumber,377))</f>
        <v/>
      </c>
      <c r="G10389" s="51"/>
      <c r="H10389" s="46" t="str">
        <f>IF(AND(I.Developer.P2b=TRUE,I.Facility.P2bFacilityCount&gt;=377,F10389=""),"Incomplete","Complete")</f>
        <v>Complete</v>
      </c>
      <c r="I10389" s="48" t="s">
        <v>14754</v>
      </c>
    </row>
    <row r="10390" spans="2:9" ht="15" customHeight="1" x14ac:dyDescent="0.25">
      <c r="B10390" s="55" t="s">
        <v>281</v>
      </c>
      <c r="C10390" s="46">
        <v>378</v>
      </c>
      <c r="D10390" s="69" t="s">
        <v>29418</v>
      </c>
      <c r="E10390" s="51"/>
      <c r="F10390" s="114" t="str">
        <f>IF(INDEX(I.Facility.P2bIDNumber,378)="","",INDEX(I.Facility.P2bIDNumber,378))</f>
        <v/>
      </c>
      <c r="G10390" s="51"/>
      <c r="H10390" s="46" t="str">
        <f>IF(AND(I.Developer.P2b=TRUE,I.Facility.P2bFacilityCount&gt;=378,F10390=""),"Incomplete","Complete")</f>
        <v>Complete</v>
      </c>
      <c r="I10390" s="48" t="s">
        <v>14755</v>
      </c>
    </row>
    <row r="10391" spans="2:9" ht="15" customHeight="1" x14ac:dyDescent="0.25">
      <c r="B10391" s="55" t="s">
        <v>281</v>
      </c>
      <c r="C10391" s="46">
        <v>379</v>
      </c>
      <c r="D10391" s="69" t="s">
        <v>29418</v>
      </c>
      <c r="E10391" s="51"/>
      <c r="F10391" s="114" t="str">
        <f>IF(INDEX(I.Facility.P2bIDNumber,379)="","",INDEX(I.Facility.P2bIDNumber,379))</f>
        <v/>
      </c>
      <c r="G10391" s="51"/>
      <c r="H10391" s="46" t="str">
        <f>IF(AND(I.Developer.P2b=TRUE,I.Facility.P2bFacilityCount&gt;=379,F10391=""),"Incomplete","Complete")</f>
        <v>Complete</v>
      </c>
      <c r="I10391" s="48" t="s">
        <v>14756</v>
      </c>
    </row>
    <row r="10392" spans="2:9" ht="15" customHeight="1" x14ac:dyDescent="0.25">
      <c r="B10392" s="55" t="s">
        <v>281</v>
      </c>
      <c r="C10392" s="46">
        <v>380</v>
      </c>
      <c r="D10392" s="69" t="s">
        <v>29418</v>
      </c>
      <c r="E10392" s="51"/>
      <c r="F10392" s="114" t="str">
        <f>IF(INDEX(I.Facility.P2bIDNumber,380)="","",INDEX(I.Facility.P2bIDNumber,380))</f>
        <v/>
      </c>
      <c r="G10392" s="51"/>
      <c r="H10392" s="46" t="str">
        <f>IF(AND(I.Developer.P2b=TRUE,I.Facility.P2bFacilityCount&gt;=380,F10392=""),"Incomplete","Complete")</f>
        <v>Complete</v>
      </c>
      <c r="I10392" s="48" t="s">
        <v>14757</v>
      </c>
    </row>
    <row r="10393" spans="2:9" ht="15" customHeight="1" x14ac:dyDescent="0.25">
      <c r="B10393" s="55" t="s">
        <v>281</v>
      </c>
      <c r="C10393" s="46">
        <v>381</v>
      </c>
      <c r="D10393" s="69" t="s">
        <v>29418</v>
      </c>
      <c r="E10393" s="51"/>
      <c r="F10393" s="114" t="str">
        <f>IF(INDEX(I.Facility.P2bIDNumber,381)="","",INDEX(I.Facility.P2bIDNumber,381))</f>
        <v/>
      </c>
      <c r="G10393" s="51"/>
      <c r="H10393" s="46" t="str">
        <f>IF(AND(I.Developer.P2b=TRUE,I.Facility.P2bFacilityCount&gt;=381,F10393=""),"Incomplete","Complete")</f>
        <v>Complete</v>
      </c>
      <c r="I10393" s="48" t="s">
        <v>14758</v>
      </c>
    </row>
    <row r="10394" spans="2:9" ht="15" customHeight="1" x14ac:dyDescent="0.25">
      <c r="B10394" s="55" t="s">
        <v>281</v>
      </c>
      <c r="C10394" s="46">
        <v>382</v>
      </c>
      <c r="D10394" s="69" t="s">
        <v>29418</v>
      </c>
      <c r="E10394" s="51"/>
      <c r="F10394" s="114" t="str">
        <f>IF(INDEX(I.Facility.P2bIDNumber,382)="","",INDEX(I.Facility.P2bIDNumber,382))</f>
        <v/>
      </c>
      <c r="G10394" s="51"/>
      <c r="H10394" s="46" t="str">
        <f>IF(AND(I.Developer.P2b=TRUE,I.Facility.P2bFacilityCount&gt;=382,F10394=""),"Incomplete","Complete")</f>
        <v>Complete</v>
      </c>
      <c r="I10394" s="48" t="s">
        <v>14759</v>
      </c>
    </row>
    <row r="10395" spans="2:9" ht="15" customHeight="1" x14ac:dyDescent="0.25">
      <c r="B10395" s="55" t="s">
        <v>281</v>
      </c>
      <c r="C10395" s="46">
        <v>383</v>
      </c>
      <c r="D10395" s="69" t="s">
        <v>29418</v>
      </c>
      <c r="E10395" s="51"/>
      <c r="F10395" s="114" t="str">
        <f>IF(INDEX(I.Facility.P2bIDNumber,383)="","",INDEX(I.Facility.P2bIDNumber,383))</f>
        <v/>
      </c>
      <c r="G10395" s="51"/>
      <c r="H10395" s="46" t="str">
        <f>IF(AND(I.Developer.P2b=TRUE,I.Facility.P2bFacilityCount&gt;=383,F10395=""),"Incomplete","Complete")</f>
        <v>Complete</v>
      </c>
      <c r="I10395" s="48" t="s">
        <v>14760</v>
      </c>
    </row>
    <row r="10396" spans="2:9" ht="15" customHeight="1" x14ac:dyDescent="0.25">
      <c r="B10396" s="55" t="s">
        <v>281</v>
      </c>
      <c r="C10396" s="46">
        <v>384</v>
      </c>
      <c r="D10396" s="69" t="s">
        <v>29418</v>
      </c>
      <c r="E10396" s="51"/>
      <c r="F10396" s="114" t="str">
        <f>IF(INDEX(I.Facility.P2bIDNumber,384)="","",INDEX(I.Facility.P2bIDNumber,384))</f>
        <v/>
      </c>
      <c r="G10396" s="51"/>
      <c r="H10396" s="46" t="str">
        <f>IF(AND(I.Developer.P2b=TRUE,I.Facility.P2bFacilityCount&gt;=384,F10396=""),"Incomplete","Complete")</f>
        <v>Complete</v>
      </c>
      <c r="I10396" s="48" t="s">
        <v>14761</v>
      </c>
    </row>
    <row r="10397" spans="2:9" ht="15" customHeight="1" x14ac:dyDescent="0.25">
      <c r="B10397" s="55" t="s">
        <v>281</v>
      </c>
      <c r="C10397" s="46">
        <v>385</v>
      </c>
      <c r="D10397" s="69" t="s">
        <v>29418</v>
      </c>
      <c r="E10397" s="51"/>
      <c r="F10397" s="114" t="str">
        <f>IF(INDEX(I.Facility.P2bIDNumber,385)="","",INDEX(I.Facility.P2bIDNumber,385))</f>
        <v/>
      </c>
      <c r="G10397" s="51"/>
      <c r="H10397" s="46" t="str">
        <f>IF(AND(I.Developer.P2b=TRUE,I.Facility.P2bFacilityCount&gt;=385,F10397=""),"Incomplete","Complete")</f>
        <v>Complete</v>
      </c>
      <c r="I10397" s="48" t="s">
        <v>14762</v>
      </c>
    </row>
    <row r="10398" spans="2:9" ht="15" customHeight="1" x14ac:dyDescent="0.25">
      <c r="B10398" s="55" t="s">
        <v>281</v>
      </c>
      <c r="C10398" s="46">
        <v>386</v>
      </c>
      <c r="D10398" s="69" t="s">
        <v>29418</v>
      </c>
      <c r="E10398" s="51"/>
      <c r="F10398" s="114" t="str">
        <f>IF(INDEX(I.Facility.P2bIDNumber,386)="","",INDEX(I.Facility.P2bIDNumber,386))</f>
        <v/>
      </c>
      <c r="G10398" s="51"/>
      <c r="H10398" s="46" t="str">
        <f>IF(AND(I.Developer.P2b=TRUE,I.Facility.P2bFacilityCount&gt;=386,F10398=""),"Incomplete","Complete")</f>
        <v>Complete</v>
      </c>
      <c r="I10398" s="48" t="s">
        <v>14763</v>
      </c>
    </row>
    <row r="10399" spans="2:9" ht="15" customHeight="1" x14ac:dyDescent="0.25">
      <c r="B10399" s="55" t="s">
        <v>281</v>
      </c>
      <c r="C10399" s="46">
        <v>387</v>
      </c>
      <c r="D10399" s="69" t="s">
        <v>29418</v>
      </c>
      <c r="E10399" s="51"/>
      <c r="F10399" s="114" t="str">
        <f>IF(INDEX(I.Facility.P2bIDNumber,387)="","",INDEX(I.Facility.P2bIDNumber,387))</f>
        <v/>
      </c>
      <c r="G10399" s="51"/>
      <c r="H10399" s="46" t="str">
        <f>IF(AND(I.Developer.P2b=TRUE,I.Facility.P2bFacilityCount&gt;=387,F10399=""),"Incomplete","Complete")</f>
        <v>Complete</v>
      </c>
      <c r="I10399" s="48" t="s">
        <v>14764</v>
      </c>
    </row>
    <row r="10400" spans="2:9" ht="15" customHeight="1" x14ac:dyDescent="0.25">
      <c r="B10400" s="55" t="s">
        <v>281</v>
      </c>
      <c r="C10400" s="46">
        <v>388</v>
      </c>
      <c r="D10400" s="69" t="s">
        <v>29418</v>
      </c>
      <c r="E10400" s="51"/>
      <c r="F10400" s="114" t="str">
        <f>IF(INDEX(I.Facility.P2bIDNumber,388)="","",INDEX(I.Facility.P2bIDNumber,388))</f>
        <v/>
      </c>
      <c r="G10400" s="51"/>
      <c r="H10400" s="46" t="str">
        <f>IF(AND(I.Developer.P2b=TRUE,I.Facility.P2bFacilityCount&gt;=388,F10400=""),"Incomplete","Complete")</f>
        <v>Complete</v>
      </c>
      <c r="I10400" s="48" t="s">
        <v>14765</v>
      </c>
    </row>
    <row r="10401" spans="2:9" ht="15" customHeight="1" x14ac:dyDescent="0.25">
      <c r="B10401" s="55" t="s">
        <v>281</v>
      </c>
      <c r="C10401" s="46">
        <v>389</v>
      </c>
      <c r="D10401" s="69" t="s">
        <v>29418</v>
      </c>
      <c r="E10401" s="51"/>
      <c r="F10401" s="114" t="str">
        <f>IF(INDEX(I.Facility.P2bIDNumber,389)="","",INDEX(I.Facility.P2bIDNumber,389))</f>
        <v/>
      </c>
      <c r="G10401" s="51"/>
      <c r="H10401" s="46" t="str">
        <f>IF(AND(I.Developer.P2b=TRUE,I.Facility.P2bFacilityCount&gt;=389,F10401=""),"Incomplete","Complete")</f>
        <v>Complete</v>
      </c>
      <c r="I10401" s="48" t="s">
        <v>14766</v>
      </c>
    </row>
    <row r="10402" spans="2:9" ht="15" customHeight="1" x14ac:dyDescent="0.25">
      <c r="B10402" s="55" t="s">
        <v>281</v>
      </c>
      <c r="C10402" s="46">
        <v>390</v>
      </c>
      <c r="D10402" s="69" t="s">
        <v>29418</v>
      </c>
      <c r="E10402" s="51"/>
      <c r="F10402" s="114" t="str">
        <f>IF(INDEX(I.Facility.P2bIDNumber,390)="","",INDEX(I.Facility.P2bIDNumber,390))</f>
        <v/>
      </c>
      <c r="G10402" s="51"/>
      <c r="H10402" s="46" t="str">
        <f>IF(AND(I.Developer.P2b=TRUE,I.Facility.P2bFacilityCount&gt;=390,F10402=""),"Incomplete","Complete")</f>
        <v>Complete</v>
      </c>
      <c r="I10402" s="48" t="s">
        <v>14767</v>
      </c>
    </row>
    <row r="10403" spans="2:9" ht="15" customHeight="1" x14ac:dyDescent="0.25">
      <c r="B10403" s="55" t="s">
        <v>281</v>
      </c>
      <c r="C10403" s="46">
        <v>391</v>
      </c>
      <c r="D10403" s="69" t="s">
        <v>29418</v>
      </c>
      <c r="E10403" s="51"/>
      <c r="F10403" s="114" t="str">
        <f>IF(INDEX(I.Facility.P2bIDNumber,391)="","",INDEX(I.Facility.P2bIDNumber,391))</f>
        <v/>
      </c>
      <c r="G10403" s="51"/>
      <c r="H10403" s="46" t="str">
        <f>IF(AND(I.Developer.P2b=TRUE,I.Facility.P2bFacilityCount&gt;=391,F10403=""),"Incomplete","Complete")</f>
        <v>Complete</v>
      </c>
      <c r="I10403" s="48" t="s">
        <v>14768</v>
      </c>
    </row>
    <row r="10404" spans="2:9" ht="15" customHeight="1" x14ac:dyDescent="0.25">
      <c r="B10404" s="55" t="s">
        <v>281</v>
      </c>
      <c r="C10404" s="46">
        <v>392</v>
      </c>
      <c r="D10404" s="69" t="s">
        <v>29418</v>
      </c>
      <c r="E10404" s="51"/>
      <c r="F10404" s="114" t="str">
        <f>IF(INDEX(I.Facility.P2bIDNumber,392)="","",INDEX(I.Facility.P2bIDNumber,392))</f>
        <v/>
      </c>
      <c r="G10404" s="51"/>
      <c r="H10404" s="46" t="str">
        <f>IF(AND(I.Developer.P2b=TRUE,I.Facility.P2bFacilityCount&gt;=392,F10404=""),"Incomplete","Complete")</f>
        <v>Complete</v>
      </c>
      <c r="I10404" s="48" t="s">
        <v>14769</v>
      </c>
    </row>
    <row r="10405" spans="2:9" ht="15" customHeight="1" x14ac:dyDescent="0.25">
      <c r="B10405" s="55" t="s">
        <v>281</v>
      </c>
      <c r="C10405" s="46">
        <v>393</v>
      </c>
      <c r="D10405" s="69" t="s">
        <v>29418</v>
      </c>
      <c r="E10405" s="51"/>
      <c r="F10405" s="114" t="str">
        <f>IF(INDEX(I.Facility.P2bIDNumber,393)="","",INDEX(I.Facility.P2bIDNumber,393))</f>
        <v/>
      </c>
      <c r="G10405" s="51"/>
      <c r="H10405" s="46" t="str">
        <f>IF(AND(I.Developer.P2b=TRUE,I.Facility.P2bFacilityCount&gt;=393,F10405=""),"Incomplete","Complete")</f>
        <v>Complete</v>
      </c>
      <c r="I10405" s="48" t="s">
        <v>14770</v>
      </c>
    </row>
    <row r="10406" spans="2:9" ht="15" customHeight="1" x14ac:dyDescent="0.25">
      <c r="B10406" s="55" t="s">
        <v>281</v>
      </c>
      <c r="C10406" s="46">
        <v>394</v>
      </c>
      <c r="D10406" s="69" t="s">
        <v>29418</v>
      </c>
      <c r="E10406" s="51"/>
      <c r="F10406" s="114" t="str">
        <f>IF(INDEX(I.Facility.P2bIDNumber,394)="","",INDEX(I.Facility.P2bIDNumber,394))</f>
        <v/>
      </c>
      <c r="G10406" s="51"/>
      <c r="H10406" s="46" t="str">
        <f>IF(AND(I.Developer.P2b=TRUE,I.Facility.P2bFacilityCount&gt;=394,F10406=""),"Incomplete","Complete")</f>
        <v>Complete</v>
      </c>
      <c r="I10406" s="48" t="s">
        <v>14771</v>
      </c>
    </row>
    <row r="10407" spans="2:9" ht="15" customHeight="1" x14ac:dyDescent="0.25">
      <c r="B10407" s="55" t="s">
        <v>281</v>
      </c>
      <c r="C10407" s="46">
        <v>395</v>
      </c>
      <c r="D10407" s="69" t="s">
        <v>29418</v>
      </c>
      <c r="E10407" s="51"/>
      <c r="F10407" s="114" t="str">
        <f>IF(INDEX(I.Facility.P2bIDNumber,395)="","",INDEX(I.Facility.P2bIDNumber,395))</f>
        <v/>
      </c>
      <c r="G10407" s="51"/>
      <c r="H10407" s="46" t="str">
        <f>IF(AND(I.Developer.P2b=TRUE,I.Facility.P2bFacilityCount&gt;=395,F10407=""),"Incomplete","Complete")</f>
        <v>Complete</v>
      </c>
      <c r="I10407" s="48" t="s">
        <v>14772</v>
      </c>
    </row>
    <row r="10408" spans="2:9" ht="15" customHeight="1" x14ac:dyDescent="0.25">
      <c r="B10408" s="55" t="s">
        <v>281</v>
      </c>
      <c r="C10408" s="46">
        <v>396</v>
      </c>
      <c r="D10408" s="69" t="s">
        <v>29418</v>
      </c>
      <c r="E10408" s="51"/>
      <c r="F10408" s="114" t="str">
        <f>IF(INDEX(I.Facility.P2bIDNumber,396)="","",INDEX(I.Facility.P2bIDNumber,396))</f>
        <v/>
      </c>
      <c r="G10408" s="51"/>
      <c r="H10408" s="46" t="str">
        <f>IF(AND(I.Developer.P2b=TRUE,I.Facility.P2bFacilityCount&gt;=396,F10408=""),"Incomplete","Complete")</f>
        <v>Complete</v>
      </c>
      <c r="I10408" s="48" t="s">
        <v>14773</v>
      </c>
    </row>
    <row r="10409" spans="2:9" ht="15" customHeight="1" x14ac:dyDescent="0.25">
      <c r="B10409" s="55" t="s">
        <v>281</v>
      </c>
      <c r="C10409" s="46">
        <v>397</v>
      </c>
      <c r="D10409" s="69" t="s">
        <v>29418</v>
      </c>
      <c r="E10409" s="51"/>
      <c r="F10409" s="114" t="str">
        <f>IF(INDEX(I.Facility.P2bIDNumber,397)="","",INDEX(I.Facility.P2bIDNumber,397))</f>
        <v/>
      </c>
      <c r="G10409" s="51"/>
      <c r="H10409" s="46" t="str">
        <f>IF(AND(I.Developer.P2b=TRUE,I.Facility.P2bFacilityCount&gt;=397,F10409=""),"Incomplete","Complete")</f>
        <v>Complete</v>
      </c>
      <c r="I10409" s="48" t="s">
        <v>14774</v>
      </c>
    </row>
    <row r="10410" spans="2:9" ht="15" customHeight="1" x14ac:dyDescent="0.25">
      <c r="B10410" s="55" t="s">
        <v>281</v>
      </c>
      <c r="C10410" s="46">
        <v>398</v>
      </c>
      <c r="D10410" s="69" t="s">
        <v>29418</v>
      </c>
      <c r="E10410" s="51"/>
      <c r="F10410" s="114" t="str">
        <f>IF(INDEX(I.Facility.P2bIDNumber,398)="","",INDEX(I.Facility.P2bIDNumber,398))</f>
        <v/>
      </c>
      <c r="G10410" s="51"/>
      <c r="H10410" s="46" t="str">
        <f>IF(AND(I.Developer.P2b=TRUE,I.Facility.P2bFacilityCount&gt;=398,F10410=""),"Incomplete","Complete")</f>
        <v>Complete</v>
      </c>
      <c r="I10410" s="48" t="s">
        <v>14775</v>
      </c>
    </row>
    <row r="10411" spans="2:9" ht="15" customHeight="1" x14ac:dyDescent="0.25">
      <c r="B10411" s="55" t="s">
        <v>281</v>
      </c>
      <c r="C10411" s="46">
        <v>399</v>
      </c>
      <c r="D10411" s="69" t="s">
        <v>29418</v>
      </c>
      <c r="E10411" s="51"/>
      <c r="F10411" s="114" t="str">
        <f>IF(INDEX(I.Facility.P2bIDNumber,399)="","",INDEX(I.Facility.P2bIDNumber,399))</f>
        <v/>
      </c>
      <c r="G10411" s="51"/>
      <c r="H10411" s="46" t="str">
        <f>IF(AND(I.Developer.P2b=TRUE,I.Facility.P2bFacilityCount&gt;=399,F10411=""),"Incomplete","Complete")</f>
        <v>Complete</v>
      </c>
      <c r="I10411" s="48" t="s">
        <v>14776</v>
      </c>
    </row>
    <row r="10412" spans="2:9" ht="15" customHeight="1" x14ac:dyDescent="0.25">
      <c r="B10412" s="55" t="s">
        <v>281</v>
      </c>
      <c r="C10412" s="46">
        <v>400</v>
      </c>
      <c r="D10412" s="69" t="s">
        <v>29418</v>
      </c>
      <c r="E10412" s="51"/>
      <c r="F10412" s="114" t="str">
        <f>IF(INDEX(I.Facility.P2bIDNumber,400)="","",INDEX(I.Facility.P2bIDNumber,400))</f>
        <v/>
      </c>
      <c r="G10412" s="51"/>
      <c r="H10412" s="46" t="str">
        <f>IF(AND(I.Developer.P2b=TRUE,I.Facility.P2bFacilityCount&gt;=400,F10412=""),"Incomplete","Complete")</f>
        <v>Complete</v>
      </c>
      <c r="I10412" s="48" t="s">
        <v>14777</v>
      </c>
    </row>
    <row r="10413" spans="2:9" ht="15" customHeight="1" x14ac:dyDescent="0.25">
      <c r="B10413" s="55" t="s">
        <v>281</v>
      </c>
      <c r="C10413" s="46">
        <v>401</v>
      </c>
      <c r="D10413" s="69" t="s">
        <v>29418</v>
      </c>
      <c r="E10413" s="51"/>
      <c r="F10413" s="114" t="str">
        <f>IF(INDEX(I.Facility.P2bIDNumber,401)="","",INDEX(I.Facility.P2bIDNumber,401))</f>
        <v/>
      </c>
      <c r="G10413" s="51"/>
      <c r="H10413" s="46" t="str">
        <f>IF(AND(I.Developer.P2b=TRUE,I.Facility.P2bFacilityCount&gt;=401,F10413=""),"Incomplete","Complete")</f>
        <v>Complete</v>
      </c>
      <c r="I10413" s="48" t="s">
        <v>14778</v>
      </c>
    </row>
    <row r="10414" spans="2:9" ht="15" customHeight="1" x14ac:dyDescent="0.25">
      <c r="B10414" s="55" t="s">
        <v>281</v>
      </c>
      <c r="C10414" s="46">
        <v>402</v>
      </c>
      <c r="D10414" s="69" t="s">
        <v>29418</v>
      </c>
      <c r="E10414" s="51"/>
      <c r="F10414" s="114" t="str">
        <f>IF(INDEX(I.Facility.P2bIDNumber,402)="","",INDEX(I.Facility.P2bIDNumber,402))</f>
        <v/>
      </c>
      <c r="G10414" s="51"/>
      <c r="H10414" s="46" t="str">
        <f>IF(AND(I.Developer.P2b=TRUE,I.Facility.P2bFacilityCount&gt;=402,F10414=""),"Incomplete","Complete")</f>
        <v>Complete</v>
      </c>
      <c r="I10414" s="48" t="s">
        <v>14779</v>
      </c>
    </row>
    <row r="10415" spans="2:9" ht="15" customHeight="1" x14ac:dyDescent="0.25">
      <c r="B10415" s="55" t="s">
        <v>281</v>
      </c>
      <c r="C10415" s="46">
        <v>403</v>
      </c>
      <c r="D10415" s="69" t="s">
        <v>29418</v>
      </c>
      <c r="E10415" s="51"/>
      <c r="F10415" s="114" t="str">
        <f>IF(INDEX(I.Facility.P2bIDNumber,403)="","",INDEX(I.Facility.P2bIDNumber,403))</f>
        <v/>
      </c>
      <c r="G10415" s="51"/>
      <c r="H10415" s="46" t="str">
        <f>IF(AND(I.Developer.P2b=TRUE,I.Facility.P2bFacilityCount&gt;=403,F10415=""),"Incomplete","Complete")</f>
        <v>Complete</v>
      </c>
      <c r="I10415" s="48" t="s">
        <v>14780</v>
      </c>
    </row>
    <row r="10416" spans="2:9" ht="15" customHeight="1" x14ac:dyDescent="0.25">
      <c r="B10416" s="55" t="s">
        <v>281</v>
      </c>
      <c r="C10416" s="46">
        <v>404</v>
      </c>
      <c r="D10416" s="69" t="s">
        <v>29418</v>
      </c>
      <c r="E10416" s="51"/>
      <c r="F10416" s="114" t="str">
        <f>IF(INDEX(I.Facility.P2bIDNumber,404)="","",INDEX(I.Facility.P2bIDNumber,404))</f>
        <v/>
      </c>
      <c r="G10416" s="51"/>
      <c r="H10416" s="46" t="str">
        <f>IF(AND(I.Developer.P2b=TRUE,I.Facility.P2bFacilityCount&gt;=404,F10416=""),"Incomplete","Complete")</f>
        <v>Complete</v>
      </c>
      <c r="I10416" s="48" t="s">
        <v>14781</v>
      </c>
    </row>
    <row r="10417" spans="2:9" ht="15" customHeight="1" x14ac:dyDescent="0.25">
      <c r="B10417" s="55" t="s">
        <v>281</v>
      </c>
      <c r="C10417" s="46">
        <v>405</v>
      </c>
      <c r="D10417" s="69" t="s">
        <v>29418</v>
      </c>
      <c r="E10417" s="51"/>
      <c r="F10417" s="114" t="str">
        <f>IF(INDEX(I.Facility.P2bIDNumber,405)="","",INDEX(I.Facility.P2bIDNumber,405))</f>
        <v/>
      </c>
      <c r="G10417" s="51"/>
      <c r="H10417" s="46" t="str">
        <f>IF(AND(I.Developer.P2b=TRUE,I.Facility.P2bFacilityCount&gt;=405,F10417=""),"Incomplete","Complete")</f>
        <v>Complete</v>
      </c>
      <c r="I10417" s="48" t="s">
        <v>14782</v>
      </c>
    </row>
    <row r="10418" spans="2:9" ht="15" customHeight="1" x14ac:dyDescent="0.25">
      <c r="B10418" s="55" t="s">
        <v>281</v>
      </c>
      <c r="C10418" s="46">
        <v>406</v>
      </c>
      <c r="D10418" s="69" t="s">
        <v>29418</v>
      </c>
      <c r="E10418" s="51"/>
      <c r="F10418" s="114" t="str">
        <f>IF(INDEX(I.Facility.P2bIDNumber,406)="","",INDEX(I.Facility.P2bIDNumber,406))</f>
        <v/>
      </c>
      <c r="G10418" s="51"/>
      <c r="H10418" s="46" t="str">
        <f>IF(AND(I.Developer.P2b=TRUE,I.Facility.P2bFacilityCount&gt;=406,F10418=""),"Incomplete","Complete")</f>
        <v>Complete</v>
      </c>
      <c r="I10418" s="48" t="s">
        <v>14783</v>
      </c>
    </row>
    <row r="10419" spans="2:9" ht="15" customHeight="1" x14ac:dyDescent="0.25">
      <c r="B10419" s="55" t="s">
        <v>281</v>
      </c>
      <c r="C10419" s="46">
        <v>407</v>
      </c>
      <c r="D10419" s="69" t="s">
        <v>29418</v>
      </c>
      <c r="E10419" s="51"/>
      <c r="F10419" s="114" t="str">
        <f>IF(INDEX(I.Facility.P2bIDNumber,407)="","",INDEX(I.Facility.P2bIDNumber,407))</f>
        <v/>
      </c>
      <c r="G10419" s="51"/>
      <c r="H10419" s="46" t="str">
        <f>IF(AND(I.Developer.P2b=TRUE,I.Facility.P2bFacilityCount&gt;=407,F10419=""),"Incomplete","Complete")</f>
        <v>Complete</v>
      </c>
      <c r="I10419" s="48" t="s">
        <v>14784</v>
      </c>
    </row>
    <row r="10420" spans="2:9" ht="15" customHeight="1" x14ac:dyDescent="0.25">
      <c r="B10420" s="55" t="s">
        <v>281</v>
      </c>
      <c r="C10420" s="46">
        <v>408</v>
      </c>
      <c r="D10420" s="69" t="s">
        <v>29418</v>
      </c>
      <c r="E10420" s="51"/>
      <c r="F10420" s="114" t="str">
        <f>IF(INDEX(I.Facility.P2bIDNumber,408)="","",INDEX(I.Facility.P2bIDNumber,408))</f>
        <v/>
      </c>
      <c r="G10420" s="51"/>
      <c r="H10420" s="46" t="str">
        <f>IF(AND(I.Developer.P2b=TRUE,I.Facility.P2bFacilityCount&gt;=408,F10420=""),"Incomplete","Complete")</f>
        <v>Complete</v>
      </c>
      <c r="I10420" s="48" t="s">
        <v>14785</v>
      </c>
    </row>
    <row r="10421" spans="2:9" ht="15" customHeight="1" x14ac:dyDescent="0.25">
      <c r="B10421" s="55" t="s">
        <v>281</v>
      </c>
      <c r="C10421" s="46">
        <v>409</v>
      </c>
      <c r="D10421" s="69" t="s">
        <v>29418</v>
      </c>
      <c r="E10421" s="51"/>
      <c r="F10421" s="114" t="str">
        <f>IF(INDEX(I.Facility.P2bIDNumber,409)="","",INDEX(I.Facility.P2bIDNumber,409))</f>
        <v/>
      </c>
      <c r="G10421" s="51"/>
      <c r="H10421" s="46" t="str">
        <f>IF(AND(I.Developer.P2b=TRUE,I.Facility.P2bFacilityCount&gt;=409,F10421=""),"Incomplete","Complete")</f>
        <v>Complete</v>
      </c>
      <c r="I10421" s="48" t="s">
        <v>14786</v>
      </c>
    </row>
    <row r="10422" spans="2:9" ht="15" customHeight="1" x14ac:dyDescent="0.25">
      <c r="B10422" s="55" t="s">
        <v>281</v>
      </c>
      <c r="C10422" s="46">
        <v>410</v>
      </c>
      <c r="D10422" s="69" t="s">
        <v>29418</v>
      </c>
      <c r="E10422" s="51"/>
      <c r="F10422" s="114" t="str">
        <f>IF(INDEX(I.Facility.P2bIDNumber,410)="","",INDEX(I.Facility.P2bIDNumber,410))</f>
        <v/>
      </c>
      <c r="G10422" s="51"/>
      <c r="H10422" s="46" t="str">
        <f>IF(AND(I.Developer.P2b=TRUE,I.Facility.P2bFacilityCount&gt;=410,F10422=""),"Incomplete","Complete")</f>
        <v>Complete</v>
      </c>
      <c r="I10422" s="48" t="s">
        <v>14787</v>
      </c>
    </row>
    <row r="10423" spans="2:9" ht="15" customHeight="1" x14ac:dyDescent="0.25">
      <c r="B10423" s="55" t="s">
        <v>281</v>
      </c>
      <c r="C10423" s="46">
        <v>411</v>
      </c>
      <c r="D10423" s="69" t="s">
        <v>29418</v>
      </c>
      <c r="E10423" s="51"/>
      <c r="F10423" s="114" t="str">
        <f>IF(INDEX(I.Facility.P2bIDNumber,411)="","",INDEX(I.Facility.P2bIDNumber,411))</f>
        <v/>
      </c>
      <c r="G10423" s="51"/>
      <c r="H10423" s="46" t="str">
        <f>IF(AND(I.Developer.P2b=TRUE,I.Facility.P2bFacilityCount&gt;=411,F10423=""),"Incomplete","Complete")</f>
        <v>Complete</v>
      </c>
      <c r="I10423" s="48" t="s">
        <v>14788</v>
      </c>
    </row>
    <row r="10424" spans="2:9" ht="15" customHeight="1" x14ac:dyDescent="0.25">
      <c r="B10424" s="55" t="s">
        <v>281</v>
      </c>
      <c r="C10424" s="46">
        <v>412</v>
      </c>
      <c r="D10424" s="69" t="s">
        <v>29418</v>
      </c>
      <c r="E10424" s="51"/>
      <c r="F10424" s="114" t="str">
        <f>IF(INDEX(I.Facility.P2bIDNumber,412)="","",INDEX(I.Facility.P2bIDNumber,412))</f>
        <v/>
      </c>
      <c r="G10424" s="51"/>
      <c r="H10424" s="46" t="str">
        <f>IF(AND(I.Developer.P2b=TRUE,I.Facility.P2bFacilityCount&gt;=412,F10424=""),"Incomplete","Complete")</f>
        <v>Complete</v>
      </c>
      <c r="I10424" s="48" t="s">
        <v>14789</v>
      </c>
    </row>
    <row r="10425" spans="2:9" ht="15" customHeight="1" x14ac:dyDescent="0.25">
      <c r="B10425" s="55" t="s">
        <v>281</v>
      </c>
      <c r="C10425" s="46">
        <v>413</v>
      </c>
      <c r="D10425" s="69" t="s">
        <v>29418</v>
      </c>
      <c r="E10425" s="51"/>
      <c r="F10425" s="114" t="str">
        <f>IF(INDEX(I.Facility.P2bIDNumber,413)="","",INDEX(I.Facility.P2bIDNumber,413))</f>
        <v/>
      </c>
      <c r="G10425" s="51"/>
      <c r="H10425" s="46" t="str">
        <f>IF(AND(I.Developer.P2b=TRUE,I.Facility.P2bFacilityCount&gt;=413,F10425=""),"Incomplete","Complete")</f>
        <v>Complete</v>
      </c>
      <c r="I10425" s="48" t="s">
        <v>14790</v>
      </c>
    </row>
    <row r="10426" spans="2:9" ht="15" customHeight="1" x14ac:dyDescent="0.25">
      <c r="B10426" s="55" t="s">
        <v>281</v>
      </c>
      <c r="C10426" s="46">
        <v>414</v>
      </c>
      <c r="D10426" s="69" t="s">
        <v>29418</v>
      </c>
      <c r="E10426" s="51"/>
      <c r="F10426" s="114" t="str">
        <f>IF(INDEX(I.Facility.P2bIDNumber,414)="","",INDEX(I.Facility.P2bIDNumber,414))</f>
        <v/>
      </c>
      <c r="G10426" s="51"/>
      <c r="H10426" s="46" t="str">
        <f>IF(AND(I.Developer.P2b=TRUE,I.Facility.P2bFacilityCount&gt;=414,F10426=""),"Incomplete","Complete")</f>
        <v>Complete</v>
      </c>
      <c r="I10426" s="48" t="s">
        <v>14791</v>
      </c>
    </row>
    <row r="10427" spans="2:9" ht="15" customHeight="1" x14ac:dyDescent="0.25">
      <c r="B10427" s="55" t="s">
        <v>281</v>
      </c>
      <c r="C10427" s="46">
        <v>415</v>
      </c>
      <c r="D10427" s="69" t="s">
        <v>29418</v>
      </c>
      <c r="E10427" s="51"/>
      <c r="F10427" s="114" t="str">
        <f>IF(INDEX(I.Facility.P2bIDNumber,415)="","",INDEX(I.Facility.P2bIDNumber,415))</f>
        <v/>
      </c>
      <c r="G10427" s="51"/>
      <c r="H10427" s="46" t="str">
        <f>IF(AND(I.Developer.P2b=TRUE,I.Facility.P2bFacilityCount&gt;=415,F10427=""),"Incomplete","Complete")</f>
        <v>Complete</v>
      </c>
      <c r="I10427" s="48" t="s">
        <v>14792</v>
      </c>
    </row>
    <row r="10428" spans="2:9" ht="15" customHeight="1" x14ac:dyDescent="0.25">
      <c r="B10428" s="55" t="s">
        <v>281</v>
      </c>
      <c r="C10428" s="46">
        <v>416</v>
      </c>
      <c r="D10428" s="69" t="s">
        <v>29418</v>
      </c>
      <c r="E10428" s="51"/>
      <c r="F10428" s="114" t="str">
        <f>IF(INDEX(I.Facility.P2bIDNumber,416)="","",INDEX(I.Facility.P2bIDNumber,416))</f>
        <v/>
      </c>
      <c r="G10428" s="51"/>
      <c r="H10428" s="46" t="str">
        <f>IF(AND(I.Developer.P2b=TRUE,I.Facility.P2bFacilityCount&gt;=416,F10428=""),"Incomplete","Complete")</f>
        <v>Complete</v>
      </c>
      <c r="I10428" s="48" t="s">
        <v>14793</v>
      </c>
    </row>
    <row r="10429" spans="2:9" ht="15" customHeight="1" x14ac:dyDescent="0.25">
      <c r="B10429" s="55" t="s">
        <v>281</v>
      </c>
      <c r="C10429" s="46">
        <v>417</v>
      </c>
      <c r="D10429" s="69" t="s">
        <v>29418</v>
      </c>
      <c r="E10429" s="51"/>
      <c r="F10429" s="114" t="str">
        <f>IF(INDEX(I.Facility.P2bIDNumber,417)="","",INDEX(I.Facility.P2bIDNumber,417))</f>
        <v/>
      </c>
      <c r="G10429" s="51"/>
      <c r="H10429" s="46" t="str">
        <f>IF(AND(I.Developer.P2b=TRUE,I.Facility.P2bFacilityCount&gt;=417,F10429=""),"Incomplete","Complete")</f>
        <v>Complete</v>
      </c>
      <c r="I10429" s="48" t="s">
        <v>14794</v>
      </c>
    </row>
    <row r="10430" spans="2:9" ht="15" customHeight="1" x14ac:dyDescent="0.25">
      <c r="B10430" s="55" t="s">
        <v>281</v>
      </c>
      <c r="C10430" s="46">
        <v>418</v>
      </c>
      <c r="D10430" s="69" t="s">
        <v>29418</v>
      </c>
      <c r="E10430" s="51"/>
      <c r="F10430" s="114" t="str">
        <f>IF(INDEX(I.Facility.P2bIDNumber,418)="","",INDEX(I.Facility.P2bIDNumber,418))</f>
        <v/>
      </c>
      <c r="G10430" s="51"/>
      <c r="H10430" s="46" t="str">
        <f>IF(AND(I.Developer.P2b=TRUE,I.Facility.P2bFacilityCount&gt;=418,F10430=""),"Incomplete","Complete")</f>
        <v>Complete</v>
      </c>
      <c r="I10430" s="48" t="s">
        <v>14795</v>
      </c>
    </row>
    <row r="10431" spans="2:9" ht="15" customHeight="1" x14ac:dyDescent="0.25">
      <c r="B10431" s="55" t="s">
        <v>281</v>
      </c>
      <c r="C10431" s="46">
        <v>419</v>
      </c>
      <c r="D10431" s="69" t="s">
        <v>29418</v>
      </c>
      <c r="E10431" s="51"/>
      <c r="F10431" s="114" t="str">
        <f>IF(INDEX(I.Facility.P2bIDNumber,419)="","",INDEX(I.Facility.P2bIDNumber,419))</f>
        <v/>
      </c>
      <c r="G10431" s="51"/>
      <c r="H10431" s="46" t="str">
        <f>IF(AND(I.Developer.P2b=TRUE,I.Facility.P2bFacilityCount&gt;=419,F10431=""),"Incomplete","Complete")</f>
        <v>Complete</v>
      </c>
      <c r="I10431" s="48" t="s">
        <v>14796</v>
      </c>
    </row>
    <row r="10432" spans="2:9" ht="15" customHeight="1" x14ac:dyDescent="0.25">
      <c r="B10432" s="55" t="s">
        <v>281</v>
      </c>
      <c r="C10432" s="46">
        <v>420</v>
      </c>
      <c r="D10432" s="69" t="s">
        <v>29418</v>
      </c>
      <c r="E10432" s="51"/>
      <c r="F10432" s="114" t="str">
        <f>IF(INDEX(I.Facility.P2bIDNumber,420)="","",INDEX(I.Facility.P2bIDNumber,420))</f>
        <v/>
      </c>
      <c r="G10432" s="51"/>
      <c r="H10432" s="46" t="str">
        <f>IF(AND(I.Developer.P2b=TRUE,I.Facility.P2bFacilityCount&gt;=420,F10432=""),"Incomplete","Complete")</f>
        <v>Complete</v>
      </c>
      <c r="I10432" s="48" t="s">
        <v>14797</v>
      </c>
    </row>
    <row r="10433" spans="2:9" ht="15" customHeight="1" x14ac:dyDescent="0.25">
      <c r="B10433" s="55" t="s">
        <v>281</v>
      </c>
      <c r="C10433" s="46">
        <v>421</v>
      </c>
      <c r="D10433" s="69" t="s">
        <v>29418</v>
      </c>
      <c r="E10433" s="51"/>
      <c r="F10433" s="114" t="str">
        <f>IF(INDEX(I.Facility.P2bIDNumber,421)="","",INDEX(I.Facility.P2bIDNumber,421))</f>
        <v/>
      </c>
      <c r="G10433" s="51"/>
      <c r="H10433" s="46" t="str">
        <f>IF(AND(I.Developer.P2b=TRUE,I.Facility.P2bFacilityCount&gt;=421,F10433=""),"Incomplete","Complete")</f>
        <v>Complete</v>
      </c>
      <c r="I10433" s="48" t="s">
        <v>14798</v>
      </c>
    </row>
    <row r="10434" spans="2:9" ht="15" customHeight="1" x14ac:dyDescent="0.25">
      <c r="B10434" s="55" t="s">
        <v>281</v>
      </c>
      <c r="C10434" s="46">
        <v>422</v>
      </c>
      <c r="D10434" s="69" t="s">
        <v>29418</v>
      </c>
      <c r="E10434" s="51"/>
      <c r="F10434" s="114" t="str">
        <f>IF(INDEX(I.Facility.P2bIDNumber,422)="","",INDEX(I.Facility.P2bIDNumber,422))</f>
        <v/>
      </c>
      <c r="G10434" s="51"/>
      <c r="H10434" s="46" t="str">
        <f>IF(AND(I.Developer.P2b=TRUE,I.Facility.P2bFacilityCount&gt;=422,F10434=""),"Incomplete","Complete")</f>
        <v>Complete</v>
      </c>
      <c r="I10434" s="48" t="s">
        <v>14799</v>
      </c>
    </row>
    <row r="10435" spans="2:9" ht="15" customHeight="1" x14ac:dyDescent="0.25">
      <c r="B10435" s="55" t="s">
        <v>281</v>
      </c>
      <c r="C10435" s="46">
        <v>423</v>
      </c>
      <c r="D10435" s="69" t="s">
        <v>29418</v>
      </c>
      <c r="E10435" s="51"/>
      <c r="F10435" s="114" t="str">
        <f>IF(INDEX(I.Facility.P2bIDNumber,423)="","",INDEX(I.Facility.P2bIDNumber,423))</f>
        <v/>
      </c>
      <c r="G10435" s="51"/>
      <c r="H10435" s="46" t="str">
        <f>IF(AND(I.Developer.P2b=TRUE,I.Facility.P2bFacilityCount&gt;=423,F10435=""),"Incomplete","Complete")</f>
        <v>Complete</v>
      </c>
      <c r="I10435" s="48" t="s">
        <v>14800</v>
      </c>
    </row>
    <row r="10436" spans="2:9" ht="15" customHeight="1" x14ac:dyDescent="0.25">
      <c r="B10436" s="55" t="s">
        <v>281</v>
      </c>
      <c r="C10436" s="46">
        <v>424</v>
      </c>
      <c r="D10436" s="69" t="s">
        <v>29418</v>
      </c>
      <c r="E10436" s="51"/>
      <c r="F10436" s="114" t="str">
        <f>IF(INDEX(I.Facility.P2bIDNumber,424)="","",INDEX(I.Facility.P2bIDNumber,424))</f>
        <v/>
      </c>
      <c r="G10436" s="51"/>
      <c r="H10436" s="46" t="str">
        <f>IF(AND(I.Developer.P2b=TRUE,I.Facility.P2bFacilityCount&gt;=424,F10436=""),"Incomplete","Complete")</f>
        <v>Complete</v>
      </c>
      <c r="I10436" s="48" t="s">
        <v>14801</v>
      </c>
    </row>
    <row r="10437" spans="2:9" ht="15" customHeight="1" x14ac:dyDescent="0.25">
      <c r="B10437" s="55" t="s">
        <v>281</v>
      </c>
      <c r="C10437" s="46">
        <v>425</v>
      </c>
      <c r="D10437" s="69" t="s">
        <v>29418</v>
      </c>
      <c r="E10437" s="51"/>
      <c r="F10437" s="114" t="str">
        <f>IF(INDEX(I.Facility.P2bIDNumber,425)="","",INDEX(I.Facility.P2bIDNumber,425))</f>
        <v/>
      </c>
      <c r="G10437" s="51"/>
      <c r="H10437" s="46" t="str">
        <f>IF(AND(I.Developer.P2b=TRUE,I.Facility.P2bFacilityCount&gt;=425,F10437=""),"Incomplete","Complete")</f>
        <v>Complete</v>
      </c>
      <c r="I10437" s="48" t="s">
        <v>14802</v>
      </c>
    </row>
    <row r="10438" spans="2:9" ht="15" customHeight="1" x14ac:dyDescent="0.25">
      <c r="B10438" s="55" t="s">
        <v>281</v>
      </c>
      <c r="C10438" s="46">
        <v>426</v>
      </c>
      <c r="D10438" s="69" t="s">
        <v>29418</v>
      </c>
      <c r="E10438" s="51"/>
      <c r="F10438" s="114" t="str">
        <f>IF(INDEX(I.Facility.P2bIDNumber,426)="","",INDEX(I.Facility.P2bIDNumber,426))</f>
        <v/>
      </c>
      <c r="G10438" s="51"/>
      <c r="H10438" s="46" t="str">
        <f>IF(AND(I.Developer.P2b=TRUE,I.Facility.P2bFacilityCount&gt;=426,F10438=""),"Incomplete","Complete")</f>
        <v>Complete</v>
      </c>
      <c r="I10438" s="48" t="s">
        <v>14803</v>
      </c>
    </row>
    <row r="10439" spans="2:9" ht="15" customHeight="1" x14ac:dyDescent="0.25">
      <c r="B10439" s="55" t="s">
        <v>281</v>
      </c>
      <c r="C10439" s="46">
        <v>427</v>
      </c>
      <c r="D10439" s="69" t="s">
        <v>29418</v>
      </c>
      <c r="E10439" s="51"/>
      <c r="F10439" s="114" t="str">
        <f>IF(INDEX(I.Facility.P2bIDNumber,427)="","",INDEX(I.Facility.P2bIDNumber,427))</f>
        <v/>
      </c>
      <c r="G10439" s="51"/>
      <c r="H10439" s="46" t="str">
        <f>IF(AND(I.Developer.P2b=TRUE,I.Facility.P2bFacilityCount&gt;=427,F10439=""),"Incomplete","Complete")</f>
        <v>Complete</v>
      </c>
      <c r="I10439" s="48" t="s">
        <v>14804</v>
      </c>
    </row>
    <row r="10440" spans="2:9" ht="15" customHeight="1" x14ac:dyDescent="0.25">
      <c r="B10440" s="55" t="s">
        <v>281</v>
      </c>
      <c r="C10440" s="46">
        <v>428</v>
      </c>
      <c r="D10440" s="69" t="s">
        <v>29418</v>
      </c>
      <c r="E10440" s="51"/>
      <c r="F10440" s="114" t="str">
        <f>IF(INDEX(I.Facility.P2bIDNumber,428)="","",INDEX(I.Facility.P2bIDNumber,428))</f>
        <v/>
      </c>
      <c r="G10440" s="51"/>
      <c r="H10440" s="46" t="str">
        <f>IF(AND(I.Developer.P2b=TRUE,I.Facility.P2bFacilityCount&gt;=428,F10440=""),"Incomplete","Complete")</f>
        <v>Complete</v>
      </c>
      <c r="I10440" s="48" t="s">
        <v>14805</v>
      </c>
    </row>
    <row r="10441" spans="2:9" ht="15" customHeight="1" x14ac:dyDescent="0.25">
      <c r="B10441" s="55" t="s">
        <v>281</v>
      </c>
      <c r="C10441" s="46">
        <v>429</v>
      </c>
      <c r="D10441" s="69" t="s">
        <v>29418</v>
      </c>
      <c r="E10441" s="51"/>
      <c r="F10441" s="114" t="str">
        <f>IF(INDEX(I.Facility.P2bIDNumber,429)="","",INDEX(I.Facility.P2bIDNumber,429))</f>
        <v/>
      </c>
      <c r="G10441" s="51"/>
      <c r="H10441" s="46" t="str">
        <f>IF(AND(I.Developer.P2b=TRUE,I.Facility.P2bFacilityCount&gt;=429,F10441=""),"Incomplete","Complete")</f>
        <v>Complete</v>
      </c>
      <c r="I10441" s="48" t="s">
        <v>14806</v>
      </c>
    </row>
    <row r="10442" spans="2:9" ht="15" customHeight="1" x14ac:dyDescent="0.25">
      <c r="B10442" s="55" t="s">
        <v>281</v>
      </c>
      <c r="C10442" s="46">
        <v>430</v>
      </c>
      <c r="D10442" s="69" t="s">
        <v>29418</v>
      </c>
      <c r="E10442" s="51"/>
      <c r="F10442" s="114" t="str">
        <f>IF(INDEX(I.Facility.P2bIDNumber,430)="","",INDEX(I.Facility.P2bIDNumber,430))</f>
        <v/>
      </c>
      <c r="G10442" s="51"/>
      <c r="H10442" s="46" t="str">
        <f>IF(AND(I.Developer.P2b=TRUE,I.Facility.P2bFacilityCount&gt;=430,F10442=""),"Incomplete","Complete")</f>
        <v>Complete</v>
      </c>
      <c r="I10442" s="48" t="s">
        <v>14807</v>
      </c>
    </row>
    <row r="10443" spans="2:9" ht="15" customHeight="1" x14ac:dyDescent="0.25">
      <c r="B10443" s="55" t="s">
        <v>281</v>
      </c>
      <c r="C10443" s="46">
        <v>431</v>
      </c>
      <c r="D10443" s="69" t="s">
        <v>29418</v>
      </c>
      <c r="E10443" s="51"/>
      <c r="F10443" s="114" t="str">
        <f>IF(INDEX(I.Facility.P2bIDNumber,431)="","",INDEX(I.Facility.P2bIDNumber,431))</f>
        <v/>
      </c>
      <c r="G10443" s="51"/>
      <c r="H10443" s="46" t="str">
        <f>IF(AND(I.Developer.P2b=TRUE,I.Facility.P2bFacilityCount&gt;=431,F10443=""),"Incomplete","Complete")</f>
        <v>Complete</v>
      </c>
      <c r="I10443" s="48" t="s">
        <v>14808</v>
      </c>
    </row>
    <row r="10444" spans="2:9" ht="15" customHeight="1" x14ac:dyDescent="0.25">
      <c r="B10444" s="55" t="s">
        <v>281</v>
      </c>
      <c r="C10444" s="46">
        <v>432</v>
      </c>
      <c r="D10444" s="69" t="s">
        <v>29418</v>
      </c>
      <c r="E10444" s="51"/>
      <c r="F10444" s="114" t="str">
        <f>IF(INDEX(I.Facility.P2bIDNumber,432)="","",INDEX(I.Facility.P2bIDNumber,432))</f>
        <v/>
      </c>
      <c r="G10444" s="51"/>
      <c r="H10444" s="46" t="str">
        <f>IF(AND(I.Developer.P2b=TRUE,I.Facility.P2bFacilityCount&gt;=432,F10444=""),"Incomplete","Complete")</f>
        <v>Complete</v>
      </c>
      <c r="I10444" s="48" t="s">
        <v>14809</v>
      </c>
    </row>
    <row r="10445" spans="2:9" ht="15" customHeight="1" x14ac:dyDescent="0.25">
      <c r="B10445" s="55" t="s">
        <v>281</v>
      </c>
      <c r="C10445" s="46">
        <v>433</v>
      </c>
      <c r="D10445" s="69" t="s">
        <v>29418</v>
      </c>
      <c r="E10445" s="51"/>
      <c r="F10445" s="114" t="str">
        <f>IF(INDEX(I.Facility.P2bIDNumber,433)="","",INDEX(I.Facility.P2bIDNumber,433))</f>
        <v/>
      </c>
      <c r="G10445" s="51"/>
      <c r="H10445" s="46" t="str">
        <f>IF(AND(I.Developer.P2b=TRUE,I.Facility.P2bFacilityCount&gt;=433,F10445=""),"Incomplete","Complete")</f>
        <v>Complete</v>
      </c>
      <c r="I10445" s="48" t="s">
        <v>14810</v>
      </c>
    </row>
    <row r="10446" spans="2:9" ht="15" customHeight="1" x14ac:dyDescent="0.25">
      <c r="B10446" s="55" t="s">
        <v>281</v>
      </c>
      <c r="C10446" s="46">
        <v>434</v>
      </c>
      <c r="D10446" s="69" t="s">
        <v>29418</v>
      </c>
      <c r="E10446" s="51"/>
      <c r="F10446" s="114" t="str">
        <f>IF(INDEX(I.Facility.P2bIDNumber,434)="","",INDEX(I.Facility.P2bIDNumber,434))</f>
        <v/>
      </c>
      <c r="G10446" s="51"/>
      <c r="H10446" s="46" t="str">
        <f>IF(AND(I.Developer.P2b=TRUE,I.Facility.P2bFacilityCount&gt;=434,F10446=""),"Incomplete","Complete")</f>
        <v>Complete</v>
      </c>
      <c r="I10446" s="48" t="s">
        <v>14811</v>
      </c>
    </row>
    <row r="10447" spans="2:9" ht="15" customHeight="1" x14ac:dyDescent="0.25">
      <c r="B10447" s="55" t="s">
        <v>281</v>
      </c>
      <c r="C10447" s="46">
        <v>435</v>
      </c>
      <c r="D10447" s="69" t="s">
        <v>29418</v>
      </c>
      <c r="E10447" s="51"/>
      <c r="F10447" s="114" t="str">
        <f>IF(INDEX(I.Facility.P2bIDNumber,435)="","",INDEX(I.Facility.P2bIDNumber,435))</f>
        <v/>
      </c>
      <c r="G10447" s="51"/>
      <c r="H10447" s="46" t="str">
        <f>IF(AND(I.Developer.P2b=TRUE,I.Facility.P2bFacilityCount&gt;=435,F10447=""),"Incomplete","Complete")</f>
        <v>Complete</v>
      </c>
      <c r="I10447" s="48" t="s">
        <v>14812</v>
      </c>
    </row>
    <row r="10448" spans="2:9" ht="15" customHeight="1" x14ac:dyDescent="0.25">
      <c r="B10448" s="55" t="s">
        <v>281</v>
      </c>
      <c r="C10448" s="46">
        <v>436</v>
      </c>
      <c r="D10448" s="69" t="s">
        <v>29418</v>
      </c>
      <c r="E10448" s="51"/>
      <c r="F10448" s="114" t="str">
        <f>IF(INDEX(I.Facility.P2bIDNumber,436)="","",INDEX(I.Facility.P2bIDNumber,436))</f>
        <v/>
      </c>
      <c r="G10448" s="51"/>
      <c r="H10448" s="46" t="str">
        <f>IF(AND(I.Developer.P2b=TRUE,I.Facility.P2bFacilityCount&gt;=436,F10448=""),"Incomplete","Complete")</f>
        <v>Complete</v>
      </c>
      <c r="I10448" s="48" t="s">
        <v>14813</v>
      </c>
    </row>
    <row r="10449" spans="2:9" ht="15" customHeight="1" x14ac:dyDescent="0.25">
      <c r="B10449" s="55" t="s">
        <v>281</v>
      </c>
      <c r="C10449" s="46">
        <v>437</v>
      </c>
      <c r="D10449" s="69" t="s">
        <v>29418</v>
      </c>
      <c r="E10449" s="51"/>
      <c r="F10449" s="114" t="str">
        <f>IF(INDEX(I.Facility.P2bIDNumber,437)="","",INDEX(I.Facility.P2bIDNumber,437))</f>
        <v/>
      </c>
      <c r="G10449" s="51"/>
      <c r="H10449" s="46" t="str">
        <f>IF(AND(I.Developer.P2b=TRUE,I.Facility.P2bFacilityCount&gt;=437,F10449=""),"Incomplete","Complete")</f>
        <v>Complete</v>
      </c>
      <c r="I10449" s="48" t="s">
        <v>14814</v>
      </c>
    </row>
    <row r="10450" spans="2:9" ht="15" customHeight="1" x14ac:dyDescent="0.25">
      <c r="B10450" s="55" t="s">
        <v>281</v>
      </c>
      <c r="C10450" s="46">
        <v>438</v>
      </c>
      <c r="D10450" s="69" t="s">
        <v>29418</v>
      </c>
      <c r="E10450" s="51"/>
      <c r="F10450" s="114" t="str">
        <f>IF(INDEX(I.Facility.P2bIDNumber,438)="","",INDEX(I.Facility.P2bIDNumber,438))</f>
        <v/>
      </c>
      <c r="G10450" s="51"/>
      <c r="H10450" s="46" t="str">
        <f>IF(AND(I.Developer.P2b=TRUE,I.Facility.P2bFacilityCount&gt;=438,F10450=""),"Incomplete","Complete")</f>
        <v>Complete</v>
      </c>
      <c r="I10450" s="48" t="s">
        <v>14815</v>
      </c>
    </row>
    <row r="10451" spans="2:9" ht="15" customHeight="1" x14ac:dyDescent="0.25">
      <c r="B10451" s="55" t="s">
        <v>281</v>
      </c>
      <c r="C10451" s="46">
        <v>439</v>
      </c>
      <c r="D10451" s="69" t="s">
        <v>29418</v>
      </c>
      <c r="E10451" s="51"/>
      <c r="F10451" s="114" t="str">
        <f>IF(INDEX(I.Facility.P2bIDNumber,439)="","",INDEX(I.Facility.P2bIDNumber,439))</f>
        <v/>
      </c>
      <c r="G10451" s="51"/>
      <c r="H10451" s="46" t="str">
        <f>IF(AND(I.Developer.P2b=TRUE,I.Facility.P2bFacilityCount&gt;=439,F10451=""),"Incomplete","Complete")</f>
        <v>Complete</v>
      </c>
      <c r="I10451" s="48" t="s">
        <v>14816</v>
      </c>
    </row>
    <row r="10452" spans="2:9" ht="15" customHeight="1" x14ac:dyDescent="0.25">
      <c r="B10452" s="55" t="s">
        <v>281</v>
      </c>
      <c r="C10452" s="46">
        <v>440</v>
      </c>
      <c r="D10452" s="69" t="s">
        <v>29418</v>
      </c>
      <c r="E10452" s="51"/>
      <c r="F10452" s="114" t="str">
        <f>IF(INDEX(I.Facility.P2bIDNumber,440)="","",INDEX(I.Facility.P2bIDNumber,440))</f>
        <v/>
      </c>
      <c r="G10452" s="51"/>
      <c r="H10452" s="46" t="str">
        <f>IF(AND(I.Developer.P2b=TRUE,I.Facility.P2bFacilityCount&gt;=440,F10452=""),"Incomplete","Complete")</f>
        <v>Complete</v>
      </c>
      <c r="I10452" s="48" t="s">
        <v>14817</v>
      </c>
    </row>
    <row r="10453" spans="2:9" ht="15" customHeight="1" x14ac:dyDescent="0.25">
      <c r="B10453" s="55" t="s">
        <v>281</v>
      </c>
      <c r="C10453" s="46">
        <v>441</v>
      </c>
      <c r="D10453" s="69" t="s">
        <v>29418</v>
      </c>
      <c r="E10453" s="51"/>
      <c r="F10453" s="114" t="str">
        <f>IF(INDEX(I.Facility.P2bIDNumber,441)="","",INDEX(I.Facility.P2bIDNumber,441))</f>
        <v/>
      </c>
      <c r="G10453" s="51"/>
      <c r="H10453" s="46" t="str">
        <f>IF(AND(I.Developer.P2b=TRUE,I.Facility.P2bFacilityCount&gt;=441,F10453=""),"Incomplete","Complete")</f>
        <v>Complete</v>
      </c>
      <c r="I10453" s="48" t="s">
        <v>14818</v>
      </c>
    </row>
    <row r="10454" spans="2:9" ht="15" customHeight="1" x14ac:dyDescent="0.25">
      <c r="B10454" s="55" t="s">
        <v>281</v>
      </c>
      <c r="C10454" s="46">
        <v>442</v>
      </c>
      <c r="D10454" s="69" t="s">
        <v>29418</v>
      </c>
      <c r="E10454" s="51"/>
      <c r="F10454" s="114" t="str">
        <f>IF(INDEX(I.Facility.P2bIDNumber,442)="","",INDEX(I.Facility.P2bIDNumber,442))</f>
        <v/>
      </c>
      <c r="G10454" s="51"/>
      <c r="H10454" s="46" t="str">
        <f>IF(AND(I.Developer.P2b=TRUE,I.Facility.P2bFacilityCount&gt;=442,F10454=""),"Incomplete","Complete")</f>
        <v>Complete</v>
      </c>
      <c r="I10454" s="48" t="s">
        <v>14819</v>
      </c>
    </row>
    <row r="10455" spans="2:9" ht="15" customHeight="1" x14ac:dyDescent="0.25">
      <c r="B10455" s="55" t="s">
        <v>281</v>
      </c>
      <c r="C10455" s="46">
        <v>443</v>
      </c>
      <c r="D10455" s="69" t="s">
        <v>29418</v>
      </c>
      <c r="E10455" s="51"/>
      <c r="F10455" s="114" t="str">
        <f>IF(INDEX(I.Facility.P2bIDNumber,443)="","",INDEX(I.Facility.P2bIDNumber,443))</f>
        <v/>
      </c>
      <c r="G10455" s="51"/>
      <c r="H10455" s="46" t="str">
        <f>IF(AND(I.Developer.P2b=TRUE,I.Facility.P2bFacilityCount&gt;=443,F10455=""),"Incomplete","Complete")</f>
        <v>Complete</v>
      </c>
      <c r="I10455" s="48" t="s">
        <v>14820</v>
      </c>
    </row>
    <row r="10456" spans="2:9" ht="15" customHeight="1" x14ac:dyDescent="0.25">
      <c r="B10456" s="55" t="s">
        <v>281</v>
      </c>
      <c r="C10456" s="46">
        <v>444</v>
      </c>
      <c r="D10456" s="69" t="s">
        <v>29418</v>
      </c>
      <c r="E10456" s="51"/>
      <c r="F10456" s="114" t="str">
        <f>IF(INDEX(I.Facility.P2bIDNumber,444)="","",INDEX(I.Facility.P2bIDNumber,444))</f>
        <v/>
      </c>
      <c r="G10456" s="51"/>
      <c r="H10456" s="46" t="str">
        <f>IF(AND(I.Developer.P2b=TRUE,I.Facility.P2bFacilityCount&gt;=444,F10456=""),"Incomplete","Complete")</f>
        <v>Complete</v>
      </c>
      <c r="I10456" s="48" t="s">
        <v>14821</v>
      </c>
    </row>
    <row r="10457" spans="2:9" ht="15" customHeight="1" x14ac:dyDescent="0.25">
      <c r="B10457" s="55" t="s">
        <v>281</v>
      </c>
      <c r="C10457" s="46">
        <v>445</v>
      </c>
      <c r="D10457" s="69" t="s">
        <v>29418</v>
      </c>
      <c r="E10457" s="51"/>
      <c r="F10457" s="114" t="str">
        <f>IF(INDEX(I.Facility.P2bIDNumber,445)="","",INDEX(I.Facility.P2bIDNumber,445))</f>
        <v/>
      </c>
      <c r="G10457" s="51"/>
      <c r="H10457" s="46" t="str">
        <f>IF(AND(I.Developer.P2b=TRUE,I.Facility.P2bFacilityCount&gt;=445,F10457=""),"Incomplete","Complete")</f>
        <v>Complete</v>
      </c>
      <c r="I10457" s="48" t="s">
        <v>14822</v>
      </c>
    </row>
    <row r="10458" spans="2:9" ht="15" customHeight="1" x14ac:dyDescent="0.25">
      <c r="B10458" s="55" t="s">
        <v>281</v>
      </c>
      <c r="C10458" s="46">
        <v>446</v>
      </c>
      <c r="D10458" s="69" t="s">
        <v>29418</v>
      </c>
      <c r="E10458" s="51"/>
      <c r="F10458" s="114" t="str">
        <f>IF(INDEX(I.Facility.P2bIDNumber,446)="","",INDEX(I.Facility.P2bIDNumber,446))</f>
        <v/>
      </c>
      <c r="G10458" s="51"/>
      <c r="H10458" s="46" t="str">
        <f>IF(AND(I.Developer.P2b=TRUE,I.Facility.P2bFacilityCount&gt;=446,F10458=""),"Incomplete","Complete")</f>
        <v>Complete</v>
      </c>
      <c r="I10458" s="48" t="s">
        <v>14823</v>
      </c>
    </row>
    <row r="10459" spans="2:9" ht="15" customHeight="1" x14ac:dyDescent="0.25">
      <c r="B10459" s="55" t="s">
        <v>281</v>
      </c>
      <c r="C10459" s="46">
        <v>447</v>
      </c>
      <c r="D10459" s="69" t="s">
        <v>29418</v>
      </c>
      <c r="E10459" s="51"/>
      <c r="F10459" s="114" t="str">
        <f>IF(INDEX(I.Facility.P2bIDNumber,447)="","",INDEX(I.Facility.P2bIDNumber,447))</f>
        <v/>
      </c>
      <c r="G10459" s="51"/>
      <c r="H10459" s="46" t="str">
        <f>IF(AND(I.Developer.P2b=TRUE,I.Facility.P2bFacilityCount&gt;=447,F10459=""),"Incomplete","Complete")</f>
        <v>Complete</v>
      </c>
      <c r="I10459" s="48" t="s">
        <v>14824</v>
      </c>
    </row>
    <row r="10460" spans="2:9" ht="15" customHeight="1" x14ac:dyDescent="0.25">
      <c r="B10460" s="55" t="s">
        <v>281</v>
      </c>
      <c r="C10460" s="46">
        <v>448</v>
      </c>
      <c r="D10460" s="69" t="s">
        <v>29418</v>
      </c>
      <c r="E10460" s="51"/>
      <c r="F10460" s="114" t="str">
        <f>IF(INDEX(I.Facility.P2bIDNumber,448)="","",INDEX(I.Facility.P2bIDNumber,448))</f>
        <v/>
      </c>
      <c r="G10460" s="51"/>
      <c r="H10460" s="46" t="str">
        <f>IF(AND(I.Developer.P2b=TRUE,I.Facility.P2bFacilityCount&gt;=448,F10460=""),"Incomplete","Complete")</f>
        <v>Complete</v>
      </c>
      <c r="I10460" s="48" t="s">
        <v>14825</v>
      </c>
    </row>
    <row r="10461" spans="2:9" ht="15" customHeight="1" x14ac:dyDescent="0.25">
      <c r="B10461" s="55" t="s">
        <v>281</v>
      </c>
      <c r="C10461" s="46">
        <v>449</v>
      </c>
      <c r="D10461" s="69" t="s">
        <v>29418</v>
      </c>
      <c r="E10461" s="51"/>
      <c r="F10461" s="114" t="str">
        <f>IF(INDEX(I.Facility.P2bIDNumber,449)="","",INDEX(I.Facility.P2bIDNumber,449))</f>
        <v/>
      </c>
      <c r="G10461" s="51"/>
      <c r="H10461" s="46" t="str">
        <f>IF(AND(I.Developer.P2b=TRUE,I.Facility.P2bFacilityCount&gt;=449,F10461=""),"Incomplete","Complete")</f>
        <v>Complete</v>
      </c>
      <c r="I10461" s="48" t="s">
        <v>14826</v>
      </c>
    </row>
    <row r="10462" spans="2:9" ht="15" customHeight="1" x14ac:dyDescent="0.25">
      <c r="B10462" s="55" t="s">
        <v>281</v>
      </c>
      <c r="C10462" s="46">
        <v>450</v>
      </c>
      <c r="D10462" s="69" t="s">
        <v>29418</v>
      </c>
      <c r="E10462" s="51"/>
      <c r="F10462" s="114" t="str">
        <f>IF(INDEX(I.Facility.P2bIDNumber,450)="","",INDEX(I.Facility.P2bIDNumber,450))</f>
        <v/>
      </c>
      <c r="G10462" s="51"/>
      <c r="H10462" s="46" t="str">
        <f>IF(AND(I.Developer.P2b=TRUE,I.Facility.P2bFacilityCount&gt;=450,F10462=""),"Incomplete","Complete")</f>
        <v>Complete</v>
      </c>
      <c r="I10462" s="48" t="s">
        <v>14827</v>
      </c>
    </row>
    <row r="10463" spans="2:9" ht="15" customHeight="1" x14ac:dyDescent="0.25">
      <c r="B10463" s="55" t="s">
        <v>281</v>
      </c>
      <c r="C10463" s="46">
        <v>451</v>
      </c>
      <c r="D10463" s="69" t="s">
        <v>29418</v>
      </c>
      <c r="E10463" s="51"/>
      <c r="F10463" s="114" t="str">
        <f>IF(INDEX(I.Facility.P2bIDNumber,451)="","",INDEX(I.Facility.P2bIDNumber,451))</f>
        <v/>
      </c>
      <c r="G10463" s="51"/>
      <c r="H10463" s="46" t="str">
        <f>IF(AND(I.Developer.P2b=TRUE,I.Facility.P2bFacilityCount&gt;=451,F10463=""),"Incomplete","Complete")</f>
        <v>Complete</v>
      </c>
      <c r="I10463" s="48" t="s">
        <v>14828</v>
      </c>
    </row>
    <row r="10464" spans="2:9" ht="15" customHeight="1" x14ac:dyDescent="0.25">
      <c r="B10464" s="55" t="s">
        <v>281</v>
      </c>
      <c r="C10464" s="46">
        <v>452</v>
      </c>
      <c r="D10464" s="69" t="s">
        <v>29418</v>
      </c>
      <c r="E10464" s="51"/>
      <c r="F10464" s="114" t="str">
        <f>IF(INDEX(I.Facility.P2bIDNumber,452)="","",INDEX(I.Facility.P2bIDNumber,452))</f>
        <v/>
      </c>
      <c r="G10464" s="51"/>
      <c r="H10464" s="46" t="str">
        <f>IF(AND(I.Developer.P2b=TRUE,I.Facility.P2bFacilityCount&gt;=452,F10464=""),"Incomplete","Complete")</f>
        <v>Complete</v>
      </c>
      <c r="I10464" s="48" t="s">
        <v>14829</v>
      </c>
    </row>
    <row r="10465" spans="2:9" ht="15" customHeight="1" x14ac:dyDescent="0.25">
      <c r="B10465" s="55" t="s">
        <v>281</v>
      </c>
      <c r="C10465" s="46">
        <v>453</v>
      </c>
      <c r="D10465" s="69" t="s">
        <v>29418</v>
      </c>
      <c r="E10465" s="51"/>
      <c r="F10465" s="114" t="str">
        <f>IF(INDEX(I.Facility.P2bIDNumber,453)="","",INDEX(I.Facility.P2bIDNumber,453))</f>
        <v/>
      </c>
      <c r="G10465" s="51"/>
      <c r="H10465" s="46" t="str">
        <f>IF(AND(I.Developer.P2b=TRUE,I.Facility.P2bFacilityCount&gt;=453,F10465=""),"Incomplete","Complete")</f>
        <v>Complete</v>
      </c>
      <c r="I10465" s="48" t="s">
        <v>14830</v>
      </c>
    </row>
    <row r="10466" spans="2:9" ht="15" customHeight="1" x14ac:dyDescent="0.25">
      <c r="B10466" s="55" t="s">
        <v>281</v>
      </c>
      <c r="C10466" s="46">
        <v>454</v>
      </c>
      <c r="D10466" s="69" t="s">
        <v>29418</v>
      </c>
      <c r="E10466" s="51"/>
      <c r="F10466" s="114" t="str">
        <f>IF(INDEX(I.Facility.P2bIDNumber,454)="","",INDEX(I.Facility.P2bIDNumber,454))</f>
        <v/>
      </c>
      <c r="G10466" s="51"/>
      <c r="H10466" s="46" t="str">
        <f>IF(AND(I.Developer.P2b=TRUE,I.Facility.P2bFacilityCount&gt;=454,F10466=""),"Incomplete","Complete")</f>
        <v>Complete</v>
      </c>
      <c r="I10466" s="48" t="s">
        <v>14831</v>
      </c>
    </row>
    <row r="10467" spans="2:9" ht="15" customHeight="1" x14ac:dyDescent="0.25">
      <c r="B10467" s="55" t="s">
        <v>281</v>
      </c>
      <c r="C10467" s="46">
        <v>455</v>
      </c>
      <c r="D10467" s="69" t="s">
        <v>29418</v>
      </c>
      <c r="E10467" s="51"/>
      <c r="F10467" s="114" t="str">
        <f>IF(INDEX(I.Facility.P2bIDNumber,455)="","",INDEX(I.Facility.P2bIDNumber,455))</f>
        <v/>
      </c>
      <c r="G10467" s="51"/>
      <c r="H10467" s="46" t="str">
        <f>IF(AND(I.Developer.P2b=TRUE,I.Facility.P2bFacilityCount&gt;=455,F10467=""),"Incomplete","Complete")</f>
        <v>Complete</v>
      </c>
      <c r="I10467" s="48" t="s">
        <v>14832</v>
      </c>
    </row>
    <row r="10468" spans="2:9" ht="15" customHeight="1" x14ac:dyDescent="0.25">
      <c r="B10468" s="55" t="s">
        <v>281</v>
      </c>
      <c r="C10468" s="46">
        <v>456</v>
      </c>
      <c r="D10468" s="69" t="s">
        <v>29418</v>
      </c>
      <c r="E10468" s="51"/>
      <c r="F10468" s="114" t="str">
        <f>IF(INDEX(I.Facility.P2bIDNumber,456)="","",INDEX(I.Facility.P2bIDNumber,456))</f>
        <v/>
      </c>
      <c r="G10468" s="51"/>
      <c r="H10468" s="46" t="str">
        <f>IF(AND(I.Developer.P2b=TRUE,I.Facility.P2bFacilityCount&gt;=456,F10468=""),"Incomplete","Complete")</f>
        <v>Complete</v>
      </c>
      <c r="I10468" s="48" t="s">
        <v>14833</v>
      </c>
    </row>
    <row r="10469" spans="2:9" ht="15" customHeight="1" x14ac:dyDescent="0.25">
      <c r="B10469" s="55" t="s">
        <v>281</v>
      </c>
      <c r="C10469" s="46">
        <v>457</v>
      </c>
      <c r="D10469" s="69" t="s">
        <v>29418</v>
      </c>
      <c r="E10469" s="51"/>
      <c r="F10469" s="114" t="str">
        <f>IF(INDEX(I.Facility.P2bIDNumber,457)="","",INDEX(I.Facility.P2bIDNumber,457))</f>
        <v/>
      </c>
      <c r="G10469" s="51"/>
      <c r="H10469" s="46" t="str">
        <f>IF(AND(I.Developer.P2b=TRUE,I.Facility.P2bFacilityCount&gt;=457,F10469=""),"Incomplete","Complete")</f>
        <v>Complete</v>
      </c>
      <c r="I10469" s="48" t="s">
        <v>14834</v>
      </c>
    </row>
    <row r="10470" spans="2:9" ht="15" customHeight="1" x14ac:dyDescent="0.25">
      <c r="B10470" s="55" t="s">
        <v>281</v>
      </c>
      <c r="C10470" s="46">
        <v>458</v>
      </c>
      <c r="D10470" s="69" t="s">
        <v>29418</v>
      </c>
      <c r="E10470" s="51"/>
      <c r="F10470" s="114" t="str">
        <f>IF(INDEX(I.Facility.P2bIDNumber,458)="","",INDEX(I.Facility.P2bIDNumber,458))</f>
        <v/>
      </c>
      <c r="G10470" s="51"/>
      <c r="H10470" s="46" t="str">
        <f>IF(AND(I.Developer.P2b=TRUE,I.Facility.P2bFacilityCount&gt;=458,F10470=""),"Incomplete","Complete")</f>
        <v>Complete</v>
      </c>
      <c r="I10470" s="48" t="s">
        <v>14835</v>
      </c>
    </row>
    <row r="10471" spans="2:9" ht="15" customHeight="1" x14ac:dyDescent="0.25">
      <c r="B10471" s="55" t="s">
        <v>281</v>
      </c>
      <c r="C10471" s="46">
        <v>459</v>
      </c>
      <c r="D10471" s="69" t="s">
        <v>29418</v>
      </c>
      <c r="E10471" s="51"/>
      <c r="F10471" s="114" t="str">
        <f>IF(INDEX(I.Facility.P2bIDNumber,459)="","",INDEX(I.Facility.P2bIDNumber,459))</f>
        <v/>
      </c>
      <c r="G10471" s="51"/>
      <c r="H10471" s="46" t="str">
        <f>IF(AND(I.Developer.P2b=TRUE,I.Facility.P2bFacilityCount&gt;=459,F10471=""),"Incomplete","Complete")</f>
        <v>Complete</v>
      </c>
      <c r="I10471" s="48" t="s">
        <v>14836</v>
      </c>
    </row>
    <row r="10472" spans="2:9" ht="15" customHeight="1" x14ac:dyDescent="0.25">
      <c r="B10472" s="55" t="s">
        <v>281</v>
      </c>
      <c r="C10472" s="46">
        <v>460</v>
      </c>
      <c r="D10472" s="69" t="s">
        <v>29418</v>
      </c>
      <c r="E10472" s="51"/>
      <c r="F10472" s="114" t="str">
        <f>IF(INDEX(I.Facility.P2bIDNumber,460)="","",INDEX(I.Facility.P2bIDNumber,460))</f>
        <v/>
      </c>
      <c r="G10472" s="51"/>
      <c r="H10472" s="46" t="str">
        <f>IF(AND(I.Developer.P2b=TRUE,I.Facility.P2bFacilityCount&gt;=460,F10472=""),"Incomplete","Complete")</f>
        <v>Complete</v>
      </c>
      <c r="I10472" s="48" t="s">
        <v>14837</v>
      </c>
    </row>
    <row r="10473" spans="2:9" ht="15" customHeight="1" x14ac:dyDescent="0.25">
      <c r="B10473" s="55" t="s">
        <v>281</v>
      </c>
      <c r="C10473" s="46">
        <v>461</v>
      </c>
      <c r="D10473" s="69" t="s">
        <v>29418</v>
      </c>
      <c r="E10473" s="51"/>
      <c r="F10473" s="114" t="str">
        <f>IF(INDEX(I.Facility.P2bIDNumber,461)="","",INDEX(I.Facility.P2bIDNumber,461))</f>
        <v/>
      </c>
      <c r="G10473" s="51"/>
      <c r="H10473" s="46" t="str">
        <f>IF(AND(I.Developer.P2b=TRUE,I.Facility.P2bFacilityCount&gt;=461,F10473=""),"Incomplete","Complete")</f>
        <v>Complete</v>
      </c>
      <c r="I10473" s="48" t="s">
        <v>14838</v>
      </c>
    </row>
    <row r="10474" spans="2:9" ht="15" customHeight="1" x14ac:dyDescent="0.25">
      <c r="B10474" s="55" t="s">
        <v>281</v>
      </c>
      <c r="C10474" s="46">
        <v>462</v>
      </c>
      <c r="D10474" s="69" t="s">
        <v>29418</v>
      </c>
      <c r="E10474" s="51"/>
      <c r="F10474" s="114" t="str">
        <f>IF(INDEX(I.Facility.P2bIDNumber,462)="","",INDEX(I.Facility.P2bIDNumber,462))</f>
        <v/>
      </c>
      <c r="G10474" s="51"/>
      <c r="H10474" s="46" t="str">
        <f>IF(AND(I.Developer.P2b=TRUE,I.Facility.P2bFacilityCount&gt;=462,F10474=""),"Incomplete","Complete")</f>
        <v>Complete</v>
      </c>
      <c r="I10474" s="48" t="s">
        <v>14839</v>
      </c>
    </row>
    <row r="10475" spans="2:9" ht="15" customHeight="1" x14ac:dyDescent="0.25">
      <c r="B10475" s="55" t="s">
        <v>281</v>
      </c>
      <c r="C10475" s="46">
        <v>463</v>
      </c>
      <c r="D10475" s="69" t="s">
        <v>29418</v>
      </c>
      <c r="E10475" s="51"/>
      <c r="F10475" s="114" t="str">
        <f>IF(INDEX(I.Facility.P2bIDNumber,463)="","",INDEX(I.Facility.P2bIDNumber,463))</f>
        <v/>
      </c>
      <c r="G10475" s="51"/>
      <c r="H10475" s="46" t="str">
        <f>IF(AND(I.Developer.P2b=TRUE,I.Facility.P2bFacilityCount&gt;=463,F10475=""),"Incomplete","Complete")</f>
        <v>Complete</v>
      </c>
      <c r="I10475" s="48" t="s">
        <v>14840</v>
      </c>
    </row>
    <row r="10476" spans="2:9" ht="15" customHeight="1" x14ac:dyDescent="0.25">
      <c r="B10476" s="55" t="s">
        <v>281</v>
      </c>
      <c r="C10476" s="46">
        <v>464</v>
      </c>
      <c r="D10476" s="69" t="s">
        <v>29418</v>
      </c>
      <c r="E10476" s="51"/>
      <c r="F10476" s="114" t="str">
        <f>IF(INDEX(I.Facility.P2bIDNumber,464)="","",INDEX(I.Facility.P2bIDNumber,464))</f>
        <v/>
      </c>
      <c r="G10476" s="51"/>
      <c r="H10476" s="46" t="str">
        <f>IF(AND(I.Developer.P2b=TRUE,I.Facility.P2bFacilityCount&gt;=464,F10476=""),"Incomplete","Complete")</f>
        <v>Complete</v>
      </c>
      <c r="I10476" s="48" t="s">
        <v>14841</v>
      </c>
    </row>
    <row r="10477" spans="2:9" ht="15" customHeight="1" x14ac:dyDescent="0.25">
      <c r="B10477" s="55" t="s">
        <v>281</v>
      </c>
      <c r="C10477" s="46">
        <v>465</v>
      </c>
      <c r="D10477" s="69" t="s">
        <v>29418</v>
      </c>
      <c r="E10477" s="51"/>
      <c r="F10477" s="114" t="str">
        <f>IF(INDEX(I.Facility.P2bIDNumber,465)="","",INDEX(I.Facility.P2bIDNumber,465))</f>
        <v/>
      </c>
      <c r="G10477" s="51"/>
      <c r="H10477" s="46" t="str">
        <f>IF(AND(I.Developer.P2b=TRUE,I.Facility.P2bFacilityCount&gt;=465,F10477=""),"Incomplete","Complete")</f>
        <v>Complete</v>
      </c>
      <c r="I10477" s="48" t="s">
        <v>14842</v>
      </c>
    </row>
    <row r="10478" spans="2:9" ht="15" customHeight="1" x14ac:dyDescent="0.25">
      <c r="B10478" s="55" t="s">
        <v>281</v>
      </c>
      <c r="C10478" s="46">
        <v>466</v>
      </c>
      <c r="D10478" s="69" t="s">
        <v>29418</v>
      </c>
      <c r="E10478" s="51"/>
      <c r="F10478" s="114" t="str">
        <f>IF(INDEX(I.Facility.P2bIDNumber,466)="","",INDEX(I.Facility.P2bIDNumber,466))</f>
        <v/>
      </c>
      <c r="G10478" s="51"/>
      <c r="H10478" s="46" t="str">
        <f>IF(AND(I.Developer.P2b=TRUE,I.Facility.P2bFacilityCount&gt;=466,F10478=""),"Incomplete","Complete")</f>
        <v>Complete</v>
      </c>
      <c r="I10478" s="48" t="s">
        <v>14843</v>
      </c>
    </row>
    <row r="10479" spans="2:9" ht="15" customHeight="1" x14ac:dyDescent="0.25">
      <c r="B10479" s="55" t="s">
        <v>281</v>
      </c>
      <c r="C10479" s="46">
        <v>467</v>
      </c>
      <c r="D10479" s="69" t="s">
        <v>29418</v>
      </c>
      <c r="E10479" s="51"/>
      <c r="F10479" s="114" t="str">
        <f>IF(INDEX(I.Facility.P2bIDNumber,467)="","",INDEX(I.Facility.P2bIDNumber,467))</f>
        <v/>
      </c>
      <c r="G10479" s="51"/>
      <c r="H10479" s="46" t="str">
        <f>IF(AND(I.Developer.P2b=TRUE,I.Facility.P2bFacilityCount&gt;=467,F10479=""),"Incomplete","Complete")</f>
        <v>Complete</v>
      </c>
      <c r="I10479" s="48" t="s">
        <v>14844</v>
      </c>
    </row>
    <row r="10480" spans="2:9" ht="15" customHeight="1" x14ac:dyDescent="0.25">
      <c r="B10480" s="55" t="s">
        <v>281</v>
      </c>
      <c r="C10480" s="46">
        <v>468</v>
      </c>
      <c r="D10480" s="69" t="s">
        <v>29418</v>
      </c>
      <c r="E10480" s="51"/>
      <c r="F10480" s="114" t="str">
        <f>IF(INDEX(I.Facility.P2bIDNumber,468)="","",INDEX(I.Facility.P2bIDNumber,468))</f>
        <v/>
      </c>
      <c r="G10480" s="51"/>
      <c r="H10480" s="46" t="str">
        <f>IF(AND(I.Developer.P2b=TRUE,I.Facility.P2bFacilityCount&gt;=468,F10480=""),"Incomplete","Complete")</f>
        <v>Complete</v>
      </c>
      <c r="I10480" s="48" t="s">
        <v>14845</v>
      </c>
    </row>
    <row r="10481" spans="2:9" ht="15" customHeight="1" x14ac:dyDescent="0.25">
      <c r="B10481" s="55" t="s">
        <v>281</v>
      </c>
      <c r="C10481" s="46">
        <v>469</v>
      </c>
      <c r="D10481" s="69" t="s">
        <v>29418</v>
      </c>
      <c r="E10481" s="51"/>
      <c r="F10481" s="114" t="str">
        <f>IF(INDEX(I.Facility.P2bIDNumber,469)="","",INDEX(I.Facility.P2bIDNumber,469))</f>
        <v/>
      </c>
      <c r="G10481" s="51"/>
      <c r="H10481" s="46" t="str">
        <f>IF(AND(I.Developer.P2b=TRUE,I.Facility.P2bFacilityCount&gt;=469,F10481=""),"Incomplete","Complete")</f>
        <v>Complete</v>
      </c>
      <c r="I10481" s="48" t="s">
        <v>14846</v>
      </c>
    </row>
    <row r="10482" spans="2:9" ht="15" customHeight="1" x14ac:dyDescent="0.25">
      <c r="B10482" s="55" t="s">
        <v>281</v>
      </c>
      <c r="C10482" s="46">
        <v>470</v>
      </c>
      <c r="D10482" s="69" t="s">
        <v>29418</v>
      </c>
      <c r="E10482" s="51"/>
      <c r="F10482" s="114" t="str">
        <f>IF(INDEX(I.Facility.P2bIDNumber,470)="","",INDEX(I.Facility.P2bIDNumber,470))</f>
        <v/>
      </c>
      <c r="G10482" s="51"/>
      <c r="H10482" s="46" t="str">
        <f>IF(AND(I.Developer.P2b=TRUE,I.Facility.P2bFacilityCount&gt;=470,F10482=""),"Incomplete","Complete")</f>
        <v>Complete</v>
      </c>
      <c r="I10482" s="48" t="s">
        <v>14847</v>
      </c>
    </row>
    <row r="10483" spans="2:9" ht="15" customHeight="1" x14ac:dyDescent="0.25">
      <c r="B10483" s="55" t="s">
        <v>281</v>
      </c>
      <c r="C10483" s="46">
        <v>471</v>
      </c>
      <c r="D10483" s="69" t="s">
        <v>29418</v>
      </c>
      <c r="E10483" s="51"/>
      <c r="F10483" s="114" t="str">
        <f>IF(INDEX(I.Facility.P2bIDNumber,471)="","",INDEX(I.Facility.P2bIDNumber,471))</f>
        <v/>
      </c>
      <c r="G10483" s="51"/>
      <c r="H10483" s="46" t="str">
        <f>IF(AND(I.Developer.P2b=TRUE,I.Facility.P2bFacilityCount&gt;=471,F10483=""),"Incomplete","Complete")</f>
        <v>Complete</v>
      </c>
      <c r="I10483" s="48" t="s">
        <v>14848</v>
      </c>
    </row>
    <row r="10484" spans="2:9" ht="15" customHeight="1" x14ac:dyDescent="0.25">
      <c r="B10484" s="55" t="s">
        <v>281</v>
      </c>
      <c r="C10484" s="46">
        <v>472</v>
      </c>
      <c r="D10484" s="69" t="s">
        <v>29418</v>
      </c>
      <c r="E10484" s="51"/>
      <c r="F10484" s="114" t="str">
        <f>IF(INDEX(I.Facility.P2bIDNumber,472)="","",INDEX(I.Facility.P2bIDNumber,472))</f>
        <v/>
      </c>
      <c r="G10484" s="51"/>
      <c r="H10484" s="46" t="str">
        <f>IF(AND(I.Developer.P2b=TRUE,I.Facility.P2bFacilityCount&gt;=472,F10484=""),"Incomplete","Complete")</f>
        <v>Complete</v>
      </c>
      <c r="I10484" s="48" t="s">
        <v>14849</v>
      </c>
    </row>
    <row r="10485" spans="2:9" ht="15" customHeight="1" x14ac:dyDescent="0.25">
      <c r="B10485" s="55" t="s">
        <v>281</v>
      </c>
      <c r="C10485" s="46">
        <v>473</v>
      </c>
      <c r="D10485" s="69" t="s">
        <v>29418</v>
      </c>
      <c r="E10485" s="51"/>
      <c r="F10485" s="114" t="str">
        <f>IF(INDEX(I.Facility.P2bIDNumber,473)="","",INDEX(I.Facility.P2bIDNumber,473))</f>
        <v/>
      </c>
      <c r="G10485" s="51"/>
      <c r="H10485" s="46" t="str">
        <f>IF(AND(I.Developer.P2b=TRUE,I.Facility.P2bFacilityCount&gt;=473,F10485=""),"Incomplete","Complete")</f>
        <v>Complete</v>
      </c>
      <c r="I10485" s="48" t="s">
        <v>14850</v>
      </c>
    </row>
    <row r="10486" spans="2:9" ht="15" customHeight="1" x14ac:dyDescent="0.25">
      <c r="B10486" s="55" t="s">
        <v>281</v>
      </c>
      <c r="C10486" s="46">
        <v>474</v>
      </c>
      <c r="D10486" s="69" t="s">
        <v>29418</v>
      </c>
      <c r="E10486" s="51"/>
      <c r="F10486" s="114" t="str">
        <f>IF(INDEX(I.Facility.P2bIDNumber,474)="","",INDEX(I.Facility.P2bIDNumber,474))</f>
        <v/>
      </c>
      <c r="G10486" s="51"/>
      <c r="H10486" s="46" t="str">
        <f>IF(AND(I.Developer.P2b=TRUE,I.Facility.P2bFacilityCount&gt;=474,F10486=""),"Incomplete","Complete")</f>
        <v>Complete</v>
      </c>
      <c r="I10486" s="48" t="s">
        <v>14851</v>
      </c>
    </row>
    <row r="10487" spans="2:9" ht="15" customHeight="1" x14ac:dyDescent="0.25">
      <c r="B10487" s="55" t="s">
        <v>281</v>
      </c>
      <c r="C10487" s="46">
        <v>475</v>
      </c>
      <c r="D10487" s="69" t="s">
        <v>29418</v>
      </c>
      <c r="E10487" s="51"/>
      <c r="F10487" s="114" t="str">
        <f>IF(INDEX(I.Facility.P2bIDNumber,475)="","",INDEX(I.Facility.P2bIDNumber,475))</f>
        <v/>
      </c>
      <c r="G10487" s="51"/>
      <c r="H10487" s="46" t="str">
        <f>IF(AND(I.Developer.P2b=TRUE,I.Facility.P2bFacilityCount&gt;=475,F10487=""),"Incomplete","Complete")</f>
        <v>Complete</v>
      </c>
      <c r="I10487" s="48" t="s">
        <v>14852</v>
      </c>
    </row>
    <row r="10488" spans="2:9" ht="15" customHeight="1" x14ac:dyDescent="0.25">
      <c r="B10488" s="55" t="s">
        <v>281</v>
      </c>
      <c r="C10488" s="46">
        <v>476</v>
      </c>
      <c r="D10488" s="69" t="s">
        <v>29418</v>
      </c>
      <c r="E10488" s="51"/>
      <c r="F10488" s="114" t="str">
        <f>IF(INDEX(I.Facility.P2bIDNumber,476)="","",INDEX(I.Facility.P2bIDNumber,476))</f>
        <v/>
      </c>
      <c r="G10488" s="51"/>
      <c r="H10488" s="46" t="str">
        <f>IF(AND(I.Developer.P2b=TRUE,I.Facility.P2bFacilityCount&gt;=476,F10488=""),"Incomplete","Complete")</f>
        <v>Complete</v>
      </c>
      <c r="I10488" s="48" t="s">
        <v>14853</v>
      </c>
    </row>
    <row r="10489" spans="2:9" ht="15" customHeight="1" x14ac:dyDescent="0.25">
      <c r="B10489" s="55" t="s">
        <v>281</v>
      </c>
      <c r="C10489" s="46">
        <v>477</v>
      </c>
      <c r="D10489" s="69" t="s">
        <v>29418</v>
      </c>
      <c r="E10489" s="51"/>
      <c r="F10489" s="114" t="str">
        <f>IF(INDEX(I.Facility.P2bIDNumber,477)="","",INDEX(I.Facility.P2bIDNumber,477))</f>
        <v/>
      </c>
      <c r="G10489" s="51"/>
      <c r="H10489" s="46" t="str">
        <f>IF(AND(I.Developer.P2b=TRUE,I.Facility.P2bFacilityCount&gt;=477,F10489=""),"Incomplete","Complete")</f>
        <v>Complete</v>
      </c>
      <c r="I10489" s="48" t="s">
        <v>14854</v>
      </c>
    </row>
    <row r="10490" spans="2:9" ht="15" customHeight="1" x14ac:dyDescent="0.25">
      <c r="B10490" s="55" t="s">
        <v>281</v>
      </c>
      <c r="C10490" s="46">
        <v>478</v>
      </c>
      <c r="D10490" s="69" t="s">
        <v>29418</v>
      </c>
      <c r="E10490" s="51"/>
      <c r="F10490" s="114" t="str">
        <f>IF(INDEX(I.Facility.P2bIDNumber,478)="","",INDEX(I.Facility.P2bIDNumber,478))</f>
        <v/>
      </c>
      <c r="G10490" s="51"/>
      <c r="H10490" s="46" t="str">
        <f>IF(AND(I.Developer.P2b=TRUE,I.Facility.P2bFacilityCount&gt;=478,F10490=""),"Incomplete","Complete")</f>
        <v>Complete</v>
      </c>
      <c r="I10490" s="48" t="s">
        <v>14855</v>
      </c>
    </row>
    <row r="10491" spans="2:9" ht="15" customHeight="1" x14ac:dyDescent="0.25">
      <c r="B10491" s="55" t="s">
        <v>281</v>
      </c>
      <c r="C10491" s="46">
        <v>479</v>
      </c>
      <c r="D10491" s="69" t="s">
        <v>29418</v>
      </c>
      <c r="E10491" s="51"/>
      <c r="F10491" s="114" t="str">
        <f>IF(INDEX(I.Facility.P2bIDNumber,479)="","",INDEX(I.Facility.P2bIDNumber,479))</f>
        <v/>
      </c>
      <c r="G10491" s="51"/>
      <c r="H10491" s="46" t="str">
        <f>IF(AND(I.Developer.P2b=TRUE,I.Facility.P2bFacilityCount&gt;=479,F10491=""),"Incomplete","Complete")</f>
        <v>Complete</v>
      </c>
      <c r="I10491" s="48" t="s">
        <v>14856</v>
      </c>
    </row>
    <row r="10492" spans="2:9" ht="15" customHeight="1" x14ac:dyDescent="0.25">
      <c r="B10492" s="55" t="s">
        <v>281</v>
      </c>
      <c r="C10492" s="46">
        <v>480</v>
      </c>
      <c r="D10492" s="69" t="s">
        <v>29418</v>
      </c>
      <c r="E10492" s="51"/>
      <c r="F10492" s="114" t="str">
        <f>IF(INDEX(I.Facility.P2bIDNumber,480)="","",INDEX(I.Facility.P2bIDNumber,480))</f>
        <v/>
      </c>
      <c r="G10492" s="51"/>
      <c r="H10492" s="46" t="str">
        <f>IF(AND(I.Developer.P2b=TRUE,I.Facility.P2bFacilityCount&gt;=480,F10492=""),"Incomplete","Complete")</f>
        <v>Complete</v>
      </c>
      <c r="I10492" s="48" t="s">
        <v>14857</v>
      </c>
    </row>
    <row r="10493" spans="2:9" ht="15" customHeight="1" x14ac:dyDescent="0.25">
      <c r="B10493" s="55" t="s">
        <v>281</v>
      </c>
      <c r="C10493" s="46">
        <v>481</v>
      </c>
      <c r="D10493" s="69" t="s">
        <v>29418</v>
      </c>
      <c r="E10493" s="51"/>
      <c r="F10493" s="114" t="str">
        <f>IF(INDEX(I.Facility.P2bIDNumber,481)="","",INDEX(I.Facility.P2bIDNumber,481))</f>
        <v/>
      </c>
      <c r="G10493" s="51"/>
      <c r="H10493" s="46" t="str">
        <f>IF(AND(I.Developer.P2b=TRUE,I.Facility.P2bFacilityCount&gt;=481,F10493=""),"Incomplete","Complete")</f>
        <v>Complete</v>
      </c>
      <c r="I10493" s="48" t="s">
        <v>14858</v>
      </c>
    </row>
    <row r="10494" spans="2:9" ht="15" customHeight="1" x14ac:dyDescent="0.25">
      <c r="B10494" s="55" t="s">
        <v>281</v>
      </c>
      <c r="C10494" s="46">
        <v>482</v>
      </c>
      <c r="D10494" s="69" t="s">
        <v>29418</v>
      </c>
      <c r="E10494" s="51"/>
      <c r="F10494" s="114" t="str">
        <f>IF(INDEX(I.Facility.P2bIDNumber,482)="","",INDEX(I.Facility.P2bIDNumber,482))</f>
        <v/>
      </c>
      <c r="G10494" s="51"/>
      <c r="H10494" s="46" t="str">
        <f>IF(AND(I.Developer.P2b=TRUE,I.Facility.P2bFacilityCount&gt;=482,F10494=""),"Incomplete","Complete")</f>
        <v>Complete</v>
      </c>
      <c r="I10494" s="48" t="s">
        <v>14859</v>
      </c>
    </row>
    <row r="10495" spans="2:9" ht="15" customHeight="1" x14ac:dyDescent="0.25">
      <c r="B10495" s="55" t="s">
        <v>281</v>
      </c>
      <c r="C10495" s="46">
        <v>483</v>
      </c>
      <c r="D10495" s="69" t="s">
        <v>29418</v>
      </c>
      <c r="E10495" s="51"/>
      <c r="F10495" s="114" t="str">
        <f>IF(INDEX(I.Facility.P2bIDNumber,483)="","",INDEX(I.Facility.P2bIDNumber,483))</f>
        <v/>
      </c>
      <c r="G10495" s="51"/>
      <c r="H10495" s="46" t="str">
        <f>IF(AND(I.Developer.P2b=TRUE,I.Facility.P2bFacilityCount&gt;=483,F10495=""),"Incomplete","Complete")</f>
        <v>Complete</v>
      </c>
      <c r="I10495" s="48" t="s">
        <v>14860</v>
      </c>
    </row>
    <row r="10496" spans="2:9" ht="15" customHeight="1" x14ac:dyDescent="0.25">
      <c r="B10496" s="55" t="s">
        <v>281</v>
      </c>
      <c r="C10496" s="46">
        <v>484</v>
      </c>
      <c r="D10496" s="69" t="s">
        <v>29418</v>
      </c>
      <c r="E10496" s="51"/>
      <c r="F10496" s="114" t="str">
        <f>IF(INDEX(I.Facility.P2bIDNumber,484)="","",INDEX(I.Facility.P2bIDNumber,484))</f>
        <v/>
      </c>
      <c r="G10496" s="51"/>
      <c r="H10496" s="46" t="str">
        <f>IF(AND(I.Developer.P2b=TRUE,I.Facility.P2bFacilityCount&gt;=484,F10496=""),"Incomplete","Complete")</f>
        <v>Complete</v>
      </c>
      <c r="I10496" s="48" t="s">
        <v>14861</v>
      </c>
    </row>
    <row r="10497" spans="2:9" ht="15" customHeight="1" x14ac:dyDescent="0.25">
      <c r="B10497" s="55" t="s">
        <v>281</v>
      </c>
      <c r="C10497" s="46">
        <v>485</v>
      </c>
      <c r="D10497" s="69" t="s">
        <v>29418</v>
      </c>
      <c r="E10497" s="51"/>
      <c r="F10497" s="114" t="str">
        <f>IF(INDEX(I.Facility.P2bIDNumber,485)="","",INDEX(I.Facility.P2bIDNumber,485))</f>
        <v/>
      </c>
      <c r="G10497" s="51"/>
      <c r="H10497" s="46" t="str">
        <f>IF(AND(I.Developer.P2b=TRUE,I.Facility.P2bFacilityCount&gt;=485,F10497=""),"Incomplete","Complete")</f>
        <v>Complete</v>
      </c>
      <c r="I10497" s="48" t="s">
        <v>14862</v>
      </c>
    </row>
    <row r="10498" spans="2:9" ht="15" customHeight="1" x14ac:dyDescent="0.25">
      <c r="B10498" s="55" t="s">
        <v>281</v>
      </c>
      <c r="C10498" s="46">
        <v>486</v>
      </c>
      <c r="D10498" s="69" t="s">
        <v>29418</v>
      </c>
      <c r="E10498" s="51"/>
      <c r="F10498" s="114" t="str">
        <f>IF(INDEX(I.Facility.P2bIDNumber,486)="","",INDEX(I.Facility.P2bIDNumber,486))</f>
        <v/>
      </c>
      <c r="G10498" s="51"/>
      <c r="H10498" s="46" t="str">
        <f>IF(AND(I.Developer.P2b=TRUE,I.Facility.P2bFacilityCount&gt;=486,F10498=""),"Incomplete","Complete")</f>
        <v>Complete</v>
      </c>
      <c r="I10498" s="48" t="s">
        <v>14863</v>
      </c>
    </row>
    <row r="10499" spans="2:9" ht="15" customHeight="1" x14ac:dyDescent="0.25">
      <c r="B10499" s="55" t="s">
        <v>281</v>
      </c>
      <c r="C10499" s="46">
        <v>487</v>
      </c>
      <c r="D10499" s="69" t="s">
        <v>29418</v>
      </c>
      <c r="E10499" s="51"/>
      <c r="F10499" s="114" t="str">
        <f>IF(INDEX(I.Facility.P2bIDNumber,487)="","",INDEX(I.Facility.P2bIDNumber,487))</f>
        <v/>
      </c>
      <c r="G10499" s="51"/>
      <c r="H10499" s="46" t="str">
        <f>IF(AND(I.Developer.P2b=TRUE,I.Facility.P2bFacilityCount&gt;=487,F10499=""),"Incomplete","Complete")</f>
        <v>Complete</v>
      </c>
      <c r="I10499" s="48" t="s">
        <v>14864</v>
      </c>
    </row>
    <row r="10500" spans="2:9" ht="15" customHeight="1" x14ac:dyDescent="0.25">
      <c r="B10500" s="55" t="s">
        <v>281</v>
      </c>
      <c r="C10500" s="46">
        <v>488</v>
      </c>
      <c r="D10500" s="69" t="s">
        <v>29418</v>
      </c>
      <c r="E10500" s="51"/>
      <c r="F10500" s="114" t="str">
        <f>IF(INDEX(I.Facility.P2bIDNumber,488)="","",INDEX(I.Facility.P2bIDNumber,488))</f>
        <v/>
      </c>
      <c r="G10500" s="51"/>
      <c r="H10500" s="46" t="str">
        <f>IF(AND(I.Developer.P2b=TRUE,I.Facility.P2bFacilityCount&gt;=488,F10500=""),"Incomplete","Complete")</f>
        <v>Complete</v>
      </c>
      <c r="I10500" s="48" t="s">
        <v>14865</v>
      </c>
    </row>
    <row r="10501" spans="2:9" ht="15" customHeight="1" x14ac:dyDescent="0.25">
      <c r="B10501" s="55" t="s">
        <v>281</v>
      </c>
      <c r="C10501" s="46">
        <v>489</v>
      </c>
      <c r="D10501" s="69" t="s">
        <v>29418</v>
      </c>
      <c r="E10501" s="51"/>
      <c r="F10501" s="114" t="str">
        <f>IF(INDEX(I.Facility.P2bIDNumber,489)="","",INDEX(I.Facility.P2bIDNumber,489))</f>
        <v/>
      </c>
      <c r="G10501" s="51"/>
      <c r="H10501" s="46" t="str">
        <f>IF(AND(I.Developer.P2b=TRUE,I.Facility.P2bFacilityCount&gt;=489,F10501=""),"Incomplete","Complete")</f>
        <v>Complete</v>
      </c>
      <c r="I10501" s="48" t="s">
        <v>14866</v>
      </c>
    </row>
    <row r="10502" spans="2:9" ht="15" customHeight="1" x14ac:dyDescent="0.25">
      <c r="B10502" s="55" t="s">
        <v>281</v>
      </c>
      <c r="C10502" s="46">
        <v>490</v>
      </c>
      <c r="D10502" s="69" t="s">
        <v>29418</v>
      </c>
      <c r="E10502" s="51"/>
      <c r="F10502" s="114" t="str">
        <f>IF(INDEX(I.Facility.P2bIDNumber,490)="","",INDEX(I.Facility.P2bIDNumber,490))</f>
        <v/>
      </c>
      <c r="G10502" s="51"/>
      <c r="H10502" s="46" t="str">
        <f>IF(AND(I.Developer.P2b=TRUE,I.Facility.P2bFacilityCount&gt;=490,F10502=""),"Incomplete","Complete")</f>
        <v>Complete</v>
      </c>
      <c r="I10502" s="48" t="s">
        <v>14867</v>
      </c>
    </row>
    <row r="10503" spans="2:9" ht="15" customHeight="1" x14ac:dyDescent="0.25">
      <c r="B10503" s="55" t="s">
        <v>281</v>
      </c>
      <c r="C10503" s="46">
        <v>491</v>
      </c>
      <c r="D10503" s="69" t="s">
        <v>29418</v>
      </c>
      <c r="E10503" s="51"/>
      <c r="F10503" s="114" t="str">
        <f>IF(INDEX(I.Facility.P2bIDNumber,491)="","",INDEX(I.Facility.P2bIDNumber,491))</f>
        <v/>
      </c>
      <c r="G10503" s="51"/>
      <c r="H10503" s="46" t="str">
        <f>IF(AND(I.Developer.P2b=TRUE,I.Facility.P2bFacilityCount&gt;=491,F10503=""),"Incomplete","Complete")</f>
        <v>Complete</v>
      </c>
      <c r="I10503" s="48" t="s">
        <v>14868</v>
      </c>
    </row>
    <row r="10504" spans="2:9" ht="15" customHeight="1" x14ac:dyDescent="0.25">
      <c r="B10504" s="55" t="s">
        <v>281</v>
      </c>
      <c r="C10504" s="46">
        <v>492</v>
      </c>
      <c r="D10504" s="69" t="s">
        <v>29418</v>
      </c>
      <c r="E10504" s="51"/>
      <c r="F10504" s="114" t="str">
        <f>IF(INDEX(I.Facility.P2bIDNumber,492)="","",INDEX(I.Facility.P2bIDNumber,492))</f>
        <v/>
      </c>
      <c r="G10504" s="51"/>
      <c r="H10504" s="46" t="str">
        <f>IF(AND(I.Developer.P2b=TRUE,I.Facility.P2bFacilityCount&gt;=492,F10504=""),"Incomplete","Complete")</f>
        <v>Complete</v>
      </c>
      <c r="I10504" s="48" t="s">
        <v>14869</v>
      </c>
    </row>
    <row r="10505" spans="2:9" ht="15" customHeight="1" x14ac:dyDescent="0.25">
      <c r="B10505" s="55" t="s">
        <v>281</v>
      </c>
      <c r="C10505" s="46">
        <v>493</v>
      </c>
      <c r="D10505" s="69" t="s">
        <v>29418</v>
      </c>
      <c r="E10505" s="51"/>
      <c r="F10505" s="114" t="str">
        <f>IF(INDEX(I.Facility.P2bIDNumber,493)="","",INDEX(I.Facility.P2bIDNumber,493))</f>
        <v/>
      </c>
      <c r="G10505" s="51"/>
      <c r="H10505" s="46" t="str">
        <f>IF(AND(I.Developer.P2b=TRUE,I.Facility.P2bFacilityCount&gt;=493,F10505=""),"Incomplete","Complete")</f>
        <v>Complete</v>
      </c>
      <c r="I10505" s="48" t="s">
        <v>14870</v>
      </c>
    </row>
    <row r="10506" spans="2:9" ht="15" customHeight="1" x14ac:dyDescent="0.25">
      <c r="B10506" s="55" t="s">
        <v>281</v>
      </c>
      <c r="C10506" s="46">
        <v>494</v>
      </c>
      <c r="D10506" s="69" t="s">
        <v>29418</v>
      </c>
      <c r="E10506" s="51"/>
      <c r="F10506" s="114" t="str">
        <f>IF(INDEX(I.Facility.P2bIDNumber,494)="","",INDEX(I.Facility.P2bIDNumber,494))</f>
        <v/>
      </c>
      <c r="G10506" s="51"/>
      <c r="H10506" s="46" t="str">
        <f>IF(AND(I.Developer.P2b=TRUE,I.Facility.P2bFacilityCount&gt;=494,F10506=""),"Incomplete","Complete")</f>
        <v>Complete</v>
      </c>
      <c r="I10506" s="48" t="s">
        <v>14871</v>
      </c>
    </row>
    <row r="10507" spans="2:9" ht="15" customHeight="1" x14ac:dyDescent="0.25">
      <c r="B10507" s="55" t="s">
        <v>281</v>
      </c>
      <c r="C10507" s="46">
        <v>495</v>
      </c>
      <c r="D10507" s="69" t="s">
        <v>29418</v>
      </c>
      <c r="E10507" s="51"/>
      <c r="F10507" s="114" t="str">
        <f>IF(INDEX(I.Facility.P2bIDNumber,495)="","",INDEX(I.Facility.P2bIDNumber,495))</f>
        <v/>
      </c>
      <c r="G10507" s="51"/>
      <c r="H10507" s="46" t="str">
        <f>IF(AND(I.Developer.P2b=TRUE,I.Facility.P2bFacilityCount&gt;=495,F10507=""),"Incomplete","Complete")</f>
        <v>Complete</v>
      </c>
      <c r="I10507" s="48" t="s">
        <v>14872</v>
      </c>
    </row>
    <row r="10508" spans="2:9" ht="15" customHeight="1" x14ac:dyDescent="0.25">
      <c r="B10508" s="55" t="s">
        <v>281</v>
      </c>
      <c r="C10508" s="46">
        <v>496</v>
      </c>
      <c r="D10508" s="69" t="s">
        <v>29418</v>
      </c>
      <c r="E10508" s="51"/>
      <c r="F10508" s="114" t="str">
        <f>IF(INDEX(I.Facility.P2bIDNumber,496)="","",INDEX(I.Facility.P2bIDNumber,496))</f>
        <v/>
      </c>
      <c r="G10508" s="51"/>
      <c r="H10508" s="46" t="str">
        <f>IF(AND(I.Developer.P2b=TRUE,I.Facility.P2bFacilityCount&gt;=496,F10508=""),"Incomplete","Complete")</f>
        <v>Complete</v>
      </c>
      <c r="I10508" s="48" t="s">
        <v>14873</v>
      </c>
    </row>
    <row r="10509" spans="2:9" ht="15" customHeight="1" x14ac:dyDescent="0.25">
      <c r="B10509" s="55" t="s">
        <v>281</v>
      </c>
      <c r="C10509" s="46">
        <v>497</v>
      </c>
      <c r="D10509" s="69" t="s">
        <v>29418</v>
      </c>
      <c r="E10509" s="51"/>
      <c r="F10509" s="114" t="str">
        <f>IF(INDEX(I.Facility.P2bIDNumber,497)="","",INDEX(I.Facility.P2bIDNumber,497))</f>
        <v/>
      </c>
      <c r="G10509" s="51"/>
      <c r="H10509" s="46" t="str">
        <f>IF(AND(I.Developer.P2b=TRUE,I.Facility.P2bFacilityCount&gt;=497,F10509=""),"Incomplete","Complete")</f>
        <v>Complete</v>
      </c>
      <c r="I10509" s="48" t="s">
        <v>14874</v>
      </c>
    </row>
    <row r="10510" spans="2:9" ht="15" customHeight="1" x14ac:dyDescent="0.25">
      <c r="B10510" s="55" t="s">
        <v>281</v>
      </c>
      <c r="C10510" s="46">
        <v>498</v>
      </c>
      <c r="D10510" s="69" t="s">
        <v>29418</v>
      </c>
      <c r="E10510" s="51"/>
      <c r="F10510" s="114" t="str">
        <f>IF(INDEX(I.Facility.P2bIDNumber,498)="","",INDEX(I.Facility.P2bIDNumber,498))</f>
        <v/>
      </c>
      <c r="G10510" s="51"/>
      <c r="H10510" s="46" t="str">
        <f>IF(AND(I.Developer.P2b=TRUE,I.Facility.P2bFacilityCount&gt;=498,F10510=""),"Incomplete","Complete")</f>
        <v>Complete</v>
      </c>
      <c r="I10510" s="48" t="s">
        <v>14875</v>
      </c>
    </row>
    <row r="10511" spans="2:9" ht="15" customHeight="1" x14ac:dyDescent="0.25">
      <c r="B10511" s="55" t="s">
        <v>281</v>
      </c>
      <c r="C10511" s="46">
        <v>499</v>
      </c>
      <c r="D10511" s="69" t="s">
        <v>29418</v>
      </c>
      <c r="E10511" s="51"/>
      <c r="F10511" s="114" t="str">
        <f>IF(INDEX(I.Facility.P2bIDNumber,499)="","",INDEX(I.Facility.P2bIDNumber,499))</f>
        <v/>
      </c>
      <c r="G10511" s="51"/>
      <c r="H10511" s="46" t="str">
        <f>IF(AND(I.Developer.P2b=TRUE,I.Facility.P2bFacilityCount&gt;=499,F10511=""),"Incomplete","Complete")</f>
        <v>Complete</v>
      </c>
      <c r="I10511" s="48" t="s">
        <v>14876</v>
      </c>
    </row>
    <row r="10512" spans="2:9" ht="15" customHeight="1" x14ac:dyDescent="0.25">
      <c r="B10512" s="55" t="s">
        <v>281</v>
      </c>
      <c r="C10512" s="46">
        <v>500</v>
      </c>
      <c r="D10512" s="69" t="s">
        <v>29418</v>
      </c>
      <c r="E10512" s="51"/>
      <c r="F10512" s="114" t="str">
        <f>IF(INDEX(I.Facility.P2bIDNumber,500)="","",INDEX(I.Facility.P2bIDNumber,500))</f>
        <v/>
      </c>
      <c r="G10512" s="51"/>
      <c r="H10512" s="46" t="str">
        <f>IF(AND(I.Developer.P2b=TRUE,I.Facility.P2bFacilityCount&gt;=500,F10512=""),"Incomplete","Complete")</f>
        <v>Complete</v>
      </c>
      <c r="I10512" s="48" t="s">
        <v>14877</v>
      </c>
    </row>
    <row r="10513" spans="2:9" ht="15" customHeight="1" x14ac:dyDescent="0.25">
      <c r="B10513" s="55" t="s">
        <v>281</v>
      </c>
      <c r="C10513" s="46">
        <v>501</v>
      </c>
      <c r="D10513" s="69" t="s">
        <v>29418</v>
      </c>
      <c r="E10513" s="51"/>
      <c r="F10513" s="114" t="str">
        <f>IF(INDEX(I.Facility.P2bIDNumber,501)="","",INDEX(I.Facility.P2bIDNumber,501))</f>
        <v/>
      </c>
      <c r="G10513" s="51"/>
      <c r="H10513" s="46" t="str">
        <f>IF(AND(I.Developer.P2b=TRUE,I.Facility.P2bFacilityCount&gt;=501,F10513=""),"Incomplete","Complete")</f>
        <v>Complete</v>
      </c>
      <c r="I10513" s="48" t="s">
        <v>14878</v>
      </c>
    </row>
    <row r="10514" spans="2:9" ht="15" customHeight="1" x14ac:dyDescent="0.25">
      <c r="B10514" s="55" t="s">
        <v>281</v>
      </c>
      <c r="C10514" s="46">
        <v>502</v>
      </c>
      <c r="D10514" s="69" t="s">
        <v>29418</v>
      </c>
      <c r="E10514" s="51"/>
      <c r="F10514" s="114" t="str">
        <f>IF(INDEX(I.Facility.P2bIDNumber,502)="","",INDEX(I.Facility.P2bIDNumber,502))</f>
        <v/>
      </c>
      <c r="G10514" s="51"/>
      <c r="H10514" s="46" t="str">
        <f>IF(AND(I.Developer.P2b=TRUE,I.Facility.P2bFacilityCount&gt;=502,F10514=""),"Incomplete","Complete")</f>
        <v>Complete</v>
      </c>
      <c r="I10514" s="48" t="s">
        <v>14879</v>
      </c>
    </row>
    <row r="10515" spans="2:9" ht="15" customHeight="1" x14ac:dyDescent="0.25">
      <c r="B10515" s="55" t="s">
        <v>281</v>
      </c>
      <c r="C10515" s="46">
        <v>503</v>
      </c>
      <c r="D10515" s="69" t="s">
        <v>29418</v>
      </c>
      <c r="E10515" s="51"/>
      <c r="F10515" s="114" t="str">
        <f>IF(INDEX(I.Facility.P2bIDNumber,503)="","",INDEX(I.Facility.P2bIDNumber,503))</f>
        <v/>
      </c>
      <c r="G10515" s="51"/>
      <c r="H10515" s="46" t="str">
        <f>IF(AND(I.Developer.P2b=TRUE,I.Facility.P2bFacilityCount&gt;=503,F10515=""),"Incomplete","Complete")</f>
        <v>Complete</v>
      </c>
      <c r="I10515" s="48" t="s">
        <v>14880</v>
      </c>
    </row>
    <row r="10516" spans="2:9" ht="15" customHeight="1" x14ac:dyDescent="0.25">
      <c r="B10516" s="55" t="s">
        <v>281</v>
      </c>
      <c r="C10516" s="46">
        <v>504</v>
      </c>
      <c r="D10516" s="69" t="s">
        <v>29418</v>
      </c>
      <c r="E10516" s="51"/>
      <c r="F10516" s="114" t="str">
        <f>IF(INDEX(I.Facility.P2bIDNumber,504)="","",INDEX(I.Facility.P2bIDNumber,504))</f>
        <v/>
      </c>
      <c r="G10516" s="51"/>
      <c r="H10516" s="46" t="str">
        <f>IF(AND(I.Developer.P2b=TRUE,I.Facility.P2bFacilityCount&gt;=504,F10516=""),"Incomplete","Complete")</f>
        <v>Complete</v>
      </c>
      <c r="I10516" s="48" t="s">
        <v>14881</v>
      </c>
    </row>
    <row r="10517" spans="2:9" ht="15" customHeight="1" x14ac:dyDescent="0.25">
      <c r="B10517" s="55" t="s">
        <v>281</v>
      </c>
      <c r="C10517" s="46">
        <v>505</v>
      </c>
      <c r="D10517" s="69" t="s">
        <v>29418</v>
      </c>
      <c r="E10517" s="51"/>
      <c r="F10517" s="114" t="str">
        <f>IF(INDEX(I.Facility.P2bIDNumber,505)="","",INDEX(I.Facility.P2bIDNumber,505))</f>
        <v/>
      </c>
      <c r="G10517" s="51"/>
      <c r="H10517" s="46" t="str">
        <f>IF(AND(I.Developer.P2b=TRUE,I.Facility.P2bFacilityCount&gt;=505,F10517=""),"Incomplete","Complete")</f>
        <v>Complete</v>
      </c>
      <c r="I10517" s="48" t="s">
        <v>14882</v>
      </c>
    </row>
    <row r="10518" spans="2:9" ht="15" customHeight="1" x14ac:dyDescent="0.25">
      <c r="B10518" s="55" t="s">
        <v>281</v>
      </c>
      <c r="C10518" s="46">
        <v>506</v>
      </c>
      <c r="D10518" s="69" t="s">
        <v>29418</v>
      </c>
      <c r="E10518" s="51"/>
      <c r="F10518" s="114" t="str">
        <f>IF(INDEX(I.Facility.P2bIDNumber,506)="","",INDEX(I.Facility.P2bIDNumber,506))</f>
        <v/>
      </c>
      <c r="G10518" s="51"/>
      <c r="H10518" s="46" t="str">
        <f>IF(AND(I.Developer.P2b=TRUE,I.Facility.P2bFacilityCount&gt;=506,F10518=""),"Incomplete","Complete")</f>
        <v>Complete</v>
      </c>
      <c r="I10518" s="48" t="s">
        <v>14883</v>
      </c>
    </row>
    <row r="10519" spans="2:9" ht="15" customHeight="1" x14ac:dyDescent="0.25">
      <c r="B10519" s="55" t="s">
        <v>281</v>
      </c>
      <c r="C10519" s="46">
        <v>507</v>
      </c>
      <c r="D10519" s="69" t="s">
        <v>29418</v>
      </c>
      <c r="E10519" s="51"/>
      <c r="F10519" s="114" t="str">
        <f>IF(INDEX(I.Facility.P2bIDNumber,507)="","",INDEX(I.Facility.P2bIDNumber,507))</f>
        <v/>
      </c>
      <c r="G10519" s="51"/>
      <c r="H10519" s="46" t="str">
        <f>IF(AND(I.Developer.P2b=TRUE,I.Facility.P2bFacilityCount&gt;=507,F10519=""),"Incomplete","Complete")</f>
        <v>Complete</v>
      </c>
      <c r="I10519" s="48" t="s">
        <v>14884</v>
      </c>
    </row>
    <row r="10520" spans="2:9" ht="15" customHeight="1" x14ac:dyDescent="0.25">
      <c r="B10520" s="55" t="s">
        <v>281</v>
      </c>
      <c r="C10520" s="46">
        <v>508</v>
      </c>
      <c r="D10520" s="69" t="s">
        <v>29418</v>
      </c>
      <c r="E10520" s="51"/>
      <c r="F10520" s="114" t="str">
        <f>IF(INDEX(I.Facility.P2bIDNumber,508)="","",INDEX(I.Facility.P2bIDNumber,508))</f>
        <v/>
      </c>
      <c r="G10520" s="51"/>
      <c r="H10520" s="46" t="str">
        <f>IF(AND(I.Developer.P2b=TRUE,I.Facility.P2bFacilityCount&gt;=508,F10520=""),"Incomplete","Complete")</f>
        <v>Complete</v>
      </c>
      <c r="I10520" s="48" t="s">
        <v>14885</v>
      </c>
    </row>
    <row r="10521" spans="2:9" ht="15" customHeight="1" x14ac:dyDescent="0.25">
      <c r="B10521" s="55" t="s">
        <v>281</v>
      </c>
      <c r="C10521" s="46">
        <v>509</v>
      </c>
      <c r="D10521" s="69" t="s">
        <v>29418</v>
      </c>
      <c r="E10521" s="51"/>
      <c r="F10521" s="114" t="str">
        <f>IF(INDEX(I.Facility.P2bIDNumber,509)="","",INDEX(I.Facility.P2bIDNumber,509))</f>
        <v/>
      </c>
      <c r="G10521" s="51"/>
      <c r="H10521" s="46" t="str">
        <f>IF(AND(I.Developer.P2b=TRUE,I.Facility.P2bFacilityCount&gt;=509,F10521=""),"Incomplete","Complete")</f>
        <v>Complete</v>
      </c>
      <c r="I10521" s="48" t="s">
        <v>14886</v>
      </c>
    </row>
    <row r="10522" spans="2:9" ht="15" customHeight="1" x14ac:dyDescent="0.25">
      <c r="B10522" s="55" t="s">
        <v>281</v>
      </c>
      <c r="C10522" s="46">
        <v>510</v>
      </c>
      <c r="D10522" s="69" t="s">
        <v>29418</v>
      </c>
      <c r="E10522" s="51"/>
      <c r="F10522" s="114" t="str">
        <f>IF(INDEX(I.Facility.P2bIDNumber,510)="","",INDEX(I.Facility.P2bIDNumber,510))</f>
        <v/>
      </c>
      <c r="G10522" s="51"/>
      <c r="H10522" s="46" t="str">
        <f>IF(AND(I.Developer.P2b=TRUE,I.Facility.P2bFacilityCount&gt;=510,F10522=""),"Incomplete","Complete")</f>
        <v>Complete</v>
      </c>
      <c r="I10522" s="48" t="s">
        <v>14887</v>
      </c>
    </row>
    <row r="10523" spans="2:9" ht="15" customHeight="1" x14ac:dyDescent="0.25">
      <c r="B10523" s="55" t="s">
        <v>281</v>
      </c>
      <c r="C10523" s="46">
        <v>511</v>
      </c>
      <c r="D10523" s="69" t="s">
        <v>29418</v>
      </c>
      <c r="E10523" s="51"/>
      <c r="F10523" s="114" t="str">
        <f>IF(INDEX(I.Facility.P2bIDNumber,511)="","",INDEX(I.Facility.P2bIDNumber,511))</f>
        <v/>
      </c>
      <c r="G10523" s="51"/>
      <c r="H10523" s="46" t="str">
        <f>IF(AND(I.Developer.P2b=TRUE,I.Facility.P2bFacilityCount&gt;=511,F10523=""),"Incomplete","Complete")</f>
        <v>Complete</v>
      </c>
      <c r="I10523" s="48" t="s">
        <v>14888</v>
      </c>
    </row>
    <row r="10524" spans="2:9" ht="15" customHeight="1" x14ac:dyDescent="0.25">
      <c r="B10524" s="55" t="s">
        <v>281</v>
      </c>
      <c r="C10524" s="46">
        <v>512</v>
      </c>
      <c r="D10524" s="69" t="s">
        <v>29418</v>
      </c>
      <c r="E10524" s="51"/>
      <c r="F10524" s="114" t="str">
        <f>IF(INDEX(I.Facility.P2bIDNumber,512)="","",INDEX(I.Facility.P2bIDNumber,512))</f>
        <v/>
      </c>
      <c r="G10524" s="51"/>
      <c r="H10524" s="46" t="str">
        <f>IF(AND(I.Developer.P2b=TRUE,I.Facility.P2bFacilityCount&gt;=512,F10524=""),"Incomplete","Complete")</f>
        <v>Complete</v>
      </c>
      <c r="I10524" s="48" t="s">
        <v>14889</v>
      </c>
    </row>
    <row r="10525" spans="2:9" ht="15" customHeight="1" x14ac:dyDescent="0.25">
      <c r="B10525" s="55" t="s">
        <v>281</v>
      </c>
      <c r="C10525" s="46">
        <v>513</v>
      </c>
      <c r="D10525" s="69" t="s">
        <v>29418</v>
      </c>
      <c r="E10525" s="51"/>
      <c r="F10525" s="114" t="str">
        <f>IF(INDEX(I.Facility.P2bIDNumber,513)="","",INDEX(I.Facility.P2bIDNumber,513))</f>
        <v/>
      </c>
      <c r="G10525" s="51"/>
      <c r="H10525" s="46" t="str">
        <f>IF(AND(I.Developer.P2b=TRUE,I.Facility.P2bFacilityCount&gt;=513,F10525=""),"Incomplete","Complete")</f>
        <v>Complete</v>
      </c>
      <c r="I10525" s="48" t="s">
        <v>14890</v>
      </c>
    </row>
    <row r="10526" spans="2:9" ht="15" customHeight="1" x14ac:dyDescent="0.25">
      <c r="B10526" s="55" t="s">
        <v>281</v>
      </c>
      <c r="C10526" s="46">
        <v>514</v>
      </c>
      <c r="D10526" s="69" t="s">
        <v>29418</v>
      </c>
      <c r="E10526" s="51"/>
      <c r="F10526" s="114" t="str">
        <f>IF(INDEX(I.Facility.P2bIDNumber,514)="","",INDEX(I.Facility.P2bIDNumber,514))</f>
        <v/>
      </c>
      <c r="G10526" s="51"/>
      <c r="H10526" s="46" t="str">
        <f>IF(AND(I.Developer.P2b=TRUE,I.Facility.P2bFacilityCount&gt;=514,F10526=""),"Incomplete","Complete")</f>
        <v>Complete</v>
      </c>
      <c r="I10526" s="48" t="s">
        <v>14891</v>
      </c>
    </row>
    <row r="10527" spans="2:9" ht="15" customHeight="1" x14ac:dyDescent="0.25">
      <c r="B10527" s="55" t="s">
        <v>281</v>
      </c>
      <c r="C10527" s="46">
        <v>515</v>
      </c>
      <c r="D10527" s="69" t="s">
        <v>29418</v>
      </c>
      <c r="E10527" s="51"/>
      <c r="F10527" s="114" t="str">
        <f>IF(INDEX(I.Facility.P2bIDNumber,515)="","",INDEX(I.Facility.P2bIDNumber,515))</f>
        <v/>
      </c>
      <c r="G10527" s="51"/>
      <c r="H10527" s="46" t="str">
        <f>IF(AND(I.Developer.P2b=TRUE,I.Facility.P2bFacilityCount&gt;=515,F10527=""),"Incomplete","Complete")</f>
        <v>Complete</v>
      </c>
      <c r="I10527" s="48" t="s">
        <v>14892</v>
      </c>
    </row>
    <row r="10528" spans="2:9" ht="15" customHeight="1" x14ac:dyDescent="0.25">
      <c r="B10528" s="55" t="s">
        <v>281</v>
      </c>
      <c r="C10528" s="46">
        <v>516</v>
      </c>
      <c r="D10528" s="69" t="s">
        <v>29418</v>
      </c>
      <c r="E10528" s="51"/>
      <c r="F10528" s="114" t="str">
        <f>IF(INDEX(I.Facility.P2bIDNumber,516)="","",INDEX(I.Facility.P2bIDNumber,516))</f>
        <v/>
      </c>
      <c r="G10528" s="51"/>
      <c r="H10528" s="46" t="str">
        <f>IF(AND(I.Developer.P2b=TRUE,I.Facility.P2bFacilityCount&gt;=516,F10528=""),"Incomplete","Complete")</f>
        <v>Complete</v>
      </c>
      <c r="I10528" s="48" t="s">
        <v>14893</v>
      </c>
    </row>
    <row r="10529" spans="2:9" ht="15" customHeight="1" x14ac:dyDescent="0.25">
      <c r="B10529" s="55" t="s">
        <v>281</v>
      </c>
      <c r="C10529" s="46">
        <v>517</v>
      </c>
      <c r="D10529" s="69" t="s">
        <v>29418</v>
      </c>
      <c r="E10529" s="51"/>
      <c r="F10529" s="114" t="str">
        <f>IF(INDEX(I.Facility.P2bIDNumber,517)="","",INDEX(I.Facility.P2bIDNumber,517))</f>
        <v/>
      </c>
      <c r="G10529" s="51"/>
      <c r="H10529" s="46" t="str">
        <f>IF(AND(I.Developer.P2b=TRUE,I.Facility.P2bFacilityCount&gt;=517,F10529=""),"Incomplete","Complete")</f>
        <v>Complete</v>
      </c>
      <c r="I10529" s="48" t="s">
        <v>14894</v>
      </c>
    </row>
    <row r="10530" spans="2:9" ht="15" customHeight="1" x14ac:dyDescent="0.25">
      <c r="B10530" s="55" t="s">
        <v>281</v>
      </c>
      <c r="C10530" s="46">
        <v>518</v>
      </c>
      <c r="D10530" s="69" t="s">
        <v>29418</v>
      </c>
      <c r="E10530" s="51"/>
      <c r="F10530" s="114" t="str">
        <f>IF(INDEX(I.Facility.P2bIDNumber,518)="","",INDEX(I.Facility.P2bIDNumber,518))</f>
        <v/>
      </c>
      <c r="G10530" s="51"/>
      <c r="H10530" s="46" t="str">
        <f>IF(AND(I.Developer.P2b=TRUE,I.Facility.P2bFacilityCount&gt;=518,F10530=""),"Incomplete","Complete")</f>
        <v>Complete</v>
      </c>
      <c r="I10530" s="48" t="s">
        <v>14895</v>
      </c>
    </row>
    <row r="10531" spans="2:9" ht="15" customHeight="1" x14ac:dyDescent="0.25">
      <c r="B10531" s="55" t="s">
        <v>281</v>
      </c>
      <c r="C10531" s="46">
        <v>519</v>
      </c>
      <c r="D10531" s="69" t="s">
        <v>29418</v>
      </c>
      <c r="E10531" s="51"/>
      <c r="F10531" s="114" t="str">
        <f>IF(INDEX(I.Facility.P2bIDNumber,519)="","",INDEX(I.Facility.P2bIDNumber,519))</f>
        <v/>
      </c>
      <c r="G10531" s="51"/>
      <c r="H10531" s="46" t="str">
        <f>IF(AND(I.Developer.P2b=TRUE,I.Facility.P2bFacilityCount&gt;=519,F10531=""),"Incomplete","Complete")</f>
        <v>Complete</v>
      </c>
      <c r="I10531" s="48" t="s">
        <v>14896</v>
      </c>
    </row>
    <row r="10532" spans="2:9" ht="15" customHeight="1" x14ac:dyDescent="0.25">
      <c r="B10532" s="55" t="s">
        <v>281</v>
      </c>
      <c r="C10532" s="46">
        <v>520</v>
      </c>
      <c r="D10532" s="69" t="s">
        <v>29418</v>
      </c>
      <c r="E10532" s="51"/>
      <c r="F10532" s="114" t="str">
        <f>IF(INDEX(I.Facility.P2bIDNumber,520)="","",INDEX(I.Facility.P2bIDNumber,520))</f>
        <v/>
      </c>
      <c r="G10532" s="51"/>
      <c r="H10532" s="46" t="str">
        <f>IF(AND(I.Developer.P2b=TRUE,I.Facility.P2bFacilityCount&gt;=520,F10532=""),"Incomplete","Complete")</f>
        <v>Complete</v>
      </c>
      <c r="I10532" s="48" t="s">
        <v>14897</v>
      </c>
    </row>
    <row r="10533" spans="2:9" ht="15" customHeight="1" x14ac:dyDescent="0.25">
      <c r="B10533" s="55" t="s">
        <v>281</v>
      </c>
      <c r="C10533" s="46">
        <v>521</v>
      </c>
      <c r="D10533" s="69" t="s">
        <v>29418</v>
      </c>
      <c r="E10533" s="51"/>
      <c r="F10533" s="114" t="str">
        <f>IF(INDEX(I.Facility.P2bIDNumber,521)="","",INDEX(I.Facility.P2bIDNumber,521))</f>
        <v/>
      </c>
      <c r="G10533" s="51"/>
      <c r="H10533" s="46" t="str">
        <f>IF(AND(I.Developer.P2b=TRUE,I.Facility.P2bFacilityCount&gt;=521,F10533=""),"Incomplete","Complete")</f>
        <v>Complete</v>
      </c>
      <c r="I10533" s="48" t="s">
        <v>14898</v>
      </c>
    </row>
    <row r="10534" spans="2:9" ht="15" customHeight="1" x14ac:dyDescent="0.25">
      <c r="B10534" s="55" t="s">
        <v>281</v>
      </c>
      <c r="C10534" s="46">
        <v>522</v>
      </c>
      <c r="D10534" s="69" t="s">
        <v>29418</v>
      </c>
      <c r="E10534" s="51"/>
      <c r="F10534" s="114" t="str">
        <f>IF(INDEX(I.Facility.P2bIDNumber,522)="","",INDEX(I.Facility.P2bIDNumber,522))</f>
        <v/>
      </c>
      <c r="G10534" s="51"/>
      <c r="H10534" s="46" t="str">
        <f>IF(AND(I.Developer.P2b=TRUE,I.Facility.P2bFacilityCount&gt;=522,F10534=""),"Incomplete","Complete")</f>
        <v>Complete</v>
      </c>
      <c r="I10534" s="48" t="s">
        <v>14899</v>
      </c>
    </row>
    <row r="10535" spans="2:9" ht="15" customHeight="1" x14ac:dyDescent="0.25">
      <c r="B10535" s="55" t="s">
        <v>281</v>
      </c>
      <c r="C10535" s="46">
        <v>523</v>
      </c>
      <c r="D10535" s="69" t="s">
        <v>29418</v>
      </c>
      <c r="E10535" s="51"/>
      <c r="F10535" s="114" t="str">
        <f>IF(INDEX(I.Facility.P2bIDNumber,523)="","",INDEX(I.Facility.P2bIDNumber,523))</f>
        <v/>
      </c>
      <c r="G10535" s="51"/>
      <c r="H10535" s="46" t="str">
        <f>IF(AND(I.Developer.P2b=TRUE,I.Facility.P2bFacilityCount&gt;=523,F10535=""),"Incomplete","Complete")</f>
        <v>Complete</v>
      </c>
      <c r="I10535" s="48" t="s">
        <v>14900</v>
      </c>
    </row>
    <row r="10536" spans="2:9" ht="15" customHeight="1" x14ac:dyDescent="0.25">
      <c r="B10536" s="55" t="s">
        <v>281</v>
      </c>
      <c r="C10536" s="46">
        <v>524</v>
      </c>
      <c r="D10536" s="69" t="s">
        <v>29418</v>
      </c>
      <c r="E10536" s="51"/>
      <c r="F10536" s="114" t="str">
        <f>IF(INDEX(I.Facility.P2bIDNumber,524)="","",INDEX(I.Facility.P2bIDNumber,524))</f>
        <v/>
      </c>
      <c r="G10536" s="51"/>
      <c r="H10536" s="46" t="str">
        <f>IF(AND(I.Developer.P2b=TRUE,I.Facility.P2bFacilityCount&gt;=524,F10536=""),"Incomplete","Complete")</f>
        <v>Complete</v>
      </c>
      <c r="I10536" s="48" t="s">
        <v>14901</v>
      </c>
    </row>
    <row r="10537" spans="2:9" ht="15" customHeight="1" x14ac:dyDescent="0.25">
      <c r="B10537" s="55" t="s">
        <v>281</v>
      </c>
      <c r="C10537" s="46">
        <v>525</v>
      </c>
      <c r="D10537" s="69" t="s">
        <v>29418</v>
      </c>
      <c r="E10537" s="51"/>
      <c r="F10537" s="114" t="str">
        <f>IF(INDEX(I.Facility.P2bIDNumber,525)="","",INDEX(I.Facility.P2bIDNumber,525))</f>
        <v/>
      </c>
      <c r="G10537" s="51"/>
      <c r="H10537" s="46" t="str">
        <f>IF(AND(I.Developer.P2b=TRUE,I.Facility.P2bFacilityCount&gt;=525,F10537=""),"Incomplete","Complete")</f>
        <v>Complete</v>
      </c>
      <c r="I10537" s="48" t="s">
        <v>14902</v>
      </c>
    </row>
    <row r="10538" spans="2:9" ht="15" customHeight="1" x14ac:dyDescent="0.25">
      <c r="B10538" s="55" t="s">
        <v>281</v>
      </c>
      <c r="C10538" s="46">
        <v>526</v>
      </c>
      <c r="D10538" s="69" t="s">
        <v>29418</v>
      </c>
      <c r="E10538" s="51"/>
      <c r="F10538" s="114" t="str">
        <f>IF(INDEX(I.Facility.P2bIDNumber,526)="","",INDEX(I.Facility.P2bIDNumber,526))</f>
        <v/>
      </c>
      <c r="G10538" s="51"/>
      <c r="H10538" s="46" t="str">
        <f>IF(AND(I.Developer.P2b=TRUE,I.Facility.P2bFacilityCount&gt;=526,F10538=""),"Incomplete","Complete")</f>
        <v>Complete</v>
      </c>
      <c r="I10538" s="48" t="s">
        <v>14903</v>
      </c>
    </row>
    <row r="10539" spans="2:9" ht="15" customHeight="1" x14ac:dyDescent="0.25">
      <c r="B10539" s="55" t="s">
        <v>281</v>
      </c>
      <c r="C10539" s="46">
        <v>527</v>
      </c>
      <c r="D10539" s="69" t="s">
        <v>29418</v>
      </c>
      <c r="E10539" s="51"/>
      <c r="F10539" s="114" t="str">
        <f>IF(INDEX(I.Facility.P2bIDNumber,527)="","",INDEX(I.Facility.P2bIDNumber,527))</f>
        <v/>
      </c>
      <c r="G10539" s="51"/>
      <c r="H10539" s="46" t="str">
        <f>IF(AND(I.Developer.P2b=TRUE,I.Facility.P2bFacilityCount&gt;=527,F10539=""),"Incomplete","Complete")</f>
        <v>Complete</v>
      </c>
      <c r="I10539" s="48" t="s">
        <v>14904</v>
      </c>
    </row>
    <row r="10540" spans="2:9" ht="15" customHeight="1" x14ac:dyDescent="0.25">
      <c r="B10540" s="55" t="s">
        <v>281</v>
      </c>
      <c r="C10540" s="46">
        <v>528</v>
      </c>
      <c r="D10540" s="69" t="s">
        <v>29418</v>
      </c>
      <c r="E10540" s="51"/>
      <c r="F10540" s="114" t="str">
        <f>IF(INDEX(I.Facility.P2bIDNumber,528)="","",INDEX(I.Facility.P2bIDNumber,528))</f>
        <v/>
      </c>
      <c r="G10540" s="51"/>
      <c r="H10540" s="46" t="str">
        <f>IF(AND(I.Developer.P2b=TRUE,I.Facility.P2bFacilityCount&gt;=528,F10540=""),"Incomplete","Complete")</f>
        <v>Complete</v>
      </c>
      <c r="I10540" s="48" t="s">
        <v>14905</v>
      </c>
    </row>
    <row r="10541" spans="2:9" ht="15" customHeight="1" x14ac:dyDescent="0.25">
      <c r="B10541" s="55" t="s">
        <v>281</v>
      </c>
      <c r="C10541" s="46">
        <v>529</v>
      </c>
      <c r="D10541" s="69" t="s">
        <v>29418</v>
      </c>
      <c r="E10541" s="51"/>
      <c r="F10541" s="114" t="str">
        <f>IF(INDEX(I.Facility.P2bIDNumber,529)="","",INDEX(I.Facility.P2bIDNumber,529))</f>
        <v/>
      </c>
      <c r="G10541" s="51"/>
      <c r="H10541" s="46" t="str">
        <f>IF(AND(I.Developer.P2b=TRUE,I.Facility.P2bFacilityCount&gt;=529,F10541=""),"Incomplete","Complete")</f>
        <v>Complete</v>
      </c>
      <c r="I10541" s="48" t="s">
        <v>14906</v>
      </c>
    </row>
    <row r="10542" spans="2:9" ht="15" customHeight="1" x14ac:dyDescent="0.25">
      <c r="B10542" s="55" t="s">
        <v>281</v>
      </c>
      <c r="C10542" s="46">
        <v>530</v>
      </c>
      <c r="D10542" s="69" t="s">
        <v>29418</v>
      </c>
      <c r="E10542" s="51"/>
      <c r="F10542" s="114" t="str">
        <f>IF(INDEX(I.Facility.P2bIDNumber,530)="","",INDEX(I.Facility.P2bIDNumber,530))</f>
        <v/>
      </c>
      <c r="G10542" s="51"/>
      <c r="H10542" s="46" t="str">
        <f>IF(AND(I.Developer.P2b=TRUE,I.Facility.P2bFacilityCount&gt;=530,F10542=""),"Incomplete","Complete")</f>
        <v>Complete</v>
      </c>
      <c r="I10542" s="48" t="s">
        <v>14907</v>
      </c>
    </row>
    <row r="10543" spans="2:9" ht="15" customHeight="1" x14ac:dyDescent="0.25">
      <c r="B10543" s="55" t="s">
        <v>281</v>
      </c>
      <c r="C10543" s="46">
        <v>531</v>
      </c>
      <c r="D10543" s="69" t="s">
        <v>29418</v>
      </c>
      <c r="E10543" s="51"/>
      <c r="F10543" s="114" t="str">
        <f>IF(INDEX(I.Facility.P2bIDNumber,531)="","",INDEX(I.Facility.P2bIDNumber,531))</f>
        <v/>
      </c>
      <c r="G10543" s="51"/>
      <c r="H10543" s="46" t="str">
        <f>IF(AND(I.Developer.P2b=TRUE,I.Facility.P2bFacilityCount&gt;=531,F10543=""),"Incomplete","Complete")</f>
        <v>Complete</v>
      </c>
      <c r="I10543" s="48" t="s">
        <v>14908</v>
      </c>
    </row>
    <row r="10544" spans="2:9" ht="15" customHeight="1" x14ac:dyDescent="0.25">
      <c r="B10544" s="55" t="s">
        <v>281</v>
      </c>
      <c r="C10544" s="46">
        <v>532</v>
      </c>
      <c r="D10544" s="69" t="s">
        <v>29418</v>
      </c>
      <c r="E10544" s="51"/>
      <c r="F10544" s="114" t="str">
        <f>IF(INDEX(I.Facility.P2bIDNumber,532)="","",INDEX(I.Facility.P2bIDNumber,532))</f>
        <v/>
      </c>
      <c r="G10544" s="51"/>
      <c r="H10544" s="46" t="str">
        <f>IF(AND(I.Developer.P2b=TRUE,I.Facility.P2bFacilityCount&gt;=532,F10544=""),"Incomplete","Complete")</f>
        <v>Complete</v>
      </c>
      <c r="I10544" s="48" t="s">
        <v>14909</v>
      </c>
    </row>
    <row r="10545" spans="2:9" ht="15" customHeight="1" x14ac:dyDescent="0.25">
      <c r="B10545" s="55" t="s">
        <v>281</v>
      </c>
      <c r="C10545" s="46">
        <v>533</v>
      </c>
      <c r="D10545" s="69" t="s">
        <v>29418</v>
      </c>
      <c r="E10545" s="51"/>
      <c r="F10545" s="114" t="str">
        <f>IF(INDEX(I.Facility.P2bIDNumber,533)="","",INDEX(I.Facility.P2bIDNumber,533))</f>
        <v/>
      </c>
      <c r="G10545" s="51"/>
      <c r="H10545" s="46" t="str">
        <f>IF(AND(I.Developer.P2b=TRUE,I.Facility.P2bFacilityCount&gt;=533,F10545=""),"Incomplete","Complete")</f>
        <v>Complete</v>
      </c>
      <c r="I10545" s="48" t="s">
        <v>14910</v>
      </c>
    </row>
    <row r="10546" spans="2:9" ht="15" customHeight="1" x14ac:dyDescent="0.25">
      <c r="B10546" s="55" t="s">
        <v>281</v>
      </c>
      <c r="C10546" s="46">
        <v>534</v>
      </c>
      <c r="D10546" s="69" t="s">
        <v>29418</v>
      </c>
      <c r="E10546" s="51"/>
      <c r="F10546" s="114" t="str">
        <f>IF(INDEX(I.Facility.P2bIDNumber,534)="","",INDEX(I.Facility.P2bIDNumber,534))</f>
        <v/>
      </c>
      <c r="G10546" s="51"/>
      <c r="H10546" s="46" t="str">
        <f>IF(AND(I.Developer.P2b=TRUE,I.Facility.P2bFacilityCount&gt;=534,F10546=""),"Incomplete","Complete")</f>
        <v>Complete</v>
      </c>
      <c r="I10546" s="48" t="s">
        <v>14911</v>
      </c>
    </row>
    <row r="10547" spans="2:9" ht="15" customHeight="1" x14ac:dyDescent="0.25">
      <c r="B10547" s="55" t="s">
        <v>281</v>
      </c>
      <c r="C10547" s="46">
        <v>535</v>
      </c>
      <c r="D10547" s="69" t="s">
        <v>29418</v>
      </c>
      <c r="E10547" s="51"/>
      <c r="F10547" s="114" t="str">
        <f>IF(INDEX(I.Facility.P2bIDNumber,535)="","",INDEX(I.Facility.P2bIDNumber,535))</f>
        <v/>
      </c>
      <c r="G10547" s="51"/>
      <c r="H10547" s="46" t="str">
        <f>IF(AND(I.Developer.P2b=TRUE,I.Facility.P2bFacilityCount&gt;=535,F10547=""),"Incomplete","Complete")</f>
        <v>Complete</v>
      </c>
      <c r="I10547" s="48" t="s">
        <v>14912</v>
      </c>
    </row>
    <row r="10548" spans="2:9" ht="15" customHeight="1" x14ac:dyDescent="0.25">
      <c r="B10548" s="55" t="s">
        <v>281</v>
      </c>
      <c r="C10548" s="46">
        <v>536</v>
      </c>
      <c r="D10548" s="69" t="s">
        <v>29418</v>
      </c>
      <c r="E10548" s="51"/>
      <c r="F10548" s="114" t="str">
        <f>IF(INDEX(I.Facility.P2bIDNumber,536)="","",INDEX(I.Facility.P2bIDNumber,536))</f>
        <v/>
      </c>
      <c r="G10548" s="51"/>
      <c r="H10548" s="46" t="str">
        <f>IF(AND(I.Developer.P2b=TRUE,I.Facility.P2bFacilityCount&gt;=536,F10548=""),"Incomplete","Complete")</f>
        <v>Complete</v>
      </c>
      <c r="I10548" s="48" t="s">
        <v>14913</v>
      </c>
    </row>
    <row r="10549" spans="2:9" ht="15" customHeight="1" x14ac:dyDescent="0.25">
      <c r="B10549" s="55" t="s">
        <v>281</v>
      </c>
      <c r="C10549" s="46">
        <v>537</v>
      </c>
      <c r="D10549" s="69" t="s">
        <v>29418</v>
      </c>
      <c r="E10549" s="51"/>
      <c r="F10549" s="114" t="str">
        <f>IF(INDEX(I.Facility.P2bIDNumber,537)="","",INDEX(I.Facility.P2bIDNumber,537))</f>
        <v/>
      </c>
      <c r="G10549" s="51"/>
      <c r="H10549" s="46" t="str">
        <f>IF(AND(I.Developer.P2b=TRUE,I.Facility.P2bFacilityCount&gt;=537,F10549=""),"Incomplete","Complete")</f>
        <v>Complete</v>
      </c>
      <c r="I10549" s="48" t="s">
        <v>14914</v>
      </c>
    </row>
    <row r="10550" spans="2:9" ht="15" customHeight="1" x14ac:dyDescent="0.25">
      <c r="B10550" s="55" t="s">
        <v>281</v>
      </c>
      <c r="C10550" s="46">
        <v>538</v>
      </c>
      <c r="D10550" s="69" t="s">
        <v>29418</v>
      </c>
      <c r="E10550" s="51"/>
      <c r="F10550" s="114" t="str">
        <f>IF(INDEX(I.Facility.P2bIDNumber,538)="","",INDEX(I.Facility.P2bIDNumber,538))</f>
        <v/>
      </c>
      <c r="G10550" s="51"/>
      <c r="H10550" s="46" t="str">
        <f>IF(AND(I.Developer.P2b=TRUE,I.Facility.P2bFacilityCount&gt;=538,F10550=""),"Incomplete","Complete")</f>
        <v>Complete</v>
      </c>
      <c r="I10550" s="48" t="s">
        <v>14915</v>
      </c>
    </row>
    <row r="10551" spans="2:9" ht="15" customHeight="1" x14ac:dyDescent="0.25">
      <c r="B10551" s="55" t="s">
        <v>281</v>
      </c>
      <c r="C10551" s="46">
        <v>539</v>
      </c>
      <c r="D10551" s="69" t="s">
        <v>29418</v>
      </c>
      <c r="E10551" s="51"/>
      <c r="F10551" s="114" t="str">
        <f>IF(INDEX(I.Facility.P2bIDNumber,539)="","",INDEX(I.Facility.P2bIDNumber,539))</f>
        <v/>
      </c>
      <c r="G10551" s="51"/>
      <c r="H10551" s="46" t="str">
        <f>IF(AND(I.Developer.P2b=TRUE,I.Facility.P2bFacilityCount&gt;=539,F10551=""),"Incomplete","Complete")</f>
        <v>Complete</v>
      </c>
      <c r="I10551" s="48" t="s">
        <v>14916</v>
      </c>
    </row>
    <row r="10552" spans="2:9" ht="15" customHeight="1" x14ac:dyDescent="0.25">
      <c r="B10552" s="55" t="s">
        <v>281</v>
      </c>
      <c r="C10552" s="46">
        <v>540</v>
      </c>
      <c r="D10552" s="69" t="s">
        <v>29418</v>
      </c>
      <c r="E10552" s="51"/>
      <c r="F10552" s="114" t="str">
        <f>IF(INDEX(I.Facility.P2bIDNumber,540)="","",INDEX(I.Facility.P2bIDNumber,540))</f>
        <v/>
      </c>
      <c r="G10552" s="51"/>
      <c r="H10552" s="46" t="str">
        <f>IF(AND(I.Developer.P2b=TRUE,I.Facility.P2bFacilityCount&gt;=540,F10552=""),"Incomplete","Complete")</f>
        <v>Complete</v>
      </c>
      <c r="I10552" s="48" t="s">
        <v>14917</v>
      </c>
    </row>
    <row r="10553" spans="2:9" ht="15" customHeight="1" x14ac:dyDescent="0.25">
      <c r="B10553" s="55" t="s">
        <v>281</v>
      </c>
      <c r="C10553" s="46">
        <v>541</v>
      </c>
      <c r="D10553" s="69" t="s">
        <v>29418</v>
      </c>
      <c r="E10553" s="51"/>
      <c r="F10553" s="114" t="str">
        <f>IF(INDEX(I.Facility.P2bIDNumber,541)="","",INDEX(I.Facility.P2bIDNumber,541))</f>
        <v/>
      </c>
      <c r="G10553" s="51"/>
      <c r="H10553" s="46" t="str">
        <f>IF(AND(I.Developer.P2b=TRUE,I.Facility.P2bFacilityCount&gt;=541,F10553=""),"Incomplete","Complete")</f>
        <v>Complete</v>
      </c>
      <c r="I10553" s="48" t="s">
        <v>14918</v>
      </c>
    </row>
    <row r="10554" spans="2:9" ht="15" customHeight="1" x14ac:dyDescent="0.25">
      <c r="B10554" s="55" t="s">
        <v>281</v>
      </c>
      <c r="C10554" s="46">
        <v>542</v>
      </c>
      <c r="D10554" s="69" t="s">
        <v>29418</v>
      </c>
      <c r="E10554" s="51"/>
      <c r="F10554" s="114" t="str">
        <f>IF(INDEX(I.Facility.P2bIDNumber,542)="","",INDEX(I.Facility.P2bIDNumber,542))</f>
        <v/>
      </c>
      <c r="G10554" s="51"/>
      <c r="H10554" s="46" t="str">
        <f>IF(AND(I.Developer.P2b=TRUE,I.Facility.P2bFacilityCount&gt;=542,F10554=""),"Incomplete","Complete")</f>
        <v>Complete</v>
      </c>
      <c r="I10554" s="48" t="s">
        <v>14919</v>
      </c>
    </row>
    <row r="10555" spans="2:9" ht="15" customHeight="1" x14ac:dyDescent="0.25">
      <c r="B10555" s="55" t="s">
        <v>281</v>
      </c>
      <c r="C10555" s="46">
        <v>543</v>
      </c>
      <c r="D10555" s="69" t="s">
        <v>29418</v>
      </c>
      <c r="E10555" s="51"/>
      <c r="F10555" s="114" t="str">
        <f>IF(INDEX(I.Facility.P2bIDNumber,543)="","",INDEX(I.Facility.P2bIDNumber,543))</f>
        <v/>
      </c>
      <c r="G10555" s="51"/>
      <c r="H10555" s="46" t="str">
        <f>IF(AND(I.Developer.P2b=TRUE,I.Facility.P2bFacilityCount&gt;=543,F10555=""),"Incomplete","Complete")</f>
        <v>Complete</v>
      </c>
      <c r="I10555" s="48" t="s">
        <v>14920</v>
      </c>
    </row>
    <row r="10556" spans="2:9" ht="15" customHeight="1" x14ac:dyDescent="0.25">
      <c r="B10556" s="55" t="s">
        <v>281</v>
      </c>
      <c r="C10556" s="46">
        <v>544</v>
      </c>
      <c r="D10556" s="69" t="s">
        <v>29418</v>
      </c>
      <c r="E10556" s="51"/>
      <c r="F10556" s="114" t="str">
        <f>IF(INDEX(I.Facility.P2bIDNumber,544)="","",INDEX(I.Facility.P2bIDNumber,544))</f>
        <v/>
      </c>
      <c r="G10556" s="51"/>
      <c r="H10556" s="46" t="str">
        <f>IF(AND(I.Developer.P2b=TRUE,I.Facility.P2bFacilityCount&gt;=544,F10556=""),"Incomplete","Complete")</f>
        <v>Complete</v>
      </c>
      <c r="I10556" s="48" t="s">
        <v>14921</v>
      </c>
    </row>
    <row r="10557" spans="2:9" ht="15" customHeight="1" x14ac:dyDescent="0.25">
      <c r="B10557" s="55" t="s">
        <v>281</v>
      </c>
      <c r="C10557" s="46">
        <v>545</v>
      </c>
      <c r="D10557" s="69" t="s">
        <v>29418</v>
      </c>
      <c r="E10557" s="51"/>
      <c r="F10557" s="114" t="str">
        <f>IF(INDEX(I.Facility.P2bIDNumber,545)="","",INDEX(I.Facility.P2bIDNumber,545))</f>
        <v/>
      </c>
      <c r="G10557" s="51"/>
      <c r="H10557" s="46" t="str">
        <f>IF(AND(I.Developer.P2b=TRUE,I.Facility.P2bFacilityCount&gt;=545,F10557=""),"Incomplete","Complete")</f>
        <v>Complete</v>
      </c>
      <c r="I10557" s="48" t="s">
        <v>14922</v>
      </c>
    </row>
    <row r="10558" spans="2:9" ht="15" customHeight="1" x14ac:dyDescent="0.25">
      <c r="B10558" s="55" t="s">
        <v>281</v>
      </c>
      <c r="C10558" s="46">
        <v>546</v>
      </c>
      <c r="D10558" s="69" t="s">
        <v>29418</v>
      </c>
      <c r="E10558" s="51"/>
      <c r="F10558" s="114" t="str">
        <f>IF(INDEX(I.Facility.P2bIDNumber,546)="","",INDEX(I.Facility.P2bIDNumber,546))</f>
        <v/>
      </c>
      <c r="G10558" s="51"/>
      <c r="H10558" s="46" t="str">
        <f>IF(AND(I.Developer.P2b=TRUE,I.Facility.P2bFacilityCount&gt;=546,F10558=""),"Incomplete","Complete")</f>
        <v>Complete</v>
      </c>
      <c r="I10558" s="48" t="s">
        <v>14923</v>
      </c>
    </row>
    <row r="10559" spans="2:9" ht="15" customHeight="1" x14ac:dyDescent="0.25">
      <c r="B10559" s="55" t="s">
        <v>281</v>
      </c>
      <c r="C10559" s="46">
        <v>547</v>
      </c>
      <c r="D10559" s="69" t="s">
        <v>29418</v>
      </c>
      <c r="E10559" s="51"/>
      <c r="F10559" s="114" t="str">
        <f>IF(INDEX(I.Facility.P2bIDNumber,547)="","",INDEX(I.Facility.P2bIDNumber,547))</f>
        <v/>
      </c>
      <c r="G10559" s="51"/>
      <c r="H10559" s="46" t="str">
        <f>IF(AND(I.Developer.P2b=TRUE,I.Facility.P2bFacilityCount&gt;=547,F10559=""),"Incomplete","Complete")</f>
        <v>Complete</v>
      </c>
      <c r="I10559" s="48" t="s">
        <v>14924</v>
      </c>
    </row>
    <row r="10560" spans="2:9" ht="15" customHeight="1" x14ac:dyDescent="0.25">
      <c r="B10560" s="55" t="s">
        <v>281</v>
      </c>
      <c r="C10560" s="46">
        <v>548</v>
      </c>
      <c r="D10560" s="69" t="s">
        <v>29418</v>
      </c>
      <c r="E10560" s="51"/>
      <c r="F10560" s="114" t="str">
        <f>IF(INDEX(I.Facility.P2bIDNumber,548)="","",INDEX(I.Facility.P2bIDNumber,548))</f>
        <v/>
      </c>
      <c r="G10560" s="51"/>
      <c r="H10560" s="46" t="str">
        <f>IF(AND(I.Developer.P2b=TRUE,I.Facility.P2bFacilityCount&gt;=548,F10560=""),"Incomplete","Complete")</f>
        <v>Complete</v>
      </c>
      <c r="I10560" s="48" t="s">
        <v>14925</v>
      </c>
    </row>
    <row r="10561" spans="2:9" ht="15" customHeight="1" x14ac:dyDescent="0.25">
      <c r="B10561" s="55" t="s">
        <v>281</v>
      </c>
      <c r="C10561" s="46">
        <v>549</v>
      </c>
      <c r="D10561" s="69" t="s">
        <v>29418</v>
      </c>
      <c r="E10561" s="51"/>
      <c r="F10561" s="114" t="str">
        <f>IF(INDEX(I.Facility.P2bIDNumber,549)="","",INDEX(I.Facility.P2bIDNumber,549))</f>
        <v/>
      </c>
      <c r="G10561" s="51"/>
      <c r="H10561" s="46" t="str">
        <f>IF(AND(I.Developer.P2b=TRUE,I.Facility.P2bFacilityCount&gt;=549,F10561=""),"Incomplete","Complete")</f>
        <v>Complete</v>
      </c>
      <c r="I10561" s="48" t="s">
        <v>14926</v>
      </c>
    </row>
    <row r="10562" spans="2:9" ht="15" customHeight="1" x14ac:dyDescent="0.25">
      <c r="B10562" s="55" t="s">
        <v>281</v>
      </c>
      <c r="C10562" s="46">
        <v>550</v>
      </c>
      <c r="D10562" s="69" t="s">
        <v>29418</v>
      </c>
      <c r="E10562" s="51"/>
      <c r="F10562" s="114" t="str">
        <f>IF(INDEX(I.Facility.P2bIDNumber,550)="","",INDEX(I.Facility.P2bIDNumber,550))</f>
        <v/>
      </c>
      <c r="G10562" s="51"/>
      <c r="H10562" s="46" t="str">
        <f>IF(AND(I.Developer.P2b=TRUE,I.Facility.P2bFacilityCount&gt;=550,F10562=""),"Incomplete","Complete")</f>
        <v>Complete</v>
      </c>
      <c r="I10562" s="48" t="s">
        <v>14927</v>
      </c>
    </row>
    <row r="10563" spans="2:9" ht="15" customHeight="1" x14ac:dyDescent="0.25">
      <c r="B10563" s="55" t="s">
        <v>281</v>
      </c>
      <c r="C10563" s="46">
        <v>551</v>
      </c>
      <c r="D10563" s="69" t="s">
        <v>29418</v>
      </c>
      <c r="E10563" s="51"/>
      <c r="F10563" s="114" t="str">
        <f>IF(INDEX(I.Facility.P2bIDNumber,551)="","",INDEX(I.Facility.P2bIDNumber,551))</f>
        <v/>
      </c>
      <c r="G10563" s="51"/>
      <c r="H10563" s="46" t="str">
        <f>IF(AND(I.Developer.P2b=TRUE,I.Facility.P2bFacilityCount&gt;=551,F10563=""),"Incomplete","Complete")</f>
        <v>Complete</v>
      </c>
      <c r="I10563" s="48" t="s">
        <v>14928</v>
      </c>
    </row>
    <row r="10564" spans="2:9" ht="15" customHeight="1" x14ac:dyDescent="0.25">
      <c r="B10564" s="55" t="s">
        <v>281</v>
      </c>
      <c r="C10564" s="46">
        <v>552</v>
      </c>
      <c r="D10564" s="69" t="s">
        <v>29418</v>
      </c>
      <c r="E10564" s="51"/>
      <c r="F10564" s="114" t="str">
        <f>IF(INDEX(I.Facility.P2bIDNumber,552)="","",INDEX(I.Facility.P2bIDNumber,552))</f>
        <v/>
      </c>
      <c r="G10564" s="51"/>
      <c r="H10564" s="46" t="str">
        <f>IF(AND(I.Developer.P2b=TRUE,I.Facility.P2bFacilityCount&gt;=552,F10564=""),"Incomplete","Complete")</f>
        <v>Complete</v>
      </c>
      <c r="I10564" s="48" t="s">
        <v>14929</v>
      </c>
    </row>
    <row r="10565" spans="2:9" ht="15" customHeight="1" x14ac:dyDescent="0.25">
      <c r="B10565" s="55" t="s">
        <v>281</v>
      </c>
      <c r="C10565" s="46">
        <v>553</v>
      </c>
      <c r="D10565" s="69" t="s">
        <v>29418</v>
      </c>
      <c r="E10565" s="51"/>
      <c r="F10565" s="114" t="str">
        <f>IF(INDEX(I.Facility.P2bIDNumber,553)="","",INDEX(I.Facility.P2bIDNumber,553))</f>
        <v/>
      </c>
      <c r="G10565" s="51"/>
      <c r="H10565" s="46" t="str">
        <f>IF(AND(I.Developer.P2b=TRUE,I.Facility.P2bFacilityCount&gt;=553,F10565=""),"Incomplete","Complete")</f>
        <v>Complete</v>
      </c>
      <c r="I10565" s="48" t="s">
        <v>14930</v>
      </c>
    </row>
    <row r="10566" spans="2:9" ht="15" customHeight="1" x14ac:dyDescent="0.25">
      <c r="B10566" s="55" t="s">
        <v>281</v>
      </c>
      <c r="C10566" s="46">
        <v>554</v>
      </c>
      <c r="D10566" s="69" t="s">
        <v>29418</v>
      </c>
      <c r="E10566" s="51"/>
      <c r="F10566" s="114" t="str">
        <f>IF(INDEX(I.Facility.P2bIDNumber,554)="","",INDEX(I.Facility.P2bIDNumber,554))</f>
        <v/>
      </c>
      <c r="G10566" s="51"/>
      <c r="H10566" s="46" t="str">
        <f>IF(AND(I.Developer.P2b=TRUE,I.Facility.P2bFacilityCount&gt;=554,F10566=""),"Incomplete","Complete")</f>
        <v>Complete</v>
      </c>
      <c r="I10566" s="48" t="s">
        <v>14931</v>
      </c>
    </row>
    <row r="10567" spans="2:9" ht="15" customHeight="1" x14ac:dyDescent="0.25">
      <c r="B10567" s="55" t="s">
        <v>281</v>
      </c>
      <c r="C10567" s="46">
        <v>555</v>
      </c>
      <c r="D10567" s="69" t="s">
        <v>29418</v>
      </c>
      <c r="E10567" s="51"/>
      <c r="F10567" s="114" t="str">
        <f>IF(INDEX(I.Facility.P2bIDNumber,555)="","",INDEX(I.Facility.P2bIDNumber,555))</f>
        <v/>
      </c>
      <c r="G10567" s="51"/>
      <c r="H10567" s="46" t="str">
        <f>IF(AND(I.Developer.P2b=TRUE,I.Facility.P2bFacilityCount&gt;=555,F10567=""),"Incomplete","Complete")</f>
        <v>Complete</v>
      </c>
      <c r="I10567" s="48" t="s">
        <v>14932</v>
      </c>
    </row>
    <row r="10568" spans="2:9" ht="15" customHeight="1" x14ac:dyDescent="0.25">
      <c r="B10568" s="55" t="s">
        <v>281</v>
      </c>
      <c r="C10568" s="46">
        <v>556</v>
      </c>
      <c r="D10568" s="69" t="s">
        <v>29418</v>
      </c>
      <c r="E10568" s="51"/>
      <c r="F10568" s="114" t="str">
        <f>IF(INDEX(I.Facility.P2bIDNumber,556)="","",INDEX(I.Facility.P2bIDNumber,556))</f>
        <v/>
      </c>
      <c r="G10568" s="51"/>
      <c r="H10568" s="46" t="str">
        <f>IF(AND(I.Developer.P2b=TRUE,I.Facility.P2bFacilityCount&gt;=556,F10568=""),"Incomplete","Complete")</f>
        <v>Complete</v>
      </c>
      <c r="I10568" s="48" t="s">
        <v>14933</v>
      </c>
    </row>
    <row r="10569" spans="2:9" ht="15" customHeight="1" x14ac:dyDescent="0.25">
      <c r="B10569" s="55" t="s">
        <v>281</v>
      </c>
      <c r="C10569" s="46">
        <v>557</v>
      </c>
      <c r="D10569" s="69" t="s">
        <v>29418</v>
      </c>
      <c r="E10569" s="51"/>
      <c r="F10569" s="114" t="str">
        <f>IF(INDEX(I.Facility.P2bIDNumber,557)="","",INDEX(I.Facility.P2bIDNumber,557))</f>
        <v/>
      </c>
      <c r="G10569" s="51"/>
      <c r="H10569" s="46" t="str">
        <f>IF(AND(I.Developer.P2b=TRUE,I.Facility.P2bFacilityCount&gt;=557,F10569=""),"Incomplete","Complete")</f>
        <v>Complete</v>
      </c>
      <c r="I10569" s="48" t="s">
        <v>14934</v>
      </c>
    </row>
    <row r="10570" spans="2:9" ht="15" customHeight="1" x14ac:dyDescent="0.25">
      <c r="B10570" s="55" t="s">
        <v>281</v>
      </c>
      <c r="C10570" s="46">
        <v>558</v>
      </c>
      <c r="D10570" s="69" t="s">
        <v>29418</v>
      </c>
      <c r="E10570" s="51"/>
      <c r="F10570" s="114" t="str">
        <f>IF(INDEX(I.Facility.P2bIDNumber,558)="","",INDEX(I.Facility.P2bIDNumber,558))</f>
        <v/>
      </c>
      <c r="G10570" s="51"/>
      <c r="H10570" s="46" t="str">
        <f>IF(AND(I.Developer.P2b=TRUE,I.Facility.P2bFacilityCount&gt;=558,F10570=""),"Incomplete","Complete")</f>
        <v>Complete</v>
      </c>
      <c r="I10570" s="48" t="s">
        <v>14935</v>
      </c>
    </row>
    <row r="10571" spans="2:9" ht="15" customHeight="1" x14ac:dyDescent="0.25">
      <c r="B10571" s="55" t="s">
        <v>281</v>
      </c>
      <c r="C10571" s="46">
        <v>559</v>
      </c>
      <c r="D10571" s="69" t="s">
        <v>29418</v>
      </c>
      <c r="E10571" s="51"/>
      <c r="F10571" s="114" t="str">
        <f>IF(INDEX(I.Facility.P2bIDNumber,559)="","",INDEX(I.Facility.P2bIDNumber,559))</f>
        <v/>
      </c>
      <c r="G10571" s="51"/>
      <c r="H10571" s="46" t="str">
        <f>IF(AND(I.Developer.P2b=TRUE,I.Facility.P2bFacilityCount&gt;=559,F10571=""),"Incomplete","Complete")</f>
        <v>Complete</v>
      </c>
      <c r="I10571" s="48" t="s">
        <v>14936</v>
      </c>
    </row>
    <row r="10572" spans="2:9" ht="15" customHeight="1" x14ac:dyDescent="0.25">
      <c r="B10572" s="55" t="s">
        <v>281</v>
      </c>
      <c r="C10572" s="46">
        <v>560</v>
      </c>
      <c r="D10572" s="69" t="s">
        <v>29418</v>
      </c>
      <c r="E10572" s="51"/>
      <c r="F10572" s="114" t="str">
        <f>IF(INDEX(I.Facility.P2bIDNumber,560)="","",INDEX(I.Facility.P2bIDNumber,560))</f>
        <v/>
      </c>
      <c r="G10572" s="51"/>
      <c r="H10572" s="46" t="str">
        <f>IF(AND(I.Developer.P2b=TRUE,I.Facility.P2bFacilityCount&gt;=560,F10572=""),"Incomplete","Complete")</f>
        <v>Complete</v>
      </c>
      <c r="I10572" s="48" t="s">
        <v>14937</v>
      </c>
    </row>
    <row r="10573" spans="2:9" ht="15" customHeight="1" x14ac:dyDescent="0.25">
      <c r="B10573" s="55" t="s">
        <v>281</v>
      </c>
      <c r="C10573" s="46">
        <v>561</v>
      </c>
      <c r="D10573" s="69" t="s">
        <v>29418</v>
      </c>
      <c r="E10573" s="51"/>
      <c r="F10573" s="114" t="str">
        <f>IF(INDEX(I.Facility.P2bIDNumber,561)="","",INDEX(I.Facility.P2bIDNumber,561))</f>
        <v/>
      </c>
      <c r="G10573" s="51"/>
      <c r="H10573" s="46" t="str">
        <f>IF(AND(I.Developer.P2b=TRUE,I.Facility.P2bFacilityCount&gt;=561,F10573=""),"Incomplete","Complete")</f>
        <v>Complete</v>
      </c>
      <c r="I10573" s="48" t="s">
        <v>14938</v>
      </c>
    </row>
    <row r="10574" spans="2:9" ht="15" customHeight="1" x14ac:dyDescent="0.25">
      <c r="B10574" s="55" t="s">
        <v>281</v>
      </c>
      <c r="C10574" s="46">
        <v>562</v>
      </c>
      <c r="D10574" s="69" t="s">
        <v>29418</v>
      </c>
      <c r="E10574" s="51"/>
      <c r="F10574" s="114" t="str">
        <f>IF(INDEX(I.Facility.P2bIDNumber,562)="","",INDEX(I.Facility.P2bIDNumber,562))</f>
        <v/>
      </c>
      <c r="G10574" s="51"/>
      <c r="H10574" s="46" t="str">
        <f>IF(AND(I.Developer.P2b=TRUE,I.Facility.P2bFacilityCount&gt;=562,F10574=""),"Incomplete","Complete")</f>
        <v>Complete</v>
      </c>
      <c r="I10574" s="48" t="s">
        <v>14939</v>
      </c>
    </row>
    <row r="10575" spans="2:9" ht="15" customHeight="1" x14ac:dyDescent="0.25">
      <c r="B10575" s="55" t="s">
        <v>281</v>
      </c>
      <c r="C10575" s="46">
        <v>563</v>
      </c>
      <c r="D10575" s="69" t="s">
        <v>29418</v>
      </c>
      <c r="E10575" s="51"/>
      <c r="F10575" s="114" t="str">
        <f>IF(INDEX(I.Facility.P2bIDNumber,563)="","",INDEX(I.Facility.P2bIDNumber,563))</f>
        <v/>
      </c>
      <c r="G10575" s="51"/>
      <c r="H10575" s="46" t="str">
        <f>IF(AND(I.Developer.P2b=TRUE,I.Facility.P2bFacilityCount&gt;=563,F10575=""),"Incomplete","Complete")</f>
        <v>Complete</v>
      </c>
      <c r="I10575" s="48" t="s">
        <v>14940</v>
      </c>
    </row>
    <row r="10576" spans="2:9" ht="15" customHeight="1" x14ac:dyDescent="0.25">
      <c r="B10576" s="55" t="s">
        <v>281</v>
      </c>
      <c r="C10576" s="46">
        <v>564</v>
      </c>
      <c r="D10576" s="69" t="s">
        <v>29418</v>
      </c>
      <c r="E10576" s="51"/>
      <c r="F10576" s="114" t="str">
        <f>IF(INDEX(I.Facility.P2bIDNumber,564)="","",INDEX(I.Facility.P2bIDNumber,564))</f>
        <v/>
      </c>
      <c r="G10576" s="51"/>
      <c r="H10576" s="46" t="str">
        <f>IF(AND(I.Developer.P2b=TRUE,I.Facility.P2bFacilityCount&gt;=564,F10576=""),"Incomplete","Complete")</f>
        <v>Complete</v>
      </c>
      <c r="I10576" s="48" t="s">
        <v>14941</v>
      </c>
    </row>
    <row r="10577" spans="2:9" ht="15" customHeight="1" x14ac:dyDescent="0.25">
      <c r="B10577" s="55" t="s">
        <v>281</v>
      </c>
      <c r="C10577" s="46">
        <v>565</v>
      </c>
      <c r="D10577" s="69" t="s">
        <v>29418</v>
      </c>
      <c r="E10577" s="51"/>
      <c r="F10577" s="114" t="str">
        <f>IF(INDEX(I.Facility.P2bIDNumber,565)="","",INDEX(I.Facility.P2bIDNumber,565))</f>
        <v/>
      </c>
      <c r="G10577" s="51"/>
      <c r="H10577" s="46" t="str">
        <f>IF(AND(I.Developer.P2b=TRUE,I.Facility.P2bFacilityCount&gt;=565,F10577=""),"Incomplete","Complete")</f>
        <v>Complete</v>
      </c>
      <c r="I10577" s="48" t="s">
        <v>14942</v>
      </c>
    </row>
    <row r="10578" spans="2:9" ht="15" customHeight="1" x14ac:dyDescent="0.25">
      <c r="B10578" s="55" t="s">
        <v>281</v>
      </c>
      <c r="C10578" s="46">
        <v>566</v>
      </c>
      <c r="D10578" s="69" t="s">
        <v>29418</v>
      </c>
      <c r="E10578" s="51"/>
      <c r="F10578" s="114" t="str">
        <f>IF(INDEX(I.Facility.P2bIDNumber,566)="","",INDEX(I.Facility.P2bIDNumber,566))</f>
        <v/>
      </c>
      <c r="G10578" s="51"/>
      <c r="H10578" s="46" t="str">
        <f>IF(AND(I.Developer.P2b=TRUE,I.Facility.P2bFacilityCount&gt;=566,F10578=""),"Incomplete","Complete")</f>
        <v>Complete</v>
      </c>
      <c r="I10578" s="48" t="s">
        <v>14943</v>
      </c>
    </row>
    <row r="10579" spans="2:9" ht="15" customHeight="1" x14ac:dyDescent="0.25">
      <c r="B10579" s="55" t="s">
        <v>281</v>
      </c>
      <c r="C10579" s="46">
        <v>567</v>
      </c>
      <c r="D10579" s="69" t="s">
        <v>29418</v>
      </c>
      <c r="E10579" s="51"/>
      <c r="F10579" s="114" t="str">
        <f>IF(INDEX(I.Facility.P2bIDNumber,567)="","",INDEX(I.Facility.P2bIDNumber,567))</f>
        <v/>
      </c>
      <c r="G10579" s="51"/>
      <c r="H10579" s="46" t="str">
        <f>IF(AND(I.Developer.P2b=TRUE,I.Facility.P2bFacilityCount&gt;=567,F10579=""),"Incomplete","Complete")</f>
        <v>Complete</v>
      </c>
      <c r="I10579" s="48" t="s">
        <v>14944</v>
      </c>
    </row>
    <row r="10580" spans="2:9" ht="15" customHeight="1" x14ac:dyDescent="0.25">
      <c r="B10580" s="55" t="s">
        <v>281</v>
      </c>
      <c r="C10580" s="46">
        <v>568</v>
      </c>
      <c r="D10580" s="69" t="s">
        <v>29418</v>
      </c>
      <c r="E10580" s="51"/>
      <c r="F10580" s="114" t="str">
        <f>IF(INDEX(I.Facility.P2bIDNumber,568)="","",INDEX(I.Facility.P2bIDNumber,568))</f>
        <v/>
      </c>
      <c r="G10580" s="51"/>
      <c r="H10580" s="46" t="str">
        <f>IF(AND(I.Developer.P2b=TRUE,I.Facility.P2bFacilityCount&gt;=568,F10580=""),"Incomplete","Complete")</f>
        <v>Complete</v>
      </c>
      <c r="I10580" s="48" t="s">
        <v>14945</v>
      </c>
    </row>
    <row r="10581" spans="2:9" ht="15" customHeight="1" x14ac:dyDescent="0.25">
      <c r="B10581" s="55" t="s">
        <v>281</v>
      </c>
      <c r="C10581" s="46">
        <v>569</v>
      </c>
      <c r="D10581" s="69" t="s">
        <v>29418</v>
      </c>
      <c r="E10581" s="51"/>
      <c r="F10581" s="114" t="str">
        <f>IF(INDEX(I.Facility.P2bIDNumber,569)="","",INDEX(I.Facility.P2bIDNumber,569))</f>
        <v/>
      </c>
      <c r="G10581" s="51"/>
      <c r="H10581" s="46" t="str">
        <f>IF(AND(I.Developer.P2b=TRUE,I.Facility.P2bFacilityCount&gt;=569,F10581=""),"Incomplete","Complete")</f>
        <v>Complete</v>
      </c>
      <c r="I10581" s="48" t="s">
        <v>14946</v>
      </c>
    </row>
    <row r="10582" spans="2:9" ht="15" customHeight="1" x14ac:dyDescent="0.25">
      <c r="B10582" s="55" t="s">
        <v>281</v>
      </c>
      <c r="C10582" s="46">
        <v>570</v>
      </c>
      <c r="D10582" s="69" t="s">
        <v>29418</v>
      </c>
      <c r="E10582" s="51"/>
      <c r="F10582" s="114" t="str">
        <f>IF(INDEX(I.Facility.P2bIDNumber,570)="","",INDEX(I.Facility.P2bIDNumber,570))</f>
        <v/>
      </c>
      <c r="G10582" s="51"/>
      <c r="H10582" s="46" t="str">
        <f>IF(AND(I.Developer.P2b=TRUE,I.Facility.P2bFacilityCount&gt;=570,F10582=""),"Incomplete","Complete")</f>
        <v>Complete</v>
      </c>
      <c r="I10582" s="48" t="s">
        <v>14947</v>
      </c>
    </row>
    <row r="10583" spans="2:9" ht="15" customHeight="1" x14ac:dyDescent="0.25">
      <c r="B10583" s="55" t="s">
        <v>281</v>
      </c>
      <c r="C10583" s="46">
        <v>571</v>
      </c>
      <c r="D10583" s="69" t="s">
        <v>29418</v>
      </c>
      <c r="E10583" s="51"/>
      <c r="F10583" s="114" t="str">
        <f>IF(INDEX(I.Facility.P2bIDNumber,571)="","",INDEX(I.Facility.P2bIDNumber,571))</f>
        <v/>
      </c>
      <c r="G10583" s="51"/>
      <c r="H10583" s="46" t="str">
        <f>IF(AND(I.Developer.P2b=TRUE,I.Facility.P2bFacilityCount&gt;=571,F10583=""),"Incomplete","Complete")</f>
        <v>Complete</v>
      </c>
      <c r="I10583" s="48" t="s">
        <v>14948</v>
      </c>
    </row>
    <row r="10584" spans="2:9" ht="15" customHeight="1" x14ac:dyDescent="0.25">
      <c r="B10584" s="55" t="s">
        <v>281</v>
      </c>
      <c r="C10584" s="46">
        <v>572</v>
      </c>
      <c r="D10584" s="69" t="s">
        <v>29418</v>
      </c>
      <c r="E10584" s="51"/>
      <c r="F10584" s="114" t="str">
        <f>IF(INDEX(I.Facility.P2bIDNumber,572)="","",INDEX(I.Facility.P2bIDNumber,572))</f>
        <v/>
      </c>
      <c r="G10584" s="51"/>
      <c r="H10584" s="46" t="str">
        <f>IF(AND(I.Developer.P2b=TRUE,I.Facility.P2bFacilityCount&gt;=572,F10584=""),"Incomplete","Complete")</f>
        <v>Complete</v>
      </c>
      <c r="I10584" s="48" t="s">
        <v>14949</v>
      </c>
    </row>
    <row r="10585" spans="2:9" ht="15" customHeight="1" x14ac:dyDescent="0.25">
      <c r="B10585" s="55" t="s">
        <v>281</v>
      </c>
      <c r="C10585" s="46">
        <v>573</v>
      </c>
      <c r="D10585" s="69" t="s">
        <v>29418</v>
      </c>
      <c r="E10585" s="51"/>
      <c r="F10585" s="114" t="str">
        <f>IF(INDEX(I.Facility.P2bIDNumber,573)="","",INDEX(I.Facility.P2bIDNumber,573))</f>
        <v/>
      </c>
      <c r="G10585" s="51"/>
      <c r="H10585" s="46" t="str">
        <f>IF(AND(I.Developer.P2b=TRUE,I.Facility.P2bFacilityCount&gt;=573,F10585=""),"Incomplete","Complete")</f>
        <v>Complete</v>
      </c>
      <c r="I10585" s="48" t="s">
        <v>14950</v>
      </c>
    </row>
    <row r="10586" spans="2:9" ht="15" customHeight="1" x14ac:dyDescent="0.25">
      <c r="B10586" s="55" t="s">
        <v>281</v>
      </c>
      <c r="C10586" s="46">
        <v>574</v>
      </c>
      <c r="D10586" s="69" t="s">
        <v>29418</v>
      </c>
      <c r="E10586" s="51"/>
      <c r="F10586" s="114" t="str">
        <f>IF(INDEX(I.Facility.P2bIDNumber,574)="","",INDEX(I.Facility.P2bIDNumber,574))</f>
        <v/>
      </c>
      <c r="G10586" s="51"/>
      <c r="H10586" s="46" t="str">
        <f>IF(AND(I.Developer.P2b=TRUE,I.Facility.P2bFacilityCount&gt;=574,F10586=""),"Incomplete","Complete")</f>
        <v>Complete</v>
      </c>
      <c r="I10586" s="48" t="s">
        <v>14951</v>
      </c>
    </row>
    <row r="10587" spans="2:9" ht="15" customHeight="1" x14ac:dyDescent="0.25">
      <c r="B10587" s="55" t="s">
        <v>281</v>
      </c>
      <c r="C10587" s="46">
        <v>575</v>
      </c>
      <c r="D10587" s="69" t="s">
        <v>29418</v>
      </c>
      <c r="E10587" s="51"/>
      <c r="F10587" s="114" t="str">
        <f>IF(INDEX(I.Facility.P2bIDNumber,575)="","",INDEX(I.Facility.P2bIDNumber,575))</f>
        <v/>
      </c>
      <c r="G10587" s="51"/>
      <c r="H10587" s="46" t="str">
        <f>IF(AND(I.Developer.P2b=TRUE,I.Facility.P2bFacilityCount&gt;=575,F10587=""),"Incomplete","Complete")</f>
        <v>Complete</v>
      </c>
      <c r="I10587" s="48" t="s">
        <v>14952</v>
      </c>
    </row>
    <row r="10588" spans="2:9" ht="15" customHeight="1" x14ac:dyDescent="0.25">
      <c r="B10588" s="55" t="s">
        <v>281</v>
      </c>
      <c r="C10588" s="46">
        <v>576</v>
      </c>
      <c r="D10588" s="69" t="s">
        <v>29418</v>
      </c>
      <c r="E10588" s="51"/>
      <c r="F10588" s="114" t="str">
        <f>IF(INDEX(I.Facility.P2bIDNumber,576)="","",INDEX(I.Facility.P2bIDNumber,576))</f>
        <v/>
      </c>
      <c r="G10588" s="51"/>
      <c r="H10588" s="46" t="str">
        <f>IF(AND(I.Developer.P2b=TRUE,I.Facility.P2bFacilityCount&gt;=576,F10588=""),"Incomplete","Complete")</f>
        <v>Complete</v>
      </c>
      <c r="I10588" s="48" t="s">
        <v>14953</v>
      </c>
    </row>
    <row r="10589" spans="2:9" ht="15" customHeight="1" x14ac:dyDescent="0.25">
      <c r="B10589" s="55" t="s">
        <v>281</v>
      </c>
      <c r="C10589" s="46">
        <v>577</v>
      </c>
      <c r="D10589" s="69" t="s">
        <v>29418</v>
      </c>
      <c r="E10589" s="51"/>
      <c r="F10589" s="114" t="str">
        <f>IF(INDEX(I.Facility.P2bIDNumber,577)="","",INDEX(I.Facility.P2bIDNumber,577))</f>
        <v/>
      </c>
      <c r="G10589" s="51"/>
      <c r="H10589" s="46" t="str">
        <f>IF(AND(I.Developer.P2b=TRUE,I.Facility.P2bFacilityCount&gt;=577,F10589=""),"Incomplete","Complete")</f>
        <v>Complete</v>
      </c>
      <c r="I10589" s="48" t="s">
        <v>14954</v>
      </c>
    </row>
    <row r="10590" spans="2:9" ht="15" customHeight="1" x14ac:dyDescent="0.25">
      <c r="B10590" s="55" t="s">
        <v>281</v>
      </c>
      <c r="C10590" s="46">
        <v>578</v>
      </c>
      <c r="D10590" s="69" t="s">
        <v>29418</v>
      </c>
      <c r="E10590" s="51"/>
      <c r="F10590" s="114" t="str">
        <f>IF(INDEX(I.Facility.P2bIDNumber,578)="","",INDEX(I.Facility.P2bIDNumber,578))</f>
        <v/>
      </c>
      <c r="G10590" s="51"/>
      <c r="H10590" s="46" t="str">
        <f>IF(AND(I.Developer.P2b=TRUE,I.Facility.P2bFacilityCount&gt;=578,F10590=""),"Incomplete","Complete")</f>
        <v>Complete</v>
      </c>
      <c r="I10590" s="48" t="s">
        <v>14955</v>
      </c>
    </row>
    <row r="10591" spans="2:9" ht="15" customHeight="1" x14ac:dyDescent="0.25">
      <c r="B10591" s="55" t="s">
        <v>281</v>
      </c>
      <c r="C10591" s="46">
        <v>579</v>
      </c>
      <c r="D10591" s="69" t="s">
        <v>29418</v>
      </c>
      <c r="E10591" s="51"/>
      <c r="F10591" s="114" t="str">
        <f>IF(INDEX(I.Facility.P2bIDNumber,579)="","",INDEX(I.Facility.P2bIDNumber,579))</f>
        <v/>
      </c>
      <c r="G10591" s="51"/>
      <c r="H10591" s="46" t="str">
        <f>IF(AND(I.Developer.P2b=TRUE,I.Facility.P2bFacilityCount&gt;=579,F10591=""),"Incomplete","Complete")</f>
        <v>Complete</v>
      </c>
      <c r="I10591" s="48" t="s">
        <v>14956</v>
      </c>
    </row>
    <row r="10592" spans="2:9" ht="15" customHeight="1" x14ac:dyDescent="0.25">
      <c r="B10592" s="55" t="s">
        <v>281</v>
      </c>
      <c r="C10592" s="46">
        <v>580</v>
      </c>
      <c r="D10592" s="69" t="s">
        <v>29418</v>
      </c>
      <c r="E10592" s="51"/>
      <c r="F10592" s="114" t="str">
        <f>IF(INDEX(I.Facility.P2bIDNumber,580)="","",INDEX(I.Facility.P2bIDNumber,580))</f>
        <v/>
      </c>
      <c r="G10592" s="51"/>
      <c r="H10592" s="46" t="str">
        <f>IF(AND(I.Developer.P2b=TRUE,I.Facility.P2bFacilityCount&gt;=580,F10592=""),"Incomplete","Complete")</f>
        <v>Complete</v>
      </c>
      <c r="I10592" s="48" t="s">
        <v>14957</v>
      </c>
    </row>
    <row r="10593" spans="2:9" ht="15" customHeight="1" x14ac:dyDescent="0.25">
      <c r="B10593" s="55" t="s">
        <v>281</v>
      </c>
      <c r="C10593" s="46">
        <v>581</v>
      </c>
      <c r="D10593" s="69" t="s">
        <v>29418</v>
      </c>
      <c r="E10593" s="51"/>
      <c r="F10593" s="114" t="str">
        <f>IF(INDEX(I.Facility.P2bIDNumber,581)="","",INDEX(I.Facility.P2bIDNumber,581))</f>
        <v/>
      </c>
      <c r="G10593" s="51"/>
      <c r="H10593" s="46" t="str">
        <f>IF(AND(I.Developer.P2b=TRUE,I.Facility.P2bFacilityCount&gt;=581,F10593=""),"Incomplete","Complete")</f>
        <v>Complete</v>
      </c>
      <c r="I10593" s="48" t="s">
        <v>14958</v>
      </c>
    </row>
    <row r="10594" spans="2:9" ht="15" customHeight="1" x14ac:dyDescent="0.25">
      <c r="B10594" s="55" t="s">
        <v>281</v>
      </c>
      <c r="C10594" s="46">
        <v>582</v>
      </c>
      <c r="D10594" s="69" t="s">
        <v>29418</v>
      </c>
      <c r="E10594" s="51"/>
      <c r="F10594" s="114" t="str">
        <f>IF(INDEX(I.Facility.P2bIDNumber,582)="","",INDEX(I.Facility.P2bIDNumber,582))</f>
        <v/>
      </c>
      <c r="G10594" s="51"/>
      <c r="H10594" s="46" t="str">
        <f>IF(AND(I.Developer.P2b=TRUE,I.Facility.P2bFacilityCount&gt;=582,F10594=""),"Incomplete","Complete")</f>
        <v>Complete</v>
      </c>
      <c r="I10594" s="48" t="s">
        <v>14959</v>
      </c>
    </row>
    <row r="10595" spans="2:9" ht="15" customHeight="1" x14ac:dyDescent="0.25">
      <c r="B10595" s="55" t="s">
        <v>281</v>
      </c>
      <c r="C10595" s="46">
        <v>583</v>
      </c>
      <c r="D10595" s="69" t="s">
        <v>29418</v>
      </c>
      <c r="E10595" s="51"/>
      <c r="F10595" s="114" t="str">
        <f>IF(INDEX(I.Facility.P2bIDNumber,583)="","",INDEX(I.Facility.P2bIDNumber,583))</f>
        <v/>
      </c>
      <c r="G10595" s="51"/>
      <c r="H10595" s="46" t="str">
        <f>IF(AND(I.Developer.P2b=TRUE,I.Facility.P2bFacilityCount&gt;=583,F10595=""),"Incomplete","Complete")</f>
        <v>Complete</v>
      </c>
      <c r="I10595" s="48" t="s">
        <v>14960</v>
      </c>
    </row>
    <row r="10596" spans="2:9" ht="15" customHeight="1" x14ac:dyDescent="0.25">
      <c r="B10596" s="55" t="s">
        <v>281</v>
      </c>
      <c r="C10596" s="46">
        <v>584</v>
      </c>
      <c r="D10596" s="69" t="s">
        <v>29418</v>
      </c>
      <c r="E10596" s="51"/>
      <c r="F10596" s="114" t="str">
        <f>IF(INDEX(I.Facility.P2bIDNumber,584)="","",INDEX(I.Facility.P2bIDNumber,584))</f>
        <v/>
      </c>
      <c r="G10596" s="51"/>
      <c r="H10596" s="46" t="str">
        <f>IF(AND(I.Developer.P2b=TRUE,I.Facility.P2bFacilityCount&gt;=584,F10596=""),"Incomplete","Complete")</f>
        <v>Complete</v>
      </c>
      <c r="I10596" s="48" t="s">
        <v>14961</v>
      </c>
    </row>
    <row r="10597" spans="2:9" ht="15" customHeight="1" x14ac:dyDescent="0.25">
      <c r="B10597" s="55" t="s">
        <v>281</v>
      </c>
      <c r="C10597" s="46">
        <v>585</v>
      </c>
      <c r="D10597" s="69" t="s">
        <v>29418</v>
      </c>
      <c r="E10597" s="51"/>
      <c r="F10597" s="114" t="str">
        <f>IF(INDEX(I.Facility.P2bIDNumber,585)="","",INDEX(I.Facility.P2bIDNumber,585))</f>
        <v/>
      </c>
      <c r="G10597" s="51"/>
      <c r="H10597" s="46" t="str">
        <f>IF(AND(I.Developer.P2b=TRUE,I.Facility.P2bFacilityCount&gt;=585,F10597=""),"Incomplete","Complete")</f>
        <v>Complete</v>
      </c>
      <c r="I10597" s="48" t="s">
        <v>14962</v>
      </c>
    </row>
    <row r="10598" spans="2:9" ht="15" customHeight="1" x14ac:dyDescent="0.25">
      <c r="B10598" s="55" t="s">
        <v>281</v>
      </c>
      <c r="C10598" s="46">
        <v>586</v>
      </c>
      <c r="D10598" s="69" t="s">
        <v>29418</v>
      </c>
      <c r="E10598" s="51"/>
      <c r="F10598" s="114" t="str">
        <f>IF(INDEX(I.Facility.P2bIDNumber,586)="","",INDEX(I.Facility.P2bIDNumber,586))</f>
        <v/>
      </c>
      <c r="G10598" s="51"/>
      <c r="H10598" s="46" t="str">
        <f>IF(AND(I.Developer.P2b=TRUE,I.Facility.P2bFacilityCount&gt;=586,F10598=""),"Incomplete","Complete")</f>
        <v>Complete</v>
      </c>
      <c r="I10598" s="48" t="s">
        <v>14963</v>
      </c>
    </row>
    <row r="10599" spans="2:9" ht="15" customHeight="1" x14ac:dyDescent="0.25">
      <c r="B10599" s="55" t="s">
        <v>281</v>
      </c>
      <c r="C10599" s="46">
        <v>587</v>
      </c>
      <c r="D10599" s="69" t="s">
        <v>29418</v>
      </c>
      <c r="E10599" s="51"/>
      <c r="F10599" s="114" t="str">
        <f>IF(INDEX(I.Facility.P2bIDNumber,587)="","",INDEX(I.Facility.P2bIDNumber,587))</f>
        <v/>
      </c>
      <c r="G10599" s="51"/>
      <c r="H10599" s="46" t="str">
        <f>IF(AND(I.Developer.P2b=TRUE,I.Facility.P2bFacilityCount&gt;=587,F10599=""),"Incomplete","Complete")</f>
        <v>Complete</v>
      </c>
      <c r="I10599" s="48" t="s">
        <v>14964</v>
      </c>
    </row>
    <row r="10600" spans="2:9" ht="15" customHeight="1" x14ac:dyDescent="0.25">
      <c r="B10600" s="55" t="s">
        <v>281</v>
      </c>
      <c r="C10600" s="46">
        <v>588</v>
      </c>
      <c r="D10600" s="69" t="s">
        <v>29418</v>
      </c>
      <c r="E10600" s="51"/>
      <c r="F10600" s="114" t="str">
        <f>IF(INDEX(I.Facility.P2bIDNumber,588)="","",INDEX(I.Facility.P2bIDNumber,588))</f>
        <v/>
      </c>
      <c r="G10600" s="51"/>
      <c r="H10600" s="46" t="str">
        <f>IF(AND(I.Developer.P2b=TRUE,I.Facility.P2bFacilityCount&gt;=588,F10600=""),"Incomplete","Complete")</f>
        <v>Complete</v>
      </c>
      <c r="I10600" s="48" t="s">
        <v>14965</v>
      </c>
    </row>
    <row r="10601" spans="2:9" ht="15" customHeight="1" x14ac:dyDescent="0.25">
      <c r="B10601" s="55" t="s">
        <v>281</v>
      </c>
      <c r="C10601" s="46">
        <v>589</v>
      </c>
      <c r="D10601" s="69" t="s">
        <v>29418</v>
      </c>
      <c r="E10601" s="51"/>
      <c r="F10601" s="114" t="str">
        <f>IF(INDEX(I.Facility.P2bIDNumber,589)="","",INDEX(I.Facility.P2bIDNumber,589))</f>
        <v/>
      </c>
      <c r="G10601" s="51"/>
      <c r="H10601" s="46" t="str">
        <f>IF(AND(I.Developer.P2b=TRUE,I.Facility.P2bFacilityCount&gt;=589,F10601=""),"Incomplete","Complete")</f>
        <v>Complete</v>
      </c>
      <c r="I10601" s="48" t="s">
        <v>14966</v>
      </c>
    </row>
    <row r="10602" spans="2:9" ht="15" customHeight="1" x14ac:dyDescent="0.25">
      <c r="B10602" s="55" t="s">
        <v>281</v>
      </c>
      <c r="C10602" s="46">
        <v>590</v>
      </c>
      <c r="D10602" s="69" t="s">
        <v>29418</v>
      </c>
      <c r="E10602" s="51"/>
      <c r="F10602" s="114" t="str">
        <f>IF(INDEX(I.Facility.P2bIDNumber,590)="","",INDEX(I.Facility.P2bIDNumber,590))</f>
        <v/>
      </c>
      <c r="G10602" s="51"/>
      <c r="H10602" s="46" t="str">
        <f>IF(AND(I.Developer.P2b=TRUE,I.Facility.P2bFacilityCount&gt;=590,F10602=""),"Incomplete","Complete")</f>
        <v>Complete</v>
      </c>
      <c r="I10602" s="48" t="s">
        <v>14967</v>
      </c>
    </row>
    <row r="10603" spans="2:9" ht="15" customHeight="1" x14ac:dyDescent="0.25">
      <c r="B10603" s="55" t="s">
        <v>281</v>
      </c>
      <c r="C10603" s="46">
        <v>591</v>
      </c>
      <c r="D10603" s="69" t="s">
        <v>29418</v>
      </c>
      <c r="E10603" s="51"/>
      <c r="F10603" s="114" t="str">
        <f>IF(INDEX(I.Facility.P2bIDNumber,591)="","",INDEX(I.Facility.P2bIDNumber,591))</f>
        <v/>
      </c>
      <c r="G10603" s="51"/>
      <c r="H10603" s="46" t="str">
        <f>IF(AND(I.Developer.P2b=TRUE,I.Facility.P2bFacilityCount&gt;=591,F10603=""),"Incomplete","Complete")</f>
        <v>Complete</v>
      </c>
      <c r="I10603" s="48" t="s">
        <v>14968</v>
      </c>
    </row>
    <row r="10604" spans="2:9" ht="15" customHeight="1" x14ac:dyDescent="0.25">
      <c r="B10604" s="55" t="s">
        <v>281</v>
      </c>
      <c r="C10604" s="46">
        <v>592</v>
      </c>
      <c r="D10604" s="69" t="s">
        <v>29418</v>
      </c>
      <c r="E10604" s="51"/>
      <c r="F10604" s="114" t="str">
        <f>IF(INDEX(I.Facility.P2bIDNumber,592)="","",INDEX(I.Facility.P2bIDNumber,592))</f>
        <v/>
      </c>
      <c r="G10604" s="51"/>
      <c r="H10604" s="46" t="str">
        <f>IF(AND(I.Developer.P2b=TRUE,I.Facility.P2bFacilityCount&gt;=592,F10604=""),"Incomplete","Complete")</f>
        <v>Complete</v>
      </c>
      <c r="I10604" s="48" t="s">
        <v>14969</v>
      </c>
    </row>
    <row r="10605" spans="2:9" ht="15" customHeight="1" x14ac:dyDescent="0.25">
      <c r="B10605" s="55" t="s">
        <v>281</v>
      </c>
      <c r="C10605" s="46">
        <v>593</v>
      </c>
      <c r="D10605" s="69" t="s">
        <v>29418</v>
      </c>
      <c r="E10605" s="51"/>
      <c r="F10605" s="114" t="str">
        <f>IF(INDEX(I.Facility.P2bIDNumber,593)="","",INDEX(I.Facility.P2bIDNumber,593))</f>
        <v/>
      </c>
      <c r="G10605" s="51"/>
      <c r="H10605" s="46" t="str">
        <f>IF(AND(I.Developer.P2b=TRUE,I.Facility.P2bFacilityCount&gt;=593,F10605=""),"Incomplete","Complete")</f>
        <v>Complete</v>
      </c>
      <c r="I10605" s="48" t="s">
        <v>14970</v>
      </c>
    </row>
    <row r="10606" spans="2:9" ht="15" customHeight="1" x14ac:dyDescent="0.25">
      <c r="B10606" s="55" t="s">
        <v>281</v>
      </c>
      <c r="C10606" s="46">
        <v>594</v>
      </c>
      <c r="D10606" s="69" t="s">
        <v>29418</v>
      </c>
      <c r="E10606" s="51"/>
      <c r="F10606" s="114" t="str">
        <f>IF(INDEX(I.Facility.P2bIDNumber,594)="","",INDEX(I.Facility.P2bIDNumber,594))</f>
        <v/>
      </c>
      <c r="G10606" s="51"/>
      <c r="H10606" s="46" t="str">
        <f>IF(AND(I.Developer.P2b=TRUE,I.Facility.P2bFacilityCount&gt;=594,F10606=""),"Incomplete","Complete")</f>
        <v>Complete</v>
      </c>
      <c r="I10606" s="48" t="s">
        <v>14971</v>
      </c>
    </row>
    <row r="10607" spans="2:9" ht="15" customHeight="1" x14ac:dyDescent="0.25">
      <c r="B10607" s="55" t="s">
        <v>281</v>
      </c>
      <c r="C10607" s="46">
        <v>595</v>
      </c>
      <c r="D10607" s="69" t="s">
        <v>29418</v>
      </c>
      <c r="E10607" s="51"/>
      <c r="F10607" s="114" t="str">
        <f>IF(INDEX(I.Facility.P2bIDNumber,595)="","",INDEX(I.Facility.P2bIDNumber,595))</f>
        <v/>
      </c>
      <c r="G10607" s="51"/>
      <c r="H10607" s="46" t="str">
        <f>IF(AND(I.Developer.P2b=TRUE,I.Facility.P2bFacilityCount&gt;=595,F10607=""),"Incomplete","Complete")</f>
        <v>Complete</v>
      </c>
      <c r="I10607" s="48" t="s">
        <v>14972</v>
      </c>
    </row>
    <row r="10608" spans="2:9" ht="15" customHeight="1" x14ac:dyDescent="0.25">
      <c r="B10608" s="55" t="s">
        <v>281</v>
      </c>
      <c r="C10608" s="46">
        <v>596</v>
      </c>
      <c r="D10608" s="69" t="s">
        <v>29418</v>
      </c>
      <c r="E10608" s="51"/>
      <c r="F10608" s="114" t="str">
        <f>IF(INDEX(I.Facility.P2bIDNumber,596)="","",INDEX(I.Facility.P2bIDNumber,596))</f>
        <v/>
      </c>
      <c r="G10608" s="51"/>
      <c r="H10608" s="46" t="str">
        <f>IF(AND(I.Developer.P2b=TRUE,I.Facility.P2bFacilityCount&gt;=596,F10608=""),"Incomplete","Complete")</f>
        <v>Complete</v>
      </c>
      <c r="I10608" s="48" t="s">
        <v>14973</v>
      </c>
    </row>
    <row r="10609" spans="2:9" ht="15" customHeight="1" x14ac:dyDescent="0.25">
      <c r="B10609" s="55" t="s">
        <v>281</v>
      </c>
      <c r="C10609" s="46">
        <v>597</v>
      </c>
      <c r="D10609" s="69" t="s">
        <v>29418</v>
      </c>
      <c r="E10609" s="51"/>
      <c r="F10609" s="114" t="str">
        <f>IF(INDEX(I.Facility.P2bIDNumber,597)="","",INDEX(I.Facility.P2bIDNumber,597))</f>
        <v/>
      </c>
      <c r="G10609" s="51"/>
      <c r="H10609" s="46" t="str">
        <f>IF(AND(I.Developer.P2b=TRUE,I.Facility.P2bFacilityCount&gt;=597,F10609=""),"Incomplete","Complete")</f>
        <v>Complete</v>
      </c>
      <c r="I10609" s="48" t="s">
        <v>14974</v>
      </c>
    </row>
    <row r="10610" spans="2:9" ht="15" customHeight="1" x14ac:dyDescent="0.25">
      <c r="B10610" s="55" t="s">
        <v>281</v>
      </c>
      <c r="C10610" s="46">
        <v>598</v>
      </c>
      <c r="D10610" s="69" t="s">
        <v>29418</v>
      </c>
      <c r="E10610" s="51"/>
      <c r="F10610" s="114" t="str">
        <f>IF(INDEX(I.Facility.P2bIDNumber,598)="","",INDEX(I.Facility.P2bIDNumber,598))</f>
        <v/>
      </c>
      <c r="G10610" s="51"/>
      <c r="H10610" s="46" t="str">
        <f>IF(AND(I.Developer.P2b=TRUE,I.Facility.P2bFacilityCount&gt;=598,F10610=""),"Incomplete","Complete")</f>
        <v>Complete</v>
      </c>
      <c r="I10610" s="48" t="s">
        <v>14975</v>
      </c>
    </row>
    <row r="10611" spans="2:9" ht="15" customHeight="1" x14ac:dyDescent="0.25">
      <c r="B10611" s="55" t="s">
        <v>281</v>
      </c>
      <c r="C10611" s="46">
        <v>599</v>
      </c>
      <c r="D10611" s="69" t="s">
        <v>29418</v>
      </c>
      <c r="E10611" s="51"/>
      <c r="F10611" s="114" t="str">
        <f>IF(INDEX(I.Facility.P2bIDNumber,599)="","",INDEX(I.Facility.P2bIDNumber,599))</f>
        <v/>
      </c>
      <c r="G10611" s="51"/>
      <c r="H10611" s="46" t="str">
        <f>IF(AND(I.Developer.P2b=TRUE,I.Facility.P2bFacilityCount&gt;=599,F10611=""),"Incomplete","Complete")</f>
        <v>Complete</v>
      </c>
      <c r="I10611" s="48" t="s">
        <v>14976</v>
      </c>
    </row>
    <row r="10612" spans="2:9" ht="15" customHeight="1" x14ac:dyDescent="0.25">
      <c r="B10612" s="55" t="s">
        <v>281</v>
      </c>
      <c r="C10612" s="46">
        <v>600</v>
      </c>
      <c r="D10612" s="69" t="s">
        <v>29418</v>
      </c>
      <c r="E10612" s="51"/>
      <c r="F10612" s="114" t="str">
        <f>IF(INDEX(I.Facility.P2bIDNumber,600)="","",INDEX(I.Facility.P2bIDNumber,600))</f>
        <v/>
      </c>
      <c r="G10612" s="51"/>
      <c r="H10612" s="46" t="str">
        <f>IF(AND(I.Developer.P2b=TRUE,I.Facility.P2bFacilityCount&gt;=600,F10612=""),"Incomplete","Complete")</f>
        <v>Complete</v>
      </c>
      <c r="I10612" s="48" t="s">
        <v>14977</v>
      </c>
    </row>
    <row r="10613" spans="2:9" ht="15" customHeight="1" x14ac:dyDescent="0.25">
      <c r="B10613" s="55" t="s">
        <v>281</v>
      </c>
      <c r="C10613" s="46">
        <v>601</v>
      </c>
      <c r="D10613" s="69" t="s">
        <v>29418</v>
      </c>
      <c r="E10613" s="51"/>
      <c r="F10613" s="114" t="str">
        <f>IF(INDEX(I.Facility.P2bIDNumber,601)="","",INDEX(I.Facility.P2bIDNumber,601))</f>
        <v/>
      </c>
      <c r="G10613" s="51"/>
      <c r="H10613" s="46" t="str">
        <f>IF(AND(I.Developer.P2b=TRUE,I.Facility.P2bFacilityCount&gt;=601,F10613=""),"Incomplete","Complete")</f>
        <v>Complete</v>
      </c>
      <c r="I10613" s="48" t="s">
        <v>14978</v>
      </c>
    </row>
    <row r="10614" spans="2:9" ht="15" customHeight="1" x14ac:dyDescent="0.25">
      <c r="B10614" s="55" t="s">
        <v>281</v>
      </c>
      <c r="C10614" s="46">
        <v>602</v>
      </c>
      <c r="D10614" s="69" t="s">
        <v>29418</v>
      </c>
      <c r="E10614" s="51"/>
      <c r="F10614" s="114" t="str">
        <f>IF(INDEX(I.Facility.P2bIDNumber,602)="","",INDEX(I.Facility.P2bIDNumber,602))</f>
        <v/>
      </c>
      <c r="G10614" s="51"/>
      <c r="H10614" s="46" t="str">
        <f>IF(AND(I.Developer.P2b=TRUE,I.Facility.P2bFacilityCount&gt;=602,F10614=""),"Incomplete","Complete")</f>
        <v>Complete</v>
      </c>
      <c r="I10614" s="48" t="s">
        <v>14979</v>
      </c>
    </row>
    <row r="10615" spans="2:9" ht="15" customHeight="1" x14ac:dyDescent="0.25">
      <c r="B10615" s="55" t="s">
        <v>281</v>
      </c>
      <c r="C10615" s="46">
        <v>603</v>
      </c>
      <c r="D10615" s="69" t="s">
        <v>29418</v>
      </c>
      <c r="E10615" s="51"/>
      <c r="F10615" s="114" t="str">
        <f>IF(INDEX(I.Facility.P2bIDNumber,603)="","",INDEX(I.Facility.P2bIDNumber,603))</f>
        <v/>
      </c>
      <c r="G10615" s="51"/>
      <c r="H10615" s="46" t="str">
        <f>IF(AND(I.Developer.P2b=TRUE,I.Facility.P2bFacilityCount&gt;=603,F10615=""),"Incomplete","Complete")</f>
        <v>Complete</v>
      </c>
      <c r="I10615" s="48" t="s">
        <v>14980</v>
      </c>
    </row>
    <row r="10616" spans="2:9" ht="15" customHeight="1" x14ac:dyDescent="0.25">
      <c r="B10616" s="55" t="s">
        <v>281</v>
      </c>
      <c r="C10616" s="46">
        <v>604</v>
      </c>
      <c r="D10616" s="69" t="s">
        <v>29418</v>
      </c>
      <c r="E10616" s="51"/>
      <c r="F10616" s="114" t="str">
        <f>IF(INDEX(I.Facility.P2bIDNumber,604)="","",INDEX(I.Facility.P2bIDNumber,604))</f>
        <v/>
      </c>
      <c r="G10616" s="51"/>
      <c r="H10616" s="46" t="str">
        <f>IF(AND(I.Developer.P2b=TRUE,I.Facility.P2bFacilityCount&gt;=604,F10616=""),"Incomplete","Complete")</f>
        <v>Complete</v>
      </c>
      <c r="I10616" s="48" t="s">
        <v>14981</v>
      </c>
    </row>
    <row r="10617" spans="2:9" ht="15" customHeight="1" x14ac:dyDescent="0.25">
      <c r="B10617" s="55" t="s">
        <v>281</v>
      </c>
      <c r="C10617" s="46">
        <v>605</v>
      </c>
      <c r="D10617" s="69" t="s">
        <v>29418</v>
      </c>
      <c r="E10617" s="51"/>
      <c r="F10617" s="114" t="str">
        <f>IF(INDEX(I.Facility.P2bIDNumber,605)="","",INDEX(I.Facility.P2bIDNumber,605))</f>
        <v/>
      </c>
      <c r="G10617" s="51"/>
      <c r="H10617" s="46" t="str">
        <f>IF(AND(I.Developer.P2b=TRUE,I.Facility.P2bFacilityCount&gt;=605,F10617=""),"Incomplete","Complete")</f>
        <v>Complete</v>
      </c>
      <c r="I10617" s="48" t="s">
        <v>14982</v>
      </c>
    </row>
    <row r="10618" spans="2:9" ht="15" customHeight="1" x14ac:dyDescent="0.25">
      <c r="B10618" s="55" t="s">
        <v>281</v>
      </c>
      <c r="C10618" s="46">
        <v>606</v>
      </c>
      <c r="D10618" s="69" t="s">
        <v>29418</v>
      </c>
      <c r="E10618" s="51"/>
      <c r="F10618" s="114" t="str">
        <f>IF(INDEX(I.Facility.P2bIDNumber,606)="","",INDEX(I.Facility.P2bIDNumber,606))</f>
        <v/>
      </c>
      <c r="G10618" s="51"/>
      <c r="H10618" s="46" t="str">
        <f>IF(AND(I.Developer.P2b=TRUE,I.Facility.P2bFacilityCount&gt;=606,F10618=""),"Incomplete","Complete")</f>
        <v>Complete</v>
      </c>
      <c r="I10618" s="48" t="s">
        <v>14983</v>
      </c>
    </row>
    <row r="10619" spans="2:9" ht="15" customHeight="1" x14ac:dyDescent="0.25">
      <c r="B10619" s="55" t="s">
        <v>281</v>
      </c>
      <c r="C10619" s="46">
        <v>607</v>
      </c>
      <c r="D10619" s="69" t="s">
        <v>29418</v>
      </c>
      <c r="E10619" s="51"/>
      <c r="F10619" s="114" t="str">
        <f>IF(INDEX(I.Facility.P2bIDNumber,607)="","",INDEX(I.Facility.P2bIDNumber,607))</f>
        <v/>
      </c>
      <c r="G10619" s="51"/>
      <c r="H10619" s="46" t="str">
        <f>IF(AND(I.Developer.P2b=TRUE,I.Facility.P2bFacilityCount&gt;=607,F10619=""),"Incomplete","Complete")</f>
        <v>Complete</v>
      </c>
      <c r="I10619" s="48" t="s">
        <v>14984</v>
      </c>
    </row>
    <row r="10620" spans="2:9" ht="15" customHeight="1" x14ac:dyDescent="0.25">
      <c r="B10620" s="55" t="s">
        <v>281</v>
      </c>
      <c r="C10620" s="46">
        <v>608</v>
      </c>
      <c r="D10620" s="69" t="s">
        <v>29418</v>
      </c>
      <c r="E10620" s="51"/>
      <c r="F10620" s="114" t="str">
        <f>IF(INDEX(I.Facility.P2bIDNumber,608)="","",INDEX(I.Facility.P2bIDNumber,608))</f>
        <v/>
      </c>
      <c r="G10620" s="51"/>
      <c r="H10620" s="46" t="str">
        <f>IF(AND(I.Developer.P2b=TRUE,I.Facility.P2bFacilityCount&gt;=608,F10620=""),"Incomplete","Complete")</f>
        <v>Complete</v>
      </c>
      <c r="I10620" s="48" t="s">
        <v>14985</v>
      </c>
    </row>
    <row r="10621" spans="2:9" ht="15" customHeight="1" x14ac:dyDescent="0.25">
      <c r="B10621" s="55" t="s">
        <v>281</v>
      </c>
      <c r="C10621" s="46">
        <v>609</v>
      </c>
      <c r="D10621" s="69" t="s">
        <v>29418</v>
      </c>
      <c r="E10621" s="51"/>
      <c r="F10621" s="114" t="str">
        <f>IF(INDEX(I.Facility.P2bIDNumber,609)="","",INDEX(I.Facility.P2bIDNumber,609))</f>
        <v/>
      </c>
      <c r="G10621" s="51"/>
      <c r="H10621" s="46" t="str">
        <f>IF(AND(I.Developer.P2b=TRUE,I.Facility.P2bFacilityCount&gt;=609,F10621=""),"Incomplete","Complete")</f>
        <v>Complete</v>
      </c>
      <c r="I10621" s="48" t="s">
        <v>14986</v>
      </c>
    </row>
    <row r="10622" spans="2:9" ht="15" customHeight="1" x14ac:dyDescent="0.25">
      <c r="B10622" s="55" t="s">
        <v>281</v>
      </c>
      <c r="C10622" s="46">
        <v>610</v>
      </c>
      <c r="D10622" s="69" t="s">
        <v>29418</v>
      </c>
      <c r="E10622" s="51"/>
      <c r="F10622" s="114" t="str">
        <f>IF(INDEX(I.Facility.P2bIDNumber,610)="","",INDEX(I.Facility.P2bIDNumber,610))</f>
        <v/>
      </c>
      <c r="G10622" s="51"/>
      <c r="H10622" s="46" t="str">
        <f>IF(AND(I.Developer.P2b=TRUE,I.Facility.P2bFacilityCount&gt;=610,F10622=""),"Incomplete","Complete")</f>
        <v>Complete</v>
      </c>
      <c r="I10622" s="48" t="s">
        <v>14987</v>
      </c>
    </row>
    <row r="10623" spans="2:9" ht="15" customHeight="1" x14ac:dyDescent="0.25">
      <c r="B10623" s="55" t="s">
        <v>281</v>
      </c>
      <c r="C10623" s="46">
        <v>611</v>
      </c>
      <c r="D10623" s="69" t="s">
        <v>29418</v>
      </c>
      <c r="E10623" s="51"/>
      <c r="F10623" s="114" t="str">
        <f>IF(INDEX(I.Facility.P2bIDNumber,611)="","",INDEX(I.Facility.P2bIDNumber,611))</f>
        <v/>
      </c>
      <c r="G10623" s="51"/>
      <c r="H10623" s="46" t="str">
        <f>IF(AND(I.Developer.P2b=TRUE,I.Facility.P2bFacilityCount&gt;=611,F10623=""),"Incomplete","Complete")</f>
        <v>Complete</v>
      </c>
      <c r="I10623" s="48" t="s">
        <v>14988</v>
      </c>
    </row>
    <row r="10624" spans="2:9" ht="15" customHeight="1" x14ac:dyDescent="0.25">
      <c r="B10624" s="55" t="s">
        <v>281</v>
      </c>
      <c r="C10624" s="46">
        <v>612</v>
      </c>
      <c r="D10624" s="69" t="s">
        <v>29418</v>
      </c>
      <c r="E10624" s="51"/>
      <c r="F10624" s="114" t="str">
        <f>IF(INDEX(I.Facility.P2bIDNumber,612)="","",INDEX(I.Facility.P2bIDNumber,612))</f>
        <v/>
      </c>
      <c r="G10624" s="51"/>
      <c r="H10624" s="46" t="str">
        <f>IF(AND(I.Developer.P2b=TRUE,I.Facility.P2bFacilityCount&gt;=612,F10624=""),"Incomplete","Complete")</f>
        <v>Complete</v>
      </c>
      <c r="I10624" s="48" t="s">
        <v>14989</v>
      </c>
    </row>
    <row r="10625" spans="2:9" ht="15" customHeight="1" x14ac:dyDescent="0.25">
      <c r="B10625" s="55" t="s">
        <v>281</v>
      </c>
      <c r="C10625" s="46">
        <v>613</v>
      </c>
      <c r="D10625" s="69" t="s">
        <v>29418</v>
      </c>
      <c r="E10625" s="51"/>
      <c r="F10625" s="114" t="str">
        <f>IF(INDEX(I.Facility.P2bIDNumber,613)="","",INDEX(I.Facility.P2bIDNumber,613))</f>
        <v/>
      </c>
      <c r="G10625" s="51"/>
      <c r="H10625" s="46" t="str">
        <f>IF(AND(I.Developer.P2b=TRUE,I.Facility.P2bFacilityCount&gt;=613,F10625=""),"Incomplete","Complete")</f>
        <v>Complete</v>
      </c>
      <c r="I10625" s="48" t="s">
        <v>14990</v>
      </c>
    </row>
    <row r="10626" spans="2:9" ht="15" customHeight="1" x14ac:dyDescent="0.25">
      <c r="B10626" s="55" t="s">
        <v>281</v>
      </c>
      <c r="C10626" s="46">
        <v>614</v>
      </c>
      <c r="D10626" s="69" t="s">
        <v>29418</v>
      </c>
      <c r="E10626" s="51"/>
      <c r="F10626" s="114" t="str">
        <f>IF(INDEX(I.Facility.P2bIDNumber,614)="","",INDEX(I.Facility.P2bIDNumber,614))</f>
        <v/>
      </c>
      <c r="G10626" s="51"/>
      <c r="H10626" s="46" t="str">
        <f>IF(AND(I.Developer.P2b=TRUE,I.Facility.P2bFacilityCount&gt;=614,F10626=""),"Incomplete","Complete")</f>
        <v>Complete</v>
      </c>
      <c r="I10626" s="48" t="s">
        <v>14991</v>
      </c>
    </row>
    <row r="10627" spans="2:9" ht="15" customHeight="1" x14ac:dyDescent="0.25">
      <c r="B10627" s="55" t="s">
        <v>281</v>
      </c>
      <c r="C10627" s="46">
        <v>615</v>
      </c>
      <c r="D10627" s="69" t="s">
        <v>29418</v>
      </c>
      <c r="E10627" s="51"/>
      <c r="F10627" s="114" t="str">
        <f>IF(INDEX(I.Facility.P2bIDNumber,615)="","",INDEX(I.Facility.P2bIDNumber,615))</f>
        <v/>
      </c>
      <c r="G10627" s="51"/>
      <c r="H10627" s="46" t="str">
        <f>IF(AND(I.Developer.P2b=TRUE,I.Facility.P2bFacilityCount&gt;=615,F10627=""),"Incomplete","Complete")</f>
        <v>Complete</v>
      </c>
      <c r="I10627" s="48" t="s">
        <v>14992</v>
      </c>
    </row>
    <row r="10628" spans="2:9" ht="15" customHeight="1" x14ac:dyDescent="0.25">
      <c r="B10628" s="55" t="s">
        <v>281</v>
      </c>
      <c r="C10628" s="46">
        <v>616</v>
      </c>
      <c r="D10628" s="69" t="s">
        <v>29418</v>
      </c>
      <c r="E10628" s="51"/>
      <c r="F10628" s="114" t="str">
        <f>IF(INDEX(I.Facility.P2bIDNumber,616)="","",INDEX(I.Facility.P2bIDNumber,616))</f>
        <v/>
      </c>
      <c r="G10628" s="51"/>
      <c r="H10628" s="46" t="str">
        <f>IF(AND(I.Developer.P2b=TRUE,I.Facility.P2bFacilityCount&gt;=616,F10628=""),"Incomplete","Complete")</f>
        <v>Complete</v>
      </c>
      <c r="I10628" s="48" t="s">
        <v>14993</v>
      </c>
    </row>
    <row r="10629" spans="2:9" ht="15" customHeight="1" x14ac:dyDescent="0.25">
      <c r="B10629" s="55" t="s">
        <v>281</v>
      </c>
      <c r="C10629" s="46">
        <v>617</v>
      </c>
      <c r="D10629" s="69" t="s">
        <v>29418</v>
      </c>
      <c r="E10629" s="51"/>
      <c r="F10629" s="114" t="str">
        <f>IF(INDEX(I.Facility.P2bIDNumber,617)="","",INDEX(I.Facility.P2bIDNumber,617))</f>
        <v/>
      </c>
      <c r="G10629" s="51"/>
      <c r="H10629" s="46" t="str">
        <f>IF(AND(I.Developer.P2b=TRUE,I.Facility.P2bFacilityCount&gt;=617,F10629=""),"Incomplete","Complete")</f>
        <v>Complete</v>
      </c>
      <c r="I10629" s="48" t="s">
        <v>14994</v>
      </c>
    </row>
    <row r="10630" spans="2:9" ht="15" customHeight="1" x14ac:dyDescent="0.25">
      <c r="B10630" s="55" t="s">
        <v>281</v>
      </c>
      <c r="C10630" s="46">
        <v>618</v>
      </c>
      <c r="D10630" s="69" t="s">
        <v>29418</v>
      </c>
      <c r="E10630" s="51"/>
      <c r="F10630" s="114" t="str">
        <f>IF(INDEX(I.Facility.P2bIDNumber,618)="","",INDEX(I.Facility.P2bIDNumber,618))</f>
        <v/>
      </c>
      <c r="G10630" s="51"/>
      <c r="H10630" s="46" t="str">
        <f>IF(AND(I.Developer.P2b=TRUE,I.Facility.P2bFacilityCount&gt;=618,F10630=""),"Incomplete","Complete")</f>
        <v>Complete</v>
      </c>
      <c r="I10630" s="48" t="s">
        <v>14995</v>
      </c>
    </row>
    <row r="10631" spans="2:9" ht="15" customHeight="1" x14ac:dyDescent="0.25">
      <c r="B10631" s="55" t="s">
        <v>281</v>
      </c>
      <c r="C10631" s="46">
        <v>619</v>
      </c>
      <c r="D10631" s="69" t="s">
        <v>29418</v>
      </c>
      <c r="E10631" s="51"/>
      <c r="F10631" s="114" t="str">
        <f>IF(INDEX(I.Facility.P2bIDNumber,619)="","",INDEX(I.Facility.P2bIDNumber,619))</f>
        <v/>
      </c>
      <c r="G10631" s="51"/>
      <c r="H10631" s="46" t="str">
        <f>IF(AND(I.Developer.P2b=TRUE,I.Facility.P2bFacilityCount&gt;=619,F10631=""),"Incomplete","Complete")</f>
        <v>Complete</v>
      </c>
      <c r="I10631" s="48" t="s">
        <v>14996</v>
      </c>
    </row>
    <row r="10632" spans="2:9" ht="15" customHeight="1" x14ac:dyDescent="0.25">
      <c r="B10632" s="55" t="s">
        <v>281</v>
      </c>
      <c r="C10632" s="46">
        <v>620</v>
      </c>
      <c r="D10632" s="69" t="s">
        <v>29418</v>
      </c>
      <c r="E10632" s="51"/>
      <c r="F10632" s="114" t="str">
        <f>IF(INDEX(I.Facility.P2bIDNumber,620)="","",INDEX(I.Facility.P2bIDNumber,620))</f>
        <v/>
      </c>
      <c r="G10632" s="51"/>
      <c r="H10632" s="46" t="str">
        <f>IF(AND(I.Developer.P2b=TRUE,I.Facility.P2bFacilityCount&gt;=620,F10632=""),"Incomplete","Complete")</f>
        <v>Complete</v>
      </c>
      <c r="I10632" s="48" t="s">
        <v>14997</v>
      </c>
    </row>
    <row r="10633" spans="2:9" ht="15" customHeight="1" x14ac:dyDescent="0.25">
      <c r="B10633" s="55" t="s">
        <v>281</v>
      </c>
      <c r="C10633" s="46">
        <v>621</v>
      </c>
      <c r="D10633" s="69" t="s">
        <v>29418</v>
      </c>
      <c r="E10633" s="51"/>
      <c r="F10633" s="114" t="str">
        <f>IF(INDEX(I.Facility.P2bIDNumber,621)="","",INDEX(I.Facility.P2bIDNumber,621))</f>
        <v/>
      </c>
      <c r="G10633" s="51"/>
      <c r="H10633" s="46" t="str">
        <f>IF(AND(I.Developer.P2b=TRUE,I.Facility.P2bFacilityCount&gt;=621,F10633=""),"Incomplete","Complete")</f>
        <v>Complete</v>
      </c>
      <c r="I10633" s="48" t="s">
        <v>14998</v>
      </c>
    </row>
    <row r="10634" spans="2:9" ht="15" customHeight="1" x14ac:dyDescent="0.25">
      <c r="B10634" s="55" t="s">
        <v>281</v>
      </c>
      <c r="C10634" s="46">
        <v>622</v>
      </c>
      <c r="D10634" s="69" t="s">
        <v>29418</v>
      </c>
      <c r="E10634" s="51"/>
      <c r="F10634" s="114" t="str">
        <f>IF(INDEX(I.Facility.P2bIDNumber,622)="","",INDEX(I.Facility.P2bIDNumber,622))</f>
        <v/>
      </c>
      <c r="G10634" s="51"/>
      <c r="H10634" s="46" t="str">
        <f>IF(AND(I.Developer.P2b=TRUE,I.Facility.P2bFacilityCount&gt;=622,F10634=""),"Incomplete","Complete")</f>
        <v>Complete</v>
      </c>
      <c r="I10634" s="48" t="s">
        <v>14999</v>
      </c>
    </row>
    <row r="10635" spans="2:9" ht="15" customHeight="1" x14ac:dyDescent="0.25">
      <c r="B10635" s="55" t="s">
        <v>281</v>
      </c>
      <c r="C10635" s="46">
        <v>623</v>
      </c>
      <c r="D10635" s="69" t="s">
        <v>29418</v>
      </c>
      <c r="E10635" s="51"/>
      <c r="F10635" s="114" t="str">
        <f>IF(INDEX(I.Facility.P2bIDNumber,623)="","",INDEX(I.Facility.P2bIDNumber,623))</f>
        <v/>
      </c>
      <c r="G10635" s="51"/>
      <c r="H10635" s="46" t="str">
        <f>IF(AND(I.Developer.P2b=TRUE,I.Facility.P2bFacilityCount&gt;=623,F10635=""),"Incomplete","Complete")</f>
        <v>Complete</v>
      </c>
      <c r="I10635" s="48" t="s">
        <v>15000</v>
      </c>
    </row>
    <row r="10636" spans="2:9" ht="15" customHeight="1" x14ac:dyDescent="0.25">
      <c r="B10636" s="55" t="s">
        <v>281</v>
      </c>
      <c r="C10636" s="46">
        <v>624</v>
      </c>
      <c r="D10636" s="69" t="s">
        <v>29418</v>
      </c>
      <c r="E10636" s="51"/>
      <c r="F10636" s="114" t="str">
        <f>IF(INDEX(I.Facility.P2bIDNumber,624)="","",INDEX(I.Facility.P2bIDNumber,624))</f>
        <v/>
      </c>
      <c r="G10636" s="51"/>
      <c r="H10636" s="46" t="str">
        <f>IF(AND(I.Developer.P2b=TRUE,I.Facility.P2bFacilityCount&gt;=624,F10636=""),"Incomplete","Complete")</f>
        <v>Complete</v>
      </c>
      <c r="I10636" s="48" t="s">
        <v>15001</v>
      </c>
    </row>
    <row r="10637" spans="2:9" ht="15" customHeight="1" x14ac:dyDescent="0.25">
      <c r="B10637" s="55" t="s">
        <v>281</v>
      </c>
      <c r="C10637" s="46">
        <v>625</v>
      </c>
      <c r="D10637" s="69" t="s">
        <v>29418</v>
      </c>
      <c r="E10637" s="51"/>
      <c r="F10637" s="114" t="str">
        <f>IF(INDEX(I.Facility.P2bIDNumber,625)="","",INDEX(I.Facility.P2bIDNumber,625))</f>
        <v/>
      </c>
      <c r="G10637" s="51"/>
      <c r="H10637" s="46" t="str">
        <f>IF(AND(I.Developer.P2b=TRUE,I.Facility.P2bFacilityCount&gt;=625,F10637=""),"Incomplete","Complete")</f>
        <v>Complete</v>
      </c>
      <c r="I10637" s="48" t="s">
        <v>15002</v>
      </c>
    </row>
    <row r="10638" spans="2:9" ht="15" customHeight="1" x14ac:dyDescent="0.25">
      <c r="B10638" s="55" t="s">
        <v>281</v>
      </c>
      <c r="C10638" s="46">
        <v>626</v>
      </c>
      <c r="D10638" s="69" t="s">
        <v>29418</v>
      </c>
      <c r="E10638" s="51"/>
      <c r="F10638" s="114" t="str">
        <f>IF(INDEX(I.Facility.P2bIDNumber,626)="","",INDEX(I.Facility.P2bIDNumber,626))</f>
        <v/>
      </c>
      <c r="G10638" s="51"/>
      <c r="H10638" s="46" t="str">
        <f>IF(AND(I.Developer.P2b=TRUE,I.Facility.P2bFacilityCount&gt;=626,F10638=""),"Incomplete","Complete")</f>
        <v>Complete</v>
      </c>
      <c r="I10638" s="48" t="s">
        <v>15003</v>
      </c>
    </row>
    <row r="10639" spans="2:9" ht="15" customHeight="1" x14ac:dyDescent="0.25">
      <c r="B10639" s="55" t="s">
        <v>281</v>
      </c>
      <c r="C10639" s="46">
        <v>627</v>
      </c>
      <c r="D10639" s="69" t="s">
        <v>29418</v>
      </c>
      <c r="E10639" s="51"/>
      <c r="F10639" s="114" t="str">
        <f>IF(INDEX(I.Facility.P2bIDNumber,627)="","",INDEX(I.Facility.P2bIDNumber,627))</f>
        <v/>
      </c>
      <c r="G10639" s="51"/>
      <c r="H10639" s="46" t="str">
        <f>IF(AND(I.Developer.P2b=TRUE,I.Facility.P2bFacilityCount&gt;=627,F10639=""),"Incomplete","Complete")</f>
        <v>Complete</v>
      </c>
      <c r="I10639" s="48" t="s">
        <v>15004</v>
      </c>
    </row>
    <row r="10640" spans="2:9" ht="15" customHeight="1" x14ac:dyDescent="0.25">
      <c r="B10640" s="55" t="s">
        <v>281</v>
      </c>
      <c r="C10640" s="46">
        <v>628</v>
      </c>
      <c r="D10640" s="69" t="s">
        <v>29418</v>
      </c>
      <c r="E10640" s="51"/>
      <c r="F10640" s="114" t="str">
        <f>IF(INDEX(I.Facility.P2bIDNumber,628)="","",INDEX(I.Facility.P2bIDNumber,628))</f>
        <v/>
      </c>
      <c r="G10640" s="51"/>
      <c r="H10640" s="46" t="str">
        <f>IF(AND(I.Developer.P2b=TRUE,I.Facility.P2bFacilityCount&gt;=628,F10640=""),"Incomplete","Complete")</f>
        <v>Complete</v>
      </c>
      <c r="I10640" s="48" t="s">
        <v>15005</v>
      </c>
    </row>
    <row r="10641" spans="2:9" ht="15" customHeight="1" x14ac:dyDescent="0.25">
      <c r="B10641" s="55" t="s">
        <v>281</v>
      </c>
      <c r="C10641" s="46">
        <v>629</v>
      </c>
      <c r="D10641" s="69" t="s">
        <v>29418</v>
      </c>
      <c r="E10641" s="51"/>
      <c r="F10641" s="114" t="str">
        <f>IF(INDEX(I.Facility.P2bIDNumber,629)="","",INDEX(I.Facility.P2bIDNumber,629))</f>
        <v/>
      </c>
      <c r="G10641" s="51"/>
      <c r="H10641" s="46" t="str">
        <f>IF(AND(I.Developer.P2b=TRUE,I.Facility.P2bFacilityCount&gt;=629,F10641=""),"Incomplete","Complete")</f>
        <v>Complete</v>
      </c>
      <c r="I10641" s="48" t="s">
        <v>15006</v>
      </c>
    </row>
    <row r="10642" spans="2:9" ht="15" customHeight="1" x14ac:dyDescent="0.25">
      <c r="B10642" s="55" t="s">
        <v>281</v>
      </c>
      <c r="C10642" s="46">
        <v>630</v>
      </c>
      <c r="D10642" s="69" t="s">
        <v>29418</v>
      </c>
      <c r="E10642" s="51"/>
      <c r="F10642" s="114" t="str">
        <f>IF(INDEX(I.Facility.P2bIDNumber,630)="","",INDEX(I.Facility.P2bIDNumber,630))</f>
        <v/>
      </c>
      <c r="G10642" s="51"/>
      <c r="H10642" s="46" t="str">
        <f>IF(AND(I.Developer.P2b=TRUE,I.Facility.P2bFacilityCount&gt;=630,F10642=""),"Incomplete","Complete")</f>
        <v>Complete</v>
      </c>
      <c r="I10642" s="48" t="s">
        <v>15007</v>
      </c>
    </row>
    <row r="10643" spans="2:9" ht="15" customHeight="1" x14ac:dyDescent="0.25">
      <c r="B10643" s="55" t="s">
        <v>281</v>
      </c>
      <c r="C10643" s="46">
        <v>631</v>
      </c>
      <c r="D10643" s="69" t="s">
        <v>29418</v>
      </c>
      <c r="E10643" s="51"/>
      <c r="F10643" s="114" t="str">
        <f>IF(INDEX(I.Facility.P2bIDNumber,631)="","",INDEX(I.Facility.P2bIDNumber,631))</f>
        <v/>
      </c>
      <c r="G10643" s="51"/>
      <c r="H10643" s="46" t="str">
        <f>IF(AND(I.Developer.P2b=TRUE,I.Facility.P2bFacilityCount&gt;=631,F10643=""),"Incomplete","Complete")</f>
        <v>Complete</v>
      </c>
      <c r="I10643" s="48" t="s">
        <v>15008</v>
      </c>
    </row>
    <row r="10644" spans="2:9" ht="15" customHeight="1" x14ac:dyDescent="0.25">
      <c r="B10644" s="55" t="s">
        <v>281</v>
      </c>
      <c r="C10644" s="46">
        <v>632</v>
      </c>
      <c r="D10644" s="69" t="s">
        <v>29418</v>
      </c>
      <c r="E10644" s="51"/>
      <c r="F10644" s="114" t="str">
        <f>IF(INDEX(I.Facility.P2bIDNumber,632)="","",INDEX(I.Facility.P2bIDNumber,632))</f>
        <v/>
      </c>
      <c r="G10644" s="51"/>
      <c r="H10644" s="46" t="str">
        <f>IF(AND(I.Developer.P2b=TRUE,I.Facility.P2bFacilityCount&gt;=632,F10644=""),"Incomplete","Complete")</f>
        <v>Complete</v>
      </c>
      <c r="I10644" s="48" t="s">
        <v>15009</v>
      </c>
    </row>
    <row r="10645" spans="2:9" ht="15" customHeight="1" x14ac:dyDescent="0.25">
      <c r="B10645" s="55" t="s">
        <v>281</v>
      </c>
      <c r="C10645" s="46">
        <v>633</v>
      </c>
      <c r="D10645" s="69" t="s">
        <v>29418</v>
      </c>
      <c r="E10645" s="51"/>
      <c r="F10645" s="114" t="str">
        <f>IF(INDEX(I.Facility.P2bIDNumber,633)="","",INDEX(I.Facility.P2bIDNumber,633))</f>
        <v/>
      </c>
      <c r="G10645" s="51"/>
      <c r="H10645" s="46" t="str">
        <f>IF(AND(I.Developer.P2b=TRUE,I.Facility.P2bFacilityCount&gt;=633,F10645=""),"Incomplete","Complete")</f>
        <v>Complete</v>
      </c>
      <c r="I10645" s="48" t="s">
        <v>15010</v>
      </c>
    </row>
    <row r="10646" spans="2:9" ht="15" customHeight="1" x14ac:dyDescent="0.25">
      <c r="B10646" s="55" t="s">
        <v>281</v>
      </c>
      <c r="C10646" s="46">
        <v>634</v>
      </c>
      <c r="D10646" s="69" t="s">
        <v>29418</v>
      </c>
      <c r="E10646" s="51"/>
      <c r="F10646" s="114" t="str">
        <f>IF(INDEX(I.Facility.P2bIDNumber,634)="","",INDEX(I.Facility.P2bIDNumber,634))</f>
        <v/>
      </c>
      <c r="G10646" s="51"/>
      <c r="H10646" s="46" t="str">
        <f>IF(AND(I.Developer.P2b=TRUE,I.Facility.P2bFacilityCount&gt;=634,F10646=""),"Incomplete","Complete")</f>
        <v>Complete</v>
      </c>
      <c r="I10646" s="48" t="s">
        <v>15011</v>
      </c>
    </row>
    <row r="10647" spans="2:9" ht="15" customHeight="1" x14ac:dyDescent="0.25">
      <c r="B10647" s="55" t="s">
        <v>281</v>
      </c>
      <c r="C10647" s="46">
        <v>635</v>
      </c>
      <c r="D10647" s="69" t="s">
        <v>29418</v>
      </c>
      <c r="E10647" s="51"/>
      <c r="F10647" s="114" t="str">
        <f>IF(INDEX(I.Facility.P2bIDNumber,635)="","",INDEX(I.Facility.P2bIDNumber,635))</f>
        <v/>
      </c>
      <c r="G10647" s="51"/>
      <c r="H10647" s="46" t="str">
        <f>IF(AND(I.Developer.P2b=TRUE,I.Facility.P2bFacilityCount&gt;=635,F10647=""),"Incomplete","Complete")</f>
        <v>Complete</v>
      </c>
      <c r="I10647" s="48" t="s">
        <v>15012</v>
      </c>
    </row>
    <row r="10648" spans="2:9" ht="15" customHeight="1" x14ac:dyDescent="0.25">
      <c r="B10648" s="55" t="s">
        <v>281</v>
      </c>
      <c r="C10648" s="46">
        <v>636</v>
      </c>
      <c r="D10648" s="69" t="s">
        <v>29418</v>
      </c>
      <c r="E10648" s="51"/>
      <c r="F10648" s="114" t="str">
        <f>IF(INDEX(I.Facility.P2bIDNumber,636)="","",INDEX(I.Facility.P2bIDNumber,636))</f>
        <v/>
      </c>
      <c r="G10648" s="51"/>
      <c r="H10648" s="46" t="str">
        <f>IF(AND(I.Developer.P2b=TRUE,I.Facility.P2bFacilityCount&gt;=636,F10648=""),"Incomplete","Complete")</f>
        <v>Complete</v>
      </c>
      <c r="I10648" s="48" t="s">
        <v>15013</v>
      </c>
    </row>
    <row r="10649" spans="2:9" ht="15" customHeight="1" x14ac:dyDescent="0.25">
      <c r="B10649" s="55" t="s">
        <v>281</v>
      </c>
      <c r="C10649" s="46">
        <v>637</v>
      </c>
      <c r="D10649" s="69" t="s">
        <v>29418</v>
      </c>
      <c r="E10649" s="51"/>
      <c r="F10649" s="114" t="str">
        <f>IF(INDEX(I.Facility.P2bIDNumber,637)="","",INDEX(I.Facility.P2bIDNumber,637))</f>
        <v/>
      </c>
      <c r="G10649" s="51"/>
      <c r="H10649" s="46" t="str">
        <f>IF(AND(I.Developer.P2b=TRUE,I.Facility.P2bFacilityCount&gt;=637,F10649=""),"Incomplete","Complete")</f>
        <v>Complete</v>
      </c>
      <c r="I10649" s="48" t="s">
        <v>15014</v>
      </c>
    </row>
    <row r="10650" spans="2:9" ht="15" customHeight="1" x14ac:dyDescent="0.25">
      <c r="B10650" s="55" t="s">
        <v>281</v>
      </c>
      <c r="C10650" s="46">
        <v>638</v>
      </c>
      <c r="D10650" s="69" t="s">
        <v>29418</v>
      </c>
      <c r="E10650" s="51"/>
      <c r="F10650" s="114" t="str">
        <f>IF(INDEX(I.Facility.P2bIDNumber,638)="","",INDEX(I.Facility.P2bIDNumber,638))</f>
        <v/>
      </c>
      <c r="G10650" s="51"/>
      <c r="H10650" s="46" t="str">
        <f>IF(AND(I.Developer.P2b=TRUE,I.Facility.P2bFacilityCount&gt;=638,F10650=""),"Incomplete","Complete")</f>
        <v>Complete</v>
      </c>
      <c r="I10650" s="48" t="s">
        <v>15015</v>
      </c>
    </row>
    <row r="10651" spans="2:9" ht="15" customHeight="1" x14ac:dyDescent="0.25">
      <c r="B10651" s="55" t="s">
        <v>281</v>
      </c>
      <c r="C10651" s="46">
        <v>639</v>
      </c>
      <c r="D10651" s="69" t="s">
        <v>29418</v>
      </c>
      <c r="E10651" s="51"/>
      <c r="F10651" s="114" t="str">
        <f>IF(INDEX(I.Facility.P2bIDNumber,639)="","",INDEX(I.Facility.P2bIDNumber,639))</f>
        <v/>
      </c>
      <c r="G10651" s="51"/>
      <c r="H10651" s="46" t="str">
        <f>IF(AND(I.Developer.P2b=TRUE,I.Facility.P2bFacilityCount&gt;=639,F10651=""),"Incomplete","Complete")</f>
        <v>Complete</v>
      </c>
      <c r="I10651" s="48" t="s">
        <v>15016</v>
      </c>
    </row>
    <row r="10652" spans="2:9" ht="15" customHeight="1" x14ac:dyDescent="0.25">
      <c r="B10652" s="55" t="s">
        <v>281</v>
      </c>
      <c r="C10652" s="46">
        <v>640</v>
      </c>
      <c r="D10652" s="69" t="s">
        <v>29418</v>
      </c>
      <c r="E10652" s="51"/>
      <c r="F10652" s="114" t="str">
        <f>IF(INDEX(I.Facility.P2bIDNumber,640)="","",INDEX(I.Facility.P2bIDNumber,640))</f>
        <v/>
      </c>
      <c r="G10652" s="51"/>
      <c r="H10652" s="46" t="str">
        <f>IF(AND(I.Developer.P2b=TRUE,I.Facility.P2bFacilityCount&gt;=640,F10652=""),"Incomplete","Complete")</f>
        <v>Complete</v>
      </c>
      <c r="I10652" s="48" t="s">
        <v>15017</v>
      </c>
    </row>
    <row r="10653" spans="2:9" ht="15" customHeight="1" x14ac:dyDescent="0.25">
      <c r="B10653" s="55" t="s">
        <v>281</v>
      </c>
      <c r="C10653" s="46">
        <v>641</v>
      </c>
      <c r="D10653" s="69" t="s">
        <v>29418</v>
      </c>
      <c r="E10653" s="51"/>
      <c r="F10653" s="114" t="str">
        <f>IF(INDEX(I.Facility.P2bIDNumber,641)="","",INDEX(I.Facility.P2bIDNumber,641))</f>
        <v/>
      </c>
      <c r="G10653" s="51"/>
      <c r="H10653" s="46" t="str">
        <f>IF(AND(I.Developer.P2b=TRUE,I.Facility.P2bFacilityCount&gt;=641,F10653=""),"Incomplete","Complete")</f>
        <v>Complete</v>
      </c>
      <c r="I10653" s="48" t="s">
        <v>15018</v>
      </c>
    </row>
    <row r="10654" spans="2:9" ht="15" customHeight="1" x14ac:dyDescent="0.25">
      <c r="B10654" s="55" t="s">
        <v>281</v>
      </c>
      <c r="C10654" s="46">
        <v>642</v>
      </c>
      <c r="D10654" s="69" t="s">
        <v>29418</v>
      </c>
      <c r="E10654" s="51"/>
      <c r="F10654" s="114" t="str">
        <f>IF(INDEX(I.Facility.P2bIDNumber,642)="","",INDEX(I.Facility.P2bIDNumber,642))</f>
        <v/>
      </c>
      <c r="G10654" s="51"/>
      <c r="H10654" s="46" t="str">
        <f>IF(AND(I.Developer.P2b=TRUE,I.Facility.P2bFacilityCount&gt;=642,F10654=""),"Incomplete","Complete")</f>
        <v>Complete</v>
      </c>
      <c r="I10654" s="48" t="s">
        <v>15019</v>
      </c>
    </row>
    <row r="10655" spans="2:9" ht="15" customHeight="1" x14ac:dyDescent="0.25">
      <c r="B10655" s="55" t="s">
        <v>281</v>
      </c>
      <c r="C10655" s="46">
        <v>643</v>
      </c>
      <c r="D10655" s="69" t="s">
        <v>29418</v>
      </c>
      <c r="E10655" s="51"/>
      <c r="F10655" s="114" t="str">
        <f>IF(INDEX(I.Facility.P2bIDNumber,643)="","",INDEX(I.Facility.P2bIDNumber,643))</f>
        <v/>
      </c>
      <c r="G10655" s="51"/>
      <c r="H10655" s="46" t="str">
        <f>IF(AND(I.Developer.P2b=TRUE,I.Facility.P2bFacilityCount&gt;=643,F10655=""),"Incomplete","Complete")</f>
        <v>Complete</v>
      </c>
      <c r="I10655" s="48" t="s">
        <v>15020</v>
      </c>
    </row>
    <row r="10656" spans="2:9" ht="15" customHeight="1" x14ac:dyDescent="0.25">
      <c r="B10656" s="55" t="s">
        <v>281</v>
      </c>
      <c r="C10656" s="46">
        <v>644</v>
      </c>
      <c r="D10656" s="69" t="s">
        <v>29418</v>
      </c>
      <c r="E10656" s="51"/>
      <c r="F10656" s="114" t="str">
        <f>IF(INDEX(I.Facility.P2bIDNumber,644)="","",INDEX(I.Facility.P2bIDNumber,644))</f>
        <v/>
      </c>
      <c r="G10656" s="51"/>
      <c r="H10656" s="46" t="str">
        <f>IF(AND(I.Developer.P2b=TRUE,I.Facility.P2bFacilityCount&gt;=644,F10656=""),"Incomplete","Complete")</f>
        <v>Complete</v>
      </c>
      <c r="I10656" s="48" t="s">
        <v>15021</v>
      </c>
    </row>
    <row r="10657" spans="2:9" ht="15" customHeight="1" x14ac:dyDescent="0.25">
      <c r="B10657" s="55" t="s">
        <v>281</v>
      </c>
      <c r="C10657" s="46">
        <v>645</v>
      </c>
      <c r="D10657" s="69" t="s">
        <v>29418</v>
      </c>
      <c r="E10657" s="51"/>
      <c r="F10657" s="114" t="str">
        <f>IF(INDEX(I.Facility.P2bIDNumber,645)="","",INDEX(I.Facility.P2bIDNumber,645))</f>
        <v/>
      </c>
      <c r="G10657" s="51"/>
      <c r="H10657" s="46" t="str">
        <f>IF(AND(I.Developer.P2b=TRUE,I.Facility.P2bFacilityCount&gt;=645,F10657=""),"Incomplete","Complete")</f>
        <v>Complete</v>
      </c>
      <c r="I10657" s="48" t="s">
        <v>15022</v>
      </c>
    </row>
    <row r="10658" spans="2:9" ht="15" customHeight="1" x14ac:dyDescent="0.25">
      <c r="B10658" s="55" t="s">
        <v>281</v>
      </c>
      <c r="C10658" s="46">
        <v>646</v>
      </c>
      <c r="D10658" s="69" t="s">
        <v>29418</v>
      </c>
      <c r="E10658" s="51"/>
      <c r="F10658" s="114" t="str">
        <f>IF(INDEX(I.Facility.P2bIDNumber,646)="","",INDEX(I.Facility.P2bIDNumber,646))</f>
        <v/>
      </c>
      <c r="G10658" s="51"/>
      <c r="H10658" s="46" t="str">
        <f>IF(AND(I.Developer.P2b=TRUE,I.Facility.P2bFacilityCount&gt;=646,F10658=""),"Incomplete","Complete")</f>
        <v>Complete</v>
      </c>
      <c r="I10658" s="48" t="s">
        <v>15023</v>
      </c>
    </row>
    <row r="10659" spans="2:9" ht="15" customHeight="1" x14ac:dyDescent="0.25">
      <c r="B10659" s="55" t="s">
        <v>281</v>
      </c>
      <c r="C10659" s="46">
        <v>647</v>
      </c>
      <c r="D10659" s="69" t="s">
        <v>29418</v>
      </c>
      <c r="E10659" s="51"/>
      <c r="F10659" s="114" t="str">
        <f>IF(INDEX(I.Facility.P2bIDNumber,647)="","",INDEX(I.Facility.P2bIDNumber,647))</f>
        <v/>
      </c>
      <c r="G10659" s="51"/>
      <c r="H10659" s="46" t="str">
        <f>IF(AND(I.Developer.P2b=TRUE,I.Facility.P2bFacilityCount&gt;=647,F10659=""),"Incomplete","Complete")</f>
        <v>Complete</v>
      </c>
      <c r="I10659" s="48" t="s">
        <v>15024</v>
      </c>
    </row>
    <row r="10660" spans="2:9" ht="15" customHeight="1" x14ac:dyDescent="0.25">
      <c r="B10660" s="55" t="s">
        <v>281</v>
      </c>
      <c r="C10660" s="46">
        <v>648</v>
      </c>
      <c r="D10660" s="69" t="s">
        <v>29418</v>
      </c>
      <c r="E10660" s="51"/>
      <c r="F10660" s="114" t="str">
        <f>IF(INDEX(I.Facility.P2bIDNumber,648)="","",INDEX(I.Facility.P2bIDNumber,648))</f>
        <v/>
      </c>
      <c r="G10660" s="51"/>
      <c r="H10660" s="46" t="str">
        <f>IF(AND(I.Developer.P2b=TRUE,I.Facility.P2bFacilityCount&gt;=648,F10660=""),"Incomplete","Complete")</f>
        <v>Complete</v>
      </c>
      <c r="I10660" s="48" t="s">
        <v>15025</v>
      </c>
    </row>
    <row r="10661" spans="2:9" ht="15" customHeight="1" x14ac:dyDescent="0.25">
      <c r="B10661" s="55" t="s">
        <v>281</v>
      </c>
      <c r="C10661" s="46">
        <v>649</v>
      </c>
      <c r="D10661" s="69" t="s">
        <v>29418</v>
      </c>
      <c r="E10661" s="51"/>
      <c r="F10661" s="114" t="str">
        <f>IF(INDEX(I.Facility.P2bIDNumber,649)="","",INDEX(I.Facility.P2bIDNumber,649))</f>
        <v/>
      </c>
      <c r="G10661" s="51"/>
      <c r="H10661" s="46" t="str">
        <f>IF(AND(I.Developer.P2b=TRUE,I.Facility.P2bFacilityCount&gt;=649,F10661=""),"Incomplete","Complete")</f>
        <v>Complete</v>
      </c>
      <c r="I10661" s="48" t="s">
        <v>15026</v>
      </c>
    </row>
    <row r="10662" spans="2:9" ht="15" customHeight="1" x14ac:dyDescent="0.25">
      <c r="B10662" s="55" t="s">
        <v>281</v>
      </c>
      <c r="C10662" s="46">
        <v>650</v>
      </c>
      <c r="D10662" s="69" t="s">
        <v>29418</v>
      </c>
      <c r="E10662" s="51"/>
      <c r="F10662" s="114" t="str">
        <f>IF(INDEX(I.Facility.P2bIDNumber,650)="","",INDEX(I.Facility.P2bIDNumber,650))</f>
        <v/>
      </c>
      <c r="G10662" s="51"/>
      <c r="H10662" s="46" t="str">
        <f>IF(AND(I.Developer.P2b=TRUE,I.Facility.P2bFacilityCount&gt;=650,F10662=""),"Incomplete","Complete")</f>
        <v>Complete</v>
      </c>
      <c r="I10662" s="48" t="s">
        <v>15027</v>
      </c>
    </row>
    <row r="10663" spans="2:9" ht="15" customHeight="1" x14ac:dyDescent="0.25">
      <c r="B10663" s="55" t="s">
        <v>281</v>
      </c>
      <c r="C10663" s="46">
        <v>651</v>
      </c>
      <c r="D10663" s="69" t="s">
        <v>29418</v>
      </c>
      <c r="E10663" s="51"/>
      <c r="F10663" s="114" t="str">
        <f>IF(INDEX(I.Facility.P2bIDNumber,651)="","",INDEX(I.Facility.P2bIDNumber,651))</f>
        <v/>
      </c>
      <c r="G10663" s="51"/>
      <c r="H10663" s="46" t="str">
        <f>IF(AND(I.Developer.P2b=TRUE,I.Facility.P2bFacilityCount&gt;=651,F10663=""),"Incomplete","Complete")</f>
        <v>Complete</v>
      </c>
      <c r="I10663" s="48" t="s">
        <v>15028</v>
      </c>
    </row>
    <row r="10664" spans="2:9" ht="15" customHeight="1" x14ac:dyDescent="0.25">
      <c r="B10664" s="55" t="s">
        <v>281</v>
      </c>
      <c r="C10664" s="46">
        <v>652</v>
      </c>
      <c r="D10664" s="69" t="s">
        <v>29418</v>
      </c>
      <c r="E10664" s="51"/>
      <c r="F10664" s="114" t="str">
        <f>IF(INDEX(I.Facility.P2bIDNumber,652)="","",INDEX(I.Facility.P2bIDNumber,652))</f>
        <v/>
      </c>
      <c r="G10664" s="51"/>
      <c r="H10664" s="46" t="str">
        <f>IF(AND(I.Developer.P2b=TRUE,I.Facility.P2bFacilityCount&gt;=652,F10664=""),"Incomplete","Complete")</f>
        <v>Complete</v>
      </c>
      <c r="I10664" s="48" t="s">
        <v>15029</v>
      </c>
    </row>
    <row r="10665" spans="2:9" ht="15" customHeight="1" x14ac:dyDescent="0.25">
      <c r="B10665" s="55" t="s">
        <v>281</v>
      </c>
      <c r="C10665" s="46">
        <v>653</v>
      </c>
      <c r="D10665" s="69" t="s">
        <v>29418</v>
      </c>
      <c r="E10665" s="51"/>
      <c r="F10665" s="114" t="str">
        <f>IF(INDEX(I.Facility.P2bIDNumber,653)="","",INDEX(I.Facility.P2bIDNumber,653))</f>
        <v/>
      </c>
      <c r="G10665" s="51"/>
      <c r="H10665" s="46" t="str">
        <f>IF(AND(I.Developer.P2b=TRUE,I.Facility.P2bFacilityCount&gt;=653,F10665=""),"Incomplete","Complete")</f>
        <v>Complete</v>
      </c>
      <c r="I10665" s="48" t="s">
        <v>15030</v>
      </c>
    </row>
    <row r="10666" spans="2:9" ht="15" customHeight="1" x14ac:dyDescent="0.25">
      <c r="B10666" s="55" t="s">
        <v>281</v>
      </c>
      <c r="C10666" s="46">
        <v>654</v>
      </c>
      <c r="D10666" s="69" t="s">
        <v>29418</v>
      </c>
      <c r="E10666" s="51"/>
      <c r="F10666" s="114" t="str">
        <f>IF(INDEX(I.Facility.P2bIDNumber,654)="","",INDEX(I.Facility.P2bIDNumber,654))</f>
        <v/>
      </c>
      <c r="G10666" s="51"/>
      <c r="H10666" s="46" t="str">
        <f>IF(AND(I.Developer.P2b=TRUE,I.Facility.P2bFacilityCount&gt;=654,F10666=""),"Incomplete","Complete")</f>
        <v>Complete</v>
      </c>
      <c r="I10666" s="48" t="s">
        <v>15031</v>
      </c>
    </row>
    <row r="10667" spans="2:9" ht="15" customHeight="1" x14ac:dyDescent="0.25">
      <c r="B10667" s="55" t="s">
        <v>281</v>
      </c>
      <c r="C10667" s="46">
        <v>655</v>
      </c>
      <c r="D10667" s="69" t="s">
        <v>29418</v>
      </c>
      <c r="E10667" s="51"/>
      <c r="F10667" s="114" t="str">
        <f>IF(INDEX(I.Facility.P2bIDNumber,655)="","",INDEX(I.Facility.P2bIDNumber,655))</f>
        <v/>
      </c>
      <c r="G10667" s="51"/>
      <c r="H10667" s="46" t="str">
        <f>IF(AND(I.Developer.P2b=TRUE,I.Facility.P2bFacilityCount&gt;=655,F10667=""),"Incomplete","Complete")</f>
        <v>Complete</v>
      </c>
      <c r="I10667" s="48" t="s">
        <v>15032</v>
      </c>
    </row>
    <row r="10668" spans="2:9" ht="15" customHeight="1" x14ac:dyDescent="0.25">
      <c r="B10668" s="55" t="s">
        <v>281</v>
      </c>
      <c r="C10668" s="46">
        <v>656</v>
      </c>
      <c r="D10668" s="69" t="s">
        <v>29418</v>
      </c>
      <c r="E10668" s="51"/>
      <c r="F10668" s="114" t="str">
        <f>IF(INDEX(I.Facility.P2bIDNumber,656)="","",INDEX(I.Facility.P2bIDNumber,656))</f>
        <v/>
      </c>
      <c r="G10668" s="51"/>
      <c r="H10668" s="46" t="str">
        <f>IF(AND(I.Developer.P2b=TRUE,I.Facility.P2bFacilityCount&gt;=656,F10668=""),"Incomplete","Complete")</f>
        <v>Complete</v>
      </c>
      <c r="I10668" s="48" t="s">
        <v>15033</v>
      </c>
    </row>
    <row r="10669" spans="2:9" ht="15" customHeight="1" x14ac:dyDescent="0.25">
      <c r="B10669" s="55" t="s">
        <v>281</v>
      </c>
      <c r="C10669" s="46">
        <v>657</v>
      </c>
      <c r="D10669" s="69" t="s">
        <v>29418</v>
      </c>
      <c r="E10669" s="51"/>
      <c r="F10669" s="114" t="str">
        <f>IF(INDEX(I.Facility.P2bIDNumber,657)="","",INDEX(I.Facility.P2bIDNumber,657))</f>
        <v/>
      </c>
      <c r="G10669" s="51"/>
      <c r="H10669" s="46" t="str">
        <f>IF(AND(I.Developer.P2b=TRUE,I.Facility.P2bFacilityCount&gt;=657,F10669=""),"Incomplete","Complete")</f>
        <v>Complete</v>
      </c>
      <c r="I10669" s="48" t="s">
        <v>15034</v>
      </c>
    </row>
    <row r="10670" spans="2:9" ht="15" customHeight="1" x14ac:dyDescent="0.25">
      <c r="B10670" s="55" t="s">
        <v>281</v>
      </c>
      <c r="C10670" s="46">
        <v>658</v>
      </c>
      <c r="D10670" s="69" t="s">
        <v>29418</v>
      </c>
      <c r="E10670" s="51"/>
      <c r="F10670" s="114" t="str">
        <f>IF(INDEX(I.Facility.P2bIDNumber,658)="","",INDEX(I.Facility.P2bIDNumber,658))</f>
        <v/>
      </c>
      <c r="G10670" s="51"/>
      <c r="H10670" s="46" t="str">
        <f>IF(AND(I.Developer.P2b=TRUE,I.Facility.P2bFacilityCount&gt;=658,F10670=""),"Incomplete","Complete")</f>
        <v>Complete</v>
      </c>
      <c r="I10670" s="48" t="s">
        <v>15035</v>
      </c>
    </row>
    <row r="10671" spans="2:9" ht="15" customHeight="1" x14ac:dyDescent="0.25">
      <c r="B10671" s="55" t="s">
        <v>281</v>
      </c>
      <c r="C10671" s="46">
        <v>659</v>
      </c>
      <c r="D10671" s="69" t="s">
        <v>29418</v>
      </c>
      <c r="E10671" s="51"/>
      <c r="F10671" s="114" t="str">
        <f>IF(INDEX(I.Facility.P2bIDNumber,659)="","",INDEX(I.Facility.P2bIDNumber,659))</f>
        <v/>
      </c>
      <c r="G10671" s="51"/>
      <c r="H10671" s="46" t="str">
        <f>IF(AND(I.Developer.P2b=TRUE,I.Facility.P2bFacilityCount&gt;=659,F10671=""),"Incomplete","Complete")</f>
        <v>Complete</v>
      </c>
      <c r="I10671" s="48" t="s">
        <v>15036</v>
      </c>
    </row>
    <row r="10672" spans="2:9" ht="15" customHeight="1" x14ac:dyDescent="0.25">
      <c r="B10672" s="55" t="s">
        <v>281</v>
      </c>
      <c r="C10672" s="46">
        <v>660</v>
      </c>
      <c r="D10672" s="69" t="s">
        <v>29418</v>
      </c>
      <c r="E10672" s="51"/>
      <c r="F10672" s="114" t="str">
        <f>IF(INDEX(I.Facility.P2bIDNumber,660)="","",INDEX(I.Facility.P2bIDNumber,660))</f>
        <v/>
      </c>
      <c r="G10672" s="51"/>
      <c r="H10672" s="46" t="str">
        <f>IF(AND(I.Developer.P2b=TRUE,I.Facility.P2bFacilityCount&gt;=660,F10672=""),"Incomplete","Complete")</f>
        <v>Complete</v>
      </c>
      <c r="I10672" s="48" t="s">
        <v>15037</v>
      </c>
    </row>
    <row r="10673" spans="2:9" ht="15" customHeight="1" x14ac:dyDescent="0.25">
      <c r="B10673" s="55" t="s">
        <v>281</v>
      </c>
      <c r="C10673" s="46">
        <v>661</v>
      </c>
      <c r="D10673" s="69" t="s">
        <v>29418</v>
      </c>
      <c r="E10673" s="51"/>
      <c r="F10673" s="114" t="str">
        <f>IF(INDEX(I.Facility.P2bIDNumber,661)="","",INDEX(I.Facility.P2bIDNumber,661))</f>
        <v/>
      </c>
      <c r="G10673" s="51"/>
      <c r="H10673" s="46" t="str">
        <f>IF(AND(I.Developer.P2b=TRUE,I.Facility.P2bFacilityCount&gt;=661,F10673=""),"Incomplete","Complete")</f>
        <v>Complete</v>
      </c>
      <c r="I10673" s="48" t="s">
        <v>15038</v>
      </c>
    </row>
    <row r="10674" spans="2:9" ht="15" customHeight="1" x14ac:dyDescent="0.25">
      <c r="B10674" s="55" t="s">
        <v>281</v>
      </c>
      <c r="C10674" s="46">
        <v>662</v>
      </c>
      <c r="D10674" s="69" t="s">
        <v>29418</v>
      </c>
      <c r="E10674" s="51"/>
      <c r="F10674" s="114" t="str">
        <f>IF(INDEX(I.Facility.P2bIDNumber,662)="","",INDEX(I.Facility.P2bIDNumber,662))</f>
        <v/>
      </c>
      <c r="G10674" s="51"/>
      <c r="H10674" s="46" t="str">
        <f>IF(AND(I.Developer.P2b=TRUE,I.Facility.P2bFacilityCount&gt;=662,F10674=""),"Incomplete","Complete")</f>
        <v>Complete</v>
      </c>
      <c r="I10674" s="48" t="s">
        <v>15039</v>
      </c>
    </row>
    <row r="10675" spans="2:9" ht="15" customHeight="1" x14ac:dyDescent="0.25">
      <c r="B10675" s="55" t="s">
        <v>281</v>
      </c>
      <c r="C10675" s="46">
        <v>663</v>
      </c>
      <c r="D10675" s="69" t="s">
        <v>29418</v>
      </c>
      <c r="E10675" s="51"/>
      <c r="F10675" s="114" t="str">
        <f>IF(INDEX(I.Facility.P2bIDNumber,663)="","",INDEX(I.Facility.P2bIDNumber,663))</f>
        <v/>
      </c>
      <c r="G10675" s="51"/>
      <c r="H10675" s="46" t="str">
        <f>IF(AND(I.Developer.P2b=TRUE,I.Facility.P2bFacilityCount&gt;=663,F10675=""),"Incomplete","Complete")</f>
        <v>Complete</v>
      </c>
      <c r="I10675" s="48" t="s">
        <v>15040</v>
      </c>
    </row>
    <row r="10676" spans="2:9" ht="15" customHeight="1" x14ac:dyDescent="0.25">
      <c r="B10676" s="55" t="s">
        <v>281</v>
      </c>
      <c r="C10676" s="46">
        <v>664</v>
      </c>
      <c r="D10676" s="69" t="s">
        <v>29418</v>
      </c>
      <c r="E10676" s="51"/>
      <c r="F10676" s="114" t="str">
        <f>IF(INDEX(I.Facility.P2bIDNumber,664)="","",INDEX(I.Facility.P2bIDNumber,664))</f>
        <v/>
      </c>
      <c r="G10676" s="51"/>
      <c r="H10676" s="46" t="str">
        <f>IF(AND(I.Developer.P2b=TRUE,I.Facility.P2bFacilityCount&gt;=664,F10676=""),"Incomplete","Complete")</f>
        <v>Complete</v>
      </c>
      <c r="I10676" s="48" t="s">
        <v>15041</v>
      </c>
    </row>
    <row r="10677" spans="2:9" ht="15" customHeight="1" x14ac:dyDescent="0.25">
      <c r="B10677" s="55" t="s">
        <v>281</v>
      </c>
      <c r="C10677" s="46">
        <v>665</v>
      </c>
      <c r="D10677" s="69" t="s">
        <v>29418</v>
      </c>
      <c r="E10677" s="51"/>
      <c r="F10677" s="114" t="str">
        <f>IF(INDEX(I.Facility.P2bIDNumber,665)="","",INDEX(I.Facility.P2bIDNumber,665))</f>
        <v/>
      </c>
      <c r="G10677" s="51"/>
      <c r="H10677" s="46" t="str">
        <f>IF(AND(I.Developer.P2b=TRUE,I.Facility.P2bFacilityCount&gt;=665,F10677=""),"Incomplete","Complete")</f>
        <v>Complete</v>
      </c>
      <c r="I10677" s="48" t="s">
        <v>15042</v>
      </c>
    </row>
    <row r="10678" spans="2:9" ht="15" customHeight="1" x14ac:dyDescent="0.25">
      <c r="B10678" s="55" t="s">
        <v>281</v>
      </c>
      <c r="C10678" s="46">
        <v>666</v>
      </c>
      <c r="D10678" s="69" t="s">
        <v>29418</v>
      </c>
      <c r="E10678" s="51"/>
      <c r="F10678" s="114" t="str">
        <f>IF(INDEX(I.Facility.P2bIDNumber,666)="","",INDEX(I.Facility.P2bIDNumber,666))</f>
        <v/>
      </c>
      <c r="G10678" s="51"/>
      <c r="H10678" s="46" t="str">
        <f>IF(AND(I.Developer.P2b=TRUE,I.Facility.P2bFacilityCount&gt;=666,F10678=""),"Incomplete","Complete")</f>
        <v>Complete</v>
      </c>
      <c r="I10678" s="48" t="s">
        <v>15043</v>
      </c>
    </row>
    <row r="10679" spans="2:9" ht="15" customHeight="1" x14ac:dyDescent="0.25">
      <c r="B10679" s="55" t="s">
        <v>281</v>
      </c>
      <c r="C10679" s="46">
        <v>667</v>
      </c>
      <c r="D10679" s="69" t="s">
        <v>29418</v>
      </c>
      <c r="E10679" s="51"/>
      <c r="F10679" s="114" t="str">
        <f>IF(INDEX(I.Facility.P2bIDNumber,667)="","",INDEX(I.Facility.P2bIDNumber,667))</f>
        <v/>
      </c>
      <c r="G10679" s="51"/>
      <c r="H10679" s="46" t="str">
        <f>IF(AND(I.Developer.P2b=TRUE,I.Facility.P2bFacilityCount&gt;=667,F10679=""),"Incomplete","Complete")</f>
        <v>Complete</v>
      </c>
      <c r="I10679" s="48" t="s">
        <v>15044</v>
      </c>
    </row>
    <row r="10680" spans="2:9" ht="15" customHeight="1" x14ac:dyDescent="0.25">
      <c r="B10680" s="55" t="s">
        <v>281</v>
      </c>
      <c r="C10680" s="46">
        <v>668</v>
      </c>
      <c r="D10680" s="69" t="s">
        <v>29418</v>
      </c>
      <c r="E10680" s="51"/>
      <c r="F10680" s="114" t="str">
        <f>IF(INDEX(I.Facility.P2bIDNumber,668)="","",INDEX(I.Facility.P2bIDNumber,668))</f>
        <v/>
      </c>
      <c r="G10680" s="51"/>
      <c r="H10680" s="46" t="str">
        <f>IF(AND(I.Developer.P2b=TRUE,I.Facility.P2bFacilityCount&gt;=668,F10680=""),"Incomplete","Complete")</f>
        <v>Complete</v>
      </c>
      <c r="I10680" s="48" t="s">
        <v>15045</v>
      </c>
    </row>
    <row r="10681" spans="2:9" ht="15" customHeight="1" x14ac:dyDescent="0.25">
      <c r="B10681" s="55" t="s">
        <v>281</v>
      </c>
      <c r="C10681" s="46">
        <v>669</v>
      </c>
      <c r="D10681" s="69" t="s">
        <v>29418</v>
      </c>
      <c r="E10681" s="51"/>
      <c r="F10681" s="114" t="str">
        <f>IF(INDEX(I.Facility.P2bIDNumber,669)="","",INDEX(I.Facility.P2bIDNumber,669))</f>
        <v/>
      </c>
      <c r="G10681" s="51"/>
      <c r="H10681" s="46" t="str">
        <f>IF(AND(I.Developer.P2b=TRUE,I.Facility.P2bFacilityCount&gt;=669,F10681=""),"Incomplete","Complete")</f>
        <v>Complete</v>
      </c>
      <c r="I10681" s="48" t="s">
        <v>15046</v>
      </c>
    </row>
    <row r="10682" spans="2:9" ht="15" customHeight="1" x14ac:dyDescent="0.25">
      <c r="B10682" s="55" t="s">
        <v>281</v>
      </c>
      <c r="C10682" s="46">
        <v>670</v>
      </c>
      <c r="D10682" s="69" t="s">
        <v>29418</v>
      </c>
      <c r="E10682" s="51"/>
      <c r="F10682" s="114" t="str">
        <f>IF(INDEX(I.Facility.P2bIDNumber,670)="","",INDEX(I.Facility.P2bIDNumber,670))</f>
        <v/>
      </c>
      <c r="G10682" s="51"/>
      <c r="H10682" s="46" t="str">
        <f>IF(AND(I.Developer.P2b=TRUE,I.Facility.P2bFacilityCount&gt;=670,F10682=""),"Incomplete","Complete")</f>
        <v>Complete</v>
      </c>
      <c r="I10682" s="48" t="s">
        <v>15047</v>
      </c>
    </row>
    <row r="10683" spans="2:9" ht="15" customHeight="1" x14ac:dyDescent="0.25">
      <c r="B10683" s="55" t="s">
        <v>281</v>
      </c>
      <c r="C10683" s="46">
        <v>671</v>
      </c>
      <c r="D10683" s="69" t="s">
        <v>29418</v>
      </c>
      <c r="E10683" s="51"/>
      <c r="F10683" s="114" t="str">
        <f>IF(INDEX(I.Facility.P2bIDNumber,671)="","",INDEX(I.Facility.P2bIDNumber,671))</f>
        <v/>
      </c>
      <c r="G10683" s="51"/>
      <c r="H10683" s="46" t="str">
        <f>IF(AND(I.Developer.P2b=TRUE,I.Facility.P2bFacilityCount&gt;=671,F10683=""),"Incomplete","Complete")</f>
        <v>Complete</v>
      </c>
      <c r="I10683" s="48" t="s">
        <v>15048</v>
      </c>
    </row>
    <row r="10684" spans="2:9" ht="15" customHeight="1" x14ac:dyDescent="0.25">
      <c r="B10684" s="55" t="s">
        <v>281</v>
      </c>
      <c r="C10684" s="46">
        <v>672</v>
      </c>
      <c r="D10684" s="69" t="s">
        <v>29418</v>
      </c>
      <c r="E10684" s="51"/>
      <c r="F10684" s="114" t="str">
        <f>IF(INDEX(I.Facility.P2bIDNumber,672)="","",INDEX(I.Facility.P2bIDNumber,672))</f>
        <v/>
      </c>
      <c r="G10684" s="51"/>
      <c r="H10684" s="46" t="str">
        <f>IF(AND(I.Developer.P2b=TRUE,I.Facility.P2bFacilityCount&gt;=672,F10684=""),"Incomplete","Complete")</f>
        <v>Complete</v>
      </c>
      <c r="I10684" s="48" t="s">
        <v>15049</v>
      </c>
    </row>
    <row r="10685" spans="2:9" ht="15" customHeight="1" x14ac:dyDescent="0.25">
      <c r="B10685" s="55" t="s">
        <v>281</v>
      </c>
      <c r="C10685" s="46">
        <v>673</v>
      </c>
      <c r="D10685" s="69" t="s">
        <v>29418</v>
      </c>
      <c r="E10685" s="51"/>
      <c r="F10685" s="114" t="str">
        <f>IF(INDEX(I.Facility.P2bIDNumber,673)="","",INDEX(I.Facility.P2bIDNumber,673))</f>
        <v/>
      </c>
      <c r="G10685" s="51"/>
      <c r="H10685" s="46" t="str">
        <f>IF(AND(I.Developer.P2b=TRUE,I.Facility.P2bFacilityCount&gt;=673,F10685=""),"Incomplete","Complete")</f>
        <v>Complete</v>
      </c>
      <c r="I10685" s="48" t="s">
        <v>15050</v>
      </c>
    </row>
    <row r="10686" spans="2:9" ht="15" customHeight="1" x14ac:dyDescent="0.25">
      <c r="B10686" s="55" t="s">
        <v>281</v>
      </c>
      <c r="C10686" s="46">
        <v>674</v>
      </c>
      <c r="D10686" s="69" t="s">
        <v>29418</v>
      </c>
      <c r="E10686" s="51"/>
      <c r="F10686" s="114" t="str">
        <f>IF(INDEX(I.Facility.P2bIDNumber,674)="","",INDEX(I.Facility.P2bIDNumber,674))</f>
        <v/>
      </c>
      <c r="G10686" s="51"/>
      <c r="H10686" s="46" t="str">
        <f>IF(AND(I.Developer.P2b=TRUE,I.Facility.P2bFacilityCount&gt;=674,F10686=""),"Incomplete","Complete")</f>
        <v>Complete</v>
      </c>
      <c r="I10686" s="48" t="s">
        <v>15051</v>
      </c>
    </row>
    <row r="10687" spans="2:9" ht="15" customHeight="1" x14ac:dyDescent="0.25">
      <c r="B10687" s="55" t="s">
        <v>281</v>
      </c>
      <c r="C10687" s="46">
        <v>675</v>
      </c>
      <c r="D10687" s="69" t="s">
        <v>29418</v>
      </c>
      <c r="E10687" s="51"/>
      <c r="F10687" s="114" t="str">
        <f>IF(INDEX(I.Facility.P2bIDNumber,675)="","",INDEX(I.Facility.P2bIDNumber,675))</f>
        <v/>
      </c>
      <c r="G10687" s="51"/>
      <c r="H10687" s="46" t="str">
        <f>IF(AND(I.Developer.P2b=TRUE,I.Facility.P2bFacilityCount&gt;=675,F10687=""),"Incomplete","Complete")</f>
        <v>Complete</v>
      </c>
      <c r="I10687" s="48" t="s">
        <v>15052</v>
      </c>
    </row>
    <row r="10688" spans="2:9" ht="15" customHeight="1" x14ac:dyDescent="0.25">
      <c r="B10688" s="55" t="s">
        <v>281</v>
      </c>
      <c r="C10688" s="46">
        <v>676</v>
      </c>
      <c r="D10688" s="69" t="s">
        <v>29418</v>
      </c>
      <c r="E10688" s="51"/>
      <c r="F10688" s="114" t="str">
        <f>IF(INDEX(I.Facility.P2bIDNumber,676)="","",INDEX(I.Facility.P2bIDNumber,676))</f>
        <v/>
      </c>
      <c r="G10688" s="51"/>
      <c r="H10688" s="46" t="str">
        <f>IF(AND(I.Developer.P2b=TRUE,I.Facility.P2bFacilityCount&gt;=676,F10688=""),"Incomplete","Complete")</f>
        <v>Complete</v>
      </c>
      <c r="I10688" s="48" t="s">
        <v>15053</v>
      </c>
    </row>
    <row r="10689" spans="2:9" ht="15" customHeight="1" x14ac:dyDescent="0.25">
      <c r="B10689" s="55" t="s">
        <v>281</v>
      </c>
      <c r="C10689" s="46">
        <v>677</v>
      </c>
      <c r="D10689" s="69" t="s">
        <v>29418</v>
      </c>
      <c r="E10689" s="51"/>
      <c r="F10689" s="114" t="str">
        <f>IF(INDEX(I.Facility.P2bIDNumber,677)="","",INDEX(I.Facility.P2bIDNumber,677))</f>
        <v/>
      </c>
      <c r="G10689" s="51"/>
      <c r="H10689" s="46" t="str">
        <f>IF(AND(I.Developer.P2b=TRUE,I.Facility.P2bFacilityCount&gt;=677,F10689=""),"Incomplete","Complete")</f>
        <v>Complete</v>
      </c>
      <c r="I10689" s="48" t="s">
        <v>15054</v>
      </c>
    </row>
    <row r="10690" spans="2:9" ht="15" customHeight="1" x14ac:dyDescent="0.25">
      <c r="B10690" s="55" t="s">
        <v>281</v>
      </c>
      <c r="C10690" s="46">
        <v>678</v>
      </c>
      <c r="D10690" s="69" t="s">
        <v>29418</v>
      </c>
      <c r="E10690" s="51"/>
      <c r="F10690" s="114" t="str">
        <f>IF(INDEX(I.Facility.P2bIDNumber,678)="","",INDEX(I.Facility.P2bIDNumber,678))</f>
        <v/>
      </c>
      <c r="G10690" s="51"/>
      <c r="H10690" s="46" t="str">
        <f>IF(AND(I.Developer.P2b=TRUE,I.Facility.P2bFacilityCount&gt;=678,F10690=""),"Incomplete","Complete")</f>
        <v>Complete</v>
      </c>
      <c r="I10690" s="48" t="s">
        <v>15055</v>
      </c>
    </row>
    <row r="10691" spans="2:9" ht="15" customHeight="1" x14ac:dyDescent="0.25">
      <c r="B10691" s="55" t="s">
        <v>281</v>
      </c>
      <c r="C10691" s="46">
        <v>679</v>
      </c>
      <c r="D10691" s="69" t="s">
        <v>29418</v>
      </c>
      <c r="E10691" s="51"/>
      <c r="F10691" s="114" t="str">
        <f>IF(INDEX(I.Facility.P2bIDNumber,679)="","",INDEX(I.Facility.P2bIDNumber,679))</f>
        <v/>
      </c>
      <c r="G10691" s="51"/>
      <c r="H10691" s="46" t="str">
        <f>IF(AND(I.Developer.P2b=TRUE,I.Facility.P2bFacilityCount&gt;=679,F10691=""),"Incomplete","Complete")</f>
        <v>Complete</v>
      </c>
      <c r="I10691" s="48" t="s">
        <v>15056</v>
      </c>
    </row>
    <row r="10692" spans="2:9" ht="15" customHeight="1" x14ac:dyDescent="0.25">
      <c r="B10692" s="55" t="s">
        <v>281</v>
      </c>
      <c r="C10692" s="46">
        <v>680</v>
      </c>
      <c r="D10692" s="69" t="s">
        <v>29418</v>
      </c>
      <c r="E10692" s="51"/>
      <c r="F10692" s="114" t="str">
        <f>IF(INDEX(I.Facility.P2bIDNumber,680)="","",INDEX(I.Facility.P2bIDNumber,680))</f>
        <v/>
      </c>
      <c r="G10692" s="51"/>
      <c r="H10692" s="46" t="str">
        <f>IF(AND(I.Developer.P2b=TRUE,I.Facility.P2bFacilityCount&gt;=680,F10692=""),"Incomplete","Complete")</f>
        <v>Complete</v>
      </c>
      <c r="I10692" s="48" t="s">
        <v>15057</v>
      </c>
    </row>
    <row r="10693" spans="2:9" ht="15" customHeight="1" x14ac:dyDescent="0.25">
      <c r="B10693" s="55" t="s">
        <v>281</v>
      </c>
      <c r="C10693" s="46">
        <v>681</v>
      </c>
      <c r="D10693" s="69" t="s">
        <v>29418</v>
      </c>
      <c r="E10693" s="51"/>
      <c r="F10693" s="114" t="str">
        <f>IF(INDEX(I.Facility.P2bIDNumber,681)="","",INDEX(I.Facility.P2bIDNumber,681))</f>
        <v/>
      </c>
      <c r="G10693" s="51"/>
      <c r="H10693" s="46" t="str">
        <f>IF(AND(I.Developer.P2b=TRUE,I.Facility.P2bFacilityCount&gt;=681,F10693=""),"Incomplete","Complete")</f>
        <v>Complete</v>
      </c>
      <c r="I10693" s="48" t="s">
        <v>15058</v>
      </c>
    </row>
    <row r="10694" spans="2:9" ht="15" customHeight="1" x14ac:dyDescent="0.25">
      <c r="B10694" s="55" t="s">
        <v>281</v>
      </c>
      <c r="C10694" s="46">
        <v>682</v>
      </c>
      <c r="D10694" s="69" t="s">
        <v>29418</v>
      </c>
      <c r="E10694" s="51"/>
      <c r="F10694" s="114" t="str">
        <f>IF(INDEX(I.Facility.P2bIDNumber,682)="","",INDEX(I.Facility.P2bIDNumber,682))</f>
        <v/>
      </c>
      <c r="G10694" s="51"/>
      <c r="H10694" s="46" t="str">
        <f>IF(AND(I.Developer.P2b=TRUE,I.Facility.P2bFacilityCount&gt;=682,F10694=""),"Incomplete","Complete")</f>
        <v>Complete</v>
      </c>
      <c r="I10694" s="48" t="s">
        <v>15059</v>
      </c>
    </row>
    <row r="10695" spans="2:9" ht="15" customHeight="1" x14ac:dyDescent="0.25">
      <c r="B10695" s="55" t="s">
        <v>281</v>
      </c>
      <c r="C10695" s="46">
        <v>683</v>
      </c>
      <c r="D10695" s="69" t="s">
        <v>29418</v>
      </c>
      <c r="E10695" s="51"/>
      <c r="F10695" s="114" t="str">
        <f>IF(INDEX(I.Facility.P2bIDNumber,683)="","",INDEX(I.Facility.P2bIDNumber,683))</f>
        <v/>
      </c>
      <c r="G10695" s="51"/>
      <c r="H10695" s="46" t="str">
        <f>IF(AND(I.Developer.P2b=TRUE,I.Facility.P2bFacilityCount&gt;=683,F10695=""),"Incomplete","Complete")</f>
        <v>Complete</v>
      </c>
      <c r="I10695" s="48" t="s">
        <v>15060</v>
      </c>
    </row>
    <row r="10696" spans="2:9" ht="15" customHeight="1" x14ac:dyDescent="0.25">
      <c r="B10696" s="55" t="s">
        <v>281</v>
      </c>
      <c r="C10696" s="46">
        <v>684</v>
      </c>
      <c r="D10696" s="69" t="s">
        <v>29418</v>
      </c>
      <c r="E10696" s="51"/>
      <c r="F10696" s="114" t="str">
        <f>IF(INDEX(I.Facility.P2bIDNumber,684)="","",INDEX(I.Facility.P2bIDNumber,684))</f>
        <v/>
      </c>
      <c r="G10696" s="51"/>
      <c r="H10696" s="46" t="str">
        <f>IF(AND(I.Developer.P2b=TRUE,I.Facility.P2bFacilityCount&gt;=684,F10696=""),"Incomplete","Complete")</f>
        <v>Complete</v>
      </c>
      <c r="I10696" s="48" t="s">
        <v>15061</v>
      </c>
    </row>
    <row r="10697" spans="2:9" ht="15" customHeight="1" x14ac:dyDescent="0.25">
      <c r="B10697" s="55" t="s">
        <v>281</v>
      </c>
      <c r="C10697" s="46">
        <v>685</v>
      </c>
      <c r="D10697" s="69" t="s">
        <v>29418</v>
      </c>
      <c r="E10697" s="51"/>
      <c r="F10697" s="114" t="str">
        <f>IF(INDEX(I.Facility.P2bIDNumber,685)="","",INDEX(I.Facility.P2bIDNumber,685))</f>
        <v/>
      </c>
      <c r="G10697" s="51"/>
      <c r="H10697" s="46" t="str">
        <f>IF(AND(I.Developer.P2b=TRUE,I.Facility.P2bFacilityCount&gt;=685,F10697=""),"Incomplete","Complete")</f>
        <v>Complete</v>
      </c>
      <c r="I10697" s="48" t="s">
        <v>15062</v>
      </c>
    </row>
    <row r="10698" spans="2:9" ht="15" customHeight="1" x14ac:dyDescent="0.25">
      <c r="B10698" s="55" t="s">
        <v>281</v>
      </c>
      <c r="C10698" s="46">
        <v>686</v>
      </c>
      <c r="D10698" s="69" t="s">
        <v>29418</v>
      </c>
      <c r="E10698" s="51"/>
      <c r="F10698" s="114" t="str">
        <f>IF(INDEX(I.Facility.P2bIDNumber,686)="","",INDEX(I.Facility.P2bIDNumber,686))</f>
        <v/>
      </c>
      <c r="G10698" s="51"/>
      <c r="H10698" s="46" t="str">
        <f>IF(AND(I.Developer.P2b=TRUE,I.Facility.P2bFacilityCount&gt;=686,F10698=""),"Incomplete","Complete")</f>
        <v>Complete</v>
      </c>
      <c r="I10698" s="48" t="s">
        <v>15063</v>
      </c>
    </row>
    <row r="10699" spans="2:9" ht="15" customHeight="1" x14ac:dyDescent="0.25">
      <c r="B10699" s="55" t="s">
        <v>281</v>
      </c>
      <c r="C10699" s="46">
        <v>687</v>
      </c>
      <c r="D10699" s="69" t="s">
        <v>29418</v>
      </c>
      <c r="E10699" s="51"/>
      <c r="F10699" s="114" t="str">
        <f>IF(INDEX(I.Facility.P2bIDNumber,687)="","",INDEX(I.Facility.P2bIDNumber,687))</f>
        <v/>
      </c>
      <c r="G10699" s="51"/>
      <c r="H10699" s="46" t="str">
        <f>IF(AND(I.Developer.P2b=TRUE,I.Facility.P2bFacilityCount&gt;=687,F10699=""),"Incomplete","Complete")</f>
        <v>Complete</v>
      </c>
      <c r="I10699" s="48" t="s">
        <v>15064</v>
      </c>
    </row>
    <row r="10700" spans="2:9" ht="15" customHeight="1" x14ac:dyDescent="0.25">
      <c r="B10700" s="55" t="s">
        <v>281</v>
      </c>
      <c r="C10700" s="46">
        <v>688</v>
      </c>
      <c r="D10700" s="69" t="s">
        <v>29418</v>
      </c>
      <c r="E10700" s="51"/>
      <c r="F10700" s="114" t="str">
        <f>IF(INDEX(I.Facility.P2bIDNumber,688)="","",INDEX(I.Facility.P2bIDNumber,688))</f>
        <v/>
      </c>
      <c r="G10700" s="51"/>
      <c r="H10700" s="46" t="str">
        <f>IF(AND(I.Developer.P2b=TRUE,I.Facility.P2bFacilityCount&gt;=688,F10700=""),"Incomplete","Complete")</f>
        <v>Complete</v>
      </c>
      <c r="I10700" s="48" t="s">
        <v>15065</v>
      </c>
    </row>
    <row r="10701" spans="2:9" ht="15" customHeight="1" x14ac:dyDescent="0.25">
      <c r="B10701" s="55" t="s">
        <v>281</v>
      </c>
      <c r="C10701" s="46">
        <v>689</v>
      </c>
      <c r="D10701" s="69" t="s">
        <v>29418</v>
      </c>
      <c r="E10701" s="51"/>
      <c r="F10701" s="114" t="str">
        <f>IF(INDEX(I.Facility.P2bIDNumber,689)="","",INDEX(I.Facility.P2bIDNumber,689))</f>
        <v/>
      </c>
      <c r="G10701" s="51"/>
      <c r="H10701" s="46" t="str">
        <f>IF(AND(I.Developer.P2b=TRUE,I.Facility.P2bFacilityCount&gt;=689,F10701=""),"Incomplete","Complete")</f>
        <v>Complete</v>
      </c>
      <c r="I10701" s="48" t="s">
        <v>15066</v>
      </c>
    </row>
    <row r="10702" spans="2:9" ht="15" customHeight="1" x14ac:dyDescent="0.25">
      <c r="B10702" s="55" t="s">
        <v>281</v>
      </c>
      <c r="C10702" s="46">
        <v>690</v>
      </c>
      <c r="D10702" s="69" t="s">
        <v>29418</v>
      </c>
      <c r="E10702" s="51"/>
      <c r="F10702" s="114" t="str">
        <f>IF(INDEX(I.Facility.P2bIDNumber,690)="","",INDEX(I.Facility.P2bIDNumber,690))</f>
        <v/>
      </c>
      <c r="G10702" s="51"/>
      <c r="H10702" s="46" t="str">
        <f>IF(AND(I.Developer.P2b=TRUE,I.Facility.P2bFacilityCount&gt;=690,F10702=""),"Incomplete","Complete")</f>
        <v>Complete</v>
      </c>
      <c r="I10702" s="48" t="s">
        <v>15067</v>
      </c>
    </row>
    <row r="10703" spans="2:9" ht="15" customHeight="1" x14ac:dyDescent="0.25">
      <c r="B10703" s="55" t="s">
        <v>281</v>
      </c>
      <c r="C10703" s="46">
        <v>691</v>
      </c>
      <c r="D10703" s="69" t="s">
        <v>29418</v>
      </c>
      <c r="E10703" s="51"/>
      <c r="F10703" s="114" t="str">
        <f>IF(INDEX(I.Facility.P2bIDNumber,691)="","",INDEX(I.Facility.P2bIDNumber,691))</f>
        <v/>
      </c>
      <c r="G10703" s="51"/>
      <c r="H10703" s="46" t="str">
        <f>IF(AND(I.Developer.P2b=TRUE,I.Facility.P2bFacilityCount&gt;=691,F10703=""),"Incomplete","Complete")</f>
        <v>Complete</v>
      </c>
      <c r="I10703" s="48" t="s">
        <v>15068</v>
      </c>
    </row>
    <row r="10704" spans="2:9" ht="15" customHeight="1" x14ac:dyDescent="0.25">
      <c r="B10704" s="55" t="s">
        <v>281</v>
      </c>
      <c r="C10704" s="46">
        <v>692</v>
      </c>
      <c r="D10704" s="69" t="s">
        <v>29418</v>
      </c>
      <c r="E10704" s="51"/>
      <c r="F10704" s="114" t="str">
        <f>IF(INDEX(I.Facility.P2bIDNumber,692)="","",INDEX(I.Facility.P2bIDNumber,692))</f>
        <v/>
      </c>
      <c r="G10704" s="51"/>
      <c r="H10704" s="46" t="str">
        <f>IF(AND(I.Developer.P2b=TRUE,I.Facility.P2bFacilityCount&gt;=692,F10704=""),"Incomplete","Complete")</f>
        <v>Complete</v>
      </c>
      <c r="I10704" s="48" t="s">
        <v>15069</v>
      </c>
    </row>
    <row r="10705" spans="2:9" ht="15" customHeight="1" x14ac:dyDescent="0.25">
      <c r="B10705" s="55" t="s">
        <v>281</v>
      </c>
      <c r="C10705" s="46">
        <v>693</v>
      </c>
      <c r="D10705" s="69" t="s">
        <v>29418</v>
      </c>
      <c r="E10705" s="51"/>
      <c r="F10705" s="114" t="str">
        <f>IF(INDEX(I.Facility.P2bIDNumber,693)="","",INDEX(I.Facility.P2bIDNumber,693))</f>
        <v/>
      </c>
      <c r="G10705" s="51"/>
      <c r="H10705" s="46" t="str">
        <f>IF(AND(I.Developer.P2b=TRUE,I.Facility.P2bFacilityCount&gt;=693,F10705=""),"Incomplete","Complete")</f>
        <v>Complete</v>
      </c>
      <c r="I10705" s="48" t="s">
        <v>15070</v>
      </c>
    </row>
    <row r="10706" spans="2:9" ht="15" customHeight="1" x14ac:dyDescent="0.25">
      <c r="B10706" s="55" t="s">
        <v>281</v>
      </c>
      <c r="C10706" s="46">
        <v>694</v>
      </c>
      <c r="D10706" s="69" t="s">
        <v>29418</v>
      </c>
      <c r="E10706" s="51"/>
      <c r="F10706" s="114" t="str">
        <f>IF(INDEX(I.Facility.P2bIDNumber,694)="","",INDEX(I.Facility.P2bIDNumber,694))</f>
        <v/>
      </c>
      <c r="G10706" s="51"/>
      <c r="H10706" s="46" t="str">
        <f>IF(AND(I.Developer.P2b=TRUE,I.Facility.P2bFacilityCount&gt;=694,F10706=""),"Incomplete","Complete")</f>
        <v>Complete</v>
      </c>
      <c r="I10706" s="48" t="s">
        <v>15071</v>
      </c>
    </row>
    <row r="10707" spans="2:9" ht="15" customHeight="1" x14ac:dyDescent="0.25">
      <c r="B10707" s="55" t="s">
        <v>281</v>
      </c>
      <c r="C10707" s="46">
        <v>695</v>
      </c>
      <c r="D10707" s="69" t="s">
        <v>29418</v>
      </c>
      <c r="E10707" s="51"/>
      <c r="F10707" s="114" t="str">
        <f>IF(INDEX(I.Facility.P2bIDNumber,695)="","",INDEX(I.Facility.P2bIDNumber,695))</f>
        <v/>
      </c>
      <c r="G10707" s="51"/>
      <c r="H10707" s="46" t="str">
        <f>IF(AND(I.Developer.P2b=TRUE,I.Facility.P2bFacilityCount&gt;=695,F10707=""),"Incomplete","Complete")</f>
        <v>Complete</v>
      </c>
      <c r="I10707" s="48" t="s">
        <v>15072</v>
      </c>
    </row>
    <row r="10708" spans="2:9" ht="15" customHeight="1" x14ac:dyDescent="0.25">
      <c r="B10708" s="55" t="s">
        <v>281</v>
      </c>
      <c r="C10708" s="46">
        <v>696</v>
      </c>
      <c r="D10708" s="69" t="s">
        <v>29418</v>
      </c>
      <c r="E10708" s="51"/>
      <c r="F10708" s="114" t="str">
        <f>IF(INDEX(I.Facility.P2bIDNumber,696)="","",INDEX(I.Facility.P2bIDNumber,696))</f>
        <v/>
      </c>
      <c r="G10708" s="51"/>
      <c r="H10708" s="46" t="str">
        <f>IF(AND(I.Developer.P2b=TRUE,I.Facility.P2bFacilityCount&gt;=696,F10708=""),"Incomplete","Complete")</f>
        <v>Complete</v>
      </c>
      <c r="I10708" s="48" t="s">
        <v>15073</v>
      </c>
    </row>
    <row r="10709" spans="2:9" ht="15" customHeight="1" x14ac:dyDescent="0.25">
      <c r="B10709" s="55" t="s">
        <v>281</v>
      </c>
      <c r="C10709" s="46">
        <v>697</v>
      </c>
      <c r="D10709" s="69" t="s">
        <v>29418</v>
      </c>
      <c r="E10709" s="51"/>
      <c r="F10709" s="114" t="str">
        <f>IF(INDEX(I.Facility.P2bIDNumber,697)="","",INDEX(I.Facility.P2bIDNumber,697))</f>
        <v/>
      </c>
      <c r="G10709" s="51"/>
      <c r="H10709" s="46" t="str">
        <f>IF(AND(I.Developer.P2b=TRUE,I.Facility.P2bFacilityCount&gt;=697,F10709=""),"Incomplete","Complete")</f>
        <v>Complete</v>
      </c>
      <c r="I10709" s="48" t="s">
        <v>15074</v>
      </c>
    </row>
    <row r="10710" spans="2:9" ht="15" customHeight="1" x14ac:dyDescent="0.25">
      <c r="B10710" s="55" t="s">
        <v>281</v>
      </c>
      <c r="C10710" s="46">
        <v>698</v>
      </c>
      <c r="D10710" s="69" t="s">
        <v>29418</v>
      </c>
      <c r="E10710" s="51"/>
      <c r="F10710" s="114" t="str">
        <f>IF(INDEX(I.Facility.P2bIDNumber,698)="","",INDEX(I.Facility.P2bIDNumber,698))</f>
        <v/>
      </c>
      <c r="G10710" s="51"/>
      <c r="H10710" s="46" t="str">
        <f>IF(AND(I.Developer.P2b=TRUE,I.Facility.P2bFacilityCount&gt;=698,F10710=""),"Incomplete","Complete")</f>
        <v>Complete</v>
      </c>
      <c r="I10710" s="48" t="s">
        <v>15075</v>
      </c>
    </row>
    <row r="10711" spans="2:9" ht="15" customHeight="1" x14ac:dyDescent="0.25">
      <c r="B10711" s="55" t="s">
        <v>281</v>
      </c>
      <c r="C10711" s="46">
        <v>699</v>
      </c>
      <c r="D10711" s="69" t="s">
        <v>29418</v>
      </c>
      <c r="E10711" s="51"/>
      <c r="F10711" s="114" t="str">
        <f>IF(INDEX(I.Facility.P2bIDNumber,699)="","",INDEX(I.Facility.P2bIDNumber,699))</f>
        <v/>
      </c>
      <c r="G10711" s="51"/>
      <c r="H10711" s="46" t="str">
        <f>IF(AND(I.Developer.P2b=TRUE,I.Facility.P2bFacilityCount&gt;=699,F10711=""),"Incomplete","Complete")</f>
        <v>Complete</v>
      </c>
      <c r="I10711" s="48" t="s">
        <v>15076</v>
      </c>
    </row>
    <row r="10712" spans="2:9" ht="15" customHeight="1" x14ac:dyDescent="0.25">
      <c r="B10712" s="55" t="s">
        <v>281</v>
      </c>
      <c r="C10712" s="46">
        <v>700</v>
      </c>
      <c r="D10712" s="69" t="s">
        <v>29418</v>
      </c>
      <c r="E10712" s="51"/>
      <c r="F10712" s="114" t="str">
        <f>IF(INDEX(I.Facility.P2bIDNumber,700)="","",INDEX(I.Facility.P2bIDNumber,700))</f>
        <v/>
      </c>
      <c r="G10712" s="51"/>
      <c r="H10712" s="46" t="str">
        <f>IF(AND(I.Developer.P2b=TRUE,I.Facility.P2bFacilityCount&gt;=700,F10712=""),"Incomplete","Complete")</f>
        <v>Complete</v>
      </c>
      <c r="I10712" s="48" t="s">
        <v>15077</v>
      </c>
    </row>
    <row r="10713" spans="2:9" ht="15" customHeight="1" x14ac:dyDescent="0.25">
      <c r="B10713" s="55" t="s">
        <v>281</v>
      </c>
      <c r="C10713" s="46">
        <v>701</v>
      </c>
      <c r="D10713" s="69" t="s">
        <v>29418</v>
      </c>
      <c r="E10713" s="51"/>
      <c r="F10713" s="114" t="str">
        <f>IF(INDEX(I.Facility.P2bIDNumber,701)="","",INDEX(I.Facility.P2bIDNumber,701))</f>
        <v/>
      </c>
      <c r="G10713" s="51"/>
      <c r="H10713" s="46" t="str">
        <f>IF(AND(I.Developer.P2b=TRUE,I.Facility.P2bFacilityCount&gt;=701,F10713=""),"Incomplete","Complete")</f>
        <v>Complete</v>
      </c>
      <c r="I10713" s="48" t="s">
        <v>15078</v>
      </c>
    </row>
    <row r="10714" spans="2:9" ht="15" customHeight="1" x14ac:dyDescent="0.25">
      <c r="B10714" s="55" t="s">
        <v>281</v>
      </c>
      <c r="C10714" s="46">
        <v>702</v>
      </c>
      <c r="D10714" s="69" t="s">
        <v>29418</v>
      </c>
      <c r="E10714" s="51"/>
      <c r="F10714" s="114" t="str">
        <f>IF(INDEX(I.Facility.P2bIDNumber,702)="","",INDEX(I.Facility.P2bIDNumber,702))</f>
        <v/>
      </c>
      <c r="G10714" s="51"/>
      <c r="H10714" s="46" t="str">
        <f>IF(AND(I.Developer.P2b=TRUE,I.Facility.P2bFacilityCount&gt;=702,F10714=""),"Incomplete","Complete")</f>
        <v>Complete</v>
      </c>
      <c r="I10714" s="48" t="s">
        <v>15079</v>
      </c>
    </row>
    <row r="10715" spans="2:9" ht="15" customHeight="1" x14ac:dyDescent="0.25">
      <c r="B10715" s="55" t="s">
        <v>281</v>
      </c>
      <c r="C10715" s="46">
        <v>703</v>
      </c>
      <c r="D10715" s="69" t="s">
        <v>29418</v>
      </c>
      <c r="E10715" s="51"/>
      <c r="F10715" s="114" t="str">
        <f>IF(INDEX(I.Facility.P2bIDNumber,703)="","",INDEX(I.Facility.P2bIDNumber,703))</f>
        <v/>
      </c>
      <c r="G10715" s="51"/>
      <c r="H10715" s="46" t="str">
        <f>IF(AND(I.Developer.P2b=TRUE,I.Facility.P2bFacilityCount&gt;=703,F10715=""),"Incomplete","Complete")</f>
        <v>Complete</v>
      </c>
      <c r="I10715" s="48" t="s">
        <v>15080</v>
      </c>
    </row>
    <row r="10716" spans="2:9" ht="15" customHeight="1" x14ac:dyDescent="0.25">
      <c r="B10716" s="55" t="s">
        <v>281</v>
      </c>
      <c r="C10716" s="46">
        <v>704</v>
      </c>
      <c r="D10716" s="69" t="s">
        <v>29418</v>
      </c>
      <c r="E10716" s="51"/>
      <c r="F10716" s="114" t="str">
        <f>IF(INDEX(I.Facility.P2bIDNumber,704)="","",INDEX(I.Facility.P2bIDNumber,704))</f>
        <v/>
      </c>
      <c r="G10716" s="51"/>
      <c r="H10716" s="46" t="str">
        <f>IF(AND(I.Developer.P2b=TRUE,I.Facility.P2bFacilityCount&gt;=704,F10716=""),"Incomplete","Complete")</f>
        <v>Complete</v>
      </c>
      <c r="I10716" s="48" t="s">
        <v>15081</v>
      </c>
    </row>
    <row r="10717" spans="2:9" ht="15" customHeight="1" x14ac:dyDescent="0.25">
      <c r="B10717" s="55" t="s">
        <v>281</v>
      </c>
      <c r="C10717" s="46">
        <v>705</v>
      </c>
      <c r="D10717" s="69" t="s">
        <v>29418</v>
      </c>
      <c r="E10717" s="51"/>
      <c r="F10717" s="114" t="str">
        <f>IF(INDEX(I.Facility.P2bIDNumber,705)="","",INDEX(I.Facility.P2bIDNumber,705))</f>
        <v/>
      </c>
      <c r="G10717" s="51"/>
      <c r="H10717" s="46" t="str">
        <f>IF(AND(I.Developer.P2b=TRUE,I.Facility.P2bFacilityCount&gt;=705,F10717=""),"Incomplete","Complete")</f>
        <v>Complete</v>
      </c>
      <c r="I10717" s="48" t="s">
        <v>15082</v>
      </c>
    </row>
    <row r="10718" spans="2:9" ht="15" customHeight="1" x14ac:dyDescent="0.25">
      <c r="B10718" s="55" t="s">
        <v>281</v>
      </c>
      <c r="C10718" s="46">
        <v>706</v>
      </c>
      <c r="D10718" s="69" t="s">
        <v>29418</v>
      </c>
      <c r="E10718" s="51"/>
      <c r="F10718" s="114" t="str">
        <f>IF(INDEX(I.Facility.P2bIDNumber,706)="","",INDEX(I.Facility.P2bIDNumber,706))</f>
        <v/>
      </c>
      <c r="G10718" s="51"/>
      <c r="H10718" s="46" t="str">
        <f>IF(AND(I.Developer.P2b=TRUE,I.Facility.P2bFacilityCount&gt;=706,F10718=""),"Incomplete","Complete")</f>
        <v>Complete</v>
      </c>
      <c r="I10718" s="48" t="s">
        <v>15083</v>
      </c>
    </row>
    <row r="10719" spans="2:9" ht="15" customHeight="1" x14ac:dyDescent="0.25">
      <c r="B10719" s="55" t="s">
        <v>281</v>
      </c>
      <c r="C10719" s="46">
        <v>707</v>
      </c>
      <c r="D10719" s="69" t="s">
        <v>29418</v>
      </c>
      <c r="E10719" s="51"/>
      <c r="F10719" s="114" t="str">
        <f>IF(INDEX(I.Facility.P2bIDNumber,707)="","",INDEX(I.Facility.P2bIDNumber,707))</f>
        <v/>
      </c>
      <c r="G10719" s="51"/>
      <c r="H10719" s="46" t="str">
        <f>IF(AND(I.Developer.P2b=TRUE,I.Facility.P2bFacilityCount&gt;=707,F10719=""),"Incomplete","Complete")</f>
        <v>Complete</v>
      </c>
      <c r="I10719" s="48" t="s">
        <v>15084</v>
      </c>
    </row>
    <row r="10720" spans="2:9" ht="15" customHeight="1" x14ac:dyDescent="0.25">
      <c r="B10720" s="55" t="s">
        <v>281</v>
      </c>
      <c r="C10720" s="46">
        <v>708</v>
      </c>
      <c r="D10720" s="69" t="s">
        <v>29418</v>
      </c>
      <c r="E10720" s="51"/>
      <c r="F10720" s="114" t="str">
        <f>IF(INDEX(I.Facility.P2bIDNumber,708)="","",INDEX(I.Facility.P2bIDNumber,708))</f>
        <v/>
      </c>
      <c r="G10720" s="51"/>
      <c r="H10720" s="46" t="str">
        <f>IF(AND(I.Developer.P2b=TRUE,I.Facility.P2bFacilityCount&gt;=708,F10720=""),"Incomplete","Complete")</f>
        <v>Complete</v>
      </c>
      <c r="I10720" s="48" t="s">
        <v>15085</v>
      </c>
    </row>
    <row r="10721" spans="2:9" ht="15" customHeight="1" x14ac:dyDescent="0.25">
      <c r="B10721" s="55" t="s">
        <v>281</v>
      </c>
      <c r="C10721" s="46">
        <v>709</v>
      </c>
      <c r="D10721" s="69" t="s">
        <v>29418</v>
      </c>
      <c r="E10721" s="51"/>
      <c r="F10721" s="114" t="str">
        <f>IF(INDEX(I.Facility.P2bIDNumber,709)="","",INDEX(I.Facility.P2bIDNumber,709))</f>
        <v/>
      </c>
      <c r="G10721" s="51"/>
      <c r="H10721" s="46" t="str">
        <f>IF(AND(I.Developer.P2b=TRUE,I.Facility.P2bFacilityCount&gt;=709,F10721=""),"Incomplete","Complete")</f>
        <v>Complete</v>
      </c>
      <c r="I10721" s="48" t="s">
        <v>15086</v>
      </c>
    </row>
    <row r="10722" spans="2:9" ht="15" customHeight="1" x14ac:dyDescent="0.25">
      <c r="B10722" s="55" t="s">
        <v>281</v>
      </c>
      <c r="C10722" s="46">
        <v>710</v>
      </c>
      <c r="D10722" s="69" t="s">
        <v>29418</v>
      </c>
      <c r="E10722" s="51"/>
      <c r="F10722" s="114" t="str">
        <f>IF(INDEX(I.Facility.P2bIDNumber,710)="","",INDEX(I.Facility.P2bIDNumber,710))</f>
        <v/>
      </c>
      <c r="G10722" s="51"/>
      <c r="H10722" s="46" t="str">
        <f>IF(AND(I.Developer.P2b=TRUE,I.Facility.P2bFacilityCount&gt;=710,F10722=""),"Incomplete","Complete")</f>
        <v>Complete</v>
      </c>
      <c r="I10722" s="48" t="s">
        <v>15087</v>
      </c>
    </row>
    <row r="10723" spans="2:9" ht="15" customHeight="1" x14ac:dyDescent="0.25">
      <c r="B10723" s="55" t="s">
        <v>281</v>
      </c>
      <c r="C10723" s="46">
        <v>711</v>
      </c>
      <c r="D10723" s="69" t="s">
        <v>29418</v>
      </c>
      <c r="E10723" s="51"/>
      <c r="F10723" s="114" t="str">
        <f>IF(INDEX(I.Facility.P2bIDNumber,711)="","",INDEX(I.Facility.P2bIDNumber,711))</f>
        <v/>
      </c>
      <c r="G10723" s="51"/>
      <c r="H10723" s="46" t="str">
        <f>IF(AND(I.Developer.P2b=TRUE,I.Facility.P2bFacilityCount&gt;=711,F10723=""),"Incomplete","Complete")</f>
        <v>Complete</v>
      </c>
      <c r="I10723" s="48" t="s">
        <v>15088</v>
      </c>
    </row>
    <row r="10724" spans="2:9" ht="15" customHeight="1" x14ac:dyDescent="0.25">
      <c r="B10724" s="55" t="s">
        <v>281</v>
      </c>
      <c r="C10724" s="46">
        <v>712</v>
      </c>
      <c r="D10724" s="69" t="s">
        <v>29418</v>
      </c>
      <c r="E10724" s="51"/>
      <c r="F10724" s="114" t="str">
        <f>IF(INDEX(I.Facility.P2bIDNumber,712)="","",INDEX(I.Facility.P2bIDNumber,712))</f>
        <v/>
      </c>
      <c r="G10724" s="51"/>
      <c r="H10724" s="46" t="str">
        <f>IF(AND(I.Developer.P2b=TRUE,I.Facility.P2bFacilityCount&gt;=712,F10724=""),"Incomplete","Complete")</f>
        <v>Complete</v>
      </c>
      <c r="I10724" s="48" t="s">
        <v>15089</v>
      </c>
    </row>
    <row r="10725" spans="2:9" ht="15" customHeight="1" x14ac:dyDescent="0.25">
      <c r="B10725" s="55" t="s">
        <v>281</v>
      </c>
      <c r="C10725" s="46">
        <v>713</v>
      </c>
      <c r="D10725" s="69" t="s">
        <v>29418</v>
      </c>
      <c r="E10725" s="51"/>
      <c r="F10725" s="114" t="str">
        <f>IF(INDEX(I.Facility.P2bIDNumber,713)="","",INDEX(I.Facility.P2bIDNumber,713))</f>
        <v/>
      </c>
      <c r="G10725" s="51"/>
      <c r="H10725" s="46" t="str">
        <f>IF(AND(I.Developer.P2b=TRUE,I.Facility.P2bFacilityCount&gt;=713,F10725=""),"Incomplete","Complete")</f>
        <v>Complete</v>
      </c>
      <c r="I10725" s="48" t="s">
        <v>15090</v>
      </c>
    </row>
    <row r="10726" spans="2:9" ht="15" customHeight="1" x14ac:dyDescent="0.25">
      <c r="B10726" s="55" t="s">
        <v>281</v>
      </c>
      <c r="C10726" s="46">
        <v>714</v>
      </c>
      <c r="D10726" s="69" t="s">
        <v>29418</v>
      </c>
      <c r="E10726" s="51"/>
      <c r="F10726" s="114" t="str">
        <f>IF(INDEX(I.Facility.P2bIDNumber,714)="","",INDEX(I.Facility.P2bIDNumber,714))</f>
        <v/>
      </c>
      <c r="G10726" s="51"/>
      <c r="H10726" s="46" t="str">
        <f>IF(AND(I.Developer.P2b=TRUE,I.Facility.P2bFacilityCount&gt;=714,F10726=""),"Incomplete","Complete")</f>
        <v>Complete</v>
      </c>
      <c r="I10726" s="48" t="s">
        <v>15091</v>
      </c>
    </row>
    <row r="10727" spans="2:9" ht="15" customHeight="1" x14ac:dyDescent="0.25">
      <c r="B10727" s="55" t="s">
        <v>281</v>
      </c>
      <c r="C10727" s="46">
        <v>715</v>
      </c>
      <c r="D10727" s="69" t="s">
        <v>29418</v>
      </c>
      <c r="E10727" s="51"/>
      <c r="F10727" s="114" t="str">
        <f>IF(INDEX(I.Facility.P2bIDNumber,715)="","",INDEX(I.Facility.P2bIDNumber,715))</f>
        <v/>
      </c>
      <c r="G10727" s="51"/>
      <c r="H10727" s="46" t="str">
        <f>IF(AND(I.Developer.P2b=TRUE,I.Facility.P2bFacilityCount&gt;=715,F10727=""),"Incomplete","Complete")</f>
        <v>Complete</v>
      </c>
      <c r="I10727" s="48" t="s">
        <v>15092</v>
      </c>
    </row>
    <row r="10728" spans="2:9" ht="15" customHeight="1" x14ac:dyDescent="0.25">
      <c r="B10728" s="55" t="s">
        <v>281</v>
      </c>
      <c r="C10728" s="46">
        <v>716</v>
      </c>
      <c r="D10728" s="69" t="s">
        <v>29418</v>
      </c>
      <c r="E10728" s="51"/>
      <c r="F10728" s="114" t="str">
        <f>IF(INDEX(I.Facility.P2bIDNumber,716)="","",INDEX(I.Facility.P2bIDNumber,716))</f>
        <v/>
      </c>
      <c r="G10728" s="51"/>
      <c r="H10728" s="46" t="str">
        <f>IF(AND(I.Developer.P2b=TRUE,I.Facility.P2bFacilityCount&gt;=716,F10728=""),"Incomplete","Complete")</f>
        <v>Complete</v>
      </c>
      <c r="I10728" s="48" t="s">
        <v>15093</v>
      </c>
    </row>
    <row r="10729" spans="2:9" ht="15" customHeight="1" x14ac:dyDescent="0.25">
      <c r="B10729" s="55" t="s">
        <v>281</v>
      </c>
      <c r="C10729" s="46">
        <v>717</v>
      </c>
      <c r="D10729" s="69" t="s">
        <v>29418</v>
      </c>
      <c r="E10729" s="51"/>
      <c r="F10729" s="114" t="str">
        <f>IF(INDEX(I.Facility.P2bIDNumber,717)="","",INDEX(I.Facility.P2bIDNumber,717))</f>
        <v/>
      </c>
      <c r="G10729" s="51"/>
      <c r="H10729" s="46" t="str">
        <f>IF(AND(I.Developer.P2b=TRUE,I.Facility.P2bFacilityCount&gt;=717,F10729=""),"Incomplete","Complete")</f>
        <v>Complete</v>
      </c>
      <c r="I10729" s="48" t="s">
        <v>15094</v>
      </c>
    </row>
    <row r="10730" spans="2:9" ht="15" customHeight="1" x14ac:dyDescent="0.25">
      <c r="B10730" s="55" t="s">
        <v>281</v>
      </c>
      <c r="C10730" s="46">
        <v>718</v>
      </c>
      <c r="D10730" s="69" t="s">
        <v>29418</v>
      </c>
      <c r="E10730" s="51"/>
      <c r="F10730" s="114" t="str">
        <f>IF(INDEX(I.Facility.P2bIDNumber,718)="","",INDEX(I.Facility.P2bIDNumber,718))</f>
        <v/>
      </c>
      <c r="G10730" s="51"/>
      <c r="H10730" s="46" t="str">
        <f>IF(AND(I.Developer.P2b=TRUE,I.Facility.P2bFacilityCount&gt;=718,F10730=""),"Incomplete","Complete")</f>
        <v>Complete</v>
      </c>
      <c r="I10730" s="48" t="s">
        <v>15095</v>
      </c>
    </row>
    <row r="10731" spans="2:9" ht="15" customHeight="1" x14ac:dyDescent="0.25">
      <c r="B10731" s="55" t="s">
        <v>281</v>
      </c>
      <c r="C10731" s="46">
        <v>719</v>
      </c>
      <c r="D10731" s="69" t="s">
        <v>29418</v>
      </c>
      <c r="E10731" s="51"/>
      <c r="F10731" s="114" t="str">
        <f>IF(INDEX(I.Facility.P2bIDNumber,719)="","",INDEX(I.Facility.P2bIDNumber,719))</f>
        <v/>
      </c>
      <c r="G10731" s="51"/>
      <c r="H10731" s="46" t="str">
        <f>IF(AND(I.Developer.P2b=TRUE,I.Facility.P2bFacilityCount&gt;=719,F10731=""),"Incomplete","Complete")</f>
        <v>Complete</v>
      </c>
      <c r="I10731" s="48" t="s">
        <v>15096</v>
      </c>
    </row>
    <row r="10732" spans="2:9" ht="15" customHeight="1" x14ac:dyDescent="0.25">
      <c r="B10732" s="55" t="s">
        <v>281</v>
      </c>
      <c r="C10732" s="46">
        <v>720</v>
      </c>
      <c r="D10732" s="69" t="s">
        <v>29418</v>
      </c>
      <c r="E10732" s="51"/>
      <c r="F10732" s="114" t="str">
        <f>IF(INDEX(I.Facility.P2bIDNumber,720)="","",INDEX(I.Facility.P2bIDNumber,720))</f>
        <v/>
      </c>
      <c r="G10732" s="51"/>
      <c r="H10732" s="46" t="str">
        <f>IF(AND(I.Developer.P2b=TRUE,I.Facility.P2bFacilityCount&gt;=720,F10732=""),"Incomplete","Complete")</f>
        <v>Complete</v>
      </c>
      <c r="I10732" s="48" t="s">
        <v>15097</v>
      </c>
    </row>
    <row r="10733" spans="2:9" ht="15" customHeight="1" x14ac:dyDescent="0.25">
      <c r="B10733" s="55" t="s">
        <v>281</v>
      </c>
      <c r="C10733" s="46">
        <v>721</v>
      </c>
      <c r="D10733" s="69" t="s">
        <v>29418</v>
      </c>
      <c r="E10733" s="51"/>
      <c r="F10733" s="114" t="str">
        <f>IF(INDEX(I.Facility.P2bIDNumber,721)="","",INDEX(I.Facility.P2bIDNumber,721))</f>
        <v/>
      </c>
      <c r="G10733" s="51"/>
      <c r="H10733" s="46" t="str">
        <f>IF(AND(I.Developer.P2b=TRUE,I.Facility.P2bFacilityCount&gt;=721,F10733=""),"Incomplete","Complete")</f>
        <v>Complete</v>
      </c>
      <c r="I10733" s="48" t="s">
        <v>15098</v>
      </c>
    </row>
    <row r="10734" spans="2:9" ht="15" customHeight="1" x14ac:dyDescent="0.25">
      <c r="B10734" s="55" t="s">
        <v>281</v>
      </c>
      <c r="C10734" s="46">
        <v>722</v>
      </c>
      <c r="D10734" s="69" t="s">
        <v>29418</v>
      </c>
      <c r="E10734" s="51"/>
      <c r="F10734" s="114" t="str">
        <f>IF(INDEX(I.Facility.P2bIDNumber,722)="","",INDEX(I.Facility.P2bIDNumber,722))</f>
        <v/>
      </c>
      <c r="G10734" s="51"/>
      <c r="H10734" s="46" t="str">
        <f>IF(AND(I.Developer.P2b=TRUE,I.Facility.P2bFacilityCount&gt;=722,F10734=""),"Incomplete","Complete")</f>
        <v>Complete</v>
      </c>
      <c r="I10734" s="48" t="s">
        <v>15099</v>
      </c>
    </row>
    <row r="10735" spans="2:9" ht="15" customHeight="1" x14ac:dyDescent="0.25">
      <c r="B10735" s="55" t="s">
        <v>281</v>
      </c>
      <c r="C10735" s="46">
        <v>723</v>
      </c>
      <c r="D10735" s="69" t="s">
        <v>29418</v>
      </c>
      <c r="E10735" s="51"/>
      <c r="F10735" s="114" t="str">
        <f>IF(INDEX(I.Facility.P2bIDNumber,723)="","",INDEX(I.Facility.P2bIDNumber,723))</f>
        <v/>
      </c>
      <c r="G10735" s="51"/>
      <c r="H10735" s="46" t="str">
        <f>IF(AND(I.Developer.P2b=TRUE,I.Facility.P2bFacilityCount&gt;=723,F10735=""),"Incomplete","Complete")</f>
        <v>Complete</v>
      </c>
      <c r="I10735" s="48" t="s">
        <v>15100</v>
      </c>
    </row>
    <row r="10736" spans="2:9" ht="15" customHeight="1" x14ac:dyDescent="0.25">
      <c r="B10736" s="55" t="s">
        <v>281</v>
      </c>
      <c r="C10736" s="46">
        <v>724</v>
      </c>
      <c r="D10736" s="69" t="s">
        <v>29418</v>
      </c>
      <c r="E10736" s="51"/>
      <c r="F10736" s="114" t="str">
        <f>IF(INDEX(I.Facility.P2bIDNumber,724)="","",INDEX(I.Facility.P2bIDNumber,724))</f>
        <v/>
      </c>
      <c r="G10736" s="51"/>
      <c r="H10736" s="46" t="str">
        <f>IF(AND(I.Developer.P2b=TRUE,I.Facility.P2bFacilityCount&gt;=724,F10736=""),"Incomplete","Complete")</f>
        <v>Complete</v>
      </c>
      <c r="I10736" s="48" t="s">
        <v>15101</v>
      </c>
    </row>
    <row r="10737" spans="2:9" ht="15" customHeight="1" x14ac:dyDescent="0.25">
      <c r="B10737" s="55" t="s">
        <v>281</v>
      </c>
      <c r="C10737" s="46">
        <v>725</v>
      </c>
      <c r="D10737" s="69" t="s">
        <v>29418</v>
      </c>
      <c r="E10737" s="51"/>
      <c r="F10737" s="114" t="str">
        <f>IF(INDEX(I.Facility.P2bIDNumber,725)="","",INDEX(I.Facility.P2bIDNumber,725))</f>
        <v/>
      </c>
      <c r="G10737" s="51"/>
      <c r="H10737" s="46" t="str">
        <f>IF(AND(I.Developer.P2b=TRUE,I.Facility.P2bFacilityCount&gt;=725,F10737=""),"Incomplete","Complete")</f>
        <v>Complete</v>
      </c>
      <c r="I10737" s="48" t="s">
        <v>15102</v>
      </c>
    </row>
    <row r="10738" spans="2:9" ht="15" customHeight="1" x14ac:dyDescent="0.25">
      <c r="B10738" s="55" t="s">
        <v>281</v>
      </c>
      <c r="C10738" s="46">
        <v>726</v>
      </c>
      <c r="D10738" s="69" t="s">
        <v>29418</v>
      </c>
      <c r="E10738" s="51"/>
      <c r="F10738" s="114" t="str">
        <f>IF(INDEX(I.Facility.P2bIDNumber,726)="","",INDEX(I.Facility.P2bIDNumber,726))</f>
        <v/>
      </c>
      <c r="G10738" s="51"/>
      <c r="H10738" s="46" t="str">
        <f>IF(AND(I.Developer.P2b=TRUE,I.Facility.P2bFacilityCount&gt;=726,F10738=""),"Incomplete","Complete")</f>
        <v>Complete</v>
      </c>
      <c r="I10738" s="48" t="s">
        <v>15103</v>
      </c>
    </row>
    <row r="10739" spans="2:9" ht="15" customHeight="1" x14ac:dyDescent="0.25">
      <c r="B10739" s="55" t="s">
        <v>281</v>
      </c>
      <c r="C10739" s="46">
        <v>727</v>
      </c>
      <c r="D10739" s="69" t="s">
        <v>29418</v>
      </c>
      <c r="E10739" s="51"/>
      <c r="F10739" s="114" t="str">
        <f>IF(INDEX(I.Facility.P2bIDNumber,727)="","",INDEX(I.Facility.P2bIDNumber,727))</f>
        <v/>
      </c>
      <c r="G10739" s="51"/>
      <c r="H10739" s="46" t="str">
        <f>IF(AND(I.Developer.P2b=TRUE,I.Facility.P2bFacilityCount&gt;=727,F10739=""),"Incomplete","Complete")</f>
        <v>Complete</v>
      </c>
      <c r="I10739" s="48" t="s">
        <v>15104</v>
      </c>
    </row>
    <row r="10740" spans="2:9" ht="15" customHeight="1" x14ac:dyDescent="0.25">
      <c r="B10740" s="55" t="s">
        <v>281</v>
      </c>
      <c r="C10740" s="46">
        <v>728</v>
      </c>
      <c r="D10740" s="69" t="s">
        <v>29418</v>
      </c>
      <c r="E10740" s="51"/>
      <c r="F10740" s="114" t="str">
        <f>IF(INDEX(I.Facility.P2bIDNumber,728)="","",INDEX(I.Facility.P2bIDNumber,728))</f>
        <v/>
      </c>
      <c r="G10740" s="51"/>
      <c r="H10740" s="46" t="str">
        <f>IF(AND(I.Developer.P2b=TRUE,I.Facility.P2bFacilityCount&gt;=728,F10740=""),"Incomplete","Complete")</f>
        <v>Complete</v>
      </c>
      <c r="I10740" s="48" t="s">
        <v>15105</v>
      </c>
    </row>
    <row r="10741" spans="2:9" ht="15" customHeight="1" x14ac:dyDescent="0.25">
      <c r="B10741" s="55" t="s">
        <v>281</v>
      </c>
      <c r="C10741" s="46">
        <v>729</v>
      </c>
      <c r="D10741" s="69" t="s">
        <v>29418</v>
      </c>
      <c r="E10741" s="51"/>
      <c r="F10741" s="114" t="str">
        <f>IF(INDEX(I.Facility.P2bIDNumber,729)="","",INDEX(I.Facility.P2bIDNumber,729))</f>
        <v/>
      </c>
      <c r="G10741" s="51"/>
      <c r="H10741" s="46" t="str">
        <f>IF(AND(I.Developer.P2b=TRUE,I.Facility.P2bFacilityCount&gt;=729,F10741=""),"Incomplete","Complete")</f>
        <v>Complete</v>
      </c>
      <c r="I10741" s="48" t="s">
        <v>15106</v>
      </c>
    </row>
    <row r="10742" spans="2:9" ht="15" customHeight="1" x14ac:dyDescent="0.25">
      <c r="B10742" s="55" t="s">
        <v>281</v>
      </c>
      <c r="C10742" s="46">
        <v>730</v>
      </c>
      <c r="D10742" s="69" t="s">
        <v>29418</v>
      </c>
      <c r="E10742" s="51"/>
      <c r="F10742" s="114" t="str">
        <f>IF(INDEX(I.Facility.P2bIDNumber,730)="","",INDEX(I.Facility.P2bIDNumber,730))</f>
        <v/>
      </c>
      <c r="G10742" s="51"/>
      <c r="H10742" s="46" t="str">
        <f>IF(AND(I.Developer.P2b=TRUE,I.Facility.P2bFacilityCount&gt;=730,F10742=""),"Incomplete","Complete")</f>
        <v>Complete</v>
      </c>
      <c r="I10742" s="48" t="s">
        <v>15107</v>
      </c>
    </row>
    <row r="10743" spans="2:9" ht="15" customHeight="1" x14ac:dyDescent="0.25">
      <c r="B10743" s="55" t="s">
        <v>281</v>
      </c>
      <c r="C10743" s="46">
        <v>731</v>
      </c>
      <c r="D10743" s="69" t="s">
        <v>29418</v>
      </c>
      <c r="E10743" s="51"/>
      <c r="F10743" s="114" t="str">
        <f>IF(INDEX(I.Facility.P2bIDNumber,731)="","",INDEX(I.Facility.P2bIDNumber,731))</f>
        <v/>
      </c>
      <c r="G10743" s="51"/>
      <c r="H10743" s="46" t="str">
        <f>IF(AND(I.Developer.P2b=TRUE,I.Facility.P2bFacilityCount&gt;=731,F10743=""),"Incomplete","Complete")</f>
        <v>Complete</v>
      </c>
      <c r="I10743" s="48" t="s">
        <v>15108</v>
      </c>
    </row>
    <row r="10744" spans="2:9" ht="15" customHeight="1" x14ac:dyDescent="0.25">
      <c r="B10744" s="55" t="s">
        <v>281</v>
      </c>
      <c r="C10744" s="46">
        <v>732</v>
      </c>
      <c r="D10744" s="69" t="s">
        <v>29418</v>
      </c>
      <c r="E10744" s="51"/>
      <c r="F10744" s="114" t="str">
        <f>IF(INDEX(I.Facility.P2bIDNumber,732)="","",INDEX(I.Facility.P2bIDNumber,732))</f>
        <v/>
      </c>
      <c r="G10744" s="51"/>
      <c r="H10744" s="46" t="str">
        <f>IF(AND(I.Developer.P2b=TRUE,I.Facility.P2bFacilityCount&gt;=732,F10744=""),"Incomplete","Complete")</f>
        <v>Complete</v>
      </c>
      <c r="I10744" s="48" t="s">
        <v>15109</v>
      </c>
    </row>
    <row r="10745" spans="2:9" ht="15" customHeight="1" x14ac:dyDescent="0.25">
      <c r="B10745" s="55" t="s">
        <v>281</v>
      </c>
      <c r="C10745" s="46">
        <v>733</v>
      </c>
      <c r="D10745" s="69" t="s">
        <v>29418</v>
      </c>
      <c r="E10745" s="51"/>
      <c r="F10745" s="114" t="str">
        <f>IF(INDEX(I.Facility.P2bIDNumber,733)="","",INDEX(I.Facility.P2bIDNumber,733))</f>
        <v/>
      </c>
      <c r="G10745" s="51"/>
      <c r="H10745" s="46" t="str">
        <f>IF(AND(I.Developer.P2b=TRUE,I.Facility.P2bFacilityCount&gt;=733,F10745=""),"Incomplete","Complete")</f>
        <v>Complete</v>
      </c>
      <c r="I10745" s="48" t="s">
        <v>15110</v>
      </c>
    </row>
    <row r="10746" spans="2:9" ht="15" customHeight="1" x14ac:dyDescent="0.25">
      <c r="B10746" s="55" t="s">
        <v>281</v>
      </c>
      <c r="C10746" s="46">
        <v>734</v>
      </c>
      <c r="D10746" s="69" t="s">
        <v>29418</v>
      </c>
      <c r="E10746" s="51"/>
      <c r="F10746" s="114" t="str">
        <f>IF(INDEX(I.Facility.P2bIDNumber,734)="","",INDEX(I.Facility.P2bIDNumber,734))</f>
        <v/>
      </c>
      <c r="G10746" s="51"/>
      <c r="H10746" s="46" t="str">
        <f>IF(AND(I.Developer.P2b=TRUE,I.Facility.P2bFacilityCount&gt;=734,F10746=""),"Incomplete","Complete")</f>
        <v>Complete</v>
      </c>
      <c r="I10746" s="48" t="s">
        <v>15111</v>
      </c>
    </row>
    <row r="10747" spans="2:9" ht="15" customHeight="1" x14ac:dyDescent="0.25">
      <c r="B10747" s="55" t="s">
        <v>281</v>
      </c>
      <c r="C10747" s="46">
        <v>735</v>
      </c>
      <c r="D10747" s="69" t="s">
        <v>29418</v>
      </c>
      <c r="E10747" s="51"/>
      <c r="F10747" s="114" t="str">
        <f>IF(INDEX(I.Facility.P2bIDNumber,735)="","",INDEX(I.Facility.P2bIDNumber,735))</f>
        <v/>
      </c>
      <c r="G10747" s="51"/>
      <c r="H10747" s="46" t="str">
        <f>IF(AND(I.Developer.P2b=TRUE,I.Facility.P2bFacilityCount&gt;=735,F10747=""),"Incomplete","Complete")</f>
        <v>Complete</v>
      </c>
      <c r="I10747" s="48" t="s">
        <v>15112</v>
      </c>
    </row>
    <row r="10748" spans="2:9" ht="15" customHeight="1" x14ac:dyDescent="0.25">
      <c r="B10748" s="55" t="s">
        <v>281</v>
      </c>
      <c r="C10748" s="46">
        <v>736</v>
      </c>
      <c r="D10748" s="69" t="s">
        <v>29418</v>
      </c>
      <c r="E10748" s="51"/>
      <c r="F10748" s="114" t="str">
        <f>IF(INDEX(I.Facility.P2bIDNumber,736)="","",INDEX(I.Facility.P2bIDNumber,736))</f>
        <v/>
      </c>
      <c r="G10748" s="51"/>
      <c r="H10748" s="46" t="str">
        <f>IF(AND(I.Developer.P2b=TRUE,I.Facility.P2bFacilityCount&gt;=736,F10748=""),"Incomplete","Complete")</f>
        <v>Complete</v>
      </c>
      <c r="I10748" s="48" t="s">
        <v>15113</v>
      </c>
    </row>
    <row r="10749" spans="2:9" ht="15" customHeight="1" x14ac:dyDescent="0.25">
      <c r="B10749" s="55" t="s">
        <v>281</v>
      </c>
      <c r="C10749" s="46">
        <v>737</v>
      </c>
      <c r="D10749" s="69" t="s">
        <v>29418</v>
      </c>
      <c r="E10749" s="51"/>
      <c r="F10749" s="114" t="str">
        <f>IF(INDEX(I.Facility.P2bIDNumber,737)="","",INDEX(I.Facility.P2bIDNumber,737))</f>
        <v/>
      </c>
      <c r="G10749" s="51"/>
      <c r="H10749" s="46" t="str">
        <f>IF(AND(I.Developer.P2b=TRUE,I.Facility.P2bFacilityCount&gt;=737,F10749=""),"Incomplete","Complete")</f>
        <v>Complete</v>
      </c>
      <c r="I10749" s="48" t="s">
        <v>15114</v>
      </c>
    </row>
    <row r="10750" spans="2:9" ht="15" customHeight="1" x14ac:dyDescent="0.25">
      <c r="B10750" s="55" t="s">
        <v>281</v>
      </c>
      <c r="C10750" s="46">
        <v>738</v>
      </c>
      <c r="D10750" s="69" t="s">
        <v>29418</v>
      </c>
      <c r="E10750" s="51"/>
      <c r="F10750" s="114" t="str">
        <f>IF(INDEX(I.Facility.P2bIDNumber,738)="","",INDEX(I.Facility.P2bIDNumber,738))</f>
        <v/>
      </c>
      <c r="G10750" s="51"/>
      <c r="H10750" s="46" t="str">
        <f>IF(AND(I.Developer.P2b=TRUE,I.Facility.P2bFacilityCount&gt;=738,F10750=""),"Incomplete","Complete")</f>
        <v>Complete</v>
      </c>
      <c r="I10750" s="48" t="s">
        <v>15115</v>
      </c>
    </row>
    <row r="10751" spans="2:9" ht="15" customHeight="1" x14ac:dyDescent="0.25">
      <c r="B10751" s="55" t="s">
        <v>281</v>
      </c>
      <c r="C10751" s="46">
        <v>739</v>
      </c>
      <c r="D10751" s="69" t="s">
        <v>29418</v>
      </c>
      <c r="E10751" s="51"/>
      <c r="F10751" s="114" t="str">
        <f>IF(INDEX(I.Facility.P2bIDNumber,739)="","",INDEX(I.Facility.P2bIDNumber,739))</f>
        <v/>
      </c>
      <c r="G10751" s="51"/>
      <c r="H10751" s="46" t="str">
        <f>IF(AND(I.Developer.P2b=TRUE,I.Facility.P2bFacilityCount&gt;=739,F10751=""),"Incomplete","Complete")</f>
        <v>Complete</v>
      </c>
      <c r="I10751" s="48" t="s">
        <v>15116</v>
      </c>
    </row>
    <row r="10752" spans="2:9" ht="15" customHeight="1" x14ac:dyDescent="0.25">
      <c r="B10752" s="55" t="s">
        <v>281</v>
      </c>
      <c r="C10752" s="46">
        <v>740</v>
      </c>
      <c r="D10752" s="69" t="s">
        <v>29418</v>
      </c>
      <c r="E10752" s="51"/>
      <c r="F10752" s="114" t="str">
        <f>IF(INDEX(I.Facility.P2bIDNumber,740)="","",INDEX(I.Facility.P2bIDNumber,740))</f>
        <v/>
      </c>
      <c r="G10752" s="51"/>
      <c r="H10752" s="46" t="str">
        <f>IF(AND(I.Developer.P2b=TRUE,I.Facility.P2bFacilityCount&gt;=740,F10752=""),"Incomplete","Complete")</f>
        <v>Complete</v>
      </c>
      <c r="I10752" s="48" t="s">
        <v>15117</v>
      </c>
    </row>
    <row r="10753" spans="2:9" ht="15" customHeight="1" x14ac:dyDescent="0.25">
      <c r="B10753" s="55" t="s">
        <v>281</v>
      </c>
      <c r="C10753" s="46">
        <v>741</v>
      </c>
      <c r="D10753" s="69" t="s">
        <v>29418</v>
      </c>
      <c r="E10753" s="51"/>
      <c r="F10753" s="114" t="str">
        <f>IF(INDEX(I.Facility.P2bIDNumber,741)="","",INDEX(I.Facility.P2bIDNumber,741))</f>
        <v/>
      </c>
      <c r="G10753" s="51"/>
      <c r="H10753" s="46" t="str">
        <f>IF(AND(I.Developer.P2b=TRUE,I.Facility.P2bFacilityCount&gt;=741,F10753=""),"Incomplete","Complete")</f>
        <v>Complete</v>
      </c>
      <c r="I10753" s="48" t="s">
        <v>15118</v>
      </c>
    </row>
    <row r="10754" spans="2:9" ht="15" customHeight="1" x14ac:dyDescent="0.25">
      <c r="B10754" s="55" t="s">
        <v>281</v>
      </c>
      <c r="C10754" s="46">
        <v>742</v>
      </c>
      <c r="D10754" s="69" t="s">
        <v>29418</v>
      </c>
      <c r="E10754" s="51"/>
      <c r="F10754" s="114" t="str">
        <f>IF(INDEX(I.Facility.P2bIDNumber,742)="","",INDEX(I.Facility.P2bIDNumber,742))</f>
        <v/>
      </c>
      <c r="G10754" s="51"/>
      <c r="H10754" s="46" t="str">
        <f>IF(AND(I.Developer.P2b=TRUE,I.Facility.P2bFacilityCount&gt;=742,F10754=""),"Incomplete","Complete")</f>
        <v>Complete</v>
      </c>
      <c r="I10754" s="48" t="s">
        <v>15119</v>
      </c>
    </row>
    <row r="10755" spans="2:9" ht="15" customHeight="1" x14ac:dyDescent="0.25">
      <c r="B10755" s="55" t="s">
        <v>281</v>
      </c>
      <c r="C10755" s="46">
        <v>743</v>
      </c>
      <c r="D10755" s="69" t="s">
        <v>29418</v>
      </c>
      <c r="E10755" s="51"/>
      <c r="F10755" s="114" t="str">
        <f>IF(INDEX(I.Facility.P2bIDNumber,743)="","",INDEX(I.Facility.P2bIDNumber,743))</f>
        <v/>
      </c>
      <c r="G10755" s="51"/>
      <c r="H10755" s="46" t="str">
        <f>IF(AND(I.Developer.P2b=TRUE,I.Facility.P2bFacilityCount&gt;=743,F10755=""),"Incomplete","Complete")</f>
        <v>Complete</v>
      </c>
      <c r="I10755" s="48" t="s">
        <v>15120</v>
      </c>
    </row>
    <row r="10756" spans="2:9" ht="15" customHeight="1" x14ac:dyDescent="0.25">
      <c r="B10756" s="55" t="s">
        <v>281</v>
      </c>
      <c r="C10756" s="46">
        <v>744</v>
      </c>
      <c r="D10756" s="69" t="s">
        <v>29418</v>
      </c>
      <c r="E10756" s="51"/>
      <c r="F10756" s="114" t="str">
        <f>IF(INDEX(I.Facility.P2bIDNumber,744)="","",INDEX(I.Facility.P2bIDNumber,744))</f>
        <v/>
      </c>
      <c r="G10756" s="51"/>
      <c r="H10756" s="46" t="str">
        <f>IF(AND(I.Developer.P2b=TRUE,I.Facility.P2bFacilityCount&gt;=744,F10756=""),"Incomplete","Complete")</f>
        <v>Complete</v>
      </c>
      <c r="I10756" s="48" t="s">
        <v>15121</v>
      </c>
    </row>
    <row r="10757" spans="2:9" ht="15" customHeight="1" x14ac:dyDescent="0.25">
      <c r="B10757" s="55" t="s">
        <v>281</v>
      </c>
      <c r="C10757" s="46">
        <v>745</v>
      </c>
      <c r="D10757" s="69" t="s">
        <v>29418</v>
      </c>
      <c r="E10757" s="51"/>
      <c r="F10757" s="114" t="str">
        <f>IF(INDEX(I.Facility.P2bIDNumber,745)="","",INDEX(I.Facility.P2bIDNumber,745))</f>
        <v/>
      </c>
      <c r="G10757" s="51"/>
      <c r="H10757" s="46" t="str">
        <f>IF(AND(I.Developer.P2b=TRUE,I.Facility.P2bFacilityCount&gt;=745,F10757=""),"Incomplete","Complete")</f>
        <v>Complete</v>
      </c>
      <c r="I10757" s="48" t="s">
        <v>15122</v>
      </c>
    </row>
    <row r="10758" spans="2:9" ht="15" customHeight="1" x14ac:dyDescent="0.25">
      <c r="B10758" s="55" t="s">
        <v>281</v>
      </c>
      <c r="C10758" s="46">
        <v>746</v>
      </c>
      <c r="D10758" s="69" t="s">
        <v>29418</v>
      </c>
      <c r="E10758" s="51"/>
      <c r="F10758" s="114" t="str">
        <f>IF(INDEX(I.Facility.P2bIDNumber,746)="","",INDEX(I.Facility.P2bIDNumber,746))</f>
        <v/>
      </c>
      <c r="G10758" s="51"/>
      <c r="H10758" s="46" t="str">
        <f>IF(AND(I.Developer.P2b=TRUE,I.Facility.P2bFacilityCount&gt;=746,F10758=""),"Incomplete","Complete")</f>
        <v>Complete</v>
      </c>
      <c r="I10758" s="48" t="s">
        <v>15123</v>
      </c>
    </row>
    <row r="10759" spans="2:9" ht="15" customHeight="1" x14ac:dyDescent="0.25">
      <c r="B10759" s="55" t="s">
        <v>281</v>
      </c>
      <c r="C10759" s="46">
        <v>747</v>
      </c>
      <c r="D10759" s="69" t="s">
        <v>29418</v>
      </c>
      <c r="E10759" s="51"/>
      <c r="F10759" s="114" t="str">
        <f>IF(INDEX(I.Facility.P2bIDNumber,747)="","",INDEX(I.Facility.P2bIDNumber,747))</f>
        <v/>
      </c>
      <c r="G10759" s="51"/>
      <c r="H10759" s="46" t="str">
        <f>IF(AND(I.Developer.P2b=TRUE,I.Facility.P2bFacilityCount&gt;=747,F10759=""),"Incomplete","Complete")</f>
        <v>Complete</v>
      </c>
      <c r="I10759" s="48" t="s">
        <v>15124</v>
      </c>
    </row>
    <row r="10760" spans="2:9" ht="15" customHeight="1" x14ac:dyDescent="0.25">
      <c r="B10760" s="55" t="s">
        <v>281</v>
      </c>
      <c r="C10760" s="46">
        <v>748</v>
      </c>
      <c r="D10760" s="69" t="s">
        <v>29418</v>
      </c>
      <c r="E10760" s="51"/>
      <c r="F10760" s="114" t="str">
        <f>IF(INDEX(I.Facility.P2bIDNumber,748)="","",INDEX(I.Facility.P2bIDNumber,748))</f>
        <v/>
      </c>
      <c r="G10760" s="51"/>
      <c r="H10760" s="46" t="str">
        <f>IF(AND(I.Developer.P2b=TRUE,I.Facility.P2bFacilityCount&gt;=748,F10760=""),"Incomplete","Complete")</f>
        <v>Complete</v>
      </c>
      <c r="I10760" s="48" t="s">
        <v>15125</v>
      </c>
    </row>
    <row r="10761" spans="2:9" ht="15" customHeight="1" x14ac:dyDescent="0.25">
      <c r="B10761" s="55" t="s">
        <v>281</v>
      </c>
      <c r="C10761" s="46">
        <v>749</v>
      </c>
      <c r="D10761" s="69" t="s">
        <v>29418</v>
      </c>
      <c r="E10761" s="51"/>
      <c r="F10761" s="114" t="str">
        <f>IF(INDEX(I.Facility.P2bIDNumber,749)="","",INDEX(I.Facility.P2bIDNumber,749))</f>
        <v/>
      </c>
      <c r="G10761" s="51"/>
      <c r="H10761" s="46" t="str">
        <f>IF(AND(I.Developer.P2b=TRUE,I.Facility.P2bFacilityCount&gt;=749,F10761=""),"Incomplete","Complete")</f>
        <v>Complete</v>
      </c>
      <c r="I10761" s="48" t="s">
        <v>15126</v>
      </c>
    </row>
    <row r="10762" spans="2:9" ht="15" customHeight="1" x14ac:dyDescent="0.25">
      <c r="B10762" s="55" t="s">
        <v>281</v>
      </c>
      <c r="C10762" s="46">
        <v>750</v>
      </c>
      <c r="D10762" s="69" t="s">
        <v>29418</v>
      </c>
      <c r="E10762" s="51"/>
      <c r="F10762" s="114" t="str">
        <f>IF(INDEX(I.Facility.P2bIDNumber,750)="","",INDEX(I.Facility.P2bIDNumber,750))</f>
        <v/>
      </c>
      <c r="G10762" s="51"/>
      <c r="H10762" s="46" t="str">
        <f>IF(AND(I.Developer.P2b=TRUE,I.Facility.P2bFacilityCount&gt;=750,F10762=""),"Incomplete","Complete")</f>
        <v>Complete</v>
      </c>
      <c r="I10762" s="48" t="s">
        <v>15127</v>
      </c>
    </row>
    <row r="10763" spans="2:9" ht="15" customHeight="1" x14ac:dyDescent="0.25">
      <c r="B10763" s="55" t="s">
        <v>281</v>
      </c>
      <c r="C10763" s="46">
        <v>751</v>
      </c>
      <c r="D10763" s="69" t="s">
        <v>29418</v>
      </c>
      <c r="E10763" s="51"/>
      <c r="F10763" s="114" t="str">
        <f>IF(INDEX(I.Facility.P2bIDNumber,751)="","",INDEX(I.Facility.P2bIDNumber,751))</f>
        <v/>
      </c>
      <c r="G10763" s="51"/>
      <c r="H10763" s="46" t="str">
        <f>IF(AND(I.Developer.P2b=TRUE,I.Facility.P2bFacilityCount&gt;=751,F10763=""),"Incomplete","Complete")</f>
        <v>Complete</v>
      </c>
      <c r="I10763" s="48" t="s">
        <v>15128</v>
      </c>
    </row>
    <row r="10764" spans="2:9" ht="15" customHeight="1" x14ac:dyDescent="0.25">
      <c r="B10764" s="55" t="s">
        <v>281</v>
      </c>
      <c r="C10764" s="46">
        <v>752</v>
      </c>
      <c r="D10764" s="69" t="s">
        <v>29418</v>
      </c>
      <c r="E10764" s="51"/>
      <c r="F10764" s="114" t="str">
        <f>IF(INDEX(I.Facility.P2bIDNumber,752)="","",INDEX(I.Facility.P2bIDNumber,752))</f>
        <v/>
      </c>
      <c r="G10764" s="51"/>
      <c r="H10764" s="46" t="str">
        <f>IF(AND(I.Developer.P2b=TRUE,I.Facility.P2bFacilityCount&gt;=752,F10764=""),"Incomplete","Complete")</f>
        <v>Complete</v>
      </c>
      <c r="I10764" s="48" t="s">
        <v>15129</v>
      </c>
    </row>
    <row r="10765" spans="2:9" ht="15" customHeight="1" x14ac:dyDescent="0.25">
      <c r="B10765" s="55" t="s">
        <v>281</v>
      </c>
      <c r="C10765" s="46">
        <v>753</v>
      </c>
      <c r="D10765" s="69" t="s">
        <v>29418</v>
      </c>
      <c r="E10765" s="51"/>
      <c r="F10765" s="114" t="str">
        <f>IF(INDEX(I.Facility.P2bIDNumber,753)="","",INDEX(I.Facility.P2bIDNumber,753))</f>
        <v/>
      </c>
      <c r="G10765" s="51"/>
      <c r="H10765" s="46" t="str">
        <f>IF(AND(I.Developer.P2b=TRUE,I.Facility.P2bFacilityCount&gt;=753,F10765=""),"Incomplete","Complete")</f>
        <v>Complete</v>
      </c>
      <c r="I10765" s="48" t="s">
        <v>15130</v>
      </c>
    </row>
    <row r="10766" spans="2:9" ht="15" customHeight="1" x14ac:dyDescent="0.25">
      <c r="B10766" s="55" t="s">
        <v>281</v>
      </c>
      <c r="C10766" s="46">
        <v>754</v>
      </c>
      <c r="D10766" s="69" t="s">
        <v>29418</v>
      </c>
      <c r="E10766" s="51"/>
      <c r="F10766" s="114" t="str">
        <f>IF(INDEX(I.Facility.P2bIDNumber,754)="","",INDEX(I.Facility.P2bIDNumber,754))</f>
        <v/>
      </c>
      <c r="G10766" s="51"/>
      <c r="H10766" s="46" t="str">
        <f>IF(AND(I.Developer.P2b=TRUE,I.Facility.P2bFacilityCount&gt;=754,F10766=""),"Incomplete","Complete")</f>
        <v>Complete</v>
      </c>
      <c r="I10766" s="48" t="s">
        <v>15131</v>
      </c>
    </row>
    <row r="10767" spans="2:9" ht="15" customHeight="1" x14ac:dyDescent="0.25">
      <c r="B10767" s="55" t="s">
        <v>281</v>
      </c>
      <c r="C10767" s="46">
        <v>755</v>
      </c>
      <c r="D10767" s="69" t="s">
        <v>29418</v>
      </c>
      <c r="E10767" s="51"/>
      <c r="F10767" s="114" t="str">
        <f>IF(INDEX(I.Facility.P2bIDNumber,755)="","",INDEX(I.Facility.P2bIDNumber,755))</f>
        <v/>
      </c>
      <c r="G10767" s="51"/>
      <c r="H10767" s="46" t="str">
        <f>IF(AND(I.Developer.P2b=TRUE,I.Facility.P2bFacilityCount&gt;=755,F10767=""),"Incomplete","Complete")</f>
        <v>Complete</v>
      </c>
      <c r="I10767" s="48" t="s">
        <v>15132</v>
      </c>
    </row>
    <row r="10768" spans="2:9" ht="15" customHeight="1" x14ac:dyDescent="0.25">
      <c r="B10768" s="55" t="s">
        <v>281</v>
      </c>
      <c r="C10768" s="46">
        <v>756</v>
      </c>
      <c r="D10768" s="69" t="s">
        <v>29418</v>
      </c>
      <c r="E10768" s="51"/>
      <c r="F10768" s="114" t="str">
        <f>IF(INDEX(I.Facility.P2bIDNumber,756)="","",INDEX(I.Facility.P2bIDNumber,756))</f>
        <v/>
      </c>
      <c r="G10768" s="51"/>
      <c r="H10768" s="46" t="str">
        <f>IF(AND(I.Developer.P2b=TRUE,I.Facility.P2bFacilityCount&gt;=756,F10768=""),"Incomplete","Complete")</f>
        <v>Complete</v>
      </c>
      <c r="I10768" s="48" t="s">
        <v>15133</v>
      </c>
    </row>
    <row r="10769" spans="2:9" ht="15" customHeight="1" x14ac:dyDescent="0.25">
      <c r="B10769" s="55" t="s">
        <v>281</v>
      </c>
      <c r="C10769" s="46">
        <v>757</v>
      </c>
      <c r="D10769" s="69" t="s">
        <v>29418</v>
      </c>
      <c r="E10769" s="51"/>
      <c r="F10769" s="114" t="str">
        <f>IF(INDEX(I.Facility.P2bIDNumber,757)="","",INDEX(I.Facility.P2bIDNumber,757))</f>
        <v/>
      </c>
      <c r="G10769" s="51"/>
      <c r="H10769" s="46" t="str">
        <f>IF(AND(I.Developer.P2b=TRUE,I.Facility.P2bFacilityCount&gt;=757,F10769=""),"Incomplete","Complete")</f>
        <v>Complete</v>
      </c>
      <c r="I10769" s="48" t="s">
        <v>15134</v>
      </c>
    </row>
    <row r="10770" spans="2:9" ht="15" customHeight="1" x14ac:dyDescent="0.25">
      <c r="B10770" s="55" t="s">
        <v>281</v>
      </c>
      <c r="C10770" s="46">
        <v>758</v>
      </c>
      <c r="D10770" s="69" t="s">
        <v>29418</v>
      </c>
      <c r="E10770" s="51"/>
      <c r="F10770" s="114" t="str">
        <f>IF(INDEX(I.Facility.P2bIDNumber,758)="","",INDEX(I.Facility.P2bIDNumber,758))</f>
        <v/>
      </c>
      <c r="G10770" s="51"/>
      <c r="H10770" s="46" t="str">
        <f>IF(AND(I.Developer.P2b=TRUE,I.Facility.P2bFacilityCount&gt;=758,F10770=""),"Incomplete","Complete")</f>
        <v>Complete</v>
      </c>
      <c r="I10770" s="48" t="s">
        <v>15135</v>
      </c>
    </row>
    <row r="10771" spans="2:9" ht="15" customHeight="1" x14ac:dyDescent="0.25">
      <c r="B10771" s="55" t="s">
        <v>281</v>
      </c>
      <c r="C10771" s="46">
        <v>759</v>
      </c>
      <c r="D10771" s="69" t="s">
        <v>29418</v>
      </c>
      <c r="E10771" s="51"/>
      <c r="F10771" s="114" t="str">
        <f>IF(INDEX(I.Facility.P2bIDNumber,759)="","",INDEX(I.Facility.P2bIDNumber,759))</f>
        <v/>
      </c>
      <c r="G10771" s="51"/>
      <c r="H10771" s="46" t="str">
        <f>IF(AND(I.Developer.P2b=TRUE,I.Facility.P2bFacilityCount&gt;=759,F10771=""),"Incomplete","Complete")</f>
        <v>Complete</v>
      </c>
      <c r="I10771" s="48" t="s">
        <v>15136</v>
      </c>
    </row>
    <row r="10772" spans="2:9" ht="15" customHeight="1" x14ac:dyDescent="0.25">
      <c r="B10772" s="55" t="s">
        <v>281</v>
      </c>
      <c r="C10772" s="46">
        <v>760</v>
      </c>
      <c r="D10772" s="69" t="s">
        <v>29418</v>
      </c>
      <c r="E10772" s="51"/>
      <c r="F10772" s="114" t="str">
        <f>IF(INDEX(I.Facility.P2bIDNumber,760)="","",INDEX(I.Facility.P2bIDNumber,760))</f>
        <v/>
      </c>
      <c r="G10772" s="51"/>
      <c r="H10772" s="46" t="str">
        <f>IF(AND(I.Developer.P2b=TRUE,I.Facility.P2bFacilityCount&gt;=760,F10772=""),"Incomplete","Complete")</f>
        <v>Complete</v>
      </c>
      <c r="I10772" s="48" t="s">
        <v>15137</v>
      </c>
    </row>
    <row r="10773" spans="2:9" ht="15" customHeight="1" x14ac:dyDescent="0.25">
      <c r="B10773" s="55" t="s">
        <v>281</v>
      </c>
      <c r="C10773" s="46">
        <v>761</v>
      </c>
      <c r="D10773" s="69" t="s">
        <v>29418</v>
      </c>
      <c r="E10773" s="51"/>
      <c r="F10773" s="114" t="str">
        <f>IF(INDEX(I.Facility.P2bIDNumber,761)="","",INDEX(I.Facility.P2bIDNumber,761))</f>
        <v/>
      </c>
      <c r="G10773" s="51"/>
      <c r="H10773" s="46" t="str">
        <f>IF(AND(I.Developer.P2b=TRUE,I.Facility.P2bFacilityCount&gt;=761,F10773=""),"Incomplete","Complete")</f>
        <v>Complete</v>
      </c>
      <c r="I10773" s="48" t="s">
        <v>15138</v>
      </c>
    </row>
    <row r="10774" spans="2:9" ht="15" customHeight="1" x14ac:dyDescent="0.25">
      <c r="B10774" s="55" t="s">
        <v>281</v>
      </c>
      <c r="C10774" s="46">
        <v>762</v>
      </c>
      <c r="D10774" s="69" t="s">
        <v>29418</v>
      </c>
      <c r="E10774" s="51"/>
      <c r="F10774" s="114" t="str">
        <f>IF(INDEX(I.Facility.P2bIDNumber,762)="","",INDEX(I.Facility.P2bIDNumber,762))</f>
        <v/>
      </c>
      <c r="G10774" s="51"/>
      <c r="H10774" s="46" t="str">
        <f>IF(AND(I.Developer.P2b=TRUE,I.Facility.P2bFacilityCount&gt;=762,F10774=""),"Incomplete","Complete")</f>
        <v>Complete</v>
      </c>
      <c r="I10774" s="48" t="s">
        <v>15139</v>
      </c>
    </row>
    <row r="10775" spans="2:9" ht="15" customHeight="1" x14ac:dyDescent="0.25">
      <c r="B10775" s="55" t="s">
        <v>281</v>
      </c>
      <c r="C10775" s="46">
        <v>763</v>
      </c>
      <c r="D10775" s="69" t="s">
        <v>29418</v>
      </c>
      <c r="E10775" s="51"/>
      <c r="F10775" s="114" t="str">
        <f>IF(INDEX(I.Facility.P2bIDNumber,763)="","",INDEX(I.Facility.P2bIDNumber,763))</f>
        <v/>
      </c>
      <c r="G10775" s="51"/>
      <c r="H10775" s="46" t="str">
        <f>IF(AND(I.Developer.P2b=TRUE,I.Facility.P2bFacilityCount&gt;=763,F10775=""),"Incomplete","Complete")</f>
        <v>Complete</v>
      </c>
      <c r="I10775" s="48" t="s">
        <v>15140</v>
      </c>
    </row>
    <row r="10776" spans="2:9" ht="15" customHeight="1" x14ac:dyDescent="0.25">
      <c r="B10776" s="55" t="s">
        <v>281</v>
      </c>
      <c r="C10776" s="46">
        <v>764</v>
      </c>
      <c r="D10776" s="69" t="s">
        <v>29418</v>
      </c>
      <c r="E10776" s="51"/>
      <c r="F10776" s="114" t="str">
        <f>IF(INDEX(I.Facility.P2bIDNumber,764)="","",INDEX(I.Facility.P2bIDNumber,764))</f>
        <v/>
      </c>
      <c r="G10776" s="51"/>
      <c r="H10776" s="46" t="str">
        <f>IF(AND(I.Developer.P2b=TRUE,I.Facility.P2bFacilityCount&gt;=764,F10776=""),"Incomplete","Complete")</f>
        <v>Complete</v>
      </c>
      <c r="I10776" s="48" t="s">
        <v>15141</v>
      </c>
    </row>
    <row r="10777" spans="2:9" ht="15" customHeight="1" x14ac:dyDescent="0.25">
      <c r="B10777" s="55" t="s">
        <v>281</v>
      </c>
      <c r="C10777" s="46">
        <v>765</v>
      </c>
      <c r="D10777" s="69" t="s">
        <v>29418</v>
      </c>
      <c r="E10777" s="51"/>
      <c r="F10777" s="114" t="str">
        <f>IF(INDEX(I.Facility.P2bIDNumber,765)="","",INDEX(I.Facility.P2bIDNumber,765))</f>
        <v/>
      </c>
      <c r="G10777" s="51"/>
      <c r="H10777" s="46" t="str">
        <f>IF(AND(I.Developer.P2b=TRUE,I.Facility.P2bFacilityCount&gt;=765,F10777=""),"Incomplete","Complete")</f>
        <v>Complete</v>
      </c>
      <c r="I10777" s="48" t="s">
        <v>15142</v>
      </c>
    </row>
    <row r="10778" spans="2:9" ht="15" customHeight="1" x14ac:dyDescent="0.25">
      <c r="B10778" s="55" t="s">
        <v>281</v>
      </c>
      <c r="C10778" s="46">
        <v>766</v>
      </c>
      <c r="D10778" s="69" t="s">
        <v>29418</v>
      </c>
      <c r="E10778" s="51"/>
      <c r="F10778" s="114" t="str">
        <f>IF(INDEX(I.Facility.P2bIDNumber,766)="","",INDEX(I.Facility.P2bIDNumber,766))</f>
        <v/>
      </c>
      <c r="G10778" s="51"/>
      <c r="H10778" s="46" t="str">
        <f>IF(AND(I.Developer.P2b=TRUE,I.Facility.P2bFacilityCount&gt;=766,F10778=""),"Incomplete","Complete")</f>
        <v>Complete</v>
      </c>
      <c r="I10778" s="48" t="s">
        <v>15143</v>
      </c>
    </row>
    <row r="10779" spans="2:9" ht="15" customHeight="1" x14ac:dyDescent="0.25">
      <c r="B10779" s="55" t="s">
        <v>281</v>
      </c>
      <c r="C10779" s="46">
        <v>767</v>
      </c>
      <c r="D10779" s="69" t="s">
        <v>29418</v>
      </c>
      <c r="E10779" s="51"/>
      <c r="F10779" s="114" t="str">
        <f>IF(INDEX(I.Facility.P2bIDNumber,767)="","",INDEX(I.Facility.P2bIDNumber,767))</f>
        <v/>
      </c>
      <c r="G10779" s="51"/>
      <c r="H10779" s="46" t="str">
        <f>IF(AND(I.Developer.P2b=TRUE,I.Facility.P2bFacilityCount&gt;=767,F10779=""),"Incomplete","Complete")</f>
        <v>Complete</v>
      </c>
      <c r="I10779" s="48" t="s">
        <v>15144</v>
      </c>
    </row>
    <row r="10780" spans="2:9" ht="15" customHeight="1" x14ac:dyDescent="0.25">
      <c r="B10780" s="55" t="s">
        <v>281</v>
      </c>
      <c r="C10780" s="46">
        <v>768</v>
      </c>
      <c r="D10780" s="69" t="s">
        <v>29418</v>
      </c>
      <c r="E10780" s="51"/>
      <c r="F10780" s="114" t="str">
        <f>IF(INDEX(I.Facility.P2bIDNumber,768)="","",INDEX(I.Facility.P2bIDNumber,768))</f>
        <v/>
      </c>
      <c r="G10780" s="51"/>
      <c r="H10780" s="46" t="str">
        <f>IF(AND(I.Developer.P2b=TRUE,I.Facility.P2bFacilityCount&gt;=768,F10780=""),"Incomplete","Complete")</f>
        <v>Complete</v>
      </c>
      <c r="I10780" s="48" t="s">
        <v>15145</v>
      </c>
    </row>
    <row r="10781" spans="2:9" ht="15" customHeight="1" x14ac:dyDescent="0.25">
      <c r="B10781" s="55" t="s">
        <v>281</v>
      </c>
      <c r="C10781" s="46">
        <v>769</v>
      </c>
      <c r="D10781" s="69" t="s">
        <v>29418</v>
      </c>
      <c r="E10781" s="51"/>
      <c r="F10781" s="114" t="str">
        <f>IF(INDEX(I.Facility.P2bIDNumber,769)="","",INDEX(I.Facility.P2bIDNumber,769))</f>
        <v/>
      </c>
      <c r="G10781" s="51"/>
      <c r="H10781" s="46" t="str">
        <f>IF(AND(I.Developer.P2b=TRUE,I.Facility.P2bFacilityCount&gt;=769,F10781=""),"Incomplete","Complete")</f>
        <v>Complete</v>
      </c>
      <c r="I10781" s="48" t="s">
        <v>15146</v>
      </c>
    </row>
    <row r="10782" spans="2:9" ht="15" customHeight="1" x14ac:dyDescent="0.25">
      <c r="B10782" s="55" t="s">
        <v>281</v>
      </c>
      <c r="C10782" s="46">
        <v>770</v>
      </c>
      <c r="D10782" s="69" t="s">
        <v>29418</v>
      </c>
      <c r="E10782" s="51"/>
      <c r="F10782" s="114" t="str">
        <f>IF(INDEX(I.Facility.P2bIDNumber,770)="","",INDEX(I.Facility.P2bIDNumber,770))</f>
        <v/>
      </c>
      <c r="G10782" s="51"/>
      <c r="H10782" s="46" t="str">
        <f>IF(AND(I.Developer.P2b=TRUE,I.Facility.P2bFacilityCount&gt;=770,F10782=""),"Incomplete","Complete")</f>
        <v>Complete</v>
      </c>
      <c r="I10782" s="48" t="s">
        <v>15147</v>
      </c>
    </row>
    <row r="10783" spans="2:9" ht="15" customHeight="1" x14ac:dyDescent="0.25">
      <c r="B10783" s="55" t="s">
        <v>281</v>
      </c>
      <c r="C10783" s="46">
        <v>771</v>
      </c>
      <c r="D10783" s="69" t="s">
        <v>29418</v>
      </c>
      <c r="E10783" s="51"/>
      <c r="F10783" s="114" t="str">
        <f>IF(INDEX(I.Facility.P2bIDNumber,771)="","",INDEX(I.Facility.P2bIDNumber,771))</f>
        <v/>
      </c>
      <c r="G10783" s="51"/>
      <c r="H10783" s="46" t="str">
        <f>IF(AND(I.Developer.P2b=TRUE,I.Facility.P2bFacilityCount&gt;=771,F10783=""),"Incomplete","Complete")</f>
        <v>Complete</v>
      </c>
      <c r="I10783" s="48" t="s">
        <v>15148</v>
      </c>
    </row>
    <row r="10784" spans="2:9" ht="15" customHeight="1" x14ac:dyDescent="0.25">
      <c r="B10784" s="55" t="s">
        <v>281</v>
      </c>
      <c r="C10784" s="46">
        <v>772</v>
      </c>
      <c r="D10784" s="69" t="s">
        <v>29418</v>
      </c>
      <c r="E10784" s="51"/>
      <c r="F10784" s="114" t="str">
        <f>IF(INDEX(I.Facility.P2bIDNumber,772)="","",INDEX(I.Facility.P2bIDNumber,772))</f>
        <v/>
      </c>
      <c r="G10784" s="51"/>
      <c r="H10784" s="46" t="str">
        <f>IF(AND(I.Developer.P2b=TRUE,I.Facility.P2bFacilityCount&gt;=772,F10784=""),"Incomplete","Complete")</f>
        <v>Complete</v>
      </c>
      <c r="I10784" s="48" t="s">
        <v>15149</v>
      </c>
    </row>
    <row r="10785" spans="2:9" ht="15" customHeight="1" x14ac:dyDescent="0.25">
      <c r="B10785" s="55" t="s">
        <v>281</v>
      </c>
      <c r="C10785" s="46">
        <v>773</v>
      </c>
      <c r="D10785" s="69" t="s">
        <v>29418</v>
      </c>
      <c r="E10785" s="51"/>
      <c r="F10785" s="114" t="str">
        <f>IF(INDEX(I.Facility.P2bIDNumber,773)="","",INDEX(I.Facility.P2bIDNumber,773))</f>
        <v/>
      </c>
      <c r="G10785" s="51"/>
      <c r="H10785" s="46" t="str">
        <f>IF(AND(I.Developer.P2b=TRUE,I.Facility.P2bFacilityCount&gt;=773,F10785=""),"Incomplete","Complete")</f>
        <v>Complete</v>
      </c>
      <c r="I10785" s="48" t="s">
        <v>15150</v>
      </c>
    </row>
    <row r="10786" spans="2:9" ht="15" customHeight="1" x14ac:dyDescent="0.25">
      <c r="B10786" s="55" t="s">
        <v>281</v>
      </c>
      <c r="C10786" s="46">
        <v>774</v>
      </c>
      <c r="D10786" s="69" t="s">
        <v>29418</v>
      </c>
      <c r="E10786" s="51"/>
      <c r="F10786" s="114" t="str">
        <f>IF(INDEX(I.Facility.P2bIDNumber,774)="","",INDEX(I.Facility.P2bIDNumber,774))</f>
        <v/>
      </c>
      <c r="G10786" s="51"/>
      <c r="H10786" s="46" t="str">
        <f>IF(AND(I.Developer.P2b=TRUE,I.Facility.P2bFacilityCount&gt;=774,F10786=""),"Incomplete","Complete")</f>
        <v>Complete</v>
      </c>
      <c r="I10786" s="48" t="s">
        <v>15151</v>
      </c>
    </row>
    <row r="10787" spans="2:9" ht="15" customHeight="1" x14ac:dyDescent="0.25">
      <c r="B10787" s="55" t="s">
        <v>281</v>
      </c>
      <c r="C10787" s="46">
        <v>775</v>
      </c>
      <c r="D10787" s="69" t="s">
        <v>29418</v>
      </c>
      <c r="E10787" s="51"/>
      <c r="F10787" s="114" t="str">
        <f>IF(INDEX(I.Facility.P2bIDNumber,775)="","",INDEX(I.Facility.P2bIDNumber,775))</f>
        <v/>
      </c>
      <c r="G10787" s="51"/>
      <c r="H10787" s="46" t="str">
        <f>IF(AND(I.Developer.P2b=TRUE,I.Facility.P2bFacilityCount&gt;=775,F10787=""),"Incomplete","Complete")</f>
        <v>Complete</v>
      </c>
      <c r="I10787" s="48" t="s">
        <v>15152</v>
      </c>
    </row>
    <row r="10788" spans="2:9" ht="15" customHeight="1" x14ac:dyDescent="0.25">
      <c r="B10788" s="55" t="s">
        <v>281</v>
      </c>
      <c r="C10788" s="46">
        <v>776</v>
      </c>
      <c r="D10788" s="69" t="s">
        <v>29418</v>
      </c>
      <c r="E10788" s="51"/>
      <c r="F10788" s="114" t="str">
        <f>IF(INDEX(I.Facility.P2bIDNumber,776)="","",INDEX(I.Facility.P2bIDNumber,776))</f>
        <v/>
      </c>
      <c r="G10788" s="51"/>
      <c r="H10788" s="46" t="str">
        <f>IF(AND(I.Developer.P2b=TRUE,I.Facility.P2bFacilityCount&gt;=776,F10788=""),"Incomplete","Complete")</f>
        <v>Complete</v>
      </c>
      <c r="I10788" s="48" t="s">
        <v>15153</v>
      </c>
    </row>
    <row r="10789" spans="2:9" ht="15" customHeight="1" x14ac:dyDescent="0.25">
      <c r="B10789" s="55" t="s">
        <v>281</v>
      </c>
      <c r="C10789" s="46">
        <v>777</v>
      </c>
      <c r="D10789" s="69" t="s">
        <v>29418</v>
      </c>
      <c r="E10789" s="51"/>
      <c r="F10789" s="114" t="str">
        <f>IF(INDEX(I.Facility.P2bIDNumber,777)="","",INDEX(I.Facility.P2bIDNumber,777))</f>
        <v/>
      </c>
      <c r="G10789" s="51"/>
      <c r="H10789" s="46" t="str">
        <f>IF(AND(I.Developer.P2b=TRUE,I.Facility.P2bFacilityCount&gt;=777,F10789=""),"Incomplete","Complete")</f>
        <v>Complete</v>
      </c>
      <c r="I10789" s="48" t="s">
        <v>15154</v>
      </c>
    </row>
    <row r="10790" spans="2:9" ht="15" customHeight="1" x14ac:dyDescent="0.25">
      <c r="B10790" s="55" t="s">
        <v>281</v>
      </c>
      <c r="C10790" s="46">
        <v>778</v>
      </c>
      <c r="D10790" s="69" t="s">
        <v>29418</v>
      </c>
      <c r="E10790" s="51"/>
      <c r="F10790" s="114" t="str">
        <f>IF(INDEX(I.Facility.P2bIDNumber,778)="","",INDEX(I.Facility.P2bIDNumber,778))</f>
        <v/>
      </c>
      <c r="G10790" s="51"/>
      <c r="H10790" s="46" t="str">
        <f>IF(AND(I.Developer.P2b=TRUE,I.Facility.P2bFacilityCount&gt;=778,F10790=""),"Incomplete","Complete")</f>
        <v>Complete</v>
      </c>
      <c r="I10790" s="48" t="s">
        <v>15155</v>
      </c>
    </row>
    <row r="10791" spans="2:9" ht="15" customHeight="1" x14ac:dyDescent="0.25">
      <c r="B10791" s="55" t="s">
        <v>281</v>
      </c>
      <c r="C10791" s="46">
        <v>779</v>
      </c>
      <c r="D10791" s="69" t="s">
        <v>29418</v>
      </c>
      <c r="E10791" s="51"/>
      <c r="F10791" s="114" t="str">
        <f>IF(INDEX(I.Facility.P2bIDNumber,779)="","",INDEX(I.Facility.P2bIDNumber,779))</f>
        <v/>
      </c>
      <c r="G10791" s="51"/>
      <c r="H10791" s="46" t="str">
        <f>IF(AND(I.Developer.P2b=TRUE,I.Facility.P2bFacilityCount&gt;=779,F10791=""),"Incomplete","Complete")</f>
        <v>Complete</v>
      </c>
      <c r="I10791" s="48" t="s">
        <v>15156</v>
      </c>
    </row>
    <row r="10792" spans="2:9" ht="15" customHeight="1" x14ac:dyDescent="0.25">
      <c r="B10792" s="55" t="s">
        <v>281</v>
      </c>
      <c r="C10792" s="46">
        <v>780</v>
      </c>
      <c r="D10792" s="69" t="s">
        <v>29418</v>
      </c>
      <c r="E10792" s="51"/>
      <c r="F10792" s="114" t="str">
        <f>IF(INDEX(I.Facility.P2bIDNumber,780)="","",INDEX(I.Facility.P2bIDNumber,780))</f>
        <v/>
      </c>
      <c r="G10792" s="51"/>
      <c r="H10792" s="46" t="str">
        <f>IF(AND(I.Developer.P2b=TRUE,I.Facility.P2bFacilityCount&gt;=780,F10792=""),"Incomplete","Complete")</f>
        <v>Complete</v>
      </c>
      <c r="I10792" s="48" t="s">
        <v>15157</v>
      </c>
    </row>
    <row r="10793" spans="2:9" ht="15" customHeight="1" x14ac:dyDescent="0.25">
      <c r="B10793" s="55" t="s">
        <v>281</v>
      </c>
      <c r="C10793" s="46">
        <v>781</v>
      </c>
      <c r="D10793" s="69" t="s">
        <v>29418</v>
      </c>
      <c r="E10793" s="51"/>
      <c r="F10793" s="114" t="str">
        <f>IF(INDEX(I.Facility.P2bIDNumber,781)="","",INDEX(I.Facility.P2bIDNumber,781))</f>
        <v/>
      </c>
      <c r="G10793" s="51"/>
      <c r="H10793" s="46" t="str">
        <f>IF(AND(I.Developer.P2b=TRUE,I.Facility.P2bFacilityCount&gt;=781,F10793=""),"Incomplete","Complete")</f>
        <v>Complete</v>
      </c>
      <c r="I10793" s="48" t="s">
        <v>15158</v>
      </c>
    </row>
    <row r="10794" spans="2:9" ht="15" customHeight="1" x14ac:dyDescent="0.25">
      <c r="B10794" s="55" t="s">
        <v>281</v>
      </c>
      <c r="C10794" s="46">
        <v>782</v>
      </c>
      <c r="D10794" s="69" t="s">
        <v>29418</v>
      </c>
      <c r="E10794" s="51"/>
      <c r="F10794" s="114" t="str">
        <f>IF(INDEX(I.Facility.P2bIDNumber,782)="","",INDEX(I.Facility.P2bIDNumber,782))</f>
        <v/>
      </c>
      <c r="G10794" s="51"/>
      <c r="H10794" s="46" t="str">
        <f>IF(AND(I.Developer.P2b=TRUE,I.Facility.P2bFacilityCount&gt;=782,F10794=""),"Incomplete","Complete")</f>
        <v>Complete</v>
      </c>
      <c r="I10794" s="48" t="s">
        <v>15159</v>
      </c>
    </row>
    <row r="10795" spans="2:9" ht="15" customHeight="1" x14ac:dyDescent="0.25">
      <c r="B10795" s="55" t="s">
        <v>281</v>
      </c>
      <c r="C10795" s="46">
        <v>783</v>
      </c>
      <c r="D10795" s="69" t="s">
        <v>29418</v>
      </c>
      <c r="E10795" s="51"/>
      <c r="F10795" s="114" t="str">
        <f>IF(INDEX(I.Facility.P2bIDNumber,783)="","",INDEX(I.Facility.P2bIDNumber,783))</f>
        <v/>
      </c>
      <c r="G10795" s="51"/>
      <c r="H10795" s="46" t="str">
        <f>IF(AND(I.Developer.P2b=TRUE,I.Facility.P2bFacilityCount&gt;=783,F10795=""),"Incomplete","Complete")</f>
        <v>Complete</v>
      </c>
      <c r="I10795" s="48" t="s">
        <v>15160</v>
      </c>
    </row>
    <row r="10796" spans="2:9" ht="15" customHeight="1" x14ac:dyDescent="0.25">
      <c r="B10796" s="55" t="s">
        <v>281</v>
      </c>
      <c r="C10796" s="46">
        <v>784</v>
      </c>
      <c r="D10796" s="69" t="s">
        <v>29418</v>
      </c>
      <c r="E10796" s="51"/>
      <c r="F10796" s="114" t="str">
        <f>IF(INDEX(I.Facility.P2bIDNumber,784)="","",INDEX(I.Facility.P2bIDNumber,784))</f>
        <v/>
      </c>
      <c r="G10796" s="51"/>
      <c r="H10796" s="46" t="str">
        <f>IF(AND(I.Developer.P2b=TRUE,I.Facility.P2bFacilityCount&gt;=784,F10796=""),"Incomplete","Complete")</f>
        <v>Complete</v>
      </c>
      <c r="I10796" s="48" t="s">
        <v>15161</v>
      </c>
    </row>
    <row r="10797" spans="2:9" ht="15" customHeight="1" x14ac:dyDescent="0.25">
      <c r="B10797" s="55" t="s">
        <v>281</v>
      </c>
      <c r="C10797" s="46">
        <v>785</v>
      </c>
      <c r="D10797" s="69" t="s">
        <v>29418</v>
      </c>
      <c r="E10797" s="51"/>
      <c r="F10797" s="114" t="str">
        <f>IF(INDEX(I.Facility.P2bIDNumber,785)="","",INDEX(I.Facility.P2bIDNumber,785))</f>
        <v/>
      </c>
      <c r="G10797" s="51"/>
      <c r="H10797" s="46" t="str">
        <f>IF(AND(I.Developer.P2b=TRUE,I.Facility.P2bFacilityCount&gt;=785,F10797=""),"Incomplete","Complete")</f>
        <v>Complete</v>
      </c>
      <c r="I10797" s="48" t="s">
        <v>15162</v>
      </c>
    </row>
    <row r="10798" spans="2:9" ht="15" customHeight="1" x14ac:dyDescent="0.25">
      <c r="B10798" s="55" t="s">
        <v>281</v>
      </c>
      <c r="C10798" s="46">
        <v>786</v>
      </c>
      <c r="D10798" s="69" t="s">
        <v>29418</v>
      </c>
      <c r="E10798" s="51"/>
      <c r="F10798" s="114" t="str">
        <f>IF(INDEX(I.Facility.P2bIDNumber,786)="","",INDEX(I.Facility.P2bIDNumber,786))</f>
        <v/>
      </c>
      <c r="G10798" s="51"/>
      <c r="H10798" s="46" t="str">
        <f>IF(AND(I.Developer.P2b=TRUE,I.Facility.P2bFacilityCount&gt;=786,F10798=""),"Incomplete","Complete")</f>
        <v>Complete</v>
      </c>
      <c r="I10798" s="48" t="s">
        <v>15163</v>
      </c>
    </row>
    <row r="10799" spans="2:9" ht="15" customHeight="1" x14ac:dyDescent="0.25">
      <c r="B10799" s="55" t="s">
        <v>281</v>
      </c>
      <c r="C10799" s="46">
        <v>787</v>
      </c>
      <c r="D10799" s="69" t="s">
        <v>29418</v>
      </c>
      <c r="E10799" s="51"/>
      <c r="F10799" s="114" t="str">
        <f>IF(INDEX(I.Facility.P2bIDNumber,787)="","",INDEX(I.Facility.P2bIDNumber,787))</f>
        <v/>
      </c>
      <c r="G10799" s="51"/>
      <c r="H10799" s="46" t="str">
        <f>IF(AND(I.Developer.P2b=TRUE,I.Facility.P2bFacilityCount&gt;=787,F10799=""),"Incomplete","Complete")</f>
        <v>Complete</v>
      </c>
      <c r="I10799" s="48" t="s">
        <v>15164</v>
      </c>
    </row>
    <row r="10800" spans="2:9" ht="15" customHeight="1" x14ac:dyDescent="0.25">
      <c r="B10800" s="55" t="s">
        <v>281</v>
      </c>
      <c r="C10800" s="46">
        <v>788</v>
      </c>
      <c r="D10800" s="69" t="s">
        <v>29418</v>
      </c>
      <c r="E10800" s="51"/>
      <c r="F10800" s="114" t="str">
        <f>IF(INDEX(I.Facility.P2bIDNumber,788)="","",INDEX(I.Facility.P2bIDNumber,788))</f>
        <v/>
      </c>
      <c r="G10800" s="51"/>
      <c r="H10800" s="46" t="str">
        <f>IF(AND(I.Developer.P2b=TRUE,I.Facility.P2bFacilityCount&gt;=788,F10800=""),"Incomplete","Complete")</f>
        <v>Complete</v>
      </c>
      <c r="I10800" s="48" t="s">
        <v>15165</v>
      </c>
    </row>
    <row r="10801" spans="2:9" ht="15" customHeight="1" x14ac:dyDescent="0.25">
      <c r="B10801" s="55" t="s">
        <v>281</v>
      </c>
      <c r="C10801" s="46">
        <v>789</v>
      </c>
      <c r="D10801" s="69" t="s">
        <v>29418</v>
      </c>
      <c r="E10801" s="51"/>
      <c r="F10801" s="114" t="str">
        <f>IF(INDEX(I.Facility.P2bIDNumber,789)="","",INDEX(I.Facility.P2bIDNumber,789))</f>
        <v/>
      </c>
      <c r="G10801" s="51"/>
      <c r="H10801" s="46" t="str">
        <f>IF(AND(I.Developer.P2b=TRUE,I.Facility.P2bFacilityCount&gt;=789,F10801=""),"Incomplete","Complete")</f>
        <v>Complete</v>
      </c>
      <c r="I10801" s="48" t="s">
        <v>15166</v>
      </c>
    </row>
    <row r="10802" spans="2:9" ht="15" customHeight="1" x14ac:dyDescent="0.25">
      <c r="B10802" s="55" t="s">
        <v>281</v>
      </c>
      <c r="C10802" s="46">
        <v>790</v>
      </c>
      <c r="D10802" s="69" t="s">
        <v>29418</v>
      </c>
      <c r="E10802" s="51"/>
      <c r="F10802" s="114" t="str">
        <f>IF(INDEX(I.Facility.P2bIDNumber,790)="","",INDEX(I.Facility.P2bIDNumber,790))</f>
        <v/>
      </c>
      <c r="G10802" s="51"/>
      <c r="H10802" s="46" t="str">
        <f>IF(AND(I.Developer.P2b=TRUE,I.Facility.P2bFacilityCount&gt;=790,F10802=""),"Incomplete","Complete")</f>
        <v>Complete</v>
      </c>
      <c r="I10802" s="48" t="s">
        <v>15167</v>
      </c>
    </row>
    <row r="10803" spans="2:9" ht="15" customHeight="1" x14ac:dyDescent="0.25">
      <c r="B10803" s="55" t="s">
        <v>281</v>
      </c>
      <c r="C10803" s="46">
        <v>791</v>
      </c>
      <c r="D10803" s="69" t="s">
        <v>29418</v>
      </c>
      <c r="E10803" s="51"/>
      <c r="F10803" s="114" t="str">
        <f>IF(INDEX(I.Facility.P2bIDNumber,791)="","",INDEX(I.Facility.P2bIDNumber,791))</f>
        <v/>
      </c>
      <c r="G10803" s="51"/>
      <c r="H10803" s="46" t="str">
        <f>IF(AND(I.Developer.P2b=TRUE,I.Facility.P2bFacilityCount&gt;=791,F10803=""),"Incomplete","Complete")</f>
        <v>Complete</v>
      </c>
      <c r="I10803" s="48" t="s">
        <v>15168</v>
      </c>
    </row>
    <row r="10804" spans="2:9" ht="15" customHeight="1" x14ac:dyDescent="0.25">
      <c r="B10804" s="55" t="s">
        <v>281</v>
      </c>
      <c r="C10804" s="46">
        <v>792</v>
      </c>
      <c r="D10804" s="69" t="s">
        <v>29418</v>
      </c>
      <c r="E10804" s="51"/>
      <c r="F10804" s="114" t="str">
        <f>IF(INDEX(I.Facility.P2bIDNumber,792)="","",INDEX(I.Facility.P2bIDNumber,792))</f>
        <v/>
      </c>
      <c r="G10804" s="51"/>
      <c r="H10804" s="46" t="str">
        <f>IF(AND(I.Developer.P2b=TRUE,I.Facility.P2bFacilityCount&gt;=792,F10804=""),"Incomplete","Complete")</f>
        <v>Complete</v>
      </c>
      <c r="I10804" s="48" t="s">
        <v>15169</v>
      </c>
    </row>
    <row r="10805" spans="2:9" ht="15" customHeight="1" x14ac:dyDescent="0.25">
      <c r="B10805" s="55" t="s">
        <v>281</v>
      </c>
      <c r="C10805" s="46">
        <v>793</v>
      </c>
      <c r="D10805" s="69" t="s">
        <v>29418</v>
      </c>
      <c r="E10805" s="51"/>
      <c r="F10805" s="114" t="str">
        <f>IF(INDEX(I.Facility.P2bIDNumber,793)="","",INDEX(I.Facility.P2bIDNumber,793))</f>
        <v/>
      </c>
      <c r="G10805" s="51"/>
      <c r="H10805" s="46" t="str">
        <f>IF(AND(I.Developer.P2b=TRUE,I.Facility.P2bFacilityCount&gt;=793,F10805=""),"Incomplete","Complete")</f>
        <v>Complete</v>
      </c>
      <c r="I10805" s="48" t="s">
        <v>15170</v>
      </c>
    </row>
    <row r="10806" spans="2:9" ht="15" customHeight="1" x14ac:dyDescent="0.25">
      <c r="B10806" s="55" t="s">
        <v>281</v>
      </c>
      <c r="C10806" s="46">
        <v>794</v>
      </c>
      <c r="D10806" s="69" t="s">
        <v>29418</v>
      </c>
      <c r="E10806" s="51"/>
      <c r="F10806" s="114" t="str">
        <f>IF(INDEX(I.Facility.P2bIDNumber,794)="","",INDEX(I.Facility.P2bIDNumber,794))</f>
        <v/>
      </c>
      <c r="G10806" s="51"/>
      <c r="H10806" s="46" t="str">
        <f>IF(AND(I.Developer.P2b=TRUE,I.Facility.P2bFacilityCount&gt;=794,F10806=""),"Incomplete","Complete")</f>
        <v>Complete</v>
      </c>
      <c r="I10806" s="48" t="s">
        <v>15171</v>
      </c>
    </row>
    <row r="10807" spans="2:9" ht="15" customHeight="1" x14ac:dyDescent="0.25">
      <c r="B10807" s="55" t="s">
        <v>281</v>
      </c>
      <c r="C10807" s="46">
        <v>795</v>
      </c>
      <c r="D10807" s="69" t="s">
        <v>29418</v>
      </c>
      <c r="E10807" s="51"/>
      <c r="F10807" s="114" t="str">
        <f>IF(INDEX(I.Facility.P2bIDNumber,795)="","",INDEX(I.Facility.P2bIDNumber,795))</f>
        <v/>
      </c>
      <c r="G10807" s="51"/>
      <c r="H10807" s="46" t="str">
        <f>IF(AND(I.Developer.P2b=TRUE,I.Facility.P2bFacilityCount&gt;=795,F10807=""),"Incomplete","Complete")</f>
        <v>Complete</v>
      </c>
      <c r="I10807" s="48" t="s">
        <v>15172</v>
      </c>
    </row>
    <row r="10808" spans="2:9" ht="15" customHeight="1" x14ac:dyDescent="0.25">
      <c r="B10808" s="55" t="s">
        <v>281</v>
      </c>
      <c r="C10808" s="46">
        <v>796</v>
      </c>
      <c r="D10808" s="69" t="s">
        <v>29418</v>
      </c>
      <c r="E10808" s="51"/>
      <c r="F10808" s="114" t="str">
        <f>IF(INDEX(I.Facility.P2bIDNumber,796)="","",INDEX(I.Facility.P2bIDNumber,796))</f>
        <v/>
      </c>
      <c r="G10808" s="51"/>
      <c r="H10808" s="46" t="str">
        <f>IF(AND(I.Developer.P2b=TRUE,I.Facility.P2bFacilityCount&gt;=796,F10808=""),"Incomplete","Complete")</f>
        <v>Complete</v>
      </c>
      <c r="I10808" s="48" t="s">
        <v>15173</v>
      </c>
    </row>
    <row r="10809" spans="2:9" ht="15" customHeight="1" x14ac:dyDescent="0.25">
      <c r="B10809" s="55" t="s">
        <v>281</v>
      </c>
      <c r="C10809" s="46">
        <v>797</v>
      </c>
      <c r="D10809" s="69" t="s">
        <v>29418</v>
      </c>
      <c r="E10809" s="51"/>
      <c r="F10809" s="114" t="str">
        <f>IF(INDEX(I.Facility.P2bIDNumber,797)="","",INDEX(I.Facility.P2bIDNumber,797))</f>
        <v/>
      </c>
      <c r="G10809" s="51"/>
      <c r="H10809" s="46" t="str">
        <f>IF(AND(I.Developer.P2b=TRUE,I.Facility.P2bFacilityCount&gt;=797,F10809=""),"Incomplete","Complete")</f>
        <v>Complete</v>
      </c>
      <c r="I10809" s="48" t="s">
        <v>15174</v>
      </c>
    </row>
    <row r="10810" spans="2:9" ht="15" customHeight="1" x14ac:dyDescent="0.25">
      <c r="B10810" s="55" t="s">
        <v>281</v>
      </c>
      <c r="C10810" s="46">
        <v>798</v>
      </c>
      <c r="D10810" s="69" t="s">
        <v>29418</v>
      </c>
      <c r="E10810" s="51"/>
      <c r="F10810" s="114" t="str">
        <f>IF(INDEX(I.Facility.P2bIDNumber,798)="","",INDEX(I.Facility.P2bIDNumber,798))</f>
        <v/>
      </c>
      <c r="G10810" s="51"/>
      <c r="H10810" s="46" t="str">
        <f>IF(AND(I.Developer.P2b=TRUE,I.Facility.P2bFacilityCount&gt;=798,F10810=""),"Incomplete","Complete")</f>
        <v>Complete</v>
      </c>
      <c r="I10810" s="48" t="s">
        <v>15175</v>
      </c>
    </row>
    <row r="10811" spans="2:9" ht="15" customHeight="1" x14ac:dyDescent="0.25">
      <c r="B10811" s="55" t="s">
        <v>281</v>
      </c>
      <c r="C10811" s="46">
        <v>799</v>
      </c>
      <c r="D10811" s="69" t="s">
        <v>29418</v>
      </c>
      <c r="E10811" s="51"/>
      <c r="F10811" s="114" t="str">
        <f>IF(INDEX(I.Facility.P2bIDNumber,799)="","",INDEX(I.Facility.P2bIDNumber,799))</f>
        <v/>
      </c>
      <c r="G10811" s="51"/>
      <c r="H10811" s="46" t="str">
        <f>IF(AND(I.Developer.P2b=TRUE,I.Facility.P2bFacilityCount&gt;=799,F10811=""),"Incomplete","Complete")</f>
        <v>Complete</v>
      </c>
      <c r="I10811" s="48" t="s">
        <v>15176</v>
      </c>
    </row>
    <row r="10812" spans="2:9" ht="15" customHeight="1" x14ac:dyDescent="0.25">
      <c r="B10812" s="55" t="s">
        <v>281</v>
      </c>
      <c r="C10812" s="46">
        <v>800</v>
      </c>
      <c r="D10812" s="69" t="s">
        <v>29418</v>
      </c>
      <c r="E10812" s="51"/>
      <c r="F10812" s="114" t="str">
        <f>IF(INDEX(I.Facility.P2bIDNumber,800)="","",INDEX(I.Facility.P2bIDNumber,800))</f>
        <v/>
      </c>
      <c r="G10812" s="51"/>
      <c r="H10812" s="46" t="str">
        <f>IF(AND(I.Developer.P2b=TRUE,I.Facility.P2bFacilityCount&gt;=800,F10812=""),"Incomplete","Complete")</f>
        <v>Complete</v>
      </c>
      <c r="I10812" s="48" t="s">
        <v>15177</v>
      </c>
    </row>
    <row r="10813" spans="2:9" ht="15" customHeight="1" x14ac:dyDescent="0.25">
      <c r="B10813" s="55" t="s">
        <v>281</v>
      </c>
      <c r="C10813" s="46">
        <v>801</v>
      </c>
      <c r="D10813" s="69" t="s">
        <v>29418</v>
      </c>
      <c r="E10813" s="51"/>
      <c r="F10813" s="114" t="str">
        <f>IF(INDEX(I.Facility.P2bIDNumber,801)="","",INDEX(I.Facility.P2bIDNumber,801))</f>
        <v/>
      </c>
      <c r="G10813" s="51"/>
      <c r="H10813" s="46" t="str">
        <f>IF(AND(I.Developer.P2b=TRUE,I.Facility.P2bFacilityCount&gt;=801,F10813=""),"Incomplete","Complete")</f>
        <v>Complete</v>
      </c>
      <c r="I10813" s="48" t="s">
        <v>15178</v>
      </c>
    </row>
    <row r="10814" spans="2:9" ht="15" customHeight="1" x14ac:dyDescent="0.25">
      <c r="B10814" s="55" t="s">
        <v>281</v>
      </c>
      <c r="C10814" s="46">
        <v>802</v>
      </c>
      <c r="D10814" s="69" t="s">
        <v>29418</v>
      </c>
      <c r="E10814" s="51"/>
      <c r="F10814" s="114" t="str">
        <f>IF(INDEX(I.Facility.P2bIDNumber,802)="","",INDEX(I.Facility.P2bIDNumber,802))</f>
        <v/>
      </c>
      <c r="G10814" s="51"/>
      <c r="H10814" s="46" t="str">
        <f>IF(AND(I.Developer.P2b=TRUE,I.Facility.P2bFacilityCount&gt;=802,F10814=""),"Incomplete","Complete")</f>
        <v>Complete</v>
      </c>
      <c r="I10814" s="48" t="s">
        <v>15179</v>
      </c>
    </row>
    <row r="10815" spans="2:9" ht="15" customHeight="1" x14ac:dyDescent="0.25">
      <c r="B10815" s="55" t="s">
        <v>281</v>
      </c>
      <c r="C10815" s="46">
        <v>803</v>
      </c>
      <c r="D10815" s="69" t="s">
        <v>29418</v>
      </c>
      <c r="E10815" s="51"/>
      <c r="F10815" s="114" t="str">
        <f>IF(INDEX(I.Facility.P2bIDNumber,803)="","",INDEX(I.Facility.P2bIDNumber,803))</f>
        <v/>
      </c>
      <c r="G10815" s="51"/>
      <c r="H10815" s="46" t="str">
        <f>IF(AND(I.Developer.P2b=TRUE,I.Facility.P2bFacilityCount&gt;=803,F10815=""),"Incomplete","Complete")</f>
        <v>Complete</v>
      </c>
      <c r="I10815" s="48" t="s">
        <v>15180</v>
      </c>
    </row>
    <row r="10816" spans="2:9" ht="15" customHeight="1" x14ac:dyDescent="0.25">
      <c r="B10816" s="55" t="s">
        <v>281</v>
      </c>
      <c r="C10816" s="46">
        <v>804</v>
      </c>
      <c r="D10816" s="69" t="s">
        <v>29418</v>
      </c>
      <c r="E10816" s="51"/>
      <c r="F10816" s="114" t="str">
        <f>IF(INDEX(I.Facility.P2bIDNumber,804)="","",INDEX(I.Facility.P2bIDNumber,804))</f>
        <v/>
      </c>
      <c r="G10816" s="51"/>
      <c r="H10816" s="46" t="str">
        <f>IF(AND(I.Developer.P2b=TRUE,I.Facility.P2bFacilityCount&gt;=804,F10816=""),"Incomplete","Complete")</f>
        <v>Complete</v>
      </c>
      <c r="I10816" s="48" t="s">
        <v>15181</v>
      </c>
    </row>
    <row r="10817" spans="2:9" ht="15" customHeight="1" x14ac:dyDescent="0.25">
      <c r="B10817" s="55" t="s">
        <v>281</v>
      </c>
      <c r="C10817" s="46">
        <v>805</v>
      </c>
      <c r="D10817" s="69" t="s">
        <v>29418</v>
      </c>
      <c r="E10817" s="51"/>
      <c r="F10817" s="114" t="str">
        <f>IF(INDEX(I.Facility.P2bIDNumber,805)="","",INDEX(I.Facility.P2bIDNumber,805))</f>
        <v/>
      </c>
      <c r="G10817" s="51"/>
      <c r="H10817" s="46" t="str">
        <f>IF(AND(I.Developer.P2b=TRUE,I.Facility.P2bFacilityCount&gt;=805,F10817=""),"Incomplete","Complete")</f>
        <v>Complete</v>
      </c>
      <c r="I10817" s="48" t="s">
        <v>15182</v>
      </c>
    </row>
    <row r="10818" spans="2:9" ht="15" customHeight="1" x14ac:dyDescent="0.25">
      <c r="B10818" s="55" t="s">
        <v>281</v>
      </c>
      <c r="C10818" s="46">
        <v>806</v>
      </c>
      <c r="D10818" s="69" t="s">
        <v>29418</v>
      </c>
      <c r="E10818" s="51"/>
      <c r="F10818" s="114" t="str">
        <f>IF(INDEX(I.Facility.P2bIDNumber,806)="","",INDEX(I.Facility.P2bIDNumber,806))</f>
        <v/>
      </c>
      <c r="G10818" s="51"/>
      <c r="H10818" s="46" t="str">
        <f>IF(AND(I.Developer.P2b=TRUE,I.Facility.P2bFacilityCount&gt;=806,F10818=""),"Incomplete","Complete")</f>
        <v>Complete</v>
      </c>
      <c r="I10818" s="48" t="s">
        <v>15183</v>
      </c>
    </row>
    <row r="10819" spans="2:9" ht="15" customHeight="1" x14ac:dyDescent="0.25">
      <c r="B10819" s="55" t="s">
        <v>281</v>
      </c>
      <c r="C10819" s="46">
        <v>807</v>
      </c>
      <c r="D10819" s="69" t="s">
        <v>29418</v>
      </c>
      <c r="E10819" s="51"/>
      <c r="F10819" s="114" t="str">
        <f>IF(INDEX(I.Facility.P2bIDNumber,807)="","",INDEX(I.Facility.P2bIDNumber,807))</f>
        <v/>
      </c>
      <c r="G10819" s="51"/>
      <c r="H10819" s="46" t="str">
        <f>IF(AND(I.Developer.P2b=TRUE,I.Facility.P2bFacilityCount&gt;=807,F10819=""),"Incomplete","Complete")</f>
        <v>Complete</v>
      </c>
      <c r="I10819" s="48" t="s">
        <v>15184</v>
      </c>
    </row>
    <row r="10820" spans="2:9" ht="15" customHeight="1" x14ac:dyDescent="0.25">
      <c r="B10820" s="55" t="s">
        <v>281</v>
      </c>
      <c r="C10820" s="46">
        <v>808</v>
      </c>
      <c r="D10820" s="69" t="s">
        <v>29418</v>
      </c>
      <c r="E10820" s="51"/>
      <c r="F10820" s="114" t="str">
        <f>IF(INDEX(I.Facility.P2bIDNumber,808)="","",INDEX(I.Facility.P2bIDNumber,808))</f>
        <v/>
      </c>
      <c r="G10820" s="51"/>
      <c r="H10820" s="46" t="str">
        <f>IF(AND(I.Developer.P2b=TRUE,I.Facility.P2bFacilityCount&gt;=808,F10820=""),"Incomplete","Complete")</f>
        <v>Complete</v>
      </c>
      <c r="I10820" s="48" t="s">
        <v>15185</v>
      </c>
    </row>
    <row r="10821" spans="2:9" ht="15" customHeight="1" x14ac:dyDescent="0.25">
      <c r="B10821" s="55" t="s">
        <v>281</v>
      </c>
      <c r="C10821" s="46">
        <v>809</v>
      </c>
      <c r="D10821" s="69" t="s">
        <v>29418</v>
      </c>
      <c r="E10821" s="51"/>
      <c r="F10821" s="114" t="str">
        <f>IF(INDEX(I.Facility.P2bIDNumber,809)="","",INDEX(I.Facility.P2bIDNumber,809))</f>
        <v/>
      </c>
      <c r="G10821" s="51"/>
      <c r="H10821" s="46" t="str">
        <f>IF(AND(I.Developer.P2b=TRUE,I.Facility.P2bFacilityCount&gt;=809,F10821=""),"Incomplete","Complete")</f>
        <v>Complete</v>
      </c>
      <c r="I10821" s="48" t="s">
        <v>15186</v>
      </c>
    </row>
    <row r="10822" spans="2:9" ht="15" customHeight="1" x14ac:dyDescent="0.25">
      <c r="B10822" s="55" t="s">
        <v>281</v>
      </c>
      <c r="C10822" s="46">
        <v>810</v>
      </c>
      <c r="D10822" s="69" t="s">
        <v>29418</v>
      </c>
      <c r="E10822" s="51"/>
      <c r="F10822" s="114" t="str">
        <f>IF(INDEX(I.Facility.P2bIDNumber,810)="","",INDEX(I.Facility.P2bIDNumber,810))</f>
        <v/>
      </c>
      <c r="G10822" s="51"/>
      <c r="H10822" s="46" t="str">
        <f>IF(AND(I.Developer.P2b=TRUE,I.Facility.P2bFacilityCount&gt;=810,F10822=""),"Incomplete","Complete")</f>
        <v>Complete</v>
      </c>
      <c r="I10822" s="48" t="s">
        <v>15187</v>
      </c>
    </row>
    <row r="10823" spans="2:9" ht="15" customHeight="1" x14ac:dyDescent="0.25">
      <c r="B10823" s="55" t="s">
        <v>281</v>
      </c>
      <c r="C10823" s="46">
        <v>811</v>
      </c>
      <c r="D10823" s="69" t="s">
        <v>29418</v>
      </c>
      <c r="E10823" s="51"/>
      <c r="F10823" s="114" t="str">
        <f>IF(INDEX(I.Facility.P2bIDNumber,811)="","",INDEX(I.Facility.P2bIDNumber,811))</f>
        <v/>
      </c>
      <c r="G10823" s="51"/>
      <c r="H10823" s="46" t="str">
        <f>IF(AND(I.Developer.P2b=TRUE,I.Facility.P2bFacilityCount&gt;=811,F10823=""),"Incomplete","Complete")</f>
        <v>Complete</v>
      </c>
      <c r="I10823" s="48" t="s">
        <v>15188</v>
      </c>
    </row>
    <row r="10824" spans="2:9" ht="15" customHeight="1" x14ac:dyDescent="0.25">
      <c r="B10824" s="55" t="s">
        <v>281</v>
      </c>
      <c r="C10824" s="46">
        <v>812</v>
      </c>
      <c r="D10824" s="69" t="s">
        <v>29418</v>
      </c>
      <c r="E10824" s="51"/>
      <c r="F10824" s="114" t="str">
        <f>IF(INDEX(I.Facility.P2bIDNumber,812)="","",INDEX(I.Facility.P2bIDNumber,812))</f>
        <v/>
      </c>
      <c r="G10824" s="51"/>
      <c r="H10824" s="46" t="str">
        <f>IF(AND(I.Developer.P2b=TRUE,I.Facility.P2bFacilityCount&gt;=812,F10824=""),"Incomplete","Complete")</f>
        <v>Complete</v>
      </c>
      <c r="I10824" s="48" t="s">
        <v>15189</v>
      </c>
    </row>
    <row r="10825" spans="2:9" ht="15" customHeight="1" x14ac:dyDescent="0.25">
      <c r="B10825" s="55" t="s">
        <v>281</v>
      </c>
      <c r="C10825" s="46">
        <v>813</v>
      </c>
      <c r="D10825" s="69" t="s">
        <v>29418</v>
      </c>
      <c r="E10825" s="51"/>
      <c r="F10825" s="114" t="str">
        <f>IF(INDEX(I.Facility.P2bIDNumber,813)="","",INDEX(I.Facility.P2bIDNumber,813))</f>
        <v/>
      </c>
      <c r="G10825" s="51"/>
      <c r="H10825" s="46" t="str">
        <f>IF(AND(I.Developer.P2b=TRUE,I.Facility.P2bFacilityCount&gt;=813,F10825=""),"Incomplete","Complete")</f>
        <v>Complete</v>
      </c>
      <c r="I10825" s="48" t="s">
        <v>15190</v>
      </c>
    </row>
    <row r="10826" spans="2:9" ht="15" customHeight="1" x14ac:dyDescent="0.25">
      <c r="B10826" s="55" t="s">
        <v>281</v>
      </c>
      <c r="C10826" s="46">
        <v>814</v>
      </c>
      <c r="D10826" s="69" t="s">
        <v>29418</v>
      </c>
      <c r="E10826" s="51"/>
      <c r="F10826" s="114" t="str">
        <f>IF(INDEX(I.Facility.P2bIDNumber,814)="","",INDEX(I.Facility.P2bIDNumber,814))</f>
        <v/>
      </c>
      <c r="G10826" s="51"/>
      <c r="H10826" s="46" t="str">
        <f>IF(AND(I.Developer.P2b=TRUE,I.Facility.P2bFacilityCount&gt;=814,F10826=""),"Incomplete","Complete")</f>
        <v>Complete</v>
      </c>
      <c r="I10826" s="48" t="s">
        <v>15191</v>
      </c>
    </row>
    <row r="10827" spans="2:9" ht="15" customHeight="1" x14ac:dyDescent="0.25">
      <c r="B10827" s="55" t="s">
        <v>281</v>
      </c>
      <c r="C10827" s="46">
        <v>815</v>
      </c>
      <c r="D10827" s="69" t="s">
        <v>29418</v>
      </c>
      <c r="E10827" s="51"/>
      <c r="F10827" s="114" t="str">
        <f>IF(INDEX(I.Facility.P2bIDNumber,815)="","",INDEX(I.Facility.P2bIDNumber,815))</f>
        <v/>
      </c>
      <c r="G10827" s="51"/>
      <c r="H10827" s="46" t="str">
        <f>IF(AND(I.Developer.P2b=TRUE,I.Facility.P2bFacilityCount&gt;=815,F10827=""),"Incomplete","Complete")</f>
        <v>Complete</v>
      </c>
      <c r="I10827" s="48" t="s">
        <v>15192</v>
      </c>
    </row>
    <row r="10828" spans="2:9" ht="15" customHeight="1" x14ac:dyDescent="0.25">
      <c r="B10828" s="55" t="s">
        <v>281</v>
      </c>
      <c r="C10828" s="46">
        <v>816</v>
      </c>
      <c r="D10828" s="69" t="s">
        <v>29418</v>
      </c>
      <c r="E10828" s="51"/>
      <c r="F10828" s="114" t="str">
        <f>IF(INDEX(I.Facility.P2bIDNumber,816)="","",INDEX(I.Facility.P2bIDNumber,816))</f>
        <v/>
      </c>
      <c r="G10828" s="51"/>
      <c r="H10828" s="46" t="str">
        <f>IF(AND(I.Developer.P2b=TRUE,I.Facility.P2bFacilityCount&gt;=816,F10828=""),"Incomplete","Complete")</f>
        <v>Complete</v>
      </c>
      <c r="I10828" s="48" t="s">
        <v>15193</v>
      </c>
    </row>
    <row r="10829" spans="2:9" ht="15" customHeight="1" x14ac:dyDescent="0.25">
      <c r="B10829" s="55" t="s">
        <v>281</v>
      </c>
      <c r="C10829" s="46">
        <v>817</v>
      </c>
      <c r="D10829" s="69" t="s">
        <v>29418</v>
      </c>
      <c r="E10829" s="51"/>
      <c r="F10829" s="114" t="str">
        <f>IF(INDEX(I.Facility.P2bIDNumber,817)="","",INDEX(I.Facility.P2bIDNumber,817))</f>
        <v/>
      </c>
      <c r="G10829" s="51"/>
      <c r="H10829" s="46" t="str">
        <f>IF(AND(I.Developer.P2b=TRUE,I.Facility.P2bFacilityCount&gt;=817,F10829=""),"Incomplete","Complete")</f>
        <v>Complete</v>
      </c>
      <c r="I10829" s="48" t="s">
        <v>15194</v>
      </c>
    </row>
    <row r="10830" spans="2:9" ht="15" customHeight="1" x14ac:dyDescent="0.25">
      <c r="B10830" s="55" t="s">
        <v>281</v>
      </c>
      <c r="C10830" s="46">
        <v>818</v>
      </c>
      <c r="D10830" s="69" t="s">
        <v>29418</v>
      </c>
      <c r="E10830" s="51"/>
      <c r="F10830" s="114" t="str">
        <f>IF(INDEX(I.Facility.P2bIDNumber,818)="","",INDEX(I.Facility.P2bIDNumber,818))</f>
        <v/>
      </c>
      <c r="G10830" s="51"/>
      <c r="H10830" s="46" t="str">
        <f>IF(AND(I.Developer.P2b=TRUE,I.Facility.P2bFacilityCount&gt;=818,F10830=""),"Incomplete","Complete")</f>
        <v>Complete</v>
      </c>
      <c r="I10830" s="48" t="s">
        <v>15195</v>
      </c>
    </row>
    <row r="10831" spans="2:9" ht="15" customHeight="1" x14ac:dyDescent="0.25">
      <c r="B10831" s="55" t="s">
        <v>281</v>
      </c>
      <c r="C10831" s="46">
        <v>819</v>
      </c>
      <c r="D10831" s="69" t="s">
        <v>29418</v>
      </c>
      <c r="E10831" s="51"/>
      <c r="F10831" s="114" t="str">
        <f>IF(INDEX(I.Facility.P2bIDNumber,819)="","",INDEX(I.Facility.P2bIDNumber,819))</f>
        <v/>
      </c>
      <c r="G10831" s="51"/>
      <c r="H10831" s="46" t="str">
        <f>IF(AND(I.Developer.P2b=TRUE,I.Facility.P2bFacilityCount&gt;=819,F10831=""),"Incomplete","Complete")</f>
        <v>Complete</v>
      </c>
      <c r="I10831" s="48" t="s">
        <v>15196</v>
      </c>
    </row>
    <row r="10832" spans="2:9" ht="15" customHeight="1" x14ac:dyDescent="0.25">
      <c r="B10832" s="55" t="s">
        <v>281</v>
      </c>
      <c r="C10832" s="46">
        <v>820</v>
      </c>
      <c r="D10832" s="69" t="s">
        <v>29418</v>
      </c>
      <c r="E10832" s="51"/>
      <c r="F10832" s="114" t="str">
        <f>IF(INDEX(I.Facility.P2bIDNumber,820)="","",INDEX(I.Facility.P2bIDNumber,820))</f>
        <v/>
      </c>
      <c r="G10832" s="51"/>
      <c r="H10832" s="46" t="str">
        <f>IF(AND(I.Developer.P2b=TRUE,I.Facility.P2bFacilityCount&gt;=820,F10832=""),"Incomplete","Complete")</f>
        <v>Complete</v>
      </c>
      <c r="I10832" s="48" t="s">
        <v>15197</v>
      </c>
    </row>
    <row r="10833" spans="2:9" ht="15" customHeight="1" x14ac:dyDescent="0.25">
      <c r="B10833" s="55" t="s">
        <v>281</v>
      </c>
      <c r="C10833" s="46">
        <v>821</v>
      </c>
      <c r="D10833" s="69" t="s">
        <v>29418</v>
      </c>
      <c r="E10833" s="51"/>
      <c r="F10833" s="114" t="str">
        <f>IF(INDEX(I.Facility.P2bIDNumber,821)="","",INDEX(I.Facility.P2bIDNumber,821))</f>
        <v/>
      </c>
      <c r="G10833" s="51"/>
      <c r="H10833" s="46" t="str">
        <f>IF(AND(I.Developer.P2b=TRUE,I.Facility.P2bFacilityCount&gt;=821,F10833=""),"Incomplete","Complete")</f>
        <v>Complete</v>
      </c>
      <c r="I10833" s="48" t="s">
        <v>15198</v>
      </c>
    </row>
    <row r="10834" spans="2:9" ht="15" customHeight="1" x14ac:dyDescent="0.25">
      <c r="B10834" s="55" t="s">
        <v>281</v>
      </c>
      <c r="C10834" s="46">
        <v>822</v>
      </c>
      <c r="D10834" s="69" t="s">
        <v>29418</v>
      </c>
      <c r="E10834" s="51"/>
      <c r="F10834" s="114" t="str">
        <f>IF(INDEX(I.Facility.P2bIDNumber,822)="","",INDEX(I.Facility.P2bIDNumber,822))</f>
        <v/>
      </c>
      <c r="G10834" s="51"/>
      <c r="H10834" s="46" t="str">
        <f>IF(AND(I.Developer.P2b=TRUE,I.Facility.P2bFacilityCount&gt;=822,F10834=""),"Incomplete","Complete")</f>
        <v>Complete</v>
      </c>
      <c r="I10834" s="48" t="s">
        <v>15199</v>
      </c>
    </row>
    <row r="10835" spans="2:9" ht="15" customHeight="1" x14ac:dyDescent="0.25">
      <c r="B10835" s="55" t="s">
        <v>281</v>
      </c>
      <c r="C10835" s="46">
        <v>823</v>
      </c>
      <c r="D10835" s="69" t="s">
        <v>29418</v>
      </c>
      <c r="E10835" s="51"/>
      <c r="F10835" s="114" t="str">
        <f>IF(INDEX(I.Facility.P2bIDNumber,823)="","",INDEX(I.Facility.P2bIDNumber,823))</f>
        <v/>
      </c>
      <c r="G10835" s="51"/>
      <c r="H10835" s="46" t="str">
        <f>IF(AND(I.Developer.P2b=TRUE,I.Facility.P2bFacilityCount&gt;=823,F10835=""),"Incomplete","Complete")</f>
        <v>Complete</v>
      </c>
      <c r="I10835" s="48" t="s">
        <v>15200</v>
      </c>
    </row>
    <row r="10836" spans="2:9" ht="15" customHeight="1" x14ac:dyDescent="0.25">
      <c r="B10836" s="55" t="s">
        <v>281</v>
      </c>
      <c r="C10836" s="46">
        <v>824</v>
      </c>
      <c r="D10836" s="69" t="s">
        <v>29418</v>
      </c>
      <c r="E10836" s="51"/>
      <c r="F10836" s="114" t="str">
        <f>IF(INDEX(I.Facility.P2bIDNumber,824)="","",INDEX(I.Facility.P2bIDNumber,824))</f>
        <v/>
      </c>
      <c r="G10836" s="51"/>
      <c r="H10836" s="46" t="str">
        <f>IF(AND(I.Developer.P2b=TRUE,I.Facility.P2bFacilityCount&gt;=824,F10836=""),"Incomplete","Complete")</f>
        <v>Complete</v>
      </c>
      <c r="I10836" s="48" t="s">
        <v>15201</v>
      </c>
    </row>
    <row r="10837" spans="2:9" ht="15" customHeight="1" x14ac:dyDescent="0.25">
      <c r="B10837" s="55" t="s">
        <v>281</v>
      </c>
      <c r="C10837" s="46">
        <v>825</v>
      </c>
      <c r="D10837" s="69" t="s">
        <v>29418</v>
      </c>
      <c r="E10837" s="51"/>
      <c r="F10837" s="114" t="str">
        <f>IF(INDEX(I.Facility.P2bIDNumber,825)="","",INDEX(I.Facility.P2bIDNumber,825))</f>
        <v/>
      </c>
      <c r="G10837" s="51"/>
      <c r="H10837" s="46" t="str">
        <f>IF(AND(I.Developer.P2b=TRUE,I.Facility.P2bFacilityCount&gt;=825,F10837=""),"Incomplete","Complete")</f>
        <v>Complete</v>
      </c>
      <c r="I10837" s="48" t="s">
        <v>15202</v>
      </c>
    </row>
    <row r="10838" spans="2:9" ht="15" customHeight="1" x14ac:dyDescent="0.25">
      <c r="B10838" s="55" t="s">
        <v>281</v>
      </c>
      <c r="C10838" s="46">
        <v>826</v>
      </c>
      <c r="D10838" s="69" t="s">
        <v>29418</v>
      </c>
      <c r="E10838" s="51"/>
      <c r="F10838" s="114" t="str">
        <f>IF(INDEX(I.Facility.P2bIDNumber,826)="","",INDEX(I.Facility.P2bIDNumber,826))</f>
        <v/>
      </c>
      <c r="G10838" s="51"/>
      <c r="H10838" s="46" t="str">
        <f>IF(AND(I.Developer.P2b=TRUE,I.Facility.P2bFacilityCount&gt;=826,F10838=""),"Incomplete","Complete")</f>
        <v>Complete</v>
      </c>
      <c r="I10838" s="48" t="s">
        <v>15203</v>
      </c>
    </row>
    <row r="10839" spans="2:9" ht="15" customHeight="1" x14ac:dyDescent="0.25">
      <c r="B10839" s="55" t="s">
        <v>281</v>
      </c>
      <c r="C10839" s="46">
        <v>827</v>
      </c>
      <c r="D10839" s="69" t="s">
        <v>29418</v>
      </c>
      <c r="E10839" s="51"/>
      <c r="F10839" s="114" t="str">
        <f>IF(INDEX(I.Facility.P2bIDNumber,827)="","",INDEX(I.Facility.P2bIDNumber,827))</f>
        <v/>
      </c>
      <c r="G10839" s="51"/>
      <c r="H10839" s="46" t="str">
        <f>IF(AND(I.Developer.P2b=TRUE,I.Facility.P2bFacilityCount&gt;=827,F10839=""),"Incomplete","Complete")</f>
        <v>Complete</v>
      </c>
      <c r="I10839" s="48" t="s">
        <v>15204</v>
      </c>
    </row>
    <row r="10840" spans="2:9" ht="15" customHeight="1" x14ac:dyDescent="0.25">
      <c r="B10840" s="55" t="s">
        <v>281</v>
      </c>
      <c r="C10840" s="46">
        <v>828</v>
      </c>
      <c r="D10840" s="69" t="s">
        <v>29418</v>
      </c>
      <c r="E10840" s="51"/>
      <c r="F10840" s="114" t="str">
        <f>IF(INDEX(I.Facility.P2bIDNumber,828)="","",INDEX(I.Facility.P2bIDNumber,828))</f>
        <v/>
      </c>
      <c r="G10840" s="51"/>
      <c r="H10840" s="46" t="str">
        <f>IF(AND(I.Developer.P2b=TRUE,I.Facility.P2bFacilityCount&gt;=828,F10840=""),"Incomplete","Complete")</f>
        <v>Complete</v>
      </c>
      <c r="I10840" s="48" t="s">
        <v>15205</v>
      </c>
    </row>
    <row r="10841" spans="2:9" ht="15" customHeight="1" x14ac:dyDescent="0.25">
      <c r="B10841" s="55" t="s">
        <v>281</v>
      </c>
      <c r="C10841" s="46">
        <v>829</v>
      </c>
      <c r="D10841" s="69" t="s">
        <v>29418</v>
      </c>
      <c r="E10841" s="51"/>
      <c r="F10841" s="114" t="str">
        <f>IF(INDEX(I.Facility.P2bIDNumber,829)="","",INDEX(I.Facility.P2bIDNumber,829))</f>
        <v/>
      </c>
      <c r="G10841" s="51"/>
      <c r="H10841" s="46" t="str">
        <f>IF(AND(I.Developer.P2b=TRUE,I.Facility.P2bFacilityCount&gt;=829,F10841=""),"Incomplete","Complete")</f>
        <v>Complete</v>
      </c>
      <c r="I10841" s="48" t="s">
        <v>15206</v>
      </c>
    </row>
    <row r="10842" spans="2:9" ht="15" customHeight="1" x14ac:dyDescent="0.25">
      <c r="B10842" s="55" t="s">
        <v>281</v>
      </c>
      <c r="C10842" s="46">
        <v>830</v>
      </c>
      <c r="D10842" s="69" t="s">
        <v>29418</v>
      </c>
      <c r="E10842" s="51"/>
      <c r="F10842" s="114" t="str">
        <f>IF(INDEX(I.Facility.P2bIDNumber,830)="","",INDEX(I.Facility.P2bIDNumber,830))</f>
        <v/>
      </c>
      <c r="G10842" s="51"/>
      <c r="H10842" s="46" t="str">
        <f>IF(AND(I.Developer.P2b=TRUE,I.Facility.P2bFacilityCount&gt;=830,F10842=""),"Incomplete","Complete")</f>
        <v>Complete</v>
      </c>
      <c r="I10842" s="48" t="s">
        <v>15207</v>
      </c>
    </row>
    <row r="10843" spans="2:9" ht="15" customHeight="1" x14ac:dyDescent="0.25">
      <c r="B10843" s="55" t="s">
        <v>281</v>
      </c>
      <c r="C10843" s="46">
        <v>831</v>
      </c>
      <c r="D10843" s="69" t="s">
        <v>29418</v>
      </c>
      <c r="E10843" s="51"/>
      <c r="F10843" s="114" t="str">
        <f>IF(INDEX(I.Facility.P2bIDNumber,831)="","",INDEX(I.Facility.P2bIDNumber,831))</f>
        <v/>
      </c>
      <c r="G10843" s="51"/>
      <c r="H10843" s="46" t="str">
        <f>IF(AND(I.Developer.P2b=TRUE,I.Facility.P2bFacilityCount&gt;=831,F10843=""),"Incomplete","Complete")</f>
        <v>Complete</v>
      </c>
      <c r="I10843" s="48" t="s">
        <v>15208</v>
      </c>
    </row>
    <row r="10844" spans="2:9" ht="15" customHeight="1" x14ac:dyDescent="0.25">
      <c r="B10844" s="55" t="s">
        <v>281</v>
      </c>
      <c r="C10844" s="46">
        <v>832</v>
      </c>
      <c r="D10844" s="69" t="s">
        <v>29418</v>
      </c>
      <c r="E10844" s="51"/>
      <c r="F10844" s="114" t="str">
        <f>IF(INDEX(I.Facility.P2bIDNumber,832)="","",INDEX(I.Facility.P2bIDNumber,832))</f>
        <v/>
      </c>
      <c r="G10844" s="51"/>
      <c r="H10844" s="46" t="str">
        <f>IF(AND(I.Developer.P2b=TRUE,I.Facility.P2bFacilityCount&gt;=832,F10844=""),"Incomplete","Complete")</f>
        <v>Complete</v>
      </c>
      <c r="I10844" s="48" t="s">
        <v>15209</v>
      </c>
    </row>
    <row r="10845" spans="2:9" ht="15" customHeight="1" x14ac:dyDescent="0.25">
      <c r="B10845" s="55" t="s">
        <v>281</v>
      </c>
      <c r="C10845" s="46">
        <v>833</v>
      </c>
      <c r="D10845" s="69" t="s">
        <v>29418</v>
      </c>
      <c r="E10845" s="51"/>
      <c r="F10845" s="114" t="str">
        <f>IF(INDEX(I.Facility.P2bIDNumber,833)="","",INDEX(I.Facility.P2bIDNumber,833))</f>
        <v/>
      </c>
      <c r="G10845" s="51"/>
      <c r="H10845" s="46" t="str">
        <f>IF(AND(I.Developer.P2b=TRUE,I.Facility.P2bFacilityCount&gt;=833,F10845=""),"Incomplete","Complete")</f>
        <v>Complete</v>
      </c>
      <c r="I10845" s="48" t="s">
        <v>15210</v>
      </c>
    </row>
    <row r="10846" spans="2:9" ht="15" customHeight="1" x14ac:dyDescent="0.25">
      <c r="B10846" s="55" t="s">
        <v>281</v>
      </c>
      <c r="C10846" s="46">
        <v>834</v>
      </c>
      <c r="D10846" s="69" t="s">
        <v>29418</v>
      </c>
      <c r="E10846" s="51"/>
      <c r="F10846" s="114" t="str">
        <f>IF(INDEX(I.Facility.P2bIDNumber,834)="","",INDEX(I.Facility.P2bIDNumber,834))</f>
        <v/>
      </c>
      <c r="G10846" s="51"/>
      <c r="H10846" s="46" t="str">
        <f>IF(AND(I.Developer.P2b=TRUE,I.Facility.P2bFacilityCount&gt;=834,F10846=""),"Incomplete","Complete")</f>
        <v>Complete</v>
      </c>
      <c r="I10846" s="48" t="s">
        <v>15211</v>
      </c>
    </row>
    <row r="10847" spans="2:9" ht="15" customHeight="1" x14ac:dyDescent="0.25">
      <c r="B10847" s="55" t="s">
        <v>281</v>
      </c>
      <c r="C10847" s="46">
        <v>835</v>
      </c>
      <c r="D10847" s="69" t="s">
        <v>29418</v>
      </c>
      <c r="E10847" s="51"/>
      <c r="F10847" s="114" t="str">
        <f>IF(INDEX(I.Facility.P2bIDNumber,835)="","",INDEX(I.Facility.P2bIDNumber,835))</f>
        <v/>
      </c>
      <c r="G10847" s="51"/>
      <c r="H10847" s="46" t="str">
        <f>IF(AND(I.Developer.P2b=TRUE,I.Facility.P2bFacilityCount&gt;=835,F10847=""),"Incomplete","Complete")</f>
        <v>Complete</v>
      </c>
      <c r="I10847" s="48" t="s">
        <v>15212</v>
      </c>
    </row>
    <row r="10848" spans="2:9" ht="15" customHeight="1" x14ac:dyDescent="0.25">
      <c r="B10848" s="55" t="s">
        <v>281</v>
      </c>
      <c r="C10848" s="46">
        <v>836</v>
      </c>
      <c r="D10848" s="69" t="s">
        <v>29418</v>
      </c>
      <c r="E10848" s="51"/>
      <c r="F10848" s="114" t="str">
        <f>IF(INDEX(I.Facility.P2bIDNumber,836)="","",INDEX(I.Facility.P2bIDNumber,836))</f>
        <v/>
      </c>
      <c r="G10848" s="51"/>
      <c r="H10848" s="46" t="str">
        <f>IF(AND(I.Developer.P2b=TRUE,I.Facility.P2bFacilityCount&gt;=836,F10848=""),"Incomplete","Complete")</f>
        <v>Complete</v>
      </c>
      <c r="I10848" s="48" t="s">
        <v>15213</v>
      </c>
    </row>
    <row r="10849" spans="2:9" ht="15" customHeight="1" x14ac:dyDescent="0.25">
      <c r="B10849" s="55" t="s">
        <v>281</v>
      </c>
      <c r="C10849" s="46">
        <v>837</v>
      </c>
      <c r="D10849" s="69" t="s">
        <v>29418</v>
      </c>
      <c r="E10849" s="51"/>
      <c r="F10849" s="114" t="str">
        <f>IF(INDEX(I.Facility.P2bIDNumber,837)="","",INDEX(I.Facility.P2bIDNumber,837))</f>
        <v/>
      </c>
      <c r="G10849" s="51"/>
      <c r="H10849" s="46" t="str">
        <f>IF(AND(I.Developer.P2b=TRUE,I.Facility.P2bFacilityCount&gt;=837,F10849=""),"Incomplete","Complete")</f>
        <v>Complete</v>
      </c>
      <c r="I10849" s="48" t="s">
        <v>15214</v>
      </c>
    </row>
    <row r="10850" spans="2:9" ht="15" customHeight="1" x14ac:dyDescent="0.25">
      <c r="B10850" s="55" t="s">
        <v>281</v>
      </c>
      <c r="C10850" s="46">
        <v>838</v>
      </c>
      <c r="D10850" s="69" t="s">
        <v>29418</v>
      </c>
      <c r="E10850" s="51"/>
      <c r="F10850" s="114" t="str">
        <f>IF(INDEX(I.Facility.P2bIDNumber,838)="","",INDEX(I.Facility.P2bIDNumber,838))</f>
        <v/>
      </c>
      <c r="G10850" s="51"/>
      <c r="H10850" s="46" t="str">
        <f>IF(AND(I.Developer.P2b=TRUE,I.Facility.P2bFacilityCount&gt;=838,F10850=""),"Incomplete","Complete")</f>
        <v>Complete</v>
      </c>
      <c r="I10850" s="48" t="s">
        <v>15215</v>
      </c>
    </row>
    <row r="10851" spans="2:9" ht="15" customHeight="1" x14ac:dyDescent="0.25">
      <c r="B10851" s="55" t="s">
        <v>281</v>
      </c>
      <c r="C10851" s="46">
        <v>839</v>
      </c>
      <c r="D10851" s="69" t="s">
        <v>29418</v>
      </c>
      <c r="E10851" s="51"/>
      <c r="F10851" s="114" t="str">
        <f>IF(INDEX(I.Facility.P2bIDNumber,839)="","",INDEX(I.Facility.P2bIDNumber,839))</f>
        <v/>
      </c>
      <c r="G10851" s="51"/>
      <c r="H10851" s="46" t="str">
        <f>IF(AND(I.Developer.P2b=TRUE,I.Facility.P2bFacilityCount&gt;=839,F10851=""),"Incomplete","Complete")</f>
        <v>Complete</v>
      </c>
      <c r="I10851" s="48" t="s">
        <v>15216</v>
      </c>
    </row>
    <row r="10852" spans="2:9" ht="15" customHeight="1" x14ac:dyDescent="0.25">
      <c r="B10852" s="55" t="s">
        <v>281</v>
      </c>
      <c r="C10852" s="46">
        <v>840</v>
      </c>
      <c r="D10852" s="69" t="s">
        <v>29418</v>
      </c>
      <c r="E10852" s="51"/>
      <c r="F10852" s="114" t="str">
        <f>IF(INDEX(I.Facility.P2bIDNumber,840)="","",INDEX(I.Facility.P2bIDNumber,840))</f>
        <v/>
      </c>
      <c r="G10852" s="51"/>
      <c r="H10852" s="46" t="str">
        <f>IF(AND(I.Developer.P2b=TRUE,I.Facility.P2bFacilityCount&gt;=840,F10852=""),"Incomplete","Complete")</f>
        <v>Complete</v>
      </c>
      <c r="I10852" s="48" t="s">
        <v>15217</v>
      </c>
    </row>
    <row r="10853" spans="2:9" ht="15" customHeight="1" x14ac:dyDescent="0.25">
      <c r="B10853" s="55" t="s">
        <v>281</v>
      </c>
      <c r="C10853" s="46">
        <v>841</v>
      </c>
      <c r="D10853" s="69" t="s">
        <v>29418</v>
      </c>
      <c r="E10853" s="51"/>
      <c r="F10853" s="114" t="str">
        <f>IF(INDEX(I.Facility.P2bIDNumber,841)="","",INDEX(I.Facility.P2bIDNumber,841))</f>
        <v/>
      </c>
      <c r="G10853" s="51"/>
      <c r="H10853" s="46" t="str">
        <f>IF(AND(I.Developer.P2b=TRUE,I.Facility.P2bFacilityCount&gt;=841,F10853=""),"Incomplete","Complete")</f>
        <v>Complete</v>
      </c>
      <c r="I10853" s="48" t="s">
        <v>15218</v>
      </c>
    </row>
    <row r="10854" spans="2:9" ht="15" customHeight="1" x14ac:dyDescent="0.25">
      <c r="B10854" s="55" t="s">
        <v>281</v>
      </c>
      <c r="C10854" s="46">
        <v>842</v>
      </c>
      <c r="D10854" s="69" t="s">
        <v>29418</v>
      </c>
      <c r="E10854" s="51"/>
      <c r="F10854" s="114" t="str">
        <f>IF(INDEX(I.Facility.P2bIDNumber,842)="","",INDEX(I.Facility.P2bIDNumber,842))</f>
        <v/>
      </c>
      <c r="G10854" s="51"/>
      <c r="H10854" s="46" t="str">
        <f>IF(AND(I.Developer.P2b=TRUE,I.Facility.P2bFacilityCount&gt;=842,F10854=""),"Incomplete","Complete")</f>
        <v>Complete</v>
      </c>
      <c r="I10854" s="48" t="s">
        <v>15219</v>
      </c>
    </row>
    <row r="10855" spans="2:9" ht="15" customHeight="1" x14ac:dyDescent="0.25">
      <c r="B10855" s="55" t="s">
        <v>281</v>
      </c>
      <c r="C10855" s="46">
        <v>843</v>
      </c>
      <c r="D10855" s="69" t="s">
        <v>29418</v>
      </c>
      <c r="E10855" s="51"/>
      <c r="F10855" s="114" t="str">
        <f>IF(INDEX(I.Facility.P2bIDNumber,843)="","",INDEX(I.Facility.P2bIDNumber,843))</f>
        <v/>
      </c>
      <c r="G10855" s="51"/>
      <c r="H10855" s="46" t="str">
        <f>IF(AND(I.Developer.P2b=TRUE,I.Facility.P2bFacilityCount&gt;=843,F10855=""),"Incomplete","Complete")</f>
        <v>Complete</v>
      </c>
      <c r="I10855" s="48" t="s">
        <v>15220</v>
      </c>
    </row>
    <row r="10856" spans="2:9" ht="15" customHeight="1" x14ac:dyDescent="0.25">
      <c r="B10856" s="55" t="s">
        <v>281</v>
      </c>
      <c r="C10856" s="46">
        <v>844</v>
      </c>
      <c r="D10856" s="69" t="s">
        <v>29418</v>
      </c>
      <c r="E10856" s="51"/>
      <c r="F10856" s="114" t="str">
        <f>IF(INDEX(I.Facility.P2bIDNumber,844)="","",INDEX(I.Facility.P2bIDNumber,844))</f>
        <v/>
      </c>
      <c r="G10856" s="51"/>
      <c r="H10856" s="46" t="str">
        <f>IF(AND(I.Developer.P2b=TRUE,I.Facility.P2bFacilityCount&gt;=844,F10856=""),"Incomplete","Complete")</f>
        <v>Complete</v>
      </c>
      <c r="I10856" s="48" t="s">
        <v>15221</v>
      </c>
    </row>
    <row r="10857" spans="2:9" ht="15" customHeight="1" x14ac:dyDescent="0.25">
      <c r="B10857" s="55" t="s">
        <v>281</v>
      </c>
      <c r="C10857" s="46">
        <v>845</v>
      </c>
      <c r="D10857" s="69" t="s">
        <v>29418</v>
      </c>
      <c r="E10857" s="51"/>
      <c r="F10857" s="114" t="str">
        <f>IF(INDEX(I.Facility.P2bIDNumber,845)="","",INDEX(I.Facility.P2bIDNumber,845))</f>
        <v/>
      </c>
      <c r="G10857" s="51"/>
      <c r="H10857" s="46" t="str">
        <f>IF(AND(I.Developer.P2b=TRUE,I.Facility.P2bFacilityCount&gt;=845,F10857=""),"Incomplete","Complete")</f>
        <v>Complete</v>
      </c>
      <c r="I10857" s="48" t="s">
        <v>15222</v>
      </c>
    </row>
    <row r="10858" spans="2:9" ht="15" customHeight="1" x14ac:dyDescent="0.25">
      <c r="B10858" s="55" t="s">
        <v>281</v>
      </c>
      <c r="C10858" s="46">
        <v>846</v>
      </c>
      <c r="D10858" s="69" t="s">
        <v>29418</v>
      </c>
      <c r="E10858" s="51"/>
      <c r="F10858" s="114" t="str">
        <f>IF(INDEX(I.Facility.P2bIDNumber,846)="","",INDEX(I.Facility.P2bIDNumber,846))</f>
        <v/>
      </c>
      <c r="G10858" s="51"/>
      <c r="H10858" s="46" t="str">
        <f>IF(AND(I.Developer.P2b=TRUE,I.Facility.P2bFacilityCount&gt;=846,F10858=""),"Incomplete","Complete")</f>
        <v>Complete</v>
      </c>
      <c r="I10858" s="48" t="s">
        <v>15223</v>
      </c>
    </row>
    <row r="10859" spans="2:9" ht="15" customHeight="1" x14ac:dyDescent="0.25">
      <c r="B10859" s="55" t="s">
        <v>281</v>
      </c>
      <c r="C10859" s="46">
        <v>847</v>
      </c>
      <c r="D10859" s="69" t="s">
        <v>29418</v>
      </c>
      <c r="E10859" s="51"/>
      <c r="F10859" s="114" t="str">
        <f>IF(INDEX(I.Facility.P2bIDNumber,847)="","",INDEX(I.Facility.P2bIDNumber,847))</f>
        <v/>
      </c>
      <c r="G10859" s="51"/>
      <c r="H10859" s="46" t="str">
        <f>IF(AND(I.Developer.P2b=TRUE,I.Facility.P2bFacilityCount&gt;=847,F10859=""),"Incomplete","Complete")</f>
        <v>Complete</v>
      </c>
      <c r="I10859" s="48" t="s">
        <v>15224</v>
      </c>
    </row>
    <row r="10860" spans="2:9" ht="15" customHeight="1" x14ac:dyDescent="0.25">
      <c r="B10860" s="55" t="s">
        <v>281</v>
      </c>
      <c r="C10860" s="46">
        <v>848</v>
      </c>
      <c r="D10860" s="69" t="s">
        <v>29418</v>
      </c>
      <c r="E10860" s="51"/>
      <c r="F10860" s="114" t="str">
        <f>IF(INDEX(I.Facility.P2bIDNumber,848)="","",INDEX(I.Facility.P2bIDNumber,848))</f>
        <v/>
      </c>
      <c r="G10860" s="51"/>
      <c r="H10860" s="46" t="str">
        <f>IF(AND(I.Developer.P2b=TRUE,I.Facility.P2bFacilityCount&gt;=848,F10860=""),"Incomplete","Complete")</f>
        <v>Complete</v>
      </c>
      <c r="I10860" s="48" t="s">
        <v>15225</v>
      </c>
    </row>
    <row r="10861" spans="2:9" ht="15" customHeight="1" x14ac:dyDescent="0.25">
      <c r="B10861" s="55" t="s">
        <v>281</v>
      </c>
      <c r="C10861" s="46">
        <v>849</v>
      </c>
      <c r="D10861" s="69" t="s">
        <v>29418</v>
      </c>
      <c r="E10861" s="51"/>
      <c r="F10861" s="114" t="str">
        <f>IF(INDEX(I.Facility.P2bIDNumber,849)="","",INDEX(I.Facility.P2bIDNumber,849))</f>
        <v/>
      </c>
      <c r="G10861" s="51"/>
      <c r="H10861" s="46" t="str">
        <f>IF(AND(I.Developer.P2b=TRUE,I.Facility.P2bFacilityCount&gt;=849,F10861=""),"Incomplete","Complete")</f>
        <v>Complete</v>
      </c>
      <c r="I10861" s="48" t="s">
        <v>15226</v>
      </c>
    </row>
    <row r="10862" spans="2:9" ht="15" customHeight="1" x14ac:dyDescent="0.25">
      <c r="B10862" s="55" t="s">
        <v>281</v>
      </c>
      <c r="C10862" s="46">
        <v>850</v>
      </c>
      <c r="D10862" s="69" t="s">
        <v>29418</v>
      </c>
      <c r="E10862" s="51"/>
      <c r="F10862" s="114" t="str">
        <f>IF(INDEX(I.Facility.P2bIDNumber,850)="","",INDEX(I.Facility.P2bIDNumber,850))</f>
        <v/>
      </c>
      <c r="G10862" s="51"/>
      <c r="H10862" s="46" t="str">
        <f>IF(AND(I.Developer.P2b=TRUE,I.Facility.P2bFacilityCount&gt;=850,F10862=""),"Incomplete","Complete")</f>
        <v>Complete</v>
      </c>
      <c r="I10862" s="48" t="s">
        <v>15227</v>
      </c>
    </row>
    <row r="10863" spans="2:9" ht="15" customHeight="1" x14ac:dyDescent="0.25">
      <c r="B10863" s="55" t="s">
        <v>281</v>
      </c>
      <c r="C10863" s="46">
        <v>851</v>
      </c>
      <c r="D10863" s="69" t="s">
        <v>29418</v>
      </c>
      <c r="E10863" s="51"/>
      <c r="F10863" s="114" t="str">
        <f>IF(INDEX(I.Facility.P2bIDNumber,851)="","",INDEX(I.Facility.P2bIDNumber,851))</f>
        <v/>
      </c>
      <c r="G10863" s="51"/>
      <c r="H10863" s="46" t="str">
        <f>IF(AND(I.Developer.P2b=TRUE,I.Facility.P2bFacilityCount&gt;=851,F10863=""),"Incomplete","Complete")</f>
        <v>Complete</v>
      </c>
      <c r="I10863" s="48" t="s">
        <v>15228</v>
      </c>
    </row>
    <row r="10864" spans="2:9" ht="15" customHeight="1" x14ac:dyDescent="0.25">
      <c r="B10864" s="55" t="s">
        <v>281</v>
      </c>
      <c r="C10864" s="46">
        <v>852</v>
      </c>
      <c r="D10864" s="69" t="s">
        <v>29418</v>
      </c>
      <c r="E10864" s="51"/>
      <c r="F10864" s="114" t="str">
        <f>IF(INDEX(I.Facility.P2bIDNumber,852)="","",INDEX(I.Facility.P2bIDNumber,852))</f>
        <v/>
      </c>
      <c r="G10864" s="51"/>
      <c r="H10864" s="46" t="str">
        <f>IF(AND(I.Developer.P2b=TRUE,I.Facility.P2bFacilityCount&gt;=852,F10864=""),"Incomplete","Complete")</f>
        <v>Complete</v>
      </c>
      <c r="I10864" s="48" t="s">
        <v>15229</v>
      </c>
    </row>
    <row r="10865" spans="2:9" ht="15" customHeight="1" x14ac:dyDescent="0.25">
      <c r="B10865" s="55" t="s">
        <v>281</v>
      </c>
      <c r="C10865" s="46">
        <v>853</v>
      </c>
      <c r="D10865" s="69" t="s">
        <v>29418</v>
      </c>
      <c r="E10865" s="51"/>
      <c r="F10865" s="114" t="str">
        <f>IF(INDEX(I.Facility.P2bIDNumber,853)="","",INDEX(I.Facility.P2bIDNumber,853))</f>
        <v/>
      </c>
      <c r="G10865" s="51"/>
      <c r="H10865" s="46" t="str">
        <f>IF(AND(I.Developer.P2b=TRUE,I.Facility.P2bFacilityCount&gt;=853,F10865=""),"Incomplete","Complete")</f>
        <v>Complete</v>
      </c>
      <c r="I10865" s="48" t="s">
        <v>15230</v>
      </c>
    </row>
    <row r="10866" spans="2:9" ht="15" customHeight="1" x14ac:dyDescent="0.25">
      <c r="B10866" s="55" t="s">
        <v>281</v>
      </c>
      <c r="C10866" s="46">
        <v>854</v>
      </c>
      <c r="D10866" s="69" t="s">
        <v>29418</v>
      </c>
      <c r="E10866" s="51"/>
      <c r="F10866" s="114" t="str">
        <f>IF(INDEX(I.Facility.P2bIDNumber,854)="","",INDEX(I.Facility.P2bIDNumber,854))</f>
        <v/>
      </c>
      <c r="G10866" s="51"/>
      <c r="H10866" s="46" t="str">
        <f>IF(AND(I.Developer.P2b=TRUE,I.Facility.P2bFacilityCount&gt;=854,F10866=""),"Incomplete","Complete")</f>
        <v>Complete</v>
      </c>
      <c r="I10866" s="48" t="s">
        <v>15231</v>
      </c>
    </row>
    <row r="10867" spans="2:9" ht="15" customHeight="1" x14ac:dyDescent="0.25">
      <c r="B10867" s="55" t="s">
        <v>281</v>
      </c>
      <c r="C10867" s="46">
        <v>855</v>
      </c>
      <c r="D10867" s="69" t="s">
        <v>29418</v>
      </c>
      <c r="E10867" s="51"/>
      <c r="F10867" s="114" t="str">
        <f>IF(INDEX(I.Facility.P2bIDNumber,855)="","",INDEX(I.Facility.P2bIDNumber,855))</f>
        <v/>
      </c>
      <c r="G10867" s="51"/>
      <c r="H10867" s="46" t="str">
        <f>IF(AND(I.Developer.P2b=TRUE,I.Facility.P2bFacilityCount&gt;=855,F10867=""),"Incomplete","Complete")</f>
        <v>Complete</v>
      </c>
      <c r="I10867" s="48" t="s">
        <v>15232</v>
      </c>
    </row>
    <row r="10868" spans="2:9" ht="15" customHeight="1" x14ac:dyDescent="0.25">
      <c r="B10868" s="55" t="s">
        <v>281</v>
      </c>
      <c r="C10868" s="46">
        <v>856</v>
      </c>
      <c r="D10868" s="69" t="s">
        <v>29418</v>
      </c>
      <c r="E10868" s="51"/>
      <c r="F10868" s="114" t="str">
        <f>IF(INDEX(I.Facility.P2bIDNumber,856)="","",INDEX(I.Facility.P2bIDNumber,856))</f>
        <v/>
      </c>
      <c r="G10868" s="51"/>
      <c r="H10868" s="46" t="str">
        <f>IF(AND(I.Developer.P2b=TRUE,I.Facility.P2bFacilityCount&gt;=856,F10868=""),"Incomplete","Complete")</f>
        <v>Complete</v>
      </c>
      <c r="I10868" s="48" t="s">
        <v>15233</v>
      </c>
    </row>
    <row r="10869" spans="2:9" ht="15" customHeight="1" x14ac:dyDescent="0.25">
      <c r="B10869" s="55" t="s">
        <v>281</v>
      </c>
      <c r="C10869" s="46">
        <v>857</v>
      </c>
      <c r="D10869" s="69" t="s">
        <v>29418</v>
      </c>
      <c r="E10869" s="51"/>
      <c r="F10869" s="114" t="str">
        <f>IF(INDEX(I.Facility.P2bIDNumber,857)="","",INDEX(I.Facility.P2bIDNumber,857))</f>
        <v/>
      </c>
      <c r="G10869" s="51"/>
      <c r="H10869" s="46" t="str">
        <f>IF(AND(I.Developer.P2b=TRUE,I.Facility.P2bFacilityCount&gt;=857,F10869=""),"Incomplete","Complete")</f>
        <v>Complete</v>
      </c>
      <c r="I10869" s="48" t="s">
        <v>15234</v>
      </c>
    </row>
    <row r="10870" spans="2:9" ht="15" customHeight="1" x14ac:dyDescent="0.25">
      <c r="B10870" s="55" t="s">
        <v>281</v>
      </c>
      <c r="C10870" s="46">
        <v>858</v>
      </c>
      <c r="D10870" s="69" t="s">
        <v>29418</v>
      </c>
      <c r="E10870" s="51"/>
      <c r="F10870" s="114" t="str">
        <f>IF(INDEX(I.Facility.P2bIDNumber,858)="","",INDEX(I.Facility.P2bIDNumber,858))</f>
        <v/>
      </c>
      <c r="G10870" s="51"/>
      <c r="H10870" s="46" t="str">
        <f>IF(AND(I.Developer.P2b=TRUE,I.Facility.P2bFacilityCount&gt;=858,F10870=""),"Incomplete","Complete")</f>
        <v>Complete</v>
      </c>
      <c r="I10870" s="48" t="s">
        <v>15235</v>
      </c>
    </row>
    <row r="10871" spans="2:9" ht="15" customHeight="1" x14ac:dyDescent="0.25">
      <c r="B10871" s="55" t="s">
        <v>281</v>
      </c>
      <c r="C10871" s="46">
        <v>859</v>
      </c>
      <c r="D10871" s="69" t="s">
        <v>29418</v>
      </c>
      <c r="E10871" s="51"/>
      <c r="F10871" s="114" t="str">
        <f>IF(INDEX(I.Facility.P2bIDNumber,859)="","",INDEX(I.Facility.P2bIDNumber,859))</f>
        <v/>
      </c>
      <c r="G10871" s="51"/>
      <c r="H10871" s="46" t="str">
        <f>IF(AND(I.Developer.P2b=TRUE,I.Facility.P2bFacilityCount&gt;=859,F10871=""),"Incomplete","Complete")</f>
        <v>Complete</v>
      </c>
      <c r="I10871" s="48" t="s">
        <v>15236</v>
      </c>
    </row>
    <row r="10872" spans="2:9" ht="15" customHeight="1" x14ac:dyDescent="0.25">
      <c r="B10872" s="55" t="s">
        <v>281</v>
      </c>
      <c r="C10872" s="46">
        <v>860</v>
      </c>
      <c r="D10872" s="69" t="s">
        <v>29418</v>
      </c>
      <c r="E10872" s="51"/>
      <c r="F10872" s="114" t="str">
        <f>IF(INDEX(I.Facility.P2bIDNumber,860)="","",INDEX(I.Facility.P2bIDNumber,860))</f>
        <v/>
      </c>
      <c r="G10872" s="51"/>
      <c r="H10872" s="46" t="str">
        <f>IF(AND(I.Developer.P2b=TRUE,I.Facility.P2bFacilityCount&gt;=860,F10872=""),"Incomplete","Complete")</f>
        <v>Complete</v>
      </c>
      <c r="I10872" s="48" t="s">
        <v>15237</v>
      </c>
    </row>
    <row r="10873" spans="2:9" ht="15" customHeight="1" x14ac:dyDescent="0.25">
      <c r="B10873" s="55" t="s">
        <v>281</v>
      </c>
      <c r="C10873" s="46">
        <v>861</v>
      </c>
      <c r="D10873" s="69" t="s">
        <v>29418</v>
      </c>
      <c r="E10873" s="51"/>
      <c r="F10873" s="114" t="str">
        <f>IF(INDEX(I.Facility.P2bIDNumber,861)="","",INDEX(I.Facility.P2bIDNumber,861))</f>
        <v/>
      </c>
      <c r="G10873" s="51"/>
      <c r="H10873" s="46" t="str">
        <f>IF(AND(I.Developer.P2b=TRUE,I.Facility.P2bFacilityCount&gt;=861,F10873=""),"Incomplete","Complete")</f>
        <v>Complete</v>
      </c>
      <c r="I10873" s="48" t="s">
        <v>15238</v>
      </c>
    </row>
    <row r="10874" spans="2:9" ht="15" customHeight="1" x14ac:dyDescent="0.25">
      <c r="B10874" s="55" t="s">
        <v>281</v>
      </c>
      <c r="C10874" s="46">
        <v>862</v>
      </c>
      <c r="D10874" s="69" t="s">
        <v>29418</v>
      </c>
      <c r="E10874" s="51"/>
      <c r="F10874" s="114" t="str">
        <f>IF(INDEX(I.Facility.P2bIDNumber,862)="","",INDEX(I.Facility.P2bIDNumber,862))</f>
        <v/>
      </c>
      <c r="G10874" s="51"/>
      <c r="H10874" s="46" t="str">
        <f>IF(AND(I.Developer.P2b=TRUE,I.Facility.P2bFacilityCount&gt;=862,F10874=""),"Incomplete","Complete")</f>
        <v>Complete</v>
      </c>
      <c r="I10874" s="48" t="s">
        <v>15239</v>
      </c>
    </row>
    <row r="10875" spans="2:9" ht="15" customHeight="1" x14ac:dyDescent="0.25">
      <c r="B10875" s="55" t="s">
        <v>281</v>
      </c>
      <c r="C10875" s="46">
        <v>863</v>
      </c>
      <c r="D10875" s="69" t="s">
        <v>29418</v>
      </c>
      <c r="E10875" s="51"/>
      <c r="F10875" s="114" t="str">
        <f>IF(INDEX(I.Facility.P2bIDNumber,863)="","",INDEX(I.Facility.P2bIDNumber,863))</f>
        <v/>
      </c>
      <c r="G10875" s="51"/>
      <c r="H10875" s="46" t="str">
        <f>IF(AND(I.Developer.P2b=TRUE,I.Facility.P2bFacilityCount&gt;=863,F10875=""),"Incomplete","Complete")</f>
        <v>Complete</v>
      </c>
      <c r="I10875" s="48" t="s">
        <v>15240</v>
      </c>
    </row>
    <row r="10876" spans="2:9" ht="15" customHeight="1" x14ac:dyDescent="0.25">
      <c r="B10876" s="55" t="s">
        <v>281</v>
      </c>
      <c r="C10876" s="46">
        <v>864</v>
      </c>
      <c r="D10876" s="69" t="s">
        <v>29418</v>
      </c>
      <c r="E10876" s="51"/>
      <c r="F10876" s="114" t="str">
        <f>IF(INDEX(I.Facility.P2bIDNumber,864)="","",INDEX(I.Facility.P2bIDNumber,864))</f>
        <v/>
      </c>
      <c r="G10876" s="51"/>
      <c r="H10876" s="46" t="str">
        <f>IF(AND(I.Developer.P2b=TRUE,I.Facility.P2bFacilityCount&gt;=864,F10876=""),"Incomplete","Complete")</f>
        <v>Complete</v>
      </c>
      <c r="I10876" s="48" t="s">
        <v>15241</v>
      </c>
    </row>
    <row r="10877" spans="2:9" ht="15" customHeight="1" x14ac:dyDescent="0.25">
      <c r="B10877" s="55" t="s">
        <v>281</v>
      </c>
      <c r="C10877" s="46">
        <v>865</v>
      </c>
      <c r="D10877" s="69" t="s">
        <v>29418</v>
      </c>
      <c r="E10877" s="51"/>
      <c r="F10877" s="114" t="str">
        <f>IF(INDEX(I.Facility.P2bIDNumber,865)="","",INDEX(I.Facility.P2bIDNumber,865))</f>
        <v/>
      </c>
      <c r="G10877" s="51"/>
      <c r="H10877" s="46" t="str">
        <f>IF(AND(I.Developer.P2b=TRUE,I.Facility.P2bFacilityCount&gt;=865,F10877=""),"Incomplete","Complete")</f>
        <v>Complete</v>
      </c>
      <c r="I10877" s="48" t="s">
        <v>15242</v>
      </c>
    </row>
    <row r="10878" spans="2:9" ht="15" customHeight="1" x14ac:dyDescent="0.25">
      <c r="B10878" s="55" t="s">
        <v>281</v>
      </c>
      <c r="C10878" s="46">
        <v>866</v>
      </c>
      <c r="D10878" s="69" t="s">
        <v>29418</v>
      </c>
      <c r="E10878" s="51"/>
      <c r="F10878" s="114" t="str">
        <f>IF(INDEX(I.Facility.P2bIDNumber,866)="","",INDEX(I.Facility.P2bIDNumber,866))</f>
        <v/>
      </c>
      <c r="G10878" s="51"/>
      <c r="H10878" s="46" t="str">
        <f>IF(AND(I.Developer.P2b=TRUE,I.Facility.P2bFacilityCount&gt;=866,F10878=""),"Incomplete","Complete")</f>
        <v>Complete</v>
      </c>
      <c r="I10878" s="48" t="s">
        <v>15243</v>
      </c>
    </row>
    <row r="10879" spans="2:9" ht="15" customHeight="1" x14ac:dyDescent="0.25">
      <c r="B10879" s="55" t="s">
        <v>281</v>
      </c>
      <c r="C10879" s="46">
        <v>867</v>
      </c>
      <c r="D10879" s="69" t="s">
        <v>29418</v>
      </c>
      <c r="E10879" s="51"/>
      <c r="F10879" s="114" t="str">
        <f>IF(INDEX(I.Facility.P2bIDNumber,867)="","",INDEX(I.Facility.P2bIDNumber,867))</f>
        <v/>
      </c>
      <c r="G10879" s="51"/>
      <c r="H10879" s="46" t="str">
        <f>IF(AND(I.Developer.P2b=TRUE,I.Facility.P2bFacilityCount&gt;=867,F10879=""),"Incomplete","Complete")</f>
        <v>Complete</v>
      </c>
      <c r="I10879" s="48" t="s">
        <v>15244</v>
      </c>
    </row>
    <row r="10880" spans="2:9" ht="15" customHeight="1" x14ac:dyDescent="0.25">
      <c r="B10880" s="55" t="s">
        <v>281</v>
      </c>
      <c r="C10880" s="46">
        <v>868</v>
      </c>
      <c r="D10880" s="69" t="s">
        <v>29418</v>
      </c>
      <c r="E10880" s="51"/>
      <c r="F10880" s="114" t="str">
        <f>IF(INDEX(I.Facility.P2bIDNumber,868)="","",INDEX(I.Facility.P2bIDNumber,868))</f>
        <v/>
      </c>
      <c r="G10880" s="51"/>
      <c r="H10880" s="46" t="str">
        <f>IF(AND(I.Developer.P2b=TRUE,I.Facility.P2bFacilityCount&gt;=868,F10880=""),"Incomplete","Complete")</f>
        <v>Complete</v>
      </c>
      <c r="I10880" s="48" t="s">
        <v>15245</v>
      </c>
    </row>
    <row r="10881" spans="2:9" ht="15" customHeight="1" x14ac:dyDescent="0.25">
      <c r="B10881" s="55" t="s">
        <v>281</v>
      </c>
      <c r="C10881" s="46">
        <v>869</v>
      </c>
      <c r="D10881" s="69" t="s">
        <v>29418</v>
      </c>
      <c r="E10881" s="51"/>
      <c r="F10881" s="114" t="str">
        <f>IF(INDEX(I.Facility.P2bIDNumber,869)="","",INDEX(I.Facility.P2bIDNumber,869))</f>
        <v/>
      </c>
      <c r="G10881" s="51"/>
      <c r="H10881" s="46" t="str">
        <f>IF(AND(I.Developer.P2b=TRUE,I.Facility.P2bFacilityCount&gt;=869,F10881=""),"Incomplete","Complete")</f>
        <v>Complete</v>
      </c>
      <c r="I10881" s="48" t="s">
        <v>15246</v>
      </c>
    </row>
    <row r="10882" spans="2:9" ht="15" customHeight="1" x14ac:dyDescent="0.25">
      <c r="B10882" s="55" t="s">
        <v>281</v>
      </c>
      <c r="C10882" s="46">
        <v>870</v>
      </c>
      <c r="D10882" s="69" t="s">
        <v>29418</v>
      </c>
      <c r="E10882" s="51"/>
      <c r="F10882" s="114" t="str">
        <f>IF(INDEX(I.Facility.P2bIDNumber,870)="","",INDEX(I.Facility.P2bIDNumber,870))</f>
        <v/>
      </c>
      <c r="G10882" s="51"/>
      <c r="H10882" s="46" t="str">
        <f>IF(AND(I.Developer.P2b=TRUE,I.Facility.P2bFacilityCount&gt;=870,F10882=""),"Incomplete","Complete")</f>
        <v>Complete</v>
      </c>
      <c r="I10882" s="48" t="s">
        <v>15247</v>
      </c>
    </row>
    <row r="10883" spans="2:9" ht="15" customHeight="1" x14ac:dyDescent="0.25">
      <c r="B10883" s="55" t="s">
        <v>281</v>
      </c>
      <c r="C10883" s="46">
        <v>871</v>
      </c>
      <c r="D10883" s="69" t="s">
        <v>29418</v>
      </c>
      <c r="E10883" s="51"/>
      <c r="F10883" s="114" t="str">
        <f>IF(INDEX(I.Facility.P2bIDNumber,871)="","",INDEX(I.Facility.P2bIDNumber,871))</f>
        <v/>
      </c>
      <c r="G10883" s="51"/>
      <c r="H10883" s="46" t="str">
        <f>IF(AND(I.Developer.P2b=TRUE,I.Facility.P2bFacilityCount&gt;=871,F10883=""),"Incomplete","Complete")</f>
        <v>Complete</v>
      </c>
      <c r="I10883" s="48" t="s">
        <v>15248</v>
      </c>
    </row>
    <row r="10884" spans="2:9" ht="15" customHeight="1" x14ac:dyDescent="0.25">
      <c r="B10884" s="55" t="s">
        <v>281</v>
      </c>
      <c r="C10884" s="46">
        <v>872</v>
      </c>
      <c r="D10884" s="69" t="s">
        <v>29418</v>
      </c>
      <c r="E10884" s="51"/>
      <c r="F10884" s="114" t="str">
        <f>IF(INDEX(I.Facility.P2bIDNumber,872)="","",INDEX(I.Facility.P2bIDNumber,872))</f>
        <v/>
      </c>
      <c r="G10884" s="51"/>
      <c r="H10884" s="46" t="str">
        <f>IF(AND(I.Developer.P2b=TRUE,I.Facility.P2bFacilityCount&gt;=872,F10884=""),"Incomplete","Complete")</f>
        <v>Complete</v>
      </c>
      <c r="I10884" s="48" t="s">
        <v>15249</v>
      </c>
    </row>
    <row r="10885" spans="2:9" ht="15" customHeight="1" x14ac:dyDescent="0.25">
      <c r="B10885" s="55" t="s">
        <v>281</v>
      </c>
      <c r="C10885" s="46">
        <v>873</v>
      </c>
      <c r="D10885" s="69" t="s">
        <v>29418</v>
      </c>
      <c r="E10885" s="51"/>
      <c r="F10885" s="114" t="str">
        <f>IF(INDEX(I.Facility.P2bIDNumber,873)="","",INDEX(I.Facility.P2bIDNumber,873))</f>
        <v/>
      </c>
      <c r="G10885" s="51"/>
      <c r="H10885" s="46" t="str">
        <f>IF(AND(I.Developer.P2b=TRUE,I.Facility.P2bFacilityCount&gt;=873,F10885=""),"Incomplete","Complete")</f>
        <v>Complete</v>
      </c>
      <c r="I10885" s="48" t="s">
        <v>15250</v>
      </c>
    </row>
    <row r="10886" spans="2:9" ht="15" customHeight="1" x14ac:dyDescent="0.25">
      <c r="B10886" s="55" t="s">
        <v>281</v>
      </c>
      <c r="C10886" s="46">
        <v>874</v>
      </c>
      <c r="D10886" s="69" t="s">
        <v>29418</v>
      </c>
      <c r="E10886" s="51"/>
      <c r="F10886" s="114" t="str">
        <f>IF(INDEX(I.Facility.P2bIDNumber,874)="","",INDEX(I.Facility.P2bIDNumber,874))</f>
        <v/>
      </c>
      <c r="G10886" s="51"/>
      <c r="H10886" s="46" t="str">
        <f>IF(AND(I.Developer.P2b=TRUE,I.Facility.P2bFacilityCount&gt;=874,F10886=""),"Incomplete","Complete")</f>
        <v>Complete</v>
      </c>
      <c r="I10886" s="48" t="s">
        <v>15251</v>
      </c>
    </row>
    <row r="10887" spans="2:9" ht="15" customHeight="1" x14ac:dyDescent="0.25">
      <c r="B10887" s="55" t="s">
        <v>281</v>
      </c>
      <c r="C10887" s="46">
        <v>875</v>
      </c>
      <c r="D10887" s="69" t="s">
        <v>29418</v>
      </c>
      <c r="E10887" s="51"/>
      <c r="F10887" s="114" t="str">
        <f>IF(INDEX(I.Facility.P2bIDNumber,875)="","",INDEX(I.Facility.P2bIDNumber,875))</f>
        <v/>
      </c>
      <c r="G10887" s="51"/>
      <c r="H10887" s="46" t="str">
        <f>IF(AND(I.Developer.P2b=TRUE,I.Facility.P2bFacilityCount&gt;=875,F10887=""),"Incomplete","Complete")</f>
        <v>Complete</v>
      </c>
      <c r="I10887" s="48" t="s">
        <v>15252</v>
      </c>
    </row>
    <row r="10888" spans="2:9" ht="15" customHeight="1" x14ac:dyDescent="0.25">
      <c r="B10888" s="55" t="s">
        <v>281</v>
      </c>
      <c r="C10888" s="46">
        <v>876</v>
      </c>
      <c r="D10888" s="69" t="s">
        <v>29418</v>
      </c>
      <c r="E10888" s="51"/>
      <c r="F10888" s="114" t="str">
        <f>IF(INDEX(I.Facility.P2bIDNumber,876)="","",INDEX(I.Facility.P2bIDNumber,876))</f>
        <v/>
      </c>
      <c r="G10888" s="51"/>
      <c r="H10888" s="46" t="str">
        <f>IF(AND(I.Developer.P2b=TRUE,I.Facility.P2bFacilityCount&gt;=876,F10888=""),"Incomplete","Complete")</f>
        <v>Complete</v>
      </c>
      <c r="I10888" s="48" t="s">
        <v>15253</v>
      </c>
    </row>
    <row r="10889" spans="2:9" ht="15" customHeight="1" x14ac:dyDescent="0.25">
      <c r="B10889" s="55" t="s">
        <v>281</v>
      </c>
      <c r="C10889" s="46">
        <v>877</v>
      </c>
      <c r="D10889" s="69" t="s">
        <v>29418</v>
      </c>
      <c r="E10889" s="51"/>
      <c r="F10889" s="114" t="str">
        <f>IF(INDEX(I.Facility.P2bIDNumber,877)="","",INDEX(I.Facility.P2bIDNumber,877))</f>
        <v/>
      </c>
      <c r="G10889" s="51"/>
      <c r="H10889" s="46" t="str">
        <f>IF(AND(I.Developer.P2b=TRUE,I.Facility.P2bFacilityCount&gt;=877,F10889=""),"Incomplete","Complete")</f>
        <v>Complete</v>
      </c>
      <c r="I10889" s="48" t="s">
        <v>15254</v>
      </c>
    </row>
    <row r="10890" spans="2:9" ht="15" customHeight="1" x14ac:dyDescent="0.25">
      <c r="B10890" s="55" t="s">
        <v>281</v>
      </c>
      <c r="C10890" s="46">
        <v>878</v>
      </c>
      <c r="D10890" s="69" t="s">
        <v>29418</v>
      </c>
      <c r="E10890" s="51"/>
      <c r="F10890" s="114" t="str">
        <f>IF(INDEX(I.Facility.P2bIDNumber,878)="","",INDEX(I.Facility.P2bIDNumber,878))</f>
        <v/>
      </c>
      <c r="G10890" s="51"/>
      <c r="H10890" s="46" t="str">
        <f>IF(AND(I.Developer.P2b=TRUE,I.Facility.P2bFacilityCount&gt;=878,F10890=""),"Incomplete","Complete")</f>
        <v>Complete</v>
      </c>
      <c r="I10890" s="48" t="s">
        <v>15255</v>
      </c>
    </row>
    <row r="10891" spans="2:9" ht="15" customHeight="1" x14ac:dyDescent="0.25">
      <c r="B10891" s="55" t="s">
        <v>281</v>
      </c>
      <c r="C10891" s="46">
        <v>879</v>
      </c>
      <c r="D10891" s="69" t="s">
        <v>29418</v>
      </c>
      <c r="E10891" s="51"/>
      <c r="F10891" s="114" t="str">
        <f>IF(INDEX(I.Facility.P2bIDNumber,879)="","",INDEX(I.Facility.P2bIDNumber,879))</f>
        <v/>
      </c>
      <c r="G10891" s="51"/>
      <c r="H10891" s="46" t="str">
        <f>IF(AND(I.Developer.P2b=TRUE,I.Facility.P2bFacilityCount&gt;=879,F10891=""),"Incomplete","Complete")</f>
        <v>Complete</v>
      </c>
      <c r="I10891" s="48" t="s">
        <v>15256</v>
      </c>
    </row>
    <row r="10892" spans="2:9" ht="15" customHeight="1" x14ac:dyDescent="0.25">
      <c r="B10892" s="55" t="s">
        <v>281</v>
      </c>
      <c r="C10892" s="46">
        <v>880</v>
      </c>
      <c r="D10892" s="69" t="s">
        <v>29418</v>
      </c>
      <c r="E10892" s="51"/>
      <c r="F10892" s="114" t="str">
        <f>IF(INDEX(I.Facility.P2bIDNumber,880)="","",INDEX(I.Facility.P2bIDNumber,880))</f>
        <v/>
      </c>
      <c r="G10892" s="51"/>
      <c r="H10892" s="46" t="str">
        <f>IF(AND(I.Developer.P2b=TRUE,I.Facility.P2bFacilityCount&gt;=880,F10892=""),"Incomplete","Complete")</f>
        <v>Complete</v>
      </c>
      <c r="I10892" s="48" t="s">
        <v>15257</v>
      </c>
    </row>
    <row r="10893" spans="2:9" ht="15" customHeight="1" x14ac:dyDescent="0.25">
      <c r="B10893" s="55" t="s">
        <v>281</v>
      </c>
      <c r="C10893" s="46">
        <v>881</v>
      </c>
      <c r="D10893" s="69" t="s">
        <v>29418</v>
      </c>
      <c r="E10893" s="51"/>
      <c r="F10893" s="114" t="str">
        <f>IF(INDEX(I.Facility.P2bIDNumber,881)="","",INDEX(I.Facility.P2bIDNumber,881))</f>
        <v/>
      </c>
      <c r="G10893" s="51"/>
      <c r="H10893" s="46" t="str">
        <f>IF(AND(I.Developer.P2b=TRUE,I.Facility.P2bFacilityCount&gt;=881,F10893=""),"Incomplete","Complete")</f>
        <v>Complete</v>
      </c>
      <c r="I10893" s="48" t="s">
        <v>15258</v>
      </c>
    </row>
    <row r="10894" spans="2:9" ht="15" customHeight="1" x14ac:dyDescent="0.25">
      <c r="B10894" s="55" t="s">
        <v>281</v>
      </c>
      <c r="C10894" s="46">
        <v>882</v>
      </c>
      <c r="D10894" s="69" t="s">
        <v>29418</v>
      </c>
      <c r="E10894" s="51"/>
      <c r="F10894" s="114" t="str">
        <f>IF(INDEX(I.Facility.P2bIDNumber,882)="","",INDEX(I.Facility.P2bIDNumber,882))</f>
        <v/>
      </c>
      <c r="G10894" s="51"/>
      <c r="H10894" s="46" t="str">
        <f>IF(AND(I.Developer.P2b=TRUE,I.Facility.P2bFacilityCount&gt;=882,F10894=""),"Incomplete","Complete")</f>
        <v>Complete</v>
      </c>
      <c r="I10894" s="48" t="s">
        <v>15259</v>
      </c>
    </row>
    <row r="10895" spans="2:9" ht="15" customHeight="1" x14ac:dyDescent="0.25">
      <c r="B10895" s="55" t="s">
        <v>281</v>
      </c>
      <c r="C10895" s="46">
        <v>883</v>
      </c>
      <c r="D10895" s="69" t="s">
        <v>29418</v>
      </c>
      <c r="E10895" s="51"/>
      <c r="F10895" s="114" t="str">
        <f>IF(INDEX(I.Facility.P2bIDNumber,883)="","",INDEX(I.Facility.P2bIDNumber,883))</f>
        <v/>
      </c>
      <c r="G10895" s="51"/>
      <c r="H10895" s="46" t="str">
        <f>IF(AND(I.Developer.P2b=TRUE,I.Facility.P2bFacilityCount&gt;=883,F10895=""),"Incomplete","Complete")</f>
        <v>Complete</v>
      </c>
      <c r="I10895" s="48" t="s">
        <v>15260</v>
      </c>
    </row>
    <row r="10896" spans="2:9" ht="15" customHeight="1" x14ac:dyDescent="0.25">
      <c r="B10896" s="55" t="s">
        <v>281</v>
      </c>
      <c r="C10896" s="46">
        <v>884</v>
      </c>
      <c r="D10896" s="69" t="s">
        <v>29418</v>
      </c>
      <c r="E10896" s="51"/>
      <c r="F10896" s="114" t="str">
        <f>IF(INDEX(I.Facility.P2bIDNumber,884)="","",INDEX(I.Facility.P2bIDNumber,884))</f>
        <v/>
      </c>
      <c r="G10896" s="51"/>
      <c r="H10896" s="46" t="str">
        <f>IF(AND(I.Developer.P2b=TRUE,I.Facility.P2bFacilityCount&gt;=884,F10896=""),"Incomplete","Complete")</f>
        <v>Complete</v>
      </c>
      <c r="I10896" s="48" t="s">
        <v>15261</v>
      </c>
    </row>
    <row r="10897" spans="2:9" ht="15" customHeight="1" x14ac:dyDescent="0.25">
      <c r="B10897" s="55" t="s">
        <v>281</v>
      </c>
      <c r="C10897" s="46">
        <v>885</v>
      </c>
      <c r="D10897" s="69" t="s">
        <v>29418</v>
      </c>
      <c r="E10897" s="51"/>
      <c r="F10897" s="114" t="str">
        <f>IF(INDEX(I.Facility.P2bIDNumber,885)="","",INDEX(I.Facility.P2bIDNumber,885))</f>
        <v/>
      </c>
      <c r="G10897" s="51"/>
      <c r="H10897" s="46" t="str">
        <f>IF(AND(I.Developer.P2b=TRUE,I.Facility.P2bFacilityCount&gt;=885,F10897=""),"Incomplete","Complete")</f>
        <v>Complete</v>
      </c>
      <c r="I10897" s="48" t="s">
        <v>15262</v>
      </c>
    </row>
    <row r="10898" spans="2:9" ht="15" customHeight="1" x14ac:dyDescent="0.25">
      <c r="B10898" s="55" t="s">
        <v>281</v>
      </c>
      <c r="C10898" s="46">
        <v>886</v>
      </c>
      <c r="D10898" s="69" t="s">
        <v>29418</v>
      </c>
      <c r="E10898" s="51"/>
      <c r="F10898" s="114" t="str">
        <f>IF(INDEX(I.Facility.P2bIDNumber,886)="","",INDEX(I.Facility.P2bIDNumber,886))</f>
        <v/>
      </c>
      <c r="G10898" s="51"/>
      <c r="H10898" s="46" t="str">
        <f>IF(AND(I.Developer.P2b=TRUE,I.Facility.P2bFacilityCount&gt;=886,F10898=""),"Incomplete","Complete")</f>
        <v>Complete</v>
      </c>
      <c r="I10898" s="48" t="s">
        <v>15263</v>
      </c>
    </row>
    <row r="10899" spans="2:9" ht="15" customHeight="1" x14ac:dyDescent="0.25">
      <c r="B10899" s="55" t="s">
        <v>281</v>
      </c>
      <c r="C10899" s="46">
        <v>887</v>
      </c>
      <c r="D10899" s="69" t="s">
        <v>29418</v>
      </c>
      <c r="E10899" s="51"/>
      <c r="F10899" s="114" t="str">
        <f>IF(INDEX(I.Facility.P2bIDNumber,887)="","",INDEX(I.Facility.P2bIDNumber,887))</f>
        <v/>
      </c>
      <c r="G10899" s="51"/>
      <c r="H10899" s="46" t="str">
        <f>IF(AND(I.Developer.P2b=TRUE,I.Facility.P2bFacilityCount&gt;=887,F10899=""),"Incomplete","Complete")</f>
        <v>Complete</v>
      </c>
      <c r="I10899" s="48" t="s">
        <v>15264</v>
      </c>
    </row>
    <row r="10900" spans="2:9" ht="15" customHeight="1" x14ac:dyDescent="0.25">
      <c r="B10900" s="55" t="s">
        <v>281</v>
      </c>
      <c r="C10900" s="46">
        <v>888</v>
      </c>
      <c r="D10900" s="69" t="s">
        <v>29418</v>
      </c>
      <c r="E10900" s="51"/>
      <c r="F10900" s="114" t="str">
        <f>IF(INDEX(I.Facility.P2bIDNumber,888)="","",INDEX(I.Facility.P2bIDNumber,888))</f>
        <v/>
      </c>
      <c r="G10900" s="51"/>
      <c r="H10900" s="46" t="str">
        <f>IF(AND(I.Developer.P2b=TRUE,I.Facility.P2bFacilityCount&gt;=888,F10900=""),"Incomplete","Complete")</f>
        <v>Complete</v>
      </c>
      <c r="I10900" s="48" t="s">
        <v>15265</v>
      </c>
    </row>
    <row r="10901" spans="2:9" ht="15" customHeight="1" x14ac:dyDescent="0.25">
      <c r="B10901" s="55" t="s">
        <v>281</v>
      </c>
      <c r="C10901" s="46">
        <v>889</v>
      </c>
      <c r="D10901" s="69" t="s">
        <v>29418</v>
      </c>
      <c r="E10901" s="51"/>
      <c r="F10901" s="114" t="str">
        <f>IF(INDEX(I.Facility.P2bIDNumber,889)="","",INDEX(I.Facility.P2bIDNumber,889))</f>
        <v/>
      </c>
      <c r="G10901" s="51"/>
      <c r="H10901" s="46" t="str">
        <f>IF(AND(I.Developer.P2b=TRUE,I.Facility.P2bFacilityCount&gt;=889,F10901=""),"Incomplete","Complete")</f>
        <v>Complete</v>
      </c>
      <c r="I10901" s="48" t="s">
        <v>15266</v>
      </c>
    </row>
    <row r="10902" spans="2:9" ht="15" customHeight="1" x14ac:dyDescent="0.25">
      <c r="B10902" s="55" t="s">
        <v>281</v>
      </c>
      <c r="C10902" s="46">
        <v>890</v>
      </c>
      <c r="D10902" s="69" t="s">
        <v>29418</v>
      </c>
      <c r="E10902" s="51"/>
      <c r="F10902" s="114" t="str">
        <f>IF(INDEX(I.Facility.P2bIDNumber,890)="","",INDEX(I.Facility.P2bIDNumber,890))</f>
        <v/>
      </c>
      <c r="G10902" s="51"/>
      <c r="H10902" s="46" t="str">
        <f>IF(AND(I.Developer.P2b=TRUE,I.Facility.P2bFacilityCount&gt;=890,F10902=""),"Incomplete","Complete")</f>
        <v>Complete</v>
      </c>
      <c r="I10902" s="48" t="s">
        <v>15267</v>
      </c>
    </row>
    <row r="10903" spans="2:9" ht="15" customHeight="1" x14ac:dyDescent="0.25">
      <c r="B10903" s="55" t="s">
        <v>281</v>
      </c>
      <c r="C10903" s="46">
        <v>891</v>
      </c>
      <c r="D10903" s="69" t="s">
        <v>29418</v>
      </c>
      <c r="E10903" s="51"/>
      <c r="F10903" s="114" t="str">
        <f>IF(INDEX(I.Facility.P2bIDNumber,891)="","",INDEX(I.Facility.P2bIDNumber,891))</f>
        <v/>
      </c>
      <c r="G10903" s="51"/>
      <c r="H10903" s="46" t="str">
        <f>IF(AND(I.Developer.P2b=TRUE,I.Facility.P2bFacilityCount&gt;=891,F10903=""),"Incomplete","Complete")</f>
        <v>Complete</v>
      </c>
      <c r="I10903" s="48" t="s">
        <v>15268</v>
      </c>
    </row>
    <row r="10904" spans="2:9" ht="15" customHeight="1" x14ac:dyDescent="0.25">
      <c r="B10904" s="55" t="s">
        <v>281</v>
      </c>
      <c r="C10904" s="46">
        <v>892</v>
      </c>
      <c r="D10904" s="69" t="s">
        <v>29418</v>
      </c>
      <c r="E10904" s="51"/>
      <c r="F10904" s="114" t="str">
        <f>IF(INDEX(I.Facility.P2bIDNumber,892)="","",INDEX(I.Facility.P2bIDNumber,892))</f>
        <v/>
      </c>
      <c r="G10904" s="51"/>
      <c r="H10904" s="46" t="str">
        <f>IF(AND(I.Developer.P2b=TRUE,I.Facility.P2bFacilityCount&gt;=892,F10904=""),"Incomplete","Complete")</f>
        <v>Complete</v>
      </c>
      <c r="I10904" s="48" t="s">
        <v>15269</v>
      </c>
    </row>
    <row r="10905" spans="2:9" ht="15" customHeight="1" x14ac:dyDescent="0.25">
      <c r="B10905" s="55" t="s">
        <v>281</v>
      </c>
      <c r="C10905" s="46">
        <v>893</v>
      </c>
      <c r="D10905" s="69" t="s">
        <v>29418</v>
      </c>
      <c r="E10905" s="51"/>
      <c r="F10905" s="114" t="str">
        <f>IF(INDEX(I.Facility.P2bIDNumber,893)="","",INDEX(I.Facility.P2bIDNumber,893))</f>
        <v/>
      </c>
      <c r="G10905" s="51"/>
      <c r="H10905" s="46" t="str">
        <f>IF(AND(I.Developer.P2b=TRUE,I.Facility.P2bFacilityCount&gt;=893,F10905=""),"Incomplete","Complete")</f>
        <v>Complete</v>
      </c>
      <c r="I10905" s="48" t="s">
        <v>15270</v>
      </c>
    </row>
    <row r="10906" spans="2:9" ht="15" customHeight="1" x14ac:dyDescent="0.25">
      <c r="B10906" s="55" t="s">
        <v>281</v>
      </c>
      <c r="C10906" s="46">
        <v>894</v>
      </c>
      <c r="D10906" s="69" t="s">
        <v>29418</v>
      </c>
      <c r="E10906" s="51"/>
      <c r="F10906" s="114" t="str">
        <f>IF(INDEX(I.Facility.P2bIDNumber,894)="","",INDEX(I.Facility.P2bIDNumber,894))</f>
        <v/>
      </c>
      <c r="G10906" s="51"/>
      <c r="H10906" s="46" t="str">
        <f>IF(AND(I.Developer.P2b=TRUE,I.Facility.P2bFacilityCount&gt;=894,F10906=""),"Incomplete","Complete")</f>
        <v>Complete</v>
      </c>
      <c r="I10906" s="48" t="s">
        <v>15271</v>
      </c>
    </row>
    <row r="10907" spans="2:9" ht="15" customHeight="1" x14ac:dyDescent="0.25">
      <c r="B10907" s="55" t="s">
        <v>281</v>
      </c>
      <c r="C10907" s="46">
        <v>895</v>
      </c>
      <c r="D10907" s="69" t="s">
        <v>29418</v>
      </c>
      <c r="E10907" s="51"/>
      <c r="F10907" s="114" t="str">
        <f>IF(INDEX(I.Facility.P2bIDNumber,895)="","",INDEX(I.Facility.P2bIDNumber,895))</f>
        <v/>
      </c>
      <c r="G10907" s="51"/>
      <c r="H10907" s="46" t="str">
        <f>IF(AND(I.Developer.P2b=TRUE,I.Facility.P2bFacilityCount&gt;=895,F10907=""),"Incomplete","Complete")</f>
        <v>Complete</v>
      </c>
      <c r="I10907" s="48" t="s">
        <v>15272</v>
      </c>
    </row>
    <row r="10908" spans="2:9" ht="15" customHeight="1" x14ac:dyDescent="0.25">
      <c r="B10908" s="55" t="s">
        <v>281</v>
      </c>
      <c r="C10908" s="46">
        <v>896</v>
      </c>
      <c r="D10908" s="69" t="s">
        <v>29418</v>
      </c>
      <c r="E10908" s="51"/>
      <c r="F10908" s="114" t="str">
        <f>IF(INDEX(I.Facility.P2bIDNumber,896)="","",INDEX(I.Facility.P2bIDNumber,896))</f>
        <v/>
      </c>
      <c r="G10908" s="51"/>
      <c r="H10908" s="46" t="str">
        <f>IF(AND(I.Developer.P2b=TRUE,I.Facility.P2bFacilityCount&gt;=896,F10908=""),"Incomplete","Complete")</f>
        <v>Complete</v>
      </c>
      <c r="I10908" s="48" t="s">
        <v>15273</v>
      </c>
    </row>
    <row r="10909" spans="2:9" ht="15" customHeight="1" x14ac:dyDescent="0.25">
      <c r="B10909" s="55" t="s">
        <v>281</v>
      </c>
      <c r="C10909" s="46">
        <v>897</v>
      </c>
      <c r="D10909" s="69" t="s">
        <v>29418</v>
      </c>
      <c r="E10909" s="51"/>
      <c r="F10909" s="114" t="str">
        <f>IF(INDEX(I.Facility.P2bIDNumber,897)="","",INDEX(I.Facility.P2bIDNumber,897))</f>
        <v/>
      </c>
      <c r="G10909" s="51"/>
      <c r="H10909" s="46" t="str">
        <f>IF(AND(I.Developer.P2b=TRUE,I.Facility.P2bFacilityCount&gt;=897,F10909=""),"Incomplete","Complete")</f>
        <v>Complete</v>
      </c>
      <c r="I10909" s="48" t="s">
        <v>15274</v>
      </c>
    </row>
    <row r="10910" spans="2:9" ht="15" customHeight="1" x14ac:dyDescent="0.25">
      <c r="B10910" s="55" t="s">
        <v>281</v>
      </c>
      <c r="C10910" s="46">
        <v>898</v>
      </c>
      <c r="D10910" s="69" t="s">
        <v>29418</v>
      </c>
      <c r="E10910" s="51"/>
      <c r="F10910" s="114" t="str">
        <f>IF(INDEX(I.Facility.P2bIDNumber,898)="","",INDEX(I.Facility.P2bIDNumber,898))</f>
        <v/>
      </c>
      <c r="G10910" s="51"/>
      <c r="H10910" s="46" t="str">
        <f>IF(AND(I.Developer.P2b=TRUE,I.Facility.P2bFacilityCount&gt;=898,F10910=""),"Incomplete","Complete")</f>
        <v>Complete</v>
      </c>
      <c r="I10910" s="48" t="s">
        <v>15275</v>
      </c>
    </row>
    <row r="10911" spans="2:9" ht="15" customHeight="1" x14ac:dyDescent="0.25">
      <c r="B10911" s="55" t="s">
        <v>281</v>
      </c>
      <c r="C10911" s="46">
        <v>899</v>
      </c>
      <c r="D10911" s="69" t="s">
        <v>29418</v>
      </c>
      <c r="E10911" s="51"/>
      <c r="F10911" s="114" t="str">
        <f>IF(INDEX(I.Facility.P2bIDNumber,899)="","",INDEX(I.Facility.P2bIDNumber,899))</f>
        <v/>
      </c>
      <c r="G10911" s="51"/>
      <c r="H10911" s="46" t="str">
        <f>IF(AND(I.Developer.P2b=TRUE,I.Facility.P2bFacilityCount&gt;=899,F10911=""),"Incomplete","Complete")</f>
        <v>Complete</v>
      </c>
      <c r="I10911" s="48" t="s">
        <v>15276</v>
      </c>
    </row>
    <row r="10912" spans="2:9" ht="15" customHeight="1" x14ac:dyDescent="0.25">
      <c r="B10912" s="55" t="s">
        <v>281</v>
      </c>
      <c r="C10912" s="46">
        <v>900</v>
      </c>
      <c r="D10912" s="69" t="s">
        <v>29418</v>
      </c>
      <c r="E10912" s="51"/>
      <c r="F10912" s="114" t="str">
        <f>IF(INDEX(I.Facility.P2bIDNumber,900)="","",INDEX(I.Facility.P2bIDNumber,900))</f>
        <v/>
      </c>
      <c r="G10912" s="51"/>
      <c r="H10912" s="46" t="str">
        <f>IF(AND(I.Developer.P2b=TRUE,I.Facility.P2bFacilityCount&gt;=900,F10912=""),"Incomplete","Complete")</f>
        <v>Complete</v>
      </c>
      <c r="I10912" s="48" t="s">
        <v>15277</v>
      </c>
    </row>
    <row r="10913" spans="2:9" ht="15" customHeight="1" x14ac:dyDescent="0.25">
      <c r="B10913" s="55" t="s">
        <v>281</v>
      </c>
      <c r="C10913" s="46">
        <v>901</v>
      </c>
      <c r="D10913" s="69" t="s">
        <v>29418</v>
      </c>
      <c r="E10913" s="51"/>
      <c r="F10913" s="114" t="str">
        <f>IF(INDEX(I.Facility.P2bIDNumber,901)="","",INDEX(I.Facility.P2bIDNumber,901))</f>
        <v/>
      </c>
      <c r="G10913" s="51"/>
      <c r="H10913" s="46" t="str">
        <f>IF(AND(I.Developer.P2b=TRUE,I.Facility.P2bFacilityCount&gt;=901,F10913=""),"Incomplete","Complete")</f>
        <v>Complete</v>
      </c>
      <c r="I10913" s="48" t="s">
        <v>15278</v>
      </c>
    </row>
    <row r="10914" spans="2:9" ht="15" customHeight="1" x14ac:dyDescent="0.25">
      <c r="B10914" s="55" t="s">
        <v>281</v>
      </c>
      <c r="C10914" s="46">
        <v>902</v>
      </c>
      <c r="D10914" s="69" t="s">
        <v>29418</v>
      </c>
      <c r="E10914" s="51"/>
      <c r="F10914" s="114" t="str">
        <f>IF(INDEX(I.Facility.P2bIDNumber,902)="","",INDEX(I.Facility.P2bIDNumber,902))</f>
        <v/>
      </c>
      <c r="G10914" s="51"/>
      <c r="H10914" s="46" t="str">
        <f>IF(AND(I.Developer.P2b=TRUE,I.Facility.P2bFacilityCount&gt;=902,F10914=""),"Incomplete","Complete")</f>
        <v>Complete</v>
      </c>
      <c r="I10914" s="48" t="s">
        <v>15279</v>
      </c>
    </row>
    <row r="10915" spans="2:9" ht="15" customHeight="1" x14ac:dyDescent="0.25">
      <c r="B10915" s="55" t="s">
        <v>281</v>
      </c>
      <c r="C10915" s="46">
        <v>903</v>
      </c>
      <c r="D10915" s="69" t="s">
        <v>29418</v>
      </c>
      <c r="E10915" s="51"/>
      <c r="F10915" s="114" t="str">
        <f>IF(INDEX(I.Facility.P2bIDNumber,903)="","",INDEX(I.Facility.P2bIDNumber,903))</f>
        <v/>
      </c>
      <c r="G10915" s="51"/>
      <c r="H10915" s="46" t="str">
        <f>IF(AND(I.Developer.P2b=TRUE,I.Facility.P2bFacilityCount&gt;=903,F10915=""),"Incomplete","Complete")</f>
        <v>Complete</v>
      </c>
      <c r="I10915" s="48" t="s">
        <v>15280</v>
      </c>
    </row>
    <row r="10916" spans="2:9" ht="15" customHeight="1" x14ac:dyDescent="0.25">
      <c r="B10916" s="55" t="s">
        <v>281</v>
      </c>
      <c r="C10916" s="46">
        <v>904</v>
      </c>
      <c r="D10916" s="69" t="s">
        <v>29418</v>
      </c>
      <c r="E10916" s="51"/>
      <c r="F10916" s="114" t="str">
        <f>IF(INDEX(I.Facility.P2bIDNumber,904)="","",INDEX(I.Facility.P2bIDNumber,904))</f>
        <v/>
      </c>
      <c r="G10916" s="51"/>
      <c r="H10916" s="46" t="str">
        <f>IF(AND(I.Developer.P2b=TRUE,I.Facility.P2bFacilityCount&gt;=904,F10916=""),"Incomplete","Complete")</f>
        <v>Complete</v>
      </c>
      <c r="I10916" s="48" t="s">
        <v>15281</v>
      </c>
    </row>
    <row r="10917" spans="2:9" ht="15" customHeight="1" x14ac:dyDescent="0.25">
      <c r="B10917" s="55" t="s">
        <v>281</v>
      </c>
      <c r="C10917" s="46">
        <v>905</v>
      </c>
      <c r="D10917" s="69" t="s">
        <v>29418</v>
      </c>
      <c r="E10917" s="51"/>
      <c r="F10917" s="114" t="str">
        <f>IF(INDEX(I.Facility.P2bIDNumber,905)="","",INDEX(I.Facility.P2bIDNumber,905))</f>
        <v/>
      </c>
      <c r="G10917" s="51"/>
      <c r="H10917" s="46" t="str">
        <f>IF(AND(I.Developer.P2b=TRUE,I.Facility.P2bFacilityCount&gt;=905,F10917=""),"Incomplete","Complete")</f>
        <v>Complete</v>
      </c>
      <c r="I10917" s="48" t="s">
        <v>15282</v>
      </c>
    </row>
    <row r="10918" spans="2:9" ht="15" customHeight="1" x14ac:dyDescent="0.25">
      <c r="B10918" s="55" t="s">
        <v>281</v>
      </c>
      <c r="C10918" s="46">
        <v>906</v>
      </c>
      <c r="D10918" s="69" t="s">
        <v>29418</v>
      </c>
      <c r="E10918" s="51"/>
      <c r="F10918" s="114" t="str">
        <f>IF(INDEX(I.Facility.P2bIDNumber,906)="","",INDEX(I.Facility.P2bIDNumber,906))</f>
        <v/>
      </c>
      <c r="G10918" s="51"/>
      <c r="H10918" s="46" t="str">
        <f>IF(AND(I.Developer.P2b=TRUE,I.Facility.P2bFacilityCount&gt;=906,F10918=""),"Incomplete","Complete")</f>
        <v>Complete</v>
      </c>
      <c r="I10918" s="48" t="s">
        <v>15283</v>
      </c>
    </row>
    <row r="10919" spans="2:9" ht="15" customHeight="1" x14ac:dyDescent="0.25">
      <c r="B10919" s="55" t="s">
        <v>281</v>
      </c>
      <c r="C10919" s="46">
        <v>907</v>
      </c>
      <c r="D10919" s="69" t="s">
        <v>29418</v>
      </c>
      <c r="E10919" s="51"/>
      <c r="F10919" s="114" t="str">
        <f>IF(INDEX(I.Facility.P2bIDNumber,907)="","",INDEX(I.Facility.P2bIDNumber,907))</f>
        <v/>
      </c>
      <c r="G10919" s="51"/>
      <c r="H10919" s="46" t="str">
        <f>IF(AND(I.Developer.P2b=TRUE,I.Facility.P2bFacilityCount&gt;=907,F10919=""),"Incomplete","Complete")</f>
        <v>Complete</v>
      </c>
      <c r="I10919" s="48" t="s">
        <v>15284</v>
      </c>
    </row>
    <row r="10920" spans="2:9" ht="15" customHeight="1" x14ac:dyDescent="0.25">
      <c r="B10920" s="55" t="s">
        <v>281</v>
      </c>
      <c r="C10920" s="46">
        <v>908</v>
      </c>
      <c r="D10920" s="69" t="s">
        <v>29418</v>
      </c>
      <c r="E10920" s="51"/>
      <c r="F10920" s="114" t="str">
        <f>IF(INDEX(I.Facility.P2bIDNumber,908)="","",INDEX(I.Facility.P2bIDNumber,908))</f>
        <v/>
      </c>
      <c r="G10920" s="51"/>
      <c r="H10920" s="46" t="str">
        <f>IF(AND(I.Developer.P2b=TRUE,I.Facility.P2bFacilityCount&gt;=908,F10920=""),"Incomplete","Complete")</f>
        <v>Complete</v>
      </c>
      <c r="I10920" s="48" t="s">
        <v>15285</v>
      </c>
    </row>
    <row r="10921" spans="2:9" ht="15" customHeight="1" x14ac:dyDescent="0.25">
      <c r="B10921" s="55" t="s">
        <v>281</v>
      </c>
      <c r="C10921" s="46">
        <v>909</v>
      </c>
      <c r="D10921" s="69" t="s">
        <v>29418</v>
      </c>
      <c r="E10921" s="51"/>
      <c r="F10921" s="114" t="str">
        <f>IF(INDEX(I.Facility.P2bIDNumber,909)="","",INDEX(I.Facility.P2bIDNumber,909))</f>
        <v/>
      </c>
      <c r="G10921" s="51"/>
      <c r="H10921" s="46" t="str">
        <f>IF(AND(I.Developer.P2b=TRUE,I.Facility.P2bFacilityCount&gt;=909,F10921=""),"Incomplete","Complete")</f>
        <v>Complete</v>
      </c>
      <c r="I10921" s="48" t="s">
        <v>15286</v>
      </c>
    </row>
    <row r="10922" spans="2:9" ht="15" customHeight="1" x14ac:dyDescent="0.25">
      <c r="B10922" s="55" t="s">
        <v>281</v>
      </c>
      <c r="C10922" s="46">
        <v>910</v>
      </c>
      <c r="D10922" s="69" t="s">
        <v>29418</v>
      </c>
      <c r="E10922" s="51"/>
      <c r="F10922" s="114" t="str">
        <f>IF(INDEX(I.Facility.P2bIDNumber,910)="","",INDEX(I.Facility.P2bIDNumber,910))</f>
        <v/>
      </c>
      <c r="G10922" s="51"/>
      <c r="H10922" s="46" t="str">
        <f>IF(AND(I.Developer.P2b=TRUE,I.Facility.P2bFacilityCount&gt;=910,F10922=""),"Incomplete","Complete")</f>
        <v>Complete</v>
      </c>
      <c r="I10922" s="48" t="s">
        <v>15287</v>
      </c>
    </row>
    <row r="10923" spans="2:9" ht="15" customHeight="1" x14ac:dyDescent="0.25">
      <c r="B10923" s="55" t="s">
        <v>281</v>
      </c>
      <c r="C10923" s="46">
        <v>911</v>
      </c>
      <c r="D10923" s="69" t="s">
        <v>29418</v>
      </c>
      <c r="E10923" s="51"/>
      <c r="F10923" s="114" t="str">
        <f>IF(INDEX(I.Facility.P2bIDNumber,911)="","",INDEX(I.Facility.P2bIDNumber,911))</f>
        <v/>
      </c>
      <c r="G10923" s="51"/>
      <c r="H10923" s="46" t="str">
        <f>IF(AND(I.Developer.P2b=TRUE,I.Facility.P2bFacilityCount&gt;=911,F10923=""),"Incomplete","Complete")</f>
        <v>Complete</v>
      </c>
      <c r="I10923" s="48" t="s">
        <v>15288</v>
      </c>
    </row>
    <row r="10924" spans="2:9" ht="15" customHeight="1" x14ac:dyDescent="0.25">
      <c r="B10924" s="55" t="s">
        <v>281</v>
      </c>
      <c r="C10924" s="46">
        <v>912</v>
      </c>
      <c r="D10924" s="69" t="s">
        <v>29418</v>
      </c>
      <c r="E10924" s="51"/>
      <c r="F10924" s="114" t="str">
        <f>IF(INDEX(I.Facility.P2bIDNumber,912)="","",INDEX(I.Facility.P2bIDNumber,912))</f>
        <v/>
      </c>
      <c r="G10924" s="51"/>
      <c r="H10924" s="46" t="str">
        <f>IF(AND(I.Developer.P2b=TRUE,I.Facility.P2bFacilityCount&gt;=912,F10924=""),"Incomplete","Complete")</f>
        <v>Complete</v>
      </c>
      <c r="I10924" s="48" t="s">
        <v>15289</v>
      </c>
    </row>
    <row r="10925" spans="2:9" ht="15" customHeight="1" x14ac:dyDescent="0.25">
      <c r="B10925" s="55" t="s">
        <v>281</v>
      </c>
      <c r="C10925" s="46">
        <v>913</v>
      </c>
      <c r="D10925" s="69" t="s">
        <v>29418</v>
      </c>
      <c r="E10925" s="51"/>
      <c r="F10925" s="114" t="str">
        <f>IF(INDEX(I.Facility.P2bIDNumber,913)="","",INDEX(I.Facility.P2bIDNumber,913))</f>
        <v/>
      </c>
      <c r="G10925" s="51"/>
      <c r="H10925" s="46" t="str">
        <f>IF(AND(I.Developer.P2b=TRUE,I.Facility.P2bFacilityCount&gt;=913,F10925=""),"Incomplete","Complete")</f>
        <v>Complete</v>
      </c>
      <c r="I10925" s="48" t="s">
        <v>15290</v>
      </c>
    </row>
    <row r="10926" spans="2:9" ht="15" customHeight="1" x14ac:dyDescent="0.25">
      <c r="B10926" s="55" t="s">
        <v>281</v>
      </c>
      <c r="C10926" s="46">
        <v>914</v>
      </c>
      <c r="D10926" s="69" t="s">
        <v>29418</v>
      </c>
      <c r="E10926" s="51"/>
      <c r="F10926" s="114" t="str">
        <f>IF(INDEX(I.Facility.P2bIDNumber,914)="","",INDEX(I.Facility.P2bIDNumber,914))</f>
        <v/>
      </c>
      <c r="G10926" s="51"/>
      <c r="H10926" s="46" t="str">
        <f>IF(AND(I.Developer.P2b=TRUE,I.Facility.P2bFacilityCount&gt;=914,F10926=""),"Incomplete","Complete")</f>
        <v>Complete</v>
      </c>
      <c r="I10926" s="48" t="s">
        <v>15291</v>
      </c>
    </row>
    <row r="10927" spans="2:9" ht="15" customHeight="1" x14ac:dyDescent="0.25">
      <c r="B10927" s="55" t="s">
        <v>281</v>
      </c>
      <c r="C10927" s="46">
        <v>915</v>
      </c>
      <c r="D10927" s="69" t="s">
        <v>29418</v>
      </c>
      <c r="E10927" s="51"/>
      <c r="F10927" s="114" t="str">
        <f>IF(INDEX(I.Facility.P2bIDNumber,915)="","",INDEX(I.Facility.P2bIDNumber,915))</f>
        <v/>
      </c>
      <c r="G10927" s="51"/>
      <c r="H10927" s="46" t="str">
        <f>IF(AND(I.Developer.P2b=TRUE,I.Facility.P2bFacilityCount&gt;=915,F10927=""),"Incomplete","Complete")</f>
        <v>Complete</v>
      </c>
      <c r="I10927" s="48" t="s">
        <v>15292</v>
      </c>
    </row>
    <row r="10928" spans="2:9" ht="15" customHeight="1" x14ac:dyDescent="0.25">
      <c r="B10928" s="55" t="s">
        <v>281</v>
      </c>
      <c r="C10928" s="46">
        <v>916</v>
      </c>
      <c r="D10928" s="69" t="s">
        <v>29418</v>
      </c>
      <c r="E10928" s="51"/>
      <c r="F10928" s="114" t="str">
        <f>IF(INDEX(I.Facility.P2bIDNumber,916)="","",INDEX(I.Facility.P2bIDNumber,916))</f>
        <v/>
      </c>
      <c r="G10928" s="51"/>
      <c r="H10928" s="46" t="str">
        <f>IF(AND(I.Developer.P2b=TRUE,I.Facility.P2bFacilityCount&gt;=916,F10928=""),"Incomplete","Complete")</f>
        <v>Complete</v>
      </c>
      <c r="I10928" s="48" t="s">
        <v>15293</v>
      </c>
    </row>
    <row r="10929" spans="2:9" ht="15" customHeight="1" x14ac:dyDescent="0.25">
      <c r="B10929" s="55" t="s">
        <v>281</v>
      </c>
      <c r="C10929" s="46">
        <v>917</v>
      </c>
      <c r="D10929" s="69" t="s">
        <v>29418</v>
      </c>
      <c r="E10929" s="51"/>
      <c r="F10929" s="114" t="str">
        <f>IF(INDEX(I.Facility.P2bIDNumber,917)="","",INDEX(I.Facility.P2bIDNumber,917))</f>
        <v/>
      </c>
      <c r="G10929" s="51"/>
      <c r="H10929" s="46" t="str">
        <f>IF(AND(I.Developer.P2b=TRUE,I.Facility.P2bFacilityCount&gt;=917,F10929=""),"Incomplete","Complete")</f>
        <v>Complete</v>
      </c>
      <c r="I10929" s="48" t="s">
        <v>15294</v>
      </c>
    </row>
    <row r="10930" spans="2:9" ht="15" customHeight="1" x14ac:dyDescent="0.25">
      <c r="B10930" s="55" t="s">
        <v>281</v>
      </c>
      <c r="C10930" s="46">
        <v>918</v>
      </c>
      <c r="D10930" s="69" t="s">
        <v>29418</v>
      </c>
      <c r="E10930" s="51"/>
      <c r="F10930" s="114" t="str">
        <f>IF(INDEX(I.Facility.P2bIDNumber,918)="","",INDEX(I.Facility.P2bIDNumber,918))</f>
        <v/>
      </c>
      <c r="G10930" s="51"/>
      <c r="H10930" s="46" t="str">
        <f>IF(AND(I.Developer.P2b=TRUE,I.Facility.P2bFacilityCount&gt;=918,F10930=""),"Incomplete","Complete")</f>
        <v>Complete</v>
      </c>
      <c r="I10930" s="48" t="s">
        <v>15295</v>
      </c>
    </row>
    <row r="10931" spans="2:9" ht="15" customHeight="1" x14ac:dyDescent="0.25">
      <c r="B10931" s="55" t="s">
        <v>281</v>
      </c>
      <c r="C10931" s="46">
        <v>919</v>
      </c>
      <c r="D10931" s="69" t="s">
        <v>29418</v>
      </c>
      <c r="E10931" s="51"/>
      <c r="F10931" s="114" t="str">
        <f>IF(INDEX(I.Facility.P2bIDNumber,919)="","",INDEX(I.Facility.P2bIDNumber,919))</f>
        <v/>
      </c>
      <c r="G10931" s="51"/>
      <c r="H10931" s="46" t="str">
        <f>IF(AND(I.Developer.P2b=TRUE,I.Facility.P2bFacilityCount&gt;=919,F10931=""),"Incomplete","Complete")</f>
        <v>Complete</v>
      </c>
      <c r="I10931" s="48" t="s">
        <v>15296</v>
      </c>
    </row>
    <row r="10932" spans="2:9" ht="15" customHeight="1" x14ac:dyDescent="0.25">
      <c r="B10932" s="55" t="s">
        <v>281</v>
      </c>
      <c r="C10932" s="46">
        <v>920</v>
      </c>
      <c r="D10932" s="69" t="s">
        <v>29418</v>
      </c>
      <c r="E10932" s="51"/>
      <c r="F10932" s="114" t="str">
        <f>IF(INDEX(I.Facility.P2bIDNumber,920)="","",INDEX(I.Facility.P2bIDNumber,920))</f>
        <v/>
      </c>
      <c r="G10932" s="51"/>
      <c r="H10932" s="46" t="str">
        <f>IF(AND(I.Developer.P2b=TRUE,I.Facility.P2bFacilityCount&gt;=920,F10932=""),"Incomplete","Complete")</f>
        <v>Complete</v>
      </c>
      <c r="I10932" s="48" t="s">
        <v>15297</v>
      </c>
    </row>
    <row r="10933" spans="2:9" ht="15" customHeight="1" x14ac:dyDescent="0.25">
      <c r="B10933" s="55" t="s">
        <v>281</v>
      </c>
      <c r="C10933" s="46">
        <v>921</v>
      </c>
      <c r="D10933" s="69" t="s">
        <v>29418</v>
      </c>
      <c r="E10933" s="51"/>
      <c r="F10933" s="114" t="str">
        <f>IF(INDEX(I.Facility.P2bIDNumber,921)="","",INDEX(I.Facility.P2bIDNumber,921))</f>
        <v/>
      </c>
      <c r="G10933" s="51"/>
      <c r="H10933" s="46" t="str">
        <f>IF(AND(I.Developer.P2b=TRUE,I.Facility.P2bFacilityCount&gt;=921,F10933=""),"Incomplete","Complete")</f>
        <v>Complete</v>
      </c>
      <c r="I10933" s="48" t="s">
        <v>15298</v>
      </c>
    </row>
    <row r="10934" spans="2:9" ht="15" customHeight="1" x14ac:dyDescent="0.25">
      <c r="B10934" s="55" t="s">
        <v>281</v>
      </c>
      <c r="C10934" s="46">
        <v>922</v>
      </c>
      <c r="D10934" s="69" t="s">
        <v>29418</v>
      </c>
      <c r="E10934" s="51"/>
      <c r="F10934" s="114" t="str">
        <f>IF(INDEX(I.Facility.P2bIDNumber,922)="","",INDEX(I.Facility.P2bIDNumber,922))</f>
        <v/>
      </c>
      <c r="G10934" s="51"/>
      <c r="H10934" s="46" t="str">
        <f>IF(AND(I.Developer.P2b=TRUE,I.Facility.P2bFacilityCount&gt;=922,F10934=""),"Incomplete","Complete")</f>
        <v>Complete</v>
      </c>
      <c r="I10934" s="48" t="s">
        <v>15299</v>
      </c>
    </row>
    <row r="10935" spans="2:9" ht="15" customHeight="1" x14ac:dyDescent="0.25">
      <c r="B10935" s="55" t="s">
        <v>281</v>
      </c>
      <c r="C10935" s="46">
        <v>923</v>
      </c>
      <c r="D10935" s="69" t="s">
        <v>29418</v>
      </c>
      <c r="E10935" s="51"/>
      <c r="F10935" s="114" t="str">
        <f>IF(INDEX(I.Facility.P2bIDNumber,923)="","",INDEX(I.Facility.P2bIDNumber,923))</f>
        <v/>
      </c>
      <c r="G10935" s="51"/>
      <c r="H10935" s="46" t="str">
        <f>IF(AND(I.Developer.P2b=TRUE,I.Facility.P2bFacilityCount&gt;=923,F10935=""),"Incomplete","Complete")</f>
        <v>Complete</v>
      </c>
      <c r="I10935" s="48" t="s">
        <v>15300</v>
      </c>
    </row>
    <row r="10936" spans="2:9" ht="15" customHeight="1" x14ac:dyDescent="0.25">
      <c r="B10936" s="55" t="s">
        <v>281</v>
      </c>
      <c r="C10936" s="46">
        <v>924</v>
      </c>
      <c r="D10936" s="69" t="s">
        <v>29418</v>
      </c>
      <c r="E10936" s="51"/>
      <c r="F10936" s="114" t="str">
        <f>IF(INDEX(I.Facility.P2bIDNumber,924)="","",INDEX(I.Facility.P2bIDNumber,924))</f>
        <v/>
      </c>
      <c r="G10936" s="51"/>
      <c r="H10936" s="46" t="str">
        <f>IF(AND(I.Developer.P2b=TRUE,I.Facility.P2bFacilityCount&gt;=924,F10936=""),"Incomplete","Complete")</f>
        <v>Complete</v>
      </c>
      <c r="I10936" s="48" t="s">
        <v>15301</v>
      </c>
    </row>
    <row r="10937" spans="2:9" ht="15" customHeight="1" x14ac:dyDescent="0.25">
      <c r="B10937" s="55" t="s">
        <v>281</v>
      </c>
      <c r="C10937" s="46">
        <v>925</v>
      </c>
      <c r="D10937" s="69" t="s">
        <v>29418</v>
      </c>
      <c r="E10937" s="51"/>
      <c r="F10937" s="114" t="str">
        <f>IF(INDEX(I.Facility.P2bIDNumber,925)="","",INDEX(I.Facility.P2bIDNumber,925))</f>
        <v/>
      </c>
      <c r="G10937" s="51"/>
      <c r="H10937" s="46" t="str">
        <f>IF(AND(I.Developer.P2b=TRUE,I.Facility.P2bFacilityCount&gt;=925,F10937=""),"Incomplete","Complete")</f>
        <v>Complete</v>
      </c>
      <c r="I10937" s="48" t="s">
        <v>15302</v>
      </c>
    </row>
    <row r="10938" spans="2:9" ht="15" customHeight="1" x14ac:dyDescent="0.25">
      <c r="B10938" s="55" t="s">
        <v>281</v>
      </c>
      <c r="C10938" s="46">
        <v>926</v>
      </c>
      <c r="D10938" s="69" t="s">
        <v>29418</v>
      </c>
      <c r="E10938" s="51"/>
      <c r="F10938" s="114" t="str">
        <f>IF(INDEX(I.Facility.P2bIDNumber,926)="","",INDEX(I.Facility.P2bIDNumber,926))</f>
        <v/>
      </c>
      <c r="G10938" s="51"/>
      <c r="H10938" s="46" t="str">
        <f>IF(AND(I.Developer.P2b=TRUE,I.Facility.P2bFacilityCount&gt;=926,F10938=""),"Incomplete","Complete")</f>
        <v>Complete</v>
      </c>
      <c r="I10938" s="48" t="s">
        <v>15303</v>
      </c>
    </row>
    <row r="10939" spans="2:9" ht="15" customHeight="1" x14ac:dyDescent="0.25">
      <c r="B10939" s="55" t="s">
        <v>281</v>
      </c>
      <c r="C10939" s="46">
        <v>927</v>
      </c>
      <c r="D10939" s="69" t="s">
        <v>29418</v>
      </c>
      <c r="E10939" s="51"/>
      <c r="F10939" s="114" t="str">
        <f>IF(INDEX(I.Facility.P2bIDNumber,927)="","",INDEX(I.Facility.P2bIDNumber,927))</f>
        <v/>
      </c>
      <c r="G10939" s="51"/>
      <c r="H10939" s="46" t="str">
        <f>IF(AND(I.Developer.P2b=TRUE,I.Facility.P2bFacilityCount&gt;=927,F10939=""),"Incomplete","Complete")</f>
        <v>Complete</v>
      </c>
      <c r="I10939" s="48" t="s">
        <v>15304</v>
      </c>
    </row>
    <row r="10940" spans="2:9" ht="15" customHeight="1" x14ac:dyDescent="0.25">
      <c r="B10940" s="55" t="s">
        <v>281</v>
      </c>
      <c r="C10940" s="46">
        <v>928</v>
      </c>
      <c r="D10940" s="69" t="s">
        <v>29418</v>
      </c>
      <c r="E10940" s="51"/>
      <c r="F10940" s="114" t="str">
        <f>IF(INDEX(I.Facility.P2bIDNumber,928)="","",INDEX(I.Facility.P2bIDNumber,928))</f>
        <v/>
      </c>
      <c r="G10940" s="51"/>
      <c r="H10940" s="46" t="str">
        <f>IF(AND(I.Developer.P2b=TRUE,I.Facility.P2bFacilityCount&gt;=928,F10940=""),"Incomplete","Complete")</f>
        <v>Complete</v>
      </c>
      <c r="I10940" s="48" t="s">
        <v>15305</v>
      </c>
    </row>
    <row r="10941" spans="2:9" ht="15" customHeight="1" x14ac:dyDescent="0.25">
      <c r="B10941" s="55" t="s">
        <v>281</v>
      </c>
      <c r="C10941" s="46">
        <v>929</v>
      </c>
      <c r="D10941" s="69" t="s">
        <v>29418</v>
      </c>
      <c r="E10941" s="51"/>
      <c r="F10941" s="114" t="str">
        <f>IF(INDEX(I.Facility.P2bIDNumber,929)="","",INDEX(I.Facility.P2bIDNumber,929))</f>
        <v/>
      </c>
      <c r="G10941" s="51"/>
      <c r="H10941" s="46" t="str">
        <f>IF(AND(I.Developer.P2b=TRUE,I.Facility.P2bFacilityCount&gt;=929,F10941=""),"Incomplete","Complete")</f>
        <v>Complete</v>
      </c>
      <c r="I10941" s="48" t="s">
        <v>15306</v>
      </c>
    </row>
    <row r="10942" spans="2:9" ht="15" customHeight="1" x14ac:dyDescent="0.25">
      <c r="B10942" s="55" t="s">
        <v>281</v>
      </c>
      <c r="C10942" s="46">
        <v>930</v>
      </c>
      <c r="D10942" s="69" t="s">
        <v>29418</v>
      </c>
      <c r="E10942" s="51"/>
      <c r="F10942" s="114" t="str">
        <f>IF(INDEX(I.Facility.P2bIDNumber,930)="","",INDEX(I.Facility.P2bIDNumber,930))</f>
        <v/>
      </c>
      <c r="G10942" s="51"/>
      <c r="H10942" s="46" t="str">
        <f>IF(AND(I.Developer.P2b=TRUE,I.Facility.P2bFacilityCount&gt;=930,F10942=""),"Incomplete","Complete")</f>
        <v>Complete</v>
      </c>
      <c r="I10942" s="48" t="s">
        <v>15307</v>
      </c>
    </row>
    <row r="10943" spans="2:9" ht="15" customHeight="1" x14ac:dyDescent="0.25">
      <c r="B10943" s="55" t="s">
        <v>281</v>
      </c>
      <c r="C10943" s="46">
        <v>931</v>
      </c>
      <c r="D10943" s="69" t="s">
        <v>29418</v>
      </c>
      <c r="E10943" s="51"/>
      <c r="F10943" s="114" t="str">
        <f>IF(INDEX(I.Facility.P2bIDNumber,931)="","",INDEX(I.Facility.P2bIDNumber,931))</f>
        <v/>
      </c>
      <c r="G10943" s="51"/>
      <c r="H10943" s="46" t="str">
        <f>IF(AND(I.Developer.P2b=TRUE,I.Facility.P2bFacilityCount&gt;=931,F10943=""),"Incomplete","Complete")</f>
        <v>Complete</v>
      </c>
      <c r="I10943" s="48" t="s">
        <v>15308</v>
      </c>
    </row>
    <row r="10944" spans="2:9" ht="15" customHeight="1" x14ac:dyDescent="0.25">
      <c r="B10944" s="55" t="s">
        <v>281</v>
      </c>
      <c r="C10944" s="46">
        <v>932</v>
      </c>
      <c r="D10944" s="69" t="s">
        <v>29418</v>
      </c>
      <c r="E10944" s="51"/>
      <c r="F10944" s="114" t="str">
        <f>IF(INDEX(I.Facility.P2bIDNumber,932)="","",INDEX(I.Facility.P2bIDNumber,932))</f>
        <v/>
      </c>
      <c r="G10944" s="51"/>
      <c r="H10944" s="46" t="str">
        <f>IF(AND(I.Developer.P2b=TRUE,I.Facility.P2bFacilityCount&gt;=932,F10944=""),"Incomplete","Complete")</f>
        <v>Complete</v>
      </c>
      <c r="I10944" s="48" t="s">
        <v>15309</v>
      </c>
    </row>
    <row r="10945" spans="2:9" ht="15" customHeight="1" x14ac:dyDescent="0.25">
      <c r="B10945" s="55" t="s">
        <v>281</v>
      </c>
      <c r="C10945" s="46">
        <v>933</v>
      </c>
      <c r="D10945" s="69" t="s">
        <v>29418</v>
      </c>
      <c r="E10945" s="51"/>
      <c r="F10945" s="114" t="str">
        <f>IF(INDEX(I.Facility.P2bIDNumber,933)="","",INDEX(I.Facility.P2bIDNumber,933))</f>
        <v/>
      </c>
      <c r="G10945" s="51"/>
      <c r="H10945" s="46" t="str">
        <f>IF(AND(I.Developer.P2b=TRUE,I.Facility.P2bFacilityCount&gt;=933,F10945=""),"Incomplete","Complete")</f>
        <v>Complete</v>
      </c>
      <c r="I10945" s="48" t="s">
        <v>15310</v>
      </c>
    </row>
    <row r="10946" spans="2:9" ht="15" customHeight="1" x14ac:dyDescent="0.25">
      <c r="B10946" s="55" t="s">
        <v>281</v>
      </c>
      <c r="C10946" s="46">
        <v>934</v>
      </c>
      <c r="D10946" s="69" t="s">
        <v>29418</v>
      </c>
      <c r="E10946" s="51"/>
      <c r="F10946" s="114" t="str">
        <f>IF(INDEX(I.Facility.P2bIDNumber,934)="","",INDEX(I.Facility.P2bIDNumber,934))</f>
        <v/>
      </c>
      <c r="G10946" s="51"/>
      <c r="H10946" s="46" t="str">
        <f>IF(AND(I.Developer.P2b=TRUE,I.Facility.P2bFacilityCount&gt;=934,F10946=""),"Incomplete","Complete")</f>
        <v>Complete</v>
      </c>
      <c r="I10946" s="48" t="s">
        <v>15311</v>
      </c>
    </row>
    <row r="10947" spans="2:9" ht="15" customHeight="1" x14ac:dyDescent="0.25">
      <c r="B10947" s="55" t="s">
        <v>281</v>
      </c>
      <c r="C10947" s="46">
        <v>935</v>
      </c>
      <c r="D10947" s="69" t="s">
        <v>29418</v>
      </c>
      <c r="E10947" s="51"/>
      <c r="F10947" s="114" t="str">
        <f>IF(INDEX(I.Facility.P2bIDNumber,935)="","",INDEX(I.Facility.P2bIDNumber,935))</f>
        <v/>
      </c>
      <c r="G10947" s="51"/>
      <c r="H10947" s="46" t="str">
        <f>IF(AND(I.Developer.P2b=TRUE,I.Facility.P2bFacilityCount&gt;=935,F10947=""),"Incomplete","Complete")</f>
        <v>Complete</v>
      </c>
      <c r="I10947" s="48" t="s">
        <v>15312</v>
      </c>
    </row>
    <row r="10948" spans="2:9" ht="15" customHeight="1" x14ac:dyDescent="0.25">
      <c r="B10948" s="55" t="s">
        <v>281</v>
      </c>
      <c r="C10948" s="46">
        <v>936</v>
      </c>
      <c r="D10948" s="69" t="s">
        <v>29418</v>
      </c>
      <c r="E10948" s="51"/>
      <c r="F10948" s="114" t="str">
        <f>IF(INDEX(I.Facility.P2bIDNumber,936)="","",INDEX(I.Facility.P2bIDNumber,936))</f>
        <v/>
      </c>
      <c r="G10948" s="51"/>
      <c r="H10948" s="46" t="str">
        <f>IF(AND(I.Developer.P2b=TRUE,I.Facility.P2bFacilityCount&gt;=936,F10948=""),"Incomplete","Complete")</f>
        <v>Complete</v>
      </c>
      <c r="I10948" s="48" t="s">
        <v>15313</v>
      </c>
    </row>
    <row r="10949" spans="2:9" ht="15" customHeight="1" x14ac:dyDescent="0.25">
      <c r="B10949" s="55" t="s">
        <v>281</v>
      </c>
      <c r="C10949" s="46">
        <v>937</v>
      </c>
      <c r="D10949" s="69" t="s">
        <v>29418</v>
      </c>
      <c r="E10949" s="51"/>
      <c r="F10949" s="114" t="str">
        <f>IF(INDEX(I.Facility.P2bIDNumber,937)="","",INDEX(I.Facility.P2bIDNumber,937))</f>
        <v/>
      </c>
      <c r="G10949" s="51"/>
      <c r="H10949" s="46" t="str">
        <f>IF(AND(I.Developer.P2b=TRUE,I.Facility.P2bFacilityCount&gt;=937,F10949=""),"Incomplete","Complete")</f>
        <v>Complete</v>
      </c>
      <c r="I10949" s="48" t="s">
        <v>15314</v>
      </c>
    </row>
    <row r="10950" spans="2:9" ht="15" customHeight="1" x14ac:dyDescent="0.25">
      <c r="B10950" s="55" t="s">
        <v>281</v>
      </c>
      <c r="C10950" s="46">
        <v>938</v>
      </c>
      <c r="D10950" s="69" t="s">
        <v>29418</v>
      </c>
      <c r="E10950" s="51"/>
      <c r="F10950" s="114" t="str">
        <f>IF(INDEX(I.Facility.P2bIDNumber,938)="","",INDEX(I.Facility.P2bIDNumber,938))</f>
        <v/>
      </c>
      <c r="G10950" s="51"/>
      <c r="H10950" s="46" t="str">
        <f>IF(AND(I.Developer.P2b=TRUE,I.Facility.P2bFacilityCount&gt;=938,F10950=""),"Incomplete","Complete")</f>
        <v>Complete</v>
      </c>
      <c r="I10950" s="48" t="s">
        <v>15315</v>
      </c>
    </row>
    <row r="10951" spans="2:9" ht="15" customHeight="1" x14ac:dyDescent="0.25">
      <c r="B10951" s="55" t="s">
        <v>281</v>
      </c>
      <c r="C10951" s="46">
        <v>939</v>
      </c>
      <c r="D10951" s="69" t="s">
        <v>29418</v>
      </c>
      <c r="E10951" s="51"/>
      <c r="F10951" s="114" t="str">
        <f>IF(INDEX(I.Facility.P2bIDNumber,939)="","",INDEX(I.Facility.P2bIDNumber,939))</f>
        <v/>
      </c>
      <c r="G10951" s="51"/>
      <c r="H10951" s="46" t="str">
        <f>IF(AND(I.Developer.P2b=TRUE,I.Facility.P2bFacilityCount&gt;=939,F10951=""),"Incomplete","Complete")</f>
        <v>Complete</v>
      </c>
      <c r="I10951" s="48" t="s">
        <v>15316</v>
      </c>
    </row>
    <row r="10952" spans="2:9" ht="15" customHeight="1" x14ac:dyDescent="0.25">
      <c r="B10952" s="55" t="s">
        <v>281</v>
      </c>
      <c r="C10952" s="46">
        <v>940</v>
      </c>
      <c r="D10952" s="69" t="s">
        <v>29418</v>
      </c>
      <c r="E10952" s="51"/>
      <c r="F10952" s="114" t="str">
        <f>IF(INDEX(I.Facility.P2bIDNumber,940)="","",INDEX(I.Facility.P2bIDNumber,940))</f>
        <v/>
      </c>
      <c r="G10952" s="51"/>
      <c r="H10952" s="46" t="str">
        <f>IF(AND(I.Developer.P2b=TRUE,I.Facility.P2bFacilityCount&gt;=940,F10952=""),"Incomplete","Complete")</f>
        <v>Complete</v>
      </c>
      <c r="I10952" s="48" t="s">
        <v>15317</v>
      </c>
    </row>
    <row r="10953" spans="2:9" ht="15" customHeight="1" x14ac:dyDescent="0.25">
      <c r="B10953" s="55" t="s">
        <v>281</v>
      </c>
      <c r="C10953" s="46">
        <v>941</v>
      </c>
      <c r="D10953" s="69" t="s">
        <v>29418</v>
      </c>
      <c r="E10953" s="51"/>
      <c r="F10953" s="114" t="str">
        <f>IF(INDEX(I.Facility.P2bIDNumber,941)="","",INDEX(I.Facility.P2bIDNumber,941))</f>
        <v/>
      </c>
      <c r="G10953" s="51"/>
      <c r="H10953" s="46" t="str">
        <f>IF(AND(I.Developer.P2b=TRUE,I.Facility.P2bFacilityCount&gt;=941,F10953=""),"Incomplete","Complete")</f>
        <v>Complete</v>
      </c>
      <c r="I10953" s="48" t="s">
        <v>15318</v>
      </c>
    </row>
    <row r="10954" spans="2:9" ht="15" customHeight="1" x14ac:dyDescent="0.25">
      <c r="B10954" s="55" t="s">
        <v>281</v>
      </c>
      <c r="C10954" s="46">
        <v>942</v>
      </c>
      <c r="D10954" s="69" t="s">
        <v>29418</v>
      </c>
      <c r="E10954" s="51"/>
      <c r="F10954" s="114" t="str">
        <f>IF(INDEX(I.Facility.P2bIDNumber,942)="","",INDEX(I.Facility.P2bIDNumber,942))</f>
        <v/>
      </c>
      <c r="G10954" s="51"/>
      <c r="H10954" s="46" t="str">
        <f>IF(AND(I.Developer.P2b=TRUE,I.Facility.P2bFacilityCount&gt;=942,F10954=""),"Incomplete","Complete")</f>
        <v>Complete</v>
      </c>
      <c r="I10954" s="48" t="s">
        <v>15319</v>
      </c>
    </row>
    <row r="10955" spans="2:9" ht="15" customHeight="1" x14ac:dyDescent="0.25">
      <c r="B10955" s="55" t="s">
        <v>281</v>
      </c>
      <c r="C10955" s="46">
        <v>943</v>
      </c>
      <c r="D10955" s="69" t="s">
        <v>29418</v>
      </c>
      <c r="E10955" s="51"/>
      <c r="F10955" s="114" t="str">
        <f>IF(INDEX(I.Facility.P2bIDNumber,943)="","",INDEX(I.Facility.P2bIDNumber,943))</f>
        <v/>
      </c>
      <c r="G10955" s="51"/>
      <c r="H10955" s="46" t="str">
        <f>IF(AND(I.Developer.P2b=TRUE,I.Facility.P2bFacilityCount&gt;=943,F10955=""),"Incomplete","Complete")</f>
        <v>Complete</v>
      </c>
      <c r="I10955" s="48" t="s">
        <v>15320</v>
      </c>
    </row>
    <row r="10956" spans="2:9" ht="15" customHeight="1" x14ac:dyDescent="0.25">
      <c r="B10956" s="55" t="s">
        <v>281</v>
      </c>
      <c r="C10956" s="46">
        <v>944</v>
      </c>
      <c r="D10956" s="69" t="s">
        <v>29418</v>
      </c>
      <c r="E10956" s="51"/>
      <c r="F10956" s="114" t="str">
        <f>IF(INDEX(I.Facility.P2bIDNumber,944)="","",INDEX(I.Facility.P2bIDNumber,944))</f>
        <v/>
      </c>
      <c r="G10956" s="51"/>
      <c r="H10956" s="46" t="str">
        <f>IF(AND(I.Developer.P2b=TRUE,I.Facility.P2bFacilityCount&gt;=944,F10956=""),"Incomplete","Complete")</f>
        <v>Complete</v>
      </c>
      <c r="I10956" s="48" t="s">
        <v>15321</v>
      </c>
    </row>
    <row r="10957" spans="2:9" ht="15" customHeight="1" x14ac:dyDescent="0.25">
      <c r="B10957" s="55" t="s">
        <v>281</v>
      </c>
      <c r="C10957" s="46">
        <v>945</v>
      </c>
      <c r="D10957" s="69" t="s">
        <v>29418</v>
      </c>
      <c r="E10957" s="51"/>
      <c r="F10957" s="114" t="str">
        <f>IF(INDEX(I.Facility.P2bIDNumber,945)="","",INDEX(I.Facility.P2bIDNumber,945))</f>
        <v/>
      </c>
      <c r="G10957" s="51"/>
      <c r="H10957" s="46" t="str">
        <f>IF(AND(I.Developer.P2b=TRUE,I.Facility.P2bFacilityCount&gt;=945,F10957=""),"Incomplete","Complete")</f>
        <v>Complete</v>
      </c>
      <c r="I10957" s="48" t="s">
        <v>15322</v>
      </c>
    </row>
    <row r="10958" spans="2:9" ht="15" customHeight="1" x14ac:dyDescent="0.25">
      <c r="B10958" s="55" t="s">
        <v>281</v>
      </c>
      <c r="C10958" s="46">
        <v>946</v>
      </c>
      <c r="D10958" s="69" t="s">
        <v>29418</v>
      </c>
      <c r="E10958" s="51"/>
      <c r="F10958" s="114" t="str">
        <f>IF(INDEX(I.Facility.P2bIDNumber,946)="","",INDEX(I.Facility.P2bIDNumber,946))</f>
        <v/>
      </c>
      <c r="G10958" s="51"/>
      <c r="H10958" s="46" t="str">
        <f>IF(AND(I.Developer.P2b=TRUE,I.Facility.P2bFacilityCount&gt;=946,F10958=""),"Incomplete","Complete")</f>
        <v>Complete</v>
      </c>
      <c r="I10958" s="48" t="s">
        <v>15323</v>
      </c>
    </row>
    <row r="10959" spans="2:9" ht="15" customHeight="1" x14ac:dyDescent="0.25">
      <c r="B10959" s="55" t="s">
        <v>281</v>
      </c>
      <c r="C10959" s="46">
        <v>947</v>
      </c>
      <c r="D10959" s="69" t="s">
        <v>29418</v>
      </c>
      <c r="E10959" s="51"/>
      <c r="F10959" s="114" t="str">
        <f>IF(INDEX(I.Facility.P2bIDNumber,947)="","",INDEX(I.Facility.P2bIDNumber,947))</f>
        <v/>
      </c>
      <c r="G10959" s="51"/>
      <c r="H10959" s="46" t="str">
        <f>IF(AND(I.Developer.P2b=TRUE,I.Facility.P2bFacilityCount&gt;=947,F10959=""),"Incomplete","Complete")</f>
        <v>Complete</v>
      </c>
      <c r="I10959" s="48" t="s">
        <v>15324</v>
      </c>
    </row>
    <row r="10960" spans="2:9" ht="15" customHeight="1" x14ac:dyDescent="0.25">
      <c r="B10960" s="55" t="s">
        <v>281</v>
      </c>
      <c r="C10960" s="46">
        <v>948</v>
      </c>
      <c r="D10960" s="69" t="s">
        <v>29418</v>
      </c>
      <c r="E10960" s="51"/>
      <c r="F10960" s="114" t="str">
        <f>IF(INDEX(I.Facility.P2bIDNumber,948)="","",INDEX(I.Facility.P2bIDNumber,948))</f>
        <v/>
      </c>
      <c r="G10960" s="51"/>
      <c r="H10960" s="46" t="str">
        <f>IF(AND(I.Developer.P2b=TRUE,I.Facility.P2bFacilityCount&gt;=948,F10960=""),"Incomplete","Complete")</f>
        <v>Complete</v>
      </c>
      <c r="I10960" s="48" t="s">
        <v>15325</v>
      </c>
    </row>
    <row r="10961" spans="2:9" ht="15" customHeight="1" x14ac:dyDescent="0.25">
      <c r="B10961" s="55" t="s">
        <v>281</v>
      </c>
      <c r="C10961" s="46">
        <v>949</v>
      </c>
      <c r="D10961" s="69" t="s">
        <v>29418</v>
      </c>
      <c r="E10961" s="51"/>
      <c r="F10961" s="114" t="str">
        <f>IF(INDEX(I.Facility.P2bIDNumber,949)="","",INDEX(I.Facility.P2bIDNumber,949))</f>
        <v/>
      </c>
      <c r="G10961" s="51"/>
      <c r="H10961" s="46" t="str">
        <f>IF(AND(I.Developer.P2b=TRUE,I.Facility.P2bFacilityCount&gt;=949,F10961=""),"Incomplete","Complete")</f>
        <v>Complete</v>
      </c>
      <c r="I10961" s="48" t="s">
        <v>15326</v>
      </c>
    </row>
    <row r="10962" spans="2:9" ht="15" customHeight="1" x14ac:dyDescent="0.25">
      <c r="B10962" s="55" t="s">
        <v>281</v>
      </c>
      <c r="C10962" s="46">
        <v>950</v>
      </c>
      <c r="D10962" s="69" t="s">
        <v>29418</v>
      </c>
      <c r="E10962" s="51"/>
      <c r="F10962" s="114" t="str">
        <f>IF(INDEX(I.Facility.P2bIDNumber,950)="","",INDEX(I.Facility.P2bIDNumber,950))</f>
        <v/>
      </c>
      <c r="G10962" s="51"/>
      <c r="H10962" s="46" t="str">
        <f>IF(AND(I.Developer.P2b=TRUE,I.Facility.P2bFacilityCount&gt;=950,F10962=""),"Incomplete","Complete")</f>
        <v>Complete</v>
      </c>
      <c r="I10962" s="48" t="s">
        <v>15327</v>
      </c>
    </row>
    <row r="10963" spans="2:9" ht="15" customHeight="1" x14ac:dyDescent="0.25">
      <c r="B10963" s="55" t="s">
        <v>281</v>
      </c>
      <c r="C10963" s="46">
        <v>951</v>
      </c>
      <c r="D10963" s="69" t="s">
        <v>29418</v>
      </c>
      <c r="E10963" s="51"/>
      <c r="F10963" s="114" t="str">
        <f>IF(INDEX(I.Facility.P2bIDNumber,951)="","",INDEX(I.Facility.P2bIDNumber,951))</f>
        <v/>
      </c>
      <c r="G10963" s="51"/>
      <c r="H10963" s="46" t="str">
        <f>IF(AND(I.Developer.P2b=TRUE,I.Facility.P2bFacilityCount&gt;=951,F10963=""),"Incomplete","Complete")</f>
        <v>Complete</v>
      </c>
      <c r="I10963" s="48" t="s">
        <v>15328</v>
      </c>
    </row>
    <row r="10964" spans="2:9" ht="15" customHeight="1" x14ac:dyDescent="0.25">
      <c r="B10964" s="55" t="s">
        <v>281</v>
      </c>
      <c r="C10964" s="46">
        <v>952</v>
      </c>
      <c r="D10964" s="69" t="s">
        <v>29418</v>
      </c>
      <c r="E10964" s="51"/>
      <c r="F10964" s="114" t="str">
        <f>IF(INDEX(I.Facility.P2bIDNumber,952)="","",INDEX(I.Facility.P2bIDNumber,952))</f>
        <v/>
      </c>
      <c r="G10964" s="51"/>
      <c r="H10964" s="46" t="str">
        <f>IF(AND(I.Developer.P2b=TRUE,I.Facility.P2bFacilityCount&gt;=952,F10964=""),"Incomplete","Complete")</f>
        <v>Complete</v>
      </c>
      <c r="I10964" s="48" t="s">
        <v>15329</v>
      </c>
    </row>
    <row r="10965" spans="2:9" ht="15" customHeight="1" x14ac:dyDescent="0.25">
      <c r="B10965" s="55" t="s">
        <v>281</v>
      </c>
      <c r="C10965" s="46">
        <v>953</v>
      </c>
      <c r="D10965" s="69" t="s">
        <v>29418</v>
      </c>
      <c r="E10965" s="51"/>
      <c r="F10965" s="114" t="str">
        <f>IF(INDEX(I.Facility.P2bIDNumber,953)="","",INDEX(I.Facility.P2bIDNumber,953))</f>
        <v/>
      </c>
      <c r="G10965" s="51"/>
      <c r="H10965" s="46" t="str">
        <f>IF(AND(I.Developer.P2b=TRUE,I.Facility.P2bFacilityCount&gt;=953,F10965=""),"Incomplete","Complete")</f>
        <v>Complete</v>
      </c>
      <c r="I10965" s="48" t="s">
        <v>15330</v>
      </c>
    </row>
    <row r="10966" spans="2:9" ht="15" customHeight="1" x14ac:dyDescent="0.25">
      <c r="B10966" s="55" t="s">
        <v>281</v>
      </c>
      <c r="C10966" s="46">
        <v>954</v>
      </c>
      <c r="D10966" s="69" t="s">
        <v>29418</v>
      </c>
      <c r="E10966" s="51"/>
      <c r="F10966" s="114" t="str">
        <f>IF(INDEX(I.Facility.P2bIDNumber,954)="","",INDEX(I.Facility.P2bIDNumber,954))</f>
        <v/>
      </c>
      <c r="G10966" s="51"/>
      <c r="H10966" s="46" t="str">
        <f>IF(AND(I.Developer.P2b=TRUE,I.Facility.P2bFacilityCount&gt;=954,F10966=""),"Incomplete","Complete")</f>
        <v>Complete</v>
      </c>
      <c r="I10966" s="48" t="s">
        <v>15331</v>
      </c>
    </row>
    <row r="10967" spans="2:9" ht="15" customHeight="1" x14ac:dyDescent="0.25">
      <c r="B10967" s="55" t="s">
        <v>281</v>
      </c>
      <c r="C10967" s="46">
        <v>955</v>
      </c>
      <c r="D10967" s="69" t="s">
        <v>29418</v>
      </c>
      <c r="E10967" s="51"/>
      <c r="F10967" s="114" t="str">
        <f>IF(INDEX(I.Facility.P2bIDNumber,955)="","",INDEX(I.Facility.P2bIDNumber,955))</f>
        <v/>
      </c>
      <c r="G10967" s="51"/>
      <c r="H10967" s="46" t="str">
        <f>IF(AND(I.Developer.P2b=TRUE,I.Facility.P2bFacilityCount&gt;=955,F10967=""),"Incomplete","Complete")</f>
        <v>Complete</v>
      </c>
      <c r="I10967" s="48" t="s">
        <v>15332</v>
      </c>
    </row>
    <row r="10968" spans="2:9" ht="15" customHeight="1" x14ac:dyDescent="0.25">
      <c r="B10968" s="55" t="s">
        <v>281</v>
      </c>
      <c r="C10968" s="46">
        <v>956</v>
      </c>
      <c r="D10968" s="69" t="s">
        <v>29418</v>
      </c>
      <c r="E10968" s="51"/>
      <c r="F10968" s="114" t="str">
        <f>IF(INDEX(I.Facility.P2bIDNumber,956)="","",INDEX(I.Facility.P2bIDNumber,956))</f>
        <v/>
      </c>
      <c r="G10968" s="51"/>
      <c r="H10968" s="46" t="str">
        <f>IF(AND(I.Developer.P2b=TRUE,I.Facility.P2bFacilityCount&gt;=956,F10968=""),"Incomplete","Complete")</f>
        <v>Complete</v>
      </c>
      <c r="I10968" s="48" t="s">
        <v>15333</v>
      </c>
    </row>
    <row r="10969" spans="2:9" ht="15" customHeight="1" x14ac:dyDescent="0.25">
      <c r="B10969" s="55" t="s">
        <v>281</v>
      </c>
      <c r="C10969" s="46">
        <v>957</v>
      </c>
      <c r="D10969" s="69" t="s">
        <v>29418</v>
      </c>
      <c r="E10969" s="51"/>
      <c r="F10969" s="114" t="str">
        <f>IF(INDEX(I.Facility.P2bIDNumber,957)="","",INDEX(I.Facility.P2bIDNumber,957))</f>
        <v/>
      </c>
      <c r="G10969" s="51"/>
      <c r="H10969" s="46" t="str">
        <f>IF(AND(I.Developer.P2b=TRUE,I.Facility.P2bFacilityCount&gt;=957,F10969=""),"Incomplete","Complete")</f>
        <v>Complete</v>
      </c>
      <c r="I10969" s="48" t="s">
        <v>15334</v>
      </c>
    </row>
    <row r="10970" spans="2:9" ht="15" customHeight="1" x14ac:dyDescent="0.25">
      <c r="B10970" s="55" t="s">
        <v>281</v>
      </c>
      <c r="C10970" s="46">
        <v>958</v>
      </c>
      <c r="D10970" s="69" t="s">
        <v>29418</v>
      </c>
      <c r="E10970" s="51"/>
      <c r="F10970" s="114" t="str">
        <f>IF(INDEX(I.Facility.P2bIDNumber,958)="","",INDEX(I.Facility.P2bIDNumber,958))</f>
        <v/>
      </c>
      <c r="G10970" s="51"/>
      <c r="H10970" s="46" t="str">
        <f>IF(AND(I.Developer.P2b=TRUE,I.Facility.P2bFacilityCount&gt;=958,F10970=""),"Incomplete","Complete")</f>
        <v>Complete</v>
      </c>
      <c r="I10970" s="48" t="s">
        <v>15335</v>
      </c>
    </row>
    <row r="10971" spans="2:9" ht="15" customHeight="1" x14ac:dyDescent="0.25">
      <c r="B10971" s="55" t="s">
        <v>281</v>
      </c>
      <c r="C10971" s="46">
        <v>959</v>
      </c>
      <c r="D10971" s="69" t="s">
        <v>29418</v>
      </c>
      <c r="E10971" s="51"/>
      <c r="F10971" s="114" t="str">
        <f>IF(INDEX(I.Facility.P2bIDNumber,959)="","",INDEX(I.Facility.P2bIDNumber,959))</f>
        <v/>
      </c>
      <c r="G10971" s="51"/>
      <c r="H10971" s="46" t="str">
        <f>IF(AND(I.Developer.P2b=TRUE,I.Facility.P2bFacilityCount&gt;=959,F10971=""),"Incomplete","Complete")</f>
        <v>Complete</v>
      </c>
      <c r="I10971" s="48" t="s">
        <v>15336</v>
      </c>
    </row>
    <row r="10972" spans="2:9" ht="15" customHeight="1" x14ac:dyDescent="0.25">
      <c r="B10972" s="55" t="s">
        <v>281</v>
      </c>
      <c r="C10972" s="46">
        <v>960</v>
      </c>
      <c r="D10972" s="69" t="s">
        <v>29418</v>
      </c>
      <c r="E10972" s="51"/>
      <c r="F10972" s="114" t="str">
        <f>IF(INDEX(I.Facility.P2bIDNumber,960)="","",INDEX(I.Facility.P2bIDNumber,960))</f>
        <v/>
      </c>
      <c r="G10972" s="51"/>
      <c r="H10972" s="46" t="str">
        <f>IF(AND(I.Developer.P2b=TRUE,I.Facility.P2bFacilityCount&gt;=960,F10972=""),"Incomplete","Complete")</f>
        <v>Complete</v>
      </c>
      <c r="I10972" s="48" t="s">
        <v>15337</v>
      </c>
    </row>
    <row r="10973" spans="2:9" ht="15" customHeight="1" x14ac:dyDescent="0.25">
      <c r="B10973" s="55" t="s">
        <v>281</v>
      </c>
      <c r="C10973" s="46">
        <v>961</v>
      </c>
      <c r="D10973" s="69" t="s">
        <v>29418</v>
      </c>
      <c r="E10973" s="51"/>
      <c r="F10973" s="114" t="str">
        <f>IF(INDEX(I.Facility.P2bIDNumber,961)="","",INDEX(I.Facility.P2bIDNumber,961))</f>
        <v/>
      </c>
      <c r="G10973" s="51"/>
      <c r="H10973" s="46" t="str">
        <f>IF(AND(I.Developer.P2b=TRUE,I.Facility.P2bFacilityCount&gt;=961,F10973=""),"Incomplete","Complete")</f>
        <v>Complete</v>
      </c>
      <c r="I10973" s="48" t="s">
        <v>15338</v>
      </c>
    </row>
    <row r="10974" spans="2:9" ht="15" customHeight="1" x14ac:dyDescent="0.25">
      <c r="B10974" s="55" t="s">
        <v>281</v>
      </c>
      <c r="C10974" s="46">
        <v>962</v>
      </c>
      <c r="D10974" s="69" t="s">
        <v>29418</v>
      </c>
      <c r="E10974" s="51"/>
      <c r="F10974" s="114" t="str">
        <f>IF(INDEX(I.Facility.P2bIDNumber,962)="","",INDEX(I.Facility.P2bIDNumber,962))</f>
        <v/>
      </c>
      <c r="G10974" s="51"/>
      <c r="H10974" s="46" t="str">
        <f>IF(AND(I.Developer.P2b=TRUE,I.Facility.P2bFacilityCount&gt;=962,F10974=""),"Incomplete","Complete")</f>
        <v>Complete</v>
      </c>
      <c r="I10974" s="48" t="s">
        <v>15339</v>
      </c>
    </row>
    <row r="10975" spans="2:9" ht="15" customHeight="1" x14ac:dyDescent="0.25">
      <c r="B10975" s="55" t="s">
        <v>281</v>
      </c>
      <c r="C10975" s="46">
        <v>963</v>
      </c>
      <c r="D10975" s="69" t="s">
        <v>29418</v>
      </c>
      <c r="E10975" s="51"/>
      <c r="F10975" s="114" t="str">
        <f>IF(INDEX(I.Facility.P2bIDNumber,963)="","",INDEX(I.Facility.P2bIDNumber,963))</f>
        <v/>
      </c>
      <c r="G10975" s="51"/>
      <c r="H10975" s="46" t="str">
        <f>IF(AND(I.Developer.P2b=TRUE,I.Facility.P2bFacilityCount&gt;=963,F10975=""),"Incomplete","Complete")</f>
        <v>Complete</v>
      </c>
      <c r="I10975" s="48" t="s">
        <v>15340</v>
      </c>
    </row>
    <row r="10976" spans="2:9" ht="15" customHeight="1" x14ac:dyDescent="0.25">
      <c r="B10976" s="55" t="s">
        <v>281</v>
      </c>
      <c r="C10976" s="46">
        <v>964</v>
      </c>
      <c r="D10976" s="69" t="s">
        <v>29418</v>
      </c>
      <c r="E10976" s="51"/>
      <c r="F10976" s="114" t="str">
        <f>IF(INDEX(I.Facility.P2bIDNumber,964)="","",INDEX(I.Facility.P2bIDNumber,964))</f>
        <v/>
      </c>
      <c r="G10976" s="51"/>
      <c r="H10976" s="46" t="str">
        <f>IF(AND(I.Developer.P2b=TRUE,I.Facility.P2bFacilityCount&gt;=964,F10976=""),"Incomplete","Complete")</f>
        <v>Complete</v>
      </c>
      <c r="I10976" s="48" t="s">
        <v>15341</v>
      </c>
    </row>
    <row r="10977" spans="2:9" ht="15" customHeight="1" x14ac:dyDescent="0.25">
      <c r="B10977" s="55" t="s">
        <v>281</v>
      </c>
      <c r="C10977" s="46">
        <v>965</v>
      </c>
      <c r="D10977" s="69" t="s">
        <v>29418</v>
      </c>
      <c r="E10977" s="51"/>
      <c r="F10977" s="114" t="str">
        <f>IF(INDEX(I.Facility.P2bIDNumber,965)="","",INDEX(I.Facility.P2bIDNumber,965))</f>
        <v/>
      </c>
      <c r="G10977" s="51"/>
      <c r="H10977" s="46" t="str">
        <f>IF(AND(I.Developer.P2b=TRUE,I.Facility.P2bFacilityCount&gt;=965,F10977=""),"Incomplete","Complete")</f>
        <v>Complete</v>
      </c>
      <c r="I10977" s="48" t="s">
        <v>15342</v>
      </c>
    </row>
    <row r="10978" spans="2:9" ht="15" customHeight="1" x14ac:dyDescent="0.25">
      <c r="B10978" s="55" t="s">
        <v>281</v>
      </c>
      <c r="C10978" s="46">
        <v>966</v>
      </c>
      <c r="D10978" s="69" t="s">
        <v>29418</v>
      </c>
      <c r="E10978" s="51"/>
      <c r="F10978" s="114" t="str">
        <f>IF(INDEX(I.Facility.P2bIDNumber,966)="","",INDEX(I.Facility.P2bIDNumber,966))</f>
        <v/>
      </c>
      <c r="G10978" s="51"/>
      <c r="H10978" s="46" t="str">
        <f>IF(AND(I.Developer.P2b=TRUE,I.Facility.P2bFacilityCount&gt;=966,F10978=""),"Incomplete","Complete")</f>
        <v>Complete</v>
      </c>
      <c r="I10978" s="48" t="s">
        <v>15343</v>
      </c>
    </row>
    <row r="10979" spans="2:9" ht="15" customHeight="1" x14ac:dyDescent="0.25">
      <c r="B10979" s="55" t="s">
        <v>281</v>
      </c>
      <c r="C10979" s="46">
        <v>967</v>
      </c>
      <c r="D10979" s="69" t="s">
        <v>29418</v>
      </c>
      <c r="E10979" s="51"/>
      <c r="F10979" s="114" t="str">
        <f>IF(INDEX(I.Facility.P2bIDNumber,967)="","",INDEX(I.Facility.P2bIDNumber,967))</f>
        <v/>
      </c>
      <c r="G10979" s="51"/>
      <c r="H10979" s="46" t="str">
        <f>IF(AND(I.Developer.P2b=TRUE,I.Facility.P2bFacilityCount&gt;=967,F10979=""),"Incomplete","Complete")</f>
        <v>Complete</v>
      </c>
      <c r="I10979" s="48" t="s">
        <v>15344</v>
      </c>
    </row>
    <row r="10980" spans="2:9" ht="15" customHeight="1" x14ac:dyDescent="0.25">
      <c r="B10980" s="55" t="s">
        <v>281</v>
      </c>
      <c r="C10980" s="46">
        <v>968</v>
      </c>
      <c r="D10980" s="69" t="s">
        <v>29418</v>
      </c>
      <c r="E10980" s="51"/>
      <c r="F10980" s="114" t="str">
        <f>IF(INDEX(I.Facility.P2bIDNumber,968)="","",INDEX(I.Facility.P2bIDNumber,968))</f>
        <v/>
      </c>
      <c r="G10980" s="51"/>
      <c r="H10980" s="46" t="str">
        <f>IF(AND(I.Developer.P2b=TRUE,I.Facility.P2bFacilityCount&gt;=968,F10980=""),"Incomplete","Complete")</f>
        <v>Complete</v>
      </c>
      <c r="I10980" s="48" t="s">
        <v>15345</v>
      </c>
    </row>
    <row r="10981" spans="2:9" ht="15" customHeight="1" x14ac:dyDescent="0.25">
      <c r="B10981" s="55" t="s">
        <v>281</v>
      </c>
      <c r="C10981" s="46">
        <v>969</v>
      </c>
      <c r="D10981" s="69" t="s">
        <v>29418</v>
      </c>
      <c r="E10981" s="51"/>
      <c r="F10981" s="114" t="str">
        <f>IF(INDEX(I.Facility.P2bIDNumber,969)="","",INDEX(I.Facility.P2bIDNumber,969))</f>
        <v/>
      </c>
      <c r="G10981" s="51"/>
      <c r="H10981" s="46" t="str">
        <f>IF(AND(I.Developer.P2b=TRUE,I.Facility.P2bFacilityCount&gt;=969,F10981=""),"Incomplete","Complete")</f>
        <v>Complete</v>
      </c>
      <c r="I10981" s="48" t="s">
        <v>15346</v>
      </c>
    </row>
    <row r="10982" spans="2:9" ht="15" customHeight="1" x14ac:dyDescent="0.25">
      <c r="B10982" s="55" t="s">
        <v>281</v>
      </c>
      <c r="C10982" s="46">
        <v>970</v>
      </c>
      <c r="D10982" s="69" t="s">
        <v>29418</v>
      </c>
      <c r="E10982" s="51"/>
      <c r="F10982" s="114" t="str">
        <f>IF(INDEX(I.Facility.P2bIDNumber,970)="","",INDEX(I.Facility.P2bIDNumber,970))</f>
        <v/>
      </c>
      <c r="G10982" s="51"/>
      <c r="H10982" s="46" t="str">
        <f>IF(AND(I.Developer.P2b=TRUE,I.Facility.P2bFacilityCount&gt;=970,F10982=""),"Incomplete","Complete")</f>
        <v>Complete</v>
      </c>
      <c r="I10982" s="48" t="s">
        <v>15347</v>
      </c>
    </row>
    <row r="10983" spans="2:9" ht="15" customHeight="1" x14ac:dyDescent="0.25">
      <c r="B10983" s="55" t="s">
        <v>281</v>
      </c>
      <c r="C10983" s="46">
        <v>971</v>
      </c>
      <c r="D10983" s="69" t="s">
        <v>29418</v>
      </c>
      <c r="E10983" s="51"/>
      <c r="F10983" s="114" t="str">
        <f>IF(INDEX(I.Facility.P2bIDNumber,971)="","",INDEX(I.Facility.P2bIDNumber,971))</f>
        <v/>
      </c>
      <c r="G10983" s="51"/>
      <c r="H10983" s="46" t="str">
        <f>IF(AND(I.Developer.P2b=TRUE,I.Facility.P2bFacilityCount&gt;=971,F10983=""),"Incomplete","Complete")</f>
        <v>Complete</v>
      </c>
      <c r="I10983" s="48" t="s">
        <v>15348</v>
      </c>
    </row>
    <row r="10984" spans="2:9" ht="15" customHeight="1" x14ac:dyDescent="0.25">
      <c r="B10984" s="55" t="s">
        <v>281</v>
      </c>
      <c r="C10984" s="46">
        <v>972</v>
      </c>
      <c r="D10984" s="69" t="s">
        <v>29418</v>
      </c>
      <c r="E10984" s="51"/>
      <c r="F10984" s="114" t="str">
        <f>IF(INDEX(I.Facility.P2bIDNumber,972)="","",INDEX(I.Facility.P2bIDNumber,972))</f>
        <v/>
      </c>
      <c r="G10984" s="51"/>
      <c r="H10984" s="46" t="str">
        <f>IF(AND(I.Developer.P2b=TRUE,I.Facility.P2bFacilityCount&gt;=972,F10984=""),"Incomplete","Complete")</f>
        <v>Complete</v>
      </c>
      <c r="I10984" s="48" t="s">
        <v>15349</v>
      </c>
    </row>
    <row r="10985" spans="2:9" ht="15" customHeight="1" x14ac:dyDescent="0.25">
      <c r="B10985" s="55" t="s">
        <v>281</v>
      </c>
      <c r="C10985" s="46">
        <v>973</v>
      </c>
      <c r="D10985" s="69" t="s">
        <v>29418</v>
      </c>
      <c r="E10985" s="51"/>
      <c r="F10985" s="114" t="str">
        <f>IF(INDEX(I.Facility.P2bIDNumber,973)="","",INDEX(I.Facility.P2bIDNumber,973))</f>
        <v/>
      </c>
      <c r="G10985" s="51"/>
      <c r="H10985" s="46" t="str">
        <f>IF(AND(I.Developer.P2b=TRUE,I.Facility.P2bFacilityCount&gt;=973,F10985=""),"Incomplete","Complete")</f>
        <v>Complete</v>
      </c>
      <c r="I10985" s="48" t="s">
        <v>15350</v>
      </c>
    </row>
    <row r="10986" spans="2:9" ht="15" customHeight="1" x14ac:dyDescent="0.25">
      <c r="B10986" s="55" t="s">
        <v>281</v>
      </c>
      <c r="C10986" s="46">
        <v>974</v>
      </c>
      <c r="D10986" s="69" t="s">
        <v>29418</v>
      </c>
      <c r="E10986" s="51"/>
      <c r="F10986" s="114" t="str">
        <f>IF(INDEX(I.Facility.P2bIDNumber,974)="","",INDEX(I.Facility.P2bIDNumber,974))</f>
        <v/>
      </c>
      <c r="G10986" s="51"/>
      <c r="H10986" s="46" t="str">
        <f>IF(AND(I.Developer.P2b=TRUE,I.Facility.P2bFacilityCount&gt;=974,F10986=""),"Incomplete","Complete")</f>
        <v>Complete</v>
      </c>
      <c r="I10986" s="48" t="s">
        <v>15351</v>
      </c>
    </row>
    <row r="10987" spans="2:9" ht="15" customHeight="1" x14ac:dyDescent="0.25">
      <c r="B10987" s="55" t="s">
        <v>281</v>
      </c>
      <c r="C10987" s="46">
        <v>975</v>
      </c>
      <c r="D10987" s="69" t="s">
        <v>29418</v>
      </c>
      <c r="E10987" s="51"/>
      <c r="F10987" s="114" t="str">
        <f>IF(INDEX(I.Facility.P2bIDNumber,975)="","",INDEX(I.Facility.P2bIDNumber,975))</f>
        <v/>
      </c>
      <c r="G10987" s="51"/>
      <c r="H10987" s="46" t="str">
        <f>IF(AND(I.Developer.P2b=TRUE,I.Facility.P2bFacilityCount&gt;=975,F10987=""),"Incomplete","Complete")</f>
        <v>Complete</v>
      </c>
      <c r="I10987" s="48" t="s">
        <v>15352</v>
      </c>
    </row>
    <row r="10988" spans="2:9" ht="15" customHeight="1" x14ac:dyDescent="0.25">
      <c r="B10988" s="55" t="s">
        <v>281</v>
      </c>
      <c r="C10988" s="46">
        <v>976</v>
      </c>
      <c r="D10988" s="69" t="s">
        <v>29418</v>
      </c>
      <c r="E10988" s="51"/>
      <c r="F10988" s="114" t="str">
        <f>IF(INDEX(I.Facility.P2bIDNumber,976)="","",INDEX(I.Facility.P2bIDNumber,976))</f>
        <v/>
      </c>
      <c r="G10988" s="51"/>
      <c r="H10988" s="46" t="str">
        <f>IF(AND(I.Developer.P2b=TRUE,I.Facility.P2bFacilityCount&gt;=976,F10988=""),"Incomplete","Complete")</f>
        <v>Complete</v>
      </c>
      <c r="I10988" s="48" t="s">
        <v>15353</v>
      </c>
    </row>
    <row r="10989" spans="2:9" ht="15" customHeight="1" x14ac:dyDescent="0.25">
      <c r="B10989" s="55" t="s">
        <v>281</v>
      </c>
      <c r="C10989" s="46">
        <v>977</v>
      </c>
      <c r="D10989" s="69" t="s">
        <v>29418</v>
      </c>
      <c r="E10989" s="51"/>
      <c r="F10989" s="114" t="str">
        <f>IF(INDEX(I.Facility.P2bIDNumber,977)="","",INDEX(I.Facility.P2bIDNumber,977))</f>
        <v/>
      </c>
      <c r="G10989" s="51"/>
      <c r="H10989" s="46" t="str">
        <f>IF(AND(I.Developer.P2b=TRUE,I.Facility.P2bFacilityCount&gt;=977,F10989=""),"Incomplete","Complete")</f>
        <v>Complete</v>
      </c>
      <c r="I10989" s="48" t="s">
        <v>15354</v>
      </c>
    </row>
    <row r="10990" spans="2:9" ht="15" customHeight="1" x14ac:dyDescent="0.25">
      <c r="B10990" s="55" t="s">
        <v>281</v>
      </c>
      <c r="C10990" s="46">
        <v>978</v>
      </c>
      <c r="D10990" s="69" t="s">
        <v>29418</v>
      </c>
      <c r="E10990" s="51"/>
      <c r="F10990" s="114" t="str">
        <f>IF(INDEX(I.Facility.P2bIDNumber,978)="","",INDEX(I.Facility.P2bIDNumber,978))</f>
        <v/>
      </c>
      <c r="G10990" s="51"/>
      <c r="H10990" s="46" t="str">
        <f>IF(AND(I.Developer.P2b=TRUE,I.Facility.P2bFacilityCount&gt;=978,F10990=""),"Incomplete","Complete")</f>
        <v>Complete</v>
      </c>
      <c r="I10990" s="48" t="s">
        <v>15355</v>
      </c>
    </row>
    <row r="10991" spans="2:9" ht="15" customHeight="1" x14ac:dyDescent="0.25">
      <c r="B10991" s="55" t="s">
        <v>281</v>
      </c>
      <c r="C10991" s="46">
        <v>979</v>
      </c>
      <c r="D10991" s="69" t="s">
        <v>29418</v>
      </c>
      <c r="E10991" s="51"/>
      <c r="F10991" s="114" t="str">
        <f>IF(INDEX(I.Facility.P2bIDNumber,979)="","",INDEX(I.Facility.P2bIDNumber,979))</f>
        <v/>
      </c>
      <c r="G10991" s="51"/>
      <c r="H10991" s="46" t="str">
        <f>IF(AND(I.Developer.P2b=TRUE,I.Facility.P2bFacilityCount&gt;=979,F10991=""),"Incomplete","Complete")</f>
        <v>Complete</v>
      </c>
      <c r="I10991" s="48" t="s">
        <v>15356</v>
      </c>
    </row>
    <row r="10992" spans="2:9" ht="15" customHeight="1" x14ac:dyDescent="0.25">
      <c r="B10992" s="55" t="s">
        <v>281</v>
      </c>
      <c r="C10992" s="46">
        <v>980</v>
      </c>
      <c r="D10992" s="69" t="s">
        <v>29418</v>
      </c>
      <c r="E10992" s="51"/>
      <c r="F10992" s="114" t="str">
        <f>IF(INDEX(I.Facility.P2bIDNumber,980)="","",INDEX(I.Facility.P2bIDNumber,980))</f>
        <v/>
      </c>
      <c r="G10992" s="51"/>
      <c r="H10992" s="46" t="str">
        <f>IF(AND(I.Developer.P2b=TRUE,I.Facility.P2bFacilityCount&gt;=980,F10992=""),"Incomplete","Complete")</f>
        <v>Complete</v>
      </c>
      <c r="I10992" s="48" t="s">
        <v>15357</v>
      </c>
    </row>
    <row r="10993" spans="2:9" ht="15" customHeight="1" x14ac:dyDescent="0.25">
      <c r="B10993" s="55" t="s">
        <v>281</v>
      </c>
      <c r="C10993" s="46">
        <v>981</v>
      </c>
      <c r="D10993" s="69" t="s">
        <v>29418</v>
      </c>
      <c r="E10993" s="51"/>
      <c r="F10993" s="114" t="str">
        <f>IF(INDEX(I.Facility.P2bIDNumber,981)="","",INDEX(I.Facility.P2bIDNumber,981))</f>
        <v/>
      </c>
      <c r="G10993" s="51"/>
      <c r="H10993" s="46" t="str">
        <f>IF(AND(I.Developer.P2b=TRUE,I.Facility.P2bFacilityCount&gt;=981,F10993=""),"Incomplete","Complete")</f>
        <v>Complete</v>
      </c>
      <c r="I10993" s="48" t="s">
        <v>15358</v>
      </c>
    </row>
    <row r="10994" spans="2:9" ht="15" customHeight="1" x14ac:dyDescent="0.25">
      <c r="B10994" s="55" t="s">
        <v>281</v>
      </c>
      <c r="C10994" s="46">
        <v>982</v>
      </c>
      <c r="D10994" s="69" t="s">
        <v>29418</v>
      </c>
      <c r="E10994" s="51"/>
      <c r="F10994" s="114" t="str">
        <f>IF(INDEX(I.Facility.P2bIDNumber,982)="","",INDEX(I.Facility.P2bIDNumber,982))</f>
        <v/>
      </c>
      <c r="G10994" s="51"/>
      <c r="H10994" s="46" t="str">
        <f>IF(AND(I.Developer.P2b=TRUE,I.Facility.P2bFacilityCount&gt;=982,F10994=""),"Incomplete","Complete")</f>
        <v>Complete</v>
      </c>
      <c r="I10994" s="48" t="s">
        <v>15359</v>
      </c>
    </row>
    <row r="10995" spans="2:9" ht="15" customHeight="1" x14ac:dyDescent="0.25">
      <c r="B10995" s="55" t="s">
        <v>281</v>
      </c>
      <c r="C10995" s="46">
        <v>983</v>
      </c>
      <c r="D10995" s="69" t="s">
        <v>29418</v>
      </c>
      <c r="E10995" s="51"/>
      <c r="F10995" s="114" t="str">
        <f>IF(INDEX(I.Facility.P2bIDNumber,983)="","",INDEX(I.Facility.P2bIDNumber,983))</f>
        <v/>
      </c>
      <c r="G10995" s="51"/>
      <c r="H10995" s="46" t="str">
        <f>IF(AND(I.Developer.P2b=TRUE,I.Facility.P2bFacilityCount&gt;=983,F10995=""),"Incomplete","Complete")</f>
        <v>Complete</v>
      </c>
      <c r="I10995" s="48" t="s">
        <v>15360</v>
      </c>
    </row>
    <row r="10996" spans="2:9" ht="15" customHeight="1" x14ac:dyDescent="0.25">
      <c r="B10996" s="55" t="s">
        <v>281</v>
      </c>
      <c r="C10996" s="46">
        <v>984</v>
      </c>
      <c r="D10996" s="69" t="s">
        <v>29418</v>
      </c>
      <c r="E10996" s="51"/>
      <c r="F10996" s="114" t="str">
        <f>IF(INDEX(I.Facility.P2bIDNumber,984)="","",INDEX(I.Facility.P2bIDNumber,984))</f>
        <v/>
      </c>
      <c r="G10996" s="51"/>
      <c r="H10996" s="46" t="str">
        <f>IF(AND(I.Developer.P2b=TRUE,I.Facility.P2bFacilityCount&gt;=984,F10996=""),"Incomplete","Complete")</f>
        <v>Complete</v>
      </c>
      <c r="I10996" s="48" t="s">
        <v>15361</v>
      </c>
    </row>
    <row r="10997" spans="2:9" ht="15" customHeight="1" x14ac:dyDescent="0.25">
      <c r="B10997" s="55" t="s">
        <v>281</v>
      </c>
      <c r="C10997" s="46">
        <v>985</v>
      </c>
      <c r="D10997" s="69" t="s">
        <v>29418</v>
      </c>
      <c r="E10997" s="51"/>
      <c r="F10997" s="114" t="str">
        <f>IF(INDEX(I.Facility.P2bIDNumber,985)="","",INDEX(I.Facility.P2bIDNumber,985))</f>
        <v/>
      </c>
      <c r="G10997" s="51"/>
      <c r="H10997" s="46" t="str">
        <f>IF(AND(I.Developer.P2b=TRUE,I.Facility.P2bFacilityCount&gt;=985,F10997=""),"Incomplete","Complete")</f>
        <v>Complete</v>
      </c>
      <c r="I10997" s="48" t="s">
        <v>15362</v>
      </c>
    </row>
    <row r="10998" spans="2:9" ht="15" customHeight="1" x14ac:dyDescent="0.25">
      <c r="B10998" s="55" t="s">
        <v>281</v>
      </c>
      <c r="C10998" s="46">
        <v>986</v>
      </c>
      <c r="D10998" s="69" t="s">
        <v>29418</v>
      </c>
      <c r="E10998" s="51"/>
      <c r="F10998" s="114" t="str">
        <f>IF(INDEX(I.Facility.P2bIDNumber,986)="","",INDEX(I.Facility.P2bIDNumber,986))</f>
        <v/>
      </c>
      <c r="G10998" s="51"/>
      <c r="H10998" s="46" t="str">
        <f>IF(AND(I.Developer.P2b=TRUE,I.Facility.P2bFacilityCount&gt;=986,F10998=""),"Incomplete","Complete")</f>
        <v>Complete</v>
      </c>
      <c r="I10998" s="48" t="s">
        <v>15363</v>
      </c>
    </row>
    <row r="10999" spans="2:9" ht="15" customHeight="1" x14ac:dyDescent="0.25">
      <c r="B10999" s="55" t="s">
        <v>281</v>
      </c>
      <c r="C10999" s="46">
        <v>987</v>
      </c>
      <c r="D10999" s="69" t="s">
        <v>29418</v>
      </c>
      <c r="E10999" s="51"/>
      <c r="F10999" s="114" t="str">
        <f>IF(INDEX(I.Facility.P2bIDNumber,987)="","",INDEX(I.Facility.P2bIDNumber,987))</f>
        <v/>
      </c>
      <c r="G10999" s="51"/>
      <c r="H10999" s="46" t="str">
        <f>IF(AND(I.Developer.P2b=TRUE,I.Facility.P2bFacilityCount&gt;=987,F10999=""),"Incomplete","Complete")</f>
        <v>Complete</v>
      </c>
      <c r="I10999" s="48" t="s">
        <v>15364</v>
      </c>
    </row>
    <row r="11000" spans="2:9" ht="15" customHeight="1" x14ac:dyDescent="0.25">
      <c r="B11000" s="55" t="s">
        <v>281</v>
      </c>
      <c r="C11000" s="46">
        <v>988</v>
      </c>
      <c r="D11000" s="69" t="s">
        <v>29418</v>
      </c>
      <c r="E11000" s="51"/>
      <c r="F11000" s="114" t="str">
        <f>IF(INDEX(I.Facility.P2bIDNumber,988)="","",INDEX(I.Facility.P2bIDNumber,988))</f>
        <v/>
      </c>
      <c r="G11000" s="51"/>
      <c r="H11000" s="46" t="str">
        <f>IF(AND(I.Developer.P2b=TRUE,I.Facility.P2bFacilityCount&gt;=988,F11000=""),"Incomplete","Complete")</f>
        <v>Complete</v>
      </c>
      <c r="I11000" s="48" t="s">
        <v>15365</v>
      </c>
    </row>
    <row r="11001" spans="2:9" ht="15" customHeight="1" x14ac:dyDescent="0.25">
      <c r="B11001" s="55" t="s">
        <v>281</v>
      </c>
      <c r="C11001" s="46">
        <v>989</v>
      </c>
      <c r="D11001" s="69" t="s">
        <v>29418</v>
      </c>
      <c r="E11001" s="51"/>
      <c r="F11001" s="114" t="str">
        <f>IF(INDEX(I.Facility.P2bIDNumber,989)="","",INDEX(I.Facility.P2bIDNumber,989))</f>
        <v/>
      </c>
      <c r="G11001" s="51"/>
      <c r="H11001" s="46" t="str">
        <f>IF(AND(I.Developer.P2b=TRUE,I.Facility.P2bFacilityCount&gt;=989,F11001=""),"Incomplete","Complete")</f>
        <v>Complete</v>
      </c>
      <c r="I11001" s="48" t="s">
        <v>15366</v>
      </c>
    </row>
    <row r="11002" spans="2:9" ht="15" customHeight="1" x14ac:dyDescent="0.25">
      <c r="B11002" s="55" t="s">
        <v>281</v>
      </c>
      <c r="C11002" s="46">
        <v>990</v>
      </c>
      <c r="D11002" s="69" t="s">
        <v>29418</v>
      </c>
      <c r="E11002" s="51"/>
      <c r="F11002" s="114" t="str">
        <f>IF(INDEX(I.Facility.P2bIDNumber,990)="","",INDEX(I.Facility.P2bIDNumber,990))</f>
        <v/>
      </c>
      <c r="G11002" s="51"/>
      <c r="H11002" s="46" t="str">
        <f>IF(AND(I.Developer.P2b=TRUE,I.Facility.P2bFacilityCount&gt;=990,F11002=""),"Incomplete","Complete")</f>
        <v>Complete</v>
      </c>
      <c r="I11002" s="48" t="s">
        <v>15367</v>
      </c>
    </row>
    <row r="11003" spans="2:9" ht="15" customHeight="1" x14ac:dyDescent="0.25">
      <c r="B11003" s="55" t="s">
        <v>281</v>
      </c>
      <c r="C11003" s="46">
        <v>991</v>
      </c>
      <c r="D11003" s="69" t="s">
        <v>29418</v>
      </c>
      <c r="E11003" s="51"/>
      <c r="F11003" s="114" t="str">
        <f>IF(INDEX(I.Facility.P2bIDNumber,991)="","",INDEX(I.Facility.P2bIDNumber,991))</f>
        <v/>
      </c>
      <c r="G11003" s="51"/>
      <c r="H11003" s="46" t="str">
        <f>IF(AND(I.Developer.P2b=TRUE,I.Facility.P2bFacilityCount&gt;=991,F11003=""),"Incomplete","Complete")</f>
        <v>Complete</v>
      </c>
      <c r="I11003" s="48" t="s">
        <v>15368</v>
      </c>
    </row>
    <row r="11004" spans="2:9" ht="15" customHeight="1" x14ac:dyDescent="0.25">
      <c r="B11004" s="55" t="s">
        <v>281</v>
      </c>
      <c r="C11004" s="46">
        <v>992</v>
      </c>
      <c r="D11004" s="69" t="s">
        <v>29418</v>
      </c>
      <c r="E11004" s="51"/>
      <c r="F11004" s="114" t="str">
        <f>IF(INDEX(I.Facility.P2bIDNumber,992)="","",INDEX(I.Facility.P2bIDNumber,992))</f>
        <v/>
      </c>
      <c r="G11004" s="51"/>
      <c r="H11004" s="46" t="str">
        <f>IF(AND(I.Developer.P2b=TRUE,I.Facility.P2bFacilityCount&gt;=992,F11004=""),"Incomplete","Complete")</f>
        <v>Complete</v>
      </c>
      <c r="I11004" s="48" t="s">
        <v>15369</v>
      </c>
    </row>
    <row r="11005" spans="2:9" ht="15" customHeight="1" x14ac:dyDescent="0.25">
      <c r="B11005" s="55" t="s">
        <v>281</v>
      </c>
      <c r="C11005" s="46">
        <v>993</v>
      </c>
      <c r="D11005" s="69" t="s">
        <v>29418</v>
      </c>
      <c r="E11005" s="51"/>
      <c r="F11005" s="114" t="str">
        <f>IF(INDEX(I.Facility.P2bIDNumber,993)="","",INDEX(I.Facility.P2bIDNumber,993))</f>
        <v/>
      </c>
      <c r="G11005" s="51"/>
      <c r="H11005" s="46" t="str">
        <f>IF(AND(I.Developer.P2b=TRUE,I.Facility.P2bFacilityCount&gt;=993,F11005=""),"Incomplete","Complete")</f>
        <v>Complete</v>
      </c>
      <c r="I11005" s="48" t="s">
        <v>15370</v>
      </c>
    </row>
    <row r="11006" spans="2:9" ht="15" customHeight="1" x14ac:dyDescent="0.25">
      <c r="B11006" s="55" t="s">
        <v>281</v>
      </c>
      <c r="C11006" s="46">
        <v>994</v>
      </c>
      <c r="D11006" s="69" t="s">
        <v>29418</v>
      </c>
      <c r="E11006" s="51"/>
      <c r="F11006" s="114" t="str">
        <f>IF(INDEX(I.Facility.P2bIDNumber,994)="","",INDEX(I.Facility.P2bIDNumber,994))</f>
        <v/>
      </c>
      <c r="G11006" s="51"/>
      <c r="H11006" s="46" t="str">
        <f>IF(AND(I.Developer.P2b=TRUE,I.Facility.P2bFacilityCount&gt;=994,F11006=""),"Incomplete","Complete")</f>
        <v>Complete</v>
      </c>
      <c r="I11006" s="48" t="s">
        <v>15371</v>
      </c>
    </row>
    <row r="11007" spans="2:9" ht="15" customHeight="1" x14ac:dyDescent="0.25">
      <c r="B11007" s="55" t="s">
        <v>281</v>
      </c>
      <c r="C11007" s="46">
        <v>995</v>
      </c>
      <c r="D11007" s="69" t="s">
        <v>29418</v>
      </c>
      <c r="E11007" s="51"/>
      <c r="F11007" s="114" t="str">
        <f>IF(INDEX(I.Facility.P2bIDNumber,995)="","",INDEX(I.Facility.P2bIDNumber,995))</f>
        <v/>
      </c>
      <c r="G11007" s="51"/>
      <c r="H11007" s="46" t="str">
        <f>IF(AND(I.Developer.P2b=TRUE,I.Facility.P2bFacilityCount&gt;=995,F11007=""),"Incomplete","Complete")</f>
        <v>Complete</v>
      </c>
      <c r="I11007" s="48" t="s">
        <v>15372</v>
      </c>
    </row>
    <row r="11008" spans="2:9" ht="15" customHeight="1" x14ac:dyDescent="0.25">
      <c r="B11008" s="55" t="s">
        <v>281</v>
      </c>
      <c r="C11008" s="46">
        <v>996</v>
      </c>
      <c r="D11008" s="69" t="s">
        <v>29418</v>
      </c>
      <c r="E11008" s="51"/>
      <c r="F11008" s="114" t="str">
        <f>IF(INDEX(I.Facility.P2bIDNumber,996)="","",INDEX(I.Facility.P2bIDNumber,996))</f>
        <v/>
      </c>
      <c r="G11008" s="51"/>
      <c r="H11008" s="46" t="str">
        <f>IF(AND(I.Developer.P2b=TRUE,I.Facility.P2bFacilityCount&gt;=996,F11008=""),"Incomplete","Complete")</f>
        <v>Complete</v>
      </c>
      <c r="I11008" s="48" t="s">
        <v>15373</v>
      </c>
    </row>
    <row r="11009" spans="2:9" ht="15" customHeight="1" x14ac:dyDescent="0.25">
      <c r="B11009" s="55" t="s">
        <v>281</v>
      </c>
      <c r="C11009" s="46">
        <v>997</v>
      </c>
      <c r="D11009" s="69" t="s">
        <v>29418</v>
      </c>
      <c r="E11009" s="51"/>
      <c r="F11009" s="114" t="str">
        <f>IF(INDEX(I.Facility.P2bIDNumber,997)="","",INDEX(I.Facility.P2bIDNumber,997))</f>
        <v/>
      </c>
      <c r="G11009" s="51"/>
      <c r="H11009" s="46" t="str">
        <f>IF(AND(I.Developer.P2b=TRUE,I.Facility.P2bFacilityCount&gt;=997,F11009=""),"Incomplete","Complete")</f>
        <v>Complete</v>
      </c>
      <c r="I11009" s="48" t="s">
        <v>15374</v>
      </c>
    </row>
    <row r="11010" spans="2:9" ht="15" customHeight="1" x14ac:dyDescent="0.25">
      <c r="B11010" s="55" t="s">
        <v>281</v>
      </c>
      <c r="C11010" s="46">
        <v>998</v>
      </c>
      <c r="D11010" s="69" t="s">
        <v>29418</v>
      </c>
      <c r="E11010" s="51"/>
      <c r="F11010" s="114" t="str">
        <f>IF(INDEX(I.Facility.P2bIDNumber,998)="","",INDEX(I.Facility.P2bIDNumber,998))</f>
        <v/>
      </c>
      <c r="G11010" s="51"/>
      <c r="H11010" s="46" t="str">
        <f>IF(AND(I.Developer.P2b=TRUE,I.Facility.P2bFacilityCount&gt;=998,F11010=""),"Incomplete","Complete")</f>
        <v>Complete</v>
      </c>
      <c r="I11010" s="48" t="s">
        <v>15375</v>
      </c>
    </row>
    <row r="11011" spans="2:9" ht="15" customHeight="1" x14ac:dyDescent="0.25">
      <c r="B11011" s="55" t="s">
        <v>281</v>
      </c>
      <c r="C11011" s="46">
        <v>999</v>
      </c>
      <c r="D11011" s="69" t="s">
        <v>29418</v>
      </c>
      <c r="E11011" s="51"/>
      <c r="F11011" s="114" t="str">
        <f>IF(INDEX(I.Facility.P2bIDNumber,999)="","",INDEX(I.Facility.P2bIDNumber,999))</f>
        <v/>
      </c>
      <c r="G11011" s="51"/>
      <c r="H11011" s="46" t="str">
        <f>IF(AND(I.Developer.P2b=TRUE,I.Facility.P2bFacilityCount&gt;=999,F11011=""),"Incomplete","Complete")</f>
        <v>Complete</v>
      </c>
      <c r="I11011" s="48" t="s">
        <v>15376</v>
      </c>
    </row>
    <row r="11012" spans="2:9" ht="15" customHeight="1" x14ac:dyDescent="0.25">
      <c r="B11012" s="55" t="s">
        <v>281</v>
      </c>
      <c r="C11012" s="46">
        <v>1000</v>
      </c>
      <c r="D11012" s="69" t="s">
        <v>29418</v>
      </c>
      <c r="E11012" s="51"/>
      <c r="F11012" s="114" t="str">
        <f>IF(INDEX(I.Facility.P2bIDNumber,1000)="","",INDEX(I.Facility.P2bIDNumber,1000))</f>
        <v/>
      </c>
      <c r="G11012" s="51"/>
      <c r="H11012" s="46" t="str">
        <f>IF(AND(I.Developer.P2b=TRUE,I.Facility.P2bFacilityCount&gt;=1000,F11012=""),"Incomplete","Complete")</f>
        <v>Complete</v>
      </c>
      <c r="I11012" s="48" t="s">
        <v>15377</v>
      </c>
    </row>
    <row r="11013" spans="2:9" ht="15" customHeight="1" x14ac:dyDescent="0.25">
      <c r="B11013" s="55" t="s">
        <v>281</v>
      </c>
      <c r="C11013" s="46">
        <v>1001</v>
      </c>
      <c r="D11013" s="69" t="s">
        <v>29418</v>
      </c>
      <c r="E11013" s="51"/>
      <c r="F11013" s="114" t="str">
        <f>IF(INDEX(I.Facility.P2bIDNumber,1001)="","",INDEX(I.Facility.P2bIDNumber,1001))</f>
        <v/>
      </c>
      <c r="G11013" s="51"/>
      <c r="H11013" s="46" t="str">
        <f>IF(AND(I.Developer.P2b=TRUE,I.Facility.P2bFacilityCount&gt;=1001,F11013=""),"Incomplete","Complete")</f>
        <v>Complete</v>
      </c>
      <c r="I11013" s="48" t="s">
        <v>15378</v>
      </c>
    </row>
    <row r="11014" spans="2:9" ht="15" customHeight="1" x14ac:dyDescent="0.25">
      <c r="B11014" s="55" t="s">
        <v>281</v>
      </c>
      <c r="C11014" s="46">
        <v>1002</v>
      </c>
      <c r="D11014" s="69" t="s">
        <v>29418</v>
      </c>
      <c r="E11014" s="51"/>
      <c r="F11014" s="114" t="str">
        <f>IF(INDEX(I.Facility.P2bIDNumber,1002)="","",INDEX(I.Facility.P2bIDNumber,1002))</f>
        <v/>
      </c>
      <c r="G11014" s="51"/>
      <c r="H11014" s="46" t="str">
        <f>IF(AND(I.Developer.P2b=TRUE,I.Facility.P2bFacilityCount&gt;=1002,F11014=""),"Incomplete","Complete")</f>
        <v>Complete</v>
      </c>
      <c r="I11014" s="48" t="s">
        <v>15379</v>
      </c>
    </row>
    <row r="11015" spans="2:9" ht="15" customHeight="1" x14ac:dyDescent="0.25">
      <c r="B11015" s="55" t="s">
        <v>281</v>
      </c>
      <c r="C11015" s="46">
        <v>1003</v>
      </c>
      <c r="D11015" s="69" t="s">
        <v>29418</v>
      </c>
      <c r="E11015" s="51"/>
      <c r="F11015" s="114" t="str">
        <f>IF(INDEX(I.Facility.P2bIDNumber,1003)="","",INDEX(I.Facility.P2bIDNumber,1003))</f>
        <v/>
      </c>
      <c r="G11015" s="51"/>
      <c r="H11015" s="46" t="str">
        <f>IF(AND(I.Developer.P2b=TRUE,I.Facility.P2bFacilityCount&gt;=1003,F11015=""),"Incomplete","Complete")</f>
        <v>Complete</v>
      </c>
      <c r="I11015" s="48" t="s">
        <v>15380</v>
      </c>
    </row>
    <row r="11016" spans="2:9" ht="15" customHeight="1" x14ac:dyDescent="0.25">
      <c r="B11016" s="55" t="s">
        <v>281</v>
      </c>
      <c r="C11016" s="46">
        <v>1004</v>
      </c>
      <c r="D11016" s="69" t="s">
        <v>29418</v>
      </c>
      <c r="E11016" s="51"/>
      <c r="F11016" s="114" t="str">
        <f>IF(INDEX(I.Facility.P2bIDNumber,1004)="","",INDEX(I.Facility.P2bIDNumber,1004))</f>
        <v/>
      </c>
      <c r="G11016" s="51"/>
      <c r="H11016" s="46" t="str">
        <f>IF(AND(I.Developer.P2b=TRUE,I.Facility.P2bFacilityCount&gt;=1004,F11016=""),"Incomplete","Complete")</f>
        <v>Complete</v>
      </c>
      <c r="I11016" s="48" t="s">
        <v>15381</v>
      </c>
    </row>
    <row r="11017" spans="2:9" ht="15" customHeight="1" x14ac:dyDescent="0.25">
      <c r="B11017" s="55" t="s">
        <v>281</v>
      </c>
      <c r="C11017" s="46">
        <v>1005</v>
      </c>
      <c r="D11017" s="69" t="s">
        <v>29418</v>
      </c>
      <c r="E11017" s="51"/>
      <c r="F11017" s="114" t="str">
        <f>IF(INDEX(I.Facility.P2bIDNumber,1005)="","",INDEX(I.Facility.P2bIDNumber,1005))</f>
        <v/>
      </c>
      <c r="G11017" s="51"/>
      <c r="H11017" s="46" t="str">
        <f>IF(AND(I.Developer.P2b=TRUE,I.Facility.P2bFacilityCount&gt;=1005,F11017=""),"Incomplete","Complete")</f>
        <v>Complete</v>
      </c>
      <c r="I11017" s="48" t="s">
        <v>15382</v>
      </c>
    </row>
    <row r="11018" spans="2:9" ht="15" customHeight="1" x14ac:dyDescent="0.25">
      <c r="B11018" s="55" t="s">
        <v>281</v>
      </c>
      <c r="C11018" s="46">
        <v>1006</v>
      </c>
      <c r="D11018" s="69" t="s">
        <v>29418</v>
      </c>
      <c r="E11018" s="51"/>
      <c r="F11018" s="114" t="str">
        <f>IF(INDEX(I.Facility.P2bIDNumber,1006)="","",INDEX(I.Facility.P2bIDNumber,1006))</f>
        <v/>
      </c>
      <c r="G11018" s="51"/>
      <c r="H11018" s="46" t="str">
        <f>IF(AND(I.Developer.P2b=TRUE,I.Facility.P2bFacilityCount&gt;=1006,F11018=""),"Incomplete","Complete")</f>
        <v>Complete</v>
      </c>
      <c r="I11018" s="48" t="s">
        <v>15383</v>
      </c>
    </row>
    <row r="11019" spans="2:9" ht="15" customHeight="1" x14ac:dyDescent="0.25">
      <c r="B11019" s="55" t="s">
        <v>281</v>
      </c>
      <c r="C11019" s="46">
        <v>1007</v>
      </c>
      <c r="D11019" s="69" t="s">
        <v>29418</v>
      </c>
      <c r="E11019" s="51"/>
      <c r="F11019" s="114" t="str">
        <f>IF(INDEX(I.Facility.P2bIDNumber,1007)="","",INDEX(I.Facility.P2bIDNumber,1007))</f>
        <v/>
      </c>
      <c r="G11019" s="51"/>
      <c r="H11019" s="46" t="str">
        <f>IF(AND(I.Developer.P2b=TRUE,I.Facility.P2bFacilityCount&gt;=1007,F11019=""),"Incomplete","Complete")</f>
        <v>Complete</v>
      </c>
      <c r="I11019" s="48" t="s">
        <v>15384</v>
      </c>
    </row>
    <row r="11020" spans="2:9" ht="15" customHeight="1" x14ac:dyDescent="0.25">
      <c r="B11020" s="55" t="s">
        <v>281</v>
      </c>
      <c r="C11020" s="46">
        <v>1008</v>
      </c>
      <c r="D11020" s="69" t="s">
        <v>29418</v>
      </c>
      <c r="E11020" s="51"/>
      <c r="F11020" s="114" t="str">
        <f>IF(INDEX(I.Facility.P2bIDNumber,1008)="","",INDEX(I.Facility.P2bIDNumber,1008))</f>
        <v/>
      </c>
      <c r="G11020" s="51"/>
      <c r="H11020" s="46" t="str">
        <f>IF(AND(I.Developer.P2b=TRUE,I.Facility.P2bFacilityCount&gt;=1008,F11020=""),"Incomplete","Complete")</f>
        <v>Complete</v>
      </c>
      <c r="I11020" s="48" t="s">
        <v>15385</v>
      </c>
    </row>
    <row r="11021" spans="2:9" ht="15" customHeight="1" x14ac:dyDescent="0.25">
      <c r="B11021" s="55" t="s">
        <v>281</v>
      </c>
      <c r="C11021" s="46">
        <v>1009</v>
      </c>
      <c r="D11021" s="69" t="s">
        <v>29418</v>
      </c>
      <c r="E11021" s="51"/>
      <c r="F11021" s="114" t="str">
        <f>IF(INDEX(I.Facility.P2bIDNumber,1009)="","",INDEX(I.Facility.P2bIDNumber,1009))</f>
        <v/>
      </c>
      <c r="G11021" s="51"/>
      <c r="H11021" s="46" t="str">
        <f>IF(AND(I.Developer.P2b=TRUE,I.Facility.P2bFacilityCount&gt;=1009,F11021=""),"Incomplete","Complete")</f>
        <v>Complete</v>
      </c>
      <c r="I11021" s="48" t="s">
        <v>15386</v>
      </c>
    </row>
    <row r="11022" spans="2:9" ht="15" customHeight="1" x14ac:dyDescent="0.25">
      <c r="B11022" s="55" t="s">
        <v>281</v>
      </c>
      <c r="C11022" s="46">
        <v>1010</v>
      </c>
      <c r="D11022" s="69" t="s">
        <v>29418</v>
      </c>
      <c r="E11022" s="51"/>
      <c r="F11022" s="114" t="str">
        <f>IF(INDEX(I.Facility.P2bIDNumber,1010)="","",INDEX(I.Facility.P2bIDNumber,1010))</f>
        <v/>
      </c>
      <c r="G11022" s="51"/>
      <c r="H11022" s="46" t="str">
        <f>IF(AND(I.Developer.P2b=TRUE,I.Facility.P2bFacilityCount&gt;=1010,F11022=""),"Incomplete","Complete")</f>
        <v>Complete</v>
      </c>
      <c r="I11022" s="48" t="s">
        <v>15387</v>
      </c>
    </row>
    <row r="11023" spans="2:9" ht="15" customHeight="1" x14ac:dyDescent="0.25">
      <c r="B11023" s="55" t="s">
        <v>281</v>
      </c>
      <c r="C11023" s="46">
        <v>1011</v>
      </c>
      <c r="D11023" s="69" t="s">
        <v>29418</v>
      </c>
      <c r="E11023" s="51"/>
      <c r="F11023" s="114" t="str">
        <f>IF(INDEX(I.Facility.P2bIDNumber,1011)="","",INDEX(I.Facility.P2bIDNumber,1011))</f>
        <v/>
      </c>
      <c r="G11023" s="51"/>
      <c r="H11023" s="46" t="str">
        <f>IF(AND(I.Developer.P2b=TRUE,I.Facility.P2bFacilityCount&gt;=1011,F11023=""),"Incomplete","Complete")</f>
        <v>Complete</v>
      </c>
      <c r="I11023" s="48" t="s">
        <v>15388</v>
      </c>
    </row>
    <row r="11024" spans="2:9" ht="15" customHeight="1" x14ac:dyDescent="0.25">
      <c r="B11024" s="55" t="s">
        <v>281</v>
      </c>
      <c r="C11024" s="46">
        <v>1012</v>
      </c>
      <c r="D11024" s="69" t="s">
        <v>29418</v>
      </c>
      <c r="E11024" s="51"/>
      <c r="F11024" s="114" t="str">
        <f>IF(INDEX(I.Facility.P2bIDNumber,1012)="","",INDEX(I.Facility.P2bIDNumber,1012))</f>
        <v/>
      </c>
      <c r="G11024" s="51"/>
      <c r="H11024" s="46" t="str">
        <f>IF(AND(I.Developer.P2b=TRUE,I.Facility.P2bFacilityCount&gt;=1012,F11024=""),"Incomplete","Complete")</f>
        <v>Complete</v>
      </c>
      <c r="I11024" s="48" t="s">
        <v>15389</v>
      </c>
    </row>
    <row r="11025" spans="2:9" ht="15" customHeight="1" x14ac:dyDescent="0.25">
      <c r="B11025" s="55" t="s">
        <v>281</v>
      </c>
      <c r="C11025" s="46">
        <v>1013</v>
      </c>
      <c r="D11025" s="69" t="s">
        <v>29418</v>
      </c>
      <c r="E11025" s="51"/>
      <c r="F11025" s="114" t="str">
        <f>IF(INDEX(I.Facility.P2bIDNumber,1013)="","",INDEX(I.Facility.P2bIDNumber,1013))</f>
        <v/>
      </c>
      <c r="G11025" s="51"/>
      <c r="H11025" s="46" t="str">
        <f>IF(AND(I.Developer.P2b=TRUE,I.Facility.P2bFacilityCount&gt;=1013,F11025=""),"Incomplete","Complete")</f>
        <v>Complete</v>
      </c>
      <c r="I11025" s="48" t="s">
        <v>15390</v>
      </c>
    </row>
    <row r="11026" spans="2:9" ht="15" customHeight="1" x14ac:dyDescent="0.25">
      <c r="B11026" s="55" t="s">
        <v>281</v>
      </c>
      <c r="C11026" s="46">
        <v>1014</v>
      </c>
      <c r="D11026" s="69" t="s">
        <v>29418</v>
      </c>
      <c r="E11026" s="51"/>
      <c r="F11026" s="114" t="str">
        <f>IF(INDEX(I.Facility.P2bIDNumber,1014)="","",INDEX(I.Facility.P2bIDNumber,1014))</f>
        <v/>
      </c>
      <c r="G11026" s="51"/>
      <c r="H11026" s="46" t="str">
        <f>IF(AND(I.Developer.P2b=TRUE,I.Facility.P2bFacilityCount&gt;=1014,F11026=""),"Incomplete","Complete")</f>
        <v>Complete</v>
      </c>
      <c r="I11026" s="48" t="s">
        <v>15391</v>
      </c>
    </row>
    <row r="11027" spans="2:9" ht="15" customHeight="1" x14ac:dyDescent="0.25">
      <c r="B11027" s="55" t="s">
        <v>281</v>
      </c>
      <c r="C11027" s="46">
        <v>1015</v>
      </c>
      <c r="D11027" s="69" t="s">
        <v>29418</v>
      </c>
      <c r="E11027" s="51"/>
      <c r="F11027" s="114" t="str">
        <f>IF(INDEX(I.Facility.P2bIDNumber,1015)="","",INDEX(I.Facility.P2bIDNumber,1015))</f>
        <v/>
      </c>
      <c r="G11027" s="51"/>
      <c r="H11027" s="46" t="str">
        <f>IF(AND(I.Developer.P2b=TRUE,I.Facility.P2bFacilityCount&gt;=1015,F11027=""),"Incomplete","Complete")</f>
        <v>Complete</v>
      </c>
      <c r="I11027" s="48" t="s">
        <v>15392</v>
      </c>
    </row>
    <row r="11028" spans="2:9" ht="15" customHeight="1" x14ac:dyDescent="0.25">
      <c r="B11028" s="55" t="s">
        <v>281</v>
      </c>
      <c r="C11028" s="46">
        <v>1016</v>
      </c>
      <c r="D11028" s="69" t="s">
        <v>29418</v>
      </c>
      <c r="E11028" s="51"/>
      <c r="F11028" s="114" t="str">
        <f>IF(INDEX(I.Facility.P2bIDNumber,1016)="","",INDEX(I.Facility.P2bIDNumber,1016))</f>
        <v/>
      </c>
      <c r="G11028" s="51"/>
      <c r="H11028" s="46" t="str">
        <f>IF(AND(I.Developer.P2b=TRUE,I.Facility.P2bFacilityCount&gt;=1016,F11028=""),"Incomplete","Complete")</f>
        <v>Complete</v>
      </c>
      <c r="I11028" s="48" t="s">
        <v>15393</v>
      </c>
    </row>
    <row r="11029" spans="2:9" ht="15" customHeight="1" x14ac:dyDescent="0.25">
      <c r="B11029" s="55" t="s">
        <v>281</v>
      </c>
      <c r="C11029" s="46">
        <v>1017</v>
      </c>
      <c r="D11029" s="69" t="s">
        <v>29418</v>
      </c>
      <c r="E11029" s="51"/>
      <c r="F11029" s="114" t="str">
        <f>IF(INDEX(I.Facility.P2bIDNumber,1017)="","",INDEX(I.Facility.P2bIDNumber,1017))</f>
        <v/>
      </c>
      <c r="G11029" s="51"/>
      <c r="H11029" s="46" t="str">
        <f>IF(AND(I.Developer.P2b=TRUE,I.Facility.P2bFacilityCount&gt;=1017,F11029=""),"Incomplete","Complete")</f>
        <v>Complete</v>
      </c>
      <c r="I11029" s="48" t="s">
        <v>15394</v>
      </c>
    </row>
    <row r="11030" spans="2:9" ht="15" customHeight="1" x14ac:dyDescent="0.25">
      <c r="B11030" s="55" t="s">
        <v>281</v>
      </c>
      <c r="C11030" s="46">
        <v>1018</v>
      </c>
      <c r="D11030" s="69" t="s">
        <v>29418</v>
      </c>
      <c r="E11030" s="51"/>
      <c r="F11030" s="114" t="str">
        <f>IF(INDEX(I.Facility.P2bIDNumber,1018)="","",INDEX(I.Facility.P2bIDNumber,1018))</f>
        <v/>
      </c>
      <c r="G11030" s="51"/>
      <c r="H11030" s="46" t="str">
        <f>IF(AND(I.Developer.P2b=TRUE,I.Facility.P2bFacilityCount&gt;=1018,F11030=""),"Incomplete","Complete")</f>
        <v>Complete</v>
      </c>
      <c r="I11030" s="48" t="s">
        <v>15395</v>
      </c>
    </row>
    <row r="11031" spans="2:9" ht="15" customHeight="1" x14ac:dyDescent="0.25">
      <c r="B11031" s="55" t="s">
        <v>281</v>
      </c>
      <c r="C11031" s="46">
        <v>1019</v>
      </c>
      <c r="D11031" s="69" t="s">
        <v>29418</v>
      </c>
      <c r="E11031" s="51"/>
      <c r="F11031" s="114" t="str">
        <f>IF(INDEX(I.Facility.P2bIDNumber,1019)="","",INDEX(I.Facility.P2bIDNumber,1019))</f>
        <v/>
      </c>
      <c r="G11031" s="51"/>
      <c r="H11031" s="46" t="str">
        <f>IF(AND(I.Developer.P2b=TRUE,I.Facility.P2bFacilityCount&gt;=1019,F11031=""),"Incomplete","Complete")</f>
        <v>Complete</v>
      </c>
      <c r="I11031" s="48" t="s">
        <v>15396</v>
      </c>
    </row>
    <row r="11032" spans="2:9" ht="15" customHeight="1" x14ac:dyDescent="0.25">
      <c r="B11032" s="55" t="s">
        <v>281</v>
      </c>
      <c r="C11032" s="46">
        <v>1020</v>
      </c>
      <c r="D11032" s="69" t="s">
        <v>29418</v>
      </c>
      <c r="E11032" s="51"/>
      <c r="F11032" s="114" t="str">
        <f>IF(INDEX(I.Facility.P2bIDNumber,1020)="","",INDEX(I.Facility.P2bIDNumber,1020))</f>
        <v/>
      </c>
      <c r="G11032" s="51"/>
      <c r="H11032" s="46" t="str">
        <f>IF(AND(I.Developer.P2b=TRUE,I.Facility.P2bFacilityCount&gt;=1020,F11032=""),"Incomplete","Complete")</f>
        <v>Complete</v>
      </c>
      <c r="I11032" s="48" t="s">
        <v>15397</v>
      </c>
    </row>
    <row r="11033" spans="2:9" ht="15" customHeight="1" x14ac:dyDescent="0.25">
      <c r="B11033" s="55" t="s">
        <v>281</v>
      </c>
      <c r="C11033" s="46">
        <v>1021</v>
      </c>
      <c r="D11033" s="69" t="s">
        <v>29418</v>
      </c>
      <c r="E11033" s="51"/>
      <c r="F11033" s="114" t="str">
        <f>IF(INDEX(I.Facility.P2bIDNumber,1021)="","",INDEX(I.Facility.P2bIDNumber,1021))</f>
        <v/>
      </c>
      <c r="G11033" s="51"/>
      <c r="H11033" s="46" t="str">
        <f>IF(AND(I.Developer.P2b=TRUE,I.Facility.P2bFacilityCount&gt;=1021,F11033=""),"Incomplete","Complete")</f>
        <v>Complete</v>
      </c>
      <c r="I11033" s="48" t="s">
        <v>15398</v>
      </c>
    </row>
    <row r="11034" spans="2:9" ht="15" customHeight="1" x14ac:dyDescent="0.25">
      <c r="B11034" s="55" t="s">
        <v>281</v>
      </c>
      <c r="C11034" s="46">
        <v>1022</v>
      </c>
      <c r="D11034" s="69" t="s">
        <v>29418</v>
      </c>
      <c r="E11034" s="51"/>
      <c r="F11034" s="114" t="str">
        <f>IF(INDEX(I.Facility.P2bIDNumber,1022)="","",INDEX(I.Facility.P2bIDNumber,1022))</f>
        <v/>
      </c>
      <c r="G11034" s="51"/>
      <c r="H11034" s="46" t="str">
        <f>IF(AND(I.Developer.P2b=TRUE,I.Facility.P2bFacilityCount&gt;=1022,F11034=""),"Incomplete","Complete")</f>
        <v>Complete</v>
      </c>
      <c r="I11034" s="48" t="s">
        <v>15399</v>
      </c>
    </row>
    <row r="11035" spans="2:9" ht="15" customHeight="1" x14ac:dyDescent="0.25">
      <c r="B11035" s="55" t="s">
        <v>281</v>
      </c>
      <c r="C11035" s="46">
        <v>1023</v>
      </c>
      <c r="D11035" s="69" t="s">
        <v>29418</v>
      </c>
      <c r="E11035" s="51"/>
      <c r="F11035" s="114" t="str">
        <f>IF(INDEX(I.Facility.P2bIDNumber,1023)="","",INDEX(I.Facility.P2bIDNumber,1023))</f>
        <v/>
      </c>
      <c r="G11035" s="51"/>
      <c r="H11035" s="46" t="str">
        <f>IF(AND(I.Developer.P2b=TRUE,I.Facility.P2bFacilityCount&gt;=1023,F11035=""),"Incomplete","Complete")</f>
        <v>Complete</v>
      </c>
      <c r="I11035" s="48" t="s">
        <v>15400</v>
      </c>
    </row>
    <row r="11036" spans="2:9" ht="15" customHeight="1" x14ac:dyDescent="0.25">
      <c r="B11036" s="55" t="s">
        <v>281</v>
      </c>
      <c r="C11036" s="46">
        <v>1024</v>
      </c>
      <c r="D11036" s="69" t="s">
        <v>29418</v>
      </c>
      <c r="E11036" s="51"/>
      <c r="F11036" s="114" t="str">
        <f>IF(INDEX(I.Facility.P2bIDNumber,1024)="","",INDEX(I.Facility.P2bIDNumber,1024))</f>
        <v/>
      </c>
      <c r="G11036" s="51"/>
      <c r="H11036" s="46" t="str">
        <f>IF(AND(I.Developer.P2b=TRUE,I.Facility.P2bFacilityCount&gt;=1024,F11036=""),"Incomplete","Complete")</f>
        <v>Complete</v>
      </c>
      <c r="I11036" s="48" t="s">
        <v>15401</v>
      </c>
    </row>
    <row r="11037" spans="2:9" ht="15" customHeight="1" x14ac:dyDescent="0.25">
      <c r="B11037" s="55" t="s">
        <v>281</v>
      </c>
      <c r="C11037" s="46">
        <v>1025</v>
      </c>
      <c r="D11037" s="69" t="s">
        <v>29418</v>
      </c>
      <c r="E11037" s="51"/>
      <c r="F11037" s="114" t="str">
        <f>IF(INDEX(I.Facility.P2bIDNumber,1025)="","",INDEX(I.Facility.P2bIDNumber,1025))</f>
        <v/>
      </c>
      <c r="G11037" s="51"/>
      <c r="H11037" s="46" t="str">
        <f>IF(AND(I.Developer.P2b=TRUE,I.Facility.P2bFacilityCount&gt;=1025,F11037=""),"Incomplete","Complete")</f>
        <v>Complete</v>
      </c>
      <c r="I11037" s="48" t="s">
        <v>15402</v>
      </c>
    </row>
    <row r="11038" spans="2:9" ht="15" customHeight="1" x14ac:dyDescent="0.25">
      <c r="B11038" s="55" t="s">
        <v>281</v>
      </c>
      <c r="C11038" s="46">
        <v>1026</v>
      </c>
      <c r="D11038" s="69" t="s">
        <v>29418</v>
      </c>
      <c r="E11038" s="51"/>
      <c r="F11038" s="114" t="str">
        <f>IF(INDEX(I.Facility.P2bIDNumber,1026)="","",INDEX(I.Facility.P2bIDNumber,1026))</f>
        <v/>
      </c>
      <c r="G11038" s="51"/>
      <c r="H11038" s="46" t="str">
        <f>IF(AND(I.Developer.P2b=TRUE,I.Facility.P2bFacilityCount&gt;=1026,F11038=""),"Incomplete","Complete")</f>
        <v>Complete</v>
      </c>
      <c r="I11038" s="48" t="s">
        <v>15403</v>
      </c>
    </row>
    <row r="11039" spans="2:9" ht="15" customHeight="1" x14ac:dyDescent="0.25">
      <c r="B11039" s="55" t="s">
        <v>281</v>
      </c>
      <c r="C11039" s="46">
        <v>1027</v>
      </c>
      <c r="D11039" s="69" t="s">
        <v>29418</v>
      </c>
      <c r="E11039" s="51"/>
      <c r="F11039" s="114" t="str">
        <f>IF(INDEX(I.Facility.P2bIDNumber,1027)="","",INDEX(I.Facility.P2bIDNumber,1027))</f>
        <v/>
      </c>
      <c r="G11039" s="51"/>
      <c r="H11039" s="46" t="str">
        <f>IF(AND(I.Developer.P2b=TRUE,I.Facility.P2bFacilityCount&gt;=1027,F11039=""),"Incomplete","Complete")</f>
        <v>Complete</v>
      </c>
      <c r="I11039" s="48" t="s">
        <v>15404</v>
      </c>
    </row>
    <row r="11040" spans="2:9" ht="15" customHeight="1" x14ac:dyDescent="0.25">
      <c r="B11040" s="55" t="s">
        <v>281</v>
      </c>
      <c r="C11040" s="46">
        <v>1028</v>
      </c>
      <c r="D11040" s="69" t="s">
        <v>29418</v>
      </c>
      <c r="E11040" s="51"/>
      <c r="F11040" s="114" t="str">
        <f>IF(INDEX(I.Facility.P2bIDNumber,1028)="","",INDEX(I.Facility.P2bIDNumber,1028))</f>
        <v/>
      </c>
      <c r="G11040" s="51"/>
      <c r="H11040" s="46" t="str">
        <f>IF(AND(I.Developer.P2b=TRUE,I.Facility.P2bFacilityCount&gt;=1028,F11040=""),"Incomplete","Complete")</f>
        <v>Complete</v>
      </c>
      <c r="I11040" s="48" t="s">
        <v>15405</v>
      </c>
    </row>
    <row r="11041" spans="2:9" ht="15" customHeight="1" x14ac:dyDescent="0.25">
      <c r="B11041" s="55" t="s">
        <v>281</v>
      </c>
      <c r="C11041" s="46">
        <v>1029</v>
      </c>
      <c r="D11041" s="69" t="s">
        <v>29418</v>
      </c>
      <c r="E11041" s="51"/>
      <c r="F11041" s="114" t="str">
        <f>IF(INDEX(I.Facility.P2bIDNumber,1029)="","",INDEX(I.Facility.P2bIDNumber,1029))</f>
        <v/>
      </c>
      <c r="G11041" s="51"/>
      <c r="H11041" s="46" t="str">
        <f>IF(AND(I.Developer.P2b=TRUE,I.Facility.P2bFacilityCount&gt;=1029,F11041=""),"Incomplete","Complete")</f>
        <v>Complete</v>
      </c>
      <c r="I11041" s="48" t="s">
        <v>15406</v>
      </c>
    </row>
    <row r="11042" spans="2:9" ht="15" customHeight="1" x14ac:dyDescent="0.25">
      <c r="B11042" s="55" t="s">
        <v>281</v>
      </c>
      <c r="C11042" s="46">
        <v>1030</v>
      </c>
      <c r="D11042" s="69" t="s">
        <v>29418</v>
      </c>
      <c r="E11042" s="51"/>
      <c r="F11042" s="114" t="str">
        <f>IF(INDEX(I.Facility.P2bIDNumber,1030)="","",INDEX(I.Facility.P2bIDNumber,1030))</f>
        <v/>
      </c>
      <c r="G11042" s="51"/>
      <c r="H11042" s="46" t="str">
        <f>IF(AND(I.Developer.P2b=TRUE,I.Facility.P2bFacilityCount&gt;=1030,F11042=""),"Incomplete","Complete")</f>
        <v>Complete</v>
      </c>
      <c r="I11042" s="48" t="s">
        <v>15407</v>
      </c>
    </row>
    <row r="11043" spans="2:9" ht="15" customHeight="1" x14ac:dyDescent="0.25">
      <c r="B11043" s="55" t="s">
        <v>281</v>
      </c>
      <c r="C11043" s="46">
        <v>1031</v>
      </c>
      <c r="D11043" s="69" t="s">
        <v>29418</v>
      </c>
      <c r="E11043" s="51"/>
      <c r="F11043" s="114" t="str">
        <f>IF(INDEX(I.Facility.P2bIDNumber,1031)="","",INDEX(I.Facility.P2bIDNumber,1031))</f>
        <v/>
      </c>
      <c r="G11043" s="51"/>
      <c r="H11043" s="46" t="str">
        <f>IF(AND(I.Developer.P2b=TRUE,I.Facility.P2bFacilityCount&gt;=1031,F11043=""),"Incomplete","Complete")</f>
        <v>Complete</v>
      </c>
      <c r="I11043" s="48" t="s">
        <v>15408</v>
      </c>
    </row>
    <row r="11044" spans="2:9" ht="15" customHeight="1" x14ac:dyDescent="0.25">
      <c r="B11044" s="55" t="s">
        <v>281</v>
      </c>
      <c r="C11044" s="46">
        <v>1032</v>
      </c>
      <c r="D11044" s="69" t="s">
        <v>29418</v>
      </c>
      <c r="E11044" s="51"/>
      <c r="F11044" s="114" t="str">
        <f>IF(INDEX(I.Facility.P2bIDNumber,1032)="","",INDEX(I.Facility.P2bIDNumber,1032))</f>
        <v/>
      </c>
      <c r="G11044" s="51"/>
      <c r="H11044" s="46" t="str">
        <f>IF(AND(I.Developer.P2b=TRUE,I.Facility.P2bFacilityCount&gt;=1032,F11044=""),"Incomplete","Complete")</f>
        <v>Complete</v>
      </c>
      <c r="I11044" s="48" t="s">
        <v>15409</v>
      </c>
    </row>
    <row r="11045" spans="2:9" ht="15" customHeight="1" x14ac:dyDescent="0.25">
      <c r="B11045" s="55" t="s">
        <v>281</v>
      </c>
      <c r="C11045" s="46">
        <v>1033</v>
      </c>
      <c r="D11045" s="69" t="s">
        <v>29418</v>
      </c>
      <c r="E11045" s="51"/>
      <c r="F11045" s="114" t="str">
        <f>IF(INDEX(I.Facility.P2bIDNumber,1033)="","",INDEX(I.Facility.P2bIDNumber,1033))</f>
        <v/>
      </c>
      <c r="G11045" s="51"/>
      <c r="H11045" s="46" t="str">
        <f>IF(AND(I.Developer.P2b=TRUE,I.Facility.P2bFacilityCount&gt;=1033,F11045=""),"Incomplete","Complete")</f>
        <v>Complete</v>
      </c>
      <c r="I11045" s="48" t="s">
        <v>15410</v>
      </c>
    </row>
    <row r="11046" spans="2:9" ht="15" customHeight="1" x14ac:dyDescent="0.25">
      <c r="B11046" s="55" t="s">
        <v>281</v>
      </c>
      <c r="C11046" s="46">
        <v>1034</v>
      </c>
      <c r="D11046" s="69" t="s">
        <v>29418</v>
      </c>
      <c r="E11046" s="51"/>
      <c r="F11046" s="114" t="str">
        <f>IF(INDEX(I.Facility.P2bIDNumber,1034)="","",INDEX(I.Facility.P2bIDNumber,1034))</f>
        <v/>
      </c>
      <c r="G11046" s="51"/>
      <c r="H11046" s="46" t="str">
        <f>IF(AND(I.Developer.P2b=TRUE,I.Facility.P2bFacilityCount&gt;=1034,F11046=""),"Incomplete","Complete")</f>
        <v>Complete</v>
      </c>
      <c r="I11046" s="48" t="s">
        <v>15411</v>
      </c>
    </row>
    <row r="11047" spans="2:9" ht="15" customHeight="1" x14ac:dyDescent="0.25">
      <c r="B11047" s="55" t="s">
        <v>281</v>
      </c>
      <c r="C11047" s="46">
        <v>1035</v>
      </c>
      <c r="D11047" s="69" t="s">
        <v>29418</v>
      </c>
      <c r="E11047" s="51"/>
      <c r="F11047" s="114" t="str">
        <f>IF(INDEX(I.Facility.P2bIDNumber,1035)="","",INDEX(I.Facility.P2bIDNumber,1035))</f>
        <v/>
      </c>
      <c r="G11047" s="51"/>
      <c r="H11047" s="46" t="str">
        <f>IF(AND(I.Developer.P2b=TRUE,I.Facility.P2bFacilityCount&gt;=1035,F11047=""),"Incomplete","Complete")</f>
        <v>Complete</v>
      </c>
      <c r="I11047" s="48" t="s">
        <v>15412</v>
      </c>
    </row>
    <row r="11048" spans="2:9" ht="15" customHeight="1" x14ac:dyDescent="0.25">
      <c r="B11048" s="55" t="s">
        <v>281</v>
      </c>
      <c r="C11048" s="46">
        <v>1036</v>
      </c>
      <c r="D11048" s="69" t="s">
        <v>29418</v>
      </c>
      <c r="E11048" s="51"/>
      <c r="F11048" s="114" t="str">
        <f>IF(INDEX(I.Facility.P2bIDNumber,1036)="","",INDEX(I.Facility.P2bIDNumber,1036))</f>
        <v/>
      </c>
      <c r="G11048" s="51"/>
      <c r="H11048" s="46" t="str">
        <f>IF(AND(I.Developer.P2b=TRUE,I.Facility.P2bFacilityCount&gt;=1036,F11048=""),"Incomplete","Complete")</f>
        <v>Complete</v>
      </c>
      <c r="I11048" s="48" t="s">
        <v>15413</v>
      </c>
    </row>
    <row r="11049" spans="2:9" ht="15" customHeight="1" x14ac:dyDescent="0.25">
      <c r="B11049" s="55" t="s">
        <v>281</v>
      </c>
      <c r="C11049" s="46">
        <v>1037</v>
      </c>
      <c r="D11049" s="69" t="s">
        <v>29418</v>
      </c>
      <c r="E11049" s="51"/>
      <c r="F11049" s="114" t="str">
        <f>IF(INDEX(I.Facility.P2bIDNumber,1037)="","",INDEX(I.Facility.P2bIDNumber,1037))</f>
        <v/>
      </c>
      <c r="G11049" s="51"/>
      <c r="H11049" s="46" t="str">
        <f>IF(AND(I.Developer.P2b=TRUE,I.Facility.P2bFacilityCount&gt;=1037,F11049=""),"Incomplete","Complete")</f>
        <v>Complete</v>
      </c>
      <c r="I11049" s="48" t="s">
        <v>15414</v>
      </c>
    </row>
    <row r="11050" spans="2:9" ht="15" customHeight="1" x14ac:dyDescent="0.25">
      <c r="B11050" s="55" t="s">
        <v>281</v>
      </c>
      <c r="C11050" s="46">
        <v>1038</v>
      </c>
      <c r="D11050" s="69" t="s">
        <v>29418</v>
      </c>
      <c r="E11050" s="51"/>
      <c r="F11050" s="114" t="str">
        <f>IF(INDEX(I.Facility.P2bIDNumber,1038)="","",INDEX(I.Facility.P2bIDNumber,1038))</f>
        <v/>
      </c>
      <c r="G11050" s="51"/>
      <c r="H11050" s="46" t="str">
        <f>IF(AND(I.Developer.P2b=TRUE,I.Facility.P2bFacilityCount&gt;=1038,F11050=""),"Incomplete","Complete")</f>
        <v>Complete</v>
      </c>
      <c r="I11050" s="48" t="s">
        <v>15415</v>
      </c>
    </row>
    <row r="11051" spans="2:9" ht="15" customHeight="1" x14ac:dyDescent="0.25">
      <c r="B11051" s="55" t="s">
        <v>281</v>
      </c>
      <c r="C11051" s="46">
        <v>1039</v>
      </c>
      <c r="D11051" s="69" t="s">
        <v>29418</v>
      </c>
      <c r="E11051" s="51"/>
      <c r="F11051" s="114" t="str">
        <f>IF(INDEX(I.Facility.P2bIDNumber,1039)="","",INDEX(I.Facility.P2bIDNumber,1039))</f>
        <v/>
      </c>
      <c r="G11051" s="51"/>
      <c r="H11051" s="46" t="str">
        <f>IF(AND(I.Developer.P2b=TRUE,I.Facility.P2bFacilityCount&gt;=1039,F11051=""),"Incomplete","Complete")</f>
        <v>Complete</v>
      </c>
      <c r="I11051" s="48" t="s">
        <v>15416</v>
      </c>
    </row>
    <row r="11052" spans="2:9" ht="15" customHeight="1" x14ac:dyDescent="0.25">
      <c r="B11052" s="55" t="s">
        <v>281</v>
      </c>
      <c r="C11052" s="46">
        <v>1040</v>
      </c>
      <c r="D11052" s="69" t="s">
        <v>29418</v>
      </c>
      <c r="E11052" s="51"/>
      <c r="F11052" s="114" t="str">
        <f>IF(INDEX(I.Facility.P2bIDNumber,1040)="","",INDEX(I.Facility.P2bIDNumber,1040))</f>
        <v/>
      </c>
      <c r="G11052" s="51"/>
      <c r="H11052" s="46" t="str">
        <f>IF(AND(I.Developer.P2b=TRUE,I.Facility.P2bFacilityCount&gt;=1040,F11052=""),"Incomplete","Complete")</f>
        <v>Complete</v>
      </c>
      <c r="I11052" s="48" t="s">
        <v>15417</v>
      </c>
    </row>
    <row r="11053" spans="2:9" ht="15" customHeight="1" x14ac:dyDescent="0.25">
      <c r="B11053" s="55" t="s">
        <v>281</v>
      </c>
      <c r="C11053" s="46">
        <v>1041</v>
      </c>
      <c r="D11053" s="69" t="s">
        <v>29418</v>
      </c>
      <c r="E11053" s="51"/>
      <c r="F11053" s="114" t="str">
        <f>IF(INDEX(I.Facility.P2bIDNumber,1041)="","",INDEX(I.Facility.P2bIDNumber,1041))</f>
        <v/>
      </c>
      <c r="G11053" s="51"/>
      <c r="H11053" s="46" t="str">
        <f>IF(AND(I.Developer.P2b=TRUE,I.Facility.P2bFacilityCount&gt;=1041,F11053=""),"Incomplete","Complete")</f>
        <v>Complete</v>
      </c>
      <c r="I11053" s="48" t="s">
        <v>15418</v>
      </c>
    </row>
    <row r="11054" spans="2:9" ht="15" customHeight="1" x14ac:dyDescent="0.25">
      <c r="B11054" s="55" t="s">
        <v>281</v>
      </c>
      <c r="C11054" s="46">
        <v>1042</v>
      </c>
      <c r="D11054" s="69" t="s">
        <v>29418</v>
      </c>
      <c r="E11054" s="51"/>
      <c r="F11054" s="114" t="str">
        <f>IF(INDEX(I.Facility.P2bIDNumber,1042)="","",INDEX(I.Facility.P2bIDNumber,1042))</f>
        <v/>
      </c>
      <c r="G11054" s="51"/>
      <c r="H11054" s="46" t="str">
        <f>IF(AND(I.Developer.P2b=TRUE,I.Facility.P2bFacilityCount&gt;=1042,F11054=""),"Incomplete","Complete")</f>
        <v>Complete</v>
      </c>
      <c r="I11054" s="48" t="s">
        <v>15419</v>
      </c>
    </row>
    <row r="11055" spans="2:9" ht="15" customHeight="1" x14ac:dyDescent="0.25">
      <c r="B11055" s="55" t="s">
        <v>281</v>
      </c>
      <c r="C11055" s="46">
        <v>1043</v>
      </c>
      <c r="D11055" s="69" t="s">
        <v>29418</v>
      </c>
      <c r="E11055" s="51"/>
      <c r="F11055" s="114" t="str">
        <f>IF(INDEX(I.Facility.P2bIDNumber,1043)="","",INDEX(I.Facility.P2bIDNumber,1043))</f>
        <v/>
      </c>
      <c r="G11055" s="51"/>
      <c r="H11055" s="46" t="str">
        <f>IF(AND(I.Developer.P2b=TRUE,I.Facility.P2bFacilityCount&gt;=1043,F11055=""),"Incomplete","Complete")</f>
        <v>Complete</v>
      </c>
      <c r="I11055" s="48" t="s">
        <v>15420</v>
      </c>
    </row>
    <row r="11056" spans="2:9" ht="15" customHeight="1" x14ac:dyDescent="0.25">
      <c r="B11056" s="55" t="s">
        <v>281</v>
      </c>
      <c r="C11056" s="46">
        <v>1044</v>
      </c>
      <c r="D11056" s="69" t="s">
        <v>29418</v>
      </c>
      <c r="E11056" s="51"/>
      <c r="F11056" s="114" t="str">
        <f>IF(INDEX(I.Facility.P2bIDNumber,1044)="","",INDEX(I.Facility.P2bIDNumber,1044))</f>
        <v/>
      </c>
      <c r="G11056" s="51"/>
      <c r="H11056" s="46" t="str">
        <f>IF(AND(I.Developer.P2b=TRUE,I.Facility.P2bFacilityCount&gt;=1044,F11056=""),"Incomplete","Complete")</f>
        <v>Complete</v>
      </c>
      <c r="I11056" s="48" t="s">
        <v>15421</v>
      </c>
    </row>
    <row r="11057" spans="2:9" ht="15" customHeight="1" x14ac:dyDescent="0.25">
      <c r="B11057" s="55" t="s">
        <v>281</v>
      </c>
      <c r="C11057" s="46">
        <v>1045</v>
      </c>
      <c r="D11057" s="69" t="s">
        <v>29418</v>
      </c>
      <c r="E11057" s="51"/>
      <c r="F11057" s="114" t="str">
        <f>IF(INDEX(I.Facility.P2bIDNumber,1045)="","",INDEX(I.Facility.P2bIDNumber,1045))</f>
        <v/>
      </c>
      <c r="G11057" s="51"/>
      <c r="H11057" s="46" t="str">
        <f>IF(AND(I.Developer.P2b=TRUE,I.Facility.P2bFacilityCount&gt;=1045,F11057=""),"Incomplete","Complete")</f>
        <v>Complete</v>
      </c>
      <c r="I11057" s="48" t="s">
        <v>15422</v>
      </c>
    </row>
    <row r="11058" spans="2:9" ht="15" customHeight="1" x14ac:dyDescent="0.25">
      <c r="B11058" s="55" t="s">
        <v>281</v>
      </c>
      <c r="C11058" s="46">
        <v>1046</v>
      </c>
      <c r="D11058" s="69" t="s">
        <v>29418</v>
      </c>
      <c r="E11058" s="51"/>
      <c r="F11058" s="114" t="str">
        <f>IF(INDEX(I.Facility.P2bIDNumber,1046)="","",INDEX(I.Facility.P2bIDNumber,1046))</f>
        <v/>
      </c>
      <c r="G11058" s="51"/>
      <c r="H11058" s="46" t="str">
        <f>IF(AND(I.Developer.P2b=TRUE,I.Facility.P2bFacilityCount&gt;=1046,F11058=""),"Incomplete","Complete")</f>
        <v>Complete</v>
      </c>
      <c r="I11058" s="48" t="s">
        <v>15423</v>
      </c>
    </row>
    <row r="11059" spans="2:9" ht="15" customHeight="1" x14ac:dyDescent="0.25">
      <c r="B11059" s="55" t="s">
        <v>281</v>
      </c>
      <c r="C11059" s="46">
        <v>1047</v>
      </c>
      <c r="D11059" s="69" t="s">
        <v>29418</v>
      </c>
      <c r="E11059" s="51"/>
      <c r="F11059" s="114" t="str">
        <f>IF(INDEX(I.Facility.P2bIDNumber,1047)="","",INDEX(I.Facility.P2bIDNumber,1047))</f>
        <v/>
      </c>
      <c r="G11059" s="51"/>
      <c r="H11059" s="46" t="str">
        <f>IF(AND(I.Developer.P2b=TRUE,I.Facility.P2bFacilityCount&gt;=1047,F11059=""),"Incomplete","Complete")</f>
        <v>Complete</v>
      </c>
      <c r="I11059" s="48" t="s">
        <v>15424</v>
      </c>
    </row>
    <row r="11060" spans="2:9" ht="15" customHeight="1" x14ac:dyDescent="0.25">
      <c r="B11060" s="55" t="s">
        <v>281</v>
      </c>
      <c r="C11060" s="46">
        <v>1048</v>
      </c>
      <c r="D11060" s="69" t="s">
        <v>29418</v>
      </c>
      <c r="E11060" s="51"/>
      <c r="F11060" s="114" t="str">
        <f>IF(INDEX(I.Facility.P2bIDNumber,1048)="","",INDEX(I.Facility.P2bIDNumber,1048))</f>
        <v/>
      </c>
      <c r="G11060" s="51"/>
      <c r="H11060" s="46" t="str">
        <f>IF(AND(I.Developer.P2b=TRUE,I.Facility.P2bFacilityCount&gt;=1048,F11060=""),"Incomplete","Complete")</f>
        <v>Complete</v>
      </c>
      <c r="I11060" s="48" t="s">
        <v>15425</v>
      </c>
    </row>
    <row r="11061" spans="2:9" ht="15" customHeight="1" x14ac:dyDescent="0.25">
      <c r="B11061" s="55" t="s">
        <v>281</v>
      </c>
      <c r="C11061" s="46">
        <v>1049</v>
      </c>
      <c r="D11061" s="69" t="s">
        <v>29418</v>
      </c>
      <c r="E11061" s="51"/>
      <c r="F11061" s="114" t="str">
        <f>IF(INDEX(I.Facility.P2bIDNumber,1049)="","",INDEX(I.Facility.P2bIDNumber,1049))</f>
        <v/>
      </c>
      <c r="G11061" s="51"/>
      <c r="H11061" s="46" t="str">
        <f>IF(AND(I.Developer.P2b=TRUE,I.Facility.P2bFacilityCount&gt;=1049,F11061=""),"Incomplete","Complete")</f>
        <v>Complete</v>
      </c>
      <c r="I11061" s="48" t="s">
        <v>15426</v>
      </c>
    </row>
    <row r="11062" spans="2:9" ht="15" customHeight="1" x14ac:dyDescent="0.25">
      <c r="B11062" s="55" t="s">
        <v>281</v>
      </c>
      <c r="C11062" s="46">
        <v>1050</v>
      </c>
      <c r="D11062" s="69" t="s">
        <v>29418</v>
      </c>
      <c r="E11062" s="51"/>
      <c r="F11062" s="114" t="str">
        <f>IF(INDEX(I.Facility.P2bIDNumber,1050)="","",INDEX(I.Facility.P2bIDNumber,1050))</f>
        <v/>
      </c>
      <c r="G11062" s="51"/>
      <c r="H11062" s="46" t="str">
        <f>IF(AND(I.Developer.P2b=TRUE,I.Facility.P2bFacilityCount&gt;=1050,F11062=""),"Incomplete","Complete")</f>
        <v>Complete</v>
      </c>
      <c r="I11062" s="48" t="s">
        <v>15427</v>
      </c>
    </row>
    <row r="11063" spans="2:9" ht="15" customHeight="1" x14ac:dyDescent="0.25">
      <c r="B11063" s="55" t="s">
        <v>281</v>
      </c>
      <c r="C11063" s="46">
        <v>1051</v>
      </c>
      <c r="D11063" s="69" t="s">
        <v>29418</v>
      </c>
      <c r="E11063" s="51"/>
      <c r="F11063" s="114" t="str">
        <f>IF(INDEX(I.Facility.P2bIDNumber,1051)="","",INDEX(I.Facility.P2bIDNumber,1051))</f>
        <v/>
      </c>
      <c r="G11063" s="51"/>
      <c r="H11063" s="46" t="str">
        <f>IF(AND(I.Developer.P2b=TRUE,I.Facility.P2bFacilityCount&gt;=1051,F11063=""),"Incomplete","Complete")</f>
        <v>Complete</v>
      </c>
      <c r="I11063" s="48" t="s">
        <v>15428</v>
      </c>
    </row>
    <row r="11064" spans="2:9" ht="15" customHeight="1" x14ac:dyDescent="0.25">
      <c r="B11064" s="55" t="s">
        <v>281</v>
      </c>
      <c r="C11064" s="46">
        <v>1052</v>
      </c>
      <c r="D11064" s="69" t="s">
        <v>29418</v>
      </c>
      <c r="E11064" s="51"/>
      <c r="F11064" s="114" t="str">
        <f>IF(INDEX(I.Facility.P2bIDNumber,1052)="","",INDEX(I.Facility.P2bIDNumber,1052))</f>
        <v/>
      </c>
      <c r="G11064" s="51"/>
      <c r="H11064" s="46" t="str">
        <f>IF(AND(I.Developer.P2b=TRUE,I.Facility.P2bFacilityCount&gt;=1052,F11064=""),"Incomplete","Complete")</f>
        <v>Complete</v>
      </c>
      <c r="I11064" s="48" t="s">
        <v>15429</v>
      </c>
    </row>
    <row r="11065" spans="2:9" ht="15" customHeight="1" x14ac:dyDescent="0.25">
      <c r="B11065" s="55" t="s">
        <v>281</v>
      </c>
      <c r="C11065" s="46">
        <v>1053</v>
      </c>
      <c r="D11065" s="69" t="s">
        <v>29418</v>
      </c>
      <c r="E11065" s="51"/>
      <c r="F11065" s="114" t="str">
        <f>IF(INDEX(I.Facility.P2bIDNumber,1053)="","",INDEX(I.Facility.P2bIDNumber,1053))</f>
        <v/>
      </c>
      <c r="G11065" s="51"/>
      <c r="H11065" s="46" t="str">
        <f>IF(AND(I.Developer.P2b=TRUE,I.Facility.P2bFacilityCount&gt;=1053,F11065=""),"Incomplete","Complete")</f>
        <v>Complete</v>
      </c>
      <c r="I11065" s="48" t="s">
        <v>15430</v>
      </c>
    </row>
    <row r="11066" spans="2:9" ht="15" customHeight="1" x14ac:dyDescent="0.25">
      <c r="B11066" s="55" t="s">
        <v>281</v>
      </c>
      <c r="C11066" s="46">
        <v>1054</v>
      </c>
      <c r="D11066" s="69" t="s">
        <v>29418</v>
      </c>
      <c r="E11066" s="51"/>
      <c r="F11066" s="114" t="str">
        <f>IF(INDEX(I.Facility.P2bIDNumber,1054)="","",INDEX(I.Facility.P2bIDNumber,1054))</f>
        <v/>
      </c>
      <c r="G11066" s="51"/>
      <c r="H11066" s="46" t="str">
        <f>IF(AND(I.Developer.P2b=TRUE,I.Facility.P2bFacilityCount&gt;=1054,F11066=""),"Incomplete","Complete")</f>
        <v>Complete</v>
      </c>
      <c r="I11066" s="48" t="s">
        <v>15431</v>
      </c>
    </row>
    <row r="11067" spans="2:9" ht="15" customHeight="1" x14ac:dyDescent="0.25">
      <c r="B11067" s="55" t="s">
        <v>281</v>
      </c>
      <c r="C11067" s="46">
        <v>1055</v>
      </c>
      <c r="D11067" s="69" t="s">
        <v>29418</v>
      </c>
      <c r="E11067" s="51"/>
      <c r="F11067" s="114" t="str">
        <f>IF(INDEX(I.Facility.P2bIDNumber,1055)="","",INDEX(I.Facility.P2bIDNumber,1055))</f>
        <v/>
      </c>
      <c r="G11067" s="51"/>
      <c r="H11067" s="46" t="str">
        <f>IF(AND(I.Developer.P2b=TRUE,I.Facility.P2bFacilityCount&gt;=1055,F11067=""),"Incomplete","Complete")</f>
        <v>Complete</v>
      </c>
      <c r="I11067" s="48" t="s">
        <v>15432</v>
      </c>
    </row>
    <row r="11068" spans="2:9" ht="15" customHeight="1" x14ac:dyDescent="0.25">
      <c r="B11068" s="55" t="s">
        <v>281</v>
      </c>
      <c r="C11068" s="46">
        <v>1056</v>
      </c>
      <c r="D11068" s="69" t="s">
        <v>29418</v>
      </c>
      <c r="E11068" s="51"/>
      <c r="F11068" s="114" t="str">
        <f>IF(INDEX(I.Facility.P2bIDNumber,1056)="","",INDEX(I.Facility.P2bIDNumber,1056))</f>
        <v/>
      </c>
      <c r="G11068" s="51"/>
      <c r="H11068" s="46" t="str">
        <f>IF(AND(I.Developer.P2b=TRUE,I.Facility.P2bFacilityCount&gt;=1056,F11068=""),"Incomplete","Complete")</f>
        <v>Complete</v>
      </c>
      <c r="I11068" s="48" t="s">
        <v>15433</v>
      </c>
    </row>
    <row r="11069" spans="2:9" ht="15" customHeight="1" x14ac:dyDescent="0.25">
      <c r="B11069" s="55" t="s">
        <v>281</v>
      </c>
      <c r="C11069" s="46">
        <v>1057</v>
      </c>
      <c r="D11069" s="69" t="s">
        <v>29418</v>
      </c>
      <c r="E11069" s="51"/>
      <c r="F11069" s="114" t="str">
        <f>IF(INDEX(I.Facility.P2bIDNumber,1057)="","",INDEX(I.Facility.P2bIDNumber,1057))</f>
        <v/>
      </c>
      <c r="G11069" s="51"/>
      <c r="H11069" s="46" t="str">
        <f>IF(AND(I.Developer.P2b=TRUE,I.Facility.P2bFacilityCount&gt;=1057,F11069=""),"Incomplete","Complete")</f>
        <v>Complete</v>
      </c>
      <c r="I11069" s="48" t="s">
        <v>15434</v>
      </c>
    </row>
    <row r="11070" spans="2:9" ht="15" customHeight="1" x14ac:dyDescent="0.25">
      <c r="B11070" s="55" t="s">
        <v>281</v>
      </c>
      <c r="C11070" s="46">
        <v>1058</v>
      </c>
      <c r="D11070" s="69" t="s">
        <v>29418</v>
      </c>
      <c r="E11070" s="51"/>
      <c r="F11070" s="114" t="str">
        <f>IF(INDEX(I.Facility.P2bIDNumber,1058)="","",INDEX(I.Facility.P2bIDNumber,1058))</f>
        <v/>
      </c>
      <c r="G11070" s="51"/>
      <c r="H11070" s="46" t="str">
        <f>IF(AND(I.Developer.P2b=TRUE,I.Facility.P2bFacilityCount&gt;=1058,F11070=""),"Incomplete","Complete")</f>
        <v>Complete</v>
      </c>
      <c r="I11070" s="48" t="s">
        <v>15435</v>
      </c>
    </row>
    <row r="11071" spans="2:9" ht="15" customHeight="1" x14ac:dyDescent="0.25">
      <c r="B11071" s="55" t="s">
        <v>281</v>
      </c>
      <c r="C11071" s="46">
        <v>1059</v>
      </c>
      <c r="D11071" s="69" t="s">
        <v>29418</v>
      </c>
      <c r="E11071" s="51"/>
      <c r="F11071" s="114" t="str">
        <f>IF(INDEX(I.Facility.P2bIDNumber,1059)="","",INDEX(I.Facility.P2bIDNumber,1059))</f>
        <v/>
      </c>
      <c r="G11071" s="51"/>
      <c r="H11071" s="46" t="str">
        <f>IF(AND(I.Developer.P2b=TRUE,I.Facility.P2bFacilityCount&gt;=1059,F11071=""),"Incomplete","Complete")</f>
        <v>Complete</v>
      </c>
      <c r="I11071" s="48" t="s">
        <v>15436</v>
      </c>
    </row>
    <row r="11072" spans="2:9" ht="15" customHeight="1" x14ac:dyDescent="0.25">
      <c r="B11072" s="55" t="s">
        <v>281</v>
      </c>
      <c r="C11072" s="46">
        <v>1060</v>
      </c>
      <c r="D11072" s="69" t="s">
        <v>29418</v>
      </c>
      <c r="E11072" s="51"/>
      <c r="F11072" s="114" t="str">
        <f>IF(INDEX(I.Facility.P2bIDNumber,1060)="","",INDEX(I.Facility.P2bIDNumber,1060))</f>
        <v/>
      </c>
      <c r="G11072" s="51"/>
      <c r="H11072" s="46" t="str">
        <f>IF(AND(I.Developer.P2b=TRUE,I.Facility.P2bFacilityCount&gt;=1060,F11072=""),"Incomplete","Complete")</f>
        <v>Complete</v>
      </c>
      <c r="I11072" s="48" t="s">
        <v>15437</v>
      </c>
    </row>
    <row r="11073" spans="2:9" ht="15" customHeight="1" x14ac:dyDescent="0.25">
      <c r="B11073" s="55" t="s">
        <v>281</v>
      </c>
      <c r="C11073" s="46">
        <v>1061</v>
      </c>
      <c r="D11073" s="69" t="s">
        <v>29418</v>
      </c>
      <c r="E11073" s="51"/>
      <c r="F11073" s="114" t="str">
        <f>IF(INDEX(I.Facility.P2bIDNumber,1061)="","",INDEX(I.Facility.P2bIDNumber,1061))</f>
        <v/>
      </c>
      <c r="G11073" s="51"/>
      <c r="H11073" s="46" t="str">
        <f>IF(AND(I.Developer.P2b=TRUE,I.Facility.P2bFacilityCount&gt;=1061,F11073=""),"Incomplete","Complete")</f>
        <v>Complete</v>
      </c>
      <c r="I11073" s="48" t="s">
        <v>15438</v>
      </c>
    </row>
    <row r="11074" spans="2:9" ht="15" customHeight="1" x14ac:dyDescent="0.25">
      <c r="B11074" s="55" t="s">
        <v>281</v>
      </c>
      <c r="C11074" s="46">
        <v>1062</v>
      </c>
      <c r="D11074" s="69" t="s">
        <v>29418</v>
      </c>
      <c r="E11074" s="51"/>
      <c r="F11074" s="114" t="str">
        <f>IF(INDEX(I.Facility.P2bIDNumber,1062)="","",INDEX(I.Facility.P2bIDNumber,1062))</f>
        <v/>
      </c>
      <c r="G11074" s="51"/>
      <c r="H11074" s="46" t="str">
        <f>IF(AND(I.Developer.P2b=TRUE,I.Facility.P2bFacilityCount&gt;=1062,F11074=""),"Incomplete","Complete")</f>
        <v>Complete</v>
      </c>
      <c r="I11074" s="48" t="s">
        <v>15439</v>
      </c>
    </row>
    <row r="11075" spans="2:9" ht="15" customHeight="1" x14ac:dyDescent="0.25">
      <c r="B11075" s="55" t="s">
        <v>281</v>
      </c>
      <c r="C11075" s="46">
        <v>1063</v>
      </c>
      <c r="D11075" s="69" t="s">
        <v>29418</v>
      </c>
      <c r="E11075" s="51"/>
      <c r="F11075" s="114" t="str">
        <f>IF(INDEX(I.Facility.P2bIDNumber,1063)="","",INDEX(I.Facility.P2bIDNumber,1063))</f>
        <v/>
      </c>
      <c r="G11075" s="51"/>
      <c r="H11075" s="46" t="str">
        <f>IF(AND(I.Developer.P2b=TRUE,I.Facility.P2bFacilityCount&gt;=1063,F11075=""),"Incomplete","Complete")</f>
        <v>Complete</v>
      </c>
      <c r="I11075" s="48" t="s">
        <v>15440</v>
      </c>
    </row>
    <row r="11076" spans="2:9" ht="15" customHeight="1" x14ac:dyDescent="0.25">
      <c r="B11076" s="55" t="s">
        <v>281</v>
      </c>
      <c r="C11076" s="46">
        <v>1064</v>
      </c>
      <c r="D11076" s="69" t="s">
        <v>29418</v>
      </c>
      <c r="E11076" s="51"/>
      <c r="F11076" s="114" t="str">
        <f>IF(INDEX(I.Facility.P2bIDNumber,1064)="","",INDEX(I.Facility.P2bIDNumber,1064))</f>
        <v/>
      </c>
      <c r="G11076" s="51"/>
      <c r="H11076" s="46" t="str">
        <f>IF(AND(I.Developer.P2b=TRUE,I.Facility.P2bFacilityCount&gt;=1064,F11076=""),"Incomplete","Complete")</f>
        <v>Complete</v>
      </c>
      <c r="I11076" s="48" t="s">
        <v>15441</v>
      </c>
    </row>
    <row r="11077" spans="2:9" ht="15" customHeight="1" x14ac:dyDescent="0.25">
      <c r="B11077" s="55" t="s">
        <v>281</v>
      </c>
      <c r="C11077" s="46">
        <v>1065</v>
      </c>
      <c r="D11077" s="69" t="s">
        <v>29418</v>
      </c>
      <c r="E11077" s="51"/>
      <c r="F11077" s="114" t="str">
        <f>IF(INDEX(I.Facility.P2bIDNumber,1065)="","",INDEX(I.Facility.P2bIDNumber,1065))</f>
        <v/>
      </c>
      <c r="G11077" s="51"/>
      <c r="H11077" s="46" t="str">
        <f>IF(AND(I.Developer.P2b=TRUE,I.Facility.P2bFacilityCount&gt;=1065,F11077=""),"Incomplete","Complete")</f>
        <v>Complete</v>
      </c>
      <c r="I11077" s="48" t="s">
        <v>15442</v>
      </c>
    </row>
    <row r="11078" spans="2:9" ht="15" customHeight="1" x14ac:dyDescent="0.25">
      <c r="B11078" s="55" t="s">
        <v>281</v>
      </c>
      <c r="C11078" s="46">
        <v>1066</v>
      </c>
      <c r="D11078" s="69" t="s">
        <v>29418</v>
      </c>
      <c r="E11078" s="51"/>
      <c r="F11078" s="114" t="str">
        <f>IF(INDEX(I.Facility.P2bIDNumber,1066)="","",INDEX(I.Facility.P2bIDNumber,1066))</f>
        <v/>
      </c>
      <c r="G11078" s="51"/>
      <c r="H11078" s="46" t="str">
        <f>IF(AND(I.Developer.P2b=TRUE,I.Facility.P2bFacilityCount&gt;=1066,F11078=""),"Incomplete","Complete")</f>
        <v>Complete</v>
      </c>
      <c r="I11078" s="48" t="s">
        <v>15443</v>
      </c>
    </row>
    <row r="11079" spans="2:9" ht="15" customHeight="1" x14ac:dyDescent="0.25">
      <c r="B11079" s="55" t="s">
        <v>281</v>
      </c>
      <c r="C11079" s="46">
        <v>1067</v>
      </c>
      <c r="D11079" s="69" t="s">
        <v>29418</v>
      </c>
      <c r="E11079" s="51"/>
      <c r="F11079" s="114" t="str">
        <f>IF(INDEX(I.Facility.P2bIDNumber,1067)="","",INDEX(I.Facility.P2bIDNumber,1067))</f>
        <v/>
      </c>
      <c r="G11079" s="51"/>
      <c r="H11079" s="46" t="str">
        <f>IF(AND(I.Developer.P2b=TRUE,I.Facility.P2bFacilityCount&gt;=1067,F11079=""),"Incomplete","Complete")</f>
        <v>Complete</v>
      </c>
      <c r="I11079" s="48" t="s">
        <v>15444</v>
      </c>
    </row>
    <row r="11080" spans="2:9" ht="15" customHeight="1" x14ac:dyDescent="0.25">
      <c r="B11080" s="55" t="s">
        <v>281</v>
      </c>
      <c r="C11080" s="46">
        <v>1068</v>
      </c>
      <c r="D11080" s="69" t="s">
        <v>29418</v>
      </c>
      <c r="E11080" s="51"/>
      <c r="F11080" s="114" t="str">
        <f>IF(INDEX(I.Facility.P2bIDNumber,1068)="","",INDEX(I.Facility.P2bIDNumber,1068))</f>
        <v/>
      </c>
      <c r="G11080" s="51"/>
      <c r="H11080" s="46" t="str">
        <f>IF(AND(I.Developer.P2b=TRUE,I.Facility.P2bFacilityCount&gt;=1068,F11080=""),"Incomplete","Complete")</f>
        <v>Complete</v>
      </c>
      <c r="I11080" s="48" t="s">
        <v>15445</v>
      </c>
    </row>
    <row r="11081" spans="2:9" ht="15" customHeight="1" x14ac:dyDescent="0.25">
      <c r="B11081" s="55" t="s">
        <v>281</v>
      </c>
      <c r="C11081" s="46">
        <v>1069</v>
      </c>
      <c r="D11081" s="69" t="s">
        <v>29418</v>
      </c>
      <c r="E11081" s="51"/>
      <c r="F11081" s="114" t="str">
        <f>IF(INDEX(I.Facility.P2bIDNumber,1069)="","",INDEX(I.Facility.P2bIDNumber,1069))</f>
        <v/>
      </c>
      <c r="G11081" s="51"/>
      <c r="H11081" s="46" t="str">
        <f>IF(AND(I.Developer.P2b=TRUE,I.Facility.P2bFacilityCount&gt;=1069,F11081=""),"Incomplete","Complete")</f>
        <v>Complete</v>
      </c>
      <c r="I11081" s="48" t="s">
        <v>15446</v>
      </c>
    </row>
    <row r="11082" spans="2:9" ht="15" customHeight="1" x14ac:dyDescent="0.25">
      <c r="B11082" s="55" t="s">
        <v>281</v>
      </c>
      <c r="C11082" s="46">
        <v>1070</v>
      </c>
      <c r="D11082" s="69" t="s">
        <v>29418</v>
      </c>
      <c r="E11082" s="51"/>
      <c r="F11082" s="114" t="str">
        <f>IF(INDEX(I.Facility.P2bIDNumber,1070)="","",INDEX(I.Facility.P2bIDNumber,1070))</f>
        <v/>
      </c>
      <c r="G11082" s="51"/>
      <c r="H11082" s="46" t="str">
        <f>IF(AND(I.Developer.P2b=TRUE,I.Facility.P2bFacilityCount&gt;=1070,F11082=""),"Incomplete","Complete")</f>
        <v>Complete</v>
      </c>
      <c r="I11082" s="48" t="s">
        <v>15447</v>
      </c>
    </row>
    <row r="11083" spans="2:9" ht="15" customHeight="1" x14ac:dyDescent="0.25">
      <c r="B11083" s="55" t="s">
        <v>281</v>
      </c>
      <c r="C11083" s="46">
        <v>1071</v>
      </c>
      <c r="D11083" s="69" t="s">
        <v>29418</v>
      </c>
      <c r="E11083" s="51"/>
      <c r="F11083" s="114" t="str">
        <f>IF(INDEX(I.Facility.P2bIDNumber,1071)="","",INDEX(I.Facility.P2bIDNumber,1071))</f>
        <v/>
      </c>
      <c r="G11083" s="51"/>
      <c r="H11083" s="46" t="str">
        <f>IF(AND(I.Developer.P2b=TRUE,I.Facility.P2bFacilityCount&gt;=1071,F11083=""),"Incomplete","Complete")</f>
        <v>Complete</v>
      </c>
      <c r="I11083" s="48" t="s">
        <v>15448</v>
      </c>
    </row>
    <row r="11084" spans="2:9" ht="15" customHeight="1" x14ac:dyDescent="0.25">
      <c r="B11084" s="55" t="s">
        <v>281</v>
      </c>
      <c r="C11084" s="46">
        <v>1072</v>
      </c>
      <c r="D11084" s="69" t="s">
        <v>29418</v>
      </c>
      <c r="E11084" s="51"/>
      <c r="F11084" s="114" t="str">
        <f>IF(INDEX(I.Facility.P2bIDNumber,1072)="","",INDEX(I.Facility.P2bIDNumber,1072))</f>
        <v/>
      </c>
      <c r="G11084" s="51"/>
      <c r="H11084" s="46" t="str">
        <f>IF(AND(I.Developer.P2b=TRUE,I.Facility.P2bFacilityCount&gt;=1072,F11084=""),"Incomplete","Complete")</f>
        <v>Complete</v>
      </c>
      <c r="I11084" s="48" t="s">
        <v>15449</v>
      </c>
    </row>
    <row r="11085" spans="2:9" ht="15" customHeight="1" x14ac:dyDescent="0.25">
      <c r="B11085" s="55" t="s">
        <v>281</v>
      </c>
      <c r="C11085" s="46">
        <v>1073</v>
      </c>
      <c r="D11085" s="69" t="s">
        <v>29418</v>
      </c>
      <c r="E11085" s="51"/>
      <c r="F11085" s="114" t="str">
        <f>IF(INDEX(I.Facility.P2bIDNumber,1073)="","",INDEX(I.Facility.P2bIDNumber,1073))</f>
        <v/>
      </c>
      <c r="G11085" s="51"/>
      <c r="H11085" s="46" t="str">
        <f>IF(AND(I.Developer.P2b=TRUE,I.Facility.P2bFacilityCount&gt;=1073,F11085=""),"Incomplete","Complete")</f>
        <v>Complete</v>
      </c>
      <c r="I11085" s="48" t="s">
        <v>15450</v>
      </c>
    </row>
    <row r="11086" spans="2:9" ht="15" customHeight="1" x14ac:dyDescent="0.25">
      <c r="B11086" s="55" t="s">
        <v>281</v>
      </c>
      <c r="C11086" s="46">
        <v>1074</v>
      </c>
      <c r="D11086" s="69" t="s">
        <v>29418</v>
      </c>
      <c r="E11086" s="51"/>
      <c r="F11086" s="114" t="str">
        <f>IF(INDEX(I.Facility.P2bIDNumber,1074)="","",INDEX(I.Facility.P2bIDNumber,1074))</f>
        <v/>
      </c>
      <c r="G11086" s="51"/>
      <c r="H11086" s="46" t="str">
        <f>IF(AND(I.Developer.P2b=TRUE,I.Facility.P2bFacilityCount&gt;=1074,F11086=""),"Incomplete","Complete")</f>
        <v>Complete</v>
      </c>
      <c r="I11086" s="48" t="s">
        <v>15451</v>
      </c>
    </row>
    <row r="11087" spans="2:9" ht="15" customHeight="1" x14ac:dyDescent="0.25">
      <c r="B11087" s="55" t="s">
        <v>281</v>
      </c>
      <c r="C11087" s="46">
        <v>1075</v>
      </c>
      <c r="D11087" s="69" t="s">
        <v>29418</v>
      </c>
      <c r="E11087" s="51"/>
      <c r="F11087" s="114" t="str">
        <f>IF(INDEX(I.Facility.P2bIDNumber,1075)="","",INDEX(I.Facility.P2bIDNumber,1075))</f>
        <v/>
      </c>
      <c r="G11087" s="51"/>
      <c r="H11087" s="46" t="str">
        <f>IF(AND(I.Developer.P2b=TRUE,I.Facility.P2bFacilityCount&gt;=1075,F11087=""),"Incomplete","Complete")</f>
        <v>Complete</v>
      </c>
      <c r="I11087" s="48" t="s">
        <v>15452</v>
      </c>
    </row>
    <row r="11088" spans="2:9" ht="15" customHeight="1" x14ac:dyDescent="0.25">
      <c r="B11088" s="55" t="s">
        <v>281</v>
      </c>
      <c r="C11088" s="46">
        <v>1076</v>
      </c>
      <c r="D11088" s="69" t="s">
        <v>29418</v>
      </c>
      <c r="E11088" s="51"/>
      <c r="F11088" s="114" t="str">
        <f>IF(INDEX(I.Facility.P2bIDNumber,1076)="","",INDEX(I.Facility.P2bIDNumber,1076))</f>
        <v/>
      </c>
      <c r="G11088" s="51"/>
      <c r="H11088" s="46" t="str">
        <f>IF(AND(I.Developer.P2b=TRUE,I.Facility.P2bFacilityCount&gt;=1076,F11088=""),"Incomplete","Complete")</f>
        <v>Complete</v>
      </c>
      <c r="I11088" s="48" t="s">
        <v>15453</v>
      </c>
    </row>
    <row r="11089" spans="2:9" ht="15" customHeight="1" x14ac:dyDescent="0.25">
      <c r="B11089" s="55" t="s">
        <v>281</v>
      </c>
      <c r="C11089" s="46">
        <v>1077</v>
      </c>
      <c r="D11089" s="69" t="s">
        <v>29418</v>
      </c>
      <c r="E11089" s="51"/>
      <c r="F11089" s="114" t="str">
        <f>IF(INDEX(I.Facility.P2bIDNumber,1077)="","",INDEX(I.Facility.P2bIDNumber,1077))</f>
        <v/>
      </c>
      <c r="G11089" s="51"/>
      <c r="H11089" s="46" t="str">
        <f>IF(AND(I.Developer.P2b=TRUE,I.Facility.P2bFacilityCount&gt;=1077,F11089=""),"Incomplete","Complete")</f>
        <v>Complete</v>
      </c>
      <c r="I11089" s="48" t="s">
        <v>15454</v>
      </c>
    </row>
    <row r="11090" spans="2:9" ht="15" customHeight="1" x14ac:dyDescent="0.25">
      <c r="B11090" s="55" t="s">
        <v>281</v>
      </c>
      <c r="C11090" s="46">
        <v>1078</v>
      </c>
      <c r="D11090" s="69" t="s">
        <v>29418</v>
      </c>
      <c r="E11090" s="51"/>
      <c r="F11090" s="114" t="str">
        <f>IF(INDEX(I.Facility.P2bIDNumber,1078)="","",INDEX(I.Facility.P2bIDNumber,1078))</f>
        <v/>
      </c>
      <c r="G11090" s="51"/>
      <c r="H11090" s="46" t="str">
        <f>IF(AND(I.Developer.P2b=TRUE,I.Facility.P2bFacilityCount&gt;=1078,F11090=""),"Incomplete","Complete")</f>
        <v>Complete</v>
      </c>
      <c r="I11090" s="48" t="s">
        <v>15455</v>
      </c>
    </row>
    <row r="11091" spans="2:9" ht="15" customHeight="1" x14ac:dyDescent="0.25">
      <c r="B11091" s="55" t="s">
        <v>281</v>
      </c>
      <c r="C11091" s="46">
        <v>1079</v>
      </c>
      <c r="D11091" s="69" t="s">
        <v>29418</v>
      </c>
      <c r="E11091" s="51"/>
      <c r="F11091" s="114" t="str">
        <f>IF(INDEX(I.Facility.P2bIDNumber,1079)="","",INDEX(I.Facility.P2bIDNumber,1079))</f>
        <v/>
      </c>
      <c r="G11091" s="51"/>
      <c r="H11091" s="46" t="str">
        <f>IF(AND(I.Developer.P2b=TRUE,I.Facility.P2bFacilityCount&gt;=1079,F11091=""),"Incomplete","Complete")</f>
        <v>Complete</v>
      </c>
      <c r="I11091" s="48" t="s">
        <v>15456</v>
      </c>
    </row>
    <row r="11092" spans="2:9" ht="15" customHeight="1" x14ac:dyDescent="0.25">
      <c r="B11092" s="55" t="s">
        <v>281</v>
      </c>
      <c r="C11092" s="46">
        <v>1080</v>
      </c>
      <c r="D11092" s="69" t="s">
        <v>29418</v>
      </c>
      <c r="E11092" s="51"/>
      <c r="F11092" s="114" t="str">
        <f>IF(INDEX(I.Facility.P2bIDNumber,1080)="","",INDEX(I.Facility.P2bIDNumber,1080))</f>
        <v/>
      </c>
      <c r="G11092" s="51"/>
      <c r="H11092" s="46" t="str">
        <f>IF(AND(I.Developer.P2b=TRUE,I.Facility.P2bFacilityCount&gt;=1080,F11092=""),"Incomplete","Complete")</f>
        <v>Complete</v>
      </c>
      <c r="I11092" s="48" t="s">
        <v>15457</v>
      </c>
    </row>
    <row r="11093" spans="2:9" ht="15" customHeight="1" x14ac:dyDescent="0.25">
      <c r="B11093" s="55" t="s">
        <v>281</v>
      </c>
      <c r="C11093" s="46">
        <v>1081</v>
      </c>
      <c r="D11093" s="69" t="s">
        <v>29418</v>
      </c>
      <c r="E11093" s="51"/>
      <c r="F11093" s="114" t="str">
        <f>IF(INDEX(I.Facility.P2bIDNumber,1081)="","",INDEX(I.Facility.P2bIDNumber,1081))</f>
        <v/>
      </c>
      <c r="G11093" s="51"/>
      <c r="H11093" s="46" t="str">
        <f>IF(AND(I.Developer.P2b=TRUE,I.Facility.P2bFacilityCount&gt;=1081,F11093=""),"Incomplete","Complete")</f>
        <v>Complete</v>
      </c>
      <c r="I11093" s="48" t="s">
        <v>15458</v>
      </c>
    </row>
    <row r="11094" spans="2:9" ht="15" customHeight="1" x14ac:dyDescent="0.25">
      <c r="B11094" s="55" t="s">
        <v>281</v>
      </c>
      <c r="C11094" s="46">
        <v>1082</v>
      </c>
      <c r="D11094" s="69" t="s">
        <v>29418</v>
      </c>
      <c r="E11094" s="51"/>
      <c r="F11094" s="114" t="str">
        <f>IF(INDEX(I.Facility.P2bIDNumber,1082)="","",INDEX(I.Facility.P2bIDNumber,1082))</f>
        <v/>
      </c>
      <c r="G11094" s="51"/>
      <c r="H11094" s="46" t="str">
        <f>IF(AND(I.Developer.P2b=TRUE,I.Facility.P2bFacilityCount&gt;=1082,F11094=""),"Incomplete","Complete")</f>
        <v>Complete</v>
      </c>
      <c r="I11094" s="48" t="s">
        <v>15459</v>
      </c>
    </row>
    <row r="11095" spans="2:9" ht="15" customHeight="1" x14ac:dyDescent="0.25">
      <c r="B11095" s="55" t="s">
        <v>281</v>
      </c>
      <c r="C11095" s="46">
        <v>1083</v>
      </c>
      <c r="D11095" s="69" t="s">
        <v>29418</v>
      </c>
      <c r="E11095" s="51"/>
      <c r="F11095" s="114" t="str">
        <f>IF(INDEX(I.Facility.P2bIDNumber,1083)="","",INDEX(I.Facility.P2bIDNumber,1083))</f>
        <v/>
      </c>
      <c r="G11095" s="51"/>
      <c r="H11095" s="46" t="str">
        <f>IF(AND(I.Developer.P2b=TRUE,I.Facility.P2bFacilityCount&gt;=1083,F11095=""),"Incomplete","Complete")</f>
        <v>Complete</v>
      </c>
      <c r="I11095" s="48" t="s">
        <v>15460</v>
      </c>
    </row>
    <row r="11096" spans="2:9" ht="15" customHeight="1" x14ac:dyDescent="0.25">
      <c r="B11096" s="55" t="s">
        <v>281</v>
      </c>
      <c r="C11096" s="46">
        <v>1084</v>
      </c>
      <c r="D11096" s="69" t="s">
        <v>29418</v>
      </c>
      <c r="E11096" s="51"/>
      <c r="F11096" s="114" t="str">
        <f>IF(INDEX(I.Facility.P2bIDNumber,1084)="","",INDEX(I.Facility.P2bIDNumber,1084))</f>
        <v/>
      </c>
      <c r="G11096" s="51"/>
      <c r="H11096" s="46" t="str">
        <f>IF(AND(I.Developer.P2b=TRUE,I.Facility.P2bFacilityCount&gt;=1084,F11096=""),"Incomplete","Complete")</f>
        <v>Complete</v>
      </c>
      <c r="I11096" s="48" t="s">
        <v>15461</v>
      </c>
    </row>
    <row r="11097" spans="2:9" ht="15" customHeight="1" x14ac:dyDescent="0.25">
      <c r="B11097" s="55" t="s">
        <v>281</v>
      </c>
      <c r="C11097" s="46">
        <v>1085</v>
      </c>
      <c r="D11097" s="69" t="s">
        <v>29418</v>
      </c>
      <c r="E11097" s="51"/>
      <c r="F11097" s="114" t="str">
        <f>IF(INDEX(I.Facility.P2bIDNumber,1085)="","",INDEX(I.Facility.P2bIDNumber,1085))</f>
        <v/>
      </c>
      <c r="G11097" s="51"/>
      <c r="H11097" s="46" t="str">
        <f>IF(AND(I.Developer.P2b=TRUE,I.Facility.P2bFacilityCount&gt;=1085,F11097=""),"Incomplete","Complete")</f>
        <v>Complete</v>
      </c>
      <c r="I11097" s="48" t="s">
        <v>15462</v>
      </c>
    </row>
    <row r="11098" spans="2:9" ht="15" customHeight="1" x14ac:dyDescent="0.25">
      <c r="B11098" s="55" t="s">
        <v>281</v>
      </c>
      <c r="C11098" s="46">
        <v>1086</v>
      </c>
      <c r="D11098" s="69" t="s">
        <v>29418</v>
      </c>
      <c r="E11098" s="51"/>
      <c r="F11098" s="114" t="str">
        <f>IF(INDEX(I.Facility.P2bIDNumber,1086)="","",INDEX(I.Facility.P2bIDNumber,1086))</f>
        <v/>
      </c>
      <c r="G11098" s="51"/>
      <c r="H11098" s="46" t="str">
        <f>IF(AND(I.Developer.P2b=TRUE,I.Facility.P2bFacilityCount&gt;=1086,F11098=""),"Incomplete","Complete")</f>
        <v>Complete</v>
      </c>
      <c r="I11098" s="48" t="s">
        <v>15463</v>
      </c>
    </row>
    <row r="11099" spans="2:9" ht="15" customHeight="1" x14ac:dyDescent="0.25">
      <c r="B11099" s="55" t="s">
        <v>281</v>
      </c>
      <c r="C11099" s="46">
        <v>1087</v>
      </c>
      <c r="D11099" s="69" t="s">
        <v>29418</v>
      </c>
      <c r="E11099" s="51"/>
      <c r="F11099" s="114" t="str">
        <f>IF(INDEX(I.Facility.P2bIDNumber,1087)="","",INDEX(I.Facility.P2bIDNumber,1087))</f>
        <v/>
      </c>
      <c r="G11099" s="51"/>
      <c r="H11099" s="46" t="str">
        <f>IF(AND(I.Developer.P2b=TRUE,I.Facility.P2bFacilityCount&gt;=1087,F11099=""),"Incomplete","Complete")</f>
        <v>Complete</v>
      </c>
      <c r="I11099" s="48" t="s">
        <v>15464</v>
      </c>
    </row>
    <row r="11100" spans="2:9" ht="15" customHeight="1" x14ac:dyDescent="0.25">
      <c r="B11100" s="55" t="s">
        <v>281</v>
      </c>
      <c r="C11100" s="46">
        <v>1088</v>
      </c>
      <c r="D11100" s="69" t="s">
        <v>29418</v>
      </c>
      <c r="E11100" s="51"/>
      <c r="F11100" s="114" t="str">
        <f>IF(INDEX(I.Facility.P2bIDNumber,1088)="","",INDEX(I.Facility.P2bIDNumber,1088))</f>
        <v/>
      </c>
      <c r="G11100" s="51"/>
      <c r="H11100" s="46" t="str">
        <f>IF(AND(I.Developer.P2b=TRUE,I.Facility.P2bFacilityCount&gt;=1088,F11100=""),"Incomplete","Complete")</f>
        <v>Complete</v>
      </c>
      <c r="I11100" s="48" t="s">
        <v>15465</v>
      </c>
    </row>
    <row r="11101" spans="2:9" ht="15" customHeight="1" x14ac:dyDescent="0.25">
      <c r="B11101" s="55" t="s">
        <v>281</v>
      </c>
      <c r="C11101" s="46">
        <v>1089</v>
      </c>
      <c r="D11101" s="69" t="s">
        <v>29418</v>
      </c>
      <c r="E11101" s="51"/>
      <c r="F11101" s="114" t="str">
        <f>IF(INDEX(I.Facility.P2bIDNumber,1089)="","",INDEX(I.Facility.P2bIDNumber,1089))</f>
        <v/>
      </c>
      <c r="G11101" s="51"/>
      <c r="H11101" s="46" t="str">
        <f>IF(AND(I.Developer.P2b=TRUE,I.Facility.P2bFacilityCount&gt;=1089,F11101=""),"Incomplete","Complete")</f>
        <v>Complete</v>
      </c>
      <c r="I11101" s="48" t="s">
        <v>15466</v>
      </c>
    </row>
    <row r="11102" spans="2:9" ht="15" customHeight="1" x14ac:dyDescent="0.25">
      <c r="B11102" s="55" t="s">
        <v>281</v>
      </c>
      <c r="C11102" s="46">
        <v>1090</v>
      </c>
      <c r="D11102" s="69" t="s">
        <v>29418</v>
      </c>
      <c r="E11102" s="51"/>
      <c r="F11102" s="114" t="str">
        <f>IF(INDEX(I.Facility.P2bIDNumber,1090)="","",INDEX(I.Facility.P2bIDNumber,1090))</f>
        <v/>
      </c>
      <c r="G11102" s="51"/>
      <c r="H11102" s="46" t="str">
        <f>IF(AND(I.Developer.P2b=TRUE,I.Facility.P2bFacilityCount&gt;=1090,F11102=""),"Incomplete","Complete")</f>
        <v>Complete</v>
      </c>
      <c r="I11102" s="48" t="s">
        <v>15467</v>
      </c>
    </row>
    <row r="11103" spans="2:9" ht="15" customHeight="1" x14ac:dyDescent="0.25">
      <c r="B11103" s="55" t="s">
        <v>281</v>
      </c>
      <c r="C11103" s="46">
        <v>1091</v>
      </c>
      <c r="D11103" s="69" t="s">
        <v>29418</v>
      </c>
      <c r="E11103" s="51"/>
      <c r="F11103" s="114" t="str">
        <f>IF(INDEX(I.Facility.P2bIDNumber,1091)="","",INDEX(I.Facility.P2bIDNumber,1091))</f>
        <v/>
      </c>
      <c r="G11103" s="51"/>
      <c r="H11103" s="46" t="str">
        <f>IF(AND(I.Developer.P2b=TRUE,I.Facility.P2bFacilityCount&gt;=1091,F11103=""),"Incomplete","Complete")</f>
        <v>Complete</v>
      </c>
      <c r="I11103" s="48" t="s">
        <v>15468</v>
      </c>
    </row>
    <row r="11104" spans="2:9" ht="15" customHeight="1" x14ac:dyDescent="0.25">
      <c r="B11104" s="55" t="s">
        <v>281</v>
      </c>
      <c r="C11104" s="46">
        <v>1092</v>
      </c>
      <c r="D11104" s="69" t="s">
        <v>29418</v>
      </c>
      <c r="E11104" s="51"/>
      <c r="F11104" s="114" t="str">
        <f>IF(INDEX(I.Facility.P2bIDNumber,1092)="","",INDEX(I.Facility.P2bIDNumber,1092))</f>
        <v/>
      </c>
      <c r="G11104" s="51"/>
      <c r="H11104" s="46" t="str">
        <f>IF(AND(I.Developer.P2b=TRUE,I.Facility.P2bFacilityCount&gt;=1092,F11104=""),"Incomplete","Complete")</f>
        <v>Complete</v>
      </c>
      <c r="I11104" s="48" t="s">
        <v>15469</v>
      </c>
    </row>
    <row r="11105" spans="2:9" ht="15" customHeight="1" x14ac:dyDescent="0.25">
      <c r="B11105" s="55" t="s">
        <v>281</v>
      </c>
      <c r="C11105" s="46">
        <v>1093</v>
      </c>
      <c r="D11105" s="69" t="s">
        <v>29418</v>
      </c>
      <c r="E11105" s="51"/>
      <c r="F11105" s="114" t="str">
        <f>IF(INDEX(I.Facility.P2bIDNumber,1093)="","",INDEX(I.Facility.P2bIDNumber,1093))</f>
        <v/>
      </c>
      <c r="G11105" s="51"/>
      <c r="H11105" s="46" t="str">
        <f>IF(AND(I.Developer.P2b=TRUE,I.Facility.P2bFacilityCount&gt;=1093,F11105=""),"Incomplete","Complete")</f>
        <v>Complete</v>
      </c>
      <c r="I11105" s="48" t="s">
        <v>15470</v>
      </c>
    </row>
    <row r="11106" spans="2:9" ht="15" customHeight="1" x14ac:dyDescent="0.25">
      <c r="B11106" s="55" t="s">
        <v>281</v>
      </c>
      <c r="C11106" s="46">
        <v>1094</v>
      </c>
      <c r="D11106" s="69" t="s">
        <v>29418</v>
      </c>
      <c r="E11106" s="51"/>
      <c r="F11106" s="114" t="str">
        <f>IF(INDEX(I.Facility.P2bIDNumber,1094)="","",INDEX(I.Facility.P2bIDNumber,1094))</f>
        <v/>
      </c>
      <c r="G11106" s="51"/>
      <c r="H11106" s="46" t="str">
        <f>IF(AND(I.Developer.P2b=TRUE,I.Facility.P2bFacilityCount&gt;=1094,F11106=""),"Incomplete","Complete")</f>
        <v>Complete</v>
      </c>
      <c r="I11106" s="48" t="s">
        <v>15471</v>
      </c>
    </row>
    <row r="11107" spans="2:9" ht="15" customHeight="1" x14ac:dyDescent="0.25">
      <c r="B11107" s="55" t="s">
        <v>281</v>
      </c>
      <c r="C11107" s="46">
        <v>1095</v>
      </c>
      <c r="D11107" s="69" t="s">
        <v>29418</v>
      </c>
      <c r="E11107" s="51"/>
      <c r="F11107" s="114" t="str">
        <f>IF(INDEX(I.Facility.P2bIDNumber,1095)="","",INDEX(I.Facility.P2bIDNumber,1095))</f>
        <v/>
      </c>
      <c r="G11107" s="51"/>
      <c r="H11107" s="46" t="str">
        <f>IF(AND(I.Developer.P2b=TRUE,I.Facility.P2bFacilityCount&gt;=1095,F11107=""),"Incomplete","Complete")</f>
        <v>Complete</v>
      </c>
      <c r="I11107" s="48" t="s">
        <v>15472</v>
      </c>
    </row>
    <row r="11108" spans="2:9" ht="15" customHeight="1" x14ac:dyDescent="0.25">
      <c r="B11108" s="55" t="s">
        <v>281</v>
      </c>
      <c r="C11108" s="46">
        <v>1096</v>
      </c>
      <c r="D11108" s="69" t="s">
        <v>29418</v>
      </c>
      <c r="E11108" s="51"/>
      <c r="F11108" s="114" t="str">
        <f>IF(INDEX(I.Facility.P2bIDNumber,1096)="","",INDEX(I.Facility.P2bIDNumber,1096))</f>
        <v/>
      </c>
      <c r="G11108" s="51"/>
      <c r="H11108" s="46" t="str">
        <f>IF(AND(I.Developer.P2b=TRUE,I.Facility.P2bFacilityCount&gt;=1096,F11108=""),"Incomplete","Complete")</f>
        <v>Complete</v>
      </c>
      <c r="I11108" s="48" t="s">
        <v>15473</v>
      </c>
    </row>
    <row r="11109" spans="2:9" ht="15" customHeight="1" x14ac:dyDescent="0.25">
      <c r="B11109" s="55" t="s">
        <v>281</v>
      </c>
      <c r="C11109" s="46">
        <v>1097</v>
      </c>
      <c r="D11109" s="69" t="s">
        <v>29418</v>
      </c>
      <c r="E11109" s="51"/>
      <c r="F11109" s="114" t="str">
        <f>IF(INDEX(I.Facility.P2bIDNumber,1097)="","",INDEX(I.Facility.P2bIDNumber,1097))</f>
        <v/>
      </c>
      <c r="G11109" s="51"/>
      <c r="H11109" s="46" t="str">
        <f>IF(AND(I.Developer.P2b=TRUE,I.Facility.P2bFacilityCount&gt;=1097,F11109=""),"Incomplete","Complete")</f>
        <v>Complete</v>
      </c>
      <c r="I11109" s="48" t="s">
        <v>15474</v>
      </c>
    </row>
    <row r="11110" spans="2:9" ht="15" customHeight="1" x14ac:dyDescent="0.25">
      <c r="B11110" s="55" t="s">
        <v>281</v>
      </c>
      <c r="C11110" s="46">
        <v>1098</v>
      </c>
      <c r="D11110" s="69" t="s">
        <v>29418</v>
      </c>
      <c r="E11110" s="51"/>
      <c r="F11110" s="114" t="str">
        <f>IF(INDEX(I.Facility.P2bIDNumber,1098)="","",INDEX(I.Facility.P2bIDNumber,1098))</f>
        <v/>
      </c>
      <c r="G11110" s="51"/>
      <c r="H11110" s="46" t="str">
        <f>IF(AND(I.Developer.P2b=TRUE,I.Facility.P2bFacilityCount&gt;=1098,F11110=""),"Incomplete","Complete")</f>
        <v>Complete</v>
      </c>
      <c r="I11110" s="48" t="s">
        <v>15475</v>
      </c>
    </row>
    <row r="11111" spans="2:9" ht="15" customHeight="1" x14ac:dyDescent="0.25">
      <c r="B11111" s="55" t="s">
        <v>281</v>
      </c>
      <c r="C11111" s="46">
        <v>1099</v>
      </c>
      <c r="D11111" s="69" t="s">
        <v>29418</v>
      </c>
      <c r="E11111" s="51"/>
      <c r="F11111" s="114" t="str">
        <f>IF(INDEX(I.Facility.P2bIDNumber,1099)="","",INDEX(I.Facility.P2bIDNumber,1099))</f>
        <v/>
      </c>
      <c r="G11111" s="51"/>
      <c r="H11111" s="46" t="str">
        <f>IF(AND(I.Developer.P2b=TRUE,I.Facility.P2bFacilityCount&gt;=1099,F11111=""),"Incomplete","Complete")</f>
        <v>Complete</v>
      </c>
      <c r="I11111" s="48" t="s">
        <v>15476</v>
      </c>
    </row>
    <row r="11112" spans="2:9" ht="15" customHeight="1" x14ac:dyDescent="0.25">
      <c r="B11112" s="55" t="s">
        <v>281</v>
      </c>
      <c r="C11112" s="46">
        <v>1100</v>
      </c>
      <c r="D11112" s="69" t="s">
        <v>29418</v>
      </c>
      <c r="E11112" s="51"/>
      <c r="F11112" s="114" t="str">
        <f>IF(INDEX(I.Facility.P2bIDNumber,1100)="","",INDEX(I.Facility.P2bIDNumber,1100))</f>
        <v/>
      </c>
      <c r="G11112" s="51"/>
      <c r="H11112" s="46" t="str">
        <f>IF(AND(I.Developer.P2b=TRUE,I.Facility.P2bFacilityCount&gt;=1100,F11112=""),"Incomplete","Complete")</f>
        <v>Complete</v>
      </c>
      <c r="I11112" s="48" t="s">
        <v>15477</v>
      </c>
    </row>
    <row r="11113" spans="2:9" ht="15" customHeight="1" x14ac:dyDescent="0.25">
      <c r="B11113" s="55" t="s">
        <v>281</v>
      </c>
      <c r="C11113" s="46">
        <v>1101</v>
      </c>
      <c r="D11113" s="69" t="s">
        <v>29418</v>
      </c>
      <c r="E11113" s="51"/>
      <c r="F11113" s="114" t="str">
        <f>IF(INDEX(I.Facility.P2bIDNumber,1101)="","",INDEX(I.Facility.P2bIDNumber,1101))</f>
        <v/>
      </c>
      <c r="G11113" s="51"/>
      <c r="H11113" s="46" t="str">
        <f>IF(AND(I.Developer.P2b=TRUE,I.Facility.P2bFacilityCount&gt;=1101,F11113=""),"Incomplete","Complete")</f>
        <v>Complete</v>
      </c>
      <c r="I11113" s="48" t="s">
        <v>15478</v>
      </c>
    </row>
    <row r="11114" spans="2:9" ht="15" customHeight="1" x14ac:dyDescent="0.25">
      <c r="B11114" s="55" t="s">
        <v>281</v>
      </c>
      <c r="C11114" s="46">
        <v>1102</v>
      </c>
      <c r="D11114" s="69" t="s">
        <v>29418</v>
      </c>
      <c r="E11114" s="51"/>
      <c r="F11114" s="114" t="str">
        <f>IF(INDEX(I.Facility.P2bIDNumber,1102)="","",INDEX(I.Facility.P2bIDNumber,1102))</f>
        <v/>
      </c>
      <c r="G11114" s="51"/>
      <c r="H11114" s="46" t="str">
        <f>IF(AND(I.Developer.P2b=TRUE,I.Facility.P2bFacilityCount&gt;=1102,F11114=""),"Incomplete","Complete")</f>
        <v>Complete</v>
      </c>
      <c r="I11114" s="48" t="s">
        <v>15479</v>
      </c>
    </row>
    <row r="11115" spans="2:9" ht="15" customHeight="1" x14ac:dyDescent="0.25">
      <c r="B11115" s="55" t="s">
        <v>281</v>
      </c>
      <c r="C11115" s="46">
        <v>1103</v>
      </c>
      <c r="D11115" s="69" t="s">
        <v>29418</v>
      </c>
      <c r="E11115" s="51"/>
      <c r="F11115" s="114" t="str">
        <f>IF(INDEX(I.Facility.P2bIDNumber,1103)="","",INDEX(I.Facility.P2bIDNumber,1103))</f>
        <v/>
      </c>
      <c r="G11115" s="51"/>
      <c r="H11115" s="46" t="str">
        <f>IF(AND(I.Developer.P2b=TRUE,I.Facility.P2bFacilityCount&gt;=1103,F11115=""),"Incomplete","Complete")</f>
        <v>Complete</v>
      </c>
      <c r="I11115" s="48" t="s">
        <v>15480</v>
      </c>
    </row>
    <row r="11116" spans="2:9" ht="15" customHeight="1" x14ac:dyDescent="0.25">
      <c r="B11116" s="55" t="s">
        <v>281</v>
      </c>
      <c r="C11116" s="46">
        <v>1104</v>
      </c>
      <c r="D11116" s="69" t="s">
        <v>29418</v>
      </c>
      <c r="E11116" s="51"/>
      <c r="F11116" s="114" t="str">
        <f>IF(INDEX(I.Facility.P2bIDNumber,1104)="","",INDEX(I.Facility.P2bIDNumber,1104))</f>
        <v/>
      </c>
      <c r="G11116" s="51"/>
      <c r="H11116" s="46" t="str">
        <f>IF(AND(I.Developer.P2b=TRUE,I.Facility.P2bFacilityCount&gt;=1104,F11116=""),"Incomplete","Complete")</f>
        <v>Complete</v>
      </c>
      <c r="I11116" s="48" t="s">
        <v>15481</v>
      </c>
    </row>
    <row r="11117" spans="2:9" ht="15" customHeight="1" x14ac:dyDescent="0.25">
      <c r="B11117" s="55" t="s">
        <v>281</v>
      </c>
      <c r="C11117" s="46">
        <v>1105</v>
      </c>
      <c r="D11117" s="69" t="s">
        <v>29418</v>
      </c>
      <c r="E11117" s="51"/>
      <c r="F11117" s="114" t="str">
        <f>IF(INDEX(I.Facility.P2bIDNumber,1105)="","",INDEX(I.Facility.P2bIDNumber,1105))</f>
        <v/>
      </c>
      <c r="G11117" s="51"/>
      <c r="H11117" s="46" t="str">
        <f>IF(AND(I.Developer.P2b=TRUE,I.Facility.P2bFacilityCount&gt;=1105,F11117=""),"Incomplete","Complete")</f>
        <v>Complete</v>
      </c>
      <c r="I11117" s="48" t="s">
        <v>15482</v>
      </c>
    </row>
    <row r="11118" spans="2:9" ht="15" customHeight="1" x14ac:dyDescent="0.25">
      <c r="B11118" s="55" t="s">
        <v>281</v>
      </c>
      <c r="C11118" s="46">
        <v>1106</v>
      </c>
      <c r="D11118" s="69" t="s">
        <v>29418</v>
      </c>
      <c r="E11118" s="51"/>
      <c r="F11118" s="114" t="str">
        <f>IF(INDEX(I.Facility.P2bIDNumber,1106)="","",INDEX(I.Facility.P2bIDNumber,1106))</f>
        <v/>
      </c>
      <c r="G11118" s="51"/>
      <c r="H11118" s="46" t="str">
        <f>IF(AND(I.Developer.P2b=TRUE,I.Facility.P2bFacilityCount&gt;=1106,F11118=""),"Incomplete","Complete")</f>
        <v>Complete</v>
      </c>
      <c r="I11118" s="48" t="s">
        <v>15483</v>
      </c>
    </row>
    <row r="11119" spans="2:9" ht="15" customHeight="1" x14ac:dyDescent="0.25">
      <c r="B11119" s="55" t="s">
        <v>281</v>
      </c>
      <c r="C11119" s="46">
        <v>1107</v>
      </c>
      <c r="D11119" s="69" t="s">
        <v>29418</v>
      </c>
      <c r="E11119" s="51"/>
      <c r="F11119" s="114" t="str">
        <f>IF(INDEX(I.Facility.P2bIDNumber,1107)="","",INDEX(I.Facility.P2bIDNumber,1107))</f>
        <v/>
      </c>
      <c r="G11119" s="51"/>
      <c r="H11119" s="46" t="str">
        <f>IF(AND(I.Developer.P2b=TRUE,I.Facility.P2bFacilityCount&gt;=1107,F11119=""),"Incomplete","Complete")</f>
        <v>Complete</v>
      </c>
      <c r="I11119" s="48" t="s">
        <v>15484</v>
      </c>
    </row>
    <row r="11120" spans="2:9" ht="15" customHeight="1" x14ac:dyDescent="0.25">
      <c r="B11120" s="55" t="s">
        <v>281</v>
      </c>
      <c r="C11120" s="46">
        <v>1108</v>
      </c>
      <c r="D11120" s="69" t="s">
        <v>29418</v>
      </c>
      <c r="E11120" s="51"/>
      <c r="F11120" s="114" t="str">
        <f>IF(INDEX(I.Facility.P2bIDNumber,1108)="","",INDEX(I.Facility.P2bIDNumber,1108))</f>
        <v/>
      </c>
      <c r="G11120" s="51"/>
      <c r="H11120" s="46" t="str">
        <f>IF(AND(I.Developer.P2b=TRUE,I.Facility.P2bFacilityCount&gt;=1108,F11120=""),"Incomplete","Complete")</f>
        <v>Complete</v>
      </c>
      <c r="I11120" s="48" t="s">
        <v>15485</v>
      </c>
    </row>
    <row r="11121" spans="2:9" ht="15" customHeight="1" x14ac:dyDescent="0.25">
      <c r="B11121" s="55" t="s">
        <v>281</v>
      </c>
      <c r="C11121" s="46">
        <v>1109</v>
      </c>
      <c r="D11121" s="69" t="s">
        <v>29418</v>
      </c>
      <c r="E11121" s="51"/>
      <c r="F11121" s="114" t="str">
        <f>IF(INDEX(I.Facility.P2bIDNumber,1109)="","",INDEX(I.Facility.P2bIDNumber,1109))</f>
        <v/>
      </c>
      <c r="G11121" s="51"/>
      <c r="H11121" s="46" t="str">
        <f>IF(AND(I.Developer.P2b=TRUE,I.Facility.P2bFacilityCount&gt;=1109,F11121=""),"Incomplete","Complete")</f>
        <v>Complete</v>
      </c>
      <c r="I11121" s="48" t="s">
        <v>15486</v>
      </c>
    </row>
    <row r="11122" spans="2:9" ht="15" customHeight="1" x14ac:dyDescent="0.25">
      <c r="B11122" s="55" t="s">
        <v>281</v>
      </c>
      <c r="C11122" s="46">
        <v>1110</v>
      </c>
      <c r="D11122" s="69" t="s">
        <v>29418</v>
      </c>
      <c r="E11122" s="51"/>
      <c r="F11122" s="114" t="str">
        <f>IF(INDEX(I.Facility.P2bIDNumber,1110)="","",INDEX(I.Facility.P2bIDNumber,1110))</f>
        <v/>
      </c>
      <c r="G11122" s="51"/>
      <c r="H11122" s="46" t="str">
        <f>IF(AND(I.Developer.P2b=TRUE,I.Facility.P2bFacilityCount&gt;=1110,F11122=""),"Incomplete","Complete")</f>
        <v>Complete</v>
      </c>
      <c r="I11122" s="48" t="s">
        <v>15487</v>
      </c>
    </row>
    <row r="11123" spans="2:9" ht="15" customHeight="1" x14ac:dyDescent="0.25">
      <c r="B11123" s="55" t="s">
        <v>281</v>
      </c>
      <c r="C11123" s="46">
        <v>1111</v>
      </c>
      <c r="D11123" s="69" t="s">
        <v>29418</v>
      </c>
      <c r="E11123" s="51"/>
      <c r="F11123" s="114" t="str">
        <f>IF(INDEX(I.Facility.P2bIDNumber,1111)="","",INDEX(I.Facility.P2bIDNumber,1111))</f>
        <v/>
      </c>
      <c r="G11123" s="51"/>
      <c r="H11123" s="46" t="str">
        <f>IF(AND(I.Developer.P2b=TRUE,I.Facility.P2bFacilityCount&gt;=1111,F11123=""),"Incomplete","Complete")</f>
        <v>Complete</v>
      </c>
      <c r="I11123" s="48" t="s">
        <v>15488</v>
      </c>
    </row>
    <row r="11124" spans="2:9" ht="15" customHeight="1" x14ac:dyDescent="0.25">
      <c r="B11124" s="55" t="s">
        <v>281</v>
      </c>
      <c r="C11124" s="46">
        <v>1112</v>
      </c>
      <c r="D11124" s="69" t="s">
        <v>29418</v>
      </c>
      <c r="E11124" s="51"/>
      <c r="F11124" s="114" t="str">
        <f>IF(INDEX(I.Facility.P2bIDNumber,1112)="","",INDEX(I.Facility.P2bIDNumber,1112))</f>
        <v/>
      </c>
      <c r="G11124" s="51"/>
      <c r="H11124" s="46" t="str">
        <f>IF(AND(I.Developer.P2b=TRUE,I.Facility.P2bFacilityCount&gt;=1112,F11124=""),"Incomplete","Complete")</f>
        <v>Complete</v>
      </c>
      <c r="I11124" s="48" t="s">
        <v>15489</v>
      </c>
    </row>
    <row r="11125" spans="2:9" ht="15" customHeight="1" x14ac:dyDescent="0.25">
      <c r="B11125" s="55" t="s">
        <v>281</v>
      </c>
      <c r="C11125" s="46">
        <v>1113</v>
      </c>
      <c r="D11125" s="69" t="s">
        <v>29418</v>
      </c>
      <c r="E11125" s="51"/>
      <c r="F11125" s="114" t="str">
        <f>IF(INDEX(I.Facility.P2bIDNumber,1113)="","",INDEX(I.Facility.P2bIDNumber,1113))</f>
        <v/>
      </c>
      <c r="G11125" s="51"/>
      <c r="H11125" s="46" t="str">
        <f>IF(AND(I.Developer.P2b=TRUE,I.Facility.P2bFacilityCount&gt;=1113,F11125=""),"Incomplete","Complete")</f>
        <v>Complete</v>
      </c>
      <c r="I11125" s="48" t="s">
        <v>15490</v>
      </c>
    </row>
    <row r="11126" spans="2:9" ht="15" customHeight="1" x14ac:dyDescent="0.25">
      <c r="B11126" s="55" t="s">
        <v>281</v>
      </c>
      <c r="C11126" s="46">
        <v>1114</v>
      </c>
      <c r="D11126" s="69" t="s">
        <v>29418</v>
      </c>
      <c r="E11126" s="51"/>
      <c r="F11126" s="114" t="str">
        <f>IF(INDEX(I.Facility.P2bIDNumber,1114)="","",INDEX(I.Facility.P2bIDNumber,1114))</f>
        <v/>
      </c>
      <c r="G11126" s="51"/>
      <c r="H11126" s="46" t="str">
        <f>IF(AND(I.Developer.P2b=TRUE,I.Facility.P2bFacilityCount&gt;=1114,F11126=""),"Incomplete","Complete")</f>
        <v>Complete</v>
      </c>
      <c r="I11126" s="48" t="s">
        <v>15491</v>
      </c>
    </row>
    <row r="11127" spans="2:9" ht="15" customHeight="1" x14ac:dyDescent="0.25">
      <c r="B11127" s="55" t="s">
        <v>281</v>
      </c>
      <c r="C11127" s="46">
        <v>1115</v>
      </c>
      <c r="D11127" s="69" t="s">
        <v>29418</v>
      </c>
      <c r="E11127" s="51"/>
      <c r="F11127" s="114" t="str">
        <f>IF(INDEX(I.Facility.P2bIDNumber,1115)="","",INDEX(I.Facility.P2bIDNumber,1115))</f>
        <v/>
      </c>
      <c r="G11127" s="51"/>
      <c r="H11127" s="46" t="str">
        <f>IF(AND(I.Developer.P2b=TRUE,I.Facility.P2bFacilityCount&gt;=1115,F11127=""),"Incomplete","Complete")</f>
        <v>Complete</v>
      </c>
      <c r="I11127" s="48" t="s">
        <v>15492</v>
      </c>
    </row>
    <row r="11128" spans="2:9" ht="15" customHeight="1" x14ac:dyDescent="0.25">
      <c r="B11128" s="55" t="s">
        <v>281</v>
      </c>
      <c r="C11128" s="46">
        <v>1116</v>
      </c>
      <c r="D11128" s="69" t="s">
        <v>29418</v>
      </c>
      <c r="E11128" s="51"/>
      <c r="F11128" s="114" t="str">
        <f>IF(INDEX(I.Facility.P2bIDNumber,1116)="","",INDEX(I.Facility.P2bIDNumber,1116))</f>
        <v/>
      </c>
      <c r="G11128" s="51"/>
      <c r="H11128" s="46" t="str">
        <f>IF(AND(I.Developer.P2b=TRUE,I.Facility.P2bFacilityCount&gt;=1116,F11128=""),"Incomplete","Complete")</f>
        <v>Complete</v>
      </c>
      <c r="I11128" s="48" t="s">
        <v>15493</v>
      </c>
    </row>
    <row r="11129" spans="2:9" ht="15" customHeight="1" x14ac:dyDescent="0.25">
      <c r="B11129" s="55" t="s">
        <v>281</v>
      </c>
      <c r="C11129" s="46">
        <v>1117</v>
      </c>
      <c r="D11129" s="69" t="s">
        <v>29418</v>
      </c>
      <c r="E11129" s="51"/>
      <c r="F11129" s="114" t="str">
        <f>IF(INDEX(I.Facility.P2bIDNumber,1117)="","",INDEX(I.Facility.P2bIDNumber,1117))</f>
        <v/>
      </c>
      <c r="G11129" s="51"/>
      <c r="H11129" s="46" t="str">
        <f>IF(AND(I.Developer.P2b=TRUE,I.Facility.P2bFacilityCount&gt;=1117,F11129=""),"Incomplete","Complete")</f>
        <v>Complete</v>
      </c>
      <c r="I11129" s="48" t="s">
        <v>15494</v>
      </c>
    </row>
    <row r="11130" spans="2:9" ht="15" customHeight="1" x14ac:dyDescent="0.25">
      <c r="B11130" s="55" t="s">
        <v>281</v>
      </c>
      <c r="C11130" s="46">
        <v>1118</v>
      </c>
      <c r="D11130" s="69" t="s">
        <v>29418</v>
      </c>
      <c r="E11130" s="51"/>
      <c r="F11130" s="114" t="str">
        <f>IF(INDEX(I.Facility.P2bIDNumber,1118)="","",INDEX(I.Facility.P2bIDNumber,1118))</f>
        <v/>
      </c>
      <c r="G11130" s="51"/>
      <c r="H11130" s="46" t="str">
        <f>IF(AND(I.Developer.P2b=TRUE,I.Facility.P2bFacilityCount&gt;=1118,F11130=""),"Incomplete","Complete")</f>
        <v>Complete</v>
      </c>
      <c r="I11130" s="48" t="s">
        <v>15495</v>
      </c>
    </row>
    <row r="11131" spans="2:9" ht="15" customHeight="1" x14ac:dyDescent="0.25">
      <c r="B11131" s="55" t="s">
        <v>281</v>
      </c>
      <c r="C11131" s="46">
        <v>1119</v>
      </c>
      <c r="D11131" s="69" t="s">
        <v>29418</v>
      </c>
      <c r="E11131" s="51"/>
      <c r="F11131" s="114" t="str">
        <f>IF(INDEX(I.Facility.P2bIDNumber,1119)="","",INDEX(I.Facility.P2bIDNumber,1119))</f>
        <v/>
      </c>
      <c r="G11131" s="51"/>
      <c r="H11131" s="46" t="str">
        <f>IF(AND(I.Developer.P2b=TRUE,I.Facility.P2bFacilityCount&gt;=1119,F11131=""),"Incomplete","Complete")</f>
        <v>Complete</v>
      </c>
      <c r="I11131" s="48" t="s">
        <v>15496</v>
      </c>
    </row>
    <row r="11132" spans="2:9" ht="15" customHeight="1" x14ac:dyDescent="0.25">
      <c r="B11132" s="55" t="s">
        <v>281</v>
      </c>
      <c r="C11132" s="46">
        <v>1120</v>
      </c>
      <c r="D11132" s="69" t="s">
        <v>29418</v>
      </c>
      <c r="E11132" s="51"/>
      <c r="F11132" s="114" t="str">
        <f>IF(INDEX(I.Facility.P2bIDNumber,1120)="","",INDEX(I.Facility.P2bIDNumber,1120))</f>
        <v/>
      </c>
      <c r="G11132" s="51"/>
      <c r="H11132" s="46" t="str">
        <f>IF(AND(I.Developer.P2b=TRUE,I.Facility.P2bFacilityCount&gt;=1120,F11132=""),"Incomplete","Complete")</f>
        <v>Complete</v>
      </c>
      <c r="I11132" s="48" t="s">
        <v>15497</v>
      </c>
    </row>
    <row r="11133" spans="2:9" ht="15" customHeight="1" x14ac:dyDescent="0.25">
      <c r="B11133" s="55" t="s">
        <v>281</v>
      </c>
      <c r="C11133" s="46">
        <v>1121</v>
      </c>
      <c r="D11133" s="69" t="s">
        <v>29418</v>
      </c>
      <c r="E11133" s="51"/>
      <c r="F11133" s="114" t="str">
        <f>IF(INDEX(I.Facility.P2bIDNumber,1121)="","",INDEX(I.Facility.P2bIDNumber,1121))</f>
        <v/>
      </c>
      <c r="G11133" s="51"/>
      <c r="H11133" s="46" t="str">
        <f>IF(AND(I.Developer.P2b=TRUE,I.Facility.P2bFacilityCount&gt;=1121,F11133=""),"Incomplete","Complete")</f>
        <v>Complete</v>
      </c>
      <c r="I11133" s="48" t="s">
        <v>15498</v>
      </c>
    </row>
    <row r="11134" spans="2:9" ht="15" customHeight="1" x14ac:dyDescent="0.25">
      <c r="B11134" s="55" t="s">
        <v>281</v>
      </c>
      <c r="C11134" s="46">
        <v>1122</v>
      </c>
      <c r="D11134" s="69" t="s">
        <v>29418</v>
      </c>
      <c r="E11134" s="51"/>
      <c r="F11134" s="114" t="str">
        <f>IF(INDEX(I.Facility.P2bIDNumber,1122)="","",INDEX(I.Facility.P2bIDNumber,1122))</f>
        <v/>
      </c>
      <c r="G11134" s="51"/>
      <c r="H11134" s="46" t="str">
        <f>IF(AND(I.Developer.P2b=TRUE,I.Facility.P2bFacilityCount&gt;=1122,F11134=""),"Incomplete","Complete")</f>
        <v>Complete</v>
      </c>
      <c r="I11134" s="48" t="s">
        <v>15499</v>
      </c>
    </row>
    <row r="11135" spans="2:9" ht="15" customHeight="1" x14ac:dyDescent="0.25">
      <c r="B11135" s="55" t="s">
        <v>281</v>
      </c>
      <c r="C11135" s="46">
        <v>1123</v>
      </c>
      <c r="D11135" s="69" t="s">
        <v>29418</v>
      </c>
      <c r="E11135" s="51"/>
      <c r="F11135" s="114" t="str">
        <f>IF(INDEX(I.Facility.P2bIDNumber,1123)="","",INDEX(I.Facility.P2bIDNumber,1123))</f>
        <v/>
      </c>
      <c r="G11135" s="51"/>
      <c r="H11135" s="46" t="str">
        <f>IF(AND(I.Developer.P2b=TRUE,I.Facility.P2bFacilityCount&gt;=1123,F11135=""),"Incomplete","Complete")</f>
        <v>Complete</v>
      </c>
      <c r="I11135" s="48" t="s">
        <v>15500</v>
      </c>
    </row>
    <row r="11136" spans="2:9" ht="15" customHeight="1" x14ac:dyDescent="0.25">
      <c r="B11136" s="55" t="s">
        <v>281</v>
      </c>
      <c r="C11136" s="46">
        <v>1124</v>
      </c>
      <c r="D11136" s="69" t="s">
        <v>29418</v>
      </c>
      <c r="E11136" s="51"/>
      <c r="F11136" s="114" t="str">
        <f>IF(INDEX(I.Facility.P2bIDNumber,1124)="","",INDEX(I.Facility.P2bIDNumber,1124))</f>
        <v/>
      </c>
      <c r="G11136" s="51"/>
      <c r="H11136" s="46" t="str">
        <f>IF(AND(I.Developer.P2b=TRUE,I.Facility.P2bFacilityCount&gt;=1124,F11136=""),"Incomplete","Complete")</f>
        <v>Complete</v>
      </c>
      <c r="I11136" s="48" t="s">
        <v>15501</v>
      </c>
    </row>
    <row r="11137" spans="2:9" ht="15" customHeight="1" x14ac:dyDescent="0.25">
      <c r="B11137" s="55" t="s">
        <v>281</v>
      </c>
      <c r="C11137" s="46">
        <v>1125</v>
      </c>
      <c r="D11137" s="69" t="s">
        <v>29418</v>
      </c>
      <c r="E11137" s="51"/>
      <c r="F11137" s="114" t="str">
        <f>IF(INDEX(I.Facility.P2bIDNumber,1125)="","",INDEX(I.Facility.P2bIDNumber,1125))</f>
        <v/>
      </c>
      <c r="G11137" s="51"/>
      <c r="H11137" s="46" t="str">
        <f>IF(AND(I.Developer.P2b=TRUE,I.Facility.P2bFacilityCount&gt;=1125,F11137=""),"Incomplete","Complete")</f>
        <v>Complete</v>
      </c>
      <c r="I11137" s="48" t="s">
        <v>15502</v>
      </c>
    </row>
    <row r="11138" spans="2:9" ht="15" customHeight="1" x14ac:dyDescent="0.25">
      <c r="B11138" s="55" t="s">
        <v>281</v>
      </c>
      <c r="C11138" s="46">
        <v>1126</v>
      </c>
      <c r="D11138" s="69" t="s">
        <v>29418</v>
      </c>
      <c r="E11138" s="51"/>
      <c r="F11138" s="114" t="str">
        <f>IF(INDEX(I.Facility.P2bIDNumber,1126)="","",INDEX(I.Facility.P2bIDNumber,1126))</f>
        <v/>
      </c>
      <c r="G11138" s="51"/>
      <c r="H11138" s="46" t="str">
        <f>IF(AND(I.Developer.P2b=TRUE,I.Facility.P2bFacilityCount&gt;=1126,F11138=""),"Incomplete","Complete")</f>
        <v>Complete</v>
      </c>
      <c r="I11138" s="48" t="s">
        <v>15503</v>
      </c>
    </row>
    <row r="11139" spans="2:9" ht="15" customHeight="1" x14ac:dyDescent="0.25">
      <c r="B11139" s="55" t="s">
        <v>281</v>
      </c>
      <c r="C11139" s="46">
        <v>1127</v>
      </c>
      <c r="D11139" s="69" t="s">
        <v>29418</v>
      </c>
      <c r="E11139" s="51"/>
      <c r="F11139" s="114" t="str">
        <f>IF(INDEX(I.Facility.P2bIDNumber,1127)="","",INDEX(I.Facility.P2bIDNumber,1127))</f>
        <v/>
      </c>
      <c r="G11139" s="51"/>
      <c r="H11139" s="46" t="str">
        <f>IF(AND(I.Developer.P2b=TRUE,I.Facility.P2bFacilityCount&gt;=1127,F11139=""),"Incomplete","Complete")</f>
        <v>Complete</v>
      </c>
      <c r="I11139" s="48" t="s">
        <v>15504</v>
      </c>
    </row>
    <row r="11140" spans="2:9" ht="15" customHeight="1" x14ac:dyDescent="0.25">
      <c r="B11140" s="55" t="s">
        <v>281</v>
      </c>
      <c r="C11140" s="46">
        <v>1128</v>
      </c>
      <c r="D11140" s="69" t="s">
        <v>29418</v>
      </c>
      <c r="E11140" s="51"/>
      <c r="F11140" s="114" t="str">
        <f>IF(INDEX(I.Facility.P2bIDNumber,1128)="","",INDEX(I.Facility.P2bIDNumber,1128))</f>
        <v/>
      </c>
      <c r="G11140" s="51"/>
      <c r="H11140" s="46" t="str">
        <f>IF(AND(I.Developer.P2b=TRUE,I.Facility.P2bFacilityCount&gt;=1128,F11140=""),"Incomplete","Complete")</f>
        <v>Complete</v>
      </c>
      <c r="I11140" s="48" t="s">
        <v>15505</v>
      </c>
    </row>
    <row r="11141" spans="2:9" ht="15" customHeight="1" x14ac:dyDescent="0.25">
      <c r="B11141" s="55" t="s">
        <v>281</v>
      </c>
      <c r="C11141" s="46">
        <v>1129</v>
      </c>
      <c r="D11141" s="69" t="s">
        <v>29418</v>
      </c>
      <c r="E11141" s="51"/>
      <c r="F11141" s="114" t="str">
        <f>IF(INDEX(I.Facility.P2bIDNumber,1129)="","",INDEX(I.Facility.P2bIDNumber,1129))</f>
        <v/>
      </c>
      <c r="G11141" s="51"/>
      <c r="H11141" s="46" t="str">
        <f>IF(AND(I.Developer.P2b=TRUE,I.Facility.P2bFacilityCount&gt;=1129,F11141=""),"Incomplete","Complete")</f>
        <v>Complete</v>
      </c>
      <c r="I11141" s="48" t="s">
        <v>15506</v>
      </c>
    </row>
    <row r="11142" spans="2:9" ht="15" customHeight="1" x14ac:dyDescent="0.25">
      <c r="B11142" s="55" t="s">
        <v>281</v>
      </c>
      <c r="C11142" s="46">
        <v>1130</v>
      </c>
      <c r="D11142" s="69" t="s">
        <v>29418</v>
      </c>
      <c r="E11142" s="51"/>
      <c r="F11142" s="114" t="str">
        <f>IF(INDEX(I.Facility.P2bIDNumber,1130)="","",INDEX(I.Facility.P2bIDNumber,1130))</f>
        <v/>
      </c>
      <c r="G11142" s="51"/>
      <c r="H11142" s="46" t="str">
        <f>IF(AND(I.Developer.P2b=TRUE,I.Facility.P2bFacilityCount&gt;=1130,F11142=""),"Incomplete","Complete")</f>
        <v>Complete</v>
      </c>
      <c r="I11142" s="48" t="s">
        <v>15507</v>
      </c>
    </row>
    <row r="11143" spans="2:9" ht="15" customHeight="1" x14ac:dyDescent="0.25">
      <c r="B11143" s="55" t="s">
        <v>281</v>
      </c>
      <c r="C11143" s="46">
        <v>1131</v>
      </c>
      <c r="D11143" s="69" t="s">
        <v>29418</v>
      </c>
      <c r="E11143" s="51"/>
      <c r="F11143" s="114" t="str">
        <f>IF(INDEX(I.Facility.P2bIDNumber,1131)="","",INDEX(I.Facility.P2bIDNumber,1131))</f>
        <v/>
      </c>
      <c r="G11143" s="51"/>
      <c r="H11143" s="46" t="str">
        <f>IF(AND(I.Developer.P2b=TRUE,I.Facility.P2bFacilityCount&gt;=1131,F11143=""),"Incomplete","Complete")</f>
        <v>Complete</v>
      </c>
      <c r="I11143" s="48" t="s">
        <v>15508</v>
      </c>
    </row>
    <row r="11144" spans="2:9" ht="15" customHeight="1" x14ac:dyDescent="0.25">
      <c r="B11144" s="55" t="s">
        <v>281</v>
      </c>
      <c r="C11144" s="46">
        <v>1132</v>
      </c>
      <c r="D11144" s="69" t="s">
        <v>29418</v>
      </c>
      <c r="E11144" s="51"/>
      <c r="F11144" s="114" t="str">
        <f>IF(INDEX(I.Facility.P2bIDNumber,1132)="","",INDEX(I.Facility.P2bIDNumber,1132))</f>
        <v/>
      </c>
      <c r="G11144" s="51"/>
      <c r="H11144" s="46" t="str">
        <f>IF(AND(I.Developer.P2b=TRUE,I.Facility.P2bFacilityCount&gt;=1132,F11144=""),"Incomplete","Complete")</f>
        <v>Complete</v>
      </c>
      <c r="I11144" s="48" t="s">
        <v>15509</v>
      </c>
    </row>
    <row r="11145" spans="2:9" ht="15" customHeight="1" x14ac:dyDescent="0.25">
      <c r="B11145" s="55" t="s">
        <v>281</v>
      </c>
      <c r="C11145" s="46">
        <v>1133</v>
      </c>
      <c r="D11145" s="69" t="s">
        <v>29418</v>
      </c>
      <c r="E11145" s="51"/>
      <c r="F11145" s="114" t="str">
        <f>IF(INDEX(I.Facility.P2bIDNumber,1133)="","",INDEX(I.Facility.P2bIDNumber,1133))</f>
        <v/>
      </c>
      <c r="G11145" s="51"/>
      <c r="H11145" s="46" t="str">
        <f>IF(AND(I.Developer.P2b=TRUE,I.Facility.P2bFacilityCount&gt;=1133,F11145=""),"Incomplete","Complete")</f>
        <v>Complete</v>
      </c>
      <c r="I11145" s="48" t="s">
        <v>15510</v>
      </c>
    </row>
    <row r="11146" spans="2:9" ht="15" customHeight="1" x14ac:dyDescent="0.25">
      <c r="B11146" s="55" t="s">
        <v>281</v>
      </c>
      <c r="C11146" s="46">
        <v>1134</v>
      </c>
      <c r="D11146" s="69" t="s">
        <v>29418</v>
      </c>
      <c r="E11146" s="51"/>
      <c r="F11146" s="114" t="str">
        <f>IF(INDEX(I.Facility.P2bIDNumber,1134)="","",INDEX(I.Facility.P2bIDNumber,1134))</f>
        <v/>
      </c>
      <c r="G11146" s="51"/>
      <c r="H11146" s="46" t="str">
        <f>IF(AND(I.Developer.P2b=TRUE,I.Facility.P2bFacilityCount&gt;=1134,F11146=""),"Incomplete","Complete")</f>
        <v>Complete</v>
      </c>
      <c r="I11146" s="48" t="s">
        <v>15511</v>
      </c>
    </row>
    <row r="11147" spans="2:9" ht="15" customHeight="1" x14ac:dyDescent="0.25">
      <c r="B11147" s="55" t="s">
        <v>281</v>
      </c>
      <c r="C11147" s="46">
        <v>1135</v>
      </c>
      <c r="D11147" s="69" t="s">
        <v>29418</v>
      </c>
      <c r="E11147" s="51"/>
      <c r="F11147" s="114" t="str">
        <f>IF(INDEX(I.Facility.P2bIDNumber,1135)="","",INDEX(I.Facility.P2bIDNumber,1135))</f>
        <v/>
      </c>
      <c r="G11147" s="51"/>
      <c r="H11147" s="46" t="str">
        <f>IF(AND(I.Developer.P2b=TRUE,I.Facility.P2bFacilityCount&gt;=1135,F11147=""),"Incomplete","Complete")</f>
        <v>Complete</v>
      </c>
      <c r="I11147" s="48" t="s">
        <v>15512</v>
      </c>
    </row>
    <row r="11148" spans="2:9" ht="15" customHeight="1" x14ac:dyDescent="0.25">
      <c r="B11148" s="55" t="s">
        <v>281</v>
      </c>
      <c r="C11148" s="46">
        <v>1136</v>
      </c>
      <c r="D11148" s="69" t="s">
        <v>29418</v>
      </c>
      <c r="E11148" s="51"/>
      <c r="F11148" s="114" t="str">
        <f>IF(INDEX(I.Facility.P2bIDNumber,1136)="","",INDEX(I.Facility.P2bIDNumber,1136))</f>
        <v/>
      </c>
      <c r="G11148" s="51"/>
      <c r="H11148" s="46" t="str">
        <f>IF(AND(I.Developer.P2b=TRUE,I.Facility.P2bFacilityCount&gt;=1136,F11148=""),"Incomplete","Complete")</f>
        <v>Complete</v>
      </c>
      <c r="I11148" s="48" t="s">
        <v>15513</v>
      </c>
    </row>
    <row r="11149" spans="2:9" ht="15" customHeight="1" x14ac:dyDescent="0.25">
      <c r="B11149" s="55" t="s">
        <v>281</v>
      </c>
      <c r="C11149" s="46">
        <v>1137</v>
      </c>
      <c r="D11149" s="69" t="s">
        <v>29418</v>
      </c>
      <c r="E11149" s="51"/>
      <c r="F11149" s="114" t="str">
        <f>IF(INDEX(I.Facility.P2bIDNumber,1137)="","",INDEX(I.Facility.P2bIDNumber,1137))</f>
        <v/>
      </c>
      <c r="G11149" s="51"/>
      <c r="H11149" s="46" t="str">
        <f>IF(AND(I.Developer.P2b=TRUE,I.Facility.P2bFacilityCount&gt;=1137,F11149=""),"Incomplete","Complete")</f>
        <v>Complete</v>
      </c>
      <c r="I11149" s="48" t="s">
        <v>15514</v>
      </c>
    </row>
    <row r="11150" spans="2:9" ht="15" customHeight="1" x14ac:dyDescent="0.25">
      <c r="B11150" s="55" t="s">
        <v>281</v>
      </c>
      <c r="C11150" s="46">
        <v>1138</v>
      </c>
      <c r="D11150" s="69" t="s">
        <v>29418</v>
      </c>
      <c r="E11150" s="51"/>
      <c r="F11150" s="114" t="str">
        <f>IF(INDEX(I.Facility.P2bIDNumber,1138)="","",INDEX(I.Facility.P2bIDNumber,1138))</f>
        <v/>
      </c>
      <c r="G11150" s="51"/>
      <c r="H11150" s="46" t="str">
        <f>IF(AND(I.Developer.P2b=TRUE,I.Facility.P2bFacilityCount&gt;=1138,F11150=""),"Incomplete","Complete")</f>
        <v>Complete</v>
      </c>
      <c r="I11150" s="48" t="s">
        <v>15515</v>
      </c>
    </row>
    <row r="11151" spans="2:9" ht="15" customHeight="1" x14ac:dyDescent="0.25">
      <c r="B11151" s="55" t="s">
        <v>281</v>
      </c>
      <c r="C11151" s="46">
        <v>1139</v>
      </c>
      <c r="D11151" s="69" t="s">
        <v>29418</v>
      </c>
      <c r="E11151" s="51"/>
      <c r="F11151" s="114" t="str">
        <f>IF(INDEX(I.Facility.P2bIDNumber,1139)="","",INDEX(I.Facility.P2bIDNumber,1139))</f>
        <v/>
      </c>
      <c r="G11151" s="51"/>
      <c r="H11151" s="46" t="str">
        <f>IF(AND(I.Developer.P2b=TRUE,I.Facility.P2bFacilityCount&gt;=1139,F11151=""),"Incomplete","Complete")</f>
        <v>Complete</v>
      </c>
      <c r="I11151" s="48" t="s">
        <v>15516</v>
      </c>
    </row>
    <row r="11152" spans="2:9" ht="15" customHeight="1" x14ac:dyDescent="0.25">
      <c r="B11152" s="55" t="s">
        <v>281</v>
      </c>
      <c r="C11152" s="46">
        <v>1140</v>
      </c>
      <c r="D11152" s="69" t="s">
        <v>29418</v>
      </c>
      <c r="E11152" s="51"/>
      <c r="F11152" s="114" t="str">
        <f>IF(INDEX(I.Facility.P2bIDNumber,1140)="","",INDEX(I.Facility.P2bIDNumber,1140))</f>
        <v/>
      </c>
      <c r="G11152" s="51"/>
      <c r="H11152" s="46" t="str">
        <f>IF(AND(I.Developer.P2b=TRUE,I.Facility.P2bFacilityCount&gt;=1140,F11152=""),"Incomplete","Complete")</f>
        <v>Complete</v>
      </c>
      <c r="I11152" s="48" t="s">
        <v>15517</v>
      </c>
    </row>
    <row r="11153" spans="2:9" ht="15" customHeight="1" x14ac:dyDescent="0.25">
      <c r="B11153" s="55" t="s">
        <v>281</v>
      </c>
      <c r="C11153" s="46">
        <v>1141</v>
      </c>
      <c r="D11153" s="69" t="s">
        <v>29418</v>
      </c>
      <c r="E11153" s="51"/>
      <c r="F11153" s="114" t="str">
        <f>IF(INDEX(I.Facility.P2bIDNumber,1141)="","",INDEX(I.Facility.P2bIDNumber,1141))</f>
        <v/>
      </c>
      <c r="G11153" s="51"/>
      <c r="H11153" s="46" t="str">
        <f>IF(AND(I.Developer.P2b=TRUE,I.Facility.P2bFacilityCount&gt;=1141,F11153=""),"Incomplete","Complete")</f>
        <v>Complete</v>
      </c>
      <c r="I11153" s="48" t="s">
        <v>15518</v>
      </c>
    </row>
    <row r="11154" spans="2:9" ht="15" customHeight="1" x14ac:dyDescent="0.25">
      <c r="B11154" s="55" t="s">
        <v>281</v>
      </c>
      <c r="C11154" s="46">
        <v>1142</v>
      </c>
      <c r="D11154" s="69" t="s">
        <v>29418</v>
      </c>
      <c r="E11154" s="51"/>
      <c r="F11154" s="114" t="str">
        <f>IF(INDEX(I.Facility.P2bIDNumber,1142)="","",INDEX(I.Facility.P2bIDNumber,1142))</f>
        <v/>
      </c>
      <c r="G11154" s="51"/>
      <c r="H11154" s="46" t="str">
        <f>IF(AND(I.Developer.P2b=TRUE,I.Facility.P2bFacilityCount&gt;=1142,F11154=""),"Incomplete","Complete")</f>
        <v>Complete</v>
      </c>
      <c r="I11154" s="48" t="s">
        <v>15519</v>
      </c>
    </row>
    <row r="11155" spans="2:9" ht="15" customHeight="1" x14ac:dyDescent="0.25">
      <c r="B11155" s="55" t="s">
        <v>281</v>
      </c>
      <c r="C11155" s="46">
        <v>1143</v>
      </c>
      <c r="D11155" s="69" t="s">
        <v>29418</v>
      </c>
      <c r="E11155" s="51"/>
      <c r="F11155" s="114" t="str">
        <f>IF(INDEX(I.Facility.P2bIDNumber,1143)="","",INDEX(I.Facility.P2bIDNumber,1143))</f>
        <v/>
      </c>
      <c r="G11155" s="51"/>
      <c r="H11155" s="46" t="str">
        <f>IF(AND(I.Developer.P2b=TRUE,I.Facility.P2bFacilityCount&gt;=1143,F11155=""),"Incomplete","Complete")</f>
        <v>Complete</v>
      </c>
      <c r="I11155" s="48" t="s">
        <v>15520</v>
      </c>
    </row>
    <row r="11156" spans="2:9" ht="15" customHeight="1" x14ac:dyDescent="0.25">
      <c r="B11156" s="55" t="s">
        <v>281</v>
      </c>
      <c r="C11156" s="46">
        <v>1144</v>
      </c>
      <c r="D11156" s="69" t="s">
        <v>29418</v>
      </c>
      <c r="E11156" s="51"/>
      <c r="F11156" s="114" t="str">
        <f>IF(INDEX(I.Facility.P2bIDNumber,1144)="","",INDEX(I.Facility.P2bIDNumber,1144))</f>
        <v/>
      </c>
      <c r="G11156" s="51"/>
      <c r="H11156" s="46" t="str">
        <f>IF(AND(I.Developer.P2b=TRUE,I.Facility.P2bFacilityCount&gt;=1144,F11156=""),"Incomplete","Complete")</f>
        <v>Complete</v>
      </c>
      <c r="I11156" s="48" t="s">
        <v>15521</v>
      </c>
    </row>
    <row r="11157" spans="2:9" ht="15" customHeight="1" x14ac:dyDescent="0.25">
      <c r="B11157" s="55" t="s">
        <v>281</v>
      </c>
      <c r="C11157" s="46">
        <v>1145</v>
      </c>
      <c r="D11157" s="69" t="s">
        <v>29418</v>
      </c>
      <c r="E11157" s="51"/>
      <c r="F11157" s="114" t="str">
        <f>IF(INDEX(I.Facility.P2bIDNumber,1145)="","",INDEX(I.Facility.P2bIDNumber,1145))</f>
        <v/>
      </c>
      <c r="G11157" s="51"/>
      <c r="H11157" s="46" t="str">
        <f>IF(AND(I.Developer.P2b=TRUE,I.Facility.P2bFacilityCount&gt;=1145,F11157=""),"Incomplete","Complete")</f>
        <v>Complete</v>
      </c>
      <c r="I11157" s="48" t="s">
        <v>15522</v>
      </c>
    </row>
    <row r="11158" spans="2:9" ht="15" customHeight="1" x14ac:dyDescent="0.25">
      <c r="B11158" s="55" t="s">
        <v>281</v>
      </c>
      <c r="C11158" s="46">
        <v>1146</v>
      </c>
      <c r="D11158" s="69" t="s">
        <v>29418</v>
      </c>
      <c r="E11158" s="51"/>
      <c r="F11158" s="114" t="str">
        <f>IF(INDEX(I.Facility.P2bIDNumber,1146)="","",INDEX(I.Facility.P2bIDNumber,1146))</f>
        <v/>
      </c>
      <c r="G11158" s="51"/>
      <c r="H11158" s="46" t="str">
        <f>IF(AND(I.Developer.P2b=TRUE,I.Facility.P2bFacilityCount&gt;=1146,F11158=""),"Incomplete","Complete")</f>
        <v>Complete</v>
      </c>
      <c r="I11158" s="48" t="s">
        <v>15523</v>
      </c>
    </row>
    <row r="11159" spans="2:9" ht="15" customHeight="1" x14ac:dyDescent="0.25">
      <c r="B11159" s="55" t="s">
        <v>281</v>
      </c>
      <c r="C11159" s="46">
        <v>1147</v>
      </c>
      <c r="D11159" s="69" t="s">
        <v>29418</v>
      </c>
      <c r="E11159" s="51"/>
      <c r="F11159" s="114" t="str">
        <f>IF(INDEX(I.Facility.P2bIDNumber,1147)="","",INDEX(I.Facility.P2bIDNumber,1147))</f>
        <v/>
      </c>
      <c r="G11159" s="51"/>
      <c r="H11159" s="46" t="str">
        <f>IF(AND(I.Developer.P2b=TRUE,I.Facility.P2bFacilityCount&gt;=1147,F11159=""),"Incomplete","Complete")</f>
        <v>Complete</v>
      </c>
      <c r="I11159" s="48" t="s">
        <v>15524</v>
      </c>
    </row>
    <row r="11160" spans="2:9" ht="15" customHeight="1" x14ac:dyDescent="0.25">
      <c r="B11160" s="55" t="s">
        <v>281</v>
      </c>
      <c r="C11160" s="46">
        <v>1148</v>
      </c>
      <c r="D11160" s="69" t="s">
        <v>29418</v>
      </c>
      <c r="E11160" s="51"/>
      <c r="F11160" s="114" t="str">
        <f>IF(INDEX(I.Facility.P2bIDNumber,1148)="","",INDEX(I.Facility.P2bIDNumber,1148))</f>
        <v/>
      </c>
      <c r="G11160" s="51"/>
      <c r="H11160" s="46" t="str">
        <f>IF(AND(I.Developer.P2b=TRUE,I.Facility.P2bFacilityCount&gt;=1148,F11160=""),"Incomplete","Complete")</f>
        <v>Complete</v>
      </c>
      <c r="I11160" s="48" t="s">
        <v>15525</v>
      </c>
    </row>
    <row r="11161" spans="2:9" ht="15" customHeight="1" x14ac:dyDescent="0.25">
      <c r="B11161" s="55" t="s">
        <v>281</v>
      </c>
      <c r="C11161" s="46">
        <v>1149</v>
      </c>
      <c r="D11161" s="69" t="s">
        <v>29418</v>
      </c>
      <c r="E11161" s="51"/>
      <c r="F11161" s="114" t="str">
        <f>IF(INDEX(I.Facility.P2bIDNumber,1149)="","",INDEX(I.Facility.P2bIDNumber,1149))</f>
        <v/>
      </c>
      <c r="G11161" s="51"/>
      <c r="H11161" s="46" t="str">
        <f>IF(AND(I.Developer.P2b=TRUE,I.Facility.P2bFacilityCount&gt;=1149,F11161=""),"Incomplete","Complete")</f>
        <v>Complete</v>
      </c>
      <c r="I11161" s="48" t="s">
        <v>15526</v>
      </c>
    </row>
    <row r="11162" spans="2:9" ht="15" customHeight="1" x14ac:dyDescent="0.25">
      <c r="B11162" s="55" t="s">
        <v>281</v>
      </c>
      <c r="C11162" s="46">
        <v>1150</v>
      </c>
      <c r="D11162" s="69" t="s">
        <v>29418</v>
      </c>
      <c r="E11162" s="51"/>
      <c r="F11162" s="114" t="str">
        <f>IF(INDEX(I.Facility.P2bIDNumber,1150)="","",INDEX(I.Facility.P2bIDNumber,1150))</f>
        <v/>
      </c>
      <c r="G11162" s="51"/>
      <c r="H11162" s="46" t="str">
        <f>IF(AND(I.Developer.P2b=TRUE,I.Facility.P2bFacilityCount&gt;=1150,F11162=""),"Incomplete","Complete")</f>
        <v>Complete</v>
      </c>
      <c r="I11162" s="48" t="s">
        <v>15527</v>
      </c>
    </row>
    <row r="11163" spans="2:9" ht="15" customHeight="1" x14ac:dyDescent="0.25">
      <c r="B11163" s="55" t="s">
        <v>281</v>
      </c>
      <c r="C11163" s="46">
        <v>1151</v>
      </c>
      <c r="D11163" s="69" t="s">
        <v>29418</v>
      </c>
      <c r="E11163" s="51"/>
      <c r="F11163" s="114" t="str">
        <f>IF(INDEX(I.Facility.P2bIDNumber,1151)="","",INDEX(I.Facility.P2bIDNumber,1151))</f>
        <v/>
      </c>
      <c r="G11163" s="51"/>
      <c r="H11163" s="46" t="str">
        <f>IF(AND(I.Developer.P2b=TRUE,I.Facility.P2bFacilityCount&gt;=1151,F11163=""),"Incomplete","Complete")</f>
        <v>Complete</v>
      </c>
      <c r="I11163" s="48" t="s">
        <v>15528</v>
      </c>
    </row>
    <row r="11164" spans="2:9" ht="15" customHeight="1" x14ac:dyDescent="0.25">
      <c r="B11164" s="55" t="s">
        <v>281</v>
      </c>
      <c r="C11164" s="46">
        <v>1152</v>
      </c>
      <c r="D11164" s="69" t="s">
        <v>29418</v>
      </c>
      <c r="E11164" s="51"/>
      <c r="F11164" s="114" t="str">
        <f>IF(INDEX(I.Facility.P2bIDNumber,1152)="","",INDEX(I.Facility.P2bIDNumber,1152))</f>
        <v/>
      </c>
      <c r="G11164" s="51"/>
      <c r="H11164" s="46" t="str">
        <f>IF(AND(I.Developer.P2b=TRUE,I.Facility.P2bFacilityCount&gt;=1152,F11164=""),"Incomplete","Complete")</f>
        <v>Complete</v>
      </c>
      <c r="I11164" s="48" t="s">
        <v>15529</v>
      </c>
    </row>
    <row r="11165" spans="2:9" ht="15" customHeight="1" x14ac:dyDescent="0.25">
      <c r="B11165" s="55" t="s">
        <v>281</v>
      </c>
      <c r="C11165" s="46">
        <v>1153</v>
      </c>
      <c r="D11165" s="69" t="s">
        <v>29418</v>
      </c>
      <c r="E11165" s="51"/>
      <c r="F11165" s="114" t="str">
        <f>IF(INDEX(I.Facility.P2bIDNumber,1153)="","",INDEX(I.Facility.P2bIDNumber,1153))</f>
        <v/>
      </c>
      <c r="G11165" s="51"/>
      <c r="H11165" s="46" t="str">
        <f>IF(AND(I.Developer.P2b=TRUE,I.Facility.P2bFacilityCount&gt;=1153,F11165=""),"Incomplete","Complete")</f>
        <v>Complete</v>
      </c>
      <c r="I11165" s="48" t="s">
        <v>15530</v>
      </c>
    </row>
    <row r="11166" spans="2:9" ht="15" customHeight="1" x14ac:dyDescent="0.25">
      <c r="B11166" s="55" t="s">
        <v>281</v>
      </c>
      <c r="C11166" s="46">
        <v>1154</v>
      </c>
      <c r="D11166" s="69" t="s">
        <v>29418</v>
      </c>
      <c r="E11166" s="51"/>
      <c r="F11166" s="114" t="str">
        <f>IF(INDEX(I.Facility.P2bIDNumber,1154)="","",INDEX(I.Facility.P2bIDNumber,1154))</f>
        <v/>
      </c>
      <c r="G11166" s="51"/>
      <c r="H11166" s="46" t="str">
        <f>IF(AND(I.Developer.P2b=TRUE,I.Facility.P2bFacilityCount&gt;=1154,F11166=""),"Incomplete","Complete")</f>
        <v>Complete</v>
      </c>
      <c r="I11166" s="48" t="s">
        <v>15531</v>
      </c>
    </row>
    <row r="11167" spans="2:9" ht="15" customHeight="1" x14ac:dyDescent="0.25">
      <c r="B11167" s="55" t="s">
        <v>281</v>
      </c>
      <c r="C11167" s="46">
        <v>1155</v>
      </c>
      <c r="D11167" s="69" t="s">
        <v>29418</v>
      </c>
      <c r="E11167" s="51"/>
      <c r="F11167" s="114" t="str">
        <f>IF(INDEX(I.Facility.P2bIDNumber,1155)="","",INDEX(I.Facility.P2bIDNumber,1155))</f>
        <v/>
      </c>
      <c r="G11167" s="51"/>
      <c r="H11167" s="46" t="str">
        <f>IF(AND(I.Developer.P2b=TRUE,I.Facility.P2bFacilityCount&gt;=1155,F11167=""),"Incomplete","Complete")</f>
        <v>Complete</v>
      </c>
      <c r="I11167" s="48" t="s">
        <v>15532</v>
      </c>
    </row>
    <row r="11168" spans="2:9" ht="15" customHeight="1" x14ac:dyDescent="0.25">
      <c r="B11168" s="55" t="s">
        <v>281</v>
      </c>
      <c r="C11168" s="46">
        <v>1156</v>
      </c>
      <c r="D11168" s="69" t="s">
        <v>29418</v>
      </c>
      <c r="E11168" s="51"/>
      <c r="F11168" s="114" t="str">
        <f>IF(INDEX(I.Facility.P2bIDNumber,1156)="","",INDEX(I.Facility.P2bIDNumber,1156))</f>
        <v/>
      </c>
      <c r="G11168" s="51"/>
      <c r="H11168" s="46" t="str">
        <f>IF(AND(I.Developer.P2b=TRUE,I.Facility.P2bFacilityCount&gt;=1156,F11168=""),"Incomplete","Complete")</f>
        <v>Complete</v>
      </c>
      <c r="I11168" s="48" t="s">
        <v>15533</v>
      </c>
    </row>
    <row r="11169" spans="2:9" ht="15" customHeight="1" x14ac:dyDescent="0.25">
      <c r="B11169" s="55" t="s">
        <v>281</v>
      </c>
      <c r="C11169" s="46">
        <v>1157</v>
      </c>
      <c r="D11169" s="69" t="s">
        <v>29418</v>
      </c>
      <c r="E11169" s="51"/>
      <c r="F11169" s="114" t="str">
        <f>IF(INDEX(I.Facility.P2bIDNumber,1157)="","",INDEX(I.Facility.P2bIDNumber,1157))</f>
        <v/>
      </c>
      <c r="G11169" s="51"/>
      <c r="H11169" s="46" t="str">
        <f>IF(AND(I.Developer.P2b=TRUE,I.Facility.P2bFacilityCount&gt;=1157,F11169=""),"Incomplete","Complete")</f>
        <v>Complete</v>
      </c>
      <c r="I11169" s="48" t="s">
        <v>15534</v>
      </c>
    </row>
    <row r="11170" spans="2:9" ht="15" customHeight="1" x14ac:dyDescent="0.25">
      <c r="B11170" s="55" t="s">
        <v>281</v>
      </c>
      <c r="C11170" s="46">
        <v>1158</v>
      </c>
      <c r="D11170" s="69" t="s">
        <v>29418</v>
      </c>
      <c r="E11170" s="51"/>
      <c r="F11170" s="114" t="str">
        <f>IF(INDEX(I.Facility.P2bIDNumber,1158)="","",INDEX(I.Facility.P2bIDNumber,1158))</f>
        <v/>
      </c>
      <c r="G11170" s="51"/>
      <c r="H11170" s="46" t="str">
        <f>IF(AND(I.Developer.P2b=TRUE,I.Facility.P2bFacilityCount&gt;=1158,F11170=""),"Incomplete","Complete")</f>
        <v>Complete</v>
      </c>
      <c r="I11170" s="48" t="s">
        <v>15535</v>
      </c>
    </row>
    <row r="11171" spans="2:9" ht="15" customHeight="1" x14ac:dyDescent="0.25">
      <c r="B11171" s="55" t="s">
        <v>281</v>
      </c>
      <c r="C11171" s="46">
        <v>1159</v>
      </c>
      <c r="D11171" s="69" t="s">
        <v>29418</v>
      </c>
      <c r="E11171" s="51"/>
      <c r="F11171" s="114" t="str">
        <f>IF(INDEX(I.Facility.P2bIDNumber,1159)="","",INDEX(I.Facility.P2bIDNumber,1159))</f>
        <v/>
      </c>
      <c r="G11171" s="51"/>
      <c r="H11171" s="46" t="str">
        <f>IF(AND(I.Developer.P2b=TRUE,I.Facility.P2bFacilityCount&gt;=1159,F11171=""),"Incomplete","Complete")</f>
        <v>Complete</v>
      </c>
      <c r="I11171" s="48" t="s">
        <v>15536</v>
      </c>
    </row>
    <row r="11172" spans="2:9" ht="15" customHeight="1" x14ac:dyDescent="0.25">
      <c r="B11172" s="55" t="s">
        <v>281</v>
      </c>
      <c r="C11172" s="46">
        <v>1160</v>
      </c>
      <c r="D11172" s="69" t="s">
        <v>29418</v>
      </c>
      <c r="E11172" s="51"/>
      <c r="F11172" s="114" t="str">
        <f>IF(INDEX(I.Facility.P2bIDNumber,1160)="","",INDEX(I.Facility.P2bIDNumber,1160))</f>
        <v/>
      </c>
      <c r="G11172" s="51"/>
      <c r="H11172" s="46" t="str">
        <f>IF(AND(I.Developer.P2b=TRUE,I.Facility.P2bFacilityCount&gt;=1160,F11172=""),"Incomplete","Complete")</f>
        <v>Complete</v>
      </c>
      <c r="I11172" s="48" t="s">
        <v>15537</v>
      </c>
    </row>
    <row r="11173" spans="2:9" ht="15" customHeight="1" x14ac:dyDescent="0.25">
      <c r="B11173" s="55" t="s">
        <v>281</v>
      </c>
      <c r="C11173" s="46">
        <v>1161</v>
      </c>
      <c r="D11173" s="69" t="s">
        <v>29418</v>
      </c>
      <c r="E11173" s="51"/>
      <c r="F11173" s="114" t="str">
        <f>IF(INDEX(I.Facility.P2bIDNumber,1161)="","",INDEX(I.Facility.P2bIDNumber,1161))</f>
        <v/>
      </c>
      <c r="G11173" s="51"/>
      <c r="H11173" s="46" t="str">
        <f>IF(AND(I.Developer.P2b=TRUE,I.Facility.P2bFacilityCount&gt;=1161,F11173=""),"Incomplete","Complete")</f>
        <v>Complete</v>
      </c>
      <c r="I11173" s="48" t="s">
        <v>15538</v>
      </c>
    </row>
    <row r="11174" spans="2:9" ht="15" customHeight="1" x14ac:dyDescent="0.25">
      <c r="B11174" s="55" t="s">
        <v>281</v>
      </c>
      <c r="C11174" s="46">
        <v>1162</v>
      </c>
      <c r="D11174" s="69" t="s">
        <v>29418</v>
      </c>
      <c r="E11174" s="51"/>
      <c r="F11174" s="114" t="str">
        <f>IF(INDEX(I.Facility.P2bIDNumber,1162)="","",INDEX(I.Facility.P2bIDNumber,1162))</f>
        <v/>
      </c>
      <c r="G11174" s="51"/>
      <c r="H11174" s="46" t="str">
        <f>IF(AND(I.Developer.P2b=TRUE,I.Facility.P2bFacilityCount&gt;=1162,F11174=""),"Incomplete","Complete")</f>
        <v>Complete</v>
      </c>
      <c r="I11174" s="48" t="s">
        <v>15539</v>
      </c>
    </row>
    <row r="11175" spans="2:9" ht="15" customHeight="1" x14ac:dyDescent="0.25">
      <c r="B11175" s="55" t="s">
        <v>281</v>
      </c>
      <c r="C11175" s="46">
        <v>1163</v>
      </c>
      <c r="D11175" s="69" t="s">
        <v>29418</v>
      </c>
      <c r="E11175" s="51"/>
      <c r="F11175" s="114" t="str">
        <f>IF(INDEX(I.Facility.P2bIDNumber,1163)="","",INDEX(I.Facility.P2bIDNumber,1163))</f>
        <v/>
      </c>
      <c r="G11175" s="51"/>
      <c r="H11175" s="46" t="str">
        <f>IF(AND(I.Developer.P2b=TRUE,I.Facility.P2bFacilityCount&gt;=1163,F11175=""),"Incomplete","Complete")</f>
        <v>Complete</v>
      </c>
      <c r="I11175" s="48" t="s">
        <v>15540</v>
      </c>
    </row>
    <row r="11176" spans="2:9" ht="15" customHeight="1" x14ac:dyDescent="0.25">
      <c r="B11176" s="55" t="s">
        <v>281</v>
      </c>
      <c r="C11176" s="46">
        <v>1164</v>
      </c>
      <c r="D11176" s="69" t="s">
        <v>29418</v>
      </c>
      <c r="E11176" s="51"/>
      <c r="F11176" s="114" t="str">
        <f>IF(INDEX(I.Facility.P2bIDNumber,1164)="","",INDEX(I.Facility.P2bIDNumber,1164))</f>
        <v/>
      </c>
      <c r="G11176" s="51"/>
      <c r="H11176" s="46" t="str">
        <f>IF(AND(I.Developer.P2b=TRUE,I.Facility.P2bFacilityCount&gt;=1164,F11176=""),"Incomplete","Complete")</f>
        <v>Complete</v>
      </c>
      <c r="I11176" s="48" t="s">
        <v>15541</v>
      </c>
    </row>
    <row r="11177" spans="2:9" ht="15" customHeight="1" x14ac:dyDescent="0.25">
      <c r="B11177" s="55" t="s">
        <v>281</v>
      </c>
      <c r="C11177" s="46">
        <v>1165</v>
      </c>
      <c r="D11177" s="69" t="s">
        <v>29418</v>
      </c>
      <c r="E11177" s="51"/>
      <c r="F11177" s="114" t="str">
        <f>IF(INDEX(I.Facility.P2bIDNumber,1165)="","",INDEX(I.Facility.P2bIDNumber,1165))</f>
        <v/>
      </c>
      <c r="G11177" s="51"/>
      <c r="H11177" s="46" t="str">
        <f>IF(AND(I.Developer.P2b=TRUE,I.Facility.P2bFacilityCount&gt;=1165,F11177=""),"Incomplete","Complete")</f>
        <v>Complete</v>
      </c>
      <c r="I11177" s="48" t="s">
        <v>15542</v>
      </c>
    </row>
    <row r="11178" spans="2:9" ht="15" customHeight="1" x14ac:dyDescent="0.25">
      <c r="B11178" s="55" t="s">
        <v>281</v>
      </c>
      <c r="C11178" s="46">
        <v>1166</v>
      </c>
      <c r="D11178" s="69" t="s">
        <v>29418</v>
      </c>
      <c r="E11178" s="51"/>
      <c r="F11178" s="114" t="str">
        <f>IF(INDEX(I.Facility.P2bIDNumber,1166)="","",INDEX(I.Facility.P2bIDNumber,1166))</f>
        <v/>
      </c>
      <c r="G11178" s="51"/>
      <c r="H11178" s="46" t="str">
        <f>IF(AND(I.Developer.P2b=TRUE,I.Facility.P2bFacilityCount&gt;=1166,F11178=""),"Incomplete","Complete")</f>
        <v>Complete</v>
      </c>
      <c r="I11178" s="48" t="s">
        <v>15543</v>
      </c>
    </row>
    <row r="11179" spans="2:9" ht="15" customHeight="1" x14ac:dyDescent="0.25">
      <c r="B11179" s="55" t="s">
        <v>281</v>
      </c>
      <c r="C11179" s="46">
        <v>1167</v>
      </c>
      <c r="D11179" s="69" t="s">
        <v>29418</v>
      </c>
      <c r="E11179" s="51"/>
      <c r="F11179" s="114" t="str">
        <f>IF(INDEX(I.Facility.P2bIDNumber,1167)="","",INDEX(I.Facility.P2bIDNumber,1167))</f>
        <v/>
      </c>
      <c r="G11179" s="51"/>
      <c r="H11179" s="46" t="str">
        <f>IF(AND(I.Developer.P2b=TRUE,I.Facility.P2bFacilityCount&gt;=1167,F11179=""),"Incomplete","Complete")</f>
        <v>Complete</v>
      </c>
      <c r="I11179" s="48" t="s">
        <v>15544</v>
      </c>
    </row>
    <row r="11180" spans="2:9" ht="15" customHeight="1" x14ac:dyDescent="0.25">
      <c r="B11180" s="55" t="s">
        <v>281</v>
      </c>
      <c r="C11180" s="46">
        <v>1168</v>
      </c>
      <c r="D11180" s="69" t="s">
        <v>29418</v>
      </c>
      <c r="E11180" s="51"/>
      <c r="F11180" s="114" t="str">
        <f>IF(INDEX(I.Facility.P2bIDNumber,1168)="","",INDEX(I.Facility.P2bIDNumber,1168))</f>
        <v/>
      </c>
      <c r="G11180" s="51"/>
      <c r="H11180" s="46" t="str">
        <f>IF(AND(I.Developer.P2b=TRUE,I.Facility.P2bFacilityCount&gt;=1168,F11180=""),"Incomplete","Complete")</f>
        <v>Complete</v>
      </c>
      <c r="I11180" s="48" t="s">
        <v>15545</v>
      </c>
    </row>
    <row r="11181" spans="2:9" ht="15" customHeight="1" x14ac:dyDescent="0.25">
      <c r="B11181" s="55" t="s">
        <v>281</v>
      </c>
      <c r="C11181" s="46">
        <v>1169</v>
      </c>
      <c r="D11181" s="69" t="s">
        <v>29418</v>
      </c>
      <c r="E11181" s="51"/>
      <c r="F11181" s="114" t="str">
        <f>IF(INDEX(I.Facility.P2bIDNumber,1169)="","",INDEX(I.Facility.P2bIDNumber,1169))</f>
        <v/>
      </c>
      <c r="G11181" s="51"/>
      <c r="H11181" s="46" t="str">
        <f>IF(AND(I.Developer.P2b=TRUE,I.Facility.P2bFacilityCount&gt;=1169,F11181=""),"Incomplete","Complete")</f>
        <v>Complete</v>
      </c>
      <c r="I11181" s="48" t="s">
        <v>15546</v>
      </c>
    </row>
    <row r="11182" spans="2:9" ht="15" customHeight="1" x14ac:dyDescent="0.25">
      <c r="B11182" s="55" t="s">
        <v>281</v>
      </c>
      <c r="C11182" s="46">
        <v>1170</v>
      </c>
      <c r="D11182" s="69" t="s">
        <v>29418</v>
      </c>
      <c r="E11182" s="51"/>
      <c r="F11182" s="114" t="str">
        <f>IF(INDEX(I.Facility.P2bIDNumber,1170)="","",INDEX(I.Facility.P2bIDNumber,1170))</f>
        <v/>
      </c>
      <c r="G11182" s="51"/>
      <c r="H11182" s="46" t="str">
        <f>IF(AND(I.Developer.P2b=TRUE,I.Facility.P2bFacilityCount&gt;=1170,F11182=""),"Incomplete","Complete")</f>
        <v>Complete</v>
      </c>
      <c r="I11182" s="48" t="s">
        <v>15547</v>
      </c>
    </row>
    <row r="11183" spans="2:9" ht="15" customHeight="1" x14ac:dyDescent="0.25">
      <c r="B11183" s="55" t="s">
        <v>281</v>
      </c>
      <c r="C11183" s="46">
        <v>1171</v>
      </c>
      <c r="D11183" s="69" t="s">
        <v>29418</v>
      </c>
      <c r="E11183" s="51"/>
      <c r="F11183" s="114" t="str">
        <f>IF(INDEX(I.Facility.P2bIDNumber,1171)="","",INDEX(I.Facility.P2bIDNumber,1171))</f>
        <v/>
      </c>
      <c r="G11183" s="51"/>
      <c r="H11183" s="46" t="str">
        <f>IF(AND(I.Developer.P2b=TRUE,I.Facility.P2bFacilityCount&gt;=1171,F11183=""),"Incomplete","Complete")</f>
        <v>Complete</v>
      </c>
      <c r="I11183" s="48" t="s">
        <v>15548</v>
      </c>
    </row>
    <row r="11184" spans="2:9" ht="15" customHeight="1" x14ac:dyDescent="0.25">
      <c r="B11184" s="55" t="s">
        <v>281</v>
      </c>
      <c r="C11184" s="46">
        <v>1172</v>
      </c>
      <c r="D11184" s="69" t="s">
        <v>29418</v>
      </c>
      <c r="E11184" s="51"/>
      <c r="F11184" s="114" t="str">
        <f>IF(INDEX(I.Facility.P2bIDNumber,1172)="","",INDEX(I.Facility.P2bIDNumber,1172))</f>
        <v/>
      </c>
      <c r="G11184" s="51"/>
      <c r="H11184" s="46" t="str">
        <f>IF(AND(I.Developer.P2b=TRUE,I.Facility.P2bFacilityCount&gt;=1172,F11184=""),"Incomplete","Complete")</f>
        <v>Complete</v>
      </c>
      <c r="I11184" s="48" t="s">
        <v>15549</v>
      </c>
    </row>
    <row r="11185" spans="2:9" ht="15" customHeight="1" x14ac:dyDescent="0.25">
      <c r="B11185" s="55" t="s">
        <v>281</v>
      </c>
      <c r="C11185" s="46">
        <v>1173</v>
      </c>
      <c r="D11185" s="69" t="s">
        <v>29418</v>
      </c>
      <c r="E11185" s="51"/>
      <c r="F11185" s="114" t="str">
        <f>IF(INDEX(I.Facility.P2bIDNumber,1173)="","",INDEX(I.Facility.P2bIDNumber,1173))</f>
        <v/>
      </c>
      <c r="G11185" s="51"/>
      <c r="H11185" s="46" t="str">
        <f>IF(AND(I.Developer.P2b=TRUE,I.Facility.P2bFacilityCount&gt;=1173,F11185=""),"Incomplete","Complete")</f>
        <v>Complete</v>
      </c>
      <c r="I11185" s="48" t="s">
        <v>15550</v>
      </c>
    </row>
    <row r="11186" spans="2:9" ht="15" customHeight="1" x14ac:dyDescent="0.25">
      <c r="B11186" s="55" t="s">
        <v>281</v>
      </c>
      <c r="C11186" s="46">
        <v>1174</v>
      </c>
      <c r="D11186" s="69" t="s">
        <v>29418</v>
      </c>
      <c r="E11186" s="51"/>
      <c r="F11186" s="114" t="str">
        <f>IF(INDEX(I.Facility.P2bIDNumber,1174)="","",INDEX(I.Facility.P2bIDNumber,1174))</f>
        <v/>
      </c>
      <c r="G11186" s="51"/>
      <c r="H11186" s="46" t="str">
        <f>IF(AND(I.Developer.P2b=TRUE,I.Facility.P2bFacilityCount&gt;=1174,F11186=""),"Incomplete","Complete")</f>
        <v>Complete</v>
      </c>
      <c r="I11186" s="48" t="s">
        <v>15551</v>
      </c>
    </row>
    <row r="11187" spans="2:9" ht="15" customHeight="1" x14ac:dyDescent="0.25">
      <c r="B11187" s="55" t="s">
        <v>281</v>
      </c>
      <c r="C11187" s="46">
        <v>1175</v>
      </c>
      <c r="D11187" s="69" t="s">
        <v>29418</v>
      </c>
      <c r="E11187" s="51"/>
      <c r="F11187" s="114" t="str">
        <f>IF(INDEX(I.Facility.P2bIDNumber,1175)="","",INDEX(I.Facility.P2bIDNumber,1175))</f>
        <v/>
      </c>
      <c r="G11187" s="51"/>
      <c r="H11187" s="46" t="str">
        <f>IF(AND(I.Developer.P2b=TRUE,I.Facility.P2bFacilityCount&gt;=1175,F11187=""),"Incomplete","Complete")</f>
        <v>Complete</v>
      </c>
      <c r="I11187" s="48" t="s">
        <v>15552</v>
      </c>
    </row>
    <row r="11188" spans="2:9" ht="15" customHeight="1" x14ac:dyDescent="0.25">
      <c r="B11188" s="55" t="s">
        <v>281</v>
      </c>
      <c r="C11188" s="46">
        <v>1176</v>
      </c>
      <c r="D11188" s="69" t="s">
        <v>29418</v>
      </c>
      <c r="E11188" s="51"/>
      <c r="F11188" s="114" t="str">
        <f>IF(INDEX(I.Facility.P2bIDNumber,1176)="","",INDEX(I.Facility.P2bIDNumber,1176))</f>
        <v/>
      </c>
      <c r="G11188" s="51"/>
      <c r="H11188" s="46" t="str">
        <f>IF(AND(I.Developer.P2b=TRUE,I.Facility.P2bFacilityCount&gt;=1176,F11188=""),"Incomplete","Complete")</f>
        <v>Complete</v>
      </c>
      <c r="I11188" s="48" t="s">
        <v>15553</v>
      </c>
    </row>
    <row r="11189" spans="2:9" ht="15" customHeight="1" x14ac:dyDescent="0.25">
      <c r="B11189" s="55" t="s">
        <v>281</v>
      </c>
      <c r="C11189" s="46">
        <v>1177</v>
      </c>
      <c r="D11189" s="69" t="s">
        <v>29418</v>
      </c>
      <c r="E11189" s="51"/>
      <c r="F11189" s="114" t="str">
        <f>IF(INDEX(I.Facility.P2bIDNumber,1177)="","",INDEX(I.Facility.P2bIDNumber,1177))</f>
        <v/>
      </c>
      <c r="G11189" s="51"/>
      <c r="H11189" s="46" t="str">
        <f>IF(AND(I.Developer.P2b=TRUE,I.Facility.P2bFacilityCount&gt;=1177,F11189=""),"Incomplete","Complete")</f>
        <v>Complete</v>
      </c>
      <c r="I11189" s="48" t="s">
        <v>15554</v>
      </c>
    </row>
    <row r="11190" spans="2:9" ht="15" customHeight="1" x14ac:dyDescent="0.25">
      <c r="B11190" s="55" t="s">
        <v>281</v>
      </c>
      <c r="C11190" s="46">
        <v>1178</v>
      </c>
      <c r="D11190" s="69" t="s">
        <v>29418</v>
      </c>
      <c r="E11190" s="51"/>
      <c r="F11190" s="114" t="str">
        <f>IF(INDEX(I.Facility.P2bIDNumber,1178)="","",INDEX(I.Facility.P2bIDNumber,1178))</f>
        <v/>
      </c>
      <c r="G11190" s="51"/>
      <c r="H11190" s="46" t="str">
        <f>IF(AND(I.Developer.P2b=TRUE,I.Facility.P2bFacilityCount&gt;=1178,F11190=""),"Incomplete","Complete")</f>
        <v>Complete</v>
      </c>
      <c r="I11190" s="48" t="s">
        <v>15555</v>
      </c>
    </row>
    <row r="11191" spans="2:9" ht="15" customHeight="1" x14ac:dyDescent="0.25">
      <c r="B11191" s="55" t="s">
        <v>281</v>
      </c>
      <c r="C11191" s="46">
        <v>1179</v>
      </c>
      <c r="D11191" s="69" t="s">
        <v>29418</v>
      </c>
      <c r="E11191" s="51"/>
      <c r="F11191" s="114" t="str">
        <f>IF(INDEX(I.Facility.P2bIDNumber,1179)="","",INDEX(I.Facility.P2bIDNumber,1179))</f>
        <v/>
      </c>
      <c r="G11191" s="51"/>
      <c r="H11191" s="46" t="str">
        <f>IF(AND(I.Developer.P2b=TRUE,I.Facility.P2bFacilityCount&gt;=1179,F11191=""),"Incomplete","Complete")</f>
        <v>Complete</v>
      </c>
      <c r="I11191" s="48" t="s">
        <v>15556</v>
      </c>
    </row>
    <row r="11192" spans="2:9" ht="15" customHeight="1" x14ac:dyDescent="0.25">
      <c r="B11192" s="55" t="s">
        <v>281</v>
      </c>
      <c r="C11192" s="46">
        <v>1180</v>
      </c>
      <c r="D11192" s="69" t="s">
        <v>29418</v>
      </c>
      <c r="E11192" s="51"/>
      <c r="F11192" s="114" t="str">
        <f>IF(INDEX(I.Facility.P2bIDNumber,1180)="","",INDEX(I.Facility.P2bIDNumber,1180))</f>
        <v/>
      </c>
      <c r="G11192" s="51"/>
      <c r="H11192" s="46" t="str">
        <f>IF(AND(I.Developer.P2b=TRUE,I.Facility.P2bFacilityCount&gt;=1180,F11192=""),"Incomplete","Complete")</f>
        <v>Complete</v>
      </c>
      <c r="I11192" s="48" t="s">
        <v>15557</v>
      </c>
    </row>
    <row r="11193" spans="2:9" ht="15" customHeight="1" x14ac:dyDescent="0.25">
      <c r="B11193" s="55" t="s">
        <v>281</v>
      </c>
      <c r="C11193" s="46">
        <v>1181</v>
      </c>
      <c r="D11193" s="69" t="s">
        <v>29418</v>
      </c>
      <c r="E11193" s="51"/>
      <c r="F11193" s="114" t="str">
        <f>IF(INDEX(I.Facility.P2bIDNumber,1181)="","",INDEX(I.Facility.P2bIDNumber,1181))</f>
        <v/>
      </c>
      <c r="G11193" s="51"/>
      <c r="H11193" s="46" t="str">
        <f>IF(AND(I.Developer.P2b=TRUE,I.Facility.P2bFacilityCount&gt;=1181,F11193=""),"Incomplete","Complete")</f>
        <v>Complete</v>
      </c>
      <c r="I11193" s="48" t="s">
        <v>15558</v>
      </c>
    </row>
    <row r="11194" spans="2:9" ht="15" customHeight="1" x14ac:dyDescent="0.25">
      <c r="B11194" s="55" t="s">
        <v>281</v>
      </c>
      <c r="C11194" s="46">
        <v>1182</v>
      </c>
      <c r="D11194" s="69" t="s">
        <v>29418</v>
      </c>
      <c r="E11194" s="51"/>
      <c r="F11194" s="114" t="str">
        <f>IF(INDEX(I.Facility.P2bIDNumber,1182)="","",INDEX(I.Facility.P2bIDNumber,1182))</f>
        <v/>
      </c>
      <c r="G11194" s="51"/>
      <c r="H11194" s="46" t="str">
        <f>IF(AND(I.Developer.P2b=TRUE,I.Facility.P2bFacilityCount&gt;=1182,F11194=""),"Incomplete","Complete")</f>
        <v>Complete</v>
      </c>
      <c r="I11194" s="48" t="s">
        <v>15559</v>
      </c>
    </row>
    <row r="11195" spans="2:9" ht="15" customHeight="1" x14ac:dyDescent="0.25">
      <c r="B11195" s="55" t="s">
        <v>281</v>
      </c>
      <c r="C11195" s="46">
        <v>1183</v>
      </c>
      <c r="D11195" s="69" t="s">
        <v>29418</v>
      </c>
      <c r="E11195" s="51"/>
      <c r="F11195" s="114" t="str">
        <f>IF(INDEX(I.Facility.P2bIDNumber,1183)="","",INDEX(I.Facility.P2bIDNumber,1183))</f>
        <v/>
      </c>
      <c r="G11195" s="51"/>
      <c r="H11195" s="46" t="str">
        <f>IF(AND(I.Developer.P2b=TRUE,I.Facility.P2bFacilityCount&gt;=1183,F11195=""),"Incomplete","Complete")</f>
        <v>Complete</v>
      </c>
      <c r="I11195" s="48" t="s">
        <v>15560</v>
      </c>
    </row>
    <row r="11196" spans="2:9" ht="15" customHeight="1" x14ac:dyDescent="0.25">
      <c r="B11196" s="55" t="s">
        <v>281</v>
      </c>
      <c r="C11196" s="46">
        <v>1184</v>
      </c>
      <c r="D11196" s="69" t="s">
        <v>29418</v>
      </c>
      <c r="E11196" s="51"/>
      <c r="F11196" s="114" t="str">
        <f>IF(INDEX(I.Facility.P2bIDNumber,1184)="","",INDEX(I.Facility.P2bIDNumber,1184))</f>
        <v/>
      </c>
      <c r="G11196" s="51"/>
      <c r="H11196" s="46" t="str">
        <f>IF(AND(I.Developer.P2b=TRUE,I.Facility.P2bFacilityCount&gt;=1184,F11196=""),"Incomplete","Complete")</f>
        <v>Complete</v>
      </c>
      <c r="I11196" s="48" t="s">
        <v>15561</v>
      </c>
    </row>
    <row r="11197" spans="2:9" ht="15" customHeight="1" x14ac:dyDescent="0.25">
      <c r="B11197" s="55" t="s">
        <v>281</v>
      </c>
      <c r="C11197" s="46">
        <v>1185</v>
      </c>
      <c r="D11197" s="69" t="s">
        <v>29418</v>
      </c>
      <c r="E11197" s="51"/>
      <c r="F11197" s="114" t="str">
        <f>IF(INDEX(I.Facility.P2bIDNumber,1185)="","",INDEX(I.Facility.P2bIDNumber,1185))</f>
        <v/>
      </c>
      <c r="G11197" s="51"/>
      <c r="H11197" s="46" t="str">
        <f>IF(AND(I.Developer.P2b=TRUE,I.Facility.P2bFacilityCount&gt;=1185,F11197=""),"Incomplete","Complete")</f>
        <v>Complete</v>
      </c>
      <c r="I11197" s="48" t="s">
        <v>15562</v>
      </c>
    </row>
    <row r="11198" spans="2:9" ht="15" customHeight="1" x14ac:dyDescent="0.25">
      <c r="B11198" s="55" t="s">
        <v>281</v>
      </c>
      <c r="C11198" s="46">
        <v>1186</v>
      </c>
      <c r="D11198" s="69" t="s">
        <v>29418</v>
      </c>
      <c r="E11198" s="51"/>
      <c r="F11198" s="114" t="str">
        <f>IF(INDEX(I.Facility.P2bIDNumber,1186)="","",INDEX(I.Facility.P2bIDNumber,1186))</f>
        <v/>
      </c>
      <c r="G11198" s="51"/>
      <c r="H11198" s="46" t="str">
        <f>IF(AND(I.Developer.P2b=TRUE,I.Facility.P2bFacilityCount&gt;=1186,F11198=""),"Incomplete","Complete")</f>
        <v>Complete</v>
      </c>
      <c r="I11198" s="48" t="s">
        <v>15563</v>
      </c>
    </row>
    <row r="11199" spans="2:9" ht="15" customHeight="1" x14ac:dyDescent="0.25">
      <c r="B11199" s="55" t="s">
        <v>281</v>
      </c>
      <c r="C11199" s="46">
        <v>1187</v>
      </c>
      <c r="D11199" s="69" t="s">
        <v>29418</v>
      </c>
      <c r="E11199" s="51"/>
      <c r="F11199" s="114" t="str">
        <f>IF(INDEX(I.Facility.P2bIDNumber,1187)="","",INDEX(I.Facility.P2bIDNumber,1187))</f>
        <v/>
      </c>
      <c r="G11199" s="51"/>
      <c r="H11199" s="46" t="str">
        <f>IF(AND(I.Developer.P2b=TRUE,I.Facility.P2bFacilityCount&gt;=1187,F11199=""),"Incomplete","Complete")</f>
        <v>Complete</v>
      </c>
      <c r="I11199" s="48" t="s">
        <v>15564</v>
      </c>
    </row>
    <row r="11200" spans="2:9" ht="15" customHeight="1" x14ac:dyDescent="0.25">
      <c r="B11200" s="55" t="s">
        <v>281</v>
      </c>
      <c r="C11200" s="46">
        <v>1188</v>
      </c>
      <c r="D11200" s="69" t="s">
        <v>29418</v>
      </c>
      <c r="E11200" s="51"/>
      <c r="F11200" s="114" t="str">
        <f>IF(INDEX(I.Facility.P2bIDNumber,1188)="","",INDEX(I.Facility.P2bIDNumber,1188))</f>
        <v/>
      </c>
      <c r="G11200" s="51"/>
      <c r="H11200" s="46" t="str">
        <f>IF(AND(I.Developer.P2b=TRUE,I.Facility.P2bFacilityCount&gt;=1188,F11200=""),"Incomplete","Complete")</f>
        <v>Complete</v>
      </c>
      <c r="I11200" s="48" t="s">
        <v>15565</v>
      </c>
    </row>
    <row r="11201" spans="2:9" ht="15" customHeight="1" x14ac:dyDescent="0.25">
      <c r="B11201" s="55" t="s">
        <v>281</v>
      </c>
      <c r="C11201" s="46">
        <v>1189</v>
      </c>
      <c r="D11201" s="69" t="s">
        <v>29418</v>
      </c>
      <c r="E11201" s="51"/>
      <c r="F11201" s="114" t="str">
        <f>IF(INDEX(I.Facility.P2bIDNumber,1189)="","",INDEX(I.Facility.P2bIDNumber,1189))</f>
        <v/>
      </c>
      <c r="G11201" s="51"/>
      <c r="H11201" s="46" t="str">
        <f>IF(AND(I.Developer.P2b=TRUE,I.Facility.P2bFacilityCount&gt;=1189,F11201=""),"Incomplete","Complete")</f>
        <v>Complete</v>
      </c>
      <c r="I11201" s="48" t="s">
        <v>15566</v>
      </c>
    </row>
    <row r="11202" spans="2:9" ht="15" customHeight="1" x14ac:dyDescent="0.25">
      <c r="B11202" s="55" t="s">
        <v>281</v>
      </c>
      <c r="C11202" s="46">
        <v>1190</v>
      </c>
      <c r="D11202" s="69" t="s">
        <v>29418</v>
      </c>
      <c r="E11202" s="51"/>
      <c r="F11202" s="114" t="str">
        <f>IF(INDEX(I.Facility.P2bIDNumber,1190)="","",INDEX(I.Facility.P2bIDNumber,1190))</f>
        <v/>
      </c>
      <c r="G11202" s="51"/>
      <c r="H11202" s="46" t="str">
        <f>IF(AND(I.Developer.P2b=TRUE,I.Facility.P2bFacilityCount&gt;=1190,F11202=""),"Incomplete","Complete")</f>
        <v>Complete</v>
      </c>
      <c r="I11202" s="48" t="s">
        <v>15567</v>
      </c>
    </row>
    <row r="11203" spans="2:9" ht="15" customHeight="1" x14ac:dyDescent="0.25">
      <c r="B11203" s="55" t="s">
        <v>281</v>
      </c>
      <c r="C11203" s="46">
        <v>1191</v>
      </c>
      <c r="D11203" s="69" t="s">
        <v>29418</v>
      </c>
      <c r="E11203" s="51"/>
      <c r="F11203" s="114" t="str">
        <f>IF(INDEX(I.Facility.P2bIDNumber,1191)="","",INDEX(I.Facility.P2bIDNumber,1191))</f>
        <v/>
      </c>
      <c r="G11203" s="51"/>
      <c r="H11203" s="46" t="str">
        <f>IF(AND(I.Developer.P2b=TRUE,I.Facility.P2bFacilityCount&gt;=1191,F11203=""),"Incomplete","Complete")</f>
        <v>Complete</v>
      </c>
      <c r="I11203" s="48" t="s">
        <v>15568</v>
      </c>
    </row>
    <row r="11204" spans="2:9" ht="15" customHeight="1" x14ac:dyDescent="0.25">
      <c r="B11204" s="55" t="s">
        <v>281</v>
      </c>
      <c r="C11204" s="46">
        <v>1192</v>
      </c>
      <c r="D11204" s="69" t="s">
        <v>29418</v>
      </c>
      <c r="E11204" s="51"/>
      <c r="F11204" s="114" t="str">
        <f>IF(INDEX(I.Facility.P2bIDNumber,1192)="","",INDEX(I.Facility.P2bIDNumber,1192))</f>
        <v/>
      </c>
      <c r="G11204" s="51"/>
      <c r="H11204" s="46" t="str">
        <f>IF(AND(I.Developer.P2b=TRUE,I.Facility.P2bFacilityCount&gt;=1192,F11204=""),"Incomplete","Complete")</f>
        <v>Complete</v>
      </c>
      <c r="I11204" s="48" t="s">
        <v>15569</v>
      </c>
    </row>
    <row r="11205" spans="2:9" ht="15" customHeight="1" x14ac:dyDescent="0.25">
      <c r="B11205" s="55" t="s">
        <v>281</v>
      </c>
      <c r="C11205" s="46">
        <v>1193</v>
      </c>
      <c r="D11205" s="69" t="s">
        <v>29418</v>
      </c>
      <c r="E11205" s="51"/>
      <c r="F11205" s="114" t="str">
        <f>IF(INDEX(I.Facility.P2bIDNumber,1193)="","",INDEX(I.Facility.P2bIDNumber,1193))</f>
        <v/>
      </c>
      <c r="G11205" s="51"/>
      <c r="H11205" s="46" t="str">
        <f>IF(AND(I.Developer.P2b=TRUE,I.Facility.P2bFacilityCount&gt;=1193,F11205=""),"Incomplete","Complete")</f>
        <v>Complete</v>
      </c>
      <c r="I11205" s="48" t="s">
        <v>15570</v>
      </c>
    </row>
    <row r="11206" spans="2:9" ht="15" customHeight="1" x14ac:dyDescent="0.25">
      <c r="B11206" s="55" t="s">
        <v>281</v>
      </c>
      <c r="C11206" s="46">
        <v>1194</v>
      </c>
      <c r="D11206" s="69" t="s">
        <v>29418</v>
      </c>
      <c r="E11206" s="51"/>
      <c r="F11206" s="114" t="str">
        <f>IF(INDEX(I.Facility.P2bIDNumber,1194)="","",INDEX(I.Facility.P2bIDNumber,1194))</f>
        <v/>
      </c>
      <c r="G11206" s="51"/>
      <c r="H11206" s="46" t="str">
        <f>IF(AND(I.Developer.P2b=TRUE,I.Facility.P2bFacilityCount&gt;=1194,F11206=""),"Incomplete","Complete")</f>
        <v>Complete</v>
      </c>
      <c r="I11206" s="48" t="s">
        <v>15571</v>
      </c>
    </row>
    <row r="11207" spans="2:9" ht="15" customHeight="1" x14ac:dyDescent="0.25">
      <c r="B11207" s="55" t="s">
        <v>281</v>
      </c>
      <c r="C11207" s="46">
        <v>1195</v>
      </c>
      <c r="D11207" s="69" t="s">
        <v>29418</v>
      </c>
      <c r="E11207" s="51"/>
      <c r="F11207" s="114" t="str">
        <f>IF(INDEX(I.Facility.P2bIDNumber,1195)="","",INDEX(I.Facility.P2bIDNumber,1195))</f>
        <v/>
      </c>
      <c r="G11207" s="51"/>
      <c r="H11207" s="46" t="str">
        <f>IF(AND(I.Developer.P2b=TRUE,I.Facility.P2bFacilityCount&gt;=1195,F11207=""),"Incomplete","Complete")</f>
        <v>Complete</v>
      </c>
      <c r="I11207" s="48" t="s">
        <v>15572</v>
      </c>
    </row>
    <row r="11208" spans="2:9" ht="15" customHeight="1" x14ac:dyDescent="0.25">
      <c r="B11208" s="55" t="s">
        <v>281</v>
      </c>
      <c r="C11208" s="46">
        <v>1196</v>
      </c>
      <c r="D11208" s="69" t="s">
        <v>29418</v>
      </c>
      <c r="E11208" s="51"/>
      <c r="F11208" s="114" t="str">
        <f>IF(INDEX(I.Facility.P2bIDNumber,1196)="","",INDEX(I.Facility.P2bIDNumber,1196))</f>
        <v/>
      </c>
      <c r="G11208" s="51"/>
      <c r="H11208" s="46" t="str">
        <f>IF(AND(I.Developer.P2b=TRUE,I.Facility.P2bFacilityCount&gt;=1196,F11208=""),"Incomplete","Complete")</f>
        <v>Complete</v>
      </c>
      <c r="I11208" s="48" t="s">
        <v>15573</v>
      </c>
    </row>
    <row r="11209" spans="2:9" ht="15" customHeight="1" x14ac:dyDescent="0.25">
      <c r="B11209" s="55" t="s">
        <v>281</v>
      </c>
      <c r="C11209" s="46">
        <v>1197</v>
      </c>
      <c r="D11209" s="69" t="s">
        <v>29418</v>
      </c>
      <c r="E11209" s="51"/>
      <c r="F11209" s="114" t="str">
        <f>IF(INDEX(I.Facility.P2bIDNumber,1197)="","",INDEX(I.Facility.P2bIDNumber,1197))</f>
        <v/>
      </c>
      <c r="G11209" s="51"/>
      <c r="H11209" s="46" t="str">
        <f>IF(AND(I.Developer.P2b=TRUE,I.Facility.P2bFacilityCount&gt;=1197,F11209=""),"Incomplete","Complete")</f>
        <v>Complete</v>
      </c>
      <c r="I11209" s="48" t="s">
        <v>15574</v>
      </c>
    </row>
    <row r="11210" spans="2:9" ht="15" customHeight="1" x14ac:dyDescent="0.25">
      <c r="B11210" s="55" t="s">
        <v>281</v>
      </c>
      <c r="C11210" s="46">
        <v>1198</v>
      </c>
      <c r="D11210" s="69" t="s">
        <v>29418</v>
      </c>
      <c r="E11210" s="51"/>
      <c r="F11210" s="114" t="str">
        <f>IF(INDEX(I.Facility.P2bIDNumber,1198)="","",INDEX(I.Facility.P2bIDNumber,1198))</f>
        <v/>
      </c>
      <c r="G11210" s="51"/>
      <c r="H11210" s="46" t="str">
        <f>IF(AND(I.Developer.P2b=TRUE,I.Facility.P2bFacilityCount&gt;=1198,F11210=""),"Incomplete","Complete")</f>
        <v>Complete</v>
      </c>
      <c r="I11210" s="48" t="s">
        <v>15575</v>
      </c>
    </row>
    <row r="11211" spans="2:9" ht="15" customHeight="1" x14ac:dyDescent="0.25">
      <c r="B11211" s="55" t="s">
        <v>281</v>
      </c>
      <c r="C11211" s="46">
        <v>1199</v>
      </c>
      <c r="D11211" s="69" t="s">
        <v>29418</v>
      </c>
      <c r="E11211" s="51"/>
      <c r="F11211" s="114" t="str">
        <f>IF(INDEX(I.Facility.P2bIDNumber,1199)="","",INDEX(I.Facility.P2bIDNumber,1199))</f>
        <v/>
      </c>
      <c r="G11211" s="51"/>
      <c r="H11211" s="46" t="str">
        <f>IF(AND(I.Developer.P2b=TRUE,I.Facility.P2bFacilityCount&gt;=1199,F11211=""),"Incomplete","Complete")</f>
        <v>Complete</v>
      </c>
      <c r="I11211" s="48" t="s">
        <v>15576</v>
      </c>
    </row>
    <row r="11212" spans="2:9" ht="15" customHeight="1" x14ac:dyDescent="0.25">
      <c r="B11212" s="55" t="s">
        <v>281</v>
      </c>
      <c r="C11212" s="46">
        <v>1200</v>
      </c>
      <c r="D11212" s="69" t="s">
        <v>29418</v>
      </c>
      <c r="E11212" s="51"/>
      <c r="F11212" s="114" t="str">
        <f>IF(INDEX(I.Facility.P2bIDNumber,1200)="","",INDEX(I.Facility.P2bIDNumber,1200))</f>
        <v/>
      </c>
      <c r="G11212" s="51"/>
      <c r="H11212" s="46" t="str">
        <f>IF(AND(I.Developer.P2b=TRUE,I.Facility.P2bFacilityCount&gt;=1200,F11212=""),"Incomplete","Complete")</f>
        <v>Complete</v>
      </c>
      <c r="I11212" s="48" t="s">
        <v>15577</v>
      </c>
    </row>
    <row r="11213" spans="2:9" ht="15" customHeight="1" x14ac:dyDescent="0.25">
      <c r="B11213" s="55" t="s">
        <v>281</v>
      </c>
      <c r="C11213" s="46">
        <v>1201</v>
      </c>
      <c r="D11213" s="69" t="s">
        <v>29418</v>
      </c>
      <c r="E11213" s="51"/>
      <c r="F11213" s="114" t="str">
        <f>IF(INDEX(I.Facility.P2bIDNumber,1201)="","",INDEX(I.Facility.P2bIDNumber,1201))</f>
        <v/>
      </c>
      <c r="G11213" s="51"/>
      <c r="H11213" s="46" t="str">
        <f>IF(AND(I.Developer.P2b=TRUE,I.Facility.P2bFacilityCount&gt;=1201,F11213=""),"Incomplete","Complete")</f>
        <v>Complete</v>
      </c>
      <c r="I11213" s="48" t="s">
        <v>15578</v>
      </c>
    </row>
    <row r="11214" spans="2:9" ht="15" customHeight="1" x14ac:dyDescent="0.25">
      <c r="B11214" s="55" t="s">
        <v>281</v>
      </c>
      <c r="C11214" s="46">
        <v>1202</v>
      </c>
      <c r="D11214" s="69" t="s">
        <v>29418</v>
      </c>
      <c r="E11214" s="51"/>
      <c r="F11214" s="114" t="str">
        <f>IF(INDEX(I.Facility.P2bIDNumber,1202)="","",INDEX(I.Facility.P2bIDNumber,1202))</f>
        <v/>
      </c>
      <c r="G11214" s="51"/>
      <c r="H11214" s="46" t="str">
        <f>IF(AND(I.Developer.P2b=TRUE,I.Facility.P2bFacilityCount&gt;=1202,F11214=""),"Incomplete","Complete")</f>
        <v>Complete</v>
      </c>
      <c r="I11214" s="48" t="s">
        <v>15579</v>
      </c>
    </row>
    <row r="11215" spans="2:9" ht="15" customHeight="1" x14ac:dyDescent="0.25">
      <c r="B11215" s="55" t="s">
        <v>281</v>
      </c>
      <c r="C11215" s="46">
        <v>1203</v>
      </c>
      <c r="D11215" s="69" t="s">
        <v>29418</v>
      </c>
      <c r="E11215" s="51"/>
      <c r="F11215" s="114" t="str">
        <f>IF(INDEX(I.Facility.P2bIDNumber,1203)="","",INDEX(I.Facility.P2bIDNumber,1203))</f>
        <v/>
      </c>
      <c r="G11215" s="51"/>
      <c r="H11215" s="46" t="str">
        <f>IF(AND(I.Developer.P2b=TRUE,I.Facility.P2bFacilityCount&gt;=1203,F11215=""),"Incomplete","Complete")</f>
        <v>Complete</v>
      </c>
      <c r="I11215" s="48" t="s">
        <v>15580</v>
      </c>
    </row>
    <row r="11216" spans="2:9" ht="15" customHeight="1" x14ac:dyDescent="0.25">
      <c r="B11216" s="55" t="s">
        <v>281</v>
      </c>
      <c r="C11216" s="46">
        <v>1204</v>
      </c>
      <c r="D11216" s="69" t="s">
        <v>29418</v>
      </c>
      <c r="E11216" s="51"/>
      <c r="F11216" s="114" t="str">
        <f>IF(INDEX(I.Facility.P2bIDNumber,1204)="","",INDEX(I.Facility.P2bIDNumber,1204))</f>
        <v/>
      </c>
      <c r="G11216" s="51"/>
      <c r="H11216" s="46" t="str">
        <f>IF(AND(I.Developer.P2b=TRUE,I.Facility.P2bFacilityCount&gt;=1204,F11216=""),"Incomplete","Complete")</f>
        <v>Complete</v>
      </c>
      <c r="I11216" s="48" t="s">
        <v>15581</v>
      </c>
    </row>
    <row r="11217" spans="2:9" ht="15" customHeight="1" x14ac:dyDescent="0.25">
      <c r="B11217" s="55" t="s">
        <v>281</v>
      </c>
      <c r="C11217" s="46">
        <v>1205</v>
      </c>
      <c r="D11217" s="69" t="s">
        <v>29418</v>
      </c>
      <c r="E11217" s="51"/>
      <c r="F11217" s="114" t="str">
        <f>IF(INDEX(I.Facility.P2bIDNumber,1205)="","",INDEX(I.Facility.P2bIDNumber,1205))</f>
        <v/>
      </c>
      <c r="G11217" s="51"/>
      <c r="H11217" s="46" t="str">
        <f>IF(AND(I.Developer.P2b=TRUE,I.Facility.P2bFacilityCount&gt;=1205,F11217=""),"Incomplete","Complete")</f>
        <v>Complete</v>
      </c>
      <c r="I11217" s="48" t="s">
        <v>15582</v>
      </c>
    </row>
    <row r="11218" spans="2:9" ht="15" customHeight="1" x14ac:dyDescent="0.25">
      <c r="B11218" s="55" t="s">
        <v>281</v>
      </c>
      <c r="C11218" s="46">
        <v>1206</v>
      </c>
      <c r="D11218" s="69" t="s">
        <v>29418</v>
      </c>
      <c r="E11218" s="51"/>
      <c r="F11218" s="114" t="str">
        <f>IF(INDEX(I.Facility.P2bIDNumber,1206)="","",INDEX(I.Facility.P2bIDNumber,1206))</f>
        <v/>
      </c>
      <c r="G11218" s="51"/>
      <c r="H11218" s="46" t="str">
        <f>IF(AND(I.Developer.P2b=TRUE,I.Facility.P2bFacilityCount&gt;=1206,F11218=""),"Incomplete","Complete")</f>
        <v>Complete</v>
      </c>
      <c r="I11218" s="48" t="s">
        <v>15583</v>
      </c>
    </row>
    <row r="11219" spans="2:9" ht="15" customHeight="1" x14ac:dyDescent="0.25">
      <c r="B11219" s="55" t="s">
        <v>281</v>
      </c>
      <c r="C11219" s="46">
        <v>1207</v>
      </c>
      <c r="D11219" s="69" t="s">
        <v>29418</v>
      </c>
      <c r="E11219" s="51"/>
      <c r="F11219" s="114" t="str">
        <f>IF(INDEX(I.Facility.P2bIDNumber,1207)="","",INDEX(I.Facility.P2bIDNumber,1207))</f>
        <v/>
      </c>
      <c r="G11219" s="51"/>
      <c r="H11219" s="46" t="str">
        <f>IF(AND(I.Developer.P2b=TRUE,I.Facility.P2bFacilityCount&gt;=1207,F11219=""),"Incomplete","Complete")</f>
        <v>Complete</v>
      </c>
      <c r="I11219" s="48" t="s">
        <v>15584</v>
      </c>
    </row>
    <row r="11220" spans="2:9" ht="15" customHeight="1" x14ac:dyDescent="0.25">
      <c r="B11220" s="55" t="s">
        <v>281</v>
      </c>
      <c r="C11220" s="46">
        <v>1208</v>
      </c>
      <c r="D11220" s="69" t="s">
        <v>29418</v>
      </c>
      <c r="E11220" s="51"/>
      <c r="F11220" s="114" t="str">
        <f>IF(INDEX(I.Facility.P2bIDNumber,1208)="","",INDEX(I.Facility.P2bIDNumber,1208))</f>
        <v/>
      </c>
      <c r="G11220" s="51"/>
      <c r="H11220" s="46" t="str">
        <f>IF(AND(I.Developer.P2b=TRUE,I.Facility.P2bFacilityCount&gt;=1208,F11220=""),"Incomplete","Complete")</f>
        <v>Complete</v>
      </c>
      <c r="I11220" s="48" t="s">
        <v>15585</v>
      </c>
    </row>
    <row r="11221" spans="2:9" ht="15" customHeight="1" x14ac:dyDescent="0.25">
      <c r="B11221" s="55" t="s">
        <v>281</v>
      </c>
      <c r="C11221" s="46">
        <v>1209</v>
      </c>
      <c r="D11221" s="69" t="s">
        <v>29418</v>
      </c>
      <c r="E11221" s="51"/>
      <c r="F11221" s="114" t="str">
        <f>IF(INDEX(I.Facility.P2bIDNumber,1209)="","",INDEX(I.Facility.P2bIDNumber,1209))</f>
        <v/>
      </c>
      <c r="G11221" s="51"/>
      <c r="H11221" s="46" t="str">
        <f>IF(AND(I.Developer.P2b=TRUE,I.Facility.P2bFacilityCount&gt;=1209,F11221=""),"Incomplete","Complete")</f>
        <v>Complete</v>
      </c>
      <c r="I11221" s="48" t="s">
        <v>15586</v>
      </c>
    </row>
    <row r="11222" spans="2:9" ht="15" customHeight="1" x14ac:dyDescent="0.25">
      <c r="B11222" s="55" t="s">
        <v>281</v>
      </c>
      <c r="C11222" s="46">
        <v>1210</v>
      </c>
      <c r="D11222" s="69" t="s">
        <v>29418</v>
      </c>
      <c r="E11222" s="51"/>
      <c r="F11222" s="114" t="str">
        <f>IF(INDEX(I.Facility.P2bIDNumber,1210)="","",INDEX(I.Facility.P2bIDNumber,1210))</f>
        <v/>
      </c>
      <c r="G11222" s="51"/>
      <c r="H11222" s="46" t="str">
        <f>IF(AND(I.Developer.P2b=TRUE,I.Facility.P2bFacilityCount&gt;=1210,F11222=""),"Incomplete","Complete")</f>
        <v>Complete</v>
      </c>
      <c r="I11222" s="48" t="s">
        <v>15587</v>
      </c>
    </row>
    <row r="11223" spans="2:9" ht="15" customHeight="1" x14ac:dyDescent="0.25">
      <c r="B11223" s="55" t="s">
        <v>281</v>
      </c>
      <c r="C11223" s="46">
        <v>1211</v>
      </c>
      <c r="D11223" s="69" t="s">
        <v>29418</v>
      </c>
      <c r="E11223" s="51"/>
      <c r="F11223" s="114" t="str">
        <f>IF(INDEX(I.Facility.P2bIDNumber,1211)="","",INDEX(I.Facility.P2bIDNumber,1211))</f>
        <v/>
      </c>
      <c r="G11223" s="51"/>
      <c r="H11223" s="46" t="str">
        <f>IF(AND(I.Developer.P2b=TRUE,I.Facility.P2bFacilityCount&gt;=1211,F11223=""),"Incomplete","Complete")</f>
        <v>Complete</v>
      </c>
      <c r="I11223" s="48" t="s">
        <v>15588</v>
      </c>
    </row>
    <row r="11224" spans="2:9" ht="15" customHeight="1" x14ac:dyDescent="0.25">
      <c r="B11224" s="55" t="s">
        <v>281</v>
      </c>
      <c r="C11224" s="46">
        <v>1212</v>
      </c>
      <c r="D11224" s="69" t="s">
        <v>29418</v>
      </c>
      <c r="E11224" s="51"/>
      <c r="F11224" s="114" t="str">
        <f>IF(INDEX(I.Facility.P2bIDNumber,1212)="","",INDEX(I.Facility.P2bIDNumber,1212))</f>
        <v/>
      </c>
      <c r="G11224" s="51"/>
      <c r="H11224" s="46" t="str">
        <f>IF(AND(I.Developer.P2b=TRUE,I.Facility.P2bFacilityCount&gt;=1212,F11224=""),"Incomplete","Complete")</f>
        <v>Complete</v>
      </c>
      <c r="I11224" s="48" t="s">
        <v>15589</v>
      </c>
    </row>
    <row r="11225" spans="2:9" ht="15" customHeight="1" x14ac:dyDescent="0.25">
      <c r="B11225" s="55" t="s">
        <v>281</v>
      </c>
      <c r="C11225" s="46">
        <v>1213</v>
      </c>
      <c r="D11225" s="69" t="s">
        <v>29418</v>
      </c>
      <c r="E11225" s="51"/>
      <c r="F11225" s="114" t="str">
        <f>IF(INDEX(I.Facility.P2bIDNumber,1213)="","",INDEX(I.Facility.P2bIDNumber,1213))</f>
        <v/>
      </c>
      <c r="G11225" s="51"/>
      <c r="H11225" s="46" t="str">
        <f>IF(AND(I.Developer.P2b=TRUE,I.Facility.P2bFacilityCount&gt;=1213,F11225=""),"Incomplete","Complete")</f>
        <v>Complete</v>
      </c>
      <c r="I11225" s="48" t="s">
        <v>15590</v>
      </c>
    </row>
    <row r="11226" spans="2:9" ht="15" customHeight="1" x14ac:dyDescent="0.25">
      <c r="B11226" s="55" t="s">
        <v>281</v>
      </c>
      <c r="C11226" s="46">
        <v>1214</v>
      </c>
      <c r="D11226" s="69" t="s">
        <v>29418</v>
      </c>
      <c r="E11226" s="51"/>
      <c r="F11226" s="114" t="str">
        <f>IF(INDEX(I.Facility.P2bIDNumber,1214)="","",INDEX(I.Facility.P2bIDNumber,1214))</f>
        <v/>
      </c>
      <c r="G11226" s="51"/>
      <c r="H11226" s="46" t="str">
        <f>IF(AND(I.Developer.P2b=TRUE,I.Facility.P2bFacilityCount&gt;=1214,F11226=""),"Incomplete","Complete")</f>
        <v>Complete</v>
      </c>
      <c r="I11226" s="48" t="s">
        <v>15591</v>
      </c>
    </row>
    <row r="11227" spans="2:9" ht="15" customHeight="1" x14ac:dyDescent="0.25">
      <c r="B11227" s="55" t="s">
        <v>281</v>
      </c>
      <c r="C11227" s="46">
        <v>1215</v>
      </c>
      <c r="D11227" s="69" t="s">
        <v>29418</v>
      </c>
      <c r="E11227" s="51"/>
      <c r="F11227" s="114" t="str">
        <f>IF(INDEX(I.Facility.P2bIDNumber,1215)="","",INDEX(I.Facility.P2bIDNumber,1215))</f>
        <v/>
      </c>
      <c r="G11227" s="51"/>
      <c r="H11227" s="46" t="str">
        <f>IF(AND(I.Developer.P2b=TRUE,I.Facility.P2bFacilityCount&gt;=1215,F11227=""),"Incomplete","Complete")</f>
        <v>Complete</v>
      </c>
      <c r="I11227" s="48" t="s">
        <v>15592</v>
      </c>
    </row>
    <row r="11228" spans="2:9" ht="15" customHeight="1" x14ac:dyDescent="0.25">
      <c r="B11228" s="55" t="s">
        <v>281</v>
      </c>
      <c r="C11228" s="46">
        <v>1216</v>
      </c>
      <c r="D11228" s="69" t="s">
        <v>29418</v>
      </c>
      <c r="E11228" s="51"/>
      <c r="F11228" s="114" t="str">
        <f>IF(INDEX(I.Facility.P2bIDNumber,1216)="","",INDEX(I.Facility.P2bIDNumber,1216))</f>
        <v/>
      </c>
      <c r="G11228" s="51"/>
      <c r="H11228" s="46" t="str">
        <f>IF(AND(I.Developer.P2b=TRUE,I.Facility.P2bFacilityCount&gt;=1216,F11228=""),"Incomplete","Complete")</f>
        <v>Complete</v>
      </c>
      <c r="I11228" s="48" t="s">
        <v>15593</v>
      </c>
    </row>
    <row r="11229" spans="2:9" ht="15" customHeight="1" x14ac:dyDescent="0.25">
      <c r="B11229" s="55" t="s">
        <v>281</v>
      </c>
      <c r="C11229" s="46">
        <v>1217</v>
      </c>
      <c r="D11229" s="69" t="s">
        <v>29418</v>
      </c>
      <c r="E11229" s="51"/>
      <c r="F11229" s="114" t="str">
        <f>IF(INDEX(I.Facility.P2bIDNumber,1217)="","",INDEX(I.Facility.P2bIDNumber,1217))</f>
        <v/>
      </c>
      <c r="G11229" s="51"/>
      <c r="H11229" s="46" t="str">
        <f>IF(AND(I.Developer.P2b=TRUE,I.Facility.P2bFacilityCount&gt;=1217,F11229=""),"Incomplete","Complete")</f>
        <v>Complete</v>
      </c>
      <c r="I11229" s="48" t="s">
        <v>15594</v>
      </c>
    </row>
    <row r="11230" spans="2:9" ht="15" customHeight="1" x14ac:dyDescent="0.25">
      <c r="B11230" s="55" t="s">
        <v>281</v>
      </c>
      <c r="C11230" s="46">
        <v>1218</v>
      </c>
      <c r="D11230" s="69" t="s">
        <v>29418</v>
      </c>
      <c r="E11230" s="51"/>
      <c r="F11230" s="114" t="str">
        <f>IF(INDEX(I.Facility.P2bIDNumber,1218)="","",INDEX(I.Facility.P2bIDNumber,1218))</f>
        <v/>
      </c>
      <c r="G11230" s="51"/>
      <c r="H11230" s="46" t="str">
        <f>IF(AND(I.Developer.P2b=TRUE,I.Facility.P2bFacilityCount&gt;=1218,F11230=""),"Incomplete","Complete")</f>
        <v>Complete</v>
      </c>
      <c r="I11230" s="48" t="s">
        <v>15595</v>
      </c>
    </row>
    <row r="11231" spans="2:9" ht="15" customHeight="1" x14ac:dyDescent="0.25">
      <c r="B11231" s="55" t="s">
        <v>281</v>
      </c>
      <c r="C11231" s="46">
        <v>1219</v>
      </c>
      <c r="D11231" s="69" t="s">
        <v>29418</v>
      </c>
      <c r="E11231" s="51"/>
      <c r="F11231" s="114" t="str">
        <f>IF(INDEX(I.Facility.P2bIDNumber,1219)="","",INDEX(I.Facility.P2bIDNumber,1219))</f>
        <v/>
      </c>
      <c r="G11231" s="51"/>
      <c r="H11231" s="46" t="str">
        <f>IF(AND(I.Developer.P2b=TRUE,I.Facility.P2bFacilityCount&gt;=1219,F11231=""),"Incomplete","Complete")</f>
        <v>Complete</v>
      </c>
      <c r="I11231" s="48" t="s">
        <v>15596</v>
      </c>
    </row>
    <row r="11232" spans="2:9" ht="15" customHeight="1" x14ac:dyDescent="0.25">
      <c r="B11232" s="55" t="s">
        <v>281</v>
      </c>
      <c r="C11232" s="46">
        <v>1220</v>
      </c>
      <c r="D11232" s="69" t="s">
        <v>29418</v>
      </c>
      <c r="E11232" s="51"/>
      <c r="F11232" s="114" t="str">
        <f>IF(INDEX(I.Facility.P2bIDNumber,1220)="","",INDEX(I.Facility.P2bIDNumber,1220))</f>
        <v/>
      </c>
      <c r="G11232" s="51"/>
      <c r="H11232" s="46" t="str">
        <f>IF(AND(I.Developer.P2b=TRUE,I.Facility.P2bFacilityCount&gt;=1220,F11232=""),"Incomplete","Complete")</f>
        <v>Complete</v>
      </c>
      <c r="I11232" s="48" t="s">
        <v>15597</v>
      </c>
    </row>
    <row r="11233" spans="2:9" ht="15" customHeight="1" x14ac:dyDescent="0.25">
      <c r="B11233" s="55" t="s">
        <v>281</v>
      </c>
      <c r="C11233" s="46">
        <v>1221</v>
      </c>
      <c r="D11233" s="69" t="s">
        <v>29418</v>
      </c>
      <c r="E11233" s="51"/>
      <c r="F11233" s="114" t="str">
        <f>IF(INDEX(I.Facility.P2bIDNumber,1221)="","",INDEX(I.Facility.P2bIDNumber,1221))</f>
        <v/>
      </c>
      <c r="G11233" s="51"/>
      <c r="H11233" s="46" t="str">
        <f>IF(AND(I.Developer.P2b=TRUE,I.Facility.P2bFacilityCount&gt;=1221,F11233=""),"Incomplete","Complete")</f>
        <v>Complete</v>
      </c>
      <c r="I11233" s="48" t="s">
        <v>15598</v>
      </c>
    </row>
    <row r="11234" spans="2:9" ht="15" customHeight="1" x14ac:dyDescent="0.25">
      <c r="B11234" s="55" t="s">
        <v>281</v>
      </c>
      <c r="C11234" s="46">
        <v>1222</v>
      </c>
      <c r="D11234" s="69" t="s">
        <v>29418</v>
      </c>
      <c r="E11234" s="51"/>
      <c r="F11234" s="114" t="str">
        <f>IF(INDEX(I.Facility.P2bIDNumber,1222)="","",INDEX(I.Facility.P2bIDNumber,1222))</f>
        <v/>
      </c>
      <c r="G11234" s="51"/>
      <c r="H11234" s="46" t="str">
        <f>IF(AND(I.Developer.P2b=TRUE,I.Facility.P2bFacilityCount&gt;=1222,F11234=""),"Incomplete","Complete")</f>
        <v>Complete</v>
      </c>
      <c r="I11234" s="48" t="s">
        <v>15599</v>
      </c>
    </row>
    <row r="11235" spans="2:9" ht="15" customHeight="1" x14ac:dyDescent="0.25">
      <c r="B11235" s="55" t="s">
        <v>281</v>
      </c>
      <c r="C11235" s="46">
        <v>1223</v>
      </c>
      <c r="D11235" s="69" t="s">
        <v>29418</v>
      </c>
      <c r="E11235" s="51"/>
      <c r="F11235" s="114" t="str">
        <f>IF(INDEX(I.Facility.P2bIDNumber,1223)="","",INDEX(I.Facility.P2bIDNumber,1223))</f>
        <v/>
      </c>
      <c r="G11235" s="51"/>
      <c r="H11235" s="46" t="str">
        <f>IF(AND(I.Developer.P2b=TRUE,I.Facility.P2bFacilityCount&gt;=1223,F11235=""),"Incomplete","Complete")</f>
        <v>Complete</v>
      </c>
      <c r="I11235" s="48" t="s">
        <v>15600</v>
      </c>
    </row>
    <row r="11236" spans="2:9" ht="15" customHeight="1" x14ac:dyDescent="0.25">
      <c r="B11236" s="55" t="s">
        <v>281</v>
      </c>
      <c r="C11236" s="46">
        <v>1224</v>
      </c>
      <c r="D11236" s="69" t="s">
        <v>29418</v>
      </c>
      <c r="E11236" s="51"/>
      <c r="F11236" s="114" t="str">
        <f>IF(INDEX(I.Facility.P2bIDNumber,1224)="","",INDEX(I.Facility.P2bIDNumber,1224))</f>
        <v/>
      </c>
      <c r="G11236" s="51"/>
      <c r="H11236" s="46" t="str">
        <f>IF(AND(I.Developer.P2b=TRUE,I.Facility.P2bFacilityCount&gt;=1224,F11236=""),"Incomplete","Complete")</f>
        <v>Complete</v>
      </c>
      <c r="I11236" s="48" t="s">
        <v>15601</v>
      </c>
    </row>
    <row r="11237" spans="2:9" ht="15" customHeight="1" x14ac:dyDescent="0.25">
      <c r="B11237" s="55" t="s">
        <v>281</v>
      </c>
      <c r="C11237" s="46">
        <v>1225</v>
      </c>
      <c r="D11237" s="69" t="s">
        <v>29418</v>
      </c>
      <c r="E11237" s="51"/>
      <c r="F11237" s="114" t="str">
        <f>IF(INDEX(I.Facility.P2bIDNumber,1225)="","",INDEX(I.Facility.P2bIDNumber,1225))</f>
        <v/>
      </c>
      <c r="G11237" s="51"/>
      <c r="H11237" s="46" t="str">
        <f>IF(AND(I.Developer.P2b=TRUE,I.Facility.P2bFacilityCount&gt;=1225,F11237=""),"Incomplete","Complete")</f>
        <v>Complete</v>
      </c>
      <c r="I11237" s="48" t="s">
        <v>15602</v>
      </c>
    </row>
    <row r="11238" spans="2:9" ht="15" customHeight="1" x14ac:dyDescent="0.25">
      <c r="B11238" s="55" t="s">
        <v>281</v>
      </c>
      <c r="C11238" s="46">
        <v>1226</v>
      </c>
      <c r="D11238" s="69" t="s">
        <v>29418</v>
      </c>
      <c r="E11238" s="51"/>
      <c r="F11238" s="114" t="str">
        <f>IF(INDEX(I.Facility.P2bIDNumber,1226)="","",INDEX(I.Facility.P2bIDNumber,1226))</f>
        <v/>
      </c>
      <c r="G11238" s="51"/>
      <c r="H11238" s="46" t="str">
        <f>IF(AND(I.Developer.P2b=TRUE,I.Facility.P2bFacilityCount&gt;=1226,F11238=""),"Incomplete","Complete")</f>
        <v>Complete</v>
      </c>
      <c r="I11238" s="48" t="s">
        <v>15603</v>
      </c>
    </row>
    <row r="11239" spans="2:9" ht="15" customHeight="1" x14ac:dyDescent="0.25">
      <c r="B11239" s="55" t="s">
        <v>281</v>
      </c>
      <c r="C11239" s="46">
        <v>1227</v>
      </c>
      <c r="D11239" s="69" t="s">
        <v>29418</v>
      </c>
      <c r="E11239" s="51"/>
      <c r="F11239" s="114" t="str">
        <f>IF(INDEX(I.Facility.P2bIDNumber,1227)="","",INDEX(I.Facility.P2bIDNumber,1227))</f>
        <v/>
      </c>
      <c r="G11239" s="51"/>
      <c r="H11239" s="46" t="str">
        <f>IF(AND(I.Developer.P2b=TRUE,I.Facility.P2bFacilityCount&gt;=1227,F11239=""),"Incomplete","Complete")</f>
        <v>Complete</v>
      </c>
      <c r="I11239" s="48" t="s">
        <v>15604</v>
      </c>
    </row>
    <row r="11240" spans="2:9" ht="15" customHeight="1" x14ac:dyDescent="0.25">
      <c r="B11240" s="55" t="s">
        <v>281</v>
      </c>
      <c r="C11240" s="46">
        <v>1228</v>
      </c>
      <c r="D11240" s="69" t="s">
        <v>29418</v>
      </c>
      <c r="E11240" s="51"/>
      <c r="F11240" s="114" t="str">
        <f>IF(INDEX(I.Facility.P2bIDNumber,1228)="","",INDEX(I.Facility.P2bIDNumber,1228))</f>
        <v/>
      </c>
      <c r="G11240" s="51"/>
      <c r="H11240" s="46" t="str">
        <f>IF(AND(I.Developer.P2b=TRUE,I.Facility.P2bFacilityCount&gt;=1228,F11240=""),"Incomplete","Complete")</f>
        <v>Complete</v>
      </c>
      <c r="I11240" s="48" t="s">
        <v>15605</v>
      </c>
    </row>
    <row r="11241" spans="2:9" ht="15" customHeight="1" x14ac:dyDescent="0.25">
      <c r="B11241" s="55" t="s">
        <v>281</v>
      </c>
      <c r="C11241" s="46">
        <v>1229</v>
      </c>
      <c r="D11241" s="69" t="s">
        <v>29418</v>
      </c>
      <c r="E11241" s="51"/>
      <c r="F11241" s="114" t="str">
        <f>IF(INDEX(I.Facility.P2bIDNumber,1229)="","",INDEX(I.Facility.P2bIDNumber,1229))</f>
        <v/>
      </c>
      <c r="G11241" s="51"/>
      <c r="H11241" s="46" t="str">
        <f>IF(AND(I.Developer.P2b=TRUE,I.Facility.P2bFacilityCount&gt;=1229,F11241=""),"Incomplete","Complete")</f>
        <v>Complete</v>
      </c>
      <c r="I11241" s="48" t="s">
        <v>15606</v>
      </c>
    </row>
    <row r="11242" spans="2:9" ht="15" customHeight="1" x14ac:dyDescent="0.25">
      <c r="B11242" s="55" t="s">
        <v>281</v>
      </c>
      <c r="C11242" s="46">
        <v>1230</v>
      </c>
      <c r="D11242" s="69" t="s">
        <v>29418</v>
      </c>
      <c r="E11242" s="51"/>
      <c r="F11242" s="114" t="str">
        <f>IF(INDEX(I.Facility.P2bIDNumber,1230)="","",INDEX(I.Facility.P2bIDNumber,1230))</f>
        <v/>
      </c>
      <c r="G11242" s="51"/>
      <c r="H11242" s="46" t="str">
        <f>IF(AND(I.Developer.P2b=TRUE,I.Facility.P2bFacilityCount&gt;=1230,F11242=""),"Incomplete","Complete")</f>
        <v>Complete</v>
      </c>
      <c r="I11242" s="48" t="s">
        <v>15607</v>
      </c>
    </row>
    <row r="11243" spans="2:9" ht="15" customHeight="1" x14ac:dyDescent="0.25">
      <c r="B11243" s="55" t="s">
        <v>281</v>
      </c>
      <c r="C11243" s="46">
        <v>1231</v>
      </c>
      <c r="D11243" s="69" t="s">
        <v>29418</v>
      </c>
      <c r="E11243" s="51"/>
      <c r="F11243" s="114" t="str">
        <f>IF(INDEX(I.Facility.P2bIDNumber,1231)="","",INDEX(I.Facility.P2bIDNumber,1231))</f>
        <v/>
      </c>
      <c r="G11243" s="51"/>
      <c r="H11243" s="46" t="str">
        <f>IF(AND(I.Developer.P2b=TRUE,I.Facility.P2bFacilityCount&gt;=1231,F11243=""),"Incomplete","Complete")</f>
        <v>Complete</v>
      </c>
      <c r="I11243" s="48" t="s">
        <v>15608</v>
      </c>
    </row>
    <row r="11244" spans="2:9" ht="15" customHeight="1" x14ac:dyDescent="0.25">
      <c r="B11244" s="55" t="s">
        <v>281</v>
      </c>
      <c r="C11244" s="46">
        <v>1232</v>
      </c>
      <c r="D11244" s="69" t="s">
        <v>29418</v>
      </c>
      <c r="E11244" s="51"/>
      <c r="F11244" s="114" t="str">
        <f>IF(INDEX(I.Facility.P2bIDNumber,1232)="","",INDEX(I.Facility.P2bIDNumber,1232))</f>
        <v/>
      </c>
      <c r="G11244" s="51"/>
      <c r="H11244" s="46" t="str">
        <f>IF(AND(I.Developer.P2b=TRUE,I.Facility.P2bFacilityCount&gt;=1232,F11244=""),"Incomplete","Complete")</f>
        <v>Complete</v>
      </c>
      <c r="I11244" s="48" t="s">
        <v>15609</v>
      </c>
    </row>
    <row r="11245" spans="2:9" ht="15" customHeight="1" x14ac:dyDescent="0.25">
      <c r="B11245" s="55" t="s">
        <v>281</v>
      </c>
      <c r="C11245" s="46">
        <v>1233</v>
      </c>
      <c r="D11245" s="69" t="s">
        <v>29418</v>
      </c>
      <c r="E11245" s="51"/>
      <c r="F11245" s="114" t="str">
        <f>IF(INDEX(I.Facility.P2bIDNumber,1233)="","",INDEX(I.Facility.P2bIDNumber,1233))</f>
        <v/>
      </c>
      <c r="G11245" s="51"/>
      <c r="H11245" s="46" t="str">
        <f>IF(AND(I.Developer.P2b=TRUE,I.Facility.P2bFacilityCount&gt;=1233,F11245=""),"Incomplete","Complete")</f>
        <v>Complete</v>
      </c>
      <c r="I11245" s="48" t="s">
        <v>15610</v>
      </c>
    </row>
    <row r="11246" spans="2:9" ht="15" customHeight="1" x14ac:dyDescent="0.25">
      <c r="B11246" s="55" t="s">
        <v>281</v>
      </c>
      <c r="C11246" s="46">
        <v>1234</v>
      </c>
      <c r="D11246" s="69" t="s">
        <v>29418</v>
      </c>
      <c r="E11246" s="51"/>
      <c r="F11246" s="114" t="str">
        <f>IF(INDEX(I.Facility.P2bIDNumber,1234)="","",INDEX(I.Facility.P2bIDNumber,1234))</f>
        <v/>
      </c>
      <c r="G11246" s="51"/>
      <c r="H11246" s="46" t="str">
        <f>IF(AND(I.Developer.P2b=TRUE,I.Facility.P2bFacilityCount&gt;=1234,F11246=""),"Incomplete","Complete")</f>
        <v>Complete</v>
      </c>
      <c r="I11246" s="48" t="s">
        <v>15611</v>
      </c>
    </row>
    <row r="11247" spans="2:9" ht="15" customHeight="1" x14ac:dyDescent="0.25">
      <c r="B11247" s="55" t="s">
        <v>281</v>
      </c>
      <c r="C11247" s="46">
        <v>1235</v>
      </c>
      <c r="D11247" s="69" t="s">
        <v>29418</v>
      </c>
      <c r="E11247" s="51"/>
      <c r="F11247" s="114" t="str">
        <f>IF(INDEX(I.Facility.P2bIDNumber,1235)="","",INDEX(I.Facility.P2bIDNumber,1235))</f>
        <v/>
      </c>
      <c r="G11247" s="51"/>
      <c r="H11247" s="46" t="str">
        <f>IF(AND(I.Developer.P2b=TRUE,I.Facility.P2bFacilityCount&gt;=1235,F11247=""),"Incomplete","Complete")</f>
        <v>Complete</v>
      </c>
      <c r="I11247" s="48" t="s">
        <v>15612</v>
      </c>
    </row>
    <row r="11248" spans="2:9" ht="15" customHeight="1" x14ac:dyDescent="0.25">
      <c r="B11248" s="55" t="s">
        <v>281</v>
      </c>
      <c r="C11248" s="46">
        <v>1236</v>
      </c>
      <c r="D11248" s="69" t="s">
        <v>29418</v>
      </c>
      <c r="E11248" s="51"/>
      <c r="F11248" s="114" t="str">
        <f>IF(INDEX(I.Facility.P2bIDNumber,1236)="","",INDEX(I.Facility.P2bIDNumber,1236))</f>
        <v/>
      </c>
      <c r="G11248" s="51"/>
      <c r="H11248" s="46" t="str">
        <f>IF(AND(I.Developer.P2b=TRUE,I.Facility.P2bFacilityCount&gt;=1236,F11248=""),"Incomplete","Complete")</f>
        <v>Complete</v>
      </c>
      <c r="I11248" s="48" t="s">
        <v>15613</v>
      </c>
    </row>
    <row r="11249" spans="2:9" ht="15" customHeight="1" x14ac:dyDescent="0.25">
      <c r="B11249" s="55" t="s">
        <v>281</v>
      </c>
      <c r="C11249" s="46">
        <v>1237</v>
      </c>
      <c r="D11249" s="69" t="s">
        <v>29418</v>
      </c>
      <c r="E11249" s="51"/>
      <c r="F11249" s="114" t="str">
        <f>IF(INDEX(I.Facility.P2bIDNumber,1237)="","",INDEX(I.Facility.P2bIDNumber,1237))</f>
        <v/>
      </c>
      <c r="G11249" s="51"/>
      <c r="H11249" s="46" t="str">
        <f>IF(AND(I.Developer.P2b=TRUE,I.Facility.P2bFacilityCount&gt;=1237,F11249=""),"Incomplete","Complete")</f>
        <v>Complete</v>
      </c>
      <c r="I11249" s="48" t="s">
        <v>15614</v>
      </c>
    </row>
    <row r="11250" spans="2:9" ht="15" customHeight="1" x14ac:dyDescent="0.25">
      <c r="B11250" s="55" t="s">
        <v>281</v>
      </c>
      <c r="C11250" s="46">
        <v>1238</v>
      </c>
      <c r="D11250" s="69" t="s">
        <v>29418</v>
      </c>
      <c r="E11250" s="51"/>
      <c r="F11250" s="114" t="str">
        <f>IF(INDEX(I.Facility.P2bIDNumber,1238)="","",INDEX(I.Facility.P2bIDNumber,1238))</f>
        <v/>
      </c>
      <c r="G11250" s="51"/>
      <c r="H11250" s="46" t="str">
        <f>IF(AND(I.Developer.P2b=TRUE,I.Facility.P2bFacilityCount&gt;=1238,F11250=""),"Incomplete","Complete")</f>
        <v>Complete</v>
      </c>
      <c r="I11250" s="48" t="s">
        <v>15615</v>
      </c>
    </row>
    <row r="11251" spans="2:9" ht="15" customHeight="1" x14ac:dyDescent="0.25">
      <c r="B11251" s="55" t="s">
        <v>281</v>
      </c>
      <c r="C11251" s="46">
        <v>1239</v>
      </c>
      <c r="D11251" s="69" t="s">
        <v>29418</v>
      </c>
      <c r="E11251" s="51"/>
      <c r="F11251" s="114" t="str">
        <f>IF(INDEX(I.Facility.P2bIDNumber,1239)="","",INDEX(I.Facility.P2bIDNumber,1239))</f>
        <v/>
      </c>
      <c r="G11251" s="51"/>
      <c r="H11251" s="46" t="str">
        <f>IF(AND(I.Developer.P2b=TRUE,I.Facility.P2bFacilityCount&gt;=1239,F11251=""),"Incomplete","Complete")</f>
        <v>Complete</v>
      </c>
      <c r="I11251" s="48" t="s">
        <v>15616</v>
      </c>
    </row>
    <row r="11252" spans="2:9" ht="15" customHeight="1" x14ac:dyDescent="0.25">
      <c r="B11252" s="55" t="s">
        <v>281</v>
      </c>
      <c r="C11252" s="46">
        <v>1240</v>
      </c>
      <c r="D11252" s="69" t="s">
        <v>29418</v>
      </c>
      <c r="E11252" s="51"/>
      <c r="F11252" s="114" t="str">
        <f>IF(INDEX(I.Facility.P2bIDNumber,1240)="","",INDEX(I.Facility.P2bIDNumber,1240))</f>
        <v/>
      </c>
      <c r="G11252" s="51"/>
      <c r="H11252" s="46" t="str">
        <f>IF(AND(I.Developer.P2b=TRUE,I.Facility.P2bFacilityCount&gt;=1240,F11252=""),"Incomplete","Complete")</f>
        <v>Complete</v>
      </c>
      <c r="I11252" s="48" t="s">
        <v>15617</v>
      </c>
    </row>
    <row r="11253" spans="2:9" ht="15" customHeight="1" x14ac:dyDescent="0.25">
      <c r="B11253" s="55" t="s">
        <v>281</v>
      </c>
      <c r="C11253" s="46">
        <v>1241</v>
      </c>
      <c r="D11253" s="69" t="s">
        <v>29418</v>
      </c>
      <c r="E11253" s="51"/>
      <c r="F11253" s="114" t="str">
        <f>IF(INDEX(I.Facility.P2bIDNumber,1241)="","",INDEX(I.Facility.P2bIDNumber,1241))</f>
        <v/>
      </c>
      <c r="G11253" s="51"/>
      <c r="H11253" s="46" t="str">
        <f>IF(AND(I.Developer.P2b=TRUE,I.Facility.P2bFacilityCount&gt;=1241,F11253=""),"Incomplete","Complete")</f>
        <v>Complete</v>
      </c>
      <c r="I11253" s="48" t="s">
        <v>15618</v>
      </c>
    </row>
    <row r="11254" spans="2:9" ht="15" customHeight="1" x14ac:dyDescent="0.25">
      <c r="B11254" s="55" t="s">
        <v>281</v>
      </c>
      <c r="C11254" s="46">
        <v>1242</v>
      </c>
      <c r="D11254" s="69" t="s">
        <v>29418</v>
      </c>
      <c r="E11254" s="51"/>
      <c r="F11254" s="114" t="str">
        <f>IF(INDEX(I.Facility.P2bIDNumber,1242)="","",INDEX(I.Facility.P2bIDNumber,1242))</f>
        <v/>
      </c>
      <c r="G11254" s="51"/>
      <c r="H11254" s="46" t="str">
        <f>IF(AND(I.Developer.P2b=TRUE,I.Facility.P2bFacilityCount&gt;=1242,F11254=""),"Incomplete","Complete")</f>
        <v>Complete</v>
      </c>
      <c r="I11254" s="48" t="s">
        <v>15619</v>
      </c>
    </row>
    <row r="11255" spans="2:9" ht="15" customHeight="1" x14ac:dyDescent="0.25">
      <c r="B11255" s="55" t="s">
        <v>281</v>
      </c>
      <c r="C11255" s="46">
        <v>1243</v>
      </c>
      <c r="D11255" s="69" t="s">
        <v>29418</v>
      </c>
      <c r="E11255" s="51"/>
      <c r="F11255" s="114" t="str">
        <f>IF(INDEX(I.Facility.P2bIDNumber,1243)="","",INDEX(I.Facility.P2bIDNumber,1243))</f>
        <v/>
      </c>
      <c r="G11255" s="51"/>
      <c r="H11255" s="46" t="str">
        <f>IF(AND(I.Developer.P2b=TRUE,I.Facility.P2bFacilityCount&gt;=1243,F11255=""),"Incomplete","Complete")</f>
        <v>Complete</v>
      </c>
      <c r="I11255" s="48" t="s">
        <v>15620</v>
      </c>
    </row>
    <row r="11256" spans="2:9" ht="15" customHeight="1" x14ac:dyDescent="0.25">
      <c r="B11256" s="55" t="s">
        <v>281</v>
      </c>
      <c r="C11256" s="46">
        <v>1244</v>
      </c>
      <c r="D11256" s="69" t="s">
        <v>29418</v>
      </c>
      <c r="E11256" s="51"/>
      <c r="F11256" s="114" t="str">
        <f>IF(INDEX(I.Facility.P2bIDNumber,1244)="","",INDEX(I.Facility.P2bIDNumber,1244))</f>
        <v/>
      </c>
      <c r="G11256" s="51"/>
      <c r="H11256" s="46" t="str">
        <f>IF(AND(I.Developer.P2b=TRUE,I.Facility.P2bFacilityCount&gt;=1244,F11256=""),"Incomplete","Complete")</f>
        <v>Complete</v>
      </c>
      <c r="I11256" s="48" t="s">
        <v>15621</v>
      </c>
    </row>
    <row r="11257" spans="2:9" ht="15" customHeight="1" x14ac:dyDescent="0.25">
      <c r="B11257" s="55" t="s">
        <v>281</v>
      </c>
      <c r="C11257" s="46">
        <v>1245</v>
      </c>
      <c r="D11257" s="69" t="s">
        <v>29418</v>
      </c>
      <c r="E11257" s="51"/>
      <c r="F11257" s="114" t="str">
        <f>IF(INDEX(I.Facility.P2bIDNumber,1245)="","",INDEX(I.Facility.P2bIDNumber,1245))</f>
        <v/>
      </c>
      <c r="G11257" s="51"/>
      <c r="H11257" s="46" t="str">
        <f>IF(AND(I.Developer.P2b=TRUE,I.Facility.P2bFacilityCount&gt;=1245,F11257=""),"Incomplete","Complete")</f>
        <v>Complete</v>
      </c>
      <c r="I11257" s="48" t="s">
        <v>15622</v>
      </c>
    </row>
    <row r="11258" spans="2:9" ht="15" customHeight="1" x14ac:dyDescent="0.25">
      <c r="B11258" s="55" t="s">
        <v>281</v>
      </c>
      <c r="C11258" s="46">
        <v>1246</v>
      </c>
      <c r="D11258" s="69" t="s">
        <v>29418</v>
      </c>
      <c r="E11258" s="51"/>
      <c r="F11258" s="114" t="str">
        <f>IF(INDEX(I.Facility.P2bIDNumber,1246)="","",INDEX(I.Facility.P2bIDNumber,1246))</f>
        <v/>
      </c>
      <c r="G11258" s="51"/>
      <c r="H11258" s="46" t="str">
        <f>IF(AND(I.Developer.P2b=TRUE,I.Facility.P2bFacilityCount&gt;=1246,F11258=""),"Incomplete","Complete")</f>
        <v>Complete</v>
      </c>
      <c r="I11258" s="48" t="s">
        <v>15623</v>
      </c>
    </row>
    <row r="11259" spans="2:9" ht="15" customHeight="1" x14ac:dyDescent="0.25">
      <c r="B11259" s="55" t="s">
        <v>281</v>
      </c>
      <c r="C11259" s="46">
        <v>1247</v>
      </c>
      <c r="D11259" s="69" t="s">
        <v>29418</v>
      </c>
      <c r="E11259" s="51"/>
      <c r="F11259" s="114" t="str">
        <f>IF(INDEX(I.Facility.P2bIDNumber,1247)="","",INDEX(I.Facility.P2bIDNumber,1247))</f>
        <v/>
      </c>
      <c r="G11259" s="51"/>
      <c r="H11259" s="46" t="str">
        <f>IF(AND(I.Developer.P2b=TRUE,I.Facility.P2bFacilityCount&gt;=1247,F11259=""),"Incomplete","Complete")</f>
        <v>Complete</v>
      </c>
      <c r="I11259" s="48" t="s">
        <v>15624</v>
      </c>
    </row>
    <row r="11260" spans="2:9" ht="15" customHeight="1" x14ac:dyDescent="0.25">
      <c r="B11260" s="55" t="s">
        <v>281</v>
      </c>
      <c r="C11260" s="46">
        <v>1248</v>
      </c>
      <c r="D11260" s="69" t="s">
        <v>29418</v>
      </c>
      <c r="E11260" s="51"/>
      <c r="F11260" s="114" t="str">
        <f>IF(INDEX(I.Facility.P2bIDNumber,1248)="","",INDEX(I.Facility.P2bIDNumber,1248))</f>
        <v/>
      </c>
      <c r="G11260" s="51"/>
      <c r="H11260" s="46" t="str">
        <f>IF(AND(I.Developer.P2b=TRUE,I.Facility.P2bFacilityCount&gt;=1248,F11260=""),"Incomplete","Complete")</f>
        <v>Complete</v>
      </c>
      <c r="I11260" s="48" t="s">
        <v>15625</v>
      </c>
    </row>
    <row r="11261" spans="2:9" ht="15" customHeight="1" x14ac:dyDescent="0.25">
      <c r="B11261" s="55" t="s">
        <v>281</v>
      </c>
      <c r="C11261" s="46">
        <v>1249</v>
      </c>
      <c r="D11261" s="69" t="s">
        <v>29418</v>
      </c>
      <c r="E11261" s="51"/>
      <c r="F11261" s="114" t="str">
        <f>IF(INDEX(I.Facility.P2bIDNumber,1249)="","",INDEX(I.Facility.P2bIDNumber,1249))</f>
        <v/>
      </c>
      <c r="G11261" s="51"/>
      <c r="H11261" s="46" t="str">
        <f>IF(AND(I.Developer.P2b=TRUE,I.Facility.P2bFacilityCount&gt;=1249,F11261=""),"Incomplete","Complete")</f>
        <v>Complete</v>
      </c>
      <c r="I11261" s="48" t="s">
        <v>15626</v>
      </c>
    </row>
    <row r="11262" spans="2:9" ht="15" customHeight="1" x14ac:dyDescent="0.25">
      <c r="B11262" s="55" t="s">
        <v>281</v>
      </c>
      <c r="C11262" s="46">
        <v>1250</v>
      </c>
      <c r="D11262" s="69" t="s">
        <v>29418</v>
      </c>
      <c r="E11262" s="51"/>
      <c r="F11262" s="114" t="str">
        <f>IF(INDEX(I.Facility.P2bIDNumber,1250)="","",INDEX(I.Facility.P2bIDNumber,1250))</f>
        <v/>
      </c>
      <c r="G11262" s="51"/>
      <c r="H11262" s="46" t="str">
        <f>IF(AND(I.Developer.P2b=TRUE,I.Facility.P2bFacilityCount&gt;=1250,F11262=""),"Incomplete","Complete")</f>
        <v>Complete</v>
      </c>
      <c r="I11262" s="48" t="s">
        <v>15627</v>
      </c>
    </row>
    <row r="11263" spans="2:9" ht="15" customHeight="1" x14ac:dyDescent="0.25">
      <c r="B11263" s="55" t="s">
        <v>281</v>
      </c>
      <c r="C11263" s="46">
        <v>1251</v>
      </c>
      <c r="D11263" s="69" t="s">
        <v>29418</v>
      </c>
      <c r="E11263" s="51"/>
      <c r="F11263" s="114" t="str">
        <f>IF(INDEX(I.Facility.P2bIDNumber,1251)="","",INDEX(I.Facility.P2bIDNumber,1251))</f>
        <v/>
      </c>
      <c r="G11263" s="51"/>
      <c r="H11263" s="46" t="str">
        <f>IF(AND(I.Developer.P2b=TRUE,I.Facility.P2bFacilityCount&gt;=1251,F11263=""),"Incomplete","Complete")</f>
        <v>Complete</v>
      </c>
      <c r="I11263" s="48" t="s">
        <v>15628</v>
      </c>
    </row>
    <row r="11264" spans="2:9" ht="15" customHeight="1" x14ac:dyDescent="0.25">
      <c r="B11264" s="55" t="s">
        <v>281</v>
      </c>
      <c r="C11264" s="46">
        <v>1252</v>
      </c>
      <c r="D11264" s="69" t="s">
        <v>29418</v>
      </c>
      <c r="E11264" s="51"/>
      <c r="F11264" s="114" t="str">
        <f>IF(INDEX(I.Facility.P2bIDNumber,1252)="","",INDEX(I.Facility.P2bIDNumber,1252))</f>
        <v/>
      </c>
      <c r="G11264" s="51"/>
      <c r="H11264" s="46" t="str">
        <f>IF(AND(I.Developer.P2b=TRUE,I.Facility.P2bFacilityCount&gt;=1252,F11264=""),"Incomplete","Complete")</f>
        <v>Complete</v>
      </c>
      <c r="I11264" s="48" t="s">
        <v>15629</v>
      </c>
    </row>
    <row r="11265" spans="2:9" ht="15" customHeight="1" x14ac:dyDescent="0.25">
      <c r="B11265" s="55" t="s">
        <v>281</v>
      </c>
      <c r="C11265" s="46">
        <v>1253</v>
      </c>
      <c r="D11265" s="69" t="s">
        <v>29418</v>
      </c>
      <c r="E11265" s="51"/>
      <c r="F11265" s="114" t="str">
        <f>IF(INDEX(I.Facility.P2bIDNumber,1253)="","",INDEX(I.Facility.P2bIDNumber,1253))</f>
        <v/>
      </c>
      <c r="G11265" s="51"/>
      <c r="H11265" s="46" t="str">
        <f>IF(AND(I.Developer.P2b=TRUE,I.Facility.P2bFacilityCount&gt;=1253,F11265=""),"Incomplete","Complete")</f>
        <v>Complete</v>
      </c>
      <c r="I11265" s="48" t="s">
        <v>15630</v>
      </c>
    </row>
    <row r="11266" spans="2:9" ht="15" customHeight="1" x14ac:dyDescent="0.25">
      <c r="B11266" s="55" t="s">
        <v>281</v>
      </c>
      <c r="C11266" s="46">
        <v>1254</v>
      </c>
      <c r="D11266" s="69" t="s">
        <v>29418</v>
      </c>
      <c r="E11266" s="51"/>
      <c r="F11266" s="114" t="str">
        <f>IF(INDEX(I.Facility.P2bIDNumber,1254)="","",INDEX(I.Facility.P2bIDNumber,1254))</f>
        <v/>
      </c>
      <c r="G11266" s="51"/>
      <c r="H11266" s="46" t="str">
        <f>IF(AND(I.Developer.P2b=TRUE,I.Facility.P2bFacilityCount&gt;=1254,F11266=""),"Incomplete","Complete")</f>
        <v>Complete</v>
      </c>
      <c r="I11266" s="48" t="s">
        <v>15631</v>
      </c>
    </row>
    <row r="11267" spans="2:9" ht="15" customHeight="1" x14ac:dyDescent="0.25">
      <c r="B11267" s="55" t="s">
        <v>281</v>
      </c>
      <c r="C11267" s="46">
        <v>1255</v>
      </c>
      <c r="D11267" s="69" t="s">
        <v>29418</v>
      </c>
      <c r="E11267" s="51"/>
      <c r="F11267" s="114" t="str">
        <f>IF(INDEX(I.Facility.P2bIDNumber,1255)="","",INDEX(I.Facility.P2bIDNumber,1255))</f>
        <v/>
      </c>
      <c r="G11267" s="51"/>
      <c r="H11267" s="46" t="str">
        <f>IF(AND(I.Developer.P2b=TRUE,I.Facility.P2bFacilityCount&gt;=1255,F11267=""),"Incomplete","Complete")</f>
        <v>Complete</v>
      </c>
      <c r="I11267" s="48" t="s">
        <v>15632</v>
      </c>
    </row>
    <row r="11268" spans="2:9" ht="15" customHeight="1" x14ac:dyDescent="0.25">
      <c r="B11268" s="55" t="s">
        <v>281</v>
      </c>
      <c r="C11268" s="46">
        <v>1256</v>
      </c>
      <c r="D11268" s="69" t="s">
        <v>29418</v>
      </c>
      <c r="E11268" s="51"/>
      <c r="F11268" s="114" t="str">
        <f>IF(INDEX(I.Facility.P2bIDNumber,1256)="","",INDEX(I.Facility.P2bIDNumber,1256))</f>
        <v/>
      </c>
      <c r="G11268" s="51"/>
      <c r="H11268" s="46" t="str">
        <f>IF(AND(I.Developer.P2b=TRUE,I.Facility.P2bFacilityCount&gt;=1256,F11268=""),"Incomplete","Complete")</f>
        <v>Complete</v>
      </c>
      <c r="I11268" s="48" t="s">
        <v>15633</v>
      </c>
    </row>
    <row r="11269" spans="2:9" ht="15" customHeight="1" x14ac:dyDescent="0.25">
      <c r="B11269" s="55" t="s">
        <v>281</v>
      </c>
      <c r="C11269" s="46">
        <v>1257</v>
      </c>
      <c r="D11269" s="69" t="s">
        <v>29418</v>
      </c>
      <c r="E11269" s="51"/>
      <c r="F11269" s="114" t="str">
        <f>IF(INDEX(I.Facility.P2bIDNumber,1257)="","",INDEX(I.Facility.P2bIDNumber,1257))</f>
        <v/>
      </c>
      <c r="G11269" s="51"/>
      <c r="H11269" s="46" t="str">
        <f>IF(AND(I.Developer.P2b=TRUE,I.Facility.P2bFacilityCount&gt;=1257,F11269=""),"Incomplete","Complete")</f>
        <v>Complete</v>
      </c>
      <c r="I11269" s="48" t="s">
        <v>15634</v>
      </c>
    </row>
    <row r="11270" spans="2:9" ht="15" customHeight="1" x14ac:dyDescent="0.25">
      <c r="B11270" s="55" t="s">
        <v>281</v>
      </c>
      <c r="C11270" s="46">
        <v>1258</v>
      </c>
      <c r="D11270" s="69" t="s">
        <v>29418</v>
      </c>
      <c r="E11270" s="51"/>
      <c r="F11270" s="114" t="str">
        <f>IF(INDEX(I.Facility.P2bIDNumber,1258)="","",INDEX(I.Facility.P2bIDNumber,1258))</f>
        <v/>
      </c>
      <c r="G11270" s="51"/>
      <c r="H11270" s="46" t="str">
        <f>IF(AND(I.Developer.P2b=TRUE,I.Facility.P2bFacilityCount&gt;=1258,F11270=""),"Incomplete","Complete")</f>
        <v>Complete</v>
      </c>
      <c r="I11270" s="48" t="s">
        <v>15635</v>
      </c>
    </row>
    <row r="11271" spans="2:9" ht="15" customHeight="1" x14ac:dyDescent="0.25">
      <c r="B11271" s="55" t="s">
        <v>281</v>
      </c>
      <c r="C11271" s="46">
        <v>1259</v>
      </c>
      <c r="D11271" s="69" t="s">
        <v>29418</v>
      </c>
      <c r="E11271" s="51"/>
      <c r="F11271" s="114" t="str">
        <f>IF(INDEX(I.Facility.P2bIDNumber,1259)="","",INDEX(I.Facility.P2bIDNumber,1259))</f>
        <v/>
      </c>
      <c r="G11271" s="51"/>
      <c r="H11271" s="46" t="str">
        <f>IF(AND(I.Developer.P2b=TRUE,I.Facility.P2bFacilityCount&gt;=1259,F11271=""),"Incomplete","Complete")</f>
        <v>Complete</v>
      </c>
      <c r="I11271" s="48" t="s">
        <v>15636</v>
      </c>
    </row>
    <row r="11272" spans="2:9" ht="15" customHeight="1" x14ac:dyDescent="0.25">
      <c r="B11272" s="55" t="s">
        <v>281</v>
      </c>
      <c r="C11272" s="46">
        <v>1260</v>
      </c>
      <c r="D11272" s="69" t="s">
        <v>29418</v>
      </c>
      <c r="E11272" s="51"/>
      <c r="F11272" s="114" t="str">
        <f>IF(INDEX(I.Facility.P2bIDNumber,1260)="","",INDEX(I.Facility.P2bIDNumber,1260))</f>
        <v/>
      </c>
      <c r="G11272" s="51"/>
      <c r="H11272" s="46" t="str">
        <f>IF(AND(I.Developer.P2b=TRUE,I.Facility.P2bFacilityCount&gt;=1260,F11272=""),"Incomplete","Complete")</f>
        <v>Complete</v>
      </c>
      <c r="I11272" s="48" t="s">
        <v>15637</v>
      </c>
    </row>
    <row r="11273" spans="2:9" ht="15" customHeight="1" x14ac:dyDescent="0.25">
      <c r="B11273" s="55" t="s">
        <v>281</v>
      </c>
      <c r="C11273" s="46">
        <v>1261</v>
      </c>
      <c r="D11273" s="69" t="s">
        <v>29418</v>
      </c>
      <c r="E11273" s="51"/>
      <c r="F11273" s="114" t="str">
        <f>IF(INDEX(I.Facility.P2bIDNumber,1261)="","",INDEX(I.Facility.P2bIDNumber,1261))</f>
        <v/>
      </c>
      <c r="G11273" s="51"/>
      <c r="H11273" s="46" t="str">
        <f>IF(AND(I.Developer.P2b=TRUE,I.Facility.P2bFacilityCount&gt;=1261,F11273=""),"Incomplete","Complete")</f>
        <v>Complete</v>
      </c>
      <c r="I11273" s="48" t="s">
        <v>15638</v>
      </c>
    </row>
    <row r="11274" spans="2:9" ht="15" customHeight="1" x14ac:dyDescent="0.25">
      <c r="B11274" s="55" t="s">
        <v>281</v>
      </c>
      <c r="C11274" s="46">
        <v>1262</v>
      </c>
      <c r="D11274" s="69" t="s">
        <v>29418</v>
      </c>
      <c r="E11274" s="51"/>
      <c r="F11274" s="114" t="str">
        <f>IF(INDEX(I.Facility.P2bIDNumber,1262)="","",INDEX(I.Facility.P2bIDNumber,1262))</f>
        <v/>
      </c>
      <c r="G11274" s="51"/>
      <c r="H11274" s="46" t="str">
        <f>IF(AND(I.Developer.P2b=TRUE,I.Facility.P2bFacilityCount&gt;=1262,F11274=""),"Incomplete","Complete")</f>
        <v>Complete</v>
      </c>
      <c r="I11274" s="48" t="s">
        <v>15639</v>
      </c>
    </row>
    <row r="11275" spans="2:9" ht="15" customHeight="1" x14ac:dyDescent="0.25">
      <c r="B11275" s="55" t="s">
        <v>281</v>
      </c>
      <c r="C11275" s="46">
        <v>1263</v>
      </c>
      <c r="D11275" s="69" t="s">
        <v>29418</v>
      </c>
      <c r="E11275" s="51"/>
      <c r="F11275" s="114" t="str">
        <f>IF(INDEX(I.Facility.P2bIDNumber,1263)="","",INDEX(I.Facility.P2bIDNumber,1263))</f>
        <v/>
      </c>
      <c r="G11275" s="51"/>
      <c r="H11275" s="46" t="str">
        <f>IF(AND(I.Developer.P2b=TRUE,I.Facility.P2bFacilityCount&gt;=1263,F11275=""),"Incomplete","Complete")</f>
        <v>Complete</v>
      </c>
      <c r="I11275" s="48" t="s">
        <v>15640</v>
      </c>
    </row>
    <row r="11276" spans="2:9" ht="15" customHeight="1" x14ac:dyDescent="0.25">
      <c r="B11276" s="55" t="s">
        <v>281</v>
      </c>
      <c r="C11276" s="46">
        <v>1264</v>
      </c>
      <c r="D11276" s="69" t="s">
        <v>29418</v>
      </c>
      <c r="E11276" s="51"/>
      <c r="F11276" s="114" t="str">
        <f>IF(INDEX(I.Facility.P2bIDNumber,1264)="","",INDEX(I.Facility.P2bIDNumber,1264))</f>
        <v/>
      </c>
      <c r="G11276" s="51"/>
      <c r="H11276" s="46" t="str">
        <f>IF(AND(I.Developer.P2b=TRUE,I.Facility.P2bFacilityCount&gt;=1264,F11276=""),"Incomplete","Complete")</f>
        <v>Complete</v>
      </c>
      <c r="I11276" s="48" t="s">
        <v>15641</v>
      </c>
    </row>
    <row r="11277" spans="2:9" ht="15" customHeight="1" x14ac:dyDescent="0.25">
      <c r="B11277" s="55" t="s">
        <v>281</v>
      </c>
      <c r="C11277" s="46">
        <v>1265</v>
      </c>
      <c r="D11277" s="69" t="s">
        <v>29418</v>
      </c>
      <c r="E11277" s="51"/>
      <c r="F11277" s="114" t="str">
        <f>IF(INDEX(I.Facility.P2bIDNumber,1265)="","",INDEX(I.Facility.P2bIDNumber,1265))</f>
        <v/>
      </c>
      <c r="G11277" s="51"/>
      <c r="H11277" s="46" t="str">
        <f>IF(AND(I.Developer.P2b=TRUE,I.Facility.P2bFacilityCount&gt;=1265,F11277=""),"Incomplete","Complete")</f>
        <v>Complete</v>
      </c>
      <c r="I11277" s="48" t="s">
        <v>15642</v>
      </c>
    </row>
    <row r="11278" spans="2:9" ht="15" customHeight="1" x14ac:dyDescent="0.25">
      <c r="B11278" s="55" t="s">
        <v>281</v>
      </c>
      <c r="C11278" s="46">
        <v>1266</v>
      </c>
      <c r="D11278" s="69" t="s">
        <v>29418</v>
      </c>
      <c r="E11278" s="51"/>
      <c r="F11278" s="114" t="str">
        <f>IF(INDEX(I.Facility.P2bIDNumber,1266)="","",INDEX(I.Facility.P2bIDNumber,1266))</f>
        <v/>
      </c>
      <c r="G11278" s="51"/>
      <c r="H11278" s="46" t="str">
        <f>IF(AND(I.Developer.P2b=TRUE,I.Facility.P2bFacilityCount&gt;=1266,F11278=""),"Incomplete","Complete")</f>
        <v>Complete</v>
      </c>
      <c r="I11278" s="48" t="s">
        <v>15643</v>
      </c>
    </row>
    <row r="11279" spans="2:9" ht="15" customHeight="1" x14ac:dyDescent="0.25">
      <c r="B11279" s="55" t="s">
        <v>281</v>
      </c>
      <c r="C11279" s="46">
        <v>1267</v>
      </c>
      <c r="D11279" s="69" t="s">
        <v>29418</v>
      </c>
      <c r="E11279" s="51"/>
      <c r="F11279" s="114" t="str">
        <f>IF(INDEX(I.Facility.P2bIDNumber,1267)="","",INDEX(I.Facility.P2bIDNumber,1267))</f>
        <v/>
      </c>
      <c r="G11279" s="51"/>
      <c r="H11279" s="46" t="str">
        <f>IF(AND(I.Developer.P2b=TRUE,I.Facility.P2bFacilityCount&gt;=1267,F11279=""),"Incomplete","Complete")</f>
        <v>Complete</v>
      </c>
      <c r="I11279" s="48" t="s">
        <v>15644</v>
      </c>
    </row>
    <row r="11280" spans="2:9" ht="15" customHeight="1" x14ac:dyDescent="0.25">
      <c r="B11280" s="55" t="s">
        <v>281</v>
      </c>
      <c r="C11280" s="46">
        <v>1268</v>
      </c>
      <c r="D11280" s="69" t="s">
        <v>29418</v>
      </c>
      <c r="E11280" s="51"/>
      <c r="F11280" s="114" t="str">
        <f>IF(INDEX(I.Facility.P2bIDNumber,1268)="","",INDEX(I.Facility.P2bIDNumber,1268))</f>
        <v/>
      </c>
      <c r="G11280" s="51"/>
      <c r="H11280" s="46" t="str">
        <f>IF(AND(I.Developer.P2b=TRUE,I.Facility.P2bFacilityCount&gt;=1268,F11280=""),"Incomplete","Complete")</f>
        <v>Complete</v>
      </c>
      <c r="I11280" s="48" t="s">
        <v>15645</v>
      </c>
    </row>
    <row r="11281" spans="2:9" ht="15" customHeight="1" x14ac:dyDescent="0.25">
      <c r="B11281" s="55" t="s">
        <v>281</v>
      </c>
      <c r="C11281" s="46">
        <v>1269</v>
      </c>
      <c r="D11281" s="69" t="s">
        <v>29418</v>
      </c>
      <c r="E11281" s="51"/>
      <c r="F11281" s="114" t="str">
        <f>IF(INDEX(I.Facility.P2bIDNumber,1269)="","",INDEX(I.Facility.P2bIDNumber,1269))</f>
        <v/>
      </c>
      <c r="G11281" s="51"/>
      <c r="H11281" s="46" t="str">
        <f>IF(AND(I.Developer.P2b=TRUE,I.Facility.P2bFacilityCount&gt;=1269,F11281=""),"Incomplete","Complete")</f>
        <v>Complete</v>
      </c>
      <c r="I11281" s="48" t="s">
        <v>15646</v>
      </c>
    </row>
    <row r="11282" spans="2:9" ht="15" customHeight="1" x14ac:dyDescent="0.25">
      <c r="B11282" s="55" t="s">
        <v>281</v>
      </c>
      <c r="C11282" s="46">
        <v>1270</v>
      </c>
      <c r="D11282" s="69" t="s">
        <v>29418</v>
      </c>
      <c r="E11282" s="51"/>
      <c r="F11282" s="114" t="str">
        <f>IF(INDEX(I.Facility.P2bIDNumber,1270)="","",INDEX(I.Facility.P2bIDNumber,1270))</f>
        <v/>
      </c>
      <c r="G11282" s="51"/>
      <c r="H11282" s="46" t="str">
        <f>IF(AND(I.Developer.P2b=TRUE,I.Facility.P2bFacilityCount&gt;=1270,F11282=""),"Incomplete","Complete")</f>
        <v>Complete</v>
      </c>
      <c r="I11282" s="48" t="s">
        <v>15647</v>
      </c>
    </row>
    <row r="11283" spans="2:9" ht="15" customHeight="1" x14ac:dyDescent="0.25">
      <c r="B11283" s="55" t="s">
        <v>281</v>
      </c>
      <c r="C11283" s="46">
        <v>1271</v>
      </c>
      <c r="D11283" s="69" t="s">
        <v>29418</v>
      </c>
      <c r="E11283" s="51"/>
      <c r="F11283" s="114" t="str">
        <f>IF(INDEX(I.Facility.P2bIDNumber,1271)="","",INDEX(I.Facility.P2bIDNumber,1271))</f>
        <v/>
      </c>
      <c r="G11283" s="51"/>
      <c r="H11283" s="46" t="str">
        <f>IF(AND(I.Developer.P2b=TRUE,I.Facility.P2bFacilityCount&gt;=1271,F11283=""),"Incomplete","Complete")</f>
        <v>Complete</v>
      </c>
      <c r="I11283" s="48" t="s">
        <v>15648</v>
      </c>
    </row>
    <row r="11284" spans="2:9" ht="15" customHeight="1" x14ac:dyDescent="0.25">
      <c r="B11284" s="55" t="s">
        <v>281</v>
      </c>
      <c r="C11284" s="46">
        <v>1272</v>
      </c>
      <c r="D11284" s="69" t="s">
        <v>29418</v>
      </c>
      <c r="E11284" s="51"/>
      <c r="F11284" s="114" t="str">
        <f>IF(INDEX(I.Facility.P2bIDNumber,1272)="","",INDEX(I.Facility.P2bIDNumber,1272))</f>
        <v/>
      </c>
      <c r="G11284" s="51"/>
      <c r="H11284" s="46" t="str">
        <f>IF(AND(I.Developer.P2b=TRUE,I.Facility.P2bFacilityCount&gt;=1272,F11284=""),"Incomplete","Complete")</f>
        <v>Complete</v>
      </c>
      <c r="I11284" s="48" t="s">
        <v>15649</v>
      </c>
    </row>
    <row r="11285" spans="2:9" ht="15" customHeight="1" x14ac:dyDescent="0.25">
      <c r="B11285" s="55" t="s">
        <v>281</v>
      </c>
      <c r="C11285" s="46">
        <v>1273</v>
      </c>
      <c r="D11285" s="69" t="s">
        <v>29418</v>
      </c>
      <c r="E11285" s="51"/>
      <c r="F11285" s="114" t="str">
        <f>IF(INDEX(I.Facility.P2bIDNumber,1273)="","",INDEX(I.Facility.P2bIDNumber,1273))</f>
        <v/>
      </c>
      <c r="G11285" s="51"/>
      <c r="H11285" s="46" t="str">
        <f>IF(AND(I.Developer.P2b=TRUE,I.Facility.P2bFacilityCount&gt;=1273,F11285=""),"Incomplete","Complete")</f>
        <v>Complete</v>
      </c>
      <c r="I11285" s="48" t="s">
        <v>15650</v>
      </c>
    </row>
    <row r="11286" spans="2:9" ht="15" customHeight="1" x14ac:dyDescent="0.25">
      <c r="B11286" s="55" t="s">
        <v>281</v>
      </c>
      <c r="C11286" s="46">
        <v>1274</v>
      </c>
      <c r="D11286" s="69" t="s">
        <v>29418</v>
      </c>
      <c r="E11286" s="51"/>
      <c r="F11286" s="114" t="str">
        <f>IF(INDEX(I.Facility.P2bIDNumber,1274)="","",INDEX(I.Facility.P2bIDNumber,1274))</f>
        <v/>
      </c>
      <c r="G11286" s="51"/>
      <c r="H11286" s="46" t="str">
        <f>IF(AND(I.Developer.P2b=TRUE,I.Facility.P2bFacilityCount&gt;=1274,F11286=""),"Incomplete","Complete")</f>
        <v>Complete</v>
      </c>
      <c r="I11286" s="48" t="s">
        <v>15651</v>
      </c>
    </row>
    <row r="11287" spans="2:9" ht="15" customHeight="1" x14ac:dyDescent="0.25">
      <c r="B11287" s="55" t="s">
        <v>281</v>
      </c>
      <c r="C11287" s="46">
        <v>1275</v>
      </c>
      <c r="D11287" s="69" t="s">
        <v>29418</v>
      </c>
      <c r="E11287" s="51"/>
      <c r="F11287" s="114" t="str">
        <f>IF(INDEX(I.Facility.P2bIDNumber,1275)="","",INDEX(I.Facility.P2bIDNumber,1275))</f>
        <v/>
      </c>
      <c r="G11287" s="51"/>
      <c r="H11287" s="46" t="str">
        <f>IF(AND(I.Developer.P2b=TRUE,I.Facility.P2bFacilityCount&gt;=1275,F11287=""),"Incomplete","Complete")</f>
        <v>Complete</v>
      </c>
      <c r="I11287" s="48" t="s">
        <v>15652</v>
      </c>
    </row>
    <row r="11288" spans="2:9" ht="15" customHeight="1" x14ac:dyDescent="0.25">
      <c r="B11288" s="55" t="s">
        <v>281</v>
      </c>
      <c r="C11288" s="46">
        <v>1276</v>
      </c>
      <c r="D11288" s="69" t="s">
        <v>29418</v>
      </c>
      <c r="E11288" s="51"/>
      <c r="F11288" s="114" t="str">
        <f>IF(INDEX(I.Facility.P2bIDNumber,1276)="","",INDEX(I.Facility.P2bIDNumber,1276))</f>
        <v/>
      </c>
      <c r="G11288" s="51"/>
      <c r="H11288" s="46" t="str">
        <f>IF(AND(I.Developer.P2b=TRUE,I.Facility.P2bFacilityCount&gt;=1276,F11288=""),"Incomplete","Complete")</f>
        <v>Complete</v>
      </c>
      <c r="I11288" s="48" t="s">
        <v>15653</v>
      </c>
    </row>
    <row r="11289" spans="2:9" ht="15" customHeight="1" x14ac:dyDescent="0.25">
      <c r="B11289" s="55" t="s">
        <v>281</v>
      </c>
      <c r="C11289" s="46">
        <v>1277</v>
      </c>
      <c r="D11289" s="69" t="s">
        <v>29418</v>
      </c>
      <c r="E11289" s="51"/>
      <c r="F11289" s="114" t="str">
        <f>IF(INDEX(I.Facility.P2bIDNumber,1277)="","",INDEX(I.Facility.P2bIDNumber,1277))</f>
        <v/>
      </c>
      <c r="G11289" s="51"/>
      <c r="H11289" s="46" t="str">
        <f>IF(AND(I.Developer.P2b=TRUE,I.Facility.P2bFacilityCount&gt;=1277,F11289=""),"Incomplete","Complete")</f>
        <v>Complete</v>
      </c>
      <c r="I11289" s="48" t="s">
        <v>15654</v>
      </c>
    </row>
    <row r="11290" spans="2:9" ht="15" customHeight="1" x14ac:dyDescent="0.25">
      <c r="B11290" s="55" t="s">
        <v>281</v>
      </c>
      <c r="C11290" s="46">
        <v>1278</v>
      </c>
      <c r="D11290" s="69" t="s">
        <v>29418</v>
      </c>
      <c r="E11290" s="51"/>
      <c r="F11290" s="114" t="str">
        <f>IF(INDEX(I.Facility.P2bIDNumber,1278)="","",INDEX(I.Facility.P2bIDNumber,1278))</f>
        <v/>
      </c>
      <c r="G11290" s="51"/>
      <c r="H11290" s="46" t="str">
        <f>IF(AND(I.Developer.P2b=TRUE,I.Facility.P2bFacilityCount&gt;=1278,F11290=""),"Incomplete","Complete")</f>
        <v>Complete</v>
      </c>
      <c r="I11290" s="48" t="s">
        <v>15655</v>
      </c>
    </row>
    <row r="11291" spans="2:9" ht="15" customHeight="1" x14ac:dyDescent="0.25">
      <c r="B11291" s="55" t="s">
        <v>281</v>
      </c>
      <c r="C11291" s="46">
        <v>1279</v>
      </c>
      <c r="D11291" s="69" t="s">
        <v>29418</v>
      </c>
      <c r="E11291" s="51"/>
      <c r="F11291" s="114" t="str">
        <f>IF(INDEX(I.Facility.P2bIDNumber,1279)="","",INDEX(I.Facility.P2bIDNumber,1279))</f>
        <v/>
      </c>
      <c r="G11291" s="51"/>
      <c r="H11291" s="46" t="str">
        <f>IF(AND(I.Developer.P2b=TRUE,I.Facility.P2bFacilityCount&gt;=1279,F11291=""),"Incomplete","Complete")</f>
        <v>Complete</v>
      </c>
      <c r="I11291" s="48" t="s">
        <v>15656</v>
      </c>
    </row>
    <row r="11292" spans="2:9" ht="15" customHeight="1" x14ac:dyDescent="0.25">
      <c r="B11292" s="55" t="s">
        <v>281</v>
      </c>
      <c r="C11292" s="46">
        <v>1280</v>
      </c>
      <c r="D11292" s="69" t="s">
        <v>29418</v>
      </c>
      <c r="E11292" s="51"/>
      <c r="F11292" s="114" t="str">
        <f>IF(INDEX(I.Facility.P2bIDNumber,1280)="","",INDEX(I.Facility.P2bIDNumber,1280))</f>
        <v/>
      </c>
      <c r="G11292" s="51"/>
      <c r="H11292" s="46" t="str">
        <f>IF(AND(I.Developer.P2b=TRUE,I.Facility.P2bFacilityCount&gt;=1280,F11292=""),"Incomplete","Complete")</f>
        <v>Complete</v>
      </c>
      <c r="I11292" s="48" t="s">
        <v>15657</v>
      </c>
    </row>
    <row r="11293" spans="2:9" ht="15" customHeight="1" x14ac:dyDescent="0.25">
      <c r="B11293" s="55" t="s">
        <v>281</v>
      </c>
      <c r="C11293" s="46">
        <v>1281</v>
      </c>
      <c r="D11293" s="69" t="s">
        <v>29418</v>
      </c>
      <c r="E11293" s="51"/>
      <c r="F11293" s="114" t="str">
        <f>IF(INDEX(I.Facility.P2bIDNumber,1281)="","",INDEX(I.Facility.P2bIDNumber,1281))</f>
        <v/>
      </c>
      <c r="G11293" s="51"/>
      <c r="H11293" s="46" t="str">
        <f>IF(AND(I.Developer.P2b=TRUE,I.Facility.P2bFacilityCount&gt;=1281,F11293=""),"Incomplete","Complete")</f>
        <v>Complete</v>
      </c>
      <c r="I11293" s="48" t="s">
        <v>15658</v>
      </c>
    </row>
    <row r="11294" spans="2:9" ht="15" customHeight="1" x14ac:dyDescent="0.25">
      <c r="B11294" s="55" t="s">
        <v>281</v>
      </c>
      <c r="C11294" s="46">
        <v>1282</v>
      </c>
      <c r="D11294" s="69" t="s">
        <v>29418</v>
      </c>
      <c r="E11294" s="51"/>
      <c r="F11294" s="114" t="str">
        <f>IF(INDEX(I.Facility.P2bIDNumber,1282)="","",INDEX(I.Facility.P2bIDNumber,1282))</f>
        <v/>
      </c>
      <c r="G11294" s="51"/>
      <c r="H11294" s="46" t="str">
        <f>IF(AND(I.Developer.P2b=TRUE,I.Facility.P2bFacilityCount&gt;=1282,F11294=""),"Incomplete","Complete")</f>
        <v>Complete</v>
      </c>
      <c r="I11294" s="48" t="s">
        <v>15659</v>
      </c>
    </row>
    <row r="11295" spans="2:9" ht="15" customHeight="1" x14ac:dyDescent="0.25">
      <c r="B11295" s="55" t="s">
        <v>281</v>
      </c>
      <c r="C11295" s="46">
        <v>1283</v>
      </c>
      <c r="D11295" s="69" t="s">
        <v>29418</v>
      </c>
      <c r="E11295" s="51"/>
      <c r="F11295" s="114" t="str">
        <f>IF(INDEX(I.Facility.P2bIDNumber,1283)="","",INDEX(I.Facility.P2bIDNumber,1283))</f>
        <v/>
      </c>
      <c r="G11295" s="51"/>
      <c r="H11295" s="46" t="str">
        <f>IF(AND(I.Developer.P2b=TRUE,I.Facility.P2bFacilityCount&gt;=1283,F11295=""),"Incomplete","Complete")</f>
        <v>Complete</v>
      </c>
      <c r="I11295" s="48" t="s">
        <v>15660</v>
      </c>
    </row>
    <row r="11296" spans="2:9" ht="15" customHeight="1" x14ac:dyDescent="0.25">
      <c r="B11296" s="55" t="s">
        <v>281</v>
      </c>
      <c r="C11296" s="46">
        <v>1284</v>
      </c>
      <c r="D11296" s="69" t="s">
        <v>29418</v>
      </c>
      <c r="E11296" s="51"/>
      <c r="F11296" s="114" t="str">
        <f>IF(INDEX(I.Facility.P2bIDNumber,1284)="","",INDEX(I.Facility.P2bIDNumber,1284))</f>
        <v/>
      </c>
      <c r="G11296" s="51"/>
      <c r="H11296" s="46" t="str">
        <f>IF(AND(I.Developer.P2b=TRUE,I.Facility.P2bFacilityCount&gt;=1284,F11296=""),"Incomplete","Complete")</f>
        <v>Complete</v>
      </c>
      <c r="I11296" s="48" t="s">
        <v>15661</v>
      </c>
    </row>
    <row r="11297" spans="2:9" ht="15" customHeight="1" x14ac:dyDescent="0.25">
      <c r="B11297" s="55" t="s">
        <v>281</v>
      </c>
      <c r="C11297" s="46">
        <v>1285</v>
      </c>
      <c r="D11297" s="69" t="s">
        <v>29418</v>
      </c>
      <c r="E11297" s="51"/>
      <c r="F11297" s="114" t="str">
        <f>IF(INDEX(I.Facility.P2bIDNumber,1285)="","",INDEX(I.Facility.P2bIDNumber,1285))</f>
        <v/>
      </c>
      <c r="G11297" s="51"/>
      <c r="H11297" s="46" t="str">
        <f>IF(AND(I.Developer.P2b=TRUE,I.Facility.P2bFacilityCount&gt;=1285,F11297=""),"Incomplete","Complete")</f>
        <v>Complete</v>
      </c>
      <c r="I11297" s="48" t="s">
        <v>15662</v>
      </c>
    </row>
    <row r="11298" spans="2:9" ht="15" customHeight="1" x14ac:dyDescent="0.25">
      <c r="B11298" s="55" t="s">
        <v>281</v>
      </c>
      <c r="C11298" s="46">
        <v>1286</v>
      </c>
      <c r="D11298" s="69" t="s">
        <v>29418</v>
      </c>
      <c r="E11298" s="51"/>
      <c r="F11298" s="114" t="str">
        <f>IF(INDEX(I.Facility.P2bIDNumber,1286)="","",INDEX(I.Facility.P2bIDNumber,1286))</f>
        <v/>
      </c>
      <c r="G11298" s="51"/>
      <c r="H11298" s="46" t="str">
        <f>IF(AND(I.Developer.P2b=TRUE,I.Facility.P2bFacilityCount&gt;=1286,F11298=""),"Incomplete","Complete")</f>
        <v>Complete</v>
      </c>
      <c r="I11298" s="48" t="s">
        <v>15663</v>
      </c>
    </row>
    <row r="11299" spans="2:9" ht="15" customHeight="1" x14ac:dyDescent="0.25">
      <c r="B11299" s="55" t="s">
        <v>281</v>
      </c>
      <c r="C11299" s="46">
        <v>1287</v>
      </c>
      <c r="D11299" s="69" t="s">
        <v>29418</v>
      </c>
      <c r="E11299" s="51"/>
      <c r="F11299" s="114" t="str">
        <f>IF(INDEX(I.Facility.P2bIDNumber,1287)="","",INDEX(I.Facility.P2bIDNumber,1287))</f>
        <v/>
      </c>
      <c r="G11299" s="51"/>
      <c r="H11299" s="46" t="str">
        <f>IF(AND(I.Developer.P2b=TRUE,I.Facility.P2bFacilityCount&gt;=1287,F11299=""),"Incomplete","Complete")</f>
        <v>Complete</v>
      </c>
      <c r="I11299" s="48" t="s">
        <v>15664</v>
      </c>
    </row>
    <row r="11300" spans="2:9" ht="15" customHeight="1" x14ac:dyDescent="0.25">
      <c r="B11300" s="55" t="s">
        <v>281</v>
      </c>
      <c r="C11300" s="46">
        <v>1288</v>
      </c>
      <c r="D11300" s="69" t="s">
        <v>29418</v>
      </c>
      <c r="E11300" s="51"/>
      <c r="F11300" s="114" t="str">
        <f>IF(INDEX(I.Facility.P2bIDNumber,1288)="","",INDEX(I.Facility.P2bIDNumber,1288))</f>
        <v/>
      </c>
      <c r="G11300" s="51"/>
      <c r="H11300" s="46" t="str">
        <f>IF(AND(I.Developer.P2b=TRUE,I.Facility.P2bFacilityCount&gt;=1288,F11300=""),"Incomplete","Complete")</f>
        <v>Complete</v>
      </c>
      <c r="I11300" s="48" t="s">
        <v>15665</v>
      </c>
    </row>
    <row r="11301" spans="2:9" ht="15" customHeight="1" x14ac:dyDescent="0.25">
      <c r="B11301" s="55" t="s">
        <v>281</v>
      </c>
      <c r="C11301" s="46">
        <v>1289</v>
      </c>
      <c r="D11301" s="69" t="s">
        <v>29418</v>
      </c>
      <c r="E11301" s="51"/>
      <c r="F11301" s="114" t="str">
        <f>IF(INDEX(I.Facility.P2bIDNumber,1289)="","",INDEX(I.Facility.P2bIDNumber,1289))</f>
        <v/>
      </c>
      <c r="G11301" s="51"/>
      <c r="H11301" s="46" t="str">
        <f>IF(AND(I.Developer.P2b=TRUE,I.Facility.P2bFacilityCount&gt;=1289,F11301=""),"Incomplete","Complete")</f>
        <v>Complete</v>
      </c>
      <c r="I11301" s="48" t="s">
        <v>15666</v>
      </c>
    </row>
    <row r="11302" spans="2:9" ht="15" customHeight="1" x14ac:dyDescent="0.25">
      <c r="B11302" s="55" t="s">
        <v>281</v>
      </c>
      <c r="C11302" s="46">
        <v>1290</v>
      </c>
      <c r="D11302" s="69" t="s">
        <v>29418</v>
      </c>
      <c r="E11302" s="51"/>
      <c r="F11302" s="114" t="str">
        <f>IF(INDEX(I.Facility.P2bIDNumber,1290)="","",INDEX(I.Facility.P2bIDNumber,1290))</f>
        <v/>
      </c>
      <c r="G11302" s="51"/>
      <c r="H11302" s="46" t="str">
        <f>IF(AND(I.Developer.P2b=TRUE,I.Facility.P2bFacilityCount&gt;=1290,F11302=""),"Incomplete","Complete")</f>
        <v>Complete</v>
      </c>
      <c r="I11302" s="48" t="s">
        <v>15667</v>
      </c>
    </row>
    <row r="11303" spans="2:9" ht="15" customHeight="1" x14ac:dyDescent="0.25">
      <c r="B11303" s="55" t="s">
        <v>281</v>
      </c>
      <c r="C11303" s="46">
        <v>1291</v>
      </c>
      <c r="D11303" s="69" t="s">
        <v>29418</v>
      </c>
      <c r="E11303" s="51"/>
      <c r="F11303" s="114" t="str">
        <f>IF(INDEX(I.Facility.P2bIDNumber,1291)="","",INDEX(I.Facility.P2bIDNumber,1291))</f>
        <v/>
      </c>
      <c r="G11303" s="51"/>
      <c r="H11303" s="46" t="str">
        <f>IF(AND(I.Developer.P2b=TRUE,I.Facility.P2bFacilityCount&gt;=1291,F11303=""),"Incomplete","Complete")</f>
        <v>Complete</v>
      </c>
      <c r="I11303" s="48" t="s">
        <v>15668</v>
      </c>
    </row>
    <row r="11304" spans="2:9" ht="15" customHeight="1" x14ac:dyDescent="0.25">
      <c r="B11304" s="55" t="s">
        <v>281</v>
      </c>
      <c r="C11304" s="46">
        <v>1292</v>
      </c>
      <c r="D11304" s="69" t="s">
        <v>29418</v>
      </c>
      <c r="E11304" s="51"/>
      <c r="F11304" s="114" t="str">
        <f>IF(INDEX(I.Facility.P2bIDNumber,1292)="","",INDEX(I.Facility.P2bIDNumber,1292))</f>
        <v/>
      </c>
      <c r="G11304" s="51"/>
      <c r="H11304" s="46" t="str">
        <f>IF(AND(I.Developer.P2b=TRUE,I.Facility.P2bFacilityCount&gt;=1292,F11304=""),"Incomplete","Complete")</f>
        <v>Complete</v>
      </c>
      <c r="I11304" s="48" t="s">
        <v>15669</v>
      </c>
    </row>
    <row r="11305" spans="2:9" ht="15" customHeight="1" x14ac:dyDescent="0.25">
      <c r="B11305" s="55" t="s">
        <v>281</v>
      </c>
      <c r="C11305" s="46">
        <v>1293</v>
      </c>
      <c r="D11305" s="69" t="s">
        <v>29418</v>
      </c>
      <c r="E11305" s="51"/>
      <c r="F11305" s="114" t="str">
        <f>IF(INDEX(I.Facility.P2bIDNumber,1293)="","",INDEX(I.Facility.P2bIDNumber,1293))</f>
        <v/>
      </c>
      <c r="G11305" s="51"/>
      <c r="H11305" s="46" t="str">
        <f>IF(AND(I.Developer.P2b=TRUE,I.Facility.P2bFacilityCount&gt;=1293,F11305=""),"Incomplete","Complete")</f>
        <v>Complete</v>
      </c>
      <c r="I11305" s="48" t="s">
        <v>15670</v>
      </c>
    </row>
    <row r="11306" spans="2:9" ht="15" customHeight="1" x14ac:dyDescent="0.25">
      <c r="B11306" s="55" t="s">
        <v>281</v>
      </c>
      <c r="C11306" s="46">
        <v>1294</v>
      </c>
      <c r="D11306" s="69" t="s">
        <v>29418</v>
      </c>
      <c r="E11306" s="51"/>
      <c r="F11306" s="114" t="str">
        <f>IF(INDEX(I.Facility.P2bIDNumber,1294)="","",INDEX(I.Facility.P2bIDNumber,1294))</f>
        <v/>
      </c>
      <c r="G11306" s="51"/>
      <c r="H11306" s="46" t="str">
        <f>IF(AND(I.Developer.P2b=TRUE,I.Facility.P2bFacilityCount&gt;=1294,F11306=""),"Incomplete","Complete")</f>
        <v>Complete</v>
      </c>
      <c r="I11306" s="48" t="s">
        <v>15671</v>
      </c>
    </row>
    <row r="11307" spans="2:9" ht="15" customHeight="1" x14ac:dyDescent="0.25">
      <c r="B11307" s="55" t="s">
        <v>281</v>
      </c>
      <c r="C11307" s="46">
        <v>1295</v>
      </c>
      <c r="D11307" s="69" t="s">
        <v>29418</v>
      </c>
      <c r="E11307" s="51"/>
      <c r="F11307" s="114" t="str">
        <f>IF(INDEX(I.Facility.P2bIDNumber,1295)="","",INDEX(I.Facility.P2bIDNumber,1295))</f>
        <v/>
      </c>
      <c r="G11307" s="51"/>
      <c r="H11307" s="46" t="str">
        <f>IF(AND(I.Developer.P2b=TRUE,I.Facility.P2bFacilityCount&gt;=1295,F11307=""),"Incomplete","Complete")</f>
        <v>Complete</v>
      </c>
      <c r="I11307" s="48" t="s">
        <v>15672</v>
      </c>
    </row>
    <row r="11308" spans="2:9" ht="15" customHeight="1" x14ac:dyDescent="0.25">
      <c r="B11308" s="55" t="s">
        <v>281</v>
      </c>
      <c r="C11308" s="46">
        <v>1296</v>
      </c>
      <c r="D11308" s="69" t="s">
        <v>29418</v>
      </c>
      <c r="E11308" s="51"/>
      <c r="F11308" s="114" t="str">
        <f>IF(INDEX(I.Facility.P2bIDNumber,1296)="","",INDEX(I.Facility.P2bIDNumber,1296))</f>
        <v/>
      </c>
      <c r="G11308" s="51"/>
      <c r="H11308" s="46" t="str">
        <f>IF(AND(I.Developer.P2b=TRUE,I.Facility.P2bFacilityCount&gt;=1296,F11308=""),"Incomplete","Complete")</f>
        <v>Complete</v>
      </c>
      <c r="I11308" s="48" t="s">
        <v>15673</v>
      </c>
    </row>
    <row r="11309" spans="2:9" ht="15" customHeight="1" x14ac:dyDescent="0.25">
      <c r="B11309" s="55" t="s">
        <v>281</v>
      </c>
      <c r="C11309" s="46">
        <v>1297</v>
      </c>
      <c r="D11309" s="69" t="s">
        <v>29418</v>
      </c>
      <c r="E11309" s="51"/>
      <c r="F11309" s="114" t="str">
        <f>IF(INDEX(I.Facility.P2bIDNumber,1297)="","",INDEX(I.Facility.P2bIDNumber,1297))</f>
        <v/>
      </c>
      <c r="G11309" s="51"/>
      <c r="H11309" s="46" t="str">
        <f>IF(AND(I.Developer.P2b=TRUE,I.Facility.P2bFacilityCount&gt;=1297,F11309=""),"Incomplete","Complete")</f>
        <v>Complete</v>
      </c>
      <c r="I11309" s="48" t="s">
        <v>15674</v>
      </c>
    </row>
    <row r="11310" spans="2:9" ht="15" customHeight="1" x14ac:dyDescent="0.25">
      <c r="B11310" s="55" t="s">
        <v>281</v>
      </c>
      <c r="C11310" s="46">
        <v>1298</v>
      </c>
      <c r="D11310" s="69" t="s">
        <v>29418</v>
      </c>
      <c r="E11310" s="51"/>
      <c r="F11310" s="114" t="str">
        <f>IF(INDEX(I.Facility.P2bIDNumber,1298)="","",INDEX(I.Facility.P2bIDNumber,1298))</f>
        <v/>
      </c>
      <c r="G11310" s="51"/>
      <c r="H11310" s="46" t="str">
        <f>IF(AND(I.Developer.P2b=TRUE,I.Facility.P2bFacilityCount&gt;=1298,F11310=""),"Incomplete","Complete")</f>
        <v>Complete</v>
      </c>
      <c r="I11310" s="48" t="s">
        <v>15675</v>
      </c>
    </row>
    <row r="11311" spans="2:9" ht="15" customHeight="1" x14ac:dyDescent="0.25">
      <c r="B11311" s="55" t="s">
        <v>281</v>
      </c>
      <c r="C11311" s="46">
        <v>1299</v>
      </c>
      <c r="D11311" s="69" t="s">
        <v>29418</v>
      </c>
      <c r="E11311" s="51"/>
      <c r="F11311" s="114" t="str">
        <f>IF(INDEX(I.Facility.P2bIDNumber,1299)="","",INDEX(I.Facility.P2bIDNumber,1299))</f>
        <v/>
      </c>
      <c r="G11311" s="51"/>
      <c r="H11311" s="46" t="str">
        <f>IF(AND(I.Developer.P2b=TRUE,I.Facility.P2bFacilityCount&gt;=1299,F11311=""),"Incomplete","Complete")</f>
        <v>Complete</v>
      </c>
      <c r="I11311" s="48" t="s">
        <v>15676</v>
      </c>
    </row>
    <row r="11312" spans="2:9" ht="15" customHeight="1" x14ac:dyDescent="0.25">
      <c r="B11312" s="55" t="s">
        <v>281</v>
      </c>
      <c r="C11312" s="46">
        <v>1300</v>
      </c>
      <c r="D11312" s="69" t="s">
        <v>29418</v>
      </c>
      <c r="E11312" s="51"/>
      <c r="F11312" s="114" t="str">
        <f>IF(INDEX(I.Facility.P2bIDNumber,1300)="","",INDEX(I.Facility.P2bIDNumber,1300))</f>
        <v/>
      </c>
      <c r="G11312" s="51"/>
      <c r="H11312" s="46" t="str">
        <f>IF(AND(I.Developer.P2b=TRUE,I.Facility.P2bFacilityCount&gt;=1300,F11312=""),"Incomplete","Complete")</f>
        <v>Complete</v>
      </c>
      <c r="I11312" s="48" t="s">
        <v>15677</v>
      </c>
    </row>
    <row r="11313" spans="2:9" ht="15" customHeight="1" x14ac:dyDescent="0.25">
      <c r="B11313" s="55" t="s">
        <v>281</v>
      </c>
      <c r="C11313" s="46">
        <v>1301</v>
      </c>
      <c r="D11313" s="69" t="s">
        <v>29418</v>
      </c>
      <c r="E11313" s="51"/>
      <c r="F11313" s="114" t="str">
        <f>IF(INDEX(I.Facility.P2bIDNumber,1301)="","",INDEX(I.Facility.P2bIDNumber,1301))</f>
        <v/>
      </c>
      <c r="G11313" s="51"/>
      <c r="H11313" s="46" t="str">
        <f>IF(AND(I.Developer.P2b=TRUE,I.Facility.P2bFacilityCount&gt;=1301,F11313=""),"Incomplete","Complete")</f>
        <v>Complete</v>
      </c>
      <c r="I11313" s="48" t="s">
        <v>15678</v>
      </c>
    </row>
    <row r="11314" spans="2:9" ht="15" customHeight="1" x14ac:dyDescent="0.25">
      <c r="B11314" s="55" t="s">
        <v>281</v>
      </c>
      <c r="C11314" s="46">
        <v>1302</v>
      </c>
      <c r="D11314" s="69" t="s">
        <v>29418</v>
      </c>
      <c r="E11314" s="51"/>
      <c r="F11314" s="114" t="str">
        <f>IF(INDEX(I.Facility.P2bIDNumber,1302)="","",INDEX(I.Facility.P2bIDNumber,1302))</f>
        <v/>
      </c>
      <c r="G11314" s="51"/>
      <c r="H11314" s="46" t="str">
        <f>IF(AND(I.Developer.P2b=TRUE,I.Facility.P2bFacilityCount&gt;=1302,F11314=""),"Incomplete","Complete")</f>
        <v>Complete</v>
      </c>
      <c r="I11314" s="48" t="s">
        <v>15679</v>
      </c>
    </row>
    <row r="11315" spans="2:9" ht="15" customHeight="1" x14ac:dyDescent="0.25">
      <c r="B11315" s="55" t="s">
        <v>281</v>
      </c>
      <c r="C11315" s="46">
        <v>1303</v>
      </c>
      <c r="D11315" s="69" t="s">
        <v>29418</v>
      </c>
      <c r="E11315" s="51"/>
      <c r="F11315" s="114" t="str">
        <f>IF(INDEX(I.Facility.P2bIDNumber,1303)="","",INDEX(I.Facility.P2bIDNumber,1303))</f>
        <v/>
      </c>
      <c r="G11315" s="51"/>
      <c r="H11315" s="46" t="str">
        <f>IF(AND(I.Developer.P2b=TRUE,I.Facility.P2bFacilityCount&gt;=1303,F11315=""),"Incomplete","Complete")</f>
        <v>Complete</v>
      </c>
      <c r="I11315" s="48" t="s">
        <v>15680</v>
      </c>
    </row>
    <row r="11316" spans="2:9" ht="15" customHeight="1" x14ac:dyDescent="0.25">
      <c r="B11316" s="55" t="s">
        <v>281</v>
      </c>
      <c r="C11316" s="46">
        <v>1304</v>
      </c>
      <c r="D11316" s="69" t="s">
        <v>29418</v>
      </c>
      <c r="E11316" s="51"/>
      <c r="F11316" s="114" t="str">
        <f>IF(INDEX(I.Facility.P2bIDNumber,1304)="","",INDEX(I.Facility.P2bIDNumber,1304))</f>
        <v/>
      </c>
      <c r="G11316" s="51"/>
      <c r="H11316" s="46" t="str">
        <f>IF(AND(I.Developer.P2b=TRUE,I.Facility.P2bFacilityCount&gt;=1304,F11316=""),"Incomplete","Complete")</f>
        <v>Complete</v>
      </c>
      <c r="I11316" s="48" t="s">
        <v>15681</v>
      </c>
    </row>
    <row r="11317" spans="2:9" ht="15" customHeight="1" x14ac:dyDescent="0.25">
      <c r="B11317" s="55" t="s">
        <v>281</v>
      </c>
      <c r="C11317" s="46">
        <v>1305</v>
      </c>
      <c r="D11317" s="69" t="s">
        <v>29418</v>
      </c>
      <c r="E11317" s="51"/>
      <c r="F11317" s="114" t="str">
        <f>IF(INDEX(I.Facility.P2bIDNumber,1305)="","",INDEX(I.Facility.P2bIDNumber,1305))</f>
        <v/>
      </c>
      <c r="G11317" s="51"/>
      <c r="H11317" s="46" t="str">
        <f>IF(AND(I.Developer.P2b=TRUE,I.Facility.P2bFacilityCount&gt;=1305,F11317=""),"Incomplete","Complete")</f>
        <v>Complete</v>
      </c>
      <c r="I11317" s="48" t="s">
        <v>15682</v>
      </c>
    </row>
    <row r="11318" spans="2:9" ht="15" customHeight="1" x14ac:dyDescent="0.25">
      <c r="B11318" s="55" t="s">
        <v>281</v>
      </c>
      <c r="C11318" s="46">
        <v>1306</v>
      </c>
      <c r="D11318" s="69" t="s">
        <v>29418</v>
      </c>
      <c r="E11318" s="51"/>
      <c r="F11318" s="114" t="str">
        <f>IF(INDEX(I.Facility.P2bIDNumber,1306)="","",INDEX(I.Facility.P2bIDNumber,1306))</f>
        <v/>
      </c>
      <c r="G11318" s="51"/>
      <c r="H11318" s="46" t="str">
        <f>IF(AND(I.Developer.P2b=TRUE,I.Facility.P2bFacilityCount&gt;=1306,F11318=""),"Incomplete","Complete")</f>
        <v>Complete</v>
      </c>
      <c r="I11318" s="48" t="s">
        <v>15683</v>
      </c>
    </row>
    <row r="11319" spans="2:9" ht="15" customHeight="1" x14ac:dyDescent="0.25">
      <c r="B11319" s="55" t="s">
        <v>281</v>
      </c>
      <c r="C11319" s="46">
        <v>1307</v>
      </c>
      <c r="D11319" s="69" t="s">
        <v>29418</v>
      </c>
      <c r="E11319" s="51"/>
      <c r="F11319" s="114" t="str">
        <f>IF(INDEX(I.Facility.P2bIDNumber,1307)="","",INDEX(I.Facility.P2bIDNumber,1307))</f>
        <v/>
      </c>
      <c r="G11319" s="51"/>
      <c r="H11319" s="46" t="str">
        <f>IF(AND(I.Developer.P2b=TRUE,I.Facility.P2bFacilityCount&gt;=1307,F11319=""),"Incomplete","Complete")</f>
        <v>Complete</v>
      </c>
      <c r="I11319" s="48" t="s">
        <v>15684</v>
      </c>
    </row>
    <row r="11320" spans="2:9" ht="15" customHeight="1" x14ac:dyDescent="0.25">
      <c r="B11320" s="55" t="s">
        <v>281</v>
      </c>
      <c r="C11320" s="46">
        <v>1308</v>
      </c>
      <c r="D11320" s="69" t="s">
        <v>29418</v>
      </c>
      <c r="E11320" s="51"/>
      <c r="F11320" s="114" t="str">
        <f>IF(INDEX(I.Facility.P2bIDNumber,1308)="","",INDEX(I.Facility.P2bIDNumber,1308))</f>
        <v/>
      </c>
      <c r="G11320" s="51"/>
      <c r="H11320" s="46" t="str">
        <f>IF(AND(I.Developer.P2b=TRUE,I.Facility.P2bFacilityCount&gt;=1308,F11320=""),"Incomplete","Complete")</f>
        <v>Complete</v>
      </c>
      <c r="I11320" s="48" t="s">
        <v>15685</v>
      </c>
    </row>
    <row r="11321" spans="2:9" ht="15" customHeight="1" x14ac:dyDescent="0.25">
      <c r="B11321" s="55" t="s">
        <v>281</v>
      </c>
      <c r="C11321" s="46">
        <v>1309</v>
      </c>
      <c r="D11321" s="69" t="s">
        <v>29418</v>
      </c>
      <c r="E11321" s="51"/>
      <c r="F11321" s="114" t="str">
        <f>IF(INDEX(I.Facility.P2bIDNumber,1309)="","",INDEX(I.Facility.P2bIDNumber,1309))</f>
        <v/>
      </c>
      <c r="G11321" s="51"/>
      <c r="H11321" s="46" t="str">
        <f>IF(AND(I.Developer.P2b=TRUE,I.Facility.P2bFacilityCount&gt;=1309,F11321=""),"Incomplete","Complete")</f>
        <v>Complete</v>
      </c>
      <c r="I11321" s="48" t="s">
        <v>15686</v>
      </c>
    </row>
    <row r="11322" spans="2:9" ht="15" customHeight="1" x14ac:dyDescent="0.25">
      <c r="B11322" s="55" t="s">
        <v>281</v>
      </c>
      <c r="C11322" s="46">
        <v>1310</v>
      </c>
      <c r="D11322" s="69" t="s">
        <v>29418</v>
      </c>
      <c r="E11322" s="51"/>
      <c r="F11322" s="114" t="str">
        <f>IF(INDEX(I.Facility.P2bIDNumber,1310)="","",INDEX(I.Facility.P2bIDNumber,1310))</f>
        <v/>
      </c>
      <c r="G11322" s="51"/>
      <c r="H11322" s="46" t="str">
        <f>IF(AND(I.Developer.P2b=TRUE,I.Facility.P2bFacilityCount&gt;=1310,F11322=""),"Incomplete","Complete")</f>
        <v>Complete</v>
      </c>
      <c r="I11322" s="48" t="s">
        <v>15687</v>
      </c>
    </row>
    <row r="11323" spans="2:9" ht="15" customHeight="1" x14ac:dyDescent="0.25">
      <c r="B11323" s="55" t="s">
        <v>281</v>
      </c>
      <c r="C11323" s="46">
        <v>1311</v>
      </c>
      <c r="D11323" s="69" t="s">
        <v>29418</v>
      </c>
      <c r="E11323" s="51"/>
      <c r="F11323" s="114" t="str">
        <f>IF(INDEX(I.Facility.P2bIDNumber,1311)="","",INDEX(I.Facility.P2bIDNumber,1311))</f>
        <v/>
      </c>
      <c r="G11323" s="51"/>
      <c r="H11323" s="46" t="str">
        <f>IF(AND(I.Developer.P2b=TRUE,I.Facility.P2bFacilityCount&gt;=1311,F11323=""),"Incomplete","Complete")</f>
        <v>Complete</v>
      </c>
      <c r="I11323" s="48" t="s">
        <v>15688</v>
      </c>
    </row>
    <row r="11324" spans="2:9" ht="15" customHeight="1" x14ac:dyDescent="0.25">
      <c r="B11324" s="55" t="s">
        <v>281</v>
      </c>
      <c r="C11324" s="46">
        <v>1312</v>
      </c>
      <c r="D11324" s="69" t="s">
        <v>29418</v>
      </c>
      <c r="E11324" s="51"/>
      <c r="F11324" s="114" t="str">
        <f>IF(INDEX(I.Facility.P2bIDNumber,1312)="","",INDEX(I.Facility.P2bIDNumber,1312))</f>
        <v/>
      </c>
      <c r="G11324" s="51"/>
      <c r="H11324" s="46" t="str">
        <f>IF(AND(I.Developer.P2b=TRUE,I.Facility.P2bFacilityCount&gt;=1312,F11324=""),"Incomplete","Complete")</f>
        <v>Complete</v>
      </c>
      <c r="I11324" s="48" t="s">
        <v>15689</v>
      </c>
    </row>
    <row r="11325" spans="2:9" ht="15" customHeight="1" x14ac:dyDescent="0.25">
      <c r="B11325" s="55" t="s">
        <v>281</v>
      </c>
      <c r="C11325" s="46">
        <v>1313</v>
      </c>
      <c r="D11325" s="69" t="s">
        <v>29418</v>
      </c>
      <c r="E11325" s="51"/>
      <c r="F11325" s="114" t="str">
        <f>IF(INDEX(I.Facility.P2bIDNumber,1313)="","",INDEX(I.Facility.P2bIDNumber,1313))</f>
        <v/>
      </c>
      <c r="G11325" s="51"/>
      <c r="H11325" s="46" t="str">
        <f>IF(AND(I.Developer.P2b=TRUE,I.Facility.P2bFacilityCount&gt;=1313,F11325=""),"Incomplete","Complete")</f>
        <v>Complete</v>
      </c>
      <c r="I11325" s="48" t="s">
        <v>15690</v>
      </c>
    </row>
    <row r="11326" spans="2:9" ht="15" customHeight="1" x14ac:dyDescent="0.25">
      <c r="B11326" s="55" t="s">
        <v>281</v>
      </c>
      <c r="C11326" s="46">
        <v>1314</v>
      </c>
      <c r="D11326" s="69" t="s">
        <v>29418</v>
      </c>
      <c r="E11326" s="51"/>
      <c r="F11326" s="114" t="str">
        <f>IF(INDEX(I.Facility.P2bIDNumber,1314)="","",INDEX(I.Facility.P2bIDNumber,1314))</f>
        <v/>
      </c>
      <c r="G11326" s="51"/>
      <c r="H11326" s="46" t="str">
        <f>IF(AND(I.Developer.P2b=TRUE,I.Facility.P2bFacilityCount&gt;=1314,F11326=""),"Incomplete","Complete")</f>
        <v>Complete</v>
      </c>
      <c r="I11326" s="48" t="s">
        <v>15691</v>
      </c>
    </row>
    <row r="11327" spans="2:9" ht="15" customHeight="1" x14ac:dyDescent="0.25">
      <c r="B11327" s="55" t="s">
        <v>281</v>
      </c>
      <c r="C11327" s="46">
        <v>1315</v>
      </c>
      <c r="D11327" s="69" t="s">
        <v>29418</v>
      </c>
      <c r="E11327" s="51"/>
      <c r="F11327" s="114" t="str">
        <f>IF(INDEX(I.Facility.P2bIDNumber,1315)="","",INDEX(I.Facility.P2bIDNumber,1315))</f>
        <v/>
      </c>
      <c r="G11327" s="51"/>
      <c r="H11327" s="46" t="str">
        <f>IF(AND(I.Developer.P2b=TRUE,I.Facility.P2bFacilityCount&gt;=1315,F11327=""),"Incomplete","Complete")</f>
        <v>Complete</v>
      </c>
      <c r="I11327" s="48" t="s">
        <v>15692</v>
      </c>
    </row>
    <row r="11328" spans="2:9" ht="15" customHeight="1" x14ac:dyDescent="0.25">
      <c r="B11328" s="55" t="s">
        <v>281</v>
      </c>
      <c r="C11328" s="46">
        <v>1316</v>
      </c>
      <c r="D11328" s="69" t="s">
        <v>29418</v>
      </c>
      <c r="E11328" s="51"/>
      <c r="F11328" s="114" t="str">
        <f>IF(INDEX(I.Facility.P2bIDNumber,1316)="","",INDEX(I.Facility.P2bIDNumber,1316))</f>
        <v/>
      </c>
      <c r="G11328" s="51"/>
      <c r="H11328" s="46" t="str">
        <f>IF(AND(I.Developer.P2b=TRUE,I.Facility.P2bFacilityCount&gt;=1316,F11328=""),"Incomplete","Complete")</f>
        <v>Complete</v>
      </c>
      <c r="I11328" s="48" t="s">
        <v>15693</v>
      </c>
    </row>
    <row r="11329" spans="2:9" ht="15" customHeight="1" x14ac:dyDescent="0.25">
      <c r="B11329" s="55" t="s">
        <v>281</v>
      </c>
      <c r="C11329" s="46">
        <v>1317</v>
      </c>
      <c r="D11329" s="69" t="s">
        <v>29418</v>
      </c>
      <c r="E11329" s="51"/>
      <c r="F11329" s="114" t="str">
        <f>IF(INDEX(I.Facility.P2bIDNumber,1317)="","",INDEX(I.Facility.P2bIDNumber,1317))</f>
        <v/>
      </c>
      <c r="G11329" s="51"/>
      <c r="H11329" s="46" t="str">
        <f>IF(AND(I.Developer.P2b=TRUE,I.Facility.P2bFacilityCount&gt;=1317,F11329=""),"Incomplete","Complete")</f>
        <v>Complete</v>
      </c>
      <c r="I11329" s="48" t="s">
        <v>15694</v>
      </c>
    </row>
    <row r="11330" spans="2:9" ht="15" customHeight="1" x14ac:dyDescent="0.25">
      <c r="B11330" s="55" t="s">
        <v>281</v>
      </c>
      <c r="C11330" s="46">
        <v>1318</v>
      </c>
      <c r="D11330" s="69" t="s">
        <v>29418</v>
      </c>
      <c r="E11330" s="51"/>
      <c r="F11330" s="114" t="str">
        <f>IF(INDEX(I.Facility.P2bIDNumber,1318)="","",INDEX(I.Facility.P2bIDNumber,1318))</f>
        <v/>
      </c>
      <c r="G11330" s="51"/>
      <c r="H11330" s="46" t="str">
        <f>IF(AND(I.Developer.P2b=TRUE,I.Facility.P2bFacilityCount&gt;=1318,F11330=""),"Incomplete","Complete")</f>
        <v>Complete</v>
      </c>
      <c r="I11330" s="48" t="s">
        <v>15695</v>
      </c>
    </row>
    <row r="11331" spans="2:9" ht="15" customHeight="1" x14ac:dyDescent="0.25">
      <c r="B11331" s="55" t="s">
        <v>281</v>
      </c>
      <c r="C11331" s="46">
        <v>1319</v>
      </c>
      <c r="D11331" s="69" t="s">
        <v>29418</v>
      </c>
      <c r="E11331" s="51"/>
      <c r="F11331" s="114" t="str">
        <f>IF(INDEX(I.Facility.P2bIDNumber,1319)="","",INDEX(I.Facility.P2bIDNumber,1319))</f>
        <v/>
      </c>
      <c r="G11331" s="51"/>
      <c r="H11331" s="46" t="str">
        <f>IF(AND(I.Developer.P2b=TRUE,I.Facility.P2bFacilityCount&gt;=1319,F11331=""),"Incomplete","Complete")</f>
        <v>Complete</v>
      </c>
      <c r="I11331" s="48" t="s">
        <v>15696</v>
      </c>
    </row>
    <row r="11332" spans="2:9" ht="15" customHeight="1" x14ac:dyDescent="0.25">
      <c r="B11332" s="55" t="s">
        <v>281</v>
      </c>
      <c r="C11332" s="46">
        <v>1320</v>
      </c>
      <c r="D11332" s="69" t="s">
        <v>29418</v>
      </c>
      <c r="E11332" s="51"/>
      <c r="F11332" s="114" t="str">
        <f>IF(INDEX(I.Facility.P2bIDNumber,1320)="","",INDEX(I.Facility.P2bIDNumber,1320))</f>
        <v/>
      </c>
      <c r="G11332" s="51"/>
      <c r="H11332" s="46" t="str">
        <f>IF(AND(I.Developer.P2b=TRUE,I.Facility.P2bFacilityCount&gt;=1320,F11332=""),"Incomplete","Complete")</f>
        <v>Complete</v>
      </c>
      <c r="I11332" s="48" t="s">
        <v>15697</v>
      </c>
    </row>
    <row r="11333" spans="2:9" ht="15" customHeight="1" x14ac:dyDescent="0.25">
      <c r="B11333" s="55" t="s">
        <v>281</v>
      </c>
      <c r="C11333" s="46">
        <v>1321</v>
      </c>
      <c r="D11333" s="69" t="s">
        <v>29418</v>
      </c>
      <c r="E11333" s="51"/>
      <c r="F11333" s="114" t="str">
        <f>IF(INDEX(I.Facility.P2bIDNumber,1321)="","",INDEX(I.Facility.P2bIDNumber,1321))</f>
        <v/>
      </c>
      <c r="G11333" s="51"/>
      <c r="H11333" s="46" t="str">
        <f>IF(AND(I.Developer.P2b=TRUE,I.Facility.P2bFacilityCount&gt;=1321,F11333=""),"Incomplete","Complete")</f>
        <v>Complete</v>
      </c>
      <c r="I11333" s="48" t="s">
        <v>15698</v>
      </c>
    </row>
    <row r="11334" spans="2:9" ht="15" customHeight="1" x14ac:dyDescent="0.25">
      <c r="B11334" s="55" t="s">
        <v>281</v>
      </c>
      <c r="C11334" s="46">
        <v>1322</v>
      </c>
      <c r="D11334" s="69" t="s">
        <v>29418</v>
      </c>
      <c r="E11334" s="51"/>
      <c r="F11334" s="114" t="str">
        <f>IF(INDEX(I.Facility.P2bIDNumber,1322)="","",INDEX(I.Facility.P2bIDNumber,1322))</f>
        <v/>
      </c>
      <c r="G11334" s="51"/>
      <c r="H11334" s="46" t="str">
        <f>IF(AND(I.Developer.P2b=TRUE,I.Facility.P2bFacilityCount&gt;=1322,F11334=""),"Incomplete","Complete")</f>
        <v>Complete</v>
      </c>
      <c r="I11334" s="48" t="s">
        <v>15699</v>
      </c>
    </row>
    <row r="11335" spans="2:9" ht="15" customHeight="1" x14ac:dyDescent="0.25">
      <c r="B11335" s="55" t="s">
        <v>281</v>
      </c>
      <c r="C11335" s="46">
        <v>1323</v>
      </c>
      <c r="D11335" s="69" t="s">
        <v>29418</v>
      </c>
      <c r="E11335" s="51"/>
      <c r="F11335" s="114" t="str">
        <f>IF(INDEX(I.Facility.P2bIDNumber,1323)="","",INDEX(I.Facility.P2bIDNumber,1323))</f>
        <v/>
      </c>
      <c r="G11335" s="51"/>
      <c r="H11335" s="46" t="str">
        <f>IF(AND(I.Developer.P2b=TRUE,I.Facility.P2bFacilityCount&gt;=1323,F11335=""),"Incomplete","Complete")</f>
        <v>Complete</v>
      </c>
      <c r="I11335" s="48" t="s">
        <v>15700</v>
      </c>
    </row>
    <row r="11336" spans="2:9" ht="15" customHeight="1" x14ac:dyDescent="0.25">
      <c r="B11336" s="55" t="s">
        <v>281</v>
      </c>
      <c r="C11336" s="46">
        <v>1324</v>
      </c>
      <c r="D11336" s="69" t="s">
        <v>29418</v>
      </c>
      <c r="E11336" s="51"/>
      <c r="F11336" s="114" t="str">
        <f>IF(INDEX(I.Facility.P2bIDNumber,1324)="","",INDEX(I.Facility.P2bIDNumber,1324))</f>
        <v/>
      </c>
      <c r="G11336" s="51"/>
      <c r="H11336" s="46" t="str">
        <f>IF(AND(I.Developer.P2b=TRUE,I.Facility.P2bFacilityCount&gt;=1324,F11336=""),"Incomplete","Complete")</f>
        <v>Complete</v>
      </c>
      <c r="I11336" s="48" t="s">
        <v>15701</v>
      </c>
    </row>
    <row r="11337" spans="2:9" ht="15" customHeight="1" x14ac:dyDescent="0.25">
      <c r="B11337" s="55" t="s">
        <v>281</v>
      </c>
      <c r="C11337" s="46">
        <v>1325</v>
      </c>
      <c r="D11337" s="69" t="s">
        <v>29418</v>
      </c>
      <c r="E11337" s="51"/>
      <c r="F11337" s="114" t="str">
        <f>IF(INDEX(I.Facility.P2bIDNumber,1325)="","",INDEX(I.Facility.P2bIDNumber,1325))</f>
        <v/>
      </c>
      <c r="G11337" s="51"/>
      <c r="H11337" s="46" t="str">
        <f>IF(AND(I.Developer.P2b=TRUE,I.Facility.P2bFacilityCount&gt;=1325,F11337=""),"Incomplete","Complete")</f>
        <v>Complete</v>
      </c>
      <c r="I11337" s="48" t="s">
        <v>15702</v>
      </c>
    </row>
    <row r="11338" spans="2:9" ht="15" customHeight="1" x14ac:dyDescent="0.25">
      <c r="B11338" s="55" t="s">
        <v>281</v>
      </c>
      <c r="C11338" s="46">
        <v>1326</v>
      </c>
      <c r="D11338" s="69" t="s">
        <v>29418</v>
      </c>
      <c r="E11338" s="51"/>
      <c r="F11338" s="114" t="str">
        <f>IF(INDEX(I.Facility.P2bIDNumber,1326)="","",INDEX(I.Facility.P2bIDNumber,1326))</f>
        <v/>
      </c>
      <c r="G11338" s="51"/>
      <c r="H11338" s="46" t="str">
        <f>IF(AND(I.Developer.P2b=TRUE,I.Facility.P2bFacilityCount&gt;=1326,F11338=""),"Incomplete","Complete")</f>
        <v>Complete</v>
      </c>
      <c r="I11338" s="48" t="s">
        <v>15703</v>
      </c>
    </row>
    <row r="11339" spans="2:9" ht="15" customHeight="1" x14ac:dyDescent="0.25">
      <c r="B11339" s="55" t="s">
        <v>281</v>
      </c>
      <c r="C11339" s="46">
        <v>1327</v>
      </c>
      <c r="D11339" s="69" t="s">
        <v>29418</v>
      </c>
      <c r="E11339" s="51"/>
      <c r="F11339" s="114" t="str">
        <f>IF(INDEX(I.Facility.P2bIDNumber,1327)="","",INDEX(I.Facility.P2bIDNumber,1327))</f>
        <v/>
      </c>
      <c r="G11339" s="51"/>
      <c r="H11339" s="46" t="str">
        <f>IF(AND(I.Developer.P2b=TRUE,I.Facility.P2bFacilityCount&gt;=1327,F11339=""),"Incomplete","Complete")</f>
        <v>Complete</v>
      </c>
      <c r="I11339" s="48" t="s">
        <v>15704</v>
      </c>
    </row>
    <row r="11340" spans="2:9" ht="15" customHeight="1" x14ac:dyDescent="0.25">
      <c r="B11340" s="55" t="s">
        <v>281</v>
      </c>
      <c r="C11340" s="46">
        <v>1328</v>
      </c>
      <c r="D11340" s="69" t="s">
        <v>29418</v>
      </c>
      <c r="E11340" s="51"/>
      <c r="F11340" s="114" t="str">
        <f>IF(INDEX(I.Facility.P2bIDNumber,1328)="","",INDEX(I.Facility.P2bIDNumber,1328))</f>
        <v/>
      </c>
      <c r="G11340" s="51"/>
      <c r="H11340" s="46" t="str">
        <f>IF(AND(I.Developer.P2b=TRUE,I.Facility.P2bFacilityCount&gt;=1328,F11340=""),"Incomplete","Complete")</f>
        <v>Complete</v>
      </c>
      <c r="I11340" s="48" t="s">
        <v>15705</v>
      </c>
    </row>
    <row r="11341" spans="2:9" ht="15" customHeight="1" x14ac:dyDescent="0.25">
      <c r="B11341" s="55" t="s">
        <v>281</v>
      </c>
      <c r="C11341" s="46">
        <v>1329</v>
      </c>
      <c r="D11341" s="69" t="s">
        <v>29418</v>
      </c>
      <c r="E11341" s="51"/>
      <c r="F11341" s="114" t="str">
        <f>IF(INDEX(I.Facility.P2bIDNumber,1329)="","",INDEX(I.Facility.P2bIDNumber,1329))</f>
        <v/>
      </c>
      <c r="G11341" s="51"/>
      <c r="H11341" s="46" t="str">
        <f>IF(AND(I.Developer.P2b=TRUE,I.Facility.P2bFacilityCount&gt;=1329,F11341=""),"Incomplete","Complete")</f>
        <v>Complete</v>
      </c>
      <c r="I11341" s="48" t="s">
        <v>15706</v>
      </c>
    </row>
    <row r="11342" spans="2:9" ht="15" customHeight="1" x14ac:dyDescent="0.25">
      <c r="B11342" s="55" t="s">
        <v>281</v>
      </c>
      <c r="C11342" s="46">
        <v>1330</v>
      </c>
      <c r="D11342" s="69" t="s">
        <v>29418</v>
      </c>
      <c r="E11342" s="51"/>
      <c r="F11342" s="114" t="str">
        <f>IF(INDEX(I.Facility.P2bIDNumber,1330)="","",INDEX(I.Facility.P2bIDNumber,1330))</f>
        <v/>
      </c>
      <c r="G11342" s="51"/>
      <c r="H11342" s="46" t="str">
        <f>IF(AND(I.Developer.P2b=TRUE,I.Facility.P2bFacilityCount&gt;=1330,F11342=""),"Incomplete","Complete")</f>
        <v>Complete</v>
      </c>
      <c r="I11342" s="48" t="s">
        <v>15707</v>
      </c>
    </row>
    <row r="11343" spans="2:9" ht="15" customHeight="1" x14ac:dyDescent="0.25">
      <c r="B11343" s="55" t="s">
        <v>281</v>
      </c>
      <c r="C11343" s="46">
        <v>1331</v>
      </c>
      <c r="D11343" s="69" t="s">
        <v>29418</v>
      </c>
      <c r="E11343" s="51"/>
      <c r="F11343" s="114" t="str">
        <f>IF(INDEX(I.Facility.P2bIDNumber,1331)="","",INDEX(I.Facility.P2bIDNumber,1331))</f>
        <v/>
      </c>
      <c r="G11343" s="51"/>
      <c r="H11343" s="46" t="str">
        <f>IF(AND(I.Developer.P2b=TRUE,I.Facility.P2bFacilityCount&gt;=1331,F11343=""),"Incomplete","Complete")</f>
        <v>Complete</v>
      </c>
      <c r="I11343" s="48" t="s">
        <v>15708</v>
      </c>
    </row>
    <row r="11344" spans="2:9" ht="15" customHeight="1" x14ac:dyDescent="0.25">
      <c r="B11344" s="55" t="s">
        <v>281</v>
      </c>
      <c r="C11344" s="46">
        <v>1332</v>
      </c>
      <c r="D11344" s="69" t="s">
        <v>29418</v>
      </c>
      <c r="E11344" s="51"/>
      <c r="F11344" s="114" t="str">
        <f>IF(INDEX(I.Facility.P2bIDNumber,1332)="","",INDEX(I.Facility.P2bIDNumber,1332))</f>
        <v/>
      </c>
      <c r="G11344" s="51"/>
      <c r="H11344" s="46" t="str">
        <f>IF(AND(I.Developer.P2b=TRUE,I.Facility.P2bFacilityCount&gt;=1332,F11344=""),"Incomplete","Complete")</f>
        <v>Complete</v>
      </c>
      <c r="I11344" s="48" t="s">
        <v>15709</v>
      </c>
    </row>
    <row r="11345" spans="2:9" ht="15" customHeight="1" x14ac:dyDescent="0.25">
      <c r="B11345" s="55" t="s">
        <v>281</v>
      </c>
      <c r="C11345" s="46">
        <v>1333</v>
      </c>
      <c r="D11345" s="69" t="s">
        <v>29418</v>
      </c>
      <c r="E11345" s="51"/>
      <c r="F11345" s="114" t="str">
        <f>IF(INDEX(I.Facility.P2bIDNumber,1333)="","",INDEX(I.Facility.P2bIDNumber,1333))</f>
        <v/>
      </c>
      <c r="G11345" s="51"/>
      <c r="H11345" s="46" t="str">
        <f>IF(AND(I.Developer.P2b=TRUE,I.Facility.P2bFacilityCount&gt;=1333,F11345=""),"Incomplete","Complete")</f>
        <v>Complete</v>
      </c>
      <c r="I11345" s="48" t="s">
        <v>15710</v>
      </c>
    </row>
    <row r="11346" spans="2:9" ht="15" customHeight="1" x14ac:dyDescent="0.25">
      <c r="B11346" s="55" t="s">
        <v>281</v>
      </c>
      <c r="C11346" s="46">
        <v>1334</v>
      </c>
      <c r="D11346" s="69" t="s">
        <v>29418</v>
      </c>
      <c r="E11346" s="51"/>
      <c r="F11346" s="114" t="str">
        <f>IF(INDEX(I.Facility.P2bIDNumber,1334)="","",INDEX(I.Facility.P2bIDNumber,1334))</f>
        <v/>
      </c>
      <c r="G11346" s="51"/>
      <c r="H11346" s="46" t="str">
        <f>IF(AND(I.Developer.P2b=TRUE,I.Facility.P2bFacilityCount&gt;=1334,F11346=""),"Incomplete","Complete")</f>
        <v>Complete</v>
      </c>
      <c r="I11346" s="48" t="s">
        <v>15711</v>
      </c>
    </row>
    <row r="11347" spans="2:9" ht="15" customHeight="1" x14ac:dyDescent="0.25">
      <c r="B11347" s="55" t="s">
        <v>281</v>
      </c>
      <c r="C11347" s="46">
        <v>1335</v>
      </c>
      <c r="D11347" s="69" t="s">
        <v>29418</v>
      </c>
      <c r="E11347" s="51"/>
      <c r="F11347" s="114" t="str">
        <f>IF(INDEX(I.Facility.P2bIDNumber,1335)="","",INDEX(I.Facility.P2bIDNumber,1335))</f>
        <v/>
      </c>
      <c r="G11347" s="51"/>
      <c r="H11347" s="46" t="str">
        <f>IF(AND(I.Developer.P2b=TRUE,I.Facility.P2bFacilityCount&gt;=1335,F11347=""),"Incomplete","Complete")</f>
        <v>Complete</v>
      </c>
      <c r="I11347" s="48" t="s">
        <v>15712</v>
      </c>
    </row>
    <row r="11348" spans="2:9" ht="15" customHeight="1" x14ac:dyDescent="0.25">
      <c r="B11348" s="55" t="s">
        <v>281</v>
      </c>
      <c r="C11348" s="46">
        <v>1336</v>
      </c>
      <c r="D11348" s="69" t="s">
        <v>29418</v>
      </c>
      <c r="E11348" s="51"/>
      <c r="F11348" s="114" t="str">
        <f>IF(INDEX(I.Facility.P2bIDNumber,1336)="","",INDEX(I.Facility.P2bIDNumber,1336))</f>
        <v/>
      </c>
      <c r="G11348" s="51"/>
      <c r="H11348" s="46" t="str">
        <f>IF(AND(I.Developer.P2b=TRUE,I.Facility.P2bFacilityCount&gt;=1336,F11348=""),"Incomplete","Complete")</f>
        <v>Complete</v>
      </c>
      <c r="I11348" s="48" t="s">
        <v>15713</v>
      </c>
    </row>
    <row r="11349" spans="2:9" ht="15" customHeight="1" x14ac:dyDescent="0.25">
      <c r="B11349" s="55" t="s">
        <v>281</v>
      </c>
      <c r="C11349" s="46">
        <v>1337</v>
      </c>
      <c r="D11349" s="69" t="s">
        <v>29418</v>
      </c>
      <c r="E11349" s="51"/>
      <c r="F11349" s="114" t="str">
        <f>IF(INDEX(I.Facility.P2bIDNumber,1337)="","",INDEX(I.Facility.P2bIDNumber,1337))</f>
        <v/>
      </c>
      <c r="G11349" s="51"/>
      <c r="H11349" s="46" t="str">
        <f>IF(AND(I.Developer.P2b=TRUE,I.Facility.P2bFacilityCount&gt;=1337,F11349=""),"Incomplete","Complete")</f>
        <v>Complete</v>
      </c>
      <c r="I11349" s="48" t="s">
        <v>15714</v>
      </c>
    </row>
    <row r="11350" spans="2:9" ht="15" customHeight="1" x14ac:dyDescent="0.25">
      <c r="B11350" s="55" t="s">
        <v>281</v>
      </c>
      <c r="C11350" s="46">
        <v>1338</v>
      </c>
      <c r="D11350" s="69" t="s">
        <v>29418</v>
      </c>
      <c r="E11350" s="51"/>
      <c r="F11350" s="114" t="str">
        <f>IF(INDEX(I.Facility.P2bIDNumber,1338)="","",INDEX(I.Facility.P2bIDNumber,1338))</f>
        <v/>
      </c>
      <c r="G11350" s="51"/>
      <c r="H11350" s="46" t="str">
        <f>IF(AND(I.Developer.P2b=TRUE,I.Facility.P2bFacilityCount&gt;=1338,F11350=""),"Incomplete","Complete")</f>
        <v>Complete</v>
      </c>
      <c r="I11350" s="48" t="s">
        <v>15715</v>
      </c>
    </row>
    <row r="11351" spans="2:9" ht="15" customHeight="1" x14ac:dyDescent="0.25">
      <c r="B11351" s="55" t="s">
        <v>281</v>
      </c>
      <c r="C11351" s="46">
        <v>1339</v>
      </c>
      <c r="D11351" s="69" t="s">
        <v>29418</v>
      </c>
      <c r="E11351" s="51"/>
      <c r="F11351" s="114" t="str">
        <f>IF(INDEX(I.Facility.P2bIDNumber,1339)="","",INDEX(I.Facility.P2bIDNumber,1339))</f>
        <v/>
      </c>
      <c r="G11351" s="51"/>
      <c r="H11351" s="46" t="str">
        <f>IF(AND(I.Developer.P2b=TRUE,I.Facility.P2bFacilityCount&gt;=1339,F11351=""),"Incomplete","Complete")</f>
        <v>Complete</v>
      </c>
      <c r="I11351" s="48" t="s">
        <v>15716</v>
      </c>
    </row>
    <row r="11352" spans="2:9" ht="15" customHeight="1" x14ac:dyDescent="0.25">
      <c r="B11352" s="55" t="s">
        <v>281</v>
      </c>
      <c r="C11352" s="46">
        <v>1340</v>
      </c>
      <c r="D11352" s="69" t="s">
        <v>29418</v>
      </c>
      <c r="E11352" s="51"/>
      <c r="F11352" s="114" t="str">
        <f>IF(INDEX(I.Facility.P2bIDNumber,1340)="","",INDEX(I.Facility.P2bIDNumber,1340))</f>
        <v/>
      </c>
      <c r="G11352" s="51"/>
      <c r="H11352" s="46" t="str">
        <f>IF(AND(I.Developer.P2b=TRUE,I.Facility.P2bFacilityCount&gt;=1340,F11352=""),"Incomplete","Complete")</f>
        <v>Complete</v>
      </c>
      <c r="I11352" s="48" t="s">
        <v>15717</v>
      </c>
    </row>
    <row r="11353" spans="2:9" ht="15" customHeight="1" x14ac:dyDescent="0.25">
      <c r="B11353" s="55" t="s">
        <v>281</v>
      </c>
      <c r="C11353" s="46">
        <v>1341</v>
      </c>
      <c r="D11353" s="69" t="s">
        <v>29418</v>
      </c>
      <c r="E11353" s="51"/>
      <c r="F11353" s="114" t="str">
        <f>IF(INDEX(I.Facility.P2bIDNumber,1341)="","",INDEX(I.Facility.P2bIDNumber,1341))</f>
        <v/>
      </c>
      <c r="G11353" s="51"/>
      <c r="H11353" s="46" t="str">
        <f>IF(AND(I.Developer.P2b=TRUE,I.Facility.P2bFacilityCount&gt;=1341,F11353=""),"Incomplete","Complete")</f>
        <v>Complete</v>
      </c>
      <c r="I11353" s="48" t="s">
        <v>15718</v>
      </c>
    </row>
    <row r="11354" spans="2:9" ht="15" customHeight="1" x14ac:dyDescent="0.25">
      <c r="B11354" s="55" t="s">
        <v>281</v>
      </c>
      <c r="C11354" s="46">
        <v>1342</v>
      </c>
      <c r="D11354" s="69" t="s">
        <v>29418</v>
      </c>
      <c r="E11354" s="51"/>
      <c r="F11354" s="114" t="str">
        <f>IF(INDEX(I.Facility.P2bIDNumber,1342)="","",INDEX(I.Facility.P2bIDNumber,1342))</f>
        <v/>
      </c>
      <c r="G11354" s="51"/>
      <c r="H11354" s="46" t="str">
        <f>IF(AND(I.Developer.P2b=TRUE,I.Facility.P2bFacilityCount&gt;=1342,F11354=""),"Incomplete","Complete")</f>
        <v>Complete</v>
      </c>
      <c r="I11354" s="48" t="s">
        <v>15719</v>
      </c>
    </row>
    <row r="11355" spans="2:9" ht="15" customHeight="1" x14ac:dyDescent="0.25">
      <c r="B11355" s="55" t="s">
        <v>281</v>
      </c>
      <c r="C11355" s="46">
        <v>1343</v>
      </c>
      <c r="D11355" s="69" t="s">
        <v>29418</v>
      </c>
      <c r="E11355" s="51"/>
      <c r="F11355" s="114" t="str">
        <f>IF(INDEX(I.Facility.P2bIDNumber,1343)="","",INDEX(I.Facility.P2bIDNumber,1343))</f>
        <v/>
      </c>
      <c r="G11355" s="51"/>
      <c r="H11355" s="46" t="str">
        <f>IF(AND(I.Developer.P2b=TRUE,I.Facility.P2bFacilityCount&gt;=1343,F11355=""),"Incomplete","Complete")</f>
        <v>Complete</v>
      </c>
      <c r="I11355" s="48" t="s">
        <v>15720</v>
      </c>
    </row>
    <row r="11356" spans="2:9" ht="15" customHeight="1" x14ac:dyDescent="0.25">
      <c r="B11356" s="55" t="s">
        <v>281</v>
      </c>
      <c r="C11356" s="46">
        <v>1344</v>
      </c>
      <c r="D11356" s="69" t="s">
        <v>29418</v>
      </c>
      <c r="E11356" s="51"/>
      <c r="F11356" s="114" t="str">
        <f>IF(INDEX(I.Facility.P2bIDNumber,1344)="","",INDEX(I.Facility.P2bIDNumber,1344))</f>
        <v/>
      </c>
      <c r="G11356" s="51"/>
      <c r="H11356" s="46" t="str">
        <f>IF(AND(I.Developer.P2b=TRUE,I.Facility.P2bFacilityCount&gt;=1344,F11356=""),"Incomplete","Complete")</f>
        <v>Complete</v>
      </c>
      <c r="I11356" s="48" t="s">
        <v>15721</v>
      </c>
    </row>
    <row r="11357" spans="2:9" ht="15" customHeight="1" x14ac:dyDescent="0.25">
      <c r="B11357" s="55" t="s">
        <v>281</v>
      </c>
      <c r="C11357" s="46">
        <v>1345</v>
      </c>
      <c r="D11357" s="69" t="s">
        <v>29418</v>
      </c>
      <c r="E11357" s="51"/>
      <c r="F11357" s="114" t="str">
        <f>IF(INDEX(I.Facility.P2bIDNumber,1345)="","",INDEX(I.Facility.P2bIDNumber,1345))</f>
        <v/>
      </c>
      <c r="G11357" s="51"/>
      <c r="H11357" s="46" t="str">
        <f>IF(AND(I.Developer.P2b=TRUE,I.Facility.P2bFacilityCount&gt;=1345,F11357=""),"Incomplete","Complete")</f>
        <v>Complete</v>
      </c>
      <c r="I11357" s="48" t="s">
        <v>15722</v>
      </c>
    </row>
    <row r="11358" spans="2:9" ht="15" customHeight="1" x14ac:dyDescent="0.25">
      <c r="B11358" s="55" t="s">
        <v>281</v>
      </c>
      <c r="C11358" s="46">
        <v>1346</v>
      </c>
      <c r="D11358" s="69" t="s">
        <v>29418</v>
      </c>
      <c r="E11358" s="51"/>
      <c r="F11358" s="114" t="str">
        <f>IF(INDEX(I.Facility.P2bIDNumber,1346)="","",INDEX(I.Facility.P2bIDNumber,1346))</f>
        <v/>
      </c>
      <c r="G11358" s="51"/>
      <c r="H11358" s="46" t="str">
        <f>IF(AND(I.Developer.P2b=TRUE,I.Facility.P2bFacilityCount&gt;=1346,F11358=""),"Incomplete","Complete")</f>
        <v>Complete</v>
      </c>
      <c r="I11358" s="48" t="s">
        <v>15723</v>
      </c>
    </row>
    <row r="11359" spans="2:9" ht="15" customHeight="1" x14ac:dyDescent="0.25">
      <c r="B11359" s="55" t="s">
        <v>281</v>
      </c>
      <c r="C11359" s="46">
        <v>1347</v>
      </c>
      <c r="D11359" s="69" t="s">
        <v>29418</v>
      </c>
      <c r="E11359" s="51"/>
      <c r="F11359" s="114" t="str">
        <f>IF(INDEX(I.Facility.P2bIDNumber,1347)="","",INDEX(I.Facility.P2bIDNumber,1347))</f>
        <v/>
      </c>
      <c r="G11359" s="51"/>
      <c r="H11359" s="46" t="str">
        <f>IF(AND(I.Developer.P2b=TRUE,I.Facility.P2bFacilityCount&gt;=1347,F11359=""),"Incomplete","Complete")</f>
        <v>Complete</v>
      </c>
      <c r="I11359" s="48" t="s">
        <v>15724</v>
      </c>
    </row>
    <row r="11360" spans="2:9" ht="15" customHeight="1" x14ac:dyDescent="0.25">
      <c r="B11360" s="55" t="s">
        <v>281</v>
      </c>
      <c r="C11360" s="46">
        <v>1348</v>
      </c>
      <c r="D11360" s="69" t="s">
        <v>29418</v>
      </c>
      <c r="E11360" s="51"/>
      <c r="F11360" s="114" t="str">
        <f>IF(INDEX(I.Facility.P2bIDNumber,1348)="","",INDEX(I.Facility.P2bIDNumber,1348))</f>
        <v/>
      </c>
      <c r="G11360" s="51"/>
      <c r="H11360" s="46" t="str">
        <f>IF(AND(I.Developer.P2b=TRUE,I.Facility.P2bFacilityCount&gt;=1348,F11360=""),"Incomplete","Complete")</f>
        <v>Complete</v>
      </c>
      <c r="I11360" s="48" t="s">
        <v>15725</v>
      </c>
    </row>
    <row r="11361" spans="2:9" ht="15" customHeight="1" x14ac:dyDescent="0.25">
      <c r="B11361" s="55" t="s">
        <v>281</v>
      </c>
      <c r="C11361" s="46">
        <v>1349</v>
      </c>
      <c r="D11361" s="69" t="s">
        <v>29418</v>
      </c>
      <c r="E11361" s="51"/>
      <c r="F11361" s="114" t="str">
        <f>IF(INDEX(I.Facility.P2bIDNumber,1349)="","",INDEX(I.Facility.P2bIDNumber,1349))</f>
        <v/>
      </c>
      <c r="G11361" s="51"/>
      <c r="H11361" s="46" t="str">
        <f>IF(AND(I.Developer.P2b=TRUE,I.Facility.P2bFacilityCount&gt;=1349,F11361=""),"Incomplete","Complete")</f>
        <v>Complete</v>
      </c>
      <c r="I11361" s="48" t="s">
        <v>15726</v>
      </c>
    </row>
    <row r="11362" spans="2:9" ht="15" customHeight="1" x14ac:dyDescent="0.25">
      <c r="B11362" s="55" t="s">
        <v>281</v>
      </c>
      <c r="C11362" s="46">
        <v>1350</v>
      </c>
      <c r="D11362" s="69" t="s">
        <v>29418</v>
      </c>
      <c r="E11362" s="51"/>
      <c r="F11362" s="114" t="str">
        <f>IF(INDEX(I.Facility.P2bIDNumber,1350)="","",INDEX(I.Facility.P2bIDNumber,1350))</f>
        <v/>
      </c>
      <c r="G11362" s="51"/>
      <c r="H11362" s="46" t="str">
        <f>IF(AND(I.Developer.P2b=TRUE,I.Facility.P2bFacilityCount&gt;=1350,F11362=""),"Incomplete","Complete")</f>
        <v>Complete</v>
      </c>
      <c r="I11362" s="48" t="s">
        <v>15727</v>
      </c>
    </row>
    <row r="11363" spans="2:9" ht="15" customHeight="1" x14ac:dyDescent="0.25">
      <c r="B11363" s="55" t="s">
        <v>281</v>
      </c>
      <c r="C11363" s="46">
        <v>1351</v>
      </c>
      <c r="D11363" s="69" t="s">
        <v>29418</v>
      </c>
      <c r="E11363" s="51"/>
      <c r="F11363" s="114" t="str">
        <f>IF(INDEX(I.Facility.P2bIDNumber,1351)="","",INDEX(I.Facility.P2bIDNumber,1351))</f>
        <v/>
      </c>
      <c r="G11363" s="51"/>
      <c r="H11363" s="46" t="str">
        <f>IF(AND(I.Developer.P2b=TRUE,I.Facility.P2bFacilityCount&gt;=1351,F11363=""),"Incomplete","Complete")</f>
        <v>Complete</v>
      </c>
      <c r="I11363" s="48" t="s">
        <v>15728</v>
      </c>
    </row>
    <row r="11364" spans="2:9" ht="15" customHeight="1" x14ac:dyDescent="0.25">
      <c r="B11364" s="55" t="s">
        <v>281</v>
      </c>
      <c r="C11364" s="46">
        <v>1352</v>
      </c>
      <c r="D11364" s="69" t="s">
        <v>29418</v>
      </c>
      <c r="E11364" s="51"/>
      <c r="F11364" s="114" t="str">
        <f>IF(INDEX(I.Facility.P2bIDNumber,1352)="","",INDEX(I.Facility.P2bIDNumber,1352))</f>
        <v/>
      </c>
      <c r="G11364" s="51"/>
      <c r="H11364" s="46" t="str">
        <f>IF(AND(I.Developer.P2b=TRUE,I.Facility.P2bFacilityCount&gt;=1352,F11364=""),"Incomplete","Complete")</f>
        <v>Complete</v>
      </c>
      <c r="I11364" s="48" t="s">
        <v>15729</v>
      </c>
    </row>
    <row r="11365" spans="2:9" ht="15" customHeight="1" x14ac:dyDescent="0.25">
      <c r="B11365" s="55" t="s">
        <v>281</v>
      </c>
      <c r="C11365" s="46">
        <v>1353</v>
      </c>
      <c r="D11365" s="69" t="s">
        <v>29418</v>
      </c>
      <c r="E11365" s="51"/>
      <c r="F11365" s="114" t="str">
        <f>IF(INDEX(I.Facility.P2bIDNumber,1353)="","",INDEX(I.Facility.P2bIDNumber,1353))</f>
        <v/>
      </c>
      <c r="G11365" s="51"/>
      <c r="H11365" s="46" t="str">
        <f>IF(AND(I.Developer.P2b=TRUE,I.Facility.P2bFacilityCount&gt;=1353,F11365=""),"Incomplete","Complete")</f>
        <v>Complete</v>
      </c>
      <c r="I11365" s="48" t="s">
        <v>15730</v>
      </c>
    </row>
    <row r="11366" spans="2:9" ht="15" customHeight="1" x14ac:dyDescent="0.25">
      <c r="B11366" s="55" t="s">
        <v>281</v>
      </c>
      <c r="C11366" s="46">
        <v>1354</v>
      </c>
      <c r="D11366" s="69" t="s">
        <v>29418</v>
      </c>
      <c r="E11366" s="51"/>
      <c r="F11366" s="114" t="str">
        <f>IF(INDEX(I.Facility.P2bIDNumber,1354)="","",INDEX(I.Facility.P2bIDNumber,1354))</f>
        <v/>
      </c>
      <c r="G11366" s="51"/>
      <c r="H11366" s="46" t="str">
        <f>IF(AND(I.Developer.P2b=TRUE,I.Facility.P2bFacilityCount&gt;=1354,F11366=""),"Incomplete","Complete")</f>
        <v>Complete</v>
      </c>
      <c r="I11366" s="48" t="s">
        <v>15731</v>
      </c>
    </row>
    <row r="11367" spans="2:9" ht="15" customHeight="1" x14ac:dyDescent="0.25">
      <c r="B11367" s="55" t="s">
        <v>281</v>
      </c>
      <c r="C11367" s="46">
        <v>1355</v>
      </c>
      <c r="D11367" s="69" t="s">
        <v>29418</v>
      </c>
      <c r="E11367" s="51"/>
      <c r="F11367" s="114" t="str">
        <f>IF(INDEX(I.Facility.P2bIDNumber,1355)="","",INDEX(I.Facility.P2bIDNumber,1355))</f>
        <v/>
      </c>
      <c r="G11367" s="51"/>
      <c r="H11367" s="46" t="str">
        <f>IF(AND(I.Developer.P2b=TRUE,I.Facility.P2bFacilityCount&gt;=1355,F11367=""),"Incomplete","Complete")</f>
        <v>Complete</v>
      </c>
      <c r="I11367" s="48" t="s">
        <v>15732</v>
      </c>
    </row>
    <row r="11368" spans="2:9" ht="15" customHeight="1" x14ac:dyDescent="0.25">
      <c r="B11368" s="55" t="s">
        <v>281</v>
      </c>
      <c r="C11368" s="46">
        <v>1356</v>
      </c>
      <c r="D11368" s="69" t="s">
        <v>29418</v>
      </c>
      <c r="E11368" s="51"/>
      <c r="F11368" s="114" t="str">
        <f>IF(INDEX(I.Facility.P2bIDNumber,1356)="","",INDEX(I.Facility.P2bIDNumber,1356))</f>
        <v/>
      </c>
      <c r="G11368" s="51"/>
      <c r="H11368" s="46" t="str">
        <f>IF(AND(I.Developer.P2b=TRUE,I.Facility.P2bFacilityCount&gt;=1356,F11368=""),"Incomplete","Complete")</f>
        <v>Complete</v>
      </c>
      <c r="I11368" s="48" t="s">
        <v>15733</v>
      </c>
    </row>
    <row r="11369" spans="2:9" ht="15" customHeight="1" x14ac:dyDescent="0.25">
      <c r="B11369" s="55" t="s">
        <v>281</v>
      </c>
      <c r="C11369" s="46">
        <v>1357</v>
      </c>
      <c r="D11369" s="69" t="s">
        <v>29418</v>
      </c>
      <c r="E11369" s="51"/>
      <c r="F11369" s="114" t="str">
        <f>IF(INDEX(I.Facility.P2bIDNumber,1357)="","",INDEX(I.Facility.P2bIDNumber,1357))</f>
        <v/>
      </c>
      <c r="G11369" s="51"/>
      <c r="H11369" s="46" t="str">
        <f>IF(AND(I.Developer.P2b=TRUE,I.Facility.P2bFacilityCount&gt;=1357,F11369=""),"Incomplete","Complete")</f>
        <v>Complete</v>
      </c>
      <c r="I11369" s="48" t="s">
        <v>15734</v>
      </c>
    </row>
    <row r="11370" spans="2:9" ht="15" customHeight="1" x14ac:dyDescent="0.25">
      <c r="B11370" s="55" t="s">
        <v>281</v>
      </c>
      <c r="C11370" s="46">
        <v>1358</v>
      </c>
      <c r="D11370" s="69" t="s">
        <v>29418</v>
      </c>
      <c r="E11370" s="51"/>
      <c r="F11370" s="114" t="str">
        <f>IF(INDEX(I.Facility.P2bIDNumber,1358)="","",INDEX(I.Facility.P2bIDNumber,1358))</f>
        <v/>
      </c>
      <c r="G11370" s="51"/>
      <c r="H11370" s="46" t="str">
        <f>IF(AND(I.Developer.P2b=TRUE,I.Facility.P2bFacilityCount&gt;=1358,F11370=""),"Incomplete","Complete")</f>
        <v>Complete</v>
      </c>
      <c r="I11370" s="48" t="s">
        <v>15735</v>
      </c>
    </row>
    <row r="11371" spans="2:9" ht="15" customHeight="1" x14ac:dyDescent="0.25">
      <c r="B11371" s="55" t="s">
        <v>281</v>
      </c>
      <c r="C11371" s="46">
        <v>1359</v>
      </c>
      <c r="D11371" s="69" t="s">
        <v>29418</v>
      </c>
      <c r="E11371" s="51"/>
      <c r="F11371" s="114" t="str">
        <f>IF(INDEX(I.Facility.P2bIDNumber,1359)="","",INDEX(I.Facility.P2bIDNumber,1359))</f>
        <v/>
      </c>
      <c r="G11371" s="51"/>
      <c r="H11371" s="46" t="str">
        <f>IF(AND(I.Developer.P2b=TRUE,I.Facility.P2bFacilityCount&gt;=1359,F11371=""),"Incomplete","Complete")</f>
        <v>Complete</v>
      </c>
      <c r="I11371" s="48" t="s">
        <v>15736</v>
      </c>
    </row>
    <row r="11372" spans="2:9" ht="15" customHeight="1" x14ac:dyDescent="0.25">
      <c r="B11372" s="55" t="s">
        <v>281</v>
      </c>
      <c r="C11372" s="46">
        <v>1360</v>
      </c>
      <c r="D11372" s="69" t="s">
        <v>29418</v>
      </c>
      <c r="E11372" s="51"/>
      <c r="F11372" s="114" t="str">
        <f>IF(INDEX(I.Facility.P2bIDNumber,1360)="","",INDEX(I.Facility.P2bIDNumber,1360))</f>
        <v/>
      </c>
      <c r="G11372" s="51"/>
      <c r="H11372" s="46" t="str">
        <f>IF(AND(I.Developer.P2b=TRUE,I.Facility.P2bFacilityCount&gt;=1360,F11372=""),"Incomplete","Complete")</f>
        <v>Complete</v>
      </c>
      <c r="I11372" s="48" t="s">
        <v>15737</v>
      </c>
    </row>
    <row r="11373" spans="2:9" ht="15" customHeight="1" x14ac:dyDescent="0.25">
      <c r="B11373" s="55" t="s">
        <v>281</v>
      </c>
      <c r="C11373" s="46">
        <v>1361</v>
      </c>
      <c r="D11373" s="69" t="s">
        <v>29418</v>
      </c>
      <c r="E11373" s="51"/>
      <c r="F11373" s="114" t="str">
        <f>IF(INDEX(I.Facility.P2bIDNumber,1361)="","",INDEX(I.Facility.P2bIDNumber,1361))</f>
        <v/>
      </c>
      <c r="G11373" s="51"/>
      <c r="H11373" s="46" t="str">
        <f>IF(AND(I.Developer.P2b=TRUE,I.Facility.P2bFacilityCount&gt;=1361,F11373=""),"Incomplete","Complete")</f>
        <v>Complete</v>
      </c>
      <c r="I11373" s="48" t="s">
        <v>15738</v>
      </c>
    </row>
    <row r="11374" spans="2:9" ht="15" customHeight="1" x14ac:dyDescent="0.25">
      <c r="B11374" s="55" t="s">
        <v>281</v>
      </c>
      <c r="C11374" s="46">
        <v>1362</v>
      </c>
      <c r="D11374" s="69" t="s">
        <v>29418</v>
      </c>
      <c r="E11374" s="51"/>
      <c r="F11374" s="114" t="str">
        <f>IF(INDEX(I.Facility.P2bIDNumber,1362)="","",INDEX(I.Facility.P2bIDNumber,1362))</f>
        <v/>
      </c>
      <c r="G11374" s="51"/>
      <c r="H11374" s="46" t="str">
        <f>IF(AND(I.Developer.P2b=TRUE,I.Facility.P2bFacilityCount&gt;=1362,F11374=""),"Incomplete","Complete")</f>
        <v>Complete</v>
      </c>
      <c r="I11374" s="48" t="s">
        <v>15739</v>
      </c>
    </row>
    <row r="11375" spans="2:9" ht="15" customHeight="1" x14ac:dyDescent="0.25">
      <c r="B11375" s="55" t="s">
        <v>281</v>
      </c>
      <c r="C11375" s="46">
        <v>1363</v>
      </c>
      <c r="D11375" s="69" t="s">
        <v>29418</v>
      </c>
      <c r="E11375" s="51"/>
      <c r="F11375" s="114" t="str">
        <f>IF(INDEX(I.Facility.P2bIDNumber,1363)="","",INDEX(I.Facility.P2bIDNumber,1363))</f>
        <v/>
      </c>
      <c r="G11375" s="51"/>
      <c r="H11375" s="46" t="str">
        <f>IF(AND(I.Developer.P2b=TRUE,I.Facility.P2bFacilityCount&gt;=1363,F11375=""),"Incomplete","Complete")</f>
        <v>Complete</v>
      </c>
      <c r="I11375" s="48" t="s">
        <v>15740</v>
      </c>
    </row>
    <row r="11376" spans="2:9" ht="15" customHeight="1" x14ac:dyDescent="0.25">
      <c r="B11376" s="55" t="s">
        <v>281</v>
      </c>
      <c r="C11376" s="46">
        <v>1364</v>
      </c>
      <c r="D11376" s="69" t="s">
        <v>29418</v>
      </c>
      <c r="E11376" s="51"/>
      <c r="F11376" s="114" t="str">
        <f>IF(INDEX(I.Facility.P2bIDNumber,1364)="","",INDEX(I.Facility.P2bIDNumber,1364))</f>
        <v/>
      </c>
      <c r="G11376" s="51"/>
      <c r="H11376" s="46" t="str">
        <f>IF(AND(I.Developer.P2b=TRUE,I.Facility.P2bFacilityCount&gt;=1364,F11376=""),"Incomplete","Complete")</f>
        <v>Complete</v>
      </c>
      <c r="I11376" s="48" t="s">
        <v>15741</v>
      </c>
    </row>
    <row r="11377" spans="2:9" ht="15" customHeight="1" x14ac:dyDescent="0.25">
      <c r="B11377" s="55" t="s">
        <v>281</v>
      </c>
      <c r="C11377" s="46">
        <v>1365</v>
      </c>
      <c r="D11377" s="69" t="s">
        <v>29418</v>
      </c>
      <c r="E11377" s="51"/>
      <c r="F11377" s="114" t="str">
        <f>IF(INDEX(I.Facility.P2bIDNumber,1365)="","",INDEX(I.Facility.P2bIDNumber,1365))</f>
        <v/>
      </c>
      <c r="G11377" s="51"/>
      <c r="H11377" s="46" t="str">
        <f>IF(AND(I.Developer.P2b=TRUE,I.Facility.P2bFacilityCount&gt;=1365,F11377=""),"Incomplete","Complete")</f>
        <v>Complete</v>
      </c>
      <c r="I11377" s="48" t="s">
        <v>15742</v>
      </c>
    </row>
    <row r="11378" spans="2:9" ht="15" customHeight="1" x14ac:dyDescent="0.25">
      <c r="B11378" s="55" t="s">
        <v>281</v>
      </c>
      <c r="C11378" s="46">
        <v>1366</v>
      </c>
      <c r="D11378" s="69" t="s">
        <v>29418</v>
      </c>
      <c r="E11378" s="51"/>
      <c r="F11378" s="114" t="str">
        <f>IF(INDEX(I.Facility.P2bIDNumber,1366)="","",INDEX(I.Facility.P2bIDNumber,1366))</f>
        <v/>
      </c>
      <c r="G11378" s="51"/>
      <c r="H11378" s="46" t="str">
        <f>IF(AND(I.Developer.P2b=TRUE,I.Facility.P2bFacilityCount&gt;=1366,F11378=""),"Incomplete","Complete")</f>
        <v>Complete</v>
      </c>
      <c r="I11378" s="48" t="s">
        <v>15743</v>
      </c>
    </row>
    <row r="11379" spans="2:9" ht="15" customHeight="1" x14ac:dyDescent="0.25">
      <c r="B11379" s="55" t="s">
        <v>281</v>
      </c>
      <c r="C11379" s="46">
        <v>1367</v>
      </c>
      <c r="D11379" s="69" t="s">
        <v>29418</v>
      </c>
      <c r="E11379" s="51"/>
      <c r="F11379" s="114" t="str">
        <f>IF(INDEX(I.Facility.P2bIDNumber,1367)="","",INDEX(I.Facility.P2bIDNumber,1367))</f>
        <v/>
      </c>
      <c r="G11379" s="51"/>
      <c r="H11379" s="46" t="str">
        <f>IF(AND(I.Developer.P2b=TRUE,I.Facility.P2bFacilityCount&gt;=1367,F11379=""),"Incomplete","Complete")</f>
        <v>Complete</v>
      </c>
      <c r="I11379" s="48" t="s">
        <v>15744</v>
      </c>
    </row>
    <row r="11380" spans="2:9" ht="15" customHeight="1" x14ac:dyDescent="0.25">
      <c r="B11380" s="55" t="s">
        <v>281</v>
      </c>
      <c r="C11380" s="46">
        <v>1368</v>
      </c>
      <c r="D11380" s="69" t="s">
        <v>29418</v>
      </c>
      <c r="E11380" s="51"/>
      <c r="F11380" s="114" t="str">
        <f>IF(INDEX(I.Facility.P2bIDNumber,1368)="","",INDEX(I.Facility.P2bIDNumber,1368))</f>
        <v/>
      </c>
      <c r="G11380" s="51"/>
      <c r="H11380" s="46" t="str">
        <f>IF(AND(I.Developer.P2b=TRUE,I.Facility.P2bFacilityCount&gt;=1368,F11380=""),"Incomplete","Complete")</f>
        <v>Complete</v>
      </c>
      <c r="I11380" s="48" t="s">
        <v>15745</v>
      </c>
    </row>
    <row r="11381" spans="2:9" ht="15" customHeight="1" x14ac:dyDescent="0.25">
      <c r="B11381" s="55" t="s">
        <v>281</v>
      </c>
      <c r="C11381" s="46">
        <v>1369</v>
      </c>
      <c r="D11381" s="69" t="s">
        <v>29418</v>
      </c>
      <c r="E11381" s="51"/>
      <c r="F11381" s="114" t="str">
        <f>IF(INDEX(I.Facility.P2bIDNumber,1369)="","",INDEX(I.Facility.P2bIDNumber,1369))</f>
        <v/>
      </c>
      <c r="G11381" s="51"/>
      <c r="H11381" s="46" t="str">
        <f>IF(AND(I.Developer.P2b=TRUE,I.Facility.P2bFacilityCount&gt;=1369,F11381=""),"Incomplete","Complete")</f>
        <v>Complete</v>
      </c>
      <c r="I11381" s="48" t="s">
        <v>15746</v>
      </c>
    </row>
    <row r="11382" spans="2:9" ht="15" customHeight="1" x14ac:dyDescent="0.25">
      <c r="B11382" s="55" t="s">
        <v>281</v>
      </c>
      <c r="C11382" s="46">
        <v>1370</v>
      </c>
      <c r="D11382" s="69" t="s">
        <v>29418</v>
      </c>
      <c r="E11382" s="51"/>
      <c r="F11382" s="114" t="str">
        <f>IF(INDEX(I.Facility.P2bIDNumber,1370)="","",INDEX(I.Facility.P2bIDNumber,1370))</f>
        <v/>
      </c>
      <c r="G11382" s="51"/>
      <c r="H11382" s="46" t="str">
        <f>IF(AND(I.Developer.P2b=TRUE,I.Facility.P2bFacilityCount&gt;=1370,F11382=""),"Incomplete","Complete")</f>
        <v>Complete</v>
      </c>
      <c r="I11382" s="48" t="s">
        <v>15747</v>
      </c>
    </row>
    <row r="11383" spans="2:9" ht="15" customHeight="1" x14ac:dyDescent="0.25">
      <c r="B11383" s="55" t="s">
        <v>281</v>
      </c>
      <c r="C11383" s="46">
        <v>1371</v>
      </c>
      <c r="D11383" s="69" t="s">
        <v>29418</v>
      </c>
      <c r="E11383" s="51"/>
      <c r="F11383" s="114" t="str">
        <f>IF(INDEX(I.Facility.P2bIDNumber,1371)="","",INDEX(I.Facility.P2bIDNumber,1371))</f>
        <v/>
      </c>
      <c r="G11383" s="51"/>
      <c r="H11383" s="46" t="str">
        <f>IF(AND(I.Developer.P2b=TRUE,I.Facility.P2bFacilityCount&gt;=1371,F11383=""),"Incomplete","Complete")</f>
        <v>Complete</v>
      </c>
      <c r="I11383" s="48" t="s">
        <v>15748</v>
      </c>
    </row>
    <row r="11384" spans="2:9" ht="15" customHeight="1" x14ac:dyDescent="0.25">
      <c r="B11384" s="55" t="s">
        <v>281</v>
      </c>
      <c r="C11384" s="46">
        <v>1372</v>
      </c>
      <c r="D11384" s="69" t="s">
        <v>29418</v>
      </c>
      <c r="E11384" s="51"/>
      <c r="F11384" s="114" t="str">
        <f>IF(INDEX(I.Facility.P2bIDNumber,1372)="","",INDEX(I.Facility.P2bIDNumber,1372))</f>
        <v/>
      </c>
      <c r="G11384" s="51"/>
      <c r="H11384" s="46" t="str">
        <f>IF(AND(I.Developer.P2b=TRUE,I.Facility.P2bFacilityCount&gt;=1372,F11384=""),"Incomplete","Complete")</f>
        <v>Complete</v>
      </c>
      <c r="I11384" s="48" t="s">
        <v>15749</v>
      </c>
    </row>
    <row r="11385" spans="2:9" ht="15" customHeight="1" x14ac:dyDescent="0.25">
      <c r="B11385" s="55" t="s">
        <v>281</v>
      </c>
      <c r="C11385" s="46">
        <v>1373</v>
      </c>
      <c r="D11385" s="69" t="s">
        <v>29418</v>
      </c>
      <c r="E11385" s="51"/>
      <c r="F11385" s="114" t="str">
        <f>IF(INDEX(I.Facility.P2bIDNumber,1373)="","",INDEX(I.Facility.P2bIDNumber,1373))</f>
        <v/>
      </c>
      <c r="G11385" s="51"/>
      <c r="H11385" s="46" t="str">
        <f>IF(AND(I.Developer.P2b=TRUE,I.Facility.P2bFacilityCount&gt;=1373,F11385=""),"Incomplete","Complete")</f>
        <v>Complete</v>
      </c>
      <c r="I11385" s="48" t="s">
        <v>15750</v>
      </c>
    </row>
    <row r="11386" spans="2:9" ht="15" customHeight="1" x14ac:dyDescent="0.25">
      <c r="B11386" s="55" t="s">
        <v>281</v>
      </c>
      <c r="C11386" s="46">
        <v>1374</v>
      </c>
      <c r="D11386" s="69" t="s">
        <v>29418</v>
      </c>
      <c r="E11386" s="51"/>
      <c r="F11386" s="114" t="str">
        <f>IF(INDEX(I.Facility.P2bIDNumber,1374)="","",INDEX(I.Facility.P2bIDNumber,1374))</f>
        <v/>
      </c>
      <c r="G11386" s="51"/>
      <c r="H11386" s="46" t="str">
        <f>IF(AND(I.Developer.P2b=TRUE,I.Facility.P2bFacilityCount&gt;=1374,F11386=""),"Incomplete","Complete")</f>
        <v>Complete</v>
      </c>
      <c r="I11386" s="48" t="s">
        <v>15751</v>
      </c>
    </row>
    <row r="11387" spans="2:9" ht="15" customHeight="1" x14ac:dyDescent="0.25">
      <c r="B11387" s="55" t="s">
        <v>281</v>
      </c>
      <c r="C11387" s="46">
        <v>1375</v>
      </c>
      <c r="D11387" s="69" t="s">
        <v>29418</v>
      </c>
      <c r="E11387" s="51"/>
      <c r="F11387" s="114" t="str">
        <f>IF(INDEX(I.Facility.P2bIDNumber,1375)="","",INDEX(I.Facility.P2bIDNumber,1375))</f>
        <v/>
      </c>
      <c r="G11387" s="51"/>
      <c r="H11387" s="46" t="str">
        <f>IF(AND(I.Developer.P2b=TRUE,I.Facility.P2bFacilityCount&gt;=1375,F11387=""),"Incomplete","Complete")</f>
        <v>Complete</v>
      </c>
      <c r="I11387" s="48" t="s">
        <v>15752</v>
      </c>
    </row>
    <row r="11388" spans="2:9" ht="15" customHeight="1" x14ac:dyDescent="0.25">
      <c r="B11388" s="55" t="s">
        <v>281</v>
      </c>
      <c r="C11388" s="46">
        <v>1376</v>
      </c>
      <c r="D11388" s="69" t="s">
        <v>29418</v>
      </c>
      <c r="E11388" s="51"/>
      <c r="F11388" s="114" t="str">
        <f>IF(INDEX(I.Facility.P2bIDNumber,1376)="","",INDEX(I.Facility.P2bIDNumber,1376))</f>
        <v/>
      </c>
      <c r="G11388" s="51"/>
      <c r="H11388" s="46" t="str">
        <f>IF(AND(I.Developer.P2b=TRUE,I.Facility.P2bFacilityCount&gt;=1376,F11388=""),"Incomplete","Complete")</f>
        <v>Complete</v>
      </c>
      <c r="I11388" s="48" t="s">
        <v>15753</v>
      </c>
    </row>
    <row r="11389" spans="2:9" ht="15" customHeight="1" x14ac:dyDescent="0.25">
      <c r="B11389" s="55" t="s">
        <v>281</v>
      </c>
      <c r="C11389" s="46">
        <v>1377</v>
      </c>
      <c r="D11389" s="69" t="s">
        <v>29418</v>
      </c>
      <c r="E11389" s="51"/>
      <c r="F11389" s="114" t="str">
        <f>IF(INDEX(I.Facility.P2bIDNumber,1377)="","",INDEX(I.Facility.P2bIDNumber,1377))</f>
        <v/>
      </c>
      <c r="G11389" s="51"/>
      <c r="H11389" s="46" t="str">
        <f>IF(AND(I.Developer.P2b=TRUE,I.Facility.P2bFacilityCount&gt;=1377,F11389=""),"Incomplete","Complete")</f>
        <v>Complete</v>
      </c>
      <c r="I11389" s="48" t="s">
        <v>15754</v>
      </c>
    </row>
    <row r="11390" spans="2:9" ht="15" customHeight="1" x14ac:dyDescent="0.25">
      <c r="B11390" s="55" t="s">
        <v>281</v>
      </c>
      <c r="C11390" s="46">
        <v>1378</v>
      </c>
      <c r="D11390" s="69" t="s">
        <v>29418</v>
      </c>
      <c r="E11390" s="51"/>
      <c r="F11390" s="114" t="str">
        <f>IF(INDEX(I.Facility.P2bIDNumber,1378)="","",INDEX(I.Facility.P2bIDNumber,1378))</f>
        <v/>
      </c>
      <c r="G11390" s="51"/>
      <c r="H11390" s="46" t="str">
        <f>IF(AND(I.Developer.P2b=TRUE,I.Facility.P2bFacilityCount&gt;=1378,F11390=""),"Incomplete","Complete")</f>
        <v>Complete</v>
      </c>
      <c r="I11390" s="48" t="s">
        <v>15755</v>
      </c>
    </row>
    <row r="11391" spans="2:9" ht="15" customHeight="1" x14ac:dyDescent="0.25">
      <c r="B11391" s="55" t="s">
        <v>281</v>
      </c>
      <c r="C11391" s="46">
        <v>1379</v>
      </c>
      <c r="D11391" s="69" t="s">
        <v>29418</v>
      </c>
      <c r="E11391" s="51"/>
      <c r="F11391" s="114" t="str">
        <f>IF(INDEX(I.Facility.P2bIDNumber,1379)="","",INDEX(I.Facility.P2bIDNumber,1379))</f>
        <v/>
      </c>
      <c r="G11391" s="51"/>
      <c r="H11391" s="46" t="str">
        <f>IF(AND(I.Developer.P2b=TRUE,I.Facility.P2bFacilityCount&gt;=1379,F11391=""),"Incomplete","Complete")</f>
        <v>Complete</v>
      </c>
      <c r="I11391" s="48" t="s">
        <v>15756</v>
      </c>
    </row>
    <row r="11392" spans="2:9" ht="15" customHeight="1" x14ac:dyDescent="0.25">
      <c r="B11392" s="55" t="s">
        <v>281</v>
      </c>
      <c r="C11392" s="46">
        <v>1380</v>
      </c>
      <c r="D11392" s="69" t="s">
        <v>29418</v>
      </c>
      <c r="E11392" s="51"/>
      <c r="F11392" s="114" t="str">
        <f>IF(INDEX(I.Facility.P2bIDNumber,1380)="","",INDEX(I.Facility.P2bIDNumber,1380))</f>
        <v/>
      </c>
      <c r="G11392" s="51"/>
      <c r="H11392" s="46" t="str">
        <f>IF(AND(I.Developer.P2b=TRUE,I.Facility.P2bFacilityCount&gt;=1380,F11392=""),"Incomplete","Complete")</f>
        <v>Complete</v>
      </c>
      <c r="I11392" s="48" t="s">
        <v>15757</v>
      </c>
    </row>
    <row r="11393" spans="2:9" ht="15" customHeight="1" x14ac:dyDescent="0.25">
      <c r="B11393" s="55" t="s">
        <v>281</v>
      </c>
      <c r="C11393" s="46">
        <v>1381</v>
      </c>
      <c r="D11393" s="69" t="s">
        <v>29418</v>
      </c>
      <c r="E11393" s="51"/>
      <c r="F11393" s="114" t="str">
        <f>IF(INDEX(I.Facility.P2bIDNumber,1381)="","",INDEX(I.Facility.P2bIDNumber,1381))</f>
        <v/>
      </c>
      <c r="G11393" s="51"/>
      <c r="H11393" s="46" t="str">
        <f>IF(AND(I.Developer.P2b=TRUE,I.Facility.P2bFacilityCount&gt;=1381,F11393=""),"Incomplete","Complete")</f>
        <v>Complete</v>
      </c>
      <c r="I11393" s="48" t="s">
        <v>15758</v>
      </c>
    </row>
    <row r="11394" spans="2:9" ht="15" customHeight="1" x14ac:dyDescent="0.25">
      <c r="B11394" s="55" t="s">
        <v>281</v>
      </c>
      <c r="C11394" s="46">
        <v>1382</v>
      </c>
      <c r="D11394" s="69" t="s">
        <v>29418</v>
      </c>
      <c r="E11394" s="51"/>
      <c r="F11394" s="114" t="str">
        <f>IF(INDEX(I.Facility.P2bIDNumber,1382)="","",INDEX(I.Facility.P2bIDNumber,1382))</f>
        <v/>
      </c>
      <c r="G11394" s="51"/>
      <c r="H11394" s="46" t="str">
        <f>IF(AND(I.Developer.P2b=TRUE,I.Facility.P2bFacilityCount&gt;=1382,F11394=""),"Incomplete","Complete")</f>
        <v>Complete</v>
      </c>
      <c r="I11394" s="48" t="s">
        <v>15759</v>
      </c>
    </row>
    <row r="11395" spans="2:9" ht="15" customHeight="1" x14ac:dyDescent="0.25">
      <c r="B11395" s="55" t="s">
        <v>281</v>
      </c>
      <c r="C11395" s="46">
        <v>1383</v>
      </c>
      <c r="D11395" s="69" t="s">
        <v>29418</v>
      </c>
      <c r="E11395" s="51"/>
      <c r="F11395" s="114" t="str">
        <f>IF(INDEX(I.Facility.P2bIDNumber,1383)="","",INDEX(I.Facility.P2bIDNumber,1383))</f>
        <v/>
      </c>
      <c r="G11395" s="51"/>
      <c r="H11395" s="46" t="str">
        <f>IF(AND(I.Developer.P2b=TRUE,I.Facility.P2bFacilityCount&gt;=1383,F11395=""),"Incomplete","Complete")</f>
        <v>Complete</v>
      </c>
      <c r="I11395" s="48" t="s">
        <v>15760</v>
      </c>
    </row>
    <row r="11396" spans="2:9" ht="15" customHeight="1" x14ac:dyDescent="0.25">
      <c r="B11396" s="55" t="s">
        <v>281</v>
      </c>
      <c r="C11396" s="46">
        <v>1384</v>
      </c>
      <c r="D11396" s="69" t="s">
        <v>29418</v>
      </c>
      <c r="E11396" s="51"/>
      <c r="F11396" s="114" t="str">
        <f>IF(INDEX(I.Facility.P2bIDNumber,1384)="","",INDEX(I.Facility.P2bIDNumber,1384))</f>
        <v/>
      </c>
      <c r="G11396" s="51"/>
      <c r="H11396" s="46" t="str">
        <f>IF(AND(I.Developer.P2b=TRUE,I.Facility.P2bFacilityCount&gt;=1384,F11396=""),"Incomplete","Complete")</f>
        <v>Complete</v>
      </c>
      <c r="I11396" s="48" t="s">
        <v>15761</v>
      </c>
    </row>
    <row r="11397" spans="2:9" ht="15" customHeight="1" x14ac:dyDescent="0.25">
      <c r="B11397" s="55" t="s">
        <v>281</v>
      </c>
      <c r="C11397" s="46">
        <v>1385</v>
      </c>
      <c r="D11397" s="69" t="s">
        <v>29418</v>
      </c>
      <c r="E11397" s="51"/>
      <c r="F11397" s="114" t="str">
        <f>IF(INDEX(I.Facility.P2bIDNumber,1385)="","",INDEX(I.Facility.P2bIDNumber,1385))</f>
        <v/>
      </c>
      <c r="G11397" s="51"/>
      <c r="H11397" s="46" t="str">
        <f>IF(AND(I.Developer.P2b=TRUE,I.Facility.P2bFacilityCount&gt;=1385,F11397=""),"Incomplete","Complete")</f>
        <v>Complete</v>
      </c>
      <c r="I11397" s="48" t="s">
        <v>15762</v>
      </c>
    </row>
    <row r="11398" spans="2:9" ht="15" customHeight="1" x14ac:dyDescent="0.25">
      <c r="B11398" s="55" t="s">
        <v>281</v>
      </c>
      <c r="C11398" s="46">
        <v>1386</v>
      </c>
      <c r="D11398" s="69" t="s">
        <v>29418</v>
      </c>
      <c r="E11398" s="51"/>
      <c r="F11398" s="114" t="str">
        <f>IF(INDEX(I.Facility.P2bIDNumber,1386)="","",INDEX(I.Facility.P2bIDNumber,1386))</f>
        <v/>
      </c>
      <c r="G11398" s="51"/>
      <c r="H11398" s="46" t="str">
        <f>IF(AND(I.Developer.P2b=TRUE,I.Facility.P2bFacilityCount&gt;=1386,F11398=""),"Incomplete","Complete")</f>
        <v>Complete</v>
      </c>
      <c r="I11398" s="48" t="s">
        <v>15763</v>
      </c>
    </row>
    <row r="11399" spans="2:9" ht="15" customHeight="1" x14ac:dyDescent="0.25">
      <c r="B11399" s="55" t="s">
        <v>281</v>
      </c>
      <c r="C11399" s="46">
        <v>1387</v>
      </c>
      <c r="D11399" s="69" t="s">
        <v>29418</v>
      </c>
      <c r="E11399" s="51"/>
      <c r="F11399" s="114" t="str">
        <f>IF(INDEX(I.Facility.P2bIDNumber,1387)="","",INDEX(I.Facility.P2bIDNumber,1387))</f>
        <v/>
      </c>
      <c r="G11399" s="51"/>
      <c r="H11399" s="46" t="str">
        <f>IF(AND(I.Developer.P2b=TRUE,I.Facility.P2bFacilityCount&gt;=1387,F11399=""),"Incomplete","Complete")</f>
        <v>Complete</v>
      </c>
      <c r="I11399" s="48" t="s">
        <v>15764</v>
      </c>
    </row>
    <row r="11400" spans="2:9" ht="15" customHeight="1" x14ac:dyDescent="0.25">
      <c r="B11400" s="55" t="s">
        <v>281</v>
      </c>
      <c r="C11400" s="46">
        <v>1388</v>
      </c>
      <c r="D11400" s="69" t="s">
        <v>29418</v>
      </c>
      <c r="E11400" s="51"/>
      <c r="F11400" s="114" t="str">
        <f>IF(INDEX(I.Facility.P2bIDNumber,1388)="","",INDEX(I.Facility.P2bIDNumber,1388))</f>
        <v/>
      </c>
      <c r="G11400" s="51"/>
      <c r="H11400" s="46" t="str">
        <f>IF(AND(I.Developer.P2b=TRUE,I.Facility.P2bFacilityCount&gt;=1388,F11400=""),"Incomplete","Complete")</f>
        <v>Complete</v>
      </c>
      <c r="I11400" s="48" t="s">
        <v>15765</v>
      </c>
    </row>
    <row r="11401" spans="2:9" ht="15" customHeight="1" x14ac:dyDescent="0.25">
      <c r="B11401" s="55" t="s">
        <v>281</v>
      </c>
      <c r="C11401" s="46">
        <v>1389</v>
      </c>
      <c r="D11401" s="69" t="s">
        <v>29418</v>
      </c>
      <c r="E11401" s="51"/>
      <c r="F11401" s="114" t="str">
        <f>IF(INDEX(I.Facility.P2bIDNumber,1389)="","",INDEX(I.Facility.P2bIDNumber,1389))</f>
        <v/>
      </c>
      <c r="G11401" s="51"/>
      <c r="H11401" s="46" t="str">
        <f>IF(AND(I.Developer.P2b=TRUE,I.Facility.P2bFacilityCount&gt;=1389,F11401=""),"Incomplete","Complete")</f>
        <v>Complete</v>
      </c>
      <c r="I11401" s="48" t="s">
        <v>15766</v>
      </c>
    </row>
    <row r="11402" spans="2:9" ht="15" customHeight="1" x14ac:dyDescent="0.25">
      <c r="B11402" s="55" t="s">
        <v>281</v>
      </c>
      <c r="C11402" s="46">
        <v>1390</v>
      </c>
      <c r="D11402" s="69" t="s">
        <v>29418</v>
      </c>
      <c r="E11402" s="51"/>
      <c r="F11402" s="114" t="str">
        <f>IF(INDEX(I.Facility.P2bIDNumber,1390)="","",INDEX(I.Facility.P2bIDNumber,1390))</f>
        <v/>
      </c>
      <c r="G11402" s="51"/>
      <c r="H11402" s="46" t="str">
        <f>IF(AND(I.Developer.P2b=TRUE,I.Facility.P2bFacilityCount&gt;=1390,F11402=""),"Incomplete","Complete")</f>
        <v>Complete</v>
      </c>
      <c r="I11402" s="48" t="s">
        <v>15767</v>
      </c>
    </row>
    <row r="11403" spans="2:9" ht="15" customHeight="1" x14ac:dyDescent="0.25">
      <c r="B11403" s="55" t="s">
        <v>281</v>
      </c>
      <c r="C11403" s="46">
        <v>1391</v>
      </c>
      <c r="D11403" s="69" t="s">
        <v>29418</v>
      </c>
      <c r="E11403" s="51"/>
      <c r="F11403" s="114" t="str">
        <f>IF(INDEX(I.Facility.P2bIDNumber,1391)="","",INDEX(I.Facility.P2bIDNumber,1391))</f>
        <v/>
      </c>
      <c r="G11403" s="51"/>
      <c r="H11403" s="46" t="str">
        <f>IF(AND(I.Developer.P2b=TRUE,I.Facility.P2bFacilityCount&gt;=1391,F11403=""),"Incomplete","Complete")</f>
        <v>Complete</v>
      </c>
      <c r="I11403" s="48" t="s">
        <v>15768</v>
      </c>
    </row>
    <row r="11404" spans="2:9" ht="15" customHeight="1" x14ac:dyDescent="0.25">
      <c r="B11404" s="55" t="s">
        <v>281</v>
      </c>
      <c r="C11404" s="46">
        <v>1392</v>
      </c>
      <c r="D11404" s="69" t="s">
        <v>29418</v>
      </c>
      <c r="E11404" s="51"/>
      <c r="F11404" s="114" t="str">
        <f>IF(INDEX(I.Facility.P2bIDNumber,1392)="","",INDEX(I.Facility.P2bIDNumber,1392))</f>
        <v/>
      </c>
      <c r="G11404" s="51"/>
      <c r="H11404" s="46" t="str">
        <f>IF(AND(I.Developer.P2b=TRUE,I.Facility.P2bFacilityCount&gt;=1392,F11404=""),"Incomplete","Complete")</f>
        <v>Complete</v>
      </c>
      <c r="I11404" s="48" t="s">
        <v>15769</v>
      </c>
    </row>
    <row r="11405" spans="2:9" ht="15" customHeight="1" x14ac:dyDescent="0.25">
      <c r="B11405" s="55" t="s">
        <v>281</v>
      </c>
      <c r="C11405" s="46">
        <v>1393</v>
      </c>
      <c r="D11405" s="69" t="s">
        <v>29418</v>
      </c>
      <c r="E11405" s="51"/>
      <c r="F11405" s="114" t="str">
        <f>IF(INDEX(I.Facility.P2bIDNumber,1393)="","",INDEX(I.Facility.P2bIDNumber,1393))</f>
        <v/>
      </c>
      <c r="G11405" s="51"/>
      <c r="H11405" s="46" t="str">
        <f>IF(AND(I.Developer.P2b=TRUE,I.Facility.P2bFacilityCount&gt;=1393,F11405=""),"Incomplete","Complete")</f>
        <v>Complete</v>
      </c>
      <c r="I11405" s="48" t="s">
        <v>15770</v>
      </c>
    </row>
    <row r="11406" spans="2:9" ht="15" customHeight="1" x14ac:dyDescent="0.25">
      <c r="B11406" s="55" t="s">
        <v>281</v>
      </c>
      <c r="C11406" s="46">
        <v>1394</v>
      </c>
      <c r="D11406" s="69" t="s">
        <v>29418</v>
      </c>
      <c r="E11406" s="51"/>
      <c r="F11406" s="114" t="str">
        <f>IF(INDEX(I.Facility.P2bIDNumber,1394)="","",INDEX(I.Facility.P2bIDNumber,1394))</f>
        <v/>
      </c>
      <c r="G11406" s="51"/>
      <c r="H11406" s="46" t="str">
        <f>IF(AND(I.Developer.P2b=TRUE,I.Facility.P2bFacilityCount&gt;=1394,F11406=""),"Incomplete","Complete")</f>
        <v>Complete</v>
      </c>
      <c r="I11406" s="48" t="s">
        <v>15771</v>
      </c>
    </row>
    <row r="11407" spans="2:9" ht="15" customHeight="1" x14ac:dyDescent="0.25">
      <c r="B11407" s="55" t="s">
        <v>281</v>
      </c>
      <c r="C11407" s="46">
        <v>1395</v>
      </c>
      <c r="D11407" s="69" t="s">
        <v>29418</v>
      </c>
      <c r="E11407" s="51"/>
      <c r="F11407" s="114" t="str">
        <f>IF(INDEX(I.Facility.P2bIDNumber,1395)="","",INDEX(I.Facility.P2bIDNumber,1395))</f>
        <v/>
      </c>
      <c r="G11407" s="51"/>
      <c r="H11407" s="46" t="str">
        <f>IF(AND(I.Developer.P2b=TRUE,I.Facility.P2bFacilityCount&gt;=1395,F11407=""),"Incomplete","Complete")</f>
        <v>Complete</v>
      </c>
      <c r="I11407" s="48" t="s">
        <v>15772</v>
      </c>
    </row>
    <row r="11408" spans="2:9" ht="15" customHeight="1" x14ac:dyDescent="0.25">
      <c r="B11408" s="55" t="s">
        <v>281</v>
      </c>
      <c r="C11408" s="46">
        <v>1396</v>
      </c>
      <c r="D11408" s="69" t="s">
        <v>29418</v>
      </c>
      <c r="E11408" s="51"/>
      <c r="F11408" s="114" t="str">
        <f>IF(INDEX(I.Facility.P2bIDNumber,1396)="","",INDEX(I.Facility.P2bIDNumber,1396))</f>
        <v/>
      </c>
      <c r="G11408" s="51"/>
      <c r="H11408" s="46" t="str">
        <f>IF(AND(I.Developer.P2b=TRUE,I.Facility.P2bFacilityCount&gt;=1396,F11408=""),"Incomplete","Complete")</f>
        <v>Complete</v>
      </c>
      <c r="I11408" s="48" t="s">
        <v>15773</v>
      </c>
    </row>
    <row r="11409" spans="2:9" ht="15" customHeight="1" x14ac:dyDescent="0.25">
      <c r="B11409" s="55" t="s">
        <v>281</v>
      </c>
      <c r="C11409" s="46">
        <v>1397</v>
      </c>
      <c r="D11409" s="69" t="s">
        <v>29418</v>
      </c>
      <c r="E11409" s="51"/>
      <c r="F11409" s="114" t="str">
        <f>IF(INDEX(I.Facility.P2bIDNumber,1397)="","",INDEX(I.Facility.P2bIDNumber,1397))</f>
        <v/>
      </c>
      <c r="G11409" s="51"/>
      <c r="H11409" s="46" t="str">
        <f>IF(AND(I.Developer.P2b=TRUE,I.Facility.P2bFacilityCount&gt;=1397,F11409=""),"Incomplete","Complete")</f>
        <v>Complete</v>
      </c>
      <c r="I11409" s="48" t="s">
        <v>15774</v>
      </c>
    </row>
    <row r="11410" spans="2:9" ht="15" customHeight="1" x14ac:dyDescent="0.25">
      <c r="B11410" s="55" t="s">
        <v>281</v>
      </c>
      <c r="C11410" s="46">
        <v>1398</v>
      </c>
      <c r="D11410" s="69" t="s">
        <v>29418</v>
      </c>
      <c r="E11410" s="51"/>
      <c r="F11410" s="114" t="str">
        <f>IF(INDEX(I.Facility.P2bIDNumber,1398)="","",INDEX(I.Facility.P2bIDNumber,1398))</f>
        <v/>
      </c>
      <c r="G11410" s="51"/>
      <c r="H11410" s="46" t="str">
        <f>IF(AND(I.Developer.P2b=TRUE,I.Facility.P2bFacilityCount&gt;=1398,F11410=""),"Incomplete","Complete")</f>
        <v>Complete</v>
      </c>
      <c r="I11410" s="48" t="s">
        <v>15775</v>
      </c>
    </row>
    <row r="11411" spans="2:9" ht="15" customHeight="1" x14ac:dyDescent="0.25">
      <c r="B11411" s="55" t="s">
        <v>281</v>
      </c>
      <c r="C11411" s="46">
        <v>1399</v>
      </c>
      <c r="D11411" s="69" t="s">
        <v>29418</v>
      </c>
      <c r="E11411" s="51"/>
      <c r="F11411" s="114" t="str">
        <f>IF(INDEX(I.Facility.P2bIDNumber,1399)="","",INDEX(I.Facility.P2bIDNumber,1399))</f>
        <v/>
      </c>
      <c r="G11411" s="51"/>
      <c r="H11411" s="46" t="str">
        <f>IF(AND(I.Developer.P2b=TRUE,I.Facility.P2bFacilityCount&gt;=1399,F11411=""),"Incomplete","Complete")</f>
        <v>Complete</v>
      </c>
      <c r="I11411" s="48" t="s">
        <v>15776</v>
      </c>
    </row>
    <row r="11412" spans="2:9" ht="15" customHeight="1" x14ac:dyDescent="0.25">
      <c r="B11412" s="55" t="s">
        <v>281</v>
      </c>
      <c r="C11412" s="46">
        <v>1400</v>
      </c>
      <c r="D11412" s="69" t="s">
        <v>29418</v>
      </c>
      <c r="E11412" s="51"/>
      <c r="F11412" s="114" t="str">
        <f>IF(INDEX(I.Facility.P2bIDNumber,1400)="","",INDEX(I.Facility.P2bIDNumber,1400))</f>
        <v/>
      </c>
      <c r="G11412" s="51"/>
      <c r="H11412" s="46" t="str">
        <f>IF(AND(I.Developer.P2b=TRUE,I.Facility.P2bFacilityCount&gt;=1400,F11412=""),"Incomplete","Complete")</f>
        <v>Complete</v>
      </c>
      <c r="I11412" s="48" t="s">
        <v>15777</v>
      </c>
    </row>
    <row r="11413" spans="2:9" ht="15" customHeight="1" x14ac:dyDescent="0.25">
      <c r="B11413" s="55" t="s">
        <v>281</v>
      </c>
      <c r="C11413" s="46">
        <v>1401</v>
      </c>
      <c r="D11413" s="69" t="s">
        <v>29418</v>
      </c>
      <c r="E11413" s="51"/>
      <c r="F11413" s="114" t="str">
        <f>IF(INDEX(I.Facility.P2bIDNumber,1401)="","",INDEX(I.Facility.P2bIDNumber,1401))</f>
        <v/>
      </c>
      <c r="G11413" s="51"/>
      <c r="H11413" s="46" t="str">
        <f>IF(AND(I.Developer.P2b=TRUE,I.Facility.P2bFacilityCount&gt;=1401,F11413=""),"Incomplete","Complete")</f>
        <v>Complete</v>
      </c>
      <c r="I11413" s="48" t="s">
        <v>15778</v>
      </c>
    </row>
    <row r="11414" spans="2:9" ht="15" customHeight="1" x14ac:dyDescent="0.25">
      <c r="B11414" s="55" t="s">
        <v>281</v>
      </c>
      <c r="C11414" s="46">
        <v>1402</v>
      </c>
      <c r="D11414" s="69" t="s">
        <v>29418</v>
      </c>
      <c r="E11414" s="51"/>
      <c r="F11414" s="114" t="str">
        <f>IF(INDEX(I.Facility.P2bIDNumber,1402)="","",INDEX(I.Facility.P2bIDNumber,1402))</f>
        <v/>
      </c>
      <c r="G11414" s="51"/>
      <c r="H11414" s="46" t="str">
        <f>IF(AND(I.Developer.P2b=TRUE,I.Facility.P2bFacilityCount&gt;=1402,F11414=""),"Incomplete","Complete")</f>
        <v>Complete</v>
      </c>
      <c r="I11414" s="48" t="s">
        <v>15779</v>
      </c>
    </row>
    <row r="11415" spans="2:9" ht="15" customHeight="1" x14ac:dyDescent="0.25">
      <c r="B11415" s="55" t="s">
        <v>281</v>
      </c>
      <c r="C11415" s="46">
        <v>1403</v>
      </c>
      <c r="D11415" s="69" t="s">
        <v>29418</v>
      </c>
      <c r="E11415" s="51"/>
      <c r="F11415" s="114" t="str">
        <f>IF(INDEX(I.Facility.P2bIDNumber,1403)="","",INDEX(I.Facility.P2bIDNumber,1403))</f>
        <v/>
      </c>
      <c r="G11415" s="51"/>
      <c r="H11415" s="46" t="str">
        <f>IF(AND(I.Developer.P2b=TRUE,I.Facility.P2bFacilityCount&gt;=1403,F11415=""),"Incomplete","Complete")</f>
        <v>Complete</v>
      </c>
      <c r="I11415" s="48" t="s">
        <v>15780</v>
      </c>
    </row>
    <row r="11416" spans="2:9" ht="15" customHeight="1" x14ac:dyDescent="0.25">
      <c r="B11416" s="55" t="s">
        <v>281</v>
      </c>
      <c r="C11416" s="46">
        <v>1404</v>
      </c>
      <c r="D11416" s="69" t="s">
        <v>29418</v>
      </c>
      <c r="E11416" s="51"/>
      <c r="F11416" s="114" t="str">
        <f>IF(INDEX(I.Facility.P2bIDNumber,1404)="","",INDEX(I.Facility.P2bIDNumber,1404))</f>
        <v/>
      </c>
      <c r="G11416" s="51"/>
      <c r="H11416" s="46" t="str">
        <f>IF(AND(I.Developer.P2b=TRUE,I.Facility.P2bFacilityCount&gt;=1404,F11416=""),"Incomplete","Complete")</f>
        <v>Complete</v>
      </c>
      <c r="I11416" s="48" t="s">
        <v>15781</v>
      </c>
    </row>
    <row r="11417" spans="2:9" ht="15" customHeight="1" x14ac:dyDescent="0.25">
      <c r="B11417" s="55" t="s">
        <v>281</v>
      </c>
      <c r="C11417" s="46">
        <v>1405</v>
      </c>
      <c r="D11417" s="69" t="s">
        <v>29418</v>
      </c>
      <c r="E11417" s="51"/>
      <c r="F11417" s="114" t="str">
        <f>IF(INDEX(I.Facility.P2bIDNumber,1405)="","",INDEX(I.Facility.P2bIDNumber,1405))</f>
        <v/>
      </c>
      <c r="G11417" s="51"/>
      <c r="H11417" s="46" t="str">
        <f>IF(AND(I.Developer.P2b=TRUE,I.Facility.P2bFacilityCount&gt;=1405,F11417=""),"Incomplete","Complete")</f>
        <v>Complete</v>
      </c>
      <c r="I11417" s="48" t="s">
        <v>15782</v>
      </c>
    </row>
    <row r="11418" spans="2:9" ht="15" customHeight="1" x14ac:dyDescent="0.25">
      <c r="B11418" s="55" t="s">
        <v>281</v>
      </c>
      <c r="C11418" s="46">
        <v>1406</v>
      </c>
      <c r="D11418" s="69" t="s">
        <v>29418</v>
      </c>
      <c r="E11418" s="51"/>
      <c r="F11418" s="114" t="str">
        <f>IF(INDEX(I.Facility.P2bIDNumber,1406)="","",INDEX(I.Facility.P2bIDNumber,1406))</f>
        <v/>
      </c>
      <c r="G11418" s="51"/>
      <c r="H11418" s="46" t="str">
        <f>IF(AND(I.Developer.P2b=TRUE,I.Facility.P2bFacilityCount&gt;=1406,F11418=""),"Incomplete","Complete")</f>
        <v>Complete</v>
      </c>
      <c r="I11418" s="48" t="s">
        <v>15783</v>
      </c>
    </row>
    <row r="11419" spans="2:9" ht="15" customHeight="1" x14ac:dyDescent="0.25">
      <c r="B11419" s="55" t="s">
        <v>281</v>
      </c>
      <c r="C11419" s="46">
        <v>1407</v>
      </c>
      <c r="D11419" s="69" t="s">
        <v>29418</v>
      </c>
      <c r="E11419" s="51"/>
      <c r="F11419" s="114" t="str">
        <f>IF(INDEX(I.Facility.P2bIDNumber,1407)="","",INDEX(I.Facility.P2bIDNumber,1407))</f>
        <v/>
      </c>
      <c r="G11419" s="51"/>
      <c r="H11419" s="46" t="str">
        <f>IF(AND(I.Developer.P2b=TRUE,I.Facility.P2bFacilityCount&gt;=1407,F11419=""),"Incomplete","Complete")</f>
        <v>Complete</v>
      </c>
      <c r="I11419" s="48" t="s">
        <v>15784</v>
      </c>
    </row>
    <row r="11420" spans="2:9" ht="15" customHeight="1" x14ac:dyDescent="0.25">
      <c r="B11420" s="55" t="s">
        <v>281</v>
      </c>
      <c r="C11420" s="46">
        <v>1408</v>
      </c>
      <c r="D11420" s="69" t="s">
        <v>29418</v>
      </c>
      <c r="E11420" s="51"/>
      <c r="F11420" s="114" t="str">
        <f>IF(INDEX(I.Facility.P2bIDNumber,1408)="","",INDEX(I.Facility.P2bIDNumber,1408))</f>
        <v/>
      </c>
      <c r="G11420" s="51"/>
      <c r="H11420" s="46" t="str">
        <f>IF(AND(I.Developer.P2b=TRUE,I.Facility.P2bFacilityCount&gt;=1408,F11420=""),"Incomplete","Complete")</f>
        <v>Complete</v>
      </c>
      <c r="I11420" s="48" t="s">
        <v>15785</v>
      </c>
    </row>
    <row r="11421" spans="2:9" ht="15" customHeight="1" x14ac:dyDescent="0.25">
      <c r="B11421" s="55" t="s">
        <v>281</v>
      </c>
      <c r="C11421" s="46">
        <v>1409</v>
      </c>
      <c r="D11421" s="69" t="s">
        <v>29418</v>
      </c>
      <c r="E11421" s="51"/>
      <c r="F11421" s="114" t="str">
        <f>IF(INDEX(I.Facility.P2bIDNumber,1409)="","",INDEX(I.Facility.P2bIDNumber,1409))</f>
        <v/>
      </c>
      <c r="G11421" s="51"/>
      <c r="H11421" s="46" t="str">
        <f>IF(AND(I.Developer.P2b=TRUE,I.Facility.P2bFacilityCount&gt;=1409,F11421=""),"Incomplete","Complete")</f>
        <v>Complete</v>
      </c>
      <c r="I11421" s="48" t="s">
        <v>15786</v>
      </c>
    </row>
    <row r="11422" spans="2:9" ht="15" customHeight="1" x14ac:dyDescent="0.25">
      <c r="B11422" s="55" t="s">
        <v>281</v>
      </c>
      <c r="C11422" s="46">
        <v>1410</v>
      </c>
      <c r="D11422" s="69" t="s">
        <v>29418</v>
      </c>
      <c r="E11422" s="51"/>
      <c r="F11422" s="114" t="str">
        <f>IF(INDEX(I.Facility.P2bIDNumber,1410)="","",INDEX(I.Facility.P2bIDNumber,1410))</f>
        <v/>
      </c>
      <c r="G11422" s="51"/>
      <c r="H11422" s="46" t="str">
        <f>IF(AND(I.Developer.P2b=TRUE,I.Facility.P2bFacilityCount&gt;=1410,F11422=""),"Incomplete","Complete")</f>
        <v>Complete</v>
      </c>
      <c r="I11422" s="48" t="s">
        <v>15787</v>
      </c>
    </row>
    <row r="11423" spans="2:9" ht="15" customHeight="1" x14ac:dyDescent="0.25">
      <c r="B11423" s="55" t="s">
        <v>281</v>
      </c>
      <c r="C11423" s="46">
        <v>1411</v>
      </c>
      <c r="D11423" s="69" t="s">
        <v>29418</v>
      </c>
      <c r="E11423" s="51"/>
      <c r="F11423" s="114" t="str">
        <f>IF(INDEX(I.Facility.P2bIDNumber,1411)="","",INDEX(I.Facility.P2bIDNumber,1411))</f>
        <v/>
      </c>
      <c r="G11423" s="51"/>
      <c r="H11423" s="46" t="str">
        <f>IF(AND(I.Developer.P2b=TRUE,I.Facility.P2bFacilityCount&gt;=1411,F11423=""),"Incomplete","Complete")</f>
        <v>Complete</v>
      </c>
      <c r="I11423" s="48" t="s">
        <v>15788</v>
      </c>
    </row>
    <row r="11424" spans="2:9" ht="15" customHeight="1" x14ac:dyDescent="0.25">
      <c r="B11424" s="55" t="s">
        <v>281</v>
      </c>
      <c r="C11424" s="46">
        <v>1412</v>
      </c>
      <c r="D11424" s="69" t="s">
        <v>29418</v>
      </c>
      <c r="E11424" s="51"/>
      <c r="F11424" s="114" t="str">
        <f>IF(INDEX(I.Facility.P2bIDNumber,1412)="","",INDEX(I.Facility.P2bIDNumber,1412))</f>
        <v/>
      </c>
      <c r="G11424" s="51"/>
      <c r="H11424" s="46" t="str">
        <f>IF(AND(I.Developer.P2b=TRUE,I.Facility.P2bFacilityCount&gt;=1412,F11424=""),"Incomplete","Complete")</f>
        <v>Complete</v>
      </c>
      <c r="I11424" s="48" t="s">
        <v>15789</v>
      </c>
    </row>
    <row r="11425" spans="2:9" ht="15" customHeight="1" x14ac:dyDescent="0.25">
      <c r="B11425" s="55" t="s">
        <v>281</v>
      </c>
      <c r="C11425" s="46">
        <v>1413</v>
      </c>
      <c r="D11425" s="69" t="s">
        <v>29418</v>
      </c>
      <c r="E11425" s="51"/>
      <c r="F11425" s="114" t="str">
        <f>IF(INDEX(I.Facility.P2bIDNumber,1413)="","",INDEX(I.Facility.P2bIDNumber,1413))</f>
        <v/>
      </c>
      <c r="G11425" s="51"/>
      <c r="H11425" s="46" t="str">
        <f>IF(AND(I.Developer.P2b=TRUE,I.Facility.P2bFacilityCount&gt;=1413,F11425=""),"Incomplete","Complete")</f>
        <v>Complete</v>
      </c>
      <c r="I11425" s="48" t="s">
        <v>15790</v>
      </c>
    </row>
    <row r="11426" spans="2:9" ht="15" customHeight="1" x14ac:dyDescent="0.25">
      <c r="B11426" s="55" t="s">
        <v>281</v>
      </c>
      <c r="C11426" s="46">
        <v>1414</v>
      </c>
      <c r="D11426" s="69" t="s">
        <v>29418</v>
      </c>
      <c r="E11426" s="51"/>
      <c r="F11426" s="114" t="str">
        <f>IF(INDEX(I.Facility.P2bIDNumber,1414)="","",INDEX(I.Facility.P2bIDNumber,1414))</f>
        <v/>
      </c>
      <c r="G11426" s="51"/>
      <c r="H11426" s="46" t="str">
        <f>IF(AND(I.Developer.P2b=TRUE,I.Facility.P2bFacilityCount&gt;=1414,F11426=""),"Incomplete","Complete")</f>
        <v>Complete</v>
      </c>
      <c r="I11426" s="48" t="s">
        <v>15791</v>
      </c>
    </row>
    <row r="11427" spans="2:9" ht="15" customHeight="1" x14ac:dyDescent="0.25">
      <c r="B11427" s="55" t="s">
        <v>281</v>
      </c>
      <c r="C11427" s="46">
        <v>1415</v>
      </c>
      <c r="D11427" s="69" t="s">
        <v>29418</v>
      </c>
      <c r="E11427" s="51"/>
      <c r="F11427" s="114" t="str">
        <f>IF(INDEX(I.Facility.P2bIDNumber,1415)="","",INDEX(I.Facility.P2bIDNumber,1415))</f>
        <v/>
      </c>
      <c r="G11427" s="51"/>
      <c r="H11427" s="46" t="str">
        <f>IF(AND(I.Developer.P2b=TRUE,I.Facility.P2bFacilityCount&gt;=1415,F11427=""),"Incomplete","Complete")</f>
        <v>Complete</v>
      </c>
      <c r="I11427" s="48" t="s">
        <v>15792</v>
      </c>
    </row>
    <row r="11428" spans="2:9" ht="15" customHeight="1" x14ac:dyDescent="0.25">
      <c r="B11428" s="55" t="s">
        <v>281</v>
      </c>
      <c r="C11428" s="46">
        <v>1416</v>
      </c>
      <c r="D11428" s="69" t="s">
        <v>29418</v>
      </c>
      <c r="E11428" s="51"/>
      <c r="F11428" s="114" t="str">
        <f>IF(INDEX(I.Facility.P2bIDNumber,1416)="","",INDEX(I.Facility.P2bIDNumber,1416))</f>
        <v/>
      </c>
      <c r="G11428" s="51"/>
      <c r="H11428" s="46" t="str">
        <f>IF(AND(I.Developer.P2b=TRUE,I.Facility.P2bFacilityCount&gt;=1416,F11428=""),"Incomplete","Complete")</f>
        <v>Complete</v>
      </c>
      <c r="I11428" s="48" t="s">
        <v>15793</v>
      </c>
    </row>
    <row r="11429" spans="2:9" ht="15" customHeight="1" x14ac:dyDescent="0.25">
      <c r="B11429" s="55" t="s">
        <v>281</v>
      </c>
      <c r="C11429" s="46">
        <v>1417</v>
      </c>
      <c r="D11429" s="69" t="s">
        <v>29418</v>
      </c>
      <c r="E11429" s="51"/>
      <c r="F11429" s="114" t="str">
        <f>IF(INDEX(I.Facility.P2bIDNumber,1417)="","",INDEX(I.Facility.P2bIDNumber,1417))</f>
        <v/>
      </c>
      <c r="G11429" s="51"/>
      <c r="H11429" s="46" t="str">
        <f>IF(AND(I.Developer.P2b=TRUE,I.Facility.P2bFacilityCount&gt;=1417,F11429=""),"Incomplete","Complete")</f>
        <v>Complete</v>
      </c>
      <c r="I11429" s="48" t="s">
        <v>15794</v>
      </c>
    </row>
    <row r="11430" spans="2:9" ht="15" customHeight="1" x14ac:dyDescent="0.25">
      <c r="B11430" s="55" t="s">
        <v>281</v>
      </c>
      <c r="C11430" s="46">
        <v>1418</v>
      </c>
      <c r="D11430" s="69" t="s">
        <v>29418</v>
      </c>
      <c r="E11430" s="51"/>
      <c r="F11430" s="114" t="str">
        <f>IF(INDEX(I.Facility.P2bIDNumber,1418)="","",INDEX(I.Facility.P2bIDNumber,1418))</f>
        <v/>
      </c>
      <c r="G11430" s="51"/>
      <c r="H11430" s="46" t="str">
        <f>IF(AND(I.Developer.P2b=TRUE,I.Facility.P2bFacilityCount&gt;=1418,F11430=""),"Incomplete","Complete")</f>
        <v>Complete</v>
      </c>
      <c r="I11430" s="48" t="s">
        <v>15795</v>
      </c>
    </row>
    <row r="11431" spans="2:9" ht="15" customHeight="1" x14ac:dyDescent="0.25">
      <c r="B11431" s="55" t="s">
        <v>281</v>
      </c>
      <c r="C11431" s="46">
        <v>1419</v>
      </c>
      <c r="D11431" s="69" t="s">
        <v>29418</v>
      </c>
      <c r="E11431" s="51"/>
      <c r="F11431" s="114" t="str">
        <f>IF(INDEX(I.Facility.P2bIDNumber,1419)="","",INDEX(I.Facility.P2bIDNumber,1419))</f>
        <v/>
      </c>
      <c r="G11431" s="51"/>
      <c r="H11431" s="46" t="str">
        <f>IF(AND(I.Developer.P2b=TRUE,I.Facility.P2bFacilityCount&gt;=1419,F11431=""),"Incomplete","Complete")</f>
        <v>Complete</v>
      </c>
      <c r="I11431" s="48" t="s">
        <v>15796</v>
      </c>
    </row>
    <row r="11432" spans="2:9" ht="15" customHeight="1" x14ac:dyDescent="0.25">
      <c r="B11432" s="55" t="s">
        <v>281</v>
      </c>
      <c r="C11432" s="46">
        <v>1420</v>
      </c>
      <c r="D11432" s="69" t="s">
        <v>29418</v>
      </c>
      <c r="E11432" s="51"/>
      <c r="F11432" s="114" t="str">
        <f>IF(INDEX(I.Facility.P2bIDNumber,1420)="","",INDEX(I.Facility.P2bIDNumber,1420))</f>
        <v/>
      </c>
      <c r="G11432" s="51"/>
      <c r="H11432" s="46" t="str">
        <f>IF(AND(I.Developer.P2b=TRUE,I.Facility.P2bFacilityCount&gt;=1420,F11432=""),"Incomplete","Complete")</f>
        <v>Complete</v>
      </c>
      <c r="I11432" s="48" t="s">
        <v>15797</v>
      </c>
    </row>
    <row r="11433" spans="2:9" ht="15" customHeight="1" x14ac:dyDescent="0.25">
      <c r="B11433" s="55" t="s">
        <v>281</v>
      </c>
      <c r="C11433" s="46">
        <v>1421</v>
      </c>
      <c r="D11433" s="69" t="s">
        <v>29418</v>
      </c>
      <c r="E11433" s="51"/>
      <c r="F11433" s="114" t="str">
        <f>IF(INDEX(I.Facility.P2bIDNumber,1421)="","",INDEX(I.Facility.P2bIDNumber,1421))</f>
        <v/>
      </c>
      <c r="G11433" s="51"/>
      <c r="H11433" s="46" t="str">
        <f>IF(AND(I.Developer.P2b=TRUE,I.Facility.P2bFacilityCount&gt;=1421,F11433=""),"Incomplete","Complete")</f>
        <v>Complete</v>
      </c>
      <c r="I11433" s="48" t="s">
        <v>15798</v>
      </c>
    </row>
    <row r="11434" spans="2:9" ht="15" customHeight="1" x14ac:dyDescent="0.25">
      <c r="B11434" s="55" t="s">
        <v>281</v>
      </c>
      <c r="C11434" s="46">
        <v>1422</v>
      </c>
      <c r="D11434" s="69" t="s">
        <v>29418</v>
      </c>
      <c r="E11434" s="51"/>
      <c r="F11434" s="114" t="str">
        <f>IF(INDEX(I.Facility.P2bIDNumber,1422)="","",INDEX(I.Facility.P2bIDNumber,1422))</f>
        <v/>
      </c>
      <c r="G11434" s="51"/>
      <c r="H11434" s="46" t="str">
        <f>IF(AND(I.Developer.P2b=TRUE,I.Facility.P2bFacilityCount&gt;=1422,F11434=""),"Incomplete","Complete")</f>
        <v>Complete</v>
      </c>
      <c r="I11434" s="48" t="s">
        <v>15799</v>
      </c>
    </row>
    <row r="11435" spans="2:9" ht="15" customHeight="1" x14ac:dyDescent="0.25">
      <c r="B11435" s="55" t="s">
        <v>281</v>
      </c>
      <c r="C11435" s="46">
        <v>1423</v>
      </c>
      <c r="D11435" s="69" t="s">
        <v>29418</v>
      </c>
      <c r="E11435" s="51"/>
      <c r="F11435" s="114" t="str">
        <f>IF(INDEX(I.Facility.P2bIDNumber,1423)="","",INDEX(I.Facility.P2bIDNumber,1423))</f>
        <v/>
      </c>
      <c r="G11435" s="51"/>
      <c r="H11435" s="46" t="str">
        <f>IF(AND(I.Developer.P2b=TRUE,I.Facility.P2bFacilityCount&gt;=1423,F11435=""),"Incomplete","Complete")</f>
        <v>Complete</v>
      </c>
      <c r="I11435" s="48" t="s">
        <v>15800</v>
      </c>
    </row>
    <row r="11436" spans="2:9" ht="15" customHeight="1" x14ac:dyDescent="0.25">
      <c r="B11436" s="55" t="s">
        <v>281</v>
      </c>
      <c r="C11436" s="46">
        <v>1424</v>
      </c>
      <c r="D11436" s="69" t="s">
        <v>29418</v>
      </c>
      <c r="E11436" s="51"/>
      <c r="F11436" s="114" t="str">
        <f>IF(INDEX(I.Facility.P2bIDNumber,1424)="","",INDEX(I.Facility.P2bIDNumber,1424))</f>
        <v/>
      </c>
      <c r="G11436" s="51"/>
      <c r="H11436" s="46" t="str">
        <f>IF(AND(I.Developer.P2b=TRUE,I.Facility.P2bFacilityCount&gt;=1424,F11436=""),"Incomplete","Complete")</f>
        <v>Complete</v>
      </c>
      <c r="I11436" s="48" t="s">
        <v>15801</v>
      </c>
    </row>
    <row r="11437" spans="2:9" ht="15" customHeight="1" x14ac:dyDescent="0.25">
      <c r="B11437" s="55" t="s">
        <v>281</v>
      </c>
      <c r="C11437" s="46">
        <v>1425</v>
      </c>
      <c r="D11437" s="69" t="s">
        <v>29418</v>
      </c>
      <c r="E11437" s="51"/>
      <c r="F11437" s="114" t="str">
        <f>IF(INDEX(I.Facility.P2bIDNumber,1425)="","",INDEX(I.Facility.P2bIDNumber,1425))</f>
        <v/>
      </c>
      <c r="G11437" s="51"/>
      <c r="H11437" s="46" t="str">
        <f>IF(AND(I.Developer.P2b=TRUE,I.Facility.P2bFacilityCount&gt;=1425,F11437=""),"Incomplete","Complete")</f>
        <v>Complete</v>
      </c>
      <c r="I11437" s="48" t="s">
        <v>15802</v>
      </c>
    </row>
    <row r="11438" spans="2:9" ht="15" customHeight="1" x14ac:dyDescent="0.25">
      <c r="B11438" s="55" t="s">
        <v>281</v>
      </c>
      <c r="C11438" s="46">
        <v>1426</v>
      </c>
      <c r="D11438" s="69" t="s">
        <v>29418</v>
      </c>
      <c r="E11438" s="51"/>
      <c r="F11438" s="114" t="str">
        <f>IF(INDEX(I.Facility.P2bIDNumber,1426)="","",INDEX(I.Facility.P2bIDNumber,1426))</f>
        <v/>
      </c>
      <c r="G11438" s="51"/>
      <c r="H11438" s="46" t="str">
        <f>IF(AND(I.Developer.P2b=TRUE,I.Facility.P2bFacilityCount&gt;=1426,F11438=""),"Incomplete","Complete")</f>
        <v>Complete</v>
      </c>
      <c r="I11438" s="48" t="s">
        <v>15803</v>
      </c>
    </row>
    <row r="11439" spans="2:9" ht="15" customHeight="1" x14ac:dyDescent="0.25">
      <c r="B11439" s="55" t="s">
        <v>281</v>
      </c>
      <c r="C11439" s="46">
        <v>1427</v>
      </c>
      <c r="D11439" s="69" t="s">
        <v>29418</v>
      </c>
      <c r="E11439" s="51"/>
      <c r="F11439" s="114" t="str">
        <f>IF(INDEX(I.Facility.P2bIDNumber,1427)="","",INDEX(I.Facility.P2bIDNumber,1427))</f>
        <v/>
      </c>
      <c r="G11439" s="51"/>
      <c r="H11439" s="46" t="str">
        <f>IF(AND(I.Developer.P2b=TRUE,I.Facility.P2bFacilityCount&gt;=1427,F11439=""),"Incomplete","Complete")</f>
        <v>Complete</v>
      </c>
      <c r="I11439" s="48" t="s">
        <v>15804</v>
      </c>
    </row>
    <row r="11440" spans="2:9" ht="15" customHeight="1" x14ac:dyDescent="0.25">
      <c r="B11440" s="55" t="s">
        <v>281</v>
      </c>
      <c r="C11440" s="46">
        <v>1428</v>
      </c>
      <c r="D11440" s="69" t="s">
        <v>29418</v>
      </c>
      <c r="E11440" s="51"/>
      <c r="F11440" s="114" t="str">
        <f>IF(INDEX(I.Facility.P2bIDNumber,1428)="","",INDEX(I.Facility.P2bIDNumber,1428))</f>
        <v/>
      </c>
      <c r="G11440" s="51"/>
      <c r="H11440" s="46" t="str">
        <f>IF(AND(I.Developer.P2b=TRUE,I.Facility.P2bFacilityCount&gt;=1428,F11440=""),"Incomplete","Complete")</f>
        <v>Complete</v>
      </c>
      <c r="I11440" s="48" t="s">
        <v>15805</v>
      </c>
    </row>
    <row r="11441" spans="2:9" ht="15" customHeight="1" x14ac:dyDescent="0.25">
      <c r="B11441" s="55" t="s">
        <v>281</v>
      </c>
      <c r="C11441" s="46">
        <v>1429</v>
      </c>
      <c r="D11441" s="69" t="s">
        <v>29418</v>
      </c>
      <c r="E11441" s="51"/>
      <c r="F11441" s="114" t="str">
        <f>IF(INDEX(I.Facility.P2bIDNumber,1429)="","",INDEX(I.Facility.P2bIDNumber,1429))</f>
        <v/>
      </c>
      <c r="G11441" s="51"/>
      <c r="H11441" s="46" t="str">
        <f>IF(AND(I.Developer.P2b=TRUE,I.Facility.P2bFacilityCount&gt;=1429,F11441=""),"Incomplete","Complete")</f>
        <v>Complete</v>
      </c>
      <c r="I11441" s="48" t="s">
        <v>15806</v>
      </c>
    </row>
    <row r="11442" spans="2:9" ht="15" customHeight="1" x14ac:dyDescent="0.25">
      <c r="B11442" s="55" t="s">
        <v>281</v>
      </c>
      <c r="C11442" s="46">
        <v>1430</v>
      </c>
      <c r="D11442" s="69" t="s">
        <v>29418</v>
      </c>
      <c r="E11442" s="51"/>
      <c r="F11442" s="114" t="str">
        <f>IF(INDEX(I.Facility.P2bIDNumber,1430)="","",INDEX(I.Facility.P2bIDNumber,1430))</f>
        <v/>
      </c>
      <c r="G11442" s="51"/>
      <c r="H11442" s="46" t="str">
        <f>IF(AND(I.Developer.P2b=TRUE,I.Facility.P2bFacilityCount&gt;=1430,F11442=""),"Incomplete","Complete")</f>
        <v>Complete</v>
      </c>
      <c r="I11442" s="48" t="s">
        <v>15807</v>
      </c>
    </row>
    <row r="11443" spans="2:9" ht="15" customHeight="1" x14ac:dyDescent="0.25">
      <c r="B11443" s="55" t="s">
        <v>281</v>
      </c>
      <c r="C11443" s="46">
        <v>1431</v>
      </c>
      <c r="D11443" s="69" t="s">
        <v>29418</v>
      </c>
      <c r="E11443" s="51"/>
      <c r="F11443" s="114" t="str">
        <f>IF(INDEX(I.Facility.P2bIDNumber,1431)="","",INDEX(I.Facility.P2bIDNumber,1431))</f>
        <v/>
      </c>
      <c r="G11443" s="51"/>
      <c r="H11443" s="46" t="str">
        <f>IF(AND(I.Developer.P2b=TRUE,I.Facility.P2bFacilityCount&gt;=1431,F11443=""),"Incomplete","Complete")</f>
        <v>Complete</v>
      </c>
      <c r="I11443" s="48" t="s">
        <v>15808</v>
      </c>
    </row>
    <row r="11444" spans="2:9" ht="15" customHeight="1" x14ac:dyDescent="0.25">
      <c r="B11444" s="55" t="s">
        <v>281</v>
      </c>
      <c r="C11444" s="46">
        <v>1432</v>
      </c>
      <c r="D11444" s="69" t="s">
        <v>29418</v>
      </c>
      <c r="E11444" s="51"/>
      <c r="F11444" s="114" t="str">
        <f>IF(INDEX(I.Facility.P2bIDNumber,1432)="","",INDEX(I.Facility.P2bIDNumber,1432))</f>
        <v/>
      </c>
      <c r="G11444" s="51"/>
      <c r="H11444" s="46" t="str">
        <f>IF(AND(I.Developer.P2b=TRUE,I.Facility.P2bFacilityCount&gt;=1432,F11444=""),"Incomplete","Complete")</f>
        <v>Complete</v>
      </c>
      <c r="I11444" s="48" t="s">
        <v>15809</v>
      </c>
    </row>
    <row r="11445" spans="2:9" ht="15" customHeight="1" x14ac:dyDescent="0.25">
      <c r="B11445" s="55" t="s">
        <v>281</v>
      </c>
      <c r="C11445" s="46">
        <v>1433</v>
      </c>
      <c r="D11445" s="69" t="s">
        <v>29418</v>
      </c>
      <c r="E11445" s="51"/>
      <c r="F11445" s="114" t="str">
        <f>IF(INDEX(I.Facility.P2bIDNumber,1433)="","",INDEX(I.Facility.P2bIDNumber,1433))</f>
        <v/>
      </c>
      <c r="G11445" s="51"/>
      <c r="H11445" s="46" t="str">
        <f>IF(AND(I.Developer.P2b=TRUE,I.Facility.P2bFacilityCount&gt;=1433,F11445=""),"Incomplete","Complete")</f>
        <v>Complete</v>
      </c>
      <c r="I11445" s="48" t="s">
        <v>15810</v>
      </c>
    </row>
    <row r="11446" spans="2:9" ht="15" customHeight="1" x14ac:dyDescent="0.25">
      <c r="B11446" s="55" t="s">
        <v>281</v>
      </c>
      <c r="C11446" s="46">
        <v>1434</v>
      </c>
      <c r="D11446" s="69" t="s">
        <v>29418</v>
      </c>
      <c r="E11446" s="51"/>
      <c r="F11446" s="114" t="str">
        <f>IF(INDEX(I.Facility.P2bIDNumber,1434)="","",INDEX(I.Facility.P2bIDNumber,1434))</f>
        <v/>
      </c>
      <c r="G11446" s="51"/>
      <c r="H11446" s="46" t="str">
        <f>IF(AND(I.Developer.P2b=TRUE,I.Facility.P2bFacilityCount&gt;=1434,F11446=""),"Incomplete","Complete")</f>
        <v>Complete</v>
      </c>
      <c r="I11446" s="48" t="s">
        <v>15811</v>
      </c>
    </row>
    <row r="11447" spans="2:9" ht="15" customHeight="1" x14ac:dyDescent="0.25">
      <c r="B11447" s="55" t="s">
        <v>281</v>
      </c>
      <c r="C11447" s="46">
        <v>1435</v>
      </c>
      <c r="D11447" s="69" t="s">
        <v>29418</v>
      </c>
      <c r="E11447" s="51"/>
      <c r="F11447" s="114" t="str">
        <f>IF(INDEX(I.Facility.P2bIDNumber,1435)="","",INDEX(I.Facility.P2bIDNumber,1435))</f>
        <v/>
      </c>
      <c r="G11447" s="51"/>
      <c r="H11447" s="46" t="str">
        <f>IF(AND(I.Developer.P2b=TRUE,I.Facility.P2bFacilityCount&gt;=1435,F11447=""),"Incomplete","Complete")</f>
        <v>Complete</v>
      </c>
      <c r="I11447" s="48" t="s">
        <v>15812</v>
      </c>
    </row>
    <row r="11448" spans="2:9" ht="15" customHeight="1" x14ac:dyDescent="0.25">
      <c r="B11448" s="55" t="s">
        <v>281</v>
      </c>
      <c r="C11448" s="46">
        <v>1436</v>
      </c>
      <c r="D11448" s="69" t="s">
        <v>29418</v>
      </c>
      <c r="E11448" s="51"/>
      <c r="F11448" s="114" t="str">
        <f>IF(INDEX(I.Facility.P2bIDNumber,1436)="","",INDEX(I.Facility.P2bIDNumber,1436))</f>
        <v/>
      </c>
      <c r="G11448" s="51"/>
      <c r="H11448" s="46" t="str">
        <f>IF(AND(I.Developer.P2b=TRUE,I.Facility.P2bFacilityCount&gt;=1436,F11448=""),"Incomplete","Complete")</f>
        <v>Complete</v>
      </c>
      <c r="I11448" s="48" t="s">
        <v>15813</v>
      </c>
    </row>
    <row r="11449" spans="2:9" ht="15" customHeight="1" x14ac:dyDescent="0.25">
      <c r="B11449" s="55" t="s">
        <v>281</v>
      </c>
      <c r="C11449" s="46">
        <v>1437</v>
      </c>
      <c r="D11449" s="69" t="s">
        <v>29418</v>
      </c>
      <c r="E11449" s="51"/>
      <c r="F11449" s="114" t="str">
        <f>IF(INDEX(I.Facility.P2bIDNumber,1437)="","",INDEX(I.Facility.P2bIDNumber,1437))</f>
        <v/>
      </c>
      <c r="G11449" s="51"/>
      <c r="H11449" s="46" t="str">
        <f>IF(AND(I.Developer.P2b=TRUE,I.Facility.P2bFacilityCount&gt;=1437,F11449=""),"Incomplete","Complete")</f>
        <v>Complete</v>
      </c>
      <c r="I11449" s="48" t="s">
        <v>15814</v>
      </c>
    </row>
    <row r="11450" spans="2:9" ht="15" customHeight="1" x14ac:dyDescent="0.25">
      <c r="B11450" s="55" t="s">
        <v>281</v>
      </c>
      <c r="C11450" s="46">
        <v>1438</v>
      </c>
      <c r="D11450" s="69" t="s">
        <v>29418</v>
      </c>
      <c r="E11450" s="51"/>
      <c r="F11450" s="114" t="str">
        <f>IF(INDEX(I.Facility.P2bIDNumber,1438)="","",INDEX(I.Facility.P2bIDNumber,1438))</f>
        <v/>
      </c>
      <c r="G11450" s="51"/>
      <c r="H11450" s="46" t="str">
        <f>IF(AND(I.Developer.P2b=TRUE,I.Facility.P2bFacilityCount&gt;=1438,F11450=""),"Incomplete","Complete")</f>
        <v>Complete</v>
      </c>
      <c r="I11450" s="48" t="s">
        <v>15815</v>
      </c>
    </row>
    <row r="11451" spans="2:9" ht="15" customHeight="1" x14ac:dyDescent="0.25">
      <c r="B11451" s="55" t="s">
        <v>281</v>
      </c>
      <c r="C11451" s="46">
        <v>1439</v>
      </c>
      <c r="D11451" s="69" t="s">
        <v>29418</v>
      </c>
      <c r="E11451" s="51"/>
      <c r="F11451" s="114" t="str">
        <f>IF(INDEX(I.Facility.P2bIDNumber,1439)="","",INDEX(I.Facility.P2bIDNumber,1439))</f>
        <v/>
      </c>
      <c r="G11451" s="51"/>
      <c r="H11451" s="46" t="str">
        <f>IF(AND(I.Developer.P2b=TRUE,I.Facility.P2bFacilityCount&gt;=1439,F11451=""),"Incomplete","Complete")</f>
        <v>Complete</v>
      </c>
      <c r="I11451" s="48" t="s">
        <v>15816</v>
      </c>
    </row>
    <row r="11452" spans="2:9" ht="15" customHeight="1" x14ac:dyDescent="0.25">
      <c r="B11452" s="55" t="s">
        <v>281</v>
      </c>
      <c r="C11452" s="46">
        <v>1440</v>
      </c>
      <c r="D11452" s="69" t="s">
        <v>29418</v>
      </c>
      <c r="E11452" s="51"/>
      <c r="F11452" s="114" t="str">
        <f>IF(INDEX(I.Facility.P2bIDNumber,1440)="","",INDEX(I.Facility.P2bIDNumber,1440))</f>
        <v/>
      </c>
      <c r="G11452" s="51"/>
      <c r="H11452" s="46" t="str">
        <f>IF(AND(I.Developer.P2b=TRUE,I.Facility.P2bFacilityCount&gt;=1440,F11452=""),"Incomplete","Complete")</f>
        <v>Complete</v>
      </c>
      <c r="I11452" s="48" t="s">
        <v>15817</v>
      </c>
    </row>
    <row r="11453" spans="2:9" ht="15" customHeight="1" x14ac:dyDescent="0.25">
      <c r="B11453" s="55" t="s">
        <v>281</v>
      </c>
      <c r="C11453" s="46">
        <v>1441</v>
      </c>
      <c r="D11453" s="69" t="s">
        <v>29418</v>
      </c>
      <c r="E11453" s="51"/>
      <c r="F11453" s="114" t="str">
        <f>IF(INDEX(I.Facility.P2bIDNumber,1441)="","",INDEX(I.Facility.P2bIDNumber,1441))</f>
        <v/>
      </c>
      <c r="G11453" s="51"/>
      <c r="H11453" s="46" t="str">
        <f>IF(AND(I.Developer.P2b=TRUE,I.Facility.P2bFacilityCount&gt;=1441,F11453=""),"Incomplete","Complete")</f>
        <v>Complete</v>
      </c>
      <c r="I11453" s="48" t="s">
        <v>15818</v>
      </c>
    </row>
    <row r="11454" spans="2:9" ht="15" customHeight="1" x14ac:dyDescent="0.25">
      <c r="B11454" s="55" t="s">
        <v>281</v>
      </c>
      <c r="C11454" s="46">
        <v>1442</v>
      </c>
      <c r="D11454" s="69" t="s">
        <v>29418</v>
      </c>
      <c r="E11454" s="51"/>
      <c r="F11454" s="114" t="str">
        <f>IF(INDEX(I.Facility.P2bIDNumber,1442)="","",INDEX(I.Facility.P2bIDNumber,1442))</f>
        <v/>
      </c>
      <c r="G11454" s="51"/>
      <c r="H11454" s="46" t="str">
        <f>IF(AND(I.Developer.P2b=TRUE,I.Facility.P2bFacilityCount&gt;=1442,F11454=""),"Incomplete","Complete")</f>
        <v>Complete</v>
      </c>
      <c r="I11454" s="48" t="s">
        <v>15819</v>
      </c>
    </row>
    <row r="11455" spans="2:9" ht="15" customHeight="1" x14ac:dyDescent="0.25">
      <c r="B11455" s="55" t="s">
        <v>281</v>
      </c>
      <c r="C11455" s="46">
        <v>1443</v>
      </c>
      <c r="D11455" s="69" t="s">
        <v>29418</v>
      </c>
      <c r="E11455" s="51"/>
      <c r="F11455" s="114" t="str">
        <f>IF(INDEX(I.Facility.P2bIDNumber,1443)="","",INDEX(I.Facility.P2bIDNumber,1443))</f>
        <v/>
      </c>
      <c r="G11455" s="51"/>
      <c r="H11455" s="46" t="str">
        <f>IF(AND(I.Developer.P2b=TRUE,I.Facility.P2bFacilityCount&gt;=1443,F11455=""),"Incomplete","Complete")</f>
        <v>Complete</v>
      </c>
      <c r="I11455" s="48" t="s">
        <v>15820</v>
      </c>
    </row>
    <row r="11456" spans="2:9" ht="15" customHeight="1" x14ac:dyDescent="0.25">
      <c r="B11456" s="55" t="s">
        <v>281</v>
      </c>
      <c r="C11456" s="46">
        <v>1444</v>
      </c>
      <c r="D11456" s="69" t="s">
        <v>29418</v>
      </c>
      <c r="E11456" s="51"/>
      <c r="F11456" s="114" t="str">
        <f>IF(INDEX(I.Facility.P2bIDNumber,1444)="","",INDEX(I.Facility.P2bIDNumber,1444))</f>
        <v/>
      </c>
      <c r="G11456" s="51"/>
      <c r="H11456" s="46" t="str">
        <f>IF(AND(I.Developer.P2b=TRUE,I.Facility.P2bFacilityCount&gt;=1444,F11456=""),"Incomplete","Complete")</f>
        <v>Complete</v>
      </c>
      <c r="I11456" s="48" t="s">
        <v>15821</v>
      </c>
    </row>
    <row r="11457" spans="2:9" ht="15" customHeight="1" x14ac:dyDescent="0.25">
      <c r="B11457" s="55" t="s">
        <v>281</v>
      </c>
      <c r="C11457" s="46">
        <v>1445</v>
      </c>
      <c r="D11457" s="69" t="s">
        <v>29418</v>
      </c>
      <c r="E11457" s="51"/>
      <c r="F11457" s="114" t="str">
        <f>IF(INDEX(I.Facility.P2bIDNumber,1445)="","",INDEX(I.Facility.P2bIDNumber,1445))</f>
        <v/>
      </c>
      <c r="G11457" s="51"/>
      <c r="H11457" s="46" t="str">
        <f>IF(AND(I.Developer.P2b=TRUE,I.Facility.P2bFacilityCount&gt;=1445,F11457=""),"Incomplete","Complete")</f>
        <v>Complete</v>
      </c>
      <c r="I11457" s="48" t="s">
        <v>15822</v>
      </c>
    </row>
    <row r="11458" spans="2:9" ht="15" customHeight="1" x14ac:dyDescent="0.25">
      <c r="B11458" s="55" t="s">
        <v>281</v>
      </c>
      <c r="C11458" s="46">
        <v>1446</v>
      </c>
      <c r="D11458" s="69" t="s">
        <v>29418</v>
      </c>
      <c r="E11458" s="51"/>
      <c r="F11458" s="114" t="str">
        <f>IF(INDEX(I.Facility.P2bIDNumber,1446)="","",INDEX(I.Facility.P2bIDNumber,1446))</f>
        <v/>
      </c>
      <c r="G11458" s="51"/>
      <c r="H11458" s="46" t="str">
        <f>IF(AND(I.Developer.P2b=TRUE,I.Facility.P2bFacilityCount&gt;=1446,F11458=""),"Incomplete","Complete")</f>
        <v>Complete</v>
      </c>
      <c r="I11458" s="48" t="s">
        <v>15823</v>
      </c>
    </row>
    <row r="11459" spans="2:9" ht="15" customHeight="1" x14ac:dyDescent="0.25">
      <c r="B11459" s="55" t="s">
        <v>281</v>
      </c>
      <c r="C11459" s="46">
        <v>1447</v>
      </c>
      <c r="D11459" s="69" t="s">
        <v>29418</v>
      </c>
      <c r="E11459" s="51"/>
      <c r="F11459" s="114" t="str">
        <f>IF(INDEX(I.Facility.P2bIDNumber,1447)="","",INDEX(I.Facility.P2bIDNumber,1447))</f>
        <v/>
      </c>
      <c r="G11459" s="51"/>
      <c r="H11459" s="46" t="str">
        <f>IF(AND(I.Developer.P2b=TRUE,I.Facility.P2bFacilityCount&gt;=1447,F11459=""),"Incomplete","Complete")</f>
        <v>Complete</v>
      </c>
      <c r="I11459" s="48" t="s">
        <v>15824</v>
      </c>
    </row>
    <row r="11460" spans="2:9" ht="15" customHeight="1" x14ac:dyDescent="0.25">
      <c r="B11460" s="55" t="s">
        <v>281</v>
      </c>
      <c r="C11460" s="46">
        <v>1448</v>
      </c>
      <c r="D11460" s="69" t="s">
        <v>29418</v>
      </c>
      <c r="E11460" s="51"/>
      <c r="F11460" s="114" t="str">
        <f>IF(INDEX(I.Facility.P2bIDNumber,1448)="","",INDEX(I.Facility.P2bIDNumber,1448))</f>
        <v/>
      </c>
      <c r="G11460" s="51"/>
      <c r="H11460" s="46" t="str">
        <f>IF(AND(I.Developer.P2b=TRUE,I.Facility.P2bFacilityCount&gt;=1448,F11460=""),"Incomplete","Complete")</f>
        <v>Complete</v>
      </c>
      <c r="I11460" s="48" t="s">
        <v>15825</v>
      </c>
    </row>
    <row r="11461" spans="2:9" ht="15" customHeight="1" x14ac:dyDescent="0.25">
      <c r="B11461" s="55" t="s">
        <v>281</v>
      </c>
      <c r="C11461" s="46">
        <v>1449</v>
      </c>
      <c r="D11461" s="69" t="s">
        <v>29418</v>
      </c>
      <c r="E11461" s="51"/>
      <c r="F11461" s="114" t="str">
        <f>IF(INDEX(I.Facility.P2bIDNumber,1449)="","",INDEX(I.Facility.P2bIDNumber,1449))</f>
        <v/>
      </c>
      <c r="G11461" s="51"/>
      <c r="H11461" s="46" t="str">
        <f>IF(AND(I.Developer.P2b=TRUE,I.Facility.P2bFacilityCount&gt;=1449,F11461=""),"Incomplete","Complete")</f>
        <v>Complete</v>
      </c>
      <c r="I11461" s="48" t="s">
        <v>15826</v>
      </c>
    </row>
    <row r="11462" spans="2:9" ht="15" customHeight="1" x14ac:dyDescent="0.25">
      <c r="B11462" s="55" t="s">
        <v>281</v>
      </c>
      <c r="C11462" s="46">
        <v>1450</v>
      </c>
      <c r="D11462" s="69" t="s">
        <v>29418</v>
      </c>
      <c r="E11462" s="51"/>
      <c r="F11462" s="114" t="str">
        <f>IF(INDEX(I.Facility.P2bIDNumber,1450)="","",INDEX(I.Facility.P2bIDNumber,1450))</f>
        <v/>
      </c>
      <c r="G11462" s="51"/>
      <c r="H11462" s="46" t="str">
        <f>IF(AND(I.Developer.P2b=TRUE,I.Facility.P2bFacilityCount&gt;=1450,F11462=""),"Incomplete","Complete")</f>
        <v>Complete</v>
      </c>
      <c r="I11462" s="48" t="s">
        <v>15827</v>
      </c>
    </row>
    <row r="11463" spans="2:9" ht="15" customHeight="1" x14ac:dyDescent="0.25">
      <c r="B11463" s="55" t="s">
        <v>281</v>
      </c>
      <c r="C11463" s="46">
        <v>1451</v>
      </c>
      <c r="D11463" s="69" t="s">
        <v>29418</v>
      </c>
      <c r="E11463" s="51"/>
      <c r="F11463" s="114" t="str">
        <f>IF(INDEX(I.Facility.P2bIDNumber,1451)="","",INDEX(I.Facility.P2bIDNumber,1451))</f>
        <v/>
      </c>
      <c r="G11463" s="51"/>
      <c r="H11463" s="46" t="str">
        <f>IF(AND(I.Developer.P2b=TRUE,I.Facility.P2bFacilityCount&gt;=1451,F11463=""),"Incomplete","Complete")</f>
        <v>Complete</v>
      </c>
      <c r="I11463" s="48" t="s">
        <v>15828</v>
      </c>
    </row>
    <row r="11464" spans="2:9" ht="15" customHeight="1" x14ac:dyDescent="0.25">
      <c r="B11464" s="55" t="s">
        <v>281</v>
      </c>
      <c r="C11464" s="46">
        <v>1452</v>
      </c>
      <c r="D11464" s="69" t="s">
        <v>29418</v>
      </c>
      <c r="E11464" s="51"/>
      <c r="F11464" s="114" t="str">
        <f>IF(INDEX(I.Facility.P2bIDNumber,1452)="","",INDEX(I.Facility.P2bIDNumber,1452))</f>
        <v/>
      </c>
      <c r="G11464" s="51"/>
      <c r="H11464" s="46" t="str">
        <f>IF(AND(I.Developer.P2b=TRUE,I.Facility.P2bFacilityCount&gt;=1452,F11464=""),"Incomplete","Complete")</f>
        <v>Complete</v>
      </c>
      <c r="I11464" s="48" t="s">
        <v>15829</v>
      </c>
    </row>
    <row r="11465" spans="2:9" ht="15" customHeight="1" x14ac:dyDescent="0.25">
      <c r="B11465" s="55" t="s">
        <v>281</v>
      </c>
      <c r="C11465" s="46">
        <v>1453</v>
      </c>
      <c r="D11465" s="69" t="s">
        <v>29418</v>
      </c>
      <c r="E11465" s="51"/>
      <c r="F11465" s="114" t="str">
        <f>IF(INDEX(I.Facility.P2bIDNumber,1453)="","",INDEX(I.Facility.P2bIDNumber,1453))</f>
        <v/>
      </c>
      <c r="G11465" s="51"/>
      <c r="H11465" s="46" t="str">
        <f>IF(AND(I.Developer.P2b=TRUE,I.Facility.P2bFacilityCount&gt;=1453,F11465=""),"Incomplete","Complete")</f>
        <v>Complete</v>
      </c>
      <c r="I11465" s="48" t="s">
        <v>15830</v>
      </c>
    </row>
    <row r="11466" spans="2:9" ht="15" customHeight="1" x14ac:dyDescent="0.25">
      <c r="B11466" s="55" t="s">
        <v>281</v>
      </c>
      <c r="C11466" s="46">
        <v>1454</v>
      </c>
      <c r="D11466" s="69" t="s">
        <v>29418</v>
      </c>
      <c r="E11466" s="51"/>
      <c r="F11466" s="114" t="str">
        <f>IF(INDEX(I.Facility.P2bIDNumber,1454)="","",INDEX(I.Facility.P2bIDNumber,1454))</f>
        <v/>
      </c>
      <c r="G11466" s="51"/>
      <c r="H11466" s="46" t="str">
        <f>IF(AND(I.Developer.P2b=TRUE,I.Facility.P2bFacilityCount&gt;=1454,F11466=""),"Incomplete","Complete")</f>
        <v>Complete</v>
      </c>
      <c r="I11466" s="48" t="s">
        <v>15831</v>
      </c>
    </row>
    <row r="11467" spans="2:9" ht="15" customHeight="1" x14ac:dyDescent="0.25">
      <c r="B11467" s="55" t="s">
        <v>281</v>
      </c>
      <c r="C11467" s="46">
        <v>1455</v>
      </c>
      <c r="D11467" s="69" t="s">
        <v>29418</v>
      </c>
      <c r="E11467" s="51"/>
      <c r="F11467" s="114" t="str">
        <f>IF(INDEX(I.Facility.P2bIDNumber,1455)="","",INDEX(I.Facility.P2bIDNumber,1455))</f>
        <v/>
      </c>
      <c r="G11467" s="51"/>
      <c r="H11467" s="46" t="str">
        <f>IF(AND(I.Developer.P2b=TRUE,I.Facility.P2bFacilityCount&gt;=1455,F11467=""),"Incomplete","Complete")</f>
        <v>Complete</v>
      </c>
      <c r="I11467" s="48" t="s">
        <v>15832</v>
      </c>
    </row>
    <row r="11468" spans="2:9" ht="15" customHeight="1" x14ac:dyDescent="0.25">
      <c r="B11468" s="55" t="s">
        <v>281</v>
      </c>
      <c r="C11468" s="46">
        <v>1456</v>
      </c>
      <c r="D11468" s="69" t="s">
        <v>29418</v>
      </c>
      <c r="E11468" s="51"/>
      <c r="F11468" s="114" t="str">
        <f>IF(INDEX(I.Facility.P2bIDNumber,1456)="","",INDEX(I.Facility.P2bIDNumber,1456))</f>
        <v/>
      </c>
      <c r="G11468" s="51"/>
      <c r="H11468" s="46" t="str">
        <f>IF(AND(I.Developer.P2b=TRUE,I.Facility.P2bFacilityCount&gt;=1456,F11468=""),"Incomplete","Complete")</f>
        <v>Complete</v>
      </c>
      <c r="I11468" s="48" t="s">
        <v>15833</v>
      </c>
    </row>
    <row r="11469" spans="2:9" ht="15" customHeight="1" x14ac:dyDescent="0.25">
      <c r="B11469" s="55" t="s">
        <v>281</v>
      </c>
      <c r="C11469" s="46">
        <v>1457</v>
      </c>
      <c r="D11469" s="69" t="s">
        <v>29418</v>
      </c>
      <c r="E11469" s="51"/>
      <c r="F11469" s="114" t="str">
        <f>IF(INDEX(I.Facility.P2bIDNumber,1457)="","",INDEX(I.Facility.P2bIDNumber,1457))</f>
        <v/>
      </c>
      <c r="G11469" s="51"/>
      <c r="H11469" s="46" t="str">
        <f>IF(AND(I.Developer.P2b=TRUE,I.Facility.P2bFacilityCount&gt;=1457,F11469=""),"Incomplete","Complete")</f>
        <v>Complete</v>
      </c>
      <c r="I11469" s="48" t="s">
        <v>15834</v>
      </c>
    </row>
    <row r="11470" spans="2:9" ht="15" customHeight="1" x14ac:dyDescent="0.25">
      <c r="B11470" s="55" t="s">
        <v>281</v>
      </c>
      <c r="C11470" s="46">
        <v>1458</v>
      </c>
      <c r="D11470" s="69" t="s">
        <v>29418</v>
      </c>
      <c r="E11470" s="51"/>
      <c r="F11470" s="114" t="str">
        <f>IF(INDEX(I.Facility.P2bIDNumber,1458)="","",INDEX(I.Facility.P2bIDNumber,1458))</f>
        <v/>
      </c>
      <c r="G11470" s="51"/>
      <c r="H11470" s="46" t="str">
        <f>IF(AND(I.Developer.P2b=TRUE,I.Facility.P2bFacilityCount&gt;=1458,F11470=""),"Incomplete","Complete")</f>
        <v>Complete</v>
      </c>
      <c r="I11470" s="48" t="s">
        <v>15835</v>
      </c>
    </row>
    <row r="11471" spans="2:9" ht="15" customHeight="1" x14ac:dyDescent="0.25">
      <c r="B11471" s="55" t="s">
        <v>281</v>
      </c>
      <c r="C11471" s="46">
        <v>1459</v>
      </c>
      <c r="D11471" s="69" t="s">
        <v>29418</v>
      </c>
      <c r="E11471" s="51"/>
      <c r="F11471" s="114" t="str">
        <f>IF(INDEX(I.Facility.P2bIDNumber,1459)="","",INDEX(I.Facility.P2bIDNumber,1459))</f>
        <v/>
      </c>
      <c r="G11471" s="51"/>
      <c r="H11471" s="46" t="str">
        <f>IF(AND(I.Developer.P2b=TRUE,I.Facility.P2bFacilityCount&gt;=1459,F11471=""),"Incomplete","Complete")</f>
        <v>Complete</v>
      </c>
      <c r="I11471" s="48" t="s">
        <v>15836</v>
      </c>
    </row>
    <row r="11472" spans="2:9" ht="15" customHeight="1" x14ac:dyDescent="0.25">
      <c r="B11472" s="55" t="s">
        <v>281</v>
      </c>
      <c r="C11472" s="46">
        <v>1460</v>
      </c>
      <c r="D11472" s="69" t="s">
        <v>29418</v>
      </c>
      <c r="E11472" s="51"/>
      <c r="F11472" s="114" t="str">
        <f>IF(INDEX(I.Facility.P2bIDNumber,1460)="","",INDEX(I.Facility.P2bIDNumber,1460))</f>
        <v/>
      </c>
      <c r="G11472" s="51"/>
      <c r="H11472" s="46" t="str">
        <f>IF(AND(I.Developer.P2b=TRUE,I.Facility.P2bFacilityCount&gt;=1460,F11472=""),"Incomplete","Complete")</f>
        <v>Complete</v>
      </c>
      <c r="I11472" s="48" t="s">
        <v>15837</v>
      </c>
    </row>
    <row r="11473" spans="2:9" ht="15" customHeight="1" x14ac:dyDescent="0.25">
      <c r="B11473" s="55" t="s">
        <v>281</v>
      </c>
      <c r="C11473" s="46">
        <v>1461</v>
      </c>
      <c r="D11473" s="69" t="s">
        <v>29418</v>
      </c>
      <c r="E11473" s="51"/>
      <c r="F11473" s="114" t="str">
        <f>IF(INDEX(I.Facility.P2bIDNumber,1461)="","",INDEX(I.Facility.P2bIDNumber,1461))</f>
        <v/>
      </c>
      <c r="G11473" s="51"/>
      <c r="H11473" s="46" t="str">
        <f>IF(AND(I.Developer.P2b=TRUE,I.Facility.P2bFacilityCount&gt;=1461,F11473=""),"Incomplete","Complete")</f>
        <v>Complete</v>
      </c>
      <c r="I11473" s="48" t="s">
        <v>15838</v>
      </c>
    </row>
    <row r="11474" spans="2:9" ht="15" customHeight="1" x14ac:dyDescent="0.25">
      <c r="B11474" s="55" t="s">
        <v>281</v>
      </c>
      <c r="C11474" s="46">
        <v>1462</v>
      </c>
      <c r="D11474" s="69" t="s">
        <v>29418</v>
      </c>
      <c r="E11474" s="51"/>
      <c r="F11474" s="114" t="str">
        <f>IF(INDEX(I.Facility.P2bIDNumber,1462)="","",INDEX(I.Facility.P2bIDNumber,1462))</f>
        <v/>
      </c>
      <c r="G11474" s="51"/>
      <c r="H11474" s="46" t="str">
        <f>IF(AND(I.Developer.P2b=TRUE,I.Facility.P2bFacilityCount&gt;=1462,F11474=""),"Incomplete","Complete")</f>
        <v>Complete</v>
      </c>
      <c r="I11474" s="48" t="s">
        <v>15839</v>
      </c>
    </row>
    <row r="11475" spans="2:9" ht="15" customHeight="1" x14ac:dyDescent="0.25">
      <c r="B11475" s="55" t="s">
        <v>281</v>
      </c>
      <c r="C11475" s="46">
        <v>1463</v>
      </c>
      <c r="D11475" s="69" t="s">
        <v>29418</v>
      </c>
      <c r="E11475" s="51"/>
      <c r="F11475" s="114" t="str">
        <f>IF(INDEX(I.Facility.P2bIDNumber,1463)="","",INDEX(I.Facility.P2bIDNumber,1463))</f>
        <v/>
      </c>
      <c r="G11475" s="51"/>
      <c r="H11475" s="46" t="str">
        <f>IF(AND(I.Developer.P2b=TRUE,I.Facility.P2bFacilityCount&gt;=1463,F11475=""),"Incomplete","Complete")</f>
        <v>Complete</v>
      </c>
      <c r="I11475" s="48" t="s">
        <v>15840</v>
      </c>
    </row>
    <row r="11476" spans="2:9" ht="15" customHeight="1" x14ac:dyDescent="0.25">
      <c r="B11476" s="55" t="s">
        <v>281</v>
      </c>
      <c r="C11476" s="46">
        <v>1464</v>
      </c>
      <c r="D11476" s="69" t="s">
        <v>29418</v>
      </c>
      <c r="E11476" s="51"/>
      <c r="F11476" s="114" t="str">
        <f>IF(INDEX(I.Facility.P2bIDNumber,1464)="","",INDEX(I.Facility.P2bIDNumber,1464))</f>
        <v/>
      </c>
      <c r="G11476" s="51"/>
      <c r="H11476" s="46" t="str">
        <f>IF(AND(I.Developer.P2b=TRUE,I.Facility.P2bFacilityCount&gt;=1464,F11476=""),"Incomplete","Complete")</f>
        <v>Complete</v>
      </c>
      <c r="I11476" s="48" t="s">
        <v>15841</v>
      </c>
    </row>
    <row r="11477" spans="2:9" ht="15" customHeight="1" x14ac:dyDescent="0.25">
      <c r="B11477" s="55" t="s">
        <v>281</v>
      </c>
      <c r="C11477" s="46">
        <v>1465</v>
      </c>
      <c r="D11477" s="69" t="s">
        <v>29418</v>
      </c>
      <c r="E11477" s="51"/>
      <c r="F11477" s="114" t="str">
        <f>IF(INDEX(I.Facility.P2bIDNumber,1465)="","",INDEX(I.Facility.P2bIDNumber,1465))</f>
        <v/>
      </c>
      <c r="G11477" s="51"/>
      <c r="H11477" s="46" t="str">
        <f>IF(AND(I.Developer.P2b=TRUE,I.Facility.P2bFacilityCount&gt;=1465,F11477=""),"Incomplete","Complete")</f>
        <v>Complete</v>
      </c>
      <c r="I11477" s="48" t="s">
        <v>15842</v>
      </c>
    </row>
    <row r="11478" spans="2:9" ht="15" customHeight="1" x14ac:dyDescent="0.25">
      <c r="B11478" s="55" t="s">
        <v>281</v>
      </c>
      <c r="C11478" s="46">
        <v>1466</v>
      </c>
      <c r="D11478" s="69" t="s">
        <v>29418</v>
      </c>
      <c r="E11478" s="51"/>
      <c r="F11478" s="114" t="str">
        <f>IF(INDEX(I.Facility.P2bIDNumber,1466)="","",INDEX(I.Facility.P2bIDNumber,1466))</f>
        <v/>
      </c>
      <c r="G11478" s="51"/>
      <c r="H11478" s="46" t="str">
        <f>IF(AND(I.Developer.P2b=TRUE,I.Facility.P2bFacilityCount&gt;=1466,F11478=""),"Incomplete","Complete")</f>
        <v>Complete</v>
      </c>
      <c r="I11478" s="48" t="s">
        <v>15843</v>
      </c>
    </row>
    <row r="11479" spans="2:9" ht="15" customHeight="1" x14ac:dyDescent="0.25">
      <c r="B11479" s="55" t="s">
        <v>281</v>
      </c>
      <c r="C11479" s="46">
        <v>1467</v>
      </c>
      <c r="D11479" s="69" t="s">
        <v>29418</v>
      </c>
      <c r="E11479" s="51"/>
      <c r="F11479" s="114" t="str">
        <f>IF(INDEX(I.Facility.P2bIDNumber,1467)="","",INDEX(I.Facility.P2bIDNumber,1467))</f>
        <v/>
      </c>
      <c r="G11479" s="51"/>
      <c r="H11479" s="46" t="str">
        <f>IF(AND(I.Developer.P2b=TRUE,I.Facility.P2bFacilityCount&gt;=1467,F11479=""),"Incomplete","Complete")</f>
        <v>Complete</v>
      </c>
      <c r="I11479" s="48" t="s">
        <v>15844</v>
      </c>
    </row>
    <row r="11480" spans="2:9" ht="15" customHeight="1" x14ac:dyDescent="0.25">
      <c r="B11480" s="55" t="s">
        <v>281</v>
      </c>
      <c r="C11480" s="46">
        <v>1468</v>
      </c>
      <c r="D11480" s="69" t="s">
        <v>29418</v>
      </c>
      <c r="E11480" s="51"/>
      <c r="F11480" s="114" t="str">
        <f>IF(INDEX(I.Facility.P2bIDNumber,1468)="","",INDEX(I.Facility.P2bIDNumber,1468))</f>
        <v/>
      </c>
      <c r="G11480" s="51"/>
      <c r="H11480" s="46" t="str">
        <f>IF(AND(I.Developer.P2b=TRUE,I.Facility.P2bFacilityCount&gt;=1468,F11480=""),"Incomplete","Complete")</f>
        <v>Complete</v>
      </c>
      <c r="I11480" s="48" t="s">
        <v>15845</v>
      </c>
    </row>
    <row r="11481" spans="2:9" ht="15" customHeight="1" x14ac:dyDescent="0.25">
      <c r="B11481" s="55" t="s">
        <v>281</v>
      </c>
      <c r="C11481" s="46">
        <v>1469</v>
      </c>
      <c r="D11481" s="69" t="s">
        <v>29418</v>
      </c>
      <c r="E11481" s="51"/>
      <c r="F11481" s="114" t="str">
        <f>IF(INDEX(I.Facility.P2bIDNumber,1469)="","",INDEX(I.Facility.P2bIDNumber,1469))</f>
        <v/>
      </c>
      <c r="G11481" s="51"/>
      <c r="H11481" s="46" t="str">
        <f>IF(AND(I.Developer.P2b=TRUE,I.Facility.P2bFacilityCount&gt;=1469,F11481=""),"Incomplete","Complete")</f>
        <v>Complete</v>
      </c>
      <c r="I11481" s="48" t="s">
        <v>15846</v>
      </c>
    </row>
    <row r="11482" spans="2:9" ht="15" customHeight="1" x14ac:dyDescent="0.25">
      <c r="B11482" s="55" t="s">
        <v>281</v>
      </c>
      <c r="C11482" s="46">
        <v>1470</v>
      </c>
      <c r="D11482" s="69" t="s">
        <v>29418</v>
      </c>
      <c r="E11482" s="51"/>
      <c r="F11482" s="114" t="str">
        <f>IF(INDEX(I.Facility.P2bIDNumber,1470)="","",INDEX(I.Facility.P2bIDNumber,1470))</f>
        <v/>
      </c>
      <c r="G11482" s="51"/>
      <c r="H11482" s="46" t="str">
        <f>IF(AND(I.Developer.P2b=TRUE,I.Facility.P2bFacilityCount&gt;=1470,F11482=""),"Incomplete","Complete")</f>
        <v>Complete</v>
      </c>
      <c r="I11482" s="48" t="s">
        <v>15847</v>
      </c>
    </row>
    <row r="11483" spans="2:9" ht="15" customHeight="1" x14ac:dyDescent="0.25">
      <c r="B11483" s="55" t="s">
        <v>281</v>
      </c>
      <c r="C11483" s="46">
        <v>1471</v>
      </c>
      <c r="D11483" s="69" t="s">
        <v>29418</v>
      </c>
      <c r="E11483" s="51"/>
      <c r="F11483" s="114" t="str">
        <f>IF(INDEX(I.Facility.P2bIDNumber,1471)="","",INDEX(I.Facility.P2bIDNumber,1471))</f>
        <v/>
      </c>
      <c r="G11483" s="51"/>
      <c r="H11483" s="46" t="str">
        <f>IF(AND(I.Developer.P2b=TRUE,I.Facility.P2bFacilityCount&gt;=1471,F11483=""),"Incomplete","Complete")</f>
        <v>Complete</v>
      </c>
      <c r="I11483" s="48" t="s">
        <v>15848</v>
      </c>
    </row>
    <row r="11484" spans="2:9" ht="15" customHeight="1" x14ac:dyDescent="0.25">
      <c r="B11484" s="55" t="s">
        <v>281</v>
      </c>
      <c r="C11484" s="46">
        <v>1472</v>
      </c>
      <c r="D11484" s="69" t="s">
        <v>29418</v>
      </c>
      <c r="E11484" s="51"/>
      <c r="F11484" s="114" t="str">
        <f>IF(INDEX(I.Facility.P2bIDNumber,1472)="","",INDEX(I.Facility.P2bIDNumber,1472))</f>
        <v/>
      </c>
      <c r="G11484" s="51"/>
      <c r="H11484" s="46" t="str">
        <f>IF(AND(I.Developer.P2b=TRUE,I.Facility.P2bFacilityCount&gt;=1472,F11484=""),"Incomplete","Complete")</f>
        <v>Complete</v>
      </c>
      <c r="I11484" s="48" t="s">
        <v>15849</v>
      </c>
    </row>
    <row r="11485" spans="2:9" ht="15" customHeight="1" x14ac:dyDescent="0.25">
      <c r="B11485" s="55" t="s">
        <v>281</v>
      </c>
      <c r="C11485" s="46">
        <v>1473</v>
      </c>
      <c r="D11485" s="69" t="s">
        <v>29418</v>
      </c>
      <c r="E11485" s="51"/>
      <c r="F11485" s="114" t="str">
        <f>IF(INDEX(I.Facility.P2bIDNumber,1473)="","",INDEX(I.Facility.P2bIDNumber,1473))</f>
        <v/>
      </c>
      <c r="G11485" s="51"/>
      <c r="H11485" s="46" t="str">
        <f>IF(AND(I.Developer.P2b=TRUE,I.Facility.P2bFacilityCount&gt;=1473,F11485=""),"Incomplete","Complete")</f>
        <v>Complete</v>
      </c>
      <c r="I11485" s="48" t="s">
        <v>15850</v>
      </c>
    </row>
    <row r="11486" spans="2:9" ht="15" customHeight="1" x14ac:dyDescent="0.25">
      <c r="B11486" s="55" t="s">
        <v>281</v>
      </c>
      <c r="C11486" s="46">
        <v>1474</v>
      </c>
      <c r="D11486" s="69" t="s">
        <v>29418</v>
      </c>
      <c r="E11486" s="51"/>
      <c r="F11486" s="114" t="str">
        <f>IF(INDEX(I.Facility.P2bIDNumber,1474)="","",INDEX(I.Facility.P2bIDNumber,1474))</f>
        <v/>
      </c>
      <c r="G11486" s="51"/>
      <c r="H11486" s="46" t="str">
        <f>IF(AND(I.Developer.P2b=TRUE,I.Facility.P2bFacilityCount&gt;=1474,F11486=""),"Incomplete","Complete")</f>
        <v>Complete</v>
      </c>
      <c r="I11486" s="48" t="s">
        <v>15851</v>
      </c>
    </row>
    <row r="11487" spans="2:9" ht="15" customHeight="1" x14ac:dyDescent="0.25">
      <c r="B11487" s="55" t="s">
        <v>281</v>
      </c>
      <c r="C11487" s="46">
        <v>1475</v>
      </c>
      <c r="D11487" s="69" t="s">
        <v>29418</v>
      </c>
      <c r="E11487" s="51"/>
      <c r="F11487" s="114" t="str">
        <f>IF(INDEX(I.Facility.P2bIDNumber,1475)="","",INDEX(I.Facility.P2bIDNumber,1475))</f>
        <v/>
      </c>
      <c r="G11487" s="51"/>
      <c r="H11487" s="46" t="str">
        <f>IF(AND(I.Developer.P2b=TRUE,I.Facility.P2bFacilityCount&gt;=1475,F11487=""),"Incomplete","Complete")</f>
        <v>Complete</v>
      </c>
      <c r="I11487" s="48" t="s">
        <v>15852</v>
      </c>
    </row>
    <row r="11488" spans="2:9" ht="15" customHeight="1" x14ac:dyDescent="0.25">
      <c r="B11488" s="55" t="s">
        <v>281</v>
      </c>
      <c r="C11488" s="46">
        <v>1476</v>
      </c>
      <c r="D11488" s="69" t="s">
        <v>29418</v>
      </c>
      <c r="E11488" s="51"/>
      <c r="F11488" s="114" t="str">
        <f>IF(INDEX(I.Facility.P2bIDNumber,1476)="","",INDEX(I.Facility.P2bIDNumber,1476))</f>
        <v/>
      </c>
      <c r="G11488" s="51"/>
      <c r="H11488" s="46" t="str">
        <f>IF(AND(I.Developer.P2b=TRUE,I.Facility.P2bFacilityCount&gt;=1476,F11488=""),"Incomplete","Complete")</f>
        <v>Complete</v>
      </c>
      <c r="I11488" s="48" t="s">
        <v>15853</v>
      </c>
    </row>
    <row r="11489" spans="2:9" ht="15" customHeight="1" x14ac:dyDescent="0.25">
      <c r="B11489" s="55" t="s">
        <v>281</v>
      </c>
      <c r="C11489" s="46">
        <v>1477</v>
      </c>
      <c r="D11489" s="69" t="s">
        <v>29418</v>
      </c>
      <c r="E11489" s="51"/>
      <c r="F11489" s="114" t="str">
        <f>IF(INDEX(I.Facility.P2bIDNumber,1477)="","",INDEX(I.Facility.P2bIDNumber,1477))</f>
        <v/>
      </c>
      <c r="G11489" s="51"/>
      <c r="H11489" s="46" t="str">
        <f>IF(AND(I.Developer.P2b=TRUE,I.Facility.P2bFacilityCount&gt;=1477,F11489=""),"Incomplete","Complete")</f>
        <v>Complete</v>
      </c>
      <c r="I11489" s="48" t="s">
        <v>15854</v>
      </c>
    </row>
    <row r="11490" spans="2:9" ht="15" customHeight="1" x14ac:dyDescent="0.25">
      <c r="B11490" s="55" t="s">
        <v>281</v>
      </c>
      <c r="C11490" s="46">
        <v>1478</v>
      </c>
      <c r="D11490" s="69" t="s">
        <v>29418</v>
      </c>
      <c r="E11490" s="51"/>
      <c r="F11490" s="114" t="str">
        <f>IF(INDEX(I.Facility.P2bIDNumber,1478)="","",INDEX(I.Facility.P2bIDNumber,1478))</f>
        <v/>
      </c>
      <c r="G11490" s="51"/>
      <c r="H11490" s="46" t="str">
        <f>IF(AND(I.Developer.P2b=TRUE,I.Facility.P2bFacilityCount&gt;=1478,F11490=""),"Incomplete","Complete")</f>
        <v>Complete</v>
      </c>
      <c r="I11490" s="48" t="s">
        <v>15855</v>
      </c>
    </row>
    <row r="11491" spans="2:9" ht="15" customHeight="1" x14ac:dyDescent="0.25">
      <c r="B11491" s="55" t="s">
        <v>281</v>
      </c>
      <c r="C11491" s="46">
        <v>1479</v>
      </c>
      <c r="D11491" s="69" t="s">
        <v>29418</v>
      </c>
      <c r="E11491" s="51"/>
      <c r="F11491" s="114" t="str">
        <f>IF(INDEX(I.Facility.P2bIDNumber,1479)="","",INDEX(I.Facility.P2bIDNumber,1479))</f>
        <v/>
      </c>
      <c r="G11491" s="51"/>
      <c r="H11491" s="46" t="str">
        <f>IF(AND(I.Developer.P2b=TRUE,I.Facility.P2bFacilityCount&gt;=1479,F11491=""),"Incomplete","Complete")</f>
        <v>Complete</v>
      </c>
      <c r="I11491" s="48" t="s">
        <v>15856</v>
      </c>
    </row>
    <row r="11492" spans="2:9" ht="15" customHeight="1" x14ac:dyDescent="0.25">
      <c r="B11492" s="55" t="s">
        <v>281</v>
      </c>
      <c r="C11492" s="46">
        <v>1480</v>
      </c>
      <c r="D11492" s="69" t="s">
        <v>29418</v>
      </c>
      <c r="E11492" s="51"/>
      <c r="F11492" s="114" t="str">
        <f>IF(INDEX(I.Facility.P2bIDNumber,1480)="","",INDEX(I.Facility.P2bIDNumber,1480))</f>
        <v/>
      </c>
      <c r="G11492" s="51"/>
      <c r="H11492" s="46" t="str">
        <f>IF(AND(I.Developer.P2b=TRUE,I.Facility.P2bFacilityCount&gt;=1480,F11492=""),"Incomplete","Complete")</f>
        <v>Complete</v>
      </c>
      <c r="I11492" s="48" t="s">
        <v>15857</v>
      </c>
    </row>
    <row r="11493" spans="2:9" ht="15" customHeight="1" x14ac:dyDescent="0.25">
      <c r="B11493" s="55" t="s">
        <v>281</v>
      </c>
      <c r="C11493" s="46">
        <v>1481</v>
      </c>
      <c r="D11493" s="69" t="s">
        <v>29418</v>
      </c>
      <c r="E11493" s="51"/>
      <c r="F11493" s="114" t="str">
        <f>IF(INDEX(I.Facility.P2bIDNumber,1481)="","",INDEX(I.Facility.P2bIDNumber,1481))</f>
        <v/>
      </c>
      <c r="G11493" s="51"/>
      <c r="H11493" s="46" t="str">
        <f>IF(AND(I.Developer.P2b=TRUE,I.Facility.P2bFacilityCount&gt;=1481,F11493=""),"Incomplete","Complete")</f>
        <v>Complete</v>
      </c>
      <c r="I11493" s="48" t="s">
        <v>15858</v>
      </c>
    </row>
    <row r="11494" spans="2:9" ht="15" customHeight="1" x14ac:dyDescent="0.25">
      <c r="B11494" s="55" t="s">
        <v>281</v>
      </c>
      <c r="C11494" s="46">
        <v>1482</v>
      </c>
      <c r="D11494" s="69" t="s">
        <v>29418</v>
      </c>
      <c r="E11494" s="51"/>
      <c r="F11494" s="114" t="str">
        <f>IF(INDEX(I.Facility.P2bIDNumber,1482)="","",INDEX(I.Facility.P2bIDNumber,1482))</f>
        <v/>
      </c>
      <c r="G11494" s="51"/>
      <c r="H11494" s="46" t="str">
        <f>IF(AND(I.Developer.P2b=TRUE,I.Facility.P2bFacilityCount&gt;=1482,F11494=""),"Incomplete","Complete")</f>
        <v>Complete</v>
      </c>
      <c r="I11494" s="48" t="s">
        <v>15859</v>
      </c>
    </row>
    <row r="11495" spans="2:9" ht="15" customHeight="1" x14ac:dyDescent="0.25">
      <c r="B11495" s="55" t="s">
        <v>281</v>
      </c>
      <c r="C11495" s="46">
        <v>1483</v>
      </c>
      <c r="D11495" s="69" t="s">
        <v>29418</v>
      </c>
      <c r="E11495" s="51"/>
      <c r="F11495" s="114" t="str">
        <f>IF(INDEX(I.Facility.P2bIDNumber,1483)="","",INDEX(I.Facility.P2bIDNumber,1483))</f>
        <v/>
      </c>
      <c r="G11495" s="51"/>
      <c r="H11495" s="46" t="str">
        <f>IF(AND(I.Developer.P2b=TRUE,I.Facility.P2bFacilityCount&gt;=1483,F11495=""),"Incomplete","Complete")</f>
        <v>Complete</v>
      </c>
      <c r="I11495" s="48" t="s">
        <v>15860</v>
      </c>
    </row>
    <row r="11496" spans="2:9" ht="15" customHeight="1" x14ac:dyDescent="0.25">
      <c r="B11496" s="55" t="s">
        <v>281</v>
      </c>
      <c r="C11496" s="46">
        <v>1484</v>
      </c>
      <c r="D11496" s="69" t="s">
        <v>29418</v>
      </c>
      <c r="E11496" s="51"/>
      <c r="F11496" s="114" t="str">
        <f>IF(INDEX(I.Facility.P2bIDNumber,1484)="","",INDEX(I.Facility.P2bIDNumber,1484))</f>
        <v/>
      </c>
      <c r="G11496" s="51"/>
      <c r="H11496" s="46" t="str">
        <f>IF(AND(I.Developer.P2b=TRUE,I.Facility.P2bFacilityCount&gt;=1484,F11496=""),"Incomplete","Complete")</f>
        <v>Complete</v>
      </c>
      <c r="I11496" s="48" t="s">
        <v>15861</v>
      </c>
    </row>
    <row r="11497" spans="2:9" ht="15" customHeight="1" x14ac:dyDescent="0.25">
      <c r="B11497" s="55" t="s">
        <v>281</v>
      </c>
      <c r="C11497" s="46">
        <v>1485</v>
      </c>
      <c r="D11497" s="69" t="s">
        <v>29418</v>
      </c>
      <c r="E11497" s="51"/>
      <c r="F11497" s="114" t="str">
        <f>IF(INDEX(I.Facility.P2bIDNumber,1485)="","",INDEX(I.Facility.P2bIDNumber,1485))</f>
        <v/>
      </c>
      <c r="G11497" s="51"/>
      <c r="H11497" s="46" t="str">
        <f>IF(AND(I.Developer.P2b=TRUE,I.Facility.P2bFacilityCount&gt;=1485,F11497=""),"Incomplete","Complete")</f>
        <v>Complete</v>
      </c>
      <c r="I11497" s="48" t="s">
        <v>15862</v>
      </c>
    </row>
    <row r="11498" spans="2:9" ht="15" customHeight="1" x14ac:dyDescent="0.25">
      <c r="B11498" s="55" t="s">
        <v>281</v>
      </c>
      <c r="C11498" s="46">
        <v>1486</v>
      </c>
      <c r="D11498" s="69" t="s">
        <v>29418</v>
      </c>
      <c r="E11498" s="51"/>
      <c r="F11498" s="114" t="str">
        <f>IF(INDEX(I.Facility.P2bIDNumber,1486)="","",INDEX(I.Facility.P2bIDNumber,1486))</f>
        <v/>
      </c>
      <c r="G11498" s="51"/>
      <c r="H11498" s="46" t="str">
        <f>IF(AND(I.Developer.P2b=TRUE,I.Facility.P2bFacilityCount&gt;=1486,F11498=""),"Incomplete","Complete")</f>
        <v>Complete</v>
      </c>
      <c r="I11498" s="48" t="s">
        <v>15863</v>
      </c>
    </row>
    <row r="11499" spans="2:9" ht="15" customHeight="1" x14ac:dyDescent="0.25">
      <c r="B11499" s="55" t="s">
        <v>281</v>
      </c>
      <c r="C11499" s="46">
        <v>1487</v>
      </c>
      <c r="D11499" s="69" t="s">
        <v>29418</v>
      </c>
      <c r="E11499" s="51"/>
      <c r="F11499" s="114" t="str">
        <f>IF(INDEX(I.Facility.P2bIDNumber,1487)="","",INDEX(I.Facility.P2bIDNumber,1487))</f>
        <v/>
      </c>
      <c r="G11499" s="51"/>
      <c r="H11499" s="46" t="str">
        <f>IF(AND(I.Developer.P2b=TRUE,I.Facility.P2bFacilityCount&gt;=1487,F11499=""),"Incomplete","Complete")</f>
        <v>Complete</v>
      </c>
      <c r="I11499" s="48" t="s">
        <v>15864</v>
      </c>
    </row>
    <row r="11500" spans="2:9" ht="15" customHeight="1" x14ac:dyDescent="0.25">
      <c r="B11500" s="55" t="s">
        <v>281</v>
      </c>
      <c r="C11500" s="46">
        <v>1488</v>
      </c>
      <c r="D11500" s="69" t="s">
        <v>29418</v>
      </c>
      <c r="E11500" s="51"/>
      <c r="F11500" s="114" t="str">
        <f>IF(INDEX(I.Facility.P2bIDNumber,1488)="","",INDEX(I.Facility.P2bIDNumber,1488))</f>
        <v/>
      </c>
      <c r="G11500" s="51"/>
      <c r="H11500" s="46" t="str">
        <f>IF(AND(I.Developer.P2b=TRUE,I.Facility.P2bFacilityCount&gt;=1488,F11500=""),"Incomplete","Complete")</f>
        <v>Complete</v>
      </c>
      <c r="I11500" s="48" t="s">
        <v>15865</v>
      </c>
    </row>
    <row r="11501" spans="2:9" ht="15" customHeight="1" x14ac:dyDescent="0.25">
      <c r="B11501" s="55" t="s">
        <v>281</v>
      </c>
      <c r="C11501" s="46">
        <v>1489</v>
      </c>
      <c r="D11501" s="69" t="s">
        <v>29418</v>
      </c>
      <c r="E11501" s="51"/>
      <c r="F11501" s="114" t="str">
        <f>IF(INDEX(I.Facility.P2bIDNumber,1489)="","",INDEX(I.Facility.P2bIDNumber,1489))</f>
        <v/>
      </c>
      <c r="G11501" s="51"/>
      <c r="H11501" s="46" t="str">
        <f>IF(AND(I.Developer.P2b=TRUE,I.Facility.P2bFacilityCount&gt;=1489,F11501=""),"Incomplete","Complete")</f>
        <v>Complete</v>
      </c>
      <c r="I11501" s="48" t="s">
        <v>15866</v>
      </c>
    </row>
    <row r="11502" spans="2:9" ht="15" customHeight="1" x14ac:dyDescent="0.25">
      <c r="B11502" s="55" t="s">
        <v>281</v>
      </c>
      <c r="C11502" s="46">
        <v>1490</v>
      </c>
      <c r="D11502" s="69" t="s">
        <v>29418</v>
      </c>
      <c r="E11502" s="51"/>
      <c r="F11502" s="114" t="str">
        <f>IF(INDEX(I.Facility.P2bIDNumber,1490)="","",INDEX(I.Facility.P2bIDNumber,1490))</f>
        <v/>
      </c>
      <c r="G11502" s="51"/>
      <c r="H11502" s="46" t="str">
        <f>IF(AND(I.Developer.P2b=TRUE,I.Facility.P2bFacilityCount&gt;=1490,F11502=""),"Incomplete","Complete")</f>
        <v>Complete</v>
      </c>
      <c r="I11502" s="48" t="s">
        <v>15867</v>
      </c>
    </row>
    <row r="11503" spans="2:9" ht="15" customHeight="1" x14ac:dyDescent="0.25">
      <c r="B11503" s="55" t="s">
        <v>281</v>
      </c>
      <c r="C11503" s="46">
        <v>1491</v>
      </c>
      <c r="D11503" s="69" t="s">
        <v>29418</v>
      </c>
      <c r="E11503" s="51"/>
      <c r="F11503" s="114" t="str">
        <f>IF(INDEX(I.Facility.P2bIDNumber,1491)="","",INDEX(I.Facility.P2bIDNumber,1491))</f>
        <v/>
      </c>
      <c r="G11503" s="51"/>
      <c r="H11503" s="46" t="str">
        <f>IF(AND(I.Developer.P2b=TRUE,I.Facility.P2bFacilityCount&gt;=1491,F11503=""),"Incomplete","Complete")</f>
        <v>Complete</v>
      </c>
      <c r="I11503" s="48" t="s">
        <v>15868</v>
      </c>
    </row>
    <row r="11504" spans="2:9" ht="15" customHeight="1" x14ac:dyDescent="0.25">
      <c r="B11504" s="55" t="s">
        <v>281</v>
      </c>
      <c r="C11504" s="46">
        <v>1492</v>
      </c>
      <c r="D11504" s="69" t="s">
        <v>29418</v>
      </c>
      <c r="E11504" s="51"/>
      <c r="F11504" s="114" t="str">
        <f>IF(INDEX(I.Facility.P2bIDNumber,1492)="","",INDEX(I.Facility.P2bIDNumber,1492))</f>
        <v/>
      </c>
      <c r="G11504" s="51"/>
      <c r="H11504" s="46" t="str">
        <f>IF(AND(I.Developer.P2b=TRUE,I.Facility.P2bFacilityCount&gt;=1492,F11504=""),"Incomplete","Complete")</f>
        <v>Complete</v>
      </c>
      <c r="I11504" s="48" t="s">
        <v>15869</v>
      </c>
    </row>
    <row r="11505" spans="2:9" ht="15" customHeight="1" x14ac:dyDescent="0.25">
      <c r="B11505" s="55" t="s">
        <v>281</v>
      </c>
      <c r="C11505" s="46">
        <v>1493</v>
      </c>
      <c r="D11505" s="69" t="s">
        <v>29418</v>
      </c>
      <c r="E11505" s="51"/>
      <c r="F11505" s="114" t="str">
        <f>IF(INDEX(I.Facility.P2bIDNumber,1493)="","",INDEX(I.Facility.P2bIDNumber,1493))</f>
        <v/>
      </c>
      <c r="G11505" s="51"/>
      <c r="H11505" s="46" t="str">
        <f>IF(AND(I.Developer.P2b=TRUE,I.Facility.P2bFacilityCount&gt;=1493,F11505=""),"Incomplete","Complete")</f>
        <v>Complete</v>
      </c>
      <c r="I11505" s="48" t="s">
        <v>15870</v>
      </c>
    </row>
    <row r="11506" spans="2:9" ht="15" customHeight="1" x14ac:dyDescent="0.25">
      <c r="B11506" s="55" t="s">
        <v>281</v>
      </c>
      <c r="C11506" s="46">
        <v>1494</v>
      </c>
      <c r="D11506" s="69" t="s">
        <v>29418</v>
      </c>
      <c r="E11506" s="51"/>
      <c r="F11506" s="114" t="str">
        <f>IF(INDEX(I.Facility.P2bIDNumber,1494)="","",INDEX(I.Facility.P2bIDNumber,1494))</f>
        <v/>
      </c>
      <c r="G11506" s="51"/>
      <c r="H11506" s="46" t="str">
        <f>IF(AND(I.Developer.P2b=TRUE,I.Facility.P2bFacilityCount&gt;=1494,F11506=""),"Incomplete","Complete")</f>
        <v>Complete</v>
      </c>
      <c r="I11506" s="48" t="s">
        <v>15871</v>
      </c>
    </row>
    <row r="11507" spans="2:9" ht="15" customHeight="1" x14ac:dyDescent="0.25">
      <c r="B11507" s="55" t="s">
        <v>281</v>
      </c>
      <c r="C11507" s="46">
        <v>1495</v>
      </c>
      <c r="D11507" s="69" t="s">
        <v>29418</v>
      </c>
      <c r="E11507" s="51"/>
      <c r="F11507" s="114" t="str">
        <f>IF(INDEX(I.Facility.P2bIDNumber,1495)="","",INDEX(I.Facility.P2bIDNumber,1495))</f>
        <v/>
      </c>
      <c r="G11507" s="51"/>
      <c r="H11507" s="46" t="str">
        <f>IF(AND(I.Developer.P2b=TRUE,I.Facility.P2bFacilityCount&gt;=1495,F11507=""),"Incomplete","Complete")</f>
        <v>Complete</v>
      </c>
      <c r="I11507" s="48" t="s">
        <v>15872</v>
      </c>
    </row>
    <row r="11508" spans="2:9" ht="15" customHeight="1" x14ac:dyDescent="0.25">
      <c r="B11508" s="55" t="s">
        <v>281</v>
      </c>
      <c r="C11508" s="46">
        <v>1496</v>
      </c>
      <c r="D11508" s="69" t="s">
        <v>29418</v>
      </c>
      <c r="E11508" s="51"/>
      <c r="F11508" s="114" t="str">
        <f>IF(INDEX(I.Facility.P2bIDNumber,1496)="","",INDEX(I.Facility.P2bIDNumber,1496))</f>
        <v/>
      </c>
      <c r="G11508" s="51"/>
      <c r="H11508" s="46" t="str">
        <f>IF(AND(I.Developer.P2b=TRUE,I.Facility.P2bFacilityCount&gt;=1496,F11508=""),"Incomplete","Complete")</f>
        <v>Complete</v>
      </c>
      <c r="I11508" s="48" t="s">
        <v>15873</v>
      </c>
    </row>
    <row r="11509" spans="2:9" ht="15" customHeight="1" x14ac:dyDescent="0.25">
      <c r="B11509" s="55" t="s">
        <v>281</v>
      </c>
      <c r="C11509" s="46">
        <v>1497</v>
      </c>
      <c r="D11509" s="69" t="s">
        <v>29418</v>
      </c>
      <c r="E11509" s="51"/>
      <c r="F11509" s="114" t="str">
        <f>IF(INDEX(I.Facility.P2bIDNumber,1497)="","",INDEX(I.Facility.P2bIDNumber,1497))</f>
        <v/>
      </c>
      <c r="G11509" s="51"/>
      <c r="H11509" s="46" t="str">
        <f>IF(AND(I.Developer.P2b=TRUE,I.Facility.P2bFacilityCount&gt;=1497,F11509=""),"Incomplete","Complete")</f>
        <v>Complete</v>
      </c>
      <c r="I11509" s="48" t="s">
        <v>15874</v>
      </c>
    </row>
    <row r="11510" spans="2:9" ht="15" customHeight="1" x14ac:dyDescent="0.25">
      <c r="B11510" s="55" t="s">
        <v>281</v>
      </c>
      <c r="C11510" s="46">
        <v>1498</v>
      </c>
      <c r="D11510" s="69" t="s">
        <v>29418</v>
      </c>
      <c r="E11510" s="51"/>
      <c r="F11510" s="114" t="str">
        <f>IF(INDEX(I.Facility.P2bIDNumber,1498)="","",INDEX(I.Facility.P2bIDNumber,1498))</f>
        <v/>
      </c>
      <c r="G11510" s="51"/>
      <c r="H11510" s="46" t="str">
        <f>IF(AND(I.Developer.P2b=TRUE,I.Facility.P2bFacilityCount&gt;=1498,F11510=""),"Incomplete","Complete")</f>
        <v>Complete</v>
      </c>
      <c r="I11510" s="48" t="s">
        <v>15875</v>
      </c>
    </row>
    <row r="11511" spans="2:9" ht="15" customHeight="1" x14ac:dyDescent="0.25">
      <c r="B11511" s="55" t="s">
        <v>281</v>
      </c>
      <c r="C11511" s="46">
        <v>1499</v>
      </c>
      <c r="D11511" s="69" t="s">
        <v>29418</v>
      </c>
      <c r="E11511" s="51"/>
      <c r="F11511" s="114" t="str">
        <f>IF(INDEX(I.Facility.P2bIDNumber,1499)="","",INDEX(I.Facility.P2bIDNumber,1499))</f>
        <v/>
      </c>
      <c r="G11511" s="51"/>
      <c r="H11511" s="46" t="str">
        <f>IF(AND(I.Developer.P2b=TRUE,I.Facility.P2bFacilityCount&gt;=1499,F11511=""),"Incomplete","Complete")</f>
        <v>Complete</v>
      </c>
      <c r="I11511" s="48" t="s">
        <v>15876</v>
      </c>
    </row>
    <row r="11512" spans="2:9" ht="15" customHeight="1" x14ac:dyDescent="0.25">
      <c r="B11512" s="55" t="s">
        <v>281</v>
      </c>
      <c r="C11512" s="46">
        <v>1500</v>
      </c>
      <c r="D11512" s="69" t="s">
        <v>29418</v>
      </c>
      <c r="E11512" s="51"/>
      <c r="F11512" s="114" t="str">
        <f>IF(INDEX(I.Facility.P2bIDNumber,1500)="","",INDEX(I.Facility.P2bIDNumber,1500))</f>
        <v/>
      </c>
      <c r="G11512" s="51"/>
      <c r="H11512" s="46" t="str">
        <f>IF(AND(I.Developer.P2b=TRUE,I.Facility.P2bFacilityCount&gt;=1500,F11512=""),"Incomplete","Complete")</f>
        <v>Complete</v>
      </c>
      <c r="I11512" s="48" t="s">
        <v>15877</v>
      </c>
    </row>
    <row r="11513" spans="2:9" ht="15" customHeight="1" x14ac:dyDescent="0.25">
      <c r="B11513" s="55" t="s">
        <v>281</v>
      </c>
      <c r="C11513" s="46">
        <v>1501</v>
      </c>
      <c r="D11513" s="69" t="s">
        <v>29418</v>
      </c>
      <c r="E11513" s="51"/>
      <c r="F11513" s="114" t="str">
        <f>IF(INDEX(I.Facility.P2bIDNumber,1501)="","",INDEX(I.Facility.P2bIDNumber,1501))</f>
        <v/>
      </c>
      <c r="G11513" s="51"/>
      <c r="H11513" s="46" t="str">
        <f>IF(AND(I.Developer.P2b=TRUE,I.Facility.P2bFacilityCount&gt;=1501,F11513=""),"Incomplete","Complete")</f>
        <v>Complete</v>
      </c>
      <c r="I11513" s="48" t="s">
        <v>15878</v>
      </c>
    </row>
    <row r="11514" spans="2:9" ht="15" customHeight="1" x14ac:dyDescent="0.25">
      <c r="B11514" s="55" t="s">
        <v>281</v>
      </c>
      <c r="C11514" s="46">
        <v>1502</v>
      </c>
      <c r="D11514" s="69" t="s">
        <v>29418</v>
      </c>
      <c r="E11514" s="51"/>
      <c r="F11514" s="114" t="str">
        <f>IF(INDEX(I.Facility.P2bIDNumber,1502)="","",INDEX(I.Facility.P2bIDNumber,1502))</f>
        <v/>
      </c>
      <c r="G11514" s="51"/>
      <c r="H11514" s="46" t="str">
        <f>IF(AND(I.Developer.P2b=TRUE,I.Facility.P2bFacilityCount&gt;=1502,F11514=""),"Incomplete","Complete")</f>
        <v>Complete</v>
      </c>
      <c r="I11514" s="48" t="s">
        <v>15879</v>
      </c>
    </row>
    <row r="11515" spans="2:9" ht="15" customHeight="1" x14ac:dyDescent="0.25">
      <c r="B11515" s="55" t="s">
        <v>281</v>
      </c>
      <c r="C11515" s="46">
        <v>1503</v>
      </c>
      <c r="D11515" s="69" t="s">
        <v>29418</v>
      </c>
      <c r="E11515" s="51"/>
      <c r="F11515" s="114" t="str">
        <f>IF(INDEX(I.Facility.P2bIDNumber,1503)="","",INDEX(I.Facility.P2bIDNumber,1503))</f>
        <v/>
      </c>
      <c r="G11515" s="51"/>
      <c r="H11515" s="46" t="str">
        <f>IF(AND(I.Developer.P2b=TRUE,I.Facility.P2bFacilityCount&gt;=1503,F11515=""),"Incomplete","Complete")</f>
        <v>Complete</v>
      </c>
      <c r="I11515" s="48" t="s">
        <v>15880</v>
      </c>
    </row>
    <row r="11516" spans="2:9" ht="15" customHeight="1" x14ac:dyDescent="0.25">
      <c r="B11516" s="55" t="s">
        <v>281</v>
      </c>
      <c r="C11516" s="46">
        <v>1504</v>
      </c>
      <c r="D11516" s="69" t="s">
        <v>29418</v>
      </c>
      <c r="E11516" s="51"/>
      <c r="F11516" s="114" t="str">
        <f>IF(INDEX(I.Facility.P2bIDNumber,1504)="","",INDEX(I.Facility.P2bIDNumber,1504))</f>
        <v/>
      </c>
      <c r="G11516" s="51"/>
      <c r="H11516" s="46" t="str">
        <f>IF(AND(I.Developer.P2b=TRUE,I.Facility.P2bFacilityCount&gt;=1504,F11516=""),"Incomplete","Complete")</f>
        <v>Complete</v>
      </c>
      <c r="I11516" s="48" t="s">
        <v>15881</v>
      </c>
    </row>
    <row r="11517" spans="2:9" ht="15" customHeight="1" x14ac:dyDescent="0.25">
      <c r="B11517" s="55" t="s">
        <v>281</v>
      </c>
      <c r="C11517" s="46">
        <v>1505</v>
      </c>
      <c r="D11517" s="69" t="s">
        <v>29418</v>
      </c>
      <c r="E11517" s="51"/>
      <c r="F11517" s="114" t="str">
        <f>IF(INDEX(I.Facility.P2bIDNumber,1505)="","",INDEX(I.Facility.P2bIDNumber,1505))</f>
        <v/>
      </c>
      <c r="G11517" s="51"/>
      <c r="H11517" s="46" t="str">
        <f>IF(AND(I.Developer.P2b=TRUE,I.Facility.P2bFacilityCount&gt;=1505,F11517=""),"Incomplete","Complete")</f>
        <v>Complete</v>
      </c>
      <c r="I11517" s="48" t="s">
        <v>15882</v>
      </c>
    </row>
    <row r="11518" spans="2:9" ht="15" customHeight="1" x14ac:dyDescent="0.25">
      <c r="B11518" s="55" t="s">
        <v>281</v>
      </c>
      <c r="C11518" s="46">
        <v>1506</v>
      </c>
      <c r="D11518" s="69" t="s">
        <v>29418</v>
      </c>
      <c r="E11518" s="51"/>
      <c r="F11518" s="114" t="str">
        <f>IF(INDEX(I.Facility.P2bIDNumber,1506)="","",INDEX(I.Facility.P2bIDNumber,1506))</f>
        <v/>
      </c>
      <c r="G11518" s="51"/>
      <c r="H11518" s="46" t="str">
        <f>IF(AND(I.Developer.P2b=TRUE,I.Facility.P2bFacilityCount&gt;=1506,F11518=""),"Incomplete","Complete")</f>
        <v>Complete</v>
      </c>
      <c r="I11518" s="48" t="s">
        <v>15883</v>
      </c>
    </row>
    <row r="11519" spans="2:9" ht="15" customHeight="1" x14ac:dyDescent="0.25">
      <c r="B11519" s="55" t="s">
        <v>281</v>
      </c>
      <c r="C11519" s="46">
        <v>1507</v>
      </c>
      <c r="D11519" s="69" t="s">
        <v>29418</v>
      </c>
      <c r="E11519" s="51"/>
      <c r="F11519" s="114" t="str">
        <f>IF(INDEX(I.Facility.P2bIDNumber,1507)="","",INDEX(I.Facility.P2bIDNumber,1507))</f>
        <v/>
      </c>
      <c r="G11519" s="51"/>
      <c r="H11519" s="46" t="str">
        <f>IF(AND(I.Developer.P2b=TRUE,I.Facility.P2bFacilityCount&gt;=1507,F11519=""),"Incomplete","Complete")</f>
        <v>Complete</v>
      </c>
      <c r="I11519" s="48" t="s">
        <v>15884</v>
      </c>
    </row>
    <row r="11520" spans="2:9" ht="15" customHeight="1" x14ac:dyDescent="0.25">
      <c r="B11520" s="55" t="s">
        <v>281</v>
      </c>
      <c r="C11520" s="46">
        <v>1508</v>
      </c>
      <c r="D11520" s="69" t="s">
        <v>29418</v>
      </c>
      <c r="E11520" s="51"/>
      <c r="F11520" s="114" t="str">
        <f>IF(INDEX(I.Facility.P2bIDNumber,1508)="","",INDEX(I.Facility.P2bIDNumber,1508))</f>
        <v/>
      </c>
      <c r="G11520" s="51"/>
      <c r="H11520" s="46" t="str">
        <f>IF(AND(I.Developer.P2b=TRUE,I.Facility.P2bFacilityCount&gt;=1508,F11520=""),"Incomplete","Complete")</f>
        <v>Complete</v>
      </c>
      <c r="I11520" s="48" t="s">
        <v>15885</v>
      </c>
    </row>
    <row r="11521" spans="2:9" ht="15" customHeight="1" x14ac:dyDescent="0.25">
      <c r="B11521" s="55" t="s">
        <v>281</v>
      </c>
      <c r="C11521" s="46">
        <v>1509</v>
      </c>
      <c r="D11521" s="69" t="s">
        <v>29418</v>
      </c>
      <c r="E11521" s="51"/>
      <c r="F11521" s="114" t="str">
        <f>IF(INDEX(I.Facility.P2bIDNumber,1509)="","",INDEX(I.Facility.P2bIDNumber,1509))</f>
        <v/>
      </c>
      <c r="G11521" s="51"/>
      <c r="H11521" s="46" t="str">
        <f>IF(AND(I.Developer.P2b=TRUE,I.Facility.P2bFacilityCount&gt;=1509,F11521=""),"Incomplete","Complete")</f>
        <v>Complete</v>
      </c>
      <c r="I11521" s="48" t="s">
        <v>15886</v>
      </c>
    </row>
    <row r="11522" spans="2:9" ht="15" customHeight="1" x14ac:dyDescent="0.25">
      <c r="B11522" s="55" t="s">
        <v>281</v>
      </c>
      <c r="C11522" s="46">
        <v>1510</v>
      </c>
      <c r="D11522" s="69" t="s">
        <v>29418</v>
      </c>
      <c r="E11522" s="51"/>
      <c r="F11522" s="114" t="str">
        <f>IF(INDEX(I.Facility.P2bIDNumber,1510)="","",INDEX(I.Facility.P2bIDNumber,1510))</f>
        <v/>
      </c>
      <c r="G11522" s="51"/>
      <c r="H11522" s="46" t="str">
        <f>IF(AND(I.Developer.P2b=TRUE,I.Facility.P2bFacilityCount&gt;=1510,F11522=""),"Incomplete","Complete")</f>
        <v>Complete</v>
      </c>
      <c r="I11522" s="48" t="s">
        <v>15887</v>
      </c>
    </row>
    <row r="11523" spans="2:9" ht="15" customHeight="1" x14ac:dyDescent="0.25">
      <c r="B11523" s="55" t="s">
        <v>281</v>
      </c>
      <c r="C11523" s="46">
        <v>1511</v>
      </c>
      <c r="D11523" s="69" t="s">
        <v>29418</v>
      </c>
      <c r="E11523" s="51"/>
      <c r="F11523" s="114" t="str">
        <f>IF(INDEX(I.Facility.P2bIDNumber,1511)="","",INDEX(I.Facility.P2bIDNumber,1511))</f>
        <v/>
      </c>
      <c r="G11523" s="51"/>
      <c r="H11523" s="46" t="str">
        <f>IF(AND(I.Developer.P2b=TRUE,I.Facility.P2bFacilityCount&gt;=1511,F11523=""),"Incomplete","Complete")</f>
        <v>Complete</v>
      </c>
      <c r="I11523" s="48" t="s">
        <v>15888</v>
      </c>
    </row>
    <row r="11524" spans="2:9" ht="15" customHeight="1" x14ac:dyDescent="0.25">
      <c r="B11524" s="55" t="s">
        <v>281</v>
      </c>
      <c r="C11524" s="46">
        <v>1512</v>
      </c>
      <c r="D11524" s="69" t="s">
        <v>29418</v>
      </c>
      <c r="E11524" s="51"/>
      <c r="F11524" s="114" t="str">
        <f>IF(INDEX(I.Facility.P2bIDNumber,1512)="","",INDEX(I.Facility.P2bIDNumber,1512))</f>
        <v/>
      </c>
      <c r="G11524" s="51"/>
      <c r="H11524" s="46" t="str">
        <f>IF(AND(I.Developer.P2b=TRUE,I.Facility.P2bFacilityCount&gt;=1512,F11524=""),"Incomplete","Complete")</f>
        <v>Complete</v>
      </c>
      <c r="I11524" s="48" t="s">
        <v>15889</v>
      </c>
    </row>
    <row r="11525" spans="2:9" ht="15" customHeight="1" x14ac:dyDescent="0.25">
      <c r="B11525" s="55" t="s">
        <v>281</v>
      </c>
      <c r="C11525" s="46">
        <v>1513</v>
      </c>
      <c r="D11525" s="69" t="s">
        <v>29418</v>
      </c>
      <c r="E11525" s="51"/>
      <c r="F11525" s="114" t="str">
        <f>IF(INDEX(I.Facility.P2bIDNumber,1513)="","",INDEX(I.Facility.P2bIDNumber,1513))</f>
        <v/>
      </c>
      <c r="G11525" s="51"/>
      <c r="H11525" s="46" t="str">
        <f>IF(AND(I.Developer.P2b=TRUE,I.Facility.P2bFacilityCount&gt;=1513,F11525=""),"Incomplete","Complete")</f>
        <v>Complete</v>
      </c>
      <c r="I11525" s="48" t="s">
        <v>15890</v>
      </c>
    </row>
    <row r="11526" spans="2:9" ht="15" customHeight="1" x14ac:dyDescent="0.25">
      <c r="B11526" s="55" t="s">
        <v>281</v>
      </c>
      <c r="C11526" s="46">
        <v>1514</v>
      </c>
      <c r="D11526" s="69" t="s">
        <v>29418</v>
      </c>
      <c r="E11526" s="51"/>
      <c r="F11526" s="114" t="str">
        <f>IF(INDEX(I.Facility.P2bIDNumber,1514)="","",INDEX(I.Facility.P2bIDNumber,1514))</f>
        <v/>
      </c>
      <c r="G11526" s="51"/>
      <c r="H11526" s="46" t="str">
        <f>IF(AND(I.Developer.P2b=TRUE,I.Facility.P2bFacilityCount&gt;=1514,F11526=""),"Incomplete","Complete")</f>
        <v>Complete</v>
      </c>
      <c r="I11526" s="48" t="s">
        <v>15891</v>
      </c>
    </row>
    <row r="11527" spans="2:9" ht="15" customHeight="1" x14ac:dyDescent="0.25">
      <c r="B11527" s="55" t="s">
        <v>281</v>
      </c>
      <c r="C11527" s="46">
        <v>1515</v>
      </c>
      <c r="D11527" s="69" t="s">
        <v>29418</v>
      </c>
      <c r="E11527" s="51"/>
      <c r="F11527" s="114" t="str">
        <f>IF(INDEX(I.Facility.P2bIDNumber,1515)="","",INDEX(I.Facility.P2bIDNumber,1515))</f>
        <v/>
      </c>
      <c r="G11527" s="51"/>
      <c r="H11527" s="46" t="str">
        <f>IF(AND(I.Developer.P2b=TRUE,I.Facility.P2bFacilityCount&gt;=1515,F11527=""),"Incomplete","Complete")</f>
        <v>Complete</v>
      </c>
      <c r="I11527" s="48" t="s">
        <v>15892</v>
      </c>
    </row>
    <row r="11528" spans="2:9" ht="15" customHeight="1" x14ac:dyDescent="0.25">
      <c r="B11528" s="55" t="s">
        <v>281</v>
      </c>
      <c r="C11528" s="46">
        <v>1516</v>
      </c>
      <c r="D11528" s="69" t="s">
        <v>29418</v>
      </c>
      <c r="E11528" s="51"/>
      <c r="F11528" s="114" t="str">
        <f>IF(INDEX(I.Facility.P2bIDNumber,1516)="","",INDEX(I.Facility.P2bIDNumber,1516))</f>
        <v/>
      </c>
      <c r="G11528" s="51"/>
      <c r="H11528" s="46" t="str">
        <f>IF(AND(I.Developer.P2b=TRUE,I.Facility.P2bFacilityCount&gt;=1516,F11528=""),"Incomplete","Complete")</f>
        <v>Complete</v>
      </c>
      <c r="I11528" s="48" t="s">
        <v>15893</v>
      </c>
    </row>
    <row r="11529" spans="2:9" ht="15" customHeight="1" x14ac:dyDescent="0.25">
      <c r="B11529" s="55" t="s">
        <v>281</v>
      </c>
      <c r="C11529" s="46">
        <v>1517</v>
      </c>
      <c r="D11529" s="69" t="s">
        <v>29418</v>
      </c>
      <c r="E11529" s="51"/>
      <c r="F11529" s="114" t="str">
        <f>IF(INDEX(I.Facility.P2bIDNumber,1517)="","",INDEX(I.Facility.P2bIDNumber,1517))</f>
        <v/>
      </c>
      <c r="G11529" s="51"/>
      <c r="H11529" s="46" t="str">
        <f>IF(AND(I.Developer.P2b=TRUE,I.Facility.P2bFacilityCount&gt;=1517,F11529=""),"Incomplete","Complete")</f>
        <v>Complete</v>
      </c>
      <c r="I11529" s="48" t="s">
        <v>15894</v>
      </c>
    </row>
    <row r="11530" spans="2:9" ht="15" customHeight="1" x14ac:dyDescent="0.25">
      <c r="B11530" s="55" t="s">
        <v>281</v>
      </c>
      <c r="C11530" s="46">
        <v>1518</v>
      </c>
      <c r="D11530" s="69" t="s">
        <v>29418</v>
      </c>
      <c r="E11530" s="51"/>
      <c r="F11530" s="114" t="str">
        <f>IF(INDEX(I.Facility.P2bIDNumber,1518)="","",INDEX(I.Facility.P2bIDNumber,1518))</f>
        <v/>
      </c>
      <c r="G11530" s="51"/>
      <c r="H11530" s="46" t="str">
        <f>IF(AND(I.Developer.P2b=TRUE,I.Facility.P2bFacilityCount&gt;=1518,F11530=""),"Incomplete","Complete")</f>
        <v>Complete</v>
      </c>
      <c r="I11530" s="48" t="s">
        <v>15895</v>
      </c>
    </row>
    <row r="11531" spans="2:9" ht="15" customHeight="1" x14ac:dyDescent="0.25">
      <c r="B11531" s="55" t="s">
        <v>281</v>
      </c>
      <c r="C11531" s="46">
        <v>1519</v>
      </c>
      <c r="D11531" s="69" t="s">
        <v>29418</v>
      </c>
      <c r="E11531" s="51"/>
      <c r="F11531" s="114" t="str">
        <f>IF(INDEX(I.Facility.P2bIDNumber,1519)="","",INDEX(I.Facility.P2bIDNumber,1519))</f>
        <v/>
      </c>
      <c r="G11531" s="51"/>
      <c r="H11531" s="46" t="str">
        <f>IF(AND(I.Developer.P2b=TRUE,I.Facility.P2bFacilityCount&gt;=1519,F11531=""),"Incomplete","Complete")</f>
        <v>Complete</v>
      </c>
      <c r="I11531" s="48" t="s">
        <v>15896</v>
      </c>
    </row>
    <row r="11532" spans="2:9" ht="15" customHeight="1" x14ac:dyDescent="0.25">
      <c r="B11532" s="55" t="s">
        <v>281</v>
      </c>
      <c r="C11532" s="46">
        <v>1520</v>
      </c>
      <c r="D11532" s="69" t="s">
        <v>29418</v>
      </c>
      <c r="E11532" s="51"/>
      <c r="F11532" s="114" t="str">
        <f>IF(INDEX(I.Facility.P2bIDNumber,1520)="","",INDEX(I.Facility.P2bIDNumber,1520))</f>
        <v/>
      </c>
      <c r="G11532" s="51"/>
      <c r="H11532" s="46" t="str">
        <f>IF(AND(I.Developer.P2b=TRUE,I.Facility.P2bFacilityCount&gt;=1520,F11532=""),"Incomplete","Complete")</f>
        <v>Complete</v>
      </c>
      <c r="I11532" s="48" t="s">
        <v>15897</v>
      </c>
    </row>
    <row r="11533" spans="2:9" ht="15" customHeight="1" x14ac:dyDescent="0.25">
      <c r="B11533" s="55" t="s">
        <v>281</v>
      </c>
      <c r="C11533" s="46">
        <v>1521</v>
      </c>
      <c r="D11533" s="69" t="s">
        <v>29418</v>
      </c>
      <c r="E11533" s="51"/>
      <c r="F11533" s="114" t="str">
        <f>IF(INDEX(I.Facility.P2bIDNumber,1521)="","",INDEX(I.Facility.P2bIDNumber,1521))</f>
        <v/>
      </c>
      <c r="G11533" s="51"/>
      <c r="H11533" s="46" t="str">
        <f>IF(AND(I.Developer.P2b=TRUE,I.Facility.P2bFacilityCount&gt;=1521,F11533=""),"Incomplete","Complete")</f>
        <v>Complete</v>
      </c>
      <c r="I11533" s="48" t="s">
        <v>15898</v>
      </c>
    </row>
    <row r="11534" spans="2:9" ht="15" customHeight="1" x14ac:dyDescent="0.25">
      <c r="B11534" s="55" t="s">
        <v>281</v>
      </c>
      <c r="C11534" s="46">
        <v>1522</v>
      </c>
      <c r="D11534" s="69" t="s">
        <v>29418</v>
      </c>
      <c r="E11534" s="51"/>
      <c r="F11534" s="114" t="str">
        <f>IF(INDEX(I.Facility.P2bIDNumber,1522)="","",INDEX(I.Facility.P2bIDNumber,1522))</f>
        <v/>
      </c>
      <c r="G11534" s="51"/>
      <c r="H11534" s="46" t="str">
        <f>IF(AND(I.Developer.P2b=TRUE,I.Facility.P2bFacilityCount&gt;=1522,F11534=""),"Incomplete","Complete")</f>
        <v>Complete</v>
      </c>
      <c r="I11534" s="48" t="s">
        <v>15899</v>
      </c>
    </row>
    <row r="11535" spans="2:9" ht="15" customHeight="1" x14ac:dyDescent="0.25">
      <c r="B11535" s="55" t="s">
        <v>281</v>
      </c>
      <c r="C11535" s="46">
        <v>1523</v>
      </c>
      <c r="D11535" s="69" t="s">
        <v>29418</v>
      </c>
      <c r="E11535" s="51"/>
      <c r="F11535" s="114" t="str">
        <f>IF(INDEX(I.Facility.P2bIDNumber,1523)="","",INDEX(I.Facility.P2bIDNumber,1523))</f>
        <v/>
      </c>
      <c r="G11535" s="51"/>
      <c r="H11535" s="46" t="str">
        <f>IF(AND(I.Developer.P2b=TRUE,I.Facility.P2bFacilityCount&gt;=1523,F11535=""),"Incomplete","Complete")</f>
        <v>Complete</v>
      </c>
      <c r="I11535" s="48" t="s">
        <v>15900</v>
      </c>
    </row>
    <row r="11536" spans="2:9" ht="15" customHeight="1" x14ac:dyDescent="0.25">
      <c r="B11536" s="55" t="s">
        <v>281</v>
      </c>
      <c r="C11536" s="46">
        <v>1524</v>
      </c>
      <c r="D11536" s="69" t="s">
        <v>29418</v>
      </c>
      <c r="E11536" s="51"/>
      <c r="F11536" s="114" t="str">
        <f>IF(INDEX(I.Facility.P2bIDNumber,1524)="","",INDEX(I.Facility.P2bIDNumber,1524))</f>
        <v/>
      </c>
      <c r="G11536" s="51"/>
      <c r="H11536" s="46" t="str">
        <f>IF(AND(I.Developer.P2b=TRUE,I.Facility.P2bFacilityCount&gt;=1524,F11536=""),"Incomplete","Complete")</f>
        <v>Complete</v>
      </c>
      <c r="I11536" s="48" t="s">
        <v>15901</v>
      </c>
    </row>
    <row r="11537" spans="2:9" ht="15" customHeight="1" x14ac:dyDescent="0.25">
      <c r="B11537" s="55" t="s">
        <v>281</v>
      </c>
      <c r="C11537" s="46">
        <v>1525</v>
      </c>
      <c r="D11537" s="69" t="s">
        <v>29418</v>
      </c>
      <c r="E11537" s="51"/>
      <c r="F11537" s="114" t="str">
        <f>IF(INDEX(I.Facility.P2bIDNumber,1525)="","",INDEX(I.Facility.P2bIDNumber,1525))</f>
        <v/>
      </c>
      <c r="G11537" s="51"/>
      <c r="H11537" s="46" t="str">
        <f>IF(AND(I.Developer.P2b=TRUE,I.Facility.P2bFacilityCount&gt;=1525,F11537=""),"Incomplete","Complete")</f>
        <v>Complete</v>
      </c>
      <c r="I11537" s="48" t="s">
        <v>15902</v>
      </c>
    </row>
    <row r="11538" spans="2:9" ht="15" customHeight="1" x14ac:dyDescent="0.25">
      <c r="B11538" s="55" t="s">
        <v>281</v>
      </c>
      <c r="C11538" s="46">
        <v>1526</v>
      </c>
      <c r="D11538" s="69" t="s">
        <v>29418</v>
      </c>
      <c r="E11538" s="51"/>
      <c r="F11538" s="114" t="str">
        <f>IF(INDEX(I.Facility.P2bIDNumber,1526)="","",INDEX(I.Facility.P2bIDNumber,1526))</f>
        <v/>
      </c>
      <c r="G11538" s="51"/>
      <c r="H11538" s="46" t="str">
        <f>IF(AND(I.Developer.P2b=TRUE,I.Facility.P2bFacilityCount&gt;=1526,F11538=""),"Incomplete","Complete")</f>
        <v>Complete</v>
      </c>
      <c r="I11538" s="48" t="s">
        <v>15903</v>
      </c>
    </row>
    <row r="11539" spans="2:9" ht="15" customHeight="1" x14ac:dyDescent="0.25">
      <c r="B11539" s="55" t="s">
        <v>281</v>
      </c>
      <c r="C11539" s="46">
        <v>1527</v>
      </c>
      <c r="D11539" s="69" t="s">
        <v>29418</v>
      </c>
      <c r="E11539" s="51"/>
      <c r="F11539" s="114" t="str">
        <f>IF(INDEX(I.Facility.P2bIDNumber,1527)="","",INDEX(I.Facility.P2bIDNumber,1527))</f>
        <v/>
      </c>
      <c r="G11539" s="51"/>
      <c r="H11539" s="46" t="str">
        <f>IF(AND(I.Developer.P2b=TRUE,I.Facility.P2bFacilityCount&gt;=1527,F11539=""),"Incomplete","Complete")</f>
        <v>Complete</v>
      </c>
      <c r="I11539" s="48" t="s">
        <v>15904</v>
      </c>
    </row>
    <row r="11540" spans="2:9" ht="15" customHeight="1" x14ac:dyDescent="0.25">
      <c r="B11540" s="55" t="s">
        <v>281</v>
      </c>
      <c r="C11540" s="46">
        <v>1528</v>
      </c>
      <c r="D11540" s="69" t="s">
        <v>29418</v>
      </c>
      <c r="E11540" s="51"/>
      <c r="F11540" s="114" t="str">
        <f>IF(INDEX(I.Facility.P2bIDNumber,1528)="","",INDEX(I.Facility.P2bIDNumber,1528))</f>
        <v/>
      </c>
      <c r="G11540" s="51"/>
      <c r="H11540" s="46" t="str">
        <f>IF(AND(I.Developer.P2b=TRUE,I.Facility.P2bFacilityCount&gt;=1528,F11540=""),"Incomplete","Complete")</f>
        <v>Complete</v>
      </c>
      <c r="I11540" s="48" t="s">
        <v>15905</v>
      </c>
    </row>
    <row r="11541" spans="2:9" ht="15" customHeight="1" x14ac:dyDescent="0.25">
      <c r="B11541" s="55" t="s">
        <v>281</v>
      </c>
      <c r="C11541" s="46">
        <v>1529</v>
      </c>
      <c r="D11541" s="69" t="s">
        <v>29418</v>
      </c>
      <c r="E11541" s="51"/>
      <c r="F11541" s="114" t="str">
        <f>IF(INDEX(I.Facility.P2bIDNumber,1529)="","",INDEX(I.Facility.P2bIDNumber,1529))</f>
        <v/>
      </c>
      <c r="G11541" s="51"/>
      <c r="H11541" s="46" t="str">
        <f>IF(AND(I.Developer.P2b=TRUE,I.Facility.P2bFacilityCount&gt;=1529,F11541=""),"Incomplete","Complete")</f>
        <v>Complete</v>
      </c>
      <c r="I11541" s="48" t="s">
        <v>15906</v>
      </c>
    </row>
    <row r="11542" spans="2:9" ht="15" customHeight="1" x14ac:dyDescent="0.25">
      <c r="B11542" s="55" t="s">
        <v>281</v>
      </c>
      <c r="C11542" s="46">
        <v>1530</v>
      </c>
      <c r="D11542" s="69" t="s">
        <v>29418</v>
      </c>
      <c r="E11542" s="51"/>
      <c r="F11542" s="114" t="str">
        <f>IF(INDEX(I.Facility.P2bIDNumber,1530)="","",INDEX(I.Facility.P2bIDNumber,1530))</f>
        <v/>
      </c>
      <c r="G11542" s="51"/>
      <c r="H11542" s="46" t="str">
        <f>IF(AND(I.Developer.P2b=TRUE,I.Facility.P2bFacilityCount&gt;=1530,F11542=""),"Incomplete","Complete")</f>
        <v>Complete</v>
      </c>
      <c r="I11542" s="48" t="s">
        <v>15907</v>
      </c>
    </row>
    <row r="11543" spans="2:9" ht="15" customHeight="1" x14ac:dyDescent="0.25">
      <c r="B11543" s="55" t="s">
        <v>281</v>
      </c>
      <c r="C11543" s="46">
        <v>1531</v>
      </c>
      <c r="D11543" s="69" t="s">
        <v>29418</v>
      </c>
      <c r="E11543" s="51"/>
      <c r="F11543" s="114" t="str">
        <f>IF(INDEX(I.Facility.P2bIDNumber,1531)="","",INDEX(I.Facility.P2bIDNumber,1531))</f>
        <v/>
      </c>
      <c r="G11543" s="51"/>
      <c r="H11543" s="46" t="str">
        <f>IF(AND(I.Developer.P2b=TRUE,I.Facility.P2bFacilityCount&gt;=1531,F11543=""),"Incomplete","Complete")</f>
        <v>Complete</v>
      </c>
      <c r="I11543" s="48" t="s">
        <v>15908</v>
      </c>
    </row>
    <row r="11544" spans="2:9" ht="15" customHeight="1" x14ac:dyDescent="0.25">
      <c r="B11544" s="55" t="s">
        <v>281</v>
      </c>
      <c r="C11544" s="46">
        <v>1532</v>
      </c>
      <c r="D11544" s="69" t="s">
        <v>29418</v>
      </c>
      <c r="E11544" s="51"/>
      <c r="F11544" s="114" t="str">
        <f>IF(INDEX(I.Facility.P2bIDNumber,1532)="","",INDEX(I.Facility.P2bIDNumber,1532))</f>
        <v/>
      </c>
      <c r="G11544" s="51"/>
      <c r="H11544" s="46" t="str">
        <f>IF(AND(I.Developer.P2b=TRUE,I.Facility.P2bFacilityCount&gt;=1532,F11544=""),"Incomplete","Complete")</f>
        <v>Complete</v>
      </c>
      <c r="I11544" s="48" t="s">
        <v>15909</v>
      </c>
    </row>
    <row r="11545" spans="2:9" ht="15" customHeight="1" x14ac:dyDescent="0.25">
      <c r="B11545" s="55" t="s">
        <v>281</v>
      </c>
      <c r="C11545" s="46">
        <v>1533</v>
      </c>
      <c r="D11545" s="69" t="s">
        <v>29418</v>
      </c>
      <c r="E11545" s="51"/>
      <c r="F11545" s="114" t="str">
        <f>IF(INDEX(I.Facility.P2bIDNumber,1533)="","",INDEX(I.Facility.P2bIDNumber,1533))</f>
        <v/>
      </c>
      <c r="G11545" s="51"/>
      <c r="H11545" s="46" t="str">
        <f>IF(AND(I.Developer.P2b=TRUE,I.Facility.P2bFacilityCount&gt;=1533,F11545=""),"Incomplete","Complete")</f>
        <v>Complete</v>
      </c>
      <c r="I11545" s="48" t="s">
        <v>15910</v>
      </c>
    </row>
    <row r="11546" spans="2:9" ht="15" customHeight="1" x14ac:dyDescent="0.25">
      <c r="B11546" s="55" t="s">
        <v>281</v>
      </c>
      <c r="C11546" s="46">
        <v>1534</v>
      </c>
      <c r="D11546" s="69" t="s">
        <v>29418</v>
      </c>
      <c r="E11546" s="51"/>
      <c r="F11546" s="114" t="str">
        <f>IF(INDEX(I.Facility.P2bIDNumber,1534)="","",INDEX(I.Facility.P2bIDNumber,1534))</f>
        <v/>
      </c>
      <c r="G11546" s="51"/>
      <c r="H11546" s="46" t="str">
        <f>IF(AND(I.Developer.P2b=TRUE,I.Facility.P2bFacilityCount&gt;=1534,F11546=""),"Incomplete","Complete")</f>
        <v>Complete</v>
      </c>
      <c r="I11546" s="48" t="s">
        <v>15911</v>
      </c>
    </row>
    <row r="11547" spans="2:9" ht="15" customHeight="1" x14ac:dyDescent="0.25">
      <c r="B11547" s="55" t="s">
        <v>281</v>
      </c>
      <c r="C11547" s="46">
        <v>1535</v>
      </c>
      <c r="D11547" s="69" t="s">
        <v>29418</v>
      </c>
      <c r="E11547" s="51"/>
      <c r="F11547" s="114" t="str">
        <f>IF(INDEX(I.Facility.P2bIDNumber,1535)="","",INDEX(I.Facility.P2bIDNumber,1535))</f>
        <v/>
      </c>
      <c r="G11547" s="51"/>
      <c r="H11547" s="46" t="str">
        <f>IF(AND(I.Developer.P2b=TRUE,I.Facility.P2bFacilityCount&gt;=1535,F11547=""),"Incomplete","Complete")</f>
        <v>Complete</v>
      </c>
      <c r="I11547" s="48" t="s">
        <v>15912</v>
      </c>
    </row>
    <row r="11548" spans="2:9" ht="15" customHeight="1" x14ac:dyDescent="0.25">
      <c r="B11548" s="55" t="s">
        <v>281</v>
      </c>
      <c r="C11548" s="46">
        <v>1536</v>
      </c>
      <c r="D11548" s="69" t="s">
        <v>29418</v>
      </c>
      <c r="E11548" s="51"/>
      <c r="F11548" s="114" t="str">
        <f>IF(INDEX(I.Facility.P2bIDNumber,1536)="","",INDEX(I.Facility.P2bIDNumber,1536))</f>
        <v/>
      </c>
      <c r="G11548" s="51"/>
      <c r="H11548" s="46" t="str">
        <f>IF(AND(I.Developer.P2b=TRUE,I.Facility.P2bFacilityCount&gt;=1536,F11548=""),"Incomplete","Complete")</f>
        <v>Complete</v>
      </c>
      <c r="I11548" s="48" t="s">
        <v>15913</v>
      </c>
    </row>
    <row r="11549" spans="2:9" ht="15" customHeight="1" x14ac:dyDescent="0.25">
      <c r="B11549" s="55" t="s">
        <v>281</v>
      </c>
      <c r="C11549" s="46">
        <v>1537</v>
      </c>
      <c r="D11549" s="69" t="s">
        <v>29418</v>
      </c>
      <c r="E11549" s="51"/>
      <c r="F11549" s="114" t="str">
        <f>IF(INDEX(I.Facility.P2bIDNumber,1537)="","",INDEX(I.Facility.P2bIDNumber,1537))</f>
        <v/>
      </c>
      <c r="G11549" s="51"/>
      <c r="H11549" s="46" t="str">
        <f>IF(AND(I.Developer.P2b=TRUE,I.Facility.P2bFacilityCount&gt;=1537,F11549=""),"Incomplete","Complete")</f>
        <v>Complete</v>
      </c>
      <c r="I11549" s="48" t="s">
        <v>15914</v>
      </c>
    </row>
    <row r="11550" spans="2:9" ht="15" customHeight="1" x14ac:dyDescent="0.25">
      <c r="B11550" s="55" t="s">
        <v>281</v>
      </c>
      <c r="C11550" s="46">
        <v>1538</v>
      </c>
      <c r="D11550" s="69" t="s">
        <v>29418</v>
      </c>
      <c r="E11550" s="51"/>
      <c r="F11550" s="114" t="str">
        <f>IF(INDEX(I.Facility.P2bIDNumber,1538)="","",INDEX(I.Facility.P2bIDNumber,1538))</f>
        <v/>
      </c>
      <c r="G11550" s="51"/>
      <c r="H11550" s="46" t="str">
        <f>IF(AND(I.Developer.P2b=TRUE,I.Facility.P2bFacilityCount&gt;=1538,F11550=""),"Incomplete","Complete")</f>
        <v>Complete</v>
      </c>
      <c r="I11550" s="48" t="s">
        <v>15915</v>
      </c>
    </row>
    <row r="11551" spans="2:9" ht="15" customHeight="1" x14ac:dyDescent="0.25">
      <c r="B11551" s="55" t="s">
        <v>281</v>
      </c>
      <c r="C11551" s="46">
        <v>1539</v>
      </c>
      <c r="D11551" s="69" t="s">
        <v>29418</v>
      </c>
      <c r="E11551" s="51"/>
      <c r="F11551" s="114" t="str">
        <f>IF(INDEX(I.Facility.P2bIDNumber,1539)="","",INDEX(I.Facility.P2bIDNumber,1539))</f>
        <v/>
      </c>
      <c r="G11551" s="51"/>
      <c r="H11551" s="46" t="str">
        <f>IF(AND(I.Developer.P2b=TRUE,I.Facility.P2bFacilityCount&gt;=1539,F11551=""),"Incomplete","Complete")</f>
        <v>Complete</v>
      </c>
      <c r="I11551" s="48" t="s">
        <v>15916</v>
      </c>
    </row>
    <row r="11552" spans="2:9" ht="15" customHeight="1" x14ac:dyDescent="0.25">
      <c r="B11552" s="55" t="s">
        <v>281</v>
      </c>
      <c r="C11552" s="46">
        <v>1540</v>
      </c>
      <c r="D11552" s="69" t="s">
        <v>29418</v>
      </c>
      <c r="E11552" s="51"/>
      <c r="F11552" s="114" t="str">
        <f>IF(INDEX(I.Facility.P2bIDNumber,1540)="","",INDEX(I.Facility.P2bIDNumber,1540))</f>
        <v/>
      </c>
      <c r="G11552" s="51"/>
      <c r="H11552" s="46" t="str">
        <f>IF(AND(I.Developer.P2b=TRUE,I.Facility.P2bFacilityCount&gt;=1540,F11552=""),"Incomplete","Complete")</f>
        <v>Complete</v>
      </c>
      <c r="I11552" s="48" t="s">
        <v>15917</v>
      </c>
    </row>
    <row r="11553" spans="2:9" ht="15" customHeight="1" x14ac:dyDescent="0.25">
      <c r="B11553" s="55" t="s">
        <v>281</v>
      </c>
      <c r="C11553" s="46">
        <v>1541</v>
      </c>
      <c r="D11553" s="69" t="s">
        <v>29418</v>
      </c>
      <c r="E11553" s="51"/>
      <c r="F11553" s="114" t="str">
        <f>IF(INDEX(I.Facility.P2bIDNumber,1541)="","",INDEX(I.Facility.P2bIDNumber,1541))</f>
        <v/>
      </c>
      <c r="G11553" s="51"/>
      <c r="H11553" s="46" t="str">
        <f>IF(AND(I.Developer.P2b=TRUE,I.Facility.P2bFacilityCount&gt;=1541,F11553=""),"Incomplete","Complete")</f>
        <v>Complete</v>
      </c>
      <c r="I11553" s="48" t="s">
        <v>15918</v>
      </c>
    </row>
    <row r="11554" spans="2:9" ht="15" customHeight="1" x14ac:dyDescent="0.25">
      <c r="B11554" s="55" t="s">
        <v>281</v>
      </c>
      <c r="C11554" s="46">
        <v>1542</v>
      </c>
      <c r="D11554" s="69" t="s">
        <v>29418</v>
      </c>
      <c r="E11554" s="51"/>
      <c r="F11554" s="114" t="str">
        <f>IF(INDEX(I.Facility.P2bIDNumber,1542)="","",INDEX(I.Facility.P2bIDNumber,1542))</f>
        <v/>
      </c>
      <c r="G11554" s="51"/>
      <c r="H11554" s="46" t="str">
        <f>IF(AND(I.Developer.P2b=TRUE,I.Facility.P2bFacilityCount&gt;=1542,F11554=""),"Incomplete","Complete")</f>
        <v>Complete</v>
      </c>
      <c r="I11554" s="48" t="s">
        <v>15919</v>
      </c>
    </row>
    <row r="11555" spans="2:9" ht="15" customHeight="1" x14ac:dyDescent="0.25">
      <c r="B11555" s="55" t="s">
        <v>281</v>
      </c>
      <c r="C11555" s="46">
        <v>1543</v>
      </c>
      <c r="D11555" s="69" t="s">
        <v>29418</v>
      </c>
      <c r="E11555" s="51"/>
      <c r="F11555" s="114" t="str">
        <f>IF(INDEX(I.Facility.P2bIDNumber,1543)="","",INDEX(I.Facility.P2bIDNumber,1543))</f>
        <v/>
      </c>
      <c r="G11555" s="51"/>
      <c r="H11555" s="46" t="str">
        <f>IF(AND(I.Developer.P2b=TRUE,I.Facility.P2bFacilityCount&gt;=1543,F11555=""),"Incomplete","Complete")</f>
        <v>Complete</v>
      </c>
      <c r="I11555" s="48" t="s">
        <v>15920</v>
      </c>
    </row>
    <row r="11556" spans="2:9" ht="15" customHeight="1" x14ac:dyDescent="0.25">
      <c r="B11556" s="55" t="s">
        <v>281</v>
      </c>
      <c r="C11556" s="46">
        <v>1544</v>
      </c>
      <c r="D11556" s="69" t="s">
        <v>29418</v>
      </c>
      <c r="E11556" s="51"/>
      <c r="F11556" s="114" t="str">
        <f>IF(INDEX(I.Facility.P2bIDNumber,1544)="","",INDEX(I.Facility.P2bIDNumber,1544))</f>
        <v/>
      </c>
      <c r="G11556" s="51"/>
      <c r="H11556" s="46" t="str">
        <f>IF(AND(I.Developer.P2b=TRUE,I.Facility.P2bFacilityCount&gt;=1544,F11556=""),"Incomplete","Complete")</f>
        <v>Complete</v>
      </c>
      <c r="I11556" s="48" t="s">
        <v>15921</v>
      </c>
    </row>
    <row r="11557" spans="2:9" ht="15" customHeight="1" x14ac:dyDescent="0.25">
      <c r="B11557" s="55" t="s">
        <v>281</v>
      </c>
      <c r="C11557" s="46">
        <v>1545</v>
      </c>
      <c r="D11557" s="69" t="s">
        <v>29418</v>
      </c>
      <c r="E11557" s="51"/>
      <c r="F11557" s="114" t="str">
        <f>IF(INDEX(I.Facility.P2bIDNumber,1545)="","",INDEX(I.Facility.P2bIDNumber,1545))</f>
        <v/>
      </c>
      <c r="G11557" s="51"/>
      <c r="H11557" s="46" t="str">
        <f>IF(AND(I.Developer.P2b=TRUE,I.Facility.P2bFacilityCount&gt;=1545,F11557=""),"Incomplete","Complete")</f>
        <v>Complete</v>
      </c>
      <c r="I11557" s="48" t="s">
        <v>15922</v>
      </c>
    </row>
    <row r="11558" spans="2:9" ht="15" customHeight="1" x14ac:dyDescent="0.25">
      <c r="B11558" s="55" t="s">
        <v>281</v>
      </c>
      <c r="C11558" s="46">
        <v>1546</v>
      </c>
      <c r="D11558" s="69" t="s">
        <v>29418</v>
      </c>
      <c r="E11558" s="51"/>
      <c r="F11558" s="114" t="str">
        <f>IF(INDEX(I.Facility.P2bIDNumber,1546)="","",INDEX(I.Facility.P2bIDNumber,1546))</f>
        <v/>
      </c>
      <c r="G11558" s="51"/>
      <c r="H11558" s="46" t="str">
        <f>IF(AND(I.Developer.P2b=TRUE,I.Facility.P2bFacilityCount&gt;=1546,F11558=""),"Incomplete","Complete")</f>
        <v>Complete</v>
      </c>
      <c r="I11558" s="48" t="s">
        <v>15923</v>
      </c>
    </row>
    <row r="11559" spans="2:9" ht="15" customHeight="1" x14ac:dyDescent="0.25">
      <c r="B11559" s="55" t="s">
        <v>281</v>
      </c>
      <c r="C11559" s="46">
        <v>1547</v>
      </c>
      <c r="D11559" s="69" t="s">
        <v>29418</v>
      </c>
      <c r="E11559" s="51"/>
      <c r="F11559" s="114" t="str">
        <f>IF(INDEX(I.Facility.P2bIDNumber,1547)="","",INDEX(I.Facility.P2bIDNumber,1547))</f>
        <v/>
      </c>
      <c r="G11559" s="51"/>
      <c r="H11559" s="46" t="str">
        <f>IF(AND(I.Developer.P2b=TRUE,I.Facility.P2bFacilityCount&gt;=1547,F11559=""),"Incomplete","Complete")</f>
        <v>Complete</v>
      </c>
      <c r="I11559" s="48" t="s">
        <v>15924</v>
      </c>
    </row>
    <row r="11560" spans="2:9" ht="15" customHeight="1" x14ac:dyDescent="0.25">
      <c r="B11560" s="55" t="s">
        <v>281</v>
      </c>
      <c r="C11560" s="46">
        <v>1548</v>
      </c>
      <c r="D11560" s="69" t="s">
        <v>29418</v>
      </c>
      <c r="E11560" s="51"/>
      <c r="F11560" s="114" t="str">
        <f>IF(INDEX(I.Facility.P2bIDNumber,1548)="","",INDEX(I.Facility.P2bIDNumber,1548))</f>
        <v/>
      </c>
      <c r="G11560" s="51"/>
      <c r="H11560" s="46" t="str">
        <f>IF(AND(I.Developer.P2b=TRUE,I.Facility.P2bFacilityCount&gt;=1548,F11560=""),"Incomplete","Complete")</f>
        <v>Complete</v>
      </c>
      <c r="I11560" s="48" t="s">
        <v>15925</v>
      </c>
    </row>
    <row r="11561" spans="2:9" ht="15" customHeight="1" x14ac:dyDescent="0.25">
      <c r="B11561" s="55" t="s">
        <v>281</v>
      </c>
      <c r="C11561" s="46">
        <v>1549</v>
      </c>
      <c r="D11561" s="69" t="s">
        <v>29418</v>
      </c>
      <c r="E11561" s="51"/>
      <c r="F11561" s="114" t="str">
        <f>IF(INDEX(I.Facility.P2bIDNumber,1549)="","",INDEX(I.Facility.P2bIDNumber,1549))</f>
        <v/>
      </c>
      <c r="G11561" s="51"/>
      <c r="H11561" s="46" t="str">
        <f>IF(AND(I.Developer.P2b=TRUE,I.Facility.P2bFacilityCount&gt;=1549,F11561=""),"Incomplete","Complete")</f>
        <v>Complete</v>
      </c>
      <c r="I11561" s="48" t="s">
        <v>15926</v>
      </c>
    </row>
    <row r="11562" spans="2:9" ht="15" customHeight="1" x14ac:dyDescent="0.25">
      <c r="B11562" s="55" t="s">
        <v>281</v>
      </c>
      <c r="C11562" s="46">
        <v>1550</v>
      </c>
      <c r="D11562" s="69" t="s">
        <v>29418</v>
      </c>
      <c r="E11562" s="51"/>
      <c r="F11562" s="114" t="str">
        <f>IF(INDEX(I.Facility.P2bIDNumber,1550)="","",INDEX(I.Facility.P2bIDNumber,1550))</f>
        <v/>
      </c>
      <c r="G11562" s="51"/>
      <c r="H11562" s="46" t="str">
        <f>IF(AND(I.Developer.P2b=TRUE,I.Facility.P2bFacilityCount&gt;=1550,F11562=""),"Incomplete","Complete")</f>
        <v>Complete</v>
      </c>
      <c r="I11562" s="48" t="s">
        <v>15927</v>
      </c>
    </row>
    <row r="11563" spans="2:9" ht="15" customHeight="1" x14ac:dyDescent="0.25">
      <c r="B11563" s="55" t="s">
        <v>281</v>
      </c>
      <c r="C11563" s="46">
        <v>1551</v>
      </c>
      <c r="D11563" s="69" t="s">
        <v>29418</v>
      </c>
      <c r="E11563" s="51"/>
      <c r="F11563" s="114" t="str">
        <f>IF(INDEX(I.Facility.P2bIDNumber,1551)="","",INDEX(I.Facility.P2bIDNumber,1551))</f>
        <v/>
      </c>
      <c r="G11563" s="51"/>
      <c r="H11563" s="46" t="str">
        <f>IF(AND(I.Developer.P2b=TRUE,I.Facility.P2bFacilityCount&gt;=1551,F11563=""),"Incomplete","Complete")</f>
        <v>Complete</v>
      </c>
      <c r="I11563" s="48" t="s">
        <v>15928</v>
      </c>
    </row>
    <row r="11564" spans="2:9" ht="15" customHeight="1" x14ac:dyDescent="0.25">
      <c r="B11564" s="55" t="s">
        <v>281</v>
      </c>
      <c r="C11564" s="46">
        <v>1552</v>
      </c>
      <c r="D11564" s="69" t="s">
        <v>29418</v>
      </c>
      <c r="E11564" s="51"/>
      <c r="F11564" s="114" t="str">
        <f>IF(INDEX(I.Facility.P2bIDNumber,1552)="","",INDEX(I.Facility.P2bIDNumber,1552))</f>
        <v/>
      </c>
      <c r="G11564" s="51"/>
      <c r="H11564" s="46" t="str">
        <f>IF(AND(I.Developer.P2b=TRUE,I.Facility.P2bFacilityCount&gt;=1552,F11564=""),"Incomplete","Complete")</f>
        <v>Complete</v>
      </c>
      <c r="I11564" s="48" t="s">
        <v>15929</v>
      </c>
    </row>
    <row r="11565" spans="2:9" ht="15" customHeight="1" x14ac:dyDescent="0.25">
      <c r="B11565" s="55" t="s">
        <v>281</v>
      </c>
      <c r="C11565" s="46">
        <v>1553</v>
      </c>
      <c r="D11565" s="69" t="s">
        <v>29418</v>
      </c>
      <c r="E11565" s="51"/>
      <c r="F11565" s="114" t="str">
        <f>IF(INDEX(I.Facility.P2bIDNumber,1553)="","",INDEX(I.Facility.P2bIDNumber,1553))</f>
        <v/>
      </c>
      <c r="G11565" s="51"/>
      <c r="H11565" s="46" t="str">
        <f>IF(AND(I.Developer.P2b=TRUE,I.Facility.P2bFacilityCount&gt;=1553,F11565=""),"Incomplete","Complete")</f>
        <v>Complete</v>
      </c>
      <c r="I11565" s="48" t="s">
        <v>15930</v>
      </c>
    </row>
    <row r="11566" spans="2:9" ht="15" customHeight="1" x14ac:dyDescent="0.25">
      <c r="B11566" s="55" t="s">
        <v>281</v>
      </c>
      <c r="C11566" s="46">
        <v>1554</v>
      </c>
      <c r="D11566" s="69" t="s">
        <v>29418</v>
      </c>
      <c r="E11566" s="51"/>
      <c r="F11566" s="114" t="str">
        <f>IF(INDEX(I.Facility.P2bIDNumber,1554)="","",INDEX(I.Facility.P2bIDNumber,1554))</f>
        <v/>
      </c>
      <c r="G11566" s="51"/>
      <c r="H11566" s="46" t="str">
        <f>IF(AND(I.Developer.P2b=TRUE,I.Facility.P2bFacilityCount&gt;=1554,F11566=""),"Incomplete","Complete")</f>
        <v>Complete</v>
      </c>
      <c r="I11566" s="48" t="s">
        <v>15931</v>
      </c>
    </row>
    <row r="11567" spans="2:9" ht="15" customHeight="1" x14ac:dyDescent="0.25">
      <c r="B11567" s="55" t="s">
        <v>281</v>
      </c>
      <c r="C11567" s="46">
        <v>1555</v>
      </c>
      <c r="D11567" s="69" t="s">
        <v>29418</v>
      </c>
      <c r="E11567" s="51"/>
      <c r="F11567" s="114" t="str">
        <f>IF(INDEX(I.Facility.P2bIDNumber,1555)="","",INDEX(I.Facility.P2bIDNumber,1555))</f>
        <v/>
      </c>
      <c r="G11567" s="51"/>
      <c r="H11567" s="46" t="str">
        <f>IF(AND(I.Developer.P2b=TRUE,I.Facility.P2bFacilityCount&gt;=1555,F11567=""),"Incomplete","Complete")</f>
        <v>Complete</v>
      </c>
      <c r="I11567" s="48" t="s">
        <v>15932</v>
      </c>
    </row>
    <row r="11568" spans="2:9" ht="15" customHeight="1" x14ac:dyDescent="0.25">
      <c r="B11568" s="55" t="s">
        <v>281</v>
      </c>
      <c r="C11568" s="46">
        <v>1556</v>
      </c>
      <c r="D11568" s="69" t="s">
        <v>29418</v>
      </c>
      <c r="E11568" s="51"/>
      <c r="F11568" s="114" t="str">
        <f>IF(INDEX(I.Facility.P2bIDNumber,1556)="","",INDEX(I.Facility.P2bIDNumber,1556))</f>
        <v/>
      </c>
      <c r="G11568" s="51"/>
      <c r="H11568" s="46" t="str">
        <f>IF(AND(I.Developer.P2b=TRUE,I.Facility.P2bFacilityCount&gt;=1556,F11568=""),"Incomplete","Complete")</f>
        <v>Complete</v>
      </c>
      <c r="I11568" s="48" t="s">
        <v>15933</v>
      </c>
    </row>
    <row r="11569" spans="2:9" ht="15" customHeight="1" x14ac:dyDescent="0.25">
      <c r="B11569" s="55" t="s">
        <v>281</v>
      </c>
      <c r="C11569" s="46">
        <v>1557</v>
      </c>
      <c r="D11569" s="69" t="s">
        <v>29418</v>
      </c>
      <c r="E11569" s="51"/>
      <c r="F11569" s="114" t="str">
        <f>IF(INDEX(I.Facility.P2bIDNumber,1557)="","",INDEX(I.Facility.P2bIDNumber,1557))</f>
        <v/>
      </c>
      <c r="G11569" s="51"/>
      <c r="H11569" s="46" t="str">
        <f>IF(AND(I.Developer.P2b=TRUE,I.Facility.P2bFacilityCount&gt;=1557,F11569=""),"Incomplete","Complete")</f>
        <v>Complete</v>
      </c>
      <c r="I11569" s="48" t="s">
        <v>15934</v>
      </c>
    </row>
    <row r="11570" spans="2:9" ht="15" customHeight="1" x14ac:dyDescent="0.25">
      <c r="B11570" s="55" t="s">
        <v>281</v>
      </c>
      <c r="C11570" s="46">
        <v>1558</v>
      </c>
      <c r="D11570" s="69" t="s">
        <v>29418</v>
      </c>
      <c r="E11570" s="51"/>
      <c r="F11570" s="114" t="str">
        <f>IF(INDEX(I.Facility.P2bIDNumber,1558)="","",INDEX(I.Facility.P2bIDNumber,1558))</f>
        <v/>
      </c>
      <c r="G11570" s="51"/>
      <c r="H11570" s="46" t="str">
        <f>IF(AND(I.Developer.P2b=TRUE,I.Facility.P2bFacilityCount&gt;=1558,F11570=""),"Incomplete","Complete")</f>
        <v>Complete</v>
      </c>
      <c r="I11570" s="48" t="s">
        <v>15935</v>
      </c>
    </row>
    <row r="11571" spans="2:9" ht="15" customHeight="1" x14ac:dyDescent="0.25">
      <c r="B11571" s="55" t="s">
        <v>281</v>
      </c>
      <c r="C11571" s="46">
        <v>1559</v>
      </c>
      <c r="D11571" s="69" t="s">
        <v>29418</v>
      </c>
      <c r="E11571" s="51"/>
      <c r="F11571" s="114" t="str">
        <f>IF(INDEX(I.Facility.P2bIDNumber,1559)="","",INDEX(I.Facility.P2bIDNumber,1559))</f>
        <v/>
      </c>
      <c r="G11571" s="51"/>
      <c r="H11571" s="46" t="str">
        <f>IF(AND(I.Developer.P2b=TRUE,I.Facility.P2bFacilityCount&gt;=1559,F11571=""),"Incomplete","Complete")</f>
        <v>Complete</v>
      </c>
      <c r="I11571" s="48" t="s">
        <v>15936</v>
      </c>
    </row>
    <row r="11572" spans="2:9" ht="15" customHeight="1" x14ac:dyDescent="0.25">
      <c r="B11572" s="55" t="s">
        <v>281</v>
      </c>
      <c r="C11572" s="46">
        <v>1560</v>
      </c>
      <c r="D11572" s="69" t="s">
        <v>29418</v>
      </c>
      <c r="E11572" s="51"/>
      <c r="F11572" s="114" t="str">
        <f>IF(INDEX(I.Facility.P2bIDNumber,1560)="","",INDEX(I.Facility.P2bIDNumber,1560))</f>
        <v/>
      </c>
      <c r="G11572" s="51"/>
      <c r="H11572" s="46" t="str">
        <f>IF(AND(I.Developer.P2b=TRUE,I.Facility.P2bFacilityCount&gt;=1560,F11572=""),"Incomplete","Complete")</f>
        <v>Complete</v>
      </c>
      <c r="I11572" s="48" t="s">
        <v>15937</v>
      </c>
    </row>
    <row r="11573" spans="2:9" ht="15" customHeight="1" x14ac:dyDescent="0.25">
      <c r="B11573" s="55" t="s">
        <v>281</v>
      </c>
      <c r="C11573" s="46">
        <v>1561</v>
      </c>
      <c r="D11573" s="69" t="s">
        <v>29418</v>
      </c>
      <c r="E11573" s="51"/>
      <c r="F11573" s="114" t="str">
        <f>IF(INDEX(I.Facility.P2bIDNumber,1561)="","",INDEX(I.Facility.P2bIDNumber,1561))</f>
        <v/>
      </c>
      <c r="G11573" s="51"/>
      <c r="H11573" s="46" t="str">
        <f>IF(AND(I.Developer.P2b=TRUE,I.Facility.P2bFacilityCount&gt;=1561,F11573=""),"Incomplete","Complete")</f>
        <v>Complete</v>
      </c>
      <c r="I11573" s="48" t="s">
        <v>15938</v>
      </c>
    </row>
    <row r="11574" spans="2:9" ht="15" customHeight="1" x14ac:dyDescent="0.25">
      <c r="B11574" s="55" t="s">
        <v>281</v>
      </c>
      <c r="C11574" s="46">
        <v>1562</v>
      </c>
      <c r="D11574" s="69" t="s">
        <v>29418</v>
      </c>
      <c r="E11574" s="51"/>
      <c r="F11574" s="114" t="str">
        <f>IF(INDEX(I.Facility.P2bIDNumber,1562)="","",INDEX(I.Facility.P2bIDNumber,1562))</f>
        <v/>
      </c>
      <c r="G11574" s="51"/>
      <c r="H11574" s="46" t="str">
        <f>IF(AND(I.Developer.P2b=TRUE,I.Facility.P2bFacilityCount&gt;=1562,F11574=""),"Incomplete","Complete")</f>
        <v>Complete</v>
      </c>
      <c r="I11574" s="48" t="s">
        <v>15939</v>
      </c>
    </row>
    <row r="11575" spans="2:9" ht="15" customHeight="1" x14ac:dyDescent="0.25">
      <c r="B11575" s="55" t="s">
        <v>281</v>
      </c>
      <c r="C11575" s="46">
        <v>1563</v>
      </c>
      <c r="D11575" s="69" t="s">
        <v>29418</v>
      </c>
      <c r="E11575" s="51"/>
      <c r="F11575" s="114" t="str">
        <f>IF(INDEX(I.Facility.P2bIDNumber,1563)="","",INDEX(I.Facility.P2bIDNumber,1563))</f>
        <v/>
      </c>
      <c r="G11575" s="51"/>
      <c r="H11575" s="46" t="str">
        <f>IF(AND(I.Developer.P2b=TRUE,I.Facility.P2bFacilityCount&gt;=1563,F11575=""),"Incomplete","Complete")</f>
        <v>Complete</v>
      </c>
      <c r="I11575" s="48" t="s">
        <v>15940</v>
      </c>
    </row>
    <row r="11576" spans="2:9" ht="15" customHeight="1" x14ac:dyDescent="0.25">
      <c r="B11576" s="55" t="s">
        <v>281</v>
      </c>
      <c r="C11576" s="46">
        <v>1564</v>
      </c>
      <c r="D11576" s="69" t="s">
        <v>29418</v>
      </c>
      <c r="E11576" s="51"/>
      <c r="F11576" s="114" t="str">
        <f>IF(INDEX(I.Facility.P2bIDNumber,1564)="","",INDEX(I.Facility.P2bIDNumber,1564))</f>
        <v/>
      </c>
      <c r="G11576" s="51"/>
      <c r="H11576" s="46" t="str">
        <f>IF(AND(I.Developer.P2b=TRUE,I.Facility.P2bFacilityCount&gt;=1564,F11576=""),"Incomplete","Complete")</f>
        <v>Complete</v>
      </c>
      <c r="I11576" s="48" t="s">
        <v>15941</v>
      </c>
    </row>
    <row r="11577" spans="2:9" ht="15" customHeight="1" x14ac:dyDescent="0.25">
      <c r="B11577" s="55" t="s">
        <v>281</v>
      </c>
      <c r="C11577" s="46">
        <v>1565</v>
      </c>
      <c r="D11577" s="69" t="s">
        <v>29418</v>
      </c>
      <c r="E11577" s="51"/>
      <c r="F11577" s="114" t="str">
        <f>IF(INDEX(I.Facility.P2bIDNumber,1565)="","",INDEX(I.Facility.P2bIDNumber,1565))</f>
        <v/>
      </c>
      <c r="G11577" s="51"/>
      <c r="H11577" s="46" t="str">
        <f>IF(AND(I.Developer.P2b=TRUE,I.Facility.P2bFacilityCount&gt;=1565,F11577=""),"Incomplete","Complete")</f>
        <v>Complete</v>
      </c>
      <c r="I11577" s="48" t="s">
        <v>15942</v>
      </c>
    </row>
    <row r="11578" spans="2:9" ht="15" customHeight="1" x14ac:dyDescent="0.25">
      <c r="B11578" s="55" t="s">
        <v>281</v>
      </c>
      <c r="C11578" s="46">
        <v>1566</v>
      </c>
      <c r="D11578" s="69" t="s">
        <v>29418</v>
      </c>
      <c r="E11578" s="51"/>
      <c r="F11578" s="114" t="str">
        <f>IF(INDEX(I.Facility.P2bIDNumber,1566)="","",INDEX(I.Facility.P2bIDNumber,1566))</f>
        <v/>
      </c>
      <c r="G11578" s="51"/>
      <c r="H11578" s="46" t="str">
        <f>IF(AND(I.Developer.P2b=TRUE,I.Facility.P2bFacilityCount&gt;=1566,F11578=""),"Incomplete","Complete")</f>
        <v>Complete</v>
      </c>
      <c r="I11578" s="48" t="s">
        <v>15943</v>
      </c>
    </row>
    <row r="11579" spans="2:9" ht="15" customHeight="1" x14ac:dyDescent="0.25">
      <c r="B11579" s="55" t="s">
        <v>281</v>
      </c>
      <c r="C11579" s="46">
        <v>1567</v>
      </c>
      <c r="D11579" s="69" t="s">
        <v>29418</v>
      </c>
      <c r="E11579" s="51"/>
      <c r="F11579" s="114" t="str">
        <f>IF(INDEX(I.Facility.P2bIDNumber,1567)="","",INDEX(I.Facility.P2bIDNumber,1567))</f>
        <v/>
      </c>
      <c r="G11579" s="51"/>
      <c r="H11579" s="46" t="str">
        <f>IF(AND(I.Developer.P2b=TRUE,I.Facility.P2bFacilityCount&gt;=1567,F11579=""),"Incomplete","Complete")</f>
        <v>Complete</v>
      </c>
      <c r="I11579" s="48" t="s">
        <v>15944</v>
      </c>
    </row>
    <row r="11580" spans="2:9" ht="15" customHeight="1" x14ac:dyDescent="0.25">
      <c r="B11580" s="55" t="s">
        <v>281</v>
      </c>
      <c r="C11580" s="46">
        <v>1568</v>
      </c>
      <c r="D11580" s="69" t="s">
        <v>29418</v>
      </c>
      <c r="E11580" s="51"/>
      <c r="F11580" s="114" t="str">
        <f>IF(INDEX(I.Facility.P2bIDNumber,1568)="","",INDEX(I.Facility.P2bIDNumber,1568))</f>
        <v/>
      </c>
      <c r="G11580" s="51"/>
      <c r="H11580" s="46" t="str">
        <f>IF(AND(I.Developer.P2b=TRUE,I.Facility.P2bFacilityCount&gt;=1568,F11580=""),"Incomplete","Complete")</f>
        <v>Complete</v>
      </c>
      <c r="I11580" s="48" t="s">
        <v>15945</v>
      </c>
    </row>
    <row r="11581" spans="2:9" ht="15" customHeight="1" x14ac:dyDescent="0.25">
      <c r="B11581" s="55" t="s">
        <v>281</v>
      </c>
      <c r="C11581" s="46">
        <v>1569</v>
      </c>
      <c r="D11581" s="69" t="s">
        <v>29418</v>
      </c>
      <c r="E11581" s="51"/>
      <c r="F11581" s="114" t="str">
        <f>IF(INDEX(I.Facility.P2bIDNumber,1569)="","",INDEX(I.Facility.P2bIDNumber,1569))</f>
        <v/>
      </c>
      <c r="G11581" s="51"/>
      <c r="H11581" s="46" t="str">
        <f>IF(AND(I.Developer.P2b=TRUE,I.Facility.P2bFacilityCount&gt;=1569,F11581=""),"Incomplete","Complete")</f>
        <v>Complete</v>
      </c>
      <c r="I11581" s="48" t="s">
        <v>15946</v>
      </c>
    </row>
    <row r="11582" spans="2:9" ht="15" customHeight="1" x14ac:dyDescent="0.25">
      <c r="B11582" s="55" t="s">
        <v>281</v>
      </c>
      <c r="C11582" s="46">
        <v>1570</v>
      </c>
      <c r="D11582" s="69" t="s">
        <v>29418</v>
      </c>
      <c r="E11582" s="51"/>
      <c r="F11582" s="114" t="str">
        <f>IF(INDEX(I.Facility.P2bIDNumber,1570)="","",INDEX(I.Facility.P2bIDNumber,1570))</f>
        <v/>
      </c>
      <c r="G11582" s="51"/>
      <c r="H11582" s="46" t="str">
        <f>IF(AND(I.Developer.P2b=TRUE,I.Facility.P2bFacilityCount&gt;=1570,F11582=""),"Incomplete","Complete")</f>
        <v>Complete</v>
      </c>
      <c r="I11582" s="48" t="s">
        <v>15947</v>
      </c>
    </row>
    <row r="11583" spans="2:9" ht="15" customHeight="1" x14ac:dyDescent="0.25">
      <c r="B11583" s="55" t="s">
        <v>281</v>
      </c>
      <c r="C11583" s="46">
        <v>1571</v>
      </c>
      <c r="D11583" s="69" t="s">
        <v>29418</v>
      </c>
      <c r="E11583" s="51"/>
      <c r="F11583" s="114" t="str">
        <f>IF(INDEX(I.Facility.P2bIDNumber,1571)="","",INDEX(I.Facility.P2bIDNumber,1571))</f>
        <v/>
      </c>
      <c r="G11583" s="51"/>
      <c r="H11583" s="46" t="str">
        <f>IF(AND(I.Developer.P2b=TRUE,I.Facility.P2bFacilityCount&gt;=1571,F11583=""),"Incomplete","Complete")</f>
        <v>Complete</v>
      </c>
      <c r="I11583" s="48" t="s">
        <v>15948</v>
      </c>
    </row>
    <row r="11584" spans="2:9" ht="15" customHeight="1" x14ac:dyDescent="0.25">
      <c r="B11584" s="55" t="s">
        <v>281</v>
      </c>
      <c r="C11584" s="46">
        <v>1572</v>
      </c>
      <c r="D11584" s="69" t="s">
        <v>29418</v>
      </c>
      <c r="E11584" s="51"/>
      <c r="F11584" s="114" t="str">
        <f>IF(INDEX(I.Facility.P2bIDNumber,1572)="","",INDEX(I.Facility.P2bIDNumber,1572))</f>
        <v/>
      </c>
      <c r="G11584" s="51"/>
      <c r="H11584" s="46" t="str">
        <f>IF(AND(I.Developer.P2b=TRUE,I.Facility.P2bFacilityCount&gt;=1572,F11584=""),"Incomplete","Complete")</f>
        <v>Complete</v>
      </c>
      <c r="I11584" s="48" t="s">
        <v>15949</v>
      </c>
    </row>
    <row r="11585" spans="2:9" ht="15" customHeight="1" x14ac:dyDescent="0.25">
      <c r="B11585" s="55" t="s">
        <v>281</v>
      </c>
      <c r="C11585" s="46">
        <v>1573</v>
      </c>
      <c r="D11585" s="69" t="s">
        <v>29418</v>
      </c>
      <c r="E11585" s="51"/>
      <c r="F11585" s="114" t="str">
        <f>IF(INDEX(I.Facility.P2bIDNumber,1573)="","",INDEX(I.Facility.P2bIDNumber,1573))</f>
        <v/>
      </c>
      <c r="G11585" s="51"/>
      <c r="H11585" s="46" t="str">
        <f>IF(AND(I.Developer.P2b=TRUE,I.Facility.P2bFacilityCount&gt;=1573,F11585=""),"Incomplete","Complete")</f>
        <v>Complete</v>
      </c>
      <c r="I11585" s="48" t="s">
        <v>15950</v>
      </c>
    </row>
    <row r="11586" spans="2:9" ht="15" customHeight="1" x14ac:dyDescent="0.25">
      <c r="B11586" s="55" t="s">
        <v>281</v>
      </c>
      <c r="C11586" s="46">
        <v>1574</v>
      </c>
      <c r="D11586" s="69" t="s">
        <v>29418</v>
      </c>
      <c r="E11586" s="51"/>
      <c r="F11586" s="114" t="str">
        <f>IF(INDEX(I.Facility.P2bIDNumber,1574)="","",INDEX(I.Facility.P2bIDNumber,1574))</f>
        <v/>
      </c>
      <c r="G11586" s="51"/>
      <c r="H11586" s="46" t="str">
        <f>IF(AND(I.Developer.P2b=TRUE,I.Facility.P2bFacilityCount&gt;=1574,F11586=""),"Incomplete","Complete")</f>
        <v>Complete</v>
      </c>
      <c r="I11586" s="48" t="s">
        <v>15951</v>
      </c>
    </row>
    <row r="11587" spans="2:9" ht="15" customHeight="1" x14ac:dyDescent="0.25">
      <c r="B11587" s="55" t="s">
        <v>281</v>
      </c>
      <c r="C11587" s="46">
        <v>1575</v>
      </c>
      <c r="D11587" s="69" t="s">
        <v>29418</v>
      </c>
      <c r="E11587" s="51"/>
      <c r="F11587" s="114" t="str">
        <f>IF(INDEX(I.Facility.P2bIDNumber,1575)="","",INDEX(I.Facility.P2bIDNumber,1575))</f>
        <v/>
      </c>
      <c r="G11587" s="51"/>
      <c r="H11587" s="46" t="str">
        <f>IF(AND(I.Developer.P2b=TRUE,I.Facility.P2bFacilityCount&gt;=1575,F11587=""),"Incomplete","Complete")</f>
        <v>Complete</v>
      </c>
      <c r="I11587" s="48" t="s">
        <v>15952</v>
      </c>
    </row>
    <row r="11588" spans="2:9" ht="15" customHeight="1" x14ac:dyDescent="0.25">
      <c r="B11588" s="55" t="s">
        <v>281</v>
      </c>
      <c r="C11588" s="46">
        <v>1576</v>
      </c>
      <c r="D11588" s="69" t="s">
        <v>29418</v>
      </c>
      <c r="E11588" s="51"/>
      <c r="F11588" s="114" t="str">
        <f>IF(INDEX(I.Facility.P2bIDNumber,1576)="","",INDEX(I.Facility.P2bIDNumber,1576))</f>
        <v/>
      </c>
      <c r="G11588" s="51"/>
      <c r="H11588" s="46" t="str">
        <f>IF(AND(I.Developer.P2b=TRUE,I.Facility.P2bFacilityCount&gt;=1576,F11588=""),"Incomplete","Complete")</f>
        <v>Complete</v>
      </c>
      <c r="I11588" s="48" t="s">
        <v>15953</v>
      </c>
    </row>
    <row r="11589" spans="2:9" ht="15" customHeight="1" x14ac:dyDescent="0.25">
      <c r="B11589" s="55" t="s">
        <v>281</v>
      </c>
      <c r="C11589" s="46">
        <v>1577</v>
      </c>
      <c r="D11589" s="69" t="s">
        <v>29418</v>
      </c>
      <c r="E11589" s="51"/>
      <c r="F11589" s="114" t="str">
        <f>IF(INDEX(I.Facility.P2bIDNumber,1577)="","",INDEX(I.Facility.P2bIDNumber,1577))</f>
        <v/>
      </c>
      <c r="G11589" s="51"/>
      <c r="H11589" s="46" t="str">
        <f>IF(AND(I.Developer.P2b=TRUE,I.Facility.P2bFacilityCount&gt;=1577,F11589=""),"Incomplete","Complete")</f>
        <v>Complete</v>
      </c>
      <c r="I11589" s="48" t="s">
        <v>15954</v>
      </c>
    </row>
    <row r="11590" spans="2:9" ht="15" customHeight="1" x14ac:dyDescent="0.25">
      <c r="B11590" s="55" t="s">
        <v>281</v>
      </c>
      <c r="C11590" s="46">
        <v>1578</v>
      </c>
      <c r="D11590" s="69" t="s">
        <v>29418</v>
      </c>
      <c r="E11590" s="51"/>
      <c r="F11590" s="114" t="str">
        <f>IF(INDEX(I.Facility.P2bIDNumber,1578)="","",INDEX(I.Facility.P2bIDNumber,1578))</f>
        <v/>
      </c>
      <c r="G11590" s="51"/>
      <c r="H11590" s="46" t="str">
        <f>IF(AND(I.Developer.P2b=TRUE,I.Facility.P2bFacilityCount&gt;=1578,F11590=""),"Incomplete","Complete")</f>
        <v>Complete</v>
      </c>
      <c r="I11590" s="48" t="s">
        <v>15955</v>
      </c>
    </row>
    <row r="11591" spans="2:9" ht="15" customHeight="1" x14ac:dyDescent="0.25">
      <c r="B11591" s="55" t="s">
        <v>281</v>
      </c>
      <c r="C11591" s="46">
        <v>1579</v>
      </c>
      <c r="D11591" s="69" t="s">
        <v>29418</v>
      </c>
      <c r="E11591" s="51"/>
      <c r="F11591" s="114" t="str">
        <f>IF(INDEX(I.Facility.P2bIDNumber,1579)="","",INDEX(I.Facility.P2bIDNumber,1579))</f>
        <v/>
      </c>
      <c r="G11591" s="51"/>
      <c r="H11591" s="46" t="str">
        <f>IF(AND(I.Developer.P2b=TRUE,I.Facility.P2bFacilityCount&gt;=1579,F11591=""),"Incomplete","Complete")</f>
        <v>Complete</v>
      </c>
      <c r="I11591" s="48" t="s">
        <v>15956</v>
      </c>
    </row>
    <row r="11592" spans="2:9" ht="15" customHeight="1" x14ac:dyDescent="0.25">
      <c r="B11592" s="55" t="s">
        <v>281</v>
      </c>
      <c r="C11592" s="46">
        <v>1580</v>
      </c>
      <c r="D11592" s="69" t="s">
        <v>29418</v>
      </c>
      <c r="E11592" s="51"/>
      <c r="F11592" s="114" t="str">
        <f>IF(INDEX(I.Facility.P2bIDNumber,1580)="","",INDEX(I.Facility.P2bIDNumber,1580))</f>
        <v/>
      </c>
      <c r="G11592" s="51"/>
      <c r="H11592" s="46" t="str">
        <f>IF(AND(I.Developer.P2b=TRUE,I.Facility.P2bFacilityCount&gt;=1580,F11592=""),"Incomplete","Complete")</f>
        <v>Complete</v>
      </c>
      <c r="I11592" s="48" t="s">
        <v>15957</v>
      </c>
    </row>
    <row r="11593" spans="2:9" ht="15" customHeight="1" x14ac:dyDescent="0.25">
      <c r="B11593" s="55" t="s">
        <v>281</v>
      </c>
      <c r="C11593" s="46">
        <v>1581</v>
      </c>
      <c r="D11593" s="69" t="s">
        <v>29418</v>
      </c>
      <c r="E11593" s="51"/>
      <c r="F11593" s="114" t="str">
        <f>IF(INDEX(I.Facility.P2bIDNumber,1581)="","",INDEX(I.Facility.P2bIDNumber,1581))</f>
        <v/>
      </c>
      <c r="G11593" s="51"/>
      <c r="H11593" s="46" t="str">
        <f>IF(AND(I.Developer.P2b=TRUE,I.Facility.P2bFacilityCount&gt;=1581,F11593=""),"Incomplete","Complete")</f>
        <v>Complete</v>
      </c>
      <c r="I11593" s="48" t="s">
        <v>15958</v>
      </c>
    </row>
    <row r="11594" spans="2:9" ht="15" customHeight="1" x14ac:dyDescent="0.25">
      <c r="B11594" s="55" t="s">
        <v>281</v>
      </c>
      <c r="C11594" s="46">
        <v>1582</v>
      </c>
      <c r="D11594" s="69" t="s">
        <v>29418</v>
      </c>
      <c r="E11594" s="51"/>
      <c r="F11594" s="114" t="str">
        <f>IF(INDEX(I.Facility.P2bIDNumber,1582)="","",INDEX(I.Facility.P2bIDNumber,1582))</f>
        <v/>
      </c>
      <c r="G11594" s="51"/>
      <c r="H11594" s="46" t="str">
        <f>IF(AND(I.Developer.P2b=TRUE,I.Facility.P2bFacilityCount&gt;=1582,F11594=""),"Incomplete","Complete")</f>
        <v>Complete</v>
      </c>
      <c r="I11594" s="48" t="s">
        <v>15959</v>
      </c>
    </row>
    <row r="11595" spans="2:9" ht="15" customHeight="1" x14ac:dyDescent="0.25">
      <c r="B11595" s="55" t="s">
        <v>281</v>
      </c>
      <c r="C11595" s="46">
        <v>1583</v>
      </c>
      <c r="D11595" s="69" t="s">
        <v>29418</v>
      </c>
      <c r="E11595" s="51"/>
      <c r="F11595" s="114" t="str">
        <f>IF(INDEX(I.Facility.P2bIDNumber,1583)="","",INDEX(I.Facility.P2bIDNumber,1583))</f>
        <v/>
      </c>
      <c r="G11595" s="51"/>
      <c r="H11595" s="46" t="str">
        <f>IF(AND(I.Developer.P2b=TRUE,I.Facility.P2bFacilityCount&gt;=1583,F11595=""),"Incomplete","Complete")</f>
        <v>Complete</v>
      </c>
      <c r="I11595" s="48" t="s">
        <v>15960</v>
      </c>
    </row>
    <row r="11596" spans="2:9" ht="15" customHeight="1" x14ac:dyDescent="0.25">
      <c r="B11596" s="55" t="s">
        <v>281</v>
      </c>
      <c r="C11596" s="46">
        <v>1584</v>
      </c>
      <c r="D11596" s="69" t="s">
        <v>29418</v>
      </c>
      <c r="E11596" s="51"/>
      <c r="F11596" s="114" t="str">
        <f>IF(INDEX(I.Facility.P2bIDNumber,1584)="","",INDEX(I.Facility.P2bIDNumber,1584))</f>
        <v/>
      </c>
      <c r="G11596" s="51"/>
      <c r="H11596" s="46" t="str">
        <f>IF(AND(I.Developer.P2b=TRUE,I.Facility.P2bFacilityCount&gt;=1584,F11596=""),"Incomplete","Complete")</f>
        <v>Complete</v>
      </c>
      <c r="I11596" s="48" t="s">
        <v>15961</v>
      </c>
    </row>
    <row r="11597" spans="2:9" ht="15" customHeight="1" x14ac:dyDescent="0.25">
      <c r="B11597" s="55" t="s">
        <v>281</v>
      </c>
      <c r="C11597" s="46">
        <v>1585</v>
      </c>
      <c r="D11597" s="69" t="s">
        <v>29418</v>
      </c>
      <c r="E11597" s="51"/>
      <c r="F11597" s="114" t="str">
        <f>IF(INDEX(I.Facility.P2bIDNumber,1585)="","",INDEX(I.Facility.P2bIDNumber,1585))</f>
        <v/>
      </c>
      <c r="G11597" s="51"/>
      <c r="H11597" s="46" t="str">
        <f>IF(AND(I.Developer.P2b=TRUE,I.Facility.P2bFacilityCount&gt;=1585,F11597=""),"Incomplete","Complete")</f>
        <v>Complete</v>
      </c>
      <c r="I11597" s="48" t="s">
        <v>15962</v>
      </c>
    </row>
    <row r="11598" spans="2:9" ht="15" customHeight="1" x14ac:dyDescent="0.25">
      <c r="B11598" s="55" t="s">
        <v>281</v>
      </c>
      <c r="C11598" s="46">
        <v>1586</v>
      </c>
      <c r="D11598" s="69" t="s">
        <v>29418</v>
      </c>
      <c r="E11598" s="51"/>
      <c r="F11598" s="114" t="str">
        <f>IF(INDEX(I.Facility.P2bIDNumber,1586)="","",INDEX(I.Facility.P2bIDNumber,1586))</f>
        <v/>
      </c>
      <c r="G11598" s="51"/>
      <c r="H11598" s="46" t="str">
        <f>IF(AND(I.Developer.P2b=TRUE,I.Facility.P2bFacilityCount&gt;=1586,F11598=""),"Incomplete","Complete")</f>
        <v>Complete</v>
      </c>
      <c r="I11598" s="48" t="s">
        <v>15963</v>
      </c>
    </row>
    <row r="11599" spans="2:9" ht="15" customHeight="1" x14ac:dyDescent="0.25">
      <c r="B11599" s="55" t="s">
        <v>281</v>
      </c>
      <c r="C11599" s="46">
        <v>1587</v>
      </c>
      <c r="D11599" s="69" t="s">
        <v>29418</v>
      </c>
      <c r="E11599" s="51"/>
      <c r="F11599" s="114" t="str">
        <f>IF(INDEX(I.Facility.P2bIDNumber,1587)="","",INDEX(I.Facility.P2bIDNumber,1587))</f>
        <v/>
      </c>
      <c r="G11599" s="51"/>
      <c r="H11599" s="46" t="str">
        <f>IF(AND(I.Developer.P2b=TRUE,I.Facility.P2bFacilityCount&gt;=1587,F11599=""),"Incomplete","Complete")</f>
        <v>Complete</v>
      </c>
      <c r="I11599" s="48" t="s">
        <v>15964</v>
      </c>
    </row>
    <row r="11600" spans="2:9" ht="15" customHeight="1" x14ac:dyDescent="0.25">
      <c r="B11600" s="55" t="s">
        <v>281</v>
      </c>
      <c r="C11600" s="46">
        <v>1588</v>
      </c>
      <c r="D11600" s="69" t="s">
        <v>29418</v>
      </c>
      <c r="E11600" s="51"/>
      <c r="F11600" s="114" t="str">
        <f>IF(INDEX(I.Facility.P2bIDNumber,1588)="","",INDEX(I.Facility.P2bIDNumber,1588))</f>
        <v/>
      </c>
      <c r="G11600" s="51"/>
      <c r="H11600" s="46" t="str">
        <f>IF(AND(I.Developer.P2b=TRUE,I.Facility.P2bFacilityCount&gt;=1588,F11600=""),"Incomplete","Complete")</f>
        <v>Complete</v>
      </c>
      <c r="I11600" s="48" t="s">
        <v>15965</v>
      </c>
    </row>
    <row r="11601" spans="2:9" ht="15" customHeight="1" x14ac:dyDescent="0.25">
      <c r="B11601" s="55" t="s">
        <v>281</v>
      </c>
      <c r="C11601" s="46">
        <v>1589</v>
      </c>
      <c r="D11601" s="69" t="s">
        <v>29418</v>
      </c>
      <c r="E11601" s="51"/>
      <c r="F11601" s="114" t="str">
        <f>IF(INDEX(I.Facility.P2bIDNumber,1589)="","",INDEX(I.Facility.P2bIDNumber,1589))</f>
        <v/>
      </c>
      <c r="G11601" s="51"/>
      <c r="H11601" s="46" t="str">
        <f>IF(AND(I.Developer.P2b=TRUE,I.Facility.P2bFacilityCount&gt;=1589,F11601=""),"Incomplete","Complete")</f>
        <v>Complete</v>
      </c>
      <c r="I11601" s="48" t="s">
        <v>15966</v>
      </c>
    </row>
    <row r="11602" spans="2:9" ht="15" customHeight="1" x14ac:dyDescent="0.25">
      <c r="B11602" s="55" t="s">
        <v>281</v>
      </c>
      <c r="C11602" s="46">
        <v>1590</v>
      </c>
      <c r="D11602" s="69" t="s">
        <v>29418</v>
      </c>
      <c r="E11602" s="51"/>
      <c r="F11602" s="114" t="str">
        <f>IF(INDEX(I.Facility.P2bIDNumber,1590)="","",INDEX(I.Facility.P2bIDNumber,1590))</f>
        <v/>
      </c>
      <c r="G11602" s="51"/>
      <c r="H11602" s="46" t="str">
        <f>IF(AND(I.Developer.P2b=TRUE,I.Facility.P2bFacilityCount&gt;=1590,F11602=""),"Incomplete","Complete")</f>
        <v>Complete</v>
      </c>
      <c r="I11602" s="48" t="s">
        <v>15967</v>
      </c>
    </row>
    <row r="11603" spans="2:9" ht="15" customHeight="1" x14ac:dyDescent="0.25">
      <c r="B11603" s="55" t="s">
        <v>281</v>
      </c>
      <c r="C11603" s="46">
        <v>1591</v>
      </c>
      <c r="D11603" s="69" t="s">
        <v>29418</v>
      </c>
      <c r="E11603" s="51"/>
      <c r="F11603" s="114" t="str">
        <f>IF(INDEX(I.Facility.P2bIDNumber,1591)="","",INDEX(I.Facility.P2bIDNumber,1591))</f>
        <v/>
      </c>
      <c r="G11603" s="51"/>
      <c r="H11603" s="46" t="str">
        <f>IF(AND(I.Developer.P2b=TRUE,I.Facility.P2bFacilityCount&gt;=1591,F11603=""),"Incomplete","Complete")</f>
        <v>Complete</v>
      </c>
      <c r="I11603" s="48" t="s">
        <v>15968</v>
      </c>
    </row>
    <row r="11604" spans="2:9" ht="15" customHeight="1" x14ac:dyDescent="0.25">
      <c r="B11604" s="55" t="s">
        <v>281</v>
      </c>
      <c r="C11604" s="46">
        <v>1592</v>
      </c>
      <c r="D11604" s="69" t="s">
        <v>29418</v>
      </c>
      <c r="E11604" s="51"/>
      <c r="F11604" s="114" t="str">
        <f>IF(INDEX(I.Facility.P2bIDNumber,1592)="","",INDEX(I.Facility.P2bIDNumber,1592))</f>
        <v/>
      </c>
      <c r="G11604" s="51"/>
      <c r="H11604" s="46" t="str">
        <f>IF(AND(I.Developer.P2b=TRUE,I.Facility.P2bFacilityCount&gt;=1592,F11604=""),"Incomplete","Complete")</f>
        <v>Complete</v>
      </c>
      <c r="I11604" s="48" t="s">
        <v>15969</v>
      </c>
    </row>
    <row r="11605" spans="2:9" ht="15" customHeight="1" x14ac:dyDescent="0.25">
      <c r="B11605" s="55" t="s">
        <v>281</v>
      </c>
      <c r="C11605" s="46">
        <v>1593</v>
      </c>
      <c r="D11605" s="69" t="s">
        <v>29418</v>
      </c>
      <c r="E11605" s="51"/>
      <c r="F11605" s="114" t="str">
        <f>IF(INDEX(I.Facility.P2bIDNumber,1593)="","",INDEX(I.Facility.P2bIDNumber,1593))</f>
        <v/>
      </c>
      <c r="G11605" s="51"/>
      <c r="H11605" s="46" t="str">
        <f>IF(AND(I.Developer.P2b=TRUE,I.Facility.P2bFacilityCount&gt;=1593,F11605=""),"Incomplete","Complete")</f>
        <v>Complete</v>
      </c>
      <c r="I11605" s="48" t="s">
        <v>15970</v>
      </c>
    </row>
    <row r="11606" spans="2:9" ht="15" customHeight="1" x14ac:dyDescent="0.25">
      <c r="B11606" s="55" t="s">
        <v>281</v>
      </c>
      <c r="C11606" s="46">
        <v>1594</v>
      </c>
      <c r="D11606" s="69" t="s">
        <v>29418</v>
      </c>
      <c r="E11606" s="51"/>
      <c r="F11606" s="114" t="str">
        <f>IF(INDEX(I.Facility.P2bIDNumber,1594)="","",INDEX(I.Facility.P2bIDNumber,1594))</f>
        <v/>
      </c>
      <c r="G11606" s="51"/>
      <c r="H11606" s="46" t="str">
        <f>IF(AND(I.Developer.P2b=TRUE,I.Facility.P2bFacilityCount&gt;=1594,F11606=""),"Incomplete","Complete")</f>
        <v>Complete</v>
      </c>
      <c r="I11606" s="48" t="s">
        <v>15971</v>
      </c>
    </row>
    <row r="11607" spans="2:9" ht="15" customHeight="1" x14ac:dyDescent="0.25">
      <c r="B11607" s="55" t="s">
        <v>281</v>
      </c>
      <c r="C11607" s="46">
        <v>1595</v>
      </c>
      <c r="D11607" s="69" t="s">
        <v>29418</v>
      </c>
      <c r="E11607" s="51"/>
      <c r="F11607" s="114" t="str">
        <f>IF(INDEX(I.Facility.P2bIDNumber,1595)="","",INDEX(I.Facility.P2bIDNumber,1595))</f>
        <v/>
      </c>
      <c r="G11607" s="51"/>
      <c r="H11607" s="46" t="str">
        <f>IF(AND(I.Developer.P2b=TRUE,I.Facility.P2bFacilityCount&gt;=1595,F11607=""),"Incomplete","Complete")</f>
        <v>Complete</v>
      </c>
      <c r="I11607" s="48" t="s">
        <v>15972</v>
      </c>
    </row>
    <row r="11608" spans="2:9" ht="15" customHeight="1" x14ac:dyDescent="0.25">
      <c r="B11608" s="55" t="s">
        <v>281</v>
      </c>
      <c r="C11608" s="46">
        <v>1596</v>
      </c>
      <c r="D11608" s="69" t="s">
        <v>29418</v>
      </c>
      <c r="E11608" s="51"/>
      <c r="F11608" s="114" t="str">
        <f>IF(INDEX(I.Facility.P2bIDNumber,1596)="","",INDEX(I.Facility.P2bIDNumber,1596))</f>
        <v/>
      </c>
      <c r="G11608" s="51"/>
      <c r="H11608" s="46" t="str">
        <f>IF(AND(I.Developer.P2b=TRUE,I.Facility.P2bFacilityCount&gt;=1596,F11608=""),"Incomplete","Complete")</f>
        <v>Complete</v>
      </c>
      <c r="I11608" s="48" t="s">
        <v>15973</v>
      </c>
    </row>
    <row r="11609" spans="2:9" ht="15" customHeight="1" x14ac:dyDescent="0.25">
      <c r="B11609" s="55" t="s">
        <v>281</v>
      </c>
      <c r="C11609" s="46">
        <v>1597</v>
      </c>
      <c r="D11609" s="69" t="s">
        <v>29418</v>
      </c>
      <c r="E11609" s="51"/>
      <c r="F11609" s="114" t="str">
        <f>IF(INDEX(I.Facility.P2bIDNumber,1597)="","",INDEX(I.Facility.P2bIDNumber,1597))</f>
        <v/>
      </c>
      <c r="G11609" s="51"/>
      <c r="H11609" s="46" t="str">
        <f>IF(AND(I.Developer.P2b=TRUE,I.Facility.P2bFacilityCount&gt;=1597,F11609=""),"Incomplete","Complete")</f>
        <v>Complete</v>
      </c>
      <c r="I11609" s="48" t="s">
        <v>15974</v>
      </c>
    </row>
    <row r="11610" spans="2:9" ht="15" customHeight="1" x14ac:dyDescent="0.25">
      <c r="B11610" s="55" t="s">
        <v>281</v>
      </c>
      <c r="C11610" s="46">
        <v>1598</v>
      </c>
      <c r="D11610" s="69" t="s">
        <v>29418</v>
      </c>
      <c r="E11610" s="51"/>
      <c r="F11610" s="114" t="str">
        <f>IF(INDEX(I.Facility.P2bIDNumber,1598)="","",INDEX(I.Facility.P2bIDNumber,1598))</f>
        <v/>
      </c>
      <c r="G11610" s="51"/>
      <c r="H11610" s="46" t="str">
        <f>IF(AND(I.Developer.P2b=TRUE,I.Facility.P2bFacilityCount&gt;=1598,F11610=""),"Incomplete","Complete")</f>
        <v>Complete</v>
      </c>
      <c r="I11610" s="48" t="s">
        <v>15975</v>
      </c>
    </row>
    <row r="11611" spans="2:9" ht="15" customHeight="1" x14ac:dyDescent="0.25">
      <c r="B11611" s="55" t="s">
        <v>281</v>
      </c>
      <c r="C11611" s="46">
        <v>1599</v>
      </c>
      <c r="D11611" s="69" t="s">
        <v>29418</v>
      </c>
      <c r="E11611" s="51"/>
      <c r="F11611" s="114" t="str">
        <f>IF(INDEX(I.Facility.P2bIDNumber,1599)="","",INDEX(I.Facility.P2bIDNumber,1599))</f>
        <v/>
      </c>
      <c r="G11611" s="51"/>
      <c r="H11611" s="46" t="str">
        <f>IF(AND(I.Developer.P2b=TRUE,I.Facility.P2bFacilityCount&gt;=1599,F11611=""),"Incomplete","Complete")</f>
        <v>Complete</v>
      </c>
      <c r="I11611" s="48" t="s">
        <v>15976</v>
      </c>
    </row>
    <row r="11612" spans="2:9" ht="15" customHeight="1" x14ac:dyDescent="0.25">
      <c r="B11612" s="55" t="s">
        <v>281</v>
      </c>
      <c r="C11612" s="46">
        <v>1600</v>
      </c>
      <c r="D11612" s="69" t="s">
        <v>29418</v>
      </c>
      <c r="E11612" s="51"/>
      <c r="F11612" s="114" t="str">
        <f>IF(INDEX(I.Facility.P2bIDNumber,1600)="","",INDEX(I.Facility.P2bIDNumber,1600))</f>
        <v/>
      </c>
      <c r="G11612" s="51"/>
      <c r="H11612" s="46" t="str">
        <f>IF(AND(I.Developer.P2b=TRUE,I.Facility.P2bFacilityCount&gt;=1600,F11612=""),"Incomplete","Complete")</f>
        <v>Complete</v>
      </c>
      <c r="I11612" s="48" t="s">
        <v>15977</v>
      </c>
    </row>
    <row r="11613" spans="2:9" ht="15" customHeight="1" x14ac:dyDescent="0.25">
      <c r="B11613" s="55" t="s">
        <v>281</v>
      </c>
      <c r="C11613" s="46">
        <v>1601</v>
      </c>
      <c r="D11613" s="69" t="s">
        <v>29418</v>
      </c>
      <c r="E11613" s="51"/>
      <c r="F11613" s="114" t="str">
        <f>IF(INDEX(I.Facility.P2bIDNumber,1601)="","",INDEX(I.Facility.P2bIDNumber,1601))</f>
        <v/>
      </c>
      <c r="G11613" s="51"/>
      <c r="H11613" s="46" t="str">
        <f>IF(AND(I.Developer.P2b=TRUE,I.Facility.P2bFacilityCount&gt;=1601,F11613=""),"Incomplete","Complete")</f>
        <v>Complete</v>
      </c>
      <c r="I11613" s="48" t="s">
        <v>15978</v>
      </c>
    </row>
    <row r="11614" spans="2:9" ht="15" customHeight="1" x14ac:dyDescent="0.25">
      <c r="B11614" s="55" t="s">
        <v>281</v>
      </c>
      <c r="C11614" s="46">
        <v>1602</v>
      </c>
      <c r="D11614" s="69" t="s">
        <v>29418</v>
      </c>
      <c r="E11614" s="51"/>
      <c r="F11614" s="114" t="str">
        <f>IF(INDEX(I.Facility.P2bIDNumber,1602)="","",INDEX(I.Facility.P2bIDNumber,1602))</f>
        <v/>
      </c>
      <c r="G11614" s="51"/>
      <c r="H11614" s="46" t="str">
        <f>IF(AND(I.Developer.P2b=TRUE,I.Facility.P2bFacilityCount&gt;=1602,F11614=""),"Incomplete","Complete")</f>
        <v>Complete</v>
      </c>
      <c r="I11614" s="48" t="s">
        <v>15979</v>
      </c>
    </row>
    <row r="11615" spans="2:9" ht="15" customHeight="1" x14ac:dyDescent="0.25">
      <c r="B11615" s="55" t="s">
        <v>281</v>
      </c>
      <c r="C11615" s="46">
        <v>1603</v>
      </c>
      <c r="D11615" s="69" t="s">
        <v>29418</v>
      </c>
      <c r="E11615" s="51"/>
      <c r="F11615" s="114" t="str">
        <f>IF(INDEX(I.Facility.P2bIDNumber,1603)="","",INDEX(I.Facility.P2bIDNumber,1603))</f>
        <v/>
      </c>
      <c r="G11615" s="51"/>
      <c r="H11615" s="46" t="str">
        <f>IF(AND(I.Developer.P2b=TRUE,I.Facility.P2bFacilityCount&gt;=1603,F11615=""),"Incomplete","Complete")</f>
        <v>Complete</v>
      </c>
      <c r="I11615" s="48" t="s">
        <v>15980</v>
      </c>
    </row>
    <row r="11616" spans="2:9" ht="15" customHeight="1" x14ac:dyDescent="0.25">
      <c r="B11616" s="55" t="s">
        <v>281</v>
      </c>
      <c r="C11616" s="46">
        <v>1604</v>
      </c>
      <c r="D11616" s="69" t="s">
        <v>29418</v>
      </c>
      <c r="E11616" s="51"/>
      <c r="F11616" s="114" t="str">
        <f>IF(INDEX(I.Facility.P2bIDNumber,1604)="","",INDEX(I.Facility.P2bIDNumber,1604))</f>
        <v/>
      </c>
      <c r="G11616" s="51"/>
      <c r="H11616" s="46" t="str">
        <f>IF(AND(I.Developer.P2b=TRUE,I.Facility.P2bFacilityCount&gt;=1604,F11616=""),"Incomplete","Complete")</f>
        <v>Complete</v>
      </c>
      <c r="I11616" s="48" t="s">
        <v>15981</v>
      </c>
    </row>
    <row r="11617" spans="2:9" ht="15" customHeight="1" x14ac:dyDescent="0.25">
      <c r="B11617" s="55" t="s">
        <v>281</v>
      </c>
      <c r="C11617" s="46">
        <v>1605</v>
      </c>
      <c r="D11617" s="69" t="s">
        <v>29418</v>
      </c>
      <c r="E11617" s="51"/>
      <c r="F11617" s="114" t="str">
        <f>IF(INDEX(I.Facility.P2bIDNumber,1605)="","",INDEX(I.Facility.P2bIDNumber,1605))</f>
        <v/>
      </c>
      <c r="G11617" s="51"/>
      <c r="H11617" s="46" t="str">
        <f>IF(AND(I.Developer.P2b=TRUE,I.Facility.P2bFacilityCount&gt;=1605,F11617=""),"Incomplete","Complete")</f>
        <v>Complete</v>
      </c>
      <c r="I11617" s="48" t="s">
        <v>15982</v>
      </c>
    </row>
    <row r="11618" spans="2:9" ht="15" customHeight="1" x14ac:dyDescent="0.25">
      <c r="B11618" s="55" t="s">
        <v>281</v>
      </c>
      <c r="C11618" s="46">
        <v>1606</v>
      </c>
      <c r="D11618" s="69" t="s">
        <v>29418</v>
      </c>
      <c r="E11618" s="51"/>
      <c r="F11618" s="114" t="str">
        <f>IF(INDEX(I.Facility.P2bIDNumber,1606)="","",INDEX(I.Facility.P2bIDNumber,1606))</f>
        <v/>
      </c>
      <c r="G11618" s="51"/>
      <c r="H11618" s="46" t="str">
        <f>IF(AND(I.Developer.P2b=TRUE,I.Facility.P2bFacilityCount&gt;=1606,F11618=""),"Incomplete","Complete")</f>
        <v>Complete</v>
      </c>
      <c r="I11618" s="48" t="s">
        <v>15983</v>
      </c>
    </row>
    <row r="11619" spans="2:9" ht="15" customHeight="1" x14ac:dyDescent="0.25">
      <c r="B11619" s="55" t="s">
        <v>281</v>
      </c>
      <c r="C11619" s="46">
        <v>1607</v>
      </c>
      <c r="D11619" s="69" t="s">
        <v>29418</v>
      </c>
      <c r="E11619" s="51"/>
      <c r="F11619" s="114" t="str">
        <f>IF(INDEX(I.Facility.P2bIDNumber,1607)="","",INDEX(I.Facility.P2bIDNumber,1607))</f>
        <v/>
      </c>
      <c r="G11619" s="51"/>
      <c r="H11619" s="46" t="str">
        <f>IF(AND(I.Developer.P2b=TRUE,I.Facility.P2bFacilityCount&gt;=1607,F11619=""),"Incomplete","Complete")</f>
        <v>Complete</v>
      </c>
      <c r="I11619" s="48" t="s">
        <v>15984</v>
      </c>
    </row>
    <row r="11620" spans="2:9" ht="15" customHeight="1" x14ac:dyDescent="0.25">
      <c r="B11620" s="55" t="s">
        <v>281</v>
      </c>
      <c r="C11620" s="46">
        <v>1608</v>
      </c>
      <c r="D11620" s="69" t="s">
        <v>29418</v>
      </c>
      <c r="E11620" s="51"/>
      <c r="F11620" s="114" t="str">
        <f>IF(INDEX(I.Facility.P2bIDNumber,1608)="","",INDEX(I.Facility.P2bIDNumber,1608))</f>
        <v/>
      </c>
      <c r="G11620" s="51"/>
      <c r="H11620" s="46" t="str">
        <f>IF(AND(I.Developer.P2b=TRUE,I.Facility.P2bFacilityCount&gt;=1608,F11620=""),"Incomplete","Complete")</f>
        <v>Complete</v>
      </c>
      <c r="I11620" s="48" t="s">
        <v>15985</v>
      </c>
    </row>
    <row r="11621" spans="2:9" ht="15" customHeight="1" x14ac:dyDescent="0.25">
      <c r="B11621" s="55" t="s">
        <v>281</v>
      </c>
      <c r="C11621" s="46">
        <v>1609</v>
      </c>
      <c r="D11621" s="69" t="s">
        <v>29418</v>
      </c>
      <c r="E11621" s="51"/>
      <c r="F11621" s="114" t="str">
        <f>IF(INDEX(I.Facility.P2bIDNumber,1609)="","",INDEX(I.Facility.P2bIDNumber,1609))</f>
        <v/>
      </c>
      <c r="G11621" s="51"/>
      <c r="H11621" s="46" t="str">
        <f>IF(AND(I.Developer.P2b=TRUE,I.Facility.P2bFacilityCount&gt;=1609,F11621=""),"Incomplete","Complete")</f>
        <v>Complete</v>
      </c>
      <c r="I11621" s="48" t="s">
        <v>15986</v>
      </c>
    </row>
    <row r="11622" spans="2:9" ht="15" customHeight="1" x14ac:dyDescent="0.25">
      <c r="B11622" s="55" t="s">
        <v>281</v>
      </c>
      <c r="C11622" s="46">
        <v>1610</v>
      </c>
      <c r="D11622" s="69" t="s">
        <v>29418</v>
      </c>
      <c r="E11622" s="51"/>
      <c r="F11622" s="114" t="str">
        <f>IF(INDEX(I.Facility.P2bIDNumber,1610)="","",INDEX(I.Facility.P2bIDNumber,1610))</f>
        <v/>
      </c>
      <c r="G11622" s="51"/>
      <c r="H11622" s="46" t="str">
        <f>IF(AND(I.Developer.P2b=TRUE,I.Facility.P2bFacilityCount&gt;=1610,F11622=""),"Incomplete","Complete")</f>
        <v>Complete</v>
      </c>
      <c r="I11622" s="48" t="s">
        <v>15987</v>
      </c>
    </row>
    <row r="11623" spans="2:9" ht="15" customHeight="1" x14ac:dyDescent="0.25">
      <c r="B11623" s="55" t="s">
        <v>281</v>
      </c>
      <c r="C11623" s="46">
        <v>1611</v>
      </c>
      <c r="D11623" s="69" t="s">
        <v>29418</v>
      </c>
      <c r="E11623" s="51"/>
      <c r="F11623" s="114" t="str">
        <f>IF(INDEX(I.Facility.P2bIDNumber,1611)="","",INDEX(I.Facility.P2bIDNumber,1611))</f>
        <v/>
      </c>
      <c r="G11623" s="51"/>
      <c r="H11623" s="46" t="str">
        <f>IF(AND(I.Developer.P2b=TRUE,I.Facility.P2bFacilityCount&gt;=1611,F11623=""),"Incomplete","Complete")</f>
        <v>Complete</v>
      </c>
      <c r="I11623" s="48" t="s">
        <v>15988</v>
      </c>
    </row>
    <row r="11624" spans="2:9" ht="15" customHeight="1" x14ac:dyDescent="0.25">
      <c r="B11624" s="55" t="s">
        <v>281</v>
      </c>
      <c r="C11624" s="46">
        <v>1612</v>
      </c>
      <c r="D11624" s="69" t="s">
        <v>29418</v>
      </c>
      <c r="E11624" s="51"/>
      <c r="F11624" s="114" t="str">
        <f>IF(INDEX(I.Facility.P2bIDNumber,1612)="","",INDEX(I.Facility.P2bIDNumber,1612))</f>
        <v/>
      </c>
      <c r="G11624" s="51"/>
      <c r="H11624" s="46" t="str">
        <f>IF(AND(I.Developer.P2b=TRUE,I.Facility.P2bFacilityCount&gt;=1612,F11624=""),"Incomplete","Complete")</f>
        <v>Complete</v>
      </c>
      <c r="I11624" s="48" t="s">
        <v>15989</v>
      </c>
    </row>
    <row r="11625" spans="2:9" ht="15" customHeight="1" x14ac:dyDescent="0.25">
      <c r="B11625" s="55" t="s">
        <v>281</v>
      </c>
      <c r="C11625" s="46">
        <v>1613</v>
      </c>
      <c r="D11625" s="69" t="s">
        <v>29418</v>
      </c>
      <c r="E11625" s="51"/>
      <c r="F11625" s="114" t="str">
        <f>IF(INDEX(I.Facility.P2bIDNumber,1613)="","",INDEX(I.Facility.P2bIDNumber,1613))</f>
        <v/>
      </c>
      <c r="G11625" s="51"/>
      <c r="H11625" s="46" t="str">
        <f>IF(AND(I.Developer.P2b=TRUE,I.Facility.P2bFacilityCount&gt;=1613,F11625=""),"Incomplete","Complete")</f>
        <v>Complete</v>
      </c>
      <c r="I11625" s="48" t="s">
        <v>15990</v>
      </c>
    </row>
    <row r="11626" spans="2:9" ht="15" customHeight="1" x14ac:dyDescent="0.25">
      <c r="B11626" s="55" t="s">
        <v>281</v>
      </c>
      <c r="C11626" s="46">
        <v>1614</v>
      </c>
      <c r="D11626" s="69" t="s">
        <v>29418</v>
      </c>
      <c r="E11626" s="51"/>
      <c r="F11626" s="114" t="str">
        <f>IF(INDEX(I.Facility.P2bIDNumber,1614)="","",INDEX(I.Facility.P2bIDNumber,1614))</f>
        <v/>
      </c>
      <c r="G11626" s="51"/>
      <c r="H11626" s="46" t="str">
        <f>IF(AND(I.Developer.P2b=TRUE,I.Facility.P2bFacilityCount&gt;=1614,F11626=""),"Incomplete","Complete")</f>
        <v>Complete</v>
      </c>
      <c r="I11626" s="48" t="s">
        <v>15991</v>
      </c>
    </row>
    <row r="11627" spans="2:9" ht="15" customHeight="1" x14ac:dyDescent="0.25">
      <c r="B11627" s="55" t="s">
        <v>281</v>
      </c>
      <c r="C11627" s="46">
        <v>1615</v>
      </c>
      <c r="D11627" s="69" t="s">
        <v>29418</v>
      </c>
      <c r="E11627" s="51"/>
      <c r="F11627" s="114" t="str">
        <f>IF(INDEX(I.Facility.P2bIDNumber,1615)="","",INDEX(I.Facility.P2bIDNumber,1615))</f>
        <v/>
      </c>
      <c r="G11627" s="51"/>
      <c r="H11627" s="46" t="str">
        <f>IF(AND(I.Developer.P2b=TRUE,I.Facility.P2bFacilityCount&gt;=1615,F11627=""),"Incomplete","Complete")</f>
        <v>Complete</v>
      </c>
      <c r="I11627" s="48" t="s">
        <v>15992</v>
      </c>
    </row>
    <row r="11628" spans="2:9" ht="15" customHeight="1" x14ac:dyDescent="0.25">
      <c r="B11628" s="55" t="s">
        <v>281</v>
      </c>
      <c r="C11628" s="46">
        <v>1616</v>
      </c>
      <c r="D11628" s="69" t="s">
        <v>29418</v>
      </c>
      <c r="E11628" s="51"/>
      <c r="F11628" s="114" t="str">
        <f>IF(INDEX(I.Facility.P2bIDNumber,1616)="","",INDEX(I.Facility.P2bIDNumber,1616))</f>
        <v/>
      </c>
      <c r="G11628" s="51"/>
      <c r="H11628" s="46" t="str">
        <f>IF(AND(I.Developer.P2b=TRUE,I.Facility.P2bFacilityCount&gt;=1616,F11628=""),"Incomplete","Complete")</f>
        <v>Complete</v>
      </c>
      <c r="I11628" s="48" t="s">
        <v>15993</v>
      </c>
    </row>
    <row r="11629" spans="2:9" ht="15" customHeight="1" x14ac:dyDescent="0.25">
      <c r="B11629" s="55" t="s">
        <v>281</v>
      </c>
      <c r="C11629" s="46">
        <v>1617</v>
      </c>
      <c r="D11629" s="69" t="s">
        <v>29418</v>
      </c>
      <c r="E11629" s="51"/>
      <c r="F11629" s="114" t="str">
        <f>IF(INDEX(I.Facility.P2bIDNumber,1617)="","",INDEX(I.Facility.P2bIDNumber,1617))</f>
        <v/>
      </c>
      <c r="G11629" s="51"/>
      <c r="H11629" s="46" t="str">
        <f>IF(AND(I.Developer.P2b=TRUE,I.Facility.P2bFacilityCount&gt;=1617,F11629=""),"Incomplete","Complete")</f>
        <v>Complete</v>
      </c>
      <c r="I11629" s="48" t="s">
        <v>15994</v>
      </c>
    </row>
    <row r="11630" spans="2:9" ht="15" customHeight="1" x14ac:dyDescent="0.25">
      <c r="B11630" s="55" t="s">
        <v>281</v>
      </c>
      <c r="C11630" s="46">
        <v>1618</v>
      </c>
      <c r="D11630" s="69" t="s">
        <v>29418</v>
      </c>
      <c r="E11630" s="51"/>
      <c r="F11630" s="114" t="str">
        <f>IF(INDEX(I.Facility.P2bIDNumber,1618)="","",INDEX(I.Facility.P2bIDNumber,1618))</f>
        <v/>
      </c>
      <c r="G11630" s="51"/>
      <c r="H11630" s="46" t="str">
        <f>IF(AND(I.Developer.P2b=TRUE,I.Facility.P2bFacilityCount&gt;=1618,F11630=""),"Incomplete","Complete")</f>
        <v>Complete</v>
      </c>
      <c r="I11630" s="48" t="s">
        <v>15995</v>
      </c>
    </row>
    <row r="11631" spans="2:9" ht="15" customHeight="1" x14ac:dyDescent="0.25">
      <c r="B11631" s="55" t="s">
        <v>281</v>
      </c>
      <c r="C11631" s="46">
        <v>1619</v>
      </c>
      <c r="D11631" s="69" t="s">
        <v>29418</v>
      </c>
      <c r="E11631" s="51"/>
      <c r="F11631" s="114" t="str">
        <f>IF(INDEX(I.Facility.P2bIDNumber,1619)="","",INDEX(I.Facility.P2bIDNumber,1619))</f>
        <v/>
      </c>
      <c r="G11631" s="51"/>
      <c r="H11631" s="46" t="str">
        <f>IF(AND(I.Developer.P2b=TRUE,I.Facility.P2bFacilityCount&gt;=1619,F11631=""),"Incomplete","Complete")</f>
        <v>Complete</v>
      </c>
      <c r="I11631" s="48" t="s">
        <v>15996</v>
      </c>
    </row>
    <row r="11632" spans="2:9" ht="15" customHeight="1" x14ac:dyDescent="0.25">
      <c r="B11632" s="55" t="s">
        <v>281</v>
      </c>
      <c r="C11632" s="46">
        <v>1620</v>
      </c>
      <c r="D11632" s="69" t="s">
        <v>29418</v>
      </c>
      <c r="E11632" s="51"/>
      <c r="F11632" s="114" t="str">
        <f>IF(INDEX(I.Facility.P2bIDNumber,1620)="","",INDEX(I.Facility.P2bIDNumber,1620))</f>
        <v/>
      </c>
      <c r="G11632" s="51"/>
      <c r="H11632" s="46" t="str">
        <f>IF(AND(I.Developer.P2b=TRUE,I.Facility.P2bFacilityCount&gt;=1620,F11632=""),"Incomplete","Complete")</f>
        <v>Complete</v>
      </c>
      <c r="I11632" s="48" t="s">
        <v>15997</v>
      </c>
    </row>
    <row r="11633" spans="2:9" ht="15" customHeight="1" x14ac:dyDescent="0.25">
      <c r="B11633" s="55" t="s">
        <v>281</v>
      </c>
      <c r="C11633" s="46">
        <v>1621</v>
      </c>
      <c r="D11633" s="69" t="s">
        <v>29418</v>
      </c>
      <c r="E11633" s="51"/>
      <c r="F11633" s="114" t="str">
        <f>IF(INDEX(I.Facility.P2bIDNumber,1621)="","",INDEX(I.Facility.P2bIDNumber,1621))</f>
        <v/>
      </c>
      <c r="G11633" s="51"/>
      <c r="H11633" s="46" t="str">
        <f>IF(AND(I.Developer.P2b=TRUE,I.Facility.P2bFacilityCount&gt;=1621,F11633=""),"Incomplete","Complete")</f>
        <v>Complete</v>
      </c>
      <c r="I11633" s="48" t="s">
        <v>15998</v>
      </c>
    </row>
    <row r="11634" spans="2:9" ht="15" customHeight="1" x14ac:dyDescent="0.25">
      <c r="B11634" s="55" t="s">
        <v>281</v>
      </c>
      <c r="C11634" s="46">
        <v>1622</v>
      </c>
      <c r="D11634" s="69" t="s">
        <v>29418</v>
      </c>
      <c r="E11634" s="51"/>
      <c r="F11634" s="114" t="str">
        <f>IF(INDEX(I.Facility.P2bIDNumber,1622)="","",INDEX(I.Facility.P2bIDNumber,1622))</f>
        <v/>
      </c>
      <c r="G11634" s="51"/>
      <c r="H11634" s="46" t="str">
        <f>IF(AND(I.Developer.P2b=TRUE,I.Facility.P2bFacilityCount&gt;=1622,F11634=""),"Incomplete","Complete")</f>
        <v>Complete</v>
      </c>
      <c r="I11634" s="48" t="s">
        <v>15999</v>
      </c>
    </row>
    <row r="11635" spans="2:9" ht="15" customHeight="1" x14ac:dyDescent="0.25">
      <c r="B11635" s="55" t="s">
        <v>281</v>
      </c>
      <c r="C11635" s="46">
        <v>1623</v>
      </c>
      <c r="D11635" s="69" t="s">
        <v>29418</v>
      </c>
      <c r="E11635" s="51"/>
      <c r="F11635" s="114" t="str">
        <f>IF(INDEX(I.Facility.P2bIDNumber,1623)="","",INDEX(I.Facility.P2bIDNumber,1623))</f>
        <v/>
      </c>
      <c r="G11635" s="51"/>
      <c r="H11635" s="46" t="str">
        <f>IF(AND(I.Developer.P2b=TRUE,I.Facility.P2bFacilityCount&gt;=1623,F11635=""),"Incomplete","Complete")</f>
        <v>Complete</v>
      </c>
      <c r="I11635" s="48" t="s">
        <v>16000</v>
      </c>
    </row>
    <row r="11636" spans="2:9" ht="15" customHeight="1" x14ac:dyDescent="0.25">
      <c r="B11636" s="55" t="s">
        <v>281</v>
      </c>
      <c r="C11636" s="46">
        <v>1624</v>
      </c>
      <c r="D11636" s="69" t="s">
        <v>29418</v>
      </c>
      <c r="E11636" s="51"/>
      <c r="F11636" s="114" t="str">
        <f>IF(INDEX(I.Facility.P2bIDNumber,1624)="","",INDEX(I.Facility.P2bIDNumber,1624))</f>
        <v/>
      </c>
      <c r="G11636" s="51"/>
      <c r="H11636" s="46" t="str">
        <f>IF(AND(I.Developer.P2b=TRUE,I.Facility.P2bFacilityCount&gt;=1624,F11636=""),"Incomplete","Complete")</f>
        <v>Complete</v>
      </c>
      <c r="I11636" s="48" t="s">
        <v>16001</v>
      </c>
    </row>
    <row r="11637" spans="2:9" ht="15" customHeight="1" x14ac:dyDescent="0.25">
      <c r="B11637" s="55" t="s">
        <v>281</v>
      </c>
      <c r="C11637" s="46">
        <v>1625</v>
      </c>
      <c r="D11637" s="69" t="s">
        <v>29418</v>
      </c>
      <c r="E11637" s="51"/>
      <c r="F11637" s="114" t="str">
        <f>IF(INDEX(I.Facility.P2bIDNumber,1625)="","",INDEX(I.Facility.P2bIDNumber,1625))</f>
        <v/>
      </c>
      <c r="G11637" s="51"/>
      <c r="H11637" s="46" t="str">
        <f>IF(AND(I.Developer.P2b=TRUE,I.Facility.P2bFacilityCount&gt;=1625,F11637=""),"Incomplete","Complete")</f>
        <v>Complete</v>
      </c>
      <c r="I11637" s="48" t="s">
        <v>16002</v>
      </c>
    </row>
    <row r="11638" spans="2:9" ht="15" customHeight="1" x14ac:dyDescent="0.25">
      <c r="B11638" s="55" t="s">
        <v>281</v>
      </c>
      <c r="C11638" s="46">
        <v>1626</v>
      </c>
      <c r="D11638" s="69" t="s">
        <v>29418</v>
      </c>
      <c r="E11638" s="51"/>
      <c r="F11638" s="114" t="str">
        <f>IF(INDEX(I.Facility.P2bIDNumber,1626)="","",INDEX(I.Facility.P2bIDNumber,1626))</f>
        <v/>
      </c>
      <c r="G11638" s="51"/>
      <c r="H11638" s="46" t="str">
        <f>IF(AND(I.Developer.P2b=TRUE,I.Facility.P2bFacilityCount&gt;=1626,F11638=""),"Incomplete","Complete")</f>
        <v>Complete</v>
      </c>
      <c r="I11638" s="48" t="s">
        <v>16003</v>
      </c>
    </row>
    <row r="11639" spans="2:9" ht="15" customHeight="1" x14ac:dyDescent="0.25">
      <c r="B11639" s="55" t="s">
        <v>281</v>
      </c>
      <c r="C11639" s="46">
        <v>1627</v>
      </c>
      <c r="D11639" s="69" t="s">
        <v>29418</v>
      </c>
      <c r="E11639" s="51"/>
      <c r="F11639" s="114" t="str">
        <f>IF(INDEX(I.Facility.P2bIDNumber,1627)="","",INDEX(I.Facility.P2bIDNumber,1627))</f>
        <v/>
      </c>
      <c r="G11639" s="51"/>
      <c r="H11639" s="46" t="str">
        <f>IF(AND(I.Developer.P2b=TRUE,I.Facility.P2bFacilityCount&gt;=1627,F11639=""),"Incomplete","Complete")</f>
        <v>Complete</v>
      </c>
      <c r="I11639" s="48" t="s">
        <v>16004</v>
      </c>
    </row>
    <row r="11640" spans="2:9" ht="15" customHeight="1" x14ac:dyDescent="0.25">
      <c r="B11640" s="55" t="s">
        <v>281</v>
      </c>
      <c r="C11640" s="46">
        <v>1628</v>
      </c>
      <c r="D11640" s="69" t="s">
        <v>29418</v>
      </c>
      <c r="E11640" s="51"/>
      <c r="F11640" s="114" t="str">
        <f>IF(INDEX(I.Facility.P2bIDNumber,1628)="","",INDEX(I.Facility.P2bIDNumber,1628))</f>
        <v/>
      </c>
      <c r="G11640" s="51"/>
      <c r="H11640" s="46" t="str">
        <f>IF(AND(I.Developer.P2b=TRUE,I.Facility.P2bFacilityCount&gt;=1628,F11640=""),"Incomplete","Complete")</f>
        <v>Complete</v>
      </c>
      <c r="I11640" s="48" t="s">
        <v>16005</v>
      </c>
    </row>
    <row r="11641" spans="2:9" ht="15" customHeight="1" x14ac:dyDescent="0.25">
      <c r="B11641" s="55" t="s">
        <v>281</v>
      </c>
      <c r="C11641" s="46">
        <v>1629</v>
      </c>
      <c r="D11641" s="69" t="s">
        <v>29418</v>
      </c>
      <c r="E11641" s="51"/>
      <c r="F11641" s="114" t="str">
        <f>IF(INDEX(I.Facility.P2bIDNumber,1629)="","",INDEX(I.Facility.P2bIDNumber,1629))</f>
        <v/>
      </c>
      <c r="G11641" s="51"/>
      <c r="H11641" s="46" t="str">
        <f>IF(AND(I.Developer.P2b=TRUE,I.Facility.P2bFacilityCount&gt;=1629,F11641=""),"Incomplete","Complete")</f>
        <v>Complete</v>
      </c>
      <c r="I11641" s="48" t="s">
        <v>16006</v>
      </c>
    </row>
    <row r="11642" spans="2:9" ht="15" customHeight="1" x14ac:dyDescent="0.25">
      <c r="B11642" s="55" t="s">
        <v>281</v>
      </c>
      <c r="C11642" s="46">
        <v>1630</v>
      </c>
      <c r="D11642" s="69" t="s">
        <v>29418</v>
      </c>
      <c r="E11642" s="51"/>
      <c r="F11642" s="114" t="str">
        <f>IF(INDEX(I.Facility.P2bIDNumber,1630)="","",INDEX(I.Facility.P2bIDNumber,1630))</f>
        <v/>
      </c>
      <c r="G11642" s="51"/>
      <c r="H11642" s="46" t="str">
        <f>IF(AND(I.Developer.P2b=TRUE,I.Facility.P2bFacilityCount&gt;=1630,F11642=""),"Incomplete","Complete")</f>
        <v>Complete</v>
      </c>
      <c r="I11642" s="48" t="s">
        <v>16007</v>
      </c>
    </row>
    <row r="11643" spans="2:9" ht="15" customHeight="1" x14ac:dyDescent="0.25">
      <c r="B11643" s="55" t="s">
        <v>281</v>
      </c>
      <c r="C11643" s="46">
        <v>1631</v>
      </c>
      <c r="D11643" s="69" t="s">
        <v>29418</v>
      </c>
      <c r="E11643" s="51"/>
      <c r="F11643" s="114" t="str">
        <f>IF(INDEX(I.Facility.P2bIDNumber,1631)="","",INDEX(I.Facility.P2bIDNumber,1631))</f>
        <v/>
      </c>
      <c r="G11643" s="51"/>
      <c r="H11643" s="46" t="str">
        <f>IF(AND(I.Developer.P2b=TRUE,I.Facility.P2bFacilityCount&gt;=1631,F11643=""),"Incomplete","Complete")</f>
        <v>Complete</v>
      </c>
      <c r="I11643" s="48" t="s">
        <v>16008</v>
      </c>
    </row>
    <row r="11644" spans="2:9" ht="15" customHeight="1" x14ac:dyDescent="0.25">
      <c r="B11644" s="55" t="s">
        <v>281</v>
      </c>
      <c r="C11644" s="46">
        <v>1632</v>
      </c>
      <c r="D11644" s="69" t="s">
        <v>29418</v>
      </c>
      <c r="E11644" s="51"/>
      <c r="F11644" s="114" t="str">
        <f>IF(INDEX(I.Facility.P2bIDNumber,1632)="","",INDEX(I.Facility.P2bIDNumber,1632))</f>
        <v/>
      </c>
      <c r="G11644" s="51"/>
      <c r="H11644" s="46" t="str">
        <f>IF(AND(I.Developer.P2b=TRUE,I.Facility.P2bFacilityCount&gt;=1632,F11644=""),"Incomplete","Complete")</f>
        <v>Complete</v>
      </c>
      <c r="I11644" s="48" t="s">
        <v>16009</v>
      </c>
    </row>
    <row r="11645" spans="2:9" ht="15" customHeight="1" x14ac:dyDescent="0.25">
      <c r="B11645" s="55" t="s">
        <v>281</v>
      </c>
      <c r="C11645" s="46">
        <v>1633</v>
      </c>
      <c r="D11645" s="69" t="s">
        <v>29418</v>
      </c>
      <c r="E11645" s="51"/>
      <c r="F11645" s="114" t="str">
        <f>IF(INDEX(I.Facility.P2bIDNumber,1633)="","",INDEX(I.Facility.P2bIDNumber,1633))</f>
        <v/>
      </c>
      <c r="G11645" s="51"/>
      <c r="H11645" s="46" t="str">
        <f>IF(AND(I.Developer.P2b=TRUE,I.Facility.P2bFacilityCount&gt;=1633,F11645=""),"Incomplete","Complete")</f>
        <v>Complete</v>
      </c>
      <c r="I11645" s="48" t="s">
        <v>16010</v>
      </c>
    </row>
    <row r="11646" spans="2:9" ht="15" customHeight="1" x14ac:dyDescent="0.25">
      <c r="B11646" s="55" t="s">
        <v>281</v>
      </c>
      <c r="C11646" s="46">
        <v>1634</v>
      </c>
      <c r="D11646" s="69" t="s">
        <v>29418</v>
      </c>
      <c r="E11646" s="51"/>
      <c r="F11646" s="114" t="str">
        <f>IF(INDEX(I.Facility.P2bIDNumber,1634)="","",INDEX(I.Facility.P2bIDNumber,1634))</f>
        <v/>
      </c>
      <c r="G11646" s="51"/>
      <c r="H11646" s="46" t="str">
        <f>IF(AND(I.Developer.P2b=TRUE,I.Facility.P2bFacilityCount&gt;=1634,F11646=""),"Incomplete","Complete")</f>
        <v>Complete</v>
      </c>
      <c r="I11646" s="48" t="s">
        <v>16011</v>
      </c>
    </row>
    <row r="11647" spans="2:9" ht="15" customHeight="1" x14ac:dyDescent="0.25">
      <c r="B11647" s="55" t="s">
        <v>281</v>
      </c>
      <c r="C11647" s="46">
        <v>1635</v>
      </c>
      <c r="D11647" s="69" t="s">
        <v>29418</v>
      </c>
      <c r="E11647" s="51"/>
      <c r="F11647" s="114" t="str">
        <f>IF(INDEX(I.Facility.P2bIDNumber,1635)="","",INDEX(I.Facility.P2bIDNumber,1635))</f>
        <v/>
      </c>
      <c r="G11647" s="51"/>
      <c r="H11647" s="46" t="str">
        <f>IF(AND(I.Developer.P2b=TRUE,I.Facility.P2bFacilityCount&gt;=1635,F11647=""),"Incomplete","Complete")</f>
        <v>Complete</v>
      </c>
      <c r="I11647" s="48" t="s">
        <v>16012</v>
      </c>
    </row>
    <row r="11648" spans="2:9" ht="15" customHeight="1" x14ac:dyDescent="0.25">
      <c r="B11648" s="55" t="s">
        <v>281</v>
      </c>
      <c r="C11648" s="46">
        <v>1636</v>
      </c>
      <c r="D11648" s="69" t="s">
        <v>29418</v>
      </c>
      <c r="E11648" s="51"/>
      <c r="F11648" s="114" t="str">
        <f>IF(INDEX(I.Facility.P2bIDNumber,1636)="","",INDEX(I.Facility.P2bIDNumber,1636))</f>
        <v/>
      </c>
      <c r="G11648" s="51"/>
      <c r="H11648" s="46" t="str">
        <f>IF(AND(I.Developer.P2b=TRUE,I.Facility.P2bFacilityCount&gt;=1636,F11648=""),"Incomplete","Complete")</f>
        <v>Complete</v>
      </c>
      <c r="I11648" s="48" t="s">
        <v>16013</v>
      </c>
    </row>
    <row r="11649" spans="2:9" ht="15" customHeight="1" x14ac:dyDescent="0.25">
      <c r="B11649" s="55" t="s">
        <v>281</v>
      </c>
      <c r="C11649" s="46">
        <v>1637</v>
      </c>
      <c r="D11649" s="69" t="s">
        <v>29418</v>
      </c>
      <c r="E11649" s="51"/>
      <c r="F11649" s="114" t="str">
        <f>IF(INDEX(I.Facility.P2bIDNumber,1637)="","",INDEX(I.Facility.P2bIDNumber,1637))</f>
        <v/>
      </c>
      <c r="G11649" s="51"/>
      <c r="H11649" s="46" t="str">
        <f>IF(AND(I.Developer.P2b=TRUE,I.Facility.P2bFacilityCount&gt;=1637,F11649=""),"Incomplete","Complete")</f>
        <v>Complete</v>
      </c>
      <c r="I11649" s="48" t="s">
        <v>16014</v>
      </c>
    </row>
    <row r="11650" spans="2:9" ht="15" customHeight="1" x14ac:dyDescent="0.25">
      <c r="B11650" s="55" t="s">
        <v>281</v>
      </c>
      <c r="C11650" s="46">
        <v>1638</v>
      </c>
      <c r="D11650" s="69" t="s">
        <v>29418</v>
      </c>
      <c r="E11650" s="51"/>
      <c r="F11650" s="114" t="str">
        <f>IF(INDEX(I.Facility.P2bIDNumber,1638)="","",INDEX(I.Facility.P2bIDNumber,1638))</f>
        <v/>
      </c>
      <c r="G11650" s="51"/>
      <c r="H11650" s="46" t="str">
        <f>IF(AND(I.Developer.P2b=TRUE,I.Facility.P2bFacilityCount&gt;=1638,F11650=""),"Incomplete","Complete")</f>
        <v>Complete</v>
      </c>
      <c r="I11650" s="48" t="s">
        <v>16015</v>
      </c>
    </row>
    <row r="11651" spans="2:9" ht="15" customHeight="1" x14ac:dyDescent="0.25">
      <c r="B11651" s="55" t="s">
        <v>281</v>
      </c>
      <c r="C11651" s="46">
        <v>1639</v>
      </c>
      <c r="D11651" s="69" t="s">
        <v>29418</v>
      </c>
      <c r="E11651" s="51"/>
      <c r="F11651" s="114" t="str">
        <f>IF(INDEX(I.Facility.P2bIDNumber,1639)="","",INDEX(I.Facility.P2bIDNumber,1639))</f>
        <v/>
      </c>
      <c r="G11651" s="51"/>
      <c r="H11651" s="46" t="str">
        <f>IF(AND(I.Developer.P2b=TRUE,I.Facility.P2bFacilityCount&gt;=1639,F11651=""),"Incomplete","Complete")</f>
        <v>Complete</v>
      </c>
      <c r="I11651" s="48" t="s">
        <v>16016</v>
      </c>
    </row>
    <row r="11652" spans="2:9" ht="15" customHeight="1" x14ac:dyDescent="0.25">
      <c r="B11652" s="55" t="s">
        <v>281</v>
      </c>
      <c r="C11652" s="46">
        <v>1640</v>
      </c>
      <c r="D11652" s="69" t="s">
        <v>29418</v>
      </c>
      <c r="E11652" s="51"/>
      <c r="F11652" s="114" t="str">
        <f>IF(INDEX(I.Facility.P2bIDNumber,1640)="","",INDEX(I.Facility.P2bIDNumber,1640))</f>
        <v/>
      </c>
      <c r="G11652" s="51"/>
      <c r="H11652" s="46" t="str">
        <f>IF(AND(I.Developer.P2b=TRUE,I.Facility.P2bFacilityCount&gt;=1640,F11652=""),"Incomplete","Complete")</f>
        <v>Complete</v>
      </c>
      <c r="I11652" s="48" t="s">
        <v>16017</v>
      </c>
    </row>
    <row r="11653" spans="2:9" ht="15" customHeight="1" x14ac:dyDescent="0.25">
      <c r="B11653" s="55" t="s">
        <v>281</v>
      </c>
      <c r="C11653" s="46">
        <v>1641</v>
      </c>
      <c r="D11653" s="69" t="s">
        <v>29418</v>
      </c>
      <c r="E11653" s="51"/>
      <c r="F11653" s="114" t="str">
        <f>IF(INDEX(I.Facility.P2bIDNumber,1641)="","",INDEX(I.Facility.P2bIDNumber,1641))</f>
        <v/>
      </c>
      <c r="G11653" s="51"/>
      <c r="H11653" s="46" t="str">
        <f>IF(AND(I.Developer.P2b=TRUE,I.Facility.P2bFacilityCount&gt;=1641,F11653=""),"Incomplete","Complete")</f>
        <v>Complete</v>
      </c>
      <c r="I11653" s="48" t="s">
        <v>16018</v>
      </c>
    </row>
    <row r="11654" spans="2:9" ht="15" customHeight="1" x14ac:dyDescent="0.25">
      <c r="B11654" s="55" t="s">
        <v>281</v>
      </c>
      <c r="C11654" s="46">
        <v>1642</v>
      </c>
      <c r="D11654" s="69" t="s">
        <v>29418</v>
      </c>
      <c r="E11654" s="51"/>
      <c r="F11654" s="114" t="str">
        <f>IF(INDEX(I.Facility.P2bIDNumber,1642)="","",INDEX(I.Facility.P2bIDNumber,1642))</f>
        <v/>
      </c>
      <c r="G11654" s="51"/>
      <c r="H11654" s="46" t="str">
        <f>IF(AND(I.Developer.P2b=TRUE,I.Facility.P2bFacilityCount&gt;=1642,F11654=""),"Incomplete","Complete")</f>
        <v>Complete</v>
      </c>
      <c r="I11654" s="48" t="s">
        <v>16019</v>
      </c>
    </row>
    <row r="11655" spans="2:9" ht="15" customHeight="1" x14ac:dyDescent="0.25">
      <c r="B11655" s="55" t="s">
        <v>281</v>
      </c>
      <c r="C11655" s="46">
        <v>1643</v>
      </c>
      <c r="D11655" s="69" t="s">
        <v>29418</v>
      </c>
      <c r="E11655" s="51"/>
      <c r="F11655" s="114" t="str">
        <f>IF(INDEX(I.Facility.P2bIDNumber,1643)="","",INDEX(I.Facility.P2bIDNumber,1643))</f>
        <v/>
      </c>
      <c r="G11655" s="51"/>
      <c r="H11655" s="46" t="str">
        <f>IF(AND(I.Developer.P2b=TRUE,I.Facility.P2bFacilityCount&gt;=1643,F11655=""),"Incomplete","Complete")</f>
        <v>Complete</v>
      </c>
      <c r="I11655" s="48" t="s">
        <v>16020</v>
      </c>
    </row>
    <row r="11656" spans="2:9" ht="15" customHeight="1" x14ac:dyDescent="0.25">
      <c r="B11656" s="55" t="s">
        <v>281</v>
      </c>
      <c r="C11656" s="46">
        <v>1644</v>
      </c>
      <c r="D11656" s="69" t="s">
        <v>29418</v>
      </c>
      <c r="E11656" s="51"/>
      <c r="F11656" s="114" t="str">
        <f>IF(INDEX(I.Facility.P2bIDNumber,1644)="","",INDEX(I.Facility.P2bIDNumber,1644))</f>
        <v/>
      </c>
      <c r="G11656" s="51"/>
      <c r="H11656" s="46" t="str">
        <f>IF(AND(I.Developer.P2b=TRUE,I.Facility.P2bFacilityCount&gt;=1644,F11656=""),"Incomplete","Complete")</f>
        <v>Complete</v>
      </c>
      <c r="I11656" s="48" t="s">
        <v>16021</v>
      </c>
    </row>
    <row r="11657" spans="2:9" ht="15" customHeight="1" x14ac:dyDescent="0.25">
      <c r="B11657" s="55" t="s">
        <v>281</v>
      </c>
      <c r="C11657" s="46">
        <v>1645</v>
      </c>
      <c r="D11657" s="69" t="s">
        <v>29418</v>
      </c>
      <c r="E11657" s="51"/>
      <c r="F11657" s="114" t="str">
        <f>IF(INDEX(I.Facility.P2bIDNumber,1645)="","",INDEX(I.Facility.P2bIDNumber,1645))</f>
        <v/>
      </c>
      <c r="G11657" s="51"/>
      <c r="H11657" s="46" t="str">
        <f>IF(AND(I.Developer.P2b=TRUE,I.Facility.P2bFacilityCount&gt;=1645,F11657=""),"Incomplete","Complete")</f>
        <v>Complete</v>
      </c>
      <c r="I11657" s="48" t="s">
        <v>16022</v>
      </c>
    </row>
    <row r="11658" spans="2:9" ht="15" customHeight="1" x14ac:dyDescent="0.25">
      <c r="B11658" s="55" t="s">
        <v>281</v>
      </c>
      <c r="C11658" s="46">
        <v>1646</v>
      </c>
      <c r="D11658" s="69" t="s">
        <v>29418</v>
      </c>
      <c r="E11658" s="51"/>
      <c r="F11658" s="114" t="str">
        <f>IF(INDEX(I.Facility.P2bIDNumber,1646)="","",INDEX(I.Facility.P2bIDNumber,1646))</f>
        <v/>
      </c>
      <c r="G11658" s="51"/>
      <c r="H11658" s="46" t="str">
        <f>IF(AND(I.Developer.P2b=TRUE,I.Facility.P2bFacilityCount&gt;=1646,F11658=""),"Incomplete","Complete")</f>
        <v>Complete</v>
      </c>
      <c r="I11658" s="48" t="s">
        <v>16023</v>
      </c>
    </row>
    <row r="11659" spans="2:9" ht="15" customHeight="1" x14ac:dyDescent="0.25">
      <c r="B11659" s="55" t="s">
        <v>281</v>
      </c>
      <c r="C11659" s="46">
        <v>1647</v>
      </c>
      <c r="D11659" s="69" t="s">
        <v>29418</v>
      </c>
      <c r="E11659" s="51"/>
      <c r="F11659" s="114" t="str">
        <f>IF(INDEX(I.Facility.P2bIDNumber,1647)="","",INDEX(I.Facility.P2bIDNumber,1647))</f>
        <v/>
      </c>
      <c r="G11659" s="51"/>
      <c r="H11659" s="46" t="str">
        <f>IF(AND(I.Developer.P2b=TRUE,I.Facility.P2bFacilityCount&gt;=1647,F11659=""),"Incomplete","Complete")</f>
        <v>Complete</v>
      </c>
      <c r="I11659" s="48" t="s">
        <v>16024</v>
      </c>
    </row>
    <row r="11660" spans="2:9" ht="15" customHeight="1" x14ac:dyDescent="0.25">
      <c r="B11660" s="55" t="s">
        <v>281</v>
      </c>
      <c r="C11660" s="46">
        <v>1648</v>
      </c>
      <c r="D11660" s="69" t="s">
        <v>29418</v>
      </c>
      <c r="E11660" s="51"/>
      <c r="F11660" s="114" t="str">
        <f>IF(INDEX(I.Facility.P2bIDNumber,1648)="","",INDEX(I.Facility.P2bIDNumber,1648))</f>
        <v/>
      </c>
      <c r="G11660" s="51"/>
      <c r="H11660" s="46" t="str">
        <f>IF(AND(I.Developer.P2b=TRUE,I.Facility.P2bFacilityCount&gt;=1648,F11660=""),"Incomplete","Complete")</f>
        <v>Complete</v>
      </c>
      <c r="I11660" s="48" t="s">
        <v>16025</v>
      </c>
    </row>
    <row r="11661" spans="2:9" ht="15" customHeight="1" x14ac:dyDescent="0.25">
      <c r="B11661" s="55" t="s">
        <v>281</v>
      </c>
      <c r="C11661" s="46">
        <v>1649</v>
      </c>
      <c r="D11661" s="69" t="s">
        <v>29418</v>
      </c>
      <c r="E11661" s="51"/>
      <c r="F11661" s="114" t="str">
        <f>IF(INDEX(I.Facility.P2bIDNumber,1649)="","",INDEX(I.Facility.P2bIDNumber,1649))</f>
        <v/>
      </c>
      <c r="G11661" s="51"/>
      <c r="H11661" s="46" t="str">
        <f>IF(AND(I.Developer.P2b=TRUE,I.Facility.P2bFacilityCount&gt;=1649,F11661=""),"Incomplete","Complete")</f>
        <v>Complete</v>
      </c>
      <c r="I11661" s="48" t="s">
        <v>16026</v>
      </c>
    </row>
    <row r="11662" spans="2:9" ht="15" customHeight="1" x14ac:dyDescent="0.25">
      <c r="B11662" s="55" t="s">
        <v>281</v>
      </c>
      <c r="C11662" s="46">
        <v>1650</v>
      </c>
      <c r="D11662" s="69" t="s">
        <v>29418</v>
      </c>
      <c r="E11662" s="51"/>
      <c r="F11662" s="114" t="str">
        <f>IF(INDEX(I.Facility.P2bIDNumber,1650)="","",INDEX(I.Facility.P2bIDNumber,1650))</f>
        <v/>
      </c>
      <c r="G11662" s="51"/>
      <c r="H11662" s="46" t="str">
        <f>IF(AND(I.Developer.P2b=TRUE,I.Facility.P2bFacilityCount&gt;=1650,F11662=""),"Incomplete","Complete")</f>
        <v>Complete</v>
      </c>
      <c r="I11662" s="48" t="s">
        <v>16027</v>
      </c>
    </row>
    <row r="11663" spans="2:9" ht="15" customHeight="1" x14ac:dyDescent="0.25">
      <c r="B11663" s="55" t="s">
        <v>281</v>
      </c>
      <c r="C11663" s="46">
        <v>1651</v>
      </c>
      <c r="D11663" s="69" t="s">
        <v>29418</v>
      </c>
      <c r="E11663" s="51"/>
      <c r="F11663" s="114" t="str">
        <f>IF(INDEX(I.Facility.P2bIDNumber,1651)="","",INDEX(I.Facility.P2bIDNumber,1651))</f>
        <v/>
      </c>
      <c r="G11663" s="51"/>
      <c r="H11663" s="46" t="str">
        <f>IF(AND(I.Developer.P2b=TRUE,I.Facility.P2bFacilityCount&gt;=1651,F11663=""),"Incomplete","Complete")</f>
        <v>Complete</v>
      </c>
      <c r="I11663" s="48" t="s">
        <v>16028</v>
      </c>
    </row>
    <row r="11664" spans="2:9" ht="15" customHeight="1" x14ac:dyDescent="0.25">
      <c r="B11664" s="55" t="s">
        <v>281</v>
      </c>
      <c r="C11664" s="46">
        <v>1652</v>
      </c>
      <c r="D11664" s="69" t="s">
        <v>29418</v>
      </c>
      <c r="E11664" s="51"/>
      <c r="F11664" s="114" t="str">
        <f>IF(INDEX(I.Facility.P2bIDNumber,1652)="","",INDEX(I.Facility.P2bIDNumber,1652))</f>
        <v/>
      </c>
      <c r="G11664" s="51"/>
      <c r="H11664" s="46" t="str">
        <f>IF(AND(I.Developer.P2b=TRUE,I.Facility.P2bFacilityCount&gt;=1652,F11664=""),"Incomplete","Complete")</f>
        <v>Complete</v>
      </c>
      <c r="I11664" s="48" t="s">
        <v>16029</v>
      </c>
    </row>
    <row r="11665" spans="2:9" ht="15" customHeight="1" x14ac:dyDescent="0.25">
      <c r="B11665" s="55" t="s">
        <v>281</v>
      </c>
      <c r="C11665" s="46">
        <v>1653</v>
      </c>
      <c r="D11665" s="69" t="s">
        <v>29418</v>
      </c>
      <c r="E11665" s="51"/>
      <c r="F11665" s="114" t="str">
        <f>IF(INDEX(I.Facility.P2bIDNumber,1653)="","",INDEX(I.Facility.P2bIDNumber,1653))</f>
        <v/>
      </c>
      <c r="G11665" s="51"/>
      <c r="H11665" s="46" t="str">
        <f>IF(AND(I.Developer.P2b=TRUE,I.Facility.P2bFacilityCount&gt;=1653,F11665=""),"Incomplete","Complete")</f>
        <v>Complete</v>
      </c>
      <c r="I11665" s="48" t="s">
        <v>16030</v>
      </c>
    </row>
    <row r="11666" spans="2:9" ht="15" customHeight="1" x14ac:dyDescent="0.25">
      <c r="B11666" s="55" t="s">
        <v>281</v>
      </c>
      <c r="C11666" s="46">
        <v>1654</v>
      </c>
      <c r="D11666" s="69" t="s">
        <v>29418</v>
      </c>
      <c r="E11666" s="51"/>
      <c r="F11666" s="114" t="str">
        <f>IF(INDEX(I.Facility.P2bIDNumber,1654)="","",INDEX(I.Facility.P2bIDNumber,1654))</f>
        <v/>
      </c>
      <c r="G11666" s="51"/>
      <c r="H11666" s="46" t="str">
        <f>IF(AND(I.Developer.P2b=TRUE,I.Facility.P2bFacilityCount&gt;=1654,F11666=""),"Incomplete","Complete")</f>
        <v>Complete</v>
      </c>
      <c r="I11666" s="48" t="s">
        <v>16031</v>
      </c>
    </row>
    <row r="11667" spans="2:9" ht="15" customHeight="1" x14ac:dyDescent="0.25">
      <c r="B11667" s="55" t="s">
        <v>281</v>
      </c>
      <c r="C11667" s="46">
        <v>1655</v>
      </c>
      <c r="D11667" s="69" t="s">
        <v>29418</v>
      </c>
      <c r="E11667" s="51"/>
      <c r="F11667" s="114" t="str">
        <f>IF(INDEX(I.Facility.P2bIDNumber,1655)="","",INDEX(I.Facility.P2bIDNumber,1655))</f>
        <v/>
      </c>
      <c r="G11667" s="51"/>
      <c r="H11667" s="46" t="str">
        <f>IF(AND(I.Developer.P2b=TRUE,I.Facility.P2bFacilityCount&gt;=1655,F11667=""),"Incomplete","Complete")</f>
        <v>Complete</v>
      </c>
      <c r="I11667" s="48" t="s">
        <v>16032</v>
      </c>
    </row>
    <row r="11668" spans="2:9" ht="15" customHeight="1" x14ac:dyDescent="0.25">
      <c r="B11668" s="55" t="s">
        <v>281</v>
      </c>
      <c r="C11668" s="46">
        <v>1656</v>
      </c>
      <c r="D11668" s="69" t="s">
        <v>29418</v>
      </c>
      <c r="E11668" s="51"/>
      <c r="F11668" s="114" t="str">
        <f>IF(INDEX(I.Facility.P2bIDNumber,1656)="","",INDEX(I.Facility.P2bIDNumber,1656))</f>
        <v/>
      </c>
      <c r="G11668" s="51"/>
      <c r="H11668" s="46" t="str">
        <f>IF(AND(I.Developer.P2b=TRUE,I.Facility.P2bFacilityCount&gt;=1656,F11668=""),"Incomplete","Complete")</f>
        <v>Complete</v>
      </c>
      <c r="I11668" s="48" t="s">
        <v>16033</v>
      </c>
    </row>
    <row r="11669" spans="2:9" ht="15" customHeight="1" x14ac:dyDescent="0.25">
      <c r="B11669" s="55" t="s">
        <v>281</v>
      </c>
      <c r="C11669" s="46">
        <v>1657</v>
      </c>
      <c r="D11669" s="69" t="s">
        <v>29418</v>
      </c>
      <c r="E11669" s="51"/>
      <c r="F11669" s="114" t="str">
        <f>IF(INDEX(I.Facility.P2bIDNumber,1657)="","",INDEX(I.Facility.P2bIDNumber,1657))</f>
        <v/>
      </c>
      <c r="G11669" s="51"/>
      <c r="H11669" s="46" t="str">
        <f>IF(AND(I.Developer.P2b=TRUE,I.Facility.P2bFacilityCount&gt;=1657,F11669=""),"Incomplete","Complete")</f>
        <v>Complete</v>
      </c>
      <c r="I11669" s="48" t="s">
        <v>16034</v>
      </c>
    </row>
    <row r="11670" spans="2:9" ht="15" customHeight="1" x14ac:dyDescent="0.25">
      <c r="B11670" s="55" t="s">
        <v>281</v>
      </c>
      <c r="C11670" s="46">
        <v>1658</v>
      </c>
      <c r="D11670" s="69" t="s">
        <v>29418</v>
      </c>
      <c r="E11670" s="51"/>
      <c r="F11670" s="114" t="str">
        <f>IF(INDEX(I.Facility.P2bIDNumber,1658)="","",INDEX(I.Facility.P2bIDNumber,1658))</f>
        <v/>
      </c>
      <c r="G11670" s="51"/>
      <c r="H11670" s="46" t="str">
        <f>IF(AND(I.Developer.P2b=TRUE,I.Facility.P2bFacilityCount&gt;=1658,F11670=""),"Incomplete","Complete")</f>
        <v>Complete</v>
      </c>
      <c r="I11670" s="48" t="s">
        <v>16035</v>
      </c>
    </row>
    <row r="11671" spans="2:9" ht="15" customHeight="1" x14ac:dyDescent="0.25">
      <c r="B11671" s="55" t="s">
        <v>281</v>
      </c>
      <c r="C11671" s="46">
        <v>1659</v>
      </c>
      <c r="D11671" s="69" t="s">
        <v>29418</v>
      </c>
      <c r="E11671" s="51"/>
      <c r="F11671" s="114" t="str">
        <f>IF(INDEX(I.Facility.P2bIDNumber,1659)="","",INDEX(I.Facility.P2bIDNumber,1659))</f>
        <v/>
      </c>
      <c r="G11671" s="51"/>
      <c r="H11671" s="46" t="str">
        <f>IF(AND(I.Developer.P2b=TRUE,I.Facility.P2bFacilityCount&gt;=1659,F11671=""),"Incomplete","Complete")</f>
        <v>Complete</v>
      </c>
      <c r="I11671" s="48" t="s">
        <v>16036</v>
      </c>
    </row>
    <row r="11672" spans="2:9" ht="15" customHeight="1" x14ac:dyDescent="0.25">
      <c r="B11672" s="55" t="s">
        <v>281</v>
      </c>
      <c r="C11672" s="46">
        <v>1660</v>
      </c>
      <c r="D11672" s="69" t="s">
        <v>29418</v>
      </c>
      <c r="E11672" s="51"/>
      <c r="F11672" s="114" t="str">
        <f>IF(INDEX(I.Facility.P2bIDNumber,1660)="","",INDEX(I.Facility.P2bIDNumber,1660))</f>
        <v/>
      </c>
      <c r="G11672" s="51"/>
      <c r="H11672" s="46" t="str">
        <f>IF(AND(I.Developer.P2b=TRUE,I.Facility.P2bFacilityCount&gt;=1660,F11672=""),"Incomplete","Complete")</f>
        <v>Complete</v>
      </c>
      <c r="I11672" s="48" t="s">
        <v>16037</v>
      </c>
    </row>
    <row r="11673" spans="2:9" ht="15" customHeight="1" x14ac:dyDescent="0.25">
      <c r="B11673" s="55" t="s">
        <v>281</v>
      </c>
      <c r="C11673" s="46">
        <v>1661</v>
      </c>
      <c r="D11673" s="69" t="s">
        <v>29418</v>
      </c>
      <c r="E11673" s="51"/>
      <c r="F11673" s="114" t="str">
        <f>IF(INDEX(I.Facility.P2bIDNumber,1661)="","",INDEX(I.Facility.P2bIDNumber,1661))</f>
        <v/>
      </c>
      <c r="G11673" s="51"/>
      <c r="H11673" s="46" t="str">
        <f>IF(AND(I.Developer.P2b=TRUE,I.Facility.P2bFacilityCount&gt;=1661,F11673=""),"Incomplete","Complete")</f>
        <v>Complete</v>
      </c>
      <c r="I11673" s="48" t="s">
        <v>16038</v>
      </c>
    </row>
    <row r="11674" spans="2:9" ht="15" customHeight="1" x14ac:dyDescent="0.25">
      <c r="B11674" s="55" t="s">
        <v>281</v>
      </c>
      <c r="C11674" s="46">
        <v>1662</v>
      </c>
      <c r="D11674" s="69" t="s">
        <v>29418</v>
      </c>
      <c r="E11674" s="51"/>
      <c r="F11674" s="114" t="str">
        <f>IF(INDEX(I.Facility.P2bIDNumber,1662)="","",INDEX(I.Facility.P2bIDNumber,1662))</f>
        <v/>
      </c>
      <c r="G11674" s="51"/>
      <c r="H11674" s="46" t="str">
        <f>IF(AND(I.Developer.P2b=TRUE,I.Facility.P2bFacilityCount&gt;=1662,F11674=""),"Incomplete","Complete")</f>
        <v>Complete</v>
      </c>
      <c r="I11674" s="48" t="s">
        <v>16039</v>
      </c>
    </row>
    <row r="11675" spans="2:9" ht="15" customHeight="1" x14ac:dyDescent="0.25">
      <c r="B11675" s="55" t="s">
        <v>281</v>
      </c>
      <c r="C11675" s="46">
        <v>1663</v>
      </c>
      <c r="D11675" s="69" t="s">
        <v>29418</v>
      </c>
      <c r="E11675" s="51"/>
      <c r="F11675" s="114" t="str">
        <f>IF(INDEX(I.Facility.P2bIDNumber,1663)="","",INDEX(I.Facility.P2bIDNumber,1663))</f>
        <v/>
      </c>
      <c r="G11675" s="51"/>
      <c r="H11675" s="46" t="str">
        <f>IF(AND(I.Developer.P2b=TRUE,I.Facility.P2bFacilityCount&gt;=1663,F11675=""),"Incomplete","Complete")</f>
        <v>Complete</v>
      </c>
      <c r="I11675" s="48" t="s">
        <v>16040</v>
      </c>
    </row>
    <row r="11676" spans="2:9" ht="15" customHeight="1" x14ac:dyDescent="0.25">
      <c r="B11676" s="55" t="s">
        <v>281</v>
      </c>
      <c r="C11676" s="46">
        <v>1664</v>
      </c>
      <c r="D11676" s="69" t="s">
        <v>29418</v>
      </c>
      <c r="E11676" s="51"/>
      <c r="F11676" s="114" t="str">
        <f>IF(INDEX(I.Facility.P2bIDNumber,1664)="","",INDEX(I.Facility.P2bIDNumber,1664))</f>
        <v/>
      </c>
      <c r="G11676" s="51"/>
      <c r="H11676" s="46" t="str">
        <f>IF(AND(I.Developer.P2b=TRUE,I.Facility.P2bFacilityCount&gt;=1664,F11676=""),"Incomplete","Complete")</f>
        <v>Complete</v>
      </c>
      <c r="I11676" s="48" t="s">
        <v>16041</v>
      </c>
    </row>
    <row r="11677" spans="2:9" ht="15" customHeight="1" x14ac:dyDescent="0.25">
      <c r="B11677" s="55" t="s">
        <v>281</v>
      </c>
      <c r="C11677" s="46">
        <v>1665</v>
      </c>
      <c r="D11677" s="69" t="s">
        <v>29418</v>
      </c>
      <c r="E11677" s="51"/>
      <c r="F11677" s="114" t="str">
        <f>IF(INDEX(I.Facility.P2bIDNumber,1665)="","",INDEX(I.Facility.P2bIDNumber,1665))</f>
        <v/>
      </c>
      <c r="G11677" s="51"/>
      <c r="H11677" s="46" t="str">
        <f>IF(AND(I.Developer.P2b=TRUE,I.Facility.P2bFacilityCount&gt;=1665,F11677=""),"Incomplete","Complete")</f>
        <v>Complete</v>
      </c>
      <c r="I11677" s="48" t="s">
        <v>16042</v>
      </c>
    </row>
    <row r="11678" spans="2:9" ht="15" customHeight="1" x14ac:dyDescent="0.25">
      <c r="B11678" s="55" t="s">
        <v>281</v>
      </c>
      <c r="C11678" s="46">
        <v>1666</v>
      </c>
      <c r="D11678" s="69" t="s">
        <v>29418</v>
      </c>
      <c r="E11678" s="51"/>
      <c r="F11678" s="114" t="str">
        <f>IF(INDEX(I.Facility.P2bIDNumber,1666)="","",INDEX(I.Facility.P2bIDNumber,1666))</f>
        <v/>
      </c>
      <c r="G11678" s="51"/>
      <c r="H11678" s="46" t="str">
        <f>IF(AND(I.Developer.P2b=TRUE,I.Facility.P2bFacilityCount&gt;=1666,F11678=""),"Incomplete","Complete")</f>
        <v>Complete</v>
      </c>
      <c r="I11678" s="48" t="s">
        <v>16043</v>
      </c>
    </row>
    <row r="11679" spans="2:9" ht="15" customHeight="1" x14ac:dyDescent="0.25">
      <c r="B11679" s="55" t="s">
        <v>281</v>
      </c>
      <c r="C11679" s="46">
        <v>1667</v>
      </c>
      <c r="D11679" s="69" t="s">
        <v>29418</v>
      </c>
      <c r="E11679" s="51"/>
      <c r="F11679" s="114" t="str">
        <f>IF(INDEX(I.Facility.P2bIDNumber,1667)="","",INDEX(I.Facility.P2bIDNumber,1667))</f>
        <v/>
      </c>
      <c r="G11679" s="51"/>
      <c r="H11679" s="46" t="str">
        <f>IF(AND(I.Developer.P2b=TRUE,I.Facility.P2bFacilityCount&gt;=1667,F11679=""),"Incomplete","Complete")</f>
        <v>Complete</v>
      </c>
      <c r="I11679" s="48" t="s">
        <v>16044</v>
      </c>
    </row>
    <row r="11680" spans="2:9" ht="15" customHeight="1" x14ac:dyDescent="0.25">
      <c r="B11680" s="55" t="s">
        <v>281</v>
      </c>
      <c r="C11680" s="46">
        <v>1668</v>
      </c>
      <c r="D11680" s="69" t="s">
        <v>29418</v>
      </c>
      <c r="E11680" s="51"/>
      <c r="F11680" s="114" t="str">
        <f>IF(INDEX(I.Facility.P2bIDNumber,1668)="","",INDEX(I.Facility.P2bIDNumber,1668))</f>
        <v/>
      </c>
      <c r="G11680" s="51"/>
      <c r="H11680" s="46" t="str">
        <f>IF(AND(I.Developer.P2b=TRUE,I.Facility.P2bFacilityCount&gt;=1668,F11680=""),"Incomplete","Complete")</f>
        <v>Complete</v>
      </c>
      <c r="I11680" s="48" t="s">
        <v>16045</v>
      </c>
    </row>
    <row r="11681" spans="2:9" ht="15" customHeight="1" x14ac:dyDescent="0.25">
      <c r="B11681" s="55" t="s">
        <v>281</v>
      </c>
      <c r="C11681" s="46">
        <v>1669</v>
      </c>
      <c r="D11681" s="69" t="s">
        <v>29418</v>
      </c>
      <c r="E11681" s="51"/>
      <c r="F11681" s="114" t="str">
        <f>IF(INDEX(I.Facility.P2bIDNumber,1669)="","",INDEX(I.Facility.P2bIDNumber,1669))</f>
        <v/>
      </c>
      <c r="G11681" s="51"/>
      <c r="H11681" s="46" t="str">
        <f>IF(AND(I.Developer.P2b=TRUE,I.Facility.P2bFacilityCount&gt;=1669,F11681=""),"Incomplete","Complete")</f>
        <v>Complete</v>
      </c>
      <c r="I11681" s="48" t="s">
        <v>16046</v>
      </c>
    </row>
    <row r="11682" spans="2:9" ht="15" customHeight="1" x14ac:dyDescent="0.25">
      <c r="B11682" s="55" t="s">
        <v>281</v>
      </c>
      <c r="C11682" s="46">
        <v>1670</v>
      </c>
      <c r="D11682" s="69" t="s">
        <v>29418</v>
      </c>
      <c r="E11682" s="51"/>
      <c r="F11682" s="114" t="str">
        <f>IF(INDEX(I.Facility.P2bIDNumber,1670)="","",INDEX(I.Facility.P2bIDNumber,1670))</f>
        <v/>
      </c>
      <c r="G11682" s="51"/>
      <c r="H11682" s="46" t="str">
        <f>IF(AND(I.Developer.P2b=TRUE,I.Facility.P2bFacilityCount&gt;=1670,F11682=""),"Incomplete","Complete")</f>
        <v>Complete</v>
      </c>
      <c r="I11682" s="48" t="s">
        <v>16047</v>
      </c>
    </row>
    <row r="11683" spans="2:9" ht="15" customHeight="1" x14ac:dyDescent="0.25">
      <c r="B11683" s="55" t="s">
        <v>281</v>
      </c>
      <c r="C11683" s="46">
        <v>1671</v>
      </c>
      <c r="D11683" s="69" t="s">
        <v>29418</v>
      </c>
      <c r="E11683" s="51"/>
      <c r="F11683" s="114" t="str">
        <f>IF(INDEX(I.Facility.P2bIDNumber,1671)="","",INDEX(I.Facility.P2bIDNumber,1671))</f>
        <v/>
      </c>
      <c r="G11683" s="51"/>
      <c r="H11683" s="46" t="str">
        <f>IF(AND(I.Developer.P2b=TRUE,I.Facility.P2bFacilityCount&gt;=1671,F11683=""),"Incomplete","Complete")</f>
        <v>Complete</v>
      </c>
      <c r="I11683" s="48" t="s">
        <v>16048</v>
      </c>
    </row>
    <row r="11684" spans="2:9" ht="15" customHeight="1" x14ac:dyDescent="0.25">
      <c r="B11684" s="55" t="s">
        <v>281</v>
      </c>
      <c r="C11684" s="46">
        <v>1672</v>
      </c>
      <c r="D11684" s="69" t="s">
        <v>29418</v>
      </c>
      <c r="E11684" s="51"/>
      <c r="F11684" s="114" t="str">
        <f>IF(INDEX(I.Facility.P2bIDNumber,1672)="","",INDEX(I.Facility.P2bIDNumber,1672))</f>
        <v/>
      </c>
      <c r="G11684" s="51"/>
      <c r="H11684" s="46" t="str">
        <f>IF(AND(I.Developer.P2b=TRUE,I.Facility.P2bFacilityCount&gt;=1672,F11684=""),"Incomplete","Complete")</f>
        <v>Complete</v>
      </c>
      <c r="I11684" s="48" t="s">
        <v>16049</v>
      </c>
    </row>
    <row r="11685" spans="2:9" ht="15" customHeight="1" x14ac:dyDescent="0.25">
      <c r="B11685" s="55" t="s">
        <v>281</v>
      </c>
      <c r="C11685" s="46">
        <v>1673</v>
      </c>
      <c r="D11685" s="69" t="s">
        <v>29418</v>
      </c>
      <c r="E11685" s="51"/>
      <c r="F11685" s="114" t="str">
        <f>IF(INDEX(I.Facility.P2bIDNumber,1673)="","",INDEX(I.Facility.P2bIDNumber,1673))</f>
        <v/>
      </c>
      <c r="G11685" s="51"/>
      <c r="H11685" s="46" t="str">
        <f>IF(AND(I.Developer.P2b=TRUE,I.Facility.P2bFacilityCount&gt;=1673,F11685=""),"Incomplete","Complete")</f>
        <v>Complete</v>
      </c>
      <c r="I11685" s="48" t="s">
        <v>16050</v>
      </c>
    </row>
    <row r="11686" spans="2:9" ht="15" customHeight="1" x14ac:dyDescent="0.25">
      <c r="B11686" s="55" t="s">
        <v>281</v>
      </c>
      <c r="C11686" s="46">
        <v>1674</v>
      </c>
      <c r="D11686" s="69" t="s">
        <v>29418</v>
      </c>
      <c r="E11686" s="51"/>
      <c r="F11686" s="114" t="str">
        <f>IF(INDEX(I.Facility.P2bIDNumber,1674)="","",INDEX(I.Facility.P2bIDNumber,1674))</f>
        <v/>
      </c>
      <c r="G11686" s="51"/>
      <c r="H11686" s="46" t="str">
        <f>IF(AND(I.Developer.P2b=TRUE,I.Facility.P2bFacilityCount&gt;=1674,F11686=""),"Incomplete","Complete")</f>
        <v>Complete</v>
      </c>
      <c r="I11686" s="48" t="s">
        <v>16051</v>
      </c>
    </row>
    <row r="11687" spans="2:9" ht="15" customHeight="1" x14ac:dyDescent="0.25">
      <c r="B11687" s="55" t="s">
        <v>281</v>
      </c>
      <c r="C11687" s="46">
        <v>1675</v>
      </c>
      <c r="D11687" s="69" t="s">
        <v>29418</v>
      </c>
      <c r="E11687" s="51"/>
      <c r="F11687" s="114" t="str">
        <f>IF(INDEX(I.Facility.P2bIDNumber,1675)="","",INDEX(I.Facility.P2bIDNumber,1675))</f>
        <v/>
      </c>
      <c r="G11687" s="51"/>
      <c r="H11687" s="46" t="str">
        <f>IF(AND(I.Developer.P2b=TRUE,I.Facility.P2bFacilityCount&gt;=1675,F11687=""),"Incomplete","Complete")</f>
        <v>Complete</v>
      </c>
      <c r="I11687" s="48" t="s">
        <v>16052</v>
      </c>
    </row>
    <row r="11688" spans="2:9" ht="15" customHeight="1" x14ac:dyDescent="0.25">
      <c r="B11688" s="55" t="s">
        <v>281</v>
      </c>
      <c r="C11688" s="46">
        <v>1676</v>
      </c>
      <c r="D11688" s="69" t="s">
        <v>29418</v>
      </c>
      <c r="E11688" s="51"/>
      <c r="F11688" s="114" t="str">
        <f>IF(INDEX(I.Facility.P2bIDNumber,1676)="","",INDEX(I.Facility.P2bIDNumber,1676))</f>
        <v/>
      </c>
      <c r="G11688" s="51"/>
      <c r="H11688" s="46" t="str">
        <f>IF(AND(I.Developer.P2b=TRUE,I.Facility.P2bFacilityCount&gt;=1676,F11688=""),"Incomplete","Complete")</f>
        <v>Complete</v>
      </c>
      <c r="I11688" s="48" t="s">
        <v>16053</v>
      </c>
    </row>
    <row r="11689" spans="2:9" ht="15" customHeight="1" x14ac:dyDescent="0.25">
      <c r="B11689" s="55" t="s">
        <v>281</v>
      </c>
      <c r="C11689" s="46">
        <v>1677</v>
      </c>
      <c r="D11689" s="69" t="s">
        <v>29418</v>
      </c>
      <c r="E11689" s="51"/>
      <c r="F11689" s="114" t="str">
        <f>IF(INDEX(I.Facility.P2bIDNumber,1677)="","",INDEX(I.Facility.P2bIDNumber,1677))</f>
        <v/>
      </c>
      <c r="G11689" s="51"/>
      <c r="H11689" s="46" t="str">
        <f>IF(AND(I.Developer.P2b=TRUE,I.Facility.P2bFacilityCount&gt;=1677,F11689=""),"Incomplete","Complete")</f>
        <v>Complete</v>
      </c>
      <c r="I11689" s="48" t="s">
        <v>16054</v>
      </c>
    </row>
    <row r="11690" spans="2:9" ht="15" customHeight="1" x14ac:dyDescent="0.25">
      <c r="B11690" s="55" t="s">
        <v>281</v>
      </c>
      <c r="C11690" s="46">
        <v>1678</v>
      </c>
      <c r="D11690" s="69" t="s">
        <v>29418</v>
      </c>
      <c r="E11690" s="51"/>
      <c r="F11690" s="114" t="str">
        <f>IF(INDEX(I.Facility.P2bIDNumber,1678)="","",INDEX(I.Facility.P2bIDNumber,1678))</f>
        <v/>
      </c>
      <c r="G11690" s="51"/>
      <c r="H11690" s="46" t="str">
        <f>IF(AND(I.Developer.P2b=TRUE,I.Facility.P2bFacilityCount&gt;=1678,F11690=""),"Incomplete","Complete")</f>
        <v>Complete</v>
      </c>
      <c r="I11690" s="48" t="s">
        <v>16055</v>
      </c>
    </row>
    <row r="11691" spans="2:9" ht="15" customHeight="1" x14ac:dyDescent="0.25">
      <c r="B11691" s="55" t="s">
        <v>281</v>
      </c>
      <c r="C11691" s="46">
        <v>1679</v>
      </c>
      <c r="D11691" s="69" t="s">
        <v>29418</v>
      </c>
      <c r="E11691" s="51"/>
      <c r="F11691" s="114" t="str">
        <f>IF(INDEX(I.Facility.P2bIDNumber,1679)="","",INDEX(I.Facility.P2bIDNumber,1679))</f>
        <v/>
      </c>
      <c r="G11691" s="51"/>
      <c r="H11691" s="46" t="str">
        <f>IF(AND(I.Developer.P2b=TRUE,I.Facility.P2bFacilityCount&gt;=1679,F11691=""),"Incomplete","Complete")</f>
        <v>Complete</v>
      </c>
      <c r="I11691" s="48" t="s">
        <v>16056</v>
      </c>
    </row>
    <row r="11692" spans="2:9" ht="15" customHeight="1" x14ac:dyDescent="0.25">
      <c r="B11692" s="55" t="s">
        <v>281</v>
      </c>
      <c r="C11692" s="46">
        <v>1680</v>
      </c>
      <c r="D11692" s="69" t="s">
        <v>29418</v>
      </c>
      <c r="E11692" s="51"/>
      <c r="F11692" s="114" t="str">
        <f>IF(INDEX(I.Facility.P2bIDNumber,1680)="","",INDEX(I.Facility.P2bIDNumber,1680))</f>
        <v/>
      </c>
      <c r="G11692" s="51"/>
      <c r="H11692" s="46" t="str">
        <f>IF(AND(I.Developer.P2b=TRUE,I.Facility.P2bFacilityCount&gt;=1680,F11692=""),"Incomplete","Complete")</f>
        <v>Complete</v>
      </c>
      <c r="I11692" s="48" t="s">
        <v>16057</v>
      </c>
    </row>
    <row r="11693" spans="2:9" ht="15" customHeight="1" x14ac:dyDescent="0.25">
      <c r="B11693" s="55" t="s">
        <v>281</v>
      </c>
      <c r="C11693" s="46">
        <v>1681</v>
      </c>
      <c r="D11693" s="69" t="s">
        <v>29418</v>
      </c>
      <c r="E11693" s="51"/>
      <c r="F11693" s="114" t="str">
        <f>IF(INDEX(I.Facility.P2bIDNumber,1681)="","",INDEX(I.Facility.P2bIDNumber,1681))</f>
        <v/>
      </c>
      <c r="G11693" s="51"/>
      <c r="H11693" s="46" t="str">
        <f>IF(AND(I.Developer.P2b=TRUE,I.Facility.P2bFacilityCount&gt;=1681,F11693=""),"Incomplete","Complete")</f>
        <v>Complete</v>
      </c>
      <c r="I11693" s="48" t="s">
        <v>16058</v>
      </c>
    </row>
    <row r="11694" spans="2:9" ht="15" customHeight="1" x14ac:dyDescent="0.25">
      <c r="B11694" s="55" t="s">
        <v>281</v>
      </c>
      <c r="C11694" s="46">
        <v>1682</v>
      </c>
      <c r="D11694" s="69" t="s">
        <v>29418</v>
      </c>
      <c r="E11694" s="51"/>
      <c r="F11694" s="114" t="str">
        <f>IF(INDEX(I.Facility.P2bIDNumber,1682)="","",INDEX(I.Facility.P2bIDNumber,1682))</f>
        <v/>
      </c>
      <c r="G11694" s="51"/>
      <c r="H11694" s="46" t="str">
        <f>IF(AND(I.Developer.P2b=TRUE,I.Facility.P2bFacilityCount&gt;=1682,F11694=""),"Incomplete","Complete")</f>
        <v>Complete</v>
      </c>
      <c r="I11694" s="48" t="s">
        <v>16059</v>
      </c>
    </row>
    <row r="11695" spans="2:9" ht="15" customHeight="1" x14ac:dyDescent="0.25">
      <c r="B11695" s="55" t="s">
        <v>281</v>
      </c>
      <c r="C11695" s="46">
        <v>1683</v>
      </c>
      <c r="D11695" s="69" t="s">
        <v>29418</v>
      </c>
      <c r="E11695" s="51"/>
      <c r="F11695" s="114" t="str">
        <f>IF(INDEX(I.Facility.P2bIDNumber,1683)="","",INDEX(I.Facility.P2bIDNumber,1683))</f>
        <v/>
      </c>
      <c r="G11695" s="51"/>
      <c r="H11695" s="46" t="str">
        <f>IF(AND(I.Developer.P2b=TRUE,I.Facility.P2bFacilityCount&gt;=1683,F11695=""),"Incomplete","Complete")</f>
        <v>Complete</v>
      </c>
      <c r="I11695" s="48" t="s">
        <v>16060</v>
      </c>
    </row>
    <row r="11696" spans="2:9" ht="15" customHeight="1" x14ac:dyDescent="0.25">
      <c r="B11696" s="55" t="s">
        <v>281</v>
      </c>
      <c r="C11696" s="46">
        <v>1684</v>
      </c>
      <c r="D11696" s="69" t="s">
        <v>29418</v>
      </c>
      <c r="E11696" s="51"/>
      <c r="F11696" s="114" t="str">
        <f>IF(INDEX(I.Facility.P2bIDNumber,1684)="","",INDEX(I.Facility.P2bIDNumber,1684))</f>
        <v/>
      </c>
      <c r="G11696" s="51"/>
      <c r="H11696" s="46" t="str">
        <f>IF(AND(I.Developer.P2b=TRUE,I.Facility.P2bFacilityCount&gt;=1684,F11696=""),"Incomplete","Complete")</f>
        <v>Complete</v>
      </c>
      <c r="I11696" s="48" t="s">
        <v>16061</v>
      </c>
    </row>
    <row r="11697" spans="2:9" ht="15" customHeight="1" x14ac:dyDescent="0.25">
      <c r="B11697" s="55" t="s">
        <v>281</v>
      </c>
      <c r="C11697" s="46">
        <v>1685</v>
      </c>
      <c r="D11697" s="69" t="s">
        <v>29418</v>
      </c>
      <c r="E11697" s="51"/>
      <c r="F11697" s="114" t="str">
        <f>IF(INDEX(I.Facility.P2bIDNumber,1685)="","",INDEX(I.Facility.P2bIDNumber,1685))</f>
        <v/>
      </c>
      <c r="G11697" s="51"/>
      <c r="H11697" s="46" t="str">
        <f>IF(AND(I.Developer.P2b=TRUE,I.Facility.P2bFacilityCount&gt;=1685,F11697=""),"Incomplete","Complete")</f>
        <v>Complete</v>
      </c>
      <c r="I11697" s="48" t="s">
        <v>16062</v>
      </c>
    </row>
    <row r="11698" spans="2:9" ht="15" customHeight="1" x14ac:dyDescent="0.25">
      <c r="B11698" s="55" t="s">
        <v>281</v>
      </c>
      <c r="C11698" s="46">
        <v>1686</v>
      </c>
      <c r="D11698" s="69" t="s">
        <v>29418</v>
      </c>
      <c r="E11698" s="51"/>
      <c r="F11698" s="114" t="str">
        <f>IF(INDEX(I.Facility.P2bIDNumber,1686)="","",INDEX(I.Facility.P2bIDNumber,1686))</f>
        <v/>
      </c>
      <c r="G11698" s="51"/>
      <c r="H11698" s="46" t="str">
        <f>IF(AND(I.Developer.P2b=TRUE,I.Facility.P2bFacilityCount&gt;=1686,F11698=""),"Incomplete","Complete")</f>
        <v>Complete</v>
      </c>
      <c r="I11698" s="48" t="s">
        <v>16063</v>
      </c>
    </row>
    <row r="11699" spans="2:9" ht="15" customHeight="1" x14ac:dyDescent="0.25">
      <c r="B11699" s="55" t="s">
        <v>281</v>
      </c>
      <c r="C11699" s="46">
        <v>1687</v>
      </c>
      <c r="D11699" s="69" t="s">
        <v>29418</v>
      </c>
      <c r="E11699" s="51"/>
      <c r="F11699" s="114" t="str">
        <f>IF(INDEX(I.Facility.P2bIDNumber,1687)="","",INDEX(I.Facility.P2bIDNumber,1687))</f>
        <v/>
      </c>
      <c r="G11699" s="51"/>
      <c r="H11699" s="46" t="str">
        <f>IF(AND(I.Developer.P2b=TRUE,I.Facility.P2bFacilityCount&gt;=1687,F11699=""),"Incomplete","Complete")</f>
        <v>Complete</v>
      </c>
      <c r="I11699" s="48" t="s">
        <v>16064</v>
      </c>
    </row>
    <row r="11700" spans="2:9" ht="15" customHeight="1" x14ac:dyDescent="0.25">
      <c r="B11700" s="55" t="s">
        <v>281</v>
      </c>
      <c r="C11700" s="46">
        <v>1688</v>
      </c>
      <c r="D11700" s="69" t="s">
        <v>29418</v>
      </c>
      <c r="E11700" s="51"/>
      <c r="F11700" s="114" t="str">
        <f>IF(INDEX(I.Facility.P2bIDNumber,1688)="","",INDEX(I.Facility.P2bIDNumber,1688))</f>
        <v/>
      </c>
      <c r="G11700" s="51"/>
      <c r="H11700" s="46" t="str">
        <f>IF(AND(I.Developer.P2b=TRUE,I.Facility.P2bFacilityCount&gt;=1688,F11700=""),"Incomplete","Complete")</f>
        <v>Complete</v>
      </c>
      <c r="I11700" s="48" t="s">
        <v>16065</v>
      </c>
    </row>
    <row r="11701" spans="2:9" ht="15" customHeight="1" x14ac:dyDescent="0.25">
      <c r="B11701" s="55" t="s">
        <v>281</v>
      </c>
      <c r="C11701" s="46">
        <v>1689</v>
      </c>
      <c r="D11701" s="69" t="s">
        <v>29418</v>
      </c>
      <c r="E11701" s="51"/>
      <c r="F11701" s="114" t="str">
        <f>IF(INDEX(I.Facility.P2bIDNumber,1689)="","",INDEX(I.Facility.P2bIDNumber,1689))</f>
        <v/>
      </c>
      <c r="G11701" s="51"/>
      <c r="H11701" s="46" t="str">
        <f>IF(AND(I.Developer.P2b=TRUE,I.Facility.P2bFacilityCount&gt;=1689,F11701=""),"Incomplete","Complete")</f>
        <v>Complete</v>
      </c>
      <c r="I11701" s="48" t="s">
        <v>16066</v>
      </c>
    </row>
    <row r="11702" spans="2:9" ht="15" customHeight="1" x14ac:dyDescent="0.25">
      <c r="B11702" s="55" t="s">
        <v>281</v>
      </c>
      <c r="C11702" s="46">
        <v>1690</v>
      </c>
      <c r="D11702" s="69" t="s">
        <v>29418</v>
      </c>
      <c r="E11702" s="51"/>
      <c r="F11702" s="114" t="str">
        <f>IF(INDEX(I.Facility.P2bIDNumber,1690)="","",INDEX(I.Facility.P2bIDNumber,1690))</f>
        <v/>
      </c>
      <c r="G11702" s="51"/>
      <c r="H11702" s="46" t="str">
        <f>IF(AND(I.Developer.P2b=TRUE,I.Facility.P2bFacilityCount&gt;=1690,F11702=""),"Incomplete","Complete")</f>
        <v>Complete</v>
      </c>
      <c r="I11702" s="48" t="s">
        <v>16067</v>
      </c>
    </row>
    <row r="11703" spans="2:9" ht="15" customHeight="1" x14ac:dyDescent="0.25">
      <c r="B11703" s="55" t="s">
        <v>281</v>
      </c>
      <c r="C11703" s="46">
        <v>1691</v>
      </c>
      <c r="D11703" s="69" t="s">
        <v>29418</v>
      </c>
      <c r="E11703" s="51"/>
      <c r="F11703" s="114" t="str">
        <f>IF(INDEX(I.Facility.P2bIDNumber,1691)="","",INDEX(I.Facility.P2bIDNumber,1691))</f>
        <v/>
      </c>
      <c r="G11703" s="51"/>
      <c r="H11703" s="46" t="str">
        <f>IF(AND(I.Developer.P2b=TRUE,I.Facility.P2bFacilityCount&gt;=1691,F11703=""),"Incomplete","Complete")</f>
        <v>Complete</v>
      </c>
      <c r="I11703" s="48" t="s">
        <v>16068</v>
      </c>
    </row>
    <row r="11704" spans="2:9" ht="15" customHeight="1" x14ac:dyDescent="0.25">
      <c r="B11704" s="55" t="s">
        <v>281</v>
      </c>
      <c r="C11704" s="46">
        <v>1692</v>
      </c>
      <c r="D11704" s="69" t="s">
        <v>29418</v>
      </c>
      <c r="E11704" s="51"/>
      <c r="F11704" s="114" t="str">
        <f>IF(INDEX(I.Facility.P2bIDNumber,1692)="","",INDEX(I.Facility.P2bIDNumber,1692))</f>
        <v/>
      </c>
      <c r="G11704" s="51"/>
      <c r="H11704" s="46" t="str">
        <f>IF(AND(I.Developer.P2b=TRUE,I.Facility.P2bFacilityCount&gt;=1692,F11704=""),"Incomplete","Complete")</f>
        <v>Complete</v>
      </c>
      <c r="I11704" s="48" t="s">
        <v>16069</v>
      </c>
    </row>
    <row r="11705" spans="2:9" ht="15" customHeight="1" x14ac:dyDescent="0.25">
      <c r="B11705" s="55" t="s">
        <v>281</v>
      </c>
      <c r="C11705" s="46">
        <v>1693</v>
      </c>
      <c r="D11705" s="69" t="s">
        <v>29418</v>
      </c>
      <c r="E11705" s="51"/>
      <c r="F11705" s="114" t="str">
        <f>IF(INDEX(I.Facility.P2bIDNumber,1693)="","",INDEX(I.Facility.P2bIDNumber,1693))</f>
        <v/>
      </c>
      <c r="G11705" s="51"/>
      <c r="H11705" s="46" t="str">
        <f>IF(AND(I.Developer.P2b=TRUE,I.Facility.P2bFacilityCount&gt;=1693,F11705=""),"Incomplete","Complete")</f>
        <v>Complete</v>
      </c>
      <c r="I11705" s="48" t="s">
        <v>16070</v>
      </c>
    </row>
    <row r="11706" spans="2:9" ht="15" customHeight="1" x14ac:dyDescent="0.25">
      <c r="B11706" s="55" t="s">
        <v>281</v>
      </c>
      <c r="C11706" s="46">
        <v>1694</v>
      </c>
      <c r="D11706" s="69" t="s">
        <v>29418</v>
      </c>
      <c r="E11706" s="51"/>
      <c r="F11706" s="114" t="str">
        <f>IF(INDEX(I.Facility.P2bIDNumber,1694)="","",INDEX(I.Facility.P2bIDNumber,1694))</f>
        <v/>
      </c>
      <c r="G11706" s="51"/>
      <c r="H11706" s="46" t="str">
        <f>IF(AND(I.Developer.P2b=TRUE,I.Facility.P2bFacilityCount&gt;=1694,F11706=""),"Incomplete","Complete")</f>
        <v>Complete</v>
      </c>
      <c r="I11706" s="48" t="s">
        <v>16071</v>
      </c>
    </row>
    <row r="11707" spans="2:9" ht="15" customHeight="1" x14ac:dyDescent="0.25">
      <c r="B11707" s="55" t="s">
        <v>281</v>
      </c>
      <c r="C11707" s="46">
        <v>1695</v>
      </c>
      <c r="D11707" s="69" t="s">
        <v>29418</v>
      </c>
      <c r="E11707" s="51"/>
      <c r="F11707" s="114" t="str">
        <f>IF(INDEX(I.Facility.P2bIDNumber,1695)="","",INDEX(I.Facility.P2bIDNumber,1695))</f>
        <v/>
      </c>
      <c r="G11707" s="51"/>
      <c r="H11707" s="46" t="str">
        <f>IF(AND(I.Developer.P2b=TRUE,I.Facility.P2bFacilityCount&gt;=1695,F11707=""),"Incomplete","Complete")</f>
        <v>Complete</v>
      </c>
      <c r="I11707" s="48" t="s">
        <v>16072</v>
      </c>
    </row>
    <row r="11708" spans="2:9" ht="15" customHeight="1" x14ac:dyDescent="0.25">
      <c r="B11708" s="55" t="s">
        <v>281</v>
      </c>
      <c r="C11708" s="46">
        <v>1696</v>
      </c>
      <c r="D11708" s="69" t="s">
        <v>29418</v>
      </c>
      <c r="E11708" s="51"/>
      <c r="F11708" s="114" t="str">
        <f>IF(INDEX(I.Facility.P2bIDNumber,1696)="","",INDEX(I.Facility.P2bIDNumber,1696))</f>
        <v/>
      </c>
      <c r="G11708" s="51"/>
      <c r="H11708" s="46" t="str">
        <f>IF(AND(I.Developer.P2b=TRUE,I.Facility.P2bFacilityCount&gt;=1696,F11708=""),"Incomplete","Complete")</f>
        <v>Complete</v>
      </c>
      <c r="I11708" s="48" t="s">
        <v>16073</v>
      </c>
    </row>
    <row r="11709" spans="2:9" ht="15" customHeight="1" x14ac:dyDescent="0.25">
      <c r="B11709" s="55" t="s">
        <v>281</v>
      </c>
      <c r="C11709" s="46">
        <v>1697</v>
      </c>
      <c r="D11709" s="69" t="s">
        <v>29418</v>
      </c>
      <c r="E11709" s="51"/>
      <c r="F11709" s="114" t="str">
        <f>IF(INDEX(I.Facility.P2bIDNumber,1697)="","",INDEX(I.Facility.P2bIDNumber,1697))</f>
        <v/>
      </c>
      <c r="G11709" s="51"/>
      <c r="H11709" s="46" t="str">
        <f>IF(AND(I.Developer.P2b=TRUE,I.Facility.P2bFacilityCount&gt;=1697,F11709=""),"Incomplete","Complete")</f>
        <v>Complete</v>
      </c>
      <c r="I11709" s="48" t="s">
        <v>16074</v>
      </c>
    </row>
    <row r="11710" spans="2:9" ht="15" customHeight="1" x14ac:dyDescent="0.25">
      <c r="B11710" s="55" t="s">
        <v>281</v>
      </c>
      <c r="C11710" s="46">
        <v>1698</v>
      </c>
      <c r="D11710" s="69" t="s">
        <v>29418</v>
      </c>
      <c r="E11710" s="51"/>
      <c r="F11710" s="114" t="str">
        <f>IF(INDEX(I.Facility.P2bIDNumber,1698)="","",INDEX(I.Facility.P2bIDNumber,1698))</f>
        <v/>
      </c>
      <c r="G11710" s="51"/>
      <c r="H11710" s="46" t="str">
        <f>IF(AND(I.Developer.P2b=TRUE,I.Facility.P2bFacilityCount&gt;=1698,F11710=""),"Incomplete","Complete")</f>
        <v>Complete</v>
      </c>
      <c r="I11710" s="48" t="s">
        <v>16075</v>
      </c>
    </row>
    <row r="11711" spans="2:9" ht="15" customHeight="1" x14ac:dyDescent="0.25">
      <c r="B11711" s="55" t="s">
        <v>281</v>
      </c>
      <c r="C11711" s="46">
        <v>1699</v>
      </c>
      <c r="D11711" s="69" t="s">
        <v>29418</v>
      </c>
      <c r="E11711" s="51"/>
      <c r="F11711" s="114" t="str">
        <f>IF(INDEX(I.Facility.P2bIDNumber,1699)="","",INDEX(I.Facility.P2bIDNumber,1699))</f>
        <v/>
      </c>
      <c r="G11711" s="51"/>
      <c r="H11711" s="46" t="str">
        <f>IF(AND(I.Developer.P2b=TRUE,I.Facility.P2bFacilityCount&gt;=1699,F11711=""),"Incomplete","Complete")</f>
        <v>Complete</v>
      </c>
      <c r="I11711" s="48" t="s">
        <v>16076</v>
      </c>
    </row>
    <row r="11712" spans="2:9" ht="15" customHeight="1" x14ac:dyDescent="0.25">
      <c r="B11712" s="55" t="s">
        <v>281</v>
      </c>
      <c r="C11712" s="46">
        <v>1700</v>
      </c>
      <c r="D11712" s="69" t="s">
        <v>29418</v>
      </c>
      <c r="E11712" s="51"/>
      <c r="F11712" s="114" t="str">
        <f>IF(INDEX(I.Facility.P2bIDNumber,1700)="","",INDEX(I.Facility.P2bIDNumber,1700))</f>
        <v/>
      </c>
      <c r="G11712" s="51"/>
      <c r="H11712" s="46" t="str">
        <f>IF(AND(I.Developer.P2b=TRUE,I.Facility.P2bFacilityCount&gt;=1700,F11712=""),"Incomplete","Complete")</f>
        <v>Complete</v>
      </c>
      <c r="I11712" s="48" t="s">
        <v>16077</v>
      </c>
    </row>
    <row r="11713" spans="2:9" ht="15" customHeight="1" x14ac:dyDescent="0.25">
      <c r="B11713" s="55" t="s">
        <v>281</v>
      </c>
      <c r="C11713" s="46">
        <v>1701</v>
      </c>
      <c r="D11713" s="69" t="s">
        <v>29418</v>
      </c>
      <c r="E11713" s="51"/>
      <c r="F11713" s="114" t="str">
        <f>IF(INDEX(I.Facility.P2bIDNumber,1701)="","",INDEX(I.Facility.P2bIDNumber,1701))</f>
        <v/>
      </c>
      <c r="G11713" s="51"/>
      <c r="H11713" s="46" t="str">
        <f>IF(AND(I.Developer.P2b=TRUE,I.Facility.P2bFacilityCount&gt;=1701,F11713=""),"Incomplete","Complete")</f>
        <v>Complete</v>
      </c>
      <c r="I11713" s="48" t="s">
        <v>16078</v>
      </c>
    </row>
    <row r="11714" spans="2:9" ht="15" customHeight="1" x14ac:dyDescent="0.25">
      <c r="B11714" s="55" t="s">
        <v>281</v>
      </c>
      <c r="C11714" s="46">
        <v>1702</v>
      </c>
      <c r="D11714" s="69" t="s">
        <v>29418</v>
      </c>
      <c r="E11714" s="51"/>
      <c r="F11714" s="114" t="str">
        <f>IF(INDEX(I.Facility.P2bIDNumber,1702)="","",INDEX(I.Facility.P2bIDNumber,1702))</f>
        <v/>
      </c>
      <c r="G11714" s="51"/>
      <c r="H11714" s="46" t="str">
        <f>IF(AND(I.Developer.P2b=TRUE,I.Facility.P2bFacilityCount&gt;=1702,F11714=""),"Incomplete","Complete")</f>
        <v>Complete</v>
      </c>
      <c r="I11714" s="48" t="s">
        <v>16079</v>
      </c>
    </row>
    <row r="11715" spans="2:9" ht="15" customHeight="1" x14ac:dyDescent="0.25">
      <c r="B11715" s="55" t="s">
        <v>281</v>
      </c>
      <c r="C11715" s="46">
        <v>1703</v>
      </c>
      <c r="D11715" s="69" t="s">
        <v>29418</v>
      </c>
      <c r="E11715" s="51"/>
      <c r="F11715" s="114" t="str">
        <f>IF(INDEX(I.Facility.P2bIDNumber,1703)="","",INDEX(I.Facility.P2bIDNumber,1703))</f>
        <v/>
      </c>
      <c r="G11715" s="51"/>
      <c r="H11715" s="46" t="str">
        <f>IF(AND(I.Developer.P2b=TRUE,I.Facility.P2bFacilityCount&gt;=1703,F11715=""),"Incomplete","Complete")</f>
        <v>Complete</v>
      </c>
      <c r="I11715" s="48" t="s">
        <v>16080</v>
      </c>
    </row>
    <row r="11716" spans="2:9" ht="15" customHeight="1" x14ac:dyDescent="0.25">
      <c r="B11716" s="55" t="s">
        <v>281</v>
      </c>
      <c r="C11716" s="46">
        <v>1704</v>
      </c>
      <c r="D11716" s="69" t="s">
        <v>29418</v>
      </c>
      <c r="E11716" s="51"/>
      <c r="F11716" s="114" t="str">
        <f>IF(INDEX(I.Facility.P2bIDNumber,1704)="","",INDEX(I.Facility.P2bIDNumber,1704))</f>
        <v/>
      </c>
      <c r="G11716" s="51"/>
      <c r="H11716" s="46" t="str">
        <f>IF(AND(I.Developer.P2b=TRUE,I.Facility.P2bFacilityCount&gt;=1704,F11716=""),"Incomplete","Complete")</f>
        <v>Complete</v>
      </c>
      <c r="I11716" s="48" t="s">
        <v>16081</v>
      </c>
    </row>
    <row r="11717" spans="2:9" ht="15" customHeight="1" x14ac:dyDescent="0.25">
      <c r="B11717" s="55" t="s">
        <v>281</v>
      </c>
      <c r="C11717" s="46">
        <v>1705</v>
      </c>
      <c r="D11717" s="69" t="s">
        <v>29418</v>
      </c>
      <c r="E11717" s="51"/>
      <c r="F11717" s="114" t="str">
        <f>IF(INDEX(I.Facility.P2bIDNumber,1705)="","",INDEX(I.Facility.P2bIDNumber,1705))</f>
        <v/>
      </c>
      <c r="G11717" s="51"/>
      <c r="H11717" s="46" t="str">
        <f>IF(AND(I.Developer.P2b=TRUE,I.Facility.P2bFacilityCount&gt;=1705,F11717=""),"Incomplete","Complete")</f>
        <v>Complete</v>
      </c>
      <c r="I11717" s="48" t="s">
        <v>16082</v>
      </c>
    </row>
    <row r="11718" spans="2:9" ht="15" customHeight="1" x14ac:dyDescent="0.25">
      <c r="B11718" s="55" t="s">
        <v>281</v>
      </c>
      <c r="C11718" s="46">
        <v>1706</v>
      </c>
      <c r="D11718" s="69" t="s">
        <v>29418</v>
      </c>
      <c r="E11718" s="51"/>
      <c r="F11718" s="114" t="str">
        <f>IF(INDEX(I.Facility.P2bIDNumber,1706)="","",INDEX(I.Facility.P2bIDNumber,1706))</f>
        <v/>
      </c>
      <c r="G11718" s="51"/>
      <c r="H11718" s="46" t="str">
        <f>IF(AND(I.Developer.P2b=TRUE,I.Facility.P2bFacilityCount&gt;=1706,F11718=""),"Incomplete","Complete")</f>
        <v>Complete</v>
      </c>
      <c r="I11718" s="48" t="s">
        <v>16083</v>
      </c>
    </row>
    <row r="11719" spans="2:9" ht="15" customHeight="1" x14ac:dyDescent="0.25">
      <c r="B11719" s="55" t="s">
        <v>281</v>
      </c>
      <c r="C11719" s="46">
        <v>1707</v>
      </c>
      <c r="D11719" s="69" t="s">
        <v>29418</v>
      </c>
      <c r="E11719" s="51"/>
      <c r="F11719" s="114" t="str">
        <f>IF(INDEX(I.Facility.P2bIDNumber,1707)="","",INDEX(I.Facility.P2bIDNumber,1707))</f>
        <v/>
      </c>
      <c r="G11719" s="51"/>
      <c r="H11719" s="46" t="str">
        <f>IF(AND(I.Developer.P2b=TRUE,I.Facility.P2bFacilityCount&gt;=1707,F11719=""),"Incomplete","Complete")</f>
        <v>Complete</v>
      </c>
      <c r="I11719" s="48" t="s">
        <v>16084</v>
      </c>
    </row>
    <row r="11720" spans="2:9" ht="15" customHeight="1" x14ac:dyDescent="0.25">
      <c r="B11720" s="55" t="s">
        <v>281</v>
      </c>
      <c r="C11720" s="46">
        <v>1708</v>
      </c>
      <c r="D11720" s="69" t="s">
        <v>29418</v>
      </c>
      <c r="E11720" s="51"/>
      <c r="F11720" s="114" t="str">
        <f>IF(INDEX(I.Facility.P2bIDNumber,1708)="","",INDEX(I.Facility.P2bIDNumber,1708))</f>
        <v/>
      </c>
      <c r="G11720" s="51"/>
      <c r="H11720" s="46" t="str">
        <f>IF(AND(I.Developer.P2b=TRUE,I.Facility.P2bFacilityCount&gt;=1708,F11720=""),"Incomplete","Complete")</f>
        <v>Complete</v>
      </c>
      <c r="I11720" s="48" t="s">
        <v>16085</v>
      </c>
    </row>
    <row r="11721" spans="2:9" ht="15" customHeight="1" x14ac:dyDescent="0.25">
      <c r="B11721" s="55" t="s">
        <v>281</v>
      </c>
      <c r="C11721" s="46">
        <v>1709</v>
      </c>
      <c r="D11721" s="69" t="s">
        <v>29418</v>
      </c>
      <c r="E11721" s="51"/>
      <c r="F11721" s="114" t="str">
        <f>IF(INDEX(I.Facility.P2bIDNumber,1709)="","",INDEX(I.Facility.P2bIDNumber,1709))</f>
        <v/>
      </c>
      <c r="G11721" s="51"/>
      <c r="H11721" s="46" t="str">
        <f>IF(AND(I.Developer.P2b=TRUE,I.Facility.P2bFacilityCount&gt;=1709,F11721=""),"Incomplete","Complete")</f>
        <v>Complete</v>
      </c>
      <c r="I11721" s="48" t="s">
        <v>16086</v>
      </c>
    </row>
    <row r="11722" spans="2:9" ht="15" customHeight="1" x14ac:dyDescent="0.25">
      <c r="B11722" s="55" t="s">
        <v>281</v>
      </c>
      <c r="C11722" s="46">
        <v>1710</v>
      </c>
      <c r="D11722" s="69" t="s">
        <v>29418</v>
      </c>
      <c r="E11722" s="51"/>
      <c r="F11722" s="114" t="str">
        <f>IF(INDEX(I.Facility.P2bIDNumber,1710)="","",INDEX(I.Facility.P2bIDNumber,1710))</f>
        <v/>
      </c>
      <c r="G11722" s="51"/>
      <c r="H11722" s="46" t="str">
        <f>IF(AND(I.Developer.P2b=TRUE,I.Facility.P2bFacilityCount&gt;=1710,F11722=""),"Incomplete","Complete")</f>
        <v>Complete</v>
      </c>
      <c r="I11722" s="48" t="s">
        <v>16087</v>
      </c>
    </row>
    <row r="11723" spans="2:9" ht="15" customHeight="1" x14ac:dyDescent="0.25">
      <c r="B11723" s="55" t="s">
        <v>281</v>
      </c>
      <c r="C11723" s="46">
        <v>1711</v>
      </c>
      <c r="D11723" s="69" t="s">
        <v>29418</v>
      </c>
      <c r="E11723" s="51"/>
      <c r="F11723" s="114" t="str">
        <f>IF(INDEX(I.Facility.P2bIDNumber,1711)="","",INDEX(I.Facility.P2bIDNumber,1711))</f>
        <v/>
      </c>
      <c r="G11723" s="51"/>
      <c r="H11723" s="46" t="str">
        <f>IF(AND(I.Developer.P2b=TRUE,I.Facility.P2bFacilityCount&gt;=1711,F11723=""),"Incomplete","Complete")</f>
        <v>Complete</v>
      </c>
      <c r="I11723" s="48" t="s">
        <v>16088</v>
      </c>
    </row>
    <row r="11724" spans="2:9" ht="15" customHeight="1" x14ac:dyDescent="0.25">
      <c r="B11724" s="55" t="s">
        <v>281</v>
      </c>
      <c r="C11724" s="46">
        <v>1712</v>
      </c>
      <c r="D11724" s="69" t="s">
        <v>29418</v>
      </c>
      <c r="E11724" s="51"/>
      <c r="F11724" s="114" t="str">
        <f>IF(INDEX(I.Facility.P2bIDNumber,1712)="","",INDEX(I.Facility.P2bIDNumber,1712))</f>
        <v/>
      </c>
      <c r="G11724" s="51"/>
      <c r="H11724" s="46" t="str">
        <f>IF(AND(I.Developer.P2b=TRUE,I.Facility.P2bFacilityCount&gt;=1712,F11724=""),"Incomplete","Complete")</f>
        <v>Complete</v>
      </c>
      <c r="I11724" s="48" t="s">
        <v>16089</v>
      </c>
    </row>
    <row r="11725" spans="2:9" ht="15" customHeight="1" x14ac:dyDescent="0.25">
      <c r="B11725" s="55" t="s">
        <v>281</v>
      </c>
      <c r="C11725" s="46">
        <v>1713</v>
      </c>
      <c r="D11725" s="69" t="s">
        <v>29418</v>
      </c>
      <c r="E11725" s="51"/>
      <c r="F11725" s="114" t="str">
        <f>IF(INDEX(I.Facility.P2bIDNumber,1713)="","",INDEX(I.Facility.P2bIDNumber,1713))</f>
        <v/>
      </c>
      <c r="G11725" s="51"/>
      <c r="H11725" s="46" t="str">
        <f>IF(AND(I.Developer.P2b=TRUE,I.Facility.P2bFacilityCount&gt;=1713,F11725=""),"Incomplete","Complete")</f>
        <v>Complete</v>
      </c>
      <c r="I11725" s="48" t="s">
        <v>16090</v>
      </c>
    </row>
    <row r="11726" spans="2:9" ht="15" customHeight="1" x14ac:dyDescent="0.25">
      <c r="B11726" s="55" t="s">
        <v>281</v>
      </c>
      <c r="C11726" s="46">
        <v>1714</v>
      </c>
      <c r="D11726" s="69" t="s">
        <v>29418</v>
      </c>
      <c r="E11726" s="51"/>
      <c r="F11726" s="114" t="str">
        <f>IF(INDEX(I.Facility.P2bIDNumber,1714)="","",INDEX(I.Facility.P2bIDNumber,1714))</f>
        <v/>
      </c>
      <c r="G11726" s="51"/>
      <c r="H11726" s="46" t="str">
        <f>IF(AND(I.Developer.P2b=TRUE,I.Facility.P2bFacilityCount&gt;=1714,F11726=""),"Incomplete","Complete")</f>
        <v>Complete</v>
      </c>
      <c r="I11726" s="48" t="s">
        <v>16091</v>
      </c>
    </row>
    <row r="11727" spans="2:9" ht="15" customHeight="1" x14ac:dyDescent="0.25">
      <c r="B11727" s="55" t="s">
        <v>281</v>
      </c>
      <c r="C11727" s="46">
        <v>1715</v>
      </c>
      <c r="D11727" s="69" t="s">
        <v>29418</v>
      </c>
      <c r="E11727" s="51"/>
      <c r="F11727" s="114" t="str">
        <f>IF(INDEX(I.Facility.P2bIDNumber,1715)="","",INDEX(I.Facility.P2bIDNumber,1715))</f>
        <v/>
      </c>
      <c r="G11727" s="51"/>
      <c r="H11727" s="46" t="str">
        <f>IF(AND(I.Developer.P2b=TRUE,I.Facility.P2bFacilityCount&gt;=1715,F11727=""),"Incomplete","Complete")</f>
        <v>Complete</v>
      </c>
      <c r="I11727" s="48" t="s">
        <v>16092</v>
      </c>
    </row>
    <row r="11728" spans="2:9" ht="15" customHeight="1" x14ac:dyDescent="0.25">
      <c r="B11728" s="55" t="s">
        <v>281</v>
      </c>
      <c r="C11728" s="46">
        <v>1716</v>
      </c>
      <c r="D11728" s="69" t="s">
        <v>29418</v>
      </c>
      <c r="E11728" s="51"/>
      <c r="F11728" s="114" t="str">
        <f>IF(INDEX(I.Facility.P2bIDNumber,1716)="","",INDEX(I.Facility.P2bIDNumber,1716))</f>
        <v/>
      </c>
      <c r="G11728" s="51"/>
      <c r="H11728" s="46" t="str">
        <f>IF(AND(I.Developer.P2b=TRUE,I.Facility.P2bFacilityCount&gt;=1716,F11728=""),"Incomplete","Complete")</f>
        <v>Complete</v>
      </c>
      <c r="I11728" s="48" t="s">
        <v>16093</v>
      </c>
    </row>
    <row r="11729" spans="2:9" ht="15" customHeight="1" x14ac:dyDescent="0.25">
      <c r="B11729" s="55" t="s">
        <v>281</v>
      </c>
      <c r="C11729" s="46">
        <v>1717</v>
      </c>
      <c r="D11729" s="69" t="s">
        <v>29418</v>
      </c>
      <c r="E11729" s="51"/>
      <c r="F11729" s="114" t="str">
        <f>IF(INDEX(I.Facility.P2bIDNumber,1717)="","",INDEX(I.Facility.P2bIDNumber,1717))</f>
        <v/>
      </c>
      <c r="G11729" s="51"/>
      <c r="H11729" s="46" t="str">
        <f>IF(AND(I.Developer.P2b=TRUE,I.Facility.P2bFacilityCount&gt;=1717,F11729=""),"Incomplete","Complete")</f>
        <v>Complete</v>
      </c>
      <c r="I11729" s="48" t="s">
        <v>16094</v>
      </c>
    </row>
    <row r="11730" spans="2:9" ht="15" customHeight="1" x14ac:dyDescent="0.25">
      <c r="B11730" s="55" t="s">
        <v>281</v>
      </c>
      <c r="C11730" s="46">
        <v>1718</v>
      </c>
      <c r="D11730" s="69" t="s">
        <v>29418</v>
      </c>
      <c r="E11730" s="51"/>
      <c r="F11730" s="114" t="str">
        <f>IF(INDEX(I.Facility.P2bIDNumber,1718)="","",INDEX(I.Facility.P2bIDNumber,1718))</f>
        <v/>
      </c>
      <c r="G11730" s="51"/>
      <c r="H11730" s="46" t="str">
        <f>IF(AND(I.Developer.P2b=TRUE,I.Facility.P2bFacilityCount&gt;=1718,F11730=""),"Incomplete","Complete")</f>
        <v>Complete</v>
      </c>
      <c r="I11730" s="48" t="s">
        <v>16095</v>
      </c>
    </row>
    <row r="11731" spans="2:9" ht="15" customHeight="1" x14ac:dyDescent="0.25">
      <c r="B11731" s="55" t="s">
        <v>281</v>
      </c>
      <c r="C11731" s="46">
        <v>1719</v>
      </c>
      <c r="D11731" s="69" t="s">
        <v>29418</v>
      </c>
      <c r="E11731" s="51"/>
      <c r="F11731" s="114" t="str">
        <f>IF(INDEX(I.Facility.P2bIDNumber,1719)="","",INDEX(I.Facility.P2bIDNumber,1719))</f>
        <v/>
      </c>
      <c r="G11731" s="51"/>
      <c r="H11731" s="46" t="str">
        <f>IF(AND(I.Developer.P2b=TRUE,I.Facility.P2bFacilityCount&gt;=1719,F11731=""),"Incomplete","Complete")</f>
        <v>Complete</v>
      </c>
      <c r="I11731" s="48" t="s">
        <v>16096</v>
      </c>
    </row>
    <row r="11732" spans="2:9" ht="15" customHeight="1" x14ac:dyDescent="0.25">
      <c r="B11732" s="55" t="s">
        <v>281</v>
      </c>
      <c r="C11732" s="46">
        <v>1720</v>
      </c>
      <c r="D11732" s="69" t="s">
        <v>29418</v>
      </c>
      <c r="E11732" s="51"/>
      <c r="F11732" s="114" t="str">
        <f>IF(INDEX(I.Facility.P2bIDNumber,1720)="","",INDEX(I.Facility.P2bIDNumber,1720))</f>
        <v/>
      </c>
      <c r="G11732" s="51"/>
      <c r="H11732" s="46" t="str">
        <f>IF(AND(I.Developer.P2b=TRUE,I.Facility.P2bFacilityCount&gt;=1720,F11732=""),"Incomplete","Complete")</f>
        <v>Complete</v>
      </c>
      <c r="I11732" s="48" t="s">
        <v>16097</v>
      </c>
    </row>
    <row r="11733" spans="2:9" ht="15" customHeight="1" x14ac:dyDescent="0.25">
      <c r="B11733" s="55" t="s">
        <v>281</v>
      </c>
      <c r="C11733" s="46">
        <v>1721</v>
      </c>
      <c r="D11733" s="69" t="s">
        <v>29418</v>
      </c>
      <c r="E11733" s="51"/>
      <c r="F11733" s="114" t="str">
        <f>IF(INDEX(I.Facility.P2bIDNumber,1721)="","",INDEX(I.Facility.P2bIDNumber,1721))</f>
        <v/>
      </c>
      <c r="G11733" s="51"/>
      <c r="H11733" s="46" t="str">
        <f>IF(AND(I.Developer.P2b=TRUE,I.Facility.P2bFacilityCount&gt;=1721,F11733=""),"Incomplete","Complete")</f>
        <v>Complete</v>
      </c>
      <c r="I11733" s="48" t="s">
        <v>16098</v>
      </c>
    </row>
    <row r="11734" spans="2:9" ht="15" customHeight="1" x14ac:dyDescent="0.25">
      <c r="B11734" s="55" t="s">
        <v>281</v>
      </c>
      <c r="C11734" s="46">
        <v>1722</v>
      </c>
      <c r="D11734" s="69" t="s">
        <v>29418</v>
      </c>
      <c r="E11734" s="51"/>
      <c r="F11734" s="114" t="str">
        <f>IF(INDEX(I.Facility.P2bIDNumber,1722)="","",INDEX(I.Facility.P2bIDNumber,1722))</f>
        <v/>
      </c>
      <c r="G11734" s="51"/>
      <c r="H11734" s="46" t="str">
        <f>IF(AND(I.Developer.P2b=TRUE,I.Facility.P2bFacilityCount&gt;=1722,F11734=""),"Incomplete","Complete")</f>
        <v>Complete</v>
      </c>
      <c r="I11734" s="48" t="s">
        <v>16099</v>
      </c>
    </row>
    <row r="11735" spans="2:9" ht="15" customHeight="1" x14ac:dyDescent="0.25">
      <c r="B11735" s="55" t="s">
        <v>281</v>
      </c>
      <c r="C11735" s="46">
        <v>1723</v>
      </c>
      <c r="D11735" s="69" t="s">
        <v>29418</v>
      </c>
      <c r="E11735" s="51"/>
      <c r="F11735" s="114" t="str">
        <f>IF(INDEX(I.Facility.P2bIDNumber,1723)="","",INDEX(I.Facility.P2bIDNumber,1723))</f>
        <v/>
      </c>
      <c r="G11735" s="51"/>
      <c r="H11735" s="46" t="str">
        <f>IF(AND(I.Developer.P2b=TRUE,I.Facility.P2bFacilityCount&gt;=1723,F11735=""),"Incomplete","Complete")</f>
        <v>Complete</v>
      </c>
      <c r="I11735" s="48" t="s">
        <v>16100</v>
      </c>
    </row>
    <row r="11736" spans="2:9" ht="15" customHeight="1" x14ac:dyDescent="0.25">
      <c r="B11736" s="55" t="s">
        <v>281</v>
      </c>
      <c r="C11736" s="46">
        <v>1724</v>
      </c>
      <c r="D11736" s="69" t="s">
        <v>29418</v>
      </c>
      <c r="E11736" s="51"/>
      <c r="F11736" s="114" t="str">
        <f>IF(INDEX(I.Facility.P2bIDNumber,1724)="","",INDEX(I.Facility.P2bIDNumber,1724))</f>
        <v/>
      </c>
      <c r="G11736" s="51"/>
      <c r="H11736" s="46" t="str">
        <f>IF(AND(I.Developer.P2b=TRUE,I.Facility.P2bFacilityCount&gt;=1724,F11736=""),"Incomplete","Complete")</f>
        <v>Complete</v>
      </c>
      <c r="I11736" s="48" t="s">
        <v>16101</v>
      </c>
    </row>
    <row r="11737" spans="2:9" ht="15" customHeight="1" x14ac:dyDescent="0.25">
      <c r="B11737" s="55" t="s">
        <v>281</v>
      </c>
      <c r="C11737" s="46">
        <v>1725</v>
      </c>
      <c r="D11737" s="69" t="s">
        <v>29418</v>
      </c>
      <c r="E11737" s="51"/>
      <c r="F11737" s="114" t="str">
        <f>IF(INDEX(I.Facility.P2bIDNumber,1725)="","",INDEX(I.Facility.P2bIDNumber,1725))</f>
        <v/>
      </c>
      <c r="G11737" s="51"/>
      <c r="H11737" s="46" t="str">
        <f>IF(AND(I.Developer.P2b=TRUE,I.Facility.P2bFacilityCount&gt;=1725,F11737=""),"Incomplete","Complete")</f>
        <v>Complete</v>
      </c>
      <c r="I11737" s="48" t="s">
        <v>16102</v>
      </c>
    </row>
    <row r="11738" spans="2:9" ht="15" customHeight="1" x14ac:dyDescent="0.25">
      <c r="B11738" s="55" t="s">
        <v>281</v>
      </c>
      <c r="C11738" s="46">
        <v>1726</v>
      </c>
      <c r="D11738" s="69" t="s">
        <v>29418</v>
      </c>
      <c r="E11738" s="51"/>
      <c r="F11738" s="114" t="str">
        <f>IF(INDEX(I.Facility.P2bIDNumber,1726)="","",INDEX(I.Facility.P2bIDNumber,1726))</f>
        <v/>
      </c>
      <c r="G11738" s="51"/>
      <c r="H11738" s="46" t="str">
        <f>IF(AND(I.Developer.P2b=TRUE,I.Facility.P2bFacilityCount&gt;=1726,F11738=""),"Incomplete","Complete")</f>
        <v>Complete</v>
      </c>
      <c r="I11738" s="48" t="s">
        <v>16103</v>
      </c>
    </row>
    <row r="11739" spans="2:9" ht="15" customHeight="1" x14ac:dyDescent="0.25">
      <c r="B11739" s="55" t="s">
        <v>281</v>
      </c>
      <c r="C11739" s="46">
        <v>1727</v>
      </c>
      <c r="D11739" s="69" t="s">
        <v>29418</v>
      </c>
      <c r="E11739" s="51"/>
      <c r="F11739" s="114" t="str">
        <f>IF(INDEX(I.Facility.P2bIDNumber,1727)="","",INDEX(I.Facility.P2bIDNumber,1727))</f>
        <v/>
      </c>
      <c r="G11739" s="51"/>
      <c r="H11739" s="46" t="str">
        <f>IF(AND(I.Developer.P2b=TRUE,I.Facility.P2bFacilityCount&gt;=1727,F11739=""),"Incomplete","Complete")</f>
        <v>Complete</v>
      </c>
      <c r="I11739" s="48" t="s">
        <v>16104</v>
      </c>
    </row>
    <row r="11740" spans="2:9" ht="15" customHeight="1" x14ac:dyDescent="0.25">
      <c r="B11740" s="55" t="s">
        <v>281</v>
      </c>
      <c r="C11740" s="46">
        <v>1728</v>
      </c>
      <c r="D11740" s="69" t="s">
        <v>29418</v>
      </c>
      <c r="E11740" s="51"/>
      <c r="F11740" s="114" t="str">
        <f>IF(INDEX(I.Facility.P2bIDNumber,1728)="","",INDEX(I.Facility.P2bIDNumber,1728))</f>
        <v/>
      </c>
      <c r="G11740" s="51"/>
      <c r="H11740" s="46" t="str">
        <f>IF(AND(I.Developer.P2b=TRUE,I.Facility.P2bFacilityCount&gt;=1728,F11740=""),"Incomplete","Complete")</f>
        <v>Complete</v>
      </c>
      <c r="I11740" s="48" t="s">
        <v>16105</v>
      </c>
    </row>
    <row r="11741" spans="2:9" ht="15" customHeight="1" x14ac:dyDescent="0.25">
      <c r="B11741" s="55" t="s">
        <v>281</v>
      </c>
      <c r="C11741" s="46">
        <v>1729</v>
      </c>
      <c r="D11741" s="69" t="s">
        <v>29418</v>
      </c>
      <c r="E11741" s="51"/>
      <c r="F11741" s="114" t="str">
        <f>IF(INDEX(I.Facility.P2bIDNumber,1729)="","",INDEX(I.Facility.P2bIDNumber,1729))</f>
        <v/>
      </c>
      <c r="G11741" s="51"/>
      <c r="H11741" s="46" t="str">
        <f>IF(AND(I.Developer.P2b=TRUE,I.Facility.P2bFacilityCount&gt;=1729,F11741=""),"Incomplete","Complete")</f>
        <v>Complete</v>
      </c>
      <c r="I11741" s="48" t="s">
        <v>16106</v>
      </c>
    </row>
    <row r="11742" spans="2:9" ht="15" customHeight="1" x14ac:dyDescent="0.25">
      <c r="B11742" s="55" t="s">
        <v>281</v>
      </c>
      <c r="C11742" s="46">
        <v>1730</v>
      </c>
      <c r="D11742" s="69" t="s">
        <v>29418</v>
      </c>
      <c r="E11742" s="51"/>
      <c r="F11742" s="114" t="str">
        <f>IF(INDEX(I.Facility.P2bIDNumber,1730)="","",INDEX(I.Facility.P2bIDNumber,1730))</f>
        <v/>
      </c>
      <c r="G11742" s="51"/>
      <c r="H11742" s="46" t="str">
        <f>IF(AND(I.Developer.P2b=TRUE,I.Facility.P2bFacilityCount&gt;=1730,F11742=""),"Incomplete","Complete")</f>
        <v>Complete</v>
      </c>
      <c r="I11742" s="48" t="s">
        <v>16107</v>
      </c>
    </row>
    <row r="11743" spans="2:9" ht="15" customHeight="1" x14ac:dyDescent="0.25">
      <c r="B11743" s="55" t="s">
        <v>281</v>
      </c>
      <c r="C11743" s="46">
        <v>1731</v>
      </c>
      <c r="D11743" s="69" t="s">
        <v>29418</v>
      </c>
      <c r="E11743" s="51"/>
      <c r="F11743" s="114" t="str">
        <f>IF(INDEX(I.Facility.P2bIDNumber,1731)="","",INDEX(I.Facility.P2bIDNumber,1731))</f>
        <v/>
      </c>
      <c r="G11743" s="51"/>
      <c r="H11743" s="46" t="str">
        <f>IF(AND(I.Developer.P2b=TRUE,I.Facility.P2bFacilityCount&gt;=1731,F11743=""),"Incomplete","Complete")</f>
        <v>Complete</v>
      </c>
      <c r="I11743" s="48" t="s">
        <v>16108</v>
      </c>
    </row>
    <row r="11744" spans="2:9" ht="15" customHeight="1" x14ac:dyDescent="0.25">
      <c r="B11744" s="55" t="s">
        <v>281</v>
      </c>
      <c r="C11744" s="46">
        <v>1732</v>
      </c>
      <c r="D11744" s="69" t="s">
        <v>29418</v>
      </c>
      <c r="E11744" s="51"/>
      <c r="F11744" s="114" t="str">
        <f>IF(INDEX(I.Facility.P2bIDNumber,1732)="","",INDEX(I.Facility.P2bIDNumber,1732))</f>
        <v/>
      </c>
      <c r="G11744" s="51"/>
      <c r="H11744" s="46" t="str">
        <f>IF(AND(I.Developer.P2b=TRUE,I.Facility.P2bFacilityCount&gt;=1732,F11744=""),"Incomplete","Complete")</f>
        <v>Complete</v>
      </c>
      <c r="I11744" s="48" t="s">
        <v>16109</v>
      </c>
    </row>
    <row r="11745" spans="2:9" ht="15" customHeight="1" x14ac:dyDescent="0.25">
      <c r="B11745" s="55" t="s">
        <v>281</v>
      </c>
      <c r="C11745" s="46">
        <v>1733</v>
      </c>
      <c r="D11745" s="69" t="s">
        <v>29418</v>
      </c>
      <c r="E11745" s="51"/>
      <c r="F11745" s="114" t="str">
        <f>IF(INDEX(I.Facility.P2bIDNumber,1733)="","",INDEX(I.Facility.P2bIDNumber,1733))</f>
        <v/>
      </c>
      <c r="G11745" s="51"/>
      <c r="H11745" s="46" t="str">
        <f>IF(AND(I.Developer.P2b=TRUE,I.Facility.P2bFacilityCount&gt;=1733,F11745=""),"Incomplete","Complete")</f>
        <v>Complete</v>
      </c>
      <c r="I11745" s="48" t="s">
        <v>16110</v>
      </c>
    </row>
    <row r="11746" spans="2:9" ht="15" customHeight="1" x14ac:dyDescent="0.25">
      <c r="B11746" s="55" t="s">
        <v>281</v>
      </c>
      <c r="C11746" s="46">
        <v>1734</v>
      </c>
      <c r="D11746" s="69" t="s">
        <v>29418</v>
      </c>
      <c r="E11746" s="51"/>
      <c r="F11746" s="114" t="str">
        <f>IF(INDEX(I.Facility.P2bIDNumber,1734)="","",INDEX(I.Facility.P2bIDNumber,1734))</f>
        <v/>
      </c>
      <c r="G11746" s="51"/>
      <c r="H11746" s="46" t="str">
        <f>IF(AND(I.Developer.P2b=TRUE,I.Facility.P2bFacilityCount&gt;=1734,F11746=""),"Incomplete","Complete")</f>
        <v>Complete</v>
      </c>
      <c r="I11746" s="48" t="s">
        <v>16111</v>
      </c>
    </row>
    <row r="11747" spans="2:9" ht="15" customHeight="1" x14ac:dyDescent="0.25">
      <c r="B11747" s="55" t="s">
        <v>281</v>
      </c>
      <c r="C11747" s="46">
        <v>1735</v>
      </c>
      <c r="D11747" s="69" t="s">
        <v>29418</v>
      </c>
      <c r="E11747" s="51"/>
      <c r="F11747" s="114" t="str">
        <f>IF(INDEX(I.Facility.P2bIDNumber,1735)="","",INDEX(I.Facility.P2bIDNumber,1735))</f>
        <v/>
      </c>
      <c r="G11747" s="51"/>
      <c r="H11747" s="46" t="str">
        <f>IF(AND(I.Developer.P2b=TRUE,I.Facility.P2bFacilityCount&gt;=1735,F11747=""),"Incomplete","Complete")</f>
        <v>Complete</v>
      </c>
      <c r="I11747" s="48" t="s">
        <v>16112</v>
      </c>
    </row>
    <row r="11748" spans="2:9" ht="15" customHeight="1" x14ac:dyDescent="0.25">
      <c r="B11748" s="55" t="s">
        <v>281</v>
      </c>
      <c r="C11748" s="46">
        <v>1736</v>
      </c>
      <c r="D11748" s="69" t="s">
        <v>29418</v>
      </c>
      <c r="E11748" s="51"/>
      <c r="F11748" s="114" t="str">
        <f>IF(INDEX(I.Facility.P2bIDNumber,1736)="","",INDEX(I.Facility.P2bIDNumber,1736))</f>
        <v/>
      </c>
      <c r="G11748" s="51"/>
      <c r="H11748" s="46" t="str">
        <f>IF(AND(I.Developer.P2b=TRUE,I.Facility.P2bFacilityCount&gt;=1736,F11748=""),"Incomplete","Complete")</f>
        <v>Complete</v>
      </c>
      <c r="I11748" s="48" t="s">
        <v>16113</v>
      </c>
    </row>
    <row r="11749" spans="2:9" ht="15" customHeight="1" x14ac:dyDescent="0.25">
      <c r="B11749" s="55" t="s">
        <v>281</v>
      </c>
      <c r="C11749" s="46">
        <v>1737</v>
      </c>
      <c r="D11749" s="69" t="s">
        <v>29418</v>
      </c>
      <c r="E11749" s="51"/>
      <c r="F11749" s="114" t="str">
        <f>IF(INDEX(I.Facility.P2bIDNumber,1737)="","",INDEX(I.Facility.P2bIDNumber,1737))</f>
        <v/>
      </c>
      <c r="G11749" s="51"/>
      <c r="H11749" s="46" t="str">
        <f>IF(AND(I.Developer.P2b=TRUE,I.Facility.P2bFacilityCount&gt;=1737,F11749=""),"Incomplete","Complete")</f>
        <v>Complete</v>
      </c>
      <c r="I11749" s="48" t="s">
        <v>16114</v>
      </c>
    </row>
    <row r="11750" spans="2:9" ht="15" customHeight="1" x14ac:dyDescent="0.25">
      <c r="B11750" s="55" t="s">
        <v>281</v>
      </c>
      <c r="C11750" s="46">
        <v>1738</v>
      </c>
      <c r="D11750" s="69" t="s">
        <v>29418</v>
      </c>
      <c r="E11750" s="51"/>
      <c r="F11750" s="114" t="str">
        <f>IF(INDEX(I.Facility.P2bIDNumber,1738)="","",INDEX(I.Facility.P2bIDNumber,1738))</f>
        <v/>
      </c>
      <c r="G11750" s="51"/>
      <c r="H11750" s="46" t="str">
        <f>IF(AND(I.Developer.P2b=TRUE,I.Facility.P2bFacilityCount&gt;=1738,F11750=""),"Incomplete","Complete")</f>
        <v>Complete</v>
      </c>
      <c r="I11750" s="48" t="s">
        <v>16115</v>
      </c>
    </row>
    <row r="11751" spans="2:9" ht="15" customHeight="1" x14ac:dyDescent="0.25">
      <c r="B11751" s="55" t="s">
        <v>281</v>
      </c>
      <c r="C11751" s="46">
        <v>1739</v>
      </c>
      <c r="D11751" s="69" t="s">
        <v>29418</v>
      </c>
      <c r="E11751" s="51"/>
      <c r="F11751" s="114" t="str">
        <f>IF(INDEX(I.Facility.P2bIDNumber,1739)="","",INDEX(I.Facility.P2bIDNumber,1739))</f>
        <v/>
      </c>
      <c r="G11751" s="51"/>
      <c r="H11751" s="46" t="str">
        <f>IF(AND(I.Developer.P2b=TRUE,I.Facility.P2bFacilityCount&gt;=1739,F11751=""),"Incomplete","Complete")</f>
        <v>Complete</v>
      </c>
      <c r="I11751" s="48" t="s">
        <v>16116</v>
      </c>
    </row>
    <row r="11752" spans="2:9" ht="15" customHeight="1" x14ac:dyDescent="0.25">
      <c r="B11752" s="55" t="s">
        <v>281</v>
      </c>
      <c r="C11752" s="46">
        <v>1740</v>
      </c>
      <c r="D11752" s="69" t="s">
        <v>29418</v>
      </c>
      <c r="E11752" s="51"/>
      <c r="F11752" s="114" t="str">
        <f>IF(INDEX(I.Facility.P2bIDNumber,1740)="","",INDEX(I.Facility.P2bIDNumber,1740))</f>
        <v/>
      </c>
      <c r="G11752" s="51"/>
      <c r="H11752" s="46" t="str">
        <f>IF(AND(I.Developer.P2b=TRUE,I.Facility.P2bFacilityCount&gt;=1740,F11752=""),"Incomplete","Complete")</f>
        <v>Complete</v>
      </c>
      <c r="I11752" s="48" t="s">
        <v>16117</v>
      </c>
    </row>
    <row r="11753" spans="2:9" ht="15" customHeight="1" x14ac:dyDescent="0.25">
      <c r="B11753" s="55" t="s">
        <v>281</v>
      </c>
      <c r="C11753" s="46">
        <v>1741</v>
      </c>
      <c r="D11753" s="69" t="s">
        <v>29418</v>
      </c>
      <c r="E11753" s="51"/>
      <c r="F11753" s="114" t="str">
        <f>IF(INDEX(I.Facility.P2bIDNumber,1741)="","",INDEX(I.Facility.P2bIDNumber,1741))</f>
        <v/>
      </c>
      <c r="G11753" s="51"/>
      <c r="H11753" s="46" t="str">
        <f>IF(AND(I.Developer.P2b=TRUE,I.Facility.P2bFacilityCount&gt;=1741,F11753=""),"Incomplete","Complete")</f>
        <v>Complete</v>
      </c>
      <c r="I11753" s="48" t="s">
        <v>16118</v>
      </c>
    </row>
    <row r="11754" spans="2:9" ht="15" customHeight="1" x14ac:dyDescent="0.25">
      <c r="B11754" s="55" t="s">
        <v>281</v>
      </c>
      <c r="C11754" s="46">
        <v>1742</v>
      </c>
      <c r="D11754" s="69" t="s">
        <v>29418</v>
      </c>
      <c r="E11754" s="51"/>
      <c r="F11754" s="114" t="str">
        <f>IF(INDEX(I.Facility.P2bIDNumber,1742)="","",INDEX(I.Facility.P2bIDNumber,1742))</f>
        <v/>
      </c>
      <c r="G11754" s="51"/>
      <c r="H11754" s="46" t="str">
        <f>IF(AND(I.Developer.P2b=TRUE,I.Facility.P2bFacilityCount&gt;=1742,F11754=""),"Incomplete","Complete")</f>
        <v>Complete</v>
      </c>
      <c r="I11754" s="48" t="s">
        <v>16119</v>
      </c>
    </row>
    <row r="11755" spans="2:9" ht="15" customHeight="1" x14ac:dyDescent="0.25">
      <c r="B11755" s="55" t="s">
        <v>281</v>
      </c>
      <c r="C11755" s="46">
        <v>1743</v>
      </c>
      <c r="D11755" s="69" t="s">
        <v>29418</v>
      </c>
      <c r="E11755" s="51"/>
      <c r="F11755" s="114" t="str">
        <f>IF(INDEX(I.Facility.P2bIDNumber,1743)="","",INDEX(I.Facility.P2bIDNumber,1743))</f>
        <v/>
      </c>
      <c r="G11755" s="51"/>
      <c r="H11755" s="46" t="str">
        <f>IF(AND(I.Developer.P2b=TRUE,I.Facility.P2bFacilityCount&gt;=1743,F11755=""),"Incomplete","Complete")</f>
        <v>Complete</v>
      </c>
      <c r="I11755" s="48" t="s">
        <v>16120</v>
      </c>
    </row>
    <row r="11756" spans="2:9" ht="15" customHeight="1" x14ac:dyDescent="0.25">
      <c r="B11756" s="55" t="s">
        <v>281</v>
      </c>
      <c r="C11756" s="46">
        <v>1744</v>
      </c>
      <c r="D11756" s="69" t="s">
        <v>29418</v>
      </c>
      <c r="E11756" s="51"/>
      <c r="F11756" s="114" t="str">
        <f>IF(INDEX(I.Facility.P2bIDNumber,1744)="","",INDEX(I.Facility.P2bIDNumber,1744))</f>
        <v/>
      </c>
      <c r="G11756" s="51"/>
      <c r="H11756" s="46" t="str">
        <f>IF(AND(I.Developer.P2b=TRUE,I.Facility.P2bFacilityCount&gt;=1744,F11756=""),"Incomplete","Complete")</f>
        <v>Complete</v>
      </c>
      <c r="I11756" s="48" t="s">
        <v>16121</v>
      </c>
    </row>
    <row r="11757" spans="2:9" ht="15" customHeight="1" x14ac:dyDescent="0.25">
      <c r="B11757" s="55" t="s">
        <v>281</v>
      </c>
      <c r="C11757" s="46">
        <v>1745</v>
      </c>
      <c r="D11757" s="69" t="s">
        <v>29418</v>
      </c>
      <c r="E11757" s="51"/>
      <c r="F11757" s="114" t="str">
        <f>IF(INDEX(I.Facility.P2bIDNumber,1745)="","",INDEX(I.Facility.P2bIDNumber,1745))</f>
        <v/>
      </c>
      <c r="G11757" s="51"/>
      <c r="H11757" s="46" t="str">
        <f>IF(AND(I.Developer.P2b=TRUE,I.Facility.P2bFacilityCount&gt;=1745,F11757=""),"Incomplete","Complete")</f>
        <v>Complete</v>
      </c>
      <c r="I11757" s="48" t="s">
        <v>16122</v>
      </c>
    </row>
    <row r="11758" spans="2:9" ht="15" customHeight="1" x14ac:dyDescent="0.25">
      <c r="B11758" s="55" t="s">
        <v>281</v>
      </c>
      <c r="C11758" s="46">
        <v>1746</v>
      </c>
      <c r="D11758" s="69" t="s">
        <v>29418</v>
      </c>
      <c r="E11758" s="51"/>
      <c r="F11758" s="114" t="str">
        <f>IF(INDEX(I.Facility.P2bIDNumber,1746)="","",INDEX(I.Facility.P2bIDNumber,1746))</f>
        <v/>
      </c>
      <c r="G11758" s="51"/>
      <c r="H11758" s="46" t="str">
        <f>IF(AND(I.Developer.P2b=TRUE,I.Facility.P2bFacilityCount&gt;=1746,F11758=""),"Incomplete","Complete")</f>
        <v>Complete</v>
      </c>
      <c r="I11758" s="48" t="s">
        <v>16123</v>
      </c>
    </row>
    <row r="11759" spans="2:9" ht="15" customHeight="1" x14ac:dyDescent="0.25">
      <c r="B11759" s="55" t="s">
        <v>281</v>
      </c>
      <c r="C11759" s="46">
        <v>1747</v>
      </c>
      <c r="D11759" s="69" t="s">
        <v>29418</v>
      </c>
      <c r="E11759" s="51"/>
      <c r="F11759" s="114" t="str">
        <f>IF(INDEX(I.Facility.P2bIDNumber,1747)="","",INDEX(I.Facility.P2bIDNumber,1747))</f>
        <v/>
      </c>
      <c r="G11759" s="51"/>
      <c r="H11759" s="46" t="str">
        <f>IF(AND(I.Developer.P2b=TRUE,I.Facility.P2bFacilityCount&gt;=1747,F11759=""),"Incomplete","Complete")</f>
        <v>Complete</v>
      </c>
      <c r="I11759" s="48" t="s">
        <v>16124</v>
      </c>
    </row>
    <row r="11760" spans="2:9" ht="15" customHeight="1" x14ac:dyDescent="0.25">
      <c r="B11760" s="55" t="s">
        <v>281</v>
      </c>
      <c r="C11760" s="46">
        <v>1748</v>
      </c>
      <c r="D11760" s="69" t="s">
        <v>29418</v>
      </c>
      <c r="E11760" s="51"/>
      <c r="F11760" s="114" t="str">
        <f>IF(INDEX(I.Facility.P2bIDNumber,1748)="","",INDEX(I.Facility.P2bIDNumber,1748))</f>
        <v/>
      </c>
      <c r="G11760" s="51"/>
      <c r="H11760" s="46" t="str">
        <f>IF(AND(I.Developer.P2b=TRUE,I.Facility.P2bFacilityCount&gt;=1748,F11760=""),"Incomplete","Complete")</f>
        <v>Complete</v>
      </c>
      <c r="I11760" s="48" t="s">
        <v>16125</v>
      </c>
    </row>
    <row r="11761" spans="2:9" ht="15" customHeight="1" x14ac:dyDescent="0.25">
      <c r="B11761" s="55" t="s">
        <v>281</v>
      </c>
      <c r="C11761" s="46">
        <v>1749</v>
      </c>
      <c r="D11761" s="69" t="s">
        <v>29418</v>
      </c>
      <c r="E11761" s="51"/>
      <c r="F11761" s="114" t="str">
        <f>IF(INDEX(I.Facility.P2bIDNumber,1749)="","",INDEX(I.Facility.P2bIDNumber,1749))</f>
        <v/>
      </c>
      <c r="G11761" s="51"/>
      <c r="H11761" s="46" t="str">
        <f>IF(AND(I.Developer.P2b=TRUE,I.Facility.P2bFacilityCount&gt;=1749,F11761=""),"Incomplete","Complete")</f>
        <v>Complete</v>
      </c>
      <c r="I11761" s="48" t="s">
        <v>16126</v>
      </c>
    </row>
    <row r="11762" spans="2:9" ht="15" customHeight="1" x14ac:dyDescent="0.25">
      <c r="B11762" s="55" t="s">
        <v>281</v>
      </c>
      <c r="C11762" s="46">
        <v>1750</v>
      </c>
      <c r="D11762" s="69" t="s">
        <v>29418</v>
      </c>
      <c r="E11762" s="51"/>
      <c r="F11762" s="114" t="str">
        <f>IF(INDEX(I.Facility.P2bIDNumber,1750)="","",INDEX(I.Facility.P2bIDNumber,1750))</f>
        <v/>
      </c>
      <c r="G11762" s="51"/>
      <c r="H11762" s="46" t="str">
        <f>IF(AND(I.Developer.P2b=TRUE,I.Facility.P2bFacilityCount&gt;=1750,F11762=""),"Incomplete","Complete")</f>
        <v>Complete</v>
      </c>
      <c r="I11762" s="48" t="s">
        <v>16127</v>
      </c>
    </row>
    <row r="11763" spans="2:9" ht="15" customHeight="1" x14ac:dyDescent="0.25">
      <c r="B11763" s="55" t="s">
        <v>281</v>
      </c>
      <c r="C11763" s="46">
        <v>1751</v>
      </c>
      <c r="D11763" s="69" t="s">
        <v>29418</v>
      </c>
      <c r="E11763" s="51"/>
      <c r="F11763" s="114" t="str">
        <f>IF(INDEX(I.Facility.P2bIDNumber,1751)="","",INDEX(I.Facility.P2bIDNumber,1751))</f>
        <v/>
      </c>
      <c r="G11763" s="51"/>
      <c r="H11763" s="46" t="str">
        <f>IF(AND(I.Developer.P2b=TRUE,I.Facility.P2bFacilityCount&gt;=1751,F11763=""),"Incomplete","Complete")</f>
        <v>Complete</v>
      </c>
      <c r="I11763" s="48" t="s">
        <v>16128</v>
      </c>
    </row>
    <row r="11764" spans="2:9" ht="15" customHeight="1" x14ac:dyDescent="0.25">
      <c r="B11764" s="55" t="s">
        <v>281</v>
      </c>
      <c r="C11764" s="46">
        <v>1752</v>
      </c>
      <c r="D11764" s="69" t="s">
        <v>29418</v>
      </c>
      <c r="E11764" s="51"/>
      <c r="F11764" s="114" t="str">
        <f>IF(INDEX(I.Facility.P2bIDNumber,1752)="","",INDEX(I.Facility.P2bIDNumber,1752))</f>
        <v/>
      </c>
      <c r="G11764" s="51"/>
      <c r="H11764" s="46" t="str">
        <f>IF(AND(I.Developer.P2b=TRUE,I.Facility.P2bFacilityCount&gt;=1752,F11764=""),"Incomplete","Complete")</f>
        <v>Complete</v>
      </c>
      <c r="I11764" s="48" t="s">
        <v>16129</v>
      </c>
    </row>
    <row r="11765" spans="2:9" ht="15" customHeight="1" x14ac:dyDescent="0.25">
      <c r="B11765" s="55" t="s">
        <v>281</v>
      </c>
      <c r="C11765" s="46">
        <v>1753</v>
      </c>
      <c r="D11765" s="69" t="s">
        <v>29418</v>
      </c>
      <c r="E11765" s="51"/>
      <c r="F11765" s="114" t="str">
        <f>IF(INDEX(I.Facility.P2bIDNumber,1753)="","",INDEX(I.Facility.P2bIDNumber,1753))</f>
        <v/>
      </c>
      <c r="G11765" s="51"/>
      <c r="H11765" s="46" t="str">
        <f>IF(AND(I.Developer.P2b=TRUE,I.Facility.P2bFacilityCount&gt;=1753,F11765=""),"Incomplete","Complete")</f>
        <v>Complete</v>
      </c>
      <c r="I11765" s="48" t="s">
        <v>16130</v>
      </c>
    </row>
    <row r="11766" spans="2:9" ht="15" customHeight="1" x14ac:dyDescent="0.25">
      <c r="B11766" s="55" t="s">
        <v>281</v>
      </c>
      <c r="C11766" s="46">
        <v>1754</v>
      </c>
      <c r="D11766" s="69" t="s">
        <v>29418</v>
      </c>
      <c r="E11766" s="51"/>
      <c r="F11766" s="114" t="str">
        <f>IF(INDEX(I.Facility.P2bIDNumber,1754)="","",INDEX(I.Facility.P2bIDNumber,1754))</f>
        <v/>
      </c>
      <c r="G11766" s="51"/>
      <c r="H11766" s="46" t="str">
        <f>IF(AND(I.Developer.P2b=TRUE,I.Facility.P2bFacilityCount&gt;=1754,F11766=""),"Incomplete","Complete")</f>
        <v>Complete</v>
      </c>
      <c r="I11766" s="48" t="s">
        <v>16131</v>
      </c>
    </row>
    <row r="11767" spans="2:9" ht="15" customHeight="1" x14ac:dyDescent="0.25">
      <c r="B11767" s="55" t="s">
        <v>281</v>
      </c>
      <c r="C11767" s="46">
        <v>1755</v>
      </c>
      <c r="D11767" s="69" t="s">
        <v>29418</v>
      </c>
      <c r="E11767" s="51"/>
      <c r="F11767" s="114" t="str">
        <f>IF(INDEX(I.Facility.P2bIDNumber,1755)="","",INDEX(I.Facility.P2bIDNumber,1755))</f>
        <v/>
      </c>
      <c r="G11767" s="51"/>
      <c r="H11767" s="46" t="str">
        <f>IF(AND(I.Developer.P2b=TRUE,I.Facility.P2bFacilityCount&gt;=1755,F11767=""),"Incomplete","Complete")</f>
        <v>Complete</v>
      </c>
      <c r="I11767" s="48" t="s">
        <v>16132</v>
      </c>
    </row>
    <row r="11768" spans="2:9" ht="15" customHeight="1" x14ac:dyDescent="0.25">
      <c r="B11768" s="55" t="s">
        <v>281</v>
      </c>
      <c r="C11768" s="46">
        <v>1756</v>
      </c>
      <c r="D11768" s="69" t="s">
        <v>29418</v>
      </c>
      <c r="E11768" s="51"/>
      <c r="F11768" s="114" t="str">
        <f>IF(INDEX(I.Facility.P2bIDNumber,1756)="","",INDEX(I.Facility.P2bIDNumber,1756))</f>
        <v/>
      </c>
      <c r="G11768" s="51"/>
      <c r="H11768" s="46" t="str">
        <f>IF(AND(I.Developer.P2b=TRUE,I.Facility.P2bFacilityCount&gt;=1756,F11768=""),"Incomplete","Complete")</f>
        <v>Complete</v>
      </c>
      <c r="I11768" s="48" t="s">
        <v>16133</v>
      </c>
    </row>
    <row r="11769" spans="2:9" ht="15" customHeight="1" x14ac:dyDescent="0.25">
      <c r="B11769" s="55" t="s">
        <v>281</v>
      </c>
      <c r="C11769" s="46">
        <v>1757</v>
      </c>
      <c r="D11769" s="69" t="s">
        <v>29418</v>
      </c>
      <c r="E11769" s="51"/>
      <c r="F11769" s="114" t="str">
        <f>IF(INDEX(I.Facility.P2bIDNumber,1757)="","",INDEX(I.Facility.P2bIDNumber,1757))</f>
        <v/>
      </c>
      <c r="G11769" s="51"/>
      <c r="H11769" s="46" t="str">
        <f>IF(AND(I.Developer.P2b=TRUE,I.Facility.P2bFacilityCount&gt;=1757,F11769=""),"Incomplete","Complete")</f>
        <v>Complete</v>
      </c>
      <c r="I11769" s="48" t="s">
        <v>16134</v>
      </c>
    </row>
    <row r="11770" spans="2:9" ht="15" customHeight="1" x14ac:dyDescent="0.25">
      <c r="B11770" s="55" t="s">
        <v>281</v>
      </c>
      <c r="C11770" s="46">
        <v>1758</v>
      </c>
      <c r="D11770" s="69" t="s">
        <v>29418</v>
      </c>
      <c r="E11770" s="51"/>
      <c r="F11770" s="114" t="str">
        <f>IF(INDEX(I.Facility.P2bIDNumber,1758)="","",INDEX(I.Facility.P2bIDNumber,1758))</f>
        <v/>
      </c>
      <c r="G11770" s="51"/>
      <c r="H11770" s="46" t="str">
        <f>IF(AND(I.Developer.P2b=TRUE,I.Facility.P2bFacilityCount&gt;=1758,F11770=""),"Incomplete","Complete")</f>
        <v>Complete</v>
      </c>
      <c r="I11770" s="48" t="s">
        <v>16135</v>
      </c>
    </row>
    <row r="11771" spans="2:9" ht="15" customHeight="1" x14ac:dyDescent="0.25">
      <c r="B11771" s="55" t="s">
        <v>281</v>
      </c>
      <c r="C11771" s="46">
        <v>1759</v>
      </c>
      <c r="D11771" s="69" t="s">
        <v>29418</v>
      </c>
      <c r="E11771" s="51"/>
      <c r="F11771" s="114" t="str">
        <f>IF(INDEX(I.Facility.P2bIDNumber,1759)="","",INDEX(I.Facility.P2bIDNumber,1759))</f>
        <v/>
      </c>
      <c r="G11771" s="51"/>
      <c r="H11771" s="46" t="str">
        <f>IF(AND(I.Developer.P2b=TRUE,I.Facility.P2bFacilityCount&gt;=1759,F11771=""),"Incomplete","Complete")</f>
        <v>Complete</v>
      </c>
      <c r="I11771" s="48" t="s">
        <v>16136</v>
      </c>
    </row>
    <row r="11772" spans="2:9" ht="15" customHeight="1" x14ac:dyDescent="0.25">
      <c r="B11772" s="55" t="s">
        <v>281</v>
      </c>
      <c r="C11772" s="46">
        <v>1760</v>
      </c>
      <c r="D11772" s="69" t="s">
        <v>29418</v>
      </c>
      <c r="E11772" s="51"/>
      <c r="F11772" s="114" t="str">
        <f>IF(INDEX(I.Facility.P2bIDNumber,1760)="","",INDEX(I.Facility.P2bIDNumber,1760))</f>
        <v/>
      </c>
      <c r="G11772" s="51"/>
      <c r="H11772" s="46" t="str">
        <f>IF(AND(I.Developer.P2b=TRUE,I.Facility.P2bFacilityCount&gt;=1760,F11772=""),"Incomplete","Complete")</f>
        <v>Complete</v>
      </c>
      <c r="I11772" s="48" t="s">
        <v>16137</v>
      </c>
    </row>
    <row r="11773" spans="2:9" ht="15" customHeight="1" x14ac:dyDescent="0.25">
      <c r="B11773" s="55" t="s">
        <v>281</v>
      </c>
      <c r="C11773" s="46">
        <v>1761</v>
      </c>
      <c r="D11773" s="69" t="s">
        <v>29418</v>
      </c>
      <c r="E11773" s="51"/>
      <c r="F11773" s="114" t="str">
        <f>IF(INDEX(I.Facility.P2bIDNumber,1761)="","",INDEX(I.Facility.P2bIDNumber,1761))</f>
        <v/>
      </c>
      <c r="G11773" s="51"/>
      <c r="H11773" s="46" t="str">
        <f>IF(AND(I.Developer.P2b=TRUE,I.Facility.P2bFacilityCount&gt;=1761,F11773=""),"Incomplete","Complete")</f>
        <v>Complete</v>
      </c>
      <c r="I11773" s="48" t="s">
        <v>16138</v>
      </c>
    </row>
    <row r="11774" spans="2:9" ht="15" customHeight="1" x14ac:dyDescent="0.25">
      <c r="B11774" s="55" t="s">
        <v>281</v>
      </c>
      <c r="C11774" s="46">
        <v>1762</v>
      </c>
      <c r="D11774" s="69" t="s">
        <v>29418</v>
      </c>
      <c r="E11774" s="51"/>
      <c r="F11774" s="114" t="str">
        <f>IF(INDEX(I.Facility.P2bIDNumber,1762)="","",INDEX(I.Facility.P2bIDNumber,1762))</f>
        <v/>
      </c>
      <c r="G11774" s="51"/>
      <c r="H11774" s="46" t="str">
        <f>IF(AND(I.Developer.P2b=TRUE,I.Facility.P2bFacilityCount&gt;=1762,F11774=""),"Incomplete","Complete")</f>
        <v>Complete</v>
      </c>
      <c r="I11774" s="48" t="s">
        <v>16139</v>
      </c>
    </row>
    <row r="11775" spans="2:9" ht="15" customHeight="1" x14ac:dyDescent="0.25">
      <c r="B11775" s="55" t="s">
        <v>281</v>
      </c>
      <c r="C11775" s="46">
        <v>1763</v>
      </c>
      <c r="D11775" s="69" t="s">
        <v>29418</v>
      </c>
      <c r="E11775" s="51"/>
      <c r="F11775" s="114" t="str">
        <f>IF(INDEX(I.Facility.P2bIDNumber,1763)="","",INDEX(I.Facility.P2bIDNumber,1763))</f>
        <v/>
      </c>
      <c r="G11775" s="51"/>
      <c r="H11775" s="46" t="str">
        <f>IF(AND(I.Developer.P2b=TRUE,I.Facility.P2bFacilityCount&gt;=1763,F11775=""),"Incomplete","Complete")</f>
        <v>Complete</v>
      </c>
      <c r="I11775" s="48" t="s">
        <v>16140</v>
      </c>
    </row>
    <row r="11776" spans="2:9" ht="15" customHeight="1" x14ac:dyDescent="0.25">
      <c r="B11776" s="55" t="s">
        <v>281</v>
      </c>
      <c r="C11776" s="46">
        <v>1764</v>
      </c>
      <c r="D11776" s="69" t="s">
        <v>29418</v>
      </c>
      <c r="E11776" s="51"/>
      <c r="F11776" s="114" t="str">
        <f>IF(INDEX(I.Facility.P2bIDNumber,1764)="","",INDEX(I.Facility.P2bIDNumber,1764))</f>
        <v/>
      </c>
      <c r="G11776" s="51"/>
      <c r="H11776" s="46" t="str">
        <f>IF(AND(I.Developer.P2b=TRUE,I.Facility.P2bFacilityCount&gt;=1764,F11776=""),"Incomplete","Complete")</f>
        <v>Complete</v>
      </c>
      <c r="I11776" s="48" t="s">
        <v>16141</v>
      </c>
    </row>
    <row r="11777" spans="2:9" ht="15" customHeight="1" x14ac:dyDescent="0.25">
      <c r="B11777" s="55" t="s">
        <v>281</v>
      </c>
      <c r="C11777" s="46">
        <v>1765</v>
      </c>
      <c r="D11777" s="69" t="s">
        <v>29418</v>
      </c>
      <c r="E11777" s="51"/>
      <c r="F11777" s="114" t="str">
        <f>IF(INDEX(I.Facility.P2bIDNumber,1765)="","",INDEX(I.Facility.P2bIDNumber,1765))</f>
        <v/>
      </c>
      <c r="G11777" s="51"/>
      <c r="H11777" s="46" t="str">
        <f>IF(AND(I.Developer.P2b=TRUE,I.Facility.P2bFacilityCount&gt;=1765,F11777=""),"Incomplete","Complete")</f>
        <v>Complete</v>
      </c>
      <c r="I11777" s="48" t="s">
        <v>16142</v>
      </c>
    </row>
    <row r="11778" spans="2:9" ht="15" customHeight="1" x14ac:dyDescent="0.25">
      <c r="B11778" s="55" t="s">
        <v>281</v>
      </c>
      <c r="C11778" s="46">
        <v>1766</v>
      </c>
      <c r="D11778" s="69" t="s">
        <v>29418</v>
      </c>
      <c r="E11778" s="51"/>
      <c r="F11778" s="114" t="str">
        <f>IF(INDEX(I.Facility.P2bIDNumber,1766)="","",INDEX(I.Facility.P2bIDNumber,1766))</f>
        <v/>
      </c>
      <c r="G11778" s="51"/>
      <c r="H11778" s="46" t="str">
        <f>IF(AND(I.Developer.P2b=TRUE,I.Facility.P2bFacilityCount&gt;=1766,F11778=""),"Incomplete","Complete")</f>
        <v>Complete</v>
      </c>
      <c r="I11778" s="48" t="s">
        <v>16143</v>
      </c>
    </row>
    <row r="11779" spans="2:9" ht="15" customHeight="1" x14ac:dyDescent="0.25">
      <c r="B11779" s="55" t="s">
        <v>281</v>
      </c>
      <c r="C11779" s="46">
        <v>1767</v>
      </c>
      <c r="D11779" s="69" t="s">
        <v>29418</v>
      </c>
      <c r="E11779" s="51"/>
      <c r="F11779" s="114" t="str">
        <f>IF(INDEX(I.Facility.P2bIDNumber,1767)="","",INDEX(I.Facility.P2bIDNumber,1767))</f>
        <v/>
      </c>
      <c r="G11779" s="51"/>
      <c r="H11779" s="46" t="str">
        <f>IF(AND(I.Developer.P2b=TRUE,I.Facility.P2bFacilityCount&gt;=1767,F11779=""),"Incomplete","Complete")</f>
        <v>Complete</v>
      </c>
      <c r="I11779" s="48" t="s">
        <v>16144</v>
      </c>
    </row>
    <row r="11780" spans="2:9" ht="15" customHeight="1" x14ac:dyDescent="0.25">
      <c r="B11780" s="55" t="s">
        <v>281</v>
      </c>
      <c r="C11780" s="46">
        <v>1768</v>
      </c>
      <c r="D11780" s="69" t="s">
        <v>29418</v>
      </c>
      <c r="E11780" s="51"/>
      <c r="F11780" s="114" t="str">
        <f>IF(INDEX(I.Facility.P2bIDNumber,1768)="","",INDEX(I.Facility.P2bIDNumber,1768))</f>
        <v/>
      </c>
      <c r="G11780" s="51"/>
      <c r="H11780" s="46" t="str">
        <f>IF(AND(I.Developer.P2b=TRUE,I.Facility.P2bFacilityCount&gt;=1768,F11780=""),"Incomplete","Complete")</f>
        <v>Complete</v>
      </c>
      <c r="I11780" s="48" t="s">
        <v>16145</v>
      </c>
    </row>
    <row r="11781" spans="2:9" ht="15" customHeight="1" x14ac:dyDescent="0.25">
      <c r="B11781" s="55" t="s">
        <v>281</v>
      </c>
      <c r="C11781" s="46">
        <v>1769</v>
      </c>
      <c r="D11781" s="69" t="s">
        <v>29418</v>
      </c>
      <c r="E11781" s="51"/>
      <c r="F11781" s="114" t="str">
        <f>IF(INDEX(I.Facility.P2bIDNumber,1769)="","",INDEX(I.Facility.P2bIDNumber,1769))</f>
        <v/>
      </c>
      <c r="G11781" s="51"/>
      <c r="H11781" s="46" t="str">
        <f>IF(AND(I.Developer.P2b=TRUE,I.Facility.P2bFacilityCount&gt;=1769,F11781=""),"Incomplete","Complete")</f>
        <v>Complete</v>
      </c>
      <c r="I11781" s="48" t="s">
        <v>16146</v>
      </c>
    </row>
    <row r="11782" spans="2:9" ht="15" customHeight="1" x14ac:dyDescent="0.25">
      <c r="B11782" s="55" t="s">
        <v>281</v>
      </c>
      <c r="C11782" s="46">
        <v>1770</v>
      </c>
      <c r="D11782" s="69" t="s">
        <v>29418</v>
      </c>
      <c r="E11782" s="51"/>
      <c r="F11782" s="114" t="str">
        <f>IF(INDEX(I.Facility.P2bIDNumber,1770)="","",INDEX(I.Facility.P2bIDNumber,1770))</f>
        <v/>
      </c>
      <c r="G11782" s="51"/>
      <c r="H11782" s="46" t="str">
        <f>IF(AND(I.Developer.P2b=TRUE,I.Facility.P2bFacilityCount&gt;=1770,F11782=""),"Incomplete","Complete")</f>
        <v>Complete</v>
      </c>
      <c r="I11782" s="48" t="s">
        <v>16147</v>
      </c>
    </row>
    <row r="11783" spans="2:9" ht="15" customHeight="1" x14ac:dyDescent="0.25">
      <c r="B11783" s="55" t="s">
        <v>281</v>
      </c>
      <c r="C11783" s="46">
        <v>1771</v>
      </c>
      <c r="D11783" s="69" t="s">
        <v>29418</v>
      </c>
      <c r="E11783" s="51"/>
      <c r="F11783" s="114" t="str">
        <f>IF(INDEX(I.Facility.P2bIDNumber,1771)="","",INDEX(I.Facility.P2bIDNumber,1771))</f>
        <v/>
      </c>
      <c r="G11783" s="51"/>
      <c r="H11783" s="46" t="str">
        <f>IF(AND(I.Developer.P2b=TRUE,I.Facility.P2bFacilityCount&gt;=1771,F11783=""),"Incomplete","Complete")</f>
        <v>Complete</v>
      </c>
      <c r="I11783" s="48" t="s">
        <v>16148</v>
      </c>
    </row>
    <row r="11784" spans="2:9" ht="15" customHeight="1" x14ac:dyDescent="0.25">
      <c r="B11784" s="55" t="s">
        <v>281</v>
      </c>
      <c r="C11784" s="46">
        <v>1772</v>
      </c>
      <c r="D11784" s="69" t="s">
        <v>29418</v>
      </c>
      <c r="E11784" s="51"/>
      <c r="F11784" s="114" t="str">
        <f>IF(INDEX(I.Facility.P2bIDNumber,1772)="","",INDEX(I.Facility.P2bIDNumber,1772))</f>
        <v/>
      </c>
      <c r="G11784" s="51"/>
      <c r="H11784" s="46" t="str">
        <f>IF(AND(I.Developer.P2b=TRUE,I.Facility.P2bFacilityCount&gt;=1772,F11784=""),"Incomplete","Complete")</f>
        <v>Complete</v>
      </c>
      <c r="I11784" s="48" t="s">
        <v>16149</v>
      </c>
    </row>
    <row r="11785" spans="2:9" ht="15" customHeight="1" x14ac:dyDescent="0.25">
      <c r="B11785" s="55" t="s">
        <v>281</v>
      </c>
      <c r="C11785" s="46">
        <v>1773</v>
      </c>
      <c r="D11785" s="69" t="s">
        <v>29418</v>
      </c>
      <c r="E11785" s="51"/>
      <c r="F11785" s="114" t="str">
        <f>IF(INDEX(I.Facility.P2bIDNumber,1773)="","",INDEX(I.Facility.P2bIDNumber,1773))</f>
        <v/>
      </c>
      <c r="G11785" s="51"/>
      <c r="H11785" s="46" t="str">
        <f>IF(AND(I.Developer.P2b=TRUE,I.Facility.P2bFacilityCount&gt;=1773,F11785=""),"Incomplete","Complete")</f>
        <v>Complete</v>
      </c>
      <c r="I11785" s="48" t="s">
        <v>16150</v>
      </c>
    </row>
    <row r="11786" spans="2:9" ht="15" customHeight="1" x14ac:dyDescent="0.25">
      <c r="B11786" s="55" t="s">
        <v>281</v>
      </c>
      <c r="C11786" s="46">
        <v>1774</v>
      </c>
      <c r="D11786" s="69" t="s">
        <v>29418</v>
      </c>
      <c r="E11786" s="51"/>
      <c r="F11786" s="114" t="str">
        <f>IF(INDEX(I.Facility.P2bIDNumber,1774)="","",INDEX(I.Facility.P2bIDNumber,1774))</f>
        <v/>
      </c>
      <c r="G11786" s="51"/>
      <c r="H11786" s="46" t="str">
        <f>IF(AND(I.Developer.P2b=TRUE,I.Facility.P2bFacilityCount&gt;=1774,F11786=""),"Incomplete","Complete")</f>
        <v>Complete</v>
      </c>
      <c r="I11786" s="48" t="s">
        <v>16151</v>
      </c>
    </row>
    <row r="11787" spans="2:9" ht="15" customHeight="1" x14ac:dyDescent="0.25">
      <c r="B11787" s="55" t="s">
        <v>281</v>
      </c>
      <c r="C11787" s="46">
        <v>1775</v>
      </c>
      <c r="D11787" s="69" t="s">
        <v>29418</v>
      </c>
      <c r="E11787" s="51"/>
      <c r="F11787" s="114" t="str">
        <f>IF(INDEX(I.Facility.P2bIDNumber,1775)="","",INDEX(I.Facility.P2bIDNumber,1775))</f>
        <v/>
      </c>
      <c r="G11787" s="51"/>
      <c r="H11787" s="46" t="str">
        <f>IF(AND(I.Developer.P2b=TRUE,I.Facility.P2bFacilityCount&gt;=1775,F11787=""),"Incomplete","Complete")</f>
        <v>Complete</v>
      </c>
      <c r="I11787" s="48" t="s">
        <v>16152</v>
      </c>
    </row>
    <row r="11788" spans="2:9" ht="15" customHeight="1" x14ac:dyDescent="0.25">
      <c r="B11788" s="55" t="s">
        <v>281</v>
      </c>
      <c r="C11788" s="46">
        <v>1776</v>
      </c>
      <c r="D11788" s="69" t="s">
        <v>29418</v>
      </c>
      <c r="E11788" s="51"/>
      <c r="F11788" s="114" t="str">
        <f>IF(INDEX(I.Facility.P2bIDNumber,1776)="","",INDEX(I.Facility.P2bIDNumber,1776))</f>
        <v/>
      </c>
      <c r="G11788" s="51"/>
      <c r="H11788" s="46" t="str">
        <f>IF(AND(I.Developer.P2b=TRUE,I.Facility.P2bFacilityCount&gt;=1776,F11788=""),"Incomplete","Complete")</f>
        <v>Complete</v>
      </c>
      <c r="I11788" s="48" t="s">
        <v>16153</v>
      </c>
    </row>
    <row r="11789" spans="2:9" ht="15" customHeight="1" x14ac:dyDescent="0.25">
      <c r="B11789" s="55" t="s">
        <v>281</v>
      </c>
      <c r="C11789" s="46">
        <v>1777</v>
      </c>
      <c r="D11789" s="69" t="s">
        <v>29418</v>
      </c>
      <c r="E11789" s="51"/>
      <c r="F11789" s="114" t="str">
        <f>IF(INDEX(I.Facility.P2bIDNumber,1777)="","",INDEX(I.Facility.P2bIDNumber,1777))</f>
        <v/>
      </c>
      <c r="G11789" s="51"/>
      <c r="H11789" s="46" t="str">
        <f>IF(AND(I.Developer.P2b=TRUE,I.Facility.P2bFacilityCount&gt;=1777,F11789=""),"Incomplete","Complete")</f>
        <v>Complete</v>
      </c>
      <c r="I11789" s="48" t="s">
        <v>16154</v>
      </c>
    </row>
    <row r="11790" spans="2:9" ht="15" customHeight="1" x14ac:dyDescent="0.25">
      <c r="B11790" s="55" t="s">
        <v>281</v>
      </c>
      <c r="C11790" s="46">
        <v>1778</v>
      </c>
      <c r="D11790" s="69" t="s">
        <v>29418</v>
      </c>
      <c r="E11790" s="51"/>
      <c r="F11790" s="114" t="str">
        <f>IF(INDEX(I.Facility.P2bIDNumber,1778)="","",INDEX(I.Facility.P2bIDNumber,1778))</f>
        <v/>
      </c>
      <c r="G11790" s="51"/>
      <c r="H11790" s="46" t="str">
        <f>IF(AND(I.Developer.P2b=TRUE,I.Facility.P2bFacilityCount&gt;=1778,F11790=""),"Incomplete","Complete")</f>
        <v>Complete</v>
      </c>
      <c r="I11790" s="48" t="s">
        <v>16155</v>
      </c>
    </row>
    <row r="11791" spans="2:9" ht="15" customHeight="1" x14ac:dyDescent="0.25">
      <c r="B11791" s="55" t="s">
        <v>281</v>
      </c>
      <c r="C11791" s="46">
        <v>1779</v>
      </c>
      <c r="D11791" s="69" t="s">
        <v>29418</v>
      </c>
      <c r="E11791" s="51"/>
      <c r="F11791" s="114" t="str">
        <f>IF(INDEX(I.Facility.P2bIDNumber,1779)="","",INDEX(I.Facility.P2bIDNumber,1779))</f>
        <v/>
      </c>
      <c r="G11791" s="51"/>
      <c r="H11791" s="46" t="str">
        <f>IF(AND(I.Developer.P2b=TRUE,I.Facility.P2bFacilityCount&gt;=1779,F11791=""),"Incomplete","Complete")</f>
        <v>Complete</v>
      </c>
      <c r="I11791" s="48" t="s">
        <v>16156</v>
      </c>
    </row>
    <row r="11792" spans="2:9" ht="15" customHeight="1" x14ac:dyDescent="0.25">
      <c r="B11792" s="55" t="s">
        <v>281</v>
      </c>
      <c r="C11792" s="46">
        <v>1780</v>
      </c>
      <c r="D11792" s="69" t="s">
        <v>29418</v>
      </c>
      <c r="E11792" s="51"/>
      <c r="F11792" s="114" t="str">
        <f>IF(INDEX(I.Facility.P2bIDNumber,1780)="","",INDEX(I.Facility.P2bIDNumber,1780))</f>
        <v/>
      </c>
      <c r="G11792" s="51"/>
      <c r="H11792" s="46" t="str">
        <f>IF(AND(I.Developer.P2b=TRUE,I.Facility.P2bFacilityCount&gt;=1780,F11792=""),"Incomplete","Complete")</f>
        <v>Complete</v>
      </c>
      <c r="I11792" s="48" t="s">
        <v>16157</v>
      </c>
    </row>
    <row r="11793" spans="2:9" ht="15" customHeight="1" x14ac:dyDescent="0.25">
      <c r="B11793" s="55" t="s">
        <v>281</v>
      </c>
      <c r="C11793" s="46">
        <v>1781</v>
      </c>
      <c r="D11793" s="69" t="s">
        <v>29418</v>
      </c>
      <c r="E11793" s="51"/>
      <c r="F11793" s="114" t="str">
        <f>IF(INDEX(I.Facility.P2bIDNumber,1781)="","",INDEX(I.Facility.P2bIDNumber,1781))</f>
        <v/>
      </c>
      <c r="G11793" s="51"/>
      <c r="H11793" s="46" t="str">
        <f>IF(AND(I.Developer.P2b=TRUE,I.Facility.P2bFacilityCount&gt;=1781,F11793=""),"Incomplete","Complete")</f>
        <v>Complete</v>
      </c>
      <c r="I11793" s="48" t="s">
        <v>16158</v>
      </c>
    </row>
    <row r="11794" spans="2:9" ht="15" customHeight="1" x14ac:dyDescent="0.25">
      <c r="B11794" s="55" t="s">
        <v>281</v>
      </c>
      <c r="C11794" s="46">
        <v>1782</v>
      </c>
      <c r="D11794" s="69" t="s">
        <v>29418</v>
      </c>
      <c r="E11794" s="51"/>
      <c r="F11794" s="114" t="str">
        <f>IF(INDEX(I.Facility.P2bIDNumber,1782)="","",INDEX(I.Facility.P2bIDNumber,1782))</f>
        <v/>
      </c>
      <c r="G11794" s="51"/>
      <c r="H11794" s="46" t="str">
        <f>IF(AND(I.Developer.P2b=TRUE,I.Facility.P2bFacilityCount&gt;=1782,F11794=""),"Incomplete","Complete")</f>
        <v>Complete</v>
      </c>
      <c r="I11794" s="48" t="s">
        <v>16159</v>
      </c>
    </row>
    <row r="11795" spans="2:9" ht="15" customHeight="1" x14ac:dyDescent="0.25">
      <c r="B11795" s="55" t="s">
        <v>281</v>
      </c>
      <c r="C11795" s="46">
        <v>1783</v>
      </c>
      <c r="D11795" s="69" t="s">
        <v>29418</v>
      </c>
      <c r="E11795" s="51"/>
      <c r="F11795" s="114" t="str">
        <f>IF(INDEX(I.Facility.P2bIDNumber,1783)="","",INDEX(I.Facility.P2bIDNumber,1783))</f>
        <v/>
      </c>
      <c r="G11795" s="51"/>
      <c r="H11795" s="46" t="str">
        <f>IF(AND(I.Developer.P2b=TRUE,I.Facility.P2bFacilityCount&gt;=1783,F11795=""),"Incomplete","Complete")</f>
        <v>Complete</v>
      </c>
      <c r="I11795" s="48" t="s">
        <v>16160</v>
      </c>
    </row>
    <row r="11796" spans="2:9" ht="15" customHeight="1" x14ac:dyDescent="0.25">
      <c r="B11796" s="55" t="s">
        <v>281</v>
      </c>
      <c r="C11796" s="46">
        <v>1784</v>
      </c>
      <c r="D11796" s="69" t="s">
        <v>29418</v>
      </c>
      <c r="E11796" s="51"/>
      <c r="F11796" s="114" t="str">
        <f>IF(INDEX(I.Facility.P2bIDNumber,1784)="","",INDEX(I.Facility.P2bIDNumber,1784))</f>
        <v/>
      </c>
      <c r="G11796" s="51"/>
      <c r="H11796" s="46" t="str">
        <f>IF(AND(I.Developer.P2b=TRUE,I.Facility.P2bFacilityCount&gt;=1784,F11796=""),"Incomplete","Complete")</f>
        <v>Complete</v>
      </c>
      <c r="I11796" s="48" t="s">
        <v>16161</v>
      </c>
    </row>
    <row r="11797" spans="2:9" ht="15" customHeight="1" x14ac:dyDescent="0.25">
      <c r="B11797" s="55" t="s">
        <v>281</v>
      </c>
      <c r="C11797" s="46">
        <v>1785</v>
      </c>
      <c r="D11797" s="69" t="s">
        <v>29418</v>
      </c>
      <c r="E11797" s="51"/>
      <c r="F11797" s="114" t="str">
        <f>IF(INDEX(I.Facility.P2bIDNumber,1785)="","",INDEX(I.Facility.P2bIDNumber,1785))</f>
        <v/>
      </c>
      <c r="G11797" s="51"/>
      <c r="H11797" s="46" t="str">
        <f>IF(AND(I.Developer.P2b=TRUE,I.Facility.P2bFacilityCount&gt;=1785,F11797=""),"Incomplete","Complete")</f>
        <v>Complete</v>
      </c>
      <c r="I11797" s="48" t="s">
        <v>16162</v>
      </c>
    </row>
    <row r="11798" spans="2:9" ht="15" customHeight="1" x14ac:dyDescent="0.25">
      <c r="B11798" s="55" t="s">
        <v>281</v>
      </c>
      <c r="C11798" s="46">
        <v>1786</v>
      </c>
      <c r="D11798" s="69" t="s">
        <v>29418</v>
      </c>
      <c r="E11798" s="51"/>
      <c r="F11798" s="114" t="str">
        <f>IF(INDEX(I.Facility.P2bIDNumber,1786)="","",INDEX(I.Facility.P2bIDNumber,1786))</f>
        <v/>
      </c>
      <c r="G11798" s="51"/>
      <c r="H11798" s="46" t="str">
        <f>IF(AND(I.Developer.P2b=TRUE,I.Facility.P2bFacilityCount&gt;=1786,F11798=""),"Incomplete","Complete")</f>
        <v>Complete</v>
      </c>
      <c r="I11798" s="48" t="s">
        <v>16163</v>
      </c>
    </row>
    <row r="11799" spans="2:9" ht="15" customHeight="1" x14ac:dyDescent="0.25">
      <c r="B11799" s="55" t="s">
        <v>281</v>
      </c>
      <c r="C11799" s="46">
        <v>1787</v>
      </c>
      <c r="D11799" s="69" t="s">
        <v>29418</v>
      </c>
      <c r="E11799" s="51"/>
      <c r="F11799" s="114" t="str">
        <f>IF(INDEX(I.Facility.P2bIDNumber,1787)="","",INDEX(I.Facility.P2bIDNumber,1787))</f>
        <v/>
      </c>
      <c r="G11799" s="51"/>
      <c r="H11799" s="46" t="str">
        <f>IF(AND(I.Developer.P2b=TRUE,I.Facility.P2bFacilityCount&gt;=1787,F11799=""),"Incomplete","Complete")</f>
        <v>Complete</v>
      </c>
      <c r="I11799" s="48" t="s">
        <v>16164</v>
      </c>
    </row>
    <row r="11800" spans="2:9" ht="15" customHeight="1" x14ac:dyDescent="0.25">
      <c r="B11800" s="55" t="s">
        <v>281</v>
      </c>
      <c r="C11800" s="46">
        <v>1788</v>
      </c>
      <c r="D11800" s="69" t="s">
        <v>29418</v>
      </c>
      <c r="E11800" s="51"/>
      <c r="F11800" s="114" t="str">
        <f>IF(INDEX(I.Facility.P2bIDNumber,1788)="","",INDEX(I.Facility.P2bIDNumber,1788))</f>
        <v/>
      </c>
      <c r="G11800" s="51"/>
      <c r="H11800" s="46" t="str">
        <f>IF(AND(I.Developer.P2b=TRUE,I.Facility.P2bFacilityCount&gt;=1788,F11800=""),"Incomplete","Complete")</f>
        <v>Complete</v>
      </c>
      <c r="I11800" s="48" t="s">
        <v>16165</v>
      </c>
    </row>
    <row r="11801" spans="2:9" ht="15" customHeight="1" x14ac:dyDescent="0.25">
      <c r="B11801" s="55" t="s">
        <v>281</v>
      </c>
      <c r="C11801" s="46">
        <v>1789</v>
      </c>
      <c r="D11801" s="69" t="s">
        <v>29418</v>
      </c>
      <c r="E11801" s="51"/>
      <c r="F11801" s="114" t="str">
        <f>IF(INDEX(I.Facility.P2bIDNumber,1789)="","",INDEX(I.Facility.P2bIDNumber,1789))</f>
        <v/>
      </c>
      <c r="G11801" s="51"/>
      <c r="H11801" s="46" t="str">
        <f>IF(AND(I.Developer.P2b=TRUE,I.Facility.P2bFacilityCount&gt;=1789,F11801=""),"Incomplete","Complete")</f>
        <v>Complete</v>
      </c>
      <c r="I11801" s="48" t="s">
        <v>16166</v>
      </c>
    </row>
    <row r="11802" spans="2:9" ht="15" customHeight="1" x14ac:dyDescent="0.25">
      <c r="B11802" s="55" t="s">
        <v>281</v>
      </c>
      <c r="C11802" s="46">
        <v>1790</v>
      </c>
      <c r="D11802" s="69" t="s">
        <v>29418</v>
      </c>
      <c r="E11802" s="51"/>
      <c r="F11802" s="114" t="str">
        <f>IF(INDEX(I.Facility.P2bIDNumber,1790)="","",INDEX(I.Facility.P2bIDNumber,1790))</f>
        <v/>
      </c>
      <c r="G11802" s="51"/>
      <c r="H11802" s="46" t="str">
        <f>IF(AND(I.Developer.P2b=TRUE,I.Facility.P2bFacilityCount&gt;=1790,F11802=""),"Incomplete","Complete")</f>
        <v>Complete</v>
      </c>
      <c r="I11802" s="48" t="s">
        <v>16167</v>
      </c>
    </row>
    <row r="11803" spans="2:9" ht="15" customHeight="1" x14ac:dyDescent="0.25">
      <c r="B11803" s="55" t="s">
        <v>281</v>
      </c>
      <c r="C11803" s="46">
        <v>1791</v>
      </c>
      <c r="D11803" s="69" t="s">
        <v>29418</v>
      </c>
      <c r="E11803" s="51"/>
      <c r="F11803" s="114" t="str">
        <f>IF(INDEX(I.Facility.P2bIDNumber,1791)="","",INDEX(I.Facility.P2bIDNumber,1791))</f>
        <v/>
      </c>
      <c r="G11803" s="51"/>
      <c r="H11803" s="46" t="str">
        <f>IF(AND(I.Developer.P2b=TRUE,I.Facility.P2bFacilityCount&gt;=1791,F11803=""),"Incomplete","Complete")</f>
        <v>Complete</v>
      </c>
      <c r="I11803" s="48" t="s">
        <v>16168</v>
      </c>
    </row>
    <row r="11804" spans="2:9" ht="15" customHeight="1" x14ac:dyDescent="0.25">
      <c r="B11804" s="55" t="s">
        <v>281</v>
      </c>
      <c r="C11804" s="46">
        <v>1792</v>
      </c>
      <c r="D11804" s="69" t="s">
        <v>29418</v>
      </c>
      <c r="E11804" s="51"/>
      <c r="F11804" s="114" t="str">
        <f>IF(INDEX(I.Facility.P2bIDNumber,1792)="","",INDEX(I.Facility.P2bIDNumber,1792))</f>
        <v/>
      </c>
      <c r="G11804" s="51"/>
      <c r="H11804" s="46" t="str">
        <f>IF(AND(I.Developer.P2b=TRUE,I.Facility.P2bFacilityCount&gt;=1792,F11804=""),"Incomplete","Complete")</f>
        <v>Complete</v>
      </c>
      <c r="I11804" s="48" t="s">
        <v>16169</v>
      </c>
    </row>
    <row r="11805" spans="2:9" ht="15" customHeight="1" x14ac:dyDescent="0.25">
      <c r="B11805" s="55" t="s">
        <v>281</v>
      </c>
      <c r="C11805" s="46">
        <v>1793</v>
      </c>
      <c r="D11805" s="69" t="s">
        <v>29418</v>
      </c>
      <c r="E11805" s="51"/>
      <c r="F11805" s="114" t="str">
        <f>IF(INDEX(I.Facility.P2bIDNumber,1793)="","",INDEX(I.Facility.P2bIDNumber,1793))</f>
        <v/>
      </c>
      <c r="G11805" s="51"/>
      <c r="H11805" s="46" t="str">
        <f>IF(AND(I.Developer.P2b=TRUE,I.Facility.P2bFacilityCount&gt;=1793,F11805=""),"Incomplete","Complete")</f>
        <v>Complete</v>
      </c>
      <c r="I11805" s="48" t="s">
        <v>16170</v>
      </c>
    </row>
    <row r="11806" spans="2:9" ht="15" customHeight="1" x14ac:dyDescent="0.25">
      <c r="B11806" s="55" t="s">
        <v>281</v>
      </c>
      <c r="C11806" s="46">
        <v>1794</v>
      </c>
      <c r="D11806" s="69" t="s">
        <v>29418</v>
      </c>
      <c r="E11806" s="51"/>
      <c r="F11806" s="114" t="str">
        <f>IF(INDEX(I.Facility.P2bIDNumber,1794)="","",INDEX(I.Facility.P2bIDNumber,1794))</f>
        <v/>
      </c>
      <c r="G11806" s="51"/>
      <c r="H11806" s="46" t="str">
        <f>IF(AND(I.Developer.P2b=TRUE,I.Facility.P2bFacilityCount&gt;=1794,F11806=""),"Incomplete","Complete")</f>
        <v>Complete</v>
      </c>
      <c r="I11806" s="48" t="s">
        <v>16171</v>
      </c>
    </row>
    <row r="11807" spans="2:9" ht="15" customHeight="1" x14ac:dyDescent="0.25">
      <c r="B11807" s="55" t="s">
        <v>281</v>
      </c>
      <c r="C11807" s="46">
        <v>1795</v>
      </c>
      <c r="D11807" s="69" t="s">
        <v>29418</v>
      </c>
      <c r="E11807" s="51"/>
      <c r="F11807" s="114" t="str">
        <f>IF(INDEX(I.Facility.P2bIDNumber,1795)="","",INDEX(I.Facility.P2bIDNumber,1795))</f>
        <v/>
      </c>
      <c r="G11807" s="51"/>
      <c r="H11807" s="46" t="str">
        <f>IF(AND(I.Developer.P2b=TRUE,I.Facility.P2bFacilityCount&gt;=1795,F11807=""),"Incomplete","Complete")</f>
        <v>Complete</v>
      </c>
      <c r="I11807" s="48" t="s">
        <v>16172</v>
      </c>
    </row>
    <row r="11808" spans="2:9" ht="15" customHeight="1" x14ac:dyDescent="0.25">
      <c r="B11808" s="55" t="s">
        <v>281</v>
      </c>
      <c r="C11808" s="46">
        <v>1796</v>
      </c>
      <c r="D11808" s="69" t="s">
        <v>29418</v>
      </c>
      <c r="E11808" s="51"/>
      <c r="F11808" s="114" t="str">
        <f>IF(INDEX(I.Facility.P2bIDNumber,1796)="","",INDEX(I.Facility.P2bIDNumber,1796))</f>
        <v/>
      </c>
      <c r="G11808" s="51"/>
      <c r="H11808" s="46" t="str">
        <f>IF(AND(I.Developer.P2b=TRUE,I.Facility.P2bFacilityCount&gt;=1796,F11808=""),"Incomplete","Complete")</f>
        <v>Complete</v>
      </c>
      <c r="I11808" s="48" t="s">
        <v>16173</v>
      </c>
    </row>
    <row r="11809" spans="2:9" ht="15" customHeight="1" x14ac:dyDescent="0.25">
      <c r="B11809" s="55" t="s">
        <v>281</v>
      </c>
      <c r="C11809" s="46">
        <v>1797</v>
      </c>
      <c r="D11809" s="69" t="s">
        <v>29418</v>
      </c>
      <c r="E11809" s="51"/>
      <c r="F11809" s="114" t="str">
        <f>IF(INDEX(I.Facility.P2bIDNumber,1797)="","",INDEX(I.Facility.P2bIDNumber,1797))</f>
        <v/>
      </c>
      <c r="G11809" s="51"/>
      <c r="H11809" s="46" t="str">
        <f>IF(AND(I.Developer.P2b=TRUE,I.Facility.P2bFacilityCount&gt;=1797,F11809=""),"Incomplete","Complete")</f>
        <v>Complete</v>
      </c>
      <c r="I11809" s="48" t="s">
        <v>16174</v>
      </c>
    </row>
    <row r="11810" spans="2:9" ht="15" customHeight="1" x14ac:dyDescent="0.25">
      <c r="B11810" s="55" t="s">
        <v>281</v>
      </c>
      <c r="C11810" s="46">
        <v>1798</v>
      </c>
      <c r="D11810" s="69" t="s">
        <v>29418</v>
      </c>
      <c r="E11810" s="51"/>
      <c r="F11810" s="114" t="str">
        <f>IF(INDEX(I.Facility.P2bIDNumber,1798)="","",INDEX(I.Facility.P2bIDNumber,1798))</f>
        <v/>
      </c>
      <c r="G11810" s="51"/>
      <c r="H11810" s="46" t="str">
        <f>IF(AND(I.Developer.P2b=TRUE,I.Facility.P2bFacilityCount&gt;=1798,F11810=""),"Incomplete","Complete")</f>
        <v>Complete</v>
      </c>
      <c r="I11810" s="48" t="s">
        <v>16175</v>
      </c>
    </row>
    <row r="11811" spans="2:9" ht="15" customHeight="1" x14ac:dyDescent="0.25">
      <c r="B11811" s="55" t="s">
        <v>281</v>
      </c>
      <c r="C11811" s="46">
        <v>1799</v>
      </c>
      <c r="D11811" s="69" t="s">
        <v>29418</v>
      </c>
      <c r="E11811" s="51"/>
      <c r="F11811" s="114" t="str">
        <f>IF(INDEX(I.Facility.P2bIDNumber,1799)="","",INDEX(I.Facility.P2bIDNumber,1799))</f>
        <v/>
      </c>
      <c r="G11811" s="51"/>
      <c r="H11811" s="46" t="str">
        <f>IF(AND(I.Developer.P2b=TRUE,I.Facility.P2bFacilityCount&gt;=1799,F11811=""),"Incomplete","Complete")</f>
        <v>Complete</v>
      </c>
      <c r="I11811" s="48" t="s">
        <v>16176</v>
      </c>
    </row>
    <row r="11812" spans="2:9" ht="15" customHeight="1" x14ac:dyDescent="0.25">
      <c r="B11812" s="55" t="s">
        <v>281</v>
      </c>
      <c r="C11812" s="46">
        <v>1800</v>
      </c>
      <c r="D11812" s="69" t="s">
        <v>29418</v>
      </c>
      <c r="E11812" s="51"/>
      <c r="F11812" s="114" t="str">
        <f>IF(INDEX(I.Facility.P2bIDNumber,1800)="","",INDEX(I.Facility.P2bIDNumber,1800))</f>
        <v/>
      </c>
      <c r="G11812" s="51"/>
      <c r="H11812" s="46" t="str">
        <f>IF(AND(I.Developer.P2b=TRUE,I.Facility.P2bFacilityCount&gt;=1800,F11812=""),"Incomplete","Complete")</f>
        <v>Complete</v>
      </c>
      <c r="I11812" s="48" t="s">
        <v>16177</v>
      </c>
    </row>
    <row r="11813" spans="2:9" ht="15" customHeight="1" x14ac:dyDescent="0.25">
      <c r="B11813" s="55" t="s">
        <v>281</v>
      </c>
      <c r="C11813" s="46">
        <v>1801</v>
      </c>
      <c r="D11813" s="69" t="s">
        <v>29418</v>
      </c>
      <c r="E11813" s="51"/>
      <c r="F11813" s="114" t="str">
        <f>IF(INDEX(I.Facility.P2bIDNumber,1801)="","",INDEX(I.Facility.P2bIDNumber,1801))</f>
        <v/>
      </c>
      <c r="G11813" s="51"/>
      <c r="H11813" s="46" t="str">
        <f>IF(AND(I.Developer.P2b=TRUE,I.Facility.P2bFacilityCount&gt;=1801,F11813=""),"Incomplete","Complete")</f>
        <v>Complete</v>
      </c>
      <c r="I11813" s="48" t="s">
        <v>16178</v>
      </c>
    </row>
    <row r="11814" spans="2:9" ht="15" customHeight="1" x14ac:dyDescent="0.25">
      <c r="B11814" s="55" t="s">
        <v>281</v>
      </c>
      <c r="C11814" s="46">
        <v>1802</v>
      </c>
      <c r="D11814" s="69" t="s">
        <v>29418</v>
      </c>
      <c r="E11814" s="51"/>
      <c r="F11814" s="114" t="str">
        <f>IF(INDEX(I.Facility.P2bIDNumber,1802)="","",INDEX(I.Facility.P2bIDNumber,1802))</f>
        <v/>
      </c>
      <c r="G11814" s="51"/>
      <c r="H11814" s="46" t="str">
        <f>IF(AND(I.Developer.P2b=TRUE,I.Facility.P2bFacilityCount&gt;=1802,F11814=""),"Incomplete","Complete")</f>
        <v>Complete</v>
      </c>
      <c r="I11814" s="48" t="s">
        <v>16179</v>
      </c>
    </row>
    <row r="11815" spans="2:9" ht="15" customHeight="1" x14ac:dyDescent="0.25">
      <c r="B11815" s="55" t="s">
        <v>281</v>
      </c>
      <c r="C11815" s="46">
        <v>1803</v>
      </c>
      <c r="D11815" s="69" t="s">
        <v>29418</v>
      </c>
      <c r="E11815" s="51"/>
      <c r="F11815" s="114" t="str">
        <f>IF(INDEX(I.Facility.P2bIDNumber,1803)="","",INDEX(I.Facility.P2bIDNumber,1803))</f>
        <v/>
      </c>
      <c r="G11815" s="51"/>
      <c r="H11815" s="46" t="str">
        <f>IF(AND(I.Developer.P2b=TRUE,I.Facility.P2bFacilityCount&gt;=1803,F11815=""),"Incomplete","Complete")</f>
        <v>Complete</v>
      </c>
      <c r="I11815" s="48" t="s">
        <v>16180</v>
      </c>
    </row>
    <row r="11816" spans="2:9" ht="15" customHeight="1" x14ac:dyDescent="0.25">
      <c r="B11816" s="55" t="s">
        <v>281</v>
      </c>
      <c r="C11816" s="46">
        <v>1804</v>
      </c>
      <c r="D11816" s="69" t="s">
        <v>29418</v>
      </c>
      <c r="E11816" s="51"/>
      <c r="F11816" s="114" t="str">
        <f>IF(INDEX(I.Facility.P2bIDNumber,1804)="","",INDEX(I.Facility.P2bIDNumber,1804))</f>
        <v/>
      </c>
      <c r="G11816" s="51"/>
      <c r="H11816" s="46" t="str">
        <f>IF(AND(I.Developer.P2b=TRUE,I.Facility.P2bFacilityCount&gt;=1804,F11816=""),"Incomplete","Complete")</f>
        <v>Complete</v>
      </c>
      <c r="I11816" s="48" t="s">
        <v>16181</v>
      </c>
    </row>
    <row r="11817" spans="2:9" ht="15" customHeight="1" x14ac:dyDescent="0.25">
      <c r="B11817" s="55" t="s">
        <v>281</v>
      </c>
      <c r="C11817" s="46">
        <v>1805</v>
      </c>
      <c r="D11817" s="69" t="s">
        <v>29418</v>
      </c>
      <c r="E11817" s="51"/>
      <c r="F11817" s="114" t="str">
        <f>IF(INDEX(I.Facility.P2bIDNumber,1805)="","",INDEX(I.Facility.P2bIDNumber,1805))</f>
        <v/>
      </c>
      <c r="G11817" s="51"/>
      <c r="H11817" s="46" t="str">
        <f>IF(AND(I.Developer.P2b=TRUE,I.Facility.P2bFacilityCount&gt;=1805,F11817=""),"Incomplete","Complete")</f>
        <v>Complete</v>
      </c>
      <c r="I11817" s="48" t="s">
        <v>16182</v>
      </c>
    </row>
    <row r="11818" spans="2:9" ht="15" customHeight="1" x14ac:dyDescent="0.25">
      <c r="B11818" s="55" t="s">
        <v>281</v>
      </c>
      <c r="C11818" s="46">
        <v>1806</v>
      </c>
      <c r="D11818" s="69" t="s">
        <v>29418</v>
      </c>
      <c r="E11818" s="51"/>
      <c r="F11818" s="114" t="str">
        <f>IF(INDEX(I.Facility.P2bIDNumber,1806)="","",INDEX(I.Facility.P2bIDNumber,1806))</f>
        <v/>
      </c>
      <c r="G11818" s="51"/>
      <c r="H11818" s="46" t="str">
        <f>IF(AND(I.Developer.P2b=TRUE,I.Facility.P2bFacilityCount&gt;=1806,F11818=""),"Incomplete","Complete")</f>
        <v>Complete</v>
      </c>
      <c r="I11818" s="48" t="s">
        <v>16183</v>
      </c>
    </row>
    <row r="11819" spans="2:9" ht="15" customHeight="1" x14ac:dyDescent="0.25">
      <c r="B11819" s="55" t="s">
        <v>281</v>
      </c>
      <c r="C11819" s="46">
        <v>1807</v>
      </c>
      <c r="D11819" s="69" t="s">
        <v>29418</v>
      </c>
      <c r="E11819" s="51"/>
      <c r="F11819" s="114" t="str">
        <f>IF(INDEX(I.Facility.P2bIDNumber,1807)="","",INDEX(I.Facility.P2bIDNumber,1807))</f>
        <v/>
      </c>
      <c r="G11819" s="51"/>
      <c r="H11819" s="46" t="str">
        <f>IF(AND(I.Developer.P2b=TRUE,I.Facility.P2bFacilityCount&gt;=1807,F11819=""),"Incomplete","Complete")</f>
        <v>Complete</v>
      </c>
      <c r="I11819" s="48" t="s">
        <v>16184</v>
      </c>
    </row>
    <row r="11820" spans="2:9" ht="15" customHeight="1" x14ac:dyDescent="0.25">
      <c r="B11820" s="55" t="s">
        <v>281</v>
      </c>
      <c r="C11820" s="46">
        <v>1808</v>
      </c>
      <c r="D11820" s="69" t="s">
        <v>29418</v>
      </c>
      <c r="E11820" s="51"/>
      <c r="F11820" s="114" t="str">
        <f>IF(INDEX(I.Facility.P2bIDNumber,1808)="","",INDEX(I.Facility.P2bIDNumber,1808))</f>
        <v/>
      </c>
      <c r="G11820" s="51"/>
      <c r="H11820" s="46" t="str">
        <f>IF(AND(I.Developer.P2b=TRUE,I.Facility.P2bFacilityCount&gt;=1808,F11820=""),"Incomplete","Complete")</f>
        <v>Complete</v>
      </c>
      <c r="I11820" s="48" t="s">
        <v>16185</v>
      </c>
    </row>
    <row r="11821" spans="2:9" ht="15" customHeight="1" x14ac:dyDescent="0.25">
      <c r="B11821" s="55" t="s">
        <v>281</v>
      </c>
      <c r="C11821" s="46">
        <v>1809</v>
      </c>
      <c r="D11821" s="69" t="s">
        <v>29418</v>
      </c>
      <c r="E11821" s="51"/>
      <c r="F11821" s="114" t="str">
        <f>IF(INDEX(I.Facility.P2bIDNumber,1809)="","",INDEX(I.Facility.P2bIDNumber,1809))</f>
        <v/>
      </c>
      <c r="G11821" s="51"/>
      <c r="H11821" s="46" t="str">
        <f>IF(AND(I.Developer.P2b=TRUE,I.Facility.P2bFacilityCount&gt;=1809,F11821=""),"Incomplete","Complete")</f>
        <v>Complete</v>
      </c>
      <c r="I11821" s="48" t="s">
        <v>16186</v>
      </c>
    </row>
    <row r="11822" spans="2:9" ht="15" customHeight="1" x14ac:dyDescent="0.25">
      <c r="B11822" s="55" t="s">
        <v>281</v>
      </c>
      <c r="C11822" s="46">
        <v>1810</v>
      </c>
      <c r="D11822" s="69" t="s">
        <v>29418</v>
      </c>
      <c r="E11822" s="51"/>
      <c r="F11822" s="114" t="str">
        <f>IF(INDEX(I.Facility.P2bIDNumber,1810)="","",INDEX(I.Facility.P2bIDNumber,1810))</f>
        <v/>
      </c>
      <c r="G11822" s="51"/>
      <c r="H11822" s="46" t="str">
        <f>IF(AND(I.Developer.P2b=TRUE,I.Facility.P2bFacilityCount&gt;=1810,F11822=""),"Incomplete","Complete")</f>
        <v>Complete</v>
      </c>
      <c r="I11822" s="48" t="s">
        <v>16187</v>
      </c>
    </row>
    <row r="11823" spans="2:9" ht="15" customHeight="1" x14ac:dyDescent="0.25">
      <c r="B11823" s="55" t="s">
        <v>281</v>
      </c>
      <c r="C11823" s="46">
        <v>1811</v>
      </c>
      <c r="D11823" s="69" t="s">
        <v>29418</v>
      </c>
      <c r="E11823" s="51"/>
      <c r="F11823" s="114" t="str">
        <f>IF(INDEX(I.Facility.P2bIDNumber,1811)="","",INDEX(I.Facility.P2bIDNumber,1811))</f>
        <v/>
      </c>
      <c r="G11823" s="51"/>
      <c r="H11823" s="46" t="str">
        <f>IF(AND(I.Developer.P2b=TRUE,I.Facility.P2bFacilityCount&gt;=1811,F11823=""),"Incomplete","Complete")</f>
        <v>Complete</v>
      </c>
      <c r="I11823" s="48" t="s">
        <v>16188</v>
      </c>
    </row>
    <row r="11824" spans="2:9" ht="15" customHeight="1" x14ac:dyDescent="0.25">
      <c r="B11824" s="55" t="s">
        <v>281</v>
      </c>
      <c r="C11824" s="46">
        <v>1812</v>
      </c>
      <c r="D11824" s="69" t="s">
        <v>29418</v>
      </c>
      <c r="E11824" s="51"/>
      <c r="F11824" s="114" t="str">
        <f>IF(INDEX(I.Facility.P2bIDNumber,1812)="","",INDEX(I.Facility.P2bIDNumber,1812))</f>
        <v/>
      </c>
      <c r="G11824" s="51"/>
      <c r="H11824" s="46" t="str">
        <f>IF(AND(I.Developer.P2b=TRUE,I.Facility.P2bFacilityCount&gt;=1812,F11824=""),"Incomplete","Complete")</f>
        <v>Complete</v>
      </c>
      <c r="I11824" s="48" t="s">
        <v>16189</v>
      </c>
    </row>
    <row r="11825" spans="2:9" ht="15" customHeight="1" x14ac:dyDescent="0.25">
      <c r="B11825" s="55" t="s">
        <v>281</v>
      </c>
      <c r="C11825" s="46">
        <v>1813</v>
      </c>
      <c r="D11825" s="69" t="s">
        <v>29418</v>
      </c>
      <c r="E11825" s="51"/>
      <c r="F11825" s="114" t="str">
        <f>IF(INDEX(I.Facility.P2bIDNumber,1813)="","",INDEX(I.Facility.P2bIDNumber,1813))</f>
        <v/>
      </c>
      <c r="G11825" s="51"/>
      <c r="H11825" s="46" t="str">
        <f>IF(AND(I.Developer.P2b=TRUE,I.Facility.P2bFacilityCount&gt;=1813,F11825=""),"Incomplete","Complete")</f>
        <v>Complete</v>
      </c>
      <c r="I11825" s="48" t="s">
        <v>16190</v>
      </c>
    </row>
    <row r="11826" spans="2:9" ht="15" customHeight="1" x14ac:dyDescent="0.25">
      <c r="B11826" s="55" t="s">
        <v>281</v>
      </c>
      <c r="C11826" s="46">
        <v>1814</v>
      </c>
      <c r="D11826" s="69" t="s">
        <v>29418</v>
      </c>
      <c r="E11826" s="51"/>
      <c r="F11826" s="114" t="str">
        <f>IF(INDEX(I.Facility.P2bIDNumber,1814)="","",INDEX(I.Facility.P2bIDNumber,1814))</f>
        <v/>
      </c>
      <c r="G11826" s="51"/>
      <c r="H11826" s="46" t="str">
        <f>IF(AND(I.Developer.P2b=TRUE,I.Facility.P2bFacilityCount&gt;=1814,F11826=""),"Incomplete","Complete")</f>
        <v>Complete</v>
      </c>
      <c r="I11826" s="48" t="s">
        <v>16191</v>
      </c>
    </row>
    <row r="11827" spans="2:9" ht="15" customHeight="1" x14ac:dyDescent="0.25">
      <c r="B11827" s="55" t="s">
        <v>281</v>
      </c>
      <c r="C11827" s="46">
        <v>1815</v>
      </c>
      <c r="D11827" s="69" t="s">
        <v>29418</v>
      </c>
      <c r="E11827" s="51"/>
      <c r="F11827" s="114" t="str">
        <f>IF(INDEX(I.Facility.P2bIDNumber,1815)="","",INDEX(I.Facility.P2bIDNumber,1815))</f>
        <v/>
      </c>
      <c r="G11827" s="51"/>
      <c r="H11827" s="46" t="str">
        <f>IF(AND(I.Developer.P2b=TRUE,I.Facility.P2bFacilityCount&gt;=1815,F11827=""),"Incomplete","Complete")</f>
        <v>Complete</v>
      </c>
      <c r="I11827" s="48" t="s">
        <v>16192</v>
      </c>
    </row>
    <row r="11828" spans="2:9" ht="15" customHeight="1" x14ac:dyDescent="0.25">
      <c r="B11828" s="55" t="s">
        <v>281</v>
      </c>
      <c r="C11828" s="46">
        <v>1816</v>
      </c>
      <c r="D11828" s="69" t="s">
        <v>29418</v>
      </c>
      <c r="E11828" s="51"/>
      <c r="F11828" s="114" t="str">
        <f>IF(INDEX(I.Facility.P2bIDNumber,1816)="","",INDEX(I.Facility.P2bIDNumber,1816))</f>
        <v/>
      </c>
      <c r="G11828" s="51"/>
      <c r="H11828" s="46" t="str">
        <f>IF(AND(I.Developer.P2b=TRUE,I.Facility.P2bFacilityCount&gt;=1816,F11828=""),"Incomplete","Complete")</f>
        <v>Complete</v>
      </c>
      <c r="I11828" s="48" t="s">
        <v>16193</v>
      </c>
    </row>
    <row r="11829" spans="2:9" ht="15" customHeight="1" x14ac:dyDescent="0.25">
      <c r="B11829" s="55" t="s">
        <v>281</v>
      </c>
      <c r="C11829" s="46">
        <v>1817</v>
      </c>
      <c r="D11829" s="69" t="s">
        <v>29418</v>
      </c>
      <c r="E11829" s="51"/>
      <c r="F11829" s="114" t="str">
        <f>IF(INDEX(I.Facility.P2bIDNumber,1817)="","",INDEX(I.Facility.P2bIDNumber,1817))</f>
        <v/>
      </c>
      <c r="G11829" s="51"/>
      <c r="H11829" s="46" t="str">
        <f>IF(AND(I.Developer.P2b=TRUE,I.Facility.P2bFacilityCount&gt;=1817,F11829=""),"Incomplete","Complete")</f>
        <v>Complete</v>
      </c>
      <c r="I11829" s="48" t="s">
        <v>16194</v>
      </c>
    </row>
    <row r="11830" spans="2:9" ht="15" customHeight="1" x14ac:dyDescent="0.25">
      <c r="B11830" s="55" t="s">
        <v>281</v>
      </c>
      <c r="C11830" s="46">
        <v>1818</v>
      </c>
      <c r="D11830" s="69" t="s">
        <v>29418</v>
      </c>
      <c r="E11830" s="51"/>
      <c r="F11830" s="114" t="str">
        <f>IF(INDEX(I.Facility.P2bIDNumber,1818)="","",INDEX(I.Facility.P2bIDNumber,1818))</f>
        <v/>
      </c>
      <c r="G11830" s="51"/>
      <c r="H11830" s="46" t="str">
        <f>IF(AND(I.Developer.P2b=TRUE,I.Facility.P2bFacilityCount&gt;=1818,F11830=""),"Incomplete","Complete")</f>
        <v>Complete</v>
      </c>
      <c r="I11830" s="48" t="s">
        <v>16195</v>
      </c>
    </row>
    <row r="11831" spans="2:9" ht="15" customHeight="1" x14ac:dyDescent="0.25">
      <c r="B11831" s="55" t="s">
        <v>281</v>
      </c>
      <c r="C11831" s="46">
        <v>1819</v>
      </c>
      <c r="D11831" s="69" t="s">
        <v>29418</v>
      </c>
      <c r="E11831" s="51"/>
      <c r="F11831" s="114" t="str">
        <f>IF(INDEX(I.Facility.P2bIDNumber,1819)="","",INDEX(I.Facility.P2bIDNumber,1819))</f>
        <v/>
      </c>
      <c r="G11831" s="51"/>
      <c r="H11831" s="46" t="str">
        <f>IF(AND(I.Developer.P2b=TRUE,I.Facility.P2bFacilityCount&gt;=1819,F11831=""),"Incomplete","Complete")</f>
        <v>Complete</v>
      </c>
      <c r="I11831" s="48" t="s">
        <v>16196</v>
      </c>
    </row>
    <row r="11832" spans="2:9" ht="15" customHeight="1" x14ac:dyDescent="0.25">
      <c r="B11832" s="55" t="s">
        <v>281</v>
      </c>
      <c r="C11832" s="46">
        <v>1820</v>
      </c>
      <c r="D11832" s="69" t="s">
        <v>29418</v>
      </c>
      <c r="E11832" s="51"/>
      <c r="F11832" s="114" t="str">
        <f>IF(INDEX(I.Facility.P2bIDNumber,1820)="","",INDEX(I.Facility.P2bIDNumber,1820))</f>
        <v/>
      </c>
      <c r="G11832" s="51"/>
      <c r="H11832" s="46" t="str">
        <f>IF(AND(I.Developer.P2b=TRUE,I.Facility.P2bFacilityCount&gt;=1820,F11832=""),"Incomplete","Complete")</f>
        <v>Complete</v>
      </c>
      <c r="I11832" s="48" t="s">
        <v>16197</v>
      </c>
    </row>
    <row r="11833" spans="2:9" ht="15" customHeight="1" x14ac:dyDescent="0.25">
      <c r="B11833" s="55" t="s">
        <v>281</v>
      </c>
      <c r="C11833" s="46">
        <v>1821</v>
      </c>
      <c r="D11833" s="69" t="s">
        <v>29418</v>
      </c>
      <c r="E11833" s="51"/>
      <c r="F11833" s="114" t="str">
        <f>IF(INDEX(I.Facility.P2bIDNumber,1821)="","",INDEX(I.Facility.P2bIDNumber,1821))</f>
        <v/>
      </c>
      <c r="G11833" s="51"/>
      <c r="H11833" s="46" t="str">
        <f>IF(AND(I.Developer.P2b=TRUE,I.Facility.P2bFacilityCount&gt;=1821,F11833=""),"Incomplete","Complete")</f>
        <v>Complete</v>
      </c>
      <c r="I11833" s="48" t="s">
        <v>16198</v>
      </c>
    </row>
    <row r="11834" spans="2:9" ht="15" customHeight="1" x14ac:dyDescent="0.25">
      <c r="B11834" s="55" t="s">
        <v>281</v>
      </c>
      <c r="C11834" s="46">
        <v>1822</v>
      </c>
      <c r="D11834" s="69" t="s">
        <v>29418</v>
      </c>
      <c r="E11834" s="51"/>
      <c r="F11834" s="114" t="str">
        <f>IF(INDEX(I.Facility.P2bIDNumber,1822)="","",INDEX(I.Facility.P2bIDNumber,1822))</f>
        <v/>
      </c>
      <c r="G11834" s="51"/>
      <c r="H11834" s="46" t="str">
        <f>IF(AND(I.Developer.P2b=TRUE,I.Facility.P2bFacilityCount&gt;=1822,F11834=""),"Incomplete","Complete")</f>
        <v>Complete</v>
      </c>
      <c r="I11834" s="48" t="s">
        <v>16199</v>
      </c>
    </row>
    <row r="11835" spans="2:9" ht="15" customHeight="1" x14ac:dyDescent="0.25">
      <c r="B11835" s="55" t="s">
        <v>281</v>
      </c>
      <c r="C11835" s="46">
        <v>1823</v>
      </c>
      <c r="D11835" s="69" t="s">
        <v>29418</v>
      </c>
      <c r="E11835" s="51"/>
      <c r="F11835" s="114" t="str">
        <f>IF(INDEX(I.Facility.P2bIDNumber,1823)="","",INDEX(I.Facility.P2bIDNumber,1823))</f>
        <v/>
      </c>
      <c r="G11835" s="51"/>
      <c r="H11835" s="46" t="str">
        <f>IF(AND(I.Developer.P2b=TRUE,I.Facility.P2bFacilityCount&gt;=1823,F11835=""),"Incomplete","Complete")</f>
        <v>Complete</v>
      </c>
      <c r="I11835" s="48" t="s">
        <v>16200</v>
      </c>
    </row>
    <row r="11836" spans="2:9" ht="15" customHeight="1" x14ac:dyDescent="0.25">
      <c r="B11836" s="55" t="s">
        <v>281</v>
      </c>
      <c r="C11836" s="46">
        <v>1824</v>
      </c>
      <c r="D11836" s="69" t="s">
        <v>29418</v>
      </c>
      <c r="E11836" s="51"/>
      <c r="F11836" s="114" t="str">
        <f>IF(INDEX(I.Facility.P2bIDNumber,1824)="","",INDEX(I.Facility.P2bIDNumber,1824))</f>
        <v/>
      </c>
      <c r="G11836" s="51"/>
      <c r="H11836" s="46" t="str">
        <f>IF(AND(I.Developer.P2b=TRUE,I.Facility.P2bFacilityCount&gt;=1824,F11836=""),"Incomplete","Complete")</f>
        <v>Complete</v>
      </c>
      <c r="I11836" s="48" t="s">
        <v>16201</v>
      </c>
    </row>
    <row r="11837" spans="2:9" ht="15" customHeight="1" x14ac:dyDescent="0.25">
      <c r="B11837" s="55" t="s">
        <v>281</v>
      </c>
      <c r="C11837" s="46">
        <v>1825</v>
      </c>
      <c r="D11837" s="69" t="s">
        <v>29418</v>
      </c>
      <c r="E11837" s="51"/>
      <c r="F11837" s="114" t="str">
        <f>IF(INDEX(I.Facility.P2bIDNumber,1825)="","",INDEX(I.Facility.P2bIDNumber,1825))</f>
        <v/>
      </c>
      <c r="G11837" s="51"/>
      <c r="H11837" s="46" t="str">
        <f>IF(AND(I.Developer.P2b=TRUE,I.Facility.P2bFacilityCount&gt;=1825,F11837=""),"Incomplete","Complete")</f>
        <v>Complete</v>
      </c>
      <c r="I11837" s="48" t="s">
        <v>16202</v>
      </c>
    </row>
    <row r="11838" spans="2:9" ht="15" customHeight="1" x14ac:dyDescent="0.25">
      <c r="B11838" s="55" t="s">
        <v>281</v>
      </c>
      <c r="C11838" s="46">
        <v>1826</v>
      </c>
      <c r="D11838" s="69" t="s">
        <v>29418</v>
      </c>
      <c r="E11838" s="51"/>
      <c r="F11838" s="114" t="str">
        <f>IF(INDEX(I.Facility.P2bIDNumber,1826)="","",INDEX(I.Facility.P2bIDNumber,1826))</f>
        <v/>
      </c>
      <c r="G11838" s="51"/>
      <c r="H11838" s="46" t="str">
        <f>IF(AND(I.Developer.P2b=TRUE,I.Facility.P2bFacilityCount&gt;=1826,F11838=""),"Incomplete","Complete")</f>
        <v>Complete</v>
      </c>
      <c r="I11838" s="48" t="s">
        <v>16203</v>
      </c>
    </row>
    <row r="11839" spans="2:9" ht="15" customHeight="1" x14ac:dyDescent="0.25">
      <c r="B11839" s="55" t="s">
        <v>281</v>
      </c>
      <c r="C11839" s="46">
        <v>1827</v>
      </c>
      <c r="D11839" s="69" t="s">
        <v>29418</v>
      </c>
      <c r="E11839" s="51"/>
      <c r="F11839" s="114" t="str">
        <f>IF(INDEX(I.Facility.P2bIDNumber,1827)="","",INDEX(I.Facility.P2bIDNumber,1827))</f>
        <v/>
      </c>
      <c r="G11839" s="51"/>
      <c r="H11839" s="46" t="str">
        <f>IF(AND(I.Developer.P2b=TRUE,I.Facility.P2bFacilityCount&gt;=1827,F11839=""),"Incomplete","Complete")</f>
        <v>Complete</v>
      </c>
      <c r="I11839" s="48" t="s">
        <v>16204</v>
      </c>
    </row>
    <row r="11840" spans="2:9" ht="15" customHeight="1" x14ac:dyDescent="0.25">
      <c r="B11840" s="55" t="s">
        <v>281</v>
      </c>
      <c r="C11840" s="46">
        <v>1828</v>
      </c>
      <c r="D11840" s="69" t="s">
        <v>29418</v>
      </c>
      <c r="E11840" s="51"/>
      <c r="F11840" s="114" t="str">
        <f>IF(INDEX(I.Facility.P2bIDNumber,1828)="","",INDEX(I.Facility.P2bIDNumber,1828))</f>
        <v/>
      </c>
      <c r="G11840" s="51"/>
      <c r="H11840" s="46" t="str">
        <f>IF(AND(I.Developer.P2b=TRUE,I.Facility.P2bFacilityCount&gt;=1828,F11840=""),"Incomplete","Complete")</f>
        <v>Complete</v>
      </c>
      <c r="I11840" s="48" t="s">
        <v>16205</v>
      </c>
    </row>
    <row r="11841" spans="2:9" ht="15" customHeight="1" x14ac:dyDescent="0.25">
      <c r="B11841" s="55" t="s">
        <v>281</v>
      </c>
      <c r="C11841" s="46">
        <v>1829</v>
      </c>
      <c r="D11841" s="69" t="s">
        <v>29418</v>
      </c>
      <c r="E11841" s="51"/>
      <c r="F11841" s="114" t="str">
        <f>IF(INDEX(I.Facility.P2bIDNumber,1829)="","",INDEX(I.Facility.P2bIDNumber,1829))</f>
        <v/>
      </c>
      <c r="G11841" s="51"/>
      <c r="H11841" s="46" t="str">
        <f>IF(AND(I.Developer.P2b=TRUE,I.Facility.P2bFacilityCount&gt;=1829,F11841=""),"Incomplete","Complete")</f>
        <v>Complete</v>
      </c>
      <c r="I11841" s="48" t="s">
        <v>16206</v>
      </c>
    </row>
    <row r="11842" spans="2:9" ht="15" customHeight="1" x14ac:dyDescent="0.25">
      <c r="B11842" s="55" t="s">
        <v>281</v>
      </c>
      <c r="C11842" s="46">
        <v>1830</v>
      </c>
      <c r="D11842" s="69" t="s">
        <v>29418</v>
      </c>
      <c r="E11842" s="51"/>
      <c r="F11842" s="114" t="str">
        <f>IF(INDEX(I.Facility.P2bIDNumber,1830)="","",INDEX(I.Facility.P2bIDNumber,1830))</f>
        <v/>
      </c>
      <c r="G11842" s="51"/>
      <c r="H11842" s="46" t="str">
        <f>IF(AND(I.Developer.P2b=TRUE,I.Facility.P2bFacilityCount&gt;=1830,F11842=""),"Incomplete","Complete")</f>
        <v>Complete</v>
      </c>
      <c r="I11842" s="48" t="s">
        <v>16207</v>
      </c>
    </row>
    <row r="11843" spans="2:9" ht="15" customHeight="1" x14ac:dyDescent="0.25">
      <c r="B11843" s="55" t="s">
        <v>281</v>
      </c>
      <c r="C11843" s="46">
        <v>1831</v>
      </c>
      <c r="D11843" s="69" t="s">
        <v>29418</v>
      </c>
      <c r="E11843" s="51"/>
      <c r="F11843" s="114" t="str">
        <f>IF(INDEX(I.Facility.P2bIDNumber,1831)="","",INDEX(I.Facility.P2bIDNumber,1831))</f>
        <v/>
      </c>
      <c r="G11843" s="51"/>
      <c r="H11843" s="46" t="str">
        <f>IF(AND(I.Developer.P2b=TRUE,I.Facility.P2bFacilityCount&gt;=1831,F11843=""),"Incomplete","Complete")</f>
        <v>Complete</v>
      </c>
      <c r="I11843" s="48" t="s">
        <v>16208</v>
      </c>
    </row>
    <row r="11844" spans="2:9" ht="15" customHeight="1" x14ac:dyDescent="0.25">
      <c r="B11844" s="55" t="s">
        <v>281</v>
      </c>
      <c r="C11844" s="46">
        <v>1832</v>
      </c>
      <c r="D11844" s="69" t="s">
        <v>29418</v>
      </c>
      <c r="E11844" s="51"/>
      <c r="F11844" s="114" t="str">
        <f>IF(INDEX(I.Facility.P2bIDNumber,1832)="","",INDEX(I.Facility.P2bIDNumber,1832))</f>
        <v/>
      </c>
      <c r="G11844" s="51"/>
      <c r="H11844" s="46" t="str">
        <f>IF(AND(I.Developer.P2b=TRUE,I.Facility.P2bFacilityCount&gt;=1832,F11844=""),"Incomplete","Complete")</f>
        <v>Complete</v>
      </c>
      <c r="I11844" s="48" t="s">
        <v>16209</v>
      </c>
    </row>
    <row r="11845" spans="2:9" ht="15" customHeight="1" x14ac:dyDescent="0.25">
      <c r="B11845" s="55" t="s">
        <v>281</v>
      </c>
      <c r="C11845" s="46">
        <v>1833</v>
      </c>
      <c r="D11845" s="69" t="s">
        <v>29418</v>
      </c>
      <c r="E11845" s="51"/>
      <c r="F11845" s="114" t="str">
        <f>IF(INDEX(I.Facility.P2bIDNumber,1833)="","",INDEX(I.Facility.P2bIDNumber,1833))</f>
        <v/>
      </c>
      <c r="G11845" s="51"/>
      <c r="H11845" s="46" t="str">
        <f>IF(AND(I.Developer.P2b=TRUE,I.Facility.P2bFacilityCount&gt;=1833,F11845=""),"Incomplete","Complete")</f>
        <v>Complete</v>
      </c>
      <c r="I11845" s="48" t="s">
        <v>16210</v>
      </c>
    </row>
    <row r="11846" spans="2:9" ht="15" customHeight="1" x14ac:dyDescent="0.25">
      <c r="B11846" s="55" t="s">
        <v>281</v>
      </c>
      <c r="C11846" s="46">
        <v>1834</v>
      </c>
      <c r="D11846" s="69" t="s">
        <v>29418</v>
      </c>
      <c r="E11846" s="51"/>
      <c r="F11846" s="114" t="str">
        <f>IF(INDEX(I.Facility.P2bIDNumber,1834)="","",INDEX(I.Facility.P2bIDNumber,1834))</f>
        <v/>
      </c>
      <c r="G11846" s="51"/>
      <c r="H11846" s="46" t="str">
        <f>IF(AND(I.Developer.P2b=TRUE,I.Facility.P2bFacilityCount&gt;=1834,F11846=""),"Incomplete","Complete")</f>
        <v>Complete</v>
      </c>
      <c r="I11846" s="48" t="s">
        <v>16211</v>
      </c>
    </row>
    <row r="11847" spans="2:9" ht="15" customHeight="1" x14ac:dyDescent="0.25">
      <c r="B11847" s="55" t="s">
        <v>281</v>
      </c>
      <c r="C11847" s="46">
        <v>1835</v>
      </c>
      <c r="D11847" s="69" t="s">
        <v>29418</v>
      </c>
      <c r="E11847" s="51"/>
      <c r="F11847" s="114" t="str">
        <f>IF(INDEX(I.Facility.P2bIDNumber,1835)="","",INDEX(I.Facility.P2bIDNumber,1835))</f>
        <v/>
      </c>
      <c r="G11847" s="51"/>
      <c r="H11847" s="46" t="str">
        <f>IF(AND(I.Developer.P2b=TRUE,I.Facility.P2bFacilityCount&gt;=1835,F11847=""),"Incomplete","Complete")</f>
        <v>Complete</v>
      </c>
      <c r="I11847" s="48" t="s">
        <v>16212</v>
      </c>
    </row>
    <row r="11848" spans="2:9" ht="15" customHeight="1" x14ac:dyDescent="0.25">
      <c r="B11848" s="55" t="s">
        <v>281</v>
      </c>
      <c r="C11848" s="46">
        <v>1836</v>
      </c>
      <c r="D11848" s="69" t="s">
        <v>29418</v>
      </c>
      <c r="E11848" s="51"/>
      <c r="F11848" s="114" t="str">
        <f>IF(INDEX(I.Facility.P2bIDNumber,1836)="","",INDEX(I.Facility.P2bIDNumber,1836))</f>
        <v/>
      </c>
      <c r="G11848" s="51"/>
      <c r="H11848" s="46" t="str">
        <f>IF(AND(I.Developer.P2b=TRUE,I.Facility.P2bFacilityCount&gt;=1836,F11848=""),"Incomplete","Complete")</f>
        <v>Complete</v>
      </c>
      <c r="I11848" s="48" t="s">
        <v>16213</v>
      </c>
    </row>
    <row r="11849" spans="2:9" ht="15" customHeight="1" x14ac:dyDescent="0.25">
      <c r="B11849" s="55" t="s">
        <v>281</v>
      </c>
      <c r="C11849" s="46">
        <v>1837</v>
      </c>
      <c r="D11849" s="69" t="s">
        <v>29418</v>
      </c>
      <c r="E11849" s="51"/>
      <c r="F11849" s="114" t="str">
        <f>IF(INDEX(I.Facility.P2bIDNumber,1837)="","",INDEX(I.Facility.P2bIDNumber,1837))</f>
        <v/>
      </c>
      <c r="G11849" s="51"/>
      <c r="H11849" s="46" t="str">
        <f>IF(AND(I.Developer.P2b=TRUE,I.Facility.P2bFacilityCount&gt;=1837,F11849=""),"Incomplete","Complete")</f>
        <v>Complete</v>
      </c>
      <c r="I11849" s="48" t="s">
        <v>16214</v>
      </c>
    </row>
    <row r="11850" spans="2:9" ht="15" customHeight="1" x14ac:dyDescent="0.25">
      <c r="B11850" s="55" t="s">
        <v>281</v>
      </c>
      <c r="C11850" s="46">
        <v>1838</v>
      </c>
      <c r="D11850" s="69" t="s">
        <v>29418</v>
      </c>
      <c r="E11850" s="51"/>
      <c r="F11850" s="114" t="str">
        <f>IF(INDEX(I.Facility.P2bIDNumber,1838)="","",INDEX(I.Facility.P2bIDNumber,1838))</f>
        <v/>
      </c>
      <c r="G11850" s="51"/>
      <c r="H11850" s="46" t="str">
        <f>IF(AND(I.Developer.P2b=TRUE,I.Facility.P2bFacilityCount&gt;=1838,F11850=""),"Incomplete","Complete")</f>
        <v>Complete</v>
      </c>
      <c r="I11850" s="48" t="s">
        <v>16215</v>
      </c>
    </row>
    <row r="11851" spans="2:9" ht="15" customHeight="1" x14ac:dyDescent="0.25">
      <c r="B11851" s="55" t="s">
        <v>281</v>
      </c>
      <c r="C11851" s="46">
        <v>1839</v>
      </c>
      <c r="D11851" s="69" t="s">
        <v>29418</v>
      </c>
      <c r="E11851" s="51"/>
      <c r="F11851" s="114" t="str">
        <f>IF(INDEX(I.Facility.P2bIDNumber,1839)="","",INDEX(I.Facility.P2bIDNumber,1839))</f>
        <v/>
      </c>
      <c r="G11851" s="51"/>
      <c r="H11851" s="46" t="str">
        <f>IF(AND(I.Developer.P2b=TRUE,I.Facility.P2bFacilityCount&gt;=1839,F11851=""),"Incomplete","Complete")</f>
        <v>Complete</v>
      </c>
      <c r="I11851" s="48" t="s">
        <v>16216</v>
      </c>
    </row>
    <row r="11852" spans="2:9" ht="15" customHeight="1" x14ac:dyDescent="0.25">
      <c r="B11852" s="55" t="s">
        <v>281</v>
      </c>
      <c r="C11852" s="46">
        <v>1840</v>
      </c>
      <c r="D11852" s="69" t="s">
        <v>29418</v>
      </c>
      <c r="E11852" s="51"/>
      <c r="F11852" s="114" t="str">
        <f>IF(INDEX(I.Facility.P2bIDNumber,1840)="","",INDEX(I.Facility.P2bIDNumber,1840))</f>
        <v/>
      </c>
      <c r="G11852" s="51"/>
      <c r="H11852" s="46" t="str">
        <f>IF(AND(I.Developer.P2b=TRUE,I.Facility.P2bFacilityCount&gt;=1840,F11852=""),"Incomplete","Complete")</f>
        <v>Complete</v>
      </c>
      <c r="I11852" s="48" t="s">
        <v>16217</v>
      </c>
    </row>
    <row r="11853" spans="2:9" ht="15" customHeight="1" x14ac:dyDescent="0.25">
      <c r="B11853" s="55" t="s">
        <v>281</v>
      </c>
      <c r="C11853" s="46">
        <v>1841</v>
      </c>
      <c r="D11853" s="69" t="s">
        <v>29418</v>
      </c>
      <c r="E11853" s="51"/>
      <c r="F11853" s="114" t="str">
        <f>IF(INDEX(I.Facility.P2bIDNumber,1841)="","",INDEX(I.Facility.P2bIDNumber,1841))</f>
        <v/>
      </c>
      <c r="G11853" s="51"/>
      <c r="H11853" s="46" t="str">
        <f>IF(AND(I.Developer.P2b=TRUE,I.Facility.P2bFacilityCount&gt;=1841,F11853=""),"Incomplete","Complete")</f>
        <v>Complete</v>
      </c>
      <c r="I11853" s="48" t="s">
        <v>16218</v>
      </c>
    </row>
    <row r="11854" spans="2:9" ht="15" customHeight="1" x14ac:dyDescent="0.25">
      <c r="B11854" s="55" t="s">
        <v>281</v>
      </c>
      <c r="C11854" s="46">
        <v>1842</v>
      </c>
      <c r="D11854" s="69" t="s">
        <v>29418</v>
      </c>
      <c r="E11854" s="51"/>
      <c r="F11854" s="114" t="str">
        <f>IF(INDEX(I.Facility.P2bIDNumber,1842)="","",INDEX(I.Facility.P2bIDNumber,1842))</f>
        <v/>
      </c>
      <c r="G11854" s="51"/>
      <c r="H11854" s="46" t="str">
        <f>IF(AND(I.Developer.P2b=TRUE,I.Facility.P2bFacilityCount&gt;=1842,F11854=""),"Incomplete","Complete")</f>
        <v>Complete</v>
      </c>
      <c r="I11854" s="48" t="s">
        <v>16219</v>
      </c>
    </row>
    <row r="11855" spans="2:9" ht="15" customHeight="1" x14ac:dyDescent="0.25">
      <c r="B11855" s="55" t="s">
        <v>281</v>
      </c>
      <c r="C11855" s="46">
        <v>1843</v>
      </c>
      <c r="D11855" s="69" t="s">
        <v>29418</v>
      </c>
      <c r="E11855" s="51"/>
      <c r="F11855" s="114" t="str">
        <f>IF(INDEX(I.Facility.P2bIDNumber,1843)="","",INDEX(I.Facility.P2bIDNumber,1843))</f>
        <v/>
      </c>
      <c r="G11855" s="51"/>
      <c r="H11855" s="46" t="str">
        <f>IF(AND(I.Developer.P2b=TRUE,I.Facility.P2bFacilityCount&gt;=1843,F11855=""),"Incomplete","Complete")</f>
        <v>Complete</v>
      </c>
      <c r="I11855" s="48" t="s">
        <v>16220</v>
      </c>
    </row>
    <row r="11856" spans="2:9" ht="15" customHeight="1" x14ac:dyDescent="0.25">
      <c r="B11856" s="55" t="s">
        <v>281</v>
      </c>
      <c r="C11856" s="46">
        <v>1844</v>
      </c>
      <c r="D11856" s="69" t="s">
        <v>29418</v>
      </c>
      <c r="E11856" s="51"/>
      <c r="F11856" s="114" t="str">
        <f>IF(INDEX(I.Facility.P2bIDNumber,1844)="","",INDEX(I.Facility.P2bIDNumber,1844))</f>
        <v/>
      </c>
      <c r="G11856" s="51"/>
      <c r="H11856" s="46" t="str">
        <f>IF(AND(I.Developer.P2b=TRUE,I.Facility.P2bFacilityCount&gt;=1844,F11856=""),"Incomplete","Complete")</f>
        <v>Complete</v>
      </c>
      <c r="I11856" s="48" t="s">
        <v>16221</v>
      </c>
    </row>
    <row r="11857" spans="2:9" ht="15" customHeight="1" x14ac:dyDescent="0.25">
      <c r="B11857" s="55" t="s">
        <v>281</v>
      </c>
      <c r="C11857" s="46">
        <v>1845</v>
      </c>
      <c r="D11857" s="69" t="s">
        <v>29418</v>
      </c>
      <c r="E11857" s="51"/>
      <c r="F11857" s="114" t="str">
        <f>IF(INDEX(I.Facility.P2bIDNumber,1845)="","",INDEX(I.Facility.P2bIDNumber,1845))</f>
        <v/>
      </c>
      <c r="G11857" s="51"/>
      <c r="H11857" s="46" t="str">
        <f>IF(AND(I.Developer.P2b=TRUE,I.Facility.P2bFacilityCount&gt;=1845,F11857=""),"Incomplete","Complete")</f>
        <v>Complete</v>
      </c>
      <c r="I11857" s="48" t="s">
        <v>16222</v>
      </c>
    </row>
    <row r="11858" spans="2:9" ht="15" customHeight="1" x14ac:dyDescent="0.25">
      <c r="B11858" s="55" t="s">
        <v>281</v>
      </c>
      <c r="C11858" s="46">
        <v>1846</v>
      </c>
      <c r="D11858" s="69" t="s">
        <v>29418</v>
      </c>
      <c r="E11858" s="51"/>
      <c r="F11858" s="114" t="str">
        <f>IF(INDEX(I.Facility.P2bIDNumber,1846)="","",INDEX(I.Facility.P2bIDNumber,1846))</f>
        <v/>
      </c>
      <c r="G11858" s="51"/>
      <c r="H11858" s="46" t="str">
        <f>IF(AND(I.Developer.P2b=TRUE,I.Facility.P2bFacilityCount&gt;=1846,F11858=""),"Incomplete","Complete")</f>
        <v>Complete</v>
      </c>
      <c r="I11858" s="48" t="s">
        <v>16223</v>
      </c>
    </row>
    <row r="11859" spans="2:9" ht="15" customHeight="1" x14ac:dyDescent="0.25">
      <c r="B11859" s="55" t="s">
        <v>281</v>
      </c>
      <c r="C11859" s="46">
        <v>1847</v>
      </c>
      <c r="D11859" s="69" t="s">
        <v>29418</v>
      </c>
      <c r="E11859" s="51"/>
      <c r="F11859" s="114" t="str">
        <f>IF(INDEX(I.Facility.P2bIDNumber,1847)="","",INDEX(I.Facility.P2bIDNumber,1847))</f>
        <v/>
      </c>
      <c r="G11859" s="51"/>
      <c r="H11859" s="46" t="str">
        <f>IF(AND(I.Developer.P2b=TRUE,I.Facility.P2bFacilityCount&gt;=1847,F11859=""),"Incomplete","Complete")</f>
        <v>Complete</v>
      </c>
      <c r="I11859" s="48" t="s">
        <v>16224</v>
      </c>
    </row>
    <row r="11860" spans="2:9" ht="15" customHeight="1" x14ac:dyDescent="0.25">
      <c r="B11860" s="55" t="s">
        <v>281</v>
      </c>
      <c r="C11860" s="46">
        <v>1848</v>
      </c>
      <c r="D11860" s="69" t="s">
        <v>29418</v>
      </c>
      <c r="E11860" s="51"/>
      <c r="F11860" s="114" t="str">
        <f>IF(INDEX(I.Facility.P2bIDNumber,1848)="","",INDEX(I.Facility.P2bIDNumber,1848))</f>
        <v/>
      </c>
      <c r="G11860" s="51"/>
      <c r="H11860" s="46" t="str">
        <f>IF(AND(I.Developer.P2b=TRUE,I.Facility.P2bFacilityCount&gt;=1848,F11860=""),"Incomplete","Complete")</f>
        <v>Complete</v>
      </c>
      <c r="I11860" s="48" t="s">
        <v>16225</v>
      </c>
    </row>
    <row r="11861" spans="2:9" ht="15" customHeight="1" x14ac:dyDescent="0.25">
      <c r="B11861" s="55" t="s">
        <v>281</v>
      </c>
      <c r="C11861" s="46">
        <v>1849</v>
      </c>
      <c r="D11861" s="69" t="s">
        <v>29418</v>
      </c>
      <c r="E11861" s="51"/>
      <c r="F11861" s="114" t="str">
        <f>IF(INDEX(I.Facility.P2bIDNumber,1849)="","",INDEX(I.Facility.P2bIDNumber,1849))</f>
        <v/>
      </c>
      <c r="G11861" s="51"/>
      <c r="H11861" s="46" t="str">
        <f>IF(AND(I.Developer.P2b=TRUE,I.Facility.P2bFacilityCount&gt;=1849,F11861=""),"Incomplete","Complete")</f>
        <v>Complete</v>
      </c>
      <c r="I11861" s="48" t="s">
        <v>16226</v>
      </c>
    </row>
    <row r="11862" spans="2:9" ht="15" customHeight="1" x14ac:dyDescent="0.25">
      <c r="B11862" s="55" t="s">
        <v>281</v>
      </c>
      <c r="C11862" s="46">
        <v>1850</v>
      </c>
      <c r="D11862" s="69" t="s">
        <v>29418</v>
      </c>
      <c r="E11862" s="51"/>
      <c r="F11862" s="114" t="str">
        <f>IF(INDEX(I.Facility.P2bIDNumber,1850)="","",INDEX(I.Facility.P2bIDNumber,1850))</f>
        <v/>
      </c>
      <c r="G11862" s="51"/>
      <c r="H11862" s="46" t="str">
        <f>IF(AND(I.Developer.P2b=TRUE,I.Facility.P2bFacilityCount&gt;=1850,F11862=""),"Incomplete","Complete")</f>
        <v>Complete</v>
      </c>
      <c r="I11862" s="48" t="s">
        <v>16227</v>
      </c>
    </row>
    <row r="11863" spans="2:9" ht="15" customHeight="1" x14ac:dyDescent="0.25">
      <c r="B11863" s="55" t="s">
        <v>281</v>
      </c>
      <c r="C11863" s="46">
        <v>1851</v>
      </c>
      <c r="D11863" s="69" t="s">
        <v>29418</v>
      </c>
      <c r="E11863" s="51"/>
      <c r="F11863" s="114" t="str">
        <f>IF(INDEX(I.Facility.P2bIDNumber,1851)="","",INDEX(I.Facility.P2bIDNumber,1851))</f>
        <v/>
      </c>
      <c r="G11863" s="51"/>
      <c r="H11863" s="46" t="str">
        <f>IF(AND(I.Developer.P2b=TRUE,I.Facility.P2bFacilityCount&gt;=1851,F11863=""),"Incomplete","Complete")</f>
        <v>Complete</v>
      </c>
      <c r="I11863" s="48" t="s">
        <v>16228</v>
      </c>
    </row>
    <row r="11864" spans="2:9" ht="15" customHeight="1" x14ac:dyDescent="0.25">
      <c r="B11864" s="55" t="s">
        <v>281</v>
      </c>
      <c r="C11864" s="46">
        <v>1852</v>
      </c>
      <c r="D11864" s="69" t="s">
        <v>29418</v>
      </c>
      <c r="E11864" s="51"/>
      <c r="F11864" s="114" t="str">
        <f>IF(INDEX(I.Facility.P2bIDNumber,1852)="","",INDEX(I.Facility.P2bIDNumber,1852))</f>
        <v/>
      </c>
      <c r="G11864" s="51"/>
      <c r="H11864" s="46" t="str">
        <f>IF(AND(I.Developer.P2b=TRUE,I.Facility.P2bFacilityCount&gt;=1852,F11864=""),"Incomplete","Complete")</f>
        <v>Complete</v>
      </c>
      <c r="I11864" s="48" t="s">
        <v>16229</v>
      </c>
    </row>
    <row r="11865" spans="2:9" ht="15" customHeight="1" x14ac:dyDescent="0.25">
      <c r="B11865" s="55" t="s">
        <v>281</v>
      </c>
      <c r="C11865" s="46">
        <v>1853</v>
      </c>
      <c r="D11865" s="69" t="s">
        <v>29418</v>
      </c>
      <c r="E11865" s="51"/>
      <c r="F11865" s="114" t="str">
        <f>IF(INDEX(I.Facility.P2bIDNumber,1853)="","",INDEX(I.Facility.P2bIDNumber,1853))</f>
        <v/>
      </c>
      <c r="G11865" s="51"/>
      <c r="H11865" s="46" t="str">
        <f>IF(AND(I.Developer.P2b=TRUE,I.Facility.P2bFacilityCount&gt;=1853,F11865=""),"Incomplete","Complete")</f>
        <v>Complete</v>
      </c>
      <c r="I11865" s="48" t="s">
        <v>16230</v>
      </c>
    </row>
    <row r="11866" spans="2:9" ht="15" customHeight="1" x14ac:dyDescent="0.25">
      <c r="B11866" s="55" t="s">
        <v>281</v>
      </c>
      <c r="C11866" s="46">
        <v>1854</v>
      </c>
      <c r="D11866" s="69" t="s">
        <v>29418</v>
      </c>
      <c r="E11866" s="51"/>
      <c r="F11866" s="114" t="str">
        <f>IF(INDEX(I.Facility.P2bIDNumber,1854)="","",INDEX(I.Facility.P2bIDNumber,1854))</f>
        <v/>
      </c>
      <c r="G11866" s="51"/>
      <c r="H11866" s="46" t="str">
        <f>IF(AND(I.Developer.P2b=TRUE,I.Facility.P2bFacilityCount&gt;=1854,F11866=""),"Incomplete","Complete")</f>
        <v>Complete</v>
      </c>
      <c r="I11866" s="48" t="s">
        <v>16231</v>
      </c>
    </row>
    <row r="11867" spans="2:9" ht="15" customHeight="1" x14ac:dyDescent="0.25">
      <c r="B11867" s="55" t="s">
        <v>281</v>
      </c>
      <c r="C11867" s="46">
        <v>1855</v>
      </c>
      <c r="D11867" s="69" t="s">
        <v>29418</v>
      </c>
      <c r="E11867" s="51"/>
      <c r="F11867" s="114" t="str">
        <f>IF(INDEX(I.Facility.P2bIDNumber,1855)="","",INDEX(I.Facility.P2bIDNumber,1855))</f>
        <v/>
      </c>
      <c r="G11867" s="51"/>
      <c r="H11867" s="46" t="str">
        <f>IF(AND(I.Developer.P2b=TRUE,I.Facility.P2bFacilityCount&gt;=1855,F11867=""),"Incomplete","Complete")</f>
        <v>Complete</v>
      </c>
      <c r="I11867" s="48" t="s">
        <v>16232</v>
      </c>
    </row>
    <row r="11868" spans="2:9" ht="15" customHeight="1" x14ac:dyDescent="0.25">
      <c r="B11868" s="55" t="s">
        <v>281</v>
      </c>
      <c r="C11868" s="46">
        <v>1856</v>
      </c>
      <c r="D11868" s="69" t="s">
        <v>29418</v>
      </c>
      <c r="E11868" s="51"/>
      <c r="F11868" s="114" t="str">
        <f>IF(INDEX(I.Facility.P2bIDNumber,1856)="","",INDEX(I.Facility.P2bIDNumber,1856))</f>
        <v/>
      </c>
      <c r="G11868" s="51"/>
      <c r="H11868" s="46" t="str">
        <f>IF(AND(I.Developer.P2b=TRUE,I.Facility.P2bFacilityCount&gt;=1856,F11868=""),"Incomplete","Complete")</f>
        <v>Complete</v>
      </c>
      <c r="I11868" s="48" t="s">
        <v>16233</v>
      </c>
    </row>
    <row r="11869" spans="2:9" ht="15" customHeight="1" x14ac:dyDescent="0.25">
      <c r="B11869" s="55" t="s">
        <v>281</v>
      </c>
      <c r="C11869" s="46">
        <v>1857</v>
      </c>
      <c r="D11869" s="69" t="s">
        <v>29418</v>
      </c>
      <c r="E11869" s="51"/>
      <c r="F11869" s="114" t="str">
        <f>IF(INDEX(I.Facility.P2bIDNumber,1857)="","",INDEX(I.Facility.P2bIDNumber,1857))</f>
        <v/>
      </c>
      <c r="G11869" s="51"/>
      <c r="H11869" s="46" t="str">
        <f>IF(AND(I.Developer.P2b=TRUE,I.Facility.P2bFacilityCount&gt;=1857,F11869=""),"Incomplete","Complete")</f>
        <v>Complete</v>
      </c>
      <c r="I11869" s="48" t="s">
        <v>16234</v>
      </c>
    </row>
    <row r="11870" spans="2:9" ht="15" customHeight="1" x14ac:dyDescent="0.25">
      <c r="B11870" s="55" t="s">
        <v>281</v>
      </c>
      <c r="C11870" s="46">
        <v>1858</v>
      </c>
      <c r="D11870" s="69" t="s">
        <v>29418</v>
      </c>
      <c r="E11870" s="51"/>
      <c r="F11870" s="114" t="str">
        <f>IF(INDEX(I.Facility.P2bIDNumber,1858)="","",INDEX(I.Facility.P2bIDNumber,1858))</f>
        <v/>
      </c>
      <c r="G11870" s="51"/>
      <c r="H11870" s="46" t="str">
        <f>IF(AND(I.Developer.P2b=TRUE,I.Facility.P2bFacilityCount&gt;=1858,F11870=""),"Incomplete","Complete")</f>
        <v>Complete</v>
      </c>
      <c r="I11870" s="48" t="s">
        <v>16235</v>
      </c>
    </row>
    <row r="11871" spans="2:9" ht="15" customHeight="1" x14ac:dyDescent="0.25">
      <c r="B11871" s="55" t="s">
        <v>281</v>
      </c>
      <c r="C11871" s="46">
        <v>1859</v>
      </c>
      <c r="D11871" s="69" t="s">
        <v>29418</v>
      </c>
      <c r="E11871" s="51"/>
      <c r="F11871" s="114" t="str">
        <f>IF(INDEX(I.Facility.P2bIDNumber,1859)="","",INDEX(I.Facility.P2bIDNumber,1859))</f>
        <v/>
      </c>
      <c r="G11871" s="51"/>
      <c r="H11871" s="46" t="str">
        <f>IF(AND(I.Developer.P2b=TRUE,I.Facility.P2bFacilityCount&gt;=1859,F11871=""),"Incomplete","Complete")</f>
        <v>Complete</v>
      </c>
      <c r="I11871" s="48" t="s">
        <v>16236</v>
      </c>
    </row>
    <row r="11872" spans="2:9" ht="15" customHeight="1" x14ac:dyDescent="0.25">
      <c r="B11872" s="55" t="s">
        <v>281</v>
      </c>
      <c r="C11872" s="46">
        <v>1860</v>
      </c>
      <c r="D11872" s="69" t="s">
        <v>29418</v>
      </c>
      <c r="E11872" s="51"/>
      <c r="F11872" s="114" t="str">
        <f>IF(INDEX(I.Facility.P2bIDNumber,1860)="","",INDEX(I.Facility.P2bIDNumber,1860))</f>
        <v/>
      </c>
      <c r="G11872" s="51"/>
      <c r="H11872" s="46" t="str">
        <f>IF(AND(I.Developer.P2b=TRUE,I.Facility.P2bFacilityCount&gt;=1860,F11872=""),"Incomplete","Complete")</f>
        <v>Complete</v>
      </c>
      <c r="I11872" s="48" t="s">
        <v>16237</v>
      </c>
    </row>
    <row r="11873" spans="2:9" ht="15" customHeight="1" x14ac:dyDescent="0.25">
      <c r="B11873" s="55" t="s">
        <v>281</v>
      </c>
      <c r="C11873" s="46">
        <v>1861</v>
      </c>
      <c r="D11873" s="69" t="s">
        <v>29418</v>
      </c>
      <c r="E11873" s="51"/>
      <c r="F11873" s="114" t="str">
        <f>IF(INDEX(I.Facility.P2bIDNumber,1861)="","",INDEX(I.Facility.P2bIDNumber,1861))</f>
        <v/>
      </c>
      <c r="G11873" s="51"/>
      <c r="H11873" s="46" t="str">
        <f>IF(AND(I.Developer.P2b=TRUE,I.Facility.P2bFacilityCount&gt;=1861,F11873=""),"Incomplete","Complete")</f>
        <v>Complete</v>
      </c>
      <c r="I11873" s="48" t="s">
        <v>16238</v>
      </c>
    </row>
    <row r="11874" spans="2:9" ht="15" customHeight="1" x14ac:dyDescent="0.25">
      <c r="B11874" s="55" t="s">
        <v>281</v>
      </c>
      <c r="C11874" s="46">
        <v>1862</v>
      </c>
      <c r="D11874" s="69" t="s">
        <v>29418</v>
      </c>
      <c r="E11874" s="51"/>
      <c r="F11874" s="114" t="str">
        <f>IF(INDEX(I.Facility.P2bIDNumber,1862)="","",INDEX(I.Facility.P2bIDNumber,1862))</f>
        <v/>
      </c>
      <c r="G11874" s="51"/>
      <c r="H11874" s="46" t="str">
        <f>IF(AND(I.Developer.P2b=TRUE,I.Facility.P2bFacilityCount&gt;=1862,F11874=""),"Incomplete","Complete")</f>
        <v>Complete</v>
      </c>
      <c r="I11874" s="48" t="s">
        <v>16239</v>
      </c>
    </row>
    <row r="11875" spans="2:9" ht="15" customHeight="1" x14ac:dyDescent="0.25">
      <c r="B11875" s="55" t="s">
        <v>281</v>
      </c>
      <c r="C11875" s="46">
        <v>1863</v>
      </c>
      <c r="D11875" s="69" t="s">
        <v>29418</v>
      </c>
      <c r="E11875" s="51"/>
      <c r="F11875" s="114" t="str">
        <f>IF(INDEX(I.Facility.P2bIDNumber,1863)="","",INDEX(I.Facility.P2bIDNumber,1863))</f>
        <v/>
      </c>
      <c r="G11875" s="51"/>
      <c r="H11875" s="46" t="str">
        <f>IF(AND(I.Developer.P2b=TRUE,I.Facility.P2bFacilityCount&gt;=1863,F11875=""),"Incomplete","Complete")</f>
        <v>Complete</v>
      </c>
      <c r="I11875" s="48" t="s">
        <v>16240</v>
      </c>
    </row>
    <row r="11876" spans="2:9" ht="15" customHeight="1" x14ac:dyDescent="0.25">
      <c r="B11876" s="55" t="s">
        <v>281</v>
      </c>
      <c r="C11876" s="46">
        <v>1864</v>
      </c>
      <c r="D11876" s="69" t="s">
        <v>29418</v>
      </c>
      <c r="E11876" s="51"/>
      <c r="F11876" s="114" t="str">
        <f>IF(INDEX(I.Facility.P2bIDNumber,1864)="","",INDEX(I.Facility.P2bIDNumber,1864))</f>
        <v/>
      </c>
      <c r="G11876" s="51"/>
      <c r="H11876" s="46" t="str">
        <f>IF(AND(I.Developer.P2b=TRUE,I.Facility.P2bFacilityCount&gt;=1864,F11876=""),"Incomplete","Complete")</f>
        <v>Complete</v>
      </c>
      <c r="I11876" s="48" t="s">
        <v>16241</v>
      </c>
    </row>
    <row r="11877" spans="2:9" ht="15" customHeight="1" x14ac:dyDescent="0.25">
      <c r="B11877" s="55" t="s">
        <v>281</v>
      </c>
      <c r="C11877" s="46">
        <v>1865</v>
      </c>
      <c r="D11877" s="69" t="s">
        <v>29418</v>
      </c>
      <c r="E11877" s="51"/>
      <c r="F11877" s="114" t="str">
        <f>IF(INDEX(I.Facility.P2bIDNumber,1865)="","",INDEX(I.Facility.P2bIDNumber,1865))</f>
        <v/>
      </c>
      <c r="G11877" s="51"/>
      <c r="H11877" s="46" t="str">
        <f>IF(AND(I.Developer.P2b=TRUE,I.Facility.P2bFacilityCount&gt;=1865,F11877=""),"Incomplete","Complete")</f>
        <v>Complete</v>
      </c>
      <c r="I11877" s="48" t="s">
        <v>16242</v>
      </c>
    </row>
    <row r="11878" spans="2:9" ht="15" customHeight="1" x14ac:dyDescent="0.25">
      <c r="B11878" s="55" t="s">
        <v>281</v>
      </c>
      <c r="C11878" s="46">
        <v>1866</v>
      </c>
      <c r="D11878" s="69" t="s">
        <v>29418</v>
      </c>
      <c r="E11878" s="51"/>
      <c r="F11878" s="114" t="str">
        <f>IF(INDEX(I.Facility.P2bIDNumber,1866)="","",INDEX(I.Facility.P2bIDNumber,1866))</f>
        <v/>
      </c>
      <c r="G11878" s="51"/>
      <c r="H11878" s="46" t="str">
        <f>IF(AND(I.Developer.P2b=TRUE,I.Facility.P2bFacilityCount&gt;=1866,F11878=""),"Incomplete","Complete")</f>
        <v>Complete</v>
      </c>
      <c r="I11878" s="48" t="s">
        <v>16243</v>
      </c>
    </row>
    <row r="11879" spans="2:9" ht="15" customHeight="1" x14ac:dyDescent="0.25">
      <c r="B11879" s="55" t="s">
        <v>281</v>
      </c>
      <c r="C11879" s="46">
        <v>1867</v>
      </c>
      <c r="D11879" s="69" t="s">
        <v>29418</v>
      </c>
      <c r="E11879" s="51"/>
      <c r="F11879" s="114" t="str">
        <f>IF(INDEX(I.Facility.P2bIDNumber,1867)="","",INDEX(I.Facility.P2bIDNumber,1867))</f>
        <v/>
      </c>
      <c r="G11879" s="51"/>
      <c r="H11879" s="46" t="str">
        <f>IF(AND(I.Developer.P2b=TRUE,I.Facility.P2bFacilityCount&gt;=1867,F11879=""),"Incomplete","Complete")</f>
        <v>Complete</v>
      </c>
      <c r="I11879" s="48" t="s">
        <v>16244</v>
      </c>
    </row>
    <row r="11880" spans="2:9" ht="15" customHeight="1" x14ac:dyDescent="0.25">
      <c r="B11880" s="55" t="s">
        <v>281</v>
      </c>
      <c r="C11880" s="46">
        <v>1868</v>
      </c>
      <c r="D11880" s="69" t="s">
        <v>29418</v>
      </c>
      <c r="E11880" s="51"/>
      <c r="F11880" s="114" t="str">
        <f>IF(INDEX(I.Facility.P2bIDNumber,1868)="","",INDEX(I.Facility.P2bIDNumber,1868))</f>
        <v/>
      </c>
      <c r="G11880" s="51"/>
      <c r="H11880" s="46" t="str">
        <f>IF(AND(I.Developer.P2b=TRUE,I.Facility.P2bFacilityCount&gt;=1868,F11880=""),"Incomplete","Complete")</f>
        <v>Complete</v>
      </c>
      <c r="I11880" s="48" t="s">
        <v>16245</v>
      </c>
    </row>
    <row r="11881" spans="2:9" ht="15" customHeight="1" x14ac:dyDescent="0.25">
      <c r="B11881" s="55" t="s">
        <v>281</v>
      </c>
      <c r="C11881" s="46">
        <v>1869</v>
      </c>
      <c r="D11881" s="69" t="s">
        <v>29418</v>
      </c>
      <c r="E11881" s="51"/>
      <c r="F11881" s="114" t="str">
        <f>IF(INDEX(I.Facility.P2bIDNumber,1869)="","",INDEX(I.Facility.P2bIDNumber,1869))</f>
        <v/>
      </c>
      <c r="G11881" s="51"/>
      <c r="H11881" s="46" t="str">
        <f>IF(AND(I.Developer.P2b=TRUE,I.Facility.P2bFacilityCount&gt;=1869,F11881=""),"Incomplete","Complete")</f>
        <v>Complete</v>
      </c>
      <c r="I11881" s="48" t="s">
        <v>16246</v>
      </c>
    </row>
    <row r="11882" spans="2:9" ht="15" customHeight="1" x14ac:dyDescent="0.25">
      <c r="B11882" s="55" t="s">
        <v>281</v>
      </c>
      <c r="C11882" s="46">
        <v>1870</v>
      </c>
      <c r="D11882" s="69" t="s">
        <v>29418</v>
      </c>
      <c r="E11882" s="51"/>
      <c r="F11882" s="114" t="str">
        <f>IF(INDEX(I.Facility.P2bIDNumber,1870)="","",INDEX(I.Facility.P2bIDNumber,1870))</f>
        <v/>
      </c>
      <c r="G11882" s="51"/>
      <c r="H11882" s="46" t="str">
        <f>IF(AND(I.Developer.P2b=TRUE,I.Facility.P2bFacilityCount&gt;=1870,F11882=""),"Incomplete","Complete")</f>
        <v>Complete</v>
      </c>
      <c r="I11882" s="48" t="s">
        <v>16247</v>
      </c>
    </row>
    <row r="11883" spans="2:9" ht="15" customHeight="1" x14ac:dyDescent="0.25">
      <c r="B11883" s="55" t="s">
        <v>281</v>
      </c>
      <c r="C11883" s="46">
        <v>1871</v>
      </c>
      <c r="D11883" s="69" t="s">
        <v>29418</v>
      </c>
      <c r="E11883" s="51"/>
      <c r="F11883" s="114" t="str">
        <f>IF(INDEX(I.Facility.P2bIDNumber,1871)="","",INDEX(I.Facility.P2bIDNumber,1871))</f>
        <v/>
      </c>
      <c r="G11883" s="51"/>
      <c r="H11883" s="46" t="str">
        <f>IF(AND(I.Developer.P2b=TRUE,I.Facility.P2bFacilityCount&gt;=1871,F11883=""),"Incomplete","Complete")</f>
        <v>Complete</v>
      </c>
      <c r="I11883" s="48" t="s">
        <v>16248</v>
      </c>
    </row>
    <row r="11884" spans="2:9" ht="15" customHeight="1" x14ac:dyDescent="0.25">
      <c r="B11884" s="55" t="s">
        <v>281</v>
      </c>
      <c r="C11884" s="46">
        <v>1872</v>
      </c>
      <c r="D11884" s="69" t="s">
        <v>29418</v>
      </c>
      <c r="E11884" s="51"/>
      <c r="F11884" s="114" t="str">
        <f>IF(INDEX(I.Facility.P2bIDNumber,1872)="","",INDEX(I.Facility.P2bIDNumber,1872))</f>
        <v/>
      </c>
      <c r="G11884" s="51"/>
      <c r="H11884" s="46" t="str">
        <f>IF(AND(I.Developer.P2b=TRUE,I.Facility.P2bFacilityCount&gt;=1872,F11884=""),"Incomplete","Complete")</f>
        <v>Complete</v>
      </c>
      <c r="I11884" s="48" t="s">
        <v>16249</v>
      </c>
    </row>
    <row r="11885" spans="2:9" ht="15" customHeight="1" x14ac:dyDescent="0.25">
      <c r="B11885" s="55" t="s">
        <v>281</v>
      </c>
      <c r="C11885" s="46">
        <v>1873</v>
      </c>
      <c r="D11885" s="69" t="s">
        <v>29418</v>
      </c>
      <c r="E11885" s="51"/>
      <c r="F11885" s="114" t="str">
        <f>IF(INDEX(I.Facility.P2bIDNumber,1873)="","",INDEX(I.Facility.P2bIDNumber,1873))</f>
        <v/>
      </c>
      <c r="G11885" s="51"/>
      <c r="H11885" s="46" t="str">
        <f>IF(AND(I.Developer.P2b=TRUE,I.Facility.P2bFacilityCount&gt;=1873,F11885=""),"Incomplete","Complete")</f>
        <v>Complete</v>
      </c>
      <c r="I11885" s="48" t="s">
        <v>16250</v>
      </c>
    </row>
    <row r="11886" spans="2:9" ht="15" customHeight="1" x14ac:dyDescent="0.25">
      <c r="B11886" s="55" t="s">
        <v>281</v>
      </c>
      <c r="C11886" s="46">
        <v>1874</v>
      </c>
      <c r="D11886" s="69" t="s">
        <v>29418</v>
      </c>
      <c r="E11886" s="51"/>
      <c r="F11886" s="114" t="str">
        <f>IF(INDEX(I.Facility.P2bIDNumber,1874)="","",INDEX(I.Facility.P2bIDNumber,1874))</f>
        <v/>
      </c>
      <c r="G11886" s="51"/>
      <c r="H11886" s="46" t="str">
        <f>IF(AND(I.Developer.P2b=TRUE,I.Facility.P2bFacilityCount&gt;=1874,F11886=""),"Incomplete","Complete")</f>
        <v>Complete</v>
      </c>
      <c r="I11886" s="48" t="s">
        <v>16251</v>
      </c>
    </row>
    <row r="11887" spans="2:9" ht="15" customHeight="1" x14ac:dyDescent="0.25">
      <c r="B11887" s="55" t="s">
        <v>281</v>
      </c>
      <c r="C11887" s="46">
        <v>1875</v>
      </c>
      <c r="D11887" s="69" t="s">
        <v>29418</v>
      </c>
      <c r="E11887" s="51"/>
      <c r="F11887" s="114" t="str">
        <f>IF(INDEX(I.Facility.P2bIDNumber,1875)="","",INDEX(I.Facility.P2bIDNumber,1875))</f>
        <v/>
      </c>
      <c r="G11887" s="51"/>
      <c r="H11887" s="46" t="str">
        <f>IF(AND(I.Developer.P2b=TRUE,I.Facility.P2bFacilityCount&gt;=1875,F11887=""),"Incomplete","Complete")</f>
        <v>Complete</v>
      </c>
      <c r="I11887" s="48" t="s">
        <v>16252</v>
      </c>
    </row>
    <row r="11888" spans="2:9" ht="15" customHeight="1" x14ac:dyDescent="0.25">
      <c r="B11888" s="55" t="s">
        <v>281</v>
      </c>
      <c r="C11888" s="46">
        <v>1876</v>
      </c>
      <c r="D11888" s="69" t="s">
        <v>29418</v>
      </c>
      <c r="E11888" s="51"/>
      <c r="F11888" s="114" t="str">
        <f>IF(INDEX(I.Facility.P2bIDNumber,1876)="","",INDEX(I.Facility.P2bIDNumber,1876))</f>
        <v/>
      </c>
      <c r="G11888" s="51"/>
      <c r="H11888" s="46" t="str">
        <f>IF(AND(I.Developer.P2b=TRUE,I.Facility.P2bFacilityCount&gt;=1876,F11888=""),"Incomplete","Complete")</f>
        <v>Complete</v>
      </c>
      <c r="I11888" s="48" t="s">
        <v>16253</v>
      </c>
    </row>
    <row r="11889" spans="2:9" ht="15" customHeight="1" x14ac:dyDescent="0.25">
      <c r="B11889" s="55" t="s">
        <v>281</v>
      </c>
      <c r="C11889" s="46">
        <v>1877</v>
      </c>
      <c r="D11889" s="69" t="s">
        <v>29418</v>
      </c>
      <c r="E11889" s="51"/>
      <c r="F11889" s="114" t="str">
        <f>IF(INDEX(I.Facility.P2bIDNumber,1877)="","",INDEX(I.Facility.P2bIDNumber,1877))</f>
        <v/>
      </c>
      <c r="G11889" s="51"/>
      <c r="H11889" s="46" t="str">
        <f>IF(AND(I.Developer.P2b=TRUE,I.Facility.P2bFacilityCount&gt;=1877,F11889=""),"Incomplete","Complete")</f>
        <v>Complete</v>
      </c>
      <c r="I11889" s="48" t="s">
        <v>16254</v>
      </c>
    </row>
    <row r="11890" spans="2:9" ht="15" customHeight="1" x14ac:dyDescent="0.25">
      <c r="B11890" s="55" t="s">
        <v>281</v>
      </c>
      <c r="C11890" s="46">
        <v>1878</v>
      </c>
      <c r="D11890" s="69" t="s">
        <v>29418</v>
      </c>
      <c r="E11890" s="51"/>
      <c r="F11890" s="114" t="str">
        <f>IF(INDEX(I.Facility.P2bIDNumber,1878)="","",INDEX(I.Facility.P2bIDNumber,1878))</f>
        <v/>
      </c>
      <c r="G11890" s="51"/>
      <c r="H11890" s="46" t="str">
        <f>IF(AND(I.Developer.P2b=TRUE,I.Facility.P2bFacilityCount&gt;=1878,F11890=""),"Incomplete","Complete")</f>
        <v>Complete</v>
      </c>
      <c r="I11890" s="48" t="s">
        <v>16255</v>
      </c>
    </row>
    <row r="11891" spans="2:9" ht="15" customHeight="1" x14ac:dyDescent="0.25">
      <c r="B11891" s="55" t="s">
        <v>281</v>
      </c>
      <c r="C11891" s="46">
        <v>1879</v>
      </c>
      <c r="D11891" s="69" t="s">
        <v>29418</v>
      </c>
      <c r="E11891" s="51"/>
      <c r="F11891" s="114" t="str">
        <f>IF(INDEX(I.Facility.P2bIDNumber,1879)="","",INDEX(I.Facility.P2bIDNumber,1879))</f>
        <v/>
      </c>
      <c r="G11891" s="51"/>
      <c r="H11891" s="46" t="str">
        <f>IF(AND(I.Developer.P2b=TRUE,I.Facility.P2bFacilityCount&gt;=1879,F11891=""),"Incomplete","Complete")</f>
        <v>Complete</v>
      </c>
      <c r="I11891" s="48" t="s">
        <v>16256</v>
      </c>
    </row>
    <row r="11892" spans="2:9" ht="15" customHeight="1" x14ac:dyDescent="0.25">
      <c r="B11892" s="55" t="s">
        <v>281</v>
      </c>
      <c r="C11892" s="46">
        <v>1880</v>
      </c>
      <c r="D11892" s="69" t="s">
        <v>29418</v>
      </c>
      <c r="E11892" s="51"/>
      <c r="F11892" s="114" t="str">
        <f>IF(INDEX(I.Facility.P2bIDNumber,1880)="","",INDEX(I.Facility.P2bIDNumber,1880))</f>
        <v/>
      </c>
      <c r="G11892" s="51"/>
      <c r="H11892" s="46" t="str">
        <f>IF(AND(I.Developer.P2b=TRUE,I.Facility.P2bFacilityCount&gt;=1880,F11892=""),"Incomplete","Complete")</f>
        <v>Complete</v>
      </c>
      <c r="I11892" s="48" t="s">
        <v>16257</v>
      </c>
    </row>
    <row r="11893" spans="2:9" ht="15" customHeight="1" x14ac:dyDescent="0.25">
      <c r="B11893" s="55" t="s">
        <v>281</v>
      </c>
      <c r="C11893" s="46">
        <v>1881</v>
      </c>
      <c r="D11893" s="69" t="s">
        <v>29418</v>
      </c>
      <c r="E11893" s="51"/>
      <c r="F11893" s="114" t="str">
        <f>IF(INDEX(I.Facility.P2bIDNumber,1881)="","",INDEX(I.Facility.P2bIDNumber,1881))</f>
        <v/>
      </c>
      <c r="G11893" s="51"/>
      <c r="H11893" s="46" t="str">
        <f>IF(AND(I.Developer.P2b=TRUE,I.Facility.P2bFacilityCount&gt;=1881,F11893=""),"Incomplete","Complete")</f>
        <v>Complete</v>
      </c>
      <c r="I11893" s="48" t="s">
        <v>16258</v>
      </c>
    </row>
    <row r="11894" spans="2:9" ht="15" customHeight="1" x14ac:dyDescent="0.25">
      <c r="B11894" s="55" t="s">
        <v>281</v>
      </c>
      <c r="C11894" s="46">
        <v>1882</v>
      </c>
      <c r="D11894" s="69" t="s">
        <v>29418</v>
      </c>
      <c r="E11894" s="51"/>
      <c r="F11894" s="114" t="str">
        <f>IF(INDEX(I.Facility.P2bIDNumber,1882)="","",INDEX(I.Facility.P2bIDNumber,1882))</f>
        <v/>
      </c>
      <c r="G11894" s="51"/>
      <c r="H11894" s="46" t="str">
        <f>IF(AND(I.Developer.P2b=TRUE,I.Facility.P2bFacilityCount&gt;=1882,F11894=""),"Incomplete","Complete")</f>
        <v>Complete</v>
      </c>
      <c r="I11894" s="48" t="s">
        <v>16259</v>
      </c>
    </row>
    <row r="11895" spans="2:9" ht="15" customHeight="1" x14ac:dyDescent="0.25">
      <c r="B11895" s="55" t="s">
        <v>281</v>
      </c>
      <c r="C11895" s="46">
        <v>1883</v>
      </c>
      <c r="D11895" s="69" t="s">
        <v>29418</v>
      </c>
      <c r="E11895" s="51"/>
      <c r="F11895" s="114" t="str">
        <f>IF(INDEX(I.Facility.P2bIDNumber,1883)="","",INDEX(I.Facility.P2bIDNumber,1883))</f>
        <v/>
      </c>
      <c r="G11895" s="51"/>
      <c r="H11895" s="46" t="str">
        <f>IF(AND(I.Developer.P2b=TRUE,I.Facility.P2bFacilityCount&gt;=1883,F11895=""),"Incomplete","Complete")</f>
        <v>Complete</v>
      </c>
      <c r="I11895" s="48" t="s">
        <v>16260</v>
      </c>
    </row>
    <row r="11896" spans="2:9" ht="15" customHeight="1" x14ac:dyDescent="0.25">
      <c r="B11896" s="55" t="s">
        <v>281</v>
      </c>
      <c r="C11896" s="46">
        <v>1884</v>
      </c>
      <c r="D11896" s="69" t="s">
        <v>29418</v>
      </c>
      <c r="E11896" s="51"/>
      <c r="F11896" s="114" t="str">
        <f>IF(INDEX(I.Facility.P2bIDNumber,1884)="","",INDEX(I.Facility.P2bIDNumber,1884))</f>
        <v/>
      </c>
      <c r="G11896" s="51"/>
      <c r="H11896" s="46" t="str">
        <f>IF(AND(I.Developer.P2b=TRUE,I.Facility.P2bFacilityCount&gt;=1884,F11896=""),"Incomplete","Complete")</f>
        <v>Complete</v>
      </c>
      <c r="I11896" s="48" t="s">
        <v>16261</v>
      </c>
    </row>
    <row r="11897" spans="2:9" ht="15" customHeight="1" x14ac:dyDescent="0.25">
      <c r="B11897" s="55" t="s">
        <v>281</v>
      </c>
      <c r="C11897" s="46">
        <v>1885</v>
      </c>
      <c r="D11897" s="69" t="s">
        <v>29418</v>
      </c>
      <c r="E11897" s="51"/>
      <c r="F11897" s="114" t="str">
        <f>IF(INDEX(I.Facility.P2bIDNumber,1885)="","",INDEX(I.Facility.P2bIDNumber,1885))</f>
        <v/>
      </c>
      <c r="G11897" s="51"/>
      <c r="H11897" s="46" t="str">
        <f>IF(AND(I.Developer.P2b=TRUE,I.Facility.P2bFacilityCount&gt;=1885,F11897=""),"Incomplete","Complete")</f>
        <v>Complete</v>
      </c>
      <c r="I11897" s="48" t="s">
        <v>16262</v>
      </c>
    </row>
    <row r="11898" spans="2:9" ht="15" customHeight="1" x14ac:dyDescent="0.25">
      <c r="B11898" s="55" t="s">
        <v>281</v>
      </c>
      <c r="C11898" s="46">
        <v>1886</v>
      </c>
      <c r="D11898" s="69" t="s">
        <v>29418</v>
      </c>
      <c r="E11898" s="51"/>
      <c r="F11898" s="114" t="str">
        <f>IF(INDEX(I.Facility.P2bIDNumber,1886)="","",INDEX(I.Facility.P2bIDNumber,1886))</f>
        <v/>
      </c>
      <c r="G11898" s="51"/>
      <c r="H11898" s="46" t="str">
        <f>IF(AND(I.Developer.P2b=TRUE,I.Facility.P2bFacilityCount&gt;=1886,F11898=""),"Incomplete","Complete")</f>
        <v>Complete</v>
      </c>
      <c r="I11898" s="48" t="s">
        <v>16263</v>
      </c>
    </row>
    <row r="11899" spans="2:9" ht="15" customHeight="1" x14ac:dyDescent="0.25">
      <c r="B11899" s="55" t="s">
        <v>281</v>
      </c>
      <c r="C11899" s="46">
        <v>1887</v>
      </c>
      <c r="D11899" s="69" t="s">
        <v>29418</v>
      </c>
      <c r="E11899" s="51"/>
      <c r="F11899" s="114" t="str">
        <f>IF(INDEX(I.Facility.P2bIDNumber,1887)="","",INDEX(I.Facility.P2bIDNumber,1887))</f>
        <v/>
      </c>
      <c r="G11899" s="51"/>
      <c r="H11899" s="46" t="str">
        <f>IF(AND(I.Developer.P2b=TRUE,I.Facility.P2bFacilityCount&gt;=1887,F11899=""),"Incomplete","Complete")</f>
        <v>Complete</v>
      </c>
      <c r="I11899" s="48" t="s">
        <v>16264</v>
      </c>
    </row>
    <row r="11900" spans="2:9" ht="15" customHeight="1" x14ac:dyDescent="0.25">
      <c r="B11900" s="55" t="s">
        <v>281</v>
      </c>
      <c r="C11900" s="46">
        <v>1888</v>
      </c>
      <c r="D11900" s="69" t="s">
        <v>29418</v>
      </c>
      <c r="E11900" s="51"/>
      <c r="F11900" s="114" t="str">
        <f>IF(INDEX(I.Facility.P2bIDNumber,1888)="","",INDEX(I.Facility.P2bIDNumber,1888))</f>
        <v/>
      </c>
      <c r="G11900" s="51"/>
      <c r="H11900" s="46" t="str">
        <f>IF(AND(I.Developer.P2b=TRUE,I.Facility.P2bFacilityCount&gt;=1888,F11900=""),"Incomplete","Complete")</f>
        <v>Complete</v>
      </c>
      <c r="I11900" s="48" t="s">
        <v>16265</v>
      </c>
    </row>
    <row r="11901" spans="2:9" ht="15" customHeight="1" x14ac:dyDescent="0.25">
      <c r="B11901" s="55" t="s">
        <v>281</v>
      </c>
      <c r="C11901" s="46">
        <v>1889</v>
      </c>
      <c r="D11901" s="69" t="s">
        <v>29418</v>
      </c>
      <c r="E11901" s="51"/>
      <c r="F11901" s="114" t="str">
        <f>IF(INDEX(I.Facility.P2bIDNumber,1889)="","",INDEX(I.Facility.P2bIDNumber,1889))</f>
        <v/>
      </c>
      <c r="G11901" s="51"/>
      <c r="H11901" s="46" t="str">
        <f>IF(AND(I.Developer.P2b=TRUE,I.Facility.P2bFacilityCount&gt;=1889,F11901=""),"Incomplete","Complete")</f>
        <v>Complete</v>
      </c>
      <c r="I11901" s="48" t="s">
        <v>16266</v>
      </c>
    </row>
    <row r="11902" spans="2:9" ht="15" customHeight="1" x14ac:dyDescent="0.25">
      <c r="B11902" s="55" t="s">
        <v>281</v>
      </c>
      <c r="C11902" s="46">
        <v>1890</v>
      </c>
      <c r="D11902" s="69" t="s">
        <v>29418</v>
      </c>
      <c r="E11902" s="51"/>
      <c r="F11902" s="114" t="str">
        <f>IF(INDEX(I.Facility.P2bIDNumber,1890)="","",INDEX(I.Facility.P2bIDNumber,1890))</f>
        <v/>
      </c>
      <c r="G11902" s="51"/>
      <c r="H11902" s="46" t="str">
        <f>IF(AND(I.Developer.P2b=TRUE,I.Facility.P2bFacilityCount&gt;=1890,F11902=""),"Incomplete","Complete")</f>
        <v>Complete</v>
      </c>
      <c r="I11902" s="48" t="s">
        <v>16267</v>
      </c>
    </row>
    <row r="11903" spans="2:9" ht="15" customHeight="1" x14ac:dyDescent="0.25">
      <c r="B11903" s="55" t="s">
        <v>281</v>
      </c>
      <c r="C11903" s="46">
        <v>1891</v>
      </c>
      <c r="D11903" s="69" t="s">
        <v>29418</v>
      </c>
      <c r="E11903" s="51"/>
      <c r="F11903" s="114" t="str">
        <f>IF(INDEX(I.Facility.P2bIDNumber,1891)="","",INDEX(I.Facility.P2bIDNumber,1891))</f>
        <v/>
      </c>
      <c r="G11903" s="51"/>
      <c r="H11903" s="46" t="str">
        <f>IF(AND(I.Developer.P2b=TRUE,I.Facility.P2bFacilityCount&gt;=1891,F11903=""),"Incomplete","Complete")</f>
        <v>Complete</v>
      </c>
      <c r="I11903" s="48" t="s">
        <v>16268</v>
      </c>
    </row>
    <row r="11904" spans="2:9" ht="15" customHeight="1" x14ac:dyDescent="0.25">
      <c r="B11904" s="55" t="s">
        <v>281</v>
      </c>
      <c r="C11904" s="46">
        <v>1892</v>
      </c>
      <c r="D11904" s="69" t="s">
        <v>29418</v>
      </c>
      <c r="E11904" s="51"/>
      <c r="F11904" s="114" t="str">
        <f>IF(INDEX(I.Facility.P2bIDNumber,1892)="","",INDEX(I.Facility.P2bIDNumber,1892))</f>
        <v/>
      </c>
      <c r="G11904" s="51"/>
      <c r="H11904" s="46" t="str">
        <f>IF(AND(I.Developer.P2b=TRUE,I.Facility.P2bFacilityCount&gt;=1892,F11904=""),"Incomplete","Complete")</f>
        <v>Complete</v>
      </c>
      <c r="I11904" s="48" t="s">
        <v>16269</v>
      </c>
    </row>
    <row r="11905" spans="2:9" ht="15" customHeight="1" x14ac:dyDescent="0.25">
      <c r="B11905" s="55" t="s">
        <v>281</v>
      </c>
      <c r="C11905" s="46">
        <v>1893</v>
      </c>
      <c r="D11905" s="69" t="s">
        <v>29418</v>
      </c>
      <c r="E11905" s="51"/>
      <c r="F11905" s="114" t="str">
        <f>IF(INDEX(I.Facility.P2bIDNumber,1893)="","",INDEX(I.Facility.P2bIDNumber,1893))</f>
        <v/>
      </c>
      <c r="G11905" s="51"/>
      <c r="H11905" s="46" t="str">
        <f>IF(AND(I.Developer.P2b=TRUE,I.Facility.P2bFacilityCount&gt;=1893,F11905=""),"Incomplete","Complete")</f>
        <v>Complete</v>
      </c>
      <c r="I11905" s="48" t="s">
        <v>16270</v>
      </c>
    </row>
    <row r="11906" spans="2:9" ht="15" customHeight="1" x14ac:dyDescent="0.25">
      <c r="B11906" s="55" t="s">
        <v>281</v>
      </c>
      <c r="C11906" s="46">
        <v>1894</v>
      </c>
      <c r="D11906" s="69" t="s">
        <v>29418</v>
      </c>
      <c r="E11906" s="51"/>
      <c r="F11906" s="114" t="str">
        <f>IF(INDEX(I.Facility.P2bIDNumber,1894)="","",INDEX(I.Facility.P2bIDNumber,1894))</f>
        <v/>
      </c>
      <c r="G11906" s="51"/>
      <c r="H11906" s="46" t="str">
        <f>IF(AND(I.Developer.P2b=TRUE,I.Facility.P2bFacilityCount&gt;=1894,F11906=""),"Incomplete","Complete")</f>
        <v>Complete</v>
      </c>
      <c r="I11906" s="48" t="s">
        <v>16271</v>
      </c>
    </row>
    <row r="11907" spans="2:9" ht="15" customHeight="1" x14ac:dyDescent="0.25">
      <c r="B11907" s="55" t="s">
        <v>281</v>
      </c>
      <c r="C11907" s="46">
        <v>1895</v>
      </c>
      <c r="D11907" s="69" t="s">
        <v>29418</v>
      </c>
      <c r="E11907" s="51"/>
      <c r="F11907" s="114" t="str">
        <f>IF(INDEX(I.Facility.P2bIDNumber,1895)="","",INDEX(I.Facility.P2bIDNumber,1895))</f>
        <v/>
      </c>
      <c r="G11907" s="51"/>
      <c r="H11907" s="46" t="str">
        <f>IF(AND(I.Developer.P2b=TRUE,I.Facility.P2bFacilityCount&gt;=1895,F11907=""),"Incomplete","Complete")</f>
        <v>Complete</v>
      </c>
      <c r="I11907" s="48" t="s">
        <v>16272</v>
      </c>
    </row>
    <row r="11908" spans="2:9" ht="15" customHeight="1" x14ac:dyDescent="0.25">
      <c r="B11908" s="55" t="s">
        <v>281</v>
      </c>
      <c r="C11908" s="46">
        <v>1896</v>
      </c>
      <c r="D11908" s="69" t="s">
        <v>29418</v>
      </c>
      <c r="E11908" s="51"/>
      <c r="F11908" s="114" t="str">
        <f>IF(INDEX(I.Facility.P2bIDNumber,1896)="","",INDEX(I.Facility.P2bIDNumber,1896))</f>
        <v/>
      </c>
      <c r="G11908" s="51"/>
      <c r="H11908" s="46" t="str">
        <f>IF(AND(I.Developer.P2b=TRUE,I.Facility.P2bFacilityCount&gt;=1896,F11908=""),"Incomplete","Complete")</f>
        <v>Complete</v>
      </c>
      <c r="I11908" s="48" t="s">
        <v>16273</v>
      </c>
    </row>
    <row r="11909" spans="2:9" ht="15" customHeight="1" x14ac:dyDescent="0.25">
      <c r="B11909" s="55" t="s">
        <v>281</v>
      </c>
      <c r="C11909" s="46">
        <v>1897</v>
      </c>
      <c r="D11909" s="69" t="s">
        <v>29418</v>
      </c>
      <c r="E11909" s="51"/>
      <c r="F11909" s="114" t="str">
        <f>IF(INDEX(I.Facility.P2bIDNumber,1897)="","",INDEX(I.Facility.P2bIDNumber,1897))</f>
        <v/>
      </c>
      <c r="G11909" s="51"/>
      <c r="H11909" s="46" t="str">
        <f>IF(AND(I.Developer.P2b=TRUE,I.Facility.P2bFacilityCount&gt;=1897,F11909=""),"Incomplete","Complete")</f>
        <v>Complete</v>
      </c>
      <c r="I11909" s="48" t="s">
        <v>16274</v>
      </c>
    </row>
    <row r="11910" spans="2:9" ht="15" customHeight="1" x14ac:dyDescent="0.25">
      <c r="B11910" s="55" t="s">
        <v>281</v>
      </c>
      <c r="C11910" s="46">
        <v>1898</v>
      </c>
      <c r="D11910" s="69" t="s">
        <v>29418</v>
      </c>
      <c r="E11910" s="51"/>
      <c r="F11910" s="114" t="str">
        <f>IF(INDEX(I.Facility.P2bIDNumber,1898)="","",INDEX(I.Facility.P2bIDNumber,1898))</f>
        <v/>
      </c>
      <c r="G11910" s="51"/>
      <c r="H11910" s="46" t="str">
        <f>IF(AND(I.Developer.P2b=TRUE,I.Facility.P2bFacilityCount&gt;=1898,F11910=""),"Incomplete","Complete")</f>
        <v>Complete</v>
      </c>
      <c r="I11910" s="48" t="s">
        <v>16275</v>
      </c>
    </row>
    <row r="11911" spans="2:9" ht="15" customHeight="1" x14ac:dyDescent="0.25">
      <c r="B11911" s="55" t="s">
        <v>281</v>
      </c>
      <c r="C11911" s="46">
        <v>1899</v>
      </c>
      <c r="D11911" s="69" t="s">
        <v>29418</v>
      </c>
      <c r="E11911" s="51"/>
      <c r="F11911" s="114" t="str">
        <f>IF(INDEX(I.Facility.P2bIDNumber,1899)="","",INDEX(I.Facility.P2bIDNumber,1899))</f>
        <v/>
      </c>
      <c r="G11911" s="51"/>
      <c r="H11911" s="46" t="str">
        <f>IF(AND(I.Developer.P2b=TRUE,I.Facility.P2bFacilityCount&gt;=1899,F11911=""),"Incomplete","Complete")</f>
        <v>Complete</v>
      </c>
      <c r="I11911" s="48" t="s">
        <v>16276</v>
      </c>
    </row>
    <row r="11912" spans="2:9" ht="15" customHeight="1" x14ac:dyDescent="0.25">
      <c r="B11912" s="55" t="s">
        <v>281</v>
      </c>
      <c r="C11912" s="46">
        <v>1900</v>
      </c>
      <c r="D11912" s="69" t="s">
        <v>29418</v>
      </c>
      <c r="E11912" s="51"/>
      <c r="F11912" s="114" t="str">
        <f>IF(INDEX(I.Facility.P2bIDNumber,1900)="","",INDEX(I.Facility.P2bIDNumber,1900))</f>
        <v/>
      </c>
      <c r="G11912" s="51"/>
      <c r="H11912" s="46" t="str">
        <f>IF(AND(I.Developer.P2b=TRUE,I.Facility.P2bFacilityCount&gt;=1900,F11912=""),"Incomplete","Complete")</f>
        <v>Complete</v>
      </c>
      <c r="I11912" s="48" t="s">
        <v>16277</v>
      </c>
    </row>
    <row r="11913" spans="2:9" ht="15" customHeight="1" x14ac:dyDescent="0.25">
      <c r="B11913" s="55" t="s">
        <v>281</v>
      </c>
      <c r="C11913" s="46">
        <v>1901</v>
      </c>
      <c r="D11913" s="69" t="s">
        <v>29418</v>
      </c>
      <c r="E11913" s="51"/>
      <c r="F11913" s="114" t="str">
        <f>IF(INDEX(I.Facility.P2bIDNumber,1901)="","",INDEX(I.Facility.P2bIDNumber,1901))</f>
        <v/>
      </c>
      <c r="G11913" s="51"/>
      <c r="H11913" s="46" t="str">
        <f>IF(AND(I.Developer.P2b=TRUE,I.Facility.P2bFacilityCount&gt;=1901,F11913=""),"Incomplete","Complete")</f>
        <v>Complete</v>
      </c>
      <c r="I11913" s="48" t="s">
        <v>16278</v>
      </c>
    </row>
    <row r="11914" spans="2:9" ht="15" customHeight="1" x14ac:dyDescent="0.25">
      <c r="B11914" s="55" t="s">
        <v>281</v>
      </c>
      <c r="C11914" s="46">
        <v>1902</v>
      </c>
      <c r="D11914" s="69" t="s">
        <v>29418</v>
      </c>
      <c r="E11914" s="51"/>
      <c r="F11914" s="114" t="str">
        <f>IF(INDEX(I.Facility.P2bIDNumber,1902)="","",INDEX(I.Facility.P2bIDNumber,1902))</f>
        <v/>
      </c>
      <c r="G11914" s="51"/>
      <c r="H11914" s="46" t="str">
        <f>IF(AND(I.Developer.P2b=TRUE,I.Facility.P2bFacilityCount&gt;=1902,F11914=""),"Incomplete","Complete")</f>
        <v>Complete</v>
      </c>
      <c r="I11914" s="48" t="s">
        <v>16279</v>
      </c>
    </row>
    <row r="11915" spans="2:9" ht="15" customHeight="1" x14ac:dyDescent="0.25">
      <c r="B11915" s="55" t="s">
        <v>281</v>
      </c>
      <c r="C11915" s="46">
        <v>1903</v>
      </c>
      <c r="D11915" s="69" t="s">
        <v>29418</v>
      </c>
      <c r="E11915" s="51"/>
      <c r="F11915" s="114" t="str">
        <f>IF(INDEX(I.Facility.P2bIDNumber,1903)="","",INDEX(I.Facility.P2bIDNumber,1903))</f>
        <v/>
      </c>
      <c r="G11915" s="51"/>
      <c r="H11915" s="46" t="str">
        <f>IF(AND(I.Developer.P2b=TRUE,I.Facility.P2bFacilityCount&gt;=1903,F11915=""),"Incomplete","Complete")</f>
        <v>Complete</v>
      </c>
      <c r="I11915" s="48" t="s">
        <v>16280</v>
      </c>
    </row>
    <row r="11916" spans="2:9" ht="15" customHeight="1" x14ac:dyDescent="0.25">
      <c r="B11916" s="55" t="s">
        <v>281</v>
      </c>
      <c r="C11916" s="46">
        <v>1904</v>
      </c>
      <c r="D11916" s="69" t="s">
        <v>29418</v>
      </c>
      <c r="E11916" s="51"/>
      <c r="F11916" s="114" t="str">
        <f>IF(INDEX(I.Facility.P2bIDNumber,1904)="","",INDEX(I.Facility.P2bIDNumber,1904))</f>
        <v/>
      </c>
      <c r="G11916" s="51"/>
      <c r="H11916" s="46" t="str">
        <f>IF(AND(I.Developer.P2b=TRUE,I.Facility.P2bFacilityCount&gt;=1904,F11916=""),"Incomplete","Complete")</f>
        <v>Complete</v>
      </c>
      <c r="I11916" s="48" t="s">
        <v>16281</v>
      </c>
    </row>
    <row r="11917" spans="2:9" ht="15" customHeight="1" x14ac:dyDescent="0.25">
      <c r="B11917" s="55" t="s">
        <v>281</v>
      </c>
      <c r="C11917" s="46">
        <v>1905</v>
      </c>
      <c r="D11917" s="69" t="s">
        <v>29418</v>
      </c>
      <c r="E11917" s="51"/>
      <c r="F11917" s="114" t="str">
        <f>IF(INDEX(I.Facility.P2bIDNumber,1905)="","",INDEX(I.Facility.P2bIDNumber,1905))</f>
        <v/>
      </c>
      <c r="G11917" s="51"/>
      <c r="H11917" s="46" t="str">
        <f>IF(AND(I.Developer.P2b=TRUE,I.Facility.P2bFacilityCount&gt;=1905,F11917=""),"Incomplete","Complete")</f>
        <v>Complete</v>
      </c>
      <c r="I11917" s="48" t="s">
        <v>16282</v>
      </c>
    </row>
    <row r="11918" spans="2:9" ht="15" customHeight="1" x14ac:dyDescent="0.25">
      <c r="B11918" s="55" t="s">
        <v>281</v>
      </c>
      <c r="C11918" s="46">
        <v>1906</v>
      </c>
      <c r="D11918" s="69" t="s">
        <v>29418</v>
      </c>
      <c r="E11918" s="51"/>
      <c r="F11918" s="114" t="str">
        <f>IF(INDEX(I.Facility.P2bIDNumber,1906)="","",INDEX(I.Facility.P2bIDNumber,1906))</f>
        <v/>
      </c>
      <c r="G11918" s="51"/>
      <c r="H11918" s="46" t="str">
        <f>IF(AND(I.Developer.P2b=TRUE,I.Facility.P2bFacilityCount&gt;=1906,F11918=""),"Incomplete","Complete")</f>
        <v>Complete</v>
      </c>
      <c r="I11918" s="48" t="s">
        <v>16283</v>
      </c>
    </row>
    <row r="11919" spans="2:9" ht="15" customHeight="1" x14ac:dyDescent="0.25">
      <c r="B11919" s="55" t="s">
        <v>281</v>
      </c>
      <c r="C11919" s="46">
        <v>1907</v>
      </c>
      <c r="D11919" s="69" t="s">
        <v>29418</v>
      </c>
      <c r="E11919" s="51"/>
      <c r="F11919" s="114" t="str">
        <f>IF(INDEX(I.Facility.P2bIDNumber,1907)="","",INDEX(I.Facility.P2bIDNumber,1907))</f>
        <v/>
      </c>
      <c r="G11919" s="51"/>
      <c r="H11919" s="46" t="str">
        <f>IF(AND(I.Developer.P2b=TRUE,I.Facility.P2bFacilityCount&gt;=1907,F11919=""),"Incomplete","Complete")</f>
        <v>Complete</v>
      </c>
      <c r="I11919" s="48" t="s">
        <v>16284</v>
      </c>
    </row>
    <row r="11920" spans="2:9" ht="15" customHeight="1" x14ac:dyDescent="0.25">
      <c r="B11920" s="55" t="s">
        <v>281</v>
      </c>
      <c r="C11920" s="46">
        <v>1908</v>
      </c>
      <c r="D11920" s="69" t="s">
        <v>29418</v>
      </c>
      <c r="E11920" s="51"/>
      <c r="F11920" s="114" t="str">
        <f>IF(INDEX(I.Facility.P2bIDNumber,1908)="","",INDEX(I.Facility.P2bIDNumber,1908))</f>
        <v/>
      </c>
      <c r="G11920" s="51"/>
      <c r="H11920" s="46" t="str">
        <f>IF(AND(I.Developer.P2b=TRUE,I.Facility.P2bFacilityCount&gt;=1908,F11920=""),"Incomplete","Complete")</f>
        <v>Complete</v>
      </c>
      <c r="I11920" s="48" t="s">
        <v>16285</v>
      </c>
    </row>
    <row r="11921" spans="2:9" ht="15" customHeight="1" x14ac:dyDescent="0.25">
      <c r="B11921" s="55" t="s">
        <v>281</v>
      </c>
      <c r="C11921" s="46">
        <v>1909</v>
      </c>
      <c r="D11921" s="69" t="s">
        <v>29418</v>
      </c>
      <c r="E11921" s="51"/>
      <c r="F11921" s="114" t="str">
        <f>IF(INDEX(I.Facility.P2bIDNumber,1909)="","",INDEX(I.Facility.P2bIDNumber,1909))</f>
        <v/>
      </c>
      <c r="G11921" s="51"/>
      <c r="H11921" s="46" t="str">
        <f>IF(AND(I.Developer.P2b=TRUE,I.Facility.P2bFacilityCount&gt;=1909,F11921=""),"Incomplete","Complete")</f>
        <v>Complete</v>
      </c>
      <c r="I11921" s="48" t="s">
        <v>16286</v>
      </c>
    </row>
    <row r="11922" spans="2:9" ht="15" customHeight="1" x14ac:dyDescent="0.25">
      <c r="B11922" s="55" t="s">
        <v>281</v>
      </c>
      <c r="C11922" s="46">
        <v>1910</v>
      </c>
      <c r="D11922" s="69" t="s">
        <v>29418</v>
      </c>
      <c r="E11922" s="51"/>
      <c r="F11922" s="114" t="str">
        <f>IF(INDEX(I.Facility.P2bIDNumber,1910)="","",INDEX(I.Facility.P2bIDNumber,1910))</f>
        <v/>
      </c>
      <c r="G11922" s="51"/>
      <c r="H11922" s="46" t="str">
        <f>IF(AND(I.Developer.P2b=TRUE,I.Facility.P2bFacilityCount&gt;=1910,F11922=""),"Incomplete","Complete")</f>
        <v>Complete</v>
      </c>
      <c r="I11922" s="48" t="s">
        <v>16287</v>
      </c>
    </row>
    <row r="11923" spans="2:9" ht="15" customHeight="1" x14ac:dyDescent="0.25">
      <c r="B11923" s="55" t="s">
        <v>281</v>
      </c>
      <c r="C11923" s="46">
        <v>1911</v>
      </c>
      <c r="D11923" s="69" t="s">
        <v>29418</v>
      </c>
      <c r="E11923" s="51"/>
      <c r="F11923" s="114" t="str">
        <f>IF(INDEX(I.Facility.P2bIDNumber,1911)="","",INDEX(I.Facility.P2bIDNumber,1911))</f>
        <v/>
      </c>
      <c r="G11923" s="51"/>
      <c r="H11923" s="46" t="str">
        <f>IF(AND(I.Developer.P2b=TRUE,I.Facility.P2bFacilityCount&gt;=1911,F11923=""),"Incomplete","Complete")</f>
        <v>Complete</v>
      </c>
      <c r="I11923" s="48" t="s">
        <v>16288</v>
      </c>
    </row>
    <row r="11924" spans="2:9" ht="15" customHeight="1" x14ac:dyDescent="0.25">
      <c r="B11924" s="55" t="s">
        <v>281</v>
      </c>
      <c r="C11924" s="46">
        <v>1912</v>
      </c>
      <c r="D11924" s="69" t="s">
        <v>29418</v>
      </c>
      <c r="E11924" s="51"/>
      <c r="F11924" s="114" t="str">
        <f>IF(INDEX(I.Facility.P2bIDNumber,1912)="","",INDEX(I.Facility.P2bIDNumber,1912))</f>
        <v/>
      </c>
      <c r="G11924" s="51"/>
      <c r="H11924" s="46" t="str">
        <f>IF(AND(I.Developer.P2b=TRUE,I.Facility.P2bFacilityCount&gt;=1912,F11924=""),"Incomplete","Complete")</f>
        <v>Complete</v>
      </c>
      <c r="I11924" s="48" t="s">
        <v>16289</v>
      </c>
    </row>
    <row r="11925" spans="2:9" ht="15" customHeight="1" x14ac:dyDescent="0.25">
      <c r="B11925" s="55" t="s">
        <v>281</v>
      </c>
      <c r="C11925" s="46">
        <v>1913</v>
      </c>
      <c r="D11925" s="69" t="s">
        <v>29418</v>
      </c>
      <c r="E11925" s="51"/>
      <c r="F11925" s="114" t="str">
        <f>IF(INDEX(I.Facility.P2bIDNumber,1913)="","",INDEX(I.Facility.P2bIDNumber,1913))</f>
        <v/>
      </c>
      <c r="G11925" s="51"/>
      <c r="H11925" s="46" t="str">
        <f>IF(AND(I.Developer.P2b=TRUE,I.Facility.P2bFacilityCount&gt;=1913,F11925=""),"Incomplete","Complete")</f>
        <v>Complete</v>
      </c>
      <c r="I11925" s="48" t="s">
        <v>16290</v>
      </c>
    </row>
    <row r="11926" spans="2:9" ht="15" customHeight="1" x14ac:dyDescent="0.25">
      <c r="B11926" s="55" t="s">
        <v>281</v>
      </c>
      <c r="C11926" s="46">
        <v>1914</v>
      </c>
      <c r="D11926" s="69" t="s">
        <v>29418</v>
      </c>
      <c r="E11926" s="51"/>
      <c r="F11926" s="114" t="str">
        <f>IF(INDEX(I.Facility.P2bIDNumber,1914)="","",INDEX(I.Facility.P2bIDNumber,1914))</f>
        <v/>
      </c>
      <c r="G11926" s="51"/>
      <c r="H11926" s="46" t="str">
        <f>IF(AND(I.Developer.P2b=TRUE,I.Facility.P2bFacilityCount&gt;=1914,F11926=""),"Incomplete","Complete")</f>
        <v>Complete</v>
      </c>
      <c r="I11926" s="48" t="s">
        <v>16291</v>
      </c>
    </row>
    <row r="11927" spans="2:9" ht="15" customHeight="1" x14ac:dyDescent="0.25">
      <c r="B11927" s="55" t="s">
        <v>281</v>
      </c>
      <c r="C11927" s="46">
        <v>1915</v>
      </c>
      <c r="D11927" s="69" t="s">
        <v>29418</v>
      </c>
      <c r="E11927" s="51"/>
      <c r="F11927" s="114" t="str">
        <f>IF(INDEX(I.Facility.P2bIDNumber,1915)="","",INDEX(I.Facility.P2bIDNumber,1915))</f>
        <v/>
      </c>
      <c r="G11927" s="51"/>
      <c r="H11927" s="46" t="str">
        <f>IF(AND(I.Developer.P2b=TRUE,I.Facility.P2bFacilityCount&gt;=1915,F11927=""),"Incomplete","Complete")</f>
        <v>Complete</v>
      </c>
      <c r="I11927" s="48" t="s">
        <v>16292</v>
      </c>
    </row>
    <row r="11928" spans="2:9" ht="15" customHeight="1" x14ac:dyDescent="0.25">
      <c r="B11928" s="55" t="s">
        <v>281</v>
      </c>
      <c r="C11928" s="46">
        <v>1916</v>
      </c>
      <c r="D11928" s="69" t="s">
        <v>29418</v>
      </c>
      <c r="E11928" s="51"/>
      <c r="F11928" s="114" t="str">
        <f>IF(INDEX(I.Facility.P2bIDNumber,1916)="","",INDEX(I.Facility.P2bIDNumber,1916))</f>
        <v/>
      </c>
      <c r="G11928" s="51"/>
      <c r="H11928" s="46" t="str">
        <f>IF(AND(I.Developer.P2b=TRUE,I.Facility.P2bFacilityCount&gt;=1916,F11928=""),"Incomplete","Complete")</f>
        <v>Complete</v>
      </c>
      <c r="I11928" s="48" t="s">
        <v>16293</v>
      </c>
    </row>
    <row r="11929" spans="2:9" ht="15" customHeight="1" x14ac:dyDescent="0.25">
      <c r="B11929" s="55" t="s">
        <v>281</v>
      </c>
      <c r="C11929" s="46">
        <v>1917</v>
      </c>
      <c r="D11929" s="69" t="s">
        <v>29418</v>
      </c>
      <c r="E11929" s="51"/>
      <c r="F11929" s="114" t="str">
        <f>IF(INDEX(I.Facility.P2bIDNumber,1917)="","",INDEX(I.Facility.P2bIDNumber,1917))</f>
        <v/>
      </c>
      <c r="G11929" s="51"/>
      <c r="H11929" s="46" t="str">
        <f>IF(AND(I.Developer.P2b=TRUE,I.Facility.P2bFacilityCount&gt;=1917,F11929=""),"Incomplete","Complete")</f>
        <v>Complete</v>
      </c>
      <c r="I11929" s="48" t="s">
        <v>16294</v>
      </c>
    </row>
    <row r="11930" spans="2:9" ht="15" customHeight="1" x14ac:dyDescent="0.25">
      <c r="B11930" s="55" t="s">
        <v>281</v>
      </c>
      <c r="C11930" s="46">
        <v>1918</v>
      </c>
      <c r="D11930" s="69" t="s">
        <v>29418</v>
      </c>
      <c r="E11930" s="51"/>
      <c r="F11930" s="114" t="str">
        <f>IF(INDEX(I.Facility.P2bIDNumber,1918)="","",INDEX(I.Facility.P2bIDNumber,1918))</f>
        <v/>
      </c>
      <c r="G11930" s="51"/>
      <c r="H11930" s="46" t="str">
        <f>IF(AND(I.Developer.P2b=TRUE,I.Facility.P2bFacilityCount&gt;=1918,F11930=""),"Incomplete","Complete")</f>
        <v>Complete</v>
      </c>
      <c r="I11930" s="48" t="s">
        <v>16295</v>
      </c>
    </row>
    <row r="11931" spans="2:9" ht="15" customHeight="1" x14ac:dyDescent="0.25">
      <c r="B11931" s="55" t="s">
        <v>281</v>
      </c>
      <c r="C11931" s="46">
        <v>1919</v>
      </c>
      <c r="D11931" s="69" t="s">
        <v>29418</v>
      </c>
      <c r="E11931" s="51"/>
      <c r="F11931" s="114" t="str">
        <f>IF(INDEX(I.Facility.P2bIDNumber,1919)="","",INDEX(I.Facility.P2bIDNumber,1919))</f>
        <v/>
      </c>
      <c r="G11931" s="51"/>
      <c r="H11931" s="46" t="str">
        <f>IF(AND(I.Developer.P2b=TRUE,I.Facility.P2bFacilityCount&gt;=1919,F11931=""),"Incomplete","Complete")</f>
        <v>Complete</v>
      </c>
      <c r="I11931" s="48" t="s">
        <v>16296</v>
      </c>
    </row>
    <row r="11932" spans="2:9" ht="15" customHeight="1" x14ac:dyDescent="0.25">
      <c r="B11932" s="55" t="s">
        <v>281</v>
      </c>
      <c r="C11932" s="46">
        <v>1920</v>
      </c>
      <c r="D11932" s="69" t="s">
        <v>29418</v>
      </c>
      <c r="E11932" s="51"/>
      <c r="F11932" s="114" t="str">
        <f>IF(INDEX(I.Facility.P2bIDNumber,1920)="","",INDEX(I.Facility.P2bIDNumber,1920))</f>
        <v/>
      </c>
      <c r="G11932" s="51"/>
      <c r="H11932" s="46" t="str">
        <f>IF(AND(I.Developer.P2b=TRUE,I.Facility.P2bFacilityCount&gt;=1920,F11932=""),"Incomplete","Complete")</f>
        <v>Complete</v>
      </c>
      <c r="I11932" s="48" t="s">
        <v>16297</v>
      </c>
    </row>
    <row r="11933" spans="2:9" ht="15" customHeight="1" x14ac:dyDescent="0.25">
      <c r="B11933" s="55" t="s">
        <v>281</v>
      </c>
      <c r="C11933" s="46">
        <v>1921</v>
      </c>
      <c r="D11933" s="69" t="s">
        <v>29418</v>
      </c>
      <c r="E11933" s="51"/>
      <c r="F11933" s="114" t="str">
        <f>IF(INDEX(I.Facility.P2bIDNumber,1921)="","",INDEX(I.Facility.P2bIDNumber,1921))</f>
        <v/>
      </c>
      <c r="G11933" s="51"/>
      <c r="H11933" s="46" t="str">
        <f>IF(AND(I.Developer.P2b=TRUE,I.Facility.P2bFacilityCount&gt;=1921,F11933=""),"Incomplete","Complete")</f>
        <v>Complete</v>
      </c>
      <c r="I11933" s="48" t="s">
        <v>16298</v>
      </c>
    </row>
    <row r="11934" spans="2:9" ht="15" customHeight="1" x14ac:dyDescent="0.25">
      <c r="B11934" s="55" t="s">
        <v>281</v>
      </c>
      <c r="C11934" s="46">
        <v>1922</v>
      </c>
      <c r="D11934" s="69" t="s">
        <v>29418</v>
      </c>
      <c r="E11934" s="51"/>
      <c r="F11934" s="114" t="str">
        <f>IF(INDEX(I.Facility.P2bIDNumber,1922)="","",INDEX(I.Facility.P2bIDNumber,1922))</f>
        <v/>
      </c>
      <c r="G11934" s="51"/>
      <c r="H11934" s="46" t="str">
        <f>IF(AND(I.Developer.P2b=TRUE,I.Facility.P2bFacilityCount&gt;=1922,F11934=""),"Incomplete","Complete")</f>
        <v>Complete</v>
      </c>
      <c r="I11934" s="48" t="s">
        <v>16299</v>
      </c>
    </row>
    <row r="11935" spans="2:9" ht="15" customHeight="1" x14ac:dyDescent="0.25">
      <c r="B11935" s="55" t="s">
        <v>281</v>
      </c>
      <c r="C11935" s="46">
        <v>1923</v>
      </c>
      <c r="D11935" s="69" t="s">
        <v>29418</v>
      </c>
      <c r="E11935" s="51"/>
      <c r="F11935" s="114" t="str">
        <f>IF(INDEX(I.Facility.P2bIDNumber,1923)="","",INDEX(I.Facility.P2bIDNumber,1923))</f>
        <v/>
      </c>
      <c r="G11935" s="51"/>
      <c r="H11935" s="46" t="str">
        <f>IF(AND(I.Developer.P2b=TRUE,I.Facility.P2bFacilityCount&gt;=1923,F11935=""),"Incomplete","Complete")</f>
        <v>Complete</v>
      </c>
      <c r="I11935" s="48" t="s">
        <v>16300</v>
      </c>
    </row>
    <row r="11936" spans="2:9" ht="15" customHeight="1" x14ac:dyDescent="0.25">
      <c r="B11936" s="55" t="s">
        <v>281</v>
      </c>
      <c r="C11936" s="46">
        <v>1924</v>
      </c>
      <c r="D11936" s="69" t="s">
        <v>29418</v>
      </c>
      <c r="E11936" s="51"/>
      <c r="F11936" s="114" t="str">
        <f>IF(INDEX(I.Facility.P2bIDNumber,1924)="","",INDEX(I.Facility.P2bIDNumber,1924))</f>
        <v/>
      </c>
      <c r="G11936" s="51"/>
      <c r="H11936" s="46" t="str">
        <f>IF(AND(I.Developer.P2b=TRUE,I.Facility.P2bFacilityCount&gt;=1924,F11936=""),"Incomplete","Complete")</f>
        <v>Complete</v>
      </c>
      <c r="I11936" s="48" t="s">
        <v>16301</v>
      </c>
    </row>
    <row r="11937" spans="2:9" ht="15" customHeight="1" x14ac:dyDescent="0.25">
      <c r="B11937" s="55" t="s">
        <v>281</v>
      </c>
      <c r="C11937" s="46">
        <v>1925</v>
      </c>
      <c r="D11937" s="69" t="s">
        <v>29418</v>
      </c>
      <c r="E11937" s="51"/>
      <c r="F11937" s="114" t="str">
        <f>IF(INDEX(I.Facility.P2bIDNumber,1925)="","",INDEX(I.Facility.P2bIDNumber,1925))</f>
        <v/>
      </c>
      <c r="G11937" s="51"/>
      <c r="H11937" s="46" t="str">
        <f>IF(AND(I.Developer.P2b=TRUE,I.Facility.P2bFacilityCount&gt;=1925,F11937=""),"Incomplete","Complete")</f>
        <v>Complete</v>
      </c>
      <c r="I11937" s="48" t="s">
        <v>16302</v>
      </c>
    </row>
    <row r="11938" spans="2:9" ht="15" customHeight="1" x14ac:dyDescent="0.25">
      <c r="B11938" s="55" t="s">
        <v>281</v>
      </c>
      <c r="C11938" s="46">
        <v>1926</v>
      </c>
      <c r="D11938" s="69" t="s">
        <v>29418</v>
      </c>
      <c r="E11938" s="51"/>
      <c r="F11938" s="114" t="str">
        <f>IF(INDEX(I.Facility.P2bIDNumber,1926)="","",INDEX(I.Facility.P2bIDNumber,1926))</f>
        <v/>
      </c>
      <c r="G11938" s="51"/>
      <c r="H11938" s="46" t="str">
        <f>IF(AND(I.Developer.P2b=TRUE,I.Facility.P2bFacilityCount&gt;=1926,F11938=""),"Incomplete","Complete")</f>
        <v>Complete</v>
      </c>
      <c r="I11938" s="48" t="s">
        <v>16303</v>
      </c>
    </row>
    <row r="11939" spans="2:9" ht="15" customHeight="1" x14ac:dyDescent="0.25">
      <c r="B11939" s="55" t="s">
        <v>281</v>
      </c>
      <c r="C11939" s="46">
        <v>1927</v>
      </c>
      <c r="D11939" s="69" t="s">
        <v>29418</v>
      </c>
      <c r="E11939" s="51"/>
      <c r="F11939" s="114" t="str">
        <f>IF(INDEX(I.Facility.P2bIDNumber,1927)="","",INDEX(I.Facility.P2bIDNumber,1927))</f>
        <v/>
      </c>
      <c r="G11939" s="51"/>
      <c r="H11939" s="46" t="str">
        <f>IF(AND(I.Developer.P2b=TRUE,I.Facility.P2bFacilityCount&gt;=1927,F11939=""),"Incomplete","Complete")</f>
        <v>Complete</v>
      </c>
      <c r="I11939" s="48" t="s">
        <v>16304</v>
      </c>
    </row>
    <row r="11940" spans="2:9" ht="15" customHeight="1" x14ac:dyDescent="0.25">
      <c r="B11940" s="55" t="s">
        <v>281</v>
      </c>
      <c r="C11940" s="46">
        <v>1928</v>
      </c>
      <c r="D11940" s="69" t="s">
        <v>29418</v>
      </c>
      <c r="E11940" s="51"/>
      <c r="F11940" s="114" t="str">
        <f>IF(INDEX(I.Facility.P2bIDNumber,1928)="","",INDEX(I.Facility.P2bIDNumber,1928))</f>
        <v/>
      </c>
      <c r="G11940" s="51"/>
      <c r="H11940" s="46" t="str">
        <f>IF(AND(I.Developer.P2b=TRUE,I.Facility.P2bFacilityCount&gt;=1928,F11940=""),"Incomplete","Complete")</f>
        <v>Complete</v>
      </c>
      <c r="I11940" s="48" t="s">
        <v>16305</v>
      </c>
    </row>
    <row r="11941" spans="2:9" ht="15" customHeight="1" x14ac:dyDescent="0.25">
      <c r="B11941" s="55" t="s">
        <v>281</v>
      </c>
      <c r="C11941" s="46">
        <v>1929</v>
      </c>
      <c r="D11941" s="69" t="s">
        <v>29418</v>
      </c>
      <c r="E11941" s="51"/>
      <c r="F11941" s="114" t="str">
        <f>IF(INDEX(I.Facility.P2bIDNumber,1929)="","",INDEX(I.Facility.P2bIDNumber,1929))</f>
        <v/>
      </c>
      <c r="G11941" s="51"/>
      <c r="H11941" s="46" t="str">
        <f>IF(AND(I.Developer.P2b=TRUE,I.Facility.P2bFacilityCount&gt;=1929,F11941=""),"Incomplete","Complete")</f>
        <v>Complete</v>
      </c>
      <c r="I11941" s="48" t="s">
        <v>16306</v>
      </c>
    </row>
    <row r="11942" spans="2:9" ht="15" customHeight="1" x14ac:dyDescent="0.25">
      <c r="B11942" s="55" t="s">
        <v>281</v>
      </c>
      <c r="C11942" s="46">
        <v>1930</v>
      </c>
      <c r="D11942" s="69" t="s">
        <v>29418</v>
      </c>
      <c r="E11942" s="51"/>
      <c r="F11942" s="114" t="str">
        <f>IF(INDEX(I.Facility.P2bIDNumber,1930)="","",INDEX(I.Facility.P2bIDNumber,1930))</f>
        <v/>
      </c>
      <c r="G11942" s="51"/>
      <c r="H11942" s="46" t="str">
        <f>IF(AND(I.Developer.P2b=TRUE,I.Facility.P2bFacilityCount&gt;=1930,F11942=""),"Incomplete","Complete")</f>
        <v>Complete</v>
      </c>
      <c r="I11942" s="48" t="s">
        <v>16307</v>
      </c>
    </row>
    <row r="11943" spans="2:9" ht="15" customHeight="1" x14ac:dyDescent="0.25">
      <c r="B11943" s="55" t="s">
        <v>281</v>
      </c>
      <c r="C11943" s="46">
        <v>1931</v>
      </c>
      <c r="D11943" s="69" t="s">
        <v>29418</v>
      </c>
      <c r="E11943" s="51"/>
      <c r="F11943" s="114" t="str">
        <f>IF(INDEX(I.Facility.P2bIDNumber,1931)="","",INDEX(I.Facility.P2bIDNumber,1931))</f>
        <v/>
      </c>
      <c r="G11943" s="51"/>
      <c r="H11943" s="46" t="str">
        <f>IF(AND(I.Developer.P2b=TRUE,I.Facility.P2bFacilityCount&gt;=1931,F11943=""),"Incomplete","Complete")</f>
        <v>Complete</v>
      </c>
      <c r="I11943" s="48" t="s">
        <v>16308</v>
      </c>
    </row>
    <row r="11944" spans="2:9" ht="15" customHeight="1" x14ac:dyDescent="0.25">
      <c r="B11944" s="55" t="s">
        <v>281</v>
      </c>
      <c r="C11944" s="46">
        <v>1932</v>
      </c>
      <c r="D11944" s="69" t="s">
        <v>29418</v>
      </c>
      <c r="E11944" s="51"/>
      <c r="F11944" s="114" t="str">
        <f>IF(INDEX(I.Facility.P2bIDNumber,1932)="","",INDEX(I.Facility.P2bIDNumber,1932))</f>
        <v/>
      </c>
      <c r="G11944" s="51"/>
      <c r="H11944" s="46" t="str">
        <f>IF(AND(I.Developer.P2b=TRUE,I.Facility.P2bFacilityCount&gt;=1932,F11944=""),"Incomplete","Complete")</f>
        <v>Complete</v>
      </c>
      <c r="I11944" s="48" t="s">
        <v>16309</v>
      </c>
    </row>
    <row r="11945" spans="2:9" ht="15" customHeight="1" x14ac:dyDescent="0.25">
      <c r="B11945" s="55" t="s">
        <v>281</v>
      </c>
      <c r="C11945" s="46">
        <v>1933</v>
      </c>
      <c r="D11945" s="69" t="s">
        <v>29418</v>
      </c>
      <c r="E11945" s="51"/>
      <c r="F11945" s="114" t="str">
        <f>IF(INDEX(I.Facility.P2bIDNumber,1933)="","",INDEX(I.Facility.P2bIDNumber,1933))</f>
        <v/>
      </c>
      <c r="G11945" s="51"/>
      <c r="H11945" s="46" t="str">
        <f>IF(AND(I.Developer.P2b=TRUE,I.Facility.P2bFacilityCount&gt;=1933,F11945=""),"Incomplete","Complete")</f>
        <v>Complete</v>
      </c>
      <c r="I11945" s="48" t="s">
        <v>16310</v>
      </c>
    </row>
    <row r="11946" spans="2:9" ht="15" customHeight="1" x14ac:dyDescent="0.25">
      <c r="B11946" s="55" t="s">
        <v>281</v>
      </c>
      <c r="C11946" s="46">
        <v>1934</v>
      </c>
      <c r="D11946" s="69" t="s">
        <v>29418</v>
      </c>
      <c r="E11946" s="51"/>
      <c r="F11946" s="114" t="str">
        <f>IF(INDEX(I.Facility.P2bIDNumber,1934)="","",INDEX(I.Facility.P2bIDNumber,1934))</f>
        <v/>
      </c>
      <c r="G11946" s="51"/>
      <c r="H11946" s="46" t="str">
        <f>IF(AND(I.Developer.P2b=TRUE,I.Facility.P2bFacilityCount&gt;=1934,F11946=""),"Incomplete","Complete")</f>
        <v>Complete</v>
      </c>
      <c r="I11946" s="48" t="s">
        <v>16311</v>
      </c>
    </row>
    <row r="11947" spans="2:9" ht="15" customHeight="1" x14ac:dyDescent="0.25">
      <c r="B11947" s="55" t="s">
        <v>281</v>
      </c>
      <c r="C11947" s="46">
        <v>1935</v>
      </c>
      <c r="D11947" s="69" t="s">
        <v>29418</v>
      </c>
      <c r="E11947" s="51"/>
      <c r="F11947" s="114" t="str">
        <f>IF(INDEX(I.Facility.P2bIDNumber,1935)="","",INDEX(I.Facility.P2bIDNumber,1935))</f>
        <v/>
      </c>
      <c r="G11947" s="51"/>
      <c r="H11947" s="46" t="str">
        <f>IF(AND(I.Developer.P2b=TRUE,I.Facility.P2bFacilityCount&gt;=1935,F11947=""),"Incomplete","Complete")</f>
        <v>Complete</v>
      </c>
      <c r="I11947" s="48" t="s">
        <v>16312</v>
      </c>
    </row>
    <row r="11948" spans="2:9" ht="15" customHeight="1" x14ac:dyDescent="0.25">
      <c r="B11948" s="55" t="s">
        <v>281</v>
      </c>
      <c r="C11948" s="46">
        <v>1936</v>
      </c>
      <c r="D11948" s="69" t="s">
        <v>29418</v>
      </c>
      <c r="E11948" s="51"/>
      <c r="F11948" s="114" t="str">
        <f>IF(INDEX(I.Facility.P2bIDNumber,1936)="","",INDEX(I.Facility.P2bIDNumber,1936))</f>
        <v/>
      </c>
      <c r="G11948" s="51"/>
      <c r="H11948" s="46" t="str">
        <f>IF(AND(I.Developer.P2b=TRUE,I.Facility.P2bFacilityCount&gt;=1936,F11948=""),"Incomplete","Complete")</f>
        <v>Complete</v>
      </c>
      <c r="I11948" s="48" t="s">
        <v>16313</v>
      </c>
    </row>
    <row r="11949" spans="2:9" ht="15" customHeight="1" x14ac:dyDescent="0.25">
      <c r="B11949" s="55" t="s">
        <v>281</v>
      </c>
      <c r="C11949" s="46">
        <v>1937</v>
      </c>
      <c r="D11949" s="69" t="s">
        <v>29418</v>
      </c>
      <c r="E11949" s="51"/>
      <c r="F11949" s="114" t="str">
        <f>IF(INDEX(I.Facility.P2bIDNumber,1937)="","",INDEX(I.Facility.P2bIDNumber,1937))</f>
        <v/>
      </c>
      <c r="G11949" s="51"/>
      <c r="H11949" s="46" t="str">
        <f>IF(AND(I.Developer.P2b=TRUE,I.Facility.P2bFacilityCount&gt;=1937,F11949=""),"Incomplete","Complete")</f>
        <v>Complete</v>
      </c>
      <c r="I11949" s="48" t="s">
        <v>16314</v>
      </c>
    </row>
    <row r="11950" spans="2:9" ht="15" customHeight="1" x14ac:dyDescent="0.25">
      <c r="B11950" s="55" t="s">
        <v>281</v>
      </c>
      <c r="C11950" s="46">
        <v>1938</v>
      </c>
      <c r="D11950" s="69" t="s">
        <v>29418</v>
      </c>
      <c r="E11950" s="51"/>
      <c r="F11950" s="114" t="str">
        <f>IF(INDEX(I.Facility.P2bIDNumber,1938)="","",INDEX(I.Facility.P2bIDNumber,1938))</f>
        <v/>
      </c>
      <c r="G11950" s="51"/>
      <c r="H11950" s="46" t="str">
        <f>IF(AND(I.Developer.P2b=TRUE,I.Facility.P2bFacilityCount&gt;=1938,F11950=""),"Incomplete","Complete")</f>
        <v>Complete</v>
      </c>
      <c r="I11950" s="48" t="s">
        <v>16315</v>
      </c>
    </row>
    <row r="11951" spans="2:9" ht="15" customHeight="1" x14ac:dyDescent="0.25">
      <c r="B11951" s="55" t="s">
        <v>281</v>
      </c>
      <c r="C11951" s="46">
        <v>1939</v>
      </c>
      <c r="D11951" s="69" t="s">
        <v>29418</v>
      </c>
      <c r="E11951" s="51"/>
      <c r="F11951" s="114" t="str">
        <f>IF(INDEX(I.Facility.P2bIDNumber,1939)="","",INDEX(I.Facility.P2bIDNumber,1939))</f>
        <v/>
      </c>
      <c r="G11951" s="51"/>
      <c r="H11951" s="46" t="str">
        <f>IF(AND(I.Developer.P2b=TRUE,I.Facility.P2bFacilityCount&gt;=1939,F11951=""),"Incomplete","Complete")</f>
        <v>Complete</v>
      </c>
      <c r="I11951" s="48" t="s">
        <v>16316</v>
      </c>
    </row>
    <row r="11952" spans="2:9" ht="15" customHeight="1" x14ac:dyDescent="0.25">
      <c r="B11952" s="55" t="s">
        <v>281</v>
      </c>
      <c r="C11952" s="46">
        <v>1940</v>
      </c>
      <c r="D11952" s="69" t="s">
        <v>29418</v>
      </c>
      <c r="E11952" s="51"/>
      <c r="F11952" s="114" t="str">
        <f>IF(INDEX(I.Facility.P2bIDNumber,1940)="","",INDEX(I.Facility.P2bIDNumber,1940))</f>
        <v/>
      </c>
      <c r="G11952" s="51"/>
      <c r="H11952" s="46" t="str">
        <f>IF(AND(I.Developer.P2b=TRUE,I.Facility.P2bFacilityCount&gt;=1940,F11952=""),"Incomplete","Complete")</f>
        <v>Complete</v>
      </c>
      <c r="I11952" s="48" t="s">
        <v>16317</v>
      </c>
    </row>
    <row r="11953" spans="2:9" ht="15" customHeight="1" x14ac:dyDescent="0.25">
      <c r="B11953" s="55" t="s">
        <v>281</v>
      </c>
      <c r="C11953" s="46">
        <v>1941</v>
      </c>
      <c r="D11953" s="69" t="s">
        <v>29418</v>
      </c>
      <c r="E11953" s="51"/>
      <c r="F11953" s="114" t="str">
        <f>IF(INDEX(I.Facility.P2bIDNumber,1941)="","",INDEX(I.Facility.P2bIDNumber,1941))</f>
        <v/>
      </c>
      <c r="G11953" s="51"/>
      <c r="H11953" s="46" t="str">
        <f>IF(AND(I.Developer.P2b=TRUE,I.Facility.P2bFacilityCount&gt;=1941,F11953=""),"Incomplete","Complete")</f>
        <v>Complete</v>
      </c>
      <c r="I11953" s="48" t="s">
        <v>16318</v>
      </c>
    </row>
    <row r="11954" spans="2:9" ht="15" customHeight="1" x14ac:dyDescent="0.25">
      <c r="B11954" s="55" t="s">
        <v>281</v>
      </c>
      <c r="C11954" s="46">
        <v>1942</v>
      </c>
      <c r="D11954" s="69" t="s">
        <v>29418</v>
      </c>
      <c r="E11954" s="51"/>
      <c r="F11954" s="114" t="str">
        <f>IF(INDEX(I.Facility.P2bIDNumber,1942)="","",INDEX(I.Facility.P2bIDNumber,1942))</f>
        <v/>
      </c>
      <c r="G11954" s="51"/>
      <c r="H11954" s="46" t="str">
        <f>IF(AND(I.Developer.P2b=TRUE,I.Facility.P2bFacilityCount&gt;=1942,F11954=""),"Incomplete","Complete")</f>
        <v>Complete</v>
      </c>
      <c r="I11954" s="48" t="s">
        <v>16319</v>
      </c>
    </row>
    <row r="11955" spans="2:9" ht="15" customHeight="1" x14ac:dyDescent="0.25">
      <c r="B11955" s="55" t="s">
        <v>281</v>
      </c>
      <c r="C11955" s="46">
        <v>1943</v>
      </c>
      <c r="D11955" s="69" t="s">
        <v>29418</v>
      </c>
      <c r="E11955" s="51"/>
      <c r="F11955" s="114" t="str">
        <f>IF(INDEX(I.Facility.P2bIDNumber,1943)="","",INDEX(I.Facility.P2bIDNumber,1943))</f>
        <v/>
      </c>
      <c r="G11955" s="51"/>
      <c r="H11955" s="46" t="str">
        <f>IF(AND(I.Developer.P2b=TRUE,I.Facility.P2bFacilityCount&gt;=1943,F11955=""),"Incomplete","Complete")</f>
        <v>Complete</v>
      </c>
      <c r="I11955" s="48" t="s">
        <v>16320</v>
      </c>
    </row>
    <row r="11956" spans="2:9" ht="15" customHeight="1" x14ac:dyDescent="0.25">
      <c r="B11956" s="55" t="s">
        <v>281</v>
      </c>
      <c r="C11956" s="46">
        <v>1944</v>
      </c>
      <c r="D11956" s="69" t="s">
        <v>29418</v>
      </c>
      <c r="E11956" s="51"/>
      <c r="F11956" s="114" t="str">
        <f>IF(INDEX(I.Facility.P2bIDNumber,1944)="","",INDEX(I.Facility.P2bIDNumber,1944))</f>
        <v/>
      </c>
      <c r="G11956" s="51"/>
      <c r="H11956" s="46" t="str">
        <f>IF(AND(I.Developer.P2b=TRUE,I.Facility.P2bFacilityCount&gt;=1944,F11956=""),"Incomplete","Complete")</f>
        <v>Complete</v>
      </c>
      <c r="I11956" s="48" t="s">
        <v>16321</v>
      </c>
    </row>
    <row r="11957" spans="2:9" ht="15" customHeight="1" x14ac:dyDescent="0.25">
      <c r="B11957" s="55" t="s">
        <v>281</v>
      </c>
      <c r="C11957" s="46">
        <v>1945</v>
      </c>
      <c r="D11957" s="69" t="s">
        <v>29418</v>
      </c>
      <c r="E11957" s="51"/>
      <c r="F11957" s="114" t="str">
        <f>IF(INDEX(I.Facility.P2bIDNumber,1945)="","",INDEX(I.Facility.P2bIDNumber,1945))</f>
        <v/>
      </c>
      <c r="G11957" s="51"/>
      <c r="H11957" s="46" t="str">
        <f>IF(AND(I.Developer.P2b=TRUE,I.Facility.P2bFacilityCount&gt;=1945,F11957=""),"Incomplete","Complete")</f>
        <v>Complete</v>
      </c>
      <c r="I11957" s="48" t="s">
        <v>16322</v>
      </c>
    </row>
    <row r="11958" spans="2:9" ht="15" customHeight="1" x14ac:dyDescent="0.25">
      <c r="B11958" s="55" t="s">
        <v>281</v>
      </c>
      <c r="C11958" s="46">
        <v>1946</v>
      </c>
      <c r="D11958" s="69" t="s">
        <v>29418</v>
      </c>
      <c r="E11958" s="51"/>
      <c r="F11958" s="114" t="str">
        <f>IF(INDEX(I.Facility.P2bIDNumber,1946)="","",INDEX(I.Facility.P2bIDNumber,1946))</f>
        <v/>
      </c>
      <c r="G11958" s="51"/>
      <c r="H11958" s="46" t="str">
        <f>IF(AND(I.Developer.P2b=TRUE,I.Facility.P2bFacilityCount&gt;=1946,F11958=""),"Incomplete","Complete")</f>
        <v>Complete</v>
      </c>
      <c r="I11958" s="48" t="s">
        <v>16323</v>
      </c>
    </row>
    <row r="11959" spans="2:9" ht="15" customHeight="1" x14ac:dyDescent="0.25">
      <c r="B11959" s="55" t="s">
        <v>281</v>
      </c>
      <c r="C11959" s="46">
        <v>1947</v>
      </c>
      <c r="D11959" s="69" t="s">
        <v>29418</v>
      </c>
      <c r="E11959" s="51"/>
      <c r="F11959" s="114" t="str">
        <f>IF(INDEX(I.Facility.P2bIDNumber,1947)="","",INDEX(I.Facility.P2bIDNumber,1947))</f>
        <v/>
      </c>
      <c r="G11959" s="51"/>
      <c r="H11959" s="46" t="str">
        <f>IF(AND(I.Developer.P2b=TRUE,I.Facility.P2bFacilityCount&gt;=1947,F11959=""),"Incomplete","Complete")</f>
        <v>Complete</v>
      </c>
      <c r="I11959" s="48" t="s">
        <v>16324</v>
      </c>
    </row>
    <row r="11960" spans="2:9" ht="15" customHeight="1" x14ac:dyDescent="0.25">
      <c r="B11960" s="55" t="s">
        <v>281</v>
      </c>
      <c r="C11960" s="46">
        <v>1948</v>
      </c>
      <c r="D11960" s="69" t="s">
        <v>29418</v>
      </c>
      <c r="E11960" s="51"/>
      <c r="F11960" s="114" t="str">
        <f>IF(INDEX(I.Facility.P2bIDNumber,1948)="","",INDEX(I.Facility.P2bIDNumber,1948))</f>
        <v/>
      </c>
      <c r="G11960" s="51"/>
      <c r="H11960" s="46" t="str">
        <f>IF(AND(I.Developer.P2b=TRUE,I.Facility.P2bFacilityCount&gt;=1948,F11960=""),"Incomplete","Complete")</f>
        <v>Complete</v>
      </c>
      <c r="I11960" s="48" t="s">
        <v>16325</v>
      </c>
    </row>
    <row r="11961" spans="2:9" ht="15" customHeight="1" x14ac:dyDescent="0.25">
      <c r="B11961" s="55" t="s">
        <v>281</v>
      </c>
      <c r="C11961" s="46">
        <v>1949</v>
      </c>
      <c r="D11961" s="69" t="s">
        <v>29418</v>
      </c>
      <c r="E11961" s="51"/>
      <c r="F11961" s="114" t="str">
        <f>IF(INDEX(I.Facility.P2bIDNumber,1949)="","",INDEX(I.Facility.P2bIDNumber,1949))</f>
        <v/>
      </c>
      <c r="G11961" s="51"/>
      <c r="H11961" s="46" t="str">
        <f>IF(AND(I.Developer.P2b=TRUE,I.Facility.P2bFacilityCount&gt;=1949,F11961=""),"Incomplete","Complete")</f>
        <v>Complete</v>
      </c>
      <c r="I11961" s="48" t="s">
        <v>16326</v>
      </c>
    </row>
    <row r="11962" spans="2:9" ht="15" customHeight="1" x14ac:dyDescent="0.25">
      <c r="B11962" s="55" t="s">
        <v>281</v>
      </c>
      <c r="C11962" s="46">
        <v>1950</v>
      </c>
      <c r="D11962" s="69" t="s">
        <v>29418</v>
      </c>
      <c r="E11962" s="51"/>
      <c r="F11962" s="114" t="str">
        <f>IF(INDEX(I.Facility.P2bIDNumber,1950)="","",INDEX(I.Facility.P2bIDNumber,1950))</f>
        <v/>
      </c>
      <c r="G11962" s="51"/>
      <c r="H11962" s="46" t="str">
        <f>IF(AND(I.Developer.P2b=TRUE,I.Facility.P2bFacilityCount&gt;=1950,F11962=""),"Incomplete","Complete")</f>
        <v>Complete</v>
      </c>
      <c r="I11962" s="48" t="s">
        <v>16327</v>
      </c>
    </row>
    <row r="11963" spans="2:9" ht="15" customHeight="1" x14ac:dyDescent="0.25">
      <c r="B11963" s="55" t="s">
        <v>281</v>
      </c>
      <c r="C11963" s="46">
        <v>1951</v>
      </c>
      <c r="D11963" s="69" t="s">
        <v>29418</v>
      </c>
      <c r="E11963" s="51"/>
      <c r="F11963" s="114" t="str">
        <f>IF(INDEX(I.Facility.P2bIDNumber,1951)="","",INDEX(I.Facility.P2bIDNumber,1951))</f>
        <v/>
      </c>
      <c r="G11963" s="51"/>
      <c r="H11963" s="46" t="str">
        <f>IF(AND(I.Developer.P2b=TRUE,I.Facility.P2bFacilityCount&gt;=1951,F11963=""),"Incomplete","Complete")</f>
        <v>Complete</v>
      </c>
      <c r="I11963" s="48" t="s">
        <v>16328</v>
      </c>
    </row>
    <row r="11964" spans="2:9" ht="15" customHeight="1" x14ac:dyDescent="0.25">
      <c r="B11964" s="55" t="s">
        <v>281</v>
      </c>
      <c r="C11964" s="46">
        <v>1952</v>
      </c>
      <c r="D11964" s="69" t="s">
        <v>29418</v>
      </c>
      <c r="E11964" s="51"/>
      <c r="F11964" s="114" t="str">
        <f>IF(INDEX(I.Facility.P2bIDNumber,1952)="","",INDEX(I.Facility.P2bIDNumber,1952))</f>
        <v/>
      </c>
      <c r="G11964" s="51"/>
      <c r="H11964" s="46" t="str">
        <f>IF(AND(I.Developer.P2b=TRUE,I.Facility.P2bFacilityCount&gt;=1952,F11964=""),"Incomplete","Complete")</f>
        <v>Complete</v>
      </c>
      <c r="I11964" s="48" t="s">
        <v>16329</v>
      </c>
    </row>
    <row r="11965" spans="2:9" ht="15" customHeight="1" x14ac:dyDescent="0.25">
      <c r="B11965" s="55" t="s">
        <v>281</v>
      </c>
      <c r="C11965" s="46">
        <v>1953</v>
      </c>
      <c r="D11965" s="69" t="s">
        <v>29418</v>
      </c>
      <c r="E11965" s="51"/>
      <c r="F11965" s="114" t="str">
        <f>IF(INDEX(I.Facility.P2bIDNumber,1953)="","",INDEX(I.Facility.P2bIDNumber,1953))</f>
        <v/>
      </c>
      <c r="G11965" s="51"/>
      <c r="H11965" s="46" t="str">
        <f>IF(AND(I.Developer.P2b=TRUE,I.Facility.P2bFacilityCount&gt;=1953,F11965=""),"Incomplete","Complete")</f>
        <v>Complete</v>
      </c>
      <c r="I11965" s="48" t="s">
        <v>16330</v>
      </c>
    </row>
    <row r="11966" spans="2:9" ht="15" customHeight="1" x14ac:dyDescent="0.25">
      <c r="B11966" s="55" t="s">
        <v>281</v>
      </c>
      <c r="C11966" s="46">
        <v>1954</v>
      </c>
      <c r="D11966" s="69" t="s">
        <v>29418</v>
      </c>
      <c r="E11966" s="51"/>
      <c r="F11966" s="114" t="str">
        <f>IF(INDEX(I.Facility.P2bIDNumber,1954)="","",INDEX(I.Facility.P2bIDNumber,1954))</f>
        <v/>
      </c>
      <c r="G11966" s="51"/>
      <c r="H11966" s="46" t="str">
        <f>IF(AND(I.Developer.P2b=TRUE,I.Facility.P2bFacilityCount&gt;=1954,F11966=""),"Incomplete","Complete")</f>
        <v>Complete</v>
      </c>
      <c r="I11966" s="48" t="s">
        <v>16331</v>
      </c>
    </row>
    <row r="11967" spans="2:9" ht="15" customHeight="1" x14ac:dyDescent="0.25">
      <c r="B11967" s="55" t="s">
        <v>281</v>
      </c>
      <c r="C11967" s="46">
        <v>1955</v>
      </c>
      <c r="D11967" s="69" t="s">
        <v>29418</v>
      </c>
      <c r="E11967" s="51"/>
      <c r="F11967" s="114" t="str">
        <f>IF(INDEX(I.Facility.P2bIDNumber,1955)="","",INDEX(I.Facility.P2bIDNumber,1955))</f>
        <v/>
      </c>
      <c r="G11967" s="51"/>
      <c r="H11967" s="46" t="str">
        <f>IF(AND(I.Developer.P2b=TRUE,I.Facility.P2bFacilityCount&gt;=1955,F11967=""),"Incomplete","Complete")</f>
        <v>Complete</v>
      </c>
      <c r="I11967" s="48" t="s">
        <v>16332</v>
      </c>
    </row>
    <row r="11968" spans="2:9" ht="15" customHeight="1" x14ac:dyDescent="0.25">
      <c r="B11968" s="55" t="s">
        <v>281</v>
      </c>
      <c r="C11968" s="46">
        <v>1956</v>
      </c>
      <c r="D11968" s="69" t="s">
        <v>29418</v>
      </c>
      <c r="E11968" s="51"/>
      <c r="F11968" s="114" t="str">
        <f>IF(INDEX(I.Facility.P2bIDNumber,1956)="","",INDEX(I.Facility.P2bIDNumber,1956))</f>
        <v/>
      </c>
      <c r="G11968" s="51"/>
      <c r="H11968" s="46" t="str">
        <f>IF(AND(I.Developer.P2b=TRUE,I.Facility.P2bFacilityCount&gt;=1956,F11968=""),"Incomplete","Complete")</f>
        <v>Complete</v>
      </c>
      <c r="I11968" s="48" t="s">
        <v>16333</v>
      </c>
    </row>
    <row r="11969" spans="2:9" ht="15" customHeight="1" x14ac:dyDescent="0.25">
      <c r="B11969" s="55" t="s">
        <v>281</v>
      </c>
      <c r="C11969" s="46">
        <v>1957</v>
      </c>
      <c r="D11969" s="69" t="s">
        <v>29418</v>
      </c>
      <c r="E11969" s="51"/>
      <c r="F11969" s="114" t="str">
        <f>IF(INDEX(I.Facility.P2bIDNumber,1957)="","",INDEX(I.Facility.P2bIDNumber,1957))</f>
        <v/>
      </c>
      <c r="G11969" s="51"/>
      <c r="H11969" s="46" t="str">
        <f>IF(AND(I.Developer.P2b=TRUE,I.Facility.P2bFacilityCount&gt;=1957,F11969=""),"Incomplete","Complete")</f>
        <v>Complete</v>
      </c>
      <c r="I11969" s="48" t="s">
        <v>16334</v>
      </c>
    </row>
    <row r="11970" spans="2:9" ht="15" customHeight="1" x14ac:dyDescent="0.25">
      <c r="B11970" s="55" t="s">
        <v>281</v>
      </c>
      <c r="C11970" s="46">
        <v>1958</v>
      </c>
      <c r="D11970" s="69" t="s">
        <v>29418</v>
      </c>
      <c r="E11970" s="51"/>
      <c r="F11970" s="114" t="str">
        <f>IF(INDEX(I.Facility.P2bIDNumber,1958)="","",INDEX(I.Facility.P2bIDNumber,1958))</f>
        <v/>
      </c>
      <c r="G11970" s="51"/>
      <c r="H11970" s="46" t="str">
        <f>IF(AND(I.Developer.P2b=TRUE,I.Facility.P2bFacilityCount&gt;=1958,F11970=""),"Incomplete","Complete")</f>
        <v>Complete</v>
      </c>
      <c r="I11970" s="48" t="s">
        <v>16335</v>
      </c>
    </row>
    <row r="11971" spans="2:9" ht="15" customHeight="1" x14ac:dyDescent="0.25">
      <c r="B11971" s="55" t="s">
        <v>281</v>
      </c>
      <c r="C11971" s="46">
        <v>1959</v>
      </c>
      <c r="D11971" s="69" t="s">
        <v>29418</v>
      </c>
      <c r="E11971" s="51"/>
      <c r="F11971" s="114" t="str">
        <f>IF(INDEX(I.Facility.P2bIDNumber,1959)="","",INDEX(I.Facility.P2bIDNumber,1959))</f>
        <v/>
      </c>
      <c r="G11971" s="51"/>
      <c r="H11971" s="46" t="str">
        <f>IF(AND(I.Developer.P2b=TRUE,I.Facility.P2bFacilityCount&gt;=1959,F11971=""),"Incomplete","Complete")</f>
        <v>Complete</v>
      </c>
      <c r="I11971" s="48" t="s">
        <v>16336</v>
      </c>
    </row>
    <row r="11972" spans="2:9" ht="15" customHeight="1" x14ac:dyDescent="0.25">
      <c r="B11972" s="55" t="s">
        <v>281</v>
      </c>
      <c r="C11972" s="46">
        <v>1960</v>
      </c>
      <c r="D11972" s="69" t="s">
        <v>29418</v>
      </c>
      <c r="E11972" s="51"/>
      <c r="F11972" s="114" t="str">
        <f>IF(INDEX(I.Facility.P2bIDNumber,1960)="","",INDEX(I.Facility.P2bIDNumber,1960))</f>
        <v/>
      </c>
      <c r="G11972" s="51"/>
      <c r="H11972" s="46" t="str">
        <f>IF(AND(I.Developer.P2b=TRUE,I.Facility.P2bFacilityCount&gt;=1960,F11972=""),"Incomplete","Complete")</f>
        <v>Complete</v>
      </c>
      <c r="I11972" s="48" t="s">
        <v>16337</v>
      </c>
    </row>
    <row r="11973" spans="2:9" ht="15" customHeight="1" x14ac:dyDescent="0.25">
      <c r="B11973" s="55" t="s">
        <v>281</v>
      </c>
      <c r="C11973" s="46">
        <v>1961</v>
      </c>
      <c r="D11973" s="69" t="s">
        <v>29418</v>
      </c>
      <c r="E11973" s="51"/>
      <c r="F11973" s="114" t="str">
        <f>IF(INDEX(I.Facility.P2bIDNumber,1961)="","",INDEX(I.Facility.P2bIDNumber,1961))</f>
        <v/>
      </c>
      <c r="G11973" s="51"/>
      <c r="H11973" s="46" t="str">
        <f>IF(AND(I.Developer.P2b=TRUE,I.Facility.P2bFacilityCount&gt;=1961,F11973=""),"Incomplete","Complete")</f>
        <v>Complete</v>
      </c>
      <c r="I11973" s="48" t="s">
        <v>16338</v>
      </c>
    </row>
    <row r="11974" spans="2:9" ht="15" customHeight="1" x14ac:dyDescent="0.25">
      <c r="B11974" s="55" t="s">
        <v>281</v>
      </c>
      <c r="C11974" s="46">
        <v>1962</v>
      </c>
      <c r="D11974" s="69" t="s">
        <v>29418</v>
      </c>
      <c r="E11974" s="51"/>
      <c r="F11974" s="114" t="str">
        <f>IF(INDEX(I.Facility.P2bIDNumber,1962)="","",INDEX(I.Facility.P2bIDNumber,1962))</f>
        <v/>
      </c>
      <c r="G11974" s="51"/>
      <c r="H11974" s="46" t="str">
        <f>IF(AND(I.Developer.P2b=TRUE,I.Facility.P2bFacilityCount&gt;=1962,F11974=""),"Incomplete","Complete")</f>
        <v>Complete</v>
      </c>
      <c r="I11974" s="48" t="s">
        <v>16339</v>
      </c>
    </row>
    <row r="11975" spans="2:9" ht="15" customHeight="1" x14ac:dyDescent="0.25">
      <c r="B11975" s="55" t="s">
        <v>281</v>
      </c>
      <c r="C11975" s="46">
        <v>1963</v>
      </c>
      <c r="D11975" s="69" t="s">
        <v>29418</v>
      </c>
      <c r="E11975" s="51"/>
      <c r="F11975" s="114" t="str">
        <f>IF(INDEX(I.Facility.P2bIDNumber,1963)="","",INDEX(I.Facility.P2bIDNumber,1963))</f>
        <v/>
      </c>
      <c r="G11975" s="51"/>
      <c r="H11975" s="46" t="str">
        <f>IF(AND(I.Developer.P2b=TRUE,I.Facility.P2bFacilityCount&gt;=1963,F11975=""),"Incomplete","Complete")</f>
        <v>Complete</v>
      </c>
      <c r="I11975" s="48" t="s">
        <v>16340</v>
      </c>
    </row>
    <row r="11976" spans="2:9" ht="15" customHeight="1" x14ac:dyDescent="0.25">
      <c r="B11976" s="55" t="s">
        <v>281</v>
      </c>
      <c r="C11976" s="46">
        <v>1964</v>
      </c>
      <c r="D11976" s="69" t="s">
        <v>29418</v>
      </c>
      <c r="E11976" s="51"/>
      <c r="F11976" s="114" t="str">
        <f>IF(INDEX(I.Facility.P2bIDNumber,1964)="","",INDEX(I.Facility.P2bIDNumber,1964))</f>
        <v/>
      </c>
      <c r="G11976" s="51"/>
      <c r="H11976" s="46" t="str">
        <f>IF(AND(I.Developer.P2b=TRUE,I.Facility.P2bFacilityCount&gt;=1964,F11976=""),"Incomplete","Complete")</f>
        <v>Complete</v>
      </c>
      <c r="I11976" s="48" t="s">
        <v>16341</v>
      </c>
    </row>
    <row r="11977" spans="2:9" ht="15" customHeight="1" x14ac:dyDescent="0.25">
      <c r="B11977" s="55" t="s">
        <v>281</v>
      </c>
      <c r="C11977" s="46">
        <v>1965</v>
      </c>
      <c r="D11977" s="69" t="s">
        <v>29418</v>
      </c>
      <c r="E11977" s="51"/>
      <c r="F11977" s="114" t="str">
        <f>IF(INDEX(I.Facility.P2bIDNumber,1965)="","",INDEX(I.Facility.P2bIDNumber,1965))</f>
        <v/>
      </c>
      <c r="G11977" s="51"/>
      <c r="H11977" s="46" t="str">
        <f>IF(AND(I.Developer.P2b=TRUE,I.Facility.P2bFacilityCount&gt;=1965,F11977=""),"Incomplete","Complete")</f>
        <v>Complete</v>
      </c>
      <c r="I11977" s="48" t="s">
        <v>16342</v>
      </c>
    </row>
    <row r="11978" spans="2:9" ht="15" customHeight="1" x14ac:dyDescent="0.25">
      <c r="B11978" s="55" t="s">
        <v>281</v>
      </c>
      <c r="C11978" s="46">
        <v>1966</v>
      </c>
      <c r="D11978" s="69" t="s">
        <v>29418</v>
      </c>
      <c r="E11978" s="51"/>
      <c r="F11978" s="114" t="str">
        <f>IF(INDEX(I.Facility.P2bIDNumber,1966)="","",INDEX(I.Facility.P2bIDNumber,1966))</f>
        <v/>
      </c>
      <c r="G11978" s="51"/>
      <c r="H11978" s="46" t="str">
        <f>IF(AND(I.Developer.P2b=TRUE,I.Facility.P2bFacilityCount&gt;=1966,F11978=""),"Incomplete","Complete")</f>
        <v>Complete</v>
      </c>
      <c r="I11978" s="48" t="s">
        <v>16343</v>
      </c>
    </row>
    <row r="11979" spans="2:9" ht="15" customHeight="1" x14ac:dyDescent="0.25">
      <c r="B11979" s="55" t="s">
        <v>281</v>
      </c>
      <c r="C11979" s="46">
        <v>1967</v>
      </c>
      <c r="D11979" s="69" t="s">
        <v>29418</v>
      </c>
      <c r="E11979" s="51"/>
      <c r="F11979" s="114" t="str">
        <f>IF(INDEX(I.Facility.P2bIDNumber,1967)="","",INDEX(I.Facility.P2bIDNumber,1967))</f>
        <v/>
      </c>
      <c r="G11979" s="51"/>
      <c r="H11979" s="46" t="str">
        <f>IF(AND(I.Developer.P2b=TRUE,I.Facility.P2bFacilityCount&gt;=1967,F11979=""),"Incomplete","Complete")</f>
        <v>Complete</v>
      </c>
      <c r="I11979" s="48" t="s">
        <v>16344</v>
      </c>
    </row>
    <row r="11980" spans="2:9" ht="15" customHeight="1" x14ac:dyDescent="0.25">
      <c r="B11980" s="55" t="s">
        <v>281</v>
      </c>
      <c r="C11980" s="46">
        <v>1968</v>
      </c>
      <c r="D11980" s="69" t="s">
        <v>29418</v>
      </c>
      <c r="E11980" s="51"/>
      <c r="F11980" s="114" t="str">
        <f>IF(INDEX(I.Facility.P2bIDNumber,1968)="","",INDEX(I.Facility.P2bIDNumber,1968))</f>
        <v/>
      </c>
      <c r="G11980" s="51"/>
      <c r="H11980" s="46" t="str">
        <f>IF(AND(I.Developer.P2b=TRUE,I.Facility.P2bFacilityCount&gt;=1968,F11980=""),"Incomplete","Complete")</f>
        <v>Complete</v>
      </c>
      <c r="I11980" s="48" t="s">
        <v>16345</v>
      </c>
    </row>
    <row r="11981" spans="2:9" ht="15" customHeight="1" x14ac:dyDescent="0.25">
      <c r="B11981" s="55" t="s">
        <v>281</v>
      </c>
      <c r="C11981" s="46">
        <v>1969</v>
      </c>
      <c r="D11981" s="69" t="s">
        <v>29418</v>
      </c>
      <c r="E11981" s="51"/>
      <c r="F11981" s="114" t="str">
        <f>IF(INDEX(I.Facility.P2bIDNumber,1969)="","",INDEX(I.Facility.P2bIDNumber,1969))</f>
        <v/>
      </c>
      <c r="G11981" s="51"/>
      <c r="H11981" s="46" t="str">
        <f>IF(AND(I.Developer.P2b=TRUE,I.Facility.P2bFacilityCount&gt;=1969,F11981=""),"Incomplete","Complete")</f>
        <v>Complete</v>
      </c>
      <c r="I11981" s="48" t="s">
        <v>16346</v>
      </c>
    </row>
    <row r="11982" spans="2:9" ht="15" customHeight="1" x14ac:dyDescent="0.25">
      <c r="B11982" s="55" t="s">
        <v>281</v>
      </c>
      <c r="C11982" s="46">
        <v>1970</v>
      </c>
      <c r="D11982" s="69" t="s">
        <v>29418</v>
      </c>
      <c r="E11982" s="51"/>
      <c r="F11982" s="114" t="str">
        <f>IF(INDEX(I.Facility.P2bIDNumber,1970)="","",INDEX(I.Facility.P2bIDNumber,1970))</f>
        <v/>
      </c>
      <c r="G11982" s="51"/>
      <c r="H11982" s="46" t="str">
        <f>IF(AND(I.Developer.P2b=TRUE,I.Facility.P2bFacilityCount&gt;=1970,F11982=""),"Incomplete","Complete")</f>
        <v>Complete</v>
      </c>
      <c r="I11982" s="48" t="s">
        <v>16347</v>
      </c>
    </row>
    <row r="11983" spans="2:9" ht="15" customHeight="1" x14ac:dyDescent="0.25">
      <c r="B11983" s="55" t="s">
        <v>281</v>
      </c>
      <c r="C11983" s="46">
        <v>1971</v>
      </c>
      <c r="D11983" s="69" t="s">
        <v>29418</v>
      </c>
      <c r="E11983" s="51"/>
      <c r="F11983" s="114" t="str">
        <f>IF(INDEX(I.Facility.P2bIDNumber,1971)="","",INDEX(I.Facility.P2bIDNumber,1971))</f>
        <v/>
      </c>
      <c r="G11983" s="51"/>
      <c r="H11983" s="46" t="str">
        <f>IF(AND(I.Developer.P2b=TRUE,I.Facility.P2bFacilityCount&gt;=1971,F11983=""),"Incomplete","Complete")</f>
        <v>Complete</v>
      </c>
      <c r="I11983" s="48" t="s">
        <v>16348</v>
      </c>
    </row>
    <row r="11984" spans="2:9" ht="15" customHeight="1" x14ac:dyDescent="0.25">
      <c r="B11984" s="55" t="s">
        <v>281</v>
      </c>
      <c r="C11984" s="46">
        <v>1972</v>
      </c>
      <c r="D11984" s="69" t="s">
        <v>29418</v>
      </c>
      <c r="E11984" s="51"/>
      <c r="F11984" s="114" t="str">
        <f>IF(INDEX(I.Facility.P2bIDNumber,1972)="","",INDEX(I.Facility.P2bIDNumber,1972))</f>
        <v/>
      </c>
      <c r="G11984" s="51"/>
      <c r="H11984" s="46" t="str">
        <f>IF(AND(I.Developer.P2b=TRUE,I.Facility.P2bFacilityCount&gt;=1972,F11984=""),"Incomplete","Complete")</f>
        <v>Complete</v>
      </c>
      <c r="I11984" s="48" t="s">
        <v>16349</v>
      </c>
    </row>
    <row r="11985" spans="2:9" ht="15" customHeight="1" x14ac:dyDescent="0.25">
      <c r="B11985" s="55" t="s">
        <v>281</v>
      </c>
      <c r="C11985" s="46">
        <v>1973</v>
      </c>
      <c r="D11985" s="69" t="s">
        <v>29418</v>
      </c>
      <c r="E11985" s="51"/>
      <c r="F11985" s="114" t="str">
        <f>IF(INDEX(I.Facility.P2bIDNumber,1973)="","",INDEX(I.Facility.P2bIDNumber,1973))</f>
        <v/>
      </c>
      <c r="G11985" s="51"/>
      <c r="H11985" s="46" t="str">
        <f>IF(AND(I.Developer.P2b=TRUE,I.Facility.P2bFacilityCount&gt;=1973,F11985=""),"Incomplete","Complete")</f>
        <v>Complete</v>
      </c>
      <c r="I11985" s="48" t="s">
        <v>16350</v>
      </c>
    </row>
    <row r="11986" spans="2:9" ht="15" customHeight="1" x14ac:dyDescent="0.25">
      <c r="B11986" s="55" t="s">
        <v>281</v>
      </c>
      <c r="C11986" s="46">
        <v>1974</v>
      </c>
      <c r="D11986" s="69" t="s">
        <v>29418</v>
      </c>
      <c r="E11986" s="51"/>
      <c r="F11986" s="114" t="str">
        <f>IF(INDEX(I.Facility.P2bIDNumber,1974)="","",INDEX(I.Facility.P2bIDNumber,1974))</f>
        <v/>
      </c>
      <c r="G11986" s="51"/>
      <c r="H11986" s="46" t="str">
        <f>IF(AND(I.Developer.P2b=TRUE,I.Facility.P2bFacilityCount&gt;=1974,F11986=""),"Incomplete","Complete")</f>
        <v>Complete</v>
      </c>
      <c r="I11986" s="48" t="s">
        <v>16351</v>
      </c>
    </row>
    <row r="11987" spans="2:9" ht="15" customHeight="1" x14ac:dyDescent="0.25">
      <c r="B11987" s="55" t="s">
        <v>281</v>
      </c>
      <c r="C11987" s="46">
        <v>1975</v>
      </c>
      <c r="D11987" s="69" t="s">
        <v>29418</v>
      </c>
      <c r="E11987" s="51"/>
      <c r="F11987" s="114" t="str">
        <f>IF(INDEX(I.Facility.P2bIDNumber,1975)="","",INDEX(I.Facility.P2bIDNumber,1975))</f>
        <v/>
      </c>
      <c r="G11987" s="51"/>
      <c r="H11987" s="46" t="str">
        <f>IF(AND(I.Developer.P2b=TRUE,I.Facility.P2bFacilityCount&gt;=1975,F11987=""),"Incomplete","Complete")</f>
        <v>Complete</v>
      </c>
      <c r="I11987" s="48" t="s">
        <v>16352</v>
      </c>
    </row>
    <row r="11988" spans="2:9" ht="15" customHeight="1" x14ac:dyDescent="0.25">
      <c r="B11988" s="55" t="s">
        <v>281</v>
      </c>
      <c r="C11988" s="46">
        <v>1976</v>
      </c>
      <c r="D11988" s="69" t="s">
        <v>29418</v>
      </c>
      <c r="E11988" s="51"/>
      <c r="F11988" s="114" t="str">
        <f>IF(INDEX(I.Facility.P2bIDNumber,1976)="","",INDEX(I.Facility.P2bIDNumber,1976))</f>
        <v/>
      </c>
      <c r="G11988" s="51"/>
      <c r="H11988" s="46" t="str">
        <f>IF(AND(I.Developer.P2b=TRUE,I.Facility.P2bFacilityCount&gt;=1976,F11988=""),"Incomplete","Complete")</f>
        <v>Complete</v>
      </c>
      <c r="I11988" s="48" t="s">
        <v>16353</v>
      </c>
    </row>
    <row r="11989" spans="2:9" ht="15" customHeight="1" x14ac:dyDescent="0.25">
      <c r="B11989" s="55" t="s">
        <v>281</v>
      </c>
      <c r="C11989" s="46">
        <v>1977</v>
      </c>
      <c r="D11989" s="69" t="s">
        <v>29418</v>
      </c>
      <c r="E11989" s="51"/>
      <c r="F11989" s="114" t="str">
        <f>IF(INDEX(I.Facility.P2bIDNumber,1977)="","",INDEX(I.Facility.P2bIDNumber,1977))</f>
        <v/>
      </c>
      <c r="G11989" s="51"/>
      <c r="H11989" s="46" t="str">
        <f>IF(AND(I.Developer.P2b=TRUE,I.Facility.P2bFacilityCount&gt;=1977,F11989=""),"Incomplete","Complete")</f>
        <v>Complete</v>
      </c>
      <c r="I11989" s="48" t="s">
        <v>16354</v>
      </c>
    </row>
    <row r="11990" spans="2:9" ht="15" customHeight="1" x14ac:dyDescent="0.25">
      <c r="B11990" s="55" t="s">
        <v>281</v>
      </c>
      <c r="C11990" s="46">
        <v>1978</v>
      </c>
      <c r="D11990" s="69" t="s">
        <v>29418</v>
      </c>
      <c r="E11990" s="51"/>
      <c r="F11990" s="114" t="str">
        <f>IF(INDEX(I.Facility.P2bIDNumber,1978)="","",INDEX(I.Facility.P2bIDNumber,1978))</f>
        <v/>
      </c>
      <c r="G11990" s="51"/>
      <c r="H11990" s="46" t="str">
        <f>IF(AND(I.Developer.P2b=TRUE,I.Facility.P2bFacilityCount&gt;=1978,F11990=""),"Incomplete","Complete")</f>
        <v>Complete</v>
      </c>
      <c r="I11990" s="48" t="s">
        <v>16355</v>
      </c>
    </row>
    <row r="11991" spans="2:9" ht="15" customHeight="1" x14ac:dyDescent="0.25">
      <c r="B11991" s="55" t="s">
        <v>281</v>
      </c>
      <c r="C11991" s="46">
        <v>1979</v>
      </c>
      <c r="D11991" s="69" t="s">
        <v>29418</v>
      </c>
      <c r="E11991" s="51"/>
      <c r="F11991" s="114" t="str">
        <f>IF(INDEX(I.Facility.P2bIDNumber,1979)="","",INDEX(I.Facility.P2bIDNumber,1979))</f>
        <v/>
      </c>
      <c r="G11991" s="51"/>
      <c r="H11991" s="46" t="str">
        <f>IF(AND(I.Developer.P2b=TRUE,I.Facility.P2bFacilityCount&gt;=1979,F11991=""),"Incomplete","Complete")</f>
        <v>Complete</v>
      </c>
      <c r="I11991" s="48" t="s">
        <v>16356</v>
      </c>
    </row>
    <row r="11992" spans="2:9" ht="15" customHeight="1" x14ac:dyDescent="0.25">
      <c r="B11992" s="55" t="s">
        <v>281</v>
      </c>
      <c r="C11992" s="46">
        <v>1980</v>
      </c>
      <c r="D11992" s="69" t="s">
        <v>29418</v>
      </c>
      <c r="E11992" s="51"/>
      <c r="F11992" s="114" t="str">
        <f>IF(INDEX(I.Facility.P2bIDNumber,1980)="","",INDEX(I.Facility.P2bIDNumber,1980))</f>
        <v/>
      </c>
      <c r="G11992" s="51"/>
      <c r="H11992" s="46" t="str">
        <f>IF(AND(I.Developer.P2b=TRUE,I.Facility.P2bFacilityCount&gt;=1980,F11992=""),"Incomplete","Complete")</f>
        <v>Complete</v>
      </c>
      <c r="I11992" s="48" t="s">
        <v>16357</v>
      </c>
    </row>
    <row r="11993" spans="2:9" ht="15" customHeight="1" x14ac:dyDescent="0.25">
      <c r="B11993" s="55" t="s">
        <v>281</v>
      </c>
      <c r="C11993" s="46">
        <v>1981</v>
      </c>
      <c r="D11993" s="69" t="s">
        <v>29418</v>
      </c>
      <c r="E11993" s="51"/>
      <c r="F11993" s="114" t="str">
        <f>IF(INDEX(I.Facility.P2bIDNumber,1981)="","",INDEX(I.Facility.P2bIDNumber,1981))</f>
        <v/>
      </c>
      <c r="G11993" s="51"/>
      <c r="H11993" s="46" t="str">
        <f>IF(AND(I.Developer.P2b=TRUE,I.Facility.P2bFacilityCount&gt;=1981,F11993=""),"Incomplete","Complete")</f>
        <v>Complete</v>
      </c>
      <c r="I11993" s="48" t="s">
        <v>16358</v>
      </c>
    </row>
    <row r="11994" spans="2:9" ht="15" customHeight="1" x14ac:dyDescent="0.25">
      <c r="B11994" s="55" t="s">
        <v>281</v>
      </c>
      <c r="C11994" s="46">
        <v>1982</v>
      </c>
      <c r="D11994" s="69" t="s">
        <v>29418</v>
      </c>
      <c r="E11994" s="51"/>
      <c r="F11994" s="114" t="str">
        <f>IF(INDEX(I.Facility.P2bIDNumber,1982)="","",INDEX(I.Facility.P2bIDNumber,1982))</f>
        <v/>
      </c>
      <c r="G11994" s="51"/>
      <c r="H11994" s="46" t="str">
        <f>IF(AND(I.Developer.P2b=TRUE,I.Facility.P2bFacilityCount&gt;=1982,F11994=""),"Incomplete","Complete")</f>
        <v>Complete</v>
      </c>
      <c r="I11994" s="48" t="s">
        <v>16359</v>
      </c>
    </row>
    <row r="11995" spans="2:9" ht="15" customHeight="1" x14ac:dyDescent="0.25">
      <c r="B11995" s="55" t="s">
        <v>281</v>
      </c>
      <c r="C11995" s="46">
        <v>1983</v>
      </c>
      <c r="D11995" s="69" t="s">
        <v>29418</v>
      </c>
      <c r="E11995" s="51"/>
      <c r="F11995" s="114" t="str">
        <f>IF(INDEX(I.Facility.P2bIDNumber,1983)="","",INDEX(I.Facility.P2bIDNumber,1983))</f>
        <v/>
      </c>
      <c r="G11995" s="51"/>
      <c r="H11995" s="46" t="str">
        <f>IF(AND(I.Developer.P2b=TRUE,I.Facility.P2bFacilityCount&gt;=1983,F11995=""),"Incomplete","Complete")</f>
        <v>Complete</v>
      </c>
      <c r="I11995" s="48" t="s">
        <v>16360</v>
      </c>
    </row>
    <row r="11996" spans="2:9" ht="15" customHeight="1" x14ac:dyDescent="0.25">
      <c r="B11996" s="55" t="s">
        <v>281</v>
      </c>
      <c r="C11996" s="46">
        <v>1984</v>
      </c>
      <c r="D11996" s="69" t="s">
        <v>29418</v>
      </c>
      <c r="E11996" s="51"/>
      <c r="F11996" s="114" t="str">
        <f>IF(INDEX(I.Facility.P2bIDNumber,1984)="","",INDEX(I.Facility.P2bIDNumber,1984))</f>
        <v/>
      </c>
      <c r="G11996" s="51"/>
      <c r="H11996" s="46" t="str">
        <f>IF(AND(I.Developer.P2b=TRUE,I.Facility.P2bFacilityCount&gt;=1984,F11996=""),"Incomplete","Complete")</f>
        <v>Complete</v>
      </c>
      <c r="I11996" s="48" t="s">
        <v>16361</v>
      </c>
    </row>
    <row r="11997" spans="2:9" ht="15" customHeight="1" x14ac:dyDescent="0.25">
      <c r="B11997" s="55" t="s">
        <v>281</v>
      </c>
      <c r="C11997" s="46">
        <v>1985</v>
      </c>
      <c r="D11997" s="69" t="s">
        <v>29418</v>
      </c>
      <c r="E11997" s="51"/>
      <c r="F11997" s="114" t="str">
        <f>IF(INDEX(I.Facility.P2bIDNumber,1985)="","",INDEX(I.Facility.P2bIDNumber,1985))</f>
        <v/>
      </c>
      <c r="G11997" s="51"/>
      <c r="H11997" s="46" t="str">
        <f>IF(AND(I.Developer.P2b=TRUE,I.Facility.P2bFacilityCount&gt;=1985,F11997=""),"Incomplete","Complete")</f>
        <v>Complete</v>
      </c>
      <c r="I11997" s="48" t="s">
        <v>16362</v>
      </c>
    </row>
    <row r="11998" spans="2:9" ht="15" customHeight="1" x14ac:dyDescent="0.25">
      <c r="B11998" s="55" t="s">
        <v>281</v>
      </c>
      <c r="C11998" s="46">
        <v>1986</v>
      </c>
      <c r="D11998" s="69" t="s">
        <v>29418</v>
      </c>
      <c r="E11998" s="51"/>
      <c r="F11998" s="114" t="str">
        <f>IF(INDEX(I.Facility.P2bIDNumber,1986)="","",INDEX(I.Facility.P2bIDNumber,1986))</f>
        <v/>
      </c>
      <c r="G11998" s="51"/>
      <c r="H11998" s="46" t="str">
        <f>IF(AND(I.Developer.P2b=TRUE,I.Facility.P2bFacilityCount&gt;=1986,F11998=""),"Incomplete","Complete")</f>
        <v>Complete</v>
      </c>
      <c r="I11998" s="48" t="s">
        <v>16363</v>
      </c>
    </row>
    <row r="11999" spans="2:9" ht="15" customHeight="1" x14ac:dyDescent="0.25">
      <c r="B11999" s="55" t="s">
        <v>281</v>
      </c>
      <c r="C11999" s="46">
        <v>1987</v>
      </c>
      <c r="D11999" s="69" t="s">
        <v>29418</v>
      </c>
      <c r="E11999" s="51"/>
      <c r="F11999" s="114" t="str">
        <f>IF(INDEX(I.Facility.P2bIDNumber,1987)="","",INDEX(I.Facility.P2bIDNumber,1987))</f>
        <v/>
      </c>
      <c r="G11999" s="51"/>
      <c r="H11999" s="46" t="str">
        <f>IF(AND(I.Developer.P2b=TRUE,I.Facility.P2bFacilityCount&gt;=1987,F11999=""),"Incomplete","Complete")</f>
        <v>Complete</v>
      </c>
      <c r="I11999" s="48" t="s">
        <v>16364</v>
      </c>
    </row>
    <row r="12000" spans="2:9" ht="15" customHeight="1" x14ac:dyDescent="0.25">
      <c r="B12000" s="55" t="s">
        <v>281</v>
      </c>
      <c r="C12000" s="46">
        <v>1988</v>
      </c>
      <c r="D12000" s="69" t="s">
        <v>29418</v>
      </c>
      <c r="E12000" s="51"/>
      <c r="F12000" s="114" t="str">
        <f>IF(INDEX(I.Facility.P2bIDNumber,1988)="","",INDEX(I.Facility.P2bIDNumber,1988))</f>
        <v/>
      </c>
      <c r="G12000" s="51"/>
      <c r="H12000" s="46" t="str">
        <f>IF(AND(I.Developer.P2b=TRUE,I.Facility.P2bFacilityCount&gt;=1988,F12000=""),"Incomplete","Complete")</f>
        <v>Complete</v>
      </c>
      <c r="I12000" s="48" t="s">
        <v>16365</v>
      </c>
    </row>
    <row r="12001" spans="2:9" ht="15" customHeight="1" x14ac:dyDescent="0.25">
      <c r="B12001" s="55" t="s">
        <v>281</v>
      </c>
      <c r="C12001" s="46">
        <v>1989</v>
      </c>
      <c r="D12001" s="69" t="s">
        <v>29418</v>
      </c>
      <c r="E12001" s="51"/>
      <c r="F12001" s="114" t="str">
        <f>IF(INDEX(I.Facility.P2bIDNumber,1989)="","",INDEX(I.Facility.P2bIDNumber,1989))</f>
        <v/>
      </c>
      <c r="G12001" s="51"/>
      <c r="H12001" s="46" t="str">
        <f>IF(AND(I.Developer.P2b=TRUE,I.Facility.P2bFacilityCount&gt;=1989,F12001=""),"Incomplete","Complete")</f>
        <v>Complete</v>
      </c>
      <c r="I12001" s="48" t="s">
        <v>16366</v>
      </c>
    </row>
    <row r="12002" spans="2:9" ht="15" customHeight="1" x14ac:dyDescent="0.25">
      <c r="B12002" s="55" t="s">
        <v>281</v>
      </c>
      <c r="C12002" s="46">
        <v>1990</v>
      </c>
      <c r="D12002" s="69" t="s">
        <v>29418</v>
      </c>
      <c r="E12002" s="51"/>
      <c r="F12002" s="114" t="str">
        <f>IF(INDEX(I.Facility.P2bIDNumber,1990)="","",INDEX(I.Facility.P2bIDNumber,1990))</f>
        <v/>
      </c>
      <c r="G12002" s="51"/>
      <c r="H12002" s="46" t="str">
        <f>IF(AND(I.Developer.P2b=TRUE,I.Facility.P2bFacilityCount&gt;=1990,F12002=""),"Incomplete","Complete")</f>
        <v>Complete</v>
      </c>
      <c r="I12002" s="48" t="s">
        <v>16367</v>
      </c>
    </row>
    <row r="12003" spans="2:9" ht="15" customHeight="1" x14ac:dyDescent="0.25">
      <c r="B12003" s="55" t="s">
        <v>281</v>
      </c>
      <c r="C12003" s="46">
        <v>1991</v>
      </c>
      <c r="D12003" s="69" t="s">
        <v>29418</v>
      </c>
      <c r="E12003" s="51"/>
      <c r="F12003" s="114" t="str">
        <f>IF(INDEX(I.Facility.P2bIDNumber,1991)="","",INDEX(I.Facility.P2bIDNumber,1991))</f>
        <v/>
      </c>
      <c r="G12003" s="51"/>
      <c r="H12003" s="46" t="str">
        <f>IF(AND(I.Developer.P2b=TRUE,I.Facility.P2bFacilityCount&gt;=1991,F12003=""),"Incomplete","Complete")</f>
        <v>Complete</v>
      </c>
      <c r="I12003" s="48" t="s">
        <v>16368</v>
      </c>
    </row>
    <row r="12004" spans="2:9" ht="15" customHeight="1" x14ac:dyDescent="0.25">
      <c r="B12004" s="55" t="s">
        <v>281</v>
      </c>
      <c r="C12004" s="46">
        <v>1992</v>
      </c>
      <c r="D12004" s="69" t="s">
        <v>29418</v>
      </c>
      <c r="E12004" s="51"/>
      <c r="F12004" s="114" t="str">
        <f>IF(INDEX(I.Facility.P2bIDNumber,1992)="","",INDEX(I.Facility.P2bIDNumber,1992))</f>
        <v/>
      </c>
      <c r="G12004" s="51"/>
      <c r="H12004" s="46" t="str">
        <f>IF(AND(I.Developer.P2b=TRUE,I.Facility.P2bFacilityCount&gt;=1992,F12004=""),"Incomplete","Complete")</f>
        <v>Complete</v>
      </c>
      <c r="I12004" s="48" t="s">
        <v>16369</v>
      </c>
    </row>
    <row r="12005" spans="2:9" ht="15" customHeight="1" x14ac:dyDescent="0.25">
      <c r="B12005" s="55" t="s">
        <v>281</v>
      </c>
      <c r="C12005" s="46">
        <v>1993</v>
      </c>
      <c r="D12005" s="69" t="s">
        <v>29418</v>
      </c>
      <c r="E12005" s="51"/>
      <c r="F12005" s="114" t="str">
        <f>IF(INDEX(I.Facility.P2bIDNumber,1993)="","",INDEX(I.Facility.P2bIDNumber,1993))</f>
        <v/>
      </c>
      <c r="G12005" s="51"/>
      <c r="H12005" s="46" t="str">
        <f>IF(AND(I.Developer.P2b=TRUE,I.Facility.P2bFacilityCount&gt;=1993,F12005=""),"Incomplete","Complete")</f>
        <v>Complete</v>
      </c>
      <c r="I12005" s="48" t="s">
        <v>16370</v>
      </c>
    </row>
    <row r="12006" spans="2:9" ht="15" customHeight="1" x14ac:dyDescent="0.25">
      <c r="B12006" s="55" t="s">
        <v>281</v>
      </c>
      <c r="C12006" s="46">
        <v>1994</v>
      </c>
      <c r="D12006" s="69" t="s">
        <v>29418</v>
      </c>
      <c r="E12006" s="51"/>
      <c r="F12006" s="114" t="str">
        <f>IF(INDEX(I.Facility.P2bIDNumber,1994)="","",INDEX(I.Facility.P2bIDNumber,1994))</f>
        <v/>
      </c>
      <c r="G12006" s="51"/>
      <c r="H12006" s="46" t="str">
        <f>IF(AND(I.Developer.P2b=TRUE,I.Facility.P2bFacilityCount&gt;=1994,F12006=""),"Incomplete","Complete")</f>
        <v>Complete</v>
      </c>
      <c r="I12006" s="48" t="s">
        <v>16371</v>
      </c>
    </row>
    <row r="12007" spans="2:9" ht="15" customHeight="1" x14ac:dyDescent="0.25">
      <c r="B12007" s="55" t="s">
        <v>281</v>
      </c>
      <c r="C12007" s="46">
        <v>1995</v>
      </c>
      <c r="D12007" s="69" t="s">
        <v>29418</v>
      </c>
      <c r="E12007" s="51"/>
      <c r="F12007" s="114" t="str">
        <f>IF(INDEX(I.Facility.P2bIDNumber,1995)="","",INDEX(I.Facility.P2bIDNumber,1995))</f>
        <v/>
      </c>
      <c r="G12007" s="51"/>
      <c r="H12007" s="46" t="str">
        <f>IF(AND(I.Developer.P2b=TRUE,I.Facility.P2bFacilityCount&gt;=1995,F12007=""),"Incomplete","Complete")</f>
        <v>Complete</v>
      </c>
      <c r="I12007" s="48" t="s">
        <v>16372</v>
      </c>
    </row>
    <row r="12008" spans="2:9" ht="15" customHeight="1" x14ac:dyDescent="0.25">
      <c r="B12008" s="55" t="s">
        <v>281</v>
      </c>
      <c r="C12008" s="46">
        <v>1996</v>
      </c>
      <c r="D12008" s="69" t="s">
        <v>29418</v>
      </c>
      <c r="E12008" s="51"/>
      <c r="F12008" s="114" t="str">
        <f>IF(INDEX(I.Facility.P2bIDNumber,1996)="","",INDEX(I.Facility.P2bIDNumber,1996))</f>
        <v/>
      </c>
      <c r="G12008" s="51"/>
      <c r="H12008" s="46" t="str">
        <f>IF(AND(I.Developer.P2b=TRUE,I.Facility.P2bFacilityCount&gt;=1996,F12008=""),"Incomplete","Complete")</f>
        <v>Complete</v>
      </c>
      <c r="I12008" s="48" t="s">
        <v>16373</v>
      </c>
    </row>
    <row r="12009" spans="2:9" ht="15" customHeight="1" x14ac:dyDescent="0.25">
      <c r="B12009" s="55" t="s">
        <v>281</v>
      </c>
      <c r="C12009" s="46">
        <v>1997</v>
      </c>
      <c r="D12009" s="69" t="s">
        <v>29418</v>
      </c>
      <c r="E12009" s="51"/>
      <c r="F12009" s="114" t="str">
        <f>IF(INDEX(I.Facility.P2bIDNumber,1997)="","",INDEX(I.Facility.P2bIDNumber,1997))</f>
        <v/>
      </c>
      <c r="G12009" s="51"/>
      <c r="H12009" s="46" t="str">
        <f>IF(AND(I.Developer.P2b=TRUE,I.Facility.P2bFacilityCount&gt;=1997,F12009=""),"Incomplete","Complete")</f>
        <v>Complete</v>
      </c>
      <c r="I12009" s="48" t="s">
        <v>16374</v>
      </c>
    </row>
    <row r="12010" spans="2:9" ht="15" customHeight="1" x14ac:dyDescent="0.25">
      <c r="B12010" s="55" t="s">
        <v>281</v>
      </c>
      <c r="C12010" s="46">
        <v>1998</v>
      </c>
      <c r="D12010" s="69" t="s">
        <v>29418</v>
      </c>
      <c r="E12010" s="51"/>
      <c r="F12010" s="114" t="str">
        <f>IF(INDEX(I.Facility.P2bIDNumber,1998)="","",INDEX(I.Facility.P2bIDNumber,1998))</f>
        <v/>
      </c>
      <c r="G12010" s="51"/>
      <c r="H12010" s="46" t="str">
        <f>IF(AND(I.Developer.P2b=TRUE,I.Facility.P2bFacilityCount&gt;=1998,F12010=""),"Incomplete","Complete")</f>
        <v>Complete</v>
      </c>
      <c r="I12010" s="48" t="s">
        <v>16375</v>
      </c>
    </row>
    <row r="12011" spans="2:9" ht="15" customHeight="1" x14ac:dyDescent="0.25">
      <c r="B12011" s="55" t="s">
        <v>281</v>
      </c>
      <c r="C12011" s="46">
        <v>1999</v>
      </c>
      <c r="D12011" s="69" t="s">
        <v>29418</v>
      </c>
      <c r="E12011" s="51"/>
      <c r="F12011" s="114" t="str">
        <f>IF(INDEX(I.Facility.P2bIDNumber,1999)="","",INDEX(I.Facility.P2bIDNumber,1999))</f>
        <v/>
      </c>
      <c r="G12011" s="51"/>
      <c r="H12011" s="46" t="str">
        <f>IF(AND(I.Developer.P2b=TRUE,I.Facility.P2bFacilityCount&gt;=1999,F12011=""),"Incomplete","Complete")</f>
        <v>Complete</v>
      </c>
      <c r="I12011" s="48" t="s">
        <v>16376</v>
      </c>
    </row>
    <row r="12012" spans="2:9" ht="15" customHeight="1" x14ac:dyDescent="0.25">
      <c r="B12012" s="55" t="s">
        <v>281</v>
      </c>
      <c r="C12012" s="46">
        <v>2000</v>
      </c>
      <c r="D12012" s="69" t="s">
        <v>29418</v>
      </c>
      <c r="E12012" s="51"/>
      <c r="F12012" s="114" t="str">
        <f>IF(INDEX(I.Facility.P2bIDNumber,2000)="","",INDEX(I.Facility.P2bIDNumber,2000))</f>
        <v/>
      </c>
      <c r="G12012" s="51"/>
      <c r="H12012" s="46" t="str">
        <f>IF(AND(I.Developer.P2b=TRUE,I.Facility.P2bFacilityCount&gt;=2000,F12012=""),"Incomplete","Complete")</f>
        <v>Complete</v>
      </c>
      <c r="I12012" s="48" t="s">
        <v>16377</v>
      </c>
    </row>
    <row r="12013" spans="2:9" ht="15" customHeight="1" x14ac:dyDescent="0.25">
      <c r="B12013" s="55" t="s">
        <v>281</v>
      </c>
      <c r="C12013" s="46">
        <v>2001</v>
      </c>
      <c r="D12013" s="69" t="s">
        <v>29418</v>
      </c>
      <c r="E12013" s="51"/>
      <c r="F12013" s="114" t="str">
        <f>IF(INDEX(I.Facility.P2bIDNumber,2001)="","",INDEX(I.Facility.P2bIDNumber,2001))</f>
        <v/>
      </c>
      <c r="G12013" s="51"/>
      <c r="H12013" s="46" t="str">
        <f>IF(AND(I.Developer.P2b=TRUE,I.Facility.P2bFacilityCount&gt;=2001,F12013=""),"Incomplete","Complete")</f>
        <v>Complete</v>
      </c>
      <c r="I12013" s="48" t="s">
        <v>16378</v>
      </c>
    </row>
    <row r="12014" spans="2:9" ht="15" customHeight="1" x14ac:dyDescent="0.25">
      <c r="B12014" s="55" t="s">
        <v>281</v>
      </c>
      <c r="C12014" s="46">
        <v>2002</v>
      </c>
      <c r="D12014" s="69" t="s">
        <v>29418</v>
      </c>
      <c r="E12014" s="51"/>
      <c r="F12014" s="114" t="str">
        <f>IF(INDEX(I.Facility.P2bIDNumber,2002)="","",INDEX(I.Facility.P2bIDNumber,2002))</f>
        <v/>
      </c>
      <c r="G12014" s="51"/>
      <c r="H12014" s="46" t="str">
        <f>IF(AND(I.Developer.P2b=TRUE,I.Facility.P2bFacilityCount&gt;=2002,F12014=""),"Incomplete","Complete")</f>
        <v>Complete</v>
      </c>
      <c r="I12014" s="48" t="s">
        <v>16379</v>
      </c>
    </row>
    <row r="12015" spans="2:9" ht="15" customHeight="1" x14ac:dyDescent="0.25">
      <c r="B12015" s="55" t="s">
        <v>281</v>
      </c>
      <c r="C12015" s="46">
        <v>2003</v>
      </c>
      <c r="D12015" s="69" t="s">
        <v>29418</v>
      </c>
      <c r="E12015" s="51"/>
      <c r="F12015" s="114" t="str">
        <f>IF(INDEX(I.Facility.P2bIDNumber,2003)="","",INDEX(I.Facility.P2bIDNumber,2003))</f>
        <v/>
      </c>
      <c r="G12015" s="51"/>
      <c r="H12015" s="46" t="str">
        <f>IF(AND(I.Developer.P2b=TRUE,I.Facility.P2bFacilityCount&gt;=2003,F12015=""),"Incomplete","Complete")</f>
        <v>Complete</v>
      </c>
      <c r="I12015" s="48" t="s">
        <v>16380</v>
      </c>
    </row>
    <row r="12016" spans="2:9" ht="15" customHeight="1" x14ac:dyDescent="0.25">
      <c r="B12016" s="55" t="s">
        <v>281</v>
      </c>
      <c r="C12016" s="46">
        <v>2004</v>
      </c>
      <c r="D12016" s="69" t="s">
        <v>29418</v>
      </c>
      <c r="E12016" s="51"/>
      <c r="F12016" s="114" t="str">
        <f>IF(INDEX(I.Facility.P2bIDNumber,2004)="","",INDEX(I.Facility.P2bIDNumber,2004))</f>
        <v/>
      </c>
      <c r="G12016" s="51"/>
      <c r="H12016" s="46" t="str">
        <f>IF(AND(I.Developer.P2b=TRUE,I.Facility.P2bFacilityCount&gt;=2004,F12016=""),"Incomplete","Complete")</f>
        <v>Complete</v>
      </c>
      <c r="I12016" s="48" t="s">
        <v>16381</v>
      </c>
    </row>
    <row r="12017" spans="2:9" ht="15" customHeight="1" x14ac:dyDescent="0.25">
      <c r="B12017" s="55" t="s">
        <v>281</v>
      </c>
      <c r="C12017" s="46">
        <v>2005</v>
      </c>
      <c r="D12017" s="69" t="s">
        <v>29418</v>
      </c>
      <c r="E12017" s="51"/>
      <c r="F12017" s="114" t="str">
        <f>IF(INDEX(I.Facility.P2bIDNumber,2005)="","",INDEX(I.Facility.P2bIDNumber,2005))</f>
        <v/>
      </c>
      <c r="G12017" s="51"/>
      <c r="H12017" s="46" t="str">
        <f>IF(AND(I.Developer.P2b=TRUE,I.Facility.P2bFacilityCount&gt;=2005,F12017=""),"Incomplete","Complete")</f>
        <v>Complete</v>
      </c>
      <c r="I12017" s="48" t="s">
        <v>16382</v>
      </c>
    </row>
    <row r="12018" spans="2:9" ht="15" customHeight="1" x14ac:dyDescent="0.25">
      <c r="B12018" s="55" t="s">
        <v>281</v>
      </c>
      <c r="C12018" s="46">
        <v>2006</v>
      </c>
      <c r="D12018" s="69" t="s">
        <v>29418</v>
      </c>
      <c r="E12018" s="51"/>
      <c r="F12018" s="114" t="str">
        <f>IF(INDEX(I.Facility.P2bIDNumber,2006)="","",INDEX(I.Facility.P2bIDNumber,2006))</f>
        <v/>
      </c>
      <c r="G12018" s="51"/>
      <c r="H12018" s="46" t="str">
        <f>IF(AND(I.Developer.P2b=TRUE,I.Facility.P2bFacilityCount&gt;=2006,F12018=""),"Incomplete","Complete")</f>
        <v>Complete</v>
      </c>
      <c r="I12018" s="48" t="s">
        <v>16383</v>
      </c>
    </row>
    <row r="12019" spans="2:9" ht="15" customHeight="1" x14ac:dyDescent="0.25">
      <c r="B12019" s="55" t="s">
        <v>281</v>
      </c>
      <c r="C12019" s="46">
        <v>2007</v>
      </c>
      <c r="D12019" s="69" t="s">
        <v>29418</v>
      </c>
      <c r="E12019" s="51"/>
      <c r="F12019" s="114" t="str">
        <f>IF(INDEX(I.Facility.P2bIDNumber,2007)="","",INDEX(I.Facility.P2bIDNumber,2007))</f>
        <v/>
      </c>
      <c r="G12019" s="51"/>
      <c r="H12019" s="46" t="str">
        <f>IF(AND(I.Developer.P2b=TRUE,I.Facility.P2bFacilityCount&gt;=2007,F12019=""),"Incomplete","Complete")</f>
        <v>Complete</v>
      </c>
      <c r="I12019" s="48" t="s">
        <v>16384</v>
      </c>
    </row>
    <row r="12020" spans="2:9" ht="15" customHeight="1" x14ac:dyDescent="0.25">
      <c r="B12020" s="55" t="s">
        <v>281</v>
      </c>
      <c r="C12020" s="46">
        <v>2008</v>
      </c>
      <c r="D12020" s="69" t="s">
        <v>29418</v>
      </c>
      <c r="E12020" s="51"/>
      <c r="F12020" s="114" t="str">
        <f>IF(INDEX(I.Facility.P2bIDNumber,2008)="","",INDEX(I.Facility.P2bIDNumber,2008))</f>
        <v/>
      </c>
      <c r="G12020" s="51"/>
      <c r="H12020" s="46" t="str">
        <f>IF(AND(I.Developer.P2b=TRUE,I.Facility.P2bFacilityCount&gt;=2008,F12020=""),"Incomplete","Complete")</f>
        <v>Complete</v>
      </c>
      <c r="I12020" s="48" t="s">
        <v>16385</v>
      </c>
    </row>
    <row r="12021" spans="2:9" ht="15" customHeight="1" x14ac:dyDescent="0.25">
      <c r="B12021" s="55" t="s">
        <v>281</v>
      </c>
      <c r="C12021" s="46">
        <v>2009</v>
      </c>
      <c r="D12021" s="69" t="s">
        <v>29418</v>
      </c>
      <c r="E12021" s="51"/>
      <c r="F12021" s="114" t="str">
        <f>IF(INDEX(I.Facility.P2bIDNumber,2009)="","",INDEX(I.Facility.P2bIDNumber,2009))</f>
        <v/>
      </c>
      <c r="G12021" s="51"/>
      <c r="H12021" s="46" t="str">
        <f>IF(AND(I.Developer.P2b=TRUE,I.Facility.P2bFacilityCount&gt;=2009,F12021=""),"Incomplete","Complete")</f>
        <v>Complete</v>
      </c>
      <c r="I12021" s="48" t="s">
        <v>16386</v>
      </c>
    </row>
    <row r="12022" spans="2:9" ht="15" customHeight="1" x14ac:dyDescent="0.25">
      <c r="B12022" s="55" t="s">
        <v>281</v>
      </c>
      <c r="C12022" s="46">
        <v>2010</v>
      </c>
      <c r="D12022" s="69" t="s">
        <v>29418</v>
      </c>
      <c r="E12022" s="51"/>
      <c r="F12022" s="114" t="str">
        <f>IF(INDEX(I.Facility.P2bIDNumber,2010)="","",INDEX(I.Facility.P2bIDNumber,2010))</f>
        <v/>
      </c>
      <c r="G12022" s="51"/>
      <c r="H12022" s="46" t="str">
        <f>IF(AND(I.Developer.P2b=TRUE,I.Facility.P2bFacilityCount&gt;=2010,F12022=""),"Incomplete","Complete")</f>
        <v>Complete</v>
      </c>
      <c r="I12022" s="48" t="s">
        <v>16387</v>
      </c>
    </row>
    <row r="12023" spans="2:9" ht="15" customHeight="1" x14ac:dyDescent="0.25">
      <c r="B12023" s="55" t="s">
        <v>281</v>
      </c>
      <c r="C12023" s="46">
        <v>2011</v>
      </c>
      <c r="D12023" s="69" t="s">
        <v>29418</v>
      </c>
      <c r="E12023" s="51"/>
      <c r="F12023" s="114" t="str">
        <f>IF(INDEX(I.Facility.P2bIDNumber,2011)="","",INDEX(I.Facility.P2bIDNumber,2011))</f>
        <v/>
      </c>
      <c r="G12023" s="51"/>
      <c r="H12023" s="46" t="str">
        <f>IF(AND(I.Developer.P2b=TRUE,I.Facility.P2bFacilityCount&gt;=2011,F12023=""),"Incomplete","Complete")</f>
        <v>Complete</v>
      </c>
      <c r="I12023" s="48" t="s">
        <v>16388</v>
      </c>
    </row>
    <row r="12024" spans="2:9" ht="15" customHeight="1" x14ac:dyDescent="0.25">
      <c r="B12024" s="55" t="s">
        <v>281</v>
      </c>
      <c r="C12024" s="46">
        <v>2012</v>
      </c>
      <c r="D12024" s="69" t="s">
        <v>29418</v>
      </c>
      <c r="E12024" s="51"/>
      <c r="F12024" s="114" t="str">
        <f>IF(INDEX(I.Facility.P2bIDNumber,2012)="","",INDEX(I.Facility.P2bIDNumber,2012))</f>
        <v/>
      </c>
      <c r="G12024" s="51"/>
      <c r="H12024" s="46" t="str">
        <f>IF(AND(I.Developer.P2b=TRUE,I.Facility.P2bFacilityCount&gt;=2012,F12024=""),"Incomplete","Complete")</f>
        <v>Complete</v>
      </c>
      <c r="I12024" s="48" t="s">
        <v>16389</v>
      </c>
    </row>
    <row r="12025" spans="2:9" ht="15" customHeight="1" x14ac:dyDescent="0.25">
      <c r="B12025" s="55" t="s">
        <v>281</v>
      </c>
      <c r="C12025" s="46">
        <v>2013</v>
      </c>
      <c r="D12025" s="69" t="s">
        <v>29418</v>
      </c>
      <c r="E12025" s="51"/>
      <c r="F12025" s="114" t="str">
        <f>IF(INDEX(I.Facility.P2bIDNumber,2013)="","",INDEX(I.Facility.P2bIDNumber,2013))</f>
        <v/>
      </c>
      <c r="G12025" s="51"/>
      <c r="H12025" s="46" t="str">
        <f>IF(AND(I.Developer.P2b=TRUE,I.Facility.P2bFacilityCount&gt;=2013,F12025=""),"Incomplete","Complete")</f>
        <v>Complete</v>
      </c>
      <c r="I12025" s="48" t="s">
        <v>16390</v>
      </c>
    </row>
    <row r="12026" spans="2:9" ht="15" customHeight="1" x14ac:dyDescent="0.25">
      <c r="B12026" s="55" t="s">
        <v>281</v>
      </c>
      <c r="C12026" s="46">
        <v>2014</v>
      </c>
      <c r="D12026" s="69" t="s">
        <v>29418</v>
      </c>
      <c r="E12026" s="51"/>
      <c r="F12026" s="114" t="str">
        <f>IF(INDEX(I.Facility.P2bIDNumber,2014)="","",INDEX(I.Facility.P2bIDNumber,2014))</f>
        <v/>
      </c>
      <c r="G12026" s="51"/>
      <c r="H12026" s="46" t="str">
        <f>IF(AND(I.Developer.P2b=TRUE,I.Facility.P2bFacilityCount&gt;=2014,F12026=""),"Incomplete","Complete")</f>
        <v>Complete</v>
      </c>
      <c r="I12026" s="48" t="s">
        <v>16391</v>
      </c>
    </row>
    <row r="12027" spans="2:9" ht="15" customHeight="1" x14ac:dyDescent="0.25">
      <c r="B12027" s="55" t="s">
        <v>281</v>
      </c>
      <c r="C12027" s="46">
        <v>2015</v>
      </c>
      <c r="D12027" s="69" t="s">
        <v>29418</v>
      </c>
      <c r="E12027" s="51"/>
      <c r="F12027" s="114" t="str">
        <f>IF(INDEX(I.Facility.P2bIDNumber,2015)="","",INDEX(I.Facility.P2bIDNumber,2015))</f>
        <v/>
      </c>
      <c r="G12027" s="51"/>
      <c r="H12027" s="46" t="str">
        <f>IF(AND(I.Developer.P2b=TRUE,I.Facility.P2bFacilityCount&gt;=2015,F12027=""),"Incomplete","Complete")</f>
        <v>Complete</v>
      </c>
      <c r="I12027" s="48" t="s">
        <v>16392</v>
      </c>
    </row>
    <row r="12028" spans="2:9" ht="15" customHeight="1" x14ac:dyDescent="0.25">
      <c r="B12028" s="55" t="s">
        <v>281</v>
      </c>
      <c r="C12028" s="46">
        <v>2016</v>
      </c>
      <c r="D12028" s="69" t="s">
        <v>29418</v>
      </c>
      <c r="E12028" s="51"/>
      <c r="F12028" s="114" t="str">
        <f>IF(INDEX(I.Facility.P2bIDNumber,2016)="","",INDEX(I.Facility.P2bIDNumber,2016))</f>
        <v/>
      </c>
      <c r="G12028" s="51"/>
      <c r="H12028" s="46" t="str">
        <f>IF(AND(I.Developer.P2b=TRUE,I.Facility.P2bFacilityCount&gt;=2016,F12028=""),"Incomplete","Complete")</f>
        <v>Complete</v>
      </c>
      <c r="I12028" s="48" t="s">
        <v>16393</v>
      </c>
    </row>
    <row r="12029" spans="2:9" ht="15" customHeight="1" x14ac:dyDescent="0.25">
      <c r="B12029" s="55" t="s">
        <v>281</v>
      </c>
      <c r="C12029" s="46">
        <v>2017</v>
      </c>
      <c r="D12029" s="69" t="s">
        <v>29418</v>
      </c>
      <c r="E12029" s="51"/>
      <c r="F12029" s="114" t="str">
        <f>IF(INDEX(I.Facility.P2bIDNumber,2017)="","",INDEX(I.Facility.P2bIDNumber,2017))</f>
        <v/>
      </c>
      <c r="G12029" s="51"/>
      <c r="H12029" s="46" t="str">
        <f>IF(AND(I.Developer.P2b=TRUE,I.Facility.P2bFacilityCount&gt;=2017,F12029=""),"Incomplete","Complete")</f>
        <v>Complete</v>
      </c>
      <c r="I12029" s="48" t="s">
        <v>16394</v>
      </c>
    </row>
    <row r="12030" spans="2:9" ht="15" customHeight="1" x14ac:dyDescent="0.25">
      <c r="B12030" s="55" t="s">
        <v>281</v>
      </c>
      <c r="C12030" s="46">
        <v>2018</v>
      </c>
      <c r="D12030" s="69" t="s">
        <v>29418</v>
      </c>
      <c r="E12030" s="51"/>
      <c r="F12030" s="114" t="str">
        <f>IF(INDEX(I.Facility.P2bIDNumber,2018)="","",INDEX(I.Facility.P2bIDNumber,2018))</f>
        <v/>
      </c>
      <c r="G12030" s="51"/>
      <c r="H12030" s="46" t="str">
        <f>IF(AND(I.Developer.P2b=TRUE,I.Facility.P2bFacilityCount&gt;=2018,F12030=""),"Incomplete","Complete")</f>
        <v>Complete</v>
      </c>
      <c r="I12030" s="48" t="s">
        <v>16395</v>
      </c>
    </row>
    <row r="12031" spans="2:9" ht="15" customHeight="1" x14ac:dyDescent="0.25">
      <c r="B12031" s="55" t="s">
        <v>281</v>
      </c>
      <c r="C12031" s="46">
        <v>2019</v>
      </c>
      <c r="D12031" s="69" t="s">
        <v>29418</v>
      </c>
      <c r="E12031" s="51"/>
      <c r="F12031" s="114" t="str">
        <f>IF(INDEX(I.Facility.P2bIDNumber,2019)="","",INDEX(I.Facility.P2bIDNumber,2019))</f>
        <v/>
      </c>
      <c r="G12031" s="51"/>
      <c r="H12031" s="46" t="str">
        <f>IF(AND(I.Developer.P2b=TRUE,I.Facility.P2bFacilityCount&gt;=2019,F12031=""),"Incomplete","Complete")</f>
        <v>Complete</v>
      </c>
      <c r="I12031" s="48" t="s">
        <v>16396</v>
      </c>
    </row>
    <row r="12032" spans="2:9" ht="15" customHeight="1" x14ac:dyDescent="0.25">
      <c r="B12032" s="55" t="s">
        <v>281</v>
      </c>
      <c r="C12032" s="46">
        <v>2020</v>
      </c>
      <c r="D12032" s="69" t="s">
        <v>29418</v>
      </c>
      <c r="E12032" s="51"/>
      <c r="F12032" s="114" t="str">
        <f>IF(INDEX(I.Facility.P2bIDNumber,2020)="","",INDEX(I.Facility.P2bIDNumber,2020))</f>
        <v/>
      </c>
      <c r="G12032" s="51"/>
      <c r="H12032" s="46" t="str">
        <f>IF(AND(I.Developer.P2b=TRUE,I.Facility.P2bFacilityCount&gt;=2020,F12032=""),"Incomplete","Complete")</f>
        <v>Complete</v>
      </c>
      <c r="I12032" s="48" t="s">
        <v>16397</v>
      </c>
    </row>
    <row r="12033" spans="2:9" ht="15" customHeight="1" x14ac:dyDescent="0.25">
      <c r="B12033" s="55" t="s">
        <v>281</v>
      </c>
      <c r="C12033" s="46">
        <v>2021</v>
      </c>
      <c r="D12033" s="69" t="s">
        <v>29418</v>
      </c>
      <c r="E12033" s="51"/>
      <c r="F12033" s="114" t="str">
        <f>IF(INDEX(I.Facility.P2bIDNumber,2021)="","",INDEX(I.Facility.P2bIDNumber,2021))</f>
        <v/>
      </c>
      <c r="G12033" s="51"/>
      <c r="H12033" s="46" t="str">
        <f>IF(AND(I.Developer.P2b=TRUE,I.Facility.P2bFacilityCount&gt;=2021,F12033=""),"Incomplete","Complete")</f>
        <v>Complete</v>
      </c>
      <c r="I12033" s="48" t="s">
        <v>16398</v>
      </c>
    </row>
    <row r="12034" spans="2:9" ht="15" customHeight="1" x14ac:dyDescent="0.25">
      <c r="B12034" s="55" t="s">
        <v>281</v>
      </c>
      <c r="C12034" s="46">
        <v>2022</v>
      </c>
      <c r="D12034" s="69" t="s">
        <v>29418</v>
      </c>
      <c r="E12034" s="51"/>
      <c r="F12034" s="114" t="str">
        <f>IF(INDEX(I.Facility.P2bIDNumber,2022)="","",INDEX(I.Facility.P2bIDNumber,2022))</f>
        <v/>
      </c>
      <c r="G12034" s="51"/>
      <c r="H12034" s="46" t="str">
        <f>IF(AND(I.Developer.P2b=TRUE,I.Facility.P2bFacilityCount&gt;=2022,F12034=""),"Incomplete","Complete")</f>
        <v>Complete</v>
      </c>
      <c r="I12034" s="48" t="s">
        <v>16399</v>
      </c>
    </row>
    <row r="12035" spans="2:9" ht="15" customHeight="1" x14ac:dyDescent="0.25">
      <c r="B12035" s="55" t="s">
        <v>281</v>
      </c>
      <c r="C12035" s="46">
        <v>2023</v>
      </c>
      <c r="D12035" s="69" t="s">
        <v>29418</v>
      </c>
      <c r="E12035" s="51"/>
      <c r="F12035" s="114" t="str">
        <f>IF(INDEX(I.Facility.P2bIDNumber,2023)="","",INDEX(I.Facility.P2bIDNumber,2023))</f>
        <v/>
      </c>
      <c r="G12035" s="51"/>
      <c r="H12035" s="46" t="str">
        <f>IF(AND(I.Developer.P2b=TRUE,I.Facility.P2bFacilityCount&gt;=2023,F12035=""),"Incomplete","Complete")</f>
        <v>Complete</v>
      </c>
      <c r="I12035" s="48" t="s">
        <v>16400</v>
      </c>
    </row>
    <row r="12036" spans="2:9" ht="15" customHeight="1" x14ac:dyDescent="0.25">
      <c r="B12036" s="55" t="s">
        <v>281</v>
      </c>
      <c r="C12036" s="46">
        <v>2024</v>
      </c>
      <c r="D12036" s="69" t="s">
        <v>29418</v>
      </c>
      <c r="E12036" s="51"/>
      <c r="F12036" s="114" t="str">
        <f>IF(INDEX(I.Facility.P2bIDNumber,2024)="","",INDEX(I.Facility.P2bIDNumber,2024))</f>
        <v/>
      </c>
      <c r="G12036" s="51"/>
      <c r="H12036" s="46" t="str">
        <f>IF(AND(I.Developer.P2b=TRUE,I.Facility.P2bFacilityCount&gt;=2024,F12036=""),"Incomplete","Complete")</f>
        <v>Complete</v>
      </c>
      <c r="I12036" s="48" t="s">
        <v>16401</v>
      </c>
    </row>
    <row r="12037" spans="2:9" ht="15" customHeight="1" x14ac:dyDescent="0.25">
      <c r="B12037" s="55" t="s">
        <v>281</v>
      </c>
      <c r="C12037" s="46">
        <v>2025</v>
      </c>
      <c r="D12037" s="69" t="s">
        <v>29418</v>
      </c>
      <c r="E12037" s="51"/>
      <c r="F12037" s="114" t="str">
        <f>IF(INDEX(I.Facility.P2bIDNumber,2025)="","",INDEX(I.Facility.P2bIDNumber,2025))</f>
        <v/>
      </c>
      <c r="G12037" s="51"/>
      <c r="H12037" s="46" t="str">
        <f>IF(AND(I.Developer.P2b=TRUE,I.Facility.P2bFacilityCount&gt;=2025,F12037=""),"Incomplete","Complete")</f>
        <v>Complete</v>
      </c>
      <c r="I12037" s="48" t="s">
        <v>16402</v>
      </c>
    </row>
    <row r="12038" spans="2:9" ht="15" customHeight="1" x14ac:dyDescent="0.25">
      <c r="B12038" s="55" t="s">
        <v>281</v>
      </c>
      <c r="C12038" s="46">
        <v>2026</v>
      </c>
      <c r="D12038" s="69" t="s">
        <v>29418</v>
      </c>
      <c r="E12038" s="51"/>
      <c r="F12038" s="114" t="str">
        <f>IF(INDEX(I.Facility.P2bIDNumber,2026)="","",INDEX(I.Facility.P2bIDNumber,2026))</f>
        <v/>
      </c>
      <c r="G12038" s="51"/>
      <c r="H12038" s="46" t="str">
        <f>IF(AND(I.Developer.P2b=TRUE,I.Facility.P2bFacilityCount&gt;=2026,F12038=""),"Incomplete","Complete")</f>
        <v>Complete</v>
      </c>
      <c r="I12038" s="48" t="s">
        <v>16403</v>
      </c>
    </row>
    <row r="12039" spans="2:9" ht="15" customHeight="1" x14ac:dyDescent="0.25">
      <c r="B12039" s="55" t="s">
        <v>281</v>
      </c>
      <c r="C12039" s="46">
        <v>2027</v>
      </c>
      <c r="D12039" s="69" t="s">
        <v>29418</v>
      </c>
      <c r="E12039" s="51"/>
      <c r="F12039" s="114" t="str">
        <f>IF(INDEX(I.Facility.P2bIDNumber,2027)="","",INDEX(I.Facility.P2bIDNumber,2027))</f>
        <v/>
      </c>
      <c r="G12039" s="51"/>
      <c r="H12039" s="46" t="str">
        <f>IF(AND(I.Developer.P2b=TRUE,I.Facility.P2bFacilityCount&gt;=2027,F12039=""),"Incomplete","Complete")</f>
        <v>Complete</v>
      </c>
      <c r="I12039" s="48" t="s">
        <v>16404</v>
      </c>
    </row>
    <row r="12040" spans="2:9" ht="15" customHeight="1" x14ac:dyDescent="0.25">
      <c r="B12040" s="55" t="s">
        <v>281</v>
      </c>
      <c r="C12040" s="46">
        <v>2028</v>
      </c>
      <c r="D12040" s="69" t="s">
        <v>29418</v>
      </c>
      <c r="E12040" s="51"/>
      <c r="F12040" s="114" t="str">
        <f>IF(INDEX(I.Facility.P2bIDNumber,2028)="","",INDEX(I.Facility.P2bIDNumber,2028))</f>
        <v/>
      </c>
      <c r="G12040" s="51"/>
      <c r="H12040" s="46" t="str">
        <f>IF(AND(I.Developer.P2b=TRUE,I.Facility.P2bFacilityCount&gt;=2028,F12040=""),"Incomplete","Complete")</f>
        <v>Complete</v>
      </c>
      <c r="I12040" s="48" t="s">
        <v>16405</v>
      </c>
    </row>
    <row r="12041" spans="2:9" ht="15" customHeight="1" x14ac:dyDescent="0.25">
      <c r="B12041" s="55" t="s">
        <v>281</v>
      </c>
      <c r="C12041" s="46">
        <v>2029</v>
      </c>
      <c r="D12041" s="69" t="s">
        <v>29418</v>
      </c>
      <c r="E12041" s="51"/>
      <c r="F12041" s="114" t="str">
        <f>IF(INDEX(I.Facility.P2bIDNumber,2029)="","",INDEX(I.Facility.P2bIDNumber,2029))</f>
        <v/>
      </c>
      <c r="G12041" s="51"/>
      <c r="H12041" s="46" t="str">
        <f>IF(AND(I.Developer.P2b=TRUE,I.Facility.P2bFacilityCount&gt;=2029,F12041=""),"Incomplete","Complete")</f>
        <v>Complete</v>
      </c>
      <c r="I12041" s="48" t="s">
        <v>16406</v>
      </c>
    </row>
    <row r="12042" spans="2:9" ht="15" customHeight="1" x14ac:dyDescent="0.25">
      <c r="B12042" s="55" t="s">
        <v>281</v>
      </c>
      <c r="C12042" s="46">
        <v>2030</v>
      </c>
      <c r="D12042" s="69" t="s">
        <v>29418</v>
      </c>
      <c r="E12042" s="51"/>
      <c r="F12042" s="114" t="str">
        <f>IF(INDEX(I.Facility.P2bIDNumber,2030)="","",INDEX(I.Facility.P2bIDNumber,2030))</f>
        <v/>
      </c>
      <c r="G12042" s="51"/>
      <c r="H12042" s="46" t="str">
        <f>IF(AND(I.Developer.P2b=TRUE,I.Facility.P2bFacilityCount&gt;=2030,F12042=""),"Incomplete","Complete")</f>
        <v>Complete</v>
      </c>
      <c r="I12042" s="48" t="s">
        <v>16407</v>
      </c>
    </row>
    <row r="12043" spans="2:9" ht="15" customHeight="1" x14ac:dyDescent="0.25">
      <c r="B12043" s="55" t="s">
        <v>281</v>
      </c>
      <c r="C12043" s="46">
        <v>2031</v>
      </c>
      <c r="D12043" s="69" t="s">
        <v>29418</v>
      </c>
      <c r="E12043" s="51"/>
      <c r="F12043" s="114" t="str">
        <f>IF(INDEX(I.Facility.P2bIDNumber,2031)="","",INDEX(I.Facility.P2bIDNumber,2031))</f>
        <v/>
      </c>
      <c r="G12043" s="51"/>
      <c r="H12043" s="46" t="str">
        <f>IF(AND(I.Developer.P2b=TRUE,I.Facility.P2bFacilityCount&gt;=2031,F12043=""),"Incomplete","Complete")</f>
        <v>Complete</v>
      </c>
      <c r="I12043" s="48" t="s">
        <v>16408</v>
      </c>
    </row>
    <row r="12044" spans="2:9" ht="15" customHeight="1" x14ac:dyDescent="0.25">
      <c r="B12044" s="55" t="s">
        <v>281</v>
      </c>
      <c r="C12044" s="46">
        <v>2032</v>
      </c>
      <c r="D12044" s="69" t="s">
        <v>29418</v>
      </c>
      <c r="E12044" s="51"/>
      <c r="F12044" s="114" t="str">
        <f>IF(INDEX(I.Facility.P2bIDNumber,2032)="","",INDEX(I.Facility.P2bIDNumber,2032))</f>
        <v/>
      </c>
      <c r="G12044" s="51"/>
      <c r="H12044" s="46" t="str">
        <f>IF(AND(I.Developer.P2b=TRUE,I.Facility.P2bFacilityCount&gt;=2032,F12044=""),"Incomplete","Complete")</f>
        <v>Complete</v>
      </c>
      <c r="I12044" s="48" t="s">
        <v>16409</v>
      </c>
    </row>
    <row r="12045" spans="2:9" ht="15" customHeight="1" x14ac:dyDescent="0.25">
      <c r="B12045" s="55" t="s">
        <v>281</v>
      </c>
      <c r="C12045" s="46">
        <v>2033</v>
      </c>
      <c r="D12045" s="69" t="s">
        <v>29418</v>
      </c>
      <c r="E12045" s="51"/>
      <c r="F12045" s="114" t="str">
        <f>IF(INDEX(I.Facility.P2bIDNumber,2033)="","",INDEX(I.Facility.P2bIDNumber,2033))</f>
        <v/>
      </c>
      <c r="G12045" s="51"/>
      <c r="H12045" s="46" t="str">
        <f>IF(AND(I.Developer.P2b=TRUE,I.Facility.P2bFacilityCount&gt;=2033,F12045=""),"Incomplete","Complete")</f>
        <v>Complete</v>
      </c>
      <c r="I12045" s="48" t="s">
        <v>16410</v>
      </c>
    </row>
    <row r="12046" spans="2:9" ht="15" customHeight="1" x14ac:dyDescent="0.25">
      <c r="B12046" s="55" t="s">
        <v>281</v>
      </c>
      <c r="C12046" s="46">
        <v>2034</v>
      </c>
      <c r="D12046" s="69" t="s">
        <v>29418</v>
      </c>
      <c r="E12046" s="51"/>
      <c r="F12046" s="114" t="str">
        <f>IF(INDEX(I.Facility.P2bIDNumber,2034)="","",INDEX(I.Facility.P2bIDNumber,2034))</f>
        <v/>
      </c>
      <c r="G12046" s="51"/>
      <c r="H12046" s="46" t="str">
        <f>IF(AND(I.Developer.P2b=TRUE,I.Facility.P2bFacilityCount&gt;=2034,F12046=""),"Incomplete","Complete")</f>
        <v>Complete</v>
      </c>
      <c r="I12046" s="48" t="s">
        <v>16411</v>
      </c>
    </row>
    <row r="12047" spans="2:9" ht="15" customHeight="1" x14ac:dyDescent="0.25">
      <c r="B12047" s="55" t="s">
        <v>281</v>
      </c>
      <c r="C12047" s="46">
        <v>2035</v>
      </c>
      <c r="D12047" s="69" t="s">
        <v>29418</v>
      </c>
      <c r="E12047" s="51"/>
      <c r="F12047" s="114" t="str">
        <f>IF(INDEX(I.Facility.P2bIDNumber,2035)="","",INDEX(I.Facility.P2bIDNumber,2035))</f>
        <v/>
      </c>
      <c r="G12047" s="51"/>
      <c r="H12047" s="46" t="str">
        <f>IF(AND(I.Developer.P2b=TRUE,I.Facility.P2bFacilityCount&gt;=2035,F12047=""),"Incomplete","Complete")</f>
        <v>Complete</v>
      </c>
      <c r="I12047" s="48" t="s">
        <v>16412</v>
      </c>
    </row>
    <row r="12048" spans="2:9" ht="15" customHeight="1" x14ac:dyDescent="0.25">
      <c r="B12048" s="55" t="s">
        <v>281</v>
      </c>
      <c r="C12048" s="46">
        <v>2036</v>
      </c>
      <c r="D12048" s="69" t="s">
        <v>29418</v>
      </c>
      <c r="E12048" s="51"/>
      <c r="F12048" s="114" t="str">
        <f>IF(INDEX(I.Facility.P2bIDNumber,2036)="","",INDEX(I.Facility.P2bIDNumber,2036))</f>
        <v/>
      </c>
      <c r="G12048" s="51"/>
      <c r="H12048" s="46" t="str">
        <f>IF(AND(I.Developer.P2b=TRUE,I.Facility.P2bFacilityCount&gt;=2036,F12048=""),"Incomplete","Complete")</f>
        <v>Complete</v>
      </c>
      <c r="I12048" s="48" t="s">
        <v>16413</v>
      </c>
    </row>
    <row r="12049" spans="2:9" ht="15" customHeight="1" x14ac:dyDescent="0.25">
      <c r="B12049" s="55" t="s">
        <v>281</v>
      </c>
      <c r="C12049" s="46">
        <v>2037</v>
      </c>
      <c r="D12049" s="69" t="s">
        <v>29418</v>
      </c>
      <c r="E12049" s="51"/>
      <c r="F12049" s="114" t="str">
        <f>IF(INDEX(I.Facility.P2bIDNumber,2037)="","",INDEX(I.Facility.P2bIDNumber,2037))</f>
        <v/>
      </c>
      <c r="G12049" s="51"/>
      <c r="H12049" s="46" t="str">
        <f>IF(AND(I.Developer.P2b=TRUE,I.Facility.P2bFacilityCount&gt;=2037,F12049=""),"Incomplete","Complete")</f>
        <v>Complete</v>
      </c>
      <c r="I12049" s="48" t="s">
        <v>16414</v>
      </c>
    </row>
    <row r="12050" spans="2:9" ht="15" customHeight="1" x14ac:dyDescent="0.25">
      <c r="B12050" s="55" t="s">
        <v>281</v>
      </c>
      <c r="C12050" s="46">
        <v>2038</v>
      </c>
      <c r="D12050" s="69" t="s">
        <v>29418</v>
      </c>
      <c r="E12050" s="51"/>
      <c r="F12050" s="114" t="str">
        <f>IF(INDEX(I.Facility.P2bIDNumber,2038)="","",INDEX(I.Facility.P2bIDNumber,2038))</f>
        <v/>
      </c>
      <c r="G12050" s="51"/>
      <c r="H12050" s="46" t="str">
        <f>IF(AND(I.Developer.P2b=TRUE,I.Facility.P2bFacilityCount&gt;=2038,F12050=""),"Incomplete","Complete")</f>
        <v>Complete</v>
      </c>
      <c r="I12050" s="48" t="s">
        <v>16415</v>
      </c>
    </row>
    <row r="12051" spans="2:9" ht="15" customHeight="1" x14ac:dyDescent="0.25">
      <c r="B12051" s="55" t="s">
        <v>281</v>
      </c>
      <c r="C12051" s="46">
        <v>2039</v>
      </c>
      <c r="D12051" s="69" t="s">
        <v>29418</v>
      </c>
      <c r="E12051" s="51"/>
      <c r="F12051" s="114" t="str">
        <f>IF(INDEX(I.Facility.P2bIDNumber,2039)="","",INDEX(I.Facility.P2bIDNumber,2039))</f>
        <v/>
      </c>
      <c r="G12051" s="51"/>
      <c r="H12051" s="46" t="str">
        <f>IF(AND(I.Developer.P2b=TRUE,I.Facility.P2bFacilityCount&gt;=2039,F12051=""),"Incomplete","Complete")</f>
        <v>Complete</v>
      </c>
      <c r="I12051" s="48" t="s">
        <v>16416</v>
      </c>
    </row>
    <row r="12052" spans="2:9" ht="15" customHeight="1" x14ac:dyDescent="0.25">
      <c r="B12052" s="55" t="s">
        <v>281</v>
      </c>
      <c r="C12052" s="46">
        <v>2040</v>
      </c>
      <c r="D12052" s="69" t="s">
        <v>29418</v>
      </c>
      <c r="E12052" s="51"/>
      <c r="F12052" s="114" t="str">
        <f>IF(INDEX(I.Facility.P2bIDNumber,2040)="","",INDEX(I.Facility.P2bIDNumber,2040))</f>
        <v/>
      </c>
      <c r="G12052" s="51"/>
      <c r="H12052" s="46" t="str">
        <f>IF(AND(I.Developer.P2b=TRUE,I.Facility.P2bFacilityCount&gt;=2040,F12052=""),"Incomplete","Complete")</f>
        <v>Complete</v>
      </c>
      <c r="I12052" s="48" t="s">
        <v>16417</v>
      </c>
    </row>
    <row r="12053" spans="2:9" ht="15" customHeight="1" x14ac:dyDescent="0.25">
      <c r="B12053" s="55" t="s">
        <v>281</v>
      </c>
      <c r="C12053" s="46">
        <v>2041</v>
      </c>
      <c r="D12053" s="69" t="s">
        <v>29418</v>
      </c>
      <c r="E12053" s="51"/>
      <c r="F12053" s="114" t="str">
        <f>IF(INDEX(I.Facility.P2bIDNumber,2041)="","",INDEX(I.Facility.P2bIDNumber,2041))</f>
        <v/>
      </c>
      <c r="G12053" s="51"/>
      <c r="H12053" s="46" t="str">
        <f>IF(AND(I.Developer.P2b=TRUE,I.Facility.P2bFacilityCount&gt;=2041,F12053=""),"Incomplete","Complete")</f>
        <v>Complete</v>
      </c>
      <c r="I12053" s="48" t="s">
        <v>16418</v>
      </c>
    </row>
    <row r="12054" spans="2:9" ht="15" customHeight="1" x14ac:dyDescent="0.25">
      <c r="B12054" s="55" t="s">
        <v>281</v>
      </c>
      <c r="C12054" s="46">
        <v>2042</v>
      </c>
      <c r="D12054" s="69" t="s">
        <v>29418</v>
      </c>
      <c r="E12054" s="51"/>
      <c r="F12054" s="114" t="str">
        <f>IF(INDEX(I.Facility.P2bIDNumber,2042)="","",INDEX(I.Facility.P2bIDNumber,2042))</f>
        <v/>
      </c>
      <c r="G12054" s="51"/>
      <c r="H12054" s="46" t="str">
        <f>IF(AND(I.Developer.P2b=TRUE,I.Facility.P2bFacilityCount&gt;=2042,F12054=""),"Incomplete","Complete")</f>
        <v>Complete</v>
      </c>
      <c r="I12054" s="48" t="s">
        <v>16419</v>
      </c>
    </row>
    <row r="12055" spans="2:9" ht="15" customHeight="1" x14ac:dyDescent="0.25">
      <c r="B12055" s="55" t="s">
        <v>281</v>
      </c>
      <c r="C12055" s="46">
        <v>2043</v>
      </c>
      <c r="D12055" s="69" t="s">
        <v>29418</v>
      </c>
      <c r="E12055" s="51"/>
      <c r="F12055" s="114" t="str">
        <f>IF(INDEX(I.Facility.P2bIDNumber,2043)="","",INDEX(I.Facility.P2bIDNumber,2043))</f>
        <v/>
      </c>
      <c r="G12055" s="51"/>
      <c r="H12055" s="46" t="str">
        <f>IF(AND(I.Developer.P2b=TRUE,I.Facility.P2bFacilityCount&gt;=2043,F12055=""),"Incomplete","Complete")</f>
        <v>Complete</v>
      </c>
      <c r="I12055" s="48" t="s">
        <v>16420</v>
      </c>
    </row>
    <row r="12056" spans="2:9" ht="15" customHeight="1" x14ac:dyDescent="0.25">
      <c r="B12056" s="55" t="s">
        <v>281</v>
      </c>
      <c r="C12056" s="46">
        <v>2044</v>
      </c>
      <c r="D12056" s="69" t="s">
        <v>29418</v>
      </c>
      <c r="E12056" s="51"/>
      <c r="F12056" s="114" t="str">
        <f>IF(INDEX(I.Facility.P2bIDNumber,2044)="","",INDEX(I.Facility.P2bIDNumber,2044))</f>
        <v/>
      </c>
      <c r="G12056" s="51"/>
      <c r="H12056" s="46" t="str">
        <f>IF(AND(I.Developer.P2b=TRUE,I.Facility.P2bFacilityCount&gt;=2044,F12056=""),"Incomplete","Complete")</f>
        <v>Complete</v>
      </c>
      <c r="I12056" s="48" t="s">
        <v>16421</v>
      </c>
    </row>
    <row r="12057" spans="2:9" ht="15" customHeight="1" x14ac:dyDescent="0.25">
      <c r="B12057" s="55" t="s">
        <v>281</v>
      </c>
      <c r="C12057" s="46">
        <v>2045</v>
      </c>
      <c r="D12057" s="69" t="s">
        <v>29418</v>
      </c>
      <c r="E12057" s="51"/>
      <c r="F12057" s="114" t="str">
        <f>IF(INDEX(I.Facility.P2bIDNumber,2045)="","",INDEX(I.Facility.P2bIDNumber,2045))</f>
        <v/>
      </c>
      <c r="G12057" s="51"/>
      <c r="H12057" s="46" t="str">
        <f>IF(AND(I.Developer.P2b=TRUE,I.Facility.P2bFacilityCount&gt;=2045,F12057=""),"Incomplete","Complete")</f>
        <v>Complete</v>
      </c>
      <c r="I12057" s="48" t="s">
        <v>16422</v>
      </c>
    </row>
    <row r="12058" spans="2:9" ht="15" customHeight="1" x14ac:dyDescent="0.25">
      <c r="B12058" s="55" t="s">
        <v>281</v>
      </c>
      <c r="C12058" s="46">
        <v>2046</v>
      </c>
      <c r="D12058" s="69" t="s">
        <v>29418</v>
      </c>
      <c r="E12058" s="51"/>
      <c r="F12058" s="114" t="str">
        <f>IF(INDEX(I.Facility.P2bIDNumber,2046)="","",INDEX(I.Facility.P2bIDNumber,2046))</f>
        <v/>
      </c>
      <c r="G12058" s="51"/>
      <c r="H12058" s="46" t="str">
        <f>IF(AND(I.Developer.P2b=TRUE,I.Facility.P2bFacilityCount&gt;=2046,F12058=""),"Incomplete","Complete")</f>
        <v>Complete</v>
      </c>
      <c r="I12058" s="48" t="s">
        <v>16423</v>
      </c>
    </row>
    <row r="12059" spans="2:9" ht="15" customHeight="1" x14ac:dyDescent="0.25">
      <c r="B12059" s="55" t="s">
        <v>281</v>
      </c>
      <c r="C12059" s="46">
        <v>2047</v>
      </c>
      <c r="D12059" s="69" t="s">
        <v>29418</v>
      </c>
      <c r="E12059" s="51"/>
      <c r="F12059" s="114" t="str">
        <f>IF(INDEX(I.Facility.P2bIDNumber,2047)="","",INDEX(I.Facility.P2bIDNumber,2047))</f>
        <v/>
      </c>
      <c r="G12059" s="51"/>
      <c r="H12059" s="46" t="str">
        <f>IF(AND(I.Developer.P2b=TRUE,I.Facility.P2bFacilityCount&gt;=2047,F12059=""),"Incomplete","Complete")</f>
        <v>Complete</v>
      </c>
      <c r="I12059" s="48" t="s">
        <v>16424</v>
      </c>
    </row>
    <row r="12060" spans="2:9" ht="15" customHeight="1" x14ac:dyDescent="0.25">
      <c r="B12060" s="55" t="s">
        <v>281</v>
      </c>
      <c r="C12060" s="46">
        <v>2048</v>
      </c>
      <c r="D12060" s="69" t="s">
        <v>29418</v>
      </c>
      <c r="E12060" s="51"/>
      <c r="F12060" s="114" t="str">
        <f>IF(INDEX(I.Facility.P2bIDNumber,2048)="","",INDEX(I.Facility.P2bIDNumber,2048))</f>
        <v/>
      </c>
      <c r="G12060" s="51"/>
      <c r="H12060" s="46" t="str">
        <f>IF(AND(I.Developer.P2b=TRUE,I.Facility.P2bFacilityCount&gt;=2048,F12060=""),"Incomplete","Complete")</f>
        <v>Complete</v>
      </c>
      <c r="I12060" s="48" t="s">
        <v>16425</v>
      </c>
    </row>
    <row r="12061" spans="2:9" ht="15" customHeight="1" x14ac:dyDescent="0.25">
      <c r="B12061" s="55" t="s">
        <v>281</v>
      </c>
      <c r="C12061" s="46">
        <v>2049</v>
      </c>
      <c r="D12061" s="69" t="s">
        <v>29418</v>
      </c>
      <c r="E12061" s="51"/>
      <c r="F12061" s="114" t="str">
        <f>IF(INDEX(I.Facility.P2bIDNumber,2049)="","",INDEX(I.Facility.P2bIDNumber,2049))</f>
        <v/>
      </c>
      <c r="G12061" s="51"/>
      <c r="H12061" s="46" t="str">
        <f>IF(AND(I.Developer.P2b=TRUE,I.Facility.P2bFacilityCount&gt;=2049,F12061=""),"Incomplete","Complete")</f>
        <v>Complete</v>
      </c>
      <c r="I12061" s="48" t="s">
        <v>16426</v>
      </c>
    </row>
    <row r="12062" spans="2:9" ht="15" customHeight="1" x14ac:dyDescent="0.25">
      <c r="B12062" s="55" t="s">
        <v>281</v>
      </c>
      <c r="C12062" s="46">
        <v>2050</v>
      </c>
      <c r="D12062" s="69" t="s">
        <v>29418</v>
      </c>
      <c r="E12062" s="51"/>
      <c r="F12062" s="114" t="str">
        <f>IF(INDEX(I.Facility.P2bIDNumber,2050)="","",INDEX(I.Facility.P2bIDNumber,2050))</f>
        <v/>
      </c>
      <c r="G12062" s="51"/>
      <c r="H12062" s="46" t="str">
        <f>IF(AND(I.Developer.P2b=TRUE,I.Facility.P2bFacilityCount&gt;=2050,F12062=""),"Incomplete","Complete")</f>
        <v>Complete</v>
      </c>
      <c r="I12062" s="48" t="s">
        <v>16427</v>
      </c>
    </row>
    <row r="12063" spans="2:9" ht="15" customHeight="1" x14ac:dyDescent="0.25">
      <c r="B12063" s="55" t="s">
        <v>281</v>
      </c>
      <c r="C12063" s="46">
        <v>2051</v>
      </c>
      <c r="D12063" s="69" t="s">
        <v>29418</v>
      </c>
      <c r="E12063" s="51"/>
      <c r="F12063" s="114" t="str">
        <f>IF(INDEX(I.Facility.P2bIDNumber,2051)="","",INDEX(I.Facility.P2bIDNumber,2051))</f>
        <v/>
      </c>
      <c r="G12063" s="51"/>
      <c r="H12063" s="46" t="str">
        <f>IF(AND(I.Developer.P2b=TRUE,I.Facility.P2bFacilityCount&gt;=2051,F12063=""),"Incomplete","Complete")</f>
        <v>Complete</v>
      </c>
      <c r="I12063" s="48" t="s">
        <v>16428</v>
      </c>
    </row>
    <row r="12064" spans="2:9" ht="15" customHeight="1" x14ac:dyDescent="0.25">
      <c r="B12064" s="55" t="s">
        <v>281</v>
      </c>
      <c r="C12064" s="46">
        <v>2052</v>
      </c>
      <c r="D12064" s="69" t="s">
        <v>29418</v>
      </c>
      <c r="E12064" s="51"/>
      <c r="F12064" s="114" t="str">
        <f>IF(INDEX(I.Facility.P2bIDNumber,2052)="","",INDEX(I.Facility.P2bIDNumber,2052))</f>
        <v/>
      </c>
      <c r="G12064" s="51"/>
      <c r="H12064" s="46" t="str">
        <f>IF(AND(I.Developer.P2b=TRUE,I.Facility.P2bFacilityCount&gt;=2052,F12064=""),"Incomplete","Complete")</f>
        <v>Complete</v>
      </c>
      <c r="I12064" s="48" t="s">
        <v>16429</v>
      </c>
    </row>
    <row r="12065" spans="2:9" ht="15" customHeight="1" x14ac:dyDescent="0.25">
      <c r="B12065" s="55" t="s">
        <v>281</v>
      </c>
      <c r="C12065" s="46">
        <v>2053</v>
      </c>
      <c r="D12065" s="69" t="s">
        <v>29418</v>
      </c>
      <c r="E12065" s="51"/>
      <c r="F12065" s="114" t="str">
        <f>IF(INDEX(I.Facility.P2bIDNumber,2053)="","",INDEX(I.Facility.P2bIDNumber,2053))</f>
        <v/>
      </c>
      <c r="G12065" s="51"/>
      <c r="H12065" s="46" t="str">
        <f>IF(AND(I.Developer.P2b=TRUE,I.Facility.P2bFacilityCount&gt;=2053,F12065=""),"Incomplete","Complete")</f>
        <v>Complete</v>
      </c>
      <c r="I12065" s="48" t="s">
        <v>16430</v>
      </c>
    </row>
    <row r="12066" spans="2:9" ht="15" customHeight="1" x14ac:dyDescent="0.25">
      <c r="B12066" s="55" t="s">
        <v>281</v>
      </c>
      <c r="C12066" s="46">
        <v>2054</v>
      </c>
      <c r="D12066" s="69" t="s">
        <v>29418</v>
      </c>
      <c r="E12066" s="51"/>
      <c r="F12066" s="114" t="str">
        <f>IF(INDEX(I.Facility.P2bIDNumber,2054)="","",INDEX(I.Facility.P2bIDNumber,2054))</f>
        <v/>
      </c>
      <c r="G12066" s="51"/>
      <c r="H12066" s="46" t="str">
        <f>IF(AND(I.Developer.P2b=TRUE,I.Facility.P2bFacilityCount&gt;=2054,F12066=""),"Incomplete","Complete")</f>
        <v>Complete</v>
      </c>
      <c r="I12066" s="48" t="s">
        <v>16431</v>
      </c>
    </row>
    <row r="12067" spans="2:9" ht="15" customHeight="1" x14ac:dyDescent="0.25">
      <c r="B12067" s="55" t="s">
        <v>281</v>
      </c>
      <c r="C12067" s="46">
        <v>2055</v>
      </c>
      <c r="D12067" s="69" t="s">
        <v>29418</v>
      </c>
      <c r="E12067" s="51"/>
      <c r="F12067" s="114" t="str">
        <f>IF(INDEX(I.Facility.P2bIDNumber,2055)="","",INDEX(I.Facility.P2bIDNumber,2055))</f>
        <v/>
      </c>
      <c r="G12067" s="51"/>
      <c r="H12067" s="46" t="str">
        <f>IF(AND(I.Developer.P2b=TRUE,I.Facility.P2bFacilityCount&gt;=2055,F12067=""),"Incomplete","Complete")</f>
        <v>Complete</v>
      </c>
      <c r="I12067" s="48" t="s">
        <v>16432</v>
      </c>
    </row>
    <row r="12068" spans="2:9" ht="15" customHeight="1" x14ac:dyDescent="0.25">
      <c r="B12068" s="55" t="s">
        <v>281</v>
      </c>
      <c r="C12068" s="46">
        <v>2056</v>
      </c>
      <c r="D12068" s="69" t="s">
        <v>29418</v>
      </c>
      <c r="E12068" s="51"/>
      <c r="F12068" s="114" t="str">
        <f>IF(INDEX(I.Facility.P2bIDNumber,2056)="","",INDEX(I.Facility.P2bIDNumber,2056))</f>
        <v/>
      </c>
      <c r="G12068" s="51"/>
      <c r="H12068" s="46" t="str">
        <f>IF(AND(I.Developer.P2b=TRUE,I.Facility.P2bFacilityCount&gt;=2056,F12068=""),"Incomplete","Complete")</f>
        <v>Complete</v>
      </c>
      <c r="I12068" s="48" t="s">
        <v>16433</v>
      </c>
    </row>
    <row r="12069" spans="2:9" ht="15" customHeight="1" x14ac:dyDescent="0.25">
      <c r="B12069" s="55" t="s">
        <v>281</v>
      </c>
      <c r="C12069" s="46">
        <v>2057</v>
      </c>
      <c r="D12069" s="69" t="s">
        <v>29418</v>
      </c>
      <c r="E12069" s="51"/>
      <c r="F12069" s="114" t="str">
        <f>IF(INDEX(I.Facility.P2bIDNumber,2057)="","",INDEX(I.Facility.P2bIDNumber,2057))</f>
        <v/>
      </c>
      <c r="G12069" s="51"/>
      <c r="H12069" s="46" t="str">
        <f>IF(AND(I.Developer.P2b=TRUE,I.Facility.P2bFacilityCount&gt;=2057,F12069=""),"Incomplete","Complete")</f>
        <v>Complete</v>
      </c>
      <c r="I12069" s="48" t="s">
        <v>16434</v>
      </c>
    </row>
    <row r="12070" spans="2:9" ht="15" customHeight="1" x14ac:dyDescent="0.25">
      <c r="B12070" s="55" t="s">
        <v>281</v>
      </c>
      <c r="C12070" s="46">
        <v>2058</v>
      </c>
      <c r="D12070" s="69" t="s">
        <v>29418</v>
      </c>
      <c r="E12070" s="51"/>
      <c r="F12070" s="114" t="str">
        <f>IF(INDEX(I.Facility.P2bIDNumber,2058)="","",INDEX(I.Facility.P2bIDNumber,2058))</f>
        <v/>
      </c>
      <c r="G12070" s="51"/>
      <c r="H12070" s="46" t="str">
        <f>IF(AND(I.Developer.P2b=TRUE,I.Facility.P2bFacilityCount&gt;=2058,F12070=""),"Incomplete","Complete")</f>
        <v>Complete</v>
      </c>
      <c r="I12070" s="48" t="s">
        <v>16435</v>
      </c>
    </row>
    <row r="12071" spans="2:9" ht="15" customHeight="1" x14ac:dyDescent="0.25">
      <c r="B12071" s="55" t="s">
        <v>281</v>
      </c>
      <c r="C12071" s="46">
        <v>2059</v>
      </c>
      <c r="D12071" s="69" t="s">
        <v>29418</v>
      </c>
      <c r="E12071" s="51"/>
      <c r="F12071" s="114" t="str">
        <f>IF(INDEX(I.Facility.P2bIDNumber,2059)="","",INDEX(I.Facility.P2bIDNumber,2059))</f>
        <v/>
      </c>
      <c r="G12071" s="51"/>
      <c r="H12071" s="46" t="str">
        <f>IF(AND(I.Developer.P2b=TRUE,I.Facility.P2bFacilityCount&gt;=2059,F12071=""),"Incomplete","Complete")</f>
        <v>Complete</v>
      </c>
      <c r="I12071" s="48" t="s">
        <v>16436</v>
      </c>
    </row>
    <row r="12072" spans="2:9" ht="15" customHeight="1" x14ac:dyDescent="0.25">
      <c r="B12072" s="55" t="s">
        <v>281</v>
      </c>
      <c r="C12072" s="46">
        <v>2060</v>
      </c>
      <c r="D12072" s="69" t="s">
        <v>29418</v>
      </c>
      <c r="E12072" s="51"/>
      <c r="F12072" s="114" t="str">
        <f>IF(INDEX(I.Facility.P2bIDNumber,2060)="","",INDEX(I.Facility.P2bIDNumber,2060))</f>
        <v/>
      </c>
      <c r="G12072" s="51"/>
      <c r="H12072" s="46" t="str">
        <f>IF(AND(I.Developer.P2b=TRUE,I.Facility.P2bFacilityCount&gt;=2060,F12072=""),"Incomplete","Complete")</f>
        <v>Complete</v>
      </c>
      <c r="I12072" s="48" t="s">
        <v>16437</v>
      </c>
    </row>
    <row r="12073" spans="2:9" ht="15" customHeight="1" x14ac:dyDescent="0.25">
      <c r="B12073" s="55" t="s">
        <v>281</v>
      </c>
      <c r="C12073" s="46">
        <v>2061</v>
      </c>
      <c r="D12073" s="69" t="s">
        <v>29418</v>
      </c>
      <c r="E12073" s="51"/>
      <c r="F12073" s="114" t="str">
        <f>IF(INDEX(I.Facility.P2bIDNumber,2061)="","",INDEX(I.Facility.P2bIDNumber,2061))</f>
        <v/>
      </c>
      <c r="G12073" s="51"/>
      <c r="H12073" s="46" t="str">
        <f>IF(AND(I.Developer.P2b=TRUE,I.Facility.P2bFacilityCount&gt;=2061,F12073=""),"Incomplete","Complete")</f>
        <v>Complete</v>
      </c>
      <c r="I12073" s="48" t="s">
        <v>16438</v>
      </c>
    </row>
    <row r="12074" spans="2:9" ht="15" customHeight="1" x14ac:dyDescent="0.25">
      <c r="B12074" s="55" t="s">
        <v>281</v>
      </c>
      <c r="C12074" s="46">
        <v>2062</v>
      </c>
      <c r="D12074" s="69" t="s">
        <v>29418</v>
      </c>
      <c r="E12074" s="51"/>
      <c r="F12074" s="114" t="str">
        <f>IF(INDEX(I.Facility.P2bIDNumber,2062)="","",INDEX(I.Facility.P2bIDNumber,2062))</f>
        <v/>
      </c>
      <c r="G12074" s="51"/>
      <c r="H12074" s="46" t="str">
        <f>IF(AND(I.Developer.P2b=TRUE,I.Facility.P2bFacilityCount&gt;=2062,F12074=""),"Incomplete","Complete")</f>
        <v>Complete</v>
      </c>
      <c r="I12074" s="48" t="s">
        <v>16439</v>
      </c>
    </row>
    <row r="12075" spans="2:9" ht="15" customHeight="1" x14ac:dyDescent="0.25">
      <c r="B12075" s="55" t="s">
        <v>281</v>
      </c>
      <c r="C12075" s="46">
        <v>2063</v>
      </c>
      <c r="D12075" s="69" t="s">
        <v>29418</v>
      </c>
      <c r="E12075" s="51"/>
      <c r="F12075" s="114" t="str">
        <f>IF(INDEX(I.Facility.P2bIDNumber,2063)="","",INDEX(I.Facility.P2bIDNumber,2063))</f>
        <v/>
      </c>
      <c r="G12075" s="51"/>
      <c r="H12075" s="46" t="str">
        <f>IF(AND(I.Developer.P2b=TRUE,I.Facility.P2bFacilityCount&gt;=2063,F12075=""),"Incomplete","Complete")</f>
        <v>Complete</v>
      </c>
      <c r="I12075" s="48" t="s">
        <v>16440</v>
      </c>
    </row>
    <row r="12076" spans="2:9" ht="15" customHeight="1" x14ac:dyDescent="0.25">
      <c r="B12076" s="55" t="s">
        <v>281</v>
      </c>
      <c r="C12076" s="46">
        <v>2064</v>
      </c>
      <c r="D12076" s="69" t="s">
        <v>29418</v>
      </c>
      <c r="E12076" s="51"/>
      <c r="F12076" s="114" t="str">
        <f>IF(INDEX(I.Facility.P2bIDNumber,2064)="","",INDEX(I.Facility.P2bIDNumber,2064))</f>
        <v/>
      </c>
      <c r="G12076" s="51"/>
      <c r="H12076" s="46" t="str">
        <f>IF(AND(I.Developer.P2b=TRUE,I.Facility.P2bFacilityCount&gt;=2064,F12076=""),"Incomplete","Complete")</f>
        <v>Complete</v>
      </c>
      <c r="I12076" s="48" t="s">
        <v>16441</v>
      </c>
    </row>
    <row r="12077" spans="2:9" ht="15" customHeight="1" x14ac:dyDescent="0.25">
      <c r="B12077" s="55" t="s">
        <v>281</v>
      </c>
      <c r="C12077" s="46">
        <v>2065</v>
      </c>
      <c r="D12077" s="69" t="s">
        <v>29418</v>
      </c>
      <c r="E12077" s="51"/>
      <c r="F12077" s="114" t="str">
        <f>IF(INDEX(I.Facility.P2bIDNumber,2065)="","",INDEX(I.Facility.P2bIDNumber,2065))</f>
        <v/>
      </c>
      <c r="G12077" s="51"/>
      <c r="H12077" s="46" t="str">
        <f>IF(AND(I.Developer.P2b=TRUE,I.Facility.P2bFacilityCount&gt;=2065,F12077=""),"Incomplete","Complete")</f>
        <v>Complete</v>
      </c>
      <c r="I12077" s="48" t="s">
        <v>16442</v>
      </c>
    </row>
    <row r="12078" spans="2:9" ht="15" customHeight="1" x14ac:dyDescent="0.25">
      <c r="B12078" s="55" t="s">
        <v>281</v>
      </c>
      <c r="C12078" s="46">
        <v>2066</v>
      </c>
      <c r="D12078" s="69" t="s">
        <v>29418</v>
      </c>
      <c r="E12078" s="51"/>
      <c r="F12078" s="114" t="str">
        <f>IF(INDEX(I.Facility.P2bIDNumber,2066)="","",INDEX(I.Facility.P2bIDNumber,2066))</f>
        <v/>
      </c>
      <c r="G12078" s="51"/>
      <c r="H12078" s="46" t="str">
        <f>IF(AND(I.Developer.P2b=TRUE,I.Facility.P2bFacilityCount&gt;=2066,F12078=""),"Incomplete","Complete")</f>
        <v>Complete</v>
      </c>
      <c r="I12078" s="48" t="s">
        <v>16443</v>
      </c>
    </row>
    <row r="12079" spans="2:9" ht="15" customHeight="1" x14ac:dyDescent="0.25">
      <c r="B12079" s="55" t="s">
        <v>281</v>
      </c>
      <c r="C12079" s="46">
        <v>2067</v>
      </c>
      <c r="D12079" s="69" t="s">
        <v>29418</v>
      </c>
      <c r="E12079" s="51"/>
      <c r="F12079" s="114" t="str">
        <f>IF(INDEX(I.Facility.P2bIDNumber,2067)="","",INDEX(I.Facility.P2bIDNumber,2067))</f>
        <v/>
      </c>
      <c r="G12079" s="51"/>
      <c r="H12079" s="46" t="str">
        <f>IF(AND(I.Developer.P2b=TRUE,I.Facility.P2bFacilityCount&gt;=2067,F12079=""),"Incomplete","Complete")</f>
        <v>Complete</v>
      </c>
      <c r="I12079" s="48" t="s">
        <v>16444</v>
      </c>
    </row>
    <row r="12080" spans="2:9" ht="15" customHeight="1" x14ac:dyDescent="0.25">
      <c r="B12080" s="55" t="s">
        <v>281</v>
      </c>
      <c r="C12080" s="46">
        <v>2068</v>
      </c>
      <c r="D12080" s="69" t="s">
        <v>29418</v>
      </c>
      <c r="E12080" s="51"/>
      <c r="F12080" s="114" t="str">
        <f>IF(INDEX(I.Facility.P2bIDNumber,2068)="","",INDEX(I.Facility.P2bIDNumber,2068))</f>
        <v/>
      </c>
      <c r="G12080" s="51"/>
      <c r="H12080" s="46" t="str">
        <f>IF(AND(I.Developer.P2b=TRUE,I.Facility.P2bFacilityCount&gt;=2068,F12080=""),"Incomplete","Complete")</f>
        <v>Complete</v>
      </c>
      <c r="I12080" s="48" t="s">
        <v>16445</v>
      </c>
    </row>
    <row r="12081" spans="2:9" ht="15" customHeight="1" x14ac:dyDescent="0.25">
      <c r="B12081" s="55" t="s">
        <v>281</v>
      </c>
      <c r="C12081" s="46">
        <v>2069</v>
      </c>
      <c r="D12081" s="69" t="s">
        <v>29418</v>
      </c>
      <c r="E12081" s="51"/>
      <c r="F12081" s="114" t="str">
        <f>IF(INDEX(I.Facility.P2bIDNumber,2069)="","",INDEX(I.Facility.P2bIDNumber,2069))</f>
        <v/>
      </c>
      <c r="G12081" s="51"/>
      <c r="H12081" s="46" t="str">
        <f>IF(AND(I.Developer.P2b=TRUE,I.Facility.P2bFacilityCount&gt;=2069,F12081=""),"Incomplete","Complete")</f>
        <v>Complete</v>
      </c>
      <c r="I12081" s="48" t="s">
        <v>16446</v>
      </c>
    </row>
    <row r="12082" spans="2:9" ht="15" customHeight="1" x14ac:dyDescent="0.25">
      <c r="B12082" s="55" t="s">
        <v>281</v>
      </c>
      <c r="C12082" s="46">
        <v>2070</v>
      </c>
      <c r="D12082" s="69" t="s">
        <v>29418</v>
      </c>
      <c r="E12082" s="51"/>
      <c r="F12082" s="114" t="str">
        <f>IF(INDEX(I.Facility.P2bIDNumber,2070)="","",INDEX(I.Facility.P2bIDNumber,2070))</f>
        <v/>
      </c>
      <c r="G12082" s="51"/>
      <c r="H12082" s="46" t="str">
        <f>IF(AND(I.Developer.P2b=TRUE,I.Facility.P2bFacilityCount&gt;=2070,F12082=""),"Incomplete","Complete")</f>
        <v>Complete</v>
      </c>
      <c r="I12082" s="48" t="s">
        <v>16447</v>
      </c>
    </row>
    <row r="12083" spans="2:9" ht="15" customHeight="1" x14ac:dyDescent="0.25">
      <c r="B12083" s="55" t="s">
        <v>281</v>
      </c>
      <c r="C12083" s="46">
        <v>2071</v>
      </c>
      <c r="D12083" s="69" t="s">
        <v>29418</v>
      </c>
      <c r="E12083" s="51"/>
      <c r="F12083" s="114" t="str">
        <f>IF(INDEX(I.Facility.P2bIDNumber,2071)="","",INDEX(I.Facility.P2bIDNumber,2071))</f>
        <v/>
      </c>
      <c r="G12083" s="51"/>
      <c r="H12083" s="46" t="str">
        <f>IF(AND(I.Developer.P2b=TRUE,I.Facility.P2bFacilityCount&gt;=2071,F12083=""),"Incomplete","Complete")</f>
        <v>Complete</v>
      </c>
      <c r="I12083" s="48" t="s">
        <v>16448</v>
      </c>
    </row>
    <row r="12084" spans="2:9" ht="15" customHeight="1" x14ac:dyDescent="0.25">
      <c r="B12084" s="55" t="s">
        <v>281</v>
      </c>
      <c r="C12084" s="46">
        <v>2072</v>
      </c>
      <c r="D12084" s="69" t="s">
        <v>29418</v>
      </c>
      <c r="E12084" s="51"/>
      <c r="F12084" s="114" t="str">
        <f>IF(INDEX(I.Facility.P2bIDNumber,2072)="","",INDEX(I.Facility.P2bIDNumber,2072))</f>
        <v/>
      </c>
      <c r="G12084" s="51"/>
      <c r="H12084" s="46" t="str">
        <f>IF(AND(I.Developer.P2b=TRUE,I.Facility.P2bFacilityCount&gt;=2072,F12084=""),"Incomplete","Complete")</f>
        <v>Complete</v>
      </c>
      <c r="I12084" s="48" t="s">
        <v>16449</v>
      </c>
    </row>
    <row r="12085" spans="2:9" ht="15" customHeight="1" x14ac:dyDescent="0.25">
      <c r="B12085" s="55" t="s">
        <v>281</v>
      </c>
      <c r="C12085" s="46">
        <v>2073</v>
      </c>
      <c r="D12085" s="69" t="s">
        <v>29418</v>
      </c>
      <c r="E12085" s="51"/>
      <c r="F12085" s="114" t="str">
        <f>IF(INDEX(I.Facility.P2bIDNumber,2073)="","",INDEX(I.Facility.P2bIDNumber,2073))</f>
        <v/>
      </c>
      <c r="G12085" s="51"/>
      <c r="H12085" s="46" t="str">
        <f>IF(AND(I.Developer.P2b=TRUE,I.Facility.P2bFacilityCount&gt;=2073,F12085=""),"Incomplete","Complete")</f>
        <v>Complete</v>
      </c>
      <c r="I12085" s="48" t="s">
        <v>16450</v>
      </c>
    </row>
    <row r="12086" spans="2:9" ht="15" customHeight="1" x14ac:dyDescent="0.25">
      <c r="B12086" s="55" t="s">
        <v>281</v>
      </c>
      <c r="C12086" s="46">
        <v>2074</v>
      </c>
      <c r="D12086" s="69" t="s">
        <v>29418</v>
      </c>
      <c r="E12086" s="51"/>
      <c r="F12086" s="114" t="str">
        <f>IF(INDEX(I.Facility.P2bIDNumber,2074)="","",INDEX(I.Facility.P2bIDNumber,2074))</f>
        <v/>
      </c>
      <c r="G12086" s="51"/>
      <c r="H12086" s="46" t="str">
        <f>IF(AND(I.Developer.P2b=TRUE,I.Facility.P2bFacilityCount&gt;=2074,F12086=""),"Incomplete","Complete")</f>
        <v>Complete</v>
      </c>
      <c r="I12086" s="48" t="s">
        <v>16451</v>
      </c>
    </row>
    <row r="12087" spans="2:9" ht="15" customHeight="1" x14ac:dyDescent="0.25">
      <c r="B12087" s="55" t="s">
        <v>281</v>
      </c>
      <c r="C12087" s="46">
        <v>2075</v>
      </c>
      <c r="D12087" s="69" t="s">
        <v>29418</v>
      </c>
      <c r="E12087" s="51"/>
      <c r="F12087" s="114" t="str">
        <f>IF(INDEX(I.Facility.P2bIDNumber,2075)="","",INDEX(I.Facility.P2bIDNumber,2075))</f>
        <v/>
      </c>
      <c r="G12087" s="51"/>
      <c r="H12087" s="46" t="str">
        <f>IF(AND(I.Developer.P2b=TRUE,I.Facility.P2bFacilityCount&gt;=2075,F12087=""),"Incomplete","Complete")</f>
        <v>Complete</v>
      </c>
      <c r="I12087" s="48" t="s">
        <v>16452</v>
      </c>
    </row>
    <row r="12088" spans="2:9" ht="15" customHeight="1" x14ac:dyDescent="0.25">
      <c r="B12088" s="55" t="s">
        <v>281</v>
      </c>
      <c r="C12088" s="46">
        <v>2076</v>
      </c>
      <c r="D12088" s="69" t="s">
        <v>29418</v>
      </c>
      <c r="E12088" s="51"/>
      <c r="F12088" s="114" t="str">
        <f>IF(INDEX(I.Facility.P2bIDNumber,2076)="","",INDEX(I.Facility.P2bIDNumber,2076))</f>
        <v/>
      </c>
      <c r="G12088" s="51"/>
      <c r="H12088" s="46" t="str">
        <f>IF(AND(I.Developer.P2b=TRUE,I.Facility.P2bFacilityCount&gt;=2076,F12088=""),"Incomplete","Complete")</f>
        <v>Complete</v>
      </c>
      <c r="I12088" s="48" t="s">
        <v>16453</v>
      </c>
    </row>
    <row r="12089" spans="2:9" ht="15" customHeight="1" x14ac:dyDescent="0.25">
      <c r="B12089" s="55" t="s">
        <v>281</v>
      </c>
      <c r="C12089" s="46">
        <v>2077</v>
      </c>
      <c r="D12089" s="69" t="s">
        <v>29418</v>
      </c>
      <c r="E12089" s="51"/>
      <c r="F12089" s="114" t="str">
        <f>IF(INDEX(I.Facility.P2bIDNumber,2077)="","",INDEX(I.Facility.P2bIDNumber,2077))</f>
        <v/>
      </c>
      <c r="G12089" s="51"/>
      <c r="H12089" s="46" t="str">
        <f>IF(AND(I.Developer.P2b=TRUE,I.Facility.P2bFacilityCount&gt;=2077,F12089=""),"Incomplete","Complete")</f>
        <v>Complete</v>
      </c>
      <c r="I12089" s="48" t="s">
        <v>16454</v>
      </c>
    </row>
    <row r="12090" spans="2:9" ht="15" customHeight="1" x14ac:dyDescent="0.25">
      <c r="B12090" s="55" t="s">
        <v>281</v>
      </c>
      <c r="C12090" s="46">
        <v>2078</v>
      </c>
      <c r="D12090" s="69" t="s">
        <v>29418</v>
      </c>
      <c r="E12090" s="51"/>
      <c r="F12090" s="114" t="str">
        <f>IF(INDEX(I.Facility.P2bIDNumber,2078)="","",INDEX(I.Facility.P2bIDNumber,2078))</f>
        <v/>
      </c>
      <c r="G12090" s="51"/>
      <c r="H12090" s="46" t="str">
        <f>IF(AND(I.Developer.P2b=TRUE,I.Facility.P2bFacilityCount&gt;=2078,F12090=""),"Incomplete","Complete")</f>
        <v>Complete</v>
      </c>
      <c r="I12090" s="48" t="s">
        <v>16455</v>
      </c>
    </row>
    <row r="12091" spans="2:9" ht="15" customHeight="1" x14ac:dyDescent="0.25">
      <c r="B12091" s="55" t="s">
        <v>281</v>
      </c>
      <c r="C12091" s="46">
        <v>2079</v>
      </c>
      <c r="D12091" s="69" t="s">
        <v>29418</v>
      </c>
      <c r="E12091" s="51"/>
      <c r="F12091" s="114" t="str">
        <f>IF(INDEX(I.Facility.P2bIDNumber,2079)="","",INDEX(I.Facility.P2bIDNumber,2079))</f>
        <v/>
      </c>
      <c r="G12091" s="51"/>
      <c r="H12091" s="46" t="str">
        <f>IF(AND(I.Developer.P2b=TRUE,I.Facility.P2bFacilityCount&gt;=2079,F12091=""),"Incomplete","Complete")</f>
        <v>Complete</v>
      </c>
      <c r="I12091" s="48" t="s">
        <v>16456</v>
      </c>
    </row>
    <row r="12092" spans="2:9" ht="15" customHeight="1" x14ac:dyDescent="0.25">
      <c r="B12092" s="55" t="s">
        <v>281</v>
      </c>
      <c r="C12092" s="46">
        <v>2080</v>
      </c>
      <c r="D12092" s="69" t="s">
        <v>29418</v>
      </c>
      <c r="E12092" s="51"/>
      <c r="F12092" s="114" t="str">
        <f>IF(INDEX(I.Facility.P2bIDNumber,2080)="","",INDEX(I.Facility.P2bIDNumber,2080))</f>
        <v/>
      </c>
      <c r="G12092" s="51"/>
      <c r="H12092" s="46" t="str">
        <f>IF(AND(I.Developer.P2b=TRUE,I.Facility.P2bFacilityCount&gt;=2080,F12092=""),"Incomplete","Complete")</f>
        <v>Complete</v>
      </c>
      <c r="I12092" s="48" t="s">
        <v>16457</v>
      </c>
    </row>
    <row r="12093" spans="2:9" ht="15" customHeight="1" x14ac:dyDescent="0.25">
      <c r="B12093" s="55" t="s">
        <v>281</v>
      </c>
      <c r="C12093" s="46">
        <v>2081</v>
      </c>
      <c r="D12093" s="69" t="s">
        <v>29418</v>
      </c>
      <c r="E12093" s="51"/>
      <c r="F12093" s="114" t="str">
        <f>IF(INDEX(I.Facility.P2bIDNumber,2081)="","",INDEX(I.Facility.P2bIDNumber,2081))</f>
        <v/>
      </c>
      <c r="G12093" s="51"/>
      <c r="H12093" s="46" t="str">
        <f>IF(AND(I.Developer.P2b=TRUE,I.Facility.P2bFacilityCount&gt;=2081,F12093=""),"Incomplete","Complete")</f>
        <v>Complete</v>
      </c>
      <c r="I12093" s="48" t="s">
        <v>16458</v>
      </c>
    </row>
    <row r="12094" spans="2:9" ht="15" customHeight="1" x14ac:dyDescent="0.25">
      <c r="B12094" s="55" t="s">
        <v>281</v>
      </c>
      <c r="C12094" s="46">
        <v>2082</v>
      </c>
      <c r="D12094" s="69" t="s">
        <v>29418</v>
      </c>
      <c r="E12094" s="51"/>
      <c r="F12094" s="114" t="str">
        <f>IF(INDEX(I.Facility.P2bIDNumber,2082)="","",INDEX(I.Facility.P2bIDNumber,2082))</f>
        <v/>
      </c>
      <c r="G12094" s="51"/>
      <c r="H12094" s="46" t="str">
        <f>IF(AND(I.Developer.P2b=TRUE,I.Facility.P2bFacilityCount&gt;=2082,F12094=""),"Incomplete","Complete")</f>
        <v>Complete</v>
      </c>
      <c r="I12094" s="48" t="s">
        <v>16459</v>
      </c>
    </row>
    <row r="12095" spans="2:9" ht="15" customHeight="1" x14ac:dyDescent="0.25">
      <c r="B12095" s="55" t="s">
        <v>281</v>
      </c>
      <c r="C12095" s="46">
        <v>2083</v>
      </c>
      <c r="D12095" s="69" t="s">
        <v>29418</v>
      </c>
      <c r="E12095" s="51"/>
      <c r="F12095" s="114" t="str">
        <f>IF(INDEX(I.Facility.P2bIDNumber,2083)="","",INDEX(I.Facility.P2bIDNumber,2083))</f>
        <v/>
      </c>
      <c r="G12095" s="51"/>
      <c r="H12095" s="46" t="str">
        <f>IF(AND(I.Developer.P2b=TRUE,I.Facility.P2bFacilityCount&gt;=2083,F12095=""),"Incomplete","Complete")</f>
        <v>Complete</v>
      </c>
      <c r="I12095" s="48" t="s">
        <v>16460</v>
      </c>
    </row>
    <row r="12096" spans="2:9" ht="15" customHeight="1" x14ac:dyDescent="0.25">
      <c r="B12096" s="55" t="s">
        <v>281</v>
      </c>
      <c r="C12096" s="46">
        <v>2084</v>
      </c>
      <c r="D12096" s="69" t="s">
        <v>29418</v>
      </c>
      <c r="E12096" s="51"/>
      <c r="F12096" s="114" t="str">
        <f>IF(INDEX(I.Facility.P2bIDNumber,2084)="","",INDEX(I.Facility.P2bIDNumber,2084))</f>
        <v/>
      </c>
      <c r="G12096" s="51"/>
      <c r="H12096" s="46" t="str">
        <f>IF(AND(I.Developer.P2b=TRUE,I.Facility.P2bFacilityCount&gt;=2084,F12096=""),"Incomplete","Complete")</f>
        <v>Complete</v>
      </c>
      <c r="I12096" s="48" t="s">
        <v>16461</v>
      </c>
    </row>
    <row r="12097" spans="2:9" ht="15" customHeight="1" x14ac:dyDescent="0.25">
      <c r="B12097" s="55" t="s">
        <v>281</v>
      </c>
      <c r="C12097" s="46">
        <v>2085</v>
      </c>
      <c r="D12097" s="69" t="s">
        <v>29418</v>
      </c>
      <c r="E12097" s="51"/>
      <c r="F12097" s="114" t="str">
        <f>IF(INDEX(I.Facility.P2bIDNumber,2085)="","",INDEX(I.Facility.P2bIDNumber,2085))</f>
        <v/>
      </c>
      <c r="G12097" s="51"/>
      <c r="H12097" s="46" t="str">
        <f>IF(AND(I.Developer.P2b=TRUE,I.Facility.P2bFacilityCount&gt;=2085,F12097=""),"Incomplete","Complete")</f>
        <v>Complete</v>
      </c>
      <c r="I12097" s="48" t="s">
        <v>16462</v>
      </c>
    </row>
    <row r="12098" spans="2:9" ht="15" customHeight="1" x14ac:dyDescent="0.25">
      <c r="B12098" s="55" t="s">
        <v>281</v>
      </c>
      <c r="C12098" s="46">
        <v>2086</v>
      </c>
      <c r="D12098" s="69" t="s">
        <v>29418</v>
      </c>
      <c r="E12098" s="51"/>
      <c r="F12098" s="114" t="str">
        <f>IF(INDEX(I.Facility.P2bIDNumber,2086)="","",INDEX(I.Facility.P2bIDNumber,2086))</f>
        <v/>
      </c>
      <c r="G12098" s="51"/>
      <c r="H12098" s="46" t="str">
        <f>IF(AND(I.Developer.P2b=TRUE,I.Facility.P2bFacilityCount&gt;=2086,F12098=""),"Incomplete","Complete")</f>
        <v>Complete</v>
      </c>
      <c r="I12098" s="48" t="s">
        <v>16463</v>
      </c>
    </row>
    <row r="12099" spans="2:9" ht="15" customHeight="1" x14ac:dyDescent="0.25">
      <c r="B12099" s="55" t="s">
        <v>281</v>
      </c>
      <c r="C12099" s="46">
        <v>2087</v>
      </c>
      <c r="D12099" s="69" t="s">
        <v>29418</v>
      </c>
      <c r="E12099" s="51"/>
      <c r="F12099" s="114" t="str">
        <f>IF(INDEX(I.Facility.P2bIDNumber,2087)="","",INDEX(I.Facility.P2bIDNumber,2087))</f>
        <v/>
      </c>
      <c r="G12099" s="51"/>
      <c r="H12099" s="46" t="str">
        <f>IF(AND(I.Developer.P2b=TRUE,I.Facility.P2bFacilityCount&gt;=2087,F12099=""),"Incomplete","Complete")</f>
        <v>Complete</v>
      </c>
      <c r="I12099" s="48" t="s">
        <v>16464</v>
      </c>
    </row>
    <row r="12100" spans="2:9" ht="15" customHeight="1" x14ac:dyDescent="0.25">
      <c r="B12100" s="55" t="s">
        <v>281</v>
      </c>
      <c r="C12100" s="46">
        <v>2088</v>
      </c>
      <c r="D12100" s="69" t="s">
        <v>29418</v>
      </c>
      <c r="E12100" s="51"/>
      <c r="F12100" s="114" t="str">
        <f>IF(INDEX(I.Facility.P2bIDNumber,2088)="","",INDEX(I.Facility.P2bIDNumber,2088))</f>
        <v/>
      </c>
      <c r="G12100" s="51"/>
      <c r="H12100" s="46" t="str">
        <f>IF(AND(I.Developer.P2b=TRUE,I.Facility.P2bFacilityCount&gt;=2088,F12100=""),"Incomplete","Complete")</f>
        <v>Complete</v>
      </c>
      <c r="I12100" s="48" t="s">
        <v>16465</v>
      </c>
    </row>
    <row r="12101" spans="2:9" ht="15" customHeight="1" x14ac:dyDescent="0.25">
      <c r="B12101" s="55" t="s">
        <v>281</v>
      </c>
      <c r="C12101" s="46">
        <v>2089</v>
      </c>
      <c r="D12101" s="69" t="s">
        <v>29418</v>
      </c>
      <c r="E12101" s="51"/>
      <c r="F12101" s="114" t="str">
        <f>IF(INDEX(I.Facility.P2bIDNumber,2089)="","",INDEX(I.Facility.P2bIDNumber,2089))</f>
        <v/>
      </c>
      <c r="G12101" s="51"/>
      <c r="H12101" s="46" t="str">
        <f>IF(AND(I.Developer.P2b=TRUE,I.Facility.P2bFacilityCount&gt;=2089,F12101=""),"Incomplete","Complete")</f>
        <v>Complete</v>
      </c>
      <c r="I12101" s="48" t="s">
        <v>16466</v>
      </c>
    </row>
    <row r="12102" spans="2:9" ht="15" customHeight="1" x14ac:dyDescent="0.25">
      <c r="B12102" s="55" t="s">
        <v>281</v>
      </c>
      <c r="C12102" s="46">
        <v>2090</v>
      </c>
      <c r="D12102" s="69" t="s">
        <v>29418</v>
      </c>
      <c r="E12102" s="51"/>
      <c r="F12102" s="114" t="str">
        <f>IF(INDEX(I.Facility.P2bIDNumber,2090)="","",INDEX(I.Facility.P2bIDNumber,2090))</f>
        <v/>
      </c>
      <c r="G12102" s="51"/>
      <c r="H12102" s="46" t="str">
        <f>IF(AND(I.Developer.P2b=TRUE,I.Facility.P2bFacilityCount&gt;=2090,F12102=""),"Incomplete","Complete")</f>
        <v>Complete</v>
      </c>
      <c r="I12102" s="48" t="s">
        <v>16467</v>
      </c>
    </row>
    <row r="12103" spans="2:9" ht="15" customHeight="1" x14ac:dyDescent="0.25">
      <c r="B12103" s="55" t="s">
        <v>281</v>
      </c>
      <c r="C12103" s="46">
        <v>2091</v>
      </c>
      <c r="D12103" s="69" t="s">
        <v>29418</v>
      </c>
      <c r="E12103" s="51"/>
      <c r="F12103" s="114" t="str">
        <f>IF(INDEX(I.Facility.P2bIDNumber,2091)="","",INDEX(I.Facility.P2bIDNumber,2091))</f>
        <v/>
      </c>
      <c r="G12103" s="51"/>
      <c r="H12103" s="46" t="str">
        <f>IF(AND(I.Developer.P2b=TRUE,I.Facility.P2bFacilityCount&gt;=2091,F12103=""),"Incomplete","Complete")</f>
        <v>Complete</v>
      </c>
      <c r="I12103" s="48" t="s">
        <v>16468</v>
      </c>
    </row>
    <row r="12104" spans="2:9" ht="15" customHeight="1" x14ac:dyDescent="0.25">
      <c r="B12104" s="55" t="s">
        <v>281</v>
      </c>
      <c r="C12104" s="46">
        <v>2092</v>
      </c>
      <c r="D12104" s="69" t="s">
        <v>29418</v>
      </c>
      <c r="E12104" s="51"/>
      <c r="F12104" s="114" t="str">
        <f>IF(INDEX(I.Facility.P2bIDNumber,2092)="","",INDEX(I.Facility.P2bIDNumber,2092))</f>
        <v/>
      </c>
      <c r="G12104" s="51"/>
      <c r="H12104" s="46" t="str">
        <f>IF(AND(I.Developer.P2b=TRUE,I.Facility.P2bFacilityCount&gt;=2092,F12104=""),"Incomplete","Complete")</f>
        <v>Complete</v>
      </c>
      <c r="I12104" s="48" t="s">
        <v>16469</v>
      </c>
    </row>
    <row r="12105" spans="2:9" ht="15" customHeight="1" x14ac:dyDescent="0.25">
      <c r="B12105" s="55" t="s">
        <v>281</v>
      </c>
      <c r="C12105" s="46">
        <v>2093</v>
      </c>
      <c r="D12105" s="69" t="s">
        <v>29418</v>
      </c>
      <c r="E12105" s="51"/>
      <c r="F12105" s="114" t="str">
        <f>IF(INDEX(I.Facility.P2bIDNumber,2093)="","",INDEX(I.Facility.P2bIDNumber,2093))</f>
        <v/>
      </c>
      <c r="G12105" s="51"/>
      <c r="H12105" s="46" t="str">
        <f>IF(AND(I.Developer.P2b=TRUE,I.Facility.P2bFacilityCount&gt;=2093,F12105=""),"Incomplete","Complete")</f>
        <v>Complete</v>
      </c>
      <c r="I12105" s="48" t="s">
        <v>16470</v>
      </c>
    </row>
    <row r="12106" spans="2:9" ht="15" customHeight="1" x14ac:dyDescent="0.25">
      <c r="B12106" s="55" t="s">
        <v>281</v>
      </c>
      <c r="C12106" s="46">
        <v>2094</v>
      </c>
      <c r="D12106" s="69" t="s">
        <v>29418</v>
      </c>
      <c r="E12106" s="51"/>
      <c r="F12106" s="114" t="str">
        <f>IF(INDEX(I.Facility.P2bIDNumber,2094)="","",INDEX(I.Facility.P2bIDNumber,2094))</f>
        <v/>
      </c>
      <c r="G12106" s="51"/>
      <c r="H12106" s="46" t="str">
        <f>IF(AND(I.Developer.P2b=TRUE,I.Facility.P2bFacilityCount&gt;=2094,F12106=""),"Incomplete","Complete")</f>
        <v>Complete</v>
      </c>
      <c r="I12106" s="48" t="s">
        <v>16471</v>
      </c>
    </row>
    <row r="12107" spans="2:9" ht="15" customHeight="1" x14ac:dyDescent="0.25">
      <c r="B12107" s="55" t="s">
        <v>281</v>
      </c>
      <c r="C12107" s="46">
        <v>2095</v>
      </c>
      <c r="D12107" s="69" t="s">
        <v>29418</v>
      </c>
      <c r="E12107" s="51"/>
      <c r="F12107" s="114" t="str">
        <f>IF(INDEX(I.Facility.P2bIDNumber,2095)="","",INDEX(I.Facility.P2bIDNumber,2095))</f>
        <v/>
      </c>
      <c r="G12107" s="51"/>
      <c r="H12107" s="46" t="str">
        <f>IF(AND(I.Developer.P2b=TRUE,I.Facility.P2bFacilityCount&gt;=2095,F12107=""),"Incomplete","Complete")</f>
        <v>Complete</v>
      </c>
      <c r="I12107" s="48" t="s">
        <v>16472</v>
      </c>
    </row>
    <row r="12108" spans="2:9" ht="15" customHeight="1" x14ac:dyDescent="0.25">
      <c r="B12108" s="55" t="s">
        <v>281</v>
      </c>
      <c r="C12108" s="46">
        <v>2096</v>
      </c>
      <c r="D12108" s="69" t="s">
        <v>29418</v>
      </c>
      <c r="E12108" s="51"/>
      <c r="F12108" s="114" t="str">
        <f>IF(INDEX(I.Facility.P2bIDNumber,2096)="","",INDEX(I.Facility.P2bIDNumber,2096))</f>
        <v/>
      </c>
      <c r="G12108" s="51"/>
      <c r="H12108" s="46" t="str">
        <f>IF(AND(I.Developer.P2b=TRUE,I.Facility.P2bFacilityCount&gt;=2096,F12108=""),"Incomplete","Complete")</f>
        <v>Complete</v>
      </c>
      <c r="I12108" s="48" t="s">
        <v>16473</v>
      </c>
    </row>
    <row r="12109" spans="2:9" ht="15" customHeight="1" x14ac:dyDescent="0.25">
      <c r="B12109" s="55" t="s">
        <v>281</v>
      </c>
      <c r="C12109" s="46">
        <v>2097</v>
      </c>
      <c r="D12109" s="69" t="s">
        <v>29418</v>
      </c>
      <c r="E12109" s="51"/>
      <c r="F12109" s="114" t="str">
        <f>IF(INDEX(I.Facility.P2bIDNumber,2097)="","",INDEX(I.Facility.P2bIDNumber,2097))</f>
        <v/>
      </c>
      <c r="G12109" s="51"/>
      <c r="H12109" s="46" t="str">
        <f>IF(AND(I.Developer.P2b=TRUE,I.Facility.P2bFacilityCount&gt;=2097,F12109=""),"Incomplete","Complete")</f>
        <v>Complete</v>
      </c>
      <c r="I12109" s="48" t="s">
        <v>16474</v>
      </c>
    </row>
    <row r="12110" spans="2:9" ht="15" customHeight="1" x14ac:dyDescent="0.25">
      <c r="B12110" s="55" t="s">
        <v>281</v>
      </c>
      <c r="C12110" s="46">
        <v>2098</v>
      </c>
      <c r="D12110" s="69" t="s">
        <v>29418</v>
      </c>
      <c r="E12110" s="51"/>
      <c r="F12110" s="114" t="str">
        <f>IF(INDEX(I.Facility.P2bIDNumber,2098)="","",INDEX(I.Facility.P2bIDNumber,2098))</f>
        <v/>
      </c>
      <c r="G12110" s="51"/>
      <c r="H12110" s="46" t="str">
        <f>IF(AND(I.Developer.P2b=TRUE,I.Facility.P2bFacilityCount&gt;=2098,F12110=""),"Incomplete","Complete")</f>
        <v>Complete</v>
      </c>
      <c r="I12110" s="48" t="s">
        <v>16475</v>
      </c>
    </row>
    <row r="12111" spans="2:9" ht="15" customHeight="1" x14ac:dyDescent="0.25">
      <c r="B12111" s="55" t="s">
        <v>281</v>
      </c>
      <c r="C12111" s="46">
        <v>2099</v>
      </c>
      <c r="D12111" s="69" t="s">
        <v>29418</v>
      </c>
      <c r="E12111" s="51"/>
      <c r="F12111" s="114" t="str">
        <f>IF(INDEX(I.Facility.P2bIDNumber,2099)="","",INDEX(I.Facility.P2bIDNumber,2099))</f>
        <v/>
      </c>
      <c r="G12111" s="51"/>
      <c r="H12111" s="46" t="str">
        <f>IF(AND(I.Developer.P2b=TRUE,I.Facility.P2bFacilityCount&gt;=2099,F12111=""),"Incomplete","Complete")</f>
        <v>Complete</v>
      </c>
      <c r="I12111" s="48" t="s">
        <v>16476</v>
      </c>
    </row>
    <row r="12112" spans="2:9" ht="15" customHeight="1" x14ac:dyDescent="0.25">
      <c r="B12112" s="55" t="s">
        <v>281</v>
      </c>
      <c r="C12112" s="46">
        <v>2100</v>
      </c>
      <c r="D12112" s="69" t="s">
        <v>29418</v>
      </c>
      <c r="E12112" s="51"/>
      <c r="F12112" s="114" t="str">
        <f>IF(INDEX(I.Facility.P2bIDNumber,2100)="","",INDEX(I.Facility.P2bIDNumber,2100))</f>
        <v/>
      </c>
      <c r="G12112" s="51"/>
      <c r="H12112" s="46" t="str">
        <f>IF(AND(I.Developer.P2b=TRUE,I.Facility.P2bFacilityCount&gt;=2100,F12112=""),"Incomplete","Complete")</f>
        <v>Complete</v>
      </c>
      <c r="I12112" s="48" t="s">
        <v>16477</v>
      </c>
    </row>
    <row r="12113" spans="2:9" ht="15" customHeight="1" x14ac:dyDescent="0.25">
      <c r="B12113" s="55" t="s">
        <v>281</v>
      </c>
      <c r="C12113" s="46">
        <v>2101</v>
      </c>
      <c r="D12113" s="69" t="s">
        <v>29418</v>
      </c>
      <c r="E12113" s="51"/>
      <c r="F12113" s="114" t="str">
        <f>IF(INDEX(I.Facility.P2bIDNumber,2101)="","",INDEX(I.Facility.P2bIDNumber,2101))</f>
        <v/>
      </c>
      <c r="G12113" s="51"/>
      <c r="H12113" s="46" t="str">
        <f>IF(AND(I.Developer.P2b=TRUE,I.Facility.P2bFacilityCount&gt;=2101,F12113=""),"Incomplete","Complete")</f>
        <v>Complete</v>
      </c>
      <c r="I12113" s="48" t="s">
        <v>16478</v>
      </c>
    </row>
    <row r="12114" spans="2:9" ht="15" customHeight="1" x14ac:dyDescent="0.25">
      <c r="B12114" s="55" t="s">
        <v>281</v>
      </c>
      <c r="C12114" s="46">
        <v>2102</v>
      </c>
      <c r="D12114" s="69" t="s">
        <v>29418</v>
      </c>
      <c r="E12114" s="51"/>
      <c r="F12114" s="114" t="str">
        <f>IF(INDEX(I.Facility.P2bIDNumber,2102)="","",INDEX(I.Facility.P2bIDNumber,2102))</f>
        <v/>
      </c>
      <c r="G12114" s="51"/>
      <c r="H12114" s="46" t="str">
        <f>IF(AND(I.Developer.P2b=TRUE,I.Facility.P2bFacilityCount&gt;=2102,F12114=""),"Incomplete","Complete")</f>
        <v>Complete</v>
      </c>
      <c r="I12114" s="48" t="s">
        <v>16479</v>
      </c>
    </row>
    <row r="12115" spans="2:9" ht="15" customHeight="1" x14ac:dyDescent="0.25">
      <c r="B12115" s="55" t="s">
        <v>281</v>
      </c>
      <c r="C12115" s="46">
        <v>2103</v>
      </c>
      <c r="D12115" s="69" t="s">
        <v>29418</v>
      </c>
      <c r="E12115" s="51"/>
      <c r="F12115" s="114" t="str">
        <f>IF(INDEX(I.Facility.P2bIDNumber,2103)="","",INDEX(I.Facility.P2bIDNumber,2103))</f>
        <v/>
      </c>
      <c r="G12115" s="51"/>
      <c r="H12115" s="46" t="str">
        <f>IF(AND(I.Developer.P2b=TRUE,I.Facility.P2bFacilityCount&gt;=2103,F12115=""),"Incomplete","Complete")</f>
        <v>Complete</v>
      </c>
      <c r="I12115" s="48" t="s">
        <v>16480</v>
      </c>
    </row>
    <row r="12116" spans="2:9" ht="15" customHeight="1" x14ac:dyDescent="0.25">
      <c r="B12116" s="55" t="s">
        <v>281</v>
      </c>
      <c r="C12116" s="46">
        <v>2104</v>
      </c>
      <c r="D12116" s="69" t="s">
        <v>29418</v>
      </c>
      <c r="E12116" s="51"/>
      <c r="F12116" s="114" t="str">
        <f>IF(INDEX(I.Facility.P2bIDNumber,2104)="","",INDEX(I.Facility.P2bIDNumber,2104))</f>
        <v/>
      </c>
      <c r="G12116" s="51"/>
      <c r="H12116" s="46" t="str">
        <f>IF(AND(I.Developer.P2b=TRUE,I.Facility.P2bFacilityCount&gt;=2104,F12116=""),"Incomplete","Complete")</f>
        <v>Complete</v>
      </c>
      <c r="I12116" s="48" t="s">
        <v>16481</v>
      </c>
    </row>
    <row r="12117" spans="2:9" ht="15" customHeight="1" x14ac:dyDescent="0.25">
      <c r="B12117" s="55" t="s">
        <v>281</v>
      </c>
      <c r="C12117" s="46">
        <v>2105</v>
      </c>
      <c r="D12117" s="69" t="s">
        <v>29418</v>
      </c>
      <c r="E12117" s="51"/>
      <c r="F12117" s="114" t="str">
        <f>IF(INDEX(I.Facility.P2bIDNumber,2105)="","",INDEX(I.Facility.P2bIDNumber,2105))</f>
        <v/>
      </c>
      <c r="G12117" s="51"/>
      <c r="H12117" s="46" t="str">
        <f>IF(AND(I.Developer.P2b=TRUE,I.Facility.P2bFacilityCount&gt;=2105,F12117=""),"Incomplete","Complete")</f>
        <v>Complete</v>
      </c>
      <c r="I12117" s="48" t="s">
        <v>16482</v>
      </c>
    </row>
    <row r="12118" spans="2:9" ht="15" customHeight="1" x14ac:dyDescent="0.25">
      <c r="B12118" s="55" t="s">
        <v>281</v>
      </c>
      <c r="C12118" s="46">
        <v>2106</v>
      </c>
      <c r="D12118" s="69" t="s">
        <v>29418</v>
      </c>
      <c r="E12118" s="51"/>
      <c r="F12118" s="114" t="str">
        <f>IF(INDEX(I.Facility.P2bIDNumber,2106)="","",INDEX(I.Facility.P2bIDNumber,2106))</f>
        <v/>
      </c>
      <c r="G12118" s="51"/>
      <c r="H12118" s="46" t="str">
        <f>IF(AND(I.Developer.P2b=TRUE,I.Facility.P2bFacilityCount&gt;=2106,F12118=""),"Incomplete","Complete")</f>
        <v>Complete</v>
      </c>
      <c r="I12118" s="48" t="s">
        <v>16483</v>
      </c>
    </row>
    <row r="12119" spans="2:9" ht="15" customHeight="1" x14ac:dyDescent="0.25">
      <c r="B12119" s="55" t="s">
        <v>281</v>
      </c>
      <c r="C12119" s="46">
        <v>2107</v>
      </c>
      <c r="D12119" s="69" t="s">
        <v>29418</v>
      </c>
      <c r="E12119" s="51"/>
      <c r="F12119" s="114" t="str">
        <f>IF(INDEX(I.Facility.P2bIDNumber,2107)="","",INDEX(I.Facility.P2bIDNumber,2107))</f>
        <v/>
      </c>
      <c r="G12119" s="51"/>
      <c r="H12119" s="46" t="str">
        <f>IF(AND(I.Developer.P2b=TRUE,I.Facility.P2bFacilityCount&gt;=2107,F12119=""),"Incomplete","Complete")</f>
        <v>Complete</v>
      </c>
      <c r="I12119" s="48" t="s">
        <v>16484</v>
      </c>
    </row>
    <row r="12120" spans="2:9" ht="15" customHeight="1" x14ac:dyDescent="0.25">
      <c r="B12120" s="55" t="s">
        <v>281</v>
      </c>
      <c r="C12120" s="46">
        <v>2108</v>
      </c>
      <c r="D12120" s="69" t="s">
        <v>29418</v>
      </c>
      <c r="E12120" s="51"/>
      <c r="F12120" s="114" t="str">
        <f>IF(INDEX(I.Facility.P2bIDNumber,2108)="","",INDEX(I.Facility.P2bIDNumber,2108))</f>
        <v/>
      </c>
      <c r="G12120" s="51"/>
      <c r="H12120" s="46" t="str">
        <f>IF(AND(I.Developer.P2b=TRUE,I.Facility.P2bFacilityCount&gt;=2108,F12120=""),"Incomplete","Complete")</f>
        <v>Complete</v>
      </c>
      <c r="I12120" s="48" t="s">
        <v>16485</v>
      </c>
    </row>
    <row r="12121" spans="2:9" ht="15" customHeight="1" x14ac:dyDescent="0.25">
      <c r="B12121" s="55" t="s">
        <v>281</v>
      </c>
      <c r="C12121" s="46">
        <v>2109</v>
      </c>
      <c r="D12121" s="69" t="s">
        <v>29418</v>
      </c>
      <c r="E12121" s="51"/>
      <c r="F12121" s="114" t="str">
        <f>IF(INDEX(I.Facility.P2bIDNumber,2109)="","",INDEX(I.Facility.P2bIDNumber,2109))</f>
        <v/>
      </c>
      <c r="G12121" s="51"/>
      <c r="H12121" s="46" t="str">
        <f>IF(AND(I.Developer.P2b=TRUE,I.Facility.P2bFacilityCount&gt;=2109,F12121=""),"Incomplete","Complete")</f>
        <v>Complete</v>
      </c>
      <c r="I12121" s="48" t="s">
        <v>16486</v>
      </c>
    </row>
    <row r="12122" spans="2:9" ht="15" customHeight="1" x14ac:dyDescent="0.25">
      <c r="B12122" s="55" t="s">
        <v>281</v>
      </c>
      <c r="C12122" s="46">
        <v>2110</v>
      </c>
      <c r="D12122" s="69" t="s">
        <v>29418</v>
      </c>
      <c r="E12122" s="51"/>
      <c r="F12122" s="114" t="str">
        <f>IF(INDEX(I.Facility.P2bIDNumber,2110)="","",INDEX(I.Facility.P2bIDNumber,2110))</f>
        <v/>
      </c>
      <c r="G12122" s="51"/>
      <c r="H12122" s="46" t="str">
        <f>IF(AND(I.Developer.P2b=TRUE,I.Facility.P2bFacilityCount&gt;=2110,F12122=""),"Incomplete","Complete")</f>
        <v>Complete</v>
      </c>
      <c r="I12122" s="48" t="s">
        <v>16487</v>
      </c>
    </row>
    <row r="12123" spans="2:9" ht="15" customHeight="1" x14ac:dyDescent="0.25">
      <c r="B12123" s="55" t="s">
        <v>281</v>
      </c>
      <c r="C12123" s="46">
        <v>2111</v>
      </c>
      <c r="D12123" s="69" t="s">
        <v>29418</v>
      </c>
      <c r="E12123" s="51"/>
      <c r="F12123" s="114" t="str">
        <f>IF(INDEX(I.Facility.P2bIDNumber,2111)="","",INDEX(I.Facility.P2bIDNumber,2111))</f>
        <v/>
      </c>
      <c r="G12123" s="51"/>
      <c r="H12123" s="46" t="str">
        <f>IF(AND(I.Developer.P2b=TRUE,I.Facility.P2bFacilityCount&gt;=2111,F12123=""),"Incomplete","Complete")</f>
        <v>Complete</v>
      </c>
      <c r="I12123" s="48" t="s">
        <v>16488</v>
      </c>
    </row>
    <row r="12124" spans="2:9" ht="15" customHeight="1" x14ac:dyDescent="0.25">
      <c r="B12124" s="55" t="s">
        <v>281</v>
      </c>
      <c r="C12124" s="46">
        <v>2112</v>
      </c>
      <c r="D12124" s="69" t="s">
        <v>29418</v>
      </c>
      <c r="E12124" s="51"/>
      <c r="F12124" s="114" t="str">
        <f>IF(INDEX(I.Facility.P2bIDNumber,2112)="","",INDEX(I.Facility.P2bIDNumber,2112))</f>
        <v/>
      </c>
      <c r="G12124" s="51"/>
      <c r="H12124" s="46" t="str">
        <f>IF(AND(I.Developer.P2b=TRUE,I.Facility.P2bFacilityCount&gt;=2112,F12124=""),"Incomplete","Complete")</f>
        <v>Complete</v>
      </c>
      <c r="I12124" s="48" t="s">
        <v>16489</v>
      </c>
    </row>
    <row r="12125" spans="2:9" ht="15" customHeight="1" x14ac:dyDescent="0.25">
      <c r="B12125" s="55" t="s">
        <v>281</v>
      </c>
      <c r="C12125" s="46">
        <v>2113</v>
      </c>
      <c r="D12125" s="69" t="s">
        <v>29418</v>
      </c>
      <c r="E12125" s="51"/>
      <c r="F12125" s="114" t="str">
        <f>IF(INDEX(I.Facility.P2bIDNumber,2113)="","",INDEX(I.Facility.P2bIDNumber,2113))</f>
        <v/>
      </c>
      <c r="G12125" s="51"/>
      <c r="H12125" s="46" t="str">
        <f>IF(AND(I.Developer.P2b=TRUE,I.Facility.P2bFacilityCount&gt;=2113,F12125=""),"Incomplete","Complete")</f>
        <v>Complete</v>
      </c>
      <c r="I12125" s="48" t="s">
        <v>16490</v>
      </c>
    </row>
    <row r="12126" spans="2:9" ht="15" customHeight="1" x14ac:dyDescent="0.25">
      <c r="B12126" s="55" t="s">
        <v>281</v>
      </c>
      <c r="C12126" s="46">
        <v>2114</v>
      </c>
      <c r="D12126" s="69" t="s">
        <v>29418</v>
      </c>
      <c r="E12126" s="51"/>
      <c r="F12126" s="114" t="str">
        <f>IF(INDEX(I.Facility.P2bIDNumber,2114)="","",INDEX(I.Facility.P2bIDNumber,2114))</f>
        <v/>
      </c>
      <c r="G12126" s="51"/>
      <c r="H12126" s="46" t="str">
        <f>IF(AND(I.Developer.P2b=TRUE,I.Facility.P2bFacilityCount&gt;=2114,F12126=""),"Incomplete","Complete")</f>
        <v>Complete</v>
      </c>
      <c r="I12126" s="48" t="s">
        <v>16491</v>
      </c>
    </row>
    <row r="12127" spans="2:9" ht="15" customHeight="1" x14ac:dyDescent="0.25">
      <c r="B12127" s="55" t="s">
        <v>281</v>
      </c>
      <c r="C12127" s="46">
        <v>2115</v>
      </c>
      <c r="D12127" s="69" t="s">
        <v>29418</v>
      </c>
      <c r="E12127" s="51"/>
      <c r="F12127" s="114" t="str">
        <f>IF(INDEX(I.Facility.P2bIDNumber,2115)="","",INDEX(I.Facility.P2bIDNumber,2115))</f>
        <v/>
      </c>
      <c r="G12127" s="51"/>
      <c r="H12127" s="46" t="str">
        <f>IF(AND(I.Developer.P2b=TRUE,I.Facility.P2bFacilityCount&gt;=2115,F12127=""),"Incomplete","Complete")</f>
        <v>Complete</v>
      </c>
      <c r="I12127" s="48" t="s">
        <v>16492</v>
      </c>
    </row>
    <row r="12128" spans="2:9" ht="15" customHeight="1" x14ac:dyDescent="0.25">
      <c r="B12128" s="55" t="s">
        <v>281</v>
      </c>
      <c r="C12128" s="46">
        <v>2116</v>
      </c>
      <c r="D12128" s="69" t="s">
        <v>29418</v>
      </c>
      <c r="E12128" s="51"/>
      <c r="F12128" s="114" t="str">
        <f>IF(INDEX(I.Facility.P2bIDNumber,2116)="","",INDEX(I.Facility.P2bIDNumber,2116))</f>
        <v/>
      </c>
      <c r="G12128" s="51"/>
      <c r="H12128" s="46" t="str">
        <f>IF(AND(I.Developer.P2b=TRUE,I.Facility.P2bFacilityCount&gt;=2116,F12128=""),"Incomplete","Complete")</f>
        <v>Complete</v>
      </c>
      <c r="I12128" s="48" t="s">
        <v>16493</v>
      </c>
    </row>
    <row r="12129" spans="2:9" ht="15" customHeight="1" x14ac:dyDescent="0.25">
      <c r="B12129" s="55" t="s">
        <v>281</v>
      </c>
      <c r="C12129" s="46">
        <v>2117</v>
      </c>
      <c r="D12129" s="69" t="s">
        <v>29418</v>
      </c>
      <c r="E12129" s="51"/>
      <c r="F12129" s="114" t="str">
        <f>IF(INDEX(I.Facility.P2bIDNumber,2117)="","",INDEX(I.Facility.P2bIDNumber,2117))</f>
        <v/>
      </c>
      <c r="G12129" s="51"/>
      <c r="H12129" s="46" t="str">
        <f>IF(AND(I.Developer.P2b=TRUE,I.Facility.P2bFacilityCount&gt;=2117,F12129=""),"Incomplete","Complete")</f>
        <v>Complete</v>
      </c>
      <c r="I12129" s="48" t="s">
        <v>16494</v>
      </c>
    </row>
    <row r="12130" spans="2:9" ht="15" customHeight="1" x14ac:dyDescent="0.25">
      <c r="B12130" s="55" t="s">
        <v>281</v>
      </c>
      <c r="C12130" s="46">
        <v>2118</v>
      </c>
      <c r="D12130" s="69" t="s">
        <v>29418</v>
      </c>
      <c r="E12130" s="51"/>
      <c r="F12130" s="114" t="str">
        <f>IF(INDEX(I.Facility.P2bIDNumber,2118)="","",INDEX(I.Facility.P2bIDNumber,2118))</f>
        <v/>
      </c>
      <c r="G12130" s="51"/>
      <c r="H12130" s="46" t="str">
        <f>IF(AND(I.Developer.P2b=TRUE,I.Facility.P2bFacilityCount&gt;=2118,F12130=""),"Incomplete","Complete")</f>
        <v>Complete</v>
      </c>
      <c r="I12130" s="48" t="s">
        <v>16495</v>
      </c>
    </row>
    <row r="12131" spans="2:9" ht="15" customHeight="1" x14ac:dyDescent="0.25">
      <c r="B12131" s="55" t="s">
        <v>281</v>
      </c>
      <c r="C12131" s="46">
        <v>2119</v>
      </c>
      <c r="D12131" s="69" t="s">
        <v>29418</v>
      </c>
      <c r="E12131" s="51"/>
      <c r="F12131" s="114" t="str">
        <f>IF(INDEX(I.Facility.P2bIDNumber,2119)="","",INDEX(I.Facility.P2bIDNumber,2119))</f>
        <v/>
      </c>
      <c r="G12131" s="51"/>
      <c r="H12131" s="46" t="str">
        <f>IF(AND(I.Developer.P2b=TRUE,I.Facility.P2bFacilityCount&gt;=2119,F12131=""),"Incomplete","Complete")</f>
        <v>Complete</v>
      </c>
      <c r="I12131" s="48" t="s">
        <v>16496</v>
      </c>
    </row>
    <row r="12132" spans="2:9" ht="15" customHeight="1" x14ac:dyDescent="0.25">
      <c r="B12132" s="55" t="s">
        <v>281</v>
      </c>
      <c r="C12132" s="46">
        <v>2120</v>
      </c>
      <c r="D12132" s="69" t="s">
        <v>29418</v>
      </c>
      <c r="E12132" s="51"/>
      <c r="F12132" s="114" t="str">
        <f>IF(INDEX(I.Facility.P2bIDNumber,2120)="","",INDEX(I.Facility.P2bIDNumber,2120))</f>
        <v/>
      </c>
      <c r="G12132" s="51"/>
      <c r="H12132" s="46" t="str">
        <f>IF(AND(I.Developer.P2b=TRUE,I.Facility.P2bFacilityCount&gt;=2120,F12132=""),"Incomplete","Complete")</f>
        <v>Complete</v>
      </c>
      <c r="I12132" s="48" t="s">
        <v>16497</v>
      </c>
    </row>
    <row r="12133" spans="2:9" ht="15" customHeight="1" x14ac:dyDescent="0.25">
      <c r="B12133" s="55" t="s">
        <v>281</v>
      </c>
      <c r="C12133" s="46">
        <v>2121</v>
      </c>
      <c r="D12133" s="69" t="s">
        <v>29418</v>
      </c>
      <c r="E12133" s="51"/>
      <c r="F12133" s="114" t="str">
        <f>IF(INDEX(I.Facility.P2bIDNumber,2121)="","",INDEX(I.Facility.P2bIDNumber,2121))</f>
        <v/>
      </c>
      <c r="G12133" s="51"/>
      <c r="H12133" s="46" t="str">
        <f>IF(AND(I.Developer.P2b=TRUE,I.Facility.P2bFacilityCount&gt;=2121,F12133=""),"Incomplete","Complete")</f>
        <v>Complete</v>
      </c>
      <c r="I12133" s="48" t="s">
        <v>16498</v>
      </c>
    </row>
    <row r="12134" spans="2:9" ht="15" customHeight="1" x14ac:dyDescent="0.25">
      <c r="B12134" s="55" t="s">
        <v>281</v>
      </c>
      <c r="C12134" s="46">
        <v>2122</v>
      </c>
      <c r="D12134" s="69" t="s">
        <v>29418</v>
      </c>
      <c r="E12134" s="51"/>
      <c r="F12134" s="114" t="str">
        <f>IF(INDEX(I.Facility.P2bIDNumber,2122)="","",INDEX(I.Facility.P2bIDNumber,2122))</f>
        <v/>
      </c>
      <c r="G12134" s="51"/>
      <c r="H12134" s="46" t="str">
        <f>IF(AND(I.Developer.P2b=TRUE,I.Facility.P2bFacilityCount&gt;=2122,F12134=""),"Incomplete","Complete")</f>
        <v>Complete</v>
      </c>
      <c r="I12134" s="48" t="s">
        <v>16499</v>
      </c>
    </row>
    <row r="12135" spans="2:9" ht="15" customHeight="1" x14ac:dyDescent="0.25">
      <c r="B12135" s="55" t="s">
        <v>281</v>
      </c>
      <c r="C12135" s="46">
        <v>2123</v>
      </c>
      <c r="D12135" s="69" t="s">
        <v>29418</v>
      </c>
      <c r="E12135" s="51"/>
      <c r="F12135" s="114" t="str">
        <f>IF(INDEX(I.Facility.P2bIDNumber,2123)="","",INDEX(I.Facility.P2bIDNumber,2123))</f>
        <v/>
      </c>
      <c r="G12135" s="51"/>
      <c r="H12135" s="46" t="str">
        <f>IF(AND(I.Developer.P2b=TRUE,I.Facility.P2bFacilityCount&gt;=2123,F12135=""),"Incomplete","Complete")</f>
        <v>Complete</v>
      </c>
      <c r="I12135" s="48" t="s">
        <v>16500</v>
      </c>
    </row>
    <row r="12136" spans="2:9" ht="15" customHeight="1" x14ac:dyDescent="0.25">
      <c r="B12136" s="55" t="s">
        <v>281</v>
      </c>
      <c r="C12136" s="46">
        <v>2124</v>
      </c>
      <c r="D12136" s="69" t="s">
        <v>29418</v>
      </c>
      <c r="E12136" s="51"/>
      <c r="F12136" s="114" t="str">
        <f>IF(INDEX(I.Facility.P2bIDNumber,2124)="","",INDEX(I.Facility.P2bIDNumber,2124))</f>
        <v/>
      </c>
      <c r="G12136" s="51"/>
      <c r="H12136" s="46" t="str">
        <f>IF(AND(I.Developer.P2b=TRUE,I.Facility.P2bFacilityCount&gt;=2124,F12136=""),"Incomplete","Complete")</f>
        <v>Complete</v>
      </c>
      <c r="I12136" s="48" t="s">
        <v>16501</v>
      </c>
    </row>
    <row r="12137" spans="2:9" ht="15" customHeight="1" x14ac:dyDescent="0.25">
      <c r="B12137" s="55" t="s">
        <v>281</v>
      </c>
      <c r="C12137" s="46">
        <v>2125</v>
      </c>
      <c r="D12137" s="69" t="s">
        <v>29418</v>
      </c>
      <c r="E12137" s="51"/>
      <c r="F12137" s="114" t="str">
        <f>IF(INDEX(I.Facility.P2bIDNumber,2125)="","",INDEX(I.Facility.P2bIDNumber,2125))</f>
        <v/>
      </c>
      <c r="G12137" s="51"/>
      <c r="H12137" s="46" t="str">
        <f>IF(AND(I.Developer.P2b=TRUE,I.Facility.P2bFacilityCount&gt;=2125,F12137=""),"Incomplete","Complete")</f>
        <v>Complete</v>
      </c>
      <c r="I12137" s="48" t="s">
        <v>16502</v>
      </c>
    </row>
    <row r="12138" spans="2:9" ht="15" customHeight="1" x14ac:dyDescent="0.25">
      <c r="B12138" s="55" t="s">
        <v>281</v>
      </c>
      <c r="C12138" s="46">
        <v>2126</v>
      </c>
      <c r="D12138" s="69" t="s">
        <v>29418</v>
      </c>
      <c r="E12138" s="51"/>
      <c r="F12138" s="114" t="str">
        <f>IF(INDEX(I.Facility.P2bIDNumber,2126)="","",INDEX(I.Facility.P2bIDNumber,2126))</f>
        <v/>
      </c>
      <c r="G12138" s="51"/>
      <c r="H12138" s="46" t="str">
        <f>IF(AND(I.Developer.P2b=TRUE,I.Facility.P2bFacilityCount&gt;=2126,F12138=""),"Incomplete","Complete")</f>
        <v>Complete</v>
      </c>
      <c r="I12138" s="48" t="s">
        <v>16503</v>
      </c>
    </row>
    <row r="12139" spans="2:9" ht="15" customHeight="1" x14ac:dyDescent="0.25">
      <c r="B12139" s="55" t="s">
        <v>281</v>
      </c>
      <c r="C12139" s="46">
        <v>2127</v>
      </c>
      <c r="D12139" s="69" t="s">
        <v>29418</v>
      </c>
      <c r="E12139" s="51"/>
      <c r="F12139" s="114" t="str">
        <f>IF(INDEX(I.Facility.P2bIDNumber,2127)="","",INDEX(I.Facility.P2bIDNumber,2127))</f>
        <v/>
      </c>
      <c r="G12139" s="51"/>
      <c r="H12139" s="46" t="str">
        <f>IF(AND(I.Developer.P2b=TRUE,I.Facility.P2bFacilityCount&gt;=2127,F12139=""),"Incomplete","Complete")</f>
        <v>Complete</v>
      </c>
      <c r="I12139" s="48" t="s">
        <v>16504</v>
      </c>
    </row>
    <row r="12140" spans="2:9" ht="15" customHeight="1" x14ac:dyDescent="0.25">
      <c r="B12140" s="55" t="s">
        <v>281</v>
      </c>
      <c r="C12140" s="46">
        <v>2128</v>
      </c>
      <c r="D12140" s="69" t="s">
        <v>29418</v>
      </c>
      <c r="E12140" s="51"/>
      <c r="F12140" s="114" t="str">
        <f>IF(INDEX(I.Facility.P2bIDNumber,2128)="","",INDEX(I.Facility.P2bIDNumber,2128))</f>
        <v/>
      </c>
      <c r="G12140" s="51"/>
      <c r="H12140" s="46" t="str">
        <f>IF(AND(I.Developer.P2b=TRUE,I.Facility.P2bFacilityCount&gt;=2128,F12140=""),"Incomplete","Complete")</f>
        <v>Complete</v>
      </c>
      <c r="I12140" s="48" t="s">
        <v>16505</v>
      </c>
    </row>
    <row r="12141" spans="2:9" ht="15" customHeight="1" x14ac:dyDescent="0.25">
      <c r="B12141" s="55" t="s">
        <v>281</v>
      </c>
      <c r="C12141" s="46">
        <v>2129</v>
      </c>
      <c r="D12141" s="69" t="s">
        <v>29418</v>
      </c>
      <c r="E12141" s="51"/>
      <c r="F12141" s="114" t="str">
        <f>IF(INDEX(I.Facility.P2bIDNumber,2129)="","",INDEX(I.Facility.P2bIDNumber,2129))</f>
        <v/>
      </c>
      <c r="G12141" s="51"/>
      <c r="H12141" s="46" t="str">
        <f>IF(AND(I.Developer.P2b=TRUE,I.Facility.P2bFacilityCount&gt;=2129,F12141=""),"Incomplete","Complete")</f>
        <v>Complete</v>
      </c>
      <c r="I12141" s="48" t="s">
        <v>16506</v>
      </c>
    </row>
    <row r="12142" spans="2:9" ht="15" customHeight="1" x14ac:dyDescent="0.25">
      <c r="B12142" s="55" t="s">
        <v>281</v>
      </c>
      <c r="C12142" s="46">
        <v>2130</v>
      </c>
      <c r="D12142" s="69" t="s">
        <v>29418</v>
      </c>
      <c r="E12142" s="51"/>
      <c r="F12142" s="114" t="str">
        <f>IF(INDEX(I.Facility.P2bIDNumber,2130)="","",INDEX(I.Facility.P2bIDNumber,2130))</f>
        <v/>
      </c>
      <c r="G12142" s="51"/>
      <c r="H12142" s="46" t="str">
        <f>IF(AND(I.Developer.P2b=TRUE,I.Facility.P2bFacilityCount&gt;=2130,F12142=""),"Incomplete","Complete")</f>
        <v>Complete</v>
      </c>
      <c r="I12142" s="48" t="s">
        <v>16507</v>
      </c>
    </row>
    <row r="12143" spans="2:9" ht="15" customHeight="1" x14ac:dyDescent="0.25">
      <c r="B12143" s="55" t="s">
        <v>281</v>
      </c>
      <c r="C12143" s="46">
        <v>2131</v>
      </c>
      <c r="D12143" s="69" t="s">
        <v>29418</v>
      </c>
      <c r="E12143" s="51"/>
      <c r="F12143" s="114" t="str">
        <f>IF(INDEX(I.Facility.P2bIDNumber,2131)="","",INDEX(I.Facility.P2bIDNumber,2131))</f>
        <v/>
      </c>
      <c r="G12143" s="51"/>
      <c r="H12143" s="46" t="str">
        <f>IF(AND(I.Developer.P2b=TRUE,I.Facility.P2bFacilityCount&gt;=2131,F12143=""),"Incomplete","Complete")</f>
        <v>Complete</v>
      </c>
      <c r="I12143" s="48" t="s">
        <v>16508</v>
      </c>
    </row>
    <row r="12144" spans="2:9" ht="15" customHeight="1" x14ac:dyDescent="0.25">
      <c r="B12144" s="55" t="s">
        <v>281</v>
      </c>
      <c r="C12144" s="46">
        <v>2132</v>
      </c>
      <c r="D12144" s="69" t="s">
        <v>29418</v>
      </c>
      <c r="E12144" s="51"/>
      <c r="F12144" s="114" t="str">
        <f>IF(INDEX(I.Facility.P2bIDNumber,2132)="","",INDEX(I.Facility.P2bIDNumber,2132))</f>
        <v/>
      </c>
      <c r="G12144" s="51"/>
      <c r="H12144" s="46" t="str">
        <f>IF(AND(I.Developer.P2b=TRUE,I.Facility.P2bFacilityCount&gt;=2132,F12144=""),"Incomplete","Complete")</f>
        <v>Complete</v>
      </c>
      <c r="I12144" s="48" t="s">
        <v>16509</v>
      </c>
    </row>
    <row r="12145" spans="2:9" ht="15" customHeight="1" x14ac:dyDescent="0.25">
      <c r="B12145" s="55" t="s">
        <v>281</v>
      </c>
      <c r="C12145" s="46">
        <v>2133</v>
      </c>
      <c r="D12145" s="69" t="s">
        <v>29418</v>
      </c>
      <c r="E12145" s="51"/>
      <c r="F12145" s="114" t="str">
        <f>IF(INDEX(I.Facility.P2bIDNumber,2133)="","",INDEX(I.Facility.P2bIDNumber,2133))</f>
        <v/>
      </c>
      <c r="G12145" s="51"/>
      <c r="H12145" s="46" t="str">
        <f>IF(AND(I.Developer.P2b=TRUE,I.Facility.P2bFacilityCount&gt;=2133,F12145=""),"Incomplete","Complete")</f>
        <v>Complete</v>
      </c>
      <c r="I12145" s="48" t="s">
        <v>16510</v>
      </c>
    </row>
    <row r="12146" spans="2:9" ht="15" customHeight="1" x14ac:dyDescent="0.25">
      <c r="B12146" s="55" t="s">
        <v>281</v>
      </c>
      <c r="C12146" s="46">
        <v>2134</v>
      </c>
      <c r="D12146" s="69" t="s">
        <v>29418</v>
      </c>
      <c r="E12146" s="51"/>
      <c r="F12146" s="114" t="str">
        <f>IF(INDEX(I.Facility.P2bIDNumber,2134)="","",INDEX(I.Facility.P2bIDNumber,2134))</f>
        <v/>
      </c>
      <c r="G12146" s="51"/>
      <c r="H12146" s="46" t="str">
        <f>IF(AND(I.Developer.P2b=TRUE,I.Facility.P2bFacilityCount&gt;=2134,F12146=""),"Incomplete","Complete")</f>
        <v>Complete</v>
      </c>
      <c r="I12146" s="48" t="s">
        <v>16511</v>
      </c>
    </row>
    <row r="12147" spans="2:9" ht="15" customHeight="1" x14ac:dyDescent="0.25">
      <c r="B12147" s="55" t="s">
        <v>281</v>
      </c>
      <c r="C12147" s="46">
        <v>2135</v>
      </c>
      <c r="D12147" s="69" t="s">
        <v>29418</v>
      </c>
      <c r="E12147" s="51"/>
      <c r="F12147" s="114" t="str">
        <f>IF(INDEX(I.Facility.P2bIDNumber,2135)="","",INDEX(I.Facility.P2bIDNumber,2135))</f>
        <v/>
      </c>
      <c r="G12147" s="51"/>
      <c r="H12147" s="46" t="str">
        <f>IF(AND(I.Developer.P2b=TRUE,I.Facility.P2bFacilityCount&gt;=2135,F12147=""),"Incomplete","Complete")</f>
        <v>Complete</v>
      </c>
      <c r="I12147" s="48" t="s">
        <v>16512</v>
      </c>
    </row>
    <row r="12148" spans="2:9" ht="15" customHeight="1" x14ac:dyDescent="0.25">
      <c r="B12148" s="55" t="s">
        <v>281</v>
      </c>
      <c r="C12148" s="46">
        <v>2136</v>
      </c>
      <c r="D12148" s="69" t="s">
        <v>29418</v>
      </c>
      <c r="E12148" s="51"/>
      <c r="F12148" s="114" t="str">
        <f>IF(INDEX(I.Facility.P2bIDNumber,2136)="","",INDEX(I.Facility.P2bIDNumber,2136))</f>
        <v/>
      </c>
      <c r="G12148" s="51"/>
      <c r="H12148" s="46" t="str">
        <f>IF(AND(I.Developer.P2b=TRUE,I.Facility.P2bFacilityCount&gt;=2136,F12148=""),"Incomplete","Complete")</f>
        <v>Complete</v>
      </c>
      <c r="I12148" s="48" t="s">
        <v>16513</v>
      </c>
    </row>
    <row r="12149" spans="2:9" ht="15" customHeight="1" x14ac:dyDescent="0.25">
      <c r="B12149" s="55" t="s">
        <v>281</v>
      </c>
      <c r="C12149" s="46">
        <v>2137</v>
      </c>
      <c r="D12149" s="69" t="s">
        <v>29418</v>
      </c>
      <c r="E12149" s="51"/>
      <c r="F12149" s="114" t="str">
        <f>IF(INDEX(I.Facility.P2bIDNumber,2137)="","",INDEX(I.Facility.P2bIDNumber,2137))</f>
        <v/>
      </c>
      <c r="G12149" s="51"/>
      <c r="H12149" s="46" t="str">
        <f>IF(AND(I.Developer.P2b=TRUE,I.Facility.P2bFacilityCount&gt;=2137,F12149=""),"Incomplete","Complete")</f>
        <v>Complete</v>
      </c>
      <c r="I12149" s="48" t="s">
        <v>16514</v>
      </c>
    </row>
    <row r="12150" spans="2:9" ht="15" customHeight="1" x14ac:dyDescent="0.25">
      <c r="B12150" s="55" t="s">
        <v>281</v>
      </c>
      <c r="C12150" s="46">
        <v>2138</v>
      </c>
      <c r="D12150" s="69" t="s">
        <v>29418</v>
      </c>
      <c r="E12150" s="51"/>
      <c r="F12150" s="114" t="str">
        <f>IF(INDEX(I.Facility.P2bIDNumber,2138)="","",INDEX(I.Facility.P2bIDNumber,2138))</f>
        <v/>
      </c>
      <c r="G12150" s="51"/>
      <c r="H12150" s="46" t="str">
        <f>IF(AND(I.Developer.P2b=TRUE,I.Facility.P2bFacilityCount&gt;=2138,F12150=""),"Incomplete","Complete")</f>
        <v>Complete</v>
      </c>
      <c r="I12150" s="48" t="s">
        <v>16515</v>
      </c>
    </row>
    <row r="12151" spans="2:9" ht="15" customHeight="1" x14ac:dyDescent="0.25">
      <c r="B12151" s="55" t="s">
        <v>281</v>
      </c>
      <c r="C12151" s="46">
        <v>2139</v>
      </c>
      <c r="D12151" s="69" t="s">
        <v>29418</v>
      </c>
      <c r="E12151" s="51"/>
      <c r="F12151" s="114" t="str">
        <f>IF(INDEX(I.Facility.P2bIDNumber,2139)="","",INDEX(I.Facility.P2bIDNumber,2139))</f>
        <v/>
      </c>
      <c r="G12151" s="51"/>
      <c r="H12151" s="46" t="str">
        <f>IF(AND(I.Developer.P2b=TRUE,I.Facility.P2bFacilityCount&gt;=2139,F12151=""),"Incomplete","Complete")</f>
        <v>Complete</v>
      </c>
      <c r="I12151" s="48" t="s">
        <v>16516</v>
      </c>
    </row>
    <row r="12152" spans="2:9" ht="15" customHeight="1" x14ac:dyDescent="0.25">
      <c r="B12152" s="55" t="s">
        <v>281</v>
      </c>
      <c r="C12152" s="46">
        <v>2140</v>
      </c>
      <c r="D12152" s="69" t="s">
        <v>29418</v>
      </c>
      <c r="E12152" s="51"/>
      <c r="F12152" s="114" t="str">
        <f>IF(INDEX(I.Facility.P2bIDNumber,2140)="","",INDEX(I.Facility.P2bIDNumber,2140))</f>
        <v/>
      </c>
      <c r="G12152" s="51"/>
      <c r="H12152" s="46" t="str">
        <f>IF(AND(I.Developer.P2b=TRUE,I.Facility.P2bFacilityCount&gt;=2140,F12152=""),"Incomplete","Complete")</f>
        <v>Complete</v>
      </c>
      <c r="I12152" s="48" t="s">
        <v>16517</v>
      </c>
    </row>
    <row r="12153" spans="2:9" ht="15" customHeight="1" x14ac:dyDescent="0.25">
      <c r="B12153" s="55" t="s">
        <v>281</v>
      </c>
      <c r="C12153" s="46">
        <v>2141</v>
      </c>
      <c r="D12153" s="69" t="s">
        <v>29418</v>
      </c>
      <c r="E12153" s="51"/>
      <c r="F12153" s="114" t="str">
        <f>IF(INDEX(I.Facility.P2bIDNumber,2141)="","",INDEX(I.Facility.P2bIDNumber,2141))</f>
        <v/>
      </c>
      <c r="G12153" s="51"/>
      <c r="H12153" s="46" t="str">
        <f>IF(AND(I.Developer.P2b=TRUE,I.Facility.P2bFacilityCount&gt;=2141,F12153=""),"Incomplete","Complete")</f>
        <v>Complete</v>
      </c>
      <c r="I12153" s="48" t="s">
        <v>16518</v>
      </c>
    </row>
    <row r="12154" spans="2:9" ht="15" customHeight="1" x14ac:dyDescent="0.25">
      <c r="B12154" s="55" t="s">
        <v>281</v>
      </c>
      <c r="C12154" s="46">
        <v>2142</v>
      </c>
      <c r="D12154" s="69" t="s">
        <v>29418</v>
      </c>
      <c r="E12154" s="51"/>
      <c r="F12154" s="114" t="str">
        <f>IF(INDEX(I.Facility.P2bIDNumber,2142)="","",INDEX(I.Facility.P2bIDNumber,2142))</f>
        <v/>
      </c>
      <c r="G12154" s="51"/>
      <c r="H12154" s="46" t="str">
        <f>IF(AND(I.Developer.P2b=TRUE,I.Facility.P2bFacilityCount&gt;=2142,F12154=""),"Incomplete","Complete")</f>
        <v>Complete</v>
      </c>
      <c r="I12154" s="48" t="s">
        <v>16519</v>
      </c>
    </row>
    <row r="12155" spans="2:9" ht="15" customHeight="1" x14ac:dyDescent="0.25">
      <c r="B12155" s="55" t="s">
        <v>281</v>
      </c>
      <c r="C12155" s="46">
        <v>2143</v>
      </c>
      <c r="D12155" s="69" t="s">
        <v>29418</v>
      </c>
      <c r="E12155" s="51"/>
      <c r="F12155" s="114" t="str">
        <f>IF(INDEX(I.Facility.P2bIDNumber,2143)="","",INDEX(I.Facility.P2bIDNumber,2143))</f>
        <v/>
      </c>
      <c r="G12155" s="51"/>
      <c r="H12155" s="46" t="str">
        <f>IF(AND(I.Developer.P2b=TRUE,I.Facility.P2bFacilityCount&gt;=2143,F12155=""),"Incomplete","Complete")</f>
        <v>Complete</v>
      </c>
      <c r="I12155" s="48" t="s">
        <v>16520</v>
      </c>
    </row>
    <row r="12156" spans="2:9" ht="15" customHeight="1" x14ac:dyDescent="0.25">
      <c r="B12156" s="55" t="s">
        <v>281</v>
      </c>
      <c r="C12156" s="46">
        <v>2144</v>
      </c>
      <c r="D12156" s="69" t="s">
        <v>29418</v>
      </c>
      <c r="E12156" s="51"/>
      <c r="F12156" s="114" t="str">
        <f>IF(INDEX(I.Facility.P2bIDNumber,2144)="","",INDEX(I.Facility.P2bIDNumber,2144))</f>
        <v/>
      </c>
      <c r="G12156" s="51"/>
      <c r="H12156" s="46" t="str">
        <f>IF(AND(I.Developer.P2b=TRUE,I.Facility.P2bFacilityCount&gt;=2144,F12156=""),"Incomplete","Complete")</f>
        <v>Complete</v>
      </c>
      <c r="I12156" s="48" t="s">
        <v>16521</v>
      </c>
    </row>
    <row r="12157" spans="2:9" ht="15" customHeight="1" x14ac:dyDescent="0.25">
      <c r="B12157" s="55" t="s">
        <v>281</v>
      </c>
      <c r="C12157" s="46">
        <v>2145</v>
      </c>
      <c r="D12157" s="69" t="s">
        <v>29418</v>
      </c>
      <c r="E12157" s="51"/>
      <c r="F12157" s="114" t="str">
        <f>IF(INDEX(I.Facility.P2bIDNumber,2145)="","",INDEX(I.Facility.P2bIDNumber,2145))</f>
        <v/>
      </c>
      <c r="G12157" s="51"/>
      <c r="H12157" s="46" t="str">
        <f>IF(AND(I.Developer.P2b=TRUE,I.Facility.P2bFacilityCount&gt;=2145,F12157=""),"Incomplete","Complete")</f>
        <v>Complete</v>
      </c>
      <c r="I12157" s="48" t="s">
        <v>16522</v>
      </c>
    </row>
    <row r="12158" spans="2:9" ht="15" customHeight="1" x14ac:dyDescent="0.25">
      <c r="B12158" s="55" t="s">
        <v>281</v>
      </c>
      <c r="C12158" s="46">
        <v>2146</v>
      </c>
      <c r="D12158" s="69" t="s">
        <v>29418</v>
      </c>
      <c r="E12158" s="51"/>
      <c r="F12158" s="114" t="str">
        <f>IF(INDEX(I.Facility.P2bIDNumber,2146)="","",INDEX(I.Facility.P2bIDNumber,2146))</f>
        <v/>
      </c>
      <c r="G12158" s="51"/>
      <c r="H12158" s="46" t="str">
        <f>IF(AND(I.Developer.P2b=TRUE,I.Facility.P2bFacilityCount&gt;=2146,F12158=""),"Incomplete","Complete")</f>
        <v>Complete</v>
      </c>
      <c r="I12158" s="48" t="s">
        <v>16523</v>
      </c>
    </row>
    <row r="12159" spans="2:9" ht="15" customHeight="1" x14ac:dyDescent="0.25">
      <c r="B12159" s="55" t="s">
        <v>281</v>
      </c>
      <c r="C12159" s="46">
        <v>2147</v>
      </c>
      <c r="D12159" s="69" t="s">
        <v>29418</v>
      </c>
      <c r="E12159" s="51"/>
      <c r="F12159" s="114" t="str">
        <f>IF(INDEX(I.Facility.P2bIDNumber,2147)="","",INDEX(I.Facility.P2bIDNumber,2147))</f>
        <v/>
      </c>
      <c r="G12159" s="51"/>
      <c r="H12159" s="46" t="str">
        <f>IF(AND(I.Developer.P2b=TRUE,I.Facility.P2bFacilityCount&gt;=2147,F12159=""),"Incomplete","Complete")</f>
        <v>Complete</v>
      </c>
      <c r="I12159" s="48" t="s">
        <v>16524</v>
      </c>
    </row>
    <row r="12160" spans="2:9" ht="15" customHeight="1" x14ac:dyDescent="0.25">
      <c r="B12160" s="55" t="s">
        <v>281</v>
      </c>
      <c r="C12160" s="46">
        <v>2148</v>
      </c>
      <c r="D12160" s="69" t="s">
        <v>29418</v>
      </c>
      <c r="E12160" s="51"/>
      <c r="F12160" s="114" t="str">
        <f>IF(INDEX(I.Facility.P2bIDNumber,2148)="","",INDEX(I.Facility.P2bIDNumber,2148))</f>
        <v/>
      </c>
      <c r="G12160" s="51"/>
      <c r="H12160" s="46" t="str">
        <f>IF(AND(I.Developer.P2b=TRUE,I.Facility.P2bFacilityCount&gt;=2148,F12160=""),"Incomplete","Complete")</f>
        <v>Complete</v>
      </c>
      <c r="I12160" s="48" t="s">
        <v>16525</v>
      </c>
    </row>
    <row r="12161" spans="2:9" ht="15" customHeight="1" x14ac:dyDescent="0.25">
      <c r="B12161" s="55" t="s">
        <v>281</v>
      </c>
      <c r="C12161" s="46">
        <v>2149</v>
      </c>
      <c r="D12161" s="69" t="s">
        <v>29418</v>
      </c>
      <c r="E12161" s="51"/>
      <c r="F12161" s="114" t="str">
        <f>IF(INDEX(I.Facility.P2bIDNumber,2149)="","",INDEX(I.Facility.P2bIDNumber,2149))</f>
        <v/>
      </c>
      <c r="G12161" s="51"/>
      <c r="H12161" s="46" t="str">
        <f>IF(AND(I.Developer.P2b=TRUE,I.Facility.P2bFacilityCount&gt;=2149,F12161=""),"Incomplete","Complete")</f>
        <v>Complete</v>
      </c>
      <c r="I12161" s="48" t="s">
        <v>16526</v>
      </c>
    </row>
    <row r="12162" spans="2:9" ht="15" customHeight="1" x14ac:dyDescent="0.25">
      <c r="B12162" s="55" t="s">
        <v>281</v>
      </c>
      <c r="C12162" s="46">
        <v>2150</v>
      </c>
      <c r="D12162" s="69" t="s">
        <v>29418</v>
      </c>
      <c r="E12162" s="51"/>
      <c r="F12162" s="114" t="str">
        <f>IF(INDEX(I.Facility.P2bIDNumber,2150)="","",INDEX(I.Facility.P2bIDNumber,2150))</f>
        <v/>
      </c>
      <c r="G12162" s="51"/>
      <c r="H12162" s="46" t="str">
        <f>IF(AND(I.Developer.P2b=TRUE,I.Facility.P2bFacilityCount&gt;=2150,F12162=""),"Incomplete","Complete")</f>
        <v>Complete</v>
      </c>
      <c r="I12162" s="48" t="s">
        <v>16527</v>
      </c>
    </row>
    <row r="12163" spans="2:9" ht="15" customHeight="1" x14ac:dyDescent="0.25">
      <c r="B12163" s="55" t="s">
        <v>281</v>
      </c>
      <c r="C12163" s="46">
        <v>2151</v>
      </c>
      <c r="D12163" s="69" t="s">
        <v>29418</v>
      </c>
      <c r="E12163" s="51"/>
      <c r="F12163" s="114" t="str">
        <f>IF(INDEX(I.Facility.P2bIDNumber,2151)="","",INDEX(I.Facility.P2bIDNumber,2151))</f>
        <v/>
      </c>
      <c r="G12163" s="51"/>
      <c r="H12163" s="46" t="str">
        <f>IF(AND(I.Developer.P2b=TRUE,I.Facility.P2bFacilityCount&gt;=2151,F12163=""),"Incomplete","Complete")</f>
        <v>Complete</v>
      </c>
      <c r="I12163" s="48" t="s">
        <v>16528</v>
      </c>
    </row>
    <row r="12164" spans="2:9" ht="15" customHeight="1" x14ac:dyDescent="0.25">
      <c r="B12164" s="55" t="s">
        <v>281</v>
      </c>
      <c r="C12164" s="46">
        <v>2152</v>
      </c>
      <c r="D12164" s="69" t="s">
        <v>29418</v>
      </c>
      <c r="E12164" s="51"/>
      <c r="F12164" s="114" t="str">
        <f>IF(INDEX(I.Facility.P2bIDNumber,2152)="","",INDEX(I.Facility.P2bIDNumber,2152))</f>
        <v/>
      </c>
      <c r="G12164" s="51"/>
      <c r="H12164" s="46" t="str">
        <f>IF(AND(I.Developer.P2b=TRUE,I.Facility.P2bFacilityCount&gt;=2152,F12164=""),"Incomplete","Complete")</f>
        <v>Complete</v>
      </c>
      <c r="I12164" s="48" t="s">
        <v>16529</v>
      </c>
    </row>
    <row r="12165" spans="2:9" ht="15" customHeight="1" x14ac:dyDescent="0.25">
      <c r="B12165" s="55" t="s">
        <v>281</v>
      </c>
      <c r="C12165" s="46">
        <v>2153</v>
      </c>
      <c r="D12165" s="69" t="s">
        <v>29418</v>
      </c>
      <c r="E12165" s="51"/>
      <c r="F12165" s="114" t="str">
        <f>IF(INDEX(I.Facility.P2bIDNumber,2153)="","",INDEX(I.Facility.P2bIDNumber,2153))</f>
        <v/>
      </c>
      <c r="G12165" s="51"/>
      <c r="H12165" s="46" t="str">
        <f>IF(AND(I.Developer.P2b=TRUE,I.Facility.P2bFacilityCount&gt;=2153,F12165=""),"Incomplete","Complete")</f>
        <v>Complete</v>
      </c>
      <c r="I12165" s="48" t="s">
        <v>16530</v>
      </c>
    </row>
    <row r="12166" spans="2:9" ht="15" customHeight="1" x14ac:dyDescent="0.25">
      <c r="B12166" s="55" t="s">
        <v>281</v>
      </c>
      <c r="C12166" s="46">
        <v>2154</v>
      </c>
      <c r="D12166" s="69" t="s">
        <v>29418</v>
      </c>
      <c r="E12166" s="51"/>
      <c r="F12166" s="114" t="str">
        <f>IF(INDEX(I.Facility.P2bIDNumber,2154)="","",INDEX(I.Facility.P2bIDNumber,2154))</f>
        <v/>
      </c>
      <c r="G12166" s="51"/>
      <c r="H12166" s="46" t="str">
        <f>IF(AND(I.Developer.P2b=TRUE,I.Facility.P2bFacilityCount&gt;=2154,F12166=""),"Incomplete","Complete")</f>
        <v>Complete</v>
      </c>
      <c r="I12166" s="48" t="s">
        <v>16531</v>
      </c>
    </row>
    <row r="12167" spans="2:9" ht="15" customHeight="1" x14ac:dyDescent="0.25">
      <c r="B12167" s="55" t="s">
        <v>281</v>
      </c>
      <c r="C12167" s="46">
        <v>2155</v>
      </c>
      <c r="D12167" s="69" t="s">
        <v>29418</v>
      </c>
      <c r="E12167" s="51"/>
      <c r="F12167" s="114" t="str">
        <f>IF(INDEX(I.Facility.P2bIDNumber,2155)="","",INDEX(I.Facility.P2bIDNumber,2155))</f>
        <v/>
      </c>
      <c r="G12167" s="51"/>
      <c r="H12167" s="46" t="str">
        <f>IF(AND(I.Developer.P2b=TRUE,I.Facility.P2bFacilityCount&gt;=2155,F12167=""),"Incomplete","Complete")</f>
        <v>Complete</v>
      </c>
      <c r="I12167" s="48" t="s">
        <v>16532</v>
      </c>
    </row>
    <row r="12168" spans="2:9" ht="15" customHeight="1" x14ac:dyDescent="0.25">
      <c r="B12168" s="55" t="s">
        <v>281</v>
      </c>
      <c r="C12168" s="46">
        <v>2156</v>
      </c>
      <c r="D12168" s="69" t="s">
        <v>29418</v>
      </c>
      <c r="E12168" s="51"/>
      <c r="F12168" s="114" t="str">
        <f>IF(INDEX(I.Facility.P2bIDNumber,2156)="","",INDEX(I.Facility.P2bIDNumber,2156))</f>
        <v/>
      </c>
      <c r="G12168" s="51"/>
      <c r="H12168" s="46" t="str">
        <f>IF(AND(I.Developer.P2b=TRUE,I.Facility.P2bFacilityCount&gt;=2156,F12168=""),"Incomplete","Complete")</f>
        <v>Complete</v>
      </c>
      <c r="I12168" s="48" t="s">
        <v>16533</v>
      </c>
    </row>
    <row r="12169" spans="2:9" ht="15" customHeight="1" x14ac:dyDescent="0.25">
      <c r="B12169" s="55" t="s">
        <v>281</v>
      </c>
      <c r="C12169" s="46">
        <v>2157</v>
      </c>
      <c r="D12169" s="69" t="s">
        <v>29418</v>
      </c>
      <c r="E12169" s="51"/>
      <c r="F12169" s="114" t="str">
        <f>IF(INDEX(I.Facility.P2bIDNumber,2157)="","",INDEX(I.Facility.P2bIDNumber,2157))</f>
        <v/>
      </c>
      <c r="G12169" s="51"/>
      <c r="H12169" s="46" t="str">
        <f>IF(AND(I.Developer.P2b=TRUE,I.Facility.P2bFacilityCount&gt;=2157,F12169=""),"Incomplete","Complete")</f>
        <v>Complete</v>
      </c>
      <c r="I12169" s="48" t="s">
        <v>16534</v>
      </c>
    </row>
    <row r="12170" spans="2:9" ht="15" customHeight="1" x14ac:dyDescent="0.25">
      <c r="B12170" s="55" t="s">
        <v>281</v>
      </c>
      <c r="C12170" s="46">
        <v>2158</v>
      </c>
      <c r="D12170" s="69" t="s">
        <v>29418</v>
      </c>
      <c r="E12170" s="51"/>
      <c r="F12170" s="114" t="str">
        <f>IF(INDEX(I.Facility.P2bIDNumber,2158)="","",INDEX(I.Facility.P2bIDNumber,2158))</f>
        <v/>
      </c>
      <c r="G12170" s="51"/>
      <c r="H12170" s="46" t="str">
        <f>IF(AND(I.Developer.P2b=TRUE,I.Facility.P2bFacilityCount&gt;=2158,F12170=""),"Incomplete","Complete")</f>
        <v>Complete</v>
      </c>
      <c r="I12170" s="48" t="s">
        <v>16535</v>
      </c>
    </row>
    <row r="12171" spans="2:9" ht="15" customHeight="1" x14ac:dyDescent="0.25">
      <c r="B12171" s="55" t="s">
        <v>281</v>
      </c>
      <c r="C12171" s="46">
        <v>2159</v>
      </c>
      <c r="D12171" s="69" t="s">
        <v>29418</v>
      </c>
      <c r="E12171" s="51"/>
      <c r="F12171" s="114" t="str">
        <f>IF(INDEX(I.Facility.P2bIDNumber,2159)="","",INDEX(I.Facility.P2bIDNumber,2159))</f>
        <v/>
      </c>
      <c r="G12171" s="51"/>
      <c r="H12171" s="46" t="str">
        <f>IF(AND(I.Developer.P2b=TRUE,I.Facility.P2bFacilityCount&gt;=2159,F12171=""),"Incomplete","Complete")</f>
        <v>Complete</v>
      </c>
      <c r="I12171" s="48" t="s">
        <v>16536</v>
      </c>
    </row>
    <row r="12172" spans="2:9" ht="15" customHeight="1" x14ac:dyDescent="0.25">
      <c r="B12172" s="55" t="s">
        <v>281</v>
      </c>
      <c r="C12172" s="46">
        <v>2160</v>
      </c>
      <c r="D12172" s="69" t="s">
        <v>29418</v>
      </c>
      <c r="E12172" s="51"/>
      <c r="F12172" s="114" t="str">
        <f>IF(INDEX(I.Facility.P2bIDNumber,2160)="","",INDEX(I.Facility.P2bIDNumber,2160))</f>
        <v/>
      </c>
      <c r="G12172" s="51"/>
      <c r="H12172" s="46" t="str">
        <f>IF(AND(I.Developer.P2b=TRUE,I.Facility.P2bFacilityCount&gt;=2160,F12172=""),"Incomplete","Complete")</f>
        <v>Complete</v>
      </c>
      <c r="I12172" s="48" t="s">
        <v>16537</v>
      </c>
    </row>
    <row r="12173" spans="2:9" ht="15" customHeight="1" x14ac:dyDescent="0.25">
      <c r="B12173" s="55" t="s">
        <v>281</v>
      </c>
      <c r="C12173" s="46">
        <v>2161</v>
      </c>
      <c r="D12173" s="69" t="s">
        <v>29418</v>
      </c>
      <c r="E12173" s="51"/>
      <c r="F12173" s="114" t="str">
        <f>IF(INDEX(I.Facility.P2bIDNumber,2161)="","",INDEX(I.Facility.P2bIDNumber,2161))</f>
        <v/>
      </c>
      <c r="G12173" s="51"/>
      <c r="H12173" s="46" t="str">
        <f>IF(AND(I.Developer.P2b=TRUE,I.Facility.P2bFacilityCount&gt;=2161,F12173=""),"Incomplete","Complete")</f>
        <v>Complete</v>
      </c>
      <c r="I12173" s="48" t="s">
        <v>16538</v>
      </c>
    </row>
    <row r="12174" spans="2:9" ht="15" customHeight="1" x14ac:dyDescent="0.25">
      <c r="B12174" s="55" t="s">
        <v>281</v>
      </c>
      <c r="C12174" s="46">
        <v>2162</v>
      </c>
      <c r="D12174" s="69" t="s">
        <v>29418</v>
      </c>
      <c r="E12174" s="51"/>
      <c r="F12174" s="114" t="str">
        <f>IF(INDEX(I.Facility.P2bIDNumber,2162)="","",INDEX(I.Facility.P2bIDNumber,2162))</f>
        <v/>
      </c>
      <c r="G12174" s="51"/>
      <c r="H12174" s="46" t="str">
        <f>IF(AND(I.Developer.P2b=TRUE,I.Facility.P2bFacilityCount&gt;=2162,F12174=""),"Incomplete","Complete")</f>
        <v>Complete</v>
      </c>
      <c r="I12174" s="48" t="s">
        <v>16539</v>
      </c>
    </row>
    <row r="12175" spans="2:9" ht="15" customHeight="1" x14ac:dyDescent="0.25">
      <c r="B12175" s="55" t="s">
        <v>281</v>
      </c>
      <c r="C12175" s="46">
        <v>2163</v>
      </c>
      <c r="D12175" s="69" t="s">
        <v>29418</v>
      </c>
      <c r="E12175" s="51"/>
      <c r="F12175" s="114" t="str">
        <f>IF(INDEX(I.Facility.P2bIDNumber,2163)="","",INDEX(I.Facility.P2bIDNumber,2163))</f>
        <v/>
      </c>
      <c r="G12175" s="51"/>
      <c r="H12175" s="46" t="str">
        <f>IF(AND(I.Developer.P2b=TRUE,I.Facility.P2bFacilityCount&gt;=2163,F12175=""),"Incomplete","Complete")</f>
        <v>Complete</v>
      </c>
      <c r="I12175" s="48" t="s">
        <v>16540</v>
      </c>
    </row>
    <row r="12176" spans="2:9" ht="15" customHeight="1" x14ac:dyDescent="0.25">
      <c r="B12176" s="55" t="s">
        <v>281</v>
      </c>
      <c r="C12176" s="46">
        <v>2164</v>
      </c>
      <c r="D12176" s="69" t="s">
        <v>29418</v>
      </c>
      <c r="E12176" s="51"/>
      <c r="F12176" s="114" t="str">
        <f>IF(INDEX(I.Facility.P2bIDNumber,2164)="","",INDEX(I.Facility.P2bIDNumber,2164))</f>
        <v/>
      </c>
      <c r="G12176" s="51"/>
      <c r="H12176" s="46" t="str">
        <f>IF(AND(I.Developer.P2b=TRUE,I.Facility.P2bFacilityCount&gt;=2164,F12176=""),"Incomplete","Complete")</f>
        <v>Complete</v>
      </c>
      <c r="I12176" s="48" t="s">
        <v>16541</v>
      </c>
    </row>
    <row r="12177" spans="2:9" ht="15" customHeight="1" x14ac:dyDescent="0.25">
      <c r="B12177" s="55" t="s">
        <v>281</v>
      </c>
      <c r="C12177" s="46">
        <v>2165</v>
      </c>
      <c r="D12177" s="69" t="s">
        <v>29418</v>
      </c>
      <c r="E12177" s="51"/>
      <c r="F12177" s="114" t="str">
        <f>IF(INDEX(I.Facility.P2bIDNumber,2165)="","",INDEX(I.Facility.P2bIDNumber,2165))</f>
        <v/>
      </c>
      <c r="G12177" s="51"/>
      <c r="H12177" s="46" t="str">
        <f>IF(AND(I.Developer.P2b=TRUE,I.Facility.P2bFacilityCount&gt;=2165,F12177=""),"Incomplete","Complete")</f>
        <v>Complete</v>
      </c>
      <c r="I12177" s="48" t="s">
        <v>16542</v>
      </c>
    </row>
    <row r="12178" spans="2:9" ht="15" customHeight="1" x14ac:dyDescent="0.25">
      <c r="B12178" s="55" t="s">
        <v>281</v>
      </c>
      <c r="C12178" s="46">
        <v>2166</v>
      </c>
      <c r="D12178" s="69" t="s">
        <v>29418</v>
      </c>
      <c r="E12178" s="51"/>
      <c r="F12178" s="114" t="str">
        <f>IF(INDEX(I.Facility.P2bIDNumber,2166)="","",INDEX(I.Facility.P2bIDNumber,2166))</f>
        <v/>
      </c>
      <c r="G12178" s="51"/>
      <c r="H12178" s="46" t="str">
        <f>IF(AND(I.Developer.P2b=TRUE,I.Facility.P2bFacilityCount&gt;=2166,F12178=""),"Incomplete","Complete")</f>
        <v>Complete</v>
      </c>
      <c r="I12178" s="48" t="s">
        <v>16543</v>
      </c>
    </row>
    <row r="12179" spans="2:9" ht="15" customHeight="1" x14ac:dyDescent="0.25">
      <c r="B12179" s="55" t="s">
        <v>281</v>
      </c>
      <c r="C12179" s="46">
        <v>2167</v>
      </c>
      <c r="D12179" s="69" t="s">
        <v>29418</v>
      </c>
      <c r="E12179" s="51"/>
      <c r="F12179" s="114" t="str">
        <f>IF(INDEX(I.Facility.P2bIDNumber,2167)="","",INDEX(I.Facility.P2bIDNumber,2167))</f>
        <v/>
      </c>
      <c r="G12179" s="51"/>
      <c r="H12179" s="46" t="str">
        <f>IF(AND(I.Developer.P2b=TRUE,I.Facility.P2bFacilityCount&gt;=2167,F12179=""),"Incomplete","Complete")</f>
        <v>Complete</v>
      </c>
      <c r="I12179" s="48" t="s">
        <v>16544</v>
      </c>
    </row>
    <row r="12180" spans="2:9" ht="15" customHeight="1" x14ac:dyDescent="0.25">
      <c r="B12180" s="55" t="s">
        <v>281</v>
      </c>
      <c r="C12180" s="46">
        <v>2168</v>
      </c>
      <c r="D12180" s="69" t="s">
        <v>29418</v>
      </c>
      <c r="E12180" s="51"/>
      <c r="F12180" s="114" t="str">
        <f>IF(INDEX(I.Facility.P2bIDNumber,2168)="","",INDEX(I.Facility.P2bIDNumber,2168))</f>
        <v/>
      </c>
      <c r="G12180" s="51"/>
      <c r="H12180" s="46" t="str">
        <f>IF(AND(I.Developer.P2b=TRUE,I.Facility.P2bFacilityCount&gt;=2168,F12180=""),"Incomplete","Complete")</f>
        <v>Complete</v>
      </c>
      <c r="I12180" s="48" t="s">
        <v>16545</v>
      </c>
    </row>
    <row r="12181" spans="2:9" ht="15" customHeight="1" x14ac:dyDescent="0.25">
      <c r="B12181" s="55" t="s">
        <v>281</v>
      </c>
      <c r="C12181" s="46">
        <v>2169</v>
      </c>
      <c r="D12181" s="69" t="s">
        <v>29418</v>
      </c>
      <c r="E12181" s="51"/>
      <c r="F12181" s="114" t="str">
        <f>IF(INDEX(I.Facility.P2bIDNumber,2169)="","",INDEX(I.Facility.P2bIDNumber,2169))</f>
        <v/>
      </c>
      <c r="G12181" s="51"/>
      <c r="H12181" s="46" t="str">
        <f>IF(AND(I.Developer.P2b=TRUE,I.Facility.P2bFacilityCount&gt;=2169,F12181=""),"Incomplete","Complete")</f>
        <v>Complete</v>
      </c>
      <c r="I12181" s="48" t="s">
        <v>16546</v>
      </c>
    </row>
    <row r="12182" spans="2:9" ht="15" customHeight="1" x14ac:dyDescent="0.25">
      <c r="B12182" s="55" t="s">
        <v>281</v>
      </c>
      <c r="C12182" s="46">
        <v>2170</v>
      </c>
      <c r="D12182" s="69" t="s">
        <v>29418</v>
      </c>
      <c r="E12182" s="51"/>
      <c r="F12182" s="114" t="str">
        <f>IF(INDEX(I.Facility.P2bIDNumber,2170)="","",INDEX(I.Facility.P2bIDNumber,2170))</f>
        <v/>
      </c>
      <c r="G12182" s="51"/>
      <c r="H12182" s="46" t="str">
        <f>IF(AND(I.Developer.P2b=TRUE,I.Facility.P2bFacilityCount&gt;=2170,F12182=""),"Incomplete","Complete")</f>
        <v>Complete</v>
      </c>
      <c r="I12182" s="48" t="s">
        <v>16547</v>
      </c>
    </row>
    <row r="12183" spans="2:9" ht="15" customHeight="1" x14ac:dyDescent="0.25">
      <c r="B12183" s="55" t="s">
        <v>281</v>
      </c>
      <c r="C12183" s="46">
        <v>2171</v>
      </c>
      <c r="D12183" s="69" t="s">
        <v>29418</v>
      </c>
      <c r="E12183" s="51"/>
      <c r="F12183" s="114" t="str">
        <f>IF(INDEX(I.Facility.P2bIDNumber,2171)="","",INDEX(I.Facility.P2bIDNumber,2171))</f>
        <v/>
      </c>
      <c r="G12183" s="51"/>
      <c r="H12183" s="46" t="str">
        <f>IF(AND(I.Developer.P2b=TRUE,I.Facility.P2bFacilityCount&gt;=2171,F12183=""),"Incomplete","Complete")</f>
        <v>Complete</v>
      </c>
      <c r="I12183" s="48" t="s">
        <v>16548</v>
      </c>
    </row>
    <row r="12184" spans="2:9" ht="15" customHeight="1" x14ac:dyDescent="0.25">
      <c r="B12184" s="55" t="s">
        <v>281</v>
      </c>
      <c r="C12184" s="46">
        <v>2172</v>
      </c>
      <c r="D12184" s="69" t="s">
        <v>29418</v>
      </c>
      <c r="E12184" s="51"/>
      <c r="F12184" s="114" t="str">
        <f>IF(INDEX(I.Facility.P2bIDNumber,2172)="","",INDEX(I.Facility.P2bIDNumber,2172))</f>
        <v/>
      </c>
      <c r="G12184" s="51"/>
      <c r="H12184" s="46" t="str">
        <f>IF(AND(I.Developer.P2b=TRUE,I.Facility.P2bFacilityCount&gt;=2172,F12184=""),"Incomplete","Complete")</f>
        <v>Complete</v>
      </c>
      <c r="I12184" s="48" t="s">
        <v>16549</v>
      </c>
    </row>
    <row r="12185" spans="2:9" ht="15" customHeight="1" x14ac:dyDescent="0.25">
      <c r="B12185" s="55" t="s">
        <v>281</v>
      </c>
      <c r="C12185" s="46">
        <v>2173</v>
      </c>
      <c r="D12185" s="69" t="s">
        <v>29418</v>
      </c>
      <c r="E12185" s="51"/>
      <c r="F12185" s="114" t="str">
        <f>IF(INDEX(I.Facility.P2bIDNumber,2173)="","",INDEX(I.Facility.P2bIDNumber,2173))</f>
        <v/>
      </c>
      <c r="G12185" s="51"/>
      <c r="H12185" s="46" t="str">
        <f>IF(AND(I.Developer.P2b=TRUE,I.Facility.P2bFacilityCount&gt;=2173,F12185=""),"Incomplete","Complete")</f>
        <v>Complete</v>
      </c>
      <c r="I12185" s="48" t="s">
        <v>16550</v>
      </c>
    </row>
    <row r="12186" spans="2:9" ht="15" customHeight="1" x14ac:dyDescent="0.25">
      <c r="B12186" s="55" t="s">
        <v>281</v>
      </c>
      <c r="C12186" s="46">
        <v>2174</v>
      </c>
      <c r="D12186" s="69" t="s">
        <v>29418</v>
      </c>
      <c r="E12186" s="51"/>
      <c r="F12186" s="114" t="str">
        <f>IF(INDEX(I.Facility.P2bIDNumber,2174)="","",INDEX(I.Facility.P2bIDNumber,2174))</f>
        <v/>
      </c>
      <c r="G12186" s="51"/>
      <c r="H12186" s="46" t="str">
        <f>IF(AND(I.Developer.P2b=TRUE,I.Facility.P2bFacilityCount&gt;=2174,F12186=""),"Incomplete","Complete")</f>
        <v>Complete</v>
      </c>
      <c r="I12186" s="48" t="s">
        <v>16551</v>
      </c>
    </row>
    <row r="12187" spans="2:9" ht="15" customHeight="1" x14ac:dyDescent="0.25">
      <c r="B12187" s="55" t="s">
        <v>281</v>
      </c>
      <c r="C12187" s="46">
        <v>2175</v>
      </c>
      <c r="D12187" s="69" t="s">
        <v>29418</v>
      </c>
      <c r="E12187" s="51"/>
      <c r="F12187" s="114" t="str">
        <f>IF(INDEX(I.Facility.P2bIDNumber,2175)="","",INDEX(I.Facility.P2bIDNumber,2175))</f>
        <v/>
      </c>
      <c r="G12187" s="51"/>
      <c r="H12187" s="46" t="str">
        <f>IF(AND(I.Developer.P2b=TRUE,I.Facility.P2bFacilityCount&gt;=2175,F12187=""),"Incomplete","Complete")</f>
        <v>Complete</v>
      </c>
      <c r="I12187" s="48" t="s">
        <v>16552</v>
      </c>
    </row>
    <row r="12188" spans="2:9" ht="15" customHeight="1" x14ac:dyDescent="0.25">
      <c r="B12188" s="55" t="s">
        <v>281</v>
      </c>
      <c r="C12188" s="46">
        <v>2176</v>
      </c>
      <c r="D12188" s="69" t="s">
        <v>29418</v>
      </c>
      <c r="E12188" s="51"/>
      <c r="F12188" s="114" t="str">
        <f>IF(INDEX(I.Facility.P2bIDNumber,2176)="","",INDEX(I.Facility.P2bIDNumber,2176))</f>
        <v/>
      </c>
      <c r="G12188" s="51"/>
      <c r="H12188" s="46" t="str">
        <f>IF(AND(I.Developer.P2b=TRUE,I.Facility.P2bFacilityCount&gt;=2176,F12188=""),"Incomplete","Complete")</f>
        <v>Complete</v>
      </c>
      <c r="I12188" s="48" t="s">
        <v>16553</v>
      </c>
    </row>
    <row r="12189" spans="2:9" ht="15" customHeight="1" x14ac:dyDescent="0.25">
      <c r="B12189" s="55" t="s">
        <v>281</v>
      </c>
      <c r="C12189" s="46">
        <v>2177</v>
      </c>
      <c r="D12189" s="69" t="s">
        <v>29418</v>
      </c>
      <c r="E12189" s="51"/>
      <c r="F12189" s="114" t="str">
        <f>IF(INDEX(I.Facility.P2bIDNumber,2177)="","",INDEX(I.Facility.P2bIDNumber,2177))</f>
        <v/>
      </c>
      <c r="G12189" s="51"/>
      <c r="H12189" s="46" t="str">
        <f>IF(AND(I.Developer.P2b=TRUE,I.Facility.P2bFacilityCount&gt;=2177,F12189=""),"Incomplete","Complete")</f>
        <v>Complete</v>
      </c>
      <c r="I12189" s="48" t="s">
        <v>16554</v>
      </c>
    </row>
    <row r="12190" spans="2:9" ht="15" customHeight="1" x14ac:dyDescent="0.25">
      <c r="B12190" s="55" t="s">
        <v>281</v>
      </c>
      <c r="C12190" s="46">
        <v>2178</v>
      </c>
      <c r="D12190" s="69" t="s">
        <v>29418</v>
      </c>
      <c r="E12190" s="51"/>
      <c r="F12190" s="114" t="str">
        <f>IF(INDEX(I.Facility.P2bIDNumber,2178)="","",INDEX(I.Facility.P2bIDNumber,2178))</f>
        <v/>
      </c>
      <c r="G12190" s="51"/>
      <c r="H12190" s="46" t="str">
        <f>IF(AND(I.Developer.P2b=TRUE,I.Facility.P2bFacilityCount&gt;=2178,F12190=""),"Incomplete","Complete")</f>
        <v>Complete</v>
      </c>
      <c r="I12190" s="48" t="s">
        <v>16555</v>
      </c>
    </row>
    <row r="12191" spans="2:9" ht="15" customHeight="1" x14ac:dyDescent="0.25">
      <c r="B12191" s="55" t="s">
        <v>281</v>
      </c>
      <c r="C12191" s="46">
        <v>2179</v>
      </c>
      <c r="D12191" s="69" t="s">
        <v>29418</v>
      </c>
      <c r="E12191" s="51"/>
      <c r="F12191" s="114" t="str">
        <f>IF(INDEX(I.Facility.P2bIDNumber,2179)="","",INDEX(I.Facility.P2bIDNumber,2179))</f>
        <v/>
      </c>
      <c r="G12191" s="51"/>
      <c r="H12191" s="46" t="str">
        <f>IF(AND(I.Developer.P2b=TRUE,I.Facility.P2bFacilityCount&gt;=2179,F12191=""),"Incomplete","Complete")</f>
        <v>Complete</v>
      </c>
      <c r="I12191" s="48" t="s">
        <v>16556</v>
      </c>
    </row>
    <row r="12192" spans="2:9" ht="15" customHeight="1" x14ac:dyDescent="0.25">
      <c r="B12192" s="55" t="s">
        <v>281</v>
      </c>
      <c r="C12192" s="46">
        <v>2180</v>
      </c>
      <c r="D12192" s="69" t="s">
        <v>29418</v>
      </c>
      <c r="E12192" s="51"/>
      <c r="F12192" s="114" t="str">
        <f>IF(INDEX(I.Facility.P2bIDNumber,2180)="","",INDEX(I.Facility.P2bIDNumber,2180))</f>
        <v/>
      </c>
      <c r="G12192" s="51"/>
      <c r="H12192" s="46" t="str">
        <f>IF(AND(I.Developer.P2b=TRUE,I.Facility.P2bFacilityCount&gt;=2180,F12192=""),"Incomplete","Complete")</f>
        <v>Complete</v>
      </c>
      <c r="I12192" s="48" t="s">
        <v>16557</v>
      </c>
    </row>
    <row r="12193" spans="2:9" ht="15" customHeight="1" x14ac:dyDescent="0.25">
      <c r="B12193" s="55" t="s">
        <v>281</v>
      </c>
      <c r="C12193" s="46">
        <v>2181</v>
      </c>
      <c r="D12193" s="69" t="s">
        <v>29418</v>
      </c>
      <c r="E12193" s="51"/>
      <c r="F12193" s="114" t="str">
        <f>IF(INDEX(I.Facility.P2bIDNumber,2181)="","",INDEX(I.Facility.P2bIDNumber,2181))</f>
        <v/>
      </c>
      <c r="G12193" s="51"/>
      <c r="H12193" s="46" t="str">
        <f>IF(AND(I.Developer.P2b=TRUE,I.Facility.P2bFacilityCount&gt;=2181,F12193=""),"Incomplete","Complete")</f>
        <v>Complete</v>
      </c>
      <c r="I12193" s="48" t="s">
        <v>16558</v>
      </c>
    </row>
    <row r="12194" spans="2:9" ht="15" customHeight="1" x14ac:dyDescent="0.25">
      <c r="B12194" s="55" t="s">
        <v>281</v>
      </c>
      <c r="C12194" s="46">
        <v>2182</v>
      </c>
      <c r="D12194" s="69" t="s">
        <v>29418</v>
      </c>
      <c r="E12194" s="51"/>
      <c r="F12194" s="114" t="str">
        <f>IF(INDEX(I.Facility.P2bIDNumber,2182)="","",INDEX(I.Facility.P2bIDNumber,2182))</f>
        <v/>
      </c>
      <c r="G12194" s="51"/>
      <c r="H12194" s="46" t="str">
        <f>IF(AND(I.Developer.P2b=TRUE,I.Facility.P2bFacilityCount&gt;=2182,F12194=""),"Incomplete","Complete")</f>
        <v>Complete</v>
      </c>
      <c r="I12194" s="48" t="s">
        <v>16559</v>
      </c>
    </row>
    <row r="12195" spans="2:9" ht="15" customHeight="1" x14ac:dyDescent="0.25">
      <c r="B12195" s="55" t="s">
        <v>281</v>
      </c>
      <c r="C12195" s="46">
        <v>2183</v>
      </c>
      <c r="D12195" s="69" t="s">
        <v>29418</v>
      </c>
      <c r="E12195" s="51"/>
      <c r="F12195" s="114" t="str">
        <f>IF(INDEX(I.Facility.P2bIDNumber,2183)="","",INDEX(I.Facility.P2bIDNumber,2183))</f>
        <v/>
      </c>
      <c r="G12195" s="51"/>
      <c r="H12195" s="46" t="str">
        <f>IF(AND(I.Developer.P2b=TRUE,I.Facility.P2bFacilityCount&gt;=2183,F12195=""),"Incomplete","Complete")</f>
        <v>Complete</v>
      </c>
      <c r="I12195" s="48" t="s">
        <v>16560</v>
      </c>
    </row>
    <row r="12196" spans="2:9" ht="15" customHeight="1" x14ac:dyDescent="0.25">
      <c r="B12196" s="55" t="s">
        <v>281</v>
      </c>
      <c r="C12196" s="46">
        <v>2184</v>
      </c>
      <c r="D12196" s="69" t="s">
        <v>29418</v>
      </c>
      <c r="E12196" s="51"/>
      <c r="F12196" s="114" t="str">
        <f>IF(INDEX(I.Facility.P2bIDNumber,2184)="","",INDEX(I.Facility.P2bIDNumber,2184))</f>
        <v/>
      </c>
      <c r="G12196" s="51"/>
      <c r="H12196" s="46" t="str">
        <f>IF(AND(I.Developer.P2b=TRUE,I.Facility.P2bFacilityCount&gt;=2184,F12196=""),"Incomplete","Complete")</f>
        <v>Complete</v>
      </c>
      <c r="I12196" s="48" t="s">
        <v>16561</v>
      </c>
    </row>
    <row r="12197" spans="2:9" ht="15" customHeight="1" x14ac:dyDescent="0.25">
      <c r="B12197" s="55" t="s">
        <v>281</v>
      </c>
      <c r="C12197" s="46">
        <v>2185</v>
      </c>
      <c r="D12197" s="69" t="s">
        <v>29418</v>
      </c>
      <c r="E12197" s="51"/>
      <c r="F12197" s="114" t="str">
        <f>IF(INDEX(I.Facility.P2bIDNumber,2185)="","",INDEX(I.Facility.P2bIDNumber,2185))</f>
        <v/>
      </c>
      <c r="G12197" s="51"/>
      <c r="H12197" s="46" t="str">
        <f>IF(AND(I.Developer.P2b=TRUE,I.Facility.P2bFacilityCount&gt;=2185,F12197=""),"Incomplete","Complete")</f>
        <v>Complete</v>
      </c>
      <c r="I12197" s="48" t="s">
        <v>16562</v>
      </c>
    </row>
    <row r="12198" spans="2:9" ht="15" customHeight="1" x14ac:dyDescent="0.25">
      <c r="B12198" s="55" t="s">
        <v>281</v>
      </c>
      <c r="C12198" s="46">
        <v>2186</v>
      </c>
      <c r="D12198" s="69" t="s">
        <v>29418</v>
      </c>
      <c r="E12198" s="51"/>
      <c r="F12198" s="114" t="str">
        <f>IF(INDEX(I.Facility.P2bIDNumber,2186)="","",INDEX(I.Facility.P2bIDNumber,2186))</f>
        <v/>
      </c>
      <c r="G12198" s="51"/>
      <c r="H12198" s="46" t="str">
        <f>IF(AND(I.Developer.P2b=TRUE,I.Facility.P2bFacilityCount&gt;=2186,F12198=""),"Incomplete","Complete")</f>
        <v>Complete</v>
      </c>
      <c r="I12198" s="48" t="s">
        <v>16563</v>
      </c>
    </row>
    <row r="12199" spans="2:9" ht="15" customHeight="1" x14ac:dyDescent="0.25">
      <c r="B12199" s="55" t="s">
        <v>281</v>
      </c>
      <c r="C12199" s="46">
        <v>2187</v>
      </c>
      <c r="D12199" s="69" t="s">
        <v>29418</v>
      </c>
      <c r="E12199" s="51"/>
      <c r="F12199" s="114" t="str">
        <f>IF(INDEX(I.Facility.P2bIDNumber,2187)="","",INDEX(I.Facility.P2bIDNumber,2187))</f>
        <v/>
      </c>
      <c r="G12199" s="51"/>
      <c r="H12199" s="46" t="str">
        <f>IF(AND(I.Developer.P2b=TRUE,I.Facility.P2bFacilityCount&gt;=2187,F12199=""),"Incomplete","Complete")</f>
        <v>Complete</v>
      </c>
      <c r="I12199" s="48" t="s">
        <v>16564</v>
      </c>
    </row>
    <row r="12200" spans="2:9" ht="15" customHeight="1" x14ac:dyDescent="0.25">
      <c r="B12200" s="55" t="s">
        <v>281</v>
      </c>
      <c r="C12200" s="46">
        <v>2188</v>
      </c>
      <c r="D12200" s="69" t="s">
        <v>29418</v>
      </c>
      <c r="E12200" s="51"/>
      <c r="F12200" s="114" t="str">
        <f>IF(INDEX(I.Facility.P2bIDNumber,2188)="","",INDEX(I.Facility.P2bIDNumber,2188))</f>
        <v/>
      </c>
      <c r="G12200" s="51"/>
      <c r="H12200" s="46" t="str">
        <f>IF(AND(I.Developer.P2b=TRUE,I.Facility.P2bFacilityCount&gt;=2188,F12200=""),"Incomplete","Complete")</f>
        <v>Complete</v>
      </c>
      <c r="I12200" s="48" t="s">
        <v>16565</v>
      </c>
    </row>
    <row r="12201" spans="2:9" ht="15" customHeight="1" x14ac:dyDescent="0.25">
      <c r="B12201" s="55" t="s">
        <v>281</v>
      </c>
      <c r="C12201" s="46">
        <v>2189</v>
      </c>
      <c r="D12201" s="69" t="s">
        <v>29418</v>
      </c>
      <c r="E12201" s="51"/>
      <c r="F12201" s="114" t="str">
        <f>IF(INDEX(I.Facility.P2bIDNumber,2189)="","",INDEX(I.Facility.P2bIDNumber,2189))</f>
        <v/>
      </c>
      <c r="G12201" s="51"/>
      <c r="H12201" s="46" t="str">
        <f>IF(AND(I.Developer.P2b=TRUE,I.Facility.P2bFacilityCount&gt;=2189,F12201=""),"Incomplete","Complete")</f>
        <v>Complete</v>
      </c>
      <c r="I12201" s="48" t="s">
        <v>16566</v>
      </c>
    </row>
    <row r="12202" spans="2:9" ht="15" customHeight="1" x14ac:dyDescent="0.25">
      <c r="B12202" s="55" t="s">
        <v>281</v>
      </c>
      <c r="C12202" s="46">
        <v>2190</v>
      </c>
      <c r="D12202" s="69" t="s">
        <v>29418</v>
      </c>
      <c r="E12202" s="51"/>
      <c r="F12202" s="114" t="str">
        <f>IF(INDEX(I.Facility.P2bIDNumber,2190)="","",INDEX(I.Facility.P2bIDNumber,2190))</f>
        <v/>
      </c>
      <c r="G12202" s="51"/>
      <c r="H12202" s="46" t="str">
        <f>IF(AND(I.Developer.P2b=TRUE,I.Facility.P2bFacilityCount&gt;=2190,F12202=""),"Incomplete","Complete")</f>
        <v>Complete</v>
      </c>
      <c r="I12202" s="48" t="s">
        <v>16567</v>
      </c>
    </row>
    <row r="12203" spans="2:9" ht="15" customHeight="1" x14ac:dyDescent="0.25">
      <c r="B12203" s="55" t="s">
        <v>281</v>
      </c>
      <c r="C12203" s="46">
        <v>2191</v>
      </c>
      <c r="D12203" s="69" t="s">
        <v>29418</v>
      </c>
      <c r="E12203" s="51"/>
      <c r="F12203" s="114" t="str">
        <f>IF(INDEX(I.Facility.P2bIDNumber,2191)="","",INDEX(I.Facility.P2bIDNumber,2191))</f>
        <v/>
      </c>
      <c r="G12203" s="51"/>
      <c r="H12203" s="46" t="str">
        <f>IF(AND(I.Developer.P2b=TRUE,I.Facility.P2bFacilityCount&gt;=2191,F12203=""),"Incomplete","Complete")</f>
        <v>Complete</v>
      </c>
      <c r="I12203" s="48" t="s">
        <v>16568</v>
      </c>
    </row>
    <row r="12204" spans="2:9" ht="15" customHeight="1" x14ac:dyDescent="0.25">
      <c r="B12204" s="55" t="s">
        <v>281</v>
      </c>
      <c r="C12204" s="46">
        <v>2192</v>
      </c>
      <c r="D12204" s="69" t="s">
        <v>29418</v>
      </c>
      <c r="E12204" s="51"/>
      <c r="F12204" s="114" t="str">
        <f>IF(INDEX(I.Facility.P2bIDNumber,2192)="","",INDEX(I.Facility.P2bIDNumber,2192))</f>
        <v/>
      </c>
      <c r="G12204" s="51"/>
      <c r="H12204" s="46" t="str">
        <f>IF(AND(I.Developer.P2b=TRUE,I.Facility.P2bFacilityCount&gt;=2192,F12204=""),"Incomplete","Complete")</f>
        <v>Complete</v>
      </c>
      <c r="I12204" s="48" t="s">
        <v>16569</v>
      </c>
    </row>
    <row r="12205" spans="2:9" ht="15" customHeight="1" x14ac:dyDescent="0.25">
      <c r="B12205" s="55" t="s">
        <v>281</v>
      </c>
      <c r="C12205" s="46">
        <v>2193</v>
      </c>
      <c r="D12205" s="69" t="s">
        <v>29418</v>
      </c>
      <c r="E12205" s="51"/>
      <c r="F12205" s="114" t="str">
        <f>IF(INDEX(I.Facility.P2bIDNumber,2193)="","",INDEX(I.Facility.P2bIDNumber,2193))</f>
        <v/>
      </c>
      <c r="G12205" s="51"/>
      <c r="H12205" s="46" t="str">
        <f>IF(AND(I.Developer.P2b=TRUE,I.Facility.P2bFacilityCount&gt;=2193,F12205=""),"Incomplete","Complete")</f>
        <v>Complete</v>
      </c>
      <c r="I12205" s="48" t="s">
        <v>16570</v>
      </c>
    </row>
    <row r="12206" spans="2:9" ht="15" customHeight="1" x14ac:dyDescent="0.25">
      <c r="B12206" s="55" t="s">
        <v>281</v>
      </c>
      <c r="C12206" s="46">
        <v>2194</v>
      </c>
      <c r="D12206" s="69" t="s">
        <v>29418</v>
      </c>
      <c r="E12206" s="51"/>
      <c r="F12206" s="114" t="str">
        <f>IF(INDEX(I.Facility.P2bIDNumber,2194)="","",INDEX(I.Facility.P2bIDNumber,2194))</f>
        <v/>
      </c>
      <c r="G12206" s="51"/>
      <c r="H12206" s="46" t="str">
        <f>IF(AND(I.Developer.P2b=TRUE,I.Facility.P2bFacilityCount&gt;=2194,F12206=""),"Incomplete","Complete")</f>
        <v>Complete</v>
      </c>
      <c r="I12206" s="48" t="s">
        <v>16571</v>
      </c>
    </row>
    <row r="12207" spans="2:9" ht="15" customHeight="1" x14ac:dyDescent="0.25">
      <c r="B12207" s="55" t="s">
        <v>281</v>
      </c>
      <c r="C12207" s="46">
        <v>2195</v>
      </c>
      <c r="D12207" s="69" t="s">
        <v>29418</v>
      </c>
      <c r="E12207" s="51"/>
      <c r="F12207" s="114" t="str">
        <f>IF(INDEX(I.Facility.P2bIDNumber,2195)="","",INDEX(I.Facility.P2bIDNumber,2195))</f>
        <v/>
      </c>
      <c r="G12207" s="51"/>
      <c r="H12207" s="46" t="str">
        <f>IF(AND(I.Developer.P2b=TRUE,I.Facility.P2bFacilityCount&gt;=2195,F12207=""),"Incomplete","Complete")</f>
        <v>Complete</v>
      </c>
      <c r="I12207" s="48" t="s">
        <v>16572</v>
      </c>
    </row>
    <row r="12208" spans="2:9" ht="15" customHeight="1" x14ac:dyDescent="0.25">
      <c r="B12208" s="55" t="s">
        <v>281</v>
      </c>
      <c r="C12208" s="46">
        <v>2196</v>
      </c>
      <c r="D12208" s="69" t="s">
        <v>29418</v>
      </c>
      <c r="E12208" s="51"/>
      <c r="F12208" s="114" t="str">
        <f>IF(INDEX(I.Facility.P2bIDNumber,2196)="","",INDEX(I.Facility.P2bIDNumber,2196))</f>
        <v/>
      </c>
      <c r="G12208" s="51"/>
      <c r="H12208" s="46" t="str">
        <f>IF(AND(I.Developer.P2b=TRUE,I.Facility.P2bFacilityCount&gt;=2196,F12208=""),"Incomplete","Complete")</f>
        <v>Complete</v>
      </c>
      <c r="I12208" s="48" t="s">
        <v>16573</v>
      </c>
    </row>
    <row r="12209" spans="2:9" ht="15" customHeight="1" x14ac:dyDescent="0.25">
      <c r="B12209" s="55" t="s">
        <v>281</v>
      </c>
      <c r="C12209" s="46">
        <v>2197</v>
      </c>
      <c r="D12209" s="69" t="s">
        <v>29418</v>
      </c>
      <c r="E12209" s="51"/>
      <c r="F12209" s="114" t="str">
        <f>IF(INDEX(I.Facility.P2bIDNumber,2197)="","",INDEX(I.Facility.P2bIDNumber,2197))</f>
        <v/>
      </c>
      <c r="G12209" s="51"/>
      <c r="H12209" s="46" t="str">
        <f>IF(AND(I.Developer.P2b=TRUE,I.Facility.P2bFacilityCount&gt;=2197,F12209=""),"Incomplete","Complete")</f>
        <v>Complete</v>
      </c>
      <c r="I12209" s="48" t="s">
        <v>16574</v>
      </c>
    </row>
    <row r="12210" spans="2:9" ht="15" customHeight="1" x14ac:dyDescent="0.25">
      <c r="B12210" s="55" t="s">
        <v>281</v>
      </c>
      <c r="C12210" s="46">
        <v>2198</v>
      </c>
      <c r="D12210" s="69" t="s">
        <v>29418</v>
      </c>
      <c r="E12210" s="51"/>
      <c r="F12210" s="114" t="str">
        <f>IF(INDEX(I.Facility.P2bIDNumber,2198)="","",INDEX(I.Facility.P2bIDNumber,2198))</f>
        <v/>
      </c>
      <c r="G12210" s="51"/>
      <c r="H12210" s="46" t="str">
        <f>IF(AND(I.Developer.P2b=TRUE,I.Facility.P2bFacilityCount&gt;=2198,F12210=""),"Incomplete","Complete")</f>
        <v>Complete</v>
      </c>
      <c r="I12210" s="48" t="s">
        <v>16575</v>
      </c>
    </row>
    <row r="12211" spans="2:9" ht="15" customHeight="1" x14ac:dyDescent="0.25">
      <c r="B12211" s="55" t="s">
        <v>281</v>
      </c>
      <c r="C12211" s="46">
        <v>2199</v>
      </c>
      <c r="D12211" s="69" t="s">
        <v>29418</v>
      </c>
      <c r="E12211" s="51"/>
      <c r="F12211" s="114" t="str">
        <f>IF(INDEX(I.Facility.P2bIDNumber,2199)="","",INDEX(I.Facility.P2bIDNumber,2199))</f>
        <v/>
      </c>
      <c r="G12211" s="51"/>
      <c r="H12211" s="46" t="str">
        <f>IF(AND(I.Developer.P2b=TRUE,I.Facility.P2bFacilityCount&gt;=2199,F12211=""),"Incomplete","Complete")</f>
        <v>Complete</v>
      </c>
      <c r="I12211" s="48" t="s">
        <v>16576</v>
      </c>
    </row>
    <row r="12212" spans="2:9" ht="15" customHeight="1" x14ac:dyDescent="0.25">
      <c r="B12212" s="55" t="s">
        <v>281</v>
      </c>
      <c r="C12212" s="46">
        <v>2200</v>
      </c>
      <c r="D12212" s="69" t="s">
        <v>29418</v>
      </c>
      <c r="E12212" s="51"/>
      <c r="F12212" s="114" t="str">
        <f>IF(INDEX(I.Facility.P2bIDNumber,2200)="","",INDEX(I.Facility.P2bIDNumber,2200))</f>
        <v/>
      </c>
      <c r="G12212" s="51"/>
      <c r="H12212" s="46" t="str">
        <f>IF(AND(I.Developer.P2b=TRUE,I.Facility.P2bFacilityCount&gt;=2200,F12212=""),"Incomplete","Complete")</f>
        <v>Complete</v>
      </c>
      <c r="I12212" s="48" t="s">
        <v>16577</v>
      </c>
    </row>
    <row r="12213" spans="2:9" ht="15" customHeight="1" x14ac:dyDescent="0.25">
      <c r="B12213" s="55" t="s">
        <v>281</v>
      </c>
      <c r="C12213" s="46">
        <v>2201</v>
      </c>
      <c r="D12213" s="69" t="s">
        <v>29418</v>
      </c>
      <c r="E12213" s="51"/>
      <c r="F12213" s="114" t="str">
        <f>IF(INDEX(I.Facility.P2bIDNumber,2201)="","",INDEX(I.Facility.P2bIDNumber,2201))</f>
        <v/>
      </c>
      <c r="G12213" s="51"/>
      <c r="H12213" s="46" t="str">
        <f>IF(AND(I.Developer.P2b=TRUE,I.Facility.P2bFacilityCount&gt;=2201,F12213=""),"Incomplete","Complete")</f>
        <v>Complete</v>
      </c>
      <c r="I12213" s="48" t="s">
        <v>16578</v>
      </c>
    </row>
    <row r="12214" spans="2:9" ht="15" customHeight="1" x14ac:dyDescent="0.25">
      <c r="B12214" s="55" t="s">
        <v>281</v>
      </c>
      <c r="C12214" s="46">
        <v>2202</v>
      </c>
      <c r="D12214" s="69" t="s">
        <v>29418</v>
      </c>
      <c r="E12214" s="51"/>
      <c r="F12214" s="114" t="str">
        <f>IF(INDEX(I.Facility.P2bIDNumber,2202)="","",INDEX(I.Facility.P2bIDNumber,2202))</f>
        <v/>
      </c>
      <c r="G12214" s="51"/>
      <c r="H12214" s="46" t="str">
        <f>IF(AND(I.Developer.P2b=TRUE,I.Facility.P2bFacilityCount&gt;=2202,F12214=""),"Incomplete","Complete")</f>
        <v>Complete</v>
      </c>
      <c r="I12214" s="48" t="s">
        <v>16579</v>
      </c>
    </row>
    <row r="12215" spans="2:9" ht="15" customHeight="1" x14ac:dyDescent="0.25">
      <c r="B12215" s="55" t="s">
        <v>281</v>
      </c>
      <c r="C12215" s="46">
        <v>2203</v>
      </c>
      <c r="D12215" s="69" t="s">
        <v>29418</v>
      </c>
      <c r="E12215" s="51"/>
      <c r="F12215" s="114" t="str">
        <f>IF(INDEX(I.Facility.P2bIDNumber,2203)="","",INDEX(I.Facility.P2bIDNumber,2203))</f>
        <v/>
      </c>
      <c r="G12215" s="51"/>
      <c r="H12215" s="46" t="str">
        <f>IF(AND(I.Developer.P2b=TRUE,I.Facility.P2bFacilityCount&gt;=2203,F12215=""),"Incomplete","Complete")</f>
        <v>Complete</v>
      </c>
      <c r="I12215" s="48" t="s">
        <v>16580</v>
      </c>
    </row>
    <row r="12216" spans="2:9" ht="15" customHeight="1" x14ac:dyDescent="0.25">
      <c r="B12216" s="55" t="s">
        <v>281</v>
      </c>
      <c r="C12216" s="46">
        <v>2204</v>
      </c>
      <c r="D12216" s="69" t="s">
        <v>29418</v>
      </c>
      <c r="E12216" s="51"/>
      <c r="F12216" s="114" t="str">
        <f>IF(INDEX(I.Facility.P2bIDNumber,2204)="","",INDEX(I.Facility.P2bIDNumber,2204))</f>
        <v/>
      </c>
      <c r="G12216" s="51"/>
      <c r="H12216" s="46" t="str">
        <f>IF(AND(I.Developer.P2b=TRUE,I.Facility.P2bFacilityCount&gt;=2204,F12216=""),"Incomplete","Complete")</f>
        <v>Complete</v>
      </c>
      <c r="I12216" s="48" t="s">
        <v>16581</v>
      </c>
    </row>
    <row r="12217" spans="2:9" ht="15" customHeight="1" x14ac:dyDescent="0.25">
      <c r="B12217" s="55" t="s">
        <v>281</v>
      </c>
      <c r="C12217" s="46">
        <v>2205</v>
      </c>
      <c r="D12217" s="69" t="s">
        <v>29418</v>
      </c>
      <c r="E12217" s="51"/>
      <c r="F12217" s="114" t="str">
        <f>IF(INDEX(I.Facility.P2bIDNumber,2205)="","",INDEX(I.Facility.P2bIDNumber,2205))</f>
        <v/>
      </c>
      <c r="G12217" s="51"/>
      <c r="H12217" s="46" t="str">
        <f>IF(AND(I.Developer.P2b=TRUE,I.Facility.P2bFacilityCount&gt;=2205,F12217=""),"Incomplete","Complete")</f>
        <v>Complete</v>
      </c>
      <c r="I12217" s="48" t="s">
        <v>16582</v>
      </c>
    </row>
    <row r="12218" spans="2:9" ht="15" customHeight="1" x14ac:dyDescent="0.25">
      <c r="B12218" s="55" t="s">
        <v>281</v>
      </c>
      <c r="C12218" s="46">
        <v>2206</v>
      </c>
      <c r="D12218" s="69" t="s">
        <v>29418</v>
      </c>
      <c r="E12218" s="51"/>
      <c r="F12218" s="114" t="str">
        <f>IF(INDEX(I.Facility.P2bIDNumber,2206)="","",INDEX(I.Facility.P2bIDNumber,2206))</f>
        <v/>
      </c>
      <c r="G12218" s="51"/>
      <c r="H12218" s="46" t="str">
        <f>IF(AND(I.Developer.P2b=TRUE,I.Facility.P2bFacilityCount&gt;=2206,F12218=""),"Incomplete","Complete")</f>
        <v>Complete</v>
      </c>
      <c r="I12218" s="48" t="s">
        <v>16583</v>
      </c>
    </row>
    <row r="12219" spans="2:9" ht="15" customHeight="1" x14ac:dyDescent="0.25">
      <c r="B12219" s="55" t="s">
        <v>281</v>
      </c>
      <c r="C12219" s="46">
        <v>2207</v>
      </c>
      <c r="D12219" s="69" t="s">
        <v>29418</v>
      </c>
      <c r="E12219" s="51"/>
      <c r="F12219" s="114" t="str">
        <f>IF(INDEX(I.Facility.P2bIDNumber,2207)="","",INDEX(I.Facility.P2bIDNumber,2207))</f>
        <v/>
      </c>
      <c r="G12219" s="51"/>
      <c r="H12219" s="46" t="str">
        <f>IF(AND(I.Developer.P2b=TRUE,I.Facility.P2bFacilityCount&gt;=2207,F12219=""),"Incomplete","Complete")</f>
        <v>Complete</v>
      </c>
      <c r="I12219" s="48" t="s">
        <v>16584</v>
      </c>
    </row>
    <row r="12220" spans="2:9" ht="15" customHeight="1" x14ac:dyDescent="0.25">
      <c r="B12220" s="55" t="s">
        <v>281</v>
      </c>
      <c r="C12220" s="46">
        <v>2208</v>
      </c>
      <c r="D12220" s="69" t="s">
        <v>29418</v>
      </c>
      <c r="E12220" s="51"/>
      <c r="F12220" s="114" t="str">
        <f>IF(INDEX(I.Facility.P2bIDNumber,2208)="","",INDEX(I.Facility.P2bIDNumber,2208))</f>
        <v/>
      </c>
      <c r="G12220" s="51"/>
      <c r="H12220" s="46" t="str">
        <f>IF(AND(I.Developer.P2b=TRUE,I.Facility.P2bFacilityCount&gt;=2208,F12220=""),"Incomplete","Complete")</f>
        <v>Complete</v>
      </c>
      <c r="I12220" s="48" t="s">
        <v>16585</v>
      </c>
    </row>
    <row r="12221" spans="2:9" ht="15" customHeight="1" x14ac:dyDescent="0.25">
      <c r="B12221" s="55" t="s">
        <v>281</v>
      </c>
      <c r="C12221" s="46">
        <v>2209</v>
      </c>
      <c r="D12221" s="69" t="s">
        <v>29418</v>
      </c>
      <c r="E12221" s="51"/>
      <c r="F12221" s="114" t="str">
        <f>IF(INDEX(I.Facility.P2bIDNumber,2209)="","",INDEX(I.Facility.P2bIDNumber,2209))</f>
        <v/>
      </c>
      <c r="G12221" s="51"/>
      <c r="H12221" s="46" t="str">
        <f>IF(AND(I.Developer.P2b=TRUE,I.Facility.P2bFacilityCount&gt;=2209,F12221=""),"Incomplete","Complete")</f>
        <v>Complete</v>
      </c>
      <c r="I12221" s="48" t="s">
        <v>16586</v>
      </c>
    </row>
    <row r="12222" spans="2:9" ht="15" customHeight="1" x14ac:dyDescent="0.25">
      <c r="B12222" s="55" t="s">
        <v>281</v>
      </c>
      <c r="C12222" s="46">
        <v>2210</v>
      </c>
      <c r="D12222" s="69" t="s">
        <v>29418</v>
      </c>
      <c r="E12222" s="51"/>
      <c r="F12222" s="114" t="str">
        <f>IF(INDEX(I.Facility.P2bIDNumber,2210)="","",INDEX(I.Facility.P2bIDNumber,2210))</f>
        <v/>
      </c>
      <c r="G12222" s="51"/>
      <c r="H12222" s="46" t="str">
        <f>IF(AND(I.Developer.P2b=TRUE,I.Facility.P2bFacilityCount&gt;=2210,F12222=""),"Incomplete","Complete")</f>
        <v>Complete</v>
      </c>
      <c r="I12222" s="48" t="s">
        <v>16587</v>
      </c>
    </row>
    <row r="12223" spans="2:9" ht="15" customHeight="1" x14ac:dyDescent="0.25">
      <c r="B12223" s="55" t="s">
        <v>281</v>
      </c>
      <c r="C12223" s="46">
        <v>2211</v>
      </c>
      <c r="D12223" s="69" t="s">
        <v>29418</v>
      </c>
      <c r="E12223" s="51"/>
      <c r="F12223" s="114" t="str">
        <f>IF(INDEX(I.Facility.P2bIDNumber,2211)="","",INDEX(I.Facility.P2bIDNumber,2211))</f>
        <v/>
      </c>
      <c r="G12223" s="51"/>
      <c r="H12223" s="46" t="str">
        <f>IF(AND(I.Developer.P2b=TRUE,I.Facility.P2bFacilityCount&gt;=2211,F12223=""),"Incomplete","Complete")</f>
        <v>Complete</v>
      </c>
      <c r="I12223" s="48" t="s">
        <v>16588</v>
      </c>
    </row>
    <row r="12224" spans="2:9" ht="15" customHeight="1" x14ac:dyDescent="0.25">
      <c r="B12224" s="55" t="s">
        <v>281</v>
      </c>
      <c r="C12224" s="46">
        <v>2212</v>
      </c>
      <c r="D12224" s="69" t="s">
        <v>29418</v>
      </c>
      <c r="E12224" s="51"/>
      <c r="F12224" s="114" t="str">
        <f>IF(INDEX(I.Facility.P2bIDNumber,2212)="","",INDEX(I.Facility.P2bIDNumber,2212))</f>
        <v/>
      </c>
      <c r="G12224" s="51"/>
      <c r="H12224" s="46" t="str">
        <f>IF(AND(I.Developer.P2b=TRUE,I.Facility.P2bFacilityCount&gt;=2212,F12224=""),"Incomplete","Complete")</f>
        <v>Complete</v>
      </c>
      <c r="I12224" s="48" t="s">
        <v>16589</v>
      </c>
    </row>
    <row r="12225" spans="2:9" ht="15" customHeight="1" x14ac:dyDescent="0.25">
      <c r="B12225" s="55" t="s">
        <v>281</v>
      </c>
      <c r="C12225" s="46">
        <v>2213</v>
      </c>
      <c r="D12225" s="69" t="s">
        <v>29418</v>
      </c>
      <c r="E12225" s="51"/>
      <c r="F12225" s="114" t="str">
        <f>IF(INDEX(I.Facility.P2bIDNumber,2213)="","",INDEX(I.Facility.P2bIDNumber,2213))</f>
        <v/>
      </c>
      <c r="G12225" s="51"/>
      <c r="H12225" s="46" t="str">
        <f>IF(AND(I.Developer.P2b=TRUE,I.Facility.P2bFacilityCount&gt;=2213,F12225=""),"Incomplete","Complete")</f>
        <v>Complete</v>
      </c>
      <c r="I12225" s="48" t="s">
        <v>16590</v>
      </c>
    </row>
    <row r="12226" spans="2:9" ht="15" customHeight="1" x14ac:dyDescent="0.25">
      <c r="B12226" s="55" t="s">
        <v>281</v>
      </c>
      <c r="C12226" s="46">
        <v>2214</v>
      </c>
      <c r="D12226" s="69" t="s">
        <v>29418</v>
      </c>
      <c r="E12226" s="51"/>
      <c r="F12226" s="114" t="str">
        <f>IF(INDEX(I.Facility.P2bIDNumber,2214)="","",INDEX(I.Facility.P2bIDNumber,2214))</f>
        <v/>
      </c>
      <c r="G12226" s="51"/>
      <c r="H12226" s="46" t="str">
        <f>IF(AND(I.Developer.P2b=TRUE,I.Facility.P2bFacilityCount&gt;=2214,F12226=""),"Incomplete","Complete")</f>
        <v>Complete</v>
      </c>
      <c r="I12226" s="48" t="s">
        <v>16591</v>
      </c>
    </row>
    <row r="12227" spans="2:9" ht="15" customHeight="1" x14ac:dyDescent="0.25">
      <c r="B12227" s="55" t="s">
        <v>281</v>
      </c>
      <c r="C12227" s="46">
        <v>2215</v>
      </c>
      <c r="D12227" s="69" t="s">
        <v>29418</v>
      </c>
      <c r="E12227" s="51"/>
      <c r="F12227" s="114" t="str">
        <f>IF(INDEX(I.Facility.P2bIDNumber,2215)="","",INDEX(I.Facility.P2bIDNumber,2215))</f>
        <v/>
      </c>
      <c r="G12227" s="51"/>
      <c r="H12227" s="46" t="str">
        <f>IF(AND(I.Developer.P2b=TRUE,I.Facility.P2bFacilityCount&gt;=2215,F12227=""),"Incomplete","Complete")</f>
        <v>Complete</v>
      </c>
      <c r="I12227" s="48" t="s">
        <v>16592</v>
      </c>
    </row>
    <row r="12228" spans="2:9" ht="15" customHeight="1" x14ac:dyDescent="0.25">
      <c r="B12228" s="55" t="s">
        <v>281</v>
      </c>
      <c r="C12228" s="46">
        <v>2216</v>
      </c>
      <c r="D12228" s="69" t="s">
        <v>29418</v>
      </c>
      <c r="E12228" s="51"/>
      <c r="F12228" s="114" t="str">
        <f>IF(INDEX(I.Facility.P2bIDNumber,2216)="","",INDEX(I.Facility.P2bIDNumber,2216))</f>
        <v/>
      </c>
      <c r="G12228" s="51"/>
      <c r="H12228" s="46" t="str">
        <f>IF(AND(I.Developer.P2b=TRUE,I.Facility.P2bFacilityCount&gt;=2216,F12228=""),"Incomplete","Complete")</f>
        <v>Complete</v>
      </c>
      <c r="I12228" s="48" t="s">
        <v>16593</v>
      </c>
    </row>
    <row r="12229" spans="2:9" ht="15" customHeight="1" x14ac:dyDescent="0.25">
      <c r="B12229" s="55" t="s">
        <v>281</v>
      </c>
      <c r="C12229" s="46">
        <v>2217</v>
      </c>
      <c r="D12229" s="69" t="s">
        <v>29418</v>
      </c>
      <c r="E12229" s="51"/>
      <c r="F12229" s="114" t="str">
        <f>IF(INDEX(I.Facility.P2bIDNumber,2217)="","",INDEX(I.Facility.P2bIDNumber,2217))</f>
        <v/>
      </c>
      <c r="G12229" s="51"/>
      <c r="H12229" s="46" t="str">
        <f>IF(AND(I.Developer.P2b=TRUE,I.Facility.P2bFacilityCount&gt;=2217,F12229=""),"Incomplete","Complete")</f>
        <v>Complete</v>
      </c>
      <c r="I12229" s="48" t="s">
        <v>16594</v>
      </c>
    </row>
    <row r="12230" spans="2:9" ht="15" customHeight="1" x14ac:dyDescent="0.25">
      <c r="B12230" s="55" t="s">
        <v>281</v>
      </c>
      <c r="C12230" s="46">
        <v>2218</v>
      </c>
      <c r="D12230" s="69" t="s">
        <v>29418</v>
      </c>
      <c r="E12230" s="51"/>
      <c r="F12230" s="114" t="str">
        <f>IF(INDEX(I.Facility.P2bIDNumber,2218)="","",INDEX(I.Facility.P2bIDNumber,2218))</f>
        <v/>
      </c>
      <c r="G12230" s="51"/>
      <c r="H12230" s="46" t="str">
        <f>IF(AND(I.Developer.P2b=TRUE,I.Facility.P2bFacilityCount&gt;=2218,F12230=""),"Incomplete","Complete")</f>
        <v>Complete</v>
      </c>
      <c r="I12230" s="48" t="s">
        <v>16595</v>
      </c>
    </row>
    <row r="12231" spans="2:9" ht="15" customHeight="1" x14ac:dyDescent="0.25">
      <c r="B12231" s="55" t="s">
        <v>281</v>
      </c>
      <c r="C12231" s="46">
        <v>2219</v>
      </c>
      <c r="D12231" s="69" t="s">
        <v>29418</v>
      </c>
      <c r="E12231" s="51"/>
      <c r="F12231" s="114" t="str">
        <f>IF(INDEX(I.Facility.P2bIDNumber,2219)="","",INDEX(I.Facility.P2bIDNumber,2219))</f>
        <v/>
      </c>
      <c r="G12231" s="51"/>
      <c r="H12231" s="46" t="str">
        <f>IF(AND(I.Developer.P2b=TRUE,I.Facility.P2bFacilityCount&gt;=2219,F12231=""),"Incomplete","Complete")</f>
        <v>Complete</v>
      </c>
      <c r="I12231" s="48" t="s">
        <v>16596</v>
      </c>
    </row>
    <row r="12232" spans="2:9" ht="15" customHeight="1" x14ac:dyDescent="0.25">
      <c r="B12232" s="55" t="s">
        <v>281</v>
      </c>
      <c r="C12232" s="46">
        <v>2220</v>
      </c>
      <c r="D12232" s="69" t="s">
        <v>29418</v>
      </c>
      <c r="E12232" s="51"/>
      <c r="F12232" s="114" t="str">
        <f>IF(INDEX(I.Facility.P2bIDNumber,2220)="","",INDEX(I.Facility.P2bIDNumber,2220))</f>
        <v/>
      </c>
      <c r="G12232" s="51"/>
      <c r="H12232" s="46" t="str">
        <f>IF(AND(I.Developer.P2b=TRUE,I.Facility.P2bFacilityCount&gt;=2220,F12232=""),"Incomplete","Complete")</f>
        <v>Complete</v>
      </c>
      <c r="I12232" s="48" t="s">
        <v>16597</v>
      </c>
    </row>
    <row r="12233" spans="2:9" ht="15" customHeight="1" x14ac:dyDescent="0.25">
      <c r="B12233" s="55" t="s">
        <v>281</v>
      </c>
      <c r="C12233" s="46">
        <v>2221</v>
      </c>
      <c r="D12233" s="69" t="s">
        <v>29418</v>
      </c>
      <c r="E12233" s="51"/>
      <c r="F12233" s="114" t="str">
        <f>IF(INDEX(I.Facility.P2bIDNumber,2221)="","",INDEX(I.Facility.P2bIDNumber,2221))</f>
        <v/>
      </c>
      <c r="G12233" s="51"/>
      <c r="H12233" s="46" t="str">
        <f>IF(AND(I.Developer.P2b=TRUE,I.Facility.P2bFacilityCount&gt;=2221,F12233=""),"Incomplete","Complete")</f>
        <v>Complete</v>
      </c>
      <c r="I12233" s="48" t="s">
        <v>16598</v>
      </c>
    </row>
    <row r="12234" spans="2:9" ht="15" customHeight="1" x14ac:dyDescent="0.25">
      <c r="B12234" s="55" t="s">
        <v>281</v>
      </c>
      <c r="C12234" s="46">
        <v>2222</v>
      </c>
      <c r="D12234" s="69" t="s">
        <v>29418</v>
      </c>
      <c r="E12234" s="51"/>
      <c r="F12234" s="114" t="str">
        <f>IF(INDEX(I.Facility.P2bIDNumber,2222)="","",INDEX(I.Facility.P2bIDNumber,2222))</f>
        <v/>
      </c>
      <c r="G12234" s="51"/>
      <c r="H12234" s="46" t="str">
        <f>IF(AND(I.Developer.P2b=TRUE,I.Facility.P2bFacilityCount&gt;=2222,F12234=""),"Incomplete","Complete")</f>
        <v>Complete</v>
      </c>
      <c r="I12234" s="48" t="s">
        <v>16599</v>
      </c>
    </row>
    <row r="12235" spans="2:9" ht="15" customHeight="1" x14ac:dyDescent="0.25">
      <c r="B12235" s="55" t="s">
        <v>281</v>
      </c>
      <c r="C12235" s="46">
        <v>2223</v>
      </c>
      <c r="D12235" s="69" t="s">
        <v>29418</v>
      </c>
      <c r="E12235" s="51"/>
      <c r="F12235" s="114" t="str">
        <f>IF(INDEX(I.Facility.P2bIDNumber,2223)="","",INDEX(I.Facility.P2bIDNumber,2223))</f>
        <v/>
      </c>
      <c r="G12235" s="51"/>
      <c r="H12235" s="46" t="str">
        <f>IF(AND(I.Developer.P2b=TRUE,I.Facility.P2bFacilityCount&gt;=2223,F12235=""),"Incomplete","Complete")</f>
        <v>Complete</v>
      </c>
      <c r="I12235" s="48" t="s">
        <v>16600</v>
      </c>
    </row>
    <row r="12236" spans="2:9" ht="15" customHeight="1" x14ac:dyDescent="0.25">
      <c r="B12236" s="55" t="s">
        <v>281</v>
      </c>
      <c r="C12236" s="46">
        <v>2224</v>
      </c>
      <c r="D12236" s="69" t="s">
        <v>29418</v>
      </c>
      <c r="E12236" s="51"/>
      <c r="F12236" s="114" t="str">
        <f>IF(INDEX(I.Facility.P2bIDNumber,2224)="","",INDEX(I.Facility.P2bIDNumber,2224))</f>
        <v/>
      </c>
      <c r="G12236" s="51"/>
      <c r="H12236" s="46" t="str">
        <f>IF(AND(I.Developer.P2b=TRUE,I.Facility.P2bFacilityCount&gt;=2224,F12236=""),"Incomplete","Complete")</f>
        <v>Complete</v>
      </c>
      <c r="I12236" s="48" t="s">
        <v>16601</v>
      </c>
    </row>
    <row r="12237" spans="2:9" ht="15" customHeight="1" x14ac:dyDescent="0.25">
      <c r="B12237" s="55" t="s">
        <v>281</v>
      </c>
      <c r="C12237" s="46">
        <v>2225</v>
      </c>
      <c r="D12237" s="69" t="s">
        <v>29418</v>
      </c>
      <c r="E12237" s="51"/>
      <c r="F12237" s="114" t="str">
        <f>IF(INDEX(I.Facility.P2bIDNumber,2225)="","",INDEX(I.Facility.P2bIDNumber,2225))</f>
        <v/>
      </c>
      <c r="G12237" s="51"/>
      <c r="H12237" s="46" t="str">
        <f>IF(AND(I.Developer.P2b=TRUE,I.Facility.P2bFacilityCount&gt;=2225,F12237=""),"Incomplete","Complete")</f>
        <v>Complete</v>
      </c>
      <c r="I12237" s="48" t="s">
        <v>16602</v>
      </c>
    </row>
    <row r="12238" spans="2:9" ht="15" customHeight="1" x14ac:dyDescent="0.25">
      <c r="B12238" s="55" t="s">
        <v>281</v>
      </c>
      <c r="C12238" s="46">
        <v>2226</v>
      </c>
      <c r="D12238" s="69" t="s">
        <v>29418</v>
      </c>
      <c r="E12238" s="51"/>
      <c r="F12238" s="114" t="str">
        <f>IF(INDEX(I.Facility.P2bIDNumber,2226)="","",INDEX(I.Facility.P2bIDNumber,2226))</f>
        <v/>
      </c>
      <c r="G12238" s="51"/>
      <c r="H12238" s="46" t="str">
        <f>IF(AND(I.Developer.P2b=TRUE,I.Facility.P2bFacilityCount&gt;=2226,F12238=""),"Incomplete","Complete")</f>
        <v>Complete</v>
      </c>
      <c r="I12238" s="48" t="s">
        <v>16603</v>
      </c>
    </row>
    <row r="12239" spans="2:9" ht="15" customHeight="1" x14ac:dyDescent="0.25">
      <c r="B12239" s="55" t="s">
        <v>281</v>
      </c>
      <c r="C12239" s="46">
        <v>2227</v>
      </c>
      <c r="D12239" s="69" t="s">
        <v>29418</v>
      </c>
      <c r="E12239" s="51"/>
      <c r="F12239" s="114" t="str">
        <f>IF(INDEX(I.Facility.P2bIDNumber,2227)="","",INDEX(I.Facility.P2bIDNumber,2227))</f>
        <v/>
      </c>
      <c r="G12239" s="51"/>
      <c r="H12239" s="46" t="str">
        <f>IF(AND(I.Developer.P2b=TRUE,I.Facility.P2bFacilityCount&gt;=2227,F12239=""),"Incomplete","Complete")</f>
        <v>Complete</v>
      </c>
      <c r="I12239" s="48" t="s">
        <v>16604</v>
      </c>
    </row>
    <row r="12240" spans="2:9" ht="15" customHeight="1" x14ac:dyDescent="0.25">
      <c r="B12240" s="55" t="s">
        <v>281</v>
      </c>
      <c r="C12240" s="46">
        <v>2228</v>
      </c>
      <c r="D12240" s="69" t="s">
        <v>29418</v>
      </c>
      <c r="E12240" s="51"/>
      <c r="F12240" s="114" t="str">
        <f>IF(INDEX(I.Facility.P2bIDNumber,2228)="","",INDEX(I.Facility.P2bIDNumber,2228))</f>
        <v/>
      </c>
      <c r="G12240" s="51"/>
      <c r="H12240" s="46" t="str">
        <f>IF(AND(I.Developer.P2b=TRUE,I.Facility.P2bFacilityCount&gt;=2228,F12240=""),"Incomplete","Complete")</f>
        <v>Complete</v>
      </c>
      <c r="I12240" s="48" t="s">
        <v>16605</v>
      </c>
    </row>
    <row r="12241" spans="2:9" ht="15" customHeight="1" x14ac:dyDescent="0.25">
      <c r="B12241" s="55" t="s">
        <v>281</v>
      </c>
      <c r="C12241" s="46">
        <v>2229</v>
      </c>
      <c r="D12241" s="69" t="s">
        <v>29418</v>
      </c>
      <c r="E12241" s="51"/>
      <c r="F12241" s="114" t="str">
        <f>IF(INDEX(I.Facility.P2bIDNumber,2229)="","",INDEX(I.Facility.P2bIDNumber,2229))</f>
        <v/>
      </c>
      <c r="G12241" s="51"/>
      <c r="H12241" s="46" t="str">
        <f>IF(AND(I.Developer.P2b=TRUE,I.Facility.P2bFacilityCount&gt;=2229,F12241=""),"Incomplete","Complete")</f>
        <v>Complete</v>
      </c>
      <c r="I12241" s="48" t="s">
        <v>16606</v>
      </c>
    </row>
    <row r="12242" spans="2:9" ht="15" customHeight="1" x14ac:dyDescent="0.25">
      <c r="B12242" s="55" t="s">
        <v>281</v>
      </c>
      <c r="C12242" s="46">
        <v>2230</v>
      </c>
      <c r="D12242" s="69" t="s">
        <v>29418</v>
      </c>
      <c r="E12242" s="51"/>
      <c r="F12242" s="114" t="str">
        <f>IF(INDEX(I.Facility.P2bIDNumber,2230)="","",INDEX(I.Facility.P2bIDNumber,2230))</f>
        <v/>
      </c>
      <c r="G12242" s="51"/>
      <c r="H12242" s="46" t="str">
        <f>IF(AND(I.Developer.P2b=TRUE,I.Facility.P2bFacilityCount&gt;=2230,F12242=""),"Incomplete","Complete")</f>
        <v>Complete</v>
      </c>
      <c r="I12242" s="48" t="s">
        <v>16607</v>
      </c>
    </row>
    <row r="12243" spans="2:9" ht="15" customHeight="1" x14ac:dyDescent="0.25">
      <c r="B12243" s="55" t="s">
        <v>281</v>
      </c>
      <c r="C12243" s="46">
        <v>2231</v>
      </c>
      <c r="D12243" s="69" t="s">
        <v>29418</v>
      </c>
      <c r="E12243" s="51"/>
      <c r="F12243" s="114" t="str">
        <f>IF(INDEX(I.Facility.P2bIDNumber,2231)="","",INDEX(I.Facility.P2bIDNumber,2231))</f>
        <v/>
      </c>
      <c r="G12243" s="51"/>
      <c r="H12243" s="46" t="str">
        <f>IF(AND(I.Developer.P2b=TRUE,I.Facility.P2bFacilityCount&gt;=2231,F12243=""),"Incomplete","Complete")</f>
        <v>Complete</v>
      </c>
      <c r="I12243" s="48" t="s">
        <v>16608</v>
      </c>
    </row>
    <row r="12244" spans="2:9" ht="15" customHeight="1" x14ac:dyDescent="0.25">
      <c r="B12244" s="55" t="s">
        <v>281</v>
      </c>
      <c r="C12244" s="46">
        <v>2232</v>
      </c>
      <c r="D12244" s="69" t="s">
        <v>29418</v>
      </c>
      <c r="E12244" s="51"/>
      <c r="F12244" s="114" t="str">
        <f>IF(INDEX(I.Facility.P2bIDNumber,2232)="","",INDEX(I.Facility.P2bIDNumber,2232))</f>
        <v/>
      </c>
      <c r="G12244" s="51"/>
      <c r="H12244" s="46" t="str">
        <f>IF(AND(I.Developer.P2b=TRUE,I.Facility.P2bFacilityCount&gt;=2232,F12244=""),"Incomplete","Complete")</f>
        <v>Complete</v>
      </c>
      <c r="I12244" s="48" t="s">
        <v>16609</v>
      </c>
    </row>
    <row r="12245" spans="2:9" ht="15" customHeight="1" x14ac:dyDescent="0.25">
      <c r="B12245" s="55" t="s">
        <v>281</v>
      </c>
      <c r="C12245" s="46">
        <v>2233</v>
      </c>
      <c r="D12245" s="69" t="s">
        <v>29418</v>
      </c>
      <c r="E12245" s="51"/>
      <c r="F12245" s="114" t="str">
        <f>IF(INDEX(I.Facility.P2bIDNumber,2233)="","",INDEX(I.Facility.P2bIDNumber,2233))</f>
        <v/>
      </c>
      <c r="G12245" s="51"/>
      <c r="H12245" s="46" t="str">
        <f>IF(AND(I.Developer.P2b=TRUE,I.Facility.P2bFacilityCount&gt;=2233,F12245=""),"Incomplete","Complete")</f>
        <v>Complete</v>
      </c>
      <c r="I12245" s="48" t="s">
        <v>16610</v>
      </c>
    </row>
    <row r="12246" spans="2:9" ht="15" customHeight="1" x14ac:dyDescent="0.25">
      <c r="B12246" s="55" t="s">
        <v>281</v>
      </c>
      <c r="C12246" s="46">
        <v>2234</v>
      </c>
      <c r="D12246" s="69" t="s">
        <v>29418</v>
      </c>
      <c r="E12246" s="51"/>
      <c r="F12246" s="114" t="str">
        <f>IF(INDEX(I.Facility.P2bIDNumber,2234)="","",INDEX(I.Facility.P2bIDNumber,2234))</f>
        <v/>
      </c>
      <c r="G12246" s="51"/>
      <c r="H12246" s="46" t="str">
        <f>IF(AND(I.Developer.P2b=TRUE,I.Facility.P2bFacilityCount&gt;=2234,F12246=""),"Incomplete","Complete")</f>
        <v>Complete</v>
      </c>
      <c r="I12246" s="48" t="s">
        <v>16611</v>
      </c>
    </row>
    <row r="12247" spans="2:9" ht="15" customHeight="1" x14ac:dyDescent="0.25">
      <c r="B12247" s="55" t="s">
        <v>281</v>
      </c>
      <c r="C12247" s="46">
        <v>2235</v>
      </c>
      <c r="D12247" s="69" t="s">
        <v>29418</v>
      </c>
      <c r="E12247" s="51"/>
      <c r="F12247" s="114" t="str">
        <f>IF(INDEX(I.Facility.P2bIDNumber,2235)="","",INDEX(I.Facility.P2bIDNumber,2235))</f>
        <v/>
      </c>
      <c r="G12247" s="51"/>
      <c r="H12247" s="46" t="str">
        <f>IF(AND(I.Developer.P2b=TRUE,I.Facility.P2bFacilityCount&gt;=2235,F12247=""),"Incomplete","Complete")</f>
        <v>Complete</v>
      </c>
      <c r="I12247" s="48" t="s">
        <v>16612</v>
      </c>
    </row>
    <row r="12248" spans="2:9" ht="15" customHeight="1" x14ac:dyDescent="0.25">
      <c r="B12248" s="55" t="s">
        <v>281</v>
      </c>
      <c r="C12248" s="46">
        <v>2236</v>
      </c>
      <c r="D12248" s="69" t="s">
        <v>29418</v>
      </c>
      <c r="E12248" s="51"/>
      <c r="F12248" s="114" t="str">
        <f>IF(INDEX(I.Facility.P2bIDNumber,2236)="","",INDEX(I.Facility.P2bIDNumber,2236))</f>
        <v/>
      </c>
      <c r="G12248" s="51"/>
      <c r="H12248" s="46" t="str">
        <f>IF(AND(I.Developer.P2b=TRUE,I.Facility.P2bFacilityCount&gt;=2236,F12248=""),"Incomplete","Complete")</f>
        <v>Complete</v>
      </c>
      <c r="I12248" s="48" t="s">
        <v>16613</v>
      </c>
    </row>
    <row r="12249" spans="2:9" ht="15" customHeight="1" x14ac:dyDescent="0.25">
      <c r="B12249" s="55" t="s">
        <v>281</v>
      </c>
      <c r="C12249" s="46">
        <v>2237</v>
      </c>
      <c r="D12249" s="69" t="s">
        <v>29418</v>
      </c>
      <c r="E12249" s="51"/>
      <c r="F12249" s="114" t="str">
        <f>IF(INDEX(I.Facility.P2bIDNumber,2237)="","",INDEX(I.Facility.P2bIDNumber,2237))</f>
        <v/>
      </c>
      <c r="G12249" s="51"/>
      <c r="H12249" s="46" t="str">
        <f>IF(AND(I.Developer.P2b=TRUE,I.Facility.P2bFacilityCount&gt;=2237,F12249=""),"Incomplete","Complete")</f>
        <v>Complete</v>
      </c>
      <c r="I12249" s="48" t="s">
        <v>16614</v>
      </c>
    </row>
    <row r="12250" spans="2:9" ht="15" customHeight="1" x14ac:dyDescent="0.25">
      <c r="B12250" s="55" t="s">
        <v>281</v>
      </c>
      <c r="C12250" s="46">
        <v>2238</v>
      </c>
      <c r="D12250" s="69" t="s">
        <v>29418</v>
      </c>
      <c r="E12250" s="51"/>
      <c r="F12250" s="114" t="str">
        <f>IF(INDEX(I.Facility.P2bIDNumber,2238)="","",INDEX(I.Facility.P2bIDNumber,2238))</f>
        <v/>
      </c>
      <c r="G12250" s="51"/>
      <c r="H12250" s="46" t="str">
        <f>IF(AND(I.Developer.P2b=TRUE,I.Facility.P2bFacilityCount&gt;=2238,F12250=""),"Incomplete","Complete")</f>
        <v>Complete</v>
      </c>
      <c r="I12250" s="48" t="s">
        <v>16615</v>
      </c>
    </row>
    <row r="12251" spans="2:9" ht="15" customHeight="1" x14ac:dyDescent="0.25">
      <c r="B12251" s="55" t="s">
        <v>281</v>
      </c>
      <c r="C12251" s="46">
        <v>2239</v>
      </c>
      <c r="D12251" s="69" t="s">
        <v>29418</v>
      </c>
      <c r="E12251" s="51"/>
      <c r="F12251" s="114" t="str">
        <f>IF(INDEX(I.Facility.P2bIDNumber,2239)="","",INDEX(I.Facility.P2bIDNumber,2239))</f>
        <v/>
      </c>
      <c r="G12251" s="51"/>
      <c r="H12251" s="46" t="str">
        <f>IF(AND(I.Developer.P2b=TRUE,I.Facility.P2bFacilityCount&gt;=2239,F12251=""),"Incomplete","Complete")</f>
        <v>Complete</v>
      </c>
      <c r="I12251" s="48" t="s">
        <v>16616</v>
      </c>
    </row>
    <row r="12252" spans="2:9" ht="15" customHeight="1" x14ac:dyDescent="0.25">
      <c r="B12252" s="55" t="s">
        <v>281</v>
      </c>
      <c r="C12252" s="46">
        <v>2240</v>
      </c>
      <c r="D12252" s="69" t="s">
        <v>29418</v>
      </c>
      <c r="E12252" s="51"/>
      <c r="F12252" s="114" t="str">
        <f>IF(INDEX(I.Facility.P2bIDNumber,2240)="","",INDEX(I.Facility.P2bIDNumber,2240))</f>
        <v/>
      </c>
      <c r="G12252" s="51"/>
      <c r="H12252" s="46" t="str">
        <f>IF(AND(I.Developer.P2b=TRUE,I.Facility.P2bFacilityCount&gt;=2240,F12252=""),"Incomplete","Complete")</f>
        <v>Complete</v>
      </c>
      <c r="I12252" s="48" t="s">
        <v>16617</v>
      </c>
    </row>
    <row r="12253" spans="2:9" ht="15" customHeight="1" x14ac:dyDescent="0.25">
      <c r="B12253" s="55" t="s">
        <v>281</v>
      </c>
      <c r="C12253" s="46">
        <v>2241</v>
      </c>
      <c r="D12253" s="69" t="s">
        <v>29418</v>
      </c>
      <c r="E12253" s="51"/>
      <c r="F12253" s="114" t="str">
        <f>IF(INDEX(I.Facility.P2bIDNumber,2241)="","",INDEX(I.Facility.P2bIDNumber,2241))</f>
        <v/>
      </c>
      <c r="G12253" s="51"/>
      <c r="H12253" s="46" t="str">
        <f>IF(AND(I.Developer.P2b=TRUE,I.Facility.P2bFacilityCount&gt;=2241,F12253=""),"Incomplete","Complete")</f>
        <v>Complete</v>
      </c>
      <c r="I12253" s="48" t="s">
        <v>16618</v>
      </c>
    </row>
    <row r="12254" spans="2:9" ht="15" customHeight="1" x14ac:dyDescent="0.25">
      <c r="B12254" s="55" t="s">
        <v>281</v>
      </c>
      <c r="C12254" s="46">
        <v>2242</v>
      </c>
      <c r="D12254" s="69" t="s">
        <v>29418</v>
      </c>
      <c r="E12254" s="51"/>
      <c r="F12254" s="114" t="str">
        <f>IF(INDEX(I.Facility.P2bIDNumber,2242)="","",INDEX(I.Facility.P2bIDNumber,2242))</f>
        <v/>
      </c>
      <c r="G12254" s="51"/>
      <c r="H12254" s="46" t="str">
        <f>IF(AND(I.Developer.P2b=TRUE,I.Facility.P2bFacilityCount&gt;=2242,F12254=""),"Incomplete","Complete")</f>
        <v>Complete</v>
      </c>
      <c r="I12254" s="48" t="s">
        <v>16619</v>
      </c>
    </row>
    <row r="12255" spans="2:9" ht="15" customHeight="1" x14ac:dyDescent="0.25">
      <c r="B12255" s="55" t="s">
        <v>281</v>
      </c>
      <c r="C12255" s="46">
        <v>2243</v>
      </c>
      <c r="D12255" s="69" t="s">
        <v>29418</v>
      </c>
      <c r="E12255" s="51"/>
      <c r="F12255" s="114" t="str">
        <f>IF(INDEX(I.Facility.P2bIDNumber,2243)="","",INDEX(I.Facility.P2bIDNumber,2243))</f>
        <v/>
      </c>
      <c r="G12255" s="51"/>
      <c r="H12255" s="46" t="str">
        <f>IF(AND(I.Developer.P2b=TRUE,I.Facility.P2bFacilityCount&gt;=2243,F12255=""),"Incomplete","Complete")</f>
        <v>Complete</v>
      </c>
      <c r="I12255" s="48" t="s">
        <v>16620</v>
      </c>
    </row>
    <row r="12256" spans="2:9" ht="15" customHeight="1" x14ac:dyDescent="0.25">
      <c r="B12256" s="55" t="s">
        <v>281</v>
      </c>
      <c r="C12256" s="46">
        <v>2244</v>
      </c>
      <c r="D12256" s="69" t="s">
        <v>29418</v>
      </c>
      <c r="E12256" s="51"/>
      <c r="F12256" s="114" t="str">
        <f>IF(INDEX(I.Facility.P2bIDNumber,2244)="","",INDEX(I.Facility.P2bIDNumber,2244))</f>
        <v/>
      </c>
      <c r="G12256" s="51"/>
      <c r="H12256" s="46" t="str">
        <f>IF(AND(I.Developer.P2b=TRUE,I.Facility.P2bFacilityCount&gt;=2244,F12256=""),"Incomplete","Complete")</f>
        <v>Complete</v>
      </c>
      <c r="I12256" s="48" t="s">
        <v>16621</v>
      </c>
    </row>
    <row r="12257" spans="2:9" ht="15" customHeight="1" x14ac:dyDescent="0.25">
      <c r="B12257" s="55" t="s">
        <v>281</v>
      </c>
      <c r="C12257" s="46">
        <v>2245</v>
      </c>
      <c r="D12257" s="69" t="s">
        <v>29418</v>
      </c>
      <c r="E12257" s="51"/>
      <c r="F12257" s="114" t="str">
        <f>IF(INDEX(I.Facility.P2bIDNumber,2245)="","",INDEX(I.Facility.P2bIDNumber,2245))</f>
        <v/>
      </c>
      <c r="G12257" s="51"/>
      <c r="H12257" s="46" t="str">
        <f>IF(AND(I.Developer.P2b=TRUE,I.Facility.P2bFacilityCount&gt;=2245,F12257=""),"Incomplete","Complete")</f>
        <v>Complete</v>
      </c>
      <c r="I12257" s="48" t="s">
        <v>16622</v>
      </c>
    </row>
    <row r="12258" spans="2:9" ht="15" customHeight="1" x14ac:dyDescent="0.25">
      <c r="B12258" s="55" t="s">
        <v>281</v>
      </c>
      <c r="C12258" s="46">
        <v>2246</v>
      </c>
      <c r="D12258" s="69" t="s">
        <v>29418</v>
      </c>
      <c r="E12258" s="51"/>
      <c r="F12258" s="114" t="str">
        <f>IF(INDEX(I.Facility.P2bIDNumber,2246)="","",INDEX(I.Facility.P2bIDNumber,2246))</f>
        <v/>
      </c>
      <c r="G12258" s="51"/>
      <c r="H12258" s="46" t="str">
        <f>IF(AND(I.Developer.P2b=TRUE,I.Facility.P2bFacilityCount&gt;=2246,F12258=""),"Incomplete","Complete")</f>
        <v>Complete</v>
      </c>
      <c r="I12258" s="48" t="s">
        <v>16623</v>
      </c>
    </row>
    <row r="12259" spans="2:9" ht="15" customHeight="1" x14ac:dyDescent="0.25">
      <c r="B12259" s="55" t="s">
        <v>281</v>
      </c>
      <c r="C12259" s="46">
        <v>2247</v>
      </c>
      <c r="D12259" s="69" t="s">
        <v>29418</v>
      </c>
      <c r="E12259" s="51"/>
      <c r="F12259" s="114" t="str">
        <f>IF(INDEX(I.Facility.P2bIDNumber,2247)="","",INDEX(I.Facility.P2bIDNumber,2247))</f>
        <v/>
      </c>
      <c r="G12259" s="51"/>
      <c r="H12259" s="46" t="str">
        <f>IF(AND(I.Developer.P2b=TRUE,I.Facility.P2bFacilityCount&gt;=2247,F12259=""),"Incomplete","Complete")</f>
        <v>Complete</v>
      </c>
      <c r="I12259" s="48" t="s">
        <v>16624</v>
      </c>
    </row>
    <row r="12260" spans="2:9" ht="15" customHeight="1" x14ac:dyDescent="0.25">
      <c r="B12260" s="55" t="s">
        <v>281</v>
      </c>
      <c r="C12260" s="46">
        <v>2248</v>
      </c>
      <c r="D12260" s="69" t="s">
        <v>29418</v>
      </c>
      <c r="E12260" s="51"/>
      <c r="F12260" s="114" t="str">
        <f>IF(INDEX(I.Facility.P2bIDNumber,2248)="","",INDEX(I.Facility.P2bIDNumber,2248))</f>
        <v/>
      </c>
      <c r="G12260" s="51"/>
      <c r="H12260" s="46" t="str">
        <f>IF(AND(I.Developer.P2b=TRUE,I.Facility.P2bFacilityCount&gt;=2248,F12260=""),"Incomplete","Complete")</f>
        <v>Complete</v>
      </c>
      <c r="I12260" s="48" t="s">
        <v>16625</v>
      </c>
    </row>
    <row r="12261" spans="2:9" ht="15" customHeight="1" x14ac:dyDescent="0.25">
      <c r="B12261" s="55" t="s">
        <v>281</v>
      </c>
      <c r="C12261" s="46">
        <v>2249</v>
      </c>
      <c r="D12261" s="69" t="s">
        <v>29418</v>
      </c>
      <c r="E12261" s="51"/>
      <c r="F12261" s="114" t="str">
        <f>IF(INDEX(I.Facility.P2bIDNumber,2249)="","",INDEX(I.Facility.P2bIDNumber,2249))</f>
        <v/>
      </c>
      <c r="G12261" s="51"/>
      <c r="H12261" s="46" t="str">
        <f>IF(AND(I.Developer.P2b=TRUE,I.Facility.P2bFacilityCount&gt;=2249,F12261=""),"Incomplete","Complete")</f>
        <v>Complete</v>
      </c>
      <c r="I12261" s="48" t="s">
        <v>16626</v>
      </c>
    </row>
    <row r="12262" spans="2:9" ht="15" customHeight="1" x14ac:dyDescent="0.25">
      <c r="B12262" s="55" t="s">
        <v>281</v>
      </c>
      <c r="C12262" s="46">
        <v>2250</v>
      </c>
      <c r="D12262" s="69" t="s">
        <v>29418</v>
      </c>
      <c r="E12262" s="51"/>
      <c r="F12262" s="114" t="str">
        <f>IF(INDEX(I.Facility.P2bIDNumber,2250)="","",INDEX(I.Facility.P2bIDNumber,2250))</f>
        <v/>
      </c>
      <c r="G12262" s="51"/>
      <c r="H12262" s="46" t="str">
        <f>IF(AND(I.Developer.P2b=TRUE,I.Facility.P2bFacilityCount&gt;=2250,F12262=""),"Incomplete","Complete")</f>
        <v>Complete</v>
      </c>
      <c r="I12262" s="48" t="s">
        <v>16627</v>
      </c>
    </row>
    <row r="12263" spans="2:9" ht="15" customHeight="1" x14ac:dyDescent="0.25">
      <c r="B12263" s="55" t="s">
        <v>281</v>
      </c>
      <c r="C12263" s="46">
        <v>2251</v>
      </c>
      <c r="D12263" s="69" t="s">
        <v>29418</v>
      </c>
      <c r="E12263" s="51"/>
      <c r="F12263" s="114" t="str">
        <f>IF(INDEX(I.Facility.P2bIDNumber,2251)="","",INDEX(I.Facility.P2bIDNumber,2251))</f>
        <v/>
      </c>
      <c r="G12263" s="51"/>
      <c r="H12263" s="46" t="str">
        <f>IF(AND(I.Developer.P2b=TRUE,I.Facility.P2bFacilityCount&gt;=2251,F12263=""),"Incomplete","Complete")</f>
        <v>Complete</v>
      </c>
      <c r="I12263" s="48" t="s">
        <v>16628</v>
      </c>
    </row>
    <row r="12264" spans="2:9" ht="15" customHeight="1" x14ac:dyDescent="0.25">
      <c r="B12264" s="55" t="s">
        <v>281</v>
      </c>
      <c r="C12264" s="46">
        <v>2252</v>
      </c>
      <c r="D12264" s="69" t="s">
        <v>29418</v>
      </c>
      <c r="E12264" s="51"/>
      <c r="F12264" s="114" t="str">
        <f>IF(INDEX(I.Facility.P2bIDNumber,2252)="","",INDEX(I.Facility.P2bIDNumber,2252))</f>
        <v/>
      </c>
      <c r="G12264" s="51"/>
      <c r="H12264" s="46" t="str">
        <f>IF(AND(I.Developer.P2b=TRUE,I.Facility.P2bFacilityCount&gt;=2252,F12264=""),"Incomplete","Complete")</f>
        <v>Complete</v>
      </c>
      <c r="I12264" s="48" t="s">
        <v>16629</v>
      </c>
    </row>
    <row r="12265" spans="2:9" ht="15" customHeight="1" x14ac:dyDescent="0.25">
      <c r="B12265" s="55" t="s">
        <v>281</v>
      </c>
      <c r="C12265" s="46">
        <v>2253</v>
      </c>
      <c r="D12265" s="69" t="s">
        <v>29418</v>
      </c>
      <c r="E12265" s="51"/>
      <c r="F12265" s="114" t="str">
        <f>IF(INDEX(I.Facility.P2bIDNumber,2253)="","",INDEX(I.Facility.P2bIDNumber,2253))</f>
        <v/>
      </c>
      <c r="G12265" s="51"/>
      <c r="H12265" s="46" t="str">
        <f>IF(AND(I.Developer.P2b=TRUE,I.Facility.P2bFacilityCount&gt;=2253,F12265=""),"Incomplete","Complete")</f>
        <v>Complete</v>
      </c>
      <c r="I12265" s="48" t="s">
        <v>16630</v>
      </c>
    </row>
    <row r="12266" spans="2:9" ht="15" customHeight="1" x14ac:dyDescent="0.25">
      <c r="B12266" s="55" t="s">
        <v>281</v>
      </c>
      <c r="C12266" s="46">
        <v>2254</v>
      </c>
      <c r="D12266" s="69" t="s">
        <v>29418</v>
      </c>
      <c r="E12266" s="51"/>
      <c r="F12266" s="114" t="str">
        <f>IF(INDEX(I.Facility.P2bIDNumber,2254)="","",INDEX(I.Facility.P2bIDNumber,2254))</f>
        <v/>
      </c>
      <c r="G12266" s="51"/>
      <c r="H12266" s="46" t="str">
        <f>IF(AND(I.Developer.P2b=TRUE,I.Facility.P2bFacilityCount&gt;=2254,F12266=""),"Incomplete","Complete")</f>
        <v>Complete</v>
      </c>
      <c r="I12266" s="48" t="s">
        <v>16631</v>
      </c>
    </row>
    <row r="12267" spans="2:9" ht="15" customHeight="1" x14ac:dyDescent="0.25">
      <c r="B12267" s="55" t="s">
        <v>281</v>
      </c>
      <c r="C12267" s="46">
        <v>2255</v>
      </c>
      <c r="D12267" s="69" t="s">
        <v>29418</v>
      </c>
      <c r="E12267" s="51"/>
      <c r="F12267" s="114" t="str">
        <f>IF(INDEX(I.Facility.P2bIDNumber,2255)="","",INDEX(I.Facility.P2bIDNumber,2255))</f>
        <v/>
      </c>
      <c r="G12267" s="51"/>
      <c r="H12267" s="46" t="str">
        <f>IF(AND(I.Developer.P2b=TRUE,I.Facility.P2bFacilityCount&gt;=2255,F12267=""),"Incomplete","Complete")</f>
        <v>Complete</v>
      </c>
      <c r="I12267" s="48" t="s">
        <v>16632</v>
      </c>
    </row>
    <row r="12268" spans="2:9" ht="15" customHeight="1" x14ac:dyDescent="0.25">
      <c r="B12268" s="55" t="s">
        <v>281</v>
      </c>
      <c r="C12268" s="46">
        <v>2256</v>
      </c>
      <c r="D12268" s="69" t="s">
        <v>29418</v>
      </c>
      <c r="E12268" s="51"/>
      <c r="F12268" s="114" t="str">
        <f>IF(INDEX(I.Facility.P2bIDNumber,2256)="","",INDEX(I.Facility.P2bIDNumber,2256))</f>
        <v/>
      </c>
      <c r="G12268" s="51"/>
      <c r="H12268" s="46" t="str">
        <f>IF(AND(I.Developer.P2b=TRUE,I.Facility.P2bFacilityCount&gt;=2256,F12268=""),"Incomplete","Complete")</f>
        <v>Complete</v>
      </c>
      <c r="I12268" s="48" t="s">
        <v>16633</v>
      </c>
    </row>
    <row r="12269" spans="2:9" ht="15" customHeight="1" x14ac:dyDescent="0.25">
      <c r="B12269" s="55" t="s">
        <v>281</v>
      </c>
      <c r="C12269" s="46">
        <v>2257</v>
      </c>
      <c r="D12269" s="69" t="s">
        <v>29418</v>
      </c>
      <c r="E12269" s="51"/>
      <c r="F12269" s="114" t="str">
        <f>IF(INDEX(I.Facility.P2bIDNumber,2257)="","",INDEX(I.Facility.P2bIDNumber,2257))</f>
        <v/>
      </c>
      <c r="G12269" s="51"/>
      <c r="H12269" s="46" t="str">
        <f>IF(AND(I.Developer.P2b=TRUE,I.Facility.P2bFacilityCount&gt;=2257,F12269=""),"Incomplete","Complete")</f>
        <v>Complete</v>
      </c>
      <c r="I12269" s="48" t="s">
        <v>16634</v>
      </c>
    </row>
    <row r="12270" spans="2:9" ht="15" customHeight="1" x14ac:dyDescent="0.25">
      <c r="B12270" s="55" t="s">
        <v>281</v>
      </c>
      <c r="C12270" s="46">
        <v>2258</v>
      </c>
      <c r="D12270" s="69" t="s">
        <v>29418</v>
      </c>
      <c r="E12270" s="51"/>
      <c r="F12270" s="114" t="str">
        <f>IF(INDEX(I.Facility.P2bIDNumber,2258)="","",INDEX(I.Facility.P2bIDNumber,2258))</f>
        <v/>
      </c>
      <c r="G12270" s="51"/>
      <c r="H12270" s="46" t="str">
        <f>IF(AND(I.Developer.P2b=TRUE,I.Facility.P2bFacilityCount&gt;=2258,F12270=""),"Incomplete","Complete")</f>
        <v>Complete</v>
      </c>
      <c r="I12270" s="48" t="s">
        <v>16635</v>
      </c>
    </row>
    <row r="12271" spans="2:9" ht="15" customHeight="1" x14ac:dyDescent="0.25">
      <c r="B12271" s="55" t="s">
        <v>281</v>
      </c>
      <c r="C12271" s="46">
        <v>2259</v>
      </c>
      <c r="D12271" s="69" t="s">
        <v>29418</v>
      </c>
      <c r="E12271" s="51"/>
      <c r="F12271" s="114" t="str">
        <f>IF(INDEX(I.Facility.P2bIDNumber,2259)="","",INDEX(I.Facility.P2bIDNumber,2259))</f>
        <v/>
      </c>
      <c r="G12271" s="51"/>
      <c r="H12271" s="46" t="str">
        <f>IF(AND(I.Developer.P2b=TRUE,I.Facility.P2bFacilityCount&gt;=2259,F12271=""),"Incomplete","Complete")</f>
        <v>Complete</v>
      </c>
      <c r="I12271" s="48" t="s">
        <v>16636</v>
      </c>
    </row>
    <row r="12272" spans="2:9" ht="15" customHeight="1" x14ac:dyDescent="0.25">
      <c r="B12272" s="55" t="s">
        <v>281</v>
      </c>
      <c r="C12272" s="46">
        <v>2260</v>
      </c>
      <c r="D12272" s="69" t="s">
        <v>29418</v>
      </c>
      <c r="E12272" s="51"/>
      <c r="F12272" s="114" t="str">
        <f>IF(INDEX(I.Facility.P2bIDNumber,2260)="","",INDEX(I.Facility.P2bIDNumber,2260))</f>
        <v/>
      </c>
      <c r="G12272" s="51"/>
      <c r="H12272" s="46" t="str">
        <f>IF(AND(I.Developer.P2b=TRUE,I.Facility.P2bFacilityCount&gt;=2260,F12272=""),"Incomplete","Complete")</f>
        <v>Complete</v>
      </c>
      <c r="I12272" s="48" t="s">
        <v>16637</v>
      </c>
    </row>
    <row r="12273" spans="2:9" ht="15" customHeight="1" x14ac:dyDescent="0.25">
      <c r="B12273" s="55" t="s">
        <v>281</v>
      </c>
      <c r="C12273" s="46">
        <v>2261</v>
      </c>
      <c r="D12273" s="69" t="s">
        <v>29418</v>
      </c>
      <c r="E12273" s="51"/>
      <c r="F12273" s="114" t="str">
        <f>IF(INDEX(I.Facility.P2bIDNumber,2261)="","",INDEX(I.Facility.P2bIDNumber,2261))</f>
        <v/>
      </c>
      <c r="G12273" s="51"/>
      <c r="H12273" s="46" t="str">
        <f>IF(AND(I.Developer.P2b=TRUE,I.Facility.P2bFacilityCount&gt;=2261,F12273=""),"Incomplete","Complete")</f>
        <v>Complete</v>
      </c>
      <c r="I12273" s="48" t="s">
        <v>16638</v>
      </c>
    </row>
    <row r="12274" spans="2:9" ht="15" customHeight="1" x14ac:dyDescent="0.25">
      <c r="B12274" s="55" t="s">
        <v>281</v>
      </c>
      <c r="C12274" s="46">
        <v>2262</v>
      </c>
      <c r="D12274" s="69" t="s">
        <v>29418</v>
      </c>
      <c r="E12274" s="51"/>
      <c r="F12274" s="114" t="str">
        <f>IF(INDEX(I.Facility.P2bIDNumber,2262)="","",INDEX(I.Facility.P2bIDNumber,2262))</f>
        <v/>
      </c>
      <c r="G12274" s="51"/>
      <c r="H12274" s="46" t="str">
        <f>IF(AND(I.Developer.P2b=TRUE,I.Facility.P2bFacilityCount&gt;=2262,F12274=""),"Incomplete","Complete")</f>
        <v>Complete</v>
      </c>
      <c r="I12274" s="48" t="s">
        <v>16639</v>
      </c>
    </row>
    <row r="12275" spans="2:9" ht="15" customHeight="1" x14ac:dyDescent="0.25">
      <c r="B12275" s="55" t="s">
        <v>281</v>
      </c>
      <c r="C12275" s="46">
        <v>2263</v>
      </c>
      <c r="D12275" s="69" t="s">
        <v>29418</v>
      </c>
      <c r="E12275" s="51"/>
      <c r="F12275" s="114" t="str">
        <f>IF(INDEX(I.Facility.P2bIDNumber,2263)="","",INDEX(I.Facility.P2bIDNumber,2263))</f>
        <v/>
      </c>
      <c r="G12275" s="51"/>
      <c r="H12275" s="46" t="str">
        <f>IF(AND(I.Developer.P2b=TRUE,I.Facility.P2bFacilityCount&gt;=2263,F12275=""),"Incomplete","Complete")</f>
        <v>Complete</v>
      </c>
      <c r="I12275" s="48" t="s">
        <v>16640</v>
      </c>
    </row>
    <row r="12276" spans="2:9" ht="15" customHeight="1" x14ac:dyDescent="0.25">
      <c r="B12276" s="55" t="s">
        <v>281</v>
      </c>
      <c r="C12276" s="46">
        <v>2264</v>
      </c>
      <c r="D12276" s="69" t="s">
        <v>29418</v>
      </c>
      <c r="E12276" s="51"/>
      <c r="F12276" s="114" t="str">
        <f>IF(INDEX(I.Facility.P2bIDNumber,2264)="","",INDEX(I.Facility.P2bIDNumber,2264))</f>
        <v/>
      </c>
      <c r="G12276" s="51"/>
      <c r="H12276" s="46" t="str">
        <f>IF(AND(I.Developer.P2b=TRUE,I.Facility.P2bFacilityCount&gt;=2264,F12276=""),"Incomplete","Complete")</f>
        <v>Complete</v>
      </c>
      <c r="I12276" s="48" t="s">
        <v>16641</v>
      </c>
    </row>
    <row r="12277" spans="2:9" ht="15" customHeight="1" x14ac:dyDescent="0.25">
      <c r="B12277" s="55" t="s">
        <v>281</v>
      </c>
      <c r="C12277" s="46">
        <v>2265</v>
      </c>
      <c r="D12277" s="69" t="s">
        <v>29418</v>
      </c>
      <c r="E12277" s="51"/>
      <c r="F12277" s="114" t="str">
        <f>IF(INDEX(I.Facility.P2bIDNumber,2265)="","",INDEX(I.Facility.P2bIDNumber,2265))</f>
        <v/>
      </c>
      <c r="G12277" s="51"/>
      <c r="H12277" s="46" t="str">
        <f>IF(AND(I.Developer.P2b=TRUE,I.Facility.P2bFacilityCount&gt;=2265,F12277=""),"Incomplete","Complete")</f>
        <v>Complete</v>
      </c>
      <c r="I12277" s="48" t="s">
        <v>16642</v>
      </c>
    </row>
    <row r="12278" spans="2:9" ht="15" customHeight="1" x14ac:dyDescent="0.25">
      <c r="B12278" s="55" t="s">
        <v>281</v>
      </c>
      <c r="C12278" s="46">
        <v>2266</v>
      </c>
      <c r="D12278" s="69" t="s">
        <v>29418</v>
      </c>
      <c r="E12278" s="51"/>
      <c r="F12278" s="114" t="str">
        <f>IF(INDEX(I.Facility.P2bIDNumber,2266)="","",INDEX(I.Facility.P2bIDNumber,2266))</f>
        <v/>
      </c>
      <c r="G12278" s="51"/>
      <c r="H12278" s="46" t="str">
        <f>IF(AND(I.Developer.P2b=TRUE,I.Facility.P2bFacilityCount&gt;=2266,F12278=""),"Incomplete","Complete")</f>
        <v>Complete</v>
      </c>
      <c r="I12278" s="48" t="s">
        <v>16643</v>
      </c>
    </row>
    <row r="12279" spans="2:9" ht="15" customHeight="1" x14ac:dyDescent="0.25">
      <c r="B12279" s="55" t="s">
        <v>281</v>
      </c>
      <c r="C12279" s="46">
        <v>2267</v>
      </c>
      <c r="D12279" s="69" t="s">
        <v>29418</v>
      </c>
      <c r="E12279" s="51"/>
      <c r="F12279" s="114" t="str">
        <f>IF(INDEX(I.Facility.P2bIDNumber,2267)="","",INDEX(I.Facility.P2bIDNumber,2267))</f>
        <v/>
      </c>
      <c r="G12279" s="51"/>
      <c r="H12279" s="46" t="str">
        <f>IF(AND(I.Developer.P2b=TRUE,I.Facility.P2bFacilityCount&gt;=2267,F12279=""),"Incomplete","Complete")</f>
        <v>Complete</v>
      </c>
      <c r="I12279" s="48" t="s">
        <v>16644</v>
      </c>
    </row>
    <row r="12280" spans="2:9" ht="15" customHeight="1" x14ac:dyDescent="0.25">
      <c r="B12280" s="55" t="s">
        <v>281</v>
      </c>
      <c r="C12280" s="46">
        <v>2268</v>
      </c>
      <c r="D12280" s="69" t="s">
        <v>29418</v>
      </c>
      <c r="E12280" s="51"/>
      <c r="F12280" s="114" t="str">
        <f>IF(INDEX(I.Facility.P2bIDNumber,2268)="","",INDEX(I.Facility.P2bIDNumber,2268))</f>
        <v/>
      </c>
      <c r="G12280" s="51"/>
      <c r="H12280" s="46" t="str">
        <f>IF(AND(I.Developer.P2b=TRUE,I.Facility.P2bFacilityCount&gt;=2268,F12280=""),"Incomplete","Complete")</f>
        <v>Complete</v>
      </c>
      <c r="I12280" s="48" t="s">
        <v>16645</v>
      </c>
    </row>
    <row r="12281" spans="2:9" ht="15" customHeight="1" x14ac:dyDescent="0.25">
      <c r="B12281" s="55" t="s">
        <v>281</v>
      </c>
      <c r="C12281" s="46">
        <v>2269</v>
      </c>
      <c r="D12281" s="69" t="s">
        <v>29418</v>
      </c>
      <c r="E12281" s="51"/>
      <c r="F12281" s="114" t="str">
        <f>IF(INDEX(I.Facility.P2bIDNumber,2269)="","",INDEX(I.Facility.P2bIDNumber,2269))</f>
        <v/>
      </c>
      <c r="G12281" s="51"/>
      <c r="H12281" s="46" t="str">
        <f>IF(AND(I.Developer.P2b=TRUE,I.Facility.P2bFacilityCount&gt;=2269,F12281=""),"Incomplete","Complete")</f>
        <v>Complete</v>
      </c>
      <c r="I12281" s="48" t="s">
        <v>16646</v>
      </c>
    </row>
    <row r="12282" spans="2:9" ht="15" customHeight="1" x14ac:dyDescent="0.25">
      <c r="B12282" s="55" t="s">
        <v>281</v>
      </c>
      <c r="C12282" s="46">
        <v>2270</v>
      </c>
      <c r="D12282" s="69" t="s">
        <v>29418</v>
      </c>
      <c r="E12282" s="51"/>
      <c r="F12282" s="114" t="str">
        <f>IF(INDEX(I.Facility.P2bIDNumber,2270)="","",INDEX(I.Facility.P2bIDNumber,2270))</f>
        <v/>
      </c>
      <c r="G12282" s="51"/>
      <c r="H12282" s="46" t="str">
        <f>IF(AND(I.Developer.P2b=TRUE,I.Facility.P2bFacilityCount&gt;=2270,F12282=""),"Incomplete","Complete")</f>
        <v>Complete</v>
      </c>
      <c r="I12282" s="48" t="s">
        <v>16647</v>
      </c>
    </row>
    <row r="12283" spans="2:9" ht="15" customHeight="1" x14ac:dyDescent="0.25">
      <c r="B12283" s="55" t="s">
        <v>281</v>
      </c>
      <c r="C12283" s="46">
        <v>2271</v>
      </c>
      <c r="D12283" s="69" t="s">
        <v>29418</v>
      </c>
      <c r="E12283" s="51"/>
      <c r="F12283" s="114" t="str">
        <f>IF(INDEX(I.Facility.P2bIDNumber,2271)="","",INDEX(I.Facility.P2bIDNumber,2271))</f>
        <v/>
      </c>
      <c r="G12283" s="51"/>
      <c r="H12283" s="46" t="str">
        <f>IF(AND(I.Developer.P2b=TRUE,I.Facility.P2bFacilityCount&gt;=2271,F12283=""),"Incomplete","Complete")</f>
        <v>Complete</v>
      </c>
      <c r="I12283" s="48" t="s">
        <v>16648</v>
      </c>
    </row>
    <row r="12284" spans="2:9" ht="15" customHeight="1" x14ac:dyDescent="0.25">
      <c r="B12284" s="55" t="s">
        <v>281</v>
      </c>
      <c r="C12284" s="46">
        <v>2272</v>
      </c>
      <c r="D12284" s="69" t="s">
        <v>29418</v>
      </c>
      <c r="E12284" s="51"/>
      <c r="F12284" s="114" t="str">
        <f>IF(INDEX(I.Facility.P2bIDNumber,2272)="","",INDEX(I.Facility.P2bIDNumber,2272))</f>
        <v/>
      </c>
      <c r="G12284" s="51"/>
      <c r="H12284" s="46" t="str">
        <f>IF(AND(I.Developer.P2b=TRUE,I.Facility.P2bFacilityCount&gt;=2272,F12284=""),"Incomplete","Complete")</f>
        <v>Complete</v>
      </c>
      <c r="I12284" s="48" t="s">
        <v>16649</v>
      </c>
    </row>
    <row r="12285" spans="2:9" ht="15" customHeight="1" x14ac:dyDescent="0.25">
      <c r="B12285" s="55" t="s">
        <v>281</v>
      </c>
      <c r="C12285" s="46">
        <v>2273</v>
      </c>
      <c r="D12285" s="69" t="s">
        <v>29418</v>
      </c>
      <c r="E12285" s="51"/>
      <c r="F12285" s="114" t="str">
        <f>IF(INDEX(I.Facility.P2bIDNumber,2273)="","",INDEX(I.Facility.P2bIDNumber,2273))</f>
        <v/>
      </c>
      <c r="G12285" s="51"/>
      <c r="H12285" s="46" t="str">
        <f>IF(AND(I.Developer.P2b=TRUE,I.Facility.P2bFacilityCount&gt;=2273,F12285=""),"Incomplete","Complete")</f>
        <v>Complete</v>
      </c>
      <c r="I12285" s="48" t="s">
        <v>16650</v>
      </c>
    </row>
    <row r="12286" spans="2:9" ht="15" customHeight="1" x14ac:dyDescent="0.25">
      <c r="B12286" s="55" t="s">
        <v>281</v>
      </c>
      <c r="C12286" s="46">
        <v>2274</v>
      </c>
      <c r="D12286" s="69" t="s">
        <v>29418</v>
      </c>
      <c r="E12286" s="51"/>
      <c r="F12286" s="114" t="str">
        <f>IF(INDEX(I.Facility.P2bIDNumber,2274)="","",INDEX(I.Facility.P2bIDNumber,2274))</f>
        <v/>
      </c>
      <c r="G12286" s="51"/>
      <c r="H12286" s="46" t="str">
        <f>IF(AND(I.Developer.P2b=TRUE,I.Facility.P2bFacilityCount&gt;=2274,F12286=""),"Incomplete","Complete")</f>
        <v>Complete</v>
      </c>
      <c r="I12286" s="48" t="s">
        <v>16651</v>
      </c>
    </row>
    <row r="12287" spans="2:9" ht="15" customHeight="1" x14ac:dyDescent="0.25">
      <c r="B12287" s="55" t="s">
        <v>281</v>
      </c>
      <c r="C12287" s="46">
        <v>2275</v>
      </c>
      <c r="D12287" s="69" t="s">
        <v>29418</v>
      </c>
      <c r="E12287" s="51"/>
      <c r="F12287" s="114" t="str">
        <f>IF(INDEX(I.Facility.P2bIDNumber,2275)="","",INDEX(I.Facility.P2bIDNumber,2275))</f>
        <v/>
      </c>
      <c r="G12287" s="51"/>
      <c r="H12287" s="46" t="str">
        <f>IF(AND(I.Developer.P2b=TRUE,I.Facility.P2bFacilityCount&gt;=2275,F12287=""),"Incomplete","Complete")</f>
        <v>Complete</v>
      </c>
      <c r="I12287" s="48" t="s">
        <v>16652</v>
      </c>
    </row>
    <row r="12288" spans="2:9" ht="15" customHeight="1" x14ac:dyDescent="0.25">
      <c r="B12288" s="55" t="s">
        <v>281</v>
      </c>
      <c r="C12288" s="46">
        <v>2276</v>
      </c>
      <c r="D12288" s="69" t="s">
        <v>29418</v>
      </c>
      <c r="E12288" s="51"/>
      <c r="F12288" s="114" t="str">
        <f>IF(INDEX(I.Facility.P2bIDNumber,2276)="","",INDEX(I.Facility.P2bIDNumber,2276))</f>
        <v/>
      </c>
      <c r="G12288" s="51"/>
      <c r="H12288" s="46" t="str">
        <f>IF(AND(I.Developer.P2b=TRUE,I.Facility.P2bFacilityCount&gt;=2276,F12288=""),"Incomplete","Complete")</f>
        <v>Complete</v>
      </c>
      <c r="I12288" s="48" t="s">
        <v>16653</v>
      </c>
    </row>
    <row r="12289" spans="2:9" ht="15" customHeight="1" x14ac:dyDescent="0.25">
      <c r="B12289" s="55" t="s">
        <v>281</v>
      </c>
      <c r="C12289" s="46">
        <v>2277</v>
      </c>
      <c r="D12289" s="69" t="s">
        <v>29418</v>
      </c>
      <c r="E12289" s="51"/>
      <c r="F12289" s="114" t="str">
        <f>IF(INDEX(I.Facility.P2bIDNumber,2277)="","",INDEX(I.Facility.P2bIDNumber,2277))</f>
        <v/>
      </c>
      <c r="G12289" s="51"/>
      <c r="H12289" s="46" t="str">
        <f>IF(AND(I.Developer.P2b=TRUE,I.Facility.P2bFacilityCount&gt;=2277,F12289=""),"Incomplete","Complete")</f>
        <v>Complete</v>
      </c>
      <c r="I12289" s="48" t="s">
        <v>16654</v>
      </c>
    </row>
    <row r="12290" spans="2:9" ht="15" customHeight="1" x14ac:dyDescent="0.25">
      <c r="B12290" s="55" t="s">
        <v>281</v>
      </c>
      <c r="C12290" s="46">
        <v>2278</v>
      </c>
      <c r="D12290" s="69" t="s">
        <v>29418</v>
      </c>
      <c r="E12290" s="51"/>
      <c r="F12290" s="114" t="str">
        <f>IF(INDEX(I.Facility.P2bIDNumber,2278)="","",INDEX(I.Facility.P2bIDNumber,2278))</f>
        <v/>
      </c>
      <c r="G12290" s="51"/>
      <c r="H12290" s="46" t="str">
        <f>IF(AND(I.Developer.P2b=TRUE,I.Facility.P2bFacilityCount&gt;=2278,F12290=""),"Incomplete","Complete")</f>
        <v>Complete</v>
      </c>
      <c r="I12290" s="48" t="s">
        <v>16655</v>
      </c>
    </row>
    <row r="12291" spans="2:9" ht="15" customHeight="1" x14ac:dyDescent="0.25">
      <c r="B12291" s="55" t="s">
        <v>281</v>
      </c>
      <c r="C12291" s="46">
        <v>2279</v>
      </c>
      <c r="D12291" s="69" t="s">
        <v>29418</v>
      </c>
      <c r="E12291" s="51"/>
      <c r="F12291" s="114" t="str">
        <f>IF(INDEX(I.Facility.P2bIDNumber,2279)="","",INDEX(I.Facility.P2bIDNumber,2279))</f>
        <v/>
      </c>
      <c r="G12291" s="51"/>
      <c r="H12291" s="46" t="str">
        <f>IF(AND(I.Developer.P2b=TRUE,I.Facility.P2bFacilityCount&gt;=2279,F12291=""),"Incomplete","Complete")</f>
        <v>Complete</v>
      </c>
      <c r="I12291" s="48" t="s">
        <v>16656</v>
      </c>
    </row>
    <row r="12292" spans="2:9" ht="15" customHeight="1" x14ac:dyDescent="0.25">
      <c r="B12292" s="55" t="s">
        <v>281</v>
      </c>
      <c r="C12292" s="46">
        <v>2280</v>
      </c>
      <c r="D12292" s="69" t="s">
        <v>29418</v>
      </c>
      <c r="E12292" s="51"/>
      <c r="F12292" s="114" t="str">
        <f>IF(INDEX(I.Facility.P2bIDNumber,2280)="","",INDEX(I.Facility.P2bIDNumber,2280))</f>
        <v/>
      </c>
      <c r="G12292" s="51"/>
      <c r="H12292" s="46" t="str">
        <f>IF(AND(I.Developer.P2b=TRUE,I.Facility.P2bFacilityCount&gt;=2280,F12292=""),"Incomplete","Complete")</f>
        <v>Complete</v>
      </c>
      <c r="I12292" s="48" t="s">
        <v>16657</v>
      </c>
    </row>
    <row r="12293" spans="2:9" ht="15" customHeight="1" x14ac:dyDescent="0.25">
      <c r="B12293" s="55" t="s">
        <v>281</v>
      </c>
      <c r="C12293" s="46">
        <v>2281</v>
      </c>
      <c r="D12293" s="69" t="s">
        <v>29418</v>
      </c>
      <c r="E12293" s="51"/>
      <c r="F12293" s="114" t="str">
        <f>IF(INDEX(I.Facility.P2bIDNumber,2281)="","",INDEX(I.Facility.P2bIDNumber,2281))</f>
        <v/>
      </c>
      <c r="G12293" s="51"/>
      <c r="H12293" s="46" t="str">
        <f>IF(AND(I.Developer.P2b=TRUE,I.Facility.P2bFacilityCount&gt;=2281,F12293=""),"Incomplete","Complete")</f>
        <v>Complete</v>
      </c>
      <c r="I12293" s="48" t="s">
        <v>16658</v>
      </c>
    </row>
    <row r="12294" spans="2:9" ht="15" customHeight="1" x14ac:dyDescent="0.25">
      <c r="B12294" s="55" t="s">
        <v>281</v>
      </c>
      <c r="C12294" s="46">
        <v>2282</v>
      </c>
      <c r="D12294" s="69" t="s">
        <v>29418</v>
      </c>
      <c r="E12294" s="51"/>
      <c r="F12294" s="114" t="str">
        <f>IF(INDEX(I.Facility.P2bIDNumber,2282)="","",INDEX(I.Facility.P2bIDNumber,2282))</f>
        <v/>
      </c>
      <c r="G12294" s="51"/>
      <c r="H12294" s="46" t="str">
        <f>IF(AND(I.Developer.P2b=TRUE,I.Facility.P2bFacilityCount&gt;=2282,F12294=""),"Incomplete","Complete")</f>
        <v>Complete</v>
      </c>
      <c r="I12294" s="48" t="s">
        <v>16659</v>
      </c>
    </row>
    <row r="12295" spans="2:9" ht="15" customHeight="1" x14ac:dyDescent="0.25">
      <c r="B12295" s="55" t="s">
        <v>281</v>
      </c>
      <c r="C12295" s="46">
        <v>2283</v>
      </c>
      <c r="D12295" s="69" t="s">
        <v>29418</v>
      </c>
      <c r="E12295" s="51"/>
      <c r="F12295" s="114" t="str">
        <f>IF(INDEX(I.Facility.P2bIDNumber,2283)="","",INDEX(I.Facility.P2bIDNumber,2283))</f>
        <v/>
      </c>
      <c r="G12295" s="51"/>
      <c r="H12295" s="46" t="str">
        <f>IF(AND(I.Developer.P2b=TRUE,I.Facility.P2bFacilityCount&gt;=2283,F12295=""),"Incomplete","Complete")</f>
        <v>Complete</v>
      </c>
      <c r="I12295" s="48" t="s">
        <v>16660</v>
      </c>
    </row>
    <row r="12296" spans="2:9" ht="15" customHeight="1" x14ac:dyDescent="0.25">
      <c r="B12296" s="55" t="s">
        <v>281</v>
      </c>
      <c r="C12296" s="46">
        <v>2284</v>
      </c>
      <c r="D12296" s="69" t="s">
        <v>29418</v>
      </c>
      <c r="E12296" s="51"/>
      <c r="F12296" s="114" t="str">
        <f>IF(INDEX(I.Facility.P2bIDNumber,2284)="","",INDEX(I.Facility.P2bIDNumber,2284))</f>
        <v/>
      </c>
      <c r="G12296" s="51"/>
      <c r="H12296" s="46" t="str">
        <f>IF(AND(I.Developer.P2b=TRUE,I.Facility.P2bFacilityCount&gt;=2284,F12296=""),"Incomplete","Complete")</f>
        <v>Complete</v>
      </c>
      <c r="I12296" s="48" t="s">
        <v>16661</v>
      </c>
    </row>
    <row r="12297" spans="2:9" ht="15" customHeight="1" x14ac:dyDescent="0.25">
      <c r="B12297" s="55" t="s">
        <v>281</v>
      </c>
      <c r="C12297" s="46">
        <v>2285</v>
      </c>
      <c r="D12297" s="69" t="s">
        <v>29418</v>
      </c>
      <c r="E12297" s="51"/>
      <c r="F12297" s="114" t="str">
        <f>IF(INDEX(I.Facility.P2bIDNumber,2285)="","",INDEX(I.Facility.P2bIDNumber,2285))</f>
        <v/>
      </c>
      <c r="G12297" s="51"/>
      <c r="H12297" s="46" t="str">
        <f>IF(AND(I.Developer.P2b=TRUE,I.Facility.P2bFacilityCount&gt;=2285,F12297=""),"Incomplete","Complete")</f>
        <v>Complete</v>
      </c>
      <c r="I12297" s="48" t="s">
        <v>16662</v>
      </c>
    </row>
    <row r="12298" spans="2:9" ht="15" customHeight="1" x14ac:dyDescent="0.25">
      <c r="B12298" s="55" t="s">
        <v>281</v>
      </c>
      <c r="C12298" s="46">
        <v>2286</v>
      </c>
      <c r="D12298" s="69" t="s">
        <v>29418</v>
      </c>
      <c r="E12298" s="51"/>
      <c r="F12298" s="114" t="str">
        <f>IF(INDEX(I.Facility.P2bIDNumber,2286)="","",INDEX(I.Facility.P2bIDNumber,2286))</f>
        <v/>
      </c>
      <c r="G12298" s="51"/>
      <c r="H12298" s="46" t="str">
        <f>IF(AND(I.Developer.P2b=TRUE,I.Facility.P2bFacilityCount&gt;=2286,F12298=""),"Incomplete","Complete")</f>
        <v>Complete</v>
      </c>
      <c r="I12298" s="48" t="s">
        <v>16663</v>
      </c>
    </row>
    <row r="12299" spans="2:9" ht="15" customHeight="1" x14ac:dyDescent="0.25">
      <c r="B12299" s="55" t="s">
        <v>281</v>
      </c>
      <c r="C12299" s="46">
        <v>2287</v>
      </c>
      <c r="D12299" s="69" t="s">
        <v>29418</v>
      </c>
      <c r="E12299" s="51"/>
      <c r="F12299" s="114" t="str">
        <f>IF(INDEX(I.Facility.P2bIDNumber,2287)="","",INDEX(I.Facility.P2bIDNumber,2287))</f>
        <v/>
      </c>
      <c r="G12299" s="51"/>
      <c r="H12299" s="46" t="str">
        <f>IF(AND(I.Developer.P2b=TRUE,I.Facility.P2bFacilityCount&gt;=2287,F12299=""),"Incomplete","Complete")</f>
        <v>Complete</v>
      </c>
      <c r="I12299" s="48" t="s">
        <v>16664</v>
      </c>
    </row>
    <row r="12300" spans="2:9" ht="15" customHeight="1" x14ac:dyDescent="0.25">
      <c r="B12300" s="55" t="s">
        <v>281</v>
      </c>
      <c r="C12300" s="46">
        <v>2288</v>
      </c>
      <c r="D12300" s="69" t="s">
        <v>29418</v>
      </c>
      <c r="E12300" s="51"/>
      <c r="F12300" s="114" t="str">
        <f>IF(INDEX(I.Facility.P2bIDNumber,2288)="","",INDEX(I.Facility.P2bIDNumber,2288))</f>
        <v/>
      </c>
      <c r="G12300" s="51"/>
      <c r="H12300" s="46" t="str">
        <f>IF(AND(I.Developer.P2b=TRUE,I.Facility.P2bFacilityCount&gt;=2288,F12300=""),"Incomplete","Complete")</f>
        <v>Complete</v>
      </c>
      <c r="I12300" s="48" t="s">
        <v>16665</v>
      </c>
    </row>
    <row r="12301" spans="2:9" ht="15" customHeight="1" x14ac:dyDescent="0.25">
      <c r="B12301" s="55" t="s">
        <v>281</v>
      </c>
      <c r="C12301" s="46">
        <v>2289</v>
      </c>
      <c r="D12301" s="69" t="s">
        <v>29418</v>
      </c>
      <c r="E12301" s="51"/>
      <c r="F12301" s="114" t="str">
        <f>IF(INDEX(I.Facility.P2bIDNumber,2289)="","",INDEX(I.Facility.P2bIDNumber,2289))</f>
        <v/>
      </c>
      <c r="G12301" s="51"/>
      <c r="H12301" s="46" t="str">
        <f>IF(AND(I.Developer.P2b=TRUE,I.Facility.P2bFacilityCount&gt;=2289,F12301=""),"Incomplete","Complete")</f>
        <v>Complete</v>
      </c>
      <c r="I12301" s="48" t="s">
        <v>16666</v>
      </c>
    </row>
    <row r="12302" spans="2:9" ht="15" customHeight="1" x14ac:dyDescent="0.25">
      <c r="B12302" s="55" t="s">
        <v>281</v>
      </c>
      <c r="C12302" s="46">
        <v>2290</v>
      </c>
      <c r="D12302" s="69" t="s">
        <v>29418</v>
      </c>
      <c r="E12302" s="51"/>
      <c r="F12302" s="114" t="str">
        <f>IF(INDEX(I.Facility.P2bIDNumber,2290)="","",INDEX(I.Facility.P2bIDNumber,2290))</f>
        <v/>
      </c>
      <c r="G12302" s="51"/>
      <c r="H12302" s="46" t="str">
        <f>IF(AND(I.Developer.P2b=TRUE,I.Facility.P2bFacilityCount&gt;=2290,F12302=""),"Incomplete","Complete")</f>
        <v>Complete</v>
      </c>
      <c r="I12302" s="48" t="s">
        <v>16667</v>
      </c>
    </row>
    <row r="12303" spans="2:9" ht="15" customHeight="1" x14ac:dyDescent="0.25">
      <c r="B12303" s="55" t="s">
        <v>281</v>
      </c>
      <c r="C12303" s="46">
        <v>2291</v>
      </c>
      <c r="D12303" s="69" t="s">
        <v>29418</v>
      </c>
      <c r="E12303" s="51"/>
      <c r="F12303" s="114" t="str">
        <f>IF(INDEX(I.Facility.P2bIDNumber,2291)="","",INDEX(I.Facility.P2bIDNumber,2291))</f>
        <v/>
      </c>
      <c r="G12303" s="51"/>
      <c r="H12303" s="46" t="str">
        <f>IF(AND(I.Developer.P2b=TRUE,I.Facility.P2bFacilityCount&gt;=2291,F12303=""),"Incomplete","Complete")</f>
        <v>Complete</v>
      </c>
      <c r="I12303" s="48" t="s">
        <v>16668</v>
      </c>
    </row>
    <row r="12304" spans="2:9" ht="15" customHeight="1" x14ac:dyDescent="0.25">
      <c r="B12304" s="55" t="s">
        <v>281</v>
      </c>
      <c r="C12304" s="46">
        <v>2292</v>
      </c>
      <c r="D12304" s="69" t="s">
        <v>29418</v>
      </c>
      <c r="E12304" s="51"/>
      <c r="F12304" s="114" t="str">
        <f>IF(INDEX(I.Facility.P2bIDNumber,2292)="","",INDEX(I.Facility.P2bIDNumber,2292))</f>
        <v/>
      </c>
      <c r="G12304" s="51"/>
      <c r="H12304" s="46" t="str">
        <f>IF(AND(I.Developer.P2b=TRUE,I.Facility.P2bFacilityCount&gt;=2292,F12304=""),"Incomplete","Complete")</f>
        <v>Complete</v>
      </c>
      <c r="I12304" s="48" t="s">
        <v>16669</v>
      </c>
    </row>
    <row r="12305" spans="2:9" ht="15" customHeight="1" x14ac:dyDescent="0.25">
      <c r="B12305" s="55" t="s">
        <v>281</v>
      </c>
      <c r="C12305" s="46">
        <v>2293</v>
      </c>
      <c r="D12305" s="69" t="s">
        <v>29418</v>
      </c>
      <c r="E12305" s="51"/>
      <c r="F12305" s="114" t="str">
        <f>IF(INDEX(I.Facility.P2bIDNumber,2293)="","",INDEX(I.Facility.P2bIDNumber,2293))</f>
        <v/>
      </c>
      <c r="G12305" s="51"/>
      <c r="H12305" s="46" t="str">
        <f>IF(AND(I.Developer.P2b=TRUE,I.Facility.P2bFacilityCount&gt;=2293,F12305=""),"Incomplete","Complete")</f>
        <v>Complete</v>
      </c>
      <c r="I12305" s="48" t="s">
        <v>16670</v>
      </c>
    </row>
    <row r="12306" spans="2:9" ht="15" customHeight="1" x14ac:dyDescent="0.25">
      <c r="B12306" s="55" t="s">
        <v>281</v>
      </c>
      <c r="C12306" s="46">
        <v>2294</v>
      </c>
      <c r="D12306" s="69" t="s">
        <v>29418</v>
      </c>
      <c r="E12306" s="51"/>
      <c r="F12306" s="114" t="str">
        <f>IF(INDEX(I.Facility.P2bIDNumber,2294)="","",INDEX(I.Facility.P2bIDNumber,2294))</f>
        <v/>
      </c>
      <c r="G12306" s="51"/>
      <c r="H12306" s="46" t="str">
        <f>IF(AND(I.Developer.P2b=TRUE,I.Facility.P2bFacilityCount&gt;=2294,F12306=""),"Incomplete","Complete")</f>
        <v>Complete</v>
      </c>
      <c r="I12306" s="48" t="s">
        <v>16671</v>
      </c>
    </row>
    <row r="12307" spans="2:9" ht="15" customHeight="1" x14ac:dyDescent="0.25">
      <c r="B12307" s="55" t="s">
        <v>281</v>
      </c>
      <c r="C12307" s="46">
        <v>2295</v>
      </c>
      <c r="D12307" s="69" t="s">
        <v>29418</v>
      </c>
      <c r="E12307" s="51"/>
      <c r="F12307" s="114" t="str">
        <f>IF(INDEX(I.Facility.P2bIDNumber,2295)="","",INDEX(I.Facility.P2bIDNumber,2295))</f>
        <v/>
      </c>
      <c r="G12307" s="51"/>
      <c r="H12307" s="46" t="str">
        <f>IF(AND(I.Developer.P2b=TRUE,I.Facility.P2bFacilityCount&gt;=2295,F12307=""),"Incomplete","Complete")</f>
        <v>Complete</v>
      </c>
      <c r="I12307" s="48" t="s">
        <v>16672</v>
      </c>
    </row>
    <row r="12308" spans="2:9" ht="15" customHeight="1" x14ac:dyDescent="0.25">
      <c r="B12308" s="55" t="s">
        <v>281</v>
      </c>
      <c r="C12308" s="46">
        <v>2296</v>
      </c>
      <c r="D12308" s="69" t="s">
        <v>29418</v>
      </c>
      <c r="E12308" s="51"/>
      <c r="F12308" s="114" t="str">
        <f>IF(INDEX(I.Facility.P2bIDNumber,2296)="","",INDEX(I.Facility.P2bIDNumber,2296))</f>
        <v/>
      </c>
      <c r="G12308" s="51"/>
      <c r="H12308" s="46" t="str">
        <f>IF(AND(I.Developer.P2b=TRUE,I.Facility.P2bFacilityCount&gt;=2296,F12308=""),"Incomplete","Complete")</f>
        <v>Complete</v>
      </c>
      <c r="I12308" s="48" t="s">
        <v>16673</v>
      </c>
    </row>
    <row r="12309" spans="2:9" ht="15" customHeight="1" x14ac:dyDescent="0.25">
      <c r="B12309" s="55" t="s">
        <v>281</v>
      </c>
      <c r="C12309" s="46">
        <v>2297</v>
      </c>
      <c r="D12309" s="69" t="s">
        <v>29418</v>
      </c>
      <c r="E12309" s="51"/>
      <c r="F12309" s="114" t="str">
        <f>IF(INDEX(I.Facility.P2bIDNumber,2297)="","",INDEX(I.Facility.P2bIDNumber,2297))</f>
        <v/>
      </c>
      <c r="G12309" s="51"/>
      <c r="H12309" s="46" t="str">
        <f>IF(AND(I.Developer.P2b=TRUE,I.Facility.P2bFacilityCount&gt;=2297,F12309=""),"Incomplete","Complete")</f>
        <v>Complete</v>
      </c>
      <c r="I12309" s="48" t="s">
        <v>16674</v>
      </c>
    </row>
    <row r="12310" spans="2:9" ht="15" customHeight="1" x14ac:dyDescent="0.25">
      <c r="B12310" s="55" t="s">
        <v>281</v>
      </c>
      <c r="C12310" s="46">
        <v>2298</v>
      </c>
      <c r="D12310" s="69" t="s">
        <v>29418</v>
      </c>
      <c r="E12310" s="51"/>
      <c r="F12310" s="114" t="str">
        <f>IF(INDEX(I.Facility.P2bIDNumber,2298)="","",INDEX(I.Facility.P2bIDNumber,2298))</f>
        <v/>
      </c>
      <c r="G12310" s="51"/>
      <c r="H12310" s="46" t="str">
        <f>IF(AND(I.Developer.P2b=TRUE,I.Facility.P2bFacilityCount&gt;=2298,F12310=""),"Incomplete","Complete")</f>
        <v>Complete</v>
      </c>
      <c r="I12310" s="48" t="s">
        <v>16675</v>
      </c>
    </row>
    <row r="12311" spans="2:9" ht="15" customHeight="1" x14ac:dyDescent="0.25">
      <c r="B12311" s="55" t="s">
        <v>281</v>
      </c>
      <c r="C12311" s="46">
        <v>2299</v>
      </c>
      <c r="D12311" s="69" t="s">
        <v>29418</v>
      </c>
      <c r="E12311" s="51"/>
      <c r="F12311" s="114" t="str">
        <f>IF(INDEX(I.Facility.P2bIDNumber,2299)="","",INDEX(I.Facility.P2bIDNumber,2299))</f>
        <v/>
      </c>
      <c r="G12311" s="51"/>
      <c r="H12311" s="46" t="str">
        <f>IF(AND(I.Developer.P2b=TRUE,I.Facility.P2bFacilityCount&gt;=2299,F12311=""),"Incomplete","Complete")</f>
        <v>Complete</v>
      </c>
      <c r="I12311" s="48" t="s">
        <v>16676</v>
      </c>
    </row>
    <row r="12312" spans="2:9" ht="15" customHeight="1" x14ac:dyDescent="0.25">
      <c r="B12312" s="55" t="s">
        <v>281</v>
      </c>
      <c r="C12312" s="46">
        <v>2300</v>
      </c>
      <c r="D12312" s="69" t="s">
        <v>29418</v>
      </c>
      <c r="E12312" s="51"/>
      <c r="F12312" s="114" t="str">
        <f>IF(INDEX(I.Facility.P2bIDNumber,2300)="","",INDEX(I.Facility.P2bIDNumber,2300))</f>
        <v/>
      </c>
      <c r="G12312" s="51"/>
      <c r="H12312" s="46" t="str">
        <f>IF(AND(I.Developer.P2b=TRUE,I.Facility.P2bFacilityCount&gt;=2300,F12312=""),"Incomplete","Complete")</f>
        <v>Complete</v>
      </c>
      <c r="I12312" s="48" t="s">
        <v>16677</v>
      </c>
    </row>
    <row r="12313" spans="2:9" ht="15" customHeight="1" x14ac:dyDescent="0.25">
      <c r="B12313" s="55" t="s">
        <v>281</v>
      </c>
      <c r="C12313" s="46">
        <v>2301</v>
      </c>
      <c r="D12313" s="69" t="s">
        <v>29418</v>
      </c>
      <c r="E12313" s="51"/>
      <c r="F12313" s="114" t="str">
        <f>IF(INDEX(I.Facility.P2bIDNumber,2301)="","",INDEX(I.Facility.P2bIDNumber,2301))</f>
        <v/>
      </c>
      <c r="G12313" s="51"/>
      <c r="H12313" s="46" t="str">
        <f>IF(AND(I.Developer.P2b=TRUE,I.Facility.P2bFacilityCount&gt;=2301,F12313=""),"Incomplete","Complete")</f>
        <v>Complete</v>
      </c>
      <c r="I12313" s="48" t="s">
        <v>16678</v>
      </c>
    </row>
    <row r="12314" spans="2:9" ht="15" customHeight="1" x14ac:dyDescent="0.25">
      <c r="B12314" s="55" t="s">
        <v>281</v>
      </c>
      <c r="C12314" s="46">
        <v>2302</v>
      </c>
      <c r="D12314" s="69" t="s">
        <v>29418</v>
      </c>
      <c r="E12314" s="51"/>
      <c r="F12314" s="114" t="str">
        <f>IF(INDEX(I.Facility.P2bIDNumber,2302)="","",INDEX(I.Facility.P2bIDNumber,2302))</f>
        <v/>
      </c>
      <c r="G12314" s="51"/>
      <c r="H12314" s="46" t="str">
        <f>IF(AND(I.Developer.P2b=TRUE,I.Facility.P2bFacilityCount&gt;=2302,F12314=""),"Incomplete","Complete")</f>
        <v>Complete</v>
      </c>
      <c r="I12314" s="48" t="s">
        <v>16679</v>
      </c>
    </row>
    <row r="12315" spans="2:9" ht="15" customHeight="1" x14ac:dyDescent="0.25">
      <c r="B12315" s="55" t="s">
        <v>281</v>
      </c>
      <c r="C12315" s="46">
        <v>2303</v>
      </c>
      <c r="D12315" s="69" t="s">
        <v>29418</v>
      </c>
      <c r="E12315" s="51"/>
      <c r="F12315" s="114" t="str">
        <f>IF(INDEX(I.Facility.P2bIDNumber,2303)="","",INDEX(I.Facility.P2bIDNumber,2303))</f>
        <v/>
      </c>
      <c r="G12315" s="51"/>
      <c r="H12315" s="46" t="str">
        <f>IF(AND(I.Developer.P2b=TRUE,I.Facility.P2bFacilityCount&gt;=2303,F12315=""),"Incomplete","Complete")</f>
        <v>Complete</v>
      </c>
      <c r="I12315" s="48" t="s">
        <v>16680</v>
      </c>
    </row>
    <row r="12316" spans="2:9" ht="15" customHeight="1" x14ac:dyDescent="0.25">
      <c r="B12316" s="55" t="s">
        <v>281</v>
      </c>
      <c r="C12316" s="46">
        <v>2304</v>
      </c>
      <c r="D12316" s="69" t="s">
        <v>29418</v>
      </c>
      <c r="E12316" s="51"/>
      <c r="F12316" s="114" t="str">
        <f>IF(INDEX(I.Facility.P2bIDNumber,2304)="","",INDEX(I.Facility.P2bIDNumber,2304))</f>
        <v/>
      </c>
      <c r="G12316" s="51"/>
      <c r="H12316" s="46" t="str">
        <f>IF(AND(I.Developer.P2b=TRUE,I.Facility.P2bFacilityCount&gt;=2304,F12316=""),"Incomplete","Complete")</f>
        <v>Complete</v>
      </c>
      <c r="I12316" s="48" t="s">
        <v>16681</v>
      </c>
    </row>
    <row r="12317" spans="2:9" ht="15" customHeight="1" x14ac:dyDescent="0.25">
      <c r="B12317" s="55" t="s">
        <v>281</v>
      </c>
      <c r="C12317" s="46">
        <v>2305</v>
      </c>
      <c r="D12317" s="69" t="s">
        <v>29418</v>
      </c>
      <c r="E12317" s="51"/>
      <c r="F12317" s="114" t="str">
        <f>IF(INDEX(I.Facility.P2bIDNumber,2305)="","",INDEX(I.Facility.P2bIDNumber,2305))</f>
        <v/>
      </c>
      <c r="G12317" s="51"/>
      <c r="H12317" s="46" t="str">
        <f>IF(AND(I.Developer.P2b=TRUE,I.Facility.P2bFacilityCount&gt;=2305,F12317=""),"Incomplete","Complete")</f>
        <v>Complete</v>
      </c>
      <c r="I12317" s="48" t="s">
        <v>16682</v>
      </c>
    </row>
    <row r="12318" spans="2:9" ht="15" customHeight="1" x14ac:dyDescent="0.25">
      <c r="B12318" s="55" t="s">
        <v>281</v>
      </c>
      <c r="C12318" s="46">
        <v>2306</v>
      </c>
      <c r="D12318" s="69" t="s">
        <v>29418</v>
      </c>
      <c r="E12318" s="51"/>
      <c r="F12318" s="114" t="str">
        <f>IF(INDEX(I.Facility.P2bIDNumber,2306)="","",INDEX(I.Facility.P2bIDNumber,2306))</f>
        <v/>
      </c>
      <c r="G12318" s="51"/>
      <c r="H12318" s="46" t="str">
        <f>IF(AND(I.Developer.P2b=TRUE,I.Facility.P2bFacilityCount&gt;=2306,F12318=""),"Incomplete","Complete")</f>
        <v>Complete</v>
      </c>
      <c r="I12318" s="48" t="s">
        <v>16683</v>
      </c>
    </row>
    <row r="12319" spans="2:9" ht="15" customHeight="1" x14ac:dyDescent="0.25">
      <c r="B12319" s="55" t="s">
        <v>281</v>
      </c>
      <c r="C12319" s="46">
        <v>2307</v>
      </c>
      <c r="D12319" s="69" t="s">
        <v>29418</v>
      </c>
      <c r="E12319" s="51"/>
      <c r="F12319" s="114" t="str">
        <f>IF(INDEX(I.Facility.P2bIDNumber,2307)="","",INDEX(I.Facility.P2bIDNumber,2307))</f>
        <v/>
      </c>
      <c r="G12319" s="51"/>
      <c r="H12319" s="46" t="str">
        <f>IF(AND(I.Developer.P2b=TRUE,I.Facility.P2bFacilityCount&gt;=2307,F12319=""),"Incomplete","Complete")</f>
        <v>Complete</v>
      </c>
      <c r="I12319" s="48" t="s">
        <v>16684</v>
      </c>
    </row>
    <row r="12320" spans="2:9" ht="15" customHeight="1" x14ac:dyDescent="0.25">
      <c r="B12320" s="55" t="s">
        <v>281</v>
      </c>
      <c r="C12320" s="46">
        <v>2308</v>
      </c>
      <c r="D12320" s="69" t="s">
        <v>29418</v>
      </c>
      <c r="E12320" s="51"/>
      <c r="F12320" s="114" t="str">
        <f>IF(INDEX(I.Facility.P2bIDNumber,2308)="","",INDEX(I.Facility.P2bIDNumber,2308))</f>
        <v/>
      </c>
      <c r="G12320" s="51"/>
      <c r="H12320" s="46" t="str">
        <f>IF(AND(I.Developer.P2b=TRUE,I.Facility.P2bFacilityCount&gt;=2308,F12320=""),"Incomplete","Complete")</f>
        <v>Complete</v>
      </c>
      <c r="I12320" s="48" t="s">
        <v>16685</v>
      </c>
    </row>
    <row r="12321" spans="2:9" ht="15" customHeight="1" x14ac:dyDescent="0.25">
      <c r="B12321" s="55" t="s">
        <v>281</v>
      </c>
      <c r="C12321" s="46">
        <v>2309</v>
      </c>
      <c r="D12321" s="69" t="s">
        <v>29418</v>
      </c>
      <c r="E12321" s="51"/>
      <c r="F12321" s="114" t="str">
        <f>IF(INDEX(I.Facility.P2bIDNumber,2309)="","",INDEX(I.Facility.P2bIDNumber,2309))</f>
        <v/>
      </c>
      <c r="G12321" s="51"/>
      <c r="H12321" s="46" t="str">
        <f>IF(AND(I.Developer.P2b=TRUE,I.Facility.P2bFacilityCount&gt;=2309,F12321=""),"Incomplete","Complete")</f>
        <v>Complete</v>
      </c>
      <c r="I12321" s="48" t="s">
        <v>16686</v>
      </c>
    </row>
    <row r="12322" spans="2:9" ht="15" customHeight="1" x14ac:dyDescent="0.25">
      <c r="B12322" s="55" t="s">
        <v>281</v>
      </c>
      <c r="C12322" s="46">
        <v>2310</v>
      </c>
      <c r="D12322" s="69" t="s">
        <v>29418</v>
      </c>
      <c r="E12322" s="51"/>
      <c r="F12322" s="114" t="str">
        <f>IF(INDEX(I.Facility.P2bIDNumber,2310)="","",INDEX(I.Facility.P2bIDNumber,2310))</f>
        <v/>
      </c>
      <c r="G12322" s="51"/>
      <c r="H12322" s="46" t="str">
        <f>IF(AND(I.Developer.P2b=TRUE,I.Facility.P2bFacilityCount&gt;=2310,F12322=""),"Incomplete","Complete")</f>
        <v>Complete</v>
      </c>
      <c r="I12322" s="48" t="s">
        <v>16687</v>
      </c>
    </row>
    <row r="12323" spans="2:9" ht="15" customHeight="1" x14ac:dyDescent="0.25">
      <c r="B12323" s="55" t="s">
        <v>281</v>
      </c>
      <c r="C12323" s="46">
        <v>2311</v>
      </c>
      <c r="D12323" s="69" t="s">
        <v>29418</v>
      </c>
      <c r="E12323" s="51"/>
      <c r="F12323" s="114" t="str">
        <f>IF(INDEX(I.Facility.P2bIDNumber,2311)="","",INDEX(I.Facility.P2bIDNumber,2311))</f>
        <v/>
      </c>
      <c r="G12323" s="51"/>
      <c r="H12323" s="46" t="str">
        <f>IF(AND(I.Developer.P2b=TRUE,I.Facility.P2bFacilityCount&gt;=2311,F12323=""),"Incomplete","Complete")</f>
        <v>Complete</v>
      </c>
      <c r="I12323" s="48" t="s">
        <v>16688</v>
      </c>
    </row>
    <row r="12324" spans="2:9" ht="15" customHeight="1" x14ac:dyDescent="0.25">
      <c r="B12324" s="55" t="s">
        <v>281</v>
      </c>
      <c r="C12324" s="46">
        <v>2312</v>
      </c>
      <c r="D12324" s="69" t="s">
        <v>29418</v>
      </c>
      <c r="E12324" s="51"/>
      <c r="F12324" s="114" t="str">
        <f>IF(INDEX(I.Facility.P2bIDNumber,2312)="","",INDEX(I.Facility.P2bIDNumber,2312))</f>
        <v/>
      </c>
      <c r="G12324" s="51"/>
      <c r="H12324" s="46" t="str">
        <f>IF(AND(I.Developer.P2b=TRUE,I.Facility.P2bFacilityCount&gt;=2312,F12324=""),"Incomplete","Complete")</f>
        <v>Complete</v>
      </c>
      <c r="I12324" s="48" t="s">
        <v>16689</v>
      </c>
    </row>
    <row r="12325" spans="2:9" ht="15" customHeight="1" x14ac:dyDescent="0.25">
      <c r="B12325" s="55" t="s">
        <v>281</v>
      </c>
      <c r="C12325" s="46">
        <v>2313</v>
      </c>
      <c r="D12325" s="69" t="s">
        <v>29418</v>
      </c>
      <c r="E12325" s="51"/>
      <c r="F12325" s="114" t="str">
        <f>IF(INDEX(I.Facility.P2bIDNumber,2313)="","",INDEX(I.Facility.P2bIDNumber,2313))</f>
        <v/>
      </c>
      <c r="G12325" s="51"/>
      <c r="H12325" s="46" t="str">
        <f>IF(AND(I.Developer.P2b=TRUE,I.Facility.P2bFacilityCount&gt;=2313,F12325=""),"Incomplete","Complete")</f>
        <v>Complete</v>
      </c>
      <c r="I12325" s="48" t="s">
        <v>16690</v>
      </c>
    </row>
    <row r="12326" spans="2:9" ht="15" customHeight="1" x14ac:dyDescent="0.25">
      <c r="B12326" s="55" t="s">
        <v>281</v>
      </c>
      <c r="C12326" s="46">
        <v>2314</v>
      </c>
      <c r="D12326" s="69" t="s">
        <v>29418</v>
      </c>
      <c r="E12326" s="51"/>
      <c r="F12326" s="114" t="str">
        <f>IF(INDEX(I.Facility.P2bIDNumber,2314)="","",INDEX(I.Facility.P2bIDNumber,2314))</f>
        <v/>
      </c>
      <c r="G12326" s="51"/>
      <c r="H12326" s="46" t="str">
        <f>IF(AND(I.Developer.P2b=TRUE,I.Facility.P2bFacilityCount&gt;=2314,F12326=""),"Incomplete","Complete")</f>
        <v>Complete</v>
      </c>
      <c r="I12326" s="48" t="s">
        <v>16691</v>
      </c>
    </row>
    <row r="12327" spans="2:9" ht="15" customHeight="1" x14ac:dyDescent="0.25">
      <c r="B12327" s="55" t="s">
        <v>281</v>
      </c>
      <c r="C12327" s="46">
        <v>2315</v>
      </c>
      <c r="D12327" s="69" t="s">
        <v>29418</v>
      </c>
      <c r="E12327" s="51"/>
      <c r="F12327" s="114" t="str">
        <f>IF(INDEX(I.Facility.P2bIDNumber,2315)="","",INDEX(I.Facility.P2bIDNumber,2315))</f>
        <v/>
      </c>
      <c r="G12327" s="51"/>
      <c r="H12327" s="46" t="str">
        <f>IF(AND(I.Developer.P2b=TRUE,I.Facility.P2bFacilityCount&gt;=2315,F12327=""),"Incomplete","Complete")</f>
        <v>Complete</v>
      </c>
      <c r="I12327" s="48" t="s">
        <v>16692</v>
      </c>
    </row>
    <row r="12328" spans="2:9" ht="15" customHeight="1" x14ac:dyDescent="0.25">
      <c r="B12328" s="55" t="s">
        <v>281</v>
      </c>
      <c r="C12328" s="46">
        <v>2316</v>
      </c>
      <c r="D12328" s="69" t="s">
        <v>29418</v>
      </c>
      <c r="E12328" s="51"/>
      <c r="F12328" s="114" t="str">
        <f>IF(INDEX(I.Facility.P2bIDNumber,2316)="","",INDEX(I.Facility.P2bIDNumber,2316))</f>
        <v/>
      </c>
      <c r="G12328" s="51"/>
      <c r="H12328" s="46" t="str">
        <f>IF(AND(I.Developer.P2b=TRUE,I.Facility.P2bFacilityCount&gt;=2316,F12328=""),"Incomplete","Complete")</f>
        <v>Complete</v>
      </c>
      <c r="I12328" s="48" t="s">
        <v>16693</v>
      </c>
    </row>
    <row r="12329" spans="2:9" ht="15" customHeight="1" x14ac:dyDescent="0.25">
      <c r="B12329" s="55" t="s">
        <v>281</v>
      </c>
      <c r="C12329" s="46">
        <v>2317</v>
      </c>
      <c r="D12329" s="69" t="s">
        <v>29418</v>
      </c>
      <c r="E12329" s="51"/>
      <c r="F12329" s="114" t="str">
        <f>IF(INDEX(I.Facility.P2bIDNumber,2317)="","",INDEX(I.Facility.P2bIDNumber,2317))</f>
        <v/>
      </c>
      <c r="G12329" s="51"/>
      <c r="H12329" s="46" t="str">
        <f>IF(AND(I.Developer.P2b=TRUE,I.Facility.P2bFacilityCount&gt;=2317,F12329=""),"Incomplete","Complete")</f>
        <v>Complete</v>
      </c>
      <c r="I12329" s="48" t="s">
        <v>16694</v>
      </c>
    </row>
    <row r="12330" spans="2:9" ht="15" customHeight="1" x14ac:dyDescent="0.25">
      <c r="B12330" s="55" t="s">
        <v>281</v>
      </c>
      <c r="C12330" s="46">
        <v>2318</v>
      </c>
      <c r="D12330" s="69" t="s">
        <v>29418</v>
      </c>
      <c r="E12330" s="51"/>
      <c r="F12330" s="114" t="str">
        <f>IF(INDEX(I.Facility.P2bIDNumber,2318)="","",INDEX(I.Facility.P2bIDNumber,2318))</f>
        <v/>
      </c>
      <c r="G12330" s="51"/>
      <c r="H12330" s="46" t="str">
        <f>IF(AND(I.Developer.P2b=TRUE,I.Facility.P2bFacilityCount&gt;=2318,F12330=""),"Incomplete","Complete")</f>
        <v>Complete</v>
      </c>
      <c r="I12330" s="48" t="s">
        <v>16695</v>
      </c>
    </row>
    <row r="12331" spans="2:9" ht="15" customHeight="1" x14ac:dyDescent="0.25">
      <c r="B12331" s="55" t="s">
        <v>281</v>
      </c>
      <c r="C12331" s="46">
        <v>2319</v>
      </c>
      <c r="D12331" s="69" t="s">
        <v>29418</v>
      </c>
      <c r="E12331" s="51"/>
      <c r="F12331" s="114" t="str">
        <f>IF(INDEX(I.Facility.P2bIDNumber,2319)="","",INDEX(I.Facility.P2bIDNumber,2319))</f>
        <v/>
      </c>
      <c r="G12331" s="51"/>
      <c r="H12331" s="46" t="str">
        <f>IF(AND(I.Developer.P2b=TRUE,I.Facility.P2bFacilityCount&gt;=2319,F12331=""),"Incomplete","Complete")</f>
        <v>Complete</v>
      </c>
      <c r="I12331" s="48" t="s">
        <v>16696</v>
      </c>
    </row>
    <row r="12332" spans="2:9" ht="15" customHeight="1" x14ac:dyDescent="0.25">
      <c r="B12332" s="55" t="s">
        <v>281</v>
      </c>
      <c r="C12332" s="46">
        <v>2320</v>
      </c>
      <c r="D12332" s="69" t="s">
        <v>29418</v>
      </c>
      <c r="E12332" s="51"/>
      <c r="F12332" s="114" t="str">
        <f>IF(INDEX(I.Facility.P2bIDNumber,2320)="","",INDEX(I.Facility.P2bIDNumber,2320))</f>
        <v/>
      </c>
      <c r="G12332" s="51"/>
      <c r="H12332" s="46" t="str">
        <f>IF(AND(I.Developer.P2b=TRUE,I.Facility.P2bFacilityCount&gt;=2320,F12332=""),"Incomplete","Complete")</f>
        <v>Complete</v>
      </c>
      <c r="I12332" s="48" t="s">
        <v>16697</v>
      </c>
    </row>
    <row r="12333" spans="2:9" ht="15" customHeight="1" x14ac:dyDescent="0.25">
      <c r="B12333" s="55" t="s">
        <v>281</v>
      </c>
      <c r="C12333" s="46">
        <v>2321</v>
      </c>
      <c r="D12333" s="69" t="s">
        <v>29418</v>
      </c>
      <c r="E12333" s="51"/>
      <c r="F12333" s="114" t="str">
        <f>IF(INDEX(I.Facility.P2bIDNumber,2321)="","",INDEX(I.Facility.P2bIDNumber,2321))</f>
        <v/>
      </c>
      <c r="G12333" s="51"/>
      <c r="H12333" s="46" t="str">
        <f>IF(AND(I.Developer.P2b=TRUE,I.Facility.P2bFacilityCount&gt;=2321,F12333=""),"Incomplete","Complete")</f>
        <v>Complete</v>
      </c>
      <c r="I12333" s="48" t="s">
        <v>16698</v>
      </c>
    </row>
    <row r="12334" spans="2:9" ht="15" customHeight="1" x14ac:dyDescent="0.25">
      <c r="B12334" s="55" t="s">
        <v>281</v>
      </c>
      <c r="C12334" s="46">
        <v>2322</v>
      </c>
      <c r="D12334" s="69" t="s">
        <v>29418</v>
      </c>
      <c r="E12334" s="51"/>
      <c r="F12334" s="114" t="str">
        <f>IF(INDEX(I.Facility.P2bIDNumber,2322)="","",INDEX(I.Facility.P2bIDNumber,2322))</f>
        <v/>
      </c>
      <c r="G12334" s="51"/>
      <c r="H12334" s="46" t="str">
        <f>IF(AND(I.Developer.P2b=TRUE,I.Facility.P2bFacilityCount&gt;=2322,F12334=""),"Incomplete","Complete")</f>
        <v>Complete</v>
      </c>
      <c r="I12334" s="48" t="s">
        <v>16699</v>
      </c>
    </row>
    <row r="12335" spans="2:9" ht="15" customHeight="1" x14ac:dyDescent="0.25">
      <c r="B12335" s="55" t="s">
        <v>281</v>
      </c>
      <c r="C12335" s="46">
        <v>2323</v>
      </c>
      <c r="D12335" s="69" t="s">
        <v>29418</v>
      </c>
      <c r="E12335" s="51"/>
      <c r="F12335" s="114" t="str">
        <f>IF(INDEX(I.Facility.P2bIDNumber,2323)="","",INDEX(I.Facility.P2bIDNumber,2323))</f>
        <v/>
      </c>
      <c r="G12335" s="51"/>
      <c r="H12335" s="46" t="str">
        <f>IF(AND(I.Developer.P2b=TRUE,I.Facility.P2bFacilityCount&gt;=2323,F12335=""),"Incomplete","Complete")</f>
        <v>Complete</v>
      </c>
      <c r="I12335" s="48" t="s">
        <v>16700</v>
      </c>
    </row>
    <row r="12336" spans="2:9" ht="15" customHeight="1" x14ac:dyDescent="0.25">
      <c r="B12336" s="55" t="s">
        <v>281</v>
      </c>
      <c r="C12336" s="46">
        <v>2324</v>
      </c>
      <c r="D12336" s="69" t="s">
        <v>29418</v>
      </c>
      <c r="E12336" s="51"/>
      <c r="F12336" s="114" t="str">
        <f>IF(INDEX(I.Facility.P2bIDNumber,2324)="","",INDEX(I.Facility.P2bIDNumber,2324))</f>
        <v/>
      </c>
      <c r="G12336" s="51"/>
      <c r="H12336" s="46" t="str">
        <f>IF(AND(I.Developer.P2b=TRUE,I.Facility.P2bFacilityCount&gt;=2324,F12336=""),"Incomplete","Complete")</f>
        <v>Complete</v>
      </c>
      <c r="I12336" s="48" t="s">
        <v>16701</v>
      </c>
    </row>
    <row r="12337" spans="2:9" ht="15" customHeight="1" x14ac:dyDescent="0.25">
      <c r="B12337" s="55" t="s">
        <v>281</v>
      </c>
      <c r="C12337" s="46">
        <v>2325</v>
      </c>
      <c r="D12337" s="69" t="s">
        <v>29418</v>
      </c>
      <c r="E12337" s="51"/>
      <c r="F12337" s="114" t="str">
        <f>IF(INDEX(I.Facility.P2bIDNumber,2325)="","",INDEX(I.Facility.P2bIDNumber,2325))</f>
        <v/>
      </c>
      <c r="G12337" s="51"/>
      <c r="H12337" s="46" t="str">
        <f>IF(AND(I.Developer.P2b=TRUE,I.Facility.P2bFacilityCount&gt;=2325,F12337=""),"Incomplete","Complete")</f>
        <v>Complete</v>
      </c>
      <c r="I12337" s="48" t="s">
        <v>16702</v>
      </c>
    </row>
    <row r="12338" spans="2:9" ht="15" customHeight="1" x14ac:dyDescent="0.25">
      <c r="B12338" s="55" t="s">
        <v>281</v>
      </c>
      <c r="C12338" s="46">
        <v>2326</v>
      </c>
      <c r="D12338" s="69" t="s">
        <v>29418</v>
      </c>
      <c r="E12338" s="51"/>
      <c r="F12338" s="114" t="str">
        <f>IF(INDEX(I.Facility.P2bIDNumber,2326)="","",INDEX(I.Facility.P2bIDNumber,2326))</f>
        <v/>
      </c>
      <c r="G12338" s="51"/>
      <c r="H12338" s="46" t="str">
        <f>IF(AND(I.Developer.P2b=TRUE,I.Facility.P2bFacilityCount&gt;=2326,F12338=""),"Incomplete","Complete")</f>
        <v>Complete</v>
      </c>
      <c r="I12338" s="48" t="s">
        <v>16703</v>
      </c>
    </row>
    <row r="12339" spans="2:9" ht="15" customHeight="1" x14ac:dyDescent="0.25">
      <c r="B12339" s="55" t="s">
        <v>281</v>
      </c>
      <c r="C12339" s="46">
        <v>2327</v>
      </c>
      <c r="D12339" s="69" t="s">
        <v>29418</v>
      </c>
      <c r="E12339" s="51"/>
      <c r="F12339" s="114" t="str">
        <f>IF(INDEX(I.Facility.P2bIDNumber,2327)="","",INDEX(I.Facility.P2bIDNumber,2327))</f>
        <v/>
      </c>
      <c r="G12339" s="51"/>
      <c r="H12339" s="46" t="str">
        <f>IF(AND(I.Developer.P2b=TRUE,I.Facility.P2bFacilityCount&gt;=2327,F12339=""),"Incomplete","Complete")</f>
        <v>Complete</v>
      </c>
      <c r="I12339" s="48" t="s">
        <v>16704</v>
      </c>
    </row>
    <row r="12340" spans="2:9" ht="15" customHeight="1" x14ac:dyDescent="0.25">
      <c r="B12340" s="55" t="s">
        <v>281</v>
      </c>
      <c r="C12340" s="46">
        <v>2328</v>
      </c>
      <c r="D12340" s="69" t="s">
        <v>29418</v>
      </c>
      <c r="E12340" s="51"/>
      <c r="F12340" s="114" t="str">
        <f>IF(INDEX(I.Facility.P2bIDNumber,2328)="","",INDEX(I.Facility.P2bIDNumber,2328))</f>
        <v/>
      </c>
      <c r="G12340" s="51"/>
      <c r="H12340" s="46" t="str">
        <f>IF(AND(I.Developer.P2b=TRUE,I.Facility.P2bFacilityCount&gt;=2328,F12340=""),"Incomplete","Complete")</f>
        <v>Complete</v>
      </c>
      <c r="I12340" s="48" t="s">
        <v>16705</v>
      </c>
    </row>
    <row r="12341" spans="2:9" ht="15" customHeight="1" x14ac:dyDescent="0.25">
      <c r="B12341" s="55" t="s">
        <v>281</v>
      </c>
      <c r="C12341" s="46">
        <v>2329</v>
      </c>
      <c r="D12341" s="69" t="s">
        <v>29418</v>
      </c>
      <c r="E12341" s="51"/>
      <c r="F12341" s="114" t="str">
        <f>IF(INDEX(I.Facility.P2bIDNumber,2329)="","",INDEX(I.Facility.P2bIDNumber,2329))</f>
        <v/>
      </c>
      <c r="G12341" s="51"/>
      <c r="H12341" s="46" t="str">
        <f>IF(AND(I.Developer.P2b=TRUE,I.Facility.P2bFacilityCount&gt;=2329,F12341=""),"Incomplete","Complete")</f>
        <v>Complete</v>
      </c>
      <c r="I12341" s="48" t="s">
        <v>16706</v>
      </c>
    </row>
    <row r="12342" spans="2:9" ht="15" customHeight="1" x14ac:dyDescent="0.25">
      <c r="B12342" s="55" t="s">
        <v>281</v>
      </c>
      <c r="C12342" s="46">
        <v>2330</v>
      </c>
      <c r="D12342" s="69" t="s">
        <v>29418</v>
      </c>
      <c r="E12342" s="51"/>
      <c r="F12342" s="114" t="str">
        <f>IF(INDEX(I.Facility.P2bIDNumber,2330)="","",INDEX(I.Facility.P2bIDNumber,2330))</f>
        <v/>
      </c>
      <c r="G12342" s="51"/>
      <c r="H12342" s="46" t="str">
        <f>IF(AND(I.Developer.P2b=TRUE,I.Facility.P2bFacilityCount&gt;=2330,F12342=""),"Incomplete","Complete")</f>
        <v>Complete</v>
      </c>
      <c r="I12342" s="48" t="s">
        <v>16707</v>
      </c>
    </row>
    <row r="12343" spans="2:9" ht="15" customHeight="1" x14ac:dyDescent="0.25">
      <c r="B12343" s="55" t="s">
        <v>281</v>
      </c>
      <c r="C12343" s="46">
        <v>2331</v>
      </c>
      <c r="D12343" s="69" t="s">
        <v>29418</v>
      </c>
      <c r="E12343" s="51"/>
      <c r="F12343" s="114" t="str">
        <f>IF(INDEX(I.Facility.P2bIDNumber,2331)="","",INDEX(I.Facility.P2bIDNumber,2331))</f>
        <v/>
      </c>
      <c r="G12343" s="51"/>
      <c r="H12343" s="46" t="str">
        <f>IF(AND(I.Developer.P2b=TRUE,I.Facility.P2bFacilityCount&gt;=2331,F12343=""),"Incomplete","Complete")</f>
        <v>Complete</v>
      </c>
      <c r="I12343" s="48" t="s">
        <v>16708</v>
      </c>
    </row>
    <row r="12344" spans="2:9" ht="15" customHeight="1" x14ac:dyDescent="0.25">
      <c r="B12344" s="55" t="s">
        <v>281</v>
      </c>
      <c r="C12344" s="46">
        <v>2332</v>
      </c>
      <c r="D12344" s="69" t="s">
        <v>29418</v>
      </c>
      <c r="E12344" s="51"/>
      <c r="F12344" s="114" t="str">
        <f>IF(INDEX(I.Facility.P2bIDNumber,2332)="","",INDEX(I.Facility.P2bIDNumber,2332))</f>
        <v/>
      </c>
      <c r="G12344" s="51"/>
      <c r="H12344" s="46" t="str">
        <f>IF(AND(I.Developer.P2b=TRUE,I.Facility.P2bFacilityCount&gt;=2332,F12344=""),"Incomplete","Complete")</f>
        <v>Complete</v>
      </c>
      <c r="I12344" s="48" t="s">
        <v>16709</v>
      </c>
    </row>
    <row r="12345" spans="2:9" ht="15" customHeight="1" x14ac:dyDescent="0.25">
      <c r="B12345" s="55" t="s">
        <v>281</v>
      </c>
      <c r="C12345" s="46">
        <v>2333</v>
      </c>
      <c r="D12345" s="69" t="s">
        <v>29418</v>
      </c>
      <c r="E12345" s="51"/>
      <c r="F12345" s="114" t="str">
        <f>IF(INDEX(I.Facility.P2bIDNumber,2333)="","",INDEX(I.Facility.P2bIDNumber,2333))</f>
        <v/>
      </c>
      <c r="G12345" s="51"/>
      <c r="H12345" s="46" t="str">
        <f>IF(AND(I.Developer.P2b=TRUE,I.Facility.P2bFacilityCount&gt;=2333,F12345=""),"Incomplete","Complete")</f>
        <v>Complete</v>
      </c>
      <c r="I12345" s="48" t="s">
        <v>16710</v>
      </c>
    </row>
    <row r="12346" spans="2:9" ht="15" customHeight="1" x14ac:dyDescent="0.25">
      <c r="B12346" s="55" t="s">
        <v>281</v>
      </c>
      <c r="C12346" s="46">
        <v>2334</v>
      </c>
      <c r="D12346" s="69" t="s">
        <v>29418</v>
      </c>
      <c r="E12346" s="51"/>
      <c r="F12346" s="114" t="str">
        <f>IF(INDEX(I.Facility.P2bIDNumber,2334)="","",INDEX(I.Facility.P2bIDNumber,2334))</f>
        <v/>
      </c>
      <c r="G12346" s="51"/>
      <c r="H12346" s="46" t="str">
        <f>IF(AND(I.Developer.P2b=TRUE,I.Facility.P2bFacilityCount&gt;=2334,F12346=""),"Incomplete","Complete")</f>
        <v>Complete</v>
      </c>
      <c r="I12346" s="48" t="s">
        <v>16711</v>
      </c>
    </row>
    <row r="12347" spans="2:9" ht="15" customHeight="1" x14ac:dyDescent="0.25">
      <c r="B12347" s="55" t="s">
        <v>281</v>
      </c>
      <c r="C12347" s="46">
        <v>2335</v>
      </c>
      <c r="D12347" s="69" t="s">
        <v>29418</v>
      </c>
      <c r="E12347" s="51"/>
      <c r="F12347" s="114" t="str">
        <f>IF(INDEX(I.Facility.P2bIDNumber,2335)="","",INDEX(I.Facility.P2bIDNumber,2335))</f>
        <v/>
      </c>
      <c r="G12347" s="51"/>
      <c r="H12347" s="46" t="str">
        <f>IF(AND(I.Developer.P2b=TRUE,I.Facility.P2bFacilityCount&gt;=2335,F12347=""),"Incomplete","Complete")</f>
        <v>Complete</v>
      </c>
      <c r="I12347" s="48" t="s">
        <v>16712</v>
      </c>
    </row>
    <row r="12348" spans="2:9" ht="15" customHeight="1" x14ac:dyDescent="0.25">
      <c r="B12348" s="55" t="s">
        <v>281</v>
      </c>
      <c r="C12348" s="46">
        <v>2336</v>
      </c>
      <c r="D12348" s="69" t="s">
        <v>29418</v>
      </c>
      <c r="E12348" s="51"/>
      <c r="F12348" s="114" t="str">
        <f>IF(INDEX(I.Facility.P2bIDNumber,2336)="","",INDEX(I.Facility.P2bIDNumber,2336))</f>
        <v/>
      </c>
      <c r="G12348" s="51"/>
      <c r="H12348" s="46" t="str">
        <f>IF(AND(I.Developer.P2b=TRUE,I.Facility.P2bFacilityCount&gt;=2336,F12348=""),"Incomplete","Complete")</f>
        <v>Complete</v>
      </c>
      <c r="I12348" s="48" t="s">
        <v>16713</v>
      </c>
    </row>
    <row r="12349" spans="2:9" ht="15" customHeight="1" x14ac:dyDescent="0.25">
      <c r="B12349" s="55" t="s">
        <v>281</v>
      </c>
      <c r="C12349" s="46">
        <v>2337</v>
      </c>
      <c r="D12349" s="69" t="s">
        <v>29418</v>
      </c>
      <c r="E12349" s="51"/>
      <c r="F12349" s="114" t="str">
        <f>IF(INDEX(I.Facility.P2bIDNumber,2337)="","",INDEX(I.Facility.P2bIDNumber,2337))</f>
        <v/>
      </c>
      <c r="G12349" s="51"/>
      <c r="H12349" s="46" t="str">
        <f>IF(AND(I.Developer.P2b=TRUE,I.Facility.P2bFacilityCount&gt;=2337,F12349=""),"Incomplete","Complete")</f>
        <v>Complete</v>
      </c>
      <c r="I12349" s="48" t="s">
        <v>16714</v>
      </c>
    </row>
    <row r="12350" spans="2:9" ht="15" customHeight="1" x14ac:dyDescent="0.25">
      <c r="B12350" s="55" t="s">
        <v>281</v>
      </c>
      <c r="C12350" s="46">
        <v>2338</v>
      </c>
      <c r="D12350" s="69" t="s">
        <v>29418</v>
      </c>
      <c r="E12350" s="51"/>
      <c r="F12350" s="114" t="str">
        <f>IF(INDEX(I.Facility.P2bIDNumber,2338)="","",INDEX(I.Facility.P2bIDNumber,2338))</f>
        <v/>
      </c>
      <c r="G12350" s="51"/>
      <c r="H12350" s="46" t="str">
        <f>IF(AND(I.Developer.P2b=TRUE,I.Facility.P2bFacilityCount&gt;=2338,F12350=""),"Incomplete","Complete")</f>
        <v>Complete</v>
      </c>
      <c r="I12350" s="48" t="s">
        <v>16715</v>
      </c>
    </row>
    <row r="12351" spans="2:9" ht="15" customHeight="1" x14ac:dyDescent="0.25">
      <c r="B12351" s="55" t="s">
        <v>281</v>
      </c>
      <c r="C12351" s="46">
        <v>2339</v>
      </c>
      <c r="D12351" s="69" t="s">
        <v>29418</v>
      </c>
      <c r="E12351" s="51"/>
      <c r="F12351" s="114" t="str">
        <f>IF(INDEX(I.Facility.P2bIDNumber,2339)="","",INDEX(I.Facility.P2bIDNumber,2339))</f>
        <v/>
      </c>
      <c r="G12351" s="51"/>
      <c r="H12351" s="46" t="str">
        <f>IF(AND(I.Developer.P2b=TRUE,I.Facility.P2bFacilityCount&gt;=2339,F12351=""),"Incomplete","Complete")</f>
        <v>Complete</v>
      </c>
      <c r="I12351" s="48" t="s">
        <v>16716</v>
      </c>
    </row>
    <row r="12352" spans="2:9" ht="15" customHeight="1" x14ac:dyDescent="0.25">
      <c r="B12352" s="55" t="s">
        <v>281</v>
      </c>
      <c r="C12352" s="46">
        <v>2340</v>
      </c>
      <c r="D12352" s="69" t="s">
        <v>29418</v>
      </c>
      <c r="E12352" s="51"/>
      <c r="F12352" s="114" t="str">
        <f>IF(INDEX(I.Facility.P2bIDNumber,2340)="","",INDEX(I.Facility.P2bIDNumber,2340))</f>
        <v/>
      </c>
      <c r="G12352" s="51"/>
      <c r="H12352" s="46" t="str">
        <f>IF(AND(I.Developer.P2b=TRUE,I.Facility.P2bFacilityCount&gt;=2340,F12352=""),"Incomplete","Complete")</f>
        <v>Complete</v>
      </c>
      <c r="I12352" s="48" t="s">
        <v>16717</v>
      </c>
    </row>
    <row r="12353" spans="2:9" ht="15" customHeight="1" x14ac:dyDescent="0.25">
      <c r="B12353" s="55" t="s">
        <v>281</v>
      </c>
      <c r="C12353" s="46">
        <v>2341</v>
      </c>
      <c r="D12353" s="69" t="s">
        <v>29418</v>
      </c>
      <c r="E12353" s="51"/>
      <c r="F12353" s="114" t="str">
        <f>IF(INDEX(I.Facility.P2bIDNumber,2341)="","",INDEX(I.Facility.P2bIDNumber,2341))</f>
        <v/>
      </c>
      <c r="G12353" s="51"/>
      <c r="H12353" s="46" t="str">
        <f>IF(AND(I.Developer.P2b=TRUE,I.Facility.P2bFacilityCount&gt;=2341,F12353=""),"Incomplete","Complete")</f>
        <v>Complete</v>
      </c>
      <c r="I12353" s="48" t="s">
        <v>16718</v>
      </c>
    </row>
    <row r="12354" spans="2:9" ht="15" customHeight="1" x14ac:dyDescent="0.25">
      <c r="B12354" s="55" t="s">
        <v>281</v>
      </c>
      <c r="C12354" s="46">
        <v>2342</v>
      </c>
      <c r="D12354" s="69" t="s">
        <v>29418</v>
      </c>
      <c r="E12354" s="51"/>
      <c r="F12354" s="114" t="str">
        <f>IF(INDEX(I.Facility.P2bIDNumber,2342)="","",INDEX(I.Facility.P2bIDNumber,2342))</f>
        <v/>
      </c>
      <c r="G12354" s="51"/>
      <c r="H12354" s="46" t="str">
        <f>IF(AND(I.Developer.P2b=TRUE,I.Facility.P2bFacilityCount&gt;=2342,F12354=""),"Incomplete","Complete")</f>
        <v>Complete</v>
      </c>
      <c r="I12354" s="48" t="s">
        <v>16719</v>
      </c>
    </row>
    <row r="12355" spans="2:9" ht="15" customHeight="1" x14ac:dyDescent="0.25">
      <c r="B12355" s="55" t="s">
        <v>281</v>
      </c>
      <c r="C12355" s="46">
        <v>2343</v>
      </c>
      <c r="D12355" s="69" t="s">
        <v>29418</v>
      </c>
      <c r="E12355" s="51"/>
      <c r="F12355" s="114" t="str">
        <f>IF(INDEX(I.Facility.P2bIDNumber,2343)="","",INDEX(I.Facility.P2bIDNumber,2343))</f>
        <v/>
      </c>
      <c r="G12355" s="51"/>
      <c r="H12355" s="46" t="str">
        <f>IF(AND(I.Developer.P2b=TRUE,I.Facility.P2bFacilityCount&gt;=2343,F12355=""),"Incomplete","Complete")</f>
        <v>Complete</v>
      </c>
      <c r="I12355" s="48" t="s">
        <v>16720</v>
      </c>
    </row>
    <row r="12356" spans="2:9" ht="15" customHeight="1" x14ac:dyDescent="0.25">
      <c r="B12356" s="55" t="s">
        <v>281</v>
      </c>
      <c r="C12356" s="46">
        <v>2344</v>
      </c>
      <c r="D12356" s="69" t="s">
        <v>29418</v>
      </c>
      <c r="E12356" s="51"/>
      <c r="F12356" s="114" t="str">
        <f>IF(INDEX(I.Facility.P2bIDNumber,2344)="","",INDEX(I.Facility.P2bIDNumber,2344))</f>
        <v/>
      </c>
      <c r="G12356" s="51"/>
      <c r="H12356" s="46" t="str">
        <f>IF(AND(I.Developer.P2b=TRUE,I.Facility.P2bFacilityCount&gt;=2344,F12356=""),"Incomplete","Complete")</f>
        <v>Complete</v>
      </c>
      <c r="I12356" s="48" t="s">
        <v>16721</v>
      </c>
    </row>
    <row r="12357" spans="2:9" ht="15" customHeight="1" x14ac:dyDescent="0.25">
      <c r="B12357" s="55" t="s">
        <v>281</v>
      </c>
      <c r="C12357" s="46">
        <v>2345</v>
      </c>
      <c r="D12357" s="69" t="s">
        <v>29418</v>
      </c>
      <c r="E12357" s="51"/>
      <c r="F12357" s="114" t="str">
        <f>IF(INDEX(I.Facility.P2bIDNumber,2345)="","",INDEX(I.Facility.P2bIDNumber,2345))</f>
        <v/>
      </c>
      <c r="G12357" s="51"/>
      <c r="H12357" s="46" t="str">
        <f>IF(AND(I.Developer.P2b=TRUE,I.Facility.P2bFacilityCount&gt;=2345,F12357=""),"Incomplete","Complete")</f>
        <v>Complete</v>
      </c>
      <c r="I12357" s="48" t="s">
        <v>16722</v>
      </c>
    </row>
    <row r="12358" spans="2:9" ht="15" customHeight="1" x14ac:dyDescent="0.25">
      <c r="B12358" s="55" t="s">
        <v>281</v>
      </c>
      <c r="C12358" s="46">
        <v>2346</v>
      </c>
      <c r="D12358" s="69" t="s">
        <v>29418</v>
      </c>
      <c r="E12358" s="51"/>
      <c r="F12358" s="114" t="str">
        <f>IF(INDEX(I.Facility.P2bIDNumber,2346)="","",INDEX(I.Facility.P2bIDNumber,2346))</f>
        <v/>
      </c>
      <c r="G12358" s="51"/>
      <c r="H12358" s="46" t="str">
        <f>IF(AND(I.Developer.P2b=TRUE,I.Facility.P2bFacilityCount&gt;=2346,F12358=""),"Incomplete","Complete")</f>
        <v>Complete</v>
      </c>
      <c r="I12358" s="48" t="s">
        <v>16723</v>
      </c>
    </row>
    <row r="12359" spans="2:9" ht="15" customHeight="1" x14ac:dyDescent="0.25">
      <c r="B12359" s="55" t="s">
        <v>281</v>
      </c>
      <c r="C12359" s="46">
        <v>2347</v>
      </c>
      <c r="D12359" s="69" t="s">
        <v>29418</v>
      </c>
      <c r="E12359" s="51"/>
      <c r="F12359" s="114" t="str">
        <f>IF(INDEX(I.Facility.P2bIDNumber,2347)="","",INDEX(I.Facility.P2bIDNumber,2347))</f>
        <v/>
      </c>
      <c r="G12359" s="51"/>
      <c r="H12359" s="46" t="str">
        <f>IF(AND(I.Developer.P2b=TRUE,I.Facility.P2bFacilityCount&gt;=2347,F12359=""),"Incomplete","Complete")</f>
        <v>Complete</v>
      </c>
      <c r="I12359" s="48" t="s">
        <v>16724</v>
      </c>
    </row>
    <row r="12360" spans="2:9" ht="15" customHeight="1" x14ac:dyDescent="0.25">
      <c r="B12360" s="55" t="s">
        <v>281</v>
      </c>
      <c r="C12360" s="46">
        <v>2348</v>
      </c>
      <c r="D12360" s="69" t="s">
        <v>29418</v>
      </c>
      <c r="E12360" s="51"/>
      <c r="F12360" s="114" t="str">
        <f>IF(INDEX(I.Facility.P2bIDNumber,2348)="","",INDEX(I.Facility.P2bIDNumber,2348))</f>
        <v/>
      </c>
      <c r="G12360" s="51"/>
      <c r="H12360" s="46" t="str">
        <f>IF(AND(I.Developer.P2b=TRUE,I.Facility.P2bFacilityCount&gt;=2348,F12360=""),"Incomplete","Complete")</f>
        <v>Complete</v>
      </c>
      <c r="I12360" s="48" t="s">
        <v>16725</v>
      </c>
    </row>
    <row r="12361" spans="2:9" ht="15" customHeight="1" x14ac:dyDescent="0.25">
      <c r="B12361" s="55" t="s">
        <v>281</v>
      </c>
      <c r="C12361" s="46">
        <v>2349</v>
      </c>
      <c r="D12361" s="69" t="s">
        <v>29418</v>
      </c>
      <c r="E12361" s="51"/>
      <c r="F12361" s="114" t="str">
        <f>IF(INDEX(I.Facility.P2bIDNumber,2349)="","",INDEX(I.Facility.P2bIDNumber,2349))</f>
        <v/>
      </c>
      <c r="G12361" s="51"/>
      <c r="H12361" s="46" t="str">
        <f>IF(AND(I.Developer.P2b=TRUE,I.Facility.P2bFacilityCount&gt;=2349,F12361=""),"Incomplete","Complete")</f>
        <v>Complete</v>
      </c>
      <c r="I12361" s="48" t="s">
        <v>16726</v>
      </c>
    </row>
    <row r="12362" spans="2:9" ht="15" customHeight="1" x14ac:dyDescent="0.25">
      <c r="B12362" s="55" t="s">
        <v>281</v>
      </c>
      <c r="C12362" s="46">
        <v>2350</v>
      </c>
      <c r="D12362" s="69" t="s">
        <v>29418</v>
      </c>
      <c r="E12362" s="51"/>
      <c r="F12362" s="114" t="str">
        <f>IF(INDEX(I.Facility.P2bIDNumber,2350)="","",INDEX(I.Facility.P2bIDNumber,2350))</f>
        <v/>
      </c>
      <c r="G12362" s="51"/>
      <c r="H12362" s="46" t="str">
        <f>IF(AND(I.Developer.P2b=TRUE,I.Facility.P2bFacilityCount&gt;=2350,F12362=""),"Incomplete","Complete")</f>
        <v>Complete</v>
      </c>
      <c r="I12362" s="48" t="s">
        <v>16727</v>
      </c>
    </row>
    <row r="12363" spans="2:9" ht="15" customHeight="1" x14ac:dyDescent="0.25">
      <c r="B12363" s="55" t="s">
        <v>281</v>
      </c>
      <c r="C12363" s="46">
        <v>2351</v>
      </c>
      <c r="D12363" s="69" t="s">
        <v>29418</v>
      </c>
      <c r="E12363" s="51"/>
      <c r="F12363" s="114" t="str">
        <f>IF(INDEX(I.Facility.P2bIDNumber,2351)="","",INDEX(I.Facility.P2bIDNumber,2351))</f>
        <v/>
      </c>
      <c r="G12363" s="51"/>
      <c r="H12363" s="46" t="str">
        <f>IF(AND(I.Developer.P2b=TRUE,I.Facility.P2bFacilityCount&gt;=2351,F12363=""),"Incomplete","Complete")</f>
        <v>Complete</v>
      </c>
      <c r="I12363" s="48" t="s">
        <v>16728</v>
      </c>
    </row>
    <row r="12364" spans="2:9" ht="15" customHeight="1" x14ac:dyDescent="0.25">
      <c r="B12364" s="55" t="s">
        <v>281</v>
      </c>
      <c r="C12364" s="46">
        <v>2352</v>
      </c>
      <c r="D12364" s="69" t="s">
        <v>29418</v>
      </c>
      <c r="E12364" s="51"/>
      <c r="F12364" s="114" t="str">
        <f>IF(INDEX(I.Facility.P2bIDNumber,2352)="","",INDEX(I.Facility.P2bIDNumber,2352))</f>
        <v/>
      </c>
      <c r="G12364" s="51"/>
      <c r="H12364" s="46" t="str">
        <f>IF(AND(I.Developer.P2b=TRUE,I.Facility.P2bFacilityCount&gt;=2352,F12364=""),"Incomplete","Complete")</f>
        <v>Complete</v>
      </c>
      <c r="I12364" s="48" t="s">
        <v>16729</v>
      </c>
    </row>
    <row r="12365" spans="2:9" ht="15" customHeight="1" x14ac:dyDescent="0.25">
      <c r="B12365" s="55" t="s">
        <v>281</v>
      </c>
      <c r="C12365" s="46">
        <v>2353</v>
      </c>
      <c r="D12365" s="69" t="s">
        <v>29418</v>
      </c>
      <c r="E12365" s="51"/>
      <c r="F12365" s="114" t="str">
        <f>IF(INDEX(I.Facility.P2bIDNumber,2353)="","",INDEX(I.Facility.P2bIDNumber,2353))</f>
        <v/>
      </c>
      <c r="G12365" s="51"/>
      <c r="H12365" s="46" t="str">
        <f>IF(AND(I.Developer.P2b=TRUE,I.Facility.P2bFacilityCount&gt;=2353,F12365=""),"Incomplete","Complete")</f>
        <v>Complete</v>
      </c>
      <c r="I12365" s="48" t="s">
        <v>16730</v>
      </c>
    </row>
    <row r="12366" spans="2:9" ht="15" customHeight="1" x14ac:dyDescent="0.25">
      <c r="B12366" s="55" t="s">
        <v>281</v>
      </c>
      <c r="C12366" s="46">
        <v>2354</v>
      </c>
      <c r="D12366" s="69" t="s">
        <v>29418</v>
      </c>
      <c r="E12366" s="51"/>
      <c r="F12366" s="114" t="str">
        <f>IF(INDEX(I.Facility.P2bIDNumber,2354)="","",INDEX(I.Facility.P2bIDNumber,2354))</f>
        <v/>
      </c>
      <c r="G12366" s="51"/>
      <c r="H12366" s="46" t="str">
        <f>IF(AND(I.Developer.P2b=TRUE,I.Facility.P2bFacilityCount&gt;=2354,F12366=""),"Incomplete","Complete")</f>
        <v>Complete</v>
      </c>
      <c r="I12366" s="48" t="s">
        <v>16731</v>
      </c>
    </row>
    <row r="12367" spans="2:9" ht="15" customHeight="1" x14ac:dyDescent="0.25">
      <c r="B12367" s="55" t="s">
        <v>281</v>
      </c>
      <c r="C12367" s="46">
        <v>2355</v>
      </c>
      <c r="D12367" s="69" t="s">
        <v>29418</v>
      </c>
      <c r="E12367" s="51"/>
      <c r="F12367" s="114" t="str">
        <f>IF(INDEX(I.Facility.P2bIDNumber,2355)="","",INDEX(I.Facility.P2bIDNumber,2355))</f>
        <v/>
      </c>
      <c r="G12367" s="51"/>
      <c r="H12367" s="46" t="str">
        <f>IF(AND(I.Developer.P2b=TRUE,I.Facility.P2bFacilityCount&gt;=2355,F12367=""),"Incomplete","Complete")</f>
        <v>Complete</v>
      </c>
      <c r="I12367" s="48" t="s">
        <v>16732</v>
      </c>
    </row>
    <row r="12368" spans="2:9" ht="15" customHeight="1" x14ac:dyDescent="0.25">
      <c r="B12368" s="55" t="s">
        <v>281</v>
      </c>
      <c r="C12368" s="46">
        <v>2356</v>
      </c>
      <c r="D12368" s="69" t="s">
        <v>29418</v>
      </c>
      <c r="E12368" s="51"/>
      <c r="F12368" s="114" t="str">
        <f>IF(INDEX(I.Facility.P2bIDNumber,2356)="","",INDEX(I.Facility.P2bIDNumber,2356))</f>
        <v/>
      </c>
      <c r="G12368" s="51"/>
      <c r="H12368" s="46" t="str">
        <f>IF(AND(I.Developer.P2b=TRUE,I.Facility.P2bFacilityCount&gt;=2356,F12368=""),"Incomplete","Complete")</f>
        <v>Complete</v>
      </c>
      <c r="I12368" s="48" t="s">
        <v>16733</v>
      </c>
    </row>
    <row r="12369" spans="2:9" ht="15" customHeight="1" x14ac:dyDescent="0.25">
      <c r="B12369" s="55" t="s">
        <v>281</v>
      </c>
      <c r="C12369" s="46">
        <v>2357</v>
      </c>
      <c r="D12369" s="69" t="s">
        <v>29418</v>
      </c>
      <c r="E12369" s="51"/>
      <c r="F12369" s="114" t="str">
        <f>IF(INDEX(I.Facility.P2bIDNumber,2357)="","",INDEX(I.Facility.P2bIDNumber,2357))</f>
        <v/>
      </c>
      <c r="G12369" s="51"/>
      <c r="H12369" s="46" t="str">
        <f>IF(AND(I.Developer.P2b=TRUE,I.Facility.P2bFacilityCount&gt;=2357,F12369=""),"Incomplete","Complete")</f>
        <v>Complete</v>
      </c>
      <c r="I12369" s="48" t="s">
        <v>16734</v>
      </c>
    </row>
    <row r="12370" spans="2:9" ht="15" customHeight="1" x14ac:dyDescent="0.25">
      <c r="B12370" s="55" t="s">
        <v>281</v>
      </c>
      <c r="C12370" s="46">
        <v>2358</v>
      </c>
      <c r="D12370" s="69" t="s">
        <v>29418</v>
      </c>
      <c r="E12370" s="51"/>
      <c r="F12370" s="114" t="str">
        <f>IF(INDEX(I.Facility.P2bIDNumber,2358)="","",INDEX(I.Facility.P2bIDNumber,2358))</f>
        <v/>
      </c>
      <c r="G12370" s="51"/>
      <c r="H12370" s="46" t="str">
        <f>IF(AND(I.Developer.P2b=TRUE,I.Facility.P2bFacilityCount&gt;=2358,F12370=""),"Incomplete","Complete")</f>
        <v>Complete</v>
      </c>
      <c r="I12370" s="48" t="s">
        <v>16735</v>
      </c>
    </row>
    <row r="12371" spans="2:9" ht="15" customHeight="1" x14ac:dyDescent="0.25">
      <c r="B12371" s="55" t="s">
        <v>281</v>
      </c>
      <c r="C12371" s="46">
        <v>2359</v>
      </c>
      <c r="D12371" s="69" t="s">
        <v>29418</v>
      </c>
      <c r="E12371" s="51"/>
      <c r="F12371" s="114" t="str">
        <f>IF(INDEX(I.Facility.P2bIDNumber,2359)="","",INDEX(I.Facility.P2bIDNumber,2359))</f>
        <v/>
      </c>
      <c r="G12371" s="51"/>
      <c r="H12371" s="46" t="str">
        <f>IF(AND(I.Developer.P2b=TRUE,I.Facility.P2bFacilityCount&gt;=2359,F12371=""),"Incomplete","Complete")</f>
        <v>Complete</v>
      </c>
      <c r="I12371" s="48" t="s">
        <v>16736</v>
      </c>
    </row>
    <row r="12372" spans="2:9" ht="15" customHeight="1" x14ac:dyDescent="0.25">
      <c r="B12372" s="55" t="s">
        <v>281</v>
      </c>
      <c r="C12372" s="46">
        <v>2360</v>
      </c>
      <c r="D12372" s="69" t="s">
        <v>29418</v>
      </c>
      <c r="E12372" s="51"/>
      <c r="F12372" s="114" t="str">
        <f>IF(INDEX(I.Facility.P2bIDNumber,2360)="","",INDEX(I.Facility.P2bIDNumber,2360))</f>
        <v/>
      </c>
      <c r="G12372" s="51"/>
      <c r="H12372" s="46" t="str">
        <f>IF(AND(I.Developer.P2b=TRUE,I.Facility.P2bFacilityCount&gt;=2360,F12372=""),"Incomplete","Complete")</f>
        <v>Complete</v>
      </c>
      <c r="I12372" s="48" t="s">
        <v>16737</v>
      </c>
    </row>
    <row r="12373" spans="2:9" ht="15" customHeight="1" x14ac:dyDescent="0.25">
      <c r="B12373" s="55" t="s">
        <v>281</v>
      </c>
      <c r="C12373" s="46">
        <v>2361</v>
      </c>
      <c r="D12373" s="69" t="s">
        <v>29418</v>
      </c>
      <c r="E12373" s="51"/>
      <c r="F12373" s="114" t="str">
        <f>IF(INDEX(I.Facility.P2bIDNumber,2361)="","",INDEX(I.Facility.P2bIDNumber,2361))</f>
        <v/>
      </c>
      <c r="G12373" s="51"/>
      <c r="H12373" s="46" t="str">
        <f>IF(AND(I.Developer.P2b=TRUE,I.Facility.P2bFacilityCount&gt;=2361,F12373=""),"Incomplete","Complete")</f>
        <v>Complete</v>
      </c>
      <c r="I12373" s="48" t="s">
        <v>16738</v>
      </c>
    </row>
    <row r="12374" spans="2:9" ht="15" customHeight="1" x14ac:dyDescent="0.25">
      <c r="B12374" s="55" t="s">
        <v>281</v>
      </c>
      <c r="C12374" s="46">
        <v>2362</v>
      </c>
      <c r="D12374" s="69" t="s">
        <v>29418</v>
      </c>
      <c r="E12374" s="51"/>
      <c r="F12374" s="114" t="str">
        <f>IF(INDEX(I.Facility.P2bIDNumber,2362)="","",INDEX(I.Facility.P2bIDNumber,2362))</f>
        <v/>
      </c>
      <c r="G12374" s="51"/>
      <c r="H12374" s="46" t="str">
        <f>IF(AND(I.Developer.P2b=TRUE,I.Facility.P2bFacilityCount&gt;=2362,F12374=""),"Incomplete","Complete")</f>
        <v>Complete</v>
      </c>
      <c r="I12374" s="48" t="s">
        <v>16739</v>
      </c>
    </row>
    <row r="12375" spans="2:9" ht="15" customHeight="1" x14ac:dyDescent="0.25">
      <c r="B12375" s="55" t="s">
        <v>281</v>
      </c>
      <c r="C12375" s="46">
        <v>2363</v>
      </c>
      <c r="D12375" s="69" t="s">
        <v>29418</v>
      </c>
      <c r="E12375" s="51"/>
      <c r="F12375" s="114" t="str">
        <f>IF(INDEX(I.Facility.P2bIDNumber,2363)="","",INDEX(I.Facility.P2bIDNumber,2363))</f>
        <v/>
      </c>
      <c r="G12375" s="51"/>
      <c r="H12375" s="46" t="str">
        <f>IF(AND(I.Developer.P2b=TRUE,I.Facility.P2bFacilityCount&gt;=2363,F12375=""),"Incomplete","Complete")</f>
        <v>Complete</v>
      </c>
      <c r="I12375" s="48" t="s">
        <v>16740</v>
      </c>
    </row>
    <row r="12376" spans="2:9" ht="15" customHeight="1" x14ac:dyDescent="0.25">
      <c r="B12376" s="55" t="s">
        <v>281</v>
      </c>
      <c r="C12376" s="46">
        <v>2364</v>
      </c>
      <c r="D12376" s="69" t="s">
        <v>29418</v>
      </c>
      <c r="E12376" s="51"/>
      <c r="F12376" s="114" t="str">
        <f>IF(INDEX(I.Facility.P2bIDNumber,2364)="","",INDEX(I.Facility.P2bIDNumber,2364))</f>
        <v/>
      </c>
      <c r="G12376" s="51"/>
      <c r="H12376" s="46" t="str">
        <f>IF(AND(I.Developer.P2b=TRUE,I.Facility.P2bFacilityCount&gt;=2364,F12376=""),"Incomplete","Complete")</f>
        <v>Complete</v>
      </c>
      <c r="I12376" s="48" t="s">
        <v>16741</v>
      </c>
    </row>
    <row r="12377" spans="2:9" ht="15" customHeight="1" x14ac:dyDescent="0.25">
      <c r="B12377" s="55" t="s">
        <v>281</v>
      </c>
      <c r="C12377" s="46">
        <v>2365</v>
      </c>
      <c r="D12377" s="69" t="s">
        <v>29418</v>
      </c>
      <c r="E12377" s="51"/>
      <c r="F12377" s="114" t="str">
        <f>IF(INDEX(I.Facility.P2bIDNumber,2365)="","",INDEX(I.Facility.P2bIDNumber,2365))</f>
        <v/>
      </c>
      <c r="G12377" s="51"/>
      <c r="H12377" s="46" t="str">
        <f>IF(AND(I.Developer.P2b=TRUE,I.Facility.P2bFacilityCount&gt;=2365,F12377=""),"Incomplete","Complete")</f>
        <v>Complete</v>
      </c>
      <c r="I12377" s="48" t="s">
        <v>16742</v>
      </c>
    </row>
    <row r="12378" spans="2:9" ht="15" customHeight="1" x14ac:dyDescent="0.25">
      <c r="B12378" s="55" t="s">
        <v>281</v>
      </c>
      <c r="C12378" s="46">
        <v>2366</v>
      </c>
      <c r="D12378" s="69" t="s">
        <v>29418</v>
      </c>
      <c r="E12378" s="51"/>
      <c r="F12378" s="114" t="str">
        <f>IF(INDEX(I.Facility.P2bIDNumber,2366)="","",INDEX(I.Facility.P2bIDNumber,2366))</f>
        <v/>
      </c>
      <c r="G12378" s="51"/>
      <c r="H12378" s="46" t="str">
        <f>IF(AND(I.Developer.P2b=TRUE,I.Facility.P2bFacilityCount&gt;=2366,F12378=""),"Incomplete","Complete")</f>
        <v>Complete</v>
      </c>
      <c r="I12378" s="48" t="s">
        <v>16743</v>
      </c>
    </row>
    <row r="12379" spans="2:9" ht="15" customHeight="1" x14ac:dyDescent="0.25">
      <c r="B12379" s="55" t="s">
        <v>281</v>
      </c>
      <c r="C12379" s="46">
        <v>2367</v>
      </c>
      <c r="D12379" s="69" t="s">
        <v>29418</v>
      </c>
      <c r="E12379" s="51"/>
      <c r="F12379" s="114" t="str">
        <f>IF(INDEX(I.Facility.P2bIDNumber,2367)="","",INDEX(I.Facility.P2bIDNumber,2367))</f>
        <v/>
      </c>
      <c r="G12379" s="51"/>
      <c r="H12379" s="46" t="str">
        <f>IF(AND(I.Developer.P2b=TRUE,I.Facility.P2bFacilityCount&gt;=2367,F12379=""),"Incomplete","Complete")</f>
        <v>Complete</v>
      </c>
      <c r="I12379" s="48" t="s">
        <v>16744</v>
      </c>
    </row>
    <row r="12380" spans="2:9" ht="15" customHeight="1" x14ac:dyDescent="0.25">
      <c r="B12380" s="55" t="s">
        <v>281</v>
      </c>
      <c r="C12380" s="46">
        <v>2368</v>
      </c>
      <c r="D12380" s="69" t="s">
        <v>29418</v>
      </c>
      <c r="E12380" s="51"/>
      <c r="F12380" s="114" t="str">
        <f>IF(INDEX(I.Facility.P2bIDNumber,2368)="","",INDEX(I.Facility.P2bIDNumber,2368))</f>
        <v/>
      </c>
      <c r="G12380" s="51"/>
      <c r="H12380" s="46" t="str">
        <f>IF(AND(I.Developer.P2b=TRUE,I.Facility.P2bFacilityCount&gt;=2368,F12380=""),"Incomplete","Complete")</f>
        <v>Complete</v>
      </c>
      <c r="I12380" s="48" t="s">
        <v>16745</v>
      </c>
    </row>
    <row r="12381" spans="2:9" ht="15" customHeight="1" x14ac:dyDescent="0.25">
      <c r="B12381" s="55" t="s">
        <v>281</v>
      </c>
      <c r="C12381" s="46">
        <v>2369</v>
      </c>
      <c r="D12381" s="69" t="s">
        <v>29418</v>
      </c>
      <c r="E12381" s="51"/>
      <c r="F12381" s="114" t="str">
        <f>IF(INDEX(I.Facility.P2bIDNumber,2369)="","",INDEX(I.Facility.P2bIDNumber,2369))</f>
        <v/>
      </c>
      <c r="G12381" s="51"/>
      <c r="H12381" s="46" t="str">
        <f>IF(AND(I.Developer.P2b=TRUE,I.Facility.P2bFacilityCount&gt;=2369,F12381=""),"Incomplete","Complete")</f>
        <v>Complete</v>
      </c>
      <c r="I12381" s="48" t="s">
        <v>16746</v>
      </c>
    </row>
    <row r="12382" spans="2:9" ht="15" customHeight="1" x14ac:dyDescent="0.25">
      <c r="B12382" s="55" t="s">
        <v>281</v>
      </c>
      <c r="C12382" s="46">
        <v>2370</v>
      </c>
      <c r="D12382" s="69" t="s">
        <v>29418</v>
      </c>
      <c r="E12382" s="51"/>
      <c r="F12382" s="114" t="str">
        <f>IF(INDEX(I.Facility.P2bIDNumber,2370)="","",INDEX(I.Facility.P2bIDNumber,2370))</f>
        <v/>
      </c>
      <c r="G12382" s="51"/>
      <c r="H12382" s="46" t="str">
        <f>IF(AND(I.Developer.P2b=TRUE,I.Facility.P2bFacilityCount&gt;=2370,F12382=""),"Incomplete","Complete")</f>
        <v>Complete</v>
      </c>
      <c r="I12382" s="48" t="s">
        <v>16747</v>
      </c>
    </row>
    <row r="12383" spans="2:9" ht="15" customHeight="1" x14ac:dyDescent="0.25">
      <c r="B12383" s="55" t="s">
        <v>281</v>
      </c>
      <c r="C12383" s="46">
        <v>2371</v>
      </c>
      <c r="D12383" s="69" t="s">
        <v>29418</v>
      </c>
      <c r="E12383" s="51"/>
      <c r="F12383" s="114" t="str">
        <f>IF(INDEX(I.Facility.P2bIDNumber,2371)="","",INDEX(I.Facility.P2bIDNumber,2371))</f>
        <v/>
      </c>
      <c r="G12383" s="51"/>
      <c r="H12383" s="46" t="str">
        <f>IF(AND(I.Developer.P2b=TRUE,I.Facility.P2bFacilityCount&gt;=2371,F12383=""),"Incomplete","Complete")</f>
        <v>Complete</v>
      </c>
      <c r="I12383" s="48" t="s">
        <v>16748</v>
      </c>
    </row>
    <row r="12384" spans="2:9" ht="15" customHeight="1" x14ac:dyDescent="0.25">
      <c r="B12384" s="55" t="s">
        <v>281</v>
      </c>
      <c r="C12384" s="46">
        <v>2372</v>
      </c>
      <c r="D12384" s="69" t="s">
        <v>29418</v>
      </c>
      <c r="E12384" s="51"/>
      <c r="F12384" s="114" t="str">
        <f>IF(INDEX(I.Facility.P2bIDNumber,2372)="","",INDEX(I.Facility.P2bIDNumber,2372))</f>
        <v/>
      </c>
      <c r="G12384" s="51"/>
      <c r="H12384" s="46" t="str">
        <f>IF(AND(I.Developer.P2b=TRUE,I.Facility.P2bFacilityCount&gt;=2372,F12384=""),"Incomplete","Complete")</f>
        <v>Complete</v>
      </c>
      <c r="I12384" s="48" t="s">
        <v>16749</v>
      </c>
    </row>
    <row r="12385" spans="2:9" ht="15" customHeight="1" x14ac:dyDescent="0.25">
      <c r="B12385" s="55" t="s">
        <v>281</v>
      </c>
      <c r="C12385" s="46">
        <v>2373</v>
      </c>
      <c r="D12385" s="69" t="s">
        <v>29418</v>
      </c>
      <c r="E12385" s="51"/>
      <c r="F12385" s="114" t="str">
        <f>IF(INDEX(I.Facility.P2bIDNumber,2373)="","",INDEX(I.Facility.P2bIDNumber,2373))</f>
        <v/>
      </c>
      <c r="G12385" s="51"/>
      <c r="H12385" s="46" t="str">
        <f>IF(AND(I.Developer.P2b=TRUE,I.Facility.P2bFacilityCount&gt;=2373,F12385=""),"Incomplete","Complete")</f>
        <v>Complete</v>
      </c>
      <c r="I12385" s="48" t="s">
        <v>16750</v>
      </c>
    </row>
    <row r="12386" spans="2:9" ht="15" customHeight="1" x14ac:dyDescent="0.25">
      <c r="B12386" s="55" t="s">
        <v>281</v>
      </c>
      <c r="C12386" s="46">
        <v>2374</v>
      </c>
      <c r="D12386" s="69" t="s">
        <v>29418</v>
      </c>
      <c r="E12386" s="51"/>
      <c r="F12386" s="114" t="str">
        <f>IF(INDEX(I.Facility.P2bIDNumber,2374)="","",INDEX(I.Facility.P2bIDNumber,2374))</f>
        <v/>
      </c>
      <c r="G12386" s="51"/>
      <c r="H12386" s="46" t="str">
        <f>IF(AND(I.Developer.P2b=TRUE,I.Facility.P2bFacilityCount&gt;=2374,F12386=""),"Incomplete","Complete")</f>
        <v>Complete</v>
      </c>
      <c r="I12386" s="48" t="s">
        <v>16751</v>
      </c>
    </row>
    <row r="12387" spans="2:9" ht="15" customHeight="1" x14ac:dyDescent="0.25">
      <c r="B12387" s="55" t="s">
        <v>281</v>
      </c>
      <c r="C12387" s="46">
        <v>2375</v>
      </c>
      <c r="D12387" s="69" t="s">
        <v>29418</v>
      </c>
      <c r="E12387" s="51"/>
      <c r="F12387" s="114" t="str">
        <f>IF(INDEX(I.Facility.P2bIDNumber,2375)="","",INDEX(I.Facility.P2bIDNumber,2375))</f>
        <v/>
      </c>
      <c r="G12387" s="51"/>
      <c r="H12387" s="46" t="str">
        <f>IF(AND(I.Developer.P2b=TRUE,I.Facility.P2bFacilityCount&gt;=2375,F12387=""),"Incomplete","Complete")</f>
        <v>Complete</v>
      </c>
      <c r="I12387" s="48" t="s">
        <v>16752</v>
      </c>
    </row>
    <row r="12388" spans="2:9" ht="15" customHeight="1" x14ac:dyDescent="0.25">
      <c r="B12388" s="55" t="s">
        <v>281</v>
      </c>
      <c r="C12388" s="46">
        <v>2376</v>
      </c>
      <c r="D12388" s="69" t="s">
        <v>29418</v>
      </c>
      <c r="E12388" s="51"/>
      <c r="F12388" s="114" t="str">
        <f>IF(INDEX(I.Facility.P2bIDNumber,2376)="","",INDEX(I.Facility.P2bIDNumber,2376))</f>
        <v/>
      </c>
      <c r="G12388" s="51"/>
      <c r="H12388" s="46" t="str">
        <f>IF(AND(I.Developer.P2b=TRUE,I.Facility.P2bFacilityCount&gt;=2376,F12388=""),"Incomplete","Complete")</f>
        <v>Complete</v>
      </c>
      <c r="I12388" s="48" t="s">
        <v>16753</v>
      </c>
    </row>
    <row r="12389" spans="2:9" ht="15" customHeight="1" x14ac:dyDescent="0.25">
      <c r="B12389" s="55" t="s">
        <v>281</v>
      </c>
      <c r="C12389" s="46">
        <v>2377</v>
      </c>
      <c r="D12389" s="69" t="s">
        <v>29418</v>
      </c>
      <c r="E12389" s="51"/>
      <c r="F12389" s="114" t="str">
        <f>IF(INDEX(I.Facility.P2bIDNumber,2377)="","",INDEX(I.Facility.P2bIDNumber,2377))</f>
        <v/>
      </c>
      <c r="G12389" s="51"/>
      <c r="H12389" s="46" t="str">
        <f>IF(AND(I.Developer.P2b=TRUE,I.Facility.P2bFacilityCount&gt;=2377,F12389=""),"Incomplete","Complete")</f>
        <v>Complete</v>
      </c>
      <c r="I12389" s="48" t="s">
        <v>16754</v>
      </c>
    </row>
    <row r="12390" spans="2:9" ht="15" customHeight="1" x14ac:dyDescent="0.25">
      <c r="B12390" s="55" t="s">
        <v>281</v>
      </c>
      <c r="C12390" s="46">
        <v>2378</v>
      </c>
      <c r="D12390" s="69" t="s">
        <v>29418</v>
      </c>
      <c r="E12390" s="51"/>
      <c r="F12390" s="114" t="str">
        <f>IF(INDEX(I.Facility.P2bIDNumber,2378)="","",INDEX(I.Facility.P2bIDNumber,2378))</f>
        <v/>
      </c>
      <c r="G12390" s="51"/>
      <c r="H12390" s="46" t="str">
        <f>IF(AND(I.Developer.P2b=TRUE,I.Facility.P2bFacilityCount&gt;=2378,F12390=""),"Incomplete","Complete")</f>
        <v>Complete</v>
      </c>
      <c r="I12390" s="48" t="s">
        <v>16755</v>
      </c>
    </row>
    <row r="12391" spans="2:9" ht="15" customHeight="1" x14ac:dyDescent="0.25">
      <c r="B12391" s="55" t="s">
        <v>281</v>
      </c>
      <c r="C12391" s="46">
        <v>2379</v>
      </c>
      <c r="D12391" s="69" t="s">
        <v>29418</v>
      </c>
      <c r="E12391" s="51"/>
      <c r="F12391" s="114" t="str">
        <f>IF(INDEX(I.Facility.P2bIDNumber,2379)="","",INDEX(I.Facility.P2bIDNumber,2379))</f>
        <v/>
      </c>
      <c r="G12391" s="51"/>
      <c r="H12391" s="46" t="str">
        <f>IF(AND(I.Developer.P2b=TRUE,I.Facility.P2bFacilityCount&gt;=2379,F12391=""),"Incomplete","Complete")</f>
        <v>Complete</v>
      </c>
      <c r="I12391" s="48" t="s">
        <v>16756</v>
      </c>
    </row>
    <row r="12392" spans="2:9" ht="15" customHeight="1" x14ac:dyDescent="0.25">
      <c r="B12392" s="55" t="s">
        <v>281</v>
      </c>
      <c r="C12392" s="46">
        <v>2380</v>
      </c>
      <c r="D12392" s="69" t="s">
        <v>29418</v>
      </c>
      <c r="E12392" s="51"/>
      <c r="F12392" s="114" t="str">
        <f>IF(INDEX(I.Facility.P2bIDNumber,2380)="","",INDEX(I.Facility.P2bIDNumber,2380))</f>
        <v/>
      </c>
      <c r="G12392" s="51"/>
      <c r="H12392" s="46" t="str">
        <f>IF(AND(I.Developer.P2b=TRUE,I.Facility.P2bFacilityCount&gt;=2380,F12392=""),"Incomplete","Complete")</f>
        <v>Complete</v>
      </c>
      <c r="I12392" s="48" t="s">
        <v>16757</v>
      </c>
    </row>
    <row r="12393" spans="2:9" ht="15" customHeight="1" x14ac:dyDescent="0.25">
      <c r="B12393" s="55" t="s">
        <v>281</v>
      </c>
      <c r="C12393" s="46">
        <v>2381</v>
      </c>
      <c r="D12393" s="69" t="s">
        <v>29418</v>
      </c>
      <c r="E12393" s="51"/>
      <c r="F12393" s="114" t="str">
        <f>IF(INDEX(I.Facility.P2bIDNumber,2381)="","",INDEX(I.Facility.P2bIDNumber,2381))</f>
        <v/>
      </c>
      <c r="G12393" s="51"/>
      <c r="H12393" s="46" t="str">
        <f>IF(AND(I.Developer.P2b=TRUE,I.Facility.P2bFacilityCount&gt;=2381,F12393=""),"Incomplete","Complete")</f>
        <v>Complete</v>
      </c>
      <c r="I12393" s="48" t="s">
        <v>16758</v>
      </c>
    </row>
    <row r="12394" spans="2:9" ht="15" customHeight="1" x14ac:dyDescent="0.25">
      <c r="B12394" s="55" t="s">
        <v>281</v>
      </c>
      <c r="C12394" s="46">
        <v>2382</v>
      </c>
      <c r="D12394" s="69" t="s">
        <v>29418</v>
      </c>
      <c r="E12394" s="51"/>
      <c r="F12394" s="114" t="str">
        <f>IF(INDEX(I.Facility.P2bIDNumber,2382)="","",INDEX(I.Facility.P2bIDNumber,2382))</f>
        <v/>
      </c>
      <c r="G12394" s="51"/>
      <c r="H12394" s="46" t="str">
        <f>IF(AND(I.Developer.P2b=TRUE,I.Facility.P2bFacilityCount&gt;=2382,F12394=""),"Incomplete","Complete")</f>
        <v>Complete</v>
      </c>
      <c r="I12394" s="48" t="s">
        <v>16759</v>
      </c>
    </row>
    <row r="12395" spans="2:9" ht="15" customHeight="1" x14ac:dyDescent="0.25">
      <c r="B12395" s="55" t="s">
        <v>281</v>
      </c>
      <c r="C12395" s="46">
        <v>2383</v>
      </c>
      <c r="D12395" s="69" t="s">
        <v>29418</v>
      </c>
      <c r="E12395" s="51"/>
      <c r="F12395" s="114" t="str">
        <f>IF(INDEX(I.Facility.P2bIDNumber,2383)="","",INDEX(I.Facility.P2bIDNumber,2383))</f>
        <v/>
      </c>
      <c r="G12395" s="51"/>
      <c r="H12395" s="46" t="str">
        <f>IF(AND(I.Developer.P2b=TRUE,I.Facility.P2bFacilityCount&gt;=2383,F12395=""),"Incomplete","Complete")</f>
        <v>Complete</v>
      </c>
      <c r="I12395" s="48" t="s">
        <v>16760</v>
      </c>
    </row>
    <row r="12396" spans="2:9" ht="15" customHeight="1" x14ac:dyDescent="0.25">
      <c r="B12396" s="55" t="s">
        <v>281</v>
      </c>
      <c r="C12396" s="46">
        <v>2384</v>
      </c>
      <c r="D12396" s="69" t="s">
        <v>29418</v>
      </c>
      <c r="E12396" s="51"/>
      <c r="F12396" s="114" t="str">
        <f>IF(INDEX(I.Facility.P2bIDNumber,2384)="","",INDEX(I.Facility.P2bIDNumber,2384))</f>
        <v/>
      </c>
      <c r="G12396" s="51"/>
      <c r="H12396" s="46" t="str">
        <f>IF(AND(I.Developer.P2b=TRUE,I.Facility.P2bFacilityCount&gt;=2384,F12396=""),"Incomplete","Complete")</f>
        <v>Complete</v>
      </c>
      <c r="I12396" s="48" t="s">
        <v>16761</v>
      </c>
    </row>
    <row r="12397" spans="2:9" ht="15" customHeight="1" x14ac:dyDescent="0.25">
      <c r="B12397" s="55" t="s">
        <v>281</v>
      </c>
      <c r="C12397" s="46">
        <v>2385</v>
      </c>
      <c r="D12397" s="69" t="s">
        <v>29418</v>
      </c>
      <c r="E12397" s="51"/>
      <c r="F12397" s="114" t="str">
        <f>IF(INDEX(I.Facility.P2bIDNumber,2385)="","",INDEX(I.Facility.P2bIDNumber,2385))</f>
        <v/>
      </c>
      <c r="G12397" s="51"/>
      <c r="H12397" s="46" t="str">
        <f>IF(AND(I.Developer.P2b=TRUE,I.Facility.P2bFacilityCount&gt;=2385,F12397=""),"Incomplete","Complete")</f>
        <v>Complete</v>
      </c>
      <c r="I12397" s="48" t="s">
        <v>16762</v>
      </c>
    </row>
    <row r="12398" spans="2:9" ht="15" customHeight="1" x14ac:dyDescent="0.25">
      <c r="B12398" s="55" t="s">
        <v>281</v>
      </c>
      <c r="C12398" s="46">
        <v>2386</v>
      </c>
      <c r="D12398" s="69" t="s">
        <v>29418</v>
      </c>
      <c r="E12398" s="51"/>
      <c r="F12398" s="114" t="str">
        <f>IF(INDEX(I.Facility.P2bIDNumber,2386)="","",INDEX(I.Facility.P2bIDNumber,2386))</f>
        <v/>
      </c>
      <c r="G12398" s="51"/>
      <c r="H12398" s="46" t="str">
        <f>IF(AND(I.Developer.P2b=TRUE,I.Facility.P2bFacilityCount&gt;=2386,F12398=""),"Incomplete","Complete")</f>
        <v>Complete</v>
      </c>
      <c r="I12398" s="48" t="s">
        <v>16763</v>
      </c>
    </row>
    <row r="12399" spans="2:9" ht="15" customHeight="1" x14ac:dyDescent="0.25">
      <c r="B12399" s="55" t="s">
        <v>281</v>
      </c>
      <c r="C12399" s="46">
        <v>2387</v>
      </c>
      <c r="D12399" s="69" t="s">
        <v>29418</v>
      </c>
      <c r="E12399" s="51"/>
      <c r="F12399" s="114" t="str">
        <f>IF(INDEX(I.Facility.P2bIDNumber,2387)="","",INDEX(I.Facility.P2bIDNumber,2387))</f>
        <v/>
      </c>
      <c r="G12399" s="51"/>
      <c r="H12399" s="46" t="str">
        <f>IF(AND(I.Developer.P2b=TRUE,I.Facility.P2bFacilityCount&gt;=2387,F12399=""),"Incomplete","Complete")</f>
        <v>Complete</v>
      </c>
      <c r="I12399" s="48" t="s">
        <v>16764</v>
      </c>
    </row>
    <row r="12400" spans="2:9" ht="15" customHeight="1" x14ac:dyDescent="0.25">
      <c r="B12400" s="55" t="s">
        <v>281</v>
      </c>
      <c r="C12400" s="46">
        <v>2388</v>
      </c>
      <c r="D12400" s="69" t="s">
        <v>29418</v>
      </c>
      <c r="E12400" s="51"/>
      <c r="F12400" s="114" t="str">
        <f>IF(INDEX(I.Facility.P2bIDNumber,2388)="","",INDEX(I.Facility.P2bIDNumber,2388))</f>
        <v/>
      </c>
      <c r="G12400" s="51"/>
      <c r="H12400" s="46" t="str">
        <f>IF(AND(I.Developer.P2b=TRUE,I.Facility.P2bFacilityCount&gt;=2388,F12400=""),"Incomplete","Complete")</f>
        <v>Complete</v>
      </c>
      <c r="I12400" s="48" t="s">
        <v>16765</v>
      </c>
    </row>
    <row r="12401" spans="2:9" ht="15" customHeight="1" x14ac:dyDescent="0.25">
      <c r="B12401" s="55" t="s">
        <v>281</v>
      </c>
      <c r="C12401" s="46">
        <v>2389</v>
      </c>
      <c r="D12401" s="69" t="s">
        <v>29418</v>
      </c>
      <c r="E12401" s="51"/>
      <c r="F12401" s="114" t="str">
        <f>IF(INDEX(I.Facility.P2bIDNumber,2389)="","",INDEX(I.Facility.P2bIDNumber,2389))</f>
        <v/>
      </c>
      <c r="G12401" s="51"/>
      <c r="H12401" s="46" t="str">
        <f>IF(AND(I.Developer.P2b=TRUE,I.Facility.P2bFacilityCount&gt;=2389,F12401=""),"Incomplete","Complete")</f>
        <v>Complete</v>
      </c>
      <c r="I12401" s="48" t="s">
        <v>16766</v>
      </c>
    </row>
    <row r="12402" spans="2:9" ht="15" customHeight="1" x14ac:dyDescent="0.25">
      <c r="B12402" s="55" t="s">
        <v>281</v>
      </c>
      <c r="C12402" s="46">
        <v>2390</v>
      </c>
      <c r="D12402" s="69" t="s">
        <v>29418</v>
      </c>
      <c r="E12402" s="51"/>
      <c r="F12402" s="114" t="str">
        <f>IF(INDEX(I.Facility.P2bIDNumber,2390)="","",INDEX(I.Facility.P2bIDNumber,2390))</f>
        <v/>
      </c>
      <c r="G12402" s="51"/>
      <c r="H12402" s="46" t="str">
        <f>IF(AND(I.Developer.P2b=TRUE,I.Facility.P2bFacilityCount&gt;=2390,F12402=""),"Incomplete","Complete")</f>
        <v>Complete</v>
      </c>
      <c r="I12402" s="48" t="s">
        <v>16767</v>
      </c>
    </row>
    <row r="12403" spans="2:9" ht="15" customHeight="1" x14ac:dyDescent="0.25">
      <c r="B12403" s="55" t="s">
        <v>281</v>
      </c>
      <c r="C12403" s="46">
        <v>2391</v>
      </c>
      <c r="D12403" s="69" t="s">
        <v>29418</v>
      </c>
      <c r="E12403" s="51"/>
      <c r="F12403" s="114" t="str">
        <f>IF(INDEX(I.Facility.P2bIDNumber,2391)="","",INDEX(I.Facility.P2bIDNumber,2391))</f>
        <v/>
      </c>
      <c r="G12403" s="51"/>
      <c r="H12403" s="46" t="str">
        <f>IF(AND(I.Developer.P2b=TRUE,I.Facility.P2bFacilityCount&gt;=2391,F12403=""),"Incomplete","Complete")</f>
        <v>Complete</v>
      </c>
      <c r="I12403" s="48" t="s">
        <v>16768</v>
      </c>
    </row>
    <row r="12404" spans="2:9" ht="15" customHeight="1" x14ac:dyDescent="0.25">
      <c r="B12404" s="55" t="s">
        <v>281</v>
      </c>
      <c r="C12404" s="46">
        <v>2392</v>
      </c>
      <c r="D12404" s="69" t="s">
        <v>29418</v>
      </c>
      <c r="E12404" s="51"/>
      <c r="F12404" s="114" t="str">
        <f>IF(INDEX(I.Facility.P2bIDNumber,2392)="","",INDEX(I.Facility.P2bIDNumber,2392))</f>
        <v/>
      </c>
      <c r="G12404" s="51"/>
      <c r="H12404" s="46" t="str">
        <f>IF(AND(I.Developer.P2b=TRUE,I.Facility.P2bFacilityCount&gt;=2392,F12404=""),"Incomplete","Complete")</f>
        <v>Complete</v>
      </c>
      <c r="I12404" s="48" t="s">
        <v>16769</v>
      </c>
    </row>
    <row r="12405" spans="2:9" ht="15" customHeight="1" x14ac:dyDescent="0.25">
      <c r="B12405" s="55" t="s">
        <v>281</v>
      </c>
      <c r="C12405" s="46">
        <v>2393</v>
      </c>
      <c r="D12405" s="69" t="s">
        <v>29418</v>
      </c>
      <c r="E12405" s="51"/>
      <c r="F12405" s="114" t="str">
        <f>IF(INDEX(I.Facility.P2bIDNumber,2393)="","",INDEX(I.Facility.P2bIDNumber,2393))</f>
        <v/>
      </c>
      <c r="G12405" s="51"/>
      <c r="H12405" s="46" t="str">
        <f>IF(AND(I.Developer.P2b=TRUE,I.Facility.P2bFacilityCount&gt;=2393,F12405=""),"Incomplete","Complete")</f>
        <v>Complete</v>
      </c>
      <c r="I12405" s="48" t="s">
        <v>16770</v>
      </c>
    </row>
    <row r="12406" spans="2:9" ht="15" customHeight="1" x14ac:dyDescent="0.25">
      <c r="B12406" s="55" t="s">
        <v>281</v>
      </c>
      <c r="C12406" s="46">
        <v>2394</v>
      </c>
      <c r="D12406" s="69" t="s">
        <v>29418</v>
      </c>
      <c r="E12406" s="51"/>
      <c r="F12406" s="114" t="str">
        <f>IF(INDEX(I.Facility.P2bIDNumber,2394)="","",INDEX(I.Facility.P2bIDNumber,2394))</f>
        <v/>
      </c>
      <c r="G12406" s="51"/>
      <c r="H12406" s="46" t="str">
        <f>IF(AND(I.Developer.P2b=TRUE,I.Facility.P2bFacilityCount&gt;=2394,F12406=""),"Incomplete","Complete")</f>
        <v>Complete</v>
      </c>
      <c r="I12406" s="48" t="s">
        <v>16771</v>
      </c>
    </row>
    <row r="12407" spans="2:9" ht="15" customHeight="1" x14ac:dyDescent="0.25">
      <c r="B12407" s="55" t="s">
        <v>281</v>
      </c>
      <c r="C12407" s="46">
        <v>2395</v>
      </c>
      <c r="D12407" s="69" t="s">
        <v>29418</v>
      </c>
      <c r="E12407" s="51"/>
      <c r="F12407" s="114" t="str">
        <f>IF(INDEX(I.Facility.P2bIDNumber,2395)="","",INDEX(I.Facility.P2bIDNumber,2395))</f>
        <v/>
      </c>
      <c r="G12407" s="51"/>
      <c r="H12407" s="46" t="str">
        <f>IF(AND(I.Developer.P2b=TRUE,I.Facility.P2bFacilityCount&gt;=2395,F12407=""),"Incomplete","Complete")</f>
        <v>Complete</v>
      </c>
      <c r="I12407" s="48" t="s">
        <v>16772</v>
      </c>
    </row>
    <row r="12408" spans="2:9" ht="15" customHeight="1" x14ac:dyDescent="0.25">
      <c r="B12408" s="55" t="s">
        <v>281</v>
      </c>
      <c r="C12408" s="46">
        <v>2396</v>
      </c>
      <c r="D12408" s="69" t="s">
        <v>29418</v>
      </c>
      <c r="E12408" s="51"/>
      <c r="F12408" s="114" t="str">
        <f>IF(INDEX(I.Facility.P2bIDNumber,2396)="","",INDEX(I.Facility.P2bIDNumber,2396))</f>
        <v/>
      </c>
      <c r="G12408" s="51"/>
      <c r="H12408" s="46" t="str">
        <f>IF(AND(I.Developer.P2b=TRUE,I.Facility.P2bFacilityCount&gt;=2396,F12408=""),"Incomplete","Complete")</f>
        <v>Complete</v>
      </c>
      <c r="I12408" s="48" t="s">
        <v>16773</v>
      </c>
    </row>
    <row r="12409" spans="2:9" ht="15" customHeight="1" x14ac:dyDescent="0.25">
      <c r="B12409" s="55" t="s">
        <v>281</v>
      </c>
      <c r="C12409" s="46">
        <v>2397</v>
      </c>
      <c r="D12409" s="69" t="s">
        <v>29418</v>
      </c>
      <c r="E12409" s="51"/>
      <c r="F12409" s="114" t="str">
        <f>IF(INDEX(I.Facility.P2bIDNumber,2397)="","",INDEX(I.Facility.P2bIDNumber,2397))</f>
        <v/>
      </c>
      <c r="G12409" s="51"/>
      <c r="H12409" s="46" t="str">
        <f>IF(AND(I.Developer.P2b=TRUE,I.Facility.P2bFacilityCount&gt;=2397,F12409=""),"Incomplete","Complete")</f>
        <v>Complete</v>
      </c>
      <c r="I12409" s="48" t="s">
        <v>16774</v>
      </c>
    </row>
    <row r="12410" spans="2:9" ht="15" customHeight="1" x14ac:dyDescent="0.25">
      <c r="B12410" s="55" t="s">
        <v>281</v>
      </c>
      <c r="C12410" s="46">
        <v>2398</v>
      </c>
      <c r="D12410" s="69" t="s">
        <v>29418</v>
      </c>
      <c r="E12410" s="51"/>
      <c r="F12410" s="114" t="str">
        <f>IF(INDEX(I.Facility.P2bIDNumber,2398)="","",INDEX(I.Facility.P2bIDNumber,2398))</f>
        <v/>
      </c>
      <c r="G12410" s="51"/>
      <c r="H12410" s="46" t="str">
        <f>IF(AND(I.Developer.P2b=TRUE,I.Facility.P2bFacilityCount&gt;=2398,F12410=""),"Incomplete","Complete")</f>
        <v>Complete</v>
      </c>
      <c r="I12410" s="48" t="s">
        <v>16775</v>
      </c>
    </row>
    <row r="12411" spans="2:9" ht="15" customHeight="1" x14ac:dyDescent="0.25">
      <c r="B12411" s="55" t="s">
        <v>281</v>
      </c>
      <c r="C12411" s="46">
        <v>2399</v>
      </c>
      <c r="D12411" s="69" t="s">
        <v>29418</v>
      </c>
      <c r="E12411" s="51"/>
      <c r="F12411" s="114" t="str">
        <f>IF(INDEX(I.Facility.P2bIDNumber,2399)="","",INDEX(I.Facility.P2bIDNumber,2399))</f>
        <v/>
      </c>
      <c r="G12411" s="51"/>
      <c r="H12411" s="46" t="str">
        <f>IF(AND(I.Developer.P2b=TRUE,I.Facility.P2bFacilityCount&gt;=2399,F12411=""),"Incomplete","Complete")</f>
        <v>Complete</v>
      </c>
      <c r="I12411" s="48" t="s">
        <v>16776</v>
      </c>
    </row>
    <row r="12412" spans="2:9" ht="15" customHeight="1" x14ac:dyDescent="0.25">
      <c r="B12412" s="55" t="s">
        <v>281</v>
      </c>
      <c r="C12412" s="46">
        <v>2400</v>
      </c>
      <c r="D12412" s="69" t="s">
        <v>29418</v>
      </c>
      <c r="E12412" s="51"/>
      <c r="F12412" s="114" t="str">
        <f>IF(INDEX(I.Facility.P2bIDNumber,2400)="","",INDEX(I.Facility.P2bIDNumber,2400))</f>
        <v/>
      </c>
      <c r="G12412" s="51"/>
      <c r="H12412" s="46" t="str">
        <f>IF(AND(I.Developer.P2b=TRUE,I.Facility.P2bFacilityCount&gt;=2400,F12412=""),"Incomplete","Complete")</f>
        <v>Complete</v>
      </c>
      <c r="I12412" s="48" t="s">
        <v>16777</v>
      </c>
    </row>
    <row r="12413" spans="2:9" ht="15" customHeight="1" x14ac:dyDescent="0.25">
      <c r="B12413" s="55" t="s">
        <v>281</v>
      </c>
      <c r="C12413" s="46">
        <v>2401</v>
      </c>
      <c r="D12413" s="69" t="s">
        <v>29418</v>
      </c>
      <c r="E12413" s="51"/>
      <c r="F12413" s="114" t="str">
        <f>IF(INDEX(I.Facility.P2bIDNumber,2401)="","",INDEX(I.Facility.P2bIDNumber,2401))</f>
        <v/>
      </c>
      <c r="G12413" s="51"/>
      <c r="H12413" s="46" t="str">
        <f>IF(AND(I.Developer.P2b=TRUE,I.Facility.P2bFacilityCount&gt;=2401,F12413=""),"Incomplete","Complete")</f>
        <v>Complete</v>
      </c>
      <c r="I12413" s="48" t="s">
        <v>16778</v>
      </c>
    </row>
    <row r="12414" spans="2:9" ht="15" customHeight="1" x14ac:dyDescent="0.25">
      <c r="B12414" s="55" t="s">
        <v>281</v>
      </c>
      <c r="C12414" s="46">
        <v>2402</v>
      </c>
      <c r="D12414" s="69" t="s">
        <v>29418</v>
      </c>
      <c r="E12414" s="51"/>
      <c r="F12414" s="114" t="str">
        <f>IF(INDEX(I.Facility.P2bIDNumber,2402)="","",INDEX(I.Facility.P2bIDNumber,2402))</f>
        <v/>
      </c>
      <c r="G12414" s="51"/>
      <c r="H12414" s="46" t="str">
        <f>IF(AND(I.Developer.P2b=TRUE,I.Facility.P2bFacilityCount&gt;=2402,F12414=""),"Incomplete","Complete")</f>
        <v>Complete</v>
      </c>
      <c r="I12414" s="48" t="s">
        <v>16779</v>
      </c>
    </row>
    <row r="12415" spans="2:9" ht="15" customHeight="1" x14ac:dyDescent="0.25">
      <c r="B12415" s="55" t="s">
        <v>281</v>
      </c>
      <c r="C12415" s="46">
        <v>2403</v>
      </c>
      <c r="D12415" s="69" t="s">
        <v>29418</v>
      </c>
      <c r="E12415" s="51"/>
      <c r="F12415" s="114" t="str">
        <f>IF(INDEX(I.Facility.P2bIDNumber,2403)="","",INDEX(I.Facility.P2bIDNumber,2403))</f>
        <v/>
      </c>
      <c r="G12415" s="51"/>
      <c r="H12415" s="46" t="str">
        <f>IF(AND(I.Developer.P2b=TRUE,I.Facility.P2bFacilityCount&gt;=2403,F12415=""),"Incomplete","Complete")</f>
        <v>Complete</v>
      </c>
      <c r="I12415" s="48" t="s">
        <v>16780</v>
      </c>
    </row>
    <row r="12416" spans="2:9" ht="15" customHeight="1" x14ac:dyDescent="0.25">
      <c r="B12416" s="55" t="s">
        <v>281</v>
      </c>
      <c r="C12416" s="46">
        <v>2404</v>
      </c>
      <c r="D12416" s="69" t="s">
        <v>29418</v>
      </c>
      <c r="E12416" s="51"/>
      <c r="F12416" s="114" t="str">
        <f>IF(INDEX(I.Facility.P2bIDNumber,2404)="","",INDEX(I.Facility.P2bIDNumber,2404))</f>
        <v/>
      </c>
      <c r="G12416" s="51"/>
      <c r="H12416" s="46" t="str">
        <f>IF(AND(I.Developer.P2b=TRUE,I.Facility.P2bFacilityCount&gt;=2404,F12416=""),"Incomplete","Complete")</f>
        <v>Complete</v>
      </c>
      <c r="I12416" s="48" t="s">
        <v>16781</v>
      </c>
    </row>
    <row r="12417" spans="2:9" ht="15" customHeight="1" x14ac:dyDescent="0.25">
      <c r="B12417" s="55" t="s">
        <v>281</v>
      </c>
      <c r="C12417" s="46">
        <v>2405</v>
      </c>
      <c r="D12417" s="69" t="s">
        <v>29418</v>
      </c>
      <c r="E12417" s="51"/>
      <c r="F12417" s="114" t="str">
        <f>IF(INDEX(I.Facility.P2bIDNumber,2405)="","",INDEX(I.Facility.P2bIDNumber,2405))</f>
        <v/>
      </c>
      <c r="G12417" s="51"/>
      <c r="H12417" s="46" t="str">
        <f>IF(AND(I.Developer.P2b=TRUE,I.Facility.P2bFacilityCount&gt;=2405,F12417=""),"Incomplete","Complete")</f>
        <v>Complete</v>
      </c>
      <c r="I12417" s="48" t="s">
        <v>16782</v>
      </c>
    </row>
    <row r="12418" spans="2:9" ht="15" customHeight="1" x14ac:dyDescent="0.25">
      <c r="B12418" s="55" t="s">
        <v>281</v>
      </c>
      <c r="C12418" s="46">
        <v>2406</v>
      </c>
      <c r="D12418" s="69" t="s">
        <v>29418</v>
      </c>
      <c r="E12418" s="51"/>
      <c r="F12418" s="114" t="str">
        <f>IF(INDEX(I.Facility.P2bIDNumber,2406)="","",INDEX(I.Facility.P2bIDNumber,2406))</f>
        <v/>
      </c>
      <c r="G12418" s="51"/>
      <c r="H12418" s="46" t="str">
        <f>IF(AND(I.Developer.P2b=TRUE,I.Facility.P2bFacilityCount&gt;=2406,F12418=""),"Incomplete","Complete")</f>
        <v>Complete</v>
      </c>
      <c r="I12418" s="48" t="s">
        <v>16783</v>
      </c>
    </row>
    <row r="12419" spans="2:9" ht="15" customHeight="1" x14ac:dyDescent="0.25">
      <c r="B12419" s="55" t="s">
        <v>281</v>
      </c>
      <c r="C12419" s="46">
        <v>2407</v>
      </c>
      <c r="D12419" s="69" t="s">
        <v>29418</v>
      </c>
      <c r="E12419" s="51"/>
      <c r="F12419" s="114" t="str">
        <f>IF(INDEX(I.Facility.P2bIDNumber,2407)="","",INDEX(I.Facility.P2bIDNumber,2407))</f>
        <v/>
      </c>
      <c r="G12419" s="51"/>
      <c r="H12419" s="46" t="str">
        <f>IF(AND(I.Developer.P2b=TRUE,I.Facility.P2bFacilityCount&gt;=2407,F12419=""),"Incomplete","Complete")</f>
        <v>Complete</v>
      </c>
      <c r="I12419" s="48" t="s">
        <v>16784</v>
      </c>
    </row>
    <row r="12420" spans="2:9" ht="15" customHeight="1" x14ac:dyDescent="0.25">
      <c r="B12420" s="55" t="s">
        <v>281</v>
      </c>
      <c r="C12420" s="46">
        <v>2408</v>
      </c>
      <c r="D12420" s="69" t="s">
        <v>29418</v>
      </c>
      <c r="E12420" s="51"/>
      <c r="F12420" s="114" t="str">
        <f>IF(INDEX(I.Facility.P2bIDNumber,2408)="","",INDEX(I.Facility.P2bIDNumber,2408))</f>
        <v/>
      </c>
      <c r="G12420" s="51"/>
      <c r="H12420" s="46" t="str">
        <f>IF(AND(I.Developer.P2b=TRUE,I.Facility.P2bFacilityCount&gt;=2408,F12420=""),"Incomplete","Complete")</f>
        <v>Complete</v>
      </c>
      <c r="I12420" s="48" t="s">
        <v>16785</v>
      </c>
    </row>
    <row r="12421" spans="2:9" ht="15" customHeight="1" x14ac:dyDescent="0.25">
      <c r="B12421" s="55" t="s">
        <v>281</v>
      </c>
      <c r="C12421" s="46">
        <v>2409</v>
      </c>
      <c r="D12421" s="69" t="s">
        <v>29418</v>
      </c>
      <c r="E12421" s="51"/>
      <c r="F12421" s="114" t="str">
        <f>IF(INDEX(I.Facility.P2bIDNumber,2409)="","",INDEX(I.Facility.P2bIDNumber,2409))</f>
        <v/>
      </c>
      <c r="G12421" s="51"/>
      <c r="H12421" s="46" t="str">
        <f>IF(AND(I.Developer.P2b=TRUE,I.Facility.P2bFacilityCount&gt;=2409,F12421=""),"Incomplete","Complete")</f>
        <v>Complete</v>
      </c>
      <c r="I12421" s="48" t="s">
        <v>16786</v>
      </c>
    </row>
    <row r="12422" spans="2:9" ht="15" customHeight="1" x14ac:dyDescent="0.25">
      <c r="B12422" s="55" t="s">
        <v>281</v>
      </c>
      <c r="C12422" s="46">
        <v>2410</v>
      </c>
      <c r="D12422" s="69" t="s">
        <v>29418</v>
      </c>
      <c r="E12422" s="51"/>
      <c r="F12422" s="114" t="str">
        <f>IF(INDEX(I.Facility.P2bIDNumber,2410)="","",INDEX(I.Facility.P2bIDNumber,2410))</f>
        <v/>
      </c>
      <c r="G12422" s="51"/>
      <c r="H12422" s="46" t="str">
        <f>IF(AND(I.Developer.P2b=TRUE,I.Facility.P2bFacilityCount&gt;=2410,F12422=""),"Incomplete","Complete")</f>
        <v>Complete</v>
      </c>
      <c r="I12422" s="48" t="s">
        <v>16787</v>
      </c>
    </row>
    <row r="12423" spans="2:9" ht="15" customHeight="1" x14ac:dyDescent="0.25">
      <c r="B12423" s="55" t="s">
        <v>281</v>
      </c>
      <c r="C12423" s="46">
        <v>2411</v>
      </c>
      <c r="D12423" s="69" t="s">
        <v>29418</v>
      </c>
      <c r="E12423" s="51"/>
      <c r="F12423" s="114" t="str">
        <f>IF(INDEX(I.Facility.P2bIDNumber,2411)="","",INDEX(I.Facility.P2bIDNumber,2411))</f>
        <v/>
      </c>
      <c r="G12423" s="51"/>
      <c r="H12423" s="46" t="str">
        <f>IF(AND(I.Developer.P2b=TRUE,I.Facility.P2bFacilityCount&gt;=2411,F12423=""),"Incomplete","Complete")</f>
        <v>Complete</v>
      </c>
      <c r="I12423" s="48" t="s">
        <v>16788</v>
      </c>
    </row>
    <row r="12424" spans="2:9" ht="15" customHeight="1" x14ac:dyDescent="0.25">
      <c r="B12424" s="55" t="s">
        <v>281</v>
      </c>
      <c r="C12424" s="46">
        <v>2412</v>
      </c>
      <c r="D12424" s="69" t="s">
        <v>29418</v>
      </c>
      <c r="E12424" s="51"/>
      <c r="F12424" s="114" t="str">
        <f>IF(INDEX(I.Facility.P2bIDNumber,2412)="","",INDEX(I.Facility.P2bIDNumber,2412))</f>
        <v/>
      </c>
      <c r="G12424" s="51"/>
      <c r="H12424" s="46" t="str">
        <f>IF(AND(I.Developer.P2b=TRUE,I.Facility.P2bFacilityCount&gt;=2412,F12424=""),"Incomplete","Complete")</f>
        <v>Complete</v>
      </c>
      <c r="I12424" s="48" t="s">
        <v>16789</v>
      </c>
    </row>
    <row r="12425" spans="2:9" ht="15" customHeight="1" x14ac:dyDescent="0.25">
      <c r="B12425" s="55" t="s">
        <v>281</v>
      </c>
      <c r="C12425" s="46">
        <v>2413</v>
      </c>
      <c r="D12425" s="69" t="s">
        <v>29418</v>
      </c>
      <c r="E12425" s="51"/>
      <c r="F12425" s="114" t="str">
        <f>IF(INDEX(I.Facility.P2bIDNumber,2413)="","",INDEX(I.Facility.P2bIDNumber,2413))</f>
        <v/>
      </c>
      <c r="G12425" s="51"/>
      <c r="H12425" s="46" t="str">
        <f>IF(AND(I.Developer.P2b=TRUE,I.Facility.P2bFacilityCount&gt;=2413,F12425=""),"Incomplete","Complete")</f>
        <v>Complete</v>
      </c>
      <c r="I12425" s="48" t="s">
        <v>16790</v>
      </c>
    </row>
    <row r="12426" spans="2:9" ht="15" customHeight="1" x14ac:dyDescent="0.25">
      <c r="B12426" s="55" t="s">
        <v>281</v>
      </c>
      <c r="C12426" s="46">
        <v>2414</v>
      </c>
      <c r="D12426" s="69" t="s">
        <v>29418</v>
      </c>
      <c r="E12426" s="51"/>
      <c r="F12426" s="114" t="str">
        <f>IF(INDEX(I.Facility.P2bIDNumber,2414)="","",INDEX(I.Facility.P2bIDNumber,2414))</f>
        <v/>
      </c>
      <c r="G12426" s="51"/>
      <c r="H12426" s="46" t="str">
        <f>IF(AND(I.Developer.P2b=TRUE,I.Facility.P2bFacilityCount&gt;=2414,F12426=""),"Incomplete","Complete")</f>
        <v>Complete</v>
      </c>
      <c r="I12426" s="48" t="s">
        <v>16791</v>
      </c>
    </row>
    <row r="12427" spans="2:9" ht="15" customHeight="1" x14ac:dyDescent="0.25">
      <c r="B12427" s="55" t="s">
        <v>281</v>
      </c>
      <c r="C12427" s="46">
        <v>2415</v>
      </c>
      <c r="D12427" s="69" t="s">
        <v>29418</v>
      </c>
      <c r="E12427" s="51"/>
      <c r="F12427" s="114" t="str">
        <f>IF(INDEX(I.Facility.P2bIDNumber,2415)="","",INDEX(I.Facility.P2bIDNumber,2415))</f>
        <v/>
      </c>
      <c r="G12427" s="51"/>
      <c r="H12427" s="46" t="str">
        <f>IF(AND(I.Developer.P2b=TRUE,I.Facility.P2bFacilityCount&gt;=2415,F12427=""),"Incomplete","Complete")</f>
        <v>Complete</v>
      </c>
      <c r="I12427" s="48" t="s">
        <v>16792</v>
      </c>
    </row>
    <row r="12428" spans="2:9" ht="15" customHeight="1" x14ac:dyDescent="0.25">
      <c r="B12428" s="55" t="s">
        <v>281</v>
      </c>
      <c r="C12428" s="46">
        <v>2416</v>
      </c>
      <c r="D12428" s="69" t="s">
        <v>29418</v>
      </c>
      <c r="E12428" s="51"/>
      <c r="F12428" s="114" t="str">
        <f>IF(INDEX(I.Facility.P2bIDNumber,2416)="","",INDEX(I.Facility.P2bIDNumber,2416))</f>
        <v/>
      </c>
      <c r="G12428" s="51"/>
      <c r="H12428" s="46" t="str">
        <f>IF(AND(I.Developer.P2b=TRUE,I.Facility.P2bFacilityCount&gt;=2416,F12428=""),"Incomplete","Complete")</f>
        <v>Complete</v>
      </c>
      <c r="I12428" s="48" t="s">
        <v>16793</v>
      </c>
    </row>
    <row r="12429" spans="2:9" ht="15" customHeight="1" x14ac:dyDescent="0.25">
      <c r="B12429" s="55" t="s">
        <v>281</v>
      </c>
      <c r="C12429" s="46">
        <v>2417</v>
      </c>
      <c r="D12429" s="69" t="s">
        <v>29418</v>
      </c>
      <c r="E12429" s="51"/>
      <c r="F12429" s="114" t="str">
        <f>IF(INDEX(I.Facility.P2bIDNumber,2417)="","",INDEX(I.Facility.P2bIDNumber,2417))</f>
        <v/>
      </c>
      <c r="G12429" s="51"/>
      <c r="H12429" s="46" t="str">
        <f>IF(AND(I.Developer.P2b=TRUE,I.Facility.P2bFacilityCount&gt;=2417,F12429=""),"Incomplete","Complete")</f>
        <v>Complete</v>
      </c>
      <c r="I12429" s="48" t="s">
        <v>16794</v>
      </c>
    </row>
    <row r="12430" spans="2:9" ht="15" customHeight="1" x14ac:dyDescent="0.25">
      <c r="B12430" s="55" t="s">
        <v>281</v>
      </c>
      <c r="C12430" s="46">
        <v>2418</v>
      </c>
      <c r="D12430" s="69" t="s">
        <v>29418</v>
      </c>
      <c r="E12430" s="51"/>
      <c r="F12430" s="114" t="str">
        <f>IF(INDEX(I.Facility.P2bIDNumber,2418)="","",INDEX(I.Facility.P2bIDNumber,2418))</f>
        <v/>
      </c>
      <c r="G12430" s="51"/>
      <c r="H12430" s="46" t="str">
        <f>IF(AND(I.Developer.P2b=TRUE,I.Facility.P2bFacilityCount&gt;=2418,F12430=""),"Incomplete","Complete")</f>
        <v>Complete</v>
      </c>
      <c r="I12430" s="48" t="s">
        <v>16795</v>
      </c>
    </row>
    <row r="12431" spans="2:9" ht="15" customHeight="1" x14ac:dyDescent="0.25">
      <c r="B12431" s="55" t="s">
        <v>281</v>
      </c>
      <c r="C12431" s="46">
        <v>2419</v>
      </c>
      <c r="D12431" s="69" t="s">
        <v>29418</v>
      </c>
      <c r="E12431" s="51"/>
      <c r="F12431" s="114" t="str">
        <f>IF(INDEX(I.Facility.P2bIDNumber,2419)="","",INDEX(I.Facility.P2bIDNumber,2419))</f>
        <v/>
      </c>
      <c r="G12431" s="51"/>
      <c r="H12431" s="46" t="str">
        <f>IF(AND(I.Developer.P2b=TRUE,I.Facility.P2bFacilityCount&gt;=2419,F12431=""),"Incomplete","Complete")</f>
        <v>Complete</v>
      </c>
      <c r="I12431" s="48" t="s">
        <v>16796</v>
      </c>
    </row>
    <row r="12432" spans="2:9" ht="15" customHeight="1" x14ac:dyDescent="0.25">
      <c r="B12432" s="55" t="s">
        <v>281</v>
      </c>
      <c r="C12432" s="46">
        <v>2420</v>
      </c>
      <c r="D12432" s="69" t="s">
        <v>29418</v>
      </c>
      <c r="E12432" s="51"/>
      <c r="F12432" s="114" t="str">
        <f>IF(INDEX(I.Facility.P2bIDNumber,2420)="","",INDEX(I.Facility.P2bIDNumber,2420))</f>
        <v/>
      </c>
      <c r="G12432" s="51"/>
      <c r="H12432" s="46" t="str">
        <f>IF(AND(I.Developer.P2b=TRUE,I.Facility.P2bFacilityCount&gt;=2420,F12432=""),"Incomplete","Complete")</f>
        <v>Complete</v>
      </c>
      <c r="I12432" s="48" t="s">
        <v>16797</v>
      </c>
    </row>
    <row r="12433" spans="2:9" ht="15" customHeight="1" x14ac:dyDescent="0.25">
      <c r="B12433" s="55" t="s">
        <v>281</v>
      </c>
      <c r="C12433" s="46">
        <v>2421</v>
      </c>
      <c r="D12433" s="69" t="s">
        <v>29418</v>
      </c>
      <c r="E12433" s="51"/>
      <c r="F12433" s="114" t="str">
        <f>IF(INDEX(I.Facility.P2bIDNumber,2421)="","",INDEX(I.Facility.P2bIDNumber,2421))</f>
        <v/>
      </c>
      <c r="G12433" s="51"/>
      <c r="H12433" s="46" t="str">
        <f>IF(AND(I.Developer.P2b=TRUE,I.Facility.P2bFacilityCount&gt;=2421,F12433=""),"Incomplete","Complete")</f>
        <v>Complete</v>
      </c>
      <c r="I12433" s="48" t="s">
        <v>16798</v>
      </c>
    </row>
    <row r="12434" spans="2:9" ht="15" customHeight="1" x14ac:dyDescent="0.25">
      <c r="B12434" s="55" t="s">
        <v>281</v>
      </c>
      <c r="C12434" s="46">
        <v>2422</v>
      </c>
      <c r="D12434" s="69" t="s">
        <v>29418</v>
      </c>
      <c r="E12434" s="51"/>
      <c r="F12434" s="114" t="str">
        <f>IF(INDEX(I.Facility.P2bIDNumber,2422)="","",INDEX(I.Facility.P2bIDNumber,2422))</f>
        <v/>
      </c>
      <c r="G12434" s="51"/>
      <c r="H12434" s="46" t="str">
        <f>IF(AND(I.Developer.P2b=TRUE,I.Facility.P2bFacilityCount&gt;=2422,F12434=""),"Incomplete","Complete")</f>
        <v>Complete</v>
      </c>
      <c r="I12434" s="48" t="s">
        <v>16799</v>
      </c>
    </row>
    <row r="12435" spans="2:9" ht="15" customHeight="1" x14ac:dyDescent="0.25">
      <c r="B12435" s="55" t="s">
        <v>281</v>
      </c>
      <c r="C12435" s="46">
        <v>2423</v>
      </c>
      <c r="D12435" s="69" t="s">
        <v>29418</v>
      </c>
      <c r="E12435" s="51"/>
      <c r="F12435" s="114" t="str">
        <f>IF(INDEX(I.Facility.P2bIDNumber,2423)="","",INDEX(I.Facility.P2bIDNumber,2423))</f>
        <v/>
      </c>
      <c r="G12435" s="51"/>
      <c r="H12435" s="46" t="str">
        <f>IF(AND(I.Developer.P2b=TRUE,I.Facility.P2bFacilityCount&gt;=2423,F12435=""),"Incomplete","Complete")</f>
        <v>Complete</v>
      </c>
      <c r="I12435" s="48" t="s">
        <v>16800</v>
      </c>
    </row>
    <row r="12436" spans="2:9" ht="15" customHeight="1" x14ac:dyDescent="0.25">
      <c r="B12436" s="55" t="s">
        <v>281</v>
      </c>
      <c r="C12436" s="46">
        <v>2424</v>
      </c>
      <c r="D12436" s="69" t="s">
        <v>29418</v>
      </c>
      <c r="E12436" s="51"/>
      <c r="F12436" s="114" t="str">
        <f>IF(INDEX(I.Facility.P2bIDNumber,2424)="","",INDEX(I.Facility.P2bIDNumber,2424))</f>
        <v/>
      </c>
      <c r="G12436" s="51"/>
      <c r="H12436" s="46" t="str">
        <f>IF(AND(I.Developer.P2b=TRUE,I.Facility.P2bFacilityCount&gt;=2424,F12436=""),"Incomplete","Complete")</f>
        <v>Complete</v>
      </c>
      <c r="I12436" s="48" t="s">
        <v>16801</v>
      </c>
    </row>
    <row r="12437" spans="2:9" ht="15" customHeight="1" x14ac:dyDescent="0.25">
      <c r="B12437" s="55" t="s">
        <v>281</v>
      </c>
      <c r="C12437" s="46">
        <v>2425</v>
      </c>
      <c r="D12437" s="69" t="s">
        <v>29418</v>
      </c>
      <c r="E12437" s="51"/>
      <c r="F12437" s="114" t="str">
        <f>IF(INDEX(I.Facility.P2bIDNumber,2425)="","",INDEX(I.Facility.P2bIDNumber,2425))</f>
        <v/>
      </c>
      <c r="G12437" s="51"/>
      <c r="H12437" s="46" t="str">
        <f>IF(AND(I.Developer.P2b=TRUE,I.Facility.P2bFacilityCount&gt;=2425,F12437=""),"Incomplete","Complete")</f>
        <v>Complete</v>
      </c>
      <c r="I12437" s="48" t="s">
        <v>16802</v>
      </c>
    </row>
    <row r="12438" spans="2:9" ht="15" customHeight="1" x14ac:dyDescent="0.25">
      <c r="B12438" s="55" t="s">
        <v>281</v>
      </c>
      <c r="C12438" s="46">
        <v>2426</v>
      </c>
      <c r="D12438" s="69" t="s">
        <v>29418</v>
      </c>
      <c r="E12438" s="51"/>
      <c r="F12438" s="114" t="str">
        <f>IF(INDEX(I.Facility.P2bIDNumber,2426)="","",INDEX(I.Facility.P2bIDNumber,2426))</f>
        <v/>
      </c>
      <c r="G12438" s="51"/>
      <c r="H12438" s="46" t="str">
        <f>IF(AND(I.Developer.P2b=TRUE,I.Facility.P2bFacilityCount&gt;=2426,F12438=""),"Incomplete","Complete")</f>
        <v>Complete</v>
      </c>
      <c r="I12438" s="48" t="s">
        <v>16803</v>
      </c>
    </row>
    <row r="12439" spans="2:9" ht="15" customHeight="1" x14ac:dyDescent="0.25">
      <c r="B12439" s="55" t="s">
        <v>281</v>
      </c>
      <c r="C12439" s="46">
        <v>2427</v>
      </c>
      <c r="D12439" s="69" t="s">
        <v>29418</v>
      </c>
      <c r="E12439" s="51"/>
      <c r="F12439" s="114" t="str">
        <f>IF(INDEX(I.Facility.P2bIDNumber,2427)="","",INDEX(I.Facility.P2bIDNumber,2427))</f>
        <v/>
      </c>
      <c r="G12439" s="51"/>
      <c r="H12439" s="46" t="str">
        <f>IF(AND(I.Developer.P2b=TRUE,I.Facility.P2bFacilityCount&gt;=2427,F12439=""),"Incomplete","Complete")</f>
        <v>Complete</v>
      </c>
      <c r="I12439" s="48" t="s">
        <v>16804</v>
      </c>
    </row>
    <row r="12440" spans="2:9" ht="15" customHeight="1" x14ac:dyDescent="0.25">
      <c r="B12440" s="55" t="s">
        <v>281</v>
      </c>
      <c r="C12440" s="46">
        <v>2428</v>
      </c>
      <c r="D12440" s="69" t="s">
        <v>29418</v>
      </c>
      <c r="E12440" s="51"/>
      <c r="F12440" s="114" t="str">
        <f>IF(INDEX(I.Facility.P2bIDNumber,2428)="","",INDEX(I.Facility.P2bIDNumber,2428))</f>
        <v/>
      </c>
      <c r="G12440" s="51"/>
      <c r="H12440" s="46" t="str">
        <f>IF(AND(I.Developer.P2b=TRUE,I.Facility.P2bFacilityCount&gt;=2428,F12440=""),"Incomplete","Complete")</f>
        <v>Complete</v>
      </c>
      <c r="I12440" s="48" t="s">
        <v>16805</v>
      </c>
    </row>
    <row r="12441" spans="2:9" ht="15" customHeight="1" x14ac:dyDescent="0.25">
      <c r="B12441" s="55" t="s">
        <v>281</v>
      </c>
      <c r="C12441" s="46">
        <v>2429</v>
      </c>
      <c r="D12441" s="69" t="s">
        <v>29418</v>
      </c>
      <c r="E12441" s="51"/>
      <c r="F12441" s="114" t="str">
        <f>IF(INDEX(I.Facility.P2bIDNumber,2429)="","",INDEX(I.Facility.P2bIDNumber,2429))</f>
        <v/>
      </c>
      <c r="G12441" s="51"/>
      <c r="H12441" s="46" t="str">
        <f>IF(AND(I.Developer.P2b=TRUE,I.Facility.P2bFacilityCount&gt;=2429,F12441=""),"Incomplete","Complete")</f>
        <v>Complete</v>
      </c>
      <c r="I12441" s="48" t="s">
        <v>16806</v>
      </c>
    </row>
    <row r="12442" spans="2:9" ht="15" customHeight="1" x14ac:dyDescent="0.25">
      <c r="B12442" s="55" t="s">
        <v>281</v>
      </c>
      <c r="C12442" s="46">
        <v>2430</v>
      </c>
      <c r="D12442" s="69" t="s">
        <v>29418</v>
      </c>
      <c r="E12442" s="51"/>
      <c r="F12442" s="114" t="str">
        <f>IF(INDEX(I.Facility.P2bIDNumber,2430)="","",INDEX(I.Facility.P2bIDNumber,2430))</f>
        <v/>
      </c>
      <c r="G12442" s="51"/>
      <c r="H12442" s="46" t="str">
        <f>IF(AND(I.Developer.P2b=TRUE,I.Facility.P2bFacilityCount&gt;=2430,F12442=""),"Incomplete","Complete")</f>
        <v>Complete</v>
      </c>
      <c r="I12442" s="48" t="s">
        <v>16807</v>
      </c>
    </row>
    <row r="12443" spans="2:9" ht="15" customHeight="1" x14ac:dyDescent="0.25">
      <c r="B12443" s="55" t="s">
        <v>281</v>
      </c>
      <c r="C12443" s="46">
        <v>2431</v>
      </c>
      <c r="D12443" s="69" t="s">
        <v>29418</v>
      </c>
      <c r="E12443" s="51"/>
      <c r="F12443" s="114" t="str">
        <f>IF(INDEX(I.Facility.P2bIDNumber,2431)="","",INDEX(I.Facility.P2bIDNumber,2431))</f>
        <v/>
      </c>
      <c r="G12443" s="51"/>
      <c r="H12443" s="46" t="str">
        <f>IF(AND(I.Developer.P2b=TRUE,I.Facility.P2bFacilityCount&gt;=2431,F12443=""),"Incomplete","Complete")</f>
        <v>Complete</v>
      </c>
      <c r="I12443" s="48" t="s">
        <v>16808</v>
      </c>
    </row>
    <row r="12444" spans="2:9" ht="15" customHeight="1" x14ac:dyDescent="0.25">
      <c r="B12444" s="55" t="s">
        <v>281</v>
      </c>
      <c r="C12444" s="46">
        <v>2432</v>
      </c>
      <c r="D12444" s="69" t="s">
        <v>29418</v>
      </c>
      <c r="E12444" s="51"/>
      <c r="F12444" s="114" t="str">
        <f>IF(INDEX(I.Facility.P2bIDNumber,2432)="","",INDEX(I.Facility.P2bIDNumber,2432))</f>
        <v/>
      </c>
      <c r="G12444" s="51"/>
      <c r="H12444" s="46" t="str">
        <f>IF(AND(I.Developer.P2b=TRUE,I.Facility.P2bFacilityCount&gt;=2432,F12444=""),"Incomplete","Complete")</f>
        <v>Complete</v>
      </c>
      <c r="I12444" s="48" t="s">
        <v>16809</v>
      </c>
    </row>
    <row r="12445" spans="2:9" ht="15" customHeight="1" x14ac:dyDescent="0.25">
      <c r="B12445" s="55" t="s">
        <v>281</v>
      </c>
      <c r="C12445" s="46">
        <v>2433</v>
      </c>
      <c r="D12445" s="69" t="s">
        <v>29418</v>
      </c>
      <c r="E12445" s="51"/>
      <c r="F12445" s="114" t="str">
        <f>IF(INDEX(I.Facility.P2bIDNumber,2433)="","",INDEX(I.Facility.P2bIDNumber,2433))</f>
        <v/>
      </c>
      <c r="G12445" s="51"/>
      <c r="H12445" s="46" t="str">
        <f>IF(AND(I.Developer.P2b=TRUE,I.Facility.P2bFacilityCount&gt;=2433,F12445=""),"Incomplete","Complete")</f>
        <v>Complete</v>
      </c>
      <c r="I12445" s="48" t="s">
        <v>16810</v>
      </c>
    </row>
    <row r="12446" spans="2:9" ht="15" customHeight="1" x14ac:dyDescent="0.25">
      <c r="B12446" s="55" t="s">
        <v>281</v>
      </c>
      <c r="C12446" s="46">
        <v>2434</v>
      </c>
      <c r="D12446" s="69" t="s">
        <v>29418</v>
      </c>
      <c r="E12446" s="51"/>
      <c r="F12446" s="114" t="str">
        <f>IF(INDEX(I.Facility.P2bIDNumber,2434)="","",INDEX(I.Facility.P2bIDNumber,2434))</f>
        <v/>
      </c>
      <c r="G12446" s="51"/>
      <c r="H12446" s="46" t="str">
        <f>IF(AND(I.Developer.P2b=TRUE,I.Facility.P2bFacilityCount&gt;=2434,F12446=""),"Incomplete","Complete")</f>
        <v>Complete</v>
      </c>
      <c r="I12446" s="48" t="s">
        <v>16811</v>
      </c>
    </row>
    <row r="12447" spans="2:9" ht="15" customHeight="1" x14ac:dyDescent="0.25">
      <c r="B12447" s="55" t="s">
        <v>281</v>
      </c>
      <c r="C12447" s="46">
        <v>2435</v>
      </c>
      <c r="D12447" s="69" t="s">
        <v>29418</v>
      </c>
      <c r="E12447" s="51"/>
      <c r="F12447" s="114" t="str">
        <f>IF(INDEX(I.Facility.P2bIDNumber,2435)="","",INDEX(I.Facility.P2bIDNumber,2435))</f>
        <v/>
      </c>
      <c r="G12447" s="51"/>
      <c r="H12447" s="46" t="str">
        <f>IF(AND(I.Developer.P2b=TRUE,I.Facility.P2bFacilityCount&gt;=2435,F12447=""),"Incomplete","Complete")</f>
        <v>Complete</v>
      </c>
      <c r="I12447" s="48" t="s">
        <v>16812</v>
      </c>
    </row>
    <row r="12448" spans="2:9" ht="15" customHeight="1" x14ac:dyDescent="0.25">
      <c r="B12448" s="55" t="s">
        <v>281</v>
      </c>
      <c r="C12448" s="46">
        <v>2436</v>
      </c>
      <c r="D12448" s="69" t="s">
        <v>29418</v>
      </c>
      <c r="E12448" s="51"/>
      <c r="F12448" s="114" t="str">
        <f>IF(INDEX(I.Facility.P2bIDNumber,2436)="","",INDEX(I.Facility.P2bIDNumber,2436))</f>
        <v/>
      </c>
      <c r="G12448" s="51"/>
      <c r="H12448" s="46" t="str">
        <f>IF(AND(I.Developer.P2b=TRUE,I.Facility.P2bFacilityCount&gt;=2436,F12448=""),"Incomplete","Complete")</f>
        <v>Complete</v>
      </c>
      <c r="I12448" s="48" t="s">
        <v>16813</v>
      </c>
    </row>
    <row r="12449" spans="2:9" ht="15" customHeight="1" x14ac:dyDescent="0.25">
      <c r="B12449" s="55" t="s">
        <v>281</v>
      </c>
      <c r="C12449" s="46">
        <v>2437</v>
      </c>
      <c r="D12449" s="69" t="s">
        <v>29418</v>
      </c>
      <c r="E12449" s="51"/>
      <c r="F12449" s="114" t="str">
        <f>IF(INDEX(I.Facility.P2bIDNumber,2437)="","",INDEX(I.Facility.P2bIDNumber,2437))</f>
        <v/>
      </c>
      <c r="G12449" s="51"/>
      <c r="H12449" s="46" t="str">
        <f>IF(AND(I.Developer.P2b=TRUE,I.Facility.P2bFacilityCount&gt;=2437,F12449=""),"Incomplete","Complete")</f>
        <v>Complete</v>
      </c>
      <c r="I12449" s="48" t="s">
        <v>16814</v>
      </c>
    </row>
    <row r="12450" spans="2:9" ht="15" customHeight="1" x14ac:dyDescent="0.25">
      <c r="B12450" s="55" t="s">
        <v>281</v>
      </c>
      <c r="C12450" s="46">
        <v>2438</v>
      </c>
      <c r="D12450" s="69" t="s">
        <v>29418</v>
      </c>
      <c r="E12450" s="51"/>
      <c r="F12450" s="114" t="str">
        <f>IF(INDEX(I.Facility.P2bIDNumber,2438)="","",INDEX(I.Facility.P2bIDNumber,2438))</f>
        <v/>
      </c>
      <c r="G12450" s="51"/>
      <c r="H12450" s="46" t="str">
        <f>IF(AND(I.Developer.P2b=TRUE,I.Facility.P2bFacilityCount&gt;=2438,F12450=""),"Incomplete","Complete")</f>
        <v>Complete</v>
      </c>
      <c r="I12450" s="48" t="s">
        <v>16815</v>
      </c>
    </row>
    <row r="12451" spans="2:9" ht="15" customHeight="1" x14ac:dyDescent="0.25">
      <c r="B12451" s="55" t="s">
        <v>281</v>
      </c>
      <c r="C12451" s="46">
        <v>2439</v>
      </c>
      <c r="D12451" s="69" t="s">
        <v>29418</v>
      </c>
      <c r="E12451" s="51"/>
      <c r="F12451" s="114" t="str">
        <f>IF(INDEX(I.Facility.P2bIDNumber,2439)="","",INDEX(I.Facility.P2bIDNumber,2439))</f>
        <v/>
      </c>
      <c r="G12451" s="51"/>
      <c r="H12451" s="46" t="str">
        <f>IF(AND(I.Developer.P2b=TRUE,I.Facility.P2bFacilityCount&gt;=2439,F12451=""),"Incomplete","Complete")</f>
        <v>Complete</v>
      </c>
      <c r="I12451" s="48" t="s">
        <v>16816</v>
      </c>
    </row>
    <row r="12452" spans="2:9" ht="15" customHeight="1" x14ac:dyDescent="0.25">
      <c r="B12452" s="55" t="s">
        <v>281</v>
      </c>
      <c r="C12452" s="46">
        <v>2440</v>
      </c>
      <c r="D12452" s="69" t="s">
        <v>29418</v>
      </c>
      <c r="E12452" s="51"/>
      <c r="F12452" s="114" t="str">
        <f>IF(INDEX(I.Facility.P2bIDNumber,2440)="","",INDEX(I.Facility.P2bIDNumber,2440))</f>
        <v/>
      </c>
      <c r="G12452" s="51"/>
      <c r="H12452" s="46" t="str">
        <f>IF(AND(I.Developer.P2b=TRUE,I.Facility.P2bFacilityCount&gt;=2440,F12452=""),"Incomplete","Complete")</f>
        <v>Complete</v>
      </c>
      <c r="I12452" s="48" t="s">
        <v>16817</v>
      </c>
    </row>
    <row r="12453" spans="2:9" ht="15" customHeight="1" x14ac:dyDescent="0.25">
      <c r="B12453" s="55" t="s">
        <v>281</v>
      </c>
      <c r="C12453" s="46">
        <v>2441</v>
      </c>
      <c r="D12453" s="69" t="s">
        <v>29418</v>
      </c>
      <c r="E12453" s="51"/>
      <c r="F12453" s="114" t="str">
        <f>IF(INDEX(I.Facility.P2bIDNumber,2441)="","",INDEX(I.Facility.P2bIDNumber,2441))</f>
        <v/>
      </c>
      <c r="G12453" s="51"/>
      <c r="H12453" s="46" t="str">
        <f>IF(AND(I.Developer.P2b=TRUE,I.Facility.P2bFacilityCount&gt;=2441,F12453=""),"Incomplete","Complete")</f>
        <v>Complete</v>
      </c>
      <c r="I12453" s="48" t="s">
        <v>16818</v>
      </c>
    </row>
    <row r="12454" spans="2:9" ht="15" customHeight="1" x14ac:dyDescent="0.25">
      <c r="B12454" s="55" t="s">
        <v>281</v>
      </c>
      <c r="C12454" s="46">
        <v>2442</v>
      </c>
      <c r="D12454" s="69" t="s">
        <v>29418</v>
      </c>
      <c r="E12454" s="51"/>
      <c r="F12454" s="114" t="str">
        <f>IF(INDEX(I.Facility.P2bIDNumber,2442)="","",INDEX(I.Facility.P2bIDNumber,2442))</f>
        <v/>
      </c>
      <c r="G12454" s="51"/>
      <c r="H12454" s="46" t="str">
        <f>IF(AND(I.Developer.P2b=TRUE,I.Facility.P2bFacilityCount&gt;=2442,F12454=""),"Incomplete","Complete")</f>
        <v>Complete</v>
      </c>
      <c r="I12454" s="48" t="s">
        <v>16819</v>
      </c>
    </row>
    <row r="12455" spans="2:9" ht="15" customHeight="1" x14ac:dyDescent="0.25">
      <c r="B12455" s="55" t="s">
        <v>281</v>
      </c>
      <c r="C12455" s="46">
        <v>2443</v>
      </c>
      <c r="D12455" s="69" t="s">
        <v>29418</v>
      </c>
      <c r="E12455" s="51"/>
      <c r="F12455" s="114" t="str">
        <f>IF(INDEX(I.Facility.P2bIDNumber,2443)="","",INDEX(I.Facility.P2bIDNumber,2443))</f>
        <v/>
      </c>
      <c r="G12455" s="51"/>
      <c r="H12455" s="46" t="str">
        <f>IF(AND(I.Developer.P2b=TRUE,I.Facility.P2bFacilityCount&gt;=2443,F12455=""),"Incomplete","Complete")</f>
        <v>Complete</v>
      </c>
      <c r="I12455" s="48" t="s">
        <v>16820</v>
      </c>
    </row>
    <row r="12456" spans="2:9" ht="15" customHeight="1" x14ac:dyDescent="0.25">
      <c r="B12456" s="55" t="s">
        <v>281</v>
      </c>
      <c r="C12456" s="46">
        <v>2444</v>
      </c>
      <c r="D12456" s="69" t="s">
        <v>29418</v>
      </c>
      <c r="E12456" s="51"/>
      <c r="F12456" s="114" t="str">
        <f>IF(INDEX(I.Facility.P2bIDNumber,2444)="","",INDEX(I.Facility.P2bIDNumber,2444))</f>
        <v/>
      </c>
      <c r="G12456" s="51"/>
      <c r="H12456" s="46" t="str">
        <f>IF(AND(I.Developer.P2b=TRUE,I.Facility.P2bFacilityCount&gt;=2444,F12456=""),"Incomplete","Complete")</f>
        <v>Complete</v>
      </c>
      <c r="I12456" s="48" t="s">
        <v>16821</v>
      </c>
    </row>
    <row r="12457" spans="2:9" ht="15" customHeight="1" x14ac:dyDescent="0.25">
      <c r="B12457" s="55" t="s">
        <v>281</v>
      </c>
      <c r="C12457" s="46">
        <v>2445</v>
      </c>
      <c r="D12457" s="69" t="s">
        <v>29418</v>
      </c>
      <c r="E12457" s="51"/>
      <c r="F12457" s="114" t="str">
        <f>IF(INDEX(I.Facility.P2bIDNumber,2445)="","",INDEX(I.Facility.P2bIDNumber,2445))</f>
        <v/>
      </c>
      <c r="G12457" s="51"/>
      <c r="H12457" s="46" t="str">
        <f>IF(AND(I.Developer.P2b=TRUE,I.Facility.P2bFacilityCount&gt;=2445,F12457=""),"Incomplete","Complete")</f>
        <v>Complete</v>
      </c>
      <c r="I12457" s="48" t="s">
        <v>16822</v>
      </c>
    </row>
    <row r="12458" spans="2:9" ht="15" customHeight="1" x14ac:dyDescent="0.25">
      <c r="B12458" s="55" t="s">
        <v>281</v>
      </c>
      <c r="C12458" s="46">
        <v>2446</v>
      </c>
      <c r="D12458" s="69" t="s">
        <v>29418</v>
      </c>
      <c r="E12458" s="51"/>
      <c r="F12458" s="114" t="str">
        <f>IF(INDEX(I.Facility.P2bIDNumber,2446)="","",INDEX(I.Facility.P2bIDNumber,2446))</f>
        <v/>
      </c>
      <c r="G12458" s="51"/>
      <c r="H12458" s="46" t="str">
        <f>IF(AND(I.Developer.P2b=TRUE,I.Facility.P2bFacilityCount&gt;=2446,F12458=""),"Incomplete","Complete")</f>
        <v>Complete</v>
      </c>
      <c r="I12458" s="48" t="s">
        <v>16823</v>
      </c>
    </row>
    <row r="12459" spans="2:9" ht="15" customHeight="1" x14ac:dyDescent="0.25">
      <c r="B12459" s="55" t="s">
        <v>281</v>
      </c>
      <c r="C12459" s="46">
        <v>2447</v>
      </c>
      <c r="D12459" s="69" t="s">
        <v>29418</v>
      </c>
      <c r="E12459" s="51"/>
      <c r="F12459" s="114" t="str">
        <f>IF(INDEX(I.Facility.P2bIDNumber,2447)="","",INDEX(I.Facility.P2bIDNumber,2447))</f>
        <v/>
      </c>
      <c r="G12459" s="51"/>
      <c r="H12459" s="46" t="str">
        <f>IF(AND(I.Developer.P2b=TRUE,I.Facility.P2bFacilityCount&gt;=2447,F12459=""),"Incomplete","Complete")</f>
        <v>Complete</v>
      </c>
      <c r="I12459" s="48" t="s">
        <v>16824</v>
      </c>
    </row>
    <row r="12460" spans="2:9" ht="15" customHeight="1" x14ac:dyDescent="0.25">
      <c r="B12460" s="55" t="s">
        <v>281</v>
      </c>
      <c r="C12460" s="46">
        <v>2448</v>
      </c>
      <c r="D12460" s="69" t="s">
        <v>29418</v>
      </c>
      <c r="E12460" s="51"/>
      <c r="F12460" s="114" t="str">
        <f>IF(INDEX(I.Facility.P2bIDNumber,2448)="","",INDEX(I.Facility.P2bIDNumber,2448))</f>
        <v/>
      </c>
      <c r="G12460" s="51"/>
      <c r="H12460" s="46" t="str">
        <f>IF(AND(I.Developer.P2b=TRUE,I.Facility.P2bFacilityCount&gt;=2448,F12460=""),"Incomplete","Complete")</f>
        <v>Complete</v>
      </c>
      <c r="I12460" s="48" t="s">
        <v>16825</v>
      </c>
    </row>
    <row r="12461" spans="2:9" ht="15" customHeight="1" x14ac:dyDescent="0.25">
      <c r="B12461" s="55" t="s">
        <v>281</v>
      </c>
      <c r="C12461" s="46">
        <v>2449</v>
      </c>
      <c r="D12461" s="69" t="s">
        <v>29418</v>
      </c>
      <c r="E12461" s="51"/>
      <c r="F12461" s="114" t="str">
        <f>IF(INDEX(I.Facility.P2bIDNumber,2449)="","",INDEX(I.Facility.P2bIDNumber,2449))</f>
        <v/>
      </c>
      <c r="G12461" s="51"/>
      <c r="H12461" s="46" t="str">
        <f>IF(AND(I.Developer.P2b=TRUE,I.Facility.P2bFacilityCount&gt;=2449,F12461=""),"Incomplete","Complete")</f>
        <v>Complete</v>
      </c>
      <c r="I12461" s="48" t="s">
        <v>16826</v>
      </c>
    </row>
    <row r="12462" spans="2:9" ht="15" customHeight="1" x14ac:dyDescent="0.25">
      <c r="B12462" s="55" t="s">
        <v>281</v>
      </c>
      <c r="C12462" s="46">
        <v>2450</v>
      </c>
      <c r="D12462" s="69" t="s">
        <v>29418</v>
      </c>
      <c r="E12462" s="51"/>
      <c r="F12462" s="114" t="str">
        <f>IF(INDEX(I.Facility.P2bIDNumber,2450)="","",INDEX(I.Facility.P2bIDNumber,2450))</f>
        <v/>
      </c>
      <c r="G12462" s="51"/>
      <c r="H12462" s="46" t="str">
        <f>IF(AND(I.Developer.P2b=TRUE,I.Facility.P2bFacilityCount&gt;=2450,F12462=""),"Incomplete","Complete")</f>
        <v>Complete</v>
      </c>
      <c r="I12462" s="48" t="s">
        <v>16827</v>
      </c>
    </row>
    <row r="12463" spans="2:9" ht="15" customHeight="1" x14ac:dyDescent="0.25">
      <c r="B12463" s="55" t="s">
        <v>281</v>
      </c>
      <c r="C12463" s="46">
        <v>2451</v>
      </c>
      <c r="D12463" s="69" t="s">
        <v>29418</v>
      </c>
      <c r="E12463" s="51"/>
      <c r="F12463" s="114" t="str">
        <f>IF(INDEX(I.Facility.P2bIDNumber,2451)="","",INDEX(I.Facility.P2bIDNumber,2451))</f>
        <v/>
      </c>
      <c r="G12463" s="51"/>
      <c r="H12463" s="46" t="str">
        <f>IF(AND(I.Developer.P2b=TRUE,I.Facility.P2bFacilityCount&gt;=2451,F12463=""),"Incomplete","Complete")</f>
        <v>Complete</v>
      </c>
      <c r="I12463" s="48" t="s">
        <v>16828</v>
      </c>
    </row>
    <row r="12464" spans="2:9" ht="15" customHeight="1" x14ac:dyDescent="0.25">
      <c r="B12464" s="55" t="s">
        <v>281</v>
      </c>
      <c r="C12464" s="46">
        <v>2452</v>
      </c>
      <c r="D12464" s="69" t="s">
        <v>29418</v>
      </c>
      <c r="E12464" s="51"/>
      <c r="F12464" s="114" t="str">
        <f>IF(INDEX(I.Facility.P2bIDNumber,2452)="","",INDEX(I.Facility.P2bIDNumber,2452))</f>
        <v/>
      </c>
      <c r="G12464" s="51"/>
      <c r="H12464" s="46" t="str">
        <f>IF(AND(I.Developer.P2b=TRUE,I.Facility.P2bFacilityCount&gt;=2452,F12464=""),"Incomplete","Complete")</f>
        <v>Complete</v>
      </c>
      <c r="I12464" s="48" t="s">
        <v>16829</v>
      </c>
    </row>
    <row r="12465" spans="2:9" ht="15" customHeight="1" x14ac:dyDescent="0.25">
      <c r="B12465" s="55" t="s">
        <v>281</v>
      </c>
      <c r="C12465" s="46">
        <v>2453</v>
      </c>
      <c r="D12465" s="69" t="s">
        <v>29418</v>
      </c>
      <c r="E12465" s="51"/>
      <c r="F12465" s="114" t="str">
        <f>IF(INDEX(I.Facility.P2bIDNumber,2453)="","",INDEX(I.Facility.P2bIDNumber,2453))</f>
        <v/>
      </c>
      <c r="G12465" s="51"/>
      <c r="H12465" s="46" t="str">
        <f>IF(AND(I.Developer.P2b=TRUE,I.Facility.P2bFacilityCount&gt;=2453,F12465=""),"Incomplete","Complete")</f>
        <v>Complete</v>
      </c>
      <c r="I12465" s="48" t="s">
        <v>16830</v>
      </c>
    </row>
    <row r="12466" spans="2:9" ht="15" customHeight="1" x14ac:dyDescent="0.25">
      <c r="B12466" s="55" t="s">
        <v>281</v>
      </c>
      <c r="C12466" s="46">
        <v>2454</v>
      </c>
      <c r="D12466" s="69" t="s">
        <v>29418</v>
      </c>
      <c r="E12466" s="51"/>
      <c r="F12466" s="114" t="str">
        <f>IF(INDEX(I.Facility.P2bIDNumber,2454)="","",INDEX(I.Facility.P2bIDNumber,2454))</f>
        <v/>
      </c>
      <c r="G12466" s="51"/>
      <c r="H12466" s="46" t="str">
        <f>IF(AND(I.Developer.P2b=TRUE,I.Facility.P2bFacilityCount&gt;=2454,F12466=""),"Incomplete","Complete")</f>
        <v>Complete</v>
      </c>
      <c r="I12466" s="48" t="s">
        <v>16831</v>
      </c>
    </row>
    <row r="12467" spans="2:9" ht="15" customHeight="1" x14ac:dyDescent="0.25">
      <c r="B12467" s="55" t="s">
        <v>281</v>
      </c>
      <c r="C12467" s="46">
        <v>2455</v>
      </c>
      <c r="D12467" s="69" t="s">
        <v>29418</v>
      </c>
      <c r="E12467" s="51"/>
      <c r="F12467" s="114" t="str">
        <f>IF(INDEX(I.Facility.P2bIDNumber,2455)="","",INDEX(I.Facility.P2bIDNumber,2455))</f>
        <v/>
      </c>
      <c r="G12467" s="51"/>
      <c r="H12467" s="46" t="str">
        <f>IF(AND(I.Developer.P2b=TRUE,I.Facility.P2bFacilityCount&gt;=2455,F12467=""),"Incomplete","Complete")</f>
        <v>Complete</v>
      </c>
      <c r="I12467" s="48" t="s">
        <v>16832</v>
      </c>
    </row>
    <row r="12468" spans="2:9" ht="15" customHeight="1" x14ac:dyDescent="0.25">
      <c r="B12468" s="55" t="s">
        <v>281</v>
      </c>
      <c r="C12468" s="46">
        <v>2456</v>
      </c>
      <c r="D12468" s="69" t="s">
        <v>29418</v>
      </c>
      <c r="E12468" s="51"/>
      <c r="F12468" s="114" t="str">
        <f>IF(INDEX(I.Facility.P2bIDNumber,2456)="","",INDEX(I.Facility.P2bIDNumber,2456))</f>
        <v/>
      </c>
      <c r="G12468" s="51"/>
      <c r="H12468" s="46" t="str">
        <f>IF(AND(I.Developer.P2b=TRUE,I.Facility.P2bFacilityCount&gt;=2456,F12468=""),"Incomplete","Complete")</f>
        <v>Complete</v>
      </c>
      <c r="I12468" s="48" t="s">
        <v>16833</v>
      </c>
    </row>
    <row r="12469" spans="2:9" ht="15" customHeight="1" x14ac:dyDescent="0.25">
      <c r="B12469" s="55" t="s">
        <v>281</v>
      </c>
      <c r="C12469" s="46">
        <v>2457</v>
      </c>
      <c r="D12469" s="69" t="s">
        <v>29418</v>
      </c>
      <c r="E12469" s="51"/>
      <c r="F12469" s="114" t="str">
        <f>IF(INDEX(I.Facility.P2bIDNumber,2457)="","",INDEX(I.Facility.P2bIDNumber,2457))</f>
        <v/>
      </c>
      <c r="G12469" s="51"/>
      <c r="H12469" s="46" t="str">
        <f>IF(AND(I.Developer.P2b=TRUE,I.Facility.P2bFacilityCount&gt;=2457,F12469=""),"Incomplete","Complete")</f>
        <v>Complete</v>
      </c>
      <c r="I12469" s="48" t="s">
        <v>16834</v>
      </c>
    </row>
    <row r="12470" spans="2:9" ht="15" customHeight="1" x14ac:dyDescent="0.25">
      <c r="B12470" s="55" t="s">
        <v>281</v>
      </c>
      <c r="C12470" s="46">
        <v>2458</v>
      </c>
      <c r="D12470" s="69" t="s">
        <v>29418</v>
      </c>
      <c r="E12470" s="51"/>
      <c r="F12470" s="114" t="str">
        <f>IF(INDEX(I.Facility.P2bIDNumber,2458)="","",INDEX(I.Facility.P2bIDNumber,2458))</f>
        <v/>
      </c>
      <c r="G12470" s="51"/>
      <c r="H12470" s="46" t="str">
        <f>IF(AND(I.Developer.P2b=TRUE,I.Facility.P2bFacilityCount&gt;=2458,F12470=""),"Incomplete","Complete")</f>
        <v>Complete</v>
      </c>
      <c r="I12470" s="48" t="s">
        <v>16835</v>
      </c>
    </row>
    <row r="12471" spans="2:9" ht="15" customHeight="1" x14ac:dyDescent="0.25">
      <c r="B12471" s="55" t="s">
        <v>281</v>
      </c>
      <c r="C12471" s="46">
        <v>2459</v>
      </c>
      <c r="D12471" s="69" t="s">
        <v>29418</v>
      </c>
      <c r="E12471" s="51"/>
      <c r="F12471" s="114" t="str">
        <f>IF(INDEX(I.Facility.P2bIDNumber,2459)="","",INDEX(I.Facility.P2bIDNumber,2459))</f>
        <v/>
      </c>
      <c r="G12471" s="51"/>
      <c r="H12471" s="46" t="str">
        <f>IF(AND(I.Developer.P2b=TRUE,I.Facility.P2bFacilityCount&gt;=2459,F12471=""),"Incomplete","Complete")</f>
        <v>Complete</v>
      </c>
      <c r="I12471" s="48" t="s">
        <v>16836</v>
      </c>
    </row>
    <row r="12472" spans="2:9" ht="15" customHeight="1" x14ac:dyDescent="0.25">
      <c r="B12472" s="55" t="s">
        <v>281</v>
      </c>
      <c r="C12472" s="46">
        <v>2460</v>
      </c>
      <c r="D12472" s="69" t="s">
        <v>29418</v>
      </c>
      <c r="E12472" s="51"/>
      <c r="F12472" s="114" t="str">
        <f>IF(INDEX(I.Facility.P2bIDNumber,2460)="","",INDEX(I.Facility.P2bIDNumber,2460))</f>
        <v/>
      </c>
      <c r="G12472" s="51"/>
      <c r="H12472" s="46" t="str">
        <f>IF(AND(I.Developer.P2b=TRUE,I.Facility.P2bFacilityCount&gt;=2460,F12472=""),"Incomplete","Complete")</f>
        <v>Complete</v>
      </c>
      <c r="I12472" s="48" t="s">
        <v>16837</v>
      </c>
    </row>
    <row r="12473" spans="2:9" ht="15" customHeight="1" x14ac:dyDescent="0.25">
      <c r="B12473" s="55" t="s">
        <v>281</v>
      </c>
      <c r="C12473" s="46">
        <v>2461</v>
      </c>
      <c r="D12473" s="69" t="s">
        <v>29418</v>
      </c>
      <c r="E12473" s="51"/>
      <c r="F12473" s="114" t="str">
        <f>IF(INDEX(I.Facility.P2bIDNumber,2461)="","",INDEX(I.Facility.P2bIDNumber,2461))</f>
        <v/>
      </c>
      <c r="G12473" s="51"/>
      <c r="H12473" s="46" t="str">
        <f>IF(AND(I.Developer.P2b=TRUE,I.Facility.P2bFacilityCount&gt;=2461,F12473=""),"Incomplete","Complete")</f>
        <v>Complete</v>
      </c>
      <c r="I12473" s="48" t="s">
        <v>16838</v>
      </c>
    </row>
    <row r="12474" spans="2:9" ht="15" customHeight="1" x14ac:dyDescent="0.25">
      <c r="B12474" s="55" t="s">
        <v>281</v>
      </c>
      <c r="C12474" s="46">
        <v>2462</v>
      </c>
      <c r="D12474" s="69" t="s">
        <v>29418</v>
      </c>
      <c r="E12474" s="51"/>
      <c r="F12474" s="114" t="str">
        <f>IF(INDEX(I.Facility.P2bIDNumber,2462)="","",INDEX(I.Facility.P2bIDNumber,2462))</f>
        <v/>
      </c>
      <c r="G12474" s="51"/>
      <c r="H12474" s="46" t="str">
        <f>IF(AND(I.Developer.P2b=TRUE,I.Facility.P2bFacilityCount&gt;=2462,F12474=""),"Incomplete","Complete")</f>
        <v>Complete</v>
      </c>
      <c r="I12474" s="48" t="s">
        <v>16839</v>
      </c>
    </row>
    <row r="12475" spans="2:9" ht="15" customHeight="1" x14ac:dyDescent="0.25">
      <c r="B12475" s="55" t="s">
        <v>281</v>
      </c>
      <c r="C12475" s="46">
        <v>2463</v>
      </c>
      <c r="D12475" s="69" t="s">
        <v>29418</v>
      </c>
      <c r="E12475" s="51"/>
      <c r="F12475" s="114" t="str">
        <f>IF(INDEX(I.Facility.P2bIDNumber,2463)="","",INDEX(I.Facility.P2bIDNumber,2463))</f>
        <v/>
      </c>
      <c r="G12475" s="51"/>
      <c r="H12475" s="46" t="str">
        <f>IF(AND(I.Developer.P2b=TRUE,I.Facility.P2bFacilityCount&gt;=2463,F12475=""),"Incomplete","Complete")</f>
        <v>Complete</v>
      </c>
      <c r="I12475" s="48" t="s">
        <v>16840</v>
      </c>
    </row>
    <row r="12476" spans="2:9" ht="15" customHeight="1" x14ac:dyDescent="0.25">
      <c r="B12476" s="55" t="s">
        <v>281</v>
      </c>
      <c r="C12476" s="46">
        <v>2464</v>
      </c>
      <c r="D12476" s="69" t="s">
        <v>29418</v>
      </c>
      <c r="E12476" s="51"/>
      <c r="F12476" s="114" t="str">
        <f>IF(INDEX(I.Facility.P2bIDNumber,2464)="","",INDEX(I.Facility.P2bIDNumber,2464))</f>
        <v/>
      </c>
      <c r="G12476" s="51"/>
      <c r="H12476" s="46" t="str">
        <f>IF(AND(I.Developer.P2b=TRUE,I.Facility.P2bFacilityCount&gt;=2464,F12476=""),"Incomplete","Complete")</f>
        <v>Complete</v>
      </c>
      <c r="I12476" s="48" t="s">
        <v>16841</v>
      </c>
    </row>
    <row r="12477" spans="2:9" ht="15" customHeight="1" x14ac:dyDescent="0.25">
      <c r="B12477" s="55" t="s">
        <v>281</v>
      </c>
      <c r="C12477" s="46">
        <v>2465</v>
      </c>
      <c r="D12477" s="69" t="s">
        <v>29418</v>
      </c>
      <c r="E12477" s="51"/>
      <c r="F12477" s="114" t="str">
        <f>IF(INDEX(I.Facility.P2bIDNumber,2465)="","",INDEX(I.Facility.P2bIDNumber,2465))</f>
        <v/>
      </c>
      <c r="G12477" s="51"/>
      <c r="H12477" s="46" t="str">
        <f>IF(AND(I.Developer.P2b=TRUE,I.Facility.P2bFacilityCount&gt;=2465,F12477=""),"Incomplete","Complete")</f>
        <v>Complete</v>
      </c>
      <c r="I12477" s="48" t="s">
        <v>16842</v>
      </c>
    </row>
    <row r="12478" spans="2:9" ht="15" customHeight="1" x14ac:dyDescent="0.25">
      <c r="B12478" s="55" t="s">
        <v>281</v>
      </c>
      <c r="C12478" s="46">
        <v>2466</v>
      </c>
      <c r="D12478" s="69" t="s">
        <v>29418</v>
      </c>
      <c r="E12478" s="51"/>
      <c r="F12478" s="114" t="str">
        <f>IF(INDEX(I.Facility.P2bIDNumber,2466)="","",INDEX(I.Facility.P2bIDNumber,2466))</f>
        <v/>
      </c>
      <c r="G12478" s="51"/>
      <c r="H12478" s="46" t="str">
        <f>IF(AND(I.Developer.P2b=TRUE,I.Facility.P2bFacilityCount&gt;=2466,F12478=""),"Incomplete","Complete")</f>
        <v>Complete</v>
      </c>
      <c r="I12478" s="48" t="s">
        <v>16843</v>
      </c>
    </row>
    <row r="12479" spans="2:9" ht="15" customHeight="1" x14ac:dyDescent="0.25">
      <c r="B12479" s="55" t="s">
        <v>281</v>
      </c>
      <c r="C12479" s="46">
        <v>2467</v>
      </c>
      <c r="D12479" s="69" t="s">
        <v>29418</v>
      </c>
      <c r="E12479" s="51"/>
      <c r="F12479" s="114" t="str">
        <f>IF(INDEX(I.Facility.P2bIDNumber,2467)="","",INDEX(I.Facility.P2bIDNumber,2467))</f>
        <v/>
      </c>
      <c r="G12479" s="51"/>
      <c r="H12479" s="46" t="str">
        <f>IF(AND(I.Developer.P2b=TRUE,I.Facility.P2bFacilityCount&gt;=2467,F12479=""),"Incomplete","Complete")</f>
        <v>Complete</v>
      </c>
      <c r="I12479" s="48" t="s">
        <v>16844</v>
      </c>
    </row>
    <row r="12480" spans="2:9" ht="15" customHeight="1" x14ac:dyDescent="0.25">
      <c r="B12480" s="55" t="s">
        <v>281</v>
      </c>
      <c r="C12480" s="46">
        <v>2468</v>
      </c>
      <c r="D12480" s="69" t="s">
        <v>29418</v>
      </c>
      <c r="E12480" s="51"/>
      <c r="F12480" s="114" t="str">
        <f>IF(INDEX(I.Facility.P2bIDNumber,2468)="","",INDEX(I.Facility.P2bIDNumber,2468))</f>
        <v/>
      </c>
      <c r="G12480" s="51"/>
      <c r="H12480" s="46" t="str">
        <f>IF(AND(I.Developer.P2b=TRUE,I.Facility.P2bFacilityCount&gt;=2468,F12480=""),"Incomplete","Complete")</f>
        <v>Complete</v>
      </c>
      <c r="I12480" s="48" t="s">
        <v>16845</v>
      </c>
    </row>
    <row r="12481" spans="2:9" ht="15" customHeight="1" x14ac:dyDescent="0.25">
      <c r="B12481" s="55" t="s">
        <v>281</v>
      </c>
      <c r="C12481" s="46">
        <v>2469</v>
      </c>
      <c r="D12481" s="69" t="s">
        <v>29418</v>
      </c>
      <c r="E12481" s="51"/>
      <c r="F12481" s="114" t="str">
        <f>IF(INDEX(I.Facility.P2bIDNumber,2469)="","",INDEX(I.Facility.P2bIDNumber,2469))</f>
        <v/>
      </c>
      <c r="G12481" s="51"/>
      <c r="H12481" s="46" t="str">
        <f>IF(AND(I.Developer.P2b=TRUE,I.Facility.P2bFacilityCount&gt;=2469,F12481=""),"Incomplete","Complete")</f>
        <v>Complete</v>
      </c>
      <c r="I12481" s="48" t="s">
        <v>16846</v>
      </c>
    </row>
    <row r="12482" spans="2:9" ht="15" customHeight="1" x14ac:dyDescent="0.25">
      <c r="B12482" s="55" t="s">
        <v>281</v>
      </c>
      <c r="C12482" s="46">
        <v>2470</v>
      </c>
      <c r="D12482" s="69" t="s">
        <v>29418</v>
      </c>
      <c r="E12482" s="51"/>
      <c r="F12482" s="114" t="str">
        <f>IF(INDEX(I.Facility.P2bIDNumber,2470)="","",INDEX(I.Facility.P2bIDNumber,2470))</f>
        <v/>
      </c>
      <c r="G12482" s="51"/>
      <c r="H12482" s="46" t="str">
        <f>IF(AND(I.Developer.P2b=TRUE,I.Facility.P2bFacilityCount&gt;=2470,F12482=""),"Incomplete","Complete")</f>
        <v>Complete</v>
      </c>
      <c r="I12482" s="48" t="s">
        <v>16847</v>
      </c>
    </row>
    <row r="12483" spans="2:9" ht="15" customHeight="1" x14ac:dyDescent="0.25">
      <c r="B12483" s="55" t="s">
        <v>281</v>
      </c>
      <c r="C12483" s="46">
        <v>2471</v>
      </c>
      <c r="D12483" s="69" t="s">
        <v>29418</v>
      </c>
      <c r="E12483" s="51"/>
      <c r="F12483" s="114" t="str">
        <f>IF(INDEX(I.Facility.P2bIDNumber,2471)="","",INDEX(I.Facility.P2bIDNumber,2471))</f>
        <v/>
      </c>
      <c r="G12483" s="51"/>
      <c r="H12483" s="46" t="str">
        <f>IF(AND(I.Developer.P2b=TRUE,I.Facility.P2bFacilityCount&gt;=2471,F12483=""),"Incomplete","Complete")</f>
        <v>Complete</v>
      </c>
      <c r="I12483" s="48" t="s">
        <v>16848</v>
      </c>
    </row>
    <row r="12484" spans="2:9" ht="15" customHeight="1" x14ac:dyDescent="0.25">
      <c r="B12484" s="55" t="s">
        <v>281</v>
      </c>
      <c r="C12484" s="46">
        <v>2472</v>
      </c>
      <c r="D12484" s="69" t="s">
        <v>29418</v>
      </c>
      <c r="E12484" s="51"/>
      <c r="F12484" s="114" t="str">
        <f>IF(INDEX(I.Facility.P2bIDNumber,2472)="","",INDEX(I.Facility.P2bIDNumber,2472))</f>
        <v/>
      </c>
      <c r="G12484" s="51"/>
      <c r="H12484" s="46" t="str">
        <f>IF(AND(I.Developer.P2b=TRUE,I.Facility.P2bFacilityCount&gt;=2472,F12484=""),"Incomplete","Complete")</f>
        <v>Complete</v>
      </c>
      <c r="I12484" s="48" t="s">
        <v>16849</v>
      </c>
    </row>
    <row r="12485" spans="2:9" ht="15" customHeight="1" x14ac:dyDescent="0.25">
      <c r="B12485" s="55" t="s">
        <v>281</v>
      </c>
      <c r="C12485" s="46">
        <v>2473</v>
      </c>
      <c r="D12485" s="69" t="s">
        <v>29418</v>
      </c>
      <c r="E12485" s="51"/>
      <c r="F12485" s="114" t="str">
        <f>IF(INDEX(I.Facility.P2bIDNumber,2473)="","",INDEX(I.Facility.P2bIDNumber,2473))</f>
        <v/>
      </c>
      <c r="G12485" s="51"/>
      <c r="H12485" s="46" t="str">
        <f>IF(AND(I.Developer.P2b=TRUE,I.Facility.P2bFacilityCount&gt;=2473,F12485=""),"Incomplete","Complete")</f>
        <v>Complete</v>
      </c>
      <c r="I12485" s="48" t="s">
        <v>16850</v>
      </c>
    </row>
    <row r="12486" spans="2:9" ht="15" customHeight="1" x14ac:dyDescent="0.25">
      <c r="B12486" s="55" t="s">
        <v>281</v>
      </c>
      <c r="C12486" s="46">
        <v>2474</v>
      </c>
      <c r="D12486" s="69" t="s">
        <v>29418</v>
      </c>
      <c r="E12486" s="51"/>
      <c r="F12486" s="114" t="str">
        <f>IF(INDEX(I.Facility.P2bIDNumber,2474)="","",INDEX(I.Facility.P2bIDNumber,2474))</f>
        <v/>
      </c>
      <c r="G12486" s="51"/>
      <c r="H12486" s="46" t="str">
        <f>IF(AND(I.Developer.P2b=TRUE,I.Facility.P2bFacilityCount&gt;=2474,F12486=""),"Incomplete","Complete")</f>
        <v>Complete</v>
      </c>
      <c r="I12486" s="48" t="s">
        <v>16851</v>
      </c>
    </row>
    <row r="12487" spans="2:9" ht="15" customHeight="1" x14ac:dyDescent="0.25">
      <c r="B12487" s="55" t="s">
        <v>281</v>
      </c>
      <c r="C12487" s="46">
        <v>2475</v>
      </c>
      <c r="D12487" s="69" t="s">
        <v>29418</v>
      </c>
      <c r="E12487" s="51"/>
      <c r="F12487" s="114" t="str">
        <f>IF(INDEX(I.Facility.P2bIDNumber,2475)="","",INDEX(I.Facility.P2bIDNumber,2475))</f>
        <v/>
      </c>
      <c r="G12487" s="51"/>
      <c r="H12487" s="46" t="str">
        <f>IF(AND(I.Developer.P2b=TRUE,I.Facility.P2bFacilityCount&gt;=2475,F12487=""),"Incomplete","Complete")</f>
        <v>Complete</v>
      </c>
      <c r="I12487" s="48" t="s">
        <v>16852</v>
      </c>
    </row>
    <row r="12488" spans="2:9" ht="15" customHeight="1" x14ac:dyDescent="0.25">
      <c r="B12488" s="55" t="s">
        <v>281</v>
      </c>
      <c r="C12488" s="46">
        <v>2476</v>
      </c>
      <c r="D12488" s="69" t="s">
        <v>29418</v>
      </c>
      <c r="E12488" s="51"/>
      <c r="F12488" s="114" t="str">
        <f>IF(INDEX(I.Facility.P2bIDNumber,2476)="","",INDEX(I.Facility.P2bIDNumber,2476))</f>
        <v/>
      </c>
      <c r="G12488" s="51"/>
      <c r="H12488" s="46" t="str">
        <f>IF(AND(I.Developer.P2b=TRUE,I.Facility.P2bFacilityCount&gt;=2476,F12488=""),"Incomplete","Complete")</f>
        <v>Complete</v>
      </c>
      <c r="I12488" s="48" t="s">
        <v>16853</v>
      </c>
    </row>
    <row r="12489" spans="2:9" ht="15" customHeight="1" x14ac:dyDescent="0.25">
      <c r="B12489" s="55" t="s">
        <v>281</v>
      </c>
      <c r="C12489" s="46">
        <v>2477</v>
      </c>
      <c r="D12489" s="69" t="s">
        <v>29418</v>
      </c>
      <c r="E12489" s="51"/>
      <c r="F12489" s="114" t="str">
        <f>IF(INDEX(I.Facility.P2bIDNumber,2477)="","",INDEX(I.Facility.P2bIDNumber,2477))</f>
        <v/>
      </c>
      <c r="G12489" s="51"/>
      <c r="H12489" s="46" t="str">
        <f>IF(AND(I.Developer.P2b=TRUE,I.Facility.P2bFacilityCount&gt;=2477,F12489=""),"Incomplete","Complete")</f>
        <v>Complete</v>
      </c>
      <c r="I12489" s="48" t="s">
        <v>16854</v>
      </c>
    </row>
    <row r="12490" spans="2:9" ht="15" customHeight="1" x14ac:dyDescent="0.25">
      <c r="B12490" s="55" t="s">
        <v>281</v>
      </c>
      <c r="C12490" s="46">
        <v>2478</v>
      </c>
      <c r="D12490" s="69" t="s">
        <v>29418</v>
      </c>
      <c r="E12490" s="51"/>
      <c r="F12490" s="114" t="str">
        <f>IF(INDEX(I.Facility.P2bIDNumber,2478)="","",INDEX(I.Facility.P2bIDNumber,2478))</f>
        <v/>
      </c>
      <c r="G12490" s="51"/>
      <c r="H12490" s="46" t="str">
        <f>IF(AND(I.Developer.P2b=TRUE,I.Facility.P2bFacilityCount&gt;=2478,F12490=""),"Incomplete","Complete")</f>
        <v>Complete</v>
      </c>
      <c r="I12490" s="48" t="s">
        <v>16855</v>
      </c>
    </row>
    <row r="12491" spans="2:9" ht="15" customHeight="1" x14ac:dyDescent="0.25">
      <c r="B12491" s="55" t="s">
        <v>281</v>
      </c>
      <c r="C12491" s="46">
        <v>2479</v>
      </c>
      <c r="D12491" s="69" t="s">
        <v>29418</v>
      </c>
      <c r="E12491" s="51"/>
      <c r="F12491" s="114" t="str">
        <f>IF(INDEX(I.Facility.P2bIDNumber,2479)="","",INDEX(I.Facility.P2bIDNumber,2479))</f>
        <v/>
      </c>
      <c r="G12491" s="51"/>
      <c r="H12491" s="46" t="str">
        <f>IF(AND(I.Developer.P2b=TRUE,I.Facility.P2bFacilityCount&gt;=2479,F12491=""),"Incomplete","Complete")</f>
        <v>Complete</v>
      </c>
      <c r="I12491" s="48" t="s">
        <v>16856</v>
      </c>
    </row>
    <row r="12492" spans="2:9" ht="15" customHeight="1" x14ac:dyDescent="0.25">
      <c r="B12492" s="55" t="s">
        <v>281</v>
      </c>
      <c r="C12492" s="46">
        <v>2480</v>
      </c>
      <c r="D12492" s="69" t="s">
        <v>29418</v>
      </c>
      <c r="E12492" s="51"/>
      <c r="F12492" s="114" t="str">
        <f>IF(INDEX(I.Facility.P2bIDNumber,2480)="","",INDEX(I.Facility.P2bIDNumber,2480))</f>
        <v/>
      </c>
      <c r="G12492" s="51"/>
      <c r="H12492" s="46" t="str">
        <f>IF(AND(I.Developer.P2b=TRUE,I.Facility.P2bFacilityCount&gt;=2480,F12492=""),"Incomplete","Complete")</f>
        <v>Complete</v>
      </c>
      <c r="I12492" s="48" t="s">
        <v>16857</v>
      </c>
    </row>
    <row r="12493" spans="2:9" ht="15" customHeight="1" x14ac:dyDescent="0.25">
      <c r="B12493" s="55" t="s">
        <v>281</v>
      </c>
      <c r="C12493" s="46">
        <v>2481</v>
      </c>
      <c r="D12493" s="69" t="s">
        <v>29418</v>
      </c>
      <c r="E12493" s="51"/>
      <c r="F12493" s="114" t="str">
        <f>IF(INDEX(I.Facility.P2bIDNumber,2481)="","",INDEX(I.Facility.P2bIDNumber,2481))</f>
        <v/>
      </c>
      <c r="G12493" s="51"/>
      <c r="H12493" s="46" t="str">
        <f>IF(AND(I.Developer.P2b=TRUE,I.Facility.P2bFacilityCount&gt;=2481,F12493=""),"Incomplete","Complete")</f>
        <v>Complete</v>
      </c>
      <c r="I12493" s="48" t="s">
        <v>16858</v>
      </c>
    </row>
    <row r="12494" spans="2:9" ht="15" customHeight="1" x14ac:dyDescent="0.25">
      <c r="B12494" s="55" t="s">
        <v>281</v>
      </c>
      <c r="C12494" s="46">
        <v>2482</v>
      </c>
      <c r="D12494" s="69" t="s">
        <v>29418</v>
      </c>
      <c r="E12494" s="51"/>
      <c r="F12494" s="114" t="str">
        <f>IF(INDEX(I.Facility.P2bIDNumber,2482)="","",INDEX(I.Facility.P2bIDNumber,2482))</f>
        <v/>
      </c>
      <c r="G12494" s="51"/>
      <c r="H12494" s="46" t="str">
        <f>IF(AND(I.Developer.P2b=TRUE,I.Facility.P2bFacilityCount&gt;=2482,F12494=""),"Incomplete","Complete")</f>
        <v>Complete</v>
      </c>
      <c r="I12494" s="48" t="s">
        <v>16859</v>
      </c>
    </row>
    <row r="12495" spans="2:9" ht="15" customHeight="1" x14ac:dyDescent="0.25">
      <c r="B12495" s="55" t="s">
        <v>281</v>
      </c>
      <c r="C12495" s="46">
        <v>2483</v>
      </c>
      <c r="D12495" s="69" t="s">
        <v>29418</v>
      </c>
      <c r="E12495" s="51"/>
      <c r="F12495" s="114" t="str">
        <f>IF(INDEX(I.Facility.P2bIDNumber,2483)="","",INDEX(I.Facility.P2bIDNumber,2483))</f>
        <v/>
      </c>
      <c r="G12495" s="51"/>
      <c r="H12495" s="46" t="str">
        <f>IF(AND(I.Developer.P2b=TRUE,I.Facility.P2bFacilityCount&gt;=2483,F12495=""),"Incomplete","Complete")</f>
        <v>Complete</v>
      </c>
      <c r="I12495" s="48" t="s">
        <v>16860</v>
      </c>
    </row>
    <row r="12496" spans="2:9" ht="15" customHeight="1" x14ac:dyDescent="0.25">
      <c r="B12496" s="55" t="s">
        <v>281</v>
      </c>
      <c r="C12496" s="46">
        <v>2484</v>
      </c>
      <c r="D12496" s="69" t="s">
        <v>29418</v>
      </c>
      <c r="E12496" s="51"/>
      <c r="F12496" s="114" t="str">
        <f>IF(INDEX(I.Facility.P2bIDNumber,2484)="","",INDEX(I.Facility.P2bIDNumber,2484))</f>
        <v/>
      </c>
      <c r="G12496" s="51"/>
      <c r="H12496" s="46" t="str">
        <f>IF(AND(I.Developer.P2b=TRUE,I.Facility.P2bFacilityCount&gt;=2484,F12496=""),"Incomplete","Complete")</f>
        <v>Complete</v>
      </c>
      <c r="I12496" s="48" t="s">
        <v>16861</v>
      </c>
    </row>
    <row r="12497" spans="2:9" ht="15" customHeight="1" x14ac:dyDescent="0.25">
      <c r="B12497" s="55" t="s">
        <v>281</v>
      </c>
      <c r="C12497" s="46">
        <v>2485</v>
      </c>
      <c r="D12497" s="69" t="s">
        <v>29418</v>
      </c>
      <c r="E12497" s="51"/>
      <c r="F12497" s="114" t="str">
        <f>IF(INDEX(I.Facility.P2bIDNumber,2485)="","",INDEX(I.Facility.P2bIDNumber,2485))</f>
        <v/>
      </c>
      <c r="G12497" s="51"/>
      <c r="H12497" s="46" t="str">
        <f>IF(AND(I.Developer.P2b=TRUE,I.Facility.P2bFacilityCount&gt;=2485,F12497=""),"Incomplete","Complete")</f>
        <v>Complete</v>
      </c>
      <c r="I12497" s="48" t="s">
        <v>16862</v>
      </c>
    </row>
    <row r="12498" spans="2:9" ht="15" customHeight="1" x14ac:dyDescent="0.25">
      <c r="B12498" s="55" t="s">
        <v>281</v>
      </c>
      <c r="C12498" s="46">
        <v>2486</v>
      </c>
      <c r="D12498" s="69" t="s">
        <v>29418</v>
      </c>
      <c r="E12498" s="51"/>
      <c r="F12498" s="114" t="str">
        <f>IF(INDEX(I.Facility.P2bIDNumber,2486)="","",INDEX(I.Facility.P2bIDNumber,2486))</f>
        <v/>
      </c>
      <c r="G12498" s="51"/>
      <c r="H12498" s="46" t="str">
        <f>IF(AND(I.Developer.P2b=TRUE,I.Facility.P2bFacilityCount&gt;=2486,F12498=""),"Incomplete","Complete")</f>
        <v>Complete</v>
      </c>
      <c r="I12498" s="48" t="s">
        <v>16863</v>
      </c>
    </row>
    <row r="12499" spans="2:9" ht="15" customHeight="1" x14ac:dyDescent="0.25">
      <c r="B12499" s="55" t="s">
        <v>281</v>
      </c>
      <c r="C12499" s="46">
        <v>2487</v>
      </c>
      <c r="D12499" s="69" t="s">
        <v>29418</v>
      </c>
      <c r="E12499" s="51"/>
      <c r="F12499" s="114" t="str">
        <f>IF(INDEX(I.Facility.P2bIDNumber,2487)="","",INDEX(I.Facility.P2bIDNumber,2487))</f>
        <v/>
      </c>
      <c r="G12499" s="51"/>
      <c r="H12499" s="46" t="str">
        <f>IF(AND(I.Developer.P2b=TRUE,I.Facility.P2bFacilityCount&gt;=2487,F12499=""),"Incomplete","Complete")</f>
        <v>Complete</v>
      </c>
      <c r="I12499" s="48" t="s">
        <v>16864</v>
      </c>
    </row>
    <row r="12500" spans="2:9" ht="15" customHeight="1" x14ac:dyDescent="0.25">
      <c r="B12500" s="55" t="s">
        <v>281</v>
      </c>
      <c r="C12500" s="46">
        <v>2488</v>
      </c>
      <c r="D12500" s="69" t="s">
        <v>29418</v>
      </c>
      <c r="E12500" s="51"/>
      <c r="F12500" s="114" t="str">
        <f>IF(INDEX(I.Facility.P2bIDNumber,2488)="","",INDEX(I.Facility.P2bIDNumber,2488))</f>
        <v/>
      </c>
      <c r="G12500" s="51"/>
      <c r="H12500" s="46" t="str">
        <f>IF(AND(I.Developer.P2b=TRUE,I.Facility.P2bFacilityCount&gt;=2488,F12500=""),"Incomplete","Complete")</f>
        <v>Complete</v>
      </c>
      <c r="I12500" s="48" t="s">
        <v>16865</v>
      </c>
    </row>
    <row r="12501" spans="2:9" ht="15" customHeight="1" x14ac:dyDescent="0.25">
      <c r="B12501" s="55" t="s">
        <v>281</v>
      </c>
      <c r="C12501" s="46">
        <v>2489</v>
      </c>
      <c r="D12501" s="69" t="s">
        <v>29418</v>
      </c>
      <c r="E12501" s="51"/>
      <c r="F12501" s="114" t="str">
        <f>IF(INDEX(I.Facility.P2bIDNumber,2489)="","",INDEX(I.Facility.P2bIDNumber,2489))</f>
        <v/>
      </c>
      <c r="G12501" s="51"/>
      <c r="H12501" s="46" t="str">
        <f>IF(AND(I.Developer.P2b=TRUE,I.Facility.P2bFacilityCount&gt;=2489,F12501=""),"Incomplete","Complete")</f>
        <v>Complete</v>
      </c>
      <c r="I12501" s="48" t="s">
        <v>16866</v>
      </c>
    </row>
    <row r="12502" spans="2:9" ht="15" customHeight="1" x14ac:dyDescent="0.25">
      <c r="B12502" s="55" t="s">
        <v>281</v>
      </c>
      <c r="C12502" s="46">
        <v>2490</v>
      </c>
      <c r="D12502" s="69" t="s">
        <v>29418</v>
      </c>
      <c r="E12502" s="51"/>
      <c r="F12502" s="114" t="str">
        <f>IF(INDEX(I.Facility.P2bIDNumber,2490)="","",INDEX(I.Facility.P2bIDNumber,2490))</f>
        <v/>
      </c>
      <c r="G12502" s="51"/>
      <c r="H12502" s="46" t="str">
        <f>IF(AND(I.Developer.P2b=TRUE,I.Facility.P2bFacilityCount&gt;=2490,F12502=""),"Incomplete","Complete")</f>
        <v>Complete</v>
      </c>
      <c r="I12502" s="48" t="s">
        <v>16867</v>
      </c>
    </row>
    <row r="12503" spans="2:9" ht="15" customHeight="1" x14ac:dyDescent="0.25">
      <c r="B12503" s="55" t="s">
        <v>281</v>
      </c>
      <c r="C12503" s="46">
        <v>2491</v>
      </c>
      <c r="D12503" s="69" t="s">
        <v>29418</v>
      </c>
      <c r="E12503" s="51"/>
      <c r="F12503" s="114" t="str">
        <f>IF(INDEX(I.Facility.P2bIDNumber,2491)="","",INDEX(I.Facility.P2bIDNumber,2491))</f>
        <v/>
      </c>
      <c r="G12503" s="51"/>
      <c r="H12503" s="46" t="str">
        <f>IF(AND(I.Developer.P2b=TRUE,I.Facility.P2bFacilityCount&gt;=2491,F12503=""),"Incomplete","Complete")</f>
        <v>Complete</v>
      </c>
      <c r="I12503" s="48" t="s">
        <v>16868</v>
      </c>
    </row>
    <row r="12504" spans="2:9" ht="15" customHeight="1" x14ac:dyDescent="0.25">
      <c r="B12504" s="55" t="s">
        <v>281</v>
      </c>
      <c r="C12504" s="46">
        <v>2492</v>
      </c>
      <c r="D12504" s="69" t="s">
        <v>29418</v>
      </c>
      <c r="E12504" s="51"/>
      <c r="F12504" s="114" t="str">
        <f>IF(INDEX(I.Facility.P2bIDNumber,2492)="","",INDEX(I.Facility.P2bIDNumber,2492))</f>
        <v/>
      </c>
      <c r="G12504" s="51"/>
      <c r="H12504" s="46" t="str">
        <f>IF(AND(I.Developer.P2b=TRUE,I.Facility.P2bFacilityCount&gt;=2492,F12504=""),"Incomplete","Complete")</f>
        <v>Complete</v>
      </c>
      <c r="I12504" s="48" t="s">
        <v>16869</v>
      </c>
    </row>
    <row r="12505" spans="2:9" ht="15" customHeight="1" x14ac:dyDescent="0.25">
      <c r="B12505" s="55" t="s">
        <v>281</v>
      </c>
      <c r="C12505" s="46">
        <v>2493</v>
      </c>
      <c r="D12505" s="69" t="s">
        <v>29418</v>
      </c>
      <c r="E12505" s="51"/>
      <c r="F12505" s="114" t="str">
        <f>IF(INDEX(I.Facility.P2bIDNumber,2493)="","",INDEX(I.Facility.P2bIDNumber,2493))</f>
        <v/>
      </c>
      <c r="G12505" s="51"/>
      <c r="H12505" s="46" t="str">
        <f>IF(AND(I.Developer.P2b=TRUE,I.Facility.P2bFacilityCount&gt;=2493,F12505=""),"Incomplete","Complete")</f>
        <v>Complete</v>
      </c>
      <c r="I12505" s="48" t="s">
        <v>16870</v>
      </c>
    </row>
    <row r="12506" spans="2:9" ht="15" customHeight="1" x14ac:dyDescent="0.25">
      <c r="B12506" s="55" t="s">
        <v>281</v>
      </c>
      <c r="C12506" s="46">
        <v>2494</v>
      </c>
      <c r="D12506" s="69" t="s">
        <v>29418</v>
      </c>
      <c r="E12506" s="51"/>
      <c r="F12506" s="114" t="str">
        <f>IF(INDEX(I.Facility.P2bIDNumber,2494)="","",INDEX(I.Facility.P2bIDNumber,2494))</f>
        <v/>
      </c>
      <c r="G12506" s="51"/>
      <c r="H12506" s="46" t="str">
        <f>IF(AND(I.Developer.P2b=TRUE,I.Facility.P2bFacilityCount&gt;=2494,F12506=""),"Incomplete","Complete")</f>
        <v>Complete</v>
      </c>
      <c r="I12506" s="48" t="s">
        <v>16871</v>
      </c>
    </row>
    <row r="12507" spans="2:9" ht="15" customHeight="1" x14ac:dyDescent="0.25">
      <c r="B12507" s="55" t="s">
        <v>281</v>
      </c>
      <c r="C12507" s="46">
        <v>2495</v>
      </c>
      <c r="D12507" s="69" t="s">
        <v>29418</v>
      </c>
      <c r="E12507" s="51"/>
      <c r="F12507" s="114" t="str">
        <f>IF(INDEX(I.Facility.P2bIDNumber,2495)="","",INDEX(I.Facility.P2bIDNumber,2495))</f>
        <v/>
      </c>
      <c r="G12507" s="51"/>
      <c r="H12507" s="46" t="str">
        <f>IF(AND(I.Developer.P2b=TRUE,I.Facility.P2bFacilityCount&gt;=2495,F12507=""),"Incomplete","Complete")</f>
        <v>Complete</v>
      </c>
      <c r="I12507" s="48" t="s">
        <v>16872</v>
      </c>
    </row>
    <row r="12508" spans="2:9" ht="15" customHeight="1" x14ac:dyDescent="0.25">
      <c r="B12508" s="55" t="s">
        <v>281</v>
      </c>
      <c r="C12508" s="46">
        <v>2496</v>
      </c>
      <c r="D12508" s="69" t="s">
        <v>29418</v>
      </c>
      <c r="E12508" s="51"/>
      <c r="F12508" s="114" t="str">
        <f>IF(INDEX(I.Facility.P2bIDNumber,2496)="","",INDEX(I.Facility.P2bIDNumber,2496))</f>
        <v/>
      </c>
      <c r="G12508" s="51"/>
      <c r="H12508" s="46" t="str">
        <f>IF(AND(I.Developer.P2b=TRUE,I.Facility.P2bFacilityCount&gt;=2496,F12508=""),"Incomplete","Complete")</f>
        <v>Complete</v>
      </c>
      <c r="I12508" s="48" t="s">
        <v>16873</v>
      </c>
    </row>
    <row r="12509" spans="2:9" ht="15" customHeight="1" x14ac:dyDescent="0.25">
      <c r="B12509" s="55" t="s">
        <v>281</v>
      </c>
      <c r="C12509" s="46">
        <v>2497</v>
      </c>
      <c r="D12509" s="69" t="s">
        <v>29418</v>
      </c>
      <c r="E12509" s="51"/>
      <c r="F12509" s="114" t="str">
        <f>IF(INDEX(I.Facility.P2bIDNumber,2497)="","",INDEX(I.Facility.P2bIDNumber,2497))</f>
        <v/>
      </c>
      <c r="G12509" s="51"/>
      <c r="H12509" s="46" t="str">
        <f>IF(AND(I.Developer.P2b=TRUE,I.Facility.P2bFacilityCount&gt;=2497,F12509=""),"Incomplete","Complete")</f>
        <v>Complete</v>
      </c>
      <c r="I12509" s="48" t="s">
        <v>16874</v>
      </c>
    </row>
    <row r="12510" spans="2:9" ht="15" customHeight="1" x14ac:dyDescent="0.25">
      <c r="B12510" s="55" t="s">
        <v>281</v>
      </c>
      <c r="C12510" s="46">
        <v>2498</v>
      </c>
      <c r="D12510" s="69" t="s">
        <v>29418</v>
      </c>
      <c r="E12510" s="51"/>
      <c r="F12510" s="114" t="str">
        <f>IF(INDEX(I.Facility.P2bIDNumber,2498)="","",INDEX(I.Facility.P2bIDNumber,2498))</f>
        <v/>
      </c>
      <c r="G12510" s="51"/>
      <c r="H12510" s="46" t="str">
        <f>IF(AND(I.Developer.P2b=TRUE,I.Facility.P2bFacilityCount&gt;=2498,F12510=""),"Incomplete","Complete")</f>
        <v>Complete</v>
      </c>
      <c r="I12510" s="48" t="s">
        <v>16875</v>
      </c>
    </row>
    <row r="12511" spans="2:9" ht="15" customHeight="1" x14ac:dyDescent="0.25">
      <c r="B12511" s="55" t="s">
        <v>281</v>
      </c>
      <c r="C12511" s="46">
        <v>2499</v>
      </c>
      <c r="D12511" s="69" t="s">
        <v>29418</v>
      </c>
      <c r="E12511" s="51"/>
      <c r="F12511" s="114" t="str">
        <f>IF(INDEX(I.Facility.P2bIDNumber,2499)="","",INDEX(I.Facility.P2bIDNumber,2499))</f>
        <v/>
      </c>
      <c r="G12511" s="51"/>
      <c r="H12511" s="46" t="str">
        <f>IF(AND(I.Developer.P2b=TRUE,I.Facility.P2bFacilityCount&gt;=2499,F12511=""),"Incomplete","Complete")</f>
        <v>Complete</v>
      </c>
      <c r="I12511" s="48" t="s">
        <v>16876</v>
      </c>
    </row>
    <row r="12512" spans="2:9" ht="15" customHeight="1" x14ac:dyDescent="0.25">
      <c r="B12512" s="55" t="s">
        <v>281</v>
      </c>
      <c r="C12512" s="46">
        <v>2500</v>
      </c>
      <c r="D12512" s="69" t="s">
        <v>29418</v>
      </c>
      <c r="E12512" s="51"/>
      <c r="F12512" s="114" t="str">
        <f>IF(INDEX(I.Facility.P2bIDNumber,2500)="","",INDEX(I.Facility.P2bIDNumber,2500))</f>
        <v/>
      </c>
      <c r="G12512" s="51"/>
      <c r="H12512" s="46" t="str">
        <f>IF(AND(I.Developer.P2b=TRUE,I.Facility.P2bFacilityCount&gt;=2500,F12512=""),"Incomplete","Complete")</f>
        <v>Complete</v>
      </c>
      <c r="I12512" s="48" t="s">
        <v>16877</v>
      </c>
    </row>
    <row r="12513" spans="2:9" ht="15" customHeight="1" x14ac:dyDescent="0.25">
      <c r="B12513" s="55" t="s">
        <v>281</v>
      </c>
      <c r="C12513" s="46">
        <v>2501</v>
      </c>
      <c r="D12513" s="69" t="s">
        <v>29418</v>
      </c>
      <c r="E12513" s="51"/>
      <c r="F12513" s="114" t="str">
        <f>IF(INDEX(I.Facility.P2bIDNumber,2501)="","",INDEX(I.Facility.P2bIDNumber,2501))</f>
        <v/>
      </c>
      <c r="G12513" s="51"/>
      <c r="H12513" s="46" t="str">
        <f>IF(AND(I.Developer.P2b=TRUE,I.Facility.P2bFacilityCount&gt;=2501,F12513=""),"Incomplete","Complete")</f>
        <v>Complete</v>
      </c>
      <c r="I12513" s="48" t="s">
        <v>16878</v>
      </c>
    </row>
    <row r="12514" spans="2:9" ht="15" customHeight="1" x14ac:dyDescent="0.25">
      <c r="B12514" s="55" t="s">
        <v>281</v>
      </c>
      <c r="C12514" s="46">
        <v>2502</v>
      </c>
      <c r="D12514" s="69" t="s">
        <v>29418</v>
      </c>
      <c r="E12514" s="51"/>
      <c r="F12514" s="114" t="str">
        <f>IF(INDEX(I.Facility.P2bIDNumber,2502)="","",INDEX(I.Facility.P2bIDNumber,2502))</f>
        <v/>
      </c>
      <c r="G12514" s="51"/>
      <c r="H12514" s="46" t="str">
        <f>IF(AND(I.Developer.P2b=TRUE,I.Facility.P2bFacilityCount&gt;=2502,F12514=""),"Incomplete","Complete")</f>
        <v>Complete</v>
      </c>
      <c r="I12514" s="48" t="s">
        <v>16879</v>
      </c>
    </row>
    <row r="12515" spans="2:9" ht="15" customHeight="1" x14ac:dyDescent="0.25">
      <c r="B12515" s="55" t="s">
        <v>281</v>
      </c>
      <c r="C12515" s="46">
        <v>2503</v>
      </c>
      <c r="D12515" s="69" t="s">
        <v>29418</v>
      </c>
      <c r="E12515" s="51"/>
      <c r="F12515" s="114" t="str">
        <f>IF(INDEX(I.Facility.P2bIDNumber,2503)="","",INDEX(I.Facility.P2bIDNumber,2503))</f>
        <v/>
      </c>
      <c r="G12515" s="51"/>
      <c r="H12515" s="46" t="str">
        <f>IF(AND(I.Developer.P2b=TRUE,I.Facility.P2bFacilityCount&gt;=2503,F12515=""),"Incomplete","Complete")</f>
        <v>Complete</v>
      </c>
      <c r="I12515" s="48" t="s">
        <v>16880</v>
      </c>
    </row>
    <row r="12516" spans="2:9" ht="15" customHeight="1" x14ac:dyDescent="0.25">
      <c r="B12516" s="55" t="s">
        <v>281</v>
      </c>
      <c r="C12516" s="46">
        <v>2504</v>
      </c>
      <c r="D12516" s="69" t="s">
        <v>29418</v>
      </c>
      <c r="E12516" s="51"/>
      <c r="F12516" s="114" t="str">
        <f>IF(INDEX(I.Facility.P2bIDNumber,2504)="","",INDEX(I.Facility.P2bIDNumber,2504))</f>
        <v/>
      </c>
      <c r="G12516" s="51"/>
      <c r="H12516" s="46" t="str">
        <f>IF(AND(I.Developer.P2b=TRUE,I.Facility.P2bFacilityCount&gt;=2504,F12516=""),"Incomplete","Complete")</f>
        <v>Complete</v>
      </c>
      <c r="I12516" s="48" t="s">
        <v>16881</v>
      </c>
    </row>
    <row r="12517" spans="2:9" ht="15" customHeight="1" x14ac:dyDescent="0.25">
      <c r="B12517" s="55" t="s">
        <v>281</v>
      </c>
      <c r="C12517" s="46">
        <v>2505</v>
      </c>
      <c r="D12517" s="69" t="s">
        <v>29418</v>
      </c>
      <c r="E12517" s="51"/>
      <c r="F12517" s="114" t="str">
        <f>IF(INDEX(I.Facility.P2bIDNumber,2505)="","",INDEX(I.Facility.P2bIDNumber,2505))</f>
        <v/>
      </c>
      <c r="G12517" s="51"/>
      <c r="H12517" s="46" t="str">
        <f>IF(AND(I.Developer.P2b=TRUE,I.Facility.P2bFacilityCount&gt;=2505,F12517=""),"Incomplete","Complete")</f>
        <v>Complete</v>
      </c>
      <c r="I12517" s="48" t="s">
        <v>16882</v>
      </c>
    </row>
    <row r="12518" spans="2:9" ht="15" customHeight="1" x14ac:dyDescent="0.25">
      <c r="B12518" s="55" t="s">
        <v>281</v>
      </c>
      <c r="C12518" s="46">
        <v>2506</v>
      </c>
      <c r="D12518" s="69" t="s">
        <v>29418</v>
      </c>
      <c r="E12518" s="51"/>
      <c r="F12518" s="114" t="str">
        <f>IF(INDEX(I.Facility.P2bIDNumber,2506)="","",INDEX(I.Facility.P2bIDNumber,2506))</f>
        <v/>
      </c>
      <c r="G12518" s="51"/>
      <c r="H12518" s="46" t="str">
        <f>IF(AND(I.Developer.P2b=TRUE,I.Facility.P2bFacilityCount&gt;=2506,F12518=""),"Incomplete","Complete")</f>
        <v>Complete</v>
      </c>
      <c r="I12518" s="48" t="s">
        <v>16883</v>
      </c>
    </row>
    <row r="12519" spans="2:9" ht="15" customHeight="1" x14ac:dyDescent="0.25">
      <c r="B12519" s="55" t="s">
        <v>281</v>
      </c>
      <c r="C12519" s="46">
        <v>2507</v>
      </c>
      <c r="D12519" s="69" t="s">
        <v>29418</v>
      </c>
      <c r="E12519" s="51"/>
      <c r="F12519" s="114" t="str">
        <f>IF(INDEX(I.Facility.P2bIDNumber,2507)="","",INDEX(I.Facility.P2bIDNumber,2507))</f>
        <v/>
      </c>
      <c r="G12519" s="51"/>
      <c r="H12519" s="46" t="str">
        <f>IF(AND(I.Developer.P2b=TRUE,I.Facility.P2bFacilityCount&gt;=2507,F12519=""),"Incomplete","Complete")</f>
        <v>Complete</v>
      </c>
      <c r="I12519" s="48" t="s">
        <v>16884</v>
      </c>
    </row>
    <row r="12520" spans="2:9" ht="15" customHeight="1" x14ac:dyDescent="0.25">
      <c r="B12520" s="55" t="s">
        <v>281</v>
      </c>
      <c r="C12520" s="46">
        <v>2508</v>
      </c>
      <c r="D12520" s="69" t="s">
        <v>29418</v>
      </c>
      <c r="E12520" s="51"/>
      <c r="F12520" s="114" t="str">
        <f>IF(INDEX(I.Facility.P2bIDNumber,2508)="","",INDEX(I.Facility.P2bIDNumber,2508))</f>
        <v/>
      </c>
      <c r="G12520" s="51"/>
      <c r="H12520" s="46" t="str">
        <f>IF(AND(I.Developer.P2b=TRUE,I.Facility.P2bFacilityCount&gt;=2508,F12520=""),"Incomplete","Complete")</f>
        <v>Complete</v>
      </c>
      <c r="I12520" s="48" t="s">
        <v>16885</v>
      </c>
    </row>
    <row r="12521" spans="2:9" ht="15" customHeight="1" x14ac:dyDescent="0.25">
      <c r="B12521" s="55" t="s">
        <v>281</v>
      </c>
      <c r="C12521" s="46">
        <v>2509</v>
      </c>
      <c r="D12521" s="69" t="s">
        <v>29418</v>
      </c>
      <c r="E12521" s="51"/>
      <c r="F12521" s="114" t="str">
        <f>IF(INDEX(I.Facility.P2bIDNumber,2509)="","",INDEX(I.Facility.P2bIDNumber,2509))</f>
        <v/>
      </c>
      <c r="G12521" s="51"/>
      <c r="H12521" s="46" t="str">
        <f>IF(AND(I.Developer.P2b=TRUE,I.Facility.P2bFacilityCount&gt;=2509,F12521=""),"Incomplete","Complete")</f>
        <v>Complete</v>
      </c>
      <c r="I12521" s="48" t="s">
        <v>16886</v>
      </c>
    </row>
    <row r="12522" spans="2:9" ht="15" customHeight="1" x14ac:dyDescent="0.25">
      <c r="B12522" s="55" t="s">
        <v>281</v>
      </c>
      <c r="C12522" s="46">
        <v>2510</v>
      </c>
      <c r="D12522" s="69" t="s">
        <v>29418</v>
      </c>
      <c r="E12522" s="51"/>
      <c r="F12522" s="114" t="str">
        <f>IF(INDEX(I.Facility.P2bIDNumber,2510)="","",INDEX(I.Facility.P2bIDNumber,2510))</f>
        <v/>
      </c>
      <c r="G12522" s="51"/>
      <c r="H12522" s="46" t="str">
        <f>IF(AND(I.Developer.P2b=TRUE,I.Facility.P2bFacilityCount&gt;=2510,F12522=""),"Incomplete","Complete")</f>
        <v>Complete</v>
      </c>
      <c r="I12522" s="48" t="s">
        <v>16887</v>
      </c>
    </row>
    <row r="12523" spans="2:9" ht="15" customHeight="1" x14ac:dyDescent="0.25">
      <c r="B12523" s="55" t="s">
        <v>281</v>
      </c>
      <c r="C12523" s="46">
        <v>2511</v>
      </c>
      <c r="D12523" s="69" t="s">
        <v>29418</v>
      </c>
      <c r="E12523" s="51"/>
      <c r="F12523" s="114" t="str">
        <f>IF(INDEX(I.Facility.P2bIDNumber,2511)="","",INDEX(I.Facility.P2bIDNumber,2511))</f>
        <v/>
      </c>
      <c r="G12523" s="51"/>
      <c r="H12523" s="46" t="str">
        <f>IF(AND(I.Developer.P2b=TRUE,I.Facility.P2bFacilityCount&gt;=2511,F12523=""),"Incomplete","Complete")</f>
        <v>Complete</v>
      </c>
      <c r="I12523" s="48" t="s">
        <v>16888</v>
      </c>
    </row>
    <row r="12524" spans="2:9" ht="15" customHeight="1" x14ac:dyDescent="0.25">
      <c r="B12524" s="55" t="s">
        <v>281</v>
      </c>
      <c r="C12524" s="46">
        <v>2512</v>
      </c>
      <c r="D12524" s="69" t="s">
        <v>29418</v>
      </c>
      <c r="E12524" s="51"/>
      <c r="F12524" s="114" t="str">
        <f>IF(INDEX(I.Facility.P2bIDNumber,2512)="","",INDEX(I.Facility.P2bIDNumber,2512))</f>
        <v/>
      </c>
      <c r="G12524" s="51"/>
      <c r="H12524" s="46" t="str">
        <f>IF(AND(I.Developer.P2b=TRUE,I.Facility.P2bFacilityCount&gt;=2512,F12524=""),"Incomplete","Complete")</f>
        <v>Complete</v>
      </c>
      <c r="I12524" s="48" t="s">
        <v>16889</v>
      </c>
    </row>
    <row r="12525" spans="2:9" ht="15" customHeight="1" x14ac:dyDescent="0.25">
      <c r="B12525" s="55" t="s">
        <v>281</v>
      </c>
      <c r="C12525" s="46">
        <v>2513</v>
      </c>
      <c r="D12525" s="69" t="s">
        <v>29418</v>
      </c>
      <c r="E12525" s="51"/>
      <c r="F12525" s="114" t="str">
        <f>IF(INDEX(I.Facility.P2bIDNumber,2513)="","",INDEX(I.Facility.P2bIDNumber,2513))</f>
        <v/>
      </c>
      <c r="G12525" s="51"/>
      <c r="H12525" s="46" t="str">
        <f>IF(AND(I.Developer.P2b=TRUE,I.Facility.P2bFacilityCount&gt;=2513,F12525=""),"Incomplete","Complete")</f>
        <v>Complete</v>
      </c>
      <c r="I12525" s="48" t="s">
        <v>16890</v>
      </c>
    </row>
    <row r="12526" spans="2:9" ht="15" customHeight="1" x14ac:dyDescent="0.25">
      <c r="B12526" s="55" t="s">
        <v>281</v>
      </c>
      <c r="C12526" s="46">
        <v>2514</v>
      </c>
      <c r="D12526" s="69" t="s">
        <v>29418</v>
      </c>
      <c r="E12526" s="51"/>
      <c r="F12526" s="114" t="str">
        <f>IF(INDEX(I.Facility.P2bIDNumber,2514)="","",INDEX(I.Facility.P2bIDNumber,2514))</f>
        <v/>
      </c>
      <c r="G12526" s="51"/>
      <c r="H12526" s="46" t="str">
        <f>IF(AND(I.Developer.P2b=TRUE,I.Facility.P2bFacilityCount&gt;=2514,F12526=""),"Incomplete","Complete")</f>
        <v>Complete</v>
      </c>
      <c r="I12526" s="48" t="s">
        <v>16891</v>
      </c>
    </row>
    <row r="12527" spans="2:9" ht="15" customHeight="1" x14ac:dyDescent="0.25">
      <c r="B12527" s="55" t="s">
        <v>281</v>
      </c>
      <c r="C12527" s="46">
        <v>2515</v>
      </c>
      <c r="D12527" s="69" t="s">
        <v>29418</v>
      </c>
      <c r="E12527" s="51"/>
      <c r="F12527" s="114" t="str">
        <f>IF(INDEX(I.Facility.P2bIDNumber,2515)="","",INDEX(I.Facility.P2bIDNumber,2515))</f>
        <v/>
      </c>
      <c r="G12527" s="51"/>
      <c r="H12527" s="46" t="str">
        <f>IF(AND(I.Developer.P2b=TRUE,I.Facility.P2bFacilityCount&gt;=2515,F12527=""),"Incomplete","Complete")</f>
        <v>Complete</v>
      </c>
      <c r="I12527" s="48" t="s">
        <v>16892</v>
      </c>
    </row>
    <row r="12528" spans="2:9" ht="15" customHeight="1" x14ac:dyDescent="0.25">
      <c r="B12528" s="55" t="s">
        <v>281</v>
      </c>
      <c r="C12528" s="46">
        <v>2516</v>
      </c>
      <c r="D12528" s="69" t="s">
        <v>29418</v>
      </c>
      <c r="E12528" s="51"/>
      <c r="F12528" s="114" t="str">
        <f>IF(INDEX(I.Facility.P2bIDNumber,2516)="","",INDEX(I.Facility.P2bIDNumber,2516))</f>
        <v/>
      </c>
      <c r="G12528" s="51"/>
      <c r="H12528" s="46" t="str">
        <f>IF(AND(I.Developer.P2b=TRUE,I.Facility.P2bFacilityCount&gt;=2516,F12528=""),"Incomplete","Complete")</f>
        <v>Complete</v>
      </c>
      <c r="I12528" s="48" t="s">
        <v>16893</v>
      </c>
    </row>
    <row r="12529" spans="2:9" ht="15" customHeight="1" x14ac:dyDescent="0.25">
      <c r="B12529" s="55" t="s">
        <v>281</v>
      </c>
      <c r="C12529" s="46">
        <v>2517</v>
      </c>
      <c r="D12529" s="69" t="s">
        <v>29418</v>
      </c>
      <c r="E12529" s="51"/>
      <c r="F12529" s="114" t="str">
        <f>IF(INDEX(I.Facility.P2bIDNumber,2517)="","",INDEX(I.Facility.P2bIDNumber,2517))</f>
        <v/>
      </c>
      <c r="G12529" s="51"/>
      <c r="H12529" s="46" t="str">
        <f>IF(AND(I.Developer.P2b=TRUE,I.Facility.P2bFacilityCount&gt;=2517,F12529=""),"Incomplete","Complete")</f>
        <v>Complete</v>
      </c>
      <c r="I12529" s="48" t="s">
        <v>16894</v>
      </c>
    </row>
    <row r="12530" spans="2:9" ht="15" customHeight="1" x14ac:dyDescent="0.25">
      <c r="B12530" s="55" t="s">
        <v>281</v>
      </c>
      <c r="C12530" s="46">
        <v>2518</v>
      </c>
      <c r="D12530" s="69" t="s">
        <v>29418</v>
      </c>
      <c r="E12530" s="51"/>
      <c r="F12530" s="114" t="str">
        <f>IF(INDEX(I.Facility.P2bIDNumber,2518)="","",INDEX(I.Facility.P2bIDNumber,2518))</f>
        <v/>
      </c>
      <c r="G12530" s="51"/>
      <c r="H12530" s="46" t="str">
        <f>IF(AND(I.Developer.P2b=TRUE,I.Facility.P2bFacilityCount&gt;=2518,F12530=""),"Incomplete","Complete")</f>
        <v>Complete</v>
      </c>
      <c r="I12530" s="48" t="s">
        <v>16895</v>
      </c>
    </row>
    <row r="12531" spans="2:9" ht="15" customHeight="1" x14ac:dyDescent="0.25">
      <c r="B12531" s="55" t="s">
        <v>281</v>
      </c>
      <c r="C12531" s="46">
        <v>2519</v>
      </c>
      <c r="D12531" s="69" t="s">
        <v>29418</v>
      </c>
      <c r="E12531" s="51"/>
      <c r="F12531" s="114" t="str">
        <f>IF(INDEX(I.Facility.P2bIDNumber,2519)="","",INDEX(I.Facility.P2bIDNumber,2519))</f>
        <v/>
      </c>
      <c r="G12531" s="51"/>
      <c r="H12531" s="46" t="str">
        <f>IF(AND(I.Developer.P2b=TRUE,I.Facility.P2bFacilityCount&gt;=2519,F12531=""),"Incomplete","Complete")</f>
        <v>Complete</v>
      </c>
      <c r="I12531" s="48" t="s">
        <v>16896</v>
      </c>
    </row>
    <row r="12532" spans="2:9" ht="15" customHeight="1" x14ac:dyDescent="0.25">
      <c r="B12532" s="55" t="s">
        <v>281</v>
      </c>
      <c r="C12532" s="46">
        <v>2520</v>
      </c>
      <c r="D12532" s="69" t="s">
        <v>29418</v>
      </c>
      <c r="E12532" s="51"/>
      <c r="F12532" s="114" t="str">
        <f>IF(INDEX(I.Facility.P2bIDNumber,2520)="","",INDEX(I.Facility.P2bIDNumber,2520))</f>
        <v/>
      </c>
      <c r="G12532" s="51"/>
      <c r="H12532" s="46" t="str">
        <f>IF(AND(I.Developer.P2b=TRUE,I.Facility.P2bFacilityCount&gt;=2520,F12532=""),"Incomplete","Complete")</f>
        <v>Complete</v>
      </c>
      <c r="I12532" s="48" t="s">
        <v>16897</v>
      </c>
    </row>
    <row r="12533" spans="2:9" ht="15" customHeight="1" x14ac:dyDescent="0.25">
      <c r="B12533" s="55" t="s">
        <v>281</v>
      </c>
      <c r="C12533" s="46">
        <v>2521</v>
      </c>
      <c r="D12533" s="69" t="s">
        <v>29418</v>
      </c>
      <c r="E12533" s="51"/>
      <c r="F12533" s="114" t="str">
        <f>IF(INDEX(I.Facility.P2bIDNumber,2521)="","",INDEX(I.Facility.P2bIDNumber,2521))</f>
        <v/>
      </c>
      <c r="G12533" s="51"/>
      <c r="H12533" s="46" t="str">
        <f>IF(AND(I.Developer.P2b=TRUE,I.Facility.P2bFacilityCount&gt;=2521,F12533=""),"Incomplete","Complete")</f>
        <v>Complete</v>
      </c>
      <c r="I12533" s="48" t="s">
        <v>16898</v>
      </c>
    </row>
    <row r="12534" spans="2:9" ht="15" customHeight="1" x14ac:dyDescent="0.25">
      <c r="B12534" s="55" t="s">
        <v>281</v>
      </c>
      <c r="C12534" s="46">
        <v>2522</v>
      </c>
      <c r="D12534" s="69" t="s">
        <v>29418</v>
      </c>
      <c r="E12534" s="51"/>
      <c r="F12534" s="114" t="str">
        <f>IF(INDEX(I.Facility.P2bIDNumber,2522)="","",INDEX(I.Facility.P2bIDNumber,2522))</f>
        <v/>
      </c>
      <c r="G12534" s="51"/>
      <c r="H12534" s="46" t="str">
        <f>IF(AND(I.Developer.P2b=TRUE,I.Facility.P2bFacilityCount&gt;=2522,F12534=""),"Incomplete","Complete")</f>
        <v>Complete</v>
      </c>
      <c r="I12534" s="48" t="s">
        <v>16899</v>
      </c>
    </row>
    <row r="12535" spans="2:9" ht="15" customHeight="1" x14ac:dyDescent="0.25">
      <c r="B12535" s="55" t="s">
        <v>281</v>
      </c>
      <c r="C12535" s="46">
        <v>2523</v>
      </c>
      <c r="D12535" s="69" t="s">
        <v>29418</v>
      </c>
      <c r="E12535" s="51"/>
      <c r="F12535" s="114" t="str">
        <f>IF(INDEX(I.Facility.P2bIDNumber,2523)="","",INDEX(I.Facility.P2bIDNumber,2523))</f>
        <v/>
      </c>
      <c r="G12535" s="51"/>
      <c r="H12535" s="46" t="str">
        <f>IF(AND(I.Developer.P2b=TRUE,I.Facility.P2bFacilityCount&gt;=2523,F12535=""),"Incomplete","Complete")</f>
        <v>Complete</v>
      </c>
      <c r="I12535" s="48" t="s">
        <v>16900</v>
      </c>
    </row>
    <row r="12536" spans="2:9" ht="15" customHeight="1" x14ac:dyDescent="0.25">
      <c r="B12536" s="55" t="s">
        <v>281</v>
      </c>
      <c r="C12536" s="46">
        <v>2524</v>
      </c>
      <c r="D12536" s="69" t="s">
        <v>29418</v>
      </c>
      <c r="E12536" s="51"/>
      <c r="F12536" s="114" t="str">
        <f>IF(INDEX(I.Facility.P2bIDNumber,2524)="","",INDEX(I.Facility.P2bIDNumber,2524))</f>
        <v/>
      </c>
      <c r="G12536" s="51"/>
      <c r="H12536" s="46" t="str">
        <f>IF(AND(I.Developer.P2b=TRUE,I.Facility.P2bFacilityCount&gt;=2524,F12536=""),"Incomplete","Complete")</f>
        <v>Complete</v>
      </c>
      <c r="I12536" s="48" t="s">
        <v>16901</v>
      </c>
    </row>
    <row r="12537" spans="2:9" ht="15" customHeight="1" x14ac:dyDescent="0.25">
      <c r="B12537" s="55" t="s">
        <v>281</v>
      </c>
      <c r="C12537" s="46">
        <v>2525</v>
      </c>
      <c r="D12537" s="69" t="s">
        <v>29418</v>
      </c>
      <c r="E12537" s="51"/>
      <c r="F12537" s="114" t="str">
        <f>IF(INDEX(I.Facility.P2bIDNumber,2525)="","",INDEX(I.Facility.P2bIDNumber,2525))</f>
        <v/>
      </c>
      <c r="G12537" s="51"/>
      <c r="H12537" s="46" t="str">
        <f>IF(AND(I.Developer.P2b=TRUE,I.Facility.P2bFacilityCount&gt;=2525,F12537=""),"Incomplete","Complete")</f>
        <v>Complete</v>
      </c>
      <c r="I12537" s="48" t="s">
        <v>16902</v>
      </c>
    </row>
    <row r="12538" spans="2:9" ht="15" customHeight="1" x14ac:dyDescent="0.25">
      <c r="B12538" s="55" t="s">
        <v>281</v>
      </c>
      <c r="C12538" s="46">
        <v>2526</v>
      </c>
      <c r="D12538" s="69" t="s">
        <v>29418</v>
      </c>
      <c r="E12538" s="51"/>
      <c r="F12538" s="114" t="str">
        <f>IF(INDEX(I.Facility.P2bIDNumber,2526)="","",INDEX(I.Facility.P2bIDNumber,2526))</f>
        <v/>
      </c>
      <c r="G12538" s="51"/>
      <c r="H12538" s="46" t="str">
        <f>IF(AND(I.Developer.P2b=TRUE,I.Facility.P2bFacilityCount&gt;=2526,F12538=""),"Incomplete","Complete")</f>
        <v>Complete</v>
      </c>
      <c r="I12538" s="48" t="s">
        <v>16903</v>
      </c>
    </row>
    <row r="12539" spans="2:9" ht="15" customHeight="1" x14ac:dyDescent="0.25">
      <c r="B12539" s="55" t="s">
        <v>281</v>
      </c>
      <c r="C12539" s="46">
        <v>2527</v>
      </c>
      <c r="D12539" s="69" t="s">
        <v>29418</v>
      </c>
      <c r="E12539" s="51"/>
      <c r="F12539" s="114" t="str">
        <f>IF(INDEX(I.Facility.P2bIDNumber,2527)="","",INDEX(I.Facility.P2bIDNumber,2527))</f>
        <v/>
      </c>
      <c r="G12539" s="51"/>
      <c r="H12539" s="46" t="str">
        <f>IF(AND(I.Developer.P2b=TRUE,I.Facility.P2bFacilityCount&gt;=2527,F12539=""),"Incomplete","Complete")</f>
        <v>Complete</v>
      </c>
      <c r="I12539" s="48" t="s">
        <v>16904</v>
      </c>
    </row>
    <row r="12540" spans="2:9" ht="15" customHeight="1" x14ac:dyDescent="0.25">
      <c r="B12540" s="55" t="s">
        <v>281</v>
      </c>
      <c r="C12540" s="46">
        <v>2528</v>
      </c>
      <c r="D12540" s="69" t="s">
        <v>29418</v>
      </c>
      <c r="E12540" s="51"/>
      <c r="F12540" s="114" t="str">
        <f>IF(INDEX(I.Facility.P2bIDNumber,2528)="","",INDEX(I.Facility.P2bIDNumber,2528))</f>
        <v/>
      </c>
      <c r="G12540" s="51"/>
      <c r="H12540" s="46" t="str">
        <f>IF(AND(I.Developer.P2b=TRUE,I.Facility.P2bFacilityCount&gt;=2528,F12540=""),"Incomplete","Complete")</f>
        <v>Complete</v>
      </c>
      <c r="I12540" s="48" t="s">
        <v>16905</v>
      </c>
    </row>
    <row r="12541" spans="2:9" ht="15" customHeight="1" x14ac:dyDescent="0.25">
      <c r="B12541" s="55" t="s">
        <v>281</v>
      </c>
      <c r="C12541" s="46">
        <v>2529</v>
      </c>
      <c r="D12541" s="69" t="s">
        <v>29418</v>
      </c>
      <c r="E12541" s="51"/>
      <c r="F12541" s="114" t="str">
        <f>IF(INDEX(I.Facility.P2bIDNumber,2529)="","",INDEX(I.Facility.P2bIDNumber,2529))</f>
        <v/>
      </c>
      <c r="G12541" s="51"/>
      <c r="H12541" s="46" t="str">
        <f>IF(AND(I.Developer.P2b=TRUE,I.Facility.P2bFacilityCount&gt;=2529,F12541=""),"Incomplete","Complete")</f>
        <v>Complete</v>
      </c>
      <c r="I12541" s="48" t="s">
        <v>16906</v>
      </c>
    </row>
    <row r="12542" spans="2:9" ht="15" customHeight="1" x14ac:dyDescent="0.25">
      <c r="B12542" s="55" t="s">
        <v>281</v>
      </c>
      <c r="C12542" s="46">
        <v>2530</v>
      </c>
      <c r="D12542" s="69" t="s">
        <v>29418</v>
      </c>
      <c r="E12542" s="51"/>
      <c r="F12542" s="114" t="str">
        <f>IF(INDEX(I.Facility.P2bIDNumber,2530)="","",INDEX(I.Facility.P2bIDNumber,2530))</f>
        <v/>
      </c>
      <c r="G12542" s="51"/>
      <c r="H12542" s="46" t="str">
        <f>IF(AND(I.Developer.P2b=TRUE,I.Facility.P2bFacilityCount&gt;=2530,F12542=""),"Incomplete","Complete")</f>
        <v>Complete</v>
      </c>
      <c r="I12542" s="48" t="s">
        <v>16907</v>
      </c>
    </row>
    <row r="12543" spans="2:9" ht="15" customHeight="1" x14ac:dyDescent="0.25">
      <c r="B12543" s="55" t="s">
        <v>281</v>
      </c>
      <c r="C12543" s="46">
        <v>2531</v>
      </c>
      <c r="D12543" s="69" t="s">
        <v>29418</v>
      </c>
      <c r="E12543" s="51"/>
      <c r="F12543" s="114" t="str">
        <f>IF(INDEX(I.Facility.P2bIDNumber,2531)="","",INDEX(I.Facility.P2bIDNumber,2531))</f>
        <v/>
      </c>
      <c r="G12543" s="51"/>
      <c r="H12543" s="46" t="str">
        <f>IF(AND(I.Developer.P2b=TRUE,I.Facility.P2bFacilityCount&gt;=2531,F12543=""),"Incomplete","Complete")</f>
        <v>Complete</v>
      </c>
      <c r="I12543" s="48" t="s">
        <v>16908</v>
      </c>
    </row>
    <row r="12544" spans="2:9" ht="15" customHeight="1" x14ac:dyDescent="0.25">
      <c r="B12544" s="55" t="s">
        <v>281</v>
      </c>
      <c r="C12544" s="46">
        <v>2532</v>
      </c>
      <c r="D12544" s="69" t="s">
        <v>29418</v>
      </c>
      <c r="E12544" s="51"/>
      <c r="F12544" s="114" t="str">
        <f>IF(INDEX(I.Facility.P2bIDNumber,2532)="","",INDEX(I.Facility.P2bIDNumber,2532))</f>
        <v/>
      </c>
      <c r="G12544" s="51"/>
      <c r="H12544" s="46" t="str">
        <f>IF(AND(I.Developer.P2b=TRUE,I.Facility.P2bFacilityCount&gt;=2532,F12544=""),"Incomplete","Complete")</f>
        <v>Complete</v>
      </c>
      <c r="I12544" s="48" t="s">
        <v>16909</v>
      </c>
    </row>
    <row r="12545" spans="2:9" ht="15" customHeight="1" x14ac:dyDescent="0.25">
      <c r="B12545" s="55" t="s">
        <v>281</v>
      </c>
      <c r="C12545" s="46">
        <v>2533</v>
      </c>
      <c r="D12545" s="69" t="s">
        <v>29418</v>
      </c>
      <c r="E12545" s="51"/>
      <c r="F12545" s="114" t="str">
        <f>IF(INDEX(I.Facility.P2bIDNumber,2533)="","",INDEX(I.Facility.P2bIDNumber,2533))</f>
        <v/>
      </c>
      <c r="G12545" s="51"/>
      <c r="H12545" s="46" t="str">
        <f>IF(AND(I.Developer.P2b=TRUE,I.Facility.P2bFacilityCount&gt;=2533,F12545=""),"Incomplete","Complete")</f>
        <v>Complete</v>
      </c>
      <c r="I12545" s="48" t="s">
        <v>16910</v>
      </c>
    </row>
    <row r="12546" spans="2:9" ht="15" customHeight="1" x14ac:dyDescent="0.25">
      <c r="B12546" s="55" t="s">
        <v>281</v>
      </c>
      <c r="C12546" s="46">
        <v>2534</v>
      </c>
      <c r="D12546" s="69" t="s">
        <v>29418</v>
      </c>
      <c r="E12546" s="51"/>
      <c r="F12546" s="114" t="str">
        <f>IF(INDEX(I.Facility.P2bIDNumber,2534)="","",INDEX(I.Facility.P2bIDNumber,2534))</f>
        <v/>
      </c>
      <c r="G12546" s="51"/>
      <c r="H12546" s="46" t="str">
        <f>IF(AND(I.Developer.P2b=TRUE,I.Facility.P2bFacilityCount&gt;=2534,F12546=""),"Incomplete","Complete")</f>
        <v>Complete</v>
      </c>
      <c r="I12546" s="48" t="s">
        <v>16911</v>
      </c>
    </row>
    <row r="12547" spans="2:9" ht="15" customHeight="1" x14ac:dyDescent="0.25">
      <c r="B12547" s="55" t="s">
        <v>281</v>
      </c>
      <c r="C12547" s="46">
        <v>2535</v>
      </c>
      <c r="D12547" s="69" t="s">
        <v>29418</v>
      </c>
      <c r="E12547" s="51"/>
      <c r="F12547" s="114" t="str">
        <f>IF(INDEX(I.Facility.P2bIDNumber,2535)="","",INDEX(I.Facility.P2bIDNumber,2535))</f>
        <v/>
      </c>
      <c r="G12547" s="51"/>
      <c r="H12547" s="46" t="str">
        <f>IF(AND(I.Developer.P2b=TRUE,I.Facility.P2bFacilityCount&gt;=2535,F12547=""),"Incomplete","Complete")</f>
        <v>Complete</v>
      </c>
      <c r="I12547" s="48" t="s">
        <v>16912</v>
      </c>
    </row>
    <row r="12548" spans="2:9" ht="15" customHeight="1" x14ac:dyDescent="0.25">
      <c r="B12548" s="55" t="s">
        <v>281</v>
      </c>
      <c r="C12548" s="46">
        <v>2536</v>
      </c>
      <c r="D12548" s="69" t="s">
        <v>29418</v>
      </c>
      <c r="E12548" s="51"/>
      <c r="F12548" s="114" t="str">
        <f>IF(INDEX(I.Facility.P2bIDNumber,2536)="","",INDEX(I.Facility.P2bIDNumber,2536))</f>
        <v/>
      </c>
      <c r="G12548" s="51"/>
      <c r="H12548" s="46" t="str">
        <f>IF(AND(I.Developer.P2b=TRUE,I.Facility.P2bFacilityCount&gt;=2536,F12548=""),"Incomplete","Complete")</f>
        <v>Complete</v>
      </c>
      <c r="I12548" s="48" t="s">
        <v>16913</v>
      </c>
    </row>
    <row r="12549" spans="2:9" ht="15" customHeight="1" x14ac:dyDescent="0.25">
      <c r="B12549" s="55" t="s">
        <v>281</v>
      </c>
      <c r="C12549" s="46">
        <v>2537</v>
      </c>
      <c r="D12549" s="69" t="s">
        <v>29418</v>
      </c>
      <c r="E12549" s="51"/>
      <c r="F12549" s="114" t="str">
        <f>IF(INDEX(I.Facility.P2bIDNumber,2537)="","",INDEX(I.Facility.P2bIDNumber,2537))</f>
        <v/>
      </c>
      <c r="G12549" s="51"/>
      <c r="H12549" s="46" t="str">
        <f>IF(AND(I.Developer.P2b=TRUE,I.Facility.P2bFacilityCount&gt;=2537,F12549=""),"Incomplete","Complete")</f>
        <v>Complete</v>
      </c>
      <c r="I12549" s="48" t="s">
        <v>16914</v>
      </c>
    </row>
    <row r="12550" spans="2:9" ht="15" customHeight="1" x14ac:dyDescent="0.25">
      <c r="B12550" s="55" t="s">
        <v>281</v>
      </c>
      <c r="C12550" s="46">
        <v>2538</v>
      </c>
      <c r="D12550" s="69" t="s">
        <v>29418</v>
      </c>
      <c r="E12550" s="51"/>
      <c r="F12550" s="114" t="str">
        <f>IF(INDEX(I.Facility.P2bIDNumber,2538)="","",INDEX(I.Facility.P2bIDNumber,2538))</f>
        <v/>
      </c>
      <c r="G12550" s="51"/>
      <c r="H12550" s="46" t="str">
        <f>IF(AND(I.Developer.P2b=TRUE,I.Facility.P2bFacilityCount&gt;=2538,F12550=""),"Incomplete","Complete")</f>
        <v>Complete</v>
      </c>
      <c r="I12550" s="48" t="s">
        <v>16915</v>
      </c>
    </row>
    <row r="12551" spans="2:9" ht="15" customHeight="1" x14ac:dyDescent="0.25">
      <c r="B12551" s="55" t="s">
        <v>281</v>
      </c>
      <c r="C12551" s="46">
        <v>2539</v>
      </c>
      <c r="D12551" s="69" t="s">
        <v>29418</v>
      </c>
      <c r="E12551" s="51"/>
      <c r="F12551" s="114" t="str">
        <f>IF(INDEX(I.Facility.P2bIDNumber,2539)="","",INDEX(I.Facility.P2bIDNumber,2539))</f>
        <v/>
      </c>
      <c r="G12551" s="51"/>
      <c r="H12551" s="46" t="str">
        <f>IF(AND(I.Developer.P2b=TRUE,I.Facility.P2bFacilityCount&gt;=2539,F12551=""),"Incomplete","Complete")</f>
        <v>Complete</v>
      </c>
      <c r="I12551" s="48" t="s">
        <v>16916</v>
      </c>
    </row>
    <row r="12552" spans="2:9" ht="15" customHeight="1" x14ac:dyDescent="0.25">
      <c r="B12552" s="55" t="s">
        <v>281</v>
      </c>
      <c r="C12552" s="46">
        <v>2540</v>
      </c>
      <c r="D12552" s="69" t="s">
        <v>29418</v>
      </c>
      <c r="E12552" s="51"/>
      <c r="F12552" s="114" t="str">
        <f>IF(INDEX(I.Facility.P2bIDNumber,2540)="","",INDEX(I.Facility.P2bIDNumber,2540))</f>
        <v/>
      </c>
      <c r="G12552" s="51"/>
      <c r="H12552" s="46" t="str">
        <f>IF(AND(I.Developer.P2b=TRUE,I.Facility.P2bFacilityCount&gt;=2540,F12552=""),"Incomplete","Complete")</f>
        <v>Complete</v>
      </c>
      <c r="I12552" s="48" t="s">
        <v>16917</v>
      </c>
    </row>
    <row r="12553" spans="2:9" ht="15" customHeight="1" x14ac:dyDescent="0.25">
      <c r="B12553" s="55" t="s">
        <v>281</v>
      </c>
      <c r="C12553" s="46">
        <v>2541</v>
      </c>
      <c r="D12553" s="69" t="s">
        <v>29418</v>
      </c>
      <c r="E12553" s="51"/>
      <c r="F12553" s="114" t="str">
        <f>IF(INDEX(I.Facility.P2bIDNumber,2541)="","",INDEX(I.Facility.P2bIDNumber,2541))</f>
        <v/>
      </c>
      <c r="G12553" s="51"/>
      <c r="H12553" s="46" t="str">
        <f>IF(AND(I.Developer.P2b=TRUE,I.Facility.P2bFacilityCount&gt;=2541,F12553=""),"Incomplete","Complete")</f>
        <v>Complete</v>
      </c>
      <c r="I12553" s="48" t="s">
        <v>16918</v>
      </c>
    </row>
    <row r="12554" spans="2:9" ht="15" customHeight="1" x14ac:dyDescent="0.25">
      <c r="B12554" s="55" t="s">
        <v>281</v>
      </c>
      <c r="C12554" s="46">
        <v>2542</v>
      </c>
      <c r="D12554" s="69" t="s">
        <v>29418</v>
      </c>
      <c r="E12554" s="51"/>
      <c r="F12554" s="114" t="str">
        <f>IF(INDEX(I.Facility.P2bIDNumber,2542)="","",INDEX(I.Facility.P2bIDNumber,2542))</f>
        <v/>
      </c>
      <c r="G12554" s="51"/>
      <c r="H12554" s="46" t="str">
        <f>IF(AND(I.Developer.P2b=TRUE,I.Facility.P2bFacilityCount&gt;=2542,F12554=""),"Incomplete","Complete")</f>
        <v>Complete</v>
      </c>
      <c r="I12554" s="48" t="s">
        <v>16919</v>
      </c>
    </row>
    <row r="12555" spans="2:9" ht="15" customHeight="1" x14ac:dyDescent="0.25">
      <c r="B12555" s="55" t="s">
        <v>281</v>
      </c>
      <c r="C12555" s="46">
        <v>2543</v>
      </c>
      <c r="D12555" s="69" t="s">
        <v>29418</v>
      </c>
      <c r="E12555" s="51"/>
      <c r="F12555" s="114" t="str">
        <f>IF(INDEX(I.Facility.P2bIDNumber,2543)="","",INDEX(I.Facility.P2bIDNumber,2543))</f>
        <v/>
      </c>
      <c r="G12555" s="51"/>
      <c r="H12555" s="46" t="str">
        <f>IF(AND(I.Developer.P2b=TRUE,I.Facility.P2bFacilityCount&gt;=2543,F12555=""),"Incomplete","Complete")</f>
        <v>Complete</v>
      </c>
      <c r="I12555" s="48" t="s">
        <v>16920</v>
      </c>
    </row>
    <row r="12556" spans="2:9" ht="15" customHeight="1" x14ac:dyDescent="0.25">
      <c r="B12556" s="55" t="s">
        <v>281</v>
      </c>
      <c r="C12556" s="46">
        <v>2544</v>
      </c>
      <c r="D12556" s="69" t="s">
        <v>29418</v>
      </c>
      <c r="E12556" s="51"/>
      <c r="F12556" s="114" t="str">
        <f>IF(INDEX(I.Facility.P2bIDNumber,2544)="","",INDEX(I.Facility.P2bIDNumber,2544))</f>
        <v/>
      </c>
      <c r="G12556" s="51"/>
      <c r="H12556" s="46" t="str">
        <f>IF(AND(I.Developer.P2b=TRUE,I.Facility.P2bFacilityCount&gt;=2544,F12556=""),"Incomplete","Complete")</f>
        <v>Complete</v>
      </c>
      <c r="I12556" s="48" t="s">
        <v>16921</v>
      </c>
    </row>
    <row r="12557" spans="2:9" ht="15" customHeight="1" x14ac:dyDescent="0.25">
      <c r="B12557" s="55" t="s">
        <v>281</v>
      </c>
      <c r="C12557" s="46">
        <v>2545</v>
      </c>
      <c r="D12557" s="69" t="s">
        <v>29418</v>
      </c>
      <c r="E12557" s="51"/>
      <c r="F12557" s="114" t="str">
        <f>IF(INDEX(I.Facility.P2bIDNumber,2545)="","",INDEX(I.Facility.P2bIDNumber,2545))</f>
        <v/>
      </c>
      <c r="G12557" s="51"/>
      <c r="H12557" s="46" t="str">
        <f>IF(AND(I.Developer.P2b=TRUE,I.Facility.P2bFacilityCount&gt;=2545,F12557=""),"Incomplete","Complete")</f>
        <v>Complete</v>
      </c>
      <c r="I12557" s="48" t="s">
        <v>16922</v>
      </c>
    </row>
    <row r="12558" spans="2:9" ht="15" customHeight="1" x14ac:dyDescent="0.25">
      <c r="B12558" s="55" t="s">
        <v>281</v>
      </c>
      <c r="C12558" s="46">
        <v>2546</v>
      </c>
      <c r="D12558" s="69" t="s">
        <v>29418</v>
      </c>
      <c r="E12558" s="51"/>
      <c r="F12558" s="114" t="str">
        <f>IF(INDEX(I.Facility.P2bIDNumber,2546)="","",INDEX(I.Facility.P2bIDNumber,2546))</f>
        <v/>
      </c>
      <c r="G12558" s="51"/>
      <c r="H12558" s="46" t="str">
        <f>IF(AND(I.Developer.P2b=TRUE,I.Facility.P2bFacilityCount&gt;=2546,F12558=""),"Incomplete","Complete")</f>
        <v>Complete</v>
      </c>
      <c r="I12558" s="48" t="s">
        <v>16923</v>
      </c>
    </row>
    <row r="12559" spans="2:9" ht="15" customHeight="1" x14ac:dyDescent="0.25">
      <c r="B12559" s="55" t="s">
        <v>281</v>
      </c>
      <c r="C12559" s="46">
        <v>2547</v>
      </c>
      <c r="D12559" s="69" t="s">
        <v>29418</v>
      </c>
      <c r="E12559" s="51"/>
      <c r="F12559" s="114" t="str">
        <f>IF(INDEX(I.Facility.P2bIDNumber,2547)="","",INDEX(I.Facility.P2bIDNumber,2547))</f>
        <v/>
      </c>
      <c r="G12559" s="51"/>
      <c r="H12559" s="46" t="str">
        <f>IF(AND(I.Developer.P2b=TRUE,I.Facility.P2bFacilityCount&gt;=2547,F12559=""),"Incomplete","Complete")</f>
        <v>Complete</v>
      </c>
      <c r="I12559" s="48" t="s">
        <v>16924</v>
      </c>
    </row>
    <row r="12560" spans="2:9" ht="15" customHeight="1" x14ac:dyDescent="0.25">
      <c r="B12560" s="55" t="s">
        <v>281</v>
      </c>
      <c r="C12560" s="46">
        <v>2548</v>
      </c>
      <c r="D12560" s="69" t="s">
        <v>29418</v>
      </c>
      <c r="E12560" s="51"/>
      <c r="F12560" s="114" t="str">
        <f>IF(INDEX(I.Facility.P2bIDNumber,2548)="","",INDEX(I.Facility.P2bIDNumber,2548))</f>
        <v/>
      </c>
      <c r="G12560" s="51"/>
      <c r="H12560" s="46" t="str">
        <f>IF(AND(I.Developer.P2b=TRUE,I.Facility.P2bFacilityCount&gt;=2548,F12560=""),"Incomplete","Complete")</f>
        <v>Complete</v>
      </c>
      <c r="I12560" s="48" t="s">
        <v>16925</v>
      </c>
    </row>
    <row r="12561" spans="2:9" ht="15" customHeight="1" x14ac:dyDescent="0.25">
      <c r="B12561" s="55" t="s">
        <v>281</v>
      </c>
      <c r="C12561" s="46">
        <v>2549</v>
      </c>
      <c r="D12561" s="69" t="s">
        <v>29418</v>
      </c>
      <c r="E12561" s="51"/>
      <c r="F12561" s="114" t="str">
        <f>IF(INDEX(I.Facility.P2bIDNumber,2549)="","",INDEX(I.Facility.P2bIDNumber,2549))</f>
        <v/>
      </c>
      <c r="G12561" s="51"/>
      <c r="H12561" s="46" t="str">
        <f>IF(AND(I.Developer.P2b=TRUE,I.Facility.P2bFacilityCount&gt;=2549,F12561=""),"Incomplete","Complete")</f>
        <v>Complete</v>
      </c>
      <c r="I12561" s="48" t="s">
        <v>16926</v>
      </c>
    </row>
    <row r="12562" spans="2:9" ht="15" customHeight="1" x14ac:dyDescent="0.25">
      <c r="B12562" s="55" t="s">
        <v>281</v>
      </c>
      <c r="C12562" s="46">
        <v>2550</v>
      </c>
      <c r="D12562" s="69" t="s">
        <v>29418</v>
      </c>
      <c r="E12562" s="51"/>
      <c r="F12562" s="114" t="str">
        <f>IF(INDEX(I.Facility.P2bIDNumber,2550)="","",INDEX(I.Facility.P2bIDNumber,2550))</f>
        <v/>
      </c>
      <c r="G12562" s="51"/>
      <c r="H12562" s="46" t="str">
        <f>IF(AND(I.Developer.P2b=TRUE,I.Facility.P2bFacilityCount&gt;=2550,F12562=""),"Incomplete","Complete")</f>
        <v>Complete</v>
      </c>
      <c r="I12562" s="48" t="s">
        <v>16927</v>
      </c>
    </row>
    <row r="12563" spans="2:9" ht="15" customHeight="1" x14ac:dyDescent="0.25">
      <c r="B12563" s="55" t="s">
        <v>281</v>
      </c>
      <c r="C12563" s="46">
        <v>2551</v>
      </c>
      <c r="D12563" s="69" t="s">
        <v>29418</v>
      </c>
      <c r="E12563" s="51"/>
      <c r="F12563" s="114" t="str">
        <f>IF(INDEX(I.Facility.P2bIDNumber,2551)="","",INDEX(I.Facility.P2bIDNumber,2551))</f>
        <v/>
      </c>
      <c r="G12563" s="51"/>
      <c r="H12563" s="46" t="str">
        <f>IF(AND(I.Developer.P2b=TRUE,I.Facility.P2bFacilityCount&gt;=2551,F12563=""),"Incomplete","Complete")</f>
        <v>Complete</v>
      </c>
      <c r="I12563" s="48" t="s">
        <v>16928</v>
      </c>
    </row>
    <row r="12564" spans="2:9" ht="15" customHeight="1" x14ac:dyDescent="0.25">
      <c r="B12564" s="55" t="s">
        <v>281</v>
      </c>
      <c r="C12564" s="46">
        <v>2552</v>
      </c>
      <c r="D12564" s="69" t="s">
        <v>29418</v>
      </c>
      <c r="E12564" s="51"/>
      <c r="F12564" s="114" t="str">
        <f>IF(INDEX(I.Facility.P2bIDNumber,2552)="","",INDEX(I.Facility.P2bIDNumber,2552))</f>
        <v/>
      </c>
      <c r="G12564" s="51"/>
      <c r="H12564" s="46" t="str">
        <f>IF(AND(I.Developer.P2b=TRUE,I.Facility.P2bFacilityCount&gt;=2552,F12564=""),"Incomplete","Complete")</f>
        <v>Complete</v>
      </c>
      <c r="I12564" s="48" t="s">
        <v>16929</v>
      </c>
    </row>
    <row r="12565" spans="2:9" ht="15" customHeight="1" x14ac:dyDescent="0.25">
      <c r="B12565" s="55" t="s">
        <v>281</v>
      </c>
      <c r="C12565" s="46">
        <v>2553</v>
      </c>
      <c r="D12565" s="69" t="s">
        <v>29418</v>
      </c>
      <c r="E12565" s="51"/>
      <c r="F12565" s="114" t="str">
        <f>IF(INDEX(I.Facility.P2bIDNumber,2553)="","",INDEX(I.Facility.P2bIDNumber,2553))</f>
        <v/>
      </c>
      <c r="G12565" s="51"/>
      <c r="H12565" s="46" t="str">
        <f>IF(AND(I.Developer.P2b=TRUE,I.Facility.P2bFacilityCount&gt;=2553,F12565=""),"Incomplete","Complete")</f>
        <v>Complete</v>
      </c>
      <c r="I12565" s="48" t="s">
        <v>16930</v>
      </c>
    </row>
    <row r="12566" spans="2:9" ht="15" customHeight="1" x14ac:dyDescent="0.25">
      <c r="B12566" s="55" t="s">
        <v>281</v>
      </c>
      <c r="C12566" s="46">
        <v>2554</v>
      </c>
      <c r="D12566" s="69" t="s">
        <v>29418</v>
      </c>
      <c r="E12566" s="51"/>
      <c r="F12566" s="114" t="str">
        <f>IF(INDEX(I.Facility.P2bIDNumber,2554)="","",INDEX(I.Facility.P2bIDNumber,2554))</f>
        <v/>
      </c>
      <c r="G12566" s="51"/>
      <c r="H12566" s="46" t="str">
        <f>IF(AND(I.Developer.P2b=TRUE,I.Facility.P2bFacilityCount&gt;=2554,F12566=""),"Incomplete","Complete")</f>
        <v>Complete</v>
      </c>
      <c r="I12566" s="48" t="s">
        <v>16931</v>
      </c>
    </row>
    <row r="12567" spans="2:9" ht="15" customHeight="1" x14ac:dyDescent="0.25">
      <c r="B12567" s="55" t="s">
        <v>281</v>
      </c>
      <c r="C12567" s="46">
        <v>2555</v>
      </c>
      <c r="D12567" s="69" t="s">
        <v>29418</v>
      </c>
      <c r="E12567" s="51"/>
      <c r="F12567" s="114" t="str">
        <f>IF(INDEX(I.Facility.P2bIDNumber,2555)="","",INDEX(I.Facility.P2bIDNumber,2555))</f>
        <v/>
      </c>
      <c r="G12567" s="51"/>
      <c r="H12567" s="46" t="str">
        <f>IF(AND(I.Developer.P2b=TRUE,I.Facility.P2bFacilityCount&gt;=2555,F12567=""),"Incomplete","Complete")</f>
        <v>Complete</v>
      </c>
      <c r="I12567" s="48" t="s">
        <v>16932</v>
      </c>
    </row>
    <row r="12568" spans="2:9" ht="15" customHeight="1" x14ac:dyDescent="0.25">
      <c r="B12568" s="55" t="s">
        <v>281</v>
      </c>
      <c r="C12568" s="46">
        <v>2556</v>
      </c>
      <c r="D12568" s="69" t="s">
        <v>29418</v>
      </c>
      <c r="E12568" s="51"/>
      <c r="F12568" s="114" t="str">
        <f>IF(INDEX(I.Facility.P2bIDNumber,2556)="","",INDEX(I.Facility.P2bIDNumber,2556))</f>
        <v/>
      </c>
      <c r="G12568" s="51"/>
      <c r="H12568" s="46" t="str">
        <f>IF(AND(I.Developer.P2b=TRUE,I.Facility.P2bFacilityCount&gt;=2556,F12568=""),"Incomplete","Complete")</f>
        <v>Complete</v>
      </c>
      <c r="I12568" s="48" t="s">
        <v>16933</v>
      </c>
    </row>
    <row r="12569" spans="2:9" ht="15" customHeight="1" x14ac:dyDescent="0.25">
      <c r="B12569" s="55" t="s">
        <v>281</v>
      </c>
      <c r="C12569" s="46">
        <v>2557</v>
      </c>
      <c r="D12569" s="69" t="s">
        <v>29418</v>
      </c>
      <c r="E12569" s="51"/>
      <c r="F12569" s="114" t="str">
        <f>IF(INDEX(I.Facility.P2bIDNumber,2557)="","",INDEX(I.Facility.P2bIDNumber,2557))</f>
        <v/>
      </c>
      <c r="G12569" s="51"/>
      <c r="H12569" s="46" t="str">
        <f>IF(AND(I.Developer.P2b=TRUE,I.Facility.P2bFacilityCount&gt;=2557,F12569=""),"Incomplete","Complete")</f>
        <v>Complete</v>
      </c>
      <c r="I12569" s="48" t="s">
        <v>16934</v>
      </c>
    </row>
    <row r="12570" spans="2:9" ht="15" customHeight="1" x14ac:dyDescent="0.25">
      <c r="B12570" s="55" t="s">
        <v>281</v>
      </c>
      <c r="C12570" s="46">
        <v>2558</v>
      </c>
      <c r="D12570" s="69" t="s">
        <v>29418</v>
      </c>
      <c r="E12570" s="51"/>
      <c r="F12570" s="114" t="str">
        <f>IF(INDEX(I.Facility.P2bIDNumber,2558)="","",INDEX(I.Facility.P2bIDNumber,2558))</f>
        <v/>
      </c>
      <c r="G12570" s="51"/>
      <c r="H12570" s="46" t="str">
        <f>IF(AND(I.Developer.P2b=TRUE,I.Facility.P2bFacilityCount&gt;=2558,F12570=""),"Incomplete","Complete")</f>
        <v>Complete</v>
      </c>
      <c r="I12570" s="48" t="s">
        <v>16935</v>
      </c>
    </row>
    <row r="12571" spans="2:9" ht="15" customHeight="1" x14ac:dyDescent="0.25">
      <c r="B12571" s="55" t="s">
        <v>281</v>
      </c>
      <c r="C12571" s="46">
        <v>2559</v>
      </c>
      <c r="D12571" s="69" t="s">
        <v>29418</v>
      </c>
      <c r="E12571" s="51"/>
      <c r="F12571" s="114" t="str">
        <f>IF(INDEX(I.Facility.P2bIDNumber,2559)="","",INDEX(I.Facility.P2bIDNumber,2559))</f>
        <v/>
      </c>
      <c r="G12571" s="51"/>
      <c r="H12571" s="46" t="str">
        <f>IF(AND(I.Developer.P2b=TRUE,I.Facility.P2bFacilityCount&gt;=2559,F12571=""),"Incomplete","Complete")</f>
        <v>Complete</v>
      </c>
      <c r="I12571" s="48" t="s">
        <v>16936</v>
      </c>
    </row>
    <row r="12572" spans="2:9" ht="15" customHeight="1" x14ac:dyDescent="0.25">
      <c r="B12572" s="55" t="s">
        <v>281</v>
      </c>
      <c r="C12572" s="46">
        <v>2560</v>
      </c>
      <c r="D12572" s="69" t="s">
        <v>29418</v>
      </c>
      <c r="E12572" s="51"/>
      <c r="F12572" s="114" t="str">
        <f>IF(INDEX(I.Facility.P2bIDNumber,2560)="","",INDEX(I.Facility.P2bIDNumber,2560))</f>
        <v/>
      </c>
      <c r="G12572" s="51"/>
      <c r="H12572" s="46" t="str">
        <f>IF(AND(I.Developer.P2b=TRUE,I.Facility.P2bFacilityCount&gt;=2560,F12572=""),"Incomplete","Complete")</f>
        <v>Complete</v>
      </c>
      <c r="I12572" s="48" t="s">
        <v>16937</v>
      </c>
    </row>
    <row r="12573" spans="2:9" ht="15" customHeight="1" x14ac:dyDescent="0.25">
      <c r="B12573" s="55" t="s">
        <v>281</v>
      </c>
      <c r="C12573" s="46">
        <v>2561</v>
      </c>
      <c r="D12573" s="69" t="s">
        <v>29418</v>
      </c>
      <c r="E12573" s="51"/>
      <c r="F12573" s="114" t="str">
        <f>IF(INDEX(I.Facility.P2bIDNumber,2561)="","",INDEX(I.Facility.P2bIDNumber,2561))</f>
        <v/>
      </c>
      <c r="G12573" s="51"/>
      <c r="H12573" s="46" t="str">
        <f>IF(AND(I.Developer.P2b=TRUE,I.Facility.P2bFacilityCount&gt;=2561,F12573=""),"Incomplete","Complete")</f>
        <v>Complete</v>
      </c>
      <c r="I12573" s="48" t="s">
        <v>16938</v>
      </c>
    </row>
    <row r="12574" spans="2:9" ht="15" customHeight="1" x14ac:dyDescent="0.25">
      <c r="B12574" s="55" t="s">
        <v>281</v>
      </c>
      <c r="C12574" s="46">
        <v>2562</v>
      </c>
      <c r="D12574" s="69" t="s">
        <v>29418</v>
      </c>
      <c r="E12574" s="51"/>
      <c r="F12574" s="114" t="str">
        <f>IF(INDEX(I.Facility.P2bIDNumber,2562)="","",INDEX(I.Facility.P2bIDNumber,2562))</f>
        <v/>
      </c>
      <c r="G12574" s="51"/>
      <c r="H12574" s="46" t="str">
        <f>IF(AND(I.Developer.P2b=TRUE,I.Facility.P2bFacilityCount&gt;=2562,F12574=""),"Incomplete","Complete")</f>
        <v>Complete</v>
      </c>
      <c r="I12574" s="48" t="s">
        <v>16939</v>
      </c>
    </row>
    <row r="12575" spans="2:9" ht="15" customHeight="1" x14ac:dyDescent="0.25">
      <c r="B12575" s="55" t="s">
        <v>281</v>
      </c>
      <c r="C12575" s="46">
        <v>2563</v>
      </c>
      <c r="D12575" s="69" t="s">
        <v>29418</v>
      </c>
      <c r="E12575" s="51"/>
      <c r="F12575" s="114" t="str">
        <f>IF(INDEX(I.Facility.P2bIDNumber,2563)="","",INDEX(I.Facility.P2bIDNumber,2563))</f>
        <v/>
      </c>
      <c r="G12575" s="51"/>
      <c r="H12575" s="46" t="str">
        <f>IF(AND(I.Developer.P2b=TRUE,I.Facility.P2bFacilityCount&gt;=2563,F12575=""),"Incomplete","Complete")</f>
        <v>Complete</v>
      </c>
      <c r="I12575" s="48" t="s">
        <v>16940</v>
      </c>
    </row>
    <row r="12576" spans="2:9" ht="15" customHeight="1" x14ac:dyDescent="0.25">
      <c r="B12576" s="55" t="s">
        <v>281</v>
      </c>
      <c r="C12576" s="46">
        <v>2564</v>
      </c>
      <c r="D12576" s="69" t="s">
        <v>29418</v>
      </c>
      <c r="E12576" s="51"/>
      <c r="F12576" s="114" t="str">
        <f>IF(INDEX(I.Facility.P2bIDNumber,2564)="","",INDEX(I.Facility.P2bIDNumber,2564))</f>
        <v/>
      </c>
      <c r="G12576" s="51"/>
      <c r="H12576" s="46" t="str">
        <f>IF(AND(I.Developer.P2b=TRUE,I.Facility.P2bFacilityCount&gt;=2564,F12576=""),"Incomplete","Complete")</f>
        <v>Complete</v>
      </c>
      <c r="I12576" s="48" t="s">
        <v>16941</v>
      </c>
    </row>
    <row r="12577" spans="2:9" ht="15" customHeight="1" x14ac:dyDescent="0.25">
      <c r="B12577" s="55" t="s">
        <v>281</v>
      </c>
      <c r="C12577" s="46">
        <v>2565</v>
      </c>
      <c r="D12577" s="69" t="s">
        <v>29418</v>
      </c>
      <c r="E12577" s="51"/>
      <c r="F12577" s="114" t="str">
        <f>IF(INDEX(I.Facility.P2bIDNumber,2565)="","",INDEX(I.Facility.P2bIDNumber,2565))</f>
        <v/>
      </c>
      <c r="G12577" s="51"/>
      <c r="H12577" s="46" t="str">
        <f>IF(AND(I.Developer.P2b=TRUE,I.Facility.P2bFacilityCount&gt;=2565,F12577=""),"Incomplete","Complete")</f>
        <v>Complete</v>
      </c>
      <c r="I12577" s="48" t="s">
        <v>16942</v>
      </c>
    </row>
    <row r="12578" spans="2:9" ht="15" customHeight="1" x14ac:dyDescent="0.25">
      <c r="B12578" s="55" t="s">
        <v>281</v>
      </c>
      <c r="C12578" s="46">
        <v>2566</v>
      </c>
      <c r="D12578" s="69" t="s">
        <v>29418</v>
      </c>
      <c r="E12578" s="51"/>
      <c r="F12578" s="114" t="str">
        <f>IF(INDEX(I.Facility.P2bIDNumber,2566)="","",INDEX(I.Facility.P2bIDNumber,2566))</f>
        <v/>
      </c>
      <c r="G12578" s="51"/>
      <c r="H12578" s="46" t="str">
        <f>IF(AND(I.Developer.P2b=TRUE,I.Facility.P2bFacilityCount&gt;=2566,F12578=""),"Incomplete","Complete")</f>
        <v>Complete</v>
      </c>
      <c r="I12578" s="48" t="s">
        <v>16943</v>
      </c>
    </row>
    <row r="12579" spans="2:9" ht="15" customHeight="1" x14ac:dyDescent="0.25">
      <c r="B12579" s="55" t="s">
        <v>281</v>
      </c>
      <c r="C12579" s="46">
        <v>2567</v>
      </c>
      <c r="D12579" s="69" t="s">
        <v>29418</v>
      </c>
      <c r="E12579" s="51"/>
      <c r="F12579" s="114" t="str">
        <f>IF(INDEX(I.Facility.P2bIDNumber,2567)="","",INDEX(I.Facility.P2bIDNumber,2567))</f>
        <v/>
      </c>
      <c r="G12579" s="51"/>
      <c r="H12579" s="46" t="str">
        <f>IF(AND(I.Developer.P2b=TRUE,I.Facility.P2bFacilityCount&gt;=2567,F12579=""),"Incomplete","Complete")</f>
        <v>Complete</v>
      </c>
      <c r="I12579" s="48" t="s">
        <v>16944</v>
      </c>
    </row>
    <row r="12580" spans="2:9" ht="15" customHeight="1" x14ac:dyDescent="0.25">
      <c r="B12580" s="55" t="s">
        <v>281</v>
      </c>
      <c r="C12580" s="46">
        <v>2568</v>
      </c>
      <c r="D12580" s="69" t="s">
        <v>29418</v>
      </c>
      <c r="E12580" s="51"/>
      <c r="F12580" s="114" t="str">
        <f>IF(INDEX(I.Facility.P2bIDNumber,2568)="","",INDEX(I.Facility.P2bIDNumber,2568))</f>
        <v/>
      </c>
      <c r="G12580" s="51"/>
      <c r="H12580" s="46" t="str">
        <f>IF(AND(I.Developer.P2b=TRUE,I.Facility.P2bFacilityCount&gt;=2568,F12580=""),"Incomplete","Complete")</f>
        <v>Complete</v>
      </c>
      <c r="I12580" s="48" t="s">
        <v>16945</v>
      </c>
    </row>
    <row r="12581" spans="2:9" ht="15" customHeight="1" x14ac:dyDescent="0.25">
      <c r="B12581" s="55" t="s">
        <v>281</v>
      </c>
      <c r="C12581" s="46">
        <v>2569</v>
      </c>
      <c r="D12581" s="69" t="s">
        <v>29418</v>
      </c>
      <c r="E12581" s="51"/>
      <c r="F12581" s="114" t="str">
        <f>IF(INDEX(I.Facility.P2bIDNumber,2569)="","",INDEX(I.Facility.P2bIDNumber,2569))</f>
        <v/>
      </c>
      <c r="G12581" s="51"/>
      <c r="H12581" s="46" t="str">
        <f>IF(AND(I.Developer.P2b=TRUE,I.Facility.P2bFacilityCount&gt;=2569,F12581=""),"Incomplete","Complete")</f>
        <v>Complete</v>
      </c>
      <c r="I12581" s="48" t="s">
        <v>16946</v>
      </c>
    </row>
    <row r="12582" spans="2:9" ht="15" customHeight="1" x14ac:dyDescent="0.25">
      <c r="B12582" s="55" t="s">
        <v>281</v>
      </c>
      <c r="C12582" s="46">
        <v>2570</v>
      </c>
      <c r="D12582" s="69" t="s">
        <v>29418</v>
      </c>
      <c r="E12582" s="51"/>
      <c r="F12582" s="114" t="str">
        <f>IF(INDEX(I.Facility.P2bIDNumber,2570)="","",INDEX(I.Facility.P2bIDNumber,2570))</f>
        <v/>
      </c>
      <c r="G12582" s="51"/>
      <c r="H12582" s="46" t="str">
        <f>IF(AND(I.Developer.P2b=TRUE,I.Facility.P2bFacilityCount&gt;=2570,F12582=""),"Incomplete","Complete")</f>
        <v>Complete</v>
      </c>
      <c r="I12582" s="48" t="s">
        <v>16947</v>
      </c>
    </row>
    <row r="12583" spans="2:9" ht="15" customHeight="1" x14ac:dyDescent="0.25">
      <c r="B12583" s="55" t="s">
        <v>281</v>
      </c>
      <c r="C12583" s="46">
        <v>2571</v>
      </c>
      <c r="D12583" s="69" t="s">
        <v>29418</v>
      </c>
      <c r="E12583" s="51"/>
      <c r="F12583" s="114" t="str">
        <f>IF(INDEX(I.Facility.P2bIDNumber,2571)="","",INDEX(I.Facility.P2bIDNumber,2571))</f>
        <v/>
      </c>
      <c r="G12583" s="51"/>
      <c r="H12583" s="46" t="str">
        <f>IF(AND(I.Developer.P2b=TRUE,I.Facility.P2bFacilityCount&gt;=2571,F12583=""),"Incomplete","Complete")</f>
        <v>Complete</v>
      </c>
      <c r="I12583" s="48" t="s">
        <v>16948</v>
      </c>
    </row>
    <row r="12584" spans="2:9" ht="15" customHeight="1" x14ac:dyDescent="0.25">
      <c r="B12584" s="55" t="s">
        <v>281</v>
      </c>
      <c r="C12584" s="46">
        <v>2572</v>
      </c>
      <c r="D12584" s="69" t="s">
        <v>29418</v>
      </c>
      <c r="E12584" s="51"/>
      <c r="F12584" s="114" t="str">
        <f>IF(INDEX(I.Facility.P2bIDNumber,2572)="","",INDEX(I.Facility.P2bIDNumber,2572))</f>
        <v/>
      </c>
      <c r="G12584" s="51"/>
      <c r="H12584" s="46" t="str">
        <f>IF(AND(I.Developer.P2b=TRUE,I.Facility.P2bFacilityCount&gt;=2572,F12584=""),"Incomplete","Complete")</f>
        <v>Complete</v>
      </c>
      <c r="I12584" s="48" t="s">
        <v>16949</v>
      </c>
    </row>
    <row r="12585" spans="2:9" ht="15" customHeight="1" x14ac:dyDescent="0.25">
      <c r="B12585" s="55" t="s">
        <v>281</v>
      </c>
      <c r="C12585" s="46">
        <v>2573</v>
      </c>
      <c r="D12585" s="69" t="s">
        <v>29418</v>
      </c>
      <c r="E12585" s="51"/>
      <c r="F12585" s="114" t="str">
        <f>IF(INDEX(I.Facility.P2bIDNumber,2573)="","",INDEX(I.Facility.P2bIDNumber,2573))</f>
        <v/>
      </c>
      <c r="G12585" s="51"/>
      <c r="H12585" s="46" t="str">
        <f>IF(AND(I.Developer.P2b=TRUE,I.Facility.P2bFacilityCount&gt;=2573,F12585=""),"Incomplete","Complete")</f>
        <v>Complete</v>
      </c>
      <c r="I12585" s="48" t="s">
        <v>16950</v>
      </c>
    </row>
    <row r="12586" spans="2:9" ht="15" customHeight="1" x14ac:dyDescent="0.25">
      <c r="B12586" s="55" t="s">
        <v>281</v>
      </c>
      <c r="C12586" s="46">
        <v>2574</v>
      </c>
      <c r="D12586" s="69" t="s">
        <v>29418</v>
      </c>
      <c r="E12586" s="51"/>
      <c r="F12586" s="114" t="str">
        <f>IF(INDEX(I.Facility.P2bIDNumber,2574)="","",INDEX(I.Facility.P2bIDNumber,2574))</f>
        <v/>
      </c>
      <c r="G12586" s="51"/>
      <c r="H12586" s="46" t="str">
        <f>IF(AND(I.Developer.P2b=TRUE,I.Facility.P2bFacilityCount&gt;=2574,F12586=""),"Incomplete","Complete")</f>
        <v>Complete</v>
      </c>
      <c r="I12586" s="48" t="s">
        <v>16951</v>
      </c>
    </row>
    <row r="12587" spans="2:9" ht="15" customHeight="1" x14ac:dyDescent="0.25">
      <c r="B12587" s="55" t="s">
        <v>281</v>
      </c>
      <c r="C12587" s="46">
        <v>2575</v>
      </c>
      <c r="D12587" s="69" t="s">
        <v>29418</v>
      </c>
      <c r="E12587" s="51"/>
      <c r="F12587" s="114" t="str">
        <f>IF(INDEX(I.Facility.P2bIDNumber,2575)="","",INDEX(I.Facility.P2bIDNumber,2575))</f>
        <v/>
      </c>
      <c r="G12587" s="51"/>
      <c r="H12587" s="46" t="str">
        <f>IF(AND(I.Developer.P2b=TRUE,I.Facility.P2bFacilityCount&gt;=2575,F12587=""),"Incomplete","Complete")</f>
        <v>Complete</v>
      </c>
      <c r="I12587" s="48" t="s">
        <v>16952</v>
      </c>
    </row>
    <row r="12588" spans="2:9" ht="15" customHeight="1" x14ac:dyDescent="0.25">
      <c r="B12588" s="55" t="s">
        <v>281</v>
      </c>
      <c r="C12588" s="46">
        <v>2576</v>
      </c>
      <c r="D12588" s="69" t="s">
        <v>29418</v>
      </c>
      <c r="E12588" s="51"/>
      <c r="F12588" s="114" t="str">
        <f>IF(INDEX(I.Facility.P2bIDNumber,2576)="","",INDEX(I.Facility.P2bIDNumber,2576))</f>
        <v/>
      </c>
      <c r="G12588" s="51"/>
      <c r="H12588" s="46" t="str">
        <f>IF(AND(I.Developer.P2b=TRUE,I.Facility.P2bFacilityCount&gt;=2576,F12588=""),"Incomplete","Complete")</f>
        <v>Complete</v>
      </c>
      <c r="I12588" s="48" t="s">
        <v>16953</v>
      </c>
    </row>
    <row r="12589" spans="2:9" ht="15" customHeight="1" x14ac:dyDescent="0.25">
      <c r="B12589" s="55" t="s">
        <v>281</v>
      </c>
      <c r="C12589" s="46">
        <v>2577</v>
      </c>
      <c r="D12589" s="69" t="s">
        <v>29418</v>
      </c>
      <c r="E12589" s="51"/>
      <c r="F12589" s="114" t="str">
        <f>IF(INDEX(I.Facility.P2bIDNumber,2577)="","",INDEX(I.Facility.P2bIDNumber,2577))</f>
        <v/>
      </c>
      <c r="G12589" s="51"/>
      <c r="H12589" s="46" t="str">
        <f>IF(AND(I.Developer.P2b=TRUE,I.Facility.P2bFacilityCount&gt;=2577,F12589=""),"Incomplete","Complete")</f>
        <v>Complete</v>
      </c>
      <c r="I12589" s="48" t="s">
        <v>16954</v>
      </c>
    </row>
    <row r="12590" spans="2:9" ht="15" customHeight="1" x14ac:dyDescent="0.25">
      <c r="B12590" s="55" t="s">
        <v>281</v>
      </c>
      <c r="C12590" s="46">
        <v>2578</v>
      </c>
      <c r="D12590" s="69" t="s">
        <v>29418</v>
      </c>
      <c r="E12590" s="51"/>
      <c r="F12590" s="114" t="str">
        <f>IF(INDEX(I.Facility.P2bIDNumber,2578)="","",INDEX(I.Facility.P2bIDNumber,2578))</f>
        <v/>
      </c>
      <c r="G12590" s="51"/>
      <c r="H12590" s="46" t="str">
        <f>IF(AND(I.Developer.P2b=TRUE,I.Facility.P2bFacilityCount&gt;=2578,F12590=""),"Incomplete","Complete")</f>
        <v>Complete</v>
      </c>
      <c r="I12590" s="48" t="s">
        <v>16955</v>
      </c>
    </row>
    <row r="12591" spans="2:9" ht="15" customHeight="1" x14ac:dyDescent="0.25">
      <c r="B12591" s="55" t="s">
        <v>281</v>
      </c>
      <c r="C12591" s="46">
        <v>2579</v>
      </c>
      <c r="D12591" s="69" t="s">
        <v>29418</v>
      </c>
      <c r="E12591" s="51"/>
      <c r="F12591" s="114" t="str">
        <f>IF(INDEX(I.Facility.P2bIDNumber,2579)="","",INDEX(I.Facility.P2bIDNumber,2579))</f>
        <v/>
      </c>
      <c r="G12591" s="51"/>
      <c r="H12591" s="46" t="str">
        <f>IF(AND(I.Developer.P2b=TRUE,I.Facility.P2bFacilityCount&gt;=2579,F12591=""),"Incomplete","Complete")</f>
        <v>Complete</v>
      </c>
      <c r="I12591" s="48" t="s">
        <v>16956</v>
      </c>
    </row>
    <row r="12592" spans="2:9" ht="15" customHeight="1" x14ac:dyDescent="0.25">
      <c r="B12592" s="55" t="s">
        <v>281</v>
      </c>
      <c r="C12592" s="46">
        <v>2580</v>
      </c>
      <c r="D12592" s="69" t="s">
        <v>29418</v>
      </c>
      <c r="E12592" s="51"/>
      <c r="F12592" s="114" t="str">
        <f>IF(INDEX(I.Facility.P2bIDNumber,2580)="","",INDEX(I.Facility.P2bIDNumber,2580))</f>
        <v/>
      </c>
      <c r="G12592" s="51"/>
      <c r="H12592" s="46" t="str">
        <f>IF(AND(I.Developer.P2b=TRUE,I.Facility.P2bFacilityCount&gt;=2580,F12592=""),"Incomplete","Complete")</f>
        <v>Complete</v>
      </c>
      <c r="I12592" s="48" t="s">
        <v>16957</v>
      </c>
    </row>
    <row r="12593" spans="2:9" ht="15" customHeight="1" x14ac:dyDescent="0.25">
      <c r="B12593" s="55" t="s">
        <v>281</v>
      </c>
      <c r="C12593" s="46">
        <v>2581</v>
      </c>
      <c r="D12593" s="69" t="s">
        <v>29418</v>
      </c>
      <c r="E12593" s="51"/>
      <c r="F12593" s="114" t="str">
        <f>IF(INDEX(I.Facility.P2bIDNumber,2581)="","",INDEX(I.Facility.P2bIDNumber,2581))</f>
        <v/>
      </c>
      <c r="G12593" s="51"/>
      <c r="H12593" s="46" t="str">
        <f>IF(AND(I.Developer.P2b=TRUE,I.Facility.P2bFacilityCount&gt;=2581,F12593=""),"Incomplete","Complete")</f>
        <v>Complete</v>
      </c>
      <c r="I12593" s="48" t="s">
        <v>16958</v>
      </c>
    </row>
    <row r="12594" spans="2:9" ht="15" customHeight="1" x14ac:dyDescent="0.25">
      <c r="B12594" s="55" t="s">
        <v>281</v>
      </c>
      <c r="C12594" s="46">
        <v>2582</v>
      </c>
      <c r="D12594" s="69" t="s">
        <v>29418</v>
      </c>
      <c r="E12594" s="51"/>
      <c r="F12594" s="114" t="str">
        <f>IF(INDEX(I.Facility.P2bIDNumber,2582)="","",INDEX(I.Facility.P2bIDNumber,2582))</f>
        <v/>
      </c>
      <c r="G12594" s="51"/>
      <c r="H12594" s="46" t="str">
        <f>IF(AND(I.Developer.P2b=TRUE,I.Facility.P2bFacilityCount&gt;=2582,F12594=""),"Incomplete","Complete")</f>
        <v>Complete</v>
      </c>
      <c r="I12594" s="48" t="s">
        <v>16959</v>
      </c>
    </row>
    <row r="12595" spans="2:9" ht="15" customHeight="1" x14ac:dyDescent="0.25">
      <c r="B12595" s="55" t="s">
        <v>281</v>
      </c>
      <c r="C12595" s="46">
        <v>2583</v>
      </c>
      <c r="D12595" s="69" t="s">
        <v>29418</v>
      </c>
      <c r="E12595" s="51"/>
      <c r="F12595" s="114" t="str">
        <f>IF(INDEX(I.Facility.P2bIDNumber,2583)="","",INDEX(I.Facility.P2bIDNumber,2583))</f>
        <v/>
      </c>
      <c r="G12595" s="51"/>
      <c r="H12595" s="46" t="str">
        <f>IF(AND(I.Developer.P2b=TRUE,I.Facility.P2bFacilityCount&gt;=2583,F12595=""),"Incomplete","Complete")</f>
        <v>Complete</v>
      </c>
      <c r="I12595" s="48" t="s">
        <v>16960</v>
      </c>
    </row>
    <row r="12596" spans="2:9" ht="15" customHeight="1" x14ac:dyDescent="0.25">
      <c r="B12596" s="55" t="s">
        <v>281</v>
      </c>
      <c r="C12596" s="46">
        <v>2584</v>
      </c>
      <c r="D12596" s="69" t="s">
        <v>29418</v>
      </c>
      <c r="E12596" s="51"/>
      <c r="F12596" s="114" t="str">
        <f>IF(INDEX(I.Facility.P2bIDNumber,2584)="","",INDEX(I.Facility.P2bIDNumber,2584))</f>
        <v/>
      </c>
      <c r="G12596" s="51"/>
      <c r="H12596" s="46" t="str">
        <f>IF(AND(I.Developer.P2b=TRUE,I.Facility.P2bFacilityCount&gt;=2584,F12596=""),"Incomplete","Complete")</f>
        <v>Complete</v>
      </c>
      <c r="I12596" s="48" t="s">
        <v>16961</v>
      </c>
    </row>
    <row r="12597" spans="2:9" ht="15" customHeight="1" x14ac:dyDescent="0.25">
      <c r="B12597" s="55" t="s">
        <v>281</v>
      </c>
      <c r="C12597" s="46">
        <v>2585</v>
      </c>
      <c r="D12597" s="69" t="s">
        <v>29418</v>
      </c>
      <c r="E12597" s="51"/>
      <c r="F12597" s="114" t="str">
        <f>IF(INDEX(I.Facility.P2bIDNumber,2585)="","",INDEX(I.Facility.P2bIDNumber,2585))</f>
        <v/>
      </c>
      <c r="G12597" s="51"/>
      <c r="H12597" s="46" t="str">
        <f>IF(AND(I.Developer.P2b=TRUE,I.Facility.P2bFacilityCount&gt;=2585,F12597=""),"Incomplete","Complete")</f>
        <v>Complete</v>
      </c>
      <c r="I12597" s="48" t="s">
        <v>16962</v>
      </c>
    </row>
    <row r="12598" spans="2:9" ht="15" customHeight="1" x14ac:dyDescent="0.25">
      <c r="B12598" s="55" t="s">
        <v>281</v>
      </c>
      <c r="C12598" s="46">
        <v>2586</v>
      </c>
      <c r="D12598" s="69" t="s">
        <v>29418</v>
      </c>
      <c r="E12598" s="51"/>
      <c r="F12598" s="114" t="str">
        <f>IF(INDEX(I.Facility.P2bIDNumber,2586)="","",INDEX(I.Facility.P2bIDNumber,2586))</f>
        <v/>
      </c>
      <c r="G12598" s="51"/>
      <c r="H12598" s="46" t="str">
        <f>IF(AND(I.Developer.P2b=TRUE,I.Facility.P2bFacilityCount&gt;=2586,F12598=""),"Incomplete","Complete")</f>
        <v>Complete</v>
      </c>
      <c r="I12598" s="48" t="s">
        <v>16963</v>
      </c>
    </row>
    <row r="12599" spans="2:9" ht="15" customHeight="1" x14ac:dyDescent="0.25">
      <c r="B12599" s="55" t="s">
        <v>281</v>
      </c>
      <c r="C12599" s="46">
        <v>2587</v>
      </c>
      <c r="D12599" s="69" t="s">
        <v>29418</v>
      </c>
      <c r="E12599" s="51"/>
      <c r="F12599" s="114" t="str">
        <f>IF(INDEX(I.Facility.P2bIDNumber,2587)="","",INDEX(I.Facility.P2bIDNumber,2587))</f>
        <v/>
      </c>
      <c r="G12599" s="51"/>
      <c r="H12599" s="46" t="str">
        <f>IF(AND(I.Developer.P2b=TRUE,I.Facility.P2bFacilityCount&gt;=2587,F12599=""),"Incomplete","Complete")</f>
        <v>Complete</v>
      </c>
      <c r="I12599" s="48" t="s">
        <v>16964</v>
      </c>
    </row>
    <row r="12600" spans="2:9" ht="15" customHeight="1" x14ac:dyDescent="0.25">
      <c r="B12600" s="55" t="s">
        <v>281</v>
      </c>
      <c r="C12600" s="46">
        <v>2588</v>
      </c>
      <c r="D12600" s="69" t="s">
        <v>29418</v>
      </c>
      <c r="E12600" s="51"/>
      <c r="F12600" s="114" t="str">
        <f>IF(INDEX(I.Facility.P2bIDNumber,2588)="","",INDEX(I.Facility.P2bIDNumber,2588))</f>
        <v/>
      </c>
      <c r="G12600" s="51"/>
      <c r="H12600" s="46" t="str">
        <f>IF(AND(I.Developer.P2b=TRUE,I.Facility.P2bFacilityCount&gt;=2588,F12600=""),"Incomplete","Complete")</f>
        <v>Complete</v>
      </c>
      <c r="I12600" s="48" t="s">
        <v>16965</v>
      </c>
    </row>
    <row r="12601" spans="2:9" ht="15" customHeight="1" x14ac:dyDescent="0.25">
      <c r="B12601" s="55" t="s">
        <v>281</v>
      </c>
      <c r="C12601" s="46">
        <v>2589</v>
      </c>
      <c r="D12601" s="69" t="s">
        <v>29418</v>
      </c>
      <c r="E12601" s="51"/>
      <c r="F12601" s="114" t="str">
        <f>IF(INDEX(I.Facility.P2bIDNumber,2589)="","",INDEX(I.Facility.P2bIDNumber,2589))</f>
        <v/>
      </c>
      <c r="G12601" s="51"/>
      <c r="H12601" s="46" t="str">
        <f>IF(AND(I.Developer.P2b=TRUE,I.Facility.P2bFacilityCount&gt;=2589,F12601=""),"Incomplete","Complete")</f>
        <v>Complete</v>
      </c>
      <c r="I12601" s="48" t="s">
        <v>16966</v>
      </c>
    </row>
    <row r="12602" spans="2:9" ht="15" customHeight="1" x14ac:dyDescent="0.25">
      <c r="B12602" s="55" t="s">
        <v>281</v>
      </c>
      <c r="C12602" s="46">
        <v>2590</v>
      </c>
      <c r="D12602" s="69" t="s">
        <v>29418</v>
      </c>
      <c r="E12602" s="51"/>
      <c r="F12602" s="114" t="str">
        <f>IF(INDEX(I.Facility.P2bIDNumber,2590)="","",INDEX(I.Facility.P2bIDNumber,2590))</f>
        <v/>
      </c>
      <c r="G12602" s="51"/>
      <c r="H12602" s="46" t="str">
        <f>IF(AND(I.Developer.P2b=TRUE,I.Facility.P2bFacilityCount&gt;=2590,F12602=""),"Incomplete","Complete")</f>
        <v>Complete</v>
      </c>
      <c r="I12602" s="48" t="s">
        <v>16967</v>
      </c>
    </row>
    <row r="12603" spans="2:9" ht="15" customHeight="1" x14ac:dyDescent="0.25">
      <c r="B12603" s="55" t="s">
        <v>281</v>
      </c>
      <c r="C12603" s="46">
        <v>2591</v>
      </c>
      <c r="D12603" s="69" t="s">
        <v>29418</v>
      </c>
      <c r="E12603" s="51"/>
      <c r="F12603" s="114" t="str">
        <f>IF(INDEX(I.Facility.P2bIDNumber,2591)="","",INDEX(I.Facility.P2bIDNumber,2591))</f>
        <v/>
      </c>
      <c r="G12603" s="51"/>
      <c r="H12603" s="46" t="str">
        <f>IF(AND(I.Developer.P2b=TRUE,I.Facility.P2bFacilityCount&gt;=2591,F12603=""),"Incomplete","Complete")</f>
        <v>Complete</v>
      </c>
      <c r="I12603" s="48" t="s">
        <v>16968</v>
      </c>
    </row>
    <row r="12604" spans="2:9" ht="15" customHeight="1" x14ac:dyDescent="0.25">
      <c r="B12604" s="55" t="s">
        <v>281</v>
      </c>
      <c r="C12604" s="46">
        <v>2592</v>
      </c>
      <c r="D12604" s="69" t="s">
        <v>29418</v>
      </c>
      <c r="E12604" s="51"/>
      <c r="F12604" s="114" t="str">
        <f>IF(INDEX(I.Facility.P2bIDNumber,2592)="","",INDEX(I.Facility.P2bIDNumber,2592))</f>
        <v/>
      </c>
      <c r="G12604" s="51"/>
      <c r="H12604" s="46" t="str">
        <f>IF(AND(I.Developer.P2b=TRUE,I.Facility.P2bFacilityCount&gt;=2592,F12604=""),"Incomplete","Complete")</f>
        <v>Complete</v>
      </c>
      <c r="I12604" s="48" t="s">
        <v>16969</v>
      </c>
    </row>
    <row r="12605" spans="2:9" ht="15" customHeight="1" x14ac:dyDescent="0.25">
      <c r="B12605" s="55" t="s">
        <v>281</v>
      </c>
      <c r="C12605" s="46">
        <v>2593</v>
      </c>
      <c r="D12605" s="69" t="s">
        <v>29418</v>
      </c>
      <c r="E12605" s="51"/>
      <c r="F12605" s="114" t="str">
        <f>IF(INDEX(I.Facility.P2bIDNumber,2593)="","",INDEX(I.Facility.P2bIDNumber,2593))</f>
        <v/>
      </c>
      <c r="G12605" s="51"/>
      <c r="H12605" s="46" t="str">
        <f>IF(AND(I.Developer.P2b=TRUE,I.Facility.P2bFacilityCount&gt;=2593,F12605=""),"Incomplete","Complete")</f>
        <v>Complete</v>
      </c>
      <c r="I12605" s="48" t="s">
        <v>16970</v>
      </c>
    </row>
    <row r="12606" spans="2:9" ht="15" customHeight="1" x14ac:dyDescent="0.25">
      <c r="B12606" s="55" t="s">
        <v>281</v>
      </c>
      <c r="C12606" s="46">
        <v>2594</v>
      </c>
      <c r="D12606" s="69" t="s">
        <v>29418</v>
      </c>
      <c r="E12606" s="51"/>
      <c r="F12606" s="114" t="str">
        <f>IF(INDEX(I.Facility.P2bIDNumber,2594)="","",INDEX(I.Facility.P2bIDNumber,2594))</f>
        <v/>
      </c>
      <c r="G12606" s="51"/>
      <c r="H12606" s="46" t="str">
        <f>IF(AND(I.Developer.P2b=TRUE,I.Facility.P2bFacilityCount&gt;=2594,F12606=""),"Incomplete","Complete")</f>
        <v>Complete</v>
      </c>
      <c r="I12606" s="48" t="s">
        <v>16971</v>
      </c>
    </row>
    <row r="12607" spans="2:9" ht="15" customHeight="1" x14ac:dyDescent="0.25">
      <c r="B12607" s="55" t="s">
        <v>281</v>
      </c>
      <c r="C12607" s="46">
        <v>2595</v>
      </c>
      <c r="D12607" s="69" t="s">
        <v>29418</v>
      </c>
      <c r="E12607" s="51"/>
      <c r="F12607" s="114" t="str">
        <f>IF(INDEX(I.Facility.P2bIDNumber,2595)="","",INDEX(I.Facility.P2bIDNumber,2595))</f>
        <v/>
      </c>
      <c r="G12607" s="51"/>
      <c r="H12607" s="46" t="str">
        <f>IF(AND(I.Developer.P2b=TRUE,I.Facility.P2bFacilityCount&gt;=2595,F12607=""),"Incomplete","Complete")</f>
        <v>Complete</v>
      </c>
      <c r="I12607" s="48" t="s">
        <v>16972</v>
      </c>
    </row>
    <row r="12608" spans="2:9" ht="15" customHeight="1" x14ac:dyDescent="0.25">
      <c r="B12608" s="55" t="s">
        <v>281</v>
      </c>
      <c r="C12608" s="46">
        <v>2596</v>
      </c>
      <c r="D12608" s="69" t="s">
        <v>29418</v>
      </c>
      <c r="E12608" s="51"/>
      <c r="F12608" s="114" t="str">
        <f>IF(INDEX(I.Facility.P2bIDNumber,2596)="","",INDEX(I.Facility.P2bIDNumber,2596))</f>
        <v/>
      </c>
      <c r="G12608" s="51"/>
      <c r="H12608" s="46" t="str">
        <f>IF(AND(I.Developer.P2b=TRUE,I.Facility.P2bFacilityCount&gt;=2596,F12608=""),"Incomplete","Complete")</f>
        <v>Complete</v>
      </c>
      <c r="I12608" s="48" t="s">
        <v>16973</v>
      </c>
    </row>
    <row r="12609" spans="2:9" ht="15" customHeight="1" x14ac:dyDescent="0.25">
      <c r="B12609" s="55" t="s">
        <v>281</v>
      </c>
      <c r="C12609" s="46">
        <v>2597</v>
      </c>
      <c r="D12609" s="69" t="s">
        <v>29418</v>
      </c>
      <c r="E12609" s="51"/>
      <c r="F12609" s="114" t="str">
        <f>IF(INDEX(I.Facility.P2bIDNumber,2597)="","",INDEX(I.Facility.P2bIDNumber,2597))</f>
        <v/>
      </c>
      <c r="G12609" s="51"/>
      <c r="H12609" s="46" t="str">
        <f>IF(AND(I.Developer.P2b=TRUE,I.Facility.P2bFacilityCount&gt;=2597,F12609=""),"Incomplete","Complete")</f>
        <v>Complete</v>
      </c>
      <c r="I12609" s="48" t="s">
        <v>16974</v>
      </c>
    </row>
    <row r="12610" spans="2:9" ht="15" customHeight="1" x14ac:dyDescent="0.25">
      <c r="B12610" s="55" t="s">
        <v>281</v>
      </c>
      <c r="C12610" s="46">
        <v>2598</v>
      </c>
      <c r="D12610" s="69" t="s">
        <v>29418</v>
      </c>
      <c r="E12610" s="51"/>
      <c r="F12610" s="114" t="str">
        <f>IF(INDEX(I.Facility.P2bIDNumber,2598)="","",INDEX(I.Facility.P2bIDNumber,2598))</f>
        <v/>
      </c>
      <c r="G12610" s="51"/>
      <c r="H12610" s="46" t="str">
        <f>IF(AND(I.Developer.P2b=TRUE,I.Facility.P2bFacilityCount&gt;=2598,F12610=""),"Incomplete","Complete")</f>
        <v>Complete</v>
      </c>
      <c r="I12610" s="48" t="s">
        <v>16975</v>
      </c>
    </row>
    <row r="12611" spans="2:9" ht="15" customHeight="1" x14ac:dyDescent="0.25">
      <c r="B12611" s="55" t="s">
        <v>281</v>
      </c>
      <c r="C12611" s="46">
        <v>2599</v>
      </c>
      <c r="D12611" s="69" t="s">
        <v>29418</v>
      </c>
      <c r="E12611" s="51"/>
      <c r="F12611" s="114" t="str">
        <f>IF(INDEX(I.Facility.P2bIDNumber,2599)="","",INDEX(I.Facility.P2bIDNumber,2599))</f>
        <v/>
      </c>
      <c r="G12611" s="51"/>
      <c r="H12611" s="46" t="str">
        <f>IF(AND(I.Developer.P2b=TRUE,I.Facility.P2bFacilityCount&gt;=2599,F12611=""),"Incomplete","Complete")</f>
        <v>Complete</v>
      </c>
      <c r="I12611" s="48" t="s">
        <v>16976</v>
      </c>
    </row>
    <row r="12612" spans="2:9" ht="15" customHeight="1" x14ac:dyDescent="0.25">
      <c r="B12612" s="55" t="s">
        <v>281</v>
      </c>
      <c r="C12612" s="46">
        <v>2600</v>
      </c>
      <c r="D12612" s="69" t="s">
        <v>29418</v>
      </c>
      <c r="E12612" s="51"/>
      <c r="F12612" s="114" t="str">
        <f>IF(INDEX(I.Facility.P2bIDNumber,2600)="","",INDEX(I.Facility.P2bIDNumber,2600))</f>
        <v/>
      </c>
      <c r="G12612" s="51"/>
      <c r="H12612" s="46" t="str">
        <f>IF(AND(I.Developer.P2b=TRUE,I.Facility.P2bFacilityCount&gt;=2600,F12612=""),"Incomplete","Complete")</f>
        <v>Complete</v>
      </c>
      <c r="I12612" s="48" t="s">
        <v>16977</v>
      </c>
    </row>
    <row r="12613" spans="2:9" ht="15" customHeight="1" x14ac:dyDescent="0.25">
      <c r="B12613" s="55" t="s">
        <v>281</v>
      </c>
      <c r="C12613" s="46">
        <v>2601</v>
      </c>
      <c r="D12613" s="69" t="s">
        <v>29418</v>
      </c>
      <c r="E12613" s="51"/>
      <c r="F12613" s="114" t="str">
        <f>IF(INDEX(I.Facility.P2bIDNumber,2601)="","",INDEX(I.Facility.P2bIDNumber,2601))</f>
        <v/>
      </c>
      <c r="G12613" s="51"/>
      <c r="H12613" s="46" t="str">
        <f>IF(AND(I.Developer.P2b=TRUE,I.Facility.P2bFacilityCount&gt;=2601,F12613=""),"Incomplete","Complete")</f>
        <v>Complete</v>
      </c>
      <c r="I12613" s="48" t="s">
        <v>16978</v>
      </c>
    </row>
    <row r="12614" spans="2:9" ht="15" customHeight="1" x14ac:dyDescent="0.25">
      <c r="B12614" s="55" t="s">
        <v>281</v>
      </c>
      <c r="C12614" s="46">
        <v>2602</v>
      </c>
      <c r="D12614" s="69" t="s">
        <v>29418</v>
      </c>
      <c r="E12614" s="51"/>
      <c r="F12614" s="114" t="str">
        <f>IF(INDEX(I.Facility.P2bIDNumber,2602)="","",INDEX(I.Facility.P2bIDNumber,2602))</f>
        <v/>
      </c>
      <c r="G12614" s="51"/>
      <c r="H12614" s="46" t="str">
        <f>IF(AND(I.Developer.P2b=TRUE,I.Facility.P2bFacilityCount&gt;=2602,F12614=""),"Incomplete","Complete")</f>
        <v>Complete</v>
      </c>
      <c r="I12614" s="48" t="s">
        <v>16979</v>
      </c>
    </row>
    <row r="12615" spans="2:9" ht="15" customHeight="1" x14ac:dyDescent="0.25">
      <c r="B12615" s="55" t="s">
        <v>281</v>
      </c>
      <c r="C12615" s="46">
        <v>2603</v>
      </c>
      <c r="D12615" s="69" t="s">
        <v>29418</v>
      </c>
      <c r="E12615" s="51"/>
      <c r="F12615" s="114" t="str">
        <f>IF(INDEX(I.Facility.P2bIDNumber,2603)="","",INDEX(I.Facility.P2bIDNumber,2603))</f>
        <v/>
      </c>
      <c r="G12615" s="51"/>
      <c r="H12615" s="46" t="str">
        <f>IF(AND(I.Developer.P2b=TRUE,I.Facility.P2bFacilityCount&gt;=2603,F12615=""),"Incomplete","Complete")</f>
        <v>Complete</v>
      </c>
      <c r="I12615" s="48" t="s">
        <v>16980</v>
      </c>
    </row>
    <row r="12616" spans="2:9" ht="15" customHeight="1" x14ac:dyDescent="0.25">
      <c r="B12616" s="55" t="s">
        <v>281</v>
      </c>
      <c r="C12616" s="46">
        <v>2604</v>
      </c>
      <c r="D12616" s="69" t="s">
        <v>29418</v>
      </c>
      <c r="E12616" s="51"/>
      <c r="F12616" s="114" t="str">
        <f>IF(INDEX(I.Facility.P2bIDNumber,2604)="","",INDEX(I.Facility.P2bIDNumber,2604))</f>
        <v/>
      </c>
      <c r="G12616" s="51"/>
      <c r="H12616" s="46" t="str">
        <f>IF(AND(I.Developer.P2b=TRUE,I.Facility.P2bFacilityCount&gt;=2604,F12616=""),"Incomplete","Complete")</f>
        <v>Complete</v>
      </c>
      <c r="I12616" s="48" t="s">
        <v>16981</v>
      </c>
    </row>
    <row r="12617" spans="2:9" ht="15" customHeight="1" x14ac:dyDescent="0.25">
      <c r="B12617" s="55" t="s">
        <v>281</v>
      </c>
      <c r="C12617" s="46">
        <v>2605</v>
      </c>
      <c r="D12617" s="69" t="s">
        <v>29418</v>
      </c>
      <c r="E12617" s="51"/>
      <c r="F12617" s="114" t="str">
        <f>IF(INDEX(I.Facility.P2bIDNumber,2605)="","",INDEX(I.Facility.P2bIDNumber,2605))</f>
        <v/>
      </c>
      <c r="G12617" s="51"/>
      <c r="H12617" s="46" t="str">
        <f>IF(AND(I.Developer.P2b=TRUE,I.Facility.P2bFacilityCount&gt;=2605,F12617=""),"Incomplete","Complete")</f>
        <v>Complete</v>
      </c>
      <c r="I12617" s="48" t="s">
        <v>16982</v>
      </c>
    </row>
    <row r="12618" spans="2:9" ht="15" customHeight="1" x14ac:dyDescent="0.25">
      <c r="B12618" s="55" t="s">
        <v>281</v>
      </c>
      <c r="C12618" s="46">
        <v>2606</v>
      </c>
      <c r="D12618" s="69" t="s">
        <v>29418</v>
      </c>
      <c r="E12618" s="51"/>
      <c r="F12618" s="114" t="str">
        <f>IF(INDEX(I.Facility.P2bIDNumber,2606)="","",INDEX(I.Facility.P2bIDNumber,2606))</f>
        <v/>
      </c>
      <c r="G12618" s="51"/>
      <c r="H12618" s="46" t="str">
        <f>IF(AND(I.Developer.P2b=TRUE,I.Facility.P2bFacilityCount&gt;=2606,F12618=""),"Incomplete","Complete")</f>
        <v>Complete</v>
      </c>
      <c r="I12618" s="48" t="s">
        <v>16983</v>
      </c>
    </row>
    <row r="12619" spans="2:9" ht="15" customHeight="1" x14ac:dyDescent="0.25">
      <c r="B12619" s="55" t="s">
        <v>281</v>
      </c>
      <c r="C12619" s="46">
        <v>2607</v>
      </c>
      <c r="D12619" s="69" t="s">
        <v>29418</v>
      </c>
      <c r="E12619" s="51"/>
      <c r="F12619" s="114" t="str">
        <f>IF(INDEX(I.Facility.P2bIDNumber,2607)="","",INDEX(I.Facility.P2bIDNumber,2607))</f>
        <v/>
      </c>
      <c r="G12619" s="51"/>
      <c r="H12619" s="46" t="str">
        <f>IF(AND(I.Developer.P2b=TRUE,I.Facility.P2bFacilityCount&gt;=2607,F12619=""),"Incomplete","Complete")</f>
        <v>Complete</v>
      </c>
      <c r="I12619" s="48" t="s">
        <v>16984</v>
      </c>
    </row>
    <row r="12620" spans="2:9" ht="15" customHeight="1" x14ac:dyDescent="0.25">
      <c r="B12620" s="55" t="s">
        <v>281</v>
      </c>
      <c r="C12620" s="46">
        <v>2608</v>
      </c>
      <c r="D12620" s="69" t="s">
        <v>29418</v>
      </c>
      <c r="E12620" s="51"/>
      <c r="F12620" s="114" t="str">
        <f>IF(INDEX(I.Facility.P2bIDNumber,2608)="","",INDEX(I.Facility.P2bIDNumber,2608))</f>
        <v/>
      </c>
      <c r="G12620" s="51"/>
      <c r="H12620" s="46" t="str">
        <f>IF(AND(I.Developer.P2b=TRUE,I.Facility.P2bFacilityCount&gt;=2608,F12620=""),"Incomplete","Complete")</f>
        <v>Complete</v>
      </c>
      <c r="I12620" s="48" t="s">
        <v>16985</v>
      </c>
    </row>
    <row r="12621" spans="2:9" ht="15" customHeight="1" x14ac:dyDescent="0.25">
      <c r="B12621" s="55" t="s">
        <v>281</v>
      </c>
      <c r="C12621" s="46">
        <v>2609</v>
      </c>
      <c r="D12621" s="69" t="s">
        <v>29418</v>
      </c>
      <c r="E12621" s="51"/>
      <c r="F12621" s="114" t="str">
        <f>IF(INDEX(I.Facility.P2bIDNumber,2609)="","",INDEX(I.Facility.P2bIDNumber,2609))</f>
        <v/>
      </c>
      <c r="G12621" s="51"/>
      <c r="H12621" s="46" t="str">
        <f>IF(AND(I.Developer.P2b=TRUE,I.Facility.P2bFacilityCount&gt;=2609,F12621=""),"Incomplete","Complete")</f>
        <v>Complete</v>
      </c>
      <c r="I12621" s="48" t="s">
        <v>16986</v>
      </c>
    </row>
    <row r="12622" spans="2:9" ht="15" customHeight="1" x14ac:dyDescent="0.25">
      <c r="B12622" s="55" t="s">
        <v>281</v>
      </c>
      <c r="C12622" s="46">
        <v>2610</v>
      </c>
      <c r="D12622" s="69" t="s">
        <v>29418</v>
      </c>
      <c r="E12622" s="51"/>
      <c r="F12622" s="114" t="str">
        <f>IF(INDEX(I.Facility.P2bIDNumber,2610)="","",INDEX(I.Facility.P2bIDNumber,2610))</f>
        <v/>
      </c>
      <c r="G12622" s="51"/>
      <c r="H12622" s="46" t="str">
        <f>IF(AND(I.Developer.P2b=TRUE,I.Facility.P2bFacilityCount&gt;=2610,F12622=""),"Incomplete","Complete")</f>
        <v>Complete</v>
      </c>
      <c r="I12622" s="48" t="s">
        <v>16987</v>
      </c>
    </row>
    <row r="12623" spans="2:9" ht="15" customHeight="1" x14ac:dyDescent="0.25">
      <c r="B12623" s="55" t="s">
        <v>281</v>
      </c>
      <c r="C12623" s="46">
        <v>2611</v>
      </c>
      <c r="D12623" s="69" t="s">
        <v>29418</v>
      </c>
      <c r="E12623" s="51"/>
      <c r="F12623" s="114" t="str">
        <f>IF(INDEX(I.Facility.P2bIDNumber,2611)="","",INDEX(I.Facility.P2bIDNumber,2611))</f>
        <v/>
      </c>
      <c r="G12623" s="51"/>
      <c r="H12623" s="46" t="str">
        <f>IF(AND(I.Developer.P2b=TRUE,I.Facility.P2bFacilityCount&gt;=2611,F12623=""),"Incomplete","Complete")</f>
        <v>Complete</v>
      </c>
      <c r="I12623" s="48" t="s">
        <v>16988</v>
      </c>
    </row>
    <row r="12624" spans="2:9" ht="15" customHeight="1" x14ac:dyDescent="0.25">
      <c r="B12624" s="55" t="s">
        <v>281</v>
      </c>
      <c r="C12624" s="46">
        <v>2612</v>
      </c>
      <c r="D12624" s="69" t="s">
        <v>29418</v>
      </c>
      <c r="E12624" s="51"/>
      <c r="F12624" s="114" t="str">
        <f>IF(INDEX(I.Facility.P2bIDNumber,2612)="","",INDEX(I.Facility.P2bIDNumber,2612))</f>
        <v/>
      </c>
      <c r="G12624" s="51"/>
      <c r="H12624" s="46" t="str">
        <f>IF(AND(I.Developer.P2b=TRUE,I.Facility.P2bFacilityCount&gt;=2612,F12624=""),"Incomplete","Complete")</f>
        <v>Complete</v>
      </c>
      <c r="I12624" s="48" t="s">
        <v>16989</v>
      </c>
    </row>
    <row r="12625" spans="2:9" ht="15" customHeight="1" x14ac:dyDescent="0.25">
      <c r="B12625" s="55" t="s">
        <v>281</v>
      </c>
      <c r="C12625" s="46">
        <v>2613</v>
      </c>
      <c r="D12625" s="69" t="s">
        <v>29418</v>
      </c>
      <c r="E12625" s="51"/>
      <c r="F12625" s="114" t="str">
        <f>IF(INDEX(I.Facility.P2bIDNumber,2613)="","",INDEX(I.Facility.P2bIDNumber,2613))</f>
        <v/>
      </c>
      <c r="G12625" s="51"/>
      <c r="H12625" s="46" t="str">
        <f>IF(AND(I.Developer.P2b=TRUE,I.Facility.P2bFacilityCount&gt;=2613,F12625=""),"Incomplete","Complete")</f>
        <v>Complete</v>
      </c>
      <c r="I12625" s="48" t="s">
        <v>16990</v>
      </c>
    </row>
    <row r="12626" spans="2:9" ht="15" customHeight="1" x14ac:dyDescent="0.25">
      <c r="B12626" s="55" t="s">
        <v>281</v>
      </c>
      <c r="C12626" s="46">
        <v>2614</v>
      </c>
      <c r="D12626" s="69" t="s">
        <v>29418</v>
      </c>
      <c r="E12626" s="51"/>
      <c r="F12626" s="114" t="str">
        <f>IF(INDEX(I.Facility.P2bIDNumber,2614)="","",INDEX(I.Facility.P2bIDNumber,2614))</f>
        <v/>
      </c>
      <c r="G12626" s="51"/>
      <c r="H12626" s="46" t="str">
        <f>IF(AND(I.Developer.P2b=TRUE,I.Facility.P2bFacilityCount&gt;=2614,F12626=""),"Incomplete","Complete")</f>
        <v>Complete</v>
      </c>
      <c r="I12626" s="48" t="s">
        <v>16991</v>
      </c>
    </row>
    <row r="12627" spans="2:9" ht="15" customHeight="1" x14ac:dyDescent="0.25">
      <c r="B12627" s="55" t="s">
        <v>281</v>
      </c>
      <c r="C12627" s="46">
        <v>2615</v>
      </c>
      <c r="D12627" s="69" t="s">
        <v>29418</v>
      </c>
      <c r="E12627" s="51"/>
      <c r="F12627" s="114" t="str">
        <f>IF(INDEX(I.Facility.P2bIDNumber,2615)="","",INDEX(I.Facility.P2bIDNumber,2615))</f>
        <v/>
      </c>
      <c r="G12627" s="51"/>
      <c r="H12627" s="46" t="str">
        <f>IF(AND(I.Developer.P2b=TRUE,I.Facility.P2bFacilityCount&gt;=2615,F12627=""),"Incomplete","Complete")</f>
        <v>Complete</v>
      </c>
      <c r="I12627" s="48" t="s">
        <v>16992</v>
      </c>
    </row>
    <row r="12628" spans="2:9" ht="15" customHeight="1" x14ac:dyDescent="0.25">
      <c r="B12628" s="55" t="s">
        <v>281</v>
      </c>
      <c r="C12628" s="46">
        <v>2616</v>
      </c>
      <c r="D12628" s="69" t="s">
        <v>29418</v>
      </c>
      <c r="E12628" s="51"/>
      <c r="F12628" s="114" t="str">
        <f>IF(INDEX(I.Facility.P2bIDNumber,2616)="","",INDEX(I.Facility.P2bIDNumber,2616))</f>
        <v/>
      </c>
      <c r="G12628" s="51"/>
      <c r="H12628" s="46" t="str">
        <f>IF(AND(I.Developer.P2b=TRUE,I.Facility.P2bFacilityCount&gt;=2616,F12628=""),"Incomplete","Complete")</f>
        <v>Complete</v>
      </c>
      <c r="I12628" s="48" t="s">
        <v>16993</v>
      </c>
    </row>
    <row r="12629" spans="2:9" ht="15" customHeight="1" x14ac:dyDescent="0.25">
      <c r="B12629" s="55" t="s">
        <v>281</v>
      </c>
      <c r="C12629" s="46">
        <v>2617</v>
      </c>
      <c r="D12629" s="69" t="s">
        <v>29418</v>
      </c>
      <c r="E12629" s="51"/>
      <c r="F12629" s="114" t="str">
        <f>IF(INDEX(I.Facility.P2bIDNumber,2617)="","",INDEX(I.Facility.P2bIDNumber,2617))</f>
        <v/>
      </c>
      <c r="G12629" s="51"/>
      <c r="H12629" s="46" t="str">
        <f>IF(AND(I.Developer.P2b=TRUE,I.Facility.P2bFacilityCount&gt;=2617,F12629=""),"Incomplete","Complete")</f>
        <v>Complete</v>
      </c>
      <c r="I12629" s="48" t="s">
        <v>16994</v>
      </c>
    </row>
    <row r="12630" spans="2:9" ht="15" customHeight="1" x14ac:dyDescent="0.25">
      <c r="B12630" s="55" t="s">
        <v>281</v>
      </c>
      <c r="C12630" s="46">
        <v>2618</v>
      </c>
      <c r="D12630" s="69" t="s">
        <v>29418</v>
      </c>
      <c r="E12630" s="51"/>
      <c r="F12630" s="114" t="str">
        <f>IF(INDEX(I.Facility.P2bIDNumber,2618)="","",INDEX(I.Facility.P2bIDNumber,2618))</f>
        <v/>
      </c>
      <c r="G12630" s="51"/>
      <c r="H12630" s="46" t="str">
        <f>IF(AND(I.Developer.P2b=TRUE,I.Facility.P2bFacilityCount&gt;=2618,F12630=""),"Incomplete","Complete")</f>
        <v>Complete</v>
      </c>
      <c r="I12630" s="48" t="s">
        <v>16995</v>
      </c>
    </row>
    <row r="12631" spans="2:9" ht="15" customHeight="1" x14ac:dyDescent="0.25">
      <c r="B12631" s="55" t="s">
        <v>281</v>
      </c>
      <c r="C12631" s="46">
        <v>2619</v>
      </c>
      <c r="D12631" s="69" t="s">
        <v>29418</v>
      </c>
      <c r="E12631" s="51"/>
      <c r="F12631" s="114" t="str">
        <f>IF(INDEX(I.Facility.P2bIDNumber,2619)="","",INDEX(I.Facility.P2bIDNumber,2619))</f>
        <v/>
      </c>
      <c r="G12631" s="51"/>
      <c r="H12631" s="46" t="str">
        <f>IF(AND(I.Developer.P2b=TRUE,I.Facility.P2bFacilityCount&gt;=2619,F12631=""),"Incomplete","Complete")</f>
        <v>Complete</v>
      </c>
      <c r="I12631" s="48" t="s">
        <v>16996</v>
      </c>
    </row>
    <row r="12632" spans="2:9" ht="15" customHeight="1" x14ac:dyDescent="0.25">
      <c r="B12632" s="55" t="s">
        <v>281</v>
      </c>
      <c r="C12632" s="46">
        <v>2620</v>
      </c>
      <c r="D12632" s="69" t="s">
        <v>29418</v>
      </c>
      <c r="E12632" s="51"/>
      <c r="F12632" s="114" t="str">
        <f>IF(INDEX(I.Facility.P2bIDNumber,2620)="","",INDEX(I.Facility.P2bIDNumber,2620))</f>
        <v/>
      </c>
      <c r="G12632" s="51"/>
      <c r="H12632" s="46" t="str">
        <f>IF(AND(I.Developer.P2b=TRUE,I.Facility.P2bFacilityCount&gt;=2620,F12632=""),"Incomplete","Complete")</f>
        <v>Complete</v>
      </c>
      <c r="I12632" s="48" t="s">
        <v>16997</v>
      </c>
    </row>
    <row r="12633" spans="2:9" ht="15" customHeight="1" x14ac:dyDescent="0.25">
      <c r="B12633" s="55" t="s">
        <v>281</v>
      </c>
      <c r="C12633" s="46">
        <v>2621</v>
      </c>
      <c r="D12633" s="69" t="s">
        <v>29418</v>
      </c>
      <c r="E12633" s="51"/>
      <c r="F12633" s="114" t="str">
        <f>IF(INDEX(I.Facility.P2bIDNumber,2621)="","",INDEX(I.Facility.P2bIDNumber,2621))</f>
        <v/>
      </c>
      <c r="G12633" s="51"/>
      <c r="H12633" s="46" t="str">
        <f>IF(AND(I.Developer.P2b=TRUE,I.Facility.P2bFacilityCount&gt;=2621,F12633=""),"Incomplete","Complete")</f>
        <v>Complete</v>
      </c>
      <c r="I12633" s="48" t="s">
        <v>16998</v>
      </c>
    </row>
    <row r="12634" spans="2:9" ht="15" customHeight="1" x14ac:dyDescent="0.25">
      <c r="B12634" s="55" t="s">
        <v>281</v>
      </c>
      <c r="C12634" s="46">
        <v>2622</v>
      </c>
      <c r="D12634" s="69" t="s">
        <v>29418</v>
      </c>
      <c r="E12634" s="51"/>
      <c r="F12634" s="114" t="str">
        <f>IF(INDEX(I.Facility.P2bIDNumber,2622)="","",INDEX(I.Facility.P2bIDNumber,2622))</f>
        <v/>
      </c>
      <c r="G12634" s="51"/>
      <c r="H12634" s="46" t="str">
        <f>IF(AND(I.Developer.P2b=TRUE,I.Facility.P2bFacilityCount&gt;=2622,F12634=""),"Incomplete","Complete")</f>
        <v>Complete</v>
      </c>
      <c r="I12634" s="48" t="s">
        <v>16999</v>
      </c>
    </row>
    <row r="12635" spans="2:9" ht="15" customHeight="1" x14ac:dyDescent="0.25">
      <c r="B12635" s="55" t="s">
        <v>281</v>
      </c>
      <c r="C12635" s="46">
        <v>2623</v>
      </c>
      <c r="D12635" s="69" t="s">
        <v>29418</v>
      </c>
      <c r="E12635" s="51"/>
      <c r="F12635" s="114" t="str">
        <f>IF(INDEX(I.Facility.P2bIDNumber,2623)="","",INDEX(I.Facility.P2bIDNumber,2623))</f>
        <v/>
      </c>
      <c r="G12635" s="51"/>
      <c r="H12635" s="46" t="str">
        <f>IF(AND(I.Developer.P2b=TRUE,I.Facility.P2bFacilityCount&gt;=2623,F12635=""),"Incomplete","Complete")</f>
        <v>Complete</v>
      </c>
      <c r="I12635" s="48" t="s">
        <v>17000</v>
      </c>
    </row>
    <row r="12636" spans="2:9" ht="15" customHeight="1" x14ac:dyDescent="0.25">
      <c r="B12636" s="55" t="s">
        <v>281</v>
      </c>
      <c r="C12636" s="46">
        <v>2624</v>
      </c>
      <c r="D12636" s="69" t="s">
        <v>29418</v>
      </c>
      <c r="E12636" s="51"/>
      <c r="F12636" s="114" t="str">
        <f>IF(INDEX(I.Facility.P2bIDNumber,2624)="","",INDEX(I.Facility.P2bIDNumber,2624))</f>
        <v/>
      </c>
      <c r="G12636" s="51"/>
      <c r="H12636" s="46" t="str">
        <f>IF(AND(I.Developer.P2b=TRUE,I.Facility.P2bFacilityCount&gt;=2624,F12636=""),"Incomplete","Complete")</f>
        <v>Complete</v>
      </c>
      <c r="I12636" s="48" t="s">
        <v>17001</v>
      </c>
    </row>
    <row r="12637" spans="2:9" ht="15" customHeight="1" x14ac:dyDescent="0.25">
      <c r="B12637" s="55" t="s">
        <v>281</v>
      </c>
      <c r="C12637" s="46">
        <v>2625</v>
      </c>
      <c r="D12637" s="69" t="s">
        <v>29418</v>
      </c>
      <c r="E12637" s="51"/>
      <c r="F12637" s="114" t="str">
        <f>IF(INDEX(I.Facility.P2bIDNumber,2625)="","",INDEX(I.Facility.P2bIDNumber,2625))</f>
        <v/>
      </c>
      <c r="G12637" s="51"/>
      <c r="H12637" s="46" t="str">
        <f>IF(AND(I.Developer.P2b=TRUE,I.Facility.P2bFacilityCount&gt;=2625,F12637=""),"Incomplete","Complete")</f>
        <v>Complete</v>
      </c>
      <c r="I12637" s="48" t="s">
        <v>17002</v>
      </c>
    </row>
    <row r="12638" spans="2:9" ht="15" customHeight="1" x14ac:dyDescent="0.25">
      <c r="B12638" s="55" t="s">
        <v>281</v>
      </c>
      <c r="C12638" s="46">
        <v>2626</v>
      </c>
      <c r="D12638" s="69" t="s">
        <v>29418</v>
      </c>
      <c r="E12638" s="51"/>
      <c r="F12638" s="114" t="str">
        <f>IF(INDEX(I.Facility.P2bIDNumber,2626)="","",INDEX(I.Facility.P2bIDNumber,2626))</f>
        <v/>
      </c>
      <c r="G12638" s="51"/>
      <c r="H12638" s="46" t="str">
        <f>IF(AND(I.Developer.P2b=TRUE,I.Facility.P2bFacilityCount&gt;=2626,F12638=""),"Incomplete","Complete")</f>
        <v>Complete</v>
      </c>
      <c r="I12638" s="48" t="s">
        <v>17003</v>
      </c>
    </row>
    <row r="12639" spans="2:9" ht="15" customHeight="1" x14ac:dyDescent="0.25">
      <c r="B12639" s="55" t="s">
        <v>281</v>
      </c>
      <c r="C12639" s="46">
        <v>2627</v>
      </c>
      <c r="D12639" s="69" t="s">
        <v>29418</v>
      </c>
      <c r="E12639" s="51"/>
      <c r="F12639" s="114" t="str">
        <f>IF(INDEX(I.Facility.P2bIDNumber,2627)="","",INDEX(I.Facility.P2bIDNumber,2627))</f>
        <v/>
      </c>
      <c r="G12639" s="51"/>
      <c r="H12639" s="46" t="str">
        <f>IF(AND(I.Developer.P2b=TRUE,I.Facility.P2bFacilityCount&gt;=2627,F12639=""),"Incomplete","Complete")</f>
        <v>Complete</v>
      </c>
      <c r="I12639" s="48" t="s">
        <v>17004</v>
      </c>
    </row>
    <row r="12640" spans="2:9" ht="15" customHeight="1" x14ac:dyDescent="0.25">
      <c r="B12640" s="55" t="s">
        <v>281</v>
      </c>
      <c r="C12640" s="46">
        <v>2628</v>
      </c>
      <c r="D12640" s="69" t="s">
        <v>29418</v>
      </c>
      <c r="E12640" s="51"/>
      <c r="F12640" s="114" t="str">
        <f>IF(INDEX(I.Facility.P2bIDNumber,2628)="","",INDEX(I.Facility.P2bIDNumber,2628))</f>
        <v/>
      </c>
      <c r="G12640" s="51"/>
      <c r="H12640" s="46" t="str">
        <f>IF(AND(I.Developer.P2b=TRUE,I.Facility.P2bFacilityCount&gt;=2628,F12640=""),"Incomplete","Complete")</f>
        <v>Complete</v>
      </c>
      <c r="I12640" s="48" t="s">
        <v>17005</v>
      </c>
    </row>
    <row r="12641" spans="2:9" ht="15" customHeight="1" x14ac:dyDescent="0.25">
      <c r="B12641" s="55" t="s">
        <v>281</v>
      </c>
      <c r="C12641" s="46">
        <v>2629</v>
      </c>
      <c r="D12641" s="69" t="s">
        <v>29418</v>
      </c>
      <c r="E12641" s="51"/>
      <c r="F12641" s="114" t="str">
        <f>IF(INDEX(I.Facility.P2bIDNumber,2629)="","",INDEX(I.Facility.P2bIDNumber,2629))</f>
        <v/>
      </c>
      <c r="G12641" s="51"/>
      <c r="H12641" s="46" t="str">
        <f>IF(AND(I.Developer.P2b=TRUE,I.Facility.P2bFacilityCount&gt;=2629,F12641=""),"Incomplete","Complete")</f>
        <v>Complete</v>
      </c>
      <c r="I12641" s="48" t="s">
        <v>17006</v>
      </c>
    </row>
    <row r="12642" spans="2:9" ht="15" customHeight="1" x14ac:dyDescent="0.25">
      <c r="B12642" s="55" t="s">
        <v>281</v>
      </c>
      <c r="C12642" s="46">
        <v>2630</v>
      </c>
      <c r="D12642" s="69" t="s">
        <v>29418</v>
      </c>
      <c r="E12642" s="51"/>
      <c r="F12642" s="114" t="str">
        <f>IF(INDEX(I.Facility.P2bIDNumber,2630)="","",INDEX(I.Facility.P2bIDNumber,2630))</f>
        <v/>
      </c>
      <c r="G12642" s="51"/>
      <c r="H12642" s="46" t="str">
        <f>IF(AND(I.Developer.P2b=TRUE,I.Facility.P2bFacilityCount&gt;=2630,F12642=""),"Incomplete","Complete")</f>
        <v>Complete</v>
      </c>
      <c r="I12642" s="48" t="s">
        <v>17007</v>
      </c>
    </row>
    <row r="12643" spans="2:9" ht="15" customHeight="1" x14ac:dyDescent="0.25">
      <c r="B12643" s="55" t="s">
        <v>281</v>
      </c>
      <c r="C12643" s="46">
        <v>2631</v>
      </c>
      <c r="D12643" s="69" t="s">
        <v>29418</v>
      </c>
      <c r="E12643" s="51"/>
      <c r="F12643" s="114" t="str">
        <f>IF(INDEX(I.Facility.P2bIDNumber,2631)="","",INDEX(I.Facility.P2bIDNumber,2631))</f>
        <v/>
      </c>
      <c r="G12643" s="51"/>
      <c r="H12643" s="46" t="str">
        <f>IF(AND(I.Developer.P2b=TRUE,I.Facility.P2bFacilityCount&gt;=2631,F12643=""),"Incomplete","Complete")</f>
        <v>Complete</v>
      </c>
      <c r="I12643" s="48" t="s">
        <v>17008</v>
      </c>
    </row>
    <row r="12644" spans="2:9" ht="15" customHeight="1" x14ac:dyDescent="0.25">
      <c r="B12644" s="55" t="s">
        <v>281</v>
      </c>
      <c r="C12644" s="46">
        <v>2632</v>
      </c>
      <c r="D12644" s="69" t="s">
        <v>29418</v>
      </c>
      <c r="E12644" s="51"/>
      <c r="F12644" s="114" t="str">
        <f>IF(INDEX(I.Facility.P2bIDNumber,2632)="","",INDEX(I.Facility.P2bIDNumber,2632))</f>
        <v/>
      </c>
      <c r="G12644" s="51"/>
      <c r="H12644" s="46" t="str">
        <f>IF(AND(I.Developer.P2b=TRUE,I.Facility.P2bFacilityCount&gt;=2632,F12644=""),"Incomplete","Complete")</f>
        <v>Complete</v>
      </c>
      <c r="I12644" s="48" t="s">
        <v>17009</v>
      </c>
    </row>
    <row r="12645" spans="2:9" ht="15" customHeight="1" x14ac:dyDescent="0.25">
      <c r="B12645" s="55" t="s">
        <v>281</v>
      </c>
      <c r="C12645" s="46">
        <v>2633</v>
      </c>
      <c r="D12645" s="69" t="s">
        <v>29418</v>
      </c>
      <c r="E12645" s="51"/>
      <c r="F12645" s="114" t="str">
        <f>IF(INDEX(I.Facility.P2bIDNumber,2633)="","",INDEX(I.Facility.P2bIDNumber,2633))</f>
        <v/>
      </c>
      <c r="G12645" s="51"/>
      <c r="H12645" s="46" t="str">
        <f>IF(AND(I.Developer.P2b=TRUE,I.Facility.P2bFacilityCount&gt;=2633,F12645=""),"Incomplete","Complete")</f>
        <v>Complete</v>
      </c>
      <c r="I12645" s="48" t="s">
        <v>17010</v>
      </c>
    </row>
    <row r="12646" spans="2:9" ht="15" customHeight="1" x14ac:dyDescent="0.25">
      <c r="B12646" s="55" t="s">
        <v>281</v>
      </c>
      <c r="C12646" s="46">
        <v>2634</v>
      </c>
      <c r="D12646" s="69" t="s">
        <v>29418</v>
      </c>
      <c r="E12646" s="51"/>
      <c r="F12646" s="114" t="str">
        <f>IF(INDEX(I.Facility.P2bIDNumber,2634)="","",INDEX(I.Facility.P2bIDNumber,2634))</f>
        <v/>
      </c>
      <c r="G12646" s="51"/>
      <c r="H12646" s="46" t="str">
        <f>IF(AND(I.Developer.P2b=TRUE,I.Facility.P2bFacilityCount&gt;=2634,F12646=""),"Incomplete","Complete")</f>
        <v>Complete</v>
      </c>
      <c r="I12646" s="48" t="s">
        <v>17011</v>
      </c>
    </row>
    <row r="12647" spans="2:9" ht="15" customHeight="1" x14ac:dyDescent="0.25">
      <c r="B12647" s="55" t="s">
        <v>281</v>
      </c>
      <c r="C12647" s="46">
        <v>2635</v>
      </c>
      <c r="D12647" s="69" t="s">
        <v>29418</v>
      </c>
      <c r="E12647" s="51"/>
      <c r="F12647" s="114" t="str">
        <f>IF(INDEX(I.Facility.P2bIDNumber,2635)="","",INDEX(I.Facility.P2bIDNumber,2635))</f>
        <v/>
      </c>
      <c r="G12647" s="51"/>
      <c r="H12647" s="46" t="str">
        <f>IF(AND(I.Developer.P2b=TRUE,I.Facility.P2bFacilityCount&gt;=2635,F12647=""),"Incomplete","Complete")</f>
        <v>Complete</v>
      </c>
      <c r="I12647" s="48" t="s">
        <v>17012</v>
      </c>
    </row>
    <row r="12648" spans="2:9" ht="15" customHeight="1" x14ac:dyDescent="0.25">
      <c r="B12648" s="55" t="s">
        <v>281</v>
      </c>
      <c r="C12648" s="46">
        <v>2636</v>
      </c>
      <c r="D12648" s="69" t="s">
        <v>29418</v>
      </c>
      <c r="E12648" s="51"/>
      <c r="F12648" s="114" t="str">
        <f>IF(INDEX(I.Facility.P2bIDNumber,2636)="","",INDEX(I.Facility.P2bIDNumber,2636))</f>
        <v/>
      </c>
      <c r="G12648" s="51"/>
      <c r="H12648" s="46" t="str">
        <f>IF(AND(I.Developer.P2b=TRUE,I.Facility.P2bFacilityCount&gt;=2636,F12648=""),"Incomplete","Complete")</f>
        <v>Complete</v>
      </c>
      <c r="I12648" s="48" t="s">
        <v>17013</v>
      </c>
    </row>
    <row r="12649" spans="2:9" ht="15" customHeight="1" x14ac:dyDescent="0.25">
      <c r="B12649" s="55" t="s">
        <v>281</v>
      </c>
      <c r="C12649" s="46">
        <v>2637</v>
      </c>
      <c r="D12649" s="69" t="s">
        <v>29418</v>
      </c>
      <c r="E12649" s="51"/>
      <c r="F12649" s="114" t="str">
        <f>IF(INDEX(I.Facility.P2bIDNumber,2637)="","",INDEX(I.Facility.P2bIDNumber,2637))</f>
        <v/>
      </c>
      <c r="G12649" s="51"/>
      <c r="H12649" s="46" t="str">
        <f>IF(AND(I.Developer.P2b=TRUE,I.Facility.P2bFacilityCount&gt;=2637,F12649=""),"Incomplete","Complete")</f>
        <v>Complete</v>
      </c>
      <c r="I12649" s="48" t="s">
        <v>17014</v>
      </c>
    </row>
    <row r="12650" spans="2:9" ht="15" customHeight="1" x14ac:dyDescent="0.25">
      <c r="B12650" s="55" t="s">
        <v>281</v>
      </c>
      <c r="C12650" s="46">
        <v>2638</v>
      </c>
      <c r="D12650" s="69" t="s">
        <v>29418</v>
      </c>
      <c r="E12650" s="51"/>
      <c r="F12650" s="114" t="str">
        <f>IF(INDEX(I.Facility.P2bIDNumber,2638)="","",INDEX(I.Facility.P2bIDNumber,2638))</f>
        <v/>
      </c>
      <c r="G12650" s="51"/>
      <c r="H12650" s="46" t="str">
        <f>IF(AND(I.Developer.P2b=TRUE,I.Facility.P2bFacilityCount&gt;=2638,F12650=""),"Incomplete","Complete")</f>
        <v>Complete</v>
      </c>
      <c r="I12650" s="48" t="s">
        <v>17015</v>
      </c>
    </row>
    <row r="12651" spans="2:9" ht="15" customHeight="1" x14ac:dyDescent="0.25">
      <c r="B12651" s="55" t="s">
        <v>281</v>
      </c>
      <c r="C12651" s="46">
        <v>2639</v>
      </c>
      <c r="D12651" s="69" t="s">
        <v>29418</v>
      </c>
      <c r="E12651" s="51"/>
      <c r="F12651" s="114" t="str">
        <f>IF(INDEX(I.Facility.P2bIDNumber,2639)="","",INDEX(I.Facility.P2bIDNumber,2639))</f>
        <v/>
      </c>
      <c r="G12651" s="51"/>
      <c r="H12651" s="46" t="str">
        <f>IF(AND(I.Developer.P2b=TRUE,I.Facility.P2bFacilityCount&gt;=2639,F12651=""),"Incomplete","Complete")</f>
        <v>Complete</v>
      </c>
      <c r="I12651" s="48" t="s">
        <v>17016</v>
      </c>
    </row>
    <row r="12652" spans="2:9" ht="15" customHeight="1" x14ac:dyDescent="0.25">
      <c r="B12652" s="55" t="s">
        <v>281</v>
      </c>
      <c r="C12652" s="46">
        <v>2640</v>
      </c>
      <c r="D12652" s="69" t="s">
        <v>29418</v>
      </c>
      <c r="E12652" s="51"/>
      <c r="F12652" s="114" t="str">
        <f>IF(INDEX(I.Facility.P2bIDNumber,2640)="","",INDEX(I.Facility.P2bIDNumber,2640))</f>
        <v/>
      </c>
      <c r="G12652" s="51"/>
      <c r="H12652" s="46" t="str">
        <f>IF(AND(I.Developer.P2b=TRUE,I.Facility.P2bFacilityCount&gt;=2640,F12652=""),"Incomplete","Complete")</f>
        <v>Complete</v>
      </c>
      <c r="I12652" s="48" t="s">
        <v>17017</v>
      </c>
    </row>
    <row r="12653" spans="2:9" ht="15" customHeight="1" x14ac:dyDescent="0.25">
      <c r="B12653" s="55" t="s">
        <v>281</v>
      </c>
      <c r="C12653" s="46">
        <v>2641</v>
      </c>
      <c r="D12653" s="69" t="s">
        <v>29418</v>
      </c>
      <c r="E12653" s="51"/>
      <c r="F12653" s="114" t="str">
        <f>IF(INDEX(I.Facility.P2bIDNumber,2641)="","",INDEX(I.Facility.P2bIDNumber,2641))</f>
        <v/>
      </c>
      <c r="G12653" s="51"/>
      <c r="H12653" s="46" t="str">
        <f>IF(AND(I.Developer.P2b=TRUE,I.Facility.P2bFacilityCount&gt;=2641,F12653=""),"Incomplete","Complete")</f>
        <v>Complete</v>
      </c>
      <c r="I12653" s="48" t="s">
        <v>17018</v>
      </c>
    </row>
    <row r="12654" spans="2:9" ht="15" customHeight="1" x14ac:dyDescent="0.25">
      <c r="B12654" s="55" t="s">
        <v>281</v>
      </c>
      <c r="C12654" s="46">
        <v>2642</v>
      </c>
      <c r="D12654" s="69" t="s">
        <v>29418</v>
      </c>
      <c r="E12654" s="51"/>
      <c r="F12654" s="114" t="str">
        <f>IF(INDEX(I.Facility.P2bIDNumber,2642)="","",INDEX(I.Facility.P2bIDNumber,2642))</f>
        <v/>
      </c>
      <c r="G12654" s="51"/>
      <c r="H12654" s="46" t="str">
        <f>IF(AND(I.Developer.P2b=TRUE,I.Facility.P2bFacilityCount&gt;=2642,F12654=""),"Incomplete","Complete")</f>
        <v>Complete</v>
      </c>
      <c r="I12654" s="48" t="s">
        <v>17019</v>
      </c>
    </row>
    <row r="12655" spans="2:9" ht="15" customHeight="1" x14ac:dyDescent="0.25">
      <c r="B12655" s="55" t="s">
        <v>281</v>
      </c>
      <c r="C12655" s="46">
        <v>2643</v>
      </c>
      <c r="D12655" s="69" t="s">
        <v>29418</v>
      </c>
      <c r="E12655" s="51"/>
      <c r="F12655" s="114" t="str">
        <f>IF(INDEX(I.Facility.P2bIDNumber,2643)="","",INDEX(I.Facility.P2bIDNumber,2643))</f>
        <v/>
      </c>
      <c r="G12655" s="51"/>
      <c r="H12655" s="46" t="str">
        <f>IF(AND(I.Developer.P2b=TRUE,I.Facility.P2bFacilityCount&gt;=2643,F12655=""),"Incomplete","Complete")</f>
        <v>Complete</v>
      </c>
      <c r="I12655" s="48" t="s">
        <v>17020</v>
      </c>
    </row>
    <row r="12656" spans="2:9" ht="15" customHeight="1" x14ac:dyDescent="0.25">
      <c r="B12656" s="55" t="s">
        <v>281</v>
      </c>
      <c r="C12656" s="46">
        <v>2644</v>
      </c>
      <c r="D12656" s="69" t="s">
        <v>29418</v>
      </c>
      <c r="E12656" s="51"/>
      <c r="F12656" s="114" t="str">
        <f>IF(INDEX(I.Facility.P2bIDNumber,2644)="","",INDEX(I.Facility.P2bIDNumber,2644))</f>
        <v/>
      </c>
      <c r="G12656" s="51"/>
      <c r="H12656" s="46" t="str">
        <f>IF(AND(I.Developer.P2b=TRUE,I.Facility.P2bFacilityCount&gt;=2644,F12656=""),"Incomplete","Complete")</f>
        <v>Complete</v>
      </c>
      <c r="I12656" s="48" t="s">
        <v>17021</v>
      </c>
    </row>
    <row r="12657" spans="2:9" ht="15" customHeight="1" x14ac:dyDescent="0.25">
      <c r="B12657" s="55" t="s">
        <v>281</v>
      </c>
      <c r="C12657" s="46">
        <v>2645</v>
      </c>
      <c r="D12657" s="69" t="s">
        <v>29418</v>
      </c>
      <c r="E12657" s="51"/>
      <c r="F12657" s="114" t="str">
        <f>IF(INDEX(I.Facility.P2bIDNumber,2645)="","",INDEX(I.Facility.P2bIDNumber,2645))</f>
        <v/>
      </c>
      <c r="G12657" s="51"/>
      <c r="H12657" s="46" t="str">
        <f>IF(AND(I.Developer.P2b=TRUE,I.Facility.P2bFacilityCount&gt;=2645,F12657=""),"Incomplete","Complete")</f>
        <v>Complete</v>
      </c>
      <c r="I12657" s="48" t="s">
        <v>17022</v>
      </c>
    </row>
    <row r="12658" spans="2:9" ht="15" customHeight="1" x14ac:dyDescent="0.25">
      <c r="B12658" s="55" t="s">
        <v>281</v>
      </c>
      <c r="C12658" s="46">
        <v>2646</v>
      </c>
      <c r="D12658" s="69" t="s">
        <v>29418</v>
      </c>
      <c r="E12658" s="51"/>
      <c r="F12658" s="114" t="str">
        <f>IF(INDEX(I.Facility.P2bIDNumber,2646)="","",INDEX(I.Facility.P2bIDNumber,2646))</f>
        <v/>
      </c>
      <c r="G12658" s="51"/>
      <c r="H12658" s="46" t="str">
        <f>IF(AND(I.Developer.P2b=TRUE,I.Facility.P2bFacilityCount&gt;=2646,F12658=""),"Incomplete","Complete")</f>
        <v>Complete</v>
      </c>
      <c r="I12658" s="48" t="s">
        <v>17023</v>
      </c>
    </row>
    <row r="12659" spans="2:9" ht="15" customHeight="1" x14ac:dyDescent="0.25">
      <c r="B12659" s="55" t="s">
        <v>281</v>
      </c>
      <c r="C12659" s="46">
        <v>2647</v>
      </c>
      <c r="D12659" s="69" t="s">
        <v>29418</v>
      </c>
      <c r="E12659" s="51"/>
      <c r="F12659" s="114" t="str">
        <f>IF(INDEX(I.Facility.P2bIDNumber,2647)="","",INDEX(I.Facility.P2bIDNumber,2647))</f>
        <v/>
      </c>
      <c r="G12659" s="51"/>
      <c r="H12659" s="46" t="str">
        <f>IF(AND(I.Developer.P2b=TRUE,I.Facility.P2bFacilityCount&gt;=2647,F12659=""),"Incomplete","Complete")</f>
        <v>Complete</v>
      </c>
      <c r="I12659" s="48" t="s">
        <v>17024</v>
      </c>
    </row>
    <row r="12660" spans="2:9" ht="15" customHeight="1" x14ac:dyDescent="0.25">
      <c r="B12660" s="55" t="s">
        <v>281</v>
      </c>
      <c r="C12660" s="46">
        <v>2648</v>
      </c>
      <c r="D12660" s="69" t="s">
        <v>29418</v>
      </c>
      <c r="E12660" s="51"/>
      <c r="F12660" s="114" t="str">
        <f>IF(INDEX(I.Facility.P2bIDNumber,2648)="","",INDEX(I.Facility.P2bIDNumber,2648))</f>
        <v/>
      </c>
      <c r="G12660" s="51"/>
      <c r="H12660" s="46" t="str">
        <f>IF(AND(I.Developer.P2b=TRUE,I.Facility.P2bFacilityCount&gt;=2648,F12660=""),"Incomplete","Complete")</f>
        <v>Complete</v>
      </c>
      <c r="I12660" s="48" t="s">
        <v>17025</v>
      </c>
    </row>
    <row r="12661" spans="2:9" ht="15" customHeight="1" x14ac:dyDescent="0.25">
      <c r="B12661" s="55" t="s">
        <v>281</v>
      </c>
      <c r="C12661" s="46">
        <v>2649</v>
      </c>
      <c r="D12661" s="69" t="s">
        <v>29418</v>
      </c>
      <c r="E12661" s="51"/>
      <c r="F12661" s="114" t="str">
        <f>IF(INDEX(I.Facility.P2bIDNumber,2649)="","",INDEX(I.Facility.P2bIDNumber,2649))</f>
        <v/>
      </c>
      <c r="G12661" s="51"/>
      <c r="H12661" s="46" t="str">
        <f>IF(AND(I.Developer.P2b=TRUE,I.Facility.P2bFacilityCount&gt;=2649,F12661=""),"Incomplete","Complete")</f>
        <v>Complete</v>
      </c>
      <c r="I12661" s="48" t="s">
        <v>17026</v>
      </c>
    </row>
    <row r="12662" spans="2:9" ht="15" customHeight="1" x14ac:dyDescent="0.25">
      <c r="B12662" s="55" t="s">
        <v>281</v>
      </c>
      <c r="C12662" s="46">
        <v>2650</v>
      </c>
      <c r="D12662" s="69" t="s">
        <v>29418</v>
      </c>
      <c r="E12662" s="51"/>
      <c r="F12662" s="114" t="str">
        <f>IF(INDEX(I.Facility.P2bIDNumber,2650)="","",INDEX(I.Facility.P2bIDNumber,2650))</f>
        <v/>
      </c>
      <c r="G12662" s="51"/>
      <c r="H12662" s="46" t="str">
        <f>IF(AND(I.Developer.P2b=TRUE,I.Facility.P2bFacilityCount&gt;=2650,F12662=""),"Incomplete","Complete")</f>
        <v>Complete</v>
      </c>
      <c r="I12662" s="48" t="s">
        <v>17027</v>
      </c>
    </row>
    <row r="12663" spans="2:9" ht="15" customHeight="1" x14ac:dyDescent="0.25">
      <c r="B12663" s="55" t="s">
        <v>281</v>
      </c>
      <c r="C12663" s="46">
        <v>2651</v>
      </c>
      <c r="D12663" s="69" t="s">
        <v>29418</v>
      </c>
      <c r="E12663" s="51"/>
      <c r="F12663" s="114" t="str">
        <f>IF(INDEX(I.Facility.P2bIDNumber,2651)="","",INDEX(I.Facility.P2bIDNumber,2651))</f>
        <v/>
      </c>
      <c r="G12663" s="51"/>
      <c r="H12663" s="46" t="str">
        <f>IF(AND(I.Developer.P2b=TRUE,I.Facility.P2bFacilityCount&gt;=2651,F12663=""),"Incomplete","Complete")</f>
        <v>Complete</v>
      </c>
      <c r="I12663" s="48" t="s">
        <v>17028</v>
      </c>
    </row>
    <row r="12664" spans="2:9" ht="15" customHeight="1" x14ac:dyDescent="0.25">
      <c r="B12664" s="55" t="s">
        <v>281</v>
      </c>
      <c r="C12664" s="46">
        <v>2652</v>
      </c>
      <c r="D12664" s="69" t="s">
        <v>29418</v>
      </c>
      <c r="E12664" s="51"/>
      <c r="F12664" s="114" t="str">
        <f>IF(INDEX(I.Facility.P2bIDNumber,2652)="","",INDEX(I.Facility.P2bIDNumber,2652))</f>
        <v/>
      </c>
      <c r="G12664" s="51"/>
      <c r="H12664" s="46" t="str">
        <f>IF(AND(I.Developer.P2b=TRUE,I.Facility.P2bFacilityCount&gt;=2652,F12664=""),"Incomplete","Complete")</f>
        <v>Complete</v>
      </c>
      <c r="I12664" s="48" t="s">
        <v>17029</v>
      </c>
    </row>
    <row r="12665" spans="2:9" ht="15" customHeight="1" x14ac:dyDescent="0.25">
      <c r="B12665" s="55" t="s">
        <v>281</v>
      </c>
      <c r="C12665" s="46">
        <v>2653</v>
      </c>
      <c r="D12665" s="69" t="s">
        <v>29418</v>
      </c>
      <c r="E12665" s="51"/>
      <c r="F12665" s="114" t="str">
        <f>IF(INDEX(I.Facility.P2bIDNumber,2653)="","",INDEX(I.Facility.P2bIDNumber,2653))</f>
        <v/>
      </c>
      <c r="G12665" s="51"/>
      <c r="H12665" s="46" t="str">
        <f>IF(AND(I.Developer.P2b=TRUE,I.Facility.P2bFacilityCount&gt;=2653,F12665=""),"Incomplete","Complete")</f>
        <v>Complete</v>
      </c>
      <c r="I12665" s="48" t="s">
        <v>17030</v>
      </c>
    </row>
    <row r="12666" spans="2:9" ht="15" customHeight="1" x14ac:dyDescent="0.25">
      <c r="B12666" s="55" t="s">
        <v>281</v>
      </c>
      <c r="C12666" s="46">
        <v>2654</v>
      </c>
      <c r="D12666" s="69" t="s">
        <v>29418</v>
      </c>
      <c r="E12666" s="51"/>
      <c r="F12666" s="114" t="str">
        <f>IF(INDEX(I.Facility.P2bIDNumber,2654)="","",INDEX(I.Facility.P2bIDNumber,2654))</f>
        <v/>
      </c>
      <c r="G12666" s="51"/>
      <c r="H12666" s="46" t="str">
        <f>IF(AND(I.Developer.P2b=TRUE,I.Facility.P2bFacilityCount&gt;=2654,F12666=""),"Incomplete","Complete")</f>
        <v>Complete</v>
      </c>
      <c r="I12666" s="48" t="s">
        <v>17031</v>
      </c>
    </row>
    <row r="12667" spans="2:9" ht="15" customHeight="1" x14ac:dyDescent="0.25">
      <c r="B12667" s="55" t="s">
        <v>281</v>
      </c>
      <c r="C12667" s="46">
        <v>2655</v>
      </c>
      <c r="D12667" s="69" t="s">
        <v>29418</v>
      </c>
      <c r="E12667" s="51"/>
      <c r="F12667" s="114" t="str">
        <f>IF(INDEX(I.Facility.P2bIDNumber,2655)="","",INDEX(I.Facility.P2bIDNumber,2655))</f>
        <v/>
      </c>
      <c r="G12667" s="51"/>
      <c r="H12667" s="46" t="str">
        <f>IF(AND(I.Developer.P2b=TRUE,I.Facility.P2bFacilityCount&gt;=2655,F12667=""),"Incomplete","Complete")</f>
        <v>Complete</v>
      </c>
      <c r="I12667" s="48" t="s">
        <v>17032</v>
      </c>
    </row>
    <row r="12668" spans="2:9" ht="15" customHeight="1" x14ac:dyDescent="0.25">
      <c r="B12668" s="55" t="s">
        <v>281</v>
      </c>
      <c r="C12668" s="46">
        <v>2656</v>
      </c>
      <c r="D12668" s="69" t="s">
        <v>29418</v>
      </c>
      <c r="E12668" s="51"/>
      <c r="F12668" s="114" t="str">
        <f>IF(INDEX(I.Facility.P2bIDNumber,2656)="","",INDEX(I.Facility.P2bIDNumber,2656))</f>
        <v/>
      </c>
      <c r="G12668" s="51"/>
      <c r="H12668" s="46" t="str">
        <f>IF(AND(I.Developer.P2b=TRUE,I.Facility.P2bFacilityCount&gt;=2656,F12668=""),"Incomplete","Complete")</f>
        <v>Complete</v>
      </c>
      <c r="I12668" s="48" t="s">
        <v>17033</v>
      </c>
    </row>
    <row r="12669" spans="2:9" ht="15" customHeight="1" x14ac:dyDescent="0.25">
      <c r="B12669" s="55" t="s">
        <v>281</v>
      </c>
      <c r="C12669" s="46">
        <v>2657</v>
      </c>
      <c r="D12669" s="69" t="s">
        <v>29418</v>
      </c>
      <c r="E12669" s="51"/>
      <c r="F12669" s="114" t="str">
        <f>IF(INDEX(I.Facility.P2bIDNumber,2657)="","",INDEX(I.Facility.P2bIDNumber,2657))</f>
        <v/>
      </c>
      <c r="G12669" s="51"/>
      <c r="H12669" s="46" t="str">
        <f>IF(AND(I.Developer.P2b=TRUE,I.Facility.P2bFacilityCount&gt;=2657,F12669=""),"Incomplete","Complete")</f>
        <v>Complete</v>
      </c>
      <c r="I12669" s="48" t="s">
        <v>17034</v>
      </c>
    </row>
    <row r="12670" spans="2:9" ht="15" customHeight="1" x14ac:dyDescent="0.25">
      <c r="B12670" s="55" t="s">
        <v>281</v>
      </c>
      <c r="C12670" s="46">
        <v>2658</v>
      </c>
      <c r="D12670" s="69" t="s">
        <v>29418</v>
      </c>
      <c r="E12670" s="51"/>
      <c r="F12670" s="114" t="str">
        <f>IF(INDEX(I.Facility.P2bIDNumber,2658)="","",INDEX(I.Facility.P2bIDNumber,2658))</f>
        <v/>
      </c>
      <c r="G12670" s="51"/>
      <c r="H12670" s="46" t="str">
        <f>IF(AND(I.Developer.P2b=TRUE,I.Facility.P2bFacilityCount&gt;=2658,F12670=""),"Incomplete","Complete")</f>
        <v>Complete</v>
      </c>
      <c r="I12670" s="48" t="s">
        <v>17035</v>
      </c>
    </row>
    <row r="12671" spans="2:9" ht="15" customHeight="1" x14ac:dyDescent="0.25">
      <c r="B12671" s="55" t="s">
        <v>281</v>
      </c>
      <c r="C12671" s="46">
        <v>2659</v>
      </c>
      <c r="D12671" s="69" t="s">
        <v>29418</v>
      </c>
      <c r="E12671" s="51"/>
      <c r="F12671" s="114" t="str">
        <f>IF(INDEX(I.Facility.P2bIDNumber,2659)="","",INDEX(I.Facility.P2bIDNumber,2659))</f>
        <v/>
      </c>
      <c r="G12671" s="51"/>
      <c r="H12671" s="46" t="str">
        <f>IF(AND(I.Developer.P2b=TRUE,I.Facility.P2bFacilityCount&gt;=2659,F12671=""),"Incomplete","Complete")</f>
        <v>Complete</v>
      </c>
      <c r="I12671" s="48" t="s">
        <v>17036</v>
      </c>
    </row>
    <row r="12672" spans="2:9" ht="15" customHeight="1" x14ac:dyDescent="0.25">
      <c r="B12672" s="55" t="s">
        <v>281</v>
      </c>
      <c r="C12672" s="46">
        <v>2660</v>
      </c>
      <c r="D12672" s="69" t="s">
        <v>29418</v>
      </c>
      <c r="E12672" s="51"/>
      <c r="F12672" s="114" t="str">
        <f>IF(INDEX(I.Facility.P2bIDNumber,2660)="","",INDEX(I.Facility.P2bIDNumber,2660))</f>
        <v/>
      </c>
      <c r="G12672" s="51"/>
      <c r="H12672" s="46" t="str">
        <f>IF(AND(I.Developer.P2b=TRUE,I.Facility.P2bFacilityCount&gt;=2660,F12672=""),"Incomplete","Complete")</f>
        <v>Complete</v>
      </c>
      <c r="I12672" s="48" t="s">
        <v>17037</v>
      </c>
    </row>
    <row r="12673" spans="2:9" ht="15" customHeight="1" x14ac:dyDescent="0.25">
      <c r="B12673" s="55" t="s">
        <v>281</v>
      </c>
      <c r="C12673" s="46">
        <v>2661</v>
      </c>
      <c r="D12673" s="69" t="s">
        <v>29418</v>
      </c>
      <c r="E12673" s="51"/>
      <c r="F12673" s="114" t="str">
        <f>IF(INDEX(I.Facility.P2bIDNumber,2661)="","",INDEX(I.Facility.P2bIDNumber,2661))</f>
        <v/>
      </c>
      <c r="G12673" s="51"/>
      <c r="H12673" s="46" t="str">
        <f>IF(AND(I.Developer.P2b=TRUE,I.Facility.P2bFacilityCount&gt;=2661,F12673=""),"Incomplete","Complete")</f>
        <v>Complete</v>
      </c>
      <c r="I12673" s="48" t="s">
        <v>17038</v>
      </c>
    </row>
    <row r="12674" spans="2:9" ht="15" customHeight="1" x14ac:dyDescent="0.25">
      <c r="B12674" s="55" t="s">
        <v>281</v>
      </c>
      <c r="C12674" s="46">
        <v>2662</v>
      </c>
      <c r="D12674" s="69" t="s">
        <v>29418</v>
      </c>
      <c r="E12674" s="51"/>
      <c r="F12674" s="114" t="str">
        <f>IF(INDEX(I.Facility.P2bIDNumber,2662)="","",INDEX(I.Facility.P2bIDNumber,2662))</f>
        <v/>
      </c>
      <c r="G12674" s="51"/>
      <c r="H12674" s="46" t="str">
        <f>IF(AND(I.Developer.P2b=TRUE,I.Facility.P2bFacilityCount&gt;=2662,F12674=""),"Incomplete","Complete")</f>
        <v>Complete</v>
      </c>
      <c r="I12674" s="48" t="s">
        <v>17039</v>
      </c>
    </row>
    <row r="12675" spans="2:9" ht="15" customHeight="1" x14ac:dyDescent="0.25">
      <c r="B12675" s="55" t="s">
        <v>281</v>
      </c>
      <c r="C12675" s="46">
        <v>2663</v>
      </c>
      <c r="D12675" s="69" t="s">
        <v>29418</v>
      </c>
      <c r="E12675" s="51"/>
      <c r="F12675" s="114" t="str">
        <f>IF(INDEX(I.Facility.P2bIDNumber,2663)="","",INDEX(I.Facility.P2bIDNumber,2663))</f>
        <v/>
      </c>
      <c r="G12675" s="51"/>
      <c r="H12675" s="46" t="str">
        <f>IF(AND(I.Developer.P2b=TRUE,I.Facility.P2bFacilityCount&gt;=2663,F12675=""),"Incomplete","Complete")</f>
        <v>Complete</v>
      </c>
      <c r="I12675" s="48" t="s">
        <v>17040</v>
      </c>
    </row>
    <row r="12676" spans="2:9" ht="15" customHeight="1" x14ac:dyDescent="0.25">
      <c r="B12676" s="55" t="s">
        <v>281</v>
      </c>
      <c r="C12676" s="46">
        <v>2664</v>
      </c>
      <c r="D12676" s="69" t="s">
        <v>29418</v>
      </c>
      <c r="E12676" s="51"/>
      <c r="F12676" s="114" t="str">
        <f>IF(INDEX(I.Facility.P2bIDNumber,2664)="","",INDEX(I.Facility.P2bIDNumber,2664))</f>
        <v/>
      </c>
      <c r="G12676" s="51"/>
      <c r="H12676" s="46" t="str">
        <f>IF(AND(I.Developer.P2b=TRUE,I.Facility.P2bFacilityCount&gt;=2664,F12676=""),"Incomplete","Complete")</f>
        <v>Complete</v>
      </c>
      <c r="I12676" s="48" t="s">
        <v>17041</v>
      </c>
    </row>
    <row r="12677" spans="2:9" ht="15" customHeight="1" x14ac:dyDescent="0.25">
      <c r="B12677" s="55" t="s">
        <v>281</v>
      </c>
      <c r="C12677" s="46">
        <v>2665</v>
      </c>
      <c r="D12677" s="69" t="s">
        <v>29418</v>
      </c>
      <c r="E12677" s="51"/>
      <c r="F12677" s="114" t="str">
        <f>IF(INDEX(I.Facility.P2bIDNumber,2665)="","",INDEX(I.Facility.P2bIDNumber,2665))</f>
        <v/>
      </c>
      <c r="G12677" s="51"/>
      <c r="H12677" s="46" t="str">
        <f>IF(AND(I.Developer.P2b=TRUE,I.Facility.P2bFacilityCount&gt;=2665,F12677=""),"Incomplete","Complete")</f>
        <v>Complete</v>
      </c>
      <c r="I12677" s="48" t="s">
        <v>17042</v>
      </c>
    </row>
    <row r="12678" spans="2:9" ht="15" customHeight="1" x14ac:dyDescent="0.25">
      <c r="B12678" s="55" t="s">
        <v>281</v>
      </c>
      <c r="C12678" s="46">
        <v>2666</v>
      </c>
      <c r="D12678" s="69" t="s">
        <v>29418</v>
      </c>
      <c r="E12678" s="51"/>
      <c r="F12678" s="114" t="str">
        <f>IF(INDEX(I.Facility.P2bIDNumber,2666)="","",INDEX(I.Facility.P2bIDNumber,2666))</f>
        <v/>
      </c>
      <c r="G12678" s="51"/>
      <c r="H12678" s="46" t="str">
        <f>IF(AND(I.Developer.P2b=TRUE,I.Facility.P2bFacilityCount&gt;=2666,F12678=""),"Incomplete","Complete")</f>
        <v>Complete</v>
      </c>
      <c r="I12678" s="48" t="s">
        <v>17043</v>
      </c>
    </row>
    <row r="12679" spans="2:9" ht="15" customHeight="1" x14ac:dyDescent="0.25">
      <c r="B12679" s="55" t="s">
        <v>281</v>
      </c>
      <c r="C12679" s="46">
        <v>2667</v>
      </c>
      <c r="D12679" s="69" t="s">
        <v>29418</v>
      </c>
      <c r="E12679" s="51"/>
      <c r="F12679" s="114" t="str">
        <f>IF(INDEX(I.Facility.P2bIDNumber,2667)="","",INDEX(I.Facility.P2bIDNumber,2667))</f>
        <v/>
      </c>
      <c r="G12679" s="51"/>
      <c r="H12679" s="46" t="str">
        <f>IF(AND(I.Developer.P2b=TRUE,I.Facility.P2bFacilityCount&gt;=2667,F12679=""),"Incomplete","Complete")</f>
        <v>Complete</v>
      </c>
      <c r="I12679" s="48" t="s">
        <v>17044</v>
      </c>
    </row>
    <row r="12680" spans="2:9" ht="15" customHeight="1" x14ac:dyDescent="0.25">
      <c r="B12680" s="55" t="s">
        <v>281</v>
      </c>
      <c r="C12680" s="46">
        <v>2668</v>
      </c>
      <c r="D12680" s="69" t="s">
        <v>29418</v>
      </c>
      <c r="E12680" s="51"/>
      <c r="F12680" s="114" t="str">
        <f>IF(INDEX(I.Facility.P2bIDNumber,2668)="","",INDEX(I.Facility.P2bIDNumber,2668))</f>
        <v/>
      </c>
      <c r="G12680" s="51"/>
      <c r="H12680" s="46" t="str">
        <f>IF(AND(I.Developer.P2b=TRUE,I.Facility.P2bFacilityCount&gt;=2668,F12680=""),"Incomplete","Complete")</f>
        <v>Complete</v>
      </c>
      <c r="I12680" s="48" t="s">
        <v>17045</v>
      </c>
    </row>
    <row r="12681" spans="2:9" ht="15" customHeight="1" x14ac:dyDescent="0.25">
      <c r="B12681" s="55" t="s">
        <v>281</v>
      </c>
      <c r="C12681" s="46">
        <v>2669</v>
      </c>
      <c r="D12681" s="69" t="s">
        <v>29418</v>
      </c>
      <c r="E12681" s="51"/>
      <c r="F12681" s="114" t="str">
        <f>IF(INDEX(I.Facility.P2bIDNumber,2669)="","",INDEX(I.Facility.P2bIDNumber,2669))</f>
        <v/>
      </c>
      <c r="G12681" s="51"/>
      <c r="H12681" s="46" t="str">
        <f>IF(AND(I.Developer.P2b=TRUE,I.Facility.P2bFacilityCount&gt;=2669,F12681=""),"Incomplete","Complete")</f>
        <v>Complete</v>
      </c>
      <c r="I12681" s="48" t="s">
        <v>17046</v>
      </c>
    </row>
    <row r="12682" spans="2:9" ht="15" customHeight="1" x14ac:dyDescent="0.25">
      <c r="B12682" s="55" t="s">
        <v>281</v>
      </c>
      <c r="C12682" s="46">
        <v>2670</v>
      </c>
      <c r="D12682" s="69" t="s">
        <v>29418</v>
      </c>
      <c r="E12682" s="51"/>
      <c r="F12682" s="114" t="str">
        <f>IF(INDEX(I.Facility.P2bIDNumber,2670)="","",INDEX(I.Facility.P2bIDNumber,2670))</f>
        <v/>
      </c>
      <c r="G12682" s="51"/>
      <c r="H12682" s="46" t="str">
        <f>IF(AND(I.Developer.P2b=TRUE,I.Facility.P2bFacilityCount&gt;=2670,F12682=""),"Incomplete","Complete")</f>
        <v>Complete</v>
      </c>
      <c r="I12682" s="48" t="s">
        <v>17047</v>
      </c>
    </row>
    <row r="12683" spans="2:9" ht="15" customHeight="1" x14ac:dyDescent="0.25">
      <c r="B12683" s="55" t="s">
        <v>281</v>
      </c>
      <c r="C12683" s="46">
        <v>2671</v>
      </c>
      <c r="D12683" s="69" t="s">
        <v>29418</v>
      </c>
      <c r="E12683" s="51"/>
      <c r="F12683" s="114" t="str">
        <f>IF(INDEX(I.Facility.P2bIDNumber,2671)="","",INDEX(I.Facility.P2bIDNumber,2671))</f>
        <v/>
      </c>
      <c r="G12683" s="51"/>
      <c r="H12683" s="46" t="str">
        <f>IF(AND(I.Developer.P2b=TRUE,I.Facility.P2bFacilityCount&gt;=2671,F12683=""),"Incomplete","Complete")</f>
        <v>Complete</v>
      </c>
      <c r="I12683" s="48" t="s">
        <v>17048</v>
      </c>
    </row>
    <row r="12684" spans="2:9" ht="15" customHeight="1" x14ac:dyDescent="0.25">
      <c r="B12684" s="55" t="s">
        <v>281</v>
      </c>
      <c r="C12684" s="46">
        <v>2672</v>
      </c>
      <c r="D12684" s="69" t="s">
        <v>29418</v>
      </c>
      <c r="E12684" s="51"/>
      <c r="F12684" s="114" t="str">
        <f>IF(INDEX(I.Facility.P2bIDNumber,2672)="","",INDEX(I.Facility.P2bIDNumber,2672))</f>
        <v/>
      </c>
      <c r="G12684" s="51"/>
      <c r="H12684" s="46" t="str">
        <f>IF(AND(I.Developer.P2b=TRUE,I.Facility.P2bFacilityCount&gt;=2672,F12684=""),"Incomplete","Complete")</f>
        <v>Complete</v>
      </c>
      <c r="I12684" s="48" t="s">
        <v>17049</v>
      </c>
    </row>
    <row r="12685" spans="2:9" ht="15" customHeight="1" x14ac:dyDescent="0.25">
      <c r="B12685" s="55" t="s">
        <v>281</v>
      </c>
      <c r="C12685" s="46">
        <v>2673</v>
      </c>
      <c r="D12685" s="69" t="s">
        <v>29418</v>
      </c>
      <c r="E12685" s="51"/>
      <c r="F12685" s="114" t="str">
        <f>IF(INDEX(I.Facility.P2bIDNumber,2673)="","",INDEX(I.Facility.P2bIDNumber,2673))</f>
        <v/>
      </c>
      <c r="G12685" s="51"/>
      <c r="H12685" s="46" t="str">
        <f>IF(AND(I.Developer.P2b=TRUE,I.Facility.P2bFacilityCount&gt;=2673,F12685=""),"Incomplete","Complete")</f>
        <v>Complete</v>
      </c>
      <c r="I12685" s="48" t="s">
        <v>17050</v>
      </c>
    </row>
    <row r="12686" spans="2:9" ht="15" customHeight="1" x14ac:dyDescent="0.25">
      <c r="B12686" s="55" t="s">
        <v>281</v>
      </c>
      <c r="C12686" s="46">
        <v>2674</v>
      </c>
      <c r="D12686" s="69" t="s">
        <v>29418</v>
      </c>
      <c r="E12686" s="51"/>
      <c r="F12686" s="114" t="str">
        <f>IF(INDEX(I.Facility.P2bIDNumber,2674)="","",INDEX(I.Facility.P2bIDNumber,2674))</f>
        <v/>
      </c>
      <c r="G12686" s="51"/>
      <c r="H12686" s="46" t="str">
        <f>IF(AND(I.Developer.P2b=TRUE,I.Facility.P2bFacilityCount&gt;=2674,F12686=""),"Incomplete","Complete")</f>
        <v>Complete</v>
      </c>
      <c r="I12686" s="48" t="s">
        <v>17051</v>
      </c>
    </row>
    <row r="12687" spans="2:9" ht="15" customHeight="1" x14ac:dyDescent="0.25">
      <c r="B12687" s="55" t="s">
        <v>281</v>
      </c>
      <c r="C12687" s="46">
        <v>2675</v>
      </c>
      <c r="D12687" s="69" t="s">
        <v>29418</v>
      </c>
      <c r="E12687" s="51"/>
      <c r="F12687" s="114" t="str">
        <f>IF(INDEX(I.Facility.P2bIDNumber,2675)="","",INDEX(I.Facility.P2bIDNumber,2675))</f>
        <v/>
      </c>
      <c r="G12687" s="51"/>
      <c r="H12687" s="46" t="str">
        <f>IF(AND(I.Developer.P2b=TRUE,I.Facility.P2bFacilityCount&gt;=2675,F12687=""),"Incomplete","Complete")</f>
        <v>Complete</v>
      </c>
      <c r="I12687" s="48" t="s">
        <v>17052</v>
      </c>
    </row>
    <row r="12688" spans="2:9" ht="15" customHeight="1" x14ac:dyDescent="0.25">
      <c r="B12688" s="55" t="s">
        <v>281</v>
      </c>
      <c r="C12688" s="46">
        <v>2676</v>
      </c>
      <c r="D12688" s="69" t="s">
        <v>29418</v>
      </c>
      <c r="E12688" s="51"/>
      <c r="F12688" s="114" t="str">
        <f>IF(INDEX(I.Facility.P2bIDNumber,2676)="","",INDEX(I.Facility.P2bIDNumber,2676))</f>
        <v/>
      </c>
      <c r="G12688" s="51"/>
      <c r="H12688" s="46" t="str">
        <f>IF(AND(I.Developer.P2b=TRUE,I.Facility.P2bFacilityCount&gt;=2676,F12688=""),"Incomplete","Complete")</f>
        <v>Complete</v>
      </c>
      <c r="I12688" s="48" t="s">
        <v>17053</v>
      </c>
    </row>
    <row r="12689" spans="2:9" ht="15" customHeight="1" x14ac:dyDescent="0.25">
      <c r="B12689" s="55" t="s">
        <v>281</v>
      </c>
      <c r="C12689" s="46">
        <v>2677</v>
      </c>
      <c r="D12689" s="69" t="s">
        <v>29418</v>
      </c>
      <c r="E12689" s="51"/>
      <c r="F12689" s="114" t="str">
        <f>IF(INDEX(I.Facility.P2bIDNumber,2677)="","",INDEX(I.Facility.P2bIDNumber,2677))</f>
        <v/>
      </c>
      <c r="G12689" s="51"/>
      <c r="H12689" s="46" t="str">
        <f>IF(AND(I.Developer.P2b=TRUE,I.Facility.P2bFacilityCount&gt;=2677,F12689=""),"Incomplete","Complete")</f>
        <v>Complete</v>
      </c>
      <c r="I12689" s="48" t="s">
        <v>17054</v>
      </c>
    </row>
    <row r="12690" spans="2:9" ht="15" customHeight="1" x14ac:dyDescent="0.25">
      <c r="B12690" s="55" t="s">
        <v>281</v>
      </c>
      <c r="C12690" s="46">
        <v>2678</v>
      </c>
      <c r="D12690" s="69" t="s">
        <v>29418</v>
      </c>
      <c r="E12690" s="51"/>
      <c r="F12690" s="114" t="str">
        <f>IF(INDEX(I.Facility.P2bIDNumber,2678)="","",INDEX(I.Facility.P2bIDNumber,2678))</f>
        <v/>
      </c>
      <c r="G12690" s="51"/>
      <c r="H12690" s="46" t="str">
        <f>IF(AND(I.Developer.P2b=TRUE,I.Facility.P2bFacilityCount&gt;=2678,F12690=""),"Incomplete","Complete")</f>
        <v>Complete</v>
      </c>
      <c r="I12690" s="48" t="s">
        <v>17055</v>
      </c>
    </row>
    <row r="12691" spans="2:9" ht="15" customHeight="1" x14ac:dyDescent="0.25">
      <c r="B12691" s="55" t="s">
        <v>281</v>
      </c>
      <c r="C12691" s="46">
        <v>2679</v>
      </c>
      <c r="D12691" s="69" t="s">
        <v>29418</v>
      </c>
      <c r="E12691" s="51"/>
      <c r="F12691" s="114" t="str">
        <f>IF(INDEX(I.Facility.P2bIDNumber,2679)="","",INDEX(I.Facility.P2bIDNumber,2679))</f>
        <v/>
      </c>
      <c r="G12691" s="51"/>
      <c r="H12691" s="46" t="str">
        <f>IF(AND(I.Developer.P2b=TRUE,I.Facility.P2bFacilityCount&gt;=2679,F12691=""),"Incomplete","Complete")</f>
        <v>Complete</v>
      </c>
      <c r="I12691" s="48" t="s">
        <v>17056</v>
      </c>
    </row>
    <row r="12692" spans="2:9" ht="15" customHeight="1" x14ac:dyDescent="0.25">
      <c r="B12692" s="55" t="s">
        <v>281</v>
      </c>
      <c r="C12692" s="46">
        <v>2680</v>
      </c>
      <c r="D12692" s="69" t="s">
        <v>29418</v>
      </c>
      <c r="E12692" s="51"/>
      <c r="F12692" s="114" t="str">
        <f>IF(INDEX(I.Facility.P2bIDNumber,2680)="","",INDEX(I.Facility.P2bIDNumber,2680))</f>
        <v/>
      </c>
      <c r="G12692" s="51"/>
      <c r="H12692" s="46" t="str">
        <f>IF(AND(I.Developer.P2b=TRUE,I.Facility.P2bFacilityCount&gt;=2680,F12692=""),"Incomplete","Complete")</f>
        <v>Complete</v>
      </c>
      <c r="I12692" s="48" t="s">
        <v>17057</v>
      </c>
    </row>
    <row r="12693" spans="2:9" ht="15" customHeight="1" x14ac:dyDescent="0.25">
      <c r="B12693" s="55" t="s">
        <v>281</v>
      </c>
      <c r="C12693" s="46">
        <v>2681</v>
      </c>
      <c r="D12693" s="69" t="s">
        <v>29418</v>
      </c>
      <c r="E12693" s="51"/>
      <c r="F12693" s="114" t="str">
        <f>IF(INDEX(I.Facility.P2bIDNumber,2681)="","",INDEX(I.Facility.P2bIDNumber,2681))</f>
        <v/>
      </c>
      <c r="G12693" s="51"/>
      <c r="H12693" s="46" t="str">
        <f>IF(AND(I.Developer.P2b=TRUE,I.Facility.P2bFacilityCount&gt;=2681,F12693=""),"Incomplete","Complete")</f>
        <v>Complete</v>
      </c>
      <c r="I12693" s="48" t="s">
        <v>17058</v>
      </c>
    </row>
    <row r="12694" spans="2:9" ht="15" customHeight="1" x14ac:dyDescent="0.25">
      <c r="B12694" s="55" t="s">
        <v>281</v>
      </c>
      <c r="C12694" s="46">
        <v>2682</v>
      </c>
      <c r="D12694" s="69" t="s">
        <v>29418</v>
      </c>
      <c r="E12694" s="51"/>
      <c r="F12694" s="114" t="str">
        <f>IF(INDEX(I.Facility.P2bIDNumber,2682)="","",INDEX(I.Facility.P2bIDNumber,2682))</f>
        <v/>
      </c>
      <c r="G12694" s="51"/>
      <c r="H12694" s="46" t="str">
        <f>IF(AND(I.Developer.P2b=TRUE,I.Facility.P2bFacilityCount&gt;=2682,F12694=""),"Incomplete","Complete")</f>
        <v>Complete</v>
      </c>
      <c r="I12694" s="48" t="s">
        <v>17059</v>
      </c>
    </row>
    <row r="12695" spans="2:9" ht="15" customHeight="1" x14ac:dyDescent="0.25">
      <c r="B12695" s="55" t="s">
        <v>281</v>
      </c>
      <c r="C12695" s="46">
        <v>2683</v>
      </c>
      <c r="D12695" s="69" t="s">
        <v>29418</v>
      </c>
      <c r="E12695" s="51"/>
      <c r="F12695" s="114" t="str">
        <f>IF(INDEX(I.Facility.P2bIDNumber,2683)="","",INDEX(I.Facility.P2bIDNumber,2683))</f>
        <v/>
      </c>
      <c r="G12695" s="51"/>
      <c r="H12695" s="46" t="str">
        <f>IF(AND(I.Developer.P2b=TRUE,I.Facility.P2bFacilityCount&gt;=2683,F12695=""),"Incomplete","Complete")</f>
        <v>Complete</v>
      </c>
      <c r="I12695" s="48" t="s">
        <v>17060</v>
      </c>
    </row>
    <row r="12696" spans="2:9" ht="15" customHeight="1" x14ac:dyDescent="0.25">
      <c r="B12696" s="55" t="s">
        <v>281</v>
      </c>
      <c r="C12696" s="46">
        <v>2684</v>
      </c>
      <c r="D12696" s="69" t="s">
        <v>29418</v>
      </c>
      <c r="E12696" s="51"/>
      <c r="F12696" s="114" t="str">
        <f>IF(INDEX(I.Facility.P2bIDNumber,2684)="","",INDEX(I.Facility.P2bIDNumber,2684))</f>
        <v/>
      </c>
      <c r="G12696" s="51"/>
      <c r="H12696" s="46" t="str">
        <f>IF(AND(I.Developer.P2b=TRUE,I.Facility.P2bFacilityCount&gt;=2684,F12696=""),"Incomplete","Complete")</f>
        <v>Complete</v>
      </c>
      <c r="I12696" s="48" t="s">
        <v>17061</v>
      </c>
    </row>
    <row r="12697" spans="2:9" ht="15" customHeight="1" x14ac:dyDescent="0.25">
      <c r="B12697" s="55" t="s">
        <v>281</v>
      </c>
      <c r="C12697" s="46">
        <v>2685</v>
      </c>
      <c r="D12697" s="69" t="s">
        <v>29418</v>
      </c>
      <c r="E12697" s="51"/>
      <c r="F12697" s="114" t="str">
        <f>IF(INDEX(I.Facility.P2bIDNumber,2685)="","",INDEX(I.Facility.P2bIDNumber,2685))</f>
        <v/>
      </c>
      <c r="G12697" s="51"/>
      <c r="H12697" s="46" t="str">
        <f>IF(AND(I.Developer.P2b=TRUE,I.Facility.P2bFacilityCount&gt;=2685,F12697=""),"Incomplete","Complete")</f>
        <v>Complete</v>
      </c>
      <c r="I12697" s="48" t="s">
        <v>17062</v>
      </c>
    </row>
    <row r="12698" spans="2:9" ht="15" customHeight="1" x14ac:dyDescent="0.25">
      <c r="B12698" s="55" t="s">
        <v>281</v>
      </c>
      <c r="C12698" s="46">
        <v>2686</v>
      </c>
      <c r="D12698" s="69" t="s">
        <v>29418</v>
      </c>
      <c r="E12698" s="51"/>
      <c r="F12698" s="114" t="str">
        <f>IF(INDEX(I.Facility.P2bIDNumber,2686)="","",INDEX(I.Facility.P2bIDNumber,2686))</f>
        <v/>
      </c>
      <c r="G12698" s="51"/>
      <c r="H12698" s="46" t="str">
        <f>IF(AND(I.Developer.P2b=TRUE,I.Facility.P2bFacilityCount&gt;=2686,F12698=""),"Incomplete","Complete")</f>
        <v>Complete</v>
      </c>
      <c r="I12698" s="48" t="s">
        <v>17063</v>
      </c>
    </row>
    <row r="12699" spans="2:9" ht="15" customHeight="1" x14ac:dyDescent="0.25">
      <c r="B12699" s="55" t="s">
        <v>281</v>
      </c>
      <c r="C12699" s="46">
        <v>2687</v>
      </c>
      <c r="D12699" s="69" t="s">
        <v>29418</v>
      </c>
      <c r="E12699" s="51"/>
      <c r="F12699" s="114" t="str">
        <f>IF(INDEX(I.Facility.P2bIDNumber,2687)="","",INDEX(I.Facility.P2bIDNumber,2687))</f>
        <v/>
      </c>
      <c r="G12699" s="51"/>
      <c r="H12699" s="46" t="str">
        <f>IF(AND(I.Developer.P2b=TRUE,I.Facility.P2bFacilityCount&gt;=2687,F12699=""),"Incomplete","Complete")</f>
        <v>Complete</v>
      </c>
      <c r="I12699" s="48" t="s">
        <v>17064</v>
      </c>
    </row>
    <row r="12700" spans="2:9" ht="15" customHeight="1" x14ac:dyDescent="0.25">
      <c r="B12700" s="55" t="s">
        <v>281</v>
      </c>
      <c r="C12700" s="46">
        <v>2688</v>
      </c>
      <c r="D12700" s="69" t="s">
        <v>29418</v>
      </c>
      <c r="E12700" s="51"/>
      <c r="F12700" s="114" t="str">
        <f>IF(INDEX(I.Facility.P2bIDNumber,2688)="","",INDEX(I.Facility.P2bIDNumber,2688))</f>
        <v/>
      </c>
      <c r="G12700" s="51"/>
      <c r="H12700" s="46" t="str">
        <f>IF(AND(I.Developer.P2b=TRUE,I.Facility.P2bFacilityCount&gt;=2688,F12700=""),"Incomplete","Complete")</f>
        <v>Complete</v>
      </c>
      <c r="I12700" s="48" t="s">
        <v>17065</v>
      </c>
    </row>
    <row r="12701" spans="2:9" ht="15" customHeight="1" x14ac:dyDescent="0.25">
      <c r="B12701" s="55" t="s">
        <v>281</v>
      </c>
      <c r="C12701" s="46">
        <v>2689</v>
      </c>
      <c r="D12701" s="69" t="s">
        <v>29418</v>
      </c>
      <c r="E12701" s="51"/>
      <c r="F12701" s="114" t="str">
        <f>IF(INDEX(I.Facility.P2bIDNumber,2689)="","",INDEX(I.Facility.P2bIDNumber,2689))</f>
        <v/>
      </c>
      <c r="G12701" s="51"/>
      <c r="H12701" s="46" t="str">
        <f>IF(AND(I.Developer.P2b=TRUE,I.Facility.P2bFacilityCount&gt;=2689,F12701=""),"Incomplete","Complete")</f>
        <v>Complete</v>
      </c>
      <c r="I12701" s="48" t="s">
        <v>17066</v>
      </c>
    </row>
    <row r="12702" spans="2:9" ht="15" customHeight="1" x14ac:dyDescent="0.25">
      <c r="B12702" s="55" t="s">
        <v>281</v>
      </c>
      <c r="C12702" s="46">
        <v>2690</v>
      </c>
      <c r="D12702" s="69" t="s">
        <v>29418</v>
      </c>
      <c r="E12702" s="51"/>
      <c r="F12702" s="114" t="str">
        <f>IF(INDEX(I.Facility.P2bIDNumber,2690)="","",INDEX(I.Facility.P2bIDNumber,2690))</f>
        <v/>
      </c>
      <c r="G12702" s="51"/>
      <c r="H12702" s="46" t="str">
        <f>IF(AND(I.Developer.P2b=TRUE,I.Facility.P2bFacilityCount&gt;=2690,F12702=""),"Incomplete","Complete")</f>
        <v>Complete</v>
      </c>
      <c r="I12702" s="48" t="s">
        <v>17067</v>
      </c>
    </row>
    <row r="12703" spans="2:9" ht="15" customHeight="1" x14ac:dyDescent="0.25">
      <c r="B12703" s="55" t="s">
        <v>281</v>
      </c>
      <c r="C12703" s="46">
        <v>2691</v>
      </c>
      <c r="D12703" s="69" t="s">
        <v>29418</v>
      </c>
      <c r="E12703" s="51"/>
      <c r="F12703" s="114" t="str">
        <f>IF(INDEX(I.Facility.P2bIDNumber,2691)="","",INDEX(I.Facility.P2bIDNumber,2691))</f>
        <v/>
      </c>
      <c r="G12703" s="51"/>
      <c r="H12703" s="46" t="str">
        <f>IF(AND(I.Developer.P2b=TRUE,I.Facility.P2bFacilityCount&gt;=2691,F12703=""),"Incomplete","Complete")</f>
        <v>Complete</v>
      </c>
      <c r="I12703" s="48" t="s">
        <v>17068</v>
      </c>
    </row>
    <row r="12704" spans="2:9" ht="15" customHeight="1" x14ac:dyDescent="0.25">
      <c r="B12704" s="55" t="s">
        <v>281</v>
      </c>
      <c r="C12704" s="46">
        <v>2692</v>
      </c>
      <c r="D12704" s="69" t="s">
        <v>29418</v>
      </c>
      <c r="E12704" s="51"/>
      <c r="F12704" s="114" t="str">
        <f>IF(INDEX(I.Facility.P2bIDNumber,2692)="","",INDEX(I.Facility.P2bIDNumber,2692))</f>
        <v/>
      </c>
      <c r="G12704" s="51"/>
      <c r="H12704" s="46" t="str">
        <f>IF(AND(I.Developer.P2b=TRUE,I.Facility.P2bFacilityCount&gt;=2692,F12704=""),"Incomplete","Complete")</f>
        <v>Complete</v>
      </c>
      <c r="I12704" s="48" t="s">
        <v>17069</v>
      </c>
    </row>
    <row r="12705" spans="2:9" ht="15" customHeight="1" x14ac:dyDescent="0.25">
      <c r="B12705" s="55" t="s">
        <v>281</v>
      </c>
      <c r="C12705" s="46">
        <v>2693</v>
      </c>
      <c r="D12705" s="69" t="s">
        <v>29418</v>
      </c>
      <c r="E12705" s="51"/>
      <c r="F12705" s="114" t="str">
        <f>IF(INDEX(I.Facility.P2bIDNumber,2693)="","",INDEX(I.Facility.P2bIDNumber,2693))</f>
        <v/>
      </c>
      <c r="G12705" s="51"/>
      <c r="H12705" s="46" t="str">
        <f>IF(AND(I.Developer.P2b=TRUE,I.Facility.P2bFacilityCount&gt;=2693,F12705=""),"Incomplete","Complete")</f>
        <v>Complete</v>
      </c>
      <c r="I12705" s="48" t="s">
        <v>17070</v>
      </c>
    </row>
    <row r="12706" spans="2:9" ht="15" customHeight="1" x14ac:dyDescent="0.25">
      <c r="B12706" s="55" t="s">
        <v>281</v>
      </c>
      <c r="C12706" s="46">
        <v>2694</v>
      </c>
      <c r="D12706" s="69" t="s">
        <v>29418</v>
      </c>
      <c r="E12706" s="51"/>
      <c r="F12706" s="114" t="str">
        <f>IF(INDEX(I.Facility.P2bIDNumber,2694)="","",INDEX(I.Facility.P2bIDNumber,2694))</f>
        <v/>
      </c>
      <c r="G12706" s="51"/>
      <c r="H12706" s="46" t="str">
        <f>IF(AND(I.Developer.P2b=TRUE,I.Facility.P2bFacilityCount&gt;=2694,F12706=""),"Incomplete","Complete")</f>
        <v>Complete</v>
      </c>
      <c r="I12706" s="48" t="s">
        <v>17071</v>
      </c>
    </row>
    <row r="12707" spans="2:9" ht="15" customHeight="1" x14ac:dyDescent="0.25">
      <c r="B12707" s="55" t="s">
        <v>281</v>
      </c>
      <c r="C12707" s="46">
        <v>2695</v>
      </c>
      <c r="D12707" s="69" t="s">
        <v>29418</v>
      </c>
      <c r="E12707" s="51"/>
      <c r="F12707" s="114" t="str">
        <f>IF(INDEX(I.Facility.P2bIDNumber,2695)="","",INDEX(I.Facility.P2bIDNumber,2695))</f>
        <v/>
      </c>
      <c r="G12707" s="51"/>
      <c r="H12707" s="46" t="str">
        <f>IF(AND(I.Developer.P2b=TRUE,I.Facility.P2bFacilityCount&gt;=2695,F12707=""),"Incomplete","Complete")</f>
        <v>Complete</v>
      </c>
      <c r="I12707" s="48" t="s">
        <v>17072</v>
      </c>
    </row>
    <row r="12708" spans="2:9" ht="15" customHeight="1" x14ac:dyDescent="0.25">
      <c r="B12708" s="55" t="s">
        <v>281</v>
      </c>
      <c r="C12708" s="46">
        <v>2696</v>
      </c>
      <c r="D12708" s="69" t="s">
        <v>29418</v>
      </c>
      <c r="E12708" s="51"/>
      <c r="F12708" s="114" t="str">
        <f>IF(INDEX(I.Facility.P2bIDNumber,2696)="","",INDEX(I.Facility.P2bIDNumber,2696))</f>
        <v/>
      </c>
      <c r="G12708" s="51"/>
      <c r="H12708" s="46" t="str">
        <f>IF(AND(I.Developer.P2b=TRUE,I.Facility.P2bFacilityCount&gt;=2696,F12708=""),"Incomplete","Complete")</f>
        <v>Complete</v>
      </c>
      <c r="I12708" s="48" t="s">
        <v>17073</v>
      </c>
    </row>
    <row r="12709" spans="2:9" ht="15" customHeight="1" x14ac:dyDescent="0.25">
      <c r="B12709" s="55" t="s">
        <v>281</v>
      </c>
      <c r="C12709" s="46">
        <v>2697</v>
      </c>
      <c r="D12709" s="69" t="s">
        <v>29418</v>
      </c>
      <c r="E12709" s="51"/>
      <c r="F12709" s="114" t="str">
        <f>IF(INDEX(I.Facility.P2bIDNumber,2697)="","",INDEX(I.Facility.P2bIDNumber,2697))</f>
        <v/>
      </c>
      <c r="G12709" s="51"/>
      <c r="H12709" s="46" t="str">
        <f>IF(AND(I.Developer.P2b=TRUE,I.Facility.P2bFacilityCount&gt;=2697,F12709=""),"Incomplete","Complete")</f>
        <v>Complete</v>
      </c>
      <c r="I12709" s="48" t="s">
        <v>17074</v>
      </c>
    </row>
    <row r="12710" spans="2:9" ht="15" customHeight="1" x14ac:dyDescent="0.25">
      <c r="B12710" s="55" t="s">
        <v>281</v>
      </c>
      <c r="C12710" s="46">
        <v>2698</v>
      </c>
      <c r="D12710" s="69" t="s">
        <v>29418</v>
      </c>
      <c r="E12710" s="51"/>
      <c r="F12710" s="114" t="str">
        <f>IF(INDEX(I.Facility.P2bIDNumber,2698)="","",INDEX(I.Facility.P2bIDNumber,2698))</f>
        <v/>
      </c>
      <c r="G12710" s="51"/>
      <c r="H12710" s="46" t="str">
        <f>IF(AND(I.Developer.P2b=TRUE,I.Facility.P2bFacilityCount&gt;=2698,F12710=""),"Incomplete","Complete")</f>
        <v>Complete</v>
      </c>
      <c r="I12710" s="48" t="s">
        <v>17075</v>
      </c>
    </row>
    <row r="12711" spans="2:9" ht="15" customHeight="1" x14ac:dyDescent="0.25">
      <c r="B12711" s="55" t="s">
        <v>281</v>
      </c>
      <c r="C12711" s="46">
        <v>2699</v>
      </c>
      <c r="D12711" s="69" t="s">
        <v>29418</v>
      </c>
      <c r="E12711" s="51"/>
      <c r="F12711" s="114" t="str">
        <f>IF(INDEX(I.Facility.P2bIDNumber,2699)="","",INDEX(I.Facility.P2bIDNumber,2699))</f>
        <v/>
      </c>
      <c r="G12711" s="51"/>
      <c r="H12711" s="46" t="str">
        <f>IF(AND(I.Developer.P2b=TRUE,I.Facility.P2bFacilityCount&gt;=2699,F12711=""),"Incomplete","Complete")</f>
        <v>Complete</v>
      </c>
      <c r="I12711" s="48" t="s">
        <v>17076</v>
      </c>
    </row>
    <row r="12712" spans="2:9" ht="15" customHeight="1" x14ac:dyDescent="0.25">
      <c r="B12712" s="55" t="s">
        <v>281</v>
      </c>
      <c r="C12712" s="46">
        <v>2700</v>
      </c>
      <c r="D12712" s="69" t="s">
        <v>29418</v>
      </c>
      <c r="E12712" s="51"/>
      <c r="F12712" s="114" t="str">
        <f>IF(INDEX(I.Facility.P2bIDNumber,2700)="","",INDEX(I.Facility.P2bIDNumber,2700))</f>
        <v/>
      </c>
      <c r="G12712" s="51"/>
      <c r="H12712" s="46" t="str">
        <f>IF(AND(I.Developer.P2b=TRUE,I.Facility.P2bFacilityCount&gt;=2700,F12712=""),"Incomplete","Complete")</f>
        <v>Complete</v>
      </c>
      <c r="I12712" s="48" t="s">
        <v>17077</v>
      </c>
    </row>
    <row r="12713" spans="2:9" ht="15" customHeight="1" x14ac:dyDescent="0.25">
      <c r="B12713" s="55" t="s">
        <v>281</v>
      </c>
      <c r="C12713" s="46">
        <v>2701</v>
      </c>
      <c r="D12713" s="69" t="s">
        <v>29418</v>
      </c>
      <c r="E12713" s="51"/>
      <c r="F12713" s="114" t="str">
        <f>IF(INDEX(I.Facility.P2bIDNumber,2701)="","",INDEX(I.Facility.P2bIDNumber,2701))</f>
        <v/>
      </c>
      <c r="G12713" s="51"/>
      <c r="H12713" s="46" t="str">
        <f>IF(AND(I.Developer.P2b=TRUE,I.Facility.P2bFacilityCount&gt;=2701,F12713=""),"Incomplete","Complete")</f>
        <v>Complete</v>
      </c>
      <c r="I12713" s="48" t="s">
        <v>17078</v>
      </c>
    </row>
    <row r="12714" spans="2:9" ht="15" customHeight="1" x14ac:dyDescent="0.25">
      <c r="B12714" s="55" t="s">
        <v>281</v>
      </c>
      <c r="C12714" s="46">
        <v>2702</v>
      </c>
      <c r="D12714" s="69" t="s">
        <v>29418</v>
      </c>
      <c r="E12714" s="51"/>
      <c r="F12714" s="114" t="str">
        <f>IF(INDEX(I.Facility.P2bIDNumber,2702)="","",INDEX(I.Facility.P2bIDNumber,2702))</f>
        <v/>
      </c>
      <c r="G12714" s="51"/>
      <c r="H12714" s="46" t="str">
        <f>IF(AND(I.Developer.P2b=TRUE,I.Facility.P2bFacilityCount&gt;=2702,F12714=""),"Incomplete","Complete")</f>
        <v>Complete</v>
      </c>
      <c r="I12714" s="48" t="s">
        <v>17079</v>
      </c>
    </row>
    <row r="12715" spans="2:9" ht="15" customHeight="1" x14ac:dyDescent="0.25">
      <c r="B12715" s="55" t="s">
        <v>281</v>
      </c>
      <c r="C12715" s="46">
        <v>2703</v>
      </c>
      <c r="D12715" s="69" t="s">
        <v>29418</v>
      </c>
      <c r="E12715" s="51"/>
      <c r="F12715" s="114" t="str">
        <f>IF(INDEX(I.Facility.P2bIDNumber,2703)="","",INDEX(I.Facility.P2bIDNumber,2703))</f>
        <v/>
      </c>
      <c r="G12715" s="51"/>
      <c r="H12715" s="46" t="str">
        <f>IF(AND(I.Developer.P2b=TRUE,I.Facility.P2bFacilityCount&gt;=2703,F12715=""),"Incomplete","Complete")</f>
        <v>Complete</v>
      </c>
      <c r="I12715" s="48" t="s">
        <v>17080</v>
      </c>
    </row>
    <row r="12716" spans="2:9" ht="15" customHeight="1" x14ac:dyDescent="0.25">
      <c r="B12716" s="55" t="s">
        <v>281</v>
      </c>
      <c r="C12716" s="46">
        <v>2704</v>
      </c>
      <c r="D12716" s="69" t="s">
        <v>29418</v>
      </c>
      <c r="E12716" s="51"/>
      <c r="F12716" s="114" t="str">
        <f>IF(INDEX(I.Facility.P2bIDNumber,2704)="","",INDEX(I.Facility.P2bIDNumber,2704))</f>
        <v/>
      </c>
      <c r="G12716" s="51"/>
      <c r="H12716" s="46" t="str">
        <f>IF(AND(I.Developer.P2b=TRUE,I.Facility.P2bFacilityCount&gt;=2704,F12716=""),"Incomplete","Complete")</f>
        <v>Complete</v>
      </c>
      <c r="I12716" s="48" t="s">
        <v>17081</v>
      </c>
    </row>
    <row r="12717" spans="2:9" ht="15" customHeight="1" x14ac:dyDescent="0.25">
      <c r="B12717" s="55" t="s">
        <v>281</v>
      </c>
      <c r="C12717" s="46">
        <v>2705</v>
      </c>
      <c r="D12717" s="69" t="s">
        <v>29418</v>
      </c>
      <c r="E12717" s="51"/>
      <c r="F12717" s="114" t="str">
        <f>IF(INDEX(I.Facility.P2bIDNumber,2705)="","",INDEX(I.Facility.P2bIDNumber,2705))</f>
        <v/>
      </c>
      <c r="G12717" s="51"/>
      <c r="H12717" s="46" t="str">
        <f>IF(AND(I.Developer.P2b=TRUE,I.Facility.P2bFacilityCount&gt;=2705,F12717=""),"Incomplete","Complete")</f>
        <v>Complete</v>
      </c>
      <c r="I12717" s="48" t="s">
        <v>17082</v>
      </c>
    </row>
    <row r="12718" spans="2:9" ht="15" customHeight="1" x14ac:dyDescent="0.25">
      <c r="B12718" s="55" t="s">
        <v>281</v>
      </c>
      <c r="C12718" s="46">
        <v>2706</v>
      </c>
      <c r="D12718" s="69" t="s">
        <v>29418</v>
      </c>
      <c r="E12718" s="51"/>
      <c r="F12718" s="114" t="str">
        <f>IF(INDEX(I.Facility.P2bIDNumber,2706)="","",INDEX(I.Facility.P2bIDNumber,2706))</f>
        <v/>
      </c>
      <c r="G12718" s="51"/>
      <c r="H12718" s="46" t="str">
        <f>IF(AND(I.Developer.P2b=TRUE,I.Facility.P2bFacilityCount&gt;=2706,F12718=""),"Incomplete","Complete")</f>
        <v>Complete</v>
      </c>
      <c r="I12718" s="48" t="s">
        <v>17083</v>
      </c>
    </row>
    <row r="12719" spans="2:9" ht="15" customHeight="1" x14ac:dyDescent="0.25">
      <c r="B12719" s="55" t="s">
        <v>281</v>
      </c>
      <c r="C12719" s="46">
        <v>2707</v>
      </c>
      <c r="D12719" s="69" t="s">
        <v>29418</v>
      </c>
      <c r="E12719" s="51"/>
      <c r="F12719" s="114" t="str">
        <f>IF(INDEX(I.Facility.P2bIDNumber,2707)="","",INDEX(I.Facility.P2bIDNumber,2707))</f>
        <v/>
      </c>
      <c r="G12719" s="51"/>
      <c r="H12719" s="46" t="str">
        <f>IF(AND(I.Developer.P2b=TRUE,I.Facility.P2bFacilityCount&gt;=2707,F12719=""),"Incomplete","Complete")</f>
        <v>Complete</v>
      </c>
      <c r="I12719" s="48" t="s">
        <v>17084</v>
      </c>
    </row>
    <row r="12720" spans="2:9" ht="15" customHeight="1" x14ac:dyDescent="0.25">
      <c r="B12720" s="55" t="s">
        <v>281</v>
      </c>
      <c r="C12720" s="46">
        <v>2708</v>
      </c>
      <c r="D12720" s="69" t="s">
        <v>29418</v>
      </c>
      <c r="E12720" s="51"/>
      <c r="F12720" s="114" t="str">
        <f>IF(INDEX(I.Facility.P2bIDNumber,2708)="","",INDEX(I.Facility.P2bIDNumber,2708))</f>
        <v/>
      </c>
      <c r="G12720" s="51"/>
      <c r="H12720" s="46" t="str">
        <f>IF(AND(I.Developer.P2b=TRUE,I.Facility.P2bFacilityCount&gt;=2708,F12720=""),"Incomplete","Complete")</f>
        <v>Complete</v>
      </c>
      <c r="I12720" s="48" t="s">
        <v>17085</v>
      </c>
    </row>
    <row r="12721" spans="2:9" ht="15" customHeight="1" x14ac:dyDescent="0.25">
      <c r="B12721" s="55" t="s">
        <v>281</v>
      </c>
      <c r="C12721" s="46">
        <v>2709</v>
      </c>
      <c r="D12721" s="69" t="s">
        <v>29418</v>
      </c>
      <c r="E12721" s="51"/>
      <c r="F12721" s="114" t="str">
        <f>IF(INDEX(I.Facility.P2bIDNumber,2709)="","",INDEX(I.Facility.P2bIDNumber,2709))</f>
        <v/>
      </c>
      <c r="G12721" s="51"/>
      <c r="H12721" s="46" t="str">
        <f>IF(AND(I.Developer.P2b=TRUE,I.Facility.P2bFacilityCount&gt;=2709,F12721=""),"Incomplete","Complete")</f>
        <v>Complete</v>
      </c>
      <c r="I12721" s="48" t="s">
        <v>17086</v>
      </c>
    </row>
    <row r="12722" spans="2:9" ht="15" customHeight="1" x14ac:dyDescent="0.25">
      <c r="B12722" s="55" t="s">
        <v>281</v>
      </c>
      <c r="C12722" s="46">
        <v>2710</v>
      </c>
      <c r="D12722" s="69" t="s">
        <v>29418</v>
      </c>
      <c r="E12722" s="51"/>
      <c r="F12722" s="114" t="str">
        <f>IF(INDEX(I.Facility.P2bIDNumber,2710)="","",INDEX(I.Facility.P2bIDNumber,2710))</f>
        <v/>
      </c>
      <c r="G12722" s="51"/>
      <c r="H12722" s="46" t="str">
        <f>IF(AND(I.Developer.P2b=TRUE,I.Facility.P2bFacilityCount&gt;=2710,F12722=""),"Incomplete","Complete")</f>
        <v>Complete</v>
      </c>
      <c r="I12722" s="48" t="s">
        <v>17087</v>
      </c>
    </row>
    <row r="12723" spans="2:9" ht="15" customHeight="1" x14ac:dyDescent="0.25">
      <c r="B12723" s="55" t="s">
        <v>281</v>
      </c>
      <c r="C12723" s="46">
        <v>2711</v>
      </c>
      <c r="D12723" s="69" t="s">
        <v>29418</v>
      </c>
      <c r="E12723" s="51"/>
      <c r="F12723" s="114" t="str">
        <f>IF(INDEX(I.Facility.P2bIDNumber,2711)="","",INDEX(I.Facility.P2bIDNumber,2711))</f>
        <v/>
      </c>
      <c r="G12723" s="51"/>
      <c r="H12723" s="46" t="str">
        <f>IF(AND(I.Developer.P2b=TRUE,I.Facility.P2bFacilityCount&gt;=2711,F12723=""),"Incomplete","Complete")</f>
        <v>Complete</v>
      </c>
      <c r="I12723" s="48" t="s">
        <v>17088</v>
      </c>
    </row>
    <row r="12724" spans="2:9" ht="15" customHeight="1" x14ac:dyDescent="0.25">
      <c r="B12724" s="55" t="s">
        <v>281</v>
      </c>
      <c r="C12724" s="46">
        <v>2712</v>
      </c>
      <c r="D12724" s="69" t="s">
        <v>29418</v>
      </c>
      <c r="E12724" s="51"/>
      <c r="F12724" s="114" t="str">
        <f>IF(INDEX(I.Facility.P2bIDNumber,2712)="","",INDEX(I.Facility.P2bIDNumber,2712))</f>
        <v/>
      </c>
      <c r="G12724" s="51"/>
      <c r="H12724" s="46" t="str">
        <f>IF(AND(I.Developer.P2b=TRUE,I.Facility.P2bFacilityCount&gt;=2712,F12724=""),"Incomplete","Complete")</f>
        <v>Complete</v>
      </c>
      <c r="I12724" s="48" t="s">
        <v>17089</v>
      </c>
    </row>
    <row r="12725" spans="2:9" ht="15" customHeight="1" x14ac:dyDescent="0.25">
      <c r="B12725" s="55" t="s">
        <v>281</v>
      </c>
      <c r="C12725" s="46">
        <v>2713</v>
      </c>
      <c r="D12725" s="69" t="s">
        <v>29418</v>
      </c>
      <c r="E12725" s="51"/>
      <c r="F12725" s="114" t="str">
        <f>IF(INDEX(I.Facility.P2bIDNumber,2713)="","",INDEX(I.Facility.P2bIDNumber,2713))</f>
        <v/>
      </c>
      <c r="G12725" s="51"/>
      <c r="H12725" s="46" t="str">
        <f>IF(AND(I.Developer.P2b=TRUE,I.Facility.P2bFacilityCount&gt;=2713,F12725=""),"Incomplete","Complete")</f>
        <v>Complete</v>
      </c>
      <c r="I12725" s="48" t="s">
        <v>17090</v>
      </c>
    </row>
    <row r="12726" spans="2:9" ht="15" customHeight="1" x14ac:dyDescent="0.25">
      <c r="B12726" s="55" t="s">
        <v>281</v>
      </c>
      <c r="C12726" s="46">
        <v>2714</v>
      </c>
      <c r="D12726" s="69" t="s">
        <v>29418</v>
      </c>
      <c r="E12726" s="51"/>
      <c r="F12726" s="114" t="str">
        <f>IF(INDEX(I.Facility.P2bIDNumber,2714)="","",INDEX(I.Facility.P2bIDNumber,2714))</f>
        <v/>
      </c>
      <c r="G12726" s="51"/>
      <c r="H12726" s="46" t="str">
        <f>IF(AND(I.Developer.P2b=TRUE,I.Facility.P2bFacilityCount&gt;=2714,F12726=""),"Incomplete","Complete")</f>
        <v>Complete</v>
      </c>
      <c r="I12726" s="48" t="s">
        <v>17091</v>
      </c>
    </row>
    <row r="12727" spans="2:9" ht="15" customHeight="1" x14ac:dyDescent="0.25">
      <c r="B12727" s="55" t="s">
        <v>281</v>
      </c>
      <c r="C12727" s="46">
        <v>2715</v>
      </c>
      <c r="D12727" s="69" t="s">
        <v>29418</v>
      </c>
      <c r="E12727" s="51"/>
      <c r="F12727" s="114" t="str">
        <f>IF(INDEX(I.Facility.P2bIDNumber,2715)="","",INDEX(I.Facility.P2bIDNumber,2715))</f>
        <v/>
      </c>
      <c r="G12727" s="51"/>
      <c r="H12727" s="46" t="str">
        <f>IF(AND(I.Developer.P2b=TRUE,I.Facility.P2bFacilityCount&gt;=2715,F12727=""),"Incomplete","Complete")</f>
        <v>Complete</v>
      </c>
      <c r="I12727" s="48" t="s">
        <v>17092</v>
      </c>
    </row>
    <row r="12728" spans="2:9" ht="15" customHeight="1" x14ac:dyDescent="0.25">
      <c r="B12728" s="55" t="s">
        <v>281</v>
      </c>
      <c r="C12728" s="46">
        <v>2716</v>
      </c>
      <c r="D12728" s="69" t="s">
        <v>29418</v>
      </c>
      <c r="E12728" s="51"/>
      <c r="F12728" s="114" t="str">
        <f>IF(INDEX(I.Facility.P2bIDNumber,2716)="","",INDEX(I.Facility.P2bIDNumber,2716))</f>
        <v/>
      </c>
      <c r="G12728" s="51"/>
      <c r="H12728" s="46" t="str">
        <f>IF(AND(I.Developer.P2b=TRUE,I.Facility.P2bFacilityCount&gt;=2716,F12728=""),"Incomplete","Complete")</f>
        <v>Complete</v>
      </c>
      <c r="I12728" s="48" t="s">
        <v>17093</v>
      </c>
    </row>
    <row r="12729" spans="2:9" ht="15" customHeight="1" x14ac:dyDescent="0.25">
      <c r="B12729" s="55" t="s">
        <v>281</v>
      </c>
      <c r="C12729" s="46">
        <v>2717</v>
      </c>
      <c r="D12729" s="69" t="s">
        <v>29418</v>
      </c>
      <c r="E12729" s="51"/>
      <c r="F12729" s="114" t="str">
        <f>IF(INDEX(I.Facility.P2bIDNumber,2717)="","",INDEX(I.Facility.P2bIDNumber,2717))</f>
        <v/>
      </c>
      <c r="G12729" s="51"/>
      <c r="H12729" s="46" t="str">
        <f>IF(AND(I.Developer.P2b=TRUE,I.Facility.P2bFacilityCount&gt;=2717,F12729=""),"Incomplete","Complete")</f>
        <v>Complete</v>
      </c>
      <c r="I12729" s="48" t="s">
        <v>17094</v>
      </c>
    </row>
    <row r="12730" spans="2:9" ht="15" customHeight="1" x14ac:dyDescent="0.25">
      <c r="B12730" s="55" t="s">
        <v>281</v>
      </c>
      <c r="C12730" s="46">
        <v>2718</v>
      </c>
      <c r="D12730" s="69" t="s">
        <v>29418</v>
      </c>
      <c r="E12730" s="51"/>
      <c r="F12730" s="114" t="str">
        <f>IF(INDEX(I.Facility.P2bIDNumber,2718)="","",INDEX(I.Facility.P2bIDNumber,2718))</f>
        <v/>
      </c>
      <c r="G12730" s="51"/>
      <c r="H12730" s="46" t="str">
        <f>IF(AND(I.Developer.P2b=TRUE,I.Facility.P2bFacilityCount&gt;=2718,F12730=""),"Incomplete","Complete")</f>
        <v>Complete</v>
      </c>
      <c r="I12730" s="48" t="s">
        <v>17095</v>
      </c>
    </row>
    <row r="12731" spans="2:9" ht="15" customHeight="1" x14ac:dyDescent="0.25">
      <c r="B12731" s="55" t="s">
        <v>281</v>
      </c>
      <c r="C12731" s="46">
        <v>2719</v>
      </c>
      <c r="D12731" s="69" t="s">
        <v>29418</v>
      </c>
      <c r="E12731" s="51"/>
      <c r="F12731" s="114" t="str">
        <f>IF(INDEX(I.Facility.P2bIDNumber,2719)="","",INDEX(I.Facility.P2bIDNumber,2719))</f>
        <v/>
      </c>
      <c r="G12731" s="51"/>
      <c r="H12731" s="46" t="str">
        <f>IF(AND(I.Developer.P2b=TRUE,I.Facility.P2bFacilityCount&gt;=2719,F12731=""),"Incomplete","Complete")</f>
        <v>Complete</v>
      </c>
      <c r="I12731" s="48" t="s">
        <v>17096</v>
      </c>
    </row>
    <row r="12732" spans="2:9" ht="15" customHeight="1" x14ac:dyDescent="0.25">
      <c r="B12732" s="55" t="s">
        <v>281</v>
      </c>
      <c r="C12732" s="46">
        <v>2720</v>
      </c>
      <c r="D12732" s="69" t="s">
        <v>29418</v>
      </c>
      <c r="E12732" s="51"/>
      <c r="F12732" s="114" t="str">
        <f>IF(INDEX(I.Facility.P2bIDNumber,2720)="","",INDEX(I.Facility.P2bIDNumber,2720))</f>
        <v/>
      </c>
      <c r="G12732" s="51"/>
      <c r="H12732" s="46" t="str">
        <f>IF(AND(I.Developer.P2b=TRUE,I.Facility.P2bFacilityCount&gt;=2720,F12732=""),"Incomplete","Complete")</f>
        <v>Complete</v>
      </c>
      <c r="I12732" s="48" t="s">
        <v>17097</v>
      </c>
    </row>
    <row r="12733" spans="2:9" ht="15" customHeight="1" x14ac:dyDescent="0.25">
      <c r="B12733" s="55" t="s">
        <v>281</v>
      </c>
      <c r="C12733" s="46">
        <v>2721</v>
      </c>
      <c r="D12733" s="69" t="s">
        <v>29418</v>
      </c>
      <c r="E12733" s="51"/>
      <c r="F12733" s="114" t="str">
        <f>IF(INDEX(I.Facility.P2bIDNumber,2721)="","",INDEX(I.Facility.P2bIDNumber,2721))</f>
        <v/>
      </c>
      <c r="G12733" s="51"/>
      <c r="H12733" s="46" t="str">
        <f>IF(AND(I.Developer.P2b=TRUE,I.Facility.P2bFacilityCount&gt;=2721,F12733=""),"Incomplete","Complete")</f>
        <v>Complete</v>
      </c>
      <c r="I12733" s="48" t="s">
        <v>17098</v>
      </c>
    </row>
    <row r="12734" spans="2:9" ht="15" customHeight="1" x14ac:dyDescent="0.25">
      <c r="B12734" s="55" t="s">
        <v>281</v>
      </c>
      <c r="C12734" s="46">
        <v>2722</v>
      </c>
      <c r="D12734" s="69" t="s">
        <v>29418</v>
      </c>
      <c r="E12734" s="51"/>
      <c r="F12734" s="114" t="str">
        <f>IF(INDEX(I.Facility.P2bIDNumber,2722)="","",INDEX(I.Facility.P2bIDNumber,2722))</f>
        <v/>
      </c>
      <c r="G12734" s="51"/>
      <c r="H12734" s="46" t="str">
        <f>IF(AND(I.Developer.P2b=TRUE,I.Facility.P2bFacilityCount&gt;=2722,F12734=""),"Incomplete","Complete")</f>
        <v>Complete</v>
      </c>
      <c r="I12734" s="48" t="s">
        <v>17099</v>
      </c>
    </row>
    <row r="12735" spans="2:9" ht="15" customHeight="1" x14ac:dyDescent="0.25">
      <c r="B12735" s="55" t="s">
        <v>281</v>
      </c>
      <c r="C12735" s="46">
        <v>2723</v>
      </c>
      <c r="D12735" s="69" t="s">
        <v>29418</v>
      </c>
      <c r="E12735" s="51"/>
      <c r="F12735" s="114" t="str">
        <f>IF(INDEX(I.Facility.P2bIDNumber,2723)="","",INDEX(I.Facility.P2bIDNumber,2723))</f>
        <v/>
      </c>
      <c r="G12735" s="51"/>
      <c r="H12735" s="46" t="str">
        <f>IF(AND(I.Developer.P2b=TRUE,I.Facility.P2bFacilityCount&gt;=2723,F12735=""),"Incomplete","Complete")</f>
        <v>Complete</v>
      </c>
      <c r="I12735" s="48" t="s">
        <v>17100</v>
      </c>
    </row>
    <row r="12736" spans="2:9" ht="15" customHeight="1" x14ac:dyDescent="0.25">
      <c r="B12736" s="55" t="s">
        <v>281</v>
      </c>
      <c r="C12736" s="46">
        <v>2724</v>
      </c>
      <c r="D12736" s="69" t="s">
        <v>29418</v>
      </c>
      <c r="E12736" s="51"/>
      <c r="F12736" s="114" t="str">
        <f>IF(INDEX(I.Facility.P2bIDNumber,2724)="","",INDEX(I.Facility.P2bIDNumber,2724))</f>
        <v/>
      </c>
      <c r="G12736" s="51"/>
      <c r="H12736" s="46" t="str">
        <f>IF(AND(I.Developer.P2b=TRUE,I.Facility.P2bFacilityCount&gt;=2724,F12736=""),"Incomplete","Complete")</f>
        <v>Complete</v>
      </c>
      <c r="I12736" s="48" t="s">
        <v>17101</v>
      </c>
    </row>
    <row r="12737" spans="2:9" ht="15" customHeight="1" x14ac:dyDescent="0.25">
      <c r="B12737" s="55" t="s">
        <v>281</v>
      </c>
      <c r="C12737" s="46">
        <v>2725</v>
      </c>
      <c r="D12737" s="69" t="s">
        <v>29418</v>
      </c>
      <c r="E12737" s="51"/>
      <c r="F12737" s="114" t="str">
        <f>IF(INDEX(I.Facility.P2bIDNumber,2725)="","",INDEX(I.Facility.P2bIDNumber,2725))</f>
        <v/>
      </c>
      <c r="G12737" s="51"/>
      <c r="H12737" s="46" t="str">
        <f>IF(AND(I.Developer.P2b=TRUE,I.Facility.P2bFacilityCount&gt;=2725,F12737=""),"Incomplete","Complete")</f>
        <v>Complete</v>
      </c>
      <c r="I12737" s="48" t="s">
        <v>17102</v>
      </c>
    </row>
    <row r="12738" spans="2:9" ht="15" customHeight="1" x14ac:dyDescent="0.25">
      <c r="B12738" s="55" t="s">
        <v>281</v>
      </c>
      <c r="C12738" s="46">
        <v>2726</v>
      </c>
      <c r="D12738" s="69" t="s">
        <v>29418</v>
      </c>
      <c r="E12738" s="51"/>
      <c r="F12738" s="114" t="str">
        <f>IF(INDEX(I.Facility.P2bIDNumber,2726)="","",INDEX(I.Facility.P2bIDNumber,2726))</f>
        <v/>
      </c>
      <c r="G12738" s="51"/>
      <c r="H12738" s="46" t="str">
        <f>IF(AND(I.Developer.P2b=TRUE,I.Facility.P2bFacilityCount&gt;=2726,F12738=""),"Incomplete","Complete")</f>
        <v>Complete</v>
      </c>
      <c r="I12738" s="48" t="s">
        <v>17103</v>
      </c>
    </row>
    <row r="12739" spans="2:9" ht="15" customHeight="1" x14ac:dyDescent="0.25">
      <c r="B12739" s="55" t="s">
        <v>281</v>
      </c>
      <c r="C12739" s="46">
        <v>2727</v>
      </c>
      <c r="D12739" s="69" t="s">
        <v>29418</v>
      </c>
      <c r="E12739" s="51"/>
      <c r="F12739" s="114" t="str">
        <f>IF(INDEX(I.Facility.P2bIDNumber,2727)="","",INDEX(I.Facility.P2bIDNumber,2727))</f>
        <v/>
      </c>
      <c r="G12739" s="51"/>
      <c r="H12739" s="46" t="str">
        <f>IF(AND(I.Developer.P2b=TRUE,I.Facility.P2bFacilityCount&gt;=2727,F12739=""),"Incomplete","Complete")</f>
        <v>Complete</v>
      </c>
      <c r="I12739" s="48" t="s">
        <v>17104</v>
      </c>
    </row>
    <row r="12740" spans="2:9" ht="15" customHeight="1" x14ac:dyDescent="0.25">
      <c r="B12740" s="55" t="s">
        <v>281</v>
      </c>
      <c r="C12740" s="46">
        <v>2728</v>
      </c>
      <c r="D12740" s="69" t="s">
        <v>29418</v>
      </c>
      <c r="E12740" s="51"/>
      <c r="F12740" s="114" t="str">
        <f>IF(INDEX(I.Facility.P2bIDNumber,2728)="","",INDEX(I.Facility.P2bIDNumber,2728))</f>
        <v/>
      </c>
      <c r="G12740" s="51"/>
      <c r="H12740" s="46" t="str">
        <f>IF(AND(I.Developer.P2b=TRUE,I.Facility.P2bFacilityCount&gt;=2728,F12740=""),"Incomplete","Complete")</f>
        <v>Complete</v>
      </c>
      <c r="I12740" s="48" t="s">
        <v>17105</v>
      </c>
    </row>
    <row r="12741" spans="2:9" ht="15" customHeight="1" x14ac:dyDescent="0.25">
      <c r="B12741" s="55" t="s">
        <v>281</v>
      </c>
      <c r="C12741" s="46">
        <v>2729</v>
      </c>
      <c r="D12741" s="69" t="s">
        <v>29418</v>
      </c>
      <c r="E12741" s="51"/>
      <c r="F12741" s="114" t="str">
        <f>IF(INDEX(I.Facility.P2bIDNumber,2729)="","",INDEX(I.Facility.P2bIDNumber,2729))</f>
        <v/>
      </c>
      <c r="G12741" s="51"/>
      <c r="H12741" s="46" t="str">
        <f>IF(AND(I.Developer.P2b=TRUE,I.Facility.P2bFacilityCount&gt;=2729,F12741=""),"Incomplete","Complete")</f>
        <v>Complete</v>
      </c>
      <c r="I12741" s="48" t="s">
        <v>17106</v>
      </c>
    </row>
    <row r="12742" spans="2:9" ht="15" customHeight="1" x14ac:dyDescent="0.25">
      <c r="B12742" s="55" t="s">
        <v>281</v>
      </c>
      <c r="C12742" s="46">
        <v>2730</v>
      </c>
      <c r="D12742" s="69" t="s">
        <v>29418</v>
      </c>
      <c r="E12742" s="51"/>
      <c r="F12742" s="114" t="str">
        <f>IF(INDEX(I.Facility.P2bIDNumber,2730)="","",INDEX(I.Facility.P2bIDNumber,2730))</f>
        <v/>
      </c>
      <c r="G12742" s="51"/>
      <c r="H12742" s="46" t="str">
        <f>IF(AND(I.Developer.P2b=TRUE,I.Facility.P2bFacilityCount&gt;=2730,F12742=""),"Incomplete","Complete")</f>
        <v>Complete</v>
      </c>
      <c r="I12742" s="48" t="s">
        <v>17107</v>
      </c>
    </row>
    <row r="12743" spans="2:9" ht="15" customHeight="1" x14ac:dyDescent="0.25">
      <c r="B12743" s="55" t="s">
        <v>281</v>
      </c>
      <c r="C12743" s="46">
        <v>2731</v>
      </c>
      <c r="D12743" s="69" t="s">
        <v>29418</v>
      </c>
      <c r="E12743" s="51"/>
      <c r="F12743" s="114" t="str">
        <f>IF(INDEX(I.Facility.P2bIDNumber,2731)="","",INDEX(I.Facility.P2bIDNumber,2731))</f>
        <v/>
      </c>
      <c r="G12743" s="51"/>
      <c r="H12743" s="46" t="str">
        <f>IF(AND(I.Developer.P2b=TRUE,I.Facility.P2bFacilityCount&gt;=2731,F12743=""),"Incomplete","Complete")</f>
        <v>Complete</v>
      </c>
      <c r="I12743" s="48" t="s">
        <v>17108</v>
      </c>
    </row>
    <row r="12744" spans="2:9" ht="15" customHeight="1" x14ac:dyDescent="0.25">
      <c r="B12744" s="55" t="s">
        <v>281</v>
      </c>
      <c r="C12744" s="46">
        <v>2732</v>
      </c>
      <c r="D12744" s="69" t="s">
        <v>29418</v>
      </c>
      <c r="E12744" s="51"/>
      <c r="F12744" s="114" t="str">
        <f>IF(INDEX(I.Facility.P2bIDNumber,2732)="","",INDEX(I.Facility.P2bIDNumber,2732))</f>
        <v/>
      </c>
      <c r="G12744" s="51"/>
      <c r="H12744" s="46" t="str">
        <f>IF(AND(I.Developer.P2b=TRUE,I.Facility.P2bFacilityCount&gt;=2732,F12744=""),"Incomplete","Complete")</f>
        <v>Complete</v>
      </c>
      <c r="I12744" s="48" t="s">
        <v>17109</v>
      </c>
    </row>
    <row r="12745" spans="2:9" ht="15" customHeight="1" x14ac:dyDescent="0.25">
      <c r="B12745" s="55" t="s">
        <v>281</v>
      </c>
      <c r="C12745" s="46">
        <v>2733</v>
      </c>
      <c r="D12745" s="69" t="s">
        <v>29418</v>
      </c>
      <c r="E12745" s="51"/>
      <c r="F12745" s="114" t="str">
        <f>IF(INDEX(I.Facility.P2bIDNumber,2733)="","",INDEX(I.Facility.P2bIDNumber,2733))</f>
        <v/>
      </c>
      <c r="G12745" s="51"/>
      <c r="H12745" s="46" t="str">
        <f>IF(AND(I.Developer.P2b=TRUE,I.Facility.P2bFacilityCount&gt;=2733,F12745=""),"Incomplete","Complete")</f>
        <v>Complete</v>
      </c>
      <c r="I12745" s="48" t="s">
        <v>17110</v>
      </c>
    </row>
    <row r="12746" spans="2:9" ht="15" customHeight="1" x14ac:dyDescent="0.25">
      <c r="B12746" s="55" t="s">
        <v>281</v>
      </c>
      <c r="C12746" s="46">
        <v>2734</v>
      </c>
      <c r="D12746" s="69" t="s">
        <v>29418</v>
      </c>
      <c r="E12746" s="51"/>
      <c r="F12746" s="114" t="str">
        <f>IF(INDEX(I.Facility.P2bIDNumber,2734)="","",INDEX(I.Facility.P2bIDNumber,2734))</f>
        <v/>
      </c>
      <c r="G12746" s="51"/>
      <c r="H12746" s="46" t="str">
        <f>IF(AND(I.Developer.P2b=TRUE,I.Facility.P2bFacilityCount&gt;=2734,F12746=""),"Incomplete","Complete")</f>
        <v>Complete</v>
      </c>
      <c r="I12746" s="48" t="s">
        <v>17111</v>
      </c>
    </row>
    <row r="12747" spans="2:9" ht="15" customHeight="1" x14ac:dyDescent="0.25">
      <c r="B12747" s="55" t="s">
        <v>281</v>
      </c>
      <c r="C12747" s="46">
        <v>2735</v>
      </c>
      <c r="D12747" s="69" t="s">
        <v>29418</v>
      </c>
      <c r="E12747" s="51"/>
      <c r="F12747" s="114" t="str">
        <f>IF(INDEX(I.Facility.P2bIDNumber,2735)="","",INDEX(I.Facility.P2bIDNumber,2735))</f>
        <v/>
      </c>
      <c r="G12747" s="51"/>
      <c r="H12747" s="46" t="str">
        <f>IF(AND(I.Developer.P2b=TRUE,I.Facility.P2bFacilityCount&gt;=2735,F12747=""),"Incomplete","Complete")</f>
        <v>Complete</v>
      </c>
      <c r="I12747" s="48" t="s">
        <v>17112</v>
      </c>
    </row>
    <row r="12748" spans="2:9" ht="15" customHeight="1" x14ac:dyDescent="0.25">
      <c r="B12748" s="55" t="s">
        <v>281</v>
      </c>
      <c r="C12748" s="46">
        <v>2736</v>
      </c>
      <c r="D12748" s="69" t="s">
        <v>29418</v>
      </c>
      <c r="E12748" s="51"/>
      <c r="F12748" s="114" t="str">
        <f>IF(INDEX(I.Facility.P2bIDNumber,2736)="","",INDEX(I.Facility.P2bIDNumber,2736))</f>
        <v/>
      </c>
      <c r="G12748" s="51"/>
      <c r="H12748" s="46" t="str">
        <f>IF(AND(I.Developer.P2b=TRUE,I.Facility.P2bFacilityCount&gt;=2736,F12748=""),"Incomplete","Complete")</f>
        <v>Complete</v>
      </c>
      <c r="I12748" s="48" t="s">
        <v>17113</v>
      </c>
    </row>
    <row r="12749" spans="2:9" ht="15" customHeight="1" x14ac:dyDescent="0.25">
      <c r="B12749" s="55" t="s">
        <v>281</v>
      </c>
      <c r="C12749" s="46">
        <v>2737</v>
      </c>
      <c r="D12749" s="69" t="s">
        <v>29418</v>
      </c>
      <c r="E12749" s="51"/>
      <c r="F12749" s="114" t="str">
        <f>IF(INDEX(I.Facility.P2bIDNumber,2737)="","",INDEX(I.Facility.P2bIDNumber,2737))</f>
        <v/>
      </c>
      <c r="G12749" s="51"/>
      <c r="H12749" s="46" t="str">
        <f>IF(AND(I.Developer.P2b=TRUE,I.Facility.P2bFacilityCount&gt;=2737,F12749=""),"Incomplete","Complete")</f>
        <v>Complete</v>
      </c>
      <c r="I12749" s="48" t="s">
        <v>17114</v>
      </c>
    </row>
    <row r="12750" spans="2:9" ht="15" customHeight="1" x14ac:dyDescent="0.25">
      <c r="B12750" s="55" t="s">
        <v>281</v>
      </c>
      <c r="C12750" s="46">
        <v>2738</v>
      </c>
      <c r="D12750" s="69" t="s">
        <v>29418</v>
      </c>
      <c r="E12750" s="51"/>
      <c r="F12750" s="114" t="str">
        <f>IF(INDEX(I.Facility.P2bIDNumber,2738)="","",INDEX(I.Facility.P2bIDNumber,2738))</f>
        <v/>
      </c>
      <c r="G12750" s="51"/>
      <c r="H12750" s="46" t="str">
        <f>IF(AND(I.Developer.P2b=TRUE,I.Facility.P2bFacilityCount&gt;=2738,F12750=""),"Incomplete","Complete")</f>
        <v>Complete</v>
      </c>
      <c r="I12750" s="48" t="s">
        <v>17115</v>
      </c>
    </row>
    <row r="12751" spans="2:9" ht="15" customHeight="1" x14ac:dyDescent="0.25">
      <c r="B12751" s="55" t="s">
        <v>281</v>
      </c>
      <c r="C12751" s="46">
        <v>2739</v>
      </c>
      <c r="D12751" s="69" t="s">
        <v>29418</v>
      </c>
      <c r="E12751" s="51"/>
      <c r="F12751" s="114" t="str">
        <f>IF(INDEX(I.Facility.P2bIDNumber,2739)="","",INDEX(I.Facility.P2bIDNumber,2739))</f>
        <v/>
      </c>
      <c r="G12751" s="51"/>
      <c r="H12751" s="46" t="str">
        <f>IF(AND(I.Developer.P2b=TRUE,I.Facility.P2bFacilityCount&gt;=2739,F12751=""),"Incomplete","Complete")</f>
        <v>Complete</v>
      </c>
      <c r="I12751" s="48" t="s">
        <v>17116</v>
      </c>
    </row>
    <row r="12752" spans="2:9" ht="15" customHeight="1" x14ac:dyDescent="0.25">
      <c r="B12752" s="55" t="s">
        <v>281</v>
      </c>
      <c r="C12752" s="46">
        <v>2740</v>
      </c>
      <c r="D12752" s="69" t="s">
        <v>29418</v>
      </c>
      <c r="E12752" s="51"/>
      <c r="F12752" s="114" t="str">
        <f>IF(INDEX(I.Facility.P2bIDNumber,2740)="","",INDEX(I.Facility.P2bIDNumber,2740))</f>
        <v/>
      </c>
      <c r="G12752" s="51"/>
      <c r="H12752" s="46" t="str">
        <f>IF(AND(I.Developer.P2b=TRUE,I.Facility.P2bFacilityCount&gt;=2740,F12752=""),"Incomplete","Complete")</f>
        <v>Complete</v>
      </c>
      <c r="I12752" s="48" t="s">
        <v>17117</v>
      </c>
    </row>
    <row r="12753" spans="2:9" ht="15" customHeight="1" x14ac:dyDescent="0.25">
      <c r="B12753" s="55" t="s">
        <v>281</v>
      </c>
      <c r="C12753" s="46">
        <v>2741</v>
      </c>
      <c r="D12753" s="69" t="s">
        <v>29418</v>
      </c>
      <c r="E12753" s="51"/>
      <c r="F12753" s="114" t="str">
        <f>IF(INDEX(I.Facility.P2bIDNumber,2741)="","",INDEX(I.Facility.P2bIDNumber,2741))</f>
        <v/>
      </c>
      <c r="G12753" s="51"/>
      <c r="H12753" s="46" t="str">
        <f>IF(AND(I.Developer.P2b=TRUE,I.Facility.P2bFacilityCount&gt;=2741,F12753=""),"Incomplete","Complete")</f>
        <v>Complete</v>
      </c>
      <c r="I12753" s="48" t="s">
        <v>17118</v>
      </c>
    </row>
    <row r="12754" spans="2:9" ht="15" customHeight="1" x14ac:dyDescent="0.25">
      <c r="B12754" s="55" t="s">
        <v>281</v>
      </c>
      <c r="C12754" s="46">
        <v>2742</v>
      </c>
      <c r="D12754" s="69" t="s">
        <v>29418</v>
      </c>
      <c r="E12754" s="51"/>
      <c r="F12754" s="114" t="str">
        <f>IF(INDEX(I.Facility.P2bIDNumber,2742)="","",INDEX(I.Facility.P2bIDNumber,2742))</f>
        <v/>
      </c>
      <c r="G12754" s="51"/>
      <c r="H12754" s="46" t="str">
        <f>IF(AND(I.Developer.P2b=TRUE,I.Facility.P2bFacilityCount&gt;=2742,F12754=""),"Incomplete","Complete")</f>
        <v>Complete</v>
      </c>
      <c r="I12754" s="48" t="s">
        <v>17119</v>
      </c>
    </row>
    <row r="12755" spans="2:9" ht="15" customHeight="1" x14ac:dyDescent="0.25">
      <c r="B12755" s="55" t="s">
        <v>281</v>
      </c>
      <c r="C12755" s="46">
        <v>2743</v>
      </c>
      <c r="D12755" s="69" t="s">
        <v>29418</v>
      </c>
      <c r="E12755" s="51"/>
      <c r="F12755" s="114" t="str">
        <f>IF(INDEX(I.Facility.P2bIDNumber,2743)="","",INDEX(I.Facility.P2bIDNumber,2743))</f>
        <v/>
      </c>
      <c r="G12755" s="51"/>
      <c r="H12755" s="46" t="str">
        <f>IF(AND(I.Developer.P2b=TRUE,I.Facility.P2bFacilityCount&gt;=2743,F12755=""),"Incomplete","Complete")</f>
        <v>Complete</v>
      </c>
      <c r="I12755" s="48" t="s">
        <v>17120</v>
      </c>
    </row>
    <row r="12756" spans="2:9" ht="15" customHeight="1" x14ac:dyDescent="0.25">
      <c r="B12756" s="55" t="s">
        <v>281</v>
      </c>
      <c r="C12756" s="46">
        <v>2744</v>
      </c>
      <c r="D12756" s="69" t="s">
        <v>29418</v>
      </c>
      <c r="E12756" s="51"/>
      <c r="F12756" s="114" t="str">
        <f>IF(INDEX(I.Facility.P2bIDNumber,2744)="","",INDEX(I.Facility.P2bIDNumber,2744))</f>
        <v/>
      </c>
      <c r="G12756" s="51"/>
      <c r="H12756" s="46" t="str">
        <f>IF(AND(I.Developer.P2b=TRUE,I.Facility.P2bFacilityCount&gt;=2744,F12756=""),"Incomplete","Complete")</f>
        <v>Complete</v>
      </c>
      <c r="I12756" s="48" t="s">
        <v>17121</v>
      </c>
    </row>
    <row r="12757" spans="2:9" ht="15" customHeight="1" x14ac:dyDescent="0.25">
      <c r="B12757" s="55" t="s">
        <v>281</v>
      </c>
      <c r="C12757" s="46">
        <v>2745</v>
      </c>
      <c r="D12757" s="69" t="s">
        <v>29418</v>
      </c>
      <c r="E12757" s="51"/>
      <c r="F12757" s="114" t="str">
        <f>IF(INDEX(I.Facility.P2bIDNumber,2745)="","",INDEX(I.Facility.P2bIDNumber,2745))</f>
        <v/>
      </c>
      <c r="G12757" s="51"/>
      <c r="H12757" s="46" t="str">
        <f>IF(AND(I.Developer.P2b=TRUE,I.Facility.P2bFacilityCount&gt;=2745,F12757=""),"Incomplete","Complete")</f>
        <v>Complete</v>
      </c>
      <c r="I12757" s="48" t="s">
        <v>17122</v>
      </c>
    </row>
    <row r="12758" spans="2:9" ht="15" customHeight="1" x14ac:dyDescent="0.25">
      <c r="B12758" s="55" t="s">
        <v>281</v>
      </c>
      <c r="C12758" s="46">
        <v>2746</v>
      </c>
      <c r="D12758" s="69" t="s">
        <v>29418</v>
      </c>
      <c r="E12758" s="51"/>
      <c r="F12758" s="114" t="str">
        <f>IF(INDEX(I.Facility.P2bIDNumber,2746)="","",INDEX(I.Facility.P2bIDNumber,2746))</f>
        <v/>
      </c>
      <c r="G12758" s="51"/>
      <c r="H12758" s="46" t="str">
        <f>IF(AND(I.Developer.P2b=TRUE,I.Facility.P2bFacilityCount&gt;=2746,F12758=""),"Incomplete","Complete")</f>
        <v>Complete</v>
      </c>
      <c r="I12758" s="48" t="s">
        <v>17123</v>
      </c>
    </row>
    <row r="12759" spans="2:9" ht="15" customHeight="1" x14ac:dyDescent="0.25">
      <c r="B12759" s="55" t="s">
        <v>281</v>
      </c>
      <c r="C12759" s="46">
        <v>2747</v>
      </c>
      <c r="D12759" s="69" t="s">
        <v>29418</v>
      </c>
      <c r="E12759" s="51"/>
      <c r="F12759" s="114" t="str">
        <f>IF(INDEX(I.Facility.P2bIDNumber,2747)="","",INDEX(I.Facility.P2bIDNumber,2747))</f>
        <v/>
      </c>
      <c r="G12759" s="51"/>
      <c r="H12759" s="46" t="str">
        <f>IF(AND(I.Developer.P2b=TRUE,I.Facility.P2bFacilityCount&gt;=2747,F12759=""),"Incomplete","Complete")</f>
        <v>Complete</v>
      </c>
      <c r="I12759" s="48" t="s">
        <v>17124</v>
      </c>
    </row>
    <row r="12760" spans="2:9" ht="15" customHeight="1" x14ac:dyDescent="0.25">
      <c r="B12760" s="55" t="s">
        <v>281</v>
      </c>
      <c r="C12760" s="46">
        <v>2748</v>
      </c>
      <c r="D12760" s="69" t="s">
        <v>29418</v>
      </c>
      <c r="E12760" s="51"/>
      <c r="F12760" s="114" t="str">
        <f>IF(INDEX(I.Facility.P2bIDNumber,2748)="","",INDEX(I.Facility.P2bIDNumber,2748))</f>
        <v/>
      </c>
      <c r="G12760" s="51"/>
      <c r="H12760" s="46" t="str">
        <f>IF(AND(I.Developer.P2b=TRUE,I.Facility.P2bFacilityCount&gt;=2748,F12760=""),"Incomplete","Complete")</f>
        <v>Complete</v>
      </c>
      <c r="I12760" s="48" t="s">
        <v>17125</v>
      </c>
    </row>
    <row r="12761" spans="2:9" ht="15" customHeight="1" x14ac:dyDescent="0.25">
      <c r="B12761" s="55" t="s">
        <v>281</v>
      </c>
      <c r="C12761" s="46">
        <v>2749</v>
      </c>
      <c r="D12761" s="69" t="s">
        <v>29418</v>
      </c>
      <c r="E12761" s="51"/>
      <c r="F12761" s="114" t="str">
        <f>IF(INDEX(I.Facility.P2bIDNumber,2749)="","",INDEX(I.Facility.P2bIDNumber,2749))</f>
        <v/>
      </c>
      <c r="G12761" s="51"/>
      <c r="H12761" s="46" t="str">
        <f>IF(AND(I.Developer.P2b=TRUE,I.Facility.P2bFacilityCount&gt;=2749,F12761=""),"Incomplete","Complete")</f>
        <v>Complete</v>
      </c>
      <c r="I12761" s="48" t="s">
        <v>17126</v>
      </c>
    </row>
    <row r="12762" spans="2:9" ht="15" customHeight="1" x14ac:dyDescent="0.25">
      <c r="B12762" s="55" t="s">
        <v>281</v>
      </c>
      <c r="C12762" s="46">
        <v>2750</v>
      </c>
      <c r="D12762" s="69" t="s">
        <v>29418</v>
      </c>
      <c r="E12762" s="51"/>
      <c r="F12762" s="114" t="str">
        <f>IF(INDEX(I.Facility.P2bIDNumber,2750)="","",INDEX(I.Facility.P2bIDNumber,2750))</f>
        <v/>
      </c>
      <c r="G12762" s="51"/>
      <c r="H12762" s="46" t="str">
        <f>IF(AND(I.Developer.P2b=TRUE,I.Facility.P2bFacilityCount&gt;=2750,F12762=""),"Incomplete","Complete")</f>
        <v>Complete</v>
      </c>
      <c r="I12762" s="48" t="s">
        <v>17127</v>
      </c>
    </row>
    <row r="12763" spans="2:9" ht="15" customHeight="1" x14ac:dyDescent="0.25">
      <c r="B12763" s="55" t="s">
        <v>281</v>
      </c>
      <c r="C12763" s="46">
        <v>2751</v>
      </c>
      <c r="D12763" s="69" t="s">
        <v>29418</v>
      </c>
      <c r="E12763" s="51"/>
      <c r="F12763" s="114" t="str">
        <f>IF(INDEX(I.Facility.P2bIDNumber,2751)="","",INDEX(I.Facility.P2bIDNumber,2751))</f>
        <v/>
      </c>
      <c r="G12763" s="51"/>
      <c r="H12763" s="46" t="str">
        <f>IF(AND(I.Developer.P2b=TRUE,I.Facility.P2bFacilityCount&gt;=2751,F12763=""),"Incomplete","Complete")</f>
        <v>Complete</v>
      </c>
      <c r="I12763" s="48" t="s">
        <v>17128</v>
      </c>
    </row>
    <row r="12764" spans="2:9" ht="15" customHeight="1" x14ac:dyDescent="0.25">
      <c r="B12764" s="55" t="s">
        <v>281</v>
      </c>
      <c r="C12764" s="46">
        <v>2752</v>
      </c>
      <c r="D12764" s="69" t="s">
        <v>29418</v>
      </c>
      <c r="E12764" s="51"/>
      <c r="F12764" s="114" t="str">
        <f>IF(INDEX(I.Facility.P2bIDNumber,2752)="","",INDEX(I.Facility.P2bIDNumber,2752))</f>
        <v/>
      </c>
      <c r="G12764" s="51"/>
      <c r="H12764" s="46" t="str">
        <f>IF(AND(I.Developer.P2b=TRUE,I.Facility.P2bFacilityCount&gt;=2752,F12764=""),"Incomplete","Complete")</f>
        <v>Complete</v>
      </c>
      <c r="I12764" s="48" t="s">
        <v>17129</v>
      </c>
    </row>
    <row r="12765" spans="2:9" ht="15" customHeight="1" x14ac:dyDescent="0.25">
      <c r="B12765" s="55" t="s">
        <v>281</v>
      </c>
      <c r="C12765" s="46">
        <v>2753</v>
      </c>
      <c r="D12765" s="69" t="s">
        <v>29418</v>
      </c>
      <c r="E12765" s="51"/>
      <c r="F12765" s="114" t="str">
        <f>IF(INDEX(I.Facility.P2bIDNumber,2753)="","",INDEX(I.Facility.P2bIDNumber,2753))</f>
        <v/>
      </c>
      <c r="G12765" s="51"/>
      <c r="H12765" s="46" t="str">
        <f>IF(AND(I.Developer.P2b=TRUE,I.Facility.P2bFacilityCount&gt;=2753,F12765=""),"Incomplete","Complete")</f>
        <v>Complete</v>
      </c>
      <c r="I12765" s="48" t="s">
        <v>17130</v>
      </c>
    </row>
    <row r="12766" spans="2:9" ht="15" customHeight="1" x14ac:dyDescent="0.25">
      <c r="B12766" s="55" t="s">
        <v>281</v>
      </c>
      <c r="C12766" s="46">
        <v>2754</v>
      </c>
      <c r="D12766" s="69" t="s">
        <v>29418</v>
      </c>
      <c r="E12766" s="51"/>
      <c r="F12766" s="114" t="str">
        <f>IF(INDEX(I.Facility.P2bIDNumber,2754)="","",INDEX(I.Facility.P2bIDNumber,2754))</f>
        <v/>
      </c>
      <c r="G12766" s="51"/>
      <c r="H12766" s="46" t="str">
        <f>IF(AND(I.Developer.P2b=TRUE,I.Facility.P2bFacilityCount&gt;=2754,F12766=""),"Incomplete","Complete")</f>
        <v>Complete</v>
      </c>
      <c r="I12766" s="48" t="s">
        <v>17131</v>
      </c>
    </row>
    <row r="12767" spans="2:9" ht="15" customHeight="1" x14ac:dyDescent="0.25">
      <c r="B12767" s="55" t="s">
        <v>281</v>
      </c>
      <c r="C12767" s="46">
        <v>2755</v>
      </c>
      <c r="D12767" s="69" t="s">
        <v>29418</v>
      </c>
      <c r="E12767" s="51"/>
      <c r="F12767" s="114" t="str">
        <f>IF(INDEX(I.Facility.P2bIDNumber,2755)="","",INDEX(I.Facility.P2bIDNumber,2755))</f>
        <v/>
      </c>
      <c r="G12767" s="51"/>
      <c r="H12767" s="46" t="str">
        <f>IF(AND(I.Developer.P2b=TRUE,I.Facility.P2bFacilityCount&gt;=2755,F12767=""),"Incomplete","Complete")</f>
        <v>Complete</v>
      </c>
      <c r="I12767" s="48" t="s">
        <v>17132</v>
      </c>
    </row>
    <row r="12768" spans="2:9" ht="15" customHeight="1" x14ac:dyDescent="0.25">
      <c r="B12768" s="55" t="s">
        <v>281</v>
      </c>
      <c r="C12768" s="46">
        <v>2756</v>
      </c>
      <c r="D12768" s="69" t="s">
        <v>29418</v>
      </c>
      <c r="E12768" s="51"/>
      <c r="F12768" s="114" t="str">
        <f>IF(INDEX(I.Facility.P2bIDNumber,2756)="","",INDEX(I.Facility.P2bIDNumber,2756))</f>
        <v/>
      </c>
      <c r="G12768" s="51"/>
      <c r="H12768" s="46" t="str">
        <f>IF(AND(I.Developer.P2b=TRUE,I.Facility.P2bFacilityCount&gt;=2756,F12768=""),"Incomplete","Complete")</f>
        <v>Complete</v>
      </c>
      <c r="I12768" s="48" t="s">
        <v>17133</v>
      </c>
    </row>
    <row r="12769" spans="2:9" ht="15" customHeight="1" x14ac:dyDescent="0.25">
      <c r="B12769" s="55" t="s">
        <v>281</v>
      </c>
      <c r="C12769" s="46">
        <v>2757</v>
      </c>
      <c r="D12769" s="69" t="s">
        <v>29418</v>
      </c>
      <c r="E12769" s="51"/>
      <c r="F12769" s="114" t="str">
        <f>IF(INDEX(I.Facility.P2bIDNumber,2757)="","",INDEX(I.Facility.P2bIDNumber,2757))</f>
        <v/>
      </c>
      <c r="G12769" s="51"/>
      <c r="H12769" s="46" t="str">
        <f>IF(AND(I.Developer.P2b=TRUE,I.Facility.P2bFacilityCount&gt;=2757,F12769=""),"Incomplete","Complete")</f>
        <v>Complete</v>
      </c>
      <c r="I12769" s="48" t="s">
        <v>17134</v>
      </c>
    </row>
    <row r="12770" spans="2:9" ht="15" customHeight="1" x14ac:dyDescent="0.25">
      <c r="B12770" s="55" t="s">
        <v>281</v>
      </c>
      <c r="C12770" s="46">
        <v>2758</v>
      </c>
      <c r="D12770" s="69" t="s">
        <v>29418</v>
      </c>
      <c r="E12770" s="51"/>
      <c r="F12770" s="114" t="str">
        <f>IF(INDEX(I.Facility.P2bIDNumber,2758)="","",INDEX(I.Facility.P2bIDNumber,2758))</f>
        <v/>
      </c>
      <c r="G12770" s="51"/>
      <c r="H12770" s="46" t="str">
        <f>IF(AND(I.Developer.P2b=TRUE,I.Facility.P2bFacilityCount&gt;=2758,F12770=""),"Incomplete","Complete")</f>
        <v>Complete</v>
      </c>
      <c r="I12770" s="48" t="s">
        <v>17135</v>
      </c>
    </row>
    <row r="12771" spans="2:9" ht="15" customHeight="1" x14ac:dyDescent="0.25">
      <c r="B12771" s="55" t="s">
        <v>281</v>
      </c>
      <c r="C12771" s="46">
        <v>2759</v>
      </c>
      <c r="D12771" s="69" t="s">
        <v>29418</v>
      </c>
      <c r="E12771" s="51"/>
      <c r="F12771" s="114" t="str">
        <f>IF(INDEX(I.Facility.P2bIDNumber,2759)="","",INDEX(I.Facility.P2bIDNumber,2759))</f>
        <v/>
      </c>
      <c r="G12771" s="51"/>
      <c r="H12771" s="46" t="str">
        <f>IF(AND(I.Developer.P2b=TRUE,I.Facility.P2bFacilityCount&gt;=2759,F12771=""),"Incomplete","Complete")</f>
        <v>Complete</v>
      </c>
      <c r="I12771" s="48" t="s">
        <v>17136</v>
      </c>
    </row>
    <row r="12772" spans="2:9" ht="15" customHeight="1" x14ac:dyDescent="0.25">
      <c r="B12772" s="55" t="s">
        <v>281</v>
      </c>
      <c r="C12772" s="46">
        <v>2760</v>
      </c>
      <c r="D12772" s="69" t="s">
        <v>29418</v>
      </c>
      <c r="E12772" s="51"/>
      <c r="F12772" s="114" t="str">
        <f>IF(INDEX(I.Facility.P2bIDNumber,2760)="","",INDEX(I.Facility.P2bIDNumber,2760))</f>
        <v/>
      </c>
      <c r="G12772" s="51"/>
      <c r="H12772" s="46" t="str">
        <f>IF(AND(I.Developer.P2b=TRUE,I.Facility.P2bFacilityCount&gt;=2760,F12772=""),"Incomplete","Complete")</f>
        <v>Complete</v>
      </c>
      <c r="I12772" s="48" t="s">
        <v>17137</v>
      </c>
    </row>
    <row r="12773" spans="2:9" ht="15" customHeight="1" x14ac:dyDescent="0.25">
      <c r="B12773" s="55" t="s">
        <v>281</v>
      </c>
      <c r="C12773" s="46">
        <v>2761</v>
      </c>
      <c r="D12773" s="69" t="s">
        <v>29418</v>
      </c>
      <c r="E12773" s="51"/>
      <c r="F12773" s="114" t="str">
        <f>IF(INDEX(I.Facility.P2bIDNumber,2761)="","",INDEX(I.Facility.P2bIDNumber,2761))</f>
        <v/>
      </c>
      <c r="G12773" s="51"/>
      <c r="H12773" s="46" t="str">
        <f>IF(AND(I.Developer.P2b=TRUE,I.Facility.P2bFacilityCount&gt;=2761,F12773=""),"Incomplete","Complete")</f>
        <v>Complete</v>
      </c>
      <c r="I12773" s="48" t="s">
        <v>17138</v>
      </c>
    </row>
    <row r="12774" spans="2:9" ht="15" customHeight="1" x14ac:dyDescent="0.25">
      <c r="B12774" s="55" t="s">
        <v>281</v>
      </c>
      <c r="C12774" s="46">
        <v>2762</v>
      </c>
      <c r="D12774" s="69" t="s">
        <v>29418</v>
      </c>
      <c r="E12774" s="51"/>
      <c r="F12774" s="114" t="str">
        <f>IF(INDEX(I.Facility.P2bIDNumber,2762)="","",INDEX(I.Facility.P2bIDNumber,2762))</f>
        <v/>
      </c>
      <c r="G12774" s="51"/>
      <c r="H12774" s="46" t="str">
        <f>IF(AND(I.Developer.P2b=TRUE,I.Facility.P2bFacilityCount&gt;=2762,F12774=""),"Incomplete","Complete")</f>
        <v>Complete</v>
      </c>
      <c r="I12774" s="48" t="s">
        <v>17139</v>
      </c>
    </row>
    <row r="12775" spans="2:9" ht="15" customHeight="1" x14ac:dyDescent="0.25">
      <c r="B12775" s="55" t="s">
        <v>281</v>
      </c>
      <c r="C12775" s="46">
        <v>2763</v>
      </c>
      <c r="D12775" s="69" t="s">
        <v>29418</v>
      </c>
      <c r="E12775" s="51"/>
      <c r="F12775" s="114" t="str">
        <f>IF(INDEX(I.Facility.P2bIDNumber,2763)="","",INDEX(I.Facility.P2bIDNumber,2763))</f>
        <v/>
      </c>
      <c r="G12775" s="51"/>
      <c r="H12775" s="46" t="str">
        <f>IF(AND(I.Developer.P2b=TRUE,I.Facility.P2bFacilityCount&gt;=2763,F12775=""),"Incomplete","Complete")</f>
        <v>Complete</v>
      </c>
      <c r="I12775" s="48" t="s">
        <v>17140</v>
      </c>
    </row>
    <row r="12776" spans="2:9" ht="15" customHeight="1" x14ac:dyDescent="0.25">
      <c r="B12776" s="55" t="s">
        <v>281</v>
      </c>
      <c r="C12776" s="46">
        <v>2764</v>
      </c>
      <c r="D12776" s="69" t="s">
        <v>29418</v>
      </c>
      <c r="E12776" s="51"/>
      <c r="F12776" s="114" t="str">
        <f>IF(INDEX(I.Facility.P2bIDNumber,2764)="","",INDEX(I.Facility.P2bIDNumber,2764))</f>
        <v/>
      </c>
      <c r="G12776" s="51"/>
      <c r="H12776" s="46" t="str">
        <f>IF(AND(I.Developer.P2b=TRUE,I.Facility.P2bFacilityCount&gt;=2764,F12776=""),"Incomplete","Complete")</f>
        <v>Complete</v>
      </c>
      <c r="I12776" s="48" t="s">
        <v>17141</v>
      </c>
    </row>
    <row r="12777" spans="2:9" ht="15" customHeight="1" x14ac:dyDescent="0.25">
      <c r="B12777" s="55" t="s">
        <v>281</v>
      </c>
      <c r="C12777" s="46">
        <v>2765</v>
      </c>
      <c r="D12777" s="69" t="s">
        <v>29418</v>
      </c>
      <c r="E12777" s="51"/>
      <c r="F12777" s="114" t="str">
        <f>IF(INDEX(I.Facility.P2bIDNumber,2765)="","",INDEX(I.Facility.P2bIDNumber,2765))</f>
        <v/>
      </c>
      <c r="G12777" s="51"/>
      <c r="H12777" s="46" t="str">
        <f>IF(AND(I.Developer.P2b=TRUE,I.Facility.P2bFacilityCount&gt;=2765,F12777=""),"Incomplete","Complete")</f>
        <v>Complete</v>
      </c>
      <c r="I12777" s="48" t="s">
        <v>17142</v>
      </c>
    </row>
    <row r="12778" spans="2:9" ht="15" customHeight="1" x14ac:dyDescent="0.25">
      <c r="B12778" s="55" t="s">
        <v>281</v>
      </c>
      <c r="C12778" s="46">
        <v>2766</v>
      </c>
      <c r="D12778" s="69" t="s">
        <v>29418</v>
      </c>
      <c r="E12778" s="51"/>
      <c r="F12778" s="114" t="str">
        <f>IF(INDEX(I.Facility.P2bIDNumber,2766)="","",INDEX(I.Facility.P2bIDNumber,2766))</f>
        <v/>
      </c>
      <c r="G12778" s="51"/>
      <c r="H12778" s="46" t="str">
        <f>IF(AND(I.Developer.P2b=TRUE,I.Facility.P2bFacilityCount&gt;=2766,F12778=""),"Incomplete","Complete")</f>
        <v>Complete</v>
      </c>
      <c r="I12778" s="48" t="s">
        <v>17143</v>
      </c>
    </row>
    <row r="12779" spans="2:9" ht="15" customHeight="1" x14ac:dyDescent="0.25">
      <c r="B12779" s="55" t="s">
        <v>281</v>
      </c>
      <c r="C12779" s="46">
        <v>2767</v>
      </c>
      <c r="D12779" s="69" t="s">
        <v>29418</v>
      </c>
      <c r="E12779" s="51"/>
      <c r="F12779" s="114" t="str">
        <f>IF(INDEX(I.Facility.P2bIDNumber,2767)="","",INDEX(I.Facility.P2bIDNumber,2767))</f>
        <v/>
      </c>
      <c r="G12779" s="51"/>
      <c r="H12779" s="46" t="str">
        <f>IF(AND(I.Developer.P2b=TRUE,I.Facility.P2bFacilityCount&gt;=2767,F12779=""),"Incomplete","Complete")</f>
        <v>Complete</v>
      </c>
      <c r="I12779" s="48" t="s">
        <v>17144</v>
      </c>
    </row>
    <row r="12780" spans="2:9" ht="15" customHeight="1" x14ac:dyDescent="0.25">
      <c r="B12780" s="55" t="s">
        <v>281</v>
      </c>
      <c r="C12780" s="46">
        <v>2768</v>
      </c>
      <c r="D12780" s="69" t="s">
        <v>29418</v>
      </c>
      <c r="E12780" s="51"/>
      <c r="F12780" s="114" t="str">
        <f>IF(INDEX(I.Facility.P2bIDNumber,2768)="","",INDEX(I.Facility.P2bIDNumber,2768))</f>
        <v/>
      </c>
      <c r="G12780" s="51"/>
      <c r="H12780" s="46" t="str">
        <f>IF(AND(I.Developer.P2b=TRUE,I.Facility.P2bFacilityCount&gt;=2768,F12780=""),"Incomplete","Complete")</f>
        <v>Complete</v>
      </c>
      <c r="I12780" s="48" t="s">
        <v>17145</v>
      </c>
    </row>
    <row r="12781" spans="2:9" ht="15" customHeight="1" x14ac:dyDescent="0.25">
      <c r="B12781" s="55" t="s">
        <v>281</v>
      </c>
      <c r="C12781" s="46">
        <v>2769</v>
      </c>
      <c r="D12781" s="69" t="s">
        <v>29418</v>
      </c>
      <c r="E12781" s="51"/>
      <c r="F12781" s="114" t="str">
        <f>IF(INDEX(I.Facility.P2bIDNumber,2769)="","",INDEX(I.Facility.P2bIDNumber,2769))</f>
        <v/>
      </c>
      <c r="G12781" s="51"/>
      <c r="H12781" s="46" t="str">
        <f>IF(AND(I.Developer.P2b=TRUE,I.Facility.P2bFacilityCount&gt;=2769,F12781=""),"Incomplete","Complete")</f>
        <v>Complete</v>
      </c>
      <c r="I12781" s="48" t="s">
        <v>17146</v>
      </c>
    </row>
    <row r="12782" spans="2:9" ht="15" customHeight="1" x14ac:dyDescent="0.25">
      <c r="B12782" s="55" t="s">
        <v>281</v>
      </c>
      <c r="C12782" s="46">
        <v>2770</v>
      </c>
      <c r="D12782" s="69" t="s">
        <v>29418</v>
      </c>
      <c r="E12782" s="51"/>
      <c r="F12782" s="114" t="str">
        <f>IF(INDEX(I.Facility.P2bIDNumber,2770)="","",INDEX(I.Facility.P2bIDNumber,2770))</f>
        <v/>
      </c>
      <c r="G12782" s="51"/>
      <c r="H12782" s="46" t="str">
        <f>IF(AND(I.Developer.P2b=TRUE,I.Facility.P2bFacilityCount&gt;=2770,F12782=""),"Incomplete","Complete")</f>
        <v>Complete</v>
      </c>
      <c r="I12782" s="48" t="s">
        <v>17147</v>
      </c>
    </row>
    <row r="12783" spans="2:9" ht="15" customHeight="1" x14ac:dyDescent="0.25">
      <c r="B12783" s="55" t="s">
        <v>281</v>
      </c>
      <c r="C12783" s="46">
        <v>2771</v>
      </c>
      <c r="D12783" s="69" t="s">
        <v>29418</v>
      </c>
      <c r="E12783" s="51"/>
      <c r="F12783" s="114" t="str">
        <f>IF(INDEX(I.Facility.P2bIDNumber,2771)="","",INDEX(I.Facility.P2bIDNumber,2771))</f>
        <v/>
      </c>
      <c r="G12783" s="51"/>
      <c r="H12783" s="46" t="str">
        <f>IF(AND(I.Developer.P2b=TRUE,I.Facility.P2bFacilityCount&gt;=2771,F12783=""),"Incomplete","Complete")</f>
        <v>Complete</v>
      </c>
      <c r="I12783" s="48" t="s">
        <v>17148</v>
      </c>
    </row>
    <row r="12784" spans="2:9" ht="15" customHeight="1" x14ac:dyDescent="0.25">
      <c r="B12784" s="55" t="s">
        <v>281</v>
      </c>
      <c r="C12784" s="46">
        <v>2772</v>
      </c>
      <c r="D12784" s="69" t="s">
        <v>29418</v>
      </c>
      <c r="E12784" s="51"/>
      <c r="F12784" s="114" t="str">
        <f>IF(INDEX(I.Facility.P2bIDNumber,2772)="","",INDEX(I.Facility.P2bIDNumber,2772))</f>
        <v/>
      </c>
      <c r="G12784" s="51"/>
      <c r="H12784" s="46" t="str">
        <f>IF(AND(I.Developer.P2b=TRUE,I.Facility.P2bFacilityCount&gt;=2772,F12784=""),"Incomplete","Complete")</f>
        <v>Complete</v>
      </c>
      <c r="I12784" s="48" t="s">
        <v>17149</v>
      </c>
    </row>
    <row r="12785" spans="2:9" ht="15" customHeight="1" x14ac:dyDescent="0.25">
      <c r="B12785" s="55" t="s">
        <v>281</v>
      </c>
      <c r="C12785" s="46">
        <v>2773</v>
      </c>
      <c r="D12785" s="69" t="s">
        <v>29418</v>
      </c>
      <c r="E12785" s="51"/>
      <c r="F12785" s="114" t="str">
        <f>IF(INDEX(I.Facility.P2bIDNumber,2773)="","",INDEX(I.Facility.P2bIDNumber,2773))</f>
        <v/>
      </c>
      <c r="G12785" s="51"/>
      <c r="H12785" s="46" t="str">
        <f>IF(AND(I.Developer.P2b=TRUE,I.Facility.P2bFacilityCount&gt;=2773,F12785=""),"Incomplete","Complete")</f>
        <v>Complete</v>
      </c>
      <c r="I12785" s="48" t="s">
        <v>17150</v>
      </c>
    </row>
    <row r="12786" spans="2:9" ht="15" customHeight="1" x14ac:dyDescent="0.25">
      <c r="B12786" s="55" t="s">
        <v>281</v>
      </c>
      <c r="C12786" s="46">
        <v>2774</v>
      </c>
      <c r="D12786" s="69" t="s">
        <v>29418</v>
      </c>
      <c r="E12786" s="51"/>
      <c r="F12786" s="114" t="str">
        <f>IF(INDEX(I.Facility.P2bIDNumber,2774)="","",INDEX(I.Facility.P2bIDNumber,2774))</f>
        <v/>
      </c>
      <c r="G12786" s="51"/>
      <c r="H12786" s="46" t="str">
        <f>IF(AND(I.Developer.P2b=TRUE,I.Facility.P2bFacilityCount&gt;=2774,F12786=""),"Incomplete","Complete")</f>
        <v>Complete</v>
      </c>
      <c r="I12786" s="48" t="s">
        <v>17151</v>
      </c>
    </row>
    <row r="12787" spans="2:9" ht="15" customHeight="1" x14ac:dyDescent="0.25">
      <c r="B12787" s="55" t="s">
        <v>281</v>
      </c>
      <c r="C12787" s="46">
        <v>2775</v>
      </c>
      <c r="D12787" s="69" t="s">
        <v>29418</v>
      </c>
      <c r="E12787" s="51"/>
      <c r="F12787" s="114" t="str">
        <f>IF(INDEX(I.Facility.P2bIDNumber,2775)="","",INDEX(I.Facility.P2bIDNumber,2775))</f>
        <v/>
      </c>
      <c r="G12787" s="51"/>
      <c r="H12787" s="46" t="str">
        <f>IF(AND(I.Developer.P2b=TRUE,I.Facility.P2bFacilityCount&gt;=2775,F12787=""),"Incomplete","Complete")</f>
        <v>Complete</v>
      </c>
      <c r="I12787" s="48" t="s">
        <v>17152</v>
      </c>
    </row>
    <row r="12788" spans="2:9" ht="15" customHeight="1" x14ac:dyDescent="0.25">
      <c r="B12788" s="55" t="s">
        <v>281</v>
      </c>
      <c r="C12788" s="46">
        <v>2776</v>
      </c>
      <c r="D12788" s="69" t="s">
        <v>29418</v>
      </c>
      <c r="E12788" s="51"/>
      <c r="F12788" s="114" t="str">
        <f>IF(INDEX(I.Facility.P2bIDNumber,2776)="","",INDEX(I.Facility.P2bIDNumber,2776))</f>
        <v/>
      </c>
      <c r="G12788" s="51"/>
      <c r="H12788" s="46" t="str">
        <f>IF(AND(I.Developer.P2b=TRUE,I.Facility.P2bFacilityCount&gt;=2776,F12788=""),"Incomplete","Complete")</f>
        <v>Complete</v>
      </c>
      <c r="I12788" s="48" t="s">
        <v>17153</v>
      </c>
    </row>
    <row r="12789" spans="2:9" ht="15" customHeight="1" x14ac:dyDescent="0.25">
      <c r="B12789" s="55" t="s">
        <v>281</v>
      </c>
      <c r="C12789" s="46">
        <v>2777</v>
      </c>
      <c r="D12789" s="69" t="s">
        <v>29418</v>
      </c>
      <c r="E12789" s="51"/>
      <c r="F12789" s="114" t="str">
        <f>IF(INDEX(I.Facility.P2bIDNumber,2777)="","",INDEX(I.Facility.P2bIDNumber,2777))</f>
        <v/>
      </c>
      <c r="G12789" s="51"/>
      <c r="H12789" s="46" t="str">
        <f>IF(AND(I.Developer.P2b=TRUE,I.Facility.P2bFacilityCount&gt;=2777,F12789=""),"Incomplete","Complete")</f>
        <v>Complete</v>
      </c>
      <c r="I12789" s="48" t="s">
        <v>17154</v>
      </c>
    </row>
    <row r="12790" spans="2:9" ht="15" customHeight="1" x14ac:dyDescent="0.25">
      <c r="B12790" s="55" t="s">
        <v>281</v>
      </c>
      <c r="C12790" s="46">
        <v>2778</v>
      </c>
      <c r="D12790" s="69" t="s">
        <v>29418</v>
      </c>
      <c r="E12790" s="51"/>
      <c r="F12790" s="114" t="str">
        <f>IF(INDEX(I.Facility.P2bIDNumber,2778)="","",INDEX(I.Facility.P2bIDNumber,2778))</f>
        <v/>
      </c>
      <c r="G12790" s="51"/>
      <c r="H12790" s="46" t="str">
        <f>IF(AND(I.Developer.P2b=TRUE,I.Facility.P2bFacilityCount&gt;=2778,F12790=""),"Incomplete","Complete")</f>
        <v>Complete</v>
      </c>
      <c r="I12790" s="48" t="s">
        <v>17155</v>
      </c>
    </row>
    <row r="12791" spans="2:9" ht="15" customHeight="1" x14ac:dyDescent="0.25">
      <c r="B12791" s="55" t="s">
        <v>281</v>
      </c>
      <c r="C12791" s="46">
        <v>2779</v>
      </c>
      <c r="D12791" s="69" t="s">
        <v>29418</v>
      </c>
      <c r="E12791" s="51"/>
      <c r="F12791" s="114" t="str">
        <f>IF(INDEX(I.Facility.P2bIDNumber,2779)="","",INDEX(I.Facility.P2bIDNumber,2779))</f>
        <v/>
      </c>
      <c r="G12791" s="51"/>
      <c r="H12791" s="46" t="str">
        <f>IF(AND(I.Developer.P2b=TRUE,I.Facility.P2bFacilityCount&gt;=2779,F12791=""),"Incomplete","Complete")</f>
        <v>Complete</v>
      </c>
      <c r="I12791" s="48" t="s">
        <v>17156</v>
      </c>
    </row>
    <row r="12792" spans="2:9" ht="15" customHeight="1" x14ac:dyDescent="0.25">
      <c r="B12792" s="55" t="s">
        <v>281</v>
      </c>
      <c r="C12792" s="46">
        <v>2780</v>
      </c>
      <c r="D12792" s="69" t="s">
        <v>29418</v>
      </c>
      <c r="E12792" s="51"/>
      <c r="F12792" s="114" t="str">
        <f>IF(INDEX(I.Facility.P2bIDNumber,2780)="","",INDEX(I.Facility.P2bIDNumber,2780))</f>
        <v/>
      </c>
      <c r="G12792" s="51"/>
      <c r="H12792" s="46" t="str">
        <f>IF(AND(I.Developer.P2b=TRUE,I.Facility.P2bFacilityCount&gt;=2780,F12792=""),"Incomplete","Complete")</f>
        <v>Complete</v>
      </c>
      <c r="I12792" s="48" t="s">
        <v>17157</v>
      </c>
    </row>
    <row r="12793" spans="2:9" ht="15" customHeight="1" x14ac:dyDescent="0.25">
      <c r="B12793" s="55" t="s">
        <v>281</v>
      </c>
      <c r="C12793" s="46">
        <v>2781</v>
      </c>
      <c r="D12793" s="69" t="s">
        <v>29418</v>
      </c>
      <c r="E12793" s="51"/>
      <c r="F12793" s="114" t="str">
        <f>IF(INDEX(I.Facility.P2bIDNumber,2781)="","",INDEX(I.Facility.P2bIDNumber,2781))</f>
        <v/>
      </c>
      <c r="G12793" s="51"/>
      <c r="H12793" s="46" t="str">
        <f>IF(AND(I.Developer.P2b=TRUE,I.Facility.P2bFacilityCount&gt;=2781,F12793=""),"Incomplete","Complete")</f>
        <v>Complete</v>
      </c>
      <c r="I12793" s="48" t="s">
        <v>17158</v>
      </c>
    </row>
    <row r="12794" spans="2:9" ht="15" customHeight="1" x14ac:dyDescent="0.25">
      <c r="B12794" s="55" t="s">
        <v>281</v>
      </c>
      <c r="C12794" s="46">
        <v>2782</v>
      </c>
      <c r="D12794" s="69" t="s">
        <v>29418</v>
      </c>
      <c r="E12794" s="51"/>
      <c r="F12794" s="114" t="str">
        <f>IF(INDEX(I.Facility.P2bIDNumber,2782)="","",INDEX(I.Facility.P2bIDNumber,2782))</f>
        <v/>
      </c>
      <c r="G12794" s="51"/>
      <c r="H12794" s="46" t="str">
        <f>IF(AND(I.Developer.P2b=TRUE,I.Facility.P2bFacilityCount&gt;=2782,F12794=""),"Incomplete","Complete")</f>
        <v>Complete</v>
      </c>
      <c r="I12794" s="48" t="s">
        <v>17159</v>
      </c>
    </row>
    <row r="12795" spans="2:9" ht="15" customHeight="1" x14ac:dyDescent="0.25">
      <c r="B12795" s="55" t="s">
        <v>281</v>
      </c>
      <c r="C12795" s="46">
        <v>2783</v>
      </c>
      <c r="D12795" s="69" t="s">
        <v>29418</v>
      </c>
      <c r="E12795" s="51"/>
      <c r="F12795" s="114" t="str">
        <f>IF(INDEX(I.Facility.P2bIDNumber,2783)="","",INDEX(I.Facility.P2bIDNumber,2783))</f>
        <v/>
      </c>
      <c r="G12795" s="51"/>
      <c r="H12795" s="46" t="str">
        <f>IF(AND(I.Developer.P2b=TRUE,I.Facility.P2bFacilityCount&gt;=2783,F12795=""),"Incomplete","Complete")</f>
        <v>Complete</v>
      </c>
      <c r="I12795" s="48" t="s">
        <v>17160</v>
      </c>
    </row>
    <row r="12796" spans="2:9" ht="15" customHeight="1" x14ac:dyDescent="0.25">
      <c r="B12796" s="55" t="s">
        <v>281</v>
      </c>
      <c r="C12796" s="46">
        <v>2784</v>
      </c>
      <c r="D12796" s="69" t="s">
        <v>29418</v>
      </c>
      <c r="E12796" s="51"/>
      <c r="F12796" s="114" t="str">
        <f>IF(INDEX(I.Facility.P2bIDNumber,2784)="","",INDEX(I.Facility.P2bIDNumber,2784))</f>
        <v/>
      </c>
      <c r="G12796" s="51"/>
      <c r="H12796" s="46" t="str">
        <f>IF(AND(I.Developer.P2b=TRUE,I.Facility.P2bFacilityCount&gt;=2784,F12796=""),"Incomplete","Complete")</f>
        <v>Complete</v>
      </c>
      <c r="I12796" s="48" t="s">
        <v>17161</v>
      </c>
    </row>
    <row r="12797" spans="2:9" ht="15" customHeight="1" x14ac:dyDescent="0.25">
      <c r="B12797" s="55" t="s">
        <v>281</v>
      </c>
      <c r="C12797" s="46">
        <v>2785</v>
      </c>
      <c r="D12797" s="69" t="s">
        <v>29418</v>
      </c>
      <c r="E12797" s="51"/>
      <c r="F12797" s="114" t="str">
        <f>IF(INDEX(I.Facility.P2bIDNumber,2785)="","",INDEX(I.Facility.P2bIDNumber,2785))</f>
        <v/>
      </c>
      <c r="G12797" s="51"/>
      <c r="H12797" s="46" t="str">
        <f>IF(AND(I.Developer.P2b=TRUE,I.Facility.P2bFacilityCount&gt;=2785,F12797=""),"Incomplete","Complete")</f>
        <v>Complete</v>
      </c>
      <c r="I12797" s="48" t="s">
        <v>17162</v>
      </c>
    </row>
    <row r="12798" spans="2:9" ht="15" customHeight="1" x14ac:dyDescent="0.25">
      <c r="B12798" s="55" t="s">
        <v>281</v>
      </c>
      <c r="C12798" s="46">
        <v>2786</v>
      </c>
      <c r="D12798" s="69" t="s">
        <v>29418</v>
      </c>
      <c r="E12798" s="51"/>
      <c r="F12798" s="114" t="str">
        <f>IF(INDEX(I.Facility.P2bIDNumber,2786)="","",INDEX(I.Facility.P2bIDNumber,2786))</f>
        <v/>
      </c>
      <c r="G12798" s="51"/>
      <c r="H12798" s="46" t="str">
        <f>IF(AND(I.Developer.P2b=TRUE,I.Facility.P2bFacilityCount&gt;=2786,F12798=""),"Incomplete","Complete")</f>
        <v>Complete</v>
      </c>
      <c r="I12798" s="48" t="s">
        <v>17163</v>
      </c>
    </row>
    <row r="12799" spans="2:9" ht="15" customHeight="1" x14ac:dyDescent="0.25">
      <c r="B12799" s="55" t="s">
        <v>281</v>
      </c>
      <c r="C12799" s="46">
        <v>2787</v>
      </c>
      <c r="D12799" s="69" t="s">
        <v>29418</v>
      </c>
      <c r="E12799" s="51"/>
      <c r="F12799" s="114" t="str">
        <f>IF(INDEX(I.Facility.P2bIDNumber,2787)="","",INDEX(I.Facility.P2bIDNumber,2787))</f>
        <v/>
      </c>
      <c r="G12799" s="51"/>
      <c r="H12799" s="46" t="str">
        <f>IF(AND(I.Developer.P2b=TRUE,I.Facility.P2bFacilityCount&gt;=2787,F12799=""),"Incomplete","Complete")</f>
        <v>Complete</v>
      </c>
      <c r="I12799" s="48" t="s">
        <v>17164</v>
      </c>
    </row>
    <row r="12800" spans="2:9" ht="15" customHeight="1" x14ac:dyDescent="0.25">
      <c r="B12800" s="55" t="s">
        <v>281</v>
      </c>
      <c r="C12800" s="46">
        <v>2788</v>
      </c>
      <c r="D12800" s="69" t="s">
        <v>29418</v>
      </c>
      <c r="E12800" s="51"/>
      <c r="F12800" s="114" t="str">
        <f>IF(INDEX(I.Facility.P2bIDNumber,2788)="","",INDEX(I.Facility.P2bIDNumber,2788))</f>
        <v/>
      </c>
      <c r="G12800" s="51"/>
      <c r="H12800" s="46" t="str">
        <f>IF(AND(I.Developer.P2b=TRUE,I.Facility.P2bFacilityCount&gt;=2788,F12800=""),"Incomplete","Complete")</f>
        <v>Complete</v>
      </c>
      <c r="I12800" s="48" t="s">
        <v>17165</v>
      </c>
    </row>
    <row r="12801" spans="2:9" ht="15" customHeight="1" x14ac:dyDescent="0.25">
      <c r="B12801" s="55" t="s">
        <v>281</v>
      </c>
      <c r="C12801" s="46">
        <v>2789</v>
      </c>
      <c r="D12801" s="69" t="s">
        <v>29418</v>
      </c>
      <c r="E12801" s="51"/>
      <c r="F12801" s="114" t="str">
        <f>IF(INDEX(I.Facility.P2bIDNumber,2789)="","",INDEX(I.Facility.P2bIDNumber,2789))</f>
        <v/>
      </c>
      <c r="G12801" s="51"/>
      <c r="H12801" s="46" t="str">
        <f>IF(AND(I.Developer.P2b=TRUE,I.Facility.P2bFacilityCount&gt;=2789,F12801=""),"Incomplete","Complete")</f>
        <v>Complete</v>
      </c>
      <c r="I12801" s="48" t="s">
        <v>17166</v>
      </c>
    </row>
    <row r="12802" spans="2:9" ht="15" customHeight="1" x14ac:dyDescent="0.25">
      <c r="B12802" s="55" t="s">
        <v>281</v>
      </c>
      <c r="C12802" s="46">
        <v>2790</v>
      </c>
      <c r="D12802" s="69" t="s">
        <v>29418</v>
      </c>
      <c r="E12802" s="51"/>
      <c r="F12802" s="114" t="str">
        <f>IF(INDEX(I.Facility.P2bIDNumber,2790)="","",INDEX(I.Facility.P2bIDNumber,2790))</f>
        <v/>
      </c>
      <c r="G12802" s="51"/>
      <c r="H12802" s="46" t="str">
        <f>IF(AND(I.Developer.P2b=TRUE,I.Facility.P2bFacilityCount&gt;=2790,F12802=""),"Incomplete","Complete")</f>
        <v>Complete</v>
      </c>
      <c r="I12802" s="48" t="s">
        <v>17167</v>
      </c>
    </row>
    <row r="12803" spans="2:9" ht="15" customHeight="1" x14ac:dyDescent="0.25">
      <c r="B12803" s="55" t="s">
        <v>281</v>
      </c>
      <c r="C12803" s="46">
        <v>2791</v>
      </c>
      <c r="D12803" s="69" t="s">
        <v>29418</v>
      </c>
      <c r="E12803" s="51"/>
      <c r="F12803" s="114" t="str">
        <f>IF(INDEX(I.Facility.P2bIDNumber,2791)="","",INDEX(I.Facility.P2bIDNumber,2791))</f>
        <v/>
      </c>
      <c r="G12803" s="51"/>
      <c r="H12803" s="46" t="str">
        <f>IF(AND(I.Developer.P2b=TRUE,I.Facility.P2bFacilityCount&gt;=2791,F12803=""),"Incomplete","Complete")</f>
        <v>Complete</v>
      </c>
      <c r="I12803" s="48" t="s">
        <v>17168</v>
      </c>
    </row>
    <row r="12804" spans="2:9" ht="15" customHeight="1" x14ac:dyDescent="0.25">
      <c r="B12804" s="55" t="s">
        <v>281</v>
      </c>
      <c r="C12804" s="46">
        <v>2792</v>
      </c>
      <c r="D12804" s="69" t="s">
        <v>29418</v>
      </c>
      <c r="E12804" s="51"/>
      <c r="F12804" s="114" t="str">
        <f>IF(INDEX(I.Facility.P2bIDNumber,2792)="","",INDEX(I.Facility.P2bIDNumber,2792))</f>
        <v/>
      </c>
      <c r="G12804" s="51"/>
      <c r="H12804" s="46" t="str">
        <f>IF(AND(I.Developer.P2b=TRUE,I.Facility.P2bFacilityCount&gt;=2792,F12804=""),"Incomplete","Complete")</f>
        <v>Complete</v>
      </c>
      <c r="I12804" s="48" t="s">
        <v>17169</v>
      </c>
    </row>
    <row r="12805" spans="2:9" ht="15" customHeight="1" x14ac:dyDescent="0.25">
      <c r="B12805" s="55" t="s">
        <v>281</v>
      </c>
      <c r="C12805" s="46">
        <v>2793</v>
      </c>
      <c r="D12805" s="69" t="s">
        <v>29418</v>
      </c>
      <c r="E12805" s="51"/>
      <c r="F12805" s="114" t="str">
        <f>IF(INDEX(I.Facility.P2bIDNumber,2793)="","",INDEX(I.Facility.P2bIDNumber,2793))</f>
        <v/>
      </c>
      <c r="G12805" s="51"/>
      <c r="H12805" s="46" t="str">
        <f>IF(AND(I.Developer.P2b=TRUE,I.Facility.P2bFacilityCount&gt;=2793,F12805=""),"Incomplete","Complete")</f>
        <v>Complete</v>
      </c>
      <c r="I12805" s="48" t="s">
        <v>17170</v>
      </c>
    </row>
    <row r="12806" spans="2:9" ht="15" customHeight="1" x14ac:dyDescent="0.25">
      <c r="B12806" s="55" t="s">
        <v>281</v>
      </c>
      <c r="C12806" s="46">
        <v>2794</v>
      </c>
      <c r="D12806" s="69" t="s">
        <v>29418</v>
      </c>
      <c r="E12806" s="51"/>
      <c r="F12806" s="114" t="str">
        <f>IF(INDEX(I.Facility.P2bIDNumber,2794)="","",INDEX(I.Facility.P2bIDNumber,2794))</f>
        <v/>
      </c>
      <c r="G12806" s="51"/>
      <c r="H12806" s="46" t="str">
        <f>IF(AND(I.Developer.P2b=TRUE,I.Facility.P2bFacilityCount&gt;=2794,F12806=""),"Incomplete","Complete")</f>
        <v>Complete</v>
      </c>
      <c r="I12806" s="48" t="s">
        <v>17171</v>
      </c>
    </row>
    <row r="12807" spans="2:9" ht="15" customHeight="1" x14ac:dyDescent="0.25">
      <c r="B12807" s="55" t="s">
        <v>281</v>
      </c>
      <c r="C12807" s="46">
        <v>2795</v>
      </c>
      <c r="D12807" s="69" t="s">
        <v>29418</v>
      </c>
      <c r="E12807" s="51"/>
      <c r="F12807" s="114" t="str">
        <f>IF(INDEX(I.Facility.P2bIDNumber,2795)="","",INDEX(I.Facility.P2bIDNumber,2795))</f>
        <v/>
      </c>
      <c r="G12807" s="51"/>
      <c r="H12807" s="46" t="str">
        <f>IF(AND(I.Developer.P2b=TRUE,I.Facility.P2bFacilityCount&gt;=2795,F12807=""),"Incomplete","Complete")</f>
        <v>Complete</v>
      </c>
      <c r="I12807" s="48" t="s">
        <v>17172</v>
      </c>
    </row>
    <row r="12808" spans="2:9" ht="15" customHeight="1" x14ac:dyDescent="0.25">
      <c r="B12808" s="55" t="s">
        <v>281</v>
      </c>
      <c r="C12808" s="46">
        <v>2796</v>
      </c>
      <c r="D12808" s="69" t="s">
        <v>29418</v>
      </c>
      <c r="E12808" s="51"/>
      <c r="F12808" s="114" t="str">
        <f>IF(INDEX(I.Facility.P2bIDNumber,2796)="","",INDEX(I.Facility.P2bIDNumber,2796))</f>
        <v/>
      </c>
      <c r="G12808" s="51"/>
      <c r="H12808" s="46" t="str">
        <f>IF(AND(I.Developer.P2b=TRUE,I.Facility.P2bFacilityCount&gt;=2796,F12808=""),"Incomplete","Complete")</f>
        <v>Complete</v>
      </c>
      <c r="I12808" s="48" t="s">
        <v>17173</v>
      </c>
    </row>
    <row r="12809" spans="2:9" ht="15" customHeight="1" x14ac:dyDescent="0.25">
      <c r="B12809" s="55" t="s">
        <v>281</v>
      </c>
      <c r="C12809" s="46">
        <v>2797</v>
      </c>
      <c r="D12809" s="69" t="s">
        <v>29418</v>
      </c>
      <c r="E12809" s="51"/>
      <c r="F12809" s="114" t="str">
        <f>IF(INDEX(I.Facility.P2bIDNumber,2797)="","",INDEX(I.Facility.P2bIDNumber,2797))</f>
        <v/>
      </c>
      <c r="G12809" s="51"/>
      <c r="H12809" s="46" t="str">
        <f>IF(AND(I.Developer.P2b=TRUE,I.Facility.P2bFacilityCount&gt;=2797,F12809=""),"Incomplete","Complete")</f>
        <v>Complete</v>
      </c>
      <c r="I12809" s="48" t="s">
        <v>17174</v>
      </c>
    </row>
    <row r="12810" spans="2:9" ht="15" customHeight="1" x14ac:dyDescent="0.25">
      <c r="B12810" s="55" t="s">
        <v>281</v>
      </c>
      <c r="C12810" s="46">
        <v>2798</v>
      </c>
      <c r="D12810" s="69" t="s">
        <v>29418</v>
      </c>
      <c r="E12810" s="51"/>
      <c r="F12810" s="114" t="str">
        <f>IF(INDEX(I.Facility.P2bIDNumber,2798)="","",INDEX(I.Facility.P2bIDNumber,2798))</f>
        <v/>
      </c>
      <c r="G12810" s="51"/>
      <c r="H12810" s="46" t="str">
        <f>IF(AND(I.Developer.P2b=TRUE,I.Facility.P2bFacilityCount&gt;=2798,F12810=""),"Incomplete","Complete")</f>
        <v>Complete</v>
      </c>
      <c r="I12810" s="48" t="s">
        <v>17175</v>
      </c>
    </row>
    <row r="12811" spans="2:9" ht="15" customHeight="1" x14ac:dyDescent="0.25">
      <c r="B12811" s="55" t="s">
        <v>281</v>
      </c>
      <c r="C12811" s="46">
        <v>2799</v>
      </c>
      <c r="D12811" s="69" t="s">
        <v>29418</v>
      </c>
      <c r="E12811" s="51"/>
      <c r="F12811" s="114" t="str">
        <f>IF(INDEX(I.Facility.P2bIDNumber,2799)="","",INDEX(I.Facility.P2bIDNumber,2799))</f>
        <v/>
      </c>
      <c r="G12811" s="51"/>
      <c r="H12811" s="46" t="str">
        <f>IF(AND(I.Developer.P2b=TRUE,I.Facility.P2bFacilityCount&gt;=2799,F12811=""),"Incomplete","Complete")</f>
        <v>Complete</v>
      </c>
      <c r="I12811" s="48" t="s">
        <v>17176</v>
      </c>
    </row>
    <row r="12812" spans="2:9" ht="15" customHeight="1" x14ac:dyDescent="0.25">
      <c r="B12812" s="55" t="s">
        <v>281</v>
      </c>
      <c r="C12812" s="46">
        <v>2800</v>
      </c>
      <c r="D12812" s="69" t="s">
        <v>29418</v>
      </c>
      <c r="E12812" s="51"/>
      <c r="F12812" s="114" t="str">
        <f>IF(INDEX(I.Facility.P2bIDNumber,2800)="","",INDEX(I.Facility.P2bIDNumber,2800))</f>
        <v/>
      </c>
      <c r="G12812" s="51"/>
      <c r="H12812" s="46" t="str">
        <f>IF(AND(I.Developer.P2b=TRUE,I.Facility.P2bFacilityCount&gt;=2800,F12812=""),"Incomplete","Complete")</f>
        <v>Complete</v>
      </c>
      <c r="I12812" s="48" t="s">
        <v>17177</v>
      </c>
    </row>
    <row r="12813" spans="2:9" ht="15" customHeight="1" x14ac:dyDescent="0.25">
      <c r="B12813" s="55" t="s">
        <v>281</v>
      </c>
      <c r="C12813" s="46">
        <v>2801</v>
      </c>
      <c r="D12813" s="69" t="s">
        <v>29418</v>
      </c>
      <c r="E12813" s="51"/>
      <c r="F12813" s="114" t="str">
        <f>IF(INDEX(I.Facility.P2bIDNumber,2801)="","",INDEX(I.Facility.P2bIDNumber,2801))</f>
        <v/>
      </c>
      <c r="G12813" s="51"/>
      <c r="H12813" s="46" t="str">
        <f>IF(AND(I.Developer.P2b=TRUE,I.Facility.P2bFacilityCount&gt;=2801,F12813=""),"Incomplete","Complete")</f>
        <v>Complete</v>
      </c>
      <c r="I12813" s="48" t="s">
        <v>17178</v>
      </c>
    </row>
    <row r="12814" spans="2:9" ht="15" customHeight="1" x14ac:dyDescent="0.25">
      <c r="B12814" s="55" t="s">
        <v>281</v>
      </c>
      <c r="C12814" s="46">
        <v>2802</v>
      </c>
      <c r="D12814" s="69" t="s">
        <v>29418</v>
      </c>
      <c r="E12814" s="51"/>
      <c r="F12814" s="114" t="str">
        <f>IF(INDEX(I.Facility.P2bIDNumber,2802)="","",INDEX(I.Facility.P2bIDNumber,2802))</f>
        <v/>
      </c>
      <c r="G12814" s="51"/>
      <c r="H12814" s="46" t="str">
        <f>IF(AND(I.Developer.P2b=TRUE,I.Facility.P2bFacilityCount&gt;=2802,F12814=""),"Incomplete","Complete")</f>
        <v>Complete</v>
      </c>
      <c r="I12814" s="48" t="s">
        <v>17179</v>
      </c>
    </row>
    <row r="12815" spans="2:9" ht="15" customHeight="1" x14ac:dyDescent="0.25">
      <c r="B12815" s="55" t="s">
        <v>281</v>
      </c>
      <c r="C12815" s="46">
        <v>2803</v>
      </c>
      <c r="D12815" s="69" t="s">
        <v>29418</v>
      </c>
      <c r="E12815" s="51"/>
      <c r="F12815" s="114" t="str">
        <f>IF(INDEX(I.Facility.P2bIDNumber,2803)="","",INDEX(I.Facility.P2bIDNumber,2803))</f>
        <v/>
      </c>
      <c r="G12815" s="51"/>
      <c r="H12815" s="46" t="str">
        <f>IF(AND(I.Developer.P2b=TRUE,I.Facility.P2bFacilityCount&gt;=2803,F12815=""),"Incomplete","Complete")</f>
        <v>Complete</v>
      </c>
      <c r="I12815" s="48" t="s">
        <v>17180</v>
      </c>
    </row>
    <row r="12816" spans="2:9" ht="15" customHeight="1" x14ac:dyDescent="0.25">
      <c r="B12816" s="55" t="s">
        <v>281</v>
      </c>
      <c r="C12816" s="46">
        <v>2804</v>
      </c>
      <c r="D12816" s="69" t="s">
        <v>29418</v>
      </c>
      <c r="E12816" s="51"/>
      <c r="F12816" s="114" t="str">
        <f>IF(INDEX(I.Facility.P2bIDNumber,2804)="","",INDEX(I.Facility.P2bIDNumber,2804))</f>
        <v/>
      </c>
      <c r="G12816" s="51"/>
      <c r="H12816" s="46" t="str">
        <f>IF(AND(I.Developer.P2b=TRUE,I.Facility.P2bFacilityCount&gt;=2804,F12816=""),"Incomplete","Complete")</f>
        <v>Complete</v>
      </c>
      <c r="I12816" s="48" t="s">
        <v>17181</v>
      </c>
    </row>
    <row r="12817" spans="2:9" ht="15" customHeight="1" x14ac:dyDescent="0.25">
      <c r="B12817" s="55" t="s">
        <v>281</v>
      </c>
      <c r="C12817" s="46">
        <v>2805</v>
      </c>
      <c r="D12817" s="69" t="s">
        <v>29418</v>
      </c>
      <c r="E12817" s="51"/>
      <c r="F12817" s="114" t="str">
        <f>IF(INDEX(I.Facility.P2bIDNumber,2805)="","",INDEX(I.Facility.P2bIDNumber,2805))</f>
        <v/>
      </c>
      <c r="G12817" s="51"/>
      <c r="H12817" s="46" t="str">
        <f>IF(AND(I.Developer.P2b=TRUE,I.Facility.P2bFacilityCount&gt;=2805,F12817=""),"Incomplete","Complete")</f>
        <v>Complete</v>
      </c>
      <c r="I12817" s="48" t="s">
        <v>17182</v>
      </c>
    </row>
    <row r="12818" spans="2:9" ht="15" customHeight="1" x14ac:dyDescent="0.25">
      <c r="B12818" s="55" t="s">
        <v>281</v>
      </c>
      <c r="C12818" s="46">
        <v>2806</v>
      </c>
      <c r="D12818" s="69" t="s">
        <v>29418</v>
      </c>
      <c r="E12818" s="51"/>
      <c r="F12818" s="114" t="str">
        <f>IF(INDEX(I.Facility.P2bIDNumber,2806)="","",INDEX(I.Facility.P2bIDNumber,2806))</f>
        <v/>
      </c>
      <c r="G12818" s="51"/>
      <c r="H12818" s="46" t="str">
        <f>IF(AND(I.Developer.P2b=TRUE,I.Facility.P2bFacilityCount&gt;=2806,F12818=""),"Incomplete","Complete")</f>
        <v>Complete</v>
      </c>
      <c r="I12818" s="48" t="s">
        <v>17183</v>
      </c>
    </row>
    <row r="12819" spans="2:9" ht="15" customHeight="1" x14ac:dyDescent="0.25">
      <c r="B12819" s="55" t="s">
        <v>281</v>
      </c>
      <c r="C12819" s="46">
        <v>2807</v>
      </c>
      <c r="D12819" s="69" t="s">
        <v>29418</v>
      </c>
      <c r="E12819" s="51"/>
      <c r="F12819" s="114" t="str">
        <f>IF(INDEX(I.Facility.P2bIDNumber,2807)="","",INDEX(I.Facility.P2bIDNumber,2807))</f>
        <v/>
      </c>
      <c r="G12819" s="51"/>
      <c r="H12819" s="46" t="str">
        <f>IF(AND(I.Developer.P2b=TRUE,I.Facility.P2bFacilityCount&gt;=2807,F12819=""),"Incomplete","Complete")</f>
        <v>Complete</v>
      </c>
      <c r="I12819" s="48" t="s">
        <v>17184</v>
      </c>
    </row>
    <row r="12820" spans="2:9" ht="15" customHeight="1" x14ac:dyDescent="0.25">
      <c r="B12820" s="55" t="s">
        <v>281</v>
      </c>
      <c r="C12820" s="46">
        <v>2808</v>
      </c>
      <c r="D12820" s="69" t="s">
        <v>29418</v>
      </c>
      <c r="E12820" s="51"/>
      <c r="F12820" s="114" t="str">
        <f>IF(INDEX(I.Facility.P2bIDNumber,2808)="","",INDEX(I.Facility.P2bIDNumber,2808))</f>
        <v/>
      </c>
      <c r="G12820" s="51"/>
      <c r="H12820" s="46" t="str">
        <f>IF(AND(I.Developer.P2b=TRUE,I.Facility.P2bFacilityCount&gt;=2808,F12820=""),"Incomplete","Complete")</f>
        <v>Complete</v>
      </c>
      <c r="I12820" s="48" t="s">
        <v>17185</v>
      </c>
    </row>
    <row r="12821" spans="2:9" ht="15" customHeight="1" x14ac:dyDescent="0.25">
      <c r="B12821" s="55" t="s">
        <v>281</v>
      </c>
      <c r="C12821" s="46">
        <v>2809</v>
      </c>
      <c r="D12821" s="69" t="s">
        <v>29418</v>
      </c>
      <c r="E12821" s="51"/>
      <c r="F12821" s="114" t="str">
        <f>IF(INDEX(I.Facility.P2bIDNumber,2809)="","",INDEX(I.Facility.P2bIDNumber,2809))</f>
        <v/>
      </c>
      <c r="G12821" s="51"/>
      <c r="H12821" s="46" t="str">
        <f>IF(AND(I.Developer.P2b=TRUE,I.Facility.P2bFacilityCount&gt;=2809,F12821=""),"Incomplete","Complete")</f>
        <v>Complete</v>
      </c>
      <c r="I12821" s="48" t="s">
        <v>17186</v>
      </c>
    </row>
    <row r="12822" spans="2:9" ht="15" customHeight="1" x14ac:dyDescent="0.25">
      <c r="B12822" s="55" t="s">
        <v>281</v>
      </c>
      <c r="C12822" s="46">
        <v>2810</v>
      </c>
      <c r="D12822" s="69" t="s">
        <v>29418</v>
      </c>
      <c r="E12822" s="51"/>
      <c r="F12822" s="114" t="str">
        <f>IF(INDEX(I.Facility.P2bIDNumber,2810)="","",INDEX(I.Facility.P2bIDNumber,2810))</f>
        <v/>
      </c>
      <c r="G12822" s="51"/>
      <c r="H12822" s="46" t="str">
        <f>IF(AND(I.Developer.P2b=TRUE,I.Facility.P2bFacilityCount&gt;=2810,F12822=""),"Incomplete","Complete")</f>
        <v>Complete</v>
      </c>
      <c r="I12822" s="48" t="s">
        <v>17187</v>
      </c>
    </row>
    <row r="12823" spans="2:9" ht="15" customHeight="1" x14ac:dyDescent="0.25">
      <c r="B12823" s="55" t="s">
        <v>281</v>
      </c>
      <c r="C12823" s="46">
        <v>2811</v>
      </c>
      <c r="D12823" s="69" t="s">
        <v>29418</v>
      </c>
      <c r="E12823" s="51"/>
      <c r="F12823" s="114" t="str">
        <f>IF(INDEX(I.Facility.P2bIDNumber,2811)="","",INDEX(I.Facility.P2bIDNumber,2811))</f>
        <v/>
      </c>
      <c r="G12823" s="51"/>
      <c r="H12823" s="46" t="str">
        <f>IF(AND(I.Developer.P2b=TRUE,I.Facility.P2bFacilityCount&gt;=2811,F12823=""),"Incomplete","Complete")</f>
        <v>Complete</v>
      </c>
      <c r="I12823" s="48" t="s">
        <v>17188</v>
      </c>
    </row>
    <row r="12824" spans="2:9" ht="15" customHeight="1" x14ac:dyDescent="0.25">
      <c r="B12824" s="55" t="s">
        <v>281</v>
      </c>
      <c r="C12824" s="46">
        <v>2812</v>
      </c>
      <c r="D12824" s="69" t="s">
        <v>29418</v>
      </c>
      <c r="E12824" s="51"/>
      <c r="F12824" s="114" t="str">
        <f>IF(INDEX(I.Facility.P2bIDNumber,2812)="","",INDEX(I.Facility.P2bIDNumber,2812))</f>
        <v/>
      </c>
      <c r="G12824" s="51"/>
      <c r="H12824" s="46" t="str">
        <f>IF(AND(I.Developer.P2b=TRUE,I.Facility.P2bFacilityCount&gt;=2812,F12824=""),"Incomplete","Complete")</f>
        <v>Complete</v>
      </c>
      <c r="I12824" s="48" t="s">
        <v>17189</v>
      </c>
    </row>
    <row r="12825" spans="2:9" ht="15" customHeight="1" x14ac:dyDescent="0.25">
      <c r="B12825" s="55" t="s">
        <v>281</v>
      </c>
      <c r="C12825" s="46">
        <v>2813</v>
      </c>
      <c r="D12825" s="69" t="s">
        <v>29418</v>
      </c>
      <c r="E12825" s="51"/>
      <c r="F12825" s="114" t="str">
        <f>IF(INDEX(I.Facility.P2bIDNumber,2813)="","",INDEX(I.Facility.P2bIDNumber,2813))</f>
        <v/>
      </c>
      <c r="G12825" s="51"/>
      <c r="H12825" s="46" t="str">
        <f>IF(AND(I.Developer.P2b=TRUE,I.Facility.P2bFacilityCount&gt;=2813,F12825=""),"Incomplete","Complete")</f>
        <v>Complete</v>
      </c>
      <c r="I12825" s="48" t="s">
        <v>17190</v>
      </c>
    </row>
    <row r="12826" spans="2:9" ht="15" customHeight="1" x14ac:dyDescent="0.25">
      <c r="B12826" s="55" t="s">
        <v>281</v>
      </c>
      <c r="C12826" s="46">
        <v>2814</v>
      </c>
      <c r="D12826" s="69" t="s">
        <v>29418</v>
      </c>
      <c r="E12826" s="51"/>
      <c r="F12826" s="114" t="str">
        <f>IF(INDEX(I.Facility.P2bIDNumber,2814)="","",INDEX(I.Facility.P2bIDNumber,2814))</f>
        <v/>
      </c>
      <c r="G12826" s="51"/>
      <c r="H12826" s="46" t="str">
        <f>IF(AND(I.Developer.P2b=TRUE,I.Facility.P2bFacilityCount&gt;=2814,F12826=""),"Incomplete","Complete")</f>
        <v>Complete</v>
      </c>
      <c r="I12826" s="48" t="s">
        <v>17191</v>
      </c>
    </row>
    <row r="12827" spans="2:9" ht="15" customHeight="1" x14ac:dyDescent="0.25">
      <c r="B12827" s="55" t="s">
        <v>281</v>
      </c>
      <c r="C12827" s="46">
        <v>2815</v>
      </c>
      <c r="D12827" s="69" t="s">
        <v>29418</v>
      </c>
      <c r="E12827" s="51"/>
      <c r="F12827" s="114" t="str">
        <f>IF(INDEX(I.Facility.P2bIDNumber,2815)="","",INDEX(I.Facility.P2bIDNumber,2815))</f>
        <v/>
      </c>
      <c r="G12827" s="51"/>
      <c r="H12827" s="46" t="str">
        <f>IF(AND(I.Developer.P2b=TRUE,I.Facility.P2bFacilityCount&gt;=2815,F12827=""),"Incomplete","Complete")</f>
        <v>Complete</v>
      </c>
      <c r="I12827" s="48" t="s">
        <v>17192</v>
      </c>
    </row>
    <row r="12828" spans="2:9" ht="15" customHeight="1" x14ac:dyDescent="0.25">
      <c r="B12828" s="55" t="s">
        <v>281</v>
      </c>
      <c r="C12828" s="46">
        <v>2816</v>
      </c>
      <c r="D12828" s="69" t="s">
        <v>29418</v>
      </c>
      <c r="E12828" s="51"/>
      <c r="F12828" s="114" t="str">
        <f>IF(INDEX(I.Facility.P2bIDNumber,2816)="","",INDEX(I.Facility.P2bIDNumber,2816))</f>
        <v/>
      </c>
      <c r="G12828" s="51"/>
      <c r="H12828" s="46" t="str">
        <f>IF(AND(I.Developer.P2b=TRUE,I.Facility.P2bFacilityCount&gt;=2816,F12828=""),"Incomplete","Complete")</f>
        <v>Complete</v>
      </c>
      <c r="I12828" s="48" t="s">
        <v>17193</v>
      </c>
    </row>
    <row r="12829" spans="2:9" ht="15" customHeight="1" x14ac:dyDescent="0.25">
      <c r="B12829" s="55" t="s">
        <v>281</v>
      </c>
      <c r="C12829" s="46">
        <v>2817</v>
      </c>
      <c r="D12829" s="69" t="s">
        <v>29418</v>
      </c>
      <c r="E12829" s="51"/>
      <c r="F12829" s="114" t="str">
        <f>IF(INDEX(I.Facility.P2bIDNumber,2817)="","",INDEX(I.Facility.P2bIDNumber,2817))</f>
        <v/>
      </c>
      <c r="G12829" s="51"/>
      <c r="H12829" s="46" t="str">
        <f>IF(AND(I.Developer.P2b=TRUE,I.Facility.P2bFacilityCount&gt;=2817,F12829=""),"Incomplete","Complete")</f>
        <v>Complete</v>
      </c>
      <c r="I12829" s="48" t="s">
        <v>17194</v>
      </c>
    </row>
    <row r="12830" spans="2:9" ht="15" customHeight="1" x14ac:dyDescent="0.25">
      <c r="B12830" s="55" t="s">
        <v>281</v>
      </c>
      <c r="C12830" s="46">
        <v>2818</v>
      </c>
      <c r="D12830" s="69" t="s">
        <v>29418</v>
      </c>
      <c r="E12830" s="51"/>
      <c r="F12830" s="114" t="str">
        <f>IF(INDEX(I.Facility.P2bIDNumber,2818)="","",INDEX(I.Facility.P2bIDNumber,2818))</f>
        <v/>
      </c>
      <c r="G12830" s="51"/>
      <c r="H12830" s="46" t="str">
        <f>IF(AND(I.Developer.P2b=TRUE,I.Facility.P2bFacilityCount&gt;=2818,F12830=""),"Incomplete","Complete")</f>
        <v>Complete</v>
      </c>
      <c r="I12830" s="48" t="s">
        <v>17195</v>
      </c>
    </row>
    <row r="12831" spans="2:9" ht="15" customHeight="1" x14ac:dyDescent="0.25">
      <c r="B12831" s="55" t="s">
        <v>281</v>
      </c>
      <c r="C12831" s="46">
        <v>2819</v>
      </c>
      <c r="D12831" s="69" t="s">
        <v>29418</v>
      </c>
      <c r="E12831" s="51"/>
      <c r="F12831" s="114" t="str">
        <f>IF(INDEX(I.Facility.P2bIDNumber,2819)="","",INDEX(I.Facility.P2bIDNumber,2819))</f>
        <v/>
      </c>
      <c r="G12831" s="51"/>
      <c r="H12831" s="46" t="str">
        <f>IF(AND(I.Developer.P2b=TRUE,I.Facility.P2bFacilityCount&gt;=2819,F12831=""),"Incomplete","Complete")</f>
        <v>Complete</v>
      </c>
      <c r="I12831" s="48" t="s">
        <v>17196</v>
      </c>
    </row>
    <row r="12832" spans="2:9" ht="15" customHeight="1" x14ac:dyDescent="0.25">
      <c r="B12832" s="55" t="s">
        <v>281</v>
      </c>
      <c r="C12832" s="46">
        <v>2820</v>
      </c>
      <c r="D12832" s="69" t="s">
        <v>29418</v>
      </c>
      <c r="E12832" s="51"/>
      <c r="F12832" s="114" t="str">
        <f>IF(INDEX(I.Facility.P2bIDNumber,2820)="","",INDEX(I.Facility.P2bIDNumber,2820))</f>
        <v/>
      </c>
      <c r="G12832" s="51"/>
      <c r="H12832" s="46" t="str">
        <f>IF(AND(I.Developer.P2b=TRUE,I.Facility.P2bFacilityCount&gt;=2820,F12832=""),"Incomplete","Complete")</f>
        <v>Complete</v>
      </c>
      <c r="I12832" s="48" t="s">
        <v>17197</v>
      </c>
    </row>
    <row r="12833" spans="2:9" ht="15" customHeight="1" x14ac:dyDescent="0.25">
      <c r="B12833" s="55" t="s">
        <v>281</v>
      </c>
      <c r="C12833" s="46">
        <v>2821</v>
      </c>
      <c r="D12833" s="69" t="s">
        <v>29418</v>
      </c>
      <c r="E12833" s="51"/>
      <c r="F12833" s="114" t="str">
        <f>IF(INDEX(I.Facility.P2bIDNumber,2821)="","",INDEX(I.Facility.P2bIDNumber,2821))</f>
        <v/>
      </c>
      <c r="G12833" s="51"/>
      <c r="H12833" s="46" t="str">
        <f>IF(AND(I.Developer.P2b=TRUE,I.Facility.P2bFacilityCount&gt;=2821,F12833=""),"Incomplete","Complete")</f>
        <v>Complete</v>
      </c>
      <c r="I12833" s="48" t="s">
        <v>17198</v>
      </c>
    </row>
    <row r="12834" spans="2:9" ht="15" customHeight="1" x14ac:dyDescent="0.25">
      <c r="B12834" s="55" t="s">
        <v>281</v>
      </c>
      <c r="C12834" s="46">
        <v>2822</v>
      </c>
      <c r="D12834" s="69" t="s">
        <v>29418</v>
      </c>
      <c r="E12834" s="51"/>
      <c r="F12834" s="114" t="str">
        <f>IF(INDEX(I.Facility.P2bIDNumber,2822)="","",INDEX(I.Facility.P2bIDNumber,2822))</f>
        <v/>
      </c>
      <c r="G12834" s="51"/>
      <c r="H12834" s="46" t="str">
        <f>IF(AND(I.Developer.P2b=TRUE,I.Facility.P2bFacilityCount&gt;=2822,F12834=""),"Incomplete","Complete")</f>
        <v>Complete</v>
      </c>
      <c r="I12834" s="48" t="s">
        <v>17199</v>
      </c>
    </row>
    <row r="12835" spans="2:9" ht="15" customHeight="1" x14ac:dyDescent="0.25">
      <c r="B12835" s="55" t="s">
        <v>281</v>
      </c>
      <c r="C12835" s="46">
        <v>2823</v>
      </c>
      <c r="D12835" s="69" t="s">
        <v>29418</v>
      </c>
      <c r="E12835" s="51"/>
      <c r="F12835" s="114" t="str">
        <f>IF(INDEX(I.Facility.P2bIDNumber,2823)="","",INDEX(I.Facility.P2bIDNumber,2823))</f>
        <v/>
      </c>
      <c r="G12835" s="51"/>
      <c r="H12835" s="46" t="str">
        <f>IF(AND(I.Developer.P2b=TRUE,I.Facility.P2bFacilityCount&gt;=2823,F12835=""),"Incomplete","Complete")</f>
        <v>Complete</v>
      </c>
      <c r="I12835" s="48" t="s">
        <v>17200</v>
      </c>
    </row>
    <row r="12836" spans="2:9" ht="15" customHeight="1" x14ac:dyDescent="0.25">
      <c r="B12836" s="55" t="s">
        <v>281</v>
      </c>
      <c r="C12836" s="46">
        <v>2824</v>
      </c>
      <c r="D12836" s="69" t="s">
        <v>29418</v>
      </c>
      <c r="E12836" s="51"/>
      <c r="F12836" s="114" t="str">
        <f>IF(INDEX(I.Facility.P2bIDNumber,2824)="","",INDEX(I.Facility.P2bIDNumber,2824))</f>
        <v/>
      </c>
      <c r="G12836" s="51"/>
      <c r="H12836" s="46" t="str">
        <f>IF(AND(I.Developer.P2b=TRUE,I.Facility.P2bFacilityCount&gt;=2824,F12836=""),"Incomplete","Complete")</f>
        <v>Complete</v>
      </c>
      <c r="I12836" s="48" t="s">
        <v>17201</v>
      </c>
    </row>
    <row r="12837" spans="2:9" ht="15" customHeight="1" x14ac:dyDescent="0.25">
      <c r="B12837" s="55" t="s">
        <v>281</v>
      </c>
      <c r="C12837" s="46">
        <v>2825</v>
      </c>
      <c r="D12837" s="69" t="s">
        <v>29418</v>
      </c>
      <c r="E12837" s="51"/>
      <c r="F12837" s="114" t="str">
        <f>IF(INDEX(I.Facility.P2bIDNumber,2825)="","",INDEX(I.Facility.P2bIDNumber,2825))</f>
        <v/>
      </c>
      <c r="G12837" s="51"/>
      <c r="H12837" s="46" t="str">
        <f>IF(AND(I.Developer.P2b=TRUE,I.Facility.P2bFacilityCount&gt;=2825,F12837=""),"Incomplete","Complete")</f>
        <v>Complete</v>
      </c>
      <c r="I12837" s="48" t="s">
        <v>17202</v>
      </c>
    </row>
    <row r="12838" spans="2:9" ht="15" customHeight="1" x14ac:dyDescent="0.25">
      <c r="B12838" s="55" t="s">
        <v>281</v>
      </c>
      <c r="C12838" s="46">
        <v>2826</v>
      </c>
      <c r="D12838" s="69" t="s">
        <v>29418</v>
      </c>
      <c r="E12838" s="51"/>
      <c r="F12838" s="114" t="str">
        <f>IF(INDEX(I.Facility.P2bIDNumber,2826)="","",INDEX(I.Facility.P2bIDNumber,2826))</f>
        <v/>
      </c>
      <c r="G12838" s="51"/>
      <c r="H12838" s="46" t="str">
        <f>IF(AND(I.Developer.P2b=TRUE,I.Facility.P2bFacilityCount&gt;=2826,F12838=""),"Incomplete","Complete")</f>
        <v>Complete</v>
      </c>
      <c r="I12838" s="48" t="s">
        <v>17203</v>
      </c>
    </row>
    <row r="12839" spans="2:9" ht="15" customHeight="1" x14ac:dyDescent="0.25">
      <c r="B12839" s="55" t="s">
        <v>281</v>
      </c>
      <c r="C12839" s="46">
        <v>2827</v>
      </c>
      <c r="D12839" s="69" t="s">
        <v>29418</v>
      </c>
      <c r="E12839" s="51"/>
      <c r="F12839" s="114" t="str">
        <f>IF(INDEX(I.Facility.P2bIDNumber,2827)="","",INDEX(I.Facility.P2bIDNumber,2827))</f>
        <v/>
      </c>
      <c r="G12839" s="51"/>
      <c r="H12839" s="46" t="str">
        <f>IF(AND(I.Developer.P2b=TRUE,I.Facility.P2bFacilityCount&gt;=2827,F12839=""),"Incomplete","Complete")</f>
        <v>Complete</v>
      </c>
      <c r="I12839" s="48" t="s">
        <v>17204</v>
      </c>
    </row>
    <row r="12840" spans="2:9" ht="15" customHeight="1" x14ac:dyDescent="0.25">
      <c r="B12840" s="55" t="s">
        <v>281</v>
      </c>
      <c r="C12840" s="46">
        <v>2828</v>
      </c>
      <c r="D12840" s="69" t="s">
        <v>29418</v>
      </c>
      <c r="E12840" s="51"/>
      <c r="F12840" s="114" t="str">
        <f>IF(INDEX(I.Facility.P2bIDNumber,2828)="","",INDEX(I.Facility.P2bIDNumber,2828))</f>
        <v/>
      </c>
      <c r="G12840" s="51"/>
      <c r="H12840" s="46" t="str">
        <f>IF(AND(I.Developer.P2b=TRUE,I.Facility.P2bFacilityCount&gt;=2828,F12840=""),"Incomplete","Complete")</f>
        <v>Complete</v>
      </c>
      <c r="I12840" s="48" t="s">
        <v>17205</v>
      </c>
    </row>
    <row r="12841" spans="2:9" ht="15" customHeight="1" x14ac:dyDescent="0.25">
      <c r="B12841" s="55" t="s">
        <v>281</v>
      </c>
      <c r="C12841" s="46">
        <v>2829</v>
      </c>
      <c r="D12841" s="69" t="s">
        <v>29418</v>
      </c>
      <c r="E12841" s="51"/>
      <c r="F12841" s="114" t="str">
        <f>IF(INDEX(I.Facility.P2bIDNumber,2829)="","",INDEX(I.Facility.P2bIDNumber,2829))</f>
        <v/>
      </c>
      <c r="G12841" s="51"/>
      <c r="H12841" s="46" t="str">
        <f>IF(AND(I.Developer.P2b=TRUE,I.Facility.P2bFacilityCount&gt;=2829,F12841=""),"Incomplete","Complete")</f>
        <v>Complete</v>
      </c>
      <c r="I12841" s="48" t="s">
        <v>17206</v>
      </c>
    </row>
    <row r="12842" spans="2:9" ht="15" customHeight="1" x14ac:dyDescent="0.25">
      <c r="B12842" s="55" t="s">
        <v>281</v>
      </c>
      <c r="C12842" s="46">
        <v>2830</v>
      </c>
      <c r="D12842" s="69" t="s">
        <v>29418</v>
      </c>
      <c r="E12842" s="51"/>
      <c r="F12842" s="114" t="str">
        <f>IF(INDEX(I.Facility.P2bIDNumber,2830)="","",INDEX(I.Facility.P2bIDNumber,2830))</f>
        <v/>
      </c>
      <c r="G12842" s="51"/>
      <c r="H12842" s="46" t="str">
        <f>IF(AND(I.Developer.P2b=TRUE,I.Facility.P2bFacilityCount&gt;=2830,F12842=""),"Incomplete","Complete")</f>
        <v>Complete</v>
      </c>
      <c r="I12842" s="48" t="s">
        <v>17207</v>
      </c>
    </row>
    <row r="12843" spans="2:9" ht="15" customHeight="1" x14ac:dyDescent="0.25">
      <c r="B12843" s="55" t="s">
        <v>281</v>
      </c>
      <c r="C12843" s="46">
        <v>2831</v>
      </c>
      <c r="D12843" s="69" t="s">
        <v>29418</v>
      </c>
      <c r="E12843" s="51"/>
      <c r="F12843" s="114" t="str">
        <f>IF(INDEX(I.Facility.P2bIDNumber,2831)="","",INDEX(I.Facility.P2bIDNumber,2831))</f>
        <v/>
      </c>
      <c r="G12843" s="51"/>
      <c r="H12843" s="46" t="str">
        <f>IF(AND(I.Developer.P2b=TRUE,I.Facility.P2bFacilityCount&gt;=2831,F12843=""),"Incomplete","Complete")</f>
        <v>Complete</v>
      </c>
      <c r="I12843" s="48" t="s">
        <v>17208</v>
      </c>
    </row>
    <row r="12844" spans="2:9" ht="15" customHeight="1" x14ac:dyDescent="0.25">
      <c r="B12844" s="55" t="s">
        <v>281</v>
      </c>
      <c r="C12844" s="46">
        <v>2832</v>
      </c>
      <c r="D12844" s="69" t="s">
        <v>29418</v>
      </c>
      <c r="E12844" s="51"/>
      <c r="F12844" s="114" t="str">
        <f>IF(INDEX(I.Facility.P2bIDNumber,2832)="","",INDEX(I.Facility.P2bIDNumber,2832))</f>
        <v/>
      </c>
      <c r="G12844" s="51"/>
      <c r="H12844" s="46" t="str">
        <f>IF(AND(I.Developer.P2b=TRUE,I.Facility.P2bFacilityCount&gt;=2832,F12844=""),"Incomplete","Complete")</f>
        <v>Complete</v>
      </c>
      <c r="I12844" s="48" t="s">
        <v>17209</v>
      </c>
    </row>
    <row r="12845" spans="2:9" ht="15" customHeight="1" x14ac:dyDescent="0.25">
      <c r="B12845" s="55" t="s">
        <v>281</v>
      </c>
      <c r="C12845" s="46">
        <v>2833</v>
      </c>
      <c r="D12845" s="69" t="s">
        <v>29418</v>
      </c>
      <c r="E12845" s="51"/>
      <c r="F12845" s="114" t="str">
        <f>IF(INDEX(I.Facility.P2bIDNumber,2833)="","",INDEX(I.Facility.P2bIDNumber,2833))</f>
        <v/>
      </c>
      <c r="G12845" s="51"/>
      <c r="H12845" s="46" t="str">
        <f>IF(AND(I.Developer.P2b=TRUE,I.Facility.P2bFacilityCount&gt;=2833,F12845=""),"Incomplete","Complete")</f>
        <v>Complete</v>
      </c>
      <c r="I12845" s="48" t="s">
        <v>17210</v>
      </c>
    </row>
    <row r="12846" spans="2:9" ht="15" customHeight="1" x14ac:dyDescent="0.25">
      <c r="B12846" s="55" t="s">
        <v>281</v>
      </c>
      <c r="C12846" s="46">
        <v>2834</v>
      </c>
      <c r="D12846" s="69" t="s">
        <v>29418</v>
      </c>
      <c r="E12846" s="51"/>
      <c r="F12846" s="114" t="str">
        <f>IF(INDEX(I.Facility.P2bIDNumber,2834)="","",INDEX(I.Facility.P2bIDNumber,2834))</f>
        <v/>
      </c>
      <c r="G12846" s="51"/>
      <c r="H12846" s="46" t="str">
        <f>IF(AND(I.Developer.P2b=TRUE,I.Facility.P2bFacilityCount&gt;=2834,F12846=""),"Incomplete","Complete")</f>
        <v>Complete</v>
      </c>
      <c r="I12846" s="48" t="s">
        <v>17211</v>
      </c>
    </row>
    <row r="12847" spans="2:9" ht="15" customHeight="1" x14ac:dyDescent="0.25">
      <c r="B12847" s="55" t="s">
        <v>281</v>
      </c>
      <c r="C12847" s="46">
        <v>2835</v>
      </c>
      <c r="D12847" s="69" t="s">
        <v>29418</v>
      </c>
      <c r="E12847" s="51"/>
      <c r="F12847" s="114" t="str">
        <f>IF(INDEX(I.Facility.P2bIDNumber,2835)="","",INDEX(I.Facility.P2bIDNumber,2835))</f>
        <v/>
      </c>
      <c r="G12847" s="51"/>
      <c r="H12847" s="46" t="str">
        <f>IF(AND(I.Developer.P2b=TRUE,I.Facility.P2bFacilityCount&gt;=2835,F12847=""),"Incomplete","Complete")</f>
        <v>Complete</v>
      </c>
      <c r="I12847" s="48" t="s">
        <v>17212</v>
      </c>
    </row>
    <row r="12848" spans="2:9" ht="15" customHeight="1" x14ac:dyDescent="0.25">
      <c r="B12848" s="55" t="s">
        <v>281</v>
      </c>
      <c r="C12848" s="46">
        <v>2836</v>
      </c>
      <c r="D12848" s="69" t="s">
        <v>29418</v>
      </c>
      <c r="E12848" s="51"/>
      <c r="F12848" s="114" t="str">
        <f>IF(INDEX(I.Facility.P2bIDNumber,2836)="","",INDEX(I.Facility.P2bIDNumber,2836))</f>
        <v/>
      </c>
      <c r="G12848" s="51"/>
      <c r="H12848" s="46" t="str">
        <f>IF(AND(I.Developer.P2b=TRUE,I.Facility.P2bFacilityCount&gt;=2836,F12848=""),"Incomplete","Complete")</f>
        <v>Complete</v>
      </c>
      <c r="I12848" s="48" t="s">
        <v>17213</v>
      </c>
    </row>
    <row r="12849" spans="2:9" ht="15" customHeight="1" x14ac:dyDescent="0.25">
      <c r="B12849" s="55" t="s">
        <v>281</v>
      </c>
      <c r="C12849" s="46">
        <v>2837</v>
      </c>
      <c r="D12849" s="69" t="s">
        <v>29418</v>
      </c>
      <c r="E12849" s="51"/>
      <c r="F12849" s="114" t="str">
        <f>IF(INDEX(I.Facility.P2bIDNumber,2837)="","",INDEX(I.Facility.P2bIDNumber,2837))</f>
        <v/>
      </c>
      <c r="G12849" s="51"/>
      <c r="H12849" s="46" t="str">
        <f>IF(AND(I.Developer.P2b=TRUE,I.Facility.P2bFacilityCount&gt;=2837,F12849=""),"Incomplete","Complete")</f>
        <v>Complete</v>
      </c>
      <c r="I12849" s="48" t="s">
        <v>17214</v>
      </c>
    </row>
    <row r="12850" spans="2:9" ht="15" customHeight="1" x14ac:dyDescent="0.25">
      <c r="B12850" s="55" t="s">
        <v>281</v>
      </c>
      <c r="C12850" s="46">
        <v>2838</v>
      </c>
      <c r="D12850" s="69" t="s">
        <v>29418</v>
      </c>
      <c r="E12850" s="51"/>
      <c r="F12850" s="114" t="str">
        <f>IF(INDEX(I.Facility.P2bIDNumber,2838)="","",INDEX(I.Facility.P2bIDNumber,2838))</f>
        <v/>
      </c>
      <c r="G12850" s="51"/>
      <c r="H12850" s="46" t="str">
        <f>IF(AND(I.Developer.P2b=TRUE,I.Facility.P2bFacilityCount&gt;=2838,F12850=""),"Incomplete","Complete")</f>
        <v>Complete</v>
      </c>
      <c r="I12850" s="48" t="s">
        <v>17215</v>
      </c>
    </row>
    <row r="12851" spans="2:9" ht="15" customHeight="1" x14ac:dyDescent="0.25">
      <c r="B12851" s="55" t="s">
        <v>281</v>
      </c>
      <c r="C12851" s="46">
        <v>2839</v>
      </c>
      <c r="D12851" s="69" t="s">
        <v>29418</v>
      </c>
      <c r="E12851" s="51"/>
      <c r="F12851" s="114" t="str">
        <f>IF(INDEX(I.Facility.P2bIDNumber,2839)="","",INDEX(I.Facility.P2bIDNumber,2839))</f>
        <v/>
      </c>
      <c r="G12851" s="51"/>
      <c r="H12851" s="46" t="str">
        <f>IF(AND(I.Developer.P2b=TRUE,I.Facility.P2bFacilityCount&gt;=2839,F12851=""),"Incomplete","Complete")</f>
        <v>Complete</v>
      </c>
      <c r="I12851" s="48" t="s">
        <v>17216</v>
      </c>
    </row>
    <row r="12852" spans="2:9" ht="15" customHeight="1" x14ac:dyDescent="0.25">
      <c r="B12852" s="55" t="s">
        <v>281</v>
      </c>
      <c r="C12852" s="46">
        <v>2840</v>
      </c>
      <c r="D12852" s="69" t="s">
        <v>29418</v>
      </c>
      <c r="E12852" s="51"/>
      <c r="F12852" s="114" t="str">
        <f>IF(INDEX(I.Facility.P2bIDNumber,2840)="","",INDEX(I.Facility.P2bIDNumber,2840))</f>
        <v/>
      </c>
      <c r="G12852" s="51"/>
      <c r="H12852" s="46" t="str">
        <f>IF(AND(I.Developer.P2b=TRUE,I.Facility.P2bFacilityCount&gt;=2840,F12852=""),"Incomplete","Complete")</f>
        <v>Complete</v>
      </c>
      <c r="I12852" s="48" t="s">
        <v>17217</v>
      </c>
    </row>
    <row r="12853" spans="2:9" ht="15" customHeight="1" x14ac:dyDescent="0.25">
      <c r="B12853" s="55" t="s">
        <v>281</v>
      </c>
      <c r="C12853" s="46">
        <v>2841</v>
      </c>
      <c r="D12853" s="69" t="s">
        <v>29418</v>
      </c>
      <c r="E12853" s="51"/>
      <c r="F12853" s="114" t="str">
        <f>IF(INDEX(I.Facility.P2bIDNumber,2841)="","",INDEX(I.Facility.P2bIDNumber,2841))</f>
        <v/>
      </c>
      <c r="G12853" s="51"/>
      <c r="H12853" s="46" t="str">
        <f>IF(AND(I.Developer.P2b=TRUE,I.Facility.P2bFacilityCount&gt;=2841,F12853=""),"Incomplete","Complete")</f>
        <v>Complete</v>
      </c>
      <c r="I12853" s="48" t="s">
        <v>17218</v>
      </c>
    </row>
    <row r="12854" spans="2:9" ht="15" customHeight="1" x14ac:dyDescent="0.25">
      <c r="B12854" s="55" t="s">
        <v>281</v>
      </c>
      <c r="C12854" s="46">
        <v>2842</v>
      </c>
      <c r="D12854" s="69" t="s">
        <v>29418</v>
      </c>
      <c r="E12854" s="51"/>
      <c r="F12854" s="114" t="str">
        <f>IF(INDEX(I.Facility.P2bIDNumber,2842)="","",INDEX(I.Facility.P2bIDNumber,2842))</f>
        <v/>
      </c>
      <c r="G12854" s="51"/>
      <c r="H12854" s="46" t="str">
        <f>IF(AND(I.Developer.P2b=TRUE,I.Facility.P2bFacilityCount&gt;=2842,F12854=""),"Incomplete","Complete")</f>
        <v>Complete</v>
      </c>
      <c r="I12854" s="48" t="s">
        <v>17219</v>
      </c>
    </row>
    <row r="12855" spans="2:9" ht="15" customHeight="1" x14ac:dyDescent="0.25">
      <c r="B12855" s="55" t="s">
        <v>281</v>
      </c>
      <c r="C12855" s="46">
        <v>2843</v>
      </c>
      <c r="D12855" s="69" t="s">
        <v>29418</v>
      </c>
      <c r="E12855" s="51"/>
      <c r="F12855" s="114" t="str">
        <f>IF(INDEX(I.Facility.P2bIDNumber,2843)="","",INDEX(I.Facility.P2bIDNumber,2843))</f>
        <v/>
      </c>
      <c r="G12855" s="51"/>
      <c r="H12855" s="46" t="str">
        <f>IF(AND(I.Developer.P2b=TRUE,I.Facility.P2bFacilityCount&gt;=2843,F12855=""),"Incomplete","Complete")</f>
        <v>Complete</v>
      </c>
      <c r="I12855" s="48" t="s">
        <v>17220</v>
      </c>
    </row>
    <row r="12856" spans="2:9" ht="15" customHeight="1" x14ac:dyDescent="0.25">
      <c r="B12856" s="55" t="s">
        <v>281</v>
      </c>
      <c r="C12856" s="46">
        <v>2844</v>
      </c>
      <c r="D12856" s="69" t="s">
        <v>29418</v>
      </c>
      <c r="E12856" s="51"/>
      <c r="F12856" s="114" t="str">
        <f>IF(INDEX(I.Facility.P2bIDNumber,2844)="","",INDEX(I.Facility.P2bIDNumber,2844))</f>
        <v/>
      </c>
      <c r="G12856" s="51"/>
      <c r="H12856" s="46" t="str">
        <f>IF(AND(I.Developer.P2b=TRUE,I.Facility.P2bFacilityCount&gt;=2844,F12856=""),"Incomplete","Complete")</f>
        <v>Complete</v>
      </c>
      <c r="I12856" s="48" t="s">
        <v>17221</v>
      </c>
    </row>
    <row r="12857" spans="2:9" ht="15" customHeight="1" x14ac:dyDescent="0.25">
      <c r="B12857" s="55" t="s">
        <v>281</v>
      </c>
      <c r="C12857" s="46">
        <v>2845</v>
      </c>
      <c r="D12857" s="69" t="s">
        <v>29418</v>
      </c>
      <c r="E12857" s="51"/>
      <c r="F12857" s="114" t="str">
        <f>IF(INDEX(I.Facility.P2bIDNumber,2845)="","",INDEX(I.Facility.P2bIDNumber,2845))</f>
        <v/>
      </c>
      <c r="G12857" s="51"/>
      <c r="H12857" s="46" t="str">
        <f>IF(AND(I.Developer.P2b=TRUE,I.Facility.P2bFacilityCount&gt;=2845,F12857=""),"Incomplete","Complete")</f>
        <v>Complete</v>
      </c>
      <c r="I12857" s="48" t="s">
        <v>17222</v>
      </c>
    </row>
    <row r="12858" spans="2:9" ht="15" customHeight="1" x14ac:dyDescent="0.25">
      <c r="B12858" s="55" t="s">
        <v>281</v>
      </c>
      <c r="C12858" s="46">
        <v>2846</v>
      </c>
      <c r="D12858" s="69" t="s">
        <v>29418</v>
      </c>
      <c r="E12858" s="51"/>
      <c r="F12858" s="114" t="str">
        <f>IF(INDEX(I.Facility.P2bIDNumber,2846)="","",INDEX(I.Facility.P2bIDNumber,2846))</f>
        <v/>
      </c>
      <c r="G12858" s="51"/>
      <c r="H12858" s="46" t="str">
        <f>IF(AND(I.Developer.P2b=TRUE,I.Facility.P2bFacilityCount&gt;=2846,F12858=""),"Incomplete","Complete")</f>
        <v>Complete</v>
      </c>
      <c r="I12858" s="48" t="s">
        <v>17223</v>
      </c>
    </row>
    <row r="12859" spans="2:9" ht="15" customHeight="1" x14ac:dyDescent="0.25">
      <c r="B12859" s="55" t="s">
        <v>281</v>
      </c>
      <c r="C12859" s="46">
        <v>2847</v>
      </c>
      <c r="D12859" s="69" t="s">
        <v>29418</v>
      </c>
      <c r="E12859" s="51"/>
      <c r="F12859" s="114" t="str">
        <f>IF(INDEX(I.Facility.P2bIDNumber,2847)="","",INDEX(I.Facility.P2bIDNumber,2847))</f>
        <v/>
      </c>
      <c r="G12859" s="51"/>
      <c r="H12859" s="46" t="str">
        <f>IF(AND(I.Developer.P2b=TRUE,I.Facility.P2bFacilityCount&gt;=2847,F12859=""),"Incomplete","Complete")</f>
        <v>Complete</v>
      </c>
      <c r="I12859" s="48" t="s">
        <v>17224</v>
      </c>
    </row>
    <row r="12860" spans="2:9" ht="15" customHeight="1" x14ac:dyDescent="0.25">
      <c r="B12860" s="55" t="s">
        <v>281</v>
      </c>
      <c r="C12860" s="46">
        <v>2848</v>
      </c>
      <c r="D12860" s="69" t="s">
        <v>29418</v>
      </c>
      <c r="E12860" s="51"/>
      <c r="F12860" s="114" t="str">
        <f>IF(INDEX(I.Facility.P2bIDNumber,2848)="","",INDEX(I.Facility.P2bIDNumber,2848))</f>
        <v/>
      </c>
      <c r="G12860" s="51"/>
      <c r="H12860" s="46" t="str">
        <f>IF(AND(I.Developer.P2b=TRUE,I.Facility.P2bFacilityCount&gt;=2848,F12860=""),"Incomplete","Complete")</f>
        <v>Complete</v>
      </c>
      <c r="I12860" s="48" t="s">
        <v>17225</v>
      </c>
    </row>
    <row r="12861" spans="2:9" ht="15" customHeight="1" x14ac:dyDescent="0.25">
      <c r="B12861" s="55" t="s">
        <v>281</v>
      </c>
      <c r="C12861" s="46">
        <v>2849</v>
      </c>
      <c r="D12861" s="69" t="s">
        <v>29418</v>
      </c>
      <c r="E12861" s="51"/>
      <c r="F12861" s="114" t="str">
        <f>IF(INDEX(I.Facility.P2bIDNumber,2849)="","",INDEX(I.Facility.P2bIDNumber,2849))</f>
        <v/>
      </c>
      <c r="G12861" s="51"/>
      <c r="H12861" s="46" t="str">
        <f>IF(AND(I.Developer.P2b=TRUE,I.Facility.P2bFacilityCount&gt;=2849,F12861=""),"Incomplete","Complete")</f>
        <v>Complete</v>
      </c>
      <c r="I12861" s="48" t="s">
        <v>17226</v>
      </c>
    </row>
    <row r="12862" spans="2:9" ht="15" customHeight="1" x14ac:dyDescent="0.25">
      <c r="B12862" s="55" t="s">
        <v>281</v>
      </c>
      <c r="C12862" s="46">
        <v>2850</v>
      </c>
      <c r="D12862" s="69" t="s">
        <v>29418</v>
      </c>
      <c r="E12862" s="51"/>
      <c r="F12862" s="114" t="str">
        <f>IF(INDEX(I.Facility.P2bIDNumber,2850)="","",INDEX(I.Facility.P2bIDNumber,2850))</f>
        <v/>
      </c>
      <c r="G12862" s="51"/>
      <c r="H12862" s="46" t="str">
        <f>IF(AND(I.Developer.P2b=TRUE,I.Facility.P2bFacilityCount&gt;=2850,F12862=""),"Incomplete","Complete")</f>
        <v>Complete</v>
      </c>
      <c r="I12862" s="48" t="s">
        <v>17227</v>
      </c>
    </row>
    <row r="12863" spans="2:9" ht="15" customHeight="1" x14ac:dyDescent="0.25">
      <c r="B12863" s="55" t="s">
        <v>281</v>
      </c>
      <c r="C12863" s="46">
        <v>2851</v>
      </c>
      <c r="D12863" s="69" t="s">
        <v>29418</v>
      </c>
      <c r="E12863" s="51"/>
      <c r="F12863" s="114" t="str">
        <f>IF(INDEX(I.Facility.P2bIDNumber,2851)="","",INDEX(I.Facility.P2bIDNumber,2851))</f>
        <v/>
      </c>
      <c r="G12863" s="51"/>
      <c r="H12863" s="46" t="str">
        <f>IF(AND(I.Developer.P2b=TRUE,I.Facility.P2bFacilityCount&gt;=2851,F12863=""),"Incomplete","Complete")</f>
        <v>Complete</v>
      </c>
      <c r="I12863" s="48" t="s">
        <v>17228</v>
      </c>
    </row>
    <row r="12864" spans="2:9" ht="15" customHeight="1" x14ac:dyDescent="0.25">
      <c r="B12864" s="55" t="s">
        <v>281</v>
      </c>
      <c r="C12864" s="46">
        <v>2852</v>
      </c>
      <c r="D12864" s="69" t="s">
        <v>29418</v>
      </c>
      <c r="E12864" s="51"/>
      <c r="F12864" s="114" t="str">
        <f>IF(INDEX(I.Facility.P2bIDNumber,2852)="","",INDEX(I.Facility.P2bIDNumber,2852))</f>
        <v/>
      </c>
      <c r="G12864" s="51"/>
      <c r="H12864" s="46" t="str">
        <f>IF(AND(I.Developer.P2b=TRUE,I.Facility.P2bFacilityCount&gt;=2852,F12864=""),"Incomplete","Complete")</f>
        <v>Complete</v>
      </c>
      <c r="I12864" s="48" t="s">
        <v>17229</v>
      </c>
    </row>
    <row r="12865" spans="2:9" ht="15" customHeight="1" x14ac:dyDescent="0.25">
      <c r="B12865" s="55" t="s">
        <v>281</v>
      </c>
      <c r="C12865" s="46">
        <v>2853</v>
      </c>
      <c r="D12865" s="69" t="s">
        <v>29418</v>
      </c>
      <c r="E12865" s="51"/>
      <c r="F12865" s="114" t="str">
        <f>IF(INDEX(I.Facility.P2bIDNumber,2853)="","",INDEX(I.Facility.P2bIDNumber,2853))</f>
        <v/>
      </c>
      <c r="G12865" s="51"/>
      <c r="H12865" s="46" t="str">
        <f>IF(AND(I.Developer.P2b=TRUE,I.Facility.P2bFacilityCount&gt;=2853,F12865=""),"Incomplete","Complete")</f>
        <v>Complete</v>
      </c>
      <c r="I12865" s="48" t="s">
        <v>17230</v>
      </c>
    </row>
    <row r="12866" spans="2:9" ht="15" customHeight="1" x14ac:dyDescent="0.25">
      <c r="B12866" s="55" t="s">
        <v>281</v>
      </c>
      <c r="C12866" s="46">
        <v>2854</v>
      </c>
      <c r="D12866" s="69" t="s">
        <v>29418</v>
      </c>
      <c r="E12866" s="51"/>
      <c r="F12866" s="114" t="str">
        <f>IF(INDEX(I.Facility.P2bIDNumber,2854)="","",INDEX(I.Facility.P2bIDNumber,2854))</f>
        <v/>
      </c>
      <c r="G12866" s="51"/>
      <c r="H12866" s="46" t="str">
        <f>IF(AND(I.Developer.P2b=TRUE,I.Facility.P2bFacilityCount&gt;=2854,F12866=""),"Incomplete","Complete")</f>
        <v>Complete</v>
      </c>
      <c r="I12866" s="48" t="s">
        <v>17231</v>
      </c>
    </row>
    <row r="12867" spans="2:9" ht="15" customHeight="1" x14ac:dyDescent="0.25">
      <c r="B12867" s="55" t="s">
        <v>281</v>
      </c>
      <c r="C12867" s="46">
        <v>2855</v>
      </c>
      <c r="D12867" s="69" t="s">
        <v>29418</v>
      </c>
      <c r="E12867" s="51"/>
      <c r="F12867" s="114" t="str">
        <f>IF(INDEX(I.Facility.P2bIDNumber,2855)="","",INDEX(I.Facility.P2bIDNumber,2855))</f>
        <v/>
      </c>
      <c r="G12867" s="51"/>
      <c r="H12867" s="46" t="str">
        <f>IF(AND(I.Developer.P2b=TRUE,I.Facility.P2bFacilityCount&gt;=2855,F12867=""),"Incomplete","Complete")</f>
        <v>Complete</v>
      </c>
      <c r="I12867" s="48" t="s">
        <v>17232</v>
      </c>
    </row>
    <row r="12868" spans="2:9" ht="15" customHeight="1" x14ac:dyDescent="0.25">
      <c r="B12868" s="55" t="s">
        <v>281</v>
      </c>
      <c r="C12868" s="46">
        <v>2856</v>
      </c>
      <c r="D12868" s="69" t="s">
        <v>29418</v>
      </c>
      <c r="E12868" s="51"/>
      <c r="F12868" s="114" t="str">
        <f>IF(INDEX(I.Facility.P2bIDNumber,2856)="","",INDEX(I.Facility.P2bIDNumber,2856))</f>
        <v/>
      </c>
      <c r="G12868" s="51"/>
      <c r="H12868" s="46" t="str">
        <f>IF(AND(I.Developer.P2b=TRUE,I.Facility.P2bFacilityCount&gt;=2856,F12868=""),"Incomplete","Complete")</f>
        <v>Complete</v>
      </c>
      <c r="I12868" s="48" t="s">
        <v>17233</v>
      </c>
    </row>
    <row r="12869" spans="2:9" ht="15" customHeight="1" x14ac:dyDescent="0.25">
      <c r="B12869" s="55" t="s">
        <v>281</v>
      </c>
      <c r="C12869" s="46">
        <v>2857</v>
      </c>
      <c r="D12869" s="69" t="s">
        <v>29418</v>
      </c>
      <c r="E12869" s="51"/>
      <c r="F12869" s="114" t="str">
        <f>IF(INDEX(I.Facility.P2bIDNumber,2857)="","",INDEX(I.Facility.P2bIDNumber,2857))</f>
        <v/>
      </c>
      <c r="G12869" s="51"/>
      <c r="H12869" s="46" t="str">
        <f>IF(AND(I.Developer.P2b=TRUE,I.Facility.P2bFacilityCount&gt;=2857,F12869=""),"Incomplete","Complete")</f>
        <v>Complete</v>
      </c>
      <c r="I12869" s="48" t="s">
        <v>17234</v>
      </c>
    </row>
    <row r="12870" spans="2:9" ht="15" customHeight="1" x14ac:dyDescent="0.25">
      <c r="B12870" s="55" t="s">
        <v>281</v>
      </c>
      <c r="C12870" s="46">
        <v>2858</v>
      </c>
      <c r="D12870" s="69" t="s">
        <v>29418</v>
      </c>
      <c r="E12870" s="51"/>
      <c r="F12870" s="114" t="str">
        <f>IF(INDEX(I.Facility.P2bIDNumber,2858)="","",INDEX(I.Facility.P2bIDNumber,2858))</f>
        <v/>
      </c>
      <c r="G12870" s="51"/>
      <c r="H12870" s="46" t="str">
        <f>IF(AND(I.Developer.P2b=TRUE,I.Facility.P2bFacilityCount&gt;=2858,F12870=""),"Incomplete","Complete")</f>
        <v>Complete</v>
      </c>
      <c r="I12870" s="48" t="s">
        <v>17235</v>
      </c>
    </row>
    <row r="12871" spans="2:9" ht="15" customHeight="1" x14ac:dyDescent="0.25">
      <c r="B12871" s="55" t="s">
        <v>281</v>
      </c>
      <c r="C12871" s="46">
        <v>2859</v>
      </c>
      <c r="D12871" s="69" t="s">
        <v>29418</v>
      </c>
      <c r="E12871" s="51"/>
      <c r="F12871" s="114" t="str">
        <f>IF(INDEX(I.Facility.P2bIDNumber,2859)="","",INDEX(I.Facility.P2bIDNumber,2859))</f>
        <v/>
      </c>
      <c r="G12871" s="51"/>
      <c r="H12871" s="46" t="str">
        <f>IF(AND(I.Developer.P2b=TRUE,I.Facility.P2bFacilityCount&gt;=2859,F12871=""),"Incomplete","Complete")</f>
        <v>Complete</v>
      </c>
      <c r="I12871" s="48" t="s">
        <v>17236</v>
      </c>
    </row>
    <row r="12872" spans="2:9" ht="15" customHeight="1" x14ac:dyDescent="0.25">
      <c r="B12872" s="55" t="s">
        <v>281</v>
      </c>
      <c r="C12872" s="46">
        <v>2860</v>
      </c>
      <c r="D12872" s="69" t="s">
        <v>29418</v>
      </c>
      <c r="E12872" s="51"/>
      <c r="F12872" s="114" t="str">
        <f>IF(INDEX(I.Facility.P2bIDNumber,2860)="","",INDEX(I.Facility.P2bIDNumber,2860))</f>
        <v/>
      </c>
      <c r="G12872" s="51"/>
      <c r="H12872" s="46" t="str">
        <f>IF(AND(I.Developer.P2b=TRUE,I.Facility.P2bFacilityCount&gt;=2860,F12872=""),"Incomplete","Complete")</f>
        <v>Complete</v>
      </c>
      <c r="I12872" s="48" t="s">
        <v>17237</v>
      </c>
    </row>
    <row r="12873" spans="2:9" ht="15" customHeight="1" x14ac:dyDescent="0.25">
      <c r="B12873" s="55" t="s">
        <v>281</v>
      </c>
      <c r="C12873" s="46">
        <v>2861</v>
      </c>
      <c r="D12873" s="69" t="s">
        <v>29418</v>
      </c>
      <c r="E12873" s="51"/>
      <c r="F12873" s="114" t="str">
        <f>IF(INDEX(I.Facility.P2bIDNumber,2861)="","",INDEX(I.Facility.P2bIDNumber,2861))</f>
        <v/>
      </c>
      <c r="G12873" s="51"/>
      <c r="H12873" s="46" t="str">
        <f>IF(AND(I.Developer.P2b=TRUE,I.Facility.P2bFacilityCount&gt;=2861,F12873=""),"Incomplete","Complete")</f>
        <v>Complete</v>
      </c>
      <c r="I12873" s="48" t="s">
        <v>17238</v>
      </c>
    </row>
    <row r="12874" spans="2:9" ht="15" customHeight="1" x14ac:dyDescent="0.25">
      <c r="B12874" s="55" t="s">
        <v>281</v>
      </c>
      <c r="C12874" s="46">
        <v>2862</v>
      </c>
      <c r="D12874" s="69" t="s">
        <v>29418</v>
      </c>
      <c r="E12874" s="51"/>
      <c r="F12874" s="114" t="str">
        <f>IF(INDEX(I.Facility.P2bIDNumber,2862)="","",INDEX(I.Facility.P2bIDNumber,2862))</f>
        <v/>
      </c>
      <c r="G12874" s="51"/>
      <c r="H12874" s="46" t="str">
        <f>IF(AND(I.Developer.P2b=TRUE,I.Facility.P2bFacilityCount&gt;=2862,F12874=""),"Incomplete","Complete")</f>
        <v>Complete</v>
      </c>
      <c r="I12874" s="48" t="s">
        <v>17239</v>
      </c>
    </row>
    <row r="12875" spans="2:9" ht="15" customHeight="1" x14ac:dyDescent="0.25">
      <c r="B12875" s="55" t="s">
        <v>281</v>
      </c>
      <c r="C12875" s="46">
        <v>2863</v>
      </c>
      <c r="D12875" s="69" t="s">
        <v>29418</v>
      </c>
      <c r="E12875" s="51"/>
      <c r="F12875" s="114" t="str">
        <f>IF(INDEX(I.Facility.P2bIDNumber,2863)="","",INDEX(I.Facility.P2bIDNumber,2863))</f>
        <v/>
      </c>
      <c r="G12875" s="51"/>
      <c r="H12875" s="46" t="str">
        <f>IF(AND(I.Developer.P2b=TRUE,I.Facility.P2bFacilityCount&gt;=2863,F12875=""),"Incomplete","Complete")</f>
        <v>Complete</v>
      </c>
      <c r="I12875" s="48" t="s">
        <v>17240</v>
      </c>
    </row>
    <row r="12876" spans="2:9" ht="15" customHeight="1" x14ac:dyDescent="0.25">
      <c r="B12876" s="55" t="s">
        <v>281</v>
      </c>
      <c r="C12876" s="46">
        <v>2864</v>
      </c>
      <c r="D12876" s="69" t="s">
        <v>29418</v>
      </c>
      <c r="E12876" s="51"/>
      <c r="F12876" s="114" t="str">
        <f>IF(INDEX(I.Facility.P2bIDNumber,2864)="","",INDEX(I.Facility.P2bIDNumber,2864))</f>
        <v/>
      </c>
      <c r="G12876" s="51"/>
      <c r="H12876" s="46" t="str">
        <f>IF(AND(I.Developer.P2b=TRUE,I.Facility.P2bFacilityCount&gt;=2864,F12876=""),"Incomplete","Complete")</f>
        <v>Complete</v>
      </c>
      <c r="I12876" s="48" t="s">
        <v>17241</v>
      </c>
    </row>
    <row r="12877" spans="2:9" ht="15" customHeight="1" x14ac:dyDescent="0.25">
      <c r="B12877" s="55" t="s">
        <v>281</v>
      </c>
      <c r="C12877" s="46">
        <v>2865</v>
      </c>
      <c r="D12877" s="69" t="s">
        <v>29418</v>
      </c>
      <c r="E12877" s="51"/>
      <c r="F12877" s="114" t="str">
        <f>IF(INDEX(I.Facility.P2bIDNumber,2865)="","",INDEX(I.Facility.P2bIDNumber,2865))</f>
        <v/>
      </c>
      <c r="G12877" s="51"/>
      <c r="H12877" s="46" t="str">
        <f>IF(AND(I.Developer.P2b=TRUE,I.Facility.P2bFacilityCount&gt;=2865,F12877=""),"Incomplete","Complete")</f>
        <v>Complete</v>
      </c>
      <c r="I12877" s="48" t="s">
        <v>17242</v>
      </c>
    </row>
    <row r="12878" spans="2:9" ht="15" customHeight="1" x14ac:dyDescent="0.25">
      <c r="B12878" s="55" t="s">
        <v>281</v>
      </c>
      <c r="C12878" s="46">
        <v>2866</v>
      </c>
      <c r="D12878" s="69" t="s">
        <v>29418</v>
      </c>
      <c r="E12878" s="51"/>
      <c r="F12878" s="114" t="str">
        <f>IF(INDEX(I.Facility.P2bIDNumber,2866)="","",INDEX(I.Facility.P2bIDNumber,2866))</f>
        <v/>
      </c>
      <c r="G12878" s="51"/>
      <c r="H12878" s="46" t="str">
        <f>IF(AND(I.Developer.P2b=TRUE,I.Facility.P2bFacilityCount&gt;=2866,F12878=""),"Incomplete","Complete")</f>
        <v>Complete</v>
      </c>
      <c r="I12878" s="48" t="s">
        <v>17243</v>
      </c>
    </row>
    <row r="12879" spans="2:9" ht="15" customHeight="1" x14ac:dyDescent="0.25">
      <c r="B12879" s="55" t="s">
        <v>281</v>
      </c>
      <c r="C12879" s="46">
        <v>2867</v>
      </c>
      <c r="D12879" s="69" t="s">
        <v>29418</v>
      </c>
      <c r="E12879" s="51"/>
      <c r="F12879" s="114" t="str">
        <f>IF(INDEX(I.Facility.P2bIDNumber,2867)="","",INDEX(I.Facility.P2bIDNumber,2867))</f>
        <v/>
      </c>
      <c r="G12879" s="51"/>
      <c r="H12879" s="46" t="str">
        <f>IF(AND(I.Developer.P2b=TRUE,I.Facility.P2bFacilityCount&gt;=2867,F12879=""),"Incomplete","Complete")</f>
        <v>Complete</v>
      </c>
      <c r="I12879" s="48" t="s">
        <v>17244</v>
      </c>
    </row>
    <row r="12880" spans="2:9" ht="15" customHeight="1" x14ac:dyDescent="0.25">
      <c r="B12880" s="55" t="s">
        <v>281</v>
      </c>
      <c r="C12880" s="46">
        <v>2868</v>
      </c>
      <c r="D12880" s="69" t="s">
        <v>29418</v>
      </c>
      <c r="E12880" s="51"/>
      <c r="F12880" s="114" t="str">
        <f>IF(INDEX(I.Facility.P2bIDNumber,2868)="","",INDEX(I.Facility.P2bIDNumber,2868))</f>
        <v/>
      </c>
      <c r="G12880" s="51"/>
      <c r="H12880" s="46" t="str">
        <f>IF(AND(I.Developer.P2b=TRUE,I.Facility.P2bFacilityCount&gt;=2868,F12880=""),"Incomplete","Complete")</f>
        <v>Complete</v>
      </c>
      <c r="I12880" s="48" t="s">
        <v>17245</v>
      </c>
    </row>
    <row r="12881" spans="2:9" ht="15" customHeight="1" x14ac:dyDescent="0.25">
      <c r="B12881" s="55" t="s">
        <v>281</v>
      </c>
      <c r="C12881" s="46">
        <v>2869</v>
      </c>
      <c r="D12881" s="69" t="s">
        <v>29418</v>
      </c>
      <c r="E12881" s="51"/>
      <c r="F12881" s="114" t="str">
        <f>IF(INDEX(I.Facility.P2bIDNumber,2869)="","",INDEX(I.Facility.P2bIDNumber,2869))</f>
        <v/>
      </c>
      <c r="G12881" s="51"/>
      <c r="H12881" s="46" t="str">
        <f>IF(AND(I.Developer.P2b=TRUE,I.Facility.P2bFacilityCount&gt;=2869,F12881=""),"Incomplete","Complete")</f>
        <v>Complete</v>
      </c>
      <c r="I12881" s="48" t="s">
        <v>17246</v>
      </c>
    </row>
    <row r="12882" spans="2:9" ht="15" customHeight="1" x14ac:dyDescent="0.25">
      <c r="B12882" s="55" t="s">
        <v>281</v>
      </c>
      <c r="C12882" s="46">
        <v>2870</v>
      </c>
      <c r="D12882" s="69" t="s">
        <v>29418</v>
      </c>
      <c r="E12882" s="51"/>
      <c r="F12882" s="114" t="str">
        <f>IF(INDEX(I.Facility.P2bIDNumber,2870)="","",INDEX(I.Facility.P2bIDNumber,2870))</f>
        <v/>
      </c>
      <c r="G12882" s="51"/>
      <c r="H12882" s="46" t="str">
        <f>IF(AND(I.Developer.P2b=TRUE,I.Facility.P2bFacilityCount&gt;=2870,F12882=""),"Incomplete","Complete")</f>
        <v>Complete</v>
      </c>
      <c r="I12882" s="48" t="s">
        <v>17247</v>
      </c>
    </row>
    <row r="12883" spans="2:9" ht="15" customHeight="1" x14ac:dyDescent="0.25">
      <c r="B12883" s="55" t="s">
        <v>281</v>
      </c>
      <c r="C12883" s="46">
        <v>2871</v>
      </c>
      <c r="D12883" s="69" t="s">
        <v>29418</v>
      </c>
      <c r="E12883" s="51"/>
      <c r="F12883" s="114" t="str">
        <f>IF(INDEX(I.Facility.P2bIDNumber,2871)="","",INDEX(I.Facility.P2bIDNumber,2871))</f>
        <v/>
      </c>
      <c r="G12883" s="51"/>
      <c r="H12883" s="46" t="str">
        <f>IF(AND(I.Developer.P2b=TRUE,I.Facility.P2bFacilityCount&gt;=2871,F12883=""),"Incomplete","Complete")</f>
        <v>Complete</v>
      </c>
      <c r="I12883" s="48" t="s">
        <v>17248</v>
      </c>
    </row>
    <row r="12884" spans="2:9" ht="15" customHeight="1" x14ac:dyDescent="0.25">
      <c r="B12884" s="55" t="s">
        <v>281</v>
      </c>
      <c r="C12884" s="46">
        <v>2872</v>
      </c>
      <c r="D12884" s="69" t="s">
        <v>29418</v>
      </c>
      <c r="E12884" s="51"/>
      <c r="F12884" s="114" t="str">
        <f>IF(INDEX(I.Facility.P2bIDNumber,2872)="","",INDEX(I.Facility.P2bIDNumber,2872))</f>
        <v/>
      </c>
      <c r="G12884" s="51"/>
      <c r="H12884" s="46" t="str">
        <f>IF(AND(I.Developer.P2b=TRUE,I.Facility.P2bFacilityCount&gt;=2872,F12884=""),"Incomplete","Complete")</f>
        <v>Complete</v>
      </c>
      <c r="I12884" s="48" t="s">
        <v>17249</v>
      </c>
    </row>
    <row r="12885" spans="2:9" ht="15" customHeight="1" x14ac:dyDescent="0.25">
      <c r="B12885" s="55" t="s">
        <v>281</v>
      </c>
      <c r="C12885" s="46">
        <v>2873</v>
      </c>
      <c r="D12885" s="69" t="s">
        <v>29418</v>
      </c>
      <c r="E12885" s="51"/>
      <c r="F12885" s="114" t="str">
        <f>IF(INDEX(I.Facility.P2bIDNumber,2873)="","",INDEX(I.Facility.P2bIDNumber,2873))</f>
        <v/>
      </c>
      <c r="G12885" s="51"/>
      <c r="H12885" s="46" t="str">
        <f>IF(AND(I.Developer.P2b=TRUE,I.Facility.P2bFacilityCount&gt;=2873,F12885=""),"Incomplete","Complete")</f>
        <v>Complete</v>
      </c>
      <c r="I12885" s="48" t="s">
        <v>17250</v>
      </c>
    </row>
    <row r="12886" spans="2:9" ht="15" customHeight="1" x14ac:dyDescent="0.25">
      <c r="B12886" s="55" t="s">
        <v>281</v>
      </c>
      <c r="C12886" s="46">
        <v>2874</v>
      </c>
      <c r="D12886" s="69" t="s">
        <v>29418</v>
      </c>
      <c r="E12886" s="51"/>
      <c r="F12886" s="114" t="str">
        <f>IF(INDEX(I.Facility.P2bIDNumber,2874)="","",INDEX(I.Facility.P2bIDNumber,2874))</f>
        <v/>
      </c>
      <c r="G12886" s="51"/>
      <c r="H12886" s="46" t="str">
        <f>IF(AND(I.Developer.P2b=TRUE,I.Facility.P2bFacilityCount&gt;=2874,F12886=""),"Incomplete","Complete")</f>
        <v>Complete</v>
      </c>
      <c r="I12886" s="48" t="s">
        <v>17251</v>
      </c>
    </row>
    <row r="12887" spans="2:9" ht="15" customHeight="1" x14ac:dyDescent="0.25">
      <c r="B12887" s="55" t="s">
        <v>281</v>
      </c>
      <c r="C12887" s="46">
        <v>2875</v>
      </c>
      <c r="D12887" s="69" t="s">
        <v>29418</v>
      </c>
      <c r="E12887" s="51"/>
      <c r="F12887" s="114" t="str">
        <f>IF(INDEX(I.Facility.P2bIDNumber,2875)="","",INDEX(I.Facility.P2bIDNumber,2875))</f>
        <v/>
      </c>
      <c r="G12887" s="51"/>
      <c r="H12887" s="46" t="str">
        <f>IF(AND(I.Developer.P2b=TRUE,I.Facility.P2bFacilityCount&gt;=2875,F12887=""),"Incomplete","Complete")</f>
        <v>Complete</v>
      </c>
      <c r="I12887" s="48" t="s">
        <v>17252</v>
      </c>
    </row>
    <row r="12888" spans="2:9" ht="15" customHeight="1" x14ac:dyDescent="0.25">
      <c r="B12888" s="55" t="s">
        <v>281</v>
      </c>
      <c r="C12888" s="46">
        <v>2876</v>
      </c>
      <c r="D12888" s="69" t="s">
        <v>29418</v>
      </c>
      <c r="E12888" s="51"/>
      <c r="F12888" s="114" t="str">
        <f>IF(INDEX(I.Facility.P2bIDNumber,2876)="","",INDEX(I.Facility.P2bIDNumber,2876))</f>
        <v/>
      </c>
      <c r="G12888" s="51"/>
      <c r="H12888" s="46" t="str">
        <f>IF(AND(I.Developer.P2b=TRUE,I.Facility.P2bFacilityCount&gt;=2876,F12888=""),"Incomplete","Complete")</f>
        <v>Complete</v>
      </c>
      <c r="I12888" s="48" t="s">
        <v>17253</v>
      </c>
    </row>
    <row r="12889" spans="2:9" ht="15" customHeight="1" x14ac:dyDescent="0.25">
      <c r="B12889" s="55" t="s">
        <v>281</v>
      </c>
      <c r="C12889" s="46">
        <v>2877</v>
      </c>
      <c r="D12889" s="69" t="s">
        <v>29418</v>
      </c>
      <c r="E12889" s="51"/>
      <c r="F12889" s="114" t="str">
        <f>IF(INDEX(I.Facility.P2bIDNumber,2877)="","",INDEX(I.Facility.P2bIDNumber,2877))</f>
        <v/>
      </c>
      <c r="G12889" s="51"/>
      <c r="H12889" s="46" t="str">
        <f>IF(AND(I.Developer.P2b=TRUE,I.Facility.P2bFacilityCount&gt;=2877,F12889=""),"Incomplete","Complete")</f>
        <v>Complete</v>
      </c>
      <c r="I12889" s="48" t="s">
        <v>17254</v>
      </c>
    </row>
    <row r="12890" spans="2:9" ht="15" customHeight="1" x14ac:dyDescent="0.25">
      <c r="B12890" s="55" t="s">
        <v>281</v>
      </c>
      <c r="C12890" s="46">
        <v>2878</v>
      </c>
      <c r="D12890" s="69" t="s">
        <v>29418</v>
      </c>
      <c r="E12890" s="51"/>
      <c r="F12890" s="114" t="str">
        <f>IF(INDEX(I.Facility.P2bIDNumber,2878)="","",INDEX(I.Facility.P2bIDNumber,2878))</f>
        <v/>
      </c>
      <c r="G12890" s="51"/>
      <c r="H12890" s="46" t="str">
        <f>IF(AND(I.Developer.P2b=TRUE,I.Facility.P2bFacilityCount&gt;=2878,F12890=""),"Incomplete","Complete")</f>
        <v>Complete</v>
      </c>
      <c r="I12890" s="48" t="s">
        <v>17255</v>
      </c>
    </row>
    <row r="12891" spans="2:9" ht="15" customHeight="1" x14ac:dyDescent="0.25">
      <c r="B12891" s="55" t="s">
        <v>281</v>
      </c>
      <c r="C12891" s="46">
        <v>2879</v>
      </c>
      <c r="D12891" s="69" t="s">
        <v>29418</v>
      </c>
      <c r="E12891" s="51"/>
      <c r="F12891" s="114" t="str">
        <f>IF(INDEX(I.Facility.P2bIDNumber,2879)="","",INDEX(I.Facility.P2bIDNumber,2879))</f>
        <v/>
      </c>
      <c r="G12891" s="51"/>
      <c r="H12891" s="46" t="str">
        <f>IF(AND(I.Developer.P2b=TRUE,I.Facility.P2bFacilityCount&gt;=2879,F12891=""),"Incomplete","Complete")</f>
        <v>Complete</v>
      </c>
      <c r="I12891" s="48" t="s">
        <v>17256</v>
      </c>
    </row>
    <row r="12892" spans="2:9" ht="15" customHeight="1" x14ac:dyDescent="0.25">
      <c r="B12892" s="55" t="s">
        <v>281</v>
      </c>
      <c r="C12892" s="46">
        <v>2880</v>
      </c>
      <c r="D12892" s="69" t="s">
        <v>29418</v>
      </c>
      <c r="E12892" s="51"/>
      <c r="F12892" s="114" t="str">
        <f>IF(INDEX(I.Facility.P2bIDNumber,2880)="","",INDEX(I.Facility.P2bIDNumber,2880))</f>
        <v/>
      </c>
      <c r="G12892" s="51"/>
      <c r="H12892" s="46" t="str">
        <f>IF(AND(I.Developer.P2b=TRUE,I.Facility.P2bFacilityCount&gt;=2880,F12892=""),"Incomplete","Complete")</f>
        <v>Complete</v>
      </c>
      <c r="I12892" s="48" t="s">
        <v>17257</v>
      </c>
    </row>
    <row r="12893" spans="2:9" ht="15" customHeight="1" x14ac:dyDescent="0.25">
      <c r="B12893" s="55" t="s">
        <v>281</v>
      </c>
      <c r="C12893" s="46">
        <v>2881</v>
      </c>
      <c r="D12893" s="69" t="s">
        <v>29418</v>
      </c>
      <c r="E12893" s="51"/>
      <c r="F12893" s="114" t="str">
        <f>IF(INDEX(I.Facility.P2bIDNumber,2881)="","",INDEX(I.Facility.P2bIDNumber,2881))</f>
        <v/>
      </c>
      <c r="G12893" s="51"/>
      <c r="H12893" s="46" t="str">
        <f>IF(AND(I.Developer.P2b=TRUE,I.Facility.P2bFacilityCount&gt;=2881,F12893=""),"Incomplete","Complete")</f>
        <v>Complete</v>
      </c>
      <c r="I12893" s="48" t="s">
        <v>17258</v>
      </c>
    </row>
    <row r="12894" spans="2:9" ht="15" customHeight="1" x14ac:dyDescent="0.25">
      <c r="B12894" s="55" t="s">
        <v>281</v>
      </c>
      <c r="C12894" s="46">
        <v>2882</v>
      </c>
      <c r="D12894" s="69" t="s">
        <v>29418</v>
      </c>
      <c r="E12894" s="51"/>
      <c r="F12894" s="114" t="str">
        <f>IF(INDEX(I.Facility.P2bIDNumber,2882)="","",INDEX(I.Facility.P2bIDNumber,2882))</f>
        <v/>
      </c>
      <c r="G12894" s="51"/>
      <c r="H12894" s="46" t="str">
        <f>IF(AND(I.Developer.P2b=TRUE,I.Facility.P2bFacilityCount&gt;=2882,F12894=""),"Incomplete","Complete")</f>
        <v>Complete</v>
      </c>
      <c r="I12894" s="48" t="s">
        <v>17259</v>
      </c>
    </row>
    <row r="12895" spans="2:9" ht="15" customHeight="1" x14ac:dyDescent="0.25">
      <c r="B12895" s="55" t="s">
        <v>281</v>
      </c>
      <c r="C12895" s="46">
        <v>2883</v>
      </c>
      <c r="D12895" s="69" t="s">
        <v>29418</v>
      </c>
      <c r="E12895" s="51"/>
      <c r="F12895" s="114" t="str">
        <f>IF(INDEX(I.Facility.P2bIDNumber,2883)="","",INDEX(I.Facility.P2bIDNumber,2883))</f>
        <v/>
      </c>
      <c r="G12895" s="51"/>
      <c r="H12895" s="46" t="str">
        <f>IF(AND(I.Developer.P2b=TRUE,I.Facility.P2bFacilityCount&gt;=2883,F12895=""),"Incomplete","Complete")</f>
        <v>Complete</v>
      </c>
      <c r="I12895" s="48" t="s">
        <v>17260</v>
      </c>
    </row>
    <row r="12896" spans="2:9" ht="15" customHeight="1" x14ac:dyDescent="0.25">
      <c r="B12896" s="55" t="s">
        <v>281</v>
      </c>
      <c r="C12896" s="46">
        <v>2884</v>
      </c>
      <c r="D12896" s="69" t="s">
        <v>29418</v>
      </c>
      <c r="E12896" s="51"/>
      <c r="F12896" s="114" t="str">
        <f>IF(INDEX(I.Facility.P2bIDNumber,2884)="","",INDEX(I.Facility.P2bIDNumber,2884))</f>
        <v/>
      </c>
      <c r="G12896" s="51"/>
      <c r="H12896" s="46" t="str">
        <f>IF(AND(I.Developer.P2b=TRUE,I.Facility.P2bFacilityCount&gt;=2884,F12896=""),"Incomplete","Complete")</f>
        <v>Complete</v>
      </c>
      <c r="I12896" s="48" t="s">
        <v>17261</v>
      </c>
    </row>
    <row r="12897" spans="2:9" ht="15" customHeight="1" x14ac:dyDescent="0.25">
      <c r="B12897" s="55" t="s">
        <v>281</v>
      </c>
      <c r="C12897" s="46">
        <v>2885</v>
      </c>
      <c r="D12897" s="69" t="s">
        <v>29418</v>
      </c>
      <c r="E12897" s="51"/>
      <c r="F12897" s="114" t="str">
        <f>IF(INDEX(I.Facility.P2bIDNumber,2885)="","",INDEX(I.Facility.P2bIDNumber,2885))</f>
        <v/>
      </c>
      <c r="G12897" s="51"/>
      <c r="H12897" s="46" t="str">
        <f>IF(AND(I.Developer.P2b=TRUE,I.Facility.P2bFacilityCount&gt;=2885,F12897=""),"Incomplete","Complete")</f>
        <v>Complete</v>
      </c>
      <c r="I12897" s="48" t="s">
        <v>17262</v>
      </c>
    </row>
    <row r="12898" spans="2:9" ht="15" customHeight="1" x14ac:dyDescent="0.25">
      <c r="B12898" s="55" t="s">
        <v>281</v>
      </c>
      <c r="C12898" s="46">
        <v>2886</v>
      </c>
      <c r="D12898" s="69" t="s">
        <v>29418</v>
      </c>
      <c r="E12898" s="51"/>
      <c r="F12898" s="114" t="str">
        <f>IF(INDEX(I.Facility.P2bIDNumber,2886)="","",INDEX(I.Facility.P2bIDNumber,2886))</f>
        <v/>
      </c>
      <c r="G12898" s="51"/>
      <c r="H12898" s="46" t="str">
        <f>IF(AND(I.Developer.P2b=TRUE,I.Facility.P2bFacilityCount&gt;=2886,F12898=""),"Incomplete","Complete")</f>
        <v>Complete</v>
      </c>
      <c r="I12898" s="48" t="s">
        <v>17263</v>
      </c>
    </row>
    <row r="12899" spans="2:9" ht="15" customHeight="1" x14ac:dyDescent="0.25">
      <c r="B12899" s="55" t="s">
        <v>281</v>
      </c>
      <c r="C12899" s="46">
        <v>2887</v>
      </c>
      <c r="D12899" s="69" t="s">
        <v>29418</v>
      </c>
      <c r="E12899" s="51"/>
      <c r="F12899" s="114" t="str">
        <f>IF(INDEX(I.Facility.P2bIDNumber,2887)="","",INDEX(I.Facility.P2bIDNumber,2887))</f>
        <v/>
      </c>
      <c r="G12899" s="51"/>
      <c r="H12899" s="46" t="str">
        <f>IF(AND(I.Developer.P2b=TRUE,I.Facility.P2bFacilityCount&gt;=2887,F12899=""),"Incomplete","Complete")</f>
        <v>Complete</v>
      </c>
      <c r="I12899" s="48" t="s">
        <v>17264</v>
      </c>
    </row>
    <row r="12900" spans="2:9" ht="15" customHeight="1" x14ac:dyDescent="0.25">
      <c r="B12900" s="55" t="s">
        <v>281</v>
      </c>
      <c r="C12900" s="46">
        <v>2888</v>
      </c>
      <c r="D12900" s="69" t="s">
        <v>29418</v>
      </c>
      <c r="E12900" s="51"/>
      <c r="F12900" s="114" t="str">
        <f>IF(INDEX(I.Facility.P2bIDNumber,2888)="","",INDEX(I.Facility.P2bIDNumber,2888))</f>
        <v/>
      </c>
      <c r="G12900" s="51"/>
      <c r="H12900" s="46" t="str">
        <f>IF(AND(I.Developer.P2b=TRUE,I.Facility.P2bFacilityCount&gt;=2888,F12900=""),"Incomplete","Complete")</f>
        <v>Complete</v>
      </c>
      <c r="I12900" s="48" t="s">
        <v>17265</v>
      </c>
    </row>
    <row r="12901" spans="2:9" ht="15" customHeight="1" x14ac:dyDescent="0.25">
      <c r="B12901" s="55" t="s">
        <v>281</v>
      </c>
      <c r="C12901" s="46">
        <v>2889</v>
      </c>
      <c r="D12901" s="69" t="s">
        <v>29418</v>
      </c>
      <c r="E12901" s="51"/>
      <c r="F12901" s="114" t="str">
        <f>IF(INDEX(I.Facility.P2bIDNumber,2889)="","",INDEX(I.Facility.P2bIDNumber,2889))</f>
        <v/>
      </c>
      <c r="G12901" s="51"/>
      <c r="H12901" s="46" t="str">
        <f>IF(AND(I.Developer.P2b=TRUE,I.Facility.P2bFacilityCount&gt;=2889,F12901=""),"Incomplete","Complete")</f>
        <v>Complete</v>
      </c>
      <c r="I12901" s="48" t="s">
        <v>17266</v>
      </c>
    </row>
    <row r="12902" spans="2:9" ht="15" customHeight="1" x14ac:dyDescent="0.25">
      <c r="B12902" s="55" t="s">
        <v>281</v>
      </c>
      <c r="C12902" s="46">
        <v>2890</v>
      </c>
      <c r="D12902" s="69" t="s">
        <v>29418</v>
      </c>
      <c r="E12902" s="51"/>
      <c r="F12902" s="114" t="str">
        <f>IF(INDEX(I.Facility.P2bIDNumber,2890)="","",INDEX(I.Facility.P2bIDNumber,2890))</f>
        <v/>
      </c>
      <c r="G12902" s="51"/>
      <c r="H12902" s="46" t="str">
        <f>IF(AND(I.Developer.P2b=TRUE,I.Facility.P2bFacilityCount&gt;=2890,F12902=""),"Incomplete","Complete")</f>
        <v>Complete</v>
      </c>
      <c r="I12902" s="48" t="s">
        <v>17267</v>
      </c>
    </row>
    <row r="12903" spans="2:9" ht="15" customHeight="1" x14ac:dyDescent="0.25">
      <c r="B12903" s="55" t="s">
        <v>281</v>
      </c>
      <c r="C12903" s="46">
        <v>2891</v>
      </c>
      <c r="D12903" s="69" t="s">
        <v>29418</v>
      </c>
      <c r="E12903" s="51"/>
      <c r="F12903" s="114" t="str">
        <f>IF(INDEX(I.Facility.P2bIDNumber,2891)="","",INDEX(I.Facility.P2bIDNumber,2891))</f>
        <v/>
      </c>
      <c r="G12903" s="51"/>
      <c r="H12903" s="46" t="str">
        <f>IF(AND(I.Developer.P2b=TRUE,I.Facility.P2bFacilityCount&gt;=2891,F12903=""),"Incomplete","Complete")</f>
        <v>Complete</v>
      </c>
      <c r="I12903" s="48" t="s">
        <v>17268</v>
      </c>
    </row>
    <row r="12904" spans="2:9" ht="15" customHeight="1" x14ac:dyDescent="0.25">
      <c r="B12904" s="55" t="s">
        <v>281</v>
      </c>
      <c r="C12904" s="46">
        <v>2892</v>
      </c>
      <c r="D12904" s="69" t="s">
        <v>29418</v>
      </c>
      <c r="E12904" s="51"/>
      <c r="F12904" s="114" t="str">
        <f>IF(INDEX(I.Facility.P2bIDNumber,2892)="","",INDEX(I.Facility.P2bIDNumber,2892))</f>
        <v/>
      </c>
      <c r="G12904" s="51"/>
      <c r="H12904" s="46" t="str">
        <f>IF(AND(I.Developer.P2b=TRUE,I.Facility.P2bFacilityCount&gt;=2892,F12904=""),"Incomplete","Complete")</f>
        <v>Complete</v>
      </c>
      <c r="I12904" s="48" t="s">
        <v>17269</v>
      </c>
    </row>
    <row r="12905" spans="2:9" ht="15" customHeight="1" x14ac:dyDescent="0.25">
      <c r="B12905" s="55" t="s">
        <v>281</v>
      </c>
      <c r="C12905" s="46">
        <v>2893</v>
      </c>
      <c r="D12905" s="69" t="s">
        <v>29418</v>
      </c>
      <c r="E12905" s="51"/>
      <c r="F12905" s="114" t="str">
        <f>IF(INDEX(I.Facility.P2bIDNumber,2893)="","",INDEX(I.Facility.P2bIDNumber,2893))</f>
        <v/>
      </c>
      <c r="G12905" s="51"/>
      <c r="H12905" s="46" t="str">
        <f>IF(AND(I.Developer.P2b=TRUE,I.Facility.P2bFacilityCount&gt;=2893,F12905=""),"Incomplete","Complete")</f>
        <v>Complete</v>
      </c>
      <c r="I12905" s="48" t="s">
        <v>17270</v>
      </c>
    </row>
    <row r="12906" spans="2:9" ht="15" customHeight="1" x14ac:dyDescent="0.25">
      <c r="B12906" s="55" t="s">
        <v>281</v>
      </c>
      <c r="C12906" s="46">
        <v>2894</v>
      </c>
      <c r="D12906" s="69" t="s">
        <v>29418</v>
      </c>
      <c r="E12906" s="51"/>
      <c r="F12906" s="114" t="str">
        <f>IF(INDEX(I.Facility.P2bIDNumber,2894)="","",INDEX(I.Facility.P2bIDNumber,2894))</f>
        <v/>
      </c>
      <c r="G12906" s="51"/>
      <c r="H12906" s="46" t="str">
        <f>IF(AND(I.Developer.P2b=TRUE,I.Facility.P2bFacilityCount&gt;=2894,F12906=""),"Incomplete","Complete")</f>
        <v>Complete</v>
      </c>
      <c r="I12906" s="48" t="s">
        <v>17271</v>
      </c>
    </row>
    <row r="12907" spans="2:9" ht="15" customHeight="1" x14ac:dyDescent="0.25">
      <c r="B12907" s="55" t="s">
        <v>281</v>
      </c>
      <c r="C12907" s="46">
        <v>2895</v>
      </c>
      <c r="D12907" s="69" t="s">
        <v>29418</v>
      </c>
      <c r="E12907" s="51"/>
      <c r="F12907" s="114" t="str">
        <f>IF(INDEX(I.Facility.P2bIDNumber,2895)="","",INDEX(I.Facility.P2bIDNumber,2895))</f>
        <v/>
      </c>
      <c r="G12907" s="51"/>
      <c r="H12907" s="46" t="str">
        <f>IF(AND(I.Developer.P2b=TRUE,I.Facility.P2bFacilityCount&gt;=2895,F12907=""),"Incomplete","Complete")</f>
        <v>Complete</v>
      </c>
      <c r="I12907" s="48" t="s">
        <v>17272</v>
      </c>
    </row>
    <row r="12908" spans="2:9" ht="15" customHeight="1" x14ac:dyDescent="0.25">
      <c r="B12908" s="55" t="s">
        <v>281</v>
      </c>
      <c r="C12908" s="46">
        <v>2896</v>
      </c>
      <c r="D12908" s="69" t="s">
        <v>29418</v>
      </c>
      <c r="E12908" s="51"/>
      <c r="F12908" s="114" t="str">
        <f>IF(INDEX(I.Facility.P2bIDNumber,2896)="","",INDEX(I.Facility.P2bIDNumber,2896))</f>
        <v/>
      </c>
      <c r="G12908" s="51"/>
      <c r="H12908" s="46" t="str">
        <f>IF(AND(I.Developer.P2b=TRUE,I.Facility.P2bFacilityCount&gt;=2896,F12908=""),"Incomplete","Complete")</f>
        <v>Complete</v>
      </c>
      <c r="I12908" s="48" t="s">
        <v>17273</v>
      </c>
    </row>
    <row r="12909" spans="2:9" ht="15" customHeight="1" x14ac:dyDescent="0.25">
      <c r="B12909" s="55" t="s">
        <v>281</v>
      </c>
      <c r="C12909" s="46">
        <v>2897</v>
      </c>
      <c r="D12909" s="69" t="s">
        <v>29418</v>
      </c>
      <c r="E12909" s="51"/>
      <c r="F12909" s="114" t="str">
        <f>IF(INDEX(I.Facility.P2bIDNumber,2897)="","",INDEX(I.Facility.P2bIDNumber,2897))</f>
        <v/>
      </c>
      <c r="G12909" s="51"/>
      <c r="H12909" s="46" t="str">
        <f>IF(AND(I.Developer.P2b=TRUE,I.Facility.P2bFacilityCount&gt;=2897,F12909=""),"Incomplete","Complete")</f>
        <v>Complete</v>
      </c>
      <c r="I12909" s="48" t="s">
        <v>17274</v>
      </c>
    </row>
    <row r="12910" spans="2:9" ht="15" customHeight="1" x14ac:dyDescent="0.25">
      <c r="B12910" s="55" t="s">
        <v>281</v>
      </c>
      <c r="C12910" s="46">
        <v>2898</v>
      </c>
      <c r="D12910" s="69" t="s">
        <v>29418</v>
      </c>
      <c r="E12910" s="51"/>
      <c r="F12910" s="114" t="str">
        <f>IF(INDEX(I.Facility.P2bIDNumber,2898)="","",INDEX(I.Facility.P2bIDNumber,2898))</f>
        <v/>
      </c>
      <c r="G12910" s="51"/>
      <c r="H12910" s="46" t="str">
        <f>IF(AND(I.Developer.P2b=TRUE,I.Facility.P2bFacilityCount&gt;=2898,F12910=""),"Incomplete","Complete")</f>
        <v>Complete</v>
      </c>
      <c r="I12910" s="48" t="s">
        <v>17275</v>
      </c>
    </row>
    <row r="12911" spans="2:9" ht="15" customHeight="1" x14ac:dyDescent="0.25">
      <c r="B12911" s="55" t="s">
        <v>281</v>
      </c>
      <c r="C12911" s="46">
        <v>2899</v>
      </c>
      <c r="D12911" s="69" t="s">
        <v>29418</v>
      </c>
      <c r="E12911" s="51"/>
      <c r="F12911" s="114" t="str">
        <f>IF(INDEX(I.Facility.P2bIDNumber,2899)="","",INDEX(I.Facility.P2bIDNumber,2899))</f>
        <v/>
      </c>
      <c r="G12911" s="51"/>
      <c r="H12911" s="46" t="str">
        <f>IF(AND(I.Developer.P2b=TRUE,I.Facility.P2bFacilityCount&gt;=2899,F12911=""),"Incomplete","Complete")</f>
        <v>Complete</v>
      </c>
      <c r="I12911" s="48" t="s">
        <v>17276</v>
      </c>
    </row>
    <row r="12912" spans="2:9" ht="15" customHeight="1" x14ac:dyDescent="0.25">
      <c r="B12912" s="55" t="s">
        <v>281</v>
      </c>
      <c r="C12912" s="46">
        <v>2900</v>
      </c>
      <c r="D12912" s="69" t="s">
        <v>29418</v>
      </c>
      <c r="E12912" s="51"/>
      <c r="F12912" s="114" t="str">
        <f>IF(INDEX(I.Facility.P2bIDNumber,2900)="","",INDEX(I.Facility.P2bIDNumber,2900))</f>
        <v/>
      </c>
      <c r="G12912" s="51"/>
      <c r="H12912" s="46" t="str">
        <f>IF(AND(I.Developer.P2b=TRUE,I.Facility.P2bFacilityCount&gt;=2900,F12912=""),"Incomplete","Complete")</f>
        <v>Complete</v>
      </c>
      <c r="I12912" s="48" t="s">
        <v>17277</v>
      </c>
    </row>
    <row r="12913" spans="2:9" ht="15" customHeight="1" x14ac:dyDescent="0.25">
      <c r="B12913" s="55" t="s">
        <v>281</v>
      </c>
      <c r="C12913" s="46">
        <v>2901</v>
      </c>
      <c r="D12913" s="69" t="s">
        <v>29418</v>
      </c>
      <c r="E12913" s="51"/>
      <c r="F12913" s="114" t="str">
        <f>IF(INDEX(I.Facility.P2bIDNumber,2901)="","",INDEX(I.Facility.P2bIDNumber,2901))</f>
        <v/>
      </c>
      <c r="G12913" s="51"/>
      <c r="H12913" s="46" t="str">
        <f>IF(AND(I.Developer.P2b=TRUE,I.Facility.P2bFacilityCount&gt;=2901,F12913=""),"Incomplete","Complete")</f>
        <v>Complete</v>
      </c>
      <c r="I12913" s="48" t="s">
        <v>17278</v>
      </c>
    </row>
    <row r="12914" spans="2:9" ht="15" customHeight="1" x14ac:dyDescent="0.25">
      <c r="B12914" s="55" t="s">
        <v>281</v>
      </c>
      <c r="C12914" s="46">
        <v>2902</v>
      </c>
      <c r="D12914" s="69" t="s">
        <v>29418</v>
      </c>
      <c r="E12914" s="51"/>
      <c r="F12914" s="114" t="str">
        <f>IF(INDEX(I.Facility.P2bIDNumber,2902)="","",INDEX(I.Facility.P2bIDNumber,2902))</f>
        <v/>
      </c>
      <c r="G12914" s="51"/>
      <c r="H12914" s="46" t="str">
        <f>IF(AND(I.Developer.P2b=TRUE,I.Facility.P2bFacilityCount&gt;=2902,F12914=""),"Incomplete","Complete")</f>
        <v>Complete</v>
      </c>
      <c r="I12914" s="48" t="s">
        <v>17279</v>
      </c>
    </row>
    <row r="12915" spans="2:9" ht="15" customHeight="1" x14ac:dyDescent="0.25">
      <c r="B12915" s="55" t="s">
        <v>281</v>
      </c>
      <c r="C12915" s="46">
        <v>2903</v>
      </c>
      <c r="D12915" s="69" t="s">
        <v>29418</v>
      </c>
      <c r="E12915" s="51"/>
      <c r="F12915" s="114" t="str">
        <f>IF(INDEX(I.Facility.P2bIDNumber,2903)="","",INDEX(I.Facility.P2bIDNumber,2903))</f>
        <v/>
      </c>
      <c r="G12915" s="51"/>
      <c r="H12915" s="46" t="str">
        <f>IF(AND(I.Developer.P2b=TRUE,I.Facility.P2bFacilityCount&gt;=2903,F12915=""),"Incomplete","Complete")</f>
        <v>Complete</v>
      </c>
      <c r="I12915" s="48" t="s">
        <v>17280</v>
      </c>
    </row>
    <row r="12916" spans="2:9" ht="15" customHeight="1" x14ac:dyDescent="0.25">
      <c r="B12916" s="55" t="s">
        <v>281</v>
      </c>
      <c r="C12916" s="46">
        <v>2904</v>
      </c>
      <c r="D12916" s="69" t="s">
        <v>29418</v>
      </c>
      <c r="E12916" s="51"/>
      <c r="F12916" s="114" t="str">
        <f>IF(INDEX(I.Facility.P2bIDNumber,2904)="","",INDEX(I.Facility.P2bIDNumber,2904))</f>
        <v/>
      </c>
      <c r="G12916" s="51"/>
      <c r="H12916" s="46" t="str">
        <f>IF(AND(I.Developer.P2b=TRUE,I.Facility.P2bFacilityCount&gt;=2904,F12916=""),"Incomplete","Complete")</f>
        <v>Complete</v>
      </c>
      <c r="I12916" s="48" t="s">
        <v>17281</v>
      </c>
    </row>
    <row r="12917" spans="2:9" ht="15" customHeight="1" x14ac:dyDescent="0.25">
      <c r="B12917" s="55" t="s">
        <v>281</v>
      </c>
      <c r="C12917" s="46">
        <v>2905</v>
      </c>
      <c r="D12917" s="69" t="s">
        <v>29418</v>
      </c>
      <c r="E12917" s="51"/>
      <c r="F12917" s="114" t="str">
        <f>IF(INDEX(I.Facility.P2bIDNumber,2905)="","",INDEX(I.Facility.P2bIDNumber,2905))</f>
        <v/>
      </c>
      <c r="G12917" s="51"/>
      <c r="H12917" s="46" t="str">
        <f>IF(AND(I.Developer.P2b=TRUE,I.Facility.P2bFacilityCount&gt;=2905,F12917=""),"Incomplete","Complete")</f>
        <v>Complete</v>
      </c>
      <c r="I12917" s="48" t="s">
        <v>17282</v>
      </c>
    </row>
    <row r="12918" spans="2:9" ht="15" customHeight="1" x14ac:dyDescent="0.25">
      <c r="B12918" s="55" t="s">
        <v>281</v>
      </c>
      <c r="C12918" s="46">
        <v>2906</v>
      </c>
      <c r="D12918" s="69" t="s">
        <v>29418</v>
      </c>
      <c r="E12918" s="51"/>
      <c r="F12918" s="114" t="str">
        <f>IF(INDEX(I.Facility.P2bIDNumber,2906)="","",INDEX(I.Facility.P2bIDNumber,2906))</f>
        <v/>
      </c>
      <c r="G12918" s="51"/>
      <c r="H12918" s="46" t="str">
        <f>IF(AND(I.Developer.P2b=TRUE,I.Facility.P2bFacilityCount&gt;=2906,F12918=""),"Incomplete","Complete")</f>
        <v>Complete</v>
      </c>
      <c r="I12918" s="48" t="s">
        <v>17283</v>
      </c>
    </row>
    <row r="12919" spans="2:9" ht="15" customHeight="1" x14ac:dyDescent="0.25">
      <c r="B12919" s="55" t="s">
        <v>281</v>
      </c>
      <c r="C12919" s="46">
        <v>2907</v>
      </c>
      <c r="D12919" s="69" t="s">
        <v>29418</v>
      </c>
      <c r="E12919" s="51"/>
      <c r="F12919" s="114" t="str">
        <f>IF(INDEX(I.Facility.P2bIDNumber,2907)="","",INDEX(I.Facility.P2bIDNumber,2907))</f>
        <v/>
      </c>
      <c r="G12919" s="51"/>
      <c r="H12919" s="46" t="str">
        <f>IF(AND(I.Developer.P2b=TRUE,I.Facility.P2bFacilityCount&gt;=2907,F12919=""),"Incomplete","Complete")</f>
        <v>Complete</v>
      </c>
      <c r="I12919" s="48" t="s">
        <v>17284</v>
      </c>
    </row>
    <row r="12920" spans="2:9" ht="15" customHeight="1" x14ac:dyDescent="0.25">
      <c r="B12920" s="55" t="s">
        <v>281</v>
      </c>
      <c r="C12920" s="46">
        <v>2908</v>
      </c>
      <c r="D12920" s="69" t="s">
        <v>29418</v>
      </c>
      <c r="E12920" s="51"/>
      <c r="F12920" s="114" t="str">
        <f>IF(INDEX(I.Facility.P2bIDNumber,2908)="","",INDEX(I.Facility.P2bIDNumber,2908))</f>
        <v/>
      </c>
      <c r="G12920" s="51"/>
      <c r="H12920" s="46" t="str">
        <f>IF(AND(I.Developer.P2b=TRUE,I.Facility.P2bFacilityCount&gt;=2908,F12920=""),"Incomplete","Complete")</f>
        <v>Complete</v>
      </c>
      <c r="I12920" s="48" t="s">
        <v>17285</v>
      </c>
    </row>
    <row r="12921" spans="2:9" ht="15" customHeight="1" x14ac:dyDescent="0.25">
      <c r="B12921" s="55" t="s">
        <v>281</v>
      </c>
      <c r="C12921" s="46">
        <v>2909</v>
      </c>
      <c r="D12921" s="69" t="s">
        <v>29418</v>
      </c>
      <c r="E12921" s="51"/>
      <c r="F12921" s="114" t="str">
        <f>IF(INDEX(I.Facility.P2bIDNumber,2909)="","",INDEX(I.Facility.P2bIDNumber,2909))</f>
        <v/>
      </c>
      <c r="G12921" s="51"/>
      <c r="H12921" s="46" t="str">
        <f>IF(AND(I.Developer.P2b=TRUE,I.Facility.P2bFacilityCount&gt;=2909,F12921=""),"Incomplete","Complete")</f>
        <v>Complete</v>
      </c>
      <c r="I12921" s="48" t="s">
        <v>17286</v>
      </c>
    </row>
    <row r="12922" spans="2:9" ht="15" customHeight="1" x14ac:dyDescent="0.25">
      <c r="B12922" s="55" t="s">
        <v>281</v>
      </c>
      <c r="C12922" s="46">
        <v>2910</v>
      </c>
      <c r="D12922" s="69" t="s">
        <v>29418</v>
      </c>
      <c r="E12922" s="51"/>
      <c r="F12922" s="114" t="str">
        <f>IF(INDEX(I.Facility.P2bIDNumber,2910)="","",INDEX(I.Facility.P2bIDNumber,2910))</f>
        <v/>
      </c>
      <c r="G12922" s="51"/>
      <c r="H12922" s="46" t="str">
        <f>IF(AND(I.Developer.P2b=TRUE,I.Facility.P2bFacilityCount&gt;=2910,F12922=""),"Incomplete","Complete")</f>
        <v>Complete</v>
      </c>
      <c r="I12922" s="48" t="s">
        <v>17287</v>
      </c>
    </row>
    <row r="12923" spans="2:9" ht="15" customHeight="1" x14ac:dyDescent="0.25">
      <c r="B12923" s="55" t="s">
        <v>281</v>
      </c>
      <c r="C12923" s="46">
        <v>2911</v>
      </c>
      <c r="D12923" s="69" t="s">
        <v>29418</v>
      </c>
      <c r="E12923" s="51"/>
      <c r="F12923" s="114" t="str">
        <f>IF(INDEX(I.Facility.P2bIDNumber,2911)="","",INDEX(I.Facility.P2bIDNumber,2911))</f>
        <v/>
      </c>
      <c r="G12923" s="51"/>
      <c r="H12923" s="46" t="str">
        <f>IF(AND(I.Developer.P2b=TRUE,I.Facility.P2bFacilityCount&gt;=2911,F12923=""),"Incomplete","Complete")</f>
        <v>Complete</v>
      </c>
      <c r="I12923" s="48" t="s">
        <v>17288</v>
      </c>
    </row>
    <row r="12924" spans="2:9" ht="15" customHeight="1" x14ac:dyDescent="0.25">
      <c r="B12924" s="55" t="s">
        <v>281</v>
      </c>
      <c r="C12924" s="46">
        <v>2912</v>
      </c>
      <c r="D12924" s="69" t="s">
        <v>29418</v>
      </c>
      <c r="E12924" s="51"/>
      <c r="F12924" s="114" t="str">
        <f>IF(INDEX(I.Facility.P2bIDNumber,2912)="","",INDEX(I.Facility.P2bIDNumber,2912))</f>
        <v/>
      </c>
      <c r="G12924" s="51"/>
      <c r="H12924" s="46" t="str">
        <f>IF(AND(I.Developer.P2b=TRUE,I.Facility.P2bFacilityCount&gt;=2912,F12924=""),"Incomplete","Complete")</f>
        <v>Complete</v>
      </c>
      <c r="I12924" s="48" t="s">
        <v>17289</v>
      </c>
    </row>
    <row r="12925" spans="2:9" ht="15" customHeight="1" x14ac:dyDescent="0.25">
      <c r="B12925" s="55" t="s">
        <v>281</v>
      </c>
      <c r="C12925" s="46">
        <v>2913</v>
      </c>
      <c r="D12925" s="69" t="s">
        <v>29418</v>
      </c>
      <c r="E12925" s="51"/>
      <c r="F12925" s="114" t="str">
        <f>IF(INDEX(I.Facility.P2bIDNumber,2913)="","",INDEX(I.Facility.P2bIDNumber,2913))</f>
        <v/>
      </c>
      <c r="G12925" s="51"/>
      <c r="H12925" s="46" t="str">
        <f>IF(AND(I.Developer.P2b=TRUE,I.Facility.P2bFacilityCount&gt;=2913,F12925=""),"Incomplete","Complete")</f>
        <v>Complete</v>
      </c>
      <c r="I12925" s="48" t="s">
        <v>17290</v>
      </c>
    </row>
    <row r="12926" spans="2:9" ht="15" customHeight="1" x14ac:dyDescent="0.25">
      <c r="B12926" s="55" t="s">
        <v>281</v>
      </c>
      <c r="C12926" s="46">
        <v>2914</v>
      </c>
      <c r="D12926" s="69" t="s">
        <v>29418</v>
      </c>
      <c r="E12926" s="51"/>
      <c r="F12926" s="114" t="str">
        <f>IF(INDEX(I.Facility.P2bIDNumber,2914)="","",INDEX(I.Facility.P2bIDNumber,2914))</f>
        <v/>
      </c>
      <c r="G12926" s="51"/>
      <c r="H12926" s="46" t="str">
        <f>IF(AND(I.Developer.P2b=TRUE,I.Facility.P2bFacilityCount&gt;=2914,F12926=""),"Incomplete","Complete")</f>
        <v>Complete</v>
      </c>
      <c r="I12926" s="48" t="s">
        <v>17291</v>
      </c>
    </row>
    <row r="12927" spans="2:9" ht="15" customHeight="1" x14ac:dyDescent="0.25">
      <c r="B12927" s="55" t="s">
        <v>281</v>
      </c>
      <c r="C12927" s="46">
        <v>2915</v>
      </c>
      <c r="D12927" s="69" t="s">
        <v>29418</v>
      </c>
      <c r="E12927" s="51"/>
      <c r="F12927" s="114" t="str">
        <f>IF(INDEX(I.Facility.P2bIDNumber,2915)="","",INDEX(I.Facility.P2bIDNumber,2915))</f>
        <v/>
      </c>
      <c r="G12927" s="51"/>
      <c r="H12927" s="46" t="str">
        <f>IF(AND(I.Developer.P2b=TRUE,I.Facility.P2bFacilityCount&gt;=2915,F12927=""),"Incomplete","Complete")</f>
        <v>Complete</v>
      </c>
      <c r="I12927" s="48" t="s">
        <v>17292</v>
      </c>
    </row>
    <row r="12928" spans="2:9" ht="15" customHeight="1" x14ac:dyDescent="0.25">
      <c r="B12928" s="55" t="s">
        <v>281</v>
      </c>
      <c r="C12928" s="46">
        <v>2916</v>
      </c>
      <c r="D12928" s="69" t="s">
        <v>29418</v>
      </c>
      <c r="E12928" s="51"/>
      <c r="F12928" s="114" t="str">
        <f>IF(INDEX(I.Facility.P2bIDNumber,2916)="","",INDEX(I.Facility.P2bIDNumber,2916))</f>
        <v/>
      </c>
      <c r="G12928" s="51"/>
      <c r="H12928" s="46" t="str">
        <f>IF(AND(I.Developer.P2b=TRUE,I.Facility.P2bFacilityCount&gt;=2916,F12928=""),"Incomplete","Complete")</f>
        <v>Complete</v>
      </c>
      <c r="I12928" s="48" t="s">
        <v>17293</v>
      </c>
    </row>
    <row r="12929" spans="2:9" ht="15" customHeight="1" x14ac:dyDescent="0.25">
      <c r="B12929" s="55" t="s">
        <v>281</v>
      </c>
      <c r="C12929" s="46">
        <v>2917</v>
      </c>
      <c r="D12929" s="69" t="s">
        <v>29418</v>
      </c>
      <c r="E12929" s="51"/>
      <c r="F12929" s="114" t="str">
        <f>IF(INDEX(I.Facility.P2bIDNumber,2917)="","",INDEX(I.Facility.P2bIDNumber,2917))</f>
        <v/>
      </c>
      <c r="G12929" s="51"/>
      <c r="H12929" s="46" t="str">
        <f>IF(AND(I.Developer.P2b=TRUE,I.Facility.P2bFacilityCount&gt;=2917,F12929=""),"Incomplete","Complete")</f>
        <v>Complete</v>
      </c>
      <c r="I12929" s="48" t="s">
        <v>17294</v>
      </c>
    </row>
    <row r="12930" spans="2:9" ht="15" customHeight="1" x14ac:dyDescent="0.25">
      <c r="B12930" s="55" t="s">
        <v>281</v>
      </c>
      <c r="C12930" s="46">
        <v>2918</v>
      </c>
      <c r="D12930" s="69" t="s">
        <v>29418</v>
      </c>
      <c r="E12930" s="51"/>
      <c r="F12930" s="114" t="str">
        <f>IF(INDEX(I.Facility.P2bIDNumber,2918)="","",INDEX(I.Facility.P2bIDNumber,2918))</f>
        <v/>
      </c>
      <c r="G12930" s="51"/>
      <c r="H12930" s="46" t="str">
        <f>IF(AND(I.Developer.P2b=TRUE,I.Facility.P2bFacilityCount&gt;=2918,F12930=""),"Incomplete","Complete")</f>
        <v>Complete</v>
      </c>
      <c r="I12930" s="48" t="s">
        <v>17295</v>
      </c>
    </row>
    <row r="12931" spans="2:9" ht="15" customHeight="1" x14ac:dyDescent="0.25">
      <c r="B12931" s="55" t="s">
        <v>281</v>
      </c>
      <c r="C12931" s="46">
        <v>2919</v>
      </c>
      <c r="D12931" s="69" t="s">
        <v>29418</v>
      </c>
      <c r="E12931" s="51"/>
      <c r="F12931" s="114" t="str">
        <f>IF(INDEX(I.Facility.P2bIDNumber,2919)="","",INDEX(I.Facility.P2bIDNumber,2919))</f>
        <v/>
      </c>
      <c r="G12931" s="51"/>
      <c r="H12931" s="46" t="str">
        <f>IF(AND(I.Developer.P2b=TRUE,I.Facility.P2bFacilityCount&gt;=2919,F12931=""),"Incomplete","Complete")</f>
        <v>Complete</v>
      </c>
      <c r="I12931" s="48" t="s">
        <v>17296</v>
      </c>
    </row>
    <row r="12932" spans="2:9" ht="15" customHeight="1" x14ac:dyDescent="0.25">
      <c r="B12932" s="55" t="s">
        <v>281</v>
      </c>
      <c r="C12932" s="46">
        <v>2920</v>
      </c>
      <c r="D12932" s="69" t="s">
        <v>29418</v>
      </c>
      <c r="E12932" s="51"/>
      <c r="F12932" s="114" t="str">
        <f>IF(INDEX(I.Facility.P2bIDNumber,2920)="","",INDEX(I.Facility.P2bIDNumber,2920))</f>
        <v/>
      </c>
      <c r="G12932" s="51"/>
      <c r="H12932" s="46" t="str">
        <f>IF(AND(I.Developer.P2b=TRUE,I.Facility.P2bFacilityCount&gt;=2920,F12932=""),"Incomplete","Complete")</f>
        <v>Complete</v>
      </c>
      <c r="I12932" s="48" t="s">
        <v>17297</v>
      </c>
    </row>
    <row r="12933" spans="2:9" ht="15" customHeight="1" x14ac:dyDescent="0.25">
      <c r="B12933" s="55" t="s">
        <v>281</v>
      </c>
      <c r="C12933" s="46">
        <v>2921</v>
      </c>
      <c r="D12933" s="69" t="s">
        <v>29418</v>
      </c>
      <c r="E12933" s="51"/>
      <c r="F12933" s="114" t="str">
        <f>IF(INDEX(I.Facility.P2bIDNumber,2921)="","",INDEX(I.Facility.P2bIDNumber,2921))</f>
        <v/>
      </c>
      <c r="G12933" s="51"/>
      <c r="H12933" s="46" t="str">
        <f>IF(AND(I.Developer.P2b=TRUE,I.Facility.P2bFacilityCount&gt;=2921,F12933=""),"Incomplete","Complete")</f>
        <v>Complete</v>
      </c>
      <c r="I12933" s="48" t="s">
        <v>17298</v>
      </c>
    </row>
    <row r="12934" spans="2:9" ht="15" customHeight="1" x14ac:dyDescent="0.25">
      <c r="B12934" s="55" t="s">
        <v>281</v>
      </c>
      <c r="C12934" s="46">
        <v>2922</v>
      </c>
      <c r="D12934" s="69" t="s">
        <v>29418</v>
      </c>
      <c r="E12934" s="51"/>
      <c r="F12934" s="114" t="str">
        <f>IF(INDEX(I.Facility.P2bIDNumber,2922)="","",INDEX(I.Facility.P2bIDNumber,2922))</f>
        <v/>
      </c>
      <c r="G12934" s="51"/>
      <c r="H12934" s="46" t="str">
        <f>IF(AND(I.Developer.P2b=TRUE,I.Facility.P2bFacilityCount&gt;=2922,F12934=""),"Incomplete","Complete")</f>
        <v>Complete</v>
      </c>
      <c r="I12934" s="48" t="s">
        <v>17299</v>
      </c>
    </row>
    <row r="12935" spans="2:9" ht="15" customHeight="1" x14ac:dyDescent="0.25">
      <c r="B12935" s="55" t="s">
        <v>281</v>
      </c>
      <c r="C12935" s="46">
        <v>2923</v>
      </c>
      <c r="D12935" s="69" t="s">
        <v>29418</v>
      </c>
      <c r="E12935" s="51"/>
      <c r="F12935" s="114" t="str">
        <f>IF(INDEX(I.Facility.P2bIDNumber,2923)="","",INDEX(I.Facility.P2bIDNumber,2923))</f>
        <v/>
      </c>
      <c r="G12935" s="51"/>
      <c r="H12935" s="46" t="str">
        <f>IF(AND(I.Developer.P2b=TRUE,I.Facility.P2bFacilityCount&gt;=2923,F12935=""),"Incomplete","Complete")</f>
        <v>Complete</v>
      </c>
      <c r="I12935" s="48" t="s">
        <v>17300</v>
      </c>
    </row>
    <row r="12936" spans="2:9" ht="15" customHeight="1" x14ac:dyDescent="0.25">
      <c r="B12936" s="55" t="s">
        <v>281</v>
      </c>
      <c r="C12936" s="46">
        <v>2924</v>
      </c>
      <c r="D12936" s="69" t="s">
        <v>29418</v>
      </c>
      <c r="E12936" s="51"/>
      <c r="F12936" s="114" t="str">
        <f>IF(INDEX(I.Facility.P2bIDNumber,2924)="","",INDEX(I.Facility.P2bIDNumber,2924))</f>
        <v/>
      </c>
      <c r="G12936" s="51"/>
      <c r="H12936" s="46" t="str">
        <f>IF(AND(I.Developer.P2b=TRUE,I.Facility.P2bFacilityCount&gt;=2924,F12936=""),"Incomplete","Complete")</f>
        <v>Complete</v>
      </c>
      <c r="I12936" s="48" t="s">
        <v>17301</v>
      </c>
    </row>
    <row r="12937" spans="2:9" ht="15" customHeight="1" x14ac:dyDescent="0.25">
      <c r="B12937" s="55" t="s">
        <v>281</v>
      </c>
      <c r="C12937" s="46">
        <v>2925</v>
      </c>
      <c r="D12937" s="69" t="s">
        <v>29418</v>
      </c>
      <c r="E12937" s="51"/>
      <c r="F12937" s="114" t="str">
        <f>IF(INDEX(I.Facility.P2bIDNumber,2925)="","",INDEX(I.Facility.P2bIDNumber,2925))</f>
        <v/>
      </c>
      <c r="G12937" s="51"/>
      <c r="H12937" s="46" t="str">
        <f>IF(AND(I.Developer.P2b=TRUE,I.Facility.P2bFacilityCount&gt;=2925,F12937=""),"Incomplete","Complete")</f>
        <v>Complete</v>
      </c>
      <c r="I12937" s="48" t="s">
        <v>17302</v>
      </c>
    </row>
    <row r="12938" spans="2:9" ht="15" customHeight="1" x14ac:dyDescent="0.25">
      <c r="B12938" s="55" t="s">
        <v>281</v>
      </c>
      <c r="C12938" s="46">
        <v>2926</v>
      </c>
      <c r="D12938" s="69" t="s">
        <v>29418</v>
      </c>
      <c r="E12938" s="51"/>
      <c r="F12938" s="114" t="str">
        <f>IF(INDEX(I.Facility.P2bIDNumber,2926)="","",INDEX(I.Facility.P2bIDNumber,2926))</f>
        <v/>
      </c>
      <c r="G12938" s="51"/>
      <c r="H12938" s="46" t="str">
        <f>IF(AND(I.Developer.P2b=TRUE,I.Facility.P2bFacilityCount&gt;=2926,F12938=""),"Incomplete","Complete")</f>
        <v>Complete</v>
      </c>
      <c r="I12938" s="48" t="s">
        <v>17303</v>
      </c>
    </row>
    <row r="12939" spans="2:9" ht="15" customHeight="1" x14ac:dyDescent="0.25">
      <c r="B12939" s="55" t="s">
        <v>281</v>
      </c>
      <c r="C12939" s="46">
        <v>2927</v>
      </c>
      <c r="D12939" s="69" t="s">
        <v>29418</v>
      </c>
      <c r="E12939" s="51"/>
      <c r="F12939" s="114" t="str">
        <f>IF(INDEX(I.Facility.P2bIDNumber,2927)="","",INDEX(I.Facility.P2bIDNumber,2927))</f>
        <v/>
      </c>
      <c r="G12939" s="51"/>
      <c r="H12939" s="46" t="str">
        <f>IF(AND(I.Developer.P2b=TRUE,I.Facility.P2bFacilityCount&gt;=2927,F12939=""),"Incomplete","Complete")</f>
        <v>Complete</v>
      </c>
      <c r="I12939" s="48" t="s">
        <v>17304</v>
      </c>
    </row>
    <row r="12940" spans="2:9" ht="15" customHeight="1" x14ac:dyDescent="0.25">
      <c r="B12940" s="55" t="s">
        <v>281</v>
      </c>
      <c r="C12940" s="46">
        <v>2928</v>
      </c>
      <c r="D12940" s="69" t="s">
        <v>29418</v>
      </c>
      <c r="E12940" s="51"/>
      <c r="F12940" s="114" t="str">
        <f>IF(INDEX(I.Facility.P2bIDNumber,2928)="","",INDEX(I.Facility.P2bIDNumber,2928))</f>
        <v/>
      </c>
      <c r="G12940" s="51"/>
      <c r="H12940" s="46" t="str">
        <f>IF(AND(I.Developer.P2b=TRUE,I.Facility.P2bFacilityCount&gt;=2928,F12940=""),"Incomplete","Complete")</f>
        <v>Complete</v>
      </c>
      <c r="I12940" s="48" t="s">
        <v>17305</v>
      </c>
    </row>
    <row r="12941" spans="2:9" ht="15" customHeight="1" x14ac:dyDescent="0.25">
      <c r="B12941" s="55" t="s">
        <v>281</v>
      </c>
      <c r="C12941" s="46">
        <v>2929</v>
      </c>
      <c r="D12941" s="69" t="s">
        <v>29418</v>
      </c>
      <c r="E12941" s="51"/>
      <c r="F12941" s="114" t="str">
        <f>IF(INDEX(I.Facility.P2bIDNumber,2929)="","",INDEX(I.Facility.P2bIDNumber,2929))</f>
        <v/>
      </c>
      <c r="G12941" s="51"/>
      <c r="H12941" s="46" t="str">
        <f>IF(AND(I.Developer.P2b=TRUE,I.Facility.P2bFacilityCount&gt;=2929,F12941=""),"Incomplete","Complete")</f>
        <v>Complete</v>
      </c>
      <c r="I12941" s="48" t="s">
        <v>17306</v>
      </c>
    </row>
    <row r="12942" spans="2:9" ht="15" customHeight="1" x14ac:dyDescent="0.25">
      <c r="B12942" s="55" t="s">
        <v>281</v>
      </c>
      <c r="C12942" s="46">
        <v>2930</v>
      </c>
      <c r="D12942" s="69" t="s">
        <v>29418</v>
      </c>
      <c r="E12942" s="51"/>
      <c r="F12942" s="114" t="str">
        <f>IF(INDEX(I.Facility.P2bIDNumber,2930)="","",INDEX(I.Facility.P2bIDNumber,2930))</f>
        <v/>
      </c>
      <c r="G12942" s="51"/>
      <c r="H12942" s="46" t="str">
        <f>IF(AND(I.Developer.P2b=TRUE,I.Facility.P2bFacilityCount&gt;=2930,F12942=""),"Incomplete","Complete")</f>
        <v>Complete</v>
      </c>
      <c r="I12942" s="48" t="s">
        <v>17307</v>
      </c>
    </row>
    <row r="12943" spans="2:9" ht="15" customHeight="1" x14ac:dyDescent="0.25">
      <c r="B12943" s="55" t="s">
        <v>281</v>
      </c>
      <c r="C12943" s="46">
        <v>2931</v>
      </c>
      <c r="D12943" s="69" t="s">
        <v>29418</v>
      </c>
      <c r="E12943" s="51"/>
      <c r="F12943" s="114" t="str">
        <f>IF(INDEX(I.Facility.P2bIDNumber,2931)="","",INDEX(I.Facility.P2bIDNumber,2931))</f>
        <v/>
      </c>
      <c r="G12943" s="51"/>
      <c r="H12943" s="46" t="str">
        <f>IF(AND(I.Developer.P2b=TRUE,I.Facility.P2bFacilityCount&gt;=2931,F12943=""),"Incomplete","Complete")</f>
        <v>Complete</v>
      </c>
      <c r="I12943" s="48" t="s">
        <v>17308</v>
      </c>
    </row>
    <row r="12944" spans="2:9" ht="15" customHeight="1" x14ac:dyDescent="0.25">
      <c r="B12944" s="55" t="s">
        <v>281</v>
      </c>
      <c r="C12944" s="46">
        <v>2932</v>
      </c>
      <c r="D12944" s="69" t="s">
        <v>29418</v>
      </c>
      <c r="E12944" s="51"/>
      <c r="F12944" s="114" t="str">
        <f>IF(INDEX(I.Facility.P2bIDNumber,2932)="","",INDEX(I.Facility.P2bIDNumber,2932))</f>
        <v/>
      </c>
      <c r="G12944" s="51"/>
      <c r="H12944" s="46" t="str">
        <f>IF(AND(I.Developer.P2b=TRUE,I.Facility.P2bFacilityCount&gt;=2932,F12944=""),"Incomplete","Complete")</f>
        <v>Complete</v>
      </c>
      <c r="I12944" s="48" t="s">
        <v>17309</v>
      </c>
    </row>
    <row r="12945" spans="2:9" ht="15" customHeight="1" x14ac:dyDescent="0.25">
      <c r="B12945" s="55" t="s">
        <v>281</v>
      </c>
      <c r="C12945" s="46">
        <v>2933</v>
      </c>
      <c r="D12945" s="69" t="s">
        <v>29418</v>
      </c>
      <c r="E12945" s="51"/>
      <c r="F12945" s="114" t="str">
        <f>IF(INDEX(I.Facility.P2bIDNumber,2933)="","",INDEX(I.Facility.P2bIDNumber,2933))</f>
        <v/>
      </c>
      <c r="G12945" s="51"/>
      <c r="H12945" s="46" t="str">
        <f>IF(AND(I.Developer.P2b=TRUE,I.Facility.P2bFacilityCount&gt;=2933,F12945=""),"Incomplete","Complete")</f>
        <v>Complete</v>
      </c>
      <c r="I12945" s="48" t="s">
        <v>17310</v>
      </c>
    </row>
    <row r="12946" spans="2:9" ht="15" customHeight="1" x14ac:dyDescent="0.25">
      <c r="B12946" s="55" t="s">
        <v>281</v>
      </c>
      <c r="C12946" s="46">
        <v>2934</v>
      </c>
      <c r="D12946" s="69" t="s">
        <v>29418</v>
      </c>
      <c r="E12946" s="51"/>
      <c r="F12946" s="114" t="str">
        <f>IF(INDEX(I.Facility.P2bIDNumber,2934)="","",INDEX(I.Facility.P2bIDNumber,2934))</f>
        <v/>
      </c>
      <c r="G12946" s="51"/>
      <c r="H12946" s="46" t="str">
        <f>IF(AND(I.Developer.P2b=TRUE,I.Facility.P2bFacilityCount&gt;=2934,F12946=""),"Incomplete","Complete")</f>
        <v>Complete</v>
      </c>
      <c r="I12946" s="48" t="s">
        <v>17311</v>
      </c>
    </row>
    <row r="12947" spans="2:9" ht="15" customHeight="1" x14ac:dyDescent="0.25">
      <c r="B12947" s="55" t="s">
        <v>281</v>
      </c>
      <c r="C12947" s="46">
        <v>2935</v>
      </c>
      <c r="D12947" s="69" t="s">
        <v>29418</v>
      </c>
      <c r="E12947" s="51"/>
      <c r="F12947" s="114" t="str">
        <f>IF(INDEX(I.Facility.P2bIDNumber,2935)="","",INDEX(I.Facility.P2bIDNumber,2935))</f>
        <v/>
      </c>
      <c r="G12947" s="51"/>
      <c r="H12947" s="46" t="str">
        <f>IF(AND(I.Developer.P2b=TRUE,I.Facility.P2bFacilityCount&gt;=2935,F12947=""),"Incomplete","Complete")</f>
        <v>Complete</v>
      </c>
      <c r="I12947" s="48" t="s">
        <v>17312</v>
      </c>
    </row>
    <row r="12948" spans="2:9" ht="15" customHeight="1" x14ac:dyDescent="0.25">
      <c r="B12948" s="55" t="s">
        <v>281</v>
      </c>
      <c r="C12948" s="46">
        <v>2936</v>
      </c>
      <c r="D12948" s="69" t="s">
        <v>29418</v>
      </c>
      <c r="E12948" s="51"/>
      <c r="F12948" s="114" t="str">
        <f>IF(INDEX(I.Facility.P2bIDNumber,2936)="","",INDEX(I.Facility.P2bIDNumber,2936))</f>
        <v/>
      </c>
      <c r="G12948" s="51"/>
      <c r="H12948" s="46" t="str">
        <f>IF(AND(I.Developer.P2b=TRUE,I.Facility.P2bFacilityCount&gt;=2936,F12948=""),"Incomplete","Complete")</f>
        <v>Complete</v>
      </c>
      <c r="I12948" s="48" t="s">
        <v>17313</v>
      </c>
    </row>
    <row r="12949" spans="2:9" ht="15" customHeight="1" x14ac:dyDescent="0.25">
      <c r="B12949" s="55" t="s">
        <v>281</v>
      </c>
      <c r="C12949" s="46">
        <v>2937</v>
      </c>
      <c r="D12949" s="69" t="s">
        <v>29418</v>
      </c>
      <c r="E12949" s="51"/>
      <c r="F12949" s="114" t="str">
        <f>IF(INDEX(I.Facility.P2bIDNumber,2937)="","",INDEX(I.Facility.P2bIDNumber,2937))</f>
        <v/>
      </c>
      <c r="G12949" s="51"/>
      <c r="H12949" s="46" t="str">
        <f>IF(AND(I.Developer.P2b=TRUE,I.Facility.P2bFacilityCount&gt;=2937,F12949=""),"Incomplete","Complete")</f>
        <v>Complete</v>
      </c>
      <c r="I12949" s="48" t="s">
        <v>17314</v>
      </c>
    </row>
    <row r="12950" spans="2:9" ht="15" customHeight="1" x14ac:dyDescent="0.25">
      <c r="B12950" s="55" t="s">
        <v>281</v>
      </c>
      <c r="C12950" s="46">
        <v>2938</v>
      </c>
      <c r="D12950" s="69" t="s">
        <v>29418</v>
      </c>
      <c r="E12950" s="51"/>
      <c r="F12950" s="114" t="str">
        <f>IF(INDEX(I.Facility.P2bIDNumber,2938)="","",INDEX(I.Facility.P2bIDNumber,2938))</f>
        <v/>
      </c>
      <c r="G12950" s="51"/>
      <c r="H12950" s="46" t="str">
        <f>IF(AND(I.Developer.P2b=TRUE,I.Facility.P2bFacilityCount&gt;=2938,F12950=""),"Incomplete","Complete")</f>
        <v>Complete</v>
      </c>
      <c r="I12950" s="48" t="s">
        <v>17315</v>
      </c>
    </row>
    <row r="12951" spans="2:9" ht="15" customHeight="1" x14ac:dyDescent="0.25">
      <c r="B12951" s="55" t="s">
        <v>281</v>
      </c>
      <c r="C12951" s="46">
        <v>2939</v>
      </c>
      <c r="D12951" s="69" t="s">
        <v>29418</v>
      </c>
      <c r="E12951" s="51"/>
      <c r="F12951" s="114" t="str">
        <f>IF(INDEX(I.Facility.P2bIDNumber,2939)="","",INDEX(I.Facility.P2bIDNumber,2939))</f>
        <v/>
      </c>
      <c r="G12951" s="51"/>
      <c r="H12951" s="46" t="str">
        <f>IF(AND(I.Developer.P2b=TRUE,I.Facility.P2bFacilityCount&gt;=2939,F12951=""),"Incomplete","Complete")</f>
        <v>Complete</v>
      </c>
      <c r="I12951" s="48" t="s">
        <v>17316</v>
      </c>
    </row>
    <row r="12952" spans="2:9" ht="15" customHeight="1" x14ac:dyDescent="0.25">
      <c r="B12952" s="55" t="s">
        <v>281</v>
      </c>
      <c r="C12952" s="46">
        <v>2940</v>
      </c>
      <c r="D12952" s="69" t="s">
        <v>29418</v>
      </c>
      <c r="E12952" s="51"/>
      <c r="F12952" s="114" t="str">
        <f>IF(INDEX(I.Facility.P2bIDNumber,2940)="","",INDEX(I.Facility.P2bIDNumber,2940))</f>
        <v/>
      </c>
      <c r="G12952" s="51"/>
      <c r="H12952" s="46" t="str">
        <f>IF(AND(I.Developer.P2b=TRUE,I.Facility.P2bFacilityCount&gt;=2940,F12952=""),"Incomplete","Complete")</f>
        <v>Complete</v>
      </c>
      <c r="I12952" s="48" t="s">
        <v>17317</v>
      </c>
    </row>
    <row r="12953" spans="2:9" ht="15" customHeight="1" x14ac:dyDescent="0.25">
      <c r="B12953" s="55" t="s">
        <v>281</v>
      </c>
      <c r="C12953" s="46">
        <v>2941</v>
      </c>
      <c r="D12953" s="69" t="s">
        <v>29418</v>
      </c>
      <c r="E12953" s="51"/>
      <c r="F12953" s="114" t="str">
        <f>IF(INDEX(I.Facility.P2bIDNumber,2941)="","",INDEX(I.Facility.P2bIDNumber,2941))</f>
        <v/>
      </c>
      <c r="G12953" s="51"/>
      <c r="H12953" s="46" t="str">
        <f>IF(AND(I.Developer.P2b=TRUE,I.Facility.P2bFacilityCount&gt;=2941,F12953=""),"Incomplete","Complete")</f>
        <v>Complete</v>
      </c>
      <c r="I12953" s="48" t="s">
        <v>17318</v>
      </c>
    </row>
    <row r="12954" spans="2:9" ht="15" customHeight="1" x14ac:dyDescent="0.25">
      <c r="B12954" s="55" t="s">
        <v>281</v>
      </c>
      <c r="C12954" s="46">
        <v>2942</v>
      </c>
      <c r="D12954" s="69" t="s">
        <v>29418</v>
      </c>
      <c r="E12954" s="51"/>
      <c r="F12954" s="114" t="str">
        <f>IF(INDEX(I.Facility.P2bIDNumber,2942)="","",INDEX(I.Facility.P2bIDNumber,2942))</f>
        <v/>
      </c>
      <c r="G12954" s="51"/>
      <c r="H12954" s="46" t="str">
        <f>IF(AND(I.Developer.P2b=TRUE,I.Facility.P2bFacilityCount&gt;=2942,F12954=""),"Incomplete","Complete")</f>
        <v>Complete</v>
      </c>
      <c r="I12954" s="48" t="s">
        <v>17319</v>
      </c>
    </row>
    <row r="12955" spans="2:9" ht="15" customHeight="1" x14ac:dyDescent="0.25">
      <c r="B12955" s="55" t="s">
        <v>281</v>
      </c>
      <c r="C12955" s="46">
        <v>2943</v>
      </c>
      <c r="D12955" s="69" t="s">
        <v>29418</v>
      </c>
      <c r="E12955" s="51"/>
      <c r="F12955" s="114" t="str">
        <f>IF(INDEX(I.Facility.P2bIDNumber,2943)="","",INDEX(I.Facility.P2bIDNumber,2943))</f>
        <v/>
      </c>
      <c r="G12955" s="51"/>
      <c r="H12955" s="46" t="str">
        <f>IF(AND(I.Developer.P2b=TRUE,I.Facility.P2bFacilityCount&gt;=2943,F12955=""),"Incomplete","Complete")</f>
        <v>Complete</v>
      </c>
      <c r="I12955" s="48" t="s">
        <v>17320</v>
      </c>
    </row>
    <row r="12956" spans="2:9" ht="15" customHeight="1" x14ac:dyDescent="0.25">
      <c r="B12956" s="55" t="s">
        <v>281</v>
      </c>
      <c r="C12956" s="46">
        <v>2944</v>
      </c>
      <c r="D12956" s="69" t="s">
        <v>29418</v>
      </c>
      <c r="E12956" s="51"/>
      <c r="F12956" s="114" t="str">
        <f>IF(INDEX(I.Facility.P2bIDNumber,2944)="","",INDEX(I.Facility.P2bIDNumber,2944))</f>
        <v/>
      </c>
      <c r="G12956" s="51"/>
      <c r="H12956" s="46" t="str">
        <f>IF(AND(I.Developer.P2b=TRUE,I.Facility.P2bFacilityCount&gt;=2944,F12956=""),"Incomplete","Complete")</f>
        <v>Complete</v>
      </c>
      <c r="I12956" s="48" t="s">
        <v>17321</v>
      </c>
    </row>
    <row r="12957" spans="2:9" ht="15" customHeight="1" x14ac:dyDescent="0.25">
      <c r="B12957" s="55" t="s">
        <v>281</v>
      </c>
      <c r="C12957" s="46">
        <v>2945</v>
      </c>
      <c r="D12957" s="69" t="s">
        <v>29418</v>
      </c>
      <c r="E12957" s="51"/>
      <c r="F12957" s="114" t="str">
        <f>IF(INDEX(I.Facility.P2bIDNumber,2945)="","",INDEX(I.Facility.P2bIDNumber,2945))</f>
        <v/>
      </c>
      <c r="G12957" s="51"/>
      <c r="H12957" s="46" t="str">
        <f>IF(AND(I.Developer.P2b=TRUE,I.Facility.P2bFacilityCount&gt;=2945,F12957=""),"Incomplete","Complete")</f>
        <v>Complete</v>
      </c>
      <c r="I12957" s="48" t="s">
        <v>17322</v>
      </c>
    </row>
    <row r="12958" spans="2:9" ht="15" customHeight="1" x14ac:dyDescent="0.25">
      <c r="B12958" s="55" t="s">
        <v>281</v>
      </c>
      <c r="C12958" s="46">
        <v>2946</v>
      </c>
      <c r="D12958" s="69" t="s">
        <v>29418</v>
      </c>
      <c r="E12958" s="51"/>
      <c r="F12958" s="114" t="str">
        <f>IF(INDEX(I.Facility.P2bIDNumber,2946)="","",INDEX(I.Facility.P2bIDNumber,2946))</f>
        <v/>
      </c>
      <c r="G12958" s="51"/>
      <c r="H12958" s="46" t="str">
        <f>IF(AND(I.Developer.P2b=TRUE,I.Facility.P2bFacilityCount&gt;=2946,F12958=""),"Incomplete","Complete")</f>
        <v>Complete</v>
      </c>
      <c r="I12958" s="48" t="s">
        <v>17323</v>
      </c>
    </row>
    <row r="12959" spans="2:9" ht="15" customHeight="1" x14ac:dyDescent="0.25">
      <c r="B12959" s="55" t="s">
        <v>281</v>
      </c>
      <c r="C12959" s="46">
        <v>2947</v>
      </c>
      <c r="D12959" s="69" t="s">
        <v>29418</v>
      </c>
      <c r="E12959" s="51"/>
      <c r="F12959" s="114" t="str">
        <f>IF(INDEX(I.Facility.P2bIDNumber,2947)="","",INDEX(I.Facility.P2bIDNumber,2947))</f>
        <v/>
      </c>
      <c r="G12959" s="51"/>
      <c r="H12959" s="46" t="str">
        <f>IF(AND(I.Developer.P2b=TRUE,I.Facility.P2bFacilityCount&gt;=2947,F12959=""),"Incomplete","Complete")</f>
        <v>Complete</v>
      </c>
      <c r="I12959" s="48" t="s">
        <v>17324</v>
      </c>
    </row>
    <row r="12960" spans="2:9" ht="15" customHeight="1" x14ac:dyDescent="0.25">
      <c r="B12960" s="55" t="s">
        <v>281</v>
      </c>
      <c r="C12960" s="46">
        <v>2948</v>
      </c>
      <c r="D12960" s="69" t="s">
        <v>29418</v>
      </c>
      <c r="E12960" s="51"/>
      <c r="F12960" s="114" t="str">
        <f>IF(INDEX(I.Facility.P2bIDNumber,2948)="","",INDEX(I.Facility.P2bIDNumber,2948))</f>
        <v/>
      </c>
      <c r="G12960" s="51"/>
      <c r="H12960" s="46" t="str">
        <f>IF(AND(I.Developer.P2b=TRUE,I.Facility.P2bFacilityCount&gt;=2948,F12960=""),"Incomplete","Complete")</f>
        <v>Complete</v>
      </c>
      <c r="I12960" s="48" t="s">
        <v>17325</v>
      </c>
    </row>
    <row r="12961" spans="2:9" ht="15" customHeight="1" x14ac:dyDescent="0.25">
      <c r="B12961" s="55" t="s">
        <v>281</v>
      </c>
      <c r="C12961" s="46">
        <v>2949</v>
      </c>
      <c r="D12961" s="69" t="s">
        <v>29418</v>
      </c>
      <c r="E12961" s="51"/>
      <c r="F12961" s="114" t="str">
        <f>IF(INDEX(I.Facility.P2bIDNumber,2949)="","",INDEX(I.Facility.P2bIDNumber,2949))</f>
        <v/>
      </c>
      <c r="G12961" s="51"/>
      <c r="H12961" s="46" t="str">
        <f>IF(AND(I.Developer.P2b=TRUE,I.Facility.P2bFacilityCount&gt;=2949,F12961=""),"Incomplete","Complete")</f>
        <v>Complete</v>
      </c>
      <c r="I12961" s="48" t="s">
        <v>17326</v>
      </c>
    </row>
    <row r="12962" spans="2:9" ht="15" customHeight="1" x14ac:dyDescent="0.25">
      <c r="B12962" s="55" t="s">
        <v>281</v>
      </c>
      <c r="C12962" s="46">
        <v>2950</v>
      </c>
      <c r="D12962" s="69" t="s">
        <v>29418</v>
      </c>
      <c r="E12962" s="51"/>
      <c r="F12962" s="114" t="str">
        <f>IF(INDEX(I.Facility.P2bIDNumber,2950)="","",INDEX(I.Facility.P2bIDNumber,2950))</f>
        <v/>
      </c>
      <c r="G12962" s="51"/>
      <c r="H12962" s="46" t="str">
        <f>IF(AND(I.Developer.P2b=TRUE,I.Facility.P2bFacilityCount&gt;=2950,F12962=""),"Incomplete","Complete")</f>
        <v>Complete</v>
      </c>
      <c r="I12962" s="48" t="s">
        <v>17327</v>
      </c>
    </row>
    <row r="12963" spans="2:9" ht="15" customHeight="1" x14ac:dyDescent="0.25">
      <c r="B12963" s="55" t="s">
        <v>281</v>
      </c>
      <c r="C12963" s="46">
        <v>2951</v>
      </c>
      <c r="D12963" s="69" t="s">
        <v>29418</v>
      </c>
      <c r="E12963" s="51"/>
      <c r="F12963" s="114" t="str">
        <f>IF(INDEX(I.Facility.P2bIDNumber,2951)="","",INDEX(I.Facility.P2bIDNumber,2951))</f>
        <v/>
      </c>
      <c r="G12963" s="51"/>
      <c r="H12963" s="46" t="str">
        <f>IF(AND(I.Developer.P2b=TRUE,I.Facility.P2bFacilityCount&gt;=2951,F12963=""),"Incomplete","Complete")</f>
        <v>Complete</v>
      </c>
      <c r="I12963" s="48" t="s">
        <v>17328</v>
      </c>
    </row>
    <row r="12964" spans="2:9" ht="15" customHeight="1" x14ac:dyDescent="0.25">
      <c r="B12964" s="55" t="s">
        <v>281</v>
      </c>
      <c r="C12964" s="46">
        <v>2952</v>
      </c>
      <c r="D12964" s="69" t="s">
        <v>29418</v>
      </c>
      <c r="E12964" s="51"/>
      <c r="F12964" s="114" t="str">
        <f>IF(INDEX(I.Facility.P2bIDNumber,2952)="","",INDEX(I.Facility.P2bIDNumber,2952))</f>
        <v/>
      </c>
      <c r="G12964" s="51"/>
      <c r="H12964" s="46" t="str">
        <f>IF(AND(I.Developer.P2b=TRUE,I.Facility.P2bFacilityCount&gt;=2952,F12964=""),"Incomplete","Complete")</f>
        <v>Complete</v>
      </c>
      <c r="I12964" s="48" t="s">
        <v>17329</v>
      </c>
    </row>
    <row r="12965" spans="2:9" ht="15" customHeight="1" x14ac:dyDescent="0.25">
      <c r="B12965" s="55" t="s">
        <v>281</v>
      </c>
      <c r="C12965" s="46">
        <v>2953</v>
      </c>
      <c r="D12965" s="69" t="s">
        <v>29418</v>
      </c>
      <c r="E12965" s="51"/>
      <c r="F12965" s="114" t="str">
        <f>IF(INDEX(I.Facility.P2bIDNumber,2953)="","",INDEX(I.Facility.P2bIDNumber,2953))</f>
        <v/>
      </c>
      <c r="G12965" s="51"/>
      <c r="H12965" s="46" t="str">
        <f>IF(AND(I.Developer.P2b=TRUE,I.Facility.P2bFacilityCount&gt;=2953,F12965=""),"Incomplete","Complete")</f>
        <v>Complete</v>
      </c>
      <c r="I12965" s="48" t="s">
        <v>17330</v>
      </c>
    </row>
    <row r="12966" spans="2:9" ht="15" customHeight="1" x14ac:dyDescent="0.25">
      <c r="B12966" s="55" t="s">
        <v>281</v>
      </c>
      <c r="C12966" s="46">
        <v>2954</v>
      </c>
      <c r="D12966" s="69" t="s">
        <v>29418</v>
      </c>
      <c r="E12966" s="51"/>
      <c r="F12966" s="114" t="str">
        <f>IF(INDEX(I.Facility.P2bIDNumber,2954)="","",INDEX(I.Facility.P2bIDNumber,2954))</f>
        <v/>
      </c>
      <c r="G12966" s="51"/>
      <c r="H12966" s="46" t="str">
        <f>IF(AND(I.Developer.P2b=TRUE,I.Facility.P2bFacilityCount&gt;=2954,F12966=""),"Incomplete","Complete")</f>
        <v>Complete</v>
      </c>
      <c r="I12966" s="48" t="s">
        <v>17331</v>
      </c>
    </row>
    <row r="12967" spans="2:9" ht="15" customHeight="1" x14ac:dyDescent="0.25">
      <c r="B12967" s="55" t="s">
        <v>281</v>
      </c>
      <c r="C12967" s="46">
        <v>2955</v>
      </c>
      <c r="D12967" s="69" t="s">
        <v>29418</v>
      </c>
      <c r="E12967" s="51"/>
      <c r="F12967" s="114" t="str">
        <f>IF(INDEX(I.Facility.P2bIDNumber,2955)="","",INDEX(I.Facility.P2bIDNumber,2955))</f>
        <v/>
      </c>
      <c r="G12967" s="51"/>
      <c r="H12967" s="46" t="str">
        <f>IF(AND(I.Developer.P2b=TRUE,I.Facility.P2bFacilityCount&gt;=2955,F12967=""),"Incomplete","Complete")</f>
        <v>Complete</v>
      </c>
      <c r="I12967" s="48" t="s">
        <v>17332</v>
      </c>
    </row>
    <row r="12968" spans="2:9" ht="15" customHeight="1" x14ac:dyDescent="0.25">
      <c r="B12968" s="55" t="s">
        <v>281</v>
      </c>
      <c r="C12968" s="46">
        <v>2956</v>
      </c>
      <c r="D12968" s="69" t="s">
        <v>29418</v>
      </c>
      <c r="E12968" s="51"/>
      <c r="F12968" s="114" t="str">
        <f>IF(INDEX(I.Facility.P2bIDNumber,2956)="","",INDEX(I.Facility.P2bIDNumber,2956))</f>
        <v/>
      </c>
      <c r="G12968" s="51"/>
      <c r="H12968" s="46" t="str">
        <f>IF(AND(I.Developer.P2b=TRUE,I.Facility.P2bFacilityCount&gt;=2956,F12968=""),"Incomplete","Complete")</f>
        <v>Complete</v>
      </c>
      <c r="I12968" s="48" t="s">
        <v>17333</v>
      </c>
    </row>
    <row r="12969" spans="2:9" ht="15" customHeight="1" x14ac:dyDescent="0.25">
      <c r="B12969" s="55" t="s">
        <v>281</v>
      </c>
      <c r="C12969" s="46">
        <v>2957</v>
      </c>
      <c r="D12969" s="69" t="s">
        <v>29418</v>
      </c>
      <c r="E12969" s="51"/>
      <c r="F12969" s="114" t="str">
        <f>IF(INDEX(I.Facility.P2bIDNumber,2957)="","",INDEX(I.Facility.P2bIDNumber,2957))</f>
        <v/>
      </c>
      <c r="G12969" s="51"/>
      <c r="H12969" s="46" t="str">
        <f>IF(AND(I.Developer.P2b=TRUE,I.Facility.P2bFacilityCount&gt;=2957,F12969=""),"Incomplete","Complete")</f>
        <v>Complete</v>
      </c>
      <c r="I12969" s="48" t="s">
        <v>17334</v>
      </c>
    </row>
    <row r="12970" spans="2:9" ht="15" customHeight="1" x14ac:dyDescent="0.25">
      <c r="B12970" s="55" t="s">
        <v>281</v>
      </c>
      <c r="C12970" s="46">
        <v>2958</v>
      </c>
      <c r="D12970" s="69" t="s">
        <v>29418</v>
      </c>
      <c r="E12970" s="51"/>
      <c r="F12970" s="114" t="str">
        <f>IF(INDEX(I.Facility.P2bIDNumber,2958)="","",INDEX(I.Facility.P2bIDNumber,2958))</f>
        <v/>
      </c>
      <c r="G12970" s="51"/>
      <c r="H12970" s="46" t="str">
        <f>IF(AND(I.Developer.P2b=TRUE,I.Facility.P2bFacilityCount&gt;=2958,F12970=""),"Incomplete","Complete")</f>
        <v>Complete</v>
      </c>
      <c r="I12970" s="48" t="s">
        <v>17335</v>
      </c>
    </row>
    <row r="12971" spans="2:9" ht="15" customHeight="1" x14ac:dyDescent="0.25">
      <c r="B12971" s="55" t="s">
        <v>281</v>
      </c>
      <c r="C12971" s="46">
        <v>2959</v>
      </c>
      <c r="D12971" s="69" t="s">
        <v>29418</v>
      </c>
      <c r="E12971" s="51"/>
      <c r="F12971" s="114" t="str">
        <f>IF(INDEX(I.Facility.P2bIDNumber,2959)="","",INDEX(I.Facility.P2bIDNumber,2959))</f>
        <v/>
      </c>
      <c r="G12971" s="51"/>
      <c r="H12971" s="46" t="str">
        <f>IF(AND(I.Developer.P2b=TRUE,I.Facility.P2bFacilityCount&gt;=2959,F12971=""),"Incomplete","Complete")</f>
        <v>Complete</v>
      </c>
      <c r="I12971" s="48" t="s">
        <v>17336</v>
      </c>
    </row>
    <row r="12972" spans="2:9" ht="15" customHeight="1" x14ac:dyDescent="0.25">
      <c r="B12972" s="55" t="s">
        <v>281</v>
      </c>
      <c r="C12972" s="46">
        <v>2960</v>
      </c>
      <c r="D12972" s="69" t="s">
        <v>29418</v>
      </c>
      <c r="E12972" s="51"/>
      <c r="F12972" s="114" t="str">
        <f>IF(INDEX(I.Facility.P2bIDNumber,2960)="","",INDEX(I.Facility.P2bIDNumber,2960))</f>
        <v/>
      </c>
      <c r="G12972" s="51"/>
      <c r="H12972" s="46" t="str">
        <f>IF(AND(I.Developer.P2b=TRUE,I.Facility.P2bFacilityCount&gt;=2960,F12972=""),"Incomplete","Complete")</f>
        <v>Complete</v>
      </c>
      <c r="I12972" s="48" t="s">
        <v>17337</v>
      </c>
    </row>
    <row r="12973" spans="2:9" ht="15" customHeight="1" x14ac:dyDescent="0.25">
      <c r="B12973" s="55" t="s">
        <v>281</v>
      </c>
      <c r="C12973" s="46">
        <v>2961</v>
      </c>
      <c r="D12973" s="69" t="s">
        <v>29418</v>
      </c>
      <c r="E12973" s="51"/>
      <c r="F12973" s="114" t="str">
        <f>IF(INDEX(I.Facility.P2bIDNumber,2961)="","",INDEX(I.Facility.P2bIDNumber,2961))</f>
        <v/>
      </c>
      <c r="G12973" s="51"/>
      <c r="H12973" s="46" t="str">
        <f>IF(AND(I.Developer.P2b=TRUE,I.Facility.P2bFacilityCount&gt;=2961,F12973=""),"Incomplete","Complete")</f>
        <v>Complete</v>
      </c>
      <c r="I12973" s="48" t="s">
        <v>17338</v>
      </c>
    </row>
    <row r="12974" spans="2:9" ht="15" customHeight="1" x14ac:dyDescent="0.25">
      <c r="B12974" s="55" t="s">
        <v>281</v>
      </c>
      <c r="C12974" s="46">
        <v>2962</v>
      </c>
      <c r="D12974" s="69" t="s">
        <v>29418</v>
      </c>
      <c r="E12974" s="51"/>
      <c r="F12974" s="114" t="str">
        <f>IF(INDEX(I.Facility.P2bIDNumber,2962)="","",INDEX(I.Facility.P2bIDNumber,2962))</f>
        <v/>
      </c>
      <c r="G12974" s="51"/>
      <c r="H12974" s="46" t="str">
        <f>IF(AND(I.Developer.P2b=TRUE,I.Facility.P2bFacilityCount&gt;=2962,F12974=""),"Incomplete","Complete")</f>
        <v>Complete</v>
      </c>
      <c r="I12974" s="48" t="s">
        <v>17339</v>
      </c>
    </row>
    <row r="12975" spans="2:9" ht="15" customHeight="1" x14ac:dyDescent="0.25">
      <c r="B12975" s="55" t="s">
        <v>281</v>
      </c>
      <c r="C12975" s="46">
        <v>2963</v>
      </c>
      <c r="D12975" s="69" t="s">
        <v>29418</v>
      </c>
      <c r="E12975" s="51"/>
      <c r="F12975" s="114" t="str">
        <f>IF(INDEX(I.Facility.P2bIDNumber,2963)="","",INDEX(I.Facility.P2bIDNumber,2963))</f>
        <v/>
      </c>
      <c r="G12975" s="51"/>
      <c r="H12975" s="46" t="str">
        <f>IF(AND(I.Developer.P2b=TRUE,I.Facility.P2bFacilityCount&gt;=2963,F12975=""),"Incomplete","Complete")</f>
        <v>Complete</v>
      </c>
      <c r="I12975" s="48" t="s">
        <v>17340</v>
      </c>
    </row>
    <row r="12976" spans="2:9" ht="15" customHeight="1" x14ac:dyDescent="0.25">
      <c r="B12976" s="55" t="s">
        <v>281</v>
      </c>
      <c r="C12976" s="46">
        <v>2964</v>
      </c>
      <c r="D12976" s="69" t="s">
        <v>29418</v>
      </c>
      <c r="E12976" s="51"/>
      <c r="F12976" s="114" t="str">
        <f>IF(INDEX(I.Facility.P2bIDNumber,2964)="","",INDEX(I.Facility.P2bIDNumber,2964))</f>
        <v/>
      </c>
      <c r="G12976" s="51"/>
      <c r="H12976" s="46" t="str">
        <f>IF(AND(I.Developer.P2b=TRUE,I.Facility.P2bFacilityCount&gt;=2964,F12976=""),"Incomplete","Complete")</f>
        <v>Complete</v>
      </c>
      <c r="I12976" s="48" t="s">
        <v>17341</v>
      </c>
    </row>
    <row r="12977" spans="2:9" ht="15" customHeight="1" x14ac:dyDescent="0.25">
      <c r="B12977" s="55" t="s">
        <v>281</v>
      </c>
      <c r="C12977" s="46">
        <v>2965</v>
      </c>
      <c r="D12977" s="69" t="s">
        <v>29418</v>
      </c>
      <c r="E12977" s="51"/>
      <c r="F12977" s="114" t="str">
        <f>IF(INDEX(I.Facility.P2bIDNumber,2965)="","",INDEX(I.Facility.P2bIDNumber,2965))</f>
        <v/>
      </c>
      <c r="G12977" s="51"/>
      <c r="H12977" s="46" t="str">
        <f>IF(AND(I.Developer.P2b=TRUE,I.Facility.P2bFacilityCount&gt;=2965,F12977=""),"Incomplete","Complete")</f>
        <v>Complete</v>
      </c>
      <c r="I12977" s="48" t="s">
        <v>17342</v>
      </c>
    </row>
    <row r="12978" spans="2:9" ht="15" customHeight="1" x14ac:dyDescent="0.25">
      <c r="B12978" s="55" t="s">
        <v>281</v>
      </c>
      <c r="C12978" s="46">
        <v>2966</v>
      </c>
      <c r="D12978" s="69" t="s">
        <v>29418</v>
      </c>
      <c r="E12978" s="51"/>
      <c r="F12978" s="114" t="str">
        <f>IF(INDEX(I.Facility.P2bIDNumber,2966)="","",INDEX(I.Facility.P2bIDNumber,2966))</f>
        <v/>
      </c>
      <c r="G12978" s="51"/>
      <c r="H12978" s="46" t="str">
        <f>IF(AND(I.Developer.P2b=TRUE,I.Facility.P2bFacilityCount&gt;=2966,F12978=""),"Incomplete","Complete")</f>
        <v>Complete</v>
      </c>
      <c r="I12978" s="48" t="s">
        <v>17343</v>
      </c>
    </row>
    <row r="12979" spans="2:9" ht="15" customHeight="1" x14ac:dyDescent="0.25">
      <c r="B12979" s="55" t="s">
        <v>281</v>
      </c>
      <c r="C12979" s="46">
        <v>2967</v>
      </c>
      <c r="D12979" s="69" t="s">
        <v>29418</v>
      </c>
      <c r="E12979" s="51"/>
      <c r="F12979" s="114" t="str">
        <f>IF(INDEX(I.Facility.P2bIDNumber,2967)="","",INDEX(I.Facility.P2bIDNumber,2967))</f>
        <v/>
      </c>
      <c r="G12979" s="51"/>
      <c r="H12979" s="46" t="str">
        <f>IF(AND(I.Developer.P2b=TRUE,I.Facility.P2bFacilityCount&gt;=2967,F12979=""),"Incomplete","Complete")</f>
        <v>Complete</v>
      </c>
      <c r="I12979" s="48" t="s">
        <v>17344</v>
      </c>
    </row>
    <row r="12980" spans="2:9" ht="15" customHeight="1" x14ac:dyDescent="0.25">
      <c r="B12980" s="55" t="s">
        <v>281</v>
      </c>
      <c r="C12980" s="46">
        <v>2968</v>
      </c>
      <c r="D12980" s="69" t="s">
        <v>29418</v>
      </c>
      <c r="E12980" s="51"/>
      <c r="F12980" s="114" t="str">
        <f>IF(INDEX(I.Facility.P2bIDNumber,2968)="","",INDEX(I.Facility.P2bIDNumber,2968))</f>
        <v/>
      </c>
      <c r="G12980" s="51"/>
      <c r="H12980" s="46" t="str">
        <f>IF(AND(I.Developer.P2b=TRUE,I.Facility.P2bFacilityCount&gt;=2968,F12980=""),"Incomplete","Complete")</f>
        <v>Complete</v>
      </c>
      <c r="I12980" s="48" t="s">
        <v>17345</v>
      </c>
    </row>
    <row r="12981" spans="2:9" ht="15" customHeight="1" x14ac:dyDescent="0.25">
      <c r="B12981" s="55" t="s">
        <v>281</v>
      </c>
      <c r="C12981" s="46">
        <v>2969</v>
      </c>
      <c r="D12981" s="69" t="s">
        <v>29418</v>
      </c>
      <c r="E12981" s="51"/>
      <c r="F12981" s="114" t="str">
        <f>IF(INDEX(I.Facility.P2bIDNumber,2969)="","",INDEX(I.Facility.P2bIDNumber,2969))</f>
        <v/>
      </c>
      <c r="G12981" s="51"/>
      <c r="H12981" s="46" t="str">
        <f>IF(AND(I.Developer.P2b=TRUE,I.Facility.P2bFacilityCount&gt;=2969,F12981=""),"Incomplete","Complete")</f>
        <v>Complete</v>
      </c>
      <c r="I12981" s="48" t="s">
        <v>17346</v>
      </c>
    </row>
    <row r="12982" spans="2:9" ht="15" customHeight="1" x14ac:dyDescent="0.25">
      <c r="B12982" s="55" t="s">
        <v>281</v>
      </c>
      <c r="C12982" s="46">
        <v>2970</v>
      </c>
      <c r="D12982" s="69" t="s">
        <v>29418</v>
      </c>
      <c r="E12982" s="51"/>
      <c r="F12982" s="114" t="str">
        <f>IF(INDEX(I.Facility.P2bIDNumber,2970)="","",INDEX(I.Facility.P2bIDNumber,2970))</f>
        <v/>
      </c>
      <c r="G12982" s="51"/>
      <c r="H12982" s="46" t="str">
        <f>IF(AND(I.Developer.P2b=TRUE,I.Facility.P2bFacilityCount&gt;=2970,F12982=""),"Incomplete","Complete")</f>
        <v>Complete</v>
      </c>
      <c r="I12982" s="48" t="s">
        <v>17347</v>
      </c>
    </row>
    <row r="12983" spans="2:9" ht="15" customHeight="1" x14ac:dyDescent="0.25">
      <c r="B12983" s="55" t="s">
        <v>281</v>
      </c>
      <c r="C12983" s="46">
        <v>2971</v>
      </c>
      <c r="D12983" s="69" t="s">
        <v>29418</v>
      </c>
      <c r="E12983" s="51"/>
      <c r="F12983" s="114" t="str">
        <f>IF(INDEX(I.Facility.P2bIDNumber,2971)="","",INDEX(I.Facility.P2bIDNumber,2971))</f>
        <v/>
      </c>
      <c r="G12983" s="51"/>
      <c r="H12983" s="46" t="str">
        <f>IF(AND(I.Developer.P2b=TRUE,I.Facility.P2bFacilityCount&gt;=2971,F12983=""),"Incomplete","Complete")</f>
        <v>Complete</v>
      </c>
      <c r="I12983" s="48" t="s">
        <v>17348</v>
      </c>
    </row>
    <row r="12984" spans="2:9" ht="15" customHeight="1" x14ac:dyDescent="0.25">
      <c r="B12984" s="55" t="s">
        <v>281</v>
      </c>
      <c r="C12984" s="46">
        <v>2972</v>
      </c>
      <c r="D12984" s="69" t="s">
        <v>29418</v>
      </c>
      <c r="E12984" s="51"/>
      <c r="F12984" s="114" t="str">
        <f>IF(INDEX(I.Facility.P2bIDNumber,2972)="","",INDEX(I.Facility.P2bIDNumber,2972))</f>
        <v/>
      </c>
      <c r="G12984" s="51"/>
      <c r="H12984" s="46" t="str">
        <f>IF(AND(I.Developer.P2b=TRUE,I.Facility.P2bFacilityCount&gt;=2972,F12984=""),"Incomplete","Complete")</f>
        <v>Complete</v>
      </c>
      <c r="I12984" s="48" t="s">
        <v>17349</v>
      </c>
    </row>
    <row r="12985" spans="2:9" ht="15" customHeight="1" x14ac:dyDescent="0.25">
      <c r="B12985" s="55" t="s">
        <v>281</v>
      </c>
      <c r="C12985" s="46">
        <v>2973</v>
      </c>
      <c r="D12985" s="69" t="s">
        <v>29418</v>
      </c>
      <c r="E12985" s="51"/>
      <c r="F12985" s="114" t="str">
        <f>IF(INDEX(I.Facility.P2bIDNumber,2973)="","",INDEX(I.Facility.P2bIDNumber,2973))</f>
        <v/>
      </c>
      <c r="G12985" s="51"/>
      <c r="H12985" s="46" t="str">
        <f>IF(AND(I.Developer.P2b=TRUE,I.Facility.P2bFacilityCount&gt;=2973,F12985=""),"Incomplete","Complete")</f>
        <v>Complete</v>
      </c>
      <c r="I12985" s="48" t="s">
        <v>17350</v>
      </c>
    </row>
    <row r="12986" spans="2:9" ht="15" customHeight="1" x14ac:dyDescent="0.25">
      <c r="B12986" s="55" t="s">
        <v>281</v>
      </c>
      <c r="C12986" s="46">
        <v>2974</v>
      </c>
      <c r="D12986" s="69" t="s">
        <v>29418</v>
      </c>
      <c r="E12986" s="51"/>
      <c r="F12986" s="114" t="str">
        <f>IF(INDEX(I.Facility.P2bIDNumber,2974)="","",INDEX(I.Facility.P2bIDNumber,2974))</f>
        <v/>
      </c>
      <c r="G12986" s="51"/>
      <c r="H12986" s="46" t="str">
        <f>IF(AND(I.Developer.P2b=TRUE,I.Facility.P2bFacilityCount&gt;=2974,F12986=""),"Incomplete","Complete")</f>
        <v>Complete</v>
      </c>
      <c r="I12986" s="48" t="s">
        <v>17351</v>
      </c>
    </row>
    <row r="12987" spans="2:9" ht="15" customHeight="1" x14ac:dyDescent="0.25">
      <c r="B12987" s="55" t="s">
        <v>281</v>
      </c>
      <c r="C12987" s="46">
        <v>2975</v>
      </c>
      <c r="D12987" s="69" t="s">
        <v>29418</v>
      </c>
      <c r="E12987" s="51"/>
      <c r="F12987" s="114" t="str">
        <f>IF(INDEX(I.Facility.P2bIDNumber,2975)="","",INDEX(I.Facility.P2bIDNumber,2975))</f>
        <v/>
      </c>
      <c r="G12987" s="51"/>
      <c r="H12987" s="46" t="str">
        <f>IF(AND(I.Developer.P2b=TRUE,I.Facility.P2bFacilityCount&gt;=2975,F12987=""),"Incomplete","Complete")</f>
        <v>Complete</v>
      </c>
      <c r="I12987" s="48" t="s">
        <v>17352</v>
      </c>
    </row>
    <row r="12988" spans="2:9" ht="15" customHeight="1" x14ac:dyDescent="0.25">
      <c r="B12988" s="55" t="s">
        <v>281</v>
      </c>
      <c r="C12988" s="46">
        <v>2976</v>
      </c>
      <c r="D12988" s="69" t="s">
        <v>29418</v>
      </c>
      <c r="E12988" s="51"/>
      <c r="F12988" s="114" t="str">
        <f>IF(INDEX(I.Facility.P2bIDNumber,2976)="","",INDEX(I.Facility.P2bIDNumber,2976))</f>
        <v/>
      </c>
      <c r="G12988" s="51"/>
      <c r="H12988" s="46" t="str">
        <f>IF(AND(I.Developer.P2b=TRUE,I.Facility.P2bFacilityCount&gt;=2976,F12988=""),"Incomplete","Complete")</f>
        <v>Complete</v>
      </c>
      <c r="I12988" s="48" t="s">
        <v>17353</v>
      </c>
    </row>
    <row r="12989" spans="2:9" ht="15" customHeight="1" x14ac:dyDescent="0.25">
      <c r="B12989" s="55" t="s">
        <v>281</v>
      </c>
      <c r="C12989" s="46">
        <v>2977</v>
      </c>
      <c r="D12989" s="69" t="s">
        <v>29418</v>
      </c>
      <c r="E12989" s="51"/>
      <c r="F12989" s="114" t="str">
        <f>IF(INDEX(I.Facility.P2bIDNumber,2977)="","",INDEX(I.Facility.P2bIDNumber,2977))</f>
        <v/>
      </c>
      <c r="G12989" s="51"/>
      <c r="H12989" s="46" t="str">
        <f>IF(AND(I.Developer.P2b=TRUE,I.Facility.P2bFacilityCount&gt;=2977,F12989=""),"Incomplete","Complete")</f>
        <v>Complete</v>
      </c>
      <c r="I12989" s="48" t="s">
        <v>17354</v>
      </c>
    </row>
    <row r="12990" spans="2:9" ht="15" customHeight="1" x14ac:dyDescent="0.25">
      <c r="B12990" s="55" t="s">
        <v>281</v>
      </c>
      <c r="C12990" s="46">
        <v>2978</v>
      </c>
      <c r="D12990" s="69" t="s">
        <v>29418</v>
      </c>
      <c r="E12990" s="51"/>
      <c r="F12990" s="114" t="str">
        <f>IF(INDEX(I.Facility.P2bIDNumber,2978)="","",INDEX(I.Facility.P2bIDNumber,2978))</f>
        <v/>
      </c>
      <c r="G12990" s="51"/>
      <c r="H12990" s="46" t="str">
        <f>IF(AND(I.Developer.P2b=TRUE,I.Facility.P2bFacilityCount&gt;=2978,F12990=""),"Incomplete","Complete")</f>
        <v>Complete</v>
      </c>
      <c r="I12990" s="48" t="s">
        <v>17355</v>
      </c>
    </row>
    <row r="12991" spans="2:9" ht="15" customHeight="1" x14ac:dyDescent="0.25">
      <c r="B12991" s="55" t="s">
        <v>281</v>
      </c>
      <c r="C12991" s="46">
        <v>2979</v>
      </c>
      <c r="D12991" s="69" t="s">
        <v>29418</v>
      </c>
      <c r="E12991" s="51"/>
      <c r="F12991" s="114" t="str">
        <f>IF(INDEX(I.Facility.P2bIDNumber,2979)="","",INDEX(I.Facility.P2bIDNumber,2979))</f>
        <v/>
      </c>
      <c r="G12991" s="51"/>
      <c r="H12991" s="46" t="str">
        <f>IF(AND(I.Developer.P2b=TRUE,I.Facility.P2bFacilityCount&gt;=2979,F12991=""),"Incomplete","Complete")</f>
        <v>Complete</v>
      </c>
      <c r="I12991" s="48" t="s">
        <v>17356</v>
      </c>
    </row>
    <row r="12992" spans="2:9" ht="15" customHeight="1" x14ac:dyDescent="0.25">
      <c r="B12992" s="55" t="s">
        <v>281</v>
      </c>
      <c r="C12992" s="46">
        <v>2980</v>
      </c>
      <c r="D12992" s="69" t="s">
        <v>29418</v>
      </c>
      <c r="E12992" s="51"/>
      <c r="F12992" s="114" t="str">
        <f>IF(INDEX(I.Facility.P2bIDNumber,2980)="","",INDEX(I.Facility.P2bIDNumber,2980))</f>
        <v/>
      </c>
      <c r="G12992" s="51"/>
      <c r="H12992" s="46" t="str">
        <f>IF(AND(I.Developer.P2b=TRUE,I.Facility.P2bFacilityCount&gt;=2980,F12992=""),"Incomplete","Complete")</f>
        <v>Complete</v>
      </c>
      <c r="I12992" s="48" t="s">
        <v>17357</v>
      </c>
    </row>
    <row r="12993" spans="2:9" ht="15" customHeight="1" x14ac:dyDescent="0.25">
      <c r="B12993" s="55" t="s">
        <v>281</v>
      </c>
      <c r="C12993" s="46">
        <v>2981</v>
      </c>
      <c r="D12993" s="69" t="s">
        <v>29418</v>
      </c>
      <c r="E12993" s="51"/>
      <c r="F12993" s="114" t="str">
        <f>IF(INDEX(I.Facility.P2bIDNumber,2981)="","",INDEX(I.Facility.P2bIDNumber,2981))</f>
        <v/>
      </c>
      <c r="G12993" s="51"/>
      <c r="H12993" s="46" t="str">
        <f>IF(AND(I.Developer.P2b=TRUE,I.Facility.P2bFacilityCount&gt;=2981,F12993=""),"Incomplete","Complete")</f>
        <v>Complete</v>
      </c>
      <c r="I12993" s="48" t="s">
        <v>17358</v>
      </c>
    </row>
    <row r="12994" spans="2:9" ht="15" customHeight="1" x14ac:dyDescent="0.25">
      <c r="B12994" s="55" t="s">
        <v>281</v>
      </c>
      <c r="C12994" s="46">
        <v>2982</v>
      </c>
      <c r="D12994" s="69" t="s">
        <v>29418</v>
      </c>
      <c r="E12994" s="51"/>
      <c r="F12994" s="114" t="str">
        <f>IF(INDEX(I.Facility.P2bIDNumber,2982)="","",INDEX(I.Facility.P2bIDNumber,2982))</f>
        <v/>
      </c>
      <c r="G12994" s="51"/>
      <c r="H12994" s="46" t="str">
        <f>IF(AND(I.Developer.P2b=TRUE,I.Facility.P2bFacilityCount&gt;=2982,F12994=""),"Incomplete","Complete")</f>
        <v>Complete</v>
      </c>
      <c r="I12994" s="48" t="s">
        <v>17359</v>
      </c>
    </row>
    <row r="12995" spans="2:9" ht="15" customHeight="1" x14ac:dyDescent="0.25">
      <c r="B12995" s="55" t="s">
        <v>281</v>
      </c>
      <c r="C12995" s="46">
        <v>2983</v>
      </c>
      <c r="D12995" s="69" t="s">
        <v>29418</v>
      </c>
      <c r="E12995" s="51"/>
      <c r="F12995" s="114" t="str">
        <f>IF(INDEX(I.Facility.P2bIDNumber,2983)="","",INDEX(I.Facility.P2bIDNumber,2983))</f>
        <v/>
      </c>
      <c r="G12995" s="51"/>
      <c r="H12995" s="46" t="str">
        <f>IF(AND(I.Developer.P2b=TRUE,I.Facility.P2bFacilityCount&gt;=2983,F12995=""),"Incomplete","Complete")</f>
        <v>Complete</v>
      </c>
      <c r="I12995" s="48" t="s">
        <v>17360</v>
      </c>
    </row>
    <row r="12996" spans="2:9" ht="15" customHeight="1" x14ac:dyDescent="0.25">
      <c r="B12996" s="55" t="s">
        <v>281</v>
      </c>
      <c r="C12996" s="46">
        <v>2984</v>
      </c>
      <c r="D12996" s="69" t="s">
        <v>29418</v>
      </c>
      <c r="E12996" s="51"/>
      <c r="F12996" s="114" t="str">
        <f>IF(INDEX(I.Facility.P2bIDNumber,2984)="","",INDEX(I.Facility.P2bIDNumber,2984))</f>
        <v/>
      </c>
      <c r="G12996" s="51"/>
      <c r="H12996" s="46" t="str">
        <f>IF(AND(I.Developer.P2b=TRUE,I.Facility.P2bFacilityCount&gt;=2984,F12996=""),"Incomplete","Complete")</f>
        <v>Complete</v>
      </c>
      <c r="I12996" s="48" t="s">
        <v>17361</v>
      </c>
    </row>
    <row r="12997" spans="2:9" ht="15" customHeight="1" x14ac:dyDescent="0.25">
      <c r="B12997" s="55" t="s">
        <v>281</v>
      </c>
      <c r="C12997" s="46">
        <v>2985</v>
      </c>
      <c r="D12997" s="69" t="s">
        <v>29418</v>
      </c>
      <c r="E12997" s="51"/>
      <c r="F12997" s="114" t="str">
        <f>IF(INDEX(I.Facility.P2bIDNumber,2985)="","",INDEX(I.Facility.P2bIDNumber,2985))</f>
        <v/>
      </c>
      <c r="G12997" s="51"/>
      <c r="H12997" s="46" t="str">
        <f>IF(AND(I.Developer.P2b=TRUE,I.Facility.P2bFacilityCount&gt;=2985,F12997=""),"Incomplete","Complete")</f>
        <v>Complete</v>
      </c>
      <c r="I12997" s="48" t="s">
        <v>17362</v>
      </c>
    </row>
    <row r="12998" spans="2:9" ht="15" customHeight="1" x14ac:dyDescent="0.25">
      <c r="B12998" s="55" t="s">
        <v>281</v>
      </c>
      <c r="C12998" s="46">
        <v>2986</v>
      </c>
      <c r="D12998" s="69" t="s">
        <v>29418</v>
      </c>
      <c r="E12998" s="51"/>
      <c r="F12998" s="114" t="str">
        <f>IF(INDEX(I.Facility.P2bIDNumber,2986)="","",INDEX(I.Facility.P2bIDNumber,2986))</f>
        <v/>
      </c>
      <c r="G12998" s="51"/>
      <c r="H12998" s="46" t="str">
        <f>IF(AND(I.Developer.P2b=TRUE,I.Facility.P2bFacilityCount&gt;=2986,F12998=""),"Incomplete","Complete")</f>
        <v>Complete</v>
      </c>
      <c r="I12998" s="48" t="s">
        <v>17363</v>
      </c>
    </row>
    <row r="12999" spans="2:9" ht="15" customHeight="1" x14ac:dyDescent="0.25">
      <c r="B12999" s="55" t="s">
        <v>281</v>
      </c>
      <c r="C12999" s="46">
        <v>2987</v>
      </c>
      <c r="D12999" s="69" t="s">
        <v>29418</v>
      </c>
      <c r="E12999" s="51"/>
      <c r="F12999" s="114" t="str">
        <f>IF(INDEX(I.Facility.P2bIDNumber,2987)="","",INDEX(I.Facility.P2bIDNumber,2987))</f>
        <v/>
      </c>
      <c r="G12999" s="51"/>
      <c r="H12999" s="46" t="str">
        <f>IF(AND(I.Developer.P2b=TRUE,I.Facility.P2bFacilityCount&gt;=2987,F12999=""),"Incomplete","Complete")</f>
        <v>Complete</v>
      </c>
      <c r="I12999" s="48" t="s">
        <v>17364</v>
      </c>
    </row>
    <row r="13000" spans="2:9" ht="15" customHeight="1" x14ac:dyDescent="0.25">
      <c r="B13000" s="55" t="s">
        <v>281</v>
      </c>
      <c r="C13000" s="46">
        <v>2988</v>
      </c>
      <c r="D13000" s="69" t="s">
        <v>29418</v>
      </c>
      <c r="E13000" s="51"/>
      <c r="F13000" s="114" t="str">
        <f>IF(INDEX(I.Facility.P2bIDNumber,2988)="","",INDEX(I.Facility.P2bIDNumber,2988))</f>
        <v/>
      </c>
      <c r="G13000" s="51"/>
      <c r="H13000" s="46" t="str">
        <f>IF(AND(I.Developer.P2b=TRUE,I.Facility.P2bFacilityCount&gt;=2988,F13000=""),"Incomplete","Complete")</f>
        <v>Complete</v>
      </c>
      <c r="I13000" s="48" t="s">
        <v>17365</v>
      </c>
    </row>
    <row r="13001" spans="2:9" ht="15" customHeight="1" x14ac:dyDescent="0.25">
      <c r="B13001" s="55" t="s">
        <v>281</v>
      </c>
      <c r="C13001" s="46">
        <v>2989</v>
      </c>
      <c r="D13001" s="69" t="s">
        <v>29418</v>
      </c>
      <c r="E13001" s="51"/>
      <c r="F13001" s="114" t="str">
        <f>IF(INDEX(I.Facility.P2bIDNumber,2989)="","",INDEX(I.Facility.P2bIDNumber,2989))</f>
        <v/>
      </c>
      <c r="G13001" s="51"/>
      <c r="H13001" s="46" t="str">
        <f>IF(AND(I.Developer.P2b=TRUE,I.Facility.P2bFacilityCount&gt;=2989,F13001=""),"Incomplete","Complete")</f>
        <v>Complete</v>
      </c>
      <c r="I13001" s="48" t="s">
        <v>17366</v>
      </c>
    </row>
    <row r="13002" spans="2:9" ht="15" customHeight="1" x14ac:dyDescent="0.25">
      <c r="B13002" s="55" t="s">
        <v>281</v>
      </c>
      <c r="C13002" s="46">
        <v>2990</v>
      </c>
      <c r="D13002" s="69" t="s">
        <v>29418</v>
      </c>
      <c r="E13002" s="51"/>
      <c r="F13002" s="114" t="str">
        <f>IF(INDEX(I.Facility.P2bIDNumber,2990)="","",INDEX(I.Facility.P2bIDNumber,2990))</f>
        <v/>
      </c>
      <c r="G13002" s="51"/>
      <c r="H13002" s="46" t="str">
        <f>IF(AND(I.Developer.P2b=TRUE,I.Facility.P2bFacilityCount&gt;=2990,F13002=""),"Incomplete","Complete")</f>
        <v>Complete</v>
      </c>
      <c r="I13002" s="48" t="s">
        <v>17367</v>
      </c>
    </row>
    <row r="13003" spans="2:9" ht="15" customHeight="1" x14ac:dyDescent="0.25">
      <c r="B13003" s="55" t="s">
        <v>281</v>
      </c>
      <c r="C13003" s="46">
        <v>2991</v>
      </c>
      <c r="D13003" s="69" t="s">
        <v>29418</v>
      </c>
      <c r="E13003" s="51"/>
      <c r="F13003" s="114" t="str">
        <f>IF(INDEX(I.Facility.P2bIDNumber,2991)="","",INDEX(I.Facility.P2bIDNumber,2991))</f>
        <v/>
      </c>
      <c r="G13003" s="51"/>
      <c r="H13003" s="46" t="str">
        <f>IF(AND(I.Developer.P2b=TRUE,I.Facility.P2bFacilityCount&gt;=2991,F13003=""),"Incomplete","Complete")</f>
        <v>Complete</v>
      </c>
      <c r="I13003" s="48" t="s">
        <v>17368</v>
      </c>
    </row>
    <row r="13004" spans="2:9" ht="15" customHeight="1" x14ac:dyDescent="0.25">
      <c r="B13004" s="55" t="s">
        <v>281</v>
      </c>
      <c r="C13004" s="46">
        <v>2992</v>
      </c>
      <c r="D13004" s="69" t="s">
        <v>29418</v>
      </c>
      <c r="E13004" s="51"/>
      <c r="F13004" s="114" t="str">
        <f>IF(INDEX(I.Facility.P2bIDNumber,2992)="","",INDEX(I.Facility.P2bIDNumber,2992))</f>
        <v/>
      </c>
      <c r="G13004" s="51"/>
      <c r="H13004" s="46" t="str">
        <f>IF(AND(I.Developer.P2b=TRUE,I.Facility.P2bFacilityCount&gt;=2992,F13004=""),"Incomplete","Complete")</f>
        <v>Complete</v>
      </c>
      <c r="I13004" s="48" t="s">
        <v>17369</v>
      </c>
    </row>
    <row r="13005" spans="2:9" ht="15" customHeight="1" x14ac:dyDescent="0.25">
      <c r="B13005" s="55" t="s">
        <v>281</v>
      </c>
      <c r="C13005" s="46">
        <v>2993</v>
      </c>
      <c r="D13005" s="69" t="s">
        <v>29418</v>
      </c>
      <c r="E13005" s="51"/>
      <c r="F13005" s="114" t="str">
        <f>IF(INDEX(I.Facility.P2bIDNumber,2993)="","",INDEX(I.Facility.P2bIDNumber,2993))</f>
        <v/>
      </c>
      <c r="G13005" s="51"/>
      <c r="H13005" s="46" t="str">
        <f>IF(AND(I.Developer.P2b=TRUE,I.Facility.P2bFacilityCount&gt;=2993,F13005=""),"Incomplete","Complete")</f>
        <v>Complete</v>
      </c>
      <c r="I13005" s="48" t="s">
        <v>17370</v>
      </c>
    </row>
    <row r="13006" spans="2:9" ht="15" customHeight="1" x14ac:dyDescent="0.25">
      <c r="B13006" s="55" t="s">
        <v>281</v>
      </c>
      <c r="C13006" s="46">
        <v>2994</v>
      </c>
      <c r="D13006" s="69" t="s">
        <v>29418</v>
      </c>
      <c r="E13006" s="51"/>
      <c r="F13006" s="114" t="str">
        <f>IF(INDEX(I.Facility.P2bIDNumber,2994)="","",INDEX(I.Facility.P2bIDNumber,2994))</f>
        <v/>
      </c>
      <c r="G13006" s="51"/>
      <c r="H13006" s="46" t="str">
        <f>IF(AND(I.Developer.P2b=TRUE,I.Facility.P2bFacilityCount&gt;=2994,F13006=""),"Incomplete","Complete")</f>
        <v>Complete</v>
      </c>
      <c r="I13006" s="48" t="s">
        <v>17371</v>
      </c>
    </row>
    <row r="13007" spans="2:9" ht="15" customHeight="1" x14ac:dyDescent="0.25">
      <c r="B13007" s="55" t="s">
        <v>281</v>
      </c>
      <c r="C13007" s="46">
        <v>2995</v>
      </c>
      <c r="D13007" s="69" t="s">
        <v>29418</v>
      </c>
      <c r="E13007" s="51"/>
      <c r="F13007" s="114" t="str">
        <f>IF(INDEX(I.Facility.P2bIDNumber,2995)="","",INDEX(I.Facility.P2bIDNumber,2995))</f>
        <v/>
      </c>
      <c r="G13007" s="51"/>
      <c r="H13007" s="46" t="str">
        <f>IF(AND(I.Developer.P2b=TRUE,I.Facility.P2bFacilityCount&gt;=2995,F13007=""),"Incomplete","Complete")</f>
        <v>Complete</v>
      </c>
      <c r="I13007" s="48" t="s">
        <v>17372</v>
      </c>
    </row>
    <row r="13008" spans="2:9" ht="15" customHeight="1" x14ac:dyDescent="0.25">
      <c r="B13008" s="55" t="s">
        <v>281</v>
      </c>
      <c r="C13008" s="46">
        <v>2996</v>
      </c>
      <c r="D13008" s="69" t="s">
        <v>29418</v>
      </c>
      <c r="E13008" s="51"/>
      <c r="F13008" s="114" t="str">
        <f>IF(INDEX(I.Facility.P2bIDNumber,2996)="","",INDEX(I.Facility.P2bIDNumber,2996))</f>
        <v/>
      </c>
      <c r="G13008" s="51"/>
      <c r="H13008" s="46" t="str">
        <f>IF(AND(I.Developer.P2b=TRUE,I.Facility.P2bFacilityCount&gt;=2996,F13008=""),"Incomplete","Complete")</f>
        <v>Complete</v>
      </c>
      <c r="I13008" s="48" t="s">
        <v>17373</v>
      </c>
    </row>
    <row r="13009" spans="2:9" ht="15" customHeight="1" x14ac:dyDescent="0.25">
      <c r="B13009" s="55" t="s">
        <v>281</v>
      </c>
      <c r="C13009" s="46">
        <v>2997</v>
      </c>
      <c r="D13009" s="69" t="s">
        <v>29418</v>
      </c>
      <c r="E13009" s="51"/>
      <c r="F13009" s="114" t="str">
        <f>IF(INDEX(I.Facility.P2bIDNumber,2997)="","",INDEX(I.Facility.P2bIDNumber,2997))</f>
        <v/>
      </c>
      <c r="G13009" s="51"/>
      <c r="H13009" s="46" t="str">
        <f>IF(AND(I.Developer.P2b=TRUE,I.Facility.P2bFacilityCount&gt;=2997,F13009=""),"Incomplete","Complete")</f>
        <v>Complete</v>
      </c>
      <c r="I13009" s="48" t="s">
        <v>17374</v>
      </c>
    </row>
    <row r="13010" spans="2:9" ht="15" customHeight="1" x14ac:dyDescent="0.25">
      <c r="B13010" s="55" t="s">
        <v>281</v>
      </c>
      <c r="C13010" s="46">
        <v>2998</v>
      </c>
      <c r="D13010" s="69" t="s">
        <v>29418</v>
      </c>
      <c r="E13010" s="51"/>
      <c r="F13010" s="114" t="str">
        <f>IF(INDEX(I.Facility.P2bIDNumber,2998)="","",INDEX(I.Facility.P2bIDNumber,2998))</f>
        <v/>
      </c>
      <c r="G13010" s="51"/>
      <c r="H13010" s="46" t="str">
        <f>IF(AND(I.Developer.P2b=TRUE,I.Facility.P2bFacilityCount&gt;=2998,F13010=""),"Incomplete","Complete")</f>
        <v>Complete</v>
      </c>
      <c r="I13010" s="48" t="s">
        <v>17375</v>
      </c>
    </row>
    <row r="13011" spans="2:9" ht="15" customHeight="1" x14ac:dyDescent="0.25">
      <c r="B13011" s="55" t="s">
        <v>281</v>
      </c>
      <c r="C13011" s="46">
        <v>2999</v>
      </c>
      <c r="D13011" s="69" t="s">
        <v>29418</v>
      </c>
      <c r="E13011" s="51"/>
      <c r="F13011" s="114" t="str">
        <f>IF(INDEX(I.Facility.P2bIDNumber,2999)="","",INDEX(I.Facility.P2bIDNumber,2999))</f>
        <v/>
      </c>
      <c r="G13011" s="51"/>
      <c r="H13011" s="46" t="str">
        <f>IF(AND(I.Developer.P2b=TRUE,I.Facility.P2bFacilityCount&gt;=2999,F13011=""),"Incomplete","Complete")</f>
        <v>Complete</v>
      </c>
      <c r="I13011" s="48" t="s">
        <v>17376</v>
      </c>
    </row>
    <row r="13012" spans="2:9" ht="15" customHeight="1" x14ac:dyDescent="0.25">
      <c r="B13012" s="55" t="s">
        <v>281</v>
      </c>
      <c r="C13012" s="46">
        <v>3000</v>
      </c>
      <c r="D13012" s="69" t="s">
        <v>29418</v>
      </c>
      <c r="E13012" s="51"/>
      <c r="F13012" s="114" t="str">
        <f>IF(INDEX(I.Facility.P2bIDNumber,3000)="","",INDEX(I.Facility.P2bIDNumber,3000))</f>
        <v/>
      </c>
      <c r="G13012" s="51"/>
      <c r="H13012" s="46" t="str">
        <f>IF(AND(I.Developer.P2b=TRUE,I.Facility.P2bFacilityCount&gt;=3000,F13012=""),"Incomplete","Complete")</f>
        <v>Complete</v>
      </c>
      <c r="I13012" s="48" t="s">
        <v>17377</v>
      </c>
    </row>
    <row r="13013" spans="2:9" ht="15" customHeight="1" x14ac:dyDescent="0.25">
      <c r="B13013" s="55" t="s">
        <v>281</v>
      </c>
      <c r="C13013" s="46">
        <v>3001</v>
      </c>
      <c r="D13013" s="69" t="s">
        <v>29418</v>
      </c>
      <c r="E13013" s="51"/>
      <c r="F13013" s="114" t="str">
        <f>IF(INDEX(I.Facility.P2bIDNumber,3001)="","",INDEX(I.Facility.P2bIDNumber,3001))</f>
        <v/>
      </c>
      <c r="G13013" s="51"/>
      <c r="H13013" s="46" t="str">
        <f>IF(AND(I.Developer.P2b=TRUE,I.Facility.P2bFacilityCount&gt;=3001,F13013=""),"Incomplete","Complete")</f>
        <v>Complete</v>
      </c>
      <c r="I13013" s="48" t="s">
        <v>17378</v>
      </c>
    </row>
    <row r="13014" spans="2:9" ht="15" customHeight="1" x14ac:dyDescent="0.25">
      <c r="B13014" s="55" t="s">
        <v>281</v>
      </c>
      <c r="C13014" s="46">
        <v>3002</v>
      </c>
      <c r="D13014" s="69" t="s">
        <v>29418</v>
      </c>
      <c r="E13014" s="51"/>
      <c r="F13014" s="114" t="str">
        <f>IF(INDEX(I.Facility.P2bIDNumber,3002)="","",INDEX(I.Facility.P2bIDNumber,3002))</f>
        <v/>
      </c>
      <c r="G13014" s="51"/>
      <c r="H13014" s="46" t="str">
        <f>IF(AND(I.Developer.P2b=TRUE,I.Facility.P2bFacilityCount&gt;=3002,F13014=""),"Incomplete","Complete")</f>
        <v>Complete</v>
      </c>
      <c r="I13014" s="48" t="s">
        <v>17379</v>
      </c>
    </row>
    <row r="13015" spans="2:9" ht="15" customHeight="1" x14ac:dyDescent="0.25">
      <c r="B13015" s="55" t="s">
        <v>281</v>
      </c>
      <c r="C13015" s="46">
        <v>3003</v>
      </c>
      <c r="D13015" s="69" t="s">
        <v>29418</v>
      </c>
      <c r="E13015" s="51"/>
      <c r="F13015" s="114" t="str">
        <f>IF(INDEX(I.Facility.P2bIDNumber,3003)="","",INDEX(I.Facility.P2bIDNumber,3003))</f>
        <v/>
      </c>
      <c r="G13015" s="51"/>
      <c r="H13015" s="46" t="str">
        <f>IF(AND(I.Developer.P2b=TRUE,I.Facility.P2bFacilityCount&gt;=3003,F13015=""),"Incomplete","Complete")</f>
        <v>Complete</v>
      </c>
      <c r="I13015" s="48" t="s">
        <v>17380</v>
      </c>
    </row>
    <row r="13016" spans="2:9" ht="15" customHeight="1" x14ac:dyDescent="0.25">
      <c r="B13016" s="55" t="s">
        <v>281</v>
      </c>
      <c r="C13016" s="46">
        <v>3004</v>
      </c>
      <c r="D13016" s="69" t="s">
        <v>29418</v>
      </c>
      <c r="E13016" s="51"/>
      <c r="F13016" s="114" t="str">
        <f>IF(INDEX(I.Facility.P2bIDNumber,3004)="","",INDEX(I.Facility.P2bIDNumber,3004))</f>
        <v/>
      </c>
      <c r="G13016" s="51"/>
      <c r="H13016" s="46" t="str">
        <f>IF(AND(I.Developer.P2b=TRUE,I.Facility.P2bFacilityCount&gt;=3004,F13016=""),"Incomplete","Complete")</f>
        <v>Complete</v>
      </c>
      <c r="I13016" s="48" t="s">
        <v>17381</v>
      </c>
    </row>
    <row r="13017" spans="2:9" ht="15" customHeight="1" x14ac:dyDescent="0.25">
      <c r="B13017" s="55" t="s">
        <v>281</v>
      </c>
      <c r="C13017" s="46">
        <v>3005</v>
      </c>
      <c r="D13017" s="69" t="s">
        <v>29418</v>
      </c>
      <c r="E13017" s="51"/>
      <c r="F13017" s="114" t="str">
        <f>IF(INDEX(I.Facility.P2bIDNumber,3005)="","",INDEX(I.Facility.P2bIDNumber,3005))</f>
        <v/>
      </c>
      <c r="G13017" s="51"/>
      <c r="H13017" s="46" t="str">
        <f>IF(AND(I.Developer.P2b=TRUE,I.Facility.P2bFacilityCount&gt;=3005,F13017=""),"Incomplete","Complete")</f>
        <v>Complete</v>
      </c>
      <c r="I13017" s="48" t="s">
        <v>17382</v>
      </c>
    </row>
    <row r="13018" spans="2:9" ht="15" customHeight="1" x14ac:dyDescent="0.25">
      <c r="B13018" s="55" t="s">
        <v>281</v>
      </c>
      <c r="C13018" s="46">
        <v>3006</v>
      </c>
      <c r="D13018" s="69" t="s">
        <v>29418</v>
      </c>
      <c r="E13018" s="51"/>
      <c r="F13018" s="114" t="str">
        <f>IF(INDEX(I.Facility.P2bIDNumber,3006)="","",INDEX(I.Facility.P2bIDNumber,3006))</f>
        <v/>
      </c>
      <c r="G13018" s="51"/>
      <c r="H13018" s="46" t="str">
        <f>IF(AND(I.Developer.P2b=TRUE,I.Facility.P2bFacilityCount&gt;=3006,F13018=""),"Incomplete","Complete")</f>
        <v>Complete</v>
      </c>
      <c r="I13018" s="48" t="s">
        <v>17383</v>
      </c>
    </row>
    <row r="13019" spans="2:9" ht="15" customHeight="1" x14ac:dyDescent="0.25">
      <c r="B13019" s="55" t="s">
        <v>281</v>
      </c>
      <c r="C13019" s="46">
        <v>3007</v>
      </c>
      <c r="D13019" s="69" t="s">
        <v>29418</v>
      </c>
      <c r="E13019" s="51"/>
      <c r="F13019" s="114" t="str">
        <f>IF(INDEX(I.Facility.P2bIDNumber,3007)="","",INDEX(I.Facility.P2bIDNumber,3007))</f>
        <v/>
      </c>
      <c r="G13019" s="51"/>
      <c r="H13019" s="46" t="str">
        <f>IF(AND(I.Developer.P2b=TRUE,I.Facility.P2bFacilityCount&gt;=3007,F13019=""),"Incomplete","Complete")</f>
        <v>Complete</v>
      </c>
      <c r="I13019" s="48" t="s">
        <v>17384</v>
      </c>
    </row>
    <row r="13020" spans="2:9" ht="15" customHeight="1" x14ac:dyDescent="0.25">
      <c r="B13020" s="55" t="s">
        <v>281</v>
      </c>
      <c r="C13020" s="46">
        <v>3008</v>
      </c>
      <c r="D13020" s="69" t="s">
        <v>29418</v>
      </c>
      <c r="E13020" s="51"/>
      <c r="F13020" s="114" t="str">
        <f>IF(INDEX(I.Facility.P2bIDNumber,3008)="","",INDEX(I.Facility.P2bIDNumber,3008))</f>
        <v/>
      </c>
      <c r="G13020" s="51"/>
      <c r="H13020" s="46" t="str">
        <f>IF(AND(I.Developer.P2b=TRUE,I.Facility.P2bFacilityCount&gt;=3008,F13020=""),"Incomplete","Complete")</f>
        <v>Complete</v>
      </c>
      <c r="I13020" s="48" t="s">
        <v>17385</v>
      </c>
    </row>
    <row r="13021" spans="2:9" ht="15" customHeight="1" x14ac:dyDescent="0.25">
      <c r="B13021" s="55" t="s">
        <v>281</v>
      </c>
      <c r="C13021" s="46">
        <v>3009</v>
      </c>
      <c r="D13021" s="69" t="s">
        <v>29418</v>
      </c>
      <c r="E13021" s="51"/>
      <c r="F13021" s="114" t="str">
        <f>IF(INDEX(I.Facility.P2bIDNumber,3009)="","",INDEX(I.Facility.P2bIDNumber,3009))</f>
        <v/>
      </c>
      <c r="G13021" s="51"/>
      <c r="H13021" s="46" t="str">
        <f>IF(AND(I.Developer.P2b=TRUE,I.Facility.P2bFacilityCount&gt;=3009,F13021=""),"Incomplete","Complete")</f>
        <v>Complete</v>
      </c>
      <c r="I13021" s="48" t="s">
        <v>17386</v>
      </c>
    </row>
    <row r="13022" spans="2:9" ht="15" customHeight="1" x14ac:dyDescent="0.25">
      <c r="B13022" s="55" t="s">
        <v>281</v>
      </c>
      <c r="C13022" s="46">
        <v>3010</v>
      </c>
      <c r="D13022" s="69" t="s">
        <v>29418</v>
      </c>
      <c r="E13022" s="51"/>
      <c r="F13022" s="114" t="str">
        <f>IF(INDEX(I.Facility.P2bIDNumber,3010)="","",INDEX(I.Facility.P2bIDNumber,3010))</f>
        <v/>
      </c>
      <c r="G13022" s="51"/>
      <c r="H13022" s="46" t="str">
        <f>IF(AND(I.Developer.P2b=TRUE,I.Facility.P2bFacilityCount&gt;=3010,F13022=""),"Incomplete","Complete")</f>
        <v>Complete</v>
      </c>
      <c r="I13022" s="48" t="s">
        <v>17387</v>
      </c>
    </row>
    <row r="13023" spans="2:9" ht="15" customHeight="1" x14ac:dyDescent="0.25">
      <c r="B13023" s="55" t="s">
        <v>281</v>
      </c>
      <c r="C13023" s="46">
        <v>3011</v>
      </c>
      <c r="D13023" s="69" t="s">
        <v>29418</v>
      </c>
      <c r="E13023" s="51"/>
      <c r="F13023" s="114" t="str">
        <f>IF(INDEX(I.Facility.P2bIDNumber,3011)="","",INDEX(I.Facility.P2bIDNumber,3011))</f>
        <v/>
      </c>
      <c r="G13023" s="51"/>
      <c r="H13023" s="46" t="str">
        <f>IF(AND(I.Developer.P2b=TRUE,I.Facility.P2bFacilityCount&gt;=3011,F13023=""),"Incomplete","Complete")</f>
        <v>Complete</v>
      </c>
      <c r="I13023" s="48" t="s">
        <v>17388</v>
      </c>
    </row>
    <row r="13024" spans="2:9" ht="15" customHeight="1" x14ac:dyDescent="0.25">
      <c r="B13024" s="55" t="s">
        <v>281</v>
      </c>
      <c r="C13024" s="46">
        <v>3012</v>
      </c>
      <c r="D13024" s="69" t="s">
        <v>29418</v>
      </c>
      <c r="E13024" s="51"/>
      <c r="F13024" s="114" t="str">
        <f>IF(INDEX(I.Facility.P2bIDNumber,3012)="","",INDEX(I.Facility.P2bIDNumber,3012))</f>
        <v/>
      </c>
      <c r="G13024" s="51"/>
      <c r="H13024" s="46" t="str">
        <f>IF(AND(I.Developer.P2b=TRUE,I.Facility.P2bFacilityCount&gt;=3012,F13024=""),"Incomplete","Complete")</f>
        <v>Complete</v>
      </c>
      <c r="I13024" s="48" t="s">
        <v>17389</v>
      </c>
    </row>
    <row r="13025" spans="2:9" ht="15" customHeight="1" x14ac:dyDescent="0.25">
      <c r="B13025" s="55" t="s">
        <v>281</v>
      </c>
      <c r="C13025" s="46">
        <v>3013</v>
      </c>
      <c r="D13025" s="69" t="s">
        <v>29418</v>
      </c>
      <c r="E13025" s="51"/>
      <c r="F13025" s="114" t="str">
        <f>IF(INDEX(I.Facility.P2bIDNumber,3013)="","",INDEX(I.Facility.P2bIDNumber,3013))</f>
        <v/>
      </c>
      <c r="G13025" s="51"/>
      <c r="H13025" s="46" t="str">
        <f>IF(AND(I.Developer.P2b=TRUE,I.Facility.P2bFacilityCount&gt;=3013,F13025=""),"Incomplete","Complete")</f>
        <v>Complete</v>
      </c>
      <c r="I13025" s="48" t="s">
        <v>17390</v>
      </c>
    </row>
    <row r="13026" spans="2:9" ht="15" customHeight="1" x14ac:dyDescent="0.25">
      <c r="B13026" s="55" t="s">
        <v>281</v>
      </c>
      <c r="C13026" s="46">
        <v>3014</v>
      </c>
      <c r="D13026" s="69" t="s">
        <v>29418</v>
      </c>
      <c r="E13026" s="51"/>
      <c r="F13026" s="114" t="str">
        <f>IF(INDEX(I.Facility.P2bIDNumber,3014)="","",INDEX(I.Facility.P2bIDNumber,3014))</f>
        <v/>
      </c>
      <c r="G13026" s="51"/>
      <c r="H13026" s="46" t="str">
        <f>IF(AND(I.Developer.P2b=TRUE,I.Facility.P2bFacilityCount&gt;=3014,F13026=""),"Incomplete","Complete")</f>
        <v>Complete</v>
      </c>
      <c r="I13026" s="48" t="s">
        <v>17391</v>
      </c>
    </row>
    <row r="13027" spans="2:9" ht="15" customHeight="1" x14ac:dyDescent="0.25">
      <c r="B13027" s="55" t="s">
        <v>281</v>
      </c>
      <c r="C13027" s="46">
        <v>3015</v>
      </c>
      <c r="D13027" s="69" t="s">
        <v>29418</v>
      </c>
      <c r="E13027" s="51"/>
      <c r="F13027" s="114" t="str">
        <f>IF(INDEX(I.Facility.P2bIDNumber,3015)="","",INDEX(I.Facility.P2bIDNumber,3015))</f>
        <v/>
      </c>
      <c r="G13027" s="51"/>
      <c r="H13027" s="46" t="str">
        <f>IF(AND(I.Developer.P2b=TRUE,I.Facility.P2bFacilityCount&gt;=3015,F13027=""),"Incomplete","Complete")</f>
        <v>Complete</v>
      </c>
      <c r="I13027" s="48" t="s">
        <v>17392</v>
      </c>
    </row>
    <row r="13028" spans="2:9" ht="15" customHeight="1" x14ac:dyDescent="0.25">
      <c r="B13028" s="55" t="s">
        <v>281</v>
      </c>
      <c r="C13028" s="46">
        <v>3016</v>
      </c>
      <c r="D13028" s="69" t="s">
        <v>29418</v>
      </c>
      <c r="E13028" s="51"/>
      <c r="F13028" s="114" t="str">
        <f>IF(INDEX(I.Facility.P2bIDNumber,3016)="","",INDEX(I.Facility.P2bIDNumber,3016))</f>
        <v/>
      </c>
      <c r="G13028" s="51"/>
      <c r="H13028" s="46" t="str">
        <f>IF(AND(I.Developer.P2b=TRUE,I.Facility.P2bFacilityCount&gt;=3016,F13028=""),"Incomplete","Complete")</f>
        <v>Complete</v>
      </c>
      <c r="I13028" s="48" t="s">
        <v>17393</v>
      </c>
    </row>
    <row r="13029" spans="2:9" ht="15" customHeight="1" x14ac:dyDescent="0.25">
      <c r="B13029" s="55" t="s">
        <v>281</v>
      </c>
      <c r="C13029" s="46">
        <v>3017</v>
      </c>
      <c r="D13029" s="69" t="s">
        <v>29418</v>
      </c>
      <c r="E13029" s="51"/>
      <c r="F13029" s="114" t="str">
        <f>IF(INDEX(I.Facility.P2bIDNumber,3017)="","",INDEX(I.Facility.P2bIDNumber,3017))</f>
        <v/>
      </c>
      <c r="G13029" s="51"/>
      <c r="H13029" s="46" t="str">
        <f>IF(AND(I.Developer.P2b=TRUE,I.Facility.P2bFacilityCount&gt;=3017,F13029=""),"Incomplete","Complete")</f>
        <v>Complete</v>
      </c>
      <c r="I13029" s="48" t="s">
        <v>17394</v>
      </c>
    </row>
    <row r="13030" spans="2:9" ht="15" customHeight="1" x14ac:dyDescent="0.25">
      <c r="B13030" s="55" t="s">
        <v>281</v>
      </c>
      <c r="C13030" s="46">
        <v>3018</v>
      </c>
      <c r="D13030" s="69" t="s">
        <v>29418</v>
      </c>
      <c r="E13030" s="51"/>
      <c r="F13030" s="114" t="str">
        <f>IF(INDEX(I.Facility.P2bIDNumber,3018)="","",INDEX(I.Facility.P2bIDNumber,3018))</f>
        <v/>
      </c>
      <c r="G13030" s="51"/>
      <c r="H13030" s="46" t="str">
        <f>IF(AND(I.Developer.P2b=TRUE,I.Facility.P2bFacilityCount&gt;=3018,F13030=""),"Incomplete","Complete")</f>
        <v>Complete</v>
      </c>
      <c r="I13030" s="48" t="s">
        <v>17395</v>
      </c>
    </row>
    <row r="13031" spans="2:9" ht="15" customHeight="1" x14ac:dyDescent="0.25">
      <c r="B13031" s="55" t="s">
        <v>281</v>
      </c>
      <c r="C13031" s="46">
        <v>3019</v>
      </c>
      <c r="D13031" s="69" t="s">
        <v>29418</v>
      </c>
      <c r="E13031" s="51"/>
      <c r="F13031" s="114" t="str">
        <f>IF(INDEX(I.Facility.P2bIDNumber,3019)="","",INDEX(I.Facility.P2bIDNumber,3019))</f>
        <v/>
      </c>
      <c r="G13031" s="51"/>
      <c r="H13031" s="46" t="str">
        <f>IF(AND(I.Developer.P2b=TRUE,I.Facility.P2bFacilityCount&gt;=3019,F13031=""),"Incomplete","Complete")</f>
        <v>Complete</v>
      </c>
      <c r="I13031" s="48" t="s">
        <v>17396</v>
      </c>
    </row>
    <row r="13032" spans="2:9" ht="15" customHeight="1" x14ac:dyDescent="0.25">
      <c r="B13032" s="55" t="s">
        <v>281</v>
      </c>
      <c r="C13032" s="46">
        <v>3020</v>
      </c>
      <c r="D13032" s="69" t="s">
        <v>29418</v>
      </c>
      <c r="E13032" s="51"/>
      <c r="F13032" s="114" t="str">
        <f>IF(INDEX(I.Facility.P2bIDNumber,3020)="","",INDEX(I.Facility.P2bIDNumber,3020))</f>
        <v/>
      </c>
      <c r="G13032" s="51"/>
      <c r="H13032" s="46" t="str">
        <f>IF(AND(I.Developer.P2b=TRUE,I.Facility.P2bFacilityCount&gt;=3020,F13032=""),"Incomplete","Complete")</f>
        <v>Complete</v>
      </c>
      <c r="I13032" s="48" t="s">
        <v>17397</v>
      </c>
    </row>
    <row r="13033" spans="2:9" ht="15" customHeight="1" x14ac:dyDescent="0.25">
      <c r="B13033" s="55" t="s">
        <v>281</v>
      </c>
      <c r="C13033" s="46">
        <v>3021</v>
      </c>
      <c r="D13033" s="69" t="s">
        <v>29418</v>
      </c>
      <c r="E13033" s="51"/>
      <c r="F13033" s="114" t="str">
        <f>IF(INDEX(I.Facility.P2bIDNumber,3021)="","",INDEX(I.Facility.P2bIDNumber,3021))</f>
        <v/>
      </c>
      <c r="G13033" s="51"/>
      <c r="H13033" s="46" t="str">
        <f>IF(AND(I.Developer.P2b=TRUE,I.Facility.P2bFacilityCount&gt;=3021,F13033=""),"Incomplete","Complete")</f>
        <v>Complete</v>
      </c>
      <c r="I13033" s="48" t="s">
        <v>17398</v>
      </c>
    </row>
    <row r="13034" spans="2:9" ht="15" customHeight="1" x14ac:dyDescent="0.25">
      <c r="B13034" s="55" t="s">
        <v>281</v>
      </c>
      <c r="C13034" s="46">
        <v>3022</v>
      </c>
      <c r="D13034" s="69" t="s">
        <v>29418</v>
      </c>
      <c r="E13034" s="51"/>
      <c r="F13034" s="114" t="str">
        <f>IF(INDEX(I.Facility.P2bIDNumber,3022)="","",INDEX(I.Facility.P2bIDNumber,3022))</f>
        <v/>
      </c>
      <c r="G13034" s="51"/>
      <c r="H13034" s="46" t="str">
        <f>IF(AND(I.Developer.P2b=TRUE,I.Facility.P2bFacilityCount&gt;=3022,F13034=""),"Incomplete","Complete")</f>
        <v>Complete</v>
      </c>
      <c r="I13034" s="48" t="s">
        <v>17399</v>
      </c>
    </row>
    <row r="13035" spans="2:9" ht="15" customHeight="1" x14ac:dyDescent="0.25">
      <c r="B13035" s="55" t="s">
        <v>281</v>
      </c>
      <c r="C13035" s="46">
        <v>3023</v>
      </c>
      <c r="D13035" s="69" t="s">
        <v>29418</v>
      </c>
      <c r="E13035" s="51"/>
      <c r="F13035" s="114" t="str">
        <f>IF(INDEX(I.Facility.P2bIDNumber,3023)="","",INDEX(I.Facility.P2bIDNumber,3023))</f>
        <v/>
      </c>
      <c r="G13035" s="51"/>
      <c r="H13035" s="46" t="str">
        <f>IF(AND(I.Developer.P2b=TRUE,I.Facility.P2bFacilityCount&gt;=3023,F13035=""),"Incomplete","Complete")</f>
        <v>Complete</v>
      </c>
      <c r="I13035" s="48" t="s">
        <v>17400</v>
      </c>
    </row>
    <row r="13036" spans="2:9" ht="15" customHeight="1" x14ac:dyDescent="0.25">
      <c r="B13036" s="55" t="s">
        <v>281</v>
      </c>
      <c r="C13036" s="46">
        <v>3024</v>
      </c>
      <c r="D13036" s="69" t="s">
        <v>29418</v>
      </c>
      <c r="E13036" s="51"/>
      <c r="F13036" s="114" t="str">
        <f>IF(INDEX(I.Facility.P2bIDNumber,3024)="","",INDEX(I.Facility.P2bIDNumber,3024))</f>
        <v/>
      </c>
      <c r="G13036" s="51"/>
      <c r="H13036" s="46" t="str">
        <f>IF(AND(I.Developer.P2b=TRUE,I.Facility.P2bFacilityCount&gt;=3024,F13036=""),"Incomplete","Complete")</f>
        <v>Complete</v>
      </c>
      <c r="I13036" s="48" t="s">
        <v>17401</v>
      </c>
    </row>
    <row r="13037" spans="2:9" ht="15" customHeight="1" x14ac:dyDescent="0.25">
      <c r="B13037" s="55" t="s">
        <v>281</v>
      </c>
      <c r="C13037" s="46">
        <v>3025</v>
      </c>
      <c r="D13037" s="69" t="s">
        <v>29418</v>
      </c>
      <c r="E13037" s="51"/>
      <c r="F13037" s="114" t="str">
        <f>IF(INDEX(I.Facility.P2bIDNumber,3025)="","",INDEX(I.Facility.P2bIDNumber,3025))</f>
        <v/>
      </c>
      <c r="G13037" s="51"/>
      <c r="H13037" s="46" t="str">
        <f>IF(AND(I.Developer.P2b=TRUE,I.Facility.P2bFacilityCount&gt;=3025,F13037=""),"Incomplete","Complete")</f>
        <v>Complete</v>
      </c>
      <c r="I13037" s="48" t="s">
        <v>17402</v>
      </c>
    </row>
    <row r="13038" spans="2:9" ht="15" customHeight="1" x14ac:dyDescent="0.25">
      <c r="B13038" s="55" t="s">
        <v>281</v>
      </c>
      <c r="C13038" s="46">
        <v>3026</v>
      </c>
      <c r="D13038" s="69" t="s">
        <v>29418</v>
      </c>
      <c r="E13038" s="51"/>
      <c r="F13038" s="114" t="str">
        <f>IF(INDEX(I.Facility.P2bIDNumber,3026)="","",INDEX(I.Facility.P2bIDNumber,3026))</f>
        <v/>
      </c>
      <c r="G13038" s="51"/>
      <c r="H13038" s="46" t="str">
        <f>IF(AND(I.Developer.P2b=TRUE,I.Facility.P2bFacilityCount&gt;=3026,F13038=""),"Incomplete","Complete")</f>
        <v>Complete</v>
      </c>
      <c r="I13038" s="48" t="s">
        <v>17403</v>
      </c>
    </row>
    <row r="13039" spans="2:9" ht="15" customHeight="1" x14ac:dyDescent="0.25">
      <c r="B13039" s="55" t="s">
        <v>281</v>
      </c>
      <c r="C13039" s="46">
        <v>3027</v>
      </c>
      <c r="D13039" s="69" t="s">
        <v>29418</v>
      </c>
      <c r="E13039" s="51"/>
      <c r="F13039" s="114" t="str">
        <f>IF(INDEX(I.Facility.P2bIDNumber,3027)="","",INDEX(I.Facility.P2bIDNumber,3027))</f>
        <v/>
      </c>
      <c r="G13039" s="51"/>
      <c r="H13039" s="46" t="str">
        <f>IF(AND(I.Developer.P2b=TRUE,I.Facility.P2bFacilityCount&gt;=3027,F13039=""),"Incomplete","Complete")</f>
        <v>Complete</v>
      </c>
      <c r="I13039" s="48" t="s">
        <v>17404</v>
      </c>
    </row>
    <row r="13040" spans="2:9" ht="15" customHeight="1" x14ac:dyDescent="0.25">
      <c r="B13040" s="55" t="s">
        <v>281</v>
      </c>
      <c r="C13040" s="46">
        <v>3028</v>
      </c>
      <c r="D13040" s="69" t="s">
        <v>29418</v>
      </c>
      <c r="E13040" s="51"/>
      <c r="F13040" s="114" t="str">
        <f>IF(INDEX(I.Facility.P2bIDNumber,3028)="","",INDEX(I.Facility.P2bIDNumber,3028))</f>
        <v/>
      </c>
      <c r="G13040" s="51"/>
      <c r="H13040" s="46" t="str">
        <f>IF(AND(I.Developer.P2b=TRUE,I.Facility.P2bFacilityCount&gt;=3028,F13040=""),"Incomplete","Complete")</f>
        <v>Complete</v>
      </c>
      <c r="I13040" s="48" t="s">
        <v>17405</v>
      </c>
    </row>
    <row r="13041" spans="2:9" ht="15" customHeight="1" x14ac:dyDescent="0.25">
      <c r="B13041" s="55" t="s">
        <v>281</v>
      </c>
      <c r="C13041" s="46">
        <v>3029</v>
      </c>
      <c r="D13041" s="69" t="s">
        <v>29418</v>
      </c>
      <c r="E13041" s="51"/>
      <c r="F13041" s="114" t="str">
        <f>IF(INDEX(I.Facility.P2bIDNumber,3029)="","",INDEX(I.Facility.P2bIDNumber,3029))</f>
        <v/>
      </c>
      <c r="G13041" s="51"/>
      <c r="H13041" s="46" t="str">
        <f>IF(AND(I.Developer.P2b=TRUE,I.Facility.P2bFacilityCount&gt;=3029,F13041=""),"Incomplete","Complete")</f>
        <v>Complete</v>
      </c>
      <c r="I13041" s="48" t="s">
        <v>17406</v>
      </c>
    </row>
    <row r="13042" spans="2:9" ht="15" customHeight="1" x14ac:dyDescent="0.25">
      <c r="B13042" s="55" t="s">
        <v>281</v>
      </c>
      <c r="C13042" s="46">
        <v>3030</v>
      </c>
      <c r="D13042" s="69" t="s">
        <v>29418</v>
      </c>
      <c r="E13042" s="51"/>
      <c r="F13042" s="114" t="str">
        <f>IF(INDEX(I.Facility.P2bIDNumber,3030)="","",INDEX(I.Facility.P2bIDNumber,3030))</f>
        <v/>
      </c>
      <c r="G13042" s="51"/>
      <c r="H13042" s="46" t="str">
        <f>IF(AND(I.Developer.P2b=TRUE,I.Facility.P2bFacilityCount&gt;=3030,F13042=""),"Incomplete","Complete")</f>
        <v>Complete</v>
      </c>
      <c r="I13042" s="48" t="s">
        <v>17407</v>
      </c>
    </row>
    <row r="13043" spans="2:9" ht="15" customHeight="1" x14ac:dyDescent="0.25">
      <c r="B13043" s="55" t="s">
        <v>281</v>
      </c>
      <c r="C13043" s="46">
        <v>3031</v>
      </c>
      <c r="D13043" s="69" t="s">
        <v>29418</v>
      </c>
      <c r="E13043" s="51"/>
      <c r="F13043" s="114" t="str">
        <f>IF(INDEX(I.Facility.P2bIDNumber,3031)="","",INDEX(I.Facility.P2bIDNumber,3031))</f>
        <v/>
      </c>
      <c r="G13043" s="51"/>
      <c r="H13043" s="46" t="str">
        <f>IF(AND(I.Developer.P2b=TRUE,I.Facility.P2bFacilityCount&gt;=3031,F13043=""),"Incomplete","Complete")</f>
        <v>Complete</v>
      </c>
      <c r="I13043" s="48" t="s">
        <v>17408</v>
      </c>
    </row>
    <row r="13044" spans="2:9" ht="15" customHeight="1" x14ac:dyDescent="0.25">
      <c r="B13044" s="55" t="s">
        <v>281</v>
      </c>
      <c r="C13044" s="46">
        <v>3032</v>
      </c>
      <c r="D13044" s="69" t="s">
        <v>29418</v>
      </c>
      <c r="E13044" s="51"/>
      <c r="F13044" s="114" t="str">
        <f>IF(INDEX(I.Facility.P2bIDNumber,3032)="","",INDEX(I.Facility.P2bIDNumber,3032))</f>
        <v/>
      </c>
      <c r="G13044" s="51"/>
      <c r="H13044" s="46" t="str">
        <f>IF(AND(I.Developer.P2b=TRUE,I.Facility.P2bFacilityCount&gt;=3032,F13044=""),"Incomplete","Complete")</f>
        <v>Complete</v>
      </c>
      <c r="I13044" s="48" t="s">
        <v>17409</v>
      </c>
    </row>
    <row r="13045" spans="2:9" ht="15" customHeight="1" x14ac:dyDescent="0.25">
      <c r="B13045" s="55" t="s">
        <v>281</v>
      </c>
      <c r="C13045" s="46">
        <v>3033</v>
      </c>
      <c r="D13045" s="69" t="s">
        <v>29418</v>
      </c>
      <c r="E13045" s="51"/>
      <c r="F13045" s="114" t="str">
        <f>IF(INDEX(I.Facility.P2bIDNumber,3033)="","",INDEX(I.Facility.P2bIDNumber,3033))</f>
        <v/>
      </c>
      <c r="G13045" s="51"/>
      <c r="H13045" s="46" t="str">
        <f>IF(AND(I.Developer.P2b=TRUE,I.Facility.P2bFacilityCount&gt;=3033,F13045=""),"Incomplete","Complete")</f>
        <v>Complete</v>
      </c>
      <c r="I13045" s="48" t="s">
        <v>17410</v>
      </c>
    </row>
    <row r="13046" spans="2:9" ht="15" customHeight="1" x14ac:dyDescent="0.25">
      <c r="B13046" s="55" t="s">
        <v>281</v>
      </c>
      <c r="C13046" s="46">
        <v>3034</v>
      </c>
      <c r="D13046" s="69" t="s">
        <v>29418</v>
      </c>
      <c r="E13046" s="51"/>
      <c r="F13046" s="114" t="str">
        <f>IF(INDEX(I.Facility.P2bIDNumber,3034)="","",INDEX(I.Facility.P2bIDNumber,3034))</f>
        <v/>
      </c>
      <c r="G13046" s="51"/>
      <c r="H13046" s="46" t="str">
        <f>IF(AND(I.Developer.P2b=TRUE,I.Facility.P2bFacilityCount&gt;=3034,F13046=""),"Incomplete","Complete")</f>
        <v>Complete</v>
      </c>
      <c r="I13046" s="48" t="s">
        <v>17411</v>
      </c>
    </row>
    <row r="13047" spans="2:9" ht="15" customHeight="1" x14ac:dyDescent="0.25">
      <c r="B13047" s="55" t="s">
        <v>281</v>
      </c>
      <c r="C13047" s="46">
        <v>3035</v>
      </c>
      <c r="D13047" s="69" t="s">
        <v>29418</v>
      </c>
      <c r="E13047" s="51"/>
      <c r="F13047" s="114" t="str">
        <f>IF(INDEX(I.Facility.P2bIDNumber,3035)="","",INDEX(I.Facility.P2bIDNumber,3035))</f>
        <v/>
      </c>
      <c r="G13047" s="51"/>
      <c r="H13047" s="46" t="str">
        <f>IF(AND(I.Developer.P2b=TRUE,I.Facility.P2bFacilityCount&gt;=3035,F13047=""),"Incomplete","Complete")</f>
        <v>Complete</v>
      </c>
      <c r="I13047" s="48" t="s">
        <v>17412</v>
      </c>
    </row>
    <row r="13048" spans="2:9" ht="15" customHeight="1" x14ac:dyDescent="0.25">
      <c r="B13048" s="55" t="s">
        <v>281</v>
      </c>
      <c r="C13048" s="46">
        <v>3036</v>
      </c>
      <c r="D13048" s="69" t="s">
        <v>29418</v>
      </c>
      <c r="E13048" s="51"/>
      <c r="F13048" s="114" t="str">
        <f>IF(INDEX(I.Facility.P2bIDNumber,3036)="","",INDEX(I.Facility.P2bIDNumber,3036))</f>
        <v/>
      </c>
      <c r="G13048" s="51"/>
      <c r="H13048" s="46" t="str">
        <f>IF(AND(I.Developer.P2b=TRUE,I.Facility.P2bFacilityCount&gt;=3036,F13048=""),"Incomplete","Complete")</f>
        <v>Complete</v>
      </c>
      <c r="I13048" s="48" t="s">
        <v>17413</v>
      </c>
    </row>
    <row r="13049" spans="2:9" ht="15" customHeight="1" x14ac:dyDescent="0.25">
      <c r="B13049" s="55" t="s">
        <v>281</v>
      </c>
      <c r="C13049" s="46">
        <v>3037</v>
      </c>
      <c r="D13049" s="69" t="s">
        <v>29418</v>
      </c>
      <c r="E13049" s="51"/>
      <c r="F13049" s="114" t="str">
        <f>IF(INDEX(I.Facility.P2bIDNumber,3037)="","",INDEX(I.Facility.P2bIDNumber,3037))</f>
        <v/>
      </c>
      <c r="G13049" s="51"/>
      <c r="H13049" s="46" t="str">
        <f>IF(AND(I.Developer.P2b=TRUE,I.Facility.P2bFacilityCount&gt;=3037,F13049=""),"Incomplete","Complete")</f>
        <v>Complete</v>
      </c>
      <c r="I13049" s="48" t="s">
        <v>17414</v>
      </c>
    </row>
    <row r="13050" spans="2:9" ht="15" customHeight="1" x14ac:dyDescent="0.25">
      <c r="B13050" s="55" t="s">
        <v>281</v>
      </c>
      <c r="C13050" s="46">
        <v>3038</v>
      </c>
      <c r="D13050" s="69" t="s">
        <v>29418</v>
      </c>
      <c r="E13050" s="51"/>
      <c r="F13050" s="114" t="str">
        <f>IF(INDEX(I.Facility.P2bIDNumber,3038)="","",INDEX(I.Facility.P2bIDNumber,3038))</f>
        <v/>
      </c>
      <c r="G13050" s="51"/>
      <c r="H13050" s="46" t="str">
        <f>IF(AND(I.Developer.P2b=TRUE,I.Facility.P2bFacilityCount&gt;=3038,F13050=""),"Incomplete","Complete")</f>
        <v>Complete</v>
      </c>
      <c r="I13050" s="48" t="s">
        <v>17415</v>
      </c>
    </row>
    <row r="13051" spans="2:9" ht="15" customHeight="1" x14ac:dyDescent="0.25">
      <c r="B13051" s="55" t="s">
        <v>281</v>
      </c>
      <c r="C13051" s="46">
        <v>3039</v>
      </c>
      <c r="D13051" s="69" t="s">
        <v>29418</v>
      </c>
      <c r="E13051" s="51"/>
      <c r="F13051" s="114" t="str">
        <f>IF(INDEX(I.Facility.P2bIDNumber,3039)="","",INDEX(I.Facility.P2bIDNumber,3039))</f>
        <v/>
      </c>
      <c r="G13051" s="51"/>
      <c r="H13051" s="46" t="str">
        <f>IF(AND(I.Developer.P2b=TRUE,I.Facility.P2bFacilityCount&gt;=3039,F13051=""),"Incomplete","Complete")</f>
        <v>Complete</v>
      </c>
      <c r="I13051" s="48" t="s">
        <v>17416</v>
      </c>
    </row>
    <row r="13052" spans="2:9" ht="15" customHeight="1" x14ac:dyDescent="0.25">
      <c r="B13052" s="55" t="s">
        <v>281</v>
      </c>
      <c r="C13052" s="46">
        <v>3040</v>
      </c>
      <c r="D13052" s="69" t="s">
        <v>29418</v>
      </c>
      <c r="E13052" s="51"/>
      <c r="F13052" s="114" t="str">
        <f>IF(INDEX(I.Facility.P2bIDNumber,3040)="","",INDEX(I.Facility.P2bIDNumber,3040))</f>
        <v/>
      </c>
      <c r="G13052" s="51"/>
      <c r="H13052" s="46" t="str">
        <f>IF(AND(I.Developer.P2b=TRUE,I.Facility.P2bFacilityCount&gt;=3040,F13052=""),"Incomplete","Complete")</f>
        <v>Complete</v>
      </c>
      <c r="I13052" s="48" t="s">
        <v>17417</v>
      </c>
    </row>
    <row r="13053" spans="2:9" ht="15" customHeight="1" x14ac:dyDescent="0.25">
      <c r="B13053" s="55" t="s">
        <v>281</v>
      </c>
      <c r="C13053" s="46">
        <v>3041</v>
      </c>
      <c r="D13053" s="69" t="s">
        <v>29418</v>
      </c>
      <c r="E13053" s="51"/>
      <c r="F13053" s="114" t="str">
        <f>IF(INDEX(I.Facility.P2bIDNumber,3041)="","",INDEX(I.Facility.P2bIDNumber,3041))</f>
        <v/>
      </c>
      <c r="G13053" s="51"/>
      <c r="H13053" s="46" t="str">
        <f>IF(AND(I.Developer.P2b=TRUE,I.Facility.P2bFacilityCount&gt;=3041,F13053=""),"Incomplete","Complete")</f>
        <v>Complete</v>
      </c>
      <c r="I13053" s="48" t="s">
        <v>17418</v>
      </c>
    </row>
    <row r="13054" spans="2:9" ht="15" customHeight="1" x14ac:dyDescent="0.25">
      <c r="B13054" s="55" t="s">
        <v>281</v>
      </c>
      <c r="C13054" s="46">
        <v>3042</v>
      </c>
      <c r="D13054" s="69" t="s">
        <v>29418</v>
      </c>
      <c r="E13054" s="51"/>
      <c r="F13054" s="114" t="str">
        <f>IF(INDEX(I.Facility.P2bIDNumber,3042)="","",INDEX(I.Facility.P2bIDNumber,3042))</f>
        <v/>
      </c>
      <c r="G13054" s="51"/>
      <c r="H13054" s="46" t="str">
        <f>IF(AND(I.Developer.P2b=TRUE,I.Facility.P2bFacilityCount&gt;=3042,F13054=""),"Incomplete","Complete")</f>
        <v>Complete</v>
      </c>
      <c r="I13054" s="48" t="s">
        <v>17419</v>
      </c>
    </row>
    <row r="13055" spans="2:9" ht="15" customHeight="1" x14ac:dyDescent="0.25">
      <c r="B13055" s="55" t="s">
        <v>281</v>
      </c>
      <c r="C13055" s="46">
        <v>3043</v>
      </c>
      <c r="D13055" s="69" t="s">
        <v>29418</v>
      </c>
      <c r="E13055" s="51"/>
      <c r="F13055" s="114" t="str">
        <f>IF(INDEX(I.Facility.P2bIDNumber,3043)="","",INDEX(I.Facility.P2bIDNumber,3043))</f>
        <v/>
      </c>
      <c r="G13055" s="51"/>
      <c r="H13055" s="46" t="str">
        <f>IF(AND(I.Developer.P2b=TRUE,I.Facility.P2bFacilityCount&gt;=3043,F13055=""),"Incomplete","Complete")</f>
        <v>Complete</v>
      </c>
      <c r="I13055" s="48" t="s">
        <v>17420</v>
      </c>
    </row>
    <row r="13056" spans="2:9" ht="15" customHeight="1" x14ac:dyDescent="0.25">
      <c r="B13056" s="55" t="s">
        <v>281</v>
      </c>
      <c r="C13056" s="46">
        <v>3044</v>
      </c>
      <c r="D13056" s="69" t="s">
        <v>29418</v>
      </c>
      <c r="E13056" s="51"/>
      <c r="F13056" s="114" t="str">
        <f>IF(INDEX(I.Facility.P2bIDNumber,3044)="","",INDEX(I.Facility.P2bIDNumber,3044))</f>
        <v/>
      </c>
      <c r="G13056" s="51"/>
      <c r="H13056" s="46" t="str">
        <f>IF(AND(I.Developer.P2b=TRUE,I.Facility.P2bFacilityCount&gt;=3044,F13056=""),"Incomplete","Complete")</f>
        <v>Complete</v>
      </c>
      <c r="I13056" s="48" t="s">
        <v>17421</v>
      </c>
    </row>
    <row r="13057" spans="2:9" ht="15" customHeight="1" x14ac:dyDescent="0.25">
      <c r="B13057" s="55" t="s">
        <v>281</v>
      </c>
      <c r="C13057" s="46">
        <v>3045</v>
      </c>
      <c r="D13057" s="69" t="s">
        <v>29418</v>
      </c>
      <c r="E13057" s="51"/>
      <c r="F13057" s="114" t="str">
        <f>IF(INDEX(I.Facility.P2bIDNumber,3045)="","",INDEX(I.Facility.P2bIDNumber,3045))</f>
        <v/>
      </c>
      <c r="G13057" s="51"/>
      <c r="H13057" s="46" t="str">
        <f>IF(AND(I.Developer.P2b=TRUE,I.Facility.P2bFacilityCount&gt;=3045,F13057=""),"Incomplete","Complete")</f>
        <v>Complete</v>
      </c>
      <c r="I13057" s="48" t="s">
        <v>17422</v>
      </c>
    </row>
    <row r="13058" spans="2:9" ht="15" customHeight="1" x14ac:dyDescent="0.25">
      <c r="B13058" s="55" t="s">
        <v>281</v>
      </c>
      <c r="C13058" s="46">
        <v>3046</v>
      </c>
      <c r="D13058" s="69" t="s">
        <v>29418</v>
      </c>
      <c r="E13058" s="51"/>
      <c r="F13058" s="114" t="str">
        <f>IF(INDEX(I.Facility.P2bIDNumber,3046)="","",INDEX(I.Facility.P2bIDNumber,3046))</f>
        <v/>
      </c>
      <c r="G13058" s="51"/>
      <c r="H13058" s="46" t="str">
        <f>IF(AND(I.Developer.P2b=TRUE,I.Facility.P2bFacilityCount&gt;=3046,F13058=""),"Incomplete","Complete")</f>
        <v>Complete</v>
      </c>
      <c r="I13058" s="48" t="s">
        <v>17423</v>
      </c>
    </row>
    <row r="13059" spans="2:9" ht="15" customHeight="1" x14ac:dyDescent="0.25">
      <c r="B13059" s="55" t="s">
        <v>281</v>
      </c>
      <c r="C13059" s="46">
        <v>3047</v>
      </c>
      <c r="D13059" s="69" t="s">
        <v>29418</v>
      </c>
      <c r="E13059" s="51"/>
      <c r="F13059" s="114" t="str">
        <f>IF(INDEX(I.Facility.P2bIDNumber,3047)="","",INDEX(I.Facility.P2bIDNumber,3047))</f>
        <v/>
      </c>
      <c r="G13059" s="51"/>
      <c r="H13059" s="46" t="str">
        <f>IF(AND(I.Developer.P2b=TRUE,I.Facility.P2bFacilityCount&gt;=3047,F13059=""),"Incomplete","Complete")</f>
        <v>Complete</v>
      </c>
      <c r="I13059" s="48" t="s">
        <v>17424</v>
      </c>
    </row>
    <row r="13060" spans="2:9" ht="15" customHeight="1" x14ac:dyDescent="0.25">
      <c r="B13060" s="55" t="s">
        <v>281</v>
      </c>
      <c r="C13060" s="46">
        <v>3048</v>
      </c>
      <c r="D13060" s="69" t="s">
        <v>29418</v>
      </c>
      <c r="E13060" s="51"/>
      <c r="F13060" s="114" t="str">
        <f>IF(INDEX(I.Facility.P2bIDNumber,3048)="","",INDEX(I.Facility.P2bIDNumber,3048))</f>
        <v/>
      </c>
      <c r="G13060" s="51"/>
      <c r="H13060" s="46" t="str">
        <f>IF(AND(I.Developer.P2b=TRUE,I.Facility.P2bFacilityCount&gt;=3048,F13060=""),"Incomplete","Complete")</f>
        <v>Complete</v>
      </c>
      <c r="I13060" s="48" t="s">
        <v>17425</v>
      </c>
    </row>
    <row r="13061" spans="2:9" ht="15" customHeight="1" x14ac:dyDescent="0.25">
      <c r="B13061" s="55" t="s">
        <v>281</v>
      </c>
      <c r="C13061" s="46">
        <v>3049</v>
      </c>
      <c r="D13061" s="69" t="s">
        <v>29418</v>
      </c>
      <c r="E13061" s="51"/>
      <c r="F13061" s="114" t="str">
        <f>IF(INDEX(I.Facility.P2bIDNumber,3049)="","",INDEX(I.Facility.P2bIDNumber,3049))</f>
        <v/>
      </c>
      <c r="G13061" s="51"/>
      <c r="H13061" s="46" t="str">
        <f>IF(AND(I.Developer.P2b=TRUE,I.Facility.P2bFacilityCount&gt;=3049,F13061=""),"Incomplete","Complete")</f>
        <v>Complete</v>
      </c>
      <c r="I13061" s="48" t="s">
        <v>17426</v>
      </c>
    </row>
    <row r="13062" spans="2:9" ht="15" customHeight="1" x14ac:dyDescent="0.25">
      <c r="B13062" s="55" t="s">
        <v>281</v>
      </c>
      <c r="C13062" s="46">
        <v>3050</v>
      </c>
      <c r="D13062" s="69" t="s">
        <v>29418</v>
      </c>
      <c r="E13062" s="51"/>
      <c r="F13062" s="114" t="str">
        <f>IF(INDEX(I.Facility.P2bIDNumber,3050)="","",INDEX(I.Facility.P2bIDNumber,3050))</f>
        <v/>
      </c>
      <c r="G13062" s="51"/>
      <c r="H13062" s="46" t="str">
        <f>IF(AND(I.Developer.P2b=TRUE,I.Facility.P2bFacilityCount&gt;=3050,F13062=""),"Incomplete","Complete")</f>
        <v>Complete</v>
      </c>
      <c r="I13062" s="48" t="s">
        <v>17427</v>
      </c>
    </row>
    <row r="13063" spans="2:9" ht="15" customHeight="1" x14ac:dyDescent="0.25">
      <c r="B13063" s="55" t="s">
        <v>281</v>
      </c>
      <c r="C13063" s="46">
        <v>3051</v>
      </c>
      <c r="D13063" s="69" t="s">
        <v>29418</v>
      </c>
      <c r="E13063" s="51"/>
      <c r="F13063" s="114" t="str">
        <f>IF(INDEX(I.Facility.P2bIDNumber,3051)="","",INDEX(I.Facility.P2bIDNumber,3051))</f>
        <v/>
      </c>
      <c r="G13063" s="51"/>
      <c r="H13063" s="46" t="str">
        <f>IF(AND(I.Developer.P2b=TRUE,I.Facility.P2bFacilityCount&gt;=3051,F13063=""),"Incomplete","Complete")</f>
        <v>Complete</v>
      </c>
      <c r="I13063" s="48" t="s">
        <v>17428</v>
      </c>
    </row>
    <row r="13064" spans="2:9" ht="15" customHeight="1" x14ac:dyDescent="0.25">
      <c r="B13064" s="55" t="s">
        <v>281</v>
      </c>
      <c r="C13064" s="46">
        <v>3052</v>
      </c>
      <c r="D13064" s="69" t="s">
        <v>29418</v>
      </c>
      <c r="E13064" s="51"/>
      <c r="F13064" s="114" t="str">
        <f>IF(INDEX(I.Facility.P2bIDNumber,3052)="","",INDEX(I.Facility.P2bIDNumber,3052))</f>
        <v/>
      </c>
      <c r="G13064" s="51"/>
      <c r="H13064" s="46" t="str">
        <f>IF(AND(I.Developer.P2b=TRUE,I.Facility.P2bFacilityCount&gt;=3052,F13064=""),"Incomplete","Complete")</f>
        <v>Complete</v>
      </c>
      <c r="I13064" s="48" t="s">
        <v>17429</v>
      </c>
    </row>
    <row r="13065" spans="2:9" ht="15" customHeight="1" x14ac:dyDescent="0.25">
      <c r="B13065" s="55" t="s">
        <v>281</v>
      </c>
      <c r="C13065" s="46">
        <v>3053</v>
      </c>
      <c r="D13065" s="69" t="s">
        <v>29418</v>
      </c>
      <c r="E13065" s="51"/>
      <c r="F13065" s="114" t="str">
        <f>IF(INDEX(I.Facility.P2bIDNumber,3053)="","",INDEX(I.Facility.P2bIDNumber,3053))</f>
        <v/>
      </c>
      <c r="G13065" s="51"/>
      <c r="H13065" s="46" t="str">
        <f>IF(AND(I.Developer.P2b=TRUE,I.Facility.P2bFacilityCount&gt;=3053,F13065=""),"Incomplete","Complete")</f>
        <v>Complete</v>
      </c>
      <c r="I13065" s="48" t="s">
        <v>17430</v>
      </c>
    </row>
    <row r="13066" spans="2:9" ht="15" customHeight="1" x14ac:dyDescent="0.25">
      <c r="B13066" s="55" t="s">
        <v>281</v>
      </c>
      <c r="C13066" s="46">
        <v>3054</v>
      </c>
      <c r="D13066" s="69" t="s">
        <v>29418</v>
      </c>
      <c r="E13066" s="51"/>
      <c r="F13066" s="114" t="str">
        <f>IF(INDEX(I.Facility.P2bIDNumber,3054)="","",INDEX(I.Facility.P2bIDNumber,3054))</f>
        <v/>
      </c>
      <c r="G13066" s="51"/>
      <c r="H13066" s="46" t="str">
        <f>IF(AND(I.Developer.P2b=TRUE,I.Facility.P2bFacilityCount&gt;=3054,F13066=""),"Incomplete","Complete")</f>
        <v>Complete</v>
      </c>
      <c r="I13066" s="48" t="s">
        <v>17431</v>
      </c>
    </row>
    <row r="13067" spans="2:9" ht="15" customHeight="1" x14ac:dyDescent="0.25">
      <c r="B13067" s="55" t="s">
        <v>281</v>
      </c>
      <c r="C13067" s="46">
        <v>3055</v>
      </c>
      <c r="D13067" s="69" t="s">
        <v>29418</v>
      </c>
      <c r="E13067" s="51"/>
      <c r="F13067" s="114" t="str">
        <f>IF(INDEX(I.Facility.P2bIDNumber,3055)="","",INDEX(I.Facility.P2bIDNumber,3055))</f>
        <v/>
      </c>
      <c r="G13067" s="51"/>
      <c r="H13067" s="46" t="str">
        <f>IF(AND(I.Developer.P2b=TRUE,I.Facility.P2bFacilityCount&gt;=3055,F13067=""),"Incomplete","Complete")</f>
        <v>Complete</v>
      </c>
      <c r="I13067" s="48" t="s">
        <v>17432</v>
      </c>
    </row>
    <row r="13068" spans="2:9" ht="15" customHeight="1" x14ac:dyDescent="0.25">
      <c r="B13068" s="55" t="s">
        <v>281</v>
      </c>
      <c r="C13068" s="46">
        <v>3056</v>
      </c>
      <c r="D13068" s="69" t="s">
        <v>29418</v>
      </c>
      <c r="E13068" s="51"/>
      <c r="F13068" s="114" t="str">
        <f>IF(INDEX(I.Facility.P2bIDNumber,3056)="","",INDEX(I.Facility.P2bIDNumber,3056))</f>
        <v/>
      </c>
      <c r="G13068" s="51"/>
      <c r="H13068" s="46" t="str">
        <f>IF(AND(I.Developer.P2b=TRUE,I.Facility.P2bFacilityCount&gt;=3056,F13068=""),"Incomplete","Complete")</f>
        <v>Complete</v>
      </c>
      <c r="I13068" s="48" t="s">
        <v>17433</v>
      </c>
    </row>
    <row r="13069" spans="2:9" ht="15" customHeight="1" x14ac:dyDescent="0.25">
      <c r="B13069" s="55" t="s">
        <v>281</v>
      </c>
      <c r="C13069" s="46">
        <v>3057</v>
      </c>
      <c r="D13069" s="69" t="s">
        <v>29418</v>
      </c>
      <c r="E13069" s="51"/>
      <c r="F13069" s="114" t="str">
        <f>IF(INDEX(I.Facility.P2bIDNumber,3057)="","",INDEX(I.Facility.P2bIDNumber,3057))</f>
        <v/>
      </c>
      <c r="G13069" s="51"/>
      <c r="H13069" s="46" t="str">
        <f>IF(AND(I.Developer.P2b=TRUE,I.Facility.P2bFacilityCount&gt;=3057,F13069=""),"Incomplete","Complete")</f>
        <v>Complete</v>
      </c>
      <c r="I13069" s="48" t="s">
        <v>17434</v>
      </c>
    </row>
    <row r="13070" spans="2:9" ht="15" customHeight="1" x14ac:dyDescent="0.25">
      <c r="B13070" s="55" t="s">
        <v>281</v>
      </c>
      <c r="C13070" s="46">
        <v>3058</v>
      </c>
      <c r="D13070" s="69" t="s">
        <v>29418</v>
      </c>
      <c r="E13070" s="51"/>
      <c r="F13070" s="114" t="str">
        <f>IF(INDEX(I.Facility.P2bIDNumber,3058)="","",INDEX(I.Facility.P2bIDNumber,3058))</f>
        <v/>
      </c>
      <c r="G13070" s="51"/>
      <c r="H13070" s="46" t="str">
        <f>IF(AND(I.Developer.P2b=TRUE,I.Facility.P2bFacilityCount&gt;=3058,F13070=""),"Incomplete","Complete")</f>
        <v>Complete</v>
      </c>
      <c r="I13070" s="48" t="s">
        <v>17435</v>
      </c>
    </row>
    <row r="13071" spans="2:9" ht="15" customHeight="1" x14ac:dyDescent="0.25">
      <c r="B13071" s="55" t="s">
        <v>281</v>
      </c>
      <c r="C13071" s="46">
        <v>3059</v>
      </c>
      <c r="D13071" s="69" t="s">
        <v>29418</v>
      </c>
      <c r="E13071" s="51"/>
      <c r="F13071" s="114" t="str">
        <f>IF(INDEX(I.Facility.P2bIDNumber,3059)="","",INDEX(I.Facility.P2bIDNumber,3059))</f>
        <v/>
      </c>
      <c r="G13071" s="51"/>
      <c r="H13071" s="46" t="str">
        <f>IF(AND(I.Developer.P2b=TRUE,I.Facility.P2bFacilityCount&gt;=3059,F13071=""),"Incomplete","Complete")</f>
        <v>Complete</v>
      </c>
      <c r="I13071" s="48" t="s">
        <v>17436</v>
      </c>
    </row>
    <row r="13072" spans="2:9" ht="15" customHeight="1" x14ac:dyDescent="0.25">
      <c r="B13072" s="55" t="s">
        <v>281</v>
      </c>
      <c r="C13072" s="46">
        <v>3060</v>
      </c>
      <c r="D13072" s="69" t="s">
        <v>29418</v>
      </c>
      <c r="E13072" s="51"/>
      <c r="F13072" s="114" t="str">
        <f>IF(INDEX(I.Facility.P2bIDNumber,3060)="","",INDEX(I.Facility.P2bIDNumber,3060))</f>
        <v/>
      </c>
      <c r="G13072" s="51"/>
      <c r="H13072" s="46" t="str">
        <f>IF(AND(I.Developer.P2b=TRUE,I.Facility.P2bFacilityCount&gt;=3060,F13072=""),"Incomplete","Complete")</f>
        <v>Complete</v>
      </c>
      <c r="I13072" s="48" t="s">
        <v>17437</v>
      </c>
    </row>
    <row r="13073" spans="2:9" ht="15" customHeight="1" x14ac:dyDescent="0.25">
      <c r="B13073" s="55" t="s">
        <v>281</v>
      </c>
      <c r="C13073" s="46">
        <v>3061</v>
      </c>
      <c r="D13073" s="69" t="s">
        <v>29418</v>
      </c>
      <c r="E13073" s="51"/>
      <c r="F13073" s="114" t="str">
        <f>IF(INDEX(I.Facility.P2bIDNumber,3061)="","",INDEX(I.Facility.P2bIDNumber,3061))</f>
        <v/>
      </c>
      <c r="G13073" s="51"/>
      <c r="H13073" s="46" t="str">
        <f>IF(AND(I.Developer.P2b=TRUE,I.Facility.P2bFacilityCount&gt;=3061,F13073=""),"Incomplete","Complete")</f>
        <v>Complete</v>
      </c>
      <c r="I13073" s="48" t="s">
        <v>17438</v>
      </c>
    </row>
    <row r="13074" spans="2:9" ht="15" customHeight="1" x14ac:dyDescent="0.25">
      <c r="B13074" s="55" t="s">
        <v>281</v>
      </c>
      <c r="C13074" s="46">
        <v>3062</v>
      </c>
      <c r="D13074" s="69" t="s">
        <v>29418</v>
      </c>
      <c r="E13074" s="51"/>
      <c r="F13074" s="114" t="str">
        <f>IF(INDEX(I.Facility.P2bIDNumber,3062)="","",INDEX(I.Facility.P2bIDNumber,3062))</f>
        <v/>
      </c>
      <c r="G13074" s="51"/>
      <c r="H13074" s="46" t="str">
        <f>IF(AND(I.Developer.P2b=TRUE,I.Facility.P2bFacilityCount&gt;=3062,F13074=""),"Incomplete","Complete")</f>
        <v>Complete</v>
      </c>
      <c r="I13074" s="48" t="s">
        <v>17439</v>
      </c>
    </row>
    <row r="13075" spans="2:9" ht="15" customHeight="1" x14ac:dyDescent="0.25">
      <c r="B13075" s="55" t="s">
        <v>281</v>
      </c>
      <c r="C13075" s="46">
        <v>3063</v>
      </c>
      <c r="D13075" s="69" t="s">
        <v>29418</v>
      </c>
      <c r="E13075" s="51"/>
      <c r="F13075" s="114" t="str">
        <f>IF(INDEX(I.Facility.P2bIDNumber,3063)="","",INDEX(I.Facility.P2bIDNumber,3063))</f>
        <v/>
      </c>
      <c r="G13075" s="51"/>
      <c r="H13075" s="46" t="str">
        <f>IF(AND(I.Developer.P2b=TRUE,I.Facility.P2bFacilityCount&gt;=3063,F13075=""),"Incomplete","Complete")</f>
        <v>Complete</v>
      </c>
      <c r="I13075" s="48" t="s">
        <v>17440</v>
      </c>
    </row>
    <row r="13076" spans="2:9" ht="15" customHeight="1" x14ac:dyDescent="0.25">
      <c r="B13076" s="55" t="s">
        <v>281</v>
      </c>
      <c r="C13076" s="46">
        <v>3064</v>
      </c>
      <c r="D13076" s="69" t="s">
        <v>29418</v>
      </c>
      <c r="E13076" s="51"/>
      <c r="F13076" s="114" t="str">
        <f>IF(INDEX(I.Facility.P2bIDNumber,3064)="","",INDEX(I.Facility.P2bIDNumber,3064))</f>
        <v/>
      </c>
      <c r="G13076" s="51"/>
      <c r="H13076" s="46" t="str">
        <f>IF(AND(I.Developer.P2b=TRUE,I.Facility.P2bFacilityCount&gt;=3064,F13076=""),"Incomplete","Complete")</f>
        <v>Complete</v>
      </c>
      <c r="I13076" s="48" t="s">
        <v>17441</v>
      </c>
    </row>
    <row r="13077" spans="2:9" ht="15" customHeight="1" x14ac:dyDescent="0.25">
      <c r="B13077" s="55" t="s">
        <v>281</v>
      </c>
      <c r="C13077" s="46">
        <v>3065</v>
      </c>
      <c r="D13077" s="69" t="s">
        <v>29418</v>
      </c>
      <c r="E13077" s="51"/>
      <c r="F13077" s="114" t="str">
        <f>IF(INDEX(I.Facility.P2bIDNumber,3065)="","",INDEX(I.Facility.P2bIDNumber,3065))</f>
        <v/>
      </c>
      <c r="G13077" s="51"/>
      <c r="H13077" s="46" t="str">
        <f>IF(AND(I.Developer.P2b=TRUE,I.Facility.P2bFacilityCount&gt;=3065,F13077=""),"Incomplete","Complete")</f>
        <v>Complete</v>
      </c>
      <c r="I13077" s="48" t="s">
        <v>17442</v>
      </c>
    </row>
    <row r="13078" spans="2:9" ht="15" customHeight="1" x14ac:dyDescent="0.25">
      <c r="B13078" s="55" t="s">
        <v>281</v>
      </c>
      <c r="C13078" s="46">
        <v>3066</v>
      </c>
      <c r="D13078" s="69" t="s">
        <v>29418</v>
      </c>
      <c r="E13078" s="51"/>
      <c r="F13078" s="114" t="str">
        <f>IF(INDEX(I.Facility.P2bIDNumber,3066)="","",INDEX(I.Facility.P2bIDNumber,3066))</f>
        <v/>
      </c>
      <c r="G13078" s="51"/>
      <c r="H13078" s="46" t="str">
        <f>IF(AND(I.Developer.P2b=TRUE,I.Facility.P2bFacilityCount&gt;=3066,F13078=""),"Incomplete","Complete")</f>
        <v>Complete</v>
      </c>
      <c r="I13078" s="48" t="s">
        <v>17443</v>
      </c>
    </row>
    <row r="13079" spans="2:9" ht="15" customHeight="1" x14ac:dyDescent="0.25">
      <c r="B13079" s="55" t="s">
        <v>281</v>
      </c>
      <c r="C13079" s="46">
        <v>3067</v>
      </c>
      <c r="D13079" s="69" t="s">
        <v>29418</v>
      </c>
      <c r="E13079" s="51"/>
      <c r="F13079" s="114" t="str">
        <f>IF(INDEX(I.Facility.P2bIDNumber,3067)="","",INDEX(I.Facility.P2bIDNumber,3067))</f>
        <v/>
      </c>
      <c r="G13079" s="51"/>
      <c r="H13079" s="46" t="str">
        <f>IF(AND(I.Developer.P2b=TRUE,I.Facility.P2bFacilityCount&gt;=3067,F13079=""),"Incomplete","Complete")</f>
        <v>Complete</v>
      </c>
      <c r="I13079" s="48" t="s">
        <v>17444</v>
      </c>
    </row>
    <row r="13080" spans="2:9" ht="15" customHeight="1" x14ac:dyDescent="0.25">
      <c r="B13080" s="55" t="s">
        <v>281</v>
      </c>
      <c r="C13080" s="46">
        <v>3068</v>
      </c>
      <c r="D13080" s="69" t="s">
        <v>29418</v>
      </c>
      <c r="E13080" s="51"/>
      <c r="F13080" s="114" t="str">
        <f>IF(INDEX(I.Facility.P2bIDNumber,3068)="","",INDEX(I.Facility.P2bIDNumber,3068))</f>
        <v/>
      </c>
      <c r="G13080" s="51"/>
      <c r="H13080" s="46" t="str">
        <f>IF(AND(I.Developer.P2b=TRUE,I.Facility.P2bFacilityCount&gt;=3068,F13080=""),"Incomplete","Complete")</f>
        <v>Complete</v>
      </c>
      <c r="I13080" s="48" t="s">
        <v>17445</v>
      </c>
    </row>
    <row r="13081" spans="2:9" ht="15" customHeight="1" x14ac:dyDescent="0.25">
      <c r="B13081" s="55" t="s">
        <v>281</v>
      </c>
      <c r="C13081" s="46">
        <v>3069</v>
      </c>
      <c r="D13081" s="69" t="s">
        <v>29418</v>
      </c>
      <c r="E13081" s="51"/>
      <c r="F13081" s="114" t="str">
        <f>IF(INDEX(I.Facility.P2bIDNumber,3069)="","",INDEX(I.Facility.P2bIDNumber,3069))</f>
        <v/>
      </c>
      <c r="G13081" s="51"/>
      <c r="H13081" s="46" t="str">
        <f>IF(AND(I.Developer.P2b=TRUE,I.Facility.P2bFacilityCount&gt;=3069,F13081=""),"Incomplete","Complete")</f>
        <v>Complete</v>
      </c>
      <c r="I13081" s="48" t="s">
        <v>17446</v>
      </c>
    </row>
    <row r="13082" spans="2:9" ht="15" customHeight="1" x14ac:dyDescent="0.25">
      <c r="B13082" s="55" t="s">
        <v>281</v>
      </c>
      <c r="C13082" s="46">
        <v>3070</v>
      </c>
      <c r="D13082" s="69" t="s">
        <v>29418</v>
      </c>
      <c r="E13082" s="51"/>
      <c r="F13082" s="114" t="str">
        <f>IF(INDEX(I.Facility.P2bIDNumber,3070)="","",INDEX(I.Facility.P2bIDNumber,3070))</f>
        <v/>
      </c>
      <c r="G13082" s="51"/>
      <c r="H13082" s="46" t="str">
        <f>IF(AND(I.Developer.P2b=TRUE,I.Facility.P2bFacilityCount&gt;=3070,F13082=""),"Incomplete","Complete")</f>
        <v>Complete</v>
      </c>
      <c r="I13082" s="48" t="s">
        <v>17447</v>
      </c>
    </row>
    <row r="13083" spans="2:9" ht="15" customHeight="1" x14ac:dyDescent="0.25">
      <c r="B13083" s="55" t="s">
        <v>281</v>
      </c>
      <c r="C13083" s="46">
        <v>3071</v>
      </c>
      <c r="D13083" s="69" t="s">
        <v>29418</v>
      </c>
      <c r="E13083" s="51"/>
      <c r="F13083" s="114" t="str">
        <f>IF(INDEX(I.Facility.P2bIDNumber,3071)="","",INDEX(I.Facility.P2bIDNumber,3071))</f>
        <v/>
      </c>
      <c r="G13083" s="51"/>
      <c r="H13083" s="46" t="str">
        <f>IF(AND(I.Developer.P2b=TRUE,I.Facility.P2bFacilityCount&gt;=3071,F13083=""),"Incomplete","Complete")</f>
        <v>Complete</v>
      </c>
      <c r="I13083" s="48" t="s">
        <v>17448</v>
      </c>
    </row>
    <row r="13084" spans="2:9" ht="15" customHeight="1" x14ac:dyDescent="0.25">
      <c r="B13084" s="55" t="s">
        <v>281</v>
      </c>
      <c r="C13084" s="46">
        <v>3072</v>
      </c>
      <c r="D13084" s="69" t="s">
        <v>29418</v>
      </c>
      <c r="E13084" s="51"/>
      <c r="F13084" s="114" t="str">
        <f>IF(INDEX(I.Facility.P2bIDNumber,3072)="","",INDEX(I.Facility.P2bIDNumber,3072))</f>
        <v/>
      </c>
      <c r="G13084" s="51"/>
      <c r="H13084" s="46" t="str">
        <f>IF(AND(I.Developer.P2b=TRUE,I.Facility.P2bFacilityCount&gt;=3072,F13084=""),"Incomplete","Complete")</f>
        <v>Complete</v>
      </c>
      <c r="I13084" s="48" t="s">
        <v>17449</v>
      </c>
    </row>
    <row r="13085" spans="2:9" ht="15" customHeight="1" x14ac:dyDescent="0.25">
      <c r="B13085" s="55" t="s">
        <v>281</v>
      </c>
      <c r="C13085" s="46">
        <v>3073</v>
      </c>
      <c r="D13085" s="69" t="s">
        <v>29418</v>
      </c>
      <c r="E13085" s="51"/>
      <c r="F13085" s="114" t="str">
        <f>IF(INDEX(I.Facility.P2bIDNumber,3073)="","",INDEX(I.Facility.P2bIDNumber,3073))</f>
        <v/>
      </c>
      <c r="G13085" s="51"/>
      <c r="H13085" s="46" t="str">
        <f>IF(AND(I.Developer.P2b=TRUE,I.Facility.P2bFacilityCount&gt;=3073,F13085=""),"Incomplete","Complete")</f>
        <v>Complete</v>
      </c>
      <c r="I13085" s="48" t="s">
        <v>17450</v>
      </c>
    </row>
    <row r="13086" spans="2:9" ht="15" customHeight="1" x14ac:dyDescent="0.25">
      <c r="B13086" s="55" t="s">
        <v>281</v>
      </c>
      <c r="C13086" s="46">
        <v>3074</v>
      </c>
      <c r="D13086" s="69" t="s">
        <v>29418</v>
      </c>
      <c r="E13086" s="51"/>
      <c r="F13086" s="114" t="str">
        <f>IF(INDEX(I.Facility.P2bIDNumber,3074)="","",INDEX(I.Facility.P2bIDNumber,3074))</f>
        <v/>
      </c>
      <c r="G13086" s="51"/>
      <c r="H13086" s="46" t="str">
        <f>IF(AND(I.Developer.P2b=TRUE,I.Facility.P2bFacilityCount&gt;=3074,F13086=""),"Incomplete","Complete")</f>
        <v>Complete</v>
      </c>
      <c r="I13086" s="48" t="s">
        <v>17451</v>
      </c>
    </row>
    <row r="13087" spans="2:9" ht="15" customHeight="1" x14ac:dyDescent="0.25">
      <c r="B13087" s="55" t="s">
        <v>281</v>
      </c>
      <c r="C13087" s="46">
        <v>3075</v>
      </c>
      <c r="D13087" s="69" t="s">
        <v>29418</v>
      </c>
      <c r="E13087" s="51"/>
      <c r="F13087" s="114" t="str">
        <f>IF(INDEX(I.Facility.P2bIDNumber,3075)="","",INDEX(I.Facility.P2bIDNumber,3075))</f>
        <v/>
      </c>
      <c r="G13087" s="51"/>
      <c r="H13087" s="46" t="str">
        <f>IF(AND(I.Developer.P2b=TRUE,I.Facility.P2bFacilityCount&gt;=3075,F13087=""),"Incomplete","Complete")</f>
        <v>Complete</v>
      </c>
      <c r="I13087" s="48" t="s">
        <v>17452</v>
      </c>
    </row>
    <row r="13088" spans="2:9" ht="15" customHeight="1" x14ac:dyDescent="0.25">
      <c r="B13088" s="55" t="s">
        <v>281</v>
      </c>
      <c r="C13088" s="46">
        <v>3076</v>
      </c>
      <c r="D13088" s="69" t="s">
        <v>29418</v>
      </c>
      <c r="E13088" s="51"/>
      <c r="F13088" s="114" t="str">
        <f>IF(INDEX(I.Facility.P2bIDNumber,3076)="","",INDEX(I.Facility.P2bIDNumber,3076))</f>
        <v/>
      </c>
      <c r="G13088" s="51"/>
      <c r="H13088" s="46" t="str">
        <f>IF(AND(I.Developer.P2b=TRUE,I.Facility.P2bFacilityCount&gt;=3076,F13088=""),"Incomplete","Complete")</f>
        <v>Complete</v>
      </c>
      <c r="I13088" s="48" t="s">
        <v>17453</v>
      </c>
    </row>
    <row r="13089" spans="2:9" ht="15" customHeight="1" x14ac:dyDescent="0.25">
      <c r="B13089" s="55" t="s">
        <v>281</v>
      </c>
      <c r="C13089" s="46">
        <v>3077</v>
      </c>
      <c r="D13089" s="69" t="s">
        <v>29418</v>
      </c>
      <c r="E13089" s="51"/>
      <c r="F13089" s="114" t="str">
        <f>IF(INDEX(I.Facility.P2bIDNumber,3077)="","",INDEX(I.Facility.P2bIDNumber,3077))</f>
        <v/>
      </c>
      <c r="G13089" s="51"/>
      <c r="H13089" s="46" t="str">
        <f>IF(AND(I.Developer.P2b=TRUE,I.Facility.P2bFacilityCount&gt;=3077,F13089=""),"Incomplete","Complete")</f>
        <v>Complete</v>
      </c>
      <c r="I13089" s="48" t="s">
        <v>17454</v>
      </c>
    </row>
    <row r="13090" spans="2:9" ht="15" customHeight="1" x14ac:dyDescent="0.25">
      <c r="B13090" s="55" t="s">
        <v>281</v>
      </c>
      <c r="C13090" s="46">
        <v>3078</v>
      </c>
      <c r="D13090" s="69" t="s">
        <v>29418</v>
      </c>
      <c r="E13090" s="51"/>
      <c r="F13090" s="114" t="str">
        <f>IF(INDEX(I.Facility.P2bIDNumber,3078)="","",INDEX(I.Facility.P2bIDNumber,3078))</f>
        <v/>
      </c>
      <c r="G13090" s="51"/>
      <c r="H13090" s="46" t="str">
        <f>IF(AND(I.Developer.P2b=TRUE,I.Facility.P2bFacilityCount&gt;=3078,F13090=""),"Incomplete","Complete")</f>
        <v>Complete</v>
      </c>
      <c r="I13090" s="48" t="s">
        <v>17455</v>
      </c>
    </row>
    <row r="13091" spans="2:9" ht="15" customHeight="1" x14ac:dyDescent="0.25">
      <c r="B13091" s="55" t="s">
        <v>281</v>
      </c>
      <c r="C13091" s="46">
        <v>3079</v>
      </c>
      <c r="D13091" s="69" t="s">
        <v>29418</v>
      </c>
      <c r="E13091" s="51"/>
      <c r="F13091" s="114" t="str">
        <f>IF(INDEX(I.Facility.P2bIDNumber,3079)="","",INDEX(I.Facility.P2bIDNumber,3079))</f>
        <v/>
      </c>
      <c r="G13091" s="51"/>
      <c r="H13091" s="46" t="str">
        <f>IF(AND(I.Developer.P2b=TRUE,I.Facility.P2bFacilityCount&gt;=3079,F13091=""),"Incomplete","Complete")</f>
        <v>Complete</v>
      </c>
      <c r="I13091" s="48" t="s">
        <v>17456</v>
      </c>
    </row>
    <row r="13092" spans="2:9" ht="15" customHeight="1" x14ac:dyDescent="0.25">
      <c r="B13092" s="55" t="s">
        <v>281</v>
      </c>
      <c r="C13092" s="46">
        <v>3080</v>
      </c>
      <c r="D13092" s="69" t="s">
        <v>29418</v>
      </c>
      <c r="E13092" s="51"/>
      <c r="F13092" s="114" t="str">
        <f>IF(INDEX(I.Facility.P2bIDNumber,3080)="","",INDEX(I.Facility.P2bIDNumber,3080))</f>
        <v/>
      </c>
      <c r="G13092" s="51"/>
      <c r="H13092" s="46" t="str">
        <f>IF(AND(I.Developer.P2b=TRUE,I.Facility.P2bFacilityCount&gt;=3080,F13092=""),"Incomplete","Complete")</f>
        <v>Complete</v>
      </c>
      <c r="I13092" s="48" t="s">
        <v>17457</v>
      </c>
    </row>
    <row r="13093" spans="2:9" ht="15" customHeight="1" x14ac:dyDescent="0.25">
      <c r="B13093" s="55" t="s">
        <v>281</v>
      </c>
      <c r="C13093" s="46">
        <v>3081</v>
      </c>
      <c r="D13093" s="69" t="s">
        <v>29418</v>
      </c>
      <c r="E13093" s="51"/>
      <c r="F13093" s="114" t="str">
        <f>IF(INDEX(I.Facility.P2bIDNumber,3081)="","",INDEX(I.Facility.P2bIDNumber,3081))</f>
        <v/>
      </c>
      <c r="G13093" s="51"/>
      <c r="H13093" s="46" t="str">
        <f>IF(AND(I.Developer.P2b=TRUE,I.Facility.P2bFacilityCount&gt;=3081,F13093=""),"Incomplete","Complete")</f>
        <v>Complete</v>
      </c>
      <c r="I13093" s="48" t="s">
        <v>17458</v>
      </c>
    </row>
    <row r="13094" spans="2:9" ht="15" customHeight="1" x14ac:dyDescent="0.25">
      <c r="B13094" s="55" t="s">
        <v>281</v>
      </c>
      <c r="C13094" s="46">
        <v>3082</v>
      </c>
      <c r="D13094" s="69" t="s">
        <v>29418</v>
      </c>
      <c r="E13094" s="51"/>
      <c r="F13094" s="114" t="str">
        <f>IF(INDEX(I.Facility.P2bIDNumber,3082)="","",INDEX(I.Facility.P2bIDNumber,3082))</f>
        <v/>
      </c>
      <c r="G13094" s="51"/>
      <c r="H13094" s="46" t="str">
        <f>IF(AND(I.Developer.P2b=TRUE,I.Facility.P2bFacilityCount&gt;=3082,F13094=""),"Incomplete","Complete")</f>
        <v>Complete</v>
      </c>
      <c r="I13094" s="48" t="s">
        <v>17459</v>
      </c>
    </row>
    <row r="13095" spans="2:9" ht="15" customHeight="1" x14ac:dyDescent="0.25">
      <c r="B13095" s="55" t="s">
        <v>281</v>
      </c>
      <c r="C13095" s="46">
        <v>3083</v>
      </c>
      <c r="D13095" s="69" t="s">
        <v>29418</v>
      </c>
      <c r="E13095" s="51"/>
      <c r="F13095" s="114" t="str">
        <f>IF(INDEX(I.Facility.P2bIDNumber,3083)="","",INDEX(I.Facility.P2bIDNumber,3083))</f>
        <v/>
      </c>
      <c r="G13095" s="51"/>
      <c r="H13095" s="46" t="str">
        <f>IF(AND(I.Developer.P2b=TRUE,I.Facility.P2bFacilityCount&gt;=3083,F13095=""),"Incomplete","Complete")</f>
        <v>Complete</v>
      </c>
      <c r="I13095" s="48" t="s">
        <v>17460</v>
      </c>
    </row>
    <row r="13096" spans="2:9" ht="15" customHeight="1" x14ac:dyDescent="0.25">
      <c r="B13096" s="55" t="s">
        <v>281</v>
      </c>
      <c r="C13096" s="46">
        <v>3084</v>
      </c>
      <c r="D13096" s="69" t="s">
        <v>29418</v>
      </c>
      <c r="E13096" s="51"/>
      <c r="F13096" s="114" t="str">
        <f>IF(INDEX(I.Facility.P2bIDNumber,3084)="","",INDEX(I.Facility.P2bIDNumber,3084))</f>
        <v/>
      </c>
      <c r="G13096" s="51"/>
      <c r="H13096" s="46" t="str">
        <f>IF(AND(I.Developer.P2b=TRUE,I.Facility.P2bFacilityCount&gt;=3084,F13096=""),"Incomplete","Complete")</f>
        <v>Complete</v>
      </c>
      <c r="I13096" s="48" t="s">
        <v>17461</v>
      </c>
    </row>
    <row r="13097" spans="2:9" ht="15" customHeight="1" x14ac:dyDescent="0.25">
      <c r="B13097" s="55" t="s">
        <v>281</v>
      </c>
      <c r="C13097" s="46">
        <v>3085</v>
      </c>
      <c r="D13097" s="69" t="s">
        <v>29418</v>
      </c>
      <c r="E13097" s="51"/>
      <c r="F13097" s="114" t="str">
        <f>IF(INDEX(I.Facility.P2bIDNumber,3085)="","",INDEX(I.Facility.P2bIDNumber,3085))</f>
        <v/>
      </c>
      <c r="G13097" s="51"/>
      <c r="H13097" s="46" t="str">
        <f>IF(AND(I.Developer.P2b=TRUE,I.Facility.P2bFacilityCount&gt;=3085,F13097=""),"Incomplete","Complete")</f>
        <v>Complete</v>
      </c>
      <c r="I13097" s="48" t="s">
        <v>17462</v>
      </c>
    </row>
    <row r="13098" spans="2:9" ht="15" customHeight="1" x14ac:dyDescent="0.25">
      <c r="B13098" s="55" t="s">
        <v>281</v>
      </c>
      <c r="C13098" s="46">
        <v>3086</v>
      </c>
      <c r="D13098" s="69" t="s">
        <v>29418</v>
      </c>
      <c r="E13098" s="51"/>
      <c r="F13098" s="114" t="str">
        <f>IF(INDEX(I.Facility.P2bIDNumber,3086)="","",INDEX(I.Facility.P2bIDNumber,3086))</f>
        <v/>
      </c>
      <c r="G13098" s="51"/>
      <c r="H13098" s="46" t="str">
        <f>IF(AND(I.Developer.P2b=TRUE,I.Facility.P2bFacilityCount&gt;=3086,F13098=""),"Incomplete","Complete")</f>
        <v>Complete</v>
      </c>
      <c r="I13098" s="48" t="s">
        <v>17463</v>
      </c>
    </row>
    <row r="13099" spans="2:9" ht="15" customHeight="1" x14ac:dyDescent="0.25">
      <c r="B13099" s="55" t="s">
        <v>281</v>
      </c>
      <c r="C13099" s="46">
        <v>3087</v>
      </c>
      <c r="D13099" s="69" t="s">
        <v>29418</v>
      </c>
      <c r="E13099" s="51"/>
      <c r="F13099" s="114" t="str">
        <f>IF(INDEX(I.Facility.P2bIDNumber,3087)="","",INDEX(I.Facility.P2bIDNumber,3087))</f>
        <v/>
      </c>
      <c r="G13099" s="51"/>
      <c r="H13099" s="46" t="str">
        <f>IF(AND(I.Developer.P2b=TRUE,I.Facility.P2bFacilityCount&gt;=3087,F13099=""),"Incomplete","Complete")</f>
        <v>Complete</v>
      </c>
      <c r="I13099" s="48" t="s">
        <v>17464</v>
      </c>
    </row>
    <row r="13100" spans="2:9" ht="15" customHeight="1" x14ac:dyDescent="0.25">
      <c r="B13100" s="55" t="s">
        <v>281</v>
      </c>
      <c r="C13100" s="46">
        <v>3088</v>
      </c>
      <c r="D13100" s="69" t="s">
        <v>29418</v>
      </c>
      <c r="E13100" s="51"/>
      <c r="F13100" s="114" t="str">
        <f>IF(INDEX(I.Facility.P2bIDNumber,3088)="","",INDEX(I.Facility.P2bIDNumber,3088))</f>
        <v/>
      </c>
      <c r="G13100" s="51"/>
      <c r="H13100" s="46" t="str">
        <f>IF(AND(I.Developer.P2b=TRUE,I.Facility.P2bFacilityCount&gt;=3088,F13100=""),"Incomplete","Complete")</f>
        <v>Complete</v>
      </c>
      <c r="I13100" s="48" t="s">
        <v>17465</v>
      </c>
    </row>
    <row r="13101" spans="2:9" ht="15" customHeight="1" x14ac:dyDescent="0.25">
      <c r="B13101" s="55" t="s">
        <v>281</v>
      </c>
      <c r="C13101" s="46">
        <v>3089</v>
      </c>
      <c r="D13101" s="69" t="s">
        <v>29418</v>
      </c>
      <c r="E13101" s="51"/>
      <c r="F13101" s="114" t="str">
        <f>IF(INDEX(I.Facility.P2bIDNumber,3089)="","",INDEX(I.Facility.P2bIDNumber,3089))</f>
        <v/>
      </c>
      <c r="G13101" s="51"/>
      <c r="H13101" s="46" t="str">
        <f>IF(AND(I.Developer.P2b=TRUE,I.Facility.P2bFacilityCount&gt;=3089,F13101=""),"Incomplete","Complete")</f>
        <v>Complete</v>
      </c>
      <c r="I13101" s="48" t="s">
        <v>17466</v>
      </c>
    </row>
    <row r="13102" spans="2:9" ht="15" customHeight="1" x14ac:dyDescent="0.25">
      <c r="B13102" s="55" t="s">
        <v>281</v>
      </c>
      <c r="C13102" s="46">
        <v>3090</v>
      </c>
      <c r="D13102" s="69" t="s">
        <v>29418</v>
      </c>
      <c r="E13102" s="51"/>
      <c r="F13102" s="114" t="str">
        <f>IF(INDEX(I.Facility.P2bIDNumber,3090)="","",INDEX(I.Facility.P2bIDNumber,3090))</f>
        <v/>
      </c>
      <c r="G13102" s="51"/>
      <c r="H13102" s="46" t="str">
        <f>IF(AND(I.Developer.P2b=TRUE,I.Facility.P2bFacilityCount&gt;=3090,F13102=""),"Incomplete","Complete")</f>
        <v>Complete</v>
      </c>
      <c r="I13102" s="48" t="s">
        <v>17467</v>
      </c>
    </row>
    <row r="13103" spans="2:9" ht="15" customHeight="1" x14ac:dyDescent="0.25">
      <c r="B13103" s="55" t="s">
        <v>281</v>
      </c>
      <c r="C13103" s="46">
        <v>3091</v>
      </c>
      <c r="D13103" s="69" t="s">
        <v>29418</v>
      </c>
      <c r="E13103" s="51"/>
      <c r="F13103" s="114" t="str">
        <f>IF(INDEX(I.Facility.P2bIDNumber,3091)="","",INDEX(I.Facility.P2bIDNumber,3091))</f>
        <v/>
      </c>
      <c r="G13103" s="51"/>
      <c r="H13103" s="46" t="str">
        <f>IF(AND(I.Developer.P2b=TRUE,I.Facility.P2bFacilityCount&gt;=3091,F13103=""),"Incomplete","Complete")</f>
        <v>Complete</v>
      </c>
      <c r="I13103" s="48" t="s">
        <v>17468</v>
      </c>
    </row>
    <row r="13104" spans="2:9" ht="15" customHeight="1" x14ac:dyDescent="0.25">
      <c r="B13104" s="55" t="s">
        <v>281</v>
      </c>
      <c r="C13104" s="46">
        <v>3092</v>
      </c>
      <c r="D13104" s="69" t="s">
        <v>29418</v>
      </c>
      <c r="E13104" s="51"/>
      <c r="F13104" s="114" t="str">
        <f>IF(INDEX(I.Facility.P2bIDNumber,3092)="","",INDEX(I.Facility.P2bIDNumber,3092))</f>
        <v/>
      </c>
      <c r="G13104" s="51"/>
      <c r="H13104" s="46" t="str">
        <f>IF(AND(I.Developer.P2b=TRUE,I.Facility.P2bFacilityCount&gt;=3092,F13104=""),"Incomplete","Complete")</f>
        <v>Complete</v>
      </c>
      <c r="I13104" s="48" t="s">
        <v>17469</v>
      </c>
    </row>
    <row r="13105" spans="2:9" ht="15" customHeight="1" x14ac:dyDescent="0.25">
      <c r="B13105" s="55" t="s">
        <v>281</v>
      </c>
      <c r="C13105" s="46">
        <v>3093</v>
      </c>
      <c r="D13105" s="69" t="s">
        <v>29418</v>
      </c>
      <c r="E13105" s="51"/>
      <c r="F13105" s="114" t="str">
        <f>IF(INDEX(I.Facility.P2bIDNumber,3093)="","",INDEX(I.Facility.P2bIDNumber,3093))</f>
        <v/>
      </c>
      <c r="G13105" s="51"/>
      <c r="H13105" s="46" t="str">
        <f>IF(AND(I.Developer.P2b=TRUE,I.Facility.P2bFacilityCount&gt;=3093,F13105=""),"Incomplete","Complete")</f>
        <v>Complete</v>
      </c>
      <c r="I13105" s="48" t="s">
        <v>17470</v>
      </c>
    </row>
    <row r="13106" spans="2:9" ht="15" customHeight="1" x14ac:dyDescent="0.25">
      <c r="B13106" s="55" t="s">
        <v>281</v>
      </c>
      <c r="C13106" s="46">
        <v>3094</v>
      </c>
      <c r="D13106" s="69" t="s">
        <v>29418</v>
      </c>
      <c r="E13106" s="51"/>
      <c r="F13106" s="114" t="str">
        <f>IF(INDEX(I.Facility.P2bIDNumber,3094)="","",INDEX(I.Facility.P2bIDNumber,3094))</f>
        <v/>
      </c>
      <c r="G13106" s="51"/>
      <c r="H13106" s="46" t="str">
        <f>IF(AND(I.Developer.P2b=TRUE,I.Facility.P2bFacilityCount&gt;=3094,F13106=""),"Incomplete","Complete")</f>
        <v>Complete</v>
      </c>
      <c r="I13106" s="48" t="s">
        <v>17471</v>
      </c>
    </row>
    <row r="13107" spans="2:9" ht="15" customHeight="1" x14ac:dyDescent="0.25">
      <c r="B13107" s="55" t="s">
        <v>281</v>
      </c>
      <c r="C13107" s="46">
        <v>3095</v>
      </c>
      <c r="D13107" s="69" t="s">
        <v>29418</v>
      </c>
      <c r="E13107" s="51"/>
      <c r="F13107" s="114" t="str">
        <f>IF(INDEX(I.Facility.P2bIDNumber,3095)="","",INDEX(I.Facility.P2bIDNumber,3095))</f>
        <v/>
      </c>
      <c r="G13107" s="51"/>
      <c r="H13107" s="46" t="str">
        <f>IF(AND(I.Developer.P2b=TRUE,I.Facility.P2bFacilityCount&gt;=3095,F13107=""),"Incomplete","Complete")</f>
        <v>Complete</v>
      </c>
      <c r="I13107" s="48" t="s">
        <v>17472</v>
      </c>
    </row>
    <row r="13108" spans="2:9" ht="15" customHeight="1" x14ac:dyDescent="0.25">
      <c r="B13108" s="55" t="s">
        <v>281</v>
      </c>
      <c r="C13108" s="46">
        <v>3096</v>
      </c>
      <c r="D13108" s="69" t="s">
        <v>29418</v>
      </c>
      <c r="E13108" s="51"/>
      <c r="F13108" s="114" t="str">
        <f>IF(INDEX(I.Facility.P2bIDNumber,3096)="","",INDEX(I.Facility.P2bIDNumber,3096))</f>
        <v/>
      </c>
      <c r="G13108" s="51"/>
      <c r="H13108" s="46" t="str">
        <f>IF(AND(I.Developer.P2b=TRUE,I.Facility.P2bFacilityCount&gt;=3096,F13108=""),"Incomplete","Complete")</f>
        <v>Complete</v>
      </c>
      <c r="I13108" s="48" t="s">
        <v>17473</v>
      </c>
    </row>
    <row r="13109" spans="2:9" ht="15" customHeight="1" x14ac:dyDescent="0.25">
      <c r="B13109" s="55" t="s">
        <v>281</v>
      </c>
      <c r="C13109" s="46">
        <v>3097</v>
      </c>
      <c r="D13109" s="69" t="s">
        <v>29418</v>
      </c>
      <c r="E13109" s="51"/>
      <c r="F13109" s="114" t="str">
        <f>IF(INDEX(I.Facility.P2bIDNumber,3097)="","",INDEX(I.Facility.P2bIDNumber,3097))</f>
        <v/>
      </c>
      <c r="G13109" s="51"/>
      <c r="H13109" s="46" t="str">
        <f>IF(AND(I.Developer.P2b=TRUE,I.Facility.P2bFacilityCount&gt;=3097,F13109=""),"Incomplete","Complete")</f>
        <v>Complete</v>
      </c>
      <c r="I13109" s="48" t="s">
        <v>17474</v>
      </c>
    </row>
    <row r="13110" spans="2:9" ht="15" customHeight="1" x14ac:dyDescent="0.25">
      <c r="B13110" s="55" t="s">
        <v>281</v>
      </c>
      <c r="C13110" s="46">
        <v>3098</v>
      </c>
      <c r="D13110" s="69" t="s">
        <v>29418</v>
      </c>
      <c r="E13110" s="51"/>
      <c r="F13110" s="114" t="str">
        <f>IF(INDEX(I.Facility.P2bIDNumber,3098)="","",INDEX(I.Facility.P2bIDNumber,3098))</f>
        <v/>
      </c>
      <c r="G13110" s="51"/>
      <c r="H13110" s="46" t="str">
        <f>IF(AND(I.Developer.P2b=TRUE,I.Facility.P2bFacilityCount&gt;=3098,F13110=""),"Incomplete","Complete")</f>
        <v>Complete</v>
      </c>
      <c r="I13110" s="48" t="s">
        <v>17475</v>
      </c>
    </row>
    <row r="13111" spans="2:9" ht="15" customHeight="1" x14ac:dyDescent="0.25">
      <c r="B13111" s="55" t="s">
        <v>281</v>
      </c>
      <c r="C13111" s="46">
        <v>3099</v>
      </c>
      <c r="D13111" s="69" t="s">
        <v>29418</v>
      </c>
      <c r="E13111" s="51"/>
      <c r="F13111" s="114" t="str">
        <f>IF(INDEX(I.Facility.P2bIDNumber,3099)="","",INDEX(I.Facility.P2bIDNumber,3099))</f>
        <v/>
      </c>
      <c r="G13111" s="51"/>
      <c r="H13111" s="46" t="str">
        <f>IF(AND(I.Developer.P2b=TRUE,I.Facility.P2bFacilityCount&gt;=3099,F13111=""),"Incomplete","Complete")</f>
        <v>Complete</v>
      </c>
      <c r="I13111" s="48" t="s">
        <v>17476</v>
      </c>
    </row>
    <row r="13112" spans="2:9" ht="15" customHeight="1" x14ac:dyDescent="0.25">
      <c r="B13112" s="55" t="s">
        <v>281</v>
      </c>
      <c r="C13112" s="46">
        <v>3100</v>
      </c>
      <c r="D13112" s="69" t="s">
        <v>29418</v>
      </c>
      <c r="E13112" s="51"/>
      <c r="F13112" s="114" t="str">
        <f>IF(INDEX(I.Facility.P2bIDNumber,3100)="","",INDEX(I.Facility.P2bIDNumber,3100))</f>
        <v/>
      </c>
      <c r="G13112" s="51"/>
      <c r="H13112" s="46" t="str">
        <f>IF(AND(I.Developer.P2b=TRUE,I.Facility.P2bFacilityCount&gt;=3100,F13112=""),"Incomplete","Complete")</f>
        <v>Complete</v>
      </c>
      <c r="I13112" s="48" t="s">
        <v>17477</v>
      </c>
    </row>
    <row r="13113" spans="2:9" ht="15" customHeight="1" x14ac:dyDescent="0.25">
      <c r="B13113" s="55" t="s">
        <v>281</v>
      </c>
      <c r="C13113" s="46">
        <v>3101</v>
      </c>
      <c r="D13113" s="69" t="s">
        <v>29418</v>
      </c>
      <c r="E13113" s="51"/>
      <c r="F13113" s="114" t="str">
        <f>IF(INDEX(I.Facility.P2bIDNumber,3101)="","",INDEX(I.Facility.P2bIDNumber,3101))</f>
        <v/>
      </c>
      <c r="G13113" s="51"/>
      <c r="H13113" s="46" t="str">
        <f>IF(AND(I.Developer.P2b=TRUE,I.Facility.P2bFacilityCount&gt;=3101,F13113=""),"Incomplete","Complete")</f>
        <v>Complete</v>
      </c>
      <c r="I13113" s="48" t="s">
        <v>17478</v>
      </c>
    </row>
    <row r="13114" spans="2:9" ht="15" customHeight="1" x14ac:dyDescent="0.25">
      <c r="B13114" s="55" t="s">
        <v>281</v>
      </c>
      <c r="C13114" s="46">
        <v>3102</v>
      </c>
      <c r="D13114" s="69" t="s">
        <v>29418</v>
      </c>
      <c r="E13114" s="51"/>
      <c r="F13114" s="114" t="str">
        <f>IF(INDEX(I.Facility.P2bIDNumber,3102)="","",INDEX(I.Facility.P2bIDNumber,3102))</f>
        <v/>
      </c>
      <c r="G13114" s="51"/>
      <c r="H13114" s="46" t="str">
        <f>IF(AND(I.Developer.P2b=TRUE,I.Facility.P2bFacilityCount&gt;=3102,F13114=""),"Incomplete","Complete")</f>
        <v>Complete</v>
      </c>
      <c r="I13114" s="48" t="s">
        <v>17479</v>
      </c>
    </row>
    <row r="13115" spans="2:9" ht="15" customHeight="1" x14ac:dyDescent="0.25">
      <c r="B13115" s="55" t="s">
        <v>281</v>
      </c>
      <c r="C13115" s="46">
        <v>3103</v>
      </c>
      <c r="D13115" s="69" t="s">
        <v>29418</v>
      </c>
      <c r="E13115" s="51"/>
      <c r="F13115" s="114" t="str">
        <f>IF(INDEX(I.Facility.P2bIDNumber,3103)="","",INDEX(I.Facility.P2bIDNumber,3103))</f>
        <v/>
      </c>
      <c r="G13115" s="51"/>
      <c r="H13115" s="46" t="str">
        <f>IF(AND(I.Developer.P2b=TRUE,I.Facility.P2bFacilityCount&gt;=3103,F13115=""),"Incomplete","Complete")</f>
        <v>Complete</v>
      </c>
      <c r="I13115" s="48" t="s">
        <v>17480</v>
      </c>
    </row>
    <row r="13116" spans="2:9" ht="15" customHeight="1" x14ac:dyDescent="0.25">
      <c r="B13116" s="55" t="s">
        <v>281</v>
      </c>
      <c r="C13116" s="46">
        <v>3104</v>
      </c>
      <c r="D13116" s="69" t="s">
        <v>29418</v>
      </c>
      <c r="E13116" s="51"/>
      <c r="F13116" s="114" t="str">
        <f>IF(INDEX(I.Facility.P2bIDNumber,3104)="","",INDEX(I.Facility.P2bIDNumber,3104))</f>
        <v/>
      </c>
      <c r="G13116" s="51"/>
      <c r="H13116" s="46" t="str">
        <f>IF(AND(I.Developer.P2b=TRUE,I.Facility.P2bFacilityCount&gt;=3104,F13116=""),"Incomplete","Complete")</f>
        <v>Complete</v>
      </c>
      <c r="I13116" s="48" t="s">
        <v>17481</v>
      </c>
    </row>
    <row r="13117" spans="2:9" ht="15" customHeight="1" x14ac:dyDescent="0.25">
      <c r="B13117" s="55" t="s">
        <v>281</v>
      </c>
      <c r="C13117" s="46">
        <v>3105</v>
      </c>
      <c r="D13117" s="69" t="s">
        <v>29418</v>
      </c>
      <c r="E13117" s="51"/>
      <c r="F13117" s="114" t="str">
        <f>IF(INDEX(I.Facility.P2bIDNumber,3105)="","",INDEX(I.Facility.P2bIDNumber,3105))</f>
        <v/>
      </c>
      <c r="G13117" s="51"/>
      <c r="H13117" s="46" t="str">
        <f>IF(AND(I.Developer.P2b=TRUE,I.Facility.P2bFacilityCount&gt;=3105,F13117=""),"Incomplete","Complete")</f>
        <v>Complete</v>
      </c>
      <c r="I13117" s="48" t="s">
        <v>17482</v>
      </c>
    </row>
    <row r="13118" spans="2:9" ht="15" customHeight="1" x14ac:dyDescent="0.25">
      <c r="B13118" s="55" t="s">
        <v>281</v>
      </c>
      <c r="C13118" s="46">
        <v>3106</v>
      </c>
      <c r="D13118" s="69" t="s">
        <v>29418</v>
      </c>
      <c r="E13118" s="51"/>
      <c r="F13118" s="114" t="str">
        <f>IF(INDEX(I.Facility.P2bIDNumber,3106)="","",INDEX(I.Facility.P2bIDNumber,3106))</f>
        <v/>
      </c>
      <c r="G13118" s="51"/>
      <c r="H13118" s="46" t="str">
        <f>IF(AND(I.Developer.P2b=TRUE,I.Facility.P2bFacilityCount&gt;=3106,F13118=""),"Incomplete","Complete")</f>
        <v>Complete</v>
      </c>
      <c r="I13118" s="48" t="s">
        <v>17483</v>
      </c>
    </row>
    <row r="13119" spans="2:9" ht="15" customHeight="1" x14ac:dyDescent="0.25">
      <c r="B13119" s="55" t="s">
        <v>281</v>
      </c>
      <c r="C13119" s="46">
        <v>3107</v>
      </c>
      <c r="D13119" s="69" t="s">
        <v>29418</v>
      </c>
      <c r="E13119" s="51"/>
      <c r="F13119" s="114" t="str">
        <f>IF(INDEX(I.Facility.P2bIDNumber,3107)="","",INDEX(I.Facility.P2bIDNumber,3107))</f>
        <v/>
      </c>
      <c r="G13119" s="51"/>
      <c r="H13119" s="46" t="str">
        <f>IF(AND(I.Developer.P2b=TRUE,I.Facility.P2bFacilityCount&gt;=3107,F13119=""),"Incomplete","Complete")</f>
        <v>Complete</v>
      </c>
      <c r="I13119" s="48" t="s">
        <v>17484</v>
      </c>
    </row>
    <row r="13120" spans="2:9" ht="15" customHeight="1" x14ac:dyDescent="0.25">
      <c r="B13120" s="55" t="s">
        <v>281</v>
      </c>
      <c r="C13120" s="46">
        <v>3108</v>
      </c>
      <c r="D13120" s="69" t="s">
        <v>29418</v>
      </c>
      <c r="E13120" s="51"/>
      <c r="F13120" s="114" t="str">
        <f>IF(INDEX(I.Facility.P2bIDNumber,3108)="","",INDEX(I.Facility.P2bIDNumber,3108))</f>
        <v/>
      </c>
      <c r="G13120" s="51"/>
      <c r="H13120" s="46" t="str">
        <f>IF(AND(I.Developer.P2b=TRUE,I.Facility.P2bFacilityCount&gt;=3108,F13120=""),"Incomplete","Complete")</f>
        <v>Complete</v>
      </c>
      <c r="I13120" s="48" t="s">
        <v>17485</v>
      </c>
    </row>
    <row r="13121" spans="2:9" ht="15" customHeight="1" x14ac:dyDescent="0.25">
      <c r="B13121" s="55" t="s">
        <v>281</v>
      </c>
      <c r="C13121" s="46">
        <v>3109</v>
      </c>
      <c r="D13121" s="69" t="s">
        <v>29418</v>
      </c>
      <c r="E13121" s="51"/>
      <c r="F13121" s="114" t="str">
        <f>IF(INDEX(I.Facility.P2bIDNumber,3109)="","",INDEX(I.Facility.P2bIDNumber,3109))</f>
        <v/>
      </c>
      <c r="G13121" s="51"/>
      <c r="H13121" s="46" t="str">
        <f>IF(AND(I.Developer.P2b=TRUE,I.Facility.P2bFacilityCount&gt;=3109,F13121=""),"Incomplete","Complete")</f>
        <v>Complete</v>
      </c>
      <c r="I13121" s="48" t="s">
        <v>17486</v>
      </c>
    </row>
    <row r="13122" spans="2:9" ht="15" customHeight="1" x14ac:dyDescent="0.25">
      <c r="B13122" s="55" t="s">
        <v>281</v>
      </c>
      <c r="C13122" s="46">
        <v>3110</v>
      </c>
      <c r="D13122" s="69" t="s">
        <v>29418</v>
      </c>
      <c r="E13122" s="51"/>
      <c r="F13122" s="114" t="str">
        <f>IF(INDEX(I.Facility.P2bIDNumber,3110)="","",INDEX(I.Facility.P2bIDNumber,3110))</f>
        <v/>
      </c>
      <c r="G13122" s="51"/>
      <c r="H13122" s="46" t="str">
        <f>IF(AND(I.Developer.P2b=TRUE,I.Facility.P2bFacilityCount&gt;=3110,F13122=""),"Incomplete","Complete")</f>
        <v>Complete</v>
      </c>
      <c r="I13122" s="48" t="s">
        <v>17487</v>
      </c>
    </row>
    <row r="13123" spans="2:9" ht="15" customHeight="1" x14ac:dyDescent="0.25">
      <c r="B13123" s="55" t="s">
        <v>281</v>
      </c>
      <c r="C13123" s="46">
        <v>3111</v>
      </c>
      <c r="D13123" s="69" t="s">
        <v>29418</v>
      </c>
      <c r="E13123" s="51"/>
      <c r="F13123" s="114" t="str">
        <f>IF(INDEX(I.Facility.P2bIDNumber,3111)="","",INDEX(I.Facility.P2bIDNumber,3111))</f>
        <v/>
      </c>
      <c r="G13123" s="51"/>
      <c r="H13123" s="46" t="str">
        <f>IF(AND(I.Developer.P2b=TRUE,I.Facility.P2bFacilityCount&gt;=3111,F13123=""),"Incomplete","Complete")</f>
        <v>Complete</v>
      </c>
      <c r="I13123" s="48" t="s">
        <v>17488</v>
      </c>
    </row>
    <row r="13124" spans="2:9" ht="15" customHeight="1" x14ac:dyDescent="0.25">
      <c r="B13124" s="55" t="s">
        <v>281</v>
      </c>
      <c r="C13124" s="46">
        <v>3112</v>
      </c>
      <c r="D13124" s="69" t="s">
        <v>29418</v>
      </c>
      <c r="E13124" s="51"/>
      <c r="F13124" s="114" t="str">
        <f>IF(INDEX(I.Facility.P2bIDNumber,3112)="","",INDEX(I.Facility.P2bIDNumber,3112))</f>
        <v/>
      </c>
      <c r="G13124" s="51"/>
      <c r="H13124" s="46" t="str">
        <f>IF(AND(I.Developer.P2b=TRUE,I.Facility.P2bFacilityCount&gt;=3112,F13124=""),"Incomplete","Complete")</f>
        <v>Complete</v>
      </c>
      <c r="I13124" s="48" t="s">
        <v>17489</v>
      </c>
    </row>
    <row r="13125" spans="2:9" ht="15" customHeight="1" x14ac:dyDescent="0.25">
      <c r="B13125" s="55" t="s">
        <v>281</v>
      </c>
      <c r="C13125" s="46">
        <v>3113</v>
      </c>
      <c r="D13125" s="69" t="s">
        <v>29418</v>
      </c>
      <c r="E13125" s="51"/>
      <c r="F13125" s="114" t="str">
        <f>IF(INDEX(I.Facility.P2bIDNumber,3113)="","",INDEX(I.Facility.P2bIDNumber,3113))</f>
        <v/>
      </c>
      <c r="G13125" s="51"/>
      <c r="H13125" s="46" t="str">
        <f>IF(AND(I.Developer.P2b=TRUE,I.Facility.P2bFacilityCount&gt;=3113,F13125=""),"Incomplete","Complete")</f>
        <v>Complete</v>
      </c>
      <c r="I13125" s="48" t="s">
        <v>17490</v>
      </c>
    </row>
    <row r="13126" spans="2:9" ht="15" customHeight="1" x14ac:dyDescent="0.25">
      <c r="B13126" s="55" t="s">
        <v>281</v>
      </c>
      <c r="C13126" s="46">
        <v>3114</v>
      </c>
      <c r="D13126" s="69" t="s">
        <v>29418</v>
      </c>
      <c r="E13126" s="51"/>
      <c r="F13126" s="114" t="str">
        <f>IF(INDEX(I.Facility.P2bIDNumber,3114)="","",INDEX(I.Facility.P2bIDNumber,3114))</f>
        <v/>
      </c>
      <c r="G13126" s="51"/>
      <c r="H13126" s="46" t="str">
        <f>IF(AND(I.Developer.P2b=TRUE,I.Facility.P2bFacilityCount&gt;=3114,F13126=""),"Incomplete","Complete")</f>
        <v>Complete</v>
      </c>
      <c r="I13126" s="48" t="s">
        <v>17491</v>
      </c>
    </row>
    <row r="13127" spans="2:9" ht="15" customHeight="1" x14ac:dyDescent="0.25">
      <c r="B13127" s="55" t="s">
        <v>281</v>
      </c>
      <c r="C13127" s="46">
        <v>3115</v>
      </c>
      <c r="D13127" s="69" t="s">
        <v>29418</v>
      </c>
      <c r="E13127" s="51"/>
      <c r="F13127" s="114" t="str">
        <f>IF(INDEX(I.Facility.P2bIDNumber,3115)="","",INDEX(I.Facility.P2bIDNumber,3115))</f>
        <v/>
      </c>
      <c r="G13127" s="51"/>
      <c r="H13127" s="46" t="str">
        <f>IF(AND(I.Developer.P2b=TRUE,I.Facility.P2bFacilityCount&gt;=3115,F13127=""),"Incomplete","Complete")</f>
        <v>Complete</v>
      </c>
      <c r="I13127" s="48" t="s">
        <v>17492</v>
      </c>
    </row>
    <row r="13128" spans="2:9" ht="15" customHeight="1" x14ac:dyDescent="0.25">
      <c r="B13128" s="55" t="s">
        <v>281</v>
      </c>
      <c r="C13128" s="46">
        <v>3116</v>
      </c>
      <c r="D13128" s="69" t="s">
        <v>29418</v>
      </c>
      <c r="E13128" s="51"/>
      <c r="F13128" s="114" t="str">
        <f>IF(INDEX(I.Facility.P2bIDNumber,3116)="","",INDEX(I.Facility.P2bIDNumber,3116))</f>
        <v/>
      </c>
      <c r="G13128" s="51"/>
      <c r="H13128" s="46" t="str">
        <f>IF(AND(I.Developer.P2b=TRUE,I.Facility.P2bFacilityCount&gt;=3116,F13128=""),"Incomplete","Complete")</f>
        <v>Complete</v>
      </c>
      <c r="I13128" s="48" t="s">
        <v>17493</v>
      </c>
    </row>
    <row r="13129" spans="2:9" ht="15" customHeight="1" x14ac:dyDescent="0.25">
      <c r="B13129" s="55" t="s">
        <v>281</v>
      </c>
      <c r="C13129" s="46">
        <v>3117</v>
      </c>
      <c r="D13129" s="69" t="s">
        <v>29418</v>
      </c>
      <c r="E13129" s="51"/>
      <c r="F13129" s="114" t="str">
        <f>IF(INDEX(I.Facility.P2bIDNumber,3117)="","",INDEX(I.Facility.P2bIDNumber,3117))</f>
        <v/>
      </c>
      <c r="G13129" s="51"/>
      <c r="H13129" s="46" t="str">
        <f>IF(AND(I.Developer.P2b=TRUE,I.Facility.P2bFacilityCount&gt;=3117,F13129=""),"Incomplete","Complete")</f>
        <v>Complete</v>
      </c>
      <c r="I13129" s="48" t="s">
        <v>17494</v>
      </c>
    </row>
    <row r="13130" spans="2:9" ht="15" customHeight="1" x14ac:dyDescent="0.25">
      <c r="B13130" s="55" t="s">
        <v>281</v>
      </c>
      <c r="C13130" s="46">
        <v>3118</v>
      </c>
      <c r="D13130" s="69" t="s">
        <v>29418</v>
      </c>
      <c r="E13130" s="51"/>
      <c r="F13130" s="114" t="str">
        <f>IF(INDEX(I.Facility.P2bIDNumber,3118)="","",INDEX(I.Facility.P2bIDNumber,3118))</f>
        <v/>
      </c>
      <c r="G13130" s="51"/>
      <c r="H13130" s="46" t="str">
        <f>IF(AND(I.Developer.P2b=TRUE,I.Facility.P2bFacilityCount&gt;=3118,F13130=""),"Incomplete","Complete")</f>
        <v>Complete</v>
      </c>
      <c r="I13130" s="48" t="s">
        <v>17495</v>
      </c>
    </row>
    <row r="13131" spans="2:9" ht="15" customHeight="1" x14ac:dyDescent="0.25">
      <c r="B13131" s="55" t="s">
        <v>281</v>
      </c>
      <c r="C13131" s="46">
        <v>3119</v>
      </c>
      <c r="D13131" s="69" t="s">
        <v>29418</v>
      </c>
      <c r="E13131" s="51"/>
      <c r="F13131" s="114" t="str">
        <f>IF(INDEX(I.Facility.P2bIDNumber,3119)="","",INDEX(I.Facility.P2bIDNumber,3119))</f>
        <v/>
      </c>
      <c r="G13131" s="51"/>
      <c r="H13131" s="46" t="str">
        <f>IF(AND(I.Developer.P2b=TRUE,I.Facility.P2bFacilityCount&gt;=3119,F13131=""),"Incomplete","Complete")</f>
        <v>Complete</v>
      </c>
      <c r="I13131" s="48" t="s">
        <v>17496</v>
      </c>
    </row>
    <row r="13132" spans="2:9" ht="15" customHeight="1" x14ac:dyDescent="0.25">
      <c r="B13132" s="55" t="s">
        <v>281</v>
      </c>
      <c r="C13132" s="46">
        <v>3120</v>
      </c>
      <c r="D13132" s="69" t="s">
        <v>29418</v>
      </c>
      <c r="E13132" s="51"/>
      <c r="F13132" s="114" t="str">
        <f>IF(INDEX(I.Facility.P2bIDNumber,3120)="","",INDEX(I.Facility.P2bIDNumber,3120))</f>
        <v/>
      </c>
      <c r="G13132" s="51"/>
      <c r="H13132" s="46" t="str">
        <f>IF(AND(I.Developer.P2b=TRUE,I.Facility.P2bFacilityCount&gt;=3120,F13132=""),"Incomplete","Complete")</f>
        <v>Complete</v>
      </c>
      <c r="I13132" s="48" t="s">
        <v>17497</v>
      </c>
    </row>
    <row r="13133" spans="2:9" ht="15" customHeight="1" x14ac:dyDescent="0.25">
      <c r="B13133" s="55" t="s">
        <v>281</v>
      </c>
      <c r="C13133" s="46">
        <v>3121</v>
      </c>
      <c r="D13133" s="69" t="s">
        <v>29418</v>
      </c>
      <c r="E13133" s="51"/>
      <c r="F13133" s="114" t="str">
        <f>IF(INDEX(I.Facility.P2bIDNumber,3121)="","",INDEX(I.Facility.P2bIDNumber,3121))</f>
        <v/>
      </c>
      <c r="G13133" s="51"/>
      <c r="H13133" s="46" t="str">
        <f>IF(AND(I.Developer.P2b=TRUE,I.Facility.P2bFacilityCount&gt;=3121,F13133=""),"Incomplete","Complete")</f>
        <v>Complete</v>
      </c>
      <c r="I13133" s="48" t="s">
        <v>17498</v>
      </c>
    </row>
    <row r="13134" spans="2:9" ht="15" customHeight="1" x14ac:dyDescent="0.25">
      <c r="B13134" s="55" t="s">
        <v>281</v>
      </c>
      <c r="C13134" s="46">
        <v>3122</v>
      </c>
      <c r="D13134" s="69" t="s">
        <v>29418</v>
      </c>
      <c r="E13134" s="51"/>
      <c r="F13134" s="114" t="str">
        <f>IF(INDEX(I.Facility.P2bIDNumber,3122)="","",INDEX(I.Facility.P2bIDNumber,3122))</f>
        <v/>
      </c>
      <c r="G13134" s="51"/>
      <c r="H13134" s="46" t="str">
        <f>IF(AND(I.Developer.P2b=TRUE,I.Facility.P2bFacilityCount&gt;=3122,F13134=""),"Incomplete","Complete")</f>
        <v>Complete</v>
      </c>
      <c r="I13134" s="48" t="s">
        <v>17499</v>
      </c>
    </row>
    <row r="13135" spans="2:9" ht="15" customHeight="1" x14ac:dyDescent="0.25">
      <c r="B13135" s="55" t="s">
        <v>281</v>
      </c>
      <c r="C13135" s="46">
        <v>3123</v>
      </c>
      <c r="D13135" s="69" t="s">
        <v>29418</v>
      </c>
      <c r="E13135" s="51"/>
      <c r="F13135" s="114" t="str">
        <f>IF(INDEX(I.Facility.P2bIDNumber,3123)="","",INDEX(I.Facility.P2bIDNumber,3123))</f>
        <v/>
      </c>
      <c r="G13135" s="51"/>
      <c r="H13135" s="46" t="str">
        <f>IF(AND(I.Developer.P2b=TRUE,I.Facility.P2bFacilityCount&gt;=3123,F13135=""),"Incomplete","Complete")</f>
        <v>Complete</v>
      </c>
      <c r="I13135" s="48" t="s">
        <v>17500</v>
      </c>
    </row>
    <row r="13136" spans="2:9" ht="15" customHeight="1" x14ac:dyDescent="0.25">
      <c r="B13136" s="55" t="s">
        <v>281</v>
      </c>
      <c r="C13136" s="46">
        <v>3124</v>
      </c>
      <c r="D13136" s="69" t="s">
        <v>29418</v>
      </c>
      <c r="E13136" s="51"/>
      <c r="F13136" s="114" t="str">
        <f>IF(INDEX(I.Facility.P2bIDNumber,3124)="","",INDEX(I.Facility.P2bIDNumber,3124))</f>
        <v/>
      </c>
      <c r="G13136" s="51"/>
      <c r="H13136" s="46" t="str">
        <f>IF(AND(I.Developer.P2b=TRUE,I.Facility.P2bFacilityCount&gt;=3124,F13136=""),"Incomplete","Complete")</f>
        <v>Complete</v>
      </c>
      <c r="I13136" s="48" t="s">
        <v>17501</v>
      </c>
    </row>
    <row r="13137" spans="2:9" ht="15" customHeight="1" x14ac:dyDescent="0.25">
      <c r="B13137" s="55" t="s">
        <v>281</v>
      </c>
      <c r="C13137" s="46">
        <v>3125</v>
      </c>
      <c r="D13137" s="69" t="s">
        <v>29418</v>
      </c>
      <c r="E13137" s="51"/>
      <c r="F13137" s="114" t="str">
        <f>IF(INDEX(I.Facility.P2bIDNumber,3125)="","",INDEX(I.Facility.P2bIDNumber,3125))</f>
        <v/>
      </c>
      <c r="G13137" s="51"/>
      <c r="H13137" s="46" t="str">
        <f>IF(AND(I.Developer.P2b=TRUE,I.Facility.P2bFacilityCount&gt;=3125,F13137=""),"Incomplete","Complete")</f>
        <v>Complete</v>
      </c>
      <c r="I13137" s="48" t="s">
        <v>17502</v>
      </c>
    </row>
    <row r="13138" spans="2:9" ht="15" customHeight="1" x14ac:dyDescent="0.25">
      <c r="B13138" s="55" t="s">
        <v>281</v>
      </c>
      <c r="C13138" s="46">
        <v>3126</v>
      </c>
      <c r="D13138" s="69" t="s">
        <v>29418</v>
      </c>
      <c r="E13138" s="51"/>
      <c r="F13138" s="114" t="str">
        <f>IF(INDEX(I.Facility.P2bIDNumber,3126)="","",INDEX(I.Facility.P2bIDNumber,3126))</f>
        <v/>
      </c>
      <c r="G13138" s="51"/>
      <c r="H13138" s="46" t="str">
        <f>IF(AND(I.Developer.P2b=TRUE,I.Facility.P2bFacilityCount&gt;=3126,F13138=""),"Incomplete","Complete")</f>
        <v>Complete</v>
      </c>
      <c r="I13138" s="48" t="s">
        <v>17503</v>
      </c>
    </row>
    <row r="13139" spans="2:9" ht="15" customHeight="1" x14ac:dyDescent="0.25">
      <c r="B13139" s="55" t="s">
        <v>281</v>
      </c>
      <c r="C13139" s="46">
        <v>3127</v>
      </c>
      <c r="D13139" s="69" t="s">
        <v>29418</v>
      </c>
      <c r="E13139" s="51"/>
      <c r="F13139" s="114" t="str">
        <f>IF(INDEX(I.Facility.P2bIDNumber,3127)="","",INDEX(I.Facility.P2bIDNumber,3127))</f>
        <v/>
      </c>
      <c r="G13139" s="51"/>
      <c r="H13139" s="46" t="str">
        <f>IF(AND(I.Developer.P2b=TRUE,I.Facility.P2bFacilityCount&gt;=3127,F13139=""),"Incomplete","Complete")</f>
        <v>Complete</v>
      </c>
      <c r="I13139" s="48" t="s">
        <v>17504</v>
      </c>
    </row>
    <row r="13140" spans="2:9" ht="15" customHeight="1" x14ac:dyDescent="0.25">
      <c r="B13140" s="55" t="s">
        <v>281</v>
      </c>
      <c r="C13140" s="46">
        <v>3128</v>
      </c>
      <c r="D13140" s="69" t="s">
        <v>29418</v>
      </c>
      <c r="E13140" s="51"/>
      <c r="F13140" s="114" t="str">
        <f>IF(INDEX(I.Facility.P2bIDNumber,3128)="","",INDEX(I.Facility.P2bIDNumber,3128))</f>
        <v/>
      </c>
      <c r="G13140" s="51"/>
      <c r="H13140" s="46" t="str">
        <f>IF(AND(I.Developer.P2b=TRUE,I.Facility.P2bFacilityCount&gt;=3128,F13140=""),"Incomplete","Complete")</f>
        <v>Complete</v>
      </c>
      <c r="I13140" s="48" t="s">
        <v>17505</v>
      </c>
    </row>
    <row r="13141" spans="2:9" ht="15" customHeight="1" x14ac:dyDescent="0.25">
      <c r="B13141" s="55" t="s">
        <v>281</v>
      </c>
      <c r="C13141" s="46">
        <v>3129</v>
      </c>
      <c r="D13141" s="69" t="s">
        <v>29418</v>
      </c>
      <c r="E13141" s="51"/>
      <c r="F13141" s="114" t="str">
        <f>IF(INDEX(I.Facility.P2bIDNumber,3129)="","",INDEX(I.Facility.P2bIDNumber,3129))</f>
        <v/>
      </c>
      <c r="G13141" s="51"/>
      <c r="H13141" s="46" t="str">
        <f>IF(AND(I.Developer.P2b=TRUE,I.Facility.P2bFacilityCount&gt;=3129,F13141=""),"Incomplete","Complete")</f>
        <v>Complete</v>
      </c>
      <c r="I13141" s="48" t="s">
        <v>17506</v>
      </c>
    </row>
    <row r="13142" spans="2:9" ht="15" customHeight="1" x14ac:dyDescent="0.25">
      <c r="B13142" s="55" t="s">
        <v>281</v>
      </c>
      <c r="C13142" s="46">
        <v>3130</v>
      </c>
      <c r="D13142" s="69" t="s">
        <v>29418</v>
      </c>
      <c r="E13142" s="51"/>
      <c r="F13142" s="114" t="str">
        <f>IF(INDEX(I.Facility.P2bIDNumber,3130)="","",INDEX(I.Facility.P2bIDNumber,3130))</f>
        <v/>
      </c>
      <c r="G13142" s="51"/>
      <c r="H13142" s="46" t="str">
        <f>IF(AND(I.Developer.P2b=TRUE,I.Facility.P2bFacilityCount&gt;=3130,F13142=""),"Incomplete","Complete")</f>
        <v>Complete</v>
      </c>
      <c r="I13142" s="48" t="s">
        <v>17507</v>
      </c>
    </row>
    <row r="13143" spans="2:9" ht="15" customHeight="1" x14ac:dyDescent="0.25">
      <c r="B13143" s="55" t="s">
        <v>281</v>
      </c>
      <c r="C13143" s="46">
        <v>3131</v>
      </c>
      <c r="D13143" s="69" t="s">
        <v>29418</v>
      </c>
      <c r="E13143" s="51"/>
      <c r="F13143" s="114" t="str">
        <f>IF(INDEX(I.Facility.P2bIDNumber,3131)="","",INDEX(I.Facility.P2bIDNumber,3131))</f>
        <v/>
      </c>
      <c r="G13143" s="51"/>
      <c r="H13143" s="46" t="str">
        <f>IF(AND(I.Developer.P2b=TRUE,I.Facility.P2bFacilityCount&gt;=3131,F13143=""),"Incomplete","Complete")</f>
        <v>Complete</v>
      </c>
      <c r="I13143" s="48" t="s">
        <v>17508</v>
      </c>
    </row>
    <row r="13144" spans="2:9" ht="15" customHeight="1" x14ac:dyDescent="0.25">
      <c r="B13144" s="55" t="s">
        <v>281</v>
      </c>
      <c r="C13144" s="46">
        <v>3132</v>
      </c>
      <c r="D13144" s="69" t="s">
        <v>29418</v>
      </c>
      <c r="E13144" s="51"/>
      <c r="F13144" s="114" t="str">
        <f>IF(INDEX(I.Facility.P2bIDNumber,3132)="","",INDEX(I.Facility.P2bIDNumber,3132))</f>
        <v/>
      </c>
      <c r="G13144" s="51"/>
      <c r="H13144" s="46" t="str">
        <f>IF(AND(I.Developer.P2b=TRUE,I.Facility.P2bFacilityCount&gt;=3132,F13144=""),"Incomplete","Complete")</f>
        <v>Complete</v>
      </c>
      <c r="I13144" s="48" t="s">
        <v>17509</v>
      </c>
    </row>
    <row r="13145" spans="2:9" ht="15" customHeight="1" x14ac:dyDescent="0.25">
      <c r="B13145" s="55" t="s">
        <v>281</v>
      </c>
      <c r="C13145" s="46">
        <v>3133</v>
      </c>
      <c r="D13145" s="69" t="s">
        <v>29418</v>
      </c>
      <c r="E13145" s="51"/>
      <c r="F13145" s="114" t="str">
        <f>IF(INDEX(I.Facility.P2bIDNumber,3133)="","",INDEX(I.Facility.P2bIDNumber,3133))</f>
        <v/>
      </c>
      <c r="G13145" s="51"/>
      <c r="H13145" s="46" t="str">
        <f>IF(AND(I.Developer.P2b=TRUE,I.Facility.P2bFacilityCount&gt;=3133,F13145=""),"Incomplete","Complete")</f>
        <v>Complete</v>
      </c>
      <c r="I13145" s="48" t="s">
        <v>17510</v>
      </c>
    </row>
    <row r="13146" spans="2:9" ht="15" customHeight="1" x14ac:dyDescent="0.25">
      <c r="B13146" s="55" t="s">
        <v>281</v>
      </c>
      <c r="C13146" s="46">
        <v>3134</v>
      </c>
      <c r="D13146" s="69" t="s">
        <v>29418</v>
      </c>
      <c r="E13146" s="51"/>
      <c r="F13146" s="114" t="str">
        <f>IF(INDEX(I.Facility.P2bIDNumber,3134)="","",INDEX(I.Facility.P2bIDNumber,3134))</f>
        <v/>
      </c>
      <c r="G13146" s="51"/>
      <c r="H13146" s="46" t="str">
        <f>IF(AND(I.Developer.P2b=TRUE,I.Facility.P2bFacilityCount&gt;=3134,F13146=""),"Incomplete","Complete")</f>
        <v>Complete</v>
      </c>
      <c r="I13146" s="48" t="s">
        <v>17511</v>
      </c>
    </row>
    <row r="13147" spans="2:9" ht="15" customHeight="1" x14ac:dyDescent="0.25">
      <c r="B13147" s="55" t="s">
        <v>281</v>
      </c>
      <c r="C13147" s="46">
        <v>3135</v>
      </c>
      <c r="D13147" s="69" t="s">
        <v>29418</v>
      </c>
      <c r="E13147" s="51"/>
      <c r="F13147" s="114" t="str">
        <f>IF(INDEX(I.Facility.P2bIDNumber,3135)="","",INDEX(I.Facility.P2bIDNumber,3135))</f>
        <v/>
      </c>
      <c r="G13147" s="51"/>
      <c r="H13147" s="46" t="str">
        <f>IF(AND(I.Developer.P2b=TRUE,I.Facility.P2bFacilityCount&gt;=3135,F13147=""),"Incomplete","Complete")</f>
        <v>Complete</v>
      </c>
      <c r="I13147" s="48" t="s">
        <v>17512</v>
      </c>
    </row>
    <row r="13148" spans="2:9" ht="15" customHeight="1" x14ac:dyDescent="0.25">
      <c r="B13148" s="55" t="s">
        <v>281</v>
      </c>
      <c r="C13148" s="46">
        <v>3136</v>
      </c>
      <c r="D13148" s="69" t="s">
        <v>29418</v>
      </c>
      <c r="E13148" s="51"/>
      <c r="F13148" s="114" t="str">
        <f>IF(INDEX(I.Facility.P2bIDNumber,3136)="","",INDEX(I.Facility.P2bIDNumber,3136))</f>
        <v/>
      </c>
      <c r="G13148" s="51"/>
      <c r="H13148" s="46" t="str">
        <f>IF(AND(I.Developer.P2b=TRUE,I.Facility.P2bFacilityCount&gt;=3136,F13148=""),"Incomplete","Complete")</f>
        <v>Complete</v>
      </c>
      <c r="I13148" s="48" t="s">
        <v>17513</v>
      </c>
    </row>
    <row r="13149" spans="2:9" ht="15" customHeight="1" x14ac:dyDescent="0.25">
      <c r="B13149" s="55" t="s">
        <v>281</v>
      </c>
      <c r="C13149" s="46">
        <v>3137</v>
      </c>
      <c r="D13149" s="69" t="s">
        <v>29418</v>
      </c>
      <c r="E13149" s="51"/>
      <c r="F13149" s="114" t="str">
        <f>IF(INDEX(I.Facility.P2bIDNumber,3137)="","",INDEX(I.Facility.P2bIDNumber,3137))</f>
        <v/>
      </c>
      <c r="G13149" s="51"/>
      <c r="H13149" s="46" t="str">
        <f>IF(AND(I.Developer.P2b=TRUE,I.Facility.P2bFacilityCount&gt;=3137,F13149=""),"Incomplete","Complete")</f>
        <v>Complete</v>
      </c>
      <c r="I13149" s="48" t="s">
        <v>17514</v>
      </c>
    </row>
    <row r="13150" spans="2:9" ht="15" customHeight="1" x14ac:dyDescent="0.25">
      <c r="B13150" s="55" t="s">
        <v>281</v>
      </c>
      <c r="C13150" s="46">
        <v>3138</v>
      </c>
      <c r="D13150" s="69" t="s">
        <v>29418</v>
      </c>
      <c r="E13150" s="51"/>
      <c r="F13150" s="114" t="str">
        <f>IF(INDEX(I.Facility.P2bIDNumber,3138)="","",INDEX(I.Facility.P2bIDNumber,3138))</f>
        <v/>
      </c>
      <c r="G13150" s="51"/>
      <c r="H13150" s="46" t="str">
        <f>IF(AND(I.Developer.P2b=TRUE,I.Facility.P2bFacilityCount&gt;=3138,F13150=""),"Incomplete","Complete")</f>
        <v>Complete</v>
      </c>
      <c r="I13150" s="48" t="s">
        <v>17515</v>
      </c>
    </row>
    <row r="13151" spans="2:9" ht="15" customHeight="1" x14ac:dyDescent="0.25">
      <c r="B13151" s="55" t="s">
        <v>281</v>
      </c>
      <c r="C13151" s="46">
        <v>3139</v>
      </c>
      <c r="D13151" s="69" t="s">
        <v>29418</v>
      </c>
      <c r="E13151" s="51"/>
      <c r="F13151" s="114" t="str">
        <f>IF(INDEX(I.Facility.P2bIDNumber,3139)="","",INDEX(I.Facility.P2bIDNumber,3139))</f>
        <v/>
      </c>
      <c r="G13151" s="51"/>
      <c r="H13151" s="46" t="str">
        <f>IF(AND(I.Developer.P2b=TRUE,I.Facility.P2bFacilityCount&gt;=3139,F13151=""),"Incomplete","Complete")</f>
        <v>Complete</v>
      </c>
      <c r="I13151" s="48" t="s">
        <v>17516</v>
      </c>
    </row>
    <row r="13152" spans="2:9" ht="15" customHeight="1" x14ac:dyDescent="0.25">
      <c r="B13152" s="55" t="s">
        <v>281</v>
      </c>
      <c r="C13152" s="46">
        <v>3140</v>
      </c>
      <c r="D13152" s="69" t="s">
        <v>29418</v>
      </c>
      <c r="E13152" s="51"/>
      <c r="F13152" s="114" t="str">
        <f>IF(INDEX(I.Facility.P2bIDNumber,3140)="","",INDEX(I.Facility.P2bIDNumber,3140))</f>
        <v/>
      </c>
      <c r="G13152" s="51"/>
      <c r="H13152" s="46" t="str">
        <f>IF(AND(I.Developer.P2b=TRUE,I.Facility.P2bFacilityCount&gt;=3140,F13152=""),"Incomplete","Complete")</f>
        <v>Complete</v>
      </c>
      <c r="I13152" s="48" t="s">
        <v>17517</v>
      </c>
    </row>
    <row r="13153" spans="2:9" ht="15" customHeight="1" x14ac:dyDescent="0.25">
      <c r="B13153" s="55" t="s">
        <v>281</v>
      </c>
      <c r="C13153" s="46">
        <v>3141</v>
      </c>
      <c r="D13153" s="69" t="s">
        <v>29418</v>
      </c>
      <c r="E13153" s="51"/>
      <c r="F13153" s="114" t="str">
        <f>IF(INDEX(I.Facility.P2bIDNumber,3141)="","",INDEX(I.Facility.P2bIDNumber,3141))</f>
        <v/>
      </c>
      <c r="G13153" s="51"/>
      <c r="H13153" s="46" t="str">
        <f>IF(AND(I.Developer.P2b=TRUE,I.Facility.P2bFacilityCount&gt;=3141,F13153=""),"Incomplete","Complete")</f>
        <v>Complete</v>
      </c>
      <c r="I13153" s="48" t="s">
        <v>17518</v>
      </c>
    </row>
    <row r="13154" spans="2:9" ht="15" customHeight="1" x14ac:dyDescent="0.25">
      <c r="B13154" s="55" t="s">
        <v>281</v>
      </c>
      <c r="C13154" s="46">
        <v>3142</v>
      </c>
      <c r="D13154" s="69" t="s">
        <v>29418</v>
      </c>
      <c r="E13154" s="51"/>
      <c r="F13154" s="114" t="str">
        <f>IF(INDEX(I.Facility.P2bIDNumber,3142)="","",INDEX(I.Facility.P2bIDNumber,3142))</f>
        <v/>
      </c>
      <c r="G13154" s="51"/>
      <c r="H13154" s="46" t="str">
        <f>IF(AND(I.Developer.P2b=TRUE,I.Facility.P2bFacilityCount&gt;=3142,F13154=""),"Incomplete","Complete")</f>
        <v>Complete</v>
      </c>
      <c r="I13154" s="48" t="s">
        <v>17519</v>
      </c>
    </row>
    <row r="13155" spans="2:9" ht="15" customHeight="1" x14ac:dyDescent="0.25">
      <c r="B13155" s="55" t="s">
        <v>281</v>
      </c>
      <c r="C13155" s="46">
        <v>3143</v>
      </c>
      <c r="D13155" s="69" t="s">
        <v>29418</v>
      </c>
      <c r="E13155" s="51"/>
      <c r="F13155" s="114" t="str">
        <f>IF(INDEX(I.Facility.P2bIDNumber,3143)="","",INDEX(I.Facility.P2bIDNumber,3143))</f>
        <v/>
      </c>
      <c r="G13155" s="51"/>
      <c r="H13155" s="46" t="str">
        <f>IF(AND(I.Developer.P2b=TRUE,I.Facility.P2bFacilityCount&gt;=3143,F13155=""),"Incomplete","Complete")</f>
        <v>Complete</v>
      </c>
      <c r="I13155" s="48" t="s">
        <v>17520</v>
      </c>
    </row>
    <row r="13156" spans="2:9" ht="15" customHeight="1" x14ac:dyDescent="0.25">
      <c r="B13156" s="55" t="s">
        <v>281</v>
      </c>
      <c r="C13156" s="46">
        <v>3144</v>
      </c>
      <c r="D13156" s="69" t="s">
        <v>29418</v>
      </c>
      <c r="E13156" s="51"/>
      <c r="F13156" s="114" t="str">
        <f>IF(INDEX(I.Facility.P2bIDNumber,3144)="","",INDEX(I.Facility.P2bIDNumber,3144))</f>
        <v/>
      </c>
      <c r="G13156" s="51"/>
      <c r="H13156" s="46" t="str">
        <f>IF(AND(I.Developer.P2b=TRUE,I.Facility.P2bFacilityCount&gt;=3144,F13156=""),"Incomplete","Complete")</f>
        <v>Complete</v>
      </c>
      <c r="I13156" s="48" t="s">
        <v>17521</v>
      </c>
    </row>
    <row r="13157" spans="2:9" ht="15" customHeight="1" x14ac:dyDescent="0.25">
      <c r="B13157" s="55" t="s">
        <v>281</v>
      </c>
      <c r="C13157" s="46">
        <v>3145</v>
      </c>
      <c r="D13157" s="69" t="s">
        <v>29418</v>
      </c>
      <c r="E13157" s="51"/>
      <c r="F13157" s="114" t="str">
        <f>IF(INDEX(I.Facility.P2bIDNumber,3145)="","",INDEX(I.Facility.P2bIDNumber,3145))</f>
        <v/>
      </c>
      <c r="G13157" s="51"/>
      <c r="H13157" s="46" t="str">
        <f>IF(AND(I.Developer.P2b=TRUE,I.Facility.P2bFacilityCount&gt;=3145,F13157=""),"Incomplete","Complete")</f>
        <v>Complete</v>
      </c>
      <c r="I13157" s="48" t="s">
        <v>17522</v>
      </c>
    </row>
    <row r="13158" spans="2:9" ht="15" customHeight="1" x14ac:dyDescent="0.25">
      <c r="B13158" s="55" t="s">
        <v>281</v>
      </c>
      <c r="C13158" s="46">
        <v>3146</v>
      </c>
      <c r="D13158" s="69" t="s">
        <v>29418</v>
      </c>
      <c r="E13158" s="51"/>
      <c r="F13158" s="114" t="str">
        <f>IF(INDEX(I.Facility.P2bIDNumber,3146)="","",INDEX(I.Facility.P2bIDNumber,3146))</f>
        <v/>
      </c>
      <c r="G13158" s="51"/>
      <c r="H13158" s="46" t="str">
        <f>IF(AND(I.Developer.P2b=TRUE,I.Facility.P2bFacilityCount&gt;=3146,F13158=""),"Incomplete","Complete")</f>
        <v>Complete</v>
      </c>
      <c r="I13158" s="48" t="s">
        <v>17523</v>
      </c>
    </row>
    <row r="13159" spans="2:9" ht="15" customHeight="1" x14ac:dyDescent="0.25">
      <c r="B13159" s="55" t="s">
        <v>281</v>
      </c>
      <c r="C13159" s="46">
        <v>3147</v>
      </c>
      <c r="D13159" s="69" t="s">
        <v>29418</v>
      </c>
      <c r="E13159" s="51"/>
      <c r="F13159" s="114" t="str">
        <f>IF(INDEX(I.Facility.P2bIDNumber,3147)="","",INDEX(I.Facility.P2bIDNumber,3147))</f>
        <v/>
      </c>
      <c r="G13159" s="51"/>
      <c r="H13159" s="46" t="str">
        <f>IF(AND(I.Developer.P2b=TRUE,I.Facility.P2bFacilityCount&gt;=3147,F13159=""),"Incomplete","Complete")</f>
        <v>Complete</v>
      </c>
      <c r="I13159" s="48" t="s">
        <v>17524</v>
      </c>
    </row>
    <row r="13160" spans="2:9" ht="15" customHeight="1" x14ac:dyDescent="0.25">
      <c r="B13160" s="55" t="s">
        <v>281</v>
      </c>
      <c r="C13160" s="46">
        <v>3148</v>
      </c>
      <c r="D13160" s="69" t="s">
        <v>29418</v>
      </c>
      <c r="E13160" s="51"/>
      <c r="F13160" s="114" t="str">
        <f>IF(INDEX(I.Facility.P2bIDNumber,3148)="","",INDEX(I.Facility.P2bIDNumber,3148))</f>
        <v/>
      </c>
      <c r="G13160" s="51"/>
      <c r="H13160" s="46" t="str">
        <f>IF(AND(I.Developer.P2b=TRUE,I.Facility.P2bFacilityCount&gt;=3148,F13160=""),"Incomplete","Complete")</f>
        <v>Complete</v>
      </c>
      <c r="I13160" s="48" t="s">
        <v>17525</v>
      </c>
    </row>
    <row r="13161" spans="2:9" ht="15" customHeight="1" x14ac:dyDescent="0.25">
      <c r="B13161" s="55" t="s">
        <v>281</v>
      </c>
      <c r="C13161" s="46">
        <v>3149</v>
      </c>
      <c r="D13161" s="69" t="s">
        <v>29418</v>
      </c>
      <c r="E13161" s="51"/>
      <c r="F13161" s="114" t="str">
        <f>IF(INDEX(I.Facility.P2bIDNumber,3149)="","",INDEX(I.Facility.P2bIDNumber,3149))</f>
        <v/>
      </c>
      <c r="G13161" s="51"/>
      <c r="H13161" s="46" t="str">
        <f>IF(AND(I.Developer.P2b=TRUE,I.Facility.P2bFacilityCount&gt;=3149,F13161=""),"Incomplete","Complete")</f>
        <v>Complete</v>
      </c>
      <c r="I13161" s="48" t="s">
        <v>17526</v>
      </c>
    </row>
    <row r="13162" spans="2:9" ht="15" customHeight="1" x14ac:dyDescent="0.25">
      <c r="B13162" s="55" t="s">
        <v>281</v>
      </c>
      <c r="C13162" s="46">
        <v>3150</v>
      </c>
      <c r="D13162" s="69" t="s">
        <v>29418</v>
      </c>
      <c r="E13162" s="51"/>
      <c r="F13162" s="114" t="str">
        <f>IF(INDEX(I.Facility.P2bIDNumber,3150)="","",INDEX(I.Facility.P2bIDNumber,3150))</f>
        <v/>
      </c>
      <c r="G13162" s="51"/>
      <c r="H13162" s="46" t="str">
        <f>IF(AND(I.Developer.P2b=TRUE,I.Facility.P2bFacilityCount&gt;=3150,F13162=""),"Incomplete","Complete")</f>
        <v>Complete</v>
      </c>
      <c r="I13162" s="48" t="s">
        <v>17527</v>
      </c>
    </row>
    <row r="13163" spans="2:9" ht="15" customHeight="1" x14ac:dyDescent="0.25">
      <c r="B13163" s="55" t="s">
        <v>281</v>
      </c>
      <c r="C13163" s="46">
        <v>3151</v>
      </c>
      <c r="D13163" s="69" t="s">
        <v>29418</v>
      </c>
      <c r="E13163" s="51"/>
      <c r="F13163" s="114" t="str">
        <f>IF(INDEX(I.Facility.P2bIDNumber,3151)="","",INDEX(I.Facility.P2bIDNumber,3151))</f>
        <v/>
      </c>
      <c r="G13163" s="51"/>
      <c r="H13163" s="46" t="str">
        <f>IF(AND(I.Developer.P2b=TRUE,I.Facility.P2bFacilityCount&gt;=3151,F13163=""),"Incomplete","Complete")</f>
        <v>Complete</v>
      </c>
      <c r="I13163" s="48" t="s">
        <v>17528</v>
      </c>
    </row>
    <row r="13164" spans="2:9" ht="15" customHeight="1" x14ac:dyDescent="0.25">
      <c r="B13164" s="55" t="s">
        <v>281</v>
      </c>
      <c r="C13164" s="46">
        <v>3152</v>
      </c>
      <c r="D13164" s="69" t="s">
        <v>29418</v>
      </c>
      <c r="E13164" s="51"/>
      <c r="F13164" s="114" t="str">
        <f>IF(INDEX(I.Facility.P2bIDNumber,3152)="","",INDEX(I.Facility.P2bIDNumber,3152))</f>
        <v/>
      </c>
      <c r="G13164" s="51"/>
      <c r="H13164" s="46" t="str">
        <f>IF(AND(I.Developer.P2b=TRUE,I.Facility.P2bFacilityCount&gt;=3152,F13164=""),"Incomplete","Complete")</f>
        <v>Complete</v>
      </c>
      <c r="I13164" s="48" t="s">
        <v>17529</v>
      </c>
    </row>
    <row r="13165" spans="2:9" ht="15" customHeight="1" x14ac:dyDescent="0.25">
      <c r="B13165" s="55" t="s">
        <v>281</v>
      </c>
      <c r="C13165" s="46">
        <v>3153</v>
      </c>
      <c r="D13165" s="69" t="s">
        <v>29418</v>
      </c>
      <c r="E13165" s="51"/>
      <c r="F13165" s="114" t="str">
        <f>IF(INDEX(I.Facility.P2bIDNumber,3153)="","",INDEX(I.Facility.P2bIDNumber,3153))</f>
        <v/>
      </c>
      <c r="G13165" s="51"/>
      <c r="H13165" s="46" t="str">
        <f>IF(AND(I.Developer.P2b=TRUE,I.Facility.P2bFacilityCount&gt;=3153,F13165=""),"Incomplete","Complete")</f>
        <v>Complete</v>
      </c>
      <c r="I13165" s="48" t="s">
        <v>17530</v>
      </c>
    </row>
    <row r="13166" spans="2:9" ht="15" customHeight="1" x14ac:dyDescent="0.25">
      <c r="B13166" s="55" t="s">
        <v>281</v>
      </c>
      <c r="C13166" s="46">
        <v>3154</v>
      </c>
      <c r="D13166" s="69" t="s">
        <v>29418</v>
      </c>
      <c r="E13166" s="51"/>
      <c r="F13166" s="114" t="str">
        <f>IF(INDEX(I.Facility.P2bIDNumber,3154)="","",INDEX(I.Facility.P2bIDNumber,3154))</f>
        <v/>
      </c>
      <c r="G13166" s="51"/>
      <c r="H13166" s="46" t="str">
        <f>IF(AND(I.Developer.P2b=TRUE,I.Facility.P2bFacilityCount&gt;=3154,F13166=""),"Incomplete","Complete")</f>
        <v>Complete</v>
      </c>
      <c r="I13166" s="48" t="s">
        <v>17531</v>
      </c>
    </row>
    <row r="13167" spans="2:9" ht="15" customHeight="1" x14ac:dyDescent="0.25">
      <c r="B13167" s="55" t="s">
        <v>281</v>
      </c>
      <c r="C13167" s="46">
        <v>3155</v>
      </c>
      <c r="D13167" s="69" t="s">
        <v>29418</v>
      </c>
      <c r="E13167" s="51"/>
      <c r="F13167" s="114" t="str">
        <f>IF(INDEX(I.Facility.P2bIDNumber,3155)="","",INDEX(I.Facility.P2bIDNumber,3155))</f>
        <v/>
      </c>
      <c r="G13167" s="51"/>
      <c r="H13167" s="46" t="str">
        <f>IF(AND(I.Developer.P2b=TRUE,I.Facility.P2bFacilityCount&gt;=3155,F13167=""),"Incomplete","Complete")</f>
        <v>Complete</v>
      </c>
      <c r="I13167" s="48" t="s">
        <v>17532</v>
      </c>
    </row>
    <row r="13168" spans="2:9" ht="15" customHeight="1" x14ac:dyDescent="0.25">
      <c r="B13168" s="55" t="s">
        <v>281</v>
      </c>
      <c r="C13168" s="46">
        <v>3156</v>
      </c>
      <c r="D13168" s="69" t="s">
        <v>29418</v>
      </c>
      <c r="E13168" s="51"/>
      <c r="F13168" s="114" t="str">
        <f>IF(INDEX(I.Facility.P2bIDNumber,3156)="","",INDEX(I.Facility.P2bIDNumber,3156))</f>
        <v/>
      </c>
      <c r="G13168" s="51"/>
      <c r="H13168" s="46" t="str">
        <f>IF(AND(I.Developer.P2b=TRUE,I.Facility.P2bFacilityCount&gt;=3156,F13168=""),"Incomplete","Complete")</f>
        <v>Complete</v>
      </c>
      <c r="I13168" s="48" t="s">
        <v>17533</v>
      </c>
    </row>
    <row r="13169" spans="2:9" ht="15" customHeight="1" x14ac:dyDescent="0.25">
      <c r="B13169" s="55" t="s">
        <v>281</v>
      </c>
      <c r="C13169" s="46">
        <v>3157</v>
      </c>
      <c r="D13169" s="69" t="s">
        <v>29418</v>
      </c>
      <c r="E13169" s="51"/>
      <c r="F13169" s="114" t="str">
        <f>IF(INDEX(I.Facility.P2bIDNumber,3157)="","",INDEX(I.Facility.P2bIDNumber,3157))</f>
        <v/>
      </c>
      <c r="G13169" s="51"/>
      <c r="H13169" s="46" t="str">
        <f>IF(AND(I.Developer.P2b=TRUE,I.Facility.P2bFacilityCount&gt;=3157,F13169=""),"Incomplete","Complete")</f>
        <v>Complete</v>
      </c>
      <c r="I13169" s="48" t="s">
        <v>17534</v>
      </c>
    </row>
    <row r="13170" spans="2:9" ht="15" customHeight="1" x14ac:dyDescent="0.25">
      <c r="B13170" s="55" t="s">
        <v>281</v>
      </c>
      <c r="C13170" s="46">
        <v>3158</v>
      </c>
      <c r="D13170" s="69" t="s">
        <v>29418</v>
      </c>
      <c r="E13170" s="51"/>
      <c r="F13170" s="114" t="str">
        <f>IF(INDEX(I.Facility.P2bIDNumber,3158)="","",INDEX(I.Facility.P2bIDNumber,3158))</f>
        <v/>
      </c>
      <c r="G13170" s="51"/>
      <c r="H13170" s="46" t="str">
        <f>IF(AND(I.Developer.P2b=TRUE,I.Facility.P2bFacilityCount&gt;=3158,F13170=""),"Incomplete","Complete")</f>
        <v>Complete</v>
      </c>
      <c r="I13170" s="48" t="s">
        <v>17535</v>
      </c>
    </row>
    <row r="13171" spans="2:9" ht="15" customHeight="1" x14ac:dyDescent="0.25">
      <c r="B13171" s="55" t="s">
        <v>281</v>
      </c>
      <c r="C13171" s="46">
        <v>3159</v>
      </c>
      <c r="D13171" s="69" t="s">
        <v>29418</v>
      </c>
      <c r="E13171" s="51"/>
      <c r="F13171" s="114" t="str">
        <f>IF(INDEX(I.Facility.P2bIDNumber,3159)="","",INDEX(I.Facility.P2bIDNumber,3159))</f>
        <v/>
      </c>
      <c r="G13171" s="51"/>
      <c r="H13171" s="46" t="str">
        <f>IF(AND(I.Developer.P2b=TRUE,I.Facility.P2bFacilityCount&gt;=3159,F13171=""),"Incomplete","Complete")</f>
        <v>Complete</v>
      </c>
      <c r="I13171" s="48" t="s">
        <v>17536</v>
      </c>
    </row>
    <row r="13172" spans="2:9" ht="15" customHeight="1" x14ac:dyDescent="0.25">
      <c r="B13172" s="55" t="s">
        <v>281</v>
      </c>
      <c r="C13172" s="46">
        <v>3160</v>
      </c>
      <c r="D13172" s="69" t="s">
        <v>29418</v>
      </c>
      <c r="E13172" s="51"/>
      <c r="F13172" s="114" t="str">
        <f>IF(INDEX(I.Facility.P2bIDNumber,3160)="","",INDEX(I.Facility.P2bIDNumber,3160))</f>
        <v/>
      </c>
      <c r="G13172" s="51"/>
      <c r="H13172" s="46" t="str">
        <f>IF(AND(I.Developer.P2b=TRUE,I.Facility.P2bFacilityCount&gt;=3160,F13172=""),"Incomplete","Complete")</f>
        <v>Complete</v>
      </c>
      <c r="I13172" s="48" t="s">
        <v>17537</v>
      </c>
    </row>
    <row r="13173" spans="2:9" ht="15" customHeight="1" x14ac:dyDescent="0.25">
      <c r="B13173" s="55" t="s">
        <v>281</v>
      </c>
      <c r="C13173" s="46">
        <v>3161</v>
      </c>
      <c r="D13173" s="69" t="s">
        <v>29418</v>
      </c>
      <c r="E13173" s="51"/>
      <c r="F13173" s="114" t="str">
        <f>IF(INDEX(I.Facility.P2bIDNumber,3161)="","",INDEX(I.Facility.P2bIDNumber,3161))</f>
        <v/>
      </c>
      <c r="G13173" s="51"/>
      <c r="H13173" s="46" t="str">
        <f>IF(AND(I.Developer.P2b=TRUE,I.Facility.P2bFacilityCount&gt;=3161,F13173=""),"Incomplete","Complete")</f>
        <v>Complete</v>
      </c>
      <c r="I13173" s="48" t="s">
        <v>17538</v>
      </c>
    </row>
    <row r="13174" spans="2:9" ht="15" customHeight="1" x14ac:dyDescent="0.25">
      <c r="B13174" s="55" t="s">
        <v>281</v>
      </c>
      <c r="C13174" s="46">
        <v>3162</v>
      </c>
      <c r="D13174" s="69" t="s">
        <v>29418</v>
      </c>
      <c r="E13174" s="51"/>
      <c r="F13174" s="114" t="str">
        <f>IF(INDEX(I.Facility.P2bIDNumber,3162)="","",INDEX(I.Facility.P2bIDNumber,3162))</f>
        <v/>
      </c>
      <c r="G13174" s="51"/>
      <c r="H13174" s="46" t="str">
        <f>IF(AND(I.Developer.P2b=TRUE,I.Facility.P2bFacilityCount&gt;=3162,F13174=""),"Incomplete","Complete")</f>
        <v>Complete</v>
      </c>
      <c r="I13174" s="48" t="s">
        <v>17539</v>
      </c>
    </row>
    <row r="13175" spans="2:9" ht="15" customHeight="1" x14ac:dyDescent="0.25">
      <c r="B13175" s="55" t="s">
        <v>281</v>
      </c>
      <c r="C13175" s="46">
        <v>3163</v>
      </c>
      <c r="D13175" s="69" t="s">
        <v>29418</v>
      </c>
      <c r="E13175" s="51"/>
      <c r="F13175" s="114" t="str">
        <f>IF(INDEX(I.Facility.P2bIDNumber,3163)="","",INDEX(I.Facility.P2bIDNumber,3163))</f>
        <v/>
      </c>
      <c r="G13175" s="51"/>
      <c r="H13175" s="46" t="str">
        <f>IF(AND(I.Developer.P2b=TRUE,I.Facility.P2bFacilityCount&gt;=3163,F13175=""),"Incomplete","Complete")</f>
        <v>Complete</v>
      </c>
      <c r="I13175" s="48" t="s">
        <v>17540</v>
      </c>
    </row>
    <row r="13176" spans="2:9" ht="15" customHeight="1" x14ac:dyDescent="0.25">
      <c r="B13176" s="55" t="s">
        <v>281</v>
      </c>
      <c r="C13176" s="46">
        <v>3164</v>
      </c>
      <c r="D13176" s="69" t="s">
        <v>29418</v>
      </c>
      <c r="E13176" s="51"/>
      <c r="F13176" s="114" t="str">
        <f>IF(INDEX(I.Facility.P2bIDNumber,3164)="","",INDEX(I.Facility.P2bIDNumber,3164))</f>
        <v/>
      </c>
      <c r="G13176" s="51"/>
      <c r="H13176" s="46" t="str">
        <f>IF(AND(I.Developer.P2b=TRUE,I.Facility.P2bFacilityCount&gt;=3164,F13176=""),"Incomplete","Complete")</f>
        <v>Complete</v>
      </c>
      <c r="I13176" s="48" t="s">
        <v>17541</v>
      </c>
    </row>
    <row r="13177" spans="2:9" ht="15" customHeight="1" x14ac:dyDescent="0.25">
      <c r="B13177" s="55" t="s">
        <v>281</v>
      </c>
      <c r="C13177" s="46">
        <v>3165</v>
      </c>
      <c r="D13177" s="69" t="s">
        <v>29418</v>
      </c>
      <c r="E13177" s="51"/>
      <c r="F13177" s="114" t="str">
        <f>IF(INDEX(I.Facility.P2bIDNumber,3165)="","",INDEX(I.Facility.P2bIDNumber,3165))</f>
        <v/>
      </c>
      <c r="G13177" s="51"/>
      <c r="H13177" s="46" t="str">
        <f>IF(AND(I.Developer.P2b=TRUE,I.Facility.P2bFacilityCount&gt;=3165,F13177=""),"Incomplete","Complete")</f>
        <v>Complete</v>
      </c>
      <c r="I13177" s="48" t="s">
        <v>17542</v>
      </c>
    </row>
    <row r="13178" spans="2:9" ht="15" customHeight="1" x14ac:dyDescent="0.25">
      <c r="B13178" s="55" t="s">
        <v>281</v>
      </c>
      <c r="C13178" s="46">
        <v>3166</v>
      </c>
      <c r="D13178" s="69" t="s">
        <v>29418</v>
      </c>
      <c r="E13178" s="51"/>
      <c r="F13178" s="114" t="str">
        <f>IF(INDEX(I.Facility.P2bIDNumber,3166)="","",INDEX(I.Facility.P2bIDNumber,3166))</f>
        <v/>
      </c>
      <c r="G13178" s="51"/>
      <c r="H13178" s="46" t="str">
        <f>IF(AND(I.Developer.P2b=TRUE,I.Facility.P2bFacilityCount&gt;=3166,F13178=""),"Incomplete","Complete")</f>
        <v>Complete</v>
      </c>
      <c r="I13178" s="48" t="s">
        <v>17543</v>
      </c>
    </row>
    <row r="13179" spans="2:9" ht="15" customHeight="1" x14ac:dyDescent="0.25">
      <c r="B13179" s="55" t="s">
        <v>281</v>
      </c>
      <c r="C13179" s="46">
        <v>3167</v>
      </c>
      <c r="D13179" s="69" t="s">
        <v>29418</v>
      </c>
      <c r="E13179" s="51"/>
      <c r="F13179" s="114" t="str">
        <f>IF(INDEX(I.Facility.P2bIDNumber,3167)="","",INDEX(I.Facility.P2bIDNumber,3167))</f>
        <v/>
      </c>
      <c r="G13179" s="51"/>
      <c r="H13179" s="46" t="str">
        <f>IF(AND(I.Developer.P2b=TRUE,I.Facility.P2bFacilityCount&gt;=3167,F13179=""),"Incomplete","Complete")</f>
        <v>Complete</v>
      </c>
      <c r="I13179" s="48" t="s">
        <v>17544</v>
      </c>
    </row>
    <row r="13180" spans="2:9" ht="15" customHeight="1" x14ac:dyDescent="0.25">
      <c r="B13180" s="55" t="s">
        <v>281</v>
      </c>
      <c r="C13180" s="46">
        <v>3168</v>
      </c>
      <c r="D13180" s="69" t="s">
        <v>29418</v>
      </c>
      <c r="E13180" s="51"/>
      <c r="F13180" s="114" t="str">
        <f>IF(INDEX(I.Facility.P2bIDNumber,3168)="","",INDEX(I.Facility.P2bIDNumber,3168))</f>
        <v/>
      </c>
      <c r="G13180" s="51"/>
      <c r="H13180" s="46" t="str">
        <f>IF(AND(I.Developer.P2b=TRUE,I.Facility.P2bFacilityCount&gt;=3168,F13180=""),"Incomplete","Complete")</f>
        <v>Complete</v>
      </c>
      <c r="I13180" s="48" t="s">
        <v>17545</v>
      </c>
    </row>
    <row r="13181" spans="2:9" ht="15" customHeight="1" x14ac:dyDescent="0.25">
      <c r="B13181" s="55" t="s">
        <v>281</v>
      </c>
      <c r="C13181" s="46">
        <v>3169</v>
      </c>
      <c r="D13181" s="69" t="s">
        <v>29418</v>
      </c>
      <c r="E13181" s="51"/>
      <c r="F13181" s="114" t="str">
        <f>IF(INDEX(I.Facility.P2bIDNumber,3169)="","",INDEX(I.Facility.P2bIDNumber,3169))</f>
        <v/>
      </c>
      <c r="G13181" s="51"/>
      <c r="H13181" s="46" t="str">
        <f>IF(AND(I.Developer.P2b=TRUE,I.Facility.P2bFacilityCount&gt;=3169,F13181=""),"Incomplete","Complete")</f>
        <v>Complete</v>
      </c>
      <c r="I13181" s="48" t="s">
        <v>17546</v>
      </c>
    </row>
    <row r="13182" spans="2:9" ht="15" customHeight="1" x14ac:dyDescent="0.25">
      <c r="B13182" s="55" t="s">
        <v>281</v>
      </c>
      <c r="C13182" s="46">
        <v>3170</v>
      </c>
      <c r="D13182" s="69" t="s">
        <v>29418</v>
      </c>
      <c r="E13182" s="51"/>
      <c r="F13182" s="114" t="str">
        <f>IF(INDEX(I.Facility.P2bIDNumber,3170)="","",INDEX(I.Facility.P2bIDNumber,3170))</f>
        <v/>
      </c>
      <c r="G13182" s="51"/>
      <c r="H13182" s="46" t="str">
        <f>IF(AND(I.Developer.P2b=TRUE,I.Facility.P2bFacilityCount&gt;=3170,F13182=""),"Incomplete","Complete")</f>
        <v>Complete</v>
      </c>
      <c r="I13182" s="48" t="s">
        <v>17547</v>
      </c>
    </row>
    <row r="13183" spans="2:9" ht="15" customHeight="1" x14ac:dyDescent="0.25">
      <c r="B13183" s="55" t="s">
        <v>281</v>
      </c>
      <c r="C13183" s="46">
        <v>3171</v>
      </c>
      <c r="D13183" s="69" t="s">
        <v>29418</v>
      </c>
      <c r="E13183" s="51"/>
      <c r="F13183" s="114" t="str">
        <f>IF(INDEX(I.Facility.P2bIDNumber,3171)="","",INDEX(I.Facility.P2bIDNumber,3171))</f>
        <v/>
      </c>
      <c r="G13183" s="51"/>
      <c r="H13183" s="46" t="str">
        <f>IF(AND(I.Developer.P2b=TRUE,I.Facility.P2bFacilityCount&gt;=3171,F13183=""),"Incomplete","Complete")</f>
        <v>Complete</v>
      </c>
      <c r="I13183" s="48" t="s">
        <v>17548</v>
      </c>
    </row>
    <row r="13184" spans="2:9" ht="15" customHeight="1" x14ac:dyDescent="0.25">
      <c r="B13184" s="55" t="s">
        <v>281</v>
      </c>
      <c r="C13184" s="46">
        <v>3172</v>
      </c>
      <c r="D13184" s="69" t="s">
        <v>29418</v>
      </c>
      <c r="E13184" s="51"/>
      <c r="F13184" s="114" t="str">
        <f>IF(INDEX(I.Facility.P2bIDNumber,3172)="","",INDEX(I.Facility.P2bIDNumber,3172))</f>
        <v/>
      </c>
      <c r="G13184" s="51"/>
      <c r="H13184" s="46" t="str">
        <f>IF(AND(I.Developer.P2b=TRUE,I.Facility.P2bFacilityCount&gt;=3172,F13184=""),"Incomplete","Complete")</f>
        <v>Complete</v>
      </c>
      <c r="I13184" s="48" t="s">
        <v>17549</v>
      </c>
    </row>
    <row r="13185" spans="2:9" ht="15" customHeight="1" x14ac:dyDescent="0.25">
      <c r="B13185" s="55" t="s">
        <v>281</v>
      </c>
      <c r="C13185" s="46">
        <v>3173</v>
      </c>
      <c r="D13185" s="69" t="s">
        <v>29418</v>
      </c>
      <c r="E13185" s="51"/>
      <c r="F13185" s="114" t="str">
        <f>IF(INDEX(I.Facility.P2bIDNumber,3173)="","",INDEX(I.Facility.P2bIDNumber,3173))</f>
        <v/>
      </c>
      <c r="G13185" s="51"/>
      <c r="H13185" s="46" t="str">
        <f>IF(AND(I.Developer.P2b=TRUE,I.Facility.P2bFacilityCount&gt;=3173,F13185=""),"Incomplete","Complete")</f>
        <v>Complete</v>
      </c>
      <c r="I13185" s="48" t="s">
        <v>17550</v>
      </c>
    </row>
    <row r="13186" spans="2:9" ht="15" customHeight="1" x14ac:dyDescent="0.25">
      <c r="B13186" s="55" t="s">
        <v>281</v>
      </c>
      <c r="C13186" s="46">
        <v>3174</v>
      </c>
      <c r="D13186" s="69" t="s">
        <v>29418</v>
      </c>
      <c r="E13186" s="51"/>
      <c r="F13186" s="114" t="str">
        <f>IF(INDEX(I.Facility.P2bIDNumber,3174)="","",INDEX(I.Facility.P2bIDNumber,3174))</f>
        <v/>
      </c>
      <c r="G13186" s="51"/>
      <c r="H13186" s="46" t="str">
        <f>IF(AND(I.Developer.P2b=TRUE,I.Facility.P2bFacilityCount&gt;=3174,F13186=""),"Incomplete","Complete")</f>
        <v>Complete</v>
      </c>
      <c r="I13186" s="48" t="s">
        <v>17551</v>
      </c>
    </row>
    <row r="13187" spans="2:9" ht="15" customHeight="1" x14ac:dyDescent="0.25">
      <c r="B13187" s="55" t="s">
        <v>281</v>
      </c>
      <c r="C13187" s="46">
        <v>3175</v>
      </c>
      <c r="D13187" s="69" t="s">
        <v>29418</v>
      </c>
      <c r="E13187" s="51"/>
      <c r="F13187" s="114" t="str">
        <f>IF(INDEX(I.Facility.P2bIDNumber,3175)="","",INDEX(I.Facility.P2bIDNumber,3175))</f>
        <v/>
      </c>
      <c r="G13187" s="51"/>
      <c r="H13187" s="46" t="str">
        <f>IF(AND(I.Developer.P2b=TRUE,I.Facility.P2bFacilityCount&gt;=3175,F13187=""),"Incomplete","Complete")</f>
        <v>Complete</v>
      </c>
      <c r="I13187" s="48" t="s">
        <v>17552</v>
      </c>
    </row>
    <row r="13188" spans="2:9" ht="15" customHeight="1" x14ac:dyDescent="0.25">
      <c r="B13188" s="55" t="s">
        <v>281</v>
      </c>
      <c r="C13188" s="46">
        <v>3176</v>
      </c>
      <c r="D13188" s="69" t="s">
        <v>29418</v>
      </c>
      <c r="E13188" s="51"/>
      <c r="F13188" s="114" t="str">
        <f>IF(INDEX(I.Facility.P2bIDNumber,3176)="","",INDEX(I.Facility.P2bIDNumber,3176))</f>
        <v/>
      </c>
      <c r="G13188" s="51"/>
      <c r="H13188" s="46" t="str">
        <f>IF(AND(I.Developer.P2b=TRUE,I.Facility.P2bFacilityCount&gt;=3176,F13188=""),"Incomplete","Complete")</f>
        <v>Complete</v>
      </c>
      <c r="I13188" s="48" t="s">
        <v>17553</v>
      </c>
    </row>
    <row r="13189" spans="2:9" ht="15" customHeight="1" x14ac:dyDescent="0.25">
      <c r="B13189" s="55" t="s">
        <v>281</v>
      </c>
      <c r="C13189" s="46">
        <v>3177</v>
      </c>
      <c r="D13189" s="69" t="s">
        <v>29418</v>
      </c>
      <c r="E13189" s="51"/>
      <c r="F13189" s="114" t="str">
        <f>IF(INDEX(I.Facility.P2bIDNumber,3177)="","",INDEX(I.Facility.P2bIDNumber,3177))</f>
        <v/>
      </c>
      <c r="G13189" s="51"/>
      <c r="H13189" s="46" t="str">
        <f>IF(AND(I.Developer.P2b=TRUE,I.Facility.P2bFacilityCount&gt;=3177,F13189=""),"Incomplete","Complete")</f>
        <v>Complete</v>
      </c>
      <c r="I13189" s="48" t="s">
        <v>17554</v>
      </c>
    </row>
    <row r="13190" spans="2:9" ht="15" customHeight="1" x14ac:dyDescent="0.25">
      <c r="B13190" s="55" t="s">
        <v>281</v>
      </c>
      <c r="C13190" s="46">
        <v>3178</v>
      </c>
      <c r="D13190" s="69" t="s">
        <v>29418</v>
      </c>
      <c r="E13190" s="51"/>
      <c r="F13190" s="114" t="str">
        <f>IF(INDEX(I.Facility.P2bIDNumber,3178)="","",INDEX(I.Facility.P2bIDNumber,3178))</f>
        <v/>
      </c>
      <c r="G13190" s="51"/>
      <c r="H13190" s="46" t="str">
        <f>IF(AND(I.Developer.P2b=TRUE,I.Facility.P2bFacilityCount&gt;=3178,F13190=""),"Incomplete","Complete")</f>
        <v>Complete</v>
      </c>
      <c r="I13190" s="48" t="s">
        <v>17555</v>
      </c>
    </row>
    <row r="13191" spans="2:9" ht="15" customHeight="1" x14ac:dyDescent="0.25">
      <c r="B13191" s="55" t="s">
        <v>281</v>
      </c>
      <c r="C13191" s="46">
        <v>3179</v>
      </c>
      <c r="D13191" s="69" t="s">
        <v>29418</v>
      </c>
      <c r="E13191" s="51"/>
      <c r="F13191" s="114" t="str">
        <f>IF(INDEX(I.Facility.P2bIDNumber,3179)="","",INDEX(I.Facility.P2bIDNumber,3179))</f>
        <v/>
      </c>
      <c r="G13191" s="51"/>
      <c r="H13191" s="46" t="str">
        <f>IF(AND(I.Developer.P2b=TRUE,I.Facility.P2bFacilityCount&gt;=3179,F13191=""),"Incomplete","Complete")</f>
        <v>Complete</v>
      </c>
      <c r="I13191" s="48" t="s">
        <v>17556</v>
      </c>
    </row>
    <row r="13192" spans="2:9" ht="15" customHeight="1" x14ac:dyDescent="0.25">
      <c r="B13192" s="55" t="s">
        <v>281</v>
      </c>
      <c r="C13192" s="46">
        <v>3180</v>
      </c>
      <c r="D13192" s="69" t="s">
        <v>29418</v>
      </c>
      <c r="E13192" s="51"/>
      <c r="F13192" s="114" t="str">
        <f>IF(INDEX(I.Facility.P2bIDNumber,3180)="","",INDEX(I.Facility.P2bIDNumber,3180))</f>
        <v/>
      </c>
      <c r="G13192" s="51"/>
      <c r="H13192" s="46" t="str">
        <f>IF(AND(I.Developer.P2b=TRUE,I.Facility.P2bFacilityCount&gt;=3180,F13192=""),"Incomplete","Complete")</f>
        <v>Complete</v>
      </c>
      <c r="I13192" s="48" t="s">
        <v>17557</v>
      </c>
    </row>
    <row r="13193" spans="2:9" ht="15" customHeight="1" x14ac:dyDescent="0.25">
      <c r="B13193" s="55" t="s">
        <v>281</v>
      </c>
      <c r="C13193" s="46">
        <v>3181</v>
      </c>
      <c r="D13193" s="69" t="s">
        <v>29418</v>
      </c>
      <c r="E13193" s="51"/>
      <c r="F13193" s="114" t="str">
        <f>IF(INDEX(I.Facility.P2bIDNumber,3181)="","",INDEX(I.Facility.P2bIDNumber,3181))</f>
        <v/>
      </c>
      <c r="G13193" s="51"/>
      <c r="H13193" s="46" t="str">
        <f>IF(AND(I.Developer.P2b=TRUE,I.Facility.P2bFacilityCount&gt;=3181,F13193=""),"Incomplete","Complete")</f>
        <v>Complete</v>
      </c>
      <c r="I13193" s="48" t="s">
        <v>17558</v>
      </c>
    </row>
    <row r="13194" spans="2:9" ht="15" customHeight="1" x14ac:dyDescent="0.25">
      <c r="B13194" s="55" t="s">
        <v>281</v>
      </c>
      <c r="C13194" s="46">
        <v>3182</v>
      </c>
      <c r="D13194" s="69" t="s">
        <v>29418</v>
      </c>
      <c r="E13194" s="51"/>
      <c r="F13194" s="114" t="str">
        <f>IF(INDEX(I.Facility.P2bIDNumber,3182)="","",INDEX(I.Facility.P2bIDNumber,3182))</f>
        <v/>
      </c>
      <c r="G13194" s="51"/>
      <c r="H13194" s="46" t="str">
        <f>IF(AND(I.Developer.P2b=TRUE,I.Facility.P2bFacilityCount&gt;=3182,F13194=""),"Incomplete","Complete")</f>
        <v>Complete</v>
      </c>
      <c r="I13194" s="48" t="s">
        <v>17559</v>
      </c>
    </row>
    <row r="13195" spans="2:9" ht="15" customHeight="1" x14ac:dyDescent="0.25">
      <c r="B13195" s="55" t="s">
        <v>281</v>
      </c>
      <c r="C13195" s="46">
        <v>3183</v>
      </c>
      <c r="D13195" s="69" t="s">
        <v>29418</v>
      </c>
      <c r="E13195" s="51"/>
      <c r="F13195" s="114" t="str">
        <f>IF(INDEX(I.Facility.P2bIDNumber,3183)="","",INDEX(I.Facility.P2bIDNumber,3183))</f>
        <v/>
      </c>
      <c r="G13195" s="51"/>
      <c r="H13195" s="46" t="str">
        <f>IF(AND(I.Developer.P2b=TRUE,I.Facility.P2bFacilityCount&gt;=3183,F13195=""),"Incomplete","Complete")</f>
        <v>Complete</v>
      </c>
      <c r="I13195" s="48" t="s">
        <v>17560</v>
      </c>
    </row>
    <row r="13196" spans="2:9" ht="15" customHeight="1" x14ac:dyDescent="0.25">
      <c r="B13196" s="55" t="s">
        <v>281</v>
      </c>
      <c r="C13196" s="46">
        <v>3184</v>
      </c>
      <c r="D13196" s="69" t="s">
        <v>29418</v>
      </c>
      <c r="E13196" s="51"/>
      <c r="F13196" s="114" t="str">
        <f>IF(INDEX(I.Facility.P2bIDNumber,3184)="","",INDEX(I.Facility.P2bIDNumber,3184))</f>
        <v/>
      </c>
      <c r="G13196" s="51"/>
      <c r="H13196" s="46" t="str">
        <f>IF(AND(I.Developer.P2b=TRUE,I.Facility.P2bFacilityCount&gt;=3184,F13196=""),"Incomplete","Complete")</f>
        <v>Complete</v>
      </c>
      <c r="I13196" s="48" t="s">
        <v>17561</v>
      </c>
    </row>
    <row r="13197" spans="2:9" ht="15" customHeight="1" x14ac:dyDescent="0.25">
      <c r="B13197" s="55" t="s">
        <v>281</v>
      </c>
      <c r="C13197" s="46">
        <v>3185</v>
      </c>
      <c r="D13197" s="69" t="s">
        <v>29418</v>
      </c>
      <c r="E13197" s="51"/>
      <c r="F13197" s="114" t="str">
        <f>IF(INDEX(I.Facility.P2bIDNumber,3185)="","",INDEX(I.Facility.P2bIDNumber,3185))</f>
        <v/>
      </c>
      <c r="G13197" s="51"/>
      <c r="H13197" s="46" t="str">
        <f>IF(AND(I.Developer.P2b=TRUE,I.Facility.P2bFacilityCount&gt;=3185,F13197=""),"Incomplete","Complete")</f>
        <v>Complete</v>
      </c>
      <c r="I13197" s="48" t="s">
        <v>17562</v>
      </c>
    </row>
    <row r="13198" spans="2:9" ht="15" customHeight="1" x14ac:dyDescent="0.25">
      <c r="B13198" s="55" t="s">
        <v>281</v>
      </c>
      <c r="C13198" s="46">
        <v>3186</v>
      </c>
      <c r="D13198" s="69" t="s">
        <v>29418</v>
      </c>
      <c r="E13198" s="51"/>
      <c r="F13198" s="114" t="str">
        <f>IF(INDEX(I.Facility.P2bIDNumber,3186)="","",INDEX(I.Facility.P2bIDNumber,3186))</f>
        <v/>
      </c>
      <c r="G13198" s="51"/>
      <c r="H13198" s="46" t="str">
        <f>IF(AND(I.Developer.P2b=TRUE,I.Facility.P2bFacilityCount&gt;=3186,F13198=""),"Incomplete","Complete")</f>
        <v>Complete</v>
      </c>
      <c r="I13198" s="48" t="s">
        <v>17563</v>
      </c>
    </row>
    <row r="13199" spans="2:9" ht="15" customHeight="1" x14ac:dyDescent="0.25">
      <c r="B13199" s="55" t="s">
        <v>281</v>
      </c>
      <c r="C13199" s="46">
        <v>3187</v>
      </c>
      <c r="D13199" s="69" t="s">
        <v>29418</v>
      </c>
      <c r="E13199" s="51"/>
      <c r="F13199" s="114" t="str">
        <f>IF(INDEX(I.Facility.P2bIDNumber,3187)="","",INDEX(I.Facility.P2bIDNumber,3187))</f>
        <v/>
      </c>
      <c r="G13199" s="51"/>
      <c r="H13199" s="46" t="str">
        <f>IF(AND(I.Developer.P2b=TRUE,I.Facility.P2bFacilityCount&gt;=3187,F13199=""),"Incomplete","Complete")</f>
        <v>Complete</v>
      </c>
      <c r="I13199" s="48" t="s">
        <v>17564</v>
      </c>
    </row>
    <row r="13200" spans="2:9" ht="15" customHeight="1" x14ac:dyDescent="0.25">
      <c r="B13200" s="55" t="s">
        <v>281</v>
      </c>
      <c r="C13200" s="46">
        <v>3188</v>
      </c>
      <c r="D13200" s="69" t="s">
        <v>29418</v>
      </c>
      <c r="E13200" s="51"/>
      <c r="F13200" s="114" t="str">
        <f>IF(INDEX(I.Facility.P2bIDNumber,3188)="","",INDEX(I.Facility.P2bIDNumber,3188))</f>
        <v/>
      </c>
      <c r="G13200" s="51"/>
      <c r="H13200" s="46" t="str">
        <f>IF(AND(I.Developer.P2b=TRUE,I.Facility.P2bFacilityCount&gt;=3188,F13200=""),"Incomplete","Complete")</f>
        <v>Complete</v>
      </c>
      <c r="I13200" s="48" t="s">
        <v>17565</v>
      </c>
    </row>
    <row r="13201" spans="2:9" ht="15" customHeight="1" x14ac:dyDescent="0.25">
      <c r="B13201" s="55" t="s">
        <v>281</v>
      </c>
      <c r="C13201" s="46">
        <v>3189</v>
      </c>
      <c r="D13201" s="69" t="s">
        <v>29418</v>
      </c>
      <c r="E13201" s="51"/>
      <c r="F13201" s="114" t="str">
        <f>IF(INDEX(I.Facility.P2bIDNumber,3189)="","",INDEX(I.Facility.P2bIDNumber,3189))</f>
        <v/>
      </c>
      <c r="G13201" s="51"/>
      <c r="H13201" s="46" t="str">
        <f>IF(AND(I.Developer.P2b=TRUE,I.Facility.P2bFacilityCount&gt;=3189,F13201=""),"Incomplete","Complete")</f>
        <v>Complete</v>
      </c>
      <c r="I13201" s="48" t="s">
        <v>17566</v>
      </c>
    </row>
    <row r="13202" spans="2:9" ht="15" customHeight="1" x14ac:dyDescent="0.25">
      <c r="B13202" s="55" t="s">
        <v>281</v>
      </c>
      <c r="C13202" s="46">
        <v>3190</v>
      </c>
      <c r="D13202" s="69" t="s">
        <v>29418</v>
      </c>
      <c r="E13202" s="51"/>
      <c r="F13202" s="114" t="str">
        <f>IF(INDEX(I.Facility.P2bIDNumber,3190)="","",INDEX(I.Facility.P2bIDNumber,3190))</f>
        <v/>
      </c>
      <c r="G13202" s="51"/>
      <c r="H13202" s="46" t="str">
        <f>IF(AND(I.Developer.P2b=TRUE,I.Facility.P2bFacilityCount&gt;=3190,F13202=""),"Incomplete","Complete")</f>
        <v>Complete</v>
      </c>
      <c r="I13202" s="48" t="s">
        <v>17567</v>
      </c>
    </row>
    <row r="13203" spans="2:9" ht="15" customHeight="1" x14ac:dyDescent="0.25">
      <c r="B13203" s="55" t="s">
        <v>281</v>
      </c>
      <c r="C13203" s="46">
        <v>3191</v>
      </c>
      <c r="D13203" s="69" t="s">
        <v>29418</v>
      </c>
      <c r="E13203" s="51"/>
      <c r="F13203" s="114" t="str">
        <f>IF(INDEX(I.Facility.P2bIDNumber,3191)="","",INDEX(I.Facility.P2bIDNumber,3191))</f>
        <v/>
      </c>
      <c r="G13203" s="51"/>
      <c r="H13203" s="46" t="str">
        <f>IF(AND(I.Developer.P2b=TRUE,I.Facility.P2bFacilityCount&gt;=3191,F13203=""),"Incomplete","Complete")</f>
        <v>Complete</v>
      </c>
      <c r="I13203" s="48" t="s">
        <v>17568</v>
      </c>
    </row>
    <row r="13204" spans="2:9" ht="15" customHeight="1" x14ac:dyDescent="0.25">
      <c r="B13204" s="55" t="s">
        <v>281</v>
      </c>
      <c r="C13204" s="46">
        <v>3192</v>
      </c>
      <c r="D13204" s="69" t="s">
        <v>29418</v>
      </c>
      <c r="E13204" s="51"/>
      <c r="F13204" s="114" t="str">
        <f>IF(INDEX(I.Facility.P2bIDNumber,3192)="","",INDEX(I.Facility.P2bIDNumber,3192))</f>
        <v/>
      </c>
      <c r="G13204" s="51"/>
      <c r="H13204" s="46" t="str">
        <f>IF(AND(I.Developer.P2b=TRUE,I.Facility.P2bFacilityCount&gt;=3192,F13204=""),"Incomplete","Complete")</f>
        <v>Complete</v>
      </c>
      <c r="I13204" s="48" t="s">
        <v>17569</v>
      </c>
    </row>
    <row r="13205" spans="2:9" ht="15" customHeight="1" x14ac:dyDescent="0.25">
      <c r="B13205" s="55" t="s">
        <v>281</v>
      </c>
      <c r="C13205" s="46">
        <v>3193</v>
      </c>
      <c r="D13205" s="69" t="s">
        <v>29418</v>
      </c>
      <c r="E13205" s="51"/>
      <c r="F13205" s="114" t="str">
        <f>IF(INDEX(I.Facility.P2bIDNumber,3193)="","",INDEX(I.Facility.P2bIDNumber,3193))</f>
        <v/>
      </c>
      <c r="G13205" s="51"/>
      <c r="H13205" s="46" t="str">
        <f>IF(AND(I.Developer.P2b=TRUE,I.Facility.P2bFacilityCount&gt;=3193,F13205=""),"Incomplete","Complete")</f>
        <v>Complete</v>
      </c>
      <c r="I13205" s="48" t="s">
        <v>17570</v>
      </c>
    </row>
    <row r="13206" spans="2:9" ht="15" customHeight="1" x14ac:dyDescent="0.25">
      <c r="B13206" s="55" t="s">
        <v>281</v>
      </c>
      <c r="C13206" s="46">
        <v>3194</v>
      </c>
      <c r="D13206" s="69" t="s">
        <v>29418</v>
      </c>
      <c r="E13206" s="51"/>
      <c r="F13206" s="114" t="str">
        <f>IF(INDEX(I.Facility.P2bIDNumber,3194)="","",INDEX(I.Facility.P2bIDNumber,3194))</f>
        <v/>
      </c>
      <c r="G13206" s="51"/>
      <c r="H13206" s="46" t="str">
        <f>IF(AND(I.Developer.P2b=TRUE,I.Facility.P2bFacilityCount&gt;=3194,F13206=""),"Incomplete","Complete")</f>
        <v>Complete</v>
      </c>
      <c r="I13206" s="48" t="s">
        <v>17571</v>
      </c>
    </row>
    <row r="13207" spans="2:9" ht="15" customHeight="1" x14ac:dyDescent="0.25">
      <c r="B13207" s="55" t="s">
        <v>281</v>
      </c>
      <c r="C13207" s="46">
        <v>3195</v>
      </c>
      <c r="D13207" s="69" t="s">
        <v>29418</v>
      </c>
      <c r="E13207" s="51"/>
      <c r="F13207" s="114" t="str">
        <f>IF(INDEX(I.Facility.P2bIDNumber,3195)="","",INDEX(I.Facility.P2bIDNumber,3195))</f>
        <v/>
      </c>
      <c r="G13207" s="51"/>
      <c r="H13207" s="46" t="str">
        <f>IF(AND(I.Developer.P2b=TRUE,I.Facility.P2bFacilityCount&gt;=3195,F13207=""),"Incomplete","Complete")</f>
        <v>Complete</v>
      </c>
      <c r="I13207" s="48" t="s">
        <v>17572</v>
      </c>
    </row>
    <row r="13208" spans="2:9" ht="15" customHeight="1" x14ac:dyDescent="0.25">
      <c r="B13208" s="55" t="s">
        <v>281</v>
      </c>
      <c r="C13208" s="46">
        <v>3196</v>
      </c>
      <c r="D13208" s="69" t="s">
        <v>29418</v>
      </c>
      <c r="E13208" s="51"/>
      <c r="F13208" s="114" t="str">
        <f>IF(INDEX(I.Facility.P2bIDNumber,3196)="","",INDEX(I.Facility.P2bIDNumber,3196))</f>
        <v/>
      </c>
      <c r="G13208" s="51"/>
      <c r="H13208" s="46" t="str">
        <f>IF(AND(I.Developer.P2b=TRUE,I.Facility.P2bFacilityCount&gt;=3196,F13208=""),"Incomplete","Complete")</f>
        <v>Complete</v>
      </c>
      <c r="I13208" s="48" t="s">
        <v>17573</v>
      </c>
    </row>
    <row r="13209" spans="2:9" ht="15" customHeight="1" x14ac:dyDescent="0.25">
      <c r="B13209" s="55" t="s">
        <v>281</v>
      </c>
      <c r="C13209" s="46">
        <v>3197</v>
      </c>
      <c r="D13209" s="69" t="s">
        <v>29418</v>
      </c>
      <c r="E13209" s="51"/>
      <c r="F13209" s="114" t="str">
        <f>IF(INDEX(I.Facility.P2bIDNumber,3197)="","",INDEX(I.Facility.P2bIDNumber,3197))</f>
        <v/>
      </c>
      <c r="G13209" s="51"/>
      <c r="H13209" s="46" t="str">
        <f>IF(AND(I.Developer.P2b=TRUE,I.Facility.P2bFacilityCount&gt;=3197,F13209=""),"Incomplete","Complete")</f>
        <v>Complete</v>
      </c>
      <c r="I13209" s="48" t="s">
        <v>17574</v>
      </c>
    </row>
    <row r="13210" spans="2:9" ht="15" customHeight="1" x14ac:dyDescent="0.25">
      <c r="B13210" s="55" t="s">
        <v>281</v>
      </c>
      <c r="C13210" s="46">
        <v>3198</v>
      </c>
      <c r="D13210" s="69" t="s">
        <v>29418</v>
      </c>
      <c r="E13210" s="51"/>
      <c r="F13210" s="114" t="str">
        <f>IF(INDEX(I.Facility.P2bIDNumber,3198)="","",INDEX(I.Facility.P2bIDNumber,3198))</f>
        <v/>
      </c>
      <c r="G13210" s="51"/>
      <c r="H13210" s="46" t="str">
        <f>IF(AND(I.Developer.P2b=TRUE,I.Facility.P2bFacilityCount&gt;=3198,F13210=""),"Incomplete","Complete")</f>
        <v>Complete</v>
      </c>
      <c r="I13210" s="48" t="s">
        <v>17575</v>
      </c>
    </row>
    <row r="13211" spans="2:9" ht="15" customHeight="1" x14ac:dyDescent="0.25">
      <c r="B13211" s="55" t="s">
        <v>281</v>
      </c>
      <c r="C13211" s="46">
        <v>3199</v>
      </c>
      <c r="D13211" s="69" t="s">
        <v>29418</v>
      </c>
      <c r="E13211" s="51"/>
      <c r="F13211" s="114" t="str">
        <f>IF(INDEX(I.Facility.P2bIDNumber,3199)="","",INDEX(I.Facility.P2bIDNumber,3199))</f>
        <v/>
      </c>
      <c r="G13211" s="51"/>
      <c r="H13211" s="46" t="str">
        <f>IF(AND(I.Developer.P2b=TRUE,I.Facility.P2bFacilityCount&gt;=3199,F13211=""),"Incomplete","Complete")</f>
        <v>Complete</v>
      </c>
      <c r="I13211" s="48" t="s">
        <v>17576</v>
      </c>
    </row>
    <row r="13212" spans="2:9" ht="15" customHeight="1" x14ac:dyDescent="0.25">
      <c r="B13212" s="55" t="s">
        <v>281</v>
      </c>
      <c r="C13212" s="46">
        <v>3200</v>
      </c>
      <c r="D13212" s="69" t="s">
        <v>29418</v>
      </c>
      <c r="E13212" s="51"/>
      <c r="F13212" s="114" t="str">
        <f>IF(INDEX(I.Facility.P2bIDNumber,3200)="","",INDEX(I.Facility.P2bIDNumber,3200))</f>
        <v/>
      </c>
      <c r="G13212" s="51"/>
      <c r="H13212" s="46" t="str">
        <f>IF(AND(I.Developer.P2b=TRUE,I.Facility.P2bFacilityCount&gt;=3200,F13212=""),"Incomplete","Complete")</f>
        <v>Complete</v>
      </c>
      <c r="I13212" s="48" t="s">
        <v>17577</v>
      </c>
    </row>
    <row r="13213" spans="2:9" ht="15" customHeight="1" x14ac:dyDescent="0.25">
      <c r="B13213" s="55" t="s">
        <v>281</v>
      </c>
      <c r="C13213" s="46">
        <v>3201</v>
      </c>
      <c r="D13213" s="69" t="s">
        <v>29418</v>
      </c>
      <c r="E13213" s="51"/>
      <c r="F13213" s="114" t="str">
        <f>IF(INDEX(I.Facility.P2bIDNumber,3201)="","",INDEX(I.Facility.P2bIDNumber,3201))</f>
        <v/>
      </c>
      <c r="G13213" s="51"/>
      <c r="H13213" s="46" t="str">
        <f>IF(AND(I.Developer.P2b=TRUE,I.Facility.P2bFacilityCount&gt;=3201,F13213=""),"Incomplete","Complete")</f>
        <v>Complete</v>
      </c>
      <c r="I13213" s="48" t="s">
        <v>17578</v>
      </c>
    </row>
    <row r="13214" spans="2:9" ht="15" customHeight="1" x14ac:dyDescent="0.25">
      <c r="B13214" s="55" t="s">
        <v>281</v>
      </c>
      <c r="C13214" s="46">
        <v>3202</v>
      </c>
      <c r="D13214" s="69" t="s">
        <v>29418</v>
      </c>
      <c r="E13214" s="51"/>
      <c r="F13214" s="114" t="str">
        <f>IF(INDEX(I.Facility.P2bIDNumber,3202)="","",INDEX(I.Facility.P2bIDNumber,3202))</f>
        <v/>
      </c>
      <c r="G13214" s="51"/>
      <c r="H13214" s="46" t="str">
        <f>IF(AND(I.Developer.P2b=TRUE,I.Facility.P2bFacilityCount&gt;=3202,F13214=""),"Incomplete","Complete")</f>
        <v>Complete</v>
      </c>
      <c r="I13214" s="48" t="s">
        <v>17579</v>
      </c>
    </row>
    <row r="13215" spans="2:9" ht="15" customHeight="1" x14ac:dyDescent="0.25">
      <c r="B13215" s="55" t="s">
        <v>281</v>
      </c>
      <c r="C13215" s="46">
        <v>3203</v>
      </c>
      <c r="D13215" s="69" t="s">
        <v>29418</v>
      </c>
      <c r="E13215" s="51"/>
      <c r="F13215" s="114" t="str">
        <f>IF(INDEX(I.Facility.P2bIDNumber,3203)="","",INDEX(I.Facility.P2bIDNumber,3203))</f>
        <v/>
      </c>
      <c r="G13215" s="51"/>
      <c r="H13215" s="46" t="str">
        <f>IF(AND(I.Developer.P2b=TRUE,I.Facility.P2bFacilityCount&gt;=3203,F13215=""),"Incomplete","Complete")</f>
        <v>Complete</v>
      </c>
      <c r="I13215" s="48" t="s">
        <v>17580</v>
      </c>
    </row>
    <row r="13216" spans="2:9" ht="15" customHeight="1" x14ac:dyDescent="0.25">
      <c r="B13216" s="55" t="s">
        <v>281</v>
      </c>
      <c r="C13216" s="46">
        <v>3204</v>
      </c>
      <c r="D13216" s="69" t="s">
        <v>29418</v>
      </c>
      <c r="E13216" s="51"/>
      <c r="F13216" s="114" t="str">
        <f>IF(INDEX(I.Facility.P2bIDNumber,3204)="","",INDEX(I.Facility.P2bIDNumber,3204))</f>
        <v/>
      </c>
      <c r="G13216" s="51"/>
      <c r="H13216" s="46" t="str">
        <f>IF(AND(I.Developer.P2b=TRUE,I.Facility.P2bFacilityCount&gt;=3204,F13216=""),"Incomplete","Complete")</f>
        <v>Complete</v>
      </c>
      <c r="I13216" s="48" t="s">
        <v>17581</v>
      </c>
    </row>
    <row r="13217" spans="2:9" ht="15" customHeight="1" x14ac:dyDescent="0.25">
      <c r="B13217" s="55" t="s">
        <v>281</v>
      </c>
      <c r="C13217" s="46">
        <v>3205</v>
      </c>
      <c r="D13217" s="69" t="s">
        <v>29418</v>
      </c>
      <c r="E13217" s="51"/>
      <c r="F13217" s="114" t="str">
        <f>IF(INDEX(I.Facility.P2bIDNumber,3205)="","",INDEX(I.Facility.P2bIDNumber,3205))</f>
        <v/>
      </c>
      <c r="G13217" s="51"/>
      <c r="H13217" s="46" t="str">
        <f>IF(AND(I.Developer.P2b=TRUE,I.Facility.P2bFacilityCount&gt;=3205,F13217=""),"Incomplete","Complete")</f>
        <v>Complete</v>
      </c>
      <c r="I13217" s="48" t="s">
        <v>17582</v>
      </c>
    </row>
    <row r="13218" spans="2:9" ht="15" customHeight="1" x14ac:dyDescent="0.25">
      <c r="B13218" s="55" t="s">
        <v>281</v>
      </c>
      <c r="C13218" s="46">
        <v>3206</v>
      </c>
      <c r="D13218" s="69" t="s">
        <v>29418</v>
      </c>
      <c r="E13218" s="51"/>
      <c r="F13218" s="114" t="str">
        <f>IF(INDEX(I.Facility.P2bIDNumber,3206)="","",INDEX(I.Facility.P2bIDNumber,3206))</f>
        <v/>
      </c>
      <c r="G13218" s="51"/>
      <c r="H13218" s="46" t="str">
        <f>IF(AND(I.Developer.P2b=TRUE,I.Facility.P2bFacilityCount&gt;=3206,F13218=""),"Incomplete","Complete")</f>
        <v>Complete</v>
      </c>
      <c r="I13218" s="48" t="s">
        <v>17583</v>
      </c>
    </row>
    <row r="13219" spans="2:9" ht="15" customHeight="1" x14ac:dyDescent="0.25">
      <c r="B13219" s="55" t="s">
        <v>281</v>
      </c>
      <c r="C13219" s="46">
        <v>3207</v>
      </c>
      <c r="D13219" s="69" t="s">
        <v>29418</v>
      </c>
      <c r="E13219" s="51"/>
      <c r="F13219" s="114" t="str">
        <f>IF(INDEX(I.Facility.P2bIDNumber,3207)="","",INDEX(I.Facility.P2bIDNumber,3207))</f>
        <v/>
      </c>
      <c r="G13219" s="51"/>
      <c r="H13219" s="46" t="str">
        <f>IF(AND(I.Developer.P2b=TRUE,I.Facility.P2bFacilityCount&gt;=3207,F13219=""),"Incomplete","Complete")</f>
        <v>Complete</v>
      </c>
      <c r="I13219" s="48" t="s">
        <v>17584</v>
      </c>
    </row>
    <row r="13220" spans="2:9" ht="15" customHeight="1" x14ac:dyDescent="0.25">
      <c r="B13220" s="55" t="s">
        <v>281</v>
      </c>
      <c r="C13220" s="46">
        <v>3208</v>
      </c>
      <c r="D13220" s="69" t="s">
        <v>29418</v>
      </c>
      <c r="E13220" s="51"/>
      <c r="F13220" s="114" t="str">
        <f>IF(INDEX(I.Facility.P2bIDNumber,3208)="","",INDEX(I.Facility.P2bIDNumber,3208))</f>
        <v/>
      </c>
      <c r="G13220" s="51"/>
      <c r="H13220" s="46" t="str">
        <f>IF(AND(I.Developer.P2b=TRUE,I.Facility.P2bFacilityCount&gt;=3208,F13220=""),"Incomplete","Complete")</f>
        <v>Complete</v>
      </c>
      <c r="I13220" s="48" t="s">
        <v>17585</v>
      </c>
    </row>
    <row r="13221" spans="2:9" ht="15" customHeight="1" x14ac:dyDescent="0.25">
      <c r="B13221" s="55" t="s">
        <v>281</v>
      </c>
      <c r="C13221" s="46">
        <v>3209</v>
      </c>
      <c r="D13221" s="69" t="s">
        <v>29418</v>
      </c>
      <c r="E13221" s="51"/>
      <c r="F13221" s="114" t="str">
        <f>IF(INDEX(I.Facility.P2bIDNumber,3209)="","",INDEX(I.Facility.P2bIDNumber,3209))</f>
        <v/>
      </c>
      <c r="G13221" s="51"/>
      <c r="H13221" s="46" t="str">
        <f>IF(AND(I.Developer.P2b=TRUE,I.Facility.P2bFacilityCount&gt;=3209,F13221=""),"Incomplete","Complete")</f>
        <v>Complete</v>
      </c>
      <c r="I13221" s="48" t="s">
        <v>17586</v>
      </c>
    </row>
    <row r="13222" spans="2:9" ht="15" customHeight="1" x14ac:dyDescent="0.25">
      <c r="B13222" s="55" t="s">
        <v>281</v>
      </c>
      <c r="C13222" s="46">
        <v>3210</v>
      </c>
      <c r="D13222" s="69" t="s">
        <v>29418</v>
      </c>
      <c r="E13222" s="51"/>
      <c r="F13222" s="114" t="str">
        <f>IF(INDEX(I.Facility.P2bIDNumber,3210)="","",INDEX(I.Facility.P2bIDNumber,3210))</f>
        <v/>
      </c>
      <c r="G13222" s="51"/>
      <c r="H13222" s="46" t="str">
        <f>IF(AND(I.Developer.P2b=TRUE,I.Facility.P2bFacilityCount&gt;=3210,F13222=""),"Incomplete","Complete")</f>
        <v>Complete</v>
      </c>
      <c r="I13222" s="48" t="s">
        <v>17587</v>
      </c>
    </row>
    <row r="13223" spans="2:9" ht="15" customHeight="1" x14ac:dyDescent="0.25">
      <c r="B13223" s="55" t="s">
        <v>281</v>
      </c>
      <c r="C13223" s="46">
        <v>3211</v>
      </c>
      <c r="D13223" s="69" t="s">
        <v>29418</v>
      </c>
      <c r="E13223" s="51"/>
      <c r="F13223" s="114" t="str">
        <f>IF(INDEX(I.Facility.P2bIDNumber,3211)="","",INDEX(I.Facility.P2bIDNumber,3211))</f>
        <v/>
      </c>
      <c r="G13223" s="51"/>
      <c r="H13223" s="46" t="str">
        <f>IF(AND(I.Developer.P2b=TRUE,I.Facility.P2bFacilityCount&gt;=3211,F13223=""),"Incomplete","Complete")</f>
        <v>Complete</v>
      </c>
      <c r="I13223" s="48" t="s">
        <v>17588</v>
      </c>
    </row>
    <row r="13224" spans="2:9" ht="15" customHeight="1" x14ac:dyDescent="0.25">
      <c r="B13224" s="55" t="s">
        <v>281</v>
      </c>
      <c r="C13224" s="46">
        <v>3212</v>
      </c>
      <c r="D13224" s="69" t="s">
        <v>29418</v>
      </c>
      <c r="E13224" s="51"/>
      <c r="F13224" s="114" t="str">
        <f>IF(INDEX(I.Facility.P2bIDNumber,3212)="","",INDEX(I.Facility.P2bIDNumber,3212))</f>
        <v/>
      </c>
      <c r="G13224" s="51"/>
      <c r="H13224" s="46" t="str">
        <f>IF(AND(I.Developer.P2b=TRUE,I.Facility.P2bFacilityCount&gt;=3212,F13224=""),"Incomplete","Complete")</f>
        <v>Complete</v>
      </c>
      <c r="I13224" s="48" t="s">
        <v>17589</v>
      </c>
    </row>
    <row r="13225" spans="2:9" ht="15" customHeight="1" x14ac:dyDescent="0.25">
      <c r="B13225" s="55" t="s">
        <v>281</v>
      </c>
      <c r="C13225" s="46">
        <v>3213</v>
      </c>
      <c r="D13225" s="69" t="s">
        <v>29418</v>
      </c>
      <c r="E13225" s="51"/>
      <c r="F13225" s="114" t="str">
        <f>IF(INDEX(I.Facility.P2bIDNumber,3213)="","",INDEX(I.Facility.P2bIDNumber,3213))</f>
        <v/>
      </c>
      <c r="G13225" s="51"/>
      <c r="H13225" s="46" t="str">
        <f>IF(AND(I.Developer.P2b=TRUE,I.Facility.P2bFacilityCount&gt;=3213,F13225=""),"Incomplete","Complete")</f>
        <v>Complete</v>
      </c>
      <c r="I13225" s="48" t="s">
        <v>17590</v>
      </c>
    </row>
    <row r="13226" spans="2:9" ht="15" customHeight="1" x14ac:dyDescent="0.25">
      <c r="B13226" s="55" t="s">
        <v>281</v>
      </c>
      <c r="C13226" s="46">
        <v>3214</v>
      </c>
      <c r="D13226" s="69" t="s">
        <v>29418</v>
      </c>
      <c r="E13226" s="51"/>
      <c r="F13226" s="114" t="str">
        <f>IF(INDEX(I.Facility.P2bIDNumber,3214)="","",INDEX(I.Facility.P2bIDNumber,3214))</f>
        <v/>
      </c>
      <c r="G13226" s="51"/>
      <c r="H13226" s="46" t="str">
        <f>IF(AND(I.Developer.P2b=TRUE,I.Facility.P2bFacilityCount&gt;=3214,F13226=""),"Incomplete","Complete")</f>
        <v>Complete</v>
      </c>
      <c r="I13226" s="48" t="s">
        <v>17591</v>
      </c>
    </row>
    <row r="13227" spans="2:9" ht="15" customHeight="1" x14ac:dyDescent="0.25">
      <c r="B13227" s="55" t="s">
        <v>281</v>
      </c>
      <c r="C13227" s="46">
        <v>3215</v>
      </c>
      <c r="D13227" s="69" t="s">
        <v>29418</v>
      </c>
      <c r="E13227" s="51"/>
      <c r="F13227" s="114" t="str">
        <f>IF(INDEX(I.Facility.P2bIDNumber,3215)="","",INDEX(I.Facility.P2bIDNumber,3215))</f>
        <v/>
      </c>
      <c r="G13227" s="51"/>
      <c r="H13227" s="46" t="str">
        <f>IF(AND(I.Developer.P2b=TRUE,I.Facility.P2bFacilityCount&gt;=3215,F13227=""),"Incomplete","Complete")</f>
        <v>Complete</v>
      </c>
      <c r="I13227" s="48" t="s">
        <v>17592</v>
      </c>
    </row>
    <row r="13228" spans="2:9" ht="15" customHeight="1" x14ac:dyDescent="0.25">
      <c r="B13228" s="55" t="s">
        <v>281</v>
      </c>
      <c r="C13228" s="46">
        <v>3216</v>
      </c>
      <c r="D13228" s="69" t="s">
        <v>29418</v>
      </c>
      <c r="E13228" s="51"/>
      <c r="F13228" s="114" t="str">
        <f>IF(INDEX(I.Facility.P2bIDNumber,3216)="","",INDEX(I.Facility.P2bIDNumber,3216))</f>
        <v/>
      </c>
      <c r="G13228" s="51"/>
      <c r="H13228" s="46" t="str">
        <f>IF(AND(I.Developer.P2b=TRUE,I.Facility.P2bFacilityCount&gt;=3216,F13228=""),"Incomplete","Complete")</f>
        <v>Complete</v>
      </c>
      <c r="I13228" s="48" t="s">
        <v>17593</v>
      </c>
    </row>
    <row r="13229" spans="2:9" ht="15" customHeight="1" x14ac:dyDescent="0.25">
      <c r="B13229" s="55" t="s">
        <v>281</v>
      </c>
      <c r="C13229" s="46">
        <v>3217</v>
      </c>
      <c r="D13229" s="69" t="s">
        <v>29418</v>
      </c>
      <c r="E13229" s="51"/>
      <c r="F13229" s="114" t="str">
        <f>IF(INDEX(I.Facility.P2bIDNumber,3217)="","",INDEX(I.Facility.P2bIDNumber,3217))</f>
        <v/>
      </c>
      <c r="G13229" s="51"/>
      <c r="H13229" s="46" t="str">
        <f>IF(AND(I.Developer.P2b=TRUE,I.Facility.P2bFacilityCount&gt;=3217,F13229=""),"Incomplete","Complete")</f>
        <v>Complete</v>
      </c>
      <c r="I13229" s="48" t="s">
        <v>17594</v>
      </c>
    </row>
    <row r="13230" spans="2:9" ht="15" customHeight="1" x14ac:dyDescent="0.25">
      <c r="B13230" s="55" t="s">
        <v>281</v>
      </c>
      <c r="C13230" s="46">
        <v>3218</v>
      </c>
      <c r="D13230" s="69" t="s">
        <v>29418</v>
      </c>
      <c r="E13230" s="51"/>
      <c r="F13230" s="114" t="str">
        <f>IF(INDEX(I.Facility.P2bIDNumber,3218)="","",INDEX(I.Facility.P2bIDNumber,3218))</f>
        <v/>
      </c>
      <c r="G13230" s="51"/>
      <c r="H13230" s="46" t="str">
        <f>IF(AND(I.Developer.P2b=TRUE,I.Facility.P2bFacilityCount&gt;=3218,F13230=""),"Incomplete","Complete")</f>
        <v>Complete</v>
      </c>
      <c r="I13230" s="48" t="s">
        <v>17595</v>
      </c>
    </row>
    <row r="13231" spans="2:9" ht="15" customHeight="1" x14ac:dyDescent="0.25">
      <c r="B13231" s="55" t="s">
        <v>281</v>
      </c>
      <c r="C13231" s="46">
        <v>3219</v>
      </c>
      <c r="D13231" s="69" t="s">
        <v>29418</v>
      </c>
      <c r="E13231" s="51"/>
      <c r="F13231" s="114" t="str">
        <f>IF(INDEX(I.Facility.P2bIDNumber,3219)="","",INDEX(I.Facility.P2bIDNumber,3219))</f>
        <v/>
      </c>
      <c r="G13231" s="51"/>
      <c r="H13231" s="46" t="str">
        <f>IF(AND(I.Developer.P2b=TRUE,I.Facility.P2bFacilityCount&gt;=3219,F13231=""),"Incomplete","Complete")</f>
        <v>Complete</v>
      </c>
      <c r="I13231" s="48" t="s">
        <v>17596</v>
      </c>
    </row>
    <row r="13232" spans="2:9" ht="15" customHeight="1" x14ac:dyDescent="0.25">
      <c r="B13232" s="55" t="s">
        <v>281</v>
      </c>
      <c r="C13232" s="46">
        <v>3220</v>
      </c>
      <c r="D13232" s="69" t="s">
        <v>29418</v>
      </c>
      <c r="E13232" s="51"/>
      <c r="F13232" s="114" t="str">
        <f>IF(INDEX(I.Facility.P2bIDNumber,3220)="","",INDEX(I.Facility.P2bIDNumber,3220))</f>
        <v/>
      </c>
      <c r="G13232" s="51"/>
      <c r="H13232" s="46" t="str">
        <f>IF(AND(I.Developer.P2b=TRUE,I.Facility.P2bFacilityCount&gt;=3220,F13232=""),"Incomplete","Complete")</f>
        <v>Complete</v>
      </c>
      <c r="I13232" s="48" t="s">
        <v>17597</v>
      </c>
    </row>
    <row r="13233" spans="2:9" ht="15" customHeight="1" x14ac:dyDescent="0.25">
      <c r="B13233" s="55" t="s">
        <v>281</v>
      </c>
      <c r="C13233" s="46">
        <v>3221</v>
      </c>
      <c r="D13233" s="69" t="s">
        <v>29418</v>
      </c>
      <c r="E13233" s="51"/>
      <c r="F13233" s="114" t="str">
        <f>IF(INDEX(I.Facility.P2bIDNumber,3221)="","",INDEX(I.Facility.P2bIDNumber,3221))</f>
        <v/>
      </c>
      <c r="G13233" s="51"/>
      <c r="H13233" s="46" t="str">
        <f>IF(AND(I.Developer.P2b=TRUE,I.Facility.P2bFacilityCount&gt;=3221,F13233=""),"Incomplete","Complete")</f>
        <v>Complete</v>
      </c>
      <c r="I13233" s="48" t="s">
        <v>17598</v>
      </c>
    </row>
    <row r="13234" spans="2:9" ht="15" customHeight="1" x14ac:dyDescent="0.25">
      <c r="B13234" s="55" t="s">
        <v>281</v>
      </c>
      <c r="C13234" s="46">
        <v>3222</v>
      </c>
      <c r="D13234" s="69" t="s">
        <v>29418</v>
      </c>
      <c r="E13234" s="51"/>
      <c r="F13234" s="114" t="str">
        <f>IF(INDEX(I.Facility.P2bIDNumber,3222)="","",INDEX(I.Facility.P2bIDNumber,3222))</f>
        <v/>
      </c>
      <c r="G13234" s="51"/>
      <c r="H13234" s="46" t="str">
        <f>IF(AND(I.Developer.P2b=TRUE,I.Facility.P2bFacilityCount&gt;=3222,F13234=""),"Incomplete","Complete")</f>
        <v>Complete</v>
      </c>
      <c r="I13234" s="48" t="s">
        <v>17599</v>
      </c>
    </row>
    <row r="13235" spans="2:9" ht="15" customHeight="1" x14ac:dyDescent="0.25">
      <c r="B13235" s="55" t="s">
        <v>281</v>
      </c>
      <c r="C13235" s="46">
        <v>3223</v>
      </c>
      <c r="D13235" s="69" t="s">
        <v>29418</v>
      </c>
      <c r="E13235" s="51"/>
      <c r="F13235" s="114" t="str">
        <f>IF(INDEX(I.Facility.P2bIDNumber,3223)="","",INDEX(I.Facility.P2bIDNumber,3223))</f>
        <v/>
      </c>
      <c r="G13235" s="51"/>
      <c r="H13235" s="46" t="str">
        <f>IF(AND(I.Developer.P2b=TRUE,I.Facility.P2bFacilityCount&gt;=3223,F13235=""),"Incomplete","Complete")</f>
        <v>Complete</v>
      </c>
      <c r="I13235" s="48" t="s">
        <v>17600</v>
      </c>
    </row>
    <row r="13236" spans="2:9" ht="15" customHeight="1" x14ac:dyDescent="0.25">
      <c r="B13236" s="55" t="s">
        <v>281</v>
      </c>
      <c r="C13236" s="46">
        <v>3224</v>
      </c>
      <c r="D13236" s="69" t="s">
        <v>29418</v>
      </c>
      <c r="E13236" s="51"/>
      <c r="F13236" s="114" t="str">
        <f>IF(INDEX(I.Facility.P2bIDNumber,3224)="","",INDEX(I.Facility.P2bIDNumber,3224))</f>
        <v/>
      </c>
      <c r="G13236" s="51"/>
      <c r="H13236" s="46" t="str">
        <f>IF(AND(I.Developer.P2b=TRUE,I.Facility.P2bFacilityCount&gt;=3224,F13236=""),"Incomplete","Complete")</f>
        <v>Complete</v>
      </c>
      <c r="I13236" s="48" t="s">
        <v>17601</v>
      </c>
    </row>
    <row r="13237" spans="2:9" ht="15" customHeight="1" x14ac:dyDescent="0.25">
      <c r="B13237" s="55" t="s">
        <v>281</v>
      </c>
      <c r="C13237" s="46">
        <v>3225</v>
      </c>
      <c r="D13237" s="69" t="s">
        <v>29418</v>
      </c>
      <c r="E13237" s="51"/>
      <c r="F13237" s="114" t="str">
        <f>IF(INDEX(I.Facility.P2bIDNumber,3225)="","",INDEX(I.Facility.P2bIDNumber,3225))</f>
        <v/>
      </c>
      <c r="G13237" s="51"/>
      <c r="H13237" s="46" t="str">
        <f>IF(AND(I.Developer.P2b=TRUE,I.Facility.P2bFacilityCount&gt;=3225,F13237=""),"Incomplete","Complete")</f>
        <v>Complete</v>
      </c>
      <c r="I13237" s="48" t="s">
        <v>17602</v>
      </c>
    </row>
    <row r="13238" spans="2:9" ht="15" customHeight="1" x14ac:dyDescent="0.25">
      <c r="B13238" s="55" t="s">
        <v>281</v>
      </c>
      <c r="C13238" s="46">
        <v>3226</v>
      </c>
      <c r="D13238" s="69" t="s">
        <v>29418</v>
      </c>
      <c r="E13238" s="51"/>
      <c r="F13238" s="114" t="str">
        <f>IF(INDEX(I.Facility.P2bIDNumber,3226)="","",INDEX(I.Facility.P2bIDNumber,3226))</f>
        <v/>
      </c>
      <c r="G13238" s="51"/>
      <c r="H13238" s="46" t="str">
        <f>IF(AND(I.Developer.P2b=TRUE,I.Facility.P2bFacilityCount&gt;=3226,F13238=""),"Incomplete","Complete")</f>
        <v>Complete</v>
      </c>
      <c r="I13238" s="48" t="s">
        <v>17603</v>
      </c>
    </row>
    <row r="13239" spans="2:9" ht="15" customHeight="1" x14ac:dyDescent="0.25">
      <c r="B13239" s="55" t="s">
        <v>281</v>
      </c>
      <c r="C13239" s="46">
        <v>3227</v>
      </c>
      <c r="D13239" s="69" t="s">
        <v>29418</v>
      </c>
      <c r="E13239" s="51"/>
      <c r="F13239" s="114" t="str">
        <f>IF(INDEX(I.Facility.P2bIDNumber,3227)="","",INDEX(I.Facility.P2bIDNumber,3227))</f>
        <v/>
      </c>
      <c r="G13239" s="51"/>
      <c r="H13239" s="46" t="str">
        <f>IF(AND(I.Developer.P2b=TRUE,I.Facility.P2bFacilityCount&gt;=3227,F13239=""),"Incomplete","Complete")</f>
        <v>Complete</v>
      </c>
      <c r="I13239" s="48" t="s">
        <v>17604</v>
      </c>
    </row>
    <row r="13240" spans="2:9" ht="15" customHeight="1" x14ac:dyDescent="0.25">
      <c r="B13240" s="55" t="s">
        <v>281</v>
      </c>
      <c r="C13240" s="46">
        <v>3228</v>
      </c>
      <c r="D13240" s="69" t="s">
        <v>29418</v>
      </c>
      <c r="E13240" s="51"/>
      <c r="F13240" s="114" t="str">
        <f>IF(INDEX(I.Facility.P2bIDNumber,3228)="","",INDEX(I.Facility.P2bIDNumber,3228))</f>
        <v/>
      </c>
      <c r="G13240" s="51"/>
      <c r="H13240" s="46" t="str">
        <f>IF(AND(I.Developer.P2b=TRUE,I.Facility.P2bFacilityCount&gt;=3228,F13240=""),"Incomplete","Complete")</f>
        <v>Complete</v>
      </c>
      <c r="I13240" s="48" t="s">
        <v>17605</v>
      </c>
    </row>
    <row r="13241" spans="2:9" ht="15" customHeight="1" x14ac:dyDescent="0.25">
      <c r="B13241" s="55" t="s">
        <v>281</v>
      </c>
      <c r="C13241" s="46">
        <v>3229</v>
      </c>
      <c r="D13241" s="69" t="s">
        <v>29418</v>
      </c>
      <c r="E13241" s="51"/>
      <c r="F13241" s="114" t="str">
        <f>IF(INDEX(I.Facility.P2bIDNumber,3229)="","",INDEX(I.Facility.P2bIDNumber,3229))</f>
        <v/>
      </c>
      <c r="G13241" s="51"/>
      <c r="H13241" s="46" t="str">
        <f>IF(AND(I.Developer.P2b=TRUE,I.Facility.P2bFacilityCount&gt;=3229,F13241=""),"Incomplete","Complete")</f>
        <v>Complete</v>
      </c>
      <c r="I13241" s="48" t="s">
        <v>17606</v>
      </c>
    </row>
    <row r="13242" spans="2:9" ht="15" customHeight="1" x14ac:dyDescent="0.25">
      <c r="B13242" s="55" t="s">
        <v>281</v>
      </c>
      <c r="C13242" s="46">
        <v>3230</v>
      </c>
      <c r="D13242" s="69" t="s">
        <v>29418</v>
      </c>
      <c r="E13242" s="51"/>
      <c r="F13242" s="114" t="str">
        <f>IF(INDEX(I.Facility.P2bIDNumber,3230)="","",INDEX(I.Facility.P2bIDNumber,3230))</f>
        <v/>
      </c>
      <c r="G13242" s="51"/>
      <c r="H13242" s="46" t="str">
        <f>IF(AND(I.Developer.P2b=TRUE,I.Facility.P2bFacilityCount&gt;=3230,F13242=""),"Incomplete","Complete")</f>
        <v>Complete</v>
      </c>
      <c r="I13242" s="48" t="s">
        <v>17607</v>
      </c>
    </row>
    <row r="13243" spans="2:9" ht="15" customHeight="1" x14ac:dyDescent="0.25">
      <c r="B13243" s="55" t="s">
        <v>281</v>
      </c>
      <c r="C13243" s="46">
        <v>3231</v>
      </c>
      <c r="D13243" s="69" t="s">
        <v>29418</v>
      </c>
      <c r="E13243" s="51"/>
      <c r="F13243" s="114" t="str">
        <f>IF(INDEX(I.Facility.P2bIDNumber,3231)="","",INDEX(I.Facility.P2bIDNumber,3231))</f>
        <v/>
      </c>
      <c r="G13243" s="51"/>
      <c r="H13243" s="46" t="str">
        <f>IF(AND(I.Developer.P2b=TRUE,I.Facility.P2bFacilityCount&gt;=3231,F13243=""),"Incomplete","Complete")</f>
        <v>Complete</v>
      </c>
      <c r="I13243" s="48" t="s">
        <v>17608</v>
      </c>
    </row>
    <row r="13244" spans="2:9" ht="15" customHeight="1" x14ac:dyDescent="0.25">
      <c r="B13244" s="55" t="s">
        <v>281</v>
      </c>
      <c r="C13244" s="46">
        <v>3232</v>
      </c>
      <c r="D13244" s="69" t="s">
        <v>29418</v>
      </c>
      <c r="E13244" s="51"/>
      <c r="F13244" s="114" t="str">
        <f>IF(INDEX(I.Facility.P2bIDNumber,3232)="","",INDEX(I.Facility.P2bIDNumber,3232))</f>
        <v/>
      </c>
      <c r="G13244" s="51"/>
      <c r="H13244" s="46" t="str">
        <f>IF(AND(I.Developer.P2b=TRUE,I.Facility.P2bFacilityCount&gt;=3232,F13244=""),"Incomplete","Complete")</f>
        <v>Complete</v>
      </c>
      <c r="I13244" s="48" t="s">
        <v>17609</v>
      </c>
    </row>
    <row r="13245" spans="2:9" ht="15" customHeight="1" x14ac:dyDescent="0.25">
      <c r="B13245" s="55" t="s">
        <v>281</v>
      </c>
      <c r="C13245" s="46">
        <v>3233</v>
      </c>
      <c r="D13245" s="69" t="s">
        <v>29418</v>
      </c>
      <c r="E13245" s="51"/>
      <c r="F13245" s="114" t="str">
        <f>IF(INDEX(I.Facility.P2bIDNumber,3233)="","",INDEX(I.Facility.P2bIDNumber,3233))</f>
        <v/>
      </c>
      <c r="G13245" s="51"/>
      <c r="H13245" s="46" t="str">
        <f>IF(AND(I.Developer.P2b=TRUE,I.Facility.P2bFacilityCount&gt;=3233,F13245=""),"Incomplete","Complete")</f>
        <v>Complete</v>
      </c>
      <c r="I13245" s="48" t="s">
        <v>17610</v>
      </c>
    </row>
    <row r="13246" spans="2:9" ht="15" customHeight="1" x14ac:dyDescent="0.25">
      <c r="B13246" s="55" t="s">
        <v>281</v>
      </c>
      <c r="C13246" s="46">
        <v>3234</v>
      </c>
      <c r="D13246" s="69" t="s">
        <v>29418</v>
      </c>
      <c r="E13246" s="51"/>
      <c r="F13246" s="114" t="str">
        <f>IF(INDEX(I.Facility.P2bIDNumber,3234)="","",INDEX(I.Facility.P2bIDNumber,3234))</f>
        <v/>
      </c>
      <c r="G13246" s="51"/>
      <c r="H13246" s="46" t="str">
        <f>IF(AND(I.Developer.P2b=TRUE,I.Facility.P2bFacilityCount&gt;=3234,F13246=""),"Incomplete","Complete")</f>
        <v>Complete</v>
      </c>
      <c r="I13246" s="48" t="s">
        <v>17611</v>
      </c>
    </row>
    <row r="13247" spans="2:9" ht="15" customHeight="1" x14ac:dyDescent="0.25">
      <c r="B13247" s="55" t="s">
        <v>281</v>
      </c>
      <c r="C13247" s="46">
        <v>3235</v>
      </c>
      <c r="D13247" s="69" t="s">
        <v>29418</v>
      </c>
      <c r="E13247" s="51"/>
      <c r="F13247" s="114" t="str">
        <f>IF(INDEX(I.Facility.P2bIDNumber,3235)="","",INDEX(I.Facility.P2bIDNumber,3235))</f>
        <v/>
      </c>
      <c r="G13247" s="51"/>
      <c r="H13247" s="46" t="str">
        <f>IF(AND(I.Developer.P2b=TRUE,I.Facility.P2bFacilityCount&gt;=3235,F13247=""),"Incomplete","Complete")</f>
        <v>Complete</v>
      </c>
      <c r="I13247" s="48" t="s">
        <v>17612</v>
      </c>
    </row>
    <row r="13248" spans="2:9" ht="15" customHeight="1" x14ac:dyDescent="0.25">
      <c r="B13248" s="55" t="s">
        <v>281</v>
      </c>
      <c r="C13248" s="46">
        <v>3236</v>
      </c>
      <c r="D13248" s="69" t="s">
        <v>29418</v>
      </c>
      <c r="E13248" s="51"/>
      <c r="F13248" s="114" t="str">
        <f>IF(INDEX(I.Facility.P2bIDNumber,3236)="","",INDEX(I.Facility.P2bIDNumber,3236))</f>
        <v/>
      </c>
      <c r="G13248" s="51"/>
      <c r="H13248" s="46" t="str">
        <f>IF(AND(I.Developer.P2b=TRUE,I.Facility.P2bFacilityCount&gt;=3236,F13248=""),"Incomplete","Complete")</f>
        <v>Complete</v>
      </c>
      <c r="I13248" s="48" t="s">
        <v>17613</v>
      </c>
    </row>
    <row r="13249" spans="2:9" ht="15" customHeight="1" x14ac:dyDescent="0.25">
      <c r="B13249" s="55" t="s">
        <v>281</v>
      </c>
      <c r="C13249" s="46">
        <v>3237</v>
      </c>
      <c r="D13249" s="69" t="s">
        <v>29418</v>
      </c>
      <c r="E13249" s="51"/>
      <c r="F13249" s="114" t="str">
        <f>IF(INDEX(I.Facility.P2bIDNumber,3237)="","",INDEX(I.Facility.P2bIDNumber,3237))</f>
        <v/>
      </c>
      <c r="G13249" s="51"/>
      <c r="H13249" s="46" t="str">
        <f>IF(AND(I.Developer.P2b=TRUE,I.Facility.P2bFacilityCount&gt;=3237,F13249=""),"Incomplete","Complete")</f>
        <v>Complete</v>
      </c>
      <c r="I13249" s="48" t="s">
        <v>17614</v>
      </c>
    </row>
    <row r="13250" spans="2:9" ht="15" customHeight="1" x14ac:dyDescent="0.25">
      <c r="B13250" s="55" t="s">
        <v>281</v>
      </c>
      <c r="C13250" s="46">
        <v>3238</v>
      </c>
      <c r="D13250" s="69" t="s">
        <v>29418</v>
      </c>
      <c r="E13250" s="51"/>
      <c r="F13250" s="114" t="str">
        <f>IF(INDEX(I.Facility.P2bIDNumber,3238)="","",INDEX(I.Facility.P2bIDNumber,3238))</f>
        <v/>
      </c>
      <c r="G13250" s="51"/>
      <c r="H13250" s="46" t="str">
        <f>IF(AND(I.Developer.P2b=TRUE,I.Facility.P2bFacilityCount&gt;=3238,F13250=""),"Incomplete","Complete")</f>
        <v>Complete</v>
      </c>
      <c r="I13250" s="48" t="s">
        <v>17615</v>
      </c>
    </row>
    <row r="13251" spans="2:9" ht="15" customHeight="1" x14ac:dyDescent="0.25">
      <c r="B13251" s="55" t="s">
        <v>281</v>
      </c>
      <c r="C13251" s="46">
        <v>3239</v>
      </c>
      <c r="D13251" s="69" t="s">
        <v>29418</v>
      </c>
      <c r="E13251" s="51"/>
      <c r="F13251" s="114" t="str">
        <f>IF(INDEX(I.Facility.P2bIDNumber,3239)="","",INDEX(I.Facility.P2bIDNumber,3239))</f>
        <v/>
      </c>
      <c r="G13251" s="51"/>
      <c r="H13251" s="46" t="str">
        <f>IF(AND(I.Developer.P2b=TRUE,I.Facility.P2bFacilityCount&gt;=3239,F13251=""),"Incomplete","Complete")</f>
        <v>Complete</v>
      </c>
      <c r="I13251" s="48" t="s">
        <v>17616</v>
      </c>
    </row>
    <row r="13252" spans="2:9" ht="15" customHeight="1" x14ac:dyDescent="0.25">
      <c r="B13252" s="55" t="s">
        <v>281</v>
      </c>
      <c r="C13252" s="46">
        <v>3240</v>
      </c>
      <c r="D13252" s="69" t="s">
        <v>29418</v>
      </c>
      <c r="E13252" s="51"/>
      <c r="F13252" s="114" t="str">
        <f>IF(INDEX(I.Facility.P2bIDNumber,3240)="","",INDEX(I.Facility.P2bIDNumber,3240))</f>
        <v/>
      </c>
      <c r="G13252" s="51"/>
      <c r="H13252" s="46" t="str">
        <f>IF(AND(I.Developer.P2b=TRUE,I.Facility.P2bFacilityCount&gt;=3240,F13252=""),"Incomplete","Complete")</f>
        <v>Complete</v>
      </c>
      <c r="I13252" s="48" t="s">
        <v>17617</v>
      </c>
    </row>
    <row r="13253" spans="2:9" ht="15" customHeight="1" x14ac:dyDescent="0.25">
      <c r="B13253" s="55" t="s">
        <v>281</v>
      </c>
      <c r="C13253" s="46">
        <v>3241</v>
      </c>
      <c r="D13253" s="69" t="s">
        <v>29418</v>
      </c>
      <c r="E13253" s="51"/>
      <c r="F13253" s="114" t="str">
        <f>IF(INDEX(I.Facility.P2bIDNumber,3241)="","",INDEX(I.Facility.P2bIDNumber,3241))</f>
        <v/>
      </c>
      <c r="G13253" s="51"/>
      <c r="H13253" s="46" t="str">
        <f>IF(AND(I.Developer.P2b=TRUE,I.Facility.P2bFacilityCount&gt;=3241,F13253=""),"Incomplete","Complete")</f>
        <v>Complete</v>
      </c>
      <c r="I13253" s="48" t="s">
        <v>17618</v>
      </c>
    </row>
    <row r="13254" spans="2:9" ht="15" customHeight="1" x14ac:dyDescent="0.25">
      <c r="B13254" s="55" t="s">
        <v>281</v>
      </c>
      <c r="C13254" s="46">
        <v>3242</v>
      </c>
      <c r="D13254" s="69" t="s">
        <v>29418</v>
      </c>
      <c r="E13254" s="51"/>
      <c r="F13254" s="114" t="str">
        <f>IF(INDEX(I.Facility.P2bIDNumber,3242)="","",INDEX(I.Facility.P2bIDNumber,3242))</f>
        <v/>
      </c>
      <c r="G13254" s="51"/>
      <c r="H13254" s="46" t="str">
        <f>IF(AND(I.Developer.P2b=TRUE,I.Facility.P2bFacilityCount&gt;=3242,F13254=""),"Incomplete","Complete")</f>
        <v>Complete</v>
      </c>
      <c r="I13254" s="48" t="s">
        <v>17619</v>
      </c>
    </row>
    <row r="13255" spans="2:9" ht="15" customHeight="1" x14ac:dyDescent="0.25">
      <c r="B13255" s="55" t="s">
        <v>281</v>
      </c>
      <c r="C13255" s="46">
        <v>3243</v>
      </c>
      <c r="D13255" s="69" t="s">
        <v>29418</v>
      </c>
      <c r="E13255" s="51"/>
      <c r="F13255" s="114" t="str">
        <f>IF(INDEX(I.Facility.P2bIDNumber,3243)="","",INDEX(I.Facility.P2bIDNumber,3243))</f>
        <v/>
      </c>
      <c r="G13255" s="51"/>
      <c r="H13255" s="46" t="str">
        <f>IF(AND(I.Developer.P2b=TRUE,I.Facility.P2bFacilityCount&gt;=3243,F13255=""),"Incomplete","Complete")</f>
        <v>Complete</v>
      </c>
      <c r="I13255" s="48" t="s">
        <v>17620</v>
      </c>
    </row>
    <row r="13256" spans="2:9" ht="15" customHeight="1" x14ac:dyDescent="0.25">
      <c r="B13256" s="55" t="s">
        <v>281</v>
      </c>
      <c r="C13256" s="46">
        <v>3244</v>
      </c>
      <c r="D13256" s="69" t="s">
        <v>29418</v>
      </c>
      <c r="E13256" s="51"/>
      <c r="F13256" s="114" t="str">
        <f>IF(INDEX(I.Facility.P2bIDNumber,3244)="","",INDEX(I.Facility.P2bIDNumber,3244))</f>
        <v/>
      </c>
      <c r="G13256" s="51"/>
      <c r="H13256" s="46" t="str">
        <f>IF(AND(I.Developer.P2b=TRUE,I.Facility.P2bFacilityCount&gt;=3244,F13256=""),"Incomplete","Complete")</f>
        <v>Complete</v>
      </c>
      <c r="I13256" s="48" t="s">
        <v>17621</v>
      </c>
    </row>
    <row r="13257" spans="2:9" ht="15" customHeight="1" x14ac:dyDescent="0.25">
      <c r="B13257" s="55" t="s">
        <v>281</v>
      </c>
      <c r="C13257" s="46">
        <v>3245</v>
      </c>
      <c r="D13257" s="69" t="s">
        <v>29418</v>
      </c>
      <c r="E13257" s="51"/>
      <c r="F13257" s="114" t="str">
        <f>IF(INDEX(I.Facility.P2bIDNumber,3245)="","",INDEX(I.Facility.P2bIDNumber,3245))</f>
        <v/>
      </c>
      <c r="G13257" s="51"/>
      <c r="H13257" s="46" t="str">
        <f>IF(AND(I.Developer.P2b=TRUE,I.Facility.P2bFacilityCount&gt;=3245,F13257=""),"Incomplete","Complete")</f>
        <v>Complete</v>
      </c>
      <c r="I13257" s="48" t="s">
        <v>17622</v>
      </c>
    </row>
    <row r="13258" spans="2:9" ht="15" customHeight="1" x14ac:dyDescent="0.25">
      <c r="B13258" s="55" t="s">
        <v>281</v>
      </c>
      <c r="C13258" s="46">
        <v>3246</v>
      </c>
      <c r="D13258" s="69" t="s">
        <v>29418</v>
      </c>
      <c r="E13258" s="51"/>
      <c r="F13258" s="114" t="str">
        <f>IF(INDEX(I.Facility.P2bIDNumber,3246)="","",INDEX(I.Facility.P2bIDNumber,3246))</f>
        <v/>
      </c>
      <c r="G13258" s="51"/>
      <c r="H13258" s="46" t="str">
        <f>IF(AND(I.Developer.P2b=TRUE,I.Facility.P2bFacilityCount&gt;=3246,F13258=""),"Incomplete","Complete")</f>
        <v>Complete</v>
      </c>
      <c r="I13258" s="48" t="s">
        <v>17623</v>
      </c>
    </row>
    <row r="13259" spans="2:9" ht="15" customHeight="1" x14ac:dyDescent="0.25">
      <c r="B13259" s="55" t="s">
        <v>281</v>
      </c>
      <c r="C13259" s="46">
        <v>3247</v>
      </c>
      <c r="D13259" s="69" t="s">
        <v>29418</v>
      </c>
      <c r="E13259" s="51"/>
      <c r="F13259" s="114" t="str">
        <f>IF(INDEX(I.Facility.P2bIDNumber,3247)="","",INDEX(I.Facility.P2bIDNumber,3247))</f>
        <v/>
      </c>
      <c r="G13259" s="51"/>
      <c r="H13259" s="46" t="str">
        <f>IF(AND(I.Developer.P2b=TRUE,I.Facility.P2bFacilityCount&gt;=3247,F13259=""),"Incomplete","Complete")</f>
        <v>Complete</v>
      </c>
      <c r="I13259" s="48" t="s">
        <v>17624</v>
      </c>
    </row>
    <row r="13260" spans="2:9" ht="15" customHeight="1" x14ac:dyDescent="0.25">
      <c r="B13260" s="55" t="s">
        <v>281</v>
      </c>
      <c r="C13260" s="46">
        <v>3248</v>
      </c>
      <c r="D13260" s="69" t="s">
        <v>29418</v>
      </c>
      <c r="E13260" s="51"/>
      <c r="F13260" s="114" t="str">
        <f>IF(INDEX(I.Facility.P2bIDNumber,3248)="","",INDEX(I.Facility.P2bIDNumber,3248))</f>
        <v/>
      </c>
      <c r="G13260" s="51"/>
      <c r="H13260" s="46" t="str">
        <f>IF(AND(I.Developer.P2b=TRUE,I.Facility.P2bFacilityCount&gt;=3248,F13260=""),"Incomplete","Complete")</f>
        <v>Complete</v>
      </c>
      <c r="I13260" s="48" t="s">
        <v>17625</v>
      </c>
    </row>
    <row r="13261" spans="2:9" ht="15" customHeight="1" x14ac:dyDescent="0.25">
      <c r="B13261" s="55" t="s">
        <v>281</v>
      </c>
      <c r="C13261" s="46">
        <v>3249</v>
      </c>
      <c r="D13261" s="69" t="s">
        <v>29418</v>
      </c>
      <c r="E13261" s="51"/>
      <c r="F13261" s="114" t="str">
        <f>IF(INDEX(I.Facility.P2bIDNumber,3249)="","",INDEX(I.Facility.P2bIDNumber,3249))</f>
        <v/>
      </c>
      <c r="G13261" s="51"/>
      <c r="H13261" s="46" t="str">
        <f>IF(AND(I.Developer.P2b=TRUE,I.Facility.P2bFacilityCount&gt;=3249,F13261=""),"Incomplete","Complete")</f>
        <v>Complete</v>
      </c>
      <c r="I13261" s="48" t="s">
        <v>17626</v>
      </c>
    </row>
    <row r="13262" spans="2:9" ht="15" customHeight="1" x14ac:dyDescent="0.25">
      <c r="B13262" s="55" t="s">
        <v>281</v>
      </c>
      <c r="C13262" s="46">
        <v>3250</v>
      </c>
      <c r="D13262" s="69" t="s">
        <v>29418</v>
      </c>
      <c r="E13262" s="51"/>
      <c r="F13262" s="114" t="str">
        <f>IF(INDEX(I.Facility.P2bIDNumber,3250)="","",INDEX(I.Facility.P2bIDNumber,3250))</f>
        <v/>
      </c>
      <c r="G13262" s="51"/>
      <c r="H13262" s="46" t="str">
        <f>IF(AND(I.Developer.P2b=TRUE,I.Facility.P2bFacilityCount&gt;=3250,F13262=""),"Incomplete","Complete")</f>
        <v>Complete</v>
      </c>
      <c r="I13262" s="48" t="s">
        <v>17627</v>
      </c>
    </row>
    <row r="13263" spans="2:9" ht="15" customHeight="1" x14ac:dyDescent="0.25">
      <c r="B13263" s="55" t="s">
        <v>281</v>
      </c>
      <c r="C13263" s="46">
        <v>3251</v>
      </c>
      <c r="D13263" s="69" t="s">
        <v>29418</v>
      </c>
      <c r="E13263" s="51"/>
      <c r="F13263" s="114" t="str">
        <f>IF(INDEX(I.Facility.P2bIDNumber,3251)="","",INDEX(I.Facility.P2bIDNumber,3251))</f>
        <v/>
      </c>
      <c r="G13263" s="51"/>
      <c r="H13263" s="46" t="str">
        <f>IF(AND(I.Developer.P2b=TRUE,I.Facility.P2bFacilityCount&gt;=3251,F13263=""),"Incomplete","Complete")</f>
        <v>Complete</v>
      </c>
      <c r="I13263" s="48" t="s">
        <v>17628</v>
      </c>
    </row>
    <row r="13264" spans="2:9" ht="15" customHeight="1" x14ac:dyDescent="0.25">
      <c r="B13264" s="55" t="s">
        <v>281</v>
      </c>
      <c r="C13264" s="46">
        <v>3252</v>
      </c>
      <c r="D13264" s="69" t="s">
        <v>29418</v>
      </c>
      <c r="E13264" s="51"/>
      <c r="F13264" s="114" t="str">
        <f>IF(INDEX(I.Facility.P2bIDNumber,3252)="","",INDEX(I.Facility.P2bIDNumber,3252))</f>
        <v/>
      </c>
      <c r="G13264" s="51"/>
      <c r="H13264" s="46" t="str">
        <f>IF(AND(I.Developer.P2b=TRUE,I.Facility.P2bFacilityCount&gt;=3252,F13264=""),"Incomplete","Complete")</f>
        <v>Complete</v>
      </c>
      <c r="I13264" s="48" t="s">
        <v>17629</v>
      </c>
    </row>
    <row r="13265" spans="2:9" ht="15" customHeight="1" x14ac:dyDescent="0.25">
      <c r="B13265" s="55" t="s">
        <v>281</v>
      </c>
      <c r="C13265" s="46">
        <v>3253</v>
      </c>
      <c r="D13265" s="69" t="s">
        <v>29418</v>
      </c>
      <c r="E13265" s="51"/>
      <c r="F13265" s="114" t="str">
        <f>IF(INDEX(I.Facility.P2bIDNumber,3253)="","",INDEX(I.Facility.P2bIDNumber,3253))</f>
        <v/>
      </c>
      <c r="G13265" s="51"/>
      <c r="H13265" s="46" t="str">
        <f>IF(AND(I.Developer.P2b=TRUE,I.Facility.P2bFacilityCount&gt;=3253,F13265=""),"Incomplete","Complete")</f>
        <v>Complete</v>
      </c>
      <c r="I13265" s="48" t="s">
        <v>17630</v>
      </c>
    </row>
    <row r="13266" spans="2:9" ht="15" customHeight="1" x14ac:dyDescent="0.25">
      <c r="B13266" s="55" t="s">
        <v>281</v>
      </c>
      <c r="C13266" s="46">
        <v>3254</v>
      </c>
      <c r="D13266" s="69" t="s">
        <v>29418</v>
      </c>
      <c r="E13266" s="51"/>
      <c r="F13266" s="114" t="str">
        <f>IF(INDEX(I.Facility.P2bIDNumber,3254)="","",INDEX(I.Facility.P2bIDNumber,3254))</f>
        <v/>
      </c>
      <c r="G13266" s="51"/>
      <c r="H13266" s="46" t="str">
        <f>IF(AND(I.Developer.P2b=TRUE,I.Facility.P2bFacilityCount&gt;=3254,F13266=""),"Incomplete","Complete")</f>
        <v>Complete</v>
      </c>
      <c r="I13266" s="48" t="s">
        <v>17631</v>
      </c>
    </row>
    <row r="13267" spans="2:9" ht="15" customHeight="1" x14ac:dyDescent="0.25">
      <c r="B13267" s="55" t="s">
        <v>281</v>
      </c>
      <c r="C13267" s="46">
        <v>3255</v>
      </c>
      <c r="D13267" s="69" t="s">
        <v>29418</v>
      </c>
      <c r="E13267" s="51"/>
      <c r="F13267" s="114" t="str">
        <f>IF(INDEX(I.Facility.P2bIDNumber,3255)="","",INDEX(I.Facility.P2bIDNumber,3255))</f>
        <v/>
      </c>
      <c r="G13267" s="51"/>
      <c r="H13267" s="46" t="str">
        <f>IF(AND(I.Developer.P2b=TRUE,I.Facility.P2bFacilityCount&gt;=3255,F13267=""),"Incomplete","Complete")</f>
        <v>Complete</v>
      </c>
      <c r="I13267" s="48" t="s">
        <v>17632</v>
      </c>
    </row>
    <row r="13268" spans="2:9" ht="15" customHeight="1" x14ac:dyDescent="0.25">
      <c r="B13268" s="55" t="s">
        <v>281</v>
      </c>
      <c r="C13268" s="46">
        <v>3256</v>
      </c>
      <c r="D13268" s="69" t="s">
        <v>29418</v>
      </c>
      <c r="E13268" s="51"/>
      <c r="F13268" s="114" t="str">
        <f>IF(INDEX(I.Facility.P2bIDNumber,3256)="","",INDEX(I.Facility.P2bIDNumber,3256))</f>
        <v/>
      </c>
      <c r="G13268" s="51"/>
      <c r="H13268" s="46" t="str">
        <f>IF(AND(I.Developer.P2b=TRUE,I.Facility.P2bFacilityCount&gt;=3256,F13268=""),"Incomplete","Complete")</f>
        <v>Complete</v>
      </c>
      <c r="I13268" s="48" t="s">
        <v>17633</v>
      </c>
    </row>
    <row r="13269" spans="2:9" ht="15" customHeight="1" x14ac:dyDescent="0.25">
      <c r="B13269" s="55" t="s">
        <v>281</v>
      </c>
      <c r="C13269" s="46">
        <v>3257</v>
      </c>
      <c r="D13269" s="69" t="s">
        <v>29418</v>
      </c>
      <c r="E13269" s="51"/>
      <c r="F13269" s="114" t="str">
        <f>IF(INDEX(I.Facility.P2bIDNumber,3257)="","",INDEX(I.Facility.P2bIDNumber,3257))</f>
        <v/>
      </c>
      <c r="G13269" s="51"/>
      <c r="H13269" s="46" t="str">
        <f>IF(AND(I.Developer.P2b=TRUE,I.Facility.P2bFacilityCount&gt;=3257,F13269=""),"Incomplete","Complete")</f>
        <v>Complete</v>
      </c>
      <c r="I13269" s="48" t="s">
        <v>17634</v>
      </c>
    </row>
    <row r="13270" spans="2:9" ht="15" customHeight="1" x14ac:dyDescent="0.25">
      <c r="B13270" s="55" t="s">
        <v>281</v>
      </c>
      <c r="C13270" s="46">
        <v>3258</v>
      </c>
      <c r="D13270" s="69" t="s">
        <v>29418</v>
      </c>
      <c r="E13270" s="51"/>
      <c r="F13270" s="114" t="str">
        <f>IF(INDEX(I.Facility.P2bIDNumber,3258)="","",INDEX(I.Facility.P2bIDNumber,3258))</f>
        <v/>
      </c>
      <c r="G13270" s="51"/>
      <c r="H13270" s="46" t="str">
        <f>IF(AND(I.Developer.P2b=TRUE,I.Facility.P2bFacilityCount&gt;=3258,F13270=""),"Incomplete","Complete")</f>
        <v>Complete</v>
      </c>
      <c r="I13270" s="48" t="s">
        <v>17635</v>
      </c>
    </row>
    <row r="13271" spans="2:9" ht="15" customHeight="1" x14ac:dyDescent="0.25">
      <c r="B13271" s="55" t="s">
        <v>281</v>
      </c>
      <c r="C13271" s="46">
        <v>3259</v>
      </c>
      <c r="D13271" s="69" t="s">
        <v>29418</v>
      </c>
      <c r="E13271" s="51"/>
      <c r="F13271" s="114" t="str">
        <f>IF(INDEX(I.Facility.P2bIDNumber,3259)="","",INDEX(I.Facility.P2bIDNumber,3259))</f>
        <v/>
      </c>
      <c r="G13271" s="51"/>
      <c r="H13271" s="46" t="str">
        <f>IF(AND(I.Developer.P2b=TRUE,I.Facility.P2bFacilityCount&gt;=3259,F13271=""),"Incomplete","Complete")</f>
        <v>Complete</v>
      </c>
      <c r="I13271" s="48" t="s">
        <v>17636</v>
      </c>
    </row>
    <row r="13272" spans="2:9" ht="15" customHeight="1" x14ac:dyDescent="0.25">
      <c r="B13272" s="55" t="s">
        <v>281</v>
      </c>
      <c r="C13272" s="46">
        <v>3260</v>
      </c>
      <c r="D13272" s="69" t="s">
        <v>29418</v>
      </c>
      <c r="E13272" s="51"/>
      <c r="F13272" s="114" t="str">
        <f>IF(INDEX(I.Facility.P2bIDNumber,3260)="","",INDEX(I.Facility.P2bIDNumber,3260))</f>
        <v/>
      </c>
      <c r="G13272" s="51"/>
      <c r="H13272" s="46" t="str">
        <f>IF(AND(I.Developer.P2b=TRUE,I.Facility.P2bFacilityCount&gt;=3260,F13272=""),"Incomplete","Complete")</f>
        <v>Complete</v>
      </c>
      <c r="I13272" s="48" t="s">
        <v>17637</v>
      </c>
    </row>
    <row r="13273" spans="2:9" ht="15" customHeight="1" x14ac:dyDescent="0.25">
      <c r="B13273" s="55" t="s">
        <v>281</v>
      </c>
      <c r="C13273" s="46">
        <v>3261</v>
      </c>
      <c r="D13273" s="69" t="s">
        <v>29418</v>
      </c>
      <c r="E13273" s="51"/>
      <c r="F13273" s="114" t="str">
        <f>IF(INDEX(I.Facility.P2bIDNumber,3261)="","",INDEX(I.Facility.P2bIDNumber,3261))</f>
        <v/>
      </c>
      <c r="G13273" s="51"/>
      <c r="H13273" s="46" t="str">
        <f>IF(AND(I.Developer.P2b=TRUE,I.Facility.P2bFacilityCount&gt;=3261,F13273=""),"Incomplete","Complete")</f>
        <v>Complete</v>
      </c>
      <c r="I13273" s="48" t="s">
        <v>17638</v>
      </c>
    </row>
    <row r="13274" spans="2:9" ht="15" customHeight="1" x14ac:dyDescent="0.25">
      <c r="B13274" s="55" t="s">
        <v>281</v>
      </c>
      <c r="C13274" s="46">
        <v>3262</v>
      </c>
      <c r="D13274" s="69" t="s">
        <v>29418</v>
      </c>
      <c r="E13274" s="51"/>
      <c r="F13274" s="114" t="str">
        <f>IF(INDEX(I.Facility.P2bIDNumber,3262)="","",INDEX(I.Facility.P2bIDNumber,3262))</f>
        <v/>
      </c>
      <c r="G13274" s="51"/>
      <c r="H13274" s="46" t="str">
        <f>IF(AND(I.Developer.P2b=TRUE,I.Facility.P2bFacilityCount&gt;=3262,F13274=""),"Incomplete","Complete")</f>
        <v>Complete</v>
      </c>
      <c r="I13274" s="48" t="s">
        <v>17639</v>
      </c>
    </row>
    <row r="13275" spans="2:9" ht="15" customHeight="1" x14ac:dyDescent="0.25">
      <c r="B13275" s="55" t="s">
        <v>281</v>
      </c>
      <c r="C13275" s="46">
        <v>3263</v>
      </c>
      <c r="D13275" s="69" t="s">
        <v>29418</v>
      </c>
      <c r="E13275" s="51"/>
      <c r="F13275" s="114" t="str">
        <f>IF(INDEX(I.Facility.P2bIDNumber,3263)="","",INDEX(I.Facility.P2bIDNumber,3263))</f>
        <v/>
      </c>
      <c r="G13275" s="51"/>
      <c r="H13275" s="46" t="str">
        <f>IF(AND(I.Developer.P2b=TRUE,I.Facility.P2bFacilityCount&gt;=3263,F13275=""),"Incomplete","Complete")</f>
        <v>Complete</v>
      </c>
      <c r="I13275" s="48" t="s">
        <v>17640</v>
      </c>
    </row>
    <row r="13276" spans="2:9" ht="15" customHeight="1" x14ac:dyDescent="0.25">
      <c r="B13276" s="55" t="s">
        <v>281</v>
      </c>
      <c r="C13276" s="46">
        <v>3264</v>
      </c>
      <c r="D13276" s="69" t="s">
        <v>29418</v>
      </c>
      <c r="E13276" s="51"/>
      <c r="F13276" s="114" t="str">
        <f>IF(INDEX(I.Facility.P2bIDNumber,3264)="","",INDEX(I.Facility.P2bIDNumber,3264))</f>
        <v/>
      </c>
      <c r="G13276" s="51"/>
      <c r="H13276" s="46" t="str">
        <f>IF(AND(I.Developer.P2b=TRUE,I.Facility.P2bFacilityCount&gt;=3264,F13276=""),"Incomplete","Complete")</f>
        <v>Complete</v>
      </c>
      <c r="I13276" s="48" t="s">
        <v>17641</v>
      </c>
    </row>
    <row r="13277" spans="2:9" ht="15" customHeight="1" x14ac:dyDescent="0.25">
      <c r="B13277" s="55" t="s">
        <v>281</v>
      </c>
      <c r="C13277" s="46">
        <v>3265</v>
      </c>
      <c r="D13277" s="69" t="s">
        <v>29418</v>
      </c>
      <c r="E13277" s="51"/>
      <c r="F13277" s="114" t="str">
        <f>IF(INDEX(I.Facility.P2bIDNumber,3265)="","",INDEX(I.Facility.P2bIDNumber,3265))</f>
        <v/>
      </c>
      <c r="G13277" s="51"/>
      <c r="H13277" s="46" t="str">
        <f>IF(AND(I.Developer.P2b=TRUE,I.Facility.P2bFacilityCount&gt;=3265,F13277=""),"Incomplete","Complete")</f>
        <v>Complete</v>
      </c>
      <c r="I13277" s="48" t="s">
        <v>17642</v>
      </c>
    </row>
    <row r="13278" spans="2:9" ht="15" customHeight="1" x14ac:dyDescent="0.25">
      <c r="B13278" s="55" t="s">
        <v>281</v>
      </c>
      <c r="C13278" s="46">
        <v>3266</v>
      </c>
      <c r="D13278" s="69" t="s">
        <v>29418</v>
      </c>
      <c r="E13278" s="51"/>
      <c r="F13278" s="114" t="str">
        <f>IF(INDEX(I.Facility.P2bIDNumber,3266)="","",INDEX(I.Facility.P2bIDNumber,3266))</f>
        <v/>
      </c>
      <c r="G13278" s="51"/>
      <c r="H13278" s="46" t="str">
        <f>IF(AND(I.Developer.P2b=TRUE,I.Facility.P2bFacilityCount&gt;=3266,F13278=""),"Incomplete","Complete")</f>
        <v>Complete</v>
      </c>
      <c r="I13278" s="48" t="s">
        <v>17643</v>
      </c>
    </row>
    <row r="13279" spans="2:9" ht="15" customHeight="1" x14ac:dyDescent="0.25">
      <c r="B13279" s="55" t="s">
        <v>281</v>
      </c>
      <c r="C13279" s="46">
        <v>3267</v>
      </c>
      <c r="D13279" s="69" t="s">
        <v>29418</v>
      </c>
      <c r="E13279" s="51"/>
      <c r="F13279" s="114" t="str">
        <f>IF(INDEX(I.Facility.P2bIDNumber,3267)="","",INDEX(I.Facility.P2bIDNumber,3267))</f>
        <v/>
      </c>
      <c r="G13279" s="51"/>
      <c r="H13279" s="46" t="str">
        <f>IF(AND(I.Developer.P2b=TRUE,I.Facility.P2bFacilityCount&gt;=3267,F13279=""),"Incomplete","Complete")</f>
        <v>Complete</v>
      </c>
      <c r="I13279" s="48" t="s">
        <v>17644</v>
      </c>
    </row>
    <row r="13280" spans="2:9" ht="15" customHeight="1" x14ac:dyDescent="0.25">
      <c r="B13280" s="55" t="s">
        <v>281</v>
      </c>
      <c r="C13280" s="46">
        <v>3268</v>
      </c>
      <c r="D13280" s="69" t="s">
        <v>29418</v>
      </c>
      <c r="E13280" s="51"/>
      <c r="F13280" s="114" t="str">
        <f>IF(INDEX(I.Facility.P2bIDNumber,3268)="","",INDEX(I.Facility.P2bIDNumber,3268))</f>
        <v/>
      </c>
      <c r="G13280" s="51"/>
      <c r="H13280" s="46" t="str">
        <f>IF(AND(I.Developer.P2b=TRUE,I.Facility.P2bFacilityCount&gt;=3268,F13280=""),"Incomplete","Complete")</f>
        <v>Complete</v>
      </c>
      <c r="I13280" s="48" t="s">
        <v>17645</v>
      </c>
    </row>
    <row r="13281" spans="2:9" ht="15" customHeight="1" x14ac:dyDescent="0.25">
      <c r="B13281" s="55" t="s">
        <v>281</v>
      </c>
      <c r="C13281" s="46">
        <v>3269</v>
      </c>
      <c r="D13281" s="69" t="s">
        <v>29418</v>
      </c>
      <c r="E13281" s="51"/>
      <c r="F13281" s="114" t="str">
        <f>IF(INDEX(I.Facility.P2bIDNumber,3269)="","",INDEX(I.Facility.P2bIDNumber,3269))</f>
        <v/>
      </c>
      <c r="G13281" s="51"/>
      <c r="H13281" s="46" t="str">
        <f>IF(AND(I.Developer.P2b=TRUE,I.Facility.P2bFacilityCount&gt;=3269,F13281=""),"Incomplete","Complete")</f>
        <v>Complete</v>
      </c>
      <c r="I13281" s="48" t="s">
        <v>17646</v>
      </c>
    </row>
    <row r="13282" spans="2:9" ht="15" customHeight="1" x14ac:dyDescent="0.25">
      <c r="B13282" s="55" t="s">
        <v>281</v>
      </c>
      <c r="C13282" s="46">
        <v>3270</v>
      </c>
      <c r="D13282" s="69" t="s">
        <v>29418</v>
      </c>
      <c r="E13282" s="51"/>
      <c r="F13282" s="114" t="str">
        <f>IF(INDEX(I.Facility.P2bIDNumber,3270)="","",INDEX(I.Facility.P2bIDNumber,3270))</f>
        <v/>
      </c>
      <c r="G13282" s="51"/>
      <c r="H13282" s="46" t="str">
        <f>IF(AND(I.Developer.P2b=TRUE,I.Facility.P2bFacilityCount&gt;=3270,F13282=""),"Incomplete","Complete")</f>
        <v>Complete</v>
      </c>
      <c r="I13282" s="48" t="s">
        <v>17647</v>
      </c>
    </row>
    <row r="13283" spans="2:9" ht="15" customHeight="1" x14ac:dyDescent="0.25">
      <c r="B13283" s="55" t="s">
        <v>281</v>
      </c>
      <c r="C13283" s="46">
        <v>3271</v>
      </c>
      <c r="D13283" s="69" t="s">
        <v>29418</v>
      </c>
      <c r="E13283" s="51"/>
      <c r="F13283" s="114" t="str">
        <f>IF(INDEX(I.Facility.P2bIDNumber,3271)="","",INDEX(I.Facility.P2bIDNumber,3271))</f>
        <v/>
      </c>
      <c r="G13283" s="51"/>
      <c r="H13283" s="46" t="str">
        <f>IF(AND(I.Developer.P2b=TRUE,I.Facility.P2bFacilityCount&gt;=3271,F13283=""),"Incomplete","Complete")</f>
        <v>Complete</v>
      </c>
      <c r="I13283" s="48" t="s">
        <v>17648</v>
      </c>
    </row>
    <row r="13284" spans="2:9" ht="15" customHeight="1" x14ac:dyDescent="0.25">
      <c r="B13284" s="55" t="s">
        <v>281</v>
      </c>
      <c r="C13284" s="46">
        <v>3272</v>
      </c>
      <c r="D13284" s="69" t="s">
        <v>29418</v>
      </c>
      <c r="E13284" s="51"/>
      <c r="F13284" s="114" t="str">
        <f>IF(INDEX(I.Facility.P2bIDNumber,3272)="","",INDEX(I.Facility.P2bIDNumber,3272))</f>
        <v/>
      </c>
      <c r="G13284" s="51"/>
      <c r="H13284" s="46" t="str">
        <f>IF(AND(I.Developer.P2b=TRUE,I.Facility.P2bFacilityCount&gt;=3272,F13284=""),"Incomplete","Complete")</f>
        <v>Complete</v>
      </c>
      <c r="I13284" s="48" t="s">
        <v>17649</v>
      </c>
    </row>
    <row r="13285" spans="2:9" ht="15" customHeight="1" x14ac:dyDescent="0.25">
      <c r="B13285" s="55" t="s">
        <v>281</v>
      </c>
      <c r="C13285" s="46">
        <v>3273</v>
      </c>
      <c r="D13285" s="69" t="s">
        <v>29418</v>
      </c>
      <c r="E13285" s="51"/>
      <c r="F13285" s="114" t="str">
        <f>IF(INDEX(I.Facility.P2bIDNumber,3273)="","",INDEX(I.Facility.P2bIDNumber,3273))</f>
        <v/>
      </c>
      <c r="G13285" s="51"/>
      <c r="H13285" s="46" t="str">
        <f>IF(AND(I.Developer.P2b=TRUE,I.Facility.P2bFacilityCount&gt;=3273,F13285=""),"Incomplete","Complete")</f>
        <v>Complete</v>
      </c>
      <c r="I13285" s="48" t="s">
        <v>17650</v>
      </c>
    </row>
    <row r="13286" spans="2:9" ht="15" customHeight="1" x14ac:dyDescent="0.25">
      <c r="B13286" s="55" t="s">
        <v>281</v>
      </c>
      <c r="C13286" s="46">
        <v>3274</v>
      </c>
      <c r="D13286" s="69" t="s">
        <v>29418</v>
      </c>
      <c r="E13286" s="51"/>
      <c r="F13286" s="114" t="str">
        <f>IF(INDEX(I.Facility.P2bIDNumber,3274)="","",INDEX(I.Facility.P2bIDNumber,3274))</f>
        <v/>
      </c>
      <c r="G13286" s="51"/>
      <c r="H13286" s="46" t="str">
        <f>IF(AND(I.Developer.P2b=TRUE,I.Facility.P2bFacilityCount&gt;=3274,F13286=""),"Incomplete","Complete")</f>
        <v>Complete</v>
      </c>
      <c r="I13286" s="48" t="s">
        <v>17651</v>
      </c>
    </row>
    <row r="13287" spans="2:9" ht="15" customHeight="1" x14ac:dyDescent="0.25">
      <c r="B13287" s="55" t="s">
        <v>281</v>
      </c>
      <c r="C13287" s="46">
        <v>3275</v>
      </c>
      <c r="D13287" s="69" t="s">
        <v>29418</v>
      </c>
      <c r="E13287" s="51"/>
      <c r="F13287" s="114" t="str">
        <f>IF(INDEX(I.Facility.P2bIDNumber,3275)="","",INDEX(I.Facility.P2bIDNumber,3275))</f>
        <v/>
      </c>
      <c r="G13287" s="51"/>
      <c r="H13287" s="46" t="str">
        <f>IF(AND(I.Developer.P2b=TRUE,I.Facility.P2bFacilityCount&gt;=3275,F13287=""),"Incomplete","Complete")</f>
        <v>Complete</v>
      </c>
      <c r="I13287" s="48" t="s">
        <v>17652</v>
      </c>
    </row>
    <row r="13288" spans="2:9" ht="15" customHeight="1" x14ac:dyDescent="0.25">
      <c r="B13288" s="55" t="s">
        <v>281</v>
      </c>
      <c r="C13288" s="46">
        <v>3276</v>
      </c>
      <c r="D13288" s="69" t="s">
        <v>29418</v>
      </c>
      <c r="E13288" s="51"/>
      <c r="F13288" s="114" t="str">
        <f>IF(INDEX(I.Facility.P2bIDNumber,3276)="","",INDEX(I.Facility.P2bIDNumber,3276))</f>
        <v/>
      </c>
      <c r="G13288" s="51"/>
      <c r="H13288" s="46" t="str">
        <f>IF(AND(I.Developer.P2b=TRUE,I.Facility.P2bFacilityCount&gt;=3276,F13288=""),"Incomplete","Complete")</f>
        <v>Complete</v>
      </c>
      <c r="I13288" s="48" t="s">
        <v>17653</v>
      </c>
    </row>
    <row r="13289" spans="2:9" ht="15" customHeight="1" x14ac:dyDescent="0.25">
      <c r="B13289" s="55" t="s">
        <v>281</v>
      </c>
      <c r="C13289" s="46">
        <v>3277</v>
      </c>
      <c r="D13289" s="69" t="s">
        <v>29418</v>
      </c>
      <c r="E13289" s="51"/>
      <c r="F13289" s="114" t="str">
        <f>IF(INDEX(I.Facility.P2bIDNumber,3277)="","",INDEX(I.Facility.P2bIDNumber,3277))</f>
        <v/>
      </c>
      <c r="G13289" s="51"/>
      <c r="H13289" s="46" t="str">
        <f>IF(AND(I.Developer.P2b=TRUE,I.Facility.P2bFacilityCount&gt;=3277,F13289=""),"Incomplete","Complete")</f>
        <v>Complete</v>
      </c>
      <c r="I13289" s="48" t="s">
        <v>17654</v>
      </c>
    </row>
    <row r="13290" spans="2:9" ht="15" customHeight="1" x14ac:dyDescent="0.25">
      <c r="B13290" s="55" t="s">
        <v>281</v>
      </c>
      <c r="C13290" s="46">
        <v>3278</v>
      </c>
      <c r="D13290" s="69" t="s">
        <v>29418</v>
      </c>
      <c r="E13290" s="51"/>
      <c r="F13290" s="114" t="str">
        <f>IF(INDEX(I.Facility.P2bIDNumber,3278)="","",INDEX(I.Facility.P2bIDNumber,3278))</f>
        <v/>
      </c>
      <c r="G13290" s="51"/>
      <c r="H13290" s="46" t="str">
        <f>IF(AND(I.Developer.P2b=TRUE,I.Facility.P2bFacilityCount&gt;=3278,F13290=""),"Incomplete","Complete")</f>
        <v>Complete</v>
      </c>
      <c r="I13290" s="48" t="s">
        <v>17655</v>
      </c>
    </row>
    <row r="13291" spans="2:9" ht="15" customHeight="1" x14ac:dyDescent="0.25">
      <c r="B13291" s="55" t="s">
        <v>281</v>
      </c>
      <c r="C13291" s="46">
        <v>3279</v>
      </c>
      <c r="D13291" s="69" t="s">
        <v>29418</v>
      </c>
      <c r="E13291" s="51"/>
      <c r="F13291" s="114" t="str">
        <f>IF(INDEX(I.Facility.P2bIDNumber,3279)="","",INDEX(I.Facility.P2bIDNumber,3279))</f>
        <v/>
      </c>
      <c r="G13291" s="51"/>
      <c r="H13291" s="46" t="str">
        <f>IF(AND(I.Developer.P2b=TRUE,I.Facility.P2bFacilityCount&gt;=3279,F13291=""),"Incomplete","Complete")</f>
        <v>Complete</v>
      </c>
      <c r="I13291" s="48" t="s">
        <v>17656</v>
      </c>
    </row>
    <row r="13292" spans="2:9" ht="15" customHeight="1" x14ac:dyDescent="0.25">
      <c r="B13292" s="55" t="s">
        <v>281</v>
      </c>
      <c r="C13292" s="46">
        <v>3280</v>
      </c>
      <c r="D13292" s="69" t="s">
        <v>29418</v>
      </c>
      <c r="E13292" s="51"/>
      <c r="F13292" s="114" t="str">
        <f>IF(INDEX(I.Facility.P2bIDNumber,3280)="","",INDEX(I.Facility.P2bIDNumber,3280))</f>
        <v/>
      </c>
      <c r="G13292" s="51"/>
      <c r="H13292" s="46" t="str">
        <f>IF(AND(I.Developer.P2b=TRUE,I.Facility.P2bFacilityCount&gt;=3280,F13292=""),"Incomplete","Complete")</f>
        <v>Complete</v>
      </c>
      <c r="I13292" s="48" t="s">
        <v>17657</v>
      </c>
    </row>
    <row r="13293" spans="2:9" ht="15" customHeight="1" x14ac:dyDescent="0.25">
      <c r="B13293" s="55" t="s">
        <v>281</v>
      </c>
      <c r="C13293" s="46">
        <v>3281</v>
      </c>
      <c r="D13293" s="69" t="s">
        <v>29418</v>
      </c>
      <c r="E13293" s="51"/>
      <c r="F13293" s="114" t="str">
        <f>IF(INDEX(I.Facility.P2bIDNumber,3281)="","",INDEX(I.Facility.P2bIDNumber,3281))</f>
        <v/>
      </c>
      <c r="G13293" s="51"/>
      <c r="H13293" s="46" t="str">
        <f>IF(AND(I.Developer.P2b=TRUE,I.Facility.P2bFacilityCount&gt;=3281,F13293=""),"Incomplete","Complete")</f>
        <v>Complete</v>
      </c>
      <c r="I13293" s="48" t="s">
        <v>17658</v>
      </c>
    </row>
    <row r="13294" spans="2:9" ht="15" customHeight="1" x14ac:dyDescent="0.25">
      <c r="B13294" s="55" t="s">
        <v>281</v>
      </c>
      <c r="C13294" s="46">
        <v>3282</v>
      </c>
      <c r="D13294" s="69" t="s">
        <v>29418</v>
      </c>
      <c r="E13294" s="51"/>
      <c r="F13294" s="114" t="str">
        <f>IF(INDEX(I.Facility.P2bIDNumber,3282)="","",INDEX(I.Facility.P2bIDNumber,3282))</f>
        <v/>
      </c>
      <c r="G13294" s="51"/>
      <c r="H13294" s="46" t="str">
        <f>IF(AND(I.Developer.P2b=TRUE,I.Facility.P2bFacilityCount&gt;=3282,F13294=""),"Incomplete","Complete")</f>
        <v>Complete</v>
      </c>
      <c r="I13294" s="48" t="s">
        <v>17659</v>
      </c>
    </row>
    <row r="13295" spans="2:9" ht="15" customHeight="1" x14ac:dyDescent="0.25">
      <c r="B13295" s="55" t="s">
        <v>281</v>
      </c>
      <c r="C13295" s="46">
        <v>3283</v>
      </c>
      <c r="D13295" s="69" t="s">
        <v>29418</v>
      </c>
      <c r="E13295" s="51"/>
      <c r="F13295" s="114" t="str">
        <f>IF(INDEX(I.Facility.P2bIDNumber,3283)="","",INDEX(I.Facility.P2bIDNumber,3283))</f>
        <v/>
      </c>
      <c r="G13295" s="51"/>
      <c r="H13295" s="46" t="str">
        <f>IF(AND(I.Developer.P2b=TRUE,I.Facility.P2bFacilityCount&gt;=3283,F13295=""),"Incomplete","Complete")</f>
        <v>Complete</v>
      </c>
      <c r="I13295" s="48" t="s">
        <v>17660</v>
      </c>
    </row>
    <row r="13296" spans="2:9" ht="15" customHeight="1" x14ac:dyDescent="0.25">
      <c r="B13296" s="55" t="s">
        <v>281</v>
      </c>
      <c r="C13296" s="46">
        <v>3284</v>
      </c>
      <c r="D13296" s="69" t="s">
        <v>29418</v>
      </c>
      <c r="E13296" s="51"/>
      <c r="F13296" s="114" t="str">
        <f>IF(INDEX(I.Facility.P2bIDNumber,3284)="","",INDEX(I.Facility.P2bIDNumber,3284))</f>
        <v/>
      </c>
      <c r="G13296" s="51"/>
      <c r="H13296" s="46" t="str">
        <f>IF(AND(I.Developer.P2b=TRUE,I.Facility.P2bFacilityCount&gt;=3284,F13296=""),"Incomplete","Complete")</f>
        <v>Complete</v>
      </c>
      <c r="I13296" s="48" t="s">
        <v>17661</v>
      </c>
    </row>
    <row r="13297" spans="2:9" ht="15" customHeight="1" x14ac:dyDescent="0.25">
      <c r="B13297" s="55" t="s">
        <v>281</v>
      </c>
      <c r="C13297" s="46">
        <v>3285</v>
      </c>
      <c r="D13297" s="69" t="s">
        <v>29418</v>
      </c>
      <c r="E13297" s="51"/>
      <c r="F13297" s="114" t="str">
        <f>IF(INDEX(I.Facility.P2bIDNumber,3285)="","",INDEX(I.Facility.P2bIDNumber,3285))</f>
        <v/>
      </c>
      <c r="G13297" s="51"/>
      <c r="H13297" s="46" t="str">
        <f>IF(AND(I.Developer.P2b=TRUE,I.Facility.P2bFacilityCount&gt;=3285,F13297=""),"Incomplete","Complete")</f>
        <v>Complete</v>
      </c>
      <c r="I13297" s="48" t="s">
        <v>17662</v>
      </c>
    </row>
    <row r="13298" spans="2:9" ht="15" customHeight="1" x14ac:dyDescent="0.25">
      <c r="B13298" s="55" t="s">
        <v>281</v>
      </c>
      <c r="C13298" s="46">
        <v>3286</v>
      </c>
      <c r="D13298" s="69" t="s">
        <v>29418</v>
      </c>
      <c r="E13298" s="51"/>
      <c r="F13298" s="114" t="str">
        <f>IF(INDEX(I.Facility.P2bIDNumber,3286)="","",INDEX(I.Facility.P2bIDNumber,3286))</f>
        <v/>
      </c>
      <c r="G13298" s="51"/>
      <c r="H13298" s="46" t="str">
        <f>IF(AND(I.Developer.P2b=TRUE,I.Facility.P2bFacilityCount&gt;=3286,F13298=""),"Incomplete","Complete")</f>
        <v>Complete</v>
      </c>
      <c r="I13298" s="48" t="s">
        <v>17663</v>
      </c>
    </row>
    <row r="13299" spans="2:9" ht="15" customHeight="1" x14ac:dyDescent="0.25">
      <c r="B13299" s="55" t="s">
        <v>281</v>
      </c>
      <c r="C13299" s="46">
        <v>3287</v>
      </c>
      <c r="D13299" s="69" t="s">
        <v>29418</v>
      </c>
      <c r="E13299" s="51"/>
      <c r="F13299" s="114" t="str">
        <f>IF(INDEX(I.Facility.P2bIDNumber,3287)="","",INDEX(I.Facility.P2bIDNumber,3287))</f>
        <v/>
      </c>
      <c r="G13299" s="51"/>
      <c r="H13299" s="46" t="str">
        <f>IF(AND(I.Developer.P2b=TRUE,I.Facility.P2bFacilityCount&gt;=3287,F13299=""),"Incomplete","Complete")</f>
        <v>Complete</v>
      </c>
      <c r="I13299" s="48" t="s">
        <v>17664</v>
      </c>
    </row>
    <row r="13300" spans="2:9" ht="15" customHeight="1" x14ac:dyDescent="0.25">
      <c r="B13300" s="55" t="s">
        <v>281</v>
      </c>
      <c r="C13300" s="46">
        <v>3288</v>
      </c>
      <c r="D13300" s="69" t="s">
        <v>29418</v>
      </c>
      <c r="E13300" s="51"/>
      <c r="F13300" s="114" t="str">
        <f>IF(INDEX(I.Facility.P2bIDNumber,3288)="","",INDEX(I.Facility.P2bIDNumber,3288))</f>
        <v/>
      </c>
      <c r="G13300" s="51"/>
      <c r="H13300" s="46" t="str">
        <f>IF(AND(I.Developer.P2b=TRUE,I.Facility.P2bFacilityCount&gt;=3288,F13300=""),"Incomplete","Complete")</f>
        <v>Complete</v>
      </c>
      <c r="I13300" s="48" t="s">
        <v>17665</v>
      </c>
    </row>
    <row r="13301" spans="2:9" ht="15" customHeight="1" x14ac:dyDescent="0.25">
      <c r="B13301" s="55" t="s">
        <v>281</v>
      </c>
      <c r="C13301" s="46">
        <v>3289</v>
      </c>
      <c r="D13301" s="69" t="s">
        <v>29418</v>
      </c>
      <c r="E13301" s="51"/>
      <c r="F13301" s="114" t="str">
        <f>IF(INDEX(I.Facility.P2bIDNumber,3289)="","",INDEX(I.Facility.P2bIDNumber,3289))</f>
        <v/>
      </c>
      <c r="G13301" s="51"/>
      <c r="H13301" s="46" t="str">
        <f>IF(AND(I.Developer.P2b=TRUE,I.Facility.P2bFacilityCount&gt;=3289,F13301=""),"Incomplete","Complete")</f>
        <v>Complete</v>
      </c>
      <c r="I13301" s="48" t="s">
        <v>17666</v>
      </c>
    </row>
    <row r="13302" spans="2:9" ht="15" customHeight="1" x14ac:dyDescent="0.25">
      <c r="B13302" s="55" t="s">
        <v>281</v>
      </c>
      <c r="C13302" s="46">
        <v>3290</v>
      </c>
      <c r="D13302" s="69" t="s">
        <v>29418</v>
      </c>
      <c r="E13302" s="51"/>
      <c r="F13302" s="114" t="str">
        <f>IF(INDEX(I.Facility.P2bIDNumber,3290)="","",INDEX(I.Facility.P2bIDNumber,3290))</f>
        <v/>
      </c>
      <c r="G13302" s="51"/>
      <c r="H13302" s="46" t="str">
        <f>IF(AND(I.Developer.P2b=TRUE,I.Facility.P2bFacilityCount&gt;=3290,F13302=""),"Incomplete","Complete")</f>
        <v>Complete</v>
      </c>
      <c r="I13302" s="48" t="s">
        <v>17667</v>
      </c>
    </row>
    <row r="13303" spans="2:9" ht="15" customHeight="1" x14ac:dyDescent="0.25">
      <c r="B13303" s="55" t="s">
        <v>281</v>
      </c>
      <c r="C13303" s="46">
        <v>3291</v>
      </c>
      <c r="D13303" s="69" t="s">
        <v>29418</v>
      </c>
      <c r="E13303" s="51"/>
      <c r="F13303" s="114" t="str">
        <f>IF(INDEX(I.Facility.P2bIDNumber,3291)="","",INDEX(I.Facility.P2bIDNumber,3291))</f>
        <v/>
      </c>
      <c r="G13303" s="51"/>
      <c r="H13303" s="46" t="str">
        <f>IF(AND(I.Developer.P2b=TRUE,I.Facility.P2bFacilityCount&gt;=3291,F13303=""),"Incomplete","Complete")</f>
        <v>Complete</v>
      </c>
      <c r="I13303" s="48" t="s">
        <v>17668</v>
      </c>
    </row>
    <row r="13304" spans="2:9" ht="15" customHeight="1" x14ac:dyDescent="0.25">
      <c r="B13304" s="55" t="s">
        <v>281</v>
      </c>
      <c r="C13304" s="46">
        <v>3292</v>
      </c>
      <c r="D13304" s="69" t="s">
        <v>29418</v>
      </c>
      <c r="E13304" s="51"/>
      <c r="F13304" s="114" t="str">
        <f>IF(INDEX(I.Facility.P2bIDNumber,3292)="","",INDEX(I.Facility.P2bIDNumber,3292))</f>
        <v/>
      </c>
      <c r="G13304" s="51"/>
      <c r="H13304" s="46" t="str">
        <f>IF(AND(I.Developer.P2b=TRUE,I.Facility.P2bFacilityCount&gt;=3292,F13304=""),"Incomplete","Complete")</f>
        <v>Complete</v>
      </c>
      <c r="I13304" s="48" t="s">
        <v>17669</v>
      </c>
    </row>
    <row r="13305" spans="2:9" ht="15" customHeight="1" x14ac:dyDescent="0.25">
      <c r="B13305" s="55" t="s">
        <v>281</v>
      </c>
      <c r="C13305" s="46">
        <v>3293</v>
      </c>
      <c r="D13305" s="69" t="s">
        <v>29418</v>
      </c>
      <c r="E13305" s="51"/>
      <c r="F13305" s="114" t="str">
        <f>IF(INDEX(I.Facility.P2bIDNumber,3293)="","",INDEX(I.Facility.P2bIDNumber,3293))</f>
        <v/>
      </c>
      <c r="G13305" s="51"/>
      <c r="H13305" s="46" t="str">
        <f>IF(AND(I.Developer.P2b=TRUE,I.Facility.P2bFacilityCount&gt;=3293,F13305=""),"Incomplete","Complete")</f>
        <v>Complete</v>
      </c>
      <c r="I13305" s="48" t="s">
        <v>17670</v>
      </c>
    </row>
    <row r="13306" spans="2:9" ht="15" customHeight="1" x14ac:dyDescent="0.25">
      <c r="B13306" s="55" t="s">
        <v>281</v>
      </c>
      <c r="C13306" s="46">
        <v>3294</v>
      </c>
      <c r="D13306" s="69" t="s">
        <v>29418</v>
      </c>
      <c r="E13306" s="51"/>
      <c r="F13306" s="114" t="str">
        <f>IF(INDEX(I.Facility.P2bIDNumber,3294)="","",INDEX(I.Facility.P2bIDNumber,3294))</f>
        <v/>
      </c>
      <c r="G13306" s="51"/>
      <c r="H13306" s="46" t="str">
        <f>IF(AND(I.Developer.P2b=TRUE,I.Facility.P2bFacilityCount&gt;=3294,F13306=""),"Incomplete","Complete")</f>
        <v>Complete</v>
      </c>
      <c r="I13306" s="48" t="s">
        <v>17671</v>
      </c>
    </row>
    <row r="13307" spans="2:9" ht="15" customHeight="1" x14ac:dyDescent="0.25">
      <c r="B13307" s="55" t="s">
        <v>281</v>
      </c>
      <c r="C13307" s="46">
        <v>3295</v>
      </c>
      <c r="D13307" s="69" t="s">
        <v>29418</v>
      </c>
      <c r="E13307" s="51"/>
      <c r="F13307" s="114" t="str">
        <f>IF(INDEX(I.Facility.P2bIDNumber,3295)="","",INDEX(I.Facility.P2bIDNumber,3295))</f>
        <v/>
      </c>
      <c r="G13307" s="51"/>
      <c r="H13307" s="46" t="str">
        <f>IF(AND(I.Developer.P2b=TRUE,I.Facility.P2bFacilityCount&gt;=3295,F13307=""),"Incomplete","Complete")</f>
        <v>Complete</v>
      </c>
      <c r="I13307" s="48" t="s">
        <v>17672</v>
      </c>
    </row>
    <row r="13308" spans="2:9" ht="15" customHeight="1" x14ac:dyDescent="0.25">
      <c r="B13308" s="55" t="s">
        <v>281</v>
      </c>
      <c r="C13308" s="46">
        <v>3296</v>
      </c>
      <c r="D13308" s="69" t="s">
        <v>29418</v>
      </c>
      <c r="E13308" s="51"/>
      <c r="F13308" s="114" t="str">
        <f>IF(INDEX(I.Facility.P2bIDNumber,3296)="","",INDEX(I.Facility.P2bIDNumber,3296))</f>
        <v/>
      </c>
      <c r="G13308" s="51"/>
      <c r="H13308" s="46" t="str">
        <f>IF(AND(I.Developer.P2b=TRUE,I.Facility.P2bFacilityCount&gt;=3296,F13308=""),"Incomplete","Complete")</f>
        <v>Complete</v>
      </c>
      <c r="I13308" s="48" t="s">
        <v>17673</v>
      </c>
    </row>
    <row r="13309" spans="2:9" ht="15" customHeight="1" x14ac:dyDescent="0.25">
      <c r="B13309" s="55" t="s">
        <v>281</v>
      </c>
      <c r="C13309" s="46">
        <v>3297</v>
      </c>
      <c r="D13309" s="69" t="s">
        <v>29418</v>
      </c>
      <c r="E13309" s="51"/>
      <c r="F13309" s="114" t="str">
        <f>IF(INDEX(I.Facility.P2bIDNumber,3297)="","",INDEX(I.Facility.P2bIDNumber,3297))</f>
        <v/>
      </c>
      <c r="G13309" s="51"/>
      <c r="H13309" s="46" t="str">
        <f>IF(AND(I.Developer.P2b=TRUE,I.Facility.P2bFacilityCount&gt;=3297,F13309=""),"Incomplete","Complete")</f>
        <v>Complete</v>
      </c>
      <c r="I13309" s="48" t="s">
        <v>17674</v>
      </c>
    </row>
    <row r="13310" spans="2:9" ht="15" customHeight="1" x14ac:dyDescent="0.25">
      <c r="B13310" s="55" t="s">
        <v>281</v>
      </c>
      <c r="C13310" s="46">
        <v>3298</v>
      </c>
      <c r="D13310" s="69" t="s">
        <v>29418</v>
      </c>
      <c r="E13310" s="51"/>
      <c r="F13310" s="114" t="str">
        <f>IF(INDEX(I.Facility.P2bIDNumber,3298)="","",INDEX(I.Facility.P2bIDNumber,3298))</f>
        <v/>
      </c>
      <c r="G13310" s="51"/>
      <c r="H13310" s="46" t="str">
        <f>IF(AND(I.Developer.P2b=TRUE,I.Facility.P2bFacilityCount&gt;=3298,F13310=""),"Incomplete","Complete")</f>
        <v>Complete</v>
      </c>
      <c r="I13310" s="48" t="s">
        <v>17675</v>
      </c>
    </row>
    <row r="13311" spans="2:9" ht="15" customHeight="1" x14ac:dyDescent="0.25">
      <c r="B13311" s="55" t="s">
        <v>281</v>
      </c>
      <c r="C13311" s="46">
        <v>3299</v>
      </c>
      <c r="D13311" s="69" t="s">
        <v>29418</v>
      </c>
      <c r="E13311" s="51"/>
      <c r="F13311" s="114" t="str">
        <f>IF(INDEX(I.Facility.P2bIDNumber,3299)="","",INDEX(I.Facility.P2bIDNumber,3299))</f>
        <v/>
      </c>
      <c r="G13311" s="51"/>
      <c r="H13311" s="46" t="str">
        <f>IF(AND(I.Developer.P2b=TRUE,I.Facility.P2bFacilityCount&gt;=3299,F13311=""),"Incomplete","Complete")</f>
        <v>Complete</v>
      </c>
      <c r="I13311" s="48" t="s">
        <v>17676</v>
      </c>
    </row>
    <row r="13312" spans="2:9" ht="15" customHeight="1" x14ac:dyDescent="0.25">
      <c r="B13312" s="55" t="s">
        <v>281</v>
      </c>
      <c r="C13312" s="46">
        <v>3300</v>
      </c>
      <c r="D13312" s="69" t="s">
        <v>29418</v>
      </c>
      <c r="E13312" s="51"/>
      <c r="F13312" s="114" t="str">
        <f>IF(INDEX(I.Facility.P2bIDNumber,3300)="","",INDEX(I.Facility.P2bIDNumber,3300))</f>
        <v/>
      </c>
      <c r="G13312" s="51"/>
      <c r="H13312" s="46" t="str">
        <f>IF(AND(I.Developer.P2b=TRUE,I.Facility.P2bFacilityCount&gt;=3300,F13312=""),"Incomplete","Complete")</f>
        <v>Complete</v>
      </c>
      <c r="I13312" s="48" t="s">
        <v>17677</v>
      </c>
    </row>
    <row r="13313" spans="2:9" ht="15" customHeight="1" x14ac:dyDescent="0.25">
      <c r="B13313" s="55" t="s">
        <v>281</v>
      </c>
      <c r="C13313" s="46">
        <v>3301</v>
      </c>
      <c r="D13313" s="69" t="s">
        <v>29418</v>
      </c>
      <c r="E13313" s="51"/>
      <c r="F13313" s="114" t="str">
        <f>IF(INDEX(I.Facility.P2bIDNumber,3301)="","",INDEX(I.Facility.P2bIDNumber,3301))</f>
        <v/>
      </c>
      <c r="G13313" s="51"/>
      <c r="H13313" s="46" t="str">
        <f>IF(AND(I.Developer.P2b=TRUE,I.Facility.P2bFacilityCount&gt;=3301,F13313=""),"Incomplete","Complete")</f>
        <v>Complete</v>
      </c>
      <c r="I13313" s="48" t="s">
        <v>17678</v>
      </c>
    </row>
    <row r="13314" spans="2:9" ht="15" customHeight="1" x14ac:dyDescent="0.25">
      <c r="B13314" s="55" t="s">
        <v>281</v>
      </c>
      <c r="C13314" s="46">
        <v>3302</v>
      </c>
      <c r="D13314" s="69" t="s">
        <v>29418</v>
      </c>
      <c r="E13314" s="51"/>
      <c r="F13314" s="114" t="str">
        <f>IF(INDEX(I.Facility.P2bIDNumber,3302)="","",INDEX(I.Facility.P2bIDNumber,3302))</f>
        <v/>
      </c>
      <c r="G13314" s="51"/>
      <c r="H13314" s="46" t="str">
        <f>IF(AND(I.Developer.P2b=TRUE,I.Facility.P2bFacilityCount&gt;=3302,F13314=""),"Incomplete","Complete")</f>
        <v>Complete</v>
      </c>
      <c r="I13314" s="48" t="s">
        <v>17679</v>
      </c>
    </row>
    <row r="13315" spans="2:9" ht="15" customHeight="1" x14ac:dyDescent="0.25">
      <c r="B13315" s="55" t="s">
        <v>281</v>
      </c>
      <c r="C13315" s="46">
        <v>3303</v>
      </c>
      <c r="D13315" s="69" t="s">
        <v>29418</v>
      </c>
      <c r="E13315" s="51"/>
      <c r="F13315" s="114" t="str">
        <f>IF(INDEX(I.Facility.P2bIDNumber,3303)="","",INDEX(I.Facility.P2bIDNumber,3303))</f>
        <v/>
      </c>
      <c r="G13315" s="51"/>
      <c r="H13315" s="46" t="str">
        <f>IF(AND(I.Developer.P2b=TRUE,I.Facility.P2bFacilityCount&gt;=3303,F13315=""),"Incomplete","Complete")</f>
        <v>Complete</v>
      </c>
      <c r="I13315" s="48" t="s">
        <v>17680</v>
      </c>
    </row>
    <row r="13316" spans="2:9" ht="15" customHeight="1" x14ac:dyDescent="0.25">
      <c r="B13316" s="55" t="s">
        <v>281</v>
      </c>
      <c r="C13316" s="46">
        <v>3304</v>
      </c>
      <c r="D13316" s="69" t="s">
        <v>29418</v>
      </c>
      <c r="E13316" s="51"/>
      <c r="F13316" s="114" t="str">
        <f>IF(INDEX(I.Facility.P2bIDNumber,3304)="","",INDEX(I.Facility.P2bIDNumber,3304))</f>
        <v/>
      </c>
      <c r="G13316" s="51"/>
      <c r="H13316" s="46" t="str">
        <f>IF(AND(I.Developer.P2b=TRUE,I.Facility.P2bFacilityCount&gt;=3304,F13316=""),"Incomplete","Complete")</f>
        <v>Complete</v>
      </c>
      <c r="I13316" s="48" t="s">
        <v>17681</v>
      </c>
    </row>
    <row r="13317" spans="2:9" ht="15" customHeight="1" x14ac:dyDescent="0.25">
      <c r="B13317" s="55" t="s">
        <v>281</v>
      </c>
      <c r="C13317" s="46">
        <v>3305</v>
      </c>
      <c r="D13317" s="69" t="s">
        <v>29418</v>
      </c>
      <c r="E13317" s="51"/>
      <c r="F13317" s="114" t="str">
        <f>IF(INDEX(I.Facility.P2bIDNumber,3305)="","",INDEX(I.Facility.P2bIDNumber,3305))</f>
        <v/>
      </c>
      <c r="G13317" s="51"/>
      <c r="H13317" s="46" t="str">
        <f>IF(AND(I.Developer.P2b=TRUE,I.Facility.P2bFacilityCount&gt;=3305,F13317=""),"Incomplete","Complete")</f>
        <v>Complete</v>
      </c>
      <c r="I13317" s="48" t="s">
        <v>17682</v>
      </c>
    </row>
    <row r="13318" spans="2:9" ht="15" customHeight="1" x14ac:dyDescent="0.25">
      <c r="B13318" s="55" t="s">
        <v>281</v>
      </c>
      <c r="C13318" s="46">
        <v>3306</v>
      </c>
      <c r="D13318" s="69" t="s">
        <v>29418</v>
      </c>
      <c r="E13318" s="51"/>
      <c r="F13318" s="114" t="str">
        <f>IF(INDEX(I.Facility.P2bIDNumber,3306)="","",INDEX(I.Facility.P2bIDNumber,3306))</f>
        <v/>
      </c>
      <c r="G13318" s="51"/>
      <c r="H13318" s="46" t="str">
        <f>IF(AND(I.Developer.P2b=TRUE,I.Facility.P2bFacilityCount&gt;=3306,F13318=""),"Incomplete","Complete")</f>
        <v>Complete</v>
      </c>
      <c r="I13318" s="48" t="s">
        <v>17683</v>
      </c>
    </row>
    <row r="13319" spans="2:9" ht="15" customHeight="1" x14ac:dyDescent="0.25">
      <c r="B13319" s="55" t="s">
        <v>281</v>
      </c>
      <c r="C13319" s="46">
        <v>3307</v>
      </c>
      <c r="D13319" s="69" t="s">
        <v>29418</v>
      </c>
      <c r="E13319" s="51"/>
      <c r="F13319" s="114" t="str">
        <f>IF(INDEX(I.Facility.P2bIDNumber,3307)="","",INDEX(I.Facility.P2bIDNumber,3307))</f>
        <v/>
      </c>
      <c r="G13319" s="51"/>
      <c r="H13319" s="46" t="str">
        <f>IF(AND(I.Developer.P2b=TRUE,I.Facility.P2bFacilityCount&gt;=3307,F13319=""),"Incomplete","Complete")</f>
        <v>Complete</v>
      </c>
      <c r="I13319" s="48" t="s">
        <v>17684</v>
      </c>
    </row>
    <row r="13320" spans="2:9" ht="15" customHeight="1" x14ac:dyDescent="0.25">
      <c r="B13320" s="55" t="s">
        <v>281</v>
      </c>
      <c r="C13320" s="46">
        <v>3308</v>
      </c>
      <c r="D13320" s="69" t="s">
        <v>29418</v>
      </c>
      <c r="E13320" s="51"/>
      <c r="F13320" s="114" t="str">
        <f>IF(INDEX(I.Facility.P2bIDNumber,3308)="","",INDEX(I.Facility.P2bIDNumber,3308))</f>
        <v/>
      </c>
      <c r="G13320" s="51"/>
      <c r="H13320" s="46" t="str">
        <f>IF(AND(I.Developer.P2b=TRUE,I.Facility.P2bFacilityCount&gt;=3308,F13320=""),"Incomplete","Complete")</f>
        <v>Complete</v>
      </c>
      <c r="I13320" s="48" t="s">
        <v>17685</v>
      </c>
    </row>
    <row r="13321" spans="2:9" ht="15" customHeight="1" x14ac:dyDescent="0.25">
      <c r="B13321" s="55" t="s">
        <v>281</v>
      </c>
      <c r="C13321" s="46">
        <v>3309</v>
      </c>
      <c r="D13321" s="69" t="s">
        <v>29418</v>
      </c>
      <c r="E13321" s="51"/>
      <c r="F13321" s="114" t="str">
        <f>IF(INDEX(I.Facility.P2bIDNumber,3309)="","",INDEX(I.Facility.P2bIDNumber,3309))</f>
        <v/>
      </c>
      <c r="G13321" s="51"/>
      <c r="H13321" s="46" t="str">
        <f>IF(AND(I.Developer.P2b=TRUE,I.Facility.P2bFacilityCount&gt;=3309,F13321=""),"Incomplete","Complete")</f>
        <v>Complete</v>
      </c>
      <c r="I13321" s="48" t="s">
        <v>17686</v>
      </c>
    </row>
    <row r="13322" spans="2:9" ht="15" customHeight="1" x14ac:dyDescent="0.25">
      <c r="B13322" s="55" t="s">
        <v>281</v>
      </c>
      <c r="C13322" s="46">
        <v>3310</v>
      </c>
      <c r="D13322" s="69" t="s">
        <v>29418</v>
      </c>
      <c r="E13322" s="51"/>
      <c r="F13322" s="114" t="str">
        <f>IF(INDEX(I.Facility.P2bIDNumber,3310)="","",INDEX(I.Facility.P2bIDNumber,3310))</f>
        <v/>
      </c>
      <c r="G13322" s="51"/>
      <c r="H13322" s="46" t="str">
        <f>IF(AND(I.Developer.P2b=TRUE,I.Facility.P2bFacilityCount&gt;=3310,F13322=""),"Incomplete","Complete")</f>
        <v>Complete</v>
      </c>
      <c r="I13322" s="48" t="s">
        <v>17687</v>
      </c>
    </row>
    <row r="13323" spans="2:9" ht="15" customHeight="1" x14ac:dyDescent="0.25">
      <c r="B13323" s="55" t="s">
        <v>281</v>
      </c>
      <c r="C13323" s="46">
        <v>3311</v>
      </c>
      <c r="D13323" s="69" t="s">
        <v>29418</v>
      </c>
      <c r="E13323" s="51"/>
      <c r="F13323" s="114" t="str">
        <f>IF(INDEX(I.Facility.P2bIDNumber,3311)="","",INDEX(I.Facility.P2bIDNumber,3311))</f>
        <v/>
      </c>
      <c r="G13323" s="51"/>
      <c r="H13323" s="46" t="str">
        <f>IF(AND(I.Developer.P2b=TRUE,I.Facility.P2bFacilityCount&gt;=3311,F13323=""),"Incomplete","Complete")</f>
        <v>Complete</v>
      </c>
      <c r="I13323" s="48" t="s">
        <v>17688</v>
      </c>
    </row>
    <row r="13324" spans="2:9" ht="15" customHeight="1" x14ac:dyDescent="0.25">
      <c r="B13324" s="55" t="s">
        <v>281</v>
      </c>
      <c r="C13324" s="46">
        <v>3312</v>
      </c>
      <c r="D13324" s="69" t="s">
        <v>29418</v>
      </c>
      <c r="E13324" s="51"/>
      <c r="F13324" s="114" t="str">
        <f>IF(INDEX(I.Facility.P2bIDNumber,3312)="","",INDEX(I.Facility.P2bIDNumber,3312))</f>
        <v/>
      </c>
      <c r="G13324" s="51"/>
      <c r="H13324" s="46" t="str">
        <f>IF(AND(I.Developer.P2b=TRUE,I.Facility.P2bFacilityCount&gt;=3312,F13324=""),"Incomplete","Complete")</f>
        <v>Complete</v>
      </c>
      <c r="I13324" s="48" t="s">
        <v>17689</v>
      </c>
    </row>
    <row r="13325" spans="2:9" ht="15" customHeight="1" x14ac:dyDescent="0.25">
      <c r="B13325" s="55" t="s">
        <v>281</v>
      </c>
      <c r="C13325" s="46">
        <v>3313</v>
      </c>
      <c r="D13325" s="69" t="s">
        <v>29418</v>
      </c>
      <c r="E13325" s="51"/>
      <c r="F13325" s="114" t="str">
        <f>IF(INDEX(I.Facility.P2bIDNumber,3313)="","",INDEX(I.Facility.P2bIDNumber,3313))</f>
        <v/>
      </c>
      <c r="G13325" s="51"/>
      <c r="H13325" s="46" t="str">
        <f>IF(AND(I.Developer.P2b=TRUE,I.Facility.P2bFacilityCount&gt;=3313,F13325=""),"Incomplete","Complete")</f>
        <v>Complete</v>
      </c>
      <c r="I13325" s="48" t="s">
        <v>17690</v>
      </c>
    </row>
    <row r="13326" spans="2:9" ht="15" customHeight="1" x14ac:dyDescent="0.25">
      <c r="B13326" s="55" t="s">
        <v>281</v>
      </c>
      <c r="C13326" s="46">
        <v>3314</v>
      </c>
      <c r="D13326" s="69" t="s">
        <v>29418</v>
      </c>
      <c r="E13326" s="51"/>
      <c r="F13326" s="114" t="str">
        <f>IF(INDEX(I.Facility.P2bIDNumber,3314)="","",INDEX(I.Facility.P2bIDNumber,3314))</f>
        <v/>
      </c>
      <c r="G13326" s="51"/>
      <c r="H13326" s="46" t="str">
        <f>IF(AND(I.Developer.P2b=TRUE,I.Facility.P2bFacilityCount&gt;=3314,F13326=""),"Incomplete","Complete")</f>
        <v>Complete</v>
      </c>
      <c r="I13326" s="48" t="s">
        <v>17691</v>
      </c>
    </row>
    <row r="13327" spans="2:9" ht="15" customHeight="1" x14ac:dyDescent="0.25">
      <c r="B13327" s="55" t="s">
        <v>281</v>
      </c>
      <c r="C13327" s="46">
        <v>3315</v>
      </c>
      <c r="D13327" s="69" t="s">
        <v>29418</v>
      </c>
      <c r="E13327" s="51"/>
      <c r="F13327" s="114" t="str">
        <f>IF(INDEX(I.Facility.P2bIDNumber,3315)="","",INDEX(I.Facility.P2bIDNumber,3315))</f>
        <v/>
      </c>
      <c r="G13327" s="51"/>
      <c r="H13327" s="46" t="str">
        <f>IF(AND(I.Developer.P2b=TRUE,I.Facility.P2bFacilityCount&gt;=3315,F13327=""),"Incomplete","Complete")</f>
        <v>Complete</v>
      </c>
      <c r="I13327" s="48" t="s">
        <v>17692</v>
      </c>
    </row>
    <row r="13328" spans="2:9" ht="15" customHeight="1" x14ac:dyDescent="0.25">
      <c r="B13328" s="55" t="s">
        <v>281</v>
      </c>
      <c r="C13328" s="46">
        <v>3316</v>
      </c>
      <c r="D13328" s="69" t="s">
        <v>29418</v>
      </c>
      <c r="E13328" s="51"/>
      <c r="F13328" s="114" t="str">
        <f>IF(INDEX(I.Facility.P2bIDNumber,3316)="","",INDEX(I.Facility.P2bIDNumber,3316))</f>
        <v/>
      </c>
      <c r="G13328" s="51"/>
      <c r="H13328" s="46" t="str">
        <f>IF(AND(I.Developer.P2b=TRUE,I.Facility.P2bFacilityCount&gt;=3316,F13328=""),"Incomplete","Complete")</f>
        <v>Complete</v>
      </c>
      <c r="I13328" s="48" t="s">
        <v>17693</v>
      </c>
    </row>
    <row r="13329" spans="2:9" ht="15" customHeight="1" x14ac:dyDescent="0.25">
      <c r="B13329" s="55" t="s">
        <v>281</v>
      </c>
      <c r="C13329" s="46">
        <v>3317</v>
      </c>
      <c r="D13329" s="69" t="s">
        <v>29418</v>
      </c>
      <c r="E13329" s="51"/>
      <c r="F13329" s="114" t="str">
        <f>IF(INDEX(I.Facility.P2bIDNumber,3317)="","",INDEX(I.Facility.P2bIDNumber,3317))</f>
        <v/>
      </c>
      <c r="G13329" s="51"/>
      <c r="H13329" s="46" t="str">
        <f>IF(AND(I.Developer.P2b=TRUE,I.Facility.P2bFacilityCount&gt;=3317,F13329=""),"Incomplete","Complete")</f>
        <v>Complete</v>
      </c>
      <c r="I13329" s="48" t="s">
        <v>17694</v>
      </c>
    </row>
    <row r="13330" spans="2:9" ht="15" customHeight="1" x14ac:dyDescent="0.25">
      <c r="B13330" s="55" t="s">
        <v>281</v>
      </c>
      <c r="C13330" s="46">
        <v>3318</v>
      </c>
      <c r="D13330" s="69" t="s">
        <v>29418</v>
      </c>
      <c r="E13330" s="51"/>
      <c r="F13330" s="114" t="str">
        <f>IF(INDEX(I.Facility.P2bIDNumber,3318)="","",INDEX(I.Facility.P2bIDNumber,3318))</f>
        <v/>
      </c>
      <c r="G13330" s="51"/>
      <c r="H13330" s="46" t="str">
        <f>IF(AND(I.Developer.P2b=TRUE,I.Facility.P2bFacilityCount&gt;=3318,F13330=""),"Incomplete","Complete")</f>
        <v>Complete</v>
      </c>
      <c r="I13330" s="48" t="s">
        <v>17695</v>
      </c>
    </row>
    <row r="13331" spans="2:9" ht="15" customHeight="1" x14ac:dyDescent="0.25">
      <c r="B13331" s="55" t="s">
        <v>281</v>
      </c>
      <c r="C13331" s="46">
        <v>3319</v>
      </c>
      <c r="D13331" s="69" t="s">
        <v>29418</v>
      </c>
      <c r="E13331" s="51"/>
      <c r="F13331" s="114" t="str">
        <f>IF(INDEX(I.Facility.P2bIDNumber,3319)="","",INDEX(I.Facility.P2bIDNumber,3319))</f>
        <v/>
      </c>
      <c r="G13331" s="51"/>
      <c r="H13331" s="46" t="str">
        <f>IF(AND(I.Developer.P2b=TRUE,I.Facility.P2bFacilityCount&gt;=3319,F13331=""),"Incomplete","Complete")</f>
        <v>Complete</v>
      </c>
      <c r="I13331" s="48" t="s">
        <v>17696</v>
      </c>
    </row>
    <row r="13332" spans="2:9" ht="15" customHeight="1" x14ac:dyDescent="0.25">
      <c r="B13332" s="55" t="s">
        <v>281</v>
      </c>
      <c r="C13332" s="46">
        <v>3320</v>
      </c>
      <c r="D13332" s="69" t="s">
        <v>29418</v>
      </c>
      <c r="E13332" s="51"/>
      <c r="F13332" s="114" t="str">
        <f>IF(INDEX(I.Facility.P2bIDNumber,3320)="","",INDEX(I.Facility.P2bIDNumber,3320))</f>
        <v/>
      </c>
      <c r="G13332" s="51"/>
      <c r="H13332" s="46" t="str">
        <f>IF(AND(I.Developer.P2b=TRUE,I.Facility.P2bFacilityCount&gt;=3320,F13332=""),"Incomplete","Complete")</f>
        <v>Complete</v>
      </c>
      <c r="I13332" s="48" t="s">
        <v>17697</v>
      </c>
    </row>
    <row r="13333" spans="2:9" ht="15" customHeight="1" x14ac:dyDescent="0.25">
      <c r="B13333" s="55" t="s">
        <v>281</v>
      </c>
      <c r="C13333" s="46">
        <v>3321</v>
      </c>
      <c r="D13333" s="69" t="s">
        <v>29418</v>
      </c>
      <c r="E13333" s="51"/>
      <c r="F13333" s="114" t="str">
        <f>IF(INDEX(I.Facility.P2bIDNumber,3321)="","",INDEX(I.Facility.P2bIDNumber,3321))</f>
        <v/>
      </c>
      <c r="G13333" s="51"/>
      <c r="H13333" s="46" t="str">
        <f>IF(AND(I.Developer.P2b=TRUE,I.Facility.P2bFacilityCount&gt;=3321,F13333=""),"Incomplete","Complete")</f>
        <v>Complete</v>
      </c>
      <c r="I13333" s="48" t="s">
        <v>17698</v>
      </c>
    </row>
    <row r="13334" spans="2:9" ht="15" customHeight="1" x14ac:dyDescent="0.25">
      <c r="B13334" s="55" t="s">
        <v>281</v>
      </c>
      <c r="C13334" s="46">
        <v>3322</v>
      </c>
      <c r="D13334" s="69" t="s">
        <v>29418</v>
      </c>
      <c r="E13334" s="51"/>
      <c r="F13334" s="114" t="str">
        <f>IF(INDEX(I.Facility.P2bIDNumber,3322)="","",INDEX(I.Facility.P2bIDNumber,3322))</f>
        <v/>
      </c>
      <c r="G13334" s="51"/>
      <c r="H13334" s="46" t="str">
        <f>IF(AND(I.Developer.P2b=TRUE,I.Facility.P2bFacilityCount&gt;=3322,F13334=""),"Incomplete","Complete")</f>
        <v>Complete</v>
      </c>
      <c r="I13334" s="48" t="s">
        <v>17699</v>
      </c>
    </row>
    <row r="13335" spans="2:9" ht="15" customHeight="1" x14ac:dyDescent="0.25">
      <c r="B13335" s="55" t="s">
        <v>281</v>
      </c>
      <c r="C13335" s="46">
        <v>3323</v>
      </c>
      <c r="D13335" s="69" t="s">
        <v>29418</v>
      </c>
      <c r="E13335" s="51"/>
      <c r="F13335" s="114" t="str">
        <f>IF(INDEX(I.Facility.P2bIDNumber,3323)="","",INDEX(I.Facility.P2bIDNumber,3323))</f>
        <v/>
      </c>
      <c r="G13335" s="51"/>
      <c r="H13335" s="46" t="str">
        <f>IF(AND(I.Developer.P2b=TRUE,I.Facility.P2bFacilityCount&gt;=3323,F13335=""),"Incomplete","Complete")</f>
        <v>Complete</v>
      </c>
      <c r="I13335" s="48" t="s">
        <v>17700</v>
      </c>
    </row>
    <row r="13336" spans="2:9" ht="15" customHeight="1" x14ac:dyDescent="0.25">
      <c r="B13336" s="55" t="s">
        <v>281</v>
      </c>
      <c r="C13336" s="46">
        <v>3324</v>
      </c>
      <c r="D13336" s="69" t="s">
        <v>29418</v>
      </c>
      <c r="E13336" s="51"/>
      <c r="F13336" s="114" t="str">
        <f>IF(INDEX(I.Facility.P2bIDNumber,3324)="","",INDEX(I.Facility.P2bIDNumber,3324))</f>
        <v/>
      </c>
      <c r="G13336" s="51"/>
      <c r="H13336" s="46" t="str">
        <f>IF(AND(I.Developer.P2b=TRUE,I.Facility.P2bFacilityCount&gt;=3324,F13336=""),"Incomplete","Complete")</f>
        <v>Complete</v>
      </c>
      <c r="I13336" s="48" t="s">
        <v>17701</v>
      </c>
    </row>
    <row r="13337" spans="2:9" ht="15" customHeight="1" x14ac:dyDescent="0.25">
      <c r="B13337" s="55" t="s">
        <v>281</v>
      </c>
      <c r="C13337" s="46">
        <v>3325</v>
      </c>
      <c r="D13337" s="69" t="s">
        <v>29418</v>
      </c>
      <c r="E13337" s="51"/>
      <c r="F13337" s="114" t="str">
        <f>IF(INDEX(I.Facility.P2bIDNumber,3325)="","",INDEX(I.Facility.P2bIDNumber,3325))</f>
        <v/>
      </c>
      <c r="G13337" s="51"/>
      <c r="H13337" s="46" t="str">
        <f>IF(AND(I.Developer.P2b=TRUE,I.Facility.P2bFacilityCount&gt;=3325,F13337=""),"Incomplete","Complete")</f>
        <v>Complete</v>
      </c>
      <c r="I13337" s="48" t="s">
        <v>17702</v>
      </c>
    </row>
    <row r="13338" spans="2:9" ht="15" customHeight="1" x14ac:dyDescent="0.25">
      <c r="B13338" s="55" t="s">
        <v>281</v>
      </c>
      <c r="C13338" s="46">
        <v>3326</v>
      </c>
      <c r="D13338" s="69" t="s">
        <v>29418</v>
      </c>
      <c r="E13338" s="51"/>
      <c r="F13338" s="114" t="str">
        <f>IF(INDEX(I.Facility.P2bIDNumber,3326)="","",INDEX(I.Facility.P2bIDNumber,3326))</f>
        <v/>
      </c>
      <c r="G13338" s="51"/>
      <c r="H13338" s="46" t="str">
        <f>IF(AND(I.Developer.P2b=TRUE,I.Facility.P2bFacilityCount&gt;=3326,F13338=""),"Incomplete","Complete")</f>
        <v>Complete</v>
      </c>
      <c r="I13338" s="48" t="s">
        <v>17703</v>
      </c>
    </row>
    <row r="13339" spans="2:9" ht="15" customHeight="1" x14ac:dyDescent="0.25">
      <c r="B13339" s="55" t="s">
        <v>281</v>
      </c>
      <c r="C13339" s="46">
        <v>3327</v>
      </c>
      <c r="D13339" s="69" t="s">
        <v>29418</v>
      </c>
      <c r="E13339" s="51"/>
      <c r="F13339" s="114" t="str">
        <f>IF(INDEX(I.Facility.P2bIDNumber,3327)="","",INDEX(I.Facility.P2bIDNumber,3327))</f>
        <v/>
      </c>
      <c r="G13339" s="51"/>
      <c r="H13339" s="46" t="str">
        <f>IF(AND(I.Developer.P2b=TRUE,I.Facility.P2bFacilityCount&gt;=3327,F13339=""),"Incomplete","Complete")</f>
        <v>Complete</v>
      </c>
      <c r="I13339" s="48" t="s">
        <v>17704</v>
      </c>
    </row>
    <row r="13340" spans="2:9" ht="15" customHeight="1" x14ac:dyDescent="0.25">
      <c r="B13340" s="55" t="s">
        <v>281</v>
      </c>
      <c r="C13340" s="46">
        <v>3328</v>
      </c>
      <c r="D13340" s="69" t="s">
        <v>29418</v>
      </c>
      <c r="E13340" s="51"/>
      <c r="F13340" s="114" t="str">
        <f>IF(INDEX(I.Facility.P2bIDNumber,3328)="","",INDEX(I.Facility.P2bIDNumber,3328))</f>
        <v/>
      </c>
      <c r="G13340" s="51"/>
      <c r="H13340" s="46" t="str">
        <f>IF(AND(I.Developer.P2b=TRUE,I.Facility.P2bFacilityCount&gt;=3328,F13340=""),"Incomplete","Complete")</f>
        <v>Complete</v>
      </c>
      <c r="I13340" s="48" t="s">
        <v>17705</v>
      </c>
    </row>
    <row r="13341" spans="2:9" ht="15" customHeight="1" x14ac:dyDescent="0.25">
      <c r="B13341" s="55" t="s">
        <v>281</v>
      </c>
      <c r="C13341" s="46">
        <v>3329</v>
      </c>
      <c r="D13341" s="69" t="s">
        <v>29418</v>
      </c>
      <c r="E13341" s="51"/>
      <c r="F13341" s="114" t="str">
        <f>IF(INDEX(I.Facility.P2bIDNumber,3329)="","",INDEX(I.Facility.P2bIDNumber,3329))</f>
        <v/>
      </c>
      <c r="G13341" s="51"/>
      <c r="H13341" s="46" t="str">
        <f>IF(AND(I.Developer.P2b=TRUE,I.Facility.P2bFacilityCount&gt;=3329,F13341=""),"Incomplete","Complete")</f>
        <v>Complete</v>
      </c>
      <c r="I13341" s="48" t="s">
        <v>17706</v>
      </c>
    </row>
    <row r="13342" spans="2:9" ht="15" customHeight="1" x14ac:dyDescent="0.25">
      <c r="B13342" s="55" t="s">
        <v>281</v>
      </c>
      <c r="C13342" s="46">
        <v>3330</v>
      </c>
      <c r="D13342" s="69" t="s">
        <v>29418</v>
      </c>
      <c r="E13342" s="51"/>
      <c r="F13342" s="114" t="str">
        <f>IF(INDEX(I.Facility.P2bIDNumber,3330)="","",INDEX(I.Facility.P2bIDNumber,3330))</f>
        <v/>
      </c>
      <c r="G13342" s="51"/>
      <c r="H13342" s="46" t="str">
        <f>IF(AND(I.Developer.P2b=TRUE,I.Facility.P2bFacilityCount&gt;=3330,F13342=""),"Incomplete","Complete")</f>
        <v>Complete</v>
      </c>
      <c r="I13342" s="48" t="s">
        <v>17707</v>
      </c>
    </row>
    <row r="13343" spans="2:9" ht="15" customHeight="1" x14ac:dyDescent="0.25">
      <c r="B13343" s="55" t="s">
        <v>281</v>
      </c>
      <c r="C13343" s="46">
        <v>3331</v>
      </c>
      <c r="D13343" s="69" t="s">
        <v>29418</v>
      </c>
      <c r="E13343" s="51"/>
      <c r="F13343" s="114" t="str">
        <f>IF(INDEX(I.Facility.P2bIDNumber,3331)="","",INDEX(I.Facility.P2bIDNumber,3331))</f>
        <v/>
      </c>
      <c r="G13343" s="51"/>
      <c r="H13343" s="46" t="str">
        <f>IF(AND(I.Developer.P2b=TRUE,I.Facility.P2bFacilityCount&gt;=3331,F13343=""),"Incomplete","Complete")</f>
        <v>Complete</v>
      </c>
      <c r="I13343" s="48" t="s">
        <v>17708</v>
      </c>
    </row>
    <row r="13344" spans="2:9" ht="15" customHeight="1" x14ac:dyDescent="0.25">
      <c r="B13344" s="55" t="s">
        <v>281</v>
      </c>
      <c r="C13344" s="46">
        <v>3332</v>
      </c>
      <c r="D13344" s="69" t="s">
        <v>29418</v>
      </c>
      <c r="E13344" s="51"/>
      <c r="F13344" s="114" t="str">
        <f>IF(INDEX(I.Facility.P2bIDNumber,3332)="","",INDEX(I.Facility.P2bIDNumber,3332))</f>
        <v/>
      </c>
      <c r="G13344" s="51"/>
      <c r="H13344" s="46" t="str">
        <f>IF(AND(I.Developer.P2b=TRUE,I.Facility.P2bFacilityCount&gt;=3332,F13344=""),"Incomplete","Complete")</f>
        <v>Complete</v>
      </c>
      <c r="I13344" s="48" t="s">
        <v>17709</v>
      </c>
    </row>
    <row r="13345" spans="2:9" ht="15" customHeight="1" x14ac:dyDescent="0.25">
      <c r="B13345" s="55" t="s">
        <v>281</v>
      </c>
      <c r="C13345" s="46">
        <v>3333</v>
      </c>
      <c r="D13345" s="69" t="s">
        <v>29418</v>
      </c>
      <c r="E13345" s="51"/>
      <c r="F13345" s="114" t="str">
        <f>IF(INDEX(I.Facility.P2bIDNumber,3333)="","",INDEX(I.Facility.P2bIDNumber,3333))</f>
        <v/>
      </c>
      <c r="G13345" s="51"/>
      <c r="H13345" s="46" t="str">
        <f>IF(AND(I.Developer.P2b=TRUE,I.Facility.P2bFacilityCount&gt;=3333,F13345=""),"Incomplete","Complete")</f>
        <v>Complete</v>
      </c>
      <c r="I13345" s="48" t="s">
        <v>17710</v>
      </c>
    </row>
    <row r="13346" spans="2:9" ht="15" customHeight="1" x14ac:dyDescent="0.25">
      <c r="B13346" s="55" t="s">
        <v>281</v>
      </c>
      <c r="C13346" s="46">
        <v>3334</v>
      </c>
      <c r="D13346" s="69" t="s">
        <v>29418</v>
      </c>
      <c r="E13346" s="51"/>
      <c r="F13346" s="114" t="str">
        <f>IF(INDEX(I.Facility.P2bIDNumber,3334)="","",INDEX(I.Facility.P2bIDNumber,3334))</f>
        <v/>
      </c>
      <c r="G13346" s="51"/>
      <c r="H13346" s="46" t="str">
        <f>IF(AND(I.Developer.P2b=TRUE,I.Facility.P2bFacilityCount&gt;=3334,F13346=""),"Incomplete","Complete")</f>
        <v>Complete</v>
      </c>
      <c r="I13346" s="48" t="s">
        <v>17711</v>
      </c>
    </row>
    <row r="13347" spans="2:9" ht="15" customHeight="1" x14ac:dyDescent="0.25">
      <c r="B13347" s="55" t="s">
        <v>281</v>
      </c>
      <c r="C13347" s="46">
        <v>3335</v>
      </c>
      <c r="D13347" s="69" t="s">
        <v>29418</v>
      </c>
      <c r="E13347" s="51"/>
      <c r="F13347" s="114" t="str">
        <f>IF(INDEX(I.Facility.P2bIDNumber,3335)="","",INDEX(I.Facility.P2bIDNumber,3335))</f>
        <v/>
      </c>
      <c r="G13347" s="51"/>
      <c r="H13347" s="46" t="str">
        <f>IF(AND(I.Developer.P2b=TRUE,I.Facility.P2bFacilityCount&gt;=3335,F13347=""),"Incomplete","Complete")</f>
        <v>Complete</v>
      </c>
      <c r="I13347" s="48" t="s">
        <v>17712</v>
      </c>
    </row>
    <row r="13348" spans="2:9" ht="15" customHeight="1" x14ac:dyDescent="0.25">
      <c r="B13348" s="55" t="s">
        <v>281</v>
      </c>
      <c r="C13348" s="46">
        <v>3336</v>
      </c>
      <c r="D13348" s="69" t="s">
        <v>29418</v>
      </c>
      <c r="E13348" s="51"/>
      <c r="F13348" s="114" t="str">
        <f>IF(INDEX(I.Facility.P2bIDNumber,3336)="","",INDEX(I.Facility.P2bIDNumber,3336))</f>
        <v/>
      </c>
      <c r="G13348" s="51"/>
      <c r="H13348" s="46" t="str">
        <f>IF(AND(I.Developer.P2b=TRUE,I.Facility.P2bFacilityCount&gt;=3336,F13348=""),"Incomplete","Complete")</f>
        <v>Complete</v>
      </c>
      <c r="I13348" s="48" t="s">
        <v>17713</v>
      </c>
    </row>
    <row r="13349" spans="2:9" ht="15" customHeight="1" x14ac:dyDescent="0.25">
      <c r="B13349" s="55" t="s">
        <v>281</v>
      </c>
      <c r="C13349" s="46">
        <v>3337</v>
      </c>
      <c r="D13349" s="69" t="s">
        <v>29418</v>
      </c>
      <c r="E13349" s="51"/>
      <c r="F13349" s="114" t="str">
        <f>IF(INDEX(I.Facility.P2bIDNumber,3337)="","",INDEX(I.Facility.P2bIDNumber,3337))</f>
        <v/>
      </c>
      <c r="G13349" s="51"/>
      <c r="H13349" s="46" t="str">
        <f>IF(AND(I.Developer.P2b=TRUE,I.Facility.P2bFacilityCount&gt;=3337,F13349=""),"Incomplete","Complete")</f>
        <v>Complete</v>
      </c>
      <c r="I13349" s="48" t="s">
        <v>17714</v>
      </c>
    </row>
    <row r="13350" spans="2:9" ht="15" customHeight="1" x14ac:dyDescent="0.25">
      <c r="B13350" s="55" t="s">
        <v>281</v>
      </c>
      <c r="C13350" s="46">
        <v>3338</v>
      </c>
      <c r="D13350" s="69" t="s">
        <v>29418</v>
      </c>
      <c r="E13350" s="51"/>
      <c r="F13350" s="114" t="str">
        <f>IF(INDEX(I.Facility.P2bIDNumber,3338)="","",INDEX(I.Facility.P2bIDNumber,3338))</f>
        <v/>
      </c>
      <c r="G13350" s="51"/>
      <c r="H13350" s="46" t="str">
        <f>IF(AND(I.Developer.P2b=TRUE,I.Facility.P2bFacilityCount&gt;=3338,F13350=""),"Incomplete","Complete")</f>
        <v>Complete</v>
      </c>
      <c r="I13350" s="48" t="s">
        <v>17715</v>
      </c>
    </row>
    <row r="13351" spans="2:9" ht="15" customHeight="1" x14ac:dyDescent="0.25">
      <c r="B13351" s="55" t="s">
        <v>281</v>
      </c>
      <c r="C13351" s="46">
        <v>3339</v>
      </c>
      <c r="D13351" s="69" t="s">
        <v>29418</v>
      </c>
      <c r="E13351" s="51"/>
      <c r="F13351" s="114" t="str">
        <f>IF(INDEX(I.Facility.P2bIDNumber,3339)="","",INDEX(I.Facility.P2bIDNumber,3339))</f>
        <v/>
      </c>
      <c r="G13351" s="51"/>
      <c r="H13351" s="46" t="str">
        <f>IF(AND(I.Developer.P2b=TRUE,I.Facility.P2bFacilityCount&gt;=3339,F13351=""),"Incomplete","Complete")</f>
        <v>Complete</v>
      </c>
      <c r="I13351" s="48" t="s">
        <v>17716</v>
      </c>
    </row>
    <row r="13352" spans="2:9" ht="15" customHeight="1" x14ac:dyDescent="0.25">
      <c r="B13352" s="55" t="s">
        <v>281</v>
      </c>
      <c r="C13352" s="46">
        <v>3340</v>
      </c>
      <c r="D13352" s="69" t="s">
        <v>29418</v>
      </c>
      <c r="E13352" s="51"/>
      <c r="F13352" s="114" t="str">
        <f>IF(INDEX(I.Facility.P2bIDNumber,3340)="","",INDEX(I.Facility.P2bIDNumber,3340))</f>
        <v/>
      </c>
      <c r="G13352" s="51"/>
      <c r="H13352" s="46" t="str">
        <f>IF(AND(I.Developer.P2b=TRUE,I.Facility.P2bFacilityCount&gt;=3340,F13352=""),"Incomplete","Complete")</f>
        <v>Complete</v>
      </c>
      <c r="I13352" s="48" t="s">
        <v>17717</v>
      </c>
    </row>
    <row r="13353" spans="2:9" ht="15" customHeight="1" x14ac:dyDescent="0.25">
      <c r="B13353" s="55" t="s">
        <v>281</v>
      </c>
      <c r="C13353" s="46">
        <v>3341</v>
      </c>
      <c r="D13353" s="69" t="s">
        <v>29418</v>
      </c>
      <c r="E13353" s="51"/>
      <c r="F13353" s="114" t="str">
        <f>IF(INDEX(I.Facility.P2bIDNumber,3341)="","",INDEX(I.Facility.P2bIDNumber,3341))</f>
        <v/>
      </c>
      <c r="G13353" s="51"/>
      <c r="H13353" s="46" t="str">
        <f>IF(AND(I.Developer.P2b=TRUE,I.Facility.P2bFacilityCount&gt;=3341,F13353=""),"Incomplete","Complete")</f>
        <v>Complete</v>
      </c>
      <c r="I13353" s="48" t="s">
        <v>17718</v>
      </c>
    </row>
    <row r="13354" spans="2:9" ht="15" customHeight="1" x14ac:dyDescent="0.25">
      <c r="B13354" s="55" t="s">
        <v>281</v>
      </c>
      <c r="C13354" s="46">
        <v>3342</v>
      </c>
      <c r="D13354" s="69" t="s">
        <v>29418</v>
      </c>
      <c r="E13354" s="51"/>
      <c r="F13354" s="114" t="str">
        <f>IF(INDEX(I.Facility.P2bIDNumber,3342)="","",INDEX(I.Facility.P2bIDNumber,3342))</f>
        <v/>
      </c>
      <c r="G13354" s="51"/>
      <c r="H13354" s="46" t="str">
        <f>IF(AND(I.Developer.P2b=TRUE,I.Facility.P2bFacilityCount&gt;=3342,F13354=""),"Incomplete","Complete")</f>
        <v>Complete</v>
      </c>
      <c r="I13354" s="48" t="s">
        <v>17719</v>
      </c>
    </row>
    <row r="13355" spans="2:9" ht="15" customHeight="1" x14ac:dyDescent="0.25">
      <c r="B13355" s="55" t="s">
        <v>281</v>
      </c>
      <c r="C13355" s="46">
        <v>3343</v>
      </c>
      <c r="D13355" s="69" t="s">
        <v>29418</v>
      </c>
      <c r="E13355" s="51"/>
      <c r="F13355" s="114" t="str">
        <f>IF(INDEX(I.Facility.P2bIDNumber,3343)="","",INDEX(I.Facility.P2bIDNumber,3343))</f>
        <v/>
      </c>
      <c r="G13355" s="51"/>
      <c r="H13355" s="46" t="str">
        <f>IF(AND(I.Developer.P2b=TRUE,I.Facility.P2bFacilityCount&gt;=3343,F13355=""),"Incomplete","Complete")</f>
        <v>Complete</v>
      </c>
      <c r="I13355" s="48" t="s">
        <v>17720</v>
      </c>
    </row>
    <row r="13356" spans="2:9" ht="15" customHeight="1" x14ac:dyDescent="0.25">
      <c r="B13356" s="55" t="s">
        <v>281</v>
      </c>
      <c r="C13356" s="46">
        <v>3344</v>
      </c>
      <c r="D13356" s="69" t="s">
        <v>29418</v>
      </c>
      <c r="E13356" s="51"/>
      <c r="F13356" s="114" t="str">
        <f>IF(INDEX(I.Facility.P2bIDNumber,3344)="","",INDEX(I.Facility.P2bIDNumber,3344))</f>
        <v/>
      </c>
      <c r="G13356" s="51"/>
      <c r="H13356" s="46" t="str">
        <f>IF(AND(I.Developer.P2b=TRUE,I.Facility.P2bFacilityCount&gt;=3344,F13356=""),"Incomplete","Complete")</f>
        <v>Complete</v>
      </c>
      <c r="I13356" s="48" t="s">
        <v>17721</v>
      </c>
    </row>
    <row r="13357" spans="2:9" ht="15" customHeight="1" x14ac:dyDescent="0.25">
      <c r="B13357" s="55" t="s">
        <v>281</v>
      </c>
      <c r="C13357" s="46">
        <v>3345</v>
      </c>
      <c r="D13357" s="69" t="s">
        <v>29418</v>
      </c>
      <c r="E13357" s="51"/>
      <c r="F13357" s="114" t="str">
        <f>IF(INDEX(I.Facility.P2bIDNumber,3345)="","",INDEX(I.Facility.P2bIDNumber,3345))</f>
        <v/>
      </c>
      <c r="G13357" s="51"/>
      <c r="H13357" s="46" t="str">
        <f>IF(AND(I.Developer.P2b=TRUE,I.Facility.P2bFacilityCount&gt;=3345,F13357=""),"Incomplete","Complete")</f>
        <v>Complete</v>
      </c>
      <c r="I13357" s="48" t="s">
        <v>17722</v>
      </c>
    </row>
    <row r="13358" spans="2:9" ht="15" customHeight="1" x14ac:dyDescent="0.25">
      <c r="B13358" s="55" t="s">
        <v>281</v>
      </c>
      <c r="C13358" s="46">
        <v>3346</v>
      </c>
      <c r="D13358" s="69" t="s">
        <v>29418</v>
      </c>
      <c r="E13358" s="51"/>
      <c r="F13358" s="114" t="str">
        <f>IF(INDEX(I.Facility.P2bIDNumber,3346)="","",INDEX(I.Facility.P2bIDNumber,3346))</f>
        <v/>
      </c>
      <c r="G13358" s="51"/>
      <c r="H13358" s="46" t="str">
        <f>IF(AND(I.Developer.P2b=TRUE,I.Facility.P2bFacilityCount&gt;=3346,F13358=""),"Incomplete","Complete")</f>
        <v>Complete</v>
      </c>
      <c r="I13358" s="48" t="s">
        <v>17723</v>
      </c>
    </row>
    <row r="13359" spans="2:9" ht="15" customHeight="1" x14ac:dyDescent="0.25">
      <c r="B13359" s="55" t="s">
        <v>281</v>
      </c>
      <c r="C13359" s="46">
        <v>3347</v>
      </c>
      <c r="D13359" s="69" t="s">
        <v>29418</v>
      </c>
      <c r="E13359" s="51"/>
      <c r="F13359" s="114" t="str">
        <f>IF(INDEX(I.Facility.P2bIDNumber,3347)="","",INDEX(I.Facility.P2bIDNumber,3347))</f>
        <v/>
      </c>
      <c r="G13359" s="51"/>
      <c r="H13359" s="46" t="str">
        <f>IF(AND(I.Developer.P2b=TRUE,I.Facility.P2bFacilityCount&gt;=3347,F13359=""),"Incomplete","Complete")</f>
        <v>Complete</v>
      </c>
      <c r="I13359" s="48" t="s">
        <v>17724</v>
      </c>
    </row>
    <row r="13360" spans="2:9" ht="15" customHeight="1" x14ac:dyDescent="0.25">
      <c r="B13360" s="55" t="s">
        <v>281</v>
      </c>
      <c r="C13360" s="46">
        <v>3348</v>
      </c>
      <c r="D13360" s="69" t="s">
        <v>29418</v>
      </c>
      <c r="E13360" s="51"/>
      <c r="F13360" s="114" t="str">
        <f>IF(INDEX(I.Facility.P2bIDNumber,3348)="","",INDEX(I.Facility.P2bIDNumber,3348))</f>
        <v/>
      </c>
      <c r="G13360" s="51"/>
      <c r="H13360" s="46" t="str">
        <f>IF(AND(I.Developer.P2b=TRUE,I.Facility.P2bFacilityCount&gt;=3348,F13360=""),"Incomplete","Complete")</f>
        <v>Complete</v>
      </c>
      <c r="I13360" s="48" t="s">
        <v>17725</v>
      </c>
    </row>
    <row r="13361" spans="2:9" ht="15" customHeight="1" x14ac:dyDescent="0.25">
      <c r="B13361" s="55" t="s">
        <v>281</v>
      </c>
      <c r="C13361" s="46">
        <v>3349</v>
      </c>
      <c r="D13361" s="69" t="s">
        <v>29418</v>
      </c>
      <c r="E13361" s="51"/>
      <c r="F13361" s="114" t="str">
        <f>IF(INDEX(I.Facility.P2bIDNumber,3349)="","",INDEX(I.Facility.P2bIDNumber,3349))</f>
        <v/>
      </c>
      <c r="G13361" s="51"/>
      <c r="H13361" s="46" t="str">
        <f>IF(AND(I.Developer.P2b=TRUE,I.Facility.P2bFacilityCount&gt;=3349,F13361=""),"Incomplete","Complete")</f>
        <v>Complete</v>
      </c>
      <c r="I13361" s="48" t="s">
        <v>17726</v>
      </c>
    </row>
    <row r="13362" spans="2:9" ht="15" customHeight="1" x14ac:dyDescent="0.25">
      <c r="B13362" s="55" t="s">
        <v>281</v>
      </c>
      <c r="C13362" s="46">
        <v>3350</v>
      </c>
      <c r="D13362" s="69" t="s">
        <v>29418</v>
      </c>
      <c r="E13362" s="51"/>
      <c r="F13362" s="114" t="str">
        <f>IF(INDEX(I.Facility.P2bIDNumber,3350)="","",INDEX(I.Facility.P2bIDNumber,3350))</f>
        <v/>
      </c>
      <c r="G13362" s="51"/>
      <c r="H13362" s="46" t="str">
        <f>IF(AND(I.Developer.P2b=TRUE,I.Facility.P2bFacilityCount&gt;=3350,F13362=""),"Incomplete","Complete")</f>
        <v>Complete</v>
      </c>
      <c r="I13362" s="48" t="s">
        <v>17727</v>
      </c>
    </row>
    <row r="13363" spans="2:9" ht="15" customHeight="1" x14ac:dyDescent="0.25">
      <c r="B13363" s="55" t="s">
        <v>281</v>
      </c>
      <c r="C13363" s="46">
        <v>3351</v>
      </c>
      <c r="D13363" s="69" t="s">
        <v>29418</v>
      </c>
      <c r="E13363" s="51"/>
      <c r="F13363" s="114" t="str">
        <f>IF(INDEX(I.Facility.P2bIDNumber,3351)="","",INDEX(I.Facility.P2bIDNumber,3351))</f>
        <v/>
      </c>
      <c r="G13363" s="51"/>
      <c r="H13363" s="46" t="str">
        <f>IF(AND(I.Developer.P2b=TRUE,I.Facility.P2bFacilityCount&gt;=3351,F13363=""),"Incomplete","Complete")</f>
        <v>Complete</v>
      </c>
      <c r="I13363" s="48" t="s">
        <v>17728</v>
      </c>
    </row>
    <row r="13364" spans="2:9" ht="15" customHeight="1" x14ac:dyDescent="0.25">
      <c r="B13364" s="55" t="s">
        <v>281</v>
      </c>
      <c r="C13364" s="46">
        <v>3352</v>
      </c>
      <c r="D13364" s="69" t="s">
        <v>29418</v>
      </c>
      <c r="E13364" s="51"/>
      <c r="F13364" s="114" t="str">
        <f>IF(INDEX(I.Facility.P2bIDNumber,3352)="","",INDEX(I.Facility.P2bIDNumber,3352))</f>
        <v/>
      </c>
      <c r="G13364" s="51"/>
      <c r="H13364" s="46" t="str">
        <f>IF(AND(I.Developer.P2b=TRUE,I.Facility.P2bFacilityCount&gt;=3352,F13364=""),"Incomplete","Complete")</f>
        <v>Complete</v>
      </c>
      <c r="I13364" s="48" t="s">
        <v>17729</v>
      </c>
    </row>
    <row r="13365" spans="2:9" ht="15" customHeight="1" x14ac:dyDescent="0.25">
      <c r="B13365" s="55" t="s">
        <v>281</v>
      </c>
      <c r="C13365" s="46">
        <v>3353</v>
      </c>
      <c r="D13365" s="69" t="s">
        <v>29418</v>
      </c>
      <c r="E13365" s="51"/>
      <c r="F13365" s="114" t="str">
        <f>IF(INDEX(I.Facility.P2bIDNumber,3353)="","",INDEX(I.Facility.P2bIDNumber,3353))</f>
        <v/>
      </c>
      <c r="G13365" s="51"/>
      <c r="H13365" s="46" t="str">
        <f>IF(AND(I.Developer.P2b=TRUE,I.Facility.P2bFacilityCount&gt;=3353,F13365=""),"Incomplete","Complete")</f>
        <v>Complete</v>
      </c>
      <c r="I13365" s="48" t="s">
        <v>17730</v>
      </c>
    </row>
    <row r="13366" spans="2:9" ht="15" customHeight="1" x14ac:dyDescent="0.25">
      <c r="B13366" s="55" t="s">
        <v>281</v>
      </c>
      <c r="C13366" s="46">
        <v>3354</v>
      </c>
      <c r="D13366" s="69" t="s">
        <v>29418</v>
      </c>
      <c r="E13366" s="51"/>
      <c r="F13366" s="114" t="str">
        <f>IF(INDEX(I.Facility.P2bIDNumber,3354)="","",INDEX(I.Facility.P2bIDNumber,3354))</f>
        <v/>
      </c>
      <c r="G13366" s="51"/>
      <c r="H13366" s="46" t="str">
        <f>IF(AND(I.Developer.P2b=TRUE,I.Facility.P2bFacilityCount&gt;=3354,F13366=""),"Incomplete","Complete")</f>
        <v>Complete</v>
      </c>
      <c r="I13366" s="48" t="s">
        <v>17731</v>
      </c>
    </row>
    <row r="13367" spans="2:9" ht="15" customHeight="1" x14ac:dyDescent="0.25">
      <c r="B13367" s="55" t="s">
        <v>281</v>
      </c>
      <c r="C13367" s="46">
        <v>3355</v>
      </c>
      <c r="D13367" s="69" t="s">
        <v>29418</v>
      </c>
      <c r="E13367" s="51"/>
      <c r="F13367" s="114" t="str">
        <f>IF(INDEX(I.Facility.P2bIDNumber,3355)="","",INDEX(I.Facility.P2bIDNumber,3355))</f>
        <v/>
      </c>
      <c r="G13367" s="51"/>
      <c r="H13367" s="46" t="str">
        <f>IF(AND(I.Developer.P2b=TRUE,I.Facility.P2bFacilityCount&gt;=3355,F13367=""),"Incomplete","Complete")</f>
        <v>Complete</v>
      </c>
      <c r="I13367" s="48" t="s">
        <v>17732</v>
      </c>
    </row>
    <row r="13368" spans="2:9" ht="15" customHeight="1" x14ac:dyDescent="0.25">
      <c r="B13368" s="55" t="s">
        <v>281</v>
      </c>
      <c r="C13368" s="46">
        <v>3356</v>
      </c>
      <c r="D13368" s="69" t="s">
        <v>29418</v>
      </c>
      <c r="E13368" s="51"/>
      <c r="F13368" s="114" t="str">
        <f>IF(INDEX(I.Facility.P2bIDNumber,3356)="","",INDEX(I.Facility.P2bIDNumber,3356))</f>
        <v/>
      </c>
      <c r="G13368" s="51"/>
      <c r="H13368" s="46" t="str">
        <f>IF(AND(I.Developer.P2b=TRUE,I.Facility.P2bFacilityCount&gt;=3356,F13368=""),"Incomplete","Complete")</f>
        <v>Complete</v>
      </c>
      <c r="I13368" s="48" t="s">
        <v>17733</v>
      </c>
    </row>
    <row r="13369" spans="2:9" ht="15" customHeight="1" x14ac:dyDescent="0.25">
      <c r="B13369" s="55" t="s">
        <v>281</v>
      </c>
      <c r="C13369" s="46">
        <v>3357</v>
      </c>
      <c r="D13369" s="69" t="s">
        <v>29418</v>
      </c>
      <c r="E13369" s="51"/>
      <c r="F13369" s="114" t="str">
        <f>IF(INDEX(I.Facility.P2bIDNumber,3357)="","",INDEX(I.Facility.P2bIDNumber,3357))</f>
        <v/>
      </c>
      <c r="G13369" s="51"/>
      <c r="H13369" s="46" t="str">
        <f>IF(AND(I.Developer.P2b=TRUE,I.Facility.P2bFacilityCount&gt;=3357,F13369=""),"Incomplete","Complete")</f>
        <v>Complete</v>
      </c>
      <c r="I13369" s="48" t="s">
        <v>17734</v>
      </c>
    </row>
    <row r="13370" spans="2:9" ht="15" customHeight="1" x14ac:dyDescent="0.25">
      <c r="B13370" s="55" t="s">
        <v>281</v>
      </c>
      <c r="C13370" s="46">
        <v>3358</v>
      </c>
      <c r="D13370" s="69" t="s">
        <v>29418</v>
      </c>
      <c r="E13370" s="51"/>
      <c r="F13370" s="114" t="str">
        <f>IF(INDEX(I.Facility.P2bIDNumber,3358)="","",INDEX(I.Facility.P2bIDNumber,3358))</f>
        <v/>
      </c>
      <c r="G13370" s="51"/>
      <c r="H13370" s="46" t="str">
        <f>IF(AND(I.Developer.P2b=TRUE,I.Facility.P2bFacilityCount&gt;=3358,F13370=""),"Incomplete","Complete")</f>
        <v>Complete</v>
      </c>
      <c r="I13370" s="48" t="s">
        <v>17735</v>
      </c>
    </row>
    <row r="13371" spans="2:9" ht="15" customHeight="1" x14ac:dyDescent="0.25">
      <c r="B13371" s="55" t="s">
        <v>281</v>
      </c>
      <c r="C13371" s="46">
        <v>3359</v>
      </c>
      <c r="D13371" s="69" t="s">
        <v>29418</v>
      </c>
      <c r="E13371" s="51"/>
      <c r="F13371" s="114" t="str">
        <f>IF(INDEX(I.Facility.P2bIDNumber,3359)="","",INDEX(I.Facility.P2bIDNumber,3359))</f>
        <v/>
      </c>
      <c r="G13371" s="51"/>
      <c r="H13371" s="46" t="str">
        <f>IF(AND(I.Developer.P2b=TRUE,I.Facility.P2bFacilityCount&gt;=3359,F13371=""),"Incomplete","Complete")</f>
        <v>Complete</v>
      </c>
      <c r="I13371" s="48" t="s">
        <v>17736</v>
      </c>
    </row>
    <row r="13372" spans="2:9" ht="15" customHeight="1" x14ac:dyDescent="0.25">
      <c r="B13372" s="55" t="s">
        <v>281</v>
      </c>
      <c r="C13372" s="46">
        <v>3360</v>
      </c>
      <c r="D13372" s="69" t="s">
        <v>29418</v>
      </c>
      <c r="E13372" s="51"/>
      <c r="F13372" s="114" t="str">
        <f>IF(INDEX(I.Facility.P2bIDNumber,3360)="","",INDEX(I.Facility.P2bIDNumber,3360))</f>
        <v/>
      </c>
      <c r="G13372" s="51"/>
      <c r="H13372" s="46" t="str">
        <f>IF(AND(I.Developer.P2b=TRUE,I.Facility.P2bFacilityCount&gt;=3360,F13372=""),"Incomplete","Complete")</f>
        <v>Complete</v>
      </c>
      <c r="I13372" s="48" t="s">
        <v>17737</v>
      </c>
    </row>
    <row r="13373" spans="2:9" ht="15" customHeight="1" x14ac:dyDescent="0.25">
      <c r="B13373" s="55" t="s">
        <v>281</v>
      </c>
      <c r="C13373" s="46">
        <v>3361</v>
      </c>
      <c r="D13373" s="69" t="s">
        <v>29418</v>
      </c>
      <c r="E13373" s="51"/>
      <c r="F13373" s="114" t="str">
        <f>IF(INDEX(I.Facility.P2bIDNumber,3361)="","",INDEX(I.Facility.P2bIDNumber,3361))</f>
        <v/>
      </c>
      <c r="G13373" s="51"/>
      <c r="H13373" s="46" t="str">
        <f>IF(AND(I.Developer.P2b=TRUE,I.Facility.P2bFacilityCount&gt;=3361,F13373=""),"Incomplete","Complete")</f>
        <v>Complete</v>
      </c>
      <c r="I13373" s="48" t="s">
        <v>17738</v>
      </c>
    </row>
    <row r="13374" spans="2:9" ht="15" customHeight="1" x14ac:dyDescent="0.25">
      <c r="B13374" s="55" t="s">
        <v>281</v>
      </c>
      <c r="C13374" s="46">
        <v>3362</v>
      </c>
      <c r="D13374" s="69" t="s">
        <v>29418</v>
      </c>
      <c r="E13374" s="51"/>
      <c r="F13374" s="114" t="str">
        <f>IF(INDEX(I.Facility.P2bIDNumber,3362)="","",INDEX(I.Facility.P2bIDNumber,3362))</f>
        <v/>
      </c>
      <c r="G13374" s="51"/>
      <c r="H13374" s="46" t="str">
        <f>IF(AND(I.Developer.P2b=TRUE,I.Facility.P2bFacilityCount&gt;=3362,F13374=""),"Incomplete","Complete")</f>
        <v>Complete</v>
      </c>
      <c r="I13374" s="48" t="s">
        <v>17739</v>
      </c>
    </row>
    <row r="13375" spans="2:9" ht="15" customHeight="1" x14ac:dyDescent="0.25">
      <c r="B13375" s="55" t="s">
        <v>281</v>
      </c>
      <c r="C13375" s="46">
        <v>3363</v>
      </c>
      <c r="D13375" s="69" t="s">
        <v>29418</v>
      </c>
      <c r="E13375" s="51"/>
      <c r="F13375" s="114" t="str">
        <f>IF(INDEX(I.Facility.P2bIDNumber,3363)="","",INDEX(I.Facility.P2bIDNumber,3363))</f>
        <v/>
      </c>
      <c r="G13375" s="51"/>
      <c r="H13375" s="46" t="str">
        <f>IF(AND(I.Developer.P2b=TRUE,I.Facility.P2bFacilityCount&gt;=3363,F13375=""),"Incomplete","Complete")</f>
        <v>Complete</v>
      </c>
      <c r="I13375" s="48" t="s">
        <v>17740</v>
      </c>
    </row>
    <row r="13376" spans="2:9" ht="15" customHeight="1" x14ac:dyDescent="0.25">
      <c r="B13376" s="55" t="s">
        <v>281</v>
      </c>
      <c r="C13376" s="46">
        <v>3364</v>
      </c>
      <c r="D13376" s="69" t="s">
        <v>29418</v>
      </c>
      <c r="E13376" s="51"/>
      <c r="F13376" s="114" t="str">
        <f>IF(INDEX(I.Facility.P2bIDNumber,3364)="","",INDEX(I.Facility.P2bIDNumber,3364))</f>
        <v/>
      </c>
      <c r="G13376" s="51"/>
      <c r="H13376" s="46" t="str">
        <f>IF(AND(I.Developer.P2b=TRUE,I.Facility.P2bFacilityCount&gt;=3364,F13376=""),"Incomplete","Complete")</f>
        <v>Complete</v>
      </c>
      <c r="I13376" s="48" t="s">
        <v>17741</v>
      </c>
    </row>
    <row r="13377" spans="2:9" ht="15" customHeight="1" x14ac:dyDescent="0.25">
      <c r="B13377" s="55" t="s">
        <v>281</v>
      </c>
      <c r="C13377" s="46">
        <v>3365</v>
      </c>
      <c r="D13377" s="69" t="s">
        <v>29418</v>
      </c>
      <c r="E13377" s="51"/>
      <c r="F13377" s="114" t="str">
        <f>IF(INDEX(I.Facility.P2bIDNumber,3365)="","",INDEX(I.Facility.P2bIDNumber,3365))</f>
        <v/>
      </c>
      <c r="G13377" s="51"/>
      <c r="H13377" s="46" t="str">
        <f>IF(AND(I.Developer.P2b=TRUE,I.Facility.P2bFacilityCount&gt;=3365,F13377=""),"Incomplete","Complete")</f>
        <v>Complete</v>
      </c>
      <c r="I13377" s="48" t="s">
        <v>17742</v>
      </c>
    </row>
    <row r="13378" spans="2:9" ht="15" customHeight="1" x14ac:dyDescent="0.25">
      <c r="B13378" s="55" t="s">
        <v>281</v>
      </c>
      <c r="C13378" s="46">
        <v>3366</v>
      </c>
      <c r="D13378" s="69" t="s">
        <v>29418</v>
      </c>
      <c r="E13378" s="51"/>
      <c r="F13378" s="114" t="str">
        <f>IF(INDEX(I.Facility.P2bIDNumber,3366)="","",INDEX(I.Facility.P2bIDNumber,3366))</f>
        <v/>
      </c>
      <c r="G13378" s="51"/>
      <c r="H13378" s="46" t="str">
        <f>IF(AND(I.Developer.P2b=TRUE,I.Facility.P2bFacilityCount&gt;=3366,F13378=""),"Incomplete","Complete")</f>
        <v>Complete</v>
      </c>
      <c r="I13378" s="48" t="s">
        <v>17743</v>
      </c>
    </row>
    <row r="13379" spans="2:9" ht="15" customHeight="1" x14ac:dyDescent="0.25">
      <c r="B13379" s="55" t="s">
        <v>281</v>
      </c>
      <c r="C13379" s="46">
        <v>3367</v>
      </c>
      <c r="D13379" s="69" t="s">
        <v>29418</v>
      </c>
      <c r="E13379" s="51"/>
      <c r="F13379" s="114" t="str">
        <f>IF(INDEX(I.Facility.P2bIDNumber,3367)="","",INDEX(I.Facility.P2bIDNumber,3367))</f>
        <v/>
      </c>
      <c r="G13379" s="51"/>
      <c r="H13379" s="46" t="str">
        <f>IF(AND(I.Developer.P2b=TRUE,I.Facility.P2bFacilityCount&gt;=3367,F13379=""),"Incomplete","Complete")</f>
        <v>Complete</v>
      </c>
      <c r="I13379" s="48" t="s">
        <v>17744</v>
      </c>
    </row>
    <row r="13380" spans="2:9" ht="15" customHeight="1" x14ac:dyDescent="0.25">
      <c r="B13380" s="55" t="s">
        <v>281</v>
      </c>
      <c r="C13380" s="46">
        <v>3368</v>
      </c>
      <c r="D13380" s="69" t="s">
        <v>29418</v>
      </c>
      <c r="E13380" s="51"/>
      <c r="F13380" s="114" t="str">
        <f>IF(INDEX(I.Facility.P2bIDNumber,3368)="","",INDEX(I.Facility.P2bIDNumber,3368))</f>
        <v/>
      </c>
      <c r="G13380" s="51"/>
      <c r="H13380" s="46" t="str">
        <f>IF(AND(I.Developer.P2b=TRUE,I.Facility.P2bFacilityCount&gt;=3368,F13380=""),"Incomplete","Complete")</f>
        <v>Complete</v>
      </c>
      <c r="I13380" s="48" t="s">
        <v>17745</v>
      </c>
    </row>
    <row r="13381" spans="2:9" ht="15" customHeight="1" x14ac:dyDescent="0.25">
      <c r="B13381" s="55" t="s">
        <v>281</v>
      </c>
      <c r="C13381" s="46">
        <v>3369</v>
      </c>
      <c r="D13381" s="69" t="s">
        <v>29418</v>
      </c>
      <c r="E13381" s="51"/>
      <c r="F13381" s="114" t="str">
        <f>IF(INDEX(I.Facility.P2bIDNumber,3369)="","",INDEX(I.Facility.P2bIDNumber,3369))</f>
        <v/>
      </c>
      <c r="G13381" s="51"/>
      <c r="H13381" s="46" t="str">
        <f>IF(AND(I.Developer.P2b=TRUE,I.Facility.P2bFacilityCount&gt;=3369,F13381=""),"Incomplete","Complete")</f>
        <v>Complete</v>
      </c>
      <c r="I13381" s="48" t="s">
        <v>17746</v>
      </c>
    </row>
    <row r="13382" spans="2:9" ht="15" customHeight="1" x14ac:dyDescent="0.25">
      <c r="B13382" s="55" t="s">
        <v>281</v>
      </c>
      <c r="C13382" s="46">
        <v>3370</v>
      </c>
      <c r="D13382" s="69" t="s">
        <v>29418</v>
      </c>
      <c r="E13382" s="51"/>
      <c r="F13382" s="114" t="str">
        <f>IF(INDEX(I.Facility.P2bIDNumber,3370)="","",INDEX(I.Facility.P2bIDNumber,3370))</f>
        <v/>
      </c>
      <c r="G13382" s="51"/>
      <c r="H13382" s="46" t="str">
        <f>IF(AND(I.Developer.P2b=TRUE,I.Facility.P2bFacilityCount&gt;=3370,F13382=""),"Incomplete","Complete")</f>
        <v>Complete</v>
      </c>
      <c r="I13382" s="48" t="s">
        <v>17747</v>
      </c>
    </row>
    <row r="13383" spans="2:9" ht="15" customHeight="1" x14ac:dyDescent="0.25">
      <c r="B13383" s="55" t="s">
        <v>281</v>
      </c>
      <c r="C13383" s="46">
        <v>3371</v>
      </c>
      <c r="D13383" s="69" t="s">
        <v>29418</v>
      </c>
      <c r="E13383" s="51"/>
      <c r="F13383" s="114" t="str">
        <f>IF(INDEX(I.Facility.P2bIDNumber,3371)="","",INDEX(I.Facility.P2bIDNumber,3371))</f>
        <v/>
      </c>
      <c r="G13383" s="51"/>
      <c r="H13383" s="46" t="str">
        <f>IF(AND(I.Developer.P2b=TRUE,I.Facility.P2bFacilityCount&gt;=3371,F13383=""),"Incomplete","Complete")</f>
        <v>Complete</v>
      </c>
      <c r="I13383" s="48" t="s">
        <v>17748</v>
      </c>
    </row>
    <row r="13384" spans="2:9" ht="15" customHeight="1" x14ac:dyDescent="0.25">
      <c r="B13384" s="55" t="s">
        <v>281</v>
      </c>
      <c r="C13384" s="46">
        <v>3372</v>
      </c>
      <c r="D13384" s="69" t="s">
        <v>29418</v>
      </c>
      <c r="E13384" s="51"/>
      <c r="F13384" s="114" t="str">
        <f>IF(INDEX(I.Facility.P2bIDNumber,3372)="","",INDEX(I.Facility.P2bIDNumber,3372))</f>
        <v/>
      </c>
      <c r="G13384" s="51"/>
      <c r="H13384" s="46" t="str">
        <f>IF(AND(I.Developer.P2b=TRUE,I.Facility.P2bFacilityCount&gt;=3372,F13384=""),"Incomplete","Complete")</f>
        <v>Complete</v>
      </c>
      <c r="I13384" s="48" t="s">
        <v>17749</v>
      </c>
    </row>
    <row r="13385" spans="2:9" ht="15" customHeight="1" x14ac:dyDescent="0.25">
      <c r="B13385" s="55" t="s">
        <v>281</v>
      </c>
      <c r="C13385" s="46">
        <v>3373</v>
      </c>
      <c r="D13385" s="69" t="s">
        <v>29418</v>
      </c>
      <c r="E13385" s="51"/>
      <c r="F13385" s="114" t="str">
        <f>IF(INDEX(I.Facility.P2bIDNumber,3373)="","",INDEX(I.Facility.P2bIDNumber,3373))</f>
        <v/>
      </c>
      <c r="G13385" s="51"/>
      <c r="H13385" s="46" t="str">
        <f>IF(AND(I.Developer.P2b=TRUE,I.Facility.P2bFacilityCount&gt;=3373,F13385=""),"Incomplete","Complete")</f>
        <v>Complete</v>
      </c>
      <c r="I13385" s="48" t="s">
        <v>17750</v>
      </c>
    </row>
    <row r="13386" spans="2:9" ht="15" customHeight="1" x14ac:dyDescent="0.25">
      <c r="B13386" s="55" t="s">
        <v>281</v>
      </c>
      <c r="C13386" s="46">
        <v>3374</v>
      </c>
      <c r="D13386" s="69" t="s">
        <v>29418</v>
      </c>
      <c r="E13386" s="51"/>
      <c r="F13386" s="114" t="str">
        <f>IF(INDEX(I.Facility.P2bIDNumber,3374)="","",INDEX(I.Facility.P2bIDNumber,3374))</f>
        <v/>
      </c>
      <c r="G13386" s="51"/>
      <c r="H13386" s="46" t="str">
        <f>IF(AND(I.Developer.P2b=TRUE,I.Facility.P2bFacilityCount&gt;=3374,F13386=""),"Incomplete","Complete")</f>
        <v>Complete</v>
      </c>
      <c r="I13386" s="48" t="s">
        <v>17751</v>
      </c>
    </row>
    <row r="13387" spans="2:9" ht="15" customHeight="1" x14ac:dyDescent="0.25">
      <c r="B13387" s="55" t="s">
        <v>281</v>
      </c>
      <c r="C13387" s="46">
        <v>3375</v>
      </c>
      <c r="D13387" s="69" t="s">
        <v>29418</v>
      </c>
      <c r="E13387" s="51"/>
      <c r="F13387" s="114" t="str">
        <f>IF(INDEX(I.Facility.P2bIDNumber,3375)="","",INDEX(I.Facility.P2bIDNumber,3375))</f>
        <v/>
      </c>
      <c r="G13387" s="51"/>
      <c r="H13387" s="46" t="str">
        <f>IF(AND(I.Developer.P2b=TRUE,I.Facility.P2bFacilityCount&gt;=3375,F13387=""),"Incomplete","Complete")</f>
        <v>Complete</v>
      </c>
      <c r="I13387" s="48" t="s">
        <v>17752</v>
      </c>
    </row>
    <row r="13388" spans="2:9" ht="15" customHeight="1" x14ac:dyDescent="0.25">
      <c r="B13388" s="55" t="s">
        <v>281</v>
      </c>
      <c r="C13388" s="46">
        <v>3376</v>
      </c>
      <c r="D13388" s="69" t="s">
        <v>29418</v>
      </c>
      <c r="E13388" s="51"/>
      <c r="F13388" s="114" t="str">
        <f>IF(INDEX(I.Facility.P2bIDNumber,3376)="","",INDEX(I.Facility.P2bIDNumber,3376))</f>
        <v/>
      </c>
      <c r="G13388" s="51"/>
      <c r="H13388" s="46" t="str">
        <f>IF(AND(I.Developer.P2b=TRUE,I.Facility.P2bFacilityCount&gt;=3376,F13388=""),"Incomplete","Complete")</f>
        <v>Complete</v>
      </c>
      <c r="I13388" s="48" t="s">
        <v>17753</v>
      </c>
    </row>
    <row r="13389" spans="2:9" ht="15" customHeight="1" x14ac:dyDescent="0.25">
      <c r="B13389" s="55" t="s">
        <v>281</v>
      </c>
      <c r="C13389" s="46">
        <v>3377</v>
      </c>
      <c r="D13389" s="69" t="s">
        <v>29418</v>
      </c>
      <c r="E13389" s="51"/>
      <c r="F13389" s="114" t="str">
        <f>IF(INDEX(I.Facility.P2bIDNumber,3377)="","",INDEX(I.Facility.P2bIDNumber,3377))</f>
        <v/>
      </c>
      <c r="G13389" s="51"/>
      <c r="H13389" s="46" t="str">
        <f>IF(AND(I.Developer.P2b=TRUE,I.Facility.P2bFacilityCount&gt;=3377,F13389=""),"Incomplete","Complete")</f>
        <v>Complete</v>
      </c>
      <c r="I13389" s="48" t="s">
        <v>17754</v>
      </c>
    </row>
    <row r="13390" spans="2:9" ht="15" customHeight="1" x14ac:dyDescent="0.25">
      <c r="B13390" s="55" t="s">
        <v>281</v>
      </c>
      <c r="C13390" s="46">
        <v>3378</v>
      </c>
      <c r="D13390" s="69" t="s">
        <v>29418</v>
      </c>
      <c r="E13390" s="51"/>
      <c r="F13390" s="114" t="str">
        <f>IF(INDEX(I.Facility.P2bIDNumber,3378)="","",INDEX(I.Facility.P2bIDNumber,3378))</f>
        <v/>
      </c>
      <c r="G13390" s="51"/>
      <c r="H13390" s="46" t="str">
        <f>IF(AND(I.Developer.P2b=TRUE,I.Facility.P2bFacilityCount&gt;=3378,F13390=""),"Incomplete","Complete")</f>
        <v>Complete</v>
      </c>
      <c r="I13390" s="48" t="s">
        <v>17755</v>
      </c>
    </row>
    <row r="13391" spans="2:9" ht="15" customHeight="1" x14ac:dyDescent="0.25">
      <c r="B13391" s="55" t="s">
        <v>281</v>
      </c>
      <c r="C13391" s="46">
        <v>3379</v>
      </c>
      <c r="D13391" s="69" t="s">
        <v>29418</v>
      </c>
      <c r="E13391" s="51"/>
      <c r="F13391" s="114" t="str">
        <f>IF(INDEX(I.Facility.P2bIDNumber,3379)="","",INDEX(I.Facility.P2bIDNumber,3379))</f>
        <v/>
      </c>
      <c r="G13391" s="51"/>
      <c r="H13391" s="46" t="str">
        <f>IF(AND(I.Developer.P2b=TRUE,I.Facility.P2bFacilityCount&gt;=3379,F13391=""),"Incomplete","Complete")</f>
        <v>Complete</v>
      </c>
      <c r="I13391" s="48" t="s">
        <v>17756</v>
      </c>
    </row>
    <row r="13392" spans="2:9" ht="15" customHeight="1" x14ac:dyDescent="0.25">
      <c r="B13392" s="55" t="s">
        <v>281</v>
      </c>
      <c r="C13392" s="46">
        <v>3380</v>
      </c>
      <c r="D13392" s="69" t="s">
        <v>29418</v>
      </c>
      <c r="E13392" s="51"/>
      <c r="F13392" s="114" t="str">
        <f>IF(INDEX(I.Facility.P2bIDNumber,3380)="","",INDEX(I.Facility.P2bIDNumber,3380))</f>
        <v/>
      </c>
      <c r="G13392" s="51"/>
      <c r="H13392" s="46" t="str">
        <f>IF(AND(I.Developer.P2b=TRUE,I.Facility.P2bFacilityCount&gt;=3380,F13392=""),"Incomplete","Complete")</f>
        <v>Complete</v>
      </c>
      <c r="I13392" s="48" t="s">
        <v>17757</v>
      </c>
    </row>
    <row r="13393" spans="2:9" ht="15" customHeight="1" x14ac:dyDescent="0.25">
      <c r="B13393" s="55" t="s">
        <v>281</v>
      </c>
      <c r="C13393" s="46">
        <v>3381</v>
      </c>
      <c r="D13393" s="69" t="s">
        <v>29418</v>
      </c>
      <c r="E13393" s="51"/>
      <c r="F13393" s="114" t="str">
        <f>IF(INDEX(I.Facility.P2bIDNumber,3381)="","",INDEX(I.Facility.P2bIDNumber,3381))</f>
        <v/>
      </c>
      <c r="G13393" s="51"/>
      <c r="H13393" s="46" t="str">
        <f>IF(AND(I.Developer.P2b=TRUE,I.Facility.P2bFacilityCount&gt;=3381,F13393=""),"Incomplete","Complete")</f>
        <v>Complete</v>
      </c>
      <c r="I13393" s="48" t="s">
        <v>17758</v>
      </c>
    </row>
    <row r="13394" spans="2:9" ht="15" customHeight="1" x14ac:dyDescent="0.25">
      <c r="B13394" s="55" t="s">
        <v>281</v>
      </c>
      <c r="C13394" s="46">
        <v>3382</v>
      </c>
      <c r="D13394" s="69" t="s">
        <v>29418</v>
      </c>
      <c r="E13394" s="51"/>
      <c r="F13394" s="114" t="str">
        <f>IF(INDEX(I.Facility.P2bIDNumber,3382)="","",INDEX(I.Facility.P2bIDNumber,3382))</f>
        <v/>
      </c>
      <c r="G13394" s="51"/>
      <c r="H13394" s="46" t="str">
        <f>IF(AND(I.Developer.P2b=TRUE,I.Facility.P2bFacilityCount&gt;=3382,F13394=""),"Incomplete","Complete")</f>
        <v>Complete</v>
      </c>
      <c r="I13394" s="48" t="s">
        <v>17759</v>
      </c>
    </row>
    <row r="13395" spans="2:9" ht="15" customHeight="1" x14ac:dyDescent="0.25">
      <c r="B13395" s="55" t="s">
        <v>281</v>
      </c>
      <c r="C13395" s="46">
        <v>3383</v>
      </c>
      <c r="D13395" s="69" t="s">
        <v>29418</v>
      </c>
      <c r="E13395" s="51"/>
      <c r="F13395" s="114" t="str">
        <f>IF(INDEX(I.Facility.P2bIDNumber,3383)="","",INDEX(I.Facility.P2bIDNumber,3383))</f>
        <v/>
      </c>
      <c r="G13395" s="51"/>
      <c r="H13395" s="46" t="str">
        <f>IF(AND(I.Developer.P2b=TRUE,I.Facility.P2bFacilityCount&gt;=3383,F13395=""),"Incomplete","Complete")</f>
        <v>Complete</v>
      </c>
      <c r="I13395" s="48" t="s">
        <v>17760</v>
      </c>
    </row>
    <row r="13396" spans="2:9" ht="15" customHeight="1" x14ac:dyDescent="0.25">
      <c r="B13396" s="55" t="s">
        <v>281</v>
      </c>
      <c r="C13396" s="46">
        <v>3384</v>
      </c>
      <c r="D13396" s="69" t="s">
        <v>29418</v>
      </c>
      <c r="E13396" s="51"/>
      <c r="F13396" s="114" t="str">
        <f>IF(INDEX(I.Facility.P2bIDNumber,3384)="","",INDEX(I.Facility.P2bIDNumber,3384))</f>
        <v/>
      </c>
      <c r="G13396" s="51"/>
      <c r="H13396" s="46" t="str">
        <f>IF(AND(I.Developer.P2b=TRUE,I.Facility.P2bFacilityCount&gt;=3384,F13396=""),"Incomplete","Complete")</f>
        <v>Complete</v>
      </c>
      <c r="I13396" s="48" t="s">
        <v>17761</v>
      </c>
    </row>
    <row r="13397" spans="2:9" ht="15" customHeight="1" x14ac:dyDescent="0.25">
      <c r="B13397" s="55" t="s">
        <v>281</v>
      </c>
      <c r="C13397" s="46">
        <v>3385</v>
      </c>
      <c r="D13397" s="69" t="s">
        <v>29418</v>
      </c>
      <c r="E13397" s="51"/>
      <c r="F13397" s="114" t="str">
        <f>IF(INDEX(I.Facility.P2bIDNumber,3385)="","",INDEX(I.Facility.P2bIDNumber,3385))</f>
        <v/>
      </c>
      <c r="G13397" s="51"/>
      <c r="H13397" s="46" t="str">
        <f>IF(AND(I.Developer.P2b=TRUE,I.Facility.P2bFacilityCount&gt;=3385,F13397=""),"Incomplete","Complete")</f>
        <v>Complete</v>
      </c>
      <c r="I13397" s="48" t="s">
        <v>17762</v>
      </c>
    </row>
    <row r="13398" spans="2:9" ht="15" customHeight="1" x14ac:dyDescent="0.25">
      <c r="B13398" s="55" t="s">
        <v>281</v>
      </c>
      <c r="C13398" s="46">
        <v>3386</v>
      </c>
      <c r="D13398" s="69" t="s">
        <v>29418</v>
      </c>
      <c r="E13398" s="51"/>
      <c r="F13398" s="114" t="str">
        <f>IF(INDEX(I.Facility.P2bIDNumber,3386)="","",INDEX(I.Facility.P2bIDNumber,3386))</f>
        <v/>
      </c>
      <c r="G13398" s="51"/>
      <c r="H13398" s="46" t="str">
        <f>IF(AND(I.Developer.P2b=TRUE,I.Facility.P2bFacilityCount&gt;=3386,F13398=""),"Incomplete","Complete")</f>
        <v>Complete</v>
      </c>
      <c r="I13398" s="48" t="s">
        <v>17763</v>
      </c>
    </row>
    <row r="13399" spans="2:9" ht="15" customHeight="1" x14ac:dyDescent="0.25">
      <c r="B13399" s="55" t="s">
        <v>281</v>
      </c>
      <c r="C13399" s="46">
        <v>3387</v>
      </c>
      <c r="D13399" s="69" t="s">
        <v>29418</v>
      </c>
      <c r="E13399" s="51"/>
      <c r="F13399" s="114" t="str">
        <f>IF(INDEX(I.Facility.P2bIDNumber,3387)="","",INDEX(I.Facility.P2bIDNumber,3387))</f>
        <v/>
      </c>
      <c r="G13399" s="51"/>
      <c r="H13399" s="46" t="str">
        <f>IF(AND(I.Developer.P2b=TRUE,I.Facility.P2bFacilityCount&gt;=3387,F13399=""),"Incomplete","Complete")</f>
        <v>Complete</v>
      </c>
      <c r="I13399" s="48" t="s">
        <v>17764</v>
      </c>
    </row>
    <row r="13400" spans="2:9" ht="15" customHeight="1" x14ac:dyDescent="0.25">
      <c r="B13400" s="55" t="s">
        <v>281</v>
      </c>
      <c r="C13400" s="46">
        <v>3388</v>
      </c>
      <c r="D13400" s="69" t="s">
        <v>29418</v>
      </c>
      <c r="E13400" s="51"/>
      <c r="F13400" s="114" t="str">
        <f>IF(INDEX(I.Facility.P2bIDNumber,3388)="","",INDEX(I.Facility.P2bIDNumber,3388))</f>
        <v/>
      </c>
      <c r="G13400" s="51"/>
      <c r="H13400" s="46" t="str">
        <f>IF(AND(I.Developer.P2b=TRUE,I.Facility.P2bFacilityCount&gt;=3388,F13400=""),"Incomplete","Complete")</f>
        <v>Complete</v>
      </c>
      <c r="I13400" s="48" t="s">
        <v>17765</v>
      </c>
    </row>
    <row r="13401" spans="2:9" ht="15" customHeight="1" x14ac:dyDescent="0.25">
      <c r="B13401" s="55" t="s">
        <v>281</v>
      </c>
      <c r="C13401" s="46">
        <v>3389</v>
      </c>
      <c r="D13401" s="69" t="s">
        <v>29418</v>
      </c>
      <c r="E13401" s="51"/>
      <c r="F13401" s="114" t="str">
        <f>IF(INDEX(I.Facility.P2bIDNumber,3389)="","",INDEX(I.Facility.P2bIDNumber,3389))</f>
        <v/>
      </c>
      <c r="G13401" s="51"/>
      <c r="H13401" s="46" t="str">
        <f>IF(AND(I.Developer.P2b=TRUE,I.Facility.P2bFacilityCount&gt;=3389,F13401=""),"Incomplete","Complete")</f>
        <v>Complete</v>
      </c>
      <c r="I13401" s="48" t="s">
        <v>17766</v>
      </c>
    </row>
    <row r="13402" spans="2:9" ht="15" customHeight="1" x14ac:dyDescent="0.25">
      <c r="B13402" s="55" t="s">
        <v>281</v>
      </c>
      <c r="C13402" s="46">
        <v>3390</v>
      </c>
      <c r="D13402" s="69" t="s">
        <v>29418</v>
      </c>
      <c r="E13402" s="51"/>
      <c r="F13402" s="114" t="str">
        <f>IF(INDEX(I.Facility.P2bIDNumber,3390)="","",INDEX(I.Facility.P2bIDNumber,3390))</f>
        <v/>
      </c>
      <c r="G13402" s="51"/>
      <c r="H13402" s="46" t="str">
        <f>IF(AND(I.Developer.P2b=TRUE,I.Facility.P2bFacilityCount&gt;=3390,F13402=""),"Incomplete","Complete")</f>
        <v>Complete</v>
      </c>
      <c r="I13402" s="48" t="s">
        <v>17767</v>
      </c>
    </row>
    <row r="13403" spans="2:9" ht="15" customHeight="1" x14ac:dyDescent="0.25">
      <c r="B13403" s="55" t="s">
        <v>281</v>
      </c>
      <c r="C13403" s="46">
        <v>3391</v>
      </c>
      <c r="D13403" s="69" t="s">
        <v>29418</v>
      </c>
      <c r="E13403" s="51"/>
      <c r="F13403" s="114" t="str">
        <f>IF(INDEX(I.Facility.P2bIDNumber,3391)="","",INDEX(I.Facility.P2bIDNumber,3391))</f>
        <v/>
      </c>
      <c r="G13403" s="51"/>
      <c r="H13403" s="46" t="str">
        <f>IF(AND(I.Developer.P2b=TRUE,I.Facility.P2bFacilityCount&gt;=3391,F13403=""),"Incomplete","Complete")</f>
        <v>Complete</v>
      </c>
      <c r="I13403" s="48" t="s">
        <v>17768</v>
      </c>
    </row>
    <row r="13404" spans="2:9" ht="15" customHeight="1" x14ac:dyDescent="0.25">
      <c r="B13404" s="55" t="s">
        <v>281</v>
      </c>
      <c r="C13404" s="46">
        <v>3392</v>
      </c>
      <c r="D13404" s="69" t="s">
        <v>29418</v>
      </c>
      <c r="E13404" s="51"/>
      <c r="F13404" s="114" t="str">
        <f>IF(INDEX(I.Facility.P2bIDNumber,3392)="","",INDEX(I.Facility.P2bIDNumber,3392))</f>
        <v/>
      </c>
      <c r="G13404" s="51"/>
      <c r="H13404" s="46" t="str">
        <f>IF(AND(I.Developer.P2b=TRUE,I.Facility.P2bFacilityCount&gt;=3392,F13404=""),"Incomplete","Complete")</f>
        <v>Complete</v>
      </c>
      <c r="I13404" s="48" t="s">
        <v>17769</v>
      </c>
    </row>
    <row r="13405" spans="2:9" ht="15" customHeight="1" x14ac:dyDescent="0.25">
      <c r="B13405" s="55" t="s">
        <v>281</v>
      </c>
      <c r="C13405" s="46">
        <v>3393</v>
      </c>
      <c r="D13405" s="69" t="s">
        <v>29418</v>
      </c>
      <c r="E13405" s="51"/>
      <c r="F13405" s="114" t="str">
        <f>IF(INDEX(I.Facility.P2bIDNumber,3393)="","",INDEX(I.Facility.P2bIDNumber,3393))</f>
        <v/>
      </c>
      <c r="G13405" s="51"/>
      <c r="H13405" s="46" t="str">
        <f>IF(AND(I.Developer.P2b=TRUE,I.Facility.P2bFacilityCount&gt;=3393,F13405=""),"Incomplete","Complete")</f>
        <v>Complete</v>
      </c>
      <c r="I13405" s="48" t="s">
        <v>17770</v>
      </c>
    </row>
    <row r="13406" spans="2:9" ht="15" customHeight="1" x14ac:dyDescent="0.25">
      <c r="B13406" s="55" t="s">
        <v>281</v>
      </c>
      <c r="C13406" s="46">
        <v>3394</v>
      </c>
      <c r="D13406" s="69" t="s">
        <v>29418</v>
      </c>
      <c r="E13406" s="51"/>
      <c r="F13406" s="114" t="str">
        <f>IF(INDEX(I.Facility.P2bIDNumber,3394)="","",INDEX(I.Facility.P2bIDNumber,3394))</f>
        <v/>
      </c>
      <c r="G13406" s="51"/>
      <c r="H13406" s="46" t="str">
        <f>IF(AND(I.Developer.P2b=TRUE,I.Facility.P2bFacilityCount&gt;=3394,F13406=""),"Incomplete","Complete")</f>
        <v>Complete</v>
      </c>
      <c r="I13406" s="48" t="s">
        <v>17771</v>
      </c>
    </row>
    <row r="13407" spans="2:9" ht="15" customHeight="1" x14ac:dyDescent="0.25">
      <c r="B13407" s="55" t="s">
        <v>281</v>
      </c>
      <c r="C13407" s="46">
        <v>3395</v>
      </c>
      <c r="D13407" s="69" t="s">
        <v>29418</v>
      </c>
      <c r="E13407" s="51"/>
      <c r="F13407" s="114" t="str">
        <f>IF(INDEX(I.Facility.P2bIDNumber,3395)="","",INDEX(I.Facility.P2bIDNumber,3395))</f>
        <v/>
      </c>
      <c r="G13407" s="51"/>
      <c r="H13407" s="46" t="str">
        <f>IF(AND(I.Developer.P2b=TRUE,I.Facility.P2bFacilityCount&gt;=3395,F13407=""),"Incomplete","Complete")</f>
        <v>Complete</v>
      </c>
      <c r="I13407" s="48" t="s">
        <v>17772</v>
      </c>
    </row>
    <row r="13408" spans="2:9" ht="15" customHeight="1" x14ac:dyDescent="0.25">
      <c r="B13408" s="55" t="s">
        <v>281</v>
      </c>
      <c r="C13408" s="46">
        <v>3396</v>
      </c>
      <c r="D13408" s="69" t="s">
        <v>29418</v>
      </c>
      <c r="E13408" s="51"/>
      <c r="F13408" s="114" t="str">
        <f>IF(INDEX(I.Facility.P2bIDNumber,3396)="","",INDEX(I.Facility.P2bIDNumber,3396))</f>
        <v/>
      </c>
      <c r="G13408" s="51"/>
      <c r="H13408" s="46" t="str">
        <f>IF(AND(I.Developer.P2b=TRUE,I.Facility.P2bFacilityCount&gt;=3396,F13408=""),"Incomplete","Complete")</f>
        <v>Complete</v>
      </c>
      <c r="I13408" s="48" t="s">
        <v>17773</v>
      </c>
    </row>
    <row r="13409" spans="2:9" ht="15" customHeight="1" x14ac:dyDescent="0.25">
      <c r="B13409" s="55" t="s">
        <v>281</v>
      </c>
      <c r="C13409" s="46">
        <v>3397</v>
      </c>
      <c r="D13409" s="69" t="s">
        <v>29418</v>
      </c>
      <c r="E13409" s="51"/>
      <c r="F13409" s="114" t="str">
        <f>IF(INDEX(I.Facility.P2bIDNumber,3397)="","",INDEX(I.Facility.P2bIDNumber,3397))</f>
        <v/>
      </c>
      <c r="G13409" s="51"/>
      <c r="H13409" s="46" t="str">
        <f>IF(AND(I.Developer.P2b=TRUE,I.Facility.P2bFacilityCount&gt;=3397,F13409=""),"Incomplete","Complete")</f>
        <v>Complete</v>
      </c>
      <c r="I13409" s="48" t="s">
        <v>17774</v>
      </c>
    </row>
    <row r="13410" spans="2:9" ht="15" customHeight="1" x14ac:dyDescent="0.25">
      <c r="B13410" s="55" t="s">
        <v>281</v>
      </c>
      <c r="C13410" s="46">
        <v>3398</v>
      </c>
      <c r="D13410" s="69" t="s">
        <v>29418</v>
      </c>
      <c r="E13410" s="51"/>
      <c r="F13410" s="114" t="str">
        <f>IF(INDEX(I.Facility.P2bIDNumber,3398)="","",INDEX(I.Facility.P2bIDNumber,3398))</f>
        <v/>
      </c>
      <c r="G13410" s="51"/>
      <c r="H13410" s="46" t="str">
        <f>IF(AND(I.Developer.P2b=TRUE,I.Facility.P2bFacilityCount&gt;=3398,F13410=""),"Incomplete","Complete")</f>
        <v>Complete</v>
      </c>
      <c r="I13410" s="48" t="s">
        <v>17775</v>
      </c>
    </row>
    <row r="13411" spans="2:9" ht="15" customHeight="1" x14ac:dyDescent="0.25">
      <c r="B13411" s="55" t="s">
        <v>281</v>
      </c>
      <c r="C13411" s="46">
        <v>3399</v>
      </c>
      <c r="D13411" s="69" t="s">
        <v>29418</v>
      </c>
      <c r="E13411" s="51"/>
      <c r="F13411" s="114" t="str">
        <f>IF(INDEX(I.Facility.P2bIDNumber,3399)="","",INDEX(I.Facility.P2bIDNumber,3399))</f>
        <v/>
      </c>
      <c r="G13411" s="51"/>
      <c r="H13411" s="46" t="str">
        <f>IF(AND(I.Developer.P2b=TRUE,I.Facility.P2bFacilityCount&gt;=3399,F13411=""),"Incomplete","Complete")</f>
        <v>Complete</v>
      </c>
      <c r="I13411" s="48" t="s">
        <v>17776</v>
      </c>
    </row>
    <row r="13412" spans="2:9" ht="15" customHeight="1" x14ac:dyDescent="0.25">
      <c r="B13412" s="55" t="s">
        <v>281</v>
      </c>
      <c r="C13412" s="46">
        <v>3400</v>
      </c>
      <c r="D13412" s="69" t="s">
        <v>29418</v>
      </c>
      <c r="E13412" s="51"/>
      <c r="F13412" s="114" t="str">
        <f>IF(INDEX(I.Facility.P2bIDNumber,3400)="","",INDEX(I.Facility.P2bIDNumber,3400))</f>
        <v/>
      </c>
      <c r="G13412" s="51"/>
      <c r="H13412" s="46" t="str">
        <f>IF(AND(I.Developer.P2b=TRUE,I.Facility.P2bFacilityCount&gt;=3400,F13412=""),"Incomplete","Complete")</f>
        <v>Complete</v>
      </c>
      <c r="I13412" s="48" t="s">
        <v>17777</v>
      </c>
    </row>
    <row r="13413" spans="2:9" ht="15" customHeight="1" x14ac:dyDescent="0.25">
      <c r="B13413" s="55" t="s">
        <v>281</v>
      </c>
      <c r="C13413" s="46">
        <v>3401</v>
      </c>
      <c r="D13413" s="69" t="s">
        <v>29418</v>
      </c>
      <c r="E13413" s="51"/>
      <c r="F13413" s="114" t="str">
        <f>IF(INDEX(I.Facility.P2bIDNumber,3401)="","",INDEX(I.Facility.P2bIDNumber,3401))</f>
        <v/>
      </c>
      <c r="G13413" s="51"/>
      <c r="H13413" s="46" t="str">
        <f>IF(AND(I.Developer.P2b=TRUE,I.Facility.P2bFacilityCount&gt;=3401,F13413=""),"Incomplete","Complete")</f>
        <v>Complete</v>
      </c>
      <c r="I13413" s="48" t="s">
        <v>17778</v>
      </c>
    </row>
    <row r="13414" spans="2:9" ht="15" customHeight="1" x14ac:dyDescent="0.25">
      <c r="B13414" s="55" t="s">
        <v>281</v>
      </c>
      <c r="C13414" s="46">
        <v>3402</v>
      </c>
      <c r="D13414" s="69" t="s">
        <v>29418</v>
      </c>
      <c r="E13414" s="51"/>
      <c r="F13414" s="114" t="str">
        <f>IF(INDEX(I.Facility.P2bIDNumber,3402)="","",INDEX(I.Facility.P2bIDNumber,3402))</f>
        <v/>
      </c>
      <c r="G13414" s="51"/>
      <c r="H13414" s="46" t="str">
        <f>IF(AND(I.Developer.P2b=TRUE,I.Facility.P2bFacilityCount&gt;=3402,F13414=""),"Incomplete","Complete")</f>
        <v>Complete</v>
      </c>
      <c r="I13414" s="48" t="s">
        <v>17779</v>
      </c>
    </row>
    <row r="13415" spans="2:9" ht="15" customHeight="1" x14ac:dyDescent="0.25">
      <c r="B13415" s="55" t="s">
        <v>281</v>
      </c>
      <c r="C13415" s="46">
        <v>3403</v>
      </c>
      <c r="D13415" s="69" t="s">
        <v>29418</v>
      </c>
      <c r="E13415" s="51"/>
      <c r="F13415" s="114" t="str">
        <f>IF(INDEX(I.Facility.P2bIDNumber,3403)="","",INDEX(I.Facility.P2bIDNumber,3403))</f>
        <v/>
      </c>
      <c r="G13415" s="51"/>
      <c r="H13415" s="46" t="str">
        <f>IF(AND(I.Developer.P2b=TRUE,I.Facility.P2bFacilityCount&gt;=3403,F13415=""),"Incomplete","Complete")</f>
        <v>Complete</v>
      </c>
      <c r="I13415" s="48" t="s">
        <v>17780</v>
      </c>
    </row>
    <row r="13416" spans="2:9" ht="15" customHeight="1" x14ac:dyDescent="0.25">
      <c r="B13416" s="55" t="s">
        <v>281</v>
      </c>
      <c r="C13416" s="46">
        <v>3404</v>
      </c>
      <c r="D13416" s="69" t="s">
        <v>29418</v>
      </c>
      <c r="E13416" s="51"/>
      <c r="F13416" s="114" t="str">
        <f>IF(INDEX(I.Facility.P2bIDNumber,3404)="","",INDEX(I.Facility.P2bIDNumber,3404))</f>
        <v/>
      </c>
      <c r="G13416" s="51"/>
      <c r="H13416" s="46" t="str">
        <f>IF(AND(I.Developer.P2b=TRUE,I.Facility.P2bFacilityCount&gt;=3404,F13416=""),"Incomplete","Complete")</f>
        <v>Complete</v>
      </c>
      <c r="I13416" s="48" t="s">
        <v>17781</v>
      </c>
    </row>
    <row r="13417" spans="2:9" ht="15" customHeight="1" x14ac:dyDescent="0.25">
      <c r="B13417" s="55" t="s">
        <v>281</v>
      </c>
      <c r="C13417" s="46">
        <v>3405</v>
      </c>
      <c r="D13417" s="69" t="s">
        <v>29418</v>
      </c>
      <c r="E13417" s="51"/>
      <c r="F13417" s="114" t="str">
        <f>IF(INDEX(I.Facility.P2bIDNumber,3405)="","",INDEX(I.Facility.P2bIDNumber,3405))</f>
        <v/>
      </c>
      <c r="G13417" s="51"/>
      <c r="H13417" s="46" t="str">
        <f>IF(AND(I.Developer.P2b=TRUE,I.Facility.P2bFacilityCount&gt;=3405,F13417=""),"Incomplete","Complete")</f>
        <v>Complete</v>
      </c>
      <c r="I13417" s="48" t="s">
        <v>17782</v>
      </c>
    </row>
    <row r="13418" spans="2:9" ht="15" customHeight="1" x14ac:dyDescent="0.25">
      <c r="B13418" s="55" t="s">
        <v>281</v>
      </c>
      <c r="C13418" s="46">
        <v>3406</v>
      </c>
      <c r="D13418" s="69" t="s">
        <v>29418</v>
      </c>
      <c r="E13418" s="51"/>
      <c r="F13418" s="114" t="str">
        <f>IF(INDEX(I.Facility.P2bIDNumber,3406)="","",INDEX(I.Facility.P2bIDNumber,3406))</f>
        <v/>
      </c>
      <c r="G13418" s="51"/>
      <c r="H13418" s="46" t="str">
        <f>IF(AND(I.Developer.P2b=TRUE,I.Facility.P2bFacilityCount&gt;=3406,F13418=""),"Incomplete","Complete")</f>
        <v>Complete</v>
      </c>
      <c r="I13418" s="48" t="s">
        <v>17783</v>
      </c>
    </row>
    <row r="13419" spans="2:9" ht="15" customHeight="1" x14ac:dyDescent="0.25">
      <c r="B13419" s="55" t="s">
        <v>281</v>
      </c>
      <c r="C13419" s="46">
        <v>3407</v>
      </c>
      <c r="D13419" s="69" t="s">
        <v>29418</v>
      </c>
      <c r="E13419" s="51"/>
      <c r="F13419" s="114" t="str">
        <f>IF(INDEX(I.Facility.P2bIDNumber,3407)="","",INDEX(I.Facility.P2bIDNumber,3407))</f>
        <v/>
      </c>
      <c r="G13419" s="51"/>
      <c r="H13419" s="46" t="str">
        <f>IF(AND(I.Developer.P2b=TRUE,I.Facility.P2bFacilityCount&gt;=3407,F13419=""),"Incomplete","Complete")</f>
        <v>Complete</v>
      </c>
      <c r="I13419" s="48" t="s">
        <v>17784</v>
      </c>
    </row>
    <row r="13420" spans="2:9" ht="15" customHeight="1" x14ac:dyDescent="0.25">
      <c r="B13420" s="55" t="s">
        <v>281</v>
      </c>
      <c r="C13420" s="46">
        <v>3408</v>
      </c>
      <c r="D13420" s="69" t="s">
        <v>29418</v>
      </c>
      <c r="E13420" s="51"/>
      <c r="F13420" s="114" t="str">
        <f>IF(INDEX(I.Facility.P2bIDNumber,3408)="","",INDEX(I.Facility.P2bIDNumber,3408))</f>
        <v/>
      </c>
      <c r="G13420" s="51"/>
      <c r="H13420" s="46" t="str">
        <f>IF(AND(I.Developer.P2b=TRUE,I.Facility.P2bFacilityCount&gt;=3408,F13420=""),"Incomplete","Complete")</f>
        <v>Complete</v>
      </c>
      <c r="I13420" s="48" t="s">
        <v>17785</v>
      </c>
    </row>
    <row r="13421" spans="2:9" ht="15" customHeight="1" x14ac:dyDescent="0.25">
      <c r="B13421" s="55" t="s">
        <v>281</v>
      </c>
      <c r="C13421" s="46">
        <v>3409</v>
      </c>
      <c r="D13421" s="69" t="s">
        <v>29418</v>
      </c>
      <c r="E13421" s="51"/>
      <c r="F13421" s="114" t="str">
        <f>IF(INDEX(I.Facility.P2bIDNumber,3409)="","",INDEX(I.Facility.P2bIDNumber,3409))</f>
        <v/>
      </c>
      <c r="G13421" s="51"/>
      <c r="H13421" s="46" t="str">
        <f>IF(AND(I.Developer.P2b=TRUE,I.Facility.P2bFacilityCount&gt;=3409,F13421=""),"Incomplete","Complete")</f>
        <v>Complete</v>
      </c>
      <c r="I13421" s="48" t="s">
        <v>17786</v>
      </c>
    </row>
    <row r="13422" spans="2:9" ht="15" customHeight="1" x14ac:dyDescent="0.25">
      <c r="B13422" s="55" t="s">
        <v>281</v>
      </c>
      <c r="C13422" s="46">
        <v>3410</v>
      </c>
      <c r="D13422" s="69" t="s">
        <v>29418</v>
      </c>
      <c r="E13422" s="51"/>
      <c r="F13422" s="114" t="str">
        <f>IF(INDEX(I.Facility.P2bIDNumber,3410)="","",INDEX(I.Facility.P2bIDNumber,3410))</f>
        <v/>
      </c>
      <c r="G13422" s="51"/>
      <c r="H13422" s="46" t="str">
        <f>IF(AND(I.Developer.P2b=TRUE,I.Facility.P2bFacilityCount&gt;=3410,F13422=""),"Incomplete","Complete")</f>
        <v>Complete</v>
      </c>
      <c r="I13422" s="48" t="s">
        <v>17787</v>
      </c>
    </row>
    <row r="13423" spans="2:9" ht="15" customHeight="1" x14ac:dyDescent="0.25">
      <c r="B13423" s="55" t="s">
        <v>281</v>
      </c>
      <c r="C13423" s="46">
        <v>3411</v>
      </c>
      <c r="D13423" s="69" t="s">
        <v>29418</v>
      </c>
      <c r="E13423" s="51"/>
      <c r="F13423" s="114" t="str">
        <f>IF(INDEX(I.Facility.P2bIDNumber,3411)="","",INDEX(I.Facility.P2bIDNumber,3411))</f>
        <v/>
      </c>
      <c r="G13423" s="51"/>
      <c r="H13423" s="46" t="str">
        <f>IF(AND(I.Developer.P2b=TRUE,I.Facility.P2bFacilityCount&gt;=3411,F13423=""),"Incomplete","Complete")</f>
        <v>Complete</v>
      </c>
      <c r="I13423" s="48" t="s">
        <v>17788</v>
      </c>
    </row>
    <row r="13424" spans="2:9" ht="15" customHeight="1" x14ac:dyDescent="0.25">
      <c r="B13424" s="55" t="s">
        <v>281</v>
      </c>
      <c r="C13424" s="46">
        <v>3412</v>
      </c>
      <c r="D13424" s="69" t="s">
        <v>29418</v>
      </c>
      <c r="E13424" s="51"/>
      <c r="F13424" s="114" t="str">
        <f>IF(INDEX(I.Facility.P2bIDNumber,3412)="","",INDEX(I.Facility.P2bIDNumber,3412))</f>
        <v/>
      </c>
      <c r="G13424" s="51"/>
      <c r="H13424" s="46" t="str">
        <f>IF(AND(I.Developer.P2b=TRUE,I.Facility.P2bFacilityCount&gt;=3412,F13424=""),"Incomplete","Complete")</f>
        <v>Complete</v>
      </c>
      <c r="I13424" s="48" t="s">
        <v>17789</v>
      </c>
    </row>
    <row r="13425" spans="2:9" ht="15" customHeight="1" x14ac:dyDescent="0.25">
      <c r="B13425" s="55" t="s">
        <v>281</v>
      </c>
      <c r="C13425" s="46">
        <v>3413</v>
      </c>
      <c r="D13425" s="69" t="s">
        <v>29418</v>
      </c>
      <c r="E13425" s="51"/>
      <c r="F13425" s="114" t="str">
        <f>IF(INDEX(I.Facility.P2bIDNumber,3413)="","",INDEX(I.Facility.P2bIDNumber,3413))</f>
        <v/>
      </c>
      <c r="G13425" s="51"/>
      <c r="H13425" s="46" t="str">
        <f>IF(AND(I.Developer.P2b=TRUE,I.Facility.P2bFacilityCount&gt;=3413,F13425=""),"Incomplete","Complete")</f>
        <v>Complete</v>
      </c>
      <c r="I13425" s="48" t="s">
        <v>17790</v>
      </c>
    </row>
    <row r="13426" spans="2:9" ht="15" customHeight="1" x14ac:dyDescent="0.25">
      <c r="B13426" s="55" t="s">
        <v>281</v>
      </c>
      <c r="C13426" s="46">
        <v>3414</v>
      </c>
      <c r="D13426" s="69" t="s">
        <v>29418</v>
      </c>
      <c r="E13426" s="51"/>
      <c r="F13426" s="114" t="str">
        <f>IF(INDEX(I.Facility.P2bIDNumber,3414)="","",INDEX(I.Facility.P2bIDNumber,3414))</f>
        <v/>
      </c>
      <c r="G13426" s="51"/>
      <c r="H13426" s="46" t="str">
        <f>IF(AND(I.Developer.P2b=TRUE,I.Facility.P2bFacilityCount&gt;=3414,F13426=""),"Incomplete","Complete")</f>
        <v>Complete</v>
      </c>
      <c r="I13426" s="48" t="s">
        <v>17791</v>
      </c>
    </row>
    <row r="13427" spans="2:9" ht="15" customHeight="1" x14ac:dyDescent="0.25">
      <c r="B13427" s="55" t="s">
        <v>281</v>
      </c>
      <c r="C13427" s="46">
        <v>3415</v>
      </c>
      <c r="D13427" s="69" t="s">
        <v>29418</v>
      </c>
      <c r="E13427" s="51"/>
      <c r="F13427" s="114" t="str">
        <f>IF(INDEX(I.Facility.P2bIDNumber,3415)="","",INDEX(I.Facility.P2bIDNumber,3415))</f>
        <v/>
      </c>
      <c r="G13427" s="51"/>
      <c r="H13427" s="46" t="str">
        <f>IF(AND(I.Developer.P2b=TRUE,I.Facility.P2bFacilityCount&gt;=3415,F13427=""),"Incomplete","Complete")</f>
        <v>Complete</v>
      </c>
      <c r="I13427" s="48" t="s">
        <v>17792</v>
      </c>
    </row>
    <row r="13428" spans="2:9" ht="15" customHeight="1" x14ac:dyDescent="0.25">
      <c r="B13428" s="55" t="s">
        <v>281</v>
      </c>
      <c r="C13428" s="46">
        <v>3416</v>
      </c>
      <c r="D13428" s="69" t="s">
        <v>29418</v>
      </c>
      <c r="E13428" s="51"/>
      <c r="F13428" s="114" t="str">
        <f>IF(INDEX(I.Facility.P2bIDNumber,3416)="","",INDEX(I.Facility.P2bIDNumber,3416))</f>
        <v/>
      </c>
      <c r="G13428" s="51"/>
      <c r="H13428" s="46" t="str">
        <f>IF(AND(I.Developer.P2b=TRUE,I.Facility.P2bFacilityCount&gt;=3416,F13428=""),"Incomplete","Complete")</f>
        <v>Complete</v>
      </c>
      <c r="I13428" s="48" t="s">
        <v>17793</v>
      </c>
    </row>
    <row r="13429" spans="2:9" ht="15" customHeight="1" x14ac:dyDescent="0.25">
      <c r="B13429" s="55" t="s">
        <v>281</v>
      </c>
      <c r="C13429" s="46">
        <v>3417</v>
      </c>
      <c r="D13429" s="69" t="s">
        <v>29418</v>
      </c>
      <c r="E13429" s="51"/>
      <c r="F13429" s="114" t="str">
        <f>IF(INDEX(I.Facility.P2bIDNumber,3417)="","",INDEX(I.Facility.P2bIDNumber,3417))</f>
        <v/>
      </c>
      <c r="G13429" s="51"/>
      <c r="H13429" s="46" t="str">
        <f>IF(AND(I.Developer.P2b=TRUE,I.Facility.P2bFacilityCount&gt;=3417,F13429=""),"Incomplete","Complete")</f>
        <v>Complete</v>
      </c>
      <c r="I13429" s="48" t="s">
        <v>17794</v>
      </c>
    </row>
    <row r="13430" spans="2:9" ht="15" customHeight="1" x14ac:dyDescent="0.25">
      <c r="B13430" s="55" t="s">
        <v>281</v>
      </c>
      <c r="C13430" s="46">
        <v>3418</v>
      </c>
      <c r="D13430" s="69" t="s">
        <v>29418</v>
      </c>
      <c r="E13430" s="51"/>
      <c r="F13430" s="114" t="str">
        <f>IF(INDEX(I.Facility.P2bIDNumber,3418)="","",INDEX(I.Facility.P2bIDNumber,3418))</f>
        <v/>
      </c>
      <c r="G13430" s="51"/>
      <c r="H13430" s="46" t="str">
        <f>IF(AND(I.Developer.P2b=TRUE,I.Facility.P2bFacilityCount&gt;=3418,F13430=""),"Incomplete","Complete")</f>
        <v>Complete</v>
      </c>
      <c r="I13430" s="48" t="s">
        <v>17795</v>
      </c>
    </row>
    <row r="13431" spans="2:9" ht="15" customHeight="1" x14ac:dyDescent="0.25">
      <c r="B13431" s="55" t="s">
        <v>281</v>
      </c>
      <c r="C13431" s="46">
        <v>3419</v>
      </c>
      <c r="D13431" s="69" t="s">
        <v>29418</v>
      </c>
      <c r="E13431" s="51"/>
      <c r="F13431" s="114" t="str">
        <f>IF(INDEX(I.Facility.P2bIDNumber,3419)="","",INDEX(I.Facility.P2bIDNumber,3419))</f>
        <v/>
      </c>
      <c r="G13431" s="51"/>
      <c r="H13431" s="46" t="str">
        <f>IF(AND(I.Developer.P2b=TRUE,I.Facility.P2bFacilityCount&gt;=3419,F13431=""),"Incomplete","Complete")</f>
        <v>Complete</v>
      </c>
      <c r="I13431" s="48" t="s">
        <v>17796</v>
      </c>
    </row>
    <row r="13432" spans="2:9" ht="15" customHeight="1" x14ac:dyDescent="0.25">
      <c r="B13432" s="55" t="s">
        <v>281</v>
      </c>
      <c r="C13432" s="46">
        <v>3420</v>
      </c>
      <c r="D13432" s="69" t="s">
        <v>29418</v>
      </c>
      <c r="E13432" s="51"/>
      <c r="F13432" s="114" t="str">
        <f>IF(INDEX(I.Facility.P2bIDNumber,3420)="","",INDEX(I.Facility.P2bIDNumber,3420))</f>
        <v/>
      </c>
      <c r="G13432" s="51"/>
      <c r="H13432" s="46" t="str">
        <f>IF(AND(I.Developer.P2b=TRUE,I.Facility.P2bFacilityCount&gt;=3420,F13432=""),"Incomplete","Complete")</f>
        <v>Complete</v>
      </c>
      <c r="I13432" s="48" t="s">
        <v>17797</v>
      </c>
    </row>
    <row r="13433" spans="2:9" ht="15" customHeight="1" x14ac:dyDescent="0.25">
      <c r="B13433" s="55" t="s">
        <v>281</v>
      </c>
      <c r="C13433" s="46">
        <v>3421</v>
      </c>
      <c r="D13433" s="69" t="s">
        <v>29418</v>
      </c>
      <c r="E13433" s="51"/>
      <c r="F13433" s="114" t="str">
        <f>IF(INDEX(I.Facility.P2bIDNumber,3421)="","",INDEX(I.Facility.P2bIDNumber,3421))</f>
        <v/>
      </c>
      <c r="G13433" s="51"/>
      <c r="H13433" s="46" t="str">
        <f>IF(AND(I.Developer.P2b=TRUE,I.Facility.P2bFacilityCount&gt;=3421,F13433=""),"Incomplete","Complete")</f>
        <v>Complete</v>
      </c>
      <c r="I13433" s="48" t="s">
        <v>17798</v>
      </c>
    </row>
    <row r="13434" spans="2:9" ht="15" customHeight="1" x14ac:dyDescent="0.25">
      <c r="B13434" s="55" t="s">
        <v>281</v>
      </c>
      <c r="C13434" s="46">
        <v>3422</v>
      </c>
      <c r="D13434" s="69" t="s">
        <v>29418</v>
      </c>
      <c r="E13434" s="51"/>
      <c r="F13434" s="114" t="str">
        <f>IF(INDEX(I.Facility.P2bIDNumber,3422)="","",INDEX(I.Facility.P2bIDNumber,3422))</f>
        <v/>
      </c>
      <c r="G13434" s="51"/>
      <c r="H13434" s="46" t="str">
        <f>IF(AND(I.Developer.P2b=TRUE,I.Facility.P2bFacilityCount&gt;=3422,F13434=""),"Incomplete","Complete")</f>
        <v>Complete</v>
      </c>
      <c r="I13434" s="48" t="s">
        <v>17799</v>
      </c>
    </row>
    <row r="13435" spans="2:9" ht="15" customHeight="1" x14ac:dyDescent="0.25">
      <c r="B13435" s="55" t="s">
        <v>281</v>
      </c>
      <c r="C13435" s="46">
        <v>3423</v>
      </c>
      <c r="D13435" s="69" t="s">
        <v>29418</v>
      </c>
      <c r="E13435" s="51"/>
      <c r="F13435" s="114" t="str">
        <f>IF(INDEX(I.Facility.P2bIDNumber,3423)="","",INDEX(I.Facility.P2bIDNumber,3423))</f>
        <v/>
      </c>
      <c r="G13435" s="51"/>
      <c r="H13435" s="46" t="str">
        <f>IF(AND(I.Developer.P2b=TRUE,I.Facility.P2bFacilityCount&gt;=3423,F13435=""),"Incomplete","Complete")</f>
        <v>Complete</v>
      </c>
      <c r="I13435" s="48" t="s">
        <v>17800</v>
      </c>
    </row>
    <row r="13436" spans="2:9" ht="15" customHeight="1" x14ac:dyDescent="0.25">
      <c r="B13436" s="55" t="s">
        <v>281</v>
      </c>
      <c r="C13436" s="46">
        <v>3424</v>
      </c>
      <c r="D13436" s="69" t="s">
        <v>29418</v>
      </c>
      <c r="E13436" s="51"/>
      <c r="F13436" s="114" t="str">
        <f>IF(INDEX(I.Facility.P2bIDNumber,3424)="","",INDEX(I.Facility.P2bIDNumber,3424))</f>
        <v/>
      </c>
      <c r="G13436" s="51"/>
      <c r="H13436" s="46" t="str">
        <f>IF(AND(I.Developer.P2b=TRUE,I.Facility.P2bFacilityCount&gt;=3424,F13436=""),"Incomplete","Complete")</f>
        <v>Complete</v>
      </c>
      <c r="I13436" s="48" t="s">
        <v>17801</v>
      </c>
    </row>
    <row r="13437" spans="2:9" ht="15" customHeight="1" x14ac:dyDescent="0.25">
      <c r="B13437" s="55" t="s">
        <v>281</v>
      </c>
      <c r="C13437" s="46">
        <v>3425</v>
      </c>
      <c r="D13437" s="69" t="s">
        <v>29418</v>
      </c>
      <c r="E13437" s="51"/>
      <c r="F13437" s="114" t="str">
        <f>IF(INDEX(I.Facility.P2bIDNumber,3425)="","",INDEX(I.Facility.P2bIDNumber,3425))</f>
        <v/>
      </c>
      <c r="G13437" s="51"/>
      <c r="H13437" s="46" t="str">
        <f>IF(AND(I.Developer.P2b=TRUE,I.Facility.P2bFacilityCount&gt;=3425,F13437=""),"Incomplete","Complete")</f>
        <v>Complete</v>
      </c>
      <c r="I13437" s="48" t="s">
        <v>17802</v>
      </c>
    </row>
    <row r="13438" spans="2:9" ht="15" customHeight="1" x14ac:dyDescent="0.25">
      <c r="B13438" s="55" t="s">
        <v>281</v>
      </c>
      <c r="C13438" s="46">
        <v>3426</v>
      </c>
      <c r="D13438" s="69" t="s">
        <v>29418</v>
      </c>
      <c r="E13438" s="51"/>
      <c r="F13438" s="114" t="str">
        <f>IF(INDEX(I.Facility.P2bIDNumber,3426)="","",INDEX(I.Facility.P2bIDNumber,3426))</f>
        <v/>
      </c>
      <c r="G13438" s="51"/>
      <c r="H13438" s="46" t="str">
        <f>IF(AND(I.Developer.P2b=TRUE,I.Facility.P2bFacilityCount&gt;=3426,F13438=""),"Incomplete","Complete")</f>
        <v>Complete</v>
      </c>
      <c r="I13438" s="48" t="s">
        <v>17803</v>
      </c>
    </row>
    <row r="13439" spans="2:9" ht="15" customHeight="1" x14ac:dyDescent="0.25">
      <c r="B13439" s="55" t="s">
        <v>281</v>
      </c>
      <c r="C13439" s="46">
        <v>3427</v>
      </c>
      <c r="D13439" s="69" t="s">
        <v>29418</v>
      </c>
      <c r="E13439" s="51"/>
      <c r="F13439" s="114" t="str">
        <f>IF(INDEX(I.Facility.P2bIDNumber,3427)="","",INDEX(I.Facility.P2bIDNumber,3427))</f>
        <v/>
      </c>
      <c r="G13439" s="51"/>
      <c r="H13439" s="46" t="str">
        <f>IF(AND(I.Developer.P2b=TRUE,I.Facility.P2bFacilityCount&gt;=3427,F13439=""),"Incomplete","Complete")</f>
        <v>Complete</v>
      </c>
      <c r="I13439" s="48" t="s">
        <v>17804</v>
      </c>
    </row>
    <row r="13440" spans="2:9" ht="15" customHeight="1" x14ac:dyDescent="0.25">
      <c r="B13440" s="55" t="s">
        <v>281</v>
      </c>
      <c r="C13440" s="46">
        <v>3428</v>
      </c>
      <c r="D13440" s="69" t="s">
        <v>29418</v>
      </c>
      <c r="E13440" s="51"/>
      <c r="F13440" s="114" t="str">
        <f>IF(INDEX(I.Facility.P2bIDNumber,3428)="","",INDEX(I.Facility.P2bIDNumber,3428))</f>
        <v/>
      </c>
      <c r="G13440" s="51"/>
      <c r="H13440" s="46" t="str">
        <f>IF(AND(I.Developer.P2b=TRUE,I.Facility.P2bFacilityCount&gt;=3428,F13440=""),"Incomplete","Complete")</f>
        <v>Complete</v>
      </c>
      <c r="I13440" s="48" t="s">
        <v>17805</v>
      </c>
    </row>
    <row r="13441" spans="2:9" ht="15" customHeight="1" x14ac:dyDescent="0.25">
      <c r="B13441" s="55" t="s">
        <v>281</v>
      </c>
      <c r="C13441" s="46">
        <v>3429</v>
      </c>
      <c r="D13441" s="69" t="s">
        <v>29418</v>
      </c>
      <c r="E13441" s="51"/>
      <c r="F13441" s="114" t="str">
        <f>IF(INDEX(I.Facility.P2bIDNumber,3429)="","",INDEX(I.Facility.P2bIDNumber,3429))</f>
        <v/>
      </c>
      <c r="G13441" s="51"/>
      <c r="H13441" s="46" t="str">
        <f>IF(AND(I.Developer.P2b=TRUE,I.Facility.P2bFacilityCount&gt;=3429,F13441=""),"Incomplete","Complete")</f>
        <v>Complete</v>
      </c>
      <c r="I13441" s="48" t="s">
        <v>17806</v>
      </c>
    </row>
    <row r="13442" spans="2:9" ht="15" customHeight="1" x14ac:dyDescent="0.25">
      <c r="B13442" s="55" t="s">
        <v>281</v>
      </c>
      <c r="C13442" s="46">
        <v>3430</v>
      </c>
      <c r="D13442" s="69" t="s">
        <v>29418</v>
      </c>
      <c r="E13442" s="51"/>
      <c r="F13442" s="114" t="str">
        <f>IF(INDEX(I.Facility.P2bIDNumber,3430)="","",INDEX(I.Facility.P2bIDNumber,3430))</f>
        <v/>
      </c>
      <c r="G13442" s="51"/>
      <c r="H13442" s="46" t="str">
        <f>IF(AND(I.Developer.P2b=TRUE,I.Facility.P2bFacilityCount&gt;=3430,F13442=""),"Incomplete","Complete")</f>
        <v>Complete</v>
      </c>
      <c r="I13442" s="48" t="s">
        <v>17807</v>
      </c>
    </row>
    <row r="13443" spans="2:9" ht="15" customHeight="1" x14ac:dyDescent="0.25">
      <c r="B13443" s="55" t="s">
        <v>281</v>
      </c>
      <c r="C13443" s="46">
        <v>3431</v>
      </c>
      <c r="D13443" s="69" t="s">
        <v>29418</v>
      </c>
      <c r="E13443" s="51"/>
      <c r="F13443" s="114" t="str">
        <f>IF(INDEX(I.Facility.P2bIDNumber,3431)="","",INDEX(I.Facility.P2bIDNumber,3431))</f>
        <v/>
      </c>
      <c r="G13443" s="51"/>
      <c r="H13443" s="46" t="str">
        <f>IF(AND(I.Developer.P2b=TRUE,I.Facility.P2bFacilityCount&gt;=3431,F13443=""),"Incomplete","Complete")</f>
        <v>Complete</v>
      </c>
      <c r="I13443" s="48" t="s">
        <v>17808</v>
      </c>
    </row>
    <row r="13444" spans="2:9" ht="15" customHeight="1" x14ac:dyDescent="0.25">
      <c r="B13444" s="55" t="s">
        <v>281</v>
      </c>
      <c r="C13444" s="46">
        <v>3432</v>
      </c>
      <c r="D13444" s="69" t="s">
        <v>29418</v>
      </c>
      <c r="E13444" s="51"/>
      <c r="F13444" s="114" t="str">
        <f>IF(INDEX(I.Facility.P2bIDNumber,3432)="","",INDEX(I.Facility.P2bIDNumber,3432))</f>
        <v/>
      </c>
      <c r="G13444" s="51"/>
      <c r="H13444" s="46" t="str">
        <f>IF(AND(I.Developer.P2b=TRUE,I.Facility.P2bFacilityCount&gt;=3432,F13444=""),"Incomplete","Complete")</f>
        <v>Complete</v>
      </c>
      <c r="I13444" s="48" t="s">
        <v>17809</v>
      </c>
    </row>
    <row r="13445" spans="2:9" ht="15" customHeight="1" x14ac:dyDescent="0.25">
      <c r="B13445" s="55" t="s">
        <v>281</v>
      </c>
      <c r="C13445" s="46">
        <v>3433</v>
      </c>
      <c r="D13445" s="69" t="s">
        <v>29418</v>
      </c>
      <c r="E13445" s="51"/>
      <c r="F13445" s="114" t="str">
        <f>IF(INDEX(I.Facility.P2bIDNumber,3433)="","",INDEX(I.Facility.P2bIDNumber,3433))</f>
        <v/>
      </c>
      <c r="G13445" s="51"/>
      <c r="H13445" s="46" t="str">
        <f>IF(AND(I.Developer.P2b=TRUE,I.Facility.P2bFacilityCount&gt;=3433,F13445=""),"Incomplete","Complete")</f>
        <v>Complete</v>
      </c>
      <c r="I13445" s="48" t="s">
        <v>17810</v>
      </c>
    </row>
    <row r="13446" spans="2:9" ht="15" customHeight="1" x14ac:dyDescent="0.25">
      <c r="B13446" s="55" t="s">
        <v>281</v>
      </c>
      <c r="C13446" s="46">
        <v>3434</v>
      </c>
      <c r="D13446" s="69" t="s">
        <v>29418</v>
      </c>
      <c r="E13446" s="51"/>
      <c r="F13446" s="114" t="str">
        <f>IF(INDEX(I.Facility.P2bIDNumber,3434)="","",INDEX(I.Facility.P2bIDNumber,3434))</f>
        <v/>
      </c>
      <c r="G13446" s="51"/>
      <c r="H13446" s="46" t="str">
        <f>IF(AND(I.Developer.P2b=TRUE,I.Facility.P2bFacilityCount&gt;=3434,F13446=""),"Incomplete","Complete")</f>
        <v>Complete</v>
      </c>
      <c r="I13446" s="48" t="s">
        <v>17811</v>
      </c>
    </row>
    <row r="13447" spans="2:9" ht="15" customHeight="1" x14ac:dyDescent="0.25">
      <c r="B13447" s="55" t="s">
        <v>281</v>
      </c>
      <c r="C13447" s="46">
        <v>3435</v>
      </c>
      <c r="D13447" s="69" t="s">
        <v>29418</v>
      </c>
      <c r="E13447" s="51"/>
      <c r="F13447" s="114" t="str">
        <f>IF(INDEX(I.Facility.P2bIDNumber,3435)="","",INDEX(I.Facility.P2bIDNumber,3435))</f>
        <v/>
      </c>
      <c r="G13447" s="51"/>
      <c r="H13447" s="46" t="str">
        <f>IF(AND(I.Developer.P2b=TRUE,I.Facility.P2bFacilityCount&gt;=3435,F13447=""),"Incomplete","Complete")</f>
        <v>Complete</v>
      </c>
      <c r="I13447" s="48" t="s">
        <v>17812</v>
      </c>
    </row>
    <row r="13448" spans="2:9" ht="15" customHeight="1" x14ac:dyDescent="0.25">
      <c r="B13448" s="55" t="s">
        <v>281</v>
      </c>
      <c r="C13448" s="46">
        <v>3436</v>
      </c>
      <c r="D13448" s="69" t="s">
        <v>29418</v>
      </c>
      <c r="E13448" s="51"/>
      <c r="F13448" s="114" t="str">
        <f>IF(INDEX(I.Facility.P2bIDNumber,3436)="","",INDEX(I.Facility.P2bIDNumber,3436))</f>
        <v/>
      </c>
      <c r="G13448" s="51"/>
      <c r="H13448" s="46" t="str">
        <f>IF(AND(I.Developer.P2b=TRUE,I.Facility.P2bFacilityCount&gt;=3436,F13448=""),"Incomplete","Complete")</f>
        <v>Complete</v>
      </c>
      <c r="I13448" s="48" t="s">
        <v>17813</v>
      </c>
    </row>
    <row r="13449" spans="2:9" ht="15" customHeight="1" x14ac:dyDescent="0.25">
      <c r="B13449" s="55" t="s">
        <v>281</v>
      </c>
      <c r="C13449" s="46">
        <v>3437</v>
      </c>
      <c r="D13449" s="69" t="s">
        <v>29418</v>
      </c>
      <c r="E13449" s="51"/>
      <c r="F13449" s="114" t="str">
        <f>IF(INDEX(I.Facility.P2bIDNumber,3437)="","",INDEX(I.Facility.P2bIDNumber,3437))</f>
        <v/>
      </c>
      <c r="G13449" s="51"/>
      <c r="H13449" s="46" t="str">
        <f>IF(AND(I.Developer.P2b=TRUE,I.Facility.P2bFacilityCount&gt;=3437,F13449=""),"Incomplete","Complete")</f>
        <v>Complete</v>
      </c>
      <c r="I13449" s="48" t="s">
        <v>17814</v>
      </c>
    </row>
    <row r="13450" spans="2:9" ht="15" customHeight="1" x14ac:dyDescent="0.25">
      <c r="B13450" s="55" t="s">
        <v>281</v>
      </c>
      <c r="C13450" s="46">
        <v>3438</v>
      </c>
      <c r="D13450" s="69" t="s">
        <v>29418</v>
      </c>
      <c r="E13450" s="51"/>
      <c r="F13450" s="114" t="str">
        <f>IF(INDEX(I.Facility.P2bIDNumber,3438)="","",INDEX(I.Facility.P2bIDNumber,3438))</f>
        <v/>
      </c>
      <c r="G13450" s="51"/>
      <c r="H13450" s="46" t="str">
        <f>IF(AND(I.Developer.P2b=TRUE,I.Facility.P2bFacilityCount&gt;=3438,F13450=""),"Incomplete","Complete")</f>
        <v>Complete</v>
      </c>
      <c r="I13450" s="48" t="s">
        <v>17815</v>
      </c>
    </row>
    <row r="13451" spans="2:9" ht="15" customHeight="1" x14ac:dyDescent="0.25">
      <c r="B13451" s="55" t="s">
        <v>281</v>
      </c>
      <c r="C13451" s="46">
        <v>3439</v>
      </c>
      <c r="D13451" s="69" t="s">
        <v>29418</v>
      </c>
      <c r="E13451" s="51"/>
      <c r="F13451" s="114" t="str">
        <f>IF(INDEX(I.Facility.P2bIDNumber,3439)="","",INDEX(I.Facility.P2bIDNumber,3439))</f>
        <v/>
      </c>
      <c r="G13451" s="51"/>
      <c r="H13451" s="46" t="str">
        <f>IF(AND(I.Developer.P2b=TRUE,I.Facility.P2bFacilityCount&gt;=3439,F13451=""),"Incomplete","Complete")</f>
        <v>Complete</v>
      </c>
      <c r="I13451" s="48" t="s">
        <v>17816</v>
      </c>
    </row>
    <row r="13452" spans="2:9" ht="15" customHeight="1" x14ac:dyDescent="0.25">
      <c r="B13452" s="55" t="s">
        <v>281</v>
      </c>
      <c r="C13452" s="46">
        <v>3440</v>
      </c>
      <c r="D13452" s="69" t="s">
        <v>29418</v>
      </c>
      <c r="E13452" s="51"/>
      <c r="F13452" s="114" t="str">
        <f>IF(INDEX(I.Facility.P2bIDNumber,3440)="","",INDEX(I.Facility.P2bIDNumber,3440))</f>
        <v/>
      </c>
      <c r="G13452" s="51"/>
      <c r="H13452" s="46" t="str">
        <f>IF(AND(I.Developer.P2b=TRUE,I.Facility.P2bFacilityCount&gt;=3440,F13452=""),"Incomplete","Complete")</f>
        <v>Complete</v>
      </c>
      <c r="I13452" s="48" t="s">
        <v>17817</v>
      </c>
    </row>
    <row r="13453" spans="2:9" ht="15" customHeight="1" x14ac:dyDescent="0.25">
      <c r="B13453" s="55" t="s">
        <v>281</v>
      </c>
      <c r="C13453" s="46">
        <v>3441</v>
      </c>
      <c r="D13453" s="69" t="s">
        <v>29418</v>
      </c>
      <c r="E13453" s="51"/>
      <c r="F13453" s="114" t="str">
        <f>IF(INDEX(I.Facility.P2bIDNumber,3441)="","",INDEX(I.Facility.P2bIDNumber,3441))</f>
        <v/>
      </c>
      <c r="G13453" s="51"/>
      <c r="H13453" s="46" t="str">
        <f>IF(AND(I.Developer.P2b=TRUE,I.Facility.P2bFacilityCount&gt;=3441,F13453=""),"Incomplete","Complete")</f>
        <v>Complete</v>
      </c>
      <c r="I13453" s="48" t="s">
        <v>17818</v>
      </c>
    </row>
    <row r="13454" spans="2:9" ht="15" customHeight="1" x14ac:dyDescent="0.25">
      <c r="B13454" s="55" t="s">
        <v>281</v>
      </c>
      <c r="C13454" s="46">
        <v>3442</v>
      </c>
      <c r="D13454" s="69" t="s">
        <v>29418</v>
      </c>
      <c r="E13454" s="51"/>
      <c r="F13454" s="114" t="str">
        <f>IF(INDEX(I.Facility.P2bIDNumber,3442)="","",INDEX(I.Facility.P2bIDNumber,3442))</f>
        <v/>
      </c>
      <c r="G13454" s="51"/>
      <c r="H13454" s="46" t="str">
        <f>IF(AND(I.Developer.P2b=TRUE,I.Facility.P2bFacilityCount&gt;=3442,F13454=""),"Incomplete","Complete")</f>
        <v>Complete</v>
      </c>
      <c r="I13454" s="48" t="s">
        <v>17819</v>
      </c>
    </row>
    <row r="13455" spans="2:9" ht="15" customHeight="1" x14ac:dyDescent="0.25">
      <c r="B13455" s="55" t="s">
        <v>281</v>
      </c>
      <c r="C13455" s="46">
        <v>3443</v>
      </c>
      <c r="D13455" s="69" t="s">
        <v>29418</v>
      </c>
      <c r="E13455" s="51"/>
      <c r="F13455" s="114" t="str">
        <f>IF(INDEX(I.Facility.P2bIDNumber,3443)="","",INDEX(I.Facility.P2bIDNumber,3443))</f>
        <v/>
      </c>
      <c r="G13455" s="51"/>
      <c r="H13455" s="46" t="str">
        <f>IF(AND(I.Developer.P2b=TRUE,I.Facility.P2bFacilityCount&gt;=3443,F13455=""),"Incomplete","Complete")</f>
        <v>Complete</v>
      </c>
      <c r="I13455" s="48" t="s">
        <v>17820</v>
      </c>
    </row>
    <row r="13456" spans="2:9" ht="15" customHeight="1" x14ac:dyDescent="0.25">
      <c r="B13456" s="55" t="s">
        <v>281</v>
      </c>
      <c r="C13456" s="46">
        <v>3444</v>
      </c>
      <c r="D13456" s="69" t="s">
        <v>29418</v>
      </c>
      <c r="E13456" s="51"/>
      <c r="F13456" s="114" t="str">
        <f>IF(INDEX(I.Facility.P2bIDNumber,3444)="","",INDEX(I.Facility.P2bIDNumber,3444))</f>
        <v/>
      </c>
      <c r="G13456" s="51"/>
      <c r="H13456" s="46" t="str">
        <f>IF(AND(I.Developer.P2b=TRUE,I.Facility.P2bFacilityCount&gt;=3444,F13456=""),"Incomplete","Complete")</f>
        <v>Complete</v>
      </c>
      <c r="I13456" s="48" t="s">
        <v>17821</v>
      </c>
    </row>
    <row r="13457" spans="2:9" ht="15" customHeight="1" x14ac:dyDescent="0.25">
      <c r="B13457" s="55" t="s">
        <v>281</v>
      </c>
      <c r="C13457" s="46">
        <v>3445</v>
      </c>
      <c r="D13457" s="69" t="s">
        <v>29418</v>
      </c>
      <c r="E13457" s="51"/>
      <c r="F13457" s="114" t="str">
        <f>IF(INDEX(I.Facility.P2bIDNumber,3445)="","",INDEX(I.Facility.P2bIDNumber,3445))</f>
        <v/>
      </c>
      <c r="G13457" s="51"/>
      <c r="H13457" s="46" t="str">
        <f>IF(AND(I.Developer.P2b=TRUE,I.Facility.P2bFacilityCount&gt;=3445,F13457=""),"Incomplete","Complete")</f>
        <v>Complete</v>
      </c>
      <c r="I13457" s="48" t="s">
        <v>17822</v>
      </c>
    </row>
    <row r="13458" spans="2:9" ht="15" customHeight="1" x14ac:dyDescent="0.25">
      <c r="B13458" s="55" t="s">
        <v>281</v>
      </c>
      <c r="C13458" s="46">
        <v>3446</v>
      </c>
      <c r="D13458" s="69" t="s">
        <v>29418</v>
      </c>
      <c r="E13458" s="51"/>
      <c r="F13458" s="114" t="str">
        <f>IF(INDEX(I.Facility.P2bIDNumber,3446)="","",INDEX(I.Facility.P2bIDNumber,3446))</f>
        <v/>
      </c>
      <c r="G13458" s="51"/>
      <c r="H13458" s="46" t="str">
        <f>IF(AND(I.Developer.P2b=TRUE,I.Facility.P2bFacilityCount&gt;=3446,F13458=""),"Incomplete","Complete")</f>
        <v>Complete</v>
      </c>
      <c r="I13458" s="48" t="s">
        <v>17823</v>
      </c>
    </row>
    <row r="13459" spans="2:9" ht="15" customHeight="1" x14ac:dyDescent="0.25">
      <c r="B13459" s="55" t="s">
        <v>281</v>
      </c>
      <c r="C13459" s="46">
        <v>3447</v>
      </c>
      <c r="D13459" s="69" t="s">
        <v>29418</v>
      </c>
      <c r="E13459" s="51"/>
      <c r="F13459" s="114" t="str">
        <f>IF(INDEX(I.Facility.P2bIDNumber,3447)="","",INDEX(I.Facility.P2bIDNumber,3447))</f>
        <v/>
      </c>
      <c r="G13459" s="51"/>
      <c r="H13459" s="46" t="str">
        <f>IF(AND(I.Developer.P2b=TRUE,I.Facility.P2bFacilityCount&gt;=3447,F13459=""),"Incomplete","Complete")</f>
        <v>Complete</v>
      </c>
      <c r="I13459" s="48" t="s">
        <v>17824</v>
      </c>
    </row>
    <row r="13460" spans="2:9" ht="15" customHeight="1" x14ac:dyDescent="0.25">
      <c r="B13460" s="55" t="s">
        <v>281</v>
      </c>
      <c r="C13460" s="46">
        <v>3448</v>
      </c>
      <c r="D13460" s="69" t="s">
        <v>29418</v>
      </c>
      <c r="E13460" s="51"/>
      <c r="F13460" s="114" t="str">
        <f>IF(INDEX(I.Facility.P2bIDNumber,3448)="","",INDEX(I.Facility.P2bIDNumber,3448))</f>
        <v/>
      </c>
      <c r="G13460" s="51"/>
      <c r="H13460" s="46" t="str">
        <f>IF(AND(I.Developer.P2b=TRUE,I.Facility.P2bFacilityCount&gt;=3448,F13460=""),"Incomplete","Complete")</f>
        <v>Complete</v>
      </c>
      <c r="I13460" s="48" t="s">
        <v>17825</v>
      </c>
    </row>
    <row r="13461" spans="2:9" ht="15" customHeight="1" x14ac:dyDescent="0.25">
      <c r="B13461" s="55" t="s">
        <v>281</v>
      </c>
      <c r="C13461" s="46">
        <v>3449</v>
      </c>
      <c r="D13461" s="69" t="s">
        <v>29418</v>
      </c>
      <c r="E13461" s="51"/>
      <c r="F13461" s="114" t="str">
        <f>IF(INDEX(I.Facility.P2bIDNumber,3449)="","",INDEX(I.Facility.P2bIDNumber,3449))</f>
        <v/>
      </c>
      <c r="G13461" s="51"/>
      <c r="H13461" s="46" t="str">
        <f>IF(AND(I.Developer.P2b=TRUE,I.Facility.P2bFacilityCount&gt;=3449,F13461=""),"Incomplete","Complete")</f>
        <v>Complete</v>
      </c>
      <c r="I13461" s="48" t="s">
        <v>17826</v>
      </c>
    </row>
    <row r="13462" spans="2:9" ht="15" customHeight="1" x14ac:dyDescent="0.25">
      <c r="B13462" s="55" t="s">
        <v>281</v>
      </c>
      <c r="C13462" s="46">
        <v>3450</v>
      </c>
      <c r="D13462" s="69" t="s">
        <v>29418</v>
      </c>
      <c r="E13462" s="51"/>
      <c r="F13462" s="114" t="str">
        <f>IF(INDEX(I.Facility.P2bIDNumber,3450)="","",INDEX(I.Facility.P2bIDNumber,3450))</f>
        <v/>
      </c>
      <c r="G13462" s="51"/>
      <c r="H13462" s="46" t="str">
        <f>IF(AND(I.Developer.P2b=TRUE,I.Facility.P2bFacilityCount&gt;=3450,F13462=""),"Incomplete","Complete")</f>
        <v>Complete</v>
      </c>
      <c r="I13462" s="48" t="s">
        <v>17827</v>
      </c>
    </row>
    <row r="13463" spans="2:9" ht="15" customHeight="1" x14ac:dyDescent="0.25">
      <c r="B13463" s="55" t="s">
        <v>281</v>
      </c>
      <c r="C13463" s="46">
        <v>3451</v>
      </c>
      <c r="D13463" s="69" t="s">
        <v>29418</v>
      </c>
      <c r="E13463" s="51"/>
      <c r="F13463" s="114" t="str">
        <f>IF(INDEX(I.Facility.P2bIDNumber,3451)="","",INDEX(I.Facility.P2bIDNumber,3451))</f>
        <v/>
      </c>
      <c r="G13463" s="51"/>
      <c r="H13463" s="46" t="str">
        <f>IF(AND(I.Developer.P2b=TRUE,I.Facility.P2bFacilityCount&gt;=3451,F13463=""),"Incomplete","Complete")</f>
        <v>Complete</v>
      </c>
      <c r="I13463" s="48" t="s">
        <v>17828</v>
      </c>
    </row>
    <row r="13464" spans="2:9" ht="15" customHeight="1" x14ac:dyDescent="0.25">
      <c r="B13464" s="55" t="s">
        <v>281</v>
      </c>
      <c r="C13464" s="46">
        <v>3452</v>
      </c>
      <c r="D13464" s="69" t="s">
        <v>29418</v>
      </c>
      <c r="E13464" s="51"/>
      <c r="F13464" s="114" t="str">
        <f>IF(INDEX(I.Facility.P2bIDNumber,3452)="","",INDEX(I.Facility.P2bIDNumber,3452))</f>
        <v/>
      </c>
      <c r="G13464" s="51"/>
      <c r="H13464" s="46" t="str">
        <f>IF(AND(I.Developer.P2b=TRUE,I.Facility.P2bFacilityCount&gt;=3452,F13464=""),"Incomplete","Complete")</f>
        <v>Complete</v>
      </c>
      <c r="I13464" s="48" t="s">
        <v>17829</v>
      </c>
    </row>
    <row r="13465" spans="2:9" ht="15" customHeight="1" x14ac:dyDescent="0.25">
      <c r="B13465" s="55" t="s">
        <v>281</v>
      </c>
      <c r="C13465" s="46">
        <v>3453</v>
      </c>
      <c r="D13465" s="69" t="s">
        <v>29418</v>
      </c>
      <c r="E13465" s="51"/>
      <c r="F13465" s="114" t="str">
        <f>IF(INDEX(I.Facility.P2bIDNumber,3453)="","",INDEX(I.Facility.P2bIDNumber,3453))</f>
        <v/>
      </c>
      <c r="G13465" s="51"/>
      <c r="H13465" s="46" t="str">
        <f>IF(AND(I.Developer.P2b=TRUE,I.Facility.P2bFacilityCount&gt;=3453,F13465=""),"Incomplete","Complete")</f>
        <v>Complete</v>
      </c>
      <c r="I13465" s="48" t="s">
        <v>17830</v>
      </c>
    </row>
    <row r="13466" spans="2:9" ht="15" customHeight="1" x14ac:dyDescent="0.25">
      <c r="B13466" s="55" t="s">
        <v>281</v>
      </c>
      <c r="C13466" s="46">
        <v>3454</v>
      </c>
      <c r="D13466" s="69" t="s">
        <v>29418</v>
      </c>
      <c r="E13466" s="51"/>
      <c r="F13466" s="114" t="str">
        <f>IF(INDEX(I.Facility.P2bIDNumber,3454)="","",INDEX(I.Facility.P2bIDNumber,3454))</f>
        <v/>
      </c>
      <c r="G13466" s="51"/>
      <c r="H13466" s="46" t="str">
        <f>IF(AND(I.Developer.P2b=TRUE,I.Facility.P2bFacilityCount&gt;=3454,F13466=""),"Incomplete","Complete")</f>
        <v>Complete</v>
      </c>
      <c r="I13466" s="48" t="s">
        <v>17831</v>
      </c>
    </row>
    <row r="13467" spans="2:9" ht="15" customHeight="1" x14ac:dyDescent="0.25">
      <c r="B13467" s="55" t="s">
        <v>281</v>
      </c>
      <c r="C13467" s="46">
        <v>3455</v>
      </c>
      <c r="D13467" s="69" t="s">
        <v>29418</v>
      </c>
      <c r="E13467" s="51"/>
      <c r="F13467" s="114" t="str">
        <f>IF(INDEX(I.Facility.P2bIDNumber,3455)="","",INDEX(I.Facility.P2bIDNumber,3455))</f>
        <v/>
      </c>
      <c r="G13467" s="51"/>
      <c r="H13467" s="46" t="str">
        <f>IF(AND(I.Developer.P2b=TRUE,I.Facility.P2bFacilityCount&gt;=3455,F13467=""),"Incomplete","Complete")</f>
        <v>Complete</v>
      </c>
      <c r="I13467" s="48" t="s">
        <v>17832</v>
      </c>
    </row>
    <row r="13468" spans="2:9" ht="15" customHeight="1" x14ac:dyDescent="0.25">
      <c r="B13468" s="55" t="s">
        <v>281</v>
      </c>
      <c r="C13468" s="46">
        <v>3456</v>
      </c>
      <c r="D13468" s="69" t="s">
        <v>29418</v>
      </c>
      <c r="E13468" s="51"/>
      <c r="F13468" s="114" t="str">
        <f>IF(INDEX(I.Facility.P2bIDNumber,3456)="","",INDEX(I.Facility.P2bIDNumber,3456))</f>
        <v/>
      </c>
      <c r="G13468" s="51"/>
      <c r="H13468" s="46" t="str">
        <f>IF(AND(I.Developer.P2b=TRUE,I.Facility.P2bFacilityCount&gt;=3456,F13468=""),"Incomplete","Complete")</f>
        <v>Complete</v>
      </c>
      <c r="I13468" s="48" t="s">
        <v>17833</v>
      </c>
    </row>
    <row r="13469" spans="2:9" ht="15" customHeight="1" x14ac:dyDescent="0.25">
      <c r="B13469" s="55" t="s">
        <v>281</v>
      </c>
      <c r="C13469" s="46">
        <v>3457</v>
      </c>
      <c r="D13469" s="69" t="s">
        <v>29418</v>
      </c>
      <c r="E13469" s="51"/>
      <c r="F13469" s="114" t="str">
        <f>IF(INDEX(I.Facility.P2bIDNumber,3457)="","",INDEX(I.Facility.P2bIDNumber,3457))</f>
        <v/>
      </c>
      <c r="G13469" s="51"/>
      <c r="H13469" s="46" t="str">
        <f>IF(AND(I.Developer.P2b=TRUE,I.Facility.P2bFacilityCount&gt;=3457,F13469=""),"Incomplete","Complete")</f>
        <v>Complete</v>
      </c>
      <c r="I13469" s="48" t="s">
        <v>17834</v>
      </c>
    </row>
    <row r="13470" spans="2:9" ht="15" customHeight="1" x14ac:dyDescent="0.25">
      <c r="B13470" s="55" t="s">
        <v>281</v>
      </c>
      <c r="C13470" s="46">
        <v>3458</v>
      </c>
      <c r="D13470" s="69" t="s">
        <v>29418</v>
      </c>
      <c r="E13470" s="51"/>
      <c r="F13470" s="114" t="str">
        <f>IF(INDEX(I.Facility.P2bIDNumber,3458)="","",INDEX(I.Facility.P2bIDNumber,3458))</f>
        <v/>
      </c>
      <c r="G13470" s="51"/>
      <c r="H13470" s="46" t="str">
        <f>IF(AND(I.Developer.P2b=TRUE,I.Facility.P2bFacilityCount&gt;=3458,F13470=""),"Incomplete","Complete")</f>
        <v>Complete</v>
      </c>
      <c r="I13470" s="48" t="s">
        <v>17835</v>
      </c>
    </row>
    <row r="13471" spans="2:9" ht="15" customHeight="1" x14ac:dyDescent="0.25">
      <c r="B13471" s="55" t="s">
        <v>281</v>
      </c>
      <c r="C13471" s="46">
        <v>3459</v>
      </c>
      <c r="D13471" s="69" t="s">
        <v>29418</v>
      </c>
      <c r="E13471" s="51"/>
      <c r="F13471" s="114" t="str">
        <f>IF(INDEX(I.Facility.P2bIDNumber,3459)="","",INDEX(I.Facility.P2bIDNumber,3459))</f>
        <v/>
      </c>
      <c r="G13471" s="51"/>
      <c r="H13471" s="46" t="str">
        <f>IF(AND(I.Developer.P2b=TRUE,I.Facility.P2bFacilityCount&gt;=3459,F13471=""),"Incomplete","Complete")</f>
        <v>Complete</v>
      </c>
      <c r="I13471" s="48" t="s">
        <v>17836</v>
      </c>
    </row>
    <row r="13472" spans="2:9" ht="15" customHeight="1" x14ac:dyDescent="0.25">
      <c r="B13472" s="55" t="s">
        <v>281</v>
      </c>
      <c r="C13472" s="46">
        <v>3460</v>
      </c>
      <c r="D13472" s="69" t="s">
        <v>29418</v>
      </c>
      <c r="E13472" s="51"/>
      <c r="F13472" s="114" t="str">
        <f>IF(INDEX(I.Facility.P2bIDNumber,3460)="","",INDEX(I.Facility.P2bIDNumber,3460))</f>
        <v/>
      </c>
      <c r="G13472" s="51"/>
      <c r="H13472" s="46" t="str">
        <f>IF(AND(I.Developer.P2b=TRUE,I.Facility.P2bFacilityCount&gt;=3460,F13472=""),"Incomplete","Complete")</f>
        <v>Complete</v>
      </c>
      <c r="I13472" s="48" t="s">
        <v>17837</v>
      </c>
    </row>
    <row r="13473" spans="2:9" ht="15" customHeight="1" x14ac:dyDescent="0.25">
      <c r="B13473" s="55" t="s">
        <v>281</v>
      </c>
      <c r="C13473" s="46">
        <v>3461</v>
      </c>
      <c r="D13473" s="69" t="s">
        <v>29418</v>
      </c>
      <c r="E13473" s="51"/>
      <c r="F13473" s="114" t="str">
        <f>IF(INDEX(I.Facility.P2bIDNumber,3461)="","",INDEX(I.Facility.P2bIDNumber,3461))</f>
        <v/>
      </c>
      <c r="G13473" s="51"/>
      <c r="H13473" s="46" t="str">
        <f>IF(AND(I.Developer.P2b=TRUE,I.Facility.P2bFacilityCount&gt;=3461,F13473=""),"Incomplete","Complete")</f>
        <v>Complete</v>
      </c>
      <c r="I13473" s="48" t="s">
        <v>17838</v>
      </c>
    </row>
    <row r="13474" spans="2:9" ht="15" customHeight="1" x14ac:dyDescent="0.25">
      <c r="B13474" s="55" t="s">
        <v>281</v>
      </c>
      <c r="C13474" s="46">
        <v>3462</v>
      </c>
      <c r="D13474" s="69" t="s">
        <v>29418</v>
      </c>
      <c r="E13474" s="51"/>
      <c r="F13474" s="114" t="str">
        <f>IF(INDEX(I.Facility.P2bIDNumber,3462)="","",INDEX(I.Facility.P2bIDNumber,3462))</f>
        <v/>
      </c>
      <c r="G13474" s="51"/>
      <c r="H13474" s="46" t="str">
        <f>IF(AND(I.Developer.P2b=TRUE,I.Facility.P2bFacilityCount&gt;=3462,F13474=""),"Incomplete","Complete")</f>
        <v>Complete</v>
      </c>
      <c r="I13474" s="48" t="s">
        <v>17839</v>
      </c>
    </row>
    <row r="13475" spans="2:9" ht="15" customHeight="1" x14ac:dyDescent="0.25">
      <c r="B13475" s="55" t="s">
        <v>281</v>
      </c>
      <c r="C13475" s="46">
        <v>3463</v>
      </c>
      <c r="D13475" s="69" t="s">
        <v>29418</v>
      </c>
      <c r="E13475" s="51"/>
      <c r="F13475" s="114" t="str">
        <f>IF(INDEX(I.Facility.P2bIDNumber,3463)="","",INDEX(I.Facility.P2bIDNumber,3463))</f>
        <v/>
      </c>
      <c r="G13475" s="51"/>
      <c r="H13475" s="46" t="str">
        <f>IF(AND(I.Developer.P2b=TRUE,I.Facility.P2bFacilityCount&gt;=3463,F13475=""),"Incomplete","Complete")</f>
        <v>Complete</v>
      </c>
      <c r="I13475" s="48" t="s">
        <v>17840</v>
      </c>
    </row>
    <row r="13476" spans="2:9" ht="15" customHeight="1" x14ac:dyDescent="0.25">
      <c r="B13476" s="55" t="s">
        <v>281</v>
      </c>
      <c r="C13476" s="46">
        <v>3464</v>
      </c>
      <c r="D13476" s="69" t="s">
        <v>29418</v>
      </c>
      <c r="E13476" s="51"/>
      <c r="F13476" s="114" t="str">
        <f>IF(INDEX(I.Facility.P2bIDNumber,3464)="","",INDEX(I.Facility.P2bIDNumber,3464))</f>
        <v/>
      </c>
      <c r="G13476" s="51"/>
      <c r="H13476" s="46" t="str">
        <f>IF(AND(I.Developer.P2b=TRUE,I.Facility.P2bFacilityCount&gt;=3464,F13476=""),"Incomplete","Complete")</f>
        <v>Complete</v>
      </c>
      <c r="I13476" s="48" t="s">
        <v>17841</v>
      </c>
    </row>
    <row r="13477" spans="2:9" ht="15" customHeight="1" x14ac:dyDescent="0.25">
      <c r="B13477" s="55" t="s">
        <v>281</v>
      </c>
      <c r="C13477" s="46">
        <v>3465</v>
      </c>
      <c r="D13477" s="69" t="s">
        <v>29418</v>
      </c>
      <c r="E13477" s="51"/>
      <c r="F13477" s="114" t="str">
        <f>IF(INDEX(I.Facility.P2bIDNumber,3465)="","",INDEX(I.Facility.P2bIDNumber,3465))</f>
        <v/>
      </c>
      <c r="G13477" s="51"/>
      <c r="H13477" s="46" t="str">
        <f>IF(AND(I.Developer.P2b=TRUE,I.Facility.P2bFacilityCount&gt;=3465,F13477=""),"Incomplete","Complete")</f>
        <v>Complete</v>
      </c>
      <c r="I13477" s="48" t="s">
        <v>17842</v>
      </c>
    </row>
    <row r="13478" spans="2:9" ht="15" customHeight="1" x14ac:dyDescent="0.25">
      <c r="B13478" s="55" t="s">
        <v>281</v>
      </c>
      <c r="C13478" s="46">
        <v>3466</v>
      </c>
      <c r="D13478" s="69" t="s">
        <v>29418</v>
      </c>
      <c r="E13478" s="51"/>
      <c r="F13478" s="114" t="str">
        <f>IF(INDEX(I.Facility.P2bIDNumber,3466)="","",INDEX(I.Facility.P2bIDNumber,3466))</f>
        <v/>
      </c>
      <c r="G13478" s="51"/>
      <c r="H13478" s="46" t="str">
        <f>IF(AND(I.Developer.P2b=TRUE,I.Facility.P2bFacilityCount&gt;=3466,F13478=""),"Incomplete","Complete")</f>
        <v>Complete</v>
      </c>
      <c r="I13478" s="48" t="s">
        <v>17843</v>
      </c>
    </row>
    <row r="13479" spans="2:9" ht="15" customHeight="1" x14ac:dyDescent="0.25">
      <c r="B13479" s="55" t="s">
        <v>281</v>
      </c>
      <c r="C13479" s="46">
        <v>3467</v>
      </c>
      <c r="D13479" s="69" t="s">
        <v>29418</v>
      </c>
      <c r="E13479" s="51"/>
      <c r="F13479" s="114" t="str">
        <f>IF(INDEX(I.Facility.P2bIDNumber,3467)="","",INDEX(I.Facility.P2bIDNumber,3467))</f>
        <v/>
      </c>
      <c r="G13479" s="51"/>
      <c r="H13479" s="46" t="str">
        <f>IF(AND(I.Developer.P2b=TRUE,I.Facility.P2bFacilityCount&gt;=3467,F13479=""),"Incomplete","Complete")</f>
        <v>Complete</v>
      </c>
      <c r="I13479" s="48" t="s">
        <v>17844</v>
      </c>
    </row>
    <row r="13480" spans="2:9" ht="15" customHeight="1" x14ac:dyDescent="0.25">
      <c r="B13480" s="55" t="s">
        <v>281</v>
      </c>
      <c r="C13480" s="46">
        <v>3468</v>
      </c>
      <c r="D13480" s="69" t="s">
        <v>29418</v>
      </c>
      <c r="E13480" s="51"/>
      <c r="F13480" s="114" t="str">
        <f>IF(INDEX(I.Facility.P2bIDNumber,3468)="","",INDEX(I.Facility.P2bIDNumber,3468))</f>
        <v/>
      </c>
      <c r="G13480" s="51"/>
      <c r="H13480" s="46" t="str">
        <f>IF(AND(I.Developer.P2b=TRUE,I.Facility.P2bFacilityCount&gt;=3468,F13480=""),"Incomplete","Complete")</f>
        <v>Complete</v>
      </c>
      <c r="I13480" s="48" t="s">
        <v>17845</v>
      </c>
    </row>
    <row r="13481" spans="2:9" ht="15" customHeight="1" x14ac:dyDescent="0.25">
      <c r="B13481" s="55" t="s">
        <v>281</v>
      </c>
      <c r="C13481" s="46">
        <v>3469</v>
      </c>
      <c r="D13481" s="69" t="s">
        <v>29418</v>
      </c>
      <c r="E13481" s="51"/>
      <c r="F13481" s="114" t="str">
        <f>IF(INDEX(I.Facility.P2bIDNumber,3469)="","",INDEX(I.Facility.P2bIDNumber,3469))</f>
        <v/>
      </c>
      <c r="G13481" s="51"/>
      <c r="H13481" s="46" t="str">
        <f>IF(AND(I.Developer.P2b=TRUE,I.Facility.P2bFacilityCount&gt;=3469,F13481=""),"Incomplete","Complete")</f>
        <v>Complete</v>
      </c>
      <c r="I13481" s="48" t="s">
        <v>17846</v>
      </c>
    </row>
    <row r="13482" spans="2:9" ht="15" customHeight="1" x14ac:dyDescent="0.25">
      <c r="B13482" s="55" t="s">
        <v>281</v>
      </c>
      <c r="C13482" s="46">
        <v>3470</v>
      </c>
      <c r="D13482" s="69" t="s">
        <v>29418</v>
      </c>
      <c r="E13482" s="51"/>
      <c r="F13482" s="114" t="str">
        <f>IF(INDEX(I.Facility.P2bIDNumber,3470)="","",INDEX(I.Facility.P2bIDNumber,3470))</f>
        <v/>
      </c>
      <c r="G13482" s="51"/>
      <c r="H13482" s="46" t="str">
        <f>IF(AND(I.Developer.P2b=TRUE,I.Facility.P2bFacilityCount&gt;=3470,F13482=""),"Incomplete","Complete")</f>
        <v>Complete</v>
      </c>
      <c r="I13482" s="48" t="s">
        <v>17847</v>
      </c>
    </row>
    <row r="13483" spans="2:9" ht="15" customHeight="1" x14ac:dyDescent="0.25">
      <c r="B13483" s="55" t="s">
        <v>281</v>
      </c>
      <c r="C13483" s="46">
        <v>3471</v>
      </c>
      <c r="D13483" s="69" t="s">
        <v>29418</v>
      </c>
      <c r="E13483" s="51"/>
      <c r="F13483" s="114" t="str">
        <f>IF(INDEX(I.Facility.P2bIDNumber,3471)="","",INDEX(I.Facility.P2bIDNumber,3471))</f>
        <v/>
      </c>
      <c r="G13483" s="51"/>
      <c r="H13483" s="46" t="str">
        <f>IF(AND(I.Developer.P2b=TRUE,I.Facility.P2bFacilityCount&gt;=3471,F13483=""),"Incomplete","Complete")</f>
        <v>Complete</v>
      </c>
      <c r="I13483" s="48" t="s">
        <v>17848</v>
      </c>
    </row>
    <row r="13484" spans="2:9" ht="15" customHeight="1" x14ac:dyDescent="0.25">
      <c r="B13484" s="55" t="s">
        <v>281</v>
      </c>
      <c r="C13484" s="46">
        <v>3472</v>
      </c>
      <c r="D13484" s="69" t="s">
        <v>29418</v>
      </c>
      <c r="E13484" s="51"/>
      <c r="F13484" s="114" t="str">
        <f>IF(INDEX(I.Facility.P2bIDNumber,3472)="","",INDEX(I.Facility.P2bIDNumber,3472))</f>
        <v/>
      </c>
      <c r="G13484" s="51"/>
      <c r="H13484" s="46" t="str">
        <f>IF(AND(I.Developer.P2b=TRUE,I.Facility.P2bFacilityCount&gt;=3472,F13484=""),"Incomplete","Complete")</f>
        <v>Complete</v>
      </c>
      <c r="I13484" s="48" t="s">
        <v>17849</v>
      </c>
    </row>
    <row r="13485" spans="2:9" ht="15" customHeight="1" x14ac:dyDescent="0.25">
      <c r="B13485" s="55" t="s">
        <v>281</v>
      </c>
      <c r="C13485" s="46">
        <v>3473</v>
      </c>
      <c r="D13485" s="69" t="s">
        <v>29418</v>
      </c>
      <c r="E13485" s="51"/>
      <c r="F13485" s="114" t="str">
        <f>IF(INDEX(I.Facility.P2bIDNumber,3473)="","",INDEX(I.Facility.P2bIDNumber,3473))</f>
        <v/>
      </c>
      <c r="G13485" s="51"/>
      <c r="H13485" s="46" t="str">
        <f>IF(AND(I.Developer.P2b=TRUE,I.Facility.P2bFacilityCount&gt;=3473,F13485=""),"Incomplete","Complete")</f>
        <v>Complete</v>
      </c>
      <c r="I13485" s="48" t="s">
        <v>17850</v>
      </c>
    </row>
    <row r="13486" spans="2:9" ht="15" customHeight="1" x14ac:dyDescent="0.25">
      <c r="B13486" s="55" t="s">
        <v>281</v>
      </c>
      <c r="C13486" s="46">
        <v>3474</v>
      </c>
      <c r="D13486" s="69" t="s">
        <v>29418</v>
      </c>
      <c r="E13486" s="51"/>
      <c r="F13486" s="114" t="str">
        <f>IF(INDEX(I.Facility.P2bIDNumber,3474)="","",INDEX(I.Facility.P2bIDNumber,3474))</f>
        <v/>
      </c>
      <c r="G13486" s="51"/>
      <c r="H13486" s="46" t="str">
        <f>IF(AND(I.Developer.P2b=TRUE,I.Facility.P2bFacilityCount&gt;=3474,F13486=""),"Incomplete","Complete")</f>
        <v>Complete</v>
      </c>
      <c r="I13486" s="48" t="s">
        <v>17851</v>
      </c>
    </row>
    <row r="13487" spans="2:9" ht="15" customHeight="1" x14ac:dyDescent="0.25">
      <c r="B13487" s="55" t="s">
        <v>281</v>
      </c>
      <c r="C13487" s="46">
        <v>3475</v>
      </c>
      <c r="D13487" s="69" t="s">
        <v>29418</v>
      </c>
      <c r="E13487" s="51"/>
      <c r="F13487" s="114" t="str">
        <f>IF(INDEX(I.Facility.P2bIDNumber,3475)="","",INDEX(I.Facility.P2bIDNumber,3475))</f>
        <v/>
      </c>
      <c r="G13487" s="51"/>
      <c r="H13487" s="46" t="str">
        <f>IF(AND(I.Developer.P2b=TRUE,I.Facility.P2bFacilityCount&gt;=3475,F13487=""),"Incomplete","Complete")</f>
        <v>Complete</v>
      </c>
      <c r="I13487" s="48" t="s">
        <v>17852</v>
      </c>
    </row>
    <row r="13488" spans="2:9" ht="15" customHeight="1" x14ac:dyDescent="0.25">
      <c r="B13488" s="55" t="s">
        <v>281</v>
      </c>
      <c r="C13488" s="46">
        <v>3476</v>
      </c>
      <c r="D13488" s="69" t="s">
        <v>29418</v>
      </c>
      <c r="E13488" s="51"/>
      <c r="F13488" s="114" t="str">
        <f>IF(INDEX(I.Facility.P2bIDNumber,3476)="","",INDEX(I.Facility.P2bIDNumber,3476))</f>
        <v/>
      </c>
      <c r="G13488" s="51"/>
      <c r="H13488" s="46" t="str">
        <f>IF(AND(I.Developer.P2b=TRUE,I.Facility.P2bFacilityCount&gt;=3476,F13488=""),"Incomplete","Complete")</f>
        <v>Complete</v>
      </c>
      <c r="I13488" s="48" t="s">
        <v>17853</v>
      </c>
    </row>
    <row r="13489" spans="2:9" ht="15" customHeight="1" x14ac:dyDescent="0.25">
      <c r="B13489" s="55" t="s">
        <v>281</v>
      </c>
      <c r="C13489" s="46">
        <v>3477</v>
      </c>
      <c r="D13489" s="69" t="s">
        <v>29418</v>
      </c>
      <c r="E13489" s="51"/>
      <c r="F13489" s="114" t="str">
        <f>IF(INDEX(I.Facility.P2bIDNumber,3477)="","",INDEX(I.Facility.P2bIDNumber,3477))</f>
        <v/>
      </c>
      <c r="G13489" s="51"/>
      <c r="H13489" s="46" t="str">
        <f>IF(AND(I.Developer.P2b=TRUE,I.Facility.P2bFacilityCount&gt;=3477,F13489=""),"Incomplete","Complete")</f>
        <v>Complete</v>
      </c>
      <c r="I13489" s="48" t="s">
        <v>17854</v>
      </c>
    </row>
    <row r="13490" spans="2:9" ht="15" customHeight="1" x14ac:dyDescent="0.25">
      <c r="B13490" s="55" t="s">
        <v>281</v>
      </c>
      <c r="C13490" s="46">
        <v>3478</v>
      </c>
      <c r="D13490" s="69" t="s">
        <v>29418</v>
      </c>
      <c r="E13490" s="51"/>
      <c r="F13490" s="114" t="str">
        <f>IF(INDEX(I.Facility.P2bIDNumber,3478)="","",INDEX(I.Facility.P2bIDNumber,3478))</f>
        <v/>
      </c>
      <c r="G13490" s="51"/>
      <c r="H13490" s="46" t="str">
        <f>IF(AND(I.Developer.P2b=TRUE,I.Facility.P2bFacilityCount&gt;=3478,F13490=""),"Incomplete","Complete")</f>
        <v>Complete</v>
      </c>
      <c r="I13490" s="48" t="s">
        <v>17855</v>
      </c>
    </row>
    <row r="13491" spans="2:9" ht="15" customHeight="1" x14ac:dyDescent="0.25">
      <c r="B13491" s="55" t="s">
        <v>281</v>
      </c>
      <c r="C13491" s="46">
        <v>3479</v>
      </c>
      <c r="D13491" s="69" t="s">
        <v>29418</v>
      </c>
      <c r="E13491" s="51"/>
      <c r="F13491" s="114" t="str">
        <f>IF(INDEX(I.Facility.P2bIDNumber,3479)="","",INDEX(I.Facility.P2bIDNumber,3479))</f>
        <v/>
      </c>
      <c r="G13491" s="51"/>
      <c r="H13491" s="46" t="str">
        <f>IF(AND(I.Developer.P2b=TRUE,I.Facility.P2bFacilityCount&gt;=3479,F13491=""),"Incomplete","Complete")</f>
        <v>Complete</v>
      </c>
      <c r="I13491" s="48" t="s">
        <v>17856</v>
      </c>
    </row>
    <row r="13492" spans="2:9" ht="15" customHeight="1" x14ac:dyDescent="0.25">
      <c r="B13492" s="55" t="s">
        <v>281</v>
      </c>
      <c r="C13492" s="46">
        <v>3480</v>
      </c>
      <c r="D13492" s="69" t="s">
        <v>29418</v>
      </c>
      <c r="E13492" s="51"/>
      <c r="F13492" s="114" t="str">
        <f>IF(INDEX(I.Facility.P2bIDNumber,3480)="","",INDEX(I.Facility.P2bIDNumber,3480))</f>
        <v/>
      </c>
      <c r="G13492" s="51"/>
      <c r="H13492" s="46" t="str">
        <f>IF(AND(I.Developer.P2b=TRUE,I.Facility.P2bFacilityCount&gt;=3480,F13492=""),"Incomplete","Complete")</f>
        <v>Complete</v>
      </c>
      <c r="I13492" s="48" t="s">
        <v>17857</v>
      </c>
    </row>
    <row r="13493" spans="2:9" ht="15" customHeight="1" x14ac:dyDescent="0.25">
      <c r="B13493" s="55" t="s">
        <v>281</v>
      </c>
      <c r="C13493" s="46">
        <v>3481</v>
      </c>
      <c r="D13493" s="69" t="s">
        <v>29418</v>
      </c>
      <c r="E13493" s="51"/>
      <c r="F13493" s="114" t="str">
        <f>IF(INDEX(I.Facility.P2bIDNumber,3481)="","",INDEX(I.Facility.P2bIDNumber,3481))</f>
        <v/>
      </c>
      <c r="G13493" s="51"/>
      <c r="H13493" s="46" t="str">
        <f>IF(AND(I.Developer.P2b=TRUE,I.Facility.P2bFacilityCount&gt;=3481,F13493=""),"Incomplete","Complete")</f>
        <v>Complete</v>
      </c>
      <c r="I13493" s="48" t="s">
        <v>17858</v>
      </c>
    </row>
    <row r="13494" spans="2:9" ht="15" customHeight="1" x14ac:dyDescent="0.25">
      <c r="B13494" s="55" t="s">
        <v>281</v>
      </c>
      <c r="C13494" s="46">
        <v>3482</v>
      </c>
      <c r="D13494" s="69" t="s">
        <v>29418</v>
      </c>
      <c r="E13494" s="51"/>
      <c r="F13494" s="114" t="str">
        <f>IF(INDEX(I.Facility.P2bIDNumber,3482)="","",INDEX(I.Facility.P2bIDNumber,3482))</f>
        <v/>
      </c>
      <c r="G13494" s="51"/>
      <c r="H13494" s="46" t="str">
        <f>IF(AND(I.Developer.P2b=TRUE,I.Facility.P2bFacilityCount&gt;=3482,F13494=""),"Incomplete","Complete")</f>
        <v>Complete</v>
      </c>
      <c r="I13494" s="48" t="s">
        <v>17859</v>
      </c>
    </row>
    <row r="13495" spans="2:9" ht="15" customHeight="1" x14ac:dyDescent="0.25">
      <c r="B13495" s="55" t="s">
        <v>281</v>
      </c>
      <c r="C13495" s="46">
        <v>3483</v>
      </c>
      <c r="D13495" s="69" t="s">
        <v>29418</v>
      </c>
      <c r="E13495" s="51"/>
      <c r="F13495" s="114" t="str">
        <f>IF(INDEX(I.Facility.P2bIDNumber,3483)="","",INDEX(I.Facility.P2bIDNumber,3483))</f>
        <v/>
      </c>
      <c r="G13495" s="51"/>
      <c r="H13495" s="46" t="str">
        <f>IF(AND(I.Developer.P2b=TRUE,I.Facility.P2bFacilityCount&gt;=3483,F13495=""),"Incomplete","Complete")</f>
        <v>Complete</v>
      </c>
      <c r="I13495" s="48" t="s">
        <v>17860</v>
      </c>
    </row>
    <row r="13496" spans="2:9" ht="15" customHeight="1" x14ac:dyDescent="0.25">
      <c r="B13496" s="55" t="s">
        <v>281</v>
      </c>
      <c r="C13496" s="46">
        <v>3484</v>
      </c>
      <c r="D13496" s="69" t="s">
        <v>29418</v>
      </c>
      <c r="E13496" s="51"/>
      <c r="F13496" s="114" t="str">
        <f>IF(INDEX(I.Facility.P2bIDNumber,3484)="","",INDEX(I.Facility.P2bIDNumber,3484))</f>
        <v/>
      </c>
      <c r="G13496" s="51"/>
      <c r="H13496" s="46" t="str">
        <f>IF(AND(I.Developer.P2b=TRUE,I.Facility.P2bFacilityCount&gt;=3484,F13496=""),"Incomplete","Complete")</f>
        <v>Complete</v>
      </c>
      <c r="I13496" s="48" t="s">
        <v>17861</v>
      </c>
    </row>
    <row r="13497" spans="2:9" ht="15" customHeight="1" x14ac:dyDescent="0.25">
      <c r="B13497" s="55" t="s">
        <v>281</v>
      </c>
      <c r="C13497" s="46">
        <v>3485</v>
      </c>
      <c r="D13497" s="69" t="s">
        <v>29418</v>
      </c>
      <c r="E13497" s="51"/>
      <c r="F13497" s="114" t="str">
        <f>IF(INDEX(I.Facility.P2bIDNumber,3485)="","",INDEX(I.Facility.P2bIDNumber,3485))</f>
        <v/>
      </c>
      <c r="G13497" s="51"/>
      <c r="H13497" s="46" t="str">
        <f>IF(AND(I.Developer.P2b=TRUE,I.Facility.P2bFacilityCount&gt;=3485,F13497=""),"Incomplete","Complete")</f>
        <v>Complete</v>
      </c>
      <c r="I13497" s="48" t="s">
        <v>17862</v>
      </c>
    </row>
    <row r="13498" spans="2:9" ht="15" customHeight="1" x14ac:dyDescent="0.25">
      <c r="B13498" s="55" t="s">
        <v>281</v>
      </c>
      <c r="C13498" s="46">
        <v>3486</v>
      </c>
      <c r="D13498" s="69" t="s">
        <v>29418</v>
      </c>
      <c r="E13498" s="51"/>
      <c r="F13498" s="114" t="str">
        <f>IF(INDEX(I.Facility.P2bIDNumber,3486)="","",INDEX(I.Facility.P2bIDNumber,3486))</f>
        <v/>
      </c>
      <c r="G13498" s="51"/>
      <c r="H13498" s="46" t="str">
        <f>IF(AND(I.Developer.P2b=TRUE,I.Facility.P2bFacilityCount&gt;=3486,F13498=""),"Incomplete","Complete")</f>
        <v>Complete</v>
      </c>
      <c r="I13498" s="48" t="s">
        <v>17863</v>
      </c>
    </row>
    <row r="13499" spans="2:9" ht="15" customHeight="1" x14ac:dyDescent="0.25">
      <c r="B13499" s="55" t="s">
        <v>281</v>
      </c>
      <c r="C13499" s="46">
        <v>3487</v>
      </c>
      <c r="D13499" s="69" t="s">
        <v>29418</v>
      </c>
      <c r="E13499" s="51"/>
      <c r="F13499" s="114" t="str">
        <f>IF(INDEX(I.Facility.P2bIDNumber,3487)="","",INDEX(I.Facility.P2bIDNumber,3487))</f>
        <v/>
      </c>
      <c r="G13499" s="51"/>
      <c r="H13499" s="46" t="str">
        <f>IF(AND(I.Developer.P2b=TRUE,I.Facility.P2bFacilityCount&gt;=3487,F13499=""),"Incomplete","Complete")</f>
        <v>Complete</v>
      </c>
      <c r="I13499" s="48" t="s">
        <v>17864</v>
      </c>
    </row>
    <row r="13500" spans="2:9" ht="15" customHeight="1" x14ac:dyDescent="0.25">
      <c r="B13500" s="55" t="s">
        <v>281</v>
      </c>
      <c r="C13500" s="46">
        <v>3488</v>
      </c>
      <c r="D13500" s="69" t="s">
        <v>29418</v>
      </c>
      <c r="E13500" s="51"/>
      <c r="F13500" s="114" t="str">
        <f>IF(INDEX(I.Facility.P2bIDNumber,3488)="","",INDEX(I.Facility.P2bIDNumber,3488))</f>
        <v/>
      </c>
      <c r="G13500" s="51"/>
      <c r="H13500" s="46" t="str">
        <f>IF(AND(I.Developer.P2b=TRUE,I.Facility.P2bFacilityCount&gt;=3488,F13500=""),"Incomplete","Complete")</f>
        <v>Complete</v>
      </c>
      <c r="I13500" s="48" t="s">
        <v>17865</v>
      </c>
    </row>
    <row r="13501" spans="2:9" ht="15" customHeight="1" x14ac:dyDescent="0.25">
      <c r="B13501" s="55" t="s">
        <v>281</v>
      </c>
      <c r="C13501" s="46">
        <v>3489</v>
      </c>
      <c r="D13501" s="69" t="s">
        <v>29418</v>
      </c>
      <c r="E13501" s="51"/>
      <c r="F13501" s="114" t="str">
        <f>IF(INDEX(I.Facility.P2bIDNumber,3489)="","",INDEX(I.Facility.P2bIDNumber,3489))</f>
        <v/>
      </c>
      <c r="G13501" s="51"/>
      <c r="H13501" s="46" t="str">
        <f>IF(AND(I.Developer.P2b=TRUE,I.Facility.P2bFacilityCount&gt;=3489,F13501=""),"Incomplete","Complete")</f>
        <v>Complete</v>
      </c>
      <c r="I13501" s="48" t="s">
        <v>17866</v>
      </c>
    </row>
    <row r="13502" spans="2:9" ht="15" customHeight="1" x14ac:dyDescent="0.25">
      <c r="B13502" s="55" t="s">
        <v>281</v>
      </c>
      <c r="C13502" s="46">
        <v>3490</v>
      </c>
      <c r="D13502" s="69" t="s">
        <v>29418</v>
      </c>
      <c r="E13502" s="51"/>
      <c r="F13502" s="114" t="str">
        <f>IF(INDEX(I.Facility.P2bIDNumber,3490)="","",INDEX(I.Facility.P2bIDNumber,3490))</f>
        <v/>
      </c>
      <c r="G13502" s="51"/>
      <c r="H13502" s="46" t="str">
        <f>IF(AND(I.Developer.P2b=TRUE,I.Facility.P2bFacilityCount&gt;=3490,F13502=""),"Incomplete","Complete")</f>
        <v>Complete</v>
      </c>
      <c r="I13502" s="48" t="s">
        <v>17867</v>
      </c>
    </row>
    <row r="13503" spans="2:9" ht="15" customHeight="1" x14ac:dyDescent="0.25">
      <c r="B13503" s="55" t="s">
        <v>281</v>
      </c>
      <c r="C13503" s="46">
        <v>3491</v>
      </c>
      <c r="D13503" s="69" t="s">
        <v>29418</v>
      </c>
      <c r="E13503" s="51"/>
      <c r="F13503" s="114" t="str">
        <f>IF(INDEX(I.Facility.P2bIDNumber,3491)="","",INDEX(I.Facility.P2bIDNumber,3491))</f>
        <v/>
      </c>
      <c r="G13503" s="51"/>
      <c r="H13503" s="46" t="str">
        <f>IF(AND(I.Developer.P2b=TRUE,I.Facility.P2bFacilityCount&gt;=3491,F13503=""),"Incomplete","Complete")</f>
        <v>Complete</v>
      </c>
      <c r="I13503" s="48" t="s">
        <v>17868</v>
      </c>
    </row>
    <row r="13504" spans="2:9" ht="15" customHeight="1" x14ac:dyDescent="0.25">
      <c r="B13504" s="55" t="s">
        <v>281</v>
      </c>
      <c r="C13504" s="46">
        <v>3492</v>
      </c>
      <c r="D13504" s="69" t="s">
        <v>29418</v>
      </c>
      <c r="E13504" s="51"/>
      <c r="F13504" s="114" t="str">
        <f>IF(INDEX(I.Facility.P2bIDNumber,3492)="","",INDEX(I.Facility.P2bIDNumber,3492))</f>
        <v/>
      </c>
      <c r="G13504" s="51"/>
      <c r="H13504" s="46" t="str">
        <f>IF(AND(I.Developer.P2b=TRUE,I.Facility.P2bFacilityCount&gt;=3492,F13504=""),"Incomplete","Complete")</f>
        <v>Complete</v>
      </c>
      <c r="I13504" s="48" t="s">
        <v>17869</v>
      </c>
    </row>
    <row r="13505" spans="2:9" ht="15" customHeight="1" x14ac:dyDescent="0.25">
      <c r="B13505" s="55" t="s">
        <v>281</v>
      </c>
      <c r="C13505" s="46">
        <v>3493</v>
      </c>
      <c r="D13505" s="69" t="s">
        <v>29418</v>
      </c>
      <c r="E13505" s="51"/>
      <c r="F13505" s="114" t="str">
        <f>IF(INDEX(I.Facility.P2bIDNumber,3493)="","",INDEX(I.Facility.P2bIDNumber,3493))</f>
        <v/>
      </c>
      <c r="G13505" s="51"/>
      <c r="H13505" s="46" t="str">
        <f>IF(AND(I.Developer.P2b=TRUE,I.Facility.P2bFacilityCount&gt;=3493,F13505=""),"Incomplete","Complete")</f>
        <v>Complete</v>
      </c>
      <c r="I13505" s="48" t="s">
        <v>17870</v>
      </c>
    </row>
    <row r="13506" spans="2:9" ht="15" customHeight="1" x14ac:dyDescent="0.25">
      <c r="B13506" s="55" t="s">
        <v>281</v>
      </c>
      <c r="C13506" s="46">
        <v>3494</v>
      </c>
      <c r="D13506" s="69" t="s">
        <v>29418</v>
      </c>
      <c r="E13506" s="51"/>
      <c r="F13506" s="114" t="str">
        <f>IF(INDEX(I.Facility.P2bIDNumber,3494)="","",INDEX(I.Facility.P2bIDNumber,3494))</f>
        <v/>
      </c>
      <c r="G13506" s="51"/>
      <c r="H13506" s="46" t="str">
        <f>IF(AND(I.Developer.P2b=TRUE,I.Facility.P2bFacilityCount&gt;=3494,F13506=""),"Incomplete","Complete")</f>
        <v>Complete</v>
      </c>
      <c r="I13506" s="48" t="s">
        <v>17871</v>
      </c>
    </row>
    <row r="13507" spans="2:9" ht="15" customHeight="1" x14ac:dyDescent="0.25">
      <c r="B13507" s="55" t="s">
        <v>281</v>
      </c>
      <c r="C13507" s="46">
        <v>3495</v>
      </c>
      <c r="D13507" s="69" t="s">
        <v>29418</v>
      </c>
      <c r="E13507" s="51"/>
      <c r="F13507" s="114" t="str">
        <f>IF(INDEX(I.Facility.P2bIDNumber,3495)="","",INDEX(I.Facility.P2bIDNumber,3495))</f>
        <v/>
      </c>
      <c r="G13507" s="51"/>
      <c r="H13507" s="46" t="str">
        <f>IF(AND(I.Developer.P2b=TRUE,I.Facility.P2bFacilityCount&gt;=3495,F13507=""),"Incomplete","Complete")</f>
        <v>Complete</v>
      </c>
      <c r="I13507" s="48" t="s">
        <v>17872</v>
      </c>
    </row>
    <row r="13508" spans="2:9" ht="15" customHeight="1" x14ac:dyDescent="0.25">
      <c r="B13508" s="55" t="s">
        <v>281</v>
      </c>
      <c r="C13508" s="46">
        <v>3496</v>
      </c>
      <c r="D13508" s="69" t="s">
        <v>29418</v>
      </c>
      <c r="E13508" s="51"/>
      <c r="F13508" s="114" t="str">
        <f>IF(INDEX(I.Facility.P2bIDNumber,3496)="","",INDEX(I.Facility.P2bIDNumber,3496))</f>
        <v/>
      </c>
      <c r="G13508" s="51"/>
      <c r="H13508" s="46" t="str">
        <f>IF(AND(I.Developer.P2b=TRUE,I.Facility.P2bFacilityCount&gt;=3496,F13508=""),"Incomplete","Complete")</f>
        <v>Complete</v>
      </c>
      <c r="I13508" s="48" t="s">
        <v>17873</v>
      </c>
    </row>
    <row r="13509" spans="2:9" ht="15" customHeight="1" x14ac:dyDescent="0.25">
      <c r="B13509" s="55" t="s">
        <v>281</v>
      </c>
      <c r="C13509" s="46">
        <v>3497</v>
      </c>
      <c r="D13509" s="69" t="s">
        <v>29418</v>
      </c>
      <c r="E13509" s="51"/>
      <c r="F13509" s="114" t="str">
        <f>IF(INDEX(I.Facility.P2bIDNumber,3497)="","",INDEX(I.Facility.P2bIDNumber,3497))</f>
        <v/>
      </c>
      <c r="G13509" s="51"/>
      <c r="H13509" s="46" t="str">
        <f>IF(AND(I.Developer.P2b=TRUE,I.Facility.P2bFacilityCount&gt;=3497,F13509=""),"Incomplete","Complete")</f>
        <v>Complete</v>
      </c>
      <c r="I13509" s="48" t="s">
        <v>17874</v>
      </c>
    </row>
    <row r="13510" spans="2:9" ht="15" customHeight="1" x14ac:dyDescent="0.25">
      <c r="B13510" s="55" t="s">
        <v>281</v>
      </c>
      <c r="C13510" s="46">
        <v>3498</v>
      </c>
      <c r="D13510" s="69" t="s">
        <v>29418</v>
      </c>
      <c r="E13510" s="51"/>
      <c r="F13510" s="114" t="str">
        <f>IF(INDEX(I.Facility.P2bIDNumber,3498)="","",INDEX(I.Facility.P2bIDNumber,3498))</f>
        <v/>
      </c>
      <c r="G13510" s="51"/>
      <c r="H13510" s="46" t="str">
        <f>IF(AND(I.Developer.P2b=TRUE,I.Facility.P2bFacilityCount&gt;=3498,F13510=""),"Incomplete","Complete")</f>
        <v>Complete</v>
      </c>
      <c r="I13510" s="48" t="s">
        <v>17875</v>
      </c>
    </row>
    <row r="13511" spans="2:9" ht="15" customHeight="1" x14ac:dyDescent="0.25">
      <c r="B13511" s="55" t="s">
        <v>281</v>
      </c>
      <c r="C13511" s="46">
        <v>3499</v>
      </c>
      <c r="D13511" s="69" t="s">
        <v>29418</v>
      </c>
      <c r="E13511" s="51"/>
      <c r="F13511" s="114" t="str">
        <f>IF(INDEX(I.Facility.P2bIDNumber,3499)="","",INDEX(I.Facility.P2bIDNumber,3499))</f>
        <v/>
      </c>
      <c r="G13511" s="51"/>
      <c r="H13511" s="46" t="str">
        <f>IF(AND(I.Developer.P2b=TRUE,I.Facility.P2bFacilityCount&gt;=3499,F13511=""),"Incomplete","Complete")</f>
        <v>Complete</v>
      </c>
      <c r="I13511" s="48" t="s">
        <v>17876</v>
      </c>
    </row>
    <row r="13512" spans="2:9" ht="15" customHeight="1" x14ac:dyDescent="0.25">
      <c r="B13512" s="55" t="s">
        <v>281</v>
      </c>
      <c r="C13512" s="46">
        <v>3500</v>
      </c>
      <c r="D13512" s="69" t="s">
        <v>29418</v>
      </c>
      <c r="E13512" s="51"/>
      <c r="F13512" s="114" t="str">
        <f>IF(INDEX(I.Facility.P2bIDNumber,3500)="","",INDEX(I.Facility.P2bIDNumber,3500))</f>
        <v/>
      </c>
      <c r="G13512" s="51"/>
      <c r="H13512" s="46" t="str">
        <f>IF(AND(I.Developer.P2b=TRUE,I.Facility.P2bFacilityCount&gt;=3500,F13512=""),"Incomplete","Complete")</f>
        <v>Complete</v>
      </c>
      <c r="I13512" s="48" t="s">
        <v>17877</v>
      </c>
    </row>
    <row r="13513" spans="2:9" ht="15" customHeight="1" x14ac:dyDescent="0.25">
      <c r="B13513" s="55" t="s">
        <v>281</v>
      </c>
      <c r="C13513" s="46">
        <v>3501</v>
      </c>
      <c r="D13513" s="69" t="s">
        <v>29418</v>
      </c>
      <c r="E13513" s="51"/>
      <c r="F13513" s="114" t="str">
        <f>IF(INDEX(I.Facility.P2bIDNumber,3501)="","",INDEX(I.Facility.P2bIDNumber,3501))</f>
        <v/>
      </c>
      <c r="G13513" s="51"/>
      <c r="H13513" s="46" t="str">
        <f>IF(AND(I.Developer.P2b=TRUE,I.Facility.P2bFacilityCount&gt;=3501,F13513=""),"Incomplete","Complete")</f>
        <v>Complete</v>
      </c>
      <c r="I13513" s="48" t="s">
        <v>17878</v>
      </c>
    </row>
    <row r="13514" spans="2:9" ht="15" customHeight="1" x14ac:dyDescent="0.25">
      <c r="B13514" s="55" t="s">
        <v>281</v>
      </c>
      <c r="C13514" s="46">
        <v>3502</v>
      </c>
      <c r="D13514" s="69" t="s">
        <v>29418</v>
      </c>
      <c r="E13514" s="51"/>
      <c r="F13514" s="114" t="str">
        <f>IF(INDEX(I.Facility.P2bIDNumber,3502)="","",INDEX(I.Facility.P2bIDNumber,3502))</f>
        <v/>
      </c>
      <c r="G13514" s="51"/>
      <c r="H13514" s="46" t="str">
        <f>IF(AND(I.Developer.P2b=TRUE,I.Facility.P2bFacilityCount&gt;=3502,F13514=""),"Incomplete","Complete")</f>
        <v>Complete</v>
      </c>
      <c r="I13514" s="48" t="s">
        <v>17879</v>
      </c>
    </row>
    <row r="13515" spans="2:9" ht="15" customHeight="1" x14ac:dyDescent="0.25">
      <c r="B13515" s="55" t="s">
        <v>281</v>
      </c>
      <c r="C13515" s="46">
        <v>3503</v>
      </c>
      <c r="D13515" s="69" t="s">
        <v>29418</v>
      </c>
      <c r="E13515" s="51"/>
      <c r="F13515" s="114" t="str">
        <f>IF(INDEX(I.Facility.P2bIDNumber,3503)="","",INDEX(I.Facility.P2bIDNumber,3503))</f>
        <v/>
      </c>
      <c r="G13515" s="51"/>
      <c r="H13515" s="46" t="str">
        <f>IF(AND(I.Developer.P2b=TRUE,I.Facility.P2bFacilityCount&gt;=3503,F13515=""),"Incomplete","Complete")</f>
        <v>Complete</v>
      </c>
      <c r="I13515" s="48" t="s">
        <v>17880</v>
      </c>
    </row>
    <row r="13516" spans="2:9" ht="15" customHeight="1" x14ac:dyDescent="0.25">
      <c r="B13516" s="55" t="s">
        <v>281</v>
      </c>
      <c r="C13516" s="46">
        <v>3504</v>
      </c>
      <c r="D13516" s="69" t="s">
        <v>29418</v>
      </c>
      <c r="E13516" s="51"/>
      <c r="F13516" s="114" t="str">
        <f>IF(INDEX(I.Facility.P2bIDNumber,3504)="","",INDEX(I.Facility.P2bIDNumber,3504))</f>
        <v/>
      </c>
      <c r="G13516" s="51"/>
      <c r="H13516" s="46" t="str">
        <f>IF(AND(I.Developer.P2b=TRUE,I.Facility.P2bFacilityCount&gt;=3504,F13516=""),"Incomplete","Complete")</f>
        <v>Complete</v>
      </c>
      <c r="I13516" s="48" t="s">
        <v>17881</v>
      </c>
    </row>
    <row r="13517" spans="2:9" ht="15" customHeight="1" x14ac:dyDescent="0.25">
      <c r="B13517" s="55" t="s">
        <v>281</v>
      </c>
      <c r="C13517" s="46">
        <v>3505</v>
      </c>
      <c r="D13517" s="69" t="s">
        <v>29418</v>
      </c>
      <c r="E13517" s="51"/>
      <c r="F13517" s="114" t="str">
        <f>IF(INDEX(I.Facility.P2bIDNumber,3505)="","",INDEX(I.Facility.P2bIDNumber,3505))</f>
        <v/>
      </c>
      <c r="G13517" s="51"/>
      <c r="H13517" s="46" t="str">
        <f>IF(AND(I.Developer.P2b=TRUE,I.Facility.P2bFacilityCount&gt;=3505,F13517=""),"Incomplete","Complete")</f>
        <v>Complete</v>
      </c>
      <c r="I13517" s="48" t="s">
        <v>17882</v>
      </c>
    </row>
    <row r="13518" spans="2:9" ht="15" customHeight="1" x14ac:dyDescent="0.25">
      <c r="B13518" s="55" t="s">
        <v>281</v>
      </c>
      <c r="C13518" s="46">
        <v>3506</v>
      </c>
      <c r="D13518" s="69" t="s">
        <v>29418</v>
      </c>
      <c r="E13518" s="51"/>
      <c r="F13518" s="114" t="str">
        <f>IF(INDEX(I.Facility.P2bIDNumber,3506)="","",INDEX(I.Facility.P2bIDNumber,3506))</f>
        <v/>
      </c>
      <c r="G13518" s="51"/>
      <c r="H13518" s="46" t="str">
        <f>IF(AND(I.Developer.P2b=TRUE,I.Facility.P2bFacilityCount&gt;=3506,F13518=""),"Incomplete","Complete")</f>
        <v>Complete</v>
      </c>
      <c r="I13518" s="48" t="s">
        <v>17883</v>
      </c>
    </row>
    <row r="13519" spans="2:9" ht="15" customHeight="1" x14ac:dyDescent="0.25">
      <c r="B13519" s="55" t="s">
        <v>281</v>
      </c>
      <c r="C13519" s="46">
        <v>3507</v>
      </c>
      <c r="D13519" s="69" t="s">
        <v>29418</v>
      </c>
      <c r="E13519" s="51"/>
      <c r="F13519" s="114" t="str">
        <f>IF(INDEX(I.Facility.P2bIDNumber,3507)="","",INDEX(I.Facility.P2bIDNumber,3507))</f>
        <v/>
      </c>
      <c r="G13519" s="51"/>
      <c r="H13519" s="46" t="str">
        <f>IF(AND(I.Developer.P2b=TRUE,I.Facility.P2bFacilityCount&gt;=3507,F13519=""),"Incomplete","Complete")</f>
        <v>Complete</v>
      </c>
      <c r="I13519" s="48" t="s">
        <v>17884</v>
      </c>
    </row>
    <row r="13520" spans="2:9" ht="15" customHeight="1" x14ac:dyDescent="0.25">
      <c r="B13520" s="55" t="s">
        <v>281</v>
      </c>
      <c r="C13520" s="46">
        <v>3508</v>
      </c>
      <c r="D13520" s="69" t="s">
        <v>29418</v>
      </c>
      <c r="E13520" s="51"/>
      <c r="F13520" s="114" t="str">
        <f>IF(INDEX(I.Facility.P2bIDNumber,3508)="","",INDEX(I.Facility.P2bIDNumber,3508))</f>
        <v/>
      </c>
      <c r="G13520" s="51"/>
      <c r="H13520" s="46" t="str">
        <f>IF(AND(I.Developer.P2b=TRUE,I.Facility.P2bFacilityCount&gt;=3508,F13520=""),"Incomplete","Complete")</f>
        <v>Complete</v>
      </c>
      <c r="I13520" s="48" t="s">
        <v>17885</v>
      </c>
    </row>
    <row r="13521" spans="2:9" ht="15" customHeight="1" x14ac:dyDescent="0.25">
      <c r="B13521" s="55" t="s">
        <v>281</v>
      </c>
      <c r="C13521" s="46">
        <v>3509</v>
      </c>
      <c r="D13521" s="69" t="s">
        <v>29418</v>
      </c>
      <c r="E13521" s="51"/>
      <c r="F13521" s="114" t="str">
        <f>IF(INDEX(I.Facility.P2bIDNumber,3509)="","",INDEX(I.Facility.P2bIDNumber,3509))</f>
        <v/>
      </c>
      <c r="G13521" s="51"/>
      <c r="H13521" s="46" t="str">
        <f>IF(AND(I.Developer.P2b=TRUE,I.Facility.P2bFacilityCount&gt;=3509,F13521=""),"Incomplete","Complete")</f>
        <v>Complete</v>
      </c>
      <c r="I13521" s="48" t="s">
        <v>17886</v>
      </c>
    </row>
    <row r="13522" spans="2:9" ht="15" customHeight="1" x14ac:dyDescent="0.25">
      <c r="B13522" s="55" t="s">
        <v>281</v>
      </c>
      <c r="C13522" s="46">
        <v>3510</v>
      </c>
      <c r="D13522" s="69" t="s">
        <v>29418</v>
      </c>
      <c r="E13522" s="51"/>
      <c r="F13522" s="114" t="str">
        <f>IF(INDEX(I.Facility.P2bIDNumber,3510)="","",INDEX(I.Facility.P2bIDNumber,3510))</f>
        <v/>
      </c>
      <c r="G13522" s="51"/>
      <c r="H13522" s="46" t="str">
        <f>IF(AND(I.Developer.P2b=TRUE,I.Facility.P2bFacilityCount&gt;=3510,F13522=""),"Incomplete","Complete")</f>
        <v>Complete</v>
      </c>
      <c r="I13522" s="48" t="s">
        <v>17887</v>
      </c>
    </row>
    <row r="13523" spans="2:9" ht="15" customHeight="1" x14ac:dyDescent="0.25">
      <c r="B13523" s="55" t="s">
        <v>281</v>
      </c>
      <c r="C13523" s="46">
        <v>3511</v>
      </c>
      <c r="D13523" s="69" t="s">
        <v>29418</v>
      </c>
      <c r="E13523" s="51"/>
      <c r="F13523" s="114" t="str">
        <f>IF(INDEX(I.Facility.P2bIDNumber,3511)="","",INDEX(I.Facility.P2bIDNumber,3511))</f>
        <v/>
      </c>
      <c r="G13523" s="51"/>
      <c r="H13523" s="46" t="str">
        <f>IF(AND(I.Developer.P2b=TRUE,I.Facility.P2bFacilityCount&gt;=3511,F13523=""),"Incomplete","Complete")</f>
        <v>Complete</v>
      </c>
      <c r="I13523" s="48" t="s">
        <v>17888</v>
      </c>
    </row>
    <row r="13524" spans="2:9" ht="15" customHeight="1" x14ac:dyDescent="0.25">
      <c r="B13524" s="55" t="s">
        <v>281</v>
      </c>
      <c r="C13524" s="46">
        <v>3512</v>
      </c>
      <c r="D13524" s="69" t="s">
        <v>29418</v>
      </c>
      <c r="E13524" s="51"/>
      <c r="F13524" s="114" t="str">
        <f>IF(INDEX(I.Facility.P2bIDNumber,3512)="","",INDEX(I.Facility.P2bIDNumber,3512))</f>
        <v/>
      </c>
      <c r="G13524" s="51"/>
      <c r="H13524" s="46" t="str">
        <f>IF(AND(I.Developer.P2b=TRUE,I.Facility.P2bFacilityCount&gt;=3512,F13524=""),"Incomplete","Complete")</f>
        <v>Complete</v>
      </c>
      <c r="I13524" s="48" t="s">
        <v>17889</v>
      </c>
    </row>
    <row r="13525" spans="2:9" ht="15" customHeight="1" x14ac:dyDescent="0.25">
      <c r="B13525" s="55" t="s">
        <v>281</v>
      </c>
      <c r="C13525" s="46">
        <v>3513</v>
      </c>
      <c r="D13525" s="69" t="s">
        <v>29418</v>
      </c>
      <c r="E13525" s="51"/>
      <c r="F13525" s="114" t="str">
        <f>IF(INDEX(I.Facility.P2bIDNumber,3513)="","",INDEX(I.Facility.P2bIDNumber,3513))</f>
        <v/>
      </c>
      <c r="G13525" s="51"/>
      <c r="H13525" s="46" t="str">
        <f>IF(AND(I.Developer.P2b=TRUE,I.Facility.P2bFacilityCount&gt;=3513,F13525=""),"Incomplete","Complete")</f>
        <v>Complete</v>
      </c>
      <c r="I13525" s="48" t="s">
        <v>17890</v>
      </c>
    </row>
    <row r="13526" spans="2:9" ht="15" customHeight="1" x14ac:dyDescent="0.25">
      <c r="B13526" s="55" t="s">
        <v>281</v>
      </c>
      <c r="C13526" s="46">
        <v>3514</v>
      </c>
      <c r="D13526" s="69" t="s">
        <v>29418</v>
      </c>
      <c r="E13526" s="51"/>
      <c r="F13526" s="114" t="str">
        <f>IF(INDEX(I.Facility.P2bIDNumber,3514)="","",INDEX(I.Facility.P2bIDNumber,3514))</f>
        <v/>
      </c>
      <c r="G13526" s="51"/>
      <c r="H13526" s="46" t="str">
        <f>IF(AND(I.Developer.P2b=TRUE,I.Facility.P2bFacilityCount&gt;=3514,F13526=""),"Incomplete","Complete")</f>
        <v>Complete</v>
      </c>
      <c r="I13526" s="48" t="s">
        <v>17891</v>
      </c>
    </row>
    <row r="13527" spans="2:9" ht="15" customHeight="1" x14ac:dyDescent="0.25">
      <c r="B13527" s="55" t="s">
        <v>281</v>
      </c>
      <c r="C13527" s="46">
        <v>3515</v>
      </c>
      <c r="D13527" s="69" t="s">
        <v>29418</v>
      </c>
      <c r="E13527" s="51"/>
      <c r="F13527" s="114" t="str">
        <f>IF(INDEX(I.Facility.P2bIDNumber,3515)="","",INDEX(I.Facility.P2bIDNumber,3515))</f>
        <v/>
      </c>
      <c r="G13527" s="51"/>
      <c r="H13527" s="46" t="str">
        <f>IF(AND(I.Developer.P2b=TRUE,I.Facility.P2bFacilityCount&gt;=3515,F13527=""),"Incomplete","Complete")</f>
        <v>Complete</v>
      </c>
      <c r="I13527" s="48" t="s">
        <v>17892</v>
      </c>
    </row>
    <row r="13528" spans="2:9" ht="15" customHeight="1" x14ac:dyDescent="0.25">
      <c r="B13528" s="55" t="s">
        <v>281</v>
      </c>
      <c r="C13528" s="46">
        <v>3516</v>
      </c>
      <c r="D13528" s="69" t="s">
        <v>29418</v>
      </c>
      <c r="E13528" s="51"/>
      <c r="F13528" s="114" t="str">
        <f>IF(INDEX(I.Facility.P2bIDNumber,3516)="","",INDEX(I.Facility.P2bIDNumber,3516))</f>
        <v/>
      </c>
      <c r="G13528" s="51"/>
      <c r="H13528" s="46" t="str">
        <f>IF(AND(I.Developer.P2b=TRUE,I.Facility.P2bFacilityCount&gt;=3516,F13528=""),"Incomplete","Complete")</f>
        <v>Complete</v>
      </c>
      <c r="I13528" s="48" t="s">
        <v>17893</v>
      </c>
    </row>
    <row r="13529" spans="2:9" ht="15" customHeight="1" x14ac:dyDescent="0.25">
      <c r="B13529" s="55" t="s">
        <v>281</v>
      </c>
      <c r="C13529" s="46">
        <v>3517</v>
      </c>
      <c r="D13529" s="69" t="s">
        <v>29418</v>
      </c>
      <c r="E13529" s="51"/>
      <c r="F13529" s="114" t="str">
        <f>IF(INDEX(I.Facility.P2bIDNumber,3517)="","",INDEX(I.Facility.P2bIDNumber,3517))</f>
        <v/>
      </c>
      <c r="G13529" s="51"/>
      <c r="H13529" s="46" t="str">
        <f>IF(AND(I.Developer.P2b=TRUE,I.Facility.P2bFacilityCount&gt;=3517,F13529=""),"Incomplete","Complete")</f>
        <v>Complete</v>
      </c>
      <c r="I13529" s="48" t="s">
        <v>17894</v>
      </c>
    </row>
    <row r="13530" spans="2:9" ht="15" customHeight="1" x14ac:dyDescent="0.25">
      <c r="B13530" s="55" t="s">
        <v>281</v>
      </c>
      <c r="C13530" s="46">
        <v>3518</v>
      </c>
      <c r="D13530" s="69" t="s">
        <v>29418</v>
      </c>
      <c r="E13530" s="51"/>
      <c r="F13530" s="114" t="str">
        <f>IF(INDEX(I.Facility.P2bIDNumber,3518)="","",INDEX(I.Facility.P2bIDNumber,3518))</f>
        <v/>
      </c>
      <c r="G13530" s="51"/>
      <c r="H13530" s="46" t="str">
        <f>IF(AND(I.Developer.P2b=TRUE,I.Facility.P2bFacilityCount&gt;=3518,F13530=""),"Incomplete","Complete")</f>
        <v>Complete</v>
      </c>
      <c r="I13530" s="48" t="s">
        <v>17895</v>
      </c>
    </row>
    <row r="13531" spans="2:9" ht="15" customHeight="1" x14ac:dyDescent="0.25">
      <c r="B13531" s="55" t="s">
        <v>281</v>
      </c>
      <c r="C13531" s="46">
        <v>3519</v>
      </c>
      <c r="D13531" s="69" t="s">
        <v>29418</v>
      </c>
      <c r="E13531" s="51"/>
      <c r="F13531" s="114" t="str">
        <f>IF(INDEX(I.Facility.P2bIDNumber,3519)="","",INDEX(I.Facility.P2bIDNumber,3519))</f>
        <v/>
      </c>
      <c r="G13531" s="51"/>
      <c r="H13531" s="46" t="str">
        <f>IF(AND(I.Developer.P2b=TRUE,I.Facility.P2bFacilityCount&gt;=3519,F13531=""),"Incomplete","Complete")</f>
        <v>Complete</v>
      </c>
      <c r="I13531" s="48" t="s">
        <v>17896</v>
      </c>
    </row>
    <row r="13532" spans="2:9" ht="15" customHeight="1" x14ac:dyDescent="0.25">
      <c r="B13532" s="55" t="s">
        <v>281</v>
      </c>
      <c r="C13532" s="46">
        <v>3520</v>
      </c>
      <c r="D13532" s="69" t="s">
        <v>29418</v>
      </c>
      <c r="E13532" s="51"/>
      <c r="F13532" s="114" t="str">
        <f>IF(INDEX(I.Facility.P2bIDNumber,3520)="","",INDEX(I.Facility.P2bIDNumber,3520))</f>
        <v/>
      </c>
      <c r="G13532" s="51"/>
      <c r="H13532" s="46" t="str">
        <f>IF(AND(I.Developer.P2b=TRUE,I.Facility.P2bFacilityCount&gt;=3520,F13532=""),"Incomplete","Complete")</f>
        <v>Complete</v>
      </c>
      <c r="I13532" s="48" t="s">
        <v>17897</v>
      </c>
    </row>
    <row r="13533" spans="2:9" ht="15" customHeight="1" x14ac:dyDescent="0.25">
      <c r="B13533" s="55" t="s">
        <v>281</v>
      </c>
      <c r="C13533" s="46">
        <v>3521</v>
      </c>
      <c r="D13533" s="69" t="s">
        <v>29418</v>
      </c>
      <c r="E13533" s="51"/>
      <c r="F13533" s="114" t="str">
        <f>IF(INDEX(I.Facility.P2bIDNumber,3521)="","",INDEX(I.Facility.P2bIDNumber,3521))</f>
        <v/>
      </c>
      <c r="G13533" s="51"/>
      <c r="H13533" s="46" t="str">
        <f>IF(AND(I.Developer.P2b=TRUE,I.Facility.P2bFacilityCount&gt;=3521,F13533=""),"Incomplete","Complete")</f>
        <v>Complete</v>
      </c>
      <c r="I13533" s="48" t="s">
        <v>17898</v>
      </c>
    </row>
    <row r="13534" spans="2:9" ht="15" customHeight="1" x14ac:dyDescent="0.25">
      <c r="B13534" s="55" t="s">
        <v>281</v>
      </c>
      <c r="C13534" s="46">
        <v>3522</v>
      </c>
      <c r="D13534" s="69" t="s">
        <v>29418</v>
      </c>
      <c r="E13534" s="51"/>
      <c r="F13534" s="114" t="str">
        <f>IF(INDEX(I.Facility.P2bIDNumber,3522)="","",INDEX(I.Facility.P2bIDNumber,3522))</f>
        <v/>
      </c>
      <c r="G13534" s="51"/>
      <c r="H13534" s="46" t="str">
        <f>IF(AND(I.Developer.P2b=TRUE,I.Facility.P2bFacilityCount&gt;=3522,F13534=""),"Incomplete","Complete")</f>
        <v>Complete</v>
      </c>
      <c r="I13534" s="48" t="s">
        <v>17899</v>
      </c>
    </row>
    <row r="13535" spans="2:9" ht="15" customHeight="1" x14ac:dyDescent="0.25">
      <c r="B13535" s="55" t="s">
        <v>281</v>
      </c>
      <c r="C13535" s="46">
        <v>3523</v>
      </c>
      <c r="D13535" s="69" t="s">
        <v>29418</v>
      </c>
      <c r="E13535" s="51"/>
      <c r="F13535" s="114" t="str">
        <f>IF(INDEX(I.Facility.P2bIDNumber,3523)="","",INDEX(I.Facility.P2bIDNumber,3523))</f>
        <v/>
      </c>
      <c r="G13535" s="51"/>
      <c r="H13535" s="46" t="str">
        <f>IF(AND(I.Developer.P2b=TRUE,I.Facility.P2bFacilityCount&gt;=3523,F13535=""),"Incomplete","Complete")</f>
        <v>Complete</v>
      </c>
      <c r="I13535" s="48" t="s">
        <v>17900</v>
      </c>
    </row>
    <row r="13536" spans="2:9" ht="15" customHeight="1" x14ac:dyDescent="0.25">
      <c r="B13536" s="55" t="s">
        <v>281</v>
      </c>
      <c r="C13536" s="46">
        <v>3524</v>
      </c>
      <c r="D13536" s="69" t="s">
        <v>29418</v>
      </c>
      <c r="E13536" s="51"/>
      <c r="F13536" s="114" t="str">
        <f>IF(INDEX(I.Facility.P2bIDNumber,3524)="","",INDEX(I.Facility.P2bIDNumber,3524))</f>
        <v/>
      </c>
      <c r="G13536" s="51"/>
      <c r="H13536" s="46" t="str">
        <f>IF(AND(I.Developer.P2b=TRUE,I.Facility.P2bFacilityCount&gt;=3524,F13536=""),"Incomplete","Complete")</f>
        <v>Complete</v>
      </c>
      <c r="I13536" s="48" t="s">
        <v>17901</v>
      </c>
    </row>
    <row r="13537" spans="2:9" ht="15" customHeight="1" x14ac:dyDescent="0.25">
      <c r="B13537" s="55" t="s">
        <v>281</v>
      </c>
      <c r="C13537" s="46">
        <v>3525</v>
      </c>
      <c r="D13537" s="69" t="s">
        <v>29418</v>
      </c>
      <c r="E13537" s="51"/>
      <c r="F13537" s="114" t="str">
        <f>IF(INDEX(I.Facility.P2bIDNumber,3525)="","",INDEX(I.Facility.P2bIDNumber,3525))</f>
        <v/>
      </c>
      <c r="G13537" s="51"/>
      <c r="H13537" s="46" t="str">
        <f>IF(AND(I.Developer.P2b=TRUE,I.Facility.P2bFacilityCount&gt;=3525,F13537=""),"Incomplete","Complete")</f>
        <v>Complete</v>
      </c>
      <c r="I13537" s="48" t="s">
        <v>17902</v>
      </c>
    </row>
    <row r="13538" spans="2:9" ht="15" customHeight="1" x14ac:dyDescent="0.25">
      <c r="B13538" s="55" t="s">
        <v>281</v>
      </c>
      <c r="C13538" s="46">
        <v>3526</v>
      </c>
      <c r="D13538" s="69" t="s">
        <v>29418</v>
      </c>
      <c r="E13538" s="51"/>
      <c r="F13538" s="114" t="str">
        <f>IF(INDEX(I.Facility.P2bIDNumber,3526)="","",INDEX(I.Facility.P2bIDNumber,3526))</f>
        <v/>
      </c>
      <c r="G13538" s="51"/>
      <c r="H13538" s="46" t="str">
        <f>IF(AND(I.Developer.P2b=TRUE,I.Facility.P2bFacilityCount&gt;=3526,F13538=""),"Incomplete","Complete")</f>
        <v>Complete</v>
      </c>
      <c r="I13538" s="48" t="s">
        <v>17903</v>
      </c>
    </row>
    <row r="13539" spans="2:9" ht="15" customHeight="1" x14ac:dyDescent="0.25">
      <c r="B13539" s="55" t="s">
        <v>281</v>
      </c>
      <c r="C13539" s="46">
        <v>3527</v>
      </c>
      <c r="D13539" s="69" t="s">
        <v>29418</v>
      </c>
      <c r="E13539" s="51"/>
      <c r="F13539" s="114" t="str">
        <f>IF(INDEX(I.Facility.P2bIDNumber,3527)="","",INDEX(I.Facility.P2bIDNumber,3527))</f>
        <v/>
      </c>
      <c r="G13539" s="51"/>
      <c r="H13539" s="46" t="str">
        <f>IF(AND(I.Developer.P2b=TRUE,I.Facility.P2bFacilityCount&gt;=3527,F13539=""),"Incomplete","Complete")</f>
        <v>Complete</v>
      </c>
      <c r="I13539" s="48" t="s">
        <v>17904</v>
      </c>
    </row>
    <row r="13540" spans="2:9" ht="15" customHeight="1" x14ac:dyDescent="0.25">
      <c r="B13540" s="55" t="s">
        <v>281</v>
      </c>
      <c r="C13540" s="46">
        <v>3528</v>
      </c>
      <c r="D13540" s="69" t="s">
        <v>29418</v>
      </c>
      <c r="E13540" s="51"/>
      <c r="F13540" s="114" t="str">
        <f>IF(INDEX(I.Facility.P2bIDNumber,3528)="","",INDEX(I.Facility.P2bIDNumber,3528))</f>
        <v/>
      </c>
      <c r="G13540" s="51"/>
      <c r="H13540" s="46" t="str">
        <f>IF(AND(I.Developer.P2b=TRUE,I.Facility.P2bFacilityCount&gt;=3528,F13540=""),"Incomplete","Complete")</f>
        <v>Complete</v>
      </c>
      <c r="I13540" s="48" t="s">
        <v>17905</v>
      </c>
    </row>
    <row r="13541" spans="2:9" ht="15" customHeight="1" x14ac:dyDescent="0.25">
      <c r="B13541" s="55" t="s">
        <v>281</v>
      </c>
      <c r="C13541" s="46">
        <v>3529</v>
      </c>
      <c r="D13541" s="69" t="s">
        <v>29418</v>
      </c>
      <c r="E13541" s="51"/>
      <c r="F13541" s="114" t="str">
        <f>IF(INDEX(I.Facility.P2bIDNumber,3529)="","",INDEX(I.Facility.P2bIDNumber,3529))</f>
        <v/>
      </c>
      <c r="G13541" s="51"/>
      <c r="H13541" s="46" t="str">
        <f>IF(AND(I.Developer.P2b=TRUE,I.Facility.P2bFacilityCount&gt;=3529,F13541=""),"Incomplete","Complete")</f>
        <v>Complete</v>
      </c>
      <c r="I13541" s="48" t="s">
        <v>17906</v>
      </c>
    </row>
    <row r="13542" spans="2:9" ht="15" customHeight="1" x14ac:dyDescent="0.25">
      <c r="B13542" s="55" t="s">
        <v>281</v>
      </c>
      <c r="C13542" s="46">
        <v>3530</v>
      </c>
      <c r="D13542" s="69" t="s">
        <v>29418</v>
      </c>
      <c r="E13542" s="51"/>
      <c r="F13542" s="114" t="str">
        <f>IF(INDEX(I.Facility.P2bIDNumber,3530)="","",INDEX(I.Facility.P2bIDNumber,3530))</f>
        <v/>
      </c>
      <c r="G13542" s="51"/>
      <c r="H13542" s="46" t="str">
        <f>IF(AND(I.Developer.P2b=TRUE,I.Facility.P2bFacilityCount&gt;=3530,F13542=""),"Incomplete","Complete")</f>
        <v>Complete</v>
      </c>
      <c r="I13542" s="48" t="s">
        <v>17907</v>
      </c>
    </row>
    <row r="13543" spans="2:9" ht="15" customHeight="1" x14ac:dyDescent="0.25">
      <c r="B13543" s="55" t="s">
        <v>281</v>
      </c>
      <c r="C13543" s="46">
        <v>3531</v>
      </c>
      <c r="D13543" s="69" t="s">
        <v>29418</v>
      </c>
      <c r="E13543" s="51"/>
      <c r="F13543" s="114" t="str">
        <f>IF(INDEX(I.Facility.P2bIDNumber,3531)="","",INDEX(I.Facility.P2bIDNumber,3531))</f>
        <v/>
      </c>
      <c r="G13543" s="51"/>
      <c r="H13543" s="46" t="str">
        <f>IF(AND(I.Developer.P2b=TRUE,I.Facility.P2bFacilityCount&gt;=3531,F13543=""),"Incomplete","Complete")</f>
        <v>Complete</v>
      </c>
      <c r="I13543" s="48" t="s">
        <v>17908</v>
      </c>
    </row>
    <row r="13544" spans="2:9" ht="15" customHeight="1" x14ac:dyDescent="0.25">
      <c r="B13544" s="55" t="s">
        <v>281</v>
      </c>
      <c r="C13544" s="46">
        <v>3532</v>
      </c>
      <c r="D13544" s="69" t="s">
        <v>29418</v>
      </c>
      <c r="E13544" s="51"/>
      <c r="F13544" s="114" t="str">
        <f>IF(INDEX(I.Facility.P2bIDNumber,3532)="","",INDEX(I.Facility.P2bIDNumber,3532))</f>
        <v/>
      </c>
      <c r="G13544" s="51"/>
      <c r="H13544" s="46" t="str">
        <f>IF(AND(I.Developer.P2b=TRUE,I.Facility.P2bFacilityCount&gt;=3532,F13544=""),"Incomplete","Complete")</f>
        <v>Complete</v>
      </c>
      <c r="I13544" s="48" t="s">
        <v>17909</v>
      </c>
    </row>
    <row r="13545" spans="2:9" ht="15" customHeight="1" x14ac:dyDescent="0.25">
      <c r="B13545" s="55" t="s">
        <v>281</v>
      </c>
      <c r="C13545" s="46">
        <v>3533</v>
      </c>
      <c r="D13545" s="69" t="s">
        <v>29418</v>
      </c>
      <c r="E13545" s="51"/>
      <c r="F13545" s="114" t="str">
        <f>IF(INDEX(I.Facility.P2bIDNumber,3533)="","",INDEX(I.Facility.P2bIDNumber,3533))</f>
        <v/>
      </c>
      <c r="G13545" s="51"/>
      <c r="H13545" s="46" t="str">
        <f>IF(AND(I.Developer.P2b=TRUE,I.Facility.P2bFacilityCount&gt;=3533,F13545=""),"Incomplete","Complete")</f>
        <v>Complete</v>
      </c>
      <c r="I13545" s="48" t="s">
        <v>17910</v>
      </c>
    </row>
    <row r="13546" spans="2:9" ht="15" customHeight="1" x14ac:dyDescent="0.25">
      <c r="B13546" s="55" t="s">
        <v>281</v>
      </c>
      <c r="C13546" s="46">
        <v>3534</v>
      </c>
      <c r="D13546" s="69" t="s">
        <v>29418</v>
      </c>
      <c r="E13546" s="51"/>
      <c r="F13546" s="114" t="str">
        <f>IF(INDEX(I.Facility.P2bIDNumber,3534)="","",INDEX(I.Facility.P2bIDNumber,3534))</f>
        <v/>
      </c>
      <c r="G13546" s="51"/>
      <c r="H13546" s="46" t="str">
        <f>IF(AND(I.Developer.P2b=TRUE,I.Facility.P2bFacilityCount&gt;=3534,F13546=""),"Incomplete","Complete")</f>
        <v>Complete</v>
      </c>
      <c r="I13546" s="48" t="s">
        <v>17911</v>
      </c>
    </row>
    <row r="13547" spans="2:9" ht="15" customHeight="1" x14ac:dyDescent="0.25">
      <c r="B13547" s="55" t="s">
        <v>281</v>
      </c>
      <c r="C13547" s="46">
        <v>3535</v>
      </c>
      <c r="D13547" s="69" t="s">
        <v>29418</v>
      </c>
      <c r="E13547" s="51"/>
      <c r="F13547" s="114" t="str">
        <f>IF(INDEX(I.Facility.P2bIDNumber,3535)="","",INDEX(I.Facility.P2bIDNumber,3535))</f>
        <v/>
      </c>
      <c r="G13547" s="51"/>
      <c r="H13547" s="46" t="str">
        <f>IF(AND(I.Developer.P2b=TRUE,I.Facility.P2bFacilityCount&gt;=3535,F13547=""),"Incomplete","Complete")</f>
        <v>Complete</v>
      </c>
      <c r="I13547" s="48" t="s">
        <v>17912</v>
      </c>
    </row>
    <row r="13548" spans="2:9" ht="15" customHeight="1" x14ac:dyDescent="0.25">
      <c r="B13548" s="55" t="s">
        <v>281</v>
      </c>
      <c r="C13548" s="46">
        <v>3536</v>
      </c>
      <c r="D13548" s="69" t="s">
        <v>29418</v>
      </c>
      <c r="E13548" s="51"/>
      <c r="F13548" s="114" t="str">
        <f>IF(INDEX(I.Facility.P2bIDNumber,3536)="","",INDEX(I.Facility.P2bIDNumber,3536))</f>
        <v/>
      </c>
      <c r="G13548" s="51"/>
      <c r="H13548" s="46" t="str">
        <f>IF(AND(I.Developer.P2b=TRUE,I.Facility.P2bFacilityCount&gt;=3536,F13548=""),"Incomplete","Complete")</f>
        <v>Complete</v>
      </c>
      <c r="I13548" s="48" t="s">
        <v>17913</v>
      </c>
    </row>
    <row r="13549" spans="2:9" ht="15" customHeight="1" x14ac:dyDescent="0.25">
      <c r="B13549" s="55" t="s">
        <v>281</v>
      </c>
      <c r="C13549" s="46">
        <v>3537</v>
      </c>
      <c r="D13549" s="69" t="s">
        <v>29418</v>
      </c>
      <c r="E13549" s="51"/>
      <c r="F13549" s="114" t="str">
        <f>IF(INDEX(I.Facility.P2bIDNumber,3537)="","",INDEX(I.Facility.P2bIDNumber,3537))</f>
        <v/>
      </c>
      <c r="G13549" s="51"/>
      <c r="H13549" s="46" t="str">
        <f>IF(AND(I.Developer.P2b=TRUE,I.Facility.P2bFacilityCount&gt;=3537,F13549=""),"Incomplete","Complete")</f>
        <v>Complete</v>
      </c>
      <c r="I13549" s="48" t="s">
        <v>17914</v>
      </c>
    </row>
    <row r="13550" spans="2:9" ht="15" customHeight="1" x14ac:dyDescent="0.25">
      <c r="B13550" s="55" t="s">
        <v>281</v>
      </c>
      <c r="C13550" s="46">
        <v>3538</v>
      </c>
      <c r="D13550" s="69" t="s">
        <v>29418</v>
      </c>
      <c r="E13550" s="51"/>
      <c r="F13550" s="114" t="str">
        <f>IF(INDEX(I.Facility.P2bIDNumber,3538)="","",INDEX(I.Facility.P2bIDNumber,3538))</f>
        <v/>
      </c>
      <c r="G13550" s="51"/>
      <c r="H13550" s="46" t="str">
        <f>IF(AND(I.Developer.P2b=TRUE,I.Facility.P2bFacilityCount&gt;=3538,F13550=""),"Incomplete","Complete")</f>
        <v>Complete</v>
      </c>
      <c r="I13550" s="48" t="s">
        <v>17915</v>
      </c>
    </row>
    <row r="13551" spans="2:9" ht="15" customHeight="1" x14ac:dyDescent="0.25">
      <c r="B13551" s="55" t="s">
        <v>281</v>
      </c>
      <c r="C13551" s="46">
        <v>3539</v>
      </c>
      <c r="D13551" s="69" t="s">
        <v>29418</v>
      </c>
      <c r="E13551" s="51"/>
      <c r="F13551" s="114" t="str">
        <f>IF(INDEX(I.Facility.P2bIDNumber,3539)="","",INDEX(I.Facility.P2bIDNumber,3539))</f>
        <v/>
      </c>
      <c r="G13551" s="51"/>
      <c r="H13551" s="46" t="str">
        <f>IF(AND(I.Developer.P2b=TRUE,I.Facility.P2bFacilityCount&gt;=3539,F13551=""),"Incomplete","Complete")</f>
        <v>Complete</v>
      </c>
      <c r="I13551" s="48" t="s">
        <v>17916</v>
      </c>
    </row>
    <row r="13552" spans="2:9" ht="15" customHeight="1" x14ac:dyDescent="0.25">
      <c r="B13552" s="55" t="s">
        <v>281</v>
      </c>
      <c r="C13552" s="46">
        <v>3540</v>
      </c>
      <c r="D13552" s="69" t="s">
        <v>29418</v>
      </c>
      <c r="E13552" s="51"/>
      <c r="F13552" s="114" t="str">
        <f>IF(INDEX(I.Facility.P2bIDNumber,3540)="","",INDEX(I.Facility.P2bIDNumber,3540))</f>
        <v/>
      </c>
      <c r="G13552" s="51"/>
      <c r="H13552" s="46" t="str">
        <f>IF(AND(I.Developer.P2b=TRUE,I.Facility.P2bFacilityCount&gt;=3540,F13552=""),"Incomplete","Complete")</f>
        <v>Complete</v>
      </c>
      <c r="I13552" s="48" t="s">
        <v>17917</v>
      </c>
    </row>
    <row r="13553" spans="2:9" ht="15" customHeight="1" x14ac:dyDescent="0.25">
      <c r="B13553" s="55" t="s">
        <v>281</v>
      </c>
      <c r="C13553" s="46">
        <v>3541</v>
      </c>
      <c r="D13553" s="69" t="s">
        <v>29418</v>
      </c>
      <c r="E13553" s="51"/>
      <c r="F13553" s="114" t="str">
        <f>IF(INDEX(I.Facility.P2bIDNumber,3541)="","",INDEX(I.Facility.P2bIDNumber,3541))</f>
        <v/>
      </c>
      <c r="G13553" s="51"/>
      <c r="H13553" s="46" t="str">
        <f>IF(AND(I.Developer.P2b=TRUE,I.Facility.P2bFacilityCount&gt;=3541,F13553=""),"Incomplete","Complete")</f>
        <v>Complete</v>
      </c>
      <c r="I13553" s="48" t="s">
        <v>17918</v>
      </c>
    </row>
    <row r="13554" spans="2:9" ht="15" customHeight="1" x14ac:dyDescent="0.25">
      <c r="B13554" s="55" t="s">
        <v>281</v>
      </c>
      <c r="C13554" s="46">
        <v>3542</v>
      </c>
      <c r="D13554" s="69" t="s">
        <v>29418</v>
      </c>
      <c r="E13554" s="51"/>
      <c r="F13554" s="114" t="str">
        <f>IF(INDEX(I.Facility.P2bIDNumber,3542)="","",INDEX(I.Facility.P2bIDNumber,3542))</f>
        <v/>
      </c>
      <c r="G13554" s="51"/>
      <c r="H13554" s="46" t="str">
        <f>IF(AND(I.Developer.P2b=TRUE,I.Facility.P2bFacilityCount&gt;=3542,F13554=""),"Incomplete","Complete")</f>
        <v>Complete</v>
      </c>
      <c r="I13554" s="48" t="s">
        <v>17919</v>
      </c>
    </row>
    <row r="13555" spans="2:9" ht="15" customHeight="1" x14ac:dyDescent="0.25">
      <c r="B13555" s="55" t="s">
        <v>281</v>
      </c>
      <c r="C13555" s="46">
        <v>3543</v>
      </c>
      <c r="D13555" s="69" t="s">
        <v>29418</v>
      </c>
      <c r="E13555" s="51"/>
      <c r="F13555" s="114" t="str">
        <f>IF(INDEX(I.Facility.P2bIDNumber,3543)="","",INDEX(I.Facility.P2bIDNumber,3543))</f>
        <v/>
      </c>
      <c r="G13555" s="51"/>
      <c r="H13555" s="46" t="str">
        <f>IF(AND(I.Developer.P2b=TRUE,I.Facility.P2bFacilityCount&gt;=3543,F13555=""),"Incomplete","Complete")</f>
        <v>Complete</v>
      </c>
      <c r="I13555" s="48" t="s">
        <v>17920</v>
      </c>
    </row>
    <row r="13556" spans="2:9" ht="15" customHeight="1" x14ac:dyDescent="0.25">
      <c r="B13556" s="55" t="s">
        <v>281</v>
      </c>
      <c r="C13556" s="46">
        <v>3544</v>
      </c>
      <c r="D13556" s="69" t="s">
        <v>29418</v>
      </c>
      <c r="E13556" s="51"/>
      <c r="F13556" s="114" t="str">
        <f>IF(INDEX(I.Facility.P2bIDNumber,3544)="","",INDEX(I.Facility.P2bIDNumber,3544))</f>
        <v/>
      </c>
      <c r="G13556" s="51"/>
      <c r="H13556" s="46" t="str">
        <f>IF(AND(I.Developer.P2b=TRUE,I.Facility.P2bFacilityCount&gt;=3544,F13556=""),"Incomplete","Complete")</f>
        <v>Complete</v>
      </c>
      <c r="I13556" s="48" t="s">
        <v>17921</v>
      </c>
    </row>
    <row r="13557" spans="2:9" ht="15" customHeight="1" x14ac:dyDescent="0.25">
      <c r="B13557" s="55" t="s">
        <v>281</v>
      </c>
      <c r="C13557" s="46">
        <v>3545</v>
      </c>
      <c r="D13557" s="69" t="s">
        <v>29418</v>
      </c>
      <c r="E13557" s="51"/>
      <c r="F13557" s="114" t="str">
        <f>IF(INDEX(I.Facility.P2bIDNumber,3545)="","",INDEX(I.Facility.P2bIDNumber,3545))</f>
        <v/>
      </c>
      <c r="G13557" s="51"/>
      <c r="H13557" s="46" t="str">
        <f>IF(AND(I.Developer.P2b=TRUE,I.Facility.P2bFacilityCount&gt;=3545,F13557=""),"Incomplete","Complete")</f>
        <v>Complete</v>
      </c>
      <c r="I13557" s="48" t="s">
        <v>17922</v>
      </c>
    </row>
    <row r="13558" spans="2:9" ht="15" customHeight="1" x14ac:dyDescent="0.25">
      <c r="B13558" s="55" t="s">
        <v>281</v>
      </c>
      <c r="C13558" s="46">
        <v>3546</v>
      </c>
      <c r="D13558" s="69" t="s">
        <v>29418</v>
      </c>
      <c r="E13558" s="51"/>
      <c r="F13558" s="114" t="str">
        <f>IF(INDEX(I.Facility.P2bIDNumber,3546)="","",INDEX(I.Facility.P2bIDNumber,3546))</f>
        <v/>
      </c>
      <c r="G13558" s="51"/>
      <c r="H13558" s="46" t="str">
        <f>IF(AND(I.Developer.P2b=TRUE,I.Facility.P2bFacilityCount&gt;=3546,F13558=""),"Incomplete","Complete")</f>
        <v>Complete</v>
      </c>
      <c r="I13558" s="48" t="s">
        <v>17923</v>
      </c>
    </row>
    <row r="13559" spans="2:9" ht="15" customHeight="1" x14ac:dyDescent="0.25">
      <c r="B13559" s="55" t="s">
        <v>281</v>
      </c>
      <c r="C13559" s="46">
        <v>3547</v>
      </c>
      <c r="D13559" s="69" t="s">
        <v>29418</v>
      </c>
      <c r="E13559" s="51"/>
      <c r="F13559" s="114" t="str">
        <f>IF(INDEX(I.Facility.P2bIDNumber,3547)="","",INDEX(I.Facility.P2bIDNumber,3547))</f>
        <v/>
      </c>
      <c r="G13559" s="51"/>
      <c r="H13559" s="46" t="str">
        <f>IF(AND(I.Developer.P2b=TRUE,I.Facility.P2bFacilityCount&gt;=3547,F13559=""),"Incomplete","Complete")</f>
        <v>Complete</v>
      </c>
      <c r="I13559" s="48" t="s">
        <v>17924</v>
      </c>
    </row>
    <row r="13560" spans="2:9" ht="15" customHeight="1" x14ac:dyDescent="0.25">
      <c r="B13560" s="55" t="s">
        <v>281</v>
      </c>
      <c r="C13560" s="46">
        <v>3548</v>
      </c>
      <c r="D13560" s="69" t="s">
        <v>29418</v>
      </c>
      <c r="E13560" s="51"/>
      <c r="F13560" s="114" t="str">
        <f>IF(INDEX(I.Facility.P2bIDNumber,3548)="","",INDEX(I.Facility.P2bIDNumber,3548))</f>
        <v/>
      </c>
      <c r="G13560" s="51"/>
      <c r="H13560" s="46" t="str">
        <f>IF(AND(I.Developer.P2b=TRUE,I.Facility.P2bFacilityCount&gt;=3548,F13560=""),"Incomplete","Complete")</f>
        <v>Complete</v>
      </c>
      <c r="I13560" s="48" t="s">
        <v>17925</v>
      </c>
    </row>
    <row r="13561" spans="2:9" ht="15" customHeight="1" x14ac:dyDescent="0.25">
      <c r="B13561" s="55" t="s">
        <v>281</v>
      </c>
      <c r="C13561" s="46">
        <v>3549</v>
      </c>
      <c r="D13561" s="69" t="s">
        <v>29418</v>
      </c>
      <c r="E13561" s="51"/>
      <c r="F13561" s="114" t="str">
        <f>IF(INDEX(I.Facility.P2bIDNumber,3549)="","",INDEX(I.Facility.P2bIDNumber,3549))</f>
        <v/>
      </c>
      <c r="G13561" s="51"/>
      <c r="H13561" s="46" t="str">
        <f>IF(AND(I.Developer.P2b=TRUE,I.Facility.P2bFacilityCount&gt;=3549,F13561=""),"Incomplete","Complete")</f>
        <v>Complete</v>
      </c>
      <c r="I13561" s="48" t="s">
        <v>17926</v>
      </c>
    </row>
    <row r="13562" spans="2:9" ht="15" customHeight="1" x14ac:dyDescent="0.25">
      <c r="B13562" s="55" t="s">
        <v>281</v>
      </c>
      <c r="C13562" s="46">
        <v>3550</v>
      </c>
      <c r="D13562" s="69" t="s">
        <v>29418</v>
      </c>
      <c r="E13562" s="51"/>
      <c r="F13562" s="114" t="str">
        <f>IF(INDEX(I.Facility.P2bIDNumber,3550)="","",INDEX(I.Facility.P2bIDNumber,3550))</f>
        <v/>
      </c>
      <c r="G13562" s="51"/>
      <c r="H13562" s="46" t="str">
        <f>IF(AND(I.Developer.P2b=TRUE,I.Facility.P2bFacilityCount&gt;=3550,F13562=""),"Incomplete","Complete")</f>
        <v>Complete</v>
      </c>
      <c r="I13562" s="48" t="s">
        <v>17927</v>
      </c>
    </row>
    <row r="13563" spans="2:9" ht="15" customHeight="1" x14ac:dyDescent="0.25">
      <c r="B13563" s="55" t="s">
        <v>281</v>
      </c>
      <c r="C13563" s="46">
        <v>3551</v>
      </c>
      <c r="D13563" s="69" t="s">
        <v>29418</v>
      </c>
      <c r="E13563" s="51"/>
      <c r="F13563" s="114" t="str">
        <f>IF(INDEX(I.Facility.P2bIDNumber,3551)="","",INDEX(I.Facility.P2bIDNumber,3551))</f>
        <v/>
      </c>
      <c r="G13563" s="51"/>
      <c r="H13563" s="46" t="str">
        <f>IF(AND(I.Developer.P2b=TRUE,I.Facility.P2bFacilityCount&gt;=3551,F13563=""),"Incomplete","Complete")</f>
        <v>Complete</v>
      </c>
      <c r="I13563" s="48" t="s">
        <v>17928</v>
      </c>
    </row>
    <row r="13564" spans="2:9" ht="15" customHeight="1" x14ac:dyDescent="0.25">
      <c r="B13564" s="55" t="s">
        <v>281</v>
      </c>
      <c r="C13564" s="46">
        <v>3552</v>
      </c>
      <c r="D13564" s="69" t="s">
        <v>29418</v>
      </c>
      <c r="E13564" s="51"/>
      <c r="F13564" s="114" t="str">
        <f>IF(INDEX(I.Facility.P2bIDNumber,3552)="","",INDEX(I.Facility.P2bIDNumber,3552))</f>
        <v/>
      </c>
      <c r="G13564" s="51"/>
      <c r="H13564" s="46" t="str">
        <f>IF(AND(I.Developer.P2b=TRUE,I.Facility.P2bFacilityCount&gt;=3552,F13564=""),"Incomplete","Complete")</f>
        <v>Complete</v>
      </c>
      <c r="I13564" s="48" t="s">
        <v>17929</v>
      </c>
    </row>
    <row r="13565" spans="2:9" ht="15" customHeight="1" x14ac:dyDescent="0.25">
      <c r="B13565" s="55" t="s">
        <v>281</v>
      </c>
      <c r="C13565" s="46">
        <v>3553</v>
      </c>
      <c r="D13565" s="69" t="s">
        <v>29418</v>
      </c>
      <c r="E13565" s="51"/>
      <c r="F13565" s="114" t="str">
        <f>IF(INDEX(I.Facility.P2bIDNumber,3553)="","",INDEX(I.Facility.P2bIDNumber,3553))</f>
        <v/>
      </c>
      <c r="G13565" s="51"/>
      <c r="H13565" s="46" t="str">
        <f>IF(AND(I.Developer.P2b=TRUE,I.Facility.P2bFacilityCount&gt;=3553,F13565=""),"Incomplete","Complete")</f>
        <v>Complete</v>
      </c>
      <c r="I13565" s="48" t="s">
        <v>17930</v>
      </c>
    </row>
    <row r="13566" spans="2:9" ht="15" customHeight="1" x14ac:dyDescent="0.25">
      <c r="B13566" s="55" t="s">
        <v>281</v>
      </c>
      <c r="C13566" s="46">
        <v>3554</v>
      </c>
      <c r="D13566" s="69" t="s">
        <v>29418</v>
      </c>
      <c r="E13566" s="51"/>
      <c r="F13566" s="114" t="str">
        <f>IF(INDEX(I.Facility.P2bIDNumber,3554)="","",INDEX(I.Facility.P2bIDNumber,3554))</f>
        <v/>
      </c>
      <c r="G13566" s="51"/>
      <c r="H13566" s="46" t="str">
        <f>IF(AND(I.Developer.P2b=TRUE,I.Facility.P2bFacilityCount&gt;=3554,F13566=""),"Incomplete","Complete")</f>
        <v>Complete</v>
      </c>
      <c r="I13566" s="48" t="s">
        <v>17931</v>
      </c>
    </row>
    <row r="13567" spans="2:9" ht="15" customHeight="1" x14ac:dyDescent="0.25">
      <c r="B13567" s="55" t="s">
        <v>281</v>
      </c>
      <c r="C13567" s="46">
        <v>3555</v>
      </c>
      <c r="D13567" s="69" t="s">
        <v>29418</v>
      </c>
      <c r="E13567" s="51"/>
      <c r="F13567" s="114" t="str">
        <f>IF(INDEX(I.Facility.P2bIDNumber,3555)="","",INDEX(I.Facility.P2bIDNumber,3555))</f>
        <v/>
      </c>
      <c r="G13567" s="51"/>
      <c r="H13567" s="46" t="str">
        <f>IF(AND(I.Developer.P2b=TRUE,I.Facility.P2bFacilityCount&gt;=3555,F13567=""),"Incomplete","Complete")</f>
        <v>Complete</v>
      </c>
      <c r="I13567" s="48" t="s">
        <v>17932</v>
      </c>
    </row>
    <row r="13568" spans="2:9" ht="15" customHeight="1" x14ac:dyDescent="0.25">
      <c r="B13568" s="55" t="s">
        <v>281</v>
      </c>
      <c r="C13568" s="46">
        <v>3556</v>
      </c>
      <c r="D13568" s="69" t="s">
        <v>29418</v>
      </c>
      <c r="E13568" s="51"/>
      <c r="F13568" s="114" t="str">
        <f>IF(INDEX(I.Facility.P2bIDNumber,3556)="","",INDEX(I.Facility.P2bIDNumber,3556))</f>
        <v/>
      </c>
      <c r="G13568" s="51"/>
      <c r="H13568" s="46" t="str">
        <f>IF(AND(I.Developer.P2b=TRUE,I.Facility.P2bFacilityCount&gt;=3556,F13568=""),"Incomplete","Complete")</f>
        <v>Complete</v>
      </c>
      <c r="I13568" s="48" t="s">
        <v>17933</v>
      </c>
    </row>
    <row r="13569" spans="2:9" ht="15" customHeight="1" x14ac:dyDescent="0.25">
      <c r="B13569" s="55" t="s">
        <v>281</v>
      </c>
      <c r="C13569" s="46">
        <v>3557</v>
      </c>
      <c r="D13569" s="69" t="s">
        <v>29418</v>
      </c>
      <c r="E13569" s="51"/>
      <c r="F13569" s="114" t="str">
        <f>IF(INDEX(I.Facility.P2bIDNumber,3557)="","",INDEX(I.Facility.P2bIDNumber,3557))</f>
        <v/>
      </c>
      <c r="G13569" s="51"/>
      <c r="H13569" s="46" t="str">
        <f>IF(AND(I.Developer.P2b=TRUE,I.Facility.P2bFacilityCount&gt;=3557,F13569=""),"Incomplete","Complete")</f>
        <v>Complete</v>
      </c>
      <c r="I13569" s="48" t="s">
        <v>17934</v>
      </c>
    </row>
    <row r="13570" spans="2:9" ht="15" customHeight="1" x14ac:dyDescent="0.25">
      <c r="B13570" s="55" t="s">
        <v>281</v>
      </c>
      <c r="C13570" s="46">
        <v>3558</v>
      </c>
      <c r="D13570" s="69" t="s">
        <v>29418</v>
      </c>
      <c r="E13570" s="51"/>
      <c r="F13570" s="114" t="str">
        <f>IF(INDEX(I.Facility.P2bIDNumber,3558)="","",INDEX(I.Facility.P2bIDNumber,3558))</f>
        <v/>
      </c>
      <c r="G13570" s="51"/>
      <c r="H13570" s="46" t="str">
        <f>IF(AND(I.Developer.P2b=TRUE,I.Facility.P2bFacilityCount&gt;=3558,F13570=""),"Incomplete","Complete")</f>
        <v>Complete</v>
      </c>
      <c r="I13570" s="48" t="s">
        <v>17935</v>
      </c>
    </row>
    <row r="13571" spans="2:9" ht="15" customHeight="1" x14ac:dyDescent="0.25">
      <c r="B13571" s="55" t="s">
        <v>281</v>
      </c>
      <c r="C13571" s="46">
        <v>3559</v>
      </c>
      <c r="D13571" s="69" t="s">
        <v>29418</v>
      </c>
      <c r="E13571" s="51"/>
      <c r="F13571" s="114" t="str">
        <f>IF(INDEX(I.Facility.P2bIDNumber,3559)="","",INDEX(I.Facility.P2bIDNumber,3559))</f>
        <v/>
      </c>
      <c r="G13571" s="51"/>
      <c r="H13571" s="46" t="str">
        <f>IF(AND(I.Developer.P2b=TRUE,I.Facility.P2bFacilityCount&gt;=3559,F13571=""),"Incomplete","Complete")</f>
        <v>Complete</v>
      </c>
      <c r="I13571" s="48" t="s">
        <v>17936</v>
      </c>
    </row>
    <row r="13572" spans="2:9" ht="15" customHeight="1" x14ac:dyDescent="0.25">
      <c r="B13572" s="55" t="s">
        <v>281</v>
      </c>
      <c r="C13572" s="46">
        <v>3560</v>
      </c>
      <c r="D13572" s="69" t="s">
        <v>29418</v>
      </c>
      <c r="E13572" s="51"/>
      <c r="F13572" s="114" t="str">
        <f>IF(INDEX(I.Facility.P2bIDNumber,3560)="","",INDEX(I.Facility.P2bIDNumber,3560))</f>
        <v/>
      </c>
      <c r="G13572" s="51"/>
      <c r="H13572" s="46" t="str">
        <f>IF(AND(I.Developer.P2b=TRUE,I.Facility.P2bFacilityCount&gt;=3560,F13572=""),"Incomplete","Complete")</f>
        <v>Complete</v>
      </c>
      <c r="I13572" s="48" t="s">
        <v>17937</v>
      </c>
    </row>
    <row r="13573" spans="2:9" ht="15" customHeight="1" x14ac:dyDescent="0.25">
      <c r="B13573" s="55" t="s">
        <v>281</v>
      </c>
      <c r="C13573" s="46">
        <v>3561</v>
      </c>
      <c r="D13573" s="69" t="s">
        <v>29418</v>
      </c>
      <c r="E13573" s="51"/>
      <c r="F13573" s="114" t="str">
        <f>IF(INDEX(I.Facility.P2bIDNumber,3561)="","",INDEX(I.Facility.P2bIDNumber,3561))</f>
        <v/>
      </c>
      <c r="G13573" s="51"/>
      <c r="H13573" s="46" t="str">
        <f>IF(AND(I.Developer.P2b=TRUE,I.Facility.P2bFacilityCount&gt;=3561,F13573=""),"Incomplete","Complete")</f>
        <v>Complete</v>
      </c>
      <c r="I13573" s="48" t="s">
        <v>17938</v>
      </c>
    </row>
    <row r="13574" spans="2:9" ht="15" customHeight="1" x14ac:dyDescent="0.25">
      <c r="B13574" s="55" t="s">
        <v>281</v>
      </c>
      <c r="C13574" s="46">
        <v>3562</v>
      </c>
      <c r="D13574" s="69" t="s">
        <v>29418</v>
      </c>
      <c r="E13574" s="51"/>
      <c r="F13574" s="114" t="str">
        <f>IF(INDEX(I.Facility.P2bIDNumber,3562)="","",INDEX(I.Facility.P2bIDNumber,3562))</f>
        <v/>
      </c>
      <c r="G13574" s="51"/>
      <c r="H13574" s="46" t="str">
        <f>IF(AND(I.Developer.P2b=TRUE,I.Facility.P2bFacilityCount&gt;=3562,F13574=""),"Incomplete","Complete")</f>
        <v>Complete</v>
      </c>
      <c r="I13574" s="48" t="s">
        <v>17939</v>
      </c>
    </row>
    <row r="13575" spans="2:9" ht="15" customHeight="1" x14ac:dyDescent="0.25">
      <c r="B13575" s="55" t="s">
        <v>281</v>
      </c>
      <c r="C13575" s="46">
        <v>3563</v>
      </c>
      <c r="D13575" s="69" t="s">
        <v>29418</v>
      </c>
      <c r="E13575" s="51"/>
      <c r="F13575" s="114" t="str">
        <f>IF(INDEX(I.Facility.P2bIDNumber,3563)="","",INDEX(I.Facility.P2bIDNumber,3563))</f>
        <v/>
      </c>
      <c r="G13575" s="51"/>
      <c r="H13575" s="46" t="str">
        <f>IF(AND(I.Developer.P2b=TRUE,I.Facility.P2bFacilityCount&gt;=3563,F13575=""),"Incomplete","Complete")</f>
        <v>Complete</v>
      </c>
      <c r="I13575" s="48" t="s">
        <v>17940</v>
      </c>
    </row>
    <row r="13576" spans="2:9" ht="15" customHeight="1" x14ac:dyDescent="0.25">
      <c r="B13576" s="55" t="s">
        <v>281</v>
      </c>
      <c r="C13576" s="46">
        <v>3564</v>
      </c>
      <c r="D13576" s="69" t="s">
        <v>29418</v>
      </c>
      <c r="E13576" s="51"/>
      <c r="F13576" s="114" t="str">
        <f>IF(INDEX(I.Facility.P2bIDNumber,3564)="","",INDEX(I.Facility.P2bIDNumber,3564))</f>
        <v/>
      </c>
      <c r="G13576" s="51"/>
      <c r="H13576" s="46" t="str">
        <f>IF(AND(I.Developer.P2b=TRUE,I.Facility.P2bFacilityCount&gt;=3564,F13576=""),"Incomplete","Complete")</f>
        <v>Complete</v>
      </c>
      <c r="I13576" s="48" t="s">
        <v>17941</v>
      </c>
    </row>
    <row r="13577" spans="2:9" ht="15" customHeight="1" x14ac:dyDescent="0.25">
      <c r="B13577" s="55" t="s">
        <v>281</v>
      </c>
      <c r="C13577" s="46">
        <v>3565</v>
      </c>
      <c r="D13577" s="69" t="s">
        <v>29418</v>
      </c>
      <c r="E13577" s="51"/>
      <c r="F13577" s="114" t="str">
        <f>IF(INDEX(I.Facility.P2bIDNumber,3565)="","",INDEX(I.Facility.P2bIDNumber,3565))</f>
        <v/>
      </c>
      <c r="G13577" s="51"/>
      <c r="H13577" s="46" t="str">
        <f>IF(AND(I.Developer.P2b=TRUE,I.Facility.P2bFacilityCount&gt;=3565,F13577=""),"Incomplete","Complete")</f>
        <v>Complete</v>
      </c>
      <c r="I13577" s="48" t="s">
        <v>17942</v>
      </c>
    </row>
    <row r="13578" spans="2:9" ht="15" customHeight="1" x14ac:dyDescent="0.25">
      <c r="B13578" s="55" t="s">
        <v>281</v>
      </c>
      <c r="C13578" s="46">
        <v>3566</v>
      </c>
      <c r="D13578" s="69" t="s">
        <v>29418</v>
      </c>
      <c r="E13578" s="51"/>
      <c r="F13578" s="114" t="str">
        <f>IF(INDEX(I.Facility.P2bIDNumber,3566)="","",INDEX(I.Facility.P2bIDNumber,3566))</f>
        <v/>
      </c>
      <c r="G13578" s="51"/>
      <c r="H13578" s="46" t="str">
        <f>IF(AND(I.Developer.P2b=TRUE,I.Facility.P2bFacilityCount&gt;=3566,F13578=""),"Incomplete","Complete")</f>
        <v>Complete</v>
      </c>
      <c r="I13578" s="48" t="s">
        <v>17943</v>
      </c>
    </row>
    <row r="13579" spans="2:9" ht="15" customHeight="1" x14ac:dyDescent="0.25">
      <c r="B13579" s="55" t="s">
        <v>281</v>
      </c>
      <c r="C13579" s="46">
        <v>3567</v>
      </c>
      <c r="D13579" s="69" t="s">
        <v>29418</v>
      </c>
      <c r="E13579" s="51"/>
      <c r="F13579" s="114" t="str">
        <f>IF(INDEX(I.Facility.P2bIDNumber,3567)="","",INDEX(I.Facility.P2bIDNumber,3567))</f>
        <v/>
      </c>
      <c r="G13579" s="51"/>
      <c r="H13579" s="46" t="str">
        <f>IF(AND(I.Developer.P2b=TRUE,I.Facility.P2bFacilityCount&gt;=3567,F13579=""),"Incomplete","Complete")</f>
        <v>Complete</v>
      </c>
      <c r="I13579" s="48" t="s">
        <v>17944</v>
      </c>
    </row>
    <row r="13580" spans="2:9" ht="15" customHeight="1" x14ac:dyDescent="0.25">
      <c r="B13580" s="55" t="s">
        <v>281</v>
      </c>
      <c r="C13580" s="46">
        <v>3568</v>
      </c>
      <c r="D13580" s="69" t="s">
        <v>29418</v>
      </c>
      <c r="E13580" s="51"/>
      <c r="F13580" s="114" t="str">
        <f>IF(INDEX(I.Facility.P2bIDNumber,3568)="","",INDEX(I.Facility.P2bIDNumber,3568))</f>
        <v/>
      </c>
      <c r="G13580" s="51"/>
      <c r="H13580" s="46" t="str">
        <f>IF(AND(I.Developer.P2b=TRUE,I.Facility.P2bFacilityCount&gt;=3568,F13580=""),"Incomplete","Complete")</f>
        <v>Complete</v>
      </c>
      <c r="I13580" s="48" t="s">
        <v>17945</v>
      </c>
    </row>
    <row r="13581" spans="2:9" ht="15" customHeight="1" x14ac:dyDescent="0.25">
      <c r="B13581" s="55" t="s">
        <v>281</v>
      </c>
      <c r="C13581" s="46">
        <v>3569</v>
      </c>
      <c r="D13581" s="69" t="s">
        <v>29418</v>
      </c>
      <c r="E13581" s="51"/>
      <c r="F13581" s="114" t="str">
        <f>IF(INDEX(I.Facility.P2bIDNumber,3569)="","",INDEX(I.Facility.P2bIDNumber,3569))</f>
        <v/>
      </c>
      <c r="G13581" s="51"/>
      <c r="H13581" s="46" t="str">
        <f>IF(AND(I.Developer.P2b=TRUE,I.Facility.P2bFacilityCount&gt;=3569,F13581=""),"Incomplete","Complete")</f>
        <v>Complete</v>
      </c>
      <c r="I13581" s="48" t="s">
        <v>17946</v>
      </c>
    </row>
    <row r="13582" spans="2:9" ht="15" customHeight="1" x14ac:dyDescent="0.25">
      <c r="B13582" s="55" t="s">
        <v>281</v>
      </c>
      <c r="C13582" s="46">
        <v>3570</v>
      </c>
      <c r="D13582" s="69" t="s">
        <v>29418</v>
      </c>
      <c r="E13582" s="51"/>
      <c r="F13582" s="114" t="str">
        <f>IF(INDEX(I.Facility.P2bIDNumber,3570)="","",INDEX(I.Facility.P2bIDNumber,3570))</f>
        <v/>
      </c>
      <c r="G13582" s="51"/>
      <c r="H13582" s="46" t="str">
        <f>IF(AND(I.Developer.P2b=TRUE,I.Facility.P2bFacilityCount&gt;=3570,F13582=""),"Incomplete","Complete")</f>
        <v>Complete</v>
      </c>
      <c r="I13582" s="48" t="s">
        <v>17947</v>
      </c>
    </row>
    <row r="13583" spans="2:9" ht="15" customHeight="1" x14ac:dyDescent="0.25">
      <c r="B13583" s="55" t="s">
        <v>281</v>
      </c>
      <c r="C13583" s="46">
        <v>3571</v>
      </c>
      <c r="D13583" s="69" t="s">
        <v>29418</v>
      </c>
      <c r="E13583" s="51"/>
      <c r="F13583" s="114" t="str">
        <f>IF(INDEX(I.Facility.P2bIDNumber,3571)="","",INDEX(I.Facility.P2bIDNumber,3571))</f>
        <v/>
      </c>
      <c r="G13583" s="51"/>
      <c r="H13583" s="46" t="str">
        <f>IF(AND(I.Developer.P2b=TRUE,I.Facility.P2bFacilityCount&gt;=3571,F13583=""),"Incomplete","Complete")</f>
        <v>Complete</v>
      </c>
      <c r="I13583" s="48" t="s">
        <v>17948</v>
      </c>
    </row>
    <row r="13584" spans="2:9" ht="15" customHeight="1" x14ac:dyDescent="0.25">
      <c r="B13584" s="55" t="s">
        <v>281</v>
      </c>
      <c r="C13584" s="46">
        <v>3572</v>
      </c>
      <c r="D13584" s="69" t="s">
        <v>29418</v>
      </c>
      <c r="E13584" s="51"/>
      <c r="F13584" s="114" t="str">
        <f>IF(INDEX(I.Facility.P2bIDNumber,3572)="","",INDEX(I.Facility.P2bIDNumber,3572))</f>
        <v/>
      </c>
      <c r="G13584" s="51"/>
      <c r="H13584" s="46" t="str">
        <f>IF(AND(I.Developer.P2b=TRUE,I.Facility.P2bFacilityCount&gt;=3572,F13584=""),"Incomplete","Complete")</f>
        <v>Complete</v>
      </c>
      <c r="I13584" s="48" t="s">
        <v>17949</v>
      </c>
    </row>
    <row r="13585" spans="2:9" ht="15" customHeight="1" x14ac:dyDescent="0.25">
      <c r="B13585" s="55" t="s">
        <v>281</v>
      </c>
      <c r="C13585" s="46">
        <v>3573</v>
      </c>
      <c r="D13585" s="69" t="s">
        <v>29418</v>
      </c>
      <c r="E13585" s="51"/>
      <c r="F13585" s="114" t="str">
        <f>IF(INDEX(I.Facility.P2bIDNumber,3573)="","",INDEX(I.Facility.P2bIDNumber,3573))</f>
        <v/>
      </c>
      <c r="G13585" s="51"/>
      <c r="H13585" s="46" t="str">
        <f>IF(AND(I.Developer.P2b=TRUE,I.Facility.P2bFacilityCount&gt;=3573,F13585=""),"Incomplete","Complete")</f>
        <v>Complete</v>
      </c>
      <c r="I13585" s="48" t="s">
        <v>17950</v>
      </c>
    </row>
    <row r="13586" spans="2:9" ht="15" customHeight="1" x14ac:dyDescent="0.25">
      <c r="B13586" s="55" t="s">
        <v>281</v>
      </c>
      <c r="C13586" s="46">
        <v>3574</v>
      </c>
      <c r="D13586" s="69" t="s">
        <v>29418</v>
      </c>
      <c r="E13586" s="51"/>
      <c r="F13586" s="114" t="str">
        <f>IF(INDEX(I.Facility.P2bIDNumber,3574)="","",INDEX(I.Facility.P2bIDNumber,3574))</f>
        <v/>
      </c>
      <c r="G13586" s="51"/>
      <c r="H13586" s="46" t="str">
        <f>IF(AND(I.Developer.P2b=TRUE,I.Facility.P2bFacilityCount&gt;=3574,F13586=""),"Incomplete","Complete")</f>
        <v>Complete</v>
      </c>
      <c r="I13586" s="48" t="s">
        <v>17951</v>
      </c>
    </row>
    <row r="13587" spans="2:9" ht="15" customHeight="1" x14ac:dyDescent="0.25">
      <c r="B13587" s="55" t="s">
        <v>281</v>
      </c>
      <c r="C13587" s="46">
        <v>3575</v>
      </c>
      <c r="D13587" s="69" t="s">
        <v>29418</v>
      </c>
      <c r="E13587" s="51"/>
      <c r="F13587" s="114" t="str">
        <f>IF(INDEX(I.Facility.P2bIDNumber,3575)="","",INDEX(I.Facility.P2bIDNumber,3575))</f>
        <v/>
      </c>
      <c r="G13587" s="51"/>
      <c r="H13587" s="46" t="str">
        <f>IF(AND(I.Developer.P2b=TRUE,I.Facility.P2bFacilityCount&gt;=3575,F13587=""),"Incomplete","Complete")</f>
        <v>Complete</v>
      </c>
      <c r="I13587" s="48" t="s">
        <v>17952</v>
      </c>
    </row>
    <row r="13588" spans="2:9" ht="15" customHeight="1" x14ac:dyDescent="0.25">
      <c r="B13588" s="55" t="s">
        <v>281</v>
      </c>
      <c r="C13588" s="46">
        <v>3576</v>
      </c>
      <c r="D13588" s="69" t="s">
        <v>29418</v>
      </c>
      <c r="E13588" s="51"/>
      <c r="F13588" s="114" t="str">
        <f>IF(INDEX(I.Facility.P2bIDNumber,3576)="","",INDEX(I.Facility.P2bIDNumber,3576))</f>
        <v/>
      </c>
      <c r="G13588" s="51"/>
      <c r="H13588" s="46" t="str">
        <f>IF(AND(I.Developer.P2b=TRUE,I.Facility.P2bFacilityCount&gt;=3576,F13588=""),"Incomplete","Complete")</f>
        <v>Complete</v>
      </c>
      <c r="I13588" s="48" t="s">
        <v>17953</v>
      </c>
    </row>
    <row r="13589" spans="2:9" ht="15" customHeight="1" x14ac:dyDescent="0.25">
      <c r="B13589" s="55" t="s">
        <v>281</v>
      </c>
      <c r="C13589" s="46">
        <v>3577</v>
      </c>
      <c r="D13589" s="69" t="s">
        <v>29418</v>
      </c>
      <c r="E13589" s="51"/>
      <c r="F13589" s="114" t="str">
        <f>IF(INDEX(I.Facility.P2bIDNumber,3577)="","",INDEX(I.Facility.P2bIDNumber,3577))</f>
        <v/>
      </c>
      <c r="G13589" s="51"/>
      <c r="H13589" s="46" t="str">
        <f>IF(AND(I.Developer.P2b=TRUE,I.Facility.P2bFacilityCount&gt;=3577,F13589=""),"Incomplete","Complete")</f>
        <v>Complete</v>
      </c>
      <c r="I13589" s="48" t="s">
        <v>17954</v>
      </c>
    </row>
    <row r="13590" spans="2:9" ht="15" customHeight="1" x14ac:dyDescent="0.25">
      <c r="B13590" s="55" t="s">
        <v>281</v>
      </c>
      <c r="C13590" s="46">
        <v>3578</v>
      </c>
      <c r="D13590" s="69" t="s">
        <v>29418</v>
      </c>
      <c r="E13590" s="51"/>
      <c r="F13590" s="114" t="str">
        <f>IF(INDEX(I.Facility.P2bIDNumber,3578)="","",INDEX(I.Facility.P2bIDNumber,3578))</f>
        <v/>
      </c>
      <c r="G13590" s="51"/>
      <c r="H13590" s="46" t="str">
        <f>IF(AND(I.Developer.P2b=TRUE,I.Facility.P2bFacilityCount&gt;=3578,F13590=""),"Incomplete","Complete")</f>
        <v>Complete</v>
      </c>
      <c r="I13590" s="48" t="s">
        <v>17955</v>
      </c>
    </row>
    <row r="13591" spans="2:9" ht="15" customHeight="1" x14ac:dyDescent="0.25">
      <c r="B13591" s="55" t="s">
        <v>281</v>
      </c>
      <c r="C13591" s="46">
        <v>3579</v>
      </c>
      <c r="D13591" s="69" t="s">
        <v>29418</v>
      </c>
      <c r="E13591" s="51"/>
      <c r="F13591" s="114" t="str">
        <f>IF(INDEX(I.Facility.P2bIDNumber,3579)="","",INDEX(I.Facility.P2bIDNumber,3579))</f>
        <v/>
      </c>
      <c r="G13591" s="51"/>
      <c r="H13591" s="46" t="str">
        <f>IF(AND(I.Developer.P2b=TRUE,I.Facility.P2bFacilityCount&gt;=3579,F13591=""),"Incomplete","Complete")</f>
        <v>Complete</v>
      </c>
      <c r="I13591" s="48" t="s">
        <v>17956</v>
      </c>
    </row>
    <row r="13592" spans="2:9" ht="15" customHeight="1" x14ac:dyDescent="0.25">
      <c r="B13592" s="55" t="s">
        <v>281</v>
      </c>
      <c r="C13592" s="46">
        <v>3580</v>
      </c>
      <c r="D13592" s="69" t="s">
        <v>29418</v>
      </c>
      <c r="E13592" s="51"/>
      <c r="F13592" s="114" t="str">
        <f>IF(INDEX(I.Facility.P2bIDNumber,3580)="","",INDEX(I.Facility.P2bIDNumber,3580))</f>
        <v/>
      </c>
      <c r="G13592" s="51"/>
      <c r="H13592" s="46" t="str">
        <f>IF(AND(I.Developer.P2b=TRUE,I.Facility.P2bFacilityCount&gt;=3580,F13592=""),"Incomplete","Complete")</f>
        <v>Complete</v>
      </c>
      <c r="I13592" s="48" t="s">
        <v>17957</v>
      </c>
    </row>
    <row r="13593" spans="2:9" ht="15" customHeight="1" x14ac:dyDescent="0.25">
      <c r="B13593" s="55" t="s">
        <v>281</v>
      </c>
      <c r="C13593" s="46">
        <v>3581</v>
      </c>
      <c r="D13593" s="69" t="s">
        <v>29418</v>
      </c>
      <c r="E13593" s="51"/>
      <c r="F13593" s="114" t="str">
        <f>IF(INDEX(I.Facility.P2bIDNumber,3581)="","",INDEX(I.Facility.P2bIDNumber,3581))</f>
        <v/>
      </c>
      <c r="G13593" s="51"/>
      <c r="H13593" s="46" t="str">
        <f>IF(AND(I.Developer.P2b=TRUE,I.Facility.P2bFacilityCount&gt;=3581,F13593=""),"Incomplete","Complete")</f>
        <v>Complete</v>
      </c>
      <c r="I13593" s="48" t="s">
        <v>17958</v>
      </c>
    </row>
    <row r="13594" spans="2:9" ht="15" customHeight="1" x14ac:dyDescent="0.25">
      <c r="B13594" s="55" t="s">
        <v>281</v>
      </c>
      <c r="C13594" s="46">
        <v>3582</v>
      </c>
      <c r="D13594" s="69" t="s">
        <v>29418</v>
      </c>
      <c r="E13594" s="51"/>
      <c r="F13594" s="114" t="str">
        <f>IF(INDEX(I.Facility.P2bIDNumber,3582)="","",INDEX(I.Facility.P2bIDNumber,3582))</f>
        <v/>
      </c>
      <c r="G13594" s="51"/>
      <c r="H13594" s="46" t="str">
        <f>IF(AND(I.Developer.P2b=TRUE,I.Facility.P2bFacilityCount&gt;=3582,F13594=""),"Incomplete","Complete")</f>
        <v>Complete</v>
      </c>
      <c r="I13594" s="48" t="s">
        <v>17959</v>
      </c>
    </row>
    <row r="13595" spans="2:9" ht="15" customHeight="1" x14ac:dyDescent="0.25">
      <c r="B13595" s="55" t="s">
        <v>281</v>
      </c>
      <c r="C13595" s="46">
        <v>3583</v>
      </c>
      <c r="D13595" s="69" t="s">
        <v>29418</v>
      </c>
      <c r="E13595" s="51"/>
      <c r="F13595" s="114" t="str">
        <f>IF(INDEX(I.Facility.P2bIDNumber,3583)="","",INDEX(I.Facility.P2bIDNumber,3583))</f>
        <v/>
      </c>
      <c r="G13595" s="51"/>
      <c r="H13595" s="46" t="str">
        <f>IF(AND(I.Developer.P2b=TRUE,I.Facility.P2bFacilityCount&gt;=3583,F13595=""),"Incomplete","Complete")</f>
        <v>Complete</v>
      </c>
      <c r="I13595" s="48" t="s">
        <v>17960</v>
      </c>
    </row>
    <row r="13596" spans="2:9" ht="15" customHeight="1" x14ac:dyDescent="0.25">
      <c r="B13596" s="55" t="s">
        <v>281</v>
      </c>
      <c r="C13596" s="46">
        <v>3584</v>
      </c>
      <c r="D13596" s="69" t="s">
        <v>29418</v>
      </c>
      <c r="E13596" s="51"/>
      <c r="F13596" s="114" t="str">
        <f>IF(INDEX(I.Facility.P2bIDNumber,3584)="","",INDEX(I.Facility.P2bIDNumber,3584))</f>
        <v/>
      </c>
      <c r="G13596" s="51"/>
      <c r="H13596" s="46" t="str">
        <f>IF(AND(I.Developer.P2b=TRUE,I.Facility.P2bFacilityCount&gt;=3584,F13596=""),"Incomplete","Complete")</f>
        <v>Complete</v>
      </c>
      <c r="I13596" s="48" t="s">
        <v>17961</v>
      </c>
    </row>
    <row r="13597" spans="2:9" ht="15" customHeight="1" x14ac:dyDescent="0.25">
      <c r="B13597" s="55" t="s">
        <v>281</v>
      </c>
      <c r="C13597" s="46">
        <v>3585</v>
      </c>
      <c r="D13597" s="69" t="s">
        <v>29418</v>
      </c>
      <c r="E13597" s="51"/>
      <c r="F13597" s="114" t="str">
        <f>IF(INDEX(I.Facility.P2bIDNumber,3585)="","",INDEX(I.Facility.P2bIDNumber,3585))</f>
        <v/>
      </c>
      <c r="G13597" s="51"/>
      <c r="H13597" s="46" t="str">
        <f>IF(AND(I.Developer.P2b=TRUE,I.Facility.P2bFacilityCount&gt;=3585,F13597=""),"Incomplete","Complete")</f>
        <v>Complete</v>
      </c>
      <c r="I13597" s="48" t="s">
        <v>17962</v>
      </c>
    </row>
    <row r="13598" spans="2:9" ht="15" customHeight="1" x14ac:dyDescent="0.25">
      <c r="B13598" s="55" t="s">
        <v>281</v>
      </c>
      <c r="C13598" s="46">
        <v>3586</v>
      </c>
      <c r="D13598" s="69" t="s">
        <v>29418</v>
      </c>
      <c r="E13598" s="51"/>
      <c r="F13598" s="114" t="str">
        <f>IF(INDEX(I.Facility.P2bIDNumber,3586)="","",INDEX(I.Facility.P2bIDNumber,3586))</f>
        <v/>
      </c>
      <c r="G13598" s="51"/>
      <c r="H13598" s="46" t="str">
        <f>IF(AND(I.Developer.P2b=TRUE,I.Facility.P2bFacilityCount&gt;=3586,F13598=""),"Incomplete","Complete")</f>
        <v>Complete</v>
      </c>
      <c r="I13598" s="48" t="s">
        <v>17963</v>
      </c>
    </row>
    <row r="13599" spans="2:9" ht="15" customHeight="1" x14ac:dyDescent="0.25">
      <c r="B13599" s="55" t="s">
        <v>281</v>
      </c>
      <c r="C13599" s="46">
        <v>3587</v>
      </c>
      <c r="D13599" s="69" t="s">
        <v>29418</v>
      </c>
      <c r="E13599" s="51"/>
      <c r="F13599" s="114" t="str">
        <f>IF(INDEX(I.Facility.P2bIDNumber,3587)="","",INDEX(I.Facility.P2bIDNumber,3587))</f>
        <v/>
      </c>
      <c r="G13599" s="51"/>
      <c r="H13599" s="46" t="str">
        <f>IF(AND(I.Developer.P2b=TRUE,I.Facility.P2bFacilityCount&gt;=3587,F13599=""),"Incomplete","Complete")</f>
        <v>Complete</v>
      </c>
      <c r="I13599" s="48" t="s">
        <v>17964</v>
      </c>
    </row>
    <row r="13600" spans="2:9" ht="15" customHeight="1" x14ac:dyDescent="0.25">
      <c r="B13600" s="55" t="s">
        <v>281</v>
      </c>
      <c r="C13600" s="46">
        <v>3588</v>
      </c>
      <c r="D13600" s="69" t="s">
        <v>29418</v>
      </c>
      <c r="E13600" s="51"/>
      <c r="F13600" s="114" t="str">
        <f>IF(INDEX(I.Facility.P2bIDNumber,3588)="","",INDEX(I.Facility.P2bIDNumber,3588))</f>
        <v/>
      </c>
      <c r="G13600" s="51"/>
      <c r="H13600" s="46" t="str">
        <f>IF(AND(I.Developer.P2b=TRUE,I.Facility.P2bFacilityCount&gt;=3588,F13600=""),"Incomplete","Complete")</f>
        <v>Complete</v>
      </c>
      <c r="I13600" s="48" t="s">
        <v>17965</v>
      </c>
    </row>
    <row r="13601" spans="2:9" ht="15" customHeight="1" x14ac:dyDescent="0.25">
      <c r="B13601" s="55" t="s">
        <v>281</v>
      </c>
      <c r="C13601" s="46">
        <v>3589</v>
      </c>
      <c r="D13601" s="69" t="s">
        <v>29418</v>
      </c>
      <c r="E13601" s="51"/>
      <c r="F13601" s="114" t="str">
        <f>IF(INDEX(I.Facility.P2bIDNumber,3589)="","",INDEX(I.Facility.P2bIDNumber,3589))</f>
        <v/>
      </c>
      <c r="G13601" s="51"/>
      <c r="H13601" s="46" t="str">
        <f>IF(AND(I.Developer.P2b=TRUE,I.Facility.P2bFacilityCount&gt;=3589,F13601=""),"Incomplete","Complete")</f>
        <v>Complete</v>
      </c>
      <c r="I13601" s="48" t="s">
        <v>17966</v>
      </c>
    </row>
    <row r="13602" spans="2:9" ht="15" customHeight="1" x14ac:dyDescent="0.25">
      <c r="B13602" s="55" t="s">
        <v>281</v>
      </c>
      <c r="C13602" s="46">
        <v>3590</v>
      </c>
      <c r="D13602" s="69" t="s">
        <v>29418</v>
      </c>
      <c r="E13602" s="51"/>
      <c r="F13602" s="114" t="str">
        <f>IF(INDEX(I.Facility.P2bIDNumber,3590)="","",INDEX(I.Facility.P2bIDNumber,3590))</f>
        <v/>
      </c>
      <c r="G13602" s="51"/>
      <c r="H13602" s="46" t="str">
        <f>IF(AND(I.Developer.P2b=TRUE,I.Facility.P2bFacilityCount&gt;=3590,F13602=""),"Incomplete","Complete")</f>
        <v>Complete</v>
      </c>
      <c r="I13602" s="48" t="s">
        <v>17967</v>
      </c>
    </row>
    <row r="13603" spans="2:9" ht="15" customHeight="1" x14ac:dyDescent="0.25">
      <c r="B13603" s="55" t="s">
        <v>281</v>
      </c>
      <c r="C13603" s="46">
        <v>3591</v>
      </c>
      <c r="D13603" s="69" t="s">
        <v>29418</v>
      </c>
      <c r="E13603" s="51"/>
      <c r="F13603" s="114" t="str">
        <f>IF(INDEX(I.Facility.P2bIDNumber,3591)="","",INDEX(I.Facility.P2bIDNumber,3591))</f>
        <v/>
      </c>
      <c r="G13603" s="51"/>
      <c r="H13603" s="46" t="str">
        <f>IF(AND(I.Developer.P2b=TRUE,I.Facility.P2bFacilityCount&gt;=3591,F13603=""),"Incomplete","Complete")</f>
        <v>Complete</v>
      </c>
      <c r="I13603" s="48" t="s">
        <v>17968</v>
      </c>
    </row>
    <row r="13604" spans="2:9" ht="15" customHeight="1" x14ac:dyDescent="0.25">
      <c r="B13604" s="55" t="s">
        <v>281</v>
      </c>
      <c r="C13604" s="46">
        <v>3592</v>
      </c>
      <c r="D13604" s="69" t="s">
        <v>29418</v>
      </c>
      <c r="E13604" s="51"/>
      <c r="F13604" s="114" t="str">
        <f>IF(INDEX(I.Facility.P2bIDNumber,3592)="","",INDEX(I.Facility.P2bIDNumber,3592))</f>
        <v/>
      </c>
      <c r="G13604" s="51"/>
      <c r="H13604" s="46" t="str">
        <f>IF(AND(I.Developer.P2b=TRUE,I.Facility.P2bFacilityCount&gt;=3592,F13604=""),"Incomplete","Complete")</f>
        <v>Complete</v>
      </c>
      <c r="I13604" s="48" t="s">
        <v>17969</v>
      </c>
    </row>
    <row r="13605" spans="2:9" ht="15" customHeight="1" x14ac:dyDescent="0.25">
      <c r="B13605" s="55" t="s">
        <v>281</v>
      </c>
      <c r="C13605" s="46">
        <v>3593</v>
      </c>
      <c r="D13605" s="69" t="s">
        <v>29418</v>
      </c>
      <c r="E13605" s="51"/>
      <c r="F13605" s="114" t="str">
        <f>IF(INDEX(I.Facility.P2bIDNumber,3593)="","",INDEX(I.Facility.P2bIDNumber,3593))</f>
        <v/>
      </c>
      <c r="G13605" s="51"/>
      <c r="H13605" s="46" t="str">
        <f>IF(AND(I.Developer.P2b=TRUE,I.Facility.P2bFacilityCount&gt;=3593,F13605=""),"Incomplete","Complete")</f>
        <v>Complete</v>
      </c>
      <c r="I13605" s="48" t="s">
        <v>17970</v>
      </c>
    </row>
    <row r="13606" spans="2:9" ht="15" customHeight="1" x14ac:dyDescent="0.25">
      <c r="B13606" s="55" t="s">
        <v>281</v>
      </c>
      <c r="C13606" s="46">
        <v>3594</v>
      </c>
      <c r="D13606" s="69" t="s">
        <v>29418</v>
      </c>
      <c r="E13606" s="51"/>
      <c r="F13606" s="114" t="str">
        <f>IF(INDEX(I.Facility.P2bIDNumber,3594)="","",INDEX(I.Facility.P2bIDNumber,3594))</f>
        <v/>
      </c>
      <c r="G13606" s="51"/>
      <c r="H13606" s="46" t="str">
        <f>IF(AND(I.Developer.P2b=TRUE,I.Facility.P2bFacilityCount&gt;=3594,F13606=""),"Incomplete","Complete")</f>
        <v>Complete</v>
      </c>
      <c r="I13606" s="48" t="s">
        <v>17971</v>
      </c>
    </row>
    <row r="13607" spans="2:9" ht="15" customHeight="1" x14ac:dyDescent="0.25">
      <c r="B13607" s="55" t="s">
        <v>281</v>
      </c>
      <c r="C13607" s="46">
        <v>3595</v>
      </c>
      <c r="D13607" s="69" t="s">
        <v>29418</v>
      </c>
      <c r="E13607" s="51"/>
      <c r="F13607" s="114" t="str">
        <f>IF(INDEX(I.Facility.P2bIDNumber,3595)="","",INDEX(I.Facility.P2bIDNumber,3595))</f>
        <v/>
      </c>
      <c r="G13607" s="51"/>
      <c r="H13607" s="46" t="str">
        <f>IF(AND(I.Developer.P2b=TRUE,I.Facility.P2bFacilityCount&gt;=3595,F13607=""),"Incomplete","Complete")</f>
        <v>Complete</v>
      </c>
      <c r="I13607" s="48" t="s">
        <v>17972</v>
      </c>
    </row>
    <row r="13608" spans="2:9" ht="15" customHeight="1" x14ac:dyDescent="0.25">
      <c r="B13608" s="55" t="s">
        <v>281</v>
      </c>
      <c r="C13608" s="46">
        <v>3596</v>
      </c>
      <c r="D13608" s="69" t="s">
        <v>29418</v>
      </c>
      <c r="E13608" s="51"/>
      <c r="F13608" s="114" t="str">
        <f>IF(INDEX(I.Facility.P2bIDNumber,3596)="","",INDEX(I.Facility.P2bIDNumber,3596))</f>
        <v/>
      </c>
      <c r="G13608" s="51"/>
      <c r="H13608" s="46" t="str">
        <f>IF(AND(I.Developer.P2b=TRUE,I.Facility.P2bFacilityCount&gt;=3596,F13608=""),"Incomplete","Complete")</f>
        <v>Complete</v>
      </c>
      <c r="I13608" s="48" t="s">
        <v>17973</v>
      </c>
    </row>
    <row r="13609" spans="2:9" ht="15" customHeight="1" x14ac:dyDescent="0.25">
      <c r="B13609" s="55" t="s">
        <v>281</v>
      </c>
      <c r="C13609" s="46">
        <v>3597</v>
      </c>
      <c r="D13609" s="69" t="s">
        <v>29418</v>
      </c>
      <c r="E13609" s="51"/>
      <c r="F13609" s="114" t="str">
        <f>IF(INDEX(I.Facility.P2bIDNumber,3597)="","",INDEX(I.Facility.P2bIDNumber,3597))</f>
        <v/>
      </c>
      <c r="G13609" s="51"/>
      <c r="H13609" s="46" t="str">
        <f>IF(AND(I.Developer.P2b=TRUE,I.Facility.P2bFacilityCount&gt;=3597,F13609=""),"Incomplete","Complete")</f>
        <v>Complete</v>
      </c>
      <c r="I13609" s="48" t="s">
        <v>17974</v>
      </c>
    </row>
    <row r="13610" spans="2:9" ht="15" customHeight="1" x14ac:dyDescent="0.25">
      <c r="B13610" s="55" t="s">
        <v>281</v>
      </c>
      <c r="C13610" s="46">
        <v>3598</v>
      </c>
      <c r="D13610" s="69" t="s">
        <v>29418</v>
      </c>
      <c r="E13610" s="51"/>
      <c r="F13610" s="114" t="str">
        <f>IF(INDEX(I.Facility.P2bIDNumber,3598)="","",INDEX(I.Facility.P2bIDNumber,3598))</f>
        <v/>
      </c>
      <c r="G13610" s="51"/>
      <c r="H13610" s="46" t="str">
        <f>IF(AND(I.Developer.P2b=TRUE,I.Facility.P2bFacilityCount&gt;=3598,F13610=""),"Incomplete","Complete")</f>
        <v>Complete</v>
      </c>
      <c r="I13610" s="48" t="s">
        <v>17975</v>
      </c>
    </row>
    <row r="13611" spans="2:9" ht="15" customHeight="1" x14ac:dyDescent="0.25">
      <c r="B13611" s="55" t="s">
        <v>281</v>
      </c>
      <c r="C13611" s="46">
        <v>3599</v>
      </c>
      <c r="D13611" s="69" t="s">
        <v>29418</v>
      </c>
      <c r="E13611" s="51"/>
      <c r="F13611" s="114" t="str">
        <f>IF(INDEX(I.Facility.P2bIDNumber,3599)="","",INDEX(I.Facility.P2bIDNumber,3599))</f>
        <v/>
      </c>
      <c r="G13611" s="51"/>
      <c r="H13611" s="46" t="str">
        <f>IF(AND(I.Developer.P2b=TRUE,I.Facility.P2bFacilityCount&gt;=3599,F13611=""),"Incomplete","Complete")</f>
        <v>Complete</v>
      </c>
      <c r="I13611" s="48" t="s">
        <v>17976</v>
      </c>
    </row>
    <row r="13612" spans="2:9" ht="15" customHeight="1" x14ac:dyDescent="0.25">
      <c r="B13612" s="55" t="s">
        <v>281</v>
      </c>
      <c r="C13612" s="46">
        <v>3600</v>
      </c>
      <c r="D13612" s="69" t="s">
        <v>29418</v>
      </c>
      <c r="E13612" s="51"/>
      <c r="F13612" s="114" t="str">
        <f>IF(INDEX(I.Facility.P2bIDNumber,3600)="","",INDEX(I.Facility.P2bIDNumber,3600))</f>
        <v/>
      </c>
      <c r="G13612" s="51"/>
      <c r="H13612" s="46" t="str">
        <f>IF(AND(I.Developer.P2b=TRUE,I.Facility.P2bFacilityCount&gt;=3600,F13612=""),"Incomplete","Complete")</f>
        <v>Complete</v>
      </c>
      <c r="I13612" s="48" t="s">
        <v>17977</v>
      </c>
    </row>
    <row r="13613" spans="2:9" ht="15" customHeight="1" x14ac:dyDescent="0.25">
      <c r="B13613" s="55" t="s">
        <v>281</v>
      </c>
      <c r="C13613" s="46">
        <v>3601</v>
      </c>
      <c r="D13613" s="69" t="s">
        <v>29418</v>
      </c>
      <c r="E13613" s="51"/>
      <c r="F13613" s="114" t="str">
        <f>IF(INDEX(I.Facility.P2bIDNumber,3601)="","",INDEX(I.Facility.P2bIDNumber,3601))</f>
        <v/>
      </c>
      <c r="G13613" s="51"/>
      <c r="H13613" s="46" t="str">
        <f>IF(AND(I.Developer.P2b=TRUE,I.Facility.P2bFacilityCount&gt;=3601,F13613=""),"Incomplete","Complete")</f>
        <v>Complete</v>
      </c>
      <c r="I13613" s="48" t="s">
        <v>17978</v>
      </c>
    </row>
    <row r="13614" spans="2:9" ht="15" customHeight="1" x14ac:dyDescent="0.25">
      <c r="B13614" s="55" t="s">
        <v>281</v>
      </c>
      <c r="C13614" s="46">
        <v>3602</v>
      </c>
      <c r="D13614" s="69" t="s">
        <v>29418</v>
      </c>
      <c r="E13614" s="51"/>
      <c r="F13614" s="114" t="str">
        <f>IF(INDEX(I.Facility.P2bIDNumber,3602)="","",INDEX(I.Facility.P2bIDNumber,3602))</f>
        <v/>
      </c>
      <c r="G13614" s="51"/>
      <c r="H13614" s="46" t="str">
        <f>IF(AND(I.Developer.P2b=TRUE,I.Facility.P2bFacilityCount&gt;=3602,F13614=""),"Incomplete","Complete")</f>
        <v>Complete</v>
      </c>
      <c r="I13614" s="48" t="s">
        <v>17979</v>
      </c>
    </row>
    <row r="13615" spans="2:9" ht="15" customHeight="1" x14ac:dyDescent="0.25">
      <c r="B13615" s="55" t="s">
        <v>281</v>
      </c>
      <c r="C13615" s="46">
        <v>3603</v>
      </c>
      <c r="D13615" s="69" t="s">
        <v>29418</v>
      </c>
      <c r="E13615" s="51"/>
      <c r="F13615" s="114" t="str">
        <f>IF(INDEX(I.Facility.P2bIDNumber,3603)="","",INDEX(I.Facility.P2bIDNumber,3603))</f>
        <v/>
      </c>
      <c r="G13615" s="51"/>
      <c r="H13615" s="46" t="str">
        <f>IF(AND(I.Developer.P2b=TRUE,I.Facility.P2bFacilityCount&gt;=3603,F13615=""),"Incomplete","Complete")</f>
        <v>Complete</v>
      </c>
      <c r="I13615" s="48" t="s">
        <v>17980</v>
      </c>
    </row>
    <row r="13616" spans="2:9" ht="15" customHeight="1" x14ac:dyDescent="0.25">
      <c r="B13616" s="55" t="s">
        <v>281</v>
      </c>
      <c r="C13616" s="46">
        <v>3604</v>
      </c>
      <c r="D13616" s="69" t="s">
        <v>29418</v>
      </c>
      <c r="E13616" s="51"/>
      <c r="F13616" s="114" t="str">
        <f>IF(INDEX(I.Facility.P2bIDNumber,3604)="","",INDEX(I.Facility.P2bIDNumber,3604))</f>
        <v/>
      </c>
      <c r="G13616" s="51"/>
      <c r="H13616" s="46" t="str">
        <f>IF(AND(I.Developer.P2b=TRUE,I.Facility.P2bFacilityCount&gt;=3604,F13616=""),"Incomplete","Complete")</f>
        <v>Complete</v>
      </c>
      <c r="I13616" s="48" t="s">
        <v>17981</v>
      </c>
    </row>
    <row r="13617" spans="2:9" ht="15" customHeight="1" x14ac:dyDescent="0.25">
      <c r="B13617" s="55" t="s">
        <v>281</v>
      </c>
      <c r="C13617" s="46">
        <v>3605</v>
      </c>
      <c r="D13617" s="69" t="s">
        <v>29418</v>
      </c>
      <c r="E13617" s="51"/>
      <c r="F13617" s="114" t="str">
        <f>IF(INDEX(I.Facility.P2bIDNumber,3605)="","",INDEX(I.Facility.P2bIDNumber,3605))</f>
        <v/>
      </c>
      <c r="G13617" s="51"/>
      <c r="H13617" s="46" t="str">
        <f>IF(AND(I.Developer.P2b=TRUE,I.Facility.P2bFacilityCount&gt;=3605,F13617=""),"Incomplete","Complete")</f>
        <v>Complete</v>
      </c>
      <c r="I13617" s="48" t="s">
        <v>17982</v>
      </c>
    </row>
    <row r="13618" spans="2:9" ht="15" customHeight="1" x14ac:dyDescent="0.25">
      <c r="B13618" s="55" t="s">
        <v>281</v>
      </c>
      <c r="C13618" s="46">
        <v>3606</v>
      </c>
      <c r="D13618" s="69" t="s">
        <v>29418</v>
      </c>
      <c r="E13618" s="51"/>
      <c r="F13618" s="114" t="str">
        <f>IF(INDEX(I.Facility.P2bIDNumber,3606)="","",INDEX(I.Facility.P2bIDNumber,3606))</f>
        <v/>
      </c>
      <c r="G13618" s="51"/>
      <c r="H13618" s="46" t="str">
        <f>IF(AND(I.Developer.P2b=TRUE,I.Facility.P2bFacilityCount&gt;=3606,F13618=""),"Incomplete","Complete")</f>
        <v>Complete</v>
      </c>
      <c r="I13618" s="48" t="s">
        <v>17983</v>
      </c>
    </row>
    <row r="13619" spans="2:9" ht="15" customHeight="1" x14ac:dyDescent="0.25">
      <c r="B13619" s="55" t="s">
        <v>281</v>
      </c>
      <c r="C13619" s="46">
        <v>3607</v>
      </c>
      <c r="D13619" s="69" t="s">
        <v>29418</v>
      </c>
      <c r="E13619" s="51"/>
      <c r="F13619" s="114" t="str">
        <f>IF(INDEX(I.Facility.P2bIDNumber,3607)="","",INDEX(I.Facility.P2bIDNumber,3607))</f>
        <v/>
      </c>
      <c r="G13619" s="51"/>
      <c r="H13619" s="46" t="str">
        <f>IF(AND(I.Developer.P2b=TRUE,I.Facility.P2bFacilityCount&gt;=3607,F13619=""),"Incomplete","Complete")</f>
        <v>Complete</v>
      </c>
      <c r="I13619" s="48" t="s">
        <v>17984</v>
      </c>
    </row>
    <row r="13620" spans="2:9" ht="15" customHeight="1" x14ac:dyDescent="0.25">
      <c r="B13620" s="55" t="s">
        <v>281</v>
      </c>
      <c r="C13620" s="46">
        <v>3608</v>
      </c>
      <c r="D13620" s="69" t="s">
        <v>29418</v>
      </c>
      <c r="E13620" s="51"/>
      <c r="F13620" s="114" t="str">
        <f>IF(INDEX(I.Facility.P2bIDNumber,3608)="","",INDEX(I.Facility.P2bIDNumber,3608))</f>
        <v/>
      </c>
      <c r="G13620" s="51"/>
      <c r="H13620" s="46" t="str">
        <f>IF(AND(I.Developer.P2b=TRUE,I.Facility.P2bFacilityCount&gt;=3608,F13620=""),"Incomplete","Complete")</f>
        <v>Complete</v>
      </c>
      <c r="I13620" s="48" t="s">
        <v>17985</v>
      </c>
    </row>
    <row r="13621" spans="2:9" ht="15" customHeight="1" x14ac:dyDescent="0.25">
      <c r="B13621" s="55" t="s">
        <v>281</v>
      </c>
      <c r="C13621" s="46">
        <v>3609</v>
      </c>
      <c r="D13621" s="69" t="s">
        <v>29418</v>
      </c>
      <c r="E13621" s="51"/>
      <c r="F13621" s="114" t="str">
        <f>IF(INDEX(I.Facility.P2bIDNumber,3609)="","",INDEX(I.Facility.P2bIDNumber,3609))</f>
        <v/>
      </c>
      <c r="G13621" s="51"/>
      <c r="H13621" s="46" t="str">
        <f>IF(AND(I.Developer.P2b=TRUE,I.Facility.P2bFacilityCount&gt;=3609,F13621=""),"Incomplete","Complete")</f>
        <v>Complete</v>
      </c>
      <c r="I13621" s="48" t="s">
        <v>17986</v>
      </c>
    </row>
    <row r="13622" spans="2:9" ht="15" customHeight="1" x14ac:dyDescent="0.25">
      <c r="B13622" s="55" t="s">
        <v>281</v>
      </c>
      <c r="C13622" s="46">
        <v>3610</v>
      </c>
      <c r="D13622" s="69" t="s">
        <v>29418</v>
      </c>
      <c r="E13622" s="51"/>
      <c r="F13622" s="114" t="str">
        <f>IF(INDEX(I.Facility.P2bIDNumber,3610)="","",INDEX(I.Facility.P2bIDNumber,3610))</f>
        <v/>
      </c>
      <c r="G13622" s="51"/>
      <c r="H13622" s="46" t="str">
        <f>IF(AND(I.Developer.P2b=TRUE,I.Facility.P2bFacilityCount&gt;=3610,F13622=""),"Incomplete","Complete")</f>
        <v>Complete</v>
      </c>
      <c r="I13622" s="48" t="s">
        <v>17987</v>
      </c>
    </row>
    <row r="13623" spans="2:9" ht="15" customHeight="1" x14ac:dyDescent="0.25">
      <c r="B13623" s="55" t="s">
        <v>281</v>
      </c>
      <c r="C13623" s="46">
        <v>3611</v>
      </c>
      <c r="D13623" s="69" t="s">
        <v>29418</v>
      </c>
      <c r="E13623" s="51"/>
      <c r="F13623" s="114" t="str">
        <f>IF(INDEX(I.Facility.P2bIDNumber,3611)="","",INDEX(I.Facility.P2bIDNumber,3611))</f>
        <v/>
      </c>
      <c r="G13623" s="51"/>
      <c r="H13623" s="46" t="str">
        <f>IF(AND(I.Developer.P2b=TRUE,I.Facility.P2bFacilityCount&gt;=3611,F13623=""),"Incomplete","Complete")</f>
        <v>Complete</v>
      </c>
      <c r="I13623" s="48" t="s">
        <v>17988</v>
      </c>
    </row>
    <row r="13624" spans="2:9" ht="15" customHeight="1" x14ac:dyDescent="0.25">
      <c r="B13624" s="55" t="s">
        <v>281</v>
      </c>
      <c r="C13624" s="46">
        <v>3612</v>
      </c>
      <c r="D13624" s="69" t="s">
        <v>29418</v>
      </c>
      <c r="E13624" s="51"/>
      <c r="F13624" s="114" t="str">
        <f>IF(INDEX(I.Facility.P2bIDNumber,3612)="","",INDEX(I.Facility.P2bIDNumber,3612))</f>
        <v/>
      </c>
      <c r="G13624" s="51"/>
      <c r="H13624" s="46" t="str">
        <f>IF(AND(I.Developer.P2b=TRUE,I.Facility.P2bFacilityCount&gt;=3612,F13624=""),"Incomplete","Complete")</f>
        <v>Complete</v>
      </c>
      <c r="I13624" s="48" t="s">
        <v>17989</v>
      </c>
    </row>
    <row r="13625" spans="2:9" ht="15" customHeight="1" x14ac:dyDescent="0.25">
      <c r="B13625" s="55" t="s">
        <v>281</v>
      </c>
      <c r="C13625" s="46">
        <v>3613</v>
      </c>
      <c r="D13625" s="69" t="s">
        <v>29418</v>
      </c>
      <c r="E13625" s="51"/>
      <c r="F13625" s="114" t="str">
        <f>IF(INDEX(I.Facility.P2bIDNumber,3613)="","",INDEX(I.Facility.P2bIDNumber,3613))</f>
        <v/>
      </c>
      <c r="G13625" s="51"/>
      <c r="H13625" s="46" t="str">
        <f>IF(AND(I.Developer.P2b=TRUE,I.Facility.P2bFacilityCount&gt;=3613,F13625=""),"Incomplete","Complete")</f>
        <v>Complete</v>
      </c>
      <c r="I13625" s="48" t="s">
        <v>17990</v>
      </c>
    </row>
    <row r="13626" spans="2:9" ht="15" customHeight="1" x14ac:dyDescent="0.25">
      <c r="B13626" s="55" t="s">
        <v>281</v>
      </c>
      <c r="C13626" s="46">
        <v>3614</v>
      </c>
      <c r="D13626" s="69" t="s">
        <v>29418</v>
      </c>
      <c r="E13626" s="51"/>
      <c r="F13626" s="114" t="str">
        <f>IF(INDEX(I.Facility.P2bIDNumber,3614)="","",INDEX(I.Facility.P2bIDNumber,3614))</f>
        <v/>
      </c>
      <c r="G13626" s="51"/>
      <c r="H13626" s="46" t="str">
        <f>IF(AND(I.Developer.P2b=TRUE,I.Facility.P2bFacilityCount&gt;=3614,F13626=""),"Incomplete","Complete")</f>
        <v>Complete</v>
      </c>
      <c r="I13626" s="48" t="s">
        <v>17991</v>
      </c>
    </row>
    <row r="13627" spans="2:9" ht="15" customHeight="1" x14ac:dyDescent="0.25">
      <c r="B13627" s="55" t="s">
        <v>281</v>
      </c>
      <c r="C13627" s="46">
        <v>3615</v>
      </c>
      <c r="D13627" s="69" t="s">
        <v>29418</v>
      </c>
      <c r="E13627" s="51"/>
      <c r="F13627" s="114" t="str">
        <f>IF(INDEX(I.Facility.P2bIDNumber,3615)="","",INDEX(I.Facility.P2bIDNumber,3615))</f>
        <v/>
      </c>
      <c r="G13627" s="51"/>
      <c r="H13627" s="46" t="str">
        <f>IF(AND(I.Developer.P2b=TRUE,I.Facility.P2bFacilityCount&gt;=3615,F13627=""),"Incomplete","Complete")</f>
        <v>Complete</v>
      </c>
      <c r="I13627" s="48" t="s">
        <v>17992</v>
      </c>
    </row>
    <row r="13628" spans="2:9" ht="15" customHeight="1" x14ac:dyDescent="0.25">
      <c r="B13628" s="55" t="s">
        <v>281</v>
      </c>
      <c r="C13628" s="46">
        <v>3616</v>
      </c>
      <c r="D13628" s="69" t="s">
        <v>29418</v>
      </c>
      <c r="E13628" s="51"/>
      <c r="F13628" s="114" t="str">
        <f>IF(INDEX(I.Facility.P2bIDNumber,3616)="","",INDEX(I.Facility.P2bIDNumber,3616))</f>
        <v/>
      </c>
      <c r="G13628" s="51"/>
      <c r="H13628" s="46" t="str">
        <f>IF(AND(I.Developer.P2b=TRUE,I.Facility.P2bFacilityCount&gt;=3616,F13628=""),"Incomplete","Complete")</f>
        <v>Complete</v>
      </c>
      <c r="I13628" s="48" t="s">
        <v>17993</v>
      </c>
    </row>
    <row r="13629" spans="2:9" ht="15" customHeight="1" x14ac:dyDescent="0.25">
      <c r="B13629" s="55" t="s">
        <v>281</v>
      </c>
      <c r="C13629" s="46">
        <v>3617</v>
      </c>
      <c r="D13629" s="69" t="s">
        <v>29418</v>
      </c>
      <c r="E13629" s="51"/>
      <c r="F13629" s="114" t="str">
        <f>IF(INDEX(I.Facility.P2bIDNumber,3617)="","",INDEX(I.Facility.P2bIDNumber,3617))</f>
        <v/>
      </c>
      <c r="G13629" s="51"/>
      <c r="H13629" s="46" t="str">
        <f>IF(AND(I.Developer.P2b=TRUE,I.Facility.P2bFacilityCount&gt;=3617,F13629=""),"Incomplete","Complete")</f>
        <v>Complete</v>
      </c>
      <c r="I13629" s="48" t="s">
        <v>17994</v>
      </c>
    </row>
    <row r="13630" spans="2:9" ht="15" customHeight="1" x14ac:dyDescent="0.25">
      <c r="B13630" s="55" t="s">
        <v>281</v>
      </c>
      <c r="C13630" s="46">
        <v>3618</v>
      </c>
      <c r="D13630" s="69" t="s">
        <v>29418</v>
      </c>
      <c r="E13630" s="51"/>
      <c r="F13630" s="114" t="str">
        <f>IF(INDEX(I.Facility.P2bIDNumber,3618)="","",INDEX(I.Facility.P2bIDNumber,3618))</f>
        <v/>
      </c>
      <c r="G13630" s="51"/>
      <c r="H13630" s="46" t="str">
        <f>IF(AND(I.Developer.P2b=TRUE,I.Facility.P2bFacilityCount&gt;=3618,F13630=""),"Incomplete","Complete")</f>
        <v>Complete</v>
      </c>
      <c r="I13630" s="48" t="s">
        <v>17995</v>
      </c>
    </row>
    <row r="13631" spans="2:9" ht="15" customHeight="1" x14ac:dyDescent="0.25">
      <c r="B13631" s="55" t="s">
        <v>281</v>
      </c>
      <c r="C13631" s="46">
        <v>3619</v>
      </c>
      <c r="D13631" s="69" t="s">
        <v>29418</v>
      </c>
      <c r="E13631" s="51"/>
      <c r="F13631" s="114" t="str">
        <f>IF(INDEX(I.Facility.P2bIDNumber,3619)="","",INDEX(I.Facility.P2bIDNumber,3619))</f>
        <v/>
      </c>
      <c r="G13631" s="51"/>
      <c r="H13631" s="46" t="str">
        <f>IF(AND(I.Developer.P2b=TRUE,I.Facility.P2bFacilityCount&gt;=3619,F13631=""),"Incomplete","Complete")</f>
        <v>Complete</v>
      </c>
      <c r="I13631" s="48" t="s">
        <v>17996</v>
      </c>
    </row>
    <row r="13632" spans="2:9" ht="15" customHeight="1" x14ac:dyDescent="0.25">
      <c r="B13632" s="55" t="s">
        <v>281</v>
      </c>
      <c r="C13632" s="46">
        <v>3620</v>
      </c>
      <c r="D13632" s="69" t="s">
        <v>29418</v>
      </c>
      <c r="E13632" s="51"/>
      <c r="F13632" s="114" t="str">
        <f>IF(INDEX(I.Facility.P2bIDNumber,3620)="","",INDEX(I.Facility.P2bIDNumber,3620))</f>
        <v/>
      </c>
      <c r="G13632" s="51"/>
      <c r="H13632" s="46" t="str">
        <f>IF(AND(I.Developer.P2b=TRUE,I.Facility.P2bFacilityCount&gt;=3620,F13632=""),"Incomplete","Complete")</f>
        <v>Complete</v>
      </c>
      <c r="I13632" s="48" t="s">
        <v>17997</v>
      </c>
    </row>
    <row r="13633" spans="2:9" ht="15" customHeight="1" x14ac:dyDescent="0.25">
      <c r="B13633" s="55" t="s">
        <v>281</v>
      </c>
      <c r="C13633" s="46">
        <v>3621</v>
      </c>
      <c r="D13633" s="69" t="s">
        <v>29418</v>
      </c>
      <c r="E13633" s="51"/>
      <c r="F13633" s="114" t="str">
        <f>IF(INDEX(I.Facility.P2bIDNumber,3621)="","",INDEX(I.Facility.P2bIDNumber,3621))</f>
        <v/>
      </c>
      <c r="G13633" s="51"/>
      <c r="H13633" s="46" t="str">
        <f>IF(AND(I.Developer.P2b=TRUE,I.Facility.P2bFacilityCount&gt;=3621,F13633=""),"Incomplete","Complete")</f>
        <v>Complete</v>
      </c>
      <c r="I13633" s="48" t="s">
        <v>17998</v>
      </c>
    </row>
    <row r="13634" spans="2:9" ht="15" customHeight="1" x14ac:dyDescent="0.25">
      <c r="B13634" s="55" t="s">
        <v>281</v>
      </c>
      <c r="C13634" s="46">
        <v>3622</v>
      </c>
      <c r="D13634" s="69" t="s">
        <v>29418</v>
      </c>
      <c r="E13634" s="51"/>
      <c r="F13634" s="114" t="str">
        <f>IF(INDEX(I.Facility.P2bIDNumber,3622)="","",INDEX(I.Facility.P2bIDNumber,3622))</f>
        <v/>
      </c>
      <c r="G13634" s="51"/>
      <c r="H13634" s="46" t="str">
        <f>IF(AND(I.Developer.P2b=TRUE,I.Facility.P2bFacilityCount&gt;=3622,F13634=""),"Incomplete","Complete")</f>
        <v>Complete</v>
      </c>
      <c r="I13634" s="48" t="s">
        <v>17999</v>
      </c>
    </row>
    <row r="13635" spans="2:9" ht="15" customHeight="1" x14ac:dyDescent="0.25">
      <c r="B13635" s="55" t="s">
        <v>281</v>
      </c>
      <c r="C13635" s="46">
        <v>3623</v>
      </c>
      <c r="D13635" s="69" t="s">
        <v>29418</v>
      </c>
      <c r="E13635" s="51"/>
      <c r="F13635" s="114" t="str">
        <f>IF(INDEX(I.Facility.P2bIDNumber,3623)="","",INDEX(I.Facility.P2bIDNumber,3623))</f>
        <v/>
      </c>
      <c r="G13635" s="51"/>
      <c r="H13635" s="46" t="str">
        <f>IF(AND(I.Developer.P2b=TRUE,I.Facility.P2bFacilityCount&gt;=3623,F13635=""),"Incomplete","Complete")</f>
        <v>Complete</v>
      </c>
      <c r="I13635" s="48" t="s">
        <v>18000</v>
      </c>
    </row>
    <row r="13636" spans="2:9" ht="15" customHeight="1" x14ac:dyDescent="0.25">
      <c r="B13636" s="55" t="s">
        <v>281</v>
      </c>
      <c r="C13636" s="46">
        <v>3624</v>
      </c>
      <c r="D13636" s="69" t="s">
        <v>29418</v>
      </c>
      <c r="E13636" s="51"/>
      <c r="F13636" s="114" t="str">
        <f>IF(INDEX(I.Facility.P2bIDNumber,3624)="","",INDEX(I.Facility.P2bIDNumber,3624))</f>
        <v/>
      </c>
      <c r="G13636" s="51"/>
      <c r="H13636" s="46" t="str">
        <f>IF(AND(I.Developer.P2b=TRUE,I.Facility.P2bFacilityCount&gt;=3624,F13636=""),"Incomplete","Complete")</f>
        <v>Complete</v>
      </c>
      <c r="I13636" s="48" t="s">
        <v>18001</v>
      </c>
    </row>
    <row r="13637" spans="2:9" ht="15" customHeight="1" x14ac:dyDescent="0.25">
      <c r="B13637" s="55" t="s">
        <v>281</v>
      </c>
      <c r="C13637" s="46">
        <v>3625</v>
      </c>
      <c r="D13637" s="69" t="s">
        <v>29418</v>
      </c>
      <c r="E13637" s="51"/>
      <c r="F13637" s="114" t="str">
        <f>IF(INDEX(I.Facility.P2bIDNumber,3625)="","",INDEX(I.Facility.P2bIDNumber,3625))</f>
        <v/>
      </c>
      <c r="G13637" s="51"/>
      <c r="H13637" s="46" t="str">
        <f>IF(AND(I.Developer.P2b=TRUE,I.Facility.P2bFacilityCount&gt;=3625,F13637=""),"Incomplete","Complete")</f>
        <v>Complete</v>
      </c>
      <c r="I13637" s="48" t="s">
        <v>18002</v>
      </c>
    </row>
    <row r="13638" spans="2:9" ht="15" customHeight="1" x14ac:dyDescent="0.25">
      <c r="B13638" s="55" t="s">
        <v>281</v>
      </c>
      <c r="C13638" s="46">
        <v>3626</v>
      </c>
      <c r="D13638" s="69" t="s">
        <v>29418</v>
      </c>
      <c r="E13638" s="51"/>
      <c r="F13638" s="114" t="str">
        <f>IF(INDEX(I.Facility.P2bIDNumber,3626)="","",INDEX(I.Facility.P2bIDNumber,3626))</f>
        <v/>
      </c>
      <c r="G13638" s="51"/>
      <c r="H13638" s="46" t="str">
        <f>IF(AND(I.Developer.P2b=TRUE,I.Facility.P2bFacilityCount&gt;=3626,F13638=""),"Incomplete","Complete")</f>
        <v>Complete</v>
      </c>
      <c r="I13638" s="48" t="s">
        <v>18003</v>
      </c>
    </row>
    <row r="13639" spans="2:9" ht="15" customHeight="1" x14ac:dyDescent="0.25">
      <c r="B13639" s="55" t="s">
        <v>281</v>
      </c>
      <c r="C13639" s="46">
        <v>3627</v>
      </c>
      <c r="D13639" s="69" t="s">
        <v>29418</v>
      </c>
      <c r="E13639" s="51"/>
      <c r="F13639" s="114" t="str">
        <f>IF(INDEX(I.Facility.P2bIDNumber,3627)="","",INDEX(I.Facility.P2bIDNumber,3627))</f>
        <v/>
      </c>
      <c r="G13639" s="51"/>
      <c r="H13639" s="46" t="str">
        <f>IF(AND(I.Developer.P2b=TRUE,I.Facility.P2bFacilityCount&gt;=3627,F13639=""),"Incomplete","Complete")</f>
        <v>Complete</v>
      </c>
      <c r="I13639" s="48" t="s">
        <v>18004</v>
      </c>
    </row>
    <row r="13640" spans="2:9" ht="15" customHeight="1" x14ac:dyDescent="0.25">
      <c r="B13640" s="55" t="s">
        <v>281</v>
      </c>
      <c r="C13640" s="46">
        <v>3628</v>
      </c>
      <c r="D13640" s="69" t="s">
        <v>29418</v>
      </c>
      <c r="E13640" s="51"/>
      <c r="F13640" s="114" t="str">
        <f>IF(INDEX(I.Facility.P2bIDNumber,3628)="","",INDEX(I.Facility.P2bIDNumber,3628))</f>
        <v/>
      </c>
      <c r="G13640" s="51"/>
      <c r="H13640" s="46" t="str">
        <f>IF(AND(I.Developer.P2b=TRUE,I.Facility.P2bFacilityCount&gt;=3628,F13640=""),"Incomplete","Complete")</f>
        <v>Complete</v>
      </c>
      <c r="I13640" s="48" t="s">
        <v>18005</v>
      </c>
    </row>
    <row r="13641" spans="2:9" ht="15" customHeight="1" x14ac:dyDescent="0.25">
      <c r="B13641" s="55" t="s">
        <v>281</v>
      </c>
      <c r="C13641" s="46">
        <v>3629</v>
      </c>
      <c r="D13641" s="69" t="s">
        <v>29418</v>
      </c>
      <c r="E13641" s="51"/>
      <c r="F13641" s="114" t="str">
        <f>IF(INDEX(I.Facility.P2bIDNumber,3629)="","",INDEX(I.Facility.P2bIDNumber,3629))</f>
        <v/>
      </c>
      <c r="G13641" s="51"/>
      <c r="H13641" s="46" t="str">
        <f>IF(AND(I.Developer.P2b=TRUE,I.Facility.P2bFacilityCount&gt;=3629,F13641=""),"Incomplete","Complete")</f>
        <v>Complete</v>
      </c>
      <c r="I13641" s="48" t="s">
        <v>18006</v>
      </c>
    </row>
    <row r="13642" spans="2:9" ht="15" customHeight="1" x14ac:dyDescent="0.25">
      <c r="B13642" s="55" t="s">
        <v>281</v>
      </c>
      <c r="C13642" s="46">
        <v>3630</v>
      </c>
      <c r="D13642" s="69" t="s">
        <v>29418</v>
      </c>
      <c r="E13642" s="51"/>
      <c r="F13642" s="114" t="str">
        <f>IF(INDEX(I.Facility.P2bIDNumber,3630)="","",INDEX(I.Facility.P2bIDNumber,3630))</f>
        <v/>
      </c>
      <c r="G13642" s="51"/>
      <c r="H13642" s="46" t="str">
        <f>IF(AND(I.Developer.P2b=TRUE,I.Facility.P2bFacilityCount&gt;=3630,F13642=""),"Incomplete","Complete")</f>
        <v>Complete</v>
      </c>
      <c r="I13642" s="48" t="s">
        <v>18007</v>
      </c>
    </row>
    <row r="13643" spans="2:9" ht="15" customHeight="1" x14ac:dyDescent="0.25">
      <c r="B13643" s="55" t="s">
        <v>281</v>
      </c>
      <c r="C13643" s="46">
        <v>3631</v>
      </c>
      <c r="D13643" s="69" t="s">
        <v>29418</v>
      </c>
      <c r="E13643" s="51"/>
      <c r="F13643" s="114" t="str">
        <f>IF(INDEX(I.Facility.P2bIDNumber,3631)="","",INDEX(I.Facility.P2bIDNumber,3631))</f>
        <v/>
      </c>
      <c r="G13643" s="51"/>
      <c r="H13643" s="46" t="str">
        <f>IF(AND(I.Developer.P2b=TRUE,I.Facility.P2bFacilityCount&gt;=3631,F13643=""),"Incomplete","Complete")</f>
        <v>Complete</v>
      </c>
      <c r="I13643" s="48" t="s">
        <v>18008</v>
      </c>
    </row>
    <row r="13644" spans="2:9" ht="15" customHeight="1" x14ac:dyDescent="0.25">
      <c r="B13644" s="55" t="s">
        <v>281</v>
      </c>
      <c r="C13644" s="46">
        <v>3632</v>
      </c>
      <c r="D13644" s="69" t="s">
        <v>29418</v>
      </c>
      <c r="E13644" s="51"/>
      <c r="F13644" s="114" t="str">
        <f>IF(INDEX(I.Facility.P2bIDNumber,3632)="","",INDEX(I.Facility.P2bIDNumber,3632))</f>
        <v/>
      </c>
      <c r="G13644" s="51"/>
      <c r="H13644" s="46" t="str">
        <f>IF(AND(I.Developer.P2b=TRUE,I.Facility.P2bFacilityCount&gt;=3632,F13644=""),"Incomplete","Complete")</f>
        <v>Complete</v>
      </c>
      <c r="I13644" s="48" t="s">
        <v>18009</v>
      </c>
    </row>
    <row r="13645" spans="2:9" ht="15" customHeight="1" x14ac:dyDescent="0.25">
      <c r="B13645" s="55" t="s">
        <v>281</v>
      </c>
      <c r="C13645" s="46">
        <v>3633</v>
      </c>
      <c r="D13645" s="69" t="s">
        <v>29418</v>
      </c>
      <c r="E13645" s="51"/>
      <c r="F13645" s="114" t="str">
        <f>IF(INDEX(I.Facility.P2bIDNumber,3633)="","",INDEX(I.Facility.P2bIDNumber,3633))</f>
        <v/>
      </c>
      <c r="G13645" s="51"/>
      <c r="H13645" s="46" t="str">
        <f>IF(AND(I.Developer.P2b=TRUE,I.Facility.P2bFacilityCount&gt;=3633,F13645=""),"Incomplete","Complete")</f>
        <v>Complete</v>
      </c>
      <c r="I13645" s="48" t="s">
        <v>18010</v>
      </c>
    </row>
    <row r="13646" spans="2:9" ht="15" customHeight="1" x14ac:dyDescent="0.25">
      <c r="B13646" s="55" t="s">
        <v>281</v>
      </c>
      <c r="C13646" s="46">
        <v>3634</v>
      </c>
      <c r="D13646" s="69" t="s">
        <v>29418</v>
      </c>
      <c r="E13646" s="51"/>
      <c r="F13646" s="114" t="str">
        <f>IF(INDEX(I.Facility.P2bIDNumber,3634)="","",INDEX(I.Facility.P2bIDNumber,3634))</f>
        <v/>
      </c>
      <c r="G13646" s="51"/>
      <c r="H13646" s="46" t="str">
        <f>IF(AND(I.Developer.P2b=TRUE,I.Facility.P2bFacilityCount&gt;=3634,F13646=""),"Incomplete","Complete")</f>
        <v>Complete</v>
      </c>
      <c r="I13646" s="48" t="s">
        <v>18011</v>
      </c>
    </row>
    <row r="13647" spans="2:9" ht="15" customHeight="1" x14ac:dyDescent="0.25">
      <c r="B13647" s="55" t="s">
        <v>281</v>
      </c>
      <c r="C13647" s="46">
        <v>3635</v>
      </c>
      <c r="D13647" s="69" t="s">
        <v>29418</v>
      </c>
      <c r="E13647" s="51"/>
      <c r="F13647" s="114" t="str">
        <f>IF(INDEX(I.Facility.P2bIDNumber,3635)="","",INDEX(I.Facility.P2bIDNumber,3635))</f>
        <v/>
      </c>
      <c r="G13647" s="51"/>
      <c r="H13647" s="46" t="str">
        <f>IF(AND(I.Developer.P2b=TRUE,I.Facility.P2bFacilityCount&gt;=3635,F13647=""),"Incomplete","Complete")</f>
        <v>Complete</v>
      </c>
      <c r="I13647" s="48" t="s">
        <v>18012</v>
      </c>
    </row>
    <row r="13648" spans="2:9" ht="15" customHeight="1" x14ac:dyDescent="0.25">
      <c r="B13648" s="55" t="s">
        <v>281</v>
      </c>
      <c r="C13648" s="46">
        <v>3636</v>
      </c>
      <c r="D13648" s="69" t="s">
        <v>29418</v>
      </c>
      <c r="E13648" s="51"/>
      <c r="F13648" s="114" t="str">
        <f>IF(INDEX(I.Facility.P2bIDNumber,3636)="","",INDEX(I.Facility.P2bIDNumber,3636))</f>
        <v/>
      </c>
      <c r="G13648" s="51"/>
      <c r="H13648" s="46" t="str">
        <f>IF(AND(I.Developer.P2b=TRUE,I.Facility.P2bFacilityCount&gt;=3636,F13648=""),"Incomplete","Complete")</f>
        <v>Complete</v>
      </c>
      <c r="I13648" s="48" t="s">
        <v>18013</v>
      </c>
    </row>
    <row r="13649" spans="2:9" ht="15" customHeight="1" x14ac:dyDescent="0.25">
      <c r="B13649" s="55" t="s">
        <v>281</v>
      </c>
      <c r="C13649" s="46">
        <v>3637</v>
      </c>
      <c r="D13649" s="69" t="s">
        <v>29418</v>
      </c>
      <c r="E13649" s="51"/>
      <c r="F13649" s="114" t="str">
        <f>IF(INDEX(I.Facility.P2bIDNumber,3637)="","",INDEX(I.Facility.P2bIDNumber,3637))</f>
        <v/>
      </c>
      <c r="G13649" s="51"/>
      <c r="H13649" s="46" t="str">
        <f>IF(AND(I.Developer.P2b=TRUE,I.Facility.P2bFacilityCount&gt;=3637,F13649=""),"Incomplete","Complete")</f>
        <v>Complete</v>
      </c>
      <c r="I13649" s="48" t="s">
        <v>18014</v>
      </c>
    </row>
    <row r="13650" spans="2:9" ht="15" customHeight="1" x14ac:dyDescent="0.25">
      <c r="B13650" s="55" t="s">
        <v>281</v>
      </c>
      <c r="C13650" s="46">
        <v>3638</v>
      </c>
      <c r="D13650" s="69" t="s">
        <v>29418</v>
      </c>
      <c r="E13650" s="51"/>
      <c r="F13650" s="114" t="str">
        <f>IF(INDEX(I.Facility.P2bIDNumber,3638)="","",INDEX(I.Facility.P2bIDNumber,3638))</f>
        <v/>
      </c>
      <c r="G13650" s="51"/>
      <c r="H13650" s="46" t="str">
        <f>IF(AND(I.Developer.P2b=TRUE,I.Facility.P2bFacilityCount&gt;=3638,F13650=""),"Incomplete","Complete")</f>
        <v>Complete</v>
      </c>
      <c r="I13650" s="48" t="s">
        <v>18015</v>
      </c>
    </row>
    <row r="13651" spans="2:9" ht="15" customHeight="1" x14ac:dyDescent="0.25">
      <c r="B13651" s="55" t="s">
        <v>281</v>
      </c>
      <c r="C13651" s="46">
        <v>3639</v>
      </c>
      <c r="D13651" s="69" t="s">
        <v>29418</v>
      </c>
      <c r="E13651" s="51"/>
      <c r="F13651" s="114" t="str">
        <f>IF(INDEX(I.Facility.P2bIDNumber,3639)="","",INDEX(I.Facility.P2bIDNumber,3639))</f>
        <v/>
      </c>
      <c r="G13651" s="51"/>
      <c r="H13651" s="46" t="str">
        <f>IF(AND(I.Developer.P2b=TRUE,I.Facility.P2bFacilityCount&gt;=3639,F13651=""),"Incomplete","Complete")</f>
        <v>Complete</v>
      </c>
      <c r="I13651" s="48" t="s">
        <v>18016</v>
      </c>
    </row>
    <row r="13652" spans="2:9" ht="15" customHeight="1" x14ac:dyDescent="0.25">
      <c r="B13652" s="55" t="s">
        <v>281</v>
      </c>
      <c r="C13652" s="46">
        <v>3640</v>
      </c>
      <c r="D13652" s="69" t="s">
        <v>29418</v>
      </c>
      <c r="E13652" s="51"/>
      <c r="F13652" s="114" t="str">
        <f>IF(INDEX(I.Facility.P2bIDNumber,3640)="","",INDEX(I.Facility.P2bIDNumber,3640))</f>
        <v/>
      </c>
      <c r="G13652" s="51"/>
      <c r="H13652" s="46" t="str">
        <f>IF(AND(I.Developer.P2b=TRUE,I.Facility.P2bFacilityCount&gt;=3640,F13652=""),"Incomplete","Complete")</f>
        <v>Complete</v>
      </c>
      <c r="I13652" s="48" t="s">
        <v>18017</v>
      </c>
    </row>
    <row r="13653" spans="2:9" ht="15" customHeight="1" x14ac:dyDescent="0.25">
      <c r="B13653" s="55" t="s">
        <v>281</v>
      </c>
      <c r="C13653" s="46">
        <v>3641</v>
      </c>
      <c r="D13653" s="69" t="s">
        <v>29418</v>
      </c>
      <c r="E13653" s="51"/>
      <c r="F13653" s="114" t="str">
        <f>IF(INDEX(I.Facility.P2bIDNumber,3641)="","",INDEX(I.Facility.P2bIDNumber,3641))</f>
        <v/>
      </c>
      <c r="G13653" s="51"/>
      <c r="H13653" s="46" t="str">
        <f>IF(AND(I.Developer.P2b=TRUE,I.Facility.P2bFacilityCount&gt;=3641,F13653=""),"Incomplete","Complete")</f>
        <v>Complete</v>
      </c>
      <c r="I13653" s="48" t="s">
        <v>18018</v>
      </c>
    </row>
    <row r="13654" spans="2:9" ht="15" customHeight="1" x14ac:dyDescent="0.25">
      <c r="B13654" s="55" t="s">
        <v>281</v>
      </c>
      <c r="C13654" s="46">
        <v>3642</v>
      </c>
      <c r="D13654" s="69" t="s">
        <v>29418</v>
      </c>
      <c r="E13654" s="51"/>
      <c r="F13654" s="114" t="str">
        <f>IF(INDEX(I.Facility.P2bIDNumber,3642)="","",INDEX(I.Facility.P2bIDNumber,3642))</f>
        <v/>
      </c>
      <c r="G13654" s="51"/>
      <c r="H13654" s="46" t="str">
        <f>IF(AND(I.Developer.P2b=TRUE,I.Facility.P2bFacilityCount&gt;=3642,F13654=""),"Incomplete","Complete")</f>
        <v>Complete</v>
      </c>
      <c r="I13654" s="48" t="s">
        <v>18019</v>
      </c>
    </row>
    <row r="13655" spans="2:9" ht="15" customHeight="1" x14ac:dyDescent="0.25">
      <c r="B13655" s="55" t="s">
        <v>281</v>
      </c>
      <c r="C13655" s="46">
        <v>3643</v>
      </c>
      <c r="D13655" s="69" t="s">
        <v>29418</v>
      </c>
      <c r="E13655" s="51"/>
      <c r="F13655" s="114" t="str">
        <f>IF(INDEX(I.Facility.P2bIDNumber,3643)="","",INDEX(I.Facility.P2bIDNumber,3643))</f>
        <v/>
      </c>
      <c r="G13655" s="51"/>
      <c r="H13655" s="46" t="str">
        <f>IF(AND(I.Developer.P2b=TRUE,I.Facility.P2bFacilityCount&gt;=3643,F13655=""),"Incomplete","Complete")</f>
        <v>Complete</v>
      </c>
      <c r="I13655" s="48" t="s">
        <v>18020</v>
      </c>
    </row>
    <row r="13656" spans="2:9" ht="15" customHeight="1" x14ac:dyDescent="0.25">
      <c r="B13656" s="55" t="s">
        <v>281</v>
      </c>
      <c r="C13656" s="46">
        <v>3644</v>
      </c>
      <c r="D13656" s="69" t="s">
        <v>29418</v>
      </c>
      <c r="E13656" s="51"/>
      <c r="F13656" s="114" t="str">
        <f>IF(INDEX(I.Facility.P2bIDNumber,3644)="","",INDEX(I.Facility.P2bIDNumber,3644))</f>
        <v/>
      </c>
      <c r="G13656" s="51"/>
      <c r="H13656" s="46" t="str">
        <f>IF(AND(I.Developer.P2b=TRUE,I.Facility.P2bFacilityCount&gt;=3644,F13656=""),"Incomplete","Complete")</f>
        <v>Complete</v>
      </c>
      <c r="I13656" s="48" t="s">
        <v>18021</v>
      </c>
    </row>
    <row r="13657" spans="2:9" ht="15" customHeight="1" x14ac:dyDescent="0.25">
      <c r="B13657" s="55" t="s">
        <v>281</v>
      </c>
      <c r="C13657" s="46">
        <v>3645</v>
      </c>
      <c r="D13657" s="69" t="s">
        <v>29418</v>
      </c>
      <c r="E13657" s="51"/>
      <c r="F13657" s="114" t="str">
        <f>IF(INDEX(I.Facility.P2bIDNumber,3645)="","",INDEX(I.Facility.P2bIDNumber,3645))</f>
        <v/>
      </c>
      <c r="G13657" s="51"/>
      <c r="H13657" s="46" t="str">
        <f>IF(AND(I.Developer.P2b=TRUE,I.Facility.P2bFacilityCount&gt;=3645,F13657=""),"Incomplete","Complete")</f>
        <v>Complete</v>
      </c>
      <c r="I13657" s="48" t="s">
        <v>18022</v>
      </c>
    </row>
    <row r="13658" spans="2:9" ht="15" customHeight="1" x14ac:dyDescent="0.25">
      <c r="B13658" s="55" t="s">
        <v>281</v>
      </c>
      <c r="C13658" s="46">
        <v>3646</v>
      </c>
      <c r="D13658" s="69" t="s">
        <v>29418</v>
      </c>
      <c r="E13658" s="51"/>
      <c r="F13658" s="114" t="str">
        <f>IF(INDEX(I.Facility.P2bIDNumber,3646)="","",INDEX(I.Facility.P2bIDNumber,3646))</f>
        <v/>
      </c>
      <c r="G13658" s="51"/>
      <c r="H13658" s="46" t="str">
        <f>IF(AND(I.Developer.P2b=TRUE,I.Facility.P2bFacilityCount&gt;=3646,F13658=""),"Incomplete","Complete")</f>
        <v>Complete</v>
      </c>
      <c r="I13658" s="48" t="s">
        <v>18023</v>
      </c>
    </row>
    <row r="13659" spans="2:9" ht="15" customHeight="1" x14ac:dyDescent="0.25">
      <c r="B13659" s="55" t="s">
        <v>281</v>
      </c>
      <c r="C13659" s="46">
        <v>3647</v>
      </c>
      <c r="D13659" s="69" t="s">
        <v>29418</v>
      </c>
      <c r="E13659" s="51"/>
      <c r="F13659" s="114" t="str">
        <f>IF(INDEX(I.Facility.P2bIDNumber,3647)="","",INDEX(I.Facility.P2bIDNumber,3647))</f>
        <v/>
      </c>
      <c r="G13659" s="51"/>
      <c r="H13659" s="46" t="str">
        <f>IF(AND(I.Developer.P2b=TRUE,I.Facility.P2bFacilityCount&gt;=3647,F13659=""),"Incomplete","Complete")</f>
        <v>Complete</v>
      </c>
      <c r="I13659" s="48" t="s">
        <v>18024</v>
      </c>
    </row>
    <row r="13660" spans="2:9" ht="15" customHeight="1" x14ac:dyDescent="0.25">
      <c r="B13660" s="55" t="s">
        <v>281</v>
      </c>
      <c r="C13660" s="46">
        <v>3648</v>
      </c>
      <c r="D13660" s="69" t="s">
        <v>29418</v>
      </c>
      <c r="E13660" s="51"/>
      <c r="F13660" s="114" t="str">
        <f>IF(INDEX(I.Facility.P2bIDNumber,3648)="","",INDEX(I.Facility.P2bIDNumber,3648))</f>
        <v/>
      </c>
      <c r="G13660" s="51"/>
      <c r="H13660" s="46" t="str">
        <f>IF(AND(I.Developer.P2b=TRUE,I.Facility.P2bFacilityCount&gt;=3648,F13660=""),"Incomplete","Complete")</f>
        <v>Complete</v>
      </c>
      <c r="I13660" s="48" t="s">
        <v>18025</v>
      </c>
    </row>
    <row r="13661" spans="2:9" ht="15" customHeight="1" x14ac:dyDescent="0.25">
      <c r="B13661" s="55" t="s">
        <v>281</v>
      </c>
      <c r="C13661" s="46">
        <v>3649</v>
      </c>
      <c r="D13661" s="69" t="s">
        <v>29418</v>
      </c>
      <c r="E13661" s="51"/>
      <c r="F13661" s="114" t="str">
        <f>IF(INDEX(I.Facility.P2bIDNumber,3649)="","",INDEX(I.Facility.P2bIDNumber,3649))</f>
        <v/>
      </c>
      <c r="G13661" s="51"/>
      <c r="H13661" s="46" t="str">
        <f>IF(AND(I.Developer.P2b=TRUE,I.Facility.P2bFacilityCount&gt;=3649,F13661=""),"Incomplete","Complete")</f>
        <v>Complete</v>
      </c>
      <c r="I13661" s="48" t="s">
        <v>18026</v>
      </c>
    </row>
    <row r="13662" spans="2:9" ht="15" customHeight="1" x14ac:dyDescent="0.25">
      <c r="B13662" s="55" t="s">
        <v>281</v>
      </c>
      <c r="C13662" s="46">
        <v>3650</v>
      </c>
      <c r="D13662" s="69" t="s">
        <v>29418</v>
      </c>
      <c r="E13662" s="51"/>
      <c r="F13662" s="114" t="str">
        <f>IF(INDEX(I.Facility.P2bIDNumber,3650)="","",INDEX(I.Facility.P2bIDNumber,3650))</f>
        <v/>
      </c>
      <c r="G13662" s="51"/>
      <c r="H13662" s="46" t="str">
        <f>IF(AND(I.Developer.P2b=TRUE,I.Facility.P2bFacilityCount&gt;=3650,F13662=""),"Incomplete","Complete")</f>
        <v>Complete</v>
      </c>
      <c r="I13662" s="48" t="s">
        <v>18027</v>
      </c>
    </row>
    <row r="13663" spans="2:9" ht="15" customHeight="1" x14ac:dyDescent="0.25">
      <c r="B13663" s="55" t="s">
        <v>281</v>
      </c>
      <c r="C13663" s="46">
        <v>3651</v>
      </c>
      <c r="D13663" s="69" t="s">
        <v>29418</v>
      </c>
      <c r="E13663" s="51"/>
      <c r="F13663" s="114" t="str">
        <f>IF(INDEX(I.Facility.P2bIDNumber,3651)="","",INDEX(I.Facility.P2bIDNumber,3651))</f>
        <v/>
      </c>
      <c r="G13663" s="51"/>
      <c r="H13663" s="46" t="str">
        <f>IF(AND(I.Developer.P2b=TRUE,I.Facility.P2bFacilityCount&gt;=3651,F13663=""),"Incomplete","Complete")</f>
        <v>Complete</v>
      </c>
      <c r="I13663" s="48" t="s">
        <v>18028</v>
      </c>
    </row>
    <row r="13664" spans="2:9" ht="15" customHeight="1" x14ac:dyDescent="0.25">
      <c r="B13664" s="55" t="s">
        <v>281</v>
      </c>
      <c r="C13664" s="46">
        <v>3652</v>
      </c>
      <c r="D13664" s="69" t="s">
        <v>29418</v>
      </c>
      <c r="E13664" s="51"/>
      <c r="F13664" s="114" t="str">
        <f>IF(INDEX(I.Facility.P2bIDNumber,3652)="","",INDEX(I.Facility.P2bIDNumber,3652))</f>
        <v/>
      </c>
      <c r="G13664" s="51"/>
      <c r="H13664" s="46" t="str">
        <f>IF(AND(I.Developer.P2b=TRUE,I.Facility.P2bFacilityCount&gt;=3652,F13664=""),"Incomplete","Complete")</f>
        <v>Complete</v>
      </c>
      <c r="I13664" s="48" t="s">
        <v>18029</v>
      </c>
    </row>
    <row r="13665" spans="2:9" ht="15" customHeight="1" x14ac:dyDescent="0.25">
      <c r="B13665" s="55" t="s">
        <v>281</v>
      </c>
      <c r="C13665" s="46">
        <v>3653</v>
      </c>
      <c r="D13665" s="69" t="s">
        <v>29418</v>
      </c>
      <c r="E13665" s="51"/>
      <c r="F13665" s="114" t="str">
        <f>IF(INDEX(I.Facility.P2bIDNumber,3653)="","",INDEX(I.Facility.P2bIDNumber,3653))</f>
        <v/>
      </c>
      <c r="G13665" s="51"/>
      <c r="H13665" s="46" t="str">
        <f>IF(AND(I.Developer.P2b=TRUE,I.Facility.P2bFacilityCount&gt;=3653,F13665=""),"Incomplete","Complete")</f>
        <v>Complete</v>
      </c>
      <c r="I13665" s="48" t="s">
        <v>18030</v>
      </c>
    </row>
    <row r="13666" spans="2:9" ht="15" customHeight="1" x14ac:dyDescent="0.25">
      <c r="B13666" s="55" t="s">
        <v>281</v>
      </c>
      <c r="C13666" s="46">
        <v>3654</v>
      </c>
      <c r="D13666" s="69" t="s">
        <v>29418</v>
      </c>
      <c r="E13666" s="51"/>
      <c r="F13666" s="114" t="str">
        <f>IF(INDEX(I.Facility.P2bIDNumber,3654)="","",INDEX(I.Facility.P2bIDNumber,3654))</f>
        <v/>
      </c>
      <c r="G13666" s="51"/>
      <c r="H13666" s="46" t="str">
        <f>IF(AND(I.Developer.P2b=TRUE,I.Facility.P2bFacilityCount&gt;=3654,F13666=""),"Incomplete","Complete")</f>
        <v>Complete</v>
      </c>
      <c r="I13666" s="48" t="s">
        <v>18031</v>
      </c>
    </row>
    <row r="13667" spans="2:9" ht="15" customHeight="1" x14ac:dyDescent="0.25">
      <c r="B13667" s="55" t="s">
        <v>281</v>
      </c>
      <c r="C13667" s="46">
        <v>3655</v>
      </c>
      <c r="D13667" s="69" t="s">
        <v>29418</v>
      </c>
      <c r="E13667" s="51"/>
      <c r="F13667" s="114" t="str">
        <f>IF(INDEX(I.Facility.P2bIDNumber,3655)="","",INDEX(I.Facility.P2bIDNumber,3655))</f>
        <v/>
      </c>
      <c r="G13667" s="51"/>
      <c r="H13667" s="46" t="str">
        <f>IF(AND(I.Developer.P2b=TRUE,I.Facility.P2bFacilityCount&gt;=3655,F13667=""),"Incomplete","Complete")</f>
        <v>Complete</v>
      </c>
      <c r="I13667" s="48" t="s">
        <v>18032</v>
      </c>
    </row>
    <row r="13668" spans="2:9" ht="15" customHeight="1" x14ac:dyDescent="0.25">
      <c r="B13668" s="55" t="s">
        <v>281</v>
      </c>
      <c r="C13668" s="46">
        <v>3656</v>
      </c>
      <c r="D13668" s="69" t="s">
        <v>29418</v>
      </c>
      <c r="E13668" s="51"/>
      <c r="F13668" s="114" t="str">
        <f>IF(INDEX(I.Facility.P2bIDNumber,3656)="","",INDEX(I.Facility.P2bIDNumber,3656))</f>
        <v/>
      </c>
      <c r="G13668" s="51"/>
      <c r="H13668" s="46" t="str">
        <f>IF(AND(I.Developer.P2b=TRUE,I.Facility.P2bFacilityCount&gt;=3656,F13668=""),"Incomplete","Complete")</f>
        <v>Complete</v>
      </c>
      <c r="I13668" s="48" t="s">
        <v>18033</v>
      </c>
    </row>
    <row r="13669" spans="2:9" ht="15" customHeight="1" x14ac:dyDescent="0.25">
      <c r="B13669" s="55" t="s">
        <v>281</v>
      </c>
      <c r="C13669" s="46">
        <v>3657</v>
      </c>
      <c r="D13669" s="69" t="s">
        <v>29418</v>
      </c>
      <c r="E13669" s="51"/>
      <c r="F13669" s="114" t="str">
        <f>IF(INDEX(I.Facility.P2bIDNumber,3657)="","",INDEX(I.Facility.P2bIDNumber,3657))</f>
        <v/>
      </c>
      <c r="G13669" s="51"/>
      <c r="H13669" s="46" t="str">
        <f>IF(AND(I.Developer.P2b=TRUE,I.Facility.P2bFacilityCount&gt;=3657,F13669=""),"Incomplete","Complete")</f>
        <v>Complete</v>
      </c>
      <c r="I13669" s="48" t="s">
        <v>18034</v>
      </c>
    </row>
    <row r="13670" spans="2:9" ht="15" customHeight="1" x14ac:dyDescent="0.25">
      <c r="B13670" s="55" t="s">
        <v>281</v>
      </c>
      <c r="C13670" s="46">
        <v>3658</v>
      </c>
      <c r="D13670" s="69" t="s">
        <v>29418</v>
      </c>
      <c r="E13670" s="51"/>
      <c r="F13670" s="114" t="str">
        <f>IF(INDEX(I.Facility.P2bIDNumber,3658)="","",INDEX(I.Facility.P2bIDNumber,3658))</f>
        <v/>
      </c>
      <c r="G13670" s="51"/>
      <c r="H13670" s="46" t="str">
        <f>IF(AND(I.Developer.P2b=TRUE,I.Facility.P2bFacilityCount&gt;=3658,F13670=""),"Incomplete","Complete")</f>
        <v>Complete</v>
      </c>
      <c r="I13670" s="48" t="s">
        <v>18035</v>
      </c>
    </row>
    <row r="13671" spans="2:9" ht="15" customHeight="1" x14ac:dyDescent="0.25">
      <c r="B13671" s="55" t="s">
        <v>281</v>
      </c>
      <c r="C13671" s="46">
        <v>3659</v>
      </c>
      <c r="D13671" s="69" t="s">
        <v>29418</v>
      </c>
      <c r="E13671" s="51"/>
      <c r="F13671" s="114" t="str">
        <f>IF(INDEX(I.Facility.P2bIDNumber,3659)="","",INDEX(I.Facility.P2bIDNumber,3659))</f>
        <v/>
      </c>
      <c r="G13671" s="51"/>
      <c r="H13671" s="46" t="str">
        <f>IF(AND(I.Developer.P2b=TRUE,I.Facility.P2bFacilityCount&gt;=3659,F13671=""),"Incomplete","Complete")</f>
        <v>Complete</v>
      </c>
      <c r="I13671" s="48" t="s">
        <v>18036</v>
      </c>
    </row>
    <row r="13672" spans="2:9" ht="15" customHeight="1" x14ac:dyDescent="0.25">
      <c r="B13672" s="55" t="s">
        <v>281</v>
      </c>
      <c r="C13672" s="46">
        <v>3660</v>
      </c>
      <c r="D13672" s="69" t="s">
        <v>29418</v>
      </c>
      <c r="E13672" s="51"/>
      <c r="F13672" s="114" t="str">
        <f>IF(INDEX(I.Facility.P2bIDNumber,3660)="","",INDEX(I.Facility.P2bIDNumber,3660))</f>
        <v/>
      </c>
      <c r="G13672" s="51"/>
      <c r="H13672" s="46" t="str">
        <f>IF(AND(I.Developer.P2b=TRUE,I.Facility.P2bFacilityCount&gt;=3660,F13672=""),"Incomplete","Complete")</f>
        <v>Complete</v>
      </c>
      <c r="I13672" s="48" t="s">
        <v>18037</v>
      </c>
    </row>
    <row r="13673" spans="2:9" ht="15" customHeight="1" x14ac:dyDescent="0.25">
      <c r="B13673" s="55" t="s">
        <v>281</v>
      </c>
      <c r="C13673" s="46">
        <v>3661</v>
      </c>
      <c r="D13673" s="69" t="s">
        <v>29418</v>
      </c>
      <c r="E13673" s="51"/>
      <c r="F13673" s="114" t="str">
        <f>IF(INDEX(I.Facility.P2bIDNumber,3661)="","",INDEX(I.Facility.P2bIDNumber,3661))</f>
        <v/>
      </c>
      <c r="G13673" s="51"/>
      <c r="H13673" s="46" t="str">
        <f>IF(AND(I.Developer.P2b=TRUE,I.Facility.P2bFacilityCount&gt;=3661,F13673=""),"Incomplete","Complete")</f>
        <v>Complete</v>
      </c>
      <c r="I13673" s="48" t="s">
        <v>18038</v>
      </c>
    </row>
    <row r="13674" spans="2:9" ht="15" customHeight="1" x14ac:dyDescent="0.25">
      <c r="B13674" s="55" t="s">
        <v>281</v>
      </c>
      <c r="C13674" s="46">
        <v>3662</v>
      </c>
      <c r="D13674" s="69" t="s">
        <v>29418</v>
      </c>
      <c r="E13674" s="51"/>
      <c r="F13674" s="114" t="str">
        <f>IF(INDEX(I.Facility.P2bIDNumber,3662)="","",INDEX(I.Facility.P2bIDNumber,3662))</f>
        <v/>
      </c>
      <c r="G13674" s="51"/>
      <c r="H13674" s="46" t="str">
        <f>IF(AND(I.Developer.P2b=TRUE,I.Facility.P2bFacilityCount&gt;=3662,F13674=""),"Incomplete","Complete")</f>
        <v>Complete</v>
      </c>
      <c r="I13674" s="48" t="s">
        <v>18039</v>
      </c>
    </row>
    <row r="13675" spans="2:9" ht="15" customHeight="1" x14ac:dyDescent="0.25">
      <c r="B13675" s="55" t="s">
        <v>281</v>
      </c>
      <c r="C13675" s="46">
        <v>3663</v>
      </c>
      <c r="D13675" s="69" t="s">
        <v>29418</v>
      </c>
      <c r="E13675" s="51"/>
      <c r="F13675" s="114" t="str">
        <f>IF(INDEX(I.Facility.P2bIDNumber,3663)="","",INDEX(I.Facility.P2bIDNumber,3663))</f>
        <v/>
      </c>
      <c r="G13675" s="51"/>
      <c r="H13675" s="46" t="str">
        <f>IF(AND(I.Developer.P2b=TRUE,I.Facility.P2bFacilityCount&gt;=3663,F13675=""),"Incomplete","Complete")</f>
        <v>Complete</v>
      </c>
      <c r="I13675" s="48" t="s">
        <v>18040</v>
      </c>
    </row>
    <row r="13676" spans="2:9" ht="15" customHeight="1" x14ac:dyDescent="0.25">
      <c r="B13676" s="55" t="s">
        <v>281</v>
      </c>
      <c r="C13676" s="46">
        <v>3664</v>
      </c>
      <c r="D13676" s="69" t="s">
        <v>29418</v>
      </c>
      <c r="E13676" s="51"/>
      <c r="F13676" s="114" t="str">
        <f>IF(INDEX(I.Facility.P2bIDNumber,3664)="","",INDEX(I.Facility.P2bIDNumber,3664))</f>
        <v/>
      </c>
      <c r="G13676" s="51"/>
      <c r="H13676" s="46" t="str">
        <f>IF(AND(I.Developer.P2b=TRUE,I.Facility.P2bFacilityCount&gt;=3664,F13676=""),"Incomplete","Complete")</f>
        <v>Complete</v>
      </c>
      <c r="I13676" s="48" t="s">
        <v>18041</v>
      </c>
    </row>
    <row r="13677" spans="2:9" ht="15" customHeight="1" x14ac:dyDescent="0.25">
      <c r="B13677" s="55" t="s">
        <v>281</v>
      </c>
      <c r="C13677" s="46">
        <v>3665</v>
      </c>
      <c r="D13677" s="69" t="s">
        <v>29418</v>
      </c>
      <c r="E13677" s="51"/>
      <c r="F13677" s="114" t="str">
        <f>IF(INDEX(I.Facility.P2bIDNumber,3665)="","",INDEX(I.Facility.P2bIDNumber,3665))</f>
        <v/>
      </c>
      <c r="G13677" s="51"/>
      <c r="H13677" s="46" t="str">
        <f>IF(AND(I.Developer.P2b=TRUE,I.Facility.P2bFacilityCount&gt;=3665,F13677=""),"Incomplete","Complete")</f>
        <v>Complete</v>
      </c>
      <c r="I13677" s="48" t="s">
        <v>18042</v>
      </c>
    </row>
    <row r="13678" spans="2:9" ht="15" customHeight="1" x14ac:dyDescent="0.25">
      <c r="B13678" s="55" t="s">
        <v>281</v>
      </c>
      <c r="C13678" s="46">
        <v>3666</v>
      </c>
      <c r="D13678" s="69" t="s">
        <v>29418</v>
      </c>
      <c r="E13678" s="51"/>
      <c r="F13678" s="114" t="str">
        <f>IF(INDEX(I.Facility.P2bIDNumber,3666)="","",INDEX(I.Facility.P2bIDNumber,3666))</f>
        <v/>
      </c>
      <c r="G13678" s="51"/>
      <c r="H13678" s="46" t="str">
        <f>IF(AND(I.Developer.P2b=TRUE,I.Facility.P2bFacilityCount&gt;=3666,F13678=""),"Incomplete","Complete")</f>
        <v>Complete</v>
      </c>
      <c r="I13678" s="48" t="s">
        <v>18043</v>
      </c>
    </row>
    <row r="13679" spans="2:9" ht="15" customHeight="1" x14ac:dyDescent="0.25">
      <c r="B13679" s="55" t="s">
        <v>281</v>
      </c>
      <c r="C13679" s="46">
        <v>3667</v>
      </c>
      <c r="D13679" s="69" t="s">
        <v>29418</v>
      </c>
      <c r="E13679" s="51"/>
      <c r="F13679" s="114" t="str">
        <f>IF(INDEX(I.Facility.P2bIDNumber,3667)="","",INDEX(I.Facility.P2bIDNumber,3667))</f>
        <v/>
      </c>
      <c r="G13679" s="51"/>
      <c r="H13679" s="46" t="str">
        <f>IF(AND(I.Developer.P2b=TRUE,I.Facility.P2bFacilityCount&gt;=3667,F13679=""),"Incomplete","Complete")</f>
        <v>Complete</v>
      </c>
      <c r="I13679" s="48" t="s">
        <v>18044</v>
      </c>
    </row>
    <row r="13680" spans="2:9" ht="15" customHeight="1" x14ac:dyDescent="0.25">
      <c r="B13680" s="55" t="s">
        <v>281</v>
      </c>
      <c r="C13680" s="46">
        <v>3668</v>
      </c>
      <c r="D13680" s="69" t="s">
        <v>29418</v>
      </c>
      <c r="E13680" s="51"/>
      <c r="F13680" s="114" t="str">
        <f>IF(INDEX(I.Facility.P2bIDNumber,3668)="","",INDEX(I.Facility.P2bIDNumber,3668))</f>
        <v/>
      </c>
      <c r="G13680" s="51"/>
      <c r="H13680" s="46" t="str">
        <f>IF(AND(I.Developer.P2b=TRUE,I.Facility.P2bFacilityCount&gt;=3668,F13680=""),"Incomplete","Complete")</f>
        <v>Complete</v>
      </c>
      <c r="I13680" s="48" t="s">
        <v>18045</v>
      </c>
    </row>
    <row r="13681" spans="2:9" ht="15" customHeight="1" x14ac:dyDescent="0.25">
      <c r="B13681" s="55" t="s">
        <v>281</v>
      </c>
      <c r="C13681" s="46">
        <v>3669</v>
      </c>
      <c r="D13681" s="69" t="s">
        <v>29418</v>
      </c>
      <c r="E13681" s="51"/>
      <c r="F13681" s="114" t="str">
        <f>IF(INDEX(I.Facility.P2bIDNumber,3669)="","",INDEX(I.Facility.P2bIDNumber,3669))</f>
        <v/>
      </c>
      <c r="G13681" s="51"/>
      <c r="H13681" s="46" t="str">
        <f>IF(AND(I.Developer.P2b=TRUE,I.Facility.P2bFacilityCount&gt;=3669,F13681=""),"Incomplete","Complete")</f>
        <v>Complete</v>
      </c>
      <c r="I13681" s="48" t="s">
        <v>18046</v>
      </c>
    </row>
    <row r="13682" spans="2:9" ht="15" customHeight="1" x14ac:dyDescent="0.25">
      <c r="B13682" s="55" t="s">
        <v>281</v>
      </c>
      <c r="C13682" s="46">
        <v>3670</v>
      </c>
      <c r="D13682" s="69" t="s">
        <v>29418</v>
      </c>
      <c r="E13682" s="51"/>
      <c r="F13682" s="114" t="str">
        <f>IF(INDEX(I.Facility.P2bIDNumber,3670)="","",INDEX(I.Facility.P2bIDNumber,3670))</f>
        <v/>
      </c>
      <c r="G13682" s="51"/>
      <c r="H13682" s="46" t="str">
        <f>IF(AND(I.Developer.P2b=TRUE,I.Facility.P2bFacilityCount&gt;=3670,F13682=""),"Incomplete","Complete")</f>
        <v>Complete</v>
      </c>
      <c r="I13682" s="48" t="s">
        <v>18047</v>
      </c>
    </row>
    <row r="13683" spans="2:9" ht="15" customHeight="1" x14ac:dyDescent="0.25">
      <c r="B13683" s="55" t="s">
        <v>281</v>
      </c>
      <c r="C13683" s="46">
        <v>3671</v>
      </c>
      <c r="D13683" s="69" t="s">
        <v>29418</v>
      </c>
      <c r="E13683" s="51"/>
      <c r="F13683" s="114" t="str">
        <f>IF(INDEX(I.Facility.P2bIDNumber,3671)="","",INDEX(I.Facility.P2bIDNumber,3671))</f>
        <v/>
      </c>
      <c r="G13683" s="51"/>
      <c r="H13683" s="46" t="str">
        <f>IF(AND(I.Developer.P2b=TRUE,I.Facility.P2bFacilityCount&gt;=3671,F13683=""),"Incomplete","Complete")</f>
        <v>Complete</v>
      </c>
      <c r="I13683" s="48" t="s">
        <v>18048</v>
      </c>
    </row>
    <row r="13684" spans="2:9" ht="15" customHeight="1" x14ac:dyDescent="0.25">
      <c r="B13684" s="55" t="s">
        <v>281</v>
      </c>
      <c r="C13684" s="46">
        <v>3672</v>
      </c>
      <c r="D13684" s="69" t="s">
        <v>29418</v>
      </c>
      <c r="E13684" s="51"/>
      <c r="F13684" s="114" t="str">
        <f>IF(INDEX(I.Facility.P2bIDNumber,3672)="","",INDEX(I.Facility.P2bIDNumber,3672))</f>
        <v/>
      </c>
      <c r="G13684" s="51"/>
      <c r="H13684" s="46" t="str">
        <f>IF(AND(I.Developer.P2b=TRUE,I.Facility.P2bFacilityCount&gt;=3672,F13684=""),"Incomplete","Complete")</f>
        <v>Complete</v>
      </c>
      <c r="I13684" s="48" t="s">
        <v>18049</v>
      </c>
    </row>
    <row r="13685" spans="2:9" ht="15" customHeight="1" x14ac:dyDescent="0.25">
      <c r="B13685" s="55" t="s">
        <v>281</v>
      </c>
      <c r="C13685" s="46">
        <v>3673</v>
      </c>
      <c r="D13685" s="69" t="s">
        <v>29418</v>
      </c>
      <c r="E13685" s="51"/>
      <c r="F13685" s="114" t="str">
        <f>IF(INDEX(I.Facility.P2bIDNumber,3673)="","",INDEX(I.Facility.P2bIDNumber,3673))</f>
        <v/>
      </c>
      <c r="G13685" s="51"/>
      <c r="H13685" s="46" t="str">
        <f>IF(AND(I.Developer.P2b=TRUE,I.Facility.P2bFacilityCount&gt;=3673,F13685=""),"Incomplete","Complete")</f>
        <v>Complete</v>
      </c>
      <c r="I13685" s="48" t="s">
        <v>18050</v>
      </c>
    </row>
    <row r="13686" spans="2:9" ht="15" customHeight="1" x14ac:dyDescent="0.25">
      <c r="B13686" s="55" t="s">
        <v>281</v>
      </c>
      <c r="C13686" s="46">
        <v>3674</v>
      </c>
      <c r="D13686" s="69" t="s">
        <v>29418</v>
      </c>
      <c r="E13686" s="51"/>
      <c r="F13686" s="114" t="str">
        <f>IF(INDEX(I.Facility.P2bIDNumber,3674)="","",INDEX(I.Facility.P2bIDNumber,3674))</f>
        <v/>
      </c>
      <c r="G13686" s="51"/>
      <c r="H13686" s="46" t="str">
        <f>IF(AND(I.Developer.P2b=TRUE,I.Facility.P2bFacilityCount&gt;=3674,F13686=""),"Incomplete","Complete")</f>
        <v>Complete</v>
      </c>
      <c r="I13686" s="48" t="s">
        <v>18051</v>
      </c>
    </row>
    <row r="13687" spans="2:9" ht="15" customHeight="1" x14ac:dyDescent="0.25">
      <c r="B13687" s="55" t="s">
        <v>281</v>
      </c>
      <c r="C13687" s="46">
        <v>3675</v>
      </c>
      <c r="D13687" s="69" t="s">
        <v>29418</v>
      </c>
      <c r="E13687" s="51"/>
      <c r="F13687" s="114" t="str">
        <f>IF(INDEX(I.Facility.P2bIDNumber,3675)="","",INDEX(I.Facility.P2bIDNumber,3675))</f>
        <v/>
      </c>
      <c r="G13687" s="51"/>
      <c r="H13687" s="46" t="str">
        <f>IF(AND(I.Developer.P2b=TRUE,I.Facility.P2bFacilityCount&gt;=3675,F13687=""),"Incomplete","Complete")</f>
        <v>Complete</v>
      </c>
      <c r="I13687" s="48" t="s">
        <v>18052</v>
      </c>
    </row>
    <row r="13688" spans="2:9" ht="15" customHeight="1" x14ac:dyDescent="0.25">
      <c r="B13688" s="55" t="s">
        <v>281</v>
      </c>
      <c r="C13688" s="46">
        <v>3676</v>
      </c>
      <c r="D13688" s="69" t="s">
        <v>29418</v>
      </c>
      <c r="E13688" s="51"/>
      <c r="F13688" s="114" t="str">
        <f>IF(INDEX(I.Facility.P2bIDNumber,3676)="","",INDEX(I.Facility.P2bIDNumber,3676))</f>
        <v/>
      </c>
      <c r="G13688" s="51"/>
      <c r="H13688" s="46" t="str">
        <f>IF(AND(I.Developer.P2b=TRUE,I.Facility.P2bFacilityCount&gt;=3676,F13688=""),"Incomplete","Complete")</f>
        <v>Complete</v>
      </c>
      <c r="I13688" s="48" t="s">
        <v>18053</v>
      </c>
    </row>
    <row r="13689" spans="2:9" ht="15" customHeight="1" x14ac:dyDescent="0.25">
      <c r="B13689" s="55" t="s">
        <v>281</v>
      </c>
      <c r="C13689" s="46">
        <v>3677</v>
      </c>
      <c r="D13689" s="69" t="s">
        <v>29418</v>
      </c>
      <c r="E13689" s="51"/>
      <c r="F13689" s="114" t="str">
        <f>IF(INDEX(I.Facility.P2bIDNumber,3677)="","",INDEX(I.Facility.P2bIDNumber,3677))</f>
        <v/>
      </c>
      <c r="G13689" s="51"/>
      <c r="H13689" s="46" t="str">
        <f>IF(AND(I.Developer.P2b=TRUE,I.Facility.P2bFacilityCount&gt;=3677,F13689=""),"Incomplete","Complete")</f>
        <v>Complete</v>
      </c>
      <c r="I13689" s="48" t="s">
        <v>18054</v>
      </c>
    </row>
    <row r="13690" spans="2:9" ht="15" customHeight="1" x14ac:dyDescent="0.25">
      <c r="B13690" s="55" t="s">
        <v>281</v>
      </c>
      <c r="C13690" s="46">
        <v>3678</v>
      </c>
      <c r="D13690" s="69" t="s">
        <v>29418</v>
      </c>
      <c r="E13690" s="51"/>
      <c r="F13690" s="114" t="str">
        <f>IF(INDEX(I.Facility.P2bIDNumber,3678)="","",INDEX(I.Facility.P2bIDNumber,3678))</f>
        <v/>
      </c>
      <c r="G13690" s="51"/>
      <c r="H13690" s="46" t="str">
        <f>IF(AND(I.Developer.P2b=TRUE,I.Facility.P2bFacilityCount&gt;=3678,F13690=""),"Incomplete","Complete")</f>
        <v>Complete</v>
      </c>
      <c r="I13690" s="48" t="s">
        <v>18055</v>
      </c>
    </row>
    <row r="13691" spans="2:9" ht="15" customHeight="1" x14ac:dyDescent="0.25">
      <c r="B13691" s="55" t="s">
        <v>281</v>
      </c>
      <c r="C13691" s="46">
        <v>3679</v>
      </c>
      <c r="D13691" s="69" t="s">
        <v>29418</v>
      </c>
      <c r="E13691" s="51"/>
      <c r="F13691" s="114" t="str">
        <f>IF(INDEX(I.Facility.P2bIDNumber,3679)="","",INDEX(I.Facility.P2bIDNumber,3679))</f>
        <v/>
      </c>
      <c r="G13691" s="51"/>
      <c r="H13691" s="46" t="str">
        <f>IF(AND(I.Developer.P2b=TRUE,I.Facility.P2bFacilityCount&gt;=3679,F13691=""),"Incomplete","Complete")</f>
        <v>Complete</v>
      </c>
      <c r="I13691" s="48" t="s">
        <v>18056</v>
      </c>
    </row>
    <row r="13692" spans="2:9" ht="15" customHeight="1" x14ac:dyDescent="0.25">
      <c r="B13692" s="55" t="s">
        <v>281</v>
      </c>
      <c r="C13692" s="46">
        <v>3680</v>
      </c>
      <c r="D13692" s="69" t="s">
        <v>29418</v>
      </c>
      <c r="E13692" s="51"/>
      <c r="F13692" s="114" t="str">
        <f>IF(INDEX(I.Facility.P2bIDNumber,3680)="","",INDEX(I.Facility.P2bIDNumber,3680))</f>
        <v/>
      </c>
      <c r="G13692" s="51"/>
      <c r="H13692" s="46" t="str">
        <f>IF(AND(I.Developer.P2b=TRUE,I.Facility.P2bFacilityCount&gt;=3680,F13692=""),"Incomplete","Complete")</f>
        <v>Complete</v>
      </c>
      <c r="I13692" s="48" t="s">
        <v>18057</v>
      </c>
    </row>
    <row r="13693" spans="2:9" ht="15" customHeight="1" x14ac:dyDescent="0.25">
      <c r="B13693" s="55" t="s">
        <v>281</v>
      </c>
      <c r="C13693" s="46">
        <v>3681</v>
      </c>
      <c r="D13693" s="69" t="s">
        <v>29418</v>
      </c>
      <c r="E13693" s="51"/>
      <c r="F13693" s="114" t="str">
        <f>IF(INDEX(I.Facility.P2bIDNumber,3681)="","",INDEX(I.Facility.P2bIDNumber,3681))</f>
        <v/>
      </c>
      <c r="G13693" s="51"/>
      <c r="H13693" s="46" t="str">
        <f>IF(AND(I.Developer.P2b=TRUE,I.Facility.P2bFacilityCount&gt;=3681,F13693=""),"Incomplete","Complete")</f>
        <v>Complete</v>
      </c>
      <c r="I13693" s="48" t="s">
        <v>18058</v>
      </c>
    </row>
    <row r="13694" spans="2:9" ht="15" customHeight="1" x14ac:dyDescent="0.25">
      <c r="B13694" s="55" t="s">
        <v>281</v>
      </c>
      <c r="C13694" s="46">
        <v>3682</v>
      </c>
      <c r="D13694" s="69" t="s">
        <v>29418</v>
      </c>
      <c r="E13694" s="51"/>
      <c r="F13694" s="114" t="str">
        <f>IF(INDEX(I.Facility.P2bIDNumber,3682)="","",INDEX(I.Facility.P2bIDNumber,3682))</f>
        <v/>
      </c>
      <c r="G13694" s="51"/>
      <c r="H13694" s="46" t="str">
        <f>IF(AND(I.Developer.P2b=TRUE,I.Facility.P2bFacilityCount&gt;=3682,F13694=""),"Incomplete","Complete")</f>
        <v>Complete</v>
      </c>
      <c r="I13694" s="48" t="s">
        <v>18059</v>
      </c>
    </row>
    <row r="13695" spans="2:9" ht="15" customHeight="1" x14ac:dyDescent="0.25">
      <c r="B13695" s="55" t="s">
        <v>281</v>
      </c>
      <c r="C13695" s="46">
        <v>3683</v>
      </c>
      <c r="D13695" s="69" t="s">
        <v>29418</v>
      </c>
      <c r="E13695" s="51"/>
      <c r="F13695" s="114" t="str">
        <f>IF(INDEX(I.Facility.P2bIDNumber,3683)="","",INDEX(I.Facility.P2bIDNumber,3683))</f>
        <v/>
      </c>
      <c r="G13695" s="51"/>
      <c r="H13695" s="46" t="str">
        <f>IF(AND(I.Developer.P2b=TRUE,I.Facility.P2bFacilityCount&gt;=3683,F13695=""),"Incomplete","Complete")</f>
        <v>Complete</v>
      </c>
      <c r="I13695" s="48" t="s">
        <v>18060</v>
      </c>
    </row>
    <row r="13696" spans="2:9" ht="15" customHeight="1" x14ac:dyDescent="0.25">
      <c r="B13696" s="55" t="s">
        <v>281</v>
      </c>
      <c r="C13696" s="46">
        <v>3684</v>
      </c>
      <c r="D13696" s="69" t="s">
        <v>29418</v>
      </c>
      <c r="E13696" s="51"/>
      <c r="F13696" s="114" t="str">
        <f>IF(INDEX(I.Facility.P2bIDNumber,3684)="","",INDEX(I.Facility.P2bIDNumber,3684))</f>
        <v/>
      </c>
      <c r="G13696" s="51"/>
      <c r="H13696" s="46" t="str">
        <f>IF(AND(I.Developer.P2b=TRUE,I.Facility.P2bFacilityCount&gt;=3684,F13696=""),"Incomplete","Complete")</f>
        <v>Complete</v>
      </c>
      <c r="I13696" s="48" t="s">
        <v>18061</v>
      </c>
    </row>
    <row r="13697" spans="2:9" ht="15" customHeight="1" x14ac:dyDescent="0.25">
      <c r="B13697" s="55" t="s">
        <v>281</v>
      </c>
      <c r="C13697" s="46">
        <v>3685</v>
      </c>
      <c r="D13697" s="69" t="s">
        <v>29418</v>
      </c>
      <c r="E13697" s="51"/>
      <c r="F13697" s="114" t="str">
        <f>IF(INDEX(I.Facility.P2bIDNumber,3685)="","",INDEX(I.Facility.P2bIDNumber,3685))</f>
        <v/>
      </c>
      <c r="G13697" s="51"/>
      <c r="H13697" s="46" t="str">
        <f>IF(AND(I.Developer.P2b=TRUE,I.Facility.P2bFacilityCount&gt;=3685,F13697=""),"Incomplete","Complete")</f>
        <v>Complete</v>
      </c>
      <c r="I13697" s="48" t="s">
        <v>18062</v>
      </c>
    </row>
    <row r="13698" spans="2:9" ht="15" customHeight="1" x14ac:dyDescent="0.25">
      <c r="B13698" s="55" t="s">
        <v>281</v>
      </c>
      <c r="C13698" s="46">
        <v>3686</v>
      </c>
      <c r="D13698" s="69" t="s">
        <v>29418</v>
      </c>
      <c r="E13698" s="51"/>
      <c r="F13698" s="114" t="str">
        <f>IF(INDEX(I.Facility.P2bIDNumber,3686)="","",INDEX(I.Facility.P2bIDNumber,3686))</f>
        <v/>
      </c>
      <c r="G13698" s="51"/>
      <c r="H13698" s="46" t="str">
        <f>IF(AND(I.Developer.P2b=TRUE,I.Facility.P2bFacilityCount&gt;=3686,F13698=""),"Incomplete","Complete")</f>
        <v>Complete</v>
      </c>
      <c r="I13698" s="48" t="s">
        <v>18063</v>
      </c>
    </row>
    <row r="13699" spans="2:9" ht="15" customHeight="1" x14ac:dyDescent="0.25">
      <c r="B13699" s="55" t="s">
        <v>281</v>
      </c>
      <c r="C13699" s="46">
        <v>3687</v>
      </c>
      <c r="D13699" s="69" t="s">
        <v>29418</v>
      </c>
      <c r="E13699" s="51"/>
      <c r="F13699" s="114" t="str">
        <f>IF(INDEX(I.Facility.P2bIDNumber,3687)="","",INDEX(I.Facility.P2bIDNumber,3687))</f>
        <v/>
      </c>
      <c r="G13699" s="51"/>
      <c r="H13699" s="46" t="str">
        <f>IF(AND(I.Developer.P2b=TRUE,I.Facility.P2bFacilityCount&gt;=3687,F13699=""),"Incomplete","Complete")</f>
        <v>Complete</v>
      </c>
      <c r="I13699" s="48" t="s">
        <v>18064</v>
      </c>
    </row>
    <row r="13700" spans="2:9" ht="15" customHeight="1" x14ac:dyDescent="0.25">
      <c r="B13700" s="55" t="s">
        <v>281</v>
      </c>
      <c r="C13700" s="46">
        <v>3688</v>
      </c>
      <c r="D13700" s="69" t="s">
        <v>29418</v>
      </c>
      <c r="E13700" s="51"/>
      <c r="F13700" s="114" t="str">
        <f>IF(INDEX(I.Facility.P2bIDNumber,3688)="","",INDEX(I.Facility.P2bIDNumber,3688))</f>
        <v/>
      </c>
      <c r="G13700" s="51"/>
      <c r="H13700" s="46" t="str">
        <f>IF(AND(I.Developer.P2b=TRUE,I.Facility.P2bFacilityCount&gt;=3688,F13700=""),"Incomplete","Complete")</f>
        <v>Complete</v>
      </c>
      <c r="I13700" s="48" t="s">
        <v>18065</v>
      </c>
    </row>
    <row r="13701" spans="2:9" ht="15" customHeight="1" x14ac:dyDescent="0.25">
      <c r="B13701" s="55" t="s">
        <v>281</v>
      </c>
      <c r="C13701" s="46">
        <v>3689</v>
      </c>
      <c r="D13701" s="69" t="s">
        <v>29418</v>
      </c>
      <c r="E13701" s="51"/>
      <c r="F13701" s="114" t="str">
        <f>IF(INDEX(I.Facility.P2bIDNumber,3689)="","",INDEX(I.Facility.P2bIDNumber,3689))</f>
        <v/>
      </c>
      <c r="G13701" s="51"/>
      <c r="H13701" s="46" t="str">
        <f>IF(AND(I.Developer.P2b=TRUE,I.Facility.P2bFacilityCount&gt;=3689,F13701=""),"Incomplete","Complete")</f>
        <v>Complete</v>
      </c>
      <c r="I13701" s="48" t="s">
        <v>18066</v>
      </c>
    </row>
    <row r="13702" spans="2:9" ht="15" customHeight="1" x14ac:dyDescent="0.25">
      <c r="B13702" s="55" t="s">
        <v>281</v>
      </c>
      <c r="C13702" s="46">
        <v>3690</v>
      </c>
      <c r="D13702" s="69" t="s">
        <v>29418</v>
      </c>
      <c r="E13702" s="51"/>
      <c r="F13702" s="114" t="str">
        <f>IF(INDEX(I.Facility.P2bIDNumber,3690)="","",INDEX(I.Facility.P2bIDNumber,3690))</f>
        <v/>
      </c>
      <c r="G13702" s="51"/>
      <c r="H13702" s="46" t="str">
        <f>IF(AND(I.Developer.P2b=TRUE,I.Facility.P2bFacilityCount&gt;=3690,F13702=""),"Incomplete","Complete")</f>
        <v>Complete</v>
      </c>
      <c r="I13702" s="48" t="s">
        <v>18067</v>
      </c>
    </row>
    <row r="13703" spans="2:9" ht="15" customHeight="1" x14ac:dyDescent="0.25">
      <c r="B13703" s="55" t="s">
        <v>281</v>
      </c>
      <c r="C13703" s="46">
        <v>3691</v>
      </c>
      <c r="D13703" s="69" t="s">
        <v>29418</v>
      </c>
      <c r="E13703" s="51"/>
      <c r="F13703" s="114" t="str">
        <f>IF(INDEX(I.Facility.P2bIDNumber,3691)="","",INDEX(I.Facility.P2bIDNumber,3691))</f>
        <v/>
      </c>
      <c r="G13703" s="51"/>
      <c r="H13703" s="46" t="str">
        <f>IF(AND(I.Developer.P2b=TRUE,I.Facility.P2bFacilityCount&gt;=3691,F13703=""),"Incomplete","Complete")</f>
        <v>Complete</v>
      </c>
      <c r="I13703" s="48" t="s">
        <v>18068</v>
      </c>
    </row>
    <row r="13704" spans="2:9" ht="15" customHeight="1" x14ac:dyDescent="0.25">
      <c r="B13704" s="55" t="s">
        <v>281</v>
      </c>
      <c r="C13704" s="46">
        <v>3692</v>
      </c>
      <c r="D13704" s="69" t="s">
        <v>29418</v>
      </c>
      <c r="E13704" s="51"/>
      <c r="F13704" s="114" t="str">
        <f>IF(INDEX(I.Facility.P2bIDNumber,3692)="","",INDEX(I.Facility.P2bIDNumber,3692))</f>
        <v/>
      </c>
      <c r="G13704" s="51"/>
      <c r="H13704" s="46" t="str">
        <f>IF(AND(I.Developer.P2b=TRUE,I.Facility.P2bFacilityCount&gt;=3692,F13704=""),"Incomplete","Complete")</f>
        <v>Complete</v>
      </c>
      <c r="I13704" s="48" t="s">
        <v>18069</v>
      </c>
    </row>
    <row r="13705" spans="2:9" ht="15" customHeight="1" x14ac:dyDescent="0.25">
      <c r="B13705" s="55" t="s">
        <v>281</v>
      </c>
      <c r="C13705" s="46">
        <v>3693</v>
      </c>
      <c r="D13705" s="69" t="s">
        <v>29418</v>
      </c>
      <c r="E13705" s="51"/>
      <c r="F13705" s="114" t="str">
        <f>IF(INDEX(I.Facility.P2bIDNumber,3693)="","",INDEX(I.Facility.P2bIDNumber,3693))</f>
        <v/>
      </c>
      <c r="G13705" s="51"/>
      <c r="H13705" s="46" t="str">
        <f>IF(AND(I.Developer.P2b=TRUE,I.Facility.P2bFacilityCount&gt;=3693,F13705=""),"Incomplete","Complete")</f>
        <v>Complete</v>
      </c>
      <c r="I13705" s="48" t="s">
        <v>18070</v>
      </c>
    </row>
    <row r="13706" spans="2:9" ht="15" customHeight="1" x14ac:dyDescent="0.25">
      <c r="B13706" s="55" t="s">
        <v>281</v>
      </c>
      <c r="C13706" s="46">
        <v>3694</v>
      </c>
      <c r="D13706" s="69" t="s">
        <v>29418</v>
      </c>
      <c r="E13706" s="51"/>
      <c r="F13706" s="114" t="str">
        <f>IF(INDEX(I.Facility.P2bIDNumber,3694)="","",INDEX(I.Facility.P2bIDNumber,3694))</f>
        <v/>
      </c>
      <c r="G13706" s="51"/>
      <c r="H13706" s="46" t="str">
        <f>IF(AND(I.Developer.P2b=TRUE,I.Facility.P2bFacilityCount&gt;=3694,F13706=""),"Incomplete","Complete")</f>
        <v>Complete</v>
      </c>
      <c r="I13706" s="48" t="s">
        <v>18071</v>
      </c>
    </row>
    <row r="13707" spans="2:9" ht="15" customHeight="1" x14ac:dyDescent="0.25">
      <c r="B13707" s="55" t="s">
        <v>281</v>
      </c>
      <c r="C13707" s="46">
        <v>3695</v>
      </c>
      <c r="D13707" s="69" t="s">
        <v>29418</v>
      </c>
      <c r="E13707" s="51"/>
      <c r="F13707" s="114" t="str">
        <f>IF(INDEX(I.Facility.P2bIDNumber,3695)="","",INDEX(I.Facility.P2bIDNumber,3695))</f>
        <v/>
      </c>
      <c r="G13707" s="51"/>
      <c r="H13707" s="46" t="str">
        <f>IF(AND(I.Developer.P2b=TRUE,I.Facility.P2bFacilityCount&gt;=3695,F13707=""),"Incomplete","Complete")</f>
        <v>Complete</v>
      </c>
      <c r="I13707" s="48" t="s">
        <v>18072</v>
      </c>
    </row>
    <row r="13708" spans="2:9" ht="15" customHeight="1" x14ac:dyDescent="0.25">
      <c r="B13708" s="55" t="s">
        <v>281</v>
      </c>
      <c r="C13708" s="46">
        <v>3696</v>
      </c>
      <c r="D13708" s="69" t="s">
        <v>29418</v>
      </c>
      <c r="E13708" s="51"/>
      <c r="F13708" s="114" t="str">
        <f>IF(INDEX(I.Facility.P2bIDNumber,3696)="","",INDEX(I.Facility.P2bIDNumber,3696))</f>
        <v/>
      </c>
      <c r="G13708" s="51"/>
      <c r="H13708" s="46" t="str">
        <f>IF(AND(I.Developer.P2b=TRUE,I.Facility.P2bFacilityCount&gt;=3696,F13708=""),"Incomplete","Complete")</f>
        <v>Complete</v>
      </c>
      <c r="I13708" s="48" t="s">
        <v>18073</v>
      </c>
    </row>
    <row r="13709" spans="2:9" ht="15" customHeight="1" x14ac:dyDescent="0.25">
      <c r="B13709" s="55" t="s">
        <v>281</v>
      </c>
      <c r="C13709" s="46">
        <v>3697</v>
      </c>
      <c r="D13709" s="69" t="s">
        <v>29418</v>
      </c>
      <c r="E13709" s="51"/>
      <c r="F13709" s="114" t="str">
        <f>IF(INDEX(I.Facility.P2bIDNumber,3697)="","",INDEX(I.Facility.P2bIDNumber,3697))</f>
        <v/>
      </c>
      <c r="G13709" s="51"/>
      <c r="H13709" s="46" t="str">
        <f>IF(AND(I.Developer.P2b=TRUE,I.Facility.P2bFacilityCount&gt;=3697,F13709=""),"Incomplete","Complete")</f>
        <v>Complete</v>
      </c>
      <c r="I13709" s="48" t="s">
        <v>18074</v>
      </c>
    </row>
    <row r="13710" spans="2:9" ht="15" customHeight="1" x14ac:dyDescent="0.25">
      <c r="B13710" s="55" t="s">
        <v>281</v>
      </c>
      <c r="C13710" s="46">
        <v>3698</v>
      </c>
      <c r="D13710" s="69" t="s">
        <v>29418</v>
      </c>
      <c r="E13710" s="51"/>
      <c r="F13710" s="114" t="str">
        <f>IF(INDEX(I.Facility.P2bIDNumber,3698)="","",INDEX(I.Facility.P2bIDNumber,3698))</f>
        <v/>
      </c>
      <c r="G13710" s="51"/>
      <c r="H13710" s="46" t="str">
        <f>IF(AND(I.Developer.P2b=TRUE,I.Facility.P2bFacilityCount&gt;=3698,F13710=""),"Incomplete","Complete")</f>
        <v>Complete</v>
      </c>
      <c r="I13710" s="48" t="s">
        <v>18075</v>
      </c>
    </row>
    <row r="13711" spans="2:9" ht="15" customHeight="1" x14ac:dyDescent="0.25">
      <c r="B13711" s="55" t="s">
        <v>281</v>
      </c>
      <c r="C13711" s="46">
        <v>3699</v>
      </c>
      <c r="D13711" s="69" t="s">
        <v>29418</v>
      </c>
      <c r="E13711" s="51"/>
      <c r="F13711" s="114" t="str">
        <f>IF(INDEX(I.Facility.P2bIDNumber,3699)="","",INDEX(I.Facility.P2bIDNumber,3699))</f>
        <v/>
      </c>
      <c r="G13711" s="51"/>
      <c r="H13711" s="46" t="str">
        <f>IF(AND(I.Developer.P2b=TRUE,I.Facility.P2bFacilityCount&gt;=3699,F13711=""),"Incomplete","Complete")</f>
        <v>Complete</v>
      </c>
      <c r="I13711" s="48" t="s">
        <v>18076</v>
      </c>
    </row>
    <row r="13712" spans="2:9" ht="15" customHeight="1" x14ac:dyDescent="0.25">
      <c r="B13712" s="55" t="s">
        <v>281</v>
      </c>
      <c r="C13712" s="46">
        <v>3700</v>
      </c>
      <c r="D13712" s="69" t="s">
        <v>29418</v>
      </c>
      <c r="E13712" s="51"/>
      <c r="F13712" s="114" t="str">
        <f>IF(INDEX(I.Facility.P2bIDNumber,3700)="","",INDEX(I.Facility.P2bIDNumber,3700))</f>
        <v/>
      </c>
      <c r="G13712" s="51"/>
      <c r="H13712" s="46" t="str">
        <f>IF(AND(I.Developer.P2b=TRUE,I.Facility.P2bFacilityCount&gt;=3700,F13712=""),"Incomplete","Complete")</f>
        <v>Complete</v>
      </c>
      <c r="I13712" s="48" t="s">
        <v>18077</v>
      </c>
    </row>
    <row r="13713" spans="2:9" ht="15" customHeight="1" x14ac:dyDescent="0.25">
      <c r="B13713" s="55" t="s">
        <v>281</v>
      </c>
      <c r="C13713" s="46">
        <v>3701</v>
      </c>
      <c r="D13713" s="69" t="s">
        <v>29418</v>
      </c>
      <c r="E13713" s="51"/>
      <c r="F13713" s="114" t="str">
        <f>IF(INDEX(I.Facility.P2bIDNumber,3701)="","",INDEX(I.Facility.P2bIDNumber,3701))</f>
        <v/>
      </c>
      <c r="G13713" s="51"/>
      <c r="H13713" s="46" t="str">
        <f>IF(AND(I.Developer.P2b=TRUE,I.Facility.P2bFacilityCount&gt;=3701,F13713=""),"Incomplete","Complete")</f>
        <v>Complete</v>
      </c>
      <c r="I13713" s="48" t="s">
        <v>18078</v>
      </c>
    </row>
    <row r="13714" spans="2:9" ht="15" customHeight="1" x14ac:dyDescent="0.25">
      <c r="B13714" s="55" t="s">
        <v>281</v>
      </c>
      <c r="C13714" s="46">
        <v>3702</v>
      </c>
      <c r="D13714" s="69" t="s">
        <v>29418</v>
      </c>
      <c r="E13714" s="51"/>
      <c r="F13714" s="114" t="str">
        <f>IF(INDEX(I.Facility.P2bIDNumber,3702)="","",INDEX(I.Facility.P2bIDNumber,3702))</f>
        <v/>
      </c>
      <c r="G13714" s="51"/>
      <c r="H13714" s="46" t="str">
        <f>IF(AND(I.Developer.P2b=TRUE,I.Facility.P2bFacilityCount&gt;=3702,F13714=""),"Incomplete","Complete")</f>
        <v>Complete</v>
      </c>
      <c r="I13714" s="48" t="s">
        <v>18079</v>
      </c>
    </row>
    <row r="13715" spans="2:9" ht="15" customHeight="1" x14ac:dyDescent="0.25">
      <c r="B13715" s="55" t="s">
        <v>281</v>
      </c>
      <c r="C13715" s="46">
        <v>3703</v>
      </c>
      <c r="D13715" s="69" t="s">
        <v>29418</v>
      </c>
      <c r="E13715" s="51"/>
      <c r="F13715" s="114" t="str">
        <f>IF(INDEX(I.Facility.P2bIDNumber,3703)="","",INDEX(I.Facility.P2bIDNumber,3703))</f>
        <v/>
      </c>
      <c r="G13715" s="51"/>
      <c r="H13715" s="46" t="str">
        <f>IF(AND(I.Developer.P2b=TRUE,I.Facility.P2bFacilityCount&gt;=3703,F13715=""),"Incomplete","Complete")</f>
        <v>Complete</v>
      </c>
      <c r="I13715" s="48" t="s">
        <v>18080</v>
      </c>
    </row>
    <row r="13716" spans="2:9" ht="15" customHeight="1" x14ac:dyDescent="0.25">
      <c r="B13716" s="55" t="s">
        <v>281</v>
      </c>
      <c r="C13716" s="46">
        <v>3704</v>
      </c>
      <c r="D13716" s="69" t="s">
        <v>29418</v>
      </c>
      <c r="E13716" s="51"/>
      <c r="F13716" s="114" t="str">
        <f>IF(INDEX(I.Facility.P2bIDNumber,3704)="","",INDEX(I.Facility.P2bIDNumber,3704))</f>
        <v/>
      </c>
      <c r="G13716" s="51"/>
      <c r="H13716" s="46" t="str">
        <f>IF(AND(I.Developer.P2b=TRUE,I.Facility.P2bFacilityCount&gt;=3704,F13716=""),"Incomplete","Complete")</f>
        <v>Complete</v>
      </c>
      <c r="I13716" s="48" t="s">
        <v>18081</v>
      </c>
    </row>
    <row r="13717" spans="2:9" ht="15" customHeight="1" x14ac:dyDescent="0.25">
      <c r="B13717" s="55" t="s">
        <v>281</v>
      </c>
      <c r="C13717" s="46">
        <v>3705</v>
      </c>
      <c r="D13717" s="69" t="s">
        <v>29418</v>
      </c>
      <c r="E13717" s="51"/>
      <c r="F13717" s="114" t="str">
        <f>IF(INDEX(I.Facility.P2bIDNumber,3705)="","",INDEX(I.Facility.P2bIDNumber,3705))</f>
        <v/>
      </c>
      <c r="G13717" s="51"/>
      <c r="H13717" s="46" t="str">
        <f>IF(AND(I.Developer.P2b=TRUE,I.Facility.P2bFacilityCount&gt;=3705,F13717=""),"Incomplete","Complete")</f>
        <v>Complete</v>
      </c>
      <c r="I13717" s="48" t="s">
        <v>18082</v>
      </c>
    </row>
    <row r="13718" spans="2:9" ht="15" customHeight="1" x14ac:dyDescent="0.25">
      <c r="B13718" s="55" t="s">
        <v>281</v>
      </c>
      <c r="C13718" s="46">
        <v>3706</v>
      </c>
      <c r="D13718" s="69" t="s">
        <v>29418</v>
      </c>
      <c r="E13718" s="51"/>
      <c r="F13718" s="114" t="str">
        <f>IF(INDEX(I.Facility.P2bIDNumber,3706)="","",INDEX(I.Facility.P2bIDNumber,3706))</f>
        <v/>
      </c>
      <c r="G13718" s="51"/>
      <c r="H13718" s="46" t="str">
        <f>IF(AND(I.Developer.P2b=TRUE,I.Facility.P2bFacilityCount&gt;=3706,F13718=""),"Incomplete","Complete")</f>
        <v>Complete</v>
      </c>
      <c r="I13718" s="48" t="s">
        <v>18083</v>
      </c>
    </row>
    <row r="13719" spans="2:9" ht="15" customHeight="1" x14ac:dyDescent="0.25">
      <c r="B13719" s="55" t="s">
        <v>281</v>
      </c>
      <c r="C13719" s="46">
        <v>3707</v>
      </c>
      <c r="D13719" s="69" t="s">
        <v>29418</v>
      </c>
      <c r="E13719" s="51"/>
      <c r="F13719" s="114" t="str">
        <f>IF(INDEX(I.Facility.P2bIDNumber,3707)="","",INDEX(I.Facility.P2bIDNumber,3707))</f>
        <v/>
      </c>
      <c r="G13719" s="51"/>
      <c r="H13719" s="46" t="str">
        <f>IF(AND(I.Developer.P2b=TRUE,I.Facility.P2bFacilityCount&gt;=3707,F13719=""),"Incomplete","Complete")</f>
        <v>Complete</v>
      </c>
      <c r="I13719" s="48" t="s">
        <v>18084</v>
      </c>
    </row>
    <row r="13720" spans="2:9" ht="15" customHeight="1" x14ac:dyDescent="0.25">
      <c r="B13720" s="55" t="s">
        <v>281</v>
      </c>
      <c r="C13720" s="46">
        <v>3708</v>
      </c>
      <c r="D13720" s="69" t="s">
        <v>29418</v>
      </c>
      <c r="E13720" s="51"/>
      <c r="F13720" s="114" t="str">
        <f>IF(INDEX(I.Facility.P2bIDNumber,3708)="","",INDEX(I.Facility.P2bIDNumber,3708))</f>
        <v/>
      </c>
      <c r="G13720" s="51"/>
      <c r="H13720" s="46" t="str">
        <f>IF(AND(I.Developer.P2b=TRUE,I.Facility.P2bFacilityCount&gt;=3708,F13720=""),"Incomplete","Complete")</f>
        <v>Complete</v>
      </c>
      <c r="I13720" s="48" t="s">
        <v>18085</v>
      </c>
    </row>
    <row r="13721" spans="2:9" ht="15" customHeight="1" x14ac:dyDescent="0.25">
      <c r="B13721" s="55" t="s">
        <v>281</v>
      </c>
      <c r="C13721" s="46">
        <v>3709</v>
      </c>
      <c r="D13721" s="69" t="s">
        <v>29418</v>
      </c>
      <c r="E13721" s="51"/>
      <c r="F13721" s="114" t="str">
        <f>IF(INDEX(I.Facility.P2bIDNumber,3709)="","",INDEX(I.Facility.P2bIDNumber,3709))</f>
        <v/>
      </c>
      <c r="G13721" s="51"/>
      <c r="H13721" s="46" t="str">
        <f>IF(AND(I.Developer.P2b=TRUE,I.Facility.P2bFacilityCount&gt;=3709,F13721=""),"Incomplete","Complete")</f>
        <v>Complete</v>
      </c>
      <c r="I13721" s="48" t="s">
        <v>18086</v>
      </c>
    </row>
    <row r="13722" spans="2:9" ht="15" customHeight="1" x14ac:dyDescent="0.25">
      <c r="B13722" s="55" t="s">
        <v>281</v>
      </c>
      <c r="C13722" s="46">
        <v>3710</v>
      </c>
      <c r="D13722" s="69" t="s">
        <v>29418</v>
      </c>
      <c r="E13722" s="51"/>
      <c r="F13722" s="114" t="str">
        <f>IF(INDEX(I.Facility.P2bIDNumber,3710)="","",INDEX(I.Facility.P2bIDNumber,3710))</f>
        <v/>
      </c>
      <c r="G13722" s="51"/>
      <c r="H13722" s="46" t="str">
        <f>IF(AND(I.Developer.P2b=TRUE,I.Facility.P2bFacilityCount&gt;=3710,F13722=""),"Incomplete","Complete")</f>
        <v>Complete</v>
      </c>
      <c r="I13722" s="48" t="s">
        <v>18087</v>
      </c>
    </row>
    <row r="13723" spans="2:9" ht="15" customHeight="1" x14ac:dyDescent="0.25">
      <c r="B13723" s="55" t="s">
        <v>281</v>
      </c>
      <c r="C13723" s="46">
        <v>3711</v>
      </c>
      <c r="D13723" s="69" t="s">
        <v>29418</v>
      </c>
      <c r="E13723" s="51"/>
      <c r="F13723" s="114" t="str">
        <f>IF(INDEX(I.Facility.P2bIDNumber,3711)="","",INDEX(I.Facility.P2bIDNumber,3711))</f>
        <v/>
      </c>
      <c r="G13723" s="51"/>
      <c r="H13723" s="46" t="str">
        <f>IF(AND(I.Developer.P2b=TRUE,I.Facility.P2bFacilityCount&gt;=3711,F13723=""),"Incomplete","Complete")</f>
        <v>Complete</v>
      </c>
      <c r="I13723" s="48" t="s">
        <v>18088</v>
      </c>
    </row>
    <row r="13724" spans="2:9" ht="15" customHeight="1" x14ac:dyDescent="0.25">
      <c r="B13724" s="55" t="s">
        <v>281</v>
      </c>
      <c r="C13724" s="46">
        <v>3712</v>
      </c>
      <c r="D13724" s="69" t="s">
        <v>29418</v>
      </c>
      <c r="E13724" s="51"/>
      <c r="F13724" s="114" t="str">
        <f>IF(INDEX(I.Facility.P2bIDNumber,3712)="","",INDEX(I.Facility.P2bIDNumber,3712))</f>
        <v/>
      </c>
      <c r="G13724" s="51"/>
      <c r="H13724" s="46" t="str">
        <f>IF(AND(I.Developer.P2b=TRUE,I.Facility.P2bFacilityCount&gt;=3712,F13724=""),"Incomplete","Complete")</f>
        <v>Complete</v>
      </c>
      <c r="I13724" s="48" t="s">
        <v>18089</v>
      </c>
    </row>
    <row r="13725" spans="2:9" ht="15" customHeight="1" x14ac:dyDescent="0.25">
      <c r="B13725" s="55" t="s">
        <v>281</v>
      </c>
      <c r="C13725" s="46">
        <v>3713</v>
      </c>
      <c r="D13725" s="69" t="s">
        <v>29418</v>
      </c>
      <c r="E13725" s="51"/>
      <c r="F13725" s="114" t="str">
        <f>IF(INDEX(I.Facility.P2bIDNumber,3713)="","",INDEX(I.Facility.P2bIDNumber,3713))</f>
        <v/>
      </c>
      <c r="G13725" s="51"/>
      <c r="H13725" s="46" t="str">
        <f>IF(AND(I.Developer.P2b=TRUE,I.Facility.P2bFacilityCount&gt;=3713,F13725=""),"Incomplete","Complete")</f>
        <v>Complete</v>
      </c>
      <c r="I13725" s="48" t="s">
        <v>18090</v>
      </c>
    </row>
    <row r="13726" spans="2:9" ht="15" customHeight="1" x14ac:dyDescent="0.25">
      <c r="B13726" s="55" t="s">
        <v>281</v>
      </c>
      <c r="C13726" s="46">
        <v>3714</v>
      </c>
      <c r="D13726" s="69" t="s">
        <v>29418</v>
      </c>
      <c r="E13726" s="51"/>
      <c r="F13726" s="114" t="str">
        <f>IF(INDEX(I.Facility.P2bIDNumber,3714)="","",INDEX(I.Facility.P2bIDNumber,3714))</f>
        <v/>
      </c>
      <c r="G13726" s="51"/>
      <c r="H13726" s="46" t="str">
        <f>IF(AND(I.Developer.P2b=TRUE,I.Facility.P2bFacilityCount&gt;=3714,F13726=""),"Incomplete","Complete")</f>
        <v>Complete</v>
      </c>
      <c r="I13726" s="48" t="s">
        <v>18091</v>
      </c>
    </row>
    <row r="13727" spans="2:9" ht="15" customHeight="1" x14ac:dyDescent="0.25">
      <c r="B13727" s="55" t="s">
        <v>281</v>
      </c>
      <c r="C13727" s="46">
        <v>3715</v>
      </c>
      <c r="D13727" s="69" t="s">
        <v>29418</v>
      </c>
      <c r="E13727" s="51"/>
      <c r="F13727" s="114" t="str">
        <f>IF(INDEX(I.Facility.P2bIDNumber,3715)="","",INDEX(I.Facility.P2bIDNumber,3715))</f>
        <v/>
      </c>
      <c r="G13727" s="51"/>
      <c r="H13727" s="46" t="str">
        <f>IF(AND(I.Developer.P2b=TRUE,I.Facility.P2bFacilityCount&gt;=3715,F13727=""),"Incomplete","Complete")</f>
        <v>Complete</v>
      </c>
      <c r="I13727" s="48" t="s">
        <v>18092</v>
      </c>
    </row>
    <row r="13728" spans="2:9" ht="15" customHeight="1" x14ac:dyDescent="0.25">
      <c r="B13728" s="55" t="s">
        <v>281</v>
      </c>
      <c r="C13728" s="46">
        <v>3716</v>
      </c>
      <c r="D13728" s="69" t="s">
        <v>29418</v>
      </c>
      <c r="E13728" s="51"/>
      <c r="F13728" s="114" t="str">
        <f>IF(INDEX(I.Facility.P2bIDNumber,3716)="","",INDEX(I.Facility.P2bIDNumber,3716))</f>
        <v/>
      </c>
      <c r="G13728" s="51"/>
      <c r="H13728" s="46" t="str">
        <f>IF(AND(I.Developer.P2b=TRUE,I.Facility.P2bFacilityCount&gt;=3716,F13728=""),"Incomplete","Complete")</f>
        <v>Complete</v>
      </c>
      <c r="I13728" s="48" t="s">
        <v>18093</v>
      </c>
    </row>
    <row r="13729" spans="2:9" ht="15" customHeight="1" x14ac:dyDescent="0.25">
      <c r="B13729" s="55" t="s">
        <v>281</v>
      </c>
      <c r="C13729" s="46">
        <v>3717</v>
      </c>
      <c r="D13729" s="69" t="s">
        <v>29418</v>
      </c>
      <c r="E13729" s="51"/>
      <c r="F13729" s="114" t="str">
        <f>IF(INDEX(I.Facility.P2bIDNumber,3717)="","",INDEX(I.Facility.P2bIDNumber,3717))</f>
        <v/>
      </c>
      <c r="G13729" s="51"/>
      <c r="H13729" s="46" t="str">
        <f>IF(AND(I.Developer.P2b=TRUE,I.Facility.P2bFacilityCount&gt;=3717,F13729=""),"Incomplete","Complete")</f>
        <v>Complete</v>
      </c>
      <c r="I13729" s="48" t="s">
        <v>18094</v>
      </c>
    </row>
    <row r="13730" spans="2:9" ht="15" customHeight="1" x14ac:dyDescent="0.25">
      <c r="B13730" s="55" t="s">
        <v>281</v>
      </c>
      <c r="C13730" s="46">
        <v>3718</v>
      </c>
      <c r="D13730" s="69" t="s">
        <v>29418</v>
      </c>
      <c r="E13730" s="51"/>
      <c r="F13730" s="114" t="str">
        <f>IF(INDEX(I.Facility.P2bIDNumber,3718)="","",INDEX(I.Facility.P2bIDNumber,3718))</f>
        <v/>
      </c>
      <c r="G13730" s="51"/>
      <c r="H13730" s="46" t="str">
        <f>IF(AND(I.Developer.P2b=TRUE,I.Facility.P2bFacilityCount&gt;=3718,F13730=""),"Incomplete","Complete")</f>
        <v>Complete</v>
      </c>
      <c r="I13730" s="48" t="s">
        <v>18095</v>
      </c>
    </row>
    <row r="13731" spans="2:9" ht="15" customHeight="1" x14ac:dyDescent="0.25">
      <c r="B13731" s="55" t="s">
        <v>281</v>
      </c>
      <c r="C13731" s="46">
        <v>3719</v>
      </c>
      <c r="D13731" s="69" t="s">
        <v>29418</v>
      </c>
      <c r="E13731" s="51"/>
      <c r="F13731" s="114" t="str">
        <f>IF(INDEX(I.Facility.P2bIDNumber,3719)="","",INDEX(I.Facility.P2bIDNumber,3719))</f>
        <v/>
      </c>
      <c r="G13731" s="51"/>
      <c r="H13731" s="46" t="str">
        <f>IF(AND(I.Developer.P2b=TRUE,I.Facility.P2bFacilityCount&gt;=3719,F13731=""),"Incomplete","Complete")</f>
        <v>Complete</v>
      </c>
      <c r="I13731" s="48" t="s">
        <v>18096</v>
      </c>
    </row>
    <row r="13732" spans="2:9" ht="15" customHeight="1" x14ac:dyDescent="0.25">
      <c r="B13732" s="55" t="s">
        <v>281</v>
      </c>
      <c r="C13732" s="46">
        <v>3720</v>
      </c>
      <c r="D13732" s="69" t="s">
        <v>29418</v>
      </c>
      <c r="E13732" s="51"/>
      <c r="F13732" s="114" t="str">
        <f>IF(INDEX(I.Facility.P2bIDNumber,3720)="","",INDEX(I.Facility.P2bIDNumber,3720))</f>
        <v/>
      </c>
      <c r="G13732" s="51"/>
      <c r="H13732" s="46" t="str">
        <f>IF(AND(I.Developer.P2b=TRUE,I.Facility.P2bFacilityCount&gt;=3720,F13732=""),"Incomplete","Complete")</f>
        <v>Complete</v>
      </c>
      <c r="I13732" s="48" t="s">
        <v>18097</v>
      </c>
    </row>
    <row r="13733" spans="2:9" ht="15" customHeight="1" x14ac:dyDescent="0.25">
      <c r="B13733" s="55" t="s">
        <v>281</v>
      </c>
      <c r="C13733" s="46">
        <v>3721</v>
      </c>
      <c r="D13733" s="69" t="s">
        <v>29418</v>
      </c>
      <c r="E13733" s="51"/>
      <c r="F13733" s="114" t="str">
        <f>IF(INDEX(I.Facility.P2bIDNumber,3721)="","",INDEX(I.Facility.P2bIDNumber,3721))</f>
        <v/>
      </c>
      <c r="G13733" s="51"/>
      <c r="H13733" s="46" t="str">
        <f>IF(AND(I.Developer.P2b=TRUE,I.Facility.P2bFacilityCount&gt;=3721,F13733=""),"Incomplete","Complete")</f>
        <v>Complete</v>
      </c>
      <c r="I13733" s="48" t="s">
        <v>18098</v>
      </c>
    </row>
    <row r="13734" spans="2:9" ht="15" customHeight="1" x14ac:dyDescent="0.25">
      <c r="B13734" s="55" t="s">
        <v>281</v>
      </c>
      <c r="C13734" s="46">
        <v>3722</v>
      </c>
      <c r="D13734" s="69" t="s">
        <v>29418</v>
      </c>
      <c r="E13734" s="51"/>
      <c r="F13734" s="114" t="str">
        <f>IF(INDEX(I.Facility.P2bIDNumber,3722)="","",INDEX(I.Facility.P2bIDNumber,3722))</f>
        <v/>
      </c>
      <c r="G13734" s="51"/>
      <c r="H13734" s="46" t="str">
        <f>IF(AND(I.Developer.P2b=TRUE,I.Facility.P2bFacilityCount&gt;=3722,F13734=""),"Incomplete","Complete")</f>
        <v>Complete</v>
      </c>
      <c r="I13734" s="48" t="s">
        <v>18099</v>
      </c>
    </row>
    <row r="13735" spans="2:9" ht="15" customHeight="1" x14ac:dyDescent="0.25">
      <c r="B13735" s="55" t="s">
        <v>281</v>
      </c>
      <c r="C13735" s="46">
        <v>3723</v>
      </c>
      <c r="D13735" s="69" t="s">
        <v>29418</v>
      </c>
      <c r="E13735" s="51"/>
      <c r="F13735" s="114" t="str">
        <f>IF(INDEX(I.Facility.P2bIDNumber,3723)="","",INDEX(I.Facility.P2bIDNumber,3723))</f>
        <v/>
      </c>
      <c r="G13735" s="51"/>
      <c r="H13735" s="46" t="str">
        <f>IF(AND(I.Developer.P2b=TRUE,I.Facility.P2bFacilityCount&gt;=3723,F13735=""),"Incomplete","Complete")</f>
        <v>Complete</v>
      </c>
      <c r="I13735" s="48" t="s">
        <v>18100</v>
      </c>
    </row>
    <row r="13736" spans="2:9" ht="15" customHeight="1" x14ac:dyDescent="0.25">
      <c r="B13736" s="55" t="s">
        <v>281</v>
      </c>
      <c r="C13736" s="46">
        <v>3724</v>
      </c>
      <c r="D13736" s="69" t="s">
        <v>29418</v>
      </c>
      <c r="E13736" s="51"/>
      <c r="F13736" s="114" t="str">
        <f>IF(INDEX(I.Facility.P2bIDNumber,3724)="","",INDEX(I.Facility.P2bIDNumber,3724))</f>
        <v/>
      </c>
      <c r="G13736" s="51"/>
      <c r="H13736" s="46" t="str">
        <f>IF(AND(I.Developer.P2b=TRUE,I.Facility.P2bFacilityCount&gt;=3724,F13736=""),"Incomplete","Complete")</f>
        <v>Complete</v>
      </c>
      <c r="I13736" s="48" t="s">
        <v>18101</v>
      </c>
    </row>
    <row r="13737" spans="2:9" ht="15" customHeight="1" x14ac:dyDescent="0.25">
      <c r="B13737" s="55" t="s">
        <v>281</v>
      </c>
      <c r="C13737" s="46">
        <v>3725</v>
      </c>
      <c r="D13737" s="69" t="s">
        <v>29418</v>
      </c>
      <c r="E13737" s="51"/>
      <c r="F13737" s="114" t="str">
        <f>IF(INDEX(I.Facility.P2bIDNumber,3725)="","",INDEX(I.Facility.P2bIDNumber,3725))</f>
        <v/>
      </c>
      <c r="G13737" s="51"/>
      <c r="H13737" s="46" t="str">
        <f>IF(AND(I.Developer.P2b=TRUE,I.Facility.P2bFacilityCount&gt;=3725,F13737=""),"Incomplete","Complete")</f>
        <v>Complete</v>
      </c>
      <c r="I13737" s="48" t="s">
        <v>18102</v>
      </c>
    </row>
    <row r="13738" spans="2:9" ht="15" customHeight="1" x14ac:dyDescent="0.25">
      <c r="B13738" s="55" t="s">
        <v>281</v>
      </c>
      <c r="C13738" s="46">
        <v>3726</v>
      </c>
      <c r="D13738" s="69" t="s">
        <v>29418</v>
      </c>
      <c r="E13738" s="51"/>
      <c r="F13738" s="114" t="str">
        <f>IF(INDEX(I.Facility.P2bIDNumber,3726)="","",INDEX(I.Facility.P2bIDNumber,3726))</f>
        <v/>
      </c>
      <c r="G13738" s="51"/>
      <c r="H13738" s="46" t="str">
        <f>IF(AND(I.Developer.P2b=TRUE,I.Facility.P2bFacilityCount&gt;=3726,F13738=""),"Incomplete","Complete")</f>
        <v>Complete</v>
      </c>
      <c r="I13738" s="48" t="s">
        <v>18103</v>
      </c>
    </row>
    <row r="13739" spans="2:9" ht="15" customHeight="1" x14ac:dyDescent="0.25">
      <c r="B13739" s="55" t="s">
        <v>281</v>
      </c>
      <c r="C13739" s="46">
        <v>3727</v>
      </c>
      <c r="D13739" s="69" t="s">
        <v>29418</v>
      </c>
      <c r="E13739" s="51"/>
      <c r="F13739" s="114" t="str">
        <f>IF(INDEX(I.Facility.P2bIDNumber,3727)="","",INDEX(I.Facility.P2bIDNumber,3727))</f>
        <v/>
      </c>
      <c r="G13739" s="51"/>
      <c r="H13739" s="46" t="str">
        <f>IF(AND(I.Developer.P2b=TRUE,I.Facility.P2bFacilityCount&gt;=3727,F13739=""),"Incomplete","Complete")</f>
        <v>Complete</v>
      </c>
      <c r="I13739" s="48" t="s">
        <v>18104</v>
      </c>
    </row>
    <row r="13740" spans="2:9" ht="15" customHeight="1" x14ac:dyDescent="0.25">
      <c r="B13740" s="55" t="s">
        <v>281</v>
      </c>
      <c r="C13740" s="46">
        <v>3728</v>
      </c>
      <c r="D13740" s="69" t="s">
        <v>29418</v>
      </c>
      <c r="E13740" s="51"/>
      <c r="F13740" s="114" t="str">
        <f>IF(INDEX(I.Facility.P2bIDNumber,3728)="","",INDEX(I.Facility.P2bIDNumber,3728))</f>
        <v/>
      </c>
      <c r="G13740" s="51"/>
      <c r="H13740" s="46" t="str">
        <f>IF(AND(I.Developer.P2b=TRUE,I.Facility.P2bFacilityCount&gt;=3728,F13740=""),"Incomplete","Complete")</f>
        <v>Complete</v>
      </c>
      <c r="I13740" s="48" t="s">
        <v>18105</v>
      </c>
    </row>
    <row r="13741" spans="2:9" ht="15" customHeight="1" x14ac:dyDescent="0.25">
      <c r="B13741" s="55" t="s">
        <v>281</v>
      </c>
      <c r="C13741" s="46">
        <v>3729</v>
      </c>
      <c r="D13741" s="69" t="s">
        <v>29418</v>
      </c>
      <c r="E13741" s="51"/>
      <c r="F13741" s="114" t="str">
        <f>IF(INDEX(I.Facility.P2bIDNumber,3729)="","",INDEX(I.Facility.P2bIDNumber,3729))</f>
        <v/>
      </c>
      <c r="G13741" s="51"/>
      <c r="H13741" s="46" t="str">
        <f>IF(AND(I.Developer.P2b=TRUE,I.Facility.P2bFacilityCount&gt;=3729,F13741=""),"Incomplete","Complete")</f>
        <v>Complete</v>
      </c>
      <c r="I13741" s="48" t="s">
        <v>18106</v>
      </c>
    </row>
    <row r="13742" spans="2:9" ht="15" customHeight="1" x14ac:dyDescent="0.25">
      <c r="B13742" s="55" t="s">
        <v>281</v>
      </c>
      <c r="C13742" s="46">
        <v>3730</v>
      </c>
      <c r="D13742" s="69" t="s">
        <v>29418</v>
      </c>
      <c r="E13742" s="51"/>
      <c r="F13742" s="114" t="str">
        <f>IF(INDEX(I.Facility.P2bIDNumber,3730)="","",INDEX(I.Facility.P2bIDNumber,3730))</f>
        <v/>
      </c>
      <c r="G13742" s="51"/>
      <c r="H13742" s="46" t="str">
        <f>IF(AND(I.Developer.P2b=TRUE,I.Facility.P2bFacilityCount&gt;=3730,F13742=""),"Incomplete","Complete")</f>
        <v>Complete</v>
      </c>
      <c r="I13742" s="48" t="s">
        <v>18107</v>
      </c>
    </row>
    <row r="13743" spans="2:9" ht="15" customHeight="1" x14ac:dyDescent="0.25">
      <c r="B13743" s="55" t="s">
        <v>281</v>
      </c>
      <c r="C13743" s="46">
        <v>3731</v>
      </c>
      <c r="D13743" s="69" t="s">
        <v>29418</v>
      </c>
      <c r="E13743" s="51"/>
      <c r="F13743" s="114" t="str">
        <f>IF(INDEX(I.Facility.P2bIDNumber,3731)="","",INDEX(I.Facility.P2bIDNumber,3731))</f>
        <v/>
      </c>
      <c r="G13743" s="51"/>
      <c r="H13743" s="46" t="str">
        <f>IF(AND(I.Developer.P2b=TRUE,I.Facility.P2bFacilityCount&gt;=3731,F13743=""),"Incomplete","Complete")</f>
        <v>Complete</v>
      </c>
      <c r="I13743" s="48" t="s">
        <v>18108</v>
      </c>
    </row>
    <row r="13744" spans="2:9" ht="15" customHeight="1" x14ac:dyDescent="0.25">
      <c r="B13744" s="55" t="s">
        <v>281</v>
      </c>
      <c r="C13744" s="46">
        <v>3732</v>
      </c>
      <c r="D13744" s="69" t="s">
        <v>29418</v>
      </c>
      <c r="E13744" s="51"/>
      <c r="F13744" s="114" t="str">
        <f>IF(INDEX(I.Facility.P2bIDNumber,3732)="","",INDEX(I.Facility.P2bIDNumber,3732))</f>
        <v/>
      </c>
      <c r="G13744" s="51"/>
      <c r="H13744" s="46" t="str">
        <f>IF(AND(I.Developer.P2b=TRUE,I.Facility.P2bFacilityCount&gt;=3732,F13744=""),"Incomplete","Complete")</f>
        <v>Complete</v>
      </c>
      <c r="I13744" s="48" t="s">
        <v>18109</v>
      </c>
    </row>
    <row r="13745" spans="2:9" ht="15" customHeight="1" x14ac:dyDescent="0.25">
      <c r="B13745" s="55" t="s">
        <v>281</v>
      </c>
      <c r="C13745" s="46">
        <v>3733</v>
      </c>
      <c r="D13745" s="69" t="s">
        <v>29418</v>
      </c>
      <c r="E13745" s="51"/>
      <c r="F13745" s="114" t="str">
        <f>IF(INDEX(I.Facility.P2bIDNumber,3733)="","",INDEX(I.Facility.P2bIDNumber,3733))</f>
        <v/>
      </c>
      <c r="G13745" s="51"/>
      <c r="H13745" s="46" t="str">
        <f>IF(AND(I.Developer.P2b=TRUE,I.Facility.P2bFacilityCount&gt;=3733,F13745=""),"Incomplete","Complete")</f>
        <v>Complete</v>
      </c>
      <c r="I13745" s="48" t="s">
        <v>18110</v>
      </c>
    </row>
    <row r="13746" spans="2:9" ht="15" customHeight="1" x14ac:dyDescent="0.25">
      <c r="B13746" s="55" t="s">
        <v>281</v>
      </c>
      <c r="C13746" s="46">
        <v>3734</v>
      </c>
      <c r="D13746" s="69" t="s">
        <v>29418</v>
      </c>
      <c r="E13746" s="51"/>
      <c r="F13746" s="114" t="str">
        <f>IF(INDEX(I.Facility.P2bIDNumber,3734)="","",INDEX(I.Facility.P2bIDNumber,3734))</f>
        <v/>
      </c>
      <c r="G13746" s="51"/>
      <c r="H13746" s="46" t="str">
        <f>IF(AND(I.Developer.P2b=TRUE,I.Facility.P2bFacilityCount&gt;=3734,F13746=""),"Incomplete","Complete")</f>
        <v>Complete</v>
      </c>
      <c r="I13746" s="48" t="s">
        <v>18111</v>
      </c>
    </row>
    <row r="13747" spans="2:9" ht="15" customHeight="1" x14ac:dyDescent="0.25">
      <c r="B13747" s="55" t="s">
        <v>281</v>
      </c>
      <c r="C13747" s="46">
        <v>3735</v>
      </c>
      <c r="D13747" s="69" t="s">
        <v>29418</v>
      </c>
      <c r="E13747" s="51"/>
      <c r="F13747" s="114" t="str">
        <f>IF(INDEX(I.Facility.P2bIDNumber,3735)="","",INDEX(I.Facility.P2bIDNumber,3735))</f>
        <v/>
      </c>
      <c r="G13747" s="51"/>
      <c r="H13747" s="46" t="str">
        <f>IF(AND(I.Developer.P2b=TRUE,I.Facility.P2bFacilityCount&gt;=3735,F13747=""),"Incomplete","Complete")</f>
        <v>Complete</v>
      </c>
      <c r="I13747" s="48" t="s">
        <v>18112</v>
      </c>
    </row>
    <row r="13748" spans="2:9" ht="15" customHeight="1" x14ac:dyDescent="0.25">
      <c r="B13748" s="55" t="s">
        <v>281</v>
      </c>
      <c r="C13748" s="46">
        <v>3736</v>
      </c>
      <c r="D13748" s="69" t="s">
        <v>29418</v>
      </c>
      <c r="E13748" s="51"/>
      <c r="F13748" s="114" t="str">
        <f>IF(INDEX(I.Facility.P2bIDNumber,3736)="","",INDEX(I.Facility.P2bIDNumber,3736))</f>
        <v/>
      </c>
      <c r="G13748" s="51"/>
      <c r="H13748" s="46" t="str">
        <f>IF(AND(I.Developer.P2b=TRUE,I.Facility.P2bFacilityCount&gt;=3736,F13748=""),"Incomplete","Complete")</f>
        <v>Complete</v>
      </c>
      <c r="I13748" s="48" t="s">
        <v>18113</v>
      </c>
    </row>
    <row r="13749" spans="2:9" ht="15" customHeight="1" x14ac:dyDescent="0.25">
      <c r="B13749" s="55" t="s">
        <v>281</v>
      </c>
      <c r="C13749" s="46">
        <v>3737</v>
      </c>
      <c r="D13749" s="69" t="s">
        <v>29418</v>
      </c>
      <c r="E13749" s="51"/>
      <c r="F13749" s="114" t="str">
        <f>IF(INDEX(I.Facility.P2bIDNumber,3737)="","",INDEX(I.Facility.P2bIDNumber,3737))</f>
        <v/>
      </c>
      <c r="G13749" s="51"/>
      <c r="H13749" s="46" t="str">
        <f>IF(AND(I.Developer.P2b=TRUE,I.Facility.P2bFacilityCount&gt;=3737,F13749=""),"Incomplete","Complete")</f>
        <v>Complete</v>
      </c>
      <c r="I13749" s="48" t="s">
        <v>18114</v>
      </c>
    </row>
    <row r="13750" spans="2:9" ht="15" customHeight="1" x14ac:dyDescent="0.25">
      <c r="B13750" s="55" t="s">
        <v>281</v>
      </c>
      <c r="C13750" s="46">
        <v>3738</v>
      </c>
      <c r="D13750" s="69" t="s">
        <v>29418</v>
      </c>
      <c r="E13750" s="51"/>
      <c r="F13750" s="114" t="str">
        <f>IF(INDEX(I.Facility.P2bIDNumber,3738)="","",INDEX(I.Facility.P2bIDNumber,3738))</f>
        <v/>
      </c>
      <c r="G13750" s="51"/>
      <c r="H13750" s="46" t="str">
        <f>IF(AND(I.Developer.P2b=TRUE,I.Facility.P2bFacilityCount&gt;=3738,F13750=""),"Incomplete","Complete")</f>
        <v>Complete</v>
      </c>
      <c r="I13750" s="48" t="s">
        <v>18115</v>
      </c>
    </row>
    <row r="13751" spans="2:9" ht="15" customHeight="1" x14ac:dyDescent="0.25">
      <c r="B13751" s="55" t="s">
        <v>281</v>
      </c>
      <c r="C13751" s="46">
        <v>3739</v>
      </c>
      <c r="D13751" s="69" t="s">
        <v>29418</v>
      </c>
      <c r="E13751" s="51"/>
      <c r="F13751" s="114" t="str">
        <f>IF(INDEX(I.Facility.P2bIDNumber,3739)="","",INDEX(I.Facility.P2bIDNumber,3739))</f>
        <v/>
      </c>
      <c r="G13751" s="51"/>
      <c r="H13751" s="46" t="str">
        <f>IF(AND(I.Developer.P2b=TRUE,I.Facility.P2bFacilityCount&gt;=3739,F13751=""),"Incomplete","Complete")</f>
        <v>Complete</v>
      </c>
      <c r="I13751" s="48" t="s">
        <v>18116</v>
      </c>
    </row>
    <row r="13752" spans="2:9" ht="15" customHeight="1" x14ac:dyDescent="0.25">
      <c r="B13752" s="55" t="s">
        <v>281</v>
      </c>
      <c r="C13752" s="46">
        <v>3740</v>
      </c>
      <c r="D13752" s="69" t="s">
        <v>29418</v>
      </c>
      <c r="E13752" s="51"/>
      <c r="F13752" s="114" t="str">
        <f>IF(INDEX(I.Facility.P2bIDNumber,3740)="","",INDEX(I.Facility.P2bIDNumber,3740))</f>
        <v/>
      </c>
      <c r="G13752" s="51"/>
      <c r="H13752" s="46" t="str">
        <f>IF(AND(I.Developer.P2b=TRUE,I.Facility.P2bFacilityCount&gt;=3740,F13752=""),"Incomplete","Complete")</f>
        <v>Complete</v>
      </c>
      <c r="I13752" s="48" t="s">
        <v>18117</v>
      </c>
    </row>
    <row r="13753" spans="2:9" ht="15" customHeight="1" x14ac:dyDescent="0.25">
      <c r="B13753" s="55" t="s">
        <v>281</v>
      </c>
      <c r="C13753" s="46">
        <v>3741</v>
      </c>
      <c r="D13753" s="69" t="s">
        <v>29418</v>
      </c>
      <c r="E13753" s="51"/>
      <c r="F13753" s="114" t="str">
        <f>IF(INDEX(I.Facility.P2bIDNumber,3741)="","",INDEX(I.Facility.P2bIDNumber,3741))</f>
        <v/>
      </c>
      <c r="G13753" s="51"/>
      <c r="H13753" s="46" t="str">
        <f>IF(AND(I.Developer.P2b=TRUE,I.Facility.P2bFacilityCount&gt;=3741,F13753=""),"Incomplete","Complete")</f>
        <v>Complete</v>
      </c>
      <c r="I13753" s="48" t="s">
        <v>18118</v>
      </c>
    </row>
    <row r="13754" spans="2:9" ht="15" customHeight="1" x14ac:dyDescent="0.25">
      <c r="B13754" s="55" t="s">
        <v>281</v>
      </c>
      <c r="C13754" s="46">
        <v>3742</v>
      </c>
      <c r="D13754" s="69" t="s">
        <v>29418</v>
      </c>
      <c r="E13754" s="51"/>
      <c r="F13754" s="114" t="str">
        <f>IF(INDEX(I.Facility.P2bIDNumber,3742)="","",INDEX(I.Facility.P2bIDNumber,3742))</f>
        <v/>
      </c>
      <c r="G13754" s="51"/>
      <c r="H13754" s="46" t="str">
        <f>IF(AND(I.Developer.P2b=TRUE,I.Facility.P2bFacilityCount&gt;=3742,F13754=""),"Incomplete","Complete")</f>
        <v>Complete</v>
      </c>
      <c r="I13754" s="48" t="s">
        <v>18119</v>
      </c>
    </row>
    <row r="13755" spans="2:9" ht="15" customHeight="1" x14ac:dyDescent="0.25">
      <c r="B13755" s="55" t="s">
        <v>281</v>
      </c>
      <c r="C13755" s="46">
        <v>3743</v>
      </c>
      <c r="D13755" s="69" t="s">
        <v>29418</v>
      </c>
      <c r="E13755" s="51"/>
      <c r="F13755" s="114" t="str">
        <f>IF(INDEX(I.Facility.P2bIDNumber,3743)="","",INDEX(I.Facility.P2bIDNumber,3743))</f>
        <v/>
      </c>
      <c r="G13755" s="51"/>
      <c r="H13755" s="46" t="str">
        <f>IF(AND(I.Developer.P2b=TRUE,I.Facility.P2bFacilityCount&gt;=3743,F13755=""),"Incomplete","Complete")</f>
        <v>Complete</v>
      </c>
      <c r="I13755" s="48" t="s">
        <v>18120</v>
      </c>
    </row>
    <row r="13756" spans="2:9" ht="15" customHeight="1" x14ac:dyDescent="0.25">
      <c r="B13756" s="55" t="s">
        <v>281</v>
      </c>
      <c r="C13756" s="46">
        <v>3744</v>
      </c>
      <c r="D13756" s="69" t="s">
        <v>29418</v>
      </c>
      <c r="E13756" s="51"/>
      <c r="F13756" s="114" t="str">
        <f>IF(INDEX(I.Facility.P2bIDNumber,3744)="","",INDEX(I.Facility.P2bIDNumber,3744))</f>
        <v/>
      </c>
      <c r="G13756" s="51"/>
      <c r="H13756" s="46" t="str">
        <f>IF(AND(I.Developer.P2b=TRUE,I.Facility.P2bFacilityCount&gt;=3744,F13756=""),"Incomplete","Complete")</f>
        <v>Complete</v>
      </c>
      <c r="I13756" s="48" t="s">
        <v>18121</v>
      </c>
    </row>
    <row r="13757" spans="2:9" ht="15" customHeight="1" x14ac:dyDescent="0.25">
      <c r="B13757" s="55" t="s">
        <v>281</v>
      </c>
      <c r="C13757" s="46">
        <v>3745</v>
      </c>
      <c r="D13757" s="69" t="s">
        <v>29418</v>
      </c>
      <c r="E13757" s="51"/>
      <c r="F13757" s="114" t="str">
        <f>IF(INDEX(I.Facility.P2bIDNumber,3745)="","",INDEX(I.Facility.P2bIDNumber,3745))</f>
        <v/>
      </c>
      <c r="G13757" s="51"/>
      <c r="H13757" s="46" t="str">
        <f>IF(AND(I.Developer.P2b=TRUE,I.Facility.P2bFacilityCount&gt;=3745,F13757=""),"Incomplete","Complete")</f>
        <v>Complete</v>
      </c>
      <c r="I13757" s="48" t="s">
        <v>18122</v>
      </c>
    </row>
    <row r="13758" spans="2:9" ht="15" customHeight="1" x14ac:dyDescent="0.25">
      <c r="B13758" s="55" t="s">
        <v>281</v>
      </c>
      <c r="C13758" s="46">
        <v>3746</v>
      </c>
      <c r="D13758" s="69" t="s">
        <v>29418</v>
      </c>
      <c r="E13758" s="51"/>
      <c r="F13758" s="114" t="str">
        <f>IF(INDEX(I.Facility.P2bIDNumber,3746)="","",INDEX(I.Facility.P2bIDNumber,3746))</f>
        <v/>
      </c>
      <c r="G13758" s="51"/>
      <c r="H13758" s="46" t="str">
        <f>IF(AND(I.Developer.P2b=TRUE,I.Facility.P2bFacilityCount&gt;=3746,F13758=""),"Incomplete","Complete")</f>
        <v>Complete</v>
      </c>
      <c r="I13758" s="48" t="s">
        <v>18123</v>
      </c>
    </row>
    <row r="13759" spans="2:9" ht="15" customHeight="1" x14ac:dyDescent="0.25">
      <c r="B13759" s="55" t="s">
        <v>281</v>
      </c>
      <c r="C13759" s="46">
        <v>3747</v>
      </c>
      <c r="D13759" s="69" t="s">
        <v>29418</v>
      </c>
      <c r="E13759" s="51"/>
      <c r="F13759" s="114" t="str">
        <f>IF(INDEX(I.Facility.P2bIDNumber,3747)="","",INDEX(I.Facility.P2bIDNumber,3747))</f>
        <v/>
      </c>
      <c r="G13759" s="51"/>
      <c r="H13759" s="46" t="str">
        <f>IF(AND(I.Developer.P2b=TRUE,I.Facility.P2bFacilityCount&gt;=3747,F13759=""),"Incomplete","Complete")</f>
        <v>Complete</v>
      </c>
      <c r="I13759" s="48" t="s">
        <v>18124</v>
      </c>
    </row>
    <row r="13760" spans="2:9" ht="15" customHeight="1" x14ac:dyDescent="0.25">
      <c r="B13760" s="55" t="s">
        <v>281</v>
      </c>
      <c r="C13760" s="46">
        <v>3748</v>
      </c>
      <c r="D13760" s="69" t="s">
        <v>29418</v>
      </c>
      <c r="E13760" s="51"/>
      <c r="F13760" s="114" t="str">
        <f>IF(INDEX(I.Facility.P2bIDNumber,3748)="","",INDEX(I.Facility.P2bIDNumber,3748))</f>
        <v/>
      </c>
      <c r="G13760" s="51"/>
      <c r="H13760" s="46" t="str">
        <f>IF(AND(I.Developer.P2b=TRUE,I.Facility.P2bFacilityCount&gt;=3748,F13760=""),"Incomplete","Complete")</f>
        <v>Complete</v>
      </c>
      <c r="I13760" s="48" t="s">
        <v>18125</v>
      </c>
    </row>
    <row r="13761" spans="2:9" ht="15" customHeight="1" x14ac:dyDescent="0.25">
      <c r="B13761" s="55" t="s">
        <v>281</v>
      </c>
      <c r="C13761" s="46">
        <v>3749</v>
      </c>
      <c r="D13761" s="69" t="s">
        <v>29418</v>
      </c>
      <c r="E13761" s="51"/>
      <c r="F13761" s="114" t="str">
        <f>IF(INDEX(I.Facility.P2bIDNumber,3749)="","",INDEX(I.Facility.P2bIDNumber,3749))</f>
        <v/>
      </c>
      <c r="G13761" s="51"/>
      <c r="H13761" s="46" t="str">
        <f>IF(AND(I.Developer.P2b=TRUE,I.Facility.P2bFacilityCount&gt;=3749,F13761=""),"Incomplete","Complete")</f>
        <v>Complete</v>
      </c>
      <c r="I13761" s="48" t="s">
        <v>18126</v>
      </c>
    </row>
    <row r="13762" spans="2:9" ht="15" customHeight="1" x14ac:dyDescent="0.25">
      <c r="B13762" s="55" t="s">
        <v>281</v>
      </c>
      <c r="C13762" s="46">
        <v>3750</v>
      </c>
      <c r="D13762" s="69" t="s">
        <v>29418</v>
      </c>
      <c r="E13762" s="51"/>
      <c r="F13762" s="114" t="str">
        <f>IF(INDEX(I.Facility.P2bIDNumber,3750)="","",INDEX(I.Facility.P2bIDNumber,3750))</f>
        <v/>
      </c>
      <c r="G13762" s="51"/>
      <c r="H13762" s="46" t="str">
        <f>IF(AND(I.Developer.P2b=TRUE,I.Facility.P2bFacilityCount&gt;=3750,F13762=""),"Incomplete","Complete")</f>
        <v>Complete</v>
      </c>
      <c r="I13762" s="48" t="s">
        <v>18127</v>
      </c>
    </row>
    <row r="13763" spans="2:9" ht="15" customHeight="1" x14ac:dyDescent="0.25">
      <c r="B13763" s="55" t="s">
        <v>281</v>
      </c>
      <c r="C13763" s="46">
        <v>3751</v>
      </c>
      <c r="D13763" s="69" t="s">
        <v>29418</v>
      </c>
      <c r="E13763" s="51"/>
      <c r="F13763" s="114" t="str">
        <f>IF(INDEX(I.Facility.P2bIDNumber,3751)="","",INDEX(I.Facility.P2bIDNumber,3751))</f>
        <v/>
      </c>
      <c r="G13763" s="51"/>
      <c r="H13763" s="46" t="str">
        <f>IF(AND(I.Developer.P2b=TRUE,I.Facility.P2bFacilityCount&gt;=3751,F13763=""),"Incomplete","Complete")</f>
        <v>Complete</v>
      </c>
      <c r="I13763" s="48" t="s">
        <v>18128</v>
      </c>
    </row>
    <row r="13764" spans="2:9" ht="15" customHeight="1" x14ac:dyDescent="0.25">
      <c r="B13764" s="55" t="s">
        <v>281</v>
      </c>
      <c r="C13764" s="46">
        <v>3752</v>
      </c>
      <c r="D13764" s="69" t="s">
        <v>29418</v>
      </c>
      <c r="E13764" s="51"/>
      <c r="F13764" s="114" t="str">
        <f>IF(INDEX(I.Facility.P2bIDNumber,3752)="","",INDEX(I.Facility.P2bIDNumber,3752))</f>
        <v/>
      </c>
      <c r="G13764" s="51"/>
      <c r="H13764" s="46" t="str">
        <f>IF(AND(I.Developer.P2b=TRUE,I.Facility.P2bFacilityCount&gt;=3752,F13764=""),"Incomplete","Complete")</f>
        <v>Complete</v>
      </c>
      <c r="I13764" s="48" t="s">
        <v>18129</v>
      </c>
    </row>
    <row r="13765" spans="2:9" ht="15" customHeight="1" x14ac:dyDescent="0.25">
      <c r="B13765" s="55" t="s">
        <v>281</v>
      </c>
      <c r="C13765" s="46">
        <v>3753</v>
      </c>
      <c r="D13765" s="69" t="s">
        <v>29418</v>
      </c>
      <c r="E13765" s="51"/>
      <c r="F13765" s="114" t="str">
        <f>IF(INDEX(I.Facility.P2bIDNumber,3753)="","",INDEX(I.Facility.P2bIDNumber,3753))</f>
        <v/>
      </c>
      <c r="G13765" s="51"/>
      <c r="H13765" s="46" t="str">
        <f>IF(AND(I.Developer.P2b=TRUE,I.Facility.P2bFacilityCount&gt;=3753,F13765=""),"Incomplete","Complete")</f>
        <v>Complete</v>
      </c>
      <c r="I13765" s="48" t="s">
        <v>18130</v>
      </c>
    </row>
    <row r="13766" spans="2:9" ht="15" customHeight="1" x14ac:dyDescent="0.25">
      <c r="B13766" s="55" t="s">
        <v>281</v>
      </c>
      <c r="C13766" s="46">
        <v>3754</v>
      </c>
      <c r="D13766" s="69" t="s">
        <v>29418</v>
      </c>
      <c r="E13766" s="51"/>
      <c r="F13766" s="114" t="str">
        <f>IF(INDEX(I.Facility.P2bIDNumber,3754)="","",INDEX(I.Facility.P2bIDNumber,3754))</f>
        <v/>
      </c>
      <c r="G13766" s="51"/>
      <c r="H13766" s="46" t="str">
        <f>IF(AND(I.Developer.P2b=TRUE,I.Facility.P2bFacilityCount&gt;=3754,F13766=""),"Incomplete","Complete")</f>
        <v>Complete</v>
      </c>
      <c r="I13766" s="48" t="s">
        <v>18131</v>
      </c>
    </row>
    <row r="13767" spans="2:9" ht="15" customHeight="1" x14ac:dyDescent="0.25">
      <c r="B13767" s="55" t="s">
        <v>281</v>
      </c>
      <c r="C13767" s="46">
        <v>3755</v>
      </c>
      <c r="D13767" s="69" t="s">
        <v>29418</v>
      </c>
      <c r="E13767" s="51"/>
      <c r="F13767" s="114" t="str">
        <f>IF(INDEX(I.Facility.P2bIDNumber,3755)="","",INDEX(I.Facility.P2bIDNumber,3755))</f>
        <v/>
      </c>
      <c r="G13767" s="51"/>
      <c r="H13767" s="46" t="str">
        <f>IF(AND(I.Developer.P2b=TRUE,I.Facility.P2bFacilityCount&gt;=3755,F13767=""),"Incomplete","Complete")</f>
        <v>Complete</v>
      </c>
      <c r="I13767" s="48" t="s">
        <v>18132</v>
      </c>
    </row>
    <row r="13768" spans="2:9" ht="15" customHeight="1" x14ac:dyDescent="0.25">
      <c r="B13768" s="55" t="s">
        <v>281</v>
      </c>
      <c r="C13768" s="46">
        <v>3756</v>
      </c>
      <c r="D13768" s="69" t="s">
        <v>29418</v>
      </c>
      <c r="E13768" s="51"/>
      <c r="F13768" s="114" t="str">
        <f>IF(INDEX(I.Facility.P2bIDNumber,3756)="","",INDEX(I.Facility.P2bIDNumber,3756))</f>
        <v/>
      </c>
      <c r="G13768" s="51"/>
      <c r="H13768" s="46" t="str">
        <f>IF(AND(I.Developer.P2b=TRUE,I.Facility.P2bFacilityCount&gt;=3756,F13768=""),"Incomplete","Complete")</f>
        <v>Complete</v>
      </c>
      <c r="I13768" s="48" t="s">
        <v>18133</v>
      </c>
    </row>
    <row r="13769" spans="2:9" ht="15" customHeight="1" x14ac:dyDescent="0.25">
      <c r="B13769" s="55" t="s">
        <v>281</v>
      </c>
      <c r="C13769" s="46">
        <v>3757</v>
      </c>
      <c r="D13769" s="69" t="s">
        <v>29418</v>
      </c>
      <c r="E13769" s="51"/>
      <c r="F13769" s="114" t="str">
        <f>IF(INDEX(I.Facility.P2bIDNumber,3757)="","",INDEX(I.Facility.P2bIDNumber,3757))</f>
        <v/>
      </c>
      <c r="G13769" s="51"/>
      <c r="H13769" s="46" t="str">
        <f>IF(AND(I.Developer.P2b=TRUE,I.Facility.P2bFacilityCount&gt;=3757,F13769=""),"Incomplete","Complete")</f>
        <v>Complete</v>
      </c>
      <c r="I13769" s="48" t="s">
        <v>18134</v>
      </c>
    </row>
    <row r="13770" spans="2:9" ht="15" customHeight="1" x14ac:dyDescent="0.25">
      <c r="B13770" s="55" t="s">
        <v>281</v>
      </c>
      <c r="C13770" s="46">
        <v>3758</v>
      </c>
      <c r="D13770" s="69" t="s">
        <v>29418</v>
      </c>
      <c r="E13770" s="51"/>
      <c r="F13770" s="114" t="str">
        <f>IF(INDEX(I.Facility.P2bIDNumber,3758)="","",INDEX(I.Facility.P2bIDNumber,3758))</f>
        <v/>
      </c>
      <c r="G13770" s="51"/>
      <c r="H13770" s="46" t="str">
        <f>IF(AND(I.Developer.P2b=TRUE,I.Facility.P2bFacilityCount&gt;=3758,F13770=""),"Incomplete","Complete")</f>
        <v>Complete</v>
      </c>
      <c r="I13770" s="48" t="s">
        <v>18135</v>
      </c>
    </row>
    <row r="13771" spans="2:9" ht="15" customHeight="1" x14ac:dyDescent="0.25">
      <c r="B13771" s="55" t="s">
        <v>281</v>
      </c>
      <c r="C13771" s="46">
        <v>3759</v>
      </c>
      <c r="D13771" s="69" t="s">
        <v>29418</v>
      </c>
      <c r="E13771" s="51"/>
      <c r="F13771" s="114" t="str">
        <f>IF(INDEX(I.Facility.P2bIDNumber,3759)="","",INDEX(I.Facility.P2bIDNumber,3759))</f>
        <v/>
      </c>
      <c r="G13771" s="51"/>
      <c r="H13771" s="46" t="str">
        <f>IF(AND(I.Developer.P2b=TRUE,I.Facility.P2bFacilityCount&gt;=3759,F13771=""),"Incomplete","Complete")</f>
        <v>Complete</v>
      </c>
      <c r="I13771" s="48" t="s">
        <v>18136</v>
      </c>
    </row>
    <row r="13772" spans="2:9" ht="15" customHeight="1" x14ac:dyDescent="0.25">
      <c r="B13772" s="55" t="s">
        <v>281</v>
      </c>
      <c r="C13772" s="46">
        <v>3760</v>
      </c>
      <c r="D13772" s="69" t="s">
        <v>29418</v>
      </c>
      <c r="E13772" s="51"/>
      <c r="F13772" s="114" t="str">
        <f>IF(INDEX(I.Facility.P2bIDNumber,3760)="","",INDEX(I.Facility.P2bIDNumber,3760))</f>
        <v/>
      </c>
      <c r="G13772" s="51"/>
      <c r="H13772" s="46" t="str">
        <f>IF(AND(I.Developer.P2b=TRUE,I.Facility.P2bFacilityCount&gt;=3760,F13772=""),"Incomplete","Complete")</f>
        <v>Complete</v>
      </c>
      <c r="I13772" s="48" t="s">
        <v>18137</v>
      </c>
    </row>
    <row r="13773" spans="2:9" ht="15" customHeight="1" x14ac:dyDescent="0.25">
      <c r="B13773" s="55" t="s">
        <v>281</v>
      </c>
      <c r="C13773" s="46">
        <v>3761</v>
      </c>
      <c r="D13773" s="69" t="s">
        <v>29418</v>
      </c>
      <c r="E13773" s="51"/>
      <c r="F13773" s="114" t="str">
        <f>IF(INDEX(I.Facility.P2bIDNumber,3761)="","",INDEX(I.Facility.P2bIDNumber,3761))</f>
        <v/>
      </c>
      <c r="G13773" s="51"/>
      <c r="H13773" s="46" t="str">
        <f>IF(AND(I.Developer.P2b=TRUE,I.Facility.P2bFacilityCount&gt;=3761,F13773=""),"Incomplete","Complete")</f>
        <v>Complete</v>
      </c>
      <c r="I13773" s="48" t="s">
        <v>18138</v>
      </c>
    </row>
    <row r="13774" spans="2:9" ht="15" customHeight="1" x14ac:dyDescent="0.25">
      <c r="B13774" s="55" t="s">
        <v>281</v>
      </c>
      <c r="C13774" s="46">
        <v>3762</v>
      </c>
      <c r="D13774" s="69" t="s">
        <v>29418</v>
      </c>
      <c r="E13774" s="51"/>
      <c r="F13774" s="114" t="str">
        <f>IF(INDEX(I.Facility.P2bIDNumber,3762)="","",INDEX(I.Facility.P2bIDNumber,3762))</f>
        <v/>
      </c>
      <c r="G13774" s="51"/>
      <c r="H13774" s="46" t="str">
        <f>IF(AND(I.Developer.P2b=TRUE,I.Facility.P2bFacilityCount&gt;=3762,F13774=""),"Incomplete","Complete")</f>
        <v>Complete</v>
      </c>
      <c r="I13774" s="48" t="s">
        <v>18139</v>
      </c>
    </row>
    <row r="13775" spans="2:9" ht="15" customHeight="1" x14ac:dyDescent="0.25">
      <c r="B13775" s="55" t="s">
        <v>281</v>
      </c>
      <c r="C13775" s="46">
        <v>3763</v>
      </c>
      <c r="D13775" s="69" t="s">
        <v>29418</v>
      </c>
      <c r="E13775" s="51"/>
      <c r="F13775" s="114" t="str">
        <f>IF(INDEX(I.Facility.P2bIDNumber,3763)="","",INDEX(I.Facility.P2bIDNumber,3763))</f>
        <v/>
      </c>
      <c r="G13775" s="51"/>
      <c r="H13775" s="46" t="str">
        <f>IF(AND(I.Developer.P2b=TRUE,I.Facility.P2bFacilityCount&gt;=3763,F13775=""),"Incomplete","Complete")</f>
        <v>Complete</v>
      </c>
      <c r="I13775" s="48" t="s">
        <v>18140</v>
      </c>
    </row>
    <row r="13776" spans="2:9" ht="15" customHeight="1" x14ac:dyDescent="0.25">
      <c r="B13776" s="55" t="s">
        <v>281</v>
      </c>
      <c r="C13776" s="46">
        <v>3764</v>
      </c>
      <c r="D13776" s="69" t="s">
        <v>29418</v>
      </c>
      <c r="E13776" s="51"/>
      <c r="F13776" s="114" t="str">
        <f>IF(INDEX(I.Facility.P2bIDNumber,3764)="","",INDEX(I.Facility.P2bIDNumber,3764))</f>
        <v/>
      </c>
      <c r="G13776" s="51"/>
      <c r="H13776" s="46" t="str">
        <f>IF(AND(I.Developer.P2b=TRUE,I.Facility.P2bFacilityCount&gt;=3764,F13776=""),"Incomplete","Complete")</f>
        <v>Complete</v>
      </c>
      <c r="I13776" s="48" t="s">
        <v>18141</v>
      </c>
    </row>
    <row r="13777" spans="2:9" ht="15" customHeight="1" x14ac:dyDescent="0.25">
      <c r="B13777" s="55" t="s">
        <v>281</v>
      </c>
      <c r="C13777" s="46">
        <v>3765</v>
      </c>
      <c r="D13777" s="69" t="s">
        <v>29418</v>
      </c>
      <c r="E13777" s="51"/>
      <c r="F13777" s="114" t="str">
        <f>IF(INDEX(I.Facility.P2bIDNumber,3765)="","",INDEX(I.Facility.P2bIDNumber,3765))</f>
        <v/>
      </c>
      <c r="G13777" s="51"/>
      <c r="H13777" s="46" t="str">
        <f>IF(AND(I.Developer.P2b=TRUE,I.Facility.P2bFacilityCount&gt;=3765,F13777=""),"Incomplete","Complete")</f>
        <v>Complete</v>
      </c>
      <c r="I13777" s="48" t="s">
        <v>18142</v>
      </c>
    </row>
    <row r="13778" spans="2:9" ht="15" customHeight="1" x14ac:dyDescent="0.25">
      <c r="B13778" s="55" t="s">
        <v>281</v>
      </c>
      <c r="C13778" s="46">
        <v>3766</v>
      </c>
      <c r="D13778" s="69" t="s">
        <v>29418</v>
      </c>
      <c r="E13778" s="51"/>
      <c r="F13778" s="114" t="str">
        <f>IF(INDEX(I.Facility.P2bIDNumber,3766)="","",INDEX(I.Facility.P2bIDNumber,3766))</f>
        <v/>
      </c>
      <c r="G13778" s="51"/>
      <c r="H13778" s="46" t="str">
        <f>IF(AND(I.Developer.P2b=TRUE,I.Facility.P2bFacilityCount&gt;=3766,F13778=""),"Incomplete","Complete")</f>
        <v>Complete</v>
      </c>
      <c r="I13778" s="48" t="s">
        <v>18143</v>
      </c>
    </row>
    <row r="13779" spans="2:9" ht="15" customHeight="1" x14ac:dyDescent="0.25">
      <c r="B13779" s="55" t="s">
        <v>281</v>
      </c>
      <c r="C13779" s="46">
        <v>3767</v>
      </c>
      <c r="D13779" s="69" t="s">
        <v>29418</v>
      </c>
      <c r="E13779" s="51"/>
      <c r="F13779" s="114" t="str">
        <f>IF(INDEX(I.Facility.P2bIDNumber,3767)="","",INDEX(I.Facility.P2bIDNumber,3767))</f>
        <v/>
      </c>
      <c r="G13779" s="51"/>
      <c r="H13779" s="46" t="str">
        <f>IF(AND(I.Developer.P2b=TRUE,I.Facility.P2bFacilityCount&gt;=3767,F13779=""),"Incomplete","Complete")</f>
        <v>Complete</v>
      </c>
      <c r="I13779" s="48" t="s">
        <v>18144</v>
      </c>
    </row>
    <row r="13780" spans="2:9" ht="15" customHeight="1" x14ac:dyDescent="0.25">
      <c r="B13780" s="55" t="s">
        <v>281</v>
      </c>
      <c r="C13780" s="46">
        <v>3768</v>
      </c>
      <c r="D13780" s="69" t="s">
        <v>29418</v>
      </c>
      <c r="E13780" s="51"/>
      <c r="F13780" s="114" t="str">
        <f>IF(INDEX(I.Facility.P2bIDNumber,3768)="","",INDEX(I.Facility.P2bIDNumber,3768))</f>
        <v/>
      </c>
      <c r="G13780" s="51"/>
      <c r="H13780" s="46" t="str">
        <f>IF(AND(I.Developer.P2b=TRUE,I.Facility.P2bFacilityCount&gt;=3768,F13780=""),"Incomplete","Complete")</f>
        <v>Complete</v>
      </c>
      <c r="I13780" s="48" t="s">
        <v>18145</v>
      </c>
    </row>
    <row r="13781" spans="2:9" ht="15" customHeight="1" x14ac:dyDescent="0.25">
      <c r="B13781" s="55" t="s">
        <v>281</v>
      </c>
      <c r="C13781" s="46">
        <v>3769</v>
      </c>
      <c r="D13781" s="69" t="s">
        <v>29418</v>
      </c>
      <c r="E13781" s="51"/>
      <c r="F13781" s="114" t="str">
        <f>IF(INDEX(I.Facility.P2bIDNumber,3769)="","",INDEX(I.Facility.P2bIDNumber,3769))</f>
        <v/>
      </c>
      <c r="G13781" s="51"/>
      <c r="H13781" s="46" t="str">
        <f>IF(AND(I.Developer.P2b=TRUE,I.Facility.P2bFacilityCount&gt;=3769,F13781=""),"Incomplete","Complete")</f>
        <v>Complete</v>
      </c>
      <c r="I13781" s="48" t="s">
        <v>18146</v>
      </c>
    </row>
    <row r="13782" spans="2:9" ht="15" customHeight="1" x14ac:dyDescent="0.25">
      <c r="B13782" s="55" t="s">
        <v>281</v>
      </c>
      <c r="C13782" s="46">
        <v>3770</v>
      </c>
      <c r="D13782" s="69" t="s">
        <v>29418</v>
      </c>
      <c r="E13782" s="51"/>
      <c r="F13782" s="114" t="str">
        <f>IF(INDEX(I.Facility.P2bIDNumber,3770)="","",INDEX(I.Facility.P2bIDNumber,3770))</f>
        <v/>
      </c>
      <c r="G13782" s="51"/>
      <c r="H13782" s="46" t="str">
        <f>IF(AND(I.Developer.P2b=TRUE,I.Facility.P2bFacilityCount&gt;=3770,F13782=""),"Incomplete","Complete")</f>
        <v>Complete</v>
      </c>
      <c r="I13782" s="48" t="s">
        <v>18147</v>
      </c>
    </row>
    <row r="13783" spans="2:9" ht="15" customHeight="1" x14ac:dyDescent="0.25">
      <c r="B13783" s="55" t="s">
        <v>281</v>
      </c>
      <c r="C13783" s="46">
        <v>3771</v>
      </c>
      <c r="D13783" s="69" t="s">
        <v>29418</v>
      </c>
      <c r="E13783" s="51"/>
      <c r="F13783" s="114" t="str">
        <f>IF(INDEX(I.Facility.P2bIDNumber,3771)="","",INDEX(I.Facility.P2bIDNumber,3771))</f>
        <v/>
      </c>
      <c r="G13783" s="51"/>
      <c r="H13783" s="46" t="str">
        <f>IF(AND(I.Developer.P2b=TRUE,I.Facility.P2bFacilityCount&gt;=3771,F13783=""),"Incomplete","Complete")</f>
        <v>Complete</v>
      </c>
      <c r="I13783" s="48" t="s">
        <v>18148</v>
      </c>
    </row>
    <row r="13784" spans="2:9" ht="15" customHeight="1" x14ac:dyDescent="0.25">
      <c r="B13784" s="55" t="s">
        <v>281</v>
      </c>
      <c r="C13784" s="46">
        <v>3772</v>
      </c>
      <c r="D13784" s="69" t="s">
        <v>29418</v>
      </c>
      <c r="E13784" s="51"/>
      <c r="F13784" s="114" t="str">
        <f>IF(INDEX(I.Facility.P2bIDNumber,3772)="","",INDEX(I.Facility.P2bIDNumber,3772))</f>
        <v/>
      </c>
      <c r="G13784" s="51"/>
      <c r="H13784" s="46" t="str">
        <f>IF(AND(I.Developer.P2b=TRUE,I.Facility.P2bFacilityCount&gt;=3772,F13784=""),"Incomplete","Complete")</f>
        <v>Complete</v>
      </c>
      <c r="I13784" s="48" t="s">
        <v>18149</v>
      </c>
    </row>
    <row r="13785" spans="2:9" ht="15" customHeight="1" x14ac:dyDescent="0.25">
      <c r="B13785" s="55" t="s">
        <v>281</v>
      </c>
      <c r="C13785" s="46">
        <v>3773</v>
      </c>
      <c r="D13785" s="69" t="s">
        <v>29418</v>
      </c>
      <c r="E13785" s="51"/>
      <c r="F13785" s="114" t="str">
        <f>IF(INDEX(I.Facility.P2bIDNumber,3773)="","",INDEX(I.Facility.P2bIDNumber,3773))</f>
        <v/>
      </c>
      <c r="G13785" s="51"/>
      <c r="H13785" s="46" t="str">
        <f>IF(AND(I.Developer.P2b=TRUE,I.Facility.P2bFacilityCount&gt;=3773,F13785=""),"Incomplete","Complete")</f>
        <v>Complete</v>
      </c>
      <c r="I13785" s="48" t="s">
        <v>18150</v>
      </c>
    </row>
    <row r="13786" spans="2:9" ht="15" customHeight="1" x14ac:dyDescent="0.25">
      <c r="B13786" s="55" t="s">
        <v>281</v>
      </c>
      <c r="C13786" s="46">
        <v>3774</v>
      </c>
      <c r="D13786" s="69" t="s">
        <v>29418</v>
      </c>
      <c r="E13786" s="51"/>
      <c r="F13786" s="114" t="str">
        <f>IF(INDEX(I.Facility.P2bIDNumber,3774)="","",INDEX(I.Facility.P2bIDNumber,3774))</f>
        <v/>
      </c>
      <c r="G13786" s="51"/>
      <c r="H13786" s="46" t="str">
        <f>IF(AND(I.Developer.P2b=TRUE,I.Facility.P2bFacilityCount&gt;=3774,F13786=""),"Incomplete","Complete")</f>
        <v>Complete</v>
      </c>
      <c r="I13786" s="48" t="s">
        <v>18151</v>
      </c>
    </row>
    <row r="13787" spans="2:9" ht="15" customHeight="1" x14ac:dyDescent="0.25">
      <c r="B13787" s="55" t="s">
        <v>281</v>
      </c>
      <c r="C13787" s="46">
        <v>3775</v>
      </c>
      <c r="D13787" s="69" t="s">
        <v>29418</v>
      </c>
      <c r="E13787" s="51"/>
      <c r="F13787" s="114" t="str">
        <f>IF(INDEX(I.Facility.P2bIDNumber,3775)="","",INDEX(I.Facility.P2bIDNumber,3775))</f>
        <v/>
      </c>
      <c r="G13787" s="51"/>
      <c r="H13787" s="46" t="str">
        <f>IF(AND(I.Developer.P2b=TRUE,I.Facility.P2bFacilityCount&gt;=3775,F13787=""),"Incomplete","Complete")</f>
        <v>Complete</v>
      </c>
      <c r="I13787" s="48" t="s">
        <v>18152</v>
      </c>
    </row>
    <row r="13788" spans="2:9" ht="15" customHeight="1" x14ac:dyDescent="0.25">
      <c r="B13788" s="55" t="s">
        <v>281</v>
      </c>
      <c r="C13788" s="46">
        <v>3776</v>
      </c>
      <c r="D13788" s="69" t="s">
        <v>29418</v>
      </c>
      <c r="E13788" s="51"/>
      <c r="F13788" s="114" t="str">
        <f>IF(INDEX(I.Facility.P2bIDNumber,3776)="","",INDEX(I.Facility.P2bIDNumber,3776))</f>
        <v/>
      </c>
      <c r="G13788" s="51"/>
      <c r="H13788" s="46" t="str">
        <f>IF(AND(I.Developer.P2b=TRUE,I.Facility.P2bFacilityCount&gt;=3776,F13788=""),"Incomplete","Complete")</f>
        <v>Complete</v>
      </c>
      <c r="I13788" s="48" t="s">
        <v>18153</v>
      </c>
    </row>
    <row r="13789" spans="2:9" ht="15" customHeight="1" x14ac:dyDescent="0.25">
      <c r="B13789" s="55" t="s">
        <v>281</v>
      </c>
      <c r="C13789" s="46">
        <v>3777</v>
      </c>
      <c r="D13789" s="69" t="s">
        <v>29418</v>
      </c>
      <c r="E13789" s="51"/>
      <c r="F13789" s="114" t="str">
        <f>IF(INDEX(I.Facility.P2bIDNumber,3777)="","",INDEX(I.Facility.P2bIDNumber,3777))</f>
        <v/>
      </c>
      <c r="G13789" s="51"/>
      <c r="H13789" s="46" t="str">
        <f>IF(AND(I.Developer.P2b=TRUE,I.Facility.P2bFacilityCount&gt;=3777,F13789=""),"Incomplete","Complete")</f>
        <v>Complete</v>
      </c>
      <c r="I13789" s="48" t="s">
        <v>18154</v>
      </c>
    </row>
    <row r="13790" spans="2:9" ht="15" customHeight="1" x14ac:dyDescent="0.25">
      <c r="B13790" s="55" t="s">
        <v>281</v>
      </c>
      <c r="C13790" s="46">
        <v>3778</v>
      </c>
      <c r="D13790" s="69" t="s">
        <v>29418</v>
      </c>
      <c r="E13790" s="51"/>
      <c r="F13790" s="114" t="str">
        <f>IF(INDEX(I.Facility.P2bIDNumber,3778)="","",INDEX(I.Facility.P2bIDNumber,3778))</f>
        <v/>
      </c>
      <c r="G13790" s="51"/>
      <c r="H13790" s="46" t="str">
        <f>IF(AND(I.Developer.P2b=TRUE,I.Facility.P2bFacilityCount&gt;=3778,F13790=""),"Incomplete","Complete")</f>
        <v>Complete</v>
      </c>
      <c r="I13790" s="48" t="s">
        <v>18155</v>
      </c>
    </row>
    <row r="13791" spans="2:9" ht="15" customHeight="1" x14ac:dyDescent="0.25">
      <c r="B13791" s="55" t="s">
        <v>281</v>
      </c>
      <c r="C13791" s="46">
        <v>3779</v>
      </c>
      <c r="D13791" s="69" t="s">
        <v>29418</v>
      </c>
      <c r="E13791" s="51"/>
      <c r="F13791" s="114" t="str">
        <f>IF(INDEX(I.Facility.P2bIDNumber,3779)="","",INDEX(I.Facility.P2bIDNumber,3779))</f>
        <v/>
      </c>
      <c r="G13791" s="51"/>
      <c r="H13791" s="46" t="str">
        <f>IF(AND(I.Developer.P2b=TRUE,I.Facility.P2bFacilityCount&gt;=3779,F13791=""),"Incomplete","Complete")</f>
        <v>Complete</v>
      </c>
      <c r="I13791" s="48" t="s">
        <v>18156</v>
      </c>
    </row>
    <row r="13792" spans="2:9" ht="15" customHeight="1" x14ac:dyDescent="0.25">
      <c r="B13792" s="55" t="s">
        <v>281</v>
      </c>
      <c r="C13792" s="46">
        <v>3780</v>
      </c>
      <c r="D13792" s="69" t="s">
        <v>29418</v>
      </c>
      <c r="E13792" s="51"/>
      <c r="F13792" s="114" t="str">
        <f>IF(INDEX(I.Facility.P2bIDNumber,3780)="","",INDEX(I.Facility.P2bIDNumber,3780))</f>
        <v/>
      </c>
      <c r="G13792" s="51"/>
      <c r="H13792" s="46" t="str">
        <f>IF(AND(I.Developer.P2b=TRUE,I.Facility.P2bFacilityCount&gt;=3780,F13792=""),"Incomplete","Complete")</f>
        <v>Complete</v>
      </c>
      <c r="I13792" s="48" t="s">
        <v>18157</v>
      </c>
    </row>
    <row r="13793" spans="2:9" ht="15" customHeight="1" x14ac:dyDescent="0.25">
      <c r="B13793" s="55" t="s">
        <v>281</v>
      </c>
      <c r="C13793" s="46">
        <v>3781</v>
      </c>
      <c r="D13793" s="69" t="s">
        <v>29418</v>
      </c>
      <c r="E13793" s="51"/>
      <c r="F13793" s="114" t="str">
        <f>IF(INDEX(I.Facility.P2bIDNumber,3781)="","",INDEX(I.Facility.P2bIDNumber,3781))</f>
        <v/>
      </c>
      <c r="G13793" s="51"/>
      <c r="H13793" s="46" t="str">
        <f>IF(AND(I.Developer.P2b=TRUE,I.Facility.P2bFacilityCount&gt;=3781,F13793=""),"Incomplete","Complete")</f>
        <v>Complete</v>
      </c>
      <c r="I13793" s="48" t="s">
        <v>18158</v>
      </c>
    </row>
    <row r="13794" spans="2:9" ht="15" customHeight="1" x14ac:dyDescent="0.25">
      <c r="B13794" s="55" t="s">
        <v>281</v>
      </c>
      <c r="C13794" s="46">
        <v>3782</v>
      </c>
      <c r="D13794" s="69" t="s">
        <v>29418</v>
      </c>
      <c r="E13794" s="51"/>
      <c r="F13794" s="114" t="str">
        <f>IF(INDEX(I.Facility.P2bIDNumber,3782)="","",INDEX(I.Facility.P2bIDNumber,3782))</f>
        <v/>
      </c>
      <c r="G13794" s="51"/>
      <c r="H13794" s="46" t="str">
        <f>IF(AND(I.Developer.P2b=TRUE,I.Facility.P2bFacilityCount&gt;=3782,F13794=""),"Incomplete","Complete")</f>
        <v>Complete</v>
      </c>
      <c r="I13794" s="48" t="s">
        <v>18159</v>
      </c>
    </row>
    <row r="13795" spans="2:9" ht="15" customHeight="1" x14ac:dyDescent="0.25">
      <c r="B13795" s="55" t="s">
        <v>281</v>
      </c>
      <c r="C13795" s="46">
        <v>3783</v>
      </c>
      <c r="D13795" s="69" t="s">
        <v>29418</v>
      </c>
      <c r="E13795" s="51"/>
      <c r="F13795" s="114" t="str">
        <f>IF(INDEX(I.Facility.P2bIDNumber,3783)="","",INDEX(I.Facility.P2bIDNumber,3783))</f>
        <v/>
      </c>
      <c r="G13795" s="51"/>
      <c r="H13795" s="46" t="str">
        <f>IF(AND(I.Developer.P2b=TRUE,I.Facility.P2bFacilityCount&gt;=3783,F13795=""),"Incomplete","Complete")</f>
        <v>Complete</v>
      </c>
      <c r="I13795" s="48" t="s">
        <v>18160</v>
      </c>
    </row>
    <row r="13796" spans="2:9" ht="15" customHeight="1" x14ac:dyDescent="0.25">
      <c r="B13796" s="55" t="s">
        <v>281</v>
      </c>
      <c r="C13796" s="46">
        <v>3784</v>
      </c>
      <c r="D13796" s="69" t="s">
        <v>29418</v>
      </c>
      <c r="E13796" s="51"/>
      <c r="F13796" s="114" t="str">
        <f>IF(INDEX(I.Facility.P2bIDNumber,3784)="","",INDEX(I.Facility.P2bIDNumber,3784))</f>
        <v/>
      </c>
      <c r="G13796" s="51"/>
      <c r="H13796" s="46" t="str">
        <f>IF(AND(I.Developer.P2b=TRUE,I.Facility.P2bFacilityCount&gt;=3784,F13796=""),"Incomplete","Complete")</f>
        <v>Complete</v>
      </c>
      <c r="I13796" s="48" t="s">
        <v>18161</v>
      </c>
    </row>
    <row r="13797" spans="2:9" ht="15" customHeight="1" x14ac:dyDescent="0.25">
      <c r="B13797" s="55" t="s">
        <v>281</v>
      </c>
      <c r="C13797" s="46">
        <v>3785</v>
      </c>
      <c r="D13797" s="69" t="s">
        <v>29418</v>
      </c>
      <c r="E13797" s="51"/>
      <c r="F13797" s="114" t="str">
        <f>IF(INDEX(I.Facility.P2bIDNumber,3785)="","",INDEX(I.Facility.P2bIDNumber,3785))</f>
        <v/>
      </c>
      <c r="G13797" s="51"/>
      <c r="H13797" s="46" t="str">
        <f>IF(AND(I.Developer.P2b=TRUE,I.Facility.P2bFacilityCount&gt;=3785,F13797=""),"Incomplete","Complete")</f>
        <v>Complete</v>
      </c>
      <c r="I13797" s="48" t="s">
        <v>18162</v>
      </c>
    </row>
    <row r="13798" spans="2:9" ht="15" customHeight="1" x14ac:dyDescent="0.25">
      <c r="B13798" s="55" t="s">
        <v>281</v>
      </c>
      <c r="C13798" s="46">
        <v>3786</v>
      </c>
      <c r="D13798" s="69" t="s">
        <v>29418</v>
      </c>
      <c r="E13798" s="51"/>
      <c r="F13798" s="114" t="str">
        <f>IF(INDEX(I.Facility.P2bIDNumber,3786)="","",INDEX(I.Facility.P2bIDNumber,3786))</f>
        <v/>
      </c>
      <c r="G13798" s="51"/>
      <c r="H13798" s="46" t="str">
        <f>IF(AND(I.Developer.P2b=TRUE,I.Facility.P2bFacilityCount&gt;=3786,F13798=""),"Incomplete","Complete")</f>
        <v>Complete</v>
      </c>
      <c r="I13798" s="48" t="s">
        <v>18163</v>
      </c>
    </row>
    <row r="13799" spans="2:9" ht="15" customHeight="1" x14ac:dyDescent="0.25">
      <c r="B13799" s="55" t="s">
        <v>281</v>
      </c>
      <c r="C13799" s="46">
        <v>3787</v>
      </c>
      <c r="D13799" s="69" t="s">
        <v>29418</v>
      </c>
      <c r="E13799" s="51"/>
      <c r="F13799" s="114" t="str">
        <f>IF(INDEX(I.Facility.P2bIDNumber,3787)="","",INDEX(I.Facility.P2bIDNumber,3787))</f>
        <v/>
      </c>
      <c r="G13799" s="51"/>
      <c r="H13799" s="46" t="str">
        <f>IF(AND(I.Developer.P2b=TRUE,I.Facility.P2bFacilityCount&gt;=3787,F13799=""),"Incomplete","Complete")</f>
        <v>Complete</v>
      </c>
      <c r="I13799" s="48" t="s">
        <v>18164</v>
      </c>
    </row>
    <row r="13800" spans="2:9" ht="15" customHeight="1" x14ac:dyDescent="0.25">
      <c r="B13800" s="55" t="s">
        <v>281</v>
      </c>
      <c r="C13800" s="46">
        <v>3788</v>
      </c>
      <c r="D13800" s="69" t="s">
        <v>29418</v>
      </c>
      <c r="E13800" s="51"/>
      <c r="F13800" s="114" t="str">
        <f>IF(INDEX(I.Facility.P2bIDNumber,3788)="","",INDEX(I.Facility.P2bIDNumber,3788))</f>
        <v/>
      </c>
      <c r="G13800" s="51"/>
      <c r="H13800" s="46" t="str">
        <f>IF(AND(I.Developer.P2b=TRUE,I.Facility.P2bFacilityCount&gt;=3788,F13800=""),"Incomplete","Complete")</f>
        <v>Complete</v>
      </c>
      <c r="I13800" s="48" t="s">
        <v>18165</v>
      </c>
    </row>
    <row r="13801" spans="2:9" ht="15" customHeight="1" x14ac:dyDescent="0.25">
      <c r="B13801" s="55" t="s">
        <v>281</v>
      </c>
      <c r="C13801" s="46">
        <v>3789</v>
      </c>
      <c r="D13801" s="69" t="s">
        <v>29418</v>
      </c>
      <c r="E13801" s="51"/>
      <c r="F13801" s="114" t="str">
        <f>IF(INDEX(I.Facility.P2bIDNumber,3789)="","",INDEX(I.Facility.P2bIDNumber,3789))</f>
        <v/>
      </c>
      <c r="G13801" s="51"/>
      <c r="H13801" s="46" t="str">
        <f>IF(AND(I.Developer.P2b=TRUE,I.Facility.P2bFacilityCount&gt;=3789,F13801=""),"Incomplete","Complete")</f>
        <v>Complete</v>
      </c>
      <c r="I13801" s="48" t="s">
        <v>18166</v>
      </c>
    </row>
    <row r="13802" spans="2:9" ht="15" customHeight="1" x14ac:dyDescent="0.25">
      <c r="B13802" s="55" t="s">
        <v>281</v>
      </c>
      <c r="C13802" s="46">
        <v>3790</v>
      </c>
      <c r="D13802" s="69" t="s">
        <v>29418</v>
      </c>
      <c r="E13802" s="51"/>
      <c r="F13802" s="114" t="str">
        <f>IF(INDEX(I.Facility.P2bIDNumber,3790)="","",INDEX(I.Facility.P2bIDNumber,3790))</f>
        <v/>
      </c>
      <c r="G13802" s="51"/>
      <c r="H13802" s="46" t="str">
        <f>IF(AND(I.Developer.P2b=TRUE,I.Facility.P2bFacilityCount&gt;=3790,F13802=""),"Incomplete","Complete")</f>
        <v>Complete</v>
      </c>
      <c r="I13802" s="48" t="s">
        <v>18167</v>
      </c>
    </row>
    <row r="13803" spans="2:9" ht="15" customHeight="1" x14ac:dyDescent="0.25">
      <c r="B13803" s="55" t="s">
        <v>281</v>
      </c>
      <c r="C13803" s="46">
        <v>3791</v>
      </c>
      <c r="D13803" s="69" t="s">
        <v>29418</v>
      </c>
      <c r="E13803" s="51"/>
      <c r="F13803" s="114" t="str">
        <f>IF(INDEX(I.Facility.P2bIDNumber,3791)="","",INDEX(I.Facility.P2bIDNumber,3791))</f>
        <v/>
      </c>
      <c r="G13803" s="51"/>
      <c r="H13803" s="46" t="str">
        <f>IF(AND(I.Developer.P2b=TRUE,I.Facility.P2bFacilityCount&gt;=3791,F13803=""),"Incomplete","Complete")</f>
        <v>Complete</v>
      </c>
      <c r="I13803" s="48" t="s">
        <v>18168</v>
      </c>
    </row>
    <row r="13804" spans="2:9" ht="15" customHeight="1" x14ac:dyDescent="0.25">
      <c r="B13804" s="55" t="s">
        <v>281</v>
      </c>
      <c r="C13804" s="46">
        <v>3792</v>
      </c>
      <c r="D13804" s="69" t="s">
        <v>29418</v>
      </c>
      <c r="E13804" s="51"/>
      <c r="F13804" s="114" t="str">
        <f>IF(INDEX(I.Facility.P2bIDNumber,3792)="","",INDEX(I.Facility.P2bIDNumber,3792))</f>
        <v/>
      </c>
      <c r="G13804" s="51"/>
      <c r="H13804" s="46" t="str">
        <f>IF(AND(I.Developer.P2b=TRUE,I.Facility.P2bFacilityCount&gt;=3792,F13804=""),"Incomplete","Complete")</f>
        <v>Complete</v>
      </c>
      <c r="I13804" s="48" t="s">
        <v>18169</v>
      </c>
    </row>
    <row r="13805" spans="2:9" ht="15" customHeight="1" x14ac:dyDescent="0.25">
      <c r="B13805" s="55" t="s">
        <v>281</v>
      </c>
      <c r="C13805" s="46">
        <v>3793</v>
      </c>
      <c r="D13805" s="69" t="s">
        <v>29418</v>
      </c>
      <c r="E13805" s="51"/>
      <c r="F13805" s="114" t="str">
        <f>IF(INDEX(I.Facility.P2bIDNumber,3793)="","",INDEX(I.Facility.P2bIDNumber,3793))</f>
        <v/>
      </c>
      <c r="G13805" s="51"/>
      <c r="H13805" s="46" t="str">
        <f>IF(AND(I.Developer.P2b=TRUE,I.Facility.P2bFacilityCount&gt;=3793,F13805=""),"Incomplete","Complete")</f>
        <v>Complete</v>
      </c>
      <c r="I13805" s="48" t="s">
        <v>18170</v>
      </c>
    </row>
    <row r="13806" spans="2:9" ht="15" customHeight="1" x14ac:dyDescent="0.25">
      <c r="B13806" s="55" t="s">
        <v>281</v>
      </c>
      <c r="C13806" s="46">
        <v>3794</v>
      </c>
      <c r="D13806" s="69" t="s">
        <v>29418</v>
      </c>
      <c r="E13806" s="51"/>
      <c r="F13806" s="114" t="str">
        <f>IF(INDEX(I.Facility.P2bIDNumber,3794)="","",INDEX(I.Facility.P2bIDNumber,3794))</f>
        <v/>
      </c>
      <c r="G13806" s="51"/>
      <c r="H13806" s="46" t="str">
        <f>IF(AND(I.Developer.P2b=TRUE,I.Facility.P2bFacilityCount&gt;=3794,F13806=""),"Incomplete","Complete")</f>
        <v>Complete</v>
      </c>
      <c r="I13806" s="48" t="s">
        <v>18171</v>
      </c>
    </row>
    <row r="13807" spans="2:9" ht="15" customHeight="1" x14ac:dyDescent="0.25">
      <c r="B13807" s="55" t="s">
        <v>281</v>
      </c>
      <c r="C13807" s="46">
        <v>3795</v>
      </c>
      <c r="D13807" s="69" t="s">
        <v>29418</v>
      </c>
      <c r="E13807" s="51"/>
      <c r="F13807" s="114" t="str">
        <f>IF(INDEX(I.Facility.P2bIDNumber,3795)="","",INDEX(I.Facility.P2bIDNumber,3795))</f>
        <v/>
      </c>
      <c r="G13807" s="51"/>
      <c r="H13807" s="46" t="str">
        <f>IF(AND(I.Developer.P2b=TRUE,I.Facility.P2bFacilityCount&gt;=3795,F13807=""),"Incomplete","Complete")</f>
        <v>Complete</v>
      </c>
      <c r="I13807" s="48" t="s">
        <v>18172</v>
      </c>
    </row>
    <row r="13808" spans="2:9" ht="15" customHeight="1" x14ac:dyDescent="0.25">
      <c r="B13808" s="55" t="s">
        <v>281</v>
      </c>
      <c r="C13808" s="46">
        <v>3796</v>
      </c>
      <c r="D13808" s="69" t="s">
        <v>29418</v>
      </c>
      <c r="E13808" s="51"/>
      <c r="F13808" s="114" t="str">
        <f>IF(INDEX(I.Facility.P2bIDNumber,3796)="","",INDEX(I.Facility.P2bIDNumber,3796))</f>
        <v/>
      </c>
      <c r="G13808" s="51"/>
      <c r="H13808" s="46" t="str">
        <f>IF(AND(I.Developer.P2b=TRUE,I.Facility.P2bFacilityCount&gt;=3796,F13808=""),"Incomplete","Complete")</f>
        <v>Complete</v>
      </c>
      <c r="I13808" s="48" t="s">
        <v>18173</v>
      </c>
    </row>
    <row r="13809" spans="2:9" ht="15" customHeight="1" x14ac:dyDescent="0.25">
      <c r="B13809" s="55" t="s">
        <v>281</v>
      </c>
      <c r="C13809" s="46">
        <v>3797</v>
      </c>
      <c r="D13809" s="69" t="s">
        <v>29418</v>
      </c>
      <c r="E13809" s="51"/>
      <c r="F13809" s="114" t="str">
        <f>IF(INDEX(I.Facility.P2bIDNumber,3797)="","",INDEX(I.Facility.P2bIDNumber,3797))</f>
        <v/>
      </c>
      <c r="G13809" s="51"/>
      <c r="H13809" s="46" t="str">
        <f>IF(AND(I.Developer.P2b=TRUE,I.Facility.P2bFacilityCount&gt;=3797,F13809=""),"Incomplete","Complete")</f>
        <v>Complete</v>
      </c>
      <c r="I13809" s="48" t="s">
        <v>18174</v>
      </c>
    </row>
    <row r="13810" spans="2:9" ht="15" customHeight="1" x14ac:dyDescent="0.25">
      <c r="B13810" s="55" t="s">
        <v>281</v>
      </c>
      <c r="C13810" s="46">
        <v>3798</v>
      </c>
      <c r="D13810" s="69" t="s">
        <v>29418</v>
      </c>
      <c r="E13810" s="51"/>
      <c r="F13810" s="114" t="str">
        <f>IF(INDEX(I.Facility.P2bIDNumber,3798)="","",INDEX(I.Facility.P2bIDNumber,3798))</f>
        <v/>
      </c>
      <c r="G13810" s="51"/>
      <c r="H13810" s="46" t="str">
        <f>IF(AND(I.Developer.P2b=TRUE,I.Facility.P2bFacilityCount&gt;=3798,F13810=""),"Incomplete","Complete")</f>
        <v>Complete</v>
      </c>
      <c r="I13810" s="48" t="s">
        <v>18175</v>
      </c>
    </row>
    <row r="13811" spans="2:9" ht="15" customHeight="1" x14ac:dyDescent="0.25">
      <c r="B13811" s="55" t="s">
        <v>281</v>
      </c>
      <c r="C13811" s="46">
        <v>3799</v>
      </c>
      <c r="D13811" s="69" t="s">
        <v>29418</v>
      </c>
      <c r="E13811" s="51"/>
      <c r="F13811" s="114" t="str">
        <f>IF(INDEX(I.Facility.P2bIDNumber,3799)="","",INDEX(I.Facility.P2bIDNumber,3799))</f>
        <v/>
      </c>
      <c r="G13811" s="51"/>
      <c r="H13811" s="46" t="str">
        <f>IF(AND(I.Developer.P2b=TRUE,I.Facility.P2bFacilityCount&gt;=3799,F13811=""),"Incomplete","Complete")</f>
        <v>Complete</v>
      </c>
      <c r="I13811" s="48" t="s">
        <v>18176</v>
      </c>
    </row>
    <row r="13812" spans="2:9" ht="15" customHeight="1" x14ac:dyDescent="0.25">
      <c r="B13812" s="55" t="s">
        <v>281</v>
      </c>
      <c r="C13812" s="46">
        <v>3800</v>
      </c>
      <c r="D13812" s="69" t="s">
        <v>29418</v>
      </c>
      <c r="E13812" s="51"/>
      <c r="F13812" s="114" t="str">
        <f>IF(INDEX(I.Facility.P2bIDNumber,3800)="","",INDEX(I.Facility.P2bIDNumber,3800))</f>
        <v/>
      </c>
      <c r="G13812" s="51"/>
      <c r="H13812" s="46" t="str">
        <f>IF(AND(I.Developer.P2b=TRUE,I.Facility.P2bFacilityCount&gt;=3800,F13812=""),"Incomplete","Complete")</f>
        <v>Complete</v>
      </c>
      <c r="I13812" s="48" t="s">
        <v>18177</v>
      </c>
    </row>
    <row r="13813" spans="2:9" ht="15" customHeight="1" x14ac:dyDescent="0.25">
      <c r="B13813" s="55" t="s">
        <v>281</v>
      </c>
      <c r="C13813" s="46">
        <v>3801</v>
      </c>
      <c r="D13813" s="69" t="s">
        <v>29418</v>
      </c>
      <c r="E13813" s="51"/>
      <c r="F13813" s="114" t="str">
        <f>IF(INDEX(I.Facility.P2bIDNumber,3801)="","",INDEX(I.Facility.P2bIDNumber,3801))</f>
        <v/>
      </c>
      <c r="G13813" s="51"/>
      <c r="H13813" s="46" t="str">
        <f>IF(AND(I.Developer.P2b=TRUE,I.Facility.P2bFacilityCount&gt;=3801,F13813=""),"Incomplete","Complete")</f>
        <v>Complete</v>
      </c>
      <c r="I13813" s="48" t="s">
        <v>18178</v>
      </c>
    </row>
    <row r="13814" spans="2:9" ht="15" customHeight="1" x14ac:dyDescent="0.25">
      <c r="B13814" s="55" t="s">
        <v>281</v>
      </c>
      <c r="C13814" s="46">
        <v>3802</v>
      </c>
      <c r="D13814" s="69" t="s">
        <v>29418</v>
      </c>
      <c r="E13814" s="51"/>
      <c r="F13814" s="114" t="str">
        <f>IF(INDEX(I.Facility.P2bIDNumber,3802)="","",INDEX(I.Facility.P2bIDNumber,3802))</f>
        <v/>
      </c>
      <c r="G13814" s="51"/>
      <c r="H13814" s="46" t="str">
        <f>IF(AND(I.Developer.P2b=TRUE,I.Facility.P2bFacilityCount&gt;=3802,F13814=""),"Incomplete","Complete")</f>
        <v>Complete</v>
      </c>
      <c r="I13814" s="48" t="s">
        <v>18179</v>
      </c>
    </row>
    <row r="13815" spans="2:9" ht="15" customHeight="1" x14ac:dyDescent="0.25">
      <c r="B13815" s="55" t="s">
        <v>281</v>
      </c>
      <c r="C13815" s="46">
        <v>3803</v>
      </c>
      <c r="D13815" s="69" t="s">
        <v>29418</v>
      </c>
      <c r="E13815" s="51"/>
      <c r="F13815" s="114" t="str">
        <f>IF(INDEX(I.Facility.P2bIDNumber,3803)="","",INDEX(I.Facility.P2bIDNumber,3803))</f>
        <v/>
      </c>
      <c r="G13815" s="51"/>
      <c r="H13815" s="46" t="str">
        <f>IF(AND(I.Developer.P2b=TRUE,I.Facility.P2bFacilityCount&gt;=3803,F13815=""),"Incomplete","Complete")</f>
        <v>Complete</v>
      </c>
      <c r="I13815" s="48" t="s">
        <v>18180</v>
      </c>
    </row>
    <row r="13816" spans="2:9" ht="15" customHeight="1" x14ac:dyDescent="0.25">
      <c r="B13816" s="55" t="s">
        <v>281</v>
      </c>
      <c r="C13816" s="46">
        <v>3804</v>
      </c>
      <c r="D13816" s="69" t="s">
        <v>29418</v>
      </c>
      <c r="E13816" s="51"/>
      <c r="F13816" s="114" t="str">
        <f>IF(INDEX(I.Facility.P2bIDNumber,3804)="","",INDEX(I.Facility.P2bIDNumber,3804))</f>
        <v/>
      </c>
      <c r="G13816" s="51"/>
      <c r="H13816" s="46" t="str">
        <f>IF(AND(I.Developer.P2b=TRUE,I.Facility.P2bFacilityCount&gt;=3804,F13816=""),"Incomplete","Complete")</f>
        <v>Complete</v>
      </c>
      <c r="I13816" s="48" t="s">
        <v>18181</v>
      </c>
    </row>
    <row r="13817" spans="2:9" ht="15" customHeight="1" x14ac:dyDescent="0.25">
      <c r="B13817" s="55" t="s">
        <v>281</v>
      </c>
      <c r="C13817" s="46">
        <v>3805</v>
      </c>
      <c r="D13817" s="69" t="s">
        <v>29418</v>
      </c>
      <c r="E13817" s="51"/>
      <c r="F13817" s="114" t="str">
        <f>IF(INDEX(I.Facility.P2bIDNumber,3805)="","",INDEX(I.Facility.P2bIDNumber,3805))</f>
        <v/>
      </c>
      <c r="G13817" s="51"/>
      <c r="H13817" s="46" t="str">
        <f>IF(AND(I.Developer.P2b=TRUE,I.Facility.P2bFacilityCount&gt;=3805,F13817=""),"Incomplete","Complete")</f>
        <v>Complete</v>
      </c>
      <c r="I13817" s="48" t="s">
        <v>18182</v>
      </c>
    </row>
    <row r="13818" spans="2:9" ht="15" customHeight="1" x14ac:dyDescent="0.25">
      <c r="B13818" s="55" t="s">
        <v>281</v>
      </c>
      <c r="C13818" s="46">
        <v>3806</v>
      </c>
      <c r="D13818" s="69" t="s">
        <v>29418</v>
      </c>
      <c r="E13818" s="51"/>
      <c r="F13818" s="114" t="str">
        <f>IF(INDEX(I.Facility.P2bIDNumber,3806)="","",INDEX(I.Facility.P2bIDNumber,3806))</f>
        <v/>
      </c>
      <c r="G13818" s="51"/>
      <c r="H13818" s="46" t="str">
        <f>IF(AND(I.Developer.P2b=TRUE,I.Facility.P2bFacilityCount&gt;=3806,F13818=""),"Incomplete","Complete")</f>
        <v>Complete</v>
      </c>
      <c r="I13818" s="48" t="s">
        <v>18183</v>
      </c>
    </row>
    <row r="13819" spans="2:9" ht="15" customHeight="1" x14ac:dyDescent="0.25">
      <c r="B13819" s="55" t="s">
        <v>281</v>
      </c>
      <c r="C13819" s="46">
        <v>3807</v>
      </c>
      <c r="D13819" s="69" t="s">
        <v>29418</v>
      </c>
      <c r="E13819" s="51"/>
      <c r="F13819" s="114" t="str">
        <f>IF(INDEX(I.Facility.P2bIDNumber,3807)="","",INDEX(I.Facility.P2bIDNumber,3807))</f>
        <v/>
      </c>
      <c r="G13819" s="51"/>
      <c r="H13819" s="46" t="str">
        <f>IF(AND(I.Developer.P2b=TRUE,I.Facility.P2bFacilityCount&gt;=3807,F13819=""),"Incomplete","Complete")</f>
        <v>Complete</v>
      </c>
      <c r="I13819" s="48" t="s">
        <v>18184</v>
      </c>
    </row>
    <row r="13820" spans="2:9" ht="15" customHeight="1" x14ac:dyDescent="0.25">
      <c r="B13820" s="55" t="s">
        <v>281</v>
      </c>
      <c r="C13820" s="46">
        <v>3808</v>
      </c>
      <c r="D13820" s="69" t="s">
        <v>29418</v>
      </c>
      <c r="E13820" s="51"/>
      <c r="F13820" s="114" t="str">
        <f>IF(INDEX(I.Facility.P2bIDNumber,3808)="","",INDEX(I.Facility.P2bIDNumber,3808))</f>
        <v/>
      </c>
      <c r="G13820" s="51"/>
      <c r="H13820" s="46" t="str">
        <f>IF(AND(I.Developer.P2b=TRUE,I.Facility.P2bFacilityCount&gt;=3808,F13820=""),"Incomplete","Complete")</f>
        <v>Complete</v>
      </c>
      <c r="I13820" s="48" t="s">
        <v>18185</v>
      </c>
    </row>
    <row r="13821" spans="2:9" ht="15" customHeight="1" x14ac:dyDescent="0.25">
      <c r="B13821" s="55" t="s">
        <v>281</v>
      </c>
      <c r="C13821" s="46">
        <v>3809</v>
      </c>
      <c r="D13821" s="69" t="s">
        <v>29418</v>
      </c>
      <c r="E13821" s="51"/>
      <c r="F13821" s="114" t="str">
        <f>IF(INDEX(I.Facility.P2bIDNumber,3809)="","",INDEX(I.Facility.P2bIDNumber,3809))</f>
        <v/>
      </c>
      <c r="G13821" s="51"/>
      <c r="H13821" s="46" t="str">
        <f>IF(AND(I.Developer.P2b=TRUE,I.Facility.P2bFacilityCount&gt;=3809,F13821=""),"Incomplete","Complete")</f>
        <v>Complete</v>
      </c>
      <c r="I13821" s="48" t="s">
        <v>18186</v>
      </c>
    </row>
    <row r="13822" spans="2:9" ht="15" customHeight="1" x14ac:dyDescent="0.25">
      <c r="B13822" s="55" t="s">
        <v>281</v>
      </c>
      <c r="C13822" s="46">
        <v>3810</v>
      </c>
      <c r="D13822" s="69" t="s">
        <v>29418</v>
      </c>
      <c r="E13822" s="51"/>
      <c r="F13822" s="114" t="str">
        <f>IF(INDEX(I.Facility.P2bIDNumber,3810)="","",INDEX(I.Facility.P2bIDNumber,3810))</f>
        <v/>
      </c>
      <c r="G13822" s="51"/>
      <c r="H13822" s="46" t="str">
        <f>IF(AND(I.Developer.P2b=TRUE,I.Facility.P2bFacilityCount&gt;=3810,F13822=""),"Incomplete","Complete")</f>
        <v>Complete</v>
      </c>
      <c r="I13822" s="48" t="s">
        <v>18187</v>
      </c>
    </row>
    <row r="13823" spans="2:9" ht="15" customHeight="1" x14ac:dyDescent="0.25">
      <c r="B13823" s="55" t="s">
        <v>281</v>
      </c>
      <c r="C13823" s="46">
        <v>3811</v>
      </c>
      <c r="D13823" s="69" t="s">
        <v>29418</v>
      </c>
      <c r="E13823" s="51"/>
      <c r="F13823" s="114" t="str">
        <f>IF(INDEX(I.Facility.P2bIDNumber,3811)="","",INDEX(I.Facility.P2bIDNumber,3811))</f>
        <v/>
      </c>
      <c r="G13823" s="51"/>
      <c r="H13823" s="46" t="str">
        <f>IF(AND(I.Developer.P2b=TRUE,I.Facility.P2bFacilityCount&gt;=3811,F13823=""),"Incomplete","Complete")</f>
        <v>Complete</v>
      </c>
      <c r="I13823" s="48" t="s">
        <v>18188</v>
      </c>
    </row>
    <row r="13824" spans="2:9" ht="15" customHeight="1" x14ac:dyDescent="0.25">
      <c r="B13824" s="55" t="s">
        <v>281</v>
      </c>
      <c r="C13824" s="46">
        <v>3812</v>
      </c>
      <c r="D13824" s="69" t="s">
        <v>29418</v>
      </c>
      <c r="E13824" s="51"/>
      <c r="F13824" s="114" t="str">
        <f>IF(INDEX(I.Facility.P2bIDNumber,3812)="","",INDEX(I.Facility.P2bIDNumber,3812))</f>
        <v/>
      </c>
      <c r="G13824" s="51"/>
      <c r="H13824" s="46" t="str">
        <f>IF(AND(I.Developer.P2b=TRUE,I.Facility.P2bFacilityCount&gt;=3812,F13824=""),"Incomplete","Complete")</f>
        <v>Complete</v>
      </c>
      <c r="I13824" s="48" t="s">
        <v>18189</v>
      </c>
    </row>
    <row r="13825" spans="2:9" ht="15" customHeight="1" x14ac:dyDescent="0.25">
      <c r="B13825" s="55" t="s">
        <v>281</v>
      </c>
      <c r="C13825" s="46">
        <v>3813</v>
      </c>
      <c r="D13825" s="69" t="s">
        <v>29418</v>
      </c>
      <c r="E13825" s="51"/>
      <c r="F13825" s="114" t="str">
        <f>IF(INDEX(I.Facility.P2bIDNumber,3813)="","",INDEX(I.Facility.P2bIDNumber,3813))</f>
        <v/>
      </c>
      <c r="G13825" s="51"/>
      <c r="H13825" s="46" t="str">
        <f>IF(AND(I.Developer.P2b=TRUE,I.Facility.P2bFacilityCount&gt;=3813,F13825=""),"Incomplete","Complete")</f>
        <v>Complete</v>
      </c>
      <c r="I13825" s="48" t="s">
        <v>18190</v>
      </c>
    </row>
    <row r="13826" spans="2:9" ht="15" customHeight="1" x14ac:dyDescent="0.25">
      <c r="B13826" s="55" t="s">
        <v>281</v>
      </c>
      <c r="C13826" s="46">
        <v>3814</v>
      </c>
      <c r="D13826" s="69" t="s">
        <v>29418</v>
      </c>
      <c r="E13826" s="51"/>
      <c r="F13826" s="114" t="str">
        <f>IF(INDEX(I.Facility.P2bIDNumber,3814)="","",INDEX(I.Facility.P2bIDNumber,3814))</f>
        <v/>
      </c>
      <c r="G13826" s="51"/>
      <c r="H13826" s="46" t="str">
        <f>IF(AND(I.Developer.P2b=TRUE,I.Facility.P2bFacilityCount&gt;=3814,F13826=""),"Incomplete","Complete")</f>
        <v>Complete</v>
      </c>
      <c r="I13826" s="48" t="s">
        <v>18191</v>
      </c>
    </row>
    <row r="13827" spans="2:9" ht="15" customHeight="1" x14ac:dyDescent="0.25">
      <c r="B13827" s="55" t="s">
        <v>281</v>
      </c>
      <c r="C13827" s="46">
        <v>3815</v>
      </c>
      <c r="D13827" s="69" t="s">
        <v>29418</v>
      </c>
      <c r="E13827" s="51"/>
      <c r="F13827" s="114" t="str">
        <f>IF(INDEX(I.Facility.P2bIDNumber,3815)="","",INDEX(I.Facility.P2bIDNumber,3815))</f>
        <v/>
      </c>
      <c r="G13827" s="51"/>
      <c r="H13827" s="46" t="str">
        <f>IF(AND(I.Developer.P2b=TRUE,I.Facility.P2bFacilityCount&gt;=3815,F13827=""),"Incomplete","Complete")</f>
        <v>Complete</v>
      </c>
      <c r="I13827" s="48" t="s">
        <v>18192</v>
      </c>
    </row>
    <row r="13828" spans="2:9" ht="15" customHeight="1" x14ac:dyDescent="0.25">
      <c r="B13828" s="55" t="s">
        <v>281</v>
      </c>
      <c r="C13828" s="46">
        <v>3816</v>
      </c>
      <c r="D13828" s="69" t="s">
        <v>29418</v>
      </c>
      <c r="E13828" s="51"/>
      <c r="F13828" s="114" t="str">
        <f>IF(INDEX(I.Facility.P2bIDNumber,3816)="","",INDEX(I.Facility.P2bIDNumber,3816))</f>
        <v/>
      </c>
      <c r="G13828" s="51"/>
      <c r="H13828" s="46" t="str">
        <f>IF(AND(I.Developer.P2b=TRUE,I.Facility.P2bFacilityCount&gt;=3816,F13828=""),"Incomplete","Complete")</f>
        <v>Complete</v>
      </c>
      <c r="I13828" s="48" t="s">
        <v>18193</v>
      </c>
    </row>
    <row r="13829" spans="2:9" ht="15" customHeight="1" x14ac:dyDescent="0.25">
      <c r="B13829" s="55" t="s">
        <v>281</v>
      </c>
      <c r="C13829" s="46">
        <v>3817</v>
      </c>
      <c r="D13829" s="69" t="s">
        <v>29418</v>
      </c>
      <c r="E13829" s="51"/>
      <c r="F13829" s="114" t="str">
        <f>IF(INDEX(I.Facility.P2bIDNumber,3817)="","",INDEX(I.Facility.P2bIDNumber,3817))</f>
        <v/>
      </c>
      <c r="G13829" s="51"/>
      <c r="H13829" s="46" t="str">
        <f>IF(AND(I.Developer.P2b=TRUE,I.Facility.P2bFacilityCount&gt;=3817,F13829=""),"Incomplete","Complete")</f>
        <v>Complete</v>
      </c>
      <c r="I13829" s="48" t="s">
        <v>18194</v>
      </c>
    </row>
    <row r="13830" spans="2:9" ht="15" customHeight="1" x14ac:dyDescent="0.25">
      <c r="B13830" s="55" t="s">
        <v>281</v>
      </c>
      <c r="C13830" s="46">
        <v>3818</v>
      </c>
      <c r="D13830" s="69" t="s">
        <v>29418</v>
      </c>
      <c r="E13830" s="51"/>
      <c r="F13830" s="114" t="str">
        <f>IF(INDEX(I.Facility.P2bIDNumber,3818)="","",INDEX(I.Facility.P2bIDNumber,3818))</f>
        <v/>
      </c>
      <c r="G13830" s="51"/>
      <c r="H13830" s="46" t="str">
        <f>IF(AND(I.Developer.P2b=TRUE,I.Facility.P2bFacilityCount&gt;=3818,F13830=""),"Incomplete","Complete")</f>
        <v>Complete</v>
      </c>
      <c r="I13830" s="48" t="s">
        <v>18195</v>
      </c>
    </row>
    <row r="13831" spans="2:9" ht="15" customHeight="1" x14ac:dyDescent="0.25">
      <c r="B13831" s="55" t="s">
        <v>281</v>
      </c>
      <c r="C13831" s="46">
        <v>3819</v>
      </c>
      <c r="D13831" s="69" t="s">
        <v>29418</v>
      </c>
      <c r="E13831" s="51"/>
      <c r="F13831" s="114" t="str">
        <f>IF(INDEX(I.Facility.P2bIDNumber,3819)="","",INDEX(I.Facility.P2bIDNumber,3819))</f>
        <v/>
      </c>
      <c r="G13831" s="51"/>
      <c r="H13831" s="46" t="str">
        <f>IF(AND(I.Developer.P2b=TRUE,I.Facility.P2bFacilityCount&gt;=3819,F13831=""),"Incomplete","Complete")</f>
        <v>Complete</v>
      </c>
      <c r="I13831" s="48" t="s">
        <v>18196</v>
      </c>
    </row>
    <row r="13832" spans="2:9" ht="15" customHeight="1" x14ac:dyDescent="0.25">
      <c r="B13832" s="55" t="s">
        <v>281</v>
      </c>
      <c r="C13832" s="46">
        <v>3820</v>
      </c>
      <c r="D13832" s="69" t="s">
        <v>29418</v>
      </c>
      <c r="E13832" s="51"/>
      <c r="F13832" s="114" t="str">
        <f>IF(INDEX(I.Facility.P2bIDNumber,3820)="","",INDEX(I.Facility.P2bIDNumber,3820))</f>
        <v/>
      </c>
      <c r="G13832" s="51"/>
      <c r="H13832" s="46" t="str">
        <f>IF(AND(I.Developer.P2b=TRUE,I.Facility.P2bFacilityCount&gt;=3820,F13832=""),"Incomplete","Complete")</f>
        <v>Complete</v>
      </c>
      <c r="I13832" s="48" t="s">
        <v>18197</v>
      </c>
    </row>
    <row r="13833" spans="2:9" ht="15" customHeight="1" x14ac:dyDescent="0.25">
      <c r="B13833" s="55" t="s">
        <v>281</v>
      </c>
      <c r="C13833" s="46">
        <v>3821</v>
      </c>
      <c r="D13833" s="69" t="s">
        <v>29418</v>
      </c>
      <c r="E13833" s="51"/>
      <c r="F13833" s="114" t="str">
        <f>IF(INDEX(I.Facility.P2bIDNumber,3821)="","",INDEX(I.Facility.P2bIDNumber,3821))</f>
        <v/>
      </c>
      <c r="G13833" s="51"/>
      <c r="H13833" s="46" t="str">
        <f>IF(AND(I.Developer.P2b=TRUE,I.Facility.P2bFacilityCount&gt;=3821,F13833=""),"Incomplete","Complete")</f>
        <v>Complete</v>
      </c>
      <c r="I13833" s="48" t="s">
        <v>18198</v>
      </c>
    </row>
    <row r="13834" spans="2:9" ht="15" customHeight="1" x14ac:dyDescent="0.25">
      <c r="B13834" s="55" t="s">
        <v>281</v>
      </c>
      <c r="C13834" s="46">
        <v>3822</v>
      </c>
      <c r="D13834" s="69" t="s">
        <v>29418</v>
      </c>
      <c r="E13834" s="51"/>
      <c r="F13834" s="114" t="str">
        <f>IF(INDEX(I.Facility.P2bIDNumber,3822)="","",INDEX(I.Facility.P2bIDNumber,3822))</f>
        <v/>
      </c>
      <c r="G13834" s="51"/>
      <c r="H13834" s="46" t="str">
        <f>IF(AND(I.Developer.P2b=TRUE,I.Facility.P2bFacilityCount&gt;=3822,F13834=""),"Incomplete","Complete")</f>
        <v>Complete</v>
      </c>
      <c r="I13834" s="48" t="s">
        <v>18199</v>
      </c>
    </row>
    <row r="13835" spans="2:9" ht="15" customHeight="1" x14ac:dyDescent="0.25">
      <c r="B13835" s="55" t="s">
        <v>281</v>
      </c>
      <c r="C13835" s="46">
        <v>3823</v>
      </c>
      <c r="D13835" s="69" t="s">
        <v>29418</v>
      </c>
      <c r="E13835" s="51"/>
      <c r="F13835" s="114" t="str">
        <f>IF(INDEX(I.Facility.P2bIDNumber,3823)="","",INDEX(I.Facility.P2bIDNumber,3823))</f>
        <v/>
      </c>
      <c r="G13835" s="51"/>
      <c r="H13835" s="46" t="str">
        <f>IF(AND(I.Developer.P2b=TRUE,I.Facility.P2bFacilityCount&gt;=3823,F13835=""),"Incomplete","Complete")</f>
        <v>Complete</v>
      </c>
      <c r="I13835" s="48" t="s">
        <v>18200</v>
      </c>
    </row>
    <row r="13836" spans="2:9" ht="15" customHeight="1" x14ac:dyDescent="0.25">
      <c r="B13836" s="55" t="s">
        <v>281</v>
      </c>
      <c r="C13836" s="46">
        <v>3824</v>
      </c>
      <c r="D13836" s="69" t="s">
        <v>29418</v>
      </c>
      <c r="E13836" s="51"/>
      <c r="F13836" s="114" t="str">
        <f>IF(INDEX(I.Facility.P2bIDNumber,3824)="","",INDEX(I.Facility.P2bIDNumber,3824))</f>
        <v/>
      </c>
      <c r="G13836" s="51"/>
      <c r="H13836" s="46" t="str">
        <f>IF(AND(I.Developer.P2b=TRUE,I.Facility.P2bFacilityCount&gt;=3824,F13836=""),"Incomplete","Complete")</f>
        <v>Complete</v>
      </c>
      <c r="I13836" s="48" t="s">
        <v>18201</v>
      </c>
    </row>
    <row r="13837" spans="2:9" ht="15" customHeight="1" x14ac:dyDescent="0.25">
      <c r="B13837" s="55" t="s">
        <v>281</v>
      </c>
      <c r="C13837" s="46">
        <v>3825</v>
      </c>
      <c r="D13837" s="69" t="s">
        <v>29418</v>
      </c>
      <c r="E13837" s="51"/>
      <c r="F13837" s="114" t="str">
        <f>IF(INDEX(I.Facility.P2bIDNumber,3825)="","",INDEX(I.Facility.P2bIDNumber,3825))</f>
        <v/>
      </c>
      <c r="G13837" s="51"/>
      <c r="H13837" s="46" t="str">
        <f>IF(AND(I.Developer.P2b=TRUE,I.Facility.P2bFacilityCount&gt;=3825,F13837=""),"Incomplete","Complete")</f>
        <v>Complete</v>
      </c>
      <c r="I13837" s="48" t="s">
        <v>18202</v>
      </c>
    </row>
    <row r="13838" spans="2:9" ht="15" customHeight="1" x14ac:dyDescent="0.25">
      <c r="B13838" s="55" t="s">
        <v>281</v>
      </c>
      <c r="C13838" s="46">
        <v>3826</v>
      </c>
      <c r="D13838" s="69" t="s">
        <v>29418</v>
      </c>
      <c r="E13838" s="51"/>
      <c r="F13838" s="114" t="str">
        <f>IF(INDEX(I.Facility.P2bIDNumber,3826)="","",INDEX(I.Facility.P2bIDNumber,3826))</f>
        <v/>
      </c>
      <c r="G13838" s="51"/>
      <c r="H13838" s="46" t="str">
        <f>IF(AND(I.Developer.P2b=TRUE,I.Facility.P2bFacilityCount&gt;=3826,F13838=""),"Incomplete","Complete")</f>
        <v>Complete</v>
      </c>
      <c r="I13838" s="48" t="s">
        <v>18203</v>
      </c>
    </row>
    <row r="13839" spans="2:9" ht="15" customHeight="1" x14ac:dyDescent="0.25">
      <c r="B13839" s="55" t="s">
        <v>281</v>
      </c>
      <c r="C13839" s="46">
        <v>3827</v>
      </c>
      <c r="D13839" s="69" t="s">
        <v>29418</v>
      </c>
      <c r="E13839" s="51"/>
      <c r="F13839" s="114" t="str">
        <f>IF(INDEX(I.Facility.P2bIDNumber,3827)="","",INDEX(I.Facility.P2bIDNumber,3827))</f>
        <v/>
      </c>
      <c r="G13839" s="51"/>
      <c r="H13839" s="46" t="str">
        <f>IF(AND(I.Developer.P2b=TRUE,I.Facility.P2bFacilityCount&gt;=3827,F13839=""),"Incomplete","Complete")</f>
        <v>Complete</v>
      </c>
      <c r="I13839" s="48" t="s">
        <v>18204</v>
      </c>
    </row>
    <row r="13840" spans="2:9" ht="15" customHeight="1" x14ac:dyDescent="0.25">
      <c r="B13840" s="55" t="s">
        <v>281</v>
      </c>
      <c r="C13840" s="46">
        <v>3828</v>
      </c>
      <c r="D13840" s="69" t="s">
        <v>29418</v>
      </c>
      <c r="E13840" s="51"/>
      <c r="F13840" s="114" t="str">
        <f>IF(INDEX(I.Facility.P2bIDNumber,3828)="","",INDEX(I.Facility.P2bIDNumber,3828))</f>
        <v/>
      </c>
      <c r="G13840" s="51"/>
      <c r="H13840" s="46" t="str">
        <f>IF(AND(I.Developer.P2b=TRUE,I.Facility.P2bFacilityCount&gt;=3828,F13840=""),"Incomplete","Complete")</f>
        <v>Complete</v>
      </c>
      <c r="I13840" s="48" t="s">
        <v>18205</v>
      </c>
    </row>
    <row r="13841" spans="2:9" ht="15" customHeight="1" x14ac:dyDescent="0.25">
      <c r="B13841" s="55" t="s">
        <v>281</v>
      </c>
      <c r="C13841" s="46">
        <v>3829</v>
      </c>
      <c r="D13841" s="69" t="s">
        <v>29418</v>
      </c>
      <c r="E13841" s="51"/>
      <c r="F13841" s="114" t="str">
        <f>IF(INDEX(I.Facility.P2bIDNumber,3829)="","",INDEX(I.Facility.P2bIDNumber,3829))</f>
        <v/>
      </c>
      <c r="G13841" s="51"/>
      <c r="H13841" s="46" t="str">
        <f>IF(AND(I.Developer.P2b=TRUE,I.Facility.P2bFacilityCount&gt;=3829,F13841=""),"Incomplete","Complete")</f>
        <v>Complete</v>
      </c>
      <c r="I13841" s="48" t="s">
        <v>18206</v>
      </c>
    </row>
    <row r="13842" spans="2:9" ht="15" customHeight="1" x14ac:dyDescent="0.25">
      <c r="B13842" s="55" t="s">
        <v>281</v>
      </c>
      <c r="C13842" s="46">
        <v>3830</v>
      </c>
      <c r="D13842" s="69" t="s">
        <v>29418</v>
      </c>
      <c r="E13842" s="51"/>
      <c r="F13842" s="114" t="str">
        <f>IF(INDEX(I.Facility.P2bIDNumber,3830)="","",INDEX(I.Facility.P2bIDNumber,3830))</f>
        <v/>
      </c>
      <c r="G13842" s="51"/>
      <c r="H13842" s="46" t="str">
        <f>IF(AND(I.Developer.P2b=TRUE,I.Facility.P2bFacilityCount&gt;=3830,F13842=""),"Incomplete","Complete")</f>
        <v>Complete</v>
      </c>
      <c r="I13842" s="48" t="s">
        <v>18207</v>
      </c>
    </row>
    <row r="13843" spans="2:9" ht="15" customHeight="1" x14ac:dyDescent="0.25">
      <c r="B13843" s="55" t="s">
        <v>281</v>
      </c>
      <c r="C13843" s="46">
        <v>3831</v>
      </c>
      <c r="D13843" s="69" t="s">
        <v>29418</v>
      </c>
      <c r="E13843" s="51"/>
      <c r="F13843" s="114" t="str">
        <f>IF(INDEX(I.Facility.P2bIDNumber,3831)="","",INDEX(I.Facility.P2bIDNumber,3831))</f>
        <v/>
      </c>
      <c r="G13843" s="51"/>
      <c r="H13843" s="46" t="str">
        <f>IF(AND(I.Developer.P2b=TRUE,I.Facility.P2bFacilityCount&gt;=3831,F13843=""),"Incomplete","Complete")</f>
        <v>Complete</v>
      </c>
      <c r="I13843" s="48" t="s">
        <v>18208</v>
      </c>
    </row>
    <row r="13844" spans="2:9" ht="15" customHeight="1" x14ac:dyDescent="0.25">
      <c r="B13844" s="55" t="s">
        <v>281</v>
      </c>
      <c r="C13844" s="46">
        <v>3832</v>
      </c>
      <c r="D13844" s="69" t="s">
        <v>29418</v>
      </c>
      <c r="E13844" s="51"/>
      <c r="F13844" s="114" t="str">
        <f>IF(INDEX(I.Facility.P2bIDNumber,3832)="","",INDEX(I.Facility.P2bIDNumber,3832))</f>
        <v/>
      </c>
      <c r="G13844" s="51"/>
      <c r="H13844" s="46" t="str">
        <f>IF(AND(I.Developer.P2b=TRUE,I.Facility.P2bFacilityCount&gt;=3832,F13844=""),"Incomplete","Complete")</f>
        <v>Complete</v>
      </c>
      <c r="I13844" s="48" t="s">
        <v>18209</v>
      </c>
    </row>
    <row r="13845" spans="2:9" ht="15" customHeight="1" x14ac:dyDescent="0.25">
      <c r="B13845" s="55" t="s">
        <v>281</v>
      </c>
      <c r="C13845" s="46">
        <v>3833</v>
      </c>
      <c r="D13845" s="69" t="s">
        <v>29418</v>
      </c>
      <c r="E13845" s="51"/>
      <c r="F13845" s="114" t="str">
        <f>IF(INDEX(I.Facility.P2bIDNumber,3833)="","",INDEX(I.Facility.P2bIDNumber,3833))</f>
        <v/>
      </c>
      <c r="G13845" s="51"/>
      <c r="H13845" s="46" t="str">
        <f>IF(AND(I.Developer.P2b=TRUE,I.Facility.P2bFacilityCount&gt;=3833,F13845=""),"Incomplete","Complete")</f>
        <v>Complete</v>
      </c>
      <c r="I13845" s="48" t="s">
        <v>18210</v>
      </c>
    </row>
    <row r="13846" spans="2:9" ht="15" customHeight="1" x14ac:dyDescent="0.25">
      <c r="B13846" s="55" t="s">
        <v>281</v>
      </c>
      <c r="C13846" s="46">
        <v>3834</v>
      </c>
      <c r="D13846" s="69" t="s">
        <v>29418</v>
      </c>
      <c r="E13846" s="51"/>
      <c r="F13846" s="114" t="str">
        <f>IF(INDEX(I.Facility.P2bIDNumber,3834)="","",INDEX(I.Facility.P2bIDNumber,3834))</f>
        <v/>
      </c>
      <c r="G13846" s="51"/>
      <c r="H13846" s="46" t="str">
        <f>IF(AND(I.Developer.P2b=TRUE,I.Facility.P2bFacilityCount&gt;=3834,F13846=""),"Incomplete","Complete")</f>
        <v>Complete</v>
      </c>
      <c r="I13846" s="48" t="s">
        <v>18211</v>
      </c>
    </row>
    <row r="13847" spans="2:9" ht="15" customHeight="1" x14ac:dyDescent="0.25">
      <c r="B13847" s="55" t="s">
        <v>281</v>
      </c>
      <c r="C13847" s="46">
        <v>3835</v>
      </c>
      <c r="D13847" s="69" t="s">
        <v>29418</v>
      </c>
      <c r="E13847" s="51"/>
      <c r="F13847" s="114" t="str">
        <f>IF(INDEX(I.Facility.P2bIDNumber,3835)="","",INDEX(I.Facility.P2bIDNumber,3835))</f>
        <v/>
      </c>
      <c r="G13847" s="51"/>
      <c r="H13847" s="46" t="str">
        <f>IF(AND(I.Developer.P2b=TRUE,I.Facility.P2bFacilityCount&gt;=3835,F13847=""),"Incomplete","Complete")</f>
        <v>Complete</v>
      </c>
      <c r="I13847" s="48" t="s">
        <v>18212</v>
      </c>
    </row>
    <row r="13848" spans="2:9" ht="15" customHeight="1" x14ac:dyDescent="0.25">
      <c r="B13848" s="55" t="s">
        <v>281</v>
      </c>
      <c r="C13848" s="46">
        <v>3836</v>
      </c>
      <c r="D13848" s="69" t="s">
        <v>29418</v>
      </c>
      <c r="E13848" s="51"/>
      <c r="F13848" s="114" t="str">
        <f>IF(INDEX(I.Facility.P2bIDNumber,3836)="","",INDEX(I.Facility.P2bIDNumber,3836))</f>
        <v/>
      </c>
      <c r="G13848" s="51"/>
      <c r="H13848" s="46" t="str">
        <f>IF(AND(I.Developer.P2b=TRUE,I.Facility.P2bFacilityCount&gt;=3836,F13848=""),"Incomplete","Complete")</f>
        <v>Complete</v>
      </c>
      <c r="I13848" s="48" t="s">
        <v>18213</v>
      </c>
    </row>
    <row r="13849" spans="2:9" ht="15" customHeight="1" x14ac:dyDescent="0.25">
      <c r="B13849" s="55" t="s">
        <v>281</v>
      </c>
      <c r="C13849" s="46">
        <v>3837</v>
      </c>
      <c r="D13849" s="69" t="s">
        <v>29418</v>
      </c>
      <c r="E13849" s="51"/>
      <c r="F13849" s="114" t="str">
        <f>IF(INDEX(I.Facility.P2bIDNumber,3837)="","",INDEX(I.Facility.P2bIDNumber,3837))</f>
        <v/>
      </c>
      <c r="G13849" s="51"/>
      <c r="H13849" s="46" t="str">
        <f>IF(AND(I.Developer.P2b=TRUE,I.Facility.P2bFacilityCount&gt;=3837,F13849=""),"Incomplete","Complete")</f>
        <v>Complete</v>
      </c>
      <c r="I13849" s="48" t="s">
        <v>18214</v>
      </c>
    </row>
    <row r="13850" spans="2:9" ht="15" customHeight="1" x14ac:dyDescent="0.25">
      <c r="B13850" s="55" t="s">
        <v>281</v>
      </c>
      <c r="C13850" s="46">
        <v>3838</v>
      </c>
      <c r="D13850" s="69" t="s">
        <v>29418</v>
      </c>
      <c r="E13850" s="51"/>
      <c r="F13850" s="114" t="str">
        <f>IF(INDEX(I.Facility.P2bIDNumber,3838)="","",INDEX(I.Facility.P2bIDNumber,3838))</f>
        <v/>
      </c>
      <c r="G13850" s="51"/>
      <c r="H13850" s="46" t="str">
        <f>IF(AND(I.Developer.P2b=TRUE,I.Facility.P2bFacilityCount&gt;=3838,F13850=""),"Incomplete","Complete")</f>
        <v>Complete</v>
      </c>
      <c r="I13850" s="48" t="s">
        <v>18215</v>
      </c>
    </row>
    <row r="13851" spans="2:9" ht="15" customHeight="1" x14ac:dyDescent="0.25">
      <c r="B13851" s="55" t="s">
        <v>281</v>
      </c>
      <c r="C13851" s="46">
        <v>3839</v>
      </c>
      <c r="D13851" s="69" t="s">
        <v>29418</v>
      </c>
      <c r="E13851" s="51"/>
      <c r="F13851" s="114" t="str">
        <f>IF(INDEX(I.Facility.P2bIDNumber,3839)="","",INDEX(I.Facility.P2bIDNumber,3839))</f>
        <v/>
      </c>
      <c r="G13851" s="51"/>
      <c r="H13851" s="46" t="str">
        <f>IF(AND(I.Developer.P2b=TRUE,I.Facility.P2bFacilityCount&gt;=3839,F13851=""),"Incomplete","Complete")</f>
        <v>Complete</v>
      </c>
      <c r="I13851" s="48" t="s">
        <v>18216</v>
      </c>
    </row>
    <row r="13852" spans="2:9" ht="15" customHeight="1" x14ac:dyDescent="0.25">
      <c r="B13852" s="55" t="s">
        <v>281</v>
      </c>
      <c r="C13852" s="46">
        <v>3840</v>
      </c>
      <c r="D13852" s="69" t="s">
        <v>29418</v>
      </c>
      <c r="E13852" s="51"/>
      <c r="F13852" s="114" t="str">
        <f>IF(INDEX(I.Facility.P2bIDNumber,3840)="","",INDEX(I.Facility.P2bIDNumber,3840))</f>
        <v/>
      </c>
      <c r="G13852" s="51"/>
      <c r="H13852" s="46" t="str">
        <f>IF(AND(I.Developer.P2b=TRUE,I.Facility.P2bFacilityCount&gt;=3840,F13852=""),"Incomplete","Complete")</f>
        <v>Complete</v>
      </c>
      <c r="I13852" s="48" t="s">
        <v>18217</v>
      </c>
    </row>
    <row r="13853" spans="2:9" ht="15" customHeight="1" x14ac:dyDescent="0.25">
      <c r="B13853" s="55" t="s">
        <v>281</v>
      </c>
      <c r="C13853" s="46">
        <v>3841</v>
      </c>
      <c r="D13853" s="69" t="s">
        <v>29418</v>
      </c>
      <c r="E13853" s="51"/>
      <c r="F13853" s="114" t="str">
        <f>IF(INDEX(I.Facility.P2bIDNumber,3841)="","",INDEX(I.Facility.P2bIDNumber,3841))</f>
        <v/>
      </c>
      <c r="G13853" s="51"/>
      <c r="H13853" s="46" t="str">
        <f>IF(AND(I.Developer.P2b=TRUE,I.Facility.P2bFacilityCount&gt;=3841,F13853=""),"Incomplete","Complete")</f>
        <v>Complete</v>
      </c>
      <c r="I13853" s="48" t="s">
        <v>18218</v>
      </c>
    </row>
    <row r="13854" spans="2:9" ht="15" customHeight="1" x14ac:dyDescent="0.25">
      <c r="B13854" s="55" t="s">
        <v>281</v>
      </c>
      <c r="C13854" s="46">
        <v>3842</v>
      </c>
      <c r="D13854" s="69" t="s">
        <v>29418</v>
      </c>
      <c r="E13854" s="51"/>
      <c r="F13854" s="114" t="str">
        <f>IF(INDEX(I.Facility.P2bIDNumber,3842)="","",INDEX(I.Facility.P2bIDNumber,3842))</f>
        <v/>
      </c>
      <c r="G13854" s="51"/>
      <c r="H13854" s="46" t="str">
        <f>IF(AND(I.Developer.P2b=TRUE,I.Facility.P2bFacilityCount&gt;=3842,F13854=""),"Incomplete","Complete")</f>
        <v>Complete</v>
      </c>
      <c r="I13854" s="48" t="s">
        <v>18219</v>
      </c>
    </row>
    <row r="13855" spans="2:9" ht="15" customHeight="1" x14ac:dyDescent="0.25">
      <c r="B13855" s="55" t="s">
        <v>281</v>
      </c>
      <c r="C13855" s="46">
        <v>3843</v>
      </c>
      <c r="D13855" s="69" t="s">
        <v>29418</v>
      </c>
      <c r="E13855" s="51"/>
      <c r="F13855" s="114" t="str">
        <f>IF(INDEX(I.Facility.P2bIDNumber,3843)="","",INDEX(I.Facility.P2bIDNumber,3843))</f>
        <v/>
      </c>
      <c r="G13855" s="51"/>
      <c r="H13855" s="46" t="str">
        <f>IF(AND(I.Developer.P2b=TRUE,I.Facility.P2bFacilityCount&gt;=3843,F13855=""),"Incomplete","Complete")</f>
        <v>Complete</v>
      </c>
      <c r="I13855" s="48" t="s">
        <v>18220</v>
      </c>
    </row>
    <row r="13856" spans="2:9" ht="15" customHeight="1" x14ac:dyDescent="0.25">
      <c r="B13856" s="55" t="s">
        <v>281</v>
      </c>
      <c r="C13856" s="46">
        <v>3844</v>
      </c>
      <c r="D13856" s="69" t="s">
        <v>29418</v>
      </c>
      <c r="E13856" s="51"/>
      <c r="F13856" s="114" t="str">
        <f>IF(INDEX(I.Facility.P2bIDNumber,3844)="","",INDEX(I.Facility.P2bIDNumber,3844))</f>
        <v/>
      </c>
      <c r="G13856" s="51"/>
      <c r="H13856" s="46" t="str">
        <f>IF(AND(I.Developer.P2b=TRUE,I.Facility.P2bFacilityCount&gt;=3844,F13856=""),"Incomplete","Complete")</f>
        <v>Complete</v>
      </c>
      <c r="I13856" s="48" t="s">
        <v>18221</v>
      </c>
    </row>
    <row r="13857" spans="2:9" ht="15" customHeight="1" x14ac:dyDescent="0.25">
      <c r="B13857" s="55" t="s">
        <v>281</v>
      </c>
      <c r="C13857" s="46">
        <v>3845</v>
      </c>
      <c r="D13857" s="69" t="s">
        <v>29418</v>
      </c>
      <c r="E13857" s="51"/>
      <c r="F13857" s="114" t="str">
        <f>IF(INDEX(I.Facility.P2bIDNumber,3845)="","",INDEX(I.Facility.P2bIDNumber,3845))</f>
        <v/>
      </c>
      <c r="G13857" s="51"/>
      <c r="H13857" s="46" t="str">
        <f>IF(AND(I.Developer.P2b=TRUE,I.Facility.P2bFacilityCount&gt;=3845,F13857=""),"Incomplete","Complete")</f>
        <v>Complete</v>
      </c>
      <c r="I13857" s="48" t="s">
        <v>18222</v>
      </c>
    </row>
    <row r="13858" spans="2:9" ht="15" customHeight="1" x14ac:dyDescent="0.25">
      <c r="B13858" s="55" t="s">
        <v>281</v>
      </c>
      <c r="C13858" s="46">
        <v>3846</v>
      </c>
      <c r="D13858" s="69" t="s">
        <v>29418</v>
      </c>
      <c r="E13858" s="51"/>
      <c r="F13858" s="114" t="str">
        <f>IF(INDEX(I.Facility.P2bIDNumber,3846)="","",INDEX(I.Facility.P2bIDNumber,3846))</f>
        <v/>
      </c>
      <c r="G13858" s="51"/>
      <c r="H13858" s="46" t="str">
        <f>IF(AND(I.Developer.P2b=TRUE,I.Facility.P2bFacilityCount&gt;=3846,F13858=""),"Incomplete","Complete")</f>
        <v>Complete</v>
      </c>
      <c r="I13858" s="48" t="s">
        <v>18223</v>
      </c>
    </row>
    <row r="13859" spans="2:9" ht="15" customHeight="1" x14ac:dyDescent="0.25">
      <c r="B13859" s="55" t="s">
        <v>281</v>
      </c>
      <c r="C13859" s="46">
        <v>3847</v>
      </c>
      <c r="D13859" s="69" t="s">
        <v>29418</v>
      </c>
      <c r="E13859" s="51"/>
      <c r="F13859" s="114" t="str">
        <f>IF(INDEX(I.Facility.P2bIDNumber,3847)="","",INDEX(I.Facility.P2bIDNumber,3847))</f>
        <v/>
      </c>
      <c r="G13859" s="51"/>
      <c r="H13859" s="46" t="str">
        <f>IF(AND(I.Developer.P2b=TRUE,I.Facility.P2bFacilityCount&gt;=3847,F13859=""),"Incomplete","Complete")</f>
        <v>Complete</v>
      </c>
      <c r="I13859" s="48" t="s">
        <v>18224</v>
      </c>
    </row>
    <row r="13860" spans="2:9" ht="15" customHeight="1" x14ac:dyDescent="0.25">
      <c r="B13860" s="55" t="s">
        <v>281</v>
      </c>
      <c r="C13860" s="46">
        <v>3848</v>
      </c>
      <c r="D13860" s="69" t="s">
        <v>29418</v>
      </c>
      <c r="E13860" s="51"/>
      <c r="F13860" s="114" t="str">
        <f>IF(INDEX(I.Facility.P2bIDNumber,3848)="","",INDEX(I.Facility.P2bIDNumber,3848))</f>
        <v/>
      </c>
      <c r="G13860" s="51"/>
      <c r="H13860" s="46" t="str">
        <f>IF(AND(I.Developer.P2b=TRUE,I.Facility.P2bFacilityCount&gt;=3848,F13860=""),"Incomplete","Complete")</f>
        <v>Complete</v>
      </c>
      <c r="I13860" s="48" t="s">
        <v>18225</v>
      </c>
    </row>
    <row r="13861" spans="2:9" ht="15" customHeight="1" x14ac:dyDescent="0.25">
      <c r="B13861" s="55" t="s">
        <v>281</v>
      </c>
      <c r="C13861" s="46">
        <v>3849</v>
      </c>
      <c r="D13861" s="69" t="s">
        <v>29418</v>
      </c>
      <c r="E13861" s="51"/>
      <c r="F13861" s="114" t="str">
        <f>IF(INDEX(I.Facility.P2bIDNumber,3849)="","",INDEX(I.Facility.P2bIDNumber,3849))</f>
        <v/>
      </c>
      <c r="G13861" s="51"/>
      <c r="H13861" s="46" t="str">
        <f>IF(AND(I.Developer.P2b=TRUE,I.Facility.P2bFacilityCount&gt;=3849,F13861=""),"Incomplete","Complete")</f>
        <v>Complete</v>
      </c>
      <c r="I13861" s="48" t="s">
        <v>18226</v>
      </c>
    </row>
    <row r="13862" spans="2:9" ht="15" customHeight="1" x14ac:dyDescent="0.25">
      <c r="B13862" s="55" t="s">
        <v>281</v>
      </c>
      <c r="C13862" s="46">
        <v>3850</v>
      </c>
      <c r="D13862" s="69" t="s">
        <v>29418</v>
      </c>
      <c r="E13862" s="51"/>
      <c r="F13862" s="114" t="str">
        <f>IF(INDEX(I.Facility.P2bIDNumber,3850)="","",INDEX(I.Facility.P2bIDNumber,3850))</f>
        <v/>
      </c>
      <c r="G13862" s="51"/>
      <c r="H13862" s="46" t="str">
        <f>IF(AND(I.Developer.P2b=TRUE,I.Facility.P2bFacilityCount&gt;=3850,F13862=""),"Incomplete","Complete")</f>
        <v>Complete</v>
      </c>
      <c r="I13862" s="48" t="s">
        <v>18227</v>
      </c>
    </row>
    <row r="13863" spans="2:9" ht="15" customHeight="1" x14ac:dyDescent="0.25">
      <c r="B13863" s="55" t="s">
        <v>281</v>
      </c>
      <c r="C13863" s="46">
        <v>3851</v>
      </c>
      <c r="D13863" s="69" t="s">
        <v>29418</v>
      </c>
      <c r="E13863" s="51"/>
      <c r="F13863" s="114" t="str">
        <f>IF(INDEX(I.Facility.P2bIDNumber,3851)="","",INDEX(I.Facility.P2bIDNumber,3851))</f>
        <v/>
      </c>
      <c r="G13863" s="51"/>
      <c r="H13863" s="46" t="str">
        <f>IF(AND(I.Developer.P2b=TRUE,I.Facility.P2bFacilityCount&gt;=3851,F13863=""),"Incomplete","Complete")</f>
        <v>Complete</v>
      </c>
      <c r="I13863" s="48" t="s">
        <v>18228</v>
      </c>
    </row>
    <row r="13864" spans="2:9" ht="15" customHeight="1" x14ac:dyDescent="0.25">
      <c r="B13864" s="55" t="s">
        <v>281</v>
      </c>
      <c r="C13864" s="46">
        <v>3852</v>
      </c>
      <c r="D13864" s="69" t="s">
        <v>29418</v>
      </c>
      <c r="E13864" s="51"/>
      <c r="F13864" s="114" t="str">
        <f>IF(INDEX(I.Facility.P2bIDNumber,3852)="","",INDEX(I.Facility.P2bIDNumber,3852))</f>
        <v/>
      </c>
      <c r="G13864" s="51"/>
      <c r="H13864" s="46" t="str">
        <f>IF(AND(I.Developer.P2b=TRUE,I.Facility.P2bFacilityCount&gt;=3852,F13864=""),"Incomplete","Complete")</f>
        <v>Complete</v>
      </c>
      <c r="I13864" s="48" t="s">
        <v>18229</v>
      </c>
    </row>
    <row r="13865" spans="2:9" ht="15" customHeight="1" x14ac:dyDescent="0.25">
      <c r="B13865" s="55" t="s">
        <v>281</v>
      </c>
      <c r="C13865" s="46">
        <v>3853</v>
      </c>
      <c r="D13865" s="69" t="s">
        <v>29418</v>
      </c>
      <c r="E13865" s="51"/>
      <c r="F13865" s="114" t="str">
        <f>IF(INDEX(I.Facility.P2bIDNumber,3853)="","",INDEX(I.Facility.P2bIDNumber,3853))</f>
        <v/>
      </c>
      <c r="G13865" s="51"/>
      <c r="H13865" s="46" t="str">
        <f>IF(AND(I.Developer.P2b=TRUE,I.Facility.P2bFacilityCount&gt;=3853,F13865=""),"Incomplete","Complete")</f>
        <v>Complete</v>
      </c>
      <c r="I13865" s="48" t="s">
        <v>18230</v>
      </c>
    </row>
    <row r="13866" spans="2:9" ht="15" customHeight="1" x14ac:dyDescent="0.25">
      <c r="B13866" s="55" t="s">
        <v>281</v>
      </c>
      <c r="C13866" s="46">
        <v>3854</v>
      </c>
      <c r="D13866" s="69" t="s">
        <v>29418</v>
      </c>
      <c r="E13866" s="51"/>
      <c r="F13866" s="114" t="str">
        <f>IF(INDEX(I.Facility.P2bIDNumber,3854)="","",INDEX(I.Facility.P2bIDNumber,3854))</f>
        <v/>
      </c>
      <c r="G13866" s="51"/>
      <c r="H13866" s="46" t="str">
        <f>IF(AND(I.Developer.P2b=TRUE,I.Facility.P2bFacilityCount&gt;=3854,F13866=""),"Incomplete","Complete")</f>
        <v>Complete</v>
      </c>
      <c r="I13866" s="48" t="s">
        <v>18231</v>
      </c>
    </row>
    <row r="13867" spans="2:9" ht="15" customHeight="1" x14ac:dyDescent="0.25">
      <c r="B13867" s="55" t="s">
        <v>281</v>
      </c>
      <c r="C13867" s="46">
        <v>3855</v>
      </c>
      <c r="D13867" s="69" t="s">
        <v>29418</v>
      </c>
      <c r="E13867" s="51"/>
      <c r="F13867" s="114" t="str">
        <f>IF(INDEX(I.Facility.P2bIDNumber,3855)="","",INDEX(I.Facility.P2bIDNumber,3855))</f>
        <v/>
      </c>
      <c r="G13867" s="51"/>
      <c r="H13867" s="46" t="str">
        <f>IF(AND(I.Developer.P2b=TRUE,I.Facility.P2bFacilityCount&gt;=3855,F13867=""),"Incomplete","Complete")</f>
        <v>Complete</v>
      </c>
      <c r="I13867" s="48" t="s">
        <v>18232</v>
      </c>
    </row>
    <row r="13868" spans="2:9" ht="15" customHeight="1" x14ac:dyDescent="0.25">
      <c r="B13868" s="55" t="s">
        <v>281</v>
      </c>
      <c r="C13868" s="46">
        <v>3856</v>
      </c>
      <c r="D13868" s="69" t="s">
        <v>29418</v>
      </c>
      <c r="E13868" s="51"/>
      <c r="F13868" s="114" t="str">
        <f>IF(INDEX(I.Facility.P2bIDNumber,3856)="","",INDEX(I.Facility.P2bIDNumber,3856))</f>
        <v/>
      </c>
      <c r="G13868" s="51"/>
      <c r="H13868" s="46" t="str">
        <f>IF(AND(I.Developer.P2b=TRUE,I.Facility.P2bFacilityCount&gt;=3856,F13868=""),"Incomplete","Complete")</f>
        <v>Complete</v>
      </c>
      <c r="I13868" s="48" t="s">
        <v>18233</v>
      </c>
    </row>
    <row r="13869" spans="2:9" ht="15" customHeight="1" x14ac:dyDescent="0.25">
      <c r="B13869" s="55" t="s">
        <v>281</v>
      </c>
      <c r="C13869" s="46">
        <v>3857</v>
      </c>
      <c r="D13869" s="69" t="s">
        <v>29418</v>
      </c>
      <c r="E13869" s="51"/>
      <c r="F13869" s="114" t="str">
        <f>IF(INDEX(I.Facility.P2bIDNumber,3857)="","",INDEX(I.Facility.P2bIDNumber,3857))</f>
        <v/>
      </c>
      <c r="G13869" s="51"/>
      <c r="H13869" s="46" t="str">
        <f>IF(AND(I.Developer.P2b=TRUE,I.Facility.P2bFacilityCount&gt;=3857,F13869=""),"Incomplete","Complete")</f>
        <v>Complete</v>
      </c>
      <c r="I13869" s="48" t="s">
        <v>18234</v>
      </c>
    </row>
    <row r="13870" spans="2:9" ht="15" customHeight="1" x14ac:dyDescent="0.25">
      <c r="B13870" s="55" t="s">
        <v>281</v>
      </c>
      <c r="C13870" s="46">
        <v>3858</v>
      </c>
      <c r="D13870" s="69" t="s">
        <v>29418</v>
      </c>
      <c r="E13870" s="51"/>
      <c r="F13870" s="114" t="str">
        <f>IF(INDEX(I.Facility.P2bIDNumber,3858)="","",INDEX(I.Facility.P2bIDNumber,3858))</f>
        <v/>
      </c>
      <c r="G13870" s="51"/>
      <c r="H13870" s="46" t="str">
        <f>IF(AND(I.Developer.P2b=TRUE,I.Facility.P2bFacilityCount&gt;=3858,F13870=""),"Incomplete","Complete")</f>
        <v>Complete</v>
      </c>
      <c r="I13870" s="48" t="s">
        <v>18235</v>
      </c>
    </row>
    <row r="13871" spans="2:9" ht="15" customHeight="1" x14ac:dyDescent="0.25">
      <c r="B13871" s="55" t="s">
        <v>281</v>
      </c>
      <c r="C13871" s="46">
        <v>3859</v>
      </c>
      <c r="D13871" s="69" t="s">
        <v>29418</v>
      </c>
      <c r="E13871" s="51"/>
      <c r="F13871" s="114" t="str">
        <f>IF(INDEX(I.Facility.P2bIDNumber,3859)="","",INDEX(I.Facility.P2bIDNumber,3859))</f>
        <v/>
      </c>
      <c r="G13871" s="51"/>
      <c r="H13871" s="46" t="str">
        <f>IF(AND(I.Developer.P2b=TRUE,I.Facility.P2bFacilityCount&gt;=3859,F13871=""),"Incomplete","Complete")</f>
        <v>Complete</v>
      </c>
      <c r="I13871" s="48" t="s">
        <v>18236</v>
      </c>
    </row>
    <row r="13872" spans="2:9" ht="15" customHeight="1" x14ac:dyDescent="0.25">
      <c r="B13872" s="55" t="s">
        <v>281</v>
      </c>
      <c r="C13872" s="46">
        <v>3860</v>
      </c>
      <c r="D13872" s="69" t="s">
        <v>29418</v>
      </c>
      <c r="E13872" s="51"/>
      <c r="F13872" s="114" t="str">
        <f>IF(INDEX(I.Facility.P2bIDNumber,3860)="","",INDEX(I.Facility.P2bIDNumber,3860))</f>
        <v/>
      </c>
      <c r="G13872" s="51"/>
      <c r="H13872" s="46" t="str">
        <f>IF(AND(I.Developer.P2b=TRUE,I.Facility.P2bFacilityCount&gt;=3860,F13872=""),"Incomplete","Complete")</f>
        <v>Complete</v>
      </c>
      <c r="I13872" s="48" t="s">
        <v>18237</v>
      </c>
    </row>
    <row r="13873" spans="2:9" ht="15" customHeight="1" x14ac:dyDescent="0.25">
      <c r="B13873" s="55" t="s">
        <v>281</v>
      </c>
      <c r="C13873" s="46">
        <v>3861</v>
      </c>
      <c r="D13873" s="69" t="s">
        <v>29418</v>
      </c>
      <c r="E13873" s="51"/>
      <c r="F13873" s="114" t="str">
        <f>IF(INDEX(I.Facility.P2bIDNumber,3861)="","",INDEX(I.Facility.P2bIDNumber,3861))</f>
        <v/>
      </c>
      <c r="G13873" s="51"/>
      <c r="H13873" s="46" t="str">
        <f>IF(AND(I.Developer.P2b=TRUE,I.Facility.P2bFacilityCount&gt;=3861,F13873=""),"Incomplete","Complete")</f>
        <v>Complete</v>
      </c>
      <c r="I13873" s="48" t="s">
        <v>18238</v>
      </c>
    </row>
    <row r="13874" spans="2:9" ht="15" customHeight="1" x14ac:dyDescent="0.25">
      <c r="B13874" s="55" t="s">
        <v>281</v>
      </c>
      <c r="C13874" s="46">
        <v>3862</v>
      </c>
      <c r="D13874" s="69" t="s">
        <v>29418</v>
      </c>
      <c r="E13874" s="51"/>
      <c r="F13874" s="114" t="str">
        <f>IF(INDEX(I.Facility.P2bIDNumber,3862)="","",INDEX(I.Facility.P2bIDNumber,3862))</f>
        <v/>
      </c>
      <c r="G13874" s="51"/>
      <c r="H13874" s="46" t="str">
        <f>IF(AND(I.Developer.P2b=TRUE,I.Facility.P2bFacilityCount&gt;=3862,F13874=""),"Incomplete","Complete")</f>
        <v>Complete</v>
      </c>
      <c r="I13874" s="48" t="s">
        <v>18239</v>
      </c>
    </row>
    <row r="13875" spans="2:9" ht="15" customHeight="1" x14ac:dyDescent="0.25">
      <c r="B13875" s="55" t="s">
        <v>281</v>
      </c>
      <c r="C13875" s="46">
        <v>3863</v>
      </c>
      <c r="D13875" s="69" t="s">
        <v>29418</v>
      </c>
      <c r="E13875" s="51"/>
      <c r="F13875" s="114" t="str">
        <f>IF(INDEX(I.Facility.P2bIDNumber,3863)="","",INDEX(I.Facility.P2bIDNumber,3863))</f>
        <v/>
      </c>
      <c r="G13875" s="51"/>
      <c r="H13875" s="46" t="str">
        <f>IF(AND(I.Developer.P2b=TRUE,I.Facility.P2bFacilityCount&gt;=3863,F13875=""),"Incomplete","Complete")</f>
        <v>Complete</v>
      </c>
      <c r="I13875" s="48" t="s">
        <v>18240</v>
      </c>
    </row>
    <row r="13876" spans="2:9" ht="15" customHeight="1" x14ac:dyDescent="0.25">
      <c r="B13876" s="55" t="s">
        <v>281</v>
      </c>
      <c r="C13876" s="46">
        <v>3864</v>
      </c>
      <c r="D13876" s="69" t="s">
        <v>29418</v>
      </c>
      <c r="E13876" s="51"/>
      <c r="F13876" s="114" t="str">
        <f>IF(INDEX(I.Facility.P2bIDNumber,3864)="","",INDEX(I.Facility.P2bIDNumber,3864))</f>
        <v/>
      </c>
      <c r="G13876" s="51"/>
      <c r="H13876" s="46" t="str">
        <f>IF(AND(I.Developer.P2b=TRUE,I.Facility.P2bFacilityCount&gt;=3864,F13876=""),"Incomplete","Complete")</f>
        <v>Complete</v>
      </c>
      <c r="I13876" s="48" t="s">
        <v>18241</v>
      </c>
    </row>
    <row r="13877" spans="2:9" ht="15" customHeight="1" x14ac:dyDescent="0.25">
      <c r="B13877" s="55" t="s">
        <v>281</v>
      </c>
      <c r="C13877" s="46">
        <v>3865</v>
      </c>
      <c r="D13877" s="69" t="s">
        <v>29418</v>
      </c>
      <c r="E13877" s="51"/>
      <c r="F13877" s="114" t="str">
        <f>IF(INDEX(I.Facility.P2bIDNumber,3865)="","",INDEX(I.Facility.P2bIDNumber,3865))</f>
        <v/>
      </c>
      <c r="G13877" s="51"/>
      <c r="H13877" s="46" t="str">
        <f>IF(AND(I.Developer.P2b=TRUE,I.Facility.P2bFacilityCount&gt;=3865,F13877=""),"Incomplete","Complete")</f>
        <v>Complete</v>
      </c>
      <c r="I13877" s="48" t="s">
        <v>18242</v>
      </c>
    </row>
    <row r="13878" spans="2:9" ht="15" customHeight="1" x14ac:dyDescent="0.25">
      <c r="B13878" s="55" t="s">
        <v>281</v>
      </c>
      <c r="C13878" s="46">
        <v>3866</v>
      </c>
      <c r="D13878" s="69" t="s">
        <v>29418</v>
      </c>
      <c r="E13878" s="51"/>
      <c r="F13878" s="114" t="str">
        <f>IF(INDEX(I.Facility.P2bIDNumber,3866)="","",INDEX(I.Facility.P2bIDNumber,3866))</f>
        <v/>
      </c>
      <c r="G13878" s="51"/>
      <c r="H13878" s="46" t="str">
        <f>IF(AND(I.Developer.P2b=TRUE,I.Facility.P2bFacilityCount&gt;=3866,F13878=""),"Incomplete","Complete")</f>
        <v>Complete</v>
      </c>
      <c r="I13878" s="48" t="s">
        <v>18243</v>
      </c>
    </row>
    <row r="13879" spans="2:9" ht="15" customHeight="1" x14ac:dyDescent="0.25">
      <c r="B13879" s="55" t="s">
        <v>281</v>
      </c>
      <c r="C13879" s="46">
        <v>3867</v>
      </c>
      <c r="D13879" s="69" t="s">
        <v>29418</v>
      </c>
      <c r="E13879" s="51"/>
      <c r="F13879" s="114" t="str">
        <f>IF(INDEX(I.Facility.P2bIDNumber,3867)="","",INDEX(I.Facility.P2bIDNumber,3867))</f>
        <v/>
      </c>
      <c r="G13879" s="51"/>
      <c r="H13879" s="46" t="str">
        <f>IF(AND(I.Developer.P2b=TRUE,I.Facility.P2bFacilityCount&gt;=3867,F13879=""),"Incomplete","Complete")</f>
        <v>Complete</v>
      </c>
      <c r="I13879" s="48" t="s">
        <v>18244</v>
      </c>
    </row>
    <row r="13880" spans="2:9" ht="15" customHeight="1" x14ac:dyDescent="0.25">
      <c r="B13880" s="55" t="s">
        <v>281</v>
      </c>
      <c r="C13880" s="46">
        <v>3868</v>
      </c>
      <c r="D13880" s="69" t="s">
        <v>29418</v>
      </c>
      <c r="E13880" s="51"/>
      <c r="F13880" s="114" t="str">
        <f>IF(INDEX(I.Facility.P2bIDNumber,3868)="","",INDEX(I.Facility.P2bIDNumber,3868))</f>
        <v/>
      </c>
      <c r="G13880" s="51"/>
      <c r="H13880" s="46" t="str">
        <f>IF(AND(I.Developer.P2b=TRUE,I.Facility.P2bFacilityCount&gt;=3868,F13880=""),"Incomplete","Complete")</f>
        <v>Complete</v>
      </c>
      <c r="I13880" s="48" t="s">
        <v>18245</v>
      </c>
    </row>
    <row r="13881" spans="2:9" ht="15" customHeight="1" x14ac:dyDescent="0.25">
      <c r="B13881" s="55" t="s">
        <v>281</v>
      </c>
      <c r="C13881" s="46">
        <v>3869</v>
      </c>
      <c r="D13881" s="69" t="s">
        <v>29418</v>
      </c>
      <c r="E13881" s="51"/>
      <c r="F13881" s="114" t="str">
        <f>IF(INDEX(I.Facility.P2bIDNumber,3869)="","",INDEX(I.Facility.P2bIDNumber,3869))</f>
        <v/>
      </c>
      <c r="G13881" s="51"/>
      <c r="H13881" s="46" t="str">
        <f>IF(AND(I.Developer.P2b=TRUE,I.Facility.P2bFacilityCount&gt;=3869,F13881=""),"Incomplete","Complete")</f>
        <v>Complete</v>
      </c>
      <c r="I13881" s="48" t="s">
        <v>18246</v>
      </c>
    </row>
    <row r="13882" spans="2:9" ht="15" customHeight="1" x14ac:dyDescent="0.25">
      <c r="B13882" s="55" t="s">
        <v>281</v>
      </c>
      <c r="C13882" s="46">
        <v>3870</v>
      </c>
      <c r="D13882" s="69" t="s">
        <v>29418</v>
      </c>
      <c r="E13882" s="51"/>
      <c r="F13882" s="114" t="str">
        <f>IF(INDEX(I.Facility.P2bIDNumber,3870)="","",INDEX(I.Facility.P2bIDNumber,3870))</f>
        <v/>
      </c>
      <c r="G13882" s="51"/>
      <c r="H13882" s="46" t="str">
        <f>IF(AND(I.Developer.P2b=TRUE,I.Facility.P2bFacilityCount&gt;=3870,F13882=""),"Incomplete","Complete")</f>
        <v>Complete</v>
      </c>
      <c r="I13882" s="48" t="s">
        <v>18247</v>
      </c>
    </row>
    <row r="13883" spans="2:9" ht="15" customHeight="1" x14ac:dyDescent="0.25">
      <c r="B13883" s="55" t="s">
        <v>281</v>
      </c>
      <c r="C13883" s="46">
        <v>3871</v>
      </c>
      <c r="D13883" s="69" t="s">
        <v>29418</v>
      </c>
      <c r="E13883" s="51"/>
      <c r="F13883" s="114" t="str">
        <f>IF(INDEX(I.Facility.P2bIDNumber,3871)="","",INDEX(I.Facility.P2bIDNumber,3871))</f>
        <v/>
      </c>
      <c r="G13883" s="51"/>
      <c r="H13883" s="46" t="str">
        <f>IF(AND(I.Developer.P2b=TRUE,I.Facility.P2bFacilityCount&gt;=3871,F13883=""),"Incomplete","Complete")</f>
        <v>Complete</v>
      </c>
      <c r="I13883" s="48" t="s">
        <v>18248</v>
      </c>
    </row>
    <row r="13884" spans="2:9" ht="15" customHeight="1" x14ac:dyDescent="0.25">
      <c r="B13884" s="55" t="s">
        <v>281</v>
      </c>
      <c r="C13884" s="46">
        <v>3872</v>
      </c>
      <c r="D13884" s="69" t="s">
        <v>29418</v>
      </c>
      <c r="E13884" s="51"/>
      <c r="F13884" s="114" t="str">
        <f>IF(INDEX(I.Facility.P2bIDNumber,3872)="","",INDEX(I.Facility.P2bIDNumber,3872))</f>
        <v/>
      </c>
      <c r="G13884" s="51"/>
      <c r="H13884" s="46" t="str">
        <f>IF(AND(I.Developer.P2b=TRUE,I.Facility.P2bFacilityCount&gt;=3872,F13884=""),"Incomplete","Complete")</f>
        <v>Complete</v>
      </c>
      <c r="I13884" s="48" t="s">
        <v>18249</v>
      </c>
    </row>
    <row r="13885" spans="2:9" ht="15" customHeight="1" x14ac:dyDescent="0.25">
      <c r="B13885" s="55" t="s">
        <v>281</v>
      </c>
      <c r="C13885" s="46">
        <v>3873</v>
      </c>
      <c r="D13885" s="69" t="s">
        <v>29418</v>
      </c>
      <c r="E13885" s="51"/>
      <c r="F13885" s="114" t="str">
        <f>IF(INDEX(I.Facility.P2bIDNumber,3873)="","",INDEX(I.Facility.P2bIDNumber,3873))</f>
        <v/>
      </c>
      <c r="G13885" s="51"/>
      <c r="H13885" s="46" t="str">
        <f>IF(AND(I.Developer.P2b=TRUE,I.Facility.P2bFacilityCount&gt;=3873,F13885=""),"Incomplete","Complete")</f>
        <v>Complete</v>
      </c>
      <c r="I13885" s="48" t="s">
        <v>18250</v>
      </c>
    </row>
    <row r="13886" spans="2:9" ht="15" customHeight="1" x14ac:dyDescent="0.25">
      <c r="B13886" s="55" t="s">
        <v>281</v>
      </c>
      <c r="C13886" s="46">
        <v>3874</v>
      </c>
      <c r="D13886" s="69" t="s">
        <v>29418</v>
      </c>
      <c r="E13886" s="51"/>
      <c r="F13886" s="114" t="str">
        <f>IF(INDEX(I.Facility.P2bIDNumber,3874)="","",INDEX(I.Facility.P2bIDNumber,3874))</f>
        <v/>
      </c>
      <c r="G13886" s="51"/>
      <c r="H13886" s="46" t="str">
        <f>IF(AND(I.Developer.P2b=TRUE,I.Facility.P2bFacilityCount&gt;=3874,F13886=""),"Incomplete","Complete")</f>
        <v>Complete</v>
      </c>
      <c r="I13886" s="48" t="s">
        <v>18251</v>
      </c>
    </row>
    <row r="13887" spans="2:9" ht="15" customHeight="1" x14ac:dyDescent="0.25">
      <c r="B13887" s="55" t="s">
        <v>281</v>
      </c>
      <c r="C13887" s="46">
        <v>3875</v>
      </c>
      <c r="D13887" s="69" t="s">
        <v>29418</v>
      </c>
      <c r="E13887" s="51"/>
      <c r="F13887" s="114" t="str">
        <f>IF(INDEX(I.Facility.P2bIDNumber,3875)="","",INDEX(I.Facility.P2bIDNumber,3875))</f>
        <v/>
      </c>
      <c r="G13887" s="51"/>
      <c r="H13887" s="46" t="str">
        <f>IF(AND(I.Developer.P2b=TRUE,I.Facility.P2bFacilityCount&gt;=3875,F13887=""),"Incomplete","Complete")</f>
        <v>Complete</v>
      </c>
      <c r="I13887" s="48" t="s">
        <v>18252</v>
      </c>
    </row>
    <row r="13888" spans="2:9" ht="15" customHeight="1" x14ac:dyDescent="0.25">
      <c r="B13888" s="55" t="s">
        <v>281</v>
      </c>
      <c r="C13888" s="46">
        <v>3876</v>
      </c>
      <c r="D13888" s="69" t="s">
        <v>29418</v>
      </c>
      <c r="E13888" s="51"/>
      <c r="F13888" s="114" t="str">
        <f>IF(INDEX(I.Facility.P2bIDNumber,3876)="","",INDEX(I.Facility.P2bIDNumber,3876))</f>
        <v/>
      </c>
      <c r="G13888" s="51"/>
      <c r="H13888" s="46" t="str">
        <f>IF(AND(I.Developer.P2b=TRUE,I.Facility.P2bFacilityCount&gt;=3876,F13888=""),"Incomplete","Complete")</f>
        <v>Complete</v>
      </c>
      <c r="I13888" s="48" t="s">
        <v>18253</v>
      </c>
    </row>
    <row r="13889" spans="2:9" ht="15" customHeight="1" x14ac:dyDescent="0.25">
      <c r="B13889" s="55" t="s">
        <v>281</v>
      </c>
      <c r="C13889" s="46">
        <v>3877</v>
      </c>
      <c r="D13889" s="69" t="s">
        <v>29418</v>
      </c>
      <c r="E13889" s="51"/>
      <c r="F13889" s="114" t="str">
        <f>IF(INDEX(I.Facility.P2bIDNumber,3877)="","",INDEX(I.Facility.P2bIDNumber,3877))</f>
        <v/>
      </c>
      <c r="G13889" s="51"/>
      <c r="H13889" s="46" t="str">
        <f>IF(AND(I.Developer.P2b=TRUE,I.Facility.P2bFacilityCount&gt;=3877,F13889=""),"Incomplete","Complete")</f>
        <v>Complete</v>
      </c>
      <c r="I13889" s="48" t="s">
        <v>18254</v>
      </c>
    </row>
    <row r="13890" spans="2:9" ht="15" customHeight="1" x14ac:dyDescent="0.25">
      <c r="B13890" s="55" t="s">
        <v>281</v>
      </c>
      <c r="C13890" s="46">
        <v>3878</v>
      </c>
      <c r="D13890" s="69" t="s">
        <v>29418</v>
      </c>
      <c r="E13890" s="51"/>
      <c r="F13890" s="114" t="str">
        <f>IF(INDEX(I.Facility.P2bIDNumber,3878)="","",INDEX(I.Facility.P2bIDNumber,3878))</f>
        <v/>
      </c>
      <c r="G13890" s="51"/>
      <c r="H13890" s="46" t="str">
        <f>IF(AND(I.Developer.P2b=TRUE,I.Facility.P2bFacilityCount&gt;=3878,F13890=""),"Incomplete","Complete")</f>
        <v>Complete</v>
      </c>
      <c r="I13890" s="48" t="s">
        <v>18255</v>
      </c>
    </row>
    <row r="13891" spans="2:9" ht="15" customHeight="1" x14ac:dyDescent="0.25">
      <c r="B13891" s="55" t="s">
        <v>281</v>
      </c>
      <c r="C13891" s="46">
        <v>3879</v>
      </c>
      <c r="D13891" s="69" t="s">
        <v>29418</v>
      </c>
      <c r="E13891" s="51"/>
      <c r="F13891" s="114" t="str">
        <f>IF(INDEX(I.Facility.P2bIDNumber,3879)="","",INDEX(I.Facility.P2bIDNumber,3879))</f>
        <v/>
      </c>
      <c r="G13891" s="51"/>
      <c r="H13891" s="46" t="str">
        <f>IF(AND(I.Developer.P2b=TRUE,I.Facility.P2bFacilityCount&gt;=3879,F13891=""),"Incomplete","Complete")</f>
        <v>Complete</v>
      </c>
      <c r="I13891" s="48" t="s">
        <v>18256</v>
      </c>
    </row>
    <row r="13892" spans="2:9" ht="15" customHeight="1" x14ac:dyDescent="0.25">
      <c r="B13892" s="55" t="s">
        <v>281</v>
      </c>
      <c r="C13892" s="46">
        <v>3880</v>
      </c>
      <c r="D13892" s="69" t="s">
        <v>29418</v>
      </c>
      <c r="E13892" s="51"/>
      <c r="F13892" s="114" t="str">
        <f>IF(INDEX(I.Facility.P2bIDNumber,3880)="","",INDEX(I.Facility.P2bIDNumber,3880))</f>
        <v/>
      </c>
      <c r="G13892" s="51"/>
      <c r="H13892" s="46" t="str">
        <f>IF(AND(I.Developer.P2b=TRUE,I.Facility.P2bFacilityCount&gt;=3880,F13892=""),"Incomplete","Complete")</f>
        <v>Complete</v>
      </c>
      <c r="I13892" s="48" t="s">
        <v>18257</v>
      </c>
    </row>
    <row r="13893" spans="2:9" ht="15" customHeight="1" x14ac:dyDescent="0.25">
      <c r="B13893" s="55" t="s">
        <v>281</v>
      </c>
      <c r="C13893" s="46">
        <v>3881</v>
      </c>
      <c r="D13893" s="69" t="s">
        <v>29418</v>
      </c>
      <c r="E13893" s="51"/>
      <c r="F13893" s="114" t="str">
        <f>IF(INDEX(I.Facility.P2bIDNumber,3881)="","",INDEX(I.Facility.P2bIDNumber,3881))</f>
        <v/>
      </c>
      <c r="G13893" s="51"/>
      <c r="H13893" s="46" t="str">
        <f>IF(AND(I.Developer.P2b=TRUE,I.Facility.P2bFacilityCount&gt;=3881,F13893=""),"Incomplete","Complete")</f>
        <v>Complete</v>
      </c>
      <c r="I13893" s="48" t="s">
        <v>18258</v>
      </c>
    </row>
    <row r="13894" spans="2:9" ht="15" customHeight="1" x14ac:dyDescent="0.25">
      <c r="B13894" s="55" t="s">
        <v>281</v>
      </c>
      <c r="C13894" s="46">
        <v>3882</v>
      </c>
      <c r="D13894" s="69" t="s">
        <v>29418</v>
      </c>
      <c r="E13894" s="51"/>
      <c r="F13894" s="114" t="str">
        <f>IF(INDEX(I.Facility.P2bIDNumber,3882)="","",INDEX(I.Facility.P2bIDNumber,3882))</f>
        <v/>
      </c>
      <c r="G13894" s="51"/>
      <c r="H13894" s="46" t="str">
        <f>IF(AND(I.Developer.P2b=TRUE,I.Facility.P2bFacilityCount&gt;=3882,F13894=""),"Incomplete","Complete")</f>
        <v>Complete</v>
      </c>
      <c r="I13894" s="48" t="s">
        <v>18259</v>
      </c>
    </row>
    <row r="13895" spans="2:9" ht="15" customHeight="1" x14ac:dyDescent="0.25">
      <c r="B13895" s="55" t="s">
        <v>281</v>
      </c>
      <c r="C13895" s="46">
        <v>3883</v>
      </c>
      <c r="D13895" s="69" t="s">
        <v>29418</v>
      </c>
      <c r="E13895" s="51"/>
      <c r="F13895" s="114" t="str">
        <f>IF(INDEX(I.Facility.P2bIDNumber,3883)="","",INDEX(I.Facility.P2bIDNumber,3883))</f>
        <v/>
      </c>
      <c r="G13895" s="51"/>
      <c r="H13895" s="46" t="str">
        <f>IF(AND(I.Developer.P2b=TRUE,I.Facility.P2bFacilityCount&gt;=3883,F13895=""),"Incomplete","Complete")</f>
        <v>Complete</v>
      </c>
      <c r="I13895" s="48" t="s">
        <v>18260</v>
      </c>
    </row>
    <row r="13896" spans="2:9" ht="15" customHeight="1" x14ac:dyDescent="0.25">
      <c r="B13896" s="55" t="s">
        <v>281</v>
      </c>
      <c r="C13896" s="46">
        <v>3884</v>
      </c>
      <c r="D13896" s="69" t="s">
        <v>29418</v>
      </c>
      <c r="E13896" s="51"/>
      <c r="F13896" s="114" t="str">
        <f>IF(INDEX(I.Facility.P2bIDNumber,3884)="","",INDEX(I.Facility.P2bIDNumber,3884))</f>
        <v/>
      </c>
      <c r="G13896" s="51"/>
      <c r="H13896" s="46" t="str">
        <f>IF(AND(I.Developer.P2b=TRUE,I.Facility.P2bFacilityCount&gt;=3884,F13896=""),"Incomplete","Complete")</f>
        <v>Complete</v>
      </c>
      <c r="I13896" s="48" t="s">
        <v>18261</v>
      </c>
    </row>
    <row r="13897" spans="2:9" ht="15" customHeight="1" x14ac:dyDescent="0.25">
      <c r="B13897" s="55" t="s">
        <v>281</v>
      </c>
      <c r="C13897" s="46">
        <v>3885</v>
      </c>
      <c r="D13897" s="69" t="s">
        <v>29418</v>
      </c>
      <c r="E13897" s="51"/>
      <c r="F13897" s="114" t="str">
        <f>IF(INDEX(I.Facility.P2bIDNumber,3885)="","",INDEX(I.Facility.P2bIDNumber,3885))</f>
        <v/>
      </c>
      <c r="G13897" s="51"/>
      <c r="H13897" s="46" t="str">
        <f>IF(AND(I.Developer.P2b=TRUE,I.Facility.P2bFacilityCount&gt;=3885,F13897=""),"Incomplete","Complete")</f>
        <v>Complete</v>
      </c>
      <c r="I13897" s="48" t="s">
        <v>18262</v>
      </c>
    </row>
    <row r="13898" spans="2:9" ht="15" customHeight="1" x14ac:dyDescent="0.25">
      <c r="B13898" s="55" t="s">
        <v>281</v>
      </c>
      <c r="C13898" s="46">
        <v>3886</v>
      </c>
      <c r="D13898" s="69" t="s">
        <v>29418</v>
      </c>
      <c r="E13898" s="51"/>
      <c r="F13898" s="114" t="str">
        <f>IF(INDEX(I.Facility.P2bIDNumber,3886)="","",INDEX(I.Facility.P2bIDNumber,3886))</f>
        <v/>
      </c>
      <c r="G13898" s="51"/>
      <c r="H13898" s="46" t="str">
        <f>IF(AND(I.Developer.P2b=TRUE,I.Facility.P2bFacilityCount&gt;=3886,F13898=""),"Incomplete","Complete")</f>
        <v>Complete</v>
      </c>
      <c r="I13898" s="48" t="s">
        <v>18263</v>
      </c>
    </row>
    <row r="13899" spans="2:9" ht="15" customHeight="1" x14ac:dyDescent="0.25">
      <c r="B13899" s="55" t="s">
        <v>281</v>
      </c>
      <c r="C13899" s="46">
        <v>3887</v>
      </c>
      <c r="D13899" s="69" t="s">
        <v>29418</v>
      </c>
      <c r="E13899" s="51"/>
      <c r="F13899" s="114" t="str">
        <f>IF(INDEX(I.Facility.P2bIDNumber,3887)="","",INDEX(I.Facility.P2bIDNumber,3887))</f>
        <v/>
      </c>
      <c r="G13899" s="51"/>
      <c r="H13899" s="46" t="str">
        <f>IF(AND(I.Developer.P2b=TRUE,I.Facility.P2bFacilityCount&gt;=3887,F13899=""),"Incomplete","Complete")</f>
        <v>Complete</v>
      </c>
      <c r="I13899" s="48" t="s">
        <v>18264</v>
      </c>
    </row>
    <row r="13900" spans="2:9" ht="15" customHeight="1" x14ac:dyDescent="0.25">
      <c r="B13900" s="55" t="s">
        <v>281</v>
      </c>
      <c r="C13900" s="46">
        <v>3888</v>
      </c>
      <c r="D13900" s="69" t="s">
        <v>29418</v>
      </c>
      <c r="E13900" s="51"/>
      <c r="F13900" s="114" t="str">
        <f>IF(INDEX(I.Facility.P2bIDNumber,3888)="","",INDEX(I.Facility.P2bIDNumber,3888))</f>
        <v/>
      </c>
      <c r="G13900" s="51"/>
      <c r="H13900" s="46" t="str">
        <f>IF(AND(I.Developer.P2b=TRUE,I.Facility.P2bFacilityCount&gt;=3888,F13900=""),"Incomplete","Complete")</f>
        <v>Complete</v>
      </c>
      <c r="I13900" s="48" t="s">
        <v>18265</v>
      </c>
    </row>
    <row r="13901" spans="2:9" ht="15" customHeight="1" x14ac:dyDescent="0.25">
      <c r="B13901" s="55" t="s">
        <v>281</v>
      </c>
      <c r="C13901" s="46">
        <v>3889</v>
      </c>
      <c r="D13901" s="69" t="s">
        <v>29418</v>
      </c>
      <c r="E13901" s="51"/>
      <c r="F13901" s="114" t="str">
        <f>IF(INDEX(I.Facility.P2bIDNumber,3889)="","",INDEX(I.Facility.P2bIDNumber,3889))</f>
        <v/>
      </c>
      <c r="G13901" s="51"/>
      <c r="H13901" s="46" t="str">
        <f>IF(AND(I.Developer.P2b=TRUE,I.Facility.P2bFacilityCount&gt;=3889,F13901=""),"Incomplete","Complete")</f>
        <v>Complete</v>
      </c>
      <c r="I13901" s="48" t="s">
        <v>18266</v>
      </c>
    </row>
    <row r="13902" spans="2:9" ht="15" customHeight="1" x14ac:dyDescent="0.25">
      <c r="B13902" s="55" t="s">
        <v>281</v>
      </c>
      <c r="C13902" s="46">
        <v>3890</v>
      </c>
      <c r="D13902" s="69" t="s">
        <v>29418</v>
      </c>
      <c r="E13902" s="51"/>
      <c r="F13902" s="114" t="str">
        <f>IF(INDEX(I.Facility.P2bIDNumber,3890)="","",INDEX(I.Facility.P2bIDNumber,3890))</f>
        <v/>
      </c>
      <c r="G13902" s="51"/>
      <c r="H13902" s="46" t="str">
        <f>IF(AND(I.Developer.P2b=TRUE,I.Facility.P2bFacilityCount&gt;=3890,F13902=""),"Incomplete","Complete")</f>
        <v>Complete</v>
      </c>
      <c r="I13902" s="48" t="s">
        <v>18267</v>
      </c>
    </row>
    <row r="13903" spans="2:9" ht="15" customHeight="1" x14ac:dyDescent="0.25">
      <c r="B13903" s="55" t="s">
        <v>281</v>
      </c>
      <c r="C13903" s="46">
        <v>3891</v>
      </c>
      <c r="D13903" s="69" t="s">
        <v>29418</v>
      </c>
      <c r="E13903" s="51"/>
      <c r="F13903" s="114" t="str">
        <f>IF(INDEX(I.Facility.P2bIDNumber,3891)="","",INDEX(I.Facility.P2bIDNumber,3891))</f>
        <v/>
      </c>
      <c r="G13903" s="51"/>
      <c r="H13903" s="46" t="str">
        <f>IF(AND(I.Developer.P2b=TRUE,I.Facility.P2bFacilityCount&gt;=3891,F13903=""),"Incomplete","Complete")</f>
        <v>Complete</v>
      </c>
      <c r="I13903" s="48" t="s">
        <v>18268</v>
      </c>
    </row>
    <row r="13904" spans="2:9" ht="15" customHeight="1" x14ac:dyDescent="0.25">
      <c r="B13904" s="55" t="s">
        <v>281</v>
      </c>
      <c r="C13904" s="46">
        <v>3892</v>
      </c>
      <c r="D13904" s="69" t="s">
        <v>29418</v>
      </c>
      <c r="E13904" s="51"/>
      <c r="F13904" s="114" t="str">
        <f>IF(INDEX(I.Facility.P2bIDNumber,3892)="","",INDEX(I.Facility.P2bIDNumber,3892))</f>
        <v/>
      </c>
      <c r="G13904" s="51"/>
      <c r="H13904" s="46" t="str">
        <f>IF(AND(I.Developer.P2b=TRUE,I.Facility.P2bFacilityCount&gt;=3892,F13904=""),"Incomplete","Complete")</f>
        <v>Complete</v>
      </c>
      <c r="I13904" s="48" t="s">
        <v>18269</v>
      </c>
    </row>
    <row r="13905" spans="2:9" ht="15" customHeight="1" x14ac:dyDescent="0.25">
      <c r="B13905" s="55" t="s">
        <v>281</v>
      </c>
      <c r="C13905" s="46">
        <v>3893</v>
      </c>
      <c r="D13905" s="69" t="s">
        <v>29418</v>
      </c>
      <c r="E13905" s="51"/>
      <c r="F13905" s="114" t="str">
        <f>IF(INDEX(I.Facility.P2bIDNumber,3893)="","",INDEX(I.Facility.P2bIDNumber,3893))</f>
        <v/>
      </c>
      <c r="G13905" s="51"/>
      <c r="H13905" s="46" t="str">
        <f>IF(AND(I.Developer.P2b=TRUE,I.Facility.P2bFacilityCount&gt;=3893,F13905=""),"Incomplete","Complete")</f>
        <v>Complete</v>
      </c>
      <c r="I13905" s="48" t="s">
        <v>18270</v>
      </c>
    </row>
    <row r="13906" spans="2:9" ht="15" customHeight="1" x14ac:dyDescent="0.25">
      <c r="B13906" s="55" t="s">
        <v>281</v>
      </c>
      <c r="C13906" s="46">
        <v>3894</v>
      </c>
      <c r="D13906" s="69" t="s">
        <v>29418</v>
      </c>
      <c r="E13906" s="51"/>
      <c r="F13906" s="114" t="str">
        <f>IF(INDEX(I.Facility.P2bIDNumber,3894)="","",INDEX(I.Facility.P2bIDNumber,3894))</f>
        <v/>
      </c>
      <c r="G13906" s="51"/>
      <c r="H13906" s="46" t="str">
        <f>IF(AND(I.Developer.P2b=TRUE,I.Facility.P2bFacilityCount&gt;=3894,F13906=""),"Incomplete","Complete")</f>
        <v>Complete</v>
      </c>
      <c r="I13906" s="48" t="s">
        <v>18271</v>
      </c>
    </row>
    <row r="13907" spans="2:9" ht="15" customHeight="1" x14ac:dyDescent="0.25">
      <c r="B13907" s="55" t="s">
        <v>281</v>
      </c>
      <c r="C13907" s="46">
        <v>3895</v>
      </c>
      <c r="D13907" s="69" t="s">
        <v>29418</v>
      </c>
      <c r="E13907" s="51"/>
      <c r="F13907" s="114" t="str">
        <f>IF(INDEX(I.Facility.P2bIDNumber,3895)="","",INDEX(I.Facility.P2bIDNumber,3895))</f>
        <v/>
      </c>
      <c r="G13907" s="51"/>
      <c r="H13907" s="46" t="str">
        <f>IF(AND(I.Developer.P2b=TRUE,I.Facility.P2bFacilityCount&gt;=3895,F13907=""),"Incomplete","Complete")</f>
        <v>Complete</v>
      </c>
      <c r="I13907" s="48" t="s">
        <v>18272</v>
      </c>
    </row>
    <row r="13908" spans="2:9" ht="15" customHeight="1" x14ac:dyDescent="0.25">
      <c r="B13908" s="55" t="s">
        <v>281</v>
      </c>
      <c r="C13908" s="46">
        <v>3896</v>
      </c>
      <c r="D13908" s="69" t="s">
        <v>29418</v>
      </c>
      <c r="E13908" s="51"/>
      <c r="F13908" s="114" t="str">
        <f>IF(INDEX(I.Facility.P2bIDNumber,3896)="","",INDEX(I.Facility.P2bIDNumber,3896))</f>
        <v/>
      </c>
      <c r="G13908" s="51"/>
      <c r="H13908" s="46" t="str">
        <f>IF(AND(I.Developer.P2b=TRUE,I.Facility.P2bFacilityCount&gt;=3896,F13908=""),"Incomplete","Complete")</f>
        <v>Complete</v>
      </c>
      <c r="I13908" s="48" t="s">
        <v>18273</v>
      </c>
    </row>
    <row r="13909" spans="2:9" ht="15" customHeight="1" x14ac:dyDescent="0.25">
      <c r="B13909" s="55" t="s">
        <v>281</v>
      </c>
      <c r="C13909" s="46">
        <v>3897</v>
      </c>
      <c r="D13909" s="69" t="s">
        <v>29418</v>
      </c>
      <c r="E13909" s="51"/>
      <c r="F13909" s="114" t="str">
        <f>IF(INDEX(I.Facility.P2bIDNumber,3897)="","",INDEX(I.Facility.P2bIDNumber,3897))</f>
        <v/>
      </c>
      <c r="G13909" s="51"/>
      <c r="H13909" s="46" t="str">
        <f>IF(AND(I.Developer.P2b=TRUE,I.Facility.P2bFacilityCount&gt;=3897,F13909=""),"Incomplete","Complete")</f>
        <v>Complete</v>
      </c>
      <c r="I13909" s="48" t="s">
        <v>18274</v>
      </c>
    </row>
    <row r="13910" spans="2:9" ht="15" customHeight="1" x14ac:dyDescent="0.25">
      <c r="B13910" s="55" t="s">
        <v>281</v>
      </c>
      <c r="C13910" s="46">
        <v>3898</v>
      </c>
      <c r="D13910" s="69" t="s">
        <v>29418</v>
      </c>
      <c r="E13910" s="51"/>
      <c r="F13910" s="114" t="str">
        <f>IF(INDEX(I.Facility.P2bIDNumber,3898)="","",INDEX(I.Facility.P2bIDNumber,3898))</f>
        <v/>
      </c>
      <c r="G13910" s="51"/>
      <c r="H13910" s="46" t="str">
        <f>IF(AND(I.Developer.P2b=TRUE,I.Facility.P2bFacilityCount&gt;=3898,F13910=""),"Incomplete","Complete")</f>
        <v>Complete</v>
      </c>
      <c r="I13910" s="48" t="s">
        <v>18275</v>
      </c>
    </row>
    <row r="13911" spans="2:9" ht="15" customHeight="1" x14ac:dyDescent="0.25">
      <c r="B13911" s="55" t="s">
        <v>281</v>
      </c>
      <c r="C13911" s="46">
        <v>3899</v>
      </c>
      <c r="D13911" s="69" t="s">
        <v>29418</v>
      </c>
      <c r="E13911" s="51"/>
      <c r="F13911" s="114" t="str">
        <f>IF(INDEX(I.Facility.P2bIDNumber,3899)="","",INDEX(I.Facility.P2bIDNumber,3899))</f>
        <v/>
      </c>
      <c r="G13911" s="51"/>
      <c r="H13911" s="46" t="str">
        <f>IF(AND(I.Developer.P2b=TRUE,I.Facility.P2bFacilityCount&gt;=3899,F13911=""),"Incomplete","Complete")</f>
        <v>Complete</v>
      </c>
      <c r="I13911" s="48" t="s">
        <v>18276</v>
      </c>
    </row>
    <row r="13912" spans="2:9" ht="15" customHeight="1" x14ac:dyDescent="0.25">
      <c r="B13912" s="55" t="s">
        <v>281</v>
      </c>
      <c r="C13912" s="46">
        <v>3900</v>
      </c>
      <c r="D13912" s="69" t="s">
        <v>29418</v>
      </c>
      <c r="E13912" s="51"/>
      <c r="F13912" s="114" t="str">
        <f>IF(INDEX(I.Facility.P2bIDNumber,3900)="","",INDEX(I.Facility.P2bIDNumber,3900))</f>
        <v/>
      </c>
      <c r="G13912" s="51"/>
      <c r="H13912" s="46" t="str">
        <f>IF(AND(I.Developer.P2b=TRUE,I.Facility.P2bFacilityCount&gt;=3900,F13912=""),"Incomplete","Complete")</f>
        <v>Complete</v>
      </c>
      <c r="I13912" s="48" t="s">
        <v>18277</v>
      </c>
    </row>
    <row r="13913" spans="2:9" ht="15" customHeight="1" x14ac:dyDescent="0.25">
      <c r="B13913" s="55" t="s">
        <v>281</v>
      </c>
      <c r="C13913" s="46">
        <v>3901</v>
      </c>
      <c r="D13913" s="69" t="s">
        <v>29418</v>
      </c>
      <c r="E13913" s="51"/>
      <c r="F13913" s="114" t="str">
        <f>IF(INDEX(I.Facility.P2bIDNumber,3901)="","",INDEX(I.Facility.P2bIDNumber,3901))</f>
        <v/>
      </c>
      <c r="G13913" s="51"/>
      <c r="H13913" s="46" t="str">
        <f>IF(AND(I.Developer.P2b=TRUE,I.Facility.P2bFacilityCount&gt;=3901,F13913=""),"Incomplete","Complete")</f>
        <v>Complete</v>
      </c>
      <c r="I13913" s="48" t="s">
        <v>18278</v>
      </c>
    </row>
    <row r="13914" spans="2:9" ht="15" customHeight="1" x14ac:dyDescent="0.25">
      <c r="B13914" s="55" t="s">
        <v>281</v>
      </c>
      <c r="C13914" s="46">
        <v>3902</v>
      </c>
      <c r="D13914" s="69" t="s">
        <v>29418</v>
      </c>
      <c r="E13914" s="51"/>
      <c r="F13914" s="114" t="str">
        <f>IF(INDEX(I.Facility.P2bIDNumber,3902)="","",INDEX(I.Facility.P2bIDNumber,3902))</f>
        <v/>
      </c>
      <c r="G13914" s="51"/>
      <c r="H13914" s="46" t="str">
        <f>IF(AND(I.Developer.P2b=TRUE,I.Facility.P2bFacilityCount&gt;=3902,F13914=""),"Incomplete","Complete")</f>
        <v>Complete</v>
      </c>
      <c r="I13914" s="48" t="s">
        <v>18279</v>
      </c>
    </row>
    <row r="13915" spans="2:9" ht="15" customHeight="1" x14ac:dyDescent="0.25">
      <c r="B13915" s="55" t="s">
        <v>281</v>
      </c>
      <c r="C13915" s="46">
        <v>3903</v>
      </c>
      <c r="D13915" s="69" t="s">
        <v>29418</v>
      </c>
      <c r="E13915" s="51"/>
      <c r="F13915" s="114" t="str">
        <f>IF(INDEX(I.Facility.P2bIDNumber,3903)="","",INDEX(I.Facility.P2bIDNumber,3903))</f>
        <v/>
      </c>
      <c r="G13915" s="51"/>
      <c r="H13915" s="46" t="str">
        <f>IF(AND(I.Developer.P2b=TRUE,I.Facility.P2bFacilityCount&gt;=3903,F13915=""),"Incomplete","Complete")</f>
        <v>Complete</v>
      </c>
      <c r="I13915" s="48" t="s">
        <v>18280</v>
      </c>
    </row>
    <row r="13916" spans="2:9" ht="15" customHeight="1" x14ac:dyDescent="0.25">
      <c r="B13916" s="55" t="s">
        <v>281</v>
      </c>
      <c r="C13916" s="46">
        <v>3904</v>
      </c>
      <c r="D13916" s="69" t="s">
        <v>29418</v>
      </c>
      <c r="E13916" s="51"/>
      <c r="F13916" s="114" t="str">
        <f>IF(INDEX(I.Facility.P2bIDNumber,3904)="","",INDEX(I.Facility.P2bIDNumber,3904))</f>
        <v/>
      </c>
      <c r="G13916" s="51"/>
      <c r="H13916" s="46" t="str">
        <f>IF(AND(I.Developer.P2b=TRUE,I.Facility.P2bFacilityCount&gt;=3904,F13916=""),"Incomplete","Complete")</f>
        <v>Complete</v>
      </c>
      <c r="I13916" s="48" t="s">
        <v>18281</v>
      </c>
    </row>
    <row r="13917" spans="2:9" ht="15" customHeight="1" x14ac:dyDescent="0.25">
      <c r="B13917" s="55" t="s">
        <v>281</v>
      </c>
      <c r="C13917" s="46">
        <v>3905</v>
      </c>
      <c r="D13917" s="69" t="s">
        <v>29418</v>
      </c>
      <c r="E13917" s="51"/>
      <c r="F13917" s="114" t="str">
        <f>IF(INDEX(I.Facility.P2bIDNumber,3905)="","",INDEX(I.Facility.P2bIDNumber,3905))</f>
        <v/>
      </c>
      <c r="G13917" s="51"/>
      <c r="H13917" s="46" t="str">
        <f>IF(AND(I.Developer.P2b=TRUE,I.Facility.P2bFacilityCount&gt;=3905,F13917=""),"Incomplete","Complete")</f>
        <v>Complete</v>
      </c>
      <c r="I13917" s="48" t="s">
        <v>18282</v>
      </c>
    </row>
    <row r="13918" spans="2:9" ht="15" customHeight="1" x14ac:dyDescent="0.25">
      <c r="B13918" s="55" t="s">
        <v>281</v>
      </c>
      <c r="C13918" s="46">
        <v>3906</v>
      </c>
      <c r="D13918" s="69" t="s">
        <v>29418</v>
      </c>
      <c r="E13918" s="51"/>
      <c r="F13918" s="114" t="str">
        <f>IF(INDEX(I.Facility.P2bIDNumber,3906)="","",INDEX(I.Facility.P2bIDNumber,3906))</f>
        <v/>
      </c>
      <c r="G13918" s="51"/>
      <c r="H13918" s="46" t="str">
        <f>IF(AND(I.Developer.P2b=TRUE,I.Facility.P2bFacilityCount&gt;=3906,F13918=""),"Incomplete","Complete")</f>
        <v>Complete</v>
      </c>
      <c r="I13918" s="48" t="s">
        <v>18283</v>
      </c>
    </row>
    <row r="13919" spans="2:9" ht="15" customHeight="1" x14ac:dyDescent="0.25">
      <c r="B13919" s="55" t="s">
        <v>281</v>
      </c>
      <c r="C13919" s="46">
        <v>3907</v>
      </c>
      <c r="D13919" s="69" t="s">
        <v>29418</v>
      </c>
      <c r="E13919" s="51"/>
      <c r="F13919" s="114" t="str">
        <f>IF(INDEX(I.Facility.P2bIDNumber,3907)="","",INDEX(I.Facility.P2bIDNumber,3907))</f>
        <v/>
      </c>
      <c r="G13919" s="51"/>
      <c r="H13919" s="46" t="str">
        <f>IF(AND(I.Developer.P2b=TRUE,I.Facility.P2bFacilityCount&gt;=3907,F13919=""),"Incomplete","Complete")</f>
        <v>Complete</v>
      </c>
      <c r="I13919" s="48" t="s">
        <v>18284</v>
      </c>
    </row>
    <row r="13920" spans="2:9" ht="15" customHeight="1" x14ac:dyDescent="0.25">
      <c r="B13920" s="55" t="s">
        <v>281</v>
      </c>
      <c r="C13920" s="46">
        <v>3908</v>
      </c>
      <c r="D13920" s="69" t="s">
        <v>29418</v>
      </c>
      <c r="E13920" s="51"/>
      <c r="F13920" s="114" t="str">
        <f>IF(INDEX(I.Facility.P2bIDNumber,3908)="","",INDEX(I.Facility.P2bIDNumber,3908))</f>
        <v/>
      </c>
      <c r="G13920" s="51"/>
      <c r="H13920" s="46" t="str">
        <f>IF(AND(I.Developer.P2b=TRUE,I.Facility.P2bFacilityCount&gt;=3908,F13920=""),"Incomplete","Complete")</f>
        <v>Complete</v>
      </c>
      <c r="I13920" s="48" t="s">
        <v>18285</v>
      </c>
    </row>
    <row r="13921" spans="2:9" ht="15" customHeight="1" x14ac:dyDescent="0.25">
      <c r="B13921" s="55" t="s">
        <v>281</v>
      </c>
      <c r="C13921" s="46">
        <v>3909</v>
      </c>
      <c r="D13921" s="69" t="s">
        <v>29418</v>
      </c>
      <c r="E13921" s="51"/>
      <c r="F13921" s="114" t="str">
        <f>IF(INDEX(I.Facility.P2bIDNumber,3909)="","",INDEX(I.Facility.P2bIDNumber,3909))</f>
        <v/>
      </c>
      <c r="G13921" s="51"/>
      <c r="H13921" s="46" t="str">
        <f>IF(AND(I.Developer.P2b=TRUE,I.Facility.P2bFacilityCount&gt;=3909,F13921=""),"Incomplete","Complete")</f>
        <v>Complete</v>
      </c>
      <c r="I13921" s="48" t="s">
        <v>18286</v>
      </c>
    </row>
    <row r="13922" spans="2:9" ht="15" customHeight="1" x14ac:dyDescent="0.25">
      <c r="B13922" s="55" t="s">
        <v>281</v>
      </c>
      <c r="C13922" s="46">
        <v>3910</v>
      </c>
      <c r="D13922" s="69" t="s">
        <v>29418</v>
      </c>
      <c r="E13922" s="51"/>
      <c r="F13922" s="114" t="str">
        <f>IF(INDEX(I.Facility.P2bIDNumber,3910)="","",INDEX(I.Facility.P2bIDNumber,3910))</f>
        <v/>
      </c>
      <c r="G13922" s="51"/>
      <c r="H13922" s="46" t="str">
        <f>IF(AND(I.Developer.P2b=TRUE,I.Facility.P2bFacilityCount&gt;=3910,F13922=""),"Incomplete","Complete")</f>
        <v>Complete</v>
      </c>
      <c r="I13922" s="48" t="s">
        <v>18287</v>
      </c>
    </row>
    <row r="13923" spans="2:9" ht="15" customHeight="1" x14ac:dyDescent="0.25">
      <c r="B13923" s="55" t="s">
        <v>281</v>
      </c>
      <c r="C13923" s="46">
        <v>3911</v>
      </c>
      <c r="D13923" s="69" t="s">
        <v>29418</v>
      </c>
      <c r="E13923" s="51"/>
      <c r="F13923" s="114" t="str">
        <f>IF(INDEX(I.Facility.P2bIDNumber,3911)="","",INDEX(I.Facility.P2bIDNumber,3911))</f>
        <v/>
      </c>
      <c r="G13923" s="51"/>
      <c r="H13923" s="46" t="str">
        <f>IF(AND(I.Developer.P2b=TRUE,I.Facility.P2bFacilityCount&gt;=3911,F13923=""),"Incomplete","Complete")</f>
        <v>Complete</v>
      </c>
      <c r="I13923" s="48" t="s">
        <v>18288</v>
      </c>
    </row>
    <row r="13924" spans="2:9" ht="15" customHeight="1" x14ac:dyDescent="0.25">
      <c r="B13924" s="55" t="s">
        <v>281</v>
      </c>
      <c r="C13924" s="46">
        <v>3912</v>
      </c>
      <c r="D13924" s="69" t="s">
        <v>29418</v>
      </c>
      <c r="E13924" s="51"/>
      <c r="F13924" s="114" t="str">
        <f>IF(INDEX(I.Facility.P2bIDNumber,3912)="","",INDEX(I.Facility.P2bIDNumber,3912))</f>
        <v/>
      </c>
      <c r="G13924" s="51"/>
      <c r="H13924" s="46" t="str">
        <f>IF(AND(I.Developer.P2b=TRUE,I.Facility.P2bFacilityCount&gt;=3912,F13924=""),"Incomplete","Complete")</f>
        <v>Complete</v>
      </c>
      <c r="I13924" s="48" t="s">
        <v>18289</v>
      </c>
    </row>
    <row r="13925" spans="2:9" ht="15" customHeight="1" x14ac:dyDescent="0.25">
      <c r="B13925" s="55" t="s">
        <v>281</v>
      </c>
      <c r="C13925" s="46">
        <v>3913</v>
      </c>
      <c r="D13925" s="69" t="s">
        <v>29418</v>
      </c>
      <c r="E13925" s="51"/>
      <c r="F13925" s="114" t="str">
        <f>IF(INDEX(I.Facility.P2bIDNumber,3913)="","",INDEX(I.Facility.P2bIDNumber,3913))</f>
        <v/>
      </c>
      <c r="G13925" s="51"/>
      <c r="H13925" s="46" t="str">
        <f>IF(AND(I.Developer.P2b=TRUE,I.Facility.P2bFacilityCount&gt;=3913,F13925=""),"Incomplete","Complete")</f>
        <v>Complete</v>
      </c>
      <c r="I13925" s="48" t="s">
        <v>18290</v>
      </c>
    </row>
    <row r="13926" spans="2:9" ht="15" customHeight="1" x14ac:dyDescent="0.25">
      <c r="B13926" s="55" t="s">
        <v>281</v>
      </c>
      <c r="C13926" s="46">
        <v>3914</v>
      </c>
      <c r="D13926" s="69" t="s">
        <v>29418</v>
      </c>
      <c r="E13926" s="51"/>
      <c r="F13926" s="114" t="str">
        <f>IF(INDEX(I.Facility.P2bIDNumber,3914)="","",INDEX(I.Facility.P2bIDNumber,3914))</f>
        <v/>
      </c>
      <c r="G13926" s="51"/>
      <c r="H13926" s="46" t="str">
        <f>IF(AND(I.Developer.P2b=TRUE,I.Facility.P2bFacilityCount&gt;=3914,F13926=""),"Incomplete","Complete")</f>
        <v>Complete</v>
      </c>
      <c r="I13926" s="48" t="s">
        <v>18291</v>
      </c>
    </row>
    <row r="13927" spans="2:9" ht="15" customHeight="1" x14ac:dyDescent="0.25">
      <c r="B13927" s="55" t="s">
        <v>281</v>
      </c>
      <c r="C13927" s="46">
        <v>3915</v>
      </c>
      <c r="D13927" s="69" t="s">
        <v>29418</v>
      </c>
      <c r="E13927" s="51"/>
      <c r="F13927" s="114" t="str">
        <f>IF(INDEX(I.Facility.P2bIDNumber,3915)="","",INDEX(I.Facility.P2bIDNumber,3915))</f>
        <v/>
      </c>
      <c r="G13927" s="51"/>
      <c r="H13927" s="46" t="str">
        <f>IF(AND(I.Developer.P2b=TRUE,I.Facility.P2bFacilityCount&gt;=3915,F13927=""),"Incomplete","Complete")</f>
        <v>Complete</v>
      </c>
      <c r="I13927" s="48" t="s">
        <v>18292</v>
      </c>
    </row>
    <row r="13928" spans="2:9" ht="15" customHeight="1" x14ac:dyDescent="0.25">
      <c r="B13928" s="55" t="s">
        <v>281</v>
      </c>
      <c r="C13928" s="46">
        <v>3916</v>
      </c>
      <c r="D13928" s="69" t="s">
        <v>29418</v>
      </c>
      <c r="E13928" s="51"/>
      <c r="F13928" s="114" t="str">
        <f>IF(INDEX(I.Facility.P2bIDNumber,3916)="","",INDEX(I.Facility.P2bIDNumber,3916))</f>
        <v/>
      </c>
      <c r="G13928" s="51"/>
      <c r="H13928" s="46" t="str">
        <f>IF(AND(I.Developer.P2b=TRUE,I.Facility.P2bFacilityCount&gt;=3916,F13928=""),"Incomplete","Complete")</f>
        <v>Complete</v>
      </c>
      <c r="I13928" s="48" t="s">
        <v>18293</v>
      </c>
    </row>
    <row r="13929" spans="2:9" ht="15" customHeight="1" x14ac:dyDescent="0.25">
      <c r="B13929" s="55" t="s">
        <v>281</v>
      </c>
      <c r="C13929" s="46">
        <v>3917</v>
      </c>
      <c r="D13929" s="69" t="s">
        <v>29418</v>
      </c>
      <c r="E13929" s="51"/>
      <c r="F13929" s="114" t="str">
        <f>IF(INDEX(I.Facility.P2bIDNumber,3917)="","",INDEX(I.Facility.P2bIDNumber,3917))</f>
        <v/>
      </c>
      <c r="G13929" s="51"/>
      <c r="H13929" s="46" t="str">
        <f>IF(AND(I.Developer.P2b=TRUE,I.Facility.P2bFacilityCount&gt;=3917,F13929=""),"Incomplete","Complete")</f>
        <v>Complete</v>
      </c>
      <c r="I13929" s="48" t="s">
        <v>18294</v>
      </c>
    </row>
    <row r="13930" spans="2:9" ht="15" customHeight="1" x14ac:dyDescent="0.25">
      <c r="B13930" s="55" t="s">
        <v>281</v>
      </c>
      <c r="C13930" s="46">
        <v>3918</v>
      </c>
      <c r="D13930" s="69" t="s">
        <v>29418</v>
      </c>
      <c r="E13930" s="51"/>
      <c r="F13930" s="114" t="str">
        <f>IF(INDEX(I.Facility.P2bIDNumber,3918)="","",INDEX(I.Facility.P2bIDNumber,3918))</f>
        <v/>
      </c>
      <c r="G13930" s="51"/>
      <c r="H13930" s="46" t="str">
        <f>IF(AND(I.Developer.P2b=TRUE,I.Facility.P2bFacilityCount&gt;=3918,F13930=""),"Incomplete","Complete")</f>
        <v>Complete</v>
      </c>
      <c r="I13930" s="48" t="s">
        <v>18295</v>
      </c>
    </row>
    <row r="13931" spans="2:9" ht="15" customHeight="1" x14ac:dyDescent="0.25">
      <c r="B13931" s="55" t="s">
        <v>281</v>
      </c>
      <c r="C13931" s="46">
        <v>3919</v>
      </c>
      <c r="D13931" s="69" t="s">
        <v>29418</v>
      </c>
      <c r="E13931" s="51"/>
      <c r="F13931" s="114" t="str">
        <f>IF(INDEX(I.Facility.P2bIDNumber,3919)="","",INDEX(I.Facility.P2bIDNumber,3919))</f>
        <v/>
      </c>
      <c r="G13931" s="51"/>
      <c r="H13931" s="46" t="str">
        <f>IF(AND(I.Developer.P2b=TRUE,I.Facility.P2bFacilityCount&gt;=3919,F13931=""),"Incomplete","Complete")</f>
        <v>Complete</v>
      </c>
      <c r="I13931" s="48" t="s">
        <v>18296</v>
      </c>
    </row>
    <row r="13932" spans="2:9" ht="15" customHeight="1" x14ac:dyDescent="0.25">
      <c r="B13932" s="55" t="s">
        <v>281</v>
      </c>
      <c r="C13932" s="46">
        <v>3920</v>
      </c>
      <c r="D13932" s="69" t="s">
        <v>29418</v>
      </c>
      <c r="E13932" s="51"/>
      <c r="F13932" s="114" t="str">
        <f>IF(INDEX(I.Facility.P2bIDNumber,3920)="","",INDEX(I.Facility.P2bIDNumber,3920))</f>
        <v/>
      </c>
      <c r="G13932" s="51"/>
      <c r="H13932" s="46" t="str">
        <f>IF(AND(I.Developer.P2b=TRUE,I.Facility.P2bFacilityCount&gt;=3920,F13932=""),"Incomplete","Complete")</f>
        <v>Complete</v>
      </c>
      <c r="I13932" s="48" t="s">
        <v>18297</v>
      </c>
    </row>
    <row r="13933" spans="2:9" ht="15" customHeight="1" x14ac:dyDescent="0.25">
      <c r="B13933" s="55" t="s">
        <v>281</v>
      </c>
      <c r="C13933" s="46">
        <v>3921</v>
      </c>
      <c r="D13933" s="69" t="s">
        <v>29418</v>
      </c>
      <c r="E13933" s="51"/>
      <c r="F13933" s="114" t="str">
        <f>IF(INDEX(I.Facility.P2bIDNumber,3921)="","",INDEX(I.Facility.P2bIDNumber,3921))</f>
        <v/>
      </c>
      <c r="G13933" s="51"/>
      <c r="H13933" s="46" t="str">
        <f>IF(AND(I.Developer.P2b=TRUE,I.Facility.P2bFacilityCount&gt;=3921,F13933=""),"Incomplete","Complete")</f>
        <v>Complete</v>
      </c>
      <c r="I13933" s="48" t="s">
        <v>18298</v>
      </c>
    </row>
    <row r="13934" spans="2:9" ht="15" customHeight="1" x14ac:dyDescent="0.25">
      <c r="B13934" s="55" t="s">
        <v>281</v>
      </c>
      <c r="C13934" s="46">
        <v>3922</v>
      </c>
      <c r="D13934" s="69" t="s">
        <v>29418</v>
      </c>
      <c r="E13934" s="51"/>
      <c r="F13934" s="114" t="str">
        <f>IF(INDEX(I.Facility.P2bIDNumber,3922)="","",INDEX(I.Facility.P2bIDNumber,3922))</f>
        <v/>
      </c>
      <c r="G13934" s="51"/>
      <c r="H13934" s="46" t="str">
        <f>IF(AND(I.Developer.P2b=TRUE,I.Facility.P2bFacilityCount&gt;=3922,F13934=""),"Incomplete","Complete")</f>
        <v>Complete</v>
      </c>
      <c r="I13934" s="48" t="s">
        <v>18299</v>
      </c>
    </row>
    <row r="13935" spans="2:9" ht="15" customHeight="1" x14ac:dyDescent="0.25">
      <c r="B13935" s="55" t="s">
        <v>281</v>
      </c>
      <c r="C13935" s="46">
        <v>3923</v>
      </c>
      <c r="D13935" s="69" t="s">
        <v>29418</v>
      </c>
      <c r="E13935" s="51"/>
      <c r="F13935" s="114" t="str">
        <f>IF(INDEX(I.Facility.P2bIDNumber,3923)="","",INDEX(I.Facility.P2bIDNumber,3923))</f>
        <v/>
      </c>
      <c r="G13935" s="51"/>
      <c r="H13935" s="46" t="str">
        <f>IF(AND(I.Developer.P2b=TRUE,I.Facility.P2bFacilityCount&gt;=3923,F13935=""),"Incomplete","Complete")</f>
        <v>Complete</v>
      </c>
      <c r="I13935" s="48" t="s">
        <v>18300</v>
      </c>
    </row>
    <row r="13936" spans="2:9" ht="15" customHeight="1" x14ac:dyDescent="0.25">
      <c r="B13936" s="55" t="s">
        <v>281</v>
      </c>
      <c r="C13936" s="46">
        <v>3924</v>
      </c>
      <c r="D13936" s="69" t="s">
        <v>29418</v>
      </c>
      <c r="E13936" s="51"/>
      <c r="F13936" s="114" t="str">
        <f>IF(INDEX(I.Facility.P2bIDNumber,3924)="","",INDEX(I.Facility.P2bIDNumber,3924))</f>
        <v/>
      </c>
      <c r="G13936" s="51"/>
      <c r="H13936" s="46" t="str">
        <f>IF(AND(I.Developer.P2b=TRUE,I.Facility.P2bFacilityCount&gt;=3924,F13936=""),"Incomplete","Complete")</f>
        <v>Complete</v>
      </c>
      <c r="I13936" s="48" t="s">
        <v>18301</v>
      </c>
    </row>
    <row r="13937" spans="2:9" ht="15" customHeight="1" x14ac:dyDescent="0.25">
      <c r="B13937" s="55" t="s">
        <v>281</v>
      </c>
      <c r="C13937" s="46">
        <v>3925</v>
      </c>
      <c r="D13937" s="69" t="s">
        <v>29418</v>
      </c>
      <c r="E13937" s="51"/>
      <c r="F13937" s="114" t="str">
        <f>IF(INDEX(I.Facility.P2bIDNumber,3925)="","",INDEX(I.Facility.P2bIDNumber,3925))</f>
        <v/>
      </c>
      <c r="G13937" s="51"/>
      <c r="H13937" s="46" t="str">
        <f>IF(AND(I.Developer.P2b=TRUE,I.Facility.P2bFacilityCount&gt;=3925,F13937=""),"Incomplete","Complete")</f>
        <v>Complete</v>
      </c>
      <c r="I13937" s="48" t="s">
        <v>18302</v>
      </c>
    </row>
    <row r="13938" spans="2:9" ht="15" customHeight="1" x14ac:dyDescent="0.25">
      <c r="B13938" s="55" t="s">
        <v>281</v>
      </c>
      <c r="C13938" s="46">
        <v>3926</v>
      </c>
      <c r="D13938" s="69" t="s">
        <v>29418</v>
      </c>
      <c r="E13938" s="51"/>
      <c r="F13938" s="114" t="str">
        <f>IF(INDEX(I.Facility.P2bIDNumber,3926)="","",INDEX(I.Facility.P2bIDNumber,3926))</f>
        <v/>
      </c>
      <c r="G13938" s="51"/>
      <c r="H13938" s="46" t="str">
        <f>IF(AND(I.Developer.P2b=TRUE,I.Facility.P2bFacilityCount&gt;=3926,F13938=""),"Incomplete","Complete")</f>
        <v>Complete</v>
      </c>
      <c r="I13938" s="48" t="s">
        <v>18303</v>
      </c>
    </row>
    <row r="13939" spans="2:9" ht="15" customHeight="1" x14ac:dyDescent="0.25">
      <c r="B13939" s="55" t="s">
        <v>281</v>
      </c>
      <c r="C13939" s="46">
        <v>3927</v>
      </c>
      <c r="D13939" s="69" t="s">
        <v>29418</v>
      </c>
      <c r="E13939" s="51"/>
      <c r="F13939" s="114" t="str">
        <f>IF(INDEX(I.Facility.P2bIDNumber,3927)="","",INDEX(I.Facility.P2bIDNumber,3927))</f>
        <v/>
      </c>
      <c r="G13939" s="51"/>
      <c r="H13939" s="46" t="str">
        <f>IF(AND(I.Developer.P2b=TRUE,I.Facility.P2bFacilityCount&gt;=3927,F13939=""),"Incomplete","Complete")</f>
        <v>Complete</v>
      </c>
      <c r="I13939" s="48" t="s">
        <v>18304</v>
      </c>
    </row>
    <row r="13940" spans="2:9" ht="15" customHeight="1" x14ac:dyDescent="0.25">
      <c r="B13940" s="55" t="s">
        <v>281</v>
      </c>
      <c r="C13940" s="46">
        <v>3928</v>
      </c>
      <c r="D13940" s="69" t="s">
        <v>29418</v>
      </c>
      <c r="E13940" s="51"/>
      <c r="F13940" s="114" t="str">
        <f>IF(INDEX(I.Facility.P2bIDNumber,3928)="","",INDEX(I.Facility.P2bIDNumber,3928))</f>
        <v/>
      </c>
      <c r="G13940" s="51"/>
      <c r="H13940" s="46" t="str">
        <f>IF(AND(I.Developer.P2b=TRUE,I.Facility.P2bFacilityCount&gt;=3928,F13940=""),"Incomplete","Complete")</f>
        <v>Complete</v>
      </c>
      <c r="I13940" s="48" t="s">
        <v>18305</v>
      </c>
    </row>
    <row r="13941" spans="2:9" ht="15" customHeight="1" x14ac:dyDescent="0.25">
      <c r="B13941" s="55" t="s">
        <v>281</v>
      </c>
      <c r="C13941" s="46">
        <v>3929</v>
      </c>
      <c r="D13941" s="69" t="s">
        <v>29418</v>
      </c>
      <c r="E13941" s="51"/>
      <c r="F13941" s="114" t="str">
        <f>IF(INDEX(I.Facility.P2bIDNumber,3929)="","",INDEX(I.Facility.P2bIDNumber,3929))</f>
        <v/>
      </c>
      <c r="G13941" s="51"/>
      <c r="H13941" s="46" t="str">
        <f>IF(AND(I.Developer.P2b=TRUE,I.Facility.P2bFacilityCount&gt;=3929,F13941=""),"Incomplete","Complete")</f>
        <v>Complete</v>
      </c>
      <c r="I13941" s="48" t="s">
        <v>18306</v>
      </c>
    </row>
    <row r="13942" spans="2:9" ht="15" customHeight="1" x14ac:dyDescent="0.25">
      <c r="B13942" s="55" t="s">
        <v>281</v>
      </c>
      <c r="C13942" s="46">
        <v>3930</v>
      </c>
      <c r="D13942" s="69" t="s">
        <v>29418</v>
      </c>
      <c r="E13942" s="51"/>
      <c r="F13942" s="114" t="str">
        <f>IF(INDEX(I.Facility.P2bIDNumber,3930)="","",INDEX(I.Facility.P2bIDNumber,3930))</f>
        <v/>
      </c>
      <c r="G13942" s="51"/>
      <c r="H13942" s="46" t="str">
        <f>IF(AND(I.Developer.P2b=TRUE,I.Facility.P2bFacilityCount&gt;=3930,F13942=""),"Incomplete","Complete")</f>
        <v>Complete</v>
      </c>
      <c r="I13942" s="48" t="s">
        <v>18307</v>
      </c>
    </row>
    <row r="13943" spans="2:9" ht="15" customHeight="1" x14ac:dyDescent="0.25">
      <c r="B13943" s="55" t="s">
        <v>281</v>
      </c>
      <c r="C13943" s="46">
        <v>3931</v>
      </c>
      <c r="D13943" s="69" t="s">
        <v>29418</v>
      </c>
      <c r="E13943" s="51"/>
      <c r="F13943" s="114" t="str">
        <f>IF(INDEX(I.Facility.P2bIDNumber,3931)="","",INDEX(I.Facility.P2bIDNumber,3931))</f>
        <v/>
      </c>
      <c r="G13943" s="51"/>
      <c r="H13943" s="46" t="str">
        <f>IF(AND(I.Developer.P2b=TRUE,I.Facility.P2bFacilityCount&gt;=3931,F13943=""),"Incomplete","Complete")</f>
        <v>Complete</v>
      </c>
      <c r="I13943" s="48" t="s">
        <v>18308</v>
      </c>
    </row>
    <row r="13944" spans="2:9" ht="15" customHeight="1" x14ac:dyDescent="0.25">
      <c r="B13944" s="55" t="s">
        <v>281</v>
      </c>
      <c r="C13944" s="46">
        <v>3932</v>
      </c>
      <c r="D13944" s="69" t="s">
        <v>29418</v>
      </c>
      <c r="E13944" s="51"/>
      <c r="F13944" s="114" t="str">
        <f>IF(INDEX(I.Facility.P2bIDNumber,3932)="","",INDEX(I.Facility.P2bIDNumber,3932))</f>
        <v/>
      </c>
      <c r="G13944" s="51"/>
      <c r="H13944" s="46" t="str">
        <f>IF(AND(I.Developer.P2b=TRUE,I.Facility.P2bFacilityCount&gt;=3932,F13944=""),"Incomplete","Complete")</f>
        <v>Complete</v>
      </c>
      <c r="I13944" s="48" t="s">
        <v>18309</v>
      </c>
    </row>
    <row r="13945" spans="2:9" ht="15" customHeight="1" x14ac:dyDescent="0.25">
      <c r="B13945" s="55" t="s">
        <v>281</v>
      </c>
      <c r="C13945" s="46">
        <v>3933</v>
      </c>
      <c r="D13945" s="69" t="s">
        <v>29418</v>
      </c>
      <c r="E13945" s="51"/>
      <c r="F13945" s="114" t="str">
        <f>IF(INDEX(I.Facility.P2bIDNumber,3933)="","",INDEX(I.Facility.P2bIDNumber,3933))</f>
        <v/>
      </c>
      <c r="G13945" s="51"/>
      <c r="H13945" s="46" t="str">
        <f>IF(AND(I.Developer.P2b=TRUE,I.Facility.P2bFacilityCount&gt;=3933,F13945=""),"Incomplete","Complete")</f>
        <v>Complete</v>
      </c>
      <c r="I13945" s="48" t="s">
        <v>18310</v>
      </c>
    </row>
    <row r="13946" spans="2:9" ht="15" customHeight="1" x14ac:dyDescent="0.25">
      <c r="B13946" s="55" t="s">
        <v>281</v>
      </c>
      <c r="C13946" s="46">
        <v>3934</v>
      </c>
      <c r="D13946" s="69" t="s">
        <v>29418</v>
      </c>
      <c r="E13946" s="51"/>
      <c r="F13946" s="114" t="str">
        <f>IF(INDEX(I.Facility.P2bIDNumber,3934)="","",INDEX(I.Facility.P2bIDNumber,3934))</f>
        <v/>
      </c>
      <c r="G13946" s="51"/>
      <c r="H13946" s="46" t="str">
        <f>IF(AND(I.Developer.P2b=TRUE,I.Facility.P2bFacilityCount&gt;=3934,F13946=""),"Incomplete","Complete")</f>
        <v>Complete</v>
      </c>
      <c r="I13946" s="48" t="s">
        <v>18311</v>
      </c>
    </row>
    <row r="13947" spans="2:9" ht="15" customHeight="1" x14ac:dyDescent="0.25">
      <c r="B13947" s="55" t="s">
        <v>281</v>
      </c>
      <c r="C13947" s="46">
        <v>3935</v>
      </c>
      <c r="D13947" s="69" t="s">
        <v>29418</v>
      </c>
      <c r="E13947" s="51"/>
      <c r="F13947" s="114" t="str">
        <f>IF(INDEX(I.Facility.P2bIDNumber,3935)="","",INDEX(I.Facility.P2bIDNumber,3935))</f>
        <v/>
      </c>
      <c r="G13947" s="51"/>
      <c r="H13947" s="46" t="str">
        <f>IF(AND(I.Developer.P2b=TRUE,I.Facility.P2bFacilityCount&gt;=3935,F13947=""),"Incomplete","Complete")</f>
        <v>Complete</v>
      </c>
      <c r="I13947" s="48" t="s">
        <v>18312</v>
      </c>
    </row>
    <row r="13948" spans="2:9" ht="15" customHeight="1" x14ac:dyDescent="0.25">
      <c r="B13948" s="55" t="s">
        <v>281</v>
      </c>
      <c r="C13948" s="46">
        <v>3936</v>
      </c>
      <c r="D13948" s="69" t="s">
        <v>29418</v>
      </c>
      <c r="E13948" s="51"/>
      <c r="F13948" s="114" t="str">
        <f>IF(INDEX(I.Facility.P2bIDNumber,3936)="","",INDEX(I.Facility.P2bIDNumber,3936))</f>
        <v/>
      </c>
      <c r="G13948" s="51"/>
      <c r="H13948" s="46" t="str">
        <f>IF(AND(I.Developer.P2b=TRUE,I.Facility.P2bFacilityCount&gt;=3936,F13948=""),"Incomplete","Complete")</f>
        <v>Complete</v>
      </c>
      <c r="I13948" s="48" t="s">
        <v>18313</v>
      </c>
    </row>
    <row r="13949" spans="2:9" ht="15" customHeight="1" x14ac:dyDescent="0.25">
      <c r="B13949" s="55" t="s">
        <v>281</v>
      </c>
      <c r="C13949" s="46">
        <v>3937</v>
      </c>
      <c r="D13949" s="69" t="s">
        <v>29418</v>
      </c>
      <c r="E13949" s="51"/>
      <c r="F13949" s="114" t="str">
        <f>IF(INDEX(I.Facility.P2bIDNumber,3937)="","",INDEX(I.Facility.P2bIDNumber,3937))</f>
        <v/>
      </c>
      <c r="G13949" s="51"/>
      <c r="H13949" s="46" t="str">
        <f>IF(AND(I.Developer.P2b=TRUE,I.Facility.P2bFacilityCount&gt;=3937,F13949=""),"Incomplete","Complete")</f>
        <v>Complete</v>
      </c>
      <c r="I13949" s="48" t="s">
        <v>18314</v>
      </c>
    </row>
    <row r="13950" spans="2:9" ht="15" customHeight="1" x14ac:dyDescent="0.25">
      <c r="B13950" s="55" t="s">
        <v>281</v>
      </c>
      <c r="C13950" s="46">
        <v>3938</v>
      </c>
      <c r="D13950" s="69" t="s">
        <v>29418</v>
      </c>
      <c r="E13950" s="51"/>
      <c r="F13950" s="114" t="str">
        <f>IF(INDEX(I.Facility.P2bIDNumber,3938)="","",INDEX(I.Facility.P2bIDNumber,3938))</f>
        <v/>
      </c>
      <c r="G13950" s="51"/>
      <c r="H13950" s="46" t="str">
        <f>IF(AND(I.Developer.P2b=TRUE,I.Facility.P2bFacilityCount&gt;=3938,F13950=""),"Incomplete","Complete")</f>
        <v>Complete</v>
      </c>
      <c r="I13950" s="48" t="s">
        <v>18315</v>
      </c>
    </row>
    <row r="13951" spans="2:9" ht="15" customHeight="1" x14ac:dyDescent="0.25">
      <c r="B13951" s="55" t="s">
        <v>281</v>
      </c>
      <c r="C13951" s="46">
        <v>3939</v>
      </c>
      <c r="D13951" s="69" t="s">
        <v>29418</v>
      </c>
      <c r="E13951" s="51"/>
      <c r="F13951" s="114" t="str">
        <f>IF(INDEX(I.Facility.P2bIDNumber,3939)="","",INDEX(I.Facility.P2bIDNumber,3939))</f>
        <v/>
      </c>
      <c r="G13951" s="51"/>
      <c r="H13951" s="46" t="str">
        <f>IF(AND(I.Developer.P2b=TRUE,I.Facility.P2bFacilityCount&gt;=3939,F13951=""),"Incomplete","Complete")</f>
        <v>Complete</v>
      </c>
      <c r="I13951" s="48" t="s">
        <v>18316</v>
      </c>
    </row>
    <row r="13952" spans="2:9" ht="15" customHeight="1" x14ac:dyDescent="0.25">
      <c r="B13952" s="55" t="s">
        <v>281</v>
      </c>
      <c r="C13952" s="46">
        <v>3940</v>
      </c>
      <c r="D13952" s="69" t="s">
        <v>29418</v>
      </c>
      <c r="E13952" s="51"/>
      <c r="F13952" s="114" t="str">
        <f>IF(INDEX(I.Facility.P2bIDNumber,3940)="","",INDEX(I.Facility.P2bIDNumber,3940))</f>
        <v/>
      </c>
      <c r="G13952" s="51"/>
      <c r="H13952" s="46" t="str">
        <f>IF(AND(I.Developer.P2b=TRUE,I.Facility.P2bFacilityCount&gt;=3940,F13952=""),"Incomplete","Complete")</f>
        <v>Complete</v>
      </c>
      <c r="I13952" s="48" t="s">
        <v>18317</v>
      </c>
    </row>
    <row r="13953" spans="2:9" ht="15" customHeight="1" x14ac:dyDescent="0.25">
      <c r="B13953" s="55" t="s">
        <v>281</v>
      </c>
      <c r="C13953" s="46">
        <v>3941</v>
      </c>
      <c r="D13953" s="69" t="s">
        <v>29418</v>
      </c>
      <c r="E13953" s="51"/>
      <c r="F13953" s="114" t="str">
        <f>IF(INDEX(I.Facility.P2bIDNumber,3941)="","",INDEX(I.Facility.P2bIDNumber,3941))</f>
        <v/>
      </c>
      <c r="G13953" s="51"/>
      <c r="H13953" s="46" t="str">
        <f>IF(AND(I.Developer.P2b=TRUE,I.Facility.P2bFacilityCount&gt;=3941,F13953=""),"Incomplete","Complete")</f>
        <v>Complete</v>
      </c>
      <c r="I13953" s="48" t="s">
        <v>18318</v>
      </c>
    </row>
    <row r="13954" spans="2:9" ht="15" customHeight="1" x14ac:dyDescent="0.25">
      <c r="B13954" s="55" t="s">
        <v>281</v>
      </c>
      <c r="C13954" s="46">
        <v>3942</v>
      </c>
      <c r="D13954" s="69" t="s">
        <v>29418</v>
      </c>
      <c r="E13954" s="51"/>
      <c r="F13954" s="114" t="str">
        <f>IF(INDEX(I.Facility.P2bIDNumber,3942)="","",INDEX(I.Facility.P2bIDNumber,3942))</f>
        <v/>
      </c>
      <c r="G13954" s="51"/>
      <c r="H13954" s="46" t="str">
        <f>IF(AND(I.Developer.P2b=TRUE,I.Facility.P2bFacilityCount&gt;=3942,F13954=""),"Incomplete","Complete")</f>
        <v>Complete</v>
      </c>
      <c r="I13954" s="48" t="s">
        <v>18319</v>
      </c>
    </row>
    <row r="13955" spans="2:9" ht="15" customHeight="1" x14ac:dyDescent="0.25">
      <c r="B13955" s="55" t="s">
        <v>281</v>
      </c>
      <c r="C13955" s="46">
        <v>3943</v>
      </c>
      <c r="D13955" s="69" t="s">
        <v>29418</v>
      </c>
      <c r="E13955" s="51"/>
      <c r="F13955" s="114" t="str">
        <f>IF(INDEX(I.Facility.P2bIDNumber,3943)="","",INDEX(I.Facility.P2bIDNumber,3943))</f>
        <v/>
      </c>
      <c r="G13955" s="51"/>
      <c r="H13955" s="46" t="str">
        <f>IF(AND(I.Developer.P2b=TRUE,I.Facility.P2bFacilityCount&gt;=3943,F13955=""),"Incomplete","Complete")</f>
        <v>Complete</v>
      </c>
      <c r="I13955" s="48" t="s">
        <v>18320</v>
      </c>
    </row>
    <row r="13956" spans="2:9" ht="15" customHeight="1" x14ac:dyDescent="0.25">
      <c r="B13956" s="55" t="s">
        <v>281</v>
      </c>
      <c r="C13956" s="46">
        <v>3944</v>
      </c>
      <c r="D13956" s="69" t="s">
        <v>29418</v>
      </c>
      <c r="E13956" s="51"/>
      <c r="F13956" s="114" t="str">
        <f>IF(INDEX(I.Facility.P2bIDNumber,3944)="","",INDEX(I.Facility.P2bIDNumber,3944))</f>
        <v/>
      </c>
      <c r="G13956" s="51"/>
      <c r="H13956" s="46" t="str">
        <f>IF(AND(I.Developer.P2b=TRUE,I.Facility.P2bFacilityCount&gt;=3944,F13956=""),"Incomplete","Complete")</f>
        <v>Complete</v>
      </c>
      <c r="I13956" s="48" t="s">
        <v>18321</v>
      </c>
    </row>
    <row r="13957" spans="2:9" ht="15" customHeight="1" x14ac:dyDescent="0.25">
      <c r="B13957" s="55" t="s">
        <v>281</v>
      </c>
      <c r="C13957" s="46">
        <v>3945</v>
      </c>
      <c r="D13957" s="69" t="s">
        <v>29418</v>
      </c>
      <c r="E13957" s="51"/>
      <c r="F13957" s="114" t="str">
        <f>IF(INDEX(I.Facility.P2bIDNumber,3945)="","",INDEX(I.Facility.P2bIDNumber,3945))</f>
        <v/>
      </c>
      <c r="G13957" s="51"/>
      <c r="H13957" s="46" t="str">
        <f>IF(AND(I.Developer.P2b=TRUE,I.Facility.P2bFacilityCount&gt;=3945,F13957=""),"Incomplete","Complete")</f>
        <v>Complete</v>
      </c>
      <c r="I13957" s="48" t="s">
        <v>18322</v>
      </c>
    </row>
    <row r="13958" spans="2:9" ht="15" customHeight="1" x14ac:dyDescent="0.25">
      <c r="B13958" s="55" t="s">
        <v>281</v>
      </c>
      <c r="C13958" s="46">
        <v>3946</v>
      </c>
      <c r="D13958" s="69" t="s">
        <v>29418</v>
      </c>
      <c r="E13958" s="51"/>
      <c r="F13958" s="114" t="str">
        <f>IF(INDEX(I.Facility.P2bIDNumber,3946)="","",INDEX(I.Facility.P2bIDNumber,3946))</f>
        <v/>
      </c>
      <c r="G13958" s="51"/>
      <c r="H13958" s="46" t="str">
        <f>IF(AND(I.Developer.P2b=TRUE,I.Facility.P2bFacilityCount&gt;=3946,F13958=""),"Incomplete","Complete")</f>
        <v>Complete</v>
      </c>
      <c r="I13958" s="48" t="s">
        <v>18323</v>
      </c>
    </row>
    <row r="13959" spans="2:9" ht="15" customHeight="1" x14ac:dyDescent="0.25">
      <c r="B13959" s="55" t="s">
        <v>281</v>
      </c>
      <c r="C13959" s="46">
        <v>3947</v>
      </c>
      <c r="D13959" s="69" t="s">
        <v>29418</v>
      </c>
      <c r="E13959" s="51"/>
      <c r="F13959" s="114" t="str">
        <f>IF(INDEX(I.Facility.P2bIDNumber,3947)="","",INDEX(I.Facility.P2bIDNumber,3947))</f>
        <v/>
      </c>
      <c r="G13959" s="51"/>
      <c r="H13959" s="46" t="str">
        <f>IF(AND(I.Developer.P2b=TRUE,I.Facility.P2bFacilityCount&gt;=3947,F13959=""),"Incomplete","Complete")</f>
        <v>Complete</v>
      </c>
      <c r="I13959" s="48" t="s">
        <v>18324</v>
      </c>
    </row>
    <row r="13960" spans="2:9" ht="15" customHeight="1" x14ac:dyDescent="0.25">
      <c r="B13960" s="55" t="s">
        <v>281</v>
      </c>
      <c r="C13960" s="46">
        <v>3948</v>
      </c>
      <c r="D13960" s="69" t="s">
        <v>29418</v>
      </c>
      <c r="E13960" s="51"/>
      <c r="F13960" s="114" t="str">
        <f>IF(INDEX(I.Facility.P2bIDNumber,3948)="","",INDEX(I.Facility.P2bIDNumber,3948))</f>
        <v/>
      </c>
      <c r="G13960" s="51"/>
      <c r="H13960" s="46" t="str">
        <f>IF(AND(I.Developer.P2b=TRUE,I.Facility.P2bFacilityCount&gt;=3948,F13960=""),"Incomplete","Complete")</f>
        <v>Complete</v>
      </c>
      <c r="I13960" s="48" t="s">
        <v>18325</v>
      </c>
    </row>
    <row r="13961" spans="2:9" ht="15" customHeight="1" x14ac:dyDescent="0.25">
      <c r="B13961" s="55" t="s">
        <v>281</v>
      </c>
      <c r="C13961" s="46">
        <v>3949</v>
      </c>
      <c r="D13961" s="69" t="s">
        <v>29418</v>
      </c>
      <c r="E13961" s="51"/>
      <c r="F13961" s="114" t="str">
        <f>IF(INDEX(I.Facility.P2bIDNumber,3949)="","",INDEX(I.Facility.P2bIDNumber,3949))</f>
        <v/>
      </c>
      <c r="G13961" s="51"/>
      <c r="H13961" s="46" t="str">
        <f>IF(AND(I.Developer.P2b=TRUE,I.Facility.P2bFacilityCount&gt;=3949,F13961=""),"Incomplete","Complete")</f>
        <v>Complete</v>
      </c>
      <c r="I13961" s="48" t="s">
        <v>18326</v>
      </c>
    </row>
    <row r="13962" spans="2:9" ht="15" customHeight="1" x14ac:dyDescent="0.25">
      <c r="B13962" s="55" t="s">
        <v>281</v>
      </c>
      <c r="C13962" s="46">
        <v>3950</v>
      </c>
      <c r="D13962" s="69" t="s">
        <v>29418</v>
      </c>
      <c r="E13962" s="51"/>
      <c r="F13962" s="114" t="str">
        <f>IF(INDEX(I.Facility.P2bIDNumber,3950)="","",INDEX(I.Facility.P2bIDNumber,3950))</f>
        <v/>
      </c>
      <c r="G13962" s="51"/>
      <c r="H13962" s="46" t="str">
        <f>IF(AND(I.Developer.P2b=TRUE,I.Facility.P2bFacilityCount&gt;=3950,F13962=""),"Incomplete","Complete")</f>
        <v>Complete</v>
      </c>
      <c r="I13962" s="48" t="s">
        <v>18327</v>
      </c>
    </row>
    <row r="13963" spans="2:9" ht="15" customHeight="1" x14ac:dyDescent="0.25">
      <c r="B13963" s="55" t="s">
        <v>281</v>
      </c>
      <c r="C13963" s="46">
        <v>3951</v>
      </c>
      <c r="D13963" s="69" t="s">
        <v>29418</v>
      </c>
      <c r="E13963" s="51"/>
      <c r="F13963" s="114" t="str">
        <f>IF(INDEX(I.Facility.P2bIDNumber,3951)="","",INDEX(I.Facility.P2bIDNumber,3951))</f>
        <v/>
      </c>
      <c r="G13963" s="51"/>
      <c r="H13963" s="46" t="str">
        <f>IF(AND(I.Developer.P2b=TRUE,I.Facility.P2bFacilityCount&gt;=3951,F13963=""),"Incomplete","Complete")</f>
        <v>Complete</v>
      </c>
      <c r="I13963" s="48" t="s">
        <v>18328</v>
      </c>
    </row>
    <row r="13964" spans="2:9" ht="15" customHeight="1" x14ac:dyDescent="0.25">
      <c r="B13964" s="55" t="s">
        <v>281</v>
      </c>
      <c r="C13964" s="46">
        <v>3952</v>
      </c>
      <c r="D13964" s="69" t="s">
        <v>29418</v>
      </c>
      <c r="E13964" s="51"/>
      <c r="F13964" s="114" t="str">
        <f>IF(INDEX(I.Facility.P2bIDNumber,3952)="","",INDEX(I.Facility.P2bIDNumber,3952))</f>
        <v/>
      </c>
      <c r="G13964" s="51"/>
      <c r="H13964" s="46" t="str">
        <f>IF(AND(I.Developer.P2b=TRUE,I.Facility.P2bFacilityCount&gt;=3952,F13964=""),"Incomplete","Complete")</f>
        <v>Complete</v>
      </c>
      <c r="I13964" s="48" t="s">
        <v>18329</v>
      </c>
    </row>
    <row r="13965" spans="2:9" ht="15" customHeight="1" x14ac:dyDescent="0.25">
      <c r="B13965" s="55" t="s">
        <v>281</v>
      </c>
      <c r="C13965" s="46">
        <v>3953</v>
      </c>
      <c r="D13965" s="69" t="s">
        <v>29418</v>
      </c>
      <c r="E13965" s="51"/>
      <c r="F13965" s="114" t="str">
        <f>IF(INDEX(I.Facility.P2bIDNumber,3953)="","",INDEX(I.Facility.P2bIDNumber,3953))</f>
        <v/>
      </c>
      <c r="G13965" s="51"/>
      <c r="H13965" s="46" t="str">
        <f>IF(AND(I.Developer.P2b=TRUE,I.Facility.P2bFacilityCount&gt;=3953,F13965=""),"Incomplete","Complete")</f>
        <v>Complete</v>
      </c>
      <c r="I13965" s="48" t="s">
        <v>18330</v>
      </c>
    </row>
    <row r="13966" spans="2:9" ht="15" customHeight="1" x14ac:dyDescent="0.25">
      <c r="B13966" s="55" t="s">
        <v>281</v>
      </c>
      <c r="C13966" s="46">
        <v>3954</v>
      </c>
      <c r="D13966" s="69" t="s">
        <v>29418</v>
      </c>
      <c r="E13966" s="51"/>
      <c r="F13966" s="114" t="str">
        <f>IF(INDEX(I.Facility.P2bIDNumber,3954)="","",INDEX(I.Facility.P2bIDNumber,3954))</f>
        <v/>
      </c>
      <c r="G13966" s="51"/>
      <c r="H13966" s="46" t="str">
        <f>IF(AND(I.Developer.P2b=TRUE,I.Facility.P2bFacilityCount&gt;=3954,F13966=""),"Incomplete","Complete")</f>
        <v>Complete</v>
      </c>
      <c r="I13966" s="48" t="s">
        <v>18331</v>
      </c>
    </row>
    <row r="13967" spans="2:9" ht="15" customHeight="1" x14ac:dyDescent="0.25">
      <c r="B13967" s="55" t="s">
        <v>281</v>
      </c>
      <c r="C13967" s="46">
        <v>3955</v>
      </c>
      <c r="D13967" s="69" t="s">
        <v>29418</v>
      </c>
      <c r="E13967" s="51"/>
      <c r="F13967" s="114" t="str">
        <f>IF(INDEX(I.Facility.P2bIDNumber,3955)="","",INDEX(I.Facility.P2bIDNumber,3955))</f>
        <v/>
      </c>
      <c r="G13967" s="51"/>
      <c r="H13967" s="46" t="str">
        <f>IF(AND(I.Developer.P2b=TRUE,I.Facility.P2bFacilityCount&gt;=3955,F13967=""),"Incomplete","Complete")</f>
        <v>Complete</v>
      </c>
      <c r="I13967" s="48" t="s">
        <v>18332</v>
      </c>
    </row>
    <row r="13968" spans="2:9" ht="15" customHeight="1" x14ac:dyDescent="0.25">
      <c r="B13968" s="55" t="s">
        <v>281</v>
      </c>
      <c r="C13968" s="46">
        <v>3956</v>
      </c>
      <c r="D13968" s="69" t="s">
        <v>29418</v>
      </c>
      <c r="E13968" s="51"/>
      <c r="F13968" s="114" t="str">
        <f>IF(INDEX(I.Facility.P2bIDNumber,3956)="","",INDEX(I.Facility.P2bIDNumber,3956))</f>
        <v/>
      </c>
      <c r="G13968" s="51"/>
      <c r="H13968" s="46" t="str">
        <f>IF(AND(I.Developer.P2b=TRUE,I.Facility.P2bFacilityCount&gt;=3956,F13968=""),"Incomplete","Complete")</f>
        <v>Complete</v>
      </c>
      <c r="I13968" s="48" t="s">
        <v>18333</v>
      </c>
    </row>
    <row r="13969" spans="2:9" ht="15" customHeight="1" x14ac:dyDescent="0.25">
      <c r="B13969" s="55" t="s">
        <v>281</v>
      </c>
      <c r="C13969" s="46">
        <v>3957</v>
      </c>
      <c r="D13969" s="69" t="s">
        <v>29418</v>
      </c>
      <c r="E13969" s="51"/>
      <c r="F13969" s="114" t="str">
        <f>IF(INDEX(I.Facility.P2bIDNumber,3957)="","",INDEX(I.Facility.P2bIDNumber,3957))</f>
        <v/>
      </c>
      <c r="G13969" s="51"/>
      <c r="H13969" s="46" t="str">
        <f>IF(AND(I.Developer.P2b=TRUE,I.Facility.P2bFacilityCount&gt;=3957,F13969=""),"Incomplete","Complete")</f>
        <v>Complete</v>
      </c>
      <c r="I13969" s="48" t="s">
        <v>18334</v>
      </c>
    </row>
    <row r="13970" spans="2:9" ht="15" customHeight="1" x14ac:dyDescent="0.25">
      <c r="B13970" s="55" t="s">
        <v>281</v>
      </c>
      <c r="C13970" s="46">
        <v>3958</v>
      </c>
      <c r="D13970" s="69" t="s">
        <v>29418</v>
      </c>
      <c r="E13970" s="51"/>
      <c r="F13970" s="114" t="str">
        <f>IF(INDEX(I.Facility.P2bIDNumber,3958)="","",INDEX(I.Facility.P2bIDNumber,3958))</f>
        <v/>
      </c>
      <c r="G13970" s="51"/>
      <c r="H13970" s="46" t="str">
        <f>IF(AND(I.Developer.P2b=TRUE,I.Facility.P2bFacilityCount&gt;=3958,F13970=""),"Incomplete","Complete")</f>
        <v>Complete</v>
      </c>
      <c r="I13970" s="48" t="s">
        <v>18335</v>
      </c>
    </row>
    <row r="13971" spans="2:9" ht="15" customHeight="1" x14ac:dyDescent="0.25">
      <c r="B13971" s="55" t="s">
        <v>281</v>
      </c>
      <c r="C13971" s="46">
        <v>3959</v>
      </c>
      <c r="D13971" s="69" t="s">
        <v>29418</v>
      </c>
      <c r="E13971" s="51"/>
      <c r="F13971" s="114" t="str">
        <f>IF(INDEX(I.Facility.P2bIDNumber,3959)="","",INDEX(I.Facility.P2bIDNumber,3959))</f>
        <v/>
      </c>
      <c r="G13971" s="51"/>
      <c r="H13971" s="46" t="str">
        <f>IF(AND(I.Developer.P2b=TRUE,I.Facility.P2bFacilityCount&gt;=3959,F13971=""),"Incomplete","Complete")</f>
        <v>Complete</v>
      </c>
      <c r="I13971" s="48" t="s">
        <v>18336</v>
      </c>
    </row>
    <row r="13972" spans="2:9" ht="15" customHeight="1" x14ac:dyDescent="0.25">
      <c r="B13972" s="55" t="s">
        <v>281</v>
      </c>
      <c r="C13972" s="46">
        <v>3960</v>
      </c>
      <c r="D13972" s="69" t="s">
        <v>29418</v>
      </c>
      <c r="E13972" s="51"/>
      <c r="F13972" s="114" t="str">
        <f>IF(INDEX(I.Facility.P2bIDNumber,3960)="","",INDEX(I.Facility.P2bIDNumber,3960))</f>
        <v/>
      </c>
      <c r="G13972" s="51"/>
      <c r="H13972" s="46" t="str">
        <f>IF(AND(I.Developer.P2b=TRUE,I.Facility.P2bFacilityCount&gt;=3960,F13972=""),"Incomplete","Complete")</f>
        <v>Complete</v>
      </c>
      <c r="I13972" s="48" t="s">
        <v>18337</v>
      </c>
    </row>
    <row r="13973" spans="2:9" ht="15" customHeight="1" x14ac:dyDescent="0.25">
      <c r="B13973" s="55" t="s">
        <v>281</v>
      </c>
      <c r="C13973" s="46">
        <v>3961</v>
      </c>
      <c r="D13973" s="69" t="s">
        <v>29418</v>
      </c>
      <c r="E13973" s="51"/>
      <c r="F13973" s="114" t="str">
        <f>IF(INDEX(I.Facility.P2bIDNumber,3961)="","",INDEX(I.Facility.P2bIDNumber,3961))</f>
        <v/>
      </c>
      <c r="G13973" s="51"/>
      <c r="H13973" s="46" t="str">
        <f>IF(AND(I.Developer.P2b=TRUE,I.Facility.P2bFacilityCount&gt;=3961,F13973=""),"Incomplete","Complete")</f>
        <v>Complete</v>
      </c>
      <c r="I13973" s="48" t="s">
        <v>18338</v>
      </c>
    </row>
    <row r="13974" spans="2:9" ht="15" customHeight="1" x14ac:dyDescent="0.25">
      <c r="B13974" s="55" t="s">
        <v>281</v>
      </c>
      <c r="C13974" s="46">
        <v>3962</v>
      </c>
      <c r="D13974" s="69" t="s">
        <v>29418</v>
      </c>
      <c r="E13974" s="51"/>
      <c r="F13974" s="114" t="str">
        <f>IF(INDEX(I.Facility.P2bIDNumber,3962)="","",INDEX(I.Facility.P2bIDNumber,3962))</f>
        <v/>
      </c>
      <c r="G13974" s="51"/>
      <c r="H13974" s="46" t="str">
        <f>IF(AND(I.Developer.P2b=TRUE,I.Facility.P2bFacilityCount&gt;=3962,F13974=""),"Incomplete","Complete")</f>
        <v>Complete</v>
      </c>
      <c r="I13974" s="48" t="s">
        <v>18339</v>
      </c>
    </row>
    <row r="13975" spans="2:9" ht="15" customHeight="1" x14ac:dyDescent="0.25">
      <c r="B13975" s="55" t="s">
        <v>281</v>
      </c>
      <c r="C13975" s="46">
        <v>3963</v>
      </c>
      <c r="D13975" s="69" t="s">
        <v>29418</v>
      </c>
      <c r="E13975" s="51"/>
      <c r="F13975" s="114" t="str">
        <f>IF(INDEX(I.Facility.P2bIDNumber,3963)="","",INDEX(I.Facility.P2bIDNumber,3963))</f>
        <v/>
      </c>
      <c r="G13975" s="51"/>
      <c r="H13975" s="46" t="str">
        <f>IF(AND(I.Developer.P2b=TRUE,I.Facility.P2bFacilityCount&gt;=3963,F13975=""),"Incomplete","Complete")</f>
        <v>Complete</v>
      </c>
      <c r="I13975" s="48" t="s">
        <v>18340</v>
      </c>
    </row>
    <row r="13976" spans="2:9" ht="15" customHeight="1" x14ac:dyDescent="0.25">
      <c r="B13976" s="55" t="s">
        <v>281</v>
      </c>
      <c r="C13976" s="46">
        <v>3964</v>
      </c>
      <c r="D13976" s="69" t="s">
        <v>29418</v>
      </c>
      <c r="E13976" s="51"/>
      <c r="F13976" s="114" t="str">
        <f>IF(INDEX(I.Facility.P2bIDNumber,3964)="","",INDEX(I.Facility.P2bIDNumber,3964))</f>
        <v/>
      </c>
      <c r="G13976" s="51"/>
      <c r="H13976" s="46" t="str">
        <f>IF(AND(I.Developer.P2b=TRUE,I.Facility.P2bFacilityCount&gt;=3964,F13976=""),"Incomplete","Complete")</f>
        <v>Complete</v>
      </c>
      <c r="I13976" s="48" t="s">
        <v>18341</v>
      </c>
    </row>
    <row r="13977" spans="2:9" ht="15" customHeight="1" x14ac:dyDescent="0.25">
      <c r="B13977" s="55" t="s">
        <v>281</v>
      </c>
      <c r="C13977" s="46">
        <v>3965</v>
      </c>
      <c r="D13977" s="69" t="s">
        <v>29418</v>
      </c>
      <c r="E13977" s="51"/>
      <c r="F13977" s="114" t="str">
        <f>IF(INDEX(I.Facility.P2bIDNumber,3965)="","",INDEX(I.Facility.P2bIDNumber,3965))</f>
        <v/>
      </c>
      <c r="G13977" s="51"/>
      <c r="H13977" s="46" t="str">
        <f>IF(AND(I.Developer.P2b=TRUE,I.Facility.P2bFacilityCount&gt;=3965,F13977=""),"Incomplete","Complete")</f>
        <v>Complete</v>
      </c>
      <c r="I13977" s="48" t="s">
        <v>18342</v>
      </c>
    </row>
    <row r="13978" spans="2:9" ht="15" customHeight="1" x14ac:dyDescent="0.25">
      <c r="B13978" s="55" t="s">
        <v>281</v>
      </c>
      <c r="C13978" s="46">
        <v>3966</v>
      </c>
      <c r="D13978" s="69" t="s">
        <v>29418</v>
      </c>
      <c r="E13978" s="51"/>
      <c r="F13978" s="114" t="str">
        <f>IF(INDEX(I.Facility.P2bIDNumber,3966)="","",INDEX(I.Facility.P2bIDNumber,3966))</f>
        <v/>
      </c>
      <c r="G13978" s="51"/>
      <c r="H13978" s="46" t="str">
        <f>IF(AND(I.Developer.P2b=TRUE,I.Facility.P2bFacilityCount&gt;=3966,F13978=""),"Incomplete","Complete")</f>
        <v>Complete</v>
      </c>
      <c r="I13978" s="48" t="s">
        <v>18343</v>
      </c>
    </row>
    <row r="13979" spans="2:9" ht="15" customHeight="1" x14ac:dyDescent="0.25">
      <c r="B13979" s="55" t="s">
        <v>281</v>
      </c>
      <c r="C13979" s="46">
        <v>3967</v>
      </c>
      <c r="D13979" s="69" t="s">
        <v>29418</v>
      </c>
      <c r="E13979" s="51"/>
      <c r="F13979" s="114" t="str">
        <f>IF(INDEX(I.Facility.P2bIDNumber,3967)="","",INDEX(I.Facility.P2bIDNumber,3967))</f>
        <v/>
      </c>
      <c r="G13979" s="51"/>
      <c r="H13979" s="46" t="str">
        <f>IF(AND(I.Developer.P2b=TRUE,I.Facility.P2bFacilityCount&gt;=3967,F13979=""),"Incomplete","Complete")</f>
        <v>Complete</v>
      </c>
      <c r="I13979" s="48" t="s">
        <v>18344</v>
      </c>
    </row>
    <row r="13980" spans="2:9" ht="15" customHeight="1" x14ac:dyDescent="0.25">
      <c r="B13980" s="55" t="s">
        <v>281</v>
      </c>
      <c r="C13980" s="46">
        <v>3968</v>
      </c>
      <c r="D13980" s="69" t="s">
        <v>29418</v>
      </c>
      <c r="E13980" s="51"/>
      <c r="F13980" s="114" t="str">
        <f>IF(INDEX(I.Facility.P2bIDNumber,3968)="","",INDEX(I.Facility.P2bIDNumber,3968))</f>
        <v/>
      </c>
      <c r="G13980" s="51"/>
      <c r="H13980" s="46" t="str">
        <f>IF(AND(I.Developer.P2b=TRUE,I.Facility.P2bFacilityCount&gt;=3968,F13980=""),"Incomplete","Complete")</f>
        <v>Complete</v>
      </c>
      <c r="I13980" s="48" t="s">
        <v>18345</v>
      </c>
    </row>
    <row r="13981" spans="2:9" ht="15" customHeight="1" x14ac:dyDescent="0.25">
      <c r="B13981" s="55" t="s">
        <v>281</v>
      </c>
      <c r="C13981" s="46">
        <v>3969</v>
      </c>
      <c r="D13981" s="69" t="s">
        <v>29418</v>
      </c>
      <c r="E13981" s="51"/>
      <c r="F13981" s="114" t="str">
        <f>IF(INDEX(I.Facility.P2bIDNumber,3969)="","",INDEX(I.Facility.P2bIDNumber,3969))</f>
        <v/>
      </c>
      <c r="G13981" s="51"/>
      <c r="H13981" s="46" t="str">
        <f>IF(AND(I.Developer.P2b=TRUE,I.Facility.P2bFacilityCount&gt;=3969,F13981=""),"Incomplete","Complete")</f>
        <v>Complete</v>
      </c>
      <c r="I13981" s="48" t="s">
        <v>18346</v>
      </c>
    </row>
    <row r="13982" spans="2:9" ht="15" customHeight="1" x14ac:dyDescent="0.25">
      <c r="B13982" s="55" t="s">
        <v>281</v>
      </c>
      <c r="C13982" s="46">
        <v>3970</v>
      </c>
      <c r="D13982" s="69" t="s">
        <v>29418</v>
      </c>
      <c r="E13982" s="51"/>
      <c r="F13982" s="114" t="str">
        <f>IF(INDEX(I.Facility.P2bIDNumber,3970)="","",INDEX(I.Facility.P2bIDNumber,3970))</f>
        <v/>
      </c>
      <c r="G13982" s="51"/>
      <c r="H13982" s="46" t="str">
        <f>IF(AND(I.Developer.P2b=TRUE,I.Facility.P2bFacilityCount&gt;=3970,F13982=""),"Incomplete","Complete")</f>
        <v>Complete</v>
      </c>
      <c r="I13982" s="48" t="s">
        <v>18347</v>
      </c>
    </row>
    <row r="13983" spans="2:9" ht="15" customHeight="1" x14ac:dyDescent="0.25">
      <c r="B13983" s="55" t="s">
        <v>281</v>
      </c>
      <c r="C13983" s="46">
        <v>3971</v>
      </c>
      <c r="D13983" s="69" t="s">
        <v>29418</v>
      </c>
      <c r="E13983" s="51"/>
      <c r="F13983" s="114" t="str">
        <f>IF(INDEX(I.Facility.P2bIDNumber,3971)="","",INDEX(I.Facility.P2bIDNumber,3971))</f>
        <v/>
      </c>
      <c r="G13983" s="51"/>
      <c r="H13983" s="46" t="str">
        <f>IF(AND(I.Developer.P2b=TRUE,I.Facility.P2bFacilityCount&gt;=3971,F13983=""),"Incomplete","Complete")</f>
        <v>Complete</v>
      </c>
      <c r="I13983" s="48" t="s">
        <v>18348</v>
      </c>
    </row>
    <row r="13984" spans="2:9" ht="15" customHeight="1" x14ac:dyDescent="0.25">
      <c r="B13984" s="55" t="s">
        <v>281</v>
      </c>
      <c r="C13984" s="46">
        <v>3972</v>
      </c>
      <c r="D13984" s="69" t="s">
        <v>29418</v>
      </c>
      <c r="E13984" s="51"/>
      <c r="F13984" s="114" t="str">
        <f>IF(INDEX(I.Facility.P2bIDNumber,3972)="","",INDEX(I.Facility.P2bIDNumber,3972))</f>
        <v/>
      </c>
      <c r="G13984" s="51"/>
      <c r="H13984" s="46" t="str">
        <f>IF(AND(I.Developer.P2b=TRUE,I.Facility.P2bFacilityCount&gt;=3972,F13984=""),"Incomplete","Complete")</f>
        <v>Complete</v>
      </c>
      <c r="I13984" s="48" t="s">
        <v>18349</v>
      </c>
    </row>
    <row r="13985" spans="2:9" ht="15" customHeight="1" x14ac:dyDescent="0.25">
      <c r="B13985" s="55" t="s">
        <v>281</v>
      </c>
      <c r="C13985" s="46">
        <v>3973</v>
      </c>
      <c r="D13985" s="69" t="s">
        <v>29418</v>
      </c>
      <c r="E13985" s="51"/>
      <c r="F13985" s="114" t="str">
        <f>IF(INDEX(I.Facility.P2bIDNumber,3973)="","",INDEX(I.Facility.P2bIDNumber,3973))</f>
        <v/>
      </c>
      <c r="G13985" s="51"/>
      <c r="H13985" s="46" t="str">
        <f>IF(AND(I.Developer.P2b=TRUE,I.Facility.P2bFacilityCount&gt;=3973,F13985=""),"Incomplete","Complete")</f>
        <v>Complete</v>
      </c>
      <c r="I13985" s="48" t="s">
        <v>18350</v>
      </c>
    </row>
    <row r="13986" spans="2:9" ht="15" customHeight="1" x14ac:dyDescent="0.25">
      <c r="B13986" s="55" t="s">
        <v>281</v>
      </c>
      <c r="C13986" s="46">
        <v>3974</v>
      </c>
      <c r="D13986" s="69" t="s">
        <v>29418</v>
      </c>
      <c r="E13986" s="51"/>
      <c r="F13986" s="114" t="str">
        <f>IF(INDEX(I.Facility.P2bIDNumber,3974)="","",INDEX(I.Facility.P2bIDNumber,3974))</f>
        <v/>
      </c>
      <c r="G13986" s="51"/>
      <c r="H13986" s="46" t="str">
        <f>IF(AND(I.Developer.P2b=TRUE,I.Facility.P2bFacilityCount&gt;=3974,F13986=""),"Incomplete","Complete")</f>
        <v>Complete</v>
      </c>
      <c r="I13986" s="48" t="s">
        <v>18351</v>
      </c>
    </row>
    <row r="13987" spans="2:9" ht="15" customHeight="1" x14ac:dyDescent="0.25">
      <c r="B13987" s="55" t="s">
        <v>281</v>
      </c>
      <c r="C13987" s="46">
        <v>3975</v>
      </c>
      <c r="D13987" s="69" t="s">
        <v>29418</v>
      </c>
      <c r="E13987" s="51"/>
      <c r="F13987" s="114" t="str">
        <f>IF(INDEX(I.Facility.P2bIDNumber,3975)="","",INDEX(I.Facility.P2bIDNumber,3975))</f>
        <v/>
      </c>
      <c r="G13987" s="51"/>
      <c r="H13987" s="46" t="str">
        <f>IF(AND(I.Developer.P2b=TRUE,I.Facility.P2bFacilityCount&gt;=3975,F13987=""),"Incomplete","Complete")</f>
        <v>Complete</v>
      </c>
      <c r="I13987" s="48" t="s">
        <v>18352</v>
      </c>
    </row>
    <row r="13988" spans="2:9" ht="15" customHeight="1" x14ac:dyDescent="0.25">
      <c r="B13988" s="55" t="s">
        <v>281</v>
      </c>
      <c r="C13988" s="46">
        <v>3976</v>
      </c>
      <c r="D13988" s="69" t="s">
        <v>29418</v>
      </c>
      <c r="E13988" s="51"/>
      <c r="F13988" s="114" t="str">
        <f>IF(INDEX(I.Facility.P2bIDNumber,3976)="","",INDEX(I.Facility.P2bIDNumber,3976))</f>
        <v/>
      </c>
      <c r="G13988" s="51"/>
      <c r="H13988" s="46" t="str">
        <f>IF(AND(I.Developer.P2b=TRUE,I.Facility.P2bFacilityCount&gt;=3976,F13988=""),"Incomplete","Complete")</f>
        <v>Complete</v>
      </c>
      <c r="I13988" s="48" t="s">
        <v>18353</v>
      </c>
    </row>
    <row r="13989" spans="2:9" ht="15" customHeight="1" x14ac:dyDescent="0.25">
      <c r="B13989" s="55" t="s">
        <v>281</v>
      </c>
      <c r="C13989" s="46">
        <v>3977</v>
      </c>
      <c r="D13989" s="69" t="s">
        <v>29418</v>
      </c>
      <c r="E13989" s="51"/>
      <c r="F13989" s="114" t="str">
        <f>IF(INDEX(I.Facility.P2bIDNumber,3977)="","",INDEX(I.Facility.P2bIDNumber,3977))</f>
        <v/>
      </c>
      <c r="G13989" s="51"/>
      <c r="H13989" s="46" t="str">
        <f>IF(AND(I.Developer.P2b=TRUE,I.Facility.P2bFacilityCount&gt;=3977,F13989=""),"Incomplete","Complete")</f>
        <v>Complete</v>
      </c>
      <c r="I13989" s="48" t="s">
        <v>18354</v>
      </c>
    </row>
    <row r="13990" spans="2:9" ht="15" customHeight="1" x14ac:dyDescent="0.25">
      <c r="B13990" s="55" t="s">
        <v>281</v>
      </c>
      <c r="C13990" s="46">
        <v>3978</v>
      </c>
      <c r="D13990" s="69" t="s">
        <v>29418</v>
      </c>
      <c r="E13990" s="51"/>
      <c r="F13990" s="114" t="str">
        <f>IF(INDEX(I.Facility.P2bIDNumber,3978)="","",INDEX(I.Facility.P2bIDNumber,3978))</f>
        <v/>
      </c>
      <c r="G13990" s="51"/>
      <c r="H13990" s="46" t="str">
        <f>IF(AND(I.Developer.P2b=TRUE,I.Facility.P2bFacilityCount&gt;=3978,F13990=""),"Incomplete","Complete")</f>
        <v>Complete</v>
      </c>
      <c r="I13990" s="48" t="s">
        <v>18355</v>
      </c>
    </row>
    <row r="13991" spans="2:9" ht="15" customHeight="1" x14ac:dyDescent="0.25">
      <c r="B13991" s="55" t="s">
        <v>281</v>
      </c>
      <c r="C13991" s="46">
        <v>3979</v>
      </c>
      <c r="D13991" s="69" t="s">
        <v>29418</v>
      </c>
      <c r="E13991" s="51"/>
      <c r="F13991" s="114" t="str">
        <f>IF(INDEX(I.Facility.P2bIDNumber,3979)="","",INDEX(I.Facility.P2bIDNumber,3979))</f>
        <v/>
      </c>
      <c r="G13991" s="51"/>
      <c r="H13991" s="46" t="str">
        <f>IF(AND(I.Developer.P2b=TRUE,I.Facility.P2bFacilityCount&gt;=3979,F13991=""),"Incomplete","Complete")</f>
        <v>Complete</v>
      </c>
      <c r="I13991" s="48" t="s">
        <v>18356</v>
      </c>
    </row>
    <row r="13992" spans="2:9" ht="15" customHeight="1" x14ac:dyDescent="0.25">
      <c r="B13992" s="55" t="s">
        <v>281</v>
      </c>
      <c r="C13992" s="46">
        <v>3980</v>
      </c>
      <c r="D13992" s="69" t="s">
        <v>29418</v>
      </c>
      <c r="E13992" s="51"/>
      <c r="F13992" s="114" t="str">
        <f>IF(INDEX(I.Facility.P2bIDNumber,3980)="","",INDEX(I.Facility.P2bIDNumber,3980))</f>
        <v/>
      </c>
      <c r="G13992" s="51"/>
      <c r="H13992" s="46" t="str">
        <f>IF(AND(I.Developer.P2b=TRUE,I.Facility.P2bFacilityCount&gt;=3980,F13992=""),"Incomplete","Complete")</f>
        <v>Complete</v>
      </c>
      <c r="I13992" s="48" t="s">
        <v>18357</v>
      </c>
    </row>
    <row r="13993" spans="2:9" ht="15" customHeight="1" x14ac:dyDescent="0.25">
      <c r="B13993" s="55" t="s">
        <v>281</v>
      </c>
      <c r="C13993" s="46">
        <v>3981</v>
      </c>
      <c r="D13993" s="69" t="s">
        <v>29418</v>
      </c>
      <c r="E13993" s="51"/>
      <c r="F13993" s="114" t="str">
        <f>IF(INDEX(I.Facility.P2bIDNumber,3981)="","",INDEX(I.Facility.P2bIDNumber,3981))</f>
        <v/>
      </c>
      <c r="G13993" s="51"/>
      <c r="H13993" s="46" t="str">
        <f>IF(AND(I.Developer.P2b=TRUE,I.Facility.P2bFacilityCount&gt;=3981,F13993=""),"Incomplete","Complete")</f>
        <v>Complete</v>
      </c>
      <c r="I13993" s="48" t="s">
        <v>18358</v>
      </c>
    </row>
    <row r="13994" spans="2:9" ht="15" customHeight="1" x14ac:dyDescent="0.25">
      <c r="B13994" s="55" t="s">
        <v>281</v>
      </c>
      <c r="C13994" s="46">
        <v>3982</v>
      </c>
      <c r="D13994" s="69" t="s">
        <v>29418</v>
      </c>
      <c r="E13994" s="51"/>
      <c r="F13994" s="114" t="str">
        <f>IF(INDEX(I.Facility.P2bIDNumber,3982)="","",INDEX(I.Facility.P2bIDNumber,3982))</f>
        <v/>
      </c>
      <c r="G13994" s="51"/>
      <c r="H13994" s="46" t="str">
        <f>IF(AND(I.Developer.P2b=TRUE,I.Facility.P2bFacilityCount&gt;=3982,F13994=""),"Incomplete","Complete")</f>
        <v>Complete</v>
      </c>
      <c r="I13994" s="48" t="s">
        <v>18359</v>
      </c>
    </row>
    <row r="13995" spans="2:9" ht="15" customHeight="1" x14ac:dyDescent="0.25">
      <c r="B13995" s="55" t="s">
        <v>281</v>
      </c>
      <c r="C13995" s="46">
        <v>3983</v>
      </c>
      <c r="D13995" s="69" t="s">
        <v>29418</v>
      </c>
      <c r="E13995" s="51"/>
      <c r="F13995" s="114" t="str">
        <f>IF(INDEX(I.Facility.P2bIDNumber,3983)="","",INDEX(I.Facility.P2bIDNumber,3983))</f>
        <v/>
      </c>
      <c r="G13995" s="51"/>
      <c r="H13995" s="46" t="str">
        <f>IF(AND(I.Developer.P2b=TRUE,I.Facility.P2bFacilityCount&gt;=3983,F13995=""),"Incomplete","Complete")</f>
        <v>Complete</v>
      </c>
      <c r="I13995" s="48" t="s">
        <v>18360</v>
      </c>
    </row>
    <row r="13996" spans="2:9" ht="15" customHeight="1" x14ac:dyDescent="0.25">
      <c r="B13996" s="55" t="s">
        <v>281</v>
      </c>
      <c r="C13996" s="46">
        <v>3984</v>
      </c>
      <c r="D13996" s="69" t="s">
        <v>29418</v>
      </c>
      <c r="E13996" s="51"/>
      <c r="F13996" s="114" t="str">
        <f>IF(INDEX(I.Facility.P2bIDNumber,3984)="","",INDEX(I.Facility.P2bIDNumber,3984))</f>
        <v/>
      </c>
      <c r="G13996" s="51"/>
      <c r="H13996" s="46" t="str">
        <f>IF(AND(I.Developer.P2b=TRUE,I.Facility.P2bFacilityCount&gt;=3984,F13996=""),"Incomplete","Complete")</f>
        <v>Complete</v>
      </c>
      <c r="I13996" s="48" t="s">
        <v>18361</v>
      </c>
    </row>
    <row r="13997" spans="2:9" ht="15" customHeight="1" x14ac:dyDescent="0.25">
      <c r="B13997" s="55" t="s">
        <v>281</v>
      </c>
      <c r="C13997" s="46">
        <v>3985</v>
      </c>
      <c r="D13997" s="69" t="s">
        <v>29418</v>
      </c>
      <c r="E13997" s="51"/>
      <c r="F13997" s="114" t="str">
        <f>IF(INDEX(I.Facility.P2bIDNumber,3985)="","",INDEX(I.Facility.P2bIDNumber,3985))</f>
        <v/>
      </c>
      <c r="G13997" s="51"/>
      <c r="H13997" s="46" t="str">
        <f>IF(AND(I.Developer.P2b=TRUE,I.Facility.P2bFacilityCount&gt;=3985,F13997=""),"Incomplete","Complete")</f>
        <v>Complete</v>
      </c>
      <c r="I13997" s="48" t="s">
        <v>18362</v>
      </c>
    </row>
    <row r="13998" spans="2:9" ht="15" customHeight="1" x14ac:dyDescent="0.25">
      <c r="B13998" s="55" t="s">
        <v>281</v>
      </c>
      <c r="C13998" s="46">
        <v>3986</v>
      </c>
      <c r="D13998" s="69" t="s">
        <v>29418</v>
      </c>
      <c r="E13998" s="51"/>
      <c r="F13998" s="114" t="str">
        <f>IF(INDEX(I.Facility.P2bIDNumber,3986)="","",INDEX(I.Facility.P2bIDNumber,3986))</f>
        <v/>
      </c>
      <c r="G13998" s="51"/>
      <c r="H13998" s="46" t="str">
        <f>IF(AND(I.Developer.P2b=TRUE,I.Facility.P2bFacilityCount&gt;=3986,F13998=""),"Incomplete","Complete")</f>
        <v>Complete</v>
      </c>
      <c r="I13998" s="48" t="s">
        <v>18363</v>
      </c>
    </row>
    <row r="13999" spans="2:9" ht="15" customHeight="1" x14ac:dyDescent="0.25">
      <c r="B13999" s="55" t="s">
        <v>281</v>
      </c>
      <c r="C13999" s="46">
        <v>3987</v>
      </c>
      <c r="D13999" s="69" t="s">
        <v>29418</v>
      </c>
      <c r="E13999" s="51"/>
      <c r="F13999" s="114" t="str">
        <f>IF(INDEX(I.Facility.P2bIDNumber,3987)="","",INDEX(I.Facility.P2bIDNumber,3987))</f>
        <v/>
      </c>
      <c r="G13999" s="51"/>
      <c r="H13999" s="46" t="str">
        <f>IF(AND(I.Developer.P2b=TRUE,I.Facility.P2bFacilityCount&gt;=3987,F13999=""),"Incomplete","Complete")</f>
        <v>Complete</v>
      </c>
      <c r="I13999" s="48" t="s">
        <v>18364</v>
      </c>
    </row>
    <row r="14000" spans="2:9" ht="15" customHeight="1" x14ac:dyDescent="0.25">
      <c r="B14000" s="55" t="s">
        <v>281</v>
      </c>
      <c r="C14000" s="46">
        <v>3988</v>
      </c>
      <c r="D14000" s="69" t="s">
        <v>29418</v>
      </c>
      <c r="E14000" s="51"/>
      <c r="F14000" s="114" t="str">
        <f>IF(INDEX(I.Facility.P2bIDNumber,3988)="","",INDEX(I.Facility.P2bIDNumber,3988))</f>
        <v/>
      </c>
      <c r="G14000" s="51"/>
      <c r="H14000" s="46" t="str">
        <f>IF(AND(I.Developer.P2b=TRUE,I.Facility.P2bFacilityCount&gt;=3988,F14000=""),"Incomplete","Complete")</f>
        <v>Complete</v>
      </c>
      <c r="I14000" s="48" t="s">
        <v>18365</v>
      </c>
    </row>
    <row r="14001" spans="2:9" ht="15" customHeight="1" x14ac:dyDescent="0.25">
      <c r="B14001" s="55" t="s">
        <v>281</v>
      </c>
      <c r="C14001" s="46">
        <v>3989</v>
      </c>
      <c r="D14001" s="69" t="s">
        <v>29418</v>
      </c>
      <c r="E14001" s="51"/>
      <c r="F14001" s="114" t="str">
        <f>IF(INDEX(I.Facility.P2bIDNumber,3989)="","",INDEX(I.Facility.P2bIDNumber,3989))</f>
        <v/>
      </c>
      <c r="G14001" s="51"/>
      <c r="H14001" s="46" t="str">
        <f>IF(AND(I.Developer.P2b=TRUE,I.Facility.P2bFacilityCount&gt;=3989,F14001=""),"Incomplete","Complete")</f>
        <v>Complete</v>
      </c>
      <c r="I14001" s="48" t="s">
        <v>18366</v>
      </c>
    </row>
    <row r="14002" spans="2:9" ht="15" customHeight="1" x14ac:dyDescent="0.25">
      <c r="B14002" s="55" t="s">
        <v>281</v>
      </c>
      <c r="C14002" s="46">
        <v>3990</v>
      </c>
      <c r="D14002" s="69" t="s">
        <v>29418</v>
      </c>
      <c r="E14002" s="51"/>
      <c r="F14002" s="114" t="str">
        <f>IF(INDEX(I.Facility.P2bIDNumber,3990)="","",INDEX(I.Facility.P2bIDNumber,3990))</f>
        <v/>
      </c>
      <c r="G14002" s="51"/>
      <c r="H14002" s="46" t="str">
        <f>IF(AND(I.Developer.P2b=TRUE,I.Facility.P2bFacilityCount&gt;=3990,F14002=""),"Incomplete","Complete")</f>
        <v>Complete</v>
      </c>
      <c r="I14002" s="48" t="s">
        <v>18367</v>
      </c>
    </row>
    <row r="14003" spans="2:9" ht="15" customHeight="1" x14ac:dyDescent="0.25">
      <c r="B14003" s="55" t="s">
        <v>281</v>
      </c>
      <c r="C14003" s="46">
        <v>3991</v>
      </c>
      <c r="D14003" s="69" t="s">
        <v>29418</v>
      </c>
      <c r="E14003" s="51"/>
      <c r="F14003" s="114" t="str">
        <f>IF(INDEX(I.Facility.P2bIDNumber,3991)="","",INDEX(I.Facility.P2bIDNumber,3991))</f>
        <v/>
      </c>
      <c r="G14003" s="51"/>
      <c r="H14003" s="46" t="str">
        <f>IF(AND(I.Developer.P2b=TRUE,I.Facility.P2bFacilityCount&gt;=3991,F14003=""),"Incomplete","Complete")</f>
        <v>Complete</v>
      </c>
      <c r="I14003" s="48" t="s">
        <v>18368</v>
      </c>
    </row>
    <row r="14004" spans="2:9" ht="15" customHeight="1" x14ac:dyDescent="0.25">
      <c r="B14004" s="55" t="s">
        <v>281</v>
      </c>
      <c r="C14004" s="46">
        <v>3992</v>
      </c>
      <c r="D14004" s="69" t="s">
        <v>29418</v>
      </c>
      <c r="E14004" s="51"/>
      <c r="F14004" s="114" t="str">
        <f>IF(INDEX(I.Facility.P2bIDNumber,3992)="","",INDEX(I.Facility.P2bIDNumber,3992))</f>
        <v/>
      </c>
      <c r="G14004" s="51"/>
      <c r="H14004" s="46" t="str">
        <f>IF(AND(I.Developer.P2b=TRUE,I.Facility.P2bFacilityCount&gt;=3992,F14004=""),"Incomplete","Complete")</f>
        <v>Complete</v>
      </c>
      <c r="I14004" s="48" t="s">
        <v>18369</v>
      </c>
    </row>
    <row r="14005" spans="2:9" ht="15" customHeight="1" x14ac:dyDescent="0.25">
      <c r="B14005" s="55" t="s">
        <v>281</v>
      </c>
      <c r="C14005" s="46">
        <v>3993</v>
      </c>
      <c r="D14005" s="69" t="s">
        <v>29418</v>
      </c>
      <c r="E14005" s="51"/>
      <c r="F14005" s="114" t="str">
        <f>IF(INDEX(I.Facility.P2bIDNumber,3993)="","",INDEX(I.Facility.P2bIDNumber,3993))</f>
        <v/>
      </c>
      <c r="G14005" s="51"/>
      <c r="H14005" s="46" t="str">
        <f>IF(AND(I.Developer.P2b=TRUE,I.Facility.P2bFacilityCount&gt;=3993,F14005=""),"Incomplete","Complete")</f>
        <v>Complete</v>
      </c>
      <c r="I14005" s="48" t="s">
        <v>18370</v>
      </c>
    </row>
    <row r="14006" spans="2:9" ht="15" customHeight="1" x14ac:dyDescent="0.25">
      <c r="B14006" s="55" t="s">
        <v>281</v>
      </c>
      <c r="C14006" s="46">
        <v>3994</v>
      </c>
      <c r="D14006" s="69" t="s">
        <v>29418</v>
      </c>
      <c r="E14006" s="51"/>
      <c r="F14006" s="114" t="str">
        <f>IF(INDEX(I.Facility.P2bIDNumber,3994)="","",INDEX(I.Facility.P2bIDNumber,3994))</f>
        <v/>
      </c>
      <c r="G14006" s="51"/>
      <c r="H14006" s="46" t="str">
        <f>IF(AND(I.Developer.P2b=TRUE,I.Facility.P2bFacilityCount&gt;=3994,F14006=""),"Incomplete","Complete")</f>
        <v>Complete</v>
      </c>
      <c r="I14006" s="48" t="s">
        <v>18371</v>
      </c>
    </row>
    <row r="14007" spans="2:9" ht="15" customHeight="1" x14ac:dyDescent="0.25">
      <c r="B14007" s="55" t="s">
        <v>281</v>
      </c>
      <c r="C14007" s="46">
        <v>3995</v>
      </c>
      <c r="D14007" s="69" t="s">
        <v>29418</v>
      </c>
      <c r="E14007" s="51"/>
      <c r="F14007" s="114" t="str">
        <f>IF(INDEX(I.Facility.P2bIDNumber,3995)="","",INDEX(I.Facility.P2bIDNumber,3995))</f>
        <v/>
      </c>
      <c r="G14007" s="51"/>
      <c r="H14007" s="46" t="str">
        <f>IF(AND(I.Developer.P2b=TRUE,I.Facility.P2bFacilityCount&gt;=3995,F14007=""),"Incomplete","Complete")</f>
        <v>Complete</v>
      </c>
      <c r="I14007" s="48" t="s">
        <v>18372</v>
      </c>
    </row>
    <row r="14008" spans="2:9" ht="15" customHeight="1" x14ac:dyDescent="0.25">
      <c r="B14008" s="55" t="s">
        <v>281</v>
      </c>
      <c r="C14008" s="46">
        <v>3996</v>
      </c>
      <c r="D14008" s="69" t="s">
        <v>29418</v>
      </c>
      <c r="E14008" s="51"/>
      <c r="F14008" s="114" t="str">
        <f>IF(INDEX(I.Facility.P2bIDNumber,3996)="","",INDEX(I.Facility.P2bIDNumber,3996))</f>
        <v/>
      </c>
      <c r="G14008" s="51"/>
      <c r="H14008" s="46" t="str">
        <f>IF(AND(I.Developer.P2b=TRUE,I.Facility.P2bFacilityCount&gt;=3996,F14008=""),"Incomplete","Complete")</f>
        <v>Complete</v>
      </c>
      <c r="I14008" s="48" t="s">
        <v>18373</v>
      </c>
    </row>
    <row r="14009" spans="2:9" ht="15" customHeight="1" x14ac:dyDescent="0.25">
      <c r="B14009" s="55" t="s">
        <v>281</v>
      </c>
      <c r="C14009" s="46">
        <v>3997</v>
      </c>
      <c r="D14009" s="69" t="s">
        <v>29418</v>
      </c>
      <c r="E14009" s="51"/>
      <c r="F14009" s="114" t="str">
        <f>IF(INDEX(I.Facility.P2bIDNumber,3997)="","",INDEX(I.Facility.P2bIDNumber,3997))</f>
        <v/>
      </c>
      <c r="G14009" s="51"/>
      <c r="H14009" s="46" t="str">
        <f>IF(AND(I.Developer.P2b=TRUE,I.Facility.P2bFacilityCount&gt;=3997,F14009=""),"Incomplete","Complete")</f>
        <v>Complete</v>
      </c>
      <c r="I14009" s="48" t="s">
        <v>18374</v>
      </c>
    </row>
    <row r="14010" spans="2:9" ht="15" customHeight="1" x14ac:dyDescent="0.25">
      <c r="B14010" s="55" t="s">
        <v>281</v>
      </c>
      <c r="C14010" s="46">
        <v>3998</v>
      </c>
      <c r="D14010" s="69" t="s">
        <v>29418</v>
      </c>
      <c r="E14010" s="51"/>
      <c r="F14010" s="114" t="str">
        <f>IF(INDEX(I.Facility.P2bIDNumber,3998)="","",INDEX(I.Facility.P2bIDNumber,3998))</f>
        <v/>
      </c>
      <c r="G14010" s="51"/>
      <c r="H14010" s="46" t="str">
        <f>IF(AND(I.Developer.P2b=TRUE,I.Facility.P2bFacilityCount&gt;=3998,F14010=""),"Incomplete","Complete")</f>
        <v>Complete</v>
      </c>
      <c r="I14010" s="48" t="s">
        <v>18375</v>
      </c>
    </row>
    <row r="14011" spans="2:9" ht="15" customHeight="1" x14ac:dyDescent="0.25">
      <c r="B14011" s="55" t="s">
        <v>281</v>
      </c>
      <c r="C14011" s="46">
        <v>3999</v>
      </c>
      <c r="D14011" s="69" t="s">
        <v>29418</v>
      </c>
      <c r="E14011" s="51"/>
      <c r="F14011" s="114" t="str">
        <f>IF(INDEX(I.Facility.P2bIDNumber,3999)="","",INDEX(I.Facility.P2bIDNumber,3999))</f>
        <v/>
      </c>
      <c r="G14011" s="51"/>
      <c r="H14011" s="46" t="str">
        <f>IF(AND(I.Developer.P2b=TRUE,I.Facility.P2bFacilityCount&gt;=3999,F14011=""),"Incomplete","Complete")</f>
        <v>Complete</v>
      </c>
      <c r="I14011" s="48" t="s">
        <v>18376</v>
      </c>
    </row>
    <row r="14012" spans="2:9" ht="15" customHeight="1" x14ac:dyDescent="0.25">
      <c r="B14012" s="55" t="s">
        <v>281</v>
      </c>
      <c r="C14012" s="46">
        <v>4000</v>
      </c>
      <c r="D14012" s="69" t="s">
        <v>29418</v>
      </c>
      <c r="E14012" s="51"/>
      <c r="F14012" s="114" t="str">
        <f>IF(INDEX(I.Facility.P2bIDNumber,4000)="","",INDEX(I.Facility.P2bIDNumber,4000))</f>
        <v/>
      </c>
      <c r="G14012" s="51"/>
      <c r="H14012" s="46" t="str">
        <f>IF(AND(I.Developer.P2b=TRUE,I.Facility.P2bFacilityCount&gt;=4000,F14012=""),"Incomplete","Complete")</f>
        <v>Complete</v>
      </c>
      <c r="I14012" s="48" t="s">
        <v>18377</v>
      </c>
    </row>
    <row r="14013" spans="2:9" ht="15" customHeight="1" x14ac:dyDescent="0.25">
      <c r="B14013" s="55" t="s">
        <v>281</v>
      </c>
      <c r="C14013" s="46">
        <v>4001</v>
      </c>
      <c r="D14013" s="69" t="s">
        <v>29418</v>
      </c>
      <c r="E14013" s="51"/>
      <c r="F14013" s="114" t="str">
        <f>IF(INDEX(I.Facility.P2bIDNumber,4001)="","",INDEX(I.Facility.P2bIDNumber,4001))</f>
        <v/>
      </c>
      <c r="G14013" s="51"/>
      <c r="H14013" s="46" t="str">
        <f>IF(AND(I.Developer.P2b=TRUE,I.Facility.P2bFacilityCount&gt;=4001,F14013=""),"Incomplete","Complete")</f>
        <v>Complete</v>
      </c>
      <c r="I14013" s="48" t="s">
        <v>18378</v>
      </c>
    </row>
    <row r="14014" spans="2:9" ht="15" customHeight="1" x14ac:dyDescent="0.25">
      <c r="B14014" s="55" t="s">
        <v>281</v>
      </c>
      <c r="C14014" s="46">
        <v>4002</v>
      </c>
      <c r="D14014" s="69" t="s">
        <v>29418</v>
      </c>
      <c r="E14014" s="51"/>
      <c r="F14014" s="114" t="str">
        <f>IF(INDEX(I.Facility.P2bIDNumber,4002)="","",INDEX(I.Facility.P2bIDNumber,4002))</f>
        <v/>
      </c>
      <c r="G14014" s="51"/>
      <c r="H14014" s="46" t="str">
        <f>IF(AND(I.Developer.P2b=TRUE,I.Facility.P2bFacilityCount&gt;=4002,F14014=""),"Incomplete","Complete")</f>
        <v>Complete</v>
      </c>
      <c r="I14014" s="48" t="s">
        <v>18379</v>
      </c>
    </row>
    <row r="14015" spans="2:9" ht="15" customHeight="1" x14ac:dyDescent="0.25">
      <c r="B14015" s="55" t="s">
        <v>281</v>
      </c>
      <c r="C14015" s="46">
        <v>4003</v>
      </c>
      <c r="D14015" s="69" t="s">
        <v>29418</v>
      </c>
      <c r="E14015" s="51"/>
      <c r="F14015" s="114" t="str">
        <f>IF(INDEX(I.Facility.P2bIDNumber,4003)="","",INDEX(I.Facility.P2bIDNumber,4003))</f>
        <v/>
      </c>
      <c r="G14015" s="51"/>
      <c r="H14015" s="46" t="str">
        <f>IF(AND(I.Developer.P2b=TRUE,I.Facility.P2bFacilityCount&gt;=4003,F14015=""),"Incomplete","Complete")</f>
        <v>Complete</v>
      </c>
      <c r="I14015" s="48" t="s">
        <v>18380</v>
      </c>
    </row>
    <row r="14016" spans="2:9" ht="15" customHeight="1" x14ac:dyDescent="0.25">
      <c r="B14016" s="55" t="s">
        <v>281</v>
      </c>
      <c r="C14016" s="46">
        <v>4004</v>
      </c>
      <c r="D14016" s="69" t="s">
        <v>29418</v>
      </c>
      <c r="E14016" s="51"/>
      <c r="F14016" s="114" t="str">
        <f>IF(INDEX(I.Facility.P2bIDNumber,4004)="","",INDEX(I.Facility.P2bIDNumber,4004))</f>
        <v/>
      </c>
      <c r="G14016" s="51"/>
      <c r="H14016" s="46" t="str">
        <f>IF(AND(I.Developer.P2b=TRUE,I.Facility.P2bFacilityCount&gt;=4004,F14016=""),"Incomplete","Complete")</f>
        <v>Complete</v>
      </c>
      <c r="I14016" s="48" t="s">
        <v>18381</v>
      </c>
    </row>
    <row r="14017" spans="2:9" ht="15" customHeight="1" x14ac:dyDescent="0.25">
      <c r="B14017" s="55" t="s">
        <v>281</v>
      </c>
      <c r="C14017" s="46">
        <v>4005</v>
      </c>
      <c r="D14017" s="69" t="s">
        <v>29418</v>
      </c>
      <c r="E14017" s="51"/>
      <c r="F14017" s="114" t="str">
        <f>IF(INDEX(I.Facility.P2bIDNumber,4005)="","",INDEX(I.Facility.P2bIDNumber,4005))</f>
        <v/>
      </c>
      <c r="G14017" s="51"/>
      <c r="H14017" s="46" t="str">
        <f>IF(AND(I.Developer.P2b=TRUE,I.Facility.P2bFacilityCount&gt;=4005,F14017=""),"Incomplete","Complete")</f>
        <v>Complete</v>
      </c>
      <c r="I14017" s="48" t="s">
        <v>18382</v>
      </c>
    </row>
    <row r="14018" spans="2:9" ht="15" customHeight="1" x14ac:dyDescent="0.25">
      <c r="B14018" s="55" t="s">
        <v>281</v>
      </c>
      <c r="C14018" s="46">
        <v>4006</v>
      </c>
      <c r="D14018" s="69" t="s">
        <v>29418</v>
      </c>
      <c r="E14018" s="51"/>
      <c r="F14018" s="114" t="str">
        <f>IF(INDEX(I.Facility.P2bIDNumber,4006)="","",INDEX(I.Facility.P2bIDNumber,4006))</f>
        <v/>
      </c>
      <c r="G14018" s="51"/>
      <c r="H14018" s="46" t="str">
        <f>IF(AND(I.Developer.P2b=TRUE,I.Facility.P2bFacilityCount&gt;=4006,F14018=""),"Incomplete","Complete")</f>
        <v>Complete</v>
      </c>
      <c r="I14018" s="48" t="s">
        <v>18383</v>
      </c>
    </row>
    <row r="14019" spans="2:9" ht="15" customHeight="1" x14ac:dyDescent="0.25">
      <c r="B14019" s="55" t="s">
        <v>281</v>
      </c>
      <c r="C14019" s="46">
        <v>4007</v>
      </c>
      <c r="D14019" s="69" t="s">
        <v>29418</v>
      </c>
      <c r="E14019" s="51"/>
      <c r="F14019" s="114" t="str">
        <f>IF(INDEX(I.Facility.P2bIDNumber,4007)="","",INDEX(I.Facility.P2bIDNumber,4007))</f>
        <v/>
      </c>
      <c r="G14019" s="51"/>
      <c r="H14019" s="46" t="str">
        <f>IF(AND(I.Developer.P2b=TRUE,I.Facility.P2bFacilityCount&gt;=4007,F14019=""),"Incomplete","Complete")</f>
        <v>Complete</v>
      </c>
      <c r="I14019" s="48" t="s">
        <v>18384</v>
      </c>
    </row>
    <row r="14020" spans="2:9" ht="15" customHeight="1" x14ac:dyDescent="0.25">
      <c r="B14020" s="55" t="s">
        <v>281</v>
      </c>
      <c r="C14020" s="46">
        <v>4008</v>
      </c>
      <c r="D14020" s="69" t="s">
        <v>29418</v>
      </c>
      <c r="E14020" s="51"/>
      <c r="F14020" s="114" t="str">
        <f>IF(INDEX(I.Facility.P2bIDNumber,4008)="","",INDEX(I.Facility.P2bIDNumber,4008))</f>
        <v/>
      </c>
      <c r="G14020" s="51"/>
      <c r="H14020" s="46" t="str">
        <f>IF(AND(I.Developer.P2b=TRUE,I.Facility.P2bFacilityCount&gt;=4008,F14020=""),"Incomplete","Complete")</f>
        <v>Complete</v>
      </c>
      <c r="I14020" s="48" t="s">
        <v>18385</v>
      </c>
    </row>
    <row r="14021" spans="2:9" ht="15" customHeight="1" x14ac:dyDescent="0.25">
      <c r="B14021" s="55" t="s">
        <v>281</v>
      </c>
      <c r="C14021" s="46">
        <v>4009</v>
      </c>
      <c r="D14021" s="69" t="s">
        <v>29418</v>
      </c>
      <c r="E14021" s="51"/>
      <c r="F14021" s="114" t="str">
        <f>IF(INDEX(I.Facility.P2bIDNumber,4009)="","",INDEX(I.Facility.P2bIDNumber,4009))</f>
        <v/>
      </c>
      <c r="G14021" s="51"/>
      <c r="H14021" s="46" t="str">
        <f>IF(AND(I.Developer.P2b=TRUE,I.Facility.P2bFacilityCount&gt;=4009,F14021=""),"Incomplete","Complete")</f>
        <v>Complete</v>
      </c>
      <c r="I14021" s="48" t="s">
        <v>18386</v>
      </c>
    </row>
    <row r="14022" spans="2:9" ht="15" customHeight="1" x14ac:dyDescent="0.25">
      <c r="B14022" s="55" t="s">
        <v>281</v>
      </c>
      <c r="C14022" s="46">
        <v>4010</v>
      </c>
      <c r="D14022" s="69" t="s">
        <v>29418</v>
      </c>
      <c r="E14022" s="51"/>
      <c r="F14022" s="114" t="str">
        <f>IF(INDEX(I.Facility.P2bIDNumber,4010)="","",INDEX(I.Facility.P2bIDNumber,4010))</f>
        <v/>
      </c>
      <c r="G14022" s="51"/>
      <c r="H14022" s="46" t="str">
        <f>IF(AND(I.Developer.P2b=TRUE,I.Facility.P2bFacilityCount&gt;=4010,F14022=""),"Incomplete","Complete")</f>
        <v>Complete</v>
      </c>
      <c r="I14022" s="48" t="s">
        <v>18387</v>
      </c>
    </row>
    <row r="14023" spans="2:9" ht="15" customHeight="1" x14ac:dyDescent="0.25">
      <c r="B14023" s="55" t="s">
        <v>281</v>
      </c>
      <c r="C14023" s="46">
        <v>4011</v>
      </c>
      <c r="D14023" s="69" t="s">
        <v>29418</v>
      </c>
      <c r="E14023" s="51"/>
      <c r="F14023" s="114" t="str">
        <f>IF(INDEX(I.Facility.P2bIDNumber,4011)="","",INDEX(I.Facility.P2bIDNumber,4011))</f>
        <v/>
      </c>
      <c r="G14023" s="51"/>
      <c r="H14023" s="46" t="str">
        <f>IF(AND(I.Developer.P2b=TRUE,I.Facility.P2bFacilityCount&gt;=4011,F14023=""),"Incomplete","Complete")</f>
        <v>Complete</v>
      </c>
      <c r="I14023" s="48" t="s">
        <v>18388</v>
      </c>
    </row>
    <row r="14024" spans="2:9" ht="15" customHeight="1" x14ac:dyDescent="0.25">
      <c r="B14024" s="55" t="s">
        <v>281</v>
      </c>
      <c r="C14024" s="46">
        <v>4012</v>
      </c>
      <c r="D14024" s="69" t="s">
        <v>29418</v>
      </c>
      <c r="E14024" s="51"/>
      <c r="F14024" s="114" t="str">
        <f>IF(INDEX(I.Facility.P2bIDNumber,4012)="","",INDEX(I.Facility.P2bIDNumber,4012))</f>
        <v/>
      </c>
      <c r="G14024" s="51"/>
      <c r="H14024" s="46" t="str">
        <f>IF(AND(I.Developer.P2b=TRUE,I.Facility.P2bFacilityCount&gt;=4012,F14024=""),"Incomplete","Complete")</f>
        <v>Complete</v>
      </c>
      <c r="I14024" s="48" t="s">
        <v>18389</v>
      </c>
    </row>
    <row r="14025" spans="2:9" ht="15" customHeight="1" x14ac:dyDescent="0.25">
      <c r="B14025" s="55" t="s">
        <v>281</v>
      </c>
      <c r="C14025" s="46">
        <v>4013</v>
      </c>
      <c r="D14025" s="69" t="s">
        <v>29418</v>
      </c>
      <c r="E14025" s="51"/>
      <c r="F14025" s="114" t="str">
        <f>IF(INDEX(I.Facility.P2bIDNumber,4013)="","",INDEX(I.Facility.P2bIDNumber,4013))</f>
        <v/>
      </c>
      <c r="G14025" s="51"/>
      <c r="H14025" s="46" t="str">
        <f>IF(AND(I.Developer.P2b=TRUE,I.Facility.P2bFacilityCount&gt;=4013,F14025=""),"Incomplete","Complete")</f>
        <v>Complete</v>
      </c>
      <c r="I14025" s="48" t="s">
        <v>18390</v>
      </c>
    </row>
    <row r="14026" spans="2:9" ht="15" customHeight="1" x14ac:dyDescent="0.25">
      <c r="B14026" s="55" t="s">
        <v>281</v>
      </c>
      <c r="C14026" s="46">
        <v>4014</v>
      </c>
      <c r="D14026" s="69" t="s">
        <v>29418</v>
      </c>
      <c r="E14026" s="51"/>
      <c r="F14026" s="114" t="str">
        <f>IF(INDEX(I.Facility.P2bIDNumber,4014)="","",INDEX(I.Facility.P2bIDNumber,4014))</f>
        <v/>
      </c>
      <c r="G14026" s="51"/>
      <c r="H14026" s="46" t="str">
        <f>IF(AND(I.Developer.P2b=TRUE,I.Facility.P2bFacilityCount&gt;=4014,F14026=""),"Incomplete","Complete")</f>
        <v>Complete</v>
      </c>
      <c r="I14026" s="48" t="s">
        <v>18391</v>
      </c>
    </row>
    <row r="14027" spans="2:9" ht="15" customHeight="1" x14ac:dyDescent="0.25">
      <c r="B14027" s="55" t="s">
        <v>281</v>
      </c>
      <c r="C14027" s="46">
        <v>4015</v>
      </c>
      <c r="D14027" s="69" t="s">
        <v>29418</v>
      </c>
      <c r="E14027" s="51"/>
      <c r="F14027" s="114" t="str">
        <f>IF(INDEX(I.Facility.P2bIDNumber,4015)="","",INDEX(I.Facility.P2bIDNumber,4015))</f>
        <v/>
      </c>
      <c r="G14027" s="51"/>
      <c r="H14027" s="46" t="str">
        <f>IF(AND(I.Developer.P2b=TRUE,I.Facility.P2bFacilityCount&gt;=4015,F14027=""),"Incomplete","Complete")</f>
        <v>Complete</v>
      </c>
      <c r="I14027" s="48" t="s">
        <v>18392</v>
      </c>
    </row>
    <row r="14028" spans="2:9" ht="15" customHeight="1" x14ac:dyDescent="0.25">
      <c r="B14028" s="55" t="s">
        <v>281</v>
      </c>
      <c r="C14028" s="46">
        <v>4016</v>
      </c>
      <c r="D14028" s="69" t="s">
        <v>29418</v>
      </c>
      <c r="E14028" s="51"/>
      <c r="F14028" s="114" t="str">
        <f>IF(INDEX(I.Facility.P2bIDNumber,4016)="","",INDEX(I.Facility.P2bIDNumber,4016))</f>
        <v/>
      </c>
      <c r="G14028" s="51"/>
      <c r="H14028" s="46" t="str">
        <f>IF(AND(I.Developer.P2b=TRUE,I.Facility.P2bFacilityCount&gt;=4016,F14028=""),"Incomplete","Complete")</f>
        <v>Complete</v>
      </c>
      <c r="I14028" s="48" t="s">
        <v>18393</v>
      </c>
    </row>
    <row r="14029" spans="2:9" ht="15" customHeight="1" x14ac:dyDescent="0.25">
      <c r="B14029" s="55" t="s">
        <v>281</v>
      </c>
      <c r="C14029" s="46">
        <v>4017</v>
      </c>
      <c r="D14029" s="69" t="s">
        <v>29418</v>
      </c>
      <c r="E14029" s="51"/>
      <c r="F14029" s="114" t="str">
        <f>IF(INDEX(I.Facility.P2bIDNumber,4017)="","",INDEX(I.Facility.P2bIDNumber,4017))</f>
        <v/>
      </c>
      <c r="G14029" s="51"/>
      <c r="H14029" s="46" t="str">
        <f>IF(AND(I.Developer.P2b=TRUE,I.Facility.P2bFacilityCount&gt;=4017,F14029=""),"Incomplete","Complete")</f>
        <v>Complete</v>
      </c>
      <c r="I14029" s="48" t="s">
        <v>18394</v>
      </c>
    </row>
    <row r="14030" spans="2:9" ht="15" customHeight="1" x14ac:dyDescent="0.25">
      <c r="B14030" s="55" t="s">
        <v>281</v>
      </c>
      <c r="C14030" s="46">
        <v>4018</v>
      </c>
      <c r="D14030" s="69" t="s">
        <v>29418</v>
      </c>
      <c r="E14030" s="51"/>
      <c r="F14030" s="114" t="str">
        <f>IF(INDEX(I.Facility.P2bIDNumber,4018)="","",INDEX(I.Facility.P2bIDNumber,4018))</f>
        <v/>
      </c>
      <c r="G14030" s="51"/>
      <c r="H14030" s="46" t="str">
        <f>IF(AND(I.Developer.P2b=TRUE,I.Facility.P2bFacilityCount&gt;=4018,F14030=""),"Incomplete","Complete")</f>
        <v>Complete</v>
      </c>
      <c r="I14030" s="48" t="s">
        <v>18395</v>
      </c>
    </row>
    <row r="14031" spans="2:9" ht="15" customHeight="1" x14ac:dyDescent="0.25">
      <c r="B14031" s="55" t="s">
        <v>281</v>
      </c>
      <c r="C14031" s="46">
        <v>4019</v>
      </c>
      <c r="D14031" s="69" t="s">
        <v>29418</v>
      </c>
      <c r="E14031" s="51"/>
      <c r="F14031" s="114" t="str">
        <f>IF(INDEX(I.Facility.P2bIDNumber,4019)="","",INDEX(I.Facility.P2bIDNumber,4019))</f>
        <v/>
      </c>
      <c r="G14031" s="51"/>
      <c r="H14031" s="46" t="str">
        <f>IF(AND(I.Developer.P2b=TRUE,I.Facility.P2bFacilityCount&gt;=4019,F14031=""),"Incomplete","Complete")</f>
        <v>Complete</v>
      </c>
      <c r="I14031" s="48" t="s">
        <v>18396</v>
      </c>
    </row>
    <row r="14032" spans="2:9" ht="15" customHeight="1" x14ac:dyDescent="0.25">
      <c r="B14032" s="55" t="s">
        <v>281</v>
      </c>
      <c r="C14032" s="46">
        <v>4020</v>
      </c>
      <c r="D14032" s="69" t="s">
        <v>29418</v>
      </c>
      <c r="E14032" s="51"/>
      <c r="F14032" s="114" t="str">
        <f>IF(INDEX(I.Facility.P2bIDNumber,4020)="","",INDEX(I.Facility.P2bIDNumber,4020))</f>
        <v/>
      </c>
      <c r="G14032" s="51"/>
      <c r="H14032" s="46" t="str">
        <f>IF(AND(I.Developer.P2b=TRUE,I.Facility.P2bFacilityCount&gt;=4020,F14032=""),"Incomplete","Complete")</f>
        <v>Complete</v>
      </c>
      <c r="I14032" s="48" t="s">
        <v>18397</v>
      </c>
    </row>
    <row r="14033" spans="2:9" ht="15" customHeight="1" x14ac:dyDescent="0.25">
      <c r="B14033" s="55" t="s">
        <v>281</v>
      </c>
      <c r="C14033" s="46">
        <v>4021</v>
      </c>
      <c r="D14033" s="69" t="s">
        <v>29418</v>
      </c>
      <c r="E14033" s="51"/>
      <c r="F14033" s="114" t="str">
        <f>IF(INDEX(I.Facility.P2bIDNumber,4021)="","",INDEX(I.Facility.P2bIDNumber,4021))</f>
        <v/>
      </c>
      <c r="G14033" s="51"/>
      <c r="H14033" s="46" t="str">
        <f>IF(AND(I.Developer.P2b=TRUE,I.Facility.P2bFacilityCount&gt;=4021,F14033=""),"Incomplete","Complete")</f>
        <v>Complete</v>
      </c>
      <c r="I14033" s="48" t="s">
        <v>18398</v>
      </c>
    </row>
    <row r="14034" spans="2:9" ht="15" customHeight="1" x14ac:dyDescent="0.25">
      <c r="B14034" s="55" t="s">
        <v>281</v>
      </c>
      <c r="C14034" s="46">
        <v>4022</v>
      </c>
      <c r="D14034" s="69" t="s">
        <v>29418</v>
      </c>
      <c r="E14034" s="51"/>
      <c r="F14034" s="114" t="str">
        <f>IF(INDEX(I.Facility.P2bIDNumber,4022)="","",INDEX(I.Facility.P2bIDNumber,4022))</f>
        <v/>
      </c>
      <c r="G14034" s="51"/>
      <c r="H14034" s="46" t="str">
        <f>IF(AND(I.Developer.P2b=TRUE,I.Facility.P2bFacilityCount&gt;=4022,F14034=""),"Incomplete","Complete")</f>
        <v>Complete</v>
      </c>
      <c r="I14034" s="48" t="s">
        <v>18399</v>
      </c>
    </row>
    <row r="14035" spans="2:9" ht="15" customHeight="1" x14ac:dyDescent="0.25">
      <c r="B14035" s="55" t="s">
        <v>281</v>
      </c>
      <c r="C14035" s="46">
        <v>4023</v>
      </c>
      <c r="D14035" s="69" t="s">
        <v>29418</v>
      </c>
      <c r="E14035" s="51"/>
      <c r="F14035" s="114" t="str">
        <f>IF(INDEX(I.Facility.P2bIDNumber,4023)="","",INDEX(I.Facility.P2bIDNumber,4023))</f>
        <v/>
      </c>
      <c r="G14035" s="51"/>
      <c r="H14035" s="46" t="str">
        <f>IF(AND(I.Developer.P2b=TRUE,I.Facility.P2bFacilityCount&gt;=4023,F14035=""),"Incomplete","Complete")</f>
        <v>Complete</v>
      </c>
      <c r="I14035" s="48" t="s">
        <v>18400</v>
      </c>
    </row>
    <row r="14036" spans="2:9" ht="15" customHeight="1" x14ac:dyDescent="0.25">
      <c r="B14036" s="55" t="s">
        <v>281</v>
      </c>
      <c r="C14036" s="46">
        <v>4024</v>
      </c>
      <c r="D14036" s="69" t="s">
        <v>29418</v>
      </c>
      <c r="E14036" s="51"/>
      <c r="F14036" s="114" t="str">
        <f>IF(INDEX(I.Facility.P2bIDNumber,4024)="","",INDEX(I.Facility.P2bIDNumber,4024))</f>
        <v/>
      </c>
      <c r="G14036" s="51"/>
      <c r="H14036" s="46" t="str">
        <f>IF(AND(I.Developer.P2b=TRUE,I.Facility.P2bFacilityCount&gt;=4024,F14036=""),"Incomplete","Complete")</f>
        <v>Complete</v>
      </c>
      <c r="I14036" s="48" t="s">
        <v>18401</v>
      </c>
    </row>
    <row r="14037" spans="2:9" ht="15" customHeight="1" x14ac:dyDescent="0.25">
      <c r="B14037" s="55" t="s">
        <v>281</v>
      </c>
      <c r="C14037" s="46">
        <v>4025</v>
      </c>
      <c r="D14037" s="69" t="s">
        <v>29418</v>
      </c>
      <c r="E14037" s="51"/>
      <c r="F14037" s="114" t="str">
        <f>IF(INDEX(I.Facility.P2bIDNumber,4025)="","",INDEX(I.Facility.P2bIDNumber,4025))</f>
        <v/>
      </c>
      <c r="G14037" s="51"/>
      <c r="H14037" s="46" t="str">
        <f>IF(AND(I.Developer.P2b=TRUE,I.Facility.P2bFacilityCount&gt;=4025,F14037=""),"Incomplete","Complete")</f>
        <v>Complete</v>
      </c>
      <c r="I14037" s="48" t="s">
        <v>18402</v>
      </c>
    </row>
    <row r="14038" spans="2:9" ht="15" customHeight="1" x14ac:dyDescent="0.25">
      <c r="B14038" s="55" t="s">
        <v>281</v>
      </c>
      <c r="C14038" s="46">
        <v>4026</v>
      </c>
      <c r="D14038" s="69" t="s">
        <v>29418</v>
      </c>
      <c r="E14038" s="51"/>
      <c r="F14038" s="114" t="str">
        <f>IF(INDEX(I.Facility.P2bIDNumber,4026)="","",INDEX(I.Facility.P2bIDNumber,4026))</f>
        <v/>
      </c>
      <c r="G14038" s="51"/>
      <c r="H14038" s="46" t="str">
        <f>IF(AND(I.Developer.P2b=TRUE,I.Facility.P2bFacilityCount&gt;=4026,F14038=""),"Incomplete","Complete")</f>
        <v>Complete</v>
      </c>
      <c r="I14038" s="48" t="s">
        <v>18403</v>
      </c>
    </row>
    <row r="14039" spans="2:9" ht="15" customHeight="1" x14ac:dyDescent="0.25">
      <c r="B14039" s="55" t="s">
        <v>281</v>
      </c>
      <c r="C14039" s="46">
        <v>4027</v>
      </c>
      <c r="D14039" s="69" t="s">
        <v>29418</v>
      </c>
      <c r="E14039" s="51"/>
      <c r="F14039" s="114" t="str">
        <f>IF(INDEX(I.Facility.P2bIDNumber,4027)="","",INDEX(I.Facility.P2bIDNumber,4027))</f>
        <v/>
      </c>
      <c r="G14039" s="51"/>
      <c r="H14039" s="46" t="str">
        <f>IF(AND(I.Developer.P2b=TRUE,I.Facility.P2bFacilityCount&gt;=4027,F14039=""),"Incomplete","Complete")</f>
        <v>Complete</v>
      </c>
      <c r="I14039" s="48" t="s">
        <v>18404</v>
      </c>
    </row>
    <row r="14040" spans="2:9" ht="15" customHeight="1" x14ac:dyDescent="0.25">
      <c r="B14040" s="55" t="s">
        <v>281</v>
      </c>
      <c r="C14040" s="46">
        <v>4028</v>
      </c>
      <c r="D14040" s="69" t="s">
        <v>29418</v>
      </c>
      <c r="E14040" s="51"/>
      <c r="F14040" s="114" t="str">
        <f>IF(INDEX(I.Facility.P2bIDNumber,4028)="","",INDEX(I.Facility.P2bIDNumber,4028))</f>
        <v/>
      </c>
      <c r="G14040" s="51"/>
      <c r="H14040" s="46" t="str">
        <f>IF(AND(I.Developer.P2b=TRUE,I.Facility.P2bFacilityCount&gt;=4028,F14040=""),"Incomplete","Complete")</f>
        <v>Complete</v>
      </c>
      <c r="I14040" s="48" t="s">
        <v>18405</v>
      </c>
    </row>
    <row r="14041" spans="2:9" ht="15" customHeight="1" x14ac:dyDescent="0.25">
      <c r="B14041" s="55" t="s">
        <v>281</v>
      </c>
      <c r="C14041" s="46">
        <v>4029</v>
      </c>
      <c r="D14041" s="69" t="s">
        <v>29418</v>
      </c>
      <c r="E14041" s="51"/>
      <c r="F14041" s="114" t="str">
        <f>IF(INDEX(I.Facility.P2bIDNumber,4029)="","",INDEX(I.Facility.P2bIDNumber,4029))</f>
        <v/>
      </c>
      <c r="G14041" s="51"/>
      <c r="H14041" s="46" t="str">
        <f>IF(AND(I.Developer.P2b=TRUE,I.Facility.P2bFacilityCount&gt;=4029,F14041=""),"Incomplete","Complete")</f>
        <v>Complete</v>
      </c>
      <c r="I14041" s="48" t="s">
        <v>18406</v>
      </c>
    </row>
    <row r="14042" spans="2:9" ht="15" customHeight="1" x14ac:dyDescent="0.25">
      <c r="B14042" s="55" t="s">
        <v>281</v>
      </c>
      <c r="C14042" s="46">
        <v>4030</v>
      </c>
      <c r="D14042" s="69" t="s">
        <v>29418</v>
      </c>
      <c r="E14042" s="51"/>
      <c r="F14042" s="114" t="str">
        <f>IF(INDEX(I.Facility.P2bIDNumber,4030)="","",INDEX(I.Facility.P2bIDNumber,4030))</f>
        <v/>
      </c>
      <c r="G14042" s="51"/>
      <c r="H14042" s="46" t="str">
        <f>IF(AND(I.Developer.P2b=TRUE,I.Facility.P2bFacilityCount&gt;=4030,F14042=""),"Incomplete","Complete")</f>
        <v>Complete</v>
      </c>
      <c r="I14042" s="48" t="s">
        <v>18407</v>
      </c>
    </row>
    <row r="14043" spans="2:9" ht="15" customHeight="1" x14ac:dyDescent="0.25">
      <c r="B14043" s="55" t="s">
        <v>281</v>
      </c>
      <c r="C14043" s="46">
        <v>4031</v>
      </c>
      <c r="D14043" s="69" t="s">
        <v>29418</v>
      </c>
      <c r="E14043" s="51"/>
      <c r="F14043" s="114" t="str">
        <f>IF(INDEX(I.Facility.P2bIDNumber,4031)="","",INDEX(I.Facility.P2bIDNumber,4031))</f>
        <v/>
      </c>
      <c r="G14043" s="51"/>
      <c r="H14043" s="46" t="str">
        <f>IF(AND(I.Developer.P2b=TRUE,I.Facility.P2bFacilityCount&gt;=4031,F14043=""),"Incomplete","Complete")</f>
        <v>Complete</v>
      </c>
      <c r="I14043" s="48" t="s">
        <v>18408</v>
      </c>
    </row>
    <row r="14044" spans="2:9" ht="15" customHeight="1" x14ac:dyDescent="0.25">
      <c r="B14044" s="55" t="s">
        <v>281</v>
      </c>
      <c r="C14044" s="46">
        <v>4032</v>
      </c>
      <c r="D14044" s="69" t="s">
        <v>29418</v>
      </c>
      <c r="E14044" s="51"/>
      <c r="F14044" s="114" t="str">
        <f>IF(INDEX(I.Facility.P2bIDNumber,4032)="","",INDEX(I.Facility.P2bIDNumber,4032))</f>
        <v/>
      </c>
      <c r="G14044" s="51"/>
      <c r="H14044" s="46" t="str">
        <f>IF(AND(I.Developer.P2b=TRUE,I.Facility.P2bFacilityCount&gt;=4032,F14044=""),"Incomplete","Complete")</f>
        <v>Complete</v>
      </c>
      <c r="I14044" s="48" t="s">
        <v>18409</v>
      </c>
    </row>
    <row r="14045" spans="2:9" ht="15" customHeight="1" x14ac:dyDescent="0.25">
      <c r="B14045" s="55" t="s">
        <v>281</v>
      </c>
      <c r="C14045" s="46">
        <v>4033</v>
      </c>
      <c r="D14045" s="69" t="s">
        <v>29418</v>
      </c>
      <c r="E14045" s="51"/>
      <c r="F14045" s="114" t="str">
        <f>IF(INDEX(I.Facility.P2bIDNumber,4033)="","",INDEX(I.Facility.P2bIDNumber,4033))</f>
        <v/>
      </c>
      <c r="G14045" s="51"/>
      <c r="H14045" s="46" t="str">
        <f>IF(AND(I.Developer.P2b=TRUE,I.Facility.P2bFacilityCount&gt;=4033,F14045=""),"Incomplete","Complete")</f>
        <v>Complete</v>
      </c>
      <c r="I14045" s="48" t="s">
        <v>18410</v>
      </c>
    </row>
    <row r="14046" spans="2:9" ht="15" customHeight="1" x14ac:dyDescent="0.25">
      <c r="B14046" s="55" t="s">
        <v>281</v>
      </c>
      <c r="C14046" s="46">
        <v>4034</v>
      </c>
      <c r="D14046" s="69" t="s">
        <v>29418</v>
      </c>
      <c r="E14046" s="51"/>
      <c r="F14046" s="114" t="str">
        <f>IF(INDEX(I.Facility.P2bIDNumber,4034)="","",INDEX(I.Facility.P2bIDNumber,4034))</f>
        <v/>
      </c>
      <c r="G14046" s="51"/>
      <c r="H14046" s="46" t="str">
        <f>IF(AND(I.Developer.P2b=TRUE,I.Facility.P2bFacilityCount&gt;=4034,F14046=""),"Incomplete","Complete")</f>
        <v>Complete</v>
      </c>
      <c r="I14046" s="48" t="s">
        <v>18411</v>
      </c>
    </row>
    <row r="14047" spans="2:9" ht="15" customHeight="1" x14ac:dyDescent="0.25">
      <c r="B14047" s="55" t="s">
        <v>281</v>
      </c>
      <c r="C14047" s="46">
        <v>4035</v>
      </c>
      <c r="D14047" s="69" t="s">
        <v>29418</v>
      </c>
      <c r="E14047" s="51"/>
      <c r="F14047" s="114" t="str">
        <f>IF(INDEX(I.Facility.P2bIDNumber,4035)="","",INDEX(I.Facility.P2bIDNumber,4035))</f>
        <v/>
      </c>
      <c r="G14047" s="51"/>
      <c r="H14047" s="46" t="str">
        <f>IF(AND(I.Developer.P2b=TRUE,I.Facility.P2bFacilityCount&gt;=4035,F14047=""),"Incomplete","Complete")</f>
        <v>Complete</v>
      </c>
      <c r="I14047" s="48" t="s">
        <v>18412</v>
      </c>
    </row>
    <row r="14048" spans="2:9" ht="15" customHeight="1" x14ac:dyDescent="0.25">
      <c r="B14048" s="55" t="s">
        <v>281</v>
      </c>
      <c r="C14048" s="46">
        <v>4036</v>
      </c>
      <c r="D14048" s="69" t="s">
        <v>29418</v>
      </c>
      <c r="E14048" s="51"/>
      <c r="F14048" s="114" t="str">
        <f>IF(INDEX(I.Facility.P2bIDNumber,4036)="","",INDEX(I.Facility.P2bIDNumber,4036))</f>
        <v/>
      </c>
      <c r="G14048" s="51"/>
      <c r="H14048" s="46" t="str">
        <f>IF(AND(I.Developer.P2b=TRUE,I.Facility.P2bFacilityCount&gt;=4036,F14048=""),"Incomplete","Complete")</f>
        <v>Complete</v>
      </c>
      <c r="I14048" s="48" t="s">
        <v>18413</v>
      </c>
    </row>
    <row r="14049" spans="2:9" ht="15" customHeight="1" x14ac:dyDescent="0.25">
      <c r="B14049" s="55" t="s">
        <v>281</v>
      </c>
      <c r="C14049" s="46">
        <v>4037</v>
      </c>
      <c r="D14049" s="69" t="s">
        <v>29418</v>
      </c>
      <c r="E14049" s="51"/>
      <c r="F14049" s="114" t="str">
        <f>IF(INDEX(I.Facility.P2bIDNumber,4037)="","",INDEX(I.Facility.P2bIDNumber,4037))</f>
        <v/>
      </c>
      <c r="G14049" s="51"/>
      <c r="H14049" s="46" t="str">
        <f>IF(AND(I.Developer.P2b=TRUE,I.Facility.P2bFacilityCount&gt;=4037,F14049=""),"Incomplete","Complete")</f>
        <v>Complete</v>
      </c>
      <c r="I14049" s="48" t="s">
        <v>18414</v>
      </c>
    </row>
    <row r="14050" spans="2:9" ht="15" customHeight="1" x14ac:dyDescent="0.25">
      <c r="B14050" s="55" t="s">
        <v>281</v>
      </c>
      <c r="C14050" s="46">
        <v>4038</v>
      </c>
      <c r="D14050" s="69" t="s">
        <v>29418</v>
      </c>
      <c r="E14050" s="51"/>
      <c r="F14050" s="114" t="str">
        <f>IF(INDEX(I.Facility.P2bIDNumber,4038)="","",INDEX(I.Facility.P2bIDNumber,4038))</f>
        <v/>
      </c>
      <c r="G14050" s="51"/>
      <c r="H14050" s="46" t="str">
        <f>IF(AND(I.Developer.P2b=TRUE,I.Facility.P2bFacilityCount&gt;=4038,F14050=""),"Incomplete","Complete")</f>
        <v>Complete</v>
      </c>
      <c r="I14050" s="48" t="s">
        <v>18415</v>
      </c>
    </row>
    <row r="14051" spans="2:9" ht="15" customHeight="1" x14ac:dyDescent="0.25">
      <c r="B14051" s="55" t="s">
        <v>281</v>
      </c>
      <c r="C14051" s="46">
        <v>4039</v>
      </c>
      <c r="D14051" s="69" t="s">
        <v>29418</v>
      </c>
      <c r="E14051" s="51"/>
      <c r="F14051" s="114" t="str">
        <f>IF(INDEX(I.Facility.P2bIDNumber,4039)="","",INDEX(I.Facility.P2bIDNumber,4039))</f>
        <v/>
      </c>
      <c r="G14051" s="51"/>
      <c r="H14051" s="46" t="str">
        <f>IF(AND(I.Developer.P2b=TRUE,I.Facility.P2bFacilityCount&gt;=4039,F14051=""),"Incomplete","Complete")</f>
        <v>Complete</v>
      </c>
      <c r="I14051" s="48" t="s">
        <v>18416</v>
      </c>
    </row>
    <row r="14052" spans="2:9" ht="15" customHeight="1" x14ac:dyDescent="0.25">
      <c r="B14052" s="55" t="s">
        <v>281</v>
      </c>
      <c r="C14052" s="46">
        <v>4040</v>
      </c>
      <c r="D14052" s="69" t="s">
        <v>29418</v>
      </c>
      <c r="E14052" s="51"/>
      <c r="F14052" s="114" t="str">
        <f>IF(INDEX(I.Facility.P2bIDNumber,4040)="","",INDEX(I.Facility.P2bIDNumber,4040))</f>
        <v/>
      </c>
      <c r="G14052" s="51"/>
      <c r="H14052" s="46" t="str">
        <f>IF(AND(I.Developer.P2b=TRUE,I.Facility.P2bFacilityCount&gt;=4040,F14052=""),"Incomplete","Complete")</f>
        <v>Complete</v>
      </c>
      <c r="I14052" s="48" t="s">
        <v>18417</v>
      </c>
    </row>
    <row r="14053" spans="2:9" ht="15" customHeight="1" x14ac:dyDescent="0.25">
      <c r="B14053" s="55" t="s">
        <v>281</v>
      </c>
      <c r="C14053" s="46">
        <v>4041</v>
      </c>
      <c r="D14053" s="69" t="s">
        <v>29418</v>
      </c>
      <c r="E14053" s="51"/>
      <c r="F14053" s="114" t="str">
        <f>IF(INDEX(I.Facility.P2bIDNumber,4041)="","",INDEX(I.Facility.P2bIDNumber,4041))</f>
        <v/>
      </c>
      <c r="G14053" s="51"/>
      <c r="H14053" s="46" t="str">
        <f>IF(AND(I.Developer.P2b=TRUE,I.Facility.P2bFacilityCount&gt;=4041,F14053=""),"Incomplete","Complete")</f>
        <v>Complete</v>
      </c>
      <c r="I14053" s="48" t="s">
        <v>18418</v>
      </c>
    </row>
    <row r="14054" spans="2:9" ht="15" customHeight="1" x14ac:dyDescent="0.25">
      <c r="B14054" s="55" t="s">
        <v>281</v>
      </c>
      <c r="C14054" s="46">
        <v>4042</v>
      </c>
      <c r="D14054" s="69" t="s">
        <v>29418</v>
      </c>
      <c r="E14054" s="51"/>
      <c r="F14054" s="114" t="str">
        <f>IF(INDEX(I.Facility.P2bIDNumber,4042)="","",INDEX(I.Facility.P2bIDNumber,4042))</f>
        <v/>
      </c>
      <c r="G14054" s="51"/>
      <c r="H14054" s="46" t="str">
        <f>IF(AND(I.Developer.P2b=TRUE,I.Facility.P2bFacilityCount&gt;=4042,F14054=""),"Incomplete","Complete")</f>
        <v>Complete</v>
      </c>
      <c r="I14054" s="48" t="s">
        <v>18419</v>
      </c>
    </row>
    <row r="14055" spans="2:9" ht="15" customHeight="1" x14ac:dyDescent="0.25">
      <c r="B14055" s="55" t="s">
        <v>281</v>
      </c>
      <c r="C14055" s="46">
        <v>4043</v>
      </c>
      <c r="D14055" s="69" t="s">
        <v>29418</v>
      </c>
      <c r="E14055" s="51"/>
      <c r="F14055" s="114" t="str">
        <f>IF(INDEX(I.Facility.P2bIDNumber,4043)="","",INDEX(I.Facility.P2bIDNumber,4043))</f>
        <v/>
      </c>
      <c r="G14055" s="51"/>
      <c r="H14055" s="46" t="str">
        <f>IF(AND(I.Developer.P2b=TRUE,I.Facility.P2bFacilityCount&gt;=4043,F14055=""),"Incomplete","Complete")</f>
        <v>Complete</v>
      </c>
      <c r="I14055" s="48" t="s">
        <v>18420</v>
      </c>
    </row>
    <row r="14056" spans="2:9" ht="15" customHeight="1" x14ac:dyDescent="0.25">
      <c r="B14056" s="55" t="s">
        <v>281</v>
      </c>
      <c r="C14056" s="46">
        <v>4044</v>
      </c>
      <c r="D14056" s="69" t="s">
        <v>29418</v>
      </c>
      <c r="E14056" s="51"/>
      <c r="F14056" s="114" t="str">
        <f>IF(INDEX(I.Facility.P2bIDNumber,4044)="","",INDEX(I.Facility.P2bIDNumber,4044))</f>
        <v/>
      </c>
      <c r="G14056" s="51"/>
      <c r="H14056" s="46" t="str">
        <f>IF(AND(I.Developer.P2b=TRUE,I.Facility.P2bFacilityCount&gt;=4044,F14056=""),"Incomplete","Complete")</f>
        <v>Complete</v>
      </c>
      <c r="I14056" s="48" t="s">
        <v>18421</v>
      </c>
    </row>
    <row r="14057" spans="2:9" ht="15" customHeight="1" x14ac:dyDescent="0.25">
      <c r="B14057" s="55" t="s">
        <v>281</v>
      </c>
      <c r="C14057" s="46">
        <v>4045</v>
      </c>
      <c r="D14057" s="69" t="s">
        <v>29418</v>
      </c>
      <c r="E14057" s="51"/>
      <c r="F14057" s="114" t="str">
        <f>IF(INDEX(I.Facility.P2bIDNumber,4045)="","",INDEX(I.Facility.P2bIDNumber,4045))</f>
        <v/>
      </c>
      <c r="G14057" s="51"/>
      <c r="H14057" s="46" t="str">
        <f>IF(AND(I.Developer.P2b=TRUE,I.Facility.P2bFacilityCount&gt;=4045,F14057=""),"Incomplete","Complete")</f>
        <v>Complete</v>
      </c>
      <c r="I14057" s="48" t="s">
        <v>18422</v>
      </c>
    </row>
    <row r="14058" spans="2:9" ht="15" customHeight="1" x14ac:dyDescent="0.25">
      <c r="B14058" s="55" t="s">
        <v>281</v>
      </c>
      <c r="C14058" s="46">
        <v>4046</v>
      </c>
      <c r="D14058" s="69" t="s">
        <v>29418</v>
      </c>
      <c r="E14058" s="51"/>
      <c r="F14058" s="114" t="str">
        <f>IF(INDEX(I.Facility.P2bIDNumber,4046)="","",INDEX(I.Facility.P2bIDNumber,4046))</f>
        <v/>
      </c>
      <c r="G14058" s="51"/>
      <c r="H14058" s="46" t="str">
        <f>IF(AND(I.Developer.P2b=TRUE,I.Facility.P2bFacilityCount&gt;=4046,F14058=""),"Incomplete","Complete")</f>
        <v>Complete</v>
      </c>
      <c r="I14058" s="48" t="s">
        <v>18423</v>
      </c>
    </row>
    <row r="14059" spans="2:9" ht="15" customHeight="1" x14ac:dyDescent="0.25">
      <c r="B14059" s="55" t="s">
        <v>281</v>
      </c>
      <c r="C14059" s="46">
        <v>4047</v>
      </c>
      <c r="D14059" s="69" t="s">
        <v>29418</v>
      </c>
      <c r="E14059" s="51"/>
      <c r="F14059" s="114" t="str">
        <f>IF(INDEX(I.Facility.P2bIDNumber,4047)="","",INDEX(I.Facility.P2bIDNumber,4047))</f>
        <v/>
      </c>
      <c r="G14059" s="51"/>
      <c r="H14059" s="46" t="str">
        <f>IF(AND(I.Developer.P2b=TRUE,I.Facility.P2bFacilityCount&gt;=4047,F14059=""),"Incomplete","Complete")</f>
        <v>Complete</v>
      </c>
      <c r="I14059" s="48" t="s">
        <v>18424</v>
      </c>
    </row>
    <row r="14060" spans="2:9" ht="15" customHeight="1" x14ac:dyDescent="0.25">
      <c r="B14060" s="55" t="s">
        <v>281</v>
      </c>
      <c r="C14060" s="46">
        <v>4048</v>
      </c>
      <c r="D14060" s="69" t="s">
        <v>29418</v>
      </c>
      <c r="E14060" s="51"/>
      <c r="F14060" s="114" t="str">
        <f>IF(INDEX(I.Facility.P2bIDNumber,4048)="","",INDEX(I.Facility.P2bIDNumber,4048))</f>
        <v/>
      </c>
      <c r="G14060" s="51"/>
      <c r="H14060" s="46" t="str">
        <f>IF(AND(I.Developer.P2b=TRUE,I.Facility.P2bFacilityCount&gt;=4048,F14060=""),"Incomplete","Complete")</f>
        <v>Complete</v>
      </c>
      <c r="I14060" s="48" t="s">
        <v>18425</v>
      </c>
    </row>
    <row r="14061" spans="2:9" ht="15" customHeight="1" x14ac:dyDescent="0.25">
      <c r="B14061" s="55" t="s">
        <v>281</v>
      </c>
      <c r="C14061" s="46">
        <v>4049</v>
      </c>
      <c r="D14061" s="69" t="s">
        <v>29418</v>
      </c>
      <c r="E14061" s="51"/>
      <c r="F14061" s="114" t="str">
        <f>IF(INDEX(I.Facility.P2bIDNumber,4049)="","",INDEX(I.Facility.P2bIDNumber,4049))</f>
        <v/>
      </c>
      <c r="G14061" s="51"/>
      <c r="H14061" s="46" t="str">
        <f>IF(AND(I.Developer.P2b=TRUE,I.Facility.P2bFacilityCount&gt;=4049,F14061=""),"Incomplete","Complete")</f>
        <v>Complete</v>
      </c>
      <c r="I14061" s="48" t="s">
        <v>18426</v>
      </c>
    </row>
    <row r="14062" spans="2:9" ht="15" customHeight="1" x14ac:dyDescent="0.25">
      <c r="B14062" s="55" t="s">
        <v>281</v>
      </c>
      <c r="C14062" s="46">
        <v>4050</v>
      </c>
      <c r="D14062" s="69" t="s">
        <v>29418</v>
      </c>
      <c r="E14062" s="51"/>
      <c r="F14062" s="114" t="str">
        <f>IF(INDEX(I.Facility.P2bIDNumber,4050)="","",INDEX(I.Facility.P2bIDNumber,4050))</f>
        <v/>
      </c>
      <c r="G14062" s="51"/>
      <c r="H14062" s="46" t="str">
        <f>IF(AND(I.Developer.P2b=TRUE,I.Facility.P2bFacilityCount&gt;=4050,F14062=""),"Incomplete","Complete")</f>
        <v>Complete</v>
      </c>
      <c r="I14062" s="48" t="s">
        <v>18427</v>
      </c>
    </row>
    <row r="14063" spans="2:9" ht="15" customHeight="1" x14ac:dyDescent="0.25">
      <c r="B14063" s="55" t="s">
        <v>281</v>
      </c>
      <c r="C14063" s="46">
        <v>4051</v>
      </c>
      <c r="D14063" s="69" t="s">
        <v>29418</v>
      </c>
      <c r="E14063" s="51"/>
      <c r="F14063" s="114" t="str">
        <f>IF(INDEX(I.Facility.P2bIDNumber,4051)="","",INDEX(I.Facility.P2bIDNumber,4051))</f>
        <v/>
      </c>
      <c r="G14063" s="51"/>
      <c r="H14063" s="46" t="str">
        <f>IF(AND(I.Developer.P2b=TRUE,I.Facility.P2bFacilityCount&gt;=4051,F14063=""),"Incomplete","Complete")</f>
        <v>Complete</v>
      </c>
      <c r="I14063" s="48" t="s">
        <v>18428</v>
      </c>
    </row>
    <row r="14064" spans="2:9" ht="15" customHeight="1" x14ac:dyDescent="0.25">
      <c r="B14064" s="55" t="s">
        <v>281</v>
      </c>
      <c r="C14064" s="46">
        <v>4052</v>
      </c>
      <c r="D14064" s="69" t="s">
        <v>29418</v>
      </c>
      <c r="E14064" s="51"/>
      <c r="F14064" s="114" t="str">
        <f>IF(INDEX(I.Facility.P2bIDNumber,4052)="","",INDEX(I.Facility.P2bIDNumber,4052))</f>
        <v/>
      </c>
      <c r="G14064" s="51"/>
      <c r="H14064" s="46" t="str">
        <f>IF(AND(I.Developer.P2b=TRUE,I.Facility.P2bFacilityCount&gt;=4052,F14064=""),"Incomplete","Complete")</f>
        <v>Complete</v>
      </c>
      <c r="I14064" s="48" t="s">
        <v>18429</v>
      </c>
    </row>
    <row r="14065" spans="2:9" ht="15" customHeight="1" x14ac:dyDescent="0.25">
      <c r="B14065" s="55" t="s">
        <v>281</v>
      </c>
      <c r="C14065" s="46">
        <v>4053</v>
      </c>
      <c r="D14065" s="69" t="s">
        <v>29418</v>
      </c>
      <c r="E14065" s="51"/>
      <c r="F14065" s="114" t="str">
        <f>IF(INDEX(I.Facility.P2bIDNumber,4053)="","",INDEX(I.Facility.P2bIDNumber,4053))</f>
        <v/>
      </c>
      <c r="G14065" s="51"/>
      <c r="H14065" s="46" t="str">
        <f>IF(AND(I.Developer.P2b=TRUE,I.Facility.P2bFacilityCount&gt;=4053,F14065=""),"Incomplete","Complete")</f>
        <v>Complete</v>
      </c>
      <c r="I14065" s="48" t="s">
        <v>18430</v>
      </c>
    </row>
    <row r="14066" spans="2:9" ht="15" customHeight="1" x14ac:dyDescent="0.25">
      <c r="B14066" s="55" t="s">
        <v>281</v>
      </c>
      <c r="C14066" s="46">
        <v>4054</v>
      </c>
      <c r="D14066" s="69" t="s">
        <v>29418</v>
      </c>
      <c r="E14066" s="51"/>
      <c r="F14066" s="114" t="str">
        <f>IF(INDEX(I.Facility.P2bIDNumber,4054)="","",INDEX(I.Facility.P2bIDNumber,4054))</f>
        <v/>
      </c>
      <c r="G14066" s="51"/>
      <c r="H14066" s="46" t="str">
        <f>IF(AND(I.Developer.P2b=TRUE,I.Facility.P2bFacilityCount&gt;=4054,F14066=""),"Incomplete","Complete")</f>
        <v>Complete</v>
      </c>
      <c r="I14066" s="48" t="s">
        <v>18431</v>
      </c>
    </row>
    <row r="14067" spans="2:9" ht="15" customHeight="1" x14ac:dyDescent="0.25">
      <c r="B14067" s="55" t="s">
        <v>281</v>
      </c>
      <c r="C14067" s="46">
        <v>4055</v>
      </c>
      <c r="D14067" s="69" t="s">
        <v>29418</v>
      </c>
      <c r="E14067" s="51"/>
      <c r="F14067" s="114" t="str">
        <f>IF(INDEX(I.Facility.P2bIDNumber,4055)="","",INDEX(I.Facility.P2bIDNumber,4055))</f>
        <v/>
      </c>
      <c r="G14067" s="51"/>
      <c r="H14067" s="46" t="str">
        <f>IF(AND(I.Developer.P2b=TRUE,I.Facility.P2bFacilityCount&gt;=4055,F14067=""),"Incomplete","Complete")</f>
        <v>Complete</v>
      </c>
      <c r="I14067" s="48" t="s">
        <v>18432</v>
      </c>
    </row>
    <row r="14068" spans="2:9" ht="15" customHeight="1" x14ac:dyDescent="0.25">
      <c r="B14068" s="55" t="s">
        <v>281</v>
      </c>
      <c r="C14068" s="46">
        <v>4056</v>
      </c>
      <c r="D14068" s="69" t="s">
        <v>29418</v>
      </c>
      <c r="E14068" s="51"/>
      <c r="F14068" s="114" t="str">
        <f>IF(INDEX(I.Facility.P2bIDNumber,4056)="","",INDEX(I.Facility.P2bIDNumber,4056))</f>
        <v/>
      </c>
      <c r="G14068" s="51"/>
      <c r="H14068" s="46" t="str">
        <f>IF(AND(I.Developer.P2b=TRUE,I.Facility.P2bFacilityCount&gt;=4056,F14068=""),"Incomplete","Complete")</f>
        <v>Complete</v>
      </c>
      <c r="I14068" s="48" t="s">
        <v>18433</v>
      </c>
    </row>
    <row r="14069" spans="2:9" ht="15" customHeight="1" x14ac:dyDescent="0.25">
      <c r="B14069" s="55" t="s">
        <v>281</v>
      </c>
      <c r="C14069" s="46">
        <v>4057</v>
      </c>
      <c r="D14069" s="69" t="s">
        <v>29418</v>
      </c>
      <c r="E14069" s="51"/>
      <c r="F14069" s="114" t="str">
        <f>IF(INDEX(I.Facility.P2bIDNumber,4057)="","",INDEX(I.Facility.P2bIDNumber,4057))</f>
        <v/>
      </c>
      <c r="G14069" s="51"/>
      <c r="H14069" s="46" t="str">
        <f>IF(AND(I.Developer.P2b=TRUE,I.Facility.P2bFacilityCount&gt;=4057,F14069=""),"Incomplete","Complete")</f>
        <v>Complete</v>
      </c>
      <c r="I14069" s="48" t="s">
        <v>18434</v>
      </c>
    </row>
    <row r="14070" spans="2:9" ht="15" customHeight="1" x14ac:dyDescent="0.25">
      <c r="B14070" s="55" t="s">
        <v>281</v>
      </c>
      <c r="C14070" s="46">
        <v>4058</v>
      </c>
      <c r="D14070" s="69" t="s">
        <v>29418</v>
      </c>
      <c r="E14070" s="51"/>
      <c r="F14070" s="114" t="str">
        <f>IF(INDEX(I.Facility.P2bIDNumber,4058)="","",INDEX(I.Facility.P2bIDNumber,4058))</f>
        <v/>
      </c>
      <c r="G14070" s="51"/>
      <c r="H14070" s="46" t="str">
        <f>IF(AND(I.Developer.P2b=TRUE,I.Facility.P2bFacilityCount&gt;=4058,F14070=""),"Incomplete","Complete")</f>
        <v>Complete</v>
      </c>
      <c r="I14070" s="48" t="s">
        <v>18435</v>
      </c>
    </row>
    <row r="14071" spans="2:9" ht="15" customHeight="1" x14ac:dyDescent="0.25">
      <c r="B14071" s="55" t="s">
        <v>281</v>
      </c>
      <c r="C14071" s="46">
        <v>4059</v>
      </c>
      <c r="D14071" s="69" t="s">
        <v>29418</v>
      </c>
      <c r="E14071" s="51"/>
      <c r="F14071" s="114" t="str">
        <f>IF(INDEX(I.Facility.P2bIDNumber,4059)="","",INDEX(I.Facility.P2bIDNumber,4059))</f>
        <v/>
      </c>
      <c r="G14071" s="51"/>
      <c r="H14071" s="46" t="str">
        <f>IF(AND(I.Developer.P2b=TRUE,I.Facility.P2bFacilityCount&gt;=4059,F14071=""),"Incomplete","Complete")</f>
        <v>Complete</v>
      </c>
      <c r="I14071" s="48" t="s">
        <v>18436</v>
      </c>
    </row>
    <row r="14072" spans="2:9" ht="15" customHeight="1" x14ac:dyDescent="0.25">
      <c r="B14072" s="55" t="s">
        <v>281</v>
      </c>
      <c r="C14072" s="46">
        <v>4060</v>
      </c>
      <c r="D14072" s="69" t="s">
        <v>29418</v>
      </c>
      <c r="E14072" s="51"/>
      <c r="F14072" s="114" t="str">
        <f>IF(INDEX(I.Facility.P2bIDNumber,4060)="","",INDEX(I.Facility.P2bIDNumber,4060))</f>
        <v/>
      </c>
      <c r="G14072" s="51"/>
      <c r="H14072" s="46" t="str">
        <f>IF(AND(I.Developer.P2b=TRUE,I.Facility.P2bFacilityCount&gt;=4060,F14072=""),"Incomplete","Complete")</f>
        <v>Complete</v>
      </c>
      <c r="I14072" s="48" t="s">
        <v>18437</v>
      </c>
    </row>
    <row r="14073" spans="2:9" ht="15" customHeight="1" x14ac:dyDescent="0.25">
      <c r="B14073" s="55" t="s">
        <v>281</v>
      </c>
      <c r="C14073" s="46">
        <v>4061</v>
      </c>
      <c r="D14073" s="69" t="s">
        <v>29418</v>
      </c>
      <c r="E14073" s="51"/>
      <c r="F14073" s="114" t="str">
        <f>IF(INDEX(I.Facility.P2bIDNumber,4061)="","",INDEX(I.Facility.P2bIDNumber,4061))</f>
        <v/>
      </c>
      <c r="G14073" s="51"/>
      <c r="H14073" s="46" t="str">
        <f>IF(AND(I.Developer.P2b=TRUE,I.Facility.P2bFacilityCount&gt;=4061,F14073=""),"Incomplete","Complete")</f>
        <v>Complete</v>
      </c>
      <c r="I14073" s="48" t="s">
        <v>18438</v>
      </c>
    </row>
    <row r="14074" spans="2:9" ht="15" customHeight="1" x14ac:dyDescent="0.25">
      <c r="B14074" s="55" t="s">
        <v>281</v>
      </c>
      <c r="C14074" s="46">
        <v>4062</v>
      </c>
      <c r="D14074" s="69" t="s">
        <v>29418</v>
      </c>
      <c r="E14074" s="51"/>
      <c r="F14074" s="114" t="str">
        <f>IF(INDEX(I.Facility.P2bIDNumber,4062)="","",INDEX(I.Facility.P2bIDNumber,4062))</f>
        <v/>
      </c>
      <c r="G14074" s="51"/>
      <c r="H14074" s="46" t="str">
        <f>IF(AND(I.Developer.P2b=TRUE,I.Facility.P2bFacilityCount&gt;=4062,F14074=""),"Incomplete","Complete")</f>
        <v>Complete</v>
      </c>
      <c r="I14074" s="48" t="s">
        <v>18439</v>
      </c>
    </row>
    <row r="14075" spans="2:9" ht="15" customHeight="1" x14ac:dyDescent="0.25">
      <c r="B14075" s="55" t="s">
        <v>281</v>
      </c>
      <c r="C14075" s="46">
        <v>4063</v>
      </c>
      <c r="D14075" s="69" t="s">
        <v>29418</v>
      </c>
      <c r="E14075" s="51"/>
      <c r="F14075" s="114" t="str">
        <f>IF(INDEX(I.Facility.P2bIDNumber,4063)="","",INDEX(I.Facility.P2bIDNumber,4063))</f>
        <v/>
      </c>
      <c r="G14075" s="51"/>
      <c r="H14075" s="46" t="str">
        <f>IF(AND(I.Developer.P2b=TRUE,I.Facility.P2bFacilityCount&gt;=4063,F14075=""),"Incomplete","Complete")</f>
        <v>Complete</v>
      </c>
      <c r="I14075" s="48" t="s">
        <v>18440</v>
      </c>
    </row>
    <row r="14076" spans="2:9" ht="15" customHeight="1" x14ac:dyDescent="0.25">
      <c r="B14076" s="55" t="s">
        <v>281</v>
      </c>
      <c r="C14076" s="46">
        <v>4064</v>
      </c>
      <c r="D14076" s="69" t="s">
        <v>29418</v>
      </c>
      <c r="E14076" s="51"/>
      <c r="F14076" s="114" t="str">
        <f>IF(INDEX(I.Facility.P2bIDNumber,4064)="","",INDEX(I.Facility.P2bIDNumber,4064))</f>
        <v/>
      </c>
      <c r="G14076" s="51"/>
      <c r="H14076" s="46" t="str">
        <f>IF(AND(I.Developer.P2b=TRUE,I.Facility.P2bFacilityCount&gt;=4064,F14076=""),"Incomplete","Complete")</f>
        <v>Complete</v>
      </c>
      <c r="I14076" s="48" t="s">
        <v>18441</v>
      </c>
    </row>
    <row r="14077" spans="2:9" ht="15" customHeight="1" x14ac:dyDescent="0.25">
      <c r="B14077" s="55" t="s">
        <v>281</v>
      </c>
      <c r="C14077" s="46">
        <v>4065</v>
      </c>
      <c r="D14077" s="69" t="s">
        <v>29418</v>
      </c>
      <c r="E14077" s="51"/>
      <c r="F14077" s="114" t="str">
        <f>IF(INDEX(I.Facility.P2bIDNumber,4065)="","",INDEX(I.Facility.P2bIDNumber,4065))</f>
        <v/>
      </c>
      <c r="G14077" s="51"/>
      <c r="H14077" s="46" t="str">
        <f>IF(AND(I.Developer.P2b=TRUE,I.Facility.P2bFacilityCount&gt;=4065,F14077=""),"Incomplete","Complete")</f>
        <v>Complete</v>
      </c>
      <c r="I14077" s="48" t="s">
        <v>18442</v>
      </c>
    </row>
    <row r="14078" spans="2:9" ht="15" customHeight="1" x14ac:dyDescent="0.25">
      <c r="B14078" s="55" t="s">
        <v>281</v>
      </c>
      <c r="C14078" s="46">
        <v>4066</v>
      </c>
      <c r="D14078" s="69" t="s">
        <v>29418</v>
      </c>
      <c r="E14078" s="51"/>
      <c r="F14078" s="114" t="str">
        <f>IF(INDEX(I.Facility.P2bIDNumber,4066)="","",INDEX(I.Facility.P2bIDNumber,4066))</f>
        <v/>
      </c>
      <c r="G14078" s="51"/>
      <c r="H14078" s="46" t="str">
        <f>IF(AND(I.Developer.P2b=TRUE,I.Facility.P2bFacilityCount&gt;=4066,F14078=""),"Incomplete","Complete")</f>
        <v>Complete</v>
      </c>
      <c r="I14078" s="48" t="s">
        <v>18443</v>
      </c>
    </row>
    <row r="14079" spans="2:9" ht="15" customHeight="1" x14ac:dyDescent="0.25">
      <c r="B14079" s="55" t="s">
        <v>281</v>
      </c>
      <c r="C14079" s="46">
        <v>4067</v>
      </c>
      <c r="D14079" s="69" t="s">
        <v>29418</v>
      </c>
      <c r="E14079" s="51"/>
      <c r="F14079" s="114" t="str">
        <f>IF(INDEX(I.Facility.P2bIDNumber,4067)="","",INDEX(I.Facility.P2bIDNumber,4067))</f>
        <v/>
      </c>
      <c r="G14079" s="51"/>
      <c r="H14079" s="46" t="str">
        <f>IF(AND(I.Developer.P2b=TRUE,I.Facility.P2bFacilityCount&gt;=4067,F14079=""),"Incomplete","Complete")</f>
        <v>Complete</v>
      </c>
      <c r="I14079" s="48" t="s">
        <v>18444</v>
      </c>
    </row>
    <row r="14080" spans="2:9" ht="15" customHeight="1" x14ac:dyDescent="0.25">
      <c r="B14080" s="55" t="s">
        <v>281</v>
      </c>
      <c r="C14080" s="46">
        <v>4068</v>
      </c>
      <c r="D14080" s="69" t="s">
        <v>29418</v>
      </c>
      <c r="E14080" s="51"/>
      <c r="F14080" s="114" t="str">
        <f>IF(INDEX(I.Facility.P2bIDNumber,4068)="","",INDEX(I.Facility.P2bIDNumber,4068))</f>
        <v/>
      </c>
      <c r="G14080" s="51"/>
      <c r="H14080" s="46" t="str">
        <f>IF(AND(I.Developer.P2b=TRUE,I.Facility.P2bFacilityCount&gt;=4068,F14080=""),"Incomplete","Complete")</f>
        <v>Complete</v>
      </c>
      <c r="I14080" s="48" t="s">
        <v>18445</v>
      </c>
    </row>
    <row r="14081" spans="2:9" ht="15" customHeight="1" x14ac:dyDescent="0.25">
      <c r="B14081" s="55" t="s">
        <v>281</v>
      </c>
      <c r="C14081" s="46">
        <v>4069</v>
      </c>
      <c r="D14081" s="69" t="s">
        <v>29418</v>
      </c>
      <c r="E14081" s="51"/>
      <c r="F14081" s="114" t="str">
        <f>IF(INDEX(I.Facility.P2bIDNumber,4069)="","",INDEX(I.Facility.P2bIDNumber,4069))</f>
        <v/>
      </c>
      <c r="G14081" s="51"/>
      <c r="H14081" s="46" t="str">
        <f>IF(AND(I.Developer.P2b=TRUE,I.Facility.P2bFacilityCount&gt;=4069,F14081=""),"Incomplete","Complete")</f>
        <v>Complete</v>
      </c>
      <c r="I14081" s="48" t="s">
        <v>18446</v>
      </c>
    </row>
    <row r="14082" spans="2:9" ht="15" customHeight="1" x14ac:dyDescent="0.25">
      <c r="B14082" s="55" t="s">
        <v>281</v>
      </c>
      <c r="C14082" s="46">
        <v>4070</v>
      </c>
      <c r="D14082" s="69" t="s">
        <v>29418</v>
      </c>
      <c r="E14082" s="51"/>
      <c r="F14082" s="114" t="str">
        <f>IF(INDEX(I.Facility.P2bIDNumber,4070)="","",INDEX(I.Facility.P2bIDNumber,4070))</f>
        <v/>
      </c>
      <c r="G14082" s="51"/>
      <c r="H14082" s="46" t="str">
        <f>IF(AND(I.Developer.P2b=TRUE,I.Facility.P2bFacilityCount&gt;=4070,F14082=""),"Incomplete","Complete")</f>
        <v>Complete</v>
      </c>
      <c r="I14082" s="48" t="s">
        <v>18447</v>
      </c>
    </row>
    <row r="14083" spans="2:9" ht="15" customHeight="1" x14ac:dyDescent="0.25">
      <c r="B14083" s="55" t="s">
        <v>281</v>
      </c>
      <c r="C14083" s="46">
        <v>4071</v>
      </c>
      <c r="D14083" s="69" t="s">
        <v>29418</v>
      </c>
      <c r="E14083" s="51"/>
      <c r="F14083" s="114" t="str">
        <f>IF(INDEX(I.Facility.P2bIDNumber,4071)="","",INDEX(I.Facility.P2bIDNumber,4071))</f>
        <v/>
      </c>
      <c r="G14083" s="51"/>
      <c r="H14083" s="46" t="str">
        <f>IF(AND(I.Developer.P2b=TRUE,I.Facility.P2bFacilityCount&gt;=4071,F14083=""),"Incomplete","Complete")</f>
        <v>Complete</v>
      </c>
      <c r="I14083" s="48" t="s">
        <v>18448</v>
      </c>
    </row>
    <row r="14084" spans="2:9" ht="15" customHeight="1" x14ac:dyDescent="0.25">
      <c r="B14084" s="55" t="s">
        <v>281</v>
      </c>
      <c r="C14084" s="46">
        <v>4072</v>
      </c>
      <c r="D14084" s="69" t="s">
        <v>29418</v>
      </c>
      <c r="E14084" s="51"/>
      <c r="F14084" s="114" t="str">
        <f>IF(INDEX(I.Facility.P2bIDNumber,4072)="","",INDEX(I.Facility.P2bIDNumber,4072))</f>
        <v/>
      </c>
      <c r="G14084" s="51"/>
      <c r="H14084" s="46" t="str">
        <f>IF(AND(I.Developer.P2b=TRUE,I.Facility.P2bFacilityCount&gt;=4072,F14084=""),"Incomplete","Complete")</f>
        <v>Complete</v>
      </c>
      <c r="I14084" s="48" t="s">
        <v>18449</v>
      </c>
    </row>
    <row r="14085" spans="2:9" ht="15" customHeight="1" x14ac:dyDescent="0.25">
      <c r="B14085" s="55" t="s">
        <v>281</v>
      </c>
      <c r="C14085" s="46">
        <v>4073</v>
      </c>
      <c r="D14085" s="69" t="s">
        <v>29418</v>
      </c>
      <c r="E14085" s="51"/>
      <c r="F14085" s="114" t="str">
        <f>IF(INDEX(I.Facility.P2bIDNumber,4073)="","",INDEX(I.Facility.P2bIDNumber,4073))</f>
        <v/>
      </c>
      <c r="G14085" s="51"/>
      <c r="H14085" s="46" t="str">
        <f>IF(AND(I.Developer.P2b=TRUE,I.Facility.P2bFacilityCount&gt;=4073,F14085=""),"Incomplete","Complete")</f>
        <v>Complete</v>
      </c>
      <c r="I14085" s="48" t="s">
        <v>18450</v>
      </c>
    </row>
    <row r="14086" spans="2:9" ht="15" customHeight="1" x14ac:dyDescent="0.25">
      <c r="B14086" s="55" t="s">
        <v>281</v>
      </c>
      <c r="C14086" s="46">
        <v>4074</v>
      </c>
      <c r="D14086" s="69" t="s">
        <v>29418</v>
      </c>
      <c r="E14086" s="51"/>
      <c r="F14086" s="114" t="str">
        <f>IF(INDEX(I.Facility.P2bIDNumber,4074)="","",INDEX(I.Facility.P2bIDNumber,4074))</f>
        <v/>
      </c>
      <c r="G14086" s="51"/>
      <c r="H14086" s="46" t="str">
        <f>IF(AND(I.Developer.P2b=TRUE,I.Facility.P2bFacilityCount&gt;=4074,F14086=""),"Incomplete","Complete")</f>
        <v>Complete</v>
      </c>
      <c r="I14086" s="48" t="s">
        <v>18451</v>
      </c>
    </row>
    <row r="14087" spans="2:9" ht="15" customHeight="1" x14ac:dyDescent="0.25">
      <c r="B14087" s="55" t="s">
        <v>281</v>
      </c>
      <c r="C14087" s="46">
        <v>4075</v>
      </c>
      <c r="D14087" s="69" t="s">
        <v>29418</v>
      </c>
      <c r="E14087" s="51"/>
      <c r="F14087" s="114" t="str">
        <f>IF(INDEX(I.Facility.P2bIDNumber,4075)="","",INDEX(I.Facility.P2bIDNumber,4075))</f>
        <v/>
      </c>
      <c r="G14087" s="51"/>
      <c r="H14087" s="46" t="str">
        <f>IF(AND(I.Developer.P2b=TRUE,I.Facility.P2bFacilityCount&gt;=4075,F14087=""),"Incomplete","Complete")</f>
        <v>Complete</v>
      </c>
      <c r="I14087" s="48" t="s">
        <v>18452</v>
      </c>
    </row>
    <row r="14088" spans="2:9" ht="15" customHeight="1" x14ac:dyDescent="0.25">
      <c r="B14088" s="55" t="s">
        <v>281</v>
      </c>
      <c r="C14088" s="46">
        <v>4076</v>
      </c>
      <c r="D14088" s="69" t="s">
        <v>29418</v>
      </c>
      <c r="E14088" s="51"/>
      <c r="F14088" s="114" t="str">
        <f>IF(INDEX(I.Facility.P2bIDNumber,4076)="","",INDEX(I.Facility.P2bIDNumber,4076))</f>
        <v/>
      </c>
      <c r="G14088" s="51"/>
      <c r="H14088" s="46" t="str">
        <f>IF(AND(I.Developer.P2b=TRUE,I.Facility.P2bFacilityCount&gt;=4076,F14088=""),"Incomplete","Complete")</f>
        <v>Complete</v>
      </c>
      <c r="I14088" s="48" t="s">
        <v>18453</v>
      </c>
    </row>
    <row r="14089" spans="2:9" ht="15" customHeight="1" x14ac:dyDescent="0.25">
      <c r="B14089" s="55" t="s">
        <v>281</v>
      </c>
      <c r="C14089" s="46">
        <v>4077</v>
      </c>
      <c r="D14089" s="69" t="s">
        <v>29418</v>
      </c>
      <c r="E14089" s="51"/>
      <c r="F14089" s="114" t="str">
        <f>IF(INDEX(I.Facility.P2bIDNumber,4077)="","",INDEX(I.Facility.P2bIDNumber,4077))</f>
        <v/>
      </c>
      <c r="G14089" s="51"/>
      <c r="H14089" s="46" t="str">
        <f>IF(AND(I.Developer.P2b=TRUE,I.Facility.P2bFacilityCount&gt;=4077,F14089=""),"Incomplete","Complete")</f>
        <v>Complete</v>
      </c>
      <c r="I14089" s="48" t="s">
        <v>18454</v>
      </c>
    </row>
    <row r="14090" spans="2:9" ht="15" customHeight="1" x14ac:dyDescent="0.25">
      <c r="B14090" s="55" t="s">
        <v>281</v>
      </c>
      <c r="C14090" s="46">
        <v>4078</v>
      </c>
      <c r="D14090" s="69" t="s">
        <v>29418</v>
      </c>
      <c r="E14090" s="51"/>
      <c r="F14090" s="114" t="str">
        <f>IF(INDEX(I.Facility.P2bIDNumber,4078)="","",INDEX(I.Facility.P2bIDNumber,4078))</f>
        <v/>
      </c>
      <c r="G14090" s="51"/>
      <c r="H14090" s="46" t="str">
        <f>IF(AND(I.Developer.P2b=TRUE,I.Facility.P2bFacilityCount&gt;=4078,F14090=""),"Incomplete","Complete")</f>
        <v>Complete</v>
      </c>
      <c r="I14090" s="48" t="s">
        <v>18455</v>
      </c>
    </row>
    <row r="14091" spans="2:9" ht="15" customHeight="1" x14ac:dyDescent="0.25">
      <c r="B14091" s="55" t="s">
        <v>281</v>
      </c>
      <c r="C14091" s="46">
        <v>4079</v>
      </c>
      <c r="D14091" s="69" t="s">
        <v>29418</v>
      </c>
      <c r="E14091" s="51"/>
      <c r="F14091" s="114" t="str">
        <f>IF(INDEX(I.Facility.P2bIDNumber,4079)="","",INDEX(I.Facility.P2bIDNumber,4079))</f>
        <v/>
      </c>
      <c r="G14091" s="51"/>
      <c r="H14091" s="46" t="str">
        <f>IF(AND(I.Developer.P2b=TRUE,I.Facility.P2bFacilityCount&gt;=4079,F14091=""),"Incomplete","Complete")</f>
        <v>Complete</v>
      </c>
      <c r="I14091" s="48" t="s">
        <v>18456</v>
      </c>
    </row>
    <row r="14092" spans="2:9" ht="15" customHeight="1" x14ac:dyDescent="0.25">
      <c r="B14092" s="55" t="s">
        <v>281</v>
      </c>
      <c r="C14092" s="46">
        <v>4080</v>
      </c>
      <c r="D14092" s="69" t="s">
        <v>29418</v>
      </c>
      <c r="E14092" s="51"/>
      <c r="F14092" s="114" t="str">
        <f>IF(INDEX(I.Facility.P2bIDNumber,4080)="","",INDEX(I.Facility.P2bIDNumber,4080))</f>
        <v/>
      </c>
      <c r="G14092" s="51"/>
      <c r="H14092" s="46" t="str">
        <f>IF(AND(I.Developer.P2b=TRUE,I.Facility.P2bFacilityCount&gt;=4080,F14092=""),"Incomplete","Complete")</f>
        <v>Complete</v>
      </c>
      <c r="I14092" s="48" t="s">
        <v>18457</v>
      </c>
    </row>
    <row r="14093" spans="2:9" ht="15" customHeight="1" x14ac:dyDescent="0.25">
      <c r="B14093" s="55" t="s">
        <v>281</v>
      </c>
      <c r="C14093" s="46">
        <v>4081</v>
      </c>
      <c r="D14093" s="69" t="s">
        <v>29418</v>
      </c>
      <c r="E14093" s="51"/>
      <c r="F14093" s="114" t="str">
        <f>IF(INDEX(I.Facility.P2bIDNumber,4081)="","",INDEX(I.Facility.P2bIDNumber,4081))</f>
        <v/>
      </c>
      <c r="G14093" s="51"/>
      <c r="H14093" s="46" t="str">
        <f>IF(AND(I.Developer.P2b=TRUE,I.Facility.P2bFacilityCount&gt;=4081,F14093=""),"Incomplete","Complete")</f>
        <v>Complete</v>
      </c>
      <c r="I14093" s="48" t="s">
        <v>18458</v>
      </c>
    </row>
    <row r="14094" spans="2:9" ht="15" customHeight="1" x14ac:dyDescent="0.25">
      <c r="B14094" s="55" t="s">
        <v>281</v>
      </c>
      <c r="C14094" s="46">
        <v>4082</v>
      </c>
      <c r="D14094" s="69" t="s">
        <v>29418</v>
      </c>
      <c r="E14094" s="51"/>
      <c r="F14094" s="114" t="str">
        <f>IF(INDEX(I.Facility.P2bIDNumber,4082)="","",INDEX(I.Facility.P2bIDNumber,4082))</f>
        <v/>
      </c>
      <c r="G14094" s="51"/>
      <c r="H14094" s="46" t="str">
        <f>IF(AND(I.Developer.P2b=TRUE,I.Facility.P2bFacilityCount&gt;=4082,F14094=""),"Incomplete","Complete")</f>
        <v>Complete</v>
      </c>
      <c r="I14094" s="48" t="s">
        <v>18459</v>
      </c>
    </row>
    <row r="14095" spans="2:9" ht="15" customHeight="1" x14ac:dyDescent="0.25">
      <c r="B14095" s="55" t="s">
        <v>281</v>
      </c>
      <c r="C14095" s="46">
        <v>4083</v>
      </c>
      <c r="D14095" s="69" t="s">
        <v>29418</v>
      </c>
      <c r="E14095" s="51"/>
      <c r="F14095" s="114" t="str">
        <f>IF(INDEX(I.Facility.P2bIDNumber,4083)="","",INDEX(I.Facility.P2bIDNumber,4083))</f>
        <v/>
      </c>
      <c r="G14095" s="51"/>
      <c r="H14095" s="46" t="str">
        <f>IF(AND(I.Developer.P2b=TRUE,I.Facility.P2bFacilityCount&gt;=4083,F14095=""),"Incomplete","Complete")</f>
        <v>Complete</v>
      </c>
      <c r="I14095" s="48" t="s">
        <v>18460</v>
      </c>
    </row>
    <row r="14096" spans="2:9" ht="15" customHeight="1" x14ac:dyDescent="0.25">
      <c r="B14096" s="55" t="s">
        <v>281</v>
      </c>
      <c r="C14096" s="46">
        <v>4084</v>
      </c>
      <c r="D14096" s="69" t="s">
        <v>29418</v>
      </c>
      <c r="E14096" s="51"/>
      <c r="F14096" s="114" t="str">
        <f>IF(INDEX(I.Facility.P2bIDNumber,4084)="","",INDEX(I.Facility.P2bIDNumber,4084))</f>
        <v/>
      </c>
      <c r="G14096" s="51"/>
      <c r="H14096" s="46" t="str">
        <f>IF(AND(I.Developer.P2b=TRUE,I.Facility.P2bFacilityCount&gt;=4084,F14096=""),"Incomplete","Complete")</f>
        <v>Complete</v>
      </c>
      <c r="I14096" s="48" t="s">
        <v>18461</v>
      </c>
    </row>
    <row r="14097" spans="2:9" ht="15" customHeight="1" x14ac:dyDescent="0.25">
      <c r="B14097" s="55" t="s">
        <v>281</v>
      </c>
      <c r="C14097" s="46">
        <v>4085</v>
      </c>
      <c r="D14097" s="69" t="s">
        <v>29418</v>
      </c>
      <c r="E14097" s="51"/>
      <c r="F14097" s="114" t="str">
        <f>IF(INDEX(I.Facility.P2bIDNumber,4085)="","",INDEX(I.Facility.P2bIDNumber,4085))</f>
        <v/>
      </c>
      <c r="G14097" s="51"/>
      <c r="H14097" s="46" t="str">
        <f>IF(AND(I.Developer.P2b=TRUE,I.Facility.P2bFacilityCount&gt;=4085,F14097=""),"Incomplete","Complete")</f>
        <v>Complete</v>
      </c>
      <c r="I14097" s="48" t="s">
        <v>18462</v>
      </c>
    </row>
    <row r="14098" spans="2:9" ht="15" customHeight="1" x14ac:dyDescent="0.25">
      <c r="B14098" s="55" t="s">
        <v>281</v>
      </c>
      <c r="C14098" s="46">
        <v>4086</v>
      </c>
      <c r="D14098" s="69" t="s">
        <v>29418</v>
      </c>
      <c r="E14098" s="51"/>
      <c r="F14098" s="114" t="str">
        <f>IF(INDEX(I.Facility.P2bIDNumber,4086)="","",INDEX(I.Facility.P2bIDNumber,4086))</f>
        <v/>
      </c>
      <c r="G14098" s="51"/>
      <c r="H14098" s="46" t="str">
        <f>IF(AND(I.Developer.P2b=TRUE,I.Facility.P2bFacilityCount&gt;=4086,F14098=""),"Incomplete","Complete")</f>
        <v>Complete</v>
      </c>
      <c r="I14098" s="48" t="s">
        <v>18463</v>
      </c>
    </row>
    <row r="14099" spans="2:9" ht="15" customHeight="1" x14ac:dyDescent="0.25">
      <c r="B14099" s="55" t="s">
        <v>281</v>
      </c>
      <c r="C14099" s="46">
        <v>4087</v>
      </c>
      <c r="D14099" s="69" t="s">
        <v>29418</v>
      </c>
      <c r="E14099" s="51"/>
      <c r="F14099" s="114" t="str">
        <f>IF(INDEX(I.Facility.P2bIDNumber,4087)="","",INDEX(I.Facility.P2bIDNumber,4087))</f>
        <v/>
      </c>
      <c r="G14099" s="51"/>
      <c r="H14099" s="46" t="str">
        <f>IF(AND(I.Developer.P2b=TRUE,I.Facility.P2bFacilityCount&gt;=4087,F14099=""),"Incomplete","Complete")</f>
        <v>Complete</v>
      </c>
      <c r="I14099" s="48" t="s">
        <v>18464</v>
      </c>
    </row>
    <row r="14100" spans="2:9" ht="15" customHeight="1" x14ac:dyDescent="0.25">
      <c r="B14100" s="55" t="s">
        <v>281</v>
      </c>
      <c r="C14100" s="46">
        <v>4088</v>
      </c>
      <c r="D14100" s="69" t="s">
        <v>29418</v>
      </c>
      <c r="E14100" s="51"/>
      <c r="F14100" s="114" t="str">
        <f>IF(INDEX(I.Facility.P2bIDNumber,4088)="","",INDEX(I.Facility.P2bIDNumber,4088))</f>
        <v/>
      </c>
      <c r="G14100" s="51"/>
      <c r="H14100" s="46" t="str">
        <f>IF(AND(I.Developer.P2b=TRUE,I.Facility.P2bFacilityCount&gt;=4088,F14100=""),"Incomplete","Complete")</f>
        <v>Complete</v>
      </c>
      <c r="I14100" s="48" t="s">
        <v>18465</v>
      </c>
    </row>
    <row r="14101" spans="2:9" ht="15" customHeight="1" x14ac:dyDescent="0.25">
      <c r="B14101" s="55" t="s">
        <v>281</v>
      </c>
      <c r="C14101" s="46">
        <v>4089</v>
      </c>
      <c r="D14101" s="69" t="s">
        <v>29418</v>
      </c>
      <c r="E14101" s="51"/>
      <c r="F14101" s="114" t="str">
        <f>IF(INDEX(I.Facility.P2bIDNumber,4089)="","",INDEX(I.Facility.P2bIDNumber,4089))</f>
        <v/>
      </c>
      <c r="G14101" s="51"/>
      <c r="H14101" s="46" t="str">
        <f>IF(AND(I.Developer.P2b=TRUE,I.Facility.P2bFacilityCount&gt;=4089,F14101=""),"Incomplete","Complete")</f>
        <v>Complete</v>
      </c>
      <c r="I14101" s="48" t="s">
        <v>18466</v>
      </c>
    </row>
    <row r="14102" spans="2:9" ht="15" customHeight="1" x14ac:dyDescent="0.25">
      <c r="B14102" s="55" t="s">
        <v>281</v>
      </c>
      <c r="C14102" s="46">
        <v>4090</v>
      </c>
      <c r="D14102" s="69" t="s">
        <v>29418</v>
      </c>
      <c r="E14102" s="51"/>
      <c r="F14102" s="114" t="str">
        <f>IF(INDEX(I.Facility.P2bIDNumber,4090)="","",INDEX(I.Facility.P2bIDNumber,4090))</f>
        <v/>
      </c>
      <c r="G14102" s="51"/>
      <c r="H14102" s="46" t="str">
        <f>IF(AND(I.Developer.P2b=TRUE,I.Facility.P2bFacilityCount&gt;=4090,F14102=""),"Incomplete","Complete")</f>
        <v>Complete</v>
      </c>
      <c r="I14102" s="48" t="s">
        <v>18467</v>
      </c>
    </row>
    <row r="14103" spans="2:9" ht="15" customHeight="1" x14ac:dyDescent="0.25">
      <c r="B14103" s="55" t="s">
        <v>281</v>
      </c>
      <c r="C14103" s="46">
        <v>4091</v>
      </c>
      <c r="D14103" s="69" t="s">
        <v>29418</v>
      </c>
      <c r="E14103" s="51"/>
      <c r="F14103" s="114" t="str">
        <f>IF(INDEX(I.Facility.P2bIDNumber,4091)="","",INDEX(I.Facility.P2bIDNumber,4091))</f>
        <v/>
      </c>
      <c r="G14103" s="51"/>
      <c r="H14103" s="46" t="str">
        <f>IF(AND(I.Developer.P2b=TRUE,I.Facility.P2bFacilityCount&gt;=4091,F14103=""),"Incomplete","Complete")</f>
        <v>Complete</v>
      </c>
      <c r="I14103" s="48" t="s">
        <v>18468</v>
      </c>
    </row>
    <row r="14104" spans="2:9" ht="15" customHeight="1" x14ac:dyDescent="0.25">
      <c r="B14104" s="55" t="s">
        <v>281</v>
      </c>
      <c r="C14104" s="46">
        <v>4092</v>
      </c>
      <c r="D14104" s="69" t="s">
        <v>29418</v>
      </c>
      <c r="E14104" s="51"/>
      <c r="F14104" s="114" t="str">
        <f>IF(INDEX(I.Facility.P2bIDNumber,4092)="","",INDEX(I.Facility.P2bIDNumber,4092))</f>
        <v/>
      </c>
      <c r="G14104" s="51"/>
      <c r="H14104" s="46" t="str">
        <f>IF(AND(I.Developer.P2b=TRUE,I.Facility.P2bFacilityCount&gt;=4092,F14104=""),"Incomplete","Complete")</f>
        <v>Complete</v>
      </c>
      <c r="I14104" s="48" t="s">
        <v>18469</v>
      </c>
    </row>
    <row r="14105" spans="2:9" ht="15" customHeight="1" x14ac:dyDescent="0.25">
      <c r="B14105" s="55" t="s">
        <v>281</v>
      </c>
      <c r="C14105" s="46">
        <v>4093</v>
      </c>
      <c r="D14105" s="69" t="s">
        <v>29418</v>
      </c>
      <c r="E14105" s="51"/>
      <c r="F14105" s="114" t="str">
        <f>IF(INDEX(I.Facility.P2bIDNumber,4093)="","",INDEX(I.Facility.P2bIDNumber,4093))</f>
        <v/>
      </c>
      <c r="G14105" s="51"/>
      <c r="H14105" s="46" t="str">
        <f>IF(AND(I.Developer.P2b=TRUE,I.Facility.P2bFacilityCount&gt;=4093,F14105=""),"Incomplete","Complete")</f>
        <v>Complete</v>
      </c>
      <c r="I14105" s="48" t="s">
        <v>18470</v>
      </c>
    </row>
    <row r="14106" spans="2:9" ht="15" customHeight="1" x14ac:dyDescent="0.25">
      <c r="B14106" s="55" t="s">
        <v>281</v>
      </c>
      <c r="C14106" s="46">
        <v>4094</v>
      </c>
      <c r="D14106" s="69" t="s">
        <v>29418</v>
      </c>
      <c r="E14106" s="51"/>
      <c r="F14106" s="114" t="str">
        <f>IF(INDEX(I.Facility.P2bIDNumber,4094)="","",INDEX(I.Facility.P2bIDNumber,4094))</f>
        <v/>
      </c>
      <c r="G14106" s="51"/>
      <c r="H14106" s="46" t="str">
        <f>IF(AND(I.Developer.P2b=TRUE,I.Facility.P2bFacilityCount&gt;=4094,F14106=""),"Incomplete","Complete")</f>
        <v>Complete</v>
      </c>
      <c r="I14106" s="48" t="s">
        <v>18471</v>
      </c>
    </row>
    <row r="14107" spans="2:9" ht="15" customHeight="1" x14ac:dyDescent="0.25">
      <c r="B14107" s="55" t="s">
        <v>281</v>
      </c>
      <c r="C14107" s="46">
        <v>4095</v>
      </c>
      <c r="D14107" s="69" t="s">
        <v>29418</v>
      </c>
      <c r="E14107" s="51"/>
      <c r="F14107" s="114" t="str">
        <f>IF(INDEX(I.Facility.P2bIDNumber,4095)="","",INDEX(I.Facility.P2bIDNumber,4095))</f>
        <v/>
      </c>
      <c r="G14107" s="51"/>
      <c r="H14107" s="46" t="str">
        <f>IF(AND(I.Developer.P2b=TRUE,I.Facility.P2bFacilityCount&gt;=4095,F14107=""),"Incomplete","Complete")</f>
        <v>Complete</v>
      </c>
      <c r="I14107" s="48" t="s">
        <v>18472</v>
      </c>
    </row>
    <row r="14108" spans="2:9" ht="15" customHeight="1" x14ac:dyDescent="0.25">
      <c r="B14108" s="55" t="s">
        <v>281</v>
      </c>
      <c r="C14108" s="46">
        <v>4096</v>
      </c>
      <c r="D14108" s="69" t="s">
        <v>29418</v>
      </c>
      <c r="E14108" s="51"/>
      <c r="F14108" s="114" t="str">
        <f>IF(INDEX(I.Facility.P2bIDNumber,4096)="","",INDEX(I.Facility.P2bIDNumber,4096))</f>
        <v/>
      </c>
      <c r="G14108" s="51"/>
      <c r="H14108" s="46" t="str">
        <f>IF(AND(I.Developer.P2b=TRUE,I.Facility.P2bFacilityCount&gt;=4096,F14108=""),"Incomplete","Complete")</f>
        <v>Complete</v>
      </c>
      <c r="I14108" s="48" t="s">
        <v>18473</v>
      </c>
    </row>
    <row r="14109" spans="2:9" ht="15" customHeight="1" x14ac:dyDescent="0.25">
      <c r="B14109" s="55" t="s">
        <v>281</v>
      </c>
      <c r="C14109" s="46">
        <v>4097</v>
      </c>
      <c r="D14109" s="69" t="s">
        <v>29418</v>
      </c>
      <c r="E14109" s="51"/>
      <c r="F14109" s="114" t="str">
        <f>IF(INDEX(I.Facility.P2bIDNumber,4097)="","",INDEX(I.Facility.P2bIDNumber,4097))</f>
        <v/>
      </c>
      <c r="G14109" s="51"/>
      <c r="H14109" s="46" t="str">
        <f>IF(AND(I.Developer.P2b=TRUE,I.Facility.P2bFacilityCount&gt;=4097,F14109=""),"Incomplete","Complete")</f>
        <v>Complete</v>
      </c>
      <c r="I14109" s="48" t="s">
        <v>18474</v>
      </c>
    </row>
    <row r="14110" spans="2:9" ht="15" customHeight="1" x14ac:dyDescent="0.25">
      <c r="B14110" s="55" t="s">
        <v>281</v>
      </c>
      <c r="C14110" s="46">
        <v>4098</v>
      </c>
      <c r="D14110" s="69" t="s">
        <v>29418</v>
      </c>
      <c r="E14110" s="51"/>
      <c r="F14110" s="114" t="str">
        <f>IF(INDEX(I.Facility.P2bIDNumber,4098)="","",INDEX(I.Facility.P2bIDNumber,4098))</f>
        <v/>
      </c>
      <c r="G14110" s="51"/>
      <c r="H14110" s="46" t="str">
        <f>IF(AND(I.Developer.P2b=TRUE,I.Facility.P2bFacilityCount&gt;=4098,F14110=""),"Incomplete","Complete")</f>
        <v>Complete</v>
      </c>
      <c r="I14110" s="48" t="s">
        <v>18475</v>
      </c>
    </row>
    <row r="14111" spans="2:9" ht="15" customHeight="1" x14ac:dyDescent="0.25">
      <c r="B14111" s="55" t="s">
        <v>281</v>
      </c>
      <c r="C14111" s="46">
        <v>4099</v>
      </c>
      <c r="D14111" s="69" t="s">
        <v>29418</v>
      </c>
      <c r="E14111" s="51"/>
      <c r="F14111" s="114" t="str">
        <f>IF(INDEX(I.Facility.P2bIDNumber,4099)="","",INDEX(I.Facility.P2bIDNumber,4099))</f>
        <v/>
      </c>
      <c r="G14111" s="51"/>
      <c r="H14111" s="46" t="str">
        <f>IF(AND(I.Developer.P2b=TRUE,I.Facility.P2bFacilityCount&gt;=4099,F14111=""),"Incomplete","Complete")</f>
        <v>Complete</v>
      </c>
      <c r="I14111" s="48" t="s">
        <v>18476</v>
      </c>
    </row>
    <row r="14112" spans="2:9" ht="15" customHeight="1" x14ac:dyDescent="0.25">
      <c r="B14112" s="55" t="s">
        <v>281</v>
      </c>
      <c r="C14112" s="46">
        <v>4100</v>
      </c>
      <c r="D14112" s="69" t="s">
        <v>29418</v>
      </c>
      <c r="E14112" s="51"/>
      <c r="F14112" s="114" t="str">
        <f>IF(INDEX(I.Facility.P2bIDNumber,4100)="","",INDEX(I.Facility.P2bIDNumber,4100))</f>
        <v/>
      </c>
      <c r="G14112" s="51"/>
      <c r="H14112" s="46" t="str">
        <f>IF(AND(I.Developer.P2b=TRUE,I.Facility.P2bFacilityCount&gt;=4100,F14112=""),"Incomplete","Complete")</f>
        <v>Complete</v>
      </c>
      <c r="I14112" s="48" t="s">
        <v>18477</v>
      </c>
    </row>
    <row r="14113" spans="2:9" ht="15" customHeight="1" x14ac:dyDescent="0.25">
      <c r="B14113" s="55" t="s">
        <v>281</v>
      </c>
      <c r="C14113" s="46">
        <v>4101</v>
      </c>
      <c r="D14113" s="69" t="s">
        <v>29418</v>
      </c>
      <c r="E14113" s="51"/>
      <c r="F14113" s="114" t="str">
        <f>IF(INDEX(I.Facility.P2bIDNumber,4101)="","",INDEX(I.Facility.P2bIDNumber,4101))</f>
        <v/>
      </c>
      <c r="G14113" s="51"/>
      <c r="H14113" s="46" t="str">
        <f>IF(AND(I.Developer.P2b=TRUE,I.Facility.P2bFacilityCount&gt;=4101,F14113=""),"Incomplete","Complete")</f>
        <v>Complete</v>
      </c>
      <c r="I14113" s="48" t="s">
        <v>18478</v>
      </c>
    </row>
    <row r="14114" spans="2:9" ht="15" customHeight="1" x14ac:dyDescent="0.25">
      <c r="B14114" s="55" t="s">
        <v>281</v>
      </c>
      <c r="C14114" s="46">
        <v>4102</v>
      </c>
      <c r="D14114" s="69" t="s">
        <v>29418</v>
      </c>
      <c r="E14114" s="51"/>
      <c r="F14114" s="114" t="str">
        <f>IF(INDEX(I.Facility.P2bIDNumber,4102)="","",INDEX(I.Facility.P2bIDNumber,4102))</f>
        <v/>
      </c>
      <c r="G14114" s="51"/>
      <c r="H14114" s="46" t="str">
        <f>IF(AND(I.Developer.P2b=TRUE,I.Facility.P2bFacilityCount&gt;=4102,F14114=""),"Incomplete","Complete")</f>
        <v>Complete</v>
      </c>
      <c r="I14114" s="48" t="s">
        <v>18479</v>
      </c>
    </row>
    <row r="14115" spans="2:9" ht="15" customHeight="1" x14ac:dyDescent="0.25">
      <c r="B14115" s="55" t="s">
        <v>281</v>
      </c>
      <c r="C14115" s="46">
        <v>4103</v>
      </c>
      <c r="D14115" s="69" t="s">
        <v>29418</v>
      </c>
      <c r="E14115" s="51"/>
      <c r="F14115" s="114" t="str">
        <f>IF(INDEX(I.Facility.P2bIDNumber,4103)="","",INDEX(I.Facility.P2bIDNumber,4103))</f>
        <v/>
      </c>
      <c r="G14115" s="51"/>
      <c r="H14115" s="46" t="str">
        <f>IF(AND(I.Developer.P2b=TRUE,I.Facility.P2bFacilityCount&gt;=4103,F14115=""),"Incomplete","Complete")</f>
        <v>Complete</v>
      </c>
      <c r="I14115" s="48" t="s">
        <v>18480</v>
      </c>
    </row>
    <row r="14116" spans="2:9" ht="15" customHeight="1" x14ac:dyDescent="0.25">
      <c r="B14116" s="55" t="s">
        <v>281</v>
      </c>
      <c r="C14116" s="46">
        <v>4104</v>
      </c>
      <c r="D14116" s="69" t="s">
        <v>29418</v>
      </c>
      <c r="E14116" s="51"/>
      <c r="F14116" s="114" t="str">
        <f>IF(INDEX(I.Facility.P2bIDNumber,4104)="","",INDEX(I.Facility.P2bIDNumber,4104))</f>
        <v/>
      </c>
      <c r="G14116" s="51"/>
      <c r="H14116" s="46" t="str">
        <f>IF(AND(I.Developer.P2b=TRUE,I.Facility.P2bFacilityCount&gt;=4104,F14116=""),"Incomplete","Complete")</f>
        <v>Complete</v>
      </c>
      <c r="I14116" s="48" t="s">
        <v>18481</v>
      </c>
    </row>
    <row r="14117" spans="2:9" ht="15" customHeight="1" x14ac:dyDescent="0.25">
      <c r="B14117" s="55" t="s">
        <v>281</v>
      </c>
      <c r="C14117" s="46">
        <v>4105</v>
      </c>
      <c r="D14117" s="69" t="s">
        <v>29418</v>
      </c>
      <c r="E14117" s="51"/>
      <c r="F14117" s="114" t="str">
        <f>IF(INDEX(I.Facility.P2bIDNumber,4105)="","",INDEX(I.Facility.P2bIDNumber,4105))</f>
        <v/>
      </c>
      <c r="G14117" s="51"/>
      <c r="H14117" s="46" t="str">
        <f>IF(AND(I.Developer.P2b=TRUE,I.Facility.P2bFacilityCount&gt;=4105,F14117=""),"Incomplete","Complete")</f>
        <v>Complete</v>
      </c>
      <c r="I14117" s="48" t="s">
        <v>18482</v>
      </c>
    </row>
    <row r="14118" spans="2:9" ht="15" customHeight="1" x14ac:dyDescent="0.25">
      <c r="B14118" s="55" t="s">
        <v>281</v>
      </c>
      <c r="C14118" s="46">
        <v>4106</v>
      </c>
      <c r="D14118" s="69" t="s">
        <v>29418</v>
      </c>
      <c r="E14118" s="51"/>
      <c r="F14118" s="114" t="str">
        <f>IF(INDEX(I.Facility.P2bIDNumber,4106)="","",INDEX(I.Facility.P2bIDNumber,4106))</f>
        <v/>
      </c>
      <c r="G14118" s="51"/>
      <c r="H14118" s="46" t="str">
        <f>IF(AND(I.Developer.P2b=TRUE,I.Facility.P2bFacilityCount&gt;=4106,F14118=""),"Incomplete","Complete")</f>
        <v>Complete</v>
      </c>
      <c r="I14118" s="48" t="s">
        <v>18483</v>
      </c>
    </row>
    <row r="14119" spans="2:9" ht="15" customHeight="1" x14ac:dyDescent="0.25">
      <c r="B14119" s="55" t="s">
        <v>281</v>
      </c>
      <c r="C14119" s="46">
        <v>4107</v>
      </c>
      <c r="D14119" s="69" t="s">
        <v>29418</v>
      </c>
      <c r="E14119" s="51"/>
      <c r="F14119" s="114" t="str">
        <f>IF(INDEX(I.Facility.P2bIDNumber,4107)="","",INDEX(I.Facility.P2bIDNumber,4107))</f>
        <v/>
      </c>
      <c r="G14119" s="51"/>
      <c r="H14119" s="46" t="str">
        <f>IF(AND(I.Developer.P2b=TRUE,I.Facility.P2bFacilityCount&gt;=4107,F14119=""),"Incomplete","Complete")</f>
        <v>Complete</v>
      </c>
      <c r="I14119" s="48" t="s">
        <v>18484</v>
      </c>
    </row>
    <row r="14120" spans="2:9" ht="15" customHeight="1" x14ac:dyDescent="0.25">
      <c r="B14120" s="55" t="s">
        <v>281</v>
      </c>
      <c r="C14120" s="46">
        <v>4108</v>
      </c>
      <c r="D14120" s="69" t="s">
        <v>29418</v>
      </c>
      <c r="E14120" s="51"/>
      <c r="F14120" s="114" t="str">
        <f>IF(INDEX(I.Facility.P2bIDNumber,4108)="","",INDEX(I.Facility.P2bIDNumber,4108))</f>
        <v/>
      </c>
      <c r="G14120" s="51"/>
      <c r="H14120" s="46" t="str">
        <f>IF(AND(I.Developer.P2b=TRUE,I.Facility.P2bFacilityCount&gt;=4108,F14120=""),"Incomplete","Complete")</f>
        <v>Complete</v>
      </c>
      <c r="I14120" s="48" t="s">
        <v>18485</v>
      </c>
    </row>
    <row r="14121" spans="2:9" ht="15" customHeight="1" x14ac:dyDescent="0.25">
      <c r="B14121" s="55" t="s">
        <v>281</v>
      </c>
      <c r="C14121" s="46">
        <v>4109</v>
      </c>
      <c r="D14121" s="69" t="s">
        <v>29418</v>
      </c>
      <c r="E14121" s="51"/>
      <c r="F14121" s="114" t="str">
        <f>IF(INDEX(I.Facility.P2bIDNumber,4109)="","",INDEX(I.Facility.P2bIDNumber,4109))</f>
        <v/>
      </c>
      <c r="G14121" s="51"/>
      <c r="H14121" s="46" t="str">
        <f>IF(AND(I.Developer.P2b=TRUE,I.Facility.P2bFacilityCount&gt;=4109,F14121=""),"Incomplete","Complete")</f>
        <v>Complete</v>
      </c>
      <c r="I14121" s="48" t="s">
        <v>18486</v>
      </c>
    </row>
    <row r="14122" spans="2:9" ht="15" customHeight="1" x14ac:dyDescent="0.25">
      <c r="B14122" s="55" t="s">
        <v>281</v>
      </c>
      <c r="C14122" s="46">
        <v>4110</v>
      </c>
      <c r="D14122" s="69" t="s">
        <v>29418</v>
      </c>
      <c r="E14122" s="51"/>
      <c r="F14122" s="114" t="str">
        <f>IF(INDEX(I.Facility.P2bIDNumber,4110)="","",INDEX(I.Facility.P2bIDNumber,4110))</f>
        <v/>
      </c>
      <c r="G14122" s="51"/>
      <c r="H14122" s="46" t="str">
        <f>IF(AND(I.Developer.P2b=TRUE,I.Facility.P2bFacilityCount&gt;=4110,F14122=""),"Incomplete","Complete")</f>
        <v>Complete</v>
      </c>
      <c r="I14122" s="48" t="s">
        <v>18487</v>
      </c>
    </row>
    <row r="14123" spans="2:9" ht="15" customHeight="1" x14ac:dyDescent="0.25">
      <c r="B14123" s="55" t="s">
        <v>281</v>
      </c>
      <c r="C14123" s="46">
        <v>4111</v>
      </c>
      <c r="D14123" s="69" t="s">
        <v>29418</v>
      </c>
      <c r="E14123" s="51"/>
      <c r="F14123" s="114" t="str">
        <f>IF(INDEX(I.Facility.P2bIDNumber,4111)="","",INDEX(I.Facility.P2bIDNumber,4111))</f>
        <v/>
      </c>
      <c r="G14123" s="51"/>
      <c r="H14123" s="46" t="str">
        <f>IF(AND(I.Developer.P2b=TRUE,I.Facility.P2bFacilityCount&gt;=4111,F14123=""),"Incomplete","Complete")</f>
        <v>Complete</v>
      </c>
      <c r="I14123" s="48" t="s">
        <v>18488</v>
      </c>
    </row>
    <row r="14124" spans="2:9" ht="15" customHeight="1" x14ac:dyDescent="0.25">
      <c r="B14124" s="55" t="s">
        <v>281</v>
      </c>
      <c r="C14124" s="46">
        <v>4112</v>
      </c>
      <c r="D14124" s="69" t="s">
        <v>29418</v>
      </c>
      <c r="E14124" s="51"/>
      <c r="F14124" s="114" t="str">
        <f>IF(INDEX(I.Facility.P2bIDNumber,4112)="","",INDEX(I.Facility.P2bIDNumber,4112))</f>
        <v/>
      </c>
      <c r="G14124" s="51"/>
      <c r="H14124" s="46" t="str">
        <f>IF(AND(I.Developer.P2b=TRUE,I.Facility.P2bFacilityCount&gt;=4112,F14124=""),"Incomplete","Complete")</f>
        <v>Complete</v>
      </c>
      <c r="I14124" s="48" t="s">
        <v>18489</v>
      </c>
    </row>
    <row r="14125" spans="2:9" ht="15" customHeight="1" x14ac:dyDescent="0.25">
      <c r="B14125" s="55" t="s">
        <v>281</v>
      </c>
      <c r="C14125" s="46">
        <v>4113</v>
      </c>
      <c r="D14125" s="69" t="s">
        <v>29418</v>
      </c>
      <c r="E14125" s="51"/>
      <c r="F14125" s="114" t="str">
        <f>IF(INDEX(I.Facility.P2bIDNumber,4113)="","",INDEX(I.Facility.P2bIDNumber,4113))</f>
        <v/>
      </c>
      <c r="G14125" s="51"/>
      <c r="H14125" s="46" t="str">
        <f>IF(AND(I.Developer.P2b=TRUE,I.Facility.P2bFacilityCount&gt;=4113,F14125=""),"Incomplete","Complete")</f>
        <v>Complete</v>
      </c>
      <c r="I14125" s="48" t="s">
        <v>18490</v>
      </c>
    </row>
    <row r="14126" spans="2:9" ht="15" customHeight="1" x14ac:dyDescent="0.25">
      <c r="B14126" s="55" t="s">
        <v>281</v>
      </c>
      <c r="C14126" s="46">
        <v>4114</v>
      </c>
      <c r="D14126" s="69" t="s">
        <v>29418</v>
      </c>
      <c r="E14126" s="51"/>
      <c r="F14126" s="114" t="str">
        <f>IF(INDEX(I.Facility.P2bIDNumber,4114)="","",INDEX(I.Facility.P2bIDNumber,4114))</f>
        <v/>
      </c>
      <c r="G14126" s="51"/>
      <c r="H14126" s="46" t="str">
        <f>IF(AND(I.Developer.P2b=TRUE,I.Facility.P2bFacilityCount&gt;=4114,F14126=""),"Incomplete","Complete")</f>
        <v>Complete</v>
      </c>
      <c r="I14126" s="48" t="s">
        <v>18491</v>
      </c>
    </row>
    <row r="14127" spans="2:9" ht="15" customHeight="1" x14ac:dyDescent="0.25">
      <c r="B14127" s="55" t="s">
        <v>281</v>
      </c>
      <c r="C14127" s="46">
        <v>4115</v>
      </c>
      <c r="D14127" s="69" t="s">
        <v>29418</v>
      </c>
      <c r="E14127" s="51"/>
      <c r="F14127" s="114" t="str">
        <f>IF(INDEX(I.Facility.P2bIDNumber,4115)="","",INDEX(I.Facility.P2bIDNumber,4115))</f>
        <v/>
      </c>
      <c r="G14127" s="51"/>
      <c r="H14127" s="46" t="str">
        <f>IF(AND(I.Developer.P2b=TRUE,I.Facility.P2bFacilityCount&gt;=4115,F14127=""),"Incomplete","Complete")</f>
        <v>Complete</v>
      </c>
      <c r="I14127" s="48" t="s">
        <v>18492</v>
      </c>
    </row>
    <row r="14128" spans="2:9" ht="15" customHeight="1" x14ac:dyDescent="0.25">
      <c r="B14128" s="55" t="s">
        <v>281</v>
      </c>
      <c r="C14128" s="46">
        <v>4116</v>
      </c>
      <c r="D14128" s="69" t="s">
        <v>29418</v>
      </c>
      <c r="E14128" s="51"/>
      <c r="F14128" s="114" t="str">
        <f>IF(INDEX(I.Facility.P2bIDNumber,4116)="","",INDEX(I.Facility.P2bIDNumber,4116))</f>
        <v/>
      </c>
      <c r="G14128" s="51"/>
      <c r="H14128" s="46" t="str">
        <f>IF(AND(I.Developer.P2b=TRUE,I.Facility.P2bFacilityCount&gt;=4116,F14128=""),"Incomplete","Complete")</f>
        <v>Complete</v>
      </c>
      <c r="I14128" s="48" t="s">
        <v>18493</v>
      </c>
    </row>
    <row r="14129" spans="2:9" ht="15" customHeight="1" x14ac:dyDescent="0.25">
      <c r="B14129" s="55" t="s">
        <v>281</v>
      </c>
      <c r="C14129" s="46">
        <v>4117</v>
      </c>
      <c r="D14129" s="69" t="s">
        <v>29418</v>
      </c>
      <c r="E14129" s="51"/>
      <c r="F14129" s="114" t="str">
        <f>IF(INDEX(I.Facility.P2bIDNumber,4117)="","",INDEX(I.Facility.P2bIDNumber,4117))</f>
        <v/>
      </c>
      <c r="G14129" s="51"/>
      <c r="H14129" s="46" t="str">
        <f>IF(AND(I.Developer.P2b=TRUE,I.Facility.P2bFacilityCount&gt;=4117,F14129=""),"Incomplete","Complete")</f>
        <v>Complete</v>
      </c>
      <c r="I14129" s="48" t="s">
        <v>18494</v>
      </c>
    </row>
    <row r="14130" spans="2:9" ht="15" customHeight="1" x14ac:dyDescent="0.25">
      <c r="B14130" s="55" t="s">
        <v>281</v>
      </c>
      <c r="C14130" s="46">
        <v>4118</v>
      </c>
      <c r="D14130" s="69" t="s">
        <v>29418</v>
      </c>
      <c r="E14130" s="51"/>
      <c r="F14130" s="114" t="str">
        <f>IF(INDEX(I.Facility.P2bIDNumber,4118)="","",INDEX(I.Facility.P2bIDNumber,4118))</f>
        <v/>
      </c>
      <c r="G14130" s="51"/>
      <c r="H14130" s="46" t="str">
        <f>IF(AND(I.Developer.P2b=TRUE,I.Facility.P2bFacilityCount&gt;=4118,F14130=""),"Incomplete","Complete")</f>
        <v>Complete</v>
      </c>
      <c r="I14130" s="48" t="s">
        <v>18495</v>
      </c>
    </row>
    <row r="14131" spans="2:9" ht="15" customHeight="1" x14ac:dyDescent="0.25">
      <c r="B14131" s="55" t="s">
        <v>281</v>
      </c>
      <c r="C14131" s="46">
        <v>4119</v>
      </c>
      <c r="D14131" s="69" t="s">
        <v>29418</v>
      </c>
      <c r="E14131" s="51"/>
      <c r="F14131" s="114" t="str">
        <f>IF(INDEX(I.Facility.P2bIDNumber,4119)="","",INDEX(I.Facility.P2bIDNumber,4119))</f>
        <v/>
      </c>
      <c r="G14131" s="51"/>
      <c r="H14131" s="46" t="str">
        <f>IF(AND(I.Developer.P2b=TRUE,I.Facility.P2bFacilityCount&gt;=4119,F14131=""),"Incomplete","Complete")</f>
        <v>Complete</v>
      </c>
      <c r="I14131" s="48" t="s">
        <v>18496</v>
      </c>
    </row>
    <row r="14132" spans="2:9" ht="15" customHeight="1" x14ac:dyDescent="0.25">
      <c r="B14132" s="55" t="s">
        <v>281</v>
      </c>
      <c r="C14132" s="46">
        <v>4120</v>
      </c>
      <c r="D14132" s="69" t="s">
        <v>29418</v>
      </c>
      <c r="E14132" s="51"/>
      <c r="F14132" s="114" t="str">
        <f>IF(INDEX(I.Facility.P2bIDNumber,4120)="","",INDEX(I.Facility.P2bIDNumber,4120))</f>
        <v/>
      </c>
      <c r="G14132" s="51"/>
      <c r="H14132" s="46" t="str">
        <f>IF(AND(I.Developer.P2b=TRUE,I.Facility.P2bFacilityCount&gt;=4120,F14132=""),"Incomplete","Complete")</f>
        <v>Complete</v>
      </c>
      <c r="I14132" s="48" t="s">
        <v>18497</v>
      </c>
    </row>
    <row r="14133" spans="2:9" ht="15" customHeight="1" x14ac:dyDescent="0.25">
      <c r="B14133" s="55" t="s">
        <v>281</v>
      </c>
      <c r="C14133" s="46">
        <v>4121</v>
      </c>
      <c r="D14133" s="69" t="s">
        <v>29418</v>
      </c>
      <c r="E14133" s="51"/>
      <c r="F14133" s="114" t="str">
        <f>IF(INDEX(I.Facility.P2bIDNumber,4121)="","",INDEX(I.Facility.P2bIDNumber,4121))</f>
        <v/>
      </c>
      <c r="G14133" s="51"/>
      <c r="H14133" s="46" t="str">
        <f>IF(AND(I.Developer.P2b=TRUE,I.Facility.P2bFacilityCount&gt;=4121,F14133=""),"Incomplete","Complete")</f>
        <v>Complete</v>
      </c>
      <c r="I14133" s="48" t="s">
        <v>18498</v>
      </c>
    </row>
    <row r="14134" spans="2:9" ht="15" customHeight="1" x14ac:dyDescent="0.25">
      <c r="B14134" s="55" t="s">
        <v>281</v>
      </c>
      <c r="C14134" s="46">
        <v>4122</v>
      </c>
      <c r="D14134" s="69" t="s">
        <v>29418</v>
      </c>
      <c r="E14134" s="51"/>
      <c r="F14134" s="114" t="str">
        <f>IF(INDEX(I.Facility.P2bIDNumber,4122)="","",INDEX(I.Facility.P2bIDNumber,4122))</f>
        <v/>
      </c>
      <c r="G14134" s="51"/>
      <c r="H14134" s="46" t="str">
        <f>IF(AND(I.Developer.P2b=TRUE,I.Facility.P2bFacilityCount&gt;=4122,F14134=""),"Incomplete","Complete")</f>
        <v>Complete</v>
      </c>
      <c r="I14134" s="48" t="s">
        <v>18499</v>
      </c>
    </row>
    <row r="14135" spans="2:9" ht="15" customHeight="1" x14ac:dyDescent="0.25">
      <c r="B14135" s="55" t="s">
        <v>281</v>
      </c>
      <c r="C14135" s="46">
        <v>4123</v>
      </c>
      <c r="D14135" s="69" t="s">
        <v>29418</v>
      </c>
      <c r="E14135" s="51"/>
      <c r="F14135" s="114" t="str">
        <f>IF(INDEX(I.Facility.P2bIDNumber,4123)="","",INDEX(I.Facility.P2bIDNumber,4123))</f>
        <v/>
      </c>
      <c r="G14135" s="51"/>
      <c r="H14135" s="46" t="str">
        <f>IF(AND(I.Developer.P2b=TRUE,I.Facility.P2bFacilityCount&gt;=4123,F14135=""),"Incomplete","Complete")</f>
        <v>Complete</v>
      </c>
      <c r="I14135" s="48" t="s">
        <v>18500</v>
      </c>
    </row>
    <row r="14136" spans="2:9" ht="15" customHeight="1" x14ac:dyDescent="0.25">
      <c r="B14136" s="55" t="s">
        <v>281</v>
      </c>
      <c r="C14136" s="46">
        <v>4124</v>
      </c>
      <c r="D14136" s="69" t="s">
        <v>29418</v>
      </c>
      <c r="E14136" s="51"/>
      <c r="F14136" s="114" t="str">
        <f>IF(INDEX(I.Facility.P2bIDNumber,4124)="","",INDEX(I.Facility.P2bIDNumber,4124))</f>
        <v/>
      </c>
      <c r="G14136" s="51"/>
      <c r="H14136" s="46" t="str">
        <f>IF(AND(I.Developer.P2b=TRUE,I.Facility.P2bFacilityCount&gt;=4124,F14136=""),"Incomplete","Complete")</f>
        <v>Complete</v>
      </c>
      <c r="I14136" s="48" t="s">
        <v>18501</v>
      </c>
    </row>
    <row r="14137" spans="2:9" ht="15" customHeight="1" x14ac:dyDescent="0.25">
      <c r="B14137" s="55" t="s">
        <v>281</v>
      </c>
      <c r="C14137" s="46">
        <v>4125</v>
      </c>
      <c r="D14137" s="69" t="s">
        <v>29418</v>
      </c>
      <c r="E14137" s="51"/>
      <c r="F14137" s="114" t="str">
        <f>IF(INDEX(I.Facility.P2bIDNumber,4125)="","",INDEX(I.Facility.P2bIDNumber,4125))</f>
        <v/>
      </c>
      <c r="G14137" s="51"/>
      <c r="H14137" s="46" t="str">
        <f>IF(AND(I.Developer.P2b=TRUE,I.Facility.P2bFacilityCount&gt;=4125,F14137=""),"Incomplete","Complete")</f>
        <v>Complete</v>
      </c>
      <c r="I14137" s="48" t="s">
        <v>18502</v>
      </c>
    </row>
    <row r="14138" spans="2:9" ht="15" customHeight="1" x14ac:dyDescent="0.25">
      <c r="B14138" s="55" t="s">
        <v>281</v>
      </c>
      <c r="C14138" s="46">
        <v>4126</v>
      </c>
      <c r="D14138" s="69" t="s">
        <v>29418</v>
      </c>
      <c r="E14138" s="51"/>
      <c r="F14138" s="114" t="str">
        <f>IF(INDEX(I.Facility.P2bIDNumber,4126)="","",INDEX(I.Facility.P2bIDNumber,4126))</f>
        <v/>
      </c>
      <c r="G14138" s="51"/>
      <c r="H14138" s="46" t="str">
        <f>IF(AND(I.Developer.P2b=TRUE,I.Facility.P2bFacilityCount&gt;=4126,F14138=""),"Incomplete","Complete")</f>
        <v>Complete</v>
      </c>
      <c r="I14138" s="48" t="s">
        <v>18503</v>
      </c>
    </row>
    <row r="14139" spans="2:9" ht="15" customHeight="1" x14ac:dyDescent="0.25">
      <c r="B14139" s="55" t="s">
        <v>281</v>
      </c>
      <c r="C14139" s="46">
        <v>4127</v>
      </c>
      <c r="D14139" s="69" t="s">
        <v>29418</v>
      </c>
      <c r="E14139" s="51"/>
      <c r="F14139" s="114" t="str">
        <f>IF(INDEX(I.Facility.P2bIDNumber,4127)="","",INDEX(I.Facility.P2bIDNumber,4127))</f>
        <v/>
      </c>
      <c r="G14139" s="51"/>
      <c r="H14139" s="46" t="str">
        <f>IF(AND(I.Developer.P2b=TRUE,I.Facility.P2bFacilityCount&gt;=4127,F14139=""),"Incomplete","Complete")</f>
        <v>Complete</v>
      </c>
      <c r="I14139" s="48" t="s">
        <v>18504</v>
      </c>
    </row>
    <row r="14140" spans="2:9" ht="15" customHeight="1" x14ac:dyDescent="0.25">
      <c r="B14140" s="55" t="s">
        <v>281</v>
      </c>
      <c r="C14140" s="46">
        <v>4128</v>
      </c>
      <c r="D14140" s="69" t="s">
        <v>29418</v>
      </c>
      <c r="E14140" s="51"/>
      <c r="F14140" s="114" t="str">
        <f>IF(INDEX(I.Facility.P2bIDNumber,4128)="","",INDEX(I.Facility.P2bIDNumber,4128))</f>
        <v/>
      </c>
      <c r="G14140" s="51"/>
      <c r="H14140" s="46" t="str">
        <f>IF(AND(I.Developer.P2b=TRUE,I.Facility.P2bFacilityCount&gt;=4128,F14140=""),"Incomplete","Complete")</f>
        <v>Complete</v>
      </c>
      <c r="I14140" s="48" t="s">
        <v>18505</v>
      </c>
    </row>
    <row r="14141" spans="2:9" ht="15" customHeight="1" x14ac:dyDescent="0.25">
      <c r="B14141" s="55" t="s">
        <v>281</v>
      </c>
      <c r="C14141" s="46">
        <v>4129</v>
      </c>
      <c r="D14141" s="69" t="s">
        <v>29418</v>
      </c>
      <c r="E14141" s="51"/>
      <c r="F14141" s="114" t="str">
        <f>IF(INDEX(I.Facility.P2bIDNumber,4129)="","",INDEX(I.Facility.P2bIDNumber,4129))</f>
        <v/>
      </c>
      <c r="G14141" s="51"/>
      <c r="H14141" s="46" t="str">
        <f>IF(AND(I.Developer.P2b=TRUE,I.Facility.P2bFacilityCount&gt;=4129,F14141=""),"Incomplete","Complete")</f>
        <v>Complete</v>
      </c>
      <c r="I14141" s="48" t="s">
        <v>18506</v>
      </c>
    </row>
    <row r="14142" spans="2:9" ht="15" customHeight="1" x14ac:dyDescent="0.25">
      <c r="B14142" s="55" t="s">
        <v>281</v>
      </c>
      <c r="C14142" s="46">
        <v>4130</v>
      </c>
      <c r="D14142" s="69" t="s">
        <v>29418</v>
      </c>
      <c r="E14142" s="51"/>
      <c r="F14142" s="114" t="str">
        <f>IF(INDEX(I.Facility.P2bIDNumber,4130)="","",INDEX(I.Facility.P2bIDNumber,4130))</f>
        <v/>
      </c>
      <c r="G14142" s="51"/>
      <c r="H14142" s="46" t="str">
        <f>IF(AND(I.Developer.P2b=TRUE,I.Facility.P2bFacilityCount&gt;=4130,F14142=""),"Incomplete","Complete")</f>
        <v>Complete</v>
      </c>
      <c r="I14142" s="48" t="s">
        <v>18507</v>
      </c>
    </row>
    <row r="14143" spans="2:9" ht="15" customHeight="1" x14ac:dyDescent="0.25">
      <c r="B14143" s="55" t="s">
        <v>281</v>
      </c>
      <c r="C14143" s="46">
        <v>4131</v>
      </c>
      <c r="D14143" s="69" t="s">
        <v>29418</v>
      </c>
      <c r="E14143" s="51"/>
      <c r="F14143" s="114" t="str">
        <f>IF(INDEX(I.Facility.P2bIDNumber,4131)="","",INDEX(I.Facility.P2bIDNumber,4131))</f>
        <v/>
      </c>
      <c r="G14143" s="51"/>
      <c r="H14143" s="46" t="str">
        <f>IF(AND(I.Developer.P2b=TRUE,I.Facility.P2bFacilityCount&gt;=4131,F14143=""),"Incomplete","Complete")</f>
        <v>Complete</v>
      </c>
      <c r="I14143" s="48" t="s">
        <v>18508</v>
      </c>
    </row>
    <row r="14144" spans="2:9" ht="15" customHeight="1" x14ac:dyDescent="0.25">
      <c r="B14144" s="55" t="s">
        <v>281</v>
      </c>
      <c r="C14144" s="46">
        <v>4132</v>
      </c>
      <c r="D14144" s="69" t="s">
        <v>29418</v>
      </c>
      <c r="E14144" s="51"/>
      <c r="F14144" s="114" t="str">
        <f>IF(INDEX(I.Facility.P2bIDNumber,4132)="","",INDEX(I.Facility.P2bIDNumber,4132))</f>
        <v/>
      </c>
      <c r="G14144" s="51"/>
      <c r="H14144" s="46" t="str">
        <f>IF(AND(I.Developer.P2b=TRUE,I.Facility.P2bFacilityCount&gt;=4132,F14144=""),"Incomplete","Complete")</f>
        <v>Complete</v>
      </c>
      <c r="I14144" s="48" t="s">
        <v>18509</v>
      </c>
    </row>
    <row r="14145" spans="2:9" ht="15" customHeight="1" x14ac:dyDescent="0.25">
      <c r="B14145" s="55" t="s">
        <v>281</v>
      </c>
      <c r="C14145" s="46">
        <v>4133</v>
      </c>
      <c r="D14145" s="69" t="s">
        <v>29418</v>
      </c>
      <c r="E14145" s="51"/>
      <c r="F14145" s="114" t="str">
        <f>IF(INDEX(I.Facility.P2bIDNumber,4133)="","",INDEX(I.Facility.P2bIDNumber,4133))</f>
        <v/>
      </c>
      <c r="G14145" s="51"/>
      <c r="H14145" s="46" t="str">
        <f>IF(AND(I.Developer.P2b=TRUE,I.Facility.P2bFacilityCount&gt;=4133,F14145=""),"Incomplete","Complete")</f>
        <v>Complete</v>
      </c>
      <c r="I14145" s="48" t="s">
        <v>18510</v>
      </c>
    </row>
    <row r="14146" spans="2:9" ht="15" customHeight="1" x14ac:dyDescent="0.25">
      <c r="B14146" s="55" t="s">
        <v>281</v>
      </c>
      <c r="C14146" s="46">
        <v>4134</v>
      </c>
      <c r="D14146" s="69" t="s">
        <v>29418</v>
      </c>
      <c r="E14146" s="51"/>
      <c r="F14146" s="114" t="str">
        <f>IF(INDEX(I.Facility.P2bIDNumber,4134)="","",INDEX(I.Facility.P2bIDNumber,4134))</f>
        <v/>
      </c>
      <c r="G14146" s="51"/>
      <c r="H14146" s="46" t="str">
        <f>IF(AND(I.Developer.P2b=TRUE,I.Facility.P2bFacilityCount&gt;=4134,F14146=""),"Incomplete","Complete")</f>
        <v>Complete</v>
      </c>
      <c r="I14146" s="48" t="s">
        <v>18511</v>
      </c>
    </row>
    <row r="14147" spans="2:9" ht="15" customHeight="1" x14ac:dyDescent="0.25">
      <c r="B14147" s="55" t="s">
        <v>281</v>
      </c>
      <c r="C14147" s="46">
        <v>4135</v>
      </c>
      <c r="D14147" s="69" t="s">
        <v>29418</v>
      </c>
      <c r="E14147" s="51"/>
      <c r="F14147" s="114" t="str">
        <f>IF(INDEX(I.Facility.P2bIDNumber,4135)="","",INDEX(I.Facility.P2bIDNumber,4135))</f>
        <v/>
      </c>
      <c r="G14147" s="51"/>
      <c r="H14147" s="46" t="str">
        <f>IF(AND(I.Developer.P2b=TRUE,I.Facility.P2bFacilityCount&gt;=4135,F14147=""),"Incomplete","Complete")</f>
        <v>Complete</v>
      </c>
      <c r="I14147" s="48" t="s">
        <v>18512</v>
      </c>
    </row>
    <row r="14148" spans="2:9" ht="15" customHeight="1" x14ac:dyDescent="0.25">
      <c r="B14148" s="55" t="s">
        <v>281</v>
      </c>
      <c r="C14148" s="46">
        <v>4136</v>
      </c>
      <c r="D14148" s="69" t="s">
        <v>29418</v>
      </c>
      <c r="E14148" s="51"/>
      <c r="F14148" s="114" t="str">
        <f>IF(INDEX(I.Facility.P2bIDNumber,4136)="","",INDEX(I.Facility.P2bIDNumber,4136))</f>
        <v/>
      </c>
      <c r="G14148" s="51"/>
      <c r="H14148" s="46" t="str">
        <f>IF(AND(I.Developer.P2b=TRUE,I.Facility.P2bFacilityCount&gt;=4136,F14148=""),"Incomplete","Complete")</f>
        <v>Complete</v>
      </c>
      <c r="I14148" s="48" t="s">
        <v>18513</v>
      </c>
    </row>
    <row r="14149" spans="2:9" ht="15" customHeight="1" x14ac:dyDescent="0.25">
      <c r="B14149" s="55" t="s">
        <v>281</v>
      </c>
      <c r="C14149" s="46">
        <v>4137</v>
      </c>
      <c r="D14149" s="69" t="s">
        <v>29418</v>
      </c>
      <c r="E14149" s="51"/>
      <c r="F14149" s="114" t="str">
        <f>IF(INDEX(I.Facility.P2bIDNumber,4137)="","",INDEX(I.Facility.P2bIDNumber,4137))</f>
        <v/>
      </c>
      <c r="G14149" s="51"/>
      <c r="H14149" s="46" t="str">
        <f>IF(AND(I.Developer.P2b=TRUE,I.Facility.P2bFacilityCount&gt;=4137,F14149=""),"Incomplete","Complete")</f>
        <v>Complete</v>
      </c>
      <c r="I14149" s="48" t="s">
        <v>18514</v>
      </c>
    </row>
    <row r="14150" spans="2:9" ht="15" customHeight="1" x14ac:dyDescent="0.25">
      <c r="B14150" s="55" t="s">
        <v>281</v>
      </c>
      <c r="C14150" s="46">
        <v>4138</v>
      </c>
      <c r="D14150" s="69" t="s">
        <v>29418</v>
      </c>
      <c r="E14150" s="51"/>
      <c r="F14150" s="114" t="str">
        <f>IF(INDEX(I.Facility.P2bIDNumber,4138)="","",INDEX(I.Facility.P2bIDNumber,4138))</f>
        <v/>
      </c>
      <c r="G14150" s="51"/>
      <c r="H14150" s="46" t="str">
        <f>IF(AND(I.Developer.P2b=TRUE,I.Facility.P2bFacilityCount&gt;=4138,F14150=""),"Incomplete","Complete")</f>
        <v>Complete</v>
      </c>
      <c r="I14150" s="48" t="s">
        <v>18515</v>
      </c>
    </row>
    <row r="14151" spans="2:9" ht="15" customHeight="1" x14ac:dyDescent="0.25">
      <c r="B14151" s="55" t="s">
        <v>281</v>
      </c>
      <c r="C14151" s="46">
        <v>4139</v>
      </c>
      <c r="D14151" s="69" t="s">
        <v>29418</v>
      </c>
      <c r="E14151" s="51"/>
      <c r="F14151" s="114" t="str">
        <f>IF(INDEX(I.Facility.P2bIDNumber,4139)="","",INDEX(I.Facility.P2bIDNumber,4139))</f>
        <v/>
      </c>
      <c r="G14151" s="51"/>
      <c r="H14151" s="46" t="str">
        <f>IF(AND(I.Developer.P2b=TRUE,I.Facility.P2bFacilityCount&gt;=4139,F14151=""),"Incomplete","Complete")</f>
        <v>Complete</v>
      </c>
      <c r="I14151" s="48" t="s">
        <v>18516</v>
      </c>
    </row>
    <row r="14152" spans="2:9" ht="15" customHeight="1" x14ac:dyDescent="0.25">
      <c r="B14152" s="55" t="s">
        <v>281</v>
      </c>
      <c r="C14152" s="46">
        <v>4140</v>
      </c>
      <c r="D14152" s="69" t="s">
        <v>29418</v>
      </c>
      <c r="E14152" s="51"/>
      <c r="F14152" s="114" t="str">
        <f>IF(INDEX(I.Facility.P2bIDNumber,4140)="","",INDEX(I.Facility.P2bIDNumber,4140))</f>
        <v/>
      </c>
      <c r="G14152" s="51"/>
      <c r="H14152" s="46" t="str">
        <f>IF(AND(I.Developer.P2b=TRUE,I.Facility.P2bFacilityCount&gt;=4140,F14152=""),"Incomplete","Complete")</f>
        <v>Complete</v>
      </c>
      <c r="I14152" s="48" t="s">
        <v>18517</v>
      </c>
    </row>
    <row r="14153" spans="2:9" ht="15" customHeight="1" x14ac:dyDescent="0.25">
      <c r="B14153" s="55" t="s">
        <v>281</v>
      </c>
      <c r="C14153" s="46">
        <v>4141</v>
      </c>
      <c r="D14153" s="69" t="s">
        <v>29418</v>
      </c>
      <c r="E14153" s="51"/>
      <c r="F14153" s="114" t="str">
        <f>IF(INDEX(I.Facility.P2bIDNumber,4141)="","",INDEX(I.Facility.P2bIDNumber,4141))</f>
        <v/>
      </c>
      <c r="G14153" s="51"/>
      <c r="H14153" s="46" t="str">
        <f>IF(AND(I.Developer.P2b=TRUE,I.Facility.P2bFacilityCount&gt;=4141,F14153=""),"Incomplete","Complete")</f>
        <v>Complete</v>
      </c>
      <c r="I14153" s="48" t="s">
        <v>18518</v>
      </c>
    </row>
    <row r="14154" spans="2:9" ht="15" customHeight="1" x14ac:dyDescent="0.25">
      <c r="B14154" s="55" t="s">
        <v>281</v>
      </c>
      <c r="C14154" s="46">
        <v>4142</v>
      </c>
      <c r="D14154" s="69" t="s">
        <v>29418</v>
      </c>
      <c r="E14154" s="51"/>
      <c r="F14154" s="114" t="str">
        <f>IF(INDEX(I.Facility.P2bIDNumber,4142)="","",INDEX(I.Facility.P2bIDNumber,4142))</f>
        <v/>
      </c>
      <c r="G14154" s="51"/>
      <c r="H14154" s="46" t="str">
        <f>IF(AND(I.Developer.P2b=TRUE,I.Facility.P2bFacilityCount&gt;=4142,F14154=""),"Incomplete","Complete")</f>
        <v>Complete</v>
      </c>
      <c r="I14154" s="48" t="s">
        <v>18519</v>
      </c>
    </row>
    <row r="14155" spans="2:9" ht="15" customHeight="1" x14ac:dyDescent="0.25">
      <c r="B14155" s="55" t="s">
        <v>281</v>
      </c>
      <c r="C14155" s="46">
        <v>4143</v>
      </c>
      <c r="D14155" s="69" t="s">
        <v>29418</v>
      </c>
      <c r="E14155" s="51"/>
      <c r="F14155" s="114" t="str">
        <f>IF(INDEX(I.Facility.P2bIDNumber,4143)="","",INDEX(I.Facility.P2bIDNumber,4143))</f>
        <v/>
      </c>
      <c r="G14155" s="51"/>
      <c r="H14155" s="46" t="str">
        <f>IF(AND(I.Developer.P2b=TRUE,I.Facility.P2bFacilityCount&gt;=4143,F14155=""),"Incomplete","Complete")</f>
        <v>Complete</v>
      </c>
      <c r="I14155" s="48" t="s">
        <v>18520</v>
      </c>
    </row>
    <row r="14156" spans="2:9" ht="15" customHeight="1" x14ac:dyDescent="0.25">
      <c r="B14156" s="55" t="s">
        <v>281</v>
      </c>
      <c r="C14156" s="46">
        <v>4144</v>
      </c>
      <c r="D14156" s="69" t="s">
        <v>29418</v>
      </c>
      <c r="E14156" s="51"/>
      <c r="F14156" s="114" t="str">
        <f>IF(INDEX(I.Facility.P2bIDNumber,4144)="","",INDEX(I.Facility.P2bIDNumber,4144))</f>
        <v/>
      </c>
      <c r="G14156" s="51"/>
      <c r="H14156" s="46" t="str">
        <f>IF(AND(I.Developer.P2b=TRUE,I.Facility.P2bFacilityCount&gt;=4144,F14156=""),"Incomplete","Complete")</f>
        <v>Complete</v>
      </c>
      <c r="I14156" s="48" t="s">
        <v>18521</v>
      </c>
    </row>
    <row r="14157" spans="2:9" ht="15" customHeight="1" x14ac:dyDescent="0.25">
      <c r="B14157" s="55" t="s">
        <v>281</v>
      </c>
      <c r="C14157" s="46">
        <v>4145</v>
      </c>
      <c r="D14157" s="69" t="s">
        <v>29418</v>
      </c>
      <c r="E14157" s="51"/>
      <c r="F14157" s="114" t="str">
        <f>IF(INDEX(I.Facility.P2bIDNumber,4145)="","",INDEX(I.Facility.P2bIDNumber,4145))</f>
        <v/>
      </c>
      <c r="G14157" s="51"/>
      <c r="H14157" s="46" t="str">
        <f>IF(AND(I.Developer.P2b=TRUE,I.Facility.P2bFacilityCount&gt;=4145,F14157=""),"Incomplete","Complete")</f>
        <v>Complete</v>
      </c>
      <c r="I14157" s="48" t="s">
        <v>18522</v>
      </c>
    </row>
    <row r="14158" spans="2:9" ht="15" customHeight="1" x14ac:dyDescent="0.25">
      <c r="B14158" s="55" t="s">
        <v>281</v>
      </c>
      <c r="C14158" s="46">
        <v>4146</v>
      </c>
      <c r="D14158" s="69" t="s">
        <v>29418</v>
      </c>
      <c r="E14158" s="51"/>
      <c r="F14158" s="114" t="str">
        <f>IF(INDEX(I.Facility.P2bIDNumber,4146)="","",INDEX(I.Facility.P2bIDNumber,4146))</f>
        <v/>
      </c>
      <c r="G14158" s="51"/>
      <c r="H14158" s="46" t="str">
        <f>IF(AND(I.Developer.P2b=TRUE,I.Facility.P2bFacilityCount&gt;=4146,F14158=""),"Incomplete","Complete")</f>
        <v>Complete</v>
      </c>
      <c r="I14158" s="48" t="s">
        <v>18523</v>
      </c>
    </row>
    <row r="14159" spans="2:9" ht="15" customHeight="1" x14ac:dyDescent="0.25">
      <c r="B14159" s="55" t="s">
        <v>281</v>
      </c>
      <c r="C14159" s="46">
        <v>4147</v>
      </c>
      <c r="D14159" s="69" t="s">
        <v>29418</v>
      </c>
      <c r="E14159" s="51"/>
      <c r="F14159" s="114" t="str">
        <f>IF(INDEX(I.Facility.P2bIDNumber,4147)="","",INDEX(I.Facility.P2bIDNumber,4147))</f>
        <v/>
      </c>
      <c r="G14159" s="51"/>
      <c r="H14159" s="46" t="str">
        <f>IF(AND(I.Developer.P2b=TRUE,I.Facility.P2bFacilityCount&gt;=4147,F14159=""),"Incomplete","Complete")</f>
        <v>Complete</v>
      </c>
      <c r="I14159" s="48" t="s">
        <v>18524</v>
      </c>
    </row>
    <row r="14160" spans="2:9" ht="15" customHeight="1" x14ac:dyDescent="0.25">
      <c r="B14160" s="55" t="s">
        <v>281</v>
      </c>
      <c r="C14160" s="46">
        <v>4148</v>
      </c>
      <c r="D14160" s="69" t="s">
        <v>29418</v>
      </c>
      <c r="E14160" s="51"/>
      <c r="F14160" s="114" t="str">
        <f>IF(INDEX(I.Facility.P2bIDNumber,4148)="","",INDEX(I.Facility.P2bIDNumber,4148))</f>
        <v/>
      </c>
      <c r="G14160" s="51"/>
      <c r="H14160" s="46" t="str">
        <f>IF(AND(I.Developer.P2b=TRUE,I.Facility.P2bFacilityCount&gt;=4148,F14160=""),"Incomplete","Complete")</f>
        <v>Complete</v>
      </c>
      <c r="I14160" s="48" t="s">
        <v>18525</v>
      </c>
    </row>
    <row r="14161" spans="2:9" ht="15" customHeight="1" x14ac:dyDescent="0.25">
      <c r="B14161" s="55" t="s">
        <v>281</v>
      </c>
      <c r="C14161" s="46">
        <v>4149</v>
      </c>
      <c r="D14161" s="69" t="s">
        <v>29418</v>
      </c>
      <c r="E14161" s="51"/>
      <c r="F14161" s="114" t="str">
        <f>IF(INDEX(I.Facility.P2bIDNumber,4149)="","",INDEX(I.Facility.P2bIDNumber,4149))</f>
        <v/>
      </c>
      <c r="G14161" s="51"/>
      <c r="H14161" s="46" t="str">
        <f>IF(AND(I.Developer.P2b=TRUE,I.Facility.P2bFacilityCount&gt;=4149,F14161=""),"Incomplete","Complete")</f>
        <v>Complete</v>
      </c>
      <c r="I14161" s="48" t="s">
        <v>18526</v>
      </c>
    </row>
    <row r="14162" spans="2:9" ht="15" customHeight="1" x14ac:dyDescent="0.25">
      <c r="B14162" s="55" t="s">
        <v>281</v>
      </c>
      <c r="C14162" s="46">
        <v>4150</v>
      </c>
      <c r="D14162" s="69" t="s">
        <v>29418</v>
      </c>
      <c r="E14162" s="51"/>
      <c r="F14162" s="114" t="str">
        <f>IF(INDEX(I.Facility.P2bIDNumber,4150)="","",INDEX(I.Facility.P2bIDNumber,4150))</f>
        <v/>
      </c>
      <c r="G14162" s="51"/>
      <c r="H14162" s="46" t="str">
        <f>IF(AND(I.Developer.P2b=TRUE,I.Facility.P2bFacilityCount&gt;=4150,F14162=""),"Incomplete","Complete")</f>
        <v>Complete</v>
      </c>
      <c r="I14162" s="48" t="s">
        <v>18527</v>
      </c>
    </row>
    <row r="14163" spans="2:9" ht="15" customHeight="1" x14ac:dyDescent="0.25">
      <c r="B14163" s="55" t="s">
        <v>281</v>
      </c>
      <c r="C14163" s="46">
        <v>4151</v>
      </c>
      <c r="D14163" s="69" t="s">
        <v>29418</v>
      </c>
      <c r="E14163" s="51"/>
      <c r="F14163" s="114" t="str">
        <f>IF(INDEX(I.Facility.P2bIDNumber,4151)="","",INDEX(I.Facility.P2bIDNumber,4151))</f>
        <v/>
      </c>
      <c r="G14163" s="51"/>
      <c r="H14163" s="46" t="str">
        <f>IF(AND(I.Developer.P2b=TRUE,I.Facility.P2bFacilityCount&gt;=4151,F14163=""),"Incomplete","Complete")</f>
        <v>Complete</v>
      </c>
      <c r="I14163" s="48" t="s">
        <v>18528</v>
      </c>
    </row>
    <row r="14164" spans="2:9" ht="15" customHeight="1" x14ac:dyDescent="0.25">
      <c r="B14164" s="55" t="s">
        <v>281</v>
      </c>
      <c r="C14164" s="46">
        <v>4152</v>
      </c>
      <c r="D14164" s="69" t="s">
        <v>29418</v>
      </c>
      <c r="E14164" s="51"/>
      <c r="F14164" s="114" t="str">
        <f>IF(INDEX(I.Facility.P2bIDNumber,4152)="","",INDEX(I.Facility.P2bIDNumber,4152))</f>
        <v/>
      </c>
      <c r="G14164" s="51"/>
      <c r="H14164" s="46" t="str">
        <f>IF(AND(I.Developer.P2b=TRUE,I.Facility.P2bFacilityCount&gt;=4152,F14164=""),"Incomplete","Complete")</f>
        <v>Complete</v>
      </c>
      <c r="I14164" s="48" t="s">
        <v>18529</v>
      </c>
    </row>
    <row r="14165" spans="2:9" ht="15" customHeight="1" x14ac:dyDescent="0.25">
      <c r="B14165" s="55" t="s">
        <v>281</v>
      </c>
      <c r="C14165" s="46">
        <v>4153</v>
      </c>
      <c r="D14165" s="69" t="s">
        <v>29418</v>
      </c>
      <c r="E14165" s="51"/>
      <c r="F14165" s="114" t="str">
        <f>IF(INDEX(I.Facility.P2bIDNumber,4153)="","",INDEX(I.Facility.P2bIDNumber,4153))</f>
        <v/>
      </c>
      <c r="G14165" s="51"/>
      <c r="H14165" s="46" t="str">
        <f>IF(AND(I.Developer.P2b=TRUE,I.Facility.P2bFacilityCount&gt;=4153,F14165=""),"Incomplete","Complete")</f>
        <v>Complete</v>
      </c>
      <c r="I14165" s="48" t="s">
        <v>18530</v>
      </c>
    </row>
    <row r="14166" spans="2:9" ht="15" customHeight="1" x14ac:dyDescent="0.25">
      <c r="B14166" s="55" t="s">
        <v>281</v>
      </c>
      <c r="C14166" s="46">
        <v>4154</v>
      </c>
      <c r="D14166" s="69" t="s">
        <v>29418</v>
      </c>
      <c r="E14166" s="51"/>
      <c r="F14166" s="114" t="str">
        <f>IF(INDEX(I.Facility.P2bIDNumber,4154)="","",INDEX(I.Facility.P2bIDNumber,4154))</f>
        <v/>
      </c>
      <c r="G14166" s="51"/>
      <c r="H14166" s="46" t="str">
        <f>IF(AND(I.Developer.P2b=TRUE,I.Facility.P2bFacilityCount&gt;=4154,F14166=""),"Incomplete","Complete")</f>
        <v>Complete</v>
      </c>
      <c r="I14166" s="48" t="s">
        <v>18531</v>
      </c>
    </row>
    <row r="14167" spans="2:9" ht="15" customHeight="1" x14ac:dyDescent="0.25">
      <c r="B14167" s="55" t="s">
        <v>281</v>
      </c>
      <c r="C14167" s="46">
        <v>4155</v>
      </c>
      <c r="D14167" s="69" t="s">
        <v>29418</v>
      </c>
      <c r="E14167" s="51"/>
      <c r="F14167" s="114" t="str">
        <f>IF(INDEX(I.Facility.P2bIDNumber,4155)="","",INDEX(I.Facility.P2bIDNumber,4155))</f>
        <v/>
      </c>
      <c r="G14167" s="51"/>
      <c r="H14167" s="46" t="str">
        <f>IF(AND(I.Developer.P2b=TRUE,I.Facility.P2bFacilityCount&gt;=4155,F14167=""),"Incomplete","Complete")</f>
        <v>Complete</v>
      </c>
      <c r="I14167" s="48" t="s">
        <v>18532</v>
      </c>
    </row>
    <row r="14168" spans="2:9" ht="15" customHeight="1" x14ac:dyDescent="0.25">
      <c r="B14168" s="55" t="s">
        <v>281</v>
      </c>
      <c r="C14168" s="46">
        <v>4156</v>
      </c>
      <c r="D14168" s="69" t="s">
        <v>29418</v>
      </c>
      <c r="E14168" s="51"/>
      <c r="F14168" s="114" t="str">
        <f>IF(INDEX(I.Facility.P2bIDNumber,4156)="","",INDEX(I.Facility.P2bIDNumber,4156))</f>
        <v/>
      </c>
      <c r="G14168" s="51"/>
      <c r="H14168" s="46" t="str">
        <f>IF(AND(I.Developer.P2b=TRUE,I.Facility.P2bFacilityCount&gt;=4156,F14168=""),"Incomplete","Complete")</f>
        <v>Complete</v>
      </c>
      <c r="I14168" s="48" t="s">
        <v>18533</v>
      </c>
    </row>
    <row r="14169" spans="2:9" ht="15" customHeight="1" x14ac:dyDescent="0.25">
      <c r="B14169" s="55" t="s">
        <v>281</v>
      </c>
      <c r="C14169" s="46">
        <v>4157</v>
      </c>
      <c r="D14169" s="69" t="s">
        <v>29418</v>
      </c>
      <c r="E14169" s="51"/>
      <c r="F14169" s="114" t="str">
        <f>IF(INDEX(I.Facility.P2bIDNumber,4157)="","",INDEX(I.Facility.P2bIDNumber,4157))</f>
        <v/>
      </c>
      <c r="G14169" s="51"/>
      <c r="H14169" s="46" t="str">
        <f>IF(AND(I.Developer.P2b=TRUE,I.Facility.P2bFacilityCount&gt;=4157,F14169=""),"Incomplete","Complete")</f>
        <v>Complete</v>
      </c>
      <c r="I14169" s="48" t="s">
        <v>18534</v>
      </c>
    </row>
    <row r="14170" spans="2:9" ht="15" customHeight="1" x14ac:dyDescent="0.25">
      <c r="B14170" s="55" t="s">
        <v>281</v>
      </c>
      <c r="C14170" s="46">
        <v>4158</v>
      </c>
      <c r="D14170" s="69" t="s">
        <v>29418</v>
      </c>
      <c r="E14170" s="51"/>
      <c r="F14170" s="114" t="str">
        <f>IF(INDEX(I.Facility.P2bIDNumber,4158)="","",INDEX(I.Facility.P2bIDNumber,4158))</f>
        <v/>
      </c>
      <c r="G14170" s="51"/>
      <c r="H14170" s="46" t="str">
        <f>IF(AND(I.Developer.P2b=TRUE,I.Facility.P2bFacilityCount&gt;=4158,F14170=""),"Incomplete","Complete")</f>
        <v>Complete</v>
      </c>
      <c r="I14170" s="48" t="s">
        <v>18535</v>
      </c>
    </row>
    <row r="14171" spans="2:9" ht="15" customHeight="1" x14ac:dyDescent="0.25">
      <c r="B14171" s="55" t="s">
        <v>281</v>
      </c>
      <c r="C14171" s="46">
        <v>4159</v>
      </c>
      <c r="D14171" s="69" t="s">
        <v>29418</v>
      </c>
      <c r="E14171" s="51"/>
      <c r="F14171" s="114" t="str">
        <f>IF(INDEX(I.Facility.P2bIDNumber,4159)="","",INDEX(I.Facility.P2bIDNumber,4159))</f>
        <v/>
      </c>
      <c r="G14171" s="51"/>
      <c r="H14171" s="46" t="str">
        <f>IF(AND(I.Developer.P2b=TRUE,I.Facility.P2bFacilityCount&gt;=4159,F14171=""),"Incomplete","Complete")</f>
        <v>Complete</v>
      </c>
      <c r="I14171" s="48" t="s">
        <v>18536</v>
      </c>
    </row>
    <row r="14172" spans="2:9" ht="15" customHeight="1" x14ac:dyDescent="0.25">
      <c r="B14172" s="55" t="s">
        <v>281</v>
      </c>
      <c r="C14172" s="46">
        <v>4160</v>
      </c>
      <c r="D14172" s="69" t="s">
        <v>29418</v>
      </c>
      <c r="E14172" s="51"/>
      <c r="F14172" s="114" t="str">
        <f>IF(INDEX(I.Facility.P2bIDNumber,4160)="","",INDEX(I.Facility.P2bIDNumber,4160))</f>
        <v/>
      </c>
      <c r="G14172" s="51"/>
      <c r="H14172" s="46" t="str">
        <f>IF(AND(I.Developer.P2b=TRUE,I.Facility.P2bFacilityCount&gt;=4160,F14172=""),"Incomplete","Complete")</f>
        <v>Complete</v>
      </c>
      <c r="I14172" s="48" t="s">
        <v>18537</v>
      </c>
    </row>
    <row r="14173" spans="2:9" ht="15" customHeight="1" x14ac:dyDescent="0.25">
      <c r="B14173" s="55" t="s">
        <v>281</v>
      </c>
      <c r="C14173" s="46">
        <v>4161</v>
      </c>
      <c r="D14173" s="69" t="s">
        <v>29418</v>
      </c>
      <c r="E14173" s="51"/>
      <c r="F14173" s="114" t="str">
        <f>IF(INDEX(I.Facility.P2bIDNumber,4161)="","",INDEX(I.Facility.P2bIDNumber,4161))</f>
        <v/>
      </c>
      <c r="G14173" s="51"/>
      <c r="H14173" s="46" t="str">
        <f>IF(AND(I.Developer.P2b=TRUE,I.Facility.P2bFacilityCount&gt;=4161,F14173=""),"Incomplete","Complete")</f>
        <v>Complete</v>
      </c>
      <c r="I14173" s="48" t="s">
        <v>18538</v>
      </c>
    </row>
    <row r="14174" spans="2:9" ht="15" customHeight="1" x14ac:dyDescent="0.25">
      <c r="B14174" s="55" t="s">
        <v>281</v>
      </c>
      <c r="C14174" s="46">
        <v>4162</v>
      </c>
      <c r="D14174" s="69" t="s">
        <v>29418</v>
      </c>
      <c r="E14174" s="51"/>
      <c r="F14174" s="114" t="str">
        <f>IF(INDEX(I.Facility.P2bIDNumber,4162)="","",INDEX(I.Facility.P2bIDNumber,4162))</f>
        <v/>
      </c>
      <c r="G14174" s="51"/>
      <c r="H14174" s="46" t="str">
        <f>IF(AND(I.Developer.P2b=TRUE,I.Facility.P2bFacilityCount&gt;=4162,F14174=""),"Incomplete","Complete")</f>
        <v>Complete</v>
      </c>
      <c r="I14174" s="48" t="s">
        <v>18539</v>
      </c>
    </row>
    <row r="14175" spans="2:9" ht="15" customHeight="1" x14ac:dyDescent="0.25">
      <c r="B14175" s="55" t="s">
        <v>281</v>
      </c>
      <c r="C14175" s="46">
        <v>4163</v>
      </c>
      <c r="D14175" s="69" t="s">
        <v>29418</v>
      </c>
      <c r="E14175" s="51"/>
      <c r="F14175" s="114" t="str">
        <f>IF(INDEX(I.Facility.P2bIDNumber,4163)="","",INDEX(I.Facility.P2bIDNumber,4163))</f>
        <v/>
      </c>
      <c r="G14175" s="51"/>
      <c r="H14175" s="46" t="str">
        <f>IF(AND(I.Developer.P2b=TRUE,I.Facility.P2bFacilityCount&gt;=4163,F14175=""),"Incomplete","Complete")</f>
        <v>Complete</v>
      </c>
      <c r="I14175" s="48" t="s">
        <v>18540</v>
      </c>
    </row>
    <row r="14176" spans="2:9" ht="15" customHeight="1" x14ac:dyDescent="0.25">
      <c r="B14176" s="55" t="s">
        <v>281</v>
      </c>
      <c r="C14176" s="46">
        <v>4164</v>
      </c>
      <c r="D14176" s="69" t="s">
        <v>29418</v>
      </c>
      <c r="E14176" s="51"/>
      <c r="F14176" s="114" t="str">
        <f>IF(INDEX(I.Facility.P2bIDNumber,4164)="","",INDEX(I.Facility.P2bIDNumber,4164))</f>
        <v/>
      </c>
      <c r="G14176" s="51"/>
      <c r="H14176" s="46" t="str">
        <f>IF(AND(I.Developer.P2b=TRUE,I.Facility.P2bFacilityCount&gt;=4164,F14176=""),"Incomplete","Complete")</f>
        <v>Complete</v>
      </c>
      <c r="I14176" s="48" t="s">
        <v>18541</v>
      </c>
    </row>
    <row r="14177" spans="2:9" ht="15" customHeight="1" x14ac:dyDescent="0.25">
      <c r="B14177" s="55" t="s">
        <v>281</v>
      </c>
      <c r="C14177" s="46">
        <v>4165</v>
      </c>
      <c r="D14177" s="69" t="s">
        <v>29418</v>
      </c>
      <c r="E14177" s="51"/>
      <c r="F14177" s="114" t="str">
        <f>IF(INDEX(I.Facility.P2bIDNumber,4165)="","",INDEX(I.Facility.P2bIDNumber,4165))</f>
        <v/>
      </c>
      <c r="G14177" s="51"/>
      <c r="H14177" s="46" t="str">
        <f>IF(AND(I.Developer.P2b=TRUE,I.Facility.P2bFacilityCount&gt;=4165,F14177=""),"Incomplete","Complete")</f>
        <v>Complete</v>
      </c>
      <c r="I14177" s="48" t="s">
        <v>18542</v>
      </c>
    </row>
    <row r="14178" spans="2:9" ht="15" customHeight="1" x14ac:dyDescent="0.25">
      <c r="B14178" s="55" t="s">
        <v>281</v>
      </c>
      <c r="C14178" s="46">
        <v>4166</v>
      </c>
      <c r="D14178" s="69" t="s">
        <v>29418</v>
      </c>
      <c r="E14178" s="51"/>
      <c r="F14178" s="114" t="str">
        <f>IF(INDEX(I.Facility.P2bIDNumber,4166)="","",INDEX(I.Facility.P2bIDNumber,4166))</f>
        <v/>
      </c>
      <c r="G14178" s="51"/>
      <c r="H14178" s="46" t="str">
        <f>IF(AND(I.Developer.P2b=TRUE,I.Facility.P2bFacilityCount&gt;=4166,F14178=""),"Incomplete","Complete")</f>
        <v>Complete</v>
      </c>
      <c r="I14178" s="48" t="s">
        <v>18543</v>
      </c>
    </row>
    <row r="14179" spans="2:9" ht="15" customHeight="1" x14ac:dyDescent="0.25">
      <c r="B14179" s="55" t="s">
        <v>281</v>
      </c>
      <c r="C14179" s="46">
        <v>4167</v>
      </c>
      <c r="D14179" s="69" t="s">
        <v>29418</v>
      </c>
      <c r="E14179" s="51"/>
      <c r="F14179" s="114" t="str">
        <f>IF(INDEX(I.Facility.P2bIDNumber,4167)="","",INDEX(I.Facility.P2bIDNumber,4167))</f>
        <v/>
      </c>
      <c r="G14179" s="51"/>
      <c r="H14179" s="46" t="str">
        <f>IF(AND(I.Developer.P2b=TRUE,I.Facility.P2bFacilityCount&gt;=4167,F14179=""),"Incomplete","Complete")</f>
        <v>Complete</v>
      </c>
      <c r="I14179" s="48" t="s">
        <v>18544</v>
      </c>
    </row>
    <row r="14180" spans="2:9" ht="15" customHeight="1" x14ac:dyDescent="0.25">
      <c r="B14180" s="55" t="s">
        <v>281</v>
      </c>
      <c r="C14180" s="46">
        <v>4168</v>
      </c>
      <c r="D14180" s="69" t="s">
        <v>29418</v>
      </c>
      <c r="E14180" s="51"/>
      <c r="F14180" s="114" t="str">
        <f>IF(INDEX(I.Facility.P2bIDNumber,4168)="","",INDEX(I.Facility.P2bIDNumber,4168))</f>
        <v/>
      </c>
      <c r="G14180" s="51"/>
      <c r="H14180" s="46" t="str">
        <f>IF(AND(I.Developer.P2b=TRUE,I.Facility.P2bFacilityCount&gt;=4168,F14180=""),"Incomplete","Complete")</f>
        <v>Complete</v>
      </c>
      <c r="I14180" s="48" t="s">
        <v>18545</v>
      </c>
    </row>
    <row r="14181" spans="2:9" ht="15" customHeight="1" x14ac:dyDescent="0.25">
      <c r="B14181" s="55" t="s">
        <v>281</v>
      </c>
      <c r="C14181" s="46">
        <v>4169</v>
      </c>
      <c r="D14181" s="69" t="s">
        <v>29418</v>
      </c>
      <c r="E14181" s="51"/>
      <c r="F14181" s="114" t="str">
        <f>IF(INDEX(I.Facility.P2bIDNumber,4169)="","",INDEX(I.Facility.P2bIDNumber,4169))</f>
        <v/>
      </c>
      <c r="G14181" s="51"/>
      <c r="H14181" s="46" t="str">
        <f>IF(AND(I.Developer.P2b=TRUE,I.Facility.P2bFacilityCount&gt;=4169,F14181=""),"Incomplete","Complete")</f>
        <v>Complete</v>
      </c>
      <c r="I14181" s="48" t="s">
        <v>18546</v>
      </c>
    </row>
    <row r="14182" spans="2:9" ht="15" customHeight="1" x14ac:dyDescent="0.25">
      <c r="B14182" s="55" t="s">
        <v>281</v>
      </c>
      <c r="C14182" s="46">
        <v>4170</v>
      </c>
      <c r="D14182" s="69" t="s">
        <v>29418</v>
      </c>
      <c r="E14182" s="51"/>
      <c r="F14182" s="114" t="str">
        <f>IF(INDEX(I.Facility.P2bIDNumber,4170)="","",INDEX(I.Facility.P2bIDNumber,4170))</f>
        <v/>
      </c>
      <c r="G14182" s="51"/>
      <c r="H14182" s="46" t="str">
        <f>IF(AND(I.Developer.P2b=TRUE,I.Facility.P2bFacilityCount&gt;=4170,F14182=""),"Incomplete","Complete")</f>
        <v>Complete</v>
      </c>
      <c r="I14182" s="48" t="s">
        <v>18547</v>
      </c>
    </row>
    <row r="14183" spans="2:9" ht="15" customHeight="1" x14ac:dyDescent="0.25">
      <c r="B14183" s="55" t="s">
        <v>281</v>
      </c>
      <c r="C14183" s="46">
        <v>4171</v>
      </c>
      <c r="D14183" s="69" t="s">
        <v>29418</v>
      </c>
      <c r="E14183" s="51"/>
      <c r="F14183" s="114" t="str">
        <f>IF(INDEX(I.Facility.P2bIDNumber,4171)="","",INDEX(I.Facility.P2bIDNumber,4171))</f>
        <v/>
      </c>
      <c r="G14183" s="51"/>
      <c r="H14183" s="46" t="str">
        <f>IF(AND(I.Developer.P2b=TRUE,I.Facility.P2bFacilityCount&gt;=4171,F14183=""),"Incomplete","Complete")</f>
        <v>Complete</v>
      </c>
      <c r="I14183" s="48" t="s">
        <v>18548</v>
      </c>
    </row>
    <row r="14184" spans="2:9" ht="15" customHeight="1" x14ac:dyDescent="0.25">
      <c r="B14184" s="55" t="s">
        <v>281</v>
      </c>
      <c r="C14184" s="46">
        <v>4172</v>
      </c>
      <c r="D14184" s="69" t="s">
        <v>29418</v>
      </c>
      <c r="E14184" s="51"/>
      <c r="F14184" s="114" t="str">
        <f>IF(INDEX(I.Facility.P2bIDNumber,4172)="","",INDEX(I.Facility.P2bIDNumber,4172))</f>
        <v/>
      </c>
      <c r="G14184" s="51"/>
      <c r="H14184" s="46" t="str">
        <f>IF(AND(I.Developer.P2b=TRUE,I.Facility.P2bFacilityCount&gt;=4172,F14184=""),"Incomplete","Complete")</f>
        <v>Complete</v>
      </c>
      <c r="I14184" s="48" t="s">
        <v>18549</v>
      </c>
    </row>
    <row r="14185" spans="2:9" ht="15" customHeight="1" x14ac:dyDescent="0.25">
      <c r="B14185" s="55" t="s">
        <v>281</v>
      </c>
      <c r="C14185" s="46">
        <v>4173</v>
      </c>
      <c r="D14185" s="69" t="s">
        <v>29418</v>
      </c>
      <c r="E14185" s="51"/>
      <c r="F14185" s="114" t="str">
        <f>IF(INDEX(I.Facility.P2bIDNumber,4173)="","",INDEX(I.Facility.P2bIDNumber,4173))</f>
        <v/>
      </c>
      <c r="G14185" s="51"/>
      <c r="H14185" s="46" t="str">
        <f>IF(AND(I.Developer.P2b=TRUE,I.Facility.P2bFacilityCount&gt;=4173,F14185=""),"Incomplete","Complete")</f>
        <v>Complete</v>
      </c>
      <c r="I14185" s="48" t="s">
        <v>18550</v>
      </c>
    </row>
    <row r="14186" spans="2:9" ht="15" customHeight="1" x14ac:dyDescent="0.25">
      <c r="B14186" s="55" t="s">
        <v>281</v>
      </c>
      <c r="C14186" s="46">
        <v>4174</v>
      </c>
      <c r="D14186" s="69" t="s">
        <v>29418</v>
      </c>
      <c r="E14186" s="51"/>
      <c r="F14186" s="114" t="str">
        <f>IF(INDEX(I.Facility.P2bIDNumber,4174)="","",INDEX(I.Facility.P2bIDNumber,4174))</f>
        <v/>
      </c>
      <c r="G14186" s="51"/>
      <c r="H14186" s="46" t="str">
        <f>IF(AND(I.Developer.P2b=TRUE,I.Facility.P2bFacilityCount&gt;=4174,F14186=""),"Incomplete","Complete")</f>
        <v>Complete</v>
      </c>
      <c r="I14186" s="48" t="s">
        <v>18551</v>
      </c>
    </row>
    <row r="14187" spans="2:9" ht="15" customHeight="1" x14ac:dyDescent="0.25">
      <c r="B14187" s="55" t="s">
        <v>281</v>
      </c>
      <c r="C14187" s="46">
        <v>4175</v>
      </c>
      <c r="D14187" s="69" t="s">
        <v>29418</v>
      </c>
      <c r="E14187" s="51"/>
      <c r="F14187" s="114" t="str">
        <f>IF(INDEX(I.Facility.P2bIDNumber,4175)="","",INDEX(I.Facility.P2bIDNumber,4175))</f>
        <v/>
      </c>
      <c r="G14187" s="51"/>
      <c r="H14187" s="46" t="str">
        <f>IF(AND(I.Developer.P2b=TRUE,I.Facility.P2bFacilityCount&gt;=4175,F14187=""),"Incomplete","Complete")</f>
        <v>Complete</v>
      </c>
      <c r="I14187" s="48" t="s">
        <v>18552</v>
      </c>
    </row>
    <row r="14188" spans="2:9" ht="15" customHeight="1" x14ac:dyDescent="0.25">
      <c r="B14188" s="55" t="s">
        <v>281</v>
      </c>
      <c r="C14188" s="46">
        <v>4176</v>
      </c>
      <c r="D14188" s="69" t="s">
        <v>29418</v>
      </c>
      <c r="E14188" s="51"/>
      <c r="F14188" s="114" t="str">
        <f>IF(INDEX(I.Facility.P2bIDNumber,4176)="","",INDEX(I.Facility.P2bIDNumber,4176))</f>
        <v/>
      </c>
      <c r="G14188" s="51"/>
      <c r="H14188" s="46" t="str">
        <f>IF(AND(I.Developer.P2b=TRUE,I.Facility.P2bFacilityCount&gt;=4176,F14188=""),"Incomplete","Complete")</f>
        <v>Complete</v>
      </c>
      <c r="I14188" s="48" t="s">
        <v>18553</v>
      </c>
    </row>
    <row r="14189" spans="2:9" ht="15" customHeight="1" x14ac:dyDescent="0.25">
      <c r="B14189" s="55" t="s">
        <v>281</v>
      </c>
      <c r="C14189" s="46">
        <v>4177</v>
      </c>
      <c r="D14189" s="69" t="s">
        <v>29418</v>
      </c>
      <c r="E14189" s="51"/>
      <c r="F14189" s="114" t="str">
        <f>IF(INDEX(I.Facility.P2bIDNumber,4177)="","",INDEX(I.Facility.P2bIDNumber,4177))</f>
        <v/>
      </c>
      <c r="G14189" s="51"/>
      <c r="H14189" s="46" t="str">
        <f>IF(AND(I.Developer.P2b=TRUE,I.Facility.P2bFacilityCount&gt;=4177,F14189=""),"Incomplete","Complete")</f>
        <v>Complete</v>
      </c>
      <c r="I14189" s="48" t="s">
        <v>18554</v>
      </c>
    </row>
    <row r="14190" spans="2:9" ht="15" customHeight="1" x14ac:dyDescent="0.25">
      <c r="B14190" s="55" t="s">
        <v>281</v>
      </c>
      <c r="C14190" s="46">
        <v>4178</v>
      </c>
      <c r="D14190" s="69" t="s">
        <v>29418</v>
      </c>
      <c r="E14190" s="51"/>
      <c r="F14190" s="114" t="str">
        <f>IF(INDEX(I.Facility.P2bIDNumber,4178)="","",INDEX(I.Facility.P2bIDNumber,4178))</f>
        <v/>
      </c>
      <c r="G14190" s="51"/>
      <c r="H14190" s="46" t="str">
        <f>IF(AND(I.Developer.P2b=TRUE,I.Facility.P2bFacilityCount&gt;=4178,F14190=""),"Incomplete","Complete")</f>
        <v>Complete</v>
      </c>
      <c r="I14190" s="48" t="s">
        <v>18555</v>
      </c>
    </row>
    <row r="14191" spans="2:9" ht="15" customHeight="1" x14ac:dyDescent="0.25">
      <c r="B14191" s="55" t="s">
        <v>281</v>
      </c>
      <c r="C14191" s="46">
        <v>4179</v>
      </c>
      <c r="D14191" s="69" t="s">
        <v>29418</v>
      </c>
      <c r="E14191" s="51"/>
      <c r="F14191" s="114" t="str">
        <f>IF(INDEX(I.Facility.P2bIDNumber,4179)="","",INDEX(I.Facility.P2bIDNumber,4179))</f>
        <v/>
      </c>
      <c r="G14191" s="51"/>
      <c r="H14191" s="46" t="str">
        <f>IF(AND(I.Developer.P2b=TRUE,I.Facility.P2bFacilityCount&gt;=4179,F14191=""),"Incomplete","Complete")</f>
        <v>Complete</v>
      </c>
      <c r="I14191" s="48" t="s">
        <v>18556</v>
      </c>
    </row>
    <row r="14192" spans="2:9" ht="15" customHeight="1" x14ac:dyDescent="0.25">
      <c r="B14192" s="55" t="s">
        <v>281</v>
      </c>
      <c r="C14192" s="46">
        <v>4180</v>
      </c>
      <c r="D14192" s="69" t="s">
        <v>29418</v>
      </c>
      <c r="E14192" s="51"/>
      <c r="F14192" s="114" t="str">
        <f>IF(INDEX(I.Facility.P2bIDNumber,4180)="","",INDEX(I.Facility.P2bIDNumber,4180))</f>
        <v/>
      </c>
      <c r="G14192" s="51"/>
      <c r="H14192" s="46" t="str">
        <f>IF(AND(I.Developer.P2b=TRUE,I.Facility.P2bFacilityCount&gt;=4180,F14192=""),"Incomplete","Complete")</f>
        <v>Complete</v>
      </c>
      <c r="I14192" s="48" t="s">
        <v>18557</v>
      </c>
    </row>
    <row r="14193" spans="2:9" ht="15" customHeight="1" x14ac:dyDescent="0.25">
      <c r="B14193" s="55" t="s">
        <v>281</v>
      </c>
      <c r="C14193" s="46">
        <v>4181</v>
      </c>
      <c r="D14193" s="69" t="s">
        <v>29418</v>
      </c>
      <c r="E14193" s="51"/>
      <c r="F14193" s="114" t="str">
        <f>IF(INDEX(I.Facility.P2bIDNumber,4181)="","",INDEX(I.Facility.P2bIDNumber,4181))</f>
        <v/>
      </c>
      <c r="G14193" s="51"/>
      <c r="H14193" s="46" t="str">
        <f>IF(AND(I.Developer.P2b=TRUE,I.Facility.P2bFacilityCount&gt;=4181,F14193=""),"Incomplete","Complete")</f>
        <v>Complete</v>
      </c>
      <c r="I14193" s="48" t="s">
        <v>18558</v>
      </c>
    </row>
    <row r="14194" spans="2:9" ht="15" customHeight="1" x14ac:dyDescent="0.25">
      <c r="B14194" s="55" t="s">
        <v>281</v>
      </c>
      <c r="C14194" s="46">
        <v>4182</v>
      </c>
      <c r="D14194" s="69" t="s">
        <v>29418</v>
      </c>
      <c r="E14194" s="51"/>
      <c r="F14194" s="114" t="str">
        <f>IF(INDEX(I.Facility.P2bIDNumber,4182)="","",INDEX(I.Facility.P2bIDNumber,4182))</f>
        <v/>
      </c>
      <c r="G14194" s="51"/>
      <c r="H14194" s="46" t="str">
        <f>IF(AND(I.Developer.P2b=TRUE,I.Facility.P2bFacilityCount&gt;=4182,F14194=""),"Incomplete","Complete")</f>
        <v>Complete</v>
      </c>
      <c r="I14194" s="48" t="s">
        <v>18559</v>
      </c>
    </row>
    <row r="14195" spans="2:9" ht="15" customHeight="1" x14ac:dyDescent="0.25">
      <c r="B14195" s="55" t="s">
        <v>281</v>
      </c>
      <c r="C14195" s="46">
        <v>4183</v>
      </c>
      <c r="D14195" s="69" t="s">
        <v>29418</v>
      </c>
      <c r="E14195" s="51"/>
      <c r="F14195" s="114" t="str">
        <f>IF(INDEX(I.Facility.P2bIDNumber,4183)="","",INDEX(I.Facility.P2bIDNumber,4183))</f>
        <v/>
      </c>
      <c r="G14195" s="51"/>
      <c r="H14195" s="46" t="str">
        <f>IF(AND(I.Developer.P2b=TRUE,I.Facility.P2bFacilityCount&gt;=4183,F14195=""),"Incomplete","Complete")</f>
        <v>Complete</v>
      </c>
      <c r="I14195" s="48" t="s">
        <v>18560</v>
      </c>
    </row>
    <row r="14196" spans="2:9" ht="15" customHeight="1" x14ac:dyDescent="0.25">
      <c r="B14196" s="55" t="s">
        <v>281</v>
      </c>
      <c r="C14196" s="46">
        <v>4184</v>
      </c>
      <c r="D14196" s="69" t="s">
        <v>29418</v>
      </c>
      <c r="E14196" s="51"/>
      <c r="F14196" s="114" t="str">
        <f>IF(INDEX(I.Facility.P2bIDNumber,4184)="","",INDEX(I.Facility.P2bIDNumber,4184))</f>
        <v/>
      </c>
      <c r="G14196" s="51"/>
      <c r="H14196" s="46" t="str">
        <f>IF(AND(I.Developer.P2b=TRUE,I.Facility.P2bFacilityCount&gt;=4184,F14196=""),"Incomplete","Complete")</f>
        <v>Complete</v>
      </c>
      <c r="I14196" s="48" t="s">
        <v>18561</v>
      </c>
    </row>
    <row r="14197" spans="2:9" ht="15" customHeight="1" x14ac:dyDescent="0.25">
      <c r="B14197" s="55" t="s">
        <v>281</v>
      </c>
      <c r="C14197" s="46">
        <v>4185</v>
      </c>
      <c r="D14197" s="69" t="s">
        <v>29418</v>
      </c>
      <c r="E14197" s="51"/>
      <c r="F14197" s="114" t="str">
        <f>IF(INDEX(I.Facility.P2bIDNumber,4185)="","",INDEX(I.Facility.P2bIDNumber,4185))</f>
        <v/>
      </c>
      <c r="G14197" s="51"/>
      <c r="H14197" s="46" t="str">
        <f>IF(AND(I.Developer.P2b=TRUE,I.Facility.P2bFacilityCount&gt;=4185,F14197=""),"Incomplete","Complete")</f>
        <v>Complete</v>
      </c>
      <c r="I14197" s="48" t="s">
        <v>18562</v>
      </c>
    </row>
    <row r="14198" spans="2:9" ht="15" customHeight="1" x14ac:dyDescent="0.25">
      <c r="B14198" s="55" t="s">
        <v>281</v>
      </c>
      <c r="C14198" s="46">
        <v>4186</v>
      </c>
      <c r="D14198" s="69" t="s">
        <v>29418</v>
      </c>
      <c r="E14198" s="51"/>
      <c r="F14198" s="114" t="str">
        <f>IF(INDEX(I.Facility.P2bIDNumber,4186)="","",INDEX(I.Facility.P2bIDNumber,4186))</f>
        <v/>
      </c>
      <c r="G14198" s="51"/>
      <c r="H14198" s="46" t="str">
        <f>IF(AND(I.Developer.P2b=TRUE,I.Facility.P2bFacilityCount&gt;=4186,F14198=""),"Incomplete","Complete")</f>
        <v>Complete</v>
      </c>
      <c r="I14198" s="48" t="s">
        <v>18563</v>
      </c>
    </row>
    <row r="14199" spans="2:9" ht="15" customHeight="1" x14ac:dyDescent="0.25">
      <c r="B14199" s="55" t="s">
        <v>281</v>
      </c>
      <c r="C14199" s="46">
        <v>4187</v>
      </c>
      <c r="D14199" s="69" t="s">
        <v>29418</v>
      </c>
      <c r="E14199" s="51"/>
      <c r="F14199" s="114" t="str">
        <f>IF(INDEX(I.Facility.P2bIDNumber,4187)="","",INDEX(I.Facility.P2bIDNumber,4187))</f>
        <v/>
      </c>
      <c r="G14199" s="51"/>
      <c r="H14199" s="46" t="str">
        <f>IF(AND(I.Developer.P2b=TRUE,I.Facility.P2bFacilityCount&gt;=4187,F14199=""),"Incomplete","Complete")</f>
        <v>Complete</v>
      </c>
      <c r="I14199" s="48" t="s">
        <v>18564</v>
      </c>
    </row>
    <row r="14200" spans="2:9" ht="15" customHeight="1" x14ac:dyDescent="0.25">
      <c r="B14200" s="55" t="s">
        <v>281</v>
      </c>
      <c r="C14200" s="46">
        <v>4188</v>
      </c>
      <c r="D14200" s="69" t="s">
        <v>29418</v>
      </c>
      <c r="E14200" s="51"/>
      <c r="F14200" s="114" t="str">
        <f>IF(INDEX(I.Facility.P2bIDNumber,4188)="","",INDEX(I.Facility.P2bIDNumber,4188))</f>
        <v/>
      </c>
      <c r="G14200" s="51"/>
      <c r="H14200" s="46" t="str">
        <f>IF(AND(I.Developer.P2b=TRUE,I.Facility.P2bFacilityCount&gt;=4188,F14200=""),"Incomplete","Complete")</f>
        <v>Complete</v>
      </c>
      <c r="I14200" s="48" t="s">
        <v>18565</v>
      </c>
    </row>
    <row r="14201" spans="2:9" ht="15" customHeight="1" x14ac:dyDescent="0.25">
      <c r="B14201" s="55" t="s">
        <v>281</v>
      </c>
      <c r="C14201" s="46">
        <v>4189</v>
      </c>
      <c r="D14201" s="69" t="s">
        <v>29418</v>
      </c>
      <c r="E14201" s="51"/>
      <c r="F14201" s="114" t="str">
        <f>IF(INDEX(I.Facility.P2bIDNumber,4189)="","",INDEX(I.Facility.P2bIDNumber,4189))</f>
        <v/>
      </c>
      <c r="G14201" s="51"/>
      <c r="H14201" s="46" t="str">
        <f>IF(AND(I.Developer.P2b=TRUE,I.Facility.P2bFacilityCount&gt;=4189,F14201=""),"Incomplete","Complete")</f>
        <v>Complete</v>
      </c>
      <c r="I14201" s="48" t="s">
        <v>18566</v>
      </c>
    </row>
    <row r="14202" spans="2:9" ht="15" customHeight="1" x14ac:dyDescent="0.25">
      <c r="B14202" s="55" t="s">
        <v>281</v>
      </c>
      <c r="C14202" s="46">
        <v>4190</v>
      </c>
      <c r="D14202" s="69" t="s">
        <v>29418</v>
      </c>
      <c r="E14202" s="51"/>
      <c r="F14202" s="114" t="str">
        <f>IF(INDEX(I.Facility.P2bIDNumber,4190)="","",INDEX(I.Facility.P2bIDNumber,4190))</f>
        <v/>
      </c>
      <c r="G14202" s="51"/>
      <c r="H14202" s="46" t="str">
        <f>IF(AND(I.Developer.P2b=TRUE,I.Facility.P2bFacilityCount&gt;=4190,F14202=""),"Incomplete","Complete")</f>
        <v>Complete</v>
      </c>
      <c r="I14202" s="48" t="s">
        <v>18567</v>
      </c>
    </row>
    <row r="14203" spans="2:9" ht="15" customHeight="1" x14ac:dyDescent="0.25">
      <c r="B14203" s="55" t="s">
        <v>281</v>
      </c>
      <c r="C14203" s="46">
        <v>4191</v>
      </c>
      <c r="D14203" s="69" t="s">
        <v>29418</v>
      </c>
      <c r="E14203" s="51"/>
      <c r="F14203" s="114" t="str">
        <f>IF(INDEX(I.Facility.P2bIDNumber,4191)="","",INDEX(I.Facility.P2bIDNumber,4191))</f>
        <v/>
      </c>
      <c r="G14203" s="51"/>
      <c r="H14203" s="46" t="str">
        <f>IF(AND(I.Developer.P2b=TRUE,I.Facility.P2bFacilityCount&gt;=4191,F14203=""),"Incomplete","Complete")</f>
        <v>Complete</v>
      </c>
      <c r="I14203" s="48" t="s">
        <v>18568</v>
      </c>
    </row>
    <row r="14204" spans="2:9" ht="15" customHeight="1" x14ac:dyDescent="0.25">
      <c r="B14204" s="55" t="s">
        <v>281</v>
      </c>
      <c r="C14204" s="46">
        <v>4192</v>
      </c>
      <c r="D14204" s="69" t="s">
        <v>29418</v>
      </c>
      <c r="E14204" s="51"/>
      <c r="F14204" s="114" t="str">
        <f>IF(INDEX(I.Facility.P2bIDNumber,4192)="","",INDEX(I.Facility.P2bIDNumber,4192))</f>
        <v/>
      </c>
      <c r="G14204" s="51"/>
      <c r="H14204" s="46" t="str">
        <f>IF(AND(I.Developer.P2b=TRUE,I.Facility.P2bFacilityCount&gt;=4192,F14204=""),"Incomplete","Complete")</f>
        <v>Complete</v>
      </c>
      <c r="I14204" s="48" t="s">
        <v>18569</v>
      </c>
    </row>
    <row r="14205" spans="2:9" ht="15" customHeight="1" x14ac:dyDescent="0.25">
      <c r="B14205" s="55" t="s">
        <v>281</v>
      </c>
      <c r="C14205" s="46">
        <v>4193</v>
      </c>
      <c r="D14205" s="69" t="s">
        <v>29418</v>
      </c>
      <c r="E14205" s="51"/>
      <c r="F14205" s="114" t="str">
        <f>IF(INDEX(I.Facility.P2bIDNumber,4193)="","",INDEX(I.Facility.P2bIDNumber,4193))</f>
        <v/>
      </c>
      <c r="G14205" s="51"/>
      <c r="H14205" s="46" t="str">
        <f>IF(AND(I.Developer.P2b=TRUE,I.Facility.P2bFacilityCount&gt;=4193,F14205=""),"Incomplete","Complete")</f>
        <v>Complete</v>
      </c>
      <c r="I14205" s="48" t="s">
        <v>18570</v>
      </c>
    </row>
    <row r="14206" spans="2:9" ht="15" customHeight="1" x14ac:dyDescent="0.25">
      <c r="B14206" s="55" t="s">
        <v>281</v>
      </c>
      <c r="C14206" s="46">
        <v>4194</v>
      </c>
      <c r="D14206" s="69" t="s">
        <v>29418</v>
      </c>
      <c r="E14206" s="51"/>
      <c r="F14206" s="114" t="str">
        <f>IF(INDEX(I.Facility.P2bIDNumber,4194)="","",INDEX(I.Facility.P2bIDNumber,4194))</f>
        <v/>
      </c>
      <c r="G14206" s="51"/>
      <c r="H14206" s="46" t="str">
        <f>IF(AND(I.Developer.P2b=TRUE,I.Facility.P2bFacilityCount&gt;=4194,F14206=""),"Incomplete","Complete")</f>
        <v>Complete</v>
      </c>
      <c r="I14206" s="48" t="s">
        <v>18571</v>
      </c>
    </row>
    <row r="14207" spans="2:9" ht="15" customHeight="1" x14ac:dyDescent="0.25">
      <c r="B14207" s="55" t="s">
        <v>281</v>
      </c>
      <c r="C14207" s="46">
        <v>4195</v>
      </c>
      <c r="D14207" s="69" t="s">
        <v>29418</v>
      </c>
      <c r="E14207" s="51"/>
      <c r="F14207" s="114" t="str">
        <f>IF(INDEX(I.Facility.P2bIDNumber,4195)="","",INDEX(I.Facility.P2bIDNumber,4195))</f>
        <v/>
      </c>
      <c r="G14207" s="51"/>
      <c r="H14207" s="46" t="str">
        <f>IF(AND(I.Developer.P2b=TRUE,I.Facility.P2bFacilityCount&gt;=4195,F14207=""),"Incomplete","Complete")</f>
        <v>Complete</v>
      </c>
      <c r="I14207" s="48" t="s">
        <v>18572</v>
      </c>
    </row>
    <row r="14208" spans="2:9" ht="15" customHeight="1" x14ac:dyDescent="0.25">
      <c r="B14208" s="55" t="s">
        <v>281</v>
      </c>
      <c r="C14208" s="46">
        <v>4196</v>
      </c>
      <c r="D14208" s="69" t="s">
        <v>29418</v>
      </c>
      <c r="E14208" s="51"/>
      <c r="F14208" s="114" t="str">
        <f>IF(INDEX(I.Facility.P2bIDNumber,4196)="","",INDEX(I.Facility.P2bIDNumber,4196))</f>
        <v/>
      </c>
      <c r="G14208" s="51"/>
      <c r="H14208" s="46" t="str">
        <f>IF(AND(I.Developer.P2b=TRUE,I.Facility.P2bFacilityCount&gt;=4196,F14208=""),"Incomplete","Complete")</f>
        <v>Complete</v>
      </c>
      <c r="I14208" s="48" t="s">
        <v>18573</v>
      </c>
    </row>
    <row r="14209" spans="2:9" ht="15" customHeight="1" x14ac:dyDescent="0.25">
      <c r="B14209" s="55" t="s">
        <v>281</v>
      </c>
      <c r="C14209" s="46">
        <v>4197</v>
      </c>
      <c r="D14209" s="69" t="s">
        <v>29418</v>
      </c>
      <c r="E14209" s="51"/>
      <c r="F14209" s="114" t="str">
        <f>IF(INDEX(I.Facility.P2bIDNumber,4197)="","",INDEX(I.Facility.P2bIDNumber,4197))</f>
        <v/>
      </c>
      <c r="G14209" s="51"/>
      <c r="H14209" s="46" t="str">
        <f>IF(AND(I.Developer.P2b=TRUE,I.Facility.P2bFacilityCount&gt;=4197,F14209=""),"Incomplete","Complete")</f>
        <v>Complete</v>
      </c>
      <c r="I14209" s="48" t="s">
        <v>18574</v>
      </c>
    </row>
    <row r="14210" spans="2:9" ht="15" customHeight="1" x14ac:dyDescent="0.25">
      <c r="B14210" s="55" t="s">
        <v>281</v>
      </c>
      <c r="C14210" s="46">
        <v>4198</v>
      </c>
      <c r="D14210" s="69" t="s">
        <v>29418</v>
      </c>
      <c r="E14210" s="51"/>
      <c r="F14210" s="114" t="str">
        <f>IF(INDEX(I.Facility.P2bIDNumber,4198)="","",INDEX(I.Facility.P2bIDNumber,4198))</f>
        <v/>
      </c>
      <c r="G14210" s="51"/>
      <c r="H14210" s="46" t="str">
        <f>IF(AND(I.Developer.P2b=TRUE,I.Facility.P2bFacilityCount&gt;=4198,F14210=""),"Incomplete","Complete")</f>
        <v>Complete</v>
      </c>
      <c r="I14210" s="48" t="s">
        <v>18575</v>
      </c>
    </row>
    <row r="14211" spans="2:9" ht="15" customHeight="1" x14ac:dyDescent="0.25">
      <c r="B14211" s="55" t="s">
        <v>281</v>
      </c>
      <c r="C14211" s="46">
        <v>4199</v>
      </c>
      <c r="D14211" s="69" t="s">
        <v>29418</v>
      </c>
      <c r="E14211" s="51"/>
      <c r="F14211" s="114" t="str">
        <f>IF(INDEX(I.Facility.P2bIDNumber,4199)="","",INDEX(I.Facility.P2bIDNumber,4199))</f>
        <v/>
      </c>
      <c r="G14211" s="51"/>
      <c r="H14211" s="46" t="str">
        <f>IF(AND(I.Developer.P2b=TRUE,I.Facility.P2bFacilityCount&gt;=4199,F14211=""),"Incomplete","Complete")</f>
        <v>Complete</v>
      </c>
      <c r="I14211" s="48" t="s">
        <v>18576</v>
      </c>
    </row>
    <row r="14212" spans="2:9" ht="15" customHeight="1" x14ac:dyDescent="0.25">
      <c r="B14212" s="55" t="s">
        <v>281</v>
      </c>
      <c r="C14212" s="46">
        <v>4200</v>
      </c>
      <c r="D14212" s="69" t="s">
        <v>29418</v>
      </c>
      <c r="E14212" s="51"/>
      <c r="F14212" s="114" t="str">
        <f>IF(INDEX(I.Facility.P2bIDNumber,4200)="","",INDEX(I.Facility.P2bIDNumber,4200))</f>
        <v/>
      </c>
      <c r="G14212" s="51"/>
      <c r="H14212" s="46" t="str">
        <f>IF(AND(I.Developer.P2b=TRUE,I.Facility.P2bFacilityCount&gt;=4200,F14212=""),"Incomplete","Complete")</f>
        <v>Complete</v>
      </c>
      <c r="I14212" s="48" t="s">
        <v>18577</v>
      </c>
    </row>
    <row r="14213" spans="2:9" ht="15" customHeight="1" x14ac:dyDescent="0.25">
      <c r="B14213" s="55" t="s">
        <v>281</v>
      </c>
      <c r="C14213" s="46">
        <v>4201</v>
      </c>
      <c r="D14213" s="69" t="s">
        <v>29418</v>
      </c>
      <c r="E14213" s="51"/>
      <c r="F14213" s="114" t="str">
        <f>IF(INDEX(I.Facility.P2bIDNumber,4201)="","",INDEX(I.Facility.P2bIDNumber,4201))</f>
        <v/>
      </c>
      <c r="G14213" s="51"/>
      <c r="H14213" s="46" t="str">
        <f>IF(AND(I.Developer.P2b=TRUE,I.Facility.P2bFacilityCount&gt;=4201,F14213=""),"Incomplete","Complete")</f>
        <v>Complete</v>
      </c>
      <c r="I14213" s="48" t="s">
        <v>18578</v>
      </c>
    </row>
    <row r="14214" spans="2:9" ht="15" customHeight="1" x14ac:dyDescent="0.25">
      <c r="B14214" s="55" t="s">
        <v>281</v>
      </c>
      <c r="C14214" s="46">
        <v>4202</v>
      </c>
      <c r="D14214" s="69" t="s">
        <v>29418</v>
      </c>
      <c r="E14214" s="51"/>
      <c r="F14214" s="114" t="str">
        <f>IF(INDEX(I.Facility.P2bIDNumber,4202)="","",INDEX(I.Facility.P2bIDNumber,4202))</f>
        <v/>
      </c>
      <c r="G14214" s="51"/>
      <c r="H14214" s="46" t="str">
        <f>IF(AND(I.Developer.P2b=TRUE,I.Facility.P2bFacilityCount&gt;=4202,F14214=""),"Incomplete","Complete")</f>
        <v>Complete</v>
      </c>
      <c r="I14214" s="48" t="s">
        <v>18579</v>
      </c>
    </row>
    <row r="14215" spans="2:9" ht="15" customHeight="1" x14ac:dyDescent="0.25">
      <c r="B14215" s="55" t="s">
        <v>281</v>
      </c>
      <c r="C14215" s="46">
        <v>4203</v>
      </c>
      <c r="D14215" s="69" t="s">
        <v>29418</v>
      </c>
      <c r="E14215" s="51"/>
      <c r="F14215" s="114" t="str">
        <f>IF(INDEX(I.Facility.P2bIDNumber,4203)="","",INDEX(I.Facility.P2bIDNumber,4203))</f>
        <v/>
      </c>
      <c r="G14215" s="51"/>
      <c r="H14215" s="46" t="str">
        <f>IF(AND(I.Developer.P2b=TRUE,I.Facility.P2bFacilityCount&gt;=4203,F14215=""),"Incomplete","Complete")</f>
        <v>Complete</v>
      </c>
      <c r="I14215" s="48" t="s">
        <v>18580</v>
      </c>
    </row>
    <row r="14216" spans="2:9" ht="15" customHeight="1" x14ac:dyDescent="0.25">
      <c r="B14216" s="55" t="s">
        <v>281</v>
      </c>
      <c r="C14216" s="46">
        <v>4204</v>
      </c>
      <c r="D14216" s="69" t="s">
        <v>29418</v>
      </c>
      <c r="E14216" s="51"/>
      <c r="F14216" s="114" t="str">
        <f>IF(INDEX(I.Facility.P2bIDNumber,4204)="","",INDEX(I.Facility.P2bIDNumber,4204))</f>
        <v/>
      </c>
      <c r="G14216" s="51"/>
      <c r="H14216" s="46" t="str">
        <f>IF(AND(I.Developer.P2b=TRUE,I.Facility.P2bFacilityCount&gt;=4204,F14216=""),"Incomplete","Complete")</f>
        <v>Complete</v>
      </c>
      <c r="I14216" s="48" t="s">
        <v>18581</v>
      </c>
    </row>
    <row r="14217" spans="2:9" ht="15" customHeight="1" x14ac:dyDescent="0.25">
      <c r="B14217" s="55" t="s">
        <v>281</v>
      </c>
      <c r="C14217" s="46">
        <v>4205</v>
      </c>
      <c r="D14217" s="69" t="s">
        <v>29418</v>
      </c>
      <c r="E14217" s="51"/>
      <c r="F14217" s="114" t="str">
        <f>IF(INDEX(I.Facility.P2bIDNumber,4205)="","",INDEX(I.Facility.P2bIDNumber,4205))</f>
        <v/>
      </c>
      <c r="G14217" s="51"/>
      <c r="H14217" s="46" t="str">
        <f>IF(AND(I.Developer.P2b=TRUE,I.Facility.P2bFacilityCount&gt;=4205,F14217=""),"Incomplete","Complete")</f>
        <v>Complete</v>
      </c>
      <c r="I14217" s="48" t="s">
        <v>18582</v>
      </c>
    </row>
    <row r="14218" spans="2:9" ht="15" customHeight="1" x14ac:dyDescent="0.25">
      <c r="B14218" s="55" t="s">
        <v>281</v>
      </c>
      <c r="C14218" s="46">
        <v>4206</v>
      </c>
      <c r="D14218" s="69" t="s">
        <v>29418</v>
      </c>
      <c r="E14218" s="51"/>
      <c r="F14218" s="114" t="str">
        <f>IF(INDEX(I.Facility.P2bIDNumber,4206)="","",INDEX(I.Facility.P2bIDNumber,4206))</f>
        <v/>
      </c>
      <c r="G14218" s="51"/>
      <c r="H14218" s="46" t="str">
        <f>IF(AND(I.Developer.P2b=TRUE,I.Facility.P2bFacilityCount&gt;=4206,F14218=""),"Incomplete","Complete")</f>
        <v>Complete</v>
      </c>
      <c r="I14218" s="48" t="s">
        <v>18583</v>
      </c>
    </row>
    <row r="14219" spans="2:9" ht="15" customHeight="1" x14ac:dyDescent="0.25">
      <c r="B14219" s="55" t="s">
        <v>281</v>
      </c>
      <c r="C14219" s="46">
        <v>4207</v>
      </c>
      <c r="D14219" s="69" t="s">
        <v>29418</v>
      </c>
      <c r="E14219" s="51"/>
      <c r="F14219" s="114" t="str">
        <f>IF(INDEX(I.Facility.P2bIDNumber,4207)="","",INDEX(I.Facility.P2bIDNumber,4207))</f>
        <v/>
      </c>
      <c r="G14219" s="51"/>
      <c r="H14219" s="46" t="str">
        <f>IF(AND(I.Developer.P2b=TRUE,I.Facility.P2bFacilityCount&gt;=4207,F14219=""),"Incomplete","Complete")</f>
        <v>Complete</v>
      </c>
      <c r="I14219" s="48" t="s">
        <v>18584</v>
      </c>
    </row>
    <row r="14220" spans="2:9" ht="15" customHeight="1" x14ac:dyDescent="0.25">
      <c r="B14220" s="55" t="s">
        <v>281</v>
      </c>
      <c r="C14220" s="46">
        <v>4208</v>
      </c>
      <c r="D14220" s="69" t="s">
        <v>29418</v>
      </c>
      <c r="E14220" s="51"/>
      <c r="F14220" s="114" t="str">
        <f>IF(INDEX(I.Facility.P2bIDNumber,4208)="","",INDEX(I.Facility.P2bIDNumber,4208))</f>
        <v/>
      </c>
      <c r="G14220" s="51"/>
      <c r="H14220" s="46" t="str">
        <f>IF(AND(I.Developer.P2b=TRUE,I.Facility.P2bFacilityCount&gt;=4208,F14220=""),"Incomplete","Complete")</f>
        <v>Complete</v>
      </c>
      <c r="I14220" s="48" t="s">
        <v>18585</v>
      </c>
    </row>
    <row r="14221" spans="2:9" ht="15" customHeight="1" x14ac:dyDescent="0.25">
      <c r="B14221" s="55" t="s">
        <v>281</v>
      </c>
      <c r="C14221" s="46">
        <v>4209</v>
      </c>
      <c r="D14221" s="69" t="s">
        <v>29418</v>
      </c>
      <c r="E14221" s="51"/>
      <c r="F14221" s="114" t="str">
        <f>IF(INDEX(I.Facility.P2bIDNumber,4209)="","",INDEX(I.Facility.P2bIDNumber,4209))</f>
        <v/>
      </c>
      <c r="G14221" s="51"/>
      <c r="H14221" s="46" t="str">
        <f>IF(AND(I.Developer.P2b=TRUE,I.Facility.P2bFacilityCount&gt;=4209,F14221=""),"Incomplete","Complete")</f>
        <v>Complete</v>
      </c>
      <c r="I14221" s="48" t="s">
        <v>18586</v>
      </c>
    </row>
    <row r="14222" spans="2:9" ht="15" customHeight="1" x14ac:dyDescent="0.25">
      <c r="B14222" s="55" t="s">
        <v>281</v>
      </c>
      <c r="C14222" s="46">
        <v>4210</v>
      </c>
      <c r="D14222" s="69" t="s">
        <v>29418</v>
      </c>
      <c r="E14222" s="51"/>
      <c r="F14222" s="114" t="str">
        <f>IF(INDEX(I.Facility.P2bIDNumber,4210)="","",INDEX(I.Facility.P2bIDNumber,4210))</f>
        <v/>
      </c>
      <c r="G14222" s="51"/>
      <c r="H14222" s="46" t="str">
        <f>IF(AND(I.Developer.P2b=TRUE,I.Facility.P2bFacilityCount&gt;=4210,F14222=""),"Incomplete","Complete")</f>
        <v>Complete</v>
      </c>
      <c r="I14222" s="48" t="s">
        <v>18587</v>
      </c>
    </row>
    <row r="14223" spans="2:9" ht="15" customHeight="1" x14ac:dyDescent="0.25">
      <c r="B14223" s="55" t="s">
        <v>281</v>
      </c>
      <c r="C14223" s="46">
        <v>4211</v>
      </c>
      <c r="D14223" s="69" t="s">
        <v>29418</v>
      </c>
      <c r="E14223" s="51"/>
      <c r="F14223" s="114" t="str">
        <f>IF(INDEX(I.Facility.P2bIDNumber,4211)="","",INDEX(I.Facility.P2bIDNumber,4211))</f>
        <v/>
      </c>
      <c r="G14223" s="51"/>
      <c r="H14223" s="46" t="str">
        <f>IF(AND(I.Developer.P2b=TRUE,I.Facility.P2bFacilityCount&gt;=4211,F14223=""),"Incomplete","Complete")</f>
        <v>Complete</v>
      </c>
      <c r="I14223" s="48" t="s">
        <v>18588</v>
      </c>
    </row>
    <row r="14224" spans="2:9" ht="15" customHeight="1" x14ac:dyDescent="0.25">
      <c r="B14224" s="55" t="s">
        <v>281</v>
      </c>
      <c r="C14224" s="46">
        <v>4212</v>
      </c>
      <c r="D14224" s="69" t="s">
        <v>29418</v>
      </c>
      <c r="E14224" s="51"/>
      <c r="F14224" s="114" t="str">
        <f>IF(INDEX(I.Facility.P2bIDNumber,4212)="","",INDEX(I.Facility.P2bIDNumber,4212))</f>
        <v/>
      </c>
      <c r="G14224" s="51"/>
      <c r="H14224" s="46" t="str">
        <f>IF(AND(I.Developer.P2b=TRUE,I.Facility.P2bFacilityCount&gt;=4212,F14224=""),"Incomplete","Complete")</f>
        <v>Complete</v>
      </c>
      <c r="I14224" s="48" t="s">
        <v>18589</v>
      </c>
    </row>
    <row r="14225" spans="2:9" ht="15" customHeight="1" x14ac:dyDescent="0.25">
      <c r="B14225" s="55" t="s">
        <v>281</v>
      </c>
      <c r="C14225" s="46">
        <v>4213</v>
      </c>
      <c r="D14225" s="69" t="s">
        <v>29418</v>
      </c>
      <c r="E14225" s="51"/>
      <c r="F14225" s="114" t="str">
        <f>IF(INDEX(I.Facility.P2bIDNumber,4213)="","",INDEX(I.Facility.P2bIDNumber,4213))</f>
        <v/>
      </c>
      <c r="G14225" s="51"/>
      <c r="H14225" s="46" t="str">
        <f>IF(AND(I.Developer.P2b=TRUE,I.Facility.P2bFacilityCount&gt;=4213,F14225=""),"Incomplete","Complete")</f>
        <v>Complete</v>
      </c>
      <c r="I14225" s="48" t="s">
        <v>18590</v>
      </c>
    </row>
    <row r="14226" spans="2:9" ht="15" customHeight="1" x14ac:dyDescent="0.25">
      <c r="B14226" s="55" t="s">
        <v>281</v>
      </c>
      <c r="C14226" s="46">
        <v>4214</v>
      </c>
      <c r="D14226" s="69" t="s">
        <v>29418</v>
      </c>
      <c r="E14226" s="51"/>
      <c r="F14226" s="114" t="str">
        <f>IF(INDEX(I.Facility.P2bIDNumber,4214)="","",INDEX(I.Facility.P2bIDNumber,4214))</f>
        <v/>
      </c>
      <c r="G14226" s="51"/>
      <c r="H14226" s="46" t="str">
        <f>IF(AND(I.Developer.P2b=TRUE,I.Facility.P2bFacilityCount&gt;=4214,F14226=""),"Incomplete","Complete")</f>
        <v>Complete</v>
      </c>
      <c r="I14226" s="48" t="s">
        <v>18591</v>
      </c>
    </row>
    <row r="14227" spans="2:9" ht="15" customHeight="1" x14ac:dyDescent="0.25">
      <c r="B14227" s="55" t="s">
        <v>281</v>
      </c>
      <c r="C14227" s="46">
        <v>4215</v>
      </c>
      <c r="D14227" s="69" t="s">
        <v>29418</v>
      </c>
      <c r="E14227" s="51"/>
      <c r="F14227" s="114" t="str">
        <f>IF(INDEX(I.Facility.P2bIDNumber,4215)="","",INDEX(I.Facility.P2bIDNumber,4215))</f>
        <v/>
      </c>
      <c r="G14227" s="51"/>
      <c r="H14227" s="46" t="str">
        <f>IF(AND(I.Developer.P2b=TRUE,I.Facility.P2bFacilityCount&gt;=4215,F14227=""),"Incomplete","Complete")</f>
        <v>Complete</v>
      </c>
      <c r="I14227" s="48" t="s">
        <v>18592</v>
      </c>
    </row>
    <row r="14228" spans="2:9" ht="15" customHeight="1" x14ac:dyDescent="0.25">
      <c r="B14228" s="55" t="s">
        <v>281</v>
      </c>
      <c r="C14228" s="46">
        <v>4216</v>
      </c>
      <c r="D14228" s="69" t="s">
        <v>29418</v>
      </c>
      <c r="E14228" s="51"/>
      <c r="F14228" s="114" t="str">
        <f>IF(INDEX(I.Facility.P2bIDNumber,4216)="","",INDEX(I.Facility.P2bIDNumber,4216))</f>
        <v/>
      </c>
      <c r="G14228" s="51"/>
      <c r="H14228" s="46" t="str">
        <f>IF(AND(I.Developer.P2b=TRUE,I.Facility.P2bFacilityCount&gt;=4216,F14228=""),"Incomplete","Complete")</f>
        <v>Complete</v>
      </c>
      <c r="I14228" s="48" t="s">
        <v>18593</v>
      </c>
    </row>
    <row r="14229" spans="2:9" ht="15" customHeight="1" x14ac:dyDescent="0.25">
      <c r="B14229" s="55" t="s">
        <v>281</v>
      </c>
      <c r="C14229" s="46">
        <v>4217</v>
      </c>
      <c r="D14229" s="69" t="s">
        <v>29418</v>
      </c>
      <c r="E14229" s="51"/>
      <c r="F14229" s="114" t="str">
        <f>IF(INDEX(I.Facility.P2bIDNumber,4217)="","",INDEX(I.Facility.P2bIDNumber,4217))</f>
        <v/>
      </c>
      <c r="G14229" s="51"/>
      <c r="H14229" s="46" t="str">
        <f>IF(AND(I.Developer.P2b=TRUE,I.Facility.P2bFacilityCount&gt;=4217,F14229=""),"Incomplete","Complete")</f>
        <v>Complete</v>
      </c>
      <c r="I14229" s="48" t="s">
        <v>18594</v>
      </c>
    </row>
    <row r="14230" spans="2:9" ht="15" customHeight="1" x14ac:dyDescent="0.25">
      <c r="B14230" s="55" t="s">
        <v>281</v>
      </c>
      <c r="C14230" s="46">
        <v>4218</v>
      </c>
      <c r="D14230" s="69" t="s">
        <v>29418</v>
      </c>
      <c r="E14230" s="51"/>
      <c r="F14230" s="114" t="str">
        <f>IF(INDEX(I.Facility.P2bIDNumber,4218)="","",INDEX(I.Facility.P2bIDNumber,4218))</f>
        <v/>
      </c>
      <c r="G14230" s="51"/>
      <c r="H14230" s="46" t="str">
        <f>IF(AND(I.Developer.P2b=TRUE,I.Facility.P2bFacilityCount&gt;=4218,F14230=""),"Incomplete","Complete")</f>
        <v>Complete</v>
      </c>
      <c r="I14230" s="48" t="s">
        <v>18595</v>
      </c>
    </row>
    <row r="14231" spans="2:9" ht="15" customHeight="1" x14ac:dyDescent="0.25">
      <c r="B14231" s="55" t="s">
        <v>281</v>
      </c>
      <c r="C14231" s="46">
        <v>4219</v>
      </c>
      <c r="D14231" s="69" t="s">
        <v>29418</v>
      </c>
      <c r="E14231" s="51"/>
      <c r="F14231" s="114" t="str">
        <f>IF(INDEX(I.Facility.P2bIDNumber,4219)="","",INDEX(I.Facility.P2bIDNumber,4219))</f>
        <v/>
      </c>
      <c r="G14231" s="51"/>
      <c r="H14231" s="46" t="str">
        <f>IF(AND(I.Developer.P2b=TRUE,I.Facility.P2bFacilityCount&gt;=4219,F14231=""),"Incomplete","Complete")</f>
        <v>Complete</v>
      </c>
      <c r="I14231" s="48" t="s">
        <v>18596</v>
      </c>
    </row>
    <row r="14232" spans="2:9" ht="15" customHeight="1" x14ac:dyDescent="0.25">
      <c r="B14232" s="55" t="s">
        <v>281</v>
      </c>
      <c r="C14232" s="46">
        <v>4220</v>
      </c>
      <c r="D14232" s="69" t="s">
        <v>29418</v>
      </c>
      <c r="E14232" s="51"/>
      <c r="F14232" s="114" t="str">
        <f>IF(INDEX(I.Facility.P2bIDNumber,4220)="","",INDEX(I.Facility.P2bIDNumber,4220))</f>
        <v/>
      </c>
      <c r="G14232" s="51"/>
      <c r="H14232" s="46" t="str">
        <f>IF(AND(I.Developer.P2b=TRUE,I.Facility.P2bFacilityCount&gt;=4220,F14232=""),"Incomplete","Complete")</f>
        <v>Complete</v>
      </c>
      <c r="I14232" s="48" t="s">
        <v>18597</v>
      </c>
    </row>
    <row r="14233" spans="2:9" ht="15" customHeight="1" x14ac:dyDescent="0.25">
      <c r="B14233" s="55" t="s">
        <v>281</v>
      </c>
      <c r="C14233" s="46">
        <v>4221</v>
      </c>
      <c r="D14233" s="69" t="s">
        <v>29418</v>
      </c>
      <c r="E14233" s="51"/>
      <c r="F14233" s="114" t="str">
        <f>IF(INDEX(I.Facility.P2bIDNumber,4221)="","",INDEX(I.Facility.P2bIDNumber,4221))</f>
        <v/>
      </c>
      <c r="G14233" s="51"/>
      <c r="H14233" s="46" t="str">
        <f>IF(AND(I.Developer.P2b=TRUE,I.Facility.P2bFacilityCount&gt;=4221,F14233=""),"Incomplete","Complete")</f>
        <v>Complete</v>
      </c>
      <c r="I14233" s="48" t="s">
        <v>18598</v>
      </c>
    </row>
    <row r="14234" spans="2:9" ht="15" customHeight="1" x14ac:dyDescent="0.25">
      <c r="B14234" s="55" t="s">
        <v>281</v>
      </c>
      <c r="C14234" s="46">
        <v>4222</v>
      </c>
      <c r="D14234" s="69" t="s">
        <v>29418</v>
      </c>
      <c r="E14234" s="51"/>
      <c r="F14234" s="114" t="str">
        <f>IF(INDEX(I.Facility.P2bIDNumber,4222)="","",INDEX(I.Facility.P2bIDNumber,4222))</f>
        <v/>
      </c>
      <c r="G14234" s="51"/>
      <c r="H14234" s="46" t="str">
        <f>IF(AND(I.Developer.P2b=TRUE,I.Facility.P2bFacilityCount&gt;=4222,F14234=""),"Incomplete","Complete")</f>
        <v>Complete</v>
      </c>
      <c r="I14234" s="48" t="s">
        <v>18599</v>
      </c>
    </row>
    <row r="14235" spans="2:9" ht="15" customHeight="1" x14ac:dyDescent="0.25">
      <c r="B14235" s="55" t="s">
        <v>281</v>
      </c>
      <c r="C14235" s="46">
        <v>4223</v>
      </c>
      <c r="D14235" s="69" t="s">
        <v>29418</v>
      </c>
      <c r="E14235" s="51"/>
      <c r="F14235" s="114" t="str">
        <f>IF(INDEX(I.Facility.P2bIDNumber,4223)="","",INDEX(I.Facility.P2bIDNumber,4223))</f>
        <v/>
      </c>
      <c r="G14235" s="51"/>
      <c r="H14235" s="46" t="str">
        <f>IF(AND(I.Developer.P2b=TRUE,I.Facility.P2bFacilityCount&gt;=4223,F14235=""),"Incomplete","Complete")</f>
        <v>Complete</v>
      </c>
      <c r="I14235" s="48" t="s">
        <v>18600</v>
      </c>
    </row>
    <row r="14236" spans="2:9" ht="15" customHeight="1" x14ac:dyDescent="0.25">
      <c r="B14236" s="55" t="s">
        <v>281</v>
      </c>
      <c r="C14236" s="46">
        <v>4224</v>
      </c>
      <c r="D14236" s="69" t="s">
        <v>29418</v>
      </c>
      <c r="E14236" s="51"/>
      <c r="F14236" s="114" t="str">
        <f>IF(INDEX(I.Facility.P2bIDNumber,4224)="","",INDEX(I.Facility.P2bIDNumber,4224))</f>
        <v/>
      </c>
      <c r="G14236" s="51"/>
      <c r="H14236" s="46" t="str">
        <f>IF(AND(I.Developer.P2b=TRUE,I.Facility.P2bFacilityCount&gt;=4224,F14236=""),"Incomplete","Complete")</f>
        <v>Complete</v>
      </c>
      <c r="I14236" s="48" t="s">
        <v>18601</v>
      </c>
    </row>
    <row r="14237" spans="2:9" ht="15" customHeight="1" x14ac:dyDescent="0.25">
      <c r="B14237" s="55" t="s">
        <v>281</v>
      </c>
      <c r="C14237" s="46">
        <v>4225</v>
      </c>
      <c r="D14237" s="69" t="s">
        <v>29418</v>
      </c>
      <c r="E14237" s="51"/>
      <c r="F14237" s="114" t="str">
        <f>IF(INDEX(I.Facility.P2bIDNumber,4225)="","",INDEX(I.Facility.P2bIDNumber,4225))</f>
        <v/>
      </c>
      <c r="G14237" s="51"/>
      <c r="H14237" s="46" t="str">
        <f>IF(AND(I.Developer.P2b=TRUE,I.Facility.P2bFacilityCount&gt;=4225,F14237=""),"Incomplete","Complete")</f>
        <v>Complete</v>
      </c>
      <c r="I14237" s="48" t="s">
        <v>18602</v>
      </c>
    </row>
    <row r="14238" spans="2:9" ht="15" customHeight="1" x14ac:dyDescent="0.25">
      <c r="B14238" s="55" t="s">
        <v>281</v>
      </c>
      <c r="C14238" s="46">
        <v>4226</v>
      </c>
      <c r="D14238" s="69" t="s">
        <v>29418</v>
      </c>
      <c r="E14238" s="51"/>
      <c r="F14238" s="114" t="str">
        <f>IF(INDEX(I.Facility.P2bIDNumber,4226)="","",INDEX(I.Facility.P2bIDNumber,4226))</f>
        <v/>
      </c>
      <c r="G14238" s="51"/>
      <c r="H14238" s="46" t="str">
        <f>IF(AND(I.Developer.P2b=TRUE,I.Facility.P2bFacilityCount&gt;=4226,F14238=""),"Incomplete","Complete")</f>
        <v>Complete</v>
      </c>
      <c r="I14238" s="48" t="s">
        <v>18603</v>
      </c>
    </row>
    <row r="14239" spans="2:9" ht="15" customHeight="1" x14ac:dyDescent="0.25">
      <c r="B14239" s="55" t="s">
        <v>281</v>
      </c>
      <c r="C14239" s="46">
        <v>4227</v>
      </c>
      <c r="D14239" s="69" t="s">
        <v>29418</v>
      </c>
      <c r="E14239" s="51"/>
      <c r="F14239" s="114" t="str">
        <f>IF(INDEX(I.Facility.P2bIDNumber,4227)="","",INDEX(I.Facility.P2bIDNumber,4227))</f>
        <v/>
      </c>
      <c r="G14239" s="51"/>
      <c r="H14239" s="46" t="str">
        <f>IF(AND(I.Developer.P2b=TRUE,I.Facility.P2bFacilityCount&gt;=4227,F14239=""),"Incomplete","Complete")</f>
        <v>Complete</v>
      </c>
      <c r="I14239" s="48" t="s">
        <v>18604</v>
      </c>
    </row>
    <row r="14240" spans="2:9" ht="15" customHeight="1" x14ac:dyDescent="0.25">
      <c r="B14240" s="55" t="s">
        <v>281</v>
      </c>
      <c r="C14240" s="46">
        <v>4228</v>
      </c>
      <c r="D14240" s="69" t="s">
        <v>29418</v>
      </c>
      <c r="E14240" s="51"/>
      <c r="F14240" s="114" t="str">
        <f>IF(INDEX(I.Facility.P2bIDNumber,4228)="","",INDEX(I.Facility.P2bIDNumber,4228))</f>
        <v/>
      </c>
      <c r="G14240" s="51"/>
      <c r="H14240" s="46" t="str">
        <f>IF(AND(I.Developer.P2b=TRUE,I.Facility.P2bFacilityCount&gt;=4228,F14240=""),"Incomplete","Complete")</f>
        <v>Complete</v>
      </c>
      <c r="I14240" s="48" t="s">
        <v>18605</v>
      </c>
    </row>
    <row r="14241" spans="2:9" ht="15" customHeight="1" x14ac:dyDescent="0.25">
      <c r="B14241" s="55" t="s">
        <v>281</v>
      </c>
      <c r="C14241" s="46">
        <v>4229</v>
      </c>
      <c r="D14241" s="69" t="s">
        <v>29418</v>
      </c>
      <c r="E14241" s="51"/>
      <c r="F14241" s="114" t="str">
        <f>IF(INDEX(I.Facility.P2bIDNumber,4229)="","",INDEX(I.Facility.P2bIDNumber,4229))</f>
        <v/>
      </c>
      <c r="G14241" s="51"/>
      <c r="H14241" s="46" t="str">
        <f>IF(AND(I.Developer.P2b=TRUE,I.Facility.P2bFacilityCount&gt;=4229,F14241=""),"Incomplete","Complete")</f>
        <v>Complete</v>
      </c>
      <c r="I14241" s="48" t="s">
        <v>18606</v>
      </c>
    </row>
    <row r="14242" spans="2:9" ht="15" customHeight="1" x14ac:dyDescent="0.25">
      <c r="B14242" s="55" t="s">
        <v>281</v>
      </c>
      <c r="C14242" s="46">
        <v>4230</v>
      </c>
      <c r="D14242" s="69" t="s">
        <v>29418</v>
      </c>
      <c r="E14242" s="51"/>
      <c r="F14242" s="114" t="str">
        <f>IF(INDEX(I.Facility.P2bIDNumber,4230)="","",INDEX(I.Facility.P2bIDNumber,4230))</f>
        <v/>
      </c>
      <c r="G14242" s="51"/>
      <c r="H14242" s="46" t="str">
        <f>IF(AND(I.Developer.P2b=TRUE,I.Facility.P2bFacilityCount&gt;=4230,F14242=""),"Incomplete","Complete")</f>
        <v>Complete</v>
      </c>
      <c r="I14242" s="48" t="s">
        <v>18607</v>
      </c>
    </row>
    <row r="14243" spans="2:9" ht="15" customHeight="1" x14ac:dyDescent="0.25">
      <c r="B14243" s="55" t="s">
        <v>281</v>
      </c>
      <c r="C14243" s="46">
        <v>4231</v>
      </c>
      <c r="D14243" s="69" t="s">
        <v>29418</v>
      </c>
      <c r="E14243" s="51"/>
      <c r="F14243" s="114" t="str">
        <f>IF(INDEX(I.Facility.P2bIDNumber,4231)="","",INDEX(I.Facility.P2bIDNumber,4231))</f>
        <v/>
      </c>
      <c r="G14243" s="51"/>
      <c r="H14243" s="46" t="str">
        <f>IF(AND(I.Developer.P2b=TRUE,I.Facility.P2bFacilityCount&gt;=4231,F14243=""),"Incomplete","Complete")</f>
        <v>Complete</v>
      </c>
      <c r="I14243" s="48" t="s">
        <v>18608</v>
      </c>
    </row>
    <row r="14244" spans="2:9" ht="15" customHeight="1" x14ac:dyDescent="0.25">
      <c r="B14244" s="55" t="s">
        <v>281</v>
      </c>
      <c r="C14244" s="46">
        <v>4232</v>
      </c>
      <c r="D14244" s="69" t="s">
        <v>29418</v>
      </c>
      <c r="E14244" s="51"/>
      <c r="F14244" s="114" t="str">
        <f>IF(INDEX(I.Facility.P2bIDNumber,4232)="","",INDEX(I.Facility.P2bIDNumber,4232))</f>
        <v/>
      </c>
      <c r="G14244" s="51"/>
      <c r="H14244" s="46" t="str">
        <f>IF(AND(I.Developer.P2b=TRUE,I.Facility.P2bFacilityCount&gt;=4232,F14244=""),"Incomplete","Complete")</f>
        <v>Complete</v>
      </c>
      <c r="I14244" s="48" t="s">
        <v>18609</v>
      </c>
    </row>
    <row r="14245" spans="2:9" ht="15" customHeight="1" x14ac:dyDescent="0.25">
      <c r="B14245" s="55" t="s">
        <v>281</v>
      </c>
      <c r="C14245" s="46">
        <v>4233</v>
      </c>
      <c r="D14245" s="69" t="s">
        <v>29418</v>
      </c>
      <c r="E14245" s="51"/>
      <c r="F14245" s="114" t="str">
        <f>IF(INDEX(I.Facility.P2bIDNumber,4233)="","",INDEX(I.Facility.P2bIDNumber,4233))</f>
        <v/>
      </c>
      <c r="G14245" s="51"/>
      <c r="H14245" s="46" t="str">
        <f>IF(AND(I.Developer.P2b=TRUE,I.Facility.P2bFacilityCount&gt;=4233,F14245=""),"Incomplete","Complete")</f>
        <v>Complete</v>
      </c>
      <c r="I14245" s="48" t="s">
        <v>18610</v>
      </c>
    </row>
    <row r="14246" spans="2:9" ht="15" customHeight="1" x14ac:dyDescent="0.25">
      <c r="B14246" s="55" t="s">
        <v>281</v>
      </c>
      <c r="C14246" s="46">
        <v>4234</v>
      </c>
      <c r="D14246" s="69" t="s">
        <v>29418</v>
      </c>
      <c r="E14246" s="51"/>
      <c r="F14246" s="114" t="str">
        <f>IF(INDEX(I.Facility.P2bIDNumber,4234)="","",INDEX(I.Facility.P2bIDNumber,4234))</f>
        <v/>
      </c>
      <c r="G14246" s="51"/>
      <c r="H14246" s="46" t="str">
        <f>IF(AND(I.Developer.P2b=TRUE,I.Facility.P2bFacilityCount&gt;=4234,F14246=""),"Incomplete","Complete")</f>
        <v>Complete</v>
      </c>
      <c r="I14246" s="48" t="s">
        <v>18611</v>
      </c>
    </row>
    <row r="14247" spans="2:9" ht="15" customHeight="1" x14ac:dyDescent="0.25">
      <c r="B14247" s="55" t="s">
        <v>281</v>
      </c>
      <c r="C14247" s="46">
        <v>4235</v>
      </c>
      <c r="D14247" s="69" t="s">
        <v>29418</v>
      </c>
      <c r="E14247" s="51"/>
      <c r="F14247" s="114" t="str">
        <f>IF(INDEX(I.Facility.P2bIDNumber,4235)="","",INDEX(I.Facility.P2bIDNumber,4235))</f>
        <v/>
      </c>
      <c r="G14247" s="51"/>
      <c r="H14247" s="46" t="str">
        <f>IF(AND(I.Developer.P2b=TRUE,I.Facility.P2bFacilityCount&gt;=4235,F14247=""),"Incomplete","Complete")</f>
        <v>Complete</v>
      </c>
      <c r="I14247" s="48" t="s">
        <v>18612</v>
      </c>
    </row>
    <row r="14248" spans="2:9" ht="15" customHeight="1" x14ac:dyDescent="0.25">
      <c r="B14248" s="55" t="s">
        <v>281</v>
      </c>
      <c r="C14248" s="46">
        <v>4236</v>
      </c>
      <c r="D14248" s="69" t="s">
        <v>29418</v>
      </c>
      <c r="E14248" s="51"/>
      <c r="F14248" s="114" t="str">
        <f>IF(INDEX(I.Facility.P2bIDNumber,4236)="","",INDEX(I.Facility.P2bIDNumber,4236))</f>
        <v/>
      </c>
      <c r="G14248" s="51"/>
      <c r="H14248" s="46" t="str">
        <f>IF(AND(I.Developer.P2b=TRUE,I.Facility.P2bFacilityCount&gt;=4236,F14248=""),"Incomplete","Complete")</f>
        <v>Complete</v>
      </c>
      <c r="I14248" s="48" t="s">
        <v>18613</v>
      </c>
    </row>
    <row r="14249" spans="2:9" ht="15" customHeight="1" x14ac:dyDescent="0.25">
      <c r="B14249" s="55" t="s">
        <v>281</v>
      </c>
      <c r="C14249" s="46">
        <v>4237</v>
      </c>
      <c r="D14249" s="69" t="s">
        <v>29418</v>
      </c>
      <c r="E14249" s="51"/>
      <c r="F14249" s="114" t="str">
        <f>IF(INDEX(I.Facility.P2bIDNumber,4237)="","",INDEX(I.Facility.P2bIDNumber,4237))</f>
        <v/>
      </c>
      <c r="G14249" s="51"/>
      <c r="H14249" s="46" t="str">
        <f>IF(AND(I.Developer.P2b=TRUE,I.Facility.P2bFacilityCount&gt;=4237,F14249=""),"Incomplete","Complete")</f>
        <v>Complete</v>
      </c>
      <c r="I14249" s="48" t="s">
        <v>18614</v>
      </c>
    </row>
    <row r="14250" spans="2:9" ht="15" customHeight="1" x14ac:dyDescent="0.25">
      <c r="B14250" s="55" t="s">
        <v>281</v>
      </c>
      <c r="C14250" s="46">
        <v>4238</v>
      </c>
      <c r="D14250" s="69" t="s">
        <v>29418</v>
      </c>
      <c r="E14250" s="51"/>
      <c r="F14250" s="114" t="str">
        <f>IF(INDEX(I.Facility.P2bIDNumber,4238)="","",INDEX(I.Facility.P2bIDNumber,4238))</f>
        <v/>
      </c>
      <c r="G14250" s="51"/>
      <c r="H14250" s="46" t="str">
        <f>IF(AND(I.Developer.P2b=TRUE,I.Facility.P2bFacilityCount&gt;=4238,F14250=""),"Incomplete","Complete")</f>
        <v>Complete</v>
      </c>
      <c r="I14250" s="48" t="s">
        <v>18615</v>
      </c>
    </row>
    <row r="14251" spans="2:9" ht="15" customHeight="1" x14ac:dyDescent="0.25">
      <c r="B14251" s="55" t="s">
        <v>281</v>
      </c>
      <c r="C14251" s="46">
        <v>4239</v>
      </c>
      <c r="D14251" s="69" t="s">
        <v>29418</v>
      </c>
      <c r="E14251" s="51"/>
      <c r="F14251" s="114" t="str">
        <f>IF(INDEX(I.Facility.P2bIDNumber,4239)="","",INDEX(I.Facility.P2bIDNumber,4239))</f>
        <v/>
      </c>
      <c r="G14251" s="51"/>
      <c r="H14251" s="46" t="str">
        <f>IF(AND(I.Developer.P2b=TRUE,I.Facility.P2bFacilityCount&gt;=4239,F14251=""),"Incomplete","Complete")</f>
        <v>Complete</v>
      </c>
      <c r="I14251" s="48" t="s">
        <v>18616</v>
      </c>
    </row>
    <row r="14252" spans="2:9" ht="15" customHeight="1" x14ac:dyDescent="0.25">
      <c r="B14252" s="55" t="s">
        <v>281</v>
      </c>
      <c r="C14252" s="46">
        <v>4240</v>
      </c>
      <c r="D14252" s="69" t="s">
        <v>29418</v>
      </c>
      <c r="E14252" s="51"/>
      <c r="F14252" s="114" t="str">
        <f>IF(INDEX(I.Facility.P2bIDNumber,4240)="","",INDEX(I.Facility.P2bIDNumber,4240))</f>
        <v/>
      </c>
      <c r="G14252" s="51"/>
      <c r="H14252" s="46" t="str">
        <f>IF(AND(I.Developer.P2b=TRUE,I.Facility.P2bFacilityCount&gt;=4240,F14252=""),"Incomplete","Complete")</f>
        <v>Complete</v>
      </c>
      <c r="I14252" s="48" t="s">
        <v>18617</v>
      </c>
    </row>
    <row r="14253" spans="2:9" ht="15" customHeight="1" x14ac:dyDescent="0.25">
      <c r="B14253" s="55" t="s">
        <v>281</v>
      </c>
      <c r="C14253" s="46">
        <v>4241</v>
      </c>
      <c r="D14253" s="69" t="s">
        <v>29418</v>
      </c>
      <c r="E14253" s="51"/>
      <c r="F14253" s="114" t="str">
        <f>IF(INDEX(I.Facility.P2bIDNumber,4241)="","",INDEX(I.Facility.P2bIDNumber,4241))</f>
        <v/>
      </c>
      <c r="G14253" s="51"/>
      <c r="H14253" s="46" t="str">
        <f>IF(AND(I.Developer.P2b=TRUE,I.Facility.P2bFacilityCount&gt;=4241,F14253=""),"Incomplete","Complete")</f>
        <v>Complete</v>
      </c>
      <c r="I14253" s="48" t="s">
        <v>18618</v>
      </c>
    </row>
    <row r="14254" spans="2:9" ht="15" customHeight="1" x14ac:dyDescent="0.25">
      <c r="B14254" s="55" t="s">
        <v>281</v>
      </c>
      <c r="C14254" s="46">
        <v>4242</v>
      </c>
      <c r="D14254" s="69" t="s">
        <v>29418</v>
      </c>
      <c r="E14254" s="51"/>
      <c r="F14254" s="114" t="str">
        <f>IF(INDEX(I.Facility.P2bIDNumber,4242)="","",INDEX(I.Facility.P2bIDNumber,4242))</f>
        <v/>
      </c>
      <c r="G14254" s="51"/>
      <c r="H14254" s="46" t="str">
        <f>IF(AND(I.Developer.P2b=TRUE,I.Facility.P2bFacilityCount&gt;=4242,F14254=""),"Incomplete","Complete")</f>
        <v>Complete</v>
      </c>
      <c r="I14254" s="48" t="s">
        <v>18619</v>
      </c>
    </row>
    <row r="14255" spans="2:9" ht="15" customHeight="1" x14ac:dyDescent="0.25">
      <c r="B14255" s="55" t="s">
        <v>281</v>
      </c>
      <c r="C14255" s="46">
        <v>4243</v>
      </c>
      <c r="D14255" s="69" t="s">
        <v>29418</v>
      </c>
      <c r="E14255" s="51"/>
      <c r="F14255" s="114" t="str">
        <f>IF(INDEX(I.Facility.P2bIDNumber,4243)="","",INDEX(I.Facility.P2bIDNumber,4243))</f>
        <v/>
      </c>
      <c r="G14255" s="51"/>
      <c r="H14255" s="46" t="str">
        <f>IF(AND(I.Developer.P2b=TRUE,I.Facility.P2bFacilityCount&gt;=4243,F14255=""),"Incomplete","Complete")</f>
        <v>Complete</v>
      </c>
      <c r="I14255" s="48" t="s">
        <v>18620</v>
      </c>
    </row>
    <row r="14256" spans="2:9" ht="15" customHeight="1" x14ac:dyDescent="0.25">
      <c r="B14256" s="55" t="s">
        <v>281</v>
      </c>
      <c r="C14256" s="46">
        <v>4244</v>
      </c>
      <c r="D14256" s="69" t="s">
        <v>29418</v>
      </c>
      <c r="E14256" s="51"/>
      <c r="F14256" s="114" t="str">
        <f>IF(INDEX(I.Facility.P2bIDNumber,4244)="","",INDEX(I.Facility.P2bIDNumber,4244))</f>
        <v/>
      </c>
      <c r="G14256" s="51"/>
      <c r="H14256" s="46" t="str">
        <f>IF(AND(I.Developer.P2b=TRUE,I.Facility.P2bFacilityCount&gt;=4244,F14256=""),"Incomplete","Complete")</f>
        <v>Complete</v>
      </c>
      <c r="I14256" s="48" t="s">
        <v>18621</v>
      </c>
    </row>
    <row r="14257" spans="2:9" ht="15" customHeight="1" x14ac:dyDescent="0.25">
      <c r="B14257" s="55" t="s">
        <v>281</v>
      </c>
      <c r="C14257" s="46">
        <v>4245</v>
      </c>
      <c r="D14257" s="69" t="s">
        <v>29418</v>
      </c>
      <c r="E14257" s="51"/>
      <c r="F14257" s="114" t="str">
        <f>IF(INDEX(I.Facility.P2bIDNumber,4245)="","",INDEX(I.Facility.P2bIDNumber,4245))</f>
        <v/>
      </c>
      <c r="G14257" s="51"/>
      <c r="H14257" s="46" t="str">
        <f>IF(AND(I.Developer.P2b=TRUE,I.Facility.P2bFacilityCount&gt;=4245,F14257=""),"Incomplete","Complete")</f>
        <v>Complete</v>
      </c>
      <c r="I14257" s="48" t="s">
        <v>18622</v>
      </c>
    </row>
    <row r="14258" spans="2:9" ht="15" customHeight="1" x14ac:dyDescent="0.25">
      <c r="B14258" s="55" t="s">
        <v>281</v>
      </c>
      <c r="C14258" s="46">
        <v>4246</v>
      </c>
      <c r="D14258" s="69" t="s">
        <v>29418</v>
      </c>
      <c r="E14258" s="51"/>
      <c r="F14258" s="114" t="str">
        <f>IF(INDEX(I.Facility.P2bIDNumber,4246)="","",INDEX(I.Facility.P2bIDNumber,4246))</f>
        <v/>
      </c>
      <c r="G14258" s="51"/>
      <c r="H14258" s="46" t="str">
        <f>IF(AND(I.Developer.P2b=TRUE,I.Facility.P2bFacilityCount&gt;=4246,F14258=""),"Incomplete","Complete")</f>
        <v>Complete</v>
      </c>
      <c r="I14258" s="48" t="s">
        <v>18623</v>
      </c>
    </row>
    <row r="14259" spans="2:9" ht="15" customHeight="1" x14ac:dyDescent="0.25">
      <c r="B14259" s="55" t="s">
        <v>281</v>
      </c>
      <c r="C14259" s="46">
        <v>4247</v>
      </c>
      <c r="D14259" s="69" t="s">
        <v>29418</v>
      </c>
      <c r="E14259" s="51"/>
      <c r="F14259" s="114" t="str">
        <f>IF(INDEX(I.Facility.P2bIDNumber,4247)="","",INDEX(I.Facility.P2bIDNumber,4247))</f>
        <v/>
      </c>
      <c r="G14259" s="51"/>
      <c r="H14259" s="46" t="str">
        <f>IF(AND(I.Developer.P2b=TRUE,I.Facility.P2bFacilityCount&gt;=4247,F14259=""),"Incomplete","Complete")</f>
        <v>Complete</v>
      </c>
      <c r="I14259" s="48" t="s">
        <v>18624</v>
      </c>
    </row>
    <row r="14260" spans="2:9" ht="15" customHeight="1" x14ac:dyDescent="0.25">
      <c r="B14260" s="55" t="s">
        <v>281</v>
      </c>
      <c r="C14260" s="46">
        <v>4248</v>
      </c>
      <c r="D14260" s="69" t="s">
        <v>29418</v>
      </c>
      <c r="E14260" s="51"/>
      <c r="F14260" s="114" t="str">
        <f>IF(INDEX(I.Facility.P2bIDNumber,4248)="","",INDEX(I.Facility.P2bIDNumber,4248))</f>
        <v/>
      </c>
      <c r="G14260" s="51"/>
      <c r="H14260" s="46" t="str">
        <f>IF(AND(I.Developer.P2b=TRUE,I.Facility.P2bFacilityCount&gt;=4248,F14260=""),"Incomplete","Complete")</f>
        <v>Complete</v>
      </c>
      <c r="I14260" s="48" t="s">
        <v>18625</v>
      </c>
    </row>
    <row r="14261" spans="2:9" ht="15" customHeight="1" x14ac:dyDescent="0.25">
      <c r="B14261" s="55" t="s">
        <v>281</v>
      </c>
      <c r="C14261" s="46">
        <v>4249</v>
      </c>
      <c r="D14261" s="69" t="s">
        <v>29418</v>
      </c>
      <c r="E14261" s="51"/>
      <c r="F14261" s="114" t="str">
        <f>IF(INDEX(I.Facility.P2bIDNumber,4249)="","",INDEX(I.Facility.P2bIDNumber,4249))</f>
        <v/>
      </c>
      <c r="G14261" s="51"/>
      <c r="H14261" s="46" t="str">
        <f>IF(AND(I.Developer.P2b=TRUE,I.Facility.P2bFacilityCount&gt;=4249,F14261=""),"Incomplete","Complete")</f>
        <v>Complete</v>
      </c>
      <c r="I14261" s="48" t="s">
        <v>18626</v>
      </c>
    </row>
    <row r="14262" spans="2:9" ht="15" customHeight="1" x14ac:dyDescent="0.25">
      <c r="B14262" s="55" t="s">
        <v>281</v>
      </c>
      <c r="C14262" s="46">
        <v>4250</v>
      </c>
      <c r="D14262" s="69" t="s">
        <v>29418</v>
      </c>
      <c r="E14262" s="51"/>
      <c r="F14262" s="114" t="str">
        <f>IF(INDEX(I.Facility.P2bIDNumber,4250)="","",INDEX(I.Facility.P2bIDNumber,4250))</f>
        <v/>
      </c>
      <c r="G14262" s="51"/>
      <c r="H14262" s="46" t="str">
        <f>IF(AND(I.Developer.P2b=TRUE,I.Facility.P2bFacilityCount&gt;=4250,F14262=""),"Incomplete","Complete")</f>
        <v>Complete</v>
      </c>
      <c r="I14262" s="48" t="s">
        <v>18627</v>
      </c>
    </row>
    <row r="14263" spans="2:9" ht="15" customHeight="1" x14ac:dyDescent="0.25">
      <c r="B14263" s="55" t="s">
        <v>281</v>
      </c>
      <c r="C14263" s="46">
        <v>4251</v>
      </c>
      <c r="D14263" s="69" t="s">
        <v>29418</v>
      </c>
      <c r="E14263" s="51"/>
      <c r="F14263" s="114" t="str">
        <f>IF(INDEX(I.Facility.P2bIDNumber,4251)="","",INDEX(I.Facility.P2bIDNumber,4251))</f>
        <v/>
      </c>
      <c r="G14263" s="51"/>
      <c r="H14263" s="46" t="str">
        <f>IF(AND(I.Developer.P2b=TRUE,I.Facility.P2bFacilityCount&gt;=4251,F14263=""),"Incomplete","Complete")</f>
        <v>Complete</v>
      </c>
      <c r="I14263" s="48" t="s">
        <v>18628</v>
      </c>
    </row>
    <row r="14264" spans="2:9" ht="15" customHeight="1" x14ac:dyDescent="0.25">
      <c r="B14264" s="55" t="s">
        <v>281</v>
      </c>
      <c r="C14264" s="46">
        <v>4252</v>
      </c>
      <c r="D14264" s="69" t="s">
        <v>29418</v>
      </c>
      <c r="E14264" s="51"/>
      <c r="F14264" s="114" t="str">
        <f>IF(INDEX(I.Facility.P2bIDNumber,4252)="","",INDEX(I.Facility.P2bIDNumber,4252))</f>
        <v/>
      </c>
      <c r="G14264" s="51"/>
      <c r="H14264" s="46" t="str">
        <f>IF(AND(I.Developer.P2b=TRUE,I.Facility.P2bFacilityCount&gt;=4252,F14264=""),"Incomplete","Complete")</f>
        <v>Complete</v>
      </c>
      <c r="I14264" s="48" t="s">
        <v>18629</v>
      </c>
    </row>
    <row r="14265" spans="2:9" ht="15" customHeight="1" x14ac:dyDescent="0.25">
      <c r="B14265" s="55" t="s">
        <v>281</v>
      </c>
      <c r="C14265" s="46">
        <v>4253</v>
      </c>
      <c r="D14265" s="69" t="s">
        <v>29418</v>
      </c>
      <c r="E14265" s="51"/>
      <c r="F14265" s="114" t="str">
        <f>IF(INDEX(I.Facility.P2bIDNumber,4253)="","",INDEX(I.Facility.P2bIDNumber,4253))</f>
        <v/>
      </c>
      <c r="G14265" s="51"/>
      <c r="H14265" s="46" t="str">
        <f>IF(AND(I.Developer.P2b=TRUE,I.Facility.P2bFacilityCount&gt;=4253,F14265=""),"Incomplete","Complete")</f>
        <v>Complete</v>
      </c>
      <c r="I14265" s="48" t="s">
        <v>18630</v>
      </c>
    </row>
    <row r="14266" spans="2:9" ht="15" customHeight="1" x14ac:dyDescent="0.25">
      <c r="B14266" s="55" t="s">
        <v>281</v>
      </c>
      <c r="C14266" s="46">
        <v>4254</v>
      </c>
      <c r="D14266" s="69" t="s">
        <v>29418</v>
      </c>
      <c r="E14266" s="51"/>
      <c r="F14266" s="114" t="str">
        <f>IF(INDEX(I.Facility.P2bIDNumber,4254)="","",INDEX(I.Facility.P2bIDNumber,4254))</f>
        <v/>
      </c>
      <c r="G14266" s="51"/>
      <c r="H14266" s="46" t="str">
        <f>IF(AND(I.Developer.P2b=TRUE,I.Facility.P2bFacilityCount&gt;=4254,F14266=""),"Incomplete","Complete")</f>
        <v>Complete</v>
      </c>
      <c r="I14266" s="48" t="s">
        <v>18631</v>
      </c>
    </row>
    <row r="14267" spans="2:9" ht="15" customHeight="1" x14ac:dyDescent="0.25">
      <c r="B14267" s="55" t="s">
        <v>281</v>
      </c>
      <c r="C14267" s="46">
        <v>4255</v>
      </c>
      <c r="D14267" s="69" t="s">
        <v>29418</v>
      </c>
      <c r="E14267" s="51"/>
      <c r="F14267" s="114" t="str">
        <f>IF(INDEX(I.Facility.P2bIDNumber,4255)="","",INDEX(I.Facility.P2bIDNumber,4255))</f>
        <v/>
      </c>
      <c r="G14267" s="51"/>
      <c r="H14267" s="46" t="str">
        <f>IF(AND(I.Developer.P2b=TRUE,I.Facility.P2bFacilityCount&gt;=4255,F14267=""),"Incomplete","Complete")</f>
        <v>Complete</v>
      </c>
      <c r="I14267" s="48" t="s">
        <v>18632</v>
      </c>
    </row>
    <row r="14268" spans="2:9" ht="15" customHeight="1" x14ac:dyDescent="0.25">
      <c r="B14268" s="55" t="s">
        <v>281</v>
      </c>
      <c r="C14268" s="46">
        <v>4256</v>
      </c>
      <c r="D14268" s="69" t="s">
        <v>29418</v>
      </c>
      <c r="E14268" s="51"/>
      <c r="F14268" s="114" t="str">
        <f>IF(INDEX(I.Facility.P2bIDNumber,4256)="","",INDEX(I.Facility.P2bIDNumber,4256))</f>
        <v/>
      </c>
      <c r="G14268" s="51"/>
      <c r="H14268" s="46" t="str">
        <f>IF(AND(I.Developer.P2b=TRUE,I.Facility.P2bFacilityCount&gt;=4256,F14268=""),"Incomplete","Complete")</f>
        <v>Complete</v>
      </c>
      <c r="I14268" s="48" t="s">
        <v>18633</v>
      </c>
    </row>
    <row r="14269" spans="2:9" ht="15" customHeight="1" x14ac:dyDescent="0.25">
      <c r="B14269" s="55" t="s">
        <v>281</v>
      </c>
      <c r="C14269" s="46">
        <v>4257</v>
      </c>
      <c r="D14269" s="69" t="s">
        <v>29418</v>
      </c>
      <c r="E14269" s="51"/>
      <c r="F14269" s="114" t="str">
        <f>IF(INDEX(I.Facility.P2bIDNumber,4257)="","",INDEX(I.Facility.P2bIDNumber,4257))</f>
        <v/>
      </c>
      <c r="G14269" s="51"/>
      <c r="H14269" s="46" t="str">
        <f>IF(AND(I.Developer.P2b=TRUE,I.Facility.P2bFacilityCount&gt;=4257,F14269=""),"Incomplete","Complete")</f>
        <v>Complete</v>
      </c>
      <c r="I14269" s="48" t="s">
        <v>18634</v>
      </c>
    </row>
    <row r="14270" spans="2:9" ht="15" customHeight="1" x14ac:dyDescent="0.25">
      <c r="B14270" s="55" t="s">
        <v>281</v>
      </c>
      <c r="C14270" s="46">
        <v>4258</v>
      </c>
      <c r="D14270" s="69" t="s">
        <v>29418</v>
      </c>
      <c r="E14270" s="51"/>
      <c r="F14270" s="114" t="str">
        <f>IF(INDEX(I.Facility.P2bIDNumber,4258)="","",INDEX(I.Facility.P2bIDNumber,4258))</f>
        <v/>
      </c>
      <c r="G14270" s="51"/>
      <c r="H14270" s="46" t="str">
        <f>IF(AND(I.Developer.P2b=TRUE,I.Facility.P2bFacilityCount&gt;=4258,F14270=""),"Incomplete","Complete")</f>
        <v>Complete</v>
      </c>
      <c r="I14270" s="48" t="s">
        <v>18635</v>
      </c>
    </row>
    <row r="14271" spans="2:9" ht="15" customHeight="1" x14ac:dyDescent="0.25">
      <c r="B14271" s="55" t="s">
        <v>281</v>
      </c>
      <c r="C14271" s="46">
        <v>4259</v>
      </c>
      <c r="D14271" s="69" t="s">
        <v>29418</v>
      </c>
      <c r="E14271" s="51"/>
      <c r="F14271" s="114" t="str">
        <f>IF(INDEX(I.Facility.P2bIDNumber,4259)="","",INDEX(I.Facility.P2bIDNumber,4259))</f>
        <v/>
      </c>
      <c r="G14271" s="51"/>
      <c r="H14271" s="46" t="str">
        <f>IF(AND(I.Developer.P2b=TRUE,I.Facility.P2bFacilityCount&gt;=4259,F14271=""),"Incomplete","Complete")</f>
        <v>Complete</v>
      </c>
      <c r="I14271" s="48" t="s">
        <v>18636</v>
      </c>
    </row>
    <row r="14272" spans="2:9" ht="15" customHeight="1" x14ac:dyDescent="0.25">
      <c r="B14272" s="55" t="s">
        <v>281</v>
      </c>
      <c r="C14272" s="46">
        <v>4260</v>
      </c>
      <c r="D14272" s="69" t="s">
        <v>29418</v>
      </c>
      <c r="E14272" s="51"/>
      <c r="F14272" s="114" t="str">
        <f>IF(INDEX(I.Facility.P2bIDNumber,4260)="","",INDEX(I.Facility.P2bIDNumber,4260))</f>
        <v/>
      </c>
      <c r="G14272" s="51"/>
      <c r="H14272" s="46" t="str">
        <f>IF(AND(I.Developer.P2b=TRUE,I.Facility.P2bFacilityCount&gt;=4260,F14272=""),"Incomplete","Complete")</f>
        <v>Complete</v>
      </c>
      <c r="I14272" s="48" t="s">
        <v>18637</v>
      </c>
    </row>
    <row r="14273" spans="2:9" ht="15" customHeight="1" x14ac:dyDescent="0.25">
      <c r="B14273" s="55" t="s">
        <v>281</v>
      </c>
      <c r="C14273" s="46">
        <v>4261</v>
      </c>
      <c r="D14273" s="69" t="s">
        <v>29418</v>
      </c>
      <c r="E14273" s="51"/>
      <c r="F14273" s="114" t="str">
        <f>IF(INDEX(I.Facility.P2bIDNumber,4261)="","",INDEX(I.Facility.P2bIDNumber,4261))</f>
        <v/>
      </c>
      <c r="G14273" s="51"/>
      <c r="H14273" s="46" t="str">
        <f>IF(AND(I.Developer.P2b=TRUE,I.Facility.P2bFacilityCount&gt;=4261,F14273=""),"Incomplete","Complete")</f>
        <v>Complete</v>
      </c>
      <c r="I14273" s="48" t="s">
        <v>18638</v>
      </c>
    </row>
    <row r="14274" spans="2:9" ht="15" customHeight="1" x14ac:dyDescent="0.25">
      <c r="B14274" s="55" t="s">
        <v>281</v>
      </c>
      <c r="C14274" s="46">
        <v>4262</v>
      </c>
      <c r="D14274" s="69" t="s">
        <v>29418</v>
      </c>
      <c r="E14274" s="51"/>
      <c r="F14274" s="114" t="str">
        <f>IF(INDEX(I.Facility.P2bIDNumber,4262)="","",INDEX(I.Facility.P2bIDNumber,4262))</f>
        <v/>
      </c>
      <c r="G14274" s="51"/>
      <c r="H14274" s="46" t="str">
        <f>IF(AND(I.Developer.P2b=TRUE,I.Facility.P2bFacilityCount&gt;=4262,F14274=""),"Incomplete","Complete")</f>
        <v>Complete</v>
      </c>
      <c r="I14274" s="48" t="s">
        <v>18639</v>
      </c>
    </row>
    <row r="14275" spans="2:9" ht="15" customHeight="1" x14ac:dyDescent="0.25">
      <c r="B14275" s="55" t="s">
        <v>281</v>
      </c>
      <c r="C14275" s="46">
        <v>4263</v>
      </c>
      <c r="D14275" s="69" t="s">
        <v>29418</v>
      </c>
      <c r="E14275" s="51"/>
      <c r="F14275" s="114" t="str">
        <f>IF(INDEX(I.Facility.P2bIDNumber,4263)="","",INDEX(I.Facility.P2bIDNumber,4263))</f>
        <v/>
      </c>
      <c r="G14275" s="51"/>
      <c r="H14275" s="46" t="str">
        <f>IF(AND(I.Developer.P2b=TRUE,I.Facility.P2bFacilityCount&gt;=4263,F14275=""),"Incomplete","Complete")</f>
        <v>Complete</v>
      </c>
      <c r="I14275" s="48" t="s">
        <v>18640</v>
      </c>
    </row>
    <row r="14276" spans="2:9" ht="15" customHeight="1" x14ac:dyDescent="0.25">
      <c r="B14276" s="55" t="s">
        <v>281</v>
      </c>
      <c r="C14276" s="46">
        <v>4264</v>
      </c>
      <c r="D14276" s="69" t="s">
        <v>29418</v>
      </c>
      <c r="E14276" s="51"/>
      <c r="F14276" s="114" t="str">
        <f>IF(INDEX(I.Facility.P2bIDNumber,4264)="","",INDEX(I.Facility.P2bIDNumber,4264))</f>
        <v/>
      </c>
      <c r="G14276" s="51"/>
      <c r="H14276" s="46" t="str">
        <f>IF(AND(I.Developer.P2b=TRUE,I.Facility.P2bFacilityCount&gt;=4264,F14276=""),"Incomplete","Complete")</f>
        <v>Complete</v>
      </c>
      <c r="I14276" s="48" t="s">
        <v>18641</v>
      </c>
    </row>
    <row r="14277" spans="2:9" ht="15" customHeight="1" x14ac:dyDescent="0.25">
      <c r="B14277" s="55" t="s">
        <v>281</v>
      </c>
      <c r="C14277" s="46">
        <v>4265</v>
      </c>
      <c r="D14277" s="69" t="s">
        <v>29418</v>
      </c>
      <c r="E14277" s="51"/>
      <c r="F14277" s="114" t="str">
        <f>IF(INDEX(I.Facility.P2bIDNumber,4265)="","",INDEX(I.Facility.P2bIDNumber,4265))</f>
        <v/>
      </c>
      <c r="G14277" s="51"/>
      <c r="H14277" s="46" t="str">
        <f>IF(AND(I.Developer.P2b=TRUE,I.Facility.P2bFacilityCount&gt;=4265,F14277=""),"Incomplete","Complete")</f>
        <v>Complete</v>
      </c>
      <c r="I14277" s="48" t="s">
        <v>18642</v>
      </c>
    </row>
    <row r="14278" spans="2:9" ht="15" customHeight="1" x14ac:dyDescent="0.25">
      <c r="B14278" s="55" t="s">
        <v>281</v>
      </c>
      <c r="C14278" s="46">
        <v>4266</v>
      </c>
      <c r="D14278" s="69" t="s">
        <v>29418</v>
      </c>
      <c r="E14278" s="51"/>
      <c r="F14278" s="114" t="str">
        <f>IF(INDEX(I.Facility.P2bIDNumber,4266)="","",INDEX(I.Facility.P2bIDNumber,4266))</f>
        <v/>
      </c>
      <c r="G14278" s="51"/>
      <c r="H14278" s="46" t="str">
        <f>IF(AND(I.Developer.P2b=TRUE,I.Facility.P2bFacilityCount&gt;=4266,F14278=""),"Incomplete","Complete")</f>
        <v>Complete</v>
      </c>
      <c r="I14278" s="48" t="s">
        <v>18643</v>
      </c>
    </row>
    <row r="14279" spans="2:9" ht="15" customHeight="1" x14ac:dyDescent="0.25">
      <c r="B14279" s="55" t="s">
        <v>281</v>
      </c>
      <c r="C14279" s="46">
        <v>4267</v>
      </c>
      <c r="D14279" s="69" t="s">
        <v>29418</v>
      </c>
      <c r="E14279" s="51"/>
      <c r="F14279" s="114" t="str">
        <f>IF(INDEX(I.Facility.P2bIDNumber,4267)="","",INDEX(I.Facility.P2bIDNumber,4267))</f>
        <v/>
      </c>
      <c r="G14279" s="51"/>
      <c r="H14279" s="46" t="str">
        <f>IF(AND(I.Developer.P2b=TRUE,I.Facility.P2bFacilityCount&gt;=4267,F14279=""),"Incomplete","Complete")</f>
        <v>Complete</v>
      </c>
      <c r="I14279" s="48" t="s">
        <v>18644</v>
      </c>
    </row>
    <row r="14280" spans="2:9" ht="15" customHeight="1" x14ac:dyDescent="0.25">
      <c r="B14280" s="55" t="s">
        <v>281</v>
      </c>
      <c r="C14280" s="46">
        <v>4268</v>
      </c>
      <c r="D14280" s="69" t="s">
        <v>29418</v>
      </c>
      <c r="E14280" s="51"/>
      <c r="F14280" s="114" t="str">
        <f>IF(INDEX(I.Facility.P2bIDNumber,4268)="","",INDEX(I.Facility.P2bIDNumber,4268))</f>
        <v/>
      </c>
      <c r="G14280" s="51"/>
      <c r="H14280" s="46" t="str">
        <f>IF(AND(I.Developer.P2b=TRUE,I.Facility.P2bFacilityCount&gt;=4268,F14280=""),"Incomplete","Complete")</f>
        <v>Complete</v>
      </c>
      <c r="I14280" s="48" t="s">
        <v>18645</v>
      </c>
    </row>
    <row r="14281" spans="2:9" ht="15" customHeight="1" x14ac:dyDescent="0.25">
      <c r="B14281" s="55" t="s">
        <v>281</v>
      </c>
      <c r="C14281" s="46">
        <v>4269</v>
      </c>
      <c r="D14281" s="69" t="s">
        <v>29418</v>
      </c>
      <c r="E14281" s="51"/>
      <c r="F14281" s="114" t="str">
        <f>IF(INDEX(I.Facility.P2bIDNumber,4269)="","",INDEX(I.Facility.P2bIDNumber,4269))</f>
        <v/>
      </c>
      <c r="G14281" s="51"/>
      <c r="H14281" s="46" t="str">
        <f>IF(AND(I.Developer.P2b=TRUE,I.Facility.P2bFacilityCount&gt;=4269,F14281=""),"Incomplete","Complete")</f>
        <v>Complete</v>
      </c>
      <c r="I14281" s="48" t="s">
        <v>18646</v>
      </c>
    </row>
    <row r="14282" spans="2:9" ht="15" customHeight="1" x14ac:dyDescent="0.25">
      <c r="B14282" s="55" t="s">
        <v>281</v>
      </c>
      <c r="C14282" s="46">
        <v>4270</v>
      </c>
      <c r="D14282" s="69" t="s">
        <v>29418</v>
      </c>
      <c r="E14282" s="51"/>
      <c r="F14282" s="114" t="str">
        <f>IF(INDEX(I.Facility.P2bIDNumber,4270)="","",INDEX(I.Facility.P2bIDNumber,4270))</f>
        <v/>
      </c>
      <c r="G14282" s="51"/>
      <c r="H14282" s="46" t="str">
        <f>IF(AND(I.Developer.P2b=TRUE,I.Facility.P2bFacilityCount&gt;=4270,F14282=""),"Incomplete","Complete")</f>
        <v>Complete</v>
      </c>
      <c r="I14282" s="48" t="s">
        <v>18647</v>
      </c>
    </row>
    <row r="14283" spans="2:9" ht="15" customHeight="1" x14ac:dyDescent="0.25">
      <c r="B14283" s="55" t="s">
        <v>281</v>
      </c>
      <c r="C14283" s="46">
        <v>4271</v>
      </c>
      <c r="D14283" s="69" t="s">
        <v>29418</v>
      </c>
      <c r="E14283" s="51"/>
      <c r="F14283" s="114" t="str">
        <f>IF(INDEX(I.Facility.P2bIDNumber,4271)="","",INDEX(I.Facility.P2bIDNumber,4271))</f>
        <v/>
      </c>
      <c r="G14283" s="51"/>
      <c r="H14283" s="46" t="str">
        <f>IF(AND(I.Developer.P2b=TRUE,I.Facility.P2bFacilityCount&gt;=4271,F14283=""),"Incomplete","Complete")</f>
        <v>Complete</v>
      </c>
      <c r="I14283" s="48" t="s">
        <v>18648</v>
      </c>
    </row>
    <row r="14284" spans="2:9" ht="15" customHeight="1" x14ac:dyDescent="0.25">
      <c r="B14284" s="55" t="s">
        <v>281</v>
      </c>
      <c r="C14284" s="46">
        <v>4272</v>
      </c>
      <c r="D14284" s="69" t="s">
        <v>29418</v>
      </c>
      <c r="E14284" s="51"/>
      <c r="F14284" s="114" t="str">
        <f>IF(INDEX(I.Facility.P2bIDNumber,4272)="","",INDEX(I.Facility.P2bIDNumber,4272))</f>
        <v/>
      </c>
      <c r="G14284" s="51"/>
      <c r="H14284" s="46" t="str">
        <f>IF(AND(I.Developer.P2b=TRUE,I.Facility.P2bFacilityCount&gt;=4272,F14284=""),"Incomplete","Complete")</f>
        <v>Complete</v>
      </c>
      <c r="I14284" s="48" t="s">
        <v>18649</v>
      </c>
    </row>
    <row r="14285" spans="2:9" ht="15" customHeight="1" x14ac:dyDescent="0.25">
      <c r="B14285" s="55" t="s">
        <v>281</v>
      </c>
      <c r="C14285" s="46">
        <v>4273</v>
      </c>
      <c r="D14285" s="69" t="s">
        <v>29418</v>
      </c>
      <c r="E14285" s="51"/>
      <c r="F14285" s="114" t="str">
        <f>IF(INDEX(I.Facility.P2bIDNumber,4273)="","",INDEX(I.Facility.P2bIDNumber,4273))</f>
        <v/>
      </c>
      <c r="G14285" s="51"/>
      <c r="H14285" s="46" t="str">
        <f>IF(AND(I.Developer.P2b=TRUE,I.Facility.P2bFacilityCount&gt;=4273,F14285=""),"Incomplete","Complete")</f>
        <v>Complete</v>
      </c>
      <c r="I14285" s="48" t="s">
        <v>18650</v>
      </c>
    </row>
    <row r="14286" spans="2:9" ht="15" customHeight="1" x14ac:dyDescent="0.25">
      <c r="B14286" s="55" t="s">
        <v>281</v>
      </c>
      <c r="C14286" s="46">
        <v>4274</v>
      </c>
      <c r="D14286" s="69" t="s">
        <v>29418</v>
      </c>
      <c r="E14286" s="51"/>
      <c r="F14286" s="114" t="str">
        <f>IF(INDEX(I.Facility.P2bIDNumber,4274)="","",INDEX(I.Facility.P2bIDNumber,4274))</f>
        <v/>
      </c>
      <c r="G14286" s="51"/>
      <c r="H14286" s="46" t="str">
        <f>IF(AND(I.Developer.P2b=TRUE,I.Facility.P2bFacilityCount&gt;=4274,F14286=""),"Incomplete","Complete")</f>
        <v>Complete</v>
      </c>
      <c r="I14286" s="48" t="s">
        <v>18651</v>
      </c>
    </row>
    <row r="14287" spans="2:9" ht="15" customHeight="1" x14ac:dyDescent="0.25">
      <c r="B14287" s="55" t="s">
        <v>281</v>
      </c>
      <c r="C14287" s="46">
        <v>4275</v>
      </c>
      <c r="D14287" s="69" t="s">
        <v>29418</v>
      </c>
      <c r="E14287" s="51"/>
      <c r="F14287" s="114" t="str">
        <f>IF(INDEX(I.Facility.P2bIDNumber,4275)="","",INDEX(I.Facility.P2bIDNumber,4275))</f>
        <v/>
      </c>
      <c r="G14287" s="51"/>
      <c r="H14287" s="46" t="str">
        <f>IF(AND(I.Developer.P2b=TRUE,I.Facility.P2bFacilityCount&gt;=4275,F14287=""),"Incomplete","Complete")</f>
        <v>Complete</v>
      </c>
      <c r="I14287" s="48" t="s">
        <v>18652</v>
      </c>
    </row>
    <row r="14288" spans="2:9" ht="15" customHeight="1" x14ac:dyDescent="0.25">
      <c r="B14288" s="55" t="s">
        <v>281</v>
      </c>
      <c r="C14288" s="46">
        <v>4276</v>
      </c>
      <c r="D14288" s="69" t="s">
        <v>29418</v>
      </c>
      <c r="E14288" s="51"/>
      <c r="F14288" s="114" t="str">
        <f>IF(INDEX(I.Facility.P2bIDNumber,4276)="","",INDEX(I.Facility.P2bIDNumber,4276))</f>
        <v/>
      </c>
      <c r="G14288" s="51"/>
      <c r="H14288" s="46" t="str">
        <f>IF(AND(I.Developer.P2b=TRUE,I.Facility.P2bFacilityCount&gt;=4276,F14288=""),"Incomplete","Complete")</f>
        <v>Complete</v>
      </c>
      <c r="I14288" s="48" t="s">
        <v>18653</v>
      </c>
    </row>
    <row r="14289" spans="2:9" ht="15" customHeight="1" x14ac:dyDescent="0.25">
      <c r="B14289" s="55" t="s">
        <v>281</v>
      </c>
      <c r="C14289" s="46">
        <v>4277</v>
      </c>
      <c r="D14289" s="69" t="s">
        <v>29418</v>
      </c>
      <c r="E14289" s="51"/>
      <c r="F14289" s="114" t="str">
        <f>IF(INDEX(I.Facility.P2bIDNumber,4277)="","",INDEX(I.Facility.P2bIDNumber,4277))</f>
        <v/>
      </c>
      <c r="G14289" s="51"/>
      <c r="H14289" s="46" t="str">
        <f>IF(AND(I.Developer.P2b=TRUE,I.Facility.P2bFacilityCount&gt;=4277,F14289=""),"Incomplete","Complete")</f>
        <v>Complete</v>
      </c>
      <c r="I14289" s="48" t="s">
        <v>18654</v>
      </c>
    </row>
    <row r="14290" spans="2:9" ht="15" customHeight="1" x14ac:dyDescent="0.25">
      <c r="B14290" s="55" t="s">
        <v>281</v>
      </c>
      <c r="C14290" s="46">
        <v>4278</v>
      </c>
      <c r="D14290" s="69" t="s">
        <v>29418</v>
      </c>
      <c r="E14290" s="51"/>
      <c r="F14290" s="114" t="str">
        <f>IF(INDEX(I.Facility.P2bIDNumber,4278)="","",INDEX(I.Facility.P2bIDNumber,4278))</f>
        <v/>
      </c>
      <c r="G14290" s="51"/>
      <c r="H14290" s="46" t="str">
        <f>IF(AND(I.Developer.P2b=TRUE,I.Facility.P2bFacilityCount&gt;=4278,F14290=""),"Incomplete","Complete")</f>
        <v>Complete</v>
      </c>
      <c r="I14290" s="48" t="s">
        <v>18655</v>
      </c>
    </row>
    <row r="14291" spans="2:9" ht="15" customHeight="1" x14ac:dyDescent="0.25">
      <c r="B14291" s="55" t="s">
        <v>281</v>
      </c>
      <c r="C14291" s="46">
        <v>4279</v>
      </c>
      <c r="D14291" s="69" t="s">
        <v>29418</v>
      </c>
      <c r="E14291" s="51"/>
      <c r="F14291" s="114" t="str">
        <f>IF(INDEX(I.Facility.P2bIDNumber,4279)="","",INDEX(I.Facility.P2bIDNumber,4279))</f>
        <v/>
      </c>
      <c r="G14291" s="51"/>
      <c r="H14291" s="46" t="str">
        <f>IF(AND(I.Developer.P2b=TRUE,I.Facility.P2bFacilityCount&gt;=4279,F14291=""),"Incomplete","Complete")</f>
        <v>Complete</v>
      </c>
      <c r="I14291" s="48" t="s">
        <v>18656</v>
      </c>
    </row>
    <row r="14292" spans="2:9" ht="15" customHeight="1" x14ac:dyDescent="0.25">
      <c r="B14292" s="55" t="s">
        <v>281</v>
      </c>
      <c r="C14292" s="46">
        <v>4280</v>
      </c>
      <c r="D14292" s="69" t="s">
        <v>29418</v>
      </c>
      <c r="E14292" s="51"/>
      <c r="F14292" s="114" t="str">
        <f>IF(INDEX(I.Facility.P2bIDNumber,4280)="","",INDEX(I.Facility.P2bIDNumber,4280))</f>
        <v/>
      </c>
      <c r="G14292" s="51"/>
      <c r="H14292" s="46" t="str">
        <f>IF(AND(I.Developer.P2b=TRUE,I.Facility.P2bFacilityCount&gt;=4280,F14292=""),"Incomplete","Complete")</f>
        <v>Complete</v>
      </c>
      <c r="I14292" s="48" t="s">
        <v>18657</v>
      </c>
    </row>
    <row r="14293" spans="2:9" ht="15" customHeight="1" x14ac:dyDescent="0.25">
      <c r="B14293" s="55" t="s">
        <v>281</v>
      </c>
      <c r="C14293" s="46">
        <v>4281</v>
      </c>
      <c r="D14293" s="69" t="s">
        <v>29418</v>
      </c>
      <c r="E14293" s="51"/>
      <c r="F14293" s="114" t="str">
        <f>IF(INDEX(I.Facility.P2bIDNumber,4281)="","",INDEX(I.Facility.P2bIDNumber,4281))</f>
        <v/>
      </c>
      <c r="G14293" s="51"/>
      <c r="H14293" s="46" t="str">
        <f>IF(AND(I.Developer.P2b=TRUE,I.Facility.P2bFacilityCount&gt;=4281,F14293=""),"Incomplete","Complete")</f>
        <v>Complete</v>
      </c>
      <c r="I14293" s="48" t="s">
        <v>18658</v>
      </c>
    </row>
    <row r="14294" spans="2:9" ht="15" customHeight="1" x14ac:dyDescent="0.25">
      <c r="B14294" s="55" t="s">
        <v>281</v>
      </c>
      <c r="C14294" s="46">
        <v>4282</v>
      </c>
      <c r="D14294" s="69" t="s">
        <v>29418</v>
      </c>
      <c r="E14294" s="51"/>
      <c r="F14294" s="114" t="str">
        <f>IF(INDEX(I.Facility.P2bIDNumber,4282)="","",INDEX(I.Facility.P2bIDNumber,4282))</f>
        <v/>
      </c>
      <c r="G14294" s="51"/>
      <c r="H14294" s="46" t="str">
        <f>IF(AND(I.Developer.P2b=TRUE,I.Facility.P2bFacilityCount&gt;=4282,F14294=""),"Incomplete","Complete")</f>
        <v>Complete</v>
      </c>
      <c r="I14294" s="48" t="s">
        <v>18659</v>
      </c>
    </row>
    <row r="14295" spans="2:9" ht="15" customHeight="1" x14ac:dyDescent="0.25">
      <c r="B14295" s="55" t="s">
        <v>281</v>
      </c>
      <c r="C14295" s="46">
        <v>4283</v>
      </c>
      <c r="D14295" s="69" t="s">
        <v>29418</v>
      </c>
      <c r="E14295" s="51"/>
      <c r="F14295" s="114" t="str">
        <f>IF(INDEX(I.Facility.P2bIDNumber,4283)="","",INDEX(I.Facility.P2bIDNumber,4283))</f>
        <v/>
      </c>
      <c r="G14295" s="51"/>
      <c r="H14295" s="46" t="str">
        <f>IF(AND(I.Developer.P2b=TRUE,I.Facility.P2bFacilityCount&gt;=4283,F14295=""),"Incomplete","Complete")</f>
        <v>Complete</v>
      </c>
      <c r="I14295" s="48" t="s">
        <v>18660</v>
      </c>
    </row>
    <row r="14296" spans="2:9" ht="15" customHeight="1" x14ac:dyDescent="0.25">
      <c r="B14296" s="55" t="s">
        <v>281</v>
      </c>
      <c r="C14296" s="46">
        <v>4284</v>
      </c>
      <c r="D14296" s="69" t="s">
        <v>29418</v>
      </c>
      <c r="E14296" s="51"/>
      <c r="F14296" s="114" t="str">
        <f>IF(INDEX(I.Facility.P2bIDNumber,4284)="","",INDEX(I.Facility.P2bIDNumber,4284))</f>
        <v/>
      </c>
      <c r="G14296" s="51"/>
      <c r="H14296" s="46" t="str">
        <f>IF(AND(I.Developer.P2b=TRUE,I.Facility.P2bFacilityCount&gt;=4284,F14296=""),"Incomplete","Complete")</f>
        <v>Complete</v>
      </c>
      <c r="I14296" s="48" t="s">
        <v>18661</v>
      </c>
    </row>
    <row r="14297" spans="2:9" ht="15" customHeight="1" x14ac:dyDescent="0.25">
      <c r="B14297" s="55" t="s">
        <v>281</v>
      </c>
      <c r="C14297" s="46">
        <v>4285</v>
      </c>
      <c r="D14297" s="69" t="s">
        <v>29418</v>
      </c>
      <c r="E14297" s="51"/>
      <c r="F14297" s="114" t="str">
        <f>IF(INDEX(I.Facility.P2bIDNumber,4285)="","",INDEX(I.Facility.P2bIDNumber,4285))</f>
        <v/>
      </c>
      <c r="G14297" s="51"/>
      <c r="H14297" s="46" t="str">
        <f>IF(AND(I.Developer.P2b=TRUE,I.Facility.P2bFacilityCount&gt;=4285,F14297=""),"Incomplete","Complete")</f>
        <v>Complete</v>
      </c>
      <c r="I14297" s="48" t="s">
        <v>18662</v>
      </c>
    </row>
    <row r="14298" spans="2:9" ht="15" customHeight="1" x14ac:dyDescent="0.25">
      <c r="B14298" s="55" t="s">
        <v>281</v>
      </c>
      <c r="C14298" s="46">
        <v>4286</v>
      </c>
      <c r="D14298" s="69" t="s">
        <v>29418</v>
      </c>
      <c r="E14298" s="51"/>
      <c r="F14298" s="114" t="str">
        <f>IF(INDEX(I.Facility.P2bIDNumber,4286)="","",INDEX(I.Facility.P2bIDNumber,4286))</f>
        <v/>
      </c>
      <c r="G14298" s="51"/>
      <c r="H14298" s="46" t="str">
        <f>IF(AND(I.Developer.P2b=TRUE,I.Facility.P2bFacilityCount&gt;=4286,F14298=""),"Incomplete","Complete")</f>
        <v>Complete</v>
      </c>
      <c r="I14298" s="48" t="s">
        <v>18663</v>
      </c>
    </row>
    <row r="14299" spans="2:9" ht="15" customHeight="1" x14ac:dyDescent="0.25">
      <c r="B14299" s="55" t="s">
        <v>281</v>
      </c>
      <c r="C14299" s="46">
        <v>4287</v>
      </c>
      <c r="D14299" s="69" t="s">
        <v>29418</v>
      </c>
      <c r="E14299" s="51"/>
      <c r="F14299" s="114" t="str">
        <f>IF(INDEX(I.Facility.P2bIDNumber,4287)="","",INDEX(I.Facility.P2bIDNumber,4287))</f>
        <v/>
      </c>
      <c r="G14299" s="51"/>
      <c r="H14299" s="46" t="str">
        <f>IF(AND(I.Developer.P2b=TRUE,I.Facility.P2bFacilityCount&gt;=4287,F14299=""),"Incomplete","Complete")</f>
        <v>Complete</v>
      </c>
      <c r="I14299" s="48" t="s">
        <v>18664</v>
      </c>
    </row>
    <row r="14300" spans="2:9" ht="15" customHeight="1" x14ac:dyDescent="0.25">
      <c r="B14300" s="55" t="s">
        <v>281</v>
      </c>
      <c r="C14300" s="46">
        <v>4288</v>
      </c>
      <c r="D14300" s="69" t="s">
        <v>29418</v>
      </c>
      <c r="E14300" s="51"/>
      <c r="F14300" s="114" t="str">
        <f>IF(INDEX(I.Facility.P2bIDNumber,4288)="","",INDEX(I.Facility.P2bIDNumber,4288))</f>
        <v/>
      </c>
      <c r="G14300" s="51"/>
      <c r="H14300" s="46" t="str">
        <f>IF(AND(I.Developer.P2b=TRUE,I.Facility.P2bFacilityCount&gt;=4288,F14300=""),"Incomplete","Complete")</f>
        <v>Complete</v>
      </c>
      <c r="I14300" s="48" t="s">
        <v>18665</v>
      </c>
    </row>
    <row r="14301" spans="2:9" ht="15" customHeight="1" x14ac:dyDescent="0.25">
      <c r="B14301" s="55" t="s">
        <v>281</v>
      </c>
      <c r="C14301" s="46">
        <v>4289</v>
      </c>
      <c r="D14301" s="69" t="s">
        <v>29418</v>
      </c>
      <c r="E14301" s="51"/>
      <c r="F14301" s="114" t="str">
        <f>IF(INDEX(I.Facility.P2bIDNumber,4289)="","",INDEX(I.Facility.P2bIDNumber,4289))</f>
        <v/>
      </c>
      <c r="G14301" s="51"/>
      <c r="H14301" s="46" t="str">
        <f>IF(AND(I.Developer.P2b=TRUE,I.Facility.P2bFacilityCount&gt;=4289,F14301=""),"Incomplete","Complete")</f>
        <v>Complete</v>
      </c>
      <c r="I14301" s="48" t="s">
        <v>18666</v>
      </c>
    </row>
    <row r="14302" spans="2:9" ht="15" customHeight="1" x14ac:dyDescent="0.25">
      <c r="B14302" s="55" t="s">
        <v>281</v>
      </c>
      <c r="C14302" s="46">
        <v>4290</v>
      </c>
      <c r="D14302" s="69" t="s">
        <v>29418</v>
      </c>
      <c r="E14302" s="51"/>
      <c r="F14302" s="114" t="str">
        <f>IF(INDEX(I.Facility.P2bIDNumber,4290)="","",INDEX(I.Facility.P2bIDNumber,4290))</f>
        <v/>
      </c>
      <c r="G14302" s="51"/>
      <c r="H14302" s="46" t="str">
        <f>IF(AND(I.Developer.P2b=TRUE,I.Facility.P2bFacilityCount&gt;=4290,F14302=""),"Incomplete","Complete")</f>
        <v>Complete</v>
      </c>
      <c r="I14302" s="48" t="s">
        <v>18667</v>
      </c>
    </row>
    <row r="14303" spans="2:9" ht="15" customHeight="1" x14ac:dyDescent="0.25">
      <c r="B14303" s="55" t="s">
        <v>281</v>
      </c>
      <c r="C14303" s="46">
        <v>4291</v>
      </c>
      <c r="D14303" s="69" t="s">
        <v>29418</v>
      </c>
      <c r="E14303" s="51"/>
      <c r="F14303" s="114" t="str">
        <f>IF(INDEX(I.Facility.P2bIDNumber,4291)="","",INDEX(I.Facility.P2bIDNumber,4291))</f>
        <v/>
      </c>
      <c r="G14303" s="51"/>
      <c r="H14303" s="46" t="str">
        <f>IF(AND(I.Developer.P2b=TRUE,I.Facility.P2bFacilityCount&gt;=4291,F14303=""),"Incomplete","Complete")</f>
        <v>Complete</v>
      </c>
      <c r="I14303" s="48" t="s">
        <v>18668</v>
      </c>
    </row>
    <row r="14304" spans="2:9" ht="15" customHeight="1" x14ac:dyDescent="0.25">
      <c r="B14304" s="55" t="s">
        <v>281</v>
      </c>
      <c r="C14304" s="46">
        <v>4292</v>
      </c>
      <c r="D14304" s="69" t="s">
        <v>29418</v>
      </c>
      <c r="E14304" s="51"/>
      <c r="F14304" s="114" t="str">
        <f>IF(INDEX(I.Facility.P2bIDNumber,4292)="","",INDEX(I.Facility.P2bIDNumber,4292))</f>
        <v/>
      </c>
      <c r="G14304" s="51"/>
      <c r="H14304" s="46" t="str">
        <f>IF(AND(I.Developer.P2b=TRUE,I.Facility.P2bFacilityCount&gt;=4292,F14304=""),"Incomplete","Complete")</f>
        <v>Complete</v>
      </c>
      <c r="I14304" s="48" t="s">
        <v>18669</v>
      </c>
    </row>
    <row r="14305" spans="2:9" ht="15" customHeight="1" x14ac:dyDescent="0.25">
      <c r="B14305" s="55" t="s">
        <v>281</v>
      </c>
      <c r="C14305" s="46">
        <v>4293</v>
      </c>
      <c r="D14305" s="69" t="s">
        <v>29418</v>
      </c>
      <c r="E14305" s="51"/>
      <c r="F14305" s="114" t="str">
        <f>IF(INDEX(I.Facility.P2bIDNumber,4293)="","",INDEX(I.Facility.P2bIDNumber,4293))</f>
        <v/>
      </c>
      <c r="G14305" s="51"/>
      <c r="H14305" s="46" t="str">
        <f>IF(AND(I.Developer.P2b=TRUE,I.Facility.P2bFacilityCount&gt;=4293,F14305=""),"Incomplete","Complete")</f>
        <v>Complete</v>
      </c>
      <c r="I14305" s="48" t="s">
        <v>18670</v>
      </c>
    </row>
    <row r="14306" spans="2:9" ht="15" customHeight="1" x14ac:dyDescent="0.25">
      <c r="B14306" s="55" t="s">
        <v>281</v>
      </c>
      <c r="C14306" s="46">
        <v>4294</v>
      </c>
      <c r="D14306" s="69" t="s">
        <v>29418</v>
      </c>
      <c r="E14306" s="51"/>
      <c r="F14306" s="114" t="str">
        <f>IF(INDEX(I.Facility.P2bIDNumber,4294)="","",INDEX(I.Facility.P2bIDNumber,4294))</f>
        <v/>
      </c>
      <c r="G14306" s="51"/>
      <c r="H14306" s="46" t="str">
        <f>IF(AND(I.Developer.P2b=TRUE,I.Facility.P2bFacilityCount&gt;=4294,F14306=""),"Incomplete","Complete")</f>
        <v>Complete</v>
      </c>
      <c r="I14306" s="48" t="s">
        <v>18671</v>
      </c>
    </row>
    <row r="14307" spans="2:9" ht="15" customHeight="1" x14ac:dyDescent="0.25">
      <c r="B14307" s="55" t="s">
        <v>281</v>
      </c>
      <c r="C14307" s="46">
        <v>4295</v>
      </c>
      <c r="D14307" s="69" t="s">
        <v>29418</v>
      </c>
      <c r="E14307" s="51"/>
      <c r="F14307" s="114" t="str">
        <f>IF(INDEX(I.Facility.P2bIDNumber,4295)="","",INDEX(I.Facility.P2bIDNumber,4295))</f>
        <v/>
      </c>
      <c r="G14307" s="51"/>
      <c r="H14307" s="46" t="str">
        <f>IF(AND(I.Developer.P2b=TRUE,I.Facility.P2bFacilityCount&gt;=4295,F14307=""),"Incomplete","Complete")</f>
        <v>Complete</v>
      </c>
      <c r="I14307" s="48" t="s">
        <v>18672</v>
      </c>
    </row>
    <row r="14308" spans="2:9" ht="15" customHeight="1" x14ac:dyDescent="0.25">
      <c r="B14308" s="55" t="s">
        <v>281</v>
      </c>
      <c r="C14308" s="46">
        <v>4296</v>
      </c>
      <c r="D14308" s="69" t="s">
        <v>29418</v>
      </c>
      <c r="E14308" s="51"/>
      <c r="F14308" s="114" t="str">
        <f>IF(INDEX(I.Facility.P2bIDNumber,4296)="","",INDEX(I.Facility.P2bIDNumber,4296))</f>
        <v/>
      </c>
      <c r="G14308" s="51"/>
      <c r="H14308" s="46" t="str">
        <f>IF(AND(I.Developer.P2b=TRUE,I.Facility.P2bFacilityCount&gt;=4296,F14308=""),"Incomplete","Complete")</f>
        <v>Complete</v>
      </c>
      <c r="I14308" s="48" t="s">
        <v>18673</v>
      </c>
    </row>
    <row r="14309" spans="2:9" ht="15" customHeight="1" x14ac:dyDescent="0.25">
      <c r="B14309" s="55" t="s">
        <v>281</v>
      </c>
      <c r="C14309" s="46">
        <v>4297</v>
      </c>
      <c r="D14309" s="69" t="s">
        <v>29418</v>
      </c>
      <c r="E14309" s="51"/>
      <c r="F14309" s="114" t="str">
        <f>IF(INDEX(I.Facility.P2bIDNumber,4297)="","",INDEX(I.Facility.P2bIDNumber,4297))</f>
        <v/>
      </c>
      <c r="G14309" s="51"/>
      <c r="H14309" s="46" t="str">
        <f>IF(AND(I.Developer.P2b=TRUE,I.Facility.P2bFacilityCount&gt;=4297,F14309=""),"Incomplete","Complete")</f>
        <v>Complete</v>
      </c>
      <c r="I14309" s="48" t="s">
        <v>18674</v>
      </c>
    </row>
    <row r="14310" spans="2:9" ht="15" customHeight="1" x14ac:dyDescent="0.25">
      <c r="B14310" s="55" t="s">
        <v>281</v>
      </c>
      <c r="C14310" s="46">
        <v>4298</v>
      </c>
      <c r="D14310" s="69" t="s">
        <v>29418</v>
      </c>
      <c r="E14310" s="51"/>
      <c r="F14310" s="114" t="str">
        <f>IF(INDEX(I.Facility.P2bIDNumber,4298)="","",INDEX(I.Facility.P2bIDNumber,4298))</f>
        <v/>
      </c>
      <c r="G14310" s="51"/>
      <c r="H14310" s="46" t="str">
        <f>IF(AND(I.Developer.P2b=TRUE,I.Facility.P2bFacilityCount&gt;=4298,F14310=""),"Incomplete","Complete")</f>
        <v>Complete</v>
      </c>
      <c r="I14310" s="48" t="s">
        <v>18675</v>
      </c>
    </row>
    <row r="14311" spans="2:9" ht="15" customHeight="1" x14ac:dyDescent="0.25">
      <c r="B14311" s="55" t="s">
        <v>281</v>
      </c>
      <c r="C14311" s="46">
        <v>4299</v>
      </c>
      <c r="D14311" s="69" t="s">
        <v>29418</v>
      </c>
      <c r="E14311" s="51"/>
      <c r="F14311" s="114" t="str">
        <f>IF(INDEX(I.Facility.P2bIDNumber,4299)="","",INDEX(I.Facility.P2bIDNumber,4299))</f>
        <v/>
      </c>
      <c r="G14311" s="51"/>
      <c r="H14311" s="46" t="str">
        <f>IF(AND(I.Developer.P2b=TRUE,I.Facility.P2bFacilityCount&gt;=4299,F14311=""),"Incomplete","Complete")</f>
        <v>Complete</v>
      </c>
      <c r="I14311" s="48" t="s">
        <v>18676</v>
      </c>
    </row>
    <row r="14312" spans="2:9" ht="15" customHeight="1" x14ac:dyDescent="0.25">
      <c r="B14312" s="55" t="s">
        <v>281</v>
      </c>
      <c r="C14312" s="46">
        <v>4300</v>
      </c>
      <c r="D14312" s="69" t="s">
        <v>29418</v>
      </c>
      <c r="E14312" s="51"/>
      <c r="F14312" s="114" t="str">
        <f>IF(INDEX(I.Facility.P2bIDNumber,4300)="","",INDEX(I.Facility.P2bIDNumber,4300))</f>
        <v/>
      </c>
      <c r="G14312" s="51"/>
      <c r="H14312" s="46" t="str">
        <f>IF(AND(I.Developer.P2b=TRUE,I.Facility.P2bFacilityCount&gt;=4300,F14312=""),"Incomplete","Complete")</f>
        <v>Complete</v>
      </c>
      <c r="I14312" s="48" t="s">
        <v>18677</v>
      </c>
    </row>
    <row r="14313" spans="2:9" ht="15" customHeight="1" x14ac:dyDescent="0.25">
      <c r="B14313" s="55" t="s">
        <v>281</v>
      </c>
      <c r="C14313" s="46">
        <v>4301</v>
      </c>
      <c r="D14313" s="69" t="s">
        <v>29418</v>
      </c>
      <c r="E14313" s="51"/>
      <c r="F14313" s="114" t="str">
        <f>IF(INDEX(I.Facility.P2bIDNumber,4301)="","",INDEX(I.Facility.P2bIDNumber,4301))</f>
        <v/>
      </c>
      <c r="G14313" s="51"/>
      <c r="H14313" s="46" t="str">
        <f>IF(AND(I.Developer.P2b=TRUE,I.Facility.P2bFacilityCount&gt;=4301,F14313=""),"Incomplete","Complete")</f>
        <v>Complete</v>
      </c>
      <c r="I14313" s="48" t="s">
        <v>18678</v>
      </c>
    </row>
    <row r="14314" spans="2:9" ht="15" customHeight="1" x14ac:dyDescent="0.25">
      <c r="B14314" s="55" t="s">
        <v>281</v>
      </c>
      <c r="C14314" s="46">
        <v>4302</v>
      </c>
      <c r="D14314" s="69" t="s">
        <v>29418</v>
      </c>
      <c r="E14314" s="51"/>
      <c r="F14314" s="114" t="str">
        <f>IF(INDEX(I.Facility.P2bIDNumber,4302)="","",INDEX(I.Facility.P2bIDNumber,4302))</f>
        <v/>
      </c>
      <c r="G14314" s="51"/>
      <c r="H14314" s="46" t="str">
        <f>IF(AND(I.Developer.P2b=TRUE,I.Facility.P2bFacilityCount&gt;=4302,F14314=""),"Incomplete","Complete")</f>
        <v>Complete</v>
      </c>
      <c r="I14314" s="48" t="s">
        <v>18679</v>
      </c>
    </row>
    <row r="14315" spans="2:9" ht="15" customHeight="1" x14ac:dyDescent="0.25">
      <c r="B14315" s="55" t="s">
        <v>281</v>
      </c>
      <c r="C14315" s="46">
        <v>4303</v>
      </c>
      <c r="D14315" s="69" t="s">
        <v>29418</v>
      </c>
      <c r="E14315" s="51"/>
      <c r="F14315" s="114" t="str">
        <f>IF(INDEX(I.Facility.P2bIDNumber,4303)="","",INDEX(I.Facility.P2bIDNumber,4303))</f>
        <v/>
      </c>
      <c r="G14315" s="51"/>
      <c r="H14315" s="46" t="str">
        <f>IF(AND(I.Developer.P2b=TRUE,I.Facility.P2bFacilityCount&gt;=4303,F14315=""),"Incomplete","Complete")</f>
        <v>Complete</v>
      </c>
      <c r="I14315" s="48" t="s">
        <v>18680</v>
      </c>
    </row>
    <row r="14316" spans="2:9" ht="15" customHeight="1" x14ac:dyDescent="0.25">
      <c r="B14316" s="55" t="s">
        <v>281</v>
      </c>
      <c r="C14316" s="46">
        <v>4304</v>
      </c>
      <c r="D14316" s="69" t="s">
        <v>29418</v>
      </c>
      <c r="E14316" s="51"/>
      <c r="F14316" s="114" t="str">
        <f>IF(INDEX(I.Facility.P2bIDNumber,4304)="","",INDEX(I.Facility.P2bIDNumber,4304))</f>
        <v/>
      </c>
      <c r="G14316" s="51"/>
      <c r="H14316" s="46" t="str">
        <f>IF(AND(I.Developer.P2b=TRUE,I.Facility.P2bFacilityCount&gt;=4304,F14316=""),"Incomplete","Complete")</f>
        <v>Complete</v>
      </c>
      <c r="I14316" s="48" t="s">
        <v>18681</v>
      </c>
    </row>
    <row r="14317" spans="2:9" ht="15" customHeight="1" x14ac:dyDescent="0.25">
      <c r="B14317" s="55" t="s">
        <v>281</v>
      </c>
      <c r="C14317" s="46">
        <v>4305</v>
      </c>
      <c r="D14317" s="69" t="s">
        <v>29418</v>
      </c>
      <c r="E14317" s="51"/>
      <c r="F14317" s="114" t="str">
        <f>IF(INDEX(I.Facility.P2bIDNumber,4305)="","",INDEX(I.Facility.P2bIDNumber,4305))</f>
        <v/>
      </c>
      <c r="G14317" s="51"/>
      <c r="H14317" s="46" t="str">
        <f>IF(AND(I.Developer.P2b=TRUE,I.Facility.P2bFacilityCount&gt;=4305,F14317=""),"Incomplete","Complete")</f>
        <v>Complete</v>
      </c>
      <c r="I14317" s="48" t="s">
        <v>18682</v>
      </c>
    </row>
    <row r="14318" spans="2:9" ht="15" customHeight="1" x14ac:dyDescent="0.25">
      <c r="B14318" s="55" t="s">
        <v>281</v>
      </c>
      <c r="C14318" s="46">
        <v>4306</v>
      </c>
      <c r="D14318" s="69" t="s">
        <v>29418</v>
      </c>
      <c r="E14318" s="51"/>
      <c r="F14318" s="114" t="str">
        <f>IF(INDEX(I.Facility.P2bIDNumber,4306)="","",INDEX(I.Facility.P2bIDNumber,4306))</f>
        <v/>
      </c>
      <c r="G14318" s="51"/>
      <c r="H14318" s="46" t="str">
        <f>IF(AND(I.Developer.P2b=TRUE,I.Facility.P2bFacilityCount&gt;=4306,F14318=""),"Incomplete","Complete")</f>
        <v>Complete</v>
      </c>
      <c r="I14318" s="48" t="s">
        <v>18683</v>
      </c>
    </row>
    <row r="14319" spans="2:9" ht="15" customHeight="1" x14ac:dyDescent="0.25">
      <c r="B14319" s="55" t="s">
        <v>281</v>
      </c>
      <c r="C14319" s="46">
        <v>4307</v>
      </c>
      <c r="D14319" s="69" t="s">
        <v>29418</v>
      </c>
      <c r="E14319" s="51"/>
      <c r="F14319" s="114" t="str">
        <f>IF(INDEX(I.Facility.P2bIDNumber,4307)="","",INDEX(I.Facility.P2bIDNumber,4307))</f>
        <v/>
      </c>
      <c r="G14319" s="51"/>
      <c r="H14319" s="46" t="str">
        <f>IF(AND(I.Developer.P2b=TRUE,I.Facility.P2bFacilityCount&gt;=4307,F14319=""),"Incomplete","Complete")</f>
        <v>Complete</v>
      </c>
      <c r="I14319" s="48" t="s">
        <v>18684</v>
      </c>
    </row>
    <row r="14320" spans="2:9" ht="15" customHeight="1" x14ac:dyDescent="0.25">
      <c r="B14320" s="55" t="s">
        <v>281</v>
      </c>
      <c r="C14320" s="46">
        <v>4308</v>
      </c>
      <c r="D14320" s="69" t="s">
        <v>29418</v>
      </c>
      <c r="E14320" s="51"/>
      <c r="F14320" s="114" t="str">
        <f>IF(INDEX(I.Facility.P2bIDNumber,4308)="","",INDEX(I.Facility.P2bIDNumber,4308))</f>
        <v/>
      </c>
      <c r="G14320" s="51"/>
      <c r="H14320" s="46" t="str">
        <f>IF(AND(I.Developer.P2b=TRUE,I.Facility.P2bFacilityCount&gt;=4308,F14320=""),"Incomplete","Complete")</f>
        <v>Complete</v>
      </c>
      <c r="I14320" s="48" t="s">
        <v>18685</v>
      </c>
    </row>
    <row r="14321" spans="2:9" ht="15" customHeight="1" x14ac:dyDescent="0.25">
      <c r="B14321" s="55" t="s">
        <v>281</v>
      </c>
      <c r="C14321" s="46">
        <v>4309</v>
      </c>
      <c r="D14321" s="69" t="s">
        <v>29418</v>
      </c>
      <c r="E14321" s="51"/>
      <c r="F14321" s="114" t="str">
        <f>IF(INDEX(I.Facility.P2bIDNumber,4309)="","",INDEX(I.Facility.P2bIDNumber,4309))</f>
        <v/>
      </c>
      <c r="G14321" s="51"/>
      <c r="H14321" s="46" t="str">
        <f>IF(AND(I.Developer.P2b=TRUE,I.Facility.P2bFacilityCount&gt;=4309,F14321=""),"Incomplete","Complete")</f>
        <v>Complete</v>
      </c>
      <c r="I14321" s="48" t="s">
        <v>18686</v>
      </c>
    </row>
    <row r="14322" spans="2:9" ht="15" customHeight="1" x14ac:dyDescent="0.25">
      <c r="B14322" s="55" t="s">
        <v>281</v>
      </c>
      <c r="C14322" s="46">
        <v>4310</v>
      </c>
      <c r="D14322" s="69" t="s">
        <v>29418</v>
      </c>
      <c r="E14322" s="51"/>
      <c r="F14322" s="114" t="str">
        <f>IF(INDEX(I.Facility.P2bIDNumber,4310)="","",INDEX(I.Facility.P2bIDNumber,4310))</f>
        <v/>
      </c>
      <c r="G14322" s="51"/>
      <c r="H14322" s="46" t="str">
        <f>IF(AND(I.Developer.P2b=TRUE,I.Facility.P2bFacilityCount&gt;=4310,F14322=""),"Incomplete","Complete")</f>
        <v>Complete</v>
      </c>
      <c r="I14322" s="48" t="s">
        <v>18687</v>
      </c>
    </row>
    <row r="14323" spans="2:9" ht="15" customHeight="1" x14ac:dyDescent="0.25">
      <c r="B14323" s="55" t="s">
        <v>281</v>
      </c>
      <c r="C14323" s="46">
        <v>4311</v>
      </c>
      <c r="D14323" s="69" t="s">
        <v>29418</v>
      </c>
      <c r="E14323" s="51"/>
      <c r="F14323" s="114" t="str">
        <f>IF(INDEX(I.Facility.P2bIDNumber,4311)="","",INDEX(I.Facility.P2bIDNumber,4311))</f>
        <v/>
      </c>
      <c r="G14323" s="51"/>
      <c r="H14323" s="46" t="str">
        <f>IF(AND(I.Developer.P2b=TRUE,I.Facility.P2bFacilityCount&gt;=4311,F14323=""),"Incomplete","Complete")</f>
        <v>Complete</v>
      </c>
      <c r="I14323" s="48" t="s">
        <v>18688</v>
      </c>
    </row>
    <row r="14324" spans="2:9" ht="15" customHeight="1" x14ac:dyDescent="0.25">
      <c r="B14324" s="55" t="s">
        <v>281</v>
      </c>
      <c r="C14324" s="46">
        <v>4312</v>
      </c>
      <c r="D14324" s="69" t="s">
        <v>29418</v>
      </c>
      <c r="E14324" s="51"/>
      <c r="F14324" s="114" t="str">
        <f>IF(INDEX(I.Facility.P2bIDNumber,4312)="","",INDEX(I.Facility.P2bIDNumber,4312))</f>
        <v/>
      </c>
      <c r="G14324" s="51"/>
      <c r="H14324" s="46" t="str">
        <f>IF(AND(I.Developer.P2b=TRUE,I.Facility.P2bFacilityCount&gt;=4312,F14324=""),"Incomplete","Complete")</f>
        <v>Complete</v>
      </c>
      <c r="I14324" s="48" t="s">
        <v>18689</v>
      </c>
    </row>
    <row r="14325" spans="2:9" ht="15" customHeight="1" x14ac:dyDescent="0.25">
      <c r="B14325" s="55" t="s">
        <v>281</v>
      </c>
      <c r="C14325" s="46">
        <v>4313</v>
      </c>
      <c r="D14325" s="69" t="s">
        <v>29418</v>
      </c>
      <c r="E14325" s="51"/>
      <c r="F14325" s="114" t="str">
        <f>IF(INDEX(I.Facility.P2bIDNumber,4313)="","",INDEX(I.Facility.P2bIDNumber,4313))</f>
        <v/>
      </c>
      <c r="G14325" s="51"/>
      <c r="H14325" s="46" t="str">
        <f>IF(AND(I.Developer.P2b=TRUE,I.Facility.P2bFacilityCount&gt;=4313,F14325=""),"Incomplete","Complete")</f>
        <v>Complete</v>
      </c>
      <c r="I14325" s="48" t="s">
        <v>18690</v>
      </c>
    </row>
    <row r="14326" spans="2:9" ht="15" customHeight="1" x14ac:dyDescent="0.25">
      <c r="B14326" s="55" t="s">
        <v>281</v>
      </c>
      <c r="C14326" s="46">
        <v>4314</v>
      </c>
      <c r="D14326" s="69" t="s">
        <v>29418</v>
      </c>
      <c r="E14326" s="51"/>
      <c r="F14326" s="114" t="str">
        <f>IF(INDEX(I.Facility.P2bIDNumber,4314)="","",INDEX(I.Facility.P2bIDNumber,4314))</f>
        <v/>
      </c>
      <c r="G14326" s="51"/>
      <c r="H14326" s="46" t="str">
        <f>IF(AND(I.Developer.P2b=TRUE,I.Facility.P2bFacilityCount&gt;=4314,F14326=""),"Incomplete","Complete")</f>
        <v>Complete</v>
      </c>
      <c r="I14326" s="48" t="s">
        <v>18691</v>
      </c>
    </row>
    <row r="14327" spans="2:9" ht="15" customHeight="1" x14ac:dyDescent="0.25">
      <c r="B14327" s="55" t="s">
        <v>281</v>
      </c>
      <c r="C14327" s="46">
        <v>4315</v>
      </c>
      <c r="D14327" s="69" t="s">
        <v>29418</v>
      </c>
      <c r="E14327" s="51"/>
      <c r="F14327" s="114" t="str">
        <f>IF(INDEX(I.Facility.P2bIDNumber,4315)="","",INDEX(I.Facility.P2bIDNumber,4315))</f>
        <v/>
      </c>
      <c r="G14327" s="51"/>
      <c r="H14327" s="46" t="str">
        <f>IF(AND(I.Developer.P2b=TRUE,I.Facility.P2bFacilityCount&gt;=4315,F14327=""),"Incomplete","Complete")</f>
        <v>Complete</v>
      </c>
      <c r="I14327" s="48" t="s">
        <v>18692</v>
      </c>
    </row>
    <row r="14328" spans="2:9" ht="15" customHeight="1" x14ac:dyDescent="0.25">
      <c r="B14328" s="55" t="s">
        <v>281</v>
      </c>
      <c r="C14328" s="46">
        <v>4316</v>
      </c>
      <c r="D14328" s="69" t="s">
        <v>29418</v>
      </c>
      <c r="E14328" s="51"/>
      <c r="F14328" s="114" t="str">
        <f>IF(INDEX(I.Facility.P2bIDNumber,4316)="","",INDEX(I.Facility.P2bIDNumber,4316))</f>
        <v/>
      </c>
      <c r="G14328" s="51"/>
      <c r="H14328" s="46" t="str">
        <f>IF(AND(I.Developer.P2b=TRUE,I.Facility.P2bFacilityCount&gt;=4316,F14328=""),"Incomplete","Complete")</f>
        <v>Complete</v>
      </c>
      <c r="I14328" s="48" t="s">
        <v>18693</v>
      </c>
    </row>
    <row r="14329" spans="2:9" ht="15" customHeight="1" x14ac:dyDescent="0.25">
      <c r="B14329" s="55" t="s">
        <v>281</v>
      </c>
      <c r="C14329" s="46">
        <v>4317</v>
      </c>
      <c r="D14329" s="69" t="s">
        <v>29418</v>
      </c>
      <c r="E14329" s="51"/>
      <c r="F14329" s="114" t="str">
        <f>IF(INDEX(I.Facility.P2bIDNumber,4317)="","",INDEX(I.Facility.P2bIDNumber,4317))</f>
        <v/>
      </c>
      <c r="G14329" s="51"/>
      <c r="H14329" s="46" t="str">
        <f>IF(AND(I.Developer.P2b=TRUE,I.Facility.P2bFacilityCount&gt;=4317,F14329=""),"Incomplete","Complete")</f>
        <v>Complete</v>
      </c>
      <c r="I14329" s="48" t="s">
        <v>18694</v>
      </c>
    </row>
    <row r="14330" spans="2:9" ht="15" customHeight="1" x14ac:dyDescent="0.25">
      <c r="B14330" s="55" t="s">
        <v>281</v>
      </c>
      <c r="C14330" s="46">
        <v>4318</v>
      </c>
      <c r="D14330" s="69" t="s">
        <v>29418</v>
      </c>
      <c r="E14330" s="51"/>
      <c r="F14330" s="114" t="str">
        <f>IF(INDEX(I.Facility.P2bIDNumber,4318)="","",INDEX(I.Facility.P2bIDNumber,4318))</f>
        <v/>
      </c>
      <c r="G14330" s="51"/>
      <c r="H14330" s="46" t="str">
        <f>IF(AND(I.Developer.P2b=TRUE,I.Facility.P2bFacilityCount&gt;=4318,F14330=""),"Incomplete","Complete")</f>
        <v>Complete</v>
      </c>
      <c r="I14330" s="48" t="s">
        <v>18695</v>
      </c>
    </row>
    <row r="14331" spans="2:9" ht="15" customHeight="1" x14ac:dyDescent="0.25">
      <c r="B14331" s="55" t="s">
        <v>281</v>
      </c>
      <c r="C14331" s="46">
        <v>4319</v>
      </c>
      <c r="D14331" s="69" t="s">
        <v>29418</v>
      </c>
      <c r="E14331" s="51"/>
      <c r="F14331" s="114" t="str">
        <f>IF(INDEX(I.Facility.P2bIDNumber,4319)="","",INDEX(I.Facility.P2bIDNumber,4319))</f>
        <v/>
      </c>
      <c r="G14331" s="51"/>
      <c r="H14331" s="46" t="str">
        <f>IF(AND(I.Developer.P2b=TRUE,I.Facility.P2bFacilityCount&gt;=4319,F14331=""),"Incomplete","Complete")</f>
        <v>Complete</v>
      </c>
      <c r="I14331" s="48" t="s">
        <v>18696</v>
      </c>
    </row>
    <row r="14332" spans="2:9" ht="15" customHeight="1" x14ac:dyDescent="0.25">
      <c r="B14332" s="55" t="s">
        <v>281</v>
      </c>
      <c r="C14332" s="46">
        <v>4320</v>
      </c>
      <c r="D14332" s="69" t="s">
        <v>29418</v>
      </c>
      <c r="E14332" s="51"/>
      <c r="F14332" s="114" t="str">
        <f>IF(INDEX(I.Facility.P2bIDNumber,4320)="","",INDEX(I.Facility.P2bIDNumber,4320))</f>
        <v/>
      </c>
      <c r="G14332" s="51"/>
      <c r="H14332" s="46" t="str">
        <f>IF(AND(I.Developer.P2b=TRUE,I.Facility.P2bFacilityCount&gt;=4320,F14332=""),"Incomplete","Complete")</f>
        <v>Complete</v>
      </c>
      <c r="I14332" s="48" t="s">
        <v>18697</v>
      </c>
    </row>
    <row r="14333" spans="2:9" ht="15" customHeight="1" x14ac:dyDescent="0.25">
      <c r="B14333" s="55" t="s">
        <v>281</v>
      </c>
      <c r="C14333" s="46">
        <v>4321</v>
      </c>
      <c r="D14333" s="69" t="s">
        <v>29418</v>
      </c>
      <c r="E14333" s="51"/>
      <c r="F14333" s="114" t="str">
        <f>IF(INDEX(I.Facility.P2bIDNumber,4321)="","",INDEX(I.Facility.P2bIDNumber,4321))</f>
        <v/>
      </c>
      <c r="G14333" s="51"/>
      <c r="H14333" s="46" t="str">
        <f>IF(AND(I.Developer.P2b=TRUE,I.Facility.P2bFacilityCount&gt;=4321,F14333=""),"Incomplete","Complete")</f>
        <v>Complete</v>
      </c>
      <c r="I14333" s="48" t="s">
        <v>18698</v>
      </c>
    </row>
    <row r="14334" spans="2:9" ht="15" customHeight="1" x14ac:dyDescent="0.25">
      <c r="B14334" s="55" t="s">
        <v>281</v>
      </c>
      <c r="C14334" s="46">
        <v>4322</v>
      </c>
      <c r="D14334" s="69" t="s">
        <v>29418</v>
      </c>
      <c r="E14334" s="51"/>
      <c r="F14334" s="114" t="str">
        <f>IF(INDEX(I.Facility.P2bIDNumber,4322)="","",INDEX(I.Facility.P2bIDNumber,4322))</f>
        <v/>
      </c>
      <c r="G14334" s="51"/>
      <c r="H14334" s="46" t="str">
        <f>IF(AND(I.Developer.P2b=TRUE,I.Facility.P2bFacilityCount&gt;=4322,F14334=""),"Incomplete","Complete")</f>
        <v>Complete</v>
      </c>
      <c r="I14334" s="48" t="s">
        <v>18699</v>
      </c>
    </row>
    <row r="14335" spans="2:9" ht="15" customHeight="1" x14ac:dyDescent="0.25">
      <c r="B14335" s="55" t="s">
        <v>281</v>
      </c>
      <c r="C14335" s="46">
        <v>4323</v>
      </c>
      <c r="D14335" s="69" t="s">
        <v>29418</v>
      </c>
      <c r="E14335" s="51"/>
      <c r="F14335" s="114" t="str">
        <f>IF(INDEX(I.Facility.P2bIDNumber,4323)="","",INDEX(I.Facility.P2bIDNumber,4323))</f>
        <v/>
      </c>
      <c r="G14335" s="51"/>
      <c r="H14335" s="46" t="str">
        <f>IF(AND(I.Developer.P2b=TRUE,I.Facility.P2bFacilityCount&gt;=4323,F14335=""),"Incomplete","Complete")</f>
        <v>Complete</v>
      </c>
      <c r="I14335" s="48" t="s">
        <v>18700</v>
      </c>
    </row>
    <row r="14336" spans="2:9" ht="15" customHeight="1" x14ac:dyDescent="0.25">
      <c r="B14336" s="55" t="s">
        <v>281</v>
      </c>
      <c r="C14336" s="46">
        <v>4324</v>
      </c>
      <c r="D14336" s="69" t="s">
        <v>29418</v>
      </c>
      <c r="E14336" s="51"/>
      <c r="F14336" s="114" t="str">
        <f>IF(INDEX(I.Facility.P2bIDNumber,4324)="","",INDEX(I.Facility.P2bIDNumber,4324))</f>
        <v/>
      </c>
      <c r="G14336" s="51"/>
      <c r="H14336" s="46" t="str">
        <f>IF(AND(I.Developer.P2b=TRUE,I.Facility.P2bFacilityCount&gt;=4324,F14336=""),"Incomplete","Complete")</f>
        <v>Complete</v>
      </c>
      <c r="I14336" s="48" t="s">
        <v>18701</v>
      </c>
    </row>
    <row r="14337" spans="2:9" ht="15" customHeight="1" x14ac:dyDescent="0.25">
      <c r="B14337" s="55" t="s">
        <v>281</v>
      </c>
      <c r="C14337" s="46">
        <v>4325</v>
      </c>
      <c r="D14337" s="69" t="s">
        <v>29418</v>
      </c>
      <c r="E14337" s="51"/>
      <c r="F14337" s="114" t="str">
        <f>IF(INDEX(I.Facility.P2bIDNumber,4325)="","",INDEX(I.Facility.P2bIDNumber,4325))</f>
        <v/>
      </c>
      <c r="G14337" s="51"/>
      <c r="H14337" s="46" t="str">
        <f>IF(AND(I.Developer.P2b=TRUE,I.Facility.P2bFacilityCount&gt;=4325,F14337=""),"Incomplete","Complete")</f>
        <v>Complete</v>
      </c>
      <c r="I14337" s="48" t="s">
        <v>18702</v>
      </c>
    </row>
    <row r="14338" spans="2:9" ht="15" customHeight="1" x14ac:dyDescent="0.25">
      <c r="B14338" s="55" t="s">
        <v>281</v>
      </c>
      <c r="C14338" s="46">
        <v>4326</v>
      </c>
      <c r="D14338" s="69" t="s">
        <v>29418</v>
      </c>
      <c r="E14338" s="51"/>
      <c r="F14338" s="114" t="str">
        <f>IF(INDEX(I.Facility.P2bIDNumber,4326)="","",INDEX(I.Facility.P2bIDNumber,4326))</f>
        <v/>
      </c>
      <c r="G14338" s="51"/>
      <c r="H14338" s="46" t="str">
        <f>IF(AND(I.Developer.P2b=TRUE,I.Facility.P2bFacilityCount&gt;=4326,F14338=""),"Incomplete","Complete")</f>
        <v>Complete</v>
      </c>
      <c r="I14338" s="48" t="s">
        <v>18703</v>
      </c>
    </row>
    <row r="14339" spans="2:9" ht="15" customHeight="1" x14ac:dyDescent="0.25">
      <c r="B14339" s="55" t="s">
        <v>281</v>
      </c>
      <c r="C14339" s="46">
        <v>4327</v>
      </c>
      <c r="D14339" s="69" t="s">
        <v>29418</v>
      </c>
      <c r="E14339" s="51"/>
      <c r="F14339" s="114" t="str">
        <f>IF(INDEX(I.Facility.P2bIDNumber,4327)="","",INDEX(I.Facility.P2bIDNumber,4327))</f>
        <v/>
      </c>
      <c r="G14339" s="51"/>
      <c r="H14339" s="46" t="str">
        <f>IF(AND(I.Developer.P2b=TRUE,I.Facility.P2bFacilityCount&gt;=4327,F14339=""),"Incomplete","Complete")</f>
        <v>Complete</v>
      </c>
      <c r="I14339" s="48" t="s">
        <v>18704</v>
      </c>
    </row>
    <row r="14340" spans="2:9" ht="15" customHeight="1" x14ac:dyDescent="0.25">
      <c r="B14340" s="55" t="s">
        <v>281</v>
      </c>
      <c r="C14340" s="46">
        <v>4328</v>
      </c>
      <c r="D14340" s="69" t="s">
        <v>29418</v>
      </c>
      <c r="E14340" s="51"/>
      <c r="F14340" s="114" t="str">
        <f>IF(INDEX(I.Facility.P2bIDNumber,4328)="","",INDEX(I.Facility.P2bIDNumber,4328))</f>
        <v/>
      </c>
      <c r="G14340" s="51"/>
      <c r="H14340" s="46" t="str">
        <f>IF(AND(I.Developer.P2b=TRUE,I.Facility.P2bFacilityCount&gt;=4328,F14340=""),"Incomplete","Complete")</f>
        <v>Complete</v>
      </c>
      <c r="I14340" s="48" t="s">
        <v>18705</v>
      </c>
    </row>
    <row r="14341" spans="2:9" ht="15" customHeight="1" x14ac:dyDescent="0.25">
      <c r="B14341" s="55" t="s">
        <v>281</v>
      </c>
      <c r="C14341" s="46">
        <v>4329</v>
      </c>
      <c r="D14341" s="69" t="s">
        <v>29418</v>
      </c>
      <c r="E14341" s="51"/>
      <c r="F14341" s="114" t="str">
        <f>IF(INDEX(I.Facility.P2bIDNumber,4329)="","",INDEX(I.Facility.P2bIDNumber,4329))</f>
        <v/>
      </c>
      <c r="G14341" s="51"/>
      <c r="H14341" s="46" t="str">
        <f>IF(AND(I.Developer.P2b=TRUE,I.Facility.P2bFacilityCount&gt;=4329,F14341=""),"Incomplete","Complete")</f>
        <v>Complete</v>
      </c>
      <c r="I14341" s="48" t="s">
        <v>18706</v>
      </c>
    </row>
    <row r="14342" spans="2:9" ht="15" customHeight="1" x14ac:dyDescent="0.25">
      <c r="B14342" s="55" t="s">
        <v>281</v>
      </c>
      <c r="C14342" s="46">
        <v>4330</v>
      </c>
      <c r="D14342" s="69" t="s">
        <v>29418</v>
      </c>
      <c r="E14342" s="51"/>
      <c r="F14342" s="114" t="str">
        <f>IF(INDEX(I.Facility.P2bIDNumber,4330)="","",INDEX(I.Facility.P2bIDNumber,4330))</f>
        <v/>
      </c>
      <c r="G14342" s="51"/>
      <c r="H14342" s="46" t="str">
        <f>IF(AND(I.Developer.P2b=TRUE,I.Facility.P2bFacilityCount&gt;=4330,F14342=""),"Incomplete","Complete")</f>
        <v>Complete</v>
      </c>
      <c r="I14342" s="48" t="s">
        <v>18707</v>
      </c>
    </row>
    <row r="14343" spans="2:9" ht="15" customHeight="1" x14ac:dyDescent="0.25">
      <c r="B14343" s="55" t="s">
        <v>281</v>
      </c>
      <c r="C14343" s="46">
        <v>4331</v>
      </c>
      <c r="D14343" s="69" t="s">
        <v>29418</v>
      </c>
      <c r="E14343" s="51"/>
      <c r="F14343" s="114" t="str">
        <f>IF(INDEX(I.Facility.P2bIDNumber,4331)="","",INDEX(I.Facility.P2bIDNumber,4331))</f>
        <v/>
      </c>
      <c r="G14343" s="51"/>
      <c r="H14343" s="46" t="str">
        <f>IF(AND(I.Developer.P2b=TRUE,I.Facility.P2bFacilityCount&gt;=4331,F14343=""),"Incomplete","Complete")</f>
        <v>Complete</v>
      </c>
      <c r="I14343" s="48" t="s">
        <v>18708</v>
      </c>
    </row>
    <row r="14344" spans="2:9" ht="15" customHeight="1" x14ac:dyDescent="0.25">
      <c r="B14344" s="55" t="s">
        <v>281</v>
      </c>
      <c r="C14344" s="46">
        <v>4332</v>
      </c>
      <c r="D14344" s="69" t="s">
        <v>29418</v>
      </c>
      <c r="E14344" s="51"/>
      <c r="F14344" s="114" t="str">
        <f>IF(INDEX(I.Facility.P2bIDNumber,4332)="","",INDEX(I.Facility.P2bIDNumber,4332))</f>
        <v/>
      </c>
      <c r="G14344" s="51"/>
      <c r="H14344" s="46" t="str">
        <f>IF(AND(I.Developer.P2b=TRUE,I.Facility.P2bFacilityCount&gt;=4332,F14344=""),"Incomplete","Complete")</f>
        <v>Complete</v>
      </c>
      <c r="I14344" s="48" t="s">
        <v>18709</v>
      </c>
    </row>
    <row r="14345" spans="2:9" ht="15" customHeight="1" x14ac:dyDescent="0.25">
      <c r="B14345" s="55" t="s">
        <v>281</v>
      </c>
      <c r="C14345" s="46">
        <v>4333</v>
      </c>
      <c r="D14345" s="69" t="s">
        <v>29418</v>
      </c>
      <c r="E14345" s="51"/>
      <c r="F14345" s="114" t="str">
        <f>IF(INDEX(I.Facility.P2bIDNumber,4333)="","",INDEX(I.Facility.P2bIDNumber,4333))</f>
        <v/>
      </c>
      <c r="G14345" s="51"/>
      <c r="H14345" s="46" t="str">
        <f>IF(AND(I.Developer.P2b=TRUE,I.Facility.P2bFacilityCount&gt;=4333,F14345=""),"Incomplete","Complete")</f>
        <v>Complete</v>
      </c>
      <c r="I14345" s="48" t="s">
        <v>18710</v>
      </c>
    </row>
    <row r="14346" spans="2:9" ht="15" customHeight="1" x14ac:dyDescent="0.25">
      <c r="B14346" s="55" t="s">
        <v>281</v>
      </c>
      <c r="C14346" s="46">
        <v>4334</v>
      </c>
      <c r="D14346" s="69" t="s">
        <v>29418</v>
      </c>
      <c r="E14346" s="51"/>
      <c r="F14346" s="114" t="str">
        <f>IF(INDEX(I.Facility.P2bIDNumber,4334)="","",INDEX(I.Facility.P2bIDNumber,4334))</f>
        <v/>
      </c>
      <c r="G14346" s="51"/>
      <c r="H14346" s="46" t="str">
        <f>IF(AND(I.Developer.P2b=TRUE,I.Facility.P2bFacilityCount&gt;=4334,F14346=""),"Incomplete","Complete")</f>
        <v>Complete</v>
      </c>
      <c r="I14346" s="48" t="s">
        <v>18711</v>
      </c>
    </row>
    <row r="14347" spans="2:9" ht="15" customHeight="1" x14ac:dyDescent="0.25">
      <c r="B14347" s="55" t="s">
        <v>281</v>
      </c>
      <c r="C14347" s="46">
        <v>4335</v>
      </c>
      <c r="D14347" s="69" t="s">
        <v>29418</v>
      </c>
      <c r="E14347" s="51"/>
      <c r="F14347" s="114" t="str">
        <f>IF(INDEX(I.Facility.P2bIDNumber,4335)="","",INDEX(I.Facility.P2bIDNumber,4335))</f>
        <v/>
      </c>
      <c r="G14347" s="51"/>
      <c r="H14347" s="46" t="str">
        <f>IF(AND(I.Developer.P2b=TRUE,I.Facility.P2bFacilityCount&gt;=4335,F14347=""),"Incomplete","Complete")</f>
        <v>Complete</v>
      </c>
      <c r="I14347" s="48" t="s">
        <v>18712</v>
      </c>
    </row>
    <row r="14348" spans="2:9" ht="15" customHeight="1" x14ac:dyDescent="0.25">
      <c r="B14348" s="55" t="s">
        <v>281</v>
      </c>
      <c r="C14348" s="46">
        <v>4336</v>
      </c>
      <c r="D14348" s="69" t="s">
        <v>29418</v>
      </c>
      <c r="E14348" s="51"/>
      <c r="F14348" s="114" t="str">
        <f>IF(INDEX(I.Facility.P2bIDNumber,4336)="","",INDEX(I.Facility.P2bIDNumber,4336))</f>
        <v/>
      </c>
      <c r="G14348" s="51"/>
      <c r="H14348" s="46" t="str">
        <f>IF(AND(I.Developer.P2b=TRUE,I.Facility.P2bFacilityCount&gt;=4336,F14348=""),"Incomplete","Complete")</f>
        <v>Complete</v>
      </c>
      <c r="I14348" s="48" t="s">
        <v>18713</v>
      </c>
    </row>
    <row r="14349" spans="2:9" ht="15" customHeight="1" x14ac:dyDescent="0.25">
      <c r="B14349" s="55" t="s">
        <v>281</v>
      </c>
      <c r="C14349" s="46">
        <v>4337</v>
      </c>
      <c r="D14349" s="69" t="s">
        <v>29418</v>
      </c>
      <c r="E14349" s="51"/>
      <c r="F14349" s="114" t="str">
        <f>IF(INDEX(I.Facility.P2bIDNumber,4337)="","",INDEX(I.Facility.P2bIDNumber,4337))</f>
        <v/>
      </c>
      <c r="G14349" s="51"/>
      <c r="H14349" s="46" t="str">
        <f>IF(AND(I.Developer.P2b=TRUE,I.Facility.P2bFacilityCount&gt;=4337,F14349=""),"Incomplete","Complete")</f>
        <v>Complete</v>
      </c>
      <c r="I14349" s="48" t="s">
        <v>18714</v>
      </c>
    </row>
    <row r="14350" spans="2:9" ht="15" customHeight="1" x14ac:dyDescent="0.25">
      <c r="B14350" s="55" t="s">
        <v>281</v>
      </c>
      <c r="C14350" s="46">
        <v>4338</v>
      </c>
      <c r="D14350" s="69" t="s">
        <v>29418</v>
      </c>
      <c r="E14350" s="51"/>
      <c r="F14350" s="114" t="str">
        <f>IF(INDEX(I.Facility.P2bIDNumber,4338)="","",INDEX(I.Facility.P2bIDNumber,4338))</f>
        <v/>
      </c>
      <c r="G14350" s="51"/>
      <c r="H14350" s="46" t="str">
        <f>IF(AND(I.Developer.P2b=TRUE,I.Facility.P2bFacilityCount&gt;=4338,F14350=""),"Incomplete","Complete")</f>
        <v>Complete</v>
      </c>
      <c r="I14350" s="48" t="s">
        <v>18715</v>
      </c>
    </row>
    <row r="14351" spans="2:9" ht="15" customHeight="1" x14ac:dyDescent="0.25">
      <c r="B14351" s="55" t="s">
        <v>281</v>
      </c>
      <c r="C14351" s="46">
        <v>4339</v>
      </c>
      <c r="D14351" s="69" t="s">
        <v>29418</v>
      </c>
      <c r="E14351" s="51"/>
      <c r="F14351" s="114" t="str">
        <f>IF(INDEX(I.Facility.P2bIDNumber,4339)="","",INDEX(I.Facility.P2bIDNumber,4339))</f>
        <v/>
      </c>
      <c r="G14351" s="51"/>
      <c r="H14351" s="46" t="str">
        <f>IF(AND(I.Developer.P2b=TRUE,I.Facility.P2bFacilityCount&gt;=4339,F14351=""),"Incomplete","Complete")</f>
        <v>Complete</v>
      </c>
      <c r="I14351" s="48" t="s">
        <v>18716</v>
      </c>
    </row>
    <row r="14352" spans="2:9" ht="15" customHeight="1" x14ac:dyDescent="0.25">
      <c r="B14352" s="55" t="s">
        <v>281</v>
      </c>
      <c r="C14352" s="46">
        <v>4340</v>
      </c>
      <c r="D14352" s="69" t="s">
        <v>29418</v>
      </c>
      <c r="E14352" s="51"/>
      <c r="F14352" s="114" t="str">
        <f>IF(INDEX(I.Facility.P2bIDNumber,4340)="","",INDEX(I.Facility.P2bIDNumber,4340))</f>
        <v/>
      </c>
      <c r="G14352" s="51"/>
      <c r="H14352" s="46" t="str">
        <f>IF(AND(I.Developer.P2b=TRUE,I.Facility.P2bFacilityCount&gt;=4340,F14352=""),"Incomplete","Complete")</f>
        <v>Complete</v>
      </c>
      <c r="I14352" s="48" t="s">
        <v>18717</v>
      </c>
    </row>
    <row r="14353" spans="2:9" ht="15" customHeight="1" x14ac:dyDescent="0.25">
      <c r="B14353" s="55" t="s">
        <v>281</v>
      </c>
      <c r="C14353" s="46">
        <v>4341</v>
      </c>
      <c r="D14353" s="69" t="s">
        <v>29418</v>
      </c>
      <c r="E14353" s="51"/>
      <c r="F14353" s="114" t="str">
        <f>IF(INDEX(I.Facility.P2bIDNumber,4341)="","",INDEX(I.Facility.P2bIDNumber,4341))</f>
        <v/>
      </c>
      <c r="G14353" s="51"/>
      <c r="H14353" s="46" t="str">
        <f>IF(AND(I.Developer.P2b=TRUE,I.Facility.P2bFacilityCount&gt;=4341,F14353=""),"Incomplete","Complete")</f>
        <v>Complete</v>
      </c>
      <c r="I14353" s="48" t="s">
        <v>18718</v>
      </c>
    </row>
    <row r="14354" spans="2:9" ht="15" customHeight="1" x14ac:dyDescent="0.25">
      <c r="B14354" s="55" t="s">
        <v>281</v>
      </c>
      <c r="C14354" s="46">
        <v>4342</v>
      </c>
      <c r="D14354" s="69" t="s">
        <v>29418</v>
      </c>
      <c r="E14354" s="51"/>
      <c r="F14354" s="114" t="str">
        <f>IF(INDEX(I.Facility.P2bIDNumber,4342)="","",INDEX(I.Facility.P2bIDNumber,4342))</f>
        <v/>
      </c>
      <c r="G14354" s="51"/>
      <c r="H14354" s="46" t="str">
        <f>IF(AND(I.Developer.P2b=TRUE,I.Facility.P2bFacilityCount&gt;=4342,F14354=""),"Incomplete","Complete")</f>
        <v>Complete</v>
      </c>
      <c r="I14354" s="48" t="s">
        <v>18719</v>
      </c>
    </row>
    <row r="14355" spans="2:9" ht="15" customHeight="1" x14ac:dyDescent="0.25">
      <c r="B14355" s="55" t="s">
        <v>281</v>
      </c>
      <c r="C14355" s="46">
        <v>4343</v>
      </c>
      <c r="D14355" s="69" t="s">
        <v>29418</v>
      </c>
      <c r="E14355" s="51"/>
      <c r="F14355" s="114" t="str">
        <f>IF(INDEX(I.Facility.P2bIDNumber,4343)="","",INDEX(I.Facility.P2bIDNumber,4343))</f>
        <v/>
      </c>
      <c r="G14355" s="51"/>
      <c r="H14355" s="46" t="str">
        <f>IF(AND(I.Developer.P2b=TRUE,I.Facility.P2bFacilityCount&gt;=4343,F14355=""),"Incomplete","Complete")</f>
        <v>Complete</v>
      </c>
      <c r="I14355" s="48" t="s">
        <v>18720</v>
      </c>
    </row>
    <row r="14356" spans="2:9" ht="15" customHeight="1" x14ac:dyDescent="0.25">
      <c r="B14356" s="55" t="s">
        <v>281</v>
      </c>
      <c r="C14356" s="46">
        <v>4344</v>
      </c>
      <c r="D14356" s="69" t="s">
        <v>29418</v>
      </c>
      <c r="E14356" s="51"/>
      <c r="F14356" s="114" t="str">
        <f>IF(INDEX(I.Facility.P2bIDNumber,4344)="","",INDEX(I.Facility.P2bIDNumber,4344))</f>
        <v/>
      </c>
      <c r="G14356" s="51"/>
      <c r="H14356" s="46" t="str">
        <f>IF(AND(I.Developer.P2b=TRUE,I.Facility.P2bFacilityCount&gt;=4344,F14356=""),"Incomplete","Complete")</f>
        <v>Complete</v>
      </c>
      <c r="I14356" s="48" t="s">
        <v>18721</v>
      </c>
    </row>
    <row r="14357" spans="2:9" ht="15" customHeight="1" x14ac:dyDescent="0.25">
      <c r="B14357" s="55" t="s">
        <v>281</v>
      </c>
      <c r="C14357" s="46">
        <v>4345</v>
      </c>
      <c r="D14357" s="69" t="s">
        <v>29418</v>
      </c>
      <c r="E14357" s="51"/>
      <c r="F14357" s="114" t="str">
        <f>IF(INDEX(I.Facility.P2bIDNumber,4345)="","",INDEX(I.Facility.P2bIDNumber,4345))</f>
        <v/>
      </c>
      <c r="G14357" s="51"/>
      <c r="H14357" s="46" t="str">
        <f>IF(AND(I.Developer.P2b=TRUE,I.Facility.P2bFacilityCount&gt;=4345,F14357=""),"Incomplete","Complete")</f>
        <v>Complete</v>
      </c>
      <c r="I14357" s="48" t="s">
        <v>18722</v>
      </c>
    </row>
    <row r="14358" spans="2:9" ht="15" customHeight="1" x14ac:dyDescent="0.25">
      <c r="B14358" s="55" t="s">
        <v>281</v>
      </c>
      <c r="C14358" s="46">
        <v>4346</v>
      </c>
      <c r="D14358" s="69" t="s">
        <v>29418</v>
      </c>
      <c r="E14358" s="51"/>
      <c r="F14358" s="114" t="str">
        <f>IF(INDEX(I.Facility.P2bIDNumber,4346)="","",INDEX(I.Facility.P2bIDNumber,4346))</f>
        <v/>
      </c>
      <c r="G14358" s="51"/>
      <c r="H14358" s="46" t="str">
        <f>IF(AND(I.Developer.P2b=TRUE,I.Facility.P2bFacilityCount&gt;=4346,F14358=""),"Incomplete","Complete")</f>
        <v>Complete</v>
      </c>
      <c r="I14358" s="48" t="s">
        <v>18723</v>
      </c>
    </row>
    <row r="14359" spans="2:9" ht="15" customHeight="1" x14ac:dyDescent="0.25">
      <c r="B14359" s="55" t="s">
        <v>281</v>
      </c>
      <c r="C14359" s="46">
        <v>4347</v>
      </c>
      <c r="D14359" s="69" t="s">
        <v>29418</v>
      </c>
      <c r="E14359" s="51"/>
      <c r="F14359" s="114" t="str">
        <f>IF(INDEX(I.Facility.P2bIDNumber,4347)="","",INDEX(I.Facility.P2bIDNumber,4347))</f>
        <v/>
      </c>
      <c r="G14359" s="51"/>
      <c r="H14359" s="46" t="str">
        <f>IF(AND(I.Developer.P2b=TRUE,I.Facility.P2bFacilityCount&gt;=4347,F14359=""),"Incomplete","Complete")</f>
        <v>Complete</v>
      </c>
      <c r="I14359" s="48" t="s">
        <v>18724</v>
      </c>
    </row>
    <row r="14360" spans="2:9" ht="15" customHeight="1" x14ac:dyDescent="0.25">
      <c r="B14360" s="55" t="s">
        <v>281</v>
      </c>
      <c r="C14360" s="46">
        <v>4348</v>
      </c>
      <c r="D14360" s="69" t="s">
        <v>29418</v>
      </c>
      <c r="E14360" s="51"/>
      <c r="F14360" s="114" t="str">
        <f>IF(INDEX(I.Facility.P2bIDNumber,4348)="","",INDEX(I.Facility.P2bIDNumber,4348))</f>
        <v/>
      </c>
      <c r="G14360" s="51"/>
      <c r="H14360" s="46" t="str">
        <f>IF(AND(I.Developer.P2b=TRUE,I.Facility.P2bFacilityCount&gt;=4348,F14360=""),"Incomplete","Complete")</f>
        <v>Complete</v>
      </c>
      <c r="I14360" s="48" t="s">
        <v>18725</v>
      </c>
    </row>
    <row r="14361" spans="2:9" ht="15" customHeight="1" x14ac:dyDescent="0.25">
      <c r="B14361" s="55" t="s">
        <v>281</v>
      </c>
      <c r="C14361" s="46">
        <v>4349</v>
      </c>
      <c r="D14361" s="69" t="s">
        <v>29418</v>
      </c>
      <c r="E14361" s="51"/>
      <c r="F14361" s="114" t="str">
        <f>IF(INDEX(I.Facility.P2bIDNumber,4349)="","",INDEX(I.Facility.P2bIDNumber,4349))</f>
        <v/>
      </c>
      <c r="G14361" s="51"/>
      <c r="H14361" s="46" t="str">
        <f>IF(AND(I.Developer.P2b=TRUE,I.Facility.P2bFacilityCount&gt;=4349,F14361=""),"Incomplete","Complete")</f>
        <v>Complete</v>
      </c>
      <c r="I14361" s="48" t="s">
        <v>18726</v>
      </c>
    </row>
    <row r="14362" spans="2:9" ht="15" customHeight="1" x14ac:dyDescent="0.25">
      <c r="B14362" s="55" t="s">
        <v>281</v>
      </c>
      <c r="C14362" s="46">
        <v>4350</v>
      </c>
      <c r="D14362" s="69" t="s">
        <v>29418</v>
      </c>
      <c r="E14362" s="51"/>
      <c r="F14362" s="114" t="str">
        <f>IF(INDEX(I.Facility.P2bIDNumber,4350)="","",INDEX(I.Facility.P2bIDNumber,4350))</f>
        <v/>
      </c>
      <c r="G14362" s="51"/>
      <c r="H14362" s="46" t="str">
        <f>IF(AND(I.Developer.P2b=TRUE,I.Facility.P2bFacilityCount&gt;=4350,F14362=""),"Incomplete","Complete")</f>
        <v>Complete</v>
      </c>
      <c r="I14362" s="48" t="s">
        <v>18727</v>
      </c>
    </row>
    <row r="14363" spans="2:9" ht="15" customHeight="1" x14ac:dyDescent="0.25">
      <c r="B14363" s="55" t="s">
        <v>281</v>
      </c>
      <c r="C14363" s="46">
        <v>4351</v>
      </c>
      <c r="D14363" s="69" t="s">
        <v>29418</v>
      </c>
      <c r="E14363" s="51"/>
      <c r="F14363" s="114" t="str">
        <f>IF(INDEX(I.Facility.P2bIDNumber,4351)="","",INDEX(I.Facility.P2bIDNumber,4351))</f>
        <v/>
      </c>
      <c r="G14363" s="51"/>
      <c r="H14363" s="46" t="str">
        <f>IF(AND(I.Developer.P2b=TRUE,I.Facility.P2bFacilityCount&gt;=4351,F14363=""),"Incomplete","Complete")</f>
        <v>Complete</v>
      </c>
      <c r="I14363" s="48" t="s">
        <v>18728</v>
      </c>
    </row>
    <row r="14364" spans="2:9" ht="15" customHeight="1" x14ac:dyDescent="0.25">
      <c r="B14364" s="55" t="s">
        <v>281</v>
      </c>
      <c r="C14364" s="46">
        <v>4352</v>
      </c>
      <c r="D14364" s="69" t="s">
        <v>29418</v>
      </c>
      <c r="E14364" s="51"/>
      <c r="F14364" s="114" t="str">
        <f>IF(INDEX(I.Facility.P2bIDNumber,4352)="","",INDEX(I.Facility.P2bIDNumber,4352))</f>
        <v/>
      </c>
      <c r="G14364" s="51"/>
      <c r="H14364" s="46" t="str">
        <f>IF(AND(I.Developer.P2b=TRUE,I.Facility.P2bFacilityCount&gt;=4352,F14364=""),"Incomplete","Complete")</f>
        <v>Complete</v>
      </c>
      <c r="I14364" s="48" t="s">
        <v>18729</v>
      </c>
    </row>
    <row r="14365" spans="2:9" ht="15" customHeight="1" x14ac:dyDescent="0.25">
      <c r="B14365" s="55" t="s">
        <v>281</v>
      </c>
      <c r="C14365" s="46">
        <v>4353</v>
      </c>
      <c r="D14365" s="69" t="s">
        <v>29418</v>
      </c>
      <c r="E14365" s="51"/>
      <c r="F14365" s="114" t="str">
        <f>IF(INDEX(I.Facility.P2bIDNumber,4353)="","",INDEX(I.Facility.P2bIDNumber,4353))</f>
        <v/>
      </c>
      <c r="G14365" s="51"/>
      <c r="H14365" s="46" t="str">
        <f>IF(AND(I.Developer.P2b=TRUE,I.Facility.P2bFacilityCount&gt;=4353,F14365=""),"Incomplete","Complete")</f>
        <v>Complete</v>
      </c>
      <c r="I14365" s="48" t="s">
        <v>18730</v>
      </c>
    </row>
    <row r="14366" spans="2:9" ht="15" customHeight="1" x14ac:dyDescent="0.25">
      <c r="B14366" s="55" t="s">
        <v>281</v>
      </c>
      <c r="C14366" s="46">
        <v>4354</v>
      </c>
      <c r="D14366" s="69" t="s">
        <v>29418</v>
      </c>
      <c r="E14366" s="51"/>
      <c r="F14366" s="114" t="str">
        <f>IF(INDEX(I.Facility.P2bIDNumber,4354)="","",INDEX(I.Facility.P2bIDNumber,4354))</f>
        <v/>
      </c>
      <c r="G14366" s="51"/>
      <c r="H14366" s="46" t="str">
        <f>IF(AND(I.Developer.P2b=TRUE,I.Facility.P2bFacilityCount&gt;=4354,F14366=""),"Incomplete","Complete")</f>
        <v>Complete</v>
      </c>
      <c r="I14366" s="48" t="s">
        <v>18731</v>
      </c>
    </row>
    <row r="14367" spans="2:9" ht="15" customHeight="1" x14ac:dyDescent="0.25">
      <c r="B14367" s="55" t="s">
        <v>281</v>
      </c>
      <c r="C14367" s="46">
        <v>4355</v>
      </c>
      <c r="D14367" s="69" t="s">
        <v>29418</v>
      </c>
      <c r="E14367" s="51"/>
      <c r="F14367" s="114" t="str">
        <f>IF(INDEX(I.Facility.P2bIDNumber,4355)="","",INDEX(I.Facility.P2bIDNumber,4355))</f>
        <v/>
      </c>
      <c r="G14367" s="51"/>
      <c r="H14367" s="46" t="str">
        <f>IF(AND(I.Developer.P2b=TRUE,I.Facility.P2bFacilityCount&gt;=4355,F14367=""),"Incomplete","Complete")</f>
        <v>Complete</v>
      </c>
      <c r="I14367" s="48" t="s">
        <v>18732</v>
      </c>
    </row>
    <row r="14368" spans="2:9" ht="15" customHeight="1" x14ac:dyDescent="0.25">
      <c r="B14368" s="55" t="s">
        <v>281</v>
      </c>
      <c r="C14368" s="46">
        <v>4356</v>
      </c>
      <c r="D14368" s="69" t="s">
        <v>29418</v>
      </c>
      <c r="E14368" s="51"/>
      <c r="F14368" s="114" t="str">
        <f>IF(INDEX(I.Facility.P2bIDNumber,4356)="","",INDEX(I.Facility.P2bIDNumber,4356))</f>
        <v/>
      </c>
      <c r="G14368" s="51"/>
      <c r="H14368" s="46" t="str">
        <f>IF(AND(I.Developer.P2b=TRUE,I.Facility.P2bFacilityCount&gt;=4356,F14368=""),"Incomplete","Complete")</f>
        <v>Complete</v>
      </c>
      <c r="I14368" s="48" t="s">
        <v>18733</v>
      </c>
    </row>
    <row r="14369" spans="2:9" ht="15" customHeight="1" x14ac:dyDescent="0.25">
      <c r="B14369" s="55" t="s">
        <v>281</v>
      </c>
      <c r="C14369" s="46">
        <v>4357</v>
      </c>
      <c r="D14369" s="69" t="s">
        <v>29418</v>
      </c>
      <c r="E14369" s="51"/>
      <c r="F14369" s="114" t="str">
        <f>IF(INDEX(I.Facility.P2bIDNumber,4357)="","",INDEX(I.Facility.P2bIDNumber,4357))</f>
        <v/>
      </c>
      <c r="G14369" s="51"/>
      <c r="H14369" s="46" t="str">
        <f>IF(AND(I.Developer.P2b=TRUE,I.Facility.P2bFacilityCount&gt;=4357,F14369=""),"Incomplete","Complete")</f>
        <v>Complete</v>
      </c>
      <c r="I14369" s="48" t="s">
        <v>18734</v>
      </c>
    </row>
    <row r="14370" spans="2:9" ht="15" customHeight="1" x14ac:dyDescent="0.25">
      <c r="B14370" s="55" t="s">
        <v>281</v>
      </c>
      <c r="C14370" s="46">
        <v>4358</v>
      </c>
      <c r="D14370" s="69" t="s">
        <v>29418</v>
      </c>
      <c r="E14370" s="51"/>
      <c r="F14370" s="114" t="str">
        <f>IF(INDEX(I.Facility.P2bIDNumber,4358)="","",INDEX(I.Facility.P2bIDNumber,4358))</f>
        <v/>
      </c>
      <c r="G14370" s="51"/>
      <c r="H14370" s="46" t="str">
        <f>IF(AND(I.Developer.P2b=TRUE,I.Facility.P2bFacilityCount&gt;=4358,F14370=""),"Incomplete","Complete")</f>
        <v>Complete</v>
      </c>
      <c r="I14370" s="48" t="s">
        <v>18735</v>
      </c>
    </row>
    <row r="14371" spans="2:9" ht="15" customHeight="1" x14ac:dyDescent="0.25">
      <c r="B14371" s="55" t="s">
        <v>281</v>
      </c>
      <c r="C14371" s="46">
        <v>4359</v>
      </c>
      <c r="D14371" s="69" t="s">
        <v>29418</v>
      </c>
      <c r="E14371" s="51"/>
      <c r="F14371" s="114" t="str">
        <f>IF(INDEX(I.Facility.P2bIDNumber,4359)="","",INDEX(I.Facility.P2bIDNumber,4359))</f>
        <v/>
      </c>
      <c r="G14371" s="51"/>
      <c r="H14371" s="46" t="str">
        <f>IF(AND(I.Developer.P2b=TRUE,I.Facility.P2bFacilityCount&gt;=4359,F14371=""),"Incomplete","Complete")</f>
        <v>Complete</v>
      </c>
      <c r="I14371" s="48" t="s">
        <v>18736</v>
      </c>
    </row>
    <row r="14372" spans="2:9" ht="15" customHeight="1" x14ac:dyDescent="0.25">
      <c r="B14372" s="55" t="s">
        <v>281</v>
      </c>
      <c r="C14372" s="46">
        <v>4360</v>
      </c>
      <c r="D14372" s="69" t="s">
        <v>29418</v>
      </c>
      <c r="E14372" s="51"/>
      <c r="F14372" s="114" t="str">
        <f>IF(INDEX(I.Facility.P2bIDNumber,4360)="","",INDEX(I.Facility.P2bIDNumber,4360))</f>
        <v/>
      </c>
      <c r="G14372" s="51"/>
      <c r="H14372" s="46" t="str">
        <f>IF(AND(I.Developer.P2b=TRUE,I.Facility.P2bFacilityCount&gt;=4360,F14372=""),"Incomplete","Complete")</f>
        <v>Complete</v>
      </c>
      <c r="I14372" s="48" t="s">
        <v>18737</v>
      </c>
    </row>
    <row r="14373" spans="2:9" ht="15" customHeight="1" x14ac:dyDescent="0.25">
      <c r="B14373" s="55" t="s">
        <v>281</v>
      </c>
      <c r="C14373" s="46">
        <v>4361</v>
      </c>
      <c r="D14373" s="69" t="s">
        <v>29418</v>
      </c>
      <c r="E14373" s="51"/>
      <c r="F14373" s="114" t="str">
        <f>IF(INDEX(I.Facility.P2bIDNumber,4361)="","",INDEX(I.Facility.P2bIDNumber,4361))</f>
        <v/>
      </c>
      <c r="G14373" s="51"/>
      <c r="H14373" s="46" t="str">
        <f>IF(AND(I.Developer.P2b=TRUE,I.Facility.P2bFacilityCount&gt;=4361,F14373=""),"Incomplete","Complete")</f>
        <v>Complete</v>
      </c>
      <c r="I14373" s="48" t="s">
        <v>18738</v>
      </c>
    </row>
    <row r="14374" spans="2:9" ht="15" customHeight="1" x14ac:dyDescent="0.25">
      <c r="B14374" s="55" t="s">
        <v>281</v>
      </c>
      <c r="C14374" s="46">
        <v>4362</v>
      </c>
      <c r="D14374" s="69" t="s">
        <v>29418</v>
      </c>
      <c r="E14374" s="51"/>
      <c r="F14374" s="114" t="str">
        <f>IF(INDEX(I.Facility.P2bIDNumber,4362)="","",INDEX(I.Facility.P2bIDNumber,4362))</f>
        <v/>
      </c>
      <c r="G14374" s="51"/>
      <c r="H14374" s="46" t="str">
        <f>IF(AND(I.Developer.P2b=TRUE,I.Facility.P2bFacilityCount&gt;=4362,F14374=""),"Incomplete","Complete")</f>
        <v>Complete</v>
      </c>
      <c r="I14374" s="48" t="s">
        <v>18739</v>
      </c>
    </row>
    <row r="14375" spans="2:9" ht="15" customHeight="1" x14ac:dyDescent="0.25">
      <c r="B14375" s="55" t="s">
        <v>281</v>
      </c>
      <c r="C14375" s="46">
        <v>4363</v>
      </c>
      <c r="D14375" s="69" t="s">
        <v>29418</v>
      </c>
      <c r="E14375" s="51"/>
      <c r="F14375" s="114" t="str">
        <f>IF(INDEX(I.Facility.P2bIDNumber,4363)="","",INDEX(I.Facility.P2bIDNumber,4363))</f>
        <v/>
      </c>
      <c r="G14375" s="51"/>
      <c r="H14375" s="46" t="str">
        <f>IF(AND(I.Developer.P2b=TRUE,I.Facility.P2bFacilityCount&gt;=4363,F14375=""),"Incomplete","Complete")</f>
        <v>Complete</v>
      </c>
      <c r="I14375" s="48" t="s">
        <v>18740</v>
      </c>
    </row>
    <row r="14376" spans="2:9" ht="15" customHeight="1" x14ac:dyDescent="0.25">
      <c r="B14376" s="55" t="s">
        <v>281</v>
      </c>
      <c r="C14376" s="46">
        <v>4364</v>
      </c>
      <c r="D14376" s="69" t="s">
        <v>29418</v>
      </c>
      <c r="E14376" s="51"/>
      <c r="F14376" s="114" t="str">
        <f>IF(INDEX(I.Facility.P2bIDNumber,4364)="","",INDEX(I.Facility.P2bIDNumber,4364))</f>
        <v/>
      </c>
      <c r="G14376" s="51"/>
      <c r="H14376" s="46" t="str">
        <f>IF(AND(I.Developer.P2b=TRUE,I.Facility.P2bFacilityCount&gt;=4364,F14376=""),"Incomplete","Complete")</f>
        <v>Complete</v>
      </c>
      <c r="I14376" s="48" t="s">
        <v>18741</v>
      </c>
    </row>
    <row r="14377" spans="2:9" ht="15" customHeight="1" x14ac:dyDescent="0.25">
      <c r="B14377" s="55" t="s">
        <v>281</v>
      </c>
      <c r="C14377" s="46">
        <v>4365</v>
      </c>
      <c r="D14377" s="69" t="s">
        <v>29418</v>
      </c>
      <c r="E14377" s="51"/>
      <c r="F14377" s="114" t="str">
        <f>IF(INDEX(I.Facility.P2bIDNumber,4365)="","",INDEX(I.Facility.P2bIDNumber,4365))</f>
        <v/>
      </c>
      <c r="G14377" s="51"/>
      <c r="H14377" s="46" t="str">
        <f>IF(AND(I.Developer.P2b=TRUE,I.Facility.P2bFacilityCount&gt;=4365,F14377=""),"Incomplete","Complete")</f>
        <v>Complete</v>
      </c>
      <c r="I14377" s="48" t="s">
        <v>18742</v>
      </c>
    </row>
    <row r="14378" spans="2:9" ht="15" customHeight="1" x14ac:dyDescent="0.25">
      <c r="B14378" s="55" t="s">
        <v>281</v>
      </c>
      <c r="C14378" s="46">
        <v>4366</v>
      </c>
      <c r="D14378" s="69" t="s">
        <v>29418</v>
      </c>
      <c r="E14378" s="51"/>
      <c r="F14378" s="114" t="str">
        <f>IF(INDEX(I.Facility.P2bIDNumber,4366)="","",INDEX(I.Facility.P2bIDNumber,4366))</f>
        <v/>
      </c>
      <c r="G14378" s="51"/>
      <c r="H14378" s="46" t="str">
        <f>IF(AND(I.Developer.P2b=TRUE,I.Facility.P2bFacilityCount&gt;=4366,F14378=""),"Incomplete","Complete")</f>
        <v>Complete</v>
      </c>
      <c r="I14378" s="48" t="s">
        <v>18743</v>
      </c>
    </row>
    <row r="14379" spans="2:9" ht="15" customHeight="1" x14ac:dyDescent="0.25">
      <c r="B14379" s="55" t="s">
        <v>281</v>
      </c>
      <c r="C14379" s="46">
        <v>4367</v>
      </c>
      <c r="D14379" s="69" t="s">
        <v>29418</v>
      </c>
      <c r="E14379" s="51"/>
      <c r="F14379" s="114" t="str">
        <f>IF(INDEX(I.Facility.P2bIDNumber,4367)="","",INDEX(I.Facility.P2bIDNumber,4367))</f>
        <v/>
      </c>
      <c r="G14379" s="51"/>
      <c r="H14379" s="46" t="str">
        <f>IF(AND(I.Developer.P2b=TRUE,I.Facility.P2bFacilityCount&gt;=4367,F14379=""),"Incomplete","Complete")</f>
        <v>Complete</v>
      </c>
      <c r="I14379" s="48" t="s">
        <v>18744</v>
      </c>
    </row>
    <row r="14380" spans="2:9" ht="15" customHeight="1" x14ac:dyDescent="0.25">
      <c r="B14380" s="55" t="s">
        <v>281</v>
      </c>
      <c r="C14380" s="46">
        <v>4368</v>
      </c>
      <c r="D14380" s="69" t="s">
        <v>29418</v>
      </c>
      <c r="E14380" s="51"/>
      <c r="F14380" s="114" t="str">
        <f>IF(INDEX(I.Facility.P2bIDNumber,4368)="","",INDEX(I.Facility.P2bIDNumber,4368))</f>
        <v/>
      </c>
      <c r="G14380" s="51"/>
      <c r="H14380" s="46" t="str">
        <f>IF(AND(I.Developer.P2b=TRUE,I.Facility.P2bFacilityCount&gt;=4368,F14380=""),"Incomplete","Complete")</f>
        <v>Complete</v>
      </c>
      <c r="I14380" s="48" t="s">
        <v>18745</v>
      </c>
    </row>
    <row r="14381" spans="2:9" ht="15" customHeight="1" x14ac:dyDescent="0.25">
      <c r="B14381" s="55" t="s">
        <v>281</v>
      </c>
      <c r="C14381" s="46">
        <v>4369</v>
      </c>
      <c r="D14381" s="69" t="s">
        <v>29418</v>
      </c>
      <c r="E14381" s="51"/>
      <c r="F14381" s="114" t="str">
        <f>IF(INDEX(I.Facility.P2bIDNumber,4369)="","",INDEX(I.Facility.P2bIDNumber,4369))</f>
        <v/>
      </c>
      <c r="G14381" s="51"/>
      <c r="H14381" s="46" t="str">
        <f>IF(AND(I.Developer.P2b=TRUE,I.Facility.P2bFacilityCount&gt;=4369,F14381=""),"Incomplete","Complete")</f>
        <v>Complete</v>
      </c>
      <c r="I14381" s="48" t="s">
        <v>18746</v>
      </c>
    </row>
    <row r="14382" spans="2:9" ht="15" customHeight="1" x14ac:dyDescent="0.25">
      <c r="B14382" s="55" t="s">
        <v>281</v>
      </c>
      <c r="C14382" s="46">
        <v>4370</v>
      </c>
      <c r="D14382" s="69" t="s">
        <v>29418</v>
      </c>
      <c r="E14382" s="51"/>
      <c r="F14382" s="114" t="str">
        <f>IF(INDEX(I.Facility.P2bIDNumber,4370)="","",INDEX(I.Facility.P2bIDNumber,4370))</f>
        <v/>
      </c>
      <c r="G14382" s="51"/>
      <c r="H14382" s="46" t="str">
        <f>IF(AND(I.Developer.P2b=TRUE,I.Facility.P2bFacilityCount&gt;=4370,F14382=""),"Incomplete","Complete")</f>
        <v>Complete</v>
      </c>
      <c r="I14382" s="48" t="s">
        <v>18747</v>
      </c>
    </row>
    <row r="14383" spans="2:9" ht="15" customHeight="1" x14ac:dyDescent="0.25">
      <c r="B14383" s="55" t="s">
        <v>281</v>
      </c>
      <c r="C14383" s="46">
        <v>4371</v>
      </c>
      <c r="D14383" s="69" t="s">
        <v>29418</v>
      </c>
      <c r="E14383" s="51"/>
      <c r="F14383" s="114" t="str">
        <f>IF(INDEX(I.Facility.P2bIDNumber,4371)="","",INDEX(I.Facility.P2bIDNumber,4371))</f>
        <v/>
      </c>
      <c r="G14383" s="51"/>
      <c r="H14383" s="46" t="str">
        <f>IF(AND(I.Developer.P2b=TRUE,I.Facility.P2bFacilityCount&gt;=4371,F14383=""),"Incomplete","Complete")</f>
        <v>Complete</v>
      </c>
      <c r="I14383" s="48" t="s">
        <v>18748</v>
      </c>
    </row>
    <row r="14384" spans="2:9" ht="15" customHeight="1" x14ac:dyDescent="0.25">
      <c r="B14384" s="55" t="s">
        <v>281</v>
      </c>
      <c r="C14384" s="46">
        <v>4372</v>
      </c>
      <c r="D14384" s="69" t="s">
        <v>29418</v>
      </c>
      <c r="E14384" s="51"/>
      <c r="F14384" s="114" t="str">
        <f>IF(INDEX(I.Facility.P2bIDNumber,4372)="","",INDEX(I.Facility.P2bIDNumber,4372))</f>
        <v/>
      </c>
      <c r="G14384" s="51"/>
      <c r="H14384" s="46" t="str">
        <f>IF(AND(I.Developer.P2b=TRUE,I.Facility.P2bFacilityCount&gt;=4372,F14384=""),"Incomplete","Complete")</f>
        <v>Complete</v>
      </c>
      <c r="I14384" s="48" t="s">
        <v>18749</v>
      </c>
    </row>
    <row r="14385" spans="2:9" ht="15" customHeight="1" x14ac:dyDescent="0.25">
      <c r="B14385" s="55" t="s">
        <v>281</v>
      </c>
      <c r="C14385" s="46">
        <v>4373</v>
      </c>
      <c r="D14385" s="69" t="s">
        <v>29418</v>
      </c>
      <c r="E14385" s="51"/>
      <c r="F14385" s="114" t="str">
        <f>IF(INDEX(I.Facility.P2bIDNumber,4373)="","",INDEX(I.Facility.P2bIDNumber,4373))</f>
        <v/>
      </c>
      <c r="G14385" s="51"/>
      <c r="H14385" s="46" t="str">
        <f>IF(AND(I.Developer.P2b=TRUE,I.Facility.P2bFacilityCount&gt;=4373,F14385=""),"Incomplete","Complete")</f>
        <v>Complete</v>
      </c>
      <c r="I14385" s="48" t="s">
        <v>18750</v>
      </c>
    </row>
    <row r="14386" spans="2:9" ht="15" customHeight="1" x14ac:dyDescent="0.25">
      <c r="B14386" s="55" t="s">
        <v>281</v>
      </c>
      <c r="C14386" s="46">
        <v>4374</v>
      </c>
      <c r="D14386" s="69" t="s">
        <v>29418</v>
      </c>
      <c r="E14386" s="51"/>
      <c r="F14386" s="114" t="str">
        <f>IF(INDEX(I.Facility.P2bIDNumber,4374)="","",INDEX(I.Facility.P2bIDNumber,4374))</f>
        <v/>
      </c>
      <c r="G14386" s="51"/>
      <c r="H14386" s="46" t="str">
        <f>IF(AND(I.Developer.P2b=TRUE,I.Facility.P2bFacilityCount&gt;=4374,F14386=""),"Incomplete","Complete")</f>
        <v>Complete</v>
      </c>
      <c r="I14386" s="48" t="s">
        <v>18751</v>
      </c>
    </row>
    <row r="14387" spans="2:9" ht="15" customHeight="1" x14ac:dyDescent="0.25">
      <c r="B14387" s="55" t="s">
        <v>281</v>
      </c>
      <c r="C14387" s="46">
        <v>4375</v>
      </c>
      <c r="D14387" s="69" t="s">
        <v>29418</v>
      </c>
      <c r="E14387" s="51"/>
      <c r="F14387" s="114" t="str">
        <f>IF(INDEX(I.Facility.P2bIDNumber,4375)="","",INDEX(I.Facility.P2bIDNumber,4375))</f>
        <v/>
      </c>
      <c r="G14387" s="51"/>
      <c r="H14387" s="46" t="str">
        <f>IF(AND(I.Developer.P2b=TRUE,I.Facility.P2bFacilityCount&gt;=4375,F14387=""),"Incomplete","Complete")</f>
        <v>Complete</v>
      </c>
      <c r="I14387" s="48" t="s">
        <v>18752</v>
      </c>
    </row>
    <row r="14388" spans="2:9" ht="15" customHeight="1" x14ac:dyDescent="0.25">
      <c r="B14388" s="55" t="s">
        <v>281</v>
      </c>
      <c r="C14388" s="46">
        <v>4376</v>
      </c>
      <c r="D14388" s="69" t="s">
        <v>29418</v>
      </c>
      <c r="E14388" s="51"/>
      <c r="F14388" s="114" t="str">
        <f>IF(INDEX(I.Facility.P2bIDNumber,4376)="","",INDEX(I.Facility.P2bIDNumber,4376))</f>
        <v/>
      </c>
      <c r="G14388" s="51"/>
      <c r="H14388" s="46" t="str">
        <f>IF(AND(I.Developer.P2b=TRUE,I.Facility.P2bFacilityCount&gt;=4376,F14388=""),"Incomplete","Complete")</f>
        <v>Complete</v>
      </c>
      <c r="I14388" s="48" t="s">
        <v>18753</v>
      </c>
    </row>
    <row r="14389" spans="2:9" ht="15" customHeight="1" x14ac:dyDescent="0.25">
      <c r="B14389" s="55" t="s">
        <v>281</v>
      </c>
      <c r="C14389" s="46">
        <v>4377</v>
      </c>
      <c r="D14389" s="69" t="s">
        <v>29418</v>
      </c>
      <c r="E14389" s="51"/>
      <c r="F14389" s="114" t="str">
        <f>IF(INDEX(I.Facility.P2bIDNumber,4377)="","",INDEX(I.Facility.P2bIDNumber,4377))</f>
        <v/>
      </c>
      <c r="G14389" s="51"/>
      <c r="H14389" s="46" t="str">
        <f>IF(AND(I.Developer.P2b=TRUE,I.Facility.P2bFacilityCount&gt;=4377,F14389=""),"Incomplete","Complete")</f>
        <v>Complete</v>
      </c>
      <c r="I14389" s="48" t="s">
        <v>18754</v>
      </c>
    </row>
    <row r="14390" spans="2:9" ht="15" customHeight="1" x14ac:dyDescent="0.25">
      <c r="B14390" s="55" t="s">
        <v>281</v>
      </c>
      <c r="C14390" s="46">
        <v>4378</v>
      </c>
      <c r="D14390" s="69" t="s">
        <v>29418</v>
      </c>
      <c r="E14390" s="51"/>
      <c r="F14390" s="114" t="str">
        <f>IF(INDEX(I.Facility.P2bIDNumber,4378)="","",INDEX(I.Facility.P2bIDNumber,4378))</f>
        <v/>
      </c>
      <c r="G14390" s="51"/>
      <c r="H14390" s="46" t="str">
        <f>IF(AND(I.Developer.P2b=TRUE,I.Facility.P2bFacilityCount&gt;=4378,F14390=""),"Incomplete","Complete")</f>
        <v>Complete</v>
      </c>
      <c r="I14390" s="48" t="s">
        <v>18755</v>
      </c>
    </row>
    <row r="14391" spans="2:9" ht="15" customHeight="1" x14ac:dyDescent="0.25">
      <c r="B14391" s="55" t="s">
        <v>281</v>
      </c>
      <c r="C14391" s="46">
        <v>4379</v>
      </c>
      <c r="D14391" s="69" t="s">
        <v>29418</v>
      </c>
      <c r="E14391" s="51"/>
      <c r="F14391" s="114" t="str">
        <f>IF(INDEX(I.Facility.P2bIDNumber,4379)="","",INDEX(I.Facility.P2bIDNumber,4379))</f>
        <v/>
      </c>
      <c r="G14391" s="51"/>
      <c r="H14391" s="46" t="str">
        <f>IF(AND(I.Developer.P2b=TRUE,I.Facility.P2bFacilityCount&gt;=4379,F14391=""),"Incomplete","Complete")</f>
        <v>Complete</v>
      </c>
      <c r="I14391" s="48" t="s">
        <v>18756</v>
      </c>
    </row>
    <row r="14392" spans="2:9" ht="15" customHeight="1" x14ac:dyDescent="0.25">
      <c r="B14392" s="55" t="s">
        <v>281</v>
      </c>
      <c r="C14392" s="46">
        <v>4380</v>
      </c>
      <c r="D14392" s="69" t="s">
        <v>29418</v>
      </c>
      <c r="E14392" s="51"/>
      <c r="F14392" s="114" t="str">
        <f>IF(INDEX(I.Facility.P2bIDNumber,4380)="","",INDEX(I.Facility.P2bIDNumber,4380))</f>
        <v/>
      </c>
      <c r="G14392" s="51"/>
      <c r="H14392" s="46" t="str">
        <f>IF(AND(I.Developer.P2b=TRUE,I.Facility.P2bFacilityCount&gt;=4380,F14392=""),"Incomplete","Complete")</f>
        <v>Complete</v>
      </c>
      <c r="I14392" s="48" t="s">
        <v>18757</v>
      </c>
    </row>
    <row r="14393" spans="2:9" ht="15" customHeight="1" x14ac:dyDescent="0.25">
      <c r="B14393" s="55" t="s">
        <v>281</v>
      </c>
      <c r="C14393" s="46">
        <v>4381</v>
      </c>
      <c r="D14393" s="69" t="s">
        <v>29418</v>
      </c>
      <c r="E14393" s="51"/>
      <c r="F14393" s="114" t="str">
        <f>IF(INDEX(I.Facility.P2bIDNumber,4381)="","",INDEX(I.Facility.P2bIDNumber,4381))</f>
        <v/>
      </c>
      <c r="G14393" s="51"/>
      <c r="H14393" s="46" t="str">
        <f>IF(AND(I.Developer.P2b=TRUE,I.Facility.P2bFacilityCount&gt;=4381,F14393=""),"Incomplete","Complete")</f>
        <v>Complete</v>
      </c>
      <c r="I14393" s="48" t="s">
        <v>18758</v>
      </c>
    </row>
    <row r="14394" spans="2:9" ht="15" customHeight="1" x14ac:dyDescent="0.25">
      <c r="B14394" s="55" t="s">
        <v>281</v>
      </c>
      <c r="C14394" s="46">
        <v>4382</v>
      </c>
      <c r="D14394" s="69" t="s">
        <v>29418</v>
      </c>
      <c r="E14394" s="51"/>
      <c r="F14394" s="114" t="str">
        <f>IF(INDEX(I.Facility.P2bIDNumber,4382)="","",INDEX(I.Facility.P2bIDNumber,4382))</f>
        <v/>
      </c>
      <c r="G14394" s="51"/>
      <c r="H14394" s="46" t="str">
        <f>IF(AND(I.Developer.P2b=TRUE,I.Facility.P2bFacilityCount&gt;=4382,F14394=""),"Incomplete","Complete")</f>
        <v>Complete</v>
      </c>
      <c r="I14394" s="48" t="s">
        <v>18759</v>
      </c>
    </row>
    <row r="14395" spans="2:9" ht="15" customHeight="1" x14ac:dyDescent="0.25">
      <c r="B14395" s="55" t="s">
        <v>281</v>
      </c>
      <c r="C14395" s="46">
        <v>4383</v>
      </c>
      <c r="D14395" s="69" t="s">
        <v>29418</v>
      </c>
      <c r="E14395" s="51"/>
      <c r="F14395" s="114" t="str">
        <f>IF(INDEX(I.Facility.P2bIDNumber,4383)="","",INDEX(I.Facility.P2bIDNumber,4383))</f>
        <v/>
      </c>
      <c r="G14395" s="51"/>
      <c r="H14395" s="46" t="str">
        <f>IF(AND(I.Developer.P2b=TRUE,I.Facility.P2bFacilityCount&gt;=4383,F14395=""),"Incomplete","Complete")</f>
        <v>Complete</v>
      </c>
      <c r="I14395" s="48" t="s">
        <v>18760</v>
      </c>
    </row>
    <row r="14396" spans="2:9" ht="15" customHeight="1" x14ac:dyDescent="0.25">
      <c r="B14396" s="55" t="s">
        <v>281</v>
      </c>
      <c r="C14396" s="46">
        <v>4384</v>
      </c>
      <c r="D14396" s="69" t="s">
        <v>29418</v>
      </c>
      <c r="E14396" s="51"/>
      <c r="F14396" s="114" t="str">
        <f>IF(INDEX(I.Facility.P2bIDNumber,4384)="","",INDEX(I.Facility.P2bIDNumber,4384))</f>
        <v/>
      </c>
      <c r="G14396" s="51"/>
      <c r="H14396" s="46" t="str">
        <f>IF(AND(I.Developer.P2b=TRUE,I.Facility.P2bFacilityCount&gt;=4384,F14396=""),"Incomplete","Complete")</f>
        <v>Complete</v>
      </c>
      <c r="I14396" s="48" t="s">
        <v>18761</v>
      </c>
    </row>
    <row r="14397" spans="2:9" ht="15" customHeight="1" x14ac:dyDescent="0.25">
      <c r="B14397" s="55" t="s">
        <v>281</v>
      </c>
      <c r="C14397" s="46">
        <v>4385</v>
      </c>
      <c r="D14397" s="69" t="s">
        <v>29418</v>
      </c>
      <c r="E14397" s="51"/>
      <c r="F14397" s="114" t="str">
        <f>IF(INDEX(I.Facility.P2bIDNumber,4385)="","",INDEX(I.Facility.P2bIDNumber,4385))</f>
        <v/>
      </c>
      <c r="G14397" s="51"/>
      <c r="H14397" s="46" t="str">
        <f>IF(AND(I.Developer.P2b=TRUE,I.Facility.P2bFacilityCount&gt;=4385,F14397=""),"Incomplete","Complete")</f>
        <v>Complete</v>
      </c>
      <c r="I14397" s="48" t="s">
        <v>18762</v>
      </c>
    </row>
    <row r="14398" spans="2:9" ht="15" customHeight="1" x14ac:dyDescent="0.25">
      <c r="B14398" s="55" t="s">
        <v>281</v>
      </c>
      <c r="C14398" s="46">
        <v>4386</v>
      </c>
      <c r="D14398" s="69" t="s">
        <v>29418</v>
      </c>
      <c r="E14398" s="51"/>
      <c r="F14398" s="114" t="str">
        <f>IF(INDEX(I.Facility.P2bIDNumber,4386)="","",INDEX(I.Facility.P2bIDNumber,4386))</f>
        <v/>
      </c>
      <c r="G14398" s="51"/>
      <c r="H14398" s="46" t="str">
        <f>IF(AND(I.Developer.P2b=TRUE,I.Facility.P2bFacilityCount&gt;=4386,F14398=""),"Incomplete","Complete")</f>
        <v>Complete</v>
      </c>
      <c r="I14398" s="48" t="s">
        <v>18763</v>
      </c>
    </row>
    <row r="14399" spans="2:9" ht="15" customHeight="1" x14ac:dyDescent="0.25">
      <c r="B14399" s="55" t="s">
        <v>281</v>
      </c>
      <c r="C14399" s="46">
        <v>4387</v>
      </c>
      <c r="D14399" s="69" t="s">
        <v>29418</v>
      </c>
      <c r="E14399" s="51"/>
      <c r="F14399" s="114" t="str">
        <f>IF(INDEX(I.Facility.P2bIDNumber,4387)="","",INDEX(I.Facility.P2bIDNumber,4387))</f>
        <v/>
      </c>
      <c r="G14399" s="51"/>
      <c r="H14399" s="46" t="str">
        <f>IF(AND(I.Developer.P2b=TRUE,I.Facility.P2bFacilityCount&gt;=4387,F14399=""),"Incomplete","Complete")</f>
        <v>Complete</v>
      </c>
      <c r="I14399" s="48" t="s">
        <v>18764</v>
      </c>
    </row>
    <row r="14400" spans="2:9" ht="15" customHeight="1" x14ac:dyDescent="0.25">
      <c r="B14400" s="55" t="s">
        <v>281</v>
      </c>
      <c r="C14400" s="46">
        <v>4388</v>
      </c>
      <c r="D14400" s="69" t="s">
        <v>29418</v>
      </c>
      <c r="E14400" s="51"/>
      <c r="F14400" s="114" t="str">
        <f>IF(INDEX(I.Facility.P2bIDNumber,4388)="","",INDEX(I.Facility.P2bIDNumber,4388))</f>
        <v/>
      </c>
      <c r="G14400" s="51"/>
      <c r="H14400" s="46" t="str">
        <f>IF(AND(I.Developer.P2b=TRUE,I.Facility.P2bFacilityCount&gt;=4388,F14400=""),"Incomplete","Complete")</f>
        <v>Complete</v>
      </c>
      <c r="I14400" s="48" t="s">
        <v>18765</v>
      </c>
    </row>
    <row r="14401" spans="2:9" ht="15" customHeight="1" x14ac:dyDescent="0.25">
      <c r="B14401" s="55" t="s">
        <v>281</v>
      </c>
      <c r="C14401" s="46">
        <v>4389</v>
      </c>
      <c r="D14401" s="69" t="s">
        <v>29418</v>
      </c>
      <c r="E14401" s="51"/>
      <c r="F14401" s="114" t="str">
        <f>IF(INDEX(I.Facility.P2bIDNumber,4389)="","",INDEX(I.Facility.P2bIDNumber,4389))</f>
        <v/>
      </c>
      <c r="G14401" s="51"/>
      <c r="H14401" s="46" t="str">
        <f>IF(AND(I.Developer.P2b=TRUE,I.Facility.P2bFacilityCount&gt;=4389,F14401=""),"Incomplete","Complete")</f>
        <v>Complete</v>
      </c>
      <c r="I14401" s="48" t="s">
        <v>18766</v>
      </c>
    </row>
    <row r="14402" spans="2:9" ht="15" customHeight="1" x14ac:dyDescent="0.25">
      <c r="B14402" s="55" t="s">
        <v>281</v>
      </c>
      <c r="C14402" s="46">
        <v>4390</v>
      </c>
      <c r="D14402" s="69" t="s">
        <v>29418</v>
      </c>
      <c r="E14402" s="51"/>
      <c r="F14402" s="114" t="str">
        <f>IF(INDEX(I.Facility.P2bIDNumber,4390)="","",INDEX(I.Facility.P2bIDNumber,4390))</f>
        <v/>
      </c>
      <c r="G14402" s="51"/>
      <c r="H14402" s="46" t="str">
        <f>IF(AND(I.Developer.P2b=TRUE,I.Facility.P2bFacilityCount&gt;=4390,F14402=""),"Incomplete","Complete")</f>
        <v>Complete</v>
      </c>
      <c r="I14402" s="48" t="s">
        <v>18767</v>
      </c>
    </row>
    <row r="14403" spans="2:9" ht="15" customHeight="1" x14ac:dyDescent="0.25">
      <c r="B14403" s="55" t="s">
        <v>281</v>
      </c>
      <c r="C14403" s="46">
        <v>4391</v>
      </c>
      <c r="D14403" s="69" t="s">
        <v>29418</v>
      </c>
      <c r="E14403" s="51"/>
      <c r="F14403" s="114" t="str">
        <f>IF(INDEX(I.Facility.P2bIDNumber,4391)="","",INDEX(I.Facility.P2bIDNumber,4391))</f>
        <v/>
      </c>
      <c r="G14403" s="51"/>
      <c r="H14403" s="46" t="str">
        <f>IF(AND(I.Developer.P2b=TRUE,I.Facility.P2bFacilityCount&gt;=4391,F14403=""),"Incomplete","Complete")</f>
        <v>Complete</v>
      </c>
      <c r="I14403" s="48" t="s">
        <v>18768</v>
      </c>
    </row>
    <row r="14404" spans="2:9" ht="15" customHeight="1" x14ac:dyDescent="0.25">
      <c r="B14404" s="55" t="s">
        <v>281</v>
      </c>
      <c r="C14404" s="46">
        <v>4392</v>
      </c>
      <c r="D14404" s="69" t="s">
        <v>29418</v>
      </c>
      <c r="E14404" s="51"/>
      <c r="F14404" s="114" t="str">
        <f>IF(INDEX(I.Facility.P2bIDNumber,4392)="","",INDEX(I.Facility.P2bIDNumber,4392))</f>
        <v/>
      </c>
      <c r="G14404" s="51"/>
      <c r="H14404" s="46" t="str">
        <f>IF(AND(I.Developer.P2b=TRUE,I.Facility.P2bFacilityCount&gt;=4392,F14404=""),"Incomplete","Complete")</f>
        <v>Complete</v>
      </c>
      <c r="I14404" s="48" t="s">
        <v>18769</v>
      </c>
    </row>
    <row r="14405" spans="2:9" ht="15" customHeight="1" x14ac:dyDescent="0.25">
      <c r="B14405" s="55" t="s">
        <v>281</v>
      </c>
      <c r="C14405" s="46">
        <v>4393</v>
      </c>
      <c r="D14405" s="69" t="s">
        <v>29418</v>
      </c>
      <c r="E14405" s="51"/>
      <c r="F14405" s="114" t="str">
        <f>IF(INDEX(I.Facility.P2bIDNumber,4393)="","",INDEX(I.Facility.P2bIDNumber,4393))</f>
        <v/>
      </c>
      <c r="G14405" s="51"/>
      <c r="H14405" s="46" t="str">
        <f>IF(AND(I.Developer.P2b=TRUE,I.Facility.P2bFacilityCount&gt;=4393,F14405=""),"Incomplete","Complete")</f>
        <v>Complete</v>
      </c>
      <c r="I14405" s="48" t="s">
        <v>18770</v>
      </c>
    </row>
    <row r="14406" spans="2:9" ht="15" customHeight="1" x14ac:dyDescent="0.25">
      <c r="B14406" s="55" t="s">
        <v>281</v>
      </c>
      <c r="C14406" s="46">
        <v>4394</v>
      </c>
      <c r="D14406" s="69" t="s">
        <v>29418</v>
      </c>
      <c r="E14406" s="51"/>
      <c r="F14406" s="114" t="str">
        <f>IF(INDEX(I.Facility.P2bIDNumber,4394)="","",INDEX(I.Facility.P2bIDNumber,4394))</f>
        <v/>
      </c>
      <c r="G14406" s="51"/>
      <c r="H14406" s="46" t="str">
        <f>IF(AND(I.Developer.P2b=TRUE,I.Facility.P2bFacilityCount&gt;=4394,F14406=""),"Incomplete","Complete")</f>
        <v>Complete</v>
      </c>
      <c r="I14406" s="48" t="s">
        <v>18771</v>
      </c>
    </row>
    <row r="14407" spans="2:9" ht="15" customHeight="1" x14ac:dyDescent="0.25">
      <c r="B14407" s="55" t="s">
        <v>281</v>
      </c>
      <c r="C14407" s="46">
        <v>4395</v>
      </c>
      <c r="D14407" s="69" t="s">
        <v>29418</v>
      </c>
      <c r="E14407" s="51"/>
      <c r="F14407" s="114" t="str">
        <f>IF(INDEX(I.Facility.P2bIDNumber,4395)="","",INDEX(I.Facility.P2bIDNumber,4395))</f>
        <v/>
      </c>
      <c r="G14407" s="51"/>
      <c r="H14407" s="46" t="str">
        <f>IF(AND(I.Developer.P2b=TRUE,I.Facility.P2bFacilityCount&gt;=4395,F14407=""),"Incomplete","Complete")</f>
        <v>Complete</v>
      </c>
      <c r="I14407" s="48" t="s">
        <v>18772</v>
      </c>
    </row>
    <row r="14408" spans="2:9" ht="15" customHeight="1" x14ac:dyDescent="0.25">
      <c r="B14408" s="55" t="s">
        <v>281</v>
      </c>
      <c r="C14408" s="46">
        <v>4396</v>
      </c>
      <c r="D14408" s="69" t="s">
        <v>29418</v>
      </c>
      <c r="E14408" s="51"/>
      <c r="F14408" s="114" t="str">
        <f>IF(INDEX(I.Facility.P2bIDNumber,4396)="","",INDEX(I.Facility.P2bIDNumber,4396))</f>
        <v/>
      </c>
      <c r="G14408" s="51"/>
      <c r="H14408" s="46" t="str">
        <f>IF(AND(I.Developer.P2b=TRUE,I.Facility.P2bFacilityCount&gt;=4396,F14408=""),"Incomplete","Complete")</f>
        <v>Complete</v>
      </c>
      <c r="I14408" s="48" t="s">
        <v>18773</v>
      </c>
    </row>
    <row r="14409" spans="2:9" ht="15" customHeight="1" x14ac:dyDescent="0.25">
      <c r="B14409" s="55" t="s">
        <v>281</v>
      </c>
      <c r="C14409" s="46">
        <v>4397</v>
      </c>
      <c r="D14409" s="69" t="s">
        <v>29418</v>
      </c>
      <c r="E14409" s="51"/>
      <c r="F14409" s="114" t="str">
        <f>IF(INDEX(I.Facility.P2bIDNumber,4397)="","",INDEX(I.Facility.P2bIDNumber,4397))</f>
        <v/>
      </c>
      <c r="G14409" s="51"/>
      <c r="H14409" s="46" t="str">
        <f>IF(AND(I.Developer.P2b=TRUE,I.Facility.P2bFacilityCount&gt;=4397,F14409=""),"Incomplete","Complete")</f>
        <v>Complete</v>
      </c>
      <c r="I14409" s="48" t="s">
        <v>18774</v>
      </c>
    </row>
    <row r="14410" spans="2:9" ht="15" customHeight="1" x14ac:dyDescent="0.25">
      <c r="B14410" s="55" t="s">
        <v>281</v>
      </c>
      <c r="C14410" s="46">
        <v>4398</v>
      </c>
      <c r="D14410" s="69" t="s">
        <v>29418</v>
      </c>
      <c r="E14410" s="51"/>
      <c r="F14410" s="114" t="str">
        <f>IF(INDEX(I.Facility.P2bIDNumber,4398)="","",INDEX(I.Facility.P2bIDNumber,4398))</f>
        <v/>
      </c>
      <c r="G14410" s="51"/>
      <c r="H14410" s="46" t="str">
        <f>IF(AND(I.Developer.P2b=TRUE,I.Facility.P2bFacilityCount&gt;=4398,F14410=""),"Incomplete","Complete")</f>
        <v>Complete</v>
      </c>
      <c r="I14410" s="48" t="s">
        <v>18775</v>
      </c>
    </row>
    <row r="14411" spans="2:9" ht="15" customHeight="1" x14ac:dyDescent="0.25">
      <c r="B14411" s="55" t="s">
        <v>281</v>
      </c>
      <c r="C14411" s="46">
        <v>4399</v>
      </c>
      <c r="D14411" s="69" t="s">
        <v>29418</v>
      </c>
      <c r="E14411" s="51"/>
      <c r="F14411" s="114" t="str">
        <f>IF(INDEX(I.Facility.P2bIDNumber,4399)="","",INDEX(I.Facility.P2bIDNumber,4399))</f>
        <v/>
      </c>
      <c r="G14411" s="51"/>
      <c r="H14411" s="46" t="str">
        <f>IF(AND(I.Developer.P2b=TRUE,I.Facility.P2bFacilityCount&gt;=4399,F14411=""),"Incomplete","Complete")</f>
        <v>Complete</v>
      </c>
      <c r="I14411" s="48" t="s">
        <v>18776</v>
      </c>
    </row>
    <row r="14412" spans="2:9" ht="15" customHeight="1" x14ac:dyDescent="0.25">
      <c r="B14412" s="55" t="s">
        <v>281</v>
      </c>
      <c r="C14412" s="46">
        <v>4400</v>
      </c>
      <c r="D14412" s="69" t="s">
        <v>29418</v>
      </c>
      <c r="E14412" s="51"/>
      <c r="F14412" s="114" t="str">
        <f>IF(INDEX(I.Facility.P2bIDNumber,4400)="","",INDEX(I.Facility.P2bIDNumber,4400))</f>
        <v/>
      </c>
      <c r="G14412" s="51"/>
      <c r="H14412" s="46" t="str">
        <f>IF(AND(I.Developer.P2b=TRUE,I.Facility.P2bFacilityCount&gt;=4400,F14412=""),"Incomplete","Complete")</f>
        <v>Complete</v>
      </c>
      <c r="I14412" s="48" t="s">
        <v>18777</v>
      </c>
    </row>
    <row r="14413" spans="2:9" ht="15" customHeight="1" x14ac:dyDescent="0.25">
      <c r="B14413" s="55" t="s">
        <v>281</v>
      </c>
      <c r="C14413" s="46">
        <v>4401</v>
      </c>
      <c r="D14413" s="69" t="s">
        <v>29418</v>
      </c>
      <c r="E14413" s="51"/>
      <c r="F14413" s="114" t="str">
        <f>IF(INDEX(I.Facility.P2bIDNumber,4401)="","",INDEX(I.Facility.P2bIDNumber,4401))</f>
        <v/>
      </c>
      <c r="G14413" s="51"/>
      <c r="H14413" s="46" t="str">
        <f>IF(AND(I.Developer.P2b=TRUE,I.Facility.P2bFacilityCount&gt;=4401,F14413=""),"Incomplete","Complete")</f>
        <v>Complete</v>
      </c>
      <c r="I14413" s="48" t="s">
        <v>18778</v>
      </c>
    </row>
    <row r="14414" spans="2:9" ht="15" customHeight="1" x14ac:dyDescent="0.25">
      <c r="B14414" s="55" t="s">
        <v>281</v>
      </c>
      <c r="C14414" s="46">
        <v>4402</v>
      </c>
      <c r="D14414" s="69" t="s">
        <v>29418</v>
      </c>
      <c r="E14414" s="51"/>
      <c r="F14414" s="114" t="str">
        <f>IF(INDEX(I.Facility.P2bIDNumber,4402)="","",INDEX(I.Facility.P2bIDNumber,4402))</f>
        <v/>
      </c>
      <c r="G14414" s="51"/>
      <c r="H14414" s="46" t="str">
        <f>IF(AND(I.Developer.P2b=TRUE,I.Facility.P2bFacilityCount&gt;=4402,F14414=""),"Incomplete","Complete")</f>
        <v>Complete</v>
      </c>
      <c r="I14414" s="48" t="s">
        <v>18779</v>
      </c>
    </row>
    <row r="14415" spans="2:9" ht="15" customHeight="1" x14ac:dyDescent="0.25">
      <c r="B14415" s="55" t="s">
        <v>281</v>
      </c>
      <c r="C14415" s="46">
        <v>4403</v>
      </c>
      <c r="D14415" s="69" t="s">
        <v>29418</v>
      </c>
      <c r="E14415" s="51"/>
      <c r="F14415" s="114" t="str">
        <f>IF(INDEX(I.Facility.P2bIDNumber,4403)="","",INDEX(I.Facility.P2bIDNumber,4403))</f>
        <v/>
      </c>
      <c r="G14415" s="51"/>
      <c r="H14415" s="46" t="str">
        <f>IF(AND(I.Developer.P2b=TRUE,I.Facility.P2bFacilityCount&gt;=4403,F14415=""),"Incomplete","Complete")</f>
        <v>Complete</v>
      </c>
      <c r="I14415" s="48" t="s">
        <v>18780</v>
      </c>
    </row>
    <row r="14416" spans="2:9" ht="15" customHeight="1" x14ac:dyDescent="0.25">
      <c r="B14416" s="55" t="s">
        <v>281</v>
      </c>
      <c r="C14416" s="46">
        <v>4404</v>
      </c>
      <c r="D14416" s="69" t="s">
        <v>29418</v>
      </c>
      <c r="E14416" s="51"/>
      <c r="F14416" s="114" t="str">
        <f>IF(INDEX(I.Facility.P2bIDNumber,4404)="","",INDEX(I.Facility.P2bIDNumber,4404))</f>
        <v/>
      </c>
      <c r="G14416" s="51"/>
      <c r="H14416" s="46" t="str">
        <f>IF(AND(I.Developer.P2b=TRUE,I.Facility.P2bFacilityCount&gt;=4404,F14416=""),"Incomplete","Complete")</f>
        <v>Complete</v>
      </c>
      <c r="I14416" s="48" t="s">
        <v>18781</v>
      </c>
    </row>
    <row r="14417" spans="2:9" ht="15" customHeight="1" x14ac:dyDescent="0.25">
      <c r="B14417" s="55" t="s">
        <v>281</v>
      </c>
      <c r="C14417" s="46">
        <v>4405</v>
      </c>
      <c r="D14417" s="69" t="s">
        <v>29418</v>
      </c>
      <c r="E14417" s="51"/>
      <c r="F14417" s="114" t="str">
        <f>IF(INDEX(I.Facility.P2bIDNumber,4405)="","",INDEX(I.Facility.P2bIDNumber,4405))</f>
        <v/>
      </c>
      <c r="G14417" s="51"/>
      <c r="H14417" s="46" t="str">
        <f>IF(AND(I.Developer.P2b=TRUE,I.Facility.P2bFacilityCount&gt;=4405,F14417=""),"Incomplete","Complete")</f>
        <v>Complete</v>
      </c>
      <c r="I14417" s="48" t="s">
        <v>18782</v>
      </c>
    </row>
    <row r="14418" spans="2:9" ht="15" customHeight="1" x14ac:dyDescent="0.25">
      <c r="B14418" s="55" t="s">
        <v>281</v>
      </c>
      <c r="C14418" s="46">
        <v>4406</v>
      </c>
      <c r="D14418" s="69" t="s">
        <v>29418</v>
      </c>
      <c r="E14418" s="51"/>
      <c r="F14418" s="114" t="str">
        <f>IF(INDEX(I.Facility.P2bIDNumber,4406)="","",INDEX(I.Facility.P2bIDNumber,4406))</f>
        <v/>
      </c>
      <c r="G14418" s="51"/>
      <c r="H14418" s="46" t="str">
        <f>IF(AND(I.Developer.P2b=TRUE,I.Facility.P2bFacilityCount&gt;=4406,F14418=""),"Incomplete","Complete")</f>
        <v>Complete</v>
      </c>
      <c r="I14418" s="48" t="s">
        <v>18783</v>
      </c>
    </row>
    <row r="14419" spans="2:9" ht="15" customHeight="1" x14ac:dyDescent="0.25">
      <c r="B14419" s="55" t="s">
        <v>281</v>
      </c>
      <c r="C14419" s="46">
        <v>4407</v>
      </c>
      <c r="D14419" s="69" t="s">
        <v>29418</v>
      </c>
      <c r="E14419" s="51"/>
      <c r="F14419" s="114" t="str">
        <f>IF(INDEX(I.Facility.P2bIDNumber,4407)="","",INDEX(I.Facility.P2bIDNumber,4407))</f>
        <v/>
      </c>
      <c r="G14419" s="51"/>
      <c r="H14419" s="46" t="str">
        <f>IF(AND(I.Developer.P2b=TRUE,I.Facility.P2bFacilityCount&gt;=4407,F14419=""),"Incomplete","Complete")</f>
        <v>Complete</v>
      </c>
      <c r="I14419" s="48" t="s">
        <v>18784</v>
      </c>
    </row>
    <row r="14420" spans="2:9" ht="15" customHeight="1" x14ac:dyDescent="0.25">
      <c r="B14420" s="55" t="s">
        <v>281</v>
      </c>
      <c r="C14420" s="46">
        <v>4408</v>
      </c>
      <c r="D14420" s="69" t="s">
        <v>29418</v>
      </c>
      <c r="E14420" s="51"/>
      <c r="F14420" s="114" t="str">
        <f>IF(INDEX(I.Facility.P2bIDNumber,4408)="","",INDEX(I.Facility.P2bIDNumber,4408))</f>
        <v/>
      </c>
      <c r="G14420" s="51"/>
      <c r="H14420" s="46" t="str">
        <f>IF(AND(I.Developer.P2b=TRUE,I.Facility.P2bFacilityCount&gt;=4408,F14420=""),"Incomplete","Complete")</f>
        <v>Complete</v>
      </c>
      <c r="I14420" s="48" t="s">
        <v>18785</v>
      </c>
    </row>
    <row r="14421" spans="2:9" ht="15" customHeight="1" x14ac:dyDescent="0.25">
      <c r="B14421" s="55" t="s">
        <v>281</v>
      </c>
      <c r="C14421" s="46">
        <v>4409</v>
      </c>
      <c r="D14421" s="69" t="s">
        <v>29418</v>
      </c>
      <c r="E14421" s="51"/>
      <c r="F14421" s="114" t="str">
        <f>IF(INDEX(I.Facility.P2bIDNumber,4409)="","",INDEX(I.Facility.P2bIDNumber,4409))</f>
        <v/>
      </c>
      <c r="G14421" s="51"/>
      <c r="H14421" s="46" t="str">
        <f>IF(AND(I.Developer.P2b=TRUE,I.Facility.P2bFacilityCount&gt;=4409,F14421=""),"Incomplete","Complete")</f>
        <v>Complete</v>
      </c>
      <c r="I14421" s="48" t="s">
        <v>18786</v>
      </c>
    </row>
    <row r="14422" spans="2:9" ht="15" customHeight="1" x14ac:dyDescent="0.25">
      <c r="B14422" s="55" t="s">
        <v>281</v>
      </c>
      <c r="C14422" s="46">
        <v>4410</v>
      </c>
      <c r="D14422" s="69" t="s">
        <v>29418</v>
      </c>
      <c r="E14422" s="51"/>
      <c r="F14422" s="114" t="str">
        <f>IF(INDEX(I.Facility.P2bIDNumber,4410)="","",INDEX(I.Facility.P2bIDNumber,4410))</f>
        <v/>
      </c>
      <c r="G14422" s="51"/>
      <c r="H14422" s="46" t="str">
        <f>IF(AND(I.Developer.P2b=TRUE,I.Facility.P2bFacilityCount&gt;=4410,F14422=""),"Incomplete","Complete")</f>
        <v>Complete</v>
      </c>
      <c r="I14422" s="48" t="s">
        <v>18787</v>
      </c>
    </row>
    <row r="14423" spans="2:9" ht="15" customHeight="1" x14ac:dyDescent="0.25">
      <c r="B14423" s="55" t="s">
        <v>281</v>
      </c>
      <c r="C14423" s="46">
        <v>4411</v>
      </c>
      <c r="D14423" s="69" t="s">
        <v>29418</v>
      </c>
      <c r="E14423" s="51"/>
      <c r="F14423" s="114" t="str">
        <f>IF(INDEX(I.Facility.P2bIDNumber,4411)="","",INDEX(I.Facility.P2bIDNumber,4411))</f>
        <v/>
      </c>
      <c r="G14423" s="51"/>
      <c r="H14423" s="46" t="str">
        <f>IF(AND(I.Developer.P2b=TRUE,I.Facility.P2bFacilityCount&gt;=4411,F14423=""),"Incomplete","Complete")</f>
        <v>Complete</v>
      </c>
      <c r="I14423" s="48" t="s">
        <v>18788</v>
      </c>
    </row>
    <row r="14424" spans="2:9" ht="15" customHeight="1" x14ac:dyDescent="0.25">
      <c r="B14424" s="55" t="s">
        <v>281</v>
      </c>
      <c r="C14424" s="46">
        <v>4412</v>
      </c>
      <c r="D14424" s="69" t="s">
        <v>29418</v>
      </c>
      <c r="E14424" s="51"/>
      <c r="F14424" s="114" t="str">
        <f>IF(INDEX(I.Facility.P2bIDNumber,4412)="","",INDEX(I.Facility.P2bIDNumber,4412))</f>
        <v/>
      </c>
      <c r="G14424" s="51"/>
      <c r="H14424" s="46" t="str">
        <f>IF(AND(I.Developer.P2b=TRUE,I.Facility.P2bFacilityCount&gt;=4412,F14424=""),"Incomplete","Complete")</f>
        <v>Complete</v>
      </c>
      <c r="I14424" s="48" t="s">
        <v>18789</v>
      </c>
    </row>
    <row r="14425" spans="2:9" ht="15" customHeight="1" x14ac:dyDescent="0.25">
      <c r="B14425" s="55" t="s">
        <v>281</v>
      </c>
      <c r="C14425" s="46">
        <v>4413</v>
      </c>
      <c r="D14425" s="69" t="s">
        <v>29418</v>
      </c>
      <c r="E14425" s="51"/>
      <c r="F14425" s="114" t="str">
        <f>IF(INDEX(I.Facility.P2bIDNumber,4413)="","",INDEX(I.Facility.P2bIDNumber,4413))</f>
        <v/>
      </c>
      <c r="G14425" s="51"/>
      <c r="H14425" s="46" t="str">
        <f>IF(AND(I.Developer.P2b=TRUE,I.Facility.P2bFacilityCount&gt;=4413,F14425=""),"Incomplete","Complete")</f>
        <v>Complete</v>
      </c>
      <c r="I14425" s="48" t="s">
        <v>18790</v>
      </c>
    </row>
    <row r="14426" spans="2:9" ht="15" customHeight="1" x14ac:dyDescent="0.25">
      <c r="B14426" s="55" t="s">
        <v>281</v>
      </c>
      <c r="C14426" s="46">
        <v>4414</v>
      </c>
      <c r="D14426" s="69" t="s">
        <v>29418</v>
      </c>
      <c r="E14426" s="51"/>
      <c r="F14426" s="114" t="str">
        <f>IF(INDEX(I.Facility.P2bIDNumber,4414)="","",INDEX(I.Facility.P2bIDNumber,4414))</f>
        <v/>
      </c>
      <c r="G14426" s="51"/>
      <c r="H14426" s="46" t="str">
        <f>IF(AND(I.Developer.P2b=TRUE,I.Facility.P2bFacilityCount&gt;=4414,F14426=""),"Incomplete","Complete")</f>
        <v>Complete</v>
      </c>
      <c r="I14426" s="48" t="s">
        <v>18791</v>
      </c>
    </row>
    <row r="14427" spans="2:9" ht="15" customHeight="1" x14ac:dyDescent="0.25">
      <c r="B14427" s="55" t="s">
        <v>281</v>
      </c>
      <c r="C14427" s="46">
        <v>4415</v>
      </c>
      <c r="D14427" s="69" t="s">
        <v>29418</v>
      </c>
      <c r="E14427" s="51"/>
      <c r="F14427" s="114" t="str">
        <f>IF(INDEX(I.Facility.P2bIDNumber,4415)="","",INDEX(I.Facility.P2bIDNumber,4415))</f>
        <v/>
      </c>
      <c r="G14427" s="51"/>
      <c r="H14427" s="46" t="str">
        <f>IF(AND(I.Developer.P2b=TRUE,I.Facility.P2bFacilityCount&gt;=4415,F14427=""),"Incomplete","Complete")</f>
        <v>Complete</v>
      </c>
      <c r="I14427" s="48" t="s">
        <v>18792</v>
      </c>
    </row>
    <row r="14428" spans="2:9" ht="15" customHeight="1" x14ac:dyDescent="0.25">
      <c r="B14428" s="55" t="s">
        <v>281</v>
      </c>
      <c r="C14428" s="46">
        <v>4416</v>
      </c>
      <c r="D14428" s="69" t="s">
        <v>29418</v>
      </c>
      <c r="E14428" s="51"/>
      <c r="F14428" s="114" t="str">
        <f>IF(INDEX(I.Facility.P2bIDNumber,4416)="","",INDEX(I.Facility.P2bIDNumber,4416))</f>
        <v/>
      </c>
      <c r="G14428" s="51"/>
      <c r="H14428" s="46" t="str">
        <f>IF(AND(I.Developer.P2b=TRUE,I.Facility.P2bFacilityCount&gt;=4416,F14428=""),"Incomplete","Complete")</f>
        <v>Complete</v>
      </c>
      <c r="I14428" s="48" t="s">
        <v>18793</v>
      </c>
    </row>
    <row r="14429" spans="2:9" ht="15" customHeight="1" x14ac:dyDescent="0.25">
      <c r="B14429" s="55" t="s">
        <v>281</v>
      </c>
      <c r="C14429" s="46">
        <v>4417</v>
      </c>
      <c r="D14429" s="69" t="s">
        <v>29418</v>
      </c>
      <c r="E14429" s="51"/>
      <c r="F14429" s="114" t="str">
        <f>IF(INDEX(I.Facility.P2bIDNumber,4417)="","",INDEX(I.Facility.P2bIDNumber,4417))</f>
        <v/>
      </c>
      <c r="G14429" s="51"/>
      <c r="H14429" s="46" t="str">
        <f>IF(AND(I.Developer.P2b=TRUE,I.Facility.P2bFacilityCount&gt;=4417,F14429=""),"Incomplete","Complete")</f>
        <v>Complete</v>
      </c>
      <c r="I14429" s="48" t="s">
        <v>18794</v>
      </c>
    </row>
    <row r="14430" spans="2:9" ht="15" customHeight="1" x14ac:dyDescent="0.25">
      <c r="B14430" s="55" t="s">
        <v>281</v>
      </c>
      <c r="C14430" s="46">
        <v>4418</v>
      </c>
      <c r="D14430" s="69" t="s">
        <v>29418</v>
      </c>
      <c r="E14430" s="51"/>
      <c r="F14430" s="114" t="str">
        <f>IF(INDEX(I.Facility.P2bIDNumber,4418)="","",INDEX(I.Facility.P2bIDNumber,4418))</f>
        <v/>
      </c>
      <c r="G14430" s="51"/>
      <c r="H14430" s="46" t="str">
        <f>IF(AND(I.Developer.P2b=TRUE,I.Facility.P2bFacilityCount&gt;=4418,F14430=""),"Incomplete","Complete")</f>
        <v>Complete</v>
      </c>
      <c r="I14430" s="48" t="s">
        <v>18795</v>
      </c>
    </row>
    <row r="14431" spans="2:9" ht="15" customHeight="1" x14ac:dyDescent="0.25">
      <c r="B14431" s="55" t="s">
        <v>281</v>
      </c>
      <c r="C14431" s="46">
        <v>4419</v>
      </c>
      <c r="D14431" s="69" t="s">
        <v>29418</v>
      </c>
      <c r="E14431" s="51"/>
      <c r="F14431" s="114" t="str">
        <f>IF(INDEX(I.Facility.P2bIDNumber,4419)="","",INDEX(I.Facility.P2bIDNumber,4419))</f>
        <v/>
      </c>
      <c r="G14431" s="51"/>
      <c r="H14431" s="46" t="str">
        <f>IF(AND(I.Developer.P2b=TRUE,I.Facility.P2bFacilityCount&gt;=4419,F14431=""),"Incomplete","Complete")</f>
        <v>Complete</v>
      </c>
      <c r="I14431" s="48" t="s">
        <v>18796</v>
      </c>
    </row>
    <row r="14432" spans="2:9" ht="15" customHeight="1" x14ac:dyDescent="0.25">
      <c r="B14432" s="55" t="s">
        <v>281</v>
      </c>
      <c r="C14432" s="46">
        <v>4420</v>
      </c>
      <c r="D14432" s="69" t="s">
        <v>29418</v>
      </c>
      <c r="E14432" s="51"/>
      <c r="F14432" s="114" t="str">
        <f>IF(INDEX(I.Facility.P2bIDNumber,4420)="","",INDEX(I.Facility.P2bIDNumber,4420))</f>
        <v/>
      </c>
      <c r="G14432" s="51"/>
      <c r="H14432" s="46" t="str">
        <f>IF(AND(I.Developer.P2b=TRUE,I.Facility.P2bFacilityCount&gt;=4420,F14432=""),"Incomplete","Complete")</f>
        <v>Complete</v>
      </c>
      <c r="I14432" s="48" t="s">
        <v>18797</v>
      </c>
    </row>
    <row r="14433" spans="2:9" ht="15" customHeight="1" x14ac:dyDescent="0.25">
      <c r="B14433" s="55" t="s">
        <v>281</v>
      </c>
      <c r="C14433" s="46">
        <v>4421</v>
      </c>
      <c r="D14433" s="69" t="s">
        <v>29418</v>
      </c>
      <c r="E14433" s="51"/>
      <c r="F14433" s="114" t="str">
        <f>IF(INDEX(I.Facility.P2bIDNumber,4421)="","",INDEX(I.Facility.P2bIDNumber,4421))</f>
        <v/>
      </c>
      <c r="G14433" s="51"/>
      <c r="H14433" s="46" t="str">
        <f>IF(AND(I.Developer.P2b=TRUE,I.Facility.P2bFacilityCount&gt;=4421,F14433=""),"Incomplete","Complete")</f>
        <v>Complete</v>
      </c>
      <c r="I14433" s="48" t="s">
        <v>18798</v>
      </c>
    </row>
    <row r="14434" spans="2:9" ht="15" customHeight="1" x14ac:dyDescent="0.25">
      <c r="B14434" s="55" t="s">
        <v>281</v>
      </c>
      <c r="C14434" s="46">
        <v>4422</v>
      </c>
      <c r="D14434" s="69" t="s">
        <v>29418</v>
      </c>
      <c r="E14434" s="51"/>
      <c r="F14434" s="114" t="str">
        <f>IF(INDEX(I.Facility.P2bIDNumber,4422)="","",INDEX(I.Facility.P2bIDNumber,4422))</f>
        <v/>
      </c>
      <c r="G14434" s="51"/>
      <c r="H14434" s="46" t="str">
        <f>IF(AND(I.Developer.P2b=TRUE,I.Facility.P2bFacilityCount&gt;=4422,F14434=""),"Incomplete","Complete")</f>
        <v>Complete</v>
      </c>
      <c r="I14434" s="48" t="s">
        <v>18799</v>
      </c>
    </row>
    <row r="14435" spans="2:9" ht="15" customHeight="1" x14ac:dyDescent="0.25">
      <c r="B14435" s="55" t="s">
        <v>281</v>
      </c>
      <c r="C14435" s="46">
        <v>4423</v>
      </c>
      <c r="D14435" s="69" t="s">
        <v>29418</v>
      </c>
      <c r="E14435" s="51"/>
      <c r="F14435" s="114" t="str">
        <f>IF(INDEX(I.Facility.P2bIDNumber,4423)="","",INDEX(I.Facility.P2bIDNumber,4423))</f>
        <v/>
      </c>
      <c r="G14435" s="51"/>
      <c r="H14435" s="46" t="str">
        <f>IF(AND(I.Developer.P2b=TRUE,I.Facility.P2bFacilityCount&gt;=4423,F14435=""),"Incomplete","Complete")</f>
        <v>Complete</v>
      </c>
      <c r="I14435" s="48" t="s">
        <v>18800</v>
      </c>
    </row>
    <row r="14436" spans="2:9" ht="15" customHeight="1" x14ac:dyDescent="0.25">
      <c r="B14436" s="55" t="s">
        <v>281</v>
      </c>
      <c r="C14436" s="46">
        <v>4424</v>
      </c>
      <c r="D14436" s="69" t="s">
        <v>29418</v>
      </c>
      <c r="E14436" s="51"/>
      <c r="F14436" s="114" t="str">
        <f>IF(INDEX(I.Facility.P2bIDNumber,4424)="","",INDEX(I.Facility.P2bIDNumber,4424))</f>
        <v/>
      </c>
      <c r="G14436" s="51"/>
      <c r="H14436" s="46" t="str">
        <f>IF(AND(I.Developer.P2b=TRUE,I.Facility.P2bFacilityCount&gt;=4424,F14436=""),"Incomplete","Complete")</f>
        <v>Complete</v>
      </c>
      <c r="I14436" s="48" t="s">
        <v>18801</v>
      </c>
    </row>
    <row r="14437" spans="2:9" ht="15" customHeight="1" x14ac:dyDescent="0.25">
      <c r="B14437" s="55" t="s">
        <v>281</v>
      </c>
      <c r="C14437" s="46">
        <v>4425</v>
      </c>
      <c r="D14437" s="69" t="s">
        <v>29418</v>
      </c>
      <c r="E14437" s="51"/>
      <c r="F14437" s="114" t="str">
        <f>IF(INDEX(I.Facility.P2bIDNumber,4425)="","",INDEX(I.Facility.P2bIDNumber,4425))</f>
        <v/>
      </c>
      <c r="G14437" s="51"/>
      <c r="H14437" s="46" t="str">
        <f>IF(AND(I.Developer.P2b=TRUE,I.Facility.P2bFacilityCount&gt;=4425,F14437=""),"Incomplete","Complete")</f>
        <v>Complete</v>
      </c>
      <c r="I14437" s="48" t="s">
        <v>18802</v>
      </c>
    </row>
    <row r="14438" spans="2:9" ht="15" customHeight="1" x14ac:dyDescent="0.25">
      <c r="B14438" s="55" t="s">
        <v>281</v>
      </c>
      <c r="C14438" s="46">
        <v>4426</v>
      </c>
      <c r="D14438" s="69" t="s">
        <v>29418</v>
      </c>
      <c r="E14438" s="51"/>
      <c r="F14438" s="114" t="str">
        <f>IF(INDEX(I.Facility.P2bIDNumber,4426)="","",INDEX(I.Facility.P2bIDNumber,4426))</f>
        <v/>
      </c>
      <c r="G14438" s="51"/>
      <c r="H14438" s="46" t="str">
        <f>IF(AND(I.Developer.P2b=TRUE,I.Facility.P2bFacilityCount&gt;=4426,F14438=""),"Incomplete","Complete")</f>
        <v>Complete</v>
      </c>
      <c r="I14438" s="48" t="s">
        <v>18803</v>
      </c>
    </row>
    <row r="14439" spans="2:9" ht="15" customHeight="1" x14ac:dyDescent="0.25">
      <c r="B14439" s="55" t="s">
        <v>281</v>
      </c>
      <c r="C14439" s="46">
        <v>4427</v>
      </c>
      <c r="D14439" s="69" t="s">
        <v>29418</v>
      </c>
      <c r="E14439" s="51"/>
      <c r="F14439" s="114" t="str">
        <f>IF(INDEX(I.Facility.P2bIDNumber,4427)="","",INDEX(I.Facility.P2bIDNumber,4427))</f>
        <v/>
      </c>
      <c r="G14439" s="51"/>
      <c r="H14439" s="46" t="str">
        <f>IF(AND(I.Developer.P2b=TRUE,I.Facility.P2bFacilityCount&gt;=4427,F14439=""),"Incomplete","Complete")</f>
        <v>Complete</v>
      </c>
      <c r="I14439" s="48" t="s">
        <v>18804</v>
      </c>
    </row>
    <row r="14440" spans="2:9" ht="15" customHeight="1" x14ac:dyDescent="0.25">
      <c r="B14440" s="55" t="s">
        <v>281</v>
      </c>
      <c r="C14440" s="46">
        <v>4428</v>
      </c>
      <c r="D14440" s="69" t="s">
        <v>29418</v>
      </c>
      <c r="E14440" s="51"/>
      <c r="F14440" s="114" t="str">
        <f>IF(INDEX(I.Facility.P2bIDNumber,4428)="","",INDEX(I.Facility.P2bIDNumber,4428))</f>
        <v/>
      </c>
      <c r="G14440" s="51"/>
      <c r="H14440" s="46" t="str">
        <f>IF(AND(I.Developer.P2b=TRUE,I.Facility.P2bFacilityCount&gt;=4428,F14440=""),"Incomplete","Complete")</f>
        <v>Complete</v>
      </c>
      <c r="I14440" s="48" t="s">
        <v>18805</v>
      </c>
    </row>
    <row r="14441" spans="2:9" ht="15" customHeight="1" x14ac:dyDescent="0.25">
      <c r="B14441" s="55" t="s">
        <v>281</v>
      </c>
      <c r="C14441" s="46">
        <v>4429</v>
      </c>
      <c r="D14441" s="69" t="s">
        <v>29418</v>
      </c>
      <c r="E14441" s="51"/>
      <c r="F14441" s="114" t="str">
        <f>IF(INDEX(I.Facility.P2bIDNumber,4429)="","",INDEX(I.Facility.P2bIDNumber,4429))</f>
        <v/>
      </c>
      <c r="G14441" s="51"/>
      <c r="H14441" s="46" t="str">
        <f>IF(AND(I.Developer.P2b=TRUE,I.Facility.P2bFacilityCount&gt;=4429,F14441=""),"Incomplete","Complete")</f>
        <v>Complete</v>
      </c>
      <c r="I14441" s="48" t="s">
        <v>18806</v>
      </c>
    </row>
    <row r="14442" spans="2:9" ht="15" customHeight="1" x14ac:dyDescent="0.25">
      <c r="B14442" s="55" t="s">
        <v>281</v>
      </c>
      <c r="C14442" s="46">
        <v>4430</v>
      </c>
      <c r="D14442" s="69" t="s">
        <v>29418</v>
      </c>
      <c r="E14442" s="51"/>
      <c r="F14442" s="114" t="str">
        <f>IF(INDEX(I.Facility.P2bIDNumber,4430)="","",INDEX(I.Facility.P2bIDNumber,4430))</f>
        <v/>
      </c>
      <c r="G14442" s="51"/>
      <c r="H14442" s="46" t="str">
        <f>IF(AND(I.Developer.P2b=TRUE,I.Facility.P2bFacilityCount&gt;=4430,F14442=""),"Incomplete","Complete")</f>
        <v>Complete</v>
      </c>
      <c r="I14442" s="48" t="s">
        <v>18807</v>
      </c>
    </row>
    <row r="14443" spans="2:9" ht="15" customHeight="1" x14ac:dyDescent="0.25">
      <c r="B14443" s="55" t="s">
        <v>281</v>
      </c>
      <c r="C14443" s="46">
        <v>4431</v>
      </c>
      <c r="D14443" s="69" t="s">
        <v>29418</v>
      </c>
      <c r="E14443" s="51"/>
      <c r="F14443" s="114" t="str">
        <f>IF(INDEX(I.Facility.P2bIDNumber,4431)="","",INDEX(I.Facility.P2bIDNumber,4431))</f>
        <v/>
      </c>
      <c r="G14443" s="51"/>
      <c r="H14443" s="46" t="str">
        <f>IF(AND(I.Developer.P2b=TRUE,I.Facility.P2bFacilityCount&gt;=4431,F14443=""),"Incomplete","Complete")</f>
        <v>Complete</v>
      </c>
      <c r="I14443" s="48" t="s">
        <v>18808</v>
      </c>
    </row>
    <row r="14444" spans="2:9" ht="15" customHeight="1" x14ac:dyDescent="0.25">
      <c r="B14444" s="55" t="s">
        <v>281</v>
      </c>
      <c r="C14444" s="46">
        <v>4432</v>
      </c>
      <c r="D14444" s="69" t="s">
        <v>29418</v>
      </c>
      <c r="E14444" s="51"/>
      <c r="F14444" s="114" t="str">
        <f>IF(INDEX(I.Facility.P2bIDNumber,4432)="","",INDEX(I.Facility.P2bIDNumber,4432))</f>
        <v/>
      </c>
      <c r="G14444" s="51"/>
      <c r="H14444" s="46" t="str">
        <f>IF(AND(I.Developer.P2b=TRUE,I.Facility.P2bFacilityCount&gt;=4432,F14444=""),"Incomplete","Complete")</f>
        <v>Complete</v>
      </c>
      <c r="I14444" s="48" t="s">
        <v>18809</v>
      </c>
    </row>
    <row r="14445" spans="2:9" ht="15" customHeight="1" x14ac:dyDescent="0.25">
      <c r="B14445" s="55" t="s">
        <v>281</v>
      </c>
      <c r="C14445" s="46">
        <v>4433</v>
      </c>
      <c r="D14445" s="69" t="s">
        <v>29418</v>
      </c>
      <c r="E14445" s="51"/>
      <c r="F14445" s="114" t="str">
        <f>IF(INDEX(I.Facility.P2bIDNumber,4433)="","",INDEX(I.Facility.P2bIDNumber,4433))</f>
        <v/>
      </c>
      <c r="G14445" s="51"/>
      <c r="H14445" s="46" t="str">
        <f>IF(AND(I.Developer.P2b=TRUE,I.Facility.P2bFacilityCount&gt;=4433,F14445=""),"Incomplete","Complete")</f>
        <v>Complete</v>
      </c>
      <c r="I14445" s="48" t="s">
        <v>18810</v>
      </c>
    </row>
    <row r="14446" spans="2:9" ht="15" customHeight="1" x14ac:dyDescent="0.25">
      <c r="B14446" s="55" t="s">
        <v>281</v>
      </c>
      <c r="C14446" s="46">
        <v>4434</v>
      </c>
      <c r="D14446" s="69" t="s">
        <v>29418</v>
      </c>
      <c r="E14446" s="51"/>
      <c r="F14446" s="114" t="str">
        <f>IF(INDEX(I.Facility.P2bIDNumber,4434)="","",INDEX(I.Facility.P2bIDNumber,4434))</f>
        <v/>
      </c>
      <c r="G14446" s="51"/>
      <c r="H14446" s="46" t="str">
        <f>IF(AND(I.Developer.P2b=TRUE,I.Facility.P2bFacilityCount&gt;=4434,F14446=""),"Incomplete","Complete")</f>
        <v>Complete</v>
      </c>
      <c r="I14446" s="48" t="s">
        <v>18811</v>
      </c>
    </row>
    <row r="14447" spans="2:9" ht="15" customHeight="1" x14ac:dyDescent="0.25">
      <c r="B14447" s="55" t="s">
        <v>281</v>
      </c>
      <c r="C14447" s="46">
        <v>4435</v>
      </c>
      <c r="D14447" s="69" t="s">
        <v>29418</v>
      </c>
      <c r="E14447" s="51"/>
      <c r="F14447" s="114" t="str">
        <f>IF(INDEX(I.Facility.P2bIDNumber,4435)="","",INDEX(I.Facility.P2bIDNumber,4435))</f>
        <v/>
      </c>
      <c r="G14447" s="51"/>
      <c r="H14447" s="46" t="str">
        <f>IF(AND(I.Developer.P2b=TRUE,I.Facility.P2bFacilityCount&gt;=4435,F14447=""),"Incomplete","Complete")</f>
        <v>Complete</v>
      </c>
      <c r="I14447" s="48" t="s">
        <v>18812</v>
      </c>
    </row>
    <row r="14448" spans="2:9" ht="15" customHeight="1" x14ac:dyDescent="0.25">
      <c r="B14448" s="55" t="s">
        <v>281</v>
      </c>
      <c r="C14448" s="46">
        <v>4436</v>
      </c>
      <c r="D14448" s="69" t="s">
        <v>29418</v>
      </c>
      <c r="E14448" s="51"/>
      <c r="F14448" s="114" t="str">
        <f>IF(INDEX(I.Facility.P2bIDNumber,4436)="","",INDEX(I.Facility.P2bIDNumber,4436))</f>
        <v/>
      </c>
      <c r="G14448" s="51"/>
      <c r="H14448" s="46" t="str">
        <f>IF(AND(I.Developer.P2b=TRUE,I.Facility.P2bFacilityCount&gt;=4436,F14448=""),"Incomplete","Complete")</f>
        <v>Complete</v>
      </c>
      <c r="I14448" s="48" t="s">
        <v>18813</v>
      </c>
    </row>
    <row r="14449" spans="2:9" ht="15" customHeight="1" x14ac:dyDescent="0.25">
      <c r="B14449" s="55" t="s">
        <v>281</v>
      </c>
      <c r="C14449" s="46">
        <v>4437</v>
      </c>
      <c r="D14449" s="69" t="s">
        <v>29418</v>
      </c>
      <c r="E14449" s="51"/>
      <c r="F14449" s="114" t="str">
        <f>IF(INDEX(I.Facility.P2bIDNumber,4437)="","",INDEX(I.Facility.P2bIDNumber,4437))</f>
        <v/>
      </c>
      <c r="G14449" s="51"/>
      <c r="H14449" s="46" t="str">
        <f>IF(AND(I.Developer.P2b=TRUE,I.Facility.P2bFacilityCount&gt;=4437,F14449=""),"Incomplete","Complete")</f>
        <v>Complete</v>
      </c>
      <c r="I14449" s="48" t="s">
        <v>18814</v>
      </c>
    </row>
    <row r="14450" spans="2:9" ht="15" customHeight="1" x14ac:dyDescent="0.25">
      <c r="B14450" s="55" t="s">
        <v>281</v>
      </c>
      <c r="C14450" s="46">
        <v>4438</v>
      </c>
      <c r="D14450" s="69" t="s">
        <v>29418</v>
      </c>
      <c r="E14450" s="51"/>
      <c r="F14450" s="114" t="str">
        <f>IF(INDEX(I.Facility.P2bIDNumber,4438)="","",INDEX(I.Facility.P2bIDNumber,4438))</f>
        <v/>
      </c>
      <c r="G14450" s="51"/>
      <c r="H14450" s="46" t="str">
        <f>IF(AND(I.Developer.P2b=TRUE,I.Facility.P2bFacilityCount&gt;=4438,F14450=""),"Incomplete","Complete")</f>
        <v>Complete</v>
      </c>
      <c r="I14450" s="48" t="s">
        <v>18815</v>
      </c>
    </row>
    <row r="14451" spans="2:9" ht="15" customHeight="1" x14ac:dyDescent="0.25">
      <c r="B14451" s="55" t="s">
        <v>281</v>
      </c>
      <c r="C14451" s="46">
        <v>4439</v>
      </c>
      <c r="D14451" s="69" t="s">
        <v>29418</v>
      </c>
      <c r="E14451" s="51"/>
      <c r="F14451" s="114" t="str">
        <f>IF(INDEX(I.Facility.P2bIDNumber,4439)="","",INDEX(I.Facility.P2bIDNumber,4439))</f>
        <v/>
      </c>
      <c r="G14451" s="51"/>
      <c r="H14451" s="46" t="str">
        <f>IF(AND(I.Developer.P2b=TRUE,I.Facility.P2bFacilityCount&gt;=4439,F14451=""),"Incomplete","Complete")</f>
        <v>Complete</v>
      </c>
      <c r="I14451" s="48" t="s">
        <v>18816</v>
      </c>
    </row>
    <row r="14452" spans="2:9" ht="15" customHeight="1" x14ac:dyDescent="0.25">
      <c r="B14452" s="55" t="s">
        <v>281</v>
      </c>
      <c r="C14452" s="46">
        <v>4440</v>
      </c>
      <c r="D14452" s="69" t="s">
        <v>29418</v>
      </c>
      <c r="E14452" s="51"/>
      <c r="F14452" s="114" t="str">
        <f>IF(INDEX(I.Facility.P2bIDNumber,4440)="","",INDEX(I.Facility.P2bIDNumber,4440))</f>
        <v/>
      </c>
      <c r="G14452" s="51"/>
      <c r="H14452" s="46" t="str">
        <f>IF(AND(I.Developer.P2b=TRUE,I.Facility.P2bFacilityCount&gt;=4440,F14452=""),"Incomplete","Complete")</f>
        <v>Complete</v>
      </c>
      <c r="I14452" s="48" t="s">
        <v>18817</v>
      </c>
    </row>
    <row r="14453" spans="2:9" ht="15" customHeight="1" x14ac:dyDescent="0.25">
      <c r="B14453" s="55" t="s">
        <v>281</v>
      </c>
      <c r="C14453" s="46">
        <v>4441</v>
      </c>
      <c r="D14453" s="69" t="s">
        <v>29418</v>
      </c>
      <c r="E14453" s="51"/>
      <c r="F14453" s="114" t="str">
        <f>IF(INDEX(I.Facility.P2bIDNumber,4441)="","",INDEX(I.Facility.P2bIDNumber,4441))</f>
        <v/>
      </c>
      <c r="G14453" s="51"/>
      <c r="H14453" s="46" t="str">
        <f>IF(AND(I.Developer.P2b=TRUE,I.Facility.P2bFacilityCount&gt;=4441,F14453=""),"Incomplete","Complete")</f>
        <v>Complete</v>
      </c>
      <c r="I14453" s="48" t="s">
        <v>18818</v>
      </c>
    </row>
    <row r="14454" spans="2:9" ht="15" customHeight="1" x14ac:dyDescent="0.25">
      <c r="B14454" s="55" t="s">
        <v>281</v>
      </c>
      <c r="C14454" s="46">
        <v>4442</v>
      </c>
      <c r="D14454" s="69" t="s">
        <v>29418</v>
      </c>
      <c r="E14454" s="51"/>
      <c r="F14454" s="114" t="str">
        <f>IF(INDEX(I.Facility.P2bIDNumber,4442)="","",INDEX(I.Facility.P2bIDNumber,4442))</f>
        <v/>
      </c>
      <c r="G14454" s="51"/>
      <c r="H14454" s="46" t="str">
        <f>IF(AND(I.Developer.P2b=TRUE,I.Facility.P2bFacilityCount&gt;=4442,F14454=""),"Incomplete","Complete")</f>
        <v>Complete</v>
      </c>
      <c r="I14454" s="48" t="s">
        <v>18819</v>
      </c>
    </row>
    <row r="14455" spans="2:9" ht="15" customHeight="1" x14ac:dyDescent="0.25">
      <c r="B14455" s="55" t="s">
        <v>281</v>
      </c>
      <c r="C14455" s="46">
        <v>4443</v>
      </c>
      <c r="D14455" s="69" t="s">
        <v>29418</v>
      </c>
      <c r="E14455" s="51"/>
      <c r="F14455" s="114" t="str">
        <f>IF(INDEX(I.Facility.P2bIDNumber,4443)="","",INDEX(I.Facility.P2bIDNumber,4443))</f>
        <v/>
      </c>
      <c r="G14455" s="51"/>
      <c r="H14455" s="46" t="str">
        <f>IF(AND(I.Developer.P2b=TRUE,I.Facility.P2bFacilityCount&gt;=4443,F14455=""),"Incomplete","Complete")</f>
        <v>Complete</v>
      </c>
      <c r="I14455" s="48" t="s">
        <v>18820</v>
      </c>
    </row>
    <row r="14456" spans="2:9" ht="15" customHeight="1" x14ac:dyDescent="0.25">
      <c r="B14456" s="55" t="s">
        <v>281</v>
      </c>
      <c r="C14456" s="46">
        <v>4444</v>
      </c>
      <c r="D14456" s="69" t="s">
        <v>29418</v>
      </c>
      <c r="E14456" s="51"/>
      <c r="F14456" s="114" t="str">
        <f>IF(INDEX(I.Facility.P2bIDNumber,4444)="","",INDEX(I.Facility.P2bIDNumber,4444))</f>
        <v/>
      </c>
      <c r="G14456" s="51"/>
      <c r="H14456" s="46" t="str">
        <f>IF(AND(I.Developer.P2b=TRUE,I.Facility.P2bFacilityCount&gt;=4444,F14456=""),"Incomplete","Complete")</f>
        <v>Complete</v>
      </c>
      <c r="I14456" s="48" t="s">
        <v>18821</v>
      </c>
    </row>
    <row r="14457" spans="2:9" ht="15" customHeight="1" x14ac:dyDescent="0.25">
      <c r="B14457" s="55" t="s">
        <v>281</v>
      </c>
      <c r="C14457" s="46">
        <v>4445</v>
      </c>
      <c r="D14457" s="69" t="s">
        <v>29418</v>
      </c>
      <c r="E14457" s="51"/>
      <c r="F14457" s="114" t="str">
        <f>IF(INDEX(I.Facility.P2bIDNumber,4445)="","",INDEX(I.Facility.P2bIDNumber,4445))</f>
        <v/>
      </c>
      <c r="G14457" s="51"/>
      <c r="H14457" s="46" t="str">
        <f>IF(AND(I.Developer.P2b=TRUE,I.Facility.P2bFacilityCount&gt;=4445,F14457=""),"Incomplete","Complete")</f>
        <v>Complete</v>
      </c>
      <c r="I14457" s="48" t="s">
        <v>18822</v>
      </c>
    </row>
    <row r="14458" spans="2:9" ht="15" customHeight="1" x14ac:dyDescent="0.25">
      <c r="B14458" s="55" t="s">
        <v>281</v>
      </c>
      <c r="C14458" s="46">
        <v>4446</v>
      </c>
      <c r="D14458" s="69" t="s">
        <v>29418</v>
      </c>
      <c r="E14458" s="51"/>
      <c r="F14458" s="114" t="str">
        <f>IF(INDEX(I.Facility.P2bIDNumber,4446)="","",INDEX(I.Facility.P2bIDNumber,4446))</f>
        <v/>
      </c>
      <c r="G14458" s="51"/>
      <c r="H14458" s="46" t="str">
        <f>IF(AND(I.Developer.P2b=TRUE,I.Facility.P2bFacilityCount&gt;=4446,F14458=""),"Incomplete","Complete")</f>
        <v>Complete</v>
      </c>
      <c r="I14458" s="48" t="s">
        <v>18823</v>
      </c>
    </row>
    <row r="14459" spans="2:9" ht="15" customHeight="1" x14ac:dyDescent="0.25">
      <c r="B14459" s="55" t="s">
        <v>281</v>
      </c>
      <c r="C14459" s="46">
        <v>4447</v>
      </c>
      <c r="D14459" s="69" t="s">
        <v>29418</v>
      </c>
      <c r="E14459" s="51"/>
      <c r="F14459" s="114" t="str">
        <f>IF(INDEX(I.Facility.P2bIDNumber,4447)="","",INDEX(I.Facility.P2bIDNumber,4447))</f>
        <v/>
      </c>
      <c r="G14459" s="51"/>
      <c r="H14459" s="46" t="str">
        <f>IF(AND(I.Developer.P2b=TRUE,I.Facility.P2bFacilityCount&gt;=4447,F14459=""),"Incomplete","Complete")</f>
        <v>Complete</v>
      </c>
      <c r="I14459" s="48" t="s">
        <v>18824</v>
      </c>
    </row>
    <row r="14460" spans="2:9" ht="15" customHeight="1" x14ac:dyDescent="0.25">
      <c r="B14460" s="55" t="s">
        <v>281</v>
      </c>
      <c r="C14460" s="46">
        <v>4448</v>
      </c>
      <c r="D14460" s="69" t="s">
        <v>29418</v>
      </c>
      <c r="E14460" s="51"/>
      <c r="F14460" s="114" t="str">
        <f>IF(INDEX(I.Facility.P2bIDNumber,4448)="","",INDEX(I.Facility.P2bIDNumber,4448))</f>
        <v/>
      </c>
      <c r="G14460" s="51"/>
      <c r="H14460" s="46" t="str">
        <f>IF(AND(I.Developer.P2b=TRUE,I.Facility.P2bFacilityCount&gt;=4448,F14460=""),"Incomplete","Complete")</f>
        <v>Complete</v>
      </c>
      <c r="I14460" s="48" t="s">
        <v>18825</v>
      </c>
    </row>
    <row r="14461" spans="2:9" ht="15" customHeight="1" x14ac:dyDescent="0.25">
      <c r="B14461" s="55" t="s">
        <v>281</v>
      </c>
      <c r="C14461" s="46">
        <v>4449</v>
      </c>
      <c r="D14461" s="69" t="s">
        <v>29418</v>
      </c>
      <c r="E14461" s="51"/>
      <c r="F14461" s="114" t="str">
        <f>IF(INDEX(I.Facility.P2bIDNumber,4449)="","",INDEX(I.Facility.P2bIDNumber,4449))</f>
        <v/>
      </c>
      <c r="G14461" s="51"/>
      <c r="H14461" s="46" t="str">
        <f>IF(AND(I.Developer.P2b=TRUE,I.Facility.P2bFacilityCount&gt;=4449,F14461=""),"Incomplete","Complete")</f>
        <v>Complete</v>
      </c>
      <c r="I14461" s="48" t="s">
        <v>18826</v>
      </c>
    </row>
    <row r="14462" spans="2:9" ht="15" customHeight="1" x14ac:dyDescent="0.25">
      <c r="B14462" s="55" t="s">
        <v>281</v>
      </c>
      <c r="C14462" s="46">
        <v>4450</v>
      </c>
      <c r="D14462" s="69" t="s">
        <v>29418</v>
      </c>
      <c r="E14462" s="51"/>
      <c r="F14462" s="114" t="str">
        <f>IF(INDEX(I.Facility.P2bIDNumber,4450)="","",INDEX(I.Facility.P2bIDNumber,4450))</f>
        <v/>
      </c>
      <c r="G14462" s="51"/>
      <c r="H14462" s="46" t="str">
        <f>IF(AND(I.Developer.P2b=TRUE,I.Facility.P2bFacilityCount&gt;=4450,F14462=""),"Incomplete","Complete")</f>
        <v>Complete</v>
      </c>
      <c r="I14462" s="48" t="s">
        <v>18827</v>
      </c>
    </row>
    <row r="14463" spans="2:9" ht="15" customHeight="1" x14ac:dyDescent="0.25">
      <c r="B14463" s="55" t="s">
        <v>281</v>
      </c>
      <c r="C14463" s="46">
        <v>4451</v>
      </c>
      <c r="D14463" s="69" t="s">
        <v>29418</v>
      </c>
      <c r="E14463" s="51"/>
      <c r="F14463" s="114" t="str">
        <f>IF(INDEX(I.Facility.P2bIDNumber,4451)="","",INDEX(I.Facility.P2bIDNumber,4451))</f>
        <v/>
      </c>
      <c r="G14463" s="51"/>
      <c r="H14463" s="46" t="str">
        <f>IF(AND(I.Developer.P2b=TRUE,I.Facility.P2bFacilityCount&gt;=4451,F14463=""),"Incomplete","Complete")</f>
        <v>Complete</v>
      </c>
      <c r="I14463" s="48" t="s">
        <v>18828</v>
      </c>
    </row>
    <row r="14464" spans="2:9" ht="15" customHeight="1" x14ac:dyDescent="0.25">
      <c r="B14464" s="55" t="s">
        <v>281</v>
      </c>
      <c r="C14464" s="46">
        <v>4452</v>
      </c>
      <c r="D14464" s="69" t="s">
        <v>29418</v>
      </c>
      <c r="E14464" s="51"/>
      <c r="F14464" s="114" t="str">
        <f>IF(INDEX(I.Facility.P2bIDNumber,4452)="","",INDEX(I.Facility.P2bIDNumber,4452))</f>
        <v/>
      </c>
      <c r="G14464" s="51"/>
      <c r="H14464" s="46" t="str">
        <f>IF(AND(I.Developer.P2b=TRUE,I.Facility.P2bFacilityCount&gt;=4452,F14464=""),"Incomplete","Complete")</f>
        <v>Complete</v>
      </c>
      <c r="I14464" s="48" t="s">
        <v>18829</v>
      </c>
    </row>
    <row r="14465" spans="2:9" ht="15" customHeight="1" x14ac:dyDescent="0.25">
      <c r="B14465" s="55" t="s">
        <v>281</v>
      </c>
      <c r="C14465" s="46">
        <v>4453</v>
      </c>
      <c r="D14465" s="69" t="s">
        <v>29418</v>
      </c>
      <c r="E14465" s="51"/>
      <c r="F14465" s="114" t="str">
        <f>IF(INDEX(I.Facility.P2bIDNumber,4453)="","",INDEX(I.Facility.P2bIDNumber,4453))</f>
        <v/>
      </c>
      <c r="G14465" s="51"/>
      <c r="H14465" s="46" t="str">
        <f>IF(AND(I.Developer.P2b=TRUE,I.Facility.P2bFacilityCount&gt;=4453,F14465=""),"Incomplete","Complete")</f>
        <v>Complete</v>
      </c>
      <c r="I14465" s="48" t="s">
        <v>18830</v>
      </c>
    </row>
    <row r="14466" spans="2:9" ht="15" customHeight="1" x14ac:dyDescent="0.25">
      <c r="B14466" s="55" t="s">
        <v>281</v>
      </c>
      <c r="C14466" s="46">
        <v>4454</v>
      </c>
      <c r="D14466" s="69" t="s">
        <v>29418</v>
      </c>
      <c r="E14466" s="51"/>
      <c r="F14466" s="114" t="str">
        <f>IF(INDEX(I.Facility.P2bIDNumber,4454)="","",INDEX(I.Facility.P2bIDNumber,4454))</f>
        <v/>
      </c>
      <c r="G14466" s="51"/>
      <c r="H14466" s="46" t="str">
        <f>IF(AND(I.Developer.P2b=TRUE,I.Facility.P2bFacilityCount&gt;=4454,F14466=""),"Incomplete","Complete")</f>
        <v>Complete</v>
      </c>
      <c r="I14466" s="48" t="s">
        <v>18831</v>
      </c>
    </row>
    <row r="14467" spans="2:9" ht="15" customHeight="1" x14ac:dyDescent="0.25">
      <c r="B14467" s="55" t="s">
        <v>281</v>
      </c>
      <c r="C14467" s="46">
        <v>4455</v>
      </c>
      <c r="D14467" s="69" t="s">
        <v>29418</v>
      </c>
      <c r="E14467" s="51"/>
      <c r="F14467" s="114" t="str">
        <f>IF(INDEX(I.Facility.P2bIDNumber,4455)="","",INDEX(I.Facility.P2bIDNumber,4455))</f>
        <v/>
      </c>
      <c r="G14467" s="51"/>
      <c r="H14467" s="46" t="str">
        <f>IF(AND(I.Developer.P2b=TRUE,I.Facility.P2bFacilityCount&gt;=4455,F14467=""),"Incomplete","Complete")</f>
        <v>Complete</v>
      </c>
      <c r="I14467" s="48" t="s">
        <v>18832</v>
      </c>
    </row>
    <row r="14468" spans="2:9" ht="15" customHeight="1" x14ac:dyDescent="0.25">
      <c r="B14468" s="55" t="s">
        <v>281</v>
      </c>
      <c r="C14468" s="46">
        <v>4456</v>
      </c>
      <c r="D14468" s="69" t="s">
        <v>29418</v>
      </c>
      <c r="E14468" s="51"/>
      <c r="F14468" s="114" t="str">
        <f>IF(INDEX(I.Facility.P2bIDNumber,4456)="","",INDEX(I.Facility.P2bIDNumber,4456))</f>
        <v/>
      </c>
      <c r="G14468" s="51"/>
      <c r="H14468" s="46" t="str">
        <f>IF(AND(I.Developer.P2b=TRUE,I.Facility.P2bFacilityCount&gt;=4456,F14468=""),"Incomplete","Complete")</f>
        <v>Complete</v>
      </c>
      <c r="I14468" s="48" t="s">
        <v>18833</v>
      </c>
    </row>
    <row r="14469" spans="2:9" ht="15" customHeight="1" x14ac:dyDescent="0.25">
      <c r="B14469" s="55" t="s">
        <v>281</v>
      </c>
      <c r="C14469" s="46">
        <v>4457</v>
      </c>
      <c r="D14469" s="69" t="s">
        <v>29418</v>
      </c>
      <c r="E14469" s="51"/>
      <c r="F14469" s="114" t="str">
        <f>IF(INDEX(I.Facility.P2bIDNumber,4457)="","",INDEX(I.Facility.P2bIDNumber,4457))</f>
        <v/>
      </c>
      <c r="G14469" s="51"/>
      <c r="H14469" s="46" t="str">
        <f>IF(AND(I.Developer.P2b=TRUE,I.Facility.P2bFacilityCount&gt;=4457,F14469=""),"Incomplete","Complete")</f>
        <v>Complete</v>
      </c>
      <c r="I14469" s="48" t="s">
        <v>18834</v>
      </c>
    </row>
    <row r="14470" spans="2:9" ht="15" customHeight="1" x14ac:dyDescent="0.25">
      <c r="B14470" s="55" t="s">
        <v>281</v>
      </c>
      <c r="C14470" s="46">
        <v>4458</v>
      </c>
      <c r="D14470" s="69" t="s">
        <v>29418</v>
      </c>
      <c r="E14470" s="51"/>
      <c r="F14470" s="114" t="str">
        <f>IF(INDEX(I.Facility.P2bIDNumber,4458)="","",INDEX(I.Facility.P2bIDNumber,4458))</f>
        <v/>
      </c>
      <c r="G14470" s="51"/>
      <c r="H14470" s="46" t="str">
        <f>IF(AND(I.Developer.P2b=TRUE,I.Facility.P2bFacilityCount&gt;=4458,F14470=""),"Incomplete","Complete")</f>
        <v>Complete</v>
      </c>
      <c r="I14470" s="48" t="s">
        <v>18835</v>
      </c>
    </row>
    <row r="14471" spans="2:9" ht="15" customHeight="1" x14ac:dyDescent="0.25">
      <c r="B14471" s="55" t="s">
        <v>281</v>
      </c>
      <c r="C14471" s="46">
        <v>4459</v>
      </c>
      <c r="D14471" s="69" t="s">
        <v>29418</v>
      </c>
      <c r="E14471" s="51"/>
      <c r="F14471" s="114" t="str">
        <f>IF(INDEX(I.Facility.P2bIDNumber,4459)="","",INDEX(I.Facility.P2bIDNumber,4459))</f>
        <v/>
      </c>
      <c r="G14471" s="51"/>
      <c r="H14471" s="46" t="str">
        <f>IF(AND(I.Developer.P2b=TRUE,I.Facility.P2bFacilityCount&gt;=4459,F14471=""),"Incomplete","Complete")</f>
        <v>Complete</v>
      </c>
      <c r="I14471" s="48" t="s">
        <v>18836</v>
      </c>
    </row>
    <row r="14472" spans="2:9" ht="15" customHeight="1" x14ac:dyDescent="0.25">
      <c r="B14472" s="55" t="s">
        <v>281</v>
      </c>
      <c r="C14472" s="46">
        <v>4460</v>
      </c>
      <c r="D14472" s="69" t="s">
        <v>29418</v>
      </c>
      <c r="E14472" s="51"/>
      <c r="F14472" s="114" t="str">
        <f>IF(INDEX(I.Facility.P2bIDNumber,4460)="","",INDEX(I.Facility.P2bIDNumber,4460))</f>
        <v/>
      </c>
      <c r="G14472" s="51"/>
      <c r="H14472" s="46" t="str">
        <f>IF(AND(I.Developer.P2b=TRUE,I.Facility.P2bFacilityCount&gt;=4460,F14472=""),"Incomplete","Complete")</f>
        <v>Complete</v>
      </c>
      <c r="I14472" s="48" t="s">
        <v>18837</v>
      </c>
    </row>
    <row r="14473" spans="2:9" ht="15" customHeight="1" x14ac:dyDescent="0.25">
      <c r="B14473" s="55" t="s">
        <v>281</v>
      </c>
      <c r="C14473" s="46">
        <v>4461</v>
      </c>
      <c r="D14473" s="69" t="s">
        <v>29418</v>
      </c>
      <c r="E14473" s="51"/>
      <c r="F14473" s="114" t="str">
        <f>IF(INDEX(I.Facility.P2bIDNumber,4461)="","",INDEX(I.Facility.P2bIDNumber,4461))</f>
        <v/>
      </c>
      <c r="G14473" s="51"/>
      <c r="H14473" s="46" t="str">
        <f>IF(AND(I.Developer.P2b=TRUE,I.Facility.P2bFacilityCount&gt;=4461,F14473=""),"Incomplete","Complete")</f>
        <v>Complete</v>
      </c>
      <c r="I14473" s="48" t="s">
        <v>18838</v>
      </c>
    </row>
    <row r="14474" spans="2:9" ht="15" customHeight="1" x14ac:dyDescent="0.25">
      <c r="B14474" s="55" t="s">
        <v>281</v>
      </c>
      <c r="C14474" s="46">
        <v>4462</v>
      </c>
      <c r="D14474" s="69" t="s">
        <v>29418</v>
      </c>
      <c r="E14474" s="51"/>
      <c r="F14474" s="114" t="str">
        <f>IF(INDEX(I.Facility.P2bIDNumber,4462)="","",INDEX(I.Facility.P2bIDNumber,4462))</f>
        <v/>
      </c>
      <c r="G14474" s="51"/>
      <c r="H14474" s="46" t="str">
        <f>IF(AND(I.Developer.P2b=TRUE,I.Facility.P2bFacilityCount&gt;=4462,F14474=""),"Incomplete","Complete")</f>
        <v>Complete</v>
      </c>
      <c r="I14474" s="48" t="s">
        <v>18839</v>
      </c>
    </row>
    <row r="14475" spans="2:9" ht="15" customHeight="1" x14ac:dyDescent="0.25">
      <c r="B14475" s="55" t="s">
        <v>281</v>
      </c>
      <c r="C14475" s="46">
        <v>4463</v>
      </c>
      <c r="D14475" s="69" t="s">
        <v>29418</v>
      </c>
      <c r="E14475" s="51"/>
      <c r="F14475" s="114" t="str">
        <f>IF(INDEX(I.Facility.P2bIDNumber,4463)="","",INDEX(I.Facility.P2bIDNumber,4463))</f>
        <v/>
      </c>
      <c r="G14475" s="51"/>
      <c r="H14475" s="46" t="str">
        <f>IF(AND(I.Developer.P2b=TRUE,I.Facility.P2bFacilityCount&gt;=4463,F14475=""),"Incomplete","Complete")</f>
        <v>Complete</v>
      </c>
      <c r="I14475" s="48" t="s">
        <v>18840</v>
      </c>
    </row>
    <row r="14476" spans="2:9" ht="15" customHeight="1" x14ac:dyDescent="0.25">
      <c r="B14476" s="55" t="s">
        <v>281</v>
      </c>
      <c r="C14476" s="46">
        <v>4464</v>
      </c>
      <c r="D14476" s="69" t="s">
        <v>29418</v>
      </c>
      <c r="E14476" s="51"/>
      <c r="F14476" s="114" t="str">
        <f>IF(INDEX(I.Facility.P2bIDNumber,4464)="","",INDEX(I.Facility.P2bIDNumber,4464))</f>
        <v/>
      </c>
      <c r="G14476" s="51"/>
      <c r="H14476" s="46" t="str">
        <f>IF(AND(I.Developer.P2b=TRUE,I.Facility.P2bFacilityCount&gt;=4464,F14476=""),"Incomplete","Complete")</f>
        <v>Complete</v>
      </c>
      <c r="I14476" s="48" t="s">
        <v>18841</v>
      </c>
    </row>
    <row r="14477" spans="2:9" ht="15" customHeight="1" x14ac:dyDescent="0.25">
      <c r="B14477" s="55" t="s">
        <v>281</v>
      </c>
      <c r="C14477" s="46">
        <v>4465</v>
      </c>
      <c r="D14477" s="69" t="s">
        <v>29418</v>
      </c>
      <c r="E14477" s="51"/>
      <c r="F14477" s="114" t="str">
        <f>IF(INDEX(I.Facility.P2bIDNumber,4465)="","",INDEX(I.Facility.P2bIDNumber,4465))</f>
        <v/>
      </c>
      <c r="G14477" s="51"/>
      <c r="H14477" s="46" t="str">
        <f>IF(AND(I.Developer.P2b=TRUE,I.Facility.P2bFacilityCount&gt;=4465,F14477=""),"Incomplete","Complete")</f>
        <v>Complete</v>
      </c>
      <c r="I14477" s="48" t="s">
        <v>18842</v>
      </c>
    </row>
    <row r="14478" spans="2:9" ht="15" customHeight="1" x14ac:dyDescent="0.25">
      <c r="B14478" s="55" t="s">
        <v>281</v>
      </c>
      <c r="C14478" s="46">
        <v>4466</v>
      </c>
      <c r="D14478" s="69" t="s">
        <v>29418</v>
      </c>
      <c r="E14478" s="51"/>
      <c r="F14478" s="114" t="str">
        <f>IF(INDEX(I.Facility.P2bIDNumber,4466)="","",INDEX(I.Facility.P2bIDNumber,4466))</f>
        <v/>
      </c>
      <c r="G14478" s="51"/>
      <c r="H14478" s="46" t="str">
        <f>IF(AND(I.Developer.P2b=TRUE,I.Facility.P2bFacilityCount&gt;=4466,F14478=""),"Incomplete","Complete")</f>
        <v>Complete</v>
      </c>
      <c r="I14478" s="48" t="s">
        <v>18843</v>
      </c>
    </row>
    <row r="14479" spans="2:9" ht="15" customHeight="1" x14ac:dyDescent="0.25">
      <c r="B14479" s="55" t="s">
        <v>281</v>
      </c>
      <c r="C14479" s="46">
        <v>4467</v>
      </c>
      <c r="D14479" s="69" t="s">
        <v>29418</v>
      </c>
      <c r="E14479" s="51"/>
      <c r="F14479" s="114" t="str">
        <f>IF(INDEX(I.Facility.P2bIDNumber,4467)="","",INDEX(I.Facility.P2bIDNumber,4467))</f>
        <v/>
      </c>
      <c r="G14479" s="51"/>
      <c r="H14479" s="46" t="str">
        <f>IF(AND(I.Developer.P2b=TRUE,I.Facility.P2bFacilityCount&gt;=4467,F14479=""),"Incomplete","Complete")</f>
        <v>Complete</v>
      </c>
      <c r="I14479" s="48" t="s">
        <v>18844</v>
      </c>
    </row>
    <row r="14480" spans="2:9" ht="15" customHeight="1" x14ac:dyDescent="0.25">
      <c r="B14480" s="55" t="s">
        <v>281</v>
      </c>
      <c r="C14480" s="46">
        <v>4468</v>
      </c>
      <c r="D14480" s="69" t="s">
        <v>29418</v>
      </c>
      <c r="E14480" s="51"/>
      <c r="F14480" s="114" t="str">
        <f>IF(INDEX(I.Facility.P2bIDNumber,4468)="","",INDEX(I.Facility.P2bIDNumber,4468))</f>
        <v/>
      </c>
      <c r="G14480" s="51"/>
      <c r="H14480" s="46" t="str">
        <f>IF(AND(I.Developer.P2b=TRUE,I.Facility.P2bFacilityCount&gt;=4468,F14480=""),"Incomplete","Complete")</f>
        <v>Complete</v>
      </c>
      <c r="I14480" s="48" t="s">
        <v>18845</v>
      </c>
    </row>
    <row r="14481" spans="2:9" ht="15" customHeight="1" x14ac:dyDescent="0.25">
      <c r="B14481" s="55" t="s">
        <v>281</v>
      </c>
      <c r="C14481" s="46">
        <v>4469</v>
      </c>
      <c r="D14481" s="69" t="s">
        <v>29418</v>
      </c>
      <c r="E14481" s="51"/>
      <c r="F14481" s="114" t="str">
        <f>IF(INDEX(I.Facility.P2bIDNumber,4469)="","",INDEX(I.Facility.P2bIDNumber,4469))</f>
        <v/>
      </c>
      <c r="G14481" s="51"/>
      <c r="H14481" s="46" t="str">
        <f>IF(AND(I.Developer.P2b=TRUE,I.Facility.P2bFacilityCount&gt;=4469,F14481=""),"Incomplete","Complete")</f>
        <v>Complete</v>
      </c>
      <c r="I14481" s="48" t="s">
        <v>18846</v>
      </c>
    </row>
    <row r="14482" spans="2:9" ht="15" customHeight="1" x14ac:dyDescent="0.25">
      <c r="B14482" s="55" t="s">
        <v>281</v>
      </c>
      <c r="C14482" s="46">
        <v>4470</v>
      </c>
      <c r="D14482" s="69" t="s">
        <v>29418</v>
      </c>
      <c r="E14482" s="51"/>
      <c r="F14482" s="114" t="str">
        <f>IF(INDEX(I.Facility.P2bIDNumber,4470)="","",INDEX(I.Facility.P2bIDNumber,4470))</f>
        <v/>
      </c>
      <c r="G14482" s="51"/>
      <c r="H14482" s="46" t="str">
        <f>IF(AND(I.Developer.P2b=TRUE,I.Facility.P2bFacilityCount&gt;=4470,F14482=""),"Incomplete","Complete")</f>
        <v>Complete</v>
      </c>
      <c r="I14482" s="48" t="s">
        <v>18847</v>
      </c>
    </row>
    <row r="14483" spans="2:9" ht="15" customHeight="1" x14ac:dyDescent="0.25">
      <c r="B14483" s="55" t="s">
        <v>281</v>
      </c>
      <c r="C14483" s="46">
        <v>4471</v>
      </c>
      <c r="D14483" s="69" t="s">
        <v>29418</v>
      </c>
      <c r="E14483" s="51"/>
      <c r="F14483" s="114" t="str">
        <f>IF(INDEX(I.Facility.P2bIDNumber,4471)="","",INDEX(I.Facility.P2bIDNumber,4471))</f>
        <v/>
      </c>
      <c r="G14483" s="51"/>
      <c r="H14483" s="46" t="str">
        <f>IF(AND(I.Developer.P2b=TRUE,I.Facility.P2bFacilityCount&gt;=4471,F14483=""),"Incomplete","Complete")</f>
        <v>Complete</v>
      </c>
      <c r="I14483" s="48" t="s">
        <v>18848</v>
      </c>
    </row>
    <row r="14484" spans="2:9" ht="15" customHeight="1" x14ac:dyDescent="0.25">
      <c r="B14484" s="55" t="s">
        <v>281</v>
      </c>
      <c r="C14484" s="46">
        <v>4472</v>
      </c>
      <c r="D14484" s="69" t="s">
        <v>29418</v>
      </c>
      <c r="E14484" s="51"/>
      <c r="F14484" s="114" t="str">
        <f>IF(INDEX(I.Facility.P2bIDNumber,4472)="","",INDEX(I.Facility.P2bIDNumber,4472))</f>
        <v/>
      </c>
      <c r="G14484" s="51"/>
      <c r="H14484" s="46" t="str">
        <f>IF(AND(I.Developer.P2b=TRUE,I.Facility.P2bFacilityCount&gt;=4472,F14484=""),"Incomplete","Complete")</f>
        <v>Complete</v>
      </c>
      <c r="I14484" s="48" t="s">
        <v>18849</v>
      </c>
    </row>
    <row r="14485" spans="2:9" ht="15" customHeight="1" x14ac:dyDescent="0.25">
      <c r="B14485" s="55" t="s">
        <v>281</v>
      </c>
      <c r="C14485" s="46">
        <v>4473</v>
      </c>
      <c r="D14485" s="69" t="s">
        <v>29418</v>
      </c>
      <c r="E14485" s="51"/>
      <c r="F14485" s="114" t="str">
        <f>IF(INDEX(I.Facility.P2bIDNumber,4473)="","",INDEX(I.Facility.P2bIDNumber,4473))</f>
        <v/>
      </c>
      <c r="G14485" s="51"/>
      <c r="H14485" s="46" t="str">
        <f>IF(AND(I.Developer.P2b=TRUE,I.Facility.P2bFacilityCount&gt;=4473,F14485=""),"Incomplete","Complete")</f>
        <v>Complete</v>
      </c>
      <c r="I14485" s="48" t="s">
        <v>18850</v>
      </c>
    </row>
    <row r="14486" spans="2:9" ht="15" customHeight="1" x14ac:dyDescent="0.25">
      <c r="B14486" s="55" t="s">
        <v>281</v>
      </c>
      <c r="C14486" s="46">
        <v>4474</v>
      </c>
      <c r="D14486" s="69" t="s">
        <v>29418</v>
      </c>
      <c r="E14486" s="51"/>
      <c r="F14486" s="114" t="str">
        <f>IF(INDEX(I.Facility.P2bIDNumber,4474)="","",INDEX(I.Facility.P2bIDNumber,4474))</f>
        <v/>
      </c>
      <c r="G14486" s="51"/>
      <c r="H14486" s="46" t="str">
        <f>IF(AND(I.Developer.P2b=TRUE,I.Facility.P2bFacilityCount&gt;=4474,F14486=""),"Incomplete","Complete")</f>
        <v>Complete</v>
      </c>
      <c r="I14486" s="48" t="s">
        <v>18851</v>
      </c>
    </row>
    <row r="14487" spans="2:9" ht="15" customHeight="1" x14ac:dyDescent="0.25">
      <c r="B14487" s="55" t="s">
        <v>281</v>
      </c>
      <c r="C14487" s="46">
        <v>4475</v>
      </c>
      <c r="D14487" s="69" t="s">
        <v>29418</v>
      </c>
      <c r="E14487" s="51"/>
      <c r="F14487" s="114" t="str">
        <f>IF(INDEX(I.Facility.P2bIDNumber,4475)="","",INDEX(I.Facility.P2bIDNumber,4475))</f>
        <v/>
      </c>
      <c r="G14487" s="51"/>
      <c r="H14487" s="46" t="str">
        <f>IF(AND(I.Developer.P2b=TRUE,I.Facility.P2bFacilityCount&gt;=4475,F14487=""),"Incomplete","Complete")</f>
        <v>Complete</v>
      </c>
      <c r="I14487" s="48" t="s">
        <v>18852</v>
      </c>
    </row>
    <row r="14488" spans="2:9" ht="15" customHeight="1" x14ac:dyDescent="0.25">
      <c r="B14488" s="55" t="s">
        <v>281</v>
      </c>
      <c r="C14488" s="46">
        <v>4476</v>
      </c>
      <c r="D14488" s="69" t="s">
        <v>29418</v>
      </c>
      <c r="E14488" s="51"/>
      <c r="F14488" s="114" t="str">
        <f>IF(INDEX(I.Facility.P2bIDNumber,4476)="","",INDEX(I.Facility.P2bIDNumber,4476))</f>
        <v/>
      </c>
      <c r="G14488" s="51"/>
      <c r="H14488" s="46" t="str">
        <f>IF(AND(I.Developer.P2b=TRUE,I.Facility.P2bFacilityCount&gt;=4476,F14488=""),"Incomplete","Complete")</f>
        <v>Complete</v>
      </c>
      <c r="I14488" s="48" t="s">
        <v>18853</v>
      </c>
    </row>
    <row r="14489" spans="2:9" ht="15" customHeight="1" x14ac:dyDescent="0.25">
      <c r="B14489" s="55" t="s">
        <v>281</v>
      </c>
      <c r="C14489" s="46">
        <v>4477</v>
      </c>
      <c r="D14489" s="69" t="s">
        <v>29418</v>
      </c>
      <c r="E14489" s="51"/>
      <c r="F14489" s="114" t="str">
        <f>IF(INDEX(I.Facility.P2bIDNumber,4477)="","",INDEX(I.Facility.P2bIDNumber,4477))</f>
        <v/>
      </c>
      <c r="G14489" s="51"/>
      <c r="H14489" s="46" t="str">
        <f>IF(AND(I.Developer.P2b=TRUE,I.Facility.P2bFacilityCount&gt;=4477,F14489=""),"Incomplete","Complete")</f>
        <v>Complete</v>
      </c>
      <c r="I14489" s="48" t="s">
        <v>18854</v>
      </c>
    </row>
    <row r="14490" spans="2:9" ht="15" customHeight="1" x14ac:dyDescent="0.25">
      <c r="B14490" s="55" t="s">
        <v>281</v>
      </c>
      <c r="C14490" s="46">
        <v>4478</v>
      </c>
      <c r="D14490" s="69" t="s">
        <v>29418</v>
      </c>
      <c r="E14490" s="51"/>
      <c r="F14490" s="114" t="str">
        <f>IF(INDEX(I.Facility.P2bIDNumber,4478)="","",INDEX(I.Facility.P2bIDNumber,4478))</f>
        <v/>
      </c>
      <c r="G14490" s="51"/>
      <c r="H14490" s="46" t="str">
        <f>IF(AND(I.Developer.P2b=TRUE,I.Facility.P2bFacilityCount&gt;=4478,F14490=""),"Incomplete","Complete")</f>
        <v>Complete</v>
      </c>
      <c r="I14490" s="48" t="s">
        <v>18855</v>
      </c>
    </row>
    <row r="14491" spans="2:9" ht="15" customHeight="1" x14ac:dyDescent="0.25">
      <c r="B14491" s="55" t="s">
        <v>281</v>
      </c>
      <c r="C14491" s="46">
        <v>4479</v>
      </c>
      <c r="D14491" s="69" t="s">
        <v>29418</v>
      </c>
      <c r="E14491" s="51"/>
      <c r="F14491" s="114" t="str">
        <f>IF(INDEX(I.Facility.P2bIDNumber,4479)="","",INDEX(I.Facility.P2bIDNumber,4479))</f>
        <v/>
      </c>
      <c r="G14491" s="51"/>
      <c r="H14491" s="46" t="str">
        <f>IF(AND(I.Developer.P2b=TRUE,I.Facility.P2bFacilityCount&gt;=4479,F14491=""),"Incomplete","Complete")</f>
        <v>Complete</v>
      </c>
      <c r="I14491" s="48" t="s">
        <v>18856</v>
      </c>
    </row>
    <row r="14492" spans="2:9" ht="15" customHeight="1" x14ac:dyDescent="0.25">
      <c r="B14492" s="55" t="s">
        <v>281</v>
      </c>
      <c r="C14492" s="46">
        <v>4480</v>
      </c>
      <c r="D14492" s="69" t="s">
        <v>29418</v>
      </c>
      <c r="E14492" s="51"/>
      <c r="F14492" s="114" t="str">
        <f>IF(INDEX(I.Facility.P2bIDNumber,4480)="","",INDEX(I.Facility.P2bIDNumber,4480))</f>
        <v/>
      </c>
      <c r="G14492" s="51"/>
      <c r="H14492" s="46" t="str">
        <f>IF(AND(I.Developer.P2b=TRUE,I.Facility.P2bFacilityCount&gt;=4480,F14492=""),"Incomplete","Complete")</f>
        <v>Complete</v>
      </c>
      <c r="I14492" s="48" t="s">
        <v>18857</v>
      </c>
    </row>
    <row r="14493" spans="2:9" ht="15" customHeight="1" x14ac:dyDescent="0.25">
      <c r="B14493" s="55" t="s">
        <v>281</v>
      </c>
      <c r="C14493" s="46">
        <v>4481</v>
      </c>
      <c r="D14493" s="69" t="s">
        <v>29418</v>
      </c>
      <c r="E14493" s="51"/>
      <c r="F14493" s="114" t="str">
        <f>IF(INDEX(I.Facility.P2bIDNumber,4481)="","",INDEX(I.Facility.P2bIDNumber,4481))</f>
        <v/>
      </c>
      <c r="G14493" s="51"/>
      <c r="H14493" s="46" t="str">
        <f>IF(AND(I.Developer.P2b=TRUE,I.Facility.P2bFacilityCount&gt;=4481,F14493=""),"Incomplete","Complete")</f>
        <v>Complete</v>
      </c>
      <c r="I14493" s="48" t="s">
        <v>18858</v>
      </c>
    </row>
    <row r="14494" spans="2:9" ht="15" customHeight="1" x14ac:dyDescent="0.25">
      <c r="B14494" s="55" t="s">
        <v>281</v>
      </c>
      <c r="C14494" s="46">
        <v>4482</v>
      </c>
      <c r="D14494" s="69" t="s">
        <v>29418</v>
      </c>
      <c r="E14494" s="51"/>
      <c r="F14494" s="114" t="str">
        <f>IF(INDEX(I.Facility.P2bIDNumber,4482)="","",INDEX(I.Facility.P2bIDNumber,4482))</f>
        <v/>
      </c>
      <c r="G14494" s="51"/>
      <c r="H14494" s="46" t="str">
        <f>IF(AND(I.Developer.P2b=TRUE,I.Facility.P2bFacilityCount&gt;=4482,F14494=""),"Incomplete","Complete")</f>
        <v>Complete</v>
      </c>
      <c r="I14494" s="48" t="s">
        <v>18859</v>
      </c>
    </row>
    <row r="14495" spans="2:9" ht="15" customHeight="1" x14ac:dyDescent="0.25">
      <c r="B14495" s="55" t="s">
        <v>281</v>
      </c>
      <c r="C14495" s="46">
        <v>4483</v>
      </c>
      <c r="D14495" s="69" t="s">
        <v>29418</v>
      </c>
      <c r="E14495" s="51"/>
      <c r="F14495" s="114" t="str">
        <f>IF(INDEX(I.Facility.P2bIDNumber,4483)="","",INDEX(I.Facility.P2bIDNumber,4483))</f>
        <v/>
      </c>
      <c r="G14495" s="51"/>
      <c r="H14495" s="46" t="str">
        <f>IF(AND(I.Developer.P2b=TRUE,I.Facility.P2bFacilityCount&gt;=4483,F14495=""),"Incomplete","Complete")</f>
        <v>Complete</v>
      </c>
      <c r="I14495" s="48" t="s">
        <v>18860</v>
      </c>
    </row>
    <row r="14496" spans="2:9" ht="15" customHeight="1" x14ac:dyDescent="0.25">
      <c r="B14496" s="55" t="s">
        <v>281</v>
      </c>
      <c r="C14496" s="46">
        <v>4484</v>
      </c>
      <c r="D14496" s="69" t="s">
        <v>29418</v>
      </c>
      <c r="E14496" s="51"/>
      <c r="F14496" s="114" t="str">
        <f>IF(INDEX(I.Facility.P2bIDNumber,4484)="","",INDEX(I.Facility.P2bIDNumber,4484))</f>
        <v/>
      </c>
      <c r="G14496" s="51"/>
      <c r="H14496" s="46" t="str">
        <f>IF(AND(I.Developer.P2b=TRUE,I.Facility.P2bFacilityCount&gt;=4484,F14496=""),"Incomplete","Complete")</f>
        <v>Complete</v>
      </c>
      <c r="I14496" s="48" t="s">
        <v>18861</v>
      </c>
    </row>
    <row r="14497" spans="2:9" ht="15" customHeight="1" x14ac:dyDescent="0.25">
      <c r="B14497" s="55" t="s">
        <v>281</v>
      </c>
      <c r="C14497" s="46">
        <v>4485</v>
      </c>
      <c r="D14497" s="69" t="s">
        <v>29418</v>
      </c>
      <c r="E14497" s="51"/>
      <c r="F14497" s="114" t="str">
        <f>IF(INDEX(I.Facility.P2bIDNumber,4485)="","",INDEX(I.Facility.P2bIDNumber,4485))</f>
        <v/>
      </c>
      <c r="G14497" s="51"/>
      <c r="H14497" s="46" t="str">
        <f>IF(AND(I.Developer.P2b=TRUE,I.Facility.P2bFacilityCount&gt;=4485,F14497=""),"Incomplete","Complete")</f>
        <v>Complete</v>
      </c>
      <c r="I14497" s="48" t="s">
        <v>18862</v>
      </c>
    </row>
    <row r="14498" spans="2:9" ht="15" customHeight="1" x14ac:dyDescent="0.25">
      <c r="B14498" s="55" t="s">
        <v>281</v>
      </c>
      <c r="C14498" s="46">
        <v>4486</v>
      </c>
      <c r="D14498" s="69" t="s">
        <v>29418</v>
      </c>
      <c r="E14498" s="51"/>
      <c r="F14498" s="114" t="str">
        <f>IF(INDEX(I.Facility.P2bIDNumber,4486)="","",INDEX(I.Facility.P2bIDNumber,4486))</f>
        <v/>
      </c>
      <c r="G14498" s="51"/>
      <c r="H14498" s="46" t="str">
        <f>IF(AND(I.Developer.P2b=TRUE,I.Facility.P2bFacilityCount&gt;=4486,F14498=""),"Incomplete","Complete")</f>
        <v>Complete</v>
      </c>
      <c r="I14498" s="48" t="s">
        <v>18863</v>
      </c>
    </row>
    <row r="14499" spans="2:9" ht="15" customHeight="1" x14ac:dyDescent="0.25">
      <c r="B14499" s="55" t="s">
        <v>281</v>
      </c>
      <c r="C14499" s="46">
        <v>4487</v>
      </c>
      <c r="D14499" s="69" t="s">
        <v>29418</v>
      </c>
      <c r="E14499" s="51"/>
      <c r="F14499" s="114" t="str">
        <f>IF(INDEX(I.Facility.P2bIDNumber,4487)="","",INDEX(I.Facility.P2bIDNumber,4487))</f>
        <v/>
      </c>
      <c r="G14499" s="51"/>
      <c r="H14499" s="46" t="str">
        <f>IF(AND(I.Developer.P2b=TRUE,I.Facility.P2bFacilityCount&gt;=4487,F14499=""),"Incomplete","Complete")</f>
        <v>Complete</v>
      </c>
      <c r="I14499" s="48" t="s">
        <v>18864</v>
      </c>
    </row>
    <row r="14500" spans="2:9" ht="15" customHeight="1" x14ac:dyDescent="0.25">
      <c r="B14500" s="55" t="s">
        <v>281</v>
      </c>
      <c r="C14500" s="46">
        <v>4488</v>
      </c>
      <c r="D14500" s="69" t="s">
        <v>29418</v>
      </c>
      <c r="E14500" s="51"/>
      <c r="F14500" s="114" t="str">
        <f>IF(INDEX(I.Facility.P2bIDNumber,4488)="","",INDEX(I.Facility.P2bIDNumber,4488))</f>
        <v/>
      </c>
      <c r="G14500" s="51"/>
      <c r="H14500" s="46" t="str">
        <f>IF(AND(I.Developer.P2b=TRUE,I.Facility.P2bFacilityCount&gt;=4488,F14500=""),"Incomplete","Complete")</f>
        <v>Complete</v>
      </c>
      <c r="I14500" s="48" t="s">
        <v>18865</v>
      </c>
    </row>
    <row r="14501" spans="2:9" ht="15" customHeight="1" x14ac:dyDescent="0.25">
      <c r="B14501" s="55" t="s">
        <v>281</v>
      </c>
      <c r="C14501" s="46">
        <v>4489</v>
      </c>
      <c r="D14501" s="69" t="s">
        <v>29418</v>
      </c>
      <c r="E14501" s="51"/>
      <c r="F14501" s="114" t="str">
        <f>IF(INDEX(I.Facility.P2bIDNumber,4489)="","",INDEX(I.Facility.P2bIDNumber,4489))</f>
        <v/>
      </c>
      <c r="G14501" s="51"/>
      <c r="H14501" s="46" t="str">
        <f>IF(AND(I.Developer.P2b=TRUE,I.Facility.P2bFacilityCount&gt;=4489,F14501=""),"Incomplete","Complete")</f>
        <v>Complete</v>
      </c>
      <c r="I14501" s="48" t="s">
        <v>18866</v>
      </c>
    </row>
    <row r="14502" spans="2:9" ht="15" customHeight="1" x14ac:dyDescent="0.25">
      <c r="B14502" s="55" t="s">
        <v>281</v>
      </c>
      <c r="C14502" s="46">
        <v>4490</v>
      </c>
      <c r="D14502" s="69" t="s">
        <v>29418</v>
      </c>
      <c r="E14502" s="51"/>
      <c r="F14502" s="114" t="str">
        <f>IF(INDEX(I.Facility.P2bIDNumber,4490)="","",INDEX(I.Facility.P2bIDNumber,4490))</f>
        <v/>
      </c>
      <c r="G14502" s="51"/>
      <c r="H14502" s="46" t="str">
        <f>IF(AND(I.Developer.P2b=TRUE,I.Facility.P2bFacilityCount&gt;=4490,F14502=""),"Incomplete","Complete")</f>
        <v>Complete</v>
      </c>
      <c r="I14502" s="48" t="s">
        <v>18867</v>
      </c>
    </row>
    <row r="14503" spans="2:9" ht="15" customHeight="1" x14ac:dyDescent="0.25">
      <c r="B14503" s="55" t="s">
        <v>281</v>
      </c>
      <c r="C14503" s="46">
        <v>4491</v>
      </c>
      <c r="D14503" s="69" t="s">
        <v>29418</v>
      </c>
      <c r="E14503" s="51"/>
      <c r="F14503" s="114" t="str">
        <f>IF(INDEX(I.Facility.P2bIDNumber,4491)="","",INDEX(I.Facility.P2bIDNumber,4491))</f>
        <v/>
      </c>
      <c r="G14503" s="51"/>
      <c r="H14503" s="46" t="str">
        <f>IF(AND(I.Developer.P2b=TRUE,I.Facility.P2bFacilityCount&gt;=4491,F14503=""),"Incomplete","Complete")</f>
        <v>Complete</v>
      </c>
      <c r="I14503" s="48" t="s">
        <v>18868</v>
      </c>
    </row>
    <row r="14504" spans="2:9" ht="15" customHeight="1" x14ac:dyDescent="0.25">
      <c r="B14504" s="55" t="s">
        <v>281</v>
      </c>
      <c r="C14504" s="46">
        <v>4492</v>
      </c>
      <c r="D14504" s="69" t="s">
        <v>29418</v>
      </c>
      <c r="E14504" s="51"/>
      <c r="F14504" s="114" t="str">
        <f>IF(INDEX(I.Facility.P2bIDNumber,4492)="","",INDEX(I.Facility.P2bIDNumber,4492))</f>
        <v/>
      </c>
      <c r="G14504" s="51"/>
      <c r="H14504" s="46" t="str">
        <f>IF(AND(I.Developer.P2b=TRUE,I.Facility.P2bFacilityCount&gt;=4492,F14504=""),"Incomplete","Complete")</f>
        <v>Complete</v>
      </c>
      <c r="I14504" s="48" t="s">
        <v>18869</v>
      </c>
    </row>
    <row r="14505" spans="2:9" ht="15" customHeight="1" x14ac:dyDescent="0.25">
      <c r="B14505" s="55" t="s">
        <v>281</v>
      </c>
      <c r="C14505" s="46">
        <v>4493</v>
      </c>
      <c r="D14505" s="69" t="s">
        <v>29418</v>
      </c>
      <c r="E14505" s="51"/>
      <c r="F14505" s="114" t="str">
        <f>IF(INDEX(I.Facility.P2bIDNumber,4493)="","",INDEX(I.Facility.P2bIDNumber,4493))</f>
        <v/>
      </c>
      <c r="G14505" s="51"/>
      <c r="H14505" s="46" t="str">
        <f>IF(AND(I.Developer.P2b=TRUE,I.Facility.P2bFacilityCount&gt;=4493,F14505=""),"Incomplete","Complete")</f>
        <v>Complete</v>
      </c>
      <c r="I14505" s="48" t="s">
        <v>18870</v>
      </c>
    </row>
    <row r="14506" spans="2:9" ht="15" customHeight="1" x14ac:dyDescent="0.25">
      <c r="B14506" s="55" t="s">
        <v>281</v>
      </c>
      <c r="C14506" s="46">
        <v>4494</v>
      </c>
      <c r="D14506" s="69" t="s">
        <v>29418</v>
      </c>
      <c r="E14506" s="51"/>
      <c r="F14506" s="114" t="str">
        <f>IF(INDEX(I.Facility.P2bIDNumber,4494)="","",INDEX(I.Facility.P2bIDNumber,4494))</f>
        <v/>
      </c>
      <c r="G14506" s="51"/>
      <c r="H14506" s="46" t="str">
        <f>IF(AND(I.Developer.P2b=TRUE,I.Facility.P2bFacilityCount&gt;=4494,F14506=""),"Incomplete","Complete")</f>
        <v>Complete</v>
      </c>
      <c r="I14506" s="48" t="s">
        <v>18871</v>
      </c>
    </row>
    <row r="14507" spans="2:9" ht="15" customHeight="1" x14ac:dyDescent="0.25">
      <c r="B14507" s="55" t="s">
        <v>281</v>
      </c>
      <c r="C14507" s="46">
        <v>4495</v>
      </c>
      <c r="D14507" s="69" t="s">
        <v>29418</v>
      </c>
      <c r="E14507" s="51"/>
      <c r="F14507" s="114" t="str">
        <f>IF(INDEX(I.Facility.P2bIDNumber,4495)="","",INDEX(I.Facility.P2bIDNumber,4495))</f>
        <v/>
      </c>
      <c r="G14507" s="51"/>
      <c r="H14507" s="46" t="str">
        <f>IF(AND(I.Developer.P2b=TRUE,I.Facility.P2bFacilityCount&gt;=4495,F14507=""),"Incomplete","Complete")</f>
        <v>Complete</v>
      </c>
      <c r="I14507" s="48" t="s">
        <v>18872</v>
      </c>
    </row>
    <row r="14508" spans="2:9" ht="15" customHeight="1" x14ac:dyDescent="0.25">
      <c r="B14508" s="55" t="s">
        <v>281</v>
      </c>
      <c r="C14508" s="46">
        <v>4496</v>
      </c>
      <c r="D14508" s="69" t="s">
        <v>29418</v>
      </c>
      <c r="E14508" s="51"/>
      <c r="F14508" s="114" t="str">
        <f>IF(INDEX(I.Facility.P2bIDNumber,4496)="","",INDEX(I.Facility.P2bIDNumber,4496))</f>
        <v/>
      </c>
      <c r="G14508" s="51"/>
      <c r="H14508" s="46" t="str">
        <f>IF(AND(I.Developer.P2b=TRUE,I.Facility.P2bFacilityCount&gt;=4496,F14508=""),"Incomplete","Complete")</f>
        <v>Complete</v>
      </c>
      <c r="I14508" s="48" t="s">
        <v>18873</v>
      </c>
    </row>
    <row r="14509" spans="2:9" ht="15" customHeight="1" x14ac:dyDescent="0.25">
      <c r="B14509" s="55" t="s">
        <v>281</v>
      </c>
      <c r="C14509" s="46">
        <v>4497</v>
      </c>
      <c r="D14509" s="69" t="s">
        <v>29418</v>
      </c>
      <c r="E14509" s="51"/>
      <c r="F14509" s="114" t="str">
        <f>IF(INDEX(I.Facility.P2bIDNumber,4497)="","",INDEX(I.Facility.P2bIDNumber,4497))</f>
        <v/>
      </c>
      <c r="G14509" s="51"/>
      <c r="H14509" s="46" t="str">
        <f>IF(AND(I.Developer.P2b=TRUE,I.Facility.P2bFacilityCount&gt;=4497,F14509=""),"Incomplete","Complete")</f>
        <v>Complete</v>
      </c>
      <c r="I14509" s="48" t="s">
        <v>18874</v>
      </c>
    </row>
    <row r="14510" spans="2:9" ht="15" customHeight="1" x14ac:dyDescent="0.25">
      <c r="B14510" s="55" t="s">
        <v>281</v>
      </c>
      <c r="C14510" s="46">
        <v>4498</v>
      </c>
      <c r="D14510" s="69" t="s">
        <v>29418</v>
      </c>
      <c r="E14510" s="51"/>
      <c r="F14510" s="114" t="str">
        <f>IF(INDEX(I.Facility.P2bIDNumber,4498)="","",INDEX(I.Facility.P2bIDNumber,4498))</f>
        <v/>
      </c>
      <c r="G14510" s="51"/>
      <c r="H14510" s="46" t="str">
        <f>IF(AND(I.Developer.P2b=TRUE,I.Facility.P2bFacilityCount&gt;=4498,F14510=""),"Incomplete","Complete")</f>
        <v>Complete</v>
      </c>
      <c r="I14510" s="48" t="s">
        <v>18875</v>
      </c>
    </row>
    <row r="14511" spans="2:9" ht="15" customHeight="1" x14ac:dyDescent="0.25">
      <c r="B14511" s="55" t="s">
        <v>281</v>
      </c>
      <c r="C14511" s="46">
        <v>4499</v>
      </c>
      <c r="D14511" s="69" t="s">
        <v>29418</v>
      </c>
      <c r="E14511" s="51"/>
      <c r="F14511" s="114" t="str">
        <f>IF(INDEX(I.Facility.P2bIDNumber,4499)="","",INDEX(I.Facility.P2bIDNumber,4499))</f>
        <v/>
      </c>
      <c r="G14511" s="51"/>
      <c r="H14511" s="46" t="str">
        <f>IF(AND(I.Developer.P2b=TRUE,I.Facility.P2bFacilityCount&gt;=4499,F14511=""),"Incomplete","Complete")</f>
        <v>Complete</v>
      </c>
      <c r="I14511" s="48" t="s">
        <v>18876</v>
      </c>
    </row>
    <row r="14512" spans="2:9" ht="15" customHeight="1" x14ac:dyDescent="0.25">
      <c r="B14512" s="55" t="s">
        <v>281</v>
      </c>
      <c r="C14512" s="46">
        <v>4500</v>
      </c>
      <c r="D14512" s="69" t="s">
        <v>29418</v>
      </c>
      <c r="E14512" s="51"/>
      <c r="F14512" s="114" t="str">
        <f>IF(INDEX(I.Facility.P2bIDNumber,4500)="","",INDEX(I.Facility.P2bIDNumber,4500))</f>
        <v/>
      </c>
      <c r="G14512" s="51"/>
      <c r="H14512" s="46" t="str">
        <f>IF(AND(I.Developer.P2b=TRUE,I.Facility.P2bFacilityCount&gt;=4500,F14512=""),"Incomplete","Complete")</f>
        <v>Complete</v>
      </c>
      <c r="I14512" s="48" t="s">
        <v>18877</v>
      </c>
    </row>
    <row r="14513" spans="2:9" ht="15" customHeight="1" x14ac:dyDescent="0.25">
      <c r="B14513" s="55" t="s">
        <v>281</v>
      </c>
      <c r="C14513" s="46">
        <v>4501</v>
      </c>
      <c r="D14513" s="69" t="s">
        <v>29418</v>
      </c>
      <c r="E14513" s="51"/>
      <c r="F14513" s="114" t="str">
        <f>IF(INDEX(I.Facility.P2bIDNumber,4501)="","",INDEX(I.Facility.P2bIDNumber,4501))</f>
        <v/>
      </c>
      <c r="G14513" s="51"/>
      <c r="H14513" s="46" t="str">
        <f>IF(AND(I.Developer.P2b=TRUE,I.Facility.P2bFacilityCount&gt;=4501,F14513=""),"Incomplete","Complete")</f>
        <v>Complete</v>
      </c>
      <c r="I14513" s="48" t="s">
        <v>18878</v>
      </c>
    </row>
    <row r="14514" spans="2:9" ht="15" customHeight="1" x14ac:dyDescent="0.25">
      <c r="B14514" s="55" t="s">
        <v>281</v>
      </c>
      <c r="C14514" s="46">
        <v>4502</v>
      </c>
      <c r="D14514" s="69" t="s">
        <v>29418</v>
      </c>
      <c r="E14514" s="51"/>
      <c r="F14514" s="114" t="str">
        <f>IF(INDEX(I.Facility.P2bIDNumber,4502)="","",INDEX(I.Facility.P2bIDNumber,4502))</f>
        <v/>
      </c>
      <c r="G14514" s="51"/>
      <c r="H14514" s="46" t="str">
        <f>IF(AND(I.Developer.P2b=TRUE,I.Facility.P2bFacilityCount&gt;=4502,F14514=""),"Incomplete","Complete")</f>
        <v>Complete</v>
      </c>
      <c r="I14514" s="48" t="s">
        <v>18879</v>
      </c>
    </row>
    <row r="14515" spans="2:9" ht="15" customHeight="1" x14ac:dyDescent="0.25">
      <c r="B14515" s="55" t="s">
        <v>281</v>
      </c>
      <c r="C14515" s="46">
        <v>4503</v>
      </c>
      <c r="D14515" s="69" t="s">
        <v>29418</v>
      </c>
      <c r="E14515" s="51"/>
      <c r="F14515" s="114" t="str">
        <f>IF(INDEX(I.Facility.P2bIDNumber,4503)="","",INDEX(I.Facility.P2bIDNumber,4503))</f>
        <v/>
      </c>
      <c r="G14515" s="51"/>
      <c r="H14515" s="46" t="str">
        <f>IF(AND(I.Developer.P2b=TRUE,I.Facility.P2bFacilityCount&gt;=4503,F14515=""),"Incomplete","Complete")</f>
        <v>Complete</v>
      </c>
      <c r="I14515" s="48" t="s">
        <v>18880</v>
      </c>
    </row>
    <row r="14516" spans="2:9" ht="15" customHeight="1" x14ac:dyDescent="0.25">
      <c r="B14516" s="55" t="s">
        <v>281</v>
      </c>
      <c r="C14516" s="46">
        <v>4504</v>
      </c>
      <c r="D14516" s="69" t="s">
        <v>29418</v>
      </c>
      <c r="E14516" s="51"/>
      <c r="F14516" s="114" t="str">
        <f>IF(INDEX(I.Facility.P2bIDNumber,4504)="","",INDEX(I.Facility.P2bIDNumber,4504))</f>
        <v/>
      </c>
      <c r="G14516" s="51"/>
      <c r="H14516" s="46" t="str">
        <f>IF(AND(I.Developer.P2b=TRUE,I.Facility.P2bFacilityCount&gt;=4504,F14516=""),"Incomplete","Complete")</f>
        <v>Complete</v>
      </c>
      <c r="I14516" s="48" t="s">
        <v>18881</v>
      </c>
    </row>
    <row r="14517" spans="2:9" ht="15" customHeight="1" x14ac:dyDescent="0.25">
      <c r="B14517" s="55" t="s">
        <v>281</v>
      </c>
      <c r="C14517" s="46">
        <v>4505</v>
      </c>
      <c r="D14517" s="69" t="s">
        <v>29418</v>
      </c>
      <c r="E14517" s="51"/>
      <c r="F14517" s="114" t="str">
        <f>IF(INDEX(I.Facility.P2bIDNumber,4505)="","",INDEX(I.Facility.P2bIDNumber,4505))</f>
        <v/>
      </c>
      <c r="G14517" s="51"/>
      <c r="H14517" s="46" t="str">
        <f>IF(AND(I.Developer.P2b=TRUE,I.Facility.P2bFacilityCount&gt;=4505,F14517=""),"Incomplete","Complete")</f>
        <v>Complete</v>
      </c>
      <c r="I14517" s="48" t="s">
        <v>18882</v>
      </c>
    </row>
    <row r="14518" spans="2:9" ht="15" customHeight="1" x14ac:dyDescent="0.25">
      <c r="B14518" s="55" t="s">
        <v>281</v>
      </c>
      <c r="C14518" s="46">
        <v>4506</v>
      </c>
      <c r="D14518" s="69" t="s">
        <v>29418</v>
      </c>
      <c r="E14518" s="51"/>
      <c r="F14518" s="114" t="str">
        <f>IF(INDEX(I.Facility.P2bIDNumber,4506)="","",INDEX(I.Facility.P2bIDNumber,4506))</f>
        <v/>
      </c>
      <c r="G14518" s="51"/>
      <c r="H14518" s="46" t="str">
        <f>IF(AND(I.Developer.P2b=TRUE,I.Facility.P2bFacilityCount&gt;=4506,F14518=""),"Incomplete","Complete")</f>
        <v>Complete</v>
      </c>
      <c r="I14518" s="48" t="s">
        <v>18883</v>
      </c>
    </row>
    <row r="14519" spans="2:9" ht="15" customHeight="1" x14ac:dyDescent="0.25">
      <c r="B14519" s="55" t="s">
        <v>281</v>
      </c>
      <c r="C14519" s="46">
        <v>4507</v>
      </c>
      <c r="D14519" s="69" t="s">
        <v>29418</v>
      </c>
      <c r="E14519" s="51"/>
      <c r="F14519" s="114" t="str">
        <f>IF(INDEX(I.Facility.P2bIDNumber,4507)="","",INDEX(I.Facility.P2bIDNumber,4507))</f>
        <v/>
      </c>
      <c r="G14519" s="51"/>
      <c r="H14519" s="46" t="str">
        <f>IF(AND(I.Developer.P2b=TRUE,I.Facility.P2bFacilityCount&gt;=4507,F14519=""),"Incomplete","Complete")</f>
        <v>Complete</v>
      </c>
      <c r="I14519" s="48" t="s">
        <v>18884</v>
      </c>
    </row>
    <row r="14520" spans="2:9" ht="15" customHeight="1" x14ac:dyDescent="0.25">
      <c r="B14520" s="55" t="s">
        <v>281</v>
      </c>
      <c r="C14520" s="46">
        <v>4508</v>
      </c>
      <c r="D14520" s="69" t="s">
        <v>29418</v>
      </c>
      <c r="E14520" s="51"/>
      <c r="F14520" s="114" t="str">
        <f>IF(INDEX(I.Facility.P2bIDNumber,4508)="","",INDEX(I.Facility.P2bIDNumber,4508))</f>
        <v/>
      </c>
      <c r="G14520" s="51"/>
      <c r="H14520" s="46" t="str">
        <f>IF(AND(I.Developer.P2b=TRUE,I.Facility.P2bFacilityCount&gt;=4508,F14520=""),"Incomplete","Complete")</f>
        <v>Complete</v>
      </c>
      <c r="I14520" s="48" t="s">
        <v>18885</v>
      </c>
    </row>
    <row r="14521" spans="2:9" ht="15" customHeight="1" x14ac:dyDescent="0.25">
      <c r="B14521" s="55" t="s">
        <v>281</v>
      </c>
      <c r="C14521" s="46">
        <v>4509</v>
      </c>
      <c r="D14521" s="69" t="s">
        <v>29418</v>
      </c>
      <c r="E14521" s="51"/>
      <c r="F14521" s="114" t="str">
        <f>IF(INDEX(I.Facility.P2bIDNumber,4509)="","",INDEX(I.Facility.P2bIDNumber,4509))</f>
        <v/>
      </c>
      <c r="G14521" s="51"/>
      <c r="H14521" s="46" t="str">
        <f>IF(AND(I.Developer.P2b=TRUE,I.Facility.P2bFacilityCount&gt;=4509,F14521=""),"Incomplete","Complete")</f>
        <v>Complete</v>
      </c>
      <c r="I14521" s="48" t="s">
        <v>18886</v>
      </c>
    </row>
    <row r="14522" spans="2:9" ht="15" customHeight="1" x14ac:dyDescent="0.25">
      <c r="B14522" s="55" t="s">
        <v>281</v>
      </c>
      <c r="C14522" s="46">
        <v>4510</v>
      </c>
      <c r="D14522" s="69" t="s">
        <v>29418</v>
      </c>
      <c r="E14522" s="51"/>
      <c r="F14522" s="114" t="str">
        <f>IF(INDEX(I.Facility.P2bIDNumber,4510)="","",INDEX(I.Facility.P2bIDNumber,4510))</f>
        <v/>
      </c>
      <c r="G14522" s="51"/>
      <c r="H14522" s="46" t="str">
        <f>IF(AND(I.Developer.P2b=TRUE,I.Facility.P2bFacilityCount&gt;=4510,F14522=""),"Incomplete","Complete")</f>
        <v>Complete</v>
      </c>
      <c r="I14522" s="48" t="s">
        <v>18887</v>
      </c>
    </row>
    <row r="14523" spans="2:9" ht="15" customHeight="1" x14ac:dyDescent="0.25">
      <c r="B14523" s="55" t="s">
        <v>281</v>
      </c>
      <c r="C14523" s="46">
        <v>4511</v>
      </c>
      <c r="D14523" s="69" t="s">
        <v>29418</v>
      </c>
      <c r="E14523" s="51"/>
      <c r="F14523" s="114" t="str">
        <f>IF(INDEX(I.Facility.P2bIDNumber,4511)="","",INDEX(I.Facility.P2bIDNumber,4511))</f>
        <v/>
      </c>
      <c r="G14523" s="51"/>
      <c r="H14523" s="46" t="str">
        <f>IF(AND(I.Developer.P2b=TRUE,I.Facility.P2bFacilityCount&gt;=4511,F14523=""),"Incomplete","Complete")</f>
        <v>Complete</v>
      </c>
      <c r="I14523" s="48" t="s">
        <v>18888</v>
      </c>
    </row>
    <row r="14524" spans="2:9" ht="15" customHeight="1" x14ac:dyDescent="0.25">
      <c r="B14524" s="55" t="s">
        <v>281</v>
      </c>
      <c r="C14524" s="46">
        <v>4512</v>
      </c>
      <c r="D14524" s="69" t="s">
        <v>29418</v>
      </c>
      <c r="E14524" s="51"/>
      <c r="F14524" s="114" t="str">
        <f>IF(INDEX(I.Facility.P2bIDNumber,4512)="","",INDEX(I.Facility.P2bIDNumber,4512))</f>
        <v/>
      </c>
      <c r="G14524" s="51"/>
      <c r="H14524" s="46" t="str">
        <f>IF(AND(I.Developer.P2b=TRUE,I.Facility.P2bFacilityCount&gt;=4512,F14524=""),"Incomplete","Complete")</f>
        <v>Complete</v>
      </c>
      <c r="I14524" s="48" t="s">
        <v>18889</v>
      </c>
    </row>
    <row r="14525" spans="2:9" ht="15" customHeight="1" x14ac:dyDescent="0.25">
      <c r="B14525" s="55" t="s">
        <v>281</v>
      </c>
      <c r="C14525" s="46">
        <v>4513</v>
      </c>
      <c r="D14525" s="69" t="s">
        <v>29418</v>
      </c>
      <c r="E14525" s="51"/>
      <c r="F14525" s="114" t="str">
        <f>IF(INDEX(I.Facility.P2bIDNumber,4513)="","",INDEX(I.Facility.P2bIDNumber,4513))</f>
        <v/>
      </c>
      <c r="G14525" s="51"/>
      <c r="H14525" s="46" t="str">
        <f>IF(AND(I.Developer.P2b=TRUE,I.Facility.P2bFacilityCount&gt;=4513,F14525=""),"Incomplete","Complete")</f>
        <v>Complete</v>
      </c>
      <c r="I14525" s="48" t="s">
        <v>18890</v>
      </c>
    </row>
    <row r="14526" spans="2:9" ht="15" customHeight="1" x14ac:dyDescent="0.25">
      <c r="B14526" s="55" t="s">
        <v>281</v>
      </c>
      <c r="C14526" s="46">
        <v>4514</v>
      </c>
      <c r="D14526" s="69" t="s">
        <v>29418</v>
      </c>
      <c r="E14526" s="51"/>
      <c r="F14526" s="114" t="str">
        <f>IF(INDEX(I.Facility.P2bIDNumber,4514)="","",INDEX(I.Facility.P2bIDNumber,4514))</f>
        <v/>
      </c>
      <c r="G14526" s="51"/>
      <c r="H14526" s="46" t="str">
        <f>IF(AND(I.Developer.P2b=TRUE,I.Facility.P2bFacilityCount&gt;=4514,F14526=""),"Incomplete","Complete")</f>
        <v>Complete</v>
      </c>
      <c r="I14526" s="48" t="s">
        <v>18891</v>
      </c>
    </row>
    <row r="14527" spans="2:9" ht="15" customHeight="1" x14ac:dyDescent="0.25">
      <c r="B14527" s="55" t="s">
        <v>281</v>
      </c>
      <c r="C14527" s="46">
        <v>4515</v>
      </c>
      <c r="D14527" s="69" t="s">
        <v>29418</v>
      </c>
      <c r="E14527" s="51"/>
      <c r="F14527" s="114" t="str">
        <f>IF(INDEX(I.Facility.P2bIDNumber,4515)="","",INDEX(I.Facility.P2bIDNumber,4515))</f>
        <v/>
      </c>
      <c r="G14527" s="51"/>
      <c r="H14527" s="46" t="str">
        <f>IF(AND(I.Developer.P2b=TRUE,I.Facility.P2bFacilityCount&gt;=4515,F14527=""),"Incomplete","Complete")</f>
        <v>Complete</v>
      </c>
      <c r="I14527" s="48" t="s">
        <v>18892</v>
      </c>
    </row>
    <row r="14528" spans="2:9" ht="15" customHeight="1" x14ac:dyDescent="0.25">
      <c r="B14528" s="55" t="s">
        <v>281</v>
      </c>
      <c r="C14528" s="46">
        <v>4516</v>
      </c>
      <c r="D14528" s="69" t="s">
        <v>29418</v>
      </c>
      <c r="E14528" s="51"/>
      <c r="F14528" s="114" t="str">
        <f>IF(INDEX(I.Facility.P2bIDNumber,4516)="","",INDEX(I.Facility.P2bIDNumber,4516))</f>
        <v/>
      </c>
      <c r="G14528" s="51"/>
      <c r="H14528" s="46" t="str">
        <f>IF(AND(I.Developer.P2b=TRUE,I.Facility.P2bFacilityCount&gt;=4516,F14528=""),"Incomplete","Complete")</f>
        <v>Complete</v>
      </c>
      <c r="I14528" s="48" t="s">
        <v>18893</v>
      </c>
    </row>
    <row r="14529" spans="2:9" ht="15" customHeight="1" x14ac:dyDescent="0.25">
      <c r="B14529" s="55" t="s">
        <v>281</v>
      </c>
      <c r="C14529" s="46">
        <v>4517</v>
      </c>
      <c r="D14529" s="69" t="s">
        <v>29418</v>
      </c>
      <c r="E14529" s="51"/>
      <c r="F14529" s="114" t="str">
        <f>IF(INDEX(I.Facility.P2bIDNumber,4517)="","",INDEX(I.Facility.P2bIDNumber,4517))</f>
        <v/>
      </c>
      <c r="G14529" s="51"/>
      <c r="H14529" s="46" t="str">
        <f>IF(AND(I.Developer.P2b=TRUE,I.Facility.P2bFacilityCount&gt;=4517,F14529=""),"Incomplete","Complete")</f>
        <v>Complete</v>
      </c>
      <c r="I14529" s="48" t="s">
        <v>18894</v>
      </c>
    </row>
    <row r="14530" spans="2:9" ht="15" customHeight="1" x14ac:dyDescent="0.25">
      <c r="B14530" s="55" t="s">
        <v>281</v>
      </c>
      <c r="C14530" s="46">
        <v>4518</v>
      </c>
      <c r="D14530" s="69" t="s">
        <v>29418</v>
      </c>
      <c r="E14530" s="51"/>
      <c r="F14530" s="114" t="str">
        <f>IF(INDEX(I.Facility.P2bIDNumber,4518)="","",INDEX(I.Facility.P2bIDNumber,4518))</f>
        <v/>
      </c>
      <c r="G14530" s="51"/>
      <c r="H14530" s="46" t="str">
        <f>IF(AND(I.Developer.P2b=TRUE,I.Facility.P2bFacilityCount&gt;=4518,F14530=""),"Incomplete","Complete")</f>
        <v>Complete</v>
      </c>
      <c r="I14530" s="48" t="s">
        <v>18895</v>
      </c>
    </row>
    <row r="14531" spans="2:9" ht="15" customHeight="1" x14ac:dyDescent="0.25">
      <c r="B14531" s="55" t="s">
        <v>281</v>
      </c>
      <c r="C14531" s="46">
        <v>4519</v>
      </c>
      <c r="D14531" s="69" t="s">
        <v>29418</v>
      </c>
      <c r="E14531" s="51"/>
      <c r="F14531" s="114" t="str">
        <f>IF(INDEX(I.Facility.P2bIDNumber,4519)="","",INDEX(I.Facility.P2bIDNumber,4519))</f>
        <v/>
      </c>
      <c r="G14531" s="51"/>
      <c r="H14531" s="46" t="str">
        <f>IF(AND(I.Developer.P2b=TRUE,I.Facility.P2bFacilityCount&gt;=4519,F14531=""),"Incomplete","Complete")</f>
        <v>Complete</v>
      </c>
      <c r="I14531" s="48" t="s">
        <v>18896</v>
      </c>
    </row>
    <row r="14532" spans="2:9" ht="15" customHeight="1" x14ac:dyDescent="0.25">
      <c r="B14532" s="55" t="s">
        <v>281</v>
      </c>
      <c r="C14532" s="46">
        <v>4520</v>
      </c>
      <c r="D14532" s="69" t="s">
        <v>29418</v>
      </c>
      <c r="E14532" s="51"/>
      <c r="F14532" s="114" t="str">
        <f>IF(INDEX(I.Facility.P2bIDNumber,4520)="","",INDEX(I.Facility.P2bIDNumber,4520))</f>
        <v/>
      </c>
      <c r="G14532" s="51"/>
      <c r="H14532" s="46" t="str">
        <f>IF(AND(I.Developer.P2b=TRUE,I.Facility.P2bFacilityCount&gt;=4520,F14532=""),"Incomplete","Complete")</f>
        <v>Complete</v>
      </c>
      <c r="I14532" s="48" t="s">
        <v>18897</v>
      </c>
    </row>
    <row r="14533" spans="2:9" ht="15" customHeight="1" x14ac:dyDescent="0.25">
      <c r="B14533" s="55" t="s">
        <v>281</v>
      </c>
      <c r="C14533" s="46">
        <v>4521</v>
      </c>
      <c r="D14533" s="69" t="s">
        <v>29418</v>
      </c>
      <c r="E14533" s="51"/>
      <c r="F14533" s="114" t="str">
        <f>IF(INDEX(I.Facility.P2bIDNumber,4521)="","",INDEX(I.Facility.P2bIDNumber,4521))</f>
        <v/>
      </c>
      <c r="G14533" s="51"/>
      <c r="H14533" s="46" t="str">
        <f>IF(AND(I.Developer.P2b=TRUE,I.Facility.P2bFacilityCount&gt;=4521,F14533=""),"Incomplete","Complete")</f>
        <v>Complete</v>
      </c>
      <c r="I14533" s="48" t="s">
        <v>18898</v>
      </c>
    </row>
    <row r="14534" spans="2:9" ht="15" customHeight="1" x14ac:dyDescent="0.25">
      <c r="B14534" s="55" t="s">
        <v>281</v>
      </c>
      <c r="C14534" s="46">
        <v>4522</v>
      </c>
      <c r="D14534" s="69" t="s">
        <v>29418</v>
      </c>
      <c r="E14534" s="51"/>
      <c r="F14534" s="114" t="str">
        <f>IF(INDEX(I.Facility.P2bIDNumber,4522)="","",INDEX(I.Facility.P2bIDNumber,4522))</f>
        <v/>
      </c>
      <c r="G14534" s="51"/>
      <c r="H14534" s="46" t="str">
        <f>IF(AND(I.Developer.P2b=TRUE,I.Facility.P2bFacilityCount&gt;=4522,F14534=""),"Incomplete","Complete")</f>
        <v>Complete</v>
      </c>
      <c r="I14534" s="48" t="s">
        <v>18899</v>
      </c>
    </row>
    <row r="14535" spans="2:9" ht="15" customHeight="1" x14ac:dyDescent="0.25">
      <c r="B14535" s="55" t="s">
        <v>281</v>
      </c>
      <c r="C14535" s="46">
        <v>4523</v>
      </c>
      <c r="D14535" s="69" t="s">
        <v>29418</v>
      </c>
      <c r="E14535" s="51"/>
      <c r="F14535" s="114" t="str">
        <f>IF(INDEX(I.Facility.P2bIDNumber,4523)="","",INDEX(I.Facility.P2bIDNumber,4523))</f>
        <v/>
      </c>
      <c r="G14535" s="51"/>
      <c r="H14535" s="46" t="str">
        <f>IF(AND(I.Developer.P2b=TRUE,I.Facility.P2bFacilityCount&gt;=4523,F14535=""),"Incomplete","Complete")</f>
        <v>Complete</v>
      </c>
      <c r="I14535" s="48" t="s">
        <v>18900</v>
      </c>
    </row>
    <row r="14536" spans="2:9" ht="15" customHeight="1" x14ac:dyDescent="0.25">
      <c r="B14536" s="55" t="s">
        <v>281</v>
      </c>
      <c r="C14536" s="46">
        <v>4524</v>
      </c>
      <c r="D14536" s="69" t="s">
        <v>29418</v>
      </c>
      <c r="E14536" s="51"/>
      <c r="F14536" s="114" t="str">
        <f>IF(INDEX(I.Facility.P2bIDNumber,4524)="","",INDEX(I.Facility.P2bIDNumber,4524))</f>
        <v/>
      </c>
      <c r="G14536" s="51"/>
      <c r="H14536" s="46" t="str">
        <f>IF(AND(I.Developer.P2b=TRUE,I.Facility.P2bFacilityCount&gt;=4524,F14536=""),"Incomplete","Complete")</f>
        <v>Complete</v>
      </c>
      <c r="I14536" s="48" t="s">
        <v>18901</v>
      </c>
    </row>
    <row r="14537" spans="2:9" ht="15" customHeight="1" x14ac:dyDescent="0.25">
      <c r="B14537" s="55" t="s">
        <v>281</v>
      </c>
      <c r="C14537" s="46">
        <v>4525</v>
      </c>
      <c r="D14537" s="69" t="s">
        <v>29418</v>
      </c>
      <c r="E14537" s="51"/>
      <c r="F14537" s="114" t="str">
        <f>IF(INDEX(I.Facility.P2bIDNumber,4525)="","",INDEX(I.Facility.P2bIDNumber,4525))</f>
        <v/>
      </c>
      <c r="G14537" s="51"/>
      <c r="H14537" s="46" t="str">
        <f>IF(AND(I.Developer.P2b=TRUE,I.Facility.P2bFacilityCount&gt;=4525,F14537=""),"Incomplete","Complete")</f>
        <v>Complete</v>
      </c>
      <c r="I14537" s="48" t="s">
        <v>18902</v>
      </c>
    </row>
    <row r="14538" spans="2:9" ht="15" customHeight="1" x14ac:dyDescent="0.25">
      <c r="B14538" s="55" t="s">
        <v>281</v>
      </c>
      <c r="C14538" s="46">
        <v>4526</v>
      </c>
      <c r="D14538" s="69" t="s">
        <v>29418</v>
      </c>
      <c r="E14538" s="51"/>
      <c r="F14538" s="114" t="str">
        <f>IF(INDEX(I.Facility.P2bIDNumber,4526)="","",INDEX(I.Facility.P2bIDNumber,4526))</f>
        <v/>
      </c>
      <c r="G14538" s="51"/>
      <c r="H14538" s="46" t="str">
        <f>IF(AND(I.Developer.P2b=TRUE,I.Facility.P2bFacilityCount&gt;=4526,F14538=""),"Incomplete","Complete")</f>
        <v>Complete</v>
      </c>
      <c r="I14538" s="48" t="s">
        <v>18903</v>
      </c>
    </row>
    <row r="14539" spans="2:9" ht="15" customHeight="1" x14ac:dyDescent="0.25">
      <c r="B14539" s="55" t="s">
        <v>281</v>
      </c>
      <c r="C14539" s="46">
        <v>4527</v>
      </c>
      <c r="D14539" s="69" t="s">
        <v>29418</v>
      </c>
      <c r="E14539" s="51"/>
      <c r="F14539" s="114" t="str">
        <f>IF(INDEX(I.Facility.P2bIDNumber,4527)="","",INDEX(I.Facility.P2bIDNumber,4527))</f>
        <v/>
      </c>
      <c r="G14539" s="51"/>
      <c r="H14539" s="46" t="str">
        <f>IF(AND(I.Developer.P2b=TRUE,I.Facility.P2bFacilityCount&gt;=4527,F14539=""),"Incomplete","Complete")</f>
        <v>Complete</v>
      </c>
      <c r="I14539" s="48" t="s">
        <v>18904</v>
      </c>
    </row>
    <row r="14540" spans="2:9" ht="15" customHeight="1" x14ac:dyDescent="0.25">
      <c r="B14540" s="55" t="s">
        <v>281</v>
      </c>
      <c r="C14540" s="46">
        <v>4528</v>
      </c>
      <c r="D14540" s="69" t="s">
        <v>29418</v>
      </c>
      <c r="E14540" s="51"/>
      <c r="F14540" s="114" t="str">
        <f>IF(INDEX(I.Facility.P2bIDNumber,4528)="","",INDEX(I.Facility.P2bIDNumber,4528))</f>
        <v/>
      </c>
      <c r="G14540" s="51"/>
      <c r="H14540" s="46" t="str">
        <f>IF(AND(I.Developer.P2b=TRUE,I.Facility.P2bFacilityCount&gt;=4528,F14540=""),"Incomplete","Complete")</f>
        <v>Complete</v>
      </c>
      <c r="I14540" s="48" t="s">
        <v>18905</v>
      </c>
    </row>
    <row r="14541" spans="2:9" ht="15" customHeight="1" x14ac:dyDescent="0.25">
      <c r="B14541" s="55" t="s">
        <v>281</v>
      </c>
      <c r="C14541" s="46">
        <v>4529</v>
      </c>
      <c r="D14541" s="69" t="s">
        <v>29418</v>
      </c>
      <c r="E14541" s="51"/>
      <c r="F14541" s="114" t="str">
        <f>IF(INDEX(I.Facility.P2bIDNumber,4529)="","",INDEX(I.Facility.P2bIDNumber,4529))</f>
        <v/>
      </c>
      <c r="G14541" s="51"/>
      <c r="H14541" s="46" t="str">
        <f>IF(AND(I.Developer.P2b=TRUE,I.Facility.P2bFacilityCount&gt;=4529,F14541=""),"Incomplete","Complete")</f>
        <v>Complete</v>
      </c>
      <c r="I14541" s="48" t="s">
        <v>18906</v>
      </c>
    </row>
    <row r="14542" spans="2:9" ht="15" customHeight="1" x14ac:dyDescent="0.25">
      <c r="B14542" s="55" t="s">
        <v>281</v>
      </c>
      <c r="C14542" s="46">
        <v>4530</v>
      </c>
      <c r="D14542" s="69" t="s">
        <v>29418</v>
      </c>
      <c r="E14542" s="51"/>
      <c r="F14542" s="114" t="str">
        <f>IF(INDEX(I.Facility.P2bIDNumber,4530)="","",INDEX(I.Facility.P2bIDNumber,4530))</f>
        <v/>
      </c>
      <c r="G14542" s="51"/>
      <c r="H14542" s="46" t="str">
        <f>IF(AND(I.Developer.P2b=TRUE,I.Facility.P2bFacilityCount&gt;=4530,F14542=""),"Incomplete","Complete")</f>
        <v>Complete</v>
      </c>
      <c r="I14542" s="48" t="s">
        <v>18907</v>
      </c>
    </row>
    <row r="14543" spans="2:9" ht="15" customHeight="1" x14ac:dyDescent="0.25">
      <c r="B14543" s="55" t="s">
        <v>281</v>
      </c>
      <c r="C14543" s="46">
        <v>4531</v>
      </c>
      <c r="D14543" s="69" t="s">
        <v>29418</v>
      </c>
      <c r="E14543" s="51"/>
      <c r="F14543" s="114" t="str">
        <f>IF(INDEX(I.Facility.P2bIDNumber,4531)="","",INDEX(I.Facility.P2bIDNumber,4531))</f>
        <v/>
      </c>
      <c r="G14543" s="51"/>
      <c r="H14543" s="46" t="str">
        <f>IF(AND(I.Developer.P2b=TRUE,I.Facility.P2bFacilityCount&gt;=4531,F14543=""),"Incomplete","Complete")</f>
        <v>Complete</v>
      </c>
      <c r="I14543" s="48" t="s">
        <v>18908</v>
      </c>
    </row>
    <row r="14544" spans="2:9" ht="15" customHeight="1" x14ac:dyDescent="0.25">
      <c r="B14544" s="55" t="s">
        <v>281</v>
      </c>
      <c r="C14544" s="46">
        <v>4532</v>
      </c>
      <c r="D14544" s="69" t="s">
        <v>29418</v>
      </c>
      <c r="E14544" s="51"/>
      <c r="F14544" s="114" t="str">
        <f>IF(INDEX(I.Facility.P2bIDNumber,4532)="","",INDEX(I.Facility.P2bIDNumber,4532))</f>
        <v/>
      </c>
      <c r="G14544" s="51"/>
      <c r="H14544" s="46" t="str">
        <f>IF(AND(I.Developer.P2b=TRUE,I.Facility.P2bFacilityCount&gt;=4532,F14544=""),"Incomplete","Complete")</f>
        <v>Complete</v>
      </c>
      <c r="I14544" s="48" t="s">
        <v>18909</v>
      </c>
    </row>
    <row r="14545" spans="2:9" ht="15" customHeight="1" x14ac:dyDescent="0.25">
      <c r="B14545" s="55" t="s">
        <v>281</v>
      </c>
      <c r="C14545" s="46">
        <v>4533</v>
      </c>
      <c r="D14545" s="69" t="s">
        <v>29418</v>
      </c>
      <c r="E14545" s="51"/>
      <c r="F14545" s="114" t="str">
        <f>IF(INDEX(I.Facility.P2bIDNumber,4533)="","",INDEX(I.Facility.P2bIDNumber,4533))</f>
        <v/>
      </c>
      <c r="G14545" s="51"/>
      <c r="H14545" s="46" t="str">
        <f>IF(AND(I.Developer.P2b=TRUE,I.Facility.P2bFacilityCount&gt;=4533,F14545=""),"Incomplete","Complete")</f>
        <v>Complete</v>
      </c>
      <c r="I14545" s="48" t="s">
        <v>18910</v>
      </c>
    </row>
    <row r="14546" spans="2:9" ht="15" customHeight="1" x14ac:dyDescent="0.25">
      <c r="B14546" s="55" t="s">
        <v>281</v>
      </c>
      <c r="C14546" s="46">
        <v>4534</v>
      </c>
      <c r="D14546" s="69" t="s">
        <v>29418</v>
      </c>
      <c r="E14546" s="51"/>
      <c r="F14546" s="114" t="str">
        <f>IF(INDEX(I.Facility.P2bIDNumber,4534)="","",INDEX(I.Facility.P2bIDNumber,4534))</f>
        <v/>
      </c>
      <c r="G14546" s="51"/>
      <c r="H14546" s="46" t="str">
        <f>IF(AND(I.Developer.P2b=TRUE,I.Facility.P2bFacilityCount&gt;=4534,F14546=""),"Incomplete","Complete")</f>
        <v>Complete</v>
      </c>
      <c r="I14546" s="48" t="s">
        <v>18911</v>
      </c>
    </row>
    <row r="14547" spans="2:9" ht="15" customHeight="1" x14ac:dyDescent="0.25">
      <c r="B14547" s="55" t="s">
        <v>281</v>
      </c>
      <c r="C14547" s="46">
        <v>4535</v>
      </c>
      <c r="D14547" s="69" t="s">
        <v>29418</v>
      </c>
      <c r="E14547" s="51"/>
      <c r="F14547" s="114" t="str">
        <f>IF(INDEX(I.Facility.P2bIDNumber,4535)="","",INDEX(I.Facility.P2bIDNumber,4535))</f>
        <v/>
      </c>
      <c r="G14547" s="51"/>
      <c r="H14547" s="46" t="str">
        <f>IF(AND(I.Developer.P2b=TRUE,I.Facility.P2bFacilityCount&gt;=4535,F14547=""),"Incomplete","Complete")</f>
        <v>Complete</v>
      </c>
      <c r="I14547" s="48" t="s">
        <v>18912</v>
      </c>
    </row>
    <row r="14548" spans="2:9" ht="15" customHeight="1" x14ac:dyDescent="0.25">
      <c r="B14548" s="55" t="s">
        <v>281</v>
      </c>
      <c r="C14548" s="46">
        <v>4536</v>
      </c>
      <c r="D14548" s="69" t="s">
        <v>29418</v>
      </c>
      <c r="E14548" s="51"/>
      <c r="F14548" s="114" t="str">
        <f>IF(INDEX(I.Facility.P2bIDNumber,4536)="","",INDEX(I.Facility.P2bIDNumber,4536))</f>
        <v/>
      </c>
      <c r="G14548" s="51"/>
      <c r="H14548" s="46" t="str">
        <f>IF(AND(I.Developer.P2b=TRUE,I.Facility.P2bFacilityCount&gt;=4536,F14548=""),"Incomplete","Complete")</f>
        <v>Complete</v>
      </c>
      <c r="I14548" s="48" t="s">
        <v>18913</v>
      </c>
    </row>
    <row r="14549" spans="2:9" ht="15" customHeight="1" x14ac:dyDescent="0.25">
      <c r="B14549" s="55" t="s">
        <v>281</v>
      </c>
      <c r="C14549" s="46">
        <v>4537</v>
      </c>
      <c r="D14549" s="69" t="s">
        <v>29418</v>
      </c>
      <c r="E14549" s="51"/>
      <c r="F14549" s="114" t="str">
        <f>IF(INDEX(I.Facility.P2bIDNumber,4537)="","",INDEX(I.Facility.P2bIDNumber,4537))</f>
        <v/>
      </c>
      <c r="G14549" s="51"/>
      <c r="H14549" s="46" t="str">
        <f>IF(AND(I.Developer.P2b=TRUE,I.Facility.P2bFacilityCount&gt;=4537,F14549=""),"Incomplete","Complete")</f>
        <v>Complete</v>
      </c>
      <c r="I14549" s="48" t="s">
        <v>18914</v>
      </c>
    </row>
    <row r="14550" spans="2:9" ht="15" customHeight="1" x14ac:dyDescent="0.25">
      <c r="B14550" s="55" t="s">
        <v>281</v>
      </c>
      <c r="C14550" s="46">
        <v>4538</v>
      </c>
      <c r="D14550" s="69" t="s">
        <v>29418</v>
      </c>
      <c r="E14550" s="51"/>
      <c r="F14550" s="114" t="str">
        <f>IF(INDEX(I.Facility.P2bIDNumber,4538)="","",INDEX(I.Facility.P2bIDNumber,4538))</f>
        <v/>
      </c>
      <c r="G14550" s="51"/>
      <c r="H14550" s="46" t="str">
        <f>IF(AND(I.Developer.P2b=TRUE,I.Facility.P2bFacilityCount&gt;=4538,F14550=""),"Incomplete","Complete")</f>
        <v>Complete</v>
      </c>
      <c r="I14550" s="48" t="s">
        <v>18915</v>
      </c>
    </row>
    <row r="14551" spans="2:9" ht="15" customHeight="1" x14ac:dyDescent="0.25">
      <c r="B14551" s="55" t="s">
        <v>281</v>
      </c>
      <c r="C14551" s="46">
        <v>4539</v>
      </c>
      <c r="D14551" s="69" t="s">
        <v>29418</v>
      </c>
      <c r="E14551" s="51"/>
      <c r="F14551" s="114" t="str">
        <f>IF(INDEX(I.Facility.P2bIDNumber,4539)="","",INDEX(I.Facility.P2bIDNumber,4539))</f>
        <v/>
      </c>
      <c r="G14551" s="51"/>
      <c r="H14551" s="46" t="str">
        <f>IF(AND(I.Developer.P2b=TRUE,I.Facility.P2bFacilityCount&gt;=4539,F14551=""),"Incomplete","Complete")</f>
        <v>Complete</v>
      </c>
      <c r="I14551" s="48" t="s">
        <v>18916</v>
      </c>
    </row>
    <row r="14552" spans="2:9" ht="15" customHeight="1" x14ac:dyDescent="0.25">
      <c r="B14552" s="55" t="s">
        <v>281</v>
      </c>
      <c r="C14552" s="46">
        <v>4540</v>
      </c>
      <c r="D14552" s="69" t="s">
        <v>29418</v>
      </c>
      <c r="E14552" s="51"/>
      <c r="F14552" s="114" t="str">
        <f>IF(INDEX(I.Facility.P2bIDNumber,4540)="","",INDEX(I.Facility.P2bIDNumber,4540))</f>
        <v/>
      </c>
      <c r="G14552" s="51"/>
      <c r="H14552" s="46" t="str">
        <f>IF(AND(I.Developer.P2b=TRUE,I.Facility.P2bFacilityCount&gt;=4540,F14552=""),"Incomplete","Complete")</f>
        <v>Complete</v>
      </c>
      <c r="I14552" s="48" t="s">
        <v>18917</v>
      </c>
    </row>
    <row r="14553" spans="2:9" ht="15" customHeight="1" x14ac:dyDescent="0.25">
      <c r="B14553" s="55" t="s">
        <v>281</v>
      </c>
      <c r="C14553" s="46">
        <v>4541</v>
      </c>
      <c r="D14553" s="69" t="s">
        <v>29418</v>
      </c>
      <c r="E14553" s="51"/>
      <c r="F14553" s="114" t="str">
        <f>IF(INDEX(I.Facility.P2bIDNumber,4541)="","",INDEX(I.Facility.P2bIDNumber,4541))</f>
        <v/>
      </c>
      <c r="G14553" s="51"/>
      <c r="H14553" s="46" t="str">
        <f>IF(AND(I.Developer.P2b=TRUE,I.Facility.P2bFacilityCount&gt;=4541,F14553=""),"Incomplete","Complete")</f>
        <v>Complete</v>
      </c>
      <c r="I14553" s="48" t="s">
        <v>18918</v>
      </c>
    </row>
    <row r="14554" spans="2:9" ht="15" customHeight="1" x14ac:dyDescent="0.25">
      <c r="B14554" s="55" t="s">
        <v>281</v>
      </c>
      <c r="C14554" s="46">
        <v>4542</v>
      </c>
      <c r="D14554" s="69" t="s">
        <v>29418</v>
      </c>
      <c r="E14554" s="51"/>
      <c r="F14554" s="114" t="str">
        <f>IF(INDEX(I.Facility.P2bIDNumber,4542)="","",INDEX(I.Facility.P2bIDNumber,4542))</f>
        <v/>
      </c>
      <c r="G14554" s="51"/>
      <c r="H14554" s="46" t="str">
        <f>IF(AND(I.Developer.P2b=TRUE,I.Facility.P2bFacilityCount&gt;=4542,F14554=""),"Incomplete","Complete")</f>
        <v>Complete</v>
      </c>
      <c r="I14554" s="48" t="s">
        <v>18919</v>
      </c>
    </row>
    <row r="14555" spans="2:9" ht="15" customHeight="1" x14ac:dyDescent="0.25">
      <c r="B14555" s="55" t="s">
        <v>281</v>
      </c>
      <c r="C14555" s="46">
        <v>4543</v>
      </c>
      <c r="D14555" s="69" t="s">
        <v>29418</v>
      </c>
      <c r="E14555" s="51"/>
      <c r="F14555" s="114" t="str">
        <f>IF(INDEX(I.Facility.P2bIDNumber,4543)="","",INDEX(I.Facility.P2bIDNumber,4543))</f>
        <v/>
      </c>
      <c r="G14555" s="51"/>
      <c r="H14555" s="46" t="str">
        <f>IF(AND(I.Developer.P2b=TRUE,I.Facility.P2bFacilityCount&gt;=4543,F14555=""),"Incomplete","Complete")</f>
        <v>Complete</v>
      </c>
      <c r="I14555" s="48" t="s">
        <v>18920</v>
      </c>
    </row>
    <row r="14556" spans="2:9" ht="15" customHeight="1" x14ac:dyDescent="0.25">
      <c r="B14556" s="55" t="s">
        <v>281</v>
      </c>
      <c r="C14556" s="46">
        <v>4544</v>
      </c>
      <c r="D14556" s="69" t="s">
        <v>29418</v>
      </c>
      <c r="E14556" s="51"/>
      <c r="F14556" s="114" t="str">
        <f>IF(INDEX(I.Facility.P2bIDNumber,4544)="","",INDEX(I.Facility.P2bIDNumber,4544))</f>
        <v/>
      </c>
      <c r="G14556" s="51"/>
      <c r="H14556" s="46" t="str">
        <f>IF(AND(I.Developer.P2b=TRUE,I.Facility.P2bFacilityCount&gt;=4544,F14556=""),"Incomplete","Complete")</f>
        <v>Complete</v>
      </c>
      <c r="I14556" s="48" t="s">
        <v>18921</v>
      </c>
    </row>
    <row r="14557" spans="2:9" ht="15" customHeight="1" x14ac:dyDescent="0.25">
      <c r="B14557" s="55" t="s">
        <v>281</v>
      </c>
      <c r="C14557" s="46">
        <v>4545</v>
      </c>
      <c r="D14557" s="69" t="s">
        <v>29418</v>
      </c>
      <c r="E14557" s="51"/>
      <c r="F14557" s="114" t="str">
        <f>IF(INDEX(I.Facility.P2bIDNumber,4545)="","",INDEX(I.Facility.P2bIDNumber,4545))</f>
        <v/>
      </c>
      <c r="G14557" s="51"/>
      <c r="H14557" s="46" t="str">
        <f>IF(AND(I.Developer.P2b=TRUE,I.Facility.P2bFacilityCount&gt;=4545,F14557=""),"Incomplete","Complete")</f>
        <v>Complete</v>
      </c>
      <c r="I14557" s="48" t="s">
        <v>18922</v>
      </c>
    </row>
    <row r="14558" spans="2:9" ht="15" customHeight="1" x14ac:dyDescent="0.25">
      <c r="B14558" s="55" t="s">
        <v>281</v>
      </c>
      <c r="C14558" s="46">
        <v>4546</v>
      </c>
      <c r="D14558" s="69" t="s">
        <v>29418</v>
      </c>
      <c r="E14558" s="51"/>
      <c r="F14558" s="114" t="str">
        <f>IF(INDEX(I.Facility.P2bIDNumber,4546)="","",INDEX(I.Facility.P2bIDNumber,4546))</f>
        <v/>
      </c>
      <c r="G14558" s="51"/>
      <c r="H14558" s="46" t="str">
        <f>IF(AND(I.Developer.P2b=TRUE,I.Facility.P2bFacilityCount&gt;=4546,F14558=""),"Incomplete","Complete")</f>
        <v>Complete</v>
      </c>
      <c r="I14558" s="48" t="s">
        <v>18923</v>
      </c>
    </row>
    <row r="14559" spans="2:9" ht="15" customHeight="1" x14ac:dyDescent="0.25">
      <c r="B14559" s="55" t="s">
        <v>281</v>
      </c>
      <c r="C14559" s="46">
        <v>4547</v>
      </c>
      <c r="D14559" s="69" t="s">
        <v>29418</v>
      </c>
      <c r="E14559" s="51"/>
      <c r="F14559" s="114" t="str">
        <f>IF(INDEX(I.Facility.P2bIDNumber,4547)="","",INDEX(I.Facility.P2bIDNumber,4547))</f>
        <v/>
      </c>
      <c r="G14559" s="51"/>
      <c r="H14559" s="46" t="str">
        <f>IF(AND(I.Developer.P2b=TRUE,I.Facility.P2bFacilityCount&gt;=4547,F14559=""),"Incomplete","Complete")</f>
        <v>Complete</v>
      </c>
      <c r="I14559" s="48" t="s">
        <v>18924</v>
      </c>
    </row>
    <row r="14560" spans="2:9" ht="15" customHeight="1" x14ac:dyDescent="0.25">
      <c r="B14560" s="55" t="s">
        <v>281</v>
      </c>
      <c r="C14560" s="46">
        <v>4548</v>
      </c>
      <c r="D14560" s="69" t="s">
        <v>29418</v>
      </c>
      <c r="E14560" s="51"/>
      <c r="F14560" s="114" t="str">
        <f>IF(INDEX(I.Facility.P2bIDNumber,4548)="","",INDEX(I.Facility.P2bIDNumber,4548))</f>
        <v/>
      </c>
      <c r="G14560" s="51"/>
      <c r="H14560" s="46" t="str">
        <f>IF(AND(I.Developer.P2b=TRUE,I.Facility.P2bFacilityCount&gt;=4548,F14560=""),"Incomplete","Complete")</f>
        <v>Complete</v>
      </c>
      <c r="I14560" s="48" t="s">
        <v>18925</v>
      </c>
    </row>
    <row r="14561" spans="2:9" ht="15" customHeight="1" x14ac:dyDescent="0.25">
      <c r="B14561" s="55" t="s">
        <v>281</v>
      </c>
      <c r="C14561" s="46">
        <v>4549</v>
      </c>
      <c r="D14561" s="69" t="s">
        <v>29418</v>
      </c>
      <c r="E14561" s="51"/>
      <c r="F14561" s="114" t="str">
        <f>IF(INDEX(I.Facility.P2bIDNumber,4549)="","",INDEX(I.Facility.P2bIDNumber,4549))</f>
        <v/>
      </c>
      <c r="G14561" s="51"/>
      <c r="H14561" s="46" t="str">
        <f>IF(AND(I.Developer.P2b=TRUE,I.Facility.P2bFacilityCount&gt;=4549,F14561=""),"Incomplete","Complete")</f>
        <v>Complete</v>
      </c>
      <c r="I14561" s="48" t="s">
        <v>18926</v>
      </c>
    </row>
    <row r="14562" spans="2:9" ht="15" customHeight="1" x14ac:dyDescent="0.25">
      <c r="B14562" s="55" t="s">
        <v>281</v>
      </c>
      <c r="C14562" s="46">
        <v>4550</v>
      </c>
      <c r="D14562" s="69" t="s">
        <v>29418</v>
      </c>
      <c r="E14562" s="51"/>
      <c r="F14562" s="114" t="str">
        <f>IF(INDEX(I.Facility.P2bIDNumber,4550)="","",INDEX(I.Facility.P2bIDNumber,4550))</f>
        <v/>
      </c>
      <c r="G14562" s="51"/>
      <c r="H14562" s="46" t="str">
        <f>IF(AND(I.Developer.P2b=TRUE,I.Facility.P2bFacilityCount&gt;=4550,F14562=""),"Incomplete","Complete")</f>
        <v>Complete</v>
      </c>
      <c r="I14562" s="48" t="s">
        <v>18927</v>
      </c>
    </row>
    <row r="14563" spans="2:9" ht="15" customHeight="1" x14ac:dyDescent="0.25">
      <c r="B14563" s="55" t="s">
        <v>281</v>
      </c>
      <c r="C14563" s="46">
        <v>4551</v>
      </c>
      <c r="D14563" s="69" t="s">
        <v>29418</v>
      </c>
      <c r="E14563" s="51"/>
      <c r="F14563" s="114" t="str">
        <f>IF(INDEX(I.Facility.P2bIDNumber,4551)="","",INDEX(I.Facility.P2bIDNumber,4551))</f>
        <v/>
      </c>
      <c r="G14563" s="51"/>
      <c r="H14563" s="46" t="str">
        <f>IF(AND(I.Developer.P2b=TRUE,I.Facility.P2bFacilityCount&gt;=4551,F14563=""),"Incomplete","Complete")</f>
        <v>Complete</v>
      </c>
      <c r="I14563" s="48" t="s">
        <v>18928</v>
      </c>
    </row>
    <row r="14564" spans="2:9" ht="15" customHeight="1" x14ac:dyDescent="0.25">
      <c r="B14564" s="55" t="s">
        <v>281</v>
      </c>
      <c r="C14564" s="46">
        <v>4552</v>
      </c>
      <c r="D14564" s="69" t="s">
        <v>29418</v>
      </c>
      <c r="E14564" s="51"/>
      <c r="F14564" s="114" t="str">
        <f>IF(INDEX(I.Facility.P2bIDNumber,4552)="","",INDEX(I.Facility.P2bIDNumber,4552))</f>
        <v/>
      </c>
      <c r="G14564" s="51"/>
      <c r="H14564" s="46" t="str">
        <f>IF(AND(I.Developer.P2b=TRUE,I.Facility.P2bFacilityCount&gt;=4552,F14564=""),"Incomplete","Complete")</f>
        <v>Complete</v>
      </c>
      <c r="I14564" s="48" t="s">
        <v>18929</v>
      </c>
    </row>
    <row r="14565" spans="2:9" ht="15" customHeight="1" x14ac:dyDescent="0.25">
      <c r="B14565" s="55" t="s">
        <v>281</v>
      </c>
      <c r="C14565" s="46">
        <v>4553</v>
      </c>
      <c r="D14565" s="69" t="s">
        <v>29418</v>
      </c>
      <c r="E14565" s="51"/>
      <c r="F14565" s="114" t="str">
        <f>IF(INDEX(I.Facility.P2bIDNumber,4553)="","",INDEX(I.Facility.P2bIDNumber,4553))</f>
        <v/>
      </c>
      <c r="G14565" s="51"/>
      <c r="H14565" s="46" t="str">
        <f>IF(AND(I.Developer.P2b=TRUE,I.Facility.P2bFacilityCount&gt;=4553,F14565=""),"Incomplete","Complete")</f>
        <v>Complete</v>
      </c>
      <c r="I14565" s="48" t="s">
        <v>18930</v>
      </c>
    </row>
    <row r="14566" spans="2:9" ht="15" customHeight="1" x14ac:dyDescent="0.25">
      <c r="B14566" s="55" t="s">
        <v>281</v>
      </c>
      <c r="C14566" s="46">
        <v>4554</v>
      </c>
      <c r="D14566" s="69" t="s">
        <v>29418</v>
      </c>
      <c r="E14566" s="51"/>
      <c r="F14566" s="114" t="str">
        <f>IF(INDEX(I.Facility.P2bIDNumber,4554)="","",INDEX(I.Facility.P2bIDNumber,4554))</f>
        <v/>
      </c>
      <c r="G14566" s="51"/>
      <c r="H14566" s="46" t="str">
        <f>IF(AND(I.Developer.P2b=TRUE,I.Facility.P2bFacilityCount&gt;=4554,F14566=""),"Incomplete","Complete")</f>
        <v>Complete</v>
      </c>
      <c r="I14566" s="48" t="s">
        <v>18931</v>
      </c>
    </row>
    <row r="14567" spans="2:9" ht="15" customHeight="1" x14ac:dyDescent="0.25">
      <c r="B14567" s="55" t="s">
        <v>281</v>
      </c>
      <c r="C14567" s="46">
        <v>4555</v>
      </c>
      <c r="D14567" s="69" t="s">
        <v>29418</v>
      </c>
      <c r="E14567" s="51"/>
      <c r="F14567" s="114" t="str">
        <f>IF(INDEX(I.Facility.P2bIDNumber,4555)="","",INDEX(I.Facility.P2bIDNumber,4555))</f>
        <v/>
      </c>
      <c r="G14567" s="51"/>
      <c r="H14567" s="46" t="str">
        <f>IF(AND(I.Developer.P2b=TRUE,I.Facility.P2bFacilityCount&gt;=4555,F14567=""),"Incomplete","Complete")</f>
        <v>Complete</v>
      </c>
      <c r="I14567" s="48" t="s">
        <v>18932</v>
      </c>
    </row>
    <row r="14568" spans="2:9" ht="15" customHeight="1" x14ac:dyDescent="0.25">
      <c r="B14568" s="55" t="s">
        <v>281</v>
      </c>
      <c r="C14568" s="46">
        <v>4556</v>
      </c>
      <c r="D14568" s="69" t="s">
        <v>29418</v>
      </c>
      <c r="E14568" s="51"/>
      <c r="F14568" s="114" t="str">
        <f>IF(INDEX(I.Facility.P2bIDNumber,4556)="","",INDEX(I.Facility.P2bIDNumber,4556))</f>
        <v/>
      </c>
      <c r="G14568" s="51"/>
      <c r="H14568" s="46" t="str">
        <f>IF(AND(I.Developer.P2b=TRUE,I.Facility.P2bFacilityCount&gt;=4556,F14568=""),"Incomplete","Complete")</f>
        <v>Complete</v>
      </c>
      <c r="I14568" s="48" t="s">
        <v>18933</v>
      </c>
    </row>
    <row r="14569" spans="2:9" ht="15" customHeight="1" x14ac:dyDescent="0.25">
      <c r="B14569" s="55" t="s">
        <v>281</v>
      </c>
      <c r="C14569" s="46">
        <v>4557</v>
      </c>
      <c r="D14569" s="69" t="s">
        <v>29418</v>
      </c>
      <c r="E14569" s="51"/>
      <c r="F14569" s="114" t="str">
        <f>IF(INDEX(I.Facility.P2bIDNumber,4557)="","",INDEX(I.Facility.P2bIDNumber,4557))</f>
        <v/>
      </c>
      <c r="G14569" s="51"/>
      <c r="H14569" s="46" t="str">
        <f>IF(AND(I.Developer.P2b=TRUE,I.Facility.P2bFacilityCount&gt;=4557,F14569=""),"Incomplete","Complete")</f>
        <v>Complete</v>
      </c>
      <c r="I14569" s="48" t="s">
        <v>18934</v>
      </c>
    </row>
    <row r="14570" spans="2:9" ht="15" customHeight="1" x14ac:dyDescent="0.25">
      <c r="B14570" s="55" t="s">
        <v>281</v>
      </c>
      <c r="C14570" s="46">
        <v>4558</v>
      </c>
      <c r="D14570" s="69" t="s">
        <v>29418</v>
      </c>
      <c r="E14570" s="51"/>
      <c r="F14570" s="114" t="str">
        <f>IF(INDEX(I.Facility.P2bIDNumber,4558)="","",INDEX(I.Facility.P2bIDNumber,4558))</f>
        <v/>
      </c>
      <c r="G14570" s="51"/>
      <c r="H14570" s="46" t="str">
        <f>IF(AND(I.Developer.P2b=TRUE,I.Facility.P2bFacilityCount&gt;=4558,F14570=""),"Incomplete","Complete")</f>
        <v>Complete</v>
      </c>
      <c r="I14570" s="48" t="s">
        <v>18935</v>
      </c>
    </row>
    <row r="14571" spans="2:9" ht="15" customHeight="1" x14ac:dyDescent="0.25">
      <c r="B14571" s="55" t="s">
        <v>281</v>
      </c>
      <c r="C14571" s="46">
        <v>4559</v>
      </c>
      <c r="D14571" s="69" t="s">
        <v>29418</v>
      </c>
      <c r="E14571" s="51"/>
      <c r="F14571" s="114" t="str">
        <f>IF(INDEX(I.Facility.P2bIDNumber,4559)="","",INDEX(I.Facility.P2bIDNumber,4559))</f>
        <v/>
      </c>
      <c r="G14571" s="51"/>
      <c r="H14571" s="46" t="str">
        <f>IF(AND(I.Developer.P2b=TRUE,I.Facility.P2bFacilityCount&gt;=4559,F14571=""),"Incomplete","Complete")</f>
        <v>Complete</v>
      </c>
      <c r="I14571" s="48" t="s">
        <v>18936</v>
      </c>
    </row>
    <row r="14572" spans="2:9" ht="15" customHeight="1" x14ac:dyDescent="0.25">
      <c r="B14572" s="55" t="s">
        <v>281</v>
      </c>
      <c r="C14572" s="46">
        <v>4560</v>
      </c>
      <c r="D14572" s="69" t="s">
        <v>29418</v>
      </c>
      <c r="E14572" s="51"/>
      <c r="F14572" s="114" t="str">
        <f>IF(INDEX(I.Facility.P2bIDNumber,4560)="","",INDEX(I.Facility.P2bIDNumber,4560))</f>
        <v/>
      </c>
      <c r="G14572" s="51"/>
      <c r="H14572" s="46" t="str">
        <f>IF(AND(I.Developer.P2b=TRUE,I.Facility.P2bFacilityCount&gt;=4560,F14572=""),"Incomplete","Complete")</f>
        <v>Complete</v>
      </c>
      <c r="I14572" s="48" t="s">
        <v>18937</v>
      </c>
    </row>
    <row r="14573" spans="2:9" ht="15" customHeight="1" x14ac:dyDescent="0.25">
      <c r="B14573" s="55" t="s">
        <v>281</v>
      </c>
      <c r="C14573" s="46">
        <v>4561</v>
      </c>
      <c r="D14573" s="69" t="s">
        <v>29418</v>
      </c>
      <c r="E14573" s="51"/>
      <c r="F14573" s="114" t="str">
        <f>IF(INDEX(I.Facility.P2bIDNumber,4561)="","",INDEX(I.Facility.P2bIDNumber,4561))</f>
        <v/>
      </c>
      <c r="G14573" s="51"/>
      <c r="H14573" s="46" t="str">
        <f>IF(AND(I.Developer.P2b=TRUE,I.Facility.P2bFacilityCount&gt;=4561,F14573=""),"Incomplete","Complete")</f>
        <v>Complete</v>
      </c>
      <c r="I14573" s="48" t="s">
        <v>18938</v>
      </c>
    </row>
    <row r="14574" spans="2:9" ht="15" customHeight="1" x14ac:dyDescent="0.25">
      <c r="B14574" s="55" t="s">
        <v>281</v>
      </c>
      <c r="C14574" s="46">
        <v>4562</v>
      </c>
      <c r="D14574" s="69" t="s">
        <v>29418</v>
      </c>
      <c r="E14574" s="51"/>
      <c r="F14574" s="114" t="str">
        <f>IF(INDEX(I.Facility.P2bIDNumber,4562)="","",INDEX(I.Facility.P2bIDNumber,4562))</f>
        <v/>
      </c>
      <c r="G14574" s="51"/>
      <c r="H14574" s="46" t="str">
        <f>IF(AND(I.Developer.P2b=TRUE,I.Facility.P2bFacilityCount&gt;=4562,F14574=""),"Incomplete","Complete")</f>
        <v>Complete</v>
      </c>
      <c r="I14574" s="48" t="s">
        <v>18939</v>
      </c>
    </row>
    <row r="14575" spans="2:9" ht="15" customHeight="1" x14ac:dyDescent="0.25">
      <c r="B14575" s="55" t="s">
        <v>281</v>
      </c>
      <c r="C14575" s="46">
        <v>4563</v>
      </c>
      <c r="D14575" s="69" t="s">
        <v>29418</v>
      </c>
      <c r="E14575" s="51"/>
      <c r="F14575" s="114" t="str">
        <f>IF(INDEX(I.Facility.P2bIDNumber,4563)="","",INDEX(I.Facility.P2bIDNumber,4563))</f>
        <v/>
      </c>
      <c r="G14575" s="51"/>
      <c r="H14575" s="46" t="str">
        <f>IF(AND(I.Developer.P2b=TRUE,I.Facility.P2bFacilityCount&gt;=4563,F14575=""),"Incomplete","Complete")</f>
        <v>Complete</v>
      </c>
      <c r="I14575" s="48" t="s">
        <v>18940</v>
      </c>
    </row>
    <row r="14576" spans="2:9" ht="15" customHeight="1" x14ac:dyDescent="0.25">
      <c r="B14576" s="55" t="s">
        <v>281</v>
      </c>
      <c r="C14576" s="46">
        <v>4564</v>
      </c>
      <c r="D14576" s="69" t="s">
        <v>29418</v>
      </c>
      <c r="E14576" s="51"/>
      <c r="F14576" s="114" t="str">
        <f>IF(INDEX(I.Facility.P2bIDNumber,4564)="","",INDEX(I.Facility.P2bIDNumber,4564))</f>
        <v/>
      </c>
      <c r="G14576" s="51"/>
      <c r="H14576" s="46" t="str">
        <f>IF(AND(I.Developer.P2b=TRUE,I.Facility.P2bFacilityCount&gt;=4564,F14576=""),"Incomplete","Complete")</f>
        <v>Complete</v>
      </c>
      <c r="I14576" s="48" t="s">
        <v>18941</v>
      </c>
    </row>
    <row r="14577" spans="2:9" ht="15" customHeight="1" x14ac:dyDescent="0.25">
      <c r="B14577" s="55" t="s">
        <v>281</v>
      </c>
      <c r="C14577" s="46">
        <v>4565</v>
      </c>
      <c r="D14577" s="69" t="s">
        <v>29418</v>
      </c>
      <c r="E14577" s="51"/>
      <c r="F14577" s="114" t="str">
        <f>IF(INDEX(I.Facility.P2bIDNumber,4565)="","",INDEX(I.Facility.P2bIDNumber,4565))</f>
        <v/>
      </c>
      <c r="G14577" s="51"/>
      <c r="H14577" s="46" t="str">
        <f>IF(AND(I.Developer.P2b=TRUE,I.Facility.P2bFacilityCount&gt;=4565,F14577=""),"Incomplete","Complete")</f>
        <v>Complete</v>
      </c>
      <c r="I14577" s="48" t="s">
        <v>18942</v>
      </c>
    </row>
    <row r="14578" spans="2:9" ht="15" customHeight="1" x14ac:dyDescent="0.25">
      <c r="B14578" s="55" t="s">
        <v>281</v>
      </c>
      <c r="C14578" s="46">
        <v>4566</v>
      </c>
      <c r="D14578" s="69" t="s">
        <v>29418</v>
      </c>
      <c r="E14578" s="51"/>
      <c r="F14578" s="114" t="str">
        <f>IF(INDEX(I.Facility.P2bIDNumber,4566)="","",INDEX(I.Facility.P2bIDNumber,4566))</f>
        <v/>
      </c>
      <c r="G14578" s="51"/>
      <c r="H14578" s="46" t="str">
        <f>IF(AND(I.Developer.P2b=TRUE,I.Facility.P2bFacilityCount&gt;=4566,F14578=""),"Incomplete","Complete")</f>
        <v>Complete</v>
      </c>
      <c r="I14578" s="48" t="s">
        <v>18943</v>
      </c>
    </row>
    <row r="14579" spans="2:9" ht="15" customHeight="1" x14ac:dyDescent="0.25">
      <c r="B14579" s="55" t="s">
        <v>281</v>
      </c>
      <c r="C14579" s="46">
        <v>4567</v>
      </c>
      <c r="D14579" s="69" t="s">
        <v>29418</v>
      </c>
      <c r="E14579" s="51"/>
      <c r="F14579" s="114" t="str">
        <f>IF(INDEX(I.Facility.P2bIDNumber,4567)="","",INDEX(I.Facility.P2bIDNumber,4567))</f>
        <v/>
      </c>
      <c r="G14579" s="51"/>
      <c r="H14579" s="46" t="str">
        <f>IF(AND(I.Developer.P2b=TRUE,I.Facility.P2bFacilityCount&gt;=4567,F14579=""),"Incomplete","Complete")</f>
        <v>Complete</v>
      </c>
      <c r="I14579" s="48" t="s">
        <v>18944</v>
      </c>
    </row>
    <row r="14580" spans="2:9" ht="15" customHeight="1" x14ac:dyDescent="0.25">
      <c r="B14580" s="55" t="s">
        <v>281</v>
      </c>
      <c r="C14580" s="46">
        <v>4568</v>
      </c>
      <c r="D14580" s="69" t="s">
        <v>29418</v>
      </c>
      <c r="E14580" s="51"/>
      <c r="F14580" s="114" t="str">
        <f>IF(INDEX(I.Facility.P2bIDNumber,4568)="","",INDEX(I.Facility.P2bIDNumber,4568))</f>
        <v/>
      </c>
      <c r="G14580" s="51"/>
      <c r="H14580" s="46" t="str">
        <f>IF(AND(I.Developer.P2b=TRUE,I.Facility.P2bFacilityCount&gt;=4568,F14580=""),"Incomplete","Complete")</f>
        <v>Complete</v>
      </c>
      <c r="I14580" s="48" t="s">
        <v>18945</v>
      </c>
    </row>
    <row r="14581" spans="2:9" ht="15" customHeight="1" x14ac:dyDescent="0.25">
      <c r="B14581" s="55" t="s">
        <v>281</v>
      </c>
      <c r="C14581" s="46">
        <v>4569</v>
      </c>
      <c r="D14581" s="69" t="s">
        <v>29418</v>
      </c>
      <c r="E14581" s="51"/>
      <c r="F14581" s="114" t="str">
        <f>IF(INDEX(I.Facility.P2bIDNumber,4569)="","",INDEX(I.Facility.P2bIDNumber,4569))</f>
        <v/>
      </c>
      <c r="G14581" s="51"/>
      <c r="H14581" s="46" t="str">
        <f>IF(AND(I.Developer.P2b=TRUE,I.Facility.P2bFacilityCount&gt;=4569,F14581=""),"Incomplete","Complete")</f>
        <v>Complete</v>
      </c>
      <c r="I14581" s="48" t="s">
        <v>18946</v>
      </c>
    </row>
    <row r="14582" spans="2:9" ht="15" customHeight="1" x14ac:dyDescent="0.25">
      <c r="B14582" s="55" t="s">
        <v>281</v>
      </c>
      <c r="C14582" s="46">
        <v>4570</v>
      </c>
      <c r="D14582" s="69" t="s">
        <v>29418</v>
      </c>
      <c r="E14582" s="51"/>
      <c r="F14582" s="114" t="str">
        <f>IF(INDEX(I.Facility.P2bIDNumber,4570)="","",INDEX(I.Facility.P2bIDNumber,4570))</f>
        <v/>
      </c>
      <c r="G14582" s="51"/>
      <c r="H14582" s="46" t="str">
        <f>IF(AND(I.Developer.P2b=TRUE,I.Facility.P2bFacilityCount&gt;=4570,F14582=""),"Incomplete","Complete")</f>
        <v>Complete</v>
      </c>
      <c r="I14582" s="48" t="s">
        <v>18947</v>
      </c>
    </row>
    <row r="14583" spans="2:9" ht="15" customHeight="1" x14ac:dyDescent="0.25">
      <c r="B14583" s="55" t="s">
        <v>281</v>
      </c>
      <c r="C14583" s="46">
        <v>4571</v>
      </c>
      <c r="D14583" s="69" t="s">
        <v>29418</v>
      </c>
      <c r="E14583" s="51"/>
      <c r="F14583" s="114" t="str">
        <f>IF(INDEX(I.Facility.P2bIDNumber,4571)="","",INDEX(I.Facility.P2bIDNumber,4571))</f>
        <v/>
      </c>
      <c r="G14583" s="51"/>
      <c r="H14583" s="46" t="str">
        <f>IF(AND(I.Developer.P2b=TRUE,I.Facility.P2bFacilityCount&gt;=4571,F14583=""),"Incomplete","Complete")</f>
        <v>Complete</v>
      </c>
      <c r="I14583" s="48" t="s">
        <v>18948</v>
      </c>
    </row>
    <row r="14584" spans="2:9" ht="15" customHeight="1" x14ac:dyDescent="0.25">
      <c r="B14584" s="55" t="s">
        <v>281</v>
      </c>
      <c r="C14584" s="46">
        <v>4572</v>
      </c>
      <c r="D14584" s="69" t="s">
        <v>29418</v>
      </c>
      <c r="E14584" s="51"/>
      <c r="F14584" s="114" t="str">
        <f>IF(INDEX(I.Facility.P2bIDNumber,4572)="","",INDEX(I.Facility.P2bIDNumber,4572))</f>
        <v/>
      </c>
      <c r="G14584" s="51"/>
      <c r="H14584" s="46" t="str">
        <f>IF(AND(I.Developer.P2b=TRUE,I.Facility.P2bFacilityCount&gt;=4572,F14584=""),"Incomplete","Complete")</f>
        <v>Complete</v>
      </c>
      <c r="I14584" s="48" t="s">
        <v>18949</v>
      </c>
    </row>
    <row r="14585" spans="2:9" ht="15" customHeight="1" x14ac:dyDescent="0.25">
      <c r="B14585" s="55" t="s">
        <v>281</v>
      </c>
      <c r="C14585" s="46">
        <v>4573</v>
      </c>
      <c r="D14585" s="69" t="s">
        <v>29418</v>
      </c>
      <c r="E14585" s="51"/>
      <c r="F14585" s="114" t="str">
        <f>IF(INDEX(I.Facility.P2bIDNumber,4573)="","",INDEX(I.Facility.P2bIDNumber,4573))</f>
        <v/>
      </c>
      <c r="G14585" s="51"/>
      <c r="H14585" s="46" t="str">
        <f>IF(AND(I.Developer.P2b=TRUE,I.Facility.P2bFacilityCount&gt;=4573,F14585=""),"Incomplete","Complete")</f>
        <v>Complete</v>
      </c>
      <c r="I14585" s="48" t="s">
        <v>18950</v>
      </c>
    </row>
    <row r="14586" spans="2:9" ht="15" customHeight="1" x14ac:dyDescent="0.25">
      <c r="B14586" s="55" t="s">
        <v>281</v>
      </c>
      <c r="C14586" s="46">
        <v>4574</v>
      </c>
      <c r="D14586" s="69" t="s">
        <v>29418</v>
      </c>
      <c r="E14586" s="51"/>
      <c r="F14586" s="114" t="str">
        <f>IF(INDEX(I.Facility.P2bIDNumber,4574)="","",INDEX(I.Facility.P2bIDNumber,4574))</f>
        <v/>
      </c>
      <c r="G14586" s="51"/>
      <c r="H14586" s="46" t="str">
        <f>IF(AND(I.Developer.P2b=TRUE,I.Facility.P2bFacilityCount&gt;=4574,F14586=""),"Incomplete","Complete")</f>
        <v>Complete</v>
      </c>
      <c r="I14586" s="48" t="s">
        <v>18951</v>
      </c>
    </row>
    <row r="14587" spans="2:9" ht="15" customHeight="1" x14ac:dyDescent="0.25">
      <c r="B14587" s="55" t="s">
        <v>281</v>
      </c>
      <c r="C14587" s="46">
        <v>4575</v>
      </c>
      <c r="D14587" s="69" t="s">
        <v>29418</v>
      </c>
      <c r="E14587" s="51"/>
      <c r="F14587" s="114" t="str">
        <f>IF(INDEX(I.Facility.P2bIDNumber,4575)="","",INDEX(I.Facility.P2bIDNumber,4575))</f>
        <v/>
      </c>
      <c r="G14587" s="51"/>
      <c r="H14587" s="46" t="str">
        <f>IF(AND(I.Developer.P2b=TRUE,I.Facility.P2bFacilityCount&gt;=4575,F14587=""),"Incomplete","Complete")</f>
        <v>Complete</v>
      </c>
      <c r="I14587" s="48" t="s">
        <v>18952</v>
      </c>
    </row>
    <row r="14588" spans="2:9" ht="15" customHeight="1" x14ac:dyDescent="0.25">
      <c r="B14588" s="55" t="s">
        <v>281</v>
      </c>
      <c r="C14588" s="46">
        <v>4576</v>
      </c>
      <c r="D14588" s="69" t="s">
        <v>29418</v>
      </c>
      <c r="E14588" s="51"/>
      <c r="F14588" s="114" t="str">
        <f>IF(INDEX(I.Facility.P2bIDNumber,4576)="","",INDEX(I.Facility.P2bIDNumber,4576))</f>
        <v/>
      </c>
      <c r="G14588" s="51"/>
      <c r="H14588" s="46" t="str">
        <f>IF(AND(I.Developer.P2b=TRUE,I.Facility.P2bFacilityCount&gt;=4576,F14588=""),"Incomplete","Complete")</f>
        <v>Complete</v>
      </c>
      <c r="I14588" s="48" t="s">
        <v>18953</v>
      </c>
    </row>
    <row r="14589" spans="2:9" ht="15" customHeight="1" x14ac:dyDescent="0.25">
      <c r="B14589" s="55" t="s">
        <v>281</v>
      </c>
      <c r="C14589" s="46">
        <v>4577</v>
      </c>
      <c r="D14589" s="69" t="s">
        <v>29418</v>
      </c>
      <c r="E14589" s="51"/>
      <c r="F14589" s="114" t="str">
        <f>IF(INDEX(I.Facility.P2bIDNumber,4577)="","",INDEX(I.Facility.P2bIDNumber,4577))</f>
        <v/>
      </c>
      <c r="G14589" s="51"/>
      <c r="H14589" s="46" t="str">
        <f>IF(AND(I.Developer.P2b=TRUE,I.Facility.P2bFacilityCount&gt;=4577,F14589=""),"Incomplete","Complete")</f>
        <v>Complete</v>
      </c>
      <c r="I14589" s="48" t="s">
        <v>18954</v>
      </c>
    </row>
    <row r="14590" spans="2:9" ht="15" customHeight="1" x14ac:dyDescent="0.25">
      <c r="B14590" s="55" t="s">
        <v>281</v>
      </c>
      <c r="C14590" s="46">
        <v>4578</v>
      </c>
      <c r="D14590" s="69" t="s">
        <v>29418</v>
      </c>
      <c r="E14590" s="51"/>
      <c r="F14590" s="114" t="str">
        <f>IF(INDEX(I.Facility.P2bIDNumber,4578)="","",INDEX(I.Facility.P2bIDNumber,4578))</f>
        <v/>
      </c>
      <c r="G14590" s="51"/>
      <c r="H14590" s="46" t="str">
        <f>IF(AND(I.Developer.P2b=TRUE,I.Facility.P2bFacilityCount&gt;=4578,F14590=""),"Incomplete","Complete")</f>
        <v>Complete</v>
      </c>
      <c r="I14590" s="48" t="s">
        <v>18955</v>
      </c>
    </row>
    <row r="14591" spans="2:9" ht="15" customHeight="1" x14ac:dyDescent="0.25">
      <c r="B14591" s="55" t="s">
        <v>281</v>
      </c>
      <c r="C14591" s="46">
        <v>4579</v>
      </c>
      <c r="D14591" s="69" t="s">
        <v>29418</v>
      </c>
      <c r="E14591" s="51"/>
      <c r="F14591" s="114" t="str">
        <f>IF(INDEX(I.Facility.P2bIDNumber,4579)="","",INDEX(I.Facility.P2bIDNumber,4579))</f>
        <v/>
      </c>
      <c r="G14591" s="51"/>
      <c r="H14591" s="46" t="str">
        <f>IF(AND(I.Developer.P2b=TRUE,I.Facility.P2bFacilityCount&gt;=4579,F14591=""),"Incomplete","Complete")</f>
        <v>Complete</v>
      </c>
      <c r="I14591" s="48" t="s">
        <v>18956</v>
      </c>
    </row>
    <row r="14592" spans="2:9" ht="15" customHeight="1" x14ac:dyDescent="0.25">
      <c r="B14592" s="55" t="s">
        <v>281</v>
      </c>
      <c r="C14592" s="46">
        <v>4580</v>
      </c>
      <c r="D14592" s="69" t="s">
        <v>29418</v>
      </c>
      <c r="E14592" s="51"/>
      <c r="F14592" s="114" t="str">
        <f>IF(INDEX(I.Facility.P2bIDNumber,4580)="","",INDEX(I.Facility.P2bIDNumber,4580))</f>
        <v/>
      </c>
      <c r="G14592" s="51"/>
      <c r="H14592" s="46" t="str">
        <f>IF(AND(I.Developer.P2b=TRUE,I.Facility.P2bFacilityCount&gt;=4580,F14592=""),"Incomplete","Complete")</f>
        <v>Complete</v>
      </c>
      <c r="I14592" s="48" t="s">
        <v>18957</v>
      </c>
    </row>
    <row r="14593" spans="2:9" ht="15" customHeight="1" x14ac:dyDescent="0.25">
      <c r="B14593" s="55" t="s">
        <v>281</v>
      </c>
      <c r="C14593" s="46">
        <v>4581</v>
      </c>
      <c r="D14593" s="69" t="s">
        <v>29418</v>
      </c>
      <c r="E14593" s="51"/>
      <c r="F14593" s="114" t="str">
        <f>IF(INDEX(I.Facility.P2bIDNumber,4581)="","",INDEX(I.Facility.P2bIDNumber,4581))</f>
        <v/>
      </c>
      <c r="G14593" s="51"/>
      <c r="H14593" s="46" t="str">
        <f>IF(AND(I.Developer.P2b=TRUE,I.Facility.P2bFacilityCount&gt;=4581,F14593=""),"Incomplete","Complete")</f>
        <v>Complete</v>
      </c>
      <c r="I14593" s="48" t="s">
        <v>18958</v>
      </c>
    </row>
    <row r="14594" spans="2:9" ht="15" customHeight="1" x14ac:dyDescent="0.25">
      <c r="B14594" s="55" t="s">
        <v>281</v>
      </c>
      <c r="C14594" s="46">
        <v>4582</v>
      </c>
      <c r="D14594" s="69" t="s">
        <v>29418</v>
      </c>
      <c r="E14594" s="51"/>
      <c r="F14594" s="114" t="str">
        <f>IF(INDEX(I.Facility.P2bIDNumber,4582)="","",INDEX(I.Facility.P2bIDNumber,4582))</f>
        <v/>
      </c>
      <c r="G14594" s="51"/>
      <c r="H14594" s="46" t="str">
        <f>IF(AND(I.Developer.P2b=TRUE,I.Facility.P2bFacilityCount&gt;=4582,F14594=""),"Incomplete","Complete")</f>
        <v>Complete</v>
      </c>
      <c r="I14594" s="48" t="s">
        <v>18959</v>
      </c>
    </row>
    <row r="14595" spans="2:9" ht="15" customHeight="1" x14ac:dyDescent="0.25">
      <c r="B14595" s="55" t="s">
        <v>281</v>
      </c>
      <c r="C14595" s="46">
        <v>4583</v>
      </c>
      <c r="D14595" s="69" t="s">
        <v>29418</v>
      </c>
      <c r="E14595" s="51"/>
      <c r="F14595" s="114" t="str">
        <f>IF(INDEX(I.Facility.P2bIDNumber,4583)="","",INDEX(I.Facility.P2bIDNumber,4583))</f>
        <v/>
      </c>
      <c r="G14595" s="51"/>
      <c r="H14595" s="46" t="str">
        <f>IF(AND(I.Developer.P2b=TRUE,I.Facility.P2bFacilityCount&gt;=4583,F14595=""),"Incomplete","Complete")</f>
        <v>Complete</v>
      </c>
      <c r="I14595" s="48" t="s">
        <v>18960</v>
      </c>
    </row>
    <row r="14596" spans="2:9" ht="15" customHeight="1" x14ac:dyDescent="0.25">
      <c r="B14596" s="55" t="s">
        <v>281</v>
      </c>
      <c r="C14596" s="46">
        <v>4584</v>
      </c>
      <c r="D14596" s="69" t="s">
        <v>29418</v>
      </c>
      <c r="E14596" s="51"/>
      <c r="F14596" s="114" t="str">
        <f>IF(INDEX(I.Facility.P2bIDNumber,4584)="","",INDEX(I.Facility.P2bIDNumber,4584))</f>
        <v/>
      </c>
      <c r="G14596" s="51"/>
      <c r="H14596" s="46" t="str">
        <f>IF(AND(I.Developer.P2b=TRUE,I.Facility.P2bFacilityCount&gt;=4584,F14596=""),"Incomplete","Complete")</f>
        <v>Complete</v>
      </c>
      <c r="I14596" s="48" t="s">
        <v>18961</v>
      </c>
    </row>
    <row r="14597" spans="2:9" ht="15" customHeight="1" x14ac:dyDescent="0.25">
      <c r="B14597" s="55" t="s">
        <v>281</v>
      </c>
      <c r="C14597" s="46">
        <v>4585</v>
      </c>
      <c r="D14597" s="69" t="s">
        <v>29418</v>
      </c>
      <c r="E14597" s="51"/>
      <c r="F14597" s="114" t="str">
        <f>IF(INDEX(I.Facility.P2bIDNumber,4585)="","",INDEX(I.Facility.P2bIDNumber,4585))</f>
        <v/>
      </c>
      <c r="G14597" s="51"/>
      <c r="H14597" s="46" t="str">
        <f>IF(AND(I.Developer.P2b=TRUE,I.Facility.P2bFacilityCount&gt;=4585,F14597=""),"Incomplete","Complete")</f>
        <v>Complete</v>
      </c>
      <c r="I14597" s="48" t="s">
        <v>18962</v>
      </c>
    </row>
    <row r="14598" spans="2:9" ht="15" customHeight="1" x14ac:dyDescent="0.25">
      <c r="B14598" s="55" t="s">
        <v>281</v>
      </c>
      <c r="C14598" s="46">
        <v>4586</v>
      </c>
      <c r="D14598" s="69" t="s">
        <v>29418</v>
      </c>
      <c r="E14598" s="51"/>
      <c r="F14598" s="114" t="str">
        <f>IF(INDEX(I.Facility.P2bIDNumber,4586)="","",INDEX(I.Facility.P2bIDNumber,4586))</f>
        <v/>
      </c>
      <c r="G14598" s="51"/>
      <c r="H14598" s="46" t="str">
        <f>IF(AND(I.Developer.P2b=TRUE,I.Facility.P2bFacilityCount&gt;=4586,F14598=""),"Incomplete","Complete")</f>
        <v>Complete</v>
      </c>
      <c r="I14598" s="48" t="s">
        <v>18963</v>
      </c>
    </row>
    <row r="14599" spans="2:9" ht="15" customHeight="1" x14ac:dyDescent="0.25">
      <c r="B14599" s="55" t="s">
        <v>281</v>
      </c>
      <c r="C14599" s="46">
        <v>4587</v>
      </c>
      <c r="D14599" s="69" t="s">
        <v>29418</v>
      </c>
      <c r="E14599" s="51"/>
      <c r="F14599" s="114" t="str">
        <f>IF(INDEX(I.Facility.P2bIDNumber,4587)="","",INDEX(I.Facility.P2bIDNumber,4587))</f>
        <v/>
      </c>
      <c r="G14599" s="51"/>
      <c r="H14599" s="46" t="str">
        <f>IF(AND(I.Developer.P2b=TRUE,I.Facility.P2bFacilityCount&gt;=4587,F14599=""),"Incomplete","Complete")</f>
        <v>Complete</v>
      </c>
      <c r="I14599" s="48" t="s">
        <v>18964</v>
      </c>
    </row>
    <row r="14600" spans="2:9" ht="15" customHeight="1" x14ac:dyDescent="0.25">
      <c r="B14600" s="55" t="s">
        <v>281</v>
      </c>
      <c r="C14600" s="46">
        <v>4588</v>
      </c>
      <c r="D14600" s="69" t="s">
        <v>29418</v>
      </c>
      <c r="E14600" s="51"/>
      <c r="F14600" s="114" t="str">
        <f>IF(INDEX(I.Facility.P2bIDNumber,4588)="","",INDEX(I.Facility.P2bIDNumber,4588))</f>
        <v/>
      </c>
      <c r="G14600" s="51"/>
      <c r="H14600" s="46" t="str">
        <f>IF(AND(I.Developer.P2b=TRUE,I.Facility.P2bFacilityCount&gt;=4588,F14600=""),"Incomplete","Complete")</f>
        <v>Complete</v>
      </c>
      <c r="I14600" s="48" t="s">
        <v>18965</v>
      </c>
    </row>
    <row r="14601" spans="2:9" ht="15" customHeight="1" x14ac:dyDescent="0.25">
      <c r="B14601" s="55" t="s">
        <v>281</v>
      </c>
      <c r="C14601" s="46">
        <v>4589</v>
      </c>
      <c r="D14601" s="69" t="s">
        <v>29418</v>
      </c>
      <c r="E14601" s="51"/>
      <c r="F14601" s="114" t="str">
        <f>IF(INDEX(I.Facility.P2bIDNumber,4589)="","",INDEX(I.Facility.P2bIDNumber,4589))</f>
        <v/>
      </c>
      <c r="G14601" s="51"/>
      <c r="H14601" s="46" t="str">
        <f>IF(AND(I.Developer.P2b=TRUE,I.Facility.P2bFacilityCount&gt;=4589,F14601=""),"Incomplete","Complete")</f>
        <v>Complete</v>
      </c>
      <c r="I14601" s="48" t="s">
        <v>18966</v>
      </c>
    </row>
    <row r="14602" spans="2:9" ht="15" customHeight="1" x14ac:dyDescent="0.25">
      <c r="B14602" s="55" t="s">
        <v>281</v>
      </c>
      <c r="C14602" s="46">
        <v>4590</v>
      </c>
      <c r="D14602" s="69" t="s">
        <v>29418</v>
      </c>
      <c r="E14602" s="51"/>
      <c r="F14602" s="114" t="str">
        <f>IF(INDEX(I.Facility.P2bIDNumber,4590)="","",INDEX(I.Facility.P2bIDNumber,4590))</f>
        <v/>
      </c>
      <c r="G14602" s="51"/>
      <c r="H14602" s="46" t="str">
        <f>IF(AND(I.Developer.P2b=TRUE,I.Facility.P2bFacilityCount&gt;=4590,F14602=""),"Incomplete","Complete")</f>
        <v>Complete</v>
      </c>
      <c r="I14602" s="48" t="s">
        <v>18967</v>
      </c>
    </row>
    <row r="14603" spans="2:9" ht="15" customHeight="1" x14ac:dyDescent="0.25">
      <c r="B14603" s="55" t="s">
        <v>281</v>
      </c>
      <c r="C14603" s="46">
        <v>4591</v>
      </c>
      <c r="D14603" s="69" t="s">
        <v>29418</v>
      </c>
      <c r="E14603" s="51"/>
      <c r="F14603" s="114" t="str">
        <f>IF(INDEX(I.Facility.P2bIDNumber,4591)="","",INDEX(I.Facility.P2bIDNumber,4591))</f>
        <v/>
      </c>
      <c r="G14603" s="51"/>
      <c r="H14603" s="46" t="str">
        <f>IF(AND(I.Developer.P2b=TRUE,I.Facility.P2bFacilityCount&gt;=4591,F14603=""),"Incomplete","Complete")</f>
        <v>Complete</v>
      </c>
      <c r="I14603" s="48" t="s">
        <v>18968</v>
      </c>
    </row>
    <row r="14604" spans="2:9" ht="15" customHeight="1" x14ac:dyDescent="0.25">
      <c r="B14604" s="55" t="s">
        <v>281</v>
      </c>
      <c r="C14604" s="46">
        <v>4592</v>
      </c>
      <c r="D14604" s="69" t="s">
        <v>29418</v>
      </c>
      <c r="E14604" s="51"/>
      <c r="F14604" s="114" t="str">
        <f>IF(INDEX(I.Facility.P2bIDNumber,4592)="","",INDEX(I.Facility.P2bIDNumber,4592))</f>
        <v/>
      </c>
      <c r="G14604" s="51"/>
      <c r="H14604" s="46" t="str">
        <f>IF(AND(I.Developer.P2b=TRUE,I.Facility.P2bFacilityCount&gt;=4592,F14604=""),"Incomplete","Complete")</f>
        <v>Complete</v>
      </c>
      <c r="I14604" s="48" t="s">
        <v>18969</v>
      </c>
    </row>
    <row r="14605" spans="2:9" ht="15" customHeight="1" x14ac:dyDescent="0.25">
      <c r="B14605" s="55" t="s">
        <v>281</v>
      </c>
      <c r="C14605" s="46">
        <v>4593</v>
      </c>
      <c r="D14605" s="69" t="s">
        <v>29418</v>
      </c>
      <c r="E14605" s="51"/>
      <c r="F14605" s="114" t="str">
        <f>IF(INDEX(I.Facility.P2bIDNumber,4593)="","",INDEX(I.Facility.P2bIDNumber,4593))</f>
        <v/>
      </c>
      <c r="G14605" s="51"/>
      <c r="H14605" s="46" t="str">
        <f>IF(AND(I.Developer.P2b=TRUE,I.Facility.P2bFacilityCount&gt;=4593,F14605=""),"Incomplete","Complete")</f>
        <v>Complete</v>
      </c>
      <c r="I14605" s="48" t="s">
        <v>18970</v>
      </c>
    </row>
    <row r="14606" spans="2:9" ht="15" customHeight="1" x14ac:dyDescent="0.25">
      <c r="B14606" s="55" t="s">
        <v>281</v>
      </c>
      <c r="C14606" s="46">
        <v>4594</v>
      </c>
      <c r="D14606" s="69" t="s">
        <v>29418</v>
      </c>
      <c r="E14606" s="51"/>
      <c r="F14606" s="114" t="str">
        <f>IF(INDEX(I.Facility.P2bIDNumber,4594)="","",INDEX(I.Facility.P2bIDNumber,4594))</f>
        <v/>
      </c>
      <c r="G14606" s="51"/>
      <c r="H14606" s="46" t="str">
        <f>IF(AND(I.Developer.P2b=TRUE,I.Facility.P2bFacilityCount&gt;=4594,F14606=""),"Incomplete","Complete")</f>
        <v>Complete</v>
      </c>
      <c r="I14606" s="48" t="s">
        <v>18971</v>
      </c>
    </row>
    <row r="14607" spans="2:9" ht="15" customHeight="1" x14ac:dyDescent="0.25">
      <c r="B14607" s="55" t="s">
        <v>281</v>
      </c>
      <c r="C14607" s="46">
        <v>4595</v>
      </c>
      <c r="D14607" s="69" t="s">
        <v>29418</v>
      </c>
      <c r="E14607" s="51"/>
      <c r="F14607" s="114" t="str">
        <f>IF(INDEX(I.Facility.P2bIDNumber,4595)="","",INDEX(I.Facility.P2bIDNumber,4595))</f>
        <v/>
      </c>
      <c r="G14607" s="51"/>
      <c r="H14607" s="46" t="str">
        <f>IF(AND(I.Developer.P2b=TRUE,I.Facility.P2bFacilityCount&gt;=4595,F14607=""),"Incomplete","Complete")</f>
        <v>Complete</v>
      </c>
      <c r="I14607" s="48" t="s">
        <v>18972</v>
      </c>
    </row>
    <row r="14608" spans="2:9" ht="15" customHeight="1" x14ac:dyDescent="0.25">
      <c r="B14608" s="55" t="s">
        <v>281</v>
      </c>
      <c r="C14608" s="46">
        <v>4596</v>
      </c>
      <c r="D14608" s="69" t="s">
        <v>29418</v>
      </c>
      <c r="E14608" s="51"/>
      <c r="F14608" s="114" t="str">
        <f>IF(INDEX(I.Facility.P2bIDNumber,4596)="","",INDEX(I.Facility.P2bIDNumber,4596))</f>
        <v/>
      </c>
      <c r="G14608" s="51"/>
      <c r="H14608" s="46" t="str">
        <f>IF(AND(I.Developer.P2b=TRUE,I.Facility.P2bFacilityCount&gt;=4596,F14608=""),"Incomplete","Complete")</f>
        <v>Complete</v>
      </c>
      <c r="I14608" s="48" t="s">
        <v>18973</v>
      </c>
    </row>
    <row r="14609" spans="2:9" ht="15" customHeight="1" x14ac:dyDescent="0.25">
      <c r="B14609" s="55" t="s">
        <v>281</v>
      </c>
      <c r="C14609" s="46">
        <v>4597</v>
      </c>
      <c r="D14609" s="69" t="s">
        <v>29418</v>
      </c>
      <c r="E14609" s="51"/>
      <c r="F14609" s="114" t="str">
        <f>IF(INDEX(I.Facility.P2bIDNumber,4597)="","",INDEX(I.Facility.P2bIDNumber,4597))</f>
        <v/>
      </c>
      <c r="G14609" s="51"/>
      <c r="H14609" s="46" t="str">
        <f>IF(AND(I.Developer.P2b=TRUE,I.Facility.P2bFacilityCount&gt;=4597,F14609=""),"Incomplete","Complete")</f>
        <v>Complete</v>
      </c>
      <c r="I14609" s="48" t="s">
        <v>18974</v>
      </c>
    </row>
    <row r="14610" spans="2:9" ht="15" customHeight="1" x14ac:dyDescent="0.25">
      <c r="B14610" s="55" t="s">
        <v>281</v>
      </c>
      <c r="C14610" s="46">
        <v>4598</v>
      </c>
      <c r="D14610" s="69" t="s">
        <v>29418</v>
      </c>
      <c r="E14610" s="51"/>
      <c r="F14610" s="114" t="str">
        <f>IF(INDEX(I.Facility.P2bIDNumber,4598)="","",INDEX(I.Facility.P2bIDNumber,4598))</f>
        <v/>
      </c>
      <c r="G14610" s="51"/>
      <c r="H14610" s="46" t="str">
        <f>IF(AND(I.Developer.P2b=TRUE,I.Facility.P2bFacilityCount&gt;=4598,F14610=""),"Incomplete","Complete")</f>
        <v>Complete</v>
      </c>
      <c r="I14610" s="48" t="s">
        <v>18975</v>
      </c>
    </row>
    <row r="14611" spans="2:9" ht="15" customHeight="1" x14ac:dyDescent="0.25">
      <c r="B14611" s="55" t="s">
        <v>281</v>
      </c>
      <c r="C14611" s="46">
        <v>4599</v>
      </c>
      <c r="D14611" s="69" t="s">
        <v>29418</v>
      </c>
      <c r="E14611" s="51"/>
      <c r="F14611" s="114" t="str">
        <f>IF(INDEX(I.Facility.P2bIDNumber,4599)="","",INDEX(I.Facility.P2bIDNumber,4599))</f>
        <v/>
      </c>
      <c r="G14611" s="51"/>
      <c r="H14611" s="46" t="str">
        <f>IF(AND(I.Developer.P2b=TRUE,I.Facility.P2bFacilityCount&gt;=4599,F14611=""),"Incomplete","Complete")</f>
        <v>Complete</v>
      </c>
      <c r="I14611" s="48" t="s">
        <v>18976</v>
      </c>
    </row>
    <row r="14612" spans="2:9" ht="15" customHeight="1" x14ac:dyDescent="0.25">
      <c r="B14612" s="55" t="s">
        <v>281</v>
      </c>
      <c r="C14612" s="46">
        <v>4600</v>
      </c>
      <c r="D14612" s="69" t="s">
        <v>29418</v>
      </c>
      <c r="E14612" s="51"/>
      <c r="F14612" s="114" t="str">
        <f>IF(INDEX(I.Facility.P2bIDNumber,4600)="","",INDEX(I.Facility.P2bIDNumber,4600))</f>
        <v/>
      </c>
      <c r="G14612" s="51"/>
      <c r="H14612" s="46" t="str">
        <f>IF(AND(I.Developer.P2b=TRUE,I.Facility.P2bFacilityCount&gt;=4600,F14612=""),"Incomplete","Complete")</f>
        <v>Complete</v>
      </c>
      <c r="I14612" s="48" t="s">
        <v>18977</v>
      </c>
    </row>
    <row r="14613" spans="2:9" ht="15" customHeight="1" x14ac:dyDescent="0.25">
      <c r="B14613" s="55" t="s">
        <v>281</v>
      </c>
      <c r="C14613" s="46">
        <v>4601</v>
      </c>
      <c r="D14613" s="69" t="s">
        <v>29418</v>
      </c>
      <c r="E14613" s="51"/>
      <c r="F14613" s="114" t="str">
        <f>IF(INDEX(I.Facility.P2bIDNumber,4601)="","",INDEX(I.Facility.P2bIDNumber,4601))</f>
        <v/>
      </c>
      <c r="G14613" s="51"/>
      <c r="H14613" s="46" t="str">
        <f>IF(AND(I.Developer.P2b=TRUE,I.Facility.P2bFacilityCount&gt;=4601,F14613=""),"Incomplete","Complete")</f>
        <v>Complete</v>
      </c>
      <c r="I14613" s="48" t="s">
        <v>18978</v>
      </c>
    </row>
    <row r="14614" spans="2:9" ht="15" customHeight="1" x14ac:dyDescent="0.25">
      <c r="B14614" s="55" t="s">
        <v>281</v>
      </c>
      <c r="C14614" s="46">
        <v>4602</v>
      </c>
      <c r="D14614" s="69" t="s">
        <v>29418</v>
      </c>
      <c r="E14614" s="51"/>
      <c r="F14614" s="114" t="str">
        <f>IF(INDEX(I.Facility.P2bIDNumber,4602)="","",INDEX(I.Facility.P2bIDNumber,4602))</f>
        <v/>
      </c>
      <c r="G14614" s="51"/>
      <c r="H14614" s="46" t="str">
        <f>IF(AND(I.Developer.P2b=TRUE,I.Facility.P2bFacilityCount&gt;=4602,F14614=""),"Incomplete","Complete")</f>
        <v>Complete</v>
      </c>
      <c r="I14614" s="48" t="s">
        <v>18979</v>
      </c>
    </row>
    <row r="14615" spans="2:9" ht="15" customHeight="1" x14ac:dyDescent="0.25">
      <c r="B14615" s="55" t="s">
        <v>281</v>
      </c>
      <c r="C14615" s="46">
        <v>4603</v>
      </c>
      <c r="D14615" s="69" t="s">
        <v>29418</v>
      </c>
      <c r="E14615" s="51"/>
      <c r="F14615" s="114" t="str">
        <f>IF(INDEX(I.Facility.P2bIDNumber,4603)="","",INDEX(I.Facility.P2bIDNumber,4603))</f>
        <v/>
      </c>
      <c r="G14615" s="51"/>
      <c r="H14615" s="46" t="str">
        <f>IF(AND(I.Developer.P2b=TRUE,I.Facility.P2bFacilityCount&gt;=4603,F14615=""),"Incomplete","Complete")</f>
        <v>Complete</v>
      </c>
      <c r="I14615" s="48" t="s">
        <v>18980</v>
      </c>
    </row>
    <row r="14616" spans="2:9" ht="15" customHeight="1" x14ac:dyDescent="0.25">
      <c r="B14616" s="55" t="s">
        <v>281</v>
      </c>
      <c r="C14616" s="46">
        <v>4604</v>
      </c>
      <c r="D14616" s="69" t="s">
        <v>29418</v>
      </c>
      <c r="E14616" s="51"/>
      <c r="F14616" s="114" t="str">
        <f>IF(INDEX(I.Facility.P2bIDNumber,4604)="","",INDEX(I.Facility.P2bIDNumber,4604))</f>
        <v/>
      </c>
      <c r="G14616" s="51"/>
      <c r="H14616" s="46" t="str">
        <f>IF(AND(I.Developer.P2b=TRUE,I.Facility.P2bFacilityCount&gt;=4604,F14616=""),"Incomplete","Complete")</f>
        <v>Complete</v>
      </c>
      <c r="I14616" s="48" t="s">
        <v>18981</v>
      </c>
    </row>
    <row r="14617" spans="2:9" ht="15" customHeight="1" x14ac:dyDescent="0.25">
      <c r="B14617" s="55" t="s">
        <v>281</v>
      </c>
      <c r="C14617" s="46">
        <v>4605</v>
      </c>
      <c r="D14617" s="69" t="s">
        <v>29418</v>
      </c>
      <c r="E14617" s="51"/>
      <c r="F14617" s="114" t="str">
        <f>IF(INDEX(I.Facility.P2bIDNumber,4605)="","",INDEX(I.Facility.P2bIDNumber,4605))</f>
        <v/>
      </c>
      <c r="G14617" s="51"/>
      <c r="H14617" s="46" t="str">
        <f>IF(AND(I.Developer.P2b=TRUE,I.Facility.P2bFacilityCount&gt;=4605,F14617=""),"Incomplete","Complete")</f>
        <v>Complete</v>
      </c>
      <c r="I14617" s="48" t="s">
        <v>18982</v>
      </c>
    </row>
    <row r="14618" spans="2:9" ht="15" customHeight="1" x14ac:dyDescent="0.25">
      <c r="B14618" s="55" t="s">
        <v>281</v>
      </c>
      <c r="C14618" s="46">
        <v>4606</v>
      </c>
      <c r="D14618" s="69" t="s">
        <v>29418</v>
      </c>
      <c r="E14618" s="51"/>
      <c r="F14618" s="114" t="str">
        <f>IF(INDEX(I.Facility.P2bIDNumber,4606)="","",INDEX(I.Facility.P2bIDNumber,4606))</f>
        <v/>
      </c>
      <c r="G14618" s="51"/>
      <c r="H14618" s="46" t="str">
        <f>IF(AND(I.Developer.P2b=TRUE,I.Facility.P2bFacilityCount&gt;=4606,F14618=""),"Incomplete","Complete")</f>
        <v>Complete</v>
      </c>
      <c r="I14618" s="48" t="s">
        <v>18983</v>
      </c>
    </row>
    <row r="14619" spans="2:9" ht="15" customHeight="1" x14ac:dyDescent="0.25">
      <c r="B14619" s="55" t="s">
        <v>281</v>
      </c>
      <c r="C14619" s="46">
        <v>4607</v>
      </c>
      <c r="D14619" s="69" t="s">
        <v>29418</v>
      </c>
      <c r="E14619" s="51"/>
      <c r="F14619" s="114" t="str">
        <f>IF(INDEX(I.Facility.P2bIDNumber,4607)="","",INDEX(I.Facility.P2bIDNumber,4607))</f>
        <v/>
      </c>
      <c r="G14619" s="51"/>
      <c r="H14619" s="46" t="str">
        <f>IF(AND(I.Developer.P2b=TRUE,I.Facility.P2bFacilityCount&gt;=4607,F14619=""),"Incomplete","Complete")</f>
        <v>Complete</v>
      </c>
      <c r="I14619" s="48" t="s">
        <v>18984</v>
      </c>
    </row>
    <row r="14620" spans="2:9" ht="15" customHeight="1" x14ac:dyDescent="0.25">
      <c r="B14620" s="55" t="s">
        <v>281</v>
      </c>
      <c r="C14620" s="46">
        <v>4608</v>
      </c>
      <c r="D14620" s="69" t="s">
        <v>29418</v>
      </c>
      <c r="E14620" s="51"/>
      <c r="F14620" s="114" t="str">
        <f>IF(INDEX(I.Facility.P2bIDNumber,4608)="","",INDEX(I.Facility.P2bIDNumber,4608))</f>
        <v/>
      </c>
      <c r="G14620" s="51"/>
      <c r="H14620" s="46" t="str">
        <f>IF(AND(I.Developer.P2b=TRUE,I.Facility.P2bFacilityCount&gt;=4608,F14620=""),"Incomplete","Complete")</f>
        <v>Complete</v>
      </c>
      <c r="I14620" s="48" t="s">
        <v>18985</v>
      </c>
    </row>
    <row r="14621" spans="2:9" ht="15" customHeight="1" x14ac:dyDescent="0.25">
      <c r="B14621" s="55" t="s">
        <v>281</v>
      </c>
      <c r="C14621" s="46">
        <v>4609</v>
      </c>
      <c r="D14621" s="69" t="s">
        <v>29418</v>
      </c>
      <c r="E14621" s="51"/>
      <c r="F14621" s="114" t="str">
        <f>IF(INDEX(I.Facility.P2bIDNumber,4609)="","",INDEX(I.Facility.P2bIDNumber,4609))</f>
        <v/>
      </c>
      <c r="G14621" s="51"/>
      <c r="H14621" s="46" t="str">
        <f>IF(AND(I.Developer.P2b=TRUE,I.Facility.P2bFacilityCount&gt;=4609,F14621=""),"Incomplete","Complete")</f>
        <v>Complete</v>
      </c>
      <c r="I14621" s="48" t="s">
        <v>18986</v>
      </c>
    </row>
    <row r="14622" spans="2:9" ht="15" customHeight="1" x14ac:dyDescent="0.25">
      <c r="B14622" s="55" t="s">
        <v>281</v>
      </c>
      <c r="C14622" s="46">
        <v>4610</v>
      </c>
      <c r="D14622" s="69" t="s">
        <v>29418</v>
      </c>
      <c r="E14622" s="51"/>
      <c r="F14622" s="114" t="str">
        <f>IF(INDEX(I.Facility.P2bIDNumber,4610)="","",INDEX(I.Facility.P2bIDNumber,4610))</f>
        <v/>
      </c>
      <c r="G14622" s="51"/>
      <c r="H14622" s="46" t="str">
        <f>IF(AND(I.Developer.P2b=TRUE,I.Facility.P2bFacilityCount&gt;=4610,F14622=""),"Incomplete","Complete")</f>
        <v>Complete</v>
      </c>
      <c r="I14622" s="48" t="s">
        <v>18987</v>
      </c>
    </row>
    <row r="14623" spans="2:9" ht="15" customHeight="1" x14ac:dyDescent="0.25">
      <c r="B14623" s="55" t="s">
        <v>281</v>
      </c>
      <c r="C14623" s="46">
        <v>4611</v>
      </c>
      <c r="D14623" s="69" t="s">
        <v>29418</v>
      </c>
      <c r="E14623" s="51"/>
      <c r="F14623" s="114" t="str">
        <f>IF(INDEX(I.Facility.P2bIDNumber,4611)="","",INDEX(I.Facility.P2bIDNumber,4611))</f>
        <v/>
      </c>
      <c r="G14623" s="51"/>
      <c r="H14623" s="46" t="str">
        <f>IF(AND(I.Developer.P2b=TRUE,I.Facility.P2bFacilityCount&gt;=4611,F14623=""),"Incomplete","Complete")</f>
        <v>Complete</v>
      </c>
      <c r="I14623" s="48" t="s">
        <v>18988</v>
      </c>
    </row>
    <row r="14624" spans="2:9" ht="15" customHeight="1" x14ac:dyDescent="0.25">
      <c r="B14624" s="55" t="s">
        <v>281</v>
      </c>
      <c r="C14624" s="46">
        <v>4612</v>
      </c>
      <c r="D14624" s="69" t="s">
        <v>29418</v>
      </c>
      <c r="E14624" s="51"/>
      <c r="F14624" s="114" t="str">
        <f>IF(INDEX(I.Facility.P2bIDNumber,4612)="","",INDEX(I.Facility.P2bIDNumber,4612))</f>
        <v/>
      </c>
      <c r="G14624" s="51"/>
      <c r="H14624" s="46" t="str">
        <f>IF(AND(I.Developer.P2b=TRUE,I.Facility.P2bFacilityCount&gt;=4612,F14624=""),"Incomplete","Complete")</f>
        <v>Complete</v>
      </c>
      <c r="I14624" s="48" t="s">
        <v>18989</v>
      </c>
    </row>
    <row r="14625" spans="2:9" ht="15" customHeight="1" x14ac:dyDescent="0.25">
      <c r="B14625" s="55" t="s">
        <v>281</v>
      </c>
      <c r="C14625" s="46">
        <v>4613</v>
      </c>
      <c r="D14625" s="69" t="s">
        <v>29418</v>
      </c>
      <c r="E14625" s="51"/>
      <c r="F14625" s="114" t="str">
        <f>IF(INDEX(I.Facility.P2bIDNumber,4613)="","",INDEX(I.Facility.P2bIDNumber,4613))</f>
        <v/>
      </c>
      <c r="G14625" s="51"/>
      <c r="H14625" s="46" t="str">
        <f>IF(AND(I.Developer.P2b=TRUE,I.Facility.P2bFacilityCount&gt;=4613,F14625=""),"Incomplete","Complete")</f>
        <v>Complete</v>
      </c>
      <c r="I14625" s="48" t="s">
        <v>18990</v>
      </c>
    </row>
    <row r="14626" spans="2:9" ht="15" customHeight="1" x14ac:dyDescent="0.25">
      <c r="B14626" s="55" t="s">
        <v>281</v>
      </c>
      <c r="C14626" s="46">
        <v>4614</v>
      </c>
      <c r="D14626" s="69" t="s">
        <v>29418</v>
      </c>
      <c r="E14626" s="51"/>
      <c r="F14626" s="114" t="str">
        <f>IF(INDEX(I.Facility.P2bIDNumber,4614)="","",INDEX(I.Facility.P2bIDNumber,4614))</f>
        <v/>
      </c>
      <c r="G14626" s="51"/>
      <c r="H14626" s="46" t="str">
        <f>IF(AND(I.Developer.P2b=TRUE,I.Facility.P2bFacilityCount&gt;=4614,F14626=""),"Incomplete","Complete")</f>
        <v>Complete</v>
      </c>
      <c r="I14626" s="48" t="s">
        <v>18991</v>
      </c>
    </row>
    <row r="14627" spans="2:9" ht="15" customHeight="1" x14ac:dyDescent="0.25">
      <c r="B14627" s="55" t="s">
        <v>281</v>
      </c>
      <c r="C14627" s="46">
        <v>4615</v>
      </c>
      <c r="D14627" s="69" t="s">
        <v>29418</v>
      </c>
      <c r="E14627" s="51"/>
      <c r="F14627" s="114" t="str">
        <f>IF(INDEX(I.Facility.P2bIDNumber,4615)="","",INDEX(I.Facility.P2bIDNumber,4615))</f>
        <v/>
      </c>
      <c r="G14627" s="51"/>
      <c r="H14627" s="46" t="str">
        <f>IF(AND(I.Developer.P2b=TRUE,I.Facility.P2bFacilityCount&gt;=4615,F14627=""),"Incomplete","Complete")</f>
        <v>Complete</v>
      </c>
      <c r="I14627" s="48" t="s">
        <v>18992</v>
      </c>
    </row>
    <row r="14628" spans="2:9" ht="15" customHeight="1" x14ac:dyDescent="0.25">
      <c r="B14628" s="55" t="s">
        <v>281</v>
      </c>
      <c r="C14628" s="46">
        <v>4616</v>
      </c>
      <c r="D14628" s="69" t="s">
        <v>29418</v>
      </c>
      <c r="E14628" s="51"/>
      <c r="F14628" s="114" t="str">
        <f>IF(INDEX(I.Facility.P2bIDNumber,4616)="","",INDEX(I.Facility.P2bIDNumber,4616))</f>
        <v/>
      </c>
      <c r="G14628" s="51"/>
      <c r="H14628" s="46" t="str">
        <f>IF(AND(I.Developer.P2b=TRUE,I.Facility.P2bFacilityCount&gt;=4616,F14628=""),"Incomplete","Complete")</f>
        <v>Complete</v>
      </c>
      <c r="I14628" s="48" t="s">
        <v>18993</v>
      </c>
    </row>
    <row r="14629" spans="2:9" ht="15" customHeight="1" x14ac:dyDescent="0.25">
      <c r="B14629" s="55" t="s">
        <v>281</v>
      </c>
      <c r="C14629" s="46">
        <v>4617</v>
      </c>
      <c r="D14629" s="69" t="s">
        <v>29418</v>
      </c>
      <c r="E14629" s="51"/>
      <c r="F14629" s="114" t="str">
        <f>IF(INDEX(I.Facility.P2bIDNumber,4617)="","",INDEX(I.Facility.P2bIDNumber,4617))</f>
        <v/>
      </c>
      <c r="G14629" s="51"/>
      <c r="H14629" s="46" t="str">
        <f>IF(AND(I.Developer.P2b=TRUE,I.Facility.P2bFacilityCount&gt;=4617,F14629=""),"Incomplete","Complete")</f>
        <v>Complete</v>
      </c>
      <c r="I14629" s="48" t="s">
        <v>18994</v>
      </c>
    </row>
    <row r="14630" spans="2:9" ht="15" customHeight="1" x14ac:dyDescent="0.25">
      <c r="B14630" s="55" t="s">
        <v>281</v>
      </c>
      <c r="C14630" s="46">
        <v>4618</v>
      </c>
      <c r="D14630" s="69" t="s">
        <v>29418</v>
      </c>
      <c r="E14630" s="51"/>
      <c r="F14630" s="114" t="str">
        <f>IF(INDEX(I.Facility.P2bIDNumber,4618)="","",INDEX(I.Facility.P2bIDNumber,4618))</f>
        <v/>
      </c>
      <c r="G14630" s="51"/>
      <c r="H14630" s="46" t="str">
        <f>IF(AND(I.Developer.P2b=TRUE,I.Facility.P2bFacilityCount&gt;=4618,F14630=""),"Incomplete","Complete")</f>
        <v>Complete</v>
      </c>
      <c r="I14630" s="48" t="s">
        <v>18995</v>
      </c>
    </row>
    <row r="14631" spans="2:9" ht="15" customHeight="1" x14ac:dyDescent="0.25">
      <c r="B14631" s="55" t="s">
        <v>281</v>
      </c>
      <c r="C14631" s="46">
        <v>4619</v>
      </c>
      <c r="D14631" s="69" t="s">
        <v>29418</v>
      </c>
      <c r="E14631" s="51"/>
      <c r="F14631" s="114" t="str">
        <f>IF(INDEX(I.Facility.P2bIDNumber,4619)="","",INDEX(I.Facility.P2bIDNumber,4619))</f>
        <v/>
      </c>
      <c r="G14631" s="51"/>
      <c r="H14631" s="46" t="str">
        <f>IF(AND(I.Developer.P2b=TRUE,I.Facility.P2bFacilityCount&gt;=4619,F14631=""),"Incomplete","Complete")</f>
        <v>Complete</v>
      </c>
      <c r="I14631" s="48" t="s">
        <v>18996</v>
      </c>
    </row>
    <row r="14632" spans="2:9" ht="15" customHeight="1" x14ac:dyDescent="0.25">
      <c r="B14632" s="55" t="s">
        <v>281</v>
      </c>
      <c r="C14632" s="46">
        <v>4620</v>
      </c>
      <c r="D14632" s="69" t="s">
        <v>29418</v>
      </c>
      <c r="E14632" s="51"/>
      <c r="F14632" s="114" t="str">
        <f>IF(INDEX(I.Facility.P2bIDNumber,4620)="","",INDEX(I.Facility.P2bIDNumber,4620))</f>
        <v/>
      </c>
      <c r="G14632" s="51"/>
      <c r="H14632" s="46" t="str">
        <f>IF(AND(I.Developer.P2b=TRUE,I.Facility.P2bFacilityCount&gt;=4620,F14632=""),"Incomplete","Complete")</f>
        <v>Complete</v>
      </c>
      <c r="I14632" s="48" t="s">
        <v>18997</v>
      </c>
    </row>
    <row r="14633" spans="2:9" ht="15" customHeight="1" x14ac:dyDescent="0.25">
      <c r="B14633" s="55" t="s">
        <v>281</v>
      </c>
      <c r="C14633" s="46">
        <v>4621</v>
      </c>
      <c r="D14633" s="69" t="s">
        <v>29418</v>
      </c>
      <c r="E14633" s="51"/>
      <c r="F14633" s="114" t="str">
        <f>IF(INDEX(I.Facility.P2bIDNumber,4621)="","",INDEX(I.Facility.P2bIDNumber,4621))</f>
        <v/>
      </c>
      <c r="G14633" s="51"/>
      <c r="H14633" s="46" t="str">
        <f>IF(AND(I.Developer.P2b=TRUE,I.Facility.P2bFacilityCount&gt;=4621,F14633=""),"Incomplete","Complete")</f>
        <v>Complete</v>
      </c>
      <c r="I14633" s="48" t="s">
        <v>18998</v>
      </c>
    </row>
    <row r="14634" spans="2:9" ht="15" customHeight="1" x14ac:dyDescent="0.25">
      <c r="B14634" s="55" t="s">
        <v>281</v>
      </c>
      <c r="C14634" s="46">
        <v>4622</v>
      </c>
      <c r="D14634" s="69" t="s">
        <v>29418</v>
      </c>
      <c r="E14634" s="51"/>
      <c r="F14634" s="114" t="str">
        <f>IF(INDEX(I.Facility.P2bIDNumber,4622)="","",INDEX(I.Facility.P2bIDNumber,4622))</f>
        <v/>
      </c>
      <c r="G14634" s="51"/>
      <c r="H14634" s="46" t="str">
        <f>IF(AND(I.Developer.P2b=TRUE,I.Facility.P2bFacilityCount&gt;=4622,F14634=""),"Incomplete","Complete")</f>
        <v>Complete</v>
      </c>
      <c r="I14634" s="48" t="s">
        <v>18999</v>
      </c>
    </row>
    <row r="14635" spans="2:9" ht="15" customHeight="1" x14ac:dyDescent="0.25">
      <c r="B14635" s="55" t="s">
        <v>281</v>
      </c>
      <c r="C14635" s="46">
        <v>4623</v>
      </c>
      <c r="D14635" s="69" t="s">
        <v>29418</v>
      </c>
      <c r="E14635" s="51"/>
      <c r="F14635" s="114" t="str">
        <f>IF(INDEX(I.Facility.P2bIDNumber,4623)="","",INDEX(I.Facility.P2bIDNumber,4623))</f>
        <v/>
      </c>
      <c r="G14635" s="51"/>
      <c r="H14635" s="46" t="str">
        <f>IF(AND(I.Developer.P2b=TRUE,I.Facility.P2bFacilityCount&gt;=4623,F14635=""),"Incomplete","Complete")</f>
        <v>Complete</v>
      </c>
      <c r="I14635" s="48" t="s">
        <v>19000</v>
      </c>
    </row>
    <row r="14636" spans="2:9" ht="15" customHeight="1" x14ac:dyDescent="0.25">
      <c r="B14636" s="55" t="s">
        <v>281</v>
      </c>
      <c r="C14636" s="46">
        <v>4624</v>
      </c>
      <c r="D14636" s="69" t="s">
        <v>29418</v>
      </c>
      <c r="E14636" s="51"/>
      <c r="F14636" s="114" t="str">
        <f>IF(INDEX(I.Facility.P2bIDNumber,4624)="","",INDEX(I.Facility.P2bIDNumber,4624))</f>
        <v/>
      </c>
      <c r="G14636" s="51"/>
      <c r="H14636" s="46" t="str">
        <f>IF(AND(I.Developer.P2b=TRUE,I.Facility.P2bFacilityCount&gt;=4624,F14636=""),"Incomplete","Complete")</f>
        <v>Complete</v>
      </c>
      <c r="I14636" s="48" t="s">
        <v>19001</v>
      </c>
    </row>
    <row r="14637" spans="2:9" ht="15" customHeight="1" x14ac:dyDescent="0.25">
      <c r="B14637" s="55" t="s">
        <v>281</v>
      </c>
      <c r="C14637" s="46">
        <v>4625</v>
      </c>
      <c r="D14637" s="69" t="s">
        <v>29418</v>
      </c>
      <c r="E14637" s="51"/>
      <c r="F14637" s="114" t="str">
        <f>IF(INDEX(I.Facility.P2bIDNumber,4625)="","",INDEX(I.Facility.P2bIDNumber,4625))</f>
        <v/>
      </c>
      <c r="G14637" s="51"/>
      <c r="H14637" s="46" t="str">
        <f>IF(AND(I.Developer.P2b=TRUE,I.Facility.P2bFacilityCount&gt;=4625,F14637=""),"Incomplete","Complete")</f>
        <v>Complete</v>
      </c>
      <c r="I14637" s="48" t="s">
        <v>19002</v>
      </c>
    </row>
    <row r="14638" spans="2:9" ht="15" customHeight="1" x14ac:dyDescent="0.25">
      <c r="B14638" s="55" t="s">
        <v>281</v>
      </c>
      <c r="C14638" s="46">
        <v>4626</v>
      </c>
      <c r="D14638" s="69" t="s">
        <v>29418</v>
      </c>
      <c r="E14638" s="51"/>
      <c r="F14638" s="114" t="str">
        <f>IF(INDEX(I.Facility.P2bIDNumber,4626)="","",INDEX(I.Facility.P2bIDNumber,4626))</f>
        <v/>
      </c>
      <c r="G14638" s="51"/>
      <c r="H14638" s="46" t="str">
        <f>IF(AND(I.Developer.P2b=TRUE,I.Facility.P2bFacilityCount&gt;=4626,F14638=""),"Incomplete","Complete")</f>
        <v>Complete</v>
      </c>
      <c r="I14638" s="48" t="s">
        <v>19003</v>
      </c>
    </row>
    <row r="14639" spans="2:9" ht="15" customHeight="1" x14ac:dyDescent="0.25">
      <c r="B14639" s="55" t="s">
        <v>281</v>
      </c>
      <c r="C14639" s="46">
        <v>4627</v>
      </c>
      <c r="D14639" s="69" t="s">
        <v>29418</v>
      </c>
      <c r="E14639" s="51"/>
      <c r="F14639" s="114" t="str">
        <f>IF(INDEX(I.Facility.P2bIDNumber,4627)="","",INDEX(I.Facility.P2bIDNumber,4627))</f>
        <v/>
      </c>
      <c r="G14639" s="51"/>
      <c r="H14639" s="46" t="str">
        <f>IF(AND(I.Developer.P2b=TRUE,I.Facility.P2bFacilityCount&gt;=4627,F14639=""),"Incomplete","Complete")</f>
        <v>Complete</v>
      </c>
      <c r="I14639" s="48" t="s">
        <v>19004</v>
      </c>
    </row>
    <row r="14640" spans="2:9" ht="15" customHeight="1" x14ac:dyDescent="0.25">
      <c r="B14640" s="55" t="s">
        <v>281</v>
      </c>
      <c r="C14640" s="46">
        <v>4628</v>
      </c>
      <c r="D14640" s="69" t="s">
        <v>29418</v>
      </c>
      <c r="E14640" s="51"/>
      <c r="F14640" s="114" t="str">
        <f>IF(INDEX(I.Facility.P2bIDNumber,4628)="","",INDEX(I.Facility.P2bIDNumber,4628))</f>
        <v/>
      </c>
      <c r="G14640" s="51"/>
      <c r="H14640" s="46" t="str">
        <f>IF(AND(I.Developer.P2b=TRUE,I.Facility.P2bFacilityCount&gt;=4628,F14640=""),"Incomplete","Complete")</f>
        <v>Complete</v>
      </c>
      <c r="I14640" s="48" t="s">
        <v>19005</v>
      </c>
    </row>
    <row r="14641" spans="2:9" ht="15" customHeight="1" x14ac:dyDescent="0.25">
      <c r="B14641" s="55" t="s">
        <v>281</v>
      </c>
      <c r="C14641" s="46">
        <v>4629</v>
      </c>
      <c r="D14641" s="69" t="s">
        <v>29418</v>
      </c>
      <c r="E14641" s="51"/>
      <c r="F14641" s="114" t="str">
        <f>IF(INDEX(I.Facility.P2bIDNumber,4629)="","",INDEX(I.Facility.P2bIDNumber,4629))</f>
        <v/>
      </c>
      <c r="G14641" s="51"/>
      <c r="H14641" s="46" t="str">
        <f>IF(AND(I.Developer.P2b=TRUE,I.Facility.P2bFacilityCount&gt;=4629,F14641=""),"Incomplete","Complete")</f>
        <v>Complete</v>
      </c>
      <c r="I14641" s="48" t="s">
        <v>19006</v>
      </c>
    </row>
    <row r="14642" spans="2:9" ht="15" customHeight="1" x14ac:dyDescent="0.25">
      <c r="B14642" s="55" t="s">
        <v>281</v>
      </c>
      <c r="C14642" s="46">
        <v>4630</v>
      </c>
      <c r="D14642" s="69" t="s">
        <v>29418</v>
      </c>
      <c r="E14642" s="51"/>
      <c r="F14642" s="114" t="str">
        <f>IF(INDEX(I.Facility.P2bIDNumber,4630)="","",INDEX(I.Facility.P2bIDNumber,4630))</f>
        <v/>
      </c>
      <c r="G14642" s="51"/>
      <c r="H14642" s="46" t="str">
        <f>IF(AND(I.Developer.P2b=TRUE,I.Facility.P2bFacilityCount&gt;=4630,F14642=""),"Incomplete","Complete")</f>
        <v>Complete</v>
      </c>
      <c r="I14642" s="48" t="s">
        <v>19007</v>
      </c>
    </row>
    <row r="14643" spans="2:9" ht="15" customHeight="1" x14ac:dyDescent="0.25">
      <c r="B14643" s="55" t="s">
        <v>281</v>
      </c>
      <c r="C14643" s="46">
        <v>4631</v>
      </c>
      <c r="D14643" s="69" t="s">
        <v>29418</v>
      </c>
      <c r="E14643" s="51"/>
      <c r="F14643" s="114" t="str">
        <f>IF(INDEX(I.Facility.P2bIDNumber,4631)="","",INDEX(I.Facility.P2bIDNumber,4631))</f>
        <v/>
      </c>
      <c r="G14643" s="51"/>
      <c r="H14643" s="46" t="str">
        <f>IF(AND(I.Developer.P2b=TRUE,I.Facility.P2bFacilityCount&gt;=4631,F14643=""),"Incomplete","Complete")</f>
        <v>Complete</v>
      </c>
      <c r="I14643" s="48" t="s">
        <v>19008</v>
      </c>
    </row>
    <row r="14644" spans="2:9" ht="15" customHeight="1" x14ac:dyDescent="0.25">
      <c r="B14644" s="55" t="s">
        <v>281</v>
      </c>
      <c r="C14644" s="46">
        <v>4632</v>
      </c>
      <c r="D14644" s="69" t="s">
        <v>29418</v>
      </c>
      <c r="E14644" s="51"/>
      <c r="F14644" s="114" t="str">
        <f>IF(INDEX(I.Facility.P2bIDNumber,4632)="","",INDEX(I.Facility.P2bIDNumber,4632))</f>
        <v/>
      </c>
      <c r="G14644" s="51"/>
      <c r="H14644" s="46" t="str">
        <f>IF(AND(I.Developer.P2b=TRUE,I.Facility.P2bFacilityCount&gt;=4632,F14644=""),"Incomplete","Complete")</f>
        <v>Complete</v>
      </c>
      <c r="I14644" s="48" t="s">
        <v>19009</v>
      </c>
    </row>
    <row r="14645" spans="2:9" ht="15" customHeight="1" x14ac:dyDescent="0.25">
      <c r="B14645" s="55" t="s">
        <v>281</v>
      </c>
      <c r="C14645" s="46">
        <v>4633</v>
      </c>
      <c r="D14645" s="69" t="s">
        <v>29418</v>
      </c>
      <c r="E14645" s="51"/>
      <c r="F14645" s="114" t="str">
        <f>IF(INDEX(I.Facility.P2bIDNumber,4633)="","",INDEX(I.Facility.P2bIDNumber,4633))</f>
        <v/>
      </c>
      <c r="G14645" s="51"/>
      <c r="H14645" s="46" t="str">
        <f>IF(AND(I.Developer.P2b=TRUE,I.Facility.P2bFacilityCount&gt;=4633,F14645=""),"Incomplete","Complete")</f>
        <v>Complete</v>
      </c>
      <c r="I14645" s="48" t="s">
        <v>19010</v>
      </c>
    </row>
    <row r="14646" spans="2:9" ht="15" customHeight="1" x14ac:dyDescent="0.25">
      <c r="B14646" s="55" t="s">
        <v>281</v>
      </c>
      <c r="C14646" s="46">
        <v>4634</v>
      </c>
      <c r="D14646" s="69" t="s">
        <v>29418</v>
      </c>
      <c r="E14646" s="51"/>
      <c r="F14646" s="114" t="str">
        <f>IF(INDEX(I.Facility.P2bIDNumber,4634)="","",INDEX(I.Facility.P2bIDNumber,4634))</f>
        <v/>
      </c>
      <c r="G14646" s="51"/>
      <c r="H14646" s="46" t="str">
        <f>IF(AND(I.Developer.P2b=TRUE,I.Facility.P2bFacilityCount&gt;=4634,F14646=""),"Incomplete","Complete")</f>
        <v>Complete</v>
      </c>
      <c r="I14646" s="48" t="s">
        <v>19011</v>
      </c>
    </row>
    <row r="14647" spans="2:9" ht="15" customHeight="1" x14ac:dyDescent="0.25">
      <c r="B14647" s="55" t="s">
        <v>281</v>
      </c>
      <c r="C14647" s="46">
        <v>4635</v>
      </c>
      <c r="D14647" s="69" t="s">
        <v>29418</v>
      </c>
      <c r="E14647" s="51"/>
      <c r="F14647" s="114" t="str">
        <f>IF(INDEX(I.Facility.P2bIDNumber,4635)="","",INDEX(I.Facility.P2bIDNumber,4635))</f>
        <v/>
      </c>
      <c r="G14647" s="51"/>
      <c r="H14647" s="46" t="str">
        <f>IF(AND(I.Developer.P2b=TRUE,I.Facility.P2bFacilityCount&gt;=4635,F14647=""),"Incomplete","Complete")</f>
        <v>Complete</v>
      </c>
      <c r="I14647" s="48" t="s">
        <v>19012</v>
      </c>
    </row>
    <row r="14648" spans="2:9" ht="15" customHeight="1" x14ac:dyDescent="0.25">
      <c r="B14648" s="55" t="s">
        <v>281</v>
      </c>
      <c r="C14648" s="46">
        <v>4636</v>
      </c>
      <c r="D14648" s="69" t="s">
        <v>29418</v>
      </c>
      <c r="E14648" s="51"/>
      <c r="F14648" s="114" t="str">
        <f>IF(INDEX(I.Facility.P2bIDNumber,4636)="","",INDEX(I.Facility.P2bIDNumber,4636))</f>
        <v/>
      </c>
      <c r="G14648" s="51"/>
      <c r="H14648" s="46" t="str">
        <f>IF(AND(I.Developer.P2b=TRUE,I.Facility.P2bFacilityCount&gt;=4636,F14648=""),"Incomplete","Complete")</f>
        <v>Complete</v>
      </c>
      <c r="I14648" s="48" t="s">
        <v>19013</v>
      </c>
    </row>
    <row r="14649" spans="2:9" ht="15" customHeight="1" x14ac:dyDescent="0.25">
      <c r="B14649" s="55" t="s">
        <v>281</v>
      </c>
      <c r="C14649" s="46">
        <v>4637</v>
      </c>
      <c r="D14649" s="69" t="s">
        <v>29418</v>
      </c>
      <c r="E14649" s="51"/>
      <c r="F14649" s="114" t="str">
        <f>IF(INDEX(I.Facility.P2bIDNumber,4637)="","",INDEX(I.Facility.P2bIDNumber,4637))</f>
        <v/>
      </c>
      <c r="G14649" s="51"/>
      <c r="H14649" s="46" t="str">
        <f>IF(AND(I.Developer.P2b=TRUE,I.Facility.P2bFacilityCount&gt;=4637,F14649=""),"Incomplete","Complete")</f>
        <v>Complete</v>
      </c>
      <c r="I14649" s="48" t="s">
        <v>19014</v>
      </c>
    </row>
    <row r="14650" spans="2:9" ht="15" customHeight="1" x14ac:dyDescent="0.25">
      <c r="B14650" s="55" t="s">
        <v>281</v>
      </c>
      <c r="C14650" s="46">
        <v>4638</v>
      </c>
      <c r="D14650" s="69" t="s">
        <v>29418</v>
      </c>
      <c r="E14650" s="51"/>
      <c r="F14650" s="114" t="str">
        <f>IF(INDEX(I.Facility.P2bIDNumber,4638)="","",INDEX(I.Facility.P2bIDNumber,4638))</f>
        <v/>
      </c>
      <c r="G14650" s="51"/>
      <c r="H14650" s="46" t="str">
        <f>IF(AND(I.Developer.P2b=TRUE,I.Facility.P2bFacilityCount&gt;=4638,F14650=""),"Incomplete","Complete")</f>
        <v>Complete</v>
      </c>
      <c r="I14650" s="48" t="s">
        <v>19015</v>
      </c>
    </row>
    <row r="14651" spans="2:9" ht="15" customHeight="1" x14ac:dyDescent="0.25">
      <c r="B14651" s="55" t="s">
        <v>281</v>
      </c>
      <c r="C14651" s="46">
        <v>4639</v>
      </c>
      <c r="D14651" s="69" t="s">
        <v>29418</v>
      </c>
      <c r="E14651" s="51"/>
      <c r="F14651" s="114" t="str">
        <f>IF(INDEX(I.Facility.P2bIDNumber,4639)="","",INDEX(I.Facility.P2bIDNumber,4639))</f>
        <v/>
      </c>
      <c r="G14651" s="51"/>
      <c r="H14651" s="46" t="str">
        <f>IF(AND(I.Developer.P2b=TRUE,I.Facility.P2bFacilityCount&gt;=4639,F14651=""),"Incomplete","Complete")</f>
        <v>Complete</v>
      </c>
      <c r="I14651" s="48" t="s">
        <v>19016</v>
      </c>
    </row>
    <row r="14652" spans="2:9" ht="15" customHeight="1" x14ac:dyDescent="0.25">
      <c r="B14652" s="55" t="s">
        <v>281</v>
      </c>
      <c r="C14652" s="46">
        <v>4640</v>
      </c>
      <c r="D14652" s="69" t="s">
        <v>29418</v>
      </c>
      <c r="E14652" s="51"/>
      <c r="F14652" s="114" t="str">
        <f>IF(INDEX(I.Facility.P2bIDNumber,4640)="","",INDEX(I.Facility.P2bIDNumber,4640))</f>
        <v/>
      </c>
      <c r="G14652" s="51"/>
      <c r="H14652" s="46" t="str">
        <f>IF(AND(I.Developer.P2b=TRUE,I.Facility.P2bFacilityCount&gt;=4640,F14652=""),"Incomplete","Complete")</f>
        <v>Complete</v>
      </c>
      <c r="I14652" s="48" t="s">
        <v>19017</v>
      </c>
    </row>
    <row r="14653" spans="2:9" ht="15" customHeight="1" x14ac:dyDescent="0.25">
      <c r="B14653" s="55" t="s">
        <v>281</v>
      </c>
      <c r="C14653" s="46">
        <v>4641</v>
      </c>
      <c r="D14653" s="69" t="s">
        <v>29418</v>
      </c>
      <c r="E14653" s="51"/>
      <c r="F14653" s="114" t="str">
        <f>IF(INDEX(I.Facility.P2bIDNumber,4641)="","",INDEX(I.Facility.P2bIDNumber,4641))</f>
        <v/>
      </c>
      <c r="G14653" s="51"/>
      <c r="H14653" s="46" t="str">
        <f>IF(AND(I.Developer.P2b=TRUE,I.Facility.P2bFacilityCount&gt;=4641,F14653=""),"Incomplete","Complete")</f>
        <v>Complete</v>
      </c>
      <c r="I14653" s="48" t="s">
        <v>19018</v>
      </c>
    </row>
    <row r="14654" spans="2:9" ht="15" customHeight="1" x14ac:dyDescent="0.25">
      <c r="B14654" s="55" t="s">
        <v>281</v>
      </c>
      <c r="C14654" s="46">
        <v>4642</v>
      </c>
      <c r="D14654" s="69" t="s">
        <v>29418</v>
      </c>
      <c r="E14654" s="51"/>
      <c r="F14654" s="114" t="str">
        <f>IF(INDEX(I.Facility.P2bIDNumber,4642)="","",INDEX(I.Facility.P2bIDNumber,4642))</f>
        <v/>
      </c>
      <c r="G14654" s="51"/>
      <c r="H14654" s="46" t="str">
        <f>IF(AND(I.Developer.P2b=TRUE,I.Facility.P2bFacilityCount&gt;=4642,F14654=""),"Incomplete","Complete")</f>
        <v>Complete</v>
      </c>
      <c r="I14654" s="48" t="s">
        <v>19019</v>
      </c>
    </row>
    <row r="14655" spans="2:9" ht="15" customHeight="1" x14ac:dyDescent="0.25">
      <c r="B14655" s="55" t="s">
        <v>281</v>
      </c>
      <c r="C14655" s="46">
        <v>4643</v>
      </c>
      <c r="D14655" s="69" t="s">
        <v>29418</v>
      </c>
      <c r="E14655" s="51"/>
      <c r="F14655" s="114" t="str">
        <f>IF(INDEX(I.Facility.P2bIDNumber,4643)="","",INDEX(I.Facility.P2bIDNumber,4643))</f>
        <v/>
      </c>
      <c r="G14655" s="51"/>
      <c r="H14655" s="46" t="str">
        <f>IF(AND(I.Developer.P2b=TRUE,I.Facility.P2bFacilityCount&gt;=4643,F14655=""),"Incomplete","Complete")</f>
        <v>Complete</v>
      </c>
      <c r="I14655" s="48" t="s">
        <v>19020</v>
      </c>
    </row>
    <row r="14656" spans="2:9" ht="15" customHeight="1" x14ac:dyDescent="0.25">
      <c r="B14656" s="55" t="s">
        <v>281</v>
      </c>
      <c r="C14656" s="46">
        <v>4644</v>
      </c>
      <c r="D14656" s="69" t="s">
        <v>29418</v>
      </c>
      <c r="E14656" s="51"/>
      <c r="F14656" s="114" t="str">
        <f>IF(INDEX(I.Facility.P2bIDNumber,4644)="","",INDEX(I.Facility.P2bIDNumber,4644))</f>
        <v/>
      </c>
      <c r="G14656" s="51"/>
      <c r="H14656" s="46" t="str">
        <f>IF(AND(I.Developer.P2b=TRUE,I.Facility.P2bFacilityCount&gt;=4644,F14656=""),"Incomplete","Complete")</f>
        <v>Complete</v>
      </c>
      <c r="I14656" s="48" t="s">
        <v>19021</v>
      </c>
    </row>
    <row r="14657" spans="2:9" ht="15" customHeight="1" x14ac:dyDescent="0.25">
      <c r="B14657" s="55" t="s">
        <v>281</v>
      </c>
      <c r="C14657" s="46">
        <v>4645</v>
      </c>
      <c r="D14657" s="69" t="s">
        <v>29418</v>
      </c>
      <c r="E14657" s="51"/>
      <c r="F14657" s="114" t="str">
        <f>IF(INDEX(I.Facility.P2bIDNumber,4645)="","",INDEX(I.Facility.P2bIDNumber,4645))</f>
        <v/>
      </c>
      <c r="G14657" s="51"/>
      <c r="H14657" s="46" t="str">
        <f>IF(AND(I.Developer.P2b=TRUE,I.Facility.P2bFacilityCount&gt;=4645,F14657=""),"Incomplete","Complete")</f>
        <v>Complete</v>
      </c>
      <c r="I14657" s="48" t="s">
        <v>19022</v>
      </c>
    </row>
    <row r="14658" spans="2:9" ht="15" customHeight="1" x14ac:dyDescent="0.25">
      <c r="B14658" s="55" t="s">
        <v>281</v>
      </c>
      <c r="C14658" s="46">
        <v>4646</v>
      </c>
      <c r="D14658" s="69" t="s">
        <v>29418</v>
      </c>
      <c r="E14658" s="51"/>
      <c r="F14658" s="114" t="str">
        <f>IF(INDEX(I.Facility.P2bIDNumber,4646)="","",INDEX(I.Facility.P2bIDNumber,4646))</f>
        <v/>
      </c>
      <c r="G14658" s="51"/>
      <c r="H14658" s="46" t="str">
        <f>IF(AND(I.Developer.P2b=TRUE,I.Facility.P2bFacilityCount&gt;=4646,F14658=""),"Incomplete","Complete")</f>
        <v>Complete</v>
      </c>
      <c r="I14658" s="48" t="s">
        <v>19023</v>
      </c>
    </row>
    <row r="14659" spans="2:9" ht="15" customHeight="1" x14ac:dyDescent="0.25">
      <c r="B14659" s="55" t="s">
        <v>281</v>
      </c>
      <c r="C14659" s="46">
        <v>4647</v>
      </c>
      <c r="D14659" s="69" t="s">
        <v>29418</v>
      </c>
      <c r="E14659" s="51"/>
      <c r="F14659" s="114" t="str">
        <f>IF(INDEX(I.Facility.P2bIDNumber,4647)="","",INDEX(I.Facility.P2bIDNumber,4647))</f>
        <v/>
      </c>
      <c r="G14659" s="51"/>
      <c r="H14659" s="46" t="str">
        <f>IF(AND(I.Developer.P2b=TRUE,I.Facility.P2bFacilityCount&gt;=4647,F14659=""),"Incomplete","Complete")</f>
        <v>Complete</v>
      </c>
      <c r="I14659" s="48" t="s">
        <v>19024</v>
      </c>
    </row>
    <row r="14660" spans="2:9" ht="15" customHeight="1" x14ac:dyDescent="0.25">
      <c r="B14660" s="55" t="s">
        <v>281</v>
      </c>
      <c r="C14660" s="46">
        <v>4648</v>
      </c>
      <c r="D14660" s="69" t="s">
        <v>29418</v>
      </c>
      <c r="E14660" s="51"/>
      <c r="F14660" s="114" t="str">
        <f>IF(INDEX(I.Facility.P2bIDNumber,4648)="","",INDEX(I.Facility.P2bIDNumber,4648))</f>
        <v/>
      </c>
      <c r="G14660" s="51"/>
      <c r="H14660" s="46" t="str">
        <f>IF(AND(I.Developer.P2b=TRUE,I.Facility.P2bFacilityCount&gt;=4648,F14660=""),"Incomplete","Complete")</f>
        <v>Complete</v>
      </c>
      <c r="I14660" s="48" t="s">
        <v>19025</v>
      </c>
    </row>
    <row r="14661" spans="2:9" ht="15" customHeight="1" x14ac:dyDescent="0.25">
      <c r="B14661" s="55" t="s">
        <v>281</v>
      </c>
      <c r="C14661" s="46">
        <v>4649</v>
      </c>
      <c r="D14661" s="69" t="s">
        <v>29418</v>
      </c>
      <c r="E14661" s="51"/>
      <c r="F14661" s="114" t="str">
        <f>IF(INDEX(I.Facility.P2bIDNumber,4649)="","",INDEX(I.Facility.P2bIDNumber,4649))</f>
        <v/>
      </c>
      <c r="G14661" s="51"/>
      <c r="H14661" s="46" t="str">
        <f>IF(AND(I.Developer.P2b=TRUE,I.Facility.P2bFacilityCount&gt;=4649,F14661=""),"Incomplete","Complete")</f>
        <v>Complete</v>
      </c>
      <c r="I14661" s="48" t="s">
        <v>19026</v>
      </c>
    </row>
    <row r="14662" spans="2:9" ht="15" customHeight="1" x14ac:dyDescent="0.25">
      <c r="B14662" s="55" t="s">
        <v>281</v>
      </c>
      <c r="C14662" s="46">
        <v>4650</v>
      </c>
      <c r="D14662" s="69" t="s">
        <v>29418</v>
      </c>
      <c r="E14662" s="51"/>
      <c r="F14662" s="114" t="str">
        <f>IF(INDEX(I.Facility.P2bIDNumber,4650)="","",INDEX(I.Facility.P2bIDNumber,4650))</f>
        <v/>
      </c>
      <c r="G14662" s="51"/>
      <c r="H14662" s="46" t="str">
        <f>IF(AND(I.Developer.P2b=TRUE,I.Facility.P2bFacilityCount&gt;=4650,F14662=""),"Incomplete","Complete")</f>
        <v>Complete</v>
      </c>
      <c r="I14662" s="48" t="s">
        <v>19027</v>
      </c>
    </row>
    <row r="14663" spans="2:9" ht="15" customHeight="1" x14ac:dyDescent="0.25">
      <c r="B14663" s="55" t="s">
        <v>281</v>
      </c>
      <c r="C14663" s="46">
        <v>4651</v>
      </c>
      <c r="D14663" s="69" t="s">
        <v>29418</v>
      </c>
      <c r="E14663" s="51"/>
      <c r="F14663" s="114" t="str">
        <f>IF(INDEX(I.Facility.P2bIDNumber,4651)="","",INDEX(I.Facility.P2bIDNumber,4651))</f>
        <v/>
      </c>
      <c r="G14663" s="51"/>
      <c r="H14663" s="46" t="str">
        <f>IF(AND(I.Developer.P2b=TRUE,I.Facility.P2bFacilityCount&gt;=4651,F14663=""),"Incomplete","Complete")</f>
        <v>Complete</v>
      </c>
      <c r="I14663" s="48" t="s">
        <v>19028</v>
      </c>
    </row>
    <row r="14664" spans="2:9" ht="15" customHeight="1" x14ac:dyDescent="0.25">
      <c r="B14664" s="55" t="s">
        <v>281</v>
      </c>
      <c r="C14664" s="46">
        <v>4652</v>
      </c>
      <c r="D14664" s="69" t="s">
        <v>29418</v>
      </c>
      <c r="E14664" s="51"/>
      <c r="F14664" s="114" t="str">
        <f>IF(INDEX(I.Facility.P2bIDNumber,4652)="","",INDEX(I.Facility.P2bIDNumber,4652))</f>
        <v/>
      </c>
      <c r="G14664" s="51"/>
      <c r="H14664" s="46" t="str">
        <f>IF(AND(I.Developer.P2b=TRUE,I.Facility.P2bFacilityCount&gt;=4652,F14664=""),"Incomplete","Complete")</f>
        <v>Complete</v>
      </c>
      <c r="I14664" s="48" t="s">
        <v>19029</v>
      </c>
    </row>
    <row r="14665" spans="2:9" ht="15" customHeight="1" x14ac:dyDescent="0.25">
      <c r="B14665" s="55" t="s">
        <v>281</v>
      </c>
      <c r="C14665" s="46">
        <v>4653</v>
      </c>
      <c r="D14665" s="69" t="s">
        <v>29418</v>
      </c>
      <c r="E14665" s="51"/>
      <c r="F14665" s="114" t="str">
        <f>IF(INDEX(I.Facility.P2bIDNumber,4653)="","",INDEX(I.Facility.P2bIDNumber,4653))</f>
        <v/>
      </c>
      <c r="G14665" s="51"/>
      <c r="H14665" s="46" t="str">
        <f>IF(AND(I.Developer.P2b=TRUE,I.Facility.P2bFacilityCount&gt;=4653,F14665=""),"Incomplete","Complete")</f>
        <v>Complete</v>
      </c>
      <c r="I14665" s="48" t="s">
        <v>19030</v>
      </c>
    </row>
    <row r="14666" spans="2:9" ht="15" customHeight="1" x14ac:dyDescent="0.25">
      <c r="B14666" s="55" t="s">
        <v>281</v>
      </c>
      <c r="C14666" s="46">
        <v>4654</v>
      </c>
      <c r="D14666" s="69" t="s">
        <v>29418</v>
      </c>
      <c r="E14666" s="51"/>
      <c r="F14666" s="114" t="str">
        <f>IF(INDEX(I.Facility.P2bIDNumber,4654)="","",INDEX(I.Facility.P2bIDNumber,4654))</f>
        <v/>
      </c>
      <c r="G14666" s="51"/>
      <c r="H14666" s="46" t="str">
        <f>IF(AND(I.Developer.P2b=TRUE,I.Facility.P2bFacilityCount&gt;=4654,F14666=""),"Incomplete","Complete")</f>
        <v>Complete</v>
      </c>
      <c r="I14666" s="48" t="s">
        <v>19031</v>
      </c>
    </row>
    <row r="14667" spans="2:9" ht="15" customHeight="1" x14ac:dyDescent="0.25">
      <c r="B14667" s="55" t="s">
        <v>281</v>
      </c>
      <c r="C14667" s="46">
        <v>4655</v>
      </c>
      <c r="D14667" s="69" t="s">
        <v>29418</v>
      </c>
      <c r="E14667" s="51"/>
      <c r="F14667" s="114" t="str">
        <f>IF(INDEX(I.Facility.P2bIDNumber,4655)="","",INDEX(I.Facility.P2bIDNumber,4655))</f>
        <v/>
      </c>
      <c r="G14667" s="51"/>
      <c r="H14667" s="46" t="str">
        <f>IF(AND(I.Developer.P2b=TRUE,I.Facility.P2bFacilityCount&gt;=4655,F14667=""),"Incomplete","Complete")</f>
        <v>Complete</v>
      </c>
      <c r="I14667" s="48" t="s">
        <v>19032</v>
      </c>
    </row>
    <row r="14668" spans="2:9" ht="15" customHeight="1" x14ac:dyDescent="0.25">
      <c r="B14668" s="55" t="s">
        <v>281</v>
      </c>
      <c r="C14668" s="46">
        <v>4656</v>
      </c>
      <c r="D14668" s="69" t="s">
        <v>29418</v>
      </c>
      <c r="E14668" s="51"/>
      <c r="F14668" s="114" t="str">
        <f>IF(INDEX(I.Facility.P2bIDNumber,4656)="","",INDEX(I.Facility.P2bIDNumber,4656))</f>
        <v/>
      </c>
      <c r="G14668" s="51"/>
      <c r="H14668" s="46" t="str">
        <f>IF(AND(I.Developer.P2b=TRUE,I.Facility.P2bFacilityCount&gt;=4656,F14668=""),"Incomplete","Complete")</f>
        <v>Complete</v>
      </c>
      <c r="I14668" s="48" t="s">
        <v>19033</v>
      </c>
    </row>
    <row r="14669" spans="2:9" ht="15" customHeight="1" x14ac:dyDescent="0.25">
      <c r="B14669" s="55" t="s">
        <v>281</v>
      </c>
      <c r="C14669" s="46">
        <v>4657</v>
      </c>
      <c r="D14669" s="69" t="s">
        <v>29418</v>
      </c>
      <c r="E14669" s="51"/>
      <c r="F14669" s="114" t="str">
        <f>IF(INDEX(I.Facility.P2bIDNumber,4657)="","",INDEX(I.Facility.P2bIDNumber,4657))</f>
        <v/>
      </c>
      <c r="G14669" s="51"/>
      <c r="H14669" s="46" t="str">
        <f>IF(AND(I.Developer.P2b=TRUE,I.Facility.P2bFacilityCount&gt;=4657,F14669=""),"Incomplete","Complete")</f>
        <v>Complete</v>
      </c>
      <c r="I14669" s="48" t="s">
        <v>19034</v>
      </c>
    </row>
    <row r="14670" spans="2:9" ht="15" customHeight="1" x14ac:dyDescent="0.25">
      <c r="B14670" s="55" t="s">
        <v>281</v>
      </c>
      <c r="C14670" s="46">
        <v>4658</v>
      </c>
      <c r="D14670" s="69" t="s">
        <v>29418</v>
      </c>
      <c r="E14670" s="51"/>
      <c r="F14670" s="114" t="str">
        <f>IF(INDEX(I.Facility.P2bIDNumber,4658)="","",INDEX(I.Facility.P2bIDNumber,4658))</f>
        <v/>
      </c>
      <c r="G14670" s="51"/>
      <c r="H14670" s="46" t="str">
        <f>IF(AND(I.Developer.P2b=TRUE,I.Facility.P2bFacilityCount&gt;=4658,F14670=""),"Incomplete","Complete")</f>
        <v>Complete</v>
      </c>
      <c r="I14670" s="48" t="s">
        <v>19035</v>
      </c>
    </row>
    <row r="14671" spans="2:9" ht="15" customHeight="1" x14ac:dyDescent="0.25">
      <c r="B14671" s="55" t="s">
        <v>281</v>
      </c>
      <c r="C14671" s="46">
        <v>4659</v>
      </c>
      <c r="D14671" s="69" t="s">
        <v>29418</v>
      </c>
      <c r="E14671" s="51"/>
      <c r="F14671" s="114" t="str">
        <f>IF(INDEX(I.Facility.P2bIDNumber,4659)="","",INDEX(I.Facility.P2bIDNumber,4659))</f>
        <v/>
      </c>
      <c r="G14671" s="51"/>
      <c r="H14671" s="46" t="str">
        <f>IF(AND(I.Developer.P2b=TRUE,I.Facility.P2bFacilityCount&gt;=4659,F14671=""),"Incomplete","Complete")</f>
        <v>Complete</v>
      </c>
      <c r="I14671" s="48" t="s">
        <v>19036</v>
      </c>
    </row>
    <row r="14672" spans="2:9" ht="15" customHeight="1" x14ac:dyDescent="0.25">
      <c r="B14672" s="55" t="s">
        <v>281</v>
      </c>
      <c r="C14672" s="46">
        <v>4660</v>
      </c>
      <c r="D14672" s="69" t="s">
        <v>29418</v>
      </c>
      <c r="E14672" s="51"/>
      <c r="F14672" s="114" t="str">
        <f>IF(INDEX(I.Facility.P2bIDNumber,4660)="","",INDEX(I.Facility.P2bIDNumber,4660))</f>
        <v/>
      </c>
      <c r="G14672" s="51"/>
      <c r="H14672" s="46" t="str">
        <f>IF(AND(I.Developer.P2b=TRUE,I.Facility.P2bFacilityCount&gt;=4660,F14672=""),"Incomplete","Complete")</f>
        <v>Complete</v>
      </c>
      <c r="I14672" s="48" t="s">
        <v>19037</v>
      </c>
    </row>
    <row r="14673" spans="2:9" ht="15" customHeight="1" x14ac:dyDescent="0.25">
      <c r="B14673" s="55" t="s">
        <v>281</v>
      </c>
      <c r="C14673" s="46">
        <v>4661</v>
      </c>
      <c r="D14673" s="69" t="s">
        <v>29418</v>
      </c>
      <c r="E14673" s="51"/>
      <c r="F14673" s="114" t="str">
        <f>IF(INDEX(I.Facility.P2bIDNumber,4661)="","",INDEX(I.Facility.P2bIDNumber,4661))</f>
        <v/>
      </c>
      <c r="G14673" s="51"/>
      <c r="H14673" s="46" t="str">
        <f>IF(AND(I.Developer.P2b=TRUE,I.Facility.P2bFacilityCount&gt;=4661,F14673=""),"Incomplete","Complete")</f>
        <v>Complete</v>
      </c>
      <c r="I14673" s="48" t="s">
        <v>19038</v>
      </c>
    </row>
    <row r="14674" spans="2:9" ht="15" customHeight="1" x14ac:dyDescent="0.25">
      <c r="B14674" s="55" t="s">
        <v>281</v>
      </c>
      <c r="C14674" s="46">
        <v>4662</v>
      </c>
      <c r="D14674" s="69" t="s">
        <v>29418</v>
      </c>
      <c r="E14674" s="51"/>
      <c r="F14674" s="114" t="str">
        <f>IF(INDEX(I.Facility.P2bIDNumber,4662)="","",INDEX(I.Facility.P2bIDNumber,4662))</f>
        <v/>
      </c>
      <c r="G14674" s="51"/>
      <c r="H14674" s="46" t="str">
        <f>IF(AND(I.Developer.P2b=TRUE,I.Facility.P2bFacilityCount&gt;=4662,F14674=""),"Incomplete","Complete")</f>
        <v>Complete</v>
      </c>
      <c r="I14674" s="48" t="s">
        <v>19039</v>
      </c>
    </row>
    <row r="14675" spans="2:9" ht="15" customHeight="1" x14ac:dyDescent="0.25">
      <c r="B14675" s="55" t="s">
        <v>281</v>
      </c>
      <c r="C14675" s="46">
        <v>4663</v>
      </c>
      <c r="D14675" s="69" t="s">
        <v>29418</v>
      </c>
      <c r="E14675" s="51"/>
      <c r="F14675" s="114" t="str">
        <f>IF(INDEX(I.Facility.P2bIDNumber,4663)="","",INDEX(I.Facility.P2bIDNumber,4663))</f>
        <v/>
      </c>
      <c r="G14675" s="51"/>
      <c r="H14675" s="46" t="str">
        <f>IF(AND(I.Developer.P2b=TRUE,I.Facility.P2bFacilityCount&gt;=4663,F14675=""),"Incomplete","Complete")</f>
        <v>Complete</v>
      </c>
      <c r="I14675" s="48" t="s">
        <v>19040</v>
      </c>
    </row>
    <row r="14676" spans="2:9" ht="15" customHeight="1" x14ac:dyDescent="0.25">
      <c r="B14676" s="55" t="s">
        <v>281</v>
      </c>
      <c r="C14676" s="46">
        <v>4664</v>
      </c>
      <c r="D14676" s="69" t="s">
        <v>29418</v>
      </c>
      <c r="E14676" s="51"/>
      <c r="F14676" s="114" t="str">
        <f>IF(INDEX(I.Facility.P2bIDNumber,4664)="","",INDEX(I.Facility.P2bIDNumber,4664))</f>
        <v/>
      </c>
      <c r="G14676" s="51"/>
      <c r="H14676" s="46" t="str">
        <f>IF(AND(I.Developer.P2b=TRUE,I.Facility.P2bFacilityCount&gt;=4664,F14676=""),"Incomplete","Complete")</f>
        <v>Complete</v>
      </c>
      <c r="I14676" s="48" t="s">
        <v>19041</v>
      </c>
    </row>
    <row r="14677" spans="2:9" ht="15" customHeight="1" x14ac:dyDescent="0.25">
      <c r="B14677" s="55" t="s">
        <v>281</v>
      </c>
      <c r="C14677" s="46">
        <v>4665</v>
      </c>
      <c r="D14677" s="69" t="s">
        <v>29418</v>
      </c>
      <c r="E14677" s="51"/>
      <c r="F14677" s="114" t="str">
        <f>IF(INDEX(I.Facility.P2bIDNumber,4665)="","",INDEX(I.Facility.P2bIDNumber,4665))</f>
        <v/>
      </c>
      <c r="G14677" s="51"/>
      <c r="H14677" s="46" t="str">
        <f>IF(AND(I.Developer.P2b=TRUE,I.Facility.P2bFacilityCount&gt;=4665,F14677=""),"Incomplete","Complete")</f>
        <v>Complete</v>
      </c>
      <c r="I14677" s="48" t="s">
        <v>19042</v>
      </c>
    </row>
    <row r="14678" spans="2:9" ht="15" customHeight="1" x14ac:dyDescent="0.25">
      <c r="B14678" s="55" t="s">
        <v>281</v>
      </c>
      <c r="C14678" s="46">
        <v>4666</v>
      </c>
      <c r="D14678" s="69" t="s">
        <v>29418</v>
      </c>
      <c r="E14678" s="51"/>
      <c r="F14678" s="114" t="str">
        <f>IF(INDEX(I.Facility.P2bIDNumber,4666)="","",INDEX(I.Facility.P2bIDNumber,4666))</f>
        <v/>
      </c>
      <c r="G14678" s="51"/>
      <c r="H14678" s="46" t="str">
        <f>IF(AND(I.Developer.P2b=TRUE,I.Facility.P2bFacilityCount&gt;=4666,F14678=""),"Incomplete","Complete")</f>
        <v>Complete</v>
      </c>
      <c r="I14678" s="48" t="s">
        <v>19043</v>
      </c>
    </row>
    <row r="14679" spans="2:9" ht="15" customHeight="1" x14ac:dyDescent="0.25">
      <c r="B14679" s="55" t="s">
        <v>281</v>
      </c>
      <c r="C14679" s="46">
        <v>4667</v>
      </c>
      <c r="D14679" s="69" t="s">
        <v>29418</v>
      </c>
      <c r="E14679" s="51"/>
      <c r="F14679" s="114" t="str">
        <f>IF(INDEX(I.Facility.P2bIDNumber,4667)="","",INDEX(I.Facility.P2bIDNumber,4667))</f>
        <v/>
      </c>
      <c r="G14679" s="51"/>
      <c r="H14679" s="46" t="str">
        <f>IF(AND(I.Developer.P2b=TRUE,I.Facility.P2bFacilityCount&gt;=4667,F14679=""),"Incomplete","Complete")</f>
        <v>Complete</v>
      </c>
      <c r="I14679" s="48" t="s">
        <v>19044</v>
      </c>
    </row>
    <row r="14680" spans="2:9" ht="15" customHeight="1" x14ac:dyDescent="0.25">
      <c r="B14680" s="55" t="s">
        <v>281</v>
      </c>
      <c r="C14680" s="46">
        <v>4668</v>
      </c>
      <c r="D14680" s="69" t="s">
        <v>29418</v>
      </c>
      <c r="E14680" s="51"/>
      <c r="F14680" s="114" t="str">
        <f>IF(INDEX(I.Facility.P2bIDNumber,4668)="","",INDEX(I.Facility.P2bIDNumber,4668))</f>
        <v/>
      </c>
      <c r="G14680" s="51"/>
      <c r="H14680" s="46" t="str">
        <f>IF(AND(I.Developer.P2b=TRUE,I.Facility.P2bFacilityCount&gt;=4668,F14680=""),"Incomplete","Complete")</f>
        <v>Complete</v>
      </c>
      <c r="I14680" s="48" t="s">
        <v>19045</v>
      </c>
    </row>
    <row r="14681" spans="2:9" ht="15" customHeight="1" x14ac:dyDescent="0.25">
      <c r="B14681" s="55" t="s">
        <v>281</v>
      </c>
      <c r="C14681" s="46">
        <v>4669</v>
      </c>
      <c r="D14681" s="69" t="s">
        <v>29418</v>
      </c>
      <c r="E14681" s="51"/>
      <c r="F14681" s="114" t="str">
        <f>IF(INDEX(I.Facility.P2bIDNumber,4669)="","",INDEX(I.Facility.P2bIDNumber,4669))</f>
        <v/>
      </c>
      <c r="G14681" s="51"/>
      <c r="H14681" s="46" t="str">
        <f>IF(AND(I.Developer.P2b=TRUE,I.Facility.P2bFacilityCount&gt;=4669,F14681=""),"Incomplete","Complete")</f>
        <v>Complete</v>
      </c>
      <c r="I14681" s="48" t="s">
        <v>19046</v>
      </c>
    </row>
    <row r="14682" spans="2:9" ht="15" customHeight="1" x14ac:dyDescent="0.25">
      <c r="B14682" s="55" t="s">
        <v>281</v>
      </c>
      <c r="C14682" s="46">
        <v>4670</v>
      </c>
      <c r="D14682" s="69" t="s">
        <v>29418</v>
      </c>
      <c r="E14682" s="51"/>
      <c r="F14682" s="114" t="str">
        <f>IF(INDEX(I.Facility.P2bIDNumber,4670)="","",INDEX(I.Facility.P2bIDNumber,4670))</f>
        <v/>
      </c>
      <c r="G14682" s="51"/>
      <c r="H14682" s="46" t="str">
        <f>IF(AND(I.Developer.P2b=TRUE,I.Facility.P2bFacilityCount&gt;=4670,F14682=""),"Incomplete","Complete")</f>
        <v>Complete</v>
      </c>
      <c r="I14682" s="48" t="s">
        <v>19047</v>
      </c>
    </row>
    <row r="14683" spans="2:9" ht="15" customHeight="1" x14ac:dyDescent="0.25">
      <c r="B14683" s="55" t="s">
        <v>281</v>
      </c>
      <c r="C14683" s="46">
        <v>4671</v>
      </c>
      <c r="D14683" s="69" t="s">
        <v>29418</v>
      </c>
      <c r="E14683" s="51"/>
      <c r="F14683" s="114" t="str">
        <f>IF(INDEX(I.Facility.P2bIDNumber,4671)="","",INDEX(I.Facility.P2bIDNumber,4671))</f>
        <v/>
      </c>
      <c r="G14683" s="51"/>
      <c r="H14683" s="46" t="str">
        <f>IF(AND(I.Developer.P2b=TRUE,I.Facility.P2bFacilityCount&gt;=4671,F14683=""),"Incomplete","Complete")</f>
        <v>Complete</v>
      </c>
      <c r="I14683" s="48" t="s">
        <v>19048</v>
      </c>
    </row>
    <row r="14684" spans="2:9" ht="15" customHeight="1" x14ac:dyDescent="0.25">
      <c r="B14684" s="55" t="s">
        <v>281</v>
      </c>
      <c r="C14684" s="46">
        <v>4672</v>
      </c>
      <c r="D14684" s="69" t="s">
        <v>29418</v>
      </c>
      <c r="E14684" s="51"/>
      <c r="F14684" s="114" t="str">
        <f>IF(INDEX(I.Facility.P2bIDNumber,4672)="","",INDEX(I.Facility.P2bIDNumber,4672))</f>
        <v/>
      </c>
      <c r="G14684" s="51"/>
      <c r="H14684" s="46" t="str">
        <f>IF(AND(I.Developer.P2b=TRUE,I.Facility.P2bFacilityCount&gt;=4672,F14684=""),"Incomplete","Complete")</f>
        <v>Complete</v>
      </c>
      <c r="I14684" s="48" t="s">
        <v>19049</v>
      </c>
    </row>
    <row r="14685" spans="2:9" ht="15" customHeight="1" x14ac:dyDescent="0.25">
      <c r="B14685" s="55" t="s">
        <v>281</v>
      </c>
      <c r="C14685" s="46">
        <v>4673</v>
      </c>
      <c r="D14685" s="69" t="s">
        <v>29418</v>
      </c>
      <c r="E14685" s="51"/>
      <c r="F14685" s="114" t="str">
        <f>IF(INDEX(I.Facility.P2bIDNumber,4673)="","",INDEX(I.Facility.P2bIDNumber,4673))</f>
        <v/>
      </c>
      <c r="G14685" s="51"/>
      <c r="H14685" s="46" t="str">
        <f>IF(AND(I.Developer.P2b=TRUE,I.Facility.P2bFacilityCount&gt;=4673,F14685=""),"Incomplete","Complete")</f>
        <v>Complete</v>
      </c>
      <c r="I14685" s="48" t="s">
        <v>19050</v>
      </c>
    </row>
    <row r="14686" spans="2:9" ht="15" customHeight="1" x14ac:dyDescent="0.25">
      <c r="B14686" s="55" t="s">
        <v>281</v>
      </c>
      <c r="C14686" s="46">
        <v>4674</v>
      </c>
      <c r="D14686" s="69" t="s">
        <v>29418</v>
      </c>
      <c r="E14686" s="51"/>
      <c r="F14686" s="114" t="str">
        <f>IF(INDEX(I.Facility.P2bIDNumber,4674)="","",INDEX(I.Facility.P2bIDNumber,4674))</f>
        <v/>
      </c>
      <c r="G14686" s="51"/>
      <c r="H14686" s="46" t="str">
        <f>IF(AND(I.Developer.P2b=TRUE,I.Facility.P2bFacilityCount&gt;=4674,F14686=""),"Incomplete","Complete")</f>
        <v>Complete</v>
      </c>
      <c r="I14686" s="48" t="s">
        <v>19051</v>
      </c>
    </row>
    <row r="14687" spans="2:9" ht="15" customHeight="1" x14ac:dyDescent="0.25">
      <c r="B14687" s="55" t="s">
        <v>281</v>
      </c>
      <c r="C14687" s="46">
        <v>4675</v>
      </c>
      <c r="D14687" s="69" t="s">
        <v>29418</v>
      </c>
      <c r="E14687" s="51"/>
      <c r="F14687" s="114" t="str">
        <f>IF(INDEX(I.Facility.P2bIDNumber,4675)="","",INDEX(I.Facility.P2bIDNumber,4675))</f>
        <v/>
      </c>
      <c r="G14687" s="51"/>
      <c r="H14687" s="46" t="str">
        <f>IF(AND(I.Developer.P2b=TRUE,I.Facility.P2bFacilityCount&gt;=4675,F14687=""),"Incomplete","Complete")</f>
        <v>Complete</v>
      </c>
      <c r="I14687" s="48" t="s">
        <v>19052</v>
      </c>
    </row>
    <row r="14688" spans="2:9" ht="15" customHeight="1" x14ac:dyDescent="0.25">
      <c r="B14688" s="55" t="s">
        <v>281</v>
      </c>
      <c r="C14688" s="46">
        <v>4676</v>
      </c>
      <c r="D14688" s="69" t="s">
        <v>29418</v>
      </c>
      <c r="E14688" s="51"/>
      <c r="F14688" s="114" t="str">
        <f>IF(INDEX(I.Facility.P2bIDNumber,4676)="","",INDEX(I.Facility.P2bIDNumber,4676))</f>
        <v/>
      </c>
      <c r="G14688" s="51"/>
      <c r="H14688" s="46" t="str">
        <f>IF(AND(I.Developer.P2b=TRUE,I.Facility.P2bFacilityCount&gt;=4676,F14688=""),"Incomplete","Complete")</f>
        <v>Complete</v>
      </c>
      <c r="I14688" s="48" t="s">
        <v>19053</v>
      </c>
    </row>
    <row r="14689" spans="2:9" ht="15" customHeight="1" x14ac:dyDescent="0.25">
      <c r="B14689" s="55" t="s">
        <v>281</v>
      </c>
      <c r="C14689" s="46">
        <v>4677</v>
      </c>
      <c r="D14689" s="69" t="s">
        <v>29418</v>
      </c>
      <c r="E14689" s="51"/>
      <c r="F14689" s="114" t="str">
        <f>IF(INDEX(I.Facility.P2bIDNumber,4677)="","",INDEX(I.Facility.P2bIDNumber,4677))</f>
        <v/>
      </c>
      <c r="G14689" s="51"/>
      <c r="H14689" s="46" t="str">
        <f>IF(AND(I.Developer.P2b=TRUE,I.Facility.P2bFacilityCount&gt;=4677,F14689=""),"Incomplete","Complete")</f>
        <v>Complete</v>
      </c>
      <c r="I14689" s="48" t="s">
        <v>19054</v>
      </c>
    </row>
    <row r="14690" spans="2:9" ht="15" customHeight="1" x14ac:dyDescent="0.25">
      <c r="B14690" s="55" t="s">
        <v>281</v>
      </c>
      <c r="C14690" s="46">
        <v>4678</v>
      </c>
      <c r="D14690" s="69" t="s">
        <v>29418</v>
      </c>
      <c r="E14690" s="51"/>
      <c r="F14690" s="114" t="str">
        <f>IF(INDEX(I.Facility.P2bIDNumber,4678)="","",INDEX(I.Facility.P2bIDNumber,4678))</f>
        <v/>
      </c>
      <c r="G14690" s="51"/>
      <c r="H14690" s="46" t="str">
        <f>IF(AND(I.Developer.P2b=TRUE,I.Facility.P2bFacilityCount&gt;=4678,F14690=""),"Incomplete","Complete")</f>
        <v>Complete</v>
      </c>
      <c r="I14690" s="48" t="s">
        <v>19055</v>
      </c>
    </row>
    <row r="14691" spans="2:9" ht="15" customHeight="1" x14ac:dyDescent="0.25">
      <c r="B14691" s="55" t="s">
        <v>281</v>
      </c>
      <c r="C14691" s="46">
        <v>4679</v>
      </c>
      <c r="D14691" s="69" t="s">
        <v>29418</v>
      </c>
      <c r="E14691" s="51"/>
      <c r="F14691" s="114" t="str">
        <f>IF(INDEX(I.Facility.P2bIDNumber,4679)="","",INDEX(I.Facility.P2bIDNumber,4679))</f>
        <v/>
      </c>
      <c r="G14691" s="51"/>
      <c r="H14691" s="46" t="str">
        <f>IF(AND(I.Developer.P2b=TRUE,I.Facility.P2bFacilityCount&gt;=4679,F14691=""),"Incomplete","Complete")</f>
        <v>Complete</v>
      </c>
      <c r="I14691" s="48" t="s">
        <v>19056</v>
      </c>
    </row>
    <row r="14692" spans="2:9" ht="15" customHeight="1" x14ac:dyDescent="0.25">
      <c r="B14692" s="55" t="s">
        <v>281</v>
      </c>
      <c r="C14692" s="46">
        <v>4680</v>
      </c>
      <c r="D14692" s="69" t="s">
        <v>29418</v>
      </c>
      <c r="E14692" s="51"/>
      <c r="F14692" s="114" t="str">
        <f>IF(INDEX(I.Facility.P2bIDNumber,4680)="","",INDEX(I.Facility.P2bIDNumber,4680))</f>
        <v/>
      </c>
      <c r="G14692" s="51"/>
      <c r="H14692" s="46" t="str">
        <f>IF(AND(I.Developer.P2b=TRUE,I.Facility.P2bFacilityCount&gt;=4680,F14692=""),"Incomplete","Complete")</f>
        <v>Complete</v>
      </c>
      <c r="I14692" s="48" t="s">
        <v>19057</v>
      </c>
    </row>
    <row r="14693" spans="2:9" ht="15" customHeight="1" x14ac:dyDescent="0.25">
      <c r="B14693" s="55" t="s">
        <v>281</v>
      </c>
      <c r="C14693" s="46">
        <v>4681</v>
      </c>
      <c r="D14693" s="69" t="s">
        <v>29418</v>
      </c>
      <c r="E14693" s="51"/>
      <c r="F14693" s="114" t="str">
        <f>IF(INDEX(I.Facility.P2bIDNumber,4681)="","",INDEX(I.Facility.P2bIDNumber,4681))</f>
        <v/>
      </c>
      <c r="G14693" s="51"/>
      <c r="H14693" s="46" t="str">
        <f>IF(AND(I.Developer.P2b=TRUE,I.Facility.P2bFacilityCount&gt;=4681,F14693=""),"Incomplete","Complete")</f>
        <v>Complete</v>
      </c>
      <c r="I14693" s="48" t="s">
        <v>19058</v>
      </c>
    </row>
    <row r="14694" spans="2:9" ht="15" customHeight="1" x14ac:dyDescent="0.25">
      <c r="B14694" s="55" t="s">
        <v>281</v>
      </c>
      <c r="C14694" s="46">
        <v>4682</v>
      </c>
      <c r="D14694" s="69" t="s">
        <v>29418</v>
      </c>
      <c r="E14694" s="51"/>
      <c r="F14694" s="114" t="str">
        <f>IF(INDEX(I.Facility.P2bIDNumber,4682)="","",INDEX(I.Facility.P2bIDNumber,4682))</f>
        <v/>
      </c>
      <c r="G14694" s="51"/>
      <c r="H14694" s="46" t="str">
        <f>IF(AND(I.Developer.P2b=TRUE,I.Facility.P2bFacilityCount&gt;=4682,F14694=""),"Incomplete","Complete")</f>
        <v>Complete</v>
      </c>
      <c r="I14694" s="48" t="s">
        <v>19059</v>
      </c>
    </row>
    <row r="14695" spans="2:9" ht="15" customHeight="1" x14ac:dyDescent="0.25">
      <c r="B14695" s="55" t="s">
        <v>281</v>
      </c>
      <c r="C14695" s="46">
        <v>4683</v>
      </c>
      <c r="D14695" s="69" t="s">
        <v>29418</v>
      </c>
      <c r="E14695" s="51"/>
      <c r="F14695" s="114" t="str">
        <f>IF(INDEX(I.Facility.P2bIDNumber,4683)="","",INDEX(I.Facility.P2bIDNumber,4683))</f>
        <v/>
      </c>
      <c r="G14695" s="51"/>
      <c r="H14695" s="46" t="str">
        <f>IF(AND(I.Developer.P2b=TRUE,I.Facility.P2bFacilityCount&gt;=4683,F14695=""),"Incomplete","Complete")</f>
        <v>Complete</v>
      </c>
      <c r="I14695" s="48" t="s">
        <v>19060</v>
      </c>
    </row>
    <row r="14696" spans="2:9" ht="15" customHeight="1" x14ac:dyDescent="0.25">
      <c r="B14696" s="55" t="s">
        <v>281</v>
      </c>
      <c r="C14696" s="46">
        <v>4684</v>
      </c>
      <c r="D14696" s="69" t="s">
        <v>29418</v>
      </c>
      <c r="E14696" s="51"/>
      <c r="F14696" s="114" t="str">
        <f>IF(INDEX(I.Facility.P2bIDNumber,4684)="","",INDEX(I.Facility.P2bIDNumber,4684))</f>
        <v/>
      </c>
      <c r="G14696" s="51"/>
      <c r="H14696" s="46" t="str">
        <f>IF(AND(I.Developer.P2b=TRUE,I.Facility.P2bFacilityCount&gt;=4684,F14696=""),"Incomplete","Complete")</f>
        <v>Complete</v>
      </c>
      <c r="I14696" s="48" t="s">
        <v>19061</v>
      </c>
    </row>
    <row r="14697" spans="2:9" ht="15" customHeight="1" x14ac:dyDescent="0.25">
      <c r="B14697" s="55" t="s">
        <v>281</v>
      </c>
      <c r="C14697" s="46">
        <v>4685</v>
      </c>
      <c r="D14697" s="69" t="s">
        <v>29418</v>
      </c>
      <c r="E14697" s="51"/>
      <c r="F14697" s="114" t="str">
        <f>IF(INDEX(I.Facility.P2bIDNumber,4685)="","",INDEX(I.Facility.P2bIDNumber,4685))</f>
        <v/>
      </c>
      <c r="G14697" s="51"/>
      <c r="H14697" s="46" t="str">
        <f>IF(AND(I.Developer.P2b=TRUE,I.Facility.P2bFacilityCount&gt;=4685,F14697=""),"Incomplete","Complete")</f>
        <v>Complete</v>
      </c>
      <c r="I14697" s="48" t="s">
        <v>19062</v>
      </c>
    </row>
    <row r="14698" spans="2:9" ht="15" customHeight="1" x14ac:dyDescent="0.25">
      <c r="B14698" s="55" t="s">
        <v>281</v>
      </c>
      <c r="C14698" s="46">
        <v>4686</v>
      </c>
      <c r="D14698" s="69" t="s">
        <v>29418</v>
      </c>
      <c r="E14698" s="51"/>
      <c r="F14698" s="114" t="str">
        <f>IF(INDEX(I.Facility.P2bIDNumber,4686)="","",INDEX(I.Facility.P2bIDNumber,4686))</f>
        <v/>
      </c>
      <c r="G14698" s="51"/>
      <c r="H14698" s="46" t="str">
        <f>IF(AND(I.Developer.P2b=TRUE,I.Facility.P2bFacilityCount&gt;=4686,F14698=""),"Incomplete","Complete")</f>
        <v>Complete</v>
      </c>
      <c r="I14698" s="48" t="s">
        <v>19063</v>
      </c>
    </row>
    <row r="14699" spans="2:9" ht="15" customHeight="1" x14ac:dyDescent="0.25">
      <c r="B14699" s="55" t="s">
        <v>281</v>
      </c>
      <c r="C14699" s="46">
        <v>4687</v>
      </c>
      <c r="D14699" s="69" t="s">
        <v>29418</v>
      </c>
      <c r="E14699" s="51"/>
      <c r="F14699" s="114" t="str">
        <f>IF(INDEX(I.Facility.P2bIDNumber,4687)="","",INDEX(I.Facility.P2bIDNumber,4687))</f>
        <v/>
      </c>
      <c r="G14699" s="51"/>
      <c r="H14699" s="46" t="str">
        <f>IF(AND(I.Developer.P2b=TRUE,I.Facility.P2bFacilityCount&gt;=4687,F14699=""),"Incomplete","Complete")</f>
        <v>Complete</v>
      </c>
      <c r="I14699" s="48" t="s">
        <v>19064</v>
      </c>
    </row>
    <row r="14700" spans="2:9" ht="15" customHeight="1" x14ac:dyDescent="0.25">
      <c r="B14700" s="55" t="s">
        <v>281</v>
      </c>
      <c r="C14700" s="46">
        <v>4688</v>
      </c>
      <c r="D14700" s="69" t="s">
        <v>29418</v>
      </c>
      <c r="E14700" s="51"/>
      <c r="F14700" s="114" t="str">
        <f>IF(INDEX(I.Facility.P2bIDNumber,4688)="","",INDEX(I.Facility.P2bIDNumber,4688))</f>
        <v/>
      </c>
      <c r="G14700" s="51"/>
      <c r="H14700" s="46" t="str">
        <f>IF(AND(I.Developer.P2b=TRUE,I.Facility.P2bFacilityCount&gt;=4688,F14700=""),"Incomplete","Complete")</f>
        <v>Complete</v>
      </c>
      <c r="I14700" s="48" t="s">
        <v>19065</v>
      </c>
    </row>
    <row r="14701" spans="2:9" ht="15" customHeight="1" x14ac:dyDescent="0.25">
      <c r="B14701" s="55" t="s">
        <v>281</v>
      </c>
      <c r="C14701" s="46">
        <v>4689</v>
      </c>
      <c r="D14701" s="69" t="s">
        <v>29418</v>
      </c>
      <c r="E14701" s="51"/>
      <c r="F14701" s="114" t="str">
        <f>IF(INDEX(I.Facility.P2bIDNumber,4689)="","",INDEX(I.Facility.P2bIDNumber,4689))</f>
        <v/>
      </c>
      <c r="G14701" s="51"/>
      <c r="H14701" s="46" t="str">
        <f>IF(AND(I.Developer.P2b=TRUE,I.Facility.P2bFacilityCount&gt;=4689,F14701=""),"Incomplete","Complete")</f>
        <v>Complete</v>
      </c>
      <c r="I14701" s="48" t="s">
        <v>19066</v>
      </c>
    </row>
    <row r="14702" spans="2:9" ht="15" customHeight="1" x14ac:dyDescent="0.25">
      <c r="B14702" s="55" t="s">
        <v>281</v>
      </c>
      <c r="C14702" s="46">
        <v>4690</v>
      </c>
      <c r="D14702" s="69" t="s">
        <v>29418</v>
      </c>
      <c r="E14702" s="51"/>
      <c r="F14702" s="114" t="str">
        <f>IF(INDEX(I.Facility.P2bIDNumber,4690)="","",INDEX(I.Facility.P2bIDNumber,4690))</f>
        <v/>
      </c>
      <c r="G14702" s="51"/>
      <c r="H14702" s="46" t="str">
        <f>IF(AND(I.Developer.P2b=TRUE,I.Facility.P2bFacilityCount&gt;=4690,F14702=""),"Incomplete","Complete")</f>
        <v>Complete</v>
      </c>
      <c r="I14702" s="48" t="s">
        <v>19067</v>
      </c>
    </row>
    <row r="14703" spans="2:9" ht="15" customHeight="1" x14ac:dyDescent="0.25">
      <c r="B14703" s="55" t="s">
        <v>281</v>
      </c>
      <c r="C14703" s="46">
        <v>4691</v>
      </c>
      <c r="D14703" s="69" t="s">
        <v>29418</v>
      </c>
      <c r="E14703" s="51"/>
      <c r="F14703" s="114" t="str">
        <f>IF(INDEX(I.Facility.P2bIDNumber,4691)="","",INDEX(I.Facility.P2bIDNumber,4691))</f>
        <v/>
      </c>
      <c r="G14703" s="51"/>
      <c r="H14703" s="46" t="str">
        <f>IF(AND(I.Developer.P2b=TRUE,I.Facility.P2bFacilityCount&gt;=4691,F14703=""),"Incomplete","Complete")</f>
        <v>Complete</v>
      </c>
      <c r="I14703" s="48" t="s">
        <v>19068</v>
      </c>
    </row>
    <row r="14704" spans="2:9" ht="15" customHeight="1" x14ac:dyDescent="0.25">
      <c r="B14704" s="55" t="s">
        <v>281</v>
      </c>
      <c r="C14704" s="46">
        <v>4692</v>
      </c>
      <c r="D14704" s="69" t="s">
        <v>29418</v>
      </c>
      <c r="E14704" s="51"/>
      <c r="F14704" s="114" t="str">
        <f>IF(INDEX(I.Facility.P2bIDNumber,4692)="","",INDEX(I.Facility.P2bIDNumber,4692))</f>
        <v/>
      </c>
      <c r="G14704" s="51"/>
      <c r="H14704" s="46" t="str">
        <f>IF(AND(I.Developer.P2b=TRUE,I.Facility.P2bFacilityCount&gt;=4692,F14704=""),"Incomplete","Complete")</f>
        <v>Complete</v>
      </c>
      <c r="I14704" s="48" t="s">
        <v>19069</v>
      </c>
    </row>
    <row r="14705" spans="2:9" ht="15" customHeight="1" x14ac:dyDescent="0.25">
      <c r="B14705" s="55" t="s">
        <v>281</v>
      </c>
      <c r="C14705" s="46">
        <v>4693</v>
      </c>
      <c r="D14705" s="69" t="s">
        <v>29418</v>
      </c>
      <c r="E14705" s="51"/>
      <c r="F14705" s="114" t="str">
        <f>IF(INDEX(I.Facility.P2bIDNumber,4693)="","",INDEX(I.Facility.P2bIDNumber,4693))</f>
        <v/>
      </c>
      <c r="G14705" s="51"/>
      <c r="H14705" s="46" t="str">
        <f>IF(AND(I.Developer.P2b=TRUE,I.Facility.P2bFacilityCount&gt;=4693,F14705=""),"Incomplete","Complete")</f>
        <v>Complete</v>
      </c>
      <c r="I14705" s="48" t="s">
        <v>19070</v>
      </c>
    </row>
    <row r="14706" spans="2:9" ht="15" customHeight="1" x14ac:dyDescent="0.25">
      <c r="B14706" s="55" t="s">
        <v>281</v>
      </c>
      <c r="C14706" s="46">
        <v>4694</v>
      </c>
      <c r="D14706" s="69" t="s">
        <v>29418</v>
      </c>
      <c r="E14706" s="51"/>
      <c r="F14706" s="114" t="str">
        <f>IF(INDEX(I.Facility.P2bIDNumber,4694)="","",INDEX(I.Facility.P2bIDNumber,4694))</f>
        <v/>
      </c>
      <c r="G14706" s="51"/>
      <c r="H14706" s="46" t="str">
        <f>IF(AND(I.Developer.P2b=TRUE,I.Facility.P2bFacilityCount&gt;=4694,F14706=""),"Incomplete","Complete")</f>
        <v>Complete</v>
      </c>
      <c r="I14706" s="48" t="s">
        <v>19071</v>
      </c>
    </row>
    <row r="14707" spans="2:9" ht="15" customHeight="1" x14ac:dyDescent="0.25">
      <c r="B14707" s="55" t="s">
        <v>281</v>
      </c>
      <c r="C14707" s="46">
        <v>4695</v>
      </c>
      <c r="D14707" s="69" t="s">
        <v>29418</v>
      </c>
      <c r="E14707" s="51"/>
      <c r="F14707" s="114" t="str">
        <f>IF(INDEX(I.Facility.P2bIDNumber,4695)="","",INDEX(I.Facility.P2bIDNumber,4695))</f>
        <v/>
      </c>
      <c r="G14707" s="51"/>
      <c r="H14707" s="46" t="str">
        <f>IF(AND(I.Developer.P2b=TRUE,I.Facility.P2bFacilityCount&gt;=4695,F14707=""),"Incomplete","Complete")</f>
        <v>Complete</v>
      </c>
      <c r="I14707" s="48" t="s">
        <v>19072</v>
      </c>
    </row>
    <row r="14708" spans="2:9" ht="15" customHeight="1" x14ac:dyDescent="0.25">
      <c r="B14708" s="55" t="s">
        <v>281</v>
      </c>
      <c r="C14708" s="46">
        <v>4696</v>
      </c>
      <c r="D14708" s="69" t="s">
        <v>29418</v>
      </c>
      <c r="E14708" s="51"/>
      <c r="F14708" s="114" t="str">
        <f>IF(INDEX(I.Facility.P2bIDNumber,4696)="","",INDEX(I.Facility.P2bIDNumber,4696))</f>
        <v/>
      </c>
      <c r="G14708" s="51"/>
      <c r="H14708" s="46" t="str">
        <f>IF(AND(I.Developer.P2b=TRUE,I.Facility.P2bFacilityCount&gt;=4696,F14708=""),"Incomplete","Complete")</f>
        <v>Complete</v>
      </c>
      <c r="I14708" s="48" t="s">
        <v>19073</v>
      </c>
    </row>
    <row r="14709" spans="2:9" ht="15" customHeight="1" x14ac:dyDescent="0.25">
      <c r="B14709" s="55" t="s">
        <v>281</v>
      </c>
      <c r="C14709" s="46">
        <v>4697</v>
      </c>
      <c r="D14709" s="69" t="s">
        <v>29418</v>
      </c>
      <c r="E14709" s="51"/>
      <c r="F14709" s="114" t="str">
        <f>IF(INDEX(I.Facility.P2bIDNumber,4697)="","",INDEX(I.Facility.P2bIDNumber,4697))</f>
        <v/>
      </c>
      <c r="G14709" s="51"/>
      <c r="H14709" s="46" t="str">
        <f>IF(AND(I.Developer.P2b=TRUE,I.Facility.P2bFacilityCount&gt;=4697,F14709=""),"Incomplete","Complete")</f>
        <v>Complete</v>
      </c>
      <c r="I14709" s="48" t="s">
        <v>19074</v>
      </c>
    </row>
    <row r="14710" spans="2:9" ht="15" customHeight="1" x14ac:dyDescent="0.25">
      <c r="B14710" s="55" t="s">
        <v>281</v>
      </c>
      <c r="C14710" s="46">
        <v>4698</v>
      </c>
      <c r="D14710" s="69" t="s">
        <v>29418</v>
      </c>
      <c r="E14710" s="51"/>
      <c r="F14710" s="114" t="str">
        <f>IF(INDEX(I.Facility.P2bIDNumber,4698)="","",INDEX(I.Facility.P2bIDNumber,4698))</f>
        <v/>
      </c>
      <c r="G14710" s="51"/>
      <c r="H14710" s="46" t="str">
        <f>IF(AND(I.Developer.P2b=TRUE,I.Facility.P2bFacilityCount&gt;=4698,F14710=""),"Incomplete","Complete")</f>
        <v>Complete</v>
      </c>
      <c r="I14710" s="48" t="s">
        <v>19075</v>
      </c>
    </row>
    <row r="14711" spans="2:9" ht="15" customHeight="1" x14ac:dyDescent="0.25">
      <c r="B14711" s="55" t="s">
        <v>281</v>
      </c>
      <c r="C14711" s="46">
        <v>4699</v>
      </c>
      <c r="D14711" s="69" t="s">
        <v>29418</v>
      </c>
      <c r="E14711" s="51"/>
      <c r="F14711" s="114" t="str">
        <f>IF(INDEX(I.Facility.P2bIDNumber,4699)="","",INDEX(I.Facility.P2bIDNumber,4699))</f>
        <v/>
      </c>
      <c r="G14711" s="51"/>
      <c r="H14711" s="46" t="str">
        <f>IF(AND(I.Developer.P2b=TRUE,I.Facility.P2bFacilityCount&gt;=4699,F14711=""),"Incomplete","Complete")</f>
        <v>Complete</v>
      </c>
      <c r="I14711" s="48" t="s">
        <v>19076</v>
      </c>
    </row>
    <row r="14712" spans="2:9" ht="15" customHeight="1" x14ac:dyDescent="0.25">
      <c r="B14712" s="55" t="s">
        <v>281</v>
      </c>
      <c r="C14712" s="46">
        <v>4700</v>
      </c>
      <c r="D14712" s="69" t="s">
        <v>29418</v>
      </c>
      <c r="E14712" s="51"/>
      <c r="F14712" s="114" t="str">
        <f>IF(INDEX(I.Facility.P2bIDNumber,4700)="","",INDEX(I.Facility.P2bIDNumber,4700))</f>
        <v/>
      </c>
      <c r="G14712" s="51"/>
      <c r="H14712" s="46" t="str">
        <f>IF(AND(I.Developer.P2b=TRUE,I.Facility.P2bFacilityCount&gt;=4700,F14712=""),"Incomplete","Complete")</f>
        <v>Complete</v>
      </c>
      <c r="I14712" s="48" t="s">
        <v>19077</v>
      </c>
    </row>
    <row r="14713" spans="2:9" ht="15" customHeight="1" x14ac:dyDescent="0.25">
      <c r="B14713" s="55" t="s">
        <v>281</v>
      </c>
      <c r="C14713" s="46">
        <v>4701</v>
      </c>
      <c r="D14713" s="69" t="s">
        <v>29418</v>
      </c>
      <c r="E14713" s="51"/>
      <c r="F14713" s="114" t="str">
        <f>IF(INDEX(I.Facility.P2bIDNumber,4701)="","",INDEX(I.Facility.P2bIDNumber,4701))</f>
        <v/>
      </c>
      <c r="G14713" s="51"/>
      <c r="H14713" s="46" t="str">
        <f>IF(AND(I.Developer.P2b=TRUE,I.Facility.P2bFacilityCount&gt;=4701,F14713=""),"Incomplete","Complete")</f>
        <v>Complete</v>
      </c>
      <c r="I14713" s="48" t="s">
        <v>19078</v>
      </c>
    </row>
    <row r="14714" spans="2:9" ht="15" customHeight="1" x14ac:dyDescent="0.25">
      <c r="B14714" s="55" t="s">
        <v>281</v>
      </c>
      <c r="C14714" s="46">
        <v>4702</v>
      </c>
      <c r="D14714" s="69" t="s">
        <v>29418</v>
      </c>
      <c r="E14714" s="51"/>
      <c r="F14714" s="114" t="str">
        <f>IF(INDEX(I.Facility.P2bIDNumber,4702)="","",INDEX(I.Facility.P2bIDNumber,4702))</f>
        <v/>
      </c>
      <c r="G14714" s="51"/>
      <c r="H14714" s="46" t="str">
        <f>IF(AND(I.Developer.P2b=TRUE,I.Facility.P2bFacilityCount&gt;=4702,F14714=""),"Incomplete","Complete")</f>
        <v>Complete</v>
      </c>
      <c r="I14714" s="48" t="s">
        <v>19079</v>
      </c>
    </row>
    <row r="14715" spans="2:9" ht="15" customHeight="1" x14ac:dyDescent="0.25">
      <c r="B14715" s="55" t="s">
        <v>281</v>
      </c>
      <c r="C14715" s="46">
        <v>4703</v>
      </c>
      <c r="D14715" s="69" t="s">
        <v>29418</v>
      </c>
      <c r="E14715" s="51"/>
      <c r="F14715" s="114" t="str">
        <f>IF(INDEX(I.Facility.P2bIDNumber,4703)="","",INDEX(I.Facility.P2bIDNumber,4703))</f>
        <v/>
      </c>
      <c r="G14715" s="51"/>
      <c r="H14715" s="46" t="str">
        <f>IF(AND(I.Developer.P2b=TRUE,I.Facility.P2bFacilityCount&gt;=4703,F14715=""),"Incomplete","Complete")</f>
        <v>Complete</v>
      </c>
      <c r="I14715" s="48" t="s">
        <v>19080</v>
      </c>
    </row>
    <row r="14716" spans="2:9" ht="15" customHeight="1" x14ac:dyDescent="0.25">
      <c r="B14716" s="55" t="s">
        <v>281</v>
      </c>
      <c r="C14716" s="46">
        <v>4704</v>
      </c>
      <c r="D14716" s="69" t="s">
        <v>29418</v>
      </c>
      <c r="E14716" s="51"/>
      <c r="F14716" s="114" t="str">
        <f>IF(INDEX(I.Facility.P2bIDNumber,4704)="","",INDEX(I.Facility.P2bIDNumber,4704))</f>
        <v/>
      </c>
      <c r="G14716" s="51"/>
      <c r="H14716" s="46" t="str">
        <f>IF(AND(I.Developer.P2b=TRUE,I.Facility.P2bFacilityCount&gt;=4704,F14716=""),"Incomplete","Complete")</f>
        <v>Complete</v>
      </c>
      <c r="I14716" s="48" t="s">
        <v>19081</v>
      </c>
    </row>
    <row r="14717" spans="2:9" ht="15" customHeight="1" x14ac:dyDescent="0.25">
      <c r="B14717" s="55" t="s">
        <v>281</v>
      </c>
      <c r="C14717" s="46">
        <v>4705</v>
      </c>
      <c r="D14717" s="69" t="s">
        <v>29418</v>
      </c>
      <c r="E14717" s="51"/>
      <c r="F14717" s="114" t="str">
        <f>IF(INDEX(I.Facility.P2bIDNumber,4705)="","",INDEX(I.Facility.P2bIDNumber,4705))</f>
        <v/>
      </c>
      <c r="G14717" s="51"/>
      <c r="H14717" s="46" t="str">
        <f>IF(AND(I.Developer.P2b=TRUE,I.Facility.P2bFacilityCount&gt;=4705,F14717=""),"Incomplete","Complete")</f>
        <v>Complete</v>
      </c>
      <c r="I14717" s="48" t="s">
        <v>19082</v>
      </c>
    </row>
    <row r="14718" spans="2:9" ht="15" customHeight="1" x14ac:dyDescent="0.25">
      <c r="B14718" s="55" t="s">
        <v>281</v>
      </c>
      <c r="C14718" s="46">
        <v>4706</v>
      </c>
      <c r="D14718" s="69" t="s">
        <v>29418</v>
      </c>
      <c r="E14718" s="51"/>
      <c r="F14718" s="114" t="str">
        <f>IF(INDEX(I.Facility.P2bIDNumber,4706)="","",INDEX(I.Facility.P2bIDNumber,4706))</f>
        <v/>
      </c>
      <c r="G14718" s="51"/>
      <c r="H14718" s="46" t="str">
        <f>IF(AND(I.Developer.P2b=TRUE,I.Facility.P2bFacilityCount&gt;=4706,F14718=""),"Incomplete","Complete")</f>
        <v>Complete</v>
      </c>
      <c r="I14718" s="48" t="s">
        <v>19083</v>
      </c>
    </row>
    <row r="14719" spans="2:9" ht="15" customHeight="1" x14ac:dyDescent="0.25">
      <c r="B14719" s="55" t="s">
        <v>281</v>
      </c>
      <c r="C14719" s="46">
        <v>4707</v>
      </c>
      <c r="D14719" s="69" t="s">
        <v>29418</v>
      </c>
      <c r="E14719" s="51"/>
      <c r="F14719" s="114" t="str">
        <f>IF(INDEX(I.Facility.P2bIDNumber,4707)="","",INDEX(I.Facility.P2bIDNumber,4707))</f>
        <v/>
      </c>
      <c r="G14719" s="51"/>
      <c r="H14719" s="46" t="str">
        <f>IF(AND(I.Developer.P2b=TRUE,I.Facility.P2bFacilityCount&gt;=4707,F14719=""),"Incomplete","Complete")</f>
        <v>Complete</v>
      </c>
      <c r="I14719" s="48" t="s">
        <v>19084</v>
      </c>
    </row>
    <row r="14720" spans="2:9" ht="15" customHeight="1" x14ac:dyDescent="0.25">
      <c r="B14720" s="55" t="s">
        <v>281</v>
      </c>
      <c r="C14720" s="46">
        <v>4708</v>
      </c>
      <c r="D14720" s="69" t="s">
        <v>29418</v>
      </c>
      <c r="E14720" s="51"/>
      <c r="F14720" s="114" t="str">
        <f>IF(INDEX(I.Facility.P2bIDNumber,4708)="","",INDEX(I.Facility.P2bIDNumber,4708))</f>
        <v/>
      </c>
      <c r="G14720" s="51"/>
      <c r="H14720" s="46" t="str">
        <f>IF(AND(I.Developer.P2b=TRUE,I.Facility.P2bFacilityCount&gt;=4708,F14720=""),"Incomplete","Complete")</f>
        <v>Complete</v>
      </c>
      <c r="I14720" s="48" t="s">
        <v>19085</v>
      </c>
    </row>
    <row r="14721" spans="2:9" ht="15" customHeight="1" x14ac:dyDescent="0.25">
      <c r="B14721" s="55" t="s">
        <v>281</v>
      </c>
      <c r="C14721" s="46">
        <v>4709</v>
      </c>
      <c r="D14721" s="69" t="s">
        <v>29418</v>
      </c>
      <c r="E14721" s="51"/>
      <c r="F14721" s="114" t="str">
        <f>IF(INDEX(I.Facility.P2bIDNumber,4709)="","",INDEX(I.Facility.P2bIDNumber,4709))</f>
        <v/>
      </c>
      <c r="G14721" s="51"/>
      <c r="H14721" s="46" t="str">
        <f>IF(AND(I.Developer.P2b=TRUE,I.Facility.P2bFacilityCount&gt;=4709,F14721=""),"Incomplete","Complete")</f>
        <v>Complete</v>
      </c>
      <c r="I14721" s="48" t="s">
        <v>19086</v>
      </c>
    </row>
    <row r="14722" spans="2:9" ht="15" customHeight="1" x14ac:dyDescent="0.25">
      <c r="B14722" s="55" t="s">
        <v>281</v>
      </c>
      <c r="C14722" s="46">
        <v>4710</v>
      </c>
      <c r="D14722" s="69" t="s">
        <v>29418</v>
      </c>
      <c r="E14722" s="51"/>
      <c r="F14722" s="114" t="str">
        <f>IF(INDEX(I.Facility.P2bIDNumber,4710)="","",INDEX(I.Facility.P2bIDNumber,4710))</f>
        <v/>
      </c>
      <c r="G14722" s="51"/>
      <c r="H14722" s="46" t="str">
        <f>IF(AND(I.Developer.P2b=TRUE,I.Facility.P2bFacilityCount&gt;=4710,F14722=""),"Incomplete","Complete")</f>
        <v>Complete</v>
      </c>
      <c r="I14722" s="48" t="s">
        <v>19087</v>
      </c>
    </row>
    <row r="14723" spans="2:9" ht="15" customHeight="1" x14ac:dyDescent="0.25">
      <c r="B14723" s="55" t="s">
        <v>281</v>
      </c>
      <c r="C14723" s="46">
        <v>4711</v>
      </c>
      <c r="D14723" s="69" t="s">
        <v>29418</v>
      </c>
      <c r="E14723" s="51"/>
      <c r="F14723" s="114" t="str">
        <f>IF(INDEX(I.Facility.P2bIDNumber,4711)="","",INDEX(I.Facility.P2bIDNumber,4711))</f>
        <v/>
      </c>
      <c r="G14723" s="51"/>
      <c r="H14723" s="46" t="str">
        <f>IF(AND(I.Developer.P2b=TRUE,I.Facility.P2bFacilityCount&gt;=4711,F14723=""),"Incomplete","Complete")</f>
        <v>Complete</v>
      </c>
      <c r="I14723" s="48" t="s">
        <v>19088</v>
      </c>
    </row>
    <row r="14724" spans="2:9" ht="15" customHeight="1" x14ac:dyDescent="0.25">
      <c r="B14724" s="55" t="s">
        <v>281</v>
      </c>
      <c r="C14724" s="46">
        <v>4712</v>
      </c>
      <c r="D14724" s="69" t="s">
        <v>29418</v>
      </c>
      <c r="E14724" s="51"/>
      <c r="F14724" s="114" t="str">
        <f>IF(INDEX(I.Facility.P2bIDNumber,4712)="","",INDEX(I.Facility.P2bIDNumber,4712))</f>
        <v/>
      </c>
      <c r="G14724" s="51"/>
      <c r="H14724" s="46" t="str">
        <f>IF(AND(I.Developer.P2b=TRUE,I.Facility.P2bFacilityCount&gt;=4712,F14724=""),"Incomplete","Complete")</f>
        <v>Complete</v>
      </c>
      <c r="I14724" s="48" t="s">
        <v>19089</v>
      </c>
    </row>
    <row r="14725" spans="2:9" ht="15" customHeight="1" x14ac:dyDescent="0.25">
      <c r="B14725" s="55" t="s">
        <v>281</v>
      </c>
      <c r="C14725" s="46">
        <v>4713</v>
      </c>
      <c r="D14725" s="69" t="s">
        <v>29418</v>
      </c>
      <c r="E14725" s="51"/>
      <c r="F14725" s="114" t="str">
        <f>IF(INDEX(I.Facility.P2bIDNumber,4713)="","",INDEX(I.Facility.P2bIDNumber,4713))</f>
        <v/>
      </c>
      <c r="G14725" s="51"/>
      <c r="H14725" s="46" t="str">
        <f>IF(AND(I.Developer.P2b=TRUE,I.Facility.P2bFacilityCount&gt;=4713,F14725=""),"Incomplete","Complete")</f>
        <v>Complete</v>
      </c>
      <c r="I14725" s="48" t="s">
        <v>19090</v>
      </c>
    </row>
    <row r="14726" spans="2:9" ht="15" customHeight="1" x14ac:dyDescent="0.25">
      <c r="B14726" s="55" t="s">
        <v>281</v>
      </c>
      <c r="C14726" s="46">
        <v>4714</v>
      </c>
      <c r="D14726" s="69" t="s">
        <v>29418</v>
      </c>
      <c r="E14726" s="51"/>
      <c r="F14726" s="114" t="str">
        <f>IF(INDEX(I.Facility.P2bIDNumber,4714)="","",INDEX(I.Facility.P2bIDNumber,4714))</f>
        <v/>
      </c>
      <c r="G14726" s="51"/>
      <c r="H14726" s="46" t="str">
        <f>IF(AND(I.Developer.P2b=TRUE,I.Facility.P2bFacilityCount&gt;=4714,F14726=""),"Incomplete","Complete")</f>
        <v>Complete</v>
      </c>
      <c r="I14726" s="48" t="s">
        <v>19091</v>
      </c>
    </row>
    <row r="14727" spans="2:9" ht="15" customHeight="1" x14ac:dyDescent="0.25">
      <c r="B14727" s="55" t="s">
        <v>281</v>
      </c>
      <c r="C14727" s="46">
        <v>4715</v>
      </c>
      <c r="D14727" s="69" t="s">
        <v>29418</v>
      </c>
      <c r="E14727" s="51"/>
      <c r="F14727" s="114" t="str">
        <f>IF(INDEX(I.Facility.P2bIDNumber,4715)="","",INDEX(I.Facility.P2bIDNumber,4715))</f>
        <v/>
      </c>
      <c r="G14727" s="51"/>
      <c r="H14727" s="46" t="str">
        <f>IF(AND(I.Developer.P2b=TRUE,I.Facility.P2bFacilityCount&gt;=4715,F14727=""),"Incomplete","Complete")</f>
        <v>Complete</v>
      </c>
      <c r="I14727" s="48" t="s">
        <v>19092</v>
      </c>
    </row>
    <row r="14728" spans="2:9" ht="15" customHeight="1" x14ac:dyDescent="0.25">
      <c r="B14728" s="55" t="s">
        <v>281</v>
      </c>
      <c r="C14728" s="46">
        <v>4716</v>
      </c>
      <c r="D14728" s="69" t="s">
        <v>29418</v>
      </c>
      <c r="E14728" s="51"/>
      <c r="F14728" s="114" t="str">
        <f>IF(INDEX(I.Facility.P2bIDNumber,4716)="","",INDEX(I.Facility.P2bIDNumber,4716))</f>
        <v/>
      </c>
      <c r="G14728" s="51"/>
      <c r="H14728" s="46" t="str">
        <f>IF(AND(I.Developer.P2b=TRUE,I.Facility.P2bFacilityCount&gt;=4716,F14728=""),"Incomplete","Complete")</f>
        <v>Complete</v>
      </c>
      <c r="I14728" s="48" t="s">
        <v>19093</v>
      </c>
    </row>
    <row r="14729" spans="2:9" ht="15" customHeight="1" x14ac:dyDescent="0.25">
      <c r="B14729" s="55" t="s">
        <v>281</v>
      </c>
      <c r="C14729" s="46">
        <v>4717</v>
      </c>
      <c r="D14729" s="69" t="s">
        <v>29418</v>
      </c>
      <c r="E14729" s="51"/>
      <c r="F14729" s="114" t="str">
        <f>IF(INDEX(I.Facility.P2bIDNumber,4717)="","",INDEX(I.Facility.P2bIDNumber,4717))</f>
        <v/>
      </c>
      <c r="G14729" s="51"/>
      <c r="H14729" s="46" t="str">
        <f>IF(AND(I.Developer.P2b=TRUE,I.Facility.P2bFacilityCount&gt;=4717,F14729=""),"Incomplete","Complete")</f>
        <v>Complete</v>
      </c>
      <c r="I14729" s="48" t="s">
        <v>19094</v>
      </c>
    </row>
    <row r="14730" spans="2:9" ht="15" customHeight="1" x14ac:dyDescent="0.25">
      <c r="B14730" s="55" t="s">
        <v>281</v>
      </c>
      <c r="C14730" s="46">
        <v>4718</v>
      </c>
      <c r="D14730" s="69" t="s">
        <v>29418</v>
      </c>
      <c r="E14730" s="51"/>
      <c r="F14730" s="114" t="str">
        <f>IF(INDEX(I.Facility.P2bIDNumber,4718)="","",INDEX(I.Facility.P2bIDNumber,4718))</f>
        <v/>
      </c>
      <c r="G14730" s="51"/>
      <c r="H14730" s="46" t="str">
        <f>IF(AND(I.Developer.P2b=TRUE,I.Facility.P2bFacilityCount&gt;=4718,F14730=""),"Incomplete","Complete")</f>
        <v>Complete</v>
      </c>
      <c r="I14730" s="48" t="s">
        <v>19095</v>
      </c>
    </row>
    <row r="14731" spans="2:9" ht="15" customHeight="1" x14ac:dyDescent="0.25">
      <c r="B14731" s="55" t="s">
        <v>281</v>
      </c>
      <c r="C14731" s="46">
        <v>4719</v>
      </c>
      <c r="D14731" s="69" t="s">
        <v>29418</v>
      </c>
      <c r="E14731" s="51"/>
      <c r="F14731" s="114" t="str">
        <f>IF(INDEX(I.Facility.P2bIDNumber,4719)="","",INDEX(I.Facility.P2bIDNumber,4719))</f>
        <v/>
      </c>
      <c r="G14731" s="51"/>
      <c r="H14731" s="46" t="str">
        <f>IF(AND(I.Developer.P2b=TRUE,I.Facility.P2bFacilityCount&gt;=4719,F14731=""),"Incomplete","Complete")</f>
        <v>Complete</v>
      </c>
      <c r="I14731" s="48" t="s">
        <v>19096</v>
      </c>
    </row>
    <row r="14732" spans="2:9" ht="15" customHeight="1" x14ac:dyDescent="0.25">
      <c r="B14732" s="55" t="s">
        <v>281</v>
      </c>
      <c r="C14732" s="46">
        <v>4720</v>
      </c>
      <c r="D14732" s="69" t="s">
        <v>29418</v>
      </c>
      <c r="E14732" s="51"/>
      <c r="F14732" s="114" t="str">
        <f>IF(INDEX(I.Facility.P2bIDNumber,4720)="","",INDEX(I.Facility.P2bIDNumber,4720))</f>
        <v/>
      </c>
      <c r="G14732" s="51"/>
      <c r="H14732" s="46" t="str">
        <f>IF(AND(I.Developer.P2b=TRUE,I.Facility.P2bFacilityCount&gt;=4720,F14732=""),"Incomplete","Complete")</f>
        <v>Complete</v>
      </c>
      <c r="I14732" s="48" t="s">
        <v>19097</v>
      </c>
    </row>
    <row r="14733" spans="2:9" ht="15" customHeight="1" x14ac:dyDescent="0.25">
      <c r="B14733" s="55" t="s">
        <v>281</v>
      </c>
      <c r="C14733" s="46">
        <v>4721</v>
      </c>
      <c r="D14733" s="69" t="s">
        <v>29418</v>
      </c>
      <c r="E14733" s="51"/>
      <c r="F14733" s="114" t="str">
        <f>IF(INDEX(I.Facility.P2bIDNumber,4721)="","",INDEX(I.Facility.P2bIDNumber,4721))</f>
        <v/>
      </c>
      <c r="G14733" s="51"/>
      <c r="H14733" s="46" t="str">
        <f>IF(AND(I.Developer.P2b=TRUE,I.Facility.P2bFacilityCount&gt;=4721,F14733=""),"Incomplete","Complete")</f>
        <v>Complete</v>
      </c>
      <c r="I14733" s="48" t="s">
        <v>19098</v>
      </c>
    </row>
    <row r="14734" spans="2:9" ht="15" customHeight="1" x14ac:dyDescent="0.25">
      <c r="B14734" s="55" t="s">
        <v>281</v>
      </c>
      <c r="C14734" s="46">
        <v>4722</v>
      </c>
      <c r="D14734" s="69" t="s">
        <v>29418</v>
      </c>
      <c r="E14734" s="51"/>
      <c r="F14734" s="114" t="str">
        <f>IF(INDEX(I.Facility.P2bIDNumber,4722)="","",INDEX(I.Facility.P2bIDNumber,4722))</f>
        <v/>
      </c>
      <c r="G14734" s="51"/>
      <c r="H14734" s="46" t="str">
        <f>IF(AND(I.Developer.P2b=TRUE,I.Facility.P2bFacilityCount&gt;=4722,F14734=""),"Incomplete","Complete")</f>
        <v>Complete</v>
      </c>
      <c r="I14734" s="48" t="s">
        <v>19099</v>
      </c>
    </row>
    <row r="14735" spans="2:9" ht="15" customHeight="1" x14ac:dyDescent="0.25">
      <c r="B14735" s="55" t="s">
        <v>281</v>
      </c>
      <c r="C14735" s="46">
        <v>4723</v>
      </c>
      <c r="D14735" s="69" t="s">
        <v>29418</v>
      </c>
      <c r="E14735" s="51"/>
      <c r="F14735" s="114" t="str">
        <f>IF(INDEX(I.Facility.P2bIDNumber,4723)="","",INDEX(I.Facility.P2bIDNumber,4723))</f>
        <v/>
      </c>
      <c r="G14735" s="51"/>
      <c r="H14735" s="46" t="str">
        <f>IF(AND(I.Developer.P2b=TRUE,I.Facility.P2bFacilityCount&gt;=4723,F14735=""),"Incomplete","Complete")</f>
        <v>Complete</v>
      </c>
      <c r="I14735" s="48" t="s">
        <v>19100</v>
      </c>
    </row>
    <row r="14736" spans="2:9" ht="15" customHeight="1" x14ac:dyDescent="0.25">
      <c r="B14736" s="55" t="s">
        <v>281</v>
      </c>
      <c r="C14736" s="46">
        <v>4724</v>
      </c>
      <c r="D14736" s="69" t="s">
        <v>29418</v>
      </c>
      <c r="E14736" s="51"/>
      <c r="F14736" s="114" t="str">
        <f>IF(INDEX(I.Facility.P2bIDNumber,4724)="","",INDEX(I.Facility.P2bIDNumber,4724))</f>
        <v/>
      </c>
      <c r="G14736" s="51"/>
      <c r="H14736" s="46" t="str">
        <f>IF(AND(I.Developer.P2b=TRUE,I.Facility.P2bFacilityCount&gt;=4724,F14736=""),"Incomplete","Complete")</f>
        <v>Complete</v>
      </c>
      <c r="I14736" s="48" t="s">
        <v>19101</v>
      </c>
    </row>
    <row r="14737" spans="2:9" ht="15" customHeight="1" x14ac:dyDescent="0.25">
      <c r="B14737" s="55" t="s">
        <v>281</v>
      </c>
      <c r="C14737" s="46">
        <v>4725</v>
      </c>
      <c r="D14737" s="69" t="s">
        <v>29418</v>
      </c>
      <c r="E14737" s="51"/>
      <c r="F14737" s="114" t="str">
        <f>IF(INDEX(I.Facility.P2bIDNumber,4725)="","",INDEX(I.Facility.P2bIDNumber,4725))</f>
        <v/>
      </c>
      <c r="G14737" s="51"/>
      <c r="H14737" s="46" t="str">
        <f>IF(AND(I.Developer.P2b=TRUE,I.Facility.P2bFacilityCount&gt;=4725,F14737=""),"Incomplete","Complete")</f>
        <v>Complete</v>
      </c>
      <c r="I14737" s="48" t="s">
        <v>19102</v>
      </c>
    </row>
    <row r="14738" spans="2:9" ht="15" customHeight="1" x14ac:dyDescent="0.25">
      <c r="B14738" s="55" t="s">
        <v>281</v>
      </c>
      <c r="C14738" s="46">
        <v>4726</v>
      </c>
      <c r="D14738" s="69" t="s">
        <v>29418</v>
      </c>
      <c r="E14738" s="51"/>
      <c r="F14738" s="114" t="str">
        <f>IF(INDEX(I.Facility.P2bIDNumber,4726)="","",INDEX(I.Facility.P2bIDNumber,4726))</f>
        <v/>
      </c>
      <c r="G14738" s="51"/>
      <c r="H14738" s="46" t="str">
        <f>IF(AND(I.Developer.P2b=TRUE,I.Facility.P2bFacilityCount&gt;=4726,F14738=""),"Incomplete","Complete")</f>
        <v>Complete</v>
      </c>
      <c r="I14738" s="48" t="s">
        <v>19103</v>
      </c>
    </row>
    <row r="14739" spans="2:9" ht="15" customHeight="1" x14ac:dyDescent="0.25">
      <c r="B14739" s="55" t="s">
        <v>281</v>
      </c>
      <c r="C14739" s="46">
        <v>4727</v>
      </c>
      <c r="D14739" s="69" t="s">
        <v>29418</v>
      </c>
      <c r="E14739" s="51"/>
      <c r="F14739" s="114" t="str">
        <f>IF(INDEX(I.Facility.P2bIDNumber,4727)="","",INDEX(I.Facility.P2bIDNumber,4727))</f>
        <v/>
      </c>
      <c r="G14739" s="51"/>
      <c r="H14739" s="46" t="str">
        <f>IF(AND(I.Developer.P2b=TRUE,I.Facility.P2bFacilityCount&gt;=4727,F14739=""),"Incomplete","Complete")</f>
        <v>Complete</v>
      </c>
      <c r="I14739" s="48" t="s">
        <v>19104</v>
      </c>
    </row>
    <row r="14740" spans="2:9" ht="15" customHeight="1" x14ac:dyDescent="0.25">
      <c r="B14740" s="55" t="s">
        <v>281</v>
      </c>
      <c r="C14740" s="46">
        <v>4728</v>
      </c>
      <c r="D14740" s="69" t="s">
        <v>29418</v>
      </c>
      <c r="E14740" s="51"/>
      <c r="F14740" s="114" t="str">
        <f>IF(INDEX(I.Facility.P2bIDNumber,4728)="","",INDEX(I.Facility.P2bIDNumber,4728))</f>
        <v/>
      </c>
      <c r="G14740" s="51"/>
      <c r="H14740" s="46" t="str">
        <f>IF(AND(I.Developer.P2b=TRUE,I.Facility.P2bFacilityCount&gt;=4728,F14740=""),"Incomplete","Complete")</f>
        <v>Complete</v>
      </c>
      <c r="I14740" s="48" t="s">
        <v>19105</v>
      </c>
    </row>
    <row r="14741" spans="2:9" ht="15" customHeight="1" x14ac:dyDescent="0.25">
      <c r="B14741" s="55" t="s">
        <v>281</v>
      </c>
      <c r="C14741" s="46">
        <v>4729</v>
      </c>
      <c r="D14741" s="69" t="s">
        <v>29418</v>
      </c>
      <c r="E14741" s="51"/>
      <c r="F14741" s="114" t="str">
        <f>IF(INDEX(I.Facility.P2bIDNumber,4729)="","",INDEX(I.Facility.P2bIDNumber,4729))</f>
        <v/>
      </c>
      <c r="G14741" s="51"/>
      <c r="H14741" s="46" t="str">
        <f>IF(AND(I.Developer.P2b=TRUE,I.Facility.P2bFacilityCount&gt;=4729,F14741=""),"Incomplete","Complete")</f>
        <v>Complete</v>
      </c>
      <c r="I14741" s="48" t="s">
        <v>19106</v>
      </c>
    </row>
    <row r="14742" spans="2:9" ht="15" customHeight="1" x14ac:dyDescent="0.25">
      <c r="B14742" s="55" t="s">
        <v>281</v>
      </c>
      <c r="C14742" s="46">
        <v>4730</v>
      </c>
      <c r="D14742" s="69" t="s">
        <v>29418</v>
      </c>
      <c r="E14742" s="51"/>
      <c r="F14742" s="114" t="str">
        <f>IF(INDEX(I.Facility.P2bIDNumber,4730)="","",INDEX(I.Facility.P2bIDNumber,4730))</f>
        <v/>
      </c>
      <c r="G14742" s="51"/>
      <c r="H14742" s="46" t="str">
        <f>IF(AND(I.Developer.P2b=TRUE,I.Facility.P2bFacilityCount&gt;=4730,F14742=""),"Incomplete","Complete")</f>
        <v>Complete</v>
      </c>
      <c r="I14742" s="48" t="s">
        <v>19107</v>
      </c>
    </row>
    <row r="14743" spans="2:9" ht="15" customHeight="1" x14ac:dyDescent="0.25">
      <c r="B14743" s="55" t="s">
        <v>281</v>
      </c>
      <c r="C14743" s="46">
        <v>4731</v>
      </c>
      <c r="D14743" s="69" t="s">
        <v>29418</v>
      </c>
      <c r="E14743" s="51"/>
      <c r="F14743" s="114" t="str">
        <f>IF(INDEX(I.Facility.P2bIDNumber,4731)="","",INDEX(I.Facility.P2bIDNumber,4731))</f>
        <v/>
      </c>
      <c r="G14743" s="51"/>
      <c r="H14743" s="46" t="str">
        <f>IF(AND(I.Developer.P2b=TRUE,I.Facility.P2bFacilityCount&gt;=4731,F14743=""),"Incomplete","Complete")</f>
        <v>Complete</v>
      </c>
      <c r="I14743" s="48" t="s">
        <v>19108</v>
      </c>
    </row>
    <row r="14744" spans="2:9" ht="15" customHeight="1" x14ac:dyDescent="0.25">
      <c r="B14744" s="55" t="s">
        <v>281</v>
      </c>
      <c r="C14744" s="46">
        <v>4732</v>
      </c>
      <c r="D14744" s="69" t="s">
        <v>29418</v>
      </c>
      <c r="E14744" s="51"/>
      <c r="F14744" s="114" t="str">
        <f>IF(INDEX(I.Facility.P2bIDNumber,4732)="","",INDEX(I.Facility.P2bIDNumber,4732))</f>
        <v/>
      </c>
      <c r="G14744" s="51"/>
      <c r="H14744" s="46" t="str">
        <f>IF(AND(I.Developer.P2b=TRUE,I.Facility.P2bFacilityCount&gt;=4732,F14744=""),"Incomplete","Complete")</f>
        <v>Complete</v>
      </c>
      <c r="I14744" s="48" t="s">
        <v>19109</v>
      </c>
    </row>
    <row r="14745" spans="2:9" ht="15" customHeight="1" x14ac:dyDescent="0.25">
      <c r="B14745" s="55" t="s">
        <v>281</v>
      </c>
      <c r="C14745" s="46">
        <v>4733</v>
      </c>
      <c r="D14745" s="69" t="s">
        <v>29418</v>
      </c>
      <c r="E14745" s="51"/>
      <c r="F14745" s="114" t="str">
        <f>IF(INDEX(I.Facility.P2bIDNumber,4733)="","",INDEX(I.Facility.P2bIDNumber,4733))</f>
        <v/>
      </c>
      <c r="G14745" s="51"/>
      <c r="H14745" s="46" t="str">
        <f>IF(AND(I.Developer.P2b=TRUE,I.Facility.P2bFacilityCount&gt;=4733,F14745=""),"Incomplete","Complete")</f>
        <v>Complete</v>
      </c>
      <c r="I14745" s="48" t="s">
        <v>19110</v>
      </c>
    </row>
    <row r="14746" spans="2:9" ht="15" customHeight="1" x14ac:dyDescent="0.25">
      <c r="B14746" s="55" t="s">
        <v>281</v>
      </c>
      <c r="C14746" s="46">
        <v>4734</v>
      </c>
      <c r="D14746" s="69" t="s">
        <v>29418</v>
      </c>
      <c r="E14746" s="51"/>
      <c r="F14746" s="114" t="str">
        <f>IF(INDEX(I.Facility.P2bIDNumber,4734)="","",INDEX(I.Facility.P2bIDNumber,4734))</f>
        <v/>
      </c>
      <c r="G14746" s="51"/>
      <c r="H14746" s="46" t="str">
        <f>IF(AND(I.Developer.P2b=TRUE,I.Facility.P2bFacilityCount&gt;=4734,F14746=""),"Incomplete","Complete")</f>
        <v>Complete</v>
      </c>
      <c r="I14746" s="48" t="s">
        <v>19111</v>
      </c>
    </row>
    <row r="14747" spans="2:9" ht="15" customHeight="1" x14ac:dyDescent="0.25">
      <c r="B14747" s="55" t="s">
        <v>281</v>
      </c>
      <c r="C14747" s="46">
        <v>4735</v>
      </c>
      <c r="D14747" s="69" t="s">
        <v>29418</v>
      </c>
      <c r="E14747" s="51"/>
      <c r="F14747" s="114" t="str">
        <f>IF(INDEX(I.Facility.P2bIDNumber,4735)="","",INDEX(I.Facility.P2bIDNumber,4735))</f>
        <v/>
      </c>
      <c r="G14747" s="51"/>
      <c r="H14747" s="46" t="str">
        <f>IF(AND(I.Developer.P2b=TRUE,I.Facility.P2bFacilityCount&gt;=4735,F14747=""),"Incomplete","Complete")</f>
        <v>Complete</v>
      </c>
      <c r="I14747" s="48" t="s">
        <v>19112</v>
      </c>
    </row>
    <row r="14748" spans="2:9" ht="15" customHeight="1" x14ac:dyDescent="0.25">
      <c r="B14748" s="55" t="s">
        <v>281</v>
      </c>
      <c r="C14748" s="46">
        <v>4736</v>
      </c>
      <c r="D14748" s="69" t="s">
        <v>29418</v>
      </c>
      <c r="E14748" s="51"/>
      <c r="F14748" s="114" t="str">
        <f>IF(INDEX(I.Facility.P2bIDNumber,4736)="","",INDEX(I.Facility.P2bIDNumber,4736))</f>
        <v/>
      </c>
      <c r="G14748" s="51"/>
      <c r="H14748" s="46" t="str">
        <f>IF(AND(I.Developer.P2b=TRUE,I.Facility.P2bFacilityCount&gt;=4736,F14748=""),"Incomplete","Complete")</f>
        <v>Complete</v>
      </c>
      <c r="I14748" s="48" t="s">
        <v>19113</v>
      </c>
    </row>
    <row r="14749" spans="2:9" ht="15" customHeight="1" x14ac:dyDescent="0.25">
      <c r="B14749" s="55" t="s">
        <v>281</v>
      </c>
      <c r="C14749" s="46">
        <v>4737</v>
      </c>
      <c r="D14749" s="69" t="s">
        <v>29418</v>
      </c>
      <c r="E14749" s="51"/>
      <c r="F14749" s="114" t="str">
        <f>IF(INDEX(I.Facility.P2bIDNumber,4737)="","",INDEX(I.Facility.P2bIDNumber,4737))</f>
        <v/>
      </c>
      <c r="G14749" s="51"/>
      <c r="H14749" s="46" t="str">
        <f>IF(AND(I.Developer.P2b=TRUE,I.Facility.P2bFacilityCount&gt;=4737,F14749=""),"Incomplete","Complete")</f>
        <v>Complete</v>
      </c>
      <c r="I14749" s="48" t="s">
        <v>19114</v>
      </c>
    </row>
    <row r="14750" spans="2:9" ht="15" customHeight="1" x14ac:dyDescent="0.25">
      <c r="B14750" s="55" t="s">
        <v>281</v>
      </c>
      <c r="C14750" s="46">
        <v>4738</v>
      </c>
      <c r="D14750" s="69" t="s">
        <v>29418</v>
      </c>
      <c r="E14750" s="51"/>
      <c r="F14750" s="114" t="str">
        <f>IF(INDEX(I.Facility.P2bIDNumber,4738)="","",INDEX(I.Facility.P2bIDNumber,4738))</f>
        <v/>
      </c>
      <c r="G14750" s="51"/>
      <c r="H14750" s="46" t="str">
        <f>IF(AND(I.Developer.P2b=TRUE,I.Facility.P2bFacilityCount&gt;=4738,F14750=""),"Incomplete","Complete")</f>
        <v>Complete</v>
      </c>
      <c r="I14750" s="48" t="s">
        <v>19115</v>
      </c>
    </row>
    <row r="14751" spans="2:9" ht="15" customHeight="1" x14ac:dyDescent="0.25">
      <c r="B14751" s="55" t="s">
        <v>281</v>
      </c>
      <c r="C14751" s="46">
        <v>4739</v>
      </c>
      <c r="D14751" s="69" t="s">
        <v>29418</v>
      </c>
      <c r="E14751" s="51"/>
      <c r="F14751" s="114" t="str">
        <f>IF(INDEX(I.Facility.P2bIDNumber,4739)="","",INDEX(I.Facility.P2bIDNumber,4739))</f>
        <v/>
      </c>
      <c r="G14751" s="51"/>
      <c r="H14751" s="46" t="str">
        <f>IF(AND(I.Developer.P2b=TRUE,I.Facility.P2bFacilityCount&gt;=4739,F14751=""),"Incomplete","Complete")</f>
        <v>Complete</v>
      </c>
      <c r="I14751" s="48" t="s">
        <v>19116</v>
      </c>
    </row>
    <row r="14752" spans="2:9" ht="15" customHeight="1" x14ac:dyDescent="0.25">
      <c r="B14752" s="55" t="s">
        <v>281</v>
      </c>
      <c r="C14752" s="46">
        <v>4740</v>
      </c>
      <c r="D14752" s="69" t="s">
        <v>29418</v>
      </c>
      <c r="E14752" s="51"/>
      <c r="F14752" s="114" t="str">
        <f>IF(INDEX(I.Facility.P2bIDNumber,4740)="","",INDEX(I.Facility.P2bIDNumber,4740))</f>
        <v/>
      </c>
      <c r="G14752" s="51"/>
      <c r="H14752" s="46" t="str">
        <f>IF(AND(I.Developer.P2b=TRUE,I.Facility.P2bFacilityCount&gt;=4740,F14752=""),"Incomplete","Complete")</f>
        <v>Complete</v>
      </c>
      <c r="I14752" s="48" t="s">
        <v>19117</v>
      </c>
    </row>
    <row r="14753" spans="2:9" ht="15" customHeight="1" x14ac:dyDescent="0.25">
      <c r="B14753" s="55" t="s">
        <v>281</v>
      </c>
      <c r="C14753" s="46">
        <v>4741</v>
      </c>
      <c r="D14753" s="69" t="s">
        <v>29418</v>
      </c>
      <c r="E14753" s="51"/>
      <c r="F14753" s="114" t="str">
        <f>IF(INDEX(I.Facility.P2bIDNumber,4741)="","",INDEX(I.Facility.P2bIDNumber,4741))</f>
        <v/>
      </c>
      <c r="G14753" s="51"/>
      <c r="H14753" s="46" t="str">
        <f>IF(AND(I.Developer.P2b=TRUE,I.Facility.P2bFacilityCount&gt;=4741,F14753=""),"Incomplete","Complete")</f>
        <v>Complete</v>
      </c>
      <c r="I14753" s="48" t="s">
        <v>19118</v>
      </c>
    </row>
    <row r="14754" spans="2:9" ht="15" customHeight="1" x14ac:dyDescent="0.25">
      <c r="B14754" s="55" t="s">
        <v>281</v>
      </c>
      <c r="C14754" s="46">
        <v>4742</v>
      </c>
      <c r="D14754" s="69" t="s">
        <v>29418</v>
      </c>
      <c r="E14754" s="51"/>
      <c r="F14754" s="114" t="str">
        <f>IF(INDEX(I.Facility.P2bIDNumber,4742)="","",INDEX(I.Facility.P2bIDNumber,4742))</f>
        <v/>
      </c>
      <c r="G14754" s="51"/>
      <c r="H14754" s="46" t="str">
        <f>IF(AND(I.Developer.P2b=TRUE,I.Facility.P2bFacilityCount&gt;=4742,F14754=""),"Incomplete","Complete")</f>
        <v>Complete</v>
      </c>
      <c r="I14754" s="48" t="s">
        <v>19119</v>
      </c>
    </row>
    <row r="14755" spans="2:9" ht="15" customHeight="1" x14ac:dyDescent="0.25">
      <c r="B14755" s="55" t="s">
        <v>281</v>
      </c>
      <c r="C14755" s="46">
        <v>4743</v>
      </c>
      <c r="D14755" s="69" t="s">
        <v>29418</v>
      </c>
      <c r="E14755" s="51"/>
      <c r="F14755" s="114" t="str">
        <f>IF(INDEX(I.Facility.P2bIDNumber,4743)="","",INDEX(I.Facility.P2bIDNumber,4743))</f>
        <v/>
      </c>
      <c r="G14755" s="51"/>
      <c r="H14755" s="46" t="str">
        <f>IF(AND(I.Developer.P2b=TRUE,I.Facility.P2bFacilityCount&gt;=4743,F14755=""),"Incomplete","Complete")</f>
        <v>Complete</v>
      </c>
      <c r="I14755" s="48" t="s">
        <v>19120</v>
      </c>
    </row>
    <row r="14756" spans="2:9" ht="15" customHeight="1" x14ac:dyDescent="0.25">
      <c r="B14756" s="55" t="s">
        <v>281</v>
      </c>
      <c r="C14756" s="46">
        <v>4744</v>
      </c>
      <c r="D14756" s="69" t="s">
        <v>29418</v>
      </c>
      <c r="E14756" s="51"/>
      <c r="F14756" s="114" t="str">
        <f>IF(INDEX(I.Facility.P2bIDNumber,4744)="","",INDEX(I.Facility.P2bIDNumber,4744))</f>
        <v/>
      </c>
      <c r="G14756" s="51"/>
      <c r="H14756" s="46" t="str">
        <f>IF(AND(I.Developer.P2b=TRUE,I.Facility.P2bFacilityCount&gt;=4744,F14756=""),"Incomplete","Complete")</f>
        <v>Complete</v>
      </c>
      <c r="I14756" s="48" t="s">
        <v>19121</v>
      </c>
    </row>
    <row r="14757" spans="2:9" ht="15" customHeight="1" x14ac:dyDescent="0.25">
      <c r="B14757" s="55" t="s">
        <v>281</v>
      </c>
      <c r="C14757" s="46">
        <v>4745</v>
      </c>
      <c r="D14757" s="69" t="s">
        <v>29418</v>
      </c>
      <c r="E14757" s="51"/>
      <c r="F14757" s="114" t="str">
        <f>IF(INDEX(I.Facility.P2bIDNumber,4745)="","",INDEX(I.Facility.P2bIDNumber,4745))</f>
        <v/>
      </c>
      <c r="G14757" s="51"/>
      <c r="H14757" s="46" t="str">
        <f>IF(AND(I.Developer.P2b=TRUE,I.Facility.P2bFacilityCount&gt;=4745,F14757=""),"Incomplete","Complete")</f>
        <v>Complete</v>
      </c>
      <c r="I14757" s="48" t="s">
        <v>19122</v>
      </c>
    </row>
    <row r="14758" spans="2:9" ht="15" customHeight="1" x14ac:dyDescent="0.25">
      <c r="B14758" s="55" t="s">
        <v>281</v>
      </c>
      <c r="C14758" s="46">
        <v>4746</v>
      </c>
      <c r="D14758" s="69" t="s">
        <v>29418</v>
      </c>
      <c r="E14758" s="51"/>
      <c r="F14758" s="114" t="str">
        <f>IF(INDEX(I.Facility.P2bIDNumber,4746)="","",INDEX(I.Facility.P2bIDNumber,4746))</f>
        <v/>
      </c>
      <c r="G14758" s="51"/>
      <c r="H14758" s="46" t="str">
        <f>IF(AND(I.Developer.P2b=TRUE,I.Facility.P2bFacilityCount&gt;=4746,F14758=""),"Incomplete","Complete")</f>
        <v>Complete</v>
      </c>
      <c r="I14758" s="48" t="s">
        <v>19123</v>
      </c>
    </row>
    <row r="14759" spans="2:9" ht="15" customHeight="1" x14ac:dyDescent="0.25">
      <c r="B14759" s="55" t="s">
        <v>281</v>
      </c>
      <c r="C14759" s="46">
        <v>4747</v>
      </c>
      <c r="D14759" s="69" t="s">
        <v>29418</v>
      </c>
      <c r="E14759" s="51"/>
      <c r="F14759" s="114" t="str">
        <f>IF(INDEX(I.Facility.P2bIDNumber,4747)="","",INDEX(I.Facility.P2bIDNumber,4747))</f>
        <v/>
      </c>
      <c r="G14759" s="51"/>
      <c r="H14759" s="46" t="str">
        <f>IF(AND(I.Developer.P2b=TRUE,I.Facility.P2bFacilityCount&gt;=4747,F14759=""),"Incomplete","Complete")</f>
        <v>Complete</v>
      </c>
      <c r="I14759" s="48" t="s">
        <v>19124</v>
      </c>
    </row>
    <row r="14760" spans="2:9" ht="15" customHeight="1" x14ac:dyDescent="0.25">
      <c r="B14760" s="55" t="s">
        <v>281</v>
      </c>
      <c r="C14760" s="46">
        <v>4748</v>
      </c>
      <c r="D14760" s="69" t="s">
        <v>29418</v>
      </c>
      <c r="E14760" s="51"/>
      <c r="F14760" s="114" t="str">
        <f>IF(INDEX(I.Facility.P2bIDNumber,4748)="","",INDEX(I.Facility.P2bIDNumber,4748))</f>
        <v/>
      </c>
      <c r="G14760" s="51"/>
      <c r="H14760" s="46" t="str">
        <f>IF(AND(I.Developer.P2b=TRUE,I.Facility.P2bFacilityCount&gt;=4748,F14760=""),"Incomplete","Complete")</f>
        <v>Complete</v>
      </c>
      <c r="I14760" s="48" t="s">
        <v>19125</v>
      </c>
    </row>
    <row r="14761" spans="2:9" ht="15" customHeight="1" x14ac:dyDescent="0.25">
      <c r="B14761" s="55" t="s">
        <v>281</v>
      </c>
      <c r="C14761" s="46">
        <v>4749</v>
      </c>
      <c r="D14761" s="69" t="s">
        <v>29418</v>
      </c>
      <c r="E14761" s="51"/>
      <c r="F14761" s="114" t="str">
        <f>IF(INDEX(I.Facility.P2bIDNumber,4749)="","",INDEX(I.Facility.P2bIDNumber,4749))</f>
        <v/>
      </c>
      <c r="G14761" s="51"/>
      <c r="H14761" s="46" t="str">
        <f>IF(AND(I.Developer.P2b=TRUE,I.Facility.P2bFacilityCount&gt;=4749,F14761=""),"Incomplete","Complete")</f>
        <v>Complete</v>
      </c>
      <c r="I14761" s="48" t="s">
        <v>19126</v>
      </c>
    </row>
    <row r="14762" spans="2:9" ht="15" customHeight="1" x14ac:dyDescent="0.25">
      <c r="B14762" s="55" t="s">
        <v>281</v>
      </c>
      <c r="C14762" s="46">
        <v>4750</v>
      </c>
      <c r="D14762" s="69" t="s">
        <v>29418</v>
      </c>
      <c r="E14762" s="51"/>
      <c r="F14762" s="114" t="str">
        <f>IF(INDEX(I.Facility.P2bIDNumber,4750)="","",INDEX(I.Facility.P2bIDNumber,4750))</f>
        <v/>
      </c>
      <c r="G14762" s="51"/>
      <c r="H14762" s="46" t="str">
        <f>IF(AND(I.Developer.P2b=TRUE,I.Facility.P2bFacilityCount&gt;=4750,F14762=""),"Incomplete","Complete")</f>
        <v>Complete</v>
      </c>
      <c r="I14762" s="48" t="s">
        <v>19127</v>
      </c>
    </row>
    <row r="14763" spans="2:9" ht="15" customHeight="1" x14ac:dyDescent="0.25">
      <c r="B14763" s="55" t="s">
        <v>281</v>
      </c>
      <c r="C14763" s="46">
        <v>4751</v>
      </c>
      <c r="D14763" s="69" t="s">
        <v>29418</v>
      </c>
      <c r="E14763" s="51"/>
      <c r="F14763" s="114" t="str">
        <f>IF(INDEX(I.Facility.P2bIDNumber,4751)="","",INDEX(I.Facility.P2bIDNumber,4751))</f>
        <v/>
      </c>
      <c r="G14763" s="51"/>
      <c r="H14763" s="46" t="str">
        <f>IF(AND(I.Developer.P2b=TRUE,I.Facility.P2bFacilityCount&gt;=4751,F14763=""),"Incomplete","Complete")</f>
        <v>Complete</v>
      </c>
      <c r="I14763" s="48" t="s">
        <v>19128</v>
      </c>
    </row>
    <row r="14764" spans="2:9" ht="15" customHeight="1" x14ac:dyDescent="0.25">
      <c r="B14764" s="55" t="s">
        <v>281</v>
      </c>
      <c r="C14764" s="46">
        <v>4752</v>
      </c>
      <c r="D14764" s="69" t="s">
        <v>29418</v>
      </c>
      <c r="E14764" s="51"/>
      <c r="F14764" s="114" t="str">
        <f>IF(INDEX(I.Facility.P2bIDNumber,4752)="","",INDEX(I.Facility.P2bIDNumber,4752))</f>
        <v/>
      </c>
      <c r="G14764" s="51"/>
      <c r="H14764" s="46" t="str">
        <f>IF(AND(I.Developer.P2b=TRUE,I.Facility.P2bFacilityCount&gt;=4752,F14764=""),"Incomplete","Complete")</f>
        <v>Complete</v>
      </c>
      <c r="I14764" s="48" t="s">
        <v>19129</v>
      </c>
    </row>
    <row r="14765" spans="2:9" ht="15" customHeight="1" x14ac:dyDescent="0.25">
      <c r="B14765" s="55" t="s">
        <v>281</v>
      </c>
      <c r="C14765" s="46">
        <v>4753</v>
      </c>
      <c r="D14765" s="69" t="s">
        <v>29418</v>
      </c>
      <c r="E14765" s="51"/>
      <c r="F14765" s="114" t="str">
        <f>IF(INDEX(I.Facility.P2bIDNumber,4753)="","",INDEX(I.Facility.P2bIDNumber,4753))</f>
        <v/>
      </c>
      <c r="G14765" s="51"/>
      <c r="H14765" s="46" t="str">
        <f>IF(AND(I.Developer.P2b=TRUE,I.Facility.P2bFacilityCount&gt;=4753,F14765=""),"Incomplete","Complete")</f>
        <v>Complete</v>
      </c>
      <c r="I14765" s="48" t="s">
        <v>19130</v>
      </c>
    </row>
    <row r="14766" spans="2:9" ht="15" customHeight="1" x14ac:dyDescent="0.25">
      <c r="B14766" s="55" t="s">
        <v>281</v>
      </c>
      <c r="C14766" s="46">
        <v>4754</v>
      </c>
      <c r="D14766" s="69" t="s">
        <v>29418</v>
      </c>
      <c r="E14766" s="51"/>
      <c r="F14766" s="114" t="str">
        <f>IF(INDEX(I.Facility.P2bIDNumber,4754)="","",INDEX(I.Facility.P2bIDNumber,4754))</f>
        <v/>
      </c>
      <c r="G14766" s="51"/>
      <c r="H14766" s="46" t="str">
        <f>IF(AND(I.Developer.P2b=TRUE,I.Facility.P2bFacilityCount&gt;=4754,F14766=""),"Incomplete","Complete")</f>
        <v>Complete</v>
      </c>
      <c r="I14766" s="48" t="s">
        <v>19131</v>
      </c>
    </row>
    <row r="14767" spans="2:9" ht="15" customHeight="1" x14ac:dyDescent="0.25">
      <c r="B14767" s="55" t="s">
        <v>281</v>
      </c>
      <c r="C14767" s="46">
        <v>4755</v>
      </c>
      <c r="D14767" s="69" t="s">
        <v>29418</v>
      </c>
      <c r="E14767" s="51"/>
      <c r="F14767" s="114" t="str">
        <f>IF(INDEX(I.Facility.P2bIDNumber,4755)="","",INDEX(I.Facility.P2bIDNumber,4755))</f>
        <v/>
      </c>
      <c r="G14767" s="51"/>
      <c r="H14767" s="46" t="str">
        <f>IF(AND(I.Developer.P2b=TRUE,I.Facility.P2bFacilityCount&gt;=4755,F14767=""),"Incomplete","Complete")</f>
        <v>Complete</v>
      </c>
      <c r="I14767" s="48" t="s">
        <v>19132</v>
      </c>
    </row>
    <row r="14768" spans="2:9" ht="15" customHeight="1" x14ac:dyDescent="0.25">
      <c r="B14768" s="55" t="s">
        <v>281</v>
      </c>
      <c r="C14768" s="46">
        <v>4756</v>
      </c>
      <c r="D14768" s="69" t="s">
        <v>29418</v>
      </c>
      <c r="E14768" s="51"/>
      <c r="F14768" s="114" t="str">
        <f>IF(INDEX(I.Facility.P2bIDNumber,4756)="","",INDEX(I.Facility.P2bIDNumber,4756))</f>
        <v/>
      </c>
      <c r="G14768" s="51"/>
      <c r="H14768" s="46" t="str">
        <f>IF(AND(I.Developer.P2b=TRUE,I.Facility.P2bFacilityCount&gt;=4756,F14768=""),"Incomplete","Complete")</f>
        <v>Complete</v>
      </c>
      <c r="I14768" s="48" t="s">
        <v>19133</v>
      </c>
    </row>
    <row r="14769" spans="2:9" ht="15" customHeight="1" x14ac:dyDescent="0.25">
      <c r="B14769" s="55" t="s">
        <v>281</v>
      </c>
      <c r="C14769" s="46">
        <v>4757</v>
      </c>
      <c r="D14769" s="69" t="s">
        <v>29418</v>
      </c>
      <c r="E14769" s="51"/>
      <c r="F14769" s="114" t="str">
        <f>IF(INDEX(I.Facility.P2bIDNumber,4757)="","",INDEX(I.Facility.P2bIDNumber,4757))</f>
        <v/>
      </c>
      <c r="G14769" s="51"/>
      <c r="H14769" s="46" t="str">
        <f>IF(AND(I.Developer.P2b=TRUE,I.Facility.P2bFacilityCount&gt;=4757,F14769=""),"Incomplete","Complete")</f>
        <v>Complete</v>
      </c>
      <c r="I14769" s="48" t="s">
        <v>19134</v>
      </c>
    </row>
    <row r="14770" spans="2:9" ht="15" customHeight="1" x14ac:dyDescent="0.25">
      <c r="B14770" s="55" t="s">
        <v>281</v>
      </c>
      <c r="C14770" s="46">
        <v>4758</v>
      </c>
      <c r="D14770" s="69" t="s">
        <v>29418</v>
      </c>
      <c r="E14770" s="51"/>
      <c r="F14770" s="114" t="str">
        <f>IF(INDEX(I.Facility.P2bIDNumber,4758)="","",INDEX(I.Facility.P2bIDNumber,4758))</f>
        <v/>
      </c>
      <c r="G14770" s="51"/>
      <c r="H14770" s="46" t="str">
        <f>IF(AND(I.Developer.P2b=TRUE,I.Facility.P2bFacilityCount&gt;=4758,F14770=""),"Incomplete","Complete")</f>
        <v>Complete</v>
      </c>
      <c r="I14770" s="48" t="s">
        <v>19135</v>
      </c>
    </row>
    <row r="14771" spans="2:9" ht="15" customHeight="1" x14ac:dyDescent="0.25">
      <c r="B14771" s="55" t="s">
        <v>281</v>
      </c>
      <c r="C14771" s="46">
        <v>4759</v>
      </c>
      <c r="D14771" s="69" t="s">
        <v>29418</v>
      </c>
      <c r="E14771" s="51"/>
      <c r="F14771" s="114" t="str">
        <f>IF(INDEX(I.Facility.P2bIDNumber,4759)="","",INDEX(I.Facility.P2bIDNumber,4759))</f>
        <v/>
      </c>
      <c r="G14771" s="51"/>
      <c r="H14771" s="46" t="str">
        <f>IF(AND(I.Developer.P2b=TRUE,I.Facility.P2bFacilityCount&gt;=4759,F14771=""),"Incomplete","Complete")</f>
        <v>Complete</v>
      </c>
      <c r="I14771" s="48" t="s">
        <v>19136</v>
      </c>
    </row>
    <row r="14772" spans="2:9" ht="15" customHeight="1" x14ac:dyDescent="0.25">
      <c r="B14772" s="55" t="s">
        <v>281</v>
      </c>
      <c r="C14772" s="46">
        <v>4760</v>
      </c>
      <c r="D14772" s="69" t="s">
        <v>29418</v>
      </c>
      <c r="E14772" s="51"/>
      <c r="F14772" s="114" t="str">
        <f>IF(INDEX(I.Facility.P2bIDNumber,4760)="","",INDEX(I.Facility.P2bIDNumber,4760))</f>
        <v/>
      </c>
      <c r="G14772" s="51"/>
      <c r="H14772" s="46" t="str">
        <f>IF(AND(I.Developer.P2b=TRUE,I.Facility.P2bFacilityCount&gt;=4760,F14772=""),"Incomplete","Complete")</f>
        <v>Complete</v>
      </c>
      <c r="I14772" s="48" t="s">
        <v>19137</v>
      </c>
    </row>
    <row r="14773" spans="2:9" ht="15" customHeight="1" x14ac:dyDescent="0.25">
      <c r="B14773" s="55" t="s">
        <v>281</v>
      </c>
      <c r="C14773" s="46">
        <v>4761</v>
      </c>
      <c r="D14773" s="69" t="s">
        <v>29418</v>
      </c>
      <c r="E14773" s="51"/>
      <c r="F14773" s="114" t="str">
        <f>IF(INDEX(I.Facility.P2bIDNumber,4761)="","",INDEX(I.Facility.P2bIDNumber,4761))</f>
        <v/>
      </c>
      <c r="G14773" s="51"/>
      <c r="H14773" s="46" t="str">
        <f>IF(AND(I.Developer.P2b=TRUE,I.Facility.P2bFacilityCount&gt;=4761,F14773=""),"Incomplete","Complete")</f>
        <v>Complete</v>
      </c>
      <c r="I14773" s="48" t="s">
        <v>19138</v>
      </c>
    </row>
    <row r="14774" spans="2:9" ht="15" customHeight="1" x14ac:dyDescent="0.25">
      <c r="B14774" s="55" t="s">
        <v>281</v>
      </c>
      <c r="C14774" s="46">
        <v>4762</v>
      </c>
      <c r="D14774" s="69" t="s">
        <v>29418</v>
      </c>
      <c r="E14774" s="51"/>
      <c r="F14774" s="114" t="str">
        <f>IF(INDEX(I.Facility.P2bIDNumber,4762)="","",INDEX(I.Facility.P2bIDNumber,4762))</f>
        <v/>
      </c>
      <c r="G14774" s="51"/>
      <c r="H14774" s="46" t="str">
        <f>IF(AND(I.Developer.P2b=TRUE,I.Facility.P2bFacilityCount&gt;=4762,F14774=""),"Incomplete","Complete")</f>
        <v>Complete</v>
      </c>
      <c r="I14774" s="48" t="s">
        <v>19139</v>
      </c>
    </row>
    <row r="14775" spans="2:9" ht="15" customHeight="1" x14ac:dyDescent="0.25">
      <c r="B14775" s="55" t="s">
        <v>281</v>
      </c>
      <c r="C14775" s="46">
        <v>4763</v>
      </c>
      <c r="D14775" s="69" t="s">
        <v>29418</v>
      </c>
      <c r="E14775" s="51"/>
      <c r="F14775" s="114" t="str">
        <f>IF(INDEX(I.Facility.P2bIDNumber,4763)="","",INDEX(I.Facility.P2bIDNumber,4763))</f>
        <v/>
      </c>
      <c r="G14775" s="51"/>
      <c r="H14775" s="46" t="str">
        <f>IF(AND(I.Developer.P2b=TRUE,I.Facility.P2bFacilityCount&gt;=4763,F14775=""),"Incomplete","Complete")</f>
        <v>Complete</v>
      </c>
      <c r="I14775" s="48" t="s">
        <v>19140</v>
      </c>
    </row>
    <row r="14776" spans="2:9" ht="15" customHeight="1" x14ac:dyDescent="0.25">
      <c r="B14776" s="55" t="s">
        <v>281</v>
      </c>
      <c r="C14776" s="46">
        <v>4764</v>
      </c>
      <c r="D14776" s="69" t="s">
        <v>29418</v>
      </c>
      <c r="E14776" s="51"/>
      <c r="F14776" s="114" t="str">
        <f>IF(INDEX(I.Facility.P2bIDNumber,4764)="","",INDEX(I.Facility.P2bIDNumber,4764))</f>
        <v/>
      </c>
      <c r="G14776" s="51"/>
      <c r="H14776" s="46" t="str">
        <f>IF(AND(I.Developer.P2b=TRUE,I.Facility.P2bFacilityCount&gt;=4764,F14776=""),"Incomplete","Complete")</f>
        <v>Complete</v>
      </c>
      <c r="I14776" s="48" t="s">
        <v>19141</v>
      </c>
    </row>
    <row r="14777" spans="2:9" ht="15" customHeight="1" x14ac:dyDescent="0.25">
      <c r="B14777" s="55" t="s">
        <v>281</v>
      </c>
      <c r="C14777" s="46">
        <v>4765</v>
      </c>
      <c r="D14777" s="69" t="s">
        <v>29418</v>
      </c>
      <c r="E14777" s="51"/>
      <c r="F14777" s="114" t="str">
        <f>IF(INDEX(I.Facility.P2bIDNumber,4765)="","",INDEX(I.Facility.P2bIDNumber,4765))</f>
        <v/>
      </c>
      <c r="G14777" s="51"/>
      <c r="H14777" s="46" t="str">
        <f>IF(AND(I.Developer.P2b=TRUE,I.Facility.P2bFacilityCount&gt;=4765,F14777=""),"Incomplete","Complete")</f>
        <v>Complete</v>
      </c>
      <c r="I14777" s="48" t="s">
        <v>19142</v>
      </c>
    </row>
    <row r="14778" spans="2:9" ht="15" customHeight="1" x14ac:dyDescent="0.25">
      <c r="B14778" s="55" t="s">
        <v>281</v>
      </c>
      <c r="C14778" s="46">
        <v>4766</v>
      </c>
      <c r="D14778" s="69" t="s">
        <v>29418</v>
      </c>
      <c r="E14778" s="51"/>
      <c r="F14778" s="114" t="str">
        <f>IF(INDEX(I.Facility.P2bIDNumber,4766)="","",INDEX(I.Facility.P2bIDNumber,4766))</f>
        <v/>
      </c>
      <c r="G14778" s="51"/>
      <c r="H14778" s="46" t="str">
        <f>IF(AND(I.Developer.P2b=TRUE,I.Facility.P2bFacilityCount&gt;=4766,F14778=""),"Incomplete","Complete")</f>
        <v>Complete</v>
      </c>
      <c r="I14778" s="48" t="s">
        <v>19143</v>
      </c>
    </row>
    <row r="14779" spans="2:9" ht="15" customHeight="1" x14ac:dyDescent="0.25">
      <c r="B14779" s="55" t="s">
        <v>281</v>
      </c>
      <c r="C14779" s="46">
        <v>4767</v>
      </c>
      <c r="D14779" s="69" t="s">
        <v>29418</v>
      </c>
      <c r="E14779" s="51"/>
      <c r="F14779" s="114" t="str">
        <f>IF(INDEX(I.Facility.P2bIDNumber,4767)="","",INDEX(I.Facility.P2bIDNumber,4767))</f>
        <v/>
      </c>
      <c r="G14779" s="51"/>
      <c r="H14779" s="46" t="str">
        <f>IF(AND(I.Developer.P2b=TRUE,I.Facility.P2bFacilityCount&gt;=4767,F14779=""),"Incomplete","Complete")</f>
        <v>Complete</v>
      </c>
      <c r="I14779" s="48" t="s">
        <v>19144</v>
      </c>
    </row>
    <row r="14780" spans="2:9" ht="15" customHeight="1" x14ac:dyDescent="0.25">
      <c r="B14780" s="55" t="s">
        <v>281</v>
      </c>
      <c r="C14780" s="46">
        <v>4768</v>
      </c>
      <c r="D14780" s="69" t="s">
        <v>29418</v>
      </c>
      <c r="E14780" s="51"/>
      <c r="F14780" s="114" t="str">
        <f>IF(INDEX(I.Facility.P2bIDNumber,4768)="","",INDEX(I.Facility.P2bIDNumber,4768))</f>
        <v/>
      </c>
      <c r="G14780" s="51"/>
      <c r="H14780" s="46" t="str">
        <f>IF(AND(I.Developer.P2b=TRUE,I.Facility.P2bFacilityCount&gt;=4768,F14780=""),"Incomplete","Complete")</f>
        <v>Complete</v>
      </c>
      <c r="I14780" s="48" t="s">
        <v>19145</v>
      </c>
    </row>
    <row r="14781" spans="2:9" ht="15" customHeight="1" x14ac:dyDescent="0.25">
      <c r="B14781" s="55" t="s">
        <v>281</v>
      </c>
      <c r="C14781" s="46">
        <v>4769</v>
      </c>
      <c r="D14781" s="69" t="s">
        <v>29418</v>
      </c>
      <c r="E14781" s="51"/>
      <c r="F14781" s="114" t="str">
        <f>IF(INDEX(I.Facility.P2bIDNumber,4769)="","",INDEX(I.Facility.P2bIDNumber,4769))</f>
        <v/>
      </c>
      <c r="G14781" s="51"/>
      <c r="H14781" s="46" t="str">
        <f>IF(AND(I.Developer.P2b=TRUE,I.Facility.P2bFacilityCount&gt;=4769,F14781=""),"Incomplete","Complete")</f>
        <v>Complete</v>
      </c>
      <c r="I14781" s="48" t="s">
        <v>19146</v>
      </c>
    </row>
    <row r="14782" spans="2:9" ht="15" customHeight="1" x14ac:dyDescent="0.25">
      <c r="B14782" s="55" t="s">
        <v>281</v>
      </c>
      <c r="C14782" s="46">
        <v>4770</v>
      </c>
      <c r="D14782" s="69" t="s">
        <v>29418</v>
      </c>
      <c r="E14782" s="51"/>
      <c r="F14782" s="114" t="str">
        <f>IF(INDEX(I.Facility.P2bIDNumber,4770)="","",INDEX(I.Facility.P2bIDNumber,4770))</f>
        <v/>
      </c>
      <c r="G14782" s="51"/>
      <c r="H14782" s="46" t="str">
        <f>IF(AND(I.Developer.P2b=TRUE,I.Facility.P2bFacilityCount&gt;=4770,F14782=""),"Incomplete","Complete")</f>
        <v>Complete</v>
      </c>
      <c r="I14782" s="48" t="s">
        <v>19147</v>
      </c>
    </row>
    <row r="14783" spans="2:9" ht="15" customHeight="1" x14ac:dyDescent="0.25">
      <c r="B14783" s="55" t="s">
        <v>281</v>
      </c>
      <c r="C14783" s="46">
        <v>4771</v>
      </c>
      <c r="D14783" s="69" t="s">
        <v>29418</v>
      </c>
      <c r="E14783" s="51"/>
      <c r="F14783" s="114" t="str">
        <f>IF(INDEX(I.Facility.P2bIDNumber,4771)="","",INDEX(I.Facility.P2bIDNumber,4771))</f>
        <v/>
      </c>
      <c r="G14783" s="51"/>
      <c r="H14783" s="46" t="str">
        <f>IF(AND(I.Developer.P2b=TRUE,I.Facility.P2bFacilityCount&gt;=4771,F14783=""),"Incomplete","Complete")</f>
        <v>Complete</v>
      </c>
      <c r="I14783" s="48" t="s">
        <v>19148</v>
      </c>
    </row>
    <row r="14784" spans="2:9" ht="15" customHeight="1" x14ac:dyDescent="0.25">
      <c r="B14784" s="55" t="s">
        <v>281</v>
      </c>
      <c r="C14784" s="46">
        <v>4772</v>
      </c>
      <c r="D14784" s="69" t="s">
        <v>29418</v>
      </c>
      <c r="E14784" s="51"/>
      <c r="F14784" s="114" t="str">
        <f>IF(INDEX(I.Facility.P2bIDNumber,4772)="","",INDEX(I.Facility.P2bIDNumber,4772))</f>
        <v/>
      </c>
      <c r="G14784" s="51"/>
      <c r="H14784" s="46" t="str">
        <f>IF(AND(I.Developer.P2b=TRUE,I.Facility.P2bFacilityCount&gt;=4772,F14784=""),"Incomplete","Complete")</f>
        <v>Complete</v>
      </c>
      <c r="I14784" s="48" t="s">
        <v>19149</v>
      </c>
    </row>
    <row r="14785" spans="2:9" ht="15" customHeight="1" x14ac:dyDescent="0.25">
      <c r="B14785" s="55" t="s">
        <v>281</v>
      </c>
      <c r="C14785" s="46">
        <v>4773</v>
      </c>
      <c r="D14785" s="69" t="s">
        <v>29418</v>
      </c>
      <c r="E14785" s="51"/>
      <c r="F14785" s="114" t="str">
        <f>IF(INDEX(I.Facility.P2bIDNumber,4773)="","",INDEX(I.Facility.P2bIDNumber,4773))</f>
        <v/>
      </c>
      <c r="G14785" s="51"/>
      <c r="H14785" s="46" t="str">
        <f>IF(AND(I.Developer.P2b=TRUE,I.Facility.P2bFacilityCount&gt;=4773,F14785=""),"Incomplete","Complete")</f>
        <v>Complete</v>
      </c>
      <c r="I14785" s="48" t="s">
        <v>19150</v>
      </c>
    </row>
    <row r="14786" spans="2:9" ht="15" customHeight="1" x14ac:dyDescent="0.25">
      <c r="B14786" s="55" t="s">
        <v>281</v>
      </c>
      <c r="C14786" s="46">
        <v>4774</v>
      </c>
      <c r="D14786" s="69" t="s">
        <v>29418</v>
      </c>
      <c r="E14786" s="51"/>
      <c r="F14786" s="114" t="str">
        <f>IF(INDEX(I.Facility.P2bIDNumber,4774)="","",INDEX(I.Facility.P2bIDNumber,4774))</f>
        <v/>
      </c>
      <c r="G14786" s="51"/>
      <c r="H14786" s="46" t="str">
        <f>IF(AND(I.Developer.P2b=TRUE,I.Facility.P2bFacilityCount&gt;=4774,F14786=""),"Incomplete","Complete")</f>
        <v>Complete</v>
      </c>
      <c r="I14786" s="48" t="s">
        <v>19151</v>
      </c>
    </row>
    <row r="14787" spans="2:9" ht="15" customHeight="1" x14ac:dyDescent="0.25">
      <c r="B14787" s="55" t="s">
        <v>281</v>
      </c>
      <c r="C14787" s="46">
        <v>4775</v>
      </c>
      <c r="D14787" s="69" t="s">
        <v>29418</v>
      </c>
      <c r="E14787" s="51"/>
      <c r="F14787" s="114" t="str">
        <f>IF(INDEX(I.Facility.P2bIDNumber,4775)="","",INDEX(I.Facility.P2bIDNumber,4775))</f>
        <v/>
      </c>
      <c r="G14787" s="51"/>
      <c r="H14787" s="46" t="str">
        <f>IF(AND(I.Developer.P2b=TRUE,I.Facility.P2bFacilityCount&gt;=4775,F14787=""),"Incomplete","Complete")</f>
        <v>Complete</v>
      </c>
      <c r="I14787" s="48" t="s">
        <v>19152</v>
      </c>
    </row>
    <row r="14788" spans="2:9" ht="15" customHeight="1" x14ac:dyDescent="0.25">
      <c r="B14788" s="55" t="s">
        <v>281</v>
      </c>
      <c r="C14788" s="46">
        <v>4776</v>
      </c>
      <c r="D14788" s="69" t="s">
        <v>29418</v>
      </c>
      <c r="E14788" s="51"/>
      <c r="F14788" s="114" t="str">
        <f>IF(INDEX(I.Facility.P2bIDNumber,4776)="","",INDEX(I.Facility.P2bIDNumber,4776))</f>
        <v/>
      </c>
      <c r="G14788" s="51"/>
      <c r="H14788" s="46" t="str">
        <f>IF(AND(I.Developer.P2b=TRUE,I.Facility.P2bFacilityCount&gt;=4776,F14788=""),"Incomplete","Complete")</f>
        <v>Complete</v>
      </c>
      <c r="I14788" s="48" t="s">
        <v>19153</v>
      </c>
    </row>
    <row r="14789" spans="2:9" ht="15" customHeight="1" x14ac:dyDescent="0.25">
      <c r="B14789" s="55" t="s">
        <v>281</v>
      </c>
      <c r="C14789" s="46">
        <v>4777</v>
      </c>
      <c r="D14789" s="69" t="s">
        <v>29418</v>
      </c>
      <c r="E14789" s="51"/>
      <c r="F14789" s="114" t="str">
        <f>IF(INDEX(I.Facility.P2bIDNumber,4777)="","",INDEX(I.Facility.P2bIDNumber,4777))</f>
        <v/>
      </c>
      <c r="G14789" s="51"/>
      <c r="H14789" s="46" t="str">
        <f>IF(AND(I.Developer.P2b=TRUE,I.Facility.P2bFacilityCount&gt;=4777,F14789=""),"Incomplete","Complete")</f>
        <v>Complete</v>
      </c>
      <c r="I14789" s="48" t="s">
        <v>19154</v>
      </c>
    </row>
    <row r="14790" spans="2:9" ht="15" customHeight="1" x14ac:dyDescent="0.25">
      <c r="B14790" s="55" t="s">
        <v>281</v>
      </c>
      <c r="C14790" s="46">
        <v>4778</v>
      </c>
      <c r="D14790" s="69" t="s">
        <v>29418</v>
      </c>
      <c r="E14790" s="51"/>
      <c r="F14790" s="114" t="str">
        <f>IF(INDEX(I.Facility.P2bIDNumber,4778)="","",INDEX(I.Facility.P2bIDNumber,4778))</f>
        <v/>
      </c>
      <c r="G14790" s="51"/>
      <c r="H14790" s="46" t="str">
        <f>IF(AND(I.Developer.P2b=TRUE,I.Facility.P2bFacilityCount&gt;=4778,F14790=""),"Incomplete","Complete")</f>
        <v>Complete</v>
      </c>
      <c r="I14790" s="48" t="s">
        <v>19155</v>
      </c>
    </row>
    <row r="14791" spans="2:9" ht="15" customHeight="1" x14ac:dyDescent="0.25">
      <c r="B14791" s="55" t="s">
        <v>281</v>
      </c>
      <c r="C14791" s="46">
        <v>4779</v>
      </c>
      <c r="D14791" s="69" t="s">
        <v>29418</v>
      </c>
      <c r="E14791" s="51"/>
      <c r="F14791" s="114" t="str">
        <f>IF(INDEX(I.Facility.P2bIDNumber,4779)="","",INDEX(I.Facility.P2bIDNumber,4779))</f>
        <v/>
      </c>
      <c r="G14791" s="51"/>
      <c r="H14791" s="46" t="str">
        <f>IF(AND(I.Developer.P2b=TRUE,I.Facility.P2bFacilityCount&gt;=4779,F14791=""),"Incomplete","Complete")</f>
        <v>Complete</v>
      </c>
      <c r="I14791" s="48" t="s">
        <v>19156</v>
      </c>
    </row>
    <row r="14792" spans="2:9" ht="15" customHeight="1" x14ac:dyDescent="0.25">
      <c r="B14792" s="55" t="s">
        <v>281</v>
      </c>
      <c r="C14792" s="46">
        <v>4780</v>
      </c>
      <c r="D14792" s="69" t="s">
        <v>29418</v>
      </c>
      <c r="E14792" s="51"/>
      <c r="F14792" s="114" t="str">
        <f>IF(INDEX(I.Facility.P2bIDNumber,4780)="","",INDEX(I.Facility.P2bIDNumber,4780))</f>
        <v/>
      </c>
      <c r="G14792" s="51"/>
      <c r="H14792" s="46" t="str">
        <f>IF(AND(I.Developer.P2b=TRUE,I.Facility.P2bFacilityCount&gt;=4780,F14792=""),"Incomplete","Complete")</f>
        <v>Complete</v>
      </c>
      <c r="I14792" s="48" t="s">
        <v>19157</v>
      </c>
    </row>
    <row r="14793" spans="2:9" ht="15" customHeight="1" x14ac:dyDescent="0.25">
      <c r="B14793" s="55" t="s">
        <v>281</v>
      </c>
      <c r="C14793" s="46">
        <v>4781</v>
      </c>
      <c r="D14793" s="69" t="s">
        <v>29418</v>
      </c>
      <c r="E14793" s="51"/>
      <c r="F14793" s="114" t="str">
        <f>IF(INDEX(I.Facility.P2bIDNumber,4781)="","",INDEX(I.Facility.P2bIDNumber,4781))</f>
        <v/>
      </c>
      <c r="G14793" s="51"/>
      <c r="H14793" s="46" t="str">
        <f>IF(AND(I.Developer.P2b=TRUE,I.Facility.P2bFacilityCount&gt;=4781,F14793=""),"Incomplete","Complete")</f>
        <v>Complete</v>
      </c>
      <c r="I14793" s="48" t="s">
        <v>19158</v>
      </c>
    </row>
    <row r="14794" spans="2:9" ht="15" customHeight="1" x14ac:dyDescent="0.25">
      <c r="B14794" s="55" t="s">
        <v>281</v>
      </c>
      <c r="C14794" s="46">
        <v>4782</v>
      </c>
      <c r="D14794" s="69" t="s">
        <v>29418</v>
      </c>
      <c r="E14794" s="51"/>
      <c r="F14794" s="114" t="str">
        <f>IF(INDEX(I.Facility.P2bIDNumber,4782)="","",INDEX(I.Facility.P2bIDNumber,4782))</f>
        <v/>
      </c>
      <c r="G14794" s="51"/>
      <c r="H14794" s="46" t="str">
        <f>IF(AND(I.Developer.P2b=TRUE,I.Facility.P2bFacilityCount&gt;=4782,F14794=""),"Incomplete","Complete")</f>
        <v>Complete</v>
      </c>
      <c r="I14794" s="48" t="s">
        <v>19159</v>
      </c>
    </row>
    <row r="14795" spans="2:9" ht="15" customHeight="1" x14ac:dyDescent="0.25">
      <c r="B14795" s="55" t="s">
        <v>281</v>
      </c>
      <c r="C14795" s="46">
        <v>4783</v>
      </c>
      <c r="D14795" s="69" t="s">
        <v>29418</v>
      </c>
      <c r="E14795" s="51"/>
      <c r="F14795" s="114" t="str">
        <f>IF(INDEX(I.Facility.P2bIDNumber,4783)="","",INDEX(I.Facility.P2bIDNumber,4783))</f>
        <v/>
      </c>
      <c r="G14795" s="51"/>
      <c r="H14795" s="46" t="str">
        <f>IF(AND(I.Developer.P2b=TRUE,I.Facility.P2bFacilityCount&gt;=4783,F14795=""),"Incomplete","Complete")</f>
        <v>Complete</v>
      </c>
      <c r="I14795" s="48" t="s">
        <v>19160</v>
      </c>
    </row>
    <row r="14796" spans="2:9" ht="15" customHeight="1" x14ac:dyDescent="0.25">
      <c r="B14796" s="55" t="s">
        <v>281</v>
      </c>
      <c r="C14796" s="46">
        <v>4784</v>
      </c>
      <c r="D14796" s="69" t="s">
        <v>29418</v>
      </c>
      <c r="E14796" s="51"/>
      <c r="F14796" s="114" t="str">
        <f>IF(INDEX(I.Facility.P2bIDNumber,4784)="","",INDEX(I.Facility.P2bIDNumber,4784))</f>
        <v/>
      </c>
      <c r="G14796" s="51"/>
      <c r="H14796" s="46" t="str">
        <f>IF(AND(I.Developer.P2b=TRUE,I.Facility.P2bFacilityCount&gt;=4784,F14796=""),"Incomplete","Complete")</f>
        <v>Complete</v>
      </c>
      <c r="I14796" s="48" t="s">
        <v>19161</v>
      </c>
    </row>
    <row r="14797" spans="2:9" ht="15" customHeight="1" x14ac:dyDescent="0.25">
      <c r="B14797" s="55" t="s">
        <v>281</v>
      </c>
      <c r="C14797" s="46">
        <v>4785</v>
      </c>
      <c r="D14797" s="69" t="s">
        <v>29418</v>
      </c>
      <c r="E14797" s="51"/>
      <c r="F14797" s="114" t="str">
        <f>IF(INDEX(I.Facility.P2bIDNumber,4785)="","",INDEX(I.Facility.P2bIDNumber,4785))</f>
        <v/>
      </c>
      <c r="G14797" s="51"/>
      <c r="H14797" s="46" t="str">
        <f>IF(AND(I.Developer.P2b=TRUE,I.Facility.P2bFacilityCount&gt;=4785,F14797=""),"Incomplete","Complete")</f>
        <v>Complete</v>
      </c>
      <c r="I14797" s="48" t="s">
        <v>19162</v>
      </c>
    </row>
    <row r="14798" spans="2:9" ht="15" customHeight="1" x14ac:dyDescent="0.25">
      <c r="B14798" s="55" t="s">
        <v>281</v>
      </c>
      <c r="C14798" s="46">
        <v>4786</v>
      </c>
      <c r="D14798" s="69" t="s">
        <v>29418</v>
      </c>
      <c r="E14798" s="51"/>
      <c r="F14798" s="114" t="str">
        <f>IF(INDEX(I.Facility.P2bIDNumber,4786)="","",INDEX(I.Facility.P2bIDNumber,4786))</f>
        <v/>
      </c>
      <c r="G14798" s="51"/>
      <c r="H14798" s="46" t="str">
        <f>IF(AND(I.Developer.P2b=TRUE,I.Facility.P2bFacilityCount&gt;=4786,F14798=""),"Incomplete","Complete")</f>
        <v>Complete</v>
      </c>
      <c r="I14798" s="48" t="s">
        <v>19163</v>
      </c>
    </row>
    <row r="14799" spans="2:9" ht="15" customHeight="1" x14ac:dyDescent="0.25">
      <c r="B14799" s="55" t="s">
        <v>281</v>
      </c>
      <c r="C14799" s="46">
        <v>4787</v>
      </c>
      <c r="D14799" s="69" t="s">
        <v>29418</v>
      </c>
      <c r="E14799" s="51"/>
      <c r="F14799" s="114" t="str">
        <f>IF(INDEX(I.Facility.P2bIDNumber,4787)="","",INDEX(I.Facility.P2bIDNumber,4787))</f>
        <v/>
      </c>
      <c r="G14799" s="51"/>
      <c r="H14799" s="46" t="str">
        <f>IF(AND(I.Developer.P2b=TRUE,I.Facility.P2bFacilityCount&gt;=4787,F14799=""),"Incomplete","Complete")</f>
        <v>Complete</v>
      </c>
      <c r="I14799" s="48" t="s">
        <v>19164</v>
      </c>
    </row>
    <row r="14800" spans="2:9" ht="15" customHeight="1" x14ac:dyDescent="0.25">
      <c r="B14800" s="55" t="s">
        <v>281</v>
      </c>
      <c r="C14800" s="46">
        <v>4788</v>
      </c>
      <c r="D14800" s="69" t="s">
        <v>29418</v>
      </c>
      <c r="E14800" s="51"/>
      <c r="F14800" s="114" t="str">
        <f>IF(INDEX(I.Facility.P2bIDNumber,4788)="","",INDEX(I.Facility.P2bIDNumber,4788))</f>
        <v/>
      </c>
      <c r="G14800" s="51"/>
      <c r="H14800" s="46" t="str">
        <f>IF(AND(I.Developer.P2b=TRUE,I.Facility.P2bFacilityCount&gt;=4788,F14800=""),"Incomplete","Complete")</f>
        <v>Complete</v>
      </c>
      <c r="I14800" s="48" t="s">
        <v>19165</v>
      </c>
    </row>
    <row r="14801" spans="2:9" ht="15" customHeight="1" x14ac:dyDescent="0.25">
      <c r="B14801" s="55" t="s">
        <v>281</v>
      </c>
      <c r="C14801" s="46">
        <v>4789</v>
      </c>
      <c r="D14801" s="69" t="s">
        <v>29418</v>
      </c>
      <c r="E14801" s="51"/>
      <c r="F14801" s="114" t="str">
        <f>IF(INDEX(I.Facility.P2bIDNumber,4789)="","",INDEX(I.Facility.P2bIDNumber,4789))</f>
        <v/>
      </c>
      <c r="G14801" s="51"/>
      <c r="H14801" s="46" t="str">
        <f>IF(AND(I.Developer.P2b=TRUE,I.Facility.P2bFacilityCount&gt;=4789,F14801=""),"Incomplete","Complete")</f>
        <v>Complete</v>
      </c>
      <c r="I14801" s="48" t="s">
        <v>19166</v>
      </c>
    </row>
    <row r="14802" spans="2:9" ht="15" customHeight="1" x14ac:dyDescent="0.25">
      <c r="B14802" s="55" t="s">
        <v>281</v>
      </c>
      <c r="C14802" s="46">
        <v>4790</v>
      </c>
      <c r="D14802" s="69" t="s">
        <v>29418</v>
      </c>
      <c r="E14802" s="51"/>
      <c r="F14802" s="114" t="str">
        <f>IF(INDEX(I.Facility.P2bIDNumber,4790)="","",INDEX(I.Facility.P2bIDNumber,4790))</f>
        <v/>
      </c>
      <c r="G14802" s="51"/>
      <c r="H14802" s="46" t="str">
        <f>IF(AND(I.Developer.P2b=TRUE,I.Facility.P2bFacilityCount&gt;=4790,F14802=""),"Incomplete","Complete")</f>
        <v>Complete</v>
      </c>
      <c r="I14802" s="48" t="s">
        <v>19167</v>
      </c>
    </row>
    <row r="14803" spans="2:9" ht="15" customHeight="1" x14ac:dyDescent="0.25">
      <c r="B14803" s="55" t="s">
        <v>281</v>
      </c>
      <c r="C14803" s="46">
        <v>4791</v>
      </c>
      <c r="D14803" s="69" t="s">
        <v>29418</v>
      </c>
      <c r="E14803" s="51"/>
      <c r="F14803" s="114" t="str">
        <f>IF(INDEX(I.Facility.P2bIDNumber,4791)="","",INDEX(I.Facility.P2bIDNumber,4791))</f>
        <v/>
      </c>
      <c r="G14803" s="51"/>
      <c r="H14803" s="46" t="str">
        <f>IF(AND(I.Developer.P2b=TRUE,I.Facility.P2bFacilityCount&gt;=4791,F14803=""),"Incomplete","Complete")</f>
        <v>Complete</v>
      </c>
      <c r="I14803" s="48" t="s">
        <v>19168</v>
      </c>
    </row>
    <row r="14804" spans="2:9" ht="15" customHeight="1" x14ac:dyDescent="0.25">
      <c r="B14804" s="55" t="s">
        <v>281</v>
      </c>
      <c r="C14804" s="46">
        <v>4792</v>
      </c>
      <c r="D14804" s="69" t="s">
        <v>29418</v>
      </c>
      <c r="E14804" s="51"/>
      <c r="F14804" s="114" t="str">
        <f>IF(INDEX(I.Facility.P2bIDNumber,4792)="","",INDEX(I.Facility.P2bIDNumber,4792))</f>
        <v/>
      </c>
      <c r="G14804" s="51"/>
      <c r="H14804" s="46" t="str">
        <f>IF(AND(I.Developer.P2b=TRUE,I.Facility.P2bFacilityCount&gt;=4792,F14804=""),"Incomplete","Complete")</f>
        <v>Complete</v>
      </c>
      <c r="I14804" s="48" t="s">
        <v>19169</v>
      </c>
    </row>
    <row r="14805" spans="2:9" ht="15" customHeight="1" x14ac:dyDescent="0.25">
      <c r="B14805" s="55" t="s">
        <v>281</v>
      </c>
      <c r="C14805" s="46">
        <v>4793</v>
      </c>
      <c r="D14805" s="69" t="s">
        <v>29418</v>
      </c>
      <c r="E14805" s="51"/>
      <c r="F14805" s="114" t="str">
        <f>IF(INDEX(I.Facility.P2bIDNumber,4793)="","",INDEX(I.Facility.P2bIDNumber,4793))</f>
        <v/>
      </c>
      <c r="G14805" s="51"/>
      <c r="H14805" s="46" t="str">
        <f>IF(AND(I.Developer.P2b=TRUE,I.Facility.P2bFacilityCount&gt;=4793,F14805=""),"Incomplete","Complete")</f>
        <v>Complete</v>
      </c>
      <c r="I14805" s="48" t="s">
        <v>19170</v>
      </c>
    </row>
    <row r="14806" spans="2:9" ht="15" customHeight="1" x14ac:dyDescent="0.25">
      <c r="B14806" s="55" t="s">
        <v>281</v>
      </c>
      <c r="C14806" s="46">
        <v>4794</v>
      </c>
      <c r="D14806" s="69" t="s">
        <v>29418</v>
      </c>
      <c r="E14806" s="51"/>
      <c r="F14806" s="114" t="str">
        <f>IF(INDEX(I.Facility.P2bIDNumber,4794)="","",INDEX(I.Facility.P2bIDNumber,4794))</f>
        <v/>
      </c>
      <c r="G14806" s="51"/>
      <c r="H14806" s="46" t="str">
        <f>IF(AND(I.Developer.P2b=TRUE,I.Facility.P2bFacilityCount&gt;=4794,F14806=""),"Incomplete","Complete")</f>
        <v>Complete</v>
      </c>
      <c r="I14806" s="48" t="s">
        <v>19171</v>
      </c>
    </row>
    <row r="14807" spans="2:9" ht="15" customHeight="1" x14ac:dyDescent="0.25">
      <c r="B14807" s="55" t="s">
        <v>281</v>
      </c>
      <c r="C14807" s="46">
        <v>4795</v>
      </c>
      <c r="D14807" s="69" t="s">
        <v>29418</v>
      </c>
      <c r="E14807" s="51"/>
      <c r="F14807" s="114" t="str">
        <f>IF(INDEX(I.Facility.P2bIDNumber,4795)="","",INDEX(I.Facility.P2bIDNumber,4795))</f>
        <v/>
      </c>
      <c r="G14807" s="51"/>
      <c r="H14807" s="46" t="str">
        <f>IF(AND(I.Developer.P2b=TRUE,I.Facility.P2bFacilityCount&gt;=4795,F14807=""),"Incomplete","Complete")</f>
        <v>Complete</v>
      </c>
      <c r="I14807" s="48" t="s">
        <v>19172</v>
      </c>
    </row>
    <row r="14808" spans="2:9" ht="15" customHeight="1" x14ac:dyDescent="0.25">
      <c r="B14808" s="55" t="s">
        <v>281</v>
      </c>
      <c r="C14808" s="46">
        <v>4796</v>
      </c>
      <c r="D14808" s="69" t="s">
        <v>29418</v>
      </c>
      <c r="E14808" s="51"/>
      <c r="F14808" s="114" t="str">
        <f>IF(INDEX(I.Facility.P2bIDNumber,4796)="","",INDEX(I.Facility.P2bIDNumber,4796))</f>
        <v/>
      </c>
      <c r="G14808" s="51"/>
      <c r="H14808" s="46" t="str">
        <f>IF(AND(I.Developer.P2b=TRUE,I.Facility.P2bFacilityCount&gt;=4796,F14808=""),"Incomplete","Complete")</f>
        <v>Complete</v>
      </c>
      <c r="I14808" s="48" t="s">
        <v>19173</v>
      </c>
    </row>
    <row r="14809" spans="2:9" ht="15" customHeight="1" x14ac:dyDescent="0.25">
      <c r="B14809" s="55" t="s">
        <v>281</v>
      </c>
      <c r="C14809" s="46">
        <v>4797</v>
      </c>
      <c r="D14809" s="69" t="s">
        <v>29418</v>
      </c>
      <c r="E14809" s="51"/>
      <c r="F14809" s="114" t="str">
        <f>IF(INDEX(I.Facility.P2bIDNumber,4797)="","",INDEX(I.Facility.P2bIDNumber,4797))</f>
        <v/>
      </c>
      <c r="G14809" s="51"/>
      <c r="H14809" s="46" t="str">
        <f>IF(AND(I.Developer.P2b=TRUE,I.Facility.P2bFacilityCount&gt;=4797,F14809=""),"Incomplete","Complete")</f>
        <v>Complete</v>
      </c>
      <c r="I14809" s="48" t="s">
        <v>19174</v>
      </c>
    </row>
    <row r="14810" spans="2:9" ht="15" customHeight="1" x14ac:dyDescent="0.25">
      <c r="B14810" s="55" t="s">
        <v>281</v>
      </c>
      <c r="C14810" s="46">
        <v>4798</v>
      </c>
      <c r="D14810" s="69" t="s">
        <v>29418</v>
      </c>
      <c r="E14810" s="51"/>
      <c r="F14810" s="114" t="str">
        <f>IF(INDEX(I.Facility.P2bIDNumber,4798)="","",INDEX(I.Facility.P2bIDNumber,4798))</f>
        <v/>
      </c>
      <c r="G14810" s="51"/>
      <c r="H14810" s="46" t="str">
        <f>IF(AND(I.Developer.P2b=TRUE,I.Facility.P2bFacilityCount&gt;=4798,F14810=""),"Incomplete","Complete")</f>
        <v>Complete</v>
      </c>
      <c r="I14810" s="48" t="s">
        <v>19175</v>
      </c>
    </row>
    <row r="14811" spans="2:9" ht="15" customHeight="1" x14ac:dyDescent="0.25">
      <c r="B14811" s="55" t="s">
        <v>281</v>
      </c>
      <c r="C14811" s="46">
        <v>4799</v>
      </c>
      <c r="D14811" s="69" t="s">
        <v>29418</v>
      </c>
      <c r="E14811" s="51"/>
      <c r="F14811" s="114" t="str">
        <f>IF(INDEX(I.Facility.P2bIDNumber,4799)="","",INDEX(I.Facility.P2bIDNumber,4799))</f>
        <v/>
      </c>
      <c r="G14811" s="51"/>
      <c r="H14811" s="46" t="str">
        <f>IF(AND(I.Developer.P2b=TRUE,I.Facility.P2bFacilityCount&gt;=4799,F14811=""),"Incomplete","Complete")</f>
        <v>Complete</v>
      </c>
      <c r="I14811" s="48" t="s">
        <v>19176</v>
      </c>
    </row>
    <row r="14812" spans="2:9" ht="15" customHeight="1" x14ac:dyDescent="0.25">
      <c r="B14812" s="55" t="s">
        <v>281</v>
      </c>
      <c r="C14812" s="46">
        <v>4800</v>
      </c>
      <c r="D14812" s="69" t="s">
        <v>29418</v>
      </c>
      <c r="E14812" s="51"/>
      <c r="F14812" s="114" t="str">
        <f>IF(INDEX(I.Facility.P2bIDNumber,4800)="","",INDEX(I.Facility.P2bIDNumber,4800))</f>
        <v/>
      </c>
      <c r="G14812" s="51"/>
      <c r="H14812" s="46" t="str">
        <f>IF(AND(I.Developer.P2b=TRUE,I.Facility.P2bFacilityCount&gt;=4800,F14812=""),"Incomplete","Complete")</f>
        <v>Complete</v>
      </c>
      <c r="I14812" s="48" t="s">
        <v>19177</v>
      </c>
    </row>
    <row r="14813" spans="2:9" ht="15" customHeight="1" x14ac:dyDescent="0.25">
      <c r="B14813" s="55" t="s">
        <v>281</v>
      </c>
      <c r="C14813" s="46">
        <v>4801</v>
      </c>
      <c r="D14813" s="69" t="s">
        <v>29418</v>
      </c>
      <c r="E14813" s="51"/>
      <c r="F14813" s="114" t="str">
        <f>IF(INDEX(I.Facility.P2bIDNumber,4801)="","",INDEX(I.Facility.P2bIDNumber,4801))</f>
        <v/>
      </c>
      <c r="G14813" s="51"/>
      <c r="H14813" s="46" t="str">
        <f>IF(AND(I.Developer.P2b=TRUE,I.Facility.P2bFacilityCount&gt;=4801,F14813=""),"Incomplete","Complete")</f>
        <v>Complete</v>
      </c>
      <c r="I14813" s="48" t="s">
        <v>19178</v>
      </c>
    </row>
    <row r="14814" spans="2:9" ht="15" customHeight="1" x14ac:dyDescent="0.25">
      <c r="B14814" s="55" t="s">
        <v>281</v>
      </c>
      <c r="C14814" s="46">
        <v>4802</v>
      </c>
      <c r="D14814" s="69" t="s">
        <v>29418</v>
      </c>
      <c r="E14814" s="51"/>
      <c r="F14814" s="114" t="str">
        <f>IF(INDEX(I.Facility.P2bIDNumber,4802)="","",INDEX(I.Facility.P2bIDNumber,4802))</f>
        <v/>
      </c>
      <c r="G14814" s="51"/>
      <c r="H14814" s="46" t="str">
        <f>IF(AND(I.Developer.P2b=TRUE,I.Facility.P2bFacilityCount&gt;=4802,F14814=""),"Incomplete","Complete")</f>
        <v>Complete</v>
      </c>
      <c r="I14814" s="48" t="s">
        <v>19179</v>
      </c>
    </row>
    <row r="14815" spans="2:9" ht="15" customHeight="1" x14ac:dyDescent="0.25">
      <c r="B14815" s="55" t="s">
        <v>281</v>
      </c>
      <c r="C14815" s="46">
        <v>4803</v>
      </c>
      <c r="D14815" s="69" t="s">
        <v>29418</v>
      </c>
      <c r="E14815" s="51"/>
      <c r="F14815" s="114" t="str">
        <f>IF(INDEX(I.Facility.P2bIDNumber,4803)="","",INDEX(I.Facility.P2bIDNumber,4803))</f>
        <v/>
      </c>
      <c r="G14815" s="51"/>
      <c r="H14815" s="46" t="str">
        <f>IF(AND(I.Developer.P2b=TRUE,I.Facility.P2bFacilityCount&gt;=4803,F14815=""),"Incomplete","Complete")</f>
        <v>Complete</v>
      </c>
      <c r="I14815" s="48" t="s">
        <v>19180</v>
      </c>
    </row>
    <row r="14816" spans="2:9" ht="15" customHeight="1" x14ac:dyDescent="0.25">
      <c r="B14816" s="55" t="s">
        <v>281</v>
      </c>
      <c r="C14816" s="46">
        <v>4804</v>
      </c>
      <c r="D14816" s="69" t="s">
        <v>29418</v>
      </c>
      <c r="E14816" s="51"/>
      <c r="F14816" s="114" t="str">
        <f>IF(INDEX(I.Facility.P2bIDNumber,4804)="","",INDEX(I.Facility.P2bIDNumber,4804))</f>
        <v/>
      </c>
      <c r="G14816" s="51"/>
      <c r="H14816" s="46" t="str">
        <f>IF(AND(I.Developer.P2b=TRUE,I.Facility.P2bFacilityCount&gt;=4804,F14816=""),"Incomplete","Complete")</f>
        <v>Complete</v>
      </c>
      <c r="I14816" s="48" t="s">
        <v>19181</v>
      </c>
    </row>
    <row r="14817" spans="2:9" ht="15" customHeight="1" x14ac:dyDescent="0.25">
      <c r="B14817" s="55" t="s">
        <v>281</v>
      </c>
      <c r="C14817" s="46">
        <v>4805</v>
      </c>
      <c r="D14817" s="69" t="s">
        <v>29418</v>
      </c>
      <c r="E14817" s="51"/>
      <c r="F14817" s="114" t="str">
        <f>IF(INDEX(I.Facility.P2bIDNumber,4805)="","",INDEX(I.Facility.P2bIDNumber,4805))</f>
        <v/>
      </c>
      <c r="G14817" s="51"/>
      <c r="H14817" s="46" t="str">
        <f>IF(AND(I.Developer.P2b=TRUE,I.Facility.P2bFacilityCount&gt;=4805,F14817=""),"Incomplete","Complete")</f>
        <v>Complete</v>
      </c>
      <c r="I14817" s="48" t="s">
        <v>19182</v>
      </c>
    </row>
    <row r="14818" spans="2:9" ht="15" customHeight="1" x14ac:dyDescent="0.25">
      <c r="B14818" s="55" t="s">
        <v>281</v>
      </c>
      <c r="C14818" s="46">
        <v>4806</v>
      </c>
      <c r="D14818" s="69" t="s">
        <v>29418</v>
      </c>
      <c r="E14818" s="51"/>
      <c r="F14818" s="114" t="str">
        <f>IF(INDEX(I.Facility.P2bIDNumber,4806)="","",INDEX(I.Facility.P2bIDNumber,4806))</f>
        <v/>
      </c>
      <c r="G14818" s="51"/>
      <c r="H14818" s="46" t="str">
        <f>IF(AND(I.Developer.P2b=TRUE,I.Facility.P2bFacilityCount&gt;=4806,F14818=""),"Incomplete","Complete")</f>
        <v>Complete</v>
      </c>
      <c r="I14818" s="48" t="s">
        <v>19183</v>
      </c>
    </row>
    <row r="14819" spans="2:9" ht="15" customHeight="1" x14ac:dyDescent="0.25">
      <c r="B14819" s="55" t="s">
        <v>281</v>
      </c>
      <c r="C14819" s="46">
        <v>4807</v>
      </c>
      <c r="D14819" s="69" t="s">
        <v>29418</v>
      </c>
      <c r="E14819" s="51"/>
      <c r="F14819" s="114" t="str">
        <f>IF(INDEX(I.Facility.P2bIDNumber,4807)="","",INDEX(I.Facility.P2bIDNumber,4807))</f>
        <v/>
      </c>
      <c r="G14819" s="51"/>
      <c r="H14819" s="46" t="str">
        <f>IF(AND(I.Developer.P2b=TRUE,I.Facility.P2bFacilityCount&gt;=4807,F14819=""),"Incomplete","Complete")</f>
        <v>Complete</v>
      </c>
      <c r="I14819" s="48" t="s">
        <v>19184</v>
      </c>
    </row>
    <row r="14820" spans="2:9" ht="15" customHeight="1" x14ac:dyDescent="0.25">
      <c r="B14820" s="55" t="s">
        <v>281</v>
      </c>
      <c r="C14820" s="46">
        <v>4808</v>
      </c>
      <c r="D14820" s="69" t="s">
        <v>29418</v>
      </c>
      <c r="E14820" s="51"/>
      <c r="F14820" s="114" t="str">
        <f>IF(INDEX(I.Facility.P2bIDNumber,4808)="","",INDEX(I.Facility.P2bIDNumber,4808))</f>
        <v/>
      </c>
      <c r="G14820" s="51"/>
      <c r="H14820" s="46" t="str">
        <f>IF(AND(I.Developer.P2b=TRUE,I.Facility.P2bFacilityCount&gt;=4808,F14820=""),"Incomplete","Complete")</f>
        <v>Complete</v>
      </c>
      <c r="I14820" s="48" t="s">
        <v>19185</v>
      </c>
    </row>
    <row r="14821" spans="2:9" ht="15" customHeight="1" x14ac:dyDescent="0.25">
      <c r="B14821" s="55" t="s">
        <v>281</v>
      </c>
      <c r="C14821" s="46">
        <v>4809</v>
      </c>
      <c r="D14821" s="69" t="s">
        <v>29418</v>
      </c>
      <c r="E14821" s="51"/>
      <c r="F14821" s="114" t="str">
        <f>IF(INDEX(I.Facility.P2bIDNumber,4809)="","",INDEX(I.Facility.P2bIDNumber,4809))</f>
        <v/>
      </c>
      <c r="G14821" s="51"/>
      <c r="H14821" s="46" t="str">
        <f>IF(AND(I.Developer.P2b=TRUE,I.Facility.P2bFacilityCount&gt;=4809,F14821=""),"Incomplete","Complete")</f>
        <v>Complete</v>
      </c>
      <c r="I14821" s="48" t="s">
        <v>19186</v>
      </c>
    </row>
    <row r="14822" spans="2:9" ht="15" customHeight="1" x14ac:dyDescent="0.25">
      <c r="B14822" s="55" t="s">
        <v>281</v>
      </c>
      <c r="C14822" s="46">
        <v>4810</v>
      </c>
      <c r="D14822" s="69" t="s">
        <v>29418</v>
      </c>
      <c r="E14822" s="51"/>
      <c r="F14822" s="114" t="str">
        <f>IF(INDEX(I.Facility.P2bIDNumber,4810)="","",INDEX(I.Facility.P2bIDNumber,4810))</f>
        <v/>
      </c>
      <c r="G14822" s="51"/>
      <c r="H14822" s="46" t="str">
        <f>IF(AND(I.Developer.P2b=TRUE,I.Facility.P2bFacilityCount&gt;=4810,F14822=""),"Incomplete","Complete")</f>
        <v>Complete</v>
      </c>
      <c r="I14822" s="48" t="s">
        <v>19187</v>
      </c>
    </row>
    <row r="14823" spans="2:9" ht="15" customHeight="1" x14ac:dyDescent="0.25">
      <c r="B14823" s="55" t="s">
        <v>281</v>
      </c>
      <c r="C14823" s="46">
        <v>4811</v>
      </c>
      <c r="D14823" s="69" t="s">
        <v>29418</v>
      </c>
      <c r="E14823" s="51"/>
      <c r="F14823" s="114" t="str">
        <f>IF(INDEX(I.Facility.P2bIDNumber,4811)="","",INDEX(I.Facility.P2bIDNumber,4811))</f>
        <v/>
      </c>
      <c r="G14823" s="51"/>
      <c r="H14823" s="46" t="str">
        <f>IF(AND(I.Developer.P2b=TRUE,I.Facility.P2bFacilityCount&gt;=4811,F14823=""),"Incomplete","Complete")</f>
        <v>Complete</v>
      </c>
      <c r="I14823" s="48" t="s">
        <v>19188</v>
      </c>
    </row>
    <row r="14824" spans="2:9" ht="15" customHeight="1" x14ac:dyDescent="0.25">
      <c r="B14824" s="55" t="s">
        <v>281</v>
      </c>
      <c r="C14824" s="46">
        <v>4812</v>
      </c>
      <c r="D14824" s="69" t="s">
        <v>29418</v>
      </c>
      <c r="E14824" s="51"/>
      <c r="F14824" s="114" t="str">
        <f>IF(INDEX(I.Facility.P2bIDNumber,4812)="","",INDEX(I.Facility.P2bIDNumber,4812))</f>
        <v/>
      </c>
      <c r="G14824" s="51"/>
      <c r="H14824" s="46" t="str">
        <f>IF(AND(I.Developer.P2b=TRUE,I.Facility.P2bFacilityCount&gt;=4812,F14824=""),"Incomplete","Complete")</f>
        <v>Complete</v>
      </c>
      <c r="I14824" s="48" t="s">
        <v>19189</v>
      </c>
    </row>
    <row r="14825" spans="2:9" ht="15" customHeight="1" x14ac:dyDescent="0.25">
      <c r="B14825" s="55" t="s">
        <v>281</v>
      </c>
      <c r="C14825" s="46">
        <v>4813</v>
      </c>
      <c r="D14825" s="69" t="s">
        <v>29418</v>
      </c>
      <c r="E14825" s="51"/>
      <c r="F14825" s="114" t="str">
        <f>IF(INDEX(I.Facility.P2bIDNumber,4813)="","",INDEX(I.Facility.P2bIDNumber,4813))</f>
        <v/>
      </c>
      <c r="G14825" s="51"/>
      <c r="H14825" s="46" t="str">
        <f>IF(AND(I.Developer.P2b=TRUE,I.Facility.P2bFacilityCount&gt;=4813,F14825=""),"Incomplete","Complete")</f>
        <v>Complete</v>
      </c>
      <c r="I14825" s="48" t="s">
        <v>19190</v>
      </c>
    </row>
    <row r="14826" spans="2:9" ht="15" customHeight="1" x14ac:dyDescent="0.25">
      <c r="B14826" s="55" t="s">
        <v>281</v>
      </c>
      <c r="C14826" s="46">
        <v>4814</v>
      </c>
      <c r="D14826" s="69" t="s">
        <v>29418</v>
      </c>
      <c r="E14826" s="51"/>
      <c r="F14826" s="114" t="str">
        <f>IF(INDEX(I.Facility.P2bIDNumber,4814)="","",INDEX(I.Facility.P2bIDNumber,4814))</f>
        <v/>
      </c>
      <c r="G14826" s="51"/>
      <c r="H14826" s="46" t="str">
        <f>IF(AND(I.Developer.P2b=TRUE,I.Facility.P2bFacilityCount&gt;=4814,F14826=""),"Incomplete","Complete")</f>
        <v>Complete</v>
      </c>
      <c r="I14826" s="48" t="s">
        <v>19191</v>
      </c>
    </row>
    <row r="14827" spans="2:9" ht="15" customHeight="1" x14ac:dyDescent="0.25">
      <c r="B14827" s="55" t="s">
        <v>281</v>
      </c>
      <c r="C14827" s="46">
        <v>4815</v>
      </c>
      <c r="D14827" s="69" t="s">
        <v>29418</v>
      </c>
      <c r="E14827" s="51"/>
      <c r="F14827" s="114" t="str">
        <f>IF(INDEX(I.Facility.P2bIDNumber,4815)="","",INDEX(I.Facility.P2bIDNumber,4815))</f>
        <v/>
      </c>
      <c r="G14827" s="51"/>
      <c r="H14827" s="46" t="str">
        <f>IF(AND(I.Developer.P2b=TRUE,I.Facility.P2bFacilityCount&gt;=4815,F14827=""),"Incomplete","Complete")</f>
        <v>Complete</v>
      </c>
      <c r="I14827" s="48" t="s">
        <v>19192</v>
      </c>
    </row>
    <row r="14828" spans="2:9" ht="15" customHeight="1" x14ac:dyDescent="0.25">
      <c r="B14828" s="55" t="s">
        <v>281</v>
      </c>
      <c r="C14828" s="46">
        <v>4816</v>
      </c>
      <c r="D14828" s="69" t="s">
        <v>29418</v>
      </c>
      <c r="E14828" s="51"/>
      <c r="F14828" s="114" t="str">
        <f>IF(INDEX(I.Facility.P2bIDNumber,4816)="","",INDEX(I.Facility.P2bIDNumber,4816))</f>
        <v/>
      </c>
      <c r="G14828" s="51"/>
      <c r="H14828" s="46" t="str">
        <f>IF(AND(I.Developer.P2b=TRUE,I.Facility.P2bFacilityCount&gt;=4816,F14828=""),"Incomplete","Complete")</f>
        <v>Complete</v>
      </c>
      <c r="I14828" s="48" t="s">
        <v>19193</v>
      </c>
    </row>
    <row r="14829" spans="2:9" ht="15" customHeight="1" x14ac:dyDescent="0.25">
      <c r="B14829" s="55" t="s">
        <v>281</v>
      </c>
      <c r="C14829" s="46">
        <v>4817</v>
      </c>
      <c r="D14829" s="69" t="s">
        <v>29418</v>
      </c>
      <c r="E14829" s="51"/>
      <c r="F14829" s="114" t="str">
        <f>IF(INDEX(I.Facility.P2bIDNumber,4817)="","",INDEX(I.Facility.P2bIDNumber,4817))</f>
        <v/>
      </c>
      <c r="G14829" s="51"/>
      <c r="H14829" s="46" t="str">
        <f>IF(AND(I.Developer.P2b=TRUE,I.Facility.P2bFacilityCount&gt;=4817,F14829=""),"Incomplete","Complete")</f>
        <v>Complete</v>
      </c>
      <c r="I14829" s="48" t="s">
        <v>19194</v>
      </c>
    </row>
    <row r="14830" spans="2:9" ht="15" customHeight="1" x14ac:dyDescent="0.25">
      <c r="B14830" s="55" t="s">
        <v>281</v>
      </c>
      <c r="C14830" s="46">
        <v>4818</v>
      </c>
      <c r="D14830" s="69" t="s">
        <v>29418</v>
      </c>
      <c r="E14830" s="51"/>
      <c r="F14830" s="114" t="str">
        <f>IF(INDEX(I.Facility.P2bIDNumber,4818)="","",INDEX(I.Facility.P2bIDNumber,4818))</f>
        <v/>
      </c>
      <c r="G14830" s="51"/>
      <c r="H14830" s="46" t="str">
        <f>IF(AND(I.Developer.P2b=TRUE,I.Facility.P2bFacilityCount&gt;=4818,F14830=""),"Incomplete","Complete")</f>
        <v>Complete</v>
      </c>
      <c r="I14830" s="48" t="s">
        <v>19195</v>
      </c>
    </row>
    <row r="14831" spans="2:9" ht="15" customHeight="1" x14ac:dyDescent="0.25">
      <c r="B14831" s="55" t="s">
        <v>281</v>
      </c>
      <c r="C14831" s="46">
        <v>4819</v>
      </c>
      <c r="D14831" s="69" t="s">
        <v>29418</v>
      </c>
      <c r="E14831" s="51"/>
      <c r="F14831" s="114" t="str">
        <f>IF(INDEX(I.Facility.P2bIDNumber,4819)="","",INDEX(I.Facility.P2bIDNumber,4819))</f>
        <v/>
      </c>
      <c r="G14831" s="51"/>
      <c r="H14831" s="46" t="str">
        <f>IF(AND(I.Developer.P2b=TRUE,I.Facility.P2bFacilityCount&gt;=4819,F14831=""),"Incomplete","Complete")</f>
        <v>Complete</v>
      </c>
      <c r="I14831" s="48" t="s">
        <v>19196</v>
      </c>
    </row>
    <row r="14832" spans="2:9" ht="15" customHeight="1" x14ac:dyDescent="0.25">
      <c r="B14832" s="55" t="s">
        <v>281</v>
      </c>
      <c r="C14832" s="46">
        <v>4820</v>
      </c>
      <c r="D14832" s="69" t="s">
        <v>29418</v>
      </c>
      <c r="E14832" s="51"/>
      <c r="F14832" s="114" t="str">
        <f>IF(INDEX(I.Facility.P2bIDNumber,4820)="","",INDEX(I.Facility.P2bIDNumber,4820))</f>
        <v/>
      </c>
      <c r="G14832" s="51"/>
      <c r="H14832" s="46" t="str">
        <f>IF(AND(I.Developer.P2b=TRUE,I.Facility.P2bFacilityCount&gt;=4820,F14832=""),"Incomplete","Complete")</f>
        <v>Complete</v>
      </c>
      <c r="I14832" s="48" t="s">
        <v>19197</v>
      </c>
    </row>
    <row r="14833" spans="2:9" ht="15" customHeight="1" x14ac:dyDescent="0.25">
      <c r="B14833" s="55" t="s">
        <v>281</v>
      </c>
      <c r="C14833" s="46">
        <v>4821</v>
      </c>
      <c r="D14833" s="69" t="s">
        <v>29418</v>
      </c>
      <c r="E14833" s="51"/>
      <c r="F14833" s="114" t="str">
        <f>IF(INDEX(I.Facility.P2bIDNumber,4821)="","",INDEX(I.Facility.P2bIDNumber,4821))</f>
        <v/>
      </c>
      <c r="G14833" s="51"/>
      <c r="H14833" s="46" t="str">
        <f>IF(AND(I.Developer.P2b=TRUE,I.Facility.P2bFacilityCount&gt;=4821,F14833=""),"Incomplete","Complete")</f>
        <v>Complete</v>
      </c>
      <c r="I14833" s="48" t="s">
        <v>19198</v>
      </c>
    </row>
    <row r="14834" spans="2:9" ht="15" customHeight="1" x14ac:dyDescent="0.25">
      <c r="B14834" s="55" t="s">
        <v>281</v>
      </c>
      <c r="C14834" s="46">
        <v>4822</v>
      </c>
      <c r="D14834" s="69" t="s">
        <v>29418</v>
      </c>
      <c r="E14834" s="51"/>
      <c r="F14834" s="114" t="str">
        <f>IF(INDEX(I.Facility.P2bIDNumber,4822)="","",INDEX(I.Facility.P2bIDNumber,4822))</f>
        <v/>
      </c>
      <c r="G14834" s="51"/>
      <c r="H14834" s="46" t="str">
        <f>IF(AND(I.Developer.P2b=TRUE,I.Facility.P2bFacilityCount&gt;=4822,F14834=""),"Incomplete","Complete")</f>
        <v>Complete</v>
      </c>
      <c r="I14834" s="48" t="s">
        <v>19199</v>
      </c>
    </row>
    <row r="14835" spans="2:9" ht="15" customHeight="1" x14ac:dyDescent="0.25">
      <c r="B14835" s="55" t="s">
        <v>281</v>
      </c>
      <c r="C14835" s="46">
        <v>4823</v>
      </c>
      <c r="D14835" s="69" t="s">
        <v>29418</v>
      </c>
      <c r="E14835" s="51"/>
      <c r="F14835" s="114" t="str">
        <f>IF(INDEX(I.Facility.P2bIDNumber,4823)="","",INDEX(I.Facility.P2bIDNumber,4823))</f>
        <v/>
      </c>
      <c r="G14835" s="51"/>
      <c r="H14835" s="46" t="str">
        <f>IF(AND(I.Developer.P2b=TRUE,I.Facility.P2bFacilityCount&gt;=4823,F14835=""),"Incomplete","Complete")</f>
        <v>Complete</v>
      </c>
      <c r="I14835" s="48" t="s">
        <v>19200</v>
      </c>
    </row>
    <row r="14836" spans="2:9" ht="15" customHeight="1" x14ac:dyDescent="0.25">
      <c r="B14836" s="55" t="s">
        <v>281</v>
      </c>
      <c r="C14836" s="46">
        <v>4824</v>
      </c>
      <c r="D14836" s="69" t="s">
        <v>29418</v>
      </c>
      <c r="E14836" s="51"/>
      <c r="F14836" s="114" t="str">
        <f>IF(INDEX(I.Facility.P2bIDNumber,4824)="","",INDEX(I.Facility.P2bIDNumber,4824))</f>
        <v/>
      </c>
      <c r="G14836" s="51"/>
      <c r="H14836" s="46" t="str">
        <f>IF(AND(I.Developer.P2b=TRUE,I.Facility.P2bFacilityCount&gt;=4824,F14836=""),"Incomplete","Complete")</f>
        <v>Complete</v>
      </c>
      <c r="I14836" s="48" t="s">
        <v>19201</v>
      </c>
    </row>
    <row r="14837" spans="2:9" ht="15" customHeight="1" x14ac:dyDescent="0.25">
      <c r="B14837" s="55" t="s">
        <v>281</v>
      </c>
      <c r="C14837" s="46">
        <v>4825</v>
      </c>
      <c r="D14837" s="69" t="s">
        <v>29418</v>
      </c>
      <c r="E14837" s="51"/>
      <c r="F14837" s="114" t="str">
        <f>IF(INDEX(I.Facility.P2bIDNumber,4825)="","",INDEX(I.Facility.P2bIDNumber,4825))</f>
        <v/>
      </c>
      <c r="G14837" s="51"/>
      <c r="H14837" s="46" t="str">
        <f>IF(AND(I.Developer.P2b=TRUE,I.Facility.P2bFacilityCount&gt;=4825,F14837=""),"Incomplete","Complete")</f>
        <v>Complete</v>
      </c>
      <c r="I14837" s="48" t="s">
        <v>19202</v>
      </c>
    </row>
    <row r="14838" spans="2:9" ht="15" customHeight="1" x14ac:dyDescent="0.25">
      <c r="B14838" s="55" t="s">
        <v>281</v>
      </c>
      <c r="C14838" s="46">
        <v>4826</v>
      </c>
      <c r="D14838" s="69" t="s">
        <v>29418</v>
      </c>
      <c r="E14838" s="51"/>
      <c r="F14838" s="114" t="str">
        <f>IF(INDEX(I.Facility.P2bIDNumber,4826)="","",INDEX(I.Facility.P2bIDNumber,4826))</f>
        <v/>
      </c>
      <c r="G14838" s="51"/>
      <c r="H14838" s="46" t="str">
        <f>IF(AND(I.Developer.P2b=TRUE,I.Facility.P2bFacilityCount&gt;=4826,F14838=""),"Incomplete","Complete")</f>
        <v>Complete</v>
      </c>
      <c r="I14838" s="48" t="s">
        <v>19203</v>
      </c>
    </row>
    <row r="14839" spans="2:9" ht="15" customHeight="1" x14ac:dyDescent="0.25">
      <c r="B14839" s="55" t="s">
        <v>281</v>
      </c>
      <c r="C14839" s="46">
        <v>4827</v>
      </c>
      <c r="D14839" s="69" t="s">
        <v>29418</v>
      </c>
      <c r="E14839" s="51"/>
      <c r="F14839" s="114" t="str">
        <f>IF(INDEX(I.Facility.P2bIDNumber,4827)="","",INDEX(I.Facility.P2bIDNumber,4827))</f>
        <v/>
      </c>
      <c r="G14839" s="51"/>
      <c r="H14839" s="46" t="str">
        <f>IF(AND(I.Developer.P2b=TRUE,I.Facility.P2bFacilityCount&gt;=4827,F14839=""),"Incomplete","Complete")</f>
        <v>Complete</v>
      </c>
      <c r="I14839" s="48" t="s">
        <v>19204</v>
      </c>
    </row>
    <row r="14840" spans="2:9" ht="15" customHeight="1" x14ac:dyDescent="0.25">
      <c r="B14840" s="55" t="s">
        <v>281</v>
      </c>
      <c r="C14840" s="46">
        <v>4828</v>
      </c>
      <c r="D14840" s="69" t="s">
        <v>29418</v>
      </c>
      <c r="E14840" s="51"/>
      <c r="F14840" s="114" t="str">
        <f>IF(INDEX(I.Facility.P2bIDNumber,4828)="","",INDEX(I.Facility.P2bIDNumber,4828))</f>
        <v/>
      </c>
      <c r="G14840" s="51"/>
      <c r="H14840" s="46" t="str">
        <f>IF(AND(I.Developer.P2b=TRUE,I.Facility.P2bFacilityCount&gt;=4828,F14840=""),"Incomplete","Complete")</f>
        <v>Complete</v>
      </c>
      <c r="I14840" s="48" t="s">
        <v>19205</v>
      </c>
    </row>
    <row r="14841" spans="2:9" ht="15" customHeight="1" x14ac:dyDescent="0.25">
      <c r="B14841" s="55" t="s">
        <v>281</v>
      </c>
      <c r="C14841" s="46">
        <v>4829</v>
      </c>
      <c r="D14841" s="69" t="s">
        <v>29418</v>
      </c>
      <c r="E14841" s="51"/>
      <c r="F14841" s="114" t="str">
        <f>IF(INDEX(I.Facility.P2bIDNumber,4829)="","",INDEX(I.Facility.P2bIDNumber,4829))</f>
        <v/>
      </c>
      <c r="G14841" s="51"/>
      <c r="H14841" s="46" t="str">
        <f>IF(AND(I.Developer.P2b=TRUE,I.Facility.P2bFacilityCount&gt;=4829,F14841=""),"Incomplete","Complete")</f>
        <v>Complete</v>
      </c>
      <c r="I14841" s="48" t="s">
        <v>19206</v>
      </c>
    </row>
    <row r="14842" spans="2:9" ht="15" customHeight="1" x14ac:dyDescent="0.25">
      <c r="B14842" s="55" t="s">
        <v>281</v>
      </c>
      <c r="C14842" s="46">
        <v>4830</v>
      </c>
      <c r="D14842" s="69" t="s">
        <v>29418</v>
      </c>
      <c r="E14842" s="51"/>
      <c r="F14842" s="114" t="str">
        <f>IF(INDEX(I.Facility.P2bIDNumber,4830)="","",INDEX(I.Facility.P2bIDNumber,4830))</f>
        <v/>
      </c>
      <c r="G14842" s="51"/>
      <c r="H14842" s="46" t="str">
        <f>IF(AND(I.Developer.P2b=TRUE,I.Facility.P2bFacilityCount&gt;=4830,F14842=""),"Incomplete","Complete")</f>
        <v>Complete</v>
      </c>
      <c r="I14842" s="48" t="s">
        <v>19207</v>
      </c>
    </row>
    <row r="14843" spans="2:9" ht="15" customHeight="1" x14ac:dyDescent="0.25">
      <c r="B14843" s="55" t="s">
        <v>281</v>
      </c>
      <c r="C14843" s="46">
        <v>4831</v>
      </c>
      <c r="D14843" s="69" t="s">
        <v>29418</v>
      </c>
      <c r="E14843" s="51"/>
      <c r="F14843" s="114" t="str">
        <f>IF(INDEX(I.Facility.P2bIDNumber,4831)="","",INDEX(I.Facility.P2bIDNumber,4831))</f>
        <v/>
      </c>
      <c r="G14843" s="51"/>
      <c r="H14843" s="46" t="str">
        <f>IF(AND(I.Developer.P2b=TRUE,I.Facility.P2bFacilityCount&gt;=4831,F14843=""),"Incomplete","Complete")</f>
        <v>Complete</v>
      </c>
      <c r="I14843" s="48" t="s">
        <v>19208</v>
      </c>
    </row>
    <row r="14844" spans="2:9" ht="15" customHeight="1" x14ac:dyDescent="0.25">
      <c r="B14844" s="55" t="s">
        <v>281</v>
      </c>
      <c r="C14844" s="46">
        <v>4832</v>
      </c>
      <c r="D14844" s="69" t="s">
        <v>29418</v>
      </c>
      <c r="E14844" s="51"/>
      <c r="F14844" s="114" t="str">
        <f>IF(INDEX(I.Facility.P2bIDNumber,4832)="","",INDEX(I.Facility.P2bIDNumber,4832))</f>
        <v/>
      </c>
      <c r="G14844" s="51"/>
      <c r="H14844" s="46" t="str">
        <f>IF(AND(I.Developer.P2b=TRUE,I.Facility.P2bFacilityCount&gt;=4832,F14844=""),"Incomplete","Complete")</f>
        <v>Complete</v>
      </c>
      <c r="I14844" s="48" t="s">
        <v>19209</v>
      </c>
    </row>
    <row r="14845" spans="2:9" ht="15" customHeight="1" x14ac:dyDescent="0.25">
      <c r="B14845" s="55" t="s">
        <v>281</v>
      </c>
      <c r="C14845" s="46">
        <v>4833</v>
      </c>
      <c r="D14845" s="69" t="s">
        <v>29418</v>
      </c>
      <c r="E14845" s="51"/>
      <c r="F14845" s="114" t="str">
        <f>IF(INDEX(I.Facility.P2bIDNumber,4833)="","",INDEX(I.Facility.P2bIDNumber,4833))</f>
        <v/>
      </c>
      <c r="G14845" s="51"/>
      <c r="H14845" s="46" t="str">
        <f>IF(AND(I.Developer.P2b=TRUE,I.Facility.P2bFacilityCount&gt;=4833,F14845=""),"Incomplete","Complete")</f>
        <v>Complete</v>
      </c>
      <c r="I14845" s="48" t="s">
        <v>19210</v>
      </c>
    </row>
    <row r="14846" spans="2:9" ht="15" customHeight="1" x14ac:dyDescent="0.25">
      <c r="B14846" s="55" t="s">
        <v>281</v>
      </c>
      <c r="C14846" s="46">
        <v>4834</v>
      </c>
      <c r="D14846" s="69" t="s">
        <v>29418</v>
      </c>
      <c r="E14846" s="51"/>
      <c r="F14846" s="114" t="str">
        <f>IF(INDEX(I.Facility.P2bIDNumber,4834)="","",INDEX(I.Facility.P2bIDNumber,4834))</f>
        <v/>
      </c>
      <c r="G14846" s="51"/>
      <c r="H14846" s="46" t="str">
        <f>IF(AND(I.Developer.P2b=TRUE,I.Facility.P2bFacilityCount&gt;=4834,F14846=""),"Incomplete","Complete")</f>
        <v>Complete</v>
      </c>
      <c r="I14846" s="48" t="s">
        <v>19211</v>
      </c>
    </row>
    <row r="14847" spans="2:9" ht="15" customHeight="1" x14ac:dyDescent="0.25">
      <c r="B14847" s="55" t="s">
        <v>281</v>
      </c>
      <c r="C14847" s="46">
        <v>4835</v>
      </c>
      <c r="D14847" s="69" t="s">
        <v>29418</v>
      </c>
      <c r="E14847" s="51"/>
      <c r="F14847" s="114" t="str">
        <f>IF(INDEX(I.Facility.P2bIDNumber,4835)="","",INDEX(I.Facility.P2bIDNumber,4835))</f>
        <v/>
      </c>
      <c r="G14847" s="51"/>
      <c r="H14847" s="46" t="str">
        <f>IF(AND(I.Developer.P2b=TRUE,I.Facility.P2bFacilityCount&gt;=4835,F14847=""),"Incomplete","Complete")</f>
        <v>Complete</v>
      </c>
      <c r="I14847" s="48" t="s">
        <v>19212</v>
      </c>
    </row>
    <row r="14848" spans="2:9" ht="15" customHeight="1" x14ac:dyDescent="0.25">
      <c r="B14848" s="55" t="s">
        <v>281</v>
      </c>
      <c r="C14848" s="46">
        <v>4836</v>
      </c>
      <c r="D14848" s="69" t="s">
        <v>29418</v>
      </c>
      <c r="E14848" s="51"/>
      <c r="F14848" s="114" t="str">
        <f>IF(INDEX(I.Facility.P2bIDNumber,4836)="","",INDEX(I.Facility.P2bIDNumber,4836))</f>
        <v/>
      </c>
      <c r="G14848" s="51"/>
      <c r="H14848" s="46" t="str">
        <f>IF(AND(I.Developer.P2b=TRUE,I.Facility.P2bFacilityCount&gt;=4836,F14848=""),"Incomplete","Complete")</f>
        <v>Complete</v>
      </c>
      <c r="I14848" s="48" t="s">
        <v>19213</v>
      </c>
    </row>
    <row r="14849" spans="2:9" ht="15" customHeight="1" x14ac:dyDescent="0.25">
      <c r="B14849" s="55" t="s">
        <v>281</v>
      </c>
      <c r="C14849" s="46">
        <v>4837</v>
      </c>
      <c r="D14849" s="69" t="s">
        <v>29418</v>
      </c>
      <c r="E14849" s="51"/>
      <c r="F14849" s="114" t="str">
        <f>IF(INDEX(I.Facility.P2bIDNumber,4837)="","",INDEX(I.Facility.P2bIDNumber,4837))</f>
        <v/>
      </c>
      <c r="G14849" s="51"/>
      <c r="H14849" s="46" t="str">
        <f>IF(AND(I.Developer.P2b=TRUE,I.Facility.P2bFacilityCount&gt;=4837,F14849=""),"Incomplete","Complete")</f>
        <v>Complete</v>
      </c>
      <c r="I14849" s="48" t="s">
        <v>19214</v>
      </c>
    </row>
    <row r="14850" spans="2:9" ht="15" customHeight="1" x14ac:dyDescent="0.25">
      <c r="B14850" s="55" t="s">
        <v>281</v>
      </c>
      <c r="C14850" s="46">
        <v>4838</v>
      </c>
      <c r="D14850" s="69" t="s">
        <v>29418</v>
      </c>
      <c r="E14850" s="51"/>
      <c r="F14850" s="114" t="str">
        <f>IF(INDEX(I.Facility.P2bIDNumber,4838)="","",INDEX(I.Facility.P2bIDNumber,4838))</f>
        <v/>
      </c>
      <c r="G14850" s="51"/>
      <c r="H14850" s="46" t="str">
        <f>IF(AND(I.Developer.P2b=TRUE,I.Facility.P2bFacilityCount&gt;=4838,F14850=""),"Incomplete","Complete")</f>
        <v>Complete</v>
      </c>
      <c r="I14850" s="48" t="s">
        <v>19215</v>
      </c>
    </row>
    <row r="14851" spans="2:9" ht="15" customHeight="1" x14ac:dyDescent="0.25">
      <c r="B14851" s="55" t="s">
        <v>281</v>
      </c>
      <c r="C14851" s="46">
        <v>4839</v>
      </c>
      <c r="D14851" s="69" t="s">
        <v>29418</v>
      </c>
      <c r="E14851" s="51"/>
      <c r="F14851" s="114" t="str">
        <f>IF(INDEX(I.Facility.P2bIDNumber,4839)="","",INDEX(I.Facility.P2bIDNumber,4839))</f>
        <v/>
      </c>
      <c r="G14851" s="51"/>
      <c r="H14851" s="46" t="str">
        <f>IF(AND(I.Developer.P2b=TRUE,I.Facility.P2bFacilityCount&gt;=4839,F14851=""),"Incomplete","Complete")</f>
        <v>Complete</v>
      </c>
      <c r="I14851" s="48" t="s">
        <v>19216</v>
      </c>
    </row>
    <row r="14852" spans="2:9" ht="15" customHeight="1" x14ac:dyDescent="0.25">
      <c r="B14852" s="55" t="s">
        <v>281</v>
      </c>
      <c r="C14852" s="46">
        <v>4840</v>
      </c>
      <c r="D14852" s="69" t="s">
        <v>29418</v>
      </c>
      <c r="E14852" s="51"/>
      <c r="F14852" s="114" t="str">
        <f>IF(INDEX(I.Facility.P2bIDNumber,4840)="","",INDEX(I.Facility.P2bIDNumber,4840))</f>
        <v/>
      </c>
      <c r="G14852" s="51"/>
      <c r="H14852" s="46" t="str">
        <f>IF(AND(I.Developer.P2b=TRUE,I.Facility.P2bFacilityCount&gt;=4840,F14852=""),"Incomplete","Complete")</f>
        <v>Complete</v>
      </c>
      <c r="I14852" s="48" t="s">
        <v>19217</v>
      </c>
    </row>
    <row r="14853" spans="2:9" ht="15" customHeight="1" x14ac:dyDescent="0.25">
      <c r="B14853" s="55" t="s">
        <v>281</v>
      </c>
      <c r="C14853" s="46">
        <v>4841</v>
      </c>
      <c r="D14853" s="69" t="s">
        <v>29418</v>
      </c>
      <c r="E14853" s="51"/>
      <c r="F14853" s="114" t="str">
        <f>IF(INDEX(I.Facility.P2bIDNumber,4841)="","",INDEX(I.Facility.P2bIDNumber,4841))</f>
        <v/>
      </c>
      <c r="G14853" s="51"/>
      <c r="H14853" s="46" t="str">
        <f>IF(AND(I.Developer.P2b=TRUE,I.Facility.P2bFacilityCount&gt;=4841,F14853=""),"Incomplete","Complete")</f>
        <v>Complete</v>
      </c>
      <c r="I14853" s="48" t="s">
        <v>19218</v>
      </c>
    </row>
    <row r="14854" spans="2:9" ht="15" customHeight="1" x14ac:dyDescent="0.25">
      <c r="B14854" s="55" t="s">
        <v>281</v>
      </c>
      <c r="C14854" s="46">
        <v>4842</v>
      </c>
      <c r="D14854" s="69" t="s">
        <v>29418</v>
      </c>
      <c r="E14854" s="51"/>
      <c r="F14854" s="114" t="str">
        <f>IF(INDEX(I.Facility.P2bIDNumber,4842)="","",INDEX(I.Facility.P2bIDNumber,4842))</f>
        <v/>
      </c>
      <c r="G14854" s="51"/>
      <c r="H14854" s="46" t="str">
        <f>IF(AND(I.Developer.P2b=TRUE,I.Facility.P2bFacilityCount&gt;=4842,F14854=""),"Incomplete","Complete")</f>
        <v>Complete</v>
      </c>
      <c r="I14854" s="48" t="s">
        <v>19219</v>
      </c>
    </row>
    <row r="14855" spans="2:9" ht="15" customHeight="1" x14ac:dyDescent="0.25">
      <c r="B14855" s="55" t="s">
        <v>281</v>
      </c>
      <c r="C14855" s="46">
        <v>4843</v>
      </c>
      <c r="D14855" s="69" t="s">
        <v>29418</v>
      </c>
      <c r="E14855" s="51"/>
      <c r="F14855" s="114" t="str">
        <f>IF(INDEX(I.Facility.P2bIDNumber,4843)="","",INDEX(I.Facility.P2bIDNumber,4843))</f>
        <v/>
      </c>
      <c r="G14855" s="51"/>
      <c r="H14855" s="46" t="str">
        <f>IF(AND(I.Developer.P2b=TRUE,I.Facility.P2bFacilityCount&gt;=4843,F14855=""),"Incomplete","Complete")</f>
        <v>Complete</v>
      </c>
      <c r="I14855" s="48" t="s">
        <v>19220</v>
      </c>
    </row>
    <row r="14856" spans="2:9" ht="15" customHeight="1" x14ac:dyDescent="0.25">
      <c r="B14856" s="55" t="s">
        <v>281</v>
      </c>
      <c r="C14856" s="46">
        <v>4844</v>
      </c>
      <c r="D14856" s="69" t="s">
        <v>29418</v>
      </c>
      <c r="E14856" s="51"/>
      <c r="F14856" s="114" t="str">
        <f>IF(INDEX(I.Facility.P2bIDNumber,4844)="","",INDEX(I.Facility.P2bIDNumber,4844))</f>
        <v/>
      </c>
      <c r="G14856" s="51"/>
      <c r="H14856" s="46" t="str">
        <f>IF(AND(I.Developer.P2b=TRUE,I.Facility.P2bFacilityCount&gt;=4844,F14856=""),"Incomplete","Complete")</f>
        <v>Complete</v>
      </c>
      <c r="I14856" s="48" t="s">
        <v>19221</v>
      </c>
    </row>
    <row r="14857" spans="2:9" ht="15" customHeight="1" x14ac:dyDescent="0.25">
      <c r="B14857" s="55" t="s">
        <v>281</v>
      </c>
      <c r="C14857" s="46">
        <v>4845</v>
      </c>
      <c r="D14857" s="69" t="s">
        <v>29418</v>
      </c>
      <c r="E14857" s="51"/>
      <c r="F14857" s="114" t="str">
        <f>IF(INDEX(I.Facility.P2bIDNumber,4845)="","",INDEX(I.Facility.P2bIDNumber,4845))</f>
        <v/>
      </c>
      <c r="G14857" s="51"/>
      <c r="H14857" s="46" t="str">
        <f>IF(AND(I.Developer.P2b=TRUE,I.Facility.P2bFacilityCount&gt;=4845,F14857=""),"Incomplete","Complete")</f>
        <v>Complete</v>
      </c>
      <c r="I14857" s="48" t="s">
        <v>19222</v>
      </c>
    </row>
    <row r="14858" spans="2:9" ht="15" customHeight="1" x14ac:dyDescent="0.25">
      <c r="B14858" s="55" t="s">
        <v>281</v>
      </c>
      <c r="C14858" s="46">
        <v>4846</v>
      </c>
      <c r="D14858" s="69" t="s">
        <v>29418</v>
      </c>
      <c r="E14858" s="51"/>
      <c r="F14858" s="114" t="str">
        <f>IF(INDEX(I.Facility.P2bIDNumber,4846)="","",INDEX(I.Facility.P2bIDNumber,4846))</f>
        <v/>
      </c>
      <c r="G14858" s="51"/>
      <c r="H14858" s="46" t="str">
        <f>IF(AND(I.Developer.P2b=TRUE,I.Facility.P2bFacilityCount&gt;=4846,F14858=""),"Incomplete","Complete")</f>
        <v>Complete</v>
      </c>
      <c r="I14858" s="48" t="s">
        <v>19223</v>
      </c>
    </row>
    <row r="14859" spans="2:9" ht="15" customHeight="1" x14ac:dyDescent="0.25">
      <c r="B14859" s="55" t="s">
        <v>281</v>
      </c>
      <c r="C14859" s="46">
        <v>4847</v>
      </c>
      <c r="D14859" s="69" t="s">
        <v>29418</v>
      </c>
      <c r="E14859" s="51"/>
      <c r="F14859" s="114" t="str">
        <f>IF(INDEX(I.Facility.P2bIDNumber,4847)="","",INDEX(I.Facility.P2bIDNumber,4847))</f>
        <v/>
      </c>
      <c r="G14859" s="51"/>
      <c r="H14859" s="46" t="str">
        <f>IF(AND(I.Developer.P2b=TRUE,I.Facility.P2bFacilityCount&gt;=4847,F14859=""),"Incomplete","Complete")</f>
        <v>Complete</v>
      </c>
      <c r="I14859" s="48" t="s">
        <v>19224</v>
      </c>
    </row>
    <row r="14860" spans="2:9" ht="15" customHeight="1" x14ac:dyDescent="0.25">
      <c r="B14860" s="55" t="s">
        <v>281</v>
      </c>
      <c r="C14860" s="46">
        <v>4848</v>
      </c>
      <c r="D14860" s="69" t="s">
        <v>29418</v>
      </c>
      <c r="E14860" s="51"/>
      <c r="F14860" s="114" t="str">
        <f>IF(INDEX(I.Facility.P2bIDNumber,4848)="","",INDEX(I.Facility.P2bIDNumber,4848))</f>
        <v/>
      </c>
      <c r="G14860" s="51"/>
      <c r="H14860" s="46" t="str">
        <f>IF(AND(I.Developer.P2b=TRUE,I.Facility.P2bFacilityCount&gt;=4848,F14860=""),"Incomplete","Complete")</f>
        <v>Complete</v>
      </c>
      <c r="I14860" s="48" t="s">
        <v>19225</v>
      </c>
    </row>
    <row r="14861" spans="2:9" ht="15" customHeight="1" x14ac:dyDescent="0.25">
      <c r="B14861" s="55" t="s">
        <v>281</v>
      </c>
      <c r="C14861" s="46">
        <v>4849</v>
      </c>
      <c r="D14861" s="69" t="s">
        <v>29418</v>
      </c>
      <c r="E14861" s="51"/>
      <c r="F14861" s="114" t="str">
        <f>IF(INDEX(I.Facility.P2bIDNumber,4849)="","",INDEX(I.Facility.P2bIDNumber,4849))</f>
        <v/>
      </c>
      <c r="G14861" s="51"/>
      <c r="H14861" s="46" t="str">
        <f>IF(AND(I.Developer.P2b=TRUE,I.Facility.P2bFacilityCount&gt;=4849,F14861=""),"Incomplete","Complete")</f>
        <v>Complete</v>
      </c>
      <c r="I14861" s="48" t="s">
        <v>19226</v>
      </c>
    </row>
    <row r="14862" spans="2:9" ht="15" customHeight="1" x14ac:dyDescent="0.25">
      <c r="B14862" s="55" t="s">
        <v>281</v>
      </c>
      <c r="C14862" s="46">
        <v>4850</v>
      </c>
      <c r="D14862" s="69" t="s">
        <v>29418</v>
      </c>
      <c r="E14862" s="51"/>
      <c r="F14862" s="114" t="str">
        <f>IF(INDEX(I.Facility.P2bIDNumber,4850)="","",INDEX(I.Facility.P2bIDNumber,4850))</f>
        <v/>
      </c>
      <c r="G14862" s="51"/>
      <c r="H14862" s="46" t="str">
        <f>IF(AND(I.Developer.P2b=TRUE,I.Facility.P2bFacilityCount&gt;=4850,F14862=""),"Incomplete","Complete")</f>
        <v>Complete</v>
      </c>
      <c r="I14862" s="48" t="s">
        <v>19227</v>
      </c>
    </row>
    <row r="14863" spans="2:9" ht="15" customHeight="1" x14ac:dyDescent="0.25">
      <c r="B14863" s="55" t="s">
        <v>281</v>
      </c>
      <c r="C14863" s="46">
        <v>4851</v>
      </c>
      <c r="D14863" s="69" t="s">
        <v>29418</v>
      </c>
      <c r="E14863" s="51"/>
      <c r="F14863" s="114" t="str">
        <f>IF(INDEX(I.Facility.P2bIDNumber,4851)="","",INDEX(I.Facility.P2bIDNumber,4851))</f>
        <v/>
      </c>
      <c r="G14863" s="51"/>
      <c r="H14863" s="46" t="str">
        <f>IF(AND(I.Developer.P2b=TRUE,I.Facility.P2bFacilityCount&gt;=4851,F14863=""),"Incomplete","Complete")</f>
        <v>Complete</v>
      </c>
      <c r="I14863" s="48" t="s">
        <v>19228</v>
      </c>
    </row>
    <row r="14864" spans="2:9" ht="15" customHeight="1" x14ac:dyDescent="0.25">
      <c r="B14864" s="55" t="s">
        <v>281</v>
      </c>
      <c r="C14864" s="46">
        <v>4852</v>
      </c>
      <c r="D14864" s="69" t="s">
        <v>29418</v>
      </c>
      <c r="E14864" s="51"/>
      <c r="F14864" s="114" t="str">
        <f>IF(INDEX(I.Facility.P2bIDNumber,4852)="","",INDEX(I.Facility.P2bIDNumber,4852))</f>
        <v/>
      </c>
      <c r="G14864" s="51"/>
      <c r="H14864" s="46" t="str">
        <f>IF(AND(I.Developer.P2b=TRUE,I.Facility.P2bFacilityCount&gt;=4852,F14864=""),"Incomplete","Complete")</f>
        <v>Complete</v>
      </c>
      <c r="I14864" s="48" t="s">
        <v>19229</v>
      </c>
    </row>
    <row r="14865" spans="2:9" ht="15" customHeight="1" x14ac:dyDescent="0.25">
      <c r="B14865" s="55" t="s">
        <v>281</v>
      </c>
      <c r="C14865" s="46">
        <v>4853</v>
      </c>
      <c r="D14865" s="69" t="s">
        <v>29418</v>
      </c>
      <c r="E14865" s="51"/>
      <c r="F14865" s="114" t="str">
        <f>IF(INDEX(I.Facility.P2bIDNumber,4853)="","",INDEX(I.Facility.P2bIDNumber,4853))</f>
        <v/>
      </c>
      <c r="G14865" s="51"/>
      <c r="H14865" s="46" t="str">
        <f>IF(AND(I.Developer.P2b=TRUE,I.Facility.P2bFacilityCount&gt;=4853,F14865=""),"Incomplete","Complete")</f>
        <v>Complete</v>
      </c>
      <c r="I14865" s="48" t="s">
        <v>19230</v>
      </c>
    </row>
    <row r="14866" spans="2:9" ht="15" customHeight="1" x14ac:dyDescent="0.25">
      <c r="B14866" s="55" t="s">
        <v>281</v>
      </c>
      <c r="C14866" s="46">
        <v>4854</v>
      </c>
      <c r="D14866" s="69" t="s">
        <v>29418</v>
      </c>
      <c r="E14866" s="51"/>
      <c r="F14866" s="114" t="str">
        <f>IF(INDEX(I.Facility.P2bIDNumber,4854)="","",INDEX(I.Facility.P2bIDNumber,4854))</f>
        <v/>
      </c>
      <c r="G14866" s="51"/>
      <c r="H14866" s="46" t="str">
        <f>IF(AND(I.Developer.P2b=TRUE,I.Facility.P2bFacilityCount&gt;=4854,F14866=""),"Incomplete","Complete")</f>
        <v>Complete</v>
      </c>
      <c r="I14866" s="48" t="s">
        <v>19231</v>
      </c>
    </row>
    <row r="14867" spans="2:9" ht="15" customHeight="1" x14ac:dyDescent="0.25">
      <c r="B14867" s="55" t="s">
        <v>281</v>
      </c>
      <c r="C14867" s="46">
        <v>4855</v>
      </c>
      <c r="D14867" s="69" t="s">
        <v>29418</v>
      </c>
      <c r="E14867" s="51"/>
      <c r="F14867" s="114" t="str">
        <f>IF(INDEX(I.Facility.P2bIDNumber,4855)="","",INDEX(I.Facility.P2bIDNumber,4855))</f>
        <v/>
      </c>
      <c r="G14867" s="51"/>
      <c r="H14867" s="46" t="str">
        <f>IF(AND(I.Developer.P2b=TRUE,I.Facility.P2bFacilityCount&gt;=4855,F14867=""),"Incomplete","Complete")</f>
        <v>Complete</v>
      </c>
      <c r="I14867" s="48" t="s">
        <v>19232</v>
      </c>
    </row>
    <row r="14868" spans="2:9" ht="15" customHeight="1" x14ac:dyDescent="0.25">
      <c r="B14868" s="55" t="s">
        <v>281</v>
      </c>
      <c r="C14868" s="46">
        <v>4856</v>
      </c>
      <c r="D14868" s="69" t="s">
        <v>29418</v>
      </c>
      <c r="E14868" s="51"/>
      <c r="F14868" s="114" t="str">
        <f>IF(INDEX(I.Facility.P2bIDNumber,4856)="","",INDEX(I.Facility.P2bIDNumber,4856))</f>
        <v/>
      </c>
      <c r="G14868" s="51"/>
      <c r="H14868" s="46" t="str">
        <f>IF(AND(I.Developer.P2b=TRUE,I.Facility.P2bFacilityCount&gt;=4856,F14868=""),"Incomplete","Complete")</f>
        <v>Complete</v>
      </c>
      <c r="I14868" s="48" t="s">
        <v>19233</v>
      </c>
    </row>
    <row r="14869" spans="2:9" ht="15" customHeight="1" x14ac:dyDescent="0.25">
      <c r="B14869" s="55" t="s">
        <v>281</v>
      </c>
      <c r="C14869" s="46">
        <v>4857</v>
      </c>
      <c r="D14869" s="69" t="s">
        <v>29418</v>
      </c>
      <c r="E14869" s="51"/>
      <c r="F14869" s="114" t="str">
        <f>IF(INDEX(I.Facility.P2bIDNumber,4857)="","",INDEX(I.Facility.P2bIDNumber,4857))</f>
        <v/>
      </c>
      <c r="G14869" s="51"/>
      <c r="H14869" s="46" t="str">
        <f>IF(AND(I.Developer.P2b=TRUE,I.Facility.P2bFacilityCount&gt;=4857,F14869=""),"Incomplete","Complete")</f>
        <v>Complete</v>
      </c>
      <c r="I14869" s="48" t="s">
        <v>19234</v>
      </c>
    </row>
    <row r="14870" spans="2:9" ht="15" customHeight="1" x14ac:dyDescent="0.25">
      <c r="B14870" s="55" t="s">
        <v>281</v>
      </c>
      <c r="C14870" s="46">
        <v>4858</v>
      </c>
      <c r="D14870" s="69" t="s">
        <v>29418</v>
      </c>
      <c r="E14870" s="51"/>
      <c r="F14870" s="114" t="str">
        <f>IF(INDEX(I.Facility.P2bIDNumber,4858)="","",INDEX(I.Facility.P2bIDNumber,4858))</f>
        <v/>
      </c>
      <c r="G14870" s="51"/>
      <c r="H14870" s="46" t="str">
        <f>IF(AND(I.Developer.P2b=TRUE,I.Facility.P2bFacilityCount&gt;=4858,F14870=""),"Incomplete","Complete")</f>
        <v>Complete</v>
      </c>
      <c r="I14870" s="48" t="s">
        <v>19235</v>
      </c>
    </row>
    <row r="14871" spans="2:9" ht="15" customHeight="1" x14ac:dyDescent="0.25">
      <c r="B14871" s="55" t="s">
        <v>281</v>
      </c>
      <c r="C14871" s="46">
        <v>4859</v>
      </c>
      <c r="D14871" s="69" t="s">
        <v>29418</v>
      </c>
      <c r="E14871" s="51"/>
      <c r="F14871" s="114" t="str">
        <f>IF(INDEX(I.Facility.P2bIDNumber,4859)="","",INDEX(I.Facility.P2bIDNumber,4859))</f>
        <v/>
      </c>
      <c r="G14871" s="51"/>
      <c r="H14871" s="46" t="str">
        <f>IF(AND(I.Developer.P2b=TRUE,I.Facility.P2bFacilityCount&gt;=4859,F14871=""),"Incomplete","Complete")</f>
        <v>Complete</v>
      </c>
      <c r="I14871" s="48" t="s">
        <v>19236</v>
      </c>
    </row>
    <row r="14872" spans="2:9" ht="15" customHeight="1" x14ac:dyDescent="0.25">
      <c r="B14872" s="55" t="s">
        <v>281</v>
      </c>
      <c r="C14872" s="46">
        <v>4860</v>
      </c>
      <c r="D14872" s="69" t="s">
        <v>29418</v>
      </c>
      <c r="E14872" s="51"/>
      <c r="F14872" s="114" t="str">
        <f>IF(INDEX(I.Facility.P2bIDNumber,4860)="","",INDEX(I.Facility.P2bIDNumber,4860))</f>
        <v/>
      </c>
      <c r="G14872" s="51"/>
      <c r="H14872" s="46" t="str">
        <f>IF(AND(I.Developer.P2b=TRUE,I.Facility.P2bFacilityCount&gt;=4860,F14872=""),"Incomplete","Complete")</f>
        <v>Complete</v>
      </c>
      <c r="I14872" s="48" t="s">
        <v>19237</v>
      </c>
    </row>
    <row r="14873" spans="2:9" ht="15" customHeight="1" x14ac:dyDescent="0.25">
      <c r="B14873" s="55" t="s">
        <v>281</v>
      </c>
      <c r="C14873" s="46">
        <v>4861</v>
      </c>
      <c r="D14873" s="69" t="s">
        <v>29418</v>
      </c>
      <c r="E14873" s="51"/>
      <c r="F14873" s="114" t="str">
        <f>IF(INDEX(I.Facility.P2bIDNumber,4861)="","",INDEX(I.Facility.P2bIDNumber,4861))</f>
        <v/>
      </c>
      <c r="G14873" s="51"/>
      <c r="H14873" s="46" t="str">
        <f>IF(AND(I.Developer.P2b=TRUE,I.Facility.P2bFacilityCount&gt;=4861,F14873=""),"Incomplete","Complete")</f>
        <v>Complete</v>
      </c>
      <c r="I14873" s="48" t="s">
        <v>19238</v>
      </c>
    </row>
    <row r="14874" spans="2:9" ht="15" customHeight="1" x14ac:dyDescent="0.25">
      <c r="B14874" s="55" t="s">
        <v>281</v>
      </c>
      <c r="C14874" s="46">
        <v>4862</v>
      </c>
      <c r="D14874" s="69" t="s">
        <v>29418</v>
      </c>
      <c r="E14874" s="51"/>
      <c r="F14874" s="114" t="str">
        <f>IF(INDEX(I.Facility.P2bIDNumber,4862)="","",INDEX(I.Facility.P2bIDNumber,4862))</f>
        <v/>
      </c>
      <c r="G14874" s="51"/>
      <c r="H14874" s="46" t="str">
        <f>IF(AND(I.Developer.P2b=TRUE,I.Facility.P2bFacilityCount&gt;=4862,F14874=""),"Incomplete","Complete")</f>
        <v>Complete</v>
      </c>
      <c r="I14874" s="48" t="s">
        <v>19239</v>
      </c>
    </row>
    <row r="14875" spans="2:9" ht="15" customHeight="1" x14ac:dyDescent="0.25">
      <c r="B14875" s="55" t="s">
        <v>281</v>
      </c>
      <c r="C14875" s="46">
        <v>4863</v>
      </c>
      <c r="D14875" s="69" t="s">
        <v>29418</v>
      </c>
      <c r="E14875" s="51"/>
      <c r="F14875" s="114" t="str">
        <f>IF(INDEX(I.Facility.P2bIDNumber,4863)="","",INDEX(I.Facility.P2bIDNumber,4863))</f>
        <v/>
      </c>
      <c r="G14875" s="51"/>
      <c r="H14875" s="46" t="str">
        <f>IF(AND(I.Developer.P2b=TRUE,I.Facility.P2bFacilityCount&gt;=4863,F14875=""),"Incomplete","Complete")</f>
        <v>Complete</v>
      </c>
      <c r="I14875" s="48" t="s">
        <v>19240</v>
      </c>
    </row>
    <row r="14876" spans="2:9" ht="15" customHeight="1" x14ac:dyDescent="0.25">
      <c r="B14876" s="55" t="s">
        <v>281</v>
      </c>
      <c r="C14876" s="46">
        <v>4864</v>
      </c>
      <c r="D14876" s="69" t="s">
        <v>29418</v>
      </c>
      <c r="E14876" s="51"/>
      <c r="F14876" s="114" t="str">
        <f>IF(INDEX(I.Facility.P2bIDNumber,4864)="","",INDEX(I.Facility.P2bIDNumber,4864))</f>
        <v/>
      </c>
      <c r="G14876" s="51"/>
      <c r="H14876" s="46" t="str">
        <f>IF(AND(I.Developer.P2b=TRUE,I.Facility.P2bFacilityCount&gt;=4864,F14876=""),"Incomplete","Complete")</f>
        <v>Complete</v>
      </c>
      <c r="I14876" s="48" t="s">
        <v>19241</v>
      </c>
    </row>
    <row r="14877" spans="2:9" ht="15" customHeight="1" x14ac:dyDescent="0.25">
      <c r="B14877" s="55" t="s">
        <v>281</v>
      </c>
      <c r="C14877" s="46">
        <v>4865</v>
      </c>
      <c r="D14877" s="69" t="s">
        <v>29418</v>
      </c>
      <c r="E14877" s="51"/>
      <c r="F14877" s="114" t="str">
        <f>IF(INDEX(I.Facility.P2bIDNumber,4865)="","",INDEX(I.Facility.P2bIDNumber,4865))</f>
        <v/>
      </c>
      <c r="G14877" s="51"/>
      <c r="H14877" s="46" t="str">
        <f>IF(AND(I.Developer.P2b=TRUE,I.Facility.P2bFacilityCount&gt;=4865,F14877=""),"Incomplete","Complete")</f>
        <v>Complete</v>
      </c>
      <c r="I14877" s="48" t="s">
        <v>19242</v>
      </c>
    </row>
    <row r="14878" spans="2:9" ht="15" customHeight="1" x14ac:dyDescent="0.25">
      <c r="B14878" s="55" t="s">
        <v>281</v>
      </c>
      <c r="C14878" s="46">
        <v>4866</v>
      </c>
      <c r="D14878" s="69" t="s">
        <v>29418</v>
      </c>
      <c r="E14878" s="51"/>
      <c r="F14878" s="114" t="str">
        <f>IF(INDEX(I.Facility.P2bIDNumber,4866)="","",INDEX(I.Facility.P2bIDNumber,4866))</f>
        <v/>
      </c>
      <c r="G14878" s="51"/>
      <c r="H14878" s="46" t="str">
        <f>IF(AND(I.Developer.P2b=TRUE,I.Facility.P2bFacilityCount&gt;=4866,F14878=""),"Incomplete","Complete")</f>
        <v>Complete</v>
      </c>
      <c r="I14878" s="48" t="s">
        <v>19243</v>
      </c>
    </row>
    <row r="14879" spans="2:9" ht="15" customHeight="1" x14ac:dyDescent="0.25">
      <c r="B14879" s="55" t="s">
        <v>281</v>
      </c>
      <c r="C14879" s="46">
        <v>4867</v>
      </c>
      <c r="D14879" s="69" t="s">
        <v>29418</v>
      </c>
      <c r="E14879" s="51"/>
      <c r="F14879" s="114" t="str">
        <f>IF(INDEX(I.Facility.P2bIDNumber,4867)="","",INDEX(I.Facility.P2bIDNumber,4867))</f>
        <v/>
      </c>
      <c r="G14879" s="51"/>
      <c r="H14879" s="46" t="str">
        <f>IF(AND(I.Developer.P2b=TRUE,I.Facility.P2bFacilityCount&gt;=4867,F14879=""),"Incomplete","Complete")</f>
        <v>Complete</v>
      </c>
      <c r="I14879" s="48" t="s">
        <v>19244</v>
      </c>
    </row>
    <row r="14880" spans="2:9" ht="15" customHeight="1" x14ac:dyDescent="0.25">
      <c r="B14880" s="55" t="s">
        <v>281</v>
      </c>
      <c r="C14880" s="46">
        <v>4868</v>
      </c>
      <c r="D14880" s="69" t="s">
        <v>29418</v>
      </c>
      <c r="E14880" s="51"/>
      <c r="F14880" s="114" t="str">
        <f>IF(INDEX(I.Facility.P2bIDNumber,4868)="","",INDEX(I.Facility.P2bIDNumber,4868))</f>
        <v/>
      </c>
      <c r="G14880" s="51"/>
      <c r="H14880" s="46" t="str">
        <f>IF(AND(I.Developer.P2b=TRUE,I.Facility.P2bFacilityCount&gt;=4868,F14880=""),"Incomplete","Complete")</f>
        <v>Complete</v>
      </c>
      <c r="I14880" s="48" t="s">
        <v>19245</v>
      </c>
    </row>
    <row r="14881" spans="2:9" ht="15" customHeight="1" x14ac:dyDescent="0.25">
      <c r="B14881" s="55" t="s">
        <v>281</v>
      </c>
      <c r="C14881" s="46">
        <v>4869</v>
      </c>
      <c r="D14881" s="69" t="s">
        <v>29418</v>
      </c>
      <c r="E14881" s="51"/>
      <c r="F14881" s="114" t="str">
        <f>IF(INDEX(I.Facility.P2bIDNumber,4869)="","",INDEX(I.Facility.P2bIDNumber,4869))</f>
        <v/>
      </c>
      <c r="G14881" s="51"/>
      <c r="H14881" s="46" t="str">
        <f>IF(AND(I.Developer.P2b=TRUE,I.Facility.P2bFacilityCount&gt;=4869,F14881=""),"Incomplete","Complete")</f>
        <v>Complete</v>
      </c>
      <c r="I14881" s="48" t="s">
        <v>19246</v>
      </c>
    </row>
    <row r="14882" spans="2:9" ht="15" customHeight="1" x14ac:dyDescent="0.25">
      <c r="B14882" s="55" t="s">
        <v>281</v>
      </c>
      <c r="C14882" s="46">
        <v>4870</v>
      </c>
      <c r="D14882" s="69" t="s">
        <v>29418</v>
      </c>
      <c r="E14882" s="51"/>
      <c r="F14882" s="114" t="str">
        <f>IF(INDEX(I.Facility.P2bIDNumber,4870)="","",INDEX(I.Facility.P2bIDNumber,4870))</f>
        <v/>
      </c>
      <c r="G14882" s="51"/>
      <c r="H14882" s="46" t="str">
        <f>IF(AND(I.Developer.P2b=TRUE,I.Facility.P2bFacilityCount&gt;=4870,F14882=""),"Incomplete","Complete")</f>
        <v>Complete</v>
      </c>
      <c r="I14882" s="48" t="s">
        <v>19247</v>
      </c>
    </row>
    <row r="14883" spans="2:9" ht="15" customHeight="1" x14ac:dyDescent="0.25">
      <c r="B14883" s="55" t="s">
        <v>281</v>
      </c>
      <c r="C14883" s="46">
        <v>4871</v>
      </c>
      <c r="D14883" s="69" t="s">
        <v>29418</v>
      </c>
      <c r="E14883" s="51"/>
      <c r="F14883" s="114" t="str">
        <f>IF(INDEX(I.Facility.P2bIDNumber,4871)="","",INDEX(I.Facility.P2bIDNumber,4871))</f>
        <v/>
      </c>
      <c r="G14883" s="51"/>
      <c r="H14883" s="46" t="str">
        <f>IF(AND(I.Developer.P2b=TRUE,I.Facility.P2bFacilityCount&gt;=4871,F14883=""),"Incomplete","Complete")</f>
        <v>Complete</v>
      </c>
      <c r="I14883" s="48" t="s">
        <v>19248</v>
      </c>
    </row>
    <row r="14884" spans="2:9" ht="15" customHeight="1" x14ac:dyDescent="0.25">
      <c r="B14884" s="55" t="s">
        <v>281</v>
      </c>
      <c r="C14884" s="46">
        <v>4872</v>
      </c>
      <c r="D14884" s="69" t="s">
        <v>29418</v>
      </c>
      <c r="E14884" s="51"/>
      <c r="F14884" s="114" t="str">
        <f>IF(INDEX(I.Facility.P2bIDNumber,4872)="","",INDEX(I.Facility.P2bIDNumber,4872))</f>
        <v/>
      </c>
      <c r="G14884" s="51"/>
      <c r="H14884" s="46" t="str">
        <f>IF(AND(I.Developer.P2b=TRUE,I.Facility.P2bFacilityCount&gt;=4872,F14884=""),"Incomplete","Complete")</f>
        <v>Complete</v>
      </c>
      <c r="I14884" s="48" t="s">
        <v>19249</v>
      </c>
    </row>
    <row r="14885" spans="2:9" ht="15" customHeight="1" x14ac:dyDescent="0.25">
      <c r="B14885" s="55" t="s">
        <v>281</v>
      </c>
      <c r="C14885" s="46">
        <v>4873</v>
      </c>
      <c r="D14885" s="69" t="s">
        <v>29418</v>
      </c>
      <c r="E14885" s="51"/>
      <c r="F14885" s="114" t="str">
        <f>IF(INDEX(I.Facility.P2bIDNumber,4873)="","",INDEX(I.Facility.P2bIDNumber,4873))</f>
        <v/>
      </c>
      <c r="G14885" s="51"/>
      <c r="H14885" s="46" t="str">
        <f>IF(AND(I.Developer.P2b=TRUE,I.Facility.P2bFacilityCount&gt;=4873,F14885=""),"Incomplete","Complete")</f>
        <v>Complete</v>
      </c>
      <c r="I14885" s="48" t="s">
        <v>19250</v>
      </c>
    </row>
    <row r="14886" spans="2:9" ht="15" customHeight="1" x14ac:dyDescent="0.25">
      <c r="B14886" s="55" t="s">
        <v>281</v>
      </c>
      <c r="C14886" s="46">
        <v>4874</v>
      </c>
      <c r="D14886" s="69" t="s">
        <v>29418</v>
      </c>
      <c r="E14886" s="51"/>
      <c r="F14886" s="114" t="str">
        <f>IF(INDEX(I.Facility.P2bIDNumber,4874)="","",INDEX(I.Facility.P2bIDNumber,4874))</f>
        <v/>
      </c>
      <c r="G14886" s="51"/>
      <c r="H14886" s="46" t="str">
        <f>IF(AND(I.Developer.P2b=TRUE,I.Facility.P2bFacilityCount&gt;=4874,F14886=""),"Incomplete","Complete")</f>
        <v>Complete</v>
      </c>
      <c r="I14886" s="48" t="s">
        <v>19251</v>
      </c>
    </row>
    <row r="14887" spans="2:9" ht="15" customHeight="1" x14ac:dyDescent="0.25">
      <c r="B14887" s="55" t="s">
        <v>281</v>
      </c>
      <c r="C14887" s="46">
        <v>4875</v>
      </c>
      <c r="D14887" s="69" t="s">
        <v>29418</v>
      </c>
      <c r="E14887" s="51"/>
      <c r="F14887" s="114" t="str">
        <f>IF(INDEX(I.Facility.P2bIDNumber,4875)="","",INDEX(I.Facility.P2bIDNumber,4875))</f>
        <v/>
      </c>
      <c r="G14887" s="51"/>
      <c r="H14887" s="46" t="str">
        <f>IF(AND(I.Developer.P2b=TRUE,I.Facility.P2bFacilityCount&gt;=4875,F14887=""),"Incomplete","Complete")</f>
        <v>Complete</v>
      </c>
      <c r="I14887" s="48" t="s">
        <v>19252</v>
      </c>
    </row>
    <row r="14888" spans="2:9" ht="15" customHeight="1" x14ac:dyDescent="0.25">
      <c r="B14888" s="55" t="s">
        <v>281</v>
      </c>
      <c r="C14888" s="46">
        <v>4876</v>
      </c>
      <c r="D14888" s="69" t="s">
        <v>29418</v>
      </c>
      <c r="E14888" s="51"/>
      <c r="F14888" s="114" t="str">
        <f>IF(INDEX(I.Facility.P2bIDNumber,4876)="","",INDEX(I.Facility.P2bIDNumber,4876))</f>
        <v/>
      </c>
      <c r="G14888" s="51"/>
      <c r="H14888" s="46" t="str">
        <f>IF(AND(I.Developer.P2b=TRUE,I.Facility.P2bFacilityCount&gt;=4876,F14888=""),"Incomplete","Complete")</f>
        <v>Complete</v>
      </c>
      <c r="I14888" s="48" t="s">
        <v>19253</v>
      </c>
    </row>
    <row r="14889" spans="2:9" ht="15" customHeight="1" x14ac:dyDescent="0.25">
      <c r="B14889" s="55" t="s">
        <v>281</v>
      </c>
      <c r="C14889" s="46">
        <v>4877</v>
      </c>
      <c r="D14889" s="69" t="s">
        <v>29418</v>
      </c>
      <c r="E14889" s="51"/>
      <c r="F14889" s="114" t="str">
        <f>IF(INDEX(I.Facility.P2bIDNumber,4877)="","",INDEX(I.Facility.P2bIDNumber,4877))</f>
        <v/>
      </c>
      <c r="G14889" s="51"/>
      <c r="H14889" s="46" t="str">
        <f>IF(AND(I.Developer.P2b=TRUE,I.Facility.P2bFacilityCount&gt;=4877,F14889=""),"Incomplete","Complete")</f>
        <v>Complete</v>
      </c>
      <c r="I14889" s="48" t="s">
        <v>19254</v>
      </c>
    </row>
    <row r="14890" spans="2:9" ht="15" customHeight="1" x14ac:dyDescent="0.25">
      <c r="B14890" s="55" t="s">
        <v>281</v>
      </c>
      <c r="C14890" s="46">
        <v>4878</v>
      </c>
      <c r="D14890" s="69" t="s">
        <v>29418</v>
      </c>
      <c r="E14890" s="51"/>
      <c r="F14890" s="114" t="str">
        <f>IF(INDEX(I.Facility.P2bIDNumber,4878)="","",INDEX(I.Facility.P2bIDNumber,4878))</f>
        <v/>
      </c>
      <c r="G14890" s="51"/>
      <c r="H14890" s="46" t="str">
        <f>IF(AND(I.Developer.P2b=TRUE,I.Facility.P2bFacilityCount&gt;=4878,F14890=""),"Incomplete","Complete")</f>
        <v>Complete</v>
      </c>
      <c r="I14890" s="48" t="s">
        <v>19255</v>
      </c>
    </row>
    <row r="14891" spans="2:9" ht="15" customHeight="1" x14ac:dyDescent="0.25">
      <c r="B14891" s="55" t="s">
        <v>281</v>
      </c>
      <c r="C14891" s="46">
        <v>4879</v>
      </c>
      <c r="D14891" s="69" t="s">
        <v>29418</v>
      </c>
      <c r="E14891" s="51"/>
      <c r="F14891" s="114" t="str">
        <f>IF(INDEX(I.Facility.P2bIDNumber,4879)="","",INDEX(I.Facility.P2bIDNumber,4879))</f>
        <v/>
      </c>
      <c r="G14891" s="51"/>
      <c r="H14891" s="46" t="str">
        <f>IF(AND(I.Developer.P2b=TRUE,I.Facility.P2bFacilityCount&gt;=4879,F14891=""),"Incomplete","Complete")</f>
        <v>Complete</v>
      </c>
      <c r="I14891" s="48" t="s">
        <v>19256</v>
      </c>
    </row>
    <row r="14892" spans="2:9" ht="15" customHeight="1" x14ac:dyDescent="0.25">
      <c r="B14892" s="55" t="s">
        <v>281</v>
      </c>
      <c r="C14892" s="46">
        <v>4880</v>
      </c>
      <c r="D14892" s="69" t="s">
        <v>29418</v>
      </c>
      <c r="E14892" s="51"/>
      <c r="F14892" s="114" t="str">
        <f>IF(INDEX(I.Facility.P2bIDNumber,4880)="","",INDEX(I.Facility.P2bIDNumber,4880))</f>
        <v/>
      </c>
      <c r="G14892" s="51"/>
      <c r="H14892" s="46" t="str">
        <f>IF(AND(I.Developer.P2b=TRUE,I.Facility.P2bFacilityCount&gt;=4880,F14892=""),"Incomplete","Complete")</f>
        <v>Complete</v>
      </c>
      <c r="I14892" s="48" t="s">
        <v>19257</v>
      </c>
    </row>
    <row r="14893" spans="2:9" ht="15" customHeight="1" x14ac:dyDescent="0.25">
      <c r="B14893" s="55" t="s">
        <v>281</v>
      </c>
      <c r="C14893" s="46">
        <v>4881</v>
      </c>
      <c r="D14893" s="69" t="s">
        <v>29418</v>
      </c>
      <c r="E14893" s="51"/>
      <c r="F14893" s="114" t="str">
        <f>IF(INDEX(I.Facility.P2bIDNumber,4881)="","",INDEX(I.Facility.P2bIDNumber,4881))</f>
        <v/>
      </c>
      <c r="G14893" s="51"/>
      <c r="H14893" s="46" t="str">
        <f>IF(AND(I.Developer.P2b=TRUE,I.Facility.P2bFacilityCount&gt;=4881,F14893=""),"Incomplete","Complete")</f>
        <v>Complete</v>
      </c>
      <c r="I14893" s="48" t="s">
        <v>19258</v>
      </c>
    </row>
    <row r="14894" spans="2:9" ht="15" customHeight="1" x14ac:dyDescent="0.25">
      <c r="B14894" s="55" t="s">
        <v>281</v>
      </c>
      <c r="C14894" s="46">
        <v>4882</v>
      </c>
      <c r="D14894" s="69" t="s">
        <v>29418</v>
      </c>
      <c r="E14894" s="51"/>
      <c r="F14894" s="114" t="str">
        <f>IF(INDEX(I.Facility.P2bIDNumber,4882)="","",INDEX(I.Facility.P2bIDNumber,4882))</f>
        <v/>
      </c>
      <c r="G14894" s="51"/>
      <c r="H14894" s="46" t="str">
        <f>IF(AND(I.Developer.P2b=TRUE,I.Facility.P2bFacilityCount&gt;=4882,F14894=""),"Incomplete","Complete")</f>
        <v>Complete</v>
      </c>
      <c r="I14894" s="48" t="s">
        <v>19259</v>
      </c>
    </row>
    <row r="14895" spans="2:9" ht="15" customHeight="1" x14ac:dyDescent="0.25">
      <c r="B14895" s="55" t="s">
        <v>281</v>
      </c>
      <c r="C14895" s="46">
        <v>4883</v>
      </c>
      <c r="D14895" s="69" t="s">
        <v>29418</v>
      </c>
      <c r="E14895" s="51"/>
      <c r="F14895" s="114" t="str">
        <f>IF(INDEX(I.Facility.P2bIDNumber,4883)="","",INDEX(I.Facility.P2bIDNumber,4883))</f>
        <v/>
      </c>
      <c r="G14895" s="51"/>
      <c r="H14895" s="46" t="str">
        <f>IF(AND(I.Developer.P2b=TRUE,I.Facility.P2bFacilityCount&gt;=4883,F14895=""),"Incomplete","Complete")</f>
        <v>Complete</v>
      </c>
      <c r="I14895" s="48" t="s">
        <v>19260</v>
      </c>
    </row>
    <row r="14896" spans="2:9" ht="15" customHeight="1" x14ac:dyDescent="0.25">
      <c r="B14896" s="55" t="s">
        <v>281</v>
      </c>
      <c r="C14896" s="46">
        <v>4884</v>
      </c>
      <c r="D14896" s="69" t="s">
        <v>29418</v>
      </c>
      <c r="E14896" s="51"/>
      <c r="F14896" s="114" t="str">
        <f>IF(INDEX(I.Facility.P2bIDNumber,4884)="","",INDEX(I.Facility.P2bIDNumber,4884))</f>
        <v/>
      </c>
      <c r="G14896" s="51"/>
      <c r="H14896" s="46" t="str">
        <f>IF(AND(I.Developer.P2b=TRUE,I.Facility.P2bFacilityCount&gt;=4884,F14896=""),"Incomplete","Complete")</f>
        <v>Complete</v>
      </c>
      <c r="I14896" s="48" t="s">
        <v>19261</v>
      </c>
    </row>
    <row r="14897" spans="2:9" ht="15" customHeight="1" x14ac:dyDescent="0.25">
      <c r="B14897" s="55" t="s">
        <v>281</v>
      </c>
      <c r="C14897" s="46">
        <v>4885</v>
      </c>
      <c r="D14897" s="69" t="s">
        <v>29418</v>
      </c>
      <c r="E14897" s="51"/>
      <c r="F14897" s="114" t="str">
        <f>IF(INDEX(I.Facility.P2bIDNumber,4885)="","",INDEX(I.Facility.P2bIDNumber,4885))</f>
        <v/>
      </c>
      <c r="G14897" s="51"/>
      <c r="H14897" s="46" t="str">
        <f>IF(AND(I.Developer.P2b=TRUE,I.Facility.P2bFacilityCount&gt;=4885,F14897=""),"Incomplete","Complete")</f>
        <v>Complete</v>
      </c>
      <c r="I14897" s="48" t="s">
        <v>19262</v>
      </c>
    </row>
    <row r="14898" spans="2:9" ht="15" customHeight="1" x14ac:dyDescent="0.25">
      <c r="B14898" s="55" t="s">
        <v>281</v>
      </c>
      <c r="C14898" s="46">
        <v>4886</v>
      </c>
      <c r="D14898" s="69" t="s">
        <v>29418</v>
      </c>
      <c r="E14898" s="51"/>
      <c r="F14898" s="114" t="str">
        <f>IF(INDEX(I.Facility.P2bIDNumber,4886)="","",INDEX(I.Facility.P2bIDNumber,4886))</f>
        <v/>
      </c>
      <c r="G14898" s="51"/>
      <c r="H14898" s="46" t="str">
        <f>IF(AND(I.Developer.P2b=TRUE,I.Facility.P2bFacilityCount&gt;=4886,F14898=""),"Incomplete","Complete")</f>
        <v>Complete</v>
      </c>
      <c r="I14898" s="48" t="s">
        <v>19263</v>
      </c>
    </row>
    <row r="14899" spans="2:9" ht="15" customHeight="1" x14ac:dyDescent="0.25">
      <c r="B14899" s="55" t="s">
        <v>281</v>
      </c>
      <c r="C14899" s="46">
        <v>4887</v>
      </c>
      <c r="D14899" s="69" t="s">
        <v>29418</v>
      </c>
      <c r="E14899" s="51"/>
      <c r="F14899" s="114" t="str">
        <f>IF(INDEX(I.Facility.P2bIDNumber,4887)="","",INDEX(I.Facility.P2bIDNumber,4887))</f>
        <v/>
      </c>
      <c r="G14899" s="51"/>
      <c r="H14899" s="46" t="str">
        <f>IF(AND(I.Developer.P2b=TRUE,I.Facility.P2bFacilityCount&gt;=4887,F14899=""),"Incomplete","Complete")</f>
        <v>Complete</v>
      </c>
      <c r="I14899" s="48" t="s">
        <v>19264</v>
      </c>
    </row>
    <row r="14900" spans="2:9" ht="15" customHeight="1" x14ac:dyDescent="0.25">
      <c r="B14900" s="55" t="s">
        <v>281</v>
      </c>
      <c r="C14900" s="46">
        <v>4888</v>
      </c>
      <c r="D14900" s="69" t="s">
        <v>29418</v>
      </c>
      <c r="E14900" s="51"/>
      <c r="F14900" s="114" t="str">
        <f>IF(INDEX(I.Facility.P2bIDNumber,4888)="","",INDEX(I.Facility.P2bIDNumber,4888))</f>
        <v/>
      </c>
      <c r="G14900" s="51"/>
      <c r="H14900" s="46" t="str">
        <f>IF(AND(I.Developer.P2b=TRUE,I.Facility.P2bFacilityCount&gt;=4888,F14900=""),"Incomplete","Complete")</f>
        <v>Complete</v>
      </c>
      <c r="I14900" s="48" t="s">
        <v>19265</v>
      </c>
    </row>
    <row r="14901" spans="2:9" ht="15" customHeight="1" x14ac:dyDescent="0.25">
      <c r="B14901" s="55" t="s">
        <v>281</v>
      </c>
      <c r="C14901" s="46">
        <v>4889</v>
      </c>
      <c r="D14901" s="69" t="s">
        <v>29418</v>
      </c>
      <c r="E14901" s="51"/>
      <c r="F14901" s="114" t="str">
        <f>IF(INDEX(I.Facility.P2bIDNumber,4889)="","",INDEX(I.Facility.P2bIDNumber,4889))</f>
        <v/>
      </c>
      <c r="G14901" s="51"/>
      <c r="H14901" s="46" t="str">
        <f>IF(AND(I.Developer.P2b=TRUE,I.Facility.P2bFacilityCount&gt;=4889,F14901=""),"Incomplete","Complete")</f>
        <v>Complete</v>
      </c>
      <c r="I14901" s="48" t="s">
        <v>19266</v>
      </c>
    </row>
    <row r="14902" spans="2:9" ht="15" customHeight="1" x14ac:dyDescent="0.25">
      <c r="B14902" s="55" t="s">
        <v>281</v>
      </c>
      <c r="C14902" s="46">
        <v>4890</v>
      </c>
      <c r="D14902" s="69" t="s">
        <v>29418</v>
      </c>
      <c r="E14902" s="51"/>
      <c r="F14902" s="114" t="str">
        <f>IF(INDEX(I.Facility.P2bIDNumber,4890)="","",INDEX(I.Facility.P2bIDNumber,4890))</f>
        <v/>
      </c>
      <c r="G14902" s="51"/>
      <c r="H14902" s="46" t="str">
        <f>IF(AND(I.Developer.P2b=TRUE,I.Facility.P2bFacilityCount&gt;=4890,F14902=""),"Incomplete","Complete")</f>
        <v>Complete</v>
      </c>
      <c r="I14902" s="48" t="s">
        <v>19267</v>
      </c>
    </row>
    <row r="14903" spans="2:9" ht="15" customHeight="1" x14ac:dyDescent="0.25">
      <c r="B14903" s="55" t="s">
        <v>281</v>
      </c>
      <c r="C14903" s="46">
        <v>4891</v>
      </c>
      <c r="D14903" s="69" t="s">
        <v>29418</v>
      </c>
      <c r="E14903" s="51"/>
      <c r="F14903" s="114" t="str">
        <f>IF(INDEX(I.Facility.P2bIDNumber,4891)="","",INDEX(I.Facility.P2bIDNumber,4891))</f>
        <v/>
      </c>
      <c r="G14903" s="51"/>
      <c r="H14903" s="46" t="str">
        <f>IF(AND(I.Developer.P2b=TRUE,I.Facility.P2bFacilityCount&gt;=4891,F14903=""),"Incomplete","Complete")</f>
        <v>Complete</v>
      </c>
      <c r="I14903" s="48" t="s">
        <v>19268</v>
      </c>
    </row>
    <row r="14904" spans="2:9" ht="15" customHeight="1" x14ac:dyDescent="0.25">
      <c r="B14904" s="55" t="s">
        <v>281</v>
      </c>
      <c r="C14904" s="46">
        <v>4892</v>
      </c>
      <c r="D14904" s="69" t="s">
        <v>29418</v>
      </c>
      <c r="E14904" s="51"/>
      <c r="F14904" s="114" t="str">
        <f>IF(INDEX(I.Facility.P2bIDNumber,4892)="","",INDEX(I.Facility.P2bIDNumber,4892))</f>
        <v/>
      </c>
      <c r="G14904" s="51"/>
      <c r="H14904" s="46" t="str">
        <f>IF(AND(I.Developer.P2b=TRUE,I.Facility.P2bFacilityCount&gt;=4892,F14904=""),"Incomplete","Complete")</f>
        <v>Complete</v>
      </c>
      <c r="I14904" s="48" t="s">
        <v>19269</v>
      </c>
    </row>
    <row r="14905" spans="2:9" ht="15" customHeight="1" x14ac:dyDescent="0.25">
      <c r="B14905" s="55" t="s">
        <v>281</v>
      </c>
      <c r="C14905" s="46">
        <v>4893</v>
      </c>
      <c r="D14905" s="69" t="s">
        <v>29418</v>
      </c>
      <c r="E14905" s="51"/>
      <c r="F14905" s="114" t="str">
        <f>IF(INDEX(I.Facility.P2bIDNumber,4893)="","",INDEX(I.Facility.P2bIDNumber,4893))</f>
        <v/>
      </c>
      <c r="G14905" s="51"/>
      <c r="H14905" s="46" t="str">
        <f>IF(AND(I.Developer.P2b=TRUE,I.Facility.P2bFacilityCount&gt;=4893,F14905=""),"Incomplete","Complete")</f>
        <v>Complete</v>
      </c>
      <c r="I14905" s="48" t="s">
        <v>19270</v>
      </c>
    </row>
    <row r="14906" spans="2:9" ht="15" customHeight="1" x14ac:dyDescent="0.25">
      <c r="B14906" s="55" t="s">
        <v>281</v>
      </c>
      <c r="C14906" s="46">
        <v>4894</v>
      </c>
      <c r="D14906" s="69" t="s">
        <v>29418</v>
      </c>
      <c r="E14906" s="51"/>
      <c r="F14906" s="114" t="str">
        <f>IF(INDEX(I.Facility.P2bIDNumber,4894)="","",INDEX(I.Facility.P2bIDNumber,4894))</f>
        <v/>
      </c>
      <c r="G14906" s="51"/>
      <c r="H14906" s="46" t="str">
        <f>IF(AND(I.Developer.P2b=TRUE,I.Facility.P2bFacilityCount&gt;=4894,F14906=""),"Incomplete","Complete")</f>
        <v>Complete</v>
      </c>
      <c r="I14906" s="48" t="s">
        <v>19271</v>
      </c>
    </row>
    <row r="14907" spans="2:9" ht="15" customHeight="1" x14ac:dyDescent="0.25">
      <c r="B14907" s="55" t="s">
        <v>281</v>
      </c>
      <c r="C14907" s="46">
        <v>4895</v>
      </c>
      <c r="D14907" s="69" t="s">
        <v>29418</v>
      </c>
      <c r="E14907" s="51"/>
      <c r="F14907" s="114" t="str">
        <f>IF(INDEX(I.Facility.P2bIDNumber,4895)="","",INDEX(I.Facility.P2bIDNumber,4895))</f>
        <v/>
      </c>
      <c r="G14907" s="51"/>
      <c r="H14907" s="46" t="str">
        <f>IF(AND(I.Developer.P2b=TRUE,I.Facility.P2bFacilityCount&gt;=4895,F14907=""),"Incomplete","Complete")</f>
        <v>Complete</v>
      </c>
      <c r="I14907" s="48" t="s">
        <v>19272</v>
      </c>
    </row>
    <row r="14908" spans="2:9" ht="15" customHeight="1" x14ac:dyDescent="0.25">
      <c r="B14908" s="55" t="s">
        <v>281</v>
      </c>
      <c r="C14908" s="46">
        <v>4896</v>
      </c>
      <c r="D14908" s="69" t="s">
        <v>29418</v>
      </c>
      <c r="E14908" s="51"/>
      <c r="F14908" s="114" t="str">
        <f>IF(INDEX(I.Facility.P2bIDNumber,4896)="","",INDEX(I.Facility.P2bIDNumber,4896))</f>
        <v/>
      </c>
      <c r="G14908" s="51"/>
      <c r="H14908" s="46" t="str">
        <f>IF(AND(I.Developer.P2b=TRUE,I.Facility.P2bFacilityCount&gt;=4896,F14908=""),"Incomplete","Complete")</f>
        <v>Complete</v>
      </c>
      <c r="I14908" s="48" t="s">
        <v>19273</v>
      </c>
    </row>
    <row r="14909" spans="2:9" ht="15" customHeight="1" x14ac:dyDescent="0.25">
      <c r="B14909" s="55" t="s">
        <v>281</v>
      </c>
      <c r="C14909" s="46">
        <v>4897</v>
      </c>
      <c r="D14909" s="69" t="s">
        <v>29418</v>
      </c>
      <c r="E14909" s="51"/>
      <c r="F14909" s="114" t="str">
        <f>IF(INDEX(I.Facility.P2bIDNumber,4897)="","",INDEX(I.Facility.P2bIDNumber,4897))</f>
        <v/>
      </c>
      <c r="G14909" s="51"/>
      <c r="H14909" s="46" t="str">
        <f>IF(AND(I.Developer.P2b=TRUE,I.Facility.P2bFacilityCount&gt;=4897,F14909=""),"Incomplete","Complete")</f>
        <v>Complete</v>
      </c>
      <c r="I14909" s="48" t="s">
        <v>19274</v>
      </c>
    </row>
    <row r="14910" spans="2:9" ht="15" customHeight="1" x14ac:dyDescent="0.25">
      <c r="B14910" s="55" t="s">
        <v>281</v>
      </c>
      <c r="C14910" s="46">
        <v>4898</v>
      </c>
      <c r="D14910" s="69" t="s">
        <v>29418</v>
      </c>
      <c r="E14910" s="51"/>
      <c r="F14910" s="114" t="str">
        <f>IF(INDEX(I.Facility.P2bIDNumber,4898)="","",INDEX(I.Facility.P2bIDNumber,4898))</f>
        <v/>
      </c>
      <c r="G14910" s="51"/>
      <c r="H14910" s="46" t="str">
        <f>IF(AND(I.Developer.P2b=TRUE,I.Facility.P2bFacilityCount&gt;=4898,F14910=""),"Incomplete","Complete")</f>
        <v>Complete</v>
      </c>
      <c r="I14910" s="48" t="s">
        <v>19275</v>
      </c>
    </row>
    <row r="14911" spans="2:9" ht="15" customHeight="1" x14ac:dyDescent="0.25">
      <c r="B14911" s="55" t="s">
        <v>281</v>
      </c>
      <c r="C14911" s="46">
        <v>4899</v>
      </c>
      <c r="D14911" s="69" t="s">
        <v>29418</v>
      </c>
      <c r="E14911" s="51"/>
      <c r="F14911" s="114" t="str">
        <f>IF(INDEX(I.Facility.P2bIDNumber,4899)="","",INDEX(I.Facility.P2bIDNumber,4899))</f>
        <v/>
      </c>
      <c r="G14911" s="51"/>
      <c r="H14911" s="46" t="str">
        <f>IF(AND(I.Developer.P2b=TRUE,I.Facility.P2bFacilityCount&gt;=4899,F14911=""),"Incomplete","Complete")</f>
        <v>Complete</v>
      </c>
      <c r="I14911" s="48" t="s">
        <v>19276</v>
      </c>
    </row>
    <row r="14912" spans="2:9" ht="15" customHeight="1" x14ac:dyDescent="0.25">
      <c r="B14912" s="55" t="s">
        <v>281</v>
      </c>
      <c r="C14912" s="46">
        <v>4900</v>
      </c>
      <c r="D14912" s="69" t="s">
        <v>29418</v>
      </c>
      <c r="E14912" s="51"/>
      <c r="F14912" s="114" t="str">
        <f>IF(INDEX(I.Facility.P2bIDNumber,4900)="","",INDEX(I.Facility.P2bIDNumber,4900))</f>
        <v/>
      </c>
      <c r="G14912" s="51"/>
      <c r="H14912" s="46" t="str">
        <f>IF(AND(I.Developer.P2b=TRUE,I.Facility.P2bFacilityCount&gt;=4900,F14912=""),"Incomplete","Complete")</f>
        <v>Complete</v>
      </c>
      <c r="I14912" s="48" t="s">
        <v>19277</v>
      </c>
    </row>
    <row r="14913" spans="2:9" ht="15" customHeight="1" x14ac:dyDescent="0.25">
      <c r="B14913" s="55" t="s">
        <v>281</v>
      </c>
      <c r="C14913" s="46">
        <v>4901</v>
      </c>
      <c r="D14913" s="69" t="s">
        <v>29418</v>
      </c>
      <c r="E14913" s="51"/>
      <c r="F14913" s="114" t="str">
        <f>IF(INDEX(I.Facility.P2bIDNumber,4901)="","",INDEX(I.Facility.P2bIDNumber,4901))</f>
        <v/>
      </c>
      <c r="G14913" s="51"/>
      <c r="H14913" s="46" t="str">
        <f>IF(AND(I.Developer.P2b=TRUE,I.Facility.P2bFacilityCount&gt;=4901,F14913=""),"Incomplete","Complete")</f>
        <v>Complete</v>
      </c>
      <c r="I14913" s="48" t="s">
        <v>19278</v>
      </c>
    </row>
    <row r="14914" spans="2:9" ht="15" customHeight="1" x14ac:dyDescent="0.25">
      <c r="B14914" s="55" t="s">
        <v>281</v>
      </c>
      <c r="C14914" s="46">
        <v>4902</v>
      </c>
      <c r="D14914" s="69" t="s">
        <v>29418</v>
      </c>
      <c r="E14914" s="51"/>
      <c r="F14914" s="114" t="str">
        <f>IF(INDEX(I.Facility.P2bIDNumber,4902)="","",INDEX(I.Facility.P2bIDNumber,4902))</f>
        <v/>
      </c>
      <c r="G14914" s="51"/>
      <c r="H14914" s="46" t="str">
        <f>IF(AND(I.Developer.P2b=TRUE,I.Facility.P2bFacilityCount&gt;=4902,F14914=""),"Incomplete","Complete")</f>
        <v>Complete</v>
      </c>
      <c r="I14914" s="48" t="s">
        <v>19279</v>
      </c>
    </row>
    <row r="14915" spans="2:9" ht="15" customHeight="1" x14ac:dyDescent="0.25">
      <c r="B14915" s="55" t="s">
        <v>281</v>
      </c>
      <c r="C14915" s="46">
        <v>4903</v>
      </c>
      <c r="D14915" s="69" t="s">
        <v>29418</v>
      </c>
      <c r="E14915" s="51"/>
      <c r="F14915" s="114" t="str">
        <f>IF(INDEX(I.Facility.P2bIDNumber,4903)="","",INDEX(I.Facility.P2bIDNumber,4903))</f>
        <v/>
      </c>
      <c r="G14915" s="51"/>
      <c r="H14915" s="46" t="str">
        <f>IF(AND(I.Developer.P2b=TRUE,I.Facility.P2bFacilityCount&gt;=4903,F14915=""),"Incomplete","Complete")</f>
        <v>Complete</v>
      </c>
      <c r="I14915" s="48" t="s">
        <v>19280</v>
      </c>
    </row>
    <row r="14916" spans="2:9" ht="15" customHeight="1" x14ac:dyDescent="0.25">
      <c r="B14916" s="55" t="s">
        <v>281</v>
      </c>
      <c r="C14916" s="46">
        <v>4904</v>
      </c>
      <c r="D14916" s="69" t="s">
        <v>29418</v>
      </c>
      <c r="E14916" s="51"/>
      <c r="F14916" s="114" t="str">
        <f>IF(INDEX(I.Facility.P2bIDNumber,4904)="","",INDEX(I.Facility.P2bIDNumber,4904))</f>
        <v/>
      </c>
      <c r="G14916" s="51"/>
      <c r="H14916" s="46" t="str">
        <f>IF(AND(I.Developer.P2b=TRUE,I.Facility.P2bFacilityCount&gt;=4904,F14916=""),"Incomplete","Complete")</f>
        <v>Complete</v>
      </c>
      <c r="I14916" s="48" t="s">
        <v>19281</v>
      </c>
    </row>
    <row r="14917" spans="2:9" ht="15" customHeight="1" x14ac:dyDescent="0.25">
      <c r="B14917" s="55" t="s">
        <v>281</v>
      </c>
      <c r="C14917" s="46">
        <v>4905</v>
      </c>
      <c r="D14917" s="69" t="s">
        <v>29418</v>
      </c>
      <c r="E14917" s="51"/>
      <c r="F14917" s="114" t="str">
        <f>IF(INDEX(I.Facility.P2bIDNumber,4905)="","",INDEX(I.Facility.P2bIDNumber,4905))</f>
        <v/>
      </c>
      <c r="G14917" s="51"/>
      <c r="H14917" s="46" t="str">
        <f>IF(AND(I.Developer.P2b=TRUE,I.Facility.P2bFacilityCount&gt;=4905,F14917=""),"Incomplete","Complete")</f>
        <v>Complete</v>
      </c>
      <c r="I14917" s="48" t="s">
        <v>19282</v>
      </c>
    </row>
    <row r="14918" spans="2:9" ht="15" customHeight="1" x14ac:dyDescent="0.25">
      <c r="B14918" s="55" t="s">
        <v>281</v>
      </c>
      <c r="C14918" s="46">
        <v>4906</v>
      </c>
      <c r="D14918" s="69" t="s">
        <v>29418</v>
      </c>
      <c r="E14918" s="51"/>
      <c r="F14918" s="114" t="str">
        <f>IF(INDEX(I.Facility.P2bIDNumber,4906)="","",INDEX(I.Facility.P2bIDNumber,4906))</f>
        <v/>
      </c>
      <c r="G14918" s="51"/>
      <c r="H14918" s="46" t="str">
        <f>IF(AND(I.Developer.P2b=TRUE,I.Facility.P2bFacilityCount&gt;=4906,F14918=""),"Incomplete","Complete")</f>
        <v>Complete</v>
      </c>
      <c r="I14918" s="48" t="s">
        <v>19283</v>
      </c>
    </row>
    <row r="14919" spans="2:9" ht="15" customHeight="1" x14ac:dyDescent="0.25">
      <c r="B14919" s="55" t="s">
        <v>281</v>
      </c>
      <c r="C14919" s="46">
        <v>4907</v>
      </c>
      <c r="D14919" s="69" t="s">
        <v>29418</v>
      </c>
      <c r="E14919" s="51"/>
      <c r="F14919" s="114" t="str">
        <f>IF(INDEX(I.Facility.P2bIDNumber,4907)="","",INDEX(I.Facility.P2bIDNumber,4907))</f>
        <v/>
      </c>
      <c r="G14919" s="51"/>
      <c r="H14919" s="46" t="str">
        <f>IF(AND(I.Developer.P2b=TRUE,I.Facility.P2bFacilityCount&gt;=4907,F14919=""),"Incomplete","Complete")</f>
        <v>Complete</v>
      </c>
      <c r="I14919" s="48" t="s">
        <v>19284</v>
      </c>
    </row>
    <row r="14920" spans="2:9" ht="15" customHeight="1" x14ac:dyDescent="0.25">
      <c r="B14920" s="55" t="s">
        <v>281</v>
      </c>
      <c r="C14920" s="46">
        <v>4908</v>
      </c>
      <c r="D14920" s="69" t="s">
        <v>29418</v>
      </c>
      <c r="E14920" s="51"/>
      <c r="F14920" s="114" t="str">
        <f>IF(INDEX(I.Facility.P2bIDNumber,4908)="","",INDEX(I.Facility.P2bIDNumber,4908))</f>
        <v/>
      </c>
      <c r="G14920" s="51"/>
      <c r="H14920" s="46" t="str">
        <f>IF(AND(I.Developer.P2b=TRUE,I.Facility.P2bFacilityCount&gt;=4908,F14920=""),"Incomplete","Complete")</f>
        <v>Complete</v>
      </c>
      <c r="I14920" s="48" t="s">
        <v>19285</v>
      </c>
    </row>
    <row r="14921" spans="2:9" ht="15" customHeight="1" x14ac:dyDescent="0.25">
      <c r="B14921" s="55" t="s">
        <v>281</v>
      </c>
      <c r="C14921" s="46">
        <v>4909</v>
      </c>
      <c r="D14921" s="69" t="s">
        <v>29418</v>
      </c>
      <c r="E14921" s="51"/>
      <c r="F14921" s="114" t="str">
        <f>IF(INDEX(I.Facility.P2bIDNumber,4909)="","",INDEX(I.Facility.P2bIDNumber,4909))</f>
        <v/>
      </c>
      <c r="G14921" s="51"/>
      <c r="H14921" s="46" t="str">
        <f>IF(AND(I.Developer.P2b=TRUE,I.Facility.P2bFacilityCount&gt;=4909,F14921=""),"Incomplete","Complete")</f>
        <v>Complete</v>
      </c>
      <c r="I14921" s="48" t="s">
        <v>19286</v>
      </c>
    </row>
    <row r="14922" spans="2:9" ht="15" customHeight="1" x14ac:dyDescent="0.25">
      <c r="B14922" s="55" t="s">
        <v>281</v>
      </c>
      <c r="C14922" s="46">
        <v>4910</v>
      </c>
      <c r="D14922" s="69" t="s">
        <v>29418</v>
      </c>
      <c r="E14922" s="51"/>
      <c r="F14922" s="114" t="str">
        <f>IF(INDEX(I.Facility.P2bIDNumber,4910)="","",INDEX(I.Facility.P2bIDNumber,4910))</f>
        <v/>
      </c>
      <c r="G14922" s="51"/>
      <c r="H14922" s="46" t="str">
        <f>IF(AND(I.Developer.P2b=TRUE,I.Facility.P2bFacilityCount&gt;=4910,F14922=""),"Incomplete","Complete")</f>
        <v>Complete</v>
      </c>
      <c r="I14922" s="48" t="s">
        <v>19287</v>
      </c>
    </row>
    <row r="14923" spans="2:9" ht="15" customHeight="1" x14ac:dyDescent="0.25">
      <c r="B14923" s="55" t="s">
        <v>281</v>
      </c>
      <c r="C14923" s="46">
        <v>4911</v>
      </c>
      <c r="D14923" s="69" t="s">
        <v>29418</v>
      </c>
      <c r="E14923" s="51"/>
      <c r="F14923" s="114" t="str">
        <f>IF(INDEX(I.Facility.P2bIDNumber,4911)="","",INDEX(I.Facility.P2bIDNumber,4911))</f>
        <v/>
      </c>
      <c r="G14923" s="51"/>
      <c r="H14923" s="46" t="str">
        <f>IF(AND(I.Developer.P2b=TRUE,I.Facility.P2bFacilityCount&gt;=4911,F14923=""),"Incomplete","Complete")</f>
        <v>Complete</v>
      </c>
      <c r="I14923" s="48" t="s">
        <v>19288</v>
      </c>
    </row>
    <row r="14924" spans="2:9" ht="15" customHeight="1" x14ac:dyDescent="0.25">
      <c r="B14924" s="55" t="s">
        <v>281</v>
      </c>
      <c r="C14924" s="46">
        <v>4912</v>
      </c>
      <c r="D14924" s="69" t="s">
        <v>29418</v>
      </c>
      <c r="E14924" s="51"/>
      <c r="F14924" s="114" t="str">
        <f>IF(INDEX(I.Facility.P2bIDNumber,4912)="","",INDEX(I.Facility.P2bIDNumber,4912))</f>
        <v/>
      </c>
      <c r="G14924" s="51"/>
      <c r="H14924" s="46" t="str">
        <f>IF(AND(I.Developer.P2b=TRUE,I.Facility.P2bFacilityCount&gt;=4912,F14924=""),"Incomplete","Complete")</f>
        <v>Complete</v>
      </c>
      <c r="I14924" s="48" t="s">
        <v>19289</v>
      </c>
    </row>
    <row r="14925" spans="2:9" ht="15" customHeight="1" x14ac:dyDescent="0.25">
      <c r="B14925" s="55" t="s">
        <v>281</v>
      </c>
      <c r="C14925" s="46">
        <v>4913</v>
      </c>
      <c r="D14925" s="69" t="s">
        <v>29418</v>
      </c>
      <c r="E14925" s="51"/>
      <c r="F14925" s="114" t="str">
        <f>IF(INDEX(I.Facility.P2bIDNumber,4913)="","",INDEX(I.Facility.P2bIDNumber,4913))</f>
        <v/>
      </c>
      <c r="G14925" s="51"/>
      <c r="H14925" s="46" t="str">
        <f>IF(AND(I.Developer.P2b=TRUE,I.Facility.P2bFacilityCount&gt;=4913,F14925=""),"Incomplete","Complete")</f>
        <v>Complete</v>
      </c>
      <c r="I14925" s="48" t="s">
        <v>19290</v>
      </c>
    </row>
    <row r="14926" spans="2:9" ht="15" customHeight="1" x14ac:dyDescent="0.25">
      <c r="B14926" s="55" t="s">
        <v>281</v>
      </c>
      <c r="C14926" s="46">
        <v>4914</v>
      </c>
      <c r="D14926" s="69" t="s">
        <v>29418</v>
      </c>
      <c r="E14926" s="51"/>
      <c r="F14926" s="114" t="str">
        <f>IF(INDEX(I.Facility.P2bIDNumber,4914)="","",INDEX(I.Facility.P2bIDNumber,4914))</f>
        <v/>
      </c>
      <c r="G14926" s="51"/>
      <c r="H14926" s="46" t="str">
        <f>IF(AND(I.Developer.P2b=TRUE,I.Facility.P2bFacilityCount&gt;=4914,F14926=""),"Incomplete","Complete")</f>
        <v>Complete</v>
      </c>
      <c r="I14926" s="48" t="s">
        <v>19291</v>
      </c>
    </row>
    <row r="14927" spans="2:9" ht="15" customHeight="1" x14ac:dyDescent="0.25">
      <c r="B14927" s="55" t="s">
        <v>281</v>
      </c>
      <c r="C14927" s="46">
        <v>4915</v>
      </c>
      <c r="D14927" s="69" t="s">
        <v>29418</v>
      </c>
      <c r="E14927" s="51"/>
      <c r="F14927" s="114" t="str">
        <f>IF(INDEX(I.Facility.P2bIDNumber,4915)="","",INDEX(I.Facility.P2bIDNumber,4915))</f>
        <v/>
      </c>
      <c r="G14927" s="51"/>
      <c r="H14927" s="46" t="str">
        <f>IF(AND(I.Developer.P2b=TRUE,I.Facility.P2bFacilityCount&gt;=4915,F14927=""),"Incomplete","Complete")</f>
        <v>Complete</v>
      </c>
      <c r="I14927" s="48" t="s">
        <v>19292</v>
      </c>
    </row>
    <row r="14928" spans="2:9" ht="15" customHeight="1" x14ac:dyDescent="0.25">
      <c r="B14928" s="55" t="s">
        <v>281</v>
      </c>
      <c r="C14928" s="46">
        <v>4916</v>
      </c>
      <c r="D14928" s="69" t="s">
        <v>29418</v>
      </c>
      <c r="E14928" s="51"/>
      <c r="F14928" s="114" t="str">
        <f>IF(INDEX(I.Facility.P2bIDNumber,4916)="","",INDEX(I.Facility.P2bIDNumber,4916))</f>
        <v/>
      </c>
      <c r="G14928" s="51"/>
      <c r="H14928" s="46" t="str">
        <f>IF(AND(I.Developer.P2b=TRUE,I.Facility.P2bFacilityCount&gt;=4916,F14928=""),"Incomplete","Complete")</f>
        <v>Complete</v>
      </c>
      <c r="I14928" s="48" t="s">
        <v>19293</v>
      </c>
    </row>
    <row r="14929" spans="2:9" ht="15" customHeight="1" x14ac:dyDescent="0.25">
      <c r="B14929" s="55" t="s">
        <v>281</v>
      </c>
      <c r="C14929" s="46">
        <v>4917</v>
      </c>
      <c r="D14929" s="69" t="s">
        <v>29418</v>
      </c>
      <c r="E14929" s="51"/>
      <c r="F14929" s="114" t="str">
        <f>IF(INDEX(I.Facility.P2bIDNumber,4917)="","",INDEX(I.Facility.P2bIDNumber,4917))</f>
        <v/>
      </c>
      <c r="G14929" s="51"/>
      <c r="H14929" s="46" t="str">
        <f>IF(AND(I.Developer.P2b=TRUE,I.Facility.P2bFacilityCount&gt;=4917,F14929=""),"Incomplete","Complete")</f>
        <v>Complete</v>
      </c>
      <c r="I14929" s="48" t="s">
        <v>19294</v>
      </c>
    </row>
    <row r="14930" spans="2:9" ht="15" customHeight="1" x14ac:dyDescent="0.25">
      <c r="B14930" s="55" t="s">
        <v>281</v>
      </c>
      <c r="C14930" s="46">
        <v>4918</v>
      </c>
      <c r="D14930" s="69" t="s">
        <v>29418</v>
      </c>
      <c r="E14930" s="51"/>
      <c r="F14930" s="114" t="str">
        <f>IF(INDEX(I.Facility.P2bIDNumber,4918)="","",INDEX(I.Facility.P2bIDNumber,4918))</f>
        <v/>
      </c>
      <c r="G14930" s="51"/>
      <c r="H14930" s="46" t="str">
        <f>IF(AND(I.Developer.P2b=TRUE,I.Facility.P2bFacilityCount&gt;=4918,F14930=""),"Incomplete","Complete")</f>
        <v>Complete</v>
      </c>
      <c r="I14930" s="48" t="s">
        <v>19295</v>
      </c>
    </row>
    <row r="14931" spans="2:9" ht="15" customHeight="1" x14ac:dyDescent="0.25">
      <c r="B14931" s="55" t="s">
        <v>281</v>
      </c>
      <c r="C14931" s="46">
        <v>4919</v>
      </c>
      <c r="D14931" s="69" t="s">
        <v>29418</v>
      </c>
      <c r="E14931" s="51"/>
      <c r="F14931" s="114" t="str">
        <f>IF(INDEX(I.Facility.P2bIDNumber,4919)="","",INDEX(I.Facility.P2bIDNumber,4919))</f>
        <v/>
      </c>
      <c r="G14931" s="51"/>
      <c r="H14931" s="46" t="str">
        <f>IF(AND(I.Developer.P2b=TRUE,I.Facility.P2bFacilityCount&gt;=4919,F14931=""),"Incomplete","Complete")</f>
        <v>Complete</v>
      </c>
      <c r="I14931" s="48" t="s">
        <v>19296</v>
      </c>
    </row>
    <row r="14932" spans="2:9" ht="15" customHeight="1" x14ac:dyDescent="0.25">
      <c r="B14932" s="55" t="s">
        <v>281</v>
      </c>
      <c r="C14932" s="46">
        <v>4920</v>
      </c>
      <c r="D14932" s="69" t="s">
        <v>29418</v>
      </c>
      <c r="E14932" s="51"/>
      <c r="F14932" s="114" t="str">
        <f>IF(INDEX(I.Facility.P2bIDNumber,4920)="","",INDEX(I.Facility.P2bIDNumber,4920))</f>
        <v/>
      </c>
      <c r="G14932" s="51"/>
      <c r="H14932" s="46" t="str">
        <f>IF(AND(I.Developer.P2b=TRUE,I.Facility.P2bFacilityCount&gt;=4920,F14932=""),"Incomplete","Complete")</f>
        <v>Complete</v>
      </c>
      <c r="I14932" s="48" t="s">
        <v>19297</v>
      </c>
    </row>
    <row r="14933" spans="2:9" ht="15" customHeight="1" x14ac:dyDescent="0.25">
      <c r="B14933" s="55" t="s">
        <v>281</v>
      </c>
      <c r="C14933" s="46">
        <v>4921</v>
      </c>
      <c r="D14933" s="69" t="s">
        <v>29418</v>
      </c>
      <c r="E14933" s="51"/>
      <c r="F14933" s="114" t="str">
        <f>IF(INDEX(I.Facility.P2bIDNumber,4921)="","",INDEX(I.Facility.P2bIDNumber,4921))</f>
        <v/>
      </c>
      <c r="G14933" s="51"/>
      <c r="H14933" s="46" t="str">
        <f>IF(AND(I.Developer.P2b=TRUE,I.Facility.P2bFacilityCount&gt;=4921,F14933=""),"Incomplete","Complete")</f>
        <v>Complete</v>
      </c>
      <c r="I14933" s="48" t="s">
        <v>19298</v>
      </c>
    </row>
    <row r="14934" spans="2:9" ht="15" customHeight="1" x14ac:dyDescent="0.25">
      <c r="B14934" s="55" t="s">
        <v>281</v>
      </c>
      <c r="C14934" s="46">
        <v>4922</v>
      </c>
      <c r="D14934" s="69" t="s">
        <v>29418</v>
      </c>
      <c r="E14934" s="51"/>
      <c r="F14934" s="114" t="str">
        <f>IF(INDEX(I.Facility.P2bIDNumber,4922)="","",INDEX(I.Facility.P2bIDNumber,4922))</f>
        <v/>
      </c>
      <c r="G14934" s="51"/>
      <c r="H14934" s="46" t="str">
        <f>IF(AND(I.Developer.P2b=TRUE,I.Facility.P2bFacilityCount&gt;=4922,F14934=""),"Incomplete","Complete")</f>
        <v>Complete</v>
      </c>
      <c r="I14934" s="48" t="s">
        <v>19299</v>
      </c>
    </row>
    <row r="14935" spans="2:9" ht="15" customHeight="1" x14ac:dyDescent="0.25">
      <c r="B14935" s="55" t="s">
        <v>281</v>
      </c>
      <c r="C14935" s="46">
        <v>4923</v>
      </c>
      <c r="D14935" s="69" t="s">
        <v>29418</v>
      </c>
      <c r="E14935" s="51"/>
      <c r="F14935" s="114" t="str">
        <f>IF(INDEX(I.Facility.P2bIDNumber,4923)="","",INDEX(I.Facility.P2bIDNumber,4923))</f>
        <v/>
      </c>
      <c r="G14935" s="51"/>
      <c r="H14935" s="46" t="str">
        <f>IF(AND(I.Developer.P2b=TRUE,I.Facility.P2bFacilityCount&gt;=4923,F14935=""),"Incomplete","Complete")</f>
        <v>Complete</v>
      </c>
      <c r="I14935" s="48" t="s">
        <v>19300</v>
      </c>
    </row>
    <row r="14936" spans="2:9" ht="15" customHeight="1" x14ac:dyDescent="0.25">
      <c r="B14936" s="55" t="s">
        <v>281</v>
      </c>
      <c r="C14936" s="46">
        <v>4924</v>
      </c>
      <c r="D14936" s="69" t="s">
        <v>29418</v>
      </c>
      <c r="E14936" s="51"/>
      <c r="F14936" s="114" t="str">
        <f>IF(INDEX(I.Facility.P2bIDNumber,4924)="","",INDEX(I.Facility.P2bIDNumber,4924))</f>
        <v/>
      </c>
      <c r="G14936" s="51"/>
      <c r="H14936" s="46" t="str">
        <f>IF(AND(I.Developer.P2b=TRUE,I.Facility.P2bFacilityCount&gt;=4924,F14936=""),"Incomplete","Complete")</f>
        <v>Complete</v>
      </c>
      <c r="I14936" s="48" t="s">
        <v>19301</v>
      </c>
    </row>
    <row r="14937" spans="2:9" ht="15" customHeight="1" x14ac:dyDescent="0.25">
      <c r="B14937" s="55" t="s">
        <v>281</v>
      </c>
      <c r="C14937" s="46">
        <v>4925</v>
      </c>
      <c r="D14937" s="69" t="s">
        <v>29418</v>
      </c>
      <c r="E14937" s="51"/>
      <c r="F14937" s="114" t="str">
        <f>IF(INDEX(I.Facility.P2bIDNumber,4925)="","",INDEX(I.Facility.P2bIDNumber,4925))</f>
        <v/>
      </c>
      <c r="G14937" s="51"/>
      <c r="H14937" s="46" t="str">
        <f>IF(AND(I.Developer.P2b=TRUE,I.Facility.P2bFacilityCount&gt;=4925,F14937=""),"Incomplete","Complete")</f>
        <v>Complete</v>
      </c>
      <c r="I14937" s="48" t="s">
        <v>19302</v>
      </c>
    </row>
    <row r="14938" spans="2:9" ht="15" customHeight="1" x14ac:dyDescent="0.25">
      <c r="B14938" s="55" t="s">
        <v>281</v>
      </c>
      <c r="C14938" s="46">
        <v>4926</v>
      </c>
      <c r="D14938" s="69" t="s">
        <v>29418</v>
      </c>
      <c r="E14938" s="51"/>
      <c r="F14938" s="114" t="str">
        <f>IF(INDEX(I.Facility.P2bIDNumber,4926)="","",INDEX(I.Facility.P2bIDNumber,4926))</f>
        <v/>
      </c>
      <c r="G14938" s="51"/>
      <c r="H14938" s="46" t="str">
        <f>IF(AND(I.Developer.P2b=TRUE,I.Facility.P2bFacilityCount&gt;=4926,F14938=""),"Incomplete","Complete")</f>
        <v>Complete</v>
      </c>
      <c r="I14938" s="48" t="s">
        <v>19303</v>
      </c>
    </row>
    <row r="14939" spans="2:9" ht="15" customHeight="1" x14ac:dyDescent="0.25">
      <c r="B14939" s="55" t="s">
        <v>281</v>
      </c>
      <c r="C14939" s="46">
        <v>4927</v>
      </c>
      <c r="D14939" s="69" t="s">
        <v>29418</v>
      </c>
      <c r="E14939" s="51"/>
      <c r="F14939" s="114" t="str">
        <f>IF(INDEX(I.Facility.P2bIDNumber,4927)="","",INDEX(I.Facility.P2bIDNumber,4927))</f>
        <v/>
      </c>
      <c r="G14939" s="51"/>
      <c r="H14939" s="46" t="str">
        <f>IF(AND(I.Developer.P2b=TRUE,I.Facility.P2bFacilityCount&gt;=4927,F14939=""),"Incomplete","Complete")</f>
        <v>Complete</v>
      </c>
      <c r="I14939" s="48" t="s">
        <v>19304</v>
      </c>
    </row>
    <row r="14940" spans="2:9" ht="15" customHeight="1" x14ac:dyDescent="0.25">
      <c r="B14940" s="55" t="s">
        <v>281</v>
      </c>
      <c r="C14940" s="46">
        <v>4928</v>
      </c>
      <c r="D14940" s="69" t="s">
        <v>29418</v>
      </c>
      <c r="E14940" s="51"/>
      <c r="F14940" s="114" t="str">
        <f>IF(INDEX(I.Facility.P2bIDNumber,4928)="","",INDEX(I.Facility.P2bIDNumber,4928))</f>
        <v/>
      </c>
      <c r="G14940" s="51"/>
      <c r="H14940" s="46" t="str">
        <f>IF(AND(I.Developer.P2b=TRUE,I.Facility.P2bFacilityCount&gt;=4928,F14940=""),"Incomplete","Complete")</f>
        <v>Complete</v>
      </c>
      <c r="I14940" s="48" t="s">
        <v>19305</v>
      </c>
    </row>
    <row r="14941" spans="2:9" ht="15" customHeight="1" x14ac:dyDescent="0.25">
      <c r="B14941" s="55" t="s">
        <v>281</v>
      </c>
      <c r="C14941" s="46">
        <v>4929</v>
      </c>
      <c r="D14941" s="69" t="s">
        <v>29418</v>
      </c>
      <c r="E14941" s="51"/>
      <c r="F14941" s="114" t="str">
        <f>IF(INDEX(I.Facility.P2bIDNumber,4929)="","",INDEX(I.Facility.P2bIDNumber,4929))</f>
        <v/>
      </c>
      <c r="G14941" s="51"/>
      <c r="H14941" s="46" t="str">
        <f>IF(AND(I.Developer.P2b=TRUE,I.Facility.P2bFacilityCount&gt;=4929,F14941=""),"Incomplete","Complete")</f>
        <v>Complete</v>
      </c>
      <c r="I14941" s="48" t="s">
        <v>19306</v>
      </c>
    </row>
    <row r="14942" spans="2:9" ht="15" customHeight="1" x14ac:dyDescent="0.25">
      <c r="B14942" s="55" t="s">
        <v>281</v>
      </c>
      <c r="C14942" s="46">
        <v>4930</v>
      </c>
      <c r="D14942" s="69" t="s">
        <v>29418</v>
      </c>
      <c r="E14942" s="51"/>
      <c r="F14942" s="114" t="str">
        <f>IF(INDEX(I.Facility.P2bIDNumber,4930)="","",INDEX(I.Facility.P2bIDNumber,4930))</f>
        <v/>
      </c>
      <c r="G14942" s="51"/>
      <c r="H14942" s="46" t="str">
        <f>IF(AND(I.Developer.P2b=TRUE,I.Facility.P2bFacilityCount&gt;=4930,F14942=""),"Incomplete","Complete")</f>
        <v>Complete</v>
      </c>
      <c r="I14942" s="48" t="s">
        <v>19307</v>
      </c>
    </row>
    <row r="14943" spans="2:9" ht="15" customHeight="1" x14ac:dyDescent="0.25">
      <c r="B14943" s="55" t="s">
        <v>281</v>
      </c>
      <c r="C14943" s="46">
        <v>4931</v>
      </c>
      <c r="D14943" s="69" t="s">
        <v>29418</v>
      </c>
      <c r="E14943" s="51"/>
      <c r="F14943" s="114" t="str">
        <f>IF(INDEX(I.Facility.P2bIDNumber,4931)="","",INDEX(I.Facility.P2bIDNumber,4931))</f>
        <v/>
      </c>
      <c r="G14943" s="51"/>
      <c r="H14943" s="46" t="str">
        <f>IF(AND(I.Developer.P2b=TRUE,I.Facility.P2bFacilityCount&gt;=4931,F14943=""),"Incomplete","Complete")</f>
        <v>Complete</v>
      </c>
      <c r="I14943" s="48" t="s">
        <v>19308</v>
      </c>
    </row>
    <row r="14944" spans="2:9" ht="15" customHeight="1" x14ac:dyDescent="0.25">
      <c r="B14944" s="55" t="s">
        <v>281</v>
      </c>
      <c r="C14944" s="46">
        <v>4932</v>
      </c>
      <c r="D14944" s="69" t="s">
        <v>29418</v>
      </c>
      <c r="E14944" s="51"/>
      <c r="F14944" s="114" t="str">
        <f>IF(INDEX(I.Facility.P2bIDNumber,4932)="","",INDEX(I.Facility.P2bIDNumber,4932))</f>
        <v/>
      </c>
      <c r="G14944" s="51"/>
      <c r="H14944" s="46" t="str">
        <f>IF(AND(I.Developer.P2b=TRUE,I.Facility.P2bFacilityCount&gt;=4932,F14944=""),"Incomplete","Complete")</f>
        <v>Complete</v>
      </c>
      <c r="I14944" s="48" t="s">
        <v>19309</v>
      </c>
    </row>
    <row r="14945" spans="2:9" ht="15" customHeight="1" x14ac:dyDescent="0.25">
      <c r="B14945" s="55" t="s">
        <v>281</v>
      </c>
      <c r="C14945" s="46">
        <v>4933</v>
      </c>
      <c r="D14945" s="69" t="s">
        <v>29418</v>
      </c>
      <c r="E14945" s="51"/>
      <c r="F14945" s="114" t="str">
        <f>IF(INDEX(I.Facility.P2bIDNumber,4933)="","",INDEX(I.Facility.P2bIDNumber,4933))</f>
        <v/>
      </c>
      <c r="G14945" s="51"/>
      <c r="H14945" s="46" t="str">
        <f>IF(AND(I.Developer.P2b=TRUE,I.Facility.P2bFacilityCount&gt;=4933,F14945=""),"Incomplete","Complete")</f>
        <v>Complete</v>
      </c>
      <c r="I14945" s="48" t="s">
        <v>19310</v>
      </c>
    </row>
    <row r="14946" spans="2:9" ht="15" customHeight="1" x14ac:dyDescent="0.25">
      <c r="B14946" s="55" t="s">
        <v>281</v>
      </c>
      <c r="C14946" s="46">
        <v>4934</v>
      </c>
      <c r="D14946" s="69" t="s">
        <v>29418</v>
      </c>
      <c r="E14946" s="51"/>
      <c r="F14946" s="114" t="str">
        <f>IF(INDEX(I.Facility.P2bIDNumber,4934)="","",INDEX(I.Facility.P2bIDNumber,4934))</f>
        <v/>
      </c>
      <c r="G14946" s="51"/>
      <c r="H14946" s="46" t="str">
        <f>IF(AND(I.Developer.P2b=TRUE,I.Facility.P2bFacilityCount&gt;=4934,F14946=""),"Incomplete","Complete")</f>
        <v>Complete</v>
      </c>
      <c r="I14946" s="48" t="s">
        <v>19311</v>
      </c>
    </row>
    <row r="14947" spans="2:9" ht="15" customHeight="1" x14ac:dyDescent="0.25">
      <c r="B14947" s="55" t="s">
        <v>281</v>
      </c>
      <c r="C14947" s="46">
        <v>4935</v>
      </c>
      <c r="D14947" s="69" t="s">
        <v>29418</v>
      </c>
      <c r="E14947" s="51"/>
      <c r="F14947" s="114" t="str">
        <f>IF(INDEX(I.Facility.P2bIDNumber,4935)="","",INDEX(I.Facility.P2bIDNumber,4935))</f>
        <v/>
      </c>
      <c r="G14947" s="51"/>
      <c r="H14947" s="46" t="str">
        <f>IF(AND(I.Developer.P2b=TRUE,I.Facility.P2bFacilityCount&gt;=4935,F14947=""),"Incomplete","Complete")</f>
        <v>Complete</v>
      </c>
      <c r="I14947" s="48" t="s">
        <v>19312</v>
      </c>
    </row>
    <row r="14948" spans="2:9" ht="15" customHeight="1" x14ac:dyDescent="0.25">
      <c r="B14948" s="55" t="s">
        <v>281</v>
      </c>
      <c r="C14948" s="46">
        <v>4936</v>
      </c>
      <c r="D14948" s="69" t="s">
        <v>29418</v>
      </c>
      <c r="E14948" s="51"/>
      <c r="F14948" s="114" t="str">
        <f>IF(INDEX(I.Facility.P2bIDNumber,4936)="","",INDEX(I.Facility.P2bIDNumber,4936))</f>
        <v/>
      </c>
      <c r="G14948" s="51"/>
      <c r="H14948" s="46" t="str">
        <f>IF(AND(I.Developer.P2b=TRUE,I.Facility.P2bFacilityCount&gt;=4936,F14948=""),"Incomplete","Complete")</f>
        <v>Complete</v>
      </c>
      <c r="I14948" s="48" t="s">
        <v>19313</v>
      </c>
    </row>
    <row r="14949" spans="2:9" ht="15" customHeight="1" x14ac:dyDescent="0.25">
      <c r="B14949" s="55" t="s">
        <v>281</v>
      </c>
      <c r="C14949" s="46">
        <v>4937</v>
      </c>
      <c r="D14949" s="69" t="s">
        <v>29418</v>
      </c>
      <c r="E14949" s="51"/>
      <c r="F14949" s="114" t="str">
        <f>IF(INDEX(I.Facility.P2bIDNumber,4937)="","",INDEX(I.Facility.P2bIDNumber,4937))</f>
        <v/>
      </c>
      <c r="G14949" s="51"/>
      <c r="H14949" s="46" t="str">
        <f>IF(AND(I.Developer.P2b=TRUE,I.Facility.P2bFacilityCount&gt;=4937,F14949=""),"Incomplete","Complete")</f>
        <v>Complete</v>
      </c>
      <c r="I14949" s="48" t="s">
        <v>19314</v>
      </c>
    </row>
    <row r="14950" spans="2:9" ht="15" customHeight="1" x14ac:dyDescent="0.25">
      <c r="B14950" s="55" t="s">
        <v>281</v>
      </c>
      <c r="C14950" s="46">
        <v>4938</v>
      </c>
      <c r="D14950" s="69" t="s">
        <v>29418</v>
      </c>
      <c r="E14950" s="51"/>
      <c r="F14950" s="114" t="str">
        <f>IF(INDEX(I.Facility.P2bIDNumber,4938)="","",INDEX(I.Facility.P2bIDNumber,4938))</f>
        <v/>
      </c>
      <c r="G14950" s="51"/>
      <c r="H14950" s="46" t="str">
        <f>IF(AND(I.Developer.P2b=TRUE,I.Facility.P2bFacilityCount&gt;=4938,F14950=""),"Incomplete","Complete")</f>
        <v>Complete</v>
      </c>
      <c r="I14950" s="48" t="s">
        <v>19315</v>
      </c>
    </row>
    <row r="14951" spans="2:9" ht="15" customHeight="1" x14ac:dyDescent="0.25">
      <c r="B14951" s="55" t="s">
        <v>281</v>
      </c>
      <c r="C14951" s="46">
        <v>4939</v>
      </c>
      <c r="D14951" s="69" t="s">
        <v>29418</v>
      </c>
      <c r="E14951" s="51"/>
      <c r="F14951" s="114" t="str">
        <f>IF(INDEX(I.Facility.P2bIDNumber,4939)="","",INDEX(I.Facility.P2bIDNumber,4939))</f>
        <v/>
      </c>
      <c r="G14951" s="51"/>
      <c r="H14951" s="46" t="str">
        <f>IF(AND(I.Developer.P2b=TRUE,I.Facility.P2bFacilityCount&gt;=4939,F14951=""),"Incomplete","Complete")</f>
        <v>Complete</v>
      </c>
      <c r="I14951" s="48" t="s">
        <v>19316</v>
      </c>
    </row>
    <row r="14952" spans="2:9" ht="15" customHeight="1" x14ac:dyDescent="0.25">
      <c r="B14952" s="55" t="s">
        <v>281</v>
      </c>
      <c r="C14952" s="46">
        <v>4940</v>
      </c>
      <c r="D14952" s="69" t="s">
        <v>29418</v>
      </c>
      <c r="E14952" s="51"/>
      <c r="F14952" s="114" t="str">
        <f>IF(INDEX(I.Facility.P2bIDNumber,4940)="","",INDEX(I.Facility.P2bIDNumber,4940))</f>
        <v/>
      </c>
      <c r="G14952" s="51"/>
      <c r="H14952" s="46" t="str">
        <f>IF(AND(I.Developer.P2b=TRUE,I.Facility.P2bFacilityCount&gt;=4940,F14952=""),"Incomplete","Complete")</f>
        <v>Complete</v>
      </c>
      <c r="I14952" s="48" t="s">
        <v>19317</v>
      </c>
    </row>
    <row r="14953" spans="2:9" ht="15" customHeight="1" x14ac:dyDescent="0.25">
      <c r="B14953" s="55" t="s">
        <v>281</v>
      </c>
      <c r="C14953" s="46">
        <v>4941</v>
      </c>
      <c r="D14953" s="69" t="s">
        <v>29418</v>
      </c>
      <c r="E14953" s="51"/>
      <c r="F14953" s="114" t="str">
        <f>IF(INDEX(I.Facility.P2bIDNumber,4941)="","",INDEX(I.Facility.P2bIDNumber,4941))</f>
        <v/>
      </c>
      <c r="G14953" s="51"/>
      <c r="H14953" s="46" t="str">
        <f>IF(AND(I.Developer.P2b=TRUE,I.Facility.P2bFacilityCount&gt;=4941,F14953=""),"Incomplete","Complete")</f>
        <v>Complete</v>
      </c>
      <c r="I14953" s="48" t="s">
        <v>19318</v>
      </c>
    </row>
    <row r="14954" spans="2:9" ht="15" customHeight="1" x14ac:dyDescent="0.25">
      <c r="B14954" s="55" t="s">
        <v>281</v>
      </c>
      <c r="C14954" s="46">
        <v>4942</v>
      </c>
      <c r="D14954" s="69" t="s">
        <v>29418</v>
      </c>
      <c r="E14954" s="51"/>
      <c r="F14954" s="114" t="str">
        <f>IF(INDEX(I.Facility.P2bIDNumber,4942)="","",INDEX(I.Facility.P2bIDNumber,4942))</f>
        <v/>
      </c>
      <c r="G14954" s="51"/>
      <c r="H14954" s="46" t="str">
        <f>IF(AND(I.Developer.P2b=TRUE,I.Facility.P2bFacilityCount&gt;=4942,F14954=""),"Incomplete","Complete")</f>
        <v>Complete</v>
      </c>
      <c r="I14954" s="48" t="s">
        <v>19319</v>
      </c>
    </row>
    <row r="14955" spans="2:9" ht="15" customHeight="1" x14ac:dyDescent="0.25">
      <c r="B14955" s="55" t="s">
        <v>281</v>
      </c>
      <c r="C14955" s="46">
        <v>4943</v>
      </c>
      <c r="D14955" s="69" t="s">
        <v>29418</v>
      </c>
      <c r="E14955" s="51"/>
      <c r="F14955" s="114" t="str">
        <f>IF(INDEX(I.Facility.P2bIDNumber,4943)="","",INDEX(I.Facility.P2bIDNumber,4943))</f>
        <v/>
      </c>
      <c r="G14955" s="51"/>
      <c r="H14955" s="46" t="str">
        <f>IF(AND(I.Developer.P2b=TRUE,I.Facility.P2bFacilityCount&gt;=4943,F14955=""),"Incomplete","Complete")</f>
        <v>Complete</v>
      </c>
      <c r="I14955" s="48" t="s">
        <v>19320</v>
      </c>
    </row>
    <row r="14956" spans="2:9" ht="15" customHeight="1" x14ac:dyDescent="0.25">
      <c r="B14956" s="55" t="s">
        <v>281</v>
      </c>
      <c r="C14956" s="46">
        <v>4944</v>
      </c>
      <c r="D14956" s="69" t="s">
        <v>29418</v>
      </c>
      <c r="E14956" s="51"/>
      <c r="F14956" s="114" t="str">
        <f>IF(INDEX(I.Facility.P2bIDNumber,4944)="","",INDEX(I.Facility.P2bIDNumber,4944))</f>
        <v/>
      </c>
      <c r="G14956" s="51"/>
      <c r="H14956" s="46" t="str">
        <f>IF(AND(I.Developer.P2b=TRUE,I.Facility.P2bFacilityCount&gt;=4944,F14956=""),"Incomplete","Complete")</f>
        <v>Complete</v>
      </c>
      <c r="I14956" s="48" t="s">
        <v>19321</v>
      </c>
    </row>
    <row r="14957" spans="2:9" ht="15" customHeight="1" x14ac:dyDescent="0.25">
      <c r="B14957" s="55" t="s">
        <v>281</v>
      </c>
      <c r="C14957" s="46">
        <v>4945</v>
      </c>
      <c r="D14957" s="69" t="s">
        <v>29418</v>
      </c>
      <c r="E14957" s="51"/>
      <c r="F14957" s="114" t="str">
        <f>IF(INDEX(I.Facility.P2bIDNumber,4945)="","",INDEX(I.Facility.P2bIDNumber,4945))</f>
        <v/>
      </c>
      <c r="G14957" s="51"/>
      <c r="H14957" s="46" t="str">
        <f>IF(AND(I.Developer.P2b=TRUE,I.Facility.P2bFacilityCount&gt;=4945,F14957=""),"Incomplete","Complete")</f>
        <v>Complete</v>
      </c>
      <c r="I14957" s="48" t="s">
        <v>19322</v>
      </c>
    </row>
    <row r="14958" spans="2:9" ht="15" customHeight="1" x14ac:dyDescent="0.25">
      <c r="B14958" s="55" t="s">
        <v>281</v>
      </c>
      <c r="C14958" s="46">
        <v>4946</v>
      </c>
      <c r="D14958" s="69" t="s">
        <v>29418</v>
      </c>
      <c r="E14958" s="51"/>
      <c r="F14958" s="114" t="str">
        <f>IF(INDEX(I.Facility.P2bIDNumber,4946)="","",INDEX(I.Facility.P2bIDNumber,4946))</f>
        <v/>
      </c>
      <c r="G14958" s="51"/>
      <c r="H14958" s="46" t="str">
        <f>IF(AND(I.Developer.P2b=TRUE,I.Facility.P2bFacilityCount&gt;=4946,F14958=""),"Incomplete","Complete")</f>
        <v>Complete</v>
      </c>
      <c r="I14958" s="48" t="s">
        <v>19323</v>
      </c>
    </row>
    <row r="14959" spans="2:9" ht="15" customHeight="1" x14ac:dyDescent="0.25">
      <c r="B14959" s="55" t="s">
        <v>281</v>
      </c>
      <c r="C14959" s="46">
        <v>4947</v>
      </c>
      <c r="D14959" s="69" t="s">
        <v>29418</v>
      </c>
      <c r="E14959" s="51"/>
      <c r="F14959" s="114" t="str">
        <f>IF(INDEX(I.Facility.P2bIDNumber,4947)="","",INDEX(I.Facility.P2bIDNumber,4947))</f>
        <v/>
      </c>
      <c r="G14959" s="51"/>
      <c r="H14959" s="46" t="str">
        <f>IF(AND(I.Developer.P2b=TRUE,I.Facility.P2bFacilityCount&gt;=4947,F14959=""),"Incomplete","Complete")</f>
        <v>Complete</v>
      </c>
      <c r="I14959" s="48" t="s">
        <v>19324</v>
      </c>
    </row>
    <row r="14960" spans="2:9" ht="15" customHeight="1" x14ac:dyDescent="0.25">
      <c r="B14960" s="55" t="s">
        <v>281</v>
      </c>
      <c r="C14960" s="46">
        <v>4948</v>
      </c>
      <c r="D14960" s="69" t="s">
        <v>29418</v>
      </c>
      <c r="E14960" s="51"/>
      <c r="F14960" s="114" t="str">
        <f>IF(INDEX(I.Facility.P2bIDNumber,4948)="","",INDEX(I.Facility.P2bIDNumber,4948))</f>
        <v/>
      </c>
      <c r="G14960" s="51"/>
      <c r="H14960" s="46" t="str">
        <f>IF(AND(I.Developer.P2b=TRUE,I.Facility.P2bFacilityCount&gt;=4948,F14960=""),"Incomplete","Complete")</f>
        <v>Complete</v>
      </c>
      <c r="I14960" s="48" t="s">
        <v>19325</v>
      </c>
    </row>
    <row r="14961" spans="2:9" ht="15" customHeight="1" x14ac:dyDescent="0.25">
      <c r="B14961" s="55" t="s">
        <v>281</v>
      </c>
      <c r="C14961" s="46">
        <v>4949</v>
      </c>
      <c r="D14961" s="69" t="s">
        <v>29418</v>
      </c>
      <c r="E14961" s="51"/>
      <c r="F14961" s="114" t="str">
        <f>IF(INDEX(I.Facility.P2bIDNumber,4949)="","",INDEX(I.Facility.P2bIDNumber,4949))</f>
        <v/>
      </c>
      <c r="G14961" s="51"/>
      <c r="H14961" s="46" t="str">
        <f>IF(AND(I.Developer.P2b=TRUE,I.Facility.P2bFacilityCount&gt;=4949,F14961=""),"Incomplete","Complete")</f>
        <v>Complete</v>
      </c>
      <c r="I14961" s="48" t="s">
        <v>19326</v>
      </c>
    </row>
    <row r="14962" spans="2:9" ht="15" customHeight="1" x14ac:dyDescent="0.25">
      <c r="B14962" s="55" t="s">
        <v>281</v>
      </c>
      <c r="C14962" s="46">
        <v>4950</v>
      </c>
      <c r="D14962" s="69" t="s">
        <v>29418</v>
      </c>
      <c r="E14962" s="51"/>
      <c r="F14962" s="114" t="str">
        <f>IF(INDEX(I.Facility.P2bIDNumber,4950)="","",INDEX(I.Facility.P2bIDNumber,4950))</f>
        <v/>
      </c>
      <c r="G14962" s="51"/>
      <c r="H14962" s="46" t="str">
        <f>IF(AND(I.Developer.P2b=TRUE,I.Facility.P2bFacilityCount&gt;=4950,F14962=""),"Incomplete","Complete")</f>
        <v>Complete</v>
      </c>
      <c r="I14962" s="48" t="s">
        <v>19327</v>
      </c>
    </row>
    <row r="14963" spans="2:9" ht="15" customHeight="1" x14ac:dyDescent="0.25">
      <c r="B14963" s="55" t="s">
        <v>281</v>
      </c>
      <c r="C14963" s="46">
        <v>4951</v>
      </c>
      <c r="D14963" s="69" t="s">
        <v>29418</v>
      </c>
      <c r="E14963" s="51"/>
      <c r="F14963" s="114" t="str">
        <f>IF(INDEX(I.Facility.P2bIDNumber,4951)="","",INDEX(I.Facility.P2bIDNumber,4951))</f>
        <v/>
      </c>
      <c r="G14963" s="51"/>
      <c r="H14963" s="46" t="str">
        <f>IF(AND(I.Developer.P2b=TRUE,I.Facility.P2bFacilityCount&gt;=4951,F14963=""),"Incomplete","Complete")</f>
        <v>Complete</v>
      </c>
      <c r="I14963" s="48" t="s">
        <v>19328</v>
      </c>
    </row>
    <row r="14964" spans="2:9" ht="15" customHeight="1" x14ac:dyDescent="0.25">
      <c r="B14964" s="55" t="s">
        <v>281</v>
      </c>
      <c r="C14964" s="46">
        <v>4952</v>
      </c>
      <c r="D14964" s="69" t="s">
        <v>29418</v>
      </c>
      <c r="E14964" s="51"/>
      <c r="F14964" s="114" t="str">
        <f>IF(INDEX(I.Facility.P2bIDNumber,4952)="","",INDEX(I.Facility.P2bIDNumber,4952))</f>
        <v/>
      </c>
      <c r="G14964" s="51"/>
      <c r="H14964" s="46" t="str">
        <f>IF(AND(I.Developer.P2b=TRUE,I.Facility.P2bFacilityCount&gt;=4952,F14964=""),"Incomplete","Complete")</f>
        <v>Complete</v>
      </c>
      <c r="I14964" s="48" t="s">
        <v>19329</v>
      </c>
    </row>
    <row r="14965" spans="2:9" ht="15" customHeight="1" x14ac:dyDescent="0.25">
      <c r="B14965" s="55" t="s">
        <v>281</v>
      </c>
      <c r="C14965" s="46">
        <v>4953</v>
      </c>
      <c r="D14965" s="69" t="s">
        <v>29418</v>
      </c>
      <c r="E14965" s="51"/>
      <c r="F14965" s="114" t="str">
        <f>IF(INDEX(I.Facility.P2bIDNumber,4953)="","",INDEX(I.Facility.P2bIDNumber,4953))</f>
        <v/>
      </c>
      <c r="G14965" s="51"/>
      <c r="H14965" s="46" t="str">
        <f>IF(AND(I.Developer.P2b=TRUE,I.Facility.P2bFacilityCount&gt;=4953,F14965=""),"Incomplete","Complete")</f>
        <v>Complete</v>
      </c>
      <c r="I14965" s="48" t="s">
        <v>19330</v>
      </c>
    </row>
    <row r="14966" spans="2:9" ht="15" customHeight="1" x14ac:dyDescent="0.25">
      <c r="B14966" s="55" t="s">
        <v>281</v>
      </c>
      <c r="C14966" s="46">
        <v>4954</v>
      </c>
      <c r="D14966" s="69" t="s">
        <v>29418</v>
      </c>
      <c r="E14966" s="51"/>
      <c r="F14966" s="114" t="str">
        <f>IF(INDEX(I.Facility.P2bIDNumber,4954)="","",INDEX(I.Facility.P2bIDNumber,4954))</f>
        <v/>
      </c>
      <c r="G14966" s="51"/>
      <c r="H14966" s="46" t="str">
        <f>IF(AND(I.Developer.P2b=TRUE,I.Facility.P2bFacilityCount&gt;=4954,F14966=""),"Incomplete","Complete")</f>
        <v>Complete</v>
      </c>
      <c r="I14966" s="48" t="s">
        <v>19331</v>
      </c>
    </row>
    <row r="14967" spans="2:9" ht="15" customHeight="1" x14ac:dyDescent="0.25">
      <c r="B14967" s="55" t="s">
        <v>281</v>
      </c>
      <c r="C14967" s="46">
        <v>4955</v>
      </c>
      <c r="D14967" s="69" t="s">
        <v>29418</v>
      </c>
      <c r="E14967" s="51"/>
      <c r="F14967" s="114" t="str">
        <f>IF(INDEX(I.Facility.P2bIDNumber,4955)="","",INDEX(I.Facility.P2bIDNumber,4955))</f>
        <v/>
      </c>
      <c r="G14967" s="51"/>
      <c r="H14967" s="46" t="str">
        <f>IF(AND(I.Developer.P2b=TRUE,I.Facility.P2bFacilityCount&gt;=4955,F14967=""),"Incomplete","Complete")</f>
        <v>Complete</v>
      </c>
      <c r="I14967" s="48" t="s">
        <v>19332</v>
      </c>
    </row>
    <row r="14968" spans="2:9" ht="15" customHeight="1" x14ac:dyDescent="0.25">
      <c r="B14968" s="55" t="s">
        <v>281</v>
      </c>
      <c r="C14968" s="46">
        <v>4956</v>
      </c>
      <c r="D14968" s="69" t="s">
        <v>29418</v>
      </c>
      <c r="E14968" s="51"/>
      <c r="F14968" s="114" t="str">
        <f>IF(INDEX(I.Facility.P2bIDNumber,4956)="","",INDEX(I.Facility.P2bIDNumber,4956))</f>
        <v/>
      </c>
      <c r="G14968" s="51"/>
      <c r="H14968" s="46" t="str">
        <f>IF(AND(I.Developer.P2b=TRUE,I.Facility.P2bFacilityCount&gt;=4956,F14968=""),"Incomplete","Complete")</f>
        <v>Complete</v>
      </c>
      <c r="I14968" s="48" t="s">
        <v>19333</v>
      </c>
    </row>
    <row r="14969" spans="2:9" ht="15" customHeight="1" x14ac:dyDescent="0.25">
      <c r="B14969" s="55" t="s">
        <v>281</v>
      </c>
      <c r="C14969" s="46">
        <v>4957</v>
      </c>
      <c r="D14969" s="69" t="s">
        <v>29418</v>
      </c>
      <c r="E14969" s="51"/>
      <c r="F14969" s="114" t="str">
        <f>IF(INDEX(I.Facility.P2bIDNumber,4957)="","",INDEX(I.Facility.P2bIDNumber,4957))</f>
        <v/>
      </c>
      <c r="G14969" s="51"/>
      <c r="H14969" s="46" t="str">
        <f>IF(AND(I.Developer.P2b=TRUE,I.Facility.P2bFacilityCount&gt;=4957,F14969=""),"Incomplete","Complete")</f>
        <v>Complete</v>
      </c>
      <c r="I14969" s="48" t="s">
        <v>19334</v>
      </c>
    </row>
    <row r="14970" spans="2:9" ht="15" customHeight="1" x14ac:dyDescent="0.25">
      <c r="B14970" s="55" t="s">
        <v>281</v>
      </c>
      <c r="C14970" s="46">
        <v>4958</v>
      </c>
      <c r="D14970" s="69" t="s">
        <v>29418</v>
      </c>
      <c r="E14970" s="51"/>
      <c r="F14970" s="114" t="str">
        <f>IF(INDEX(I.Facility.P2bIDNumber,4958)="","",INDEX(I.Facility.P2bIDNumber,4958))</f>
        <v/>
      </c>
      <c r="G14970" s="51"/>
      <c r="H14970" s="46" t="str">
        <f>IF(AND(I.Developer.P2b=TRUE,I.Facility.P2bFacilityCount&gt;=4958,F14970=""),"Incomplete","Complete")</f>
        <v>Complete</v>
      </c>
      <c r="I14970" s="48" t="s">
        <v>19335</v>
      </c>
    </row>
    <row r="14971" spans="2:9" ht="15" customHeight="1" x14ac:dyDescent="0.25">
      <c r="B14971" s="55" t="s">
        <v>281</v>
      </c>
      <c r="C14971" s="46">
        <v>4959</v>
      </c>
      <c r="D14971" s="69" t="s">
        <v>29418</v>
      </c>
      <c r="E14971" s="51"/>
      <c r="F14971" s="114" t="str">
        <f>IF(INDEX(I.Facility.P2bIDNumber,4959)="","",INDEX(I.Facility.P2bIDNumber,4959))</f>
        <v/>
      </c>
      <c r="G14971" s="51"/>
      <c r="H14971" s="46" t="str">
        <f>IF(AND(I.Developer.P2b=TRUE,I.Facility.P2bFacilityCount&gt;=4959,F14971=""),"Incomplete","Complete")</f>
        <v>Complete</v>
      </c>
      <c r="I14971" s="48" t="s">
        <v>19336</v>
      </c>
    </row>
    <row r="14972" spans="2:9" ht="15" customHeight="1" x14ac:dyDescent="0.25">
      <c r="B14972" s="55" t="s">
        <v>281</v>
      </c>
      <c r="C14972" s="46">
        <v>4960</v>
      </c>
      <c r="D14972" s="69" t="s">
        <v>29418</v>
      </c>
      <c r="E14972" s="51"/>
      <c r="F14972" s="114" t="str">
        <f>IF(INDEX(I.Facility.P2bIDNumber,4960)="","",INDEX(I.Facility.P2bIDNumber,4960))</f>
        <v/>
      </c>
      <c r="G14972" s="51"/>
      <c r="H14972" s="46" t="str">
        <f>IF(AND(I.Developer.P2b=TRUE,I.Facility.P2bFacilityCount&gt;=4960,F14972=""),"Incomplete","Complete")</f>
        <v>Complete</v>
      </c>
      <c r="I14972" s="48" t="s">
        <v>19337</v>
      </c>
    </row>
    <row r="14973" spans="2:9" ht="15" customHeight="1" x14ac:dyDescent="0.25">
      <c r="B14973" s="55" t="s">
        <v>281</v>
      </c>
      <c r="C14973" s="46">
        <v>4961</v>
      </c>
      <c r="D14973" s="69" t="s">
        <v>29418</v>
      </c>
      <c r="E14973" s="51"/>
      <c r="F14973" s="114" t="str">
        <f>IF(INDEX(I.Facility.P2bIDNumber,4961)="","",INDEX(I.Facility.P2bIDNumber,4961))</f>
        <v/>
      </c>
      <c r="G14973" s="51"/>
      <c r="H14973" s="46" t="str">
        <f>IF(AND(I.Developer.P2b=TRUE,I.Facility.P2bFacilityCount&gt;=4961,F14973=""),"Incomplete","Complete")</f>
        <v>Complete</v>
      </c>
      <c r="I14973" s="48" t="s">
        <v>19338</v>
      </c>
    </row>
    <row r="14974" spans="2:9" ht="15" customHeight="1" x14ac:dyDescent="0.25">
      <c r="B14974" s="55" t="s">
        <v>281</v>
      </c>
      <c r="C14974" s="46">
        <v>4962</v>
      </c>
      <c r="D14974" s="69" t="s">
        <v>29418</v>
      </c>
      <c r="E14974" s="51"/>
      <c r="F14974" s="114" t="str">
        <f>IF(INDEX(I.Facility.P2bIDNumber,4962)="","",INDEX(I.Facility.P2bIDNumber,4962))</f>
        <v/>
      </c>
      <c r="G14974" s="51"/>
      <c r="H14974" s="46" t="str">
        <f>IF(AND(I.Developer.P2b=TRUE,I.Facility.P2bFacilityCount&gt;=4962,F14974=""),"Incomplete","Complete")</f>
        <v>Complete</v>
      </c>
      <c r="I14974" s="48" t="s">
        <v>19339</v>
      </c>
    </row>
    <row r="14975" spans="2:9" ht="15" customHeight="1" x14ac:dyDescent="0.25">
      <c r="B14975" s="55" t="s">
        <v>281</v>
      </c>
      <c r="C14975" s="46">
        <v>4963</v>
      </c>
      <c r="D14975" s="69" t="s">
        <v>29418</v>
      </c>
      <c r="E14975" s="51"/>
      <c r="F14975" s="114" t="str">
        <f>IF(INDEX(I.Facility.P2bIDNumber,4963)="","",INDEX(I.Facility.P2bIDNumber,4963))</f>
        <v/>
      </c>
      <c r="G14975" s="51"/>
      <c r="H14975" s="46" t="str">
        <f>IF(AND(I.Developer.P2b=TRUE,I.Facility.P2bFacilityCount&gt;=4963,F14975=""),"Incomplete","Complete")</f>
        <v>Complete</v>
      </c>
      <c r="I14975" s="48" t="s">
        <v>19340</v>
      </c>
    </row>
    <row r="14976" spans="2:9" ht="15" customHeight="1" x14ac:dyDescent="0.25">
      <c r="B14976" s="55" t="s">
        <v>281</v>
      </c>
      <c r="C14976" s="46">
        <v>4964</v>
      </c>
      <c r="D14976" s="69" t="s">
        <v>29418</v>
      </c>
      <c r="E14976" s="51"/>
      <c r="F14976" s="114" t="str">
        <f>IF(INDEX(I.Facility.P2bIDNumber,4964)="","",INDEX(I.Facility.P2bIDNumber,4964))</f>
        <v/>
      </c>
      <c r="G14976" s="51"/>
      <c r="H14976" s="46" t="str">
        <f>IF(AND(I.Developer.P2b=TRUE,I.Facility.P2bFacilityCount&gt;=4964,F14976=""),"Incomplete","Complete")</f>
        <v>Complete</v>
      </c>
      <c r="I14976" s="48" t="s">
        <v>19341</v>
      </c>
    </row>
    <row r="14977" spans="2:9" ht="15" customHeight="1" x14ac:dyDescent="0.25">
      <c r="B14977" s="55" t="s">
        <v>281</v>
      </c>
      <c r="C14977" s="46">
        <v>4965</v>
      </c>
      <c r="D14977" s="69" t="s">
        <v>29418</v>
      </c>
      <c r="E14977" s="51"/>
      <c r="F14977" s="114" t="str">
        <f>IF(INDEX(I.Facility.P2bIDNumber,4965)="","",INDEX(I.Facility.P2bIDNumber,4965))</f>
        <v/>
      </c>
      <c r="G14977" s="51"/>
      <c r="H14977" s="46" t="str">
        <f>IF(AND(I.Developer.P2b=TRUE,I.Facility.P2bFacilityCount&gt;=4965,F14977=""),"Incomplete","Complete")</f>
        <v>Complete</v>
      </c>
      <c r="I14977" s="48" t="s">
        <v>19342</v>
      </c>
    </row>
    <row r="14978" spans="2:9" ht="15" customHeight="1" x14ac:dyDescent="0.25">
      <c r="B14978" s="55" t="s">
        <v>281</v>
      </c>
      <c r="C14978" s="46">
        <v>4966</v>
      </c>
      <c r="D14978" s="69" t="s">
        <v>29418</v>
      </c>
      <c r="E14978" s="51"/>
      <c r="F14978" s="114" t="str">
        <f>IF(INDEX(I.Facility.P2bIDNumber,4966)="","",INDEX(I.Facility.P2bIDNumber,4966))</f>
        <v/>
      </c>
      <c r="G14978" s="51"/>
      <c r="H14978" s="46" t="str">
        <f>IF(AND(I.Developer.P2b=TRUE,I.Facility.P2bFacilityCount&gt;=4966,F14978=""),"Incomplete","Complete")</f>
        <v>Complete</v>
      </c>
      <c r="I14978" s="48" t="s">
        <v>19343</v>
      </c>
    </row>
    <row r="14979" spans="2:9" ht="15" customHeight="1" x14ac:dyDescent="0.25">
      <c r="B14979" s="55" t="s">
        <v>281</v>
      </c>
      <c r="C14979" s="46">
        <v>4967</v>
      </c>
      <c r="D14979" s="69" t="s">
        <v>29418</v>
      </c>
      <c r="E14979" s="51"/>
      <c r="F14979" s="114" t="str">
        <f>IF(INDEX(I.Facility.P2bIDNumber,4967)="","",INDEX(I.Facility.P2bIDNumber,4967))</f>
        <v/>
      </c>
      <c r="G14979" s="51"/>
      <c r="H14979" s="46" t="str">
        <f>IF(AND(I.Developer.P2b=TRUE,I.Facility.P2bFacilityCount&gt;=4967,F14979=""),"Incomplete","Complete")</f>
        <v>Complete</v>
      </c>
      <c r="I14979" s="48" t="s">
        <v>19344</v>
      </c>
    </row>
    <row r="14980" spans="2:9" ht="15" customHeight="1" x14ac:dyDescent="0.25">
      <c r="B14980" s="55" t="s">
        <v>281</v>
      </c>
      <c r="C14980" s="46">
        <v>4968</v>
      </c>
      <c r="D14980" s="69" t="s">
        <v>29418</v>
      </c>
      <c r="E14980" s="51"/>
      <c r="F14980" s="114" t="str">
        <f>IF(INDEX(I.Facility.P2bIDNumber,4968)="","",INDEX(I.Facility.P2bIDNumber,4968))</f>
        <v/>
      </c>
      <c r="G14980" s="51"/>
      <c r="H14980" s="46" t="str">
        <f>IF(AND(I.Developer.P2b=TRUE,I.Facility.P2bFacilityCount&gt;=4968,F14980=""),"Incomplete","Complete")</f>
        <v>Complete</v>
      </c>
      <c r="I14980" s="48" t="s">
        <v>19345</v>
      </c>
    </row>
    <row r="14981" spans="2:9" ht="15" customHeight="1" x14ac:dyDescent="0.25">
      <c r="B14981" s="55" t="s">
        <v>281</v>
      </c>
      <c r="C14981" s="46">
        <v>4969</v>
      </c>
      <c r="D14981" s="69" t="s">
        <v>29418</v>
      </c>
      <c r="E14981" s="51"/>
      <c r="F14981" s="114" t="str">
        <f>IF(INDEX(I.Facility.P2bIDNumber,4969)="","",INDEX(I.Facility.P2bIDNumber,4969))</f>
        <v/>
      </c>
      <c r="G14981" s="51"/>
      <c r="H14981" s="46" t="str">
        <f>IF(AND(I.Developer.P2b=TRUE,I.Facility.P2bFacilityCount&gt;=4969,F14981=""),"Incomplete","Complete")</f>
        <v>Complete</v>
      </c>
      <c r="I14981" s="48" t="s">
        <v>19346</v>
      </c>
    </row>
    <row r="14982" spans="2:9" ht="15" customHeight="1" x14ac:dyDescent="0.25">
      <c r="B14982" s="55" t="s">
        <v>281</v>
      </c>
      <c r="C14982" s="46">
        <v>4970</v>
      </c>
      <c r="D14982" s="69" t="s">
        <v>29418</v>
      </c>
      <c r="E14982" s="51"/>
      <c r="F14982" s="114" t="str">
        <f>IF(INDEX(I.Facility.P2bIDNumber,4970)="","",INDEX(I.Facility.P2bIDNumber,4970))</f>
        <v/>
      </c>
      <c r="G14982" s="51"/>
      <c r="H14982" s="46" t="str">
        <f>IF(AND(I.Developer.P2b=TRUE,I.Facility.P2bFacilityCount&gt;=4970,F14982=""),"Incomplete","Complete")</f>
        <v>Complete</v>
      </c>
      <c r="I14982" s="48" t="s">
        <v>19347</v>
      </c>
    </row>
    <row r="14983" spans="2:9" ht="15" customHeight="1" x14ac:dyDescent="0.25">
      <c r="B14983" s="55" t="s">
        <v>281</v>
      </c>
      <c r="C14983" s="46">
        <v>4971</v>
      </c>
      <c r="D14983" s="69" t="s">
        <v>29418</v>
      </c>
      <c r="E14983" s="51"/>
      <c r="F14983" s="114" t="str">
        <f>IF(INDEX(I.Facility.P2bIDNumber,4971)="","",INDEX(I.Facility.P2bIDNumber,4971))</f>
        <v/>
      </c>
      <c r="G14983" s="51"/>
      <c r="H14983" s="46" t="str">
        <f>IF(AND(I.Developer.P2b=TRUE,I.Facility.P2bFacilityCount&gt;=4971,F14983=""),"Incomplete","Complete")</f>
        <v>Complete</v>
      </c>
      <c r="I14983" s="48" t="s">
        <v>19348</v>
      </c>
    </row>
    <row r="14984" spans="2:9" ht="15" customHeight="1" x14ac:dyDescent="0.25">
      <c r="B14984" s="55" t="s">
        <v>281</v>
      </c>
      <c r="C14984" s="46">
        <v>4972</v>
      </c>
      <c r="D14984" s="69" t="s">
        <v>29418</v>
      </c>
      <c r="E14984" s="51"/>
      <c r="F14984" s="114" t="str">
        <f>IF(INDEX(I.Facility.P2bIDNumber,4972)="","",INDEX(I.Facility.P2bIDNumber,4972))</f>
        <v/>
      </c>
      <c r="G14984" s="51"/>
      <c r="H14984" s="46" t="str">
        <f>IF(AND(I.Developer.P2b=TRUE,I.Facility.P2bFacilityCount&gt;=4972,F14984=""),"Incomplete","Complete")</f>
        <v>Complete</v>
      </c>
      <c r="I14984" s="48" t="s">
        <v>19349</v>
      </c>
    </row>
    <row r="14985" spans="2:9" ht="15" customHeight="1" x14ac:dyDescent="0.25">
      <c r="B14985" s="55" t="s">
        <v>281</v>
      </c>
      <c r="C14985" s="46">
        <v>4973</v>
      </c>
      <c r="D14985" s="69" t="s">
        <v>29418</v>
      </c>
      <c r="E14985" s="51"/>
      <c r="F14985" s="114" t="str">
        <f>IF(INDEX(I.Facility.P2bIDNumber,4973)="","",INDEX(I.Facility.P2bIDNumber,4973))</f>
        <v/>
      </c>
      <c r="G14985" s="51"/>
      <c r="H14985" s="46" t="str">
        <f>IF(AND(I.Developer.P2b=TRUE,I.Facility.P2bFacilityCount&gt;=4973,F14985=""),"Incomplete","Complete")</f>
        <v>Complete</v>
      </c>
      <c r="I14985" s="48" t="s">
        <v>19350</v>
      </c>
    </row>
    <row r="14986" spans="2:9" ht="15" customHeight="1" x14ac:dyDescent="0.25">
      <c r="B14986" s="55" t="s">
        <v>281</v>
      </c>
      <c r="C14986" s="46">
        <v>4974</v>
      </c>
      <c r="D14986" s="69" t="s">
        <v>29418</v>
      </c>
      <c r="E14986" s="51"/>
      <c r="F14986" s="114" t="str">
        <f>IF(INDEX(I.Facility.P2bIDNumber,4974)="","",INDEX(I.Facility.P2bIDNumber,4974))</f>
        <v/>
      </c>
      <c r="G14986" s="51"/>
      <c r="H14986" s="46" t="str">
        <f>IF(AND(I.Developer.P2b=TRUE,I.Facility.P2bFacilityCount&gt;=4974,F14986=""),"Incomplete","Complete")</f>
        <v>Complete</v>
      </c>
      <c r="I14986" s="48" t="s">
        <v>19351</v>
      </c>
    </row>
    <row r="14987" spans="2:9" ht="15" customHeight="1" x14ac:dyDescent="0.25">
      <c r="B14987" s="55" t="s">
        <v>281</v>
      </c>
      <c r="C14987" s="46">
        <v>4975</v>
      </c>
      <c r="D14987" s="69" t="s">
        <v>29418</v>
      </c>
      <c r="E14987" s="51"/>
      <c r="F14987" s="114" t="str">
        <f>IF(INDEX(I.Facility.P2bIDNumber,4975)="","",INDEX(I.Facility.P2bIDNumber,4975))</f>
        <v/>
      </c>
      <c r="G14987" s="51"/>
      <c r="H14987" s="46" t="str">
        <f>IF(AND(I.Developer.P2b=TRUE,I.Facility.P2bFacilityCount&gt;=4975,F14987=""),"Incomplete","Complete")</f>
        <v>Complete</v>
      </c>
      <c r="I14987" s="48" t="s">
        <v>19352</v>
      </c>
    </row>
    <row r="14988" spans="2:9" ht="15" customHeight="1" x14ac:dyDescent="0.25">
      <c r="B14988" s="55" t="s">
        <v>281</v>
      </c>
      <c r="C14988" s="46">
        <v>4976</v>
      </c>
      <c r="D14988" s="69" t="s">
        <v>29418</v>
      </c>
      <c r="E14988" s="51"/>
      <c r="F14988" s="114" t="str">
        <f>IF(INDEX(I.Facility.P2bIDNumber,4976)="","",INDEX(I.Facility.P2bIDNumber,4976))</f>
        <v/>
      </c>
      <c r="G14988" s="51"/>
      <c r="H14988" s="46" t="str">
        <f>IF(AND(I.Developer.P2b=TRUE,I.Facility.P2bFacilityCount&gt;=4976,F14988=""),"Incomplete","Complete")</f>
        <v>Complete</v>
      </c>
      <c r="I14988" s="48" t="s">
        <v>19353</v>
      </c>
    </row>
    <row r="14989" spans="2:9" ht="15" customHeight="1" x14ac:dyDescent="0.25">
      <c r="B14989" s="55" t="s">
        <v>281</v>
      </c>
      <c r="C14989" s="46">
        <v>4977</v>
      </c>
      <c r="D14989" s="69" t="s">
        <v>29418</v>
      </c>
      <c r="E14989" s="51"/>
      <c r="F14989" s="114" t="str">
        <f>IF(INDEX(I.Facility.P2bIDNumber,4977)="","",INDEX(I.Facility.P2bIDNumber,4977))</f>
        <v/>
      </c>
      <c r="G14989" s="51"/>
      <c r="H14989" s="46" t="str">
        <f>IF(AND(I.Developer.P2b=TRUE,I.Facility.P2bFacilityCount&gt;=4977,F14989=""),"Incomplete","Complete")</f>
        <v>Complete</v>
      </c>
      <c r="I14989" s="48" t="s">
        <v>19354</v>
      </c>
    </row>
    <row r="14990" spans="2:9" ht="15" customHeight="1" x14ac:dyDescent="0.25">
      <c r="B14990" s="55" t="s">
        <v>281</v>
      </c>
      <c r="C14990" s="46">
        <v>4978</v>
      </c>
      <c r="D14990" s="69" t="s">
        <v>29418</v>
      </c>
      <c r="E14990" s="51"/>
      <c r="F14990" s="114" t="str">
        <f>IF(INDEX(I.Facility.P2bIDNumber,4978)="","",INDEX(I.Facility.P2bIDNumber,4978))</f>
        <v/>
      </c>
      <c r="G14990" s="51"/>
      <c r="H14990" s="46" t="str">
        <f>IF(AND(I.Developer.P2b=TRUE,I.Facility.P2bFacilityCount&gt;=4978,F14990=""),"Incomplete","Complete")</f>
        <v>Complete</v>
      </c>
      <c r="I14990" s="48" t="s">
        <v>19355</v>
      </c>
    </row>
    <row r="14991" spans="2:9" ht="15" customHeight="1" x14ac:dyDescent="0.25">
      <c r="B14991" s="55" t="s">
        <v>281</v>
      </c>
      <c r="C14991" s="46">
        <v>4979</v>
      </c>
      <c r="D14991" s="69" t="s">
        <v>29418</v>
      </c>
      <c r="E14991" s="51"/>
      <c r="F14991" s="114" t="str">
        <f>IF(INDEX(I.Facility.P2bIDNumber,4979)="","",INDEX(I.Facility.P2bIDNumber,4979))</f>
        <v/>
      </c>
      <c r="G14991" s="51"/>
      <c r="H14991" s="46" t="str">
        <f>IF(AND(I.Developer.P2b=TRUE,I.Facility.P2bFacilityCount&gt;=4979,F14991=""),"Incomplete","Complete")</f>
        <v>Complete</v>
      </c>
      <c r="I14991" s="48" t="s">
        <v>19356</v>
      </c>
    </row>
    <row r="14992" spans="2:9" ht="15" customHeight="1" x14ac:dyDescent="0.25">
      <c r="B14992" s="55" t="s">
        <v>281</v>
      </c>
      <c r="C14992" s="46">
        <v>4980</v>
      </c>
      <c r="D14992" s="69" t="s">
        <v>29418</v>
      </c>
      <c r="E14992" s="51"/>
      <c r="F14992" s="114" t="str">
        <f>IF(INDEX(I.Facility.P2bIDNumber,4980)="","",INDEX(I.Facility.P2bIDNumber,4980))</f>
        <v/>
      </c>
      <c r="G14992" s="51"/>
      <c r="H14992" s="46" t="str">
        <f>IF(AND(I.Developer.P2b=TRUE,I.Facility.P2bFacilityCount&gt;=4980,F14992=""),"Incomplete","Complete")</f>
        <v>Complete</v>
      </c>
      <c r="I14992" s="48" t="s">
        <v>19357</v>
      </c>
    </row>
    <row r="14993" spans="2:9" ht="15" customHeight="1" x14ac:dyDescent="0.25">
      <c r="B14993" s="55" t="s">
        <v>281</v>
      </c>
      <c r="C14993" s="46">
        <v>4981</v>
      </c>
      <c r="D14993" s="69" t="s">
        <v>29418</v>
      </c>
      <c r="E14993" s="51"/>
      <c r="F14993" s="114" t="str">
        <f>IF(INDEX(I.Facility.P2bIDNumber,4981)="","",INDEX(I.Facility.P2bIDNumber,4981))</f>
        <v/>
      </c>
      <c r="G14993" s="51"/>
      <c r="H14993" s="46" t="str">
        <f>IF(AND(I.Developer.P2b=TRUE,I.Facility.P2bFacilityCount&gt;=4981,F14993=""),"Incomplete","Complete")</f>
        <v>Complete</v>
      </c>
      <c r="I14993" s="48" t="s">
        <v>19358</v>
      </c>
    </row>
    <row r="14994" spans="2:9" ht="15" customHeight="1" x14ac:dyDescent="0.25">
      <c r="B14994" s="55" t="s">
        <v>281</v>
      </c>
      <c r="C14994" s="46">
        <v>4982</v>
      </c>
      <c r="D14994" s="69" t="s">
        <v>29418</v>
      </c>
      <c r="E14994" s="51"/>
      <c r="F14994" s="114" t="str">
        <f>IF(INDEX(I.Facility.P2bIDNumber,4982)="","",INDEX(I.Facility.P2bIDNumber,4982))</f>
        <v/>
      </c>
      <c r="G14994" s="51"/>
      <c r="H14994" s="46" t="str">
        <f>IF(AND(I.Developer.P2b=TRUE,I.Facility.P2bFacilityCount&gt;=4982,F14994=""),"Incomplete","Complete")</f>
        <v>Complete</v>
      </c>
      <c r="I14994" s="48" t="s">
        <v>19359</v>
      </c>
    </row>
    <row r="14995" spans="2:9" ht="15" customHeight="1" x14ac:dyDescent="0.25">
      <c r="B14995" s="55" t="s">
        <v>281</v>
      </c>
      <c r="C14995" s="46">
        <v>4983</v>
      </c>
      <c r="D14995" s="69" t="s">
        <v>29418</v>
      </c>
      <c r="E14995" s="51"/>
      <c r="F14995" s="114" t="str">
        <f>IF(INDEX(I.Facility.P2bIDNumber,4983)="","",INDEX(I.Facility.P2bIDNumber,4983))</f>
        <v/>
      </c>
      <c r="G14995" s="51"/>
      <c r="H14995" s="46" t="str">
        <f>IF(AND(I.Developer.P2b=TRUE,I.Facility.P2bFacilityCount&gt;=4983,F14995=""),"Incomplete","Complete")</f>
        <v>Complete</v>
      </c>
      <c r="I14995" s="48" t="s">
        <v>19360</v>
      </c>
    </row>
    <row r="14996" spans="2:9" ht="15" customHeight="1" x14ac:dyDescent="0.25">
      <c r="B14996" s="55" t="s">
        <v>281</v>
      </c>
      <c r="C14996" s="46">
        <v>4984</v>
      </c>
      <c r="D14996" s="69" t="s">
        <v>29418</v>
      </c>
      <c r="E14996" s="51"/>
      <c r="F14996" s="114" t="str">
        <f>IF(INDEX(I.Facility.P2bIDNumber,4984)="","",INDEX(I.Facility.P2bIDNumber,4984))</f>
        <v/>
      </c>
      <c r="G14996" s="51"/>
      <c r="H14996" s="46" t="str">
        <f>IF(AND(I.Developer.P2b=TRUE,I.Facility.P2bFacilityCount&gt;=4984,F14996=""),"Incomplete","Complete")</f>
        <v>Complete</v>
      </c>
      <c r="I14996" s="48" t="s">
        <v>19361</v>
      </c>
    </row>
    <row r="14997" spans="2:9" ht="15" customHeight="1" x14ac:dyDescent="0.25">
      <c r="B14997" s="55" t="s">
        <v>281</v>
      </c>
      <c r="C14997" s="46">
        <v>4985</v>
      </c>
      <c r="D14997" s="69" t="s">
        <v>29418</v>
      </c>
      <c r="E14997" s="51"/>
      <c r="F14997" s="114" t="str">
        <f>IF(INDEX(I.Facility.P2bIDNumber,4985)="","",INDEX(I.Facility.P2bIDNumber,4985))</f>
        <v/>
      </c>
      <c r="G14997" s="51"/>
      <c r="H14997" s="46" t="str">
        <f>IF(AND(I.Developer.P2b=TRUE,I.Facility.P2bFacilityCount&gt;=4985,F14997=""),"Incomplete","Complete")</f>
        <v>Complete</v>
      </c>
      <c r="I14997" s="48" t="s">
        <v>19362</v>
      </c>
    </row>
    <row r="14998" spans="2:9" ht="15" customHeight="1" x14ac:dyDescent="0.25">
      <c r="B14998" s="55" t="s">
        <v>281</v>
      </c>
      <c r="C14998" s="46">
        <v>4986</v>
      </c>
      <c r="D14998" s="69" t="s">
        <v>29418</v>
      </c>
      <c r="E14998" s="51"/>
      <c r="F14998" s="114" t="str">
        <f>IF(INDEX(I.Facility.P2bIDNumber,4986)="","",INDEX(I.Facility.P2bIDNumber,4986))</f>
        <v/>
      </c>
      <c r="G14998" s="51"/>
      <c r="H14998" s="46" t="str">
        <f>IF(AND(I.Developer.P2b=TRUE,I.Facility.P2bFacilityCount&gt;=4986,F14998=""),"Incomplete","Complete")</f>
        <v>Complete</v>
      </c>
      <c r="I14998" s="48" t="s">
        <v>19363</v>
      </c>
    </row>
    <row r="14999" spans="2:9" ht="15" customHeight="1" x14ac:dyDescent="0.25">
      <c r="B14999" s="55" t="s">
        <v>281</v>
      </c>
      <c r="C14999" s="46">
        <v>4987</v>
      </c>
      <c r="D14999" s="69" t="s">
        <v>29418</v>
      </c>
      <c r="E14999" s="51"/>
      <c r="F14999" s="114" t="str">
        <f>IF(INDEX(I.Facility.P2bIDNumber,4987)="","",INDEX(I.Facility.P2bIDNumber,4987))</f>
        <v/>
      </c>
      <c r="G14999" s="51"/>
      <c r="H14999" s="46" t="str">
        <f>IF(AND(I.Developer.P2b=TRUE,I.Facility.P2bFacilityCount&gt;=4987,F14999=""),"Incomplete","Complete")</f>
        <v>Complete</v>
      </c>
      <c r="I14999" s="48" t="s">
        <v>19364</v>
      </c>
    </row>
    <row r="15000" spans="2:9" ht="15" customHeight="1" x14ac:dyDescent="0.25">
      <c r="B15000" s="55" t="s">
        <v>281</v>
      </c>
      <c r="C15000" s="46">
        <v>4988</v>
      </c>
      <c r="D15000" s="69" t="s">
        <v>29418</v>
      </c>
      <c r="E15000" s="51"/>
      <c r="F15000" s="114" t="str">
        <f>IF(INDEX(I.Facility.P2bIDNumber,4988)="","",INDEX(I.Facility.P2bIDNumber,4988))</f>
        <v/>
      </c>
      <c r="G15000" s="51"/>
      <c r="H15000" s="46" t="str">
        <f>IF(AND(I.Developer.P2b=TRUE,I.Facility.P2bFacilityCount&gt;=4988,F15000=""),"Incomplete","Complete")</f>
        <v>Complete</v>
      </c>
      <c r="I15000" s="48" t="s">
        <v>19365</v>
      </c>
    </row>
    <row r="15001" spans="2:9" ht="15" customHeight="1" x14ac:dyDescent="0.25">
      <c r="B15001" s="55" t="s">
        <v>281</v>
      </c>
      <c r="C15001" s="46">
        <v>4989</v>
      </c>
      <c r="D15001" s="69" t="s">
        <v>29418</v>
      </c>
      <c r="E15001" s="51"/>
      <c r="F15001" s="114" t="str">
        <f>IF(INDEX(I.Facility.P2bIDNumber,4989)="","",INDEX(I.Facility.P2bIDNumber,4989))</f>
        <v/>
      </c>
      <c r="G15001" s="51"/>
      <c r="H15001" s="46" t="str">
        <f>IF(AND(I.Developer.P2b=TRUE,I.Facility.P2bFacilityCount&gt;=4989,F15001=""),"Incomplete","Complete")</f>
        <v>Complete</v>
      </c>
      <c r="I15001" s="48" t="s">
        <v>19366</v>
      </c>
    </row>
    <row r="15002" spans="2:9" ht="15" customHeight="1" x14ac:dyDescent="0.25">
      <c r="B15002" s="55" t="s">
        <v>281</v>
      </c>
      <c r="C15002" s="46">
        <v>4990</v>
      </c>
      <c r="D15002" s="69" t="s">
        <v>29418</v>
      </c>
      <c r="E15002" s="51"/>
      <c r="F15002" s="114" t="str">
        <f>IF(INDEX(I.Facility.P2bIDNumber,4990)="","",INDEX(I.Facility.P2bIDNumber,4990))</f>
        <v/>
      </c>
      <c r="G15002" s="51"/>
      <c r="H15002" s="46" t="str">
        <f>IF(AND(I.Developer.P2b=TRUE,I.Facility.P2bFacilityCount&gt;=4990,F15002=""),"Incomplete","Complete")</f>
        <v>Complete</v>
      </c>
      <c r="I15002" s="48" t="s">
        <v>19367</v>
      </c>
    </row>
    <row r="15003" spans="2:9" ht="15" customHeight="1" x14ac:dyDescent="0.25">
      <c r="B15003" s="55" t="s">
        <v>281</v>
      </c>
      <c r="C15003" s="46">
        <v>4991</v>
      </c>
      <c r="D15003" s="69" t="s">
        <v>29418</v>
      </c>
      <c r="E15003" s="51"/>
      <c r="F15003" s="114" t="str">
        <f>IF(INDEX(I.Facility.P2bIDNumber,4991)="","",INDEX(I.Facility.P2bIDNumber,4991))</f>
        <v/>
      </c>
      <c r="G15003" s="51"/>
      <c r="H15003" s="46" t="str">
        <f>IF(AND(I.Developer.P2b=TRUE,I.Facility.P2bFacilityCount&gt;=4991,F15003=""),"Incomplete","Complete")</f>
        <v>Complete</v>
      </c>
      <c r="I15003" s="48" t="s">
        <v>19368</v>
      </c>
    </row>
    <row r="15004" spans="2:9" ht="15" customHeight="1" x14ac:dyDescent="0.25">
      <c r="B15004" s="55" t="s">
        <v>281</v>
      </c>
      <c r="C15004" s="46">
        <v>4992</v>
      </c>
      <c r="D15004" s="69" t="s">
        <v>29418</v>
      </c>
      <c r="E15004" s="51"/>
      <c r="F15004" s="114" t="str">
        <f>IF(INDEX(I.Facility.P2bIDNumber,4992)="","",INDEX(I.Facility.P2bIDNumber,4992))</f>
        <v/>
      </c>
      <c r="G15004" s="51"/>
      <c r="H15004" s="46" t="str">
        <f>IF(AND(I.Developer.P2b=TRUE,I.Facility.P2bFacilityCount&gt;=4992,F15004=""),"Incomplete","Complete")</f>
        <v>Complete</v>
      </c>
      <c r="I15004" s="48" t="s">
        <v>19369</v>
      </c>
    </row>
    <row r="15005" spans="2:9" ht="15" customHeight="1" x14ac:dyDescent="0.25">
      <c r="B15005" s="55" t="s">
        <v>281</v>
      </c>
      <c r="C15005" s="46">
        <v>4993</v>
      </c>
      <c r="D15005" s="69" t="s">
        <v>29418</v>
      </c>
      <c r="E15005" s="51"/>
      <c r="F15005" s="114" t="str">
        <f>IF(INDEX(I.Facility.P2bIDNumber,4993)="","",INDEX(I.Facility.P2bIDNumber,4993))</f>
        <v/>
      </c>
      <c r="G15005" s="51"/>
      <c r="H15005" s="46" t="str">
        <f>IF(AND(I.Developer.P2b=TRUE,I.Facility.P2bFacilityCount&gt;=4993,F15005=""),"Incomplete","Complete")</f>
        <v>Complete</v>
      </c>
      <c r="I15005" s="48" t="s">
        <v>19370</v>
      </c>
    </row>
    <row r="15006" spans="2:9" ht="15" customHeight="1" x14ac:dyDescent="0.25">
      <c r="B15006" s="55" t="s">
        <v>281</v>
      </c>
      <c r="C15006" s="46">
        <v>4994</v>
      </c>
      <c r="D15006" s="69" t="s">
        <v>29418</v>
      </c>
      <c r="E15006" s="51"/>
      <c r="F15006" s="114" t="str">
        <f>IF(INDEX(I.Facility.P2bIDNumber,4994)="","",INDEX(I.Facility.P2bIDNumber,4994))</f>
        <v/>
      </c>
      <c r="G15006" s="51"/>
      <c r="H15006" s="46" t="str">
        <f>IF(AND(I.Developer.P2b=TRUE,I.Facility.P2bFacilityCount&gt;=4994,F15006=""),"Incomplete","Complete")</f>
        <v>Complete</v>
      </c>
      <c r="I15006" s="48" t="s">
        <v>19371</v>
      </c>
    </row>
    <row r="15007" spans="2:9" ht="15" customHeight="1" x14ac:dyDescent="0.25">
      <c r="B15007" s="55" t="s">
        <v>281</v>
      </c>
      <c r="C15007" s="46">
        <v>4995</v>
      </c>
      <c r="D15007" s="69" t="s">
        <v>29418</v>
      </c>
      <c r="E15007" s="51"/>
      <c r="F15007" s="114" t="str">
        <f>IF(INDEX(I.Facility.P2bIDNumber,4995)="","",INDEX(I.Facility.P2bIDNumber,4995))</f>
        <v/>
      </c>
      <c r="G15007" s="51"/>
      <c r="H15007" s="46" t="str">
        <f>IF(AND(I.Developer.P2b=TRUE,I.Facility.P2bFacilityCount&gt;=4995,F15007=""),"Incomplete","Complete")</f>
        <v>Complete</v>
      </c>
      <c r="I15007" s="48" t="s">
        <v>19372</v>
      </c>
    </row>
    <row r="15008" spans="2:9" ht="15" customHeight="1" x14ac:dyDescent="0.25">
      <c r="B15008" s="55" t="s">
        <v>281</v>
      </c>
      <c r="C15008" s="46">
        <v>4996</v>
      </c>
      <c r="D15008" s="69" t="s">
        <v>29418</v>
      </c>
      <c r="E15008" s="51"/>
      <c r="F15008" s="114" t="str">
        <f>IF(INDEX(I.Facility.P2bIDNumber,4996)="","",INDEX(I.Facility.P2bIDNumber,4996))</f>
        <v/>
      </c>
      <c r="G15008" s="51"/>
      <c r="H15008" s="46" t="str">
        <f>IF(AND(I.Developer.P2b=TRUE,I.Facility.P2bFacilityCount&gt;=4996,F15008=""),"Incomplete","Complete")</f>
        <v>Complete</v>
      </c>
      <c r="I15008" s="48" t="s">
        <v>19373</v>
      </c>
    </row>
    <row r="15009" spans="2:9" ht="15" customHeight="1" x14ac:dyDescent="0.25">
      <c r="B15009" s="55" t="s">
        <v>281</v>
      </c>
      <c r="C15009" s="46">
        <v>4997</v>
      </c>
      <c r="D15009" s="69" t="s">
        <v>29418</v>
      </c>
      <c r="E15009" s="51"/>
      <c r="F15009" s="114" t="str">
        <f>IF(INDEX(I.Facility.P2bIDNumber,4997)="","",INDEX(I.Facility.P2bIDNumber,4997))</f>
        <v/>
      </c>
      <c r="G15009" s="51"/>
      <c r="H15009" s="46" t="str">
        <f>IF(AND(I.Developer.P2b=TRUE,I.Facility.P2bFacilityCount&gt;=4997,F15009=""),"Incomplete","Complete")</f>
        <v>Complete</v>
      </c>
      <c r="I15009" s="48" t="s">
        <v>19374</v>
      </c>
    </row>
    <row r="15010" spans="2:9" ht="15" customHeight="1" x14ac:dyDescent="0.25">
      <c r="B15010" s="55" t="s">
        <v>281</v>
      </c>
      <c r="C15010" s="46">
        <v>4998</v>
      </c>
      <c r="D15010" s="69" t="s">
        <v>29418</v>
      </c>
      <c r="E15010" s="51"/>
      <c r="F15010" s="114" t="str">
        <f>IF(INDEX(I.Facility.P2bIDNumber,4998)="","",INDEX(I.Facility.P2bIDNumber,4998))</f>
        <v/>
      </c>
      <c r="G15010" s="51"/>
      <c r="H15010" s="46" t="str">
        <f>IF(AND(I.Developer.P2b=TRUE,I.Facility.P2bFacilityCount&gt;=4998,F15010=""),"Incomplete","Complete")</f>
        <v>Complete</v>
      </c>
      <c r="I15010" s="48" t="s">
        <v>19375</v>
      </c>
    </row>
    <row r="15011" spans="2:9" ht="15" customHeight="1" x14ac:dyDescent="0.25">
      <c r="B15011" s="55" t="s">
        <v>281</v>
      </c>
      <c r="C15011" s="46">
        <v>4999</v>
      </c>
      <c r="D15011" s="69" t="s">
        <v>29418</v>
      </c>
      <c r="E15011" s="51"/>
      <c r="F15011" s="114" t="str">
        <f>IF(INDEX(I.Facility.P2bIDNumber,4999)="","",INDEX(I.Facility.P2bIDNumber,4999))</f>
        <v/>
      </c>
      <c r="G15011" s="51"/>
      <c r="H15011" s="46" t="str">
        <f>IF(AND(I.Developer.P2b=TRUE,I.Facility.P2bFacilityCount&gt;=4999,F15011=""),"Incomplete","Complete")</f>
        <v>Complete</v>
      </c>
      <c r="I15011" s="48" t="s">
        <v>19376</v>
      </c>
    </row>
    <row r="15012" spans="2:9" ht="15" customHeight="1" x14ac:dyDescent="0.25">
      <c r="B15012" s="56" t="s">
        <v>281</v>
      </c>
      <c r="C15012" s="57">
        <v>5000</v>
      </c>
      <c r="D15012" s="71" t="s">
        <v>29418</v>
      </c>
      <c r="E15012" s="58"/>
      <c r="F15012" s="115" t="str">
        <f>IF(INDEX(I.Facility.P2bIDNumber,5000)="","",INDEX(I.Facility.P2bIDNumber,5000))</f>
        <v/>
      </c>
      <c r="G15012" s="58"/>
      <c r="H15012" s="57" t="str">
        <f>IF(AND(I.Developer.P2b=TRUE,I.Facility.P2bFacilityCount&gt;=5000,F15012=""),"Incomplete","Complete")</f>
        <v>Complete</v>
      </c>
      <c r="I15012" s="49" t="s">
        <v>19377</v>
      </c>
    </row>
    <row r="15013" spans="2:9" ht="15" customHeight="1" x14ac:dyDescent="0.25">
      <c r="B15013" s="55" t="s">
        <v>282</v>
      </c>
      <c r="C15013" s="46">
        <v>1</v>
      </c>
      <c r="D15013" s="69" t="s">
        <v>29419</v>
      </c>
      <c r="E15013" s="51"/>
      <c r="F15013" s="114" t="str">
        <f>IF(INDEX(I.Facility.P3IDNumber,1)="","",INDEX(I.Facility.P3IDNumber,1))</f>
        <v/>
      </c>
      <c r="G15013" s="51"/>
      <c r="H15013" s="46" t="str">
        <f>IF(AND(I.Developer.P3=TRUE,I.Facility.P3FacilityCount&gt;=1,F15013=""),"Incomplete","Complete")</f>
        <v>Complete</v>
      </c>
      <c r="I15013" s="48" t="s">
        <v>19378</v>
      </c>
    </row>
    <row r="15014" spans="2:9" ht="15" customHeight="1" x14ac:dyDescent="0.25">
      <c r="B15014" s="55" t="s">
        <v>282</v>
      </c>
      <c r="C15014" s="46">
        <v>2</v>
      </c>
      <c r="D15014" s="69" t="s">
        <v>29419</v>
      </c>
      <c r="E15014" s="51"/>
      <c r="F15014" s="114" t="str">
        <f>IF(INDEX(I.Facility.P3IDNumber,2)="","",INDEX(I.Facility.P3IDNumber,2))</f>
        <v/>
      </c>
      <c r="G15014" s="51"/>
      <c r="H15014" s="46" t="str">
        <f>IF(AND(I.Developer.P3=TRUE,I.Facility.P3FacilityCount&gt;=2,F15014=""),"Incomplete","Complete")</f>
        <v>Complete</v>
      </c>
      <c r="I15014" s="48" t="s">
        <v>19379</v>
      </c>
    </row>
    <row r="15015" spans="2:9" ht="15" customHeight="1" x14ac:dyDescent="0.25">
      <c r="B15015" s="55" t="s">
        <v>282</v>
      </c>
      <c r="C15015" s="46">
        <v>3</v>
      </c>
      <c r="D15015" s="69" t="s">
        <v>29419</v>
      </c>
      <c r="E15015" s="51"/>
      <c r="F15015" s="114" t="str">
        <f>IF(INDEX(I.Facility.P3IDNumber,3)="","",INDEX(I.Facility.P3IDNumber,3))</f>
        <v/>
      </c>
      <c r="G15015" s="51"/>
      <c r="H15015" s="46" t="str">
        <f>IF(AND(I.Developer.P3=TRUE,I.Facility.P3FacilityCount&gt;=3,F15015=""),"Incomplete","Complete")</f>
        <v>Complete</v>
      </c>
      <c r="I15015" s="48" t="s">
        <v>19380</v>
      </c>
    </row>
    <row r="15016" spans="2:9" ht="15" customHeight="1" x14ac:dyDescent="0.25">
      <c r="B15016" s="55" t="s">
        <v>282</v>
      </c>
      <c r="C15016" s="46">
        <v>4</v>
      </c>
      <c r="D15016" s="69" t="s">
        <v>29419</v>
      </c>
      <c r="E15016" s="51"/>
      <c r="F15016" s="114" t="str">
        <f>IF(INDEX(I.Facility.P3IDNumber,4)="","",INDEX(I.Facility.P3IDNumber,4))</f>
        <v/>
      </c>
      <c r="G15016" s="51"/>
      <c r="H15016" s="46" t="str">
        <f>IF(AND(I.Developer.P3=TRUE,I.Facility.P3FacilityCount&gt;=4,F15016=""),"Incomplete","Complete")</f>
        <v>Complete</v>
      </c>
      <c r="I15016" s="48" t="s">
        <v>19381</v>
      </c>
    </row>
    <row r="15017" spans="2:9" ht="15" customHeight="1" x14ac:dyDescent="0.25">
      <c r="B15017" s="55" t="s">
        <v>282</v>
      </c>
      <c r="C15017" s="46">
        <v>5</v>
      </c>
      <c r="D15017" s="69" t="s">
        <v>29419</v>
      </c>
      <c r="E15017" s="51"/>
      <c r="F15017" s="114" t="str">
        <f>IF(INDEX(I.Facility.P3IDNumber,5)="","",INDEX(I.Facility.P3IDNumber,5))</f>
        <v/>
      </c>
      <c r="G15017" s="51"/>
      <c r="H15017" s="46" t="str">
        <f>IF(AND(I.Developer.P3=TRUE,I.Facility.P3FacilityCount&gt;=5,F15017=""),"Incomplete","Complete")</f>
        <v>Complete</v>
      </c>
      <c r="I15017" s="48" t="s">
        <v>19382</v>
      </c>
    </row>
    <row r="15018" spans="2:9" ht="15" customHeight="1" x14ac:dyDescent="0.25">
      <c r="B15018" s="55" t="s">
        <v>282</v>
      </c>
      <c r="C15018" s="46">
        <v>6</v>
      </c>
      <c r="D15018" s="69" t="s">
        <v>29419</v>
      </c>
      <c r="E15018" s="51"/>
      <c r="F15018" s="114" t="str">
        <f>IF(INDEX(I.Facility.P3IDNumber,6)="","",INDEX(I.Facility.P3IDNumber,6))</f>
        <v/>
      </c>
      <c r="G15018" s="51"/>
      <c r="H15018" s="46" t="str">
        <f>IF(AND(I.Developer.P3=TRUE,I.Facility.P3FacilityCount&gt;=6,F15018=""),"Incomplete","Complete")</f>
        <v>Complete</v>
      </c>
      <c r="I15018" s="48" t="s">
        <v>19383</v>
      </c>
    </row>
    <row r="15019" spans="2:9" ht="15" customHeight="1" x14ac:dyDescent="0.25">
      <c r="B15019" s="55" t="s">
        <v>282</v>
      </c>
      <c r="C15019" s="46">
        <v>7</v>
      </c>
      <c r="D15019" s="69" t="s">
        <v>29419</v>
      </c>
      <c r="E15019" s="51"/>
      <c r="F15019" s="114" t="str">
        <f>IF(INDEX(I.Facility.P3IDNumber,7)="","",INDEX(I.Facility.P3IDNumber,7))</f>
        <v/>
      </c>
      <c r="G15019" s="51"/>
      <c r="H15019" s="46" t="str">
        <f>IF(AND(I.Developer.P3=TRUE,I.Facility.P3FacilityCount&gt;=7,F15019=""),"Incomplete","Complete")</f>
        <v>Complete</v>
      </c>
      <c r="I15019" s="48" t="s">
        <v>19384</v>
      </c>
    </row>
    <row r="15020" spans="2:9" ht="15" customHeight="1" x14ac:dyDescent="0.25">
      <c r="B15020" s="55" t="s">
        <v>282</v>
      </c>
      <c r="C15020" s="46">
        <v>8</v>
      </c>
      <c r="D15020" s="69" t="s">
        <v>29419</v>
      </c>
      <c r="E15020" s="51"/>
      <c r="F15020" s="114" t="str">
        <f>IF(INDEX(I.Facility.P3IDNumber,8)="","",INDEX(I.Facility.P3IDNumber,8))</f>
        <v/>
      </c>
      <c r="G15020" s="51"/>
      <c r="H15020" s="46" t="str">
        <f>IF(AND(I.Developer.P3=TRUE,I.Facility.P3FacilityCount&gt;=8,F15020=""),"Incomplete","Complete")</f>
        <v>Complete</v>
      </c>
      <c r="I15020" s="48" t="s">
        <v>19385</v>
      </c>
    </row>
    <row r="15021" spans="2:9" ht="15" customHeight="1" x14ac:dyDescent="0.25">
      <c r="B15021" s="55" t="s">
        <v>282</v>
      </c>
      <c r="C15021" s="46">
        <v>9</v>
      </c>
      <c r="D15021" s="69" t="s">
        <v>29419</v>
      </c>
      <c r="E15021" s="51"/>
      <c r="F15021" s="114" t="str">
        <f>IF(INDEX(I.Facility.P3IDNumber,9)="","",INDEX(I.Facility.P3IDNumber,9))</f>
        <v/>
      </c>
      <c r="G15021" s="51"/>
      <c r="H15021" s="46" t="str">
        <f>IF(AND(I.Developer.P3=TRUE,I.Facility.P3FacilityCount&gt;=9,F15021=""),"Incomplete","Complete")</f>
        <v>Complete</v>
      </c>
      <c r="I15021" s="48" t="s">
        <v>19386</v>
      </c>
    </row>
    <row r="15022" spans="2:9" ht="15" customHeight="1" x14ac:dyDescent="0.25">
      <c r="B15022" s="55" t="s">
        <v>282</v>
      </c>
      <c r="C15022" s="46">
        <v>10</v>
      </c>
      <c r="D15022" s="69" t="s">
        <v>29419</v>
      </c>
      <c r="E15022" s="51"/>
      <c r="F15022" s="114" t="str">
        <f>IF(INDEX(I.Facility.P3IDNumber,10)="","",INDEX(I.Facility.P3IDNumber,10))</f>
        <v/>
      </c>
      <c r="G15022" s="51"/>
      <c r="H15022" s="46" t="str">
        <f>IF(AND(I.Developer.P3=TRUE,I.Facility.P3FacilityCount&gt;=10,F15022=""),"Incomplete","Complete")</f>
        <v>Complete</v>
      </c>
      <c r="I15022" s="48" t="s">
        <v>19387</v>
      </c>
    </row>
    <row r="15023" spans="2:9" ht="15" customHeight="1" x14ac:dyDescent="0.25">
      <c r="B15023" s="55" t="s">
        <v>282</v>
      </c>
      <c r="C15023" s="46">
        <v>11</v>
      </c>
      <c r="D15023" s="69" t="s">
        <v>29419</v>
      </c>
      <c r="E15023" s="51"/>
      <c r="F15023" s="114" t="str">
        <f>IF(INDEX(I.Facility.P3IDNumber,11)="","",INDEX(I.Facility.P3IDNumber,11))</f>
        <v/>
      </c>
      <c r="G15023" s="51"/>
      <c r="H15023" s="46" t="str">
        <f>IF(AND(I.Developer.P3=TRUE,I.Facility.P3FacilityCount&gt;=11,F15023=""),"Incomplete","Complete")</f>
        <v>Complete</v>
      </c>
      <c r="I15023" s="48" t="s">
        <v>19388</v>
      </c>
    </row>
    <row r="15024" spans="2:9" ht="15" customHeight="1" x14ac:dyDescent="0.25">
      <c r="B15024" s="55" t="s">
        <v>282</v>
      </c>
      <c r="C15024" s="46">
        <v>12</v>
      </c>
      <c r="D15024" s="69" t="s">
        <v>29419</v>
      </c>
      <c r="E15024" s="51"/>
      <c r="F15024" s="114" t="str">
        <f>IF(INDEX(I.Facility.P3IDNumber,12)="","",INDEX(I.Facility.P3IDNumber,12))</f>
        <v/>
      </c>
      <c r="G15024" s="51"/>
      <c r="H15024" s="46" t="str">
        <f>IF(AND(I.Developer.P3=TRUE,I.Facility.P3FacilityCount&gt;=12,F15024=""),"Incomplete","Complete")</f>
        <v>Complete</v>
      </c>
      <c r="I15024" s="48" t="s">
        <v>19389</v>
      </c>
    </row>
    <row r="15025" spans="2:9" ht="15" customHeight="1" x14ac:dyDescent="0.25">
      <c r="B15025" s="55" t="s">
        <v>282</v>
      </c>
      <c r="C15025" s="46">
        <v>13</v>
      </c>
      <c r="D15025" s="69" t="s">
        <v>29419</v>
      </c>
      <c r="E15025" s="51"/>
      <c r="F15025" s="114" t="str">
        <f>IF(INDEX(I.Facility.P3IDNumber,13)="","",INDEX(I.Facility.P3IDNumber,13))</f>
        <v/>
      </c>
      <c r="G15025" s="51"/>
      <c r="H15025" s="46" t="str">
        <f>IF(AND(I.Developer.P3=TRUE,I.Facility.P3FacilityCount&gt;=13,F15025=""),"Incomplete","Complete")</f>
        <v>Complete</v>
      </c>
      <c r="I15025" s="48" t="s">
        <v>19390</v>
      </c>
    </row>
    <row r="15026" spans="2:9" ht="15" customHeight="1" x14ac:dyDescent="0.25">
      <c r="B15026" s="55" t="s">
        <v>282</v>
      </c>
      <c r="C15026" s="46">
        <v>14</v>
      </c>
      <c r="D15026" s="69" t="s">
        <v>29419</v>
      </c>
      <c r="E15026" s="51"/>
      <c r="F15026" s="114" t="str">
        <f>IF(INDEX(I.Facility.P3IDNumber,14)="","",INDEX(I.Facility.P3IDNumber,14))</f>
        <v/>
      </c>
      <c r="G15026" s="51"/>
      <c r="H15026" s="46" t="str">
        <f>IF(AND(I.Developer.P3=TRUE,I.Facility.P3FacilityCount&gt;=14,F15026=""),"Incomplete","Complete")</f>
        <v>Complete</v>
      </c>
      <c r="I15026" s="48" t="s">
        <v>19391</v>
      </c>
    </row>
    <row r="15027" spans="2:9" ht="15" customHeight="1" x14ac:dyDescent="0.25">
      <c r="B15027" s="55" t="s">
        <v>282</v>
      </c>
      <c r="C15027" s="46">
        <v>15</v>
      </c>
      <c r="D15027" s="69" t="s">
        <v>29419</v>
      </c>
      <c r="E15027" s="51"/>
      <c r="F15027" s="114" t="str">
        <f>IF(INDEX(I.Facility.P3IDNumber,15)="","",INDEX(I.Facility.P3IDNumber,15))</f>
        <v/>
      </c>
      <c r="G15027" s="51"/>
      <c r="H15027" s="46" t="str">
        <f>IF(AND(I.Developer.P3=TRUE,I.Facility.P3FacilityCount&gt;=15,F15027=""),"Incomplete","Complete")</f>
        <v>Complete</v>
      </c>
      <c r="I15027" s="48" t="s">
        <v>19392</v>
      </c>
    </row>
    <row r="15028" spans="2:9" ht="15" customHeight="1" x14ac:dyDescent="0.25">
      <c r="B15028" s="55" t="s">
        <v>282</v>
      </c>
      <c r="C15028" s="46">
        <v>16</v>
      </c>
      <c r="D15028" s="69" t="s">
        <v>29419</v>
      </c>
      <c r="E15028" s="51"/>
      <c r="F15028" s="114" t="str">
        <f>IF(INDEX(I.Facility.P3IDNumber,16)="","",INDEX(I.Facility.P3IDNumber,16))</f>
        <v/>
      </c>
      <c r="G15028" s="51"/>
      <c r="H15028" s="46" t="str">
        <f>IF(AND(I.Developer.P3=TRUE,I.Facility.P3FacilityCount&gt;=16,F15028=""),"Incomplete","Complete")</f>
        <v>Complete</v>
      </c>
      <c r="I15028" s="48" t="s">
        <v>19393</v>
      </c>
    </row>
    <row r="15029" spans="2:9" ht="15" customHeight="1" x14ac:dyDescent="0.25">
      <c r="B15029" s="55" t="s">
        <v>282</v>
      </c>
      <c r="C15029" s="46">
        <v>17</v>
      </c>
      <c r="D15029" s="69" t="s">
        <v>29419</v>
      </c>
      <c r="E15029" s="51"/>
      <c r="F15029" s="114" t="str">
        <f>IF(INDEX(I.Facility.P3IDNumber,17)="","",INDEX(I.Facility.P3IDNumber,17))</f>
        <v/>
      </c>
      <c r="G15029" s="51"/>
      <c r="H15029" s="46" t="str">
        <f>IF(AND(I.Developer.P3=TRUE,I.Facility.P3FacilityCount&gt;=17,F15029=""),"Incomplete","Complete")</f>
        <v>Complete</v>
      </c>
      <c r="I15029" s="48" t="s">
        <v>19394</v>
      </c>
    </row>
    <row r="15030" spans="2:9" ht="15" customHeight="1" x14ac:dyDescent="0.25">
      <c r="B15030" s="55" t="s">
        <v>282</v>
      </c>
      <c r="C15030" s="46">
        <v>18</v>
      </c>
      <c r="D15030" s="69" t="s">
        <v>29419</v>
      </c>
      <c r="E15030" s="51"/>
      <c r="F15030" s="114" t="str">
        <f>IF(INDEX(I.Facility.P3IDNumber,18)="","",INDEX(I.Facility.P3IDNumber,18))</f>
        <v/>
      </c>
      <c r="G15030" s="51"/>
      <c r="H15030" s="46" t="str">
        <f>IF(AND(I.Developer.P3=TRUE,I.Facility.P3FacilityCount&gt;=18,F15030=""),"Incomplete","Complete")</f>
        <v>Complete</v>
      </c>
      <c r="I15030" s="48" t="s">
        <v>19395</v>
      </c>
    </row>
    <row r="15031" spans="2:9" ht="15" customHeight="1" x14ac:dyDescent="0.25">
      <c r="B15031" s="55" t="s">
        <v>282</v>
      </c>
      <c r="C15031" s="46">
        <v>19</v>
      </c>
      <c r="D15031" s="69" t="s">
        <v>29419</v>
      </c>
      <c r="E15031" s="51"/>
      <c r="F15031" s="114" t="str">
        <f>IF(INDEX(I.Facility.P3IDNumber,19)="","",INDEX(I.Facility.P3IDNumber,19))</f>
        <v/>
      </c>
      <c r="G15031" s="51"/>
      <c r="H15031" s="46" t="str">
        <f>IF(AND(I.Developer.P3=TRUE,I.Facility.P3FacilityCount&gt;=19,F15031=""),"Incomplete","Complete")</f>
        <v>Complete</v>
      </c>
      <c r="I15031" s="48" t="s">
        <v>19396</v>
      </c>
    </row>
    <row r="15032" spans="2:9" ht="15" customHeight="1" x14ac:dyDescent="0.25">
      <c r="B15032" s="55" t="s">
        <v>282</v>
      </c>
      <c r="C15032" s="46">
        <v>20</v>
      </c>
      <c r="D15032" s="69" t="s">
        <v>29419</v>
      </c>
      <c r="E15032" s="51"/>
      <c r="F15032" s="114" t="str">
        <f>IF(INDEX(I.Facility.P3IDNumber,20)="","",INDEX(I.Facility.P3IDNumber,20))</f>
        <v/>
      </c>
      <c r="G15032" s="51"/>
      <c r="H15032" s="46" t="str">
        <f>IF(AND(I.Developer.P3=TRUE,I.Facility.P3FacilityCount&gt;=20,F15032=""),"Incomplete","Complete")</f>
        <v>Complete</v>
      </c>
      <c r="I15032" s="48" t="s">
        <v>19397</v>
      </c>
    </row>
    <row r="15033" spans="2:9" ht="15" customHeight="1" x14ac:dyDescent="0.25">
      <c r="B15033" s="55" t="s">
        <v>282</v>
      </c>
      <c r="C15033" s="46">
        <v>21</v>
      </c>
      <c r="D15033" s="69" t="s">
        <v>29419</v>
      </c>
      <c r="E15033" s="51"/>
      <c r="F15033" s="114" t="str">
        <f>IF(INDEX(I.Facility.P3IDNumber,21)="","",INDEX(I.Facility.P3IDNumber,21))</f>
        <v/>
      </c>
      <c r="G15033" s="51"/>
      <c r="H15033" s="46" t="str">
        <f>IF(AND(I.Developer.P3=TRUE,I.Facility.P3FacilityCount&gt;=21,F15033=""),"Incomplete","Complete")</f>
        <v>Complete</v>
      </c>
      <c r="I15033" s="48" t="s">
        <v>19398</v>
      </c>
    </row>
    <row r="15034" spans="2:9" ht="15" customHeight="1" x14ac:dyDescent="0.25">
      <c r="B15034" s="55" t="s">
        <v>282</v>
      </c>
      <c r="C15034" s="46">
        <v>22</v>
      </c>
      <c r="D15034" s="69" t="s">
        <v>29419</v>
      </c>
      <c r="E15034" s="51"/>
      <c r="F15034" s="114" t="str">
        <f>IF(INDEX(I.Facility.P3IDNumber,22)="","",INDEX(I.Facility.P3IDNumber,22))</f>
        <v/>
      </c>
      <c r="G15034" s="51"/>
      <c r="H15034" s="46" t="str">
        <f>IF(AND(I.Developer.P3=TRUE,I.Facility.P3FacilityCount&gt;=22,F15034=""),"Incomplete","Complete")</f>
        <v>Complete</v>
      </c>
      <c r="I15034" s="48" t="s">
        <v>19399</v>
      </c>
    </row>
    <row r="15035" spans="2:9" ht="15" customHeight="1" x14ac:dyDescent="0.25">
      <c r="B15035" s="55" t="s">
        <v>282</v>
      </c>
      <c r="C15035" s="46">
        <v>23</v>
      </c>
      <c r="D15035" s="69" t="s">
        <v>29419</v>
      </c>
      <c r="E15035" s="51"/>
      <c r="F15035" s="114" t="str">
        <f>IF(INDEX(I.Facility.P3IDNumber,23)="","",INDEX(I.Facility.P3IDNumber,23))</f>
        <v/>
      </c>
      <c r="G15035" s="51"/>
      <c r="H15035" s="46" t="str">
        <f>IF(AND(I.Developer.P3=TRUE,I.Facility.P3FacilityCount&gt;=23,F15035=""),"Incomplete","Complete")</f>
        <v>Complete</v>
      </c>
      <c r="I15035" s="48" t="s">
        <v>19400</v>
      </c>
    </row>
    <row r="15036" spans="2:9" ht="15" customHeight="1" x14ac:dyDescent="0.25">
      <c r="B15036" s="55" t="s">
        <v>282</v>
      </c>
      <c r="C15036" s="46">
        <v>24</v>
      </c>
      <c r="D15036" s="69" t="s">
        <v>29419</v>
      </c>
      <c r="E15036" s="51"/>
      <c r="F15036" s="114" t="str">
        <f>IF(INDEX(I.Facility.P3IDNumber,24)="","",INDEX(I.Facility.P3IDNumber,24))</f>
        <v/>
      </c>
      <c r="G15036" s="51"/>
      <c r="H15036" s="46" t="str">
        <f>IF(AND(I.Developer.P3=TRUE,I.Facility.P3FacilityCount&gt;=24,F15036=""),"Incomplete","Complete")</f>
        <v>Complete</v>
      </c>
      <c r="I15036" s="48" t="s">
        <v>19401</v>
      </c>
    </row>
    <row r="15037" spans="2:9" ht="15" customHeight="1" x14ac:dyDescent="0.25">
      <c r="B15037" s="55" t="s">
        <v>282</v>
      </c>
      <c r="C15037" s="46">
        <v>25</v>
      </c>
      <c r="D15037" s="69" t="s">
        <v>29419</v>
      </c>
      <c r="E15037" s="51"/>
      <c r="F15037" s="114" t="str">
        <f>IF(INDEX(I.Facility.P3IDNumber,25)="","",INDEX(I.Facility.P3IDNumber,25))</f>
        <v/>
      </c>
      <c r="G15037" s="51"/>
      <c r="H15037" s="46" t="str">
        <f>IF(AND(I.Developer.P3=TRUE,I.Facility.P3FacilityCount&gt;=25,F15037=""),"Incomplete","Complete")</f>
        <v>Complete</v>
      </c>
      <c r="I15037" s="48" t="s">
        <v>19402</v>
      </c>
    </row>
    <row r="15038" spans="2:9" ht="15" customHeight="1" x14ac:dyDescent="0.25">
      <c r="B15038" s="55" t="s">
        <v>282</v>
      </c>
      <c r="C15038" s="46">
        <v>26</v>
      </c>
      <c r="D15038" s="69" t="s">
        <v>29419</v>
      </c>
      <c r="E15038" s="51"/>
      <c r="F15038" s="114" t="str">
        <f>IF(INDEX(I.Facility.P3IDNumber,26)="","",INDEX(I.Facility.P3IDNumber,26))</f>
        <v/>
      </c>
      <c r="G15038" s="51"/>
      <c r="H15038" s="46" t="str">
        <f>IF(AND(I.Developer.P3=TRUE,I.Facility.P3FacilityCount&gt;=26,F15038=""),"Incomplete","Complete")</f>
        <v>Complete</v>
      </c>
      <c r="I15038" s="48" t="s">
        <v>19403</v>
      </c>
    </row>
    <row r="15039" spans="2:9" ht="15" customHeight="1" x14ac:dyDescent="0.25">
      <c r="B15039" s="55" t="s">
        <v>282</v>
      </c>
      <c r="C15039" s="46">
        <v>27</v>
      </c>
      <c r="D15039" s="69" t="s">
        <v>29419</v>
      </c>
      <c r="E15039" s="51"/>
      <c r="F15039" s="114" t="str">
        <f>IF(INDEX(I.Facility.P3IDNumber,27)="","",INDEX(I.Facility.P3IDNumber,27))</f>
        <v/>
      </c>
      <c r="G15039" s="51"/>
      <c r="H15039" s="46" t="str">
        <f>IF(AND(I.Developer.P3=TRUE,I.Facility.P3FacilityCount&gt;=27,F15039=""),"Incomplete","Complete")</f>
        <v>Complete</v>
      </c>
      <c r="I15039" s="48" t="s">
        <v>19404</v>
      </c>
    </row>
    <row r="15040" spans="2:9" ht="15" customHeight="1" x14ac:dyDescent="0.25">
      <c r="B15040" s="55" t="s">
        <v>282</v>
      </c>
      <c r="C15040" s="46">
        <v>28</v>
      </c>
      <c r="D15040" s="69" t="s">
        <v>29419</v>
      </c>
      <c r="E15040" s="51"/>
      <c r="F15040" s="114" t="str">
        <f>IF(INDEX(I.Facility.P3IDNumber,28)="","",INDEX(I.Facility.P3IDNumber,28))</f>
        <v/>
      </c>
      <c r="G15040" s="51"/>
      <c r="H15040" s="46" t="str">
        <f>IF(AND(I.Developer.P3=TRUE,I.Facility.P3FacilityCount&gt;=28,F15040=""),"Incomplete","Complete")</f>
        <v>Complete</v>
      </c>
      <c r="I15040" s="48" t="s">
        <v>19405</v>
      </c>
    </row>
    <row r="15041" spans="2:9" ht="15" customHeight="1" x14ac:dyDescent="0.25">
      <c r="B15041" s="55" t="s">
        <v>282</v>
      </c>
      <c r="C15041" s="46">
        <v>29</v>
      </c>
      <c r="D15041" s="69" t="s">
        <v>29419</v>
      </c>
      <c r="E15041" s="51"/>
      <c r="F15041" s="114" t="str">
        <f>IF(INDEX(I.Facility.P3IDNumber,29)="","",INDEX(I.Facility.P3IDNumber,29))</f>
        <v/>
      </c>
      <c r="G15041" s="51"/>
      <c r="H15041" s="46" t="str">
        <f>IF(AND(I.Developer.P3=TRUE,I.Facility.P3FacilityCount&gt;=29,F15041=""),"Incomplete","Complete")</f>
        <v>Complete</v>
      </c>
      <c r="I15041" s="48" t="s">
        <v>19406</v>
      </c>
    </row>
    <row r="15042" spans="2:9" ht="15" customHeight="1" x14ac:dyDescent="0.25">
      <c r="B15042" s="55" t="s">
        <v>282</v>
      </c>
      <c r="C15042" s="46">
        <v>30</v>
      </c>
      <c r="D15042" s="69" t="s">
        <v>29419</v>
      </c>
      <c r="E15042" s="51"/>
      <c r="F15042" s="114" t="str">
        <f>IF(INDEX(I.Facility.P3IDNumber,30)="","",INDEX(I.Facility.P3IDNumber,30))</f>
        <v/>
      </c>
      <c r="G15042" s="51"/>
      <c r="H15042" s="46" t="str">
        <f>IF(AND(I.Developer.P3=TRUE,I.Facility.P3FacilityCount&gt;=30,F15042=""),"Incomplete","Complete")</f>
        <v>Complete</v>
      </c>
      <c r="I15042" s="48" t="s">
        <v>19407</v>
      </c>
    </row>
    <row r="15043" spans="2:9" ht="15" customHeight="1" x14ac:dyDescent="0.25">
      <c r="B15043" s="55" t="s">
        <v>282</v>
      </c>
      <c r="C15043" s="46">
        <v>31</v>
      </c>
      <c r="D15043" s="69" t="s">
        <v>29419</v>
      </c>
      <c r="E15043" s="51"/>
      <c r="F15043" s="114" t="str">
        <f>IF(INDEX(I.Facility.P3IDNumber,31)="","",INDEX(I.Facility.P3IDNumber,31))</f>
        <v/>
      </c>
      <c r="G15043" s="51"/>
      <c r="H15043" s="46" t="str">
        <f>IF(AND(I.Developer.P3=TRUE,I.Facility.P3FacilityCount&gt;=31,F15043=""),"Incomplete","Complete")</f>
        <v>Complete</v>
      </c>
      <c r="I15043" s="48" t="s">
        <v>19408</v>
      </c>
    </row>
    <row r="15044" spans="2:9" ht="15" customHeight="1" x14ac:dyDescent="0.25">
      <c r="B15044" s="55" t="s">
        <v>282</v>
      </c>
      <c r="C15044" s="46">
        <v>32</v>
      </c>
      <c r="D15044" s="69" t="s">
        <v>29419</v>
      </c>
      <c r="E15044" s="51"/>
      <c r="F15044" s="114" t="str">
        <f>IF(INDEX(I.Facility.P3IDNumber,32)="","",INDEX(I.Facility.P3IDNumber,32))</f>
        <v/>
      </c>
      <c r="G15044" s="51"/>
      <c r="H15044" s="46" t="str">
        <f>IF(AND(I.Developer.P3=TRUE,I.Facility.P3FacilityCount&gt;=32,F15044=""),"Incomplete","Complete")</f>
        <v>Complete</v>
      </c>
      <c r="I15044" s="48" t="s">
        <v>19409</v>
      </c>
    </row>
    <row r="15045" spans="2:9" ht="15" customHeight="1" x14ac:dyDescent="0.25">
      <c r="B15045" s="55" t="s">
        <v>282</v>
      </c>
      <c r="C15045" s="46">
        <v>33</v>
      </c>
      <c r="D15045" s="69" t="s">
        <v>29419</v>
      </c>
      <c r="E15045" s="51"/>
      <c r="F15045" s="114" t="str">
        <f>IF(INDEX(I.Facility.P3IDNumber,33)="","",INDEX(I.Facility.P3IDNumber,33))</f>
        <v/>
      </c>
      <c r="G15045" s="51"/>
      <c r="H15045" s="46" t="str">
        <f>IF(AND(I.Developer.P3=TRUE,I.Facility.P3FacilityCount&gt;=33,F15045=""),"Incomplete","Complete")</f>
        <v>Complete</v>
      </c>
      <c r="I15045" s="48" t="s">
        <v>19410</v>
      </c>
    </row>
    <row r="15046" spans="2:9" ht="15" customHeight="1" x14ac:dyDescent="0.25">
      <c r="B15046" s="55" t="s">
        <v>282</v>
      </c>
      <c r="C15046" s="46">
        <v>34</v>
      </c>
      <c r="D15046" s="69" t="s">
        <v>29419</v>
      </c>
      <c r="E15046" s="51"/>
      <c r="F15046" s="114" t="str">
        <f>IF(INDEX(I.Facility.P3IDNumber,34)="","",INDEX(I.Facility.P3IDNumber,34))</f>
        <v/>
      </c>
      <c r="G15046" s="51"/>
      <c r="H15046" s="46" t="str">
        <f>IF(AND(I.Developer.P3=TRUE,I.Facility.P3FacilityCount&gt;=34,F15046=""),"Incomplete","Complete")</f>
        <v>Complete</v>
      </c>
      <c r="I15046" s="48" t="s">
        <v>19411</v>
      </c>
    </row>
    <row r="15047" spans="2:9" ht="15" customHeight="1" x14ac:dyDescent="0.25">
      <c r="B15047" s="55" t="s">
        <v>282</v>
      </c>
      <c r="C15047" s="46">
        <v>35</v>
      </c>
      <c r="D15047" s="69" t="s">
        <v>29419</v>
      </c>
      <c r="E15047" s="51"/>
      <c r="F15047" s="114" t="str">
        <f>IF(INDEX(I.Facility.P3IDNumber,35)="","",INDEX(I.Facility.P3IDNumber,35))</f>
        <v/>
      </c>
      <c r="G15047" s="51"/>
      <c r="H15047" s="46" t="str">
        <f>IF(AND(I.Developer.P3=TRUE,I.Facility.P3FacilityCount&gt;=35,F15047=""),"Incomplete","Complete")</f>
        <v>Complete</v>
      </c>
      <c r="I15047" s="48" t="s">
        <v>19412</v>
      </c>
    </row>
    <row r="15048" spans="2:9" ht="15" customHeight="1" x14ac:dyDescent="0.25">
      <c r="B15048" s="55" t="s">
        <v>282</v>
      </c>
      <c r="C15048" s="46">
        <v>36</v>
      </c>
      <c r="D15048" s="69" t="s">
        <v>29419</v>
      </c>
      <c r="E15048" s="51"/>
      <c r="F15048" s="114" t="str">
        <f>IF(INDEX(I.Facility.P3IDNumber,36)="","",INDEX(I.Facility.P3IDNumber,36))</f>
        <v/>
      </c>
      <c r="G15048" s="51"/>
      <c r="H15048" s="46" t="str">
        <f>IF(AND(I.Developer.P3=TRUE,I.Facility.P3FacilityCount&gt;=36,F15048=""),"Incomplete","Complete")</f>
        <v>Complete</v>
      </c>
      <c r="I15048" s="48" t="s">
        <v>19413</v>
      </c>
    </row>
    <row r="15049" spans="2:9" ht="15" customHeight="1" x14ac:dyDescent="0.25">
      <c r="B15049" s="55" t="s">
        <v>282</v>
      </c>
      <c r="C15049" s="46">
        <v>37</v>
      </c>
      <c r="D15049" s="69" t="s">
        <v>29419</v>
      </c>
      <c r="E15049" s="51"/>
      <c r="F15049" s="114" t="str">
        <f>IF(INDEX(I.Facility.P3IDNumber,37)="","",INDEX(I.Facility.P3IDNumber,37))</f>
        <v/>
      </c>
      <c r="G15049" s="51"/>
      <c r="H15049" s="46" t="str">
        <f>IF(AND(I.Developer.P3=TRUE,I.Facility.P3FacilityCount&gt;=37,F15049=""),"Incomplete","Complete")</f>
        <v>Complete</v>
      </c>
      <c r="I15049" s="48" t="s">
        <v>19414</v>
      </c>
    </row>
    <row r="15050" spans="2:9" ht="15" customHeight="1" x14ac:dyDescent="0.25">
      <c r="B15050" s="55" t="s">
        <v>282</v>
      </c>
      <c r="C15050" s="46">
        <v>38</v>
      </c>
      <c r="D15050" s="69" t="s">
        <v>29419</v>
      </c>
      <c r="E15050" s="51"/>
      <c r="F15050" s="114" t="str">
        <f>IF(INDEX(I.Facility.P3IDNumber,38)="","",INDEX(I.Facility.P3IDNumber,38))</f>
        <v/>
      </c>
      <c r="G15050" s="51"/>
      <c r="H15050" s="46" t="str">
        <f>IF(AND(I.Developer.P3=TRUE,I.Facility.P3FacilityCount&gt;=38,F15050=""),"Incomplete","Complete")</f>
        <v>Complete</v>
      </c>
      <c r="I15050" s="48" t="s">
        <v>19415</v>
      </c>
    </row>
    <row r="15051" spans="2:9" ht="15" customHeight="1" x14ac:dyDescent="0.25">
      <c r="B15051" s="55" t="s">
        <v>282</v>
      </c>
      <c r="C15051" s="46">
        <v>39</v>
      </c>
      <c r="D15051" s="69" t="s">
        <v>29419</v>
      </c>
      <c r="E15051" s="51"/>
      <c r="F15051" s="114" t="str">
        <f>IF(INDEX(I.Facility.P3IDNumber,39)="","",INDEX(I.Facility.P3IDNumber,39))</f>
        <v/>
      </c>
      <c r="G15051" s="51"/>
      <c r="H15051" s="46" t="str">
        <f>IF(AND(I.Developer.P3=TRUE,I.Facility.P3FacilityCount&gt;=39,F15051=""),"Incomplete","Complete")</f>
        <v>Complete</v>
      </c>
      <c r="I15051" s="48" t="s">
        <v>19416</v>
      </c>
    </row>
    <row r="15052" spans="2:9" ht="15" customHeight="1" x14ac:dyDescent="0.25">
      <c r="B15052" s="55" t="s">
        <v>282</v>
      </c>
      <c r="C15052" s="46">
        <v>40</v>
      </c>
      <c r="D15052" s="69" t="s">
        <v>29419</v>
      </c>
      <c r="E15052" s="51"/>
      <c r="F15052" s="114" t="str">
        <f>IF(INDEX(I.Facility.P3IDNumber,40)="","",INDEX(I.Facility.P3IDNumber,40))</f>
        <v/>
      </c>
      <c r="G15052" s="51"/>
      <c r="H15052" s="46" t="str">
        <f>IF(AND(I.Developer.P3=TRUE,I.Facility.P3FacilityCount&gt;=40,F15052=""),"Incomplete","Complete")</f>
        <v>Complete</v>
      </c>
      <c r="I15052" s="48" t="s">
        <v>19417</v>
      </c>
    </row>
    <row r="15053" spans="2:9" ht="15" customHeight="1" x14ac:dyDescent="0.25">
      <c r="B15053" s="55" t="s">
        <v>282</v>
      </c>
      <c r="C15053" s="46">
        <v>41</v>
      </c>
      <c r="D15053" s="69" t="s">
        <v>29419</v>
      </c>
      <c r="E15053" s="51"/>
      <c r="F15053" s="114" t="str">
        <f>IF(INDEX(I.Facility.P3IDNumber,41)="","",INDEX(I.Facility.P3IDNumber,41))</f>
        <v/>
      </c>
      <c r="G15053" s="51"/>
      <c r="H15053" s="46" t="str">
        <f>IF(AND(I.Developer.P3=TRUE,I.Facility.P3FacilityCount&gt;=41,F15053=""),"Incomplete","Complete")</f>
        <v>Complete</v>
      </c>
      <c r="I15053" s="48" t="s">
        <v>19418</v>
      </c>
    </row>
    <row r="15054" spans="2:9" ht="15" customHeight="1" x14ac:dyDescent="0.25">
      <c r="B15054" s="55" t="s">
        <v>282</v>
      </c>
      <c r="C15054" s="46">
        <v>42</v>
      </c>
      <c r="D15054" s="69" t="s">
        <v>29419</v>
      </c>
      <c r="E15054" s="51"/>
      <c r="F15054" s="114" t="str">
        <f>IF(INDEX(I.Facility.P3IDNumber,42)="","",INDEX(I.Facility.P3IDNumber,42))</f>
        <v/>
      </c>
      <c r="G15054" s="51"/>
      <c r="H15054" s="46" t="str">
        <f>IF(AND(I.Developer.P3=TRUE,I.Facility.P3FacilityCount&gt;=42,F15054=""),"Incomplete","Complete")</f>
        <v>Complete</v>
      </c>
      <c r="I15054" s="48" t="s">
        <v>19419</v>
      </c>
    </row>
    <row r="15055" spans="2:9" ht="15" customHeight="1" x14ac:dyDescent="0.25">
      <c r="B15055" s="55" t="s">
        <v>282</v>
      </c>
      <c r="C15055" s="46">
        <v>43</v>
      </c>
      <c r="D15055" s="69" t="s">
        <v>29419</v>
      </c>
      <c r="E15055" s="51"/>
      <c r="F15055" s="114" t="str">
        <f>IF(INDEX(I.Facility.P3IDNumber,43)="","",INDEX(I.Facility.P3IDNumber,43))</f>
        <v/>
      </c>
      <c r="G15055" s="51"/>
      <c r="H15055" s="46" t="str">
        <f>IF(AND(I.Developer.P3=TRUE,I.Facility.P3FacilityCount&gt;=43,F15055=""),"Incomplete","Complete")</f>
        <v>Complete</v>
      </c>
      <c r="I15055" s="48" t="s">
        <v>19420</v>
      </c>
    </row>
    <row r="15056" spans="2:9" ht="15" customHeight="1" x14ac:dyDescent="0.25">
      <c r="B15056" s="55" t="s">
        <v>282</v>
      </c>
      <c r="C15056" s="46">
        <v>44</v>
      </c>
      <c r="D15056" s="69" t="s">
        <v>29419</v>
      </c>
      <c r="E15056" s="51"/>
      <c r="F15056" s="114" t="str">
        <f>IF(INDEX(I.Facility.P3IDNumber,44)="","",INDEX(I.Facility.P3IDNumber,44))</f>
        <v/>
      </c>
      <c r="G15056" s="51"/>
      <c r="H15056" s="46" t="str">
        <f>IF(AND(I.Developer.P3=TRUE,I.Facility.P3FacilityCount&gt;=44,F15056=""),"Incomplete","Complete")</f>
        <v>Complete</v>
      </c>
      <c r="I15056" s="48" t="s">
        <v>19421</v>
      </c>
    </row>
    <row r="15057" spans="2:9" ht="15" customHeight="1" x14ac:dyDescent="0.25">
      <c r="B15057" s="55" t="s">
        <v>282</v>
      </c>
      <c r="C15057" s="46">
        <v>45</v>
      </c>
      <c r="D15057" s="69" t="s">
        <v>29419</v>
      </c>
      <c r="E15057" s="51"/>
      <c r="F15057" s="114" t="str">
        <f>IF(INDEX(I.Facility.P3IDNumber,45)="","",INDEX(I.Facility.P3IDNumber,45))</f>
        <v/>
      </c>
      <c r="G15057" s="51"/>
      <c r="H15057" s="46" t="str">
        <f>IF(AND(I.Developer.P3=TRUE,I.Facility.P3FacilityCount&gt;=45,F15057=""),"Incomplete","Complete")</f>
        <v>Complete</v>
      </c>
      <c r="I15057" s="48" t="s">
        <v>19422</v>
      </c>
    </row>
    <row r="15058" spans="2:9" ht="15" customHeight="1" x14ac:dyDescent="0.25">
      <c r="B15058" s="55" t="s">
        <v>282</v>
      </c>
      <c r="C15058" s="46">
        <v>46</v>
      </c>
      <c r="D15058" s="69" t="s">
        <v>29419</v>
      </c>
      <c r="E15058" s="51"/>
      <c r="F15058" s="114" t="str">
        <f>IF(INDEX(I.Facility.P3IDNumber,46)="","",INDEX(I.Facility.P3IDNumber,46))</f>
        <v/>
      </c>
      <c r="G15058" s="51"/>
      <c r="H15058" s="46" t="str">
        <f>IF(AND(I.Developer.P3=TRUE,I.Facility.P3FacilityCount&gt;=46,F15058=""),"Incomplete","Complete")</f>
        <v>Complete</v>
      </c>
      <c r="I15058" s="48" t="s">
        <v>19423</v>
      </c>
    </row>
    <row r="15059" spans="2:9" ht="15" customHeight="1" x14ac:dyDescent="0.25">
      <c r="B15059" s="55" t="s">
        <v>282</v>
      </c>
      <c r="C15059" s="46">
        <v>47</v>
      </c>
      <c r="D15059" s="69" t="s">
        <v>29419</v>
      </c>
      <c r="E15059" s="51"/>
      <c r="F15059" s="114" t="str">
        <f>IF(INDEX(I.Facility.P3IDNumber,47)="","",INDEX(I.Facility.P3IDNumber,47))</f>
        <v/>
      </c>
      <c r="G15059" s="51"/>
      <c r="H15059" s="46" t="str">
        <f>IF(AND(I.Developer.P3=TRUE,I.Facility.P3FacilityCount&gt;=47,F15059=""),"Incomplete","Complete")</f>
        <v>Complete</v>
      </c>
      <c r="I15059" s="48" t="s">
        <v>19424</v>
      </c>
    </row>
    <row r="15060" spans="2:9" ht="15" customHeight="1" x14ac:dyDescent="0.25">
      <c r="B15060" s="55" t="s">
        <v>282</v>
      </c>
      <c r="C15060" s="46">
        <v>48</v>
      </c>
      <c r="D15060" s="69" t="s">
        <v>29419</v>
      </c>
      <c r="E15060" s="51"/>
      <c r="F15060" s="114" t="str">
        <f>IF(INDEX(I.Facility.P3IDNumber,48)="","",INDEX(I.Facility.P3IDNumber,48))</f>
        <v/>
      </c>
      <c r="G15060" s="51"/>
      <c r="H15060" s="46" t="str">
        <f>IF(AND(I.Developer.P3=TRUE,I.Facility.P3FacilityCount&gt;=48,F15060=""),"Incomplete","Complete")</f>
        <v>Complete</v>
      </c>
      <c r="I15060" s="48" t="s">
        <v>19425</v>
      </c>
    </row>
    <row r="15061" spans="2:9" ht="15" customHeight="1" x14ac:dyDescent="0.25">
      <c r="B15061" s="55" t="s">
        <v>282</v>
      </c>
      <c r="C15061" s="46">
        <v>49</v>
      </c>
      <c r="D15061" s="69" t="s">
        <v>29419</v>
      </c>
      <c r="E15061" s="51"/>
      <c r="F15061" s="114" t="str">
        <f>IF(INDEX(I.Facility.P3IDNumber,49)="","",INDEX(I.Facility.P3IDNumber,49))</f>
        <v/>
      </c>
      <c r="G15061" s="51"/>
      <c r="H15061" s="46" t="str">
        <f>IF(AND(I.Developer.P3=TRUE,I.Facility.P3FacilityCount&gt;=49,F15061=""),"Incomplete","Complete")</f>
        <v>Complete</v>
      </c>
      <c r="I15061" s="48" t="s">
        <v>19426</v>
      </c>
    </row>
    <row r="15062" spans="2:9" ht="15" customHeight="1" x14ac:dyDescent="0.25">
      <c r="B15062" s="55" t="s">
        <v>282</v>
      </c>
      <c r="C15062" s="46">
        <v>50</v>
      </c>
      <c r="D15062" s="69" t="s">
        <v>29419</v>
      </c>
      <c r="E15062" s="51"/>
      <c r="F15062" s="114" t="str">
        <f>IF(INDEX(I.Facility.P3IDNumber,50)="","",INDEX(I.Facility.P3IDNumber,50))</f>
        <v/>
      </c>
      <c r="G15062" s="51"/>
      <c r="H15062" s="46" t="str">
        <f>IF(AND(I.Developer.P3=TRUE,I.Facility.P3FacilityCount&gt;=50,F15062=""),"Incomplete","Complete")</f>
        <v>Complete</v>
      </c>
      <c r="I15062" s="48" t="s">
        <v>19427</v>
      </c>
    </row>
    <row r="15063" spans="2:9" ht="15" customHeight="1" x14ac:dyDescent="0.25">
      <c r="B15063" s="55" t="s">
        <v>282</v>
      </c>
      <c r="C15063" s="46">
        <v>51</v>
      </c>
      <c r="D15063" s="69" t="s">
        <v>29419</v>
      </c>
      <c r="E15063" s="51"/>
      <c r="F15063" s="114" t="str">
        <f>IF(INDEX(I.Facility.P3IDNumber,51)="","",INDEX(I.Facility.P3IDNumber,51))</f>
        <v/>
      </c>
      <c r="G15063" s="51"/>
      <c r="H15063" s="46" t="str">
        <f>IF(AND(I.Developer.P3=TRUE,I.Facility.P3FacilityCount&gt;=51,F15063=""),"Incomplete","Complete")</f>
        <v>Complete</v>
      </c>
      <c r="I15063" s="48" t="s">
        <v>19428</v>
      </c>
    </row>
    <row r="15064" spans="2:9" ht="15" customHeight="1" x14ac:dyDescent="0.25">
      <c r="B15064" s="55" t="s">
        <v>282</v>
      </c>
      <c r="C15064" s="46">
        <v>52</v>
      </c>
      <c r="D15064" s="69" t="s">
        <v>29419</v>
      </c>
      <c r="E15064" s="51"/>
      <c r="F15064" s="114" t="str">
        <f>IF(INDEX(I.Facility.P3IDNumber,52)="","",INDEX(I.Facility.P3IDNumber,52))</f>
        <v/>
      </c>
      <c r="G15064" s="51"/>
      <c r="H15064" s="46" t="str">
        <f>IF(AND(I.Developer.P3=TRUE,I.Facility.P3FacilityCount&gt;=52,F15064=""),"Incomplete","Complete")</f>
        <v>Complete</v>
      </c>
      <c r="I15064" s="48" t="s">
        <v>19429</v>
      </c>
    </row>
    <row r="15065" spans="2:9" ht="15" customHeight="1" x14ac:dyDescent="0.25">
      <c r="B15065" s="55" t="s">
        <v>282</v>
      </c>
      <c r="C15065" s="46">
        <v>53</v>
      </c>
      <c r="D15065" s="69" t="s">
        <v>29419</v>
      </c>
      <c r="E15065" s="51"/>
      <c r="F15065" s="114" t="str">
        <f>IF(INDEX(I.Facility.P3IDNumber,53)="","",INDEX(I.Facility.P3IDNumber,53))</f>
        <v/>
      </c>
      <c r="G15065" s="51"/>
      <c r="H15065" s="46" t="str">
        <f>IF(AND(I.Developer.P3=TRUE,I.Facility.P3FacilityCount&gt;=53,F15065=""),"Incomplete","Complete")</f>
        <v>Complete</v>
      </c>
      <c r="I15065" s="48" t="s">
        <v>19430</v>
      </c>
    </row>
    <row r="15066" spans="2:9" ht="15" customHeight="1" x14ac:dyDescent="0.25">
      <c r="B15066" s="55" t="s">
        <v>282</v>
      </c>
      <c r="C15066" s="46">
        <v>54</v>
      </c>
      <c r="D15066" s="69" t="s">
        <v>29419</v>
      </c>
      <c r="E15066" s="51"/>
      <c r="F15066" s="114" t="str">
        <f>IF(INDEX(I.Facility.P3IDNumber,54)="","",INDEX(I.Facility.P3IDNumber,54))</f>
        <v/>
      </c>
      <c r="G15066" s="51"/>
      <c r="H15066" s="46" t="str">
        <f>IF(AND(I.Developer.P3=TRUE,I.Facility.P3FacilityCount&gt;=54,F15066=""),"Incomplete","Complete")</f>
        <v>Complete</v>
      </c>
      <c r="I15066" s="48" t="s">
        <v>19431</v>
      </c>
    </row>
    <row r="15067" spans="2:9" ht="15" customHeight="1" x14ac:dyDescent="0.25">
      <c r="B15067" s="55" t="s">
        <v>282</v>
      </c>
      <c r="C15067" s="46">
        <v>55</v>
      </c>
      <c r="D15067" s="69" t="s">
        <v>29419</v>
      </c>
      <c r="E15067" s="51"/>
      <c r="F15067" s="114" t="str">
        <f>IF(INDEX(I.Facility.P3IDNumber,55)="","",INDEX(I.Facility.P3IDNumber,55))</f>
        <v/>
      </c>
      <c r="G15067" s="51"/>
      <c r="H15067" s="46" t="str">
        <f>IF(AND(I.Developer.P3=TRUE,I.Facility.P3FacilityCount&gt;=55,F15067=""),"Incomplete","Complete")</f>
        <v>Complete</v>
      </c>
      <c r="I15067" s="48" t="s">
        <v>19432</v>
      </c>
    </row>
    <row r="15068" spans="2:9" ht="15" customHeight="1" x14ac:dyDescent="0.25">
      <c r="B15068" s="55" t="s">
        <v>282</v>
      </c>
      <c r="C15068" s="46">
        <v>56</v>
      </c>
      <c r="D15068" s="69" t="s">
        <v>29419</v>
      </c>
      <c r="E15068" s="51"/>
      <c r="F15068" s="114" t="str">
        <f>IF(INDEX(I.Facility.P3IDNumber,56)="","",INDEX(I.Facility.P3IDNumber,56))</f>
        <v/>
      </c>
      <c r="G15068" s="51"/>
      <c r="H15068" s="46" t="str">
        <f>IF(AND(I.Developer.P3=TRUE,I.Facility.P3FacilityCount&gt;=56,F15068=""),"Incomplete","Complete")</f>
        <v>Complete</v>
      </c>
      <c r="I15068" s="48" t="s">
        <v>19433</v>
      </c>
    </row>
    <row r="15069" spans="2:9" ht="15" customHeight="1" x14ac:dyDescent="0.25">
      <c r="B15069" s="55" t="s">
        <v>282</v>
      </c>
      <c r="C15069" s="46">
        <v>57</v>
      </c>
      <c r="D15069" s="69" t="s">
        <v>29419</v>
      </c>
      <c r="E15069" s="51"/>
      <c r="F15069" s="114" t="str">
        <f>IF(INDEX(I.Facility.P3IDNumber,57)="","",INDEX(I.Facility.P3IDNumber,57))</f>
        <v/>
      </c>
      <c r="G15069" s="51"/>
      <c r="H15069" s="46" t="str">
        <f>IF(AND(I.Developer.P3=TRUE,I.Facility.P3FacilityCount&gt;=57,F15069=""),"Incomplete","Complete")</f>
        <v>Complete</v>
      </c>
      <c r="I15069" s="48" t="s">
        <v>19434</v>
      </c>
    </row>
    <row r="15070" spans="2:9" ht="15" customHeight="1" x14ac:dyDescent="0.25">
      <c r="B15070" s="55" t="s">
        <v>282</v>
      </c>
      <c r="C15070" s="46">
        <v>58</v>
      </c>
      <c r="D15070" s="69" t="s">
        <v>29419</v>
      </c>
      <c r="E15070" s="51"/>
      <c r="F15070" s="114" t="str">
        <f>IF(INDEX(I.Facility.P3IDNumber,58)="","",INDEX(I.Facility.P3IDNumber,58))</f>
        <v/>
      </c>
      <c r="G15070" s="51"/>
      <c r="H15070" s="46" t="str">
        <f>IF(AND(I.Developer.P3=TRUE,I.Facility.P3FacilityCount&gt;=58,F15070=""),"Incomplete","Complete")</f>
        <v>Complete</v>
      </c>
      <c r="I15070" s="48" t="s">
        <v>19435</v>
      </c>
    </row>
    <row r="15071" spans="2:9" ht="15" customHeight="1" x14ac:dyDescent="0.25">
      <c r="B15071" s="55" t="s">
        <v>282</v>
      </c>
      <c r="C15071" s="46">
        <v>59</v>
      </c>
      <c r="D15071" s="69" t="s">
        <v>29419</v>
      </c>
      <c r="E15071" s="51"/>
      <c r="F15071" s="114" t="str">
        <f>IF(INDEX(I.Facility.P3IDNumber,59)="","",INDEX(I.Facility.P3IDNumber,59))</f>
        <v/>
      </c>
      <c r="G15071" s="51"/>
      <c r="H15071" s="46" t="str">
        <f>IF(AND(I.Developer.P3=TRUE,I.Facility.P3FacilityCount&gt;=59,F15071=""),"Incomplete","Complete")</f>
        <v>Complete</v>
      </c>
      <c r="I15071" s="48" t="s">
        <v>19436</v>
      </c>
    </row>
    <row r="15072" spans="2:9" ht="15" customHeight="1" x14ac:dyDescent="0.25">
      <c r="B15072" s="55" t="s">
        <v>282</v>
      </c>
      <c r="C15072" s="46">
        <v>60</v>
      </c>
      <c r="D15072" s="69" t="s">
        <v>29419</v>
      </c>
      <c r="E15072" s="51"/>
      <c r="F15072" s="114" t="str">
        <f>IF(INDEX(I.Facility.P3IDNumber,60)="","",INDEX(I.Facility.P3IDNumber,60))</f>
        <v/>
      </c>
      <c r="G15072" s="51"/>
      <c r="H15072" s="46" t="str">
        <f>IF(AND(I.Developer.P3=TRUE,I.Facility.P3FacilityCount&gt;=60,F15072=""),"Incomplete","Complete")</f>
        <v>Complete</v>
      </c>
      <c r="I15072" s="48" t="s">
        <v>19437</v>
      </c>
    </row>
    <row r="15073" spans="2:9" ht="15" customHeight="1" x14ac:dyDescent="0.25">
      <c r="B15073" s="55" t="s">
        <v>282</v>
      </c>
      <c r="C15073" s="46">
        <v>61</v>
      </c>
      <c r="D15073" s="69" t="s">
        <v>29419</v>
      </c>
      <c r="E15073" s="51"/>
      <c r="F15073" s="114" t="str">
        <f>IF(INDEX(I.Facility.P3IDNumber,61)="","",INDEX(I.Facility.P3IDNumber,61))</f>
        <v/>
      </c>
      <c r="G15073" s="51"/>
      <c r="H15073" s="46" t="str">
        <f>IF(AND(I.Developer.P3=TRUE,I.Facility.P3FacilityCount&gt;=61,F15073=""),"Incomplete","Complete")</f>
        <v>Complete</v>
      </c>
      <c r="I15073" s="48" t="s">
        <v>19438</v>
      </c>
    </row>
    <row r="15074" spans="2:9" ht="15" customHeight="1" x14ac:dyDescent="0.25">
      <c r="B15074" s="55" t="s">
        <v>282</v>
      </c>
      <c r="C15074" s="46">
        <v>62</v>
      </c>
      <c r="D15074" s="69" t="s">
        <v>29419</v>
      </c>
      <c r="E15074" s="51"/>
      <c r="F15074" s="114" t="str">
        <f>IF(INDEX(I.Facility.P3IDNumber,62)="","",INDEX(I.Facility.P3IDNumber,62))</f>
        <v/>
      </c>
      <c r="G15074" s="51"/>
      <c r="H15074" s="46" t="str">
        <f>IF(AND(I.Developer.P3=TRUE,I.Facility.P3FacilityCount&gt;=62,F15074=""),"Incomplete","Complete")</f>
        <v>Complete</v>
      </c>
      <c r="I15074" s="48" t="s">
        <v>19439</v>
      </c>
    </row>
    <row r="15075" spans="2:9" ht="15" customHeight="1" x14ac:dyDescent="0.25">
      <c r="B15075" s="55" t="s">
        <v>282</v>
      </c>
      <c r="C15075" s="46">
        <v>63</v>
      </c>
      <c r="D15075" s="69" t="s">
        <v>29419</v>
      </c>
      <c r="E15075" s="51"/>
      <c r="F15075" s="114" t="str">
        <f>IF(INDEX(I.Facility.P3IDNumber,63)="","",INDEX(I.Facility.P3IDNumber,63))</f>
        <v/>
      </c>
      <c r="G15075" s="51"/>
      <c r="H15075" s="46" t="str">
        <f>IF(AND(I.Developer.P3=TRUE,I.Facility.P3FacilityCount&gt;=63,F15075=""),"Incomplete","Complete")</f>
        <v>Complete</v>
      </c>
      <c r="I15075" s="48" t="s">
        <v>19440</v>
      </c>
    </row>
    <row r="15076" spans="2:9" ht="15" customHeight="1" x14ac:dyDescent="0.25">
      <c r="B15076" s="55" t="s">
        <v>282</v>
      </c>
      <c r="C15076" s="46">
        <v>64</v>
      </c>
      <c r="D15076" s="69" t="s">
        <v>29419</v>
      </c>
      <c r="E15076" s="51"/>
      <c r="F15076" s="114" t="str">
        <f>IF(INDEX(I.Facility.P3IDNumber,64)="","",INDEX(I.Facility.P3IDNumber,64))</f>
        <v/>
      </c>
      <c r="G15076" s="51"/>
      <c r="H15076" s="46" t="str">
        <f>IF(AND(I.Developer.P3=TRUE,I.Facility.P3FacilityCount&gt;=64,F15076=""),"Incomplete","Complete")</f>
        <v>Complete</v>
      </c>
      <c r="I15076" s="48" t="s">
        <v>19441</v>
      </c>
    </row>
    <row r="15077" spans="2:9" ht="15" customHeight="1" x14ac:dyDescent="0.25">
      <c r="B15077" s="55" t="s">
        <v>282</v>
      </c>
      <c r="C15077" s="46">
        <v>65</v>
      </c>
      <c r="D15077" s="69" t="s">
        <v>29419</v>
      </c>
      <c r="E15077" s="51"/>
      <c r="F15077" s="114" t="str">
        <f>IF(INDEX(I.Facility.P3IDNumber,65)="","",INDEX(I.Facility.P3IDNumber,65))</f>
        <v/>
      </c>
      <c r="G15077" s="51"/>
      <c r="H15077" s="46" t="str">
        <f>IF(AND(I.Developer.P3=TRUE,I.Facility.P3FacilityCount&gt;=65,F15077=""),"Incomplete","Complete")</f>
        <v>Complete</v>
      </c>
      <c r="I15077" s="48" t="s">
        <v>19442</v>
      </c>
    </row>
    <row r="15078" spans="2:9" ht="15" customHeight="1" x14ac:dyDescent="0.25">
      <c r="B15078" s="55" t="s">
        <v>282</v>
      </c>
      <c r="C15078" s="46">
        <v>66</v>
      </c>
      <c r="D15078" s="69" t="s">
        <v>29419</v>
      </c>
      <c r="E15078" s="51"/>
      <c r="F15078" s="114" t="str">
        <f>IF(INDEX(I.Facility.P3IDNumber,66)="","",INDEX(I.Facility.P3IDNumber,66))</f>
        <v/>
      </c>
      <c r="G15078" s="51"/>
      <c r="H15078" s="46" t="str">
        <f>IF(AND(I.Developer.P3=TRUE,I.Facility.P3FacilityCount&gt;=66,F15078=""),"Incomplete","Complete")</f>
        <v>Complete</v>
      </c>
      <c r="I15078" s="48" t="s">
        <v>19443</v>
      </c>
    </row>
    <row r="15079" spans="2:9" ht="15" customHeight="1" x14ac:dyDescent="0.25">
      <c r="B15079" s="55" t="s">
        <v>282</v>
      </c>
      <c r="C15079" s="46">
        <v>67</v>
      </c>
      <c r="D15079" s="69" t="s">
        <v>29419</v>
      </c>
      <c r="E15079" s="51"/>
      <c r="F15079" s="114" t="str">
        <f>IF(INDEX(I.Facility.P3IDNumber,67)="","",INDEX(I.Facility.P3IDNumber,67))</f>
        <v/>
      </c>
      <c r="G15079" s="51"/>
      <c r="H15079" s="46" t="str">
        <f>IF(AND(I.Developer.P3=TRUE,I.Facility.P3FacilityCount&gt;=67,F15079=""),"Incomplete","Complete")</f>
        <v>Complete</v>
      </c>
      <c r="I15079" s="48" t="s">
        <v>19444</v>
      </c>
    </row>
    <row r="15080" spans="2:9" ht="15" customHeight="1" x14ac:dyDescent="0.25">
      <c r="B15080" s="55" t="s">
        <v>282</v>
      </c>
      <c r="C15080" s="46">
        <v>68</v>
      </c>
      <c r="D15080" s="69" t="s">
        <v>29419</v>
      </c>
      <c r="E15080" s="51"/>
      <c r="F15080" s="114" t="str">
        <f>IF(INDEX(I.Facility.P3IDNumber,68)="","",INDEX(I.Facility.P3IDNumber,68))</f>
        <v/>
      </c>
      <c r="G15080" s="51"/>
      <c r="H15080" s="46" t="str">
        <f>IF(AND(I.Developer.P3=TRUE,I.Facility.P3FacilityCount&gt;=68,F15080=""),"Incomplete","Complete")</f>
        <v>Complete</v>
      </c>
      <c r="I15080" s="48" t="s">
        <v>19445</v>
      </c>
    </row>
    <row r="15081" spans="2:9" ht="15" customHeight="1" x14ac:dyDescent="0.25">
      <c r="B15081" s="55" t="s">
        <v>282</v>
      </c>
      <c r="C15081" s="46">
        <v>69</v>
      </c>
      <c r="D15081" s="69" t="s">
        <v>29419</v>
      </c>
      <c r="E15081" s="51"/>
      <c r="F15081" s="114" t="str">
        <f>IF(INDEX(I.Facility.P3IDNumber,69)="","",INDEX(I.Facility.P3IDNumber,69))</f>
        <v/>
      </c>
      <c r="G15081" s="51"/>
      <c r="H15081" s="46" t="str">
        <f>IF(AND(I.Developer.P3=TRUE,I.Facility.P3FacilityCount&gt;=69,F15081=""),"Incomplete","Complete")</f>
        <v>Complete</v>
      </c>
      <c r="I15081" s="48" t="s">
        <v>19446</v>
      </c>
    </row>
    <row r="15082" spans="2:9" ht="15" customHeight="1" x14ac:dyDescent="0.25">
      <c r="B15082" s="55" t="s">
        <v>282</v>
      </c>
      <c r="C15082" s="46">
        <v>70</v>
      </c>
      <c r="D15082" s="69" t="s">
        <v>29419</v>
      </c>
      <c r="E15082" s="51"/>
      <c r="F15082" s="114" t="str">
        <f>IF(INDEX(I.Facility.P3IDNumber,70)="","",INDEX(I.Facility.P3IDNumber,70))</f>
        <v/>
      </c>
      <c r="G15082" s="51"/>
      <c r="H15082" s="46" t="str">
        <f>IF(AND(I.Developer.P3=TRUE,I.Facility.P3FacilityCount&gt;=70,F15082=""),"Incomplete","Complete")</f>
        <v>Complete</v>
      </c>
      <c r="I15082" s="48" t="s">
        <v>19447</v>
      </c>
    </row>
    <row r="15083" spans="2:9" ht="15" customHeight="1" x14ac:dyDescent="0.25">
      <c r="B15083" s="55" t="s">
        <v>282</v>
      </c>
      <c r="C15083" s="46">
        <v>71</v>
      </c>
      <c r="D15083" s="69" t="s">
        <v>29419</v>
      </c>
      <c r="E15083" s="51"/>
      <c r="F15083" s="114" t="str">
        <f>IF(INDEX(I.Facility.P3IDNumber,71)="","",INDEX(I.Facility.P3IDNumber,71))</f>
        <v/>
      </c>
      <c r="G15083" s="51"/>
      <c r="H15083" s="46" t="str">
        <f>IF(AND(I.Developer.P3=TRUE,I.Facility.P3FacilityCount&gt;=71,F15083=""),"Incomplete","Complete")</f>
        <v>Complete</v>
      </c>
      <c r="I15083" s="48" t="s">
        <v>19448</v>
      </c>
    </row>
    <row r="15084" spans="2:9" ht="15" customHeight="1" x14ac:dyDescent="0.25">
      <c r="B15084" s="55" t="s">
        <v>282</v>
      </c>
      <c r="C15084" s="46">
        <v>72</v>
      </c>
      <c r="D15084" s="69" t="s">
        <v>29419</v>
      </c>
      <c r="E15084" s="51"/>
      <c r="F15084" s="114" t="str">
        <f>IF(INDEX(I.Facility.P3IDNumber,72)="","",INDEX(I.Facility.P3IDNumber,72))</f>
        <v/>
      </c>
      <c r="G15084" s="51"/>
      <c r="H15084" s="46" t="str">
        <f>IF(AND(I.Developer.P3=TRUE,I.Facility.P3FacilityCount&gt;=72,F15084=""),"Incomplete","Complete")</f>
        <v>Complete</v>
      </c>
      <c r="I15084" s="48" t="s">
        <v>19449</v>
      </c>
    </row>
    <row r="15085" spans="2:9" ht="15" customHeight="1" x14ac:dyDescent="0.25">
      <c r="B15085" s="55" t="s">
        <v>282</v>
      </c>
      <c r="C15085" s="46">
        <v>73</v>
      </c>
      <c r="D15085" s="69" t="s">
        <v>29419</v>
      </c>
      <c r="E15085" s="51"/>
      <c r="F15085" s="114" t="str">
        <f>IF(INDEX(I.Facility.P3IDNumber,73)="","",INDEX(I.Facility.P3IDNumber,73))</f>
        <v/>
      </c>
      <c r="G15085" s="51"/>
      <c r="H15085" s="46" t="str">
        <f>IF(AND(I.Developer.P3=TRUE,I.Facility.P3FacilityCount&gt;=73,F15085=""),"Incomplete","Complete")</f>
        <v>Complete</v>
      </c>
      <c r="I15085" s="48" t="s">
        <v>19450</v>
      </c>
    </row>
    <row r="15086" spans="2:9" ht="15" customHeight="1" x14ac:dyDescent="0.25">
      <c r="B15086" s="55" t="s">
        <v>282</v>
      </c>
      <c r="C15086" s="46">
        <v>74</v>
      </c>
      <c r="D15086" s="69" t="s">
        <v>29419</v>
      </c>
      <c r="E15086" s="51"/>
      <c r="F15086" s="114" t="str">
        <f>IF(INDEX(I.Facility.P3IDNumber,74)="","",INDEX(I.Facility.P3IDNumber,74))</f>
        <v/>
      </c>
      <c r="G15086" s="51"/>
      <c r="H15086" s="46" t="str">
        <f>IF(AND(I.Developer.P3=TRUE,I.Facility.P3FacilityCount&gt;=74,F15086=""),"Incomplete","Complete")</f>
        <v>Complete</v>
      </c>
      <c r="I15086" s="48" t="s">
        <v>19451</v>
      </c>
    </row>
    <row r="15087" spans="2:9" ht="15" customHeight="1" x14ac:dyDescent="0.25">
      <c r="B15087" s="55" t="s">
        <v>282</v>
      </c>
      <c r="C15087" s="46">
        <v>75</v>
      </c>
      <c r="D15087" s="69" t="s">
        <v>29419</v>
      </c>
      <c r="E15087" s="51"/>
      <c r="F15087" s="114" t="str">
        <f>IF(INDEX(I.Facility.P3IDNumber,75)="","",INDEX(I.Facility.P3IDNumber,75))</f>
        <v/>
      </c>
      <c r="G15087" s="51"/>
      <c r="H15087" s="46" t="str">
        <f>IF(AND(I.Developer.P3=TRUE,I.Facility.P3FacilityCount&gt;=75,F15087=""),"Incomplete","Complete")</f>
        <v>Complete</v>
      </c>
      <c r="I15087" s="48" t="s">
        <v>19452</v>
      </c>
    </row>
    <row r="15088" spans="2:9" ht="15" customHeight="1" x14ac:dyDescent="0.25">
      <c r="B15088" s="55" t="s">
        <v>282</v>
      </c>
      <c r="C15088" s="46">
        <v>76</v>
      </c>
      <c r="D15088" s="69" t="s">
        <v>29419</v>
      </c>
      <c r="E15088" s="51"/>
      <c r="F15088" s="114" t="str">
        <f>IF(INDEX(I.Facility.P3IDNumber,76)="","",INDEX(I.Facility.P3IDNumber,76))</f>
        <v/>
      </c>
      <c r="G15088" s="51"/>
      <c r="H15088" s="46" t="str">
        <f>IF(AND(I.Developer.P3=TRUE,I.Facility.P3FacilityCount&gt;=76,F15088=""),"Incomplete","Complete")</f>
        <v>Complete</v>
      </c>
      <c r="I15088" s="48" t="s">
        <v>19453</v>
      </c>
    </row>
    <row r="15089" spans="2:9" ht="15" customHeight="1" x14ac:dyDescent="0.25">
      <c r="B15089" s="55" t="s">
        <v>282</v>
      </c>
      <c r="C15089" s="46">
        <v>77</v>
      </c>
      <c r="D15089" s="69" t="s">
        <v>29419</v>
      </c>
      <c r="E15089" s="51"/>
      <c r="F15089" s="114" t="str">
        <f>IF(INDEX(I.Facility.P3IDNumber,77)="","",INDEX(I.Facility.P3IDNumber,77))</f>
        <v/>
      </c>
      <c r="G15089" s="51"/>
      <c r="H15089" s="46" t="str">
        <f>IF(AND(I.Developer.P3=TRUE,I.Facility.P3FacilityCount&gt;=77,F15089=""),"Incomplete","Complete")</f>
        <v>Complete</v>
      </c>
      <c r="I15089" s="48" t="s">
        <v>19454</v>
      </c>
    </row>
    <row r="15090" spans="2:9" ht="15" customHeight="1" x14ac:dyDescent="0.25">
      <c r="B15090" s="55" t="s">
        <v>282</v>
      </c>
      <c r="C15090" s="46">
        <v>78</v>
      </c>
      <c r="D15090" s="69" t="s">
        <v>29419</v>
      </c>
      <c r="E15090" s="51"/>
      <c r="F15090" s="114" t="str">
        <f>IF(INDEX(I.Facility.P3IDNumber,78)="","",INDEX(I.Facility.P3IDNumber,78))</f>
        <v/>
      </c>
      <c r="G15090" s="51"/>
      <c r="H15090" s="46" t="str">
        <f>IF(AND(I.Developer.P3=TRUE,I.Facility.P3FacilityCount&gt;=78,F15090=""),"Incomplete","Complete")</f>
        <v>Complete</v>
      </c>
      <c r="I15090" s="48" t="s">
        <v>19455</v>
      </c>
    </row>
    <row r="15091" spans="2:9" ht="15" customHeight="1" x14ac:dyDescent="0.25">
      <c r="B15091" s="55" t="s">
        <v>282</v>
      </c>
      <c r="C15091" s="46">
        <v>79</v>
      </c>
      <c r="D15091" s="69" t="s">
        <v>29419</v>
      </c>
      <c r="E15091" s="51"/>
      <c r="F15091" s="114" t="str">
        <f>IF(INDEX(I.Facility.P3IDNumber,79)="","",INDEX(I.Facility.P3IDNumber,79))</f>
        <v/>
      </c>
      <c r="G15091" s="51"/>
      <c r="H15091" s="46" t="str">
        <f>IF(AND(I.Developer.P3=TRUE,I.Facility.P3FacilityCount&gt;=79,F15091=""),"Incomplete","Complete")</f>
        <v>Complete</v>
      </c>
      <c r="I15091" s="48" t="s">
        <v>19456</v>
      </c>
    </row>
    <row r="15092" spans="2:9" ht="15" customHeight="1" x14ac:dyDescent="0.25">
      <c r="B15092" s="55" t="s">
        <v>282</v>
      </c>
      <c r="C15092" s="46">
        <v>80</v>
      </c>
      <c r="D15092" s="69" t="s">
        <v>29419</v>
      </c>
      <c r="E15092" s="51"/>
      <c r="F15092" s="114" t="str">
        <f>IF(INDEX(I.Facility.P3IDNumber,80)="","",INDEX(I.Facility.P3IDNumber,80))</f>
        <v/>
      </c>
      <c r="G15092" s="51"/>
      <c r="H15092" s="46" t="str">
        <f>IF(AND(I.Developer.P3=TRUE,I.Facility.P3FacilityCount&gt;=80,F15092=""),"Incomplete","Complete")</f>
        <v>Complete</v>
      </c>
      <c r="I15092" s="48" t="s">
        <v>19457</v>
      </c>
    </row>
    <row r="15093" spans="2:9" ht="15" customHeight="1" x14ac:dyDescent="0.25">
      <c r="B15093" s="55" t="s">
        <v>282</v>
      </c>
      <c r="C15093" s="46">
        <v>81</v>
      </c>
      <c r="D15093" s="69" t="s">
        <v>29419</v>
      </c>
      <c r="E15093" s="51"/>
      <c r="F15093" s="114" t="str">
        <f>IF(INDEX(I.Facility.P3IDNumber,81)="","",INDEX(I.Facility.P3IDNumber,81))</f>
        <v/>
      </c>
      <c r="G15093" s="51"/>
      <c r="H15093" s="46" t="str">
        <f>IF(AND(I.Developer.P3=TRUE,I.Facility.P3FacilityCount&gt;=81,F15093=""),"Incomplete","Complete")</f>
        <v>Complete</v>
      </c>
      <c r="I15093" s="48" t="s">
        <v>19458</v>
      </c>
    </row>
    <row r="15094" spans="2:9" ht="15" customHeight="1" x14ac:dyDescent="0.25">
      <c r="B15094" s="55" t="s">
        <v>282</v>
      </c>
      <c r="C15094" s="46">
        <v>82</v>
      </c>
      <c r="D15094" s="69" t="s">
        <v>29419</v>
      </c>
      <c r="E15094" s="51"/>
      <c r="F15094" s="114" t="str">
        <f>IF(INDEX(I.Facility.P3IDNumber,82)="","",INDEX(I.Facility.P3IDNumber,82))</f>
        <v/>
      </c>
      <c r="G15094" s="51"/>
      <c r="H15094" s="46" t="str">
        <f>IF(AND(I.Developer.P3=TRUE,I.Facility.P3FacilityCount&gt;=82,F15094=""),"Incomplete","Complete")</f>
        <v>Complete</v>
      </c>
      <c r="I15094" s="48" t="s">
        <v>19459</v>
      </c>
    </row>
    <row r="15095" spans="2:9" ht="15" customHeight="1" x14ac:dyDescent="0.25">
      <c r="B15095" s="55" t="s">
        <v>282</v>
      </c>
      <c r="C15095" s="46">
        <v>83</v>
      </c>
      <c r="D15095" s="69" t="s">
        <v>29419</v>
      </c>
      <c r="E15095" s="51"/>
      <c r="F15095" s="114" t="str">
        <f>IF(INDEX(I.Facility.P3IDNumber,83)="","",INDEX(I.Facility.P3IDNumber,83))</f>
        <v/>
      </c>
      <c r="G15095" s="51"/>
      <c r="H15095" s="46" t="str">
        <f>IF(AND(I.Developer.P3=TRUE,I.Facility.P3FacilityCount&gt;=83,F15095=""),"Incomplete","Complete")</f>
        <v>Complete</v>
      </c>
      <c r="I15095" s="48" t="s">
        <v>19460</v>
      </c>
    </row>
    <row r="15096" spans="2:9" ht="15" customHeight="1" x14ac:dyDescent="0.25">
      <c r="B15096" s="55" t="s">
        <v>282</v>
      </c>
      <c r="C15096" s="46">
        <v>84</v>
      </c>
      <c r="D15096" s="69" t="s">
        <v>29419</v>
      </c>
      <c r="E15096" s="51"/>
      <c r="F15096" s="114" t="str">
        <f>IF(INDEX(I.Facility.P3IDNumber,84)="","",INDEX(I.Facility.P3IDNumber,84))</f>
        <v/>
      </c>
      <c r="G15096" s="51"/>
      <c r="H15096" s="46" t="str">
        <f>IF(AND(I.Developer.P3=TRUE,I.Facility.P3FacilityCount&gt;=84,F15096=""),"Incomplete","Complete")</f>
        <v>Complete</v>
      </c>
      <c r="I15096" s="48" t="s">
        <v>19461</v>
      </c>
    </row>
    <row r="15097" spans="2:9" ht="15" customHeight="1" x14ac:dyDescent="0.25">
      <c r="B15097" s="55" t="s">
        <v>282</v>
      </c>
      <c r="C15097" s="46">
        <v>85</v>
      </c>
      <c r="D15097" s="69" t="s">
        <v>29419</v>
      </c>
      <c r="E15097" s="51"/>
      <c r="F15097" s="114" t="str">
        <f>IF(INDEX(I.Facility.P3IDNumber,85)="","",INDEX(I.Facility.P3IDNumber,85))</f>
        <v/>
      </c>
      <c r="G15097" s="51"/>
      <c r="H15097" s="46" t="str">
        <f>IF(AND(I.Developer.P3=TRUE,I.Facility.P3FacilityCount&gt;=85,F15097=""),"Incomplete","Complete")</f>
        <v>Complete</v>
      </c>
      <c r="I15097" s="48" t="s">
        <v>19462</v>
      </c>
    </row>
    <row r="15098" spans="2:9" ht="15" customHeight="1" x14ac:dyDescent="0.25">
      <c r="B15098" s="55" t="s">
        <v>282</v>
      </c>
      <c r="C15098" s="46">
        <v>86</v>
      </c>
      <c r="D15098" s="69" t="s">
        <v>29419</v>
      </c>
      <c r="E15098" s="51"/>
      <c r="F15098" s="114" t="str">
        <f>IF(INDEX(I.Facility.P3IDNumber,86)="","",INDEX(I.Facility.P3IDNumber,86))</f>
        <v/>
      </c>
      <c r="G15098" s="51"/>
      <c r="H15098" s="46" t="str">
        <f>IF(AND(I.Developer.P3=TRUE,I.Facility.P3FacilityCount&gt;=86,F15098=""),"Incomplete","Complete")</f>
        <v>Complete</v>
      </c>
      <c r="I15098" s="48" t="s">
        <v>19463</v>
      </c>
    </row>
    <row r="15099" spans="2:9" ht="15" customHeight="1" x14ac:dyDescent="0.25">
      <c r="B15099" s="55" t="s">
        <v>282</v>
      </c>
      <c r="C15099" s="46">
        <v>87</v>
      </c>
      <c r="D15099" s="69" t="s">
        <v>29419</v>
      </c>
      <c r="E15099" s="51"/>
      <c r="F15099" s="114" t="str">
        <f>IF(INDEX(I.Facility.P3IDNumber,87)="","",INDEX(I.Facility.P3IDNumber,87))</f>
        <v/>
      </c>
      <c r="G15099" s="51"/>
      <c r="H15099" s="46" t="str">
        <f>IF(AND(I.Developer.P3=TRUE,I.Facility.P3FacilityCount&gt;=87,F15099=""),"Incomplete","Complete")</f>
        <v>Complete</v>
      </c>
      <c r="I15099" s="48" t="s">
        <v>19464</v>
      </c>
    </row>
    <row r="15100" spans="2:9" ht="15" customHeight="1" x14ac:dyDescent="0.25">
      <c r="B15100" s="55" t="s">
        <v>282</v>
      </c>
      <c r="C15100" s="46">
        <v>88</v>
      </c>
      <c r="D15100" s="69" t="s">
        <v>29419</v>
      </c>
      <c r="E15100" s="51"/>
      <c r="F15100" s="114" t="str">
        <f>IF(INDEX(I.Facility.P3IDNumber,88)="","",INDEX(I.Facility.P3IDNumber,88))</f>
        <v/>
      </c>
      <c r="G15100" s="51"/>
      <c r="H15100" s="46" t="str">
        <f>IF(AND(I.Developer.P3=TRUE,I.Facility.P3FacilityCount&gt;=88,F15100=""),"Incomplete","Complete")</f>
        <v>Complete</v>
      </c>
      <c r="I15100" s="48" t="s">
        <v>19465</v>
      </c>
    </row>
    <row r="15101" spans="2:9" ht="15" customHeight="1" x14ac:dyDescent="0.25">
      <c r="B15101" s="55" t="s">
        <v>282</v>
      </c>
      <c r="C15101" s="46">
        <v>89</v>
      </c>
      <c r="D15101" s="69" t="s">
        <v>29419</v>
      </c>
      <c r="E15101" s="51"/>
      <c r="F15101" s="114" t="str">
        <f>IF(INDEX(I.Facility.P3IDNumber,89)="","",INDEX(I.Facility.P3IDNumber,89))</f>
        <v/>
      </c>
      <c r="G15101" s="51"/>
      <c r="H15101" s="46" t="str">
        <f>IF(AND(I.Developer.P3=TRUE,I.Facility.P3FacilityCount&gt;=89,F15101=""),"Incomplete","Complete")</f>
        <v>Complete</v>
      </c>
      <c r="I15101" s="48" t="s">
        <v>19466</v>
      </c>
    </row>
    <row r="15102" spans="2:9" ht="15" customHeight="1" x14ac:dyDescent="0.25">
      <c r="B15102" s="55" t="s">
        <v>282</v>
      </c>
      <c r="C15102" s="46">
        <v>90</v>
      </c>
      <c r="D15102" s="69" t="s">
        <v>29419</v>
      </c>
      <c r="E15102" s="51"/>
      <c r="F15102" s="114" t="str">
        <f>IF(INDEX(I.Facility.P3IDNumber,90)="","",INDEX(I.Facility.P3IDNumber,90))</f>
        <v/>
      </c>
      <c r="G15102" s="51"/>
      <c r="H15102" s="46" t="str">
        <f>IF(AND(I.Developer.P3=TRUE,I.Facility.P3FacilityCount&gt;=90,F15102=""),"Incomplete","Complete")</f>
        <v>Complete</v>
      </c>
      <c r="I15102" s="48" t="s">
        <v>19467</v>
      </c>
    </row>
    <row r="15103" spans="2:9" ht="15" customHeight="1" x14ac:dyDescent="0.25">
      <c r="B15103" s="55" t="s">
        <v>282</v>
      </c>
      <c r="C15103" s="46">
        <v>91</v>
      </c>
      <c r="D15103" s="69" t="s">
        <v>29419</v>
      </c>
      <c r="E15103" s="51"/>
      <c r="F15103" s="114" t="str">
        <f>IF(INDEX(I.Facility.P3IDNumber,91)="","",INDEX(I.Facility.P3IDNumber,91))</f>
        <v/>
      </c>
      <c r="G15103" s="51"/>
      <c r="H15103" s="46" t="str">
        <f>IF(AND(I.Developer.P3=TRUE,I.Facility.P3FacilityCount&gt;=91,F15103=""),"Incomplete","Complete")</f>
        <v>Complete</v>
      </c>
      <c r="I15103" s="48" t="s">
        <v>19468</v>
      </c>
    </row>
    <row r="15104" spans="2:9" ht="15" customHeight="1" x14ac:dyDescent="0.25">
      <c r="B15104" s="55" t="s">
        <v>282</v>
      </c>
      <c r="C15104" s="46">
        <v>92</v>
      </c>
      <c r="D15104" s="69" t="s">
        <v>29419</v>
      </c>
      <c r="E15104" s="51"/>
      <c r="F15104" s="114" t="str">
        <f>IF(INDEX(I.Facility.P3IDNumber,92)="","",INDEX(I.Facility.P3IDNumber,92))</f>
        <v/>
      </c>
      <c r="G15104" s="51"/>
      <c r="H15104" s="46" t="str">
        <f>IF(AND(I.Developer.P3=TRUE,I.Facility.P3FacilityCount&gt;=92,F15104=""),"Incomplete","Complete")</f>
        <v>Complete</v>
      </c>
      <c r="I15104" s="48" t="s">
        <v>19469</v>
      </c>
    </row>
    <row r="15105" spans="2:9" ht="15" customHeight="1" x14ac:dyDescent="0.25">
      <c r="B15105" s="55" t="s">
        <v>282</v>
      </c>
      <c r="C15105" s="46">
        <v>93</v>
      </c>
      <c r="D15105" s="69" t="s">
        <v>29419</v>
      </c>
      <c r="E15105" s="51"/>
      <c r="F15105" s="114" t="str">
        <f>IF(INDEX(I.Facility.P3IDNumber,93)="","",INDEX(I.Facility.P3IDNumber,93))</f>
        <v/>
      </c>
      <c r="G15105" s="51"/>
      <c r="H15105" s="46" t="str">
        <f>IF(AND(I.Developer.P3=TRUE,I.Facility.P3FacilityCount&gt;=93,F15105=""),"Incomplete","Complete")</f>
        <v>Complete</v>
      </c>
      <c r="I15105" s="48" t="s">
        <v>19470</v>
      </c>
    </row>
    <row r="15106" spans="2:9" ht="15" customHeight="1" x14ac:dyDescent="0.25">
      <c r="B15106" s="55" t="s">
        <v>282</v>
      </c>
      <c r="C15106" s="46">
        <v>94</v>
      </c>
      <c r="D15106" s="69" t="s">
        <v>29419</v>
      </c>
      <c r="E15106" s="51"/>
      <c r="F15106" s="114" t="str">
        <f>IF(INDEX(I.Facility.P3IDNumber,94)="","",INDEX(I.Facility.P3IDNumber,94))</f>
        <v/>
      </c>
      <c r="G15106" s="51"/>
      <c r="H15106" s="46" t="str">
        <f>IF(AND(I.Developer.P3=TRUE,I.Facility.P3FacilityCount&gt;=94,F15106=""),"Incomplete","Complete")</f>
        <v>Complete</v>
      </c>
      <c r="I15106" s="48" t="s">
        <v>19471</v>
      </c>
    </row>
    <row r="15107" spans="2:9" ht="15" customHeight="1" x14ac:dyDescent="0.25">
      <c r="B15107" s="55" t="s">
        <v>282</v>
      </c>
      <c r="C15107" s="46">
        <v>95</v>
      </c>
      <c r="D15107" s="69" t="s">
        <v>29419</v>
      </c>
      <c r="E15107" s="51"/>
      <c r="F15107" s="114" t="str">
        <f>IF(INDEX(I.Facility.P3IDNumber,95)="","",INDEX(I.Facility.P3IDNumber,95))</f>
        <v/>
      </c>
      <c r="G15107" s="51"/>
      <c r="H15107" s="46" t="str">
        <f>IF(AND(I.Developer.P3=TRUE,I.Facility.P3FacilityCount&gt;=95,F15107=""),"Incomplete","Complete")</f>
        <v>Complete</v>
      </c>
      <c r="I15107" s="48" t="s">
        <v>19472</v>
      </c>
    </row>
    <row r="15108" spans="2:9" ht="15" customHeight="1" x14ac:dyDescent="0.25">
      <c r="B15108" s="55" t="s">
        <v>282</v>
      </c>
      <c r="C15108" s="46">
        <v>96</v>
      </c>
      <c r="D15108" s="69" t="s">
        <v>29419</v>
      </c>
      <c r="E15108" s="51"/>
      <c r="F15108" s="114" t="str">
        <f>IF(INDEX(I.Facility.P3IDNumber,96)="","",INDEX(I.Facility.P3IDNumber,96))</f>
        <v/>
      </c>
      <c r="G15108" s="51"/>
      <c r="H15108" s="46" t="str">
        <f>IF(AND(I.Developer.P3=TRUE,I.Facility.P3FacilityCount&gt;=96,F15108=""),"Incomplete","Complete")</f>
        <v>Complete</v>
      </c>
      <c r="I15108" s="48" t="s">
        <v>19473</v>
      </c>
    </row>
    <row r="15109" spans="2:9" ht="15" customHeight="1" x14ac:dyDescent="0.25">
      <c r="B15109" s="55" t="s">
        <v>282</v>
      </c>
      <c r="C15109" s="46">
        <v>97</v>
      </c>
      <c r="D15109" s="69" t="s">
        <v>29419</v>
      </c>
      <c r="E15109" s="51"/>
      <c r="F15109" s="114" t="str">
        <f>IF(INDEX(I.Facility.P3IDNumber,97)="","",INDEX(I.Facility.P3IDNumber,97))</f>
        <v/>
      </c>
      <c r="G15109" s="51"/>
      <c r="H15109" s="46" t="str">
        <f>IF(AND(I.Developer.P3=TRUE,I.Facility.P3FacilityCount&gt;=97,F15109=""),"Incomplete","Complete")</f>
        <v>Complete</v>
      </c>
      <c r="I15109" s="48" t="s">
        <v>19474</v>
      </c>
    </row>
    <row r="15110" spans="2:9" ht="15" customHeight="1" x14ac:dyDescent="0.25">
      <c r="B15110" s="55" t="s">
        <v>282</v>
      </c>
      <c r="C15110" s="46">
        <v>98</v>
      </c>
      <c r="D15110" s="69" t="s">
        <v>29419</v>
      </c>
      <c r="E15110" s="51"/>
      <c r="F15110" s="114" t="str">
        <f>IF(INDEX(I.Facility.P3IDNumber,98)="","",INDEX(I.Facility.P3IDNumber,98))</f>
        <v/>
      </c>
      <c r="G15110" s="51"/>
      <c r="H15110" s="46" t="str">
        <f>IF(AND(I.Developer.P3=TRUE,I.Facility.P3FacilityCount&gt;=98,F15110=""),"Incomplete","Complete")</f>
        <v>Complete</v>
      </c>
      <c r="I15110" s="48" t="s">
        <v>19475</v>
      </c>
    </row>
    <row r="15111" spans="2:9" ht="15" customHeight="1" x14ac:dyDescent="0.25">
      <c r="B15111" s="55" t="s">
        <v>282</v>
      </c>
      <c r="C15111" s="46">
        <v>99</v>
      </c>
      <c r="D15111" s="69" t="s">
        <v>29419</v>
      </c>
      <c r="E15111" s="51"/>
      <c r="F15111" s="114" t="str">
        <f>IF(INDEX(I.Facility.P3IDNumber,99)="","",INDEX(I.Facility.P3IDNumber,99))</f>
        <v/>
      </c>
      <c r="G15111" s="51"/>
      <c r="H15111" s="46" t="str">
        <f>IF(AND(I.Developer.P3=TRUE,I.Facility.P3FacilityCount&gt;=99,F15111=""),"Incomplete","Complete")</f>
        <v>Complete</v>
      </c>
      <c r="I15111" s="48" t="s">
        <v>19476</v>
      </c>
    </row>
    <row r="15112" spans="2:9" ht="15" customHeight="1" x14ac:dyDescent="0.25">
      <c r="B15112" s="55" t="s">
        <v>282</v>
      </c>
      <c r="C15112" s="46">
        <v>100</v>
      </c>
      <c r="D15112" s="69" t="s">
        <v>29419</v>
      </c>
      <c r="E15112" s="51"/>
      <c r="F15112" s="114" t="str">
        <f>IF(INDEX(I.Facility.P3IDNumber,100)="","",INDEX(I.Facility.P3IDNumber,100))</f>
        <v/>
      </c>
      <c r="G15112" s="51"/>
      <c r="H15112" s="46" t="str">
        <f>IF(AND(I.Developer.P3=TRUE,I.Facility.P3FacilityCount&gt;=100,F15112=""),"Incomplete","Complete")</f>
        <v>Complete</v>
      </c>
      <c r="I15112" s="48" t="s">
        <v>19477</v>
      </c>
    </row>
    <row r="15113" spans="2:9" ht="15" customHeight="1" x14ac:dyDescent="0.25">
      <c r="B15113" s="55" t="s">
        <v>282</v>
      </c>
      <c r="C15113" s="46">
        <v>101</v>
      </c>
      <c r="D15113" s="69" t="s">
        <v>29419</v>
      </c>
      <c r="E15113" s="51"/>
      <c r="F15113" s="114" t="str">
        <f>IF(INDEX(I.Facility.P3IDNumber,101)="","",INDEX(I.Facility.P3IDNumber,101))</f>
        <v/>
      </c>
      <c r="G15113" s="51"/>
      <c r="H15113" s="46" t="str">
        <f>IF(AND(I.Developer.P3=TRUE,I.Facility.P3FacilityCount&gt;=101,F15113=""),"Incomplete","Complete")</f>
        <v>Complete</v>
      </c>
      <c r="I15113" s="48" t="s">
        <v>19478</v>
      </c>
    </row>
    <row r="15114" spans="2:9" ht="15" customHeight="1" x14ac:dyDescent="0.25">
      <c r="B15114" s="55" t="s">
        <v>282</v>
      </c>
      <c r="C15114" s="46">
        <v>102</v>
      </c>
      <c r="D15114" s="69" t="s">
        <v>29419</v>
      </c>
      <c r="E15114" s="51"/>
      <c r="F15114" s="114" t="str">
        <f>IF(INDEX(I.Facility.P3IDNumber,102)="","",INDEX(I.Facility.P3IDNumber,102))</f>
        <v/>
      </c>
      <c r="G15114" s="51"/>
      <c r="H15114" s="46" t="str">
        <f>IF(AND(I.Developer.P3=TRUE,I.Facility.P3FacilityCount&gt;=102,F15114=""),"Incomplete","Complete")</f>
        <v>Complete</v>
      </c>
      <c r="I15114" s="48" t="s">
        <v>19479</v>
      </c>
    </row>
    <row r="15115" spans="2:9" ht="15" customHeight="1" x14ac:dyDescent="0.25">
      <c r="B15115" s="55" t="s">
        <v>282</v>
      </c>
      <c r="C15115" s="46">
        <v>103</v>
      </c>
      <c r="D15115" s="69" t="s">
        <v>29419</v>
      </c>
      <c r="E15115" s="51"/>
      <c r="F15115" s="114" t="str">
        <f>IF(INDEX(I.Facility.P3IDNumber,103)="","",INDEX(I.Facility.P3IDNumber,103))</f>
        <v/>
      </c>
      <c r="G15115" s="51"/>
      <c r="H15115" s="46" t="str">
        <f>IF(AND(I.Developer.P3=TRUE,I.Facility.P3FacilityCount&gt;=103,F15115=""),"Incomplete","Complete")</f>
        <v>Complete</v>
      </c>
      <c r="I15115" s="48" t="s">
        <v>19480</v>
      </c>
    </row>
    <row r="15116" spans="2:9" ht="15" customHeight="1" x14ac:dyDescent="0.25">
      <c r="B15116" s="55" t="s">
        <v>282</v>
      </c>
      <c r="C15116" s="46">
        <v>104</v>
      </c>
      <c r="D15116" s="69" t="s">
        <v>29419</v>
      </c>
      <c r="E15116" s="51"/>
      <c r="F15116" s="114" t="str">
        <f>IF(INDEX(I.Facility.P3IDNumber,104)="","",INDEX(I.Facility.P3IDNumber,104))</f>
        <v/>
      </c>
      <c r="G15116" s="51"/>
      <c r="H15116" s="46" t="str">
        <f>IF(AND(I.Developer.P3=TRUE,I.Facility.P3FacilityCount&gt;=104,F15116=""),"Incomplete","Complete")</f>
        <v>Complete</v>
      </c>
      <c r="I15116" s="48" t="s">
        <v>19481</v>
      </c>
    </row>
    <row r="15117" spans="2:9" ht="15" customHeight="1" x14ac:dyDescent="0.25">
      <c r="B15117" s="55" t="s">
        <v>282</v>
      </c>
      <c r="C15117" s="46">
        <v>105</v>
      </c>
      <c r="D15117" s="69" t="s">
        <v>29419</v>
      </c>
      <c r="E15117" s="51"/>
      <c r="F15117" s="114" t="str">
        <f>IF(INDEX(I.Facility.P3IDNumber,105)="","",INDEX(I.Facility.P3IDNumber,105))</f>
        <v/>
      </c>
      <c r="G15117" s="51"/>
      <c r="H15117" s="46" t="str">
        <f>IF(AND(I.Developer.P3=TRUE,I.Facility.P3FacilityCount&gt;=105,F15117=""),"Incomplete","Complete")</f>
        <v>Complete</v>
      </c>
      <c r="I15117" s="48" t="s">
        <v>19482</v>
      </c>
    </row>
    <row r="15118" spans="2:9" ht="15" customHeight="1" x14ac:dyDescent="0.25">
      <c r="B15118" s="55" t="s">
        <v>282</v>
      </c>
      <c r="C15118" s="46">
        <v>106</v>
      </c>
      <c r="D15118" s="69" t="s">
        <v>29419</v>
      </c>
      <c r="E15118" s="51"/>
      <c r="F15118" s="114" t="str">
        <f>IF(INDEX(I.Facility.P3IDNumber,106)="","",INDEX(I.Facility.P3IDNumber,106))</f>
        <v/>
      </c>
      <c r="G15118" s="51"/>
      <c r="H15118" s="46" t="str">
        <f>IF(AND(I.Developer.P3=TRUE,I.Facility.P3FacilityCount&gt;=106,F15118=""),"Incomplete","Complete")</f>
        <v>Complete</v>
      </c>
      <c r="I15118" s="48" t="s">
        <v>19483</v>
      </c>
    </row>
    <row r="15119" spans="2:9" ht="15" customHeight="1" x14ac:dyDescent="0.25">
      <c r="B15119" s="55" t="s">
        <v>282</v>
      </c>
      <c r="C15119" s="46">
        <v>107</v>
      </c>
      <c r="D15119" s="69" t="s">
        <v>29419</v>
      </c>
      <c r="E15119" s="51"/>
      <c r="F15119" s="114" t="str">
        <f>IF(INDEX(I.Facility.P3IDNumber,107)="","",INDEX(I.Facility.P3IDNumber,107))</f>
        <v/>
      </c>
      <c r="G15119" s="51"/>
      <c r="H15119" s="46" t="str">
        <f>IF(AND(I.Developer.P3=TRUE,I.Facility.P3FacilityCount&gt;=107,F15119=""),"Incomplete","Complete")</f>
        <v>Complete</v>
      </c>
      <c r="I15119" s="48" t="s">
        <v>19484</v>
      </c>
    </row>
    <row r="15120" spans="2:9" ht="15" customHeight="1" x14ac:dyDescent="0.25">
      <c r="B15120" s="55" t="s">
        <v>282</v>
      </c>
      <c r="C15120" s="46">
        <v>108</v>
      </c>
      <c r="D15120" s="69" t="s">
        <v>29419</v>
      </c>
      <c r="E15120" s="51"/>
      <c r="F15120" s="114" t="str">
        <f>IF(INDEX(I.Facility.P3IDNumber,108)="","",INDEX(I.Facility.P3IDNumber,108))</f>
        <v/>
      </c>
      <c r="G15120" s="51"/>
      <c r="H15120" s="46" t="str">
        <f>IF(AND(I.Developer.P3=TRUE,I.Facility.P3FacilityCount&gt;=108,F15120=""),"Incomplete","Complete")</f>
        <v>Complete</v>
      </c>
      <c r="I15120" s="48" t="s">
        <v>19485</v>
      </c>
    </row>
    <row r="15121" spans="2:9" ht="15" customHeight="1" x14ac:dyDescent="0.25">
      <c r="B15121" s="55" t="s">
        <v>282</v>
      </c>
      <c r="C15121" s="46">
        <v>109</v>
      </c>
      <c r="D15121" s="69" t="s">
        <v>29419</v>
      </c>
      <c r="E15121" s="51"/>
      <c r="F15121" s="114" t="str">
        <f>IF(INDEX(I.Facility.P3IDNumber,109)="","",INDEX(I.Facility.P3IDNumber,109))</f>
        <v/>
      </c>
      <c r="G15121" s="51"/>
      <c r="H15121" s="46" t="str">
        <f>IF(AND(I.Developer.P3=TRUE,I.Facility.P3FacilityCount&gt;=109,F15121=""),"Incomplete","Complete")</f>
        <v>Complete</v>
      </c>
      <c r="I15121" s="48" t="s">
        <v>19486</v>
      </c>
    </row>
    <row r="15122" spans="2:9" ht="15" customHeight="1" x14ac:dyDescent="0.25">
      <c r="B15122" s="55" t="s">
        <v>282</v>
      </c>
      <c r="C15122" s="46">
        <v>110</v>
      </c>
      <c r="D15122" s="69" t="s">
        <v>29419</v>
      </c>
      <c r="E15122" s="51"/>
      <c r="F15122" s="114" t="str">
        <f>IF(INDEX(I.Facility.P3IDNumber,110)="","",INDEX(I.Facility.P3IDNumber,110))</f>
        <v/>
      </c>
      <c r="G15122" s="51"/>
      <c r="H15122" s="46" t="str">
        <f>IF(AND(I.Developer.P3=TRUE,I.Facility.P3FacilityCount&gt;=110,F15122=""),"Incomplete","Complete")</f>
        <v>Complete</v>
      </c>
      <c r="I15122" s="48" t="s">
        <v>19487</v>
      </c>
    </row>
    <row r="15123" spans="2:9" ht="15" customHeight="1" x14ac:dyDescent="0.25">
      <c r="B15123" s="55" t="s">
        <v>282</v>
      </c>
      <c r="C15123" s="46">
        <v>111</v>
      </c>
      <c r="D15123" s="69" t="s">
        <v>29419</v>
      </c>
      <c r="E15123" s="51"/>
      <c r="F15123" s="114" t="str">
        <f>IF(INDEX(I.Facility.P3IDNumber,111)="","",INDEX(I.Facility.P3IDNumber,111))</f>
        <v/>
      </c>
      <c r="G15123" s="51"/>
      <c r="H15123" s="46" t="str">
        <f>IF(AND(I.Developer.P3=TRUE,I.Facility.P3FacilityCount&gt;=111,F15123=""),"Incomplete","Complete")</f>
        <v>Complete</v>
      </c>
      <c r="I15123" s="48" t="s">
        <v>19488</v>
      </c>
    </row>
    <row r="15124" spans="2:9" ht="15" customHeight="1" x14ac:dyDescent="0.25">
      <c r="B15124" s="55" t="s">
        <v>282</v>
      </c>
      <c r="C15124" s="46">
        <v>112</v>
      </c>
      <c r="D15124" s="69" t="s">
        <v>29419</v>
      </c>
      <c r="E15124" s="51"/>
      <c r="F15124" s="114" t="str">
        <f>IF(INDEX(I.Facility.P3IDNumber,112)="","",INDEX(I.Facility.P3IDNumber,112))</f>
        <v/>
      </c>
      <c r="G15124" s="51"/>
      <c r="H15124" s="46" t="str">
        <f>IF(AND(I.Developer.P3=TRUE,I.Facility.P3FacilityCount&gt;=112,F15124=""),"Incomplete","Complete")</f>
        <v>Complete</v>
      </c>
      <c r="I15124" s="48" t="s">
        <v>19489</v>
      </c>
    </row>
    <row r="15125" spans="2:9" ht="15" customHeight="1" x14ac:dyDescent="0.25">
      <c r="B15125" s="55" t="s">
        <v>282</v>
      </c>
      <c r="C15125" s="46">
        <v>113</v>
      </c>
      <c r="D15125" s="69" t="s">
        <v>29419</v>
      </c>
      <c r="E15125" s="51"/>
      <c r="F15125" s="114" t="str">
        <f>IF(INDEX(I.Facility.P3IDNumber,113)="","",INDEX(I.Facility.P3IDNumber,113))</f>
        <v/>
      </c>
      <c r="G15125" s="51"/>
      <c r="H15125" s="46" t="str">
        <f>IF(AND(I.Developer.P3=TRUE,I.Facility.P3FacilityCount&gt;=113,F15125=""),"Incomplete","Complete")</f>
        <v>Complete</v>
      </c>
      <c r="I15125" s="48" t="s">
        <v>19490</v>
      </c>
    </row>
    <row r="15126" spans="2:9" ht="15" customHeight="1" x14ac:dyDescent="0.25">
      <c r="B15126" s="55" t="s">
        <v>282</v>
      </c>
      <c r="C15126" s="46">
        <v>114</v>
      </c>
      <c r="D15126" s="69" t="s">
        <v>29419</v>
      </c>
      <c r="E15126" s="51"/>
      <c r="F15126" s="114" t="str">
        <f>IF(INDEX(I.Facility.P3IDNumber,114)="","",INDEX(I.Facility.P3IDNumber,114))</f>
        <v/>
      </c>
      <c r="G15126" s="51"/>
      <c r="H15126" s="46" t="str">
        <f>IF(AND(I.Developer.P3=TRUE,I.Facility.P3FacilityCount&gt;=114,F15126=""),"Incomplete","Complete")</f>
        <v>Complete</v>
      </c>
      <c r="I15126" s="48" t="s">
        <v>19491</v>
      </c>
    </row>
    <row r="15127" spans="2:9" ht="15" customHeight="1" x14ac:dyDescent="0.25">
      <c r="B15127" s="55" t="s">
        <v>282</v>
      </c>
      <c r="C15127" s="46">
        <v>115</v>
      </c>
      <c r="D15127" s="69" t="s">
        <v>29419</v>
      </c>
      <c r="E15127" s="51"/>
      <c r="F15127" s="114" t="str">
        <f>IF(INDEX(I.Facility.P3IDNumber,115)="","",INDEX(I.Facility.P3IDNumber,115))</f>
        <v/>
      </c>
      <c r="G15127" s="51"/>
      <c r="H15127" s="46" t="str">
        <f>IF(AND(I.Developer.P3=TRUE,I.Facility.P3FacilityCount&gt;=115,F15127=""),"Incomplete","Complete")</f>
        <v>Complete</v>
      </c>
      <c r="I15127" s="48" t="s">
        <v>19492</v>
      </c>
    </row>
    <row r="15128" spans="2:9" ht="15" customHeight="1" x14ac:dyDescent="0.25">
      <c r="B15128" s="55" t="s">
        <v>282</v>
      </c>
      <c r="C15128" s="46">
        <v>116</v>
      </c>
      <c r="D15128" s="69" t="s">
        <v>29419</v>
      </c>
      <c r="E15128" s="51"/>
      <c r="F15128" s="114" t="str">
        <f>IF(INDEX(I.Facility.P3IDNumber,116)="","",INDEX(I.Facility.P3IDNumber,116))</f>
        <v/>
      </c>
      <c r="G15128" s="51"/>
      <c r="H15128" s="46" t="str">
        <f>IF(AND(I.Developer.P3=TRUE,I.Facility.P3FacilityCount&gt;=116,F15128=""),"Incomplete","Complete")</f>
        <v>Complete</v>
      </c>
      <c r="I15128" s="48" t="s">
        <v>19493</v>
      </c>
    </row>
    <row r="15129" spans="2:9" ht="15" customHeight="1" x14ac:dyDescent="0.25">
      <c r="B15129" s="55" t="s">
        <v>282</v>
      </c>
      <c r="C15129" s="46">
        <v>117</v>
      </c>
      <c r="D15129" s="69" t="s">
        <v>29419</v>
      </c>
      <c r="E15129" s="51"/>
      <c r="F15129" s="114" t="str">
        <f>IF(INDEX(I.Facility.P3IDNumber,117)="","",INDEX(I.Facility.P3IDNumber,117))</f>
        <v/>
      </c>
      <c r="G15129" s="51"/>
      <c r="H15129" s="46" t="str">
        <f>IF(AND(I.Developer.P3=TRUE,I.Facility.P3FacilityCount&gt;=117,F15129=""),"Incomplete","Complete")</f>
        <v>Complete</v>
      </c>
      <c r="I15129" s="48" t="s">
        <v>19494</v>
      </c>
    </row>
    <row r="15130" spans="2:9" ht="15" customHeight="1" x14ac:dyDescent="0.25">
      <c r="B15130" s="55" t="s">
        <v>282</v>
      </c>
      <c r="C15130" s="46">
        <v>118</v>
      </c>
      <c r="D15130" s="69" t="s">
        <v>29419</v>
      </c>
      <c r="E15130" s="51"/>
      <c r="F15130" s="114" t="str">
        <f>IF(INDEX(I.Facility.P3IDNumber,118)="","",INDEX(I.Facility.P3IDNumber,118))</f>
        <v/>
      </c>
      <c r="G15130" s="51"/>
      <c r="H15130" s="46" t="str">
        <f>IF(AND(I.Developer.P3=TRUE,I.Facility.P3FacilityCount&gt;=118,F15130=""),"Incomplete","Complete")</f>
        <v>Complete</v>
      </c>
      <c r="I15130" s="48" t="s">
        <v>19495</v>
      </c>
    </row>
    <row r="15131" spans="2:9" ht="15" customHeight="1" x14ac:dyDescent="0.25">
      <c r="B15131" s="55" t="s">
        <v>282</v>
      </c>
      <c r="C15131" s="46">
        <v>119</v>
      </c>
      <c r="D15131" s="69" t="s">
        <v>29419</v>
      </c>
      <c r="E15131" s="51"/>
      <c r="F15131" s="114" t="str">
        <f>IF(INDEX(I.Facility.P3IDNumber,119)="","",INDEX(I.Facility.P3IDNumber,119))</f>
        <v/>
      </c>
      <c r="G15131" s="51"/>
      <c r="H15131" s="46" t="str">
        <f>IF(AND(I.Developer.P3=TRUE,I.Facility.P3FacilityCount&gt;=119,F15131=""),"Incomplete","Complete")</f>
        <v>Complete</v>
      </c>
      <c r="I15131" s="48" t="s">
        <v>19496</v>
      </c>
    </row>
    <row r="15132" spans="2:9" ht="15" customHeight="1" x14ac:dyDescent="0.25">
      <c r="B15132" s="55" t="s">
        <v>282</v>
      </c>
      <c r="C15132" s="46">
        <v>120</v>
      </c>
      <c r="D15132" s="69" t="s">
        <v>29419</v>
      </c>
      <c r="E15132" s="51"/>
      <c r="F15132" s="114" t="str">
        <f>IF(INDEX(I.Facility.P3IDNumber,120)="","",INDEX(I.Facility.P3IDNumber,120))</f>
        <v/>
      </c>
      <c r="G15132" s="51"/>
      <c r="H15132" s="46" t="str">
        <f>IF(AND(I.Developer.P3=TRUE,I.Facility.P3FacilityCount&gt;=120,F15132=""),"Incomplete","Complete")</f>
        <v>Complete</v>
      </c>
      <c r="I15132" s="48" t="s">
        <v>19497</v>
      </c>
    </row>
    <row r="15133" spans="2:9" ht="15" customHeight="1" x14ac:dyDescent="0.25">
      <c r="B15133" s="55" t="s">
        <v>282</v>
      </c>
      <c r="C15133" s="46">
        <v>121</v>
      </c>
      <c r="D15133" s="69" t="s">
        <v>29419</v>
      </c>
      <c r="E15133" s="51"/>
      <c r="F15133" s="114" t="str">
        <f>IF(INDEX(I.Facility.P3IDNumber,121)="","",INDEX(I.Facility.P3IDNumber,121))</f>
        <v/>
      </c>
      <c r="G15133" s="51"/>
      <c r="H15133" s="46" t="str">
        <f>IF(AND(I.Developer.P3=TRUE,I.Facility.P3FacilityCount&gt;=121,F15133=""),"Incomplete","Complete")</f>
        <v>Complete</v>
      </c>
      <c r="I15133" s="48" t="s">
        <v>19498</v>
      </c>
    </row>
    <row r="15134" spans="2:9" ht="15" customHeight="1" x14ac:dyDescent="0.25">
      <c r="B15134" s="55" t="s">
        <v>282</v>
      </c>
      <c r="C15134" s="46">
        <v>122</v>
      </c>
      <c r="D15134" s="69" t="s">
        <v>29419</v>
      </c>
      <c r="E15134" s="51"/>
      <c r="F15134" s="114" t="str">
        <f>IF(INDEX(I.Facility.P3IDNumber,122)="","",INDEX(I.Facility.P3IDNumber,122))</f>
        <v/>
      </c>
      <c r="G15134" s="51"/>
      <c r="H15134" s="46" t="str">
        <f>IF(AND(I.Developer.P3=TRUE,I.Facility.P3FacilityCount&gt;=122,F15134=""),"Incomplete","Complete")</f>
        <v>Complete</v>
      </c>
      <c r="I15134" s="48" t="s">
        <v>19499</v>
      </c>
    </row>
    <row r="15135" spans="2:9" ht="15" customHeight="1" x14ac:dyDescent="0.25">
      <c r="B15135" s="55" t="s">
        <v>282</v>
      </c>
      <c r="C15135" s="46">
        <v>123</v>
      </c>
      <c r="D15135" s="69" t="s">
        <v>29419</v>
      </c>
      <c r="E15135" s="51"/>
      <c r="F15135" s="114" t="str">
        <f>IF(INDEX(I.Facility.P3IDNumber,123)="","",INDEX(I.Facility.P3IDNumber,123))</f>
        <v/>
      </c>
      <c r="G15135" s="51"/>
      <c r="H15135" s="46" t="str">
        <f>IF(AND(I.Developer.P3=TRUE,I.Facility.P3FacilityCount&gt;=123,F15135=""),"Incomplete","Complete")</f>
        <v>Complete</v>
      </c>
      <c r="I15135" s="48" t="s">
        <v>19500</v>
      </c>
    </row>
    <row r="15136" spans="2:9" ht="15" customHeight="1" x14ac:dyDescent="0.25">
      <c r="B15136" s="55" t="s">
        <v>282</v>
      </c>
      <c r="C15136" s="46">
        <v>124</v>
      </c>
      <c r="D15136" s="69" t="s">
        <v>29419</v>
      </c>
      <c r="E15136" s="51"/>
      <c r="F15136" s="114" t="str">
        <f>IF(INDEX(I.Facility.P3IDNumber,124)="","",INDEX(I.Facility.P3IDNumber,124))</f>
        <v/>
      </c>
      <c r="G15136" s="51"/>
      <c r="H15136" s="46" t="str">
        <f>IF(AND(I.Developer.P3=TRUE,I.Facility.P3FacilityCount&gt;=124,F15136=""),"Incomplete","Complete")</f>
        <v>Complete</v>
      </c>
      <c r="I15136" s="48" t="s">
        <v>19501</v>
      </c>
    </row>
    <row r="15137" spans="2:9" ht="15" customHeight="1" x14ac:dyDescent="0.25">
      <c r="B15137" s="55" t="s">
        <v>282</v>
      </c>
      <c r="C15137" s="46">
        <v>125</v>
      </c>
      <c r="D15137" s="69" t="s">
        <v>29419</v>
      </c>
      <c r="E15137" s="51"/>
      <c r="F15137" s="114" t="str">
        <f>IF(INDEX(I.Facility.P3IDNumber,125)="","",INDEX(I.Facility.P3IDNumber,125))</f>
        <v/>
      </c>
      <c r="G15137" s="51"/>
      <c r="H15137" s="46" t="str">
        <f>IF(AND(I.Developer.P3=TRUE,I.Facility.P3FacilityCount&gt;=125,F15137=""),"Incomplete","Complete")</f>
        <v>Complete</v>
      </c>
      <c r="I15137" s="48" t="s">
        <v>19502</v>
      </c>
    </row>
    <row r="15138" spans="2:9" ht="15" customHeight="1" x14ac:dyDescent="0.25">
      <c r="B15138" s="55" t="s">
        <v>282</v>
      </c>
      <c r="C15138" s="46">
        <v>126</v>
      </c>
      <c r="D15138" s="69" t="s">
        <v>29419</v>
      </c>
      <c r="E15138" s="51"/>
      <c r="F15138" s="114" t="str">
        <f>IF(INDEX(I.Facility.P3IDNumber,126)="","",INDEX(I.Facility.P3IDNumber,126))</f>
        <v/>
      </c>
      <c r="G15138" s="51"/>
      <c r="H15138" s="46" t="str">
        <f>IF(AND(I.Developer.P3=TRUE,I.Facility.P3FacilityCount&gt;=126,F15138=""),"Incomplete","Complete")</f>
        <v>Complete</v>
      </c>
      <c r="I15138" s="48" t="s">
        <v>19503</v>
      </c>
    </row>
    <row r="15139" spans="2:9" ht="15" customHeight="1" x14ac:dyDescent="0.25">
      <c r="B15139" s="55" t="s">
        <v>282</v>
      </c>
      <c r="C15139" s="46">
        <v>127</v>
      </c>
      <c r="D15139" s="69" t="s">
        <v>29419</v>
      </c>
      <c r="E15139" s="51"/>
      <c r="F15139" s="114" t="str">
        <f>IF(INDEX(I.Facility.P3IDNumber,127)="","",INDEX(I.Facility.P3IDNumber,127))</f>
        <v/>
      </c>
      <c r="G15139" s="51"/>
      <c r="H15139" s="46" t="str">
        <f>IF(AND(I.Developer.P3=TRUE,I.Facility.P3FacilityCount&gt;=127,F15139=""),"Incomplete","Complete")</f>
        <v>Complete</v>
      </c>
      <c r="I15139" s="48" t="s">
        <v>19504</v>
      </c>
    </row>
    <row r="15140" spans="2:9" ht="15" customHeight="1" x14ac:dyDescent="0.25">
      <c r="B15140" s="55" t="s">
        <v>282</v>
      </c>
      <c r="C15140" s="46">
        <v>128</v>
      </c>
      <c r="D15140" s="69" t="s">
        <v>29419</v>
      </c>
      <c r="E15140" s="51"/>
      <c r="F15140" s="114" t="str">
        <f>IF(INDEX(I.Facility.P3IDNumber,128)="","",INDEX(I.Facility.P3IDNumber,128))</f>
        <v/>
      </c>
      <c r="G15140" s="51"/>
      <c r="H15140" s="46" t="str">
        <f>IF(AND(I.Developer.P3=TRUE,I.Facility.P3FacilityCount&gt;=128,F15140=""),"Incomplete","Complete")</f>
        <v>Complete</v>
      </c>
      <c r="I15140" s="48" t="s">
        <v>19505</v>
      </c>
    </row>
    <row r="15141" spans="2:9" ht="15" customHeight="1" x14ac:dyDescent="0.25">
      <c r="B15141" s="55" t="s">
        <v>282</v>
      </c>
      <c r="C15141" s="46">
        <v>129</v>
      </c>
      <c r="D15141" s="69" t="s">
        <v>29419</v>
      </c>
      <c r="E15141" s="51"/>
      <c r="F15141" s="114" t="str">
        <f>IF(INDEX(I.Facility.P3IDNumber,129)="","",INDEX(I.Facility.P3IDNumber,129))</f>
        <v/>
      </c>
      <c r="G15141" s="51"/>
      <c r="H15141" s="46" t="str">
        <f>IF(AND(I.Developer.P3=TRUE,I.Facility.P3FacilityCount&gt;=129,F15141=""),"Incomplete","Complete")</f>
        <v>Complete</v>
      </c>
      <c r="I15141" s="48" t="s">
        <v>19506</v>
      </c>
    </row>
    <row r="15142" spans="2:9" ht="15" customHeight="1" x14ac:dyDescent="0.25">
      <c r="B15142" s="55" t="s">
        <v>282</v>
      </c>
      <c r="C15142" s="46">
        <v>130</v>
      </c>
      <c r="D15142" s="69" t="s">
        <v>29419</v>
      </c>
      <c r="E15142" s="51"/>
      <c r="F15142" s="114" t="str">
        <f>IF(INDEX(I.Facility.P3IDNumber,130)="","",INDEX(I.Facility.P3IDNumber,130))</f>
        <v/>
      </c>
      <c r="G15142" s="51"/>
      <c r="H15142" s="46" t="str">
        <f>IF(AND(I.Developer.P3=TRUE,I.Facility.P3FacilityCount&gt;=130,F15142=""),"Incomplete","Complete")</f>
        <v>Complete</v>
      </c>
      <c r="I15142" s="48" t="s">
        <v>19507</v>
      </c>
    </row>
    <row r="15143" spans="2:9" ht="15" customHeight="1" x14ac:dyDescent="0.25">
      <c r="B15143" s="55" t="s">
        <v>282</v>
      </c>
      <c r="C15143" s="46">
        <v>131</v>
      </c>
      <c r="D15143" s="69" t="s">
        <v>29419</v>
      </c>
      <c r="E15143" s="51"/>
      <c r="F15143" s="114" t="str">
        <f>IF(INDEX(I.Facility.P3IDNumber,131)="","",INDEX(I.Facility.P3IDNumber,131))</f>
        <v/>
      </c>
      <c r="G15143" s="51"/>
      <c r="H15143" s="46" t="str">
        <f>IF(AND(I.Developer.P3=TRUE,I.Facility.P3FacilityCount&gt;=131,F15143=""),"Incomplete","Complete")</f>
        <v>Complete</v>
      </c>
      <c r="I15143" s="48" t="s">
        <v>19508</v>
      </c>
    </row>
    <row r="15144" spans="2:9" ht="15" customHeight="1" x14ac:dyDescent="0.25">
      <c r="B15144" s="55" t="s">
        <v>282</v>
      </c>
      <c r="C15144" s="46">
        <v>132</v>
      </c>
      <c r="D15144" s="69" t="s">
        <v>29419</v>
      </c>
      <c r="E15144" s="51"/>
      <c r="F15144" s="114" t="str">
        <f>IF(INDEX(I.Facility.P3IDNumber,132)="","",INDEX(I.Facility.P3IDNumber,132))</f>
        <v/>
      </c>
      <c r="G15144" s="51"/>
      <c r="H15144" s="46" t="str">
        <f>IF(AND(I.Developer.P3=TRUE,I.Facility.P3FacilityCount&gt;=132,F15144=""),"Incomplete","Complete")</f>
        <v>Complete</v>
      </c>
      <c r="I15144" s="48" t="s">
        <v>19509</v>
      </c>
    </row>
    <row r="15145" spans="2:9" ht="15" customHeight="1" x14ac:dyDescent="0.25">
      <c r="B15145" s="55" t="s">
        <v>282</v>
      </c>
      <c r="C15145" s="46">
        <v>133</v>
      </c>
      <c r="D15145" s="69" t="s">
        <v>29419</v>
      </c>
      <c r="E15145" s="51"/>
      <c r="F15145" s="114" t="str">
        <f>IF(INDEX(I.Facility.P3IDNumber,133)="","",INDEX(I.Facility.P3IDNumber,133))</f>
        <v/>
      </c>
      <c r="G15145" s="51"/>
      <c r="H15145" s="46" t="str">
        <f>IF(AND(I.Developer.P3=TRUE,I.Facility.P3FacilityCount&gt;=133,F15145=""),"Incomplete","Complete")</f>
        <v>Complete</v>
      </c>
      <c r="I15145" s="48" t="s">
        <v>19510</v>
      </c>
    </row>
    <row r="15146" spans="2:9" ht="15" customHeight="1" x14ac:dyDescent="0.25">
      <c r="B15146" s="55" t="s">
        <v>282</v>
      </c>
      <c r="C15146" s="46">
        <v>134</v>
      </c>
      <c r="D15146" s="69" t="s">
        <v>29419</v>
      </c>
      <c r="E15146" s="51"/>
      <c r="F15146" s="114" t="str">
        <f>IF(INDEX(I.Facility.P3IDNumber,134)="","",INDEX(I.Facility.P3IDNumber,134))</f>
        <v/>
      </c>
      <c r="G15146" s="51"/>
      <c r="H15146" s="46" t="str">
        <f>IF(AND(I.Developer.P3=TRUE,I.Facility.P3FacilityCount&gt;=134,F15146=""),"Incomplete","Complete")</f>
        <v>Complete</v>
      </c>
      <c r="I15146" s="48" t="s">
        <v>19511</v>
      </c>
    </row>
    <row r="15147" spans="2:9" ht="15" customHeight="1" x14ac:dyDescent="0.25">
      <c r="B15147" s="55" t="s">
        <v>282</v>
      </c>
      <c r="C15147" s="46">
        <v>135</v>
      </c>
      <c r="D15147" s="69" t="s">
        <v>29419</v>
      </c>
      <c r="E15147" s="51"/>
      <c r="F15147" s="114" t="str">
        <f>IF(INDEX(I.Facility.P3IDNumber,135)="","",INDEX(I.Facility.P3IDNumber,135))</f>
        <v/>
      </c>
      <c r="G15147" s="51"/>
      <c r="H15147" s="46" t="str">
        <f>IF(AND(I.Developer.P3=TRUE,I.Facility.P3FacilityCount&gt;=135,F15147=""),"Incomplete","Complete")</f>
        <v>Complete</v>
      </c>
      <c r="I15147" s="48" t="s">
        <v>19512</v>
      </c>
    </row>
    <row r="15148" spans="2:9" ht="15" customHeight="1" x14ac:dyDescent="0.25">
      <c r="B15148" s="55" t="s">
        <v>282</v>
      </c>
      <c r="C15148" s="46">
        <v>136</v>
      </c>
      <c r="D15148" s="69" t="s">
        <v>29419</v>
      </c>
      <c r="E15148" s="51"/>
      <c r="F15148" s="114" t="str">
        <f>IF(INDEX(I.Facility.P3IDNumber,136)="","",INDEX(I.Facility.P3IDNumber,136))</f>
        <v/>
      </c>
      <c r="G15148" s="51"/>
      <c r="H15148" s="46" t="str">
        <f>IF(AND(I.Developer.P3=TRUE,I.Facility.P3FacilityCount&gt;=136,F15148=""),"Incomplete","Complete")</f>
        <v>Complete</v>
      </c>
      <c r="I15148" s="48" t="s">
        <v>19513</v>
      </c>
    </row>
    <row r="15149" spans="2:9" ht="15" customHeight="1" x14ac:dyDescent="0.25">
      <c r="B15149" s="55" t="s">
        <v>282</v>
      </c>
      <c r="C15149" s="46">
        <v>137</v>
      </c>
      <c r="D15149" s="69" t="s">
        <v>29419</v>
      </c>
      <c r="E15149" s="51"/>
      <c r="F15149" s="114" t="str">
        <f>IF(INDEX(I.Facility.P3IDNumber,137)="","",INDEX(I.Facility.P3IDNumber,137))</f>
        <v/>
      </c>
      <c r="G15149" s="51"/>
      <c r="H15149" s="46" t="str">
        <f>IF(AND(I.Developer.P3=TRUE,I.Facility.P3FacilityCount&gt;=137,F15149=""),"Incomplete","Complete")</f>
        <v>Complete</v>
      </c>
      <c r="I15149" s="48" t="s">
        <v>19514</v>
      </c>
    </row>
    <row r="15150" spans="2:9" ht="15" customHeight="1" x14ac:dyDescent="0.25">
      <c r="B15150" s="55" t="s">
        <v>282</v>
      </c>
      <c r="C15150" s="46">
        <v>138</v>
      </c>
      <c r="D15150" s="69" t="s">
        <v>29419</v>
      </c>
      <c r="E15150" s="51"/>
      <c r="F15150" s="114" t="str">
        <f>IF(INDEX(I.Facility.P3IDNumber,138)="","",INDEX(I.Facility.P3IDNumber,138))</f>
        <v/>
      </c>
      <c r="G15150" s="51"/>
      <c r="H15150" s="46" t="str">
        <f>IF(AND(I.Developer.P3=TRUE,I.Facility.P3FacilityCount&gt;=138,F15150=""),"Incomplete","Complete")</f>
        <v>Complete</v>
      </c>
      <c r="I15150" s="48" t="s">
        <v>19515</v>
      </c>
    </row>
    <row r="15151" spans="2:9" ht="15" customHeight="1" x14ac:dyDescent="0.25">
      <c r="B15151" s="55" t="s">
        <v>282</v>
      </c>
      <c r="C15151" s="46">
        <v>139</v>
      </c>
      <c r="D15151" s="69" t="s">
        <v>29419</v>
      </c>
      <c r="E15151" s="51"/>
      <c r="F15151" s="114" t="str">
        <f>IF(INDEX(I.Facility.P3IDNumber,139)="","",INDEX(I.Facility.P3IDNumber,139))</f>
        <v/>
      </c>
      <c r="G15151" s="51"/>
      <c r="H15151" s="46" t="str">
        <f>IF(AND(I.Developer.P3=TRUE,I.Facility.P3FacilityCount&gt;=139,F15151=""),"Incomplete","Complete")</f>
        <v>Complete</v>
      </c>
      <c r="I15151" s="48" t="s">
        <v>19516</v>
      </c>
    </row>
    <row r="15152" spans="2:9" ht="15" customHeight="1" x14ac:dyDescent="0.25">
      <c r="B15152" s="55" t="s">
        <v>282</v>
      </c>
      <c r="C15152" s="46">
        <v>140</v>
      </c>
      <c r="D15152" s="69" t="s">
        <v>29419</v>
      </c>
      <c r="E15152" s="51"/>
      <c r="F15152" s="114" t="str">
        <f>IF(INDEX(I.Facility.P3IDNumber,140)="","",INDEX(I.Facility.P3IDNumber,140))</f>
        <v/>
      </c>
      <c r="G15152" s="51"/>
      <c r="H15152" s="46" t="str">
        <f>IF(AND(I.Developer.P3=TRUE,I.Facility.P3FacilityCount&gt;=140,F15152=""),"Incomplete","Complete")</f>
        <v>Complete</v>
      </c>
      <c r="I15152" s="48" t="s">
        <v>19517</v>
      </c>
    </row>
    <row r="15153" spans="2:9" ht="15" customHeight="1" x14ac:dyDescent="0.25">
      <c r="B15153" s="55" t="s">
        <v>282</v>
      </c>
      <c r="C15153" s="46">
        <v>141</v>
      </c>
      <c r="D15153" s="69" t="s">
        <v>29419</v>
      </c>
      <c r="E15153" s="51"/>
      <c r="F15153" s="114" t="str">
        <f>IF(INDEX(I.Facility.P3IDNumber,141)="","",INDEX(I.Facility.P3IDNumber,141))</f>
        <v/>
      </c>
      <c r="G15153" s="51"/>
      <c r="H15153" s="46" t="str">
        <f>IF(AND(I.Developer.P3=TRUE,I.Facility.P3FacilityCount&gt;=141,F15153=""),"Incomplete","Complete")</f>
        <v>Complete</v>
      </c>
      <c r="I15153" s="48" t="s">
        <v>19518</v>
      </c>
    </row>
    <row r="15154" spans="2:9" ht="15" customHeight="1" x14ac:dyDescent="0.25">
      <c r="B15154" s="55" t="s">
        <v>282</v>
      </c>
      <c r="C15154" s="46">
        <v>142</v>
      </c>
      <c r="D15154" s="69" t="s">
        <v>29419</v>
      </c>
      <c r="E15154" s="51"/>
      <c r="F15154" s="114" t="str">
        <f>IF(INDEX(I.Facility.P3IDNumber,142)="","",INDEX(I.Facility.P3IDNumber,142))</f>
        <v/>
      </c>
      <c r="G15154" s="51"/>
      <c r="H15154" s="46" t="str">
        <f>IF(AND(I.Developer.P3=TRUE,I.Facility.P3FacilityCount&gt;=142,F15154=""),"Incomplete","Complete")</f>
        <v>Complete</v>
      </c>
      <c r="I15154" s="48" t="s">
        <v>19519</v>
      </c>
    </row>
    <row r="15155" spans="2:9" ht="15" customHeight="1" x14ac:dyDescent="0.25">
      <c r="B15155" s="55" t="s">
        <v>282</v>
      </c>
      <c r="C15155" s="46">
        <v>143</v>
      </c>
      <c r="D15155" s="69" t="s">
        <v>29419</v>
      </c>
      <c r="E15155" s="51"/>
      <c r="F15155" s="114" t="str">
        <f>IF(INDEX(I.Facility.P3IDNumber,143)="","",INDEX(I.Facility.P3IDNumber,143))</f>
        <v/>
      </c>
      <c r="G15155" s="51"/>
      <c r="H15155" s="46" t="str">
        <f>IF(AND(I.Developer.P3=TRUE,I.Facility.P3FacilityCount&gt;=143,F15155=""),"Incomplete","Complete")</f>
        <v>Complete</v>
      </c>
      <c r="I15155" s="48" t="s">
        <v>19520</v>
      </c>
    </row>
    <row r="15156" spans="2:9" ht="15" customHeight="1" x14ac:dyDescent="0.25">
      <c r="B15156" s="55" t="s">
        <v>282</v>
      </c>
      <c r="C15156" s="46">
        <v>144</v>
      </c>
      <c r="D15156" s="69" t="s">
        <v>29419</v>
      </c>
      <c r="E15156" s="51"/>
      <c r="F15156" s="114" t="str">
        <f>IF(INDEX(I.Facility.P3IDNumber,144)="","",INDEX(I.Facility.P3IDNumber,144))</f>
        <v/>
      </c>
      <c r="G15156" s="51"/>
      <c r="H15156" s="46" t="str">
        <f>IF(AND(I.Developer.P3=TRUE,I.Facility.P3FacilityCount&gt;=144,F15156=""),"Incomplete","Complete")</f>
        <v>Complete</v>
      </c>
      <c r="I15156" s="48" t="s">
        <v>19521</v>
      </c>
    </row>
    <row r="15157" spans="2:9" ht="15" customHeight="1" x14ac:dyDescent="0.25">
      <c r="B15157" s="55" t="s">
        <v>282</v>
      </c>
      <c r="C15157" s="46">
        <v>145</v>
      </c>
      <c r="D15157" s="69" t="s">
        <v>29419</v>
      </c>
      <c r="E15157" s="51"/>
      <c r="F15157" s="114" t="str">
        <f>IF(INDEX(I.Facility.P3IDNumber,145)="","",INDEX(I.Facility.P3IDNumber,145))</f>
        <v/>
      </c>
      <c r="G15157" s="51"/>
      <c r="H15157" s="46" t="str">
        <f>IF(AND(I.Developer.P3=TRUE,I.Facility.P3FacilityCount&gt;=145,F15157=""),"Incomplete","Complete")</f>
        <v>Complete</v>
      </c>
      <c r="I15157" s="48" t="s">
        <v>19522</v>
      </c>
    </row>
    <row r="15158" spans="2:9" ht="15" customHeight="1" x14ac:dyDescent="0.25">
      <c r="B15158" s="55" t="s">
        <v>282</v>
      </c>
      <c r="C15158" s="46">
        <v>146</v>
      </c>
      <c r="D15158" s="69" t="s">
        <v>29419</v>
      </c>
      <c r="E15158" s="51"/>
      <c r="F15158" s="114" t="str">
        <f>IF(INDEX(I.Facility.P3IDNumber,146)="","",INDEX(I.Facility.P3IDNumber,146))</f>
        <v/>
      </c>
      <c r="G15158" s="51"/>
      <c r="H15158" s="46" t="str">
        <f>IF(AND(I.Developer.P3=TRUE,I.Facility.P3FacilityCount&gt;=146,F15158=""),"Incomplete","Complete")</f>
        <v>Complete</v>
      </c>
      <c r="I15158" s="48" t="s">
        <v>19523</v>
      </c>
    </row>
    <row r="15159" spans="2:9" ht="15" customHeight="1" x14ac:dyDescent="0.25">
      <c r="B15159" s="55" t="s">
        <v>282</v>
      </c>
      <c r="C15159" s="46">
        <v>147</v>
      </c>
      <c r="D15159" s="69" t="s">
        <v>29419</v>
      </c>
      <c r="E15159" s="51"/>
      <c r="F15159" s="114" t="str">
        <f>IF(INDEX(I.Facility.P3IDNumber,147)="","",INDEX(I.Facility.P3IDNumber,147))</f>
        <v/>
      </c>
      <c r="G15159" s="51"/>
      <c r="H15159" s="46" t="str">
        <f>IF(AND(I.Developer.P3=TRUE,I.Facility.P3FacilityCount&gt;=147,F15159=""),"Incomplete","Complete")</f>
        <v>Complete</v>
      </c>
      <c r="I15159" s="48" t="s">
        <v>19524</v>
      </c>
    </row>
    <row r="15160" spans="2:9" ht="15" customHeight="1" x14ac:dyDescent="0.25">
      <c r="B15160" s="55" t="s">
        <v>282</v>
      </c>
      <c r="C15160" s="46">
        <v>148</v>
      </c>
      <c r="D15160" s="69" t="s">
        <v>29419</v>
      </c>
      <c r="E15160" s="51"/>
      <c r="F15160" s="114" t="str">
        <f>IF(INDEX(I.Facility.P3IDNumber,148)="","",INDEX(I.Facility.P3IDNumber,148))</f>
        <v/>
      </c>
      <c r="G15160" s="51"/>
      <c r="H15160" s="46" t="str">
        <f>IF(AND(I.Developer.P3=TRUE,I.Facility.P3FacilityCount&gt;=148,F15160=""),"Incomplete","Complete")</f>
        <v>Complete</v>
      </c>
      <c r="I15160" s="48" t="s">
        <v>19525</v>
      </c>
    </row>
    <row r="15161" spans="2:9" ht="15" customHeight="1" x14ac:dyDescent="0.25">
      <c r="B15161" s="55" t="s">
        <v>282</v>
      </c>
      <c r="C15161" s="46">
        <v>149</v>
      </c>
      <c r="D15161" s="69" t="s">
        <v>29419</v>
      </c>
      <c r="E15161" s="51"/>
      <c r="F15161" s="114" t="str">
        <f>IF(INDEX(I.Facility.P3IDNumber,149)="","",INDEX(I.Facility.P3IDNumber,149))</f>
        <v/>
      </c>
      <c r="G15161" s="51"/>
      <c r="H15161" s="46" t="str">
        <f>IF(AND(I.Developer.P3=TRUE,I.Facility.P3FacilityCount&gt;=149,F15161=""),"Incomplete","Complete")</f>
        <v>Complete</v>
      </c>
      <c r="I15161" s="48" t="s">
        <v>19526</v>
      </c>
    </row>
    <row r="15162" spans="2:9" ht="15" customHeight="1" x14ac:dyDescent="0.25">
      <c r="B15162" s="55" t="s">
        <v>282</v>
      </c>
      <c r="C15162" s="46">
        <v>150</v>
      </c>
      <c r="D15162" s="69" t="s">
        <v>29419</v>
      </c>
      <c r="E15162" s="51"/>
      <c r="F15162" s="114" t="str">
        <f>IF(INDEX(I.Facility.P3IDNumber,150)="","",INDEX(I.Facility.P3IDNumber,150))</f>
        <v/>
      </c>
      <c r="G15162" s="51"/>
      <c r="H15162" s="46" t="str">
        <f>IF(AND(I.Developer.P3=TRUE,I.Facility.P3FacilityCount&gt;=150,F15162=""),"Incomplete","Complete")</f>
        <v>Complete</v>
      </c>
      <c r="I15162" s="48" t="s">
        <v>19527</v>
      </c>
    </row>
    <row r="15163" spans="2:9" ht="15" customHeight="1" x14ac:dyDescent="0.25">
      <c r="B15163" s="55" t="s">
        <v>282</v>
      </c>
      <c r="C15163" s="46">
        <v>151</v>
      </c>
      <c r="D15163" s="69" t="s">
        <v>29419</v>
      </c>
      <c r="E15163" s="51"/>
      <c r="F15163" s="114" t="str">
        <f>IF(INDEX(I.Facility.P3IDNumber,151)="","",INDEX(I.Facility.P3IDNumber,151))</f>
        <v/>
      </c>
      <c r="G15163" s="51"/>
      <c r="H15163" s="46" t="str">
        <f>IF(AND(I.Developer.P3=TRUE,I.Facility.P3FacilityCount&gt;=151,F15163=""),"Incomplete","Complete")</f>
        <v>Complete</v>
      </c>
      <c r="I15163" s="48" t="s">
        <v>19528</v>
      </c>
    </row>
    <row r="15164" spans="2:9" ht="15" customHeight="1" x14ac:dyDescent="0.25">
      <c r="B15164" s="55" t="s">
        <v>282</v>
      </c>
      <c r="C15164" s="46">
        <v>152</v>
      </c>
      <c r="D15164" s="69" t="s">
        <v>29419</v>
      </c>
      <c r="E15164" s="51"/>
      <c r="F15164" s="114" t="str">
        <f>IF(INDEX(I.Facility.P3IDNumber,152)="","",INDEX(I.Facility.P3IDNumber,152))</f>
        <v/>
      </c>
      <c r="G15164" s="51"/>
      <c r="H15164" s="46" t="str">
        <f>IF(AND(I.Developer.P3=TRUE,I.Facility.P3FacilityCount&gt;=152,F15164=""),"Incomplete","Complete")</f>
        <v>Complete</v>
      </c>
      <c r="I15164" s="48" t="s">
        <v>19529</v>
      </c>
    </row>
    <row r="15165" spans="2:9" ht="15" customHeight="1" x14ac:dyDescent="0.25">
      <c r="B15165" s="55" t="s">
        <v>282</v>
      </c>
      <c r="C15165" s="46">
        <v>153</v>
      </c>
      <c r="D15165" s="69" t="s">
        <v>29419</v>
      </c>
      <c r="E15165" s="51"/>
      <c r="F15165" s="114" t="str">
        <f>IF(INDEX(I.Facility.P3IDNumber,153)="","",INDEX(I.Facility.P3IDNumber,153))</f>
        <v/>
      </c>
      <c r="G15165" s="51"/>
      <c r="H15165" s="46" t="str">
        <f>IF(AND(I.Developer.P3=TRUE,I.Facility.P3FacilityCount&gt;=153,F15165=""),"Incomplete","Complete")</f>
        <v>Complete</v>
      </c>
      <c r="I15165" s="48" t="s">
        <v>19530</v>
      </c>
    </row>
    <row r="15166" spans="2:9" ht="15" customHeight="1" x14ac:dyDescent="0.25">
      <c r="B15166" s="55" t="s">
        <v>282</v>
      </c>
      <c r="C15166" s="46">
        <v>154</v>
      </c>
      <c r="D15166" s="69" t="s">
        <v>29419</v>
      </c>
      <c r="E15166" s="51"/>
      <c r="F15166" s="114" t="str">
        <f>IF(INDEX(I.Facility.P3IDNumber,154)="","",INDEX(I.Facility.P3IDNumber,154))</f>
        <v/>
      </c>
      <c r="G15166" s="51"/>
      <c r="H15166" s="46" t="str">
        <f>IF(AND(I.Developer.P3=TRUE,I.Facility.P3FacilityCount&gt;=154,F15166=""),"Incomplete","Complete")</f>
        <v>Complete</v>
      </c>
      <c r="I15166" s="48" t="s">
        <v>19531</v>
      </c>
    </row>
    <row r="15167" spans="2:9" ht="15" customHeight="1" x14ac:dyDescent="0.25">
      <c r="B15167" s="55" t="s">
        <v>282</v>
      </c>
      <c r="C15167" s="46">
        <v>155</v>
      </c>
      <c r="D15167" s="69" t="s">
        <v>29419</v>
      </c>
      <c r="E15167" s="51"/>
      <c r="F15167" s="114" t="str">
        <f>IF(INDEX(I.Facility.P3IDNumber,155)="","",INDEX(I.Facility.P3IDNumber,155))</f>
        <v/>
      </c>
      <c r="G15167" s="51"/>
      <c r="H15167" s="46" t="str">
        <f>IF(AND(I.Developer.P3=TRUE,I.Facility.P3FacilityCount&gt;=155,F15167=""),"Incomplete","Complete")</f>
        <v>Complete</v>
      </c>
      <c r="I15167" s="48" t="s">
        <v>19532</v>
      </c>
    </row>
    <row r="15168" spans="2:9" ht="15" customHeight="1" x14ac:dyDescent="0.25">
      <c r="B15168" s="55" t="s">
        <v>282</v>
      </c>
      <c r="C15168" s="46">
        <v>156</v>
      </c>
      <c r="D15168" s="69" t="s">
        <v>29419</v>
      </c>
      <c r="E15168" s="51"/>
      <c r="F15168" s="114" t="str">
        <f>IF(INDEX(I.Facility.P3IDNumber,156)="","",INDEX(I.Facility.P3IDNumber,156))</f>
        <v/>
      </c>
      <c r="G15168" s="51"/>
      <c r="H15168" s="46" t="str">
        <f>IF(AND(I.Developer.P3=TRUE,I.Facility.P3FacilityCount&gt;=156,F15168=""),"Incomplete","Complete")</f>
        <v>Complete</v>
      </c>
      <c r="I15168" s="48" t="s">
        <v>19533</v>
      </c>
    </row>
    <row r="15169" spans="2:9" ht="15" customHeight="1" x14ac:dyDescent="0.25">
      <c r="B15169" s="55" t="s">
        <v>282</v>
      </c>
      <c r="C15169" s="46">
        <v>157</v>
      </c>
      <c r="D15169" s="69" t="s">
        <v>29419</v>
      </c>
      <c r="E15169" s="51"/>
      <c r="F15169" s="114" t="str">
        <f>IF(INDEX(I.Facility.P3IDNumber,157)="","",INDEX(I.Facility.P3IDNumber,157))</f>
        <v/>
      </c>
      <c r="G15169" s="51"/>
      <c r="H15169" s="46" t="str">
        <f>IF(AND(I.Developer.P3=TRUE,I.Facility.P3FacilityCount&gt;=157,F15169=""),"Incomplete","Complete")</f>
        <v>Complete</v>
      </c>
      <c r="I15169" s="48" t="s">
        <v>19534</v>
      </c>
    </row>
    <row r="15170" spans="2:9" ht="15" customHeight="1" x14ac:dyDescent="0.25">
      <c r="B15170" s="55" t="s">
        <v>282</v>
      </c>
      <c r="C15170" s="46">
        <v>158</v>
      </c>
      <c r="D15170" s="69" t="s">
        <v>29419</v>
      </c>
      <c r="E15170" s="51"/>
      <c r="F15170" s="114" t="str">
        <f>IF(INDEX(I.Facility.P3IDNumber,158)="","",INDEX(I.Facility.P3IDNumber,158))</f>
        <v/>
      </c>
      <c r="G15170" s="51"/>
      <c r="H15170" s="46" t="str">
        <f>IF(AND(I.Developer.P3=TRUE,I.Facility.P3FacilityCount&gt;=158,F15170=""),"Incomplete","Complete")</f>
        <v>Complete</v>
      </c>
      <c r="I15170" s="48" t="s">
        <v>19535</v>
      </c>
    </row>
    <row r="15171" spans="2:9" ht="15" customHeight="1" x14ac:dyDescent="0.25">
      <c r="B15171" s="55" t="s">
        <v>282</v>
      </c>
      <c r="C15171" s="46">
        <v>159</v>
      </c>
      <c r="D15171" s="69" t="s">
        <v>29419</v>
      </c>
      <c r="E15171" s="51"/>
      <c r="F15171" s="114" t="str">
        <f>IF(INDEX(I.Facility.P3IDNumber,159)="","",INDEX(I.Facility.P3IDNumber,159))</f>
        <v/>
      </c>
      <c r="G15171" s="51"/>
      <c r="H15171" s="46" t="str">
        <f>IF(AND(I.Developer.P3=TRUE,I.Facility.P3FacilityCount&gt;=159,F15171=""),"Incomplete","Complete")</f>
        <v>Complete</v>
      </c>
      <c r="I15171" s="48" t="s">
        <v>19536</v>
      </c>
    </row>
    <row r="15172" spans="2:9" ht="15" customHeight="1" x14ac:dyDescent="0.25">
      <c r="B15172" s="55" t="s">
        <v>282</v>
      </c>
      <c r="C15172" s="46">
        <v>160</v>
      </c>
      <c r="D15172" s="69" t="s">
        <v>29419</v>
      </c>
      <c r="E15172" s="51"/>
      <c r="F15172" s="114" t="str">
        <f>IF(INDEX(I.Facility.P3IDNumber,160)="","",INDEX(I.Facility.P3IDNumber,160))</f>
        <v/>
      </c>
      <c r="G15172" s="51"/>
      <c r="H15172" s="46" t="str">
        <f>IF(AND(I.Developer.P3=TRUE,I.Facility.P3FacilityCount&gt;=160,F15172=""),"Incomplete","Complete")</f>
        <v>Complete</v>
      </c>
      <c r="I15172" s="48" t="s">
        <v>19537</v>
      </c>
    </row>
    <row r="15173" spans="2:9" ht="15" customHeight="1" x14ac:dyDescent="0.25">
      <c r="B15173" s="55" t="s">
        <v>282</v>
      </c>
      <c r="C15173" s="46">
        <v>161</v>
      </c>
      <c r="D15173" s="69" t="s">
        <v>29419</v>
      </c>
      <c r="E15173" s="51"/>
      <c r="F15173" s="114" t="str">
        <f>IF(INDEX(I.Facility.P3IDNumber,161)="","",INDEX(I.Facility.P3IDNumber,161))</f>
        <v/>
      </c>
      <c r="G15173" s="51"/>
      <c r="H15173" s="46" t="str">
        <f>IF(AND(I.Developer.P3=TRUE,I.Facility.P3FacilityCount&gt;=161,F15173=""),"Incomplete","Complete")</f>
        <v>Complete</v>
      </c>
      <c r="I15173" s="48" t="s">
        <v>19538</v>
      </c>
    </row>
    <row r="15174" spans="2:9" ht="15" customHeight="1" x14ac:dyDescent="0.25">
      <c r="B15174" s="55" t="s">
        <v>282</v>
      </c>
      <c r="C15174" s="46">
        <v>162</v>
      </c>
      <c r="D15174" s="69" t="s">
        <v>29419</v>
      </c>
      <c r="E15174" s="51"/>
      <c r="F15174" s="114" t="str">
        <f>IF(INDEX(I.Facility.P3IDNumber,162)="","",INDEX(I.Facility.P3IDNumber,162))</f>
        <v/>
      </c>
      <c r="G15174" s="51"/>
      <c r="H15174" s="46" t="str">
        <f>IF(AND(I.Developer.P3=TRUE,I.Facility.P3FacilityCount&gt;=162,F15174=""),"Incomplete","Complete")</f>
        <v>Complete</v>
      </c>
      <c r="I15174" s="48" t="s">
        <v>19539</v>
      </c>
    </row>
    <row r="15175" spans="2:9" ht="15" customHeight="1" x14ac:dyDescent="0.25">
      <c r="B15175" s="55" t="s">
        <v>282</v>
      </c>
      <c r="C15175" s="46">
        <v>163</v>
      </c>
      <c r="D15175" s="69" t="s">
        <v>29419</v>
      </c>
      <c r="E15175" s="51"/>
      <c r="F15175" s="114" t="str">
        <f>IF(INDEX(I.Facility.P3IDNumber,163)="","",INDEX(I.Facility.P3IDNumber,163))</f>
        <v/>
      </c>
      <c r="G15175" s="51"/>
      <c r="H15175" s="46" t="str">
        <f>IF(AND(I.Developer.P3=TRUE,I.Facility.P3FacilityCount&gt;=163,F15175=""),"Incomplete","Complete")</f>
        <v>Complete</v>
      </c>
      <c r="I15175" s="48" t="s">
        <v>19540</v>
      </c>
    </row>
    <row r="15176" spans="2:9" ht="15" customHeight="1" x14ac:dyDescent="0.25">
      <c r="B15176" s="55" t="s">
        <v>282</v>
      </c>
      <c r="C15176" s="46">
        <v>164</v>
      </c>
      <c r="D15176" s="69" t="s">
        <v>29419</v>
      </c>
      <c r="E15176" s="51"/>
      <c r="F15176" s="114" t="str">
        <f>IF(INDEX(I.Facility.P3IDNumber,164)="","",INDEX(I.Facility.P3IDNumber,164))</f>
        <v/>
      </c>
      <c r="G15176" s="51"/>
      <c r="H15176" s="46" t="str">
        <f>IF(AND(I.Developer.P3=TRUE,I.Facility.P3FacilityCount&gt;=164,F15176=""),"Incomplete","Complete")</f>
        <v>Complete</v>
      </c>
      <c r="I15176" s="48" t="s">
        <v>19541</v>
      </c>
    </row>
    <row r="15177" spans="2:9" ht="15" customHeight="1" x14ac:dyDescent="0.25">
      <c r="B15177" s="55" t="s">
        <v>282</v>
      </c>
      <c r="C15177" s="46">
        <v>165</v>
      </c>
      <c r="D15177" s="69" t="s">
        <v>29419</v>
      </c>
      <c r="E15177" s="51"/>
      <c r="F15177" s="114" t="str">
        <f>IF(INDEX(I.Facility.P3IDNumber,165)="","",INDEX(I.Facility.P3IDNumber,165))</f>
        <v/>
      </c>
      <c r="G15177" s="51"/>
      <c r="H15177" s="46" t="str">
        <f>IF(AND(I.Developer.P3=TRUE,I.Facility.P3FacilityCount&gt;=165,F15177=""),"Incomplete","Complete")</f>
        <v>Complete</v>
      </c>
      <c r="I15177" s="48" t="s">
        <v>19542</v>
      </c>
    </row>
    <row r="15178" spans="2:9" ht="15" customHeight="1" x14ac:dyDescent="0.25">
      <c r="B15178" s="55" t="s">
        <v>282</v>
      </c>
      <c r="C15178" s="46">
        <v>166</v>
      </c>
      <c r="D15178" s="69" t="s">
        <v>29419</v>
      </c>
      <c r="E15178" s="51"/>
      <c r="F15178" s="114" t="str">
        <f>IF(INDEX(I.Facility.P3IDNumber,166)="","",INDEX(I.Facility.P3IDNumber,166))</f>
        <v/>
      </c>
      <c r="G15178" s="51"/>
      <c r="H15178" s="46" t="str">
        <f>IF(AND(I.Developer.P3=TRUE,I.Facility.P3FacilityCount&gt;=166,F15178=""),"Incomplete","Complete")</f>
        <v>Complete</v>
      </c>
      <c r="I15178" s="48" t="s">
        <v>19543</v>
      </c>
    </row>
    <row r="15179" spans="2:9" ht="15" customHeight="1" x14ac:dyDescent="0.25">
      <c r="B15179" s="55" t="s">
        <v>282</v>
      </c>
      <c r="C15179" s="46">
        <v>167</v>
      </c>
      <c r="D15179" s="69" t="s">
        <v>29419</v>
      </c>
      <c r="E15179" s="51"/>
      <c r="F15179" s="114" t="str">
        <f>IF(INDEX(I.Facility.P3IDNumber,167)="","",INDEX(I.Facility.P3IDNumber,167))</f>
        <v/>
      </c>
      <c r="G15179" s="51"/>
      <c r="H15179" s="46" t="str">
        <f>IF(AND(I.Developer.P3=TRUE,I.Facility.P3FacilityCount&gt;=167,F15179=""),"Incomplete","Complete")</f>
        <v>Complete</v>
      </c>
      <c r="I15179" s="48" t="s">
        <v>19544</v>
      </c>
    </row>
    <row r="15180" spans="2:9" ht="15" customHeight="1" x14ac:dyDescent="0.25">
      <c r="B15180" s="55" t="s">
        <v>282</v>
      </c>
      <c r="C15180" s="46">
        <v>168</v>
      </c>
      <c r="D15180" s="69" t="s">
        <v>29419</v>
      </c>
      <c r="E15180" s="51"/>
      <c r="F15180" s="114" t="str">
        <f>IF(INDEX(I.Facility.P3IDNumber,168)="","",INDEX(I.Facility.P3IDNumber,168))</f>
        <v/>
      </c>
      <c r="G15180" s="51"/>
      <c r="H15180" s="46" t="str">
        <f>IF(AND(I.Developer.P3=TRUE,I.Facility.P3FacilityCount&gt;=168,F15180=""),"Incomplete","Complete")</f>
        <v>Complete</v>
      </c>
      <c r="I15180" s="48" t="s">
        <v>19545</v>
      </c>
    </row>
    <row r="15181" spans="2:9" ht="15" customHeight="1" x14ac:dyDescent="0.25">
      <c r="B15181" s="55" t="s">
        <v>282</v>
      </c>
      <c r="C15181" s="46">
        <v>169</v>
      </c>
      <c r="D15181" s="69" t="s">
        <v>29419</v>
      </c>
      <c r="E15181" s="51"/>
      <c r="F15181" s="114" t="str">
        <f>IF(INDEX(I.Facility.P3IDNumber,169)="","",INDEX(I.Facility.P3IDNumber,169))</f>
        <v/>
      </c>
      <c r="G15181" s="51"/>
      <c r="H15181" s="46" t="str">
        <f>IF(AND(I.Developer.P3=TRUE,I.Facility.P3FacilityCount&gt;=169,F15181=""),"Incomplete","Complete")</f>
        <v>Complete</v>
      </c>
      <c r="I15181" s="48" t="s">
        <v>19546</v>
      </c>
    </row>
    <row r="15182" spans="2:9" ht="15" customHeight="1" x14ac:dyDescent="0.25">
      <c r="B15182" s="55" t="s">
        <v>282</v>
      </c>
      <c r="C15182" s="46">
        <v>170</v>
      </c>
      <c r="D15182" s="69" t="s">
        <v>29419</v>
      </c>
      <c r="E15182" s="51"/>
      <c r="F15182" s="114" t="str">
        <f>IF(INDEX(I.Facility.P3IDNumber,170)="","",INDEX(I.Facility.P3IDNumber,170))</f>
        <v/>
      </c>
      <c r="G15182" s="51"/>
      <c r="H15182" s="46" t="str">
        <f>IF(AND(I.Developer.P3=TRUE,I.Facility.P3FacilityCount&gt;=170,F15182=""),"Incomplete","Complete")</f>
        <v>Complete</v>
      </c>
      <c r="I15182" s="48" t="s">
        <v>19547</v>
      </c>
    </row>
    <row r="15183" spans="2:9" ht="15" customHeight="1" x14ac:dyDescent="0.25">
      <c r="B15183" s="55" t="s">
        <v>282</v>
      </c>
      <c r="C15183" s="46">
        <v>171</v>
      </c>
      <c r="D15183" s="69" t="s">
        <v>29419</v>
      </c>
      <c r="E15183" s="51"/>
      <c r="F15183" s="114" t="str">
        <f>IF(INDEX(I.Facility.P3IDNumber,171)="","",INDEX(I.Facility.P3IDNumber,171))</f>
        <v/>
      </c>
      <c r="G15183" s="51"/>
      <c r="H15183" s="46" t="str">
        <f>IF(AND(I.Developer.P3=TRUE,I.Facility.P3FacilityCount&gt;=171,F15183=""),"Incomplete","Complete")</f>
        <v>Complete</v>
      </c>
      <c r="I15183" s="48" t="s">
        <v>19548</v>
      </c>
    </row>
    <row r="15184" spans="2:9" ht="15" customHeight="1" x14ac:dyDescent="0.25">
      <c r="B15184" s="55" t="s">
        <v>282</v>
      </c>
      <c r="C15184" s="46">
        <v>172</v>
      </c>
      <c r="D15184" s="69" t="s">
        <v>29419</v>
      </c>
      <c r="E15184" s="51"/>
      <c r="F15184" s="114" t="str">
        <f>IF(INDEX(I.Facility.P3IDNumber,172)="","",INDEX(I.Facility.P3IDNumber,172))</f>
        <v/>
      </c>
      <c r="G15184" s="51"/>
      <c r="H15184" s="46" t="str">
        <f>IF(AND(I.Developer.P3=TRUE,I.Facility.P3FacilityCount&gt;=172,F15184=""),"Incomplete","Complete")</f>
        <v>Complete</v>
      </c>
      <c r="I15184" s="48" t="s">
        <v>19549</v>
      </c>
    </row>
    <row r="15185" spans="2:9" ht="15" customHeight="1" x14ac:dyDescent="0.25">
      <c r="B15185" s="55" t="s">
        <v>282</v>
      </c>
      <c r="C15185" s="46">
        <v>173</v>
      </c>
      <c r="D15185" s="69" t="s">
        <v>29419</v>
      </c>
      <c r="E15185" s="51"/>
      <c r="F15185" s="114" t="str">
        <f>IF(INDEX(I.Facility.P3IDNumber,173)="","",INDEX(I.Facility.P3IDNumber,173))</f>
        <v/>
      </c>
      <c r="G15185" s="51"/>
      <c r="H15185" s="46" t="str">
        <f>IF(AND(I.Developer.P3=TRUE,I.Facility.P3FacilityCount&gt;=173,F15185=""),"Incomplete","Complete")</f>
        <v>Complete</v>
      </c>
      <c r="I15185" s="48" t="s">
        <v>19550</v>
      </c>
    </row>
    <row r="15186" spans="2:9" ht="15" customHeight="1" x14ac:dyDescent="0.25">
      <c r="B15186" s="55" t="s">
        <v>282</v>
      </c>
      <c r="C15186" s="46">
        <v>174</v>
      </c>
      <c r="D15186" s="69" t="s">
        <v>29419</v>
      </c>
      <c r="E15186" s="51"/>
      <c r="F15186" s="114" t="str">
        <f>IF(INDEX(I.Facility.P3IDNumber,174)="","",INDEX(I.Facility.P3IDNumber,174))</f>
        <v/>
      </c>
      <c r="G15186" s="51"/>
      <c r="H15186" s="46" t="str">
        <f>IF(AND(I.Developer.P3=TRUE,I.Facility.P3FacilityCount&gt;=174,F15186=""),"Incomplete","Complete")</f>
        <v>Complete</v>
      </c>
      <c r="I15186" s="48" t="s">
        <v>19551</v>
      </c>
    </row>
    <row r="15187" spans="2:9" ht="15" customHeight="1" x14ac:dyDescent="0.25">
      <c r="B15187" s="55" t="s">
        <v>282</v>
      </c>
      <c r="C15187" s="46">
        <v>175</v>
      </c>
      <c r="D15187" s="69" t="s">
        <v>29419</v>
      </c>
      <c r="E15187" s="51"/>
      <c r="F15187" s="114" t="str">
        <f>IF(INDEX(I.Facility.P3IDNumber,175)="","",INDEX(I.Facility.P3IDNumber,175))</f>
        <v/>
      </c>
      <c r="G15187" s="51"/>
      <c r="H15187" s="46" t="str">
        <f>IF(AND(I.Developer.P3=TRUE,I.Facility.P3FacilityCount&gt;=175,F15187=""),"Incomplete","Complete")</f>
        <v>Complete</v>
      </c>
      <c r="I15187" s="48" t="s">
        <v>19552</v>
      </c>
    </row>
    <row r="15188" spans="2:9" ht="15" customHeight="1" x14ac:dyDescent="0.25">
      <c r="B15188" s="55" t="s">
        <v>282</v>
      </c>
      <c r="C15188" s="46">
        <v>176</v>
      </c>
      <c r="D15188" s="69" t="s">
        <v>29419</v>
      </c>
      <c r="E15188" s="51"/>
      <c r="F15188" s="114" t="str">
        <f>IF(INDEX(I.Facility.P3IDNumber,176)="","",INDEX(I.Facility.P3IDNumber,176))</f>
        <v/>
      </c>
      <c r="G15188" s="51"/>
      <c r="H15188" s="46" t="str">
        <f>IF(AND(I.Developer.P3=TRUE,I.Facility.P3FacilityCount&gt;=176,F15188=""),"Incomplete","Complete")</f>
        <v>Complete</v>
      </c>
      <c r="I15188" s="48" t="s">
        <v>19553</v>
      </c>
    </row>
    <row r="15189" spans="2:9" ht="15" customHeight="1" x14ac:dyDescent="0.25">
      <c r="B15189" s="55" t="s">
        <v>282</v>
      </c>
      <c r="C15189" s="46">
        <v>177</v>
      </c>
      <c r="D15189" s="69" t="s">
        <v>29419</v>
      </c>
      <c r="E15189" s="51"/>
      <c r="F15189" s="114" t="str">
        <f>IF(INDEX(I.Facility.P3IDNumber,177)="","",INDEX(I.Facility.P3IDNumber,177))</f>
        <v/>
      </c>
      <c r="G15189" s="51"/>
      <c r="H15189" s="46" t="str">
        <f>IF(AND(I.Developer.P3=TRUE,I.Facility.P3FacilityCount&gt;=177,F15189=""),"Incomplete","Complete")</f>
        <v>Complete</v>
      </c>
      <c r="I15189" s="48" t="s">
        <v>19554</v>
      </c>
    </row>
    <row r="15190" spans="2:9" ht="15" customHeight="1" x14ac:dyDescent="0.25">
      <c r="B15190" s="55" t="s">
        <v>282</v>
      </c>
      <c r="C15190" s="46">
        <v>178</v>
      </c>
      <c r="D15190" s="69" t="s">
        <v>29419</v>
      </c>
      <c r="E15190" s="51"/>
      <c r="F15190" s="114" t="str">
        <f>IF(INDEX(I.Facility.P3IDNumber,178)="","",INDEX(I.Facility.P3IDNumber,178))</f>
        <v/>
      </c>
      <c r="G15190" s="51"/>
      <c r="H15190" s="46" t="str">
        <f>IF(AND(I.Developer.P3=TRUE,I.Facility.P3FacilityCount&gt;=178,F15190=""),"Incomplete","Complete")</f>
        <v>Complete</v>
      </c>
      <c r="I15190" s="48" t="s">
        <v>19555</v>
      </c>
    </row>
    <row r="15191" spans="2:9" ht="15" customHeight="1" x14ac:dyDescent="0.25">
      <c r="B15191" s="55" t="s">
        <v>282</v>
      </c>
      <c r="C15191" s="46">
        <v>179</v>
      </c>
      <c r="D15191" s="69" t="s">
        <v>29419</v>
      </c>
      <c r="E15191" s="51"/>
      <c r="F15191" s="114" t="str">
        <f>IF(INDEX(I.Facility.P3IDNumber,179)="","",INDEX(I.Facility.P3IDNumber,179))</f>
        <v/>
      </c>
      <c r="G15191" s="51"/>
      <c r="H15191" s="46" t="str">
        <f>IF(AND(I.Developer.P3=TRUE,I.Facility.P3FacilityCount&gt;=179,F15191=""),"Incomplete","Complete")</f>
        <v>Complete</v>
      </c>
      <c r="I15191" s="48" t="s">
        <v>19556</v>
      </c>
    </row>
    <row r="15192" spans="2:9" ht="15" customHeight="1" x14ac:dyDescent="0.25">
      <c r="B15192" s="55" t="s">
        <v>282</v>
      </c>
      <c r="C15192" s="46">
        <v>180</v>
      </c>
      <c r="D15192" s="69" t="s">
        <v>29419</v>
      </c>
      <c r="E15192" s="51"/>
      <c r="F15192" s="114" t="str">
        <f>IF(INDEX(I.Facility.P3IDNumber,180)="","",INDEX(I.Facility.P3IDNumber,180))</f>
        <v/>
      </c>
      <c r="G15192" s="51"/>
      <c r="H15192" s="46" t="str">
        <f>IF(AND(I.Developer.P3=TRUE,I.Facility.P3FacilityCount&gt;=180,F15192=""),"Incomplete","Complete")</f>
        <v>Complete</v>
      </c>
      <c r="I15192" s="48" t="s">
        <v>19557</v>
      </c>
    </row>
    <row r="15193" spans="2:9" ht="15" customHeight="1" x14ac:dyDescent="0.25">
      <c r="B15193" s="55" t="s">
        <v>282</v>
      </c>
      <c r="C15193" s="46">
        <v>181</v>
      </c>
      <c r="D15193" s="69" t="s">
        <v>29419</v>
      </c>
      <c r="E15193" s="51"/>
      <c r="F15193" s="114" t="str">
        <f>IF(INDEX(I.Facility.P3IDNumber,181)="","",INDEX(I.Facility.P3IDNumber,181))</f>
        <v/>
      </c>
      <c r="G15193" s="51"/>
      <c r="H15193" s="46" t="str">
        <f>IF(AND(I.Developer.P3=TRUE,I.Facility.P3FacilityCount&gt;=181,F15193=""),"Incomplete","Complete")</f>
        <v>Complete</v>
      </c>
      <c r="I15193" s="48" t="s">
        <v>19558</v>
      </c>
    </row>
    <row r="15194" spans="2:9" ht="15" customHeight="1" x14ac:dyDescent="0.25">
      <c r="B15194" s="55" t="s">
        <v>282</v>
      </c>
      <c r="C15194" s="46">
        <v>182</v>
      </c>
      <c r="D15194" s="69" t="s">
        <v>29419</v>
      </c>
      <c r="E15194" s="51"/>
      <c r="F15194" s="114" t="str">
        <f>IF(INDEX(I.Facility.P3IDNumber,182)="","",INDEX(I.Facility.P3IDNumber,182))</f>
        <v/>
      </c>
      <c r="G15194" s="51"/>
      <c r="H15194" s="46" t="str">
        <f>IF(AND(I.Developer.P3=TRUE,I.Facility.P3FacilityCount&gt;=182,F15194=""),"Incomplete","Complete")</f>
        <v>Complete</v>
      </c>
      <c r="I15194" s="48" t="s">
        <v>19559</v>
      </c>
    </row>
    <row r="15195" spans="2:9" ht="15" customHeight="1" x14ac:dyDescent="0.25">
      <c r="B15195" s="55" t="s">
        <v>282</v>
      </c>
      <c r="C15195" s="46">
        <v>183</v>
      </c>
      <c r="D15195" s="69" t="s">
        <v>29419</v>
      </c>
      <c r="E15195" s="51"/>
      <c r="F15195" s="114" t="str">
        <f>IF(INDEX(I.Facility.P3IDNumber,183)="","",INDEX(I.Facility.P3IDNumber,183))</f>
        <v/>
      </c>
      <c r="G15195" s="51"/>
      <c r="H15195" s="46" t="str">
        <f>IF(AND(I.Developer.P3=TRUE,I.Facility.P3FacilityCount&gt;=183,F15195=""),"Incomplete","Complete")</f>
        <v>Complete</v>
      </c>
      <c r="I15195" s="48" t="s">
        <v>19560</v>
      </c>
    </row>
    <row r="15196" spans="2:9" ht="15" customHeight="1" x14ac:dyDescent="0.25">
      <c r="B15196" s="55" t="s">
        <v>282</v>
      </c>
      <c r="C15196" s="46">
        <v>184</v>
      </c>
      <c r="D15196" s="69" t="s">
        <v>29419</v>
      </c>
      <c r="E15196" s="51"/>
      <c r="F15196" s="114" t="str">
        <f>IF(INDEX(I.Facility.P3IDNumber,184)="","",INDEX(I.Facility.P3IDNumber,184))</f>
        <v/>
      </c>
      <c r="G15196" s="51"/>
      <c r="H15196" s="46" t="str">
        <f>IF(AND(I.Developer.P3=TRUE,I.Facility.P3FacilityCount&gt;=184,F15196=""),"Incomplete","Complete")</f>
        <v>Complete</v>
      </c>
      <c r="I15196" s="48" t="s">
        <v>19561</v>
      </c>
    </row>
    <row r="15197" spans="2:9" ht="15" customHeight="1" x14ac:dyDescent="0.25">
      <c r="B15197" s="55" t="s">
        <v>282</v>
      </c>
      <c r="C15197" s="46">
        <v>185</v>
      </c>
      <c r="D15197" s="69" t="s">
        <v>29419</v>
      </c>
      <c r="E15197" s="51"/>
      <c r="F15197" s="114" t="str">
        <f>IF(INDEX(I.Facility.P3IDNumber,185)="","",INDEX(I.Facility.P3IDNumber,185))</f>
        <v/>
      </c>
      <c r="G15197" s="51"/>
      <c r="H15197" s="46" t="str">
        <f>IF(AND(I.Developer.P3=TRUE,I.Facility.P3FacilityCount&gt;=185,F15197=""),"Incomplete","Complete")</f>
        <v>Complete</v>
      </c>
      <c r="I15197" s="48" t="s">
        <v>19562</v>
      </c>
    </row>
    <row r="15198" spans="2:9" ht="15" customHeight="1" x14ac:dyDescent="0.25">
      <c r="B15198" s="55" t="s">
        <v>282</v>
      </c>
      <c r="C15198" s="46">
        <v>186</v>
      </c>
      <c r="D15198" s="69" t="s">
        <v>29419</v>
      </c>
      <c r="E15198" s="51"/>
      <c r="F15198" s="114" t="str">
        <f>IF(INDEX(I.Facility.P3IDNumber,186)="","",INDEX(I.Facility.P3IDNumber,186))</f>
        <v/>
      </c>
      <c r="G15198" s="51"/>
      <c r="H15198" s="46" t="str">
        <f>IF(AND(I.Developer.P3=TRUE,I.Facility.P3FacilityCount&gt;=186,F15198=""),"Incomplete","Complete")</f>
        <v>Complete</v>
      </c>
      <c r="I15198" s="48" t="s">
        <v>19563</v>
      </c>
    </row>
    <row r="15199" spans="2:9" ht="15" customHeight="1" x14ac:dyDescent="0.25">
      <c r="B15199" s="55" t="s">
        <v>282</v>
      </c>
      <c r="C15199" s="46">
        <v>187</v>
      </c>
      <c r="D15199" s="69" t="s">
        <v>29419</v>
      </c>
      <c r="E15199" s="51"/>
      <c r="F15199" s="114" t="str">
        <f>IF(INDEX(I.Facility.P3IDNumber,187)="","",INDEX(I.Facility.P3IDNumber,187))</f>
        <v/>
      </c>
      <c r="G15199" s="51"/>
      <c r="H15199" s="46" t="str">
        <f>IF(AND(I.Developer.P3=TRUE,I.Facility.P3FacilityCount&gt;=187,F15199=""),"Incomplete","Complete")</f>
        <v>Complete</v>
      </c>
      <c r="I15199" s="48" t="s">
        <v>19564</v>
      </c>
    </row>
    <row r="15200" spans="2:9" ht="15" customHeight="1" x14ac:dyDescent="0.25">
      <c r="B15200" s="55" t="s">
        <v>282</v>
      </c>
      <c r="C15200" s="46">
        <v>188</v>
      </c>
      <c r="D15200" s="69" t="s">
        <v>29419</v>
      </c>
      <c r="E15200" s="51"/>
      <c r="F15200" s="114" t="str">
        <f>IF(INDEX(I.Facility.P3IDNumber,188)="","",INDEX(I.Facility.P3IDNumber,188))</f>
        <v/>
      </c>
      <c r="G15200" s="51"/>
      <c r="H15200" s="46" t="str">
        <f>IF(AND(I.Developer.P3=TRUE,I.Facility.P3FacilityCount&gt;=188,F15200=""),"Incomplete","Complete")</f>
        <v>Complete</v>
      </c>
      <c r="I15200" s="48" t="s">
        <v>19565</v>
      </c>
    </row>
    <row r="15201" spans="2:9" ht="15" customHeight="1" x14ac:dyDescent="0.25">
      <c r="B15201" s="55" t="s">
        <v>282</v>
      </c>
      <c r="C15201" s="46">
        <v>189</v>
      </c>
      <c r="D15201" s="69" t="s">
        <v>29419</v>
      </c>
      <c r="E15201" s="51"/>
      <c r="F15201" s="114" t="str">
        <f>IF(INDEX(I.Facility.P3IDNumber,189)="","",INDEX(I.Facility.P3IDNumber,189))</f>
        <v/>
      </c>
      <c r="G15201" s="51"/>
      <c r="H15201" s="46" t="str">
        <f>IF(AND(I.Developer.P3=TRUE,I.Facility.P3FacilityCount&gt;=189,F15201=""),"Incomplete","Complete")</f>
        <v>Complete</v>
      </c>
      <c r="I15201" s="48" t="s">
        <v>19566</v>
      </c>
    </row>
    <row r="15202" spans="2:9" ht="15" customHeight="1" x14ac:dyDescent="0.25">
      <c r="B15202" s="55" t="s">
        <v>282</v>
      </c>
      <c r="C15202" s="46">
        <v>190</v>
      </c>
      <c r="D15202" s="69" t="s">
        <v>29419</v>
      </c>
      <c r="E15202" s="51"/>
      <c r="F15202" s="114" t="str">
        <f>IF(INDEX(I.Facility.P3IDNumber,190)="","",INDEX(I.Facility.P3IDNumber,190))</f>
        <v/>
      </c>
      <c r="G15202" s="51"/>
      <c r="H15202" s="46" t="str">
        <f>IF(AND(I.Developer.P3=TRUE,I.Facility.P3FacilityCount&gt;=190,F15202=""),"Incomplete","Complete")</f>
        <v>Complete</v>
      </c>
      <c r="I15202" s="48" t="s">
        <v>19567</v>
      </c>
    </row>
    <row r="15203" spans="2:9" ht="15" customHeight="1" x14ac:dyDescent="0.25">
      <c r="B15203" s="55" t="s">
        <v>282</v>
      </c>
      <c r="C15203" s="46">
        <v>191</v>
      </c>
      <c r="D15203" s="69" t="s">
        <v>29419</v>
      </c>
      <c r="E15203" s="51"/>
      <c r="F15203" s="114" t="str">
        <f>IF(INDEX(I.Facility.P3IDNumber,191)="","",INDEX(I.Facility.P3IDNumber,191))</f>
        <v/>
      </c>
      <c r="G15203" s="51"/>
      <c r="H15203" s="46" t="str">
        <f>IF(AND(I.Developer.P3=TRUE,I.Facility.P3FacilityCount&gt;=191,F15203=""),"Incomplete","Complete")</f>
        <v>Complete</v>
      </c>
      <c r="I15203" s="48" t="s">
        <v>19568</v>
      </c>
    </row>
    <row r="15204" spans="2:9" ht="15" customHeight="1" x14ac:dyDescent="0.25">
      <c r="B15204" s="55" t="s">
        <v>282</v>
      </c>
      <c r="C15204" s="46">
        <v>192</v>
      </c>
      <c r="D15204" s="69" t="s">
        <v>29419</v>
      </c>
      <c r="E15204" s="51"/>
      <c r="F15204" s="114" t="str">
        <f>IF(INDEX(I.Facility.P3IDNumber,192)="","",INDEX(I.Facility.P3IDNumber,192))</f>
        <v/>
      </c>
      <c r="G15204" s="51"/>
      <c r="H15204" s="46" t="str">
        <f>IF(AND(I.Developer.P3=TRUE,I.Facility.P3FacilityCount&gt;=192,F15204=""),"Incomplete","Complete")</f>
        <v>Complete</v>
      </c>
      <c r="I15204" s="48" t="s">
        <v>19569</v>
      </c>
    </row>
    <row r="15205" spans="2:9" ht="15" customHeight="1" x14ac:dyDescent="0.25">
      <c r="B15205" s="55" t="s">
        <v>282</v>
      </c>
      <c r="C15205" s="46">
        <v>193</v>
      </c>
      <c r="D15205" s="69" t="s">
        <v>29419</v>
      </c>
      <c r="E15205" s="51"/>
      <c r="F15205" s="114" t="str">
        <f>IF(INDEX(I.Facility.P3IDNumber,193)="","",INDEX(I.Facility.P3IDNumber,193))</f>
        <v/>
      </c>
      <c r="G15205" s="51"/>
      <c r="H15205" s="46" t="str">
        <f>IF(AND(I.Developer.P3=TRUE,I.Facility.P3FacilityCount&gt;=193,F15205=""),"Incomplete","Complete")</f>
        <v>Complete</v>
      </c>
      <c r="I15205" s="48" t="s">
        <v>19570</v>
      </c>
    </row>
    <row r="15206" spans="2:9" ht="15" customHeight="1" x14ac:dyDescent="0.25">
      <c r="B15206" s="55" t="s">
        <v>282</v>
      </c>
      <c r="C15206" s="46">
        <v>194</v>
      </c>
      <c r="D15206" s="69" t="s">
        <v>29419</v>
      </c>
      <c r="E15206" s="51"/>
      <c r="F15206" s="114" t="str">
        <f>IF(INDEX(I.Facility.P3IDNumber,194)="","",INDEX(I.Facility.P3IDNumber,194))</f>
        <v/>
      </c>
      <c r="G15206" s="51"/>
      <c r="H15206" s="46" t="str">
        <f>IF(AND(I.Developer.P3=TRUE,I.Facility.P3FacilityCount&gt;=194,F15206=""),"Incomplete","Complete")</f>
        <v>Complete</v>
      </c>
      <c r="I15206" s="48" t="s">
        <v>19571</v>
      </c>
    </row>
    <row r="15207" spans="2:9" ht="15" customHeight="1" x14ac:dyDescent="0.25">
      <c r="B15207" s="55" t="s">
        <v>282</v>
      </c>
      <c r="C15207" s="46">
        <v>195</v>
      </c>
      <c r="D15207" s="69" t="s">
        <v>29419</v>
      </c>
      <c r="E15207" s="51"/>
      <c r="F15207" s="114" t="str">
        <f>IF(INDEX(I.Facility.P3IDNumber,195)="","",INDEX(I.Facility.P3IDNumber,195))</f>
        <v/>
      </c>
      <c r="G15207" s="51"/>
      <c r="H15207" s="46" t="str">
        <f>IF(AND(I.Developer.P3=TRUE,I.Facility.P3FacilityCount&gt;=195,F15207=""),"Incomplete","Complete")</f>
        <v>Complete</v>
      </c>
      <c r="I15207" s="48" t="s">
        <v>19572</v>
      </c>
    </row>
    <row r="15208" spans="2:9" ht="15" customHeight="1" x14ac:dyDescent="0.25">
      <c r="B15208" s="55" t="s">
        <v>282</v>
      </c>
      <c r="C15208" s="46">
        <v>196</v>
      </c>
      <c r="D15208" s="69" t="s">
        <v>29419</v>
      </c>
      <c r="E15208" s="51"/>
      <c r="F15208" s="114" t="str">
        <f>IF(INDEX(I.Facility.P3IDNumber,196)="","",INDEX(I.Facility.P3IDNumber,196))</f>
        <v/>
      </c>
      <c r="G15208" s="51"/>
      <c r="H15208" s="46" t="str">
        <f>IF(AND(I.Developer.P3=TRUE,I.Facility.P3FacilityCount&gt;=196,F15208=""),"Incomplete","Complete")</f>
        <v>Complete</v>
      </c>
      <c r="I15208" s="48" t="s">
        <v>19573</v>
      </c>
    </row>
    <row r="15209" spans="2:9" ht="15" customHeight="1" x14ac:dyDescent="0.25">
      <c r="B15209" s="55" t="s">
        <v>282</v>
      </c>
      <c r="C15209" s="46">
        <v>197</v>
      </c>
      <c r="D15209" s="69" t="s">
        <v>29419</v>
      </c>
      <c r="E15209" s="51"/>
      <c r="F15209" s="114" t="str">
        <f>IF(INDEX(I.Facility.P3IDNumber,197)="","",INDEX(I.Facility.P3IDNumber,197))</f>
        <v/>
      </c>
      <c r="G15209" s="51"/>
      <c r="H15209" s="46" t="str">
        <f>IF(AND(I.Developer.P3=TRUE,I.Facility.P3FacilityCount&gt;=197,F15209=""),"Incomplete","Complete")</f>
        <v>Complete</v>
      </c>
      <c r="I15209" s="48" t="s">
        <v>19574</v>
      </c>
    </row>
    <row r="15210" spans="2:9" ht="15" customHeight="1" x14ac:dyDescent="0.25">
      <c r="B15210" s="55" t="s">
        <v>282</v>
      </c>
      <c r="C15210" s="46">
        <v>198</v>
      </c>
      <c r="D15210" s="69" t="s">
        <v>29419</v>
      </c>
      <c r="E15210" s="51"/>
      <c r="F15210" s="114" t="str">
        <f>IF(INDEX(I.Facility.P3IDNumber,198)="","",INDEX(I.Facility.P3IDNumber,198))</f>
        <v/>
      </c>
      <c r="G15210" s="51"/>
      <c r="H15210" s="46" t="str">
        <f>IF(AND(I.Developer.P3=TRUE,I.Facility.P3FacilityCount&gt;=198,F15210=""),"Incomplete","Complete")</f>
        <v>Complete</v>
      </c>
      <c r="I15210" s="48" t="s">
        <v>19575</v>
      </c>
    </row>
    <row r="15211" spans="2:9" ht="15" customHeight="1" x14ac:dyDescent="0.25">
      <c r="B15211" s="55" t="s">
        <v>282</v>
      </c>
      <c r="C15211" s="46">
        <v>199</v>
      </c>
      <c r="D15211" s="69" t="s">
        <v>29419</v>
      </c>
      <c r="E15211" s="51"/>
      <c r="F15211" s="114" t="str">
        <f>IF(INDEX(I.Facility.P3IDNumber,199)="","",INDEX(I.Facility.P3IDNumber,199))</f>
        <v/>
      </c>
      <c r="G15211" s="51"/>
      <c r="H15211" s="46" t="str">
        <f>IF(AND(I.Developer.P3=TRUE,I.Facility.P3FacilityCount&gt;=199,F15211=""),"Incomplete","Complete")</f>
        <v>Complete</v>
      </c>
      <c r="I15211" s="48" t="s">
        <v>19576</v>
      </c>
    </row>
    <row r="15212" spans="2:9" ht="15" customHeight="1" x14ac:dyDescent="0.25">
      <c r="B15212" s="55" t="s">
        <v>282</v>
      </c>
      <c r="C15212" s="46">
        <v>200</v>
      </c>
      <c r="D15212" s="69" t="s">
        <v>29419</v>
      </c>
      <c r="E15212" s="51"/>
      <c r="F15212" s="114" t="str">
        <f>IF(INDEX(I.Facility.P3IDNumber,200)="","",INDEX(I.Facility.P3IDNumber,200))</f>
        <v/>
      </c>
      <c r="G15212" s="51"/>
      <c r="H15212" s="46" t="str">
        <f>IF(AND(I.Developer.P3=TRUE,I.Facility.P3FacilityCount&gt;=200,F15212=""),"Incomplete","Complete")</f>
        <v>Complete</v>
      </c>
      <c r="I15212" s="48" t="s">
        <v>19577</v>
      </c>
    </row>
    <row r="15213" spans="2:9" ht="15" customHeight="1" x14ac:dyDescent="0.25">
      <c r="B15213" s="55" t="s">
        <v>282</v>
      </c>
      <c r="C15213" s="46">
        <v>201</v>
      </c>
      <c r="D15213" s="69" t="s">
        <v>29419</v>
      </c>
      <c r="E15213" s="51"/>
      <c r="F15213" s="114" t="str">
        <f>IF(INDEX(I.Facility.P3IDNumber,201)="","",INDEX(I.Facility.P3IDNumber,201))</f>
        <v/>
      </c>
      <c r="G15213" s="51"/>
      <c r="H15213" s="46" t="str">
        <f>IF(AND(I.Developer.P3=TRUE,I.Facility.P3FacilityCount&gt;=201,F15213=""),"Incomplete","Complete")</f>
        <v>Complete</v>
      </c>
      <c r="I15213" s="48" t="s">
        <v>19578</v>
      </c>
    </row>
    <row r="15214" spans="2:9" ht="15" customHeight="1" x14ac:dyDescent="0.25">
      <c r="B15214" s="55" t="s">
        <v>282</v>
      </c>
      <c r="C15214" s="46">
        <v>202</v>
      </c>
      <c r="D15214" s="69" t="s">
        <v>29419</v>
      </c>
      <c r="E15214" s="51"/>
      <c r="F15214" s="114" t="str">
        <f>IF(INDEX(I.Facility.P3IDNumber,202)="","",INDEX(I.Facility.P3IDNumber,202))</f>
        <v/>
      </c>
      <c r="G15214" s="51"/>
      <c r="H15214" s="46" t="str">
        <f>IF(AND(I.Developer.P3=TRUE,I.Facility.P3FacilityCount&gt;=202,F15214=""),"Incomplete","Complete")</f>
        <v>Complete</v>
      </c>
      <c r="I15214" s="48" t="s">
        <v>19579</v>
      </c>
    </row>
    <row r="15215" spans="2:9" ht="15" customHeight="1" x14ac:dyDescent="0.25">
      <c r="B15215" s="55" t="s">
        <v>282</v>
      </c>
      <c r="C15215" s="46">
        <v>203</v>
      </c>
      <c r="D15215" s="69" t="s">
        <v>29419</v>
      </c>
      <c r="E15215" s="51"/>
      <c r="F15215" s="114" t="str">
        <f>IF(INDEX(I.Facility.P3IDNumber,203)="","",INDEX(I.Facility.P3IDNumber,203))</f>
        <v/>
      </c>
      <c r="G15215" s="51"/>
      <c r="H15215" s="46" t="str">
        <f>IF(AND(I.Developer.P3=TRUE,I.Facility.P3FacilityCount&gt;=203,F15215=""),"Incomplete","Complete")</f>
        <v>Complete</v>
      </c>
      <c r="I15215" s="48" t="s">
        <v>19580</v>
      </c>
    </row>
    <row r="15216" spans="2:9" ht="15" customHeight="1" x14ac:dyDescent="0.25">
      <c r="B15216" s="55" t="s">
        <v>282</v>
      </c>
      <c r="C15216" s="46">
        <v>204</v>
      </c>
      <c r="D15216" s="69" t="s">
        <v>29419</v>
      </c>
      <c r="E15216" s="51"/>
      <c r="F15216" s="114" t="str">
        <f>IF(INDEX(I.Facility.P3IDNumber,204)="","",INDEX(I.Facility.P3IDNumber,204))</f>
        <v/>
      </c>
      <c r="G15216" s="51"/>
      <c r="H15216" s="46" t="str">
        <f>IF(AND(I.Developer.P3=TRUE,I.Facility.P3FacilityCount&gt;=204,F15216=""),"Incomplete","Complete")</f>
        <v>Complete</v>
      </c>
      <c r="I15216" s="48" t="s">
        <v>19581</v>
      </c>
    </row>
    <row r="15217" spans="2:9" ht="15" customHeight="1" x14ac:dyDescent="0.25">
      <c r="B15217" s="55" t="s">
        <v>282</v>
      </c>
      <c r="C15217" s="46">
        <v>205</v>
      </c>
      <c r="D15217" s="69" t="s">
        <v>29419</v>
      </c>
      <c r="E15217" s="51"/>
      <c r="F15217" s="114" t="str">
        <f>IF(INDEX(I.Facility.P3IDNumber,205)="","",INDEX(I.Facility.P3IDNumber,205))</f>
        <v/>
      </c>
      <c r="G15217" s="51"/>
      <c r="H15217" s="46" t="str">
        <f>IF(AND(I.Developer.P3=TRUE,I.Facility.P3FacilityCount&gt;=205,F15217=""),"Incomplete","Complete")</f>
        <v>Complete</v>
      </c>
      <c r="I15217" s="48" t="s">
        <v>19582</v>
      </c>
    </row>
    <row r="15218" spans="2:9" ht="15" customHeight="1" x14ac:dyDescent="0.25">
      <c r="B15218" s="55" t="s">
        <v>282</v>
      </c>
      <c r="C15218" s="46">
        <v>206</v>
      </c>
      <c r="D15218" s="69" t="s">
        <v>29419</v>
      </c>
      <c r="E15218" s="51"/>
      <c r="F15218" s="114" t="str">
        <f>IF(INDEX(I.Facility.P3IDNumber,206)="","",INDEX(I.Facility.P3IDNumber,206))</f>
        <v/>
      </c>
      <c r="G15218" s="51"/>
      <c r="H15218" s="46" t="str">
        <f>IF(AND(I.Developer.P3=TRUE,I.Facility.P3FacilityCount&gt;=206,F15218=""),"Incomplete","Complete")</f>
        <v>Complete</v>
      </c>
      <c r="I15218" s="48" t="s">
        <v>19583</v>
      </c>
    </row>
    <row r="15219" spans="2:9" ht="15" customHeight="1" x14ac:dyDescent="0.25">
      <c r="B15219" s="55" t="s">
        <v>282</v>
      </c>
      <c r="C15219" s="46">
        <v>207</v>
      </c>
      <c r="D15219" s="69" t="s">
        <v>29419</v>
      </c>
      <c r="E15219" s="51"/>
      <c r="F15219" s="114" t="str">
        <f>IF(INDEX(I.Facility.P3IDNumber,207)="","",INDEX(I.Facility.P3IDNumber,207))</f>
        <v/>
      </c>
      <c r="G15219" s="51"/>
      <c r="H15219" s="46" t="str">
        <f>IF(AND(I.Developer.P3=TRUE,I.Facility.P3FacilityCount&gt;=207,F15219=""),"Incomplete","Complete")</f>
        <v>Complete</v>
      </c>
      <c r="I15219" s="48" t="s">
        <v>19584</v>
      </c>
    </row>
    <row r="15220" spans="2:9" ht="15" customHeight="1" x14ac:dyDescent="0.25">
      <c r="B15220" s="55" t="s">
        <v>282</v>
      </c>
      <c r="C15220" s="46">
        <v>208</v>
      </c>
      <c r="D15220" s="69" t="s">
        <v>29419</v>
      </c>
      <c r="E15220" s="51"/>
      <c r="F15220" s="114" t="str">
        <f>IF(INDEX(I.Facility.P3IDNumber,208)="","",INDEX(I.Facility.P3IDNumber,208))</f>
        <v/>
      </c>
      <c r="G15220" s="51"/>
      <c r="H15220" s="46" t="str">
        <f>IF(AND(I.Developer.P3=TRUE,I.Facility.P3FacilityCount&gt;=208,F15220=""),"Incomplete","Complete")</f>
        <v>Complete</v>
      </c>
      <c r="I15220" s="48" t="s">
        <v>19585</v>
      </c>
    </row>
    <row r="15221" spans="2:9" ht="15" customHeight="1" x14ac:dyDescent="0.25">
      <c r="B15221" s="55" t="s">
        <v>282</v>
      </c>
      <c r="C15221" s="46">
        <v>209</v>
      </c>
      <c r="D15221" s="69" t="s">
        <v>29419</v>
      </c>
      <c r="E15221" s="51"/>
      <c r="F15221" s="114" t="str">
        <f>IF(INDEX(I.Facility.P3IDNumber,209)="","",INDEX(I.Facility.P3IDNumber,209))</f>
        <v/>
      </c>
      <c r="G15221" s="51"/>
      <c r="H15221" s="46" t="str">
        <f>IF(AND(I.Developer.P3=TRUE,I.Facility.P3FacilityCount&gt;=209,F15221=""),"Incomplete","Complete")</f>
        <v>Complete</v>
      </c>
      <c r="I15221" s="48" t="s">
        <v>19586</v>
      </c>
    </row>
    <row r="15222" spans="2:9" ht="15" customHeight="1" x14ac:dyDescent="0.25">
      <c r="B15222" s="55" t="s">
        <v>282</v>
      </c>
      <c r="C15222" s="46">
        <v>210</v>
      </c>
      <c r="D15222" s="69" t="s">
        <v>29419</v>
      </c>
      <c r="E15222" s="51"/>
      <c r="F15222" s="114" t="str">
        <f>IF(INDEX(I.Facility.P3IDNumber,210)="","",INDEX(I.Facility.P3IDNumber,210))</f>
        <v/>
      </c>
      <c r="G15222" s="51"/>
      <c r="H15222" s="46" t="str">
        <f>IF(AND(I.Developer.P3=TRUE,I.Facility.P3FacilityCount&gt;=210,F15222=""),"Incomplete","Complete")</f>
        <v>Complete</v>
      </c>
      <c r="I15222" s="48" t="s">
        <v>19587</v>
      </c>
    </row>
    <row r="15223" spans="2:9" ht="15" customHeight="1" x14ac:dyDescent="0.25">
      <c r="B15223" s="55" t="s">
        <v>282</v>
      </c>
      <c r="C15223" s="46">
        <v>211</v>
      </c>
      <c r="D15223" s="69" t="s">
        <v>29419</v>
      </c>
      <c r="E15223" s="51"/>
      <c r="F15223" s="114" t="str">
        <f>IF(INDEX(I.Facility.P3IDNumber,211)="","",INDEX(I.Facility.P3IDNumber,211))</f>
        <v/>
      </c>
      <c r="G15223" s="51"/>
      <c r="H15223" s="46" t="str">
        <f>IF(AND(I.Developer.P3=TRUE,I.Facility.P3FacilityCount&gt;=211,F15223=""),"Incomplete","Complete")</f>
        <v>Complete</v>
      </c>
      <c r="I15223" s="48" t="s">
        <v>19588</v>
      </c>
    </row>
    <row r="15224" spans="2:9" ht="15" customHeight="1" x14ac:dyDescent="0.25">
      <c r="B15224" s="55" t="s">
        <v>282</v>
      </c>
      <c r="C15224" s="46">
        <v>212</v>
      </c>
      <c r="D15224" s="69" t="s">
        <v>29419</v>
      </c>
      <c r="E15224" s="51"/>
      <c r="F15224" s="114" t="str">
        <f>IF(INDEX(I.Facility.P3IDNumber,212)="","",INDEX(I.Facility.P3IDNumber,212))</f>
        <v/>
      </c>
      <c r="G15224" s="51"/>
      <c r="H15224" s="46" t="str">
        <f>IF(AND(I.Developer.P3=TRUE,I.Facility.P3FacilityCount&gt;=212,F15224=""),"Incomplete","Complete")</f>
        <v>Complete</v>
      </c>
      <c r="I15224" s="48" t="s">
        <v>19589</v>
      </c>
    </row>
    <row r="15225" spans="2:9" ht="15" customHeight="1" x14ac:dyDescent="0.25">
      <c r="B15225" s="55" t="s">
        <v>282</v>
      </c>
      <c r="C15225" s="46">
        <v>213</v>
      </c>
      <c r="D15225" s="69" t="s">
        <v>29419</v>
      </c>
      <c r="E15225" s="51"/>
      <c r="F15225" s="114" t="str">
        <f>IF(INDEX(I.Facility.P3IDNumber,213)="","",INDEX(I.Facility.P3IDNumber,213))</f>
        <v/>
      </c>
      <c r="G15225" s="51"/>
      <c r="H15225" s="46" t="str">
        <f>IF(AND(I.Developer.P3=TRUE,I.Facility.P3FacilityCount&gt;=213,F15225=""),"Incomplete","Complete")</f>
        <v>Complete</v>
      </c>
      <c r="I15225" s="48" t="s">
        <v>19590</v>
      </c>
    </row>
    <row r="15226" spans="2:9" ht="15" customHeight="1" x14ac:dyDescent="0.25">
      <c r="B15226" s="55" t="s">
        <v>282</v>
      </c>
      <c r="C15226" s="46">
        <v>214</v>
      </c>
      <c r="D15226" s="69" t="s">
        <v>29419</v>
      </c>
      <c r="E15226" s="51"/>
      <c r="F15226" s="114" t="str">
        <f>IF(INDEX(I.Facility.P3IDNumber,214)="","",INDEX(I.Facility.P3IDNumber,214))</f>
        <v/>
      </c>
      <c r="G15226" s="51"/>
      <c r="H15226" s="46" t="str">
        <f>IF(AND(I.Developer.P3=TRUE,I.Facility.P3FacilityCount&gt;=214,F15226=""),"Incomplete","Complete")</f>
        <v>Complete</v>
      </c>
      <c r="I15226" s="48" t="s">
        <v>19591</v>
      </c>
    </row>
    <row r="15227" spans="2:9" ht="15" customHeight="1" x14ac:dyDescent="0.25">
      <c r="B15227" s="55" t="s">
        <v>282</v>
      </c>
      <c r="C15227" s="46">
        <v>215</v>
      </c>
      <c r="D15227" s="69" t="s">
        <v>29419</v>
      </c>
      <c r="E15227" s="51"/>
      <c r="F15227" s="114" t="str">
        <f>IF(INDEX(I.Facility.P3IDNumber,215)="","",INDEX(I.Facility.P3IDNumber,215))</f>
        <v/>
      </c>
      <c r="G15227" s="51"/>
      <c r="H15227" s="46" t="str">
        <f>IF(AND(I.Developer.P3=TRUE,I.Facility.P3FacilityCount&gt;=215,F15227=""),"Incomplete","Complete")</f>
        <v>Complete</v>
      </c>
      <c r="I15227" s="48" t="s">
        <v>19592</v>
      </c>
    </row>
    <row r="15228" spans="2:9" ht="15" customHeight="1" x14ac:dyDescent="0.25">
      <c r="B15228" s="55" t="s">
        <v>282</v>
      </c>
      <c r="C15228" s="46">
        <v>216</v>
      </c>
      <c r="D15228" s="69" t="s">
        <v>29419</v>
      </c>
      <c r="E15228" s="51"/>
      <c r="F15228" s="114" t="str">
        <f>IF(INDEX(I.Facility.P3IDNumber,216)="","",INDEX(I.Facility.P3IDNumber,216))</f>
        <v/>
      </c>
      <c r="G15228" s="51"/>
      <c r="H15228" s="46" t="str">
        <f>IF(AND(I.Developer.P3=TRUE,I.Facility.P3FacilityCount&gt;=216,F15228=""),"Incomplete","Complete")</f>
        <v>Complete</v>
      </c>
      <c r="I15228" s="48" t="s">
        <v>19593</v>
      </c>
    </row>
    <row r="15229" spans="2:9" ht="15" customHeight="1" x14ac:dyDescent="0.25">
      <c r="B15229" s="55" t="s">
        <v>282</v>
      </c>
      <c r="C15229" s="46">
        <v>217</v>
      </c>
      <c r="D15229" s="69" t="s">
        <v>29419</v>
      </c>
      <c r="E15229" s="51"/>
      <c r="F15229" s="114" t="str">
        <f>IF(INDEX(I.Facility.P3IDNumber,217)="","",INDEX(I.Facility.P3IDNumber,217))</f>
        <v/>
      </c>
      <c r="G15229" s="51"/>
      <c r="H15229" s="46" t="str">
        <f>IF(AND(I.Developer.P3=TRUE,I.Facility.P3FacilityCount&gt;=217,F15229=""),"Incomplete","Complete")</f>
        <v>Complete</v>
      </c>
      <c r="I15229" s="48" t="s">
        <v>19594</v>
      </c>
    </row>
    <row r="15230" spans="2:9" ht="15" customHeight="1" x14ac:dyDescent="0.25">
      <c r="B15230" s="55" t="s">
        <v>282</v>
      </c>
      <c r="C15230" s="46">
        <v>218</v>
      </c>
      <c r="D15230" s="69" t="s">
        <v>29419</v>
      </c>
      <c r="E15230" s="51"/>
      <c r="F15230" s="114" t="str">
        <f>IF(INDEX(I.Facility.P3IDNumber,218)="","",INDEX(I.Facility.P3IDNumber,218))</f>
        <v/>
      </c>
      <c r="G15230" s="51"/>
      <c r="H15230" s="46" t="str">
        <f>IF(AND(I.Developer.P3=TRUE,I.Facility.P3FacilityCount&gt;=218,F15230=""),"Incomplete","Complete")</f>
        <v>Complete</v>
      </c>
      <c r="I15230" s="48" t="s">
        <v>19595</v>
      </c>
    </row>
    <row r="15231" spans="2:9" ht="15" customHeight="1" x14ac:dyDescent="0.25">
      <c r="B15231" s="55" t="s">
        <v>282</v>
      </c>
      <c r="C15231" s="46">
        <v>219</v>
      </c>
      <c r="D15231" s="69" t="s">
        <v>29419</v>
      </c>
      <c r="E15231" s="51"/>
      <c r="F15231" s="114" t="str">
        <f>IF(INDEX(I.Facility.P3IDNumber,219)="","",INDEX(I.Facility.P3IDNumber,219))</f>
        <v/>
      </c>
      <c r="G15231" s="51"/>
      <c r="H15231" s="46" t="str">
        <f>IF(AND(I.Developer.P3=TRUE,I.Facility.P3FacilityCount&gt;=219,F15231=""),"Incomplete","Complete")</f>
        <v>Complete</v>
      </c>
      <c r="I15231" s="48" t="s">
        <v>19596</v>
      </c>
    </row>
    <row r="15232" spans="2:9" ht="15" customHeight="1" x14ac:dyDescent="0.25">
      <c r="B15232" s="55" t="s">
        <v>282</v>
      </c>
      <c r="C15232" s="46">
        <v>220</v>
      </c>
      <c r="D15232" s="69" t="s">
        <v>29419</v>
      </c>
      <c r="E15232" s="51"/>
      <c r="F15232" s="114" t="str">
        <f>IF(INDEX(I.Facility.P3IDNumber,220)="","",INDEX(I.Facility.P3IDNumber,220))</f>
        <v/>
      </c>
      <c r="G15232" s="51"/>
      <c r="H15232" s="46" t="str">
        <f>IF(AND(I.Developer.P3=TRUE,I.Facility.P3FacilityCount&gt;=220,F15232=""),"Incomplete","Complete")</f>
        <v>Complete</v>
      </c>
      <c r="I15232" s="48" t="s">
        <v>19597</v>
      </c>
    </row>
    <row r="15233" spans="2:9" ht="15" customHeight="1" x14ac:dyDescent="0.25">
      <c r="B15233" s="55" t="s">
        <v>282</v>
      </c>
      <c r="C15233" s="46">
        <v>221</v>
      </c>
      <c r="D15233" s="69" t="s">
        <v>29419</v>
      </c>
      <c r="E15233" s="51"/>
      <c r="F15233" s="114" t="str">
        <f>IF(INDEX(I.Facility.P3IDNumber,221)="","",INDEX(I.Facility.P3IDNumber,221))</f>
        <v/>
      </c>
      <c r="G15233" s="51"/>
      <c r="H15233" s="46" t="str">
        <f>IF(AND(I.Developer.P3=TRUE,I.Facility.P3FacilityCount&gt;=221,F15233=""),"Incomplete","Complete")</f>
        <v>Complete</v>
      </c>
      <c r="I15233" s="48" t="s">
        <v>19598</v>
      </c>
    </row>
    <row r="15234" spans="2:9" ht="15" customHeight="1" x14ac:dyDescent="0.25">
      <c r="B15234" s="55" t="s">
        <v>282</v>
      </c>
      <c r="C15234" s="46">
        <v>222</v>
      </c>
      <c r="D15234" s="69" t="s">
        <v>29419</v>
      </c>
      <c r="E15234" s="51"/>
      <c r="F15234" s="114" t="str">
        <f>IF(INDEX(I.Facility.P3IDNumber,222)="","",INDEX(I.Facility.P3IDNumber,222))</f>
        <v/>
      </c>
      <c r="G15234" s="51"/>
      <c r="H15234" s="46" t="str">
        <f>IF(AND(I.Developer.P3=TRUE,I.Facility.P3FacilityCount&gt;=222,F15234=""),"Incomplete","Complete")</f>
        <v>Complete</v>
      </c>
      <c r="I15234" s="48" t="s">
        <v>19599</v>
      </c>
    </row>
    <row r="15235" spans="2:9" ht="15" customHeight="1" x14ac:dyDescent="0.25">
      <c r="B15235" s="55" t="s">
        <v>282</v>
      </c>
      <c r="C15235" s="46">
        <v>223</v>
      </c>
      <c r="D15235" s="69" t="s">
        <v>29419</v>
      </c>
      <c r="E15235" s="51"/>
      <c r="F15235" s="114" t="str">
        <f>IF(INDEX(I.Facility.P3IDNumber,223)="","",INDEX(I.Facility.P3IDNumber,223))</f>
        <v/>
      </c>
      <c r="G15235" s="51"/>
      <c r="H15235" s="46" t="str">
        <f>IF(AND(I.Developer.P3=TRUE,I.Facility.P3FacilityCount&gt;=223,F15235=""),"Incomplete","Complete")</f>
        <v>Complete</v>
      </c>
      <c r="I15235" s="48" t="s">
        <v>19600</v>
      </c>
    </row>
    <row r="15236" spans="2:9" ht="15" customHeight="1" x14ac:dyDescent="0.25">
      <c r="B15236" s="55" t="s">
        <v>282</v>
      </c>
      <c r="C15236" s="46">
        <v>224</v>
      </c>
      <c r="D15236" s="69" t="s">
        <v>29419</v>
      </c>
      <c r="E15236" s="51"/>
      <c r="F15236" s="114" t="str">
        <f>IF(INDEX(I.Facility.P3IDNumber,224)="","",INDEX(I.Facility.P3IDNumber,224))</f>
        <v/>
      </c>
      <c r="G15236" s="51"/>
      <c r="H15236" s="46" t="str">
        <f>IF(AND(I.Developer.P3=TRUE,I.Facility.P3FacilityCount&gt;=224,F15236=""),"Incomplete","Complete")</f>
        <v>Complete</v>
      </c>
      <c r="I15236" s="48" t="s">
        <v>19601</v>
      </c>
    </row>
    <row r="15237" spans="2:9" ht="15" customHeight="1" x14ac:dyDescent="0.25">
      <c r="B15237" s="55" t="s">
        <v>282</v>
      </c>
      <c r="C15237" s="46">
        <v>225</v>
      </c>
      <c r="D15237" s="69" t="s">
        <v>29419</v>
      </c>
      <c r="E15237" s="51"/>
      <c r="F15237" s="114" t="str">
        <f>IF(INDEX(I.Facility.P3IDNumber,225)="","",INDEX(I.Facility.P3IDNumber,225))</f>
        <v/>
      </c>
      <c r="G15237" s="51"/>
      <c r="H15237" s="46" t="str">
        <f>IF(AND(I.Developer.P3=TRUE,I.Facility.P3FacilityCount&gt;=225,F15237=""),"Incomplete","Complete")</f>
        <v>Complete</v>
      </c>
      <c r="I15237" s="48" t="s">
        <v>19602</v>
      </c>
    </row>
    <row r="15238" spans="2:9" ht="15" customHeight="1" x14ac:dyDescent="0.25">
      <c r="B15238" s="55" t="s">
        <v>282</v>
      </c>
      <c r="C15238" s="46">
        <v>226</v>
      </c>
      <c r="D15238" s="69" t="s">
        <v>29419</v>
      </c>
      <c r="E15238" s="51"/>
      <c r="F15238" s="114" t="str">
        <f>IF(INDEX(I.Facility.P3IDNumber,226)="","",INDEX(I.Facility.P3IDNumber,226))</f>
        <v/>
      </c>
      <c r="G15238" s="51"/>
      <c r="H15238" s="46" t="str">
        <f>IF(AND(I.Developer.P3=TRUE,I.Facility.P3FacilityCount&gt;=226,F15238=""),"Incomplete","Complete")</f>
        <v>Complete</v>
      </c>
      <c r="I15238" s="48" t="s">
        <v>19603</v>
      </c>
    </row>
    <row r="15239" spans="2:9" ht="15" customHeight="1" x14ac:dyDescent="0.25">
      <c r="B15239" s="55" t="s">
        <v>282</v>
      </c>
      <c r="C15239" s="46">
        <v>227</v>
      </c>
      <c r="D15239" s="69" t="s">
        <v>29419</v>
      </c>
      <c r="E15239" s="51"/>
      <c r="F15239" s="114" t="str">
        <f>IF(INDEX(I.Facility.P3IDNumber,227)="","",INDEX(I.Facility.P3IDNumber,227))</f>
        <v/>
      </c>
      <c r="G15239" s="51"/>
      <c r="H15239" s="46" t="str">
        <f>IF(AND(I.Developer.P3=TRUE,I.Facility.P3FacilityCount&gt;=227,F15239=""),"Incomplete","Complete")</f>
        <v>Complete</v>
      </c>
      <c r="I15239" s="48" t="s">
        <v>19604</v>
      </c>
    </row>
    <row r="15240" spans="2:9" ht="15" customHeight="1" x14ac:dyDescent="0.25">
      <c r="B15240" s="55" t="s">
        <v>282</v>
      </c>
      <c r="C15240" s="46">
        <v>228</v>
      </c>
      <c r="D15240" s="69" t="s">
        <v>29419</v>
      </c>
      <c r="E15240" s="51"/>
      <c r="F15240" s="114" t="str">
        <f>IF(INDEX(I.Facility.P3IDNumber,228)="","",INDEX(I.Facility.P3IDNumber,228))</f>
        <v/>
      </c>
      <c r="G15240" s="51"/>
      <c r="H15240" s="46" t="str">
        <f>IF(AND(I.Developer.P3=TRUE,I.Facility.P3FacilityCount&gt;=228,F15240=""),"Incomplete","Complete")</f>
        <v>Complete</v>
      </c>
      <c r="I15240" s="48" t="s">
        <v>19605</v>
      </c>
    </row>
    <row r="15241" spans="2:9" ht="15" customHeight="1" x14ac:dyDescent="0.25">
      <c r="B15241" s="55" t="s">
        <v>282</v>
      </c>
      <c r="C15241" s="46">
        <v>229</v>
      </c>
      <c r="D15241" s="69" t="s">
        <v>29419</v>
      </c>
      <c r="E15241" s="51"/>
      <c r="F15241" s="114" t="str">
        <f>IF(INDEX(I.Facility.P3IDNumber,229)="","",INDEX(I.Facility.P3IDNumber,229))</f>
        <v/>
      </c>
      <c r="G15241" s="51"/>
      <c r="H15241" s="46" t="str">
        <f>IF(AND(I.Developer.P3=TRUE,I.Facility.P3FacilityCount&gt;=229,F15241=""),"Incomplete","Complete")</f>
        <v>Complete</v>
      </c>
      <c r="I15241" s="48" t="s">
        <v>19606</v>
      </c>
    </row>
    <row r="15242" spans="2:9" ht="15" customHeight="1" x14ac:dyDescent="0.25">
      <c r="B15242" s="55" t="s">
        <v>282</v>
      </c>
      <c r="C15242" s="46">
        <v>230</v>
      </c>
      <c r="D15242" s="69" t="s">
        <v>29419</v>
      </c>
      <c r="E15242" s="51"/>
      <c r="F15242" s="114" t="str">
        <f>IF(INDEX(I.Facility.P3IDNumber,230)="","",INDEX(I.Facility.P3IDNumber,230))</f>
        <v/>
      </c>
      <c r="G15242" s="51"/>
      <c r="H15242" s="46" t="str">
        <f>IF(AND(I.Developer.P3=TRUE,I.Facility.P3FacilityCount&gt;=230,F15242=""),"Incomplete","Complete")</f>
        <v>Complete</v>
      </c>
      <c r="I15242" s="48" t="s">
        <v>19607</v>
      </c>
    </row>
    <row r="15243" spans="2:9" ht="15" customHeight="1" x14ac:dyDescent="0.25">
      <c r="B15243" s="55" t="s">
        <v>282</v>
      </c>
      <c r="C15243" s="46">
        <v>231</v>
      </c>
      <c r="D15243" s="69" t="s">
        <v>29419</v>
      </c>
      <c r="E15243" s="51"/>
      <c r="F15243" s="114" t="str">
        <f>IF(INDEX(I.Facility.P3IDNumber,231)="","",INDEX(I.Facility.P3IDNumber,231))</f>
        <v/>
      </c>
      <c r="G15243" s="51"/>
      <c r="H15243" s="46" t="str">
        <f>IF(AND(I.Developer.P3=TRUE,I.Facility.P3FacilityCount&gt;=231,F15243=""),"Incomplete","Complete")</f>
        <v>Complete</v>
      </c>
      <c r="I15243" s="48" t="s">
        <v>19608</v>
      </c>
    </row>
    <row r="15244" spans="2:9" ht="15" customHeight="1" x14ac:dyDescent="0.25">
      <c r="B15244" s="55" t="s">
        <v>282</v>
      </c>
      <c r="C15244" s="46">
        <v>232</v>
      </c>
      <c r="D15244" s="69" t="s">
        <v>29419</v>
      </c>
      <c r="E15244" s="51"/>
      <c r="F15244" s="114" t="str">
        <f>IF(INDEX(I.Facility.P3IDNumber,232)="","",INDEX(I.Facility.P3IDNumber,232))</f>
        <v/>
      </c>
      <c r="G15244" s="51"/>
      <c r="H15244" s="46" t="str">
        <f>IF(AND(I.Developer.P3=TRUE,I.Facility.P3FacilityCount&gt;=232,F15244=""),"Incomplete","Complete")</f>
        <v>Complete</v>
      </c>
      <c r="I15244" s="48" t="s">
        <v>19609</v>
      </c>
    </row>
    <row r="15245" spans="2:9" ht="15" customHeight="1" x14ac:dyDescent="0.25">
      <c r="B15245" s="55" t="s">
        <v>282</v>
      </c>
      <c r="C15245" s="46">
        <v>233</v>
      </c>
      <c r="D15245" s="69" t="s">
        <v>29419</v>
      </c>
      <c r="E15245" s="51"/>
      <c r="F15245" s="114" t="str">
        <f>IF(INDEX(I.Facility.P3IDNumber,233)="","",INDEX(I.Facility.P3IDNumber,233))</f>
        <v/>
      </c>
      <c r="G15245" s="51"/>
      <c r="H15245" s="46" t="str">
        <f>IF(AND(I.Developer.P3=TRUE,I.Facility.P3FacilityCount&gt;=233,F15245=""),"Incomplete","Complete")</f>
        <v>Complete</v>
      </c>
      <c r="I15245" s="48" t="s">
        <v>19610</v>
      </c>
    </row>
    <row r="15246" spans="2:9" ht="15" customHeight="1" x14ac:dyDescent="0.25">
      <c r="B15246" s="55" t="s">
        <v>282</v>
      </c>
      <c r="C15246" s="46">
        <v>234</v>
      </c>
      <c r="D15246" s="69" t="s">
        <v>29419</v>
      </c>
      <c r="E15246" s="51"/>
      <c r="F15246" s="114" t="str">
        <f>IF(INDEX(I.Facility.P3IDNumber,234)="","",INDEX(I.Facility.P3IDNumber,234))</f>
        <v/>
      </c>
      <c r="G15246" s="51"/>
      <c r="H15246" s="46" t="str">
        <f>IF(AND(I.Developer.P3=TRUE,I.Facility.P3FacilityCount&gt;=234,F15246=""),"Incomplete","Complete")</f>
        <v>Complete</v>
      </c>
      <c r="I15246" s="48" t="s">
        <v>19611</v>
      </c>
    </row>
    <row r="15247" spans="2:9" ht="15" customHeight="1" x14ac:dyDescent="0.25">
      <c r="B15247" s="55" t="s">
        <v>282</v>
      </c>
      <c r="C15247" s="46">
        <v>235</v>
      </c>
      <c r="D15247" s="69" t="s">
        <v>29419</v>
      </c>
      <c r="E15247" s="51"/>
      <c r="F15247" s="114" t="str">
        <f>IF(INDEX(I.Facility.P3IDNumber,235)="","",INDEX(I.Facility.P3IDNumber,235))</f>
        <v/>
      </c>
      <c r="G15247" s="51"/>
      <c r="H15247" s="46" t="str">
        <f>IF(AND(I.Developer.P3=TRUE,I.Facility.P3FacilityCount&gt;=235,F15247=""),"Incomplete","Complete")</f>
        <v>Complete</v>
      </c>
      <c r="I15247" s="48" t="s">
        <v>19612</v>
      </c>
    </row>
    <row r="15248" spans="2:9" ht="15" customHeight="1" x14ac:dyDescent="0.25">
      <c r="B15248" s="55" t="s">
        <v>282</v>
      </c>
      <c r="C15248" s="46">
        <v>236</v>
      </c>
      <c r="D15248" s="69" t="s">
        <v>29419</v>
      </c>
      <c r="E15248" s="51"/>
      <c r="F15248" s="114" t="str">
        <f>IF(INDEX(I.Facility.P3IDNumber,236)="","",INDEX(I.Facility.P3IDNumber,236))</f>
        <v/>
      </c>
      <c r="G15248" s="51"/>
      <c r="H15248" s="46" t="str">
        <f>IF(AND(I.Developer.P3=TRUE,I.Facility.P3FacilityCount&gt;=236,F15248=""),"Incomplete","Complete")</f>
        <v>Complete</v>
      </c>
      <c r="I15248" s="48" t="s">
        <v>19613</v>
      </c>
    </row>
    <row r="15249" spans="2:9" ht="15" customHeight="1" x14ac:dyDescent="0.25">
      <c r="B15249" s="55" t="s">
        <v>282</v>
      </c>
      <c r="C15249" s="46">
        <v>237</v>
      </c>
      <c r="D15249" s="69" t="s">
        <v>29419</v>
      </c>
      <c r="E15249" s="51"/>
      <c r="F15249" s="114" t="str">
        <f>IF(INDEX(I.Facility.P3IDNumber,237)="","",INDEX(I.Facility.P3IDNumber,237))</f>
        <v/>
      </c>
      <c r="G15249" s="51"/>
      <c r="H15249" s="46" t="str">
        <f>IF(AND(I.Developer.P3=TRUE,I.Facility.P3FacilityCount&gt;=237,F15249=""),"Incomplete","Complete")</f>
        <v>Complete</v>
      </c>
      <c r="I15249" s="48" t="s">
        <v>19614</v>
      </c>
    </row>
    <row r="15250" spans="2:9" ht="15" customHeight="1" x14ac:dyDescent="0.25">
      <c r="B15250" s="55" t="s">
        <v>282</v>
      </c>
      <c r="C15250" s="46">
        <v>238</v>
      </c>
      <c r="D15250" s="69" t="s">
        <v>29419</v>
      </c>
      <c r="E15250" s="51"/>
      <c r="F15250" s="114" t="str">
        <f>IF(INDEX(I.Facility.P3IDNumber,238)="","",INDEX(I.Facility.P3IDNumber,238))</f>
        <v/>
      </c>
      <c r="G15250" s="51"/>
      <c r="H15250" s="46" t="str">
        <f>IF(AND(I.Developer.P3=TRUE,I.Facility.P3FacilityCount&gt;=238,F15250=""),"Incomplete","Complete")</f>
        <v>Complete</v>
      </c>
      <c r="I15250" s="48" t="s">
        <v>19615</v>
      </c>
    </row>
    <row r="15251" spans="2:9" ht="15" customHeight="1" x14ac:dyDescent="0.25">
      <c r="B15251" s="55" t="s">
        <v>282</v>
      </c>
      <c r="C15251" s="46">
        <v>239</v>
      </c>
      <c r="D15251" s="69" t="s">
        <v>29419</v>
      </c>
      <c r="E15251" s="51"/>
      <c r="F15251" s="114" t="str">
        <f>IF(INDEX(I.Facility.P3IDNumber,239)="","",INDEX(I.Facility.P3IDNumber,239))</f>
        <v/>
      </c>
      <c r="G15251" s="51"/>
      <c r="H15251" s="46" t="str">
        <f>IF(AND(I.Developer.P3=TRUE,I.Facility.P3FacilityCount&gt;=239,F15251=""),"Incomplete","Complete")</f>
        <v>Complete</v>
      </c>
      <c r="I15251" s="48" t="s">
        <v>19616</v>
      </c>
    </row>
    <row r="15252" spans="2:9" ht="15" customHeight="1" x14ac:dyDescent="0.25">
      <c r="B15252" s="55" t="s">
        <v>282</v>
      </c>
      <c r="C15252" s="46">
        <v>240</v>
      </c>
      <c r="D15252" s="69" t="s">
        <v>29419</v>
      </c>
      <c r="E15252" s="51"/>
      <c r="F15252" s="114" t="str">
        <f>IF(INDEX(I.Facility.P3IDNumber,240)="","",INDEX(I.Facility.P3IDNumber,240))</f>
        <v/>
      </c>
      <c r="G15252" s="51"/>
      <c r="H15252" s="46" t="str">
        <f>IF(AND(I.Developer.P3=TRUE,I.Facility.P3FacilityCount&gt;=240,F15252=""),"Incomplete","Complete")</f>
        <v>Complete</v>
      </c>
      <c r="I15252" s="48" t="s">
        <v>19617</v>
      </c>
    </row>
    <row r="15253" spans="2:9" ht="15" customHeight="1" x14ac:dyDescent="0.25">
      <c r="B15253" s="55" t="s">
        <v>282</v>
      </c>
      <c r="C15253" s="46">
        <v>241</v>
      </c>
      <c r="D15253" s="69" t="s">
        <v>29419</v>
      </c>
      <c r="E15253" s="51"/>
      <c r="F15253" s="114" t="str">
        <f>IF(INDEX(I.Facility.P3IDNumber,241)="","",INDEX(I.Facility.P3IDNumber,241))</f>
        <v/>
      </c>
      <c r="G15253" s="51"/>
      <c r="H15253" s="46" t="str">
        <f>IF(AND(I.Developer.P3=TRUE,I.Facility.P3FacilityCount&gt;=241,F15253=""),"Incomplete","Complete")</f>
        <v>Complete</v>
      </c>
      <c r="I15253" s="48" t="s">
        <v>19618</v>
      </c>
    </row>
    <row r="15254" spans="2:9" ht="15" customHeight="1" x14ac:dyDescent="0.25">
      <c r="B15254" s="55" t="s">
        <v>282</v>
      </c>
      <c r="C15254" s="46">
        <v>242</v>
      </c>
      <c r="D15254" s="69" t="s">
        <v>29419</v>
      </c>
      <c r="E15254" s="51"/>
      <c r="F15254" s="114" t="str">
        <f>IF(INDEX(I.Facility.P3IDNumber,242)="","",INDEX(I.Facility.P3IDNumber,242))</f>
        <v/>
      </c>
      <c r="G15254" s="51"/>
      <c r="H15254" s="46" t="str">
        <f>IF(AND(I.Developer.P3=TRUE,I.Facility.P3FacilityCount&gt;=242,F15254=""),"Incomplete","Complete")</f>
        <v>Complete</v>
      </c>
      <c r="I15254" s="48" t="s">
        <v>19619</v>
      </c>
    </row>
    <row r="15255" spans="2:9" ht="15" customHeight="1" x14ac:dyDescent="0.25">
      <c r="B15255" s="55" t="s">
        <v>282</v>
      </c>
      <c r="C15255" s="46">
        <v>243</v>
      </c>
      <c r="D15255" s="69" t="s">
        <v>29419</v>
      </c>
      <c r="E15255" s="51"/>
      <c r="F15255" s="114" t="str">
        <f>IF(INDEX(I.Facility.P3IDNumber,243)="","",INDEX(I.Facility.P3IDNumber,243))</f>
        <v/>
      </c>
      <c r="G15255" s="51"/>
      <c r="H15255" s="46" t="str">
        <f>IF(AND(I.Developer.P3=TRUE,I.Facility.P3FacilityCount&gt;=243,F15255=""),"Incomplete","Complete")</f>
        <v>Complete</v>
      </c>
      <c r="I15255" s="48" t="s">
        <v>19620</v>
      </c>
    </row>
    <row r="15256" spans="2:9" ht="15" customHeight="1" x14ac:dyDescent="0.25">
      <c r="B15256" s="55" t="s">
        <v>282</v>
      </c>
      <c r="C15256" s="46">
        <v>244</v>
      </c>
      <c r="D15256" s="69" t="s">
        <v>29419</v>
      </c>
      <c r="E15256" s="51"/>
      <c r="F15256" s="114" t="str">
        <f>IF(INDEX(I.Facility.P3IDNumber,244)="","",INDEX(I.Facility.P3IDNumber,244))</f>
        <v/>
      </c>
      <c r="G15256" s="51"/>
      <c r="H15256" s="46" t="str">
        <f>IF(AND(I.Developer.P3=TRUE,I.Facility.P3FacilityCount&gt;=244,F15256=""),"Incomplete","Complete")</f>
        <v>Complete</v>
      </c>
      <c r="I15256" s="48" t="s">
        <v>19621</v>
      </c>
    </row>
    <row r="15257" spans="2:9" ht="15" customHeight="1" x14ac:dyDescent="0.25">
      <c r="B15257" s="55" t="s">
        <v>282</v>
      </c>
      <c r="C15257" s="46">
        <v>245</v>
      </c>
      <c r="D15257" s="69" t="s">
        <v>29419</v>
      </c>
      <c r="E15257" s="51"/>
      <c r="F15257" s="114" t="str">
        <f>IF(INDEX(I.Facility.P3IDNumber,245)="","",INDEX(I.Facility.P3IDNumber,245))</f>
        <v/>
      </c>
      <c r="G15257" s="51"/>
      <c r="H15257" s="46" t="str">
        <f>IF(AND(I.Developer.P3=TRUE,I.Facility.P3FacilityCount&gt;=245,F15257=""),"Incomplete","Complete")</f>
        <v>Complete</v>
      </c>
      <c r="I15257" s="48" t="s">
        <v>19622</v>
      </c>
    </row>
    <row r="15258" spans="2:9" ht="15" customHeight="1" x14ac:dyDescent="0.25">
      <c r="B15258" s="55" t="s">
        <v>282</v>
      </c>
      <c r="C15258" s="46">
        <v>246</v>
      </c>
      <c r="D15258" s="69" t="s">
        <v>29419</v>
      </c>
      <c r="E15258" s="51"/>
      <c r="F15258" s="114" t="str">
        <f>IF(INDEX(I.Facility.P3IDNumber,246)="","",INDEX(I.Facility.P3IDNumber,246))</f>
        <v/>
      </c>
      <c r="G15258" s="51"/>
      <c r="H15258" s="46" t="str">
        <f>IF(AND(I.Developer.P3=TRUE,I.Facility.P3FacilityCount&gt;=246,F15258=""),"Incomplete","Complete")</f>
        <v>Complete</v>
      </c>
      <c r="I15258" s="48" t="s">
        <v>19623</v>
      </c>
    </row>
    <row r="15259" spans="2:9" ht="15" customHeight="1" x14ac:dyDescent="0.25">
      <c r="B15259" s="55" t="s">
        <v>282</v>
      </c>
      <c r="C15259" s="46">
        <v>247</v>
      </c>
      <c r="D15259" s="69" t="s">
        <v>29419</v>
      </c>
      <c r="E15259" s="51"/>
      <c r="F15259" s="114" t="str">
        <f>IF(INDEX(I.Facility.P3IDNumber,247)="","",INDEX(I.Facility.P3IDNumber,247))</f>
        <v/>
      </c>
      <c r="G15259" s="51"/>
      <c r="H15259" s="46" t="str">
        <f>IF(AND(I.Developer.P3=TRUE,I.Facility.P3FacilityCount&gt;=247,F15259=""),"Incomplete","Complete")</f>
        <v>Complete</v>
      </c>
      <c r="I15259" s="48" t="s">
        <v>19624</v>
      </c>
    </row>
    <row r="15260" spans="2:9" ht="15" customHeight="1" x14ac:dyDescent="0.25">
      <c r="B15260" s="55" t="s">
        <v>282</v>
      </c>
      <c r="C15260" s="46">
        <v>248</v>
      </c>
      <c r="D15260" s="69" t="s">
        <v>29419</v>
      </c>
      <c r="E15260" s="51"/>
      <c r="F15260" s="114" t="str">
        <f>IF(INDEX(I.Facility.P3IDNumber,248)="","",INDEX(I.Facility.P3IDNumber,248))</f>
        <v/>
      </c>
      <c r="G15260" s="51"/>
      <c r="H15260" s="46" t="str">
        <f>IF(AND(I.Developer.P3=TRUE,I.Facility.P3FacilityCount&gt;=248,F15260=""),"Incomplete","Complete")</f>
        <v>Complete</v>
      </c>
      <c r="I15260" s="48" t="s">
        <v>19625</v>
      </c>
    </row>
    <row r="15261" spans="2:9" ht="15" customHeight="1" x14ac:dyDescent="0.25">
      <c r="B15261" s="55" t="s">
        <v>282</v>
      </c>
      <c r="C15261" s="46">
        <v>249</v>
      </c>
      <c r="D15261" s="69" t="s">
        <v>29419</v>
      </c>
      <c r="E15261" s="51"/>
      <c r="F15261" s="114" t="str">
        <f>IF(INDEX(I.Facility.P3IDNumber,249)="","",INDEX(I.Facility.P3IDNumber,249))</f>
        <v/>
      </c>
      <c r="G15261" s="51"/>
      <c r="H15261" s="46" t="str">
        <f>IF(AND(I.Developer.P3=TRUE,I.Facility.P3FacilityCount&gt;=249,F15261=""),"Incomplete","Complete")</f>
        <v>Complete</v>
      </c>
      <c r="I15261" s="48" t="s">
        <v>19626</v>
      </c>
    </row>
    <row r="15262" spans="2:9" ht="15" customHeight="1" x14ac:dyDescent="0.25">
      <c r="B15262" s="55" t="s">
        <v>282</v>
      </c>
      <c r="C15262" s="46">
        <v>250</v>
      </c>
      <c r="D15262" s="69" t="s">
        <v>29419</v>
      </c>
      <c r="E15262" s="51"/>
      <c r="F15262" s="114" t="str">
        <f>IF(INDEX(I.Facility.P3IDNumber,250)="","",INDEX(I.Facility.P3IDNumber,250))</f>
        <v/>
      </c>
      <c r="G15262" s="51"/>
      <c r="H15262" s="46" t="str">
        <f>IF(AND(I.Developer.P3=TRUE,I.Facility.P3FacilityCount&gt;=250,F15262=""),"Incomplete","Complete")</f>
        <v>Complete</v>
      </c>
      <c r="I15262" s="48" t="s">
        <v>19627</v>
      </c>
    </row>
    <row r="15263" spans="2:9" ht="15" customHeight="1" x14ac:dyDescent="0.25">
      <c r="B15263" s="55" t="s">
        <v>282</v>
      </c>
      <c r="C15263" s="46">
        <v>251</v>
      </c>
      <c r="D15263" s="69" t="s">
        <v>29419</v>
      </c>
      <c r="E15263" s="51"/>
      <c r="F15263" s="114" t="str">
        <f>IF(INDEX(I.Facility.P3IDNumber,251)="","",INDEX(I.Facility.P3IDNumber,251))</f>
        <v/>
      </c>
      <c r="G15263" s="51"/>
      <c r="H15263" s="46" t="str">
        <f>IF(AND(I.Developer.P3=TRUE,I.Facility.P3FacilityCount&gt;=251,F15263=""),"Incomplete","Complete")</f>
        <v>Complete</v>
      </c>
      <c r="I15263" s="48" t="s">
        <v>19628</v>
      </c>
    </row>
    <row r="15264" spans="2:9" ht="15" customHeight="1" x14ac:dyDescent="0.25">
      <c r="B15264" s="55" t="s">
        <v>282</v>
      </c>
      <c r="C15264" s="46">
        <v>252</v>
      </c>
      <c r="D15264" s="69" t="s">
        <v>29419</v>
      </c>
      <c r="E15264" s="51"/>
      <c r="F15264" s="114" t="str">
        <f>IF(INDEX(I.Facility.P3IDNumber,252)="","",INDEX(I.Facility.P3IDNumber,252))</f>
        <v/>
      </c>
      <c r="G15264" s="51"/>
      <c r="H15264" s="46" t="str">
        <f>IF(AND(I.Developer.P3=TRUE,I.Facility.P3FacilityCount&gt;=252,F15264=""),"Incomplete","Complete")</f>
        <v>Complete</v>
      </c>
      <c r="I15264" s="48" t="s">
        <v>19629</v>
      </c>
    </row>
    <row r="15265" spans="2:9" ht="15" customHeight="1" x14ac:dyDescent="0.25">
      <c r="B15265" s="55" t="s">
        <v>282</v>
      </c>
      <c r="C15265" s="46">
        <v>253</v>
      </c>
      <c r="D15265" s="69" t="s">
        <v>29419</v>
      </c>
      <c r="E15265" s="51"/>
      <c r="F15265" s="114" t="str">
        <f>IF(INDEX(I.Facility.P3IDNumber,253)="","",INDEX(I.Facility.P3IDNumber,253))</f>
        <v/>
      </c>
      <c r="G15265" s="51"/>
      <c r="H15265" s="46" t="str">
        <f>IF(AND(I.Developer.P3=TRUE,I.Facility.P3FacilityCount&gt;=253,F15265=""),"Incomplete","Complete")</f>
        <v>Complete</v>
      </c>
      <c r="I15265" s="48" t="s">
        <v>19630</v>
      </c>
    </row>
    <row r="15266" spans="2:9" ht="15" customHeight="1" x14ac:dyDescent="0.25">
      <c r="B15266" s="55" t="s">
        <v>282</v>
      </c>
      <c r="C15266" s="46">
        <v>254</v>
      </c>
      <c r="D15266" s="69" t="s">
        <v>29419</v>
      </c>
      <c r="E15266" s="51"/>
      <c r="F15266" s="114" t="str">
        <f>IF(INDEX(I.Facility.P3IDNumber,254)="","",INDEX(I.Facility.P3IDNumber,254))</f>
        <v/>
      </c>
      <c r="G15266" s="51"/>
      <c r="H15266" s="46" t="str">
        <f>IF(AND(I.Developer.P3=TRUE,I.Facility.P3FacilityCount&gt;=254,F15266=""),"Incomplete","Complete")</f>
        <v>Complete</v>
      </c>
      <c r="I15266" s="48" t="s">
        <v>19631</v>
      </c>
    </row>
    <row r="15267" spans="2:9" ht="15" customHeight="1" x14ac:dyDescent="0.25">
      <c r="B15267" s="55" t="s">
        <v>282</v>
      </c>
      <c r="C15267" s="46">
        <v>255</v>
      </c>
      <c r="D15267" s="69" t="s">
        <v>29419</v>
      </c>
      <c r="E15267" s="51"/>
      <c r="F15267" s="114" t="str">
        <f>IF(INDEX(I.Facility.P3IDNumber,255)="","",INDEX(I.Facility.P3IDNumber,255))</f>
        <v/>
      </c>
      <c r="G15267" s="51"/>
      <c r="H15267" s="46" t="str">
        <f>IF(AND(I.Developer.P3=TRUE,I.Facility.P3FacilityCount&gt;=255,F15267=""),"Incomplete","Complete")</f>
        <v>Complete</v>
      </c>
      <c r="I15267" s="48" t="s">
        <v>19632</v>
      </c>
    </row>
    <row r="15268" spans="2:9" ht="15" customHeight="1" x14ac:dyDescent="0.25">
      <c r="B15268" s="55" t="s">
        <v>282</v>
      </c>
      <c r="C15268" s="46">
        <v>256</v>
      </c>
      <c r="D15268" s="69" t="s">
        <v>29419</v>
      </c>
      <c r="E15268" s="51"/>
      <c r="F15268" s="114" t="str">
        <f>IF(INDEX(I.Facility.P3IDNumber,256)="","",INDEX(I.Facility.P3IDNumber,256))</f>
        <v/>
      </c>
      <c r="G15268" s="51"/>
      <c r="H15268" s="46" t="str">
        <f>IF(AND(I.Developer.P3=TRUE,I.Facility.P3FacilityCount&gt;=256,F15268=""),"Incomplete","Complete")</f>
        <v>Complete</v>
      </c>
      <c r="I15268" s="48" t="s">
        <v>19633</v>
      </c>
    </row>
    <row r="15269" spans="2:9" ht="15" customHeight="1" x14ac:dyDescent="0.25">
      <c r="B15269" s="55" t="s">
        <v>282</v>
      </c>
      <c r="C15269" s="46">
        <v>257</v>
      </c>
      <c r="D15269" s="69" t="s">
        <v>29419</v>
      </c>
      <c r="E15269" s="51"/>
      <c r="F15269" s="114" t="str">
        <f>IF(INDEX(I.Facility.P3IDNumber,257)="","",INDEX(I.Facility.P3IDNumber,257))</f>
        <v/>
      </c>
      <c r="G15269" s="51"/>
      <c r="H15269" s="46" t="str">
        <f>IF(AND(I.Developer.P3=TRUE,I.Facility.P3FacilityCount&gt;=257,F15269=""),"Incomplete","Complete")</f>
        <v>Complete</v>
      </c>
      <c r="I15269" s="48" t="s">
        <v>19634</v>
      </c>
    </row>
    <row r="15270" spans="2:9" ht="15" customHeight="1" x14ac:dyDescent="0.25">
      <c r="B15270" s="55" t="s">
        <v>282</v>
      </c>
      <c r="C15270" s="46">
        <v>258</v>
      </c>
      <c r="D15270" s="69" t="s">
        <v>29419</v>
      </c>
      <c r="E15270" s="51"/>
      <c r="F15270" s="114" t="str">
        <f>IF(INDEX(I.Facility.P3IDNumber,258)="","",INDEX(I.Facility.P3IDNumber,258))</f>
        <v/>
      </c>
      <c r="G15270" s="51"/>
      <c r="H15270" s="46" t="str">
        <f>IF(AND(I.Developer.P3=TRUE,I.Facility.P3FacilityCount&gt;=258,F15270=""),"Incomplete","Complete")</f>
        <v>Complete</v>
      </c>
      <c r="I15270" s="48" t="s">
        <v>19635</v>
      </c>
    </row>
    <row r="15271" spans="2:9" ht="15" customHeight="1" x14ac:dyDescent="0.25">
      <c r="B15271" s="55" t="s">
        <v>282</v>
      </c>
      <c r="C15271" s="46">
        <v>259</v>
      </c>
      <c r="D15271" s="69" t="s">
        <v>29419</v>
      </c>
      <c r="E15271" s="51"/>
      <c r="F15271" s="114" t="str">
        <f>IF(INDEX(I.Facility.P3IDNumber,259)="","",INDEX(I.Facility.P3IDNumber,259))</f>
        <v/>
      </c>
      <c r="G15271" s="51"/>
      <c r="H15271" s="46" t="str">
        <f>IF(AND(I.Developer.P3=TRUE,I.Facility.P3FacilityCount&gt;=259,F15271=""),"Incomplete","Complete")</f>
        <v>Complete</v>
      </c>
      <c r="I15271" s="48" t="s">
        <v>19636</v>
      </c>
    </row>
    <row r="15272" spans="2:9" ht="15" customHeight="1" x14ac:dyDescent="0.25">
      <c r="B15272" s="55" t="s">
        <v>282</v>
      </c>
      <c r="C15272" s="46">
        <v>260</v>
      </c>
      <c r="D15272" s="69" t="s">
        <v>29419</v>
      </c>
      <c r="E15272" s="51"/>
      <c r="F15272" s="114" t="str">
        <f>IF(INDEX(I.Facility.P3IDNumber,260)="","",INDEX(I.Facility.P3IDNumber,260))</f>
        <v/>
      </c>
      <c r="G15272" s="51"/>
      <c r="H15272" s="46" t="str">
        <f>IF(AND(I.Developer.P3=TRUE,I.Facility.P3FacilityCount&gt;=260,F15272=""),"Incomplete","Complete")</f>
        <v>Complete</v>
      </c>
      <c r="I15272" s="48" t="s">
        <v>19637</v>
      </c>
    </row>
    <row r="15273" spans="2:9" ht="15" customHeight="1" x14ac:dyDescent="0.25">
      <c r="B15273" s="55" t="s">
        <v>282</v>
      </c>
      <c r="C15273" s="46">
        <v>261</v>
      </c>
      <c r="D15273" s="69" t="s">
        <v>29419</v>
      </c>
      <c r="E15273" s="51"/>
      <c r="F15273" s="114" t="str">
        <f>IF(INDEX(I.Facility.P3IDNumber,261)="","",INDEX(I.Facility.P3IDNumber,261))</f>
        <v/>
      </c>
      <c r="G15273" s="51"/>
      <c r="H15273" s="46" t="str">
        <f>IF(AND(I.Developer.P3=TRUE,I.Facility.P3FacilityCount&gt;=261,F15273=""),"Incomplete","Complete")</f>
        <v>Complete</v>
      </c>
      <c r="I15273" s="48" t="s">
        <v>19638</v>
      </c>
    </row>
    <row r="15274" spans="2:9" ht="15" customHeight="1" x14ac:dyDescent="0.25">
      <c r="B15274" s="55" t="s">
        <v>282</v>
      </c>
      <c r="C15274" s="46">
        <v>262</v>
      </c>
      <c r="D15274" s="69" t="s">
        <v>29419</v>
      </c>
      <c r="E15274" s="51"/>
      <c r="F15274" s="114" t="str">
        <f>IF(INDEX(I.Facility.P3IDNumber,262)="","",INDEX(I.Facility.P3IDNumber,262))</f>
        <v/>
      </c>
      <c r="G15274" s="51"/>
      <c r="H15274" s="46" t="str">
        <f>IF(AND(I.Developer.P3=TRUE,I.Facility.P3FacilityCount&gt;=262,F15274=""),"Incomplete","Complete")</f>
        <v>Complete</v>
      </c>
      <c r="I15274" s="48" t="s">
        <v>19639</v>
      </c>
    </row>
    <row r="15275" spans="2:9" ht="15" customHeight="1" x14ac:dyDescent="0.25">
      <c r="B15275" s="55" t="s">
        <v>282</v>
      </c>
      <c r="C15275" s="46">
        <v>263</v>
      </c>
      <c r="D15275" s="69" t="s">
        <v>29419</v>
      </c>
      <c r="E15275" s="51"/>
      <c r="F15275" s="114" t="str">
        <f>IF(INDEX(I.Facility.P3IDNumber,263)="","",INDEX(I.Facility.P3IDNumber,263))</f>
        <v/>
      </c>
      <c r="G15275" s="51"/>
      <c r="H15275" s="46" t="str">
        <f>IF(AND(I.Developer.P3=TRUE,I.Facility.P3FacilityCount&gt;=263,F15275=""),"Incomplete","Complete")</f>
        <v>Complete</v>
      </c>
      <c r="I15275" s="48" t="s">
        <v>19640</v>
      </c>
    </row>
    <row r="15276" spans="2:9" ht="15" customHeight="1" x14ac:dyDescent="0.25">
      <c r="B15276" s="55" t="s">
        <v>282</v>
      </c>
      <c r="C15276" s="46">
        <v>264</v>
      </c>
      <c r="D15276" s="69" t="s">
        <v>29419</v>
      </c>
      <c r="E15276" s="51"/>
      <c r="F15276" s="114" t="str">
        <f>IF(INDEX(I.Facility.P3IDNumber,264)="","",INDEX(I.Facility.P3IDNumber,264))</f>
        <v/>
      </c>
      <c r="G15276" s="51"/>
      <c r="H15276" s="46" t="str">
        <f>IF(AND(I.Developer.P3=TRUE,I.Facility.P3FacilityCount&gt;=264,F15276=""),"Incomplete","Complete")</f>
        <v>Complete</v>
      </c>
      <c r="I15276" s="48" t="s">
        <v>19641</v>
      </c>
    </row>
    <row r="15277" spans="2:9" ht="15" customHeight="1" x14ac:dyDescent="0.25">
      <c r="B15277" s="55" t="s">
        <v>282</v>
      </c>
      <c r="C15277" s="46">
        <v>265</v>
      </c>
      <c r="D15277" s="69" t="s">
        <v>29419</v>
      </c>
      <c r="E15277" s="51"/>
      <c r="F15277" s="114" t="str">
        <f>IF(INDEX(I.Facility.P3IDNumber,265)="","",INDEX(I.Facility.P3IDNumber,265))</f>
        <v/>
      </c>
      <c r="G15277" s="51"/>
      <c r="H15277" s="46" t="str">
        <f>IF(AND(I.Developer.P3=TRUE,I.Facility.P3FacilityCount&gt;=265,F15277=""),"Incomplete","Complete")</f>
        <v>Complete</v>
      </c>
      <c r="I15277" s="48" t="s">
        <v>19642</v>
      </c>
    </row>
    <row r="15278" spans="2:9" ht="15" customHeight="1" x14ac:dyDescent="0.25">
      <c r="B15278" s="55" t="s">
        <v>282</v>
      </c>
      <c r="C15278" s="46">
        <v>266</v>
      </c>
      <c r="D15278" s="69" t="s">
        <v>29419</v>
      </c>
      <c r="E15278" s="51"/>
      <c r="F15278" s="114" t="str">
        <f>IF(INDEX(I.Facility.P3IDNumber,266)="","",INDEX(I.Facility.P3IDNumber,266))</f>
        <v/>
      </c>
      <c r="G15278" s="51"/>
      <c r="H15278" s="46" t="str">
        <f>IF(AND(I.Developer.P3=TRUE,I.Facility.P3FacilityCount&gt;=266,F15278=""),"Incomplete","Complete")</f>
        <v>Complete</v>
      </c>
      <c r="I15278" s="48" t="s">
        <v>19643</v>
      </c>
    </row>
    <row r="15279" spans="2:9" ht="15" customHeight="1" x14ac:dyDescent="0.25">
      <c r="B15279" s="55" t="s">
        <v>282</v>
      </c>
      <c r="C15279" s="46">
        <v>267</v>
      </c>
      <c r="D15279" s="69" t="s">
        <v>29419</v>
      </c>
      <c r="E15279" s="51"/>
      <c r="F15279" s="114" t="str">
        <f>IF(INDEX(I.Facility.P3IDNumber,267)="","",INDEX(I.Facility.P3IDNumber,267))</f>
        <v/>
      </c>
      <c r="G15279" s="51"/>
      <c r="H15279" s="46" t="str">
        <f>IF(AND(I.Developer.P3=TRUE,I.Facility.P3FacilityCount&gt;=267,F15279=""),"Incomplete","Complete")</f>
        <v>Complete</v>
      </c>
      <c r="I15279" s="48" t="s">
        <v>19644</v>
      </c>
    </row>
    <row r="15280" spans="2:9" ht="15" customHeight="1" x14ac:dyDescent="0.25">
      <c r="B15280" s="55" t="s">
        <v>282</v>
      </c>
      <c r="C15280" s="46">
        <v>268</v>
      </c>
      <c r="D15280" s="69" t="s">
        <v>29419</v>
      </c>
      <c r="E15280" s="51"/>
      <c r="F15280" s="114" t="str">
        <f>IF(INDEX(I.Facility.P3IDNumber,268)="","",INDEX(I.Facility.P3IDNumber,268))</f>
        <v/>
      </c>
      <c r="G15280" s="51"/>
      <c r="H15280" s="46" t="str">
        <f>IF(AND(I.Developer.P3=TRUE,I.Facility.P3FacilityCount&gt;=268,F15280=""),"Incomplete","Complete")</f>
        <v>Complete</v>
      </c>
      <c r="I15280" s="48" t="s">
        <v>19645</v>
      </c>
    </row>
    <row r="15281" spans="2:9" ht="15" customHeight="1" x14ac:dyDescent="0.25">
      <c r="B15281" s="55" t="s">
        <v>282</v>
      </c>
      <c r="C15281" s="46">
        <v>269</v>
      </c>
      <c r="D15281" s="69" t="s">
        <v>29419</v>
      </c>
      <c r="E15281" s="51"/>
      <c r="F15281" s="114" t="str">
        <f>IF(INDEX(I.Facility.P3IDNumber,269)="","",INDEX(I.Facility.P3IDNumber,269))</f>
        <v/>
      </c>
      <c r="G15281" s="51"/>
      <c r="H15281" s="46" t="str">
        <f>IF(AND(I.Developer.P3=TRUE,I.Facility.P3FacilityCount&gt;=269,F15281=""),"Incomplete","Complete")</f>
        <v>Complete</v>
      </c>
      <c r="I15281" s="48" t="s">
        <v>19646</v>
      </c>
    </row>
    <row r="15282" spans="2:9" ht="15" customHeight="1" x14ac:dyDescent="0.25">
      <c r="B15282" s="55" t="s">
        <v>282</v>
      </c>
      <c r="C15282" s="46">
        <v>270</v>
      </c>
      <c r="D15282" s="69" t="s">
        <v>29419</v>
      </c>
      <c r="E15282" s="51"/>
      <c r="F15282" s="114" t="str">
        <f>IF(INDEX(I.Facility.P3IDNumber,270)="","",INDEX(I.Facility.P3IDNumber,270))</f>
        <v/>
      </c>
      <c r="G15282" s="51"/>
      <c r="H15282" s="46" t="str">
        <f>IF(AND(I.Developer.P3=TRUE,I.Facility.P3FacilityCount&gt;=270,F15282=""),"Incomplete","Complete")</f>
        <v>Complete</v>
      </c>
      <c r="I15282" s="48" t="s">
        <v>19647</v>
      </c>
    </row>
    <row r="15283" spans="2:9" ht="15" customHeight="1" x14ac:dyDescent="0.25">
      <c r="B15283" s="55" t="s">
        <v>282</v>
      </c>
      <c r="C15283" s="46">
        <v>271</v>
      </c>
      <c r="D15283" s="69" t="s">
        <v>29419</v>
      </c>
      <c r="E15283" s="51"/>
      <c r="F15283" s="114" t="str">
        <f>IF(INDEX(I.Facility.P3IDNumber,271)="","",INDEX(I.Facility.P3IDNumber,271))</f>
        <v/>
      </c>
      <c r="G15283" s="51"/>
      <c r="H15283" s="46" t="str">
        <f>IF(AND(I.Developer.P3=TRUE,I.Facility.P3FacilityCount&gt;=271,F15283=""),"Incomplete","Complete")</f>
        <v>Complete</v>
      </c>
      <c r="I15283" s="48" t="s">
        <v>19648</v>
      </c>
    </row>
    <row r="15284" spans="2:9" ht="15" customHeight="1" x14ac:dyDescent="0.25">
      <c r="B15284" s="55" t="s">
        <v>282</v>
      </c>
      <c r="C15284" s="46">
        <v>272</v>
      </c>
      <c r="D15284" s="69" t="s">
        <v>29419</v>
      </c>
      <c r="E15284" s="51"/>
      <c r="F15284" s="114" t="str">
        <f>IF(INDEX(I.Facility.P3IDNumber,272)="","",INDEX(I.Facility.P3IDNumber,272))</f>
        <v/>
      </c>
      <c r="G15284" s="51"/>
      <c r="H15284" s="46" t="str">
        <f>IF(AND(I.Developer.P3=TRUE,I.Facility.P3FacilityCount&gt;=272,F15284=""),"Incomplete","Complete")</f>
        <v>Complete</v>
      </c>
      <c r="I15284" s="48" t="s">
        <v>19649</v>
      </c>
    </row>
    <row r="15285" spans="2:9" ht="15" customHeight="1" x14ac:dyDescent="0.25">
      <c r="B15285" s="55" t="s">
        <v>282</v>
      </c>
      <c r="C15285" s="46">
        <v>273</v>
      </c>
      <c r="D15285" s="69" t="s">
        <v>29419</v>
      </c>
      <c r="E15285" s="51"/>
      <c r="F15285" s="114" t="str">
        <f>IF(INDEX(I.Facility.P3IDNumber,273)="","",INDEX(I.Facility.P3IDNumber,273))</f>
        <v/>
      </c>
      <c r="G15285" s="51"/>
      <c r="H15285" s="46" t="str">
        <f>IF(AND(I.Developer.P3=TRUE,I.Facility.P3FacilityCount&gt;=273,F15285=""),"Incomplete","Complete")</f>
        <v>Complete</v>
      </c>
      <c r="I15285" s="48" t="s">
        <v>19650</v>
      </c>
    </row>
    <row r="15286" spans="2:9" ht="15" customHeight="1" x14ac:dyDescent="0.25">
      <c r="B15286" s="55" t="s">
        <v>282</v>
      </c>
      <c r="C15286" s="46">
        <v>274</v>
      </c>
      <c r="D15286" s="69" t="s">
        <v>29419</v>
      </c>
      <c r="E15286" s="51"/>
      <c r="F15286" s="114" t="str">
        <f>IF(INDEX(I.Facility.P3IDNumber,274)="","",INDEX(I.Facility.P3IDNumber,274))</f>
        <v/>
      </c>
      <c r="G15286" s="51"/>
      <c r="H15286" s="46" t="str">
        <f>IF(AND(I.Developer.P3=TRUE,I.Facility.P3FacilityCount&gt;=274,F15286=""),"Incomplete","Complete")</f>
        <v>Complete</v>
      </c>
      <c r="I15286" s="48" t="s">
        <v>19651</v>
      </c>
    </row>
    <row r="15287" spans="2:9" ht="15" customHeight="1" x14ac:dyDescent="0.25">
      <c r="B15287" s="55" t="s">
        <v>282</v>
      </c>
      <c r="C15287" s="46">
        <v>275</v>
      </c>
      <c r="D15287" s="69" t="s">
        <v>29419</v>
      </c>
      <c r="E15287" s="51"/>
      <c r="F15287" s="114" t="str">
        <f>IF(INDEX(I.Facility.P3IDNumber,275)="","",INDEX(I.Facility.P3IDNumber,275))</f>
        <v/>
      </c>
      <c r="G15287" s="51"/>
      <c r="H15287" s="46" t="str">
        <f>IF(AND(I.Developer.P3=TRUE,I.Facility.P3FacilityCount&gt;=275,F15287=""),"Incomplete","Complete")</f>
        <v>Complete</v>
      </c>
      <c r="I15287" s="48" t="s">
        <v>19652</v>
      </c>
    </row>
    <row r="15288" spans="2:9" ht="15" customHeight="1" x14ac:dyDescent="0.25">
      <c r="B15288" s="55" t="s">
        <v>282</v>
      </c>
      <c r="C15288" s="46">
        <v>276</v>
      </c>
      <c r="D15288" s="69" t="s">
        <v>29419</v>
      </c>
      <c r="E15288" s="51"/>
      <c r="F15288" s="114" t="str">
        <f>IF(INDEX(I.Facility.P3IDNumber,276)="","",INDEX(I.Facility.P3IDNumber,276))</f>
        <v/>
      </c>
      <c r="G15288" s="51"/>
      <c r="H15288" s="46" t="str">
        <f>IF(AND(I.Developer.P3=TRUE,I.Facility.P3FacilityCount&gt;=276,F15288=""),"Incomplete","Complete")</f>
        <v>Complete</v>
      </c>
      <c r="I15288" s="48" t="s">
        <v>19653</v>
      </c>
    </row>
    <row r="15289" spans="2:9" ht="15" customHeight="1" x14ac:dyDescent="0.25">
      <c r="B15289" s="55" t="s">
        <v>282</v>
      </c>
      <c r="C15289" s="46">
        <v>277</v>
      </c>
      <c r="D15289" s="69" t="s">
        <v>29419</v>
      </c>
      <c r="E15289" s="51"/>
      <c r="F15289" s="114" t="str">
        <f>IF(INDEX(I.Facility.P3IDNumber,277)="","",INDEX(I.Facility.P3IDNumber,277))</f>
        <v/>
      </c>
      <c r="G15289" s="51"/>
      <c r="H15289" s="46" t="str">
        <f>IF(AND(I.Developer.P3=TRUE,I.Facility.P3FacilityCount&gt;=277,F15289=""),"Incomplete","Complete")</f>
        <v>Complete</v>
      </c>
      <c r="I15289" s="48" t="s">
        <v>19654</v>
      </c>
    </row>
    <row r="15290" spans="2:9" ht="15" customHeight="1" x14ac:dyDescent="0.25">
      <c r="B15290" s="55" t="s">
        <v>282</v>
      </c>
      <c r="C15290" s="46">
        <v>278</v>
      </c>
      <c r="D15290" s="69" t="s">
        <v>29419</v>
      </c>
      <c r="E15290" s="51"/>
      <c r="F15290" s="114" t="str">
        <f>IF(INDEX(I.Facility.P3IDNumber,278)="","",INDEX(I.Facility.P3IDNumber,278))</f>
        <v/>
      </c>
      <c r="G15290" s="51"/>
      <c r="H15290" s="46" t="str">
        <f>IF(AND(I.Developer.P3=TRUE,I.Facility.P3FacilityCount&gt;=278,F15290=""),"Incomplete","Complete")</f>
        <v>Complete</v>
      </c>
      <c r="I15290" s="48" t="s">
        <v>19655</v>
      </c>
    </row>
    <row r="15291" spans="2:9" ht="15" customHeight="1" x14ac:dyDescent="0.25">
      <c r="B15291" s="55" t="s">
        <v>282</v>
      </c>
      <c r="C15291" s="46">
        <v>279</v>
      </c>
      <c r="D15291" s="69" t="s">
        <v>29419</v>
      </c>
      <c r="E15291" s="51"/>
      <c r="F15291" s="114" t="str">
        <f>IF(INDEX(I.Facility.P3IDNumber,279)="","",INDEX(I.Facility.P3IDNumber,279))</f>
        <v/>
      </c>
      <c r="G15291" s="51"/>
      <c r="H15291" s="46" t="str">
        <f>IF(AND(I.Developer.P3=TRUE,I.Facility.P3FacilityCount&gt;=279,F15291=""),"Incomplete","Complete")</f>
        <v>Complete</v>
      </c>
      <c r="I15291" s="48" t="s">
        <v>19656</v>
      </c>
    </row>
    <row r="15292" spans="2:9" ht="15" customHeight="1" x14ac:dyDescent="0.25">
      <c r="B15292" s="55" t="s">
        <v>282</v>
      </c>
      <c r="C15292" s="46">
        <v>280</v>
      </c>
      <c r="D15292" s="69" t="s">
        <v>29419</v>
      </c>
      <c r="E15292" s="51"/>
      <c r="F15292" s="114" t="str">
        <f>IF(INDEX(I.Facility.P3IDNumber,280)="","",INDEX(I.Facility.P3IDNumber,280))</f>
        <v/>
      </c>
      <c r="G15292" s="51"/>
      <c r="H15292" s="46" t="str">
        <f>IF(AND(I.Developer.P3=TRUE,I.Facility.P3FacilityCount&gt;=280,F15292=""),"Incomplete","Complete")</f>
        <v>Complete</v>
      </c>
      <c r="I15292" s="48" t="s">
        <v>19657</v>
      </c>
    </row>
    <row r="15293" spans="2:9" ht="15" customHeight="1" x14ac:dyDescent="0.25">
      <c r="B15293" s="55" t="s">
        <v>282</v>
      </c>
      <c r="C15293" s="46">
        <v>281</v>
      </c>
      <c r="D15293" s="69" t="s">
        <v>29419</v>
      </c>
      <c r="E15293" s="51"/>
      <c r="F15293" s="114" t="str">
        <f>IF(INDEX(I.Facility.P3IDNumber,281)="","",INDEX(I.Facility.P3IDNumber,281))</f>
        <v/>
      </c>
      <c r="G15293" s="51"/>
      <c r="H15293" s="46" t="str">
        <f>IF(AND(I.Developer.P3=TRUE,I.Facility.P3FacilityCount&gt;=281,F15293=""),"Incomplete","Complete")</f>
        <v>Complete</v>
      </c>
      <c r="I15293" s="48" t="s">
        <v>19658</v>
      </c>
    </row>
    <row r="15294" spans="2:9" ht="15" customHeight="1" x14ac:dyDescent="0.25">
      <c r="B15294" s="55" t="s">
        <v>282</v>
      </c>
      <c r="C15294" s="46">
        <v>282</v>
      </c>
      <c r="D15294" s="69" t="s">
        <v>29419</v>
      </c>
      <c r="E15294" s="51"/>
      <c r="F15294" s="114" t="str">
        <f>IF(INDEX(I.Facility.P3IDNumber,282)="","",INDEX(I.Facility.P3IDNumber,282))</f>
        <v/>
      </c>
      <c r="G15294" s="51"/>
      <c r="H15294" s="46" t="str">
        <f>IF(AND(I.Developer.P3=TRUE,I.Facility.P3FacilityCount&gt;=282,F15294=""),"Incomplete","Complete")</f>
        <v>Complete</v>
      </c>
      <c r="I15294" s="48" t="s">
        <v>19659</v>
      </c>
    </row>
    <row r="15295" spans="2:9" ht="15" customHeight="1" x14ac:dyDescent="0.25">
      <c r="B15295" s="55" t="s">
        <v>282</v>
      </c>
      <c r="C15295" s="46">
        <v>283</v>
      </c>
      <c r="D15295" s="69" t="s">
        <v>29419</v>
      </c>
      <c r="E15295" s="51"/>
      <c r="F15295" s="114" t="str">
        <f>IF(INDEX(I.Facility.P3IDNumber,283)="","",INDEX(I.Facility.P3IDNumber,283))</f>
        <v/>
      </c>
      <c r="G15295" s="51"/>
      <c r="H15295" s="46" t="str">
        <f>IF(AND(I.Developer.P3=TRUE,I.Facility.P3FacilityCount&gt;=283,F15295=""),"Incomplete","Complete")</f>
        <v>Complete</v>
      </c>
      <c r="I15295" s="48" t="s">
        <v>19660</v>
      </c>
    </row>
    <row r="15296" spans="2:9" ht="15" customHeight="1" x14ac:dyDescent="0.25">
      <c r="B15296" s="55" t="s">
        <v>282</v>
      </c>
      <c r="C15296" s="46">
        <v>284</v>
      </c>
      <c r="D15296" s="69" t="s">
        <v>29419</v>
      </c>
      <c r="E15296" s="51"/>
      <c r="F15296" s="114" t="str">
        <f>IF(INDEX(I.Facility.P3IDNumber,284)="","",INDEX(I.Facility.P3IDNumber,284))</f>
        <v/>
      </c>
      <c r="G15296" s="51"/>
      <c r="H15296" s="46" t="str">
        <f>IF(AND(I.Developer.P3=TRUE,I.Facility.P3FacilityCount&gt;=284,F15296=""),"Incomplete","Complete")</f>
        <v>Complete</v>
      </c>
      <c r="I15296" s="48" t="s">
        <v>19661</v>
      </c>
    </row>
    <row r="15297" spans="2:9" ht="15" customHeight="1" x14ac:dyDescent="0.25">
      <c r="B15297" s="55" t="s">
        <v>282</v>
      </c>
      <c r="C15297" s="46">
        <v>285</v>
      </c>
      <c r="D15297" s="69" t="s">
        <v>29419</v>
      </c>
      <c r="E15297" s="51"/>
      <c r="F15297" s="114" t="str">
        <f>IF(INDEX(I.Facility.P3IDNumber,285)="","",INDEX(I.Facility.P3IDNumber,285))</f>
        <v/>
      </c>
      <c r="G15297" s="51"/>
      <c r="H15297" s="46" t="str">
        <f>IF(AND(I.Developer.P3=TRUE,I.Facility.P3FacilityCount&gt;=285,F15297=""),"Incomplete","Complete")</f>
        <v>Complete</v>
      </c>
      <c r="I15297" s="48" t="s">
        <v>19662</v>
      </c>
    </row>
    <row r="15298" spans="2:9" ht="15" customHeight="1" x14ac:dyDescent="0.25">
      <c r="B15298" s="55" t="s">
        <v>282</v>
      </c>
      <c r="C15298" s="46">
        <v>286</v>
      </c>
      <c r="D15298" s="69" t="s">
        <v>29419</v>
      </c>
      <c r="E15298" s="51"/>
      <c r="F15298" s="114" t="str">
        <f>IF(INDEX(I.Facility.P3IDNumber,286)="","",INDEX(I.Facility.P3IDNumber,286))</f>
        <v/>
      </c>
      <c r="G15298" s="51"/>
      <c r="H15298" s="46" t="str">
        <f>IF(AND(I.Developer.P3=TRUE,I.Facility.P3FacilityCount&gt;=286,F15298=""),"Incomplete","Complete")</f>
        <v>Complete</v>
      </c>
      <c r="I15298" s="48" t="s">
        <v>19663</v>
      </c>
    </row>
    <row r="15299" spans="2:9" ht="15" customHeight="1" x14ac:dyDescent="0.25">
      <c r="B15299" s="55" t="s">
        <v>282</v>
      </c>
      <c r="C15299" s="46">
        <v>287</v>
      </c>
      <c r="D15299" s="69" t="s">
        <v>29419</v>
      </c>
      <c r="E15299" s="51"/>
      <c r="F15299" s="114" t="str">
        <f>IF(INDEX(I.Facility.P3IDNumber,287)="","",INDEX(I.Facility.P3IDNumber,287))</f>
        <v/>
      </c>
      <c r="G15299" s="51"/>
      <c r="H15299" s="46" t="str">
        <f>IF(AND(I.Developer.P3=TRUE,I.Facility.P3FacilityCount&gt;=287,F15299=""),"Incomplete","Complete")</f>
        <v>Complete</v>
      </c>
      <c r="I15299" s="48" t="s">
        <v>19664</v>
      </c>
    </row>
    <row r="15300" spans="2:9" ht="15" customHeight="1" x14ac:dyDescent="0.25">
      <c r="B15300" s="55" t="s">
        <v>282</v>
      </c>
      <c r="C15300" s="46">
        <v>288</v>
      </c>
      <c r="D15300" s="69" t="s">
        <v>29419</v>
      </c>
      <c r="E15300" s="51"/>
      <c r="F15300" s="114" t="str">
        <f>IF(INDEX(I.Facility.P3IDNumber,288)="","",INDEX(I.Facility.P3IDNumber,288))</f>
        <v/>
      </c>
      <c r="G15300" s="51"/>
      <c r="H15300" s="46" t="str">
        <f>IF(AND(I.Developer.P3=TRUE,I.Facility.P3FacilityCount&gt;=288,F15300=""),"Incomplete","Complete")</f>
        <v>Complete</v>
      </c>
      <c r="I15300" s="48" t="s">
        <v>19665</v>
      </c>
    </row>
    <row r="15301" spans="2:9" ht="15" customHeight="1" x14ac:dyDescent="0.25">
      <c r="B15301" s="55" t="s">
        <v>282</v>
      </c>
      <c r="C15301" s="46">
        <v>289</v>
      </c>
      <c r="D15301" s="69" t="s">
        <v>29419</v>
      </c>
      <c r="E15301" s="51"/>
      <c r="F15301" s="114" t="str">
        <f>IF(INDEX(I.Facility.P3IDNumber,289)="","",INDEX(I.Facility.P3IDNumber,289))</f>
        <v/>
      </c>
      <c r="G15301" s="51"/>
      <c r="H15301" s="46" t="str">
        <f>IF(AND(I.Developer.P3=TRUE,I.Facility.P3FacilityCount&gt;=289,F15301=""),"Incomplete","Complete")</f>
        <v>Complete</v>
      </c>
      <c r="I15301" s="48" t="s">
        <v>19666</v>
      </c>
    </row>
    <row r="15302" spans="2:9" ht="15" customHeight="1" x14ac:dyDescent="0.25">
      <c r="B15302" s="55" t="s">
        <v>282</v>
      </c>
      <c r="C15302" s="46">
        <v>290</v>
      </c>
      <c r="D15302" s="69" t="s">
        <v>29419</v>
      </c>
      <c r="E15302" s="51"/>
      <c r="F15302" s="114" t="str">
        <f>IF(INDEX(I.Facility.P3IDNumber,290)="","",INDEX(I.Facility.P3IDNumber,290))</f>
        <v/>
      </c>
      <c r="G15302" s="51"/>
      <c r="H15302" s="46" t="str">
        <f>IF(AND(I.Developer.P3=TRUE,I.Facility.P3FacilityCount&gt;=290,F15302=""),"Incomplete","Complete")</f>
        <v>Complete</v>
      </c>
      <c r="I15302" s="48" t="s">
        <v>19667</v>
      </c>
    </row>
    <row r="15303" spans="2:9" ht="15" customHeight="1" x14ac:dyDescent="0.25">
      <c r="B15303" s="55" t="s">
        <v>282</v>
      </c>
      <c r="C15303" s="46">
        <v>291</v>
      </c>
      <c r="D15303" s="69" t="s">
        <v>29419</v>
      </c>
      <c r="E15303" s="51"/>
      <c r="F15303" s="114" t="str">
        <f>IF(INDEX(I.Facility.P3IDNumber,291)="","",INDEX(I.Facility.P3IDNumber,291))</f>
        <v/>
      </c>
      <c r="G15303" s="51"/>
      <c r="H15303" s="46" t="str">
        <f>IF(AND(I.Developer.P3=TRUE,I.Facility.P3FacilityCount&gt;=291,F15303=""),"Incomplete","Complete")</f>
        <v>Complete</v>
      </c>
      <c r="I15303" s="48" t="s">
        <v>19668</v>
      </c>
    </row>
    <row r="15304" spans="2:9" ht="15" customHeight="1" x14ac:dyDescent="0.25">
      <c r="B15304" s="55" t="s">
        <v>282</v>
      </c>
      <c r="C15304" s="46">
        <v>292</v>
      </c>
      <c r="D15304" s="69" t="s">
        <v>29419</v>
      </c>
      <c r="E15304" s="51"/>
      <c r="F15304" s="114" t="str">
        <f>IF(INDEX(I.Facility.P3IDNumber,292)="","",INDEX(I.Facility.P3IDNumber,292))</f>
        <v/>
      </c>
      <c r="G15304" s="51"/>
      <c r="H15304" s="46" t="str">
        <f>IF(AND(I.Developer.P3=TRUE,I.Facility.P3FacilityCount&gt;=292,F15304=""),"Incomplete","Complete")</f>
        <v>Complete</v>
      </c>
      <c r="I15304" s="48" t="s">
        <v>19669</v>
      </c>
    </row>
    <row r="15305" spans="2:9" ht="15" customHeight="1" x14ac:dyDescent="0.25">
      <c r="B15305" s="55" t="s">
        <v>282</v>
      </c>
      <c r="C15305" s="46">
        <v>293</v>
      </c>
      <c r="D15305" s="69" t="s">
        <v>29419</v>
      </c>
      <c r="E15305" s="51"/>
      <c r="F15305" s="114" t="str">
        <f>IF(INDEX(I.Facility.P3IDNumber,293)="","",INDEX(I.Facility.P3IDNumber,293))</f>
        <v/>
      </c>
      <c r="G15305" s="51"/>
      <c r="H15305" s="46" t="str">
        <f>IF(AND(I.Developer.P3=TRUE,I.Facility.P3FacilityCount&gt;=293,F15305=""),"Incomplete","Complete")</f>
        <v>Complete</v>
      </c>
      <c r="I15305" s="48" t="s">
        <v>19670</v>
      </c>
    </row>
    <row r="15306" spans="2:9" ht="15" customHeight="1" x14ac:dyDescent="0.25">
      <c r="B15306" s="55" t="s">
        <v>282</v>
      </c>
      <c r="C15306" s="46">
        <v>294</v>
      </c>
      <c r="D15306" s="69" t="s">
        <v>29419</v>
      </c>
      <c r="E15306" s="51"/>
      <c r="F15306" s="114" t="str">
        <f>IF(INDEX(I.Facility.P3IDNumber,294)="","",INDEX(I.Facility.P3IDNumber,294))</f>
        <v/>
      </c>
      <c r="G15306" s="51"/>
      <c r="H15306" s="46" t="str">
        <f>IF(AND(I.Developer.P3=TRUE,I.Facility.P3FacilityCount&gt;=294,F15306=""),"Incomplete","Complete")</f>
        <v>Complete</v>
      </c>
      <c r="I15306" s="48" t="s">
        <v>19671</v>
      </c>
    </row>
    <row r="15307" spans="2:9" ht="15" customHeight="1" x14ac:dyDescent="0.25">
      <c r="B15307" s="55" t="s">
        <v>282</v>
      </c>
      <c r="C15307" s="46">
        <v>295</v>
      </c>
      <c r="D15307" s="69" t="s">
        <v>29419</v>
      </c>
      <c r="E15307" s="51"/>
      <c r="F15307" s="114" t="str">
        <f>IF(INDEX(I.Facility.P3IDNumber,295)="","",INDEX(I.Facility.P3IDNumber,295))</f>
        <v/>
      </c>
      <c r="G15307" s="51"/>
      <c r="H15307" s="46" t="str">
        <f>IF(AND(I.Developer.P3=TRUE,I.Facility.P3FacilityCount&gt;=295,F15307=""),"Incomplete","Complete")</f>
        <v>Complete</v>
      </c>
      <c r="I15307" s="48" t="s">
        <v>19672</v>
      </c>
    </row>
    <row r="15308" spans="2:9" ht="15" customHeight="1" x14ac:dyDescent="0.25">
      <c r="B15308" s="55" t="s">
        <v>282</v>
      </c>
      <c r="C15308" s="46">
        <v>296</v>
      </c>
      <c r="D15308" s="69" t="s">
        <v>29419</v>
      </c>
      <c r="E15308" s="51"/>
      <c r="F15308" s="114" t="str">
        <f>IF(INDEX(I.Facility.P3IDNumber,296)="","",INDEX(I.Facility.P3IDNumber,296))</f>
        <v/>
      </c>
      <c r="G15308" s="51"/>
      <c r="H15308" s="46" t="str">
        <f>IF(AND(I.Developer.P3=TRUE,I.Facility.P3FacilityCount&gt;=296,F15308=""),"Incomplete","Complete")</f>
        <v>Complete</v>
      </c>
      <c r="I15308" s="48" t="s">
        <v>19673</v>
      </c>
    </row>
    <row r="15309" spans="2:9" ht="15" customHeight="1" x14ac:dyDescent="0.25">
      <c r="B15309" s="55" t="s">
        <v>282</v>
      </c>
      <c r="C15309" s="46">
        <v>297</v>
      </c>
      <c r="D15309" s="69" t="s">
        <v>29419</v>
      </c>
      <c r="E15309" s="51"/>
      <c r="F15309" s="114" t="str">
        <f>IF(INDEX(I.Facility.P3IDNumber,297)="","",INDEX(I.Facility.P3IDNumber,297))</f>
        <v/>
      </c>
      <c r="G15309" s="51"/>
      <c r="H15309" s="46" t="str">
        <f>IF(AND(I.Developer.P3=TRUE,I.Facility.P3FacilityCount&gt;=297,F15309=""),"Incomplete","Complete")</f>
        <v>Complete</v>
      </c>
      <c r="I15309" s="48" t="s">
        <v>19674</v>
      </c>
    </row>
    <row r="15310" spans="2:9" ht="15" customHeight="1" x14ac:dyDescent="0.25">
      <c r="B15310" s="55" t="s">
        <v>282</v>
      </c>
      <c r="C15310" s="46">
        <v>298</v>
      </c>
      <c r="D15310" s="69" t="s">
        <v>29419</v>
      </c>
      <c r="E15310" s="51"/>
      <c r="F15310" s="114" t="str">
        <f>IF(INDEX(I.Facility.P3IDNumber,298)="","",INDEX(I.Facility.P3IDNumber,298))</f>
        <v/>
      </c>
      <c r="G15310" s="51"/>
      <c r="H15310" s="46" t="str">
        <f>IF(AND(I.Developer.P3=TRUE,I.Facility.P3FacilityCount&gt;=298,F15310=""),"Incomplete","Complete")</f>
        <v>Complete</v>
      </c>
      <c r="I15310" s="48" t="s">
        <v>19675</v>
      </c>
    </row>
    <row r="15311" spans="2:9" ht="15" customHeight="1" x14ac:dyDescent="0.25">
      <c r="B15311" s="55" t="s">
        <v>282</v>
      </c>
      <c r="C15311" s="46">
        <v>299</v>
      </c>
      <c r="D15311" s="69" t="s">
        <v>29419</v>
      </c>
      <c r="E15311" s="51"/>
      <c r="F15311" s="114" t="str">
        <f>IF(INDEX(I.Facility.P3IDNumber,299)="","",INDEX(I.Facility.P3IDNumber,299))</f>
        <v/>
      </c>
      <c r="G15311" s="51"/>
      <c r="H15311" s="46" t="str">
        <f>IF(AND(I.Developer.P3=TRUE,I.Facility.P3FacilityCount&gt;=299,F15311=""),"Incomplete","Complete")</f>
        <v>Complete</v>
      </c>
      <c r="I15311" s="48" t="s">
        <v>19676</v>
      </c>
    </row>
    <row r="15312" spans="2:9" ht="15" customHeight="1" x14ac:dyDescent="0.25">
      <c r="B15312" s="55" t="s">
        <v>282</v>
      </c>
      <c r="C15312" s="46">
        <v>300</v>
      </c>
      <c r="D15312" s="69" t="s">
        <v>29419</v>
      </c>
      <c r="E15312" s="51"/>
      <c r="F15312" s="114" t="str">
        <f>IF(INDEX(I.Facility.P3IDNumber,300)="","",INDEX(I.Facility.P3IDNumber,300))</f>
        <v/>
      </c>
      <c r="G15312" s="51"/>
      <c r="H15312" s="46" t="str">
        <f>IF(AND(I.Developer.P3=TRUE,I.Facility.P3FacilityCount&gt;=300,F15312=""),"Incomplete","Complete")</f>
        <v>Complete</v>
      </c>
      <c r="I15312" s="48" t="s">
        <v>19677</v>
      </c>
    </row>
    <row r="15313" spans="2:9" ht="15" customHeight="1" x14ac:dyDescent="0.25">
      <c r="B15313" s="55" t="s">
        <v>282</v>
      </c>
      <c r="C15313" s="46">
        <v>301</v>
      </c>
      <c r="D15313" s="69" t="s">
        <v>29419</v>
      </c>
      <c r="E15313" s="51"/>
      <c r="F15313" s="114" t="str">
        <f>IF(INDEX(I.Facility.P3IDNumber,301)="","",INDEX(I.Facility.P3IDNumber,301))</f>
        <v/>
      </c>
      <c r="G15313" s="51"/>
      <c r="H15313" s="46" t="str">
        <f>IF(AND(I.Developer.P3=TRUE,I.Facility.P3FacilityCount&gt;=301,F15313=""),"Incomplete","Complete")</f>
        <v>Complete</v>
      </c>
      <c r="I15313" s="48" t="s">
        <v>19678</v>
      </c>
    </row>
    <row r="15314" spans="2:9" ht="15" customHeight="1" x14ac:dyDescent="0.25">
      <c r="B15314" s="55" t="s">
        <v>282</v>
      </c>
      <c r="C15314" s="46">
        <v>302</v>
      </c>
      <c r="D15314" s="69" t="s">
        <v>29419</v>
      </c>
      <c r="E15314" s="51"/>
      <c r="F15314" s="114" t="str">
        <f>IF(INDEX(I.Facility.P3IDNumber,302)="","",INDEX(I.Facility.P3IDNumber,302))</f>
        <v/>
      </c>
      <c r="G15314" s="51"/>
      <c r="H15314" s="46" t="str">
        <f>IF(AND(I.Developer.P3=TRUE,I.Facility.P3FacilityCount&gt;=302,F15314=""),"Incomplete","Complete")</f>
        <v>Complete</v>
      </c>
      <c r="I15314" s="48" t="s">
        <v>19679</v>
      </c>
    </row>
    <row r="15315" spans="2:9" ht="15" customHeight="1" x14ac:dyDescent="0.25">
      <c r="B15315" s="55" t="s">
        <v>282</v>
      </c>
      <c r="C15315" s="46">
        <v>303</v>
      </c>
      <c r="D15315" s="69" t="s">
        <v>29419</v>
      </c>
      <c r="E15315" s="51"/>
      <c r="F15315" s="114" t="str">
        <f>IF(INDEX(I.Facility.P3IDNumber,303)="","",INDEX(I.Facility.P3IDNumber,303))</f>
        <v/>
      </c>
      <c r="G15315" s="51"/>
      <c r="H15315" s="46" t="str">
        <f>IF(AND(I.Developer.P3=TRUE,I.Facility.P3FacilityCount&gt;=303,F15315=""),"Incomplete","Complete")</f>
        <v>Complete</v>
      </c>
      <c r="I15315" s="48" t="s">
        <v>19680</v>
      </c>
    </row>
    <row r="15316" spans="2:9" ht="15" customHeight="1" x14ac:dyDescent="0.25">
      <c r="B15316" s="55" t="s">
        <v>282</v>
      </c>
      <c r="C15316" s="46">
        <v>304</v>
      </c>
      <c r="D15316" s="69" t="s">
        <v>29419</v>
      </c>
      <c r="E15316" s="51"/>
      <c r="F15316" s="114" t="str">
        <f>IF(INDEX(I.Facility.P3IDNumber,304)="","",INDEX(I.Facility.P3IDNumber,304))</f>
        <v/>
      </c>
      <c r="G15316" s="51"/>
      <c r="H15316" s="46" t="str">
        <f>IF(AND(I.Developer.P3=TRUE,I.Facility.P3FacilityCount&gt;=304,F15316=""),"Incomplete","Complete")</f>
        <v>Complete</v>
      </c>
      <c r="I15316" s="48" t="s">
        <v>19681</v>
      </c>
    </row>
    <row r="15317" spans="2:9" ht="15" customHeight="1" x14ac:dyDescent="0.25">
      <c r="B15317" s="55" t="s">
        <v>282</v>
      </c>
      <c r="C15317" s="46">
        <v>305</v>
      </c>
      <c r="D15317" s="69" t="s">
        <v>29419</v>
      </c>
      <c r="E15317" s="51"/>
      <c r="F15317" s="114" t="str">
        <f>IF(INDEX(I.Facility.P3IDNumber,305)="","",INDEX(I.Facility.P3IDNumber,305))</f>
        <v/>
      </c>
      <c r="G15317" s="51"/>
      <c r="H15317" s="46" t="str">
        <f>IF(AND(I.Developer.P3=TRUE,I.Facility.P3FacilityCount&gt;=305,F15317=""),"Incomplete","Complete")</f>
        <v>Complete</v>
      </c>
      <c r="I15317" s="48" t="s">
        <v>19682</v>
      </c>
    </row>
    <row r="15318" spans="2:9" ht="15" customHeight="1" x14ac:dyDescent="0.25">
      <c r="B15318" s="55" t="s">
        <v>282</v>
      </c>
      <c r="C15318" s="46">
        <v>306</v>
      </c>
      <c r="D15318" s="69" t="s">
        <v>29419</v>
      </c>
      <c r="E15318" s="51"/>
      <c r="F15318" s="114" t="str">
        <f>IF(INDEX(I.Facility.P3IDNumber,306)="","",INDEX(I.Facility.P3IDNumber,306))</f>
        <v/>
      </c>
      <c r="G15318" s="51"/>
      <c r="H15318" s="46" t="str">
        <f>IF(AND(I.Developer.P3=TRUE,I.Facility.P3FacilityCount&gt;=306,F15318=""),"Incomplete","Complete")</f>
        <v>Complete</v>
      </c>
      <c r="I15318" s="48" t="s">
        <v>19683</v>
      </c>
    </row>
    <row r="15319" spans="2:9" ht="15" customHeight="1" x14ac:dyDescent="0.25">
      <c r="B15319" s="55" t="s">
        <v>282</v>
      </c>
      <c r="C15319" s="46">
        <v>307</v>
      </c>
      <c r="D15319" s="69" t="s">
        <v>29419</v>
      </c>
      <c r="E15319" s="51"/>
      <c r="F15319" s="114" t="str">
        <f>IF(INDEX(I.Facility.P3IDNumber,307)="","",INDEX(I.Facility.P3IDNumber,307))</f>
        <v/>
      </c>
      <c r="G15319" s="51"/>
      <c r="H15319" s="46" t="str">
        <f>IF(AND(I.Developer.P3=TRUE,I.Facility.P3FacilityCount&gt;=307,F15319=""),"Incomplete","Complete")</f>
        <v>Complete</v>
      </c>
      <c r="I15319" s="48" t="s">
        <v>19684</v>
      </c>
    </row>
    <row r="15320" spans="2:9" ht="15" customHeight="1" x14ac:dyDescent="0.25">
      <c r="B15320" s="55" t="s">
        <v>282</v>
      </c>
      <c r="C15320" s="46">
        <v>308</v>
      </c>
      <c r="D15320" s="69" t="s">
        <v>29419</v>
      </c>
      <c r="E15320" s="51"/>
      <c r="F15320" s="114" t="str">
        <f>IF(INDEX(I.Facility.P3IDNumber,308)="","",INDEX(I.Facility.P3IDNumber,308))</f>
        <v/>
      </c>
      <c r="G15320" s="51"/>
      <c r="H15320" s="46" t="str">
        <f>IF(AND(I.Developer.P3=TRUE,I.Facility.P3FacilityCount&gt;=308,F15320=""),"Incomplete","Complete")</f>
        <v>Complete</v>
      </c>
      <c r="I15320" s="48" t="s">
        <v>19685</v>
      </c>
    </row>
    <row r="15321" spans="2:9" ht="15" customHeight="1" x14ac:dyDescent="0.25">
      <c r="B15321" s="55" t="s">
        <v>282</v>
      </c>
      <c r="C15321" s="46">
        <v>309</v>
      </c>
      <c r="D15321" s="69" t="s">
        <v>29419</v>
      </c>
      <c r="E15321" s="51"/>
      <c r="F15321" s="114" t="str">
        <f>IF(INDEX(I.Facility.P3IDNumber,309)="","",INDEX(I.Facility.P3IDNumber,309))</f>
        <v/>
      </c>
      <c r="G15321" s="51"/>
      <c r="H15321" s="46" t="str">
        <f>IF(AND(I.Developer.P3=TRUE,I.Facility.P3FacilityCount&gt;=309,F15321=""),"Incomplete","Complete")</f>
        <v>Complete</v>
      </c>
      <c r="I15321" s="48" t="s">
        <v>19686</v>
      </c>
    </row>
    <row r="15322" spans="2:9" ht="15" customHeight="1" x14ac:dyDescent="0.25">
      <c r="B15322" s="55" t="s">
        <v>282</v>
      </c>
      <c r="C15322" s="46">
        <v>310</v>
      </c>
      <c r="D15322" s="69" t="s">
        <v>29419</v>
      </c>
      <c r="E15322" s="51"/>
      <c r="F15322" s="114" t="str">
        <f>IF(INDEX(I.Facility.P3IDNumber,310)="","",INDEX(I.Facility.P3IDNumber,310))</f>
        <v/>
      </c>
      <c r="G15322" s="51"/>
      <c r="H15322" s="46" t="str">
        <f>IF(AND(I.Developer.P3=TRUE,I.Facility.P3FacilityCount&gt;=310,F15322=""),"Incomplete","Complete")</f>
        <v>Complete</v>
      </c>
      <c r="I15322" s="48" t="s">
        <v>19687</v>
      </c>
    </row>
    <row r="15323" spans="2:9" ht="15" customHeight="1" x14ac:dyDescent="0.25">
      <c r="B15323" s="55" t="s">
        <v>282</v>
      </c>
      <c r="C15323" s="46">
        <v>311</v>
      </c>
      <c r="D15323" s="69" t="s">
        <v>29419</v>
      </c>
      <c r="E15323" s="51"/>
      <c r="F15323" s="114" t="str">
        <f>IF(INDEX(I.Facility.P3IDNumber,311)="","",INDEX(I.Facility.P3IDNumber,311))</f>
        <v/>
      </c>
      <c r="G15323" s="51"/>
      <c r="H15323" s="46" t="str">
        <f>IF(AND(I.Developer.P3=TRUE,I.Facility.P3FacilityCount&gt;=311,F15323=""),"Incomplete","Complete")</f>
        <v>Complete</v>
      </c>
      <c r="I15323" s="48" t="s">
        <v>19688</v>
      </c>
    </row>
    <row r="15324" spans="2:9" ht="15" customHeight="1" x14ac:dyDescent="0.25">
      <c r="B15324" s="55" t="s">
        <v>282</v>
      </c>
      <c r="C15324" s="46">
        <v>312</v>
      </c>
      <c r="D15324" s="69" t="s">
        <v>29419</v>
      </c>
      <c r="E15324" s="51"/>
      <c r="F15324" s="114" t="str">
        <f>IF(INDEX(I.Facility.P3IDNumber,312)="","",INDEX(I.Facility.P3IDNumber,312))</f>
        <v/>
      </c>
      <c r="G15324" s="51"/>
      <c r="H15324" s="46" t="str">
        <f>IF(AND(I.Developer.P3=TRUE,I.Facility.P3FacilityCount&gt;=312,F15324=""),"Incomplete","Complete")</f>
        <v>Complete</v>
      </c>
      <c r="I15324" s="48" t="s">
        <v>19689</v>
      </c>
    </row>
    <row r="15325" spans="2:9" ht="15" customHeight="1" x14ac:dyDescent="0.25">
      <c r="B15325" s="55" t="s">
        <v>282</v>
      </c>
      <c r="C15325" s="46">
        <v>313</v>
      </c>
      <c r="D15325" s="69" t="s">
        <v>29419</v>
      </c>
      <c r="E15325" s="51"/>
      <c r="F15325" s="114" t="str">
        <f>IF(INDEX(I.Facility.P3IDNumber,313)="","",INDEX(I.Facility.P3IDNumber,313))</f>
        <v/>
      </c>
      <c r="G15325" s="51"/>
      <c r="H15325" s="46" t="str">
        <f>IF(AND(I.Developer.P3=TRUE,I.Facility.P3FacilityCount&gt;=313,F15325=""),"Incomplete","Complete")</f>
        <v>Complete</v>
      </c>
      <c r="I15325" s="48" t="s">
        <v>19690</v>
      </c>
    </row>
    <row r="15326" spans="2:9" ht="15" customHeight="1" x14ac:dyDescent="0.25">
      <c r="B15326" s="55" t="s">
        <v>282</v>
      </c>
      <c r="C15326" s="46">
        <v>314</v>
      </c>
      <c r="D15326" s="69" t="s">
        <v>29419</v>
      </c>
      <c r="E15326" s="51"/>
      <c r="F15326" s="114" t="str">
        <f>IF(INDEX(I.Facility.P3IDNumber,314)="","",INDEX(I.Facility.P3IDNumber,314))</f>
        <v/>
      </c>
      <c r="G15326" s="51"/>
      <c r="H15326" s="46" t="str">
        <f>IF(AND(I.Developer.P3=TRUE,I.Facility.P3FacilityCount&gt;=314,F15326=""),"Incomplete","Complete")</f>
        <v>Complete</v>
      </c>
      <c r="I15326" s="48" t="s">
        <v>19691</v>
      </c>
    </row>
    <row r="15327" spans="2:9" ht="15" customHeight="1" x14ac:dyDescent="0.25">
      <c r="B15327" s="55" t="s">
        <v>282</v>
      </c>
      <c r="C15327" s="46">
        <v>315</v>
      </c>
      <c r="D15327" s="69" t="s">
        <v>29419</v>
      </c>
      <c r="E15327" s="51"/>
      <c r="F15327" s="114" t="str">
        <f>IF(INDEX(I.Facility.P3IDNumber,315)="","",INDEX(I.Facility.P3IDNumber,315))</f>
        <v/>
      </c>
      <c r="G15327" s="51"/>
      <c r="H15327" s="46" t="str">
        <f>IF(AND(I.Developer.P3=TRUE,I.Facility.P3FacilityCount&gt;=315,F15327=""),"Incomplete","Complete")</f>
        <v>Complete</v>
      </c>
      <c r="I15327" s="48" t="s">
        <v>19692</v>
      </c>
    </row>
    <row r="15328" spans="2:9" ht="15" customHeight="1" x14ac:dyDescent="0.25">
      <c r="B15328" s="55" t="s">
        <v>282</v>
      </c>
      <c r="C15328" s="46">
        <v>316</v>
      </c>
      <c r="D15328" s="69" t="s">
        <v>29419</v>
      </c>
      <c r="E15328" s="51"/>
      <c r="F15328" s="114" t="str">
        <f>IF(INDEX(I.Facility.P3IDNumber,316)="","",INDEX(I.Facility.P3IDNumber,316))</f>
        <v/>
      </c>
      <c r="G15328" s="51"/>
      <c r="H15328" s="46" t="str">
        <f>IF(AND(I.Developer.P3=TRUE,I.Facility.P3FacilityCount&gt;=316,F15328=""),"Incomplete","Complete")</f>
        <v>Complete</v>
      </c>
      <c r="I15328" s="48" t="s">
        <v>19693</v>
      </c>
    </row>
    <row r="15329" spans="2:9" ht="15" customHeight="1" x14ac:dyDescent="0.25">
      <c r="B15329" s="55" t="s">
        <v>282</v>
      </c>
      <c r="C15329" s="46">
        <v>317</v>
      </c>
      <c r="D15329" s="69" t="s">
        <v>29419</v>
      </c>
      <c r="E15329" s="51"/>
      <c r="F15329" s="114" t="str">
        <f>IF(INDEX(I.Facility.P3IDNumber,317)="","",INDEX(I.Facility.P3IDNumber,317))</f>
        <v/>
      </c>
      <c r="G15329" s="51"/>
      <c r="H15329" s="46" t="str">
        <f>IF(AND(I.Developer.P3=TRUE,I.Facility.P3FacilityCount&gt;=317,F15329=""),"Incomplete","Complete")</f>
        <v>Complete</v>
      </c>
      <c r="I15329" s="48" t="s">
        <v>19694</v>
      </c>
    </row>
    <row r="15330" spans="2:9" ht="15" customHeight="1" x14ac:dyDescent="0.25">
      <c r="B15330" s="55" t="s">
        <v>282</v>
      </c>
      <c r="C15330" s="46">
        <v>318</v>
      </c>
      <c r="D15330" s="69" t="s">
        <v>29419</v>
      </c>
      <c r="E15330" s="51"/>
      <c r="F15330" s="114" t="str">
        <f>IF(INDEX(I.Facility.P3IDNumber,318)="","",INDEX(I.Facility.P3IDNumber,318))</f>
        <v/>
      </c>
      <c r="G15330" s="51"/>
      <c r="H15330" s="46" t="str">
        <f>IF(AND(I.Developer.P3=TRUE,I.Facility.P3FacilityCount&gt;=318,F15330=""),"Incomplete","Complete")</f>
        <v>Complete</v>
      </c>
      <c r="I15330" s="48" t="s">
        <v>19695</v>
      </c>
    </row>
    <row r="15331" spans="2:9" ht="15" customHeight="1" x14ac:dyDescent="0.25">
      <c r="B15331" s="55" t="s">
        <v>282</v>
      </c>
      <c r="C15331" s="46">
        <v>319</v>
      </c>
      <c r="D15331" s="69" t="s">
        <v>29419</v>
      </c>
      <c r="E15331" s="51"/>
      <c r="F15331" s="114" t="str">
        <f>IF(INDEX(I.Facility.P3IDNumber,319)="","",INDEX(I.Facility.P3IDNumber,319))</f>
        <v/>
      </c>
      <c r="G15331" s="51"/>
      <c r="H15331" s="46" t="str">
        <f>IF(AND(I.Developer.P3=TRUE,I.Facility.P3FacilityCount&gt;=319,F15331=""),"Incomplete","Complete")</f>
        <v>Complete</v>
      </c>
      <c r="I15331" s="48" t="s">
        <v>19696</v>
      </c>
    </row>
    <row r="15332" spans="2:9" ht="15" customHeight="1" x14ac:dyDescent="0.25">
      <c r="B15332" s="55" t="s">
        <v>282</v>
      </c>
      <c r="C15332" s="46">
        <v>320</v>
      </c>
      <c r="D15332" s="69" t="s">
        <v>29419</v>
      </c>
      <c r="E15332" s="51"/>
      <c r="F15332" s="114" t="str">
        <f>IF(INDEX(I.Facility.P3IDNumber,320)="","",INDEX(I.Facility.P3IDNumber,320))</f>
        <v/>
      </c>
      <c r="G15332" s="51"/>
      <c r="H15332" s="46" t="str">
        <f>IF(AND(I.Developer.P3=TRUE,I.Facility.P3FacilityCount&gt;=320,F15332=""),"Incomplete","Complete")</f>
        <v>Complete</v>
      </c>
      <c r="I15332" s="48" t="s">
        <v>19697</v>
      </c>
    </row>
    <row r="15333" spans="2:9" ht="15" customHeight="1" x14ac:dyDescent="0.25">
      <c r="B15333" s="55" t="s">
        <v>282</v>
      </c>
      <c r="C15333" s="46">
        <v>321</v>
      </c>
      <c r="D15333" s="69" t="s">
        <v>29419</v>
      </c>
      <c r="E15333" s="51"/>
      <c r="F15333" s="114" t="str">
        <f>IF(INDEX(I.Facility.P3IDNumber,321)="","",INDEX(I.Facility.P3IDNumber,321))</f>
        <v/>
      </c>
      <c r="G15333" s="51"/>
      <c r="H15333" s="46" t="str">
        <f>IF(AND(I.Developer.P3=TRUE,I.Facility.P3FacilityCount&gt;=321,F15333=""),"Incomplete","Complete")</f>
        <v>Complete</v>
      </c>
      <c r="I15333" s="48" t="s">
        <v>19698</v>
      </c>
    </row>
    <row r="15334" spans="2:9" ht="15" customHeight="1" x14ac:dyDescent="0.25">
      <c r="B15334" s="55" t="s">
        <v>282</v>
      </c>
      <c r="C15334" s="46">
        <v>322</v>
      </c>
      <c r="D15334" s="69" t="s">
        <v>29419</v>
      </c>
      <c r="E15334" s="51"/>
      <c r="F15334" s="114" t="str">
        <f>IF(INDEX(I.Facility.P3IDNumber,322)="","",INDEX(I.Facility.P3IDNumber,322))</f>
        <v/>
      </c>
      <c r="G15334" s="51"/>
      <c r="H15334" s="46" t="str">
        <f>IF(AND(I.Developer.P3=TRUE,I.Facility.P3FacilityCount&gt;=322,F15334=""),"Incomplete","Complete")</f>
        <v>Complete</v>
      </c>
      <c r="I15334" s="48" t="s">
        <v>19699</v>
      </c>
    </row>
    <row r="15335" spans="2:9" ht="15" customHeight="1" x14ac:dyDescent="0.25">
      <c r="B15335" s="55" t="s">
        <v>282</v>
      </c>
      <c r="C15335" s="46">
        <v>323</v>
      </c>
      <c r="D15335" s="69" t="s">
        <v>29419</v>
      </c>
      <c r="E15335" s="51"/>
      <c r="F15335" s="114" t="str">
        <f>IF(INDEX(I.Facility.P3IDNumber,323)="","",INDEX(I.Facility.P3IDNumber,323))</f>
        <v/>
      </c>
      <c r="G15335" s="51"/>
      <c r="H15335" s="46" t="str">
        <f>IF(AND(I.Developer.P3=TRUE,I.Facility.P3FacilityCount&gt;=323,F15335=""),"Incomplete","Complete")</f>
        <v>Complete</v>
      </c>
      <c r="I15335" s="48" t="s">
        <v>19700</v>
      </c>
    </row>
    <row r="15336" spans="2:9" ht="15" customHeight="1" x14ac:dyDescent="0.25">
      <c r="B15336" s="55" t="s">
        <v>282</v>
      </c>
      <c r="C15336" s="46">
        <v>324</v>
      </c>
      <c r="D15336" s="69" t="s">
        <v>29419</v>
      </c>
      <c r="E15336" s="51"/>
      <c r="F15336" s="114" t="str">
        <f>IF(INDEX(I.Facility.P3IDNumber,324)="","",INDEX(I.Facility.P3IDNumber,324))</f>
        <v/>
      </c>
      <c r="G15336" s="51"/>
      <c r="H15336" s="46" t="str">
        <f>IF(AND(I.Developer.P3=TRUE,I.Facility.P3FacilityCount&gt;=324,F15336=""),"Incomplete","Complete")</f>
        <v>Complete</v>
      </c>
      <c r="I15336" s="48" t="s">
        <v>19701</v>
      </c>
    </row>
    <row r="15337" spans="2:9" ht="15" customHeight="1" x14ac:dyDescent="0.25">
      <c r="B15337" s="55" t="s">
        <v>282</v>
      </c>
      <c r="C15337" s="46">
        <v>325</v>
      </c>
      <c r="D15337" s="69" t="s">
        <v>29419</v>
      </c>
      <c r="E15337" s="51"/>
      <c r="F15337" s="114" t="str">
        <f>IF(INDEX(I.Facility.P3IDNumber,325)="","",INDEX(I.Facility.P3IDNumber,325))</f>
        <v/>
      </c>
      <c r="G15337" s="51"/>
      <c r="H15337" s="46" t="str">
        <f>IF(AND(I.Developer.P3=TRUE,I.Facility.P3FacilityCount&gt;=325,F15337=""),"Incomplete","Complete")</f>
        <v>Complete</v>
      </c>
      <c r="I15337" s="48" t="s">
        <v>19702</v>
      </c>
    </row>
    <row r="15338" spans="2:9" ht="15" customHeight="1" x14ac:dyDescent="0.25">
      <c r="B15338" s="55" t="s">
        <v>282</v>
      </c>
      <c r="C15338" s="46">
        <v>326</v>
      </c>
      <c r="D15338" s="69" t="s">
        <v>29419</v>
      </c>
      <c r="E15338" s="51"/>
      <c r="F15338" s="114" t="str">
        <f>IF(INDEX(I.Facility.P3IDNumber,326)="","",INDEX(I.Facility.P3IDNumber,326))</f>
        <v/>
      </c>
      <c r="G15338" s="51"/>
      <c r="H15338" s="46" t="str">
        <f>IF(AND(I.Developer.P3=TRUE,I.Facility.P3FacilityCount&gt;=326,F15338=""),"Incomplete","Complete")</f>
        <v>Complete</v>
      </c>
      <c r="I15338" s="48" t="s">
        <v>19703</v>
      </c>
    </row>
    <row r="15339" spans="2:9" ht="15" customHeight="1" x14ac:dyDescent="0.25">
      <c r="B15339" s="55" t="s">
        <v>282</v>
      </c>
      <c r="C15339" s="46">
        <v>327</v>
      </c>
      <c r="D15339" s="69" t="s">
        <v>29419</v>
      </c>
      <c r="E15339" s="51"/>
      <c r="F15339" s="114" t="str">
        <f>IF(INDEX(I.Facility.P3IDNumber,327)="","",INDEX(I.Facility.P3IDNumber,327))</f>
        <v/>
      </c>
      <c r="G15339" s="51"/>
      <c r="H15339" s="46" t="str">
        <f>IF(AND(I.Developer.P3=TRUE,I.Facility.P3FacilityCount&gt;=327,F15339=""),"Incomplete","Complete")</f>
        <v>Complete</v>
      </c>
      <c r="I15339" s="48" t="s">
        <v>19704</v>
      </c>
    </row>
    <row r="15340" spans="2:9" ht="15" customHeight="1" x14ac:dyDescent="0.25">
      <c r="B15340" s="55" t="s">
        <v>282</v>
      </c>
      <c r="C15340" s="46">
        <v>328</v>
      </c>
      <c r="D15340" s="69" t="s">
        <v>29419</v>
      </c>
      <c r="E15340" s="51"/>
      <c r="F15340" s="114" t="str">
        <f>IF(INDEX(I.Facility.P3IDNumber,328)="","",INDEX(I.Facility.P3IDNumber,328))</f>
        <v/>
      </c>
      <c r="G15340" s="51"/>
      <c r="H15340" s="46" t="str">
        <f>IF(AND(I.Developer.P3=TRUE,I.Facility.P3FacilityCount&gt;=328,F15340=""),"Incomplete","Complete")</f>
        <v>Complete</v>
      </c>
      <c r="I15340" s="48" t="s">
        <v>19705</v>
      </c>
    </row>
    <row r="15341" spans="2:9" ht="15" customHeight="1" x14ac:dyDescent="0.25">
      <c r="B15341" s="55" t="s">
        <v>282</v>
      </c>
      <c r="C15341" s="46">
        <v>329</v>
      </c>
      <c r="D15341" s="69" t="s">
        <v>29419</v>
      </c>
      <c r="E15341" s="51"/>
      <c r="F15341" s="114" t="str">
        <f>IF(INDEX(I.Facility.P3IDNumber,329)="","",INDEX(I.Facility.P3IDNumber,329))</f>
        <v/>
      </c>
      <c r="G15341" s="51"/>
      <c r="H15341" s="46" t="str">
        <f>IF(AND(I.Developer.P3=TRUE,I.Facility.P3FacilityCount&gt;=329,F15341=""),"Incomplete","Complete")</f>
        <v>Complete</v>
      </c>
      <c r="I15341" s="48" t="s">
        <v>19706</v>
      </c>
    </row>
    <row r="15342" spans="2:9" ht="15" customHeight="1" x14ac:dyDescent="0.25">
      <c r="B15342" s="55" t="s">
        <v>282</v>
      </c>
      <c r="C15342" s="46">
        <v>330</v>
      </c>
      <c r="D15342" s="69" t="s">
        <v>29419</v>
      </c>
      <c r="E15342" s="51"/>
      <c r="F15342" s="114" t="str">
        <f>IF(INDEX(I.Facility.P3IDNumber,330)="","",INDEX(I.Facility.P3IDNumber,330))</f>
        <v/>
      </c>
      <c r="G15342" s="51"/>
      <c r="H15342" s="46" t="str">
        <f>IF(AND(I.Developer.P3=TRUE,I.Facility.P3FacilityCount&gt;=330,F15342=""),"Incomplete","Complete")</f>
        <v>Complete</v>
      </c>
      <c r="I15342" s="48" t="s">
        <v>19707</v>
      </c>
    </row>
    <row r="15343" spans="2:9" ht="15" customHeight="1" x14ac:dyDescent="0.25">
      <c r="B15343" s="55" t="s">
        <v>282</v>
      </c>
      <c r="C15343" s="46">
        <v>331</v>
      </c>
      <c r="D15343" s="69" t="s">
        <v>29419</v>
      </c>
      <c r="E15343" s="51"/>
      <c r="F15343" s="114" t="str">
        <f>IF(INDEX(I.Facility.P3IDNumber,331)="","",INDEX(I.Facility.P3IDNumber,331))</f>
        <v/>
      </c>
      <c r="G15343" s="51"/>
      <c r="H15343" s="46" t="str">
        <f>IF(AND(I.Developer.P3=TRUE,I.Facility.P3FacilityCount&gt;=331,F15343=""),"Incomplete","Complete")</f>
        <v>Complete</v>
      </c>
      <c r="I15343" s="48" t="s">
        <v>19708</v>
      </c>
    </row>
    <row r="15344" spans="2:9" ht="15" customHeight="1" x14ac:dyDescent="0.25">
      <c r="B15344" s="55" t="s">
        <v>282</v>
      </c>
      <c r="C15344" s="46">
        <v>332</v>
      </c>
      <c r="D15344" s="69" t="s">
        <v>29419</v>
      </c>
      <c r="E15344" s="51"/>
      <c r="F15344" s="114" t="str">
        <f>IF(INDEX(I.Facility.P3IDNumber,332)="","",INDEX(I.Facility.P3IDNumber,332))</f>
        <v/>
      </c>
      <c r="G15344" s="51"/>
      <c r="H15344" s="46" t="str">
        <f>IF(AND(I.Developer.P3=TRUE,I.Facility.P3FacilityCount&gt;=332,F15344=""),"Incomplete","Complete")</f>
        <v>Complete</v>
      </c>
      <c r="I15344" s="48" t="s">
        <v>19709</v>
      </c>
    </row>
    <row r="15345" spans="2:9" ht="15" customHeight="1" x14ac:dyDescent="0.25">
      <c r="B15345" s="55" t="s">
        <v>282</v>
      </c>
      <c r="C15345" s="46">
        <v>333</v>
      </c>
      <c r="D15345" s="69" t="s">
        <v>29419</v>
      </c>
      <c r="E15345" s="51"/>
      <c r="F15345" s="114" t="str">
        <f>IF(INDEX(I.Facility.P3IDNumber,333)="","",INDEX(I.Facility.P3IDNumber,333))</f>
        <v/>
      </c>
      <c r="G15345" s="51"/>
      <c r="H15345" s="46" t="str">
        <f>IF(AND(I.Developer.P3=TRUE,I.Facility.P3FacilityCount&gt;=333,F15345=""),"Incomplete","Complete")</f>
        <v>Complete</v>
      </c>
      <c r="I15345" s="48" t="s">
        <v>19710</v>
      </c>
    </row>
    <row r="15346" spans="2:9" ht="15" customHeight="1" x14ac:dyDescent="0.25">
      <c r="B15346" s="55" t="s">
        <v>282</v>
      </c>
      <c r="C15346" s="46">
        <v>334</v>
      </c>
      <c r="D15346" s="69" t="s">
        <v>29419</v>
      </c>
      <c r="E15346" s="51"/>
      <c r="F15346" s="114" t="str">
        <f>IF(INDEX(I.Facility.P3IDNumber,334)="","",INDEX(I.Facility.P3IDNumber,334))</f>
        <v/>
      </c>
      <c r="G15346" s="51"/>
      <c r="H15346" s="46" t="str">
        <f>IF(AND(I.Developer.P3=TRUE,I.Facility.P3FacilityCount&gt;=334,F15346=""),"Incomplete","Complete")</f>
        <v>Complete</v>
      </c>
      <c r="I15346" s="48" t="s">
        <v>19711</v>
      </c>
    </row>
    <row r="15347" spans="2:9" ht="15" customHeight="1" x14ac:dyDescent="0.25">
      <c r="B15347" s="55" t="s">
        <v>282</v>
      </c>
      <c r="C15347" s="46">
        <v>335</v>
      </c>
      <c r="D15347" s="69" t="s">
        <v>29419</v>
      </c>
      <c r="E15347" s="51"/>
      <c r="F15347" s="114" t="str">
        <f>IF(INDEX(I.Facility.P3IDNumber,335)="","",INDEX(I.Facility.P3IDNumber,335))</f>
        <v/>
      </c>
      <c r="G15347" s="51"/>
      <c r="H15347" s="46" t="str">
        <f>IF(AND(I.Developer.P3=TRUE,I.Facility.P3FacilityCount&gt;=335,F15347=""),"Incomplete","Complete")</f>
        <v>Complete</v>
      </c>
      <c r="I15347" s="48" t="s">
        <v>19712</v>
      </c>
    </row>
    <row r="15348" spans="2:9" ht="15" customHeight="1" x14ac:dyDescent="0.25">
      <c r="B15348" s="55" t="s">
        <v>282</v>
      </c>
      <c r="C15348" s="46">
        <v>336</v>
      </c>
      <c r="D15348" s="69" t="s">
        <v>29419</v>
      </c>
      <c r="E15348" s="51"/>
      <c r="F15348" s="114" t="str">
        <f>IF(INDEX(I.Facility.P3IDNumber,336)="","",INDEX(I.Facility.P3IDNumber,336))</f>
        <v/>
      </c>
      <c r="G15348" s="51"/>
      <c r="H15348" s="46" t="str">
        <f>IF(AND(I.Developer.P3=TRUE,I.Facility.P3FacilityCount&gt;=336,F15348=""),"Incomplete","Complete")</f>
        <v>Complete</v>
      </c>
      <c r="I15348" s="48" t="s">
        <v>19713</v>
      </c>
    </row>
    <row r="15349" spans="2:9" ht="15" customHeight="1" x14ac:dyDescent="0.25">
      <c r="B15349" s="55" t="s">
        <v>282</v>
      </c>
      <c r="C15349" s="46">
        <v>337</v>
      </c>
      <c r="D15349" s="69" t="s">
        <v>29419</v>
      </c>
      <c r="E15349" s="51"/>
      <c r="F15349" s="114" t="str">
        <f>IF(INDEX(I.Facility.P3IDNumber,337)="","",INDEX(I.Facility.P3IDNumber,337))</f>
        <v/>
      </c>
      <c r="G15349" s="51"/>
      <c r="H15349" s="46" t="str">
        <f>IF(AND(I.Developer.P3=TRUE,I.Facility.P3FacilityCount&gt;=337,F15349=""),"Incomplete","Complete")</f>
        <v>Complete</v>
      </c>
      <c r="I15349" s="48" t="s">
        <v>19714</v>
      </c>
    </row>
    <row r="15350" spans="2:9" ht="15" customHeight="1" x14ac:dyDescent="0.25">
      <c r="B15350" s="55" t="s">
        <v>282</v>
      </c>
      <c r="C15350" s="46">
        <v>338</v>
      </c>
      <c r="D15350" s="69" t="s">
        <v>29419</v>
      </c>
      <c r="E15350" s="51"/>
      <c r="F15350" s="114" t="str">
        <f>IF(INDEX(I.Facility.P3IDNumber,338)="","",INDEX(I.Facility.P3IDNumber,338))</f>
        <v/>
      </c>
      <c r="G15350" s="51"/>
      <c r="H15350" s="46" t="str">
        <f>IF(AND(I.Developer.P3=TRUE,I.Facility.P3FacilityCount&gt;=338,F15350=""),"Incomplete","Complete")</f>
        <v>Complete</v>
      </c>
      <c r="I15350" s="48" t="s">
        <v>19715</v>
      </c>
    </row>
    <row r="15351" spans="2:9" ht="15" customHeight="1" x14ac:dyDescent="0.25">
      <c r="B15351" s="55" t="s">
        <v>282</v>
      </c>
      <c r="C15351" s="46">
        <v>339</v>
      </c>
      <c r="D15351" s="69" t="s">
        <v>29419</v>
      </c>
      <c r="E15351" s="51"/>
      <c r="F15351" s="114" t="str">
        <f>IF(INDEX(I.Facility.P3IDNumber,339)="","",INDEX(I.Facility.P3IDNumber,339))</f>
        <v/>
      </c>
      <c r="G15351" s="51"/>
      <c r="H15351" s="46" t="str">
        <f>IF(AND(I.Developer.P3=TRUE,I.Facility.P3FacilityCount&gt;=339,F15351=""),"Incomplete","Complete")</f>
        <v>Complete</v>
      </c>
      <c r="I15351" s="48" t="s">
        <v>19716</v>
      </c>
    </row>
    <row r="15352" spans="2:9" ht="15" customHeight="1" x14ac:dyDescent="0.25">
      <c r="B15352" s="55" t="s">
        <v>282</v>
      </c>
      <c r="C15352" s="46">
        <v>340</v>
      </c>
      <c r="D15352" s="69" t="s">
        <v>29419</v>
      </c>
      <c r="E15352" s="51"/>
      <c r="F15352" s="114" t="str">
        <f>IF(INDEX(I.Facility.P3IDNumber,340)="","",INDEX(I.Facility.P3IDNumber,340))</f>
        <v/>
      </c>
      <c r="G15352" s="51"/>
      <c r="H15352" s="46" t="str">
        <f>IF(AND(I.Developer.P3=TRUE,I.Facility.P3FacilityCount&gt;=340,F15352=""),"Incomplete","Complete")</f>
        <v>Complete</v>
      </c>
      <c r="I15352" s="48" t="s">
        <v>19717</v>
      </c>
    </row>
    <row r="15353" spans="2:9" ht="15" customHeight="1" x14ac:dyDescent="0.25">
      <c r="B15353" s="55" t="s">
        <v>282</v>
      </c>
      <c r="C15353" s="46">
        <v>341</v>
      </c>
      <c r="D15353" s="69" t="s">
        <v>29419</v>
      </c>
      <c r="E15353" s="51"/>
      <c r="F15353" s="114" t="str">
        <f>IF(INDEX(I.Facility.P3IDNumber,341)="","",INDEX(I.Facility.P3IDNumber,341))</f>
        <v/>
      </c>
      <c r="G15353" s="51"/>
      <c r="H15353" s="46" t="str">
        <f>IF(AND(I.Developer.P3=TRUE,I.Facility.P3FacilityCount&gt;=341,F15353=""),"Incomplete","Complete")</f>
        <v>Complete</v>
      </c>
      <c r="I15353" s="48" t="s">
        <v>19718</v>
      </c>
    </row>
    <row r="15354" spans="2:9" ht="15" customHeight="1" x14ac:dyDescent="0.25">
      <c r="B15354" s="55" t="s">
        <v>282</v>
      </c>
      <c r="C15354" s="46">
        <v>342</v>
      </c>
      <c r="D15354" s="69" t="s">
        <v>29419</v>
      </c>
      <c r="E15354" s="51"/>
      <c r="F15354" s="114" t="str">
        <f>IF(INDEX(I.Facility.P3IDNumber,342)="","",INDEX(I.Facility.P3IDNumber,342))</f>
        <v/>
      </c>
      <c r="G15354" s="51"/>
      <c r="H15354" s="46" t="str">
        <f>IF(AND(I.Developer.P3=TRUE,I.Facility.P3FacilityCount&gt;=342,F15354=""),"Incomplete","Complete")</f>
        <v>Complete</v>
      </c>
      <c r="I15354" s="48" t="s">
        <v>19719</v>
      </c>
    </row>
    <row r="15355" spans="2:9" ht="15" customHeight="1" x14ac:dyDescent="0.25">
      <c r="B15355" s="55" t="s">
        <v>282</v>
      </c>
      <c r="C15355" s="46">
        <v>343</v>
      </c>
      <c r="D15355" s="69" t="s">
        <v>29419</v>
      </c>
      <c r="E15355" s="51"/>
      <c r="F15355" s="114" t="str">
        <f>IF(INDEX(I.Facility.P3IDNumber,343)="","",INDEX(I.Facility.P3IDNumber,343))</f>
        <v/>
      </c>
      <c r="G15355" s="51"/>
      <c r="H15355" s="46" t="str">
        <f>IF(AND(I.Developer.P3=TRUE,I.Facility.P3FacilityCount&gt;=343,F15355=""),"Incomplete","Complete")</f>
        <v>Complete</v>
      </c>
      <c r="I15355" s="48" t="s">
        <v>19720</v>
      </c>
    </row>
    <row r="15356" spans="2:9" ht="15" customHeight="1" x14ac:dyDescent="0.25">
      <c r="B15356" s="55" t="s">
        <v>282</v>
      </c>
      <c r="C15356" s="46">
        <v>344</v>
      </c>
      <c r="D15356" s="69" t="s">
        <v>29419</v>
      </c>
      <c r="E15356" s="51"/>
      <c r="F15356" s="114" t="str">
        <f>IF(INDEX(I.Facility.P3IDNumber,344)="","",INDEX(I.Facility.P3IDNumber,344))</f>
        <v/>
      </c>
      <c r="G15356" s="51"/>
      <c r="H15356" s="46" t="str">
        <f>IF(AND(I.Developer.P3=TRUE,I.Facility.P3FacilityCount&gt;=344,F15356=""),"Incomplete","Complete")</f>
        <v>Complete</v>
      </c>
      <c r="I15356" s="48" t="s">
        <v>19721</v>
      </c>
    </row>
    <row r="15357" spans="2:9" ht="15" customHeight="1" x14ac:dyDescent="0.25">
      <c r="B15357" s="55" t="s">
        <v>282</v>
      </c>
      <c r="C15357" s="46">
        <v>345</v>
      </c>
      <c r="D15357" s="69" t="s">
        <v>29419</v>
      </c>
      <c r="E15357" s="51"/>
      <c r="F15357" s="114" t="str">
        <f>IF(INDEX(I.Facility.P3IDNumber,345)="","",INDEX(I.Facility.P3IDNumber,345))</f>
        <v/>
      </c>
      <c r="G15357" s="51"/>
      <c r="H15357" s="46" t="str">
        <f>IF(AND(I.Developer.P3=TRUE,I.Facility.P3FacilityCount&gt;=345,F15357=""),"Incomplete","Complete")</f>
        <v>Complete</v>
      </c>
      <c r="I15357" s="48" t="s">
        <v>19722</v>
      </c>
    </row>
    <row r="15358" spans="2:9" ht="15" customHeight="1" x14ac:dyDescent="0.25">
      <c r="B15358" s="55" t="s">
        <v>282</v>
      </c>
      <c r="C15358" s="46">
        <v>346</v>
      </c>
      <c r="D15358" s="69" t="s">
        <v>29419</v>
      </c>
      <c r="E15358" s="51"/>
      <c r="F15358" s="114" t="str">
        <f>IF(INDEX(I.Facility.P3IDNumber,346)="","",INDEX(I.Facility.P3IDNumber,346))</f>
        <v/>
      </c>
      <c r="G15358" s="51"/>
      <c r="H15358" s="46" t="str">
        <f>IF(AND(I.Developer.P3=TRUE,I.Facility.P3FacilityCount&gt;=346,F15358=""),"Incomplete","Complete")</f>
        <v>Complete</v>
      </c>
      <c r="I15358" s="48" t="s">
        <v>19723</v>
      </c>
    </row>
    <row r="15359" spans="2:9" ht="15" customHeight="1" x14ac:dyDescent="0.25">
      <c r="B15359" s="55" t="s">
        <v>282</v>
      </c>
      <c r="C15359" s="46">
        <v>347</v>
      </c>
      <c r="D15359" s="69" t="s">
        <v>29419</v>
      </c>
      <c r="E15359" s="51"/>
      <c r="F15359" s="114" t="str">
        <f>IF(INDEX(I.Facility.P3IDNumber,347)="","",INDEX(I.Facility.P3IDNumber,347))</f>
        <v/>
      </c>
      <c r="G15359" s="51"/>
      <c r="H15359" s="46" t="str">
        <f>IF(AND(I.Developer.P3=TRUE,I.Facility.P3FacilityCount&gt;=347,F15359=""),"Incomplete","Complete")</f>
        <v>Complete</v>
      </c>
      <c r="I15359" s="48" t="s">
        <v>19724</v>
      </c>
    </row>
    <row r="15360" spans="2:9" ht="15" customHeight="1" x14ac:dyDescent="0.25">
      <c r="B15360" s="55" t="s">
        <v>282</v>
      </c>
      <c r="C15360" s="46">
        <v>348</v>
      </c>
      <c r="D15360" s="69" t="s">
        <v>29419</v>
      </c>
      <c r="E15360" s="51"/>
      <c r="F15360" s="114" t="str">
        <f>IF(INDEX(I.Facility.P3IDNumber,348)="","",INDEX(I.Facility.P3IDNumber,348))</f>
        <v/>
      </c>
      <c r="G15360" s="51"/>
      <c r="H15360" s="46" t="str">
        <f>IF(AND(I.Developer.P3=TRUE,I.Facility.P3FacilityCount&gt;=348,F15360=""),"Incomplete","Complete")</f>
        <v>Complete</v>
      </c>
      <c r="I15360" s="48" t="s">
        <v>19725</v>
      </c>
    </row>
    <row r="15361" spans="2:9" ht="15" customHeight="1" x14ac:dyDescent="0.25">
      <c r="B15361" s="55" t="s">
        <v>282</v>
      </c>
      <c r="C15361" s="46">
        <v>349</v>
      </c>
      <c r="D15361" s="69" t="s">
        <v>29419</v>
      </c>
      <c r="E15361" s="51"/>
      <c r="F15361" s="114" t="str">
        <f>IF(INDEX(I.Facility.P3IDNumber,349)="","",INDEX(I.Facility.P3IDNumber,349))</f>
        <v/>
      </c>
      <c r="G15361" s="51"/>
      <c r="H15361" s="46" t="str">
        <f>IF(AND(I.Developer.P3=TRUE,I.Facility.P3FacilityCount&gt;=349,F15361=""),"Incomplete","Complete")</f>
        <v>Complete</v>
      </c>
      <c r="I15361" s="48" t="s">
        <v>19726</v>
      </c>
    </row>
    <row r="15362" spans="2:9" ht="15" customHeight="1" x14ac:dyDescent="0.25">
      <c r="B15362" s="55" t="s">
        <v>282</v>
      </c>
      <c r="C15362" s="46">
        <v>350</v>
      </c>
      <c r="D15362" s="69" t="s">
        <v>29419</v>
      </c>
      <c r="E15362" s="51"/>
      <c r="F15362" s="114" t="str">
        <f>IF(INDEX(I.Facility.P3IDNumber,350)="","",INDEX(I.Facility.P3IDNumber,350))</f>
        <v/>
      </c>
      <c r="G15362" s="51"/>
      <c r="H15362" s="46" t="str">
        <f>IF(AND(I.Developer.P3=TRUE,I.Facility.P3FacilityCount&gt;=350,F15362=""),"Incomplete","Complete")</f>
        <v>Complete</v>
      </c>
      <c r="I15362" s="48" t="s">
        <v>19727</v>
      </c>
    </row>
    <row r="15363" spans="2:9" ht="15" customHeight="1" x14ac:dyDescent="0.25">
      <c r="B15363" s="55" t="s">
        <v>282</v>
      </c>
      <c r="C15363" s="46">
        <v>351</v>
      </c>
      <c r="D15363" s="69" t="s">
        <v>29419</v>
      </c>
      <c r="E15363" s="51"/>
      <c r="F15363" s="114" t="str">
        <f>IF(INDEX(I.Facility.P3IDNumber,351)="","",INDEX(I.Facility.P3IDNumber,351))</f>
        <v/>
      </c>
      <c r="G15363" s="51"/>
      <c r="H15363" s="46" t="str">
        <f>IF(AND(I.Developer.P3=TRUE,I.Facility.P3FacilityCount&gt;=351,F15363=""),"Incomplete","Complete")</f>
        <v>Complete</v>
      </c>
      <c r="I15363" s="48" t="s">
        <v>19728</v>
      </c>
    </row>
    <row r="15364" spans="2:9" ht="15" customHeight="1" x14ac:dyDescent="0.25">
      <c r="B15364" s="55" t="s">
        <v>282</v>
      </c>
      <c r="C15364" s="46">
        <v>352</v>
      </c>
      <c r="D15364" s="69" t="s">
        <v>29419</v>
      </c>
      <c r="E15364" s="51"/>
      <c r="F15364" s="114" t="str">
        <f>IF(INDEX(I.Facility.P3IDNumber,352)="","",INDEX(I.Facility.P3IDNumber,352))</f>
        <v/>
      </c>
      <c r="G15364" s="51"/>
      <c r="H15364" s="46" t="str">
        <f>IF(AND(I.Developer.P3=TRUE,I.Facility.P3FacilityCount&gt;=352,F15364=""),"Incomplete","Complete")</f>
        <v>Complete</v>
      </c>
      <c r="I15364" s="48" t="s">
        <v>19729</v>
      </c>
    </row>
    <row r="15365" spans="2:9" ht="15" customHeight="1" x14ac:dyDescent="0.25">
      <c r="B15365" s="55" t="s">
        <v>282</v>
      </c>
      <c r="C15365" s="46">
        <v>353</v>
      </c>
      <c r="D15365" s="69" t="s">
        <v>29419</v>
      </c>
      <c r="E15365" s="51"/>
      <c r="F15365" s="114" t="str">
        <f>IF(INDEX(I.Facility.P3IDNumber,353)="","",INDEX(I.Facility.P3IDNumber,353))</f>
        <v/>
      </c>
      <c r="G15365" s="51"/>
      <c r="H15365" s="46" t="str">
        <f>IF(AND(I.Developer.P3=TRUE,I.Facility.P3FacilityCount&gt;=353,F15365=""),"Incomplete","Complete")</f>
        <v>Complete</v>
      </c>
      <c r="I15365" s="48" t="s">
        <v>19730</v>
      </c>
    </row>
    <row r="15366" spans="2:9" ht="15" customHeight="1" x14ac:dyDescent="0.25">
      <c r="B15366" s="55" t="s">
        <v>282</v>
      </c>
      <c r="C15366" s="46">
        <v>354</v>
      </c>
      <c r="D15366" s="69" t="s">
        <v>29419</v>
      </c>
      <c r="E15366" s="51"/>
      <c r="F15366" s="114" t="str">
        <f>IF(INDEX(I.Facility.P3IDNumber,354)="","",INDEX(I.Facility.P3IDNumber,354))</f>
        <v/>
      </c>
      <c r="G15366" s="51"/>
      <c r="H15366" s="46" t="str">
        <f>IF(AND(I.Developer.P3=TRUE,I.Facility.P3FacilityCount&gt;=354,F15366=""),"Incomplete","Complete")</f>
        <v>Complete</v>
      </c>
      <c r="I15366" s="48" t="s">
        <v>19731</v>
      </c>
    </row>
    <row r="15367" spans="2:9" ht="15" customHeight="1" x14ac:dyDescent="0.25">
      <c r="B15367" s="55" t="s">
        <v>282</v>
      </c>
      <c r="C15367" s="46">
        <v>355</v>
      </c>
      <c r="D15367" s="69" t="s">
        <v>29419</v>
      </c>
      <c r="E15367" s="51"/>
      <c r="F15367" s="114" t="str">
        <f>IF(INDEX(I.Facility.P3IDNumber,355)="","",INDEX(I.Facility.P3IDNumber,355))</f>
        <v/>
      </c>
      <c r="G15367" s="51"/>
      <c r="H15367" s="46" t="str">
        <f>IF(AND(I.Developer.P3=TRUE,I.Facility.P3FacilityCount&gt;=355,F15367=""),"Incomplete","Complete")</f>
        <v>Complete</v>
      </c>
      <c r="I15367" s="48" t="s">
        <v>19732</v>
      </c>
    </row>
    <row r="15368" spans="2:9" ht="15" customHeight="1" x14ac:dyDescent="0.25">
      <c r="B15368" s="55" t="s">
        <v>282</v>
      </c>
      <c r="C15368" s="46">
        <v>356</v>
      </c>
      <c r="D15368" s="69" t="s">
        <v>29419</v>
      </c>
      <c r="E15368" s="51"/>
      <c r="F15368" s="114" t="str">
        <f>IF(INDEX(I.Facility.P3IDNumber,356)="","",INDEX(I.Facility.P3IDNumber,356))</f>
        <v/>
      </c>
      <c r="G15368" s="51"/>
      <c r="H15368" s="46" t="str">
        <f>IF(AND(I.Developer.P3=TRUE,I.Facility.P3FacilityCount&gt;=356,F15368=""),"Incomplete","Complete")</f>
        <v>Complete</v>
      </c>
      <c r="I15368" s="48" t="s">
        <v>19733</v>
      </c>
    </row>
    <row r="15369" spans="2:9" ht="15" customHeight="1" x14ac:dyDescent="0.25">
      <c r="B15369" s="55" t="s">
        <v>282</v>
      </c>
      <c r="C15369" s="46">
        <v>357</v>
      </c>
      <c r="D15369" s="69" t="s">
        <v>29419</v>
      </c>
      <c r="E15369" s="51"/>
      <c r="F15369" s="114" t="str">
        <f>IF(INDEX(I.Facility.P3IDNumber,357)="","",INDEX(I.Facility.P3IDNumber,357))</f>
        <v/>
      </c>
      <c r="G15369" s="51"/>
      <c r="H15369" s="46" t="str">
        <f>IF(AND(I.Developer.P3=TRUE,I.Facility.P3FacilityCount&gt;=357,F15369=""),"Incomplete","Complete")</f>
        <v>Complete</v>
      </c>
      <c r="I15369" s="48" t="s">
        <v>19734</v>
      </c>
    </row>
    <row r="15370" spans="2:9" ht="15" customHeight="1" x14ac:dyDescent="0.25">
      <c r="B15370" s="55" t="s">
        <v>282</v>
      </c>
      <c r="C15370" s="46">
        <v>358</v>
      </c>
      <c r="D15370" s="69" t="s">
        <v>29419</v>
      </c>
      <c r="E15370" s="51"/>
      <c r="F15370" s="114" t="str">
        <f>IF(INDEX(I.Facility.P3IDNumber,358)="","",INDEX(I.Facility.P3IDNumber,358))</f>
        <v/>
      </c>
      <c r="G15370" s="51"/>
      <c r="H15370" s="46" t="str">
        <f>IF(AND(I.Developer.P3=TRUE,I.Facility.P3FacilityCount&gt;=358,F15370=""),"Incomplete","Complete")</f>
        <v>Complete</v>
      </c>
      <c r="I15370" s="48" t="s">
        <v>19735</v>
      </c>
    </row>
    <row r="15371" spans="2:9" ht="15" customHeight="1" x14ac:dyDescent="0.25">
      <c r="B15371" s="55" t="s">
        <v>282</v>
      </c>
      <c r="C15371" s="46">
        <v>359</v>
      </c>
      <c r="D15371" s="69" t="s">
        <v>29419</v>
      </c>
      <c r="E15371" s="51"/>
      <c r="F15371" s="114" t="str">
        <f>IF(INDEX(I.Facility.P3IDNumber,359)="","",INDEX(I.Facility.P3IDNumber,359))</f>
        <v/>
      </c>
      <c r="G15371" s="51"/>
      <c r="H15371" s="46" t="str">
        <f>IF(AND(I.Developer.P3=TRUE,I.Facility.P3FacilityCount&gt;=359,F15371=""),"Incomplete","Complete")</f>
        <v>Complete</v>
      </c>
      <c r="I15371" s="48" t="s">
        <v>19736</v>
      </c>
    </row>
    <row r="15372" spans="2:9" ht="15" customHeight="1" x14ac:dyDescent="0.25">
      <c r="B15372" s="55" t="s">
        <v>282</v>
      </c>
      <c r="C15372" s="46">
        <v>360</v>
      </c>
      <c r="D15372" s="69" t="s">
        <v>29419</v>
      </c>
      <c r="E15372" s="51"/>
      <c r="F15372" s="114" t="str">
        <f>IF(INDEX(I.Facility.P3IDNumber,360)="","",INDEX(I.Facility.P3IDNumber,360))</f>
        <v/>
      </c>
      <c r="G15372" s="51"/>
      <c r="H15372" s="46" t="str">
        <f>IF(AND(I.Developer.P3=TRUE,I.Facility.P3FacilityCount&gt;=360,F15372=""),"Incomplete","Complete")</f>
        <v>Complete</v>
      </c>
      <c r="I15372" s="48" t="s">
        <v>19737</v>
      </c>
    </row>
    <row r="15373" spans="2:9" ht="15" customHeight="1" x14ac:dyDescent="0.25">
      <c r="B15373" s="55" t="s">
        <v>282</v>
      </c>
      <c r="C15373" s="46">
        <v>361</v>
      </c>
      <c r="D15373" s="69" t="s">
        <v>29419</v>
      </c>
      <c r="E15373" s="51"/>
      <c r="F15373" s="114" t="str">
        <f>IF(INDEX(I.Facility.P3IDNumber,361)="","",INDEX(I.Facility.P3IDNumber,361))</f>
        <v/>
      </c>
      <c r="G15373" s="51"/>
      <c r="H15373" s="46" t="str">
        <f>IF(AND(I.Developer.P3=TRUE,I.Facility.P3FacilityCount&gt;=361,F15373=""),"Incomplete","Complete")</f>
        <v>Complete</v>
      </c>
      <c r="I15373" s="48" t="s">
        <v>19738</v>
      </c>
    </row>
    <row r="15374" spans="2:9" ht="15" customHeight="1" x14ac:dyDescent="0.25">
      <c r="B15374" s="55" t="s">
        <v>282</v>
      </c>
      <c r="C15374" s="46">
        <v>362</v>
      </c>
      <c r="D15374" s="69" t="s">
        <v>29419</v>
      </c>
      <c r="E15374" s="51"/>
      <c r="F15374" s="114" t="str">
        <f>IF(INDEX(I.Facility.P3IDNumber,362)="","",INDEX(I.Facility.P3IDNumber,362))</f>
        <v/>
      </c>
      <c r="G15374" s="51"/>
      <c r="H15374" s="46" t="str">
        <f>IF(AND(I.Developer.P3=TRUE,I.Facility.P3FacilityCount&gt;=362,F15374=""),"Incomplete","Complete")</f>
        <v>Complete</v>
      </c>
      <c r="I15374" s="48" t="s">
        <v>19739</v>
      </c>
    </row>
    <row r="15375" spans="2:9" ht="15" customHeight="1" x14ac:dyDescent="0.25">
      <c r="B15375" s="55" t="s">
        <v>282</v>
      </c>
      <c r="C15375" s="46">
        <v>363</v>
      </c>
      <c r="D15375" s="69" t="s">
        <v>29419</v>
      </c>
      <c r="E15375" s="51"/>
      <c r="F15375" s="114" t="str">
        <f>IF(INDEX(I.Facility.P3IDNumber,363)="","",INDEX(I.Facility.P3IDNumber,363))</f>
        <v/>
      </c>
      <c r="G15375" s="51"/>
      <c r="H15375" s="46" t="str">
        <f>IF(AND(I.Developer.P3=TRUE,I.Facility.P3FacilityCount&gt;=363,F15375=""),"Incomplete","Complete")</f>
        <v>Complete</v>
      </c>
      <c r="I15375" s="48" t="s">
        <v>19740</v>
      </c>
    </row>
    <row r="15376" spans="2:9" ht="15" customHeight="1" x14ac:dyDescent="0.25">
      <c r="B15376" s="55" t="s">
        <v>282</v>
      </c>
      <c r="C15376" s="46">
        <v>364</v>
      </c>
      <c r="D15376" s="69" t="s">
        <v>29419</v>
      </c>
      <c r="E15376" s="51"/>
      <c r="F15376" s="114" t="str">
        <f>IF(INDEX(I.Facility.P3IDNumber,364)="","",INDEX(I.Facility.P3IDNumber,364))</f>
        <v/>
      </c>
      <c r="G15376" s="51"/>
      <c r="H15376" s="46" t="str">
        <f>IF(AND(I.Developer.P3=TRUE,I.Facility.P3FacilityCount&gt;=364,F15376=""),"Incomplete","Complete")</f>
        <v>Complete</v>
      </c>
      <c r="I15376" s="48" t="s">
        <v>19741</v>
      </c>
    </row>
    <row r="15377" spans="2:9" ht="15" customHeight="1" x14ac:dyDescent="0.25">
      <c r="B15377" s="55" t="s">
        <v>282</v>
      </c>
      <c r="C15377" s="46">
        <v>365</v>
      </c>
      <c r="D15377" s="69" t="s">
        <v>29419</v>
      </c>
      <c r="E15377" s="51"/>
      <c r="F15377" s="114" t="str">
        <f>IF(INDEX(I.Facility.P3IDNumber,365)="","",INDEX(I.Facility.P3IDNumber,365))</f>
        <v/>
      </c>
      <c r="G15377" s="51"/>
      <c r="H15377" s="46" t="str">
        <f>IF(AND(I.Developer.P3=TRUE,I.Facility.P3FacilityCount&gt;=365,F15377=""),"Incomplete","Complete")</f>
        <v>Complete</v>
      </c>
      <c r="I15377" s="48" t="s">
        <v>19742</v>
      </c>
    </row>
    <row r="15378" spans="2:9" ht="15" customHeight="1" x14ac:dyDescent="0.25">
      <c r="B15378" s="55" t="s">
        <v>282</v>
      </c>
      <c r="C15378" s="46">
        <v>366</v>
      </c>
      <c r="D15378" s="69" t="s">
        <v>29419</v>
      </c>
      <c r="E15378" s="51"/>
      <c r="F15378" s="114" t="str">
        <f>IF(INDEX(I.Facility.P3IDNumber,366)="","",INDEX(I.Facility.P3IDNumber,366))</f>
        <v/>
      </c>
      <c r="G15378" s="51"/>
      <c r="H15378" s="46" t="str">
        <f>IF(AND(I.Developer.P3=TRUE,I.Facility.P3FacilityCount&gt;=366,F15378=""),"Incomplete","Complete")</f>
        <v>Complete</v>
      </c>
      <c r="I15378" s="48" t="s">
        <v>19743</v>
      </c>
    </row>
    <row r="15379" spans="2:9" ht="15" customHeight="1" x14ac:dyDescent="0.25">
      <c r="B15379" s="55" t="s">
        <v>282</v>
      </c>
      <c r="C15379" s="46">
        <v>367</v>
      </c>
      <c r="D15379" s="69" t="s">
        <v>29419</v>
      </c>
      <c r="E15379" s="51"/>
      <c r="F15379" s="114" t="str">
        <f>IF(INDEX(I.Facility.P3IDNumber,367)="","",INDEX(I.Facility.P3IDNumber,367))</f>
        <v/>
      </c>
      <c r="G15379" s="51"/>
      <c r="H15379" s="46" t="str">
        <f>IF(AND(I.Developer.P3=TRUE,I.Facility.P3FacilityCount&gt;=367,F15379=""),"Incomplete","Complete")</f>
        <v>Complete</v>
      </c>
      <c r="I15379" s="48" t="s">
        <v>19744</v>
      </c>
    </row>
    <row r="15380" spans="2:9" ht="15" customHeight="1" x14ac:dyDescent="0.25">
      <c r="B15380" s="55" t="s">
        <v>282</v>
      </c>
      <c r="C15380" s="46">
        <v>368</v>
      </c>
      <c r="D15380" s="69" t="s">
        <v>29419</v>
      </c>
      <c r="E15380" s="51"/>
      <c r="F15380" s="114" t="str">
        <f>IF(INDEX(I.Facility.P3IDNumber,368)="","",INDEX(I.Facility.P3IDNumber,368))</f>
        <v/>
      </c>
      <c r="G15380" s="51"/>
      <c r="H15380" s="46" t="str">
        <f>IF(AND(I.Developer.P3=TRUE,I.Facility.P3FacilityCount&gt;=368,F15380=""),"Incomplete","Complete")</f>
        <v>Complete</v>
      </c>
      <c r="I15380" s="48" t="s">
        <v>19745</v>
      </c>
    </row>
    <row r="15381" spans="2:9" ht="15" customHeight="1" x14ac:dyDescent="0.25">
      <c r="B15381" s="55" t="s">
        <v>282</v>
      </c>
      <c r="C15381" s="46">
        <v>369</v>
      </c>
      <c r="D15381" s="69" t="s">
        <v>29419</v>
      </c>
      <c r="E15381" s="51"/>
      <c r="F15381" s="114" t="str">
        <f>IF(INDEX(I.Facility.P3IDNumber,369)="","",INDEX(I.Facility.P3IDNumber,369))</f>
        <v/>
      </c>
      <c r="G15381" s="51"/>
      <c r="H15381" s="46" t="str">
        <f>IF(AND(I.Developer.P3=TRUE,I.Facility.P3FacilityCount&gt;=369,F15381=""),"Incomplete","Complete")</f>
        <v>Complete</v>
      </c>
      <c r="I15381" s="48" t="s">
        <v>19746</v>
      </c>
    </row>
    <row r="15382" spans="2:9" ht="15" customHeight="1" x14ac:dyDescent="0.25">
      <c r="B15382" s="55" t="s">
        <v>282</v>
      </c>
      <c r="C15382" s="46">
        <v>370</v>
      </c>
      <c r="D15382" s="69" t="s">
        <v>29419</v>
      </c>
      <c r="E15382" s="51"/>
      <c r="F15382" s="114" t="str">
        <f>IF(INDEX(I.Facility.P3IDNumber,370)="","",INDEX(I.Facility.P3IDNumber,370))</f>
        <v/>
      </c>
      <c r="G15382" s="51"/>
      <c r="H15382" s="46" t="str">
        <f>IF(AND(I.Developer.P3=TRUE,I.Facility.P3FacilityCount&gt;=370,F15382=""),"Incomplete","Complete")</f>
        <v>Complete</v>
      </c>
      <c r="I15382" s="48" t="s">
        <v>19747</v>
      </c>
    </row>
    <row r="15383" spans="2:9" ht="15" customHeight="1" x14ac:dyDescent="0.25">
      <c r="B15383" s="55" t="s">
        <v>282</v>
      </c>
      <c r="C15383" s="46">
        <v>371</v>
      </c>
      <c r="D15383" s="69" t="s">
        <v>29419</v>
      </c>
      <c r="E15383" s="51"/>
      <c r="F15383" s="114" t="str">
        <f>IF(INDEX(I.Facility.P3IDNumber,371)="","",INDEX(I.Facility.P3IDNumber,371))</f>
        <v/>
      </c>
      <c r="G15383" s="51"/>
      <c r="H15383" s="46" t="str">
        <f>IF(AND(I.Developer.P3=TRUE,I.Facility.P3FacilityCount&gt;=371,F15383=""),"Incomplete","Complete")</f>
        <v>Complete</v>
      </c>
      <c r="I15383" s="48" t="s">
        <v>19748</v>
      </c>
    </row>
    <row r="15384" spans="2:9" ht="15" customHeight="1" x14ac:dyDescent="0.25">
      <c r="B15384" s="55" t="s">
        <v>282</v>
      </c>
      <c r="C15384" s="46">
        <v>372</v>
      </c>
      <c r="D15384" s="69" t="s">
        <v>29419</v>
      </c>
      <c r="E15384" s="51"/>
      <c r="F15384" s="114" t="str">
        <f>IF(INDEX(I.Facility.P3IDNumber,372)="","",INDEX(I.Facility.P3IDNumber,372))</f>
        <v/>
      </c>
      <c r="G15384" s="51"/>
      <c r="H15384" s="46" t="str">
        <f>IF(AND(I.Developer.P3=TRUE,I.Facility.P3FacilityCount&gt;=372,F15384=""),"Incomplete","Complete")</f>
        <v>Complete</v>
      </c>
      <c r="I15384" s="48" t="s">
        <v>19749</v>
      </c>
    </row>
    <row r="15385" spans="2:9" ht="15" customHeight="1" x14ac:dyDescent="0.25">
      <c r="B15385" s="55" t="s">
        <v>282</v>
      </c>
      <c r="C15385" s="46">
        <v>373</v>
      </c>
      <c r="D15385" s="69" t="s">
        <v>29419</v>
      </c>
      <c r="E15385" s="51"/>
      <c r="F15385" s="114" t="str">
        <f>IF(INDEX(I.Facility.P3IDNumber,373)="","",INDEX(I.Facility.P3IDNumber,373))</f>
        <v/>
      </c>
      <c r="G15385" s="51"/>
      <c r="H15385" s="46" t="str">
        <f>IF(AND(I.Developer.P3=TRUE,I.Facility.P3FacilityCount&gt;=373,F15385=""),"Incomplete","Complete")</f>
        <v>Complete</v>
      </c>
      <c r="I15385" s="48" t="s">
        <v>19750</v>
      </c>
    </row>
    <row r="15386" spans="2:9" ht="15" customHeight="1" x14ac:dyDescent="0.25">
      <c r="B15386" s="55" t="s">
        <v>282</v>
      </c>
      <c r="C15386" s="46">
        <v>374</v>
      </c>
      <c r="D15386" s="69" t="s">
        <v>29419</v>
      </c>
      <c r="E15386" s="51"/>
      <c r="F15386" s="114" t="str">
        <f>IF(INDEX(I.Facility.P3IDNumber,374)="","",INDEX(I.Facility.P3IDNumber,374))</f>
        <v/>
      </c>
      <c r="G15386" s="51"/>
      <c r="H15386" s="46" t="str">
        <f>IF(AND(I.Developer.P3=TRUE,I.Facility.P3FacilityCount&gt;=374,F15386=""),"Incomplete","Complete")</f>
        <v>Complete</v>
      </c>
      <c r="I15386" s="48" t="s">
        <v>19751</v>
      </c>
    </row>
    <row r="15387" spans="2:9" ht="15" customHeight="1" x14ac:dyDescent="0.25">
      <c r="B15387" s="55" t="s">
        <v>282</v>
      </c>
      <c r="C15387" s="46">
        <v>375</v>
      </c>
      <c r="D15387" s="69" t="s">
        <v>29419</v>
      </c>
      <c r="E15387" s="51"/>
      <c r="F15387" s="114" t="str">
        <f>IF(INDEX(I.Facility.P3IDNumber,375)="","",INDEX(I.Facility.P3IDNumber,375))</f>
        <v/>
      </c>
      <c r="G15387" s="51"/>
      <c r="H15387" s="46" t="str">
        <f>IF(AND(I.Developer.P3=TRUE,I.Facility.P3FacilityCount&gt;=375,F15387=""),"Incomplete","Complete")</f>
        <v>Complete</v>
      </c>
      <c r="I15387" s="48" t="s">
        <v>19752</v>
      </c>
    </row>
    <row r="15388" spans="2:9" ht="15" customHeight="1" x14ac:dyDescent="0.25">
      <c r="B15388" s="55" t="s">
        <v>282</v>
      </c>
      <c r="C15388" s="46">
        <v>376</v>
      </c>
      <c r="D15388" s="69" t="s">
        <v>29419</v>
      </c>
      <c r="E15388" s="51"/>
      <c r="F15388" s="114" t="str">
        <f>IF(INDEX(I.Facility.P3IDNumber,376)="","",INDEX(I.Facility.P3IDNumber,376))</f>
        <v/>
      </c>
      <c r="G15388" s="51"/>
      <c r="H15388" s="46" t="str">
        <f>IF(AND(I.Developer.P3=TRUE,I.Facility.P3FacilityCount&gt;=376,F15388=""),"Incomplete","Complete")</f>
        <v>Complete</v>
      </c>
      <c r="I15388" s="48" t="s">
        <v>19753</v>
      </c>
    </row>
    <row r="15389" spans="2:9" ht="15" customHeight="1" x14ac:dyDescent="0.25">
      <c r="B15389" s="55" t="s">
        <v>282</v>
      </c>
      <c r="C15389" s="46">
        <v>377</v>
      </c>
      <c r="D15389" s="69" t="s">
        <v>29419</v>
      </c>
      <c r="E15389" s="51"/>
      <c r="F15389" s="114" t="str">
        <f>IF(INDEX(I.Facility.P3IDNumber,377)="","",INDEX(I.Facility.P3IDNumber,377))</f>
        <v/>
      </c>
      <c r="G15389" s="51"/>
      <c r="H15389" s="46" t="str">
        <f>IF(AND(I.Developer.P3=TRUE,I.Facility.P3FacilityCount&gt;=377,F15389=""),"Incomplete","Complete")</f>
        <v>Complete</v>
      </c>
      <c r="I15389" s="48" t="s">
        <v>19754</v>
      </c>
    </row>
    <row r="15390" spans="2:9" ht="15" customHeight="1" x14ac:dyDescent="0.25">
      <c r="B15390" s="55" t="s">
        <v>282</v>
      </c>
      <c r="C15390" s="46">
        <v>378</v>
      </c>
      <c r="D15390" s="69" t="s">
        <v>29419</v>
      </c>
      <c r="E15390" s="51"/>
      <c r="F15390" s="114" t="str">
        <f>IF(INDEX(I.Facility.P3IDNumber,378)="","",INDEX(I.Facility.P3IDNumber,378))</f>
        <v/>
      </c>
      <c r="G15390" s="51"/>
      <c r="H15390" s="46" t="str">
        <f>IF(AND(I.Developer.P3=TRUE,I.Facility.P3FacilityCount&gt;=378,F15390=""),"Incomplete","Complete")</f>
        <v>Complete</v>
      </c>
      <c r="I15390" s="48" t="s">
        <v>19755</v>
      </c>
    </row>
    <row r="15391" spans="2:9" ht="15" customHeight="1" x14ac:dyDescent="0.25">
      <c r="B15391" s="55" t="s">
        <v>282</v>
      </c>
      <c r="C15391" s="46">
        <v>379</v>
      </c>
      <c r="D15391" s="69" t="s">
        <v>29419</v>
      </c>
      <c r="E15391" s="51"/>
      <c r="F15391" s="114" t="str">
        <f>IF(INDEX(I.Facility.P3IDNumber,379)="","",INDEX(I.Facility.P3IDNumber,379))</f>
        <v/>
      </c>
      <c r="G15391" s="51"/>
      <c r="H15391" s="46" t="str">
        <f>IF(AND(I.Developer.P3=TRUE,I.Facility.P3FacilityCount&gt;=379,F15391=""),"Incomplete","Complete")</f>
        <v>Complete</v>
      </c>
      <c r="I15391" s="48" t="s">
        <v>19756</v>
      </c>
    </row>
    <row r="15392" spans="2:9" ht="15" customHeight="1" x14ac:dyDescent="0.25">
      <c r="B15392" s="55" t="s">
        <v>282</v>
      </c>
      <c r="C15392" s="46">
        <v>380</v>
      </c>
      <c r="D15392" s="69" t="s">
        <v>29419</v>
      </c>
      <c r="E15392" s="51"/>
      <c r="F15392" s="114" t="str">
        <f>IF(INDEX(I.Facility.P3IDNumber,380)="","",INDEX(I.Facility.P3IDNumber,380))</f>
        <v/>
      </c>
      <c r="G15392" s="51"/>
      <c r="H15392" s="46" t="str">
        <f>IF(AND(I.Developer.P3=TRUE,I.Facility.P3FacilityCount&gt;=380,F15392=""),"Incomplete","Complete")</f>
        <v>Complete</v>
      </c>
      <c r="I15392" s="48" t="s">
        <v>19757</v>
      </c>
    </row>
    <row r="15393" spans="2:9" ht="15" customHeight="1" x14ac:dyDescent="0.25">
      <c r="B15393" s="55" t="s">
        <v>282</v>
      </c>
      <c r="C15393" s="46">
        <v>381</v>
      </c>
      <c r="D15393" s="69" t="s">
        <v>29419</v>
      </c>
      <c r="E15393" s="51"/>
      <c r="F15393" s="114" t="str">
        <f>IF(INDEX(I.Facility.P3IDNumber,381)="","",INDEX(I.Facility.P3IDNumber,381))</f>
        <v/>
      </c>
      <c r="G15393" s="51"/>
      <c r="H15393" s="46" t="str">
        <f>IF(AND(I.Developer.P3=TRUE,I.Facility.P3FacilityCount&gt;=381,F15393=""),"Incomplete","Complete")</f>
        <v>Complete</v>
      </c>
      <c r="I15393" s="48" t="s">
        <v>19758</v>
      </c>
    </row>
    <row r="15394" spans="2:9" ht="15" customHeight="1" x14ac:dyDescent="0.25">
      <c r="B15394" s="55" t="s">
        <v>282</v>
      </c>
      <c r="C15394" s="46">
        <v>382</v>
      </c>
      <c r="D15394" s="69" t="s">
        <v>29419</v>
      </c>
      <c r="E15394" s="51"/>
      <c r="F15394" s="114" t="str">
        <f>IF(INDEX(I.Facility.P3IDNumber,382)="","",INDEX(I.Facility.P3IDNumber,382))</f>
        <v/>
      </c>
      <c r="G15394" s="51"/>
      <c r="H15394" s="46" t="str">
        <f>IF(AND(I.Developer.P3=TRUE,I.Facility.P3FacilityCount&gt;=382,F15394=""),"Incomplete","Complete")</f>
        <v>Complete</v>
      </c>
      <c r="I15394" s="48" t="s">
        <v>19759</v>
      </c>
    </row>
    <row r="15395" spans="2:9" ht="15" customHeight="1" x14ac:dyDescent="0.25">
      <c r="B15395" s="55" t="s">
        <v>282</v>
      </c>
      <c r="C15395" s="46">
        <v>383</v>
      </c>
      <c r="D15395" s="69" t="s">
        <v>29419</v>
      </c>
      <c r="E15395" s="51"/>
      <c r="F15395" s="114" t="str">
        <f>IF(INDEX(I.Facility.P3IDNumber,383)="","",INDEX(I.Facility.P3IDNumber,383))</f>
        <v/>
      </c>
      <c r="G15395" s="51"/>
      <c r="H15395" s="46" t="str">
        <f>IF(AND(I.Developer.P3=TRUE,I.Facility.P3FacilityCount&gt;=383,F15395=""),"Incomplete","Complete")</f>
        <v>Complete</v>
      </c>
      <c r="I15395" s="48" t="s">
        <v>19760</v>
      </c>
    </row>
    <row r="15396" spans="2:9" ht="15" customHeight="1" x14ac:dyDescent="0.25">
      <c r="B15396" s="55" t="s">
        <v>282</v>
      </c>
      <c r="C15396" s="46">
        <v>384</v>
      </c>
      <c r="D15396" s="69" t="s">
        <v>29419</v>
      </c>
      <c r="E15396" s="51"/>
      <c r="F15396" s="114" t="str">
        <f>IF(INDEX(I.Facility.P3IDNumber,384)="","",INDEX(I.Facility.P3IDNumber,384))</f>
        <v/>
      </c>
      <c r="G15396" s="51"/>
      <c r="H15396" s="46" t="str">
        <f>IF(AND(I.Developer.P3=TRUE,I.Facility.P3FacilityCount&gt;=384,F15396=""),"Incomplete","Complete")</f>
        <v>Complete</v>
      </c>
      <c r="I15396" s="48" t="s">
        <v>19761</v>
      </c>
    </row>
    <row r="15397" spans="2:9" ht="15" customHeight="1" x14ac:dyDescent="0.25">
      <c r="B15397" s="55" t="s">
        <v>282</v>
      </c>
      <c r="C15397" s="46">
        <v>385</v>
      </c>
      <c r="D15397" s="69" t="s">
        <v>29419</v>
      </c>
      <c r="E15397" s="51"/>
      <c r="F15397" s="114" t="str">
        <f>IF(INDEX(I.Facility.P3IDNumber,385)="","",INDEX(I.Facility.P3IDNumber,385))</f>
        <v/>
      </c>
      <c r="G15397" s="51"/>
      <c r="H15397" s="46" t="str">
        <f>IF(AND(I.Developer.P3=TRUE,I.Facility.P3FacilityCount&gt;=385,F15397=""),"Incomplete","Complete")</f>
        <v>Complete</v>
      </c>
      <c r="I15397" s="48" t="s">
        <v>19762</v>
      </c>
    </row>
    <row r="15398" spans="2:9" ht="15" customHeight="1" x14ac:dyDescent="0.25">
      <c r="B15398" s="55" t="s">
        <v>282</v>
      </c>
      <c r="C15398" s="46">
        <v>386</v>
      </c>
      <c r="D15398" s="69" t="s">
        <v>29419</v>
      </c>
      <c r="E15398" s="51"/>
      <c r="F15398" s="114" t="str">
        <f>IF(INDEX(I.Facility.P3IDNumber,386)="","",INDEX(I.Facility.P3IDNumber,386))</f>
        <v/>
      </c>
      <c r="G15398" s="51"/>
      <c r="H15398" s="46" t="str">
        <f>IF(AND(I.Developer.P3=TRUE,I.Facility.P3FacilityCount&gt;=386,F15398=""),"Incomplete","Complete")</f>
        <v>Complete</v>
      </c>
      <c r="I15398" s="48" t="s">
        <v>19763</v>
      </c>
    </row>
    <row r="15399" spans="2:9" ht="15" customHeight="1" x14ac:dyDescent="0.25">
      <c r="B15399" s="55" t="s">
        <v>282</v>
      </c>
      <c r="C15399" s="46">
        <v>387</v>
      </c>
      <c r="D15399" s="69" t="s">
        <v>29419</v>
      </c>
      <c r="E15399" s="51"/>
      <c r="F15399" s="114" t="str">
        <f>IF(INDEX(I.Facility.P3IDNumber,387)="","",INDEX(I.Facility.P3IDNumber,387))</f>
        <v/>
      </c>
      <c r="G15399" s="51"/>
      <c r="H15399" s="46" t="str">
        <f>IF(AND(I.Developer.P3=TRUE,I.Facility.P3FacilityCount&gt;=387,F15399=""),"Incomplete","Complete")</f>
        <v>Complete</v>
      </c>
      <c r="I15399" s="48" t="s">
        <v>19764</v>
      </c>
    </row>
    <row r="15400" spans="2:9" ht="15" customHeight="1" x14ac:dyDescent="0.25">
      <c r="B15400" s="55" t="s">
        <v>282</v>
      </c>
      <c r="C15400" s="46">
        <v>388</v>
      </c>
      <c r="D15400" s="69" t="s">
        <v>29419</v>
      </c>
      <c r="E15400" s="51"/>
      <c r="F15400" s="114" t="str">
        <f>IF(INDEX(I.Facility.P3IDNumber,388)="","",INDEX(I.Facility.P3IDNumber,388))</f>
        <v/>
      </c>
      <c r="G15400" s="51"/>
      <c r="H15400" s="46" t="str">
        <f>IF(AND(I.Developer.P3=TRUE,I.Facility.P3FacilityCount&gt;=388,F15400=""),"Incomplete","Complete")</f>
        <v>Complete</v>
      </c>
      <c r="I15400" s="48" t="s">
        <v>19765</v>
      </c>
    </row>
    <row r="15401" spans="2:9" ht="15" customHeight="1" x14ac:dyDescent="0.25">
      <c r="B15401" s="55" t="s">
        <v>282</v>
      </c>
      <c r="C15401" s="46">
        <v>389</v>
      </c>
      <c r="D15401" s="69" t="s">
        <v>29419</v>
      </c>
      <c r="E15401" s="51"/>
      <c r="F15401" s="114" t="str">
        <f>IF(INDEX(I.Facility.P3IDNumber,389)="","",INDEX(I.Facility.P3IDNumber,389))</f>
        <v/>
      </c>
      <c r="G15401" s="51"/>
      <c r="H15401" s="46" t="str">
        <f>IF(AND(I.Developer.P3=TRUE,I.Facility.P3FacilityCount&gt;=389,F15401=""),"Incomplete","Complete")</f>
        <v>Complete</v>
      </c>
      <c r="I15401" s="48" t="s">
        <v>19766</v>
      </c>
    </row>
    <row r="15402" spans="2:9" ht="15" customHeight="1" x14ac:dyDescent="0.25">
      <c r="B15402" s="55" t="s">
        <v>282</v>
      </c>
      <c r="C15402" s="46">
        <v>390</v>
      </c>
      <c r="D15402" s="69" t="s">
        <v>29419</v>
      </c>
      <c r="E15402" s="51"/>
      <c r="F15402" s="114" t="str">
        <f>IF(INDEX(I.Facility.P3IDNumber,390)="","",INDEX(I.Facility.P3IDNumber,390))</f>
        <v/>
      </c>
      <c r="G15402" s="51"/>
      <c r="H15402" s="46" t="str">
        <f>IF(AND(I.Developer.P3=TRUE,I.Facility.P3FacilityCount&gt;=390,F15402=""),"Incomplete","Complete")</f>
        <v>Complete</v>
      </c>
      <c r="I15402" s="48" t="s">
        <v>19767</v>
      </c>
    </row>
    <row r="15403" spans="2:9" ht="15" customHeight="1" x14ac:dyDescent="0.25">
      <c r="B15403" s="55" t="s">
        <v>282</v>
      </c>
      <c r="C15403" s="46">
        <v>391</v>
      </c>
      <c r="D15403" s="69" t="s">
        <v>29419</v>
      </c>
      <c r="E15403" s="51"/>
      <c r="F15403" s="114" t="str">
        <f>IF(INDEX(I.Facility.P3IDNumber,391)="","",INDEX(I.Facility.P3IDNumber,391))</f>
        <v/>
      </c>
      <c r="G15403" s="51"/>
      <c r="H15403" s="46" t="str">
        <f>IF(AND(I.Developer.P3=TRUE,I.Facility.P3FacilityCount&gt;=391,F15403=""),"Incomplete","Complete")</f>
        <v>Complete</v>
      </c>
      <c r="I15403" s="48" t="s">
        <v>19768</v>
      </c>
    </row>
    <row r="15404" spans="2:9" ht="15" customHeight="1" x14ac:dyDescent="0.25">
      <c r="B15404" s="55" t="s">
        <v>282</v>
      </c>
      <c r="C15404" s="46">
        <v>392</v>
      </c>
      <c r="D15404" s="69" t="s">
        <v>29419</v>
      </c>
      <c r="E15404" s="51"/>
      <c r="F15404" s="114" t="str">
        <f>IF(INDEX(I.Facility.P3IDNumber,392)="","",INDEX(I.Facility.P3IDNumber,392))</f>
        <v/>
      </c>
      <c r="G15404" s="51"/>
      <c r="H15404" s="46" t="str">
        <f>IF(AND(I.Developer.P3=TRUE,I.Facility.P3FacilityCount&gt;=392,F15404=""),"Incomplete","Complete")</f>
        <v>Complete</v>
      </c>
      <c r="I15404" s="48" t="s">
        <v>19769</v>
      </c>
    </row>
    <row r="15405" spans="2:9" ht="15" customHeight="1" x14ac:dyDescent="0.25">
      <c r="B15405" s="55" t="s">
        <v>282</v>
      </c>
      <c r="C15405" s="46">
        <v>393</v>
      </c>
      <c r="D15405" s="69" t="s">
        <v>29419</v>
      </c>
      <c r="E15405" s="51"/>
      <c r="F15405" s="114" t="str">
        <f>IF(INDEX(I.Facility.P3IDNumber,393)="","",INDEX(I.Facility.P3IDNumber,393))</f>
        <v/>
      </c>
      <c r="G15405" s="51"/>
      <c r="H15405" s="46" t="str">
        <f>IF(AND(I.Developer.P3=TRUE,I.Facility.P3FacilityCount&gt;=393,F15405=""),"Incomplete","Complete")</f>
        <v>Complete</v>
      </c>
      <c r="I15405" s="48" t="s">
        <v>19770</v>
      </c>
    </row>
    <row r="15406" spans="2:9" ht="15" customHeight="1" x14ac:dyDescent="0.25">
      <c r="B15406" s="55" t="s">
        <v>282</v>
      </c>
      <c r="C15406" s="46">
        <v>394</v>
      </c>
      <c r="D15406" s="69" t="s">
        <v>29419</v>
      </c>
      <c r="E15406" s="51"/>
      <c r="F15406" s="114" t="str">
        <f>IF(INDEX(I.Facility.P3IDNumber,394)="","",INDEX(I.Facility.P3IDNumber,394))</f>
        <v/>
      </c>
      <c r="G15406" s="51"/>
      <c r="H15406" s="46" t="str">
        <f>IF(AND(I.Developer.P3=TRUE,I.Facility.P3FacilityCount&gt;=394,F15406=""),"Incomplete","Complete")</f>
        <v>Complete</v>
      </c>
      <c r="I15406" s="48" t="s">
        <v>19771</v>
      </c>
    </row>
    <row r="15407" spans="2:9" ht="15" customHeight="1" x14ac:dyDescent="0.25">
      <c r="B15407" s="55" t="s">
        <v>282</v>
      </c>
      <c r="C15407" s="46">
        <v>395</v>
      </c>
      <c r="D15407" s="69" t="s">
        <v>29419</v>
      </c>
      <c r="E15407" s="51"/>
      <c r="F15407" s="114" t="str">
        <f>IF(INDEX(I.Facility.P3IDNumber,395)="","",INDEX(I.Facility.P3IDNumber,395))</f>
        <v/>
      </c>
      <c r="G15407" s="51"/>
      <c r="H15407" s="46" t="str">
        <f>IF(AND(I.Developer.P3=TRUE,I.Facility.P3FacilityCount&gt;=395,F15407=""),"Incomplete","Complete")</f>
        <v>Complete</v>
      </c>
      <c r="I15407" s="48" t="s">
        <v>19772</v>
      </c>
    </row>
    <row r="15408" spans="2:9" ht="15" customHeight="1" x14ac:dyDescent="0.25">
      <c r="B15408" s="55" t="s">
        <v>282</v>
      </c>
      <c r="C15408" s="46">
        <v>396</v>
      </c>
      <c r="D15408" s="69" t="s">
        <v>29419</v>
      </c>
      <c r="E15408" s="51"/>
      <c r="F15408" s="114" t="str">
        <f>IF(INDEX(I.Facility.P3IDNumber,396)="","",INDEX(I.Facility.P3IDNumber,396))</f>
        <v/>
      </c>
      <c r="G15408" s="51"/>
      <c r="H15408" s="46" t="str">
        <f>IF(AND(I.Developer.P3=TRUE,I.Facility.P3FacilityCount&gt;=396,F15408=""),"Incomplete","Complete")</f>
        <v>Complete</v>
      </c>
      <c r="I15408" s="48" t="s">
        <v>19773</v>
      </c>
    </row>
    <row r="15409" spans="2:9" ht="15" customHeight="1" x14ac:dyDescent="0.25">
      <c r="B15409" s="55" t="s">
        <v>282</v>
      </c>
      <c r="C15409" s="46">
        <v>397</v>
      </c>
      <c r="D15409" s="69" t="s">
        <v>29419</v>
      </c>
      <c r="E15409" s="51"/>
      <c r="F15409" s="114" t="str">
        <f>IF(INDEX(I.Facility.P3IDNumber,397)="","",INDEX(I.Facility.P3IDNumber,397))</f>
        <v/>
      </c>
      <c r="G15409" s="51"/>
      <c r="H15409" s="46" t="str">
        <f>IF(AND(I.Developer.P3=TRUE,I.Facility.P3FacilityCount&gt;=397,F15409=""),"Incomplete","Complete")</f>
        <v>Complete</v>
      </c>
      <c r="I15409" s="48" t="s">
        <v>19774</v>
      </c>
    </row>
    <row r="15410" spans="2:9" ht="15" customHeight="1" x14ac:dyDescent="0.25">
      <c r="B15410" s="55" t="s">
        <v>282</v>
      </c>
      <c r="C15410" s="46">
        <v>398</v>
      </c>
      <c r="D15410" s="69" t="s">
        <v>29419</v>
      </c>
      <c r="E15410" s="51"/>
      <c r="F15410" s="114" t="str">
        <f>IF(INDEX(I.Facility.P3IDNumber,398)="","",INDEX(I.Facility.P3IDNumber,398))</f>
        <v/>
      </c>
      <c r="G15410" s="51"/>
      <c r="H15410" s="46" t="str">
        <f>IF(AND(I.Developer.P3=TRUE,I.Facility.P3FacilityCount&gt;=398,F15410=""),"Incomplete","Complete")</f>
        <v>Complete</v>
      </c>
      <c r="I15410" s="48" t="s">
        <v>19775</v>
      </c>
    </row>
    <row r="15411" spans="2:9" ht="15" customHeight="1" x14ac:dyDescent="0.25">
      <c r="B15411" s="55" t="s">
        <v>282</v>
      </c>
      <c r="C15411" s="46">
        <v>399</v>
      </c>
      <c r="D15411" s="69" t="s">
        <v>29419</v>
      </c>
      <c r="E15411" s="51"/>
      <c r="F15411" s="114" t="str">
        <f>IF(INDEX(I.Facility.P3IDNumber,399)="","",INDEX(I.Facility.P3IDNumber,399))</f>
        <v/>
      </c>
      <c r="G15411" s="51"/>
      <c r="H15411" s="46" t="str">
        <f>IF(AND(I.Developer.P3=TRUE,I.Facility.P3FacilityCount&gt;=399,F15411=""),"Incomplete","Complete")</f>
        <v>Complete</v>
      </c>
      <c r="I15411" s="48" t="s">
        <v>19776</v>
      </c>
    </row>
    <row r="15412" spans="2:9" ht="15" customHeight="1" x14ac:dyDescent="0.25">
      <c r="B15412" s="55" t="s">
        <v>282</v>
      </c>
      <c r="C15412" s="46">
        <v>400</v>
      </c>
      <c r="D15412" s="69" t="s">
        <v>29419</v>
      </c>
      <c r="E15412" s="51"/>
      <c r="F15412" s="114" t="str">
        <f>IF(INDEX(I.Facility.P3IDNumber,400)="","",INDEX(I.Facility.P3IDNumber,400))</f>
        <v/>
      </c>
      <c r="G15412" s="51"/>
      <c r="H15412" s="46" t="str">
        <f>IF(AND(I.Developer.P3=TRUE,I.Facility.P3FacilityCount&gt;=400,F15412=""),"Incomplete","Complete")</f>
        <v>Complete</v>
      </c>
      <c r="I15412" s="48" t="s">
        <v>19777</v>
      </c>
    </row>
    <row r="15413" spans="2:9" ht="15" customHeight="1" x14ac:dyDescent="0.25">
      <c r="B15413" s="55" t="s">
        <v>282</v>
      </c>
      <c r="C15413" s="46">
        <v>401</v>
      </c>
      <c r="D15413" s="69" t="s">
        <v>29419</v>
      </c>
      <c r="E15413" s="51"/>
      <c r="F15413" s="114" t="str">
        <f>IF(INDEX(I.Facility.P3IDNumber,401)="","",INDEX(I.Facility.P3IDNumber,401))</f>
        <v/>
      </c>
      <c r="G15413" s="51"/>
      <c r="H15413" s="46" t="str">
        <f>IF(AND(I.Developer.P3=TRUE,I.Facility.P3FacilityCount&gt;=401,F15413=""),"Incomplete","Complete")</f>
        <v>Complete</v>
      </c>
      <c r="I15413" s="48" t="s">
        <v>19778</v>
      </c>
    </row>
    <row r="15414" spans="2:9" ht="15" customHeight="1" x14ac:dyDescent="0.25">
      <c r="B15414" s="55" t="s">
        <v>282</v>
      </c>
      <c r="C15414" s="46">
        <v>402</v>
      </c>
      <c r="D15414" s="69" t="s">
        <v>29419</v>
      </c>
      <c r="E15414" s="51"/>
      <c r="F15414" s="114" t="str">
        <f>IF(INDEX(I.Facility.P3IDNumber,402)="","",INDEX(I.Facility.P3IDNumber,402))</f>
        <v/>
      </c>
      <c r="G15414" s="51"/>
      <c r="H15414" s="46" t="str">
        <f>IF(AND(I.Developer.P3=TRUE,I.Facility.P3FacilityCount&gt;=402,F15414=""),"Incomplete","Complete")</f>
        <v>Complete</v>
      </c>
      <c r="I15414" s="48" t="s">
        <v>19779</v>
      </c>
    </row>
    <row r="15415" spans="2:9" ht="15" customHeight="1" x14ac:dyDescent="0.25">
      <c r="B15415" s="55" t="s">
        <v>282</v>
      </c>
      <c r="C15415" s="46">
        <v>403</v>
      </c>
      <c r="D15415" s="69" t="s">
        <v>29419</v>
      </c>
      <c r="E15415" s="51"/>
      <c r="F15415" s="114" t="str">
        <f>IF(INDEX(I.Facility.P3IDNumber,403)="","",INDEX(I.Facility.P3IDNumber,403))</f>
        <v/>
      </c>
      <c r="G15415" s="51"/>
      <c r="H15415" s="46" t="str">
        <f>IF(AND(I.Developer.P3=TRUE,I.Facility.P3FacilityCount&gt;=403,F15415=""),"Incomplete","Complete")</f>
        <v>Complete</v>
      </c>
      <c r="I15415" s="48" t="s">
        <v>19780</v>
      </c>
    </row>
    <row r="15416" spans="2:9" ht="15" customHeight="1" x14ac:dyDescent="0.25">
      <c r="B15416" s="55" t="s">
        <v>282</v>
      </c>
      <c r="C15416" s="46">
        <v>404</v>
      </c>
      <c r="D15416" s="69" t="s">
        <v>29419</v>
      </c>
      <c r="E15416" s="51"/>
      <c r="F15416" s="114" t="str">
        <f>IF(INDEX(I.Facility.P3IDNumber,404)="","",INDEX(I.Facility.P3IDNumber,404))</f>
        <v/>
      </c>
      <c r="G15416" s="51"/>
      <c r="H15416" s="46" t="str">
        <f>IF(AND(I.Developer.P3=TRUE,I.Facility.P3FacilityCount&gt;=404,F15416=""),"Incomplete","Complete")</f>
        <v>Complete</v>
      </c>
      <c r="I15416" s="48" t="s">
        <v>19781</v>
      </c>
    </row>
    <row r="15417" spans="2:9" ht="15" customHeight="1" x14ac:dyDescent="0.25">
      <c r="B15417" s="55" t="s">
        <v>282</v>
      </c>
      <c r="C15417" s="46">
        <v>405</v>
      </c>
      <c r="D15417" s="69" t="s">
        <v>29419</v>
      </c>
      <c r="E15417" s="51"/>
      <c r="F15417" s="114" t="str">
        <f>IF(INDEX(I.Facility.P3IDNumber,405)="","",INDEX(I.Facility.P3IDNumber,405))</f>
        <v/>
      </c>
      <c r="G15417" s="51"/>
      <c r="H15417" s="46" t="str">
        <f>IF(AND(I.Developer.P3=TRUE,I.Facility.P3FacilityCount&gt;=405,F15417=""),"Incomplete","Complete")</f>
        <v>Complete</v>
      </c>
      <c r="I15417" s="48" t="s">
        <v>19782</v>
      </c>
    </row>
    <row r="15418" spans="2:9" ht="15" customHeight="1" x14ac:dyDescent="0.25">
      <c r="B15418" s="55" t="s">
        <v>282</v>
      </c>
      <c r="C15418" s="46">
        <v>406</v>
      </c>
      <c r="D15418" s="69" t="s">
        <v>29419</v>
      </c>
      <c r="E15418" s="51"/>
      <c r="F15418" s="114" t="str">
        <f>IF(INDEX(I.Facility.P3IDNumber,406)="","",INDEX(I.Facility.P3IDNumber,406))</f>
        <v/>
      </c>
      <c r="G15418" s="51"/>
      <c r="H15418" s="46" t="str">
        <f>IF(AND(I.Developer.P3=TRUE,I.Facility.P3FacilityCount&gt;=406,F15418=""),"Incomplete","Complete")</f>
        <v>Complete</v>
      </c>
      <c r="I15418" s="48" t="s">
        <v>19783</v>
      </c>
    </row>
    <row r="15419" spans="2:9" ht="15" customHeight="1" x14ac:dyDescent="0.25">
      <c r="B15419" s="55" t="s">
        <v>282</v>
      </c>
      <c r="C15419" s="46">
        <v>407</v>
      </c>
      <c r="D15419" s="69" t="s">
        <v>29419</v>
      </c>
      <c r="E15419" s="51"/>
      <c r="F15419" s="114" t="str">
        <f>IF(INDEX(I.Facility.P3IDNumber,407)="","",INDEX(I.Facility.P3IDNumber,407))</f>
        <v/>
      </c>
      <c r="G15419" s="51"/>
      <c r="H15419" s="46" t="str">
        <f>IF(AND(I.Developer.P3=TRUE,I.Facility.P3FacilityCount&gt;=407,F15419=""),"Incomplete","Complete")</f>
        <v>Complete</v>
      </c>
      <c r="I15419" s="48" t="s">
        <v>19784</v>
      </c>
    </row>
    <row r="15420" spans="2:9" ht="15" customHeight="1" x14ac:dyDescent="0.25">
      <c r="B15420" s="55" t="s">
        <v>282</v>
      </c>
      <c r="C15420" s="46">
        <v>408</v>
      </c>
      <c r="D15420" s="69" t="s">
        <v>29419</v>
      </c>
      <c r="E15420" s="51"/>
      <c r="F15420" s="114" t="str">
        <f>IF(INDEX(I.Facility.P3IDNumber,408)="","",INDEX(I.Facility.P3IDNumber,408))</f>
        <v/>
      </c>
      <c r="G15420" s="51"/>
      <c r="H15420" s="46" t="str">
        <f>IF(AND(I.Developer.P3=TRUE,I.Facility.P3FacilityCount&gt;=408,F15420=""),"Incomplete","Complete")</f>
        <v>Complete</v>
      </c>
      <c r="I15420" s="48" t="s">
        <v>19785</v>
      </c>
    </row>
    <row r="15421" spans="2:9" ht="15" customHeight="1" x14ac:dyDescent="0.25">
      <c r="B15421" s="55" t="s">
        <v>282</v>
      </c>
      <c r="C15421" s="46">
        <v>409</v>
      </c>
      <c r="D15421" s="69" t="s">
        <v>29419</v>
      </c>
      <c r="E15421" s="51"/>
      <c r="F15421" s="114" t="str">
        <f>IF(INDEX(I.Facility.P3IDNumber,409)="","",INDEX(I.Facility.P3IDNumber,409))</f>
        <v/>
      </c>
      <c r="G15421" s="51"/>
      <c r="H15421" s="46" t="str">
        <f>IF(AND(I.Developer.P3=TRUE,I.Facility.P3FacilityCount&gt;=409,F15421=""),"Incomplete","Complete")</f>
        <v>Complete</v>
      </c>
      <c r="I15421" s="48" t="s">
        <v>19786</v>
      </c>
    </row>
    <row r="15422" spans="2:9" ht="15" customHeight="1" x14ac:dyDescent="0.25">
      <c r="B15422" s="55" t="s">
        <v>282</v>
      </c>
      <c r="C15422" s="46">
        <v>410</v>
      </c>
      <c r="D15422" s="69" t="s">
        <v>29419</v>
      </c>
      <c r="E15422" s="51"/>
      <c r="F15422" s="114" t="str">
        <f>IF(INDEX(I.Facility.P3IDNumber,410)="","",INDEX(I.Facility.P3IDNumber,410))</f>
        <v/>
      </c>
      <c r="G15422" s="51"/>
      <c r="H15422" s="46" t="str">
        <f>IF(AND(I.Developer.P3=TRUE,I.Facility.P3FacilityCount&gt;=410,F15422=""),"Incomplete","Complete")</f>
        <v>Complete</v>
      </c>
      <c r="I15422" s="48" t="s">
        <v>19787</v>
      </c>
    </row>
    <row r="15423" spans="2:9" ht="15" customHeight="1" x14ac:dyDescent="0.25">
      <c r="B15423" s="55" t="s">
        <v>282</v>
      </c>
      <c r="C15423" s="46">
        <v>411</v>
      </c>
      <c r="D15423" s="69" t="s">
        <v>29419</v>
      </c>
      <c r="E15423" s="51"/>
      <c r="F15423" s="114" t="str">
        <f>IF(INDEX(I.Facility.P3IDNumber,411)="","",INDEX(I.Facility.P3IDNumber,411))</f>
        <v/>
      </c>
      <c r="G15423" s="51"/>
      <c r="H15423" s="46" t="str">
        <f>IF(AND(I.Developer.P3=TRUE,I.Facility.P3FacilityCount&gt;=411,F15423=""),"Incomplete","Complete")</f>
        <v>Complete</v>
      </c>
      <c r="I15423" s="48" t="s">
        <v>19788</v>
      </c>
    </row>
    <row r="15424" spans="2:9" ht="15" customHeight="1" x14ac:dyDescent="0.25">
      <c r="B15424" s="55" t="s">
        <v>282</v>
      </c>
      <c r="C15424" s="46">
        <v>412</v>
      </c>
      <c r="D15424" s="69" t="s">
        <v>29419</v>
      </c>
      <c r="E15424" s="51"/>
      <c r="F15424" s="114" t="str">
        <f>IF(INDEX(I.Facility.P3IDNumber,412)="","",INDEX(I.Facility.P3IDNumber,412))</f>
        <v/>
      </c>
      <c r="G15424" s="51"/>
      <c r="H15424" s="46" t="str">
        <f>IF(AND(I.Developer.P3=TRUE,I.Facility.P3FacilityCount&gt;=412,F15424=""),"Incomplete","Complete")</f>
        <v>Complete</v>
      </c>
      <c r="I15424" s="48" t="s">
        <v>19789</v>
      </c>
    </row>
    <row r="15425" spans="2:9" ht="15" customHeight="1" x14ac:dyDescent="0.25">
      <c r="B15425" s="55" t="s">
        <v>282</v>
      </c>
      <c r="C15425" s="46">
        <v>413</v>
      </c>
      <c r="D15425" s="69" t="s">
        <v>29419</v>
      </c>
      <c r="E15425" s="51"/>
      <c r="F15425" s="114" t="str">
        <f>IF(INDEX(I.Facility.P3IDNumber,413)="","",INDEX(I.Facility.P3IDNumber,413))</f>
        <v/>
      </c>
      <c r="G15425" s="51"/>
      <c r="H15425" s="46" t="str">
        <f>IF(AND(I.Developer.P3=TRUE,I.Facility.P3FacilityCount&gt;=413,F15425=""),"Incomplete","Complete")</f>
        <v>Complete</v>
      </c>
      <c r="I15425" s="48" t="s">
        <v>19790</v>
      </c>
    </row>
    <row r="15426" spans="2:9" ht="15" customHeight="1" x14ac:dyDescent="0.25">
      <c r="B15426" s="55" t="s">
        <v>282</v>
      </c>
      <c r="C15426" s="46">
        <v>414</v>
      </c>
      <c r="D15426" s="69" t="s">
        <v>29419</v>
      </c>
      <c r="E15426" s="51"/>
      <c r="F15426" s="114" t="str">
        <f>IF(INDEX(I.Facility.P3IDNumber,414)="","",INDEX(I.Facility.P3IDNumber,414))</f>
        <v/>
      </c>
      <c r="G15426" s="51"/>
      <c r="H15426" s="46" t="str">
        <f>IF(AND(I.Developer.P3=TRUE,I.Facility.P3FacilityCount&gt;=414,F15426=""),"Incomplete","Complete")</f>
        <v>Complete</v>
      </c>
      <c r="I15426" s="48" t="s">
        <v>19791</v>
      </c>
    </row>
    <row r="15427" spans="2:9" ht="15" customHeight="1" x14ac:dyDescent="0.25">
      <c r="B15427" s="55" t="s">
        <v>282</v>
      </c>
      <c r="C15427" s="46">
        <v>415</v>
      </c>
      <c r="D15427" s="69" t="s">
        <v>29419</v>
      </c>
      <c r="E15427" s="51"/>
      <c r="F15427" s="114" t="str">
        <f>IF(INDEX(I.Facility.P3IDNumber,415)="","",INDEX(I.Facility.P3IDNumber,415))</f>
        <v/>
      </c>
      <c r="G15427" s="51"/>
      <c r="H15427" s="46" t="str">
        <f>IF(AND(I.Developer.P3=TRUE,I.Facility.P3FacilityCount&gt;=415,F15427=""),"Incomplete","Complete")</f>
        <v>Complete</v>
      </c>
      <c r="I15427" s="48" t="s">
        <v>19792</v>
      </c>
    </row>
    <row r="15428" spans="2:9" ht="15" customHeight="1" x14ac:dyDescent="0.25">
      <c r="B15428" s="55" t="s">
        <v>282</v>
      </c>
      <c r="C15428" s="46">
        <v>416</v>
      </c>
      <c r="D15428" s="69" t="s">
        <v>29419</v>
      </c>
      <c r="E15428" s="51"/>
      <c r="F15428" s="114" t="str">
        <f>IF(INDEX(I.Facility.P3IDNumber,416)="","",INDEX(I.Facility.P3IDNumber,416))</f>
        <v/>
      </c>
      <c r="G15428" s="51"/>
      <c r="H15428" s="46" t="str">
        <f>IF(AND(I.Developer.P3=TRUE,I.Facility.P3FacilityCount&gt;=416,F15428=""),"Incomplete","Complete")</f>
        <v>Complete</v>
      </c>
      <c r="I15428" s="48" t="s">
        <v>19793</v>
      </c>
    </row>
    <row r="15429" spans="2:9" ht="15" customHeight="1" x14ac:dyDescent="0.25">
      <c r="B15429" s="55" t="s">
        <v>282</v>
      </c>
      <c r="C15429" s="46">
        <v>417</v>
      </c>
      <c r="D15429" s="69" t="s">
        <v>29419</v>
      </c>
      <c r="E15429" s="51"/>
      <c r="F15429" s="114" t="str">
        <f>IF(INDEX(I.Facility.P3IDNumber,417)="","",INDEX(I.Facility.P3IDNumber,417))</f>
        <v/>
      </c>
      <c r="G15429" s="51"/>
      <c r="H15429" s="46" t="str">
        <f>IF(AND(I.Developer.P3=TRUE,I.Facility.P3FacilityCount&gt;=417,F15429=""),"Incomplete","Complete")</f>
        <v>Complete</v>
      </c>
      <c r="I15429" s="48" t="s">
        <v>19794</v>
      </c>
    </row>
    <row r="15430" spans="2:9" ht="15" customHeight="1" x14ac:dyDescent="0.25">
      <c r="B15430" s="55" t="s">
        <v>282</v>
      </c>
      <c r="C15430" s="46">
        <v>418</v>
      </c>
      <c r="D15430" s="69" t="s">
        <v>29419</v>
      </c>
      <c r="E15430" s="51"/>
      <c r="F15430" s="114" t="str">
        <f>IF(INDEX(I.Facility.P3IDNumber,418)="","",INDEX(I.Facility.P3IDNumber,418))</f>
        <v/>
      </c>
      <c r="G15430" s="51"/>
      <c r="H15430" s="46" t="str">
        <f>IF(AND(I.Developer.P3=TRUE,I.Facility.P3FacilityCount&gt;=418,F15430=""),"Incomplete","Complete")</f>
        <v>Complete</v>
      </c>
      <c r="I15430" s="48" t="s">
        <v>19795</v>
      </c>
    </row>
    <row r="15431" spans="2:9" ht="15" customHeight="1" x14ac:dyDescent="0.25">
      <c r="B15431" s="55" t="s">
        <v>282</v>
      </c>
      <c r="C15431" s="46">
        <v>419</v>
      </c>
      <c r="D15431" s="69" t="s">
        <v>29419</v>
      </c>
      <c r="E15431" s="51"/>
      <c r="F15431" s="114" t="str">
        <f>IF(INDEX(I.Facility.P3IDNumber,419)="","",INDEX(I.Facility.P3IDNumber,419))</f>
        <v/>
      </c>
      <c r="G15431" s="51"/>
      <c r="H15431" s="46" t="str">
        <f>IF(AND(I.Developer.P3=TRUE,I.Facility.P3FacilityCount&gt;=419,F15431=""),"Incomplete","Complete")</f>
        <v>Complete</v>
      </c>
      <c r="I15431" s="48" t="s">
        <v>19796</v>
      </c>
    </row>
    <row r="15432" spans="2:9" ht="15" customHeight="1" x14ac:dyDescent="0.25">
      <c r="B15432" s="55" t="s">
        <v>282</v>
      </c>
      <c r="C15432" s="46">
        <v>420</v>
      </c>
      <c r="D15432" s="69" t="s">
        <v>29419</v>
      </c>
      <c r="E15432" s="51"/>
      <c r="F15432" s="114" t="str">
        <f>IF(INDEX(I.Facility.P3IDNumber,420)="","",INDEX(I.Facility.P3IDNumber,420))</f>
        <v/>
      </c>
      <c r="G15432" s="51"/>
      <c r="H15432" s="46" t="str">
        <f>IF(AND(I.Developer.P3=TRUE,I.Facility.P3FacilityCount&gt;=420,F15432=""),"Incomplete","Complete")</f>
        <v>Complete</v>
      </c>
      <c r="I15432" s="48" t="s">
        <v>19797</v>
      </c>
    </row>
    <row r="15433" spans="2:9" ht="15" customHeight="1" x14ac:dyDescent="0.25">
      <c r="B15433" s="55" t="s">
        <v>282</v>
      </c>
      <c r="C15433" s="46">
        <v>421</v>
      </c>
      <c r="D15433" s="69" t="s">
        <v>29419</v>
      </c>
      <c r="E15433" s="51"/>
      <c r="F15433" s="114" t="str">
        <f>IF(INDEX(I.Facility.P3IDNumber,421)="","",INDEX(I.Facility.P3IDNumber,421))</f>
        <v/>
      </c>
      <c r="G15433" s="51"/>
      <c r="H15433" s="46" t="str">
        <f>IF(AND(I.Developer.P3=TRUE,I.Facility.P3FacilityCount&gt;=421,F15433=""),"Incomplete","Complete")</f>
        <v>Complete</v>
      </c>
      <c r="I15433" s="48" t="s">
        <v>19798</v>
      </c>
    </row>
    <row r="15434" spans="2:9" ht="15" customHeight="1" x14ac:dyDescent="0.25">
      <c r="B15434" s="55" t="s">
        <v>282</v>
      </c>
      <c r="C15434" s="46">
        <v>422</v>
      </c>
      <c r="D15434" s="69" t="s">
        <v>29419</v>
      </c>
      <c r="E15434" s="51"/>
      <c r="F15434" s="114" t="str">
        <f>IF(INDEX(I.Facility.P3IDNumber,422)="","",INDEX(I.Facility.P3IDNumber,422))</f>
        <v/>
      </c>
      <c r="G15434" s="51"/>
      <c r="H15434" s="46" t="str">
        <f>IF(AND(I.Developer.P3=TRUE,I.Facility.P3FacilityCount&gt;=422,F15434=""),"Incomplete","Complete")</f>
        <v>Complete</v>
      </c>
      <c r="I15434" s="48" t="s">
        <v>19799</v>
      </c>
    </row>
    <row r="15435" spans="2:9" ht="15" customHeight="1" x14ac:dyDescent="0.25">
      <c r="B15435" s="55" t="s">
        <v>282</v>
      </c>
      <c r="C15435" s="46">
        <v>423</v>
      </c>
      <c r="D15435" s="69" t="s">
        <v>29419</v>
      </c>
      <c r="E15435" s="51"/>
      <c r="F15435" s="114" t="str">
        <f>IF(INDEX(I.Facility.P3IDNumber,423)="","",INDEX(I.Facility.P3IDNumber,423))</f>
        <v/>
      </c>
      <c r="G15435" s="51"/>
      <c r="H15435" s="46" t="str">
        <f>IF(AND(I.Developer.P3=TRUE,I.Facility.P3FacilityCount&gt;=423,F15435=""),"Incomplete","Complete")</f>
        <v>Complete</v>
      </c>
      <c r="I15435" s="48" t="s">
        <v>19800</v>
      </c>
    </row>
    <row r="15436" spans="2:9" ht="15" customHeight="1" x14ac:dyDescent="0.25">
      <c r="B15436" s="55" t="s">
        <v>282</v>
      </c>
      <c r="C15436" s="46">
        <v>424</v>
      </c>
      <c r="D15436" s="69" t="s">
        <v>29419</v>
      </c>
      <c r="E15436" s="51"/>
      <c r="F15436" s="114" t="str">
        <f>IF(INDEX(I.Facility.P3IDNumber,424)="","",INDEX(I.Facility.P3IDNumber,424))</f>
        <v/>
      </c>
      <c r="G15436" s="51"/>
      <c r="H15436" s="46" t="str">
        <f>IF(AND(I.Developer.P3=TRUE,I.Facility.P3FacilityCount&gt;=424,F15436=""),"Incomplete","Complete")</f>
        <v>Complete</v>
      </c>
      <c r="I15436" s="48" t="s">
        <v>19801</v>
      </c>
    </row>
    <row r="15437" spans="2:9" ht="15" customHeight="1" x14ac:dyDescent="0.25">
      <c r="B15437" s="55" t="s">
        <v>282</v>
      </c>
      <c r="C15437" s="46">
        <v>425</v>
      </c>
      <c r="D15437" s="69" t="s">
        <v>29419</v>
      </c>
      <c r="E15437" s="51"/>
      <c r="F15437" s="114" t="str">
        <f>IF(INDEX(I.Facility.P3IDNumber,425)="","",INDEX(I.Facility.P3IDNumber,425))</f>
        <v/>
      </c>
      <c r="G15437" s="51"/>
      <c r="H15437" s="46" t="str">
        <f>IF(AND(I.Developer.P3=TRUE,I.Facility.P3FacilityCount&gt;=425,F15437=""),"Incomplete","Complete")</f>
        <v>Complete</v>
      </c>
      <c r="I15437" s="48" t="s">
        <v>19802</v>
      </c>
    </row>
    <row r="15438" spans="2:9" ht="15" customHeight="1" x14ac:dyDescent="0.25">
      <c r="B15438" s="55" t="s">
        <v>282</v>
      </c>
      <c r="C15438" s="46">
        <v>426</v>
      </c>
      <c r="D15438" s="69" t="s">
        <v>29419</v>
      </c>
      <c r="E15438" s="51"/>
      <c r="F15438" s="114" t="str">
        <f>IF(INDEX(I.Facility.P3IDNumber,426)="","",INDEX(I.Facility.P3IDNumber,426))</f>
        <v/>
      </c>
      <c r="G15438" s="51"/>
      <c r="H15438" s="46" t="str">
        <f>IF(AND(I.Developer.P3=TRUE,I.Facility.P3FacilityCount&gt;=426,F15438=""),"Incomplete","Complete")</f>
        <v>Complete</v>
      </c>
      <c r="I15438" s="48" t="s">
        <v>19803</v>
      </c>
    </row>
    <row r="15439" spans="2:9" ht="15" customHeight="1" x14ac:dyDescent="0.25">
      <c r="B15439" s="55" t="s">
        <v>282</v>
      </c>
      <c r="C15439" s="46">
        <v>427</v>
      </c>
      <c r="D15439" s="69" t="s">
        <v>29419</v>
      </c>
      <c r="E15439" s="51"/>
      <c r="F15439" s="114" t="str">
        <f>IF(INDEX(I.Facility.P3IDNumber,427)="","",INDEX(I.Facility.P3IDNumber,427))</f>
        <v/>
      </c>
      <c r="G15439" s="51"/>
      <c r="H15439" s="46" t="str">
        <f>IF(AND(I.Developer.P3=TRUE,I.Facility.P3FacilityCount&gt;=427,F15439=""),"Incomplete","Complete")</f>
        <v>Complete</v>
      </c>
      <c r="I15439" s="48" t="s">
        <v>19804</v>
      </c>
    </row>
    <row r="15440" spans="2:9" ht="15" customHeight="1" x14ac:dyDescent="0.25">
      <c r="B15440" s="55" t="s">
        <v>282</v>
      </c>
      <c r="C15440" s="46">
        <v>428</v>
      </c>
      <c r="D15440" s="69" t="s">
        <v>29419</v>
      </c>
      <c r="E15440" s="51"/>
      <c r="F15440" s="114" t="str">
        <f>IF(INDEX(I.Facility.P3IDNumber,428)="","",INDEX(I.Facility.P3IDNumber,428))</f>
        <v/>
      </c>
      <c r="G15440" s="51"/>
      <c r="H15440" s="46" t="str">
        <f>IF(AND(I.Developer.P3=TRUE,I.Facility.P3FacilityCount&gt;=428,F15440=""),"Incomplete","Complete")</f>
        <v>Complete</v>
      </c>
      <c r="I15440" s="48" t="s">
        <v>19805</v>
      </c>
    </row>
    <row r="15441" spans="2:9" ht="15" customHeight="1" x14ac:dyDescent="0.25">
      <c r="B15441" s="55" t="s">
        <v>282</v>
      </c>
      <c r="C15441" s="46">
        <v>429</v>
      </c>
      <c r="D15441" s="69" t="s">
        <v>29419</v>
      </c>
      <c r="E15441" s="51"/>
      <c r="F15441" s="114" t="str">
        <f>IF(INDEX(I.Facility.P3IDNumber,429)="","",INDEX(I.Facility.P3IDNumber,429))</f>
        <v/>
      </c>
      <c r="G15441" s="51"/>
      <c r="H15441" s="46" t="str">
        <f>IF(AND(I.Developer.P3=TRUE,I.Facility.P3FacilityCount&gt;=429,F15441=""),"Incomplete","Complete")</f>
        <v>Complete</v>
      </c>
      <c r="I15441" s="48" t="s">
        <v>19806</v>
      </c>
    </row>
    <row r="15442" spans="2:9" ht="15" customHeight="1" x14ac:dyDescent="0.25">
      <c r="B15442" s="55" t="s">
        <v>282</v>
      </c>
      <c r="C15442" s="46">
        <v>430</v>
      </c>
      <c r="D15442" s="69" t="s">
        <v>29419</v>
      </c>
      <c r="E15442" s="51"/>
      <c r="F15442" s="114" t="str">
        <f>IF(INDEX(I.Facility.P3IDNumber,430)="","",INDEX(I.Facility.P3IDNumber,430))</f>
        <v/>
      </c>
      <c r="G15442" s="51"/>
      <c r="H15442" s="46" t="str">
        <f>IF(AND(I.Developer.P3=TRUE,I.Facility.P3FacilityCount&gt;=430,F15442=""),"Incomplete","Complete")</f>
        <v>Complete</v>
      </c>
      <c r="I15442" s="48" t="s">
        <v>19807</v>
      </c>
    </row>
    <row r="15443" spans="2:9" ht="15" customHeight="1" x14ac:dyDescent="0.25">
      <c r="B15443" s="55" t="s">
        <v>282</v>
      </c>
      <c r="C15443" s="46">
        <v>431</v>
      </c>
      <c r="D15443" s="69" t="s">
        <v>29419</v>
      </c>
      <c r="E15443" s="51"/>
      <c r="F15443" s="114" t="str">
        <f>IF(INDEX(I.Facility.P3IDNumber,431)="","",INDEX(I.Facility.P3IDNumber,431))</f>
        <v/>
      </c>
      <c r="G15443" s="51"/>
      <c r="H15443" s="46" t="str">
        <f>IF(AND(I.Developer.P3=TRUE,I.Facility.P3FacilityCount&gt;=431,F15443=""),"Incomplete","Complete")</f>
        <v>Complete</v>
      </c>
      <c r="I15443" s="48" t="s">
        <v>19808</v>
      </c>
    </row>
    <row r="15444" spans="2:9" ht="15" customHeight="1" x14ac:dyDescent="0.25">
      <c r="B15444" s="55" t="s">
        <v>282</v>
      </c>
      <c r="C15444" s="46">
        <v>432</v>
      </c>
      <c r="D15444" s="69" t="s">
        <v>29419</v>
      </c>
      <c r="E15444" s="51"/>
      <c r="F15444" s="114" t="str">
        <f>IF(INDEX(I.Facility.P3IDNumber,432)="","",INDEX(I.Facility.P3IDNumber,432))</f>
        <v/>
      </c>
      <c r="G15444" s="51"/>
      <c r="H15444" s="46" t="str">
        <f>IF(AND(I.Developer.P3=TRUE,I.Facility.P3FacilityCount&gt;=432,F15444=""),"Incomplete","Complete")</f>
        <v>Complete</v>
      </c>
      <c r="I15444" s="48" t="s">
        <v>19809</v>
      </c>
    </row>
    <row r="15445" spans="2:9" ht="15" customHeight="1" x14ac:dyDescent="0.25">
      <c r="B15445" s="55" t="s">
        <v>282</v>
      </c>
      <c r="C15445" s="46">
        <v>433</v>
      </c>
      <c r="D15445" s="69" t="s">
        <v>29419</v>
      </c>
      <c r="E15445" s="51"/>
      <c r="F15445" s="114" t="str">
        <f>IF(INDEX(I.Facility.P3IDNumber,433)="","",INDEX(I.Facility.P3IDNumber,433))</f>
        <v/>
      </c>
      <c r="G15445" s="51"/>
      <c r="H15445" s="46" t="str">
        <f>IF(AND(I.Developer.P3=TRUE,I.Facility.P3FacilityCount&gt;=433,F15445=""),"Incomplete","Complete")</f>
        <v>Complete</v>
      </c>
      <c r="I15445" s="48" t="s">
        <v>19810</v>
      </c>
    </row>
    <row r="15446" spans="2:9" ht="15" customHeight="1" x14ac:dyDescent="0.25">
      <c r="B15446" s="55" t="s">
        <v>282</v>
      </c>
      <c r="C15446" s="46">
        <v>434</v>
      </c>
      <c r="D15446" s="69" t="s">
        <v>29419</v>
      </c>
      <c r="E15446" s="51"/>
      <c r="F15446" s="114" t="str">
        <f>IF(INDEX(I.Facility.P3IDNumber,434)="","",INDEX(I.Facility.P3IDNumber,434))</f>
        <v/>
      </c>
      <c r="G15446" s="51"/>
      <c r="H15446" s="46" t="str">
        <f>IF(AND(I.Developer.P3=TRUE,I.Facility.P3FacilityCount&gt;=434,F15446=""),"Incomplete","Complete")</f>
        <v>Complete</v>
      </c>
      <c r="I15446" s="48" t="s">
        <v>19811</v>
      </c>
    </row>
    <row r="15447" spans="2:9" ht="15" customHeight="1" x14ac:dyDescent="0.25">
      <c r="B15447" s="55" t="s">
        <v>282</v>
      </c>
      <c r="C15447" s="46">
        <v>435</v>
      </c>
      <c r="D15447" s="69" t="s">
        <v>29419</v>
      </c>
      <c r="E15447" s="51"/>
      <c r="F15447" s="114" t="str">
        <f>IF(INDEX(I.Facility.P3IDNumber,435)="","",INDEX(I.Facility.P3IDNumber,435))</f>
        <v/>
      </c>
      <c r="G15447" s="51"/>
      <c r="H15447" s="46" t="str">
        <f>IF(AND(I.Developer.P3=TRUE,I.Facility.P3FacilityCount&gt;=435,F15447=""),"Incomplete","Complete")</f>
        <v>Complete</v>
      </c>
      <c r="I15447" s="48" t="s">
        <v>19812</v>
      </c>
    </row>
    <row r="15448" spans="2:9" ht="15" customHeight="1" x14ac:dyDescent="0.25">
      <c r="B15448" s="55" t="s">
        <v>282</v>
      </c>
      <c r="C15448" s="46">
        <v>436</v>
      </c>
      <c r="D15448" s="69" t="s">
        <v>29419</v>
      </c>
      <c r="E15448" s="51"/>
      <c r="F15448" s="114" t="str">
        <f>IF(INDEX(I.Facility.P3IDNumber,436)="","",INDEX(I.Facility.P3IDNumber,436))</f>
        <v/>
      </c>
      <c r="G15448" s="51"/>
      <c r="H15448" s="46" t="str">
        <f>IF(AND(I.Developer.P3=TRUE,I.Facility.P3FacilityCount&gt;=436,F15448=""),"Incomplete","Complete")</f>
        <v>Complete</v>
      </c>
      <c r="I15448" s="48" t="s">
        <v>19813</v>
      </c>
    </row>
    <row r="15449" spans="2:9" ht="15" customHeight="1" x14ac:dyDescent="0.25">
      <c r="B15449" s="55" t="s">
        <v>282</v>
      </c>
      <c r="C15449" s="46">
        <v>437</v>
      </c>
      <c r="D15449" s="69" t="s">
        <v>29419</v>
      </c>
      <c r="E15449" s="51"/>
      <c r="F15449" s="114" t="str">
        <f>IF(INDEX(I.Facility.P3IDNumber,437)="","",INDEX(I.Facility.P3IDNumber,437))</f>
        <v/>
      </c>
      <c r="G15449" s="51"/>
      <c r="H15449" s="46" t="str">
        <f>IF(AND(I.Developer.P3=TRUE,I.Facility.P3FacilityCount&gt;=437,F15449=""),"Incomplete","Complete")</f>
        <v>Complete</v>
      </c>
      <c r="I15449" s="48" t="s">
        <v>19814</v>
      </c>
    </row>
    <row r="15450" spans="2:9" ht="15" customHeight="1" x14ac:dyDescent="0.25">
      <c r="B15450" s="55" t="s">
        <v>282</v>
      </c>
      <c r="C15450" s="46">
        <v>438</v>
      </c>
      <c r="D15450" s="69" t="s">
        <v>29419</v>
      </c>
      <c r="E15450" s="51"/>
      <c r="F15450" s="114" t="str">
        <f>IF(INDEX(I.Facility.P3IDNumber,438)="","",INDEX(I.Facility.P3IDNumber,438))</f>
        <v/>
      </c>
      <c r="G15450" s="51"/>
      <c r="H15450" s="46" t="str">
        <f>IF(AND(I.Developer.P3=TRUE,I.Facility.P3FacilityCount&gt;=438,F15450=""),"Incomplete","Complete")</f>
        <v>Complete</v>
      </c>
      <c r="I15450" s="48" t="s">
        <v>19815</v>
      </c>
    </row>
    <row r="15451" spans="2:9" ht="15" customHeight="1" x14ac:dyDescent="0.25">
      <c r="B15451" s="55" t="s">
        <v>282</v>
      </c>
      <c r="C15451" s="46">
        <v>439</v>
      </c>
      <c r="D15451" s="69" t="s">
        <v>29419</v>
      </c>
      <c r="E15451" s="51"/>
      <c r="F15451" s="114" t="str">
        <f>IF(INDEX(I.Facility.P3IDNumber,439)="","",INDEX(I.Facility.P3IDNumber,439))</f>
        <v/>
      </c>
      <c r="G15451" s="51"/>
      <c r="H15451" s="46" t="str">
        <f>IF(AND(I.Developer.P3=TRUE,I.Facility.P3FacilityCount&gt;=439,F15451=""),"Incomplete","Complete")</f>
        <v>Complete</v>
      </c>
      <c r="I15451" s="48" t="s">
        <v>19816</v>
      </c>
    </row>
    <row r="15452" spans="2:9" ht="15" customHeight="1" x14ac:dyDescent="0.25">
      <c r="B15452" s="55" t="s">
        <v>282</v>
      </c>
      <c r="C15452" s="46">
        <v>440</v>
      </c>
      <c r="D15452" s="69" t="s">
        <v>29419</v>
      </c>
      <c r="E15452" s="51"/>
      <c r="F15452" s="114" t="str">
        <f>IF(INDEX(I.Facility.P3IDNumber,440)="","",INDEX(I.Facility.P3IDNumber,440))</f>
        <v/>
      </c>
      <c r="G15452" s="51"/>
      <c r="H15452" s="46" t="str">
        <f>IF(AND(I.Developer.P3=TRUE,I.Facility.P3FacilityCount&gt;=440,F15452=""),"Incomplete","Complete")</f>
        <v>Complete</v>
      </c>
      <c r="I15452" s="48" t="s">
        <v>19817</v>
      </c>
    </row>
    <row r="15453" spans="2:9" ht="15" customHeight="1" x14ac:dyDescent="0.25">
      <c r="B15453" s="55" t="s">
        <v>282</v>
      </c>
      <c r="C15453" s="46">
        <v>441</v>
      </c>
      <c r="D15453" s="69" t="s">
        <v>29419</v>
      </c>
      <c r="E15453" s="51"/>
      <c r="F15453" s="114" t="str">
        <f>IF(INDEX(I.Facility.P3IDNumber,441)="","",INDEX(I.Facility.P3IDNumber,441))</f>
        <v/>
      </c>
      <c r="G15453" s="51"/>
      <c r="H15453" s="46" t="str">
        <f>IF(AND(I.Developer.P3=TRUE,I.Facility.P3FacilityCount&gt;=441,F15453=""),"Incomplete","Complete")</f>
        <v>Complete</v>
      </c>
      <c r="I15453" s="48" t="s">
        <v>19818</v>
      </c>
    </row>
    <row r="15454" spans="2:9" ht="15" customHeight="1" x14ac:dyDescent="0.25">
      <c r="B15454" s="55" t="s">
        <v>282</v>
      </c>
      <c r="C15454" s="46">
        <v>442</v>
      </c>
      <c r="D15454" s="69" t="s">
        <v>29419</v>
      </c>
      <c r="E15454" s="51"/>
      <c r="F15454" s="114" t="str">
        <f>IF(INDEX(I.Facility.P3IDNumber,442)="","",INDEX(I.Facility.P3IDNumber,442))</f>
        <v/>
      </c>
      <c r="G15454" s="51"/>
      <c r="H15454" s="46" t="str">
        <f>IF(AND(I.Developer.P3=TRUE,I.Facility.P3FacilityCount&gt;=442,F15454=""),"Incomplete","Complete")</f>
        <v>Complete</v>
      </c>
      <c r="I15454" s="48" t="s">
        <v>19819</v>
      </c>
    </row>
    <row r="15455" spans="2:9" ht="15" customHeight="1" x14ac:dyDescent="0.25">
      <c r="B15455" s="55" t="s">
        <v>282</v>
      </c>
      <c r="C15455" s="46">
        <v>443</v>
      </c>
      <c r="D15455" s="69" t="s">
        <v>29419</v>
      </c>
      <c r="E15455" s="51"/>
      <c r="F15455" s="114" t="str">
        <f>IF(INDEX(I.Facility.P3IDNumber,443)="","",INDEX(I.Facility.P3IDNumber,443))</f>
        <v/>
      </c>
      <c r="G15455" s="51"/>
      <c r="H15455" s="46" t="str">
        <f>IF(AND(I.Developer.P3=TRUE,I.Facility.P3FacilityCount&gt;=443,F15455=""),"Incomplete","Complete")</f>
        <v>Complete</v>
      </c>
      <c r="I15455" s="48" t="s">
        <v>19820</v>
      </c>
    </row>
    <row r="15456" spans="2:9" ht="15" customHeight="1" x14ac:dyDescent="0.25">
      <c r="B15456" s="55" t="s">
        <v>282</v>
      </c>
      <c r="C15456" s="46">
        <v>444</v>
      </c>
      <c r="D15456" s="69" t="s">
        <v>29419</v>
      </c>
      <c r="E15456" s="51"/>
      <c r="F15456" s="114" t="str">
        <f>IF(INDEX(I.Facility.P3IDNumber,444)="","",INDEX(I.Facility.P3IDNumber,444))</f>
        <v/>
      </c>
      <c r="G15456" s="51"/>
      <c r="H15456" s="46" t="str">
        <f>IF(AND(I.Developer.P3=TRUE,I.Facility.P3FacilityCount&gt;=444,F15456=""),"Incomplete","Complete")</f>
        <v>Complete</v>
      </c>
      <c r="I15456" s="48" t="s">
        <v>19821</v>
      </c>
    </row>
    <row r="15457" spans="2:9" ht="15" customHeight="1" x14ac:dyDescent="0.25">
      <c r="B15457" s="55" t="s">
        <v>282</v>
      </c>
      <c r="C15457" s="46">
        <v>445</v>
      </c>
      <c r="D15457" s="69" t="s">
        <v>29419</v>
      </c>
      <c r="E15457" s="51"/>
      <c r="F15457" s="114" t="str">
        <f>IF(INDEX(I.Facility.P3IDNumber,445)="","",INDEX(I.Facility.P3IDNumber,445))</f>
        <v/>
      </c>
      <c r="G15457" s="51"/>
      <c r="H15457" s="46" t="str">
        <f>IF(AND(I.Developer.P3=TRUE,I.Facility.P3FacilityCount&gt;=445,F15457=""),"Incomplete","Complete")</f>
        <v>Complete</v>
      </c>
      <c r="I15457" s="48" t="s">
        <v>19822</v>
      </c>
    </row>
    <row r="15458" spans="2:9" ht="15" customHeight="1" x14ac:dyDescent="0.25">
      <c r="B15458" s="55" t="s">
        <v>282</v>
      </c>
      <c r="C15458" s="46">
        <v>446</v>
      </c>
      <c r="D15458" s="69" t="s">
        <v>29419</v>
      </c>
      <c r="E15458" s="51"/>
      <c r="F15458" s="114" t="str">
        <f>IF(INDEX(I.Facility.P3IDNumber,446)="","",INDEX(I.Facility.P3IDNumber,446))</f>
        <v/>
      </c>
      <c r="G15458" s="51"/>
      <c r="H15458" s="46" t="str">
        <f>IF(AND(I.Developer.P3=TRUE,I.Facility.P3FacilityCount&gt;=446,F15458=""),"Incomplete","Complete")</f>
        <v>Complete</v>
      </c>
      <c r="I15458" s="48" t="s">
        <v>19823</v>
      </c>
    </row>
    <row r="15459" spans="2:9" ht="15" customHeight="1" x14ac:dyDescent="0.25">
      <c r="B15459" s="55" t="s">
        <v>282</v>
      </c>
      <c r="C15459" s="46">
        <v>447</v>
      </c>
      <c r="D15459" s="69" t="s">
        <v>29419</v>
      </c>
      <c r="E15459" s="51"/>
      <c r="F15459" s="114" t="str">
        <f>IF(INDEX(I.Facility.P3IDNumber,447)="","",INDEX(I.Facility.P3IDNumber,447))</f>
        <v/>
      </c>
      <c r="G15459" s="51"/>
      <c r="H15459" s="46" t="str">
        <f>IF(AND(I.Developer.P3=TRUE,I.Facility.P3FacilityCount&gt;=447,F15459=""),"Incomplete","Complete")</f>
        <v>Complete</v>
      </c>
      <c r="I15459" s="48" t="s">
        <v>19824</v>
      </c>
    </row>
    <row r="15460" spans="2:9" ht="15" customHeight="1" x14ac:dyDescent="0.25">
      <c r="B15460" s="55" t="s">
        <v>282</v>
      </c>
      <c r="C15460" s="46">
        <v>448</v>
      </c>
      <c r="D15460" s="69" t="s">
        <v>29419</v>
      </c>
      <c r="E15460" s="51"/>
      <c r="F15460" s="114" t="str">
        <f>IF(INDEX(I.Facility.P3IDNumber,448)="","",INDEX(I.Facility.P3IDNumber,448))</f>
        <v/>
      </c>
      <c r="G15460" s="51"/>
      <c r="H15460" s="46" t="str">
        <f>IF(AND(I.Developer.P3=TRUE,I.Facility.P3FacilityCount&gt;=448,F15460=""),"Incomplete","Complete")</f>
        <v>Complete</v>
      </c>
      <c r="I15460" s="48" t="s">
        <v>19825</v>
      </c>
    </row>
    <row r="15461" spans="2:9" ht="15" customHeight="1" x14ac:dyDescent="0.25">
      <c r="B15461" s="55" t="s">
        <v>282</v>
      </c>
      <c r="C15461" s="46">
        <v>449</v>
      </c>
      <c r="D15461" s="69" t="s">
        <v>29419</v>
      </c>
      <c r="E15461" s="51"/>
      <c r="F15461" s="114" t="str">
        <f>IF(INDEX(I.Facility.P3IDNumber,449)="","",INDEX(I.Facility.P3IDNumber,449))</f>
        <v/>
      </c>
      <c r="G15461" s="51"/>
      <c r="H15461" s="46" t="str">
        <f>IF(AND(I.Developer.P3=TRUE,I.Facility.P3FacilityCount&gt;=449,F15461=""),"Incomplete","Complete")</f>
        <v>Complete</v>
      </c>
      <c r="I15461" s="48" t="s">
        <v>19826</v>
      </c>
    </row>
    <row r="15462" spans="2:9" ht="15" customHeight="1" x14ac:dyDescent="0.25">
      <c r="B15462" s="55" t="s">
        <v>282</v>
      </c>
      <c r="C15462" s="46">
        <v>450</v>
      </c>
      <c r="D15462" s="69" t="s">
        <v>29419</v>
      </c>
      <c r="E15462" s="51"/>
      <c r="F15462" s="114" t="str">
        <f>IF(INDEX(I.Facility.P3IDNumber,450)="","",INDEX(I.Facility.P3IDNumber,450))</f>
        <v/>
      </c>
      <c r="G15462" s="51"/>
      <c r="H15462" s="46" t="str">
        <f>IF(AND(I.Developer.P3=TRUE,I.Facility.P3FacilityCount&gt;=450,F15462=""),"Incomplete","Complete")</f>
        <v>Complete</v>
      </c>
      <c r="I15462" s="48" t="s">
        <v>19827</v>
      </c>
    </row>
    <row r="15463" spans="2:9" ht="15" customHeight="1" x14ac:dyDescent="0.25">
      <c r="B15463" s="55" t="s">
        <v>282</v>
      </c>
      <c r="C15463" s="46">
        <v>451</v>
      </c>
      <c r="D15463" s="69" t="s">
        <v>29419</v>
      </c>
      <c r="E15463" s="51"/>
      <c r="F15463" s="114" t="str">
        <f>IF(INDEX(I.Facility.P3IDNumber,451)="","",INDEX(I.Facility.P3IDNumber,451))</f>
        <v/>
      </c>
      <c r="G15463" s="51"/>
      <c r="H15463" s="46" t="str">
        <f>IF(AND(I.Developer.P3=TRUE,I.Facility.P3FacilityCount&gt;=451,F15463=""),"Incomplete","Complete")</f>
        <v>Complete</v>
      </c>
      <c r="I15463" s="48" t="s">
        <v>19828</v>
      </c>
    </row>
    <row r="15464" spans="2:9" ht="15" customHeight="1" x14ac:dyDescent="0.25">
      <c r="B15464" s="55" t="s">
        <v>282</v>
      </c>
      <c r="C15464" s="46">
        <v>452</v>
      </c>
      <c r="D15464" s="69" t="s">
        <v>29419</v>
      </c>
      <c r="E15464" s="51"/>
      <c r="F15464" s="114" t="str">
        <f>IF(INDEX(I.Facility.P3IDNumber,452)="","",INDEX(I.Facility.P3IDNumber,452))</f>
        <v/>
      </c>
      <c r="G15464" s="51"/>
      <c r="H15464" s="46" t="str">
        <f>IF(AND(I.Developer.P3=TRUE,I.Facility.P3FacilityCount&gt;=452,F15464=""),"Incomplete","Complete")</f>
        <v>Complete</v>
      </c>
      <c r="I15464" s="48" t="s">
        <v>19829</v>
      </c>
    </row>
    <row r="15465" spans="2:9" ht="15" customHeight="1" x14ac:dyDescent="0.25">
      <c r="B15465" s="55" t="s">
        <v>282</v>
      </c>
      <c r="C15465" s="46">
        <v>453</v>
      </c>
      <c r="D15465" s="69" t="s">
        <v>29419</v>
      </c>
      <c r="E15465" s="51"/>
      <c r="F15465" s="114" t="str">
        <f>IF(INDEX(I.Facility.P3IDNumber,453)="","",INDEX(I.Facility.P3IDNumber,453))</f>
        <v/>
      </c>
      <c r="G15465" s="51"/>
      <c r="H15465" s="46" t="str">
        <f>IF(AND(I.Developer.P3=TRUE,I.Facility.P3FacilityCount&gt;=453,F15465=""),"Incomplete","Complete")</f>
        <v>Complete</v>
      </c>
      <c r="I15465" s="48" t="s">
        <v>19830</v>
      </c>
    </row>
    <row r="15466" spans="2:9" ht="15" customHeight="1" x14ac:dyDescent="0.25">
      <c r="B15466" s="55" t="s">
        <v>282</v>
      </c>
      <c r="C15466" s="46">
        <v>454</v>
      </c>
      <c r="D15466" s="69" t="s">
        <v>29419</v>
      </c>
      <c r="E15466" s="51"/>
      <c r="F15466" s="114" t="str">
        <f>IF(INDEX(I.Facility.P3IDNumber,454)="","",INDEX(I.Facility.P3IDNumber,454))</f>
        <v/>
      </c>
      <c r="G15466" s="51"/>
      <c r="H15466" s="46" t="str">
        <f>IF(AND(I.Developer.P3=TRUE,I.Facility.P3FacilityCount&gt;=454,F15466=""),"Incomplete","Complete")</f>
        <v>Complete</v>
      </c>
      <c r="I15466" s="48" t="s">
        <v>19831</v>
      </c>
    </row>
    <row r="15467" spans="2:9" ht="15" customHeight="1" x14ac:dyDescent="0.25">
      <c r="B15467" s="55" t="s">
        <v>282</v>
      </c>
      <c r="C15467" s="46">
        <v>455</v>
      </c>
      <c r="D15467" s="69" t="s">
        <v>29419</v>
      </c>
      <c r="E15467" s="51"/>
      <c r="F15467" s="114" t="str">
        <f>IF(INDEX(I.Facility.P3IDNumber,455)="","",INDEX(I.Facility.P3IDNumber,455))</f>
        <v/>
      </c>
      <c r="G15467" s="51"/>
      <c r="H15467" s="46" t="str">
        <f>IF(AND(I.Developer.P3=TRUE,I.Facility.P3FacilityCount&gt;=455,F15467=""),"Incomplete","Complete")</f>
        <v>Complete</v>
      </c>
      <c r="I15467" s="48" t="s">
        <v>19832</v>
      </c>
    </row>
    <row r="15468" spans="2:9" ht="15" customHeight="1" x14ac:dyDescent="0.25">
      <c r="B15468" s="55" t="s">
        <v>282</v>
      </c>
      <c r="C15468" s="46">
        <v>456</v>
      </c>
      <c r="D15468" s="69" t="s">
        <v>29419</v>
      </c>
      <c r="E15468" s="51"/>
      <c r="F15468" s="114" t="str">
        <f>IF(INDEX(I.Facility.P3IDNumber,456)="","",INDEX(I.Facility.P3IDNumber,456))</f>
        <v/>
      </c>
      <c r="G15468" s="51"/>
      <c r="H15468" s="46" t="str">
        <f>IF(AND(I.Developer.P3=TRUE,I.Facility.P3FacilityCount&gt;=456,F15468=""),"Incomplete","Complete")</f>
        <v>Complete</v>
      </c>
      <c r="I15468" s="48" t="s">
        <v>19833</v>
      </c>
    </row>
    <row r="15469" spans="2:9" ht="15" customHeight="1" x14ac:dyDescent="0.25">
      <c r="B15469" s="55" t="s">
        <v>282</v>
      </c>
      <c r="C15469" s="46">
        <v>457</v>
      </c>
      <c r="D15469" s="69" t="s">
        <v>29419</v>
      </c>
      <c r="E15469" s="51"/>
      <c r="F15469" s="114" t="str">
        <f>IF(INDEX(I.Facility.P3IDNumber,457)="","",INDEX(I.Facility.P3IDNumber,457))</f>
        <v/>
      </c>
      <c r="G15469" s="51"/>
      <c r="H15469" s="46" t="str">
        <f>IF(AND(I.Developer.P3=TRUE,I.Facility.P3FacilityCount&gt;=457,F15469=""),"Incomplete","Complete")</f>
        <v>Complete</v>
      </c>
      <c r="I15469" s="48" t="s">
        <v>19834</v>
      </c>
    </row>
    <row r="15470" spans="2:9" ht="15" customHeight="1" x14ac:dyDescent="0.25">
      <c r="B15470" s="55" t="s">
        <v>282</v>
      </c>
      <c r="C15470" s="46">
        <v>458</v>
      </c>
      <c r="D15470" s="69" t="s">
        <v>29419</v>
      </c>
      <c r="E15470" s="51"/>
      <c r="F15470" s="114" t="str">
        <f>IF(INDEX(I.Facility.P3IDNumber,458)="","",INDEX(I.Facility.P3IDNumber,458))</f>
        <v/>
      </c>
      <c r="G15470" s="51"/>
      <c r="H15470" s="46" t="str">
        <f>IF(AND(I.Developer.P3=TRUE,I.Facility.P3FacilityCount&gt;=458,F15470=""),"Incomplete","Complete")</f>
        <v>Complete</v>
      </c>
      <c r="I15470" s="48" t="s">
        <v>19835</v>
      </c>
    </row>
    <row r="15471" spans="2:9" ht="15" customHeight="1" x14ac:dyDescent="0.25">
      <c r="B15471" s="55" t="s">
        <v>282</v>
      </c>
      <c r="C15471" s="46">
        <v>459</v>
      </c>
      <c r="D15471" s="69" t="s">
        <v>29419</v>
      </c>
      <c r="E15471" s="51"/>
      <c r="F15471" s="114" t="str">
        <f>IF(INDEX(I.Facility.P3IDNumber,459)="","",INDEX(I.Facility.P3IDNumber,459))</f>
        <v/>
      </c>
      <c r="G15471" s="51"/>
      <c r="H15471" s="46" t="str">
        <f>IF(AND(I.Developer.P3=TRUE,I.Facility.P3FacilityCount&gt;=459,F15471=""),"Incomplete","Complete")</f>
        <v>Complete</v>
      </c>
      <c r="I15471" s="48" t="s">
        <v>19836</v>
      </c>
    </row>
    <row r="15472" spans="2:9" ht="15" customHeight="1" x14ac:dyDescent="0.25">
      <c r="B15472" s="55" t="s">
        <v>282</v>
      </c>
      <c r="C15472" s="46">
        <v>460</v>
      </c>
      <c r="D15472" s="69" t="s">
        <v>29419</v>
      </c>
      <c r="E15472" s="51"/>
      <c r="F15472" s="114" t="str">
        <f>IF(INDEX(I.Facility.P3IDNumber,460)="","",INDEX(I.Facility.P3IDNumber,460))</f>
        <v/>
      </c>
      <c r="G15472" s="51"/>
      <c r="H15472" s="46" t="str">
        <f>IF(AND(I.Developer.P3=TRUE,I.Facility.P3FacilityCount&gt;=460,F15472=""),"Incomplete","Complete")</f>
        <v>Complete</v>
      </c>
      <c r="I15472" s="48" t="s">
        <v>19837</v>
      </c>
    </row>
    <row r="15473" spans="2:9" ht="15" customHeight="1" x14ac:dyDescent="0.25">
      <c r="B15473" s="55" t="s">
        <v>282</v>
      </c>
      <c r="C15473" s="46">
        <v>461</v>
      </c>
      <c r="D15473" s="69" t="s">
        <v>29419</v>
      </c>
      <c r="E15473" s="51"/>
      <c r="F15473" s="114" t="str">
        <f>IF(INDEX(I.Facility.P3IDNumber,461)="","",INDEX(I.Facility.P3IDNumber,461))</f>
        <v/>
      </c>
      <c r="G15473" s="51"/>
      <c r="H15473" s="46" t="str">
        <f>IF(AND(I.Developer.P3=TRUE,I.Facility.P3FacilityCount&gt;=461,F15473=""),"Incomplete","Complete")</f>
        <v>Complete</v>
      </c>
      <c r="I15473" s="48" t="s">
        <v>19838</v>
      </c>
    </row>
    <row r="15474" spans="2:9" ht="15" customHeight="1" x14ac:dyDescent="0.25">
      <c r="B15474" s="55" t="s">
        <v>282</v>
      </c>
      <c r="C15474" s="46">
        <v>462</v>
      </c>
      <c r="D15474" s="69" t="s">
        <v>29419</v>
      </c>
      <c r="E15474" s="51"/>
      <c r="F15474" s="114" t="str">
        <f>IF(INDEX(I.Facility.P3IDNumber,462)="","",INDEX(I.Facility.P3IDNumber,462))</f>
        <v/>
      </c>
      <c r="G15474" s="51"/>
      <c r="H15474" s="46" t="str">
        <f>IF(AND(I.Developer.P3=TRUE,I.Facility.P3FacilityCount&gt;=462,F15474=""),"Incomplete","Complete")</f>
        <v>Complete</v>
      </c>
      <c r="I15474" s="48" t="s">
        <v>19839</v>
      </c>
    </row>
    <row r="15475" spans="2:9" ht="15" customHeight="1" x14ac:dyDescent="0.25">
      <c r="B15475" s="55" t="s">
        <v>282</v>
      </c>
      <c r="C15475" s="46">
        <v>463</v>
      </c>
      <c r="D15475" s="69" t="s">
        <v>29419</v>
      </c>
      <c r="E15475" s="51"/>
      <c r="F15475" s="114" t="str">
        <f>IF(INDEX(I.Facility.P3IDNumber,463)="","",INDEX(I.Facility.P3IDNumber,463))</f>
        <v/>
      </c>
      <c r="G15475" s="51"/>
      <c r="H15475" s="46" t="str">
        <f>IF(AND(I.Developer.P3=TRUE,I.Facility.P3FacilityCount&gt;=463,F15475=""),"Incomplete","Complete")</f>
        <v>Complete</v>
      </c>
      <c r="I15475" s="48" t="s">
        <v>19840</v>
      </c>
    </row>
    <row r="15476" spans="2:9" ht="15" customHeight="1" x14ac:dyDescent="0.25">
      <c r="B15476" s="55" t="s">
        <v>282</v>
      </c>
      <c r="C15476" s="46">
        <v>464</v>
      </c>
      <c r="D15476" s="69" t="s">
        <v>29419</v>
      </c>
      <c r="E15476" s="51"/>
      <c r="F15476" s="114" t="str">
        <f>IF(INDEX(I.Facility.P3IDNumber,464)="","",INDEX(I.Facility.P3IDNumber,464))</f>
        <v/>
      </c>
      <c r="G15476" s="51"/>
      <c r="H15476" s="46" t="str">
        <f>IF(AND(I.Developer.P3=TRUE,I.Facility.P3FacilityCount&gt;=464,F15476=""),"Incomplete","Complete")</f>
        <v>Complete</v>
      </c>
      <c r="I15476" s="48" t="s">
        <v>19841</v>
      </c>
    </row>
    <row r="15477" spans="2:9" ht="15" customHeight="1" x14ac:dyDescent="0.25">
      <c r="B15477" s="55" t="s">
        <v>282</v>
      </c>
      <c r="C15477" s="46">
        <v>465</v>
      </c>
      <c r="D15477" s="69" t="s">
        <v>29419</v>
      </c>
      <c r="E15477" s="51"/>
      <c r="F15477" s="114" t="str">
        <f>IF(INDEX(I.Facility.P3IDNumber,465)="","",INDEX(I.Facility.P3IDNumber,465))</f>
        <v/>
      </c>
      <c r="G15477" s="51"/>
      <c r="H15477" s="46" t="str">
        <f>IF(AND(I.Developer.P3=TRUE,I.Facility.P3FacilityCount&gt;=465,F15477=""),"Incomplete","Complete")</f>
        <v>Complete</v>
      </c>
      <c r="I15477" s="48" t="s">
        <v>19842</v>
      </c>
    </row>
    <row r="15478" spans="2:9" ht="15" customHeight="1" x14ac:dyDescent="0.25">
      <c r="B15478" s="55" t="s">
        <v>282</v>
      </c>
      <c r="C15478" s="46">
        <v>466</v>
      </c>
      <c r="D15478" s="69" t="s">
        <v>29419</v>
      </c>
      <c r="E15478" s="51"/>
      <c r="F15478" s="114" t="str">
        <f>IF(INDEX(I.Facility.P3IDNumber,466)="","",INDEX(I.Facility.P3IDNumber,466))</f>
        <v/>
      </c>
      <c r="G15478" s="51"/>
      <c r="H15478" s="46" t="str">
        <f>IF(AND(I.Developer.P3=TRUE,I.Facility.P3FacilityCount&gt;=466,F15478=""),"Incomplete","Complete")</f>
        <v>Complete</v>
      </c>
      <c r="I15478" s="48" t="s">
        <v>19843</v>
      </c>
    </row>
    <row r="15479" spans="2:9" ht="15" customHeight="1" x14ac:dyDescent="0.25">
      <c r="B15479" s="55" t="s">
        <v>282</v>
      </c>
      <c r="C15479" s="46">
        <v>467</v>
      </c>
      <c r="D15479" s="69" t="s">
        <v>29419</v>
      </c>
      <c r="E15479" s="51"/>
      <c r="F15479" s="114" t="str">
        <f>IF(INDEX(I.Facility.P3IDNumber,467)="","",INDEX(I.Facility.P3IDNumber,467))</f>
        <v/>
      </c>
      <c r="G15479" s="51"/>
      <c r="H15479" s="46" t="str">
        <f>IF(AND(I.Developer.P3=TRUE,I.Facility.P3FacilityCount&gt;=467,F15479=""),"Incomplete","Complete")</f>
        <v>Complete</v>
      </c>
      <c r="I15479" s="48" t="s">
        <v>19844</v>
      </c>
    </row>
    <row r="15480" spans="2:9" ht="15" customHeight="1" x14ac:dyDescent="0.25">
      <c r="B15480" s="55" t="s">
        <v>282</v>
      </c>
      <c r="C15480" s="46">
        <v>468</v>
      </c>
      <c r="D15480" s="69" t="s">
        <v>29419</v>
      </c>
      <c r="E15480" s="51"/>
      <c r="F15480" s="114" t="str">
        <f>IF(INDEX(I.Facility.P3IDNumber,468)="","",INDEX(I.Facility.P3IDNumber,468))</f>
        <v/>
      </c>
      <c r="G15480" s="51"/>
      <c r="H15480" s="46" t="str">
        <f>IF(AND(I.Developer.P3=TRUE,I.Facility.P3FacilityCount&gt;=468,F15480=""),"Incomplete","Complete")</f>
        <v>Complete</v>
      </c>
      <c r="I15480" s="48" t="s">
        <v>19845</v>
      </c>
    </row>
    <row r="15481" spans="2:9" ht="15" customHeight="1" x14ac:dyDescent="0.25">
      <c r="B15481" s="55" t="s">
        <v>282</v>
      </c>
      <c r="C15481" s="46">
        <v>469</v>
      </c>
      <c r="D15481" s="69" t="s">
        <v>29419</v>
      </c>
      <c r="E15481" s="51"/>
      <c r="F15481" s="114" t="str">
        <f>IF(INDEX(I.Facility.P3IDNumber,469)="","",INDEX(I.Facility.P3IDNumber,469))</f>
        <v/>
      </c>
      <c r="G15481" s="51"/>
      <c r="H15481" s="46" t="str">
        <f>IF(AND(I.Developer.P3=TRUE,I.Facility.P3FacilityCount&gt;=469,F15481=""),"Incomplete","Complete")</f>
        <v>Complete</v>
      </c>
      <c r="I15481" s="48" t="s">
        <v>19846</v>
      </c>
    </row>
    <row r="15482" spans="2:9" ht="15" customHeight="1" x14ac:dyDescent="0.25">
      <c r="B15482" s="55" t="s">
        <v>282</v>
      </c>
      <c r="C15482" s="46">
        <v>470</v>
      </c>
      <c r="D15482" s="69" t="s">
        <v>29419</v>
      </c>
      <c r="E15482" s="51"/>
      <c r="F15482" s="114" t="str">
        <f>IF(INDEX(I.Facility.P3IDNumber,470)="","",INDEX(I.Facility.P3IDNumber,470))</f>
        <v/>
      </c>
      <c r="G15482" s="51"/>
      <c r="H15482" s="46" t="str">
        <f>IF(AND(I.Developer.P3=TRUE,I.Facility.P3FacilityCount&gt;=470,F15482=""),"Incomplete","Complete")</f>
        <v>Complete</v>
      </c>
      <c r="I15482" s="48" t="s">
        <v>19847</v>
      </c>
    </row>
    <row r="15483" spans="2:9" ht="15" customHeight="1" x14ac:dyDescent="0.25">
      <c r="B15483" s="55" t="s">
        <v>282</v>
      </c>
      <c r="C15483" s="46">
        <v>471</v>
      </c>
      <c r="D15483" s="69" t="s">
        <v>29419</v>
      </c>
      <c r="E15483" s="51"/>
      <c r="F15483" s="114" t="str">
        <f>IF(INDEX(I.Facility.P3IDNumber,471)="","",INDEX(I.Facility.P3IDNumber,471))</f>
        <v/>
      </c>
      <c r="G15483" s="51"/>
      <c r="H15483" s="46" t="str">
        <f>IF(AND(I.Developer.P3=TRUE,I.Facility.P3FacilityCount&gt;=471,F15483=""),"Incomplete","Complete")</f>
        <v>Complete</v>
      </c>
      <c r="I15483" s="48" t="s">
        <v>19848</v>
      </c>
    </row>
    <row r="15484" spans="2:9" ht="15" customHeight="1" x14ac:dyDescent="0.25">
      <c r="B15484" s="55" t="s">
        <v>282</v>
      </c>
      <c r="C15484" s="46">
        <v>472</v>
      </c>
      <c r="D15484" s="69" t="s">
        <v>29419</v>
      </c>
      <c r="E15484" s="51"/>
      <c r="F15484" s="114" t="str">
        <f>IF(INDEX(I.Facility.P3IDNumber,472)="","",INDEX(I.Facility.P3IDNumber,472))</f>
        <v/>
      </c>
      <c r="G15484" s="51"/>
      <c r="H15484" s="46" t="str">
        <f>IF(AND(I.Developer.P3=TRUE,I.Facility.P3FacilityCount&gt;=472,F15484=""),"Incomplete","Complete")</f>
        <v>Complete</v>
      </c>
      <c r="I15484" s="48" t="s">
        <v>19849</v>
      </c>
    </row>
    <row r="15485" spans="2:9" ht="15" customHeight="1" x14ac:dyDescent="0.25">
      <c r="B15485" s="55" t="s">
        <v>282</v>
      </c>
      <c r="C15485" s="46">
        <v>473</v>
      </c>
      <c r="D15485" s="69" t="s">
        <v>29419</v>
      </c>
      <c r="E15485" s="51"/>
      <c r="F15485" s="114" t="str">
        <f>IF(INDEX(I.Facility.P3IDNumber,473)="","",INDEX(I.Facility.P3IDNumber,473))</f>
        <v/>
      </c>
      <c r="G15485" s="51"/>
      <c r="H15485" s="46" t="str">
        <f>IF(AND(I.Developer.P3=TRUE,I.Facility.P3FacilityCount&gt;=473,F15485=""),"Incomplete","Complete")</f>
        <v>Complete</v>
      </c>
      <c r="I15485" s="48" t="s">
        <v>19850</v>
      </c>
    </row>
    <row r="15486" spans="2:9" ht="15" customHeight="1" x14ac:dyDescent="0.25">
      <c r="B15486" s="55" t="s">
        <v>282</v>
      </c>
      <c r="C15486" s="46">
        <v>474</v>
      </c>
      <c r="D15486" s="69" t="s">
        <v>29419</v>
      </c>
      <c r="E15486" s="51"/>
      <c r="F15486" s="114" t="str">
        <f>IF(INDEX(I.Facility.P3IDNumber,474)="","",INDEX(I.Facility.P3IDNumber,474))</f>
        <v/>
      </c>
      <c r="G15486" s="51"/>
      <c r="H15486" s="46" t="str">
        <f>IF(AND(I.Developer.P3=TRUE,I.Facility.P3FacilityCount&gt;=474,F15486=""),"Incomplete","Complete")</f>
        <v>Complete</v>
      </c>
      <c r="I15486" s="48" t="s">
        <v>19851</v>
      </c>
    </row>
    <row r="15487" spans="2:9" ht="15" customHeight="1" x14ac:dyDescent="0.25">
      <c r="B15487" s="55" t="s">
        <v>282</v>
      </c>
      <c r="C15487" s="46">
        <v>475</v>
      </c>
      <c r="D15487" s="69" t="s">
        <v>29419</v>
      </c>
      <c r="E15487" s="51"/>
      <c r="F15487" s="114" t="str">
        <f>IF(INDEX(I.Facility.P3IDNumber,475)="","",INDEX(I.Facility.P3IDNumber,475))</f>
        <v/>
      </c>
      <c r="G15487" s="51"/>
      <c r="H15487" s="46" t="str">
        <f>IF(AND(I.Developer.P3=TRUE,I.Facility.P3FacilityCount&gt;=475,F15487=""),"Incomplete","Complete")</f>
        <v>Complete</v>
      </c>
      <c r="I15487" s="48" t="s">
        <v>19852</v>
      </c>
    </row>
    <row r="15488" spans="2:9" ht="15" customHeight="1" x14ac:dyDescent="0.25">
      <c r="B15488" s="55" t="s">
        <v>282</v>
      </c>
      <c r="C15488" s="46">
        <v>476</v>
      </c>
      <c r="D15488" s="69" t="s">
        <v>29419</v>
      </c>
      <c r="E15488" s="51"/>
      <c r="F15488" s="114" t="str">
        <f>IF(INDEX(I.Facility.P3IDNumber,476)="","",INDEX(I.Facility.P3IDNumber,476))</f>
        <v/>
      </c>
      <c r="G15488" s="51"/>
      <c r="H15488" s="46" t="str">
        <f>IF(AND(I.Developer.P3=TRUE,I.Facility.P3FacilityCount&gt;=476,F15488=""),"Incomplete","Complete")</f>
        <v>Complete</v>
      </c>
      <c r="I15488" s="48" t="s">
        <v>19853</v>
      </c>
    </row>
    <row r="15489" spans="2:9" ht="15" customHeight="1" x14ac:dyDescent="0.25">
      <c r="B15489" s="55" t="s">
        <v>282</v>
      </c>
      <c r="C15489" s="46">
        <v>477</v>
      </c>
      <c r="D15489" s="69" t="s">
        <v>29419</v>
      </c>
      <c r="E15489" s="51"/>
      <c r="F15489" s="114" t="str">
        <f>IF(INDEX(I.Facility.P3IDNumber,477)="","",INDEX(I.Facility.P3IDNumber,477))</f>
        <v/>
      </c>
      <c r="G15489" s="51"/>
      <c r="H15489" s="46" t="str">
        <f>IF(AND(I.Developer.P3=TRUE,I.Facility.P3FacilityCount&gt;=477,F15489=""),"Incomplete","Complete")</f>
        <v>Complete</v>
      </c>
      <c r="I15489" s="48" t="s">
        <v>19854</v>
      </c>
    </row>
    <row r="15490" spans="2:9" ht="15" customHeight="1" x14ac:dyDescent="0.25">
      <c r="B15490" s="55" t="s">
        <v>282</v>
      </c>
      <c r="C15490" s="46">
        <v>478</v>
      </c>
      <c r="D15490" s="69" t="s">
        <v>29419</v>
      </c>
      <c r="E15490" s="51"/>
      <c r="F15490" s="114" t="str">
        <f>IF(INDEX(I.Facility.P3IDNumber,478)="","",INDEX(I.Facility.P3IDNumber,478))</f>
        <v/>
      </c>
      <c r="G15490" s="51"/>
      <c r="H15490" s="46" t="str">
        <f>IF(AND(I.Developer.P3=TRUE,I.Facility.P3FacilityCount&gt;=478,F15490=""),"Incomplete","Complete")</f>
        <v>Complete</v>
      </c>
      <c r="I15490" s="48" t="s">
        <v>19855</v>
      </c>
    </row>
    <row r="15491" spans="2:9" ht="15" customHeight="1" x14ac:dyDescent="0.25">
      <c r="B15491" s="55" t="s">
        <v>282</v>
      </c>
      <c r="C15491" s="46">
        <v>479</v>
      </c>
      <c r="D15491" s="69" t="s">
        <v>29419</v>
      </c>
      <c r="E15491" s="51"/>
      <c r="F15491" s="114" t="str">
        <f>IF(INDEX(I.Facility.P3IDNumber,479)="","",INDEX(I.Facility.P3IDNumber,479))</f>
        <v/>
      </c>
      <c r="G15491" s="51"/>
      <c r="H15491" s="46" t="str">
        <f>IF(AND(I.Developer.P3=TRUE,I.Facility.P3FacilityCount&gt;=479,F15491=""),"Incomplete","Complete")</f>
        <v>Complete</v>
      </c>
      <c r="I15491" s="48" t="s">
        <v>19856</v>
      </c>
    </row>
    <row r="15492" spans="2:9" ht="15" customHeight="1" x14ac:dyDescent="0.25">
      <c r="B15492" s="55" t="s">
        <v>282</v>
      </c>
      <c r="C15492" s="46">
        <v>480</v>
      </c>
      <c r="D15492" s="69" t="s">
        <v>29419</v>
      </c>
      <c r="E15492" s="51"/>
      <c r="F15492" s="114" t="str">
        <f>IF(INDEX(I.Facility.P3IDNumber,480)="","",INDEX(I.Facility.P3IDNumber,480))</f>
        <v/>
      </c>
      <c r="G15492" s="51"/>
      <c r="H15492" s="46" t="str">
        <f>IF(AND(I.Developer.P3=TRUE,I.Facility.P3FacilityCount&gt;=480,F15492=""),"Incomplete","Complete")</f>
        <v>Complete</v>
      </c>
      <c r="I15492" s="48" t="s">
        <v>19857</v>
      </c>
    </row>
    <row r="15493" spans="2:9" ht="15" customHeight="1" x14ac:dyDescent="0.25">
      <c r="B15493" s="55" t="s">
        <v>282</v>
      </c>
      <c r="C15493" s="46">
        <v>481</v>
      </c>
      <c r="D15493" s="69" t="s">
        <v>29419</v>
      </c>
      <c r="E15493" s="51"/>
      <c r="F15493" s="114" t="str">
        <f>IF(INDEX(I.Facility.P3IDNumber,481)="","",INDEX(I.Facility.P3IDNumber,481))</f>
        <v/>
      </c>
      <c r="G15493" s="51"/>
      <c r="H15493" s="46" t="str">
        <f>IF(AND(I.Developer.P3=TRUE,I.Facility.P3FacilityCount&gt;=481,F15493=""),"Incomplete","Complete")</f>
        <v>Complete</v>
      </c>
      <c r="I15493" s="48" t="s">
        <v>19858</v>
      </c>
    </row>
    <row r="15494" spans="2:9" ht="15" customHeight="1" x14ac:dyDescent="0.25">
      <c r="B15494" s="55" t="s">
        <v>282</v>
      </c>
      <c r="C15494" s="46">
        <v>482</v>
      </c>
      <c r="D15494" s="69" t="s">
        <v>29419</v>
      </c>
      <c r="E15494" s="51"/>
      <c r="F15494" s="114" t="str">
        <f>IF(INDEX(I.Facility.P3IDNumber,482)="","",INDEX(I.Facility.P3IDNumber,482))</f>
        <v/>
      </c>
      <c r="G15494" s="51"/>
      <c r="H15494" s="46" t="str">
        <f>IF(AND(I.Developer.P3=TRUE,I.Facility.P3FacilityCount&gt;=482,F15494=""),"Incomplete","Complete")</f>
        <v>Complete</v>
      </c>
      <c r="I15494" s="48" t="s">
        <v>19859</v>
      </c>
    </row>
    <row r="15495" spans="2:9" ht="15" customHeight="1" x14ac:dyDescent="0.25">
      <c r="B15495" s="55" t="s">
        <v>282</v>
      </c>
      <c r="C15495" s="46">
        <v>483</v>
      </c>
      <c r="D15495" s="69" t="s">
        <v>29419</v>
      </c>
      <c r="E15495" s="51"/>
      <c r="F15495" s="114" t="str">
        <f>IF(INDEX(I.Facility.P3IDNumber,483)="","",INDEX(I.Facility.P3IDNumber,483))</f>
        <v/>
      </c>
      <c r="G15495" s="51"/>
      <c r="H15495" s="46" t="str">
        <f>IF(AND(I.Developer.P3=TRUE,I.Facility.P3FacilityCount&gt;=483,F15495=""),"Incomplete","Complete")</f>
        <v>Complete</v>
      </c>
      <c r="I15495" s="48" t="s">
        <v>19860</v>
      </c>
    </row>
    <row r="15496" spans="2:9" ht="15" customHeight="1" x14ac:dyDescent="0.25">
      <c r="B15496" s="55" t="s">
        <v>282</v>
      </c>
      <c r="C15496" s="46">
        <v>484</v>
      </c>
      <c r="D15496" s="69" t="s">
        <v>29419</v>
      </c>
      <c r="E15496" s="51"/>
      <c r="F15496" s="114" t="str">
        <f>IF(INDEX(I.Facility.P3IDNumber,484)="","",INDEX(I.Facility.P3IDNumber,484))</f>
        <v/>
      </c>
      <c r="G15496" s="51"/>
      <c r="H15496" s="46" t="str">
        <f>IF(AND(I.Developer.P3=TRUE,I.Facility.P3FacilityCount&gt;=484,F15496=""),"Incomplete","Complete")</f>
        <v>Complete</v>
      </c>
      <c r="I15496" s="48" t="s">
        <v>19861</v>
      </c>
    </row>
    <row r="15497" spans="2:9" ht="15" customHeight="1" x14ac:dyDescent="0.25">
      <c r="B15497" s="55" t="s">
        <v>282</v>
      </c>
      <c r="C15497" s="46">
        <v>485</v>
      </c>
      <c r="D15497" s="69" t="s">
        <v>29419</v>
      </c>
      <c r="E15497" s="51"/>
      <c r="F15497" s="114" t="str">
        <f>IF(INDEX(I.Facility.P3IDNumber,485)="","",INDEX(I.Facility.P3IDNumber,485))</f>
        <v/>
      </c>
      <c r="G15497" s="51"/>
      <c r="H15497" s="46" t="str">
        <f>IF(AND(I.Developer.P3=TRUE,I.Facility.P3FacilityCount&gt;=485,F15497=""),"Incomplete","Complete")</f>
        <v>Complete</v>
      </c>
      <c r="I15497" s="48" t="s">
        <v>19862</v>
      </c>
    </row>
    <row r="15498" spans="2:9" ht="15" customHeight="1" x14ac:dyDescent="0.25">
      <c r="B15498" s="55" t="s">
        <v>282</v>
      </c>
      <c r="C15498" s="46">
        <v>486</v>
      </c>
      <c r="D15498" s="69" t="s">
        <v>29419</v>
      </c>
      <c r="E15498" s="51"/>
      <c r="F15498" s="114" t="str">
        <f>IF(INDEX(I.Facility.P3IDNumber,486)="","",INDEX(I.Facility.P3IDNumber,486))</f>
        <v/>
      </c>
      <c r="G15498" s="51"/>
      <c r="H15498" s="46" t="str">
        <f>IF(AND(I.Developer.P3=TRUE,I.Facility.P3FacilityCount&gt;=486,F15498=""),"Incomplete","Complete")</f>
        <v>Complete</v>
      </c>
      <c r="I15498" s="48" t="s">
        <v>19863</v>
      </c>
    </row>
    <row r="15499" spans="2:9" ht="15" customHeight="1" x14ac:dyDescent="0.25">
      <c r="B15499" s="55" t="s">
        <v>282</v>
      </c>
      <c r="C15499" s="46">
        <v>487</v>
      </c>
      <c r="D15499" s="69" t="s">
        <v>29419</v>
      </c>
      <c r="E15499" s="51"/>
      <c r="F15499" s="114" t="str">
        <f>IF(INDEX(I.Facility.P3IDNumber,487)="","",INDEX(I.Facility.P3IDNumber,487))</f>
        <v/>
      </c>
      <c r="G15499" s="51"/>
      <c r="H15499" s="46" t="str">
        <f>IF(AND(I.Developer.P3=TRUE,I.Facility.P3FacilityCount&gt;=487,F15499=""),"Incomplete","Complete")</f>
        <v>Complete</v>
      </c>
      <c r="I15499" s="48" t="s">
        <v>19864</v>
      </c>
    </row>
    <row r="15500" spans="2:9" ht="15" customHeight="1" x14ac:dyDescent="0.25">
      <c r="B15500" s="55" t="s">
        <v>282</v>
      </c>
      <c r="C15500" s="46">
        <v>488</v>
      </c>
      <c r="D15500" s="69" t="s">
        <v>29419</v>
      </c>
      <c r="E15500" s="51"/>
      <c r="F15500" s="114" t="str">
        <f>IF(INDEX(I.Facility.P3IDNumber,488)="","",INDEX(I.Facility.P3IDNumber,488))</f>
        <v/>
      </c>
      <c r="G15500" s="51"/>
      <c r="H15500" s="46" t="str">
        <f>IF(AND(I.Developer.P3=TRUE,I.Facility.P3FacilityCount&gt;=488,F15500=""),"Incomplete","Complete")</f>
        <v>Complete</v>
      </c>
      <c r="I15500" s="48" t="s">
        <v>19865</v>
      </c>
    </row>
    <row r="15501" spans="2:9" ht="15" customHeight="1" x14ac:dyDescent="0.25">
      <c r="B15501" s="55" t="s">
        <v>282</v>
      </c>
      <c r="C15501" s="46">
        <v>489</v>
      </c>
      <c r="D15501" s="69" t="s">
        <v>29419</v>
      </c>
      <c r="E15501" s="51"/>
      <c r="F15501" s="114" t="str">
        <f>IF(INDEX(I.Facility.P3IDNumber,489)="","",INDEX(I.Facility.P3IDNumber,489))</f>
        <v/>
      </c>
      <c r="G15501" s="51"/>
      <c r="H15501" s="46" t="str">
        <f>IF(AND(I.Developer.P3=TRUE,I.Facility.P3FacilityCount&gt;=489,F15501=""),"Incomplete","Complete")</f>
        <v>Complete</v>
      </c>
      <c r="I15501" s="48" t="s">
        <v>19866</v>
      </c>
    </row>
    <row r="15502" spans="2:9" ht="15" customHeight="1" x14ac:dyDescent="0.25">
      <c r="B15502" s="55" t="s">
        <v>282</v>
      </c>
      <c r="C15502" s="46">
        <v>490</v>
      </c>
      <c r="D15502" s="69" t="s">
        <v>29419</v>
      </c>
      <c r="E15502" s="51"/>
      <c r="F15502" s="114" t="str">
        <f>IF(INDEX(I.Facility.P3IDNumber,490)="","",INDEX(I.Facility.P3IDNumber,490))</f>
        <v/>
      </c>
      <c r="G15502" s="51"/>
      <c r="H15502" s="46" t="str">
        <f>IF(AND(I.Developer.P3=TRUE,I.Facility.P3FacilityCount&gt;=490,F15502=""),"Incomplete","Complete")</f>
        <v>Complete</v>
      </c>
      <c r="I15502" s="48" t="s">
        <v>19867</v>
      </c>
    </row>
    <row r="15503" spans="2:9" ht="15" customHeight="1" x14ac:dyDescent="0.25">
      <c r="B15503" s="55" t="s">
        <v>282</v>
      </c>
      <c r="C15503" s="46">
        <v>491</v>
      </c>
      <c r="D15503" s="69" t="s">
        <v>29419</v>
      </c>
      <c r="E15503" s="51"/>
      <c r="F15503" s="114" t="str">
        <f>IF(INDEX(I.Facility.P3IDNumber,491)="","",INDEX(I.Facility.P3IDNumber,491))</f>
        <v/>
      </c>
      <c r="G15503" s="51"/>
      <c r="H15503" s="46" t="str">
        <f>IF(AND(I.Developer.P3=TRUE,I.Facility.P3FacilityCount&gt;=491,F15503=""),"Incomplete","Complete")</f>
        <v>Complete</v>
      </c>
      <c r="I15503" s="48" t="s">
        <v>19868</v>
      </c>
    </row>
    <row r="15504" spans="2:9" ht="15" customHeight="1" x14ac:dyDescent="0.25">
      <c r="B15504" s="55" t="s">
        <v>282</v>
      </c>
      <c r="C15504" s="46">
        <v>492</v>
      </c>
      <c r="D15504" s="69" t="s">
        <v>29419</v>
      </c>
      <c r="E15504" s="51"/>
      <c r="F15504" s="114" t="str">
        <f>IF(INDEX(I.Facility.P3IDNumber,492)="","",INDEX(I.Facility.P3IDNumber,492))</f>
        <v/>
      </c>
      <c r="G15504" s="51"/>
      <c r="H15504" s="46" t="str">
        <f>IF(AND(I.Developer.P3=TRUE,I.Facility.P3FacilityCount&gt;=492,F15504=""),"Incomplete","Complete")</f>
        <v>Complete</v>
      </c>
      <c r="I15504" s="48" t="s">
        <v>19869</v>
      </c>
    </row>
    <row r="15505" spans="2:9" ht="15" customHeight="1" x14ac:dyDescent="0.25">
      <c r="B15505" s="55" t="s">
        <v>282</v>
      </c>
      <c r="C15505" s="46">
        <v>493</v>
      </c>
      <c r="D15505" s="69" t="s">
        <v>29419</v>
      </c>
      <c r="E15505" s="51"/>
      <c r="F15505" s="114" t="str">
        <f>IF(INDEX(I.Facility.P3IDNumber,493)="","",INDEX(I.Facility.P3IDNumber,493))</f>
        <v/>
      </c>
      <c r="G15505" s="51"/>
      <c r="H15505" s="46" t="str">
        <f>IF(AND(I.Developer.P3=TRUE,I.Facility.P3FacilityCount&gt;=493,F15505=""),"Incomplete","Complete")</f>
        <v>Complete</v>
      </c>
      <c r="I15505" s="48" t="s">
        <v>19870</v>
      </c>
    </row>
    <row r="15506" spans="2:9" ht="15" customHeight="1" x14ac:dyDescent="0.25">
      <c r="B15506" s="55" t="s">
        <v>282</v>
      </c>
      <c r="C15506" s="46">
        <v>494</v>
      </c>
      <c r="D15506" s="69" t="s">
        <v>29419</v>
      </c>
      <c r="E15506" s="51"/>
      <c r="F15506" s="114" t="str">
        <f>IF(INDEX(I.Facility.P3IDNumber,494)="","",INDEX(I.Facility.P3IDNumber,494))</f>
        <v/>
      </c>
      <c r="G15506" s="51"/>
      <c r="H15506" s="46" t="str">
        <f>IF(AND(I.Developer.P3=TRUE,I.Facility.P3FacilityCount&gt;=494,F15506=""),"Incomplete","Complete")</f>
        <v>Complete</v>
      </c>
      <c r="I15506" s="48" t="s">
        <v>19871</v>
      </c>
    </row>
    <row r="15507" spans="2:9" ht="15" customHeight="1" x14ac:dyDescent="0.25">
      <c r="B15507" s="55" t="s">
        <v>282</v>
      </c>
      <c r="C15507" s="46">
        <v>495</v>
      </c>
      <c r="D15507" s="69" t="s">
        <v>29419</v>
      </c>
      <c r="E15507" s="51"/>
      <c r="F15507" s="114" t="str">
        <f>IF(INDEX(I.Facility.P3IDNumber,495)="","",INDEX(I.Facility.P3IDNumber,495))</f>
        <v/>
      </c>
      <c r="G15507" s="51"/>
      <c r="H15507" s="46" t="str">
        <f>IF(AND(I.Developer.P3=TRUE,I.Facility.P3FacilityCount&gt;=495,F15507=""),"Incomplete","Complete")</f>
        <v>Complete</v>
      </c>
      <c r="I15507" s="48" t="s">
        <v>19872</v>
      </c>
    </row>
    <row r="15508" spans="2:9" ht="15" customHeight="1" x14ac:dyDescent="0.25">
      <c r="B15508" s="55" t="s">
        <v>282</v>
      </c>
      <c r="C15508" s="46">
        <v>496</v>
      </c>
      <c r="D15508" s="69" t="s">
        <v>29419</v>
      </c>
      <c r="E15508" s="51"/>
      <c r="F15508" s="114" t="str">
        <f>IF(INDEX(I.Facility.P3IDNumber,496)="","",INDEX(I.Facility.P3IDNumber,496))</f>
        <v/>
      </c>
      <c r="G15508" s="51"/>
      <c r="H15508" s="46" t="str">
        <f>IF(AND(I.Developer.P3=TRUE,I.Facility.P3FacilityCount&gt;=496,F15508=""),"Incomplete","Complete")</f>
        <v>Complete</v>
      </c>
      <c r="I15508" s="48" t="s">
        <v>19873</v>
      </c>
    </row>
    <row r="15509" spans="2:9" ht="15" customHeight="1" x14ac:dyDescent="0.25">
      <c r="B15509" s="55" t="s">
        <v>282</v>
      </c>
      <c r="C15509" s="46">
        <v>497</v>
      </c>
      <c r="D15509" s="69" t="s">
        <v>29419</v>
      </c>
      <c r="E15509" s="51"/>
      <c r="F15509" s="114" t="str">
        <f>IF(INDEX(I.Facility.P3IDNumber,497)="","",INDEX(I.Facility.P3IDNumber,497))</f>
        <v/>
      </c>
      <c r="G15509" s="51"/>
      <c r="H15509" s="46" t="str">
        <f>IF(AND(I.Developer.P3=TRUE,I.Facility.P3FacilityCount&gt;=497,F15509=""),"Incomplete","Complete")</f>
        <v>Complete</v>
      </c>
      <c r="I15509" s="48" t="s">
        <v>19874</v>
      </c>
    </row>
    <row r="15510" spans="2:9" ht="15" customHeight="1" x14ac:dyDescent="0.25">
      <c r="B15510" s="55" t="s">
        <v>282</v>
      </c>
      <c r="C15510" s="46">
        <v>498</v>
      </c>
      <c r="D15510" s="69" t="s">
        <v>29419</v>
      </c>
      <c r="E15510" s="51"/>
      <c r="F15510" s="114" t="str">
        <f>IF(INDEX(I.Facility.P3IDNumber,498)="","",INDEX(I.Facility.P3IDNumber,498))</f>
        <v/>
      </c>
      <c r="G15510" s="51"/>
      <c r="H15510" s="46" t="str">
        <f>IF(AND(I.Developer.P3=TRUE,I.Facility.P3FacilityCount&gt;=498,F15510=""),"Incomplete","Complete")</f>
        <v>Complete</v>
      </c>
      <c r="I15510" s="48" t="s">
        <v>19875</v>
      </c>
    </row>
    <row r="15511" spans="2:9" ht="15" customHeight="1" x14ac:dyDescent="0.25">
      <c r="B15511" s="55" t="s">
        <v>282</v>
      </c>
      <c r="C15511" s="46">
        <v>499</v>
      </c>
      <c r="D15511" s="69" t="s">
        <v>29419</v>
      </c>
      <c r="E15511" s="51"/>
      <c r="F15511" s="114" t="str">
        <f>IF(INDEX(I.Facility.P3IDNumber,499)="","",INDEX(I.Facility.P3IDNumber,499))</f>
        <v/>
      </c>
      <c r="G15511" s="51"/>
      <c r="H15511" s="46" t="str">
        <f>IF(AND(I.Developer.P3=TRUE,I.Facility.P3FacilityCount&gt;=499,F15511=""),"Incomplete","Complete")</f>
        <v>Complete</v>
      </c>
      <c r="I15511" s="48" t="s">
        <v>19876</v>
      </c>
    </row>
    <row r="15512" spans="2:9" ht="15" customHeight="1" x14ac:dyDescent="0.25">
      <c r="B15512" s="55" t="s">
        <v>282</v>
      </c>
      <c r="C15512" s="46">
        <v>500</v>
      </c>
      <c r="D15512" s="69" t="s">
        <v>29419</v>
      </c>
      <c r="E15512" s="51"/>
      <c r="F15512" s="114" t="str">
        <f>IF(INDEX(I.Facility.P3IDNumber,500)="","",INDEX(I.Facility.P3IDNumber,500))</f>
        <v/>
      </c>
      <c r="G15512" s="51"/>
      <c r="H15512" s="46" t="str">
        <f>IF(AND(I.Developer.P3=TRUE,I.Facility.P3FacilityCount&gt;=500,F15512=""),"Incomplete","Complete")</f>
        <v>Complete</v>
      </c>
      <c r="I15512" s="48" t="s">
        <v>19877</v>
      </c>
    </row>
    <row r="15513" spans="2:9" ht="15" customHeight="1" x14ac:dyDescent="0.25">
      <c r="B15513" s="55" t="s">
        <v>282</v>
      </c>
      <c r="C15513" s="46">
        <v>501</v>
      </c>
      <c r="D15513" s="69" t="s">
        <v>29419</v>
      </c>
      <c r="E15513" s="51"/>
      <c r="F15513" s="114" t="str">
        <f>IF(INDEX(I.Facility.P3IDNumber,501)="","",INDEX(I.Facility.P3IDNumber,501))</f>
        <v/>
      </c>
      <c r="G15513" s="51"/>
      <c r="H15513" s="46" t="str">
        <f>IF(AND(I.Developer.P3=TRUE,I.Facility.P3FacilityCount&gt;=501,F15513=""),"Incomplete","Complete")</f>
        <v>Complete</v>
      </c>
      <c r="I15513" s="48" t="s">
        <v>19878</v>
      </c>
    </row>
    <row r="15514" spans="2:9" ht="15" customHeight="1" x14ac:dyDescent="0.25">
      <c r="B15514" s="55" t="s">
        <v>282</v>
      </c>
      <c r="C15514" s="46">
        <v>502</v>
      </c>
      <c r="D15514" s="69" t="s">
        <v>29419</v>
      </c>
      <c r="E15514" s="51"/>
      <c r="F15514" s="114" t="str">
        <f>IF(INDEX(I.Facility.P3IDNumber,502)="","",INDEX(I.Facility.P3IDNumber,502))</f>
        <v/>
      </c>
      <c r="G15514" s="51"/>
      <c r="H15514" s="46" t="str">
        <f>IF(AND(I.Developer.P3=TRUE,I.Facility.P3FacilityCount&gt;=502,F15514=""),"Incomplete","Complete")</f>
        <v>Complete</v>
      </c>
      <c r="I15514" s="48" t="s">
        <v>19879</v>
      </c>
    </row>
    <row r="15515" spans="2:9" ht="15" customHeight="1" x14ac:dyDescent="0.25">
      <c r="B15515" s="55" t="s">
        <v>282</v>
      </c>
      <c r="C15515" s="46">
        <v>503</v>
      </c>
      <c r="D15515" s="69" t="s">
        <v>29419</v>
      </c>
      <c r="E15515" s="51"/>
      <c r="F15515" s="114" t="str">
        <f>IF(INDEX(I.Facility.P3IDNumber,503)="","",INDEX(I.Facility.P3IDNumber,503))</f>
        <v/>
      </c>
      <c r="G15515" s="51"/>
      <c r="H15515" s="46" t="str">
        <f>IF(AND(I.Developer.P3=TRUE,I.Facility.P3FacilityCount&gt;=503,F15515=""),"Incomplete","Complete")</f>
        <v>Complete</v>
      </c>
      <c r="I15515" s="48" t="s">
        <v>19880</v>
      </c>
    </row>
    <row r="15516" spans="2:9" ht="15" customHeight="1" x14ac:dyDescent="0.25">
      <c r="B15516" s="55" t="s">
        <v>282</v>
      </c>
      <c r="C15516" s="46">
        <v>504</v>
      </c>
      <c r="D15516" s="69" t="s">
        <v>29419</v>
      </c>
      <c r="E15516" s="51"/>
      <c r="F15516" s="114" t="str">
        <f>IF(INDEX(I.Facility.P3IDNumber,504)="","",INDEX(I.Facility.P3IDNumber,504))</f>
        <v/>
      </c>
      <c r="G15516" s="51"/>
      <c r="H15516" s="46" t="str">
        <f>IF(AND(I.Developer.P3=TRUE,I.Facility.P3FacilityCount&gt;=504,F15516=""),"Incomplete","Complete")</f>
        <v>Complete</v>
      </c>
      <c r="I15516" s="48" t="s">
        <v>19881</v>
      </c>
    </row>
    <row r="15517" spans="2:9" ht="15" customHeight="1" x14ac:dyDescent="0.25">
      <c r="B15517" s="55" t="s">
        <v>282</v>
      </c>
      <c r="C15517" s="46">
        <v>505</v>
      </c>
      <c r="D15517" s="69" t="s">
        <v>29419</v>
      </c>
      <c r="E15517" s="51"/>
      <c r="F15517" s="114" t="str">
        <f>IF(INDEX(I.Facility.P3IDNumber,505)="","",INDEX(I.Facility.P3IDNumber,505))</f>
        <v/>
      </c>
      <c r="G15517" s="51"/>
      <c r="H15517" s="46" t="str">
        <f>IF(AND(I.Developer.P3=TRUE,I.Facility.P3FacilityCount&gt;=505,F15517=""),"Incomplete","Complete")</f>
        <v>Complete</v>
      </c>
      <c r="I15517" s="48" t="s">
        <v>19882</v>
      </c>
    </row>
    <row r="15518" spans="2:9" ht="15" customHeight="1" x14ac:dyDescent="0.25">
      <c r="B15518" s="55" t="s">
        <v>282</v>
      </c>
      <c r="C15518" s="46">
        <v>506</v>
      </c>
      <c r="D15518" s="69" t="s">
        <v>29419</v>
      </c>
      <c r="E15518" s="51"/>
      <c r="F15518" s="114" t="str">
        <f>IF(INDEX(I.Facility.P3IDNumber,506)="","",INDEX(I.Facility.P3IDNumber,506))</f>
        <v/>
      </c>
      <c r="G15518" s="51"/>
      <c r="H15518" s="46" t="str">
        <f>IF(AND(I.Developer.P3=TRUE,I.Facility.P3FacilityCount&gt;=506,F15518=""),"Incomplete","Complete")</f>
        <v>Complete</v>
      </c>
      <c r="I15518" s="48" t="s">
        <v>19883</v>
      </c>
    </row>
    <row r="15519" spans="2:9" ht="15" customHeight="1" x14ac:dyDescent="0.25">
      <c r="B15519" s="55" t="s">
        <v>282</v>
      </c>
      <c r="C15519" s="46">
        <v>507</v>
      </c>
      <c r="D15519" s="69" t="s">
        <v>29419</v>
      </c>
      <c r="E15519" s="51"/>
      <c r="F15519" s="114" t="str">
        <f>IF(INDEX(I.Facility.P3IDNumber,507)="","",INDEX(I.Facility.P3IDNumber,507))</f>
        <v/>
      </c>
      <c r="G15519" s="51"/>
      <c r="H15519" s="46" t="str">
        <f>IF(AND(I.Developer.P3=TRUE,I.Facility.P3FacilityCount&gt;=507,F15519=""),"Incomplete","Complete")</f>
        <v>Complete</v>
      </c>
      <c r="I15519" s="48" t="s">
        <v>19884</v>
      </c>
    </row>
    <row r="15520" spans="2:9" ht="15" customHeight="1" x14ac:dyDescent="0.25">
      <c r="B15520" s="55" t="s">
        <v>282</v>
      </c>
      <c r="C15520" s="46">
        <v>508</v>
      </c>
      <c r="D15520" s="69" t="s">
        <v>29419</v>
      </c>
      <c r="E15520" s="51"/>
      <c r="F15520" s="114" t="str">
        <f>IF(INDEX(I.Facility.P3IDNumber,508)="","",INDEX(I.Facility.P3IDNumber,508))</f>
        <v/>
      </c>
      <c r="G15520" s="51"/>
      <c r="H15520" s="46" t="str">
        <f>IF(AND(I.Developer.P3=TRUE,I.Facility.P3FacilityCount&gt;=508,F15520=""),"Incomplete","Complete")</f>
        <v>Complete</v>
      </c>
      <c r="I15520" s="48" t="s">
        <v>19885</v>
      </c>
    </row>
    <row r="15521" spans="2:9" ht="15" customHeight="1" x14ac:dyDescent="0.25">
      <c r="B15521" s="55" t="s">
        <v>282</v>
      </c>
      <c r="C15521" s="46">
        <v>509</v>
      </c>
      <c r="D15521" s="69" t="s">
        <v>29419</v>
      </c>
      <c r="E15521" s="51"/>
      <c r="F15521" s="114" t="str">
        <f>IF(INDEX(I.Facility.P3IDNumber,509)="","",INDEX(I.Facility.P3IDNumber,509))</f>
        <v/>
      </c>
      <c r="G15521" s="51"/>
      <c r="H15521" s="46" t="str">
        <f>IF(AND(I.Developer.P3=TRUE,I.Facility.P3FacilityCount&gt;=509,F15521=""),"Incomplete","Complete")</f>
        <v>Complete</v>
      </c>
      <c r="I15521" s="48" t="s">
        <v>19886</v>
      </c>
    </row>
    <row r="15522" spans="2:9" ht="15" customHeight="1" x14ac:dyDescent="0.25">
      <c r="B15522" s="55" t="s">
        <v>282</v>
      </c>
      <c r="C15522" s="46">
        <v>510</v>
      </c>
      <c r="D15522" s="69" t="s">
        <v>29419</v>
      </c>
      <c r="E15522" s="51"/>
      <c r="F15522" s="114" t="str">
        <f>IF(INDEX(I.Facility.P3IDNumber,510)="","",INDEX(I.Facility.P3IDNumber,510))</f>
        <v/>
      </c>
      <c r="G15522" s="51"/>
      <c r="H15522" s="46" t="str">
        <f>IF(AND(I.Developer.P3=TRUE,I.Facility.P3FacilityCount&gt;=510,F15522=""),"Incomplete","Complete")</f>
        <v>Complete</v>
      </c>
      <c r="I15522" s="48" t="s">
        <v>19887</v>
      </c>
    </row>
    <row r="15523" spans="2:9" ht="15" customHeight="1" x14ac:dyDescent="0.25">
      <c r="B15523" s="55" t="s">
        <v>282</v>
      </c>
      <c r="C15523" s="46">
        <v>511</v>
      </c>
      <c r="D15523" s="69" t="s">
        <v>29419</v>
      </c>
      <c r="E15523" s="51"/>
      <c r="F15523" s="114" t="str">
        <f>IF(INDEX(I.Facility.P3IDNumber,511)="","",INDEX(I.Facility.P3IDNumber,511))</f>
        <v/>
      </c>
      <c r="G15523" s="51"/>
      <c r="H15523" s="46" t="str">
        <f>IF(AND(I.Developer.P3=TRUE,I.Facility.P3FacilityCount&gt;=511,F15523=""),"Incomplete","Complete")</f>
        <v>Complete</v>
      </c>
      <c r="I15523" s="48" t="s">
        <v>19888</v>
      </c>
    </row>
    <row r="15524" spans="2:9" ht="15" customHeight="1" x14ac:dyDescent="0.25">
      <c r="B15524" s="55" t="s">
        <v>282</v>
      </c>
      <c r="C15524" s="46">
        <v>512</v>
      </c>
      <c r="D15524" s="69" t="s">
        <v>29419</v>
      </c>
      <c r="E15524" s="51"/>
      <c r="F15524" s="114" t="str">
        <f>IF(INDEX(I.Facility.P3IDNumber,512)="","",INDEX(I.Facility.P3IDNumber,512))</f>
        <v/>
      </c>
      <c r="G15524" s="51"/>
      <c r="H15524" s="46" t="str">
        <f>IF(AND(I.Developer.P3=TRUE,I.Facility.P3FacilityCount&gt;=512,F15524=""),"Incomplete","Complete")</f>
        <v>Complete</v>
      </c>
      <c r="I15524" s="48" t="s">
        <v>19889</v>
      </c>
    </row>
    <row r="15525" spans="2:9" ht="15" customHeight="1" x14ac:dyDescent="0.25">
      <c r="B15525" s="55" t="s">
        <v>282</v>
      </c>
      <c r="C15525" s="46">
        <v>513</v>
      </c>
      <c r="D15525" s="69" t="s">
        <v>29419</v>
      </c>
      <c r="E15525" s="51"/>
      <c r="F15525" s="114" t="str">
        <f>IF(INDEX(I.Facility.P3IDNumber,513)="","",INDEX(I.Facility.P3IDNumber,513))</f>
        <v/>
      </c>
      <c r="G15525" s="51"/>
      <c r="H15525" s="46" t="str">
        <f>IF(AND(I.Developer.P3=TRUE,I.Facility.P3FacilityCount&gt;=513,F15525=""),"Incomplete","Complete")</f>
        <v>Complete</v>
      </c>
      <c r="I15525" s="48" t="s">
        <v>19890</v>
      </c>
    </row>
    <row r="15526" spans="2:9" ht="15" customHeight="1" x14ac:dyDescent="0.25">
      <c r="B15526" s="55" t="s">
        <v>282</v>
      </c>
      <c r="C15526" s="46">
        <v>514</v>
      </c>
      <c r="D15526" s="69" t="s">
        <v>29419</v>
      </c>
      <c r="E15526" s="51"/>
      <c r="F15526" s="114" t="str">
        <f>IF(INDEX(I.Facility.P3IDNumber,514)="","",INDEX(I.Facility.P3IDNumber,514))</f>
        <v/>
      </c>
      <c r="G15526" s="51"/>
      <c r="H15526" s="46" t="str">
        <f>IF(AND(I.Developer.P3=TRUE,I.Facility.P3FacilityCount&gt;=514,F15526=""),"Incomplete","Complete")</f>
        <v>Complete</v>
      </c>
      <c r="I15526" s="48" t="s">
        <v>19891</v>
      </c>
    </row>
    <row r="15527" spans="2:9" ht="15" customHeight="1" x14ac:dyDescent="0.25">
      <c r="B15527" s="55" t="s">
        <v>282</v>
      </c>
      <c r="C15527" s="46">
        <v>515</v>
      </c>
      <c r="D15527" s="69" t="s">
        <v>29419</v>
      </c>
      <c r="E15527" s="51"/>
      <c r="F15527" s="114" t="str">
        <f>IF(INDEX(I.Facility.P3IDNumber,515)="","",INDEX(I.Facility.P3IDNumber,515))</f>
        <v/>
      </c>
      <c r="G15527" s="51"/>
      <c r="H15527" s="46" t="str">
        <f>IF(AND(I.Developer.P3=TRUE,I.Facility.P3FacilityCount&gt;=515,F15527=""),"Incomplete","Complete")</f>
        <v>Complete</v>
      </c>
      <c r="I15527" s="48" t="s">
        <v>19892</v>
      </c>
    </row>
    <row r="15528" spans="2:9" ht="15" customHeight="1" x14ac:dyDescent="0.25">
      <c r="B15528" s="55" t="s">
        <v>282</v>
      </c>
      <c r="C15528" s="46">
        <v>516</v>
      </c>
      <c r="D15528" s="69" t="s">
        <v>29419</v>
      </c>
      <c r="E15528" s="51"/>
      <c r="F15528" s="114" t="str">
        <f>IF(INDEX(I.Facility.P3IDNumber,516)="","",INDEX(I.Facility.P3IDNumber,516))</f>
        <v/>
      </c>
      <c r="G15528" s="51"/>
      <c r="H15528" s="46" t="str">
        <f>IF(AND(I.Developer.P3=TRUE,I.Facility.P3FacilityCount&gt;=516,F15528=""),"Incomplete","Complete")</f>
        <v>Complete</v>
      </c>
      <c r="I15528" s="48" t="s">
        <v>19893</v>
      </c>
    </row>
    <row r="15529" spans="2:9" ht="15" customHeight="1" x14ac:dyDescent="0.25">
      <c r="B15529" s="55" t="s">
        <v>282</v>
      </c>
      <c r="C15529" s="46">
        <v>517</v>
      </c>
      <c r="D15529" s="69" t="s">
        <v>29419</v>
      </c>
      <c r="E15529" s="51"/>
      <c r="F15529" s="114" t="str">
        <f>IF(INDEX(I.Facility.P3IDNumber,517)="","",INDEX(I.Facility.P3IDNumber,517))</f>
        <v/>
      </c>
      <c r="G15529" s="51"/>
      <c r="H15529" s="46" t="str">
        <f>IF(AND(I.Developer.P3=TRUE,I.Facility.P3FacilityCount&gt;=517,F15529=""),"Incomplete","Complete")</f>
        <v>Complete</v>
      </c>
      <c r="I15529" s="48" t="s">
        <v>19894</v>
      </c>
    </row>
    <row r="15530" spans="2:9" ht="15" customHeight="1" x14ac:dyDescent="0.25">
      <c r="B15530" s="55" t="s">
        <v>282</v>
      </c>
      <c r="C15530" s="46">
        <v>518</v>
      </c>
      <c r="D15530" s="69" t="s">
        <v>29419</v>
      </c>
      <c r="E15530" s="51"/>
      <c r="F15530" s="114" t="str">
        <f>IF(INDEX(I.Facility.P3IDNumber,518)="","",INDEX(I.Facility.P3IDNumber,518))</f>
        <v/>
      </c>
      <c r="G15530" s="51"/>
      <c r="H15530" s="46" t="str">
        <f>IF(AND(I.Developer.P3=TRUE,I.Facility.P3FacilityCount&gt;=518,F15530=""),"Incomplete","Complete")</f>
        <v>Complete</v>
      </c>
      <c r="I15530" s="48" t="s">
        <v>19895</v>
      </c>
    </row>
    <row r="15531" spans="2:9" ht="15" customHeight="1" x14ac:dyDescent="0.25">
      <c r="B15531" s="55" t="s">
        <v>282</v>
      </c>
      <c r="C15531" s="46">
        <v>519</v>
      </c>
      <c r="D15531" s="69" t="s">
        <v>29419</v>
      </c>
      <c r="E15531" s="51"/>
      <c r="F15531" s="114" t="str">
        <f>IF(INDEX(I.Facility.P3IDNumber,519)="","",INDEX(I.Facility.P3IDNumber,519))</f>
        <v/>
      </c>
      <c r="G15531" s="51"/>
      <c r="H15531" s="46" t="str">
        <f>IF(AND(I.Developer.P3=TRUE,I.Facility.P3FacilityCount&gt;=519,F15531=""),"Incomplete","Complete")</f>
        <v>Complete</v>
      </c>
      <c r="I15531" s="48" t="s">
        <v>19896</v>
      </c>
    </row>
    <row r="15532" spans="2:9" ht="15" customHeight="1" x14ac:dyDescent="0.25">
      <c r="B15532" s="55" t="s">
        <v>282</v>
      </c>
      <c r="C15532" s="46">
        <v>520</v>
      </c>
      <c r="D15532" s="69" t="s">
        <v>29419</v>
      </c>
      <c r="E15532" s="51"/>
      <c r="F15532" s="114" t="str">
        <f>IF(INDEX(I.Facility.P3IDNumber,520)="","",INDEX(I.Facility.P3IDNumber,520))</f>
        <v/>
      </c>
      <c r="G15532" s="51"/>
      <c r="H15532" s="46" t="str">
        <f>IF(AND(I.Developer.P3=TRUE,I.Facility.P3FacilityCount&gt;=520,F15532=""),"Incomplete","Complete")</f>
        <v>Complete</v>
      </c>
      <c r="I15532" s="48" t="s">
        <v>19897</v>
      </c>
    </row>
    <row r="15533" spans="2:9" ht="15" customHeight="1" x14ac:dyDescent="0.25">
      <c r="B15533" s="55" t="s">
        <v>282</v>
      </c>
      <c r="C15533" s="46">
        <v>521</v>
      </c>
      <c r="D15533" s="69" t="s">
        <v>29419</v>
      </c>
      <c r="E15533" s="51"/>
      <c r="F15533" s="114" t="str">
        <f>IF(INDEX(I.Facility.P3IDNumber,521)="","",INDEX(I.Facility.P3IDNumber,521))</f>
        <v/>
      </c>
      <c r="G15533" s="51"/>
      <c r="H15533" s="46" t="str">
        <f>IF(AND(I.Developer.P3=TRUE,I.Facility.P3FacilityCount&gt;=521,F15533=""),"Incomplete","Complete")</f>
        <v>Complete</v>
      </c>
      <c r="I15533" s="48" t="s">
        <v>19898</v>
      </c>
    </row>
    <row r="15534" spans="2:9" ht="15" customHeight="1" x14ac:dyDescent="0.25">
      <c r="B15534" s="55" t="s">
        <v>282</v>
      </c>
      <c r="C15534" s="46">
        <v>522</v>
      </c>
      <c r="D15534" s="69" t="s">
        <v>29419</v>
      </c>
      <c r="E15534" s="51"/>
      <c r="F15534" s="114" t="str">
        <f>IF(INDEX(I.Facility.P3IDNumber,522)="","",INDEX(I.Facility.P3IDNumber,522))</f>
        <v/>
      </c>
      <c r="G15534" s="51"/>
      <c r="H15534" s="46" t="str">
        <f>IF(AND(I.Developer.P3=TRUE,I.Facility.P3FacilityCount&gt;=522,F15534=""),"Incomplete","Complete")</f>
        <v>Complete</v>
      </c>
      <c r="I15534" s="48" t="s">
        <v>19899</v>
      </c>
    </row>
    <row r="15535" spans="2:9" ht="15" customHeight="1" x14ac:dyDescent="0.25">
      <c r="B15535" s="55" t="s">
        <v>282</v>
      </c>
      <c r="C15535" s="46">
        <v>523</v>
      </c>
      <c r="D15535" s="69" t="s">
        <v>29419</v>
      </c>
      <c r="E15535" s="51"/>
      <c r="F15535" s="114" t="str">
        <f>IF(INDEX(I.Facility.P3IDNumber,523)="","",INDEX(I.Facility.P3IDNumber,523))</f>
        <v/>
      </c>
      <c r="G15535" s="51"/>
      <c r="H15535" s="46" t="str">
        <f>IF(AND(I.Developer.P3=TRUE,I.Facility.P3FacilityCount&gt;=523,F15535=""),"Incomplete","Complete")</f>
        <v>Complete</v>
      </c>
      <c r="I15535" s="48" t="s">
        <v>19900</v>
      </c>
    </row>
    <row r="15536" spans="2:9" ht="15" customHeight="1" x14ac:dyDescent="0.25">
      <c r="B15536" s="55" t="s">
        <v>282</v>
      </c>
      <c r="C15536" s="46">
        <v>524</v>
      </c>
      <c r="D15536" s="69" t="s">
        <v>29419</v>
      </c>
      <c r="E15536" s="51"/>
      <c r="F15536" s="114" t="str">
        <f>IF(INDEX(I.Facility.P3IDNumber,524)="","",INDEX(I.Facility.P3IDNumber,524))</f>
        <v/>
      </c>
      <c r="G15536" s="51"/>
      <c r="H15536" s="46" t="str">
        <f>IF(AND(I.Developer.P3=TRUE,I.Facility.P3FacilityCount&gt;=524,F15536=""),"Incomplete","Complete")</f>
        <v>Complete</v>
      </c>
      <c r="I15536" s="48" t="s">
        <v>19901</v>
      </c>
    </row>
    <row r="15537" spans="2:9" ht="15" customHeight="1" x14ac:dyDescent="0.25">
      <c r="B15537" s="55" t="s">
        <v>282</v>
      </c>
      <c r="C15537" s="46">
        <v>525</v>
      </c>
      <c r="D15537" s="69" t="s">
        <v>29419</v>
      </c>
      <c r="E15537" s="51"/>
      <c r="F15537" s="114" t="str">
        <f>IF(INDEX(I.Facility.P3IDNumber,525)="","",INDEX(I.Facility.P3IDNumber,525))</f>
        <v/>
      </c>
      <c r="G15537" s="51"/>
      <c r="H15537" s="46" t="str">
        <f>IF(AND(I.Developer.P3=TRUE,I.Facility.P3FacilityCount&gt;=525,F15537=""),"Incomplete","Complete")</f>
        <v>Complete</v>
      </c>
      <c r="I15537" s="48" t="s">
        <v>19902</v>
      </c>
    </row>
    <row r="15538" spans="2:9" ht="15" customHeight="1" x14ac:dyDescent="0.25">
      <c r="B15538" s="55" t="s">
        <v>282</v>
      </c>
      <c r="C15538" s="46">
        <v>526</v>
      </c>
      <c r="D15538" s="69" t="s">
        <v>29419</v>
      </c>
      <c r="E15538" s="51"/>
      <c r="F15538" s="114" t="str">
        <f>IF(INDEX(I.Facility.P3IDNumber,526)="","",INDEX(I.Facility.P3IDNumber,526))</f>
        <v/>
      </c>
      <c r="G15538" s="51"/>
      <c r="H15538" s="46" t="str">
        <f>IF(AND(I.Developer.P3=TRUE,I.Facility.P3FacilityCount&gt;=526,F15538=""),"Incomplete","Complete")</f>
        <v>Complete</v>
      </c>
      <c r="I15538" s="48" t="s">
        <v>19903</v>
      </c>
    </row>
    <row r="15539" spans="2:9" ht="15" customHeight="1" x14ac:dyDescent="0.25">
      <c r="B15539" s="55" t="s">
        <v>282</v>
      </c>
      <c r="C15539" s="46">
        <v>527</v>
      </c>
      <c r="D15539" s="69" t="s">
        <v>29419</v>
      </c>
      <c r="E15539" s="51"/>
      <c r="F15539" s="114" t="str">
        <f>IF(INDEX(I.Facility.P3IDNumber,527)="","",INDEX(I.Facility.P3IDNumber,527))</f>
        <v/>
      </c>
      <c r="G15539" s="51"/>
      <c r="H15539" s="46" t="str">
        <f>IF(AND(I.Developer.P3=TRUE,I.Facility.P3FacilityCount&gt;=527,F15539=""),"Incomplete","Complete")</f>
        <v>Complete</v>
      </c>
      <c r="I15539" s="48" t="s">
        <v>19904</v>
      </c>
    </row>
    <row r="15540" spans="2:9" ht="15" customHeight="1" x14ac:dyDescent="0.25">
      <c r="B15540" s="55" t="s">
        <v>282</v>
      </c>
      <c r="C15540" s="46">
        <v>528</v>
      </c>
      <c r="D15540" s="69" t="s">
        <v>29419</v>
      </c>
      <c r="E15540" s="51"/>
      <c r="F15540" s="114" t="str">
        <f>IF(INDEX(I.Facility.P3IDNumber,528)="","",INDEX(I.Facility.P3IDNumber,528))</f>
        <v/>
      </c>
      <c r="G15540" s="51"/>
      <c r="H15540" s="46" t="str">
        <f>IF(AND(I.Developer.P3=TRUE,I.Facility.P3FacilityCount&gt;=528,F15540=""),"Incomplete","Complete")</f>
        <v>Complete</v>
      </c>
      <c r="I15540" s="48" t="s">
        <v>19905</v>
      </c>
    </row>
    <row r="15541" spans="2:9" ht="15" customHeight="1" x14ac:dyDescent="0.25">
      <c r="B15541" s="55" t="s">
        <v>282</v>
      </c>
      <c r="C15541" s="46">
        <v>529</v>
      </c>
      <c r="D15541" s="69" t="s">
        <v>29419</v>
      </c>
      <c r="E15541" s="51"/>
      <c r="F15541" s="114" t="str">
        <f>IF(INDEX(I.Facility.P3IDNumber,529)="","",INDEX(I.Facility.P3IDNumber,529))</f>
        <v/>
      </c>
      <c r="G15541" s="51"/>
      <c r="H15541" s="46" t="str">
        <f>IF(AND(I.Developer.P3=TRUE,I.Facility.P3FacilityCount&gt;=529,F15541=""),"Incomplete","Complete")</f>
        <v>Complete</v>
      </c>
      <c r="I15541" s="48" t="s">
        <v>19906</v>
      </c>
    </row>
    <row r="15542" spans="2:9" ht="15" customHeight="1" x14ac:dyDescent="0.25">
      <c r="B15542" s="55" t="s">
        <v>282</v>
      </c>
      <c r="C15542" s="46">
        <v>530</v>
      </c>
      <c r="D15542" s="69" t="s">
        <v>29419</v>
      </c>
      <c r="E15542" s="51"/>
      <c r="F15542" s="114" t="str">
        <f>IF(INDEX(I.Facility.P3IDNumber,530)="","",INDEX(I.Facility.P3IDNumber,530))</f>
        <v/>
      </c>
      <c r="G15542" s="51"/>
      <c r="H15542" s="46" t="str">
        <f>IF(AND(I.Developer.P3=TRUE,I.Facility.P3FacilityCount&gt;=530,F15542=""),"Incomplete","Complete")</f>
        <v>Complete</v>
      </c>
      <c r="I15542" s="48" t="s">
        <v>19907</v>
      </c>
    </row>
    <row r="15543" spans="2:9" ht="15" customHeight="1" x14ac:dyDescent="0.25">
      <c r="B15543" s="55" t="s">
        <v>282</v>
      </c>
      <c r="C15543" s="46">
        <v>531</v>
      </c>
      <c r="D15543" s="69" t="s">
        <v>29419</v>
      </c>
      <c r="E15543" s="51"/>
      <c r="F15543" s="114" t="str">
        <f>IF(INDEX(I.Facility.P3IDNumber,531)="","",INDEX(I.Facility.P3IDNumber,531))</f>
        <v/>
      </c>
      <c r="G15543" s="51"/>
      <c r="H15543" s="46" t="str">
        <f>IF(AND(I.Developer.P3=TRUE,I.Facility.P3FacilityCount&gt;=531,F15543=""),"Incomplete","Complete")</f>
        <v>Complete</v>
      </c>
      <c r="I15543" s="48" t="s">
        <v>19908</v>
      </c>
    </row>
    <row r="15544" spans="2:9" ht="15" customHeight="1" x14ac:dyDescent="0.25">
      <c r="B15544" s="55" t="s">
        <v>282</v>
      </c>
      <c r="C15544" s="46">
        <v>532</v>
      </c>
      <c r="D15544" s="69" t="s">
        <v>29419</v>
      </c>
      <c r="E15544" s="51"/>
      <c r="F15544" s="114" t="str">
        <f>IF(INDEX(I.Facility.P3IDNumber,532)="","",INDEX(I.Facility.P3IDNumber,532))</f>
        <v/>
      </c>
      <c r="G15544" s="51"/>
      <c r="H15544" s="46" t="str">
        <f>IF(AND(I.Developer.P3=TRUE,I.Facility.P3FacilityCount&gt;=532,F15544=""),"Incomplete","Complete")</f>
        <v>Complete</v>
      </c>
      <c r="I15544" s="48" t="s">
        <v>19909</v>
      </c>
    </row>
    <row r="15545" spans="2:9" ht="15" customHeight="1" x14ac:dyDescent="0.25">
      <c r="B15545" s="55" t="s">
        <v>282</v>
      </c>
      <c r="C15545" s="46">
        <v>533</v>
      </c>
      <c r="D15545" s="69" t="s">
        <v>29419</v>
      </c>
      <c r="E15545" s="51"/>
      <c r="F15545" s="114" t="str">
        <f>IF(INDEX(I.Facility.P3IDNumber,533)="","",INDEX(I.Facility.P3IDNumber,533))</f>
        <v/>
      </c>
      <c r="G15545" s="51"/>
      <c r="H15545" s="46" t="str">
        <f>IF(AND(I.Developer.P3=TRUE,I.Facility.P3FacilityCount&gt;=533,F15545=""),"Incomplete","Complete")</f>
        <v>Complete</v>
      </c>
      <c r="I15545" s="48" t="s">
        <v>19910</v>
      </c>
    </row>
    <row r="15546" spans="2:9" ht="15" customHeight="1" x14ac:dyDescent="0.25">
      <c r="B15546" s="55" t="s">
        <v>282</v>
      </c>
      <c r="C15546" s="46">
        <v>534</v>
      </c>
      <c r="D15546" s="69" t="s">
        <v>29419</v>
      </c>
      <c r="E15546" s="51"/>
      <c r="F15546" s="114" t="str">
        <f>IF(INDEX(I.Facility.P3IDNumber,534)="","",INDEX(I.Facility.P3IDNumber,534))</f>
        <v/>
      </c>
      <c r="G15546" s="51"/>
      <c r="H15546" s="46" t="str">
        <f>IF(AND(I.Developer.P3=TRUE,I.Facility.P3FacilityCount&gt;=534,F15546=""),"Incomplete","Complete")</f>
        <v>Complete</v>
      </c>
      <c r="I15546" s="48" t="s">
        <v>19911</v>
      </c>
    </row>
    <row r="15547" spans="2:9" ht="15" customHeight="1" x14ac:dyDescent="0.25">
      <c r="B15547" s="55" t="s">
        <v>282</v>
      </c>
      <c r="C15547" s="46">
        <v>535</v>
      </c>
      <c r="D15547" s="69" t="s">
        <v>29419</v>
      </c>
      <c r="E15547" s="51"/>
      <c r="F15547" s="114" t="str">
        <f>IF(INDEX(I.Facility.P3IDNumber,535)="","",INDEX(I.Facility.P3IDNumber,535))</f>
        <v/>
      </c>
      <c r="G15547" s="51"/>
      <c r="H15547" s="46" t="str">
        <f>IF(AND(I.Developer.P3=TRUE,I.Facility.P3FacilityCount&gt;=535,F15547=""),"Incomplete","Complete")</f>
        <v>Complete</v>
      </c>
      <c r="I15547" s="48" t="s">
        <v>19912</v>
      </c>
    </row>
    <row r="15548" spans="2:9" ht="15" customHeight="1" x14ac:dyDescent="0.25">
      <c r="B15548" s="55" t="s">
        <v>282</v>
      </c>
      <c r="C15548" s="46">
        <v>536</v>
      </c>
      <c r="D15548" s="69" t="s">
        <v>29419</v>
      </c>
      <c r="E15548" s="51"/>
      <c r="F15548" s="114" t="str">
        <f>IF(INDEX(I.Facility.P3IDNumber,536)="","",INDEX(I.Facility.P3IDNumber,536))</f>
        <v/>
      </c>
      <c r="G15548" s="51"/>
      <c r="H15548" s="46" t="str">
        <f>IF(AND(I.Developer.P3=TRUE,I.Facility.P3FacilityCount&gt;=536,F15548=""),"Incomplete","Complete")</f>
        <v>Complete</v>
      </c>
      <c r="I15548" s="48" t="s">
        <v>19913</v>
      </c>
    </row>
    <row r="15549" spans="2:9" ht="15" customHeight="1" x14ac:dyDescent="0.25">
      <c r="B15549" s="55" t="s">
        <v>282</v>
      </c>
      <c r="C15549" s="46">
        <v>537</v>
      </c>
      <c r="D15549" s="69" t="s">
        <v>29419</v>
      </c>
      <c r="E15549" s="51"/>
      <c r="F15549" s="114" t="str">
        <f>IF(INDEX(I.Facility.P3IDNumber,537)="","",INDEX(I.Facility.P3IDNumber,537))</f>
        <v/>
      </c>
      <c r="G15549" s="51"/>
      <c r="H15549" s="46" t="str">
        <f>IF(AND(I.Developer.P3=TRUE,I.Facility.P3FacilityCount&gt;=537,F15549=""),"Incomplete","Complete")</f>
        <v>Complete</v>
      </c>
      <c r="I15549" s="48" t="s">
        <v>19914</v>
      </c>
    </row>
    <row r="15550" spans="2:9" ht="15" customHeight="1" x14ac:dyDescent="0.25">
      <c r="B15550" s="55" t="s">
        <v>282</v>
      </c>
      <c r="C15550" s="46">
        <v>538</v>
      </c>
      <c r="D15550" s="69" t="s">
        <v>29419</v>
      </c>
      <c r="E15550" s="51"/>
      <c r="F15550" s="114" t="str">
        <f>IF(INDEX(I.Facility.P3IDNumber,538)="","",INDEX(I.Facility.P3IDNumber,538))</f>
        <v/>
      </c>
      <c r="G15550" s="51"/>
      <c r="H15550" s="46" t="str">
        <f>IF(AND(I.Developer.P3=TRUE,I.Facility.P3FacilityCount&gt;=538,F15550=""),"Incomplete","Complete")</f>
        <v>Complete</v>
      </c>
      <c r="I15550" s="48" t="s">
        <v>19915</v>
      </c>
    </row>
    <row r="15551" spans="2:9" ht="15" customHeight="1" x14ac:dyDescent="0.25">
      <c r="B15551" s="55" t="s">
        <v>282</v>
      </c>
      <c r="C15551" s="46">
        <v>539</v>
      </c>
      <c r="D15551" s="69" t="s">
        <v>29419</v>
      </c>
      <c r="E15551" s="51"/>
      <c r="F15551" s="114" t="str">
        <f>IF(INDEX(I.Facility.P3IDNumber,539)="","",INDEX(I.Facility.P3IDNumber,539))</f>
        <v/>
      </c>
      <c r="G15551" s="51"/>
      <c r="H15551" s="46" t="str">
        <f>IF(AND(I.Developer.P3=TRUE,I.Facility.P3FacilityCount&gt;=539,F15551=""),"Incomplete","Complete")</f>
        <v>Complete</v>
      </c>
      <c r="I15551" s="48" t="s">
        <v>19916</v>
      </c>
    </row>
    <row r="15552" spans="2:9" ht="15" customHeight="1" x14ac:dyDescent="0.25">
      <c r="B15552" s="55" t="s">
        <v>282</v>
      </c>
      <c r="C15552" s="46">
        <v>540</v>
      </c>
      <c r="D15552" s="69" t="s">
        <v>29419</v>
      </c>
      <c r="E15552" s="51"/>
      <c r="F15552" s="114" t="str">
        <f>IF(INDEX(I.Facility.P3IDNumber,540)="","",INDEX(I.Facility.P3IDNumber,540))</f>
        <v/>
      </c>
      <c r="G15552" s="51"/>
      <c r="H15552" s="46" t="str">
        <f>IF(AND(I.Developer.P3=TRUE,I.Facility.P3FacilityCount&gt;=540,F15552=""),"Incomplete","Complete")</f>
        <v>Complete</v>
      </c>
      <c r="I15552" s="48" t="s">
        <v>19917</v>
      </c>
    </row>
    <row r="15553" spans="2:9" ht="15" customHeight="1" x14ac:dyDescent="0.25">
      <c r="B15553" s="55" t="s">
        <v>282</v>
      </c>
      <c r="C15553" s="46">
        <v>541</v>
      </c>
      <c r="D15553" s="69" t="s">
        <v>29419</v>
      </c>
      <c r="E15553" s="51"/>
      <c r="F15553" s="114" t="str">
        <f>IF(INDEX(I.Facility.P3IDNumber,541)="","",INDEX(I.Facility.P3IDNumber,541))</f>
        <v/>
      </c>
      <c r="G15553" s="51"/>
      <c r="H15553" s="46" t="str">
        <f>IF(AND(I.Developer.P3=TRUE,I.Facility.P3FacilityCount&gt;=541,F15553=""),"Incomplete","Complete")</f>
        <v>Complete</v>
      </c>
      <c r="I15553" s="48" t="s">
        <v>19918</v>
      </c>
    </row>
    <row r="15554" spans="2:9" ht="15" customHeight="1" x14ac:dyDescent="0.25">
      <c r="B15554" s="55" t="s">
        <v>282</v>
      </c>
      <c r="C15554" s="46">
        <v>542</v>
      </c>
      <c r="D15554" s="69" t="s">
        <v>29419</v>
      </c>
      <c r="E15554" s="51"/>
      <c r="F15554" s="114" t="str">
        <f>IF(INDEX(I.Facility.P3IDNumber,542)="","",INDEX(I.Facility.P3IDNumber,542))</f>
        <v/>
      </c>
      <c r="G15554" s="51"/>
      <c r="H15554" s="46" t="str">
        <f>IF(AND(I.Developer.P3=TRUE,I.Facility.P3FacilityCount&gt;=542,F15554=""),"Incomplete","Complete")</f>
        <v>Complete</v>
      </c>
      <c r="I15554" s="48" t="s">
        <v>19919</v>
      </c>
    </row>
    <row r="15555" spans="2:9" ht="15" customHeight="1" x14ac:dyDescent="0.25">
      <c r="B15555" s="55" t="s">
        <v>282</v>
      </c>
      <c r="C15555" s="46">
        <v>543</v>
      </c>
      <c r="D15555" s="69" t="s">
        <v>29419</v>
      </c>
      <c r="E15555" s="51"/>
      <c r="F15555" s="114" t="str">
        <f>IF(INDEX(I.Facility.P3IDNumber,543)="","",INDEX(I.Facility.P3IDNumber,543))</f>
        <v/>
      </c>
      <c r="G15555" s="51"/>
      <c r="H15555" s="46" t="str">
        <f>IF(AND(I.Developer.P3=TRUE,I.Facility.P3FacilityCount&gt;=543,F15555=""),"Incomplete","Complete")</f>
        <v>Complete</v>
      </c>
      <c r="I15555" s="48" t="s">
        <v>19920</v>
      </c>
    </row>
    <row r="15556" spans="2:9" ht="15" customHeight="1" x14ac:dyDescent="0.25">
      <c r="B15556" s="55" t="s">
        <v>282</v>
      </c>
      <c r="C15556" s="46">
        <v>544</v>
      </c>
      <c r="D15556" s="69" t="s">
        <v>29419</v>
      </c>
      <c r="E15556" s="51"/>
      <c r="F15556" s="114" t="str">
        <f>IF(INDEX(I.Facility.P3IDNumber,544)="","",INDEX(I.Facility.P3IDNumber,544))</f>
        <v/>
      </c>
      <c r="G15556" s="51"/>
      <c r="H15556" s="46" t="str">
        <f>IF(AND(I.Developer.P3=TRUE,I.Facility.P3FacilityCount&gt;=544,F15556=""),"Incomplete","Complete")</f>
        <v>Complete</v>
      </c>
      <c r="I15556" s="48" t="s">
        <v>19921</v>
      </c>
    </row>
    <row r="15557" spans="2:9" ht="15" customHeight="1" x14ac:dyDescent="0.25">
      <c r="B15557" s="55" t="s">
        <v>282</v>
      </c>
      <c r="C15557" s="46">
        <v>545</v>
      </c>
      <c r="D15557" s="69" t="s">
        <v>29419</v>
      </c>
      <c r="E15557" s="51"/>
      <c r="F15557" s="114" t="str">
        <f>IF(INDEX(I.Facility.P3IDNumber,545)="","",INDEX(I.Facility.P3IDNumber,545))</f>
        <v/>
      </c>
      <c r="G15557" s="51"/>
      <c r="H15557" s="46" t="str">
        <f>IF(AND(I.Developer.P3=TRUE,I.Facility.P3FacilityCount&gt;=545,F15557=""),"Incomplete","Complete")</f>
        <v>Complete</v>
      </c>
      <c r="I15557" s="48" t="s">
        <v>19922</v>
      </c>
    </row>
    <row r="15558" spans="2:9" ht="15" customHeight="1" x14ac:dyDescent="0.25">
      <c r="B15558" s="55" t="s">
        <v>282</v>
      </c>
      <c r="C15558" s="46">
        <v>546</v>
      </c>
      <c r="D15558" s="69" t="s">
        <v>29419</v>
      </c>
      <c r="E15558" s="51"/>
      <c r="F15558" s="114" t="str">
        <f>IF(INDEX(I.Facility.P3IDNumber,546)="","",INDEX(I.Facility.P3IDNumber,546))</f>
        <v/>
      </c>
      <c r="G15558" s="51"/>
      <c r="H15558" s="46" t="str">
        <f>IF(AND(I.Developer.P3=TRUE,I.Facility.P3FacilityCount&gt;=546,F15558=""),"Incomplete","Complete")</f>
        <v>Complete</v>
      </c>
      <c r="I15558" s="48" t="s">
        <v>19923</v>
      </c>
    </row>
    <row r="15559" spans="2:9" ht="15" customHeight="1" x14ac:dyDescent="0.25">
      <c r="B15559" s="55" t="s">
        <v>282</v>
      </c>
      <c r="C15559" s="46">
        <v>547</v>
      </c>
      <c r="D15559" s="69" t="s">
        <v>29419</v>
      </c>
      <c r="E15559" s="51"/>
      <c r="F15559" s="114" t="str">
        <f>IF(INDEX(I.Facility.P3IDNumber,547)="","",INDEX(I.Facility.P3IDNumber,547))</f>
        <v/>
      </c>
      <c r="G15559" s="51"/>
      <c r="H15559" s="46" t="str">
        <f>IF(AND(I.Developer.P3=TRUE,I.Facility.P3FacilityCount&gt;=547,F15559=""),"Incomplete","Complete")</f>
        <v>Complete</v>
      </c>
      <c r="I15559" s="48" t="s">
        <v>19924</v>
      </c>
    </row>
    <row r="15560" spans="2:9" ht="15" customHeight="1" x14ac:dyDescent="0.25">
      <c r="B15560" s="55" t="s">
        <v>282</v>
      </c>
      <c r="C15560" s="46">
        <v>548</v>
      </c>
      <c r="D15560" s="69" t="s">
        <v>29419</v>
      </c>
      <c r="E15560" s="51"/>
      <c r="F15560" s="114" t="str">
        <f>IF(INDEX(I.Facility.P3IDNumber,548)="","",INDEX(I.Facility.P3IDNumber,548))</f>
        <v/>
      </c>
      <c r="G15560" s="51"/>
      <c r="H15560" s="46" t="str">
        <f>IF(AND(I.Developer.P3=TRUE,I.Facility.P3FacilityCount&gt;=548,F15560=""),"Incomplete","Complete")</f>
        <v>Complete</v>
      </c>
      <c r="I15560" s="48" t="s">
        <v>19925</v>
      </c>
    </row>
    <row r="15561" spans="2:9" ht="15" customHeight="1" x14ac:dyDescent="0.25">
      <c r="B15561" s="55" t="s">
        <v>282</v>
      </c>
      <c r="C15561" s="46">
        <v>549</v>
      </c>
      <c r="D15561" s="69" t="s">
        <v>29419</v>
      </c>
      <c r="E15561" s="51"/>
      <c r="F15561" s="114" t="str">
        <f>IF(INDEX(I.Facility.P3IDNumber,549)="","",INDEX(I.Facility.P3IDNumber,549))</f>
        <v/>
      </c>
      <c r="G15561" s="51"/>
      <c r="H15561" s="46" t="str">
        <f>IF(AND(I.Developer.P3=TRUE,I.Facility.P3FacilityCount&gt;=549,F15561=""),"Incomplete","Complete")</f>
        <v>Complete</v>
      </c>
      <c r="I15561" s="48" t="s">
        <v>19926</v>
      </c>
    </row>
    <row r="15562" spans="2:9" ht="15" customHeight="1" x14ac:dyDescent="0.25">
      <c r="B15562" s="55" t="s">
        <v>282</v>
      </c>
      <c r="C15562" s="46">
        <v>550</v>
      </c>
      <c r="D15562" s="69" t="s">
        <v>29419</v>
      </c>
      <c r="E15562" s="51"/>
      <c r="F15562" s="114" t="str">
        <f>IF(INDEX(I.Facility.P3IDNumber,550)="","",INDEX(I.Facility.P3IDNumber,550))</f>
        <v/>
      </c>
      <c r="G15562" s="51"/>
      <c r="H15562" s="46" t="str">
        <f>IF(AND(I.Developer.P3=TRUE,I.Facility.P3FacilityCount&gt;=550,F15562=""),"Incomplete","Complete")</f>
        <v>Complete</v>
      </c>
      <c r="I15562" s="48" t="s">
        <v>19927</v>
      </c>
    </row>
    <row r="15563" spans="2:9" ht="15" customHeight="1" x14ac:dyDescent="0.25">
      <c r="B15563" s="55" t="s">
        <v>282</v>
      </c>
      <c r="C15563" s="46">
        <v>551</v>
      </c>
      <c r="D15563" s="69" t="s">
        <v>29419</v>
      </c>
      <c r="E15563" s="51"/>
      <c r="F15563" s="114" t="str">
        <f>IF(INDEX(I.Facility.P3IDNumber,551)="","",INDEX(I.Facility.P3IDNumber,551))</f>
        <v/>
      </c>
      <c r="G15563" s="51"/>
      <c r="H15563" s="46" t="str">
        <f>IF(AND(I.Developer.P3=TRUE,I.Facility.P3FacilityCount&gt;=551,F15563=""),"Incomplete","Complete")</f>
        <v>Complete</v>
      </c>
      <c r="I15563" s="48" t="s">
        <v>19928</v>
      </c>
    </row>
    <row r="15564" spans="2:9" ht="15" customHeight="1" x14ac:dyDescent="0.25">
      <c r="B15564" s="55" t="s">
        <v>282</v>
      </c>
      <c r="C15564" s="46">
        <v>552</v>
      </c>
      <c r="D15564" s="69" t="s">
        <v>29419</v>
      </c>
      <c r="E15564" s="51"/>
      <c r="F15564" s="114" t="str">
        <f>IF(INDEX(I.Facility.P3IDNumber,552)="","",INDEX(I.Facility.P3IDNumber,552))</f>
        <v/>
      </c>
      <c r="G15564" s="51"/>
      <c r="H15564" s="46" t="str">
        <f>IF(AND(I.Developer.P3=TRUE,I.Facility.P3FacilityCount&gt;=552,F15564=""),"Incomplete","Complete")</f>
        <v>Complete</v>
      </c>
      <c r="I15564" s="48" t="s">
        <v>19929</v>
      </c>
    </row>
    <row r="15565" spans="2:9" ht="15" customHeight="1" x14ac:dyDescent="0.25">
      <c r="B15565" s="55" t="s">
        <v>282</v>
      </c>
      <c r="C15565" s="46">
        <v>553</v>
      </c>
      <c r="D15565" s="69" t="s">
        <v>29419</v>
      </c>
      <c r="E15565" s="51"/>
      <c r="F15565" s="114" t="str">
        <f>IF(INDEX(I.Facility.P3IDNumber,553)="","",INDEX(I.Facility.P3IDNumber,553))</f>
        <v/>
      </c>
      <c r="G15565" s="51"/>
      <c r="H15565" s="46" t="str">
        <f>IF(AND(I.Developer.P3=TRUE,I.Facility.P3FacilityCount&gt;=553,F15565=""),"Incomplete","Complete")</f>
        <v>Complete</v>
      </c>
      <c r="I15565" s="48" t="s">
        <v>19930</v>
      </c>
    </row>
    <row r="15566" spans="2:9" ht="15" customHeight="1" x14ac:dyDescent="0.25">
      <c r="B15566" s="55" t="s">
        <v>282</v>
      </c>
      <c r="C15566" s="46">
        <v>554</v>
      </c>
      <c r="D15566" s="69" t="s">
        <v>29419</v>
      </c>
      <c r="E15566" s="51"/>
      <c r="F15566" s="114" t="str">
        <f>IF(INDEX(I.Facility.P3IDNumber,554)="","",INDEX(I.Facility.P3IDNumber,554))</f>
        <v/>
      </c>
      <c r="G15566" s="51"/>
      <c r="H15566" s="46" t="str">
        <f>IF(AND(I.Developer.P3=TRUE,I.Facility.P3FacilityCount&gt;=554,F15566=""),"Incomplete","Complete")</f>
        <v>Complete</v>
      </c>
      <c r="I15566" s="48" t="s">
        <v>19931</v>
      </c>
    </row>
    <row r="15567" spans="2:9" ht="15" customHeight="1" x14ac:dyDescent="0.25">
      <c r="B15567" s="55" t="s">
        <v>282</v>
      </c>
      <c r="C15567" s="46">
        <v>555</v>
      </c>
      <c r="D15567" s="69" t="s">
        <v>29419</v>
      </c>
      <c r="E15567" s="51"/>
      <c r="F15567" s="114" t="str">
        <f>IF(INDEX(I.Facility.P3IDNumber,555)="","",INDEX(I.Facility.P3IDNumber,555))</f>
        <v/>
      </c>
      <c r="G15567" s="51"/>
      <c r="H15567" s="46" t="str">
        <f>IF(AND(I.Developer.P3=TRUE,I.Facility.P3FacilityCount&gt;=555,F15567=""),"Incomplete","Complete")</f>
        <v>Complete</v>
      </c>
      <c r="I15567" s="48" t="s">
        <v>19932</v>
      </c>
    </row>
    <row r="15568" spans="2:9" ht="15" customHeight="1" x14ac:dyDescent="0.25">
      <c r="B15568" s="55" t="s">
        <v>282</v>
      </c>
      <c r="C15568" s="46">
        <v>556</v>
      </c>
      <c r="D15568" s="69" t="s">
        <v>29419</v>
      </c>
      <c r="E15568" s="51"/>
      <c r="F15568" s="114" t="str">
        <f>IF(INDEX(I.Facility.P3IDNumber,556)="","",INDEX(I.Facility.P3IDNumber,556))</f>
        <v/>
      </c>
      <c r="G15568" s="51"/>
      <c r="H15568" s="46" t="str">
        <f>IF(AND(I.Developer.P3=TRUE,I.Facility.P3FacilityCount&gt;=556,F15568=""),"Incomplete","Complete")</f>
        <v>Complete</v>
      </c>
      <c r="I15568" s="48" t="s">
        <v>19933</v>
      </c>
    </row>
    <row r="15569" spans="2:9" ht="15" customHeight="1" x14ac:dyDescent="0.25">
      <c r="B15569" s="55" t="s">
        <v>282</v>
      </c>
      <c r="C15569" s="46">
        <v>557</v>
      </c>
      <c r="D15569" s="69" t="s">
        <v>29419</v>
      </c>
      <c r="E15569" s="51"/>
      <c r="F15569" s="114" t="str">
        <f>IF(INDEX(I.Facility.P3IDNumber,557)="","",INDEX(I.Facility.P3IDNumber,557))</f>
        <v/>
      </c>
      <c r="G15569" s="51"/>
      <c r="H15569" s="46" t="str">
        <f>IF(AND(I.Developer.P3=TRUE,I.Facility.P3FacilityCount&gt;=557,F15569=""),"Incomplete","Complete")</f>
        <v>Complete</v>
      </c>
      <c r="I15569" s="48" t="s">
        <v>19934</v>
      </c>
    </row>
    <row r="15570" spans="2:9" ht="15" customHeight="1" x14ac:dyDescent="0.25">
      <c r="B15570" s="55" t="s">
        <v>282</v>
      </c>
      <c r="C15570" s="46">
        <v>558</v>
      </c>
      <c r="D15570" s="69" t="s">
        <v>29419</v>
      </c>
      <c r="E15570" s="51"/>
      <c r="F15570" s="114" t="str">
        <f>IF(INDEX(I.Facility.P3IDNumber,558)="","",INDEX(I.Facility.P3IDNumber,558))</f>
        <v/>
      </c>
      <c r="G15570" s="51"/>
      <c r="H15570" s="46" t="str">
        <f>IF(AND(I.Developer.P3=TRUE,I.Facility.P3FacilityCount&gt;=558,F15570=""),"Incomplete","Complete")</f>
        <v>Complete</v>
      </c>
      <c r="I15570" s="48" t="s">
        <v>19935</v>
      </c>
    </row>
    <row r="15571" spans="2:9" ht="15" customHeight="1" x14ac:dyDescent="0.25">
      <c r="B15571" s="55" t="s">
        <v>282</v>
      </c>
      <c r="C15571" s="46">
        <v>559</v>
      </c>
      <c r="D15571" s="69" t="s">
        <v>29419</v>
      </c>
      <c r="E15571" s="51"/>
      <c r="F15571" s="114" t="str">
        <f>IF(INDEX(I.Facility.P3IDNumber,559)="","",INDEX(I.Facility.P3IDNumber,559))</f>
        <v/>
      </c>
      <c r="G15571" s="51"/>
      <c r="H15571" s="46" t="str">
        <f>IF(AND(I.Developer.P3=TRUE,I.Facility.P3FacilityCount&gt;=559,F15571=""),"Incomplete","Complete")</f>
        <v>Complete</v>
      </c>
      <c r="I15571" s="48" t="s">
        <v>19936</v>
      </c>
    </row>
    <row r="15572" spans="2:9" ht="15" customHeight="1" x14ac:dyDescent="0.25">
      <c r="B15572" s="55" t="s">
        <v>282</v>
      </c>
      <c r="C15572" s="46">
        <v>560</v>
      </c>
      <c r="D15572" s="69" t="s">
        <v>29419</v>
      </c>
      <c r="E15572" s="51"/>
      <c r="F15572" s="114" t="str">
        <f>IF(INDEX(I.Facility.P3IDNumber,560)="","",INDEX(I.Facility.P3IDNumber,560))</f>
        <v/>
      </c>
      <c r="G15572" s="51"/>
      <c r="H15572" s="46" t="str">
        <f>IF(AND(I.Developer.P3=TRUE,I.Facility.P3FacilityCount&gt;=560,F15572=""),"Incomplete","Complete")</f>
        <v>Complete</v>
      </c>
      <c r="I15572" s="48" t="s">
        <v>19937</v>
      </c>
    </row>
    <row r="15573" spans="2:9" ht="15" customHeight="1" x14ac:dyDescent="0.25">
      <c r="B15573" s="55" t="s">
        <v>282</v>
      </c>
      <c r="C15573" s="46">
        <v>561</v>
      </c>
      <c r="D15573" s="69" t="s">
        <v>29419</v>
      </c>
      <c r="E15573" s="51"/>
      <c r="F15573" s="114" t="str">
        <f>IF(INDEX(I.Facility.P3IDNumber,561)="","",INDEX(I.Facility.P3IDNumber,561))</f>
        <v/>
      </c>
      <c r="G15573" s="51"/>
      <c r="H15573" s="46" t="str">
        <f>IF(AND(I.Developer.P3=TRUE,I.Facility.P3FacilityCount&gt;=561,F15573=""),"Incomplete","Complete")</f>
        <v>Complete</v>
      </c>
      <c r="I15573" s="48" t="s">
        <v>19938</v>
      </c>
    </row>
    <row r="15574" spans="2:9" ht="15" customHeight="1" x14ac:dyDescent="0.25">
      <c r="B15574" s="55" t="s">
        <v>282</v>
      </c>
      <c r="C15574" s="46">
        <v>562</v>
      </c>
      <c r="D15574" s="69" t="s">
        <v>29419</v>
      </c>
      <c r="E15574" s="51"/>
      <c r="F15574" s="114" t="str">
        <f>IF(INDEX(I.Facility.P3IDNumber,562)="","",INDEX(I.Facility.P3IDNumber,562))</f>
        <v/>
      </c>
      <c r="G15574" s="51"/>
      <c r="H15574" s="46" t="str">
        <f>IF(AND(I.Developer.P3=TRUE,I.Facility.P3FacilityCount&gt;=562,F15574=""),"Incomplete","Complete")</f>
        <v>Complete</v>
      </c>
      <c r="I15574" s="48" t="s">
        <v>19939</v>
      </c>
    </row>
    <row r="15575" spans="2:9" ht="15" customHeight="1" x14ac:dyDescent="0.25">
      <c r="B15575" s="55" t="s">
        <v>282</v>
      </c>
      <c r="C15575" s="46">
        <v>563</v>
      </c>
      <c r="D15575" s="69" t="s">
        <v>29419</v>
      </c>
      <c r="E15575" s="51"/>
      <c r="F15575" s="114" t="str">
        <f>IF(INDEX(I.Facility.P3IDNumber,563)="","",INDEX(I.Facility.P3IDNumber,563))</f>
        <v/>
      </c>
      <c r="G15575" s="51"/>
      <c r="H15575" s="46" t="str">
        <f>IF(AND(I.Developer.P3=TRUE,I.Facility.P3FacilityCount&gt;=563,F15575=""),"Incomplete","Complete")</f>
        <v>Complete</v>
      </c>
      <c r="I15575" s="48" t="s">
        <v>19940</v>
      </c>
    </row>
    <row r="15576" spans="2:9" ht="15" customHeight="1" x14ac:dyDescent="0.25">
      <c r="B15576" s="55" t="s">
        <v>282</v>
      </c>
      <c r="C15576" s="46">
        <v>564</v>
      </c>
      <c r="D15576" s="69" t="s">
        <v>29419</v>
      </c>
      <c r="E15576" s="51"/>
      <c r="F15576" s="114" t="str">
        <f>IF(INDEX(I.Facility.P3IDNumber,564)="","",INDEX(I.Facility.P3IDNumber,564))</f>
        <v/>
      </c>
      <c r="G15576" s="51"/>
      <c r="H15576" s="46" t="str">
        <f>IF(AND(I.Developer.P3=TRUE,I.Facility.P3FacilityCount&gt;=564,F15576=""),"Incomplete","Complete")</f>
        <v>Complete</v>
      </c>
      <c r="I15576" s="48" t="s">
        <v>19941</v>
      </c>
    </row>
    <row r="15577" spans="2:9" ht="15" customHeight="1" x14ac:dyDescent="0.25">
      <c r="B15577" s="55" t="s">
        <v>282</v>
      </c>
      <c r="C15577" s="46">
        <v>565</v>
      </c>
      <c r="D15577" s="69" t="s">
        <v>29419</v>
      </c>
      <c r="E15577" s="51"/>
      <c r="F15577" s="114" t="str">
        <f>IF(INDEX(I.Facility.P3IDNumber,565)="","",INDEX(I.Facility.P3IDNumber,565))</f>
        <v/>
      </c>
      <c r="G15577" s="51"/>
      <c r="H15577" s="46" t="str">
        <f>IF(AND(I.Developer.P3=TRUE,I.Facility.P3FacilityCount&gt;=565,F15577=""),"Incomplete","Complete")</f>
        <v>Complete</v>
      </c>
      <c r="I15577" s="48" t="s">
        <v>19942</v>
      </c>
    </row>
    <row r="15578" spans="2:9" ht="15" customHeight="1" x14ac:dyDescent="0.25">
      <c r="B15578" s="55" t="s">
        <v>282</v>
      </c>
      <c r="C15578" s="46">
        <v>566</v>
      </c>
      <c r="D15578" s="69" t="s">
        <v>29419</v>
      </c>
      <c r="E15578" s="51"/>
      <c r="F15578" s="114" t="str">
        <f>IF(INDEX(I.Facility.P3IDNumber,566)="","",INDEX(I.Facility.P3IDNumber,566))</f>
        <v/>
      </c>
      <c r="G15578" s="51"/>
      <c r="H15578" s="46" t="str">
        <f>IF(AND(I.Developer.P3=TRUE,I.Facility.P3FacilityCount&gt;=566,F15578=""),"Incomplete","Complete")</f>
        <v>Complete</v>
      </c>
      <c r="I15578" s="48" t="s">
        <v>19943</v>
      </c>
    </row>
    <row r="15579" spans="2:9" ht="15" customHeight="1" x14ac:dyDescent="0.25">
      <c r="B15579" s="55" t="s">
        <v>282</v>
      </c>
      <c r="C15579" s="46">
        <v>567</v>
      </c>
      <c r="D15579" s="69" t="s">
        <v>29419</v>
      </c>
      <c r="E15579" s="51"/>
      <c r="F15579" s="114" t="str">
        <f>IF(INDEX(I.Facility.P3IDNumber,567)="","",INDEX(I.Facility.P3IDNumber,567))</f>
        <v/>
      </c>
      <c r="G15579" s="51"/>
      <c r="H15579" s="46" t="str">
        <f>IF(AND(I.Developer.P3=TRUE,I.Facility.P3FacilityCount&gt;=567,F15579=""),"Incomplete","Complete")</f>
        <v>Complete</v>
      </c>
      <c r="I15579" s="48" t="s">
        <v>19944</v>
      </c>
    </row>
    <row r="15580" spans="2:9" ht="15" customHeight="1" x14ac:dyDescent="0.25">
      <c r="B15580" s="55" t="s">
        <v>282</v>
      </c>
      <c r="C15580" s="46">
        <v>568</v>
      </c>
      <c r="D15580" s="69" t="s">
        <v>29419</v>
      </c>
      <c r="E15580" s="51"/>
      <c r="F15580" s="114" t="str">
        <f>IF(INDEX(I.Facility.P3IDNumber,568)="","",INDEX(I.Facility.P3IDNumber,568))</f>
        <v/>
      </c>
      <c r="G15580" s="51"/>
      <c r="H15580" s="46" t="str">
        <f>IF(AND(I.Developer.P3=TRUE,I.Facility.P3FacilityCount&gt;=568,F15580=""),"Incomplete","Complete")</f>
        <v>Complete</v>
      </c>
      <c r="I15580" s="48" t="s">
        <v>19945</v>
      </c>
    </row>
    <row r="15581" spans="2:9" ht="15" customHeight="1" x14ac:dyDescent="0.25">
      <c r="B15581" s="55" t="s">
        <v>282</v>
      </c>
      <c r="C15581" s="46">
        <v>569</v>
      </c>
      <c r="D15581" s="69" t="s">
        <v>29419</v>
      </c>
      <c r="E15581" s="51"/>
      <c r="F15581" s="114" t="str">
        <f>IF(INDEX(I.Facility.P3IDNumber,569)="","",INDEX(I.Facility.P3IDNumber,569))</f>
        <v/>
      </c>
      <c r="G15581" s="51"/>
      <c r="H15581" s="46" t="str">
        <f>IF(AND(I.Developer.P3=TRUE,I.Facility.P3FacilityCount&gt;=569,F15581=""),"Incomplete","Complete")</f>
        <v>Complete</v>
      </c>
      <c r="I15581" s="48" t="s">
        <v>19946</v>
      </c>
    </row>
    <row r="15582" spans="2:9" ht="15" customHeight="1" x14ac:dyDescent="0.25">
      <c r="B15582" s="55" t="s">
        <v>282</v>
      </c>
      <c r="C15582" s="46">
        <v>570</v>
      </c>
      <c r="D15582" s="69" t="s">
        <v>29419</v>
      </c>
      <c r="E15582" s="51"/>
      <c r="F15582" s="114" t="str">
        <f>IF(INDEX(I.Facility.P3IDNumber,570)="","",INDEX(I.Facility.P3IDNumber,570))</f>
        <v/>
      </c>
      <c r="G15582" s="51"/>
      <c r="H15582" s="46" t="str">
        <f>IF(AND(I.Developer.P3=TRUE,I.Facility.P3FacilityCount&gt;=570,F15582=""),"Incomplete","Complete")</f>
        <v>Complete</v>
      </c>
      <c r="I15582" s="48" t="s">
        <v>19947</v>
      </c>
    </row>
    <row r="15583" spans="2:9" ht="15" customHeight="1" x14ac:dyDescent="0.25">
      <c r="B15583" s="55" t="s">
        <v>282</v>
      </c>
      <c r="C15583" s="46">
        <v>571</v>
      </c>
      <c r="D15583" s="69" t="s">
        <v>29419</v>
      </c>
      <c r="E15583" s="51"/>
      <c r="F15583" s="114" t="str">
        <f>IF(INDEX(I.Facility.P3IDNumber,571)="","",INDEX(I.Facility.P3IDNumber,571))</f>
        <v/>
      </c>
      <c r="G15583" s="51"/>
      <c r="H15583" s="46" t="str">
        <f>IF(AND(I.Developer.P3=TRUE,I.Facility.P3FacilityCount&gt;=571,F15583=""),"Incomplete","Complete")</f>
        <v>Complete</v>
      </c>
      <c r="I15583" s="48" t="s">
        <v>19948</v>
      </c>
    </row>
    <row r="15584" spans="2:9" ht="15" customHeight="1" x14ac:dyDescent="0.25">
      <c r="B15584" s="55" t="s">
        <v>282</v>
      </c>
      <c r="C15584" s="46">
        <v>572</v>
      </c>
      <c r="D15584" s="69" t="s">
        <v>29419</v>
      </c>
      <c r="E15584" s="51"/>
      <c r="F15584" s="114" t="str">
        <f>IF(INDEX(I.Facility.P3IDNumber,572)="","",INDEX(I.Facility.P3IDNumber,572))</f>
        <v/>
      </c>
      <c r="G15584" s="51"/>
      <c r="H15584" s="46" t="str">
        <f>IF(AND(I.Developer.P3=TRUE,I.Facility.P3FacilityCount&gt;=572,F15584=""),"Incomplete","Complete")</f>
        <v>Complete</v>
      </c>
      <c r="I15584" s="48" t="s">
        <v>19949</v>
      </c>
    </row>
    <row r="15585" spans="2:9" ht="15" customHeight="1" x14ac:dyDescent="0.25">
      <c r="B15585" s="55" t="s">
        <v>282</v>
      </c>
      <c r="C15585" s="46">
        <v>573</v>
      </c>
      <c r="D15585" s="69" t="s">
        <v>29419</v>
      </c>
      <c r="E15585" s="51"/>
      <c r="F15585" s="114" t="str">
        <f>IF(INDEX(I.Facility.P3IDNumber,573)="","",INDEX(I.Facility.P3IDNumber,573))</f>
        <v/>
      </c>
      <c r="G15585" s="51"/>
      <c r="H15585" s="46" t="str">
        <f>IF(AND(I.Developer.P3=TRUE,I.Facility.P3FacilityCount&gt;=573,F15585=""),"Incomplete","Complete")</f>
        <v>Complete</v>
      </c>
      <c r="I15585" s="48" t="s">
        <v>19950</v>
      </c>
    </row>
    <row r="15586" spans="2:9" ht="15" customHeight="1" x14ac:dyDescent="0.25">
      <c r="B15586" s="55" t="s">
        <v>282</v>
      </c>
      <c r="C15586" s="46">
        <v>574</v>
      </c>
      <c r="D15586" s="69" t="s">
        <v>29419</v>
      </c>
      <c r="E15586" s="51"/>
      <c r="F15586" s="114" t="str">
        <f>IF(INDEX(I.Facility.P3IDNumber,574)="","",INDEX(I.Facility.P3IDNumber,574))</f>
        <v/>
      </c>
      <c r="G15586" s="51"/>
      <c r="H15586" s="46" t="str">
        <f>IF(AND(I.Developer.P3=TRUE,I.Facility.P3FacilityCount&gt;=574,F15586=""),"Incomplete","Complete")</f>
        <v>Complete</v>
      </c>
      <c r="I15586" s="48" t="s">
        <v>19951</v>
      </c>
    </row>
    <row r="15587" spans="2:9" ht="15" customHeight="1" x14ac:dyDescent="0.25">
      <c r="B15587" s="55" t="s">
        <v>282</v>
      </c>
      <c r="C15587" s="46">
        <v>575</v>
      </c>
      <c r="D15587" s="69" t="s">
        <v>29419</v>
      </c>
      <c r="E15587" s="51"/>
      <c r="F15587" s="114" t="str">
        <f>IF(INDEX(I.Facility.P3IDNumber,575)="","",INDEX(I.Facility.P3IDNumber,575))</f>
        <v/>
      </c>
      <c r="G15587" s="51"/>
      <c r="H15587" s="46" t="str">
        <f>IF(AND(I.Developer.P3=TRUE,I.Facility.P3FacilityCount&gt;=575,F15587=""),"Incomplete","Complete")</f>
        <v>Complete</v>
      </c>
      <c r="I15587" s="48" t="s">
        <v>19952</v>
      </c>
    </row>
    <row r="15588" spans="2:9" ht="15" customHeight="1" x14ac:dyDescent="0.25">
      <c r="B15588" s="55" t="s">
        <v>282</v>
      </c>
      <c r="C15588" s="46">
        <v>576</v>
      </c>
      <c r="D15588" s="69" t="s">
        <v>29419</v>
      </c>
      <c r="E15588" s="51"/>
      <c r="F15588" s="114" t="str">
        <f>IF(INDEX(I.Facility.P3IDNumber,576)="","",INDEX(I.Facility.P3IDNumber,576))</f>
        <v/>
      </c>
      <c r="G15588" s="51"/>
      <c r="H15588" s="46" t="str">
        <f>IF(AND(I.Developer.P3=TRUE,I.Facility.P3FacilityCount&gt;=576,F15588=""),"Incomplete","Complete")</f>
        <v>Complete</v>
      </c>
      <c r="I15588" s="48" t="s">
        <v>19953</v>
      </c>
    </row>
    <row r="15589" spans="2:9" ht="15" customHeight="1" x14ac:dyDescent="0.25">
      <c r="B15589" s="55" t="s">
        <v>282</v>
      </c>
      <c r="C15589" s="46">
        <v>577</v>
      </c>
      <c r="D15589" s="69" t="s">
        <v>29419</v>
      </c>
      <c r="E15589" s="51"/>
      <c r="F15589" s="114" t="str">
        <f>IF(INDEX(I.Facility.P3IDNumber,577)="","",INDEX(I.Facility.P3IDNumber,577))</f>
        <v/>
      </c>
      <c r="G15589" s="51"/>
      <c r="H15589" s="46" t="str">
        <f>IF(AND(I.Developer.P3=TRUE,I.Facility.P3FacilityCount&gt;=577,F15589=""),"Incomplete","Complete")</f>
        <v>Complete</v>
      </c>
      <c r="I15589" s="48" t="s">
        <v>19954</v>
      </c>
    </row>
    <row r="15590" spans="2:9" ht="15" customHeight="1" x14ac:dyDescent="0.25">
      <c r="B15590" s="55" t="s">
        <v>282</v>
      </c>
      <c r="C15590" s="46">
        <v>578</v>
      </c>
      <c r="D15590" s="69" t="s">
        <v>29419</v>
      </c>
      <c r="E15590" s="51"/>
      <c r="F15590" s="114" t="str">
        <f>IF(INDEX(I.Facility.P3IDNumber,578)="","",INDEX(I.Facility.P3IDNumber,578))</f>
        <v/>
      </c>
      <c r="G15590" s="51"/>
      <c r="H15590" s="46" t="str">
        <f>IF(AND(I.Developer.P3=TRUE,I.Facility.P3FacilityCount&gt;=578,F15590=""),"Incomplete","Complete")</f>
        <v>Complete</v>
      </c>
      <c r="I15590" s="48" t="s">
        <v>19955</v>
      </c>
    </row>
    <row r="15591" spans="2:9" ht="15" customHeight="1" x14ac:dyDescent="0.25">
      <c r="B15591" s="55" t="s">
        <v>282</v>
      </c>
      <c r="C15591" s="46">
        <v>579</v>
      </c>
      <c r="D15591" s="69" t="s">
        <v>29419</v>
      </c>
      <c r="E15591" s="51"/>
      <c r="F15591" s="114" t="str">
        <f>IF(INDEX(I.Facility.P3IDNumber,579)="","",INDEX(I.Facility.P3IDNumber,579))</f>
        <v/>
      </c>
      <c r="G15591" s="51"/>
      <c r="H15591" s="46" t="str">
        <f>IF(AND(I.Developer.P3=TRUE,I.Facility.P3FacilityCount&gt;=579,F15591=""),"Incomplete","Complete")</f>
        <v>Complete</v>
      </c>
      <c r="I15591" s="48" t="s">
        <v>19956</v>
      </c>
    </row>
    <row r="15592" spans="2:9" ht="15" customHeight="1" x14ac:dyDescent="0.25">
      <c r="B15592" s="55" t="s">
        <v>282</v>
      </c>
      <c r="C15592" s="46">
        <v>580</v>
      </c>
      <c r="D15592" s="69" t="s">
        <v>29419</v>
      </c>
      <c r="E15592" s="51"/>
      <c r="F15592" s="114" t="str">
        <f>IF(INDEX(I.Facility.P3IDNumber,580)="","",INDEX(I.Facility.P3IDNumber,580))</f>
        <v/>
      </c>
      <c r="G15592" s="51"/>
      <c r="H15592" s="46" t="str">
        <f>IF(AND(I.Developer.P3=TRUE,I.Facility.P3FacilityCount&gt;=580,F15592=""),"Incomplete","Complete")</f>
        <v>Complete</v>
      </c>
      <c r="I15592" s="48" t="s">
        <v>19957</v>
      </c>
    </row>
    <row r="15593" spans="2:9" ht="15" customHeight="1" x14ac:dyDescent="0.25">
      <c r="B15593" s="55" t="s">
        <v>282</v>
      </c>
      <c r="C15593" s="46">
        <v>581</v>
      </c>
      <c r="D15593" s="69" t="s">
        <v>29419</v>
      </c>
      <c r="E15593" s="51"/>
      <c r="F15593" s="114" t="str">
        <f>IF(INDEX(I.Facility.P3IDNumber,581)="","",INDEX(I.Facility.P3IDNumber,581))</f>
        <v/>
      </c>
      <c r="G15593" s="51"/>
      <c r="H15593" s="46" t="str">
        <f>IF(AND(I.Developer.P3=TRUE,I.Facility.P3FacilityCount&gt;=581,F15593=""),"Incomplete","Complete")</f>
        <v>Complete</v>
      </c>
      <c r="I15593" s="48" t="s">
        <v>19958</v>
      </c>
    </row>
    <row r="15594" spans="2:9" ht="15" customHeight="1" x14ac:dyDescent="0.25">
      <c r="B15594" s="55" t="s">
        <v>282</v>
      </c>
      <c r="C15594" s="46">
        <v>582</v>
      </c>
      <c r="D15594" s="69" t="s">
        <v>29419</v>
      </c>
      <c r="E15594" s="51"/>
      <c r="F15594" s="114" t="str">
        <f>IF(INDEX(I.Facility.P3IDNumber,582)="","",INDEX(I.Facility.P3IDNumber,582))</f>
        <v/>
      </c>
      <c r="G15594" s="51"/>
      <c r="H15594" s="46" t="str">
        <f>IF(AND(I.Developer.P3=TRUE,I.Facility.P3FacilityCount&gt;=582,F15594=""),"Incomplete","Complete")</f>
        <v>Complete</v>
      </c>
      <c r="I15594" s="48" t="s">
        <v>19959</v>
      </c>
    </row>
    <row r="15595" spans="2:9" ht="15" customHeight="1" x14ac:dyDescent="0.25">
      <c r="B15595" s="55" t="s">
        <v>282</v>
      </c>
      <c r="C15595" s="46">
        <v>583</v>
      </c>
      <c r="D15595" s="69" t="s">
        <v>29419</v>
      </c>
      <c r="E15595" s="51"/>
      <c r="F15595" s="114" t="str">
        <f>IF(INDEX(I.Facility.P3IDNumber,583)="","",INDEX(I.Facility.P3IDNumber,583))</f>
        <v/>
      </c>
      <c r="G15595" s="51"/>
      <c r="H15595" s="46" t="str">
        <f>IF(AND(I.Developer.P3=TRUE,I.Facility.P3FacilityCount&gt;=583,F15595=""),"Incomplete","Complete")</f>
        <v>Complete</v>
      </c>
      <c r="I15595" s="48" t="s">
        <v>19960</v>
      </c>
    </row>
    <row r="15596" spans="2:9" ht="15" customHeight="1" x14ac:dyDescent="0.25">
      <c r="B15596" s="55" t="s">
        <v>282</v>
      </c>
      <c r="C15596" s="46">
        <v>584</v>
      </c>
      <c r="D15596" s="69" t="s">
        <v>29419</v>
      </c>
      <c r="E15596" s="51"/>
      <c r="F15596" s="114" t="str">
        <f>IF(INDEX(I.Facility.P3IDNumber,584)="","",INDEX(I.Facility.P3IDNumber,584))</f>
        <v/>
      </c>
      <c r="G15596" s="51"/>
      <c r="H15596" s="46" t="str">
        <f>IF(AND(I.Developer.P3=TRUE,I.Facility.P3FacilityCount&gt;=584,F15596=""),"Incomplete","Complete")</f>
        <v>Complete</v>
      </c>
      <c r="I15596" s="48" t="s">
        <v>19961</v>
      </c>
    </row>
    <row r="15597" spans="2:9" ht="15" customHeight="1" x14ac:dyDescent="0.25">
      <c r="B15597" s="55" t="s">
        <v>282</v>
      </c>
      <c r="C15597" s="46">
        <v>585</v>
      </c>
      <c r="D15597" s="69" t="s">
        <v>29419</v>
      </c>
      <c r="E15597" s="51"/>
      <c r="F15597" s="114" t="str">
        <f>IF(INDEX(I.Facility.P3IDNumber,585)="","",INDEX(I.Facility.P3IDNumber,585))</f>
        <v/>
      </c>
      <c r="G15597" s="51"/>
      <c r="H15597" s="46" t="str">
        <f>IF(AND(I.Developer.P3=TRUE,I.Facility.P3FacilityCount&gt;=585,F15597=""),"Incomplete","Complete")</f>
        <v>Complete</v>
      </c>
      <c r="I15597" s="48" t="s">
        <v>19962</v>
      </c>
    </row>
    <row r="15598" spans="2:9" ht="15" customHeight="1" x14ac:dyDescent="0.25">
      <c r="B15598" s="55" t="s">
        <v>282</v>
      </c>
      <c r="C15598" s="46">
        <v>586</v>
      </c>
      <c r="D15598" s="69" t="s">
        <v>29419</v>
      </c>
      <c r="E15598" s="51"/>
      <c r="F15598" s="114" t="str">
        <f>IF(INDEX(I.Facility.P3IDNumber,586)="","",INDEX(I.Facility.P3IDNumber,586))</f>
        <v/>
      </c>
      <c r="G15598" s="51"/>
      <c r="H15598" s="46" t="str">
        <f>IF(AND(I.Developer.P3=TRUE,I.Facility.P3FacilityCount&gt;=586,F15598=""),"Incomplete","Complete")</f>
        <v>Complete</v>
      </c>
      <c r="I15598" s="48" t="s">
        <v>19963</v>
      </c>
    </row>
    <row r="15599" spans="2:9" ht="15" customHeight="1" x14ac:dyDescent="0.25">
      <c r="B15599" s="55" t="s">
        <v>282</v>
      </c>
      <c r="C15599" s="46">
        <v>587</v>
      </c>
      <c r="D15599" s="69" t="s">
        <v>29419</v>
      </c>
      <c r="E15599" s="51"/>
      <c r="F15599" s="114" t="str">
        <f>IF(INDEX(I.Facility.P3IDNumber,587)="","",INDEX(I.Facility.P3IDNumber,587))</f>
        <v/>
      </c>
      <c r="G15599" s="51"/>
      <c r="H15599" s="46" t="str">
        <f>IF(AND(I.Developer.P3=TRUE,I.Facility.P3FacilityCount&gt;=587,F15599=""),"Incomplete","Complete")</f>
        <v>Complete</v>
      </c>
      <c r="I15599" s="48" t="s">
        <v>19964</v>
      </c>
    </row>
    <row r="15600" spans="2:9" ht="15" customHeight="1" x14ac:dyDescent="0.25">
      <c r="B15600" s="55" t="s">
        <v>282</v>
      </c>
      <c r="C15600" s="46">
        <v>588</v>
      </c>
      <c r="D15600" s="69" t="s">
        <v>29419</v>
      </c>
      <c r="E15600" s="51"/>
      <c r="F15600" s="114" t="str">
        <f>IF(INDEX(I.Facility.P3IDNumber,588)="","",INDEX(I.Facility.P3IDNumber,588))</f>
        <v/>
      </c>
      <c r="G15600" s="51"/>
      <c r="H15600" s="46" t="str">
        <f>IF(AND(I.Developer.P3=TRUE,I.Facility.P3FacilityCount&gt;=588,F15600=""),"Incomplete","Complete")</f>
        <v>Complete</v>
      </c>
      <c r="I15600" s="48" t="s">
        <v>19965</v>
      </c>
    </row>
    <row r="15601" spans="2:9" ht="15" customHeight="1" x14ac:dyDescent="0.25">
      <c r="B15601" s="55" t="s">
        <v>282</v>
      </c>
      <c r="C15601" s="46">
        <v>589</v>
      </c>
      <c r="D15601" s="69" t="s">
        <v>29419</v>
      </c>
      <c r="E15601" s="51"/>
      <c r="F15601" s="114" t="str">
        <f>IF(INDEX(I.Facility.P3IDNumber,589)="","",INDEX(I.Facility.P3IDNumber,589))</f>
        <v/>
      </c>
      <c r="G15601" s="51"/>
      <c r="H15601" s="46" t="str">
        <f>IF(AND(I.Developer.P3=TRUE,I.Facility.P3FacilityCount&gt;=589,F15601=""),"Incomplete","Complete")</f>
        <v>Complete</v>
      </c>
      <c r="I15601" s="48" t="s">
        <v>19966</v>
      </c>
    </row>
    <row r="15602" spans="2:9" ht="15" customHeight="1" x14ac:dyDescent="0.25">
      <c r="B15602" s="55" t="s">
        <v>282</v>
      </c>
      <c r="C15602" s="46">
        <v>590</v>
      </c>
      <c r="D15602" s="69" t="s">
        <v>29419</v>
      </c>
      <c r="E15602" s="51"/>
      <c r="F15602" s="114" t="str">
        <f>IF(INDEX(I.Facility.P3IDNumber,590)="","",INDEX(I.Facility.P3IDNumber,590))</f>
        <v/>
      </c>
      <c r="G15602" s="51"/>
      <c r="H15602" s="46" t="str">
        <f>IF(AND(I.Developer.P3=TRUE,I.Facility.P3FacilityCount&gt;=590,F15602=""),"Incomplete","Complete")</f>
        <v>Complete</v>
      </c>
      <c r="I15602" s="48" t="s">
        <v>19967</v>
      </c>
    </row>
    <row r="15603" spans="2:9" ht="15" customHeight="1" x14ac:dyDescent="0.25">
      <c r="B15603" s="55" t="s">
        <v>282</v>
      </c>
      <c r="C15603" s="46">
        <v>591</v>
      </c>
      <c r="D15603" s="69" t="s">
        <v>29419</v>
      </c>
      <c r="E15603" s="51"/>
      <c r="F15603" s="114" t="str">
        <f>IF(INDEX(I.Facility.P3IDNumber,591)="","",INDEX(I.Facility.P3IDNumber,591))</f>
        <v/>
      </c>
      <c r="G15603" s="51"/>
      <c r="H15603" s="46" t="str">
        <f>IF(AND(I.Developer.P3=TRUE,I.Facility.P3FacilityCount&gt;=591,F15603=""),"Incomplete","Complete")</f>
        <v>Complete</v>
      </c>
      <c r="I15603" s="48" t="s">
        <v>19968</v>
      </c>
    </row>
    <row r="15604" spans="2:9" ht="15" customHeight="1" x14ac:dyDescent="0.25">
      <c r="B15604" s="55" t="s">
        <v>282</v>
      </c>
      <c r="C15604" s="46">
        <v>592</v>
      </c>
      <c r="D15604" s="69" t="s">
        <v>29419</v>
      </c>
      <c r="E15604" s="51"/>
      <c r="F15604" s="114" t="str">
        <f>IF(INDEX(I.Facility.P3IDNumber,592)="","",INDEX(I.Facility.P3IDNumber,592))</f>
        <v/>
      </c>
      <c r="G15604" s="51"/>
      <c r="H15604" s="46" t="str">
        <f>IF(AND(I.Developer.P3=TRUE,I.Facility.P3FacilityCount&gt;=592,F15604=""),"Incomplete","Complete")</f>
        <v>Complete</v>
      </c>
      <c r="I15604" s="48" t="s">
        <v>19969</v>
      </c>
    </row>
    <row r="15605" spans="2:9" ht="15" customHeight="1" x14ac:dyDescent="0.25">
      <c r="B15605" s="55" t="s">
        <v>282</v>
      </c>
      <c r="C15605" s="46">
        <v>593</v>
      </c>
      <c r="D15605" s="69" t="s">
        <v>29419</v>
      </c>
      <c r="E15605" s="51"/>
      <c r="F15605" s="114" t="str">
        <f>IF(INDEX(I.Facility.P3IDNumber,593)="","",INDEX(I.Facility.P3IDNumber,593))</f>
        <v/>
      </c>
      <c r="G15605" s="51"/>
      <c r="H15605" s="46" t="str">
        <f>IF(AND(I.Developer.P3=TRUE,I.Facility.P3FacilityCount&gt;=593,F15605=""),"Incomplete","Complete")</f>
        <v>Complete</v>
      </c>
      <c r="I15605" s="48" t="s">
        <v>19970</v>
      </c>
    </row>
    <row r="15606" spans="2:9" ht="15" customHeight="1" x14ac:dyDescent="0.25">
      <c r="B15606" s="55" t="s">
        <v>282</v>
      </c>
      <c r="C15606" s="46">
        <v>594</v>
      </c>
      <c r="D15606" s="69" t="s">
        <v>29419</v>
      </c>
      <c r="E15606" s="51"/>
      <c r="F15606" s="114" t="str">
        <f>IF(INDEX(I.Facility.P3IDNumber,594)="","",INDEX(I.Facility.P3IDNumber,594))</f>
        <v/>
      </c>
      <c r="G15606" s="51"/>
      <c r="H15606" s="46" t="str">
        <f>IF(AND(I.Developer.P3=TRUE,I.Facility.P3FacilityCount&gt;=594,F15606=""),"Incomplete","Complete")</f>
        <v>Complete</v>
      </c>
      <c r="I15606" s="48" t="s">
        <v>19971</v>
      </c>
    </row>
    <row r="15607" spans="2:9" ht="15" customHeight="1" x14ac:dyDescent="0.25">
      <c r="B15607" s="55" t="s">
        <v>282</v>
      </c>
      <c r="C15607" s="46">
        <v>595</v>
      </c>
      <c r="D15607" s="69" t="s">
        <v>29419</v>
      </c>
      <c r="E15607" s="51"/>
      <c r="F15607" s="114" t="str">
        <f>IF(INDEX(I.Facility.P3IDNumber,595)="","",INDEX(I.Facility.P3IDNumber,595))</f>
        <v/>
      </c>
      <c r="G15607" s="51"/>
      <c r="H15607" s="46" t="str">
        <f>IF(AND(I.Developer.P3=TRUE,I.Facility.P3FacilityCount&gt;=595,F15607=""),"Incomplete","Complete")</f>
        <v>Complete</v>
      </c>
      <c r="I15607" s="48" t="s">
        <v>19972</v>
      </c>
    </row>
    <row r="15608" spans="2:9" ht="15" customHeight="1" x14ac:dyDescent="0.25">
      <c r="B15608" s="55" t="s">
        <v>282</v>
      </c>
      <c r="C15608" s="46">
        <v>596</v>
      </c>
      <c r="D15608" s="69" t="s">
        <v>29419</v>
      </c>
      <c r="E15608" s="51"/>
      <c r="F15608" s="114" t="str">
        <f>IF(INDEX(I.Facility.P3IDNumber,596)="","",INDEX(I.Facility.P3IDNumber,596))</f>
        <v/>
      </c>
      <c r="G15608" s="51"/>
      <c r="H15608" s="46" t="str">
        <f>IF(AND(I.Developer.P3=TRUE,I.Facility.P3FacilityCount&gt;=596,F15608=""),"Incomplete","Complete")</f>
        <v>Complete</v>
      </c>
      <c r="I15608" s="48" t="s">
        <v>19973</v>
      </c>
    </row>
    <row r="15609" spans="2:9" ht="15" customHeight="1" x14ac:dyDescent="0.25">
      <c r="B15609" s="55" t="s">
        <v>282</v>
      </c>
      <c r="C15609" s="46">
        <v>597</v>
      </c>
      <c r="D15609" s="69" t="s">
        <v>29419</v>
      </c>
      <c r="E15609" s="51"/>
      <c r="F15609" s="114" t="str">
        <f>IF(INDEX(I.Facility.P3IDNumber,597)="","",INDEX(I.Facility.P3IDNumber,597))</f>
        <v/>
      </c>
      <c r="G15609" s="51"/>
      <c r="H15609" s="46" t="str">
        <f>IF(AND(I.Developer.P3=TRUE,I.Facility.P3FacilityCount&gt;=597,F15609=""),"Incomplete","Complete")</f>
        <v>Complete</v>
      </c>
      <c r="I15609" s="48" t="s">
        <v>19974</v>
      </c>
    </row>
    <row r="15610" spans="2:9" ht="15" customHeight="1" x14ac:dyDescent="0.25">
      <c r="B15610" s="55" t="s">
        <v>282</v>
      </c>
      <c r="C15610" s="46">
        <v>598</v>
      </c>
      <c r="D15610" s="69" t="s">
        <v>29419</v>
      </c>
      <c r="E15610" s="51"/>
      <c r="F15610" s="114" t="str">
        <f>IF(INDEX(I.Facility.P3IDNumber,598)="","",INDEX(I.Facility.P3IDNumber,598))</f>
        <v/>
      </c>
      <c r="G15610" s="51"/>
      <c r="H15610" s="46" t="str">
        <f>IF(AND(I.Developer.P3=TRUE,I.Facility.P3FacilityCount&gt;=598,F15610=""),"Incomplete","Complete")</f>
        <v>Complete</v>
      </c>
      <c r="I15610" s="48" t="s">
        <v>19975</v>
      </c>
    </row>
    <row r="15611" spans="2:9" ht="15" customHeight="1" x14ac:dyDescent="0.25">
      <c r="B15611" s="55" t="s">
        <v>282</v>
      </c>
      <c r="C15611" s="46">
        <v>599</v>
      </c>
      <c r="D15611" s="69" t="s">
        <v>29419</v>
      </c>
      <c r="E15611" s="51"/>
      <c r="F15611" s="114" t="str">
        <f>IF(INDEX(I.Facility.P3IDNumber,599)="","",INDEX(I.Facility.P3IDNumber,599))</f>
        <v/>
      </c>
      <c r="G15611" s="51"/>
      <c r="H15611" s="46" t="str">
        <f>IF(AND(I.Developer.P3=TRUE,I.Facility.P3FacilityCount&gt;=599,F15611=""),"Incomplete","Complete")</f>
        <v>Complete</v>
      </c>
      <c r="I15611" s="48" t="s">
        <v>19976</v>
      </c>
    </row>
    <row r="15612" spans="2:9" ht="15" customHeight="1" x14ac:dyDescent="0.25">
      <c r="B15612" s="55" t="s">
        <v>282</v>
      </c>
      <c r="C15612" s="46">
        <v>600</v>
      </c>
      <c r="D15612" s="69" t="s">
        <v>29419</v>
      </c>
      <c r="E15612" s="51"/>
      <c r="F15612" s="114" t="str">
        <f>IF(INDEX(I.Facility.P3IDNumber,600)="","",INDEX(I.Facility.P3IDNumber,600))</f>
        <v/>
      </c>
      <c r="G15612" s="51"/>
      <c r="H15612" s="46" t="str">
        <f>IF(AND(I.Developer.P3=TRUE,I.Facility.P3FacilityCount&gt;=600,F15612=""),"Incomplete","Complete")</f>
        <v>Complete</v>
      </c>
      <c r="I15612" s="48" t="s">
        <v>19977</v>
      </c>
    </row>
    <row r="15613" spans="2:9" ht="15" customHeight="1" x14ac:dyDescent="0.25">
      <c r="B15613" s="55" t="s">
        <v>282</v>
      </c>
      <c r="C15613" s="46">
        <v>601</v>
      </c>
      <c r="D15613" s="69" t="s">
        <v>29419</v>
      </c>
      <c r="E15613" s="51"/>
      <c r="F15613" s="114" t="str">
        <f>IF(INDEX(I.Facility.P3IDNumber,601)="","",INDEX(I.Facility.P3IDNumber,601))</f>
        <v/>
      </c>
      <c r="G15613" s="51"/>
      <c r="H15613" s="46" t="str">
        <f>IF(AND(I.Developer.P3=TRUE,I.Facility.P3FacilityCount&gt;=601,F15613=""),"Incomplete","Complete")</f>
        <v>Complete</v>
      </c>
      <c r="I15613" s="48" t="s">
        <v>19978</v>
      </c>
    </row>
    <row r="15614" spans="2:9" ht="15" customHeight="1" x14ac:dyDescent="0.25">
      <c r="B15614" s="55" t="s">
        <v>282</v>
      </c>
      <c r="C15614" s="46">
        <v>602</v>
      </c>
      <c r="D15614" s="69" t="s">
        <v>29419</v>
      </c>
      <c r="E15614" s="51"/>
      <c r="F15614" s="114" t="str">
        <f>IF(INDEX(I.Facility.P3IDNumber,602)="","",INDEX(I.Facility.P3IDNumber,602))</f>
        <v/>
      </c>
      <c r="G15614" s="51"/>
      <c r="H15614" s="46" t="str">
        <f>IF(AND(I.Developer.P3=TRUE,I.Facility.P3FacilityCount&gt;=602,F15614=""),"Incomplete","Complete")</f>
        <v>Complete</v>
      </c>
      <c r="I15614" s="48" t="s">
        <v>19979</v>
      </c>
    </row>
    <row r="15615" spans="2:9" ht="15" customHeight="1" x14ac:dyDescent="0.25">
      <c r="B15615" s="55" t="s">
        <v>282</v>
      </c>
      <c r="C15615" s="46">
        <v>603</v>
      </c>
      <c r="D15615" s="69" t="s">
        <v>29419</v>
      </c>
      <c r="E15615" s="51"/>
      <c r="F15615" s="114" t="str">
        <f>IF(INDEX(I.Facility.P3IDNumber,603)="","",INDEX(I.Facility.P3IDNumber,603))</f>
        <v/>
      </c>
      <c r="G15615" s="51"/>
      <c r="H15615" s="46" t="str">
        <f>IF(AND(I.Developer.P3=TRUE,I.Facility.P3FacilityCount&gt;=603,F15615=""),"Incomplete","Complete")</f>
        <v>Complete</v>
      </c>
      <c r="I15615" s="48" t="s">
        <v>19980</v>
      </c>
    </row>
    <row r="15616" spans="2:9" ht="15" customHeight="1" x14ac:dyDescent="0.25">
      <c r="B15616" s="55" t="s">
        <v>282</v>
      </c>
      <c r="C15616" s="46">
        <v>604</v>
      </c>
      <c r="D15616" s="69" t="s">
        <v>29419</v>
      </c>
      <c r="E15616" s="51"/>
      <c r="F15616" s="114" t="str">
        <f>IF(INDEX(I.Facility.P3IDNumber,604)="","",INDEX(I.Facility.P3IDNumber,604))</f>
        <v/>
      </c>
      <c r="G15616" s="51"/>
      <c r="H15616" s="46" t="str">
        <f>IF(AND(I.Developer.P3=TRUE,I.Facility.P3FacilityCount&gt;=604,F15616=""),"Incomplete","Complete")</f>
        <v>Complete</v>
      </c>
      <c r="I15616" s="48" t="s">
        <v>19981</v>
      </c>
    </row>
    <row r="15617" spans="2:9" ht="15" customHeight="1" x14ac:dyDescent="0.25">
      <c r="B15617" s="55" t="s">
        <v>282</v>
      </c>
      <c r="C15617" s="46">
        <v>605</v>
      </c>
      <c r="D15617" s="69" t="s">
        <v>29419</v>
      </c>
      <c r="E15617" s="51"/>
      <c r="F15617" s="114" t="str">
        <f>IF(INDEX(I.Facility.P3IDNumber,605)="","",INDEX(I.Facility.P3IDNumber,605))</f>
        <v/>
      </c>
      <c r="G15617" s="51"/>
      <c r="H15617" s="46" t="str">
        <f>IF(AND(I.Developer.P3=TRUE,I.Facility.P3FacilityCount&gt;=605,F15617=""),"Incomplete","Complete")</f>
        <v>Complete</v>
      </c>
      <c r="I15617" s="48" t="s">
        <v>19982</v>
      </c>
    </row>
    <row r="15618" spans="2:9" ht="15" customHeight="1" x14ac:dyDescent="0.25">
      <c r="B15618" s="55" t="s">
        <v>282</v>
      </c>
      <c r="C15618" s="46">
        <v>606</v>
      </c>
      <c r="D15618" s="69" t="s">
        <v>29419</v>
      </c>
      <c r="E15618" s="51"/>
      <c r="F15618" s="114" t="str">
        <f>IF(INDEX(I.Facility.P3IDNumber,606)="","",INDEX(I.Facility.P3IDNumber,606))</f>
        <v/>
      </c>
      <c r="G15618" s="51"/>
      <c r="H15618" s="46" t="str">
        <f>IF(AND(I.Developer.P3=TRUE,I.Facility.P3FacilityCount&gt;=606,F15618=""),"Incomplete","Complete")</f>
        <v>Complete</v>
      </c>
      <c r="I15618" s="48" t="s">
        <v>19983</v>
      </c>
    </row>
    <row r="15619" spans="2:9" ht="15" customHeight="1" x14ac:dyDescent="0.25">
      <c r="B15619" s="55" t="s">
        <v>282</v>
      </c>
      <c r="C15619" s="46">
        <v>607</v>
      </c>
      <c r="D15619" s="69" t="s">
        <v>29419</v>
      </c>
      <c r="E15619" s="51"/>
      <c r="F15619" s="114" t="str">
        <f>IF(INDEX(I.Facility.P3IDNumber,607)="","",INDEX(I.Facility.P3IDNumber,607))</f>
        <v/>
      </c>
      <c r="G15619" s="51"/>
      <c r="H15619" s="46" t="str">
        <f>IF(AND(I.Developer.P3=TRUE,I.Facility.P3FacilityCount&gt;=607,F15619=""),"Incomplete","Complete")</f>
        <v>Complete</v>
      </c>
      <c r="I15619" s="48" t="s">
        <v>19984</v>
      </c>
    </row>
    <row r="15620" spans="2:9" ht="15" customHeight="1" x14ac:dyDescent="0.25">
      <c r="B15620" s="55" t="s">
        <v>282</v>
      </c>
      <c r="C15620" s="46">
        <v>608</v>
      </c>
      <c r="D15620" s="69" t="s">
        <v>29419</v>
      </c>
      <c r="E15620" s="51"/>
      <c r="F15620" s="114" t="str">
        <f>IF(INDEX(I.Facility.P3IDNumber,608)="","",INDEX(I.Facility.P3IDNumber,608))</f>
        <v/>
      </c>
      <c r="G15620" s="51"/>
      <c r="H15620" s="46" t="str">
        <f>IF(AND(I.Developer.P3=TRUE,I.Facility.P3FacilityCount&gt;=608,F15620=""),"Incomplete","Complete")</f>
        <v>Complete</v>
      </c>
      <c r="I15620" s="48" t="s">
        <v>19985</v>
      </c>
    </row>
    <row r="15621" spans="2:9" ht="15" customHeight="1" x14ac:dyDescent="0.25">
      <c r="B15621" s="55" t="s">
        <v>282</v>
      </c>
      <c r="C15621" s="46">
        <v>609</v>
      </c>
      <c r="D15621" s="69" t="s">
        <v>29419</v>
      </c>
      <c r="E15621" s="51"/>
      <c r="F15621" s="114" t="str">
        <f>IF(INDEX(I.Facility.P3IDNumber,609)="","",INDEX(I.Facility.P3IDNumber,609))</f>
        <v/>
      </c>
      <c r="G15621" s="51"/>
      <c r="H15621" s="46" t="str">
        <f>IF(AND(I.Developer.P3=TRUE,I.Facility.P3FacilityCount&gt;=609,F15621=""),"Incomplete","Complete")</f>
        <v>Complete</v>
      </c>
      <c r="I15621" s="48" t="s">
        <v>19986</v>
      </c>
    </row>
    <row r="15622" spans="2:9" ht="15" customHeight="1" x14ac:dyDescent="0.25">
      <c r="B15622" s="55" t="s">
        <v>282</v>
      </c>
      <c r="C15622" s="46">
        <v>610</v>
      </c>
      <c r="D15622" s="69" t="s">
        <v>29419</v>
      </c>
      <c r="E15622" s="51"/>
      <c r="F15622" s="114" t="str">
        <f>IF(INDEX(I.Facility.P3IDNumber,610)="","",INDEX(I.Facility.P3IDNumber,610))</f>
        <v/>
      </c>
      <c r="G15622" s="51"/>
      <c r="H15622" s="46" t="str">
        <f>IF(AND(I.Developer.P3=TRUE,I.Facility.P3FacilityCount&gt;=610,F15622=""),"Incomplete","Complete")</f>
        <v>Complete</v>
      </c>
      <c r="I15622" s="48" t="s">
        <v>19987</v>
      </c>
    </row>
    <row r="15623" spans="2:9" ht="15" customHeight="1" x14ac:dyDescent="0.25">
      <c r="B15623" s="55" t="s">
        <v>282</v>
      </c>
      <c r="C15623" s="46">
        <v>611</v>
      </c>
      <c r="D15623" s="69" t="s">
        <v>29419</v>
      </c>
      <c r="E15623" s="51"/>
      <c r="F15623" s="114" t="str">
        <f>IF(INDEX(I.Facility.P3IDNumber,611)="","",INDEX(I.Facility.P3IDNumber,611))</f>
        <v/>
      </c>
      <c r="G15623" s="51"/>
      <c r="H15623" s="46" t="str">
        <f>IF(AND(I.Developer.P3=TRUE,I.Facility.P3FacilityCount&gt;=611,F15623=""),"Incomplete","Complete")</f>
        <v>Complete</v>
      </c>
      <c r="I15623" s="48" t="s">
        <v>19988</v>
      </c>
    </row>
    <row r="15624" spans="2:9" ht="15" customHeight="1" x14ac:dyDescent="0.25">
      <c r="B15624" s="55" t="s">
        <v>282</v>
      </c>
      <c r="C15624" s="46">
        <v>612</v>
      </c>
      <c r="D15624" s="69" t="s">
        <v>29419</v>
      </c>
      <c r="E15624" s="51"/>
      <c r="F15624" s="114" t="str">
        <f>IF(INDEX(I.Facility.P3IDNumber,612)="","",INDEX(I.Facility.P3IDNumber,612))</f>
        <v/>
      </c>
      <c r="G15624" s="51"/>
      <c r="H15624" s="46" t="str">
        <f>IF(AND(I.Developer.P3=TRUE,I.Facility.P3FacilityCount&gt;=612,F15624=""),"Incomplete","Complete")</f>
        <v>Complete</v>
      </c>
      <c r="I15624" s="48" t="s">
        <v>19989</v>
      </c>
    </row>
    <row r="15625" spans="2:9" ht="15" customHeight="1" x14ac:dyDescent="0.25">
      <c r="B15625" s="55" t="s">
        <v>282</v>
      </c>
      <c r="C15625" s="46">
        <v>613</v>
      </c>
      <c r="D15625" s="69" t="s">
        <v>29419</v>
      </c>
      <c r="E15625" s="51"/>
      <c r="F15625" s="114" t="str">
        <f>IF(INDEX(I.Facility.P3IDNumber,613)="","",INDEX(I.Facility.P3IDNumber,613))</f>
        <v/>
      </c>
      <c r="G15625" s="51"/>
      <c r="H15625" s="46" t="str">
        <f>IF(AND(I.Developer.P3=TRUE,I.Facility.P3FacilityCount&gt;=613,F15625=""),"Incomplete","Complete")</f>
        <v>Complete</v>
      </c>
      <c r="I15625" s="48" t="s">
        <v>19990</v>
      </c>
    </row>
    <row r="15626" spans="2:9" ht="15" customHeight="1" x14ac:dyDescent="0.25">
      <c r="B15626" s="55" t="s">
        <v>282</v>
      </c>
      <c r="C15626" s="46">
        <v>614</v>
      </c>
      <c r="D15626" s="69" t="s">
        <v>29419</v>
      </c>
      <c r="E15626" s="51"/>
      <c r="F15626" s="114" t="str">
        <f>IF(INDEX(I.Facility.P3IDNumber,614)="","",INDEX(I.Facility.P3IDNumber,614))</f>
        <v/>
      </c>
      <c r="G15626" s="51"/>
      <c r="H15626" s="46" t="str">
        <f>IF(AND(I.Developer.P3=TRUE,I.Facility.P3FacilityCount&gt;=614,F15626=""),"Incomplete","Complete")</f>
        <v>Complete</v>
      </c>
      <c r="I15626" s="48" t="s">
        <v>19991</v>
      </c>
    </row>
    <row r="15627" spans="2:9" ht="15" customHeight="1" x14ac:dyDescent="0.25">
      <c r="B15627" s="55" t="s">
        <v>282</v>
      </c>
      <c r="C15627" s="46">
        <v>615</v>
      </c>
      <c r="D15627" s="69" t="s">
        <v>29419</v>
      </c>
      <c r="E15627" s="51"/>
      <c r="F15627" s="114" t="str">
        <f>IF(INDEX(I.Facility.P3IDNumber,615)="","",INDEX(I.Facility.P3IDNumber,615))</f>
        <v/>
      </c>
      <c r="G15627" s="51"/>
      <c r="H15627" s="46" t="str">
        <f>IF(AND(I.Developer.P3=TRUE,I.Facility.P3FacilityCount&gt;=615,F15627=""),"Incomplete","Complete")</f>
        <v>Complete</v>
      </c>
      <c r="I15627" s="48" t="s">
        <v>19992</v>
      </c>
    </row>
    <row r="15628" spans="2:9" ht="15" customHeight="1" x14ac:dyDescent="0.25">
      <c r="B15628" s="55" t="s">
        <v>282</v>
      </c>
      <c r="C15628" s="46">
        <v>616</v>
      </c>
      <c r="D15628" s="69" t="s">
        <v>29419</v>
      </c>
      <c r="E15628" s="51"/>
      <c r="F15628" s="114" t="str">
        <f>IF(INDEX(I.Facility.P3IDNumber,616)="","",INDEX(I.Facility.P3IDNumber,616))</f>
        <v/>
      </c>
      <c r="G15628" s="51"/>
      <c r="H15628" s="46" t="str">
        <f>IF(AND(I.Developer.P3=TRUE,I.Facility.P3FacilityCount&gt;=616,F15628=""),"Incomplete","Complete")</f>
        <v>Complete</v>
      </c>
      <c r="I15628" s="48" t="s">
        <v>19993</v>
      </c>
    </row>
    <row r="15629" spans="2:9" ht="15" customHeight="1" x14ac:dyDescent="0.25">
      <c r="B15629" s="55" t="s">
        <v>282</v>
      </c>
      <c r="C15629" s="46">
        <v>617</v>
      </c>
      <c r="D15629" s="69" t="s">
        <v>29419</v>
      </c>
      <c r="E15629" s="51"/>
      <c r="F15629" s="114" t="str">
        <f>IF(INDEX(I.Facility.P3IDNumber,617)="","",INDEX(I.Facility.P3IDNumber,617))</f>
        <v/>
      </c>
      <c r="G15629" s="51"/>
      <c r="H15629" s="46" t="str">
        <f>IF(AND(I.Developer.P3=TRUE,I.Facility.P3FacilityCount&gt;=617,F15629=""),"Incomplete","Complete")</f>
        <v>Complete</v>
      </c>
      <c r="I15629" s="48" t="s">
        <v>19994</v>
      </c>
    </row>
    <row r="15630" spans="2:9" ht="15" customHeight="1" x14ac:dyDescent="0.25">
      <c r="B15630" s="55" t="s">
        <v>282</v>
      </c>
      <c r="C15630" s="46">
        <v>618</v>
      </c>
      <c r="D15630" s="69" t="s">
        <v>29419</v>
      </c>
      <c r="E15630" s="51"/>
      <c r="F15630" s="114" t="str">
        <f>IF(INDEX(I.Facility.P3IDNumber,618)="","",INDEX(I.Facility.P3IDNumber,618))</f>
        <v/>
      </c>
      <c r="G15630" s="51"/>
      <c r="H15630" s="46" t="str">
        <f>IF(AND(I.Developer.P3=TRUE,I.Facility.P3FacilityCount&gt;=618,F15630=""),"Incomplete","Complete")</f>
        <v>Complete</v>
      </c>
      <c r="I15630" s="48" t="s">
        <v>19995</v>
      </c>
    </row>
    <row r="15631" spans="2:9" ht="15" customHeight="1" x14ac:dyDescent="0.25">
      <c r="B15631" s="55" t="s">
        <v>282</v>
      </c>
      <c r="C15631" s="46">
        <v>619</v>
      </c>
      <c r="D15631" s="69" t="s">
        <v>29419</v>
      </c>
      <c r="E15631" s="51"/>
      <c r="F15631" s="114" t="str">
        <f>IF(INDEX(I.Facility.P3IDNumber,619)="","",INDEX(I.Facility.P3IDNumber,619))</f>
        <v/>
      </c>
      <c r="G15631" s="51"/>
      <c r="H15631" s="46" t="str">
        <f>IF(AND(I.Developer.P3=TRUE,I.Facility.P3FacilityCount&gt;=619,F15631=""),"Incomplete","Complete")</f>
        <v>Complete</v>
      </c>
      <c r="I15631" s="48" t="s">
        <v>19996</v>
      </c>
    </row>
    <row r="15632" spans="2:9" ht="15" customHeight="1" x14ac:dyDescent="0.25">
      <c r="B15632" s="55" t="s">
        <v>282</v>
      </c>
      <c r="C15632" s="46">
        <v>620</v>
      </c>
      <c r="D15632" s="69" t="s">
        <v>29419</v>
      </c>
      <c r="E15632" s="51"/>
      <c r="F15632" s="114" t="str">
        <f>IF(INDEX(I.Facility.P3IDNumber,620)="","",INDEX(I.Facility.P3IDNumber,620))</f>
        <v/>
      </c>
      <c r="G15632" s="51"/>
      <c r="H15632" s="46" t="str">
        <f>IF(AND(I.Developer.P3=TRUE,I.Facility.P3FacilityCount&gt;=620,F15632=""),"Incomplete","Complete")</f>
        <v>Complete</v>
      </c>
      <c r="I15632" s="48" t="s">
        <v>19997</v>
      </c>
    </row>
    <row r="15633" spans="2:9" ht="15" customHeight="1" x14ac:dyDescent="0.25">
      <c r="B15633" s="55" t="s">
        <v>282</v>
      </c>
      <c r="C15633" s="46">
        <v>621</v>
      </c>
      <c r="D15633" s="69" t="s">
        <v>29419</v>
      </c>
      <c r="E15633" s="51"/>
      <c r="F15633" s="114" t="str">
        <f>IF(INDEX(I.Facility.P3IDNumber,621)="","",INDEX(I.Facility.P3IDNumber,621))</f>
        <v/>
      </c>
      <c r="G15633" s="51"/>
      <c r="H15633" s="46" t="str">
        <f>IF(AND(I.Developer.P3=TRUE,I.Facility.P3FacilityCount&gt;=621,F15633=""),"Incomplete","Complete")</f>
        <v>Complete</v>
      </c>
      <c r="I15633" s="48" t="s">
        <v>19998</v>
      </c>
    </row>
    <row r="15634" spans="2:9" ht="15" customHeight="1" x14ac:dyDescent="0.25">
      <c r="B15634" s="55" t="s">
        <v>282</v>
      </c>
      <c r="C15634" s="46">
        <v>622</v>
      </c>
      <c r="D15634" s="69" t="s">
        <v>29419</v>
      </c>
      <c r="E15634" s="51"/>
      <c r="F15634" s="114" t="str">
        <f>IF(INDEX(I.Facility.P3IDNumber,622)="","",INDEX(I.Facility.P3IDNumber,622))</f>
        <v/>
      </c>
      <c r="G15634" s="51"/>
      <c r="H15634" s="46" t="str">
        <f>IF(AND(I.Developer.P3=TRUE,I.Facility.P3FacilityCount&gt;=622,F15634=""),"Incomplete","Complete")</f>
        <v>Complete</v>
      </c>
      <c r="I15634" s="48" t="s">
        <v>19999</v>
      </c>
    </row>
    <row r="15635" spans="2:9" ht="15" customHeight="1" x14ac:dyDescent="0.25">
      <c r="B15635" s="55" t="s">
        <v>282</v>
      </c>
      <c r="C15635" s="46">
        <v>623</v>
      </c>
      <c r="D15635" s="69" t="s">
        <v>29419</v>
      </c>
      <c r="E15635" s="51"/>
      <c r="F15635" s="114" t="str">
        <f>IF(INDEX(I.Facility.P3IDNumber,623)="","",INDEX(I.Facility.P3IDNumber,623))</f>
        <v/>
      </c>
      <c r="G15635" s="51"/>
      <c r="H15635" s="46" t="str">
        <f>IF(AND(I.Developer.P3=TRUE,I.Facility.P3FacilityCount&gt;=623,F15635=""),"Incomplete","Complete")</f>
        <v>Complete</v>
      </c>
      <c r="I15635" s="48" t="s">
        <v>20000</v>
      </c>
    </row>
    <row r="15636" spans="2:9" ht="15" customHeight="1" x14ac:dyDescent="0.25">
      <c r="B15636" s="55" t="s">
        <v>282</v>
      </c>
      <c r="C15636" s="46">
        <v>624</v>
      </c>
      <c r="D15636" s="69" t="s">
        <v>29419</v>
      </c>
      <c r="E15636" s="51"/>
      <c r="F15636" s="114" t="str">
        <f>IF(INDEX(I.Facility.P3IDNumber,624)="","",INDEX(I.Facility.P3IDNumber,624))</f>
        <v/>
      </c>
      <c r="G15636" s="51"/>
      <c r="H15636" s="46" t="str">
        <f>IF(AND(I.Developer.P3=TRUE,I.Facility.P3FacilityCount&gt;=624,F15636=""),"Incomplete","Complete")</f>
        <v>Complete</v>
      </c>
      <c r="I15636" s="48" t="s">
        <v>20001</v>
      </c>
    </row>
    <row r="15637" spans="2:9" ht="15" customHeight="1" x14ac:dyDescent="0.25">
      <c r="B15637" s="55" t="s">
        <v>282</v>
      </c>
      <c r="C15637" s="46">
        <v>625</v>
      </c>
      <c r="D15637" s="69" t="s">
        <v>29419</v>
      </c>
      <c r="E15637" s="51"/>
      <c r="F15637" s="114" t="str">
        <f>IF(INDEX(I.Facility.P3IDNumber,625)="","",INDEX(I.Facility.P3IDNumber,625))</f>
        <v/>
      </c>
      <c r="G15637" s="51"/>
      <c r="H15637" s="46" t="str">
        <f>IF(AND(I.Developer.P3=TRUE,I.Facility.P3FacilityCount&gt;=625,F15637=""),"Incomplete","Complete")</f>
        <v>Complete</v>
      </c>
      <c r="I15637" s="48" t="s">
        <v>20002</v>
      </c>
    </row>
    <row r="15638" spans="2:9" ht="15" customHeight="1" x14ac:dyDescent="0.25">
      <c r="B15638" s="55" t="s">
        <v>282</v>
      </c>
      <c r="C15638" s="46">
        <v>626</v>
      </c>
      <c r="D15638" s="69" t="s">
        <v>29419</v>
      </c>
      <c r="E15638" s="51"/>
      <c r="F15638" s="114" t="str">
        <f>IF(INDEX(I.Facility.P3IDNumber,626)="","",INDEX(I.Facility.P3IDNumber,626))</f>
        <v/>
      </c>
      <c r="G15638" s="51"/>
      <c r="H15638" s="46" t="str">
        <f>IF(AND(I.Developer.P3=TRUE,I.Facility.P3FacilityCount&gt;=626,F15638=""),"Incomplete","Complete")</f>
        <v>Complete</v>
      </c>
      <c r="I15638" s="48" t="s">
        <v>20003</v>
      </c>
    </row>
    <row r="15639" spans="2:9" ht="15" customHeight="1" x14ac:dyDescent="0.25">
      <c r="B15639" s="55" t="s">
        <v>282</v>
      </c>
      <c r="C15639" s="46">
        <v>627</v>
      </c>
      <c r="D15639" s="69" t="s">
        <v>29419</v>
      </c>
      <c r="E15639" s="51"/>
      <c r="F15639" s="114" t="str">
        <f>IF(INDEX(I.Facility.P3IDNumber,627)="","",INDEX(I.Facility.P3IDNumber,627))</f>
        <v/>
      </c>
      <c r="G15639" s="51"/>
      <c r="H15639" s="46" t="str">
        <f>IF(AND(I.Developer.P3=TRUE,I.Facility.P3FacilityCount&gt;=627,F15639=""),"Incomplete","Complete")</f>
        <v>Complete</v>
      </c>
      <c r="I15639" s="48" t="s">
        <v>20004</v>
      </c>
    </row>
    <row r="15640" spans="2:9" ht="15" customHeight="1" x14ac:dyDescent="0.25">
      <c r="B15640" s="55" t="s">
        <v>282</v>
      </c>
      <c r="C15640" s="46">
        <v>628</v>
      </c>
      <c r="D15640" s="69" t="s">
        <v>29419</v>
      </c>
      <c r="E15640" s="51"/>
      <c r="F15640" s="114" t="str">
        <f>IF(INDEX(I.Facility.P3IDNumber,628)="","",INDEX(I.Facility.P3IDNumber,628))</f>
        <v/>
      </c>
      <c r="G15640" s="51"/>
      <c r="H15640" s="46" t="str">
        <f>IF(AND(I.Developer.P3=TRUE,I.Facility.P3FacilityCount&gt;=628,F15640=""),"Incomplete","Complete")</f>
        <v>Complete</v>
      </c>
      <c r="I15640" s="48" t="s">
        <v>20005</v>
      </c>
    </row>
    <row r="15641" spans="2:9" ht="15" customHeight="1" x14ac:dyDescent="0.25">
      <c r="B15641" s="55" t="s">
        <v>282</v>
      </c>
      <c r="C15641" s="46">
        <v>629</v>
      </c>
      <c r="D15641" s="69" t="s">
        <v>29419</v>
      </c>
      <c r="E15641" s="51"/>
      <c r="F15641" s="114" t="str">
        <f>IF(INDEX(I.Facility.P3IDNumber,629)="","",INDEX(I.Facility.P3IDNumber,629))</f>
        <v/>
      </c>
      <c r="G15641" s="51"/>
      <c r="H15641" s="46" t="str">
        <f>IF(AND(I.Developer.P3=TRUE,I.Facility.P3FacilityCount&gt;=629,F15641=""),"Incomplete","Complete")</f>
        <v>Complete</v>
      </c>
      <c r="I15641" s="48" t="s">
        <v>20006</v>
      </c>
    </row>
    <row r="15642" spans="2:9" ht="15" customHeight="1" x14ac:dyDescent="0.25">
      <c r="B15642" s="55" t="s">
        <v>282</v>
      </c>
      <c r="C15642" s="46">
        <v>630</v>
      </c>
      <c r="D15642" s="69" t="s">
        <v>29419</v>
      </c>
      <c r="E15642" s="51"/>
      <c r="F15642" s="114" t="str">
        <f>IF(INDEX(I.Facility.P3IDNumber,630)="","",INDEX(I.Facility.P3IDNumber,630))</f>
        <v/>
      </c>
      <c r="G15642" s="51"/>
      <c r="H15642" s="46" t="str">
        <f>IF(AND(I.Developer.P3=TRUE,I.Facility.P3FacilityCount&gt;=630,F15642=""),"Incomplete","Complete")</f>
        <v>Complete</v>
      </c>
      <c r="I15642" s="48" t="s">
        <v>20007</v>
      </c>
    </row>
    <row r="15643" spans="2:9" ht="15" customHeight="1" x14ac:dyDescent="0.25">
      <c r="B15643" s="55" t="s">
        <v>282</v>
      </c>
      <c r="C15643" s="46">
        <v>631</v>
      </c>
      <c r="D15643" s="69" t="s">
        <v>29419</v>
      </c>
      <c r="E15643" s="51"/>
      <c r="F15643" s="114" t="str">
        <f>IF(INDEX(I.Facility.P3IDNumber,631)="","",INDEX(I.Facility.P3IDNumber,631))</f>
        <v/>
      </c>
      <c r="G15643" s="51"/>
      <c r="H15643" s="46" t="str">
        <f>IF(AND(I.Developer.P3=TRUE,I.Facility.P3FacilityCount&gt;=631,F15643=""),"Incomplete","Complete")</f>
        <v>Complete</v>
      </c>
      <c r="I15643" s="48" t="s">
        <v>20008</v>
      </c>
    </row>
    <row r="15644" spans="2:9" ht="15" customHeight="1" x14ac:dyDescent="0.25">
      <c r="B15644" s="55" t="s">
        <v>282</v>
      </c>
      <c r="C15644" s="46">
        <v>632</v>
      </c>
      <c r="D15644" s="69" t="s">
        <v>29419</v>
      </c>
      <c r="E15644" s="51"/>
      <c r="F15644" s="114" t="str">
        <f>IF(INDEX(I.Facility.P3IDNumber,632)="","",INDEX(I.Facility.P3IDNumber,632))</f>
        <v/>
      </c>
      <c r="G15644" s="51"/>
      <c r="H15644" s="46" t="str">
        <f>IF(AND(I.Developer.P3=TRUE,I.Facility.P3FacilityCount&gt;=632,F15644=""),"Incomplete","Complete")</f>
        <v>Complete</v>
      </c>
      <c r="I15644" s="48" t="s">
        <v>20009</v>
      </c>
    </row>
    <row r="15645" spans="2:9" ht="15" customHeight="1" x14ac:dyDescent="0.25">
      <c r="B15645" s="55" t="s">
        <v>282</v>
      </c>
      <c r="C15645" s="46">
        <v>633</v>
      </c>
      <c r="D15645" s="69" t="s">
        <v>29419</v>
      </c>
      <c r="E15645" s="51"/>
      <c r="F15645" s="114" t="str">
        <f>IF(INDEX(I.Facility.P3IDNumber,633)="","",INDEX(I.Facility.P3IDNumber,633))</f>
        <v/>
      </c>
      <c r="G15645" s="51"/>
      <c r="H15645" s="46" t="str">
        <f>IF(AND(I.Developer.P3=TRUE,I.Facility.P3FacilityCount&gt;=633,F15645=""),"Incomplete","Complete")</f>
        <v>Complete</v>
      </c>
      <c r="I15645" s="48" t="s">
        <v>20010</v>
      </c>
    </row>
    <row r="15646" spans="2:9" ht="15" customHeight="1" x14ac:dyDescent="0.25">
      <c r="B15646" s="55" t="s">
        <v>282</v>
      </c>
      <c r="C15646" s="46">
        <v>634</v>
      </c>
      <c r="D15646" s="69" t="s">
        <v>29419</v>
      </c>
      <c r="E15646" s="51"/>
      <c r="F15646" s="114" t="str">
        <f>IF(INDEX(I.Facility.P3IDNumber,634)="","",INDEX(I.Facility.P3IDNumber,634))</f>
        <v/>
      </c>
      <c r="G15646" s="51"/>
      <c r="H15646" s="46" t="str">
        <f>IF(AND(I.Developer.P3=TRUE,I.Facility.P3FacilityCount&gt;=634,F15646=""),"Incomplete","Complete")</f>
        <v>Complete</v>
      </c>
      <c r="I15646" s="48" t="s">
        <v>20011</v>
      </c>
    </row>
    <row r="15647" spans="2:9" ht="15" customHeight="1" x14ac:dyDescent="0.25">
      <c r="B15647" s="55" t="s">
        <v>282</v>
      </c>
      <c r="C15647" s="46">
        <v>635</v>
      </c>
      <c r="D15647" s="69" t="s">
        <v>29419</v>
      </c>
      <c r="E15647" s="51"/>
      <c r="F15647" s="114" t="str">
        <f>IF(INDEX(I.Facility.P3IDNumber,635)="","",INDEX(I.Facility.P3IDNumber,635))</f>
        <v/>
      </c>
      <c r="G15647" s="51"/>
      <c r="H15647" s="46" t="str">
        <f>IF(AND(I.Developer.P3=TRUE,I.Facility.P3FacilityCount&gt;=635,F15647=""),"Incomplete","Complete")</f>
        <v>Complete</v>
      </c>
      <c r="I15647" s="48" t="s">
        <v>20012</v>
      </c>
    </row>
    <row r="15648" spans="2:9" ht="15" customHeight="1" x14ac:dyDescent="0.25">
      <c r="B15648" s="55" t="s">
        <v>282</v>
      </c>
      <c r="C15648" s="46">
        <v>636</v>
      </c>
      <c r="D15648" s="69" t="s">
        <v>29419</v>
      </c>
      <c r="E15648" s="51"/>
      <c r="F15648" s="114" t="str">
        <f>IF(INDEX(I.Facility.P3IDNumber,636)="","",INDEX(I.Facility.P3IDNumber,636))</f>
        <v/>
      </c>
      <c r="G15648" s="51"/>
      <c r="H15648" s="46" t="str">
        <f>IF(AND(I.Developer.P3=TRUE,I.Facility.P3FacilityCount&gt;=636,F15648=""),"Incomplete","Complete")</f>
        <v>Complete</v>
      </c>
      <c r="I15648" s="48" t="s">
        <v>20013</v>
      </c>
    </row>
    <row r="15649" spans="2:9" ht="15" customHeight="1" x14ac:dyDescent="0.25">
      <c r="B15649" s="55" t="s">
        <v>282</v>
      </c>
      <c r="C15649" s="46">
        <v>637</v>
      </c>
      <c r="D15649" s="69" t="s">
        <v>29419</v>
      </c>
      <c r="E15649" s="51"/>
      <c r="F15649" s="114" t="str">
        <f>IF(INDEX(I.Facility.P3IDNumber,637)="","",INDEX(I.Facility.P3IDNumber,637))</f>
        <v/>
      </c>
      <c r="G15649" s="51"/>
      <c r="H15649" s="46" t="str">
        <f>IF(AND(I.Developer.P3=TRUE,I.Facility.P3FacilityCount&gt;=637,F15649=""),"Incomplete","Complete")</f>
        <v>Complete</v>
      </c>
      <c r="I15649" s="48" t="s">
        <v>20014</v>
      </c>
    </row>
    <row r="15650" spans="2:9" ht="15" customHeight="1" x14ac:dyDescent="0.25">
      <c r="B15650" s="55" t="s">
        <v>282</v>
      </c>
      <c r="C15650" s="46">
        <v>638</v>
      </c>
      <c r="D15650" s="69" t="s">
        <v>29419</v>
      </c>
      <c r="E15650" s="51"/>
      <c r="F15650" s="114" t="str">
        <f>IF(INDEX(I.Facility.P3IDNumber,638)="","",INDEX(I.Facility.P3IDNumber,638))</f>
        <v/>
      </c>
      <c r="G15650" s="51"/>
      <c r="H15650" s="46" t="str">
        <f>IF(AND(I.Developer.P3=TRUE,I.Facility.P3FacilityCount&gt;=638,F15650=""),"Incomplete","Complete")</f>
        <v>Complete</v>
      </c>
      <c r="I15650" s="48" t="s">
        <v>20015</v>
      </c>
    </row>
    <row r="15651" spans="2:9" ht="15" customHeight="1" x14ac:dyDescent="0.25">
      <c r="B15651" s="55" t="s">
        <v>282</v>
      </c>
      <c r="C15651" s="46">
        <v>639</v>
      </c>
      <c r="D15651" s="69" t="s">
        <v>29419</v>
      </c>
      <c r="E15651" s="51"/>
      <c r="F15651" s="114" t="str">
        <f>IF(INDEX(I.Facility.P3IDNumber,639)="","",INDEX(I.Facility.P3IDNumber,639))</f>
        <v/>
      </c>
      <c r="G15651" s="51"/>
      <c r="H15651" s="46" t="str">
        <f>IF(AND(I.Developer.P3=TRUE,I.Facility.P3FacilityCount&gt;=639,F15651=""),"Incomplete","Complete")</f>
        <v>Complete</v>
      </c>
      <c r="I15651" s="48" t="s">
        <v>20016</v>
      </c>
    </row>
    <row r="15652" spans="2:9" ht="15" customHeight="1" x14ac:dyDescent="0.25">
      <c r="B15652" s="55" t="s">
        <v>282</v>
      </c>
      <c r="C15652" s="46">
        <v>640</v>
      </c>
      <c r="D15652" s="69" t="s">
        <v>29419</v>
      </c>
      <c r="E15652" s="51"/>
      <c r="F15652" s="114" t="str">
        <f>IF(INDEX(I.Facility.P3IDNumber,640)="","",INDEX(I.Facility.P3IDNumber,640))</f>
        <v/>
      </c>
      <c r="G15652" s="51"/>
      <c r="H15652" s="46" t="str">
        <f>IF(AND(I.Developer.P3=TRUE,I.Facility.P3FacilityCount&gt;=640,F15652=""),"Incomplete","Complete")</f>
        <v>Complete</v>
      </c>
      <c r="I15652" s="48" t="s">
        <v>20017</v>
      </c>
    </row>
    <row r="15653" spans="2:9" ht="15" customHeight="1" x14ac:dyDescent="0.25">
      <c r="B15653" s="55" t="s">
        <v>282</v>
      </c>
      <c r="C15653" s="46">
        <v>641</v>
      </c>
      <c r="D15653" s="69" t="s">
        <v>29419</v>
      </c>
      <c r="E15653" s="51"/>
      <c r="F15653" s="114" t="str">
        <f>IF(INDEX(I.Facility.P3IDNumber,641)="","",INDEX(I.Facility.P3IDNumber,641))</f>
        <v/>
      </c>
      <c r="G15653" s="51"/>
      <c r="H15653" s="46" t="str">
        <f>IF(AND(I.Developer.P3=TRUE,I.Facility.P3FacilityCount&gt;=641,F15653=""),"Incomplete","Complete")</f>
        <v>Complete</v>
      </c>
      <c r="I15653" s="48" t="s">
        <v>20018</v>
      </c>
    </row>
    <row r="15654" spans="2:9" ht="15" customHeight="1" x14ac:dyDescent="0.25">
      <c r="B15654" s="55" t="s">
        <v>282</v>
      </c>
      <c r="C15654" s="46">
        <v>642</v>
      </c>
      <c r="D15654" s="69" t="s">
        <v>29419</v>
      </c>
      <c r="E15654" s="51"/>
      <c r="F15654" s="114" t="str">
        <f>IF(INDEX(I.Facility.P3IDNumber,642)="","",INDEX(I.Facility.P3IDNumber,642))</f>
        <v/>
      </c>
      <c r="G15654" s="51"/>
      <c r="H15654" s="46" t="str">
        <f>IF(AND(I.Developer.P3=TRUE,I.Facility.P3FacilityCount&gt;=642,F15654=""),"Incomplete","Complete")</f>
        <v>Complete</v>
      </c>
      <c r="I15654" s="48" t="s">
        <v>20019</v>
      </c>
    </row>
    <row r="15655" spans="2:9" ht="15" customHeight="1" x14ac:dyDescent="0.25">
      <c r="B15655" s="55" t="s">
        <v>282</v>
      </c>
      <c r="C15655" s="46">
        <v>643</v>
      </c>
      <c r="D15655" s="69" t="s">
        <v>29419</v>
      </c>
      <c r="E15655" s="51"/>
      <c r="F15655" s="114" t="str">
        <f>IF(INDEX(I.Facility.P3IDNumber,643)="","",INDEX(I.Facility.P3IDNumber,643))</f>
        <v/>
      </c>
      <c r="G15655" s="51"/>
      <c r="H15655" s="46" t="str">
        <f>IF(AND(I.Developer.P3=TRUE,I.Facility.P3FacilityCount&gt;=643,F15655=""),"Incomplete","Complete")</f>
        <v>Complete</v>
      </c>
      <c r="I15655" s="48" t="s">
        <v>20020</v>
      </c>
    </row>
    <row r="15656" spans="2:9" ht="15" customHeight="1" x14ac:dyDescent="0.25">
      <c r="B15656" s="55" t="s">
        <v>282</v>
      </c>
      <c r="C15656" s="46">
        <v>644</v>
      </c>
      <c r="D15656" s="69" t="s">
        <v>29419</v>
      </c>
      <c r="E15656" s="51"/>
      <c r="F15656" s="114" t="str">
        <f>IF(INDEX(I.Facility.P3IDNumber,644)="","",INDEX(I.Facility.P3IDNumber,644))</f>
        <v/>
      </c>
      <c r="G15656" s="51"/>
      <c r="H15656" s="46" t="str">
        <f>IF(AND(I.Developer.P3=TRUE,I.Facility.P3FacilityCount&gt;=644,F15656=""),"Incomplete","Complete")</f>
        <v>Complete</v>
      </c>
      <c r="I15656" s="48" t="s">
        <v>20021</v>
      </c>
    </row>
    <row r="15657" spans="2:9" ht="15" customHeight="1" x14ac:dyDescent="0.25">
      <c r="B15657" s="55" t="s">
        <v>282</v>
      </c>
      <c r="C15657" s="46">
        <v>645</v>
      </c>
      <c r="D15657" s="69" t="s">
        <v>29419</v>
      </c>
      <c r="E15657" s="51"/>
      <c r="F15657" s="114" t="str">
        <f>IF(INDEX(I.Facility.P3IDNumber,645)="","",INDEX(I.Facility.P3IDNumber,645))</f>
        <v/>
      </c>
      <c r="G15657" s="51"/>
      <c r="H15657" s="46" t="str">
        <f>IF(AND(I.Developer.P3=TRUE,I.Facility.P3FacilityCount&gt;=645,F15657=""),"Incomplete","Complete")</f>
        <v>Complete</v>
      </c>
      <c r="I15657" s="48" t="s">
        <v>20022</v>
      </c>
    </row>
    <row r="15658" spans="2:9" ht="15" customHeight="1" x14ac:dyDescent="0.25">
      <c r="B15658" s="55" t="s">
        <v>282</v>
      </c>
      <c r="C15658" s="46">
        <v>646</v>
      </c>
      <c r="D15658" s="69" t="s">
        <v>29419</v>
      </c>
      <c r="E15658" s="51"/>
      <c r="F15658" s="114" t="str">
        <f>IF(INDEX(I.Facility.P3IDNumber,646)="","",INDEX(I.Facility.P3IDNumber,646))</f>
        <v/>
      </c>
      <c r="G15658" s="51"/>
      <c r="H15658" s="46" t="str">
        <f>IF(AND(I.Developer.P3=TRUE,I.Facility.P3FacilityCount&gt;=646,F15658=""),"Incomplete","Complete")</f>
        <v>Complete</v>
      </c>
      <c r="I15658" s="48" t="s">
        <v>20023</v>
      </c>
    </row>
    <row r="15659" spans="2:9" ht="15" customHeight="1" x14ac:dyDescent="0.25">
      <c r="B15659" s="55" t="s">
        <v>282</v>
      </c>
      <c r="C15659" s="46">
        <v>647</v>
      </c>
      <c r="D15659" s="69" t="s">
        <v>29419</v>
      </c>
      <c r="E15659" s="51"/>
      <c r="F15659" s="114" t="str">
        <f>IF(INDEX(I.Facility.P3IDNumber,647)="","",INDEX(I.Facility.P3IDNumber,647))</f>
        <v/>
      </c>
      <c r="G15659" s="51"/>
      <c r="H15659" s="46" t="str">
        <f>IF(AND(I.Developer.P3=TRUE,I.Facility.P3FacilityCount&gt;=647,F15659=""),"Incomplete","Complete")</f>
        <v>Complete</v>
      </c>
      <c r="I15659" s="48" t="s">
        <v>20024</v>
      </c>
    </row>
    <row r="15660" spans="2:9" ht="15" customHeight="1" x14ac:dyDescent="0.25">
      <c r="B15660" s="55" t="s">
        <v>282</v>
      </c>
      <c r="C15660" s="46">
        <v>648</v>
      </c>
      <c r="D15660" s="69" t="s">
        <v>29419</v>
      </c>
      <c r="E15660" s="51"/>
      <c r="F15660" s="114" t="str">
        <f>IF(INDEX(I.Facility.P3IDNumber,648)="","",INDEX(I.Facility.P3IDNumber,648))</f>
        <v/>
      </c>
      <c r="G15660" s="51"/>
      <c r="H15660" s="46" t="str">
        <f>IF(AND(I.Developer.P3=TRUE,I.Facility.P3FacilityCount&gt;=648,F15660=""),"Incomplete","Complete")</f>
        <v>Complete</v>
      </c>
      <c r="I15660" s="48" t="s">
        <v>20025</v>
      </c>
    </row>
    <row r="15661" spans="2:9" ht="15" customHeight="1" x14ac:dyDescent="0.25">
      <c r="B15661" s="55" t="s">
        <v>282</v>
      </c>
      <c r="C15661" s="46">
        <v>649</v>
      </c>
      <c r="D15661" s="69" t="s">
        <v>29419</v>
      </c>
      <c r="E15661" s="51"/>
      <c r="F15661" s="114" t="str">
        <f>IF(INDEX(I.Facility.P3IDNumber,649)="","",INDEX(I.Facility.P3IDNumber,649))</f>
        <v/>
      </c>
      <c r="G15661" s="51"/>
      <c r="H15661" s="46" t="str">
        <f>IF(AND(I.Developer.P3=TRUE,I.Facility.P3FacilityCount&gt;=649,F15661=""),"Incomplete","Complete")</f>
        <v>Complete</v>
      </c>
      <c r="I15661" s="48" t="s">
        <v>20026</v>
      </c>
    </row>
    <row r="15662" spans="2:9" ht="15" customHeight="1" x14ac:dyDescent="0.25">
      <c r="B15662" s="55" t="s">
        <v>282</v>
      </c>
      <c r="C15662" s="46">
        <v>650</v>
      </c>
      <c r="D15662" s="69" t="s">
        <v>29419</v>
      </c>
      <c r="E15662" s="51"/>
      <c r="F15662" s="114" t="str">
        <f>IF(INDEX(I.Facility.P3IDNumber,650)="","",INDEX(I.Facility.P3IDNumber,650))</f>
        <v/>
      </c>
      <c r="G15662" s="51"/>
      <c r="H15662" s="46" t="str">
        <f>IF(AND(I.Developer.P3=TRUE,I.Facility.P3FacilityCount&gt;=650,F15662=""),"Incomplete","Complete")</f>
        <v>Complete</v>
      </c>
      <c r="I15662" s="48" t="s">
        <v>20027</v>
      </c>
    </row>
    <row r="15663" spans="2:9" ht="15" customHeight="1" x14ac:dyDescent="0.25">
      <c r="B15663" s="55" t="s">
        <v>282</v>
      </c>
      <c r="C15663" s="46">
        <v>651</v>
      </c>
      <c r="D15663" s="69" t="s">
        <v>29419</v>
      </c>
      <c r="E15663" s="51"/>
      <c r="F15663" s="114" t="str">
        <f>IF(INDEX(I.Facility.P3IDNumber,651)="","",INDEX(I.Facility.P3IDNumber,651))</f>
        <v/>
      </c>
      <c r="G15663" s="51"/>
      <c r="H15663" s="46" t="str">
        <f>IF(AND(I.Developer.P3=TRUE,I.Facility.P3FacilityCount&gt;=651,F15663=""),"Incomplete","Complete")</f>
        <v>Complete</v>
      </c>
      <c r="I15663" s="48" t="s">
        <v>20028</v>
      </c>
    </row>
    <row r="15664" spans="2:9" ht="15" customHeight="1" x14ac:dyDescent="0.25">
      <c r="B15664" s="55" t="s">
        <v>282</v>
      </c>
      <c r="C15664" s="46">
        <v>652</v>
      </c>
      <c r="D15664" s="69" t="s">
        <v>29419</v>
      </c>
      <c r="E15664" s="51"/>
      <c r="F15664" s="114" t="str">
        <f>IF(INDEX(I.Facility.P3IDNumber,652)="","",INDEX(I.Facility.P3IDNumber,652))</f>
        <v/>
      </c>
      <c r="G15664" s="51"/>
      <c r="H15664" s="46" t="str">
        <f>IF(AND(I.Developer.P3=TRUE,I.Facility.P3FacilityCount&gt;=652,F15664=""),"Incomplete","Complete")</f>
        <v>Complete</v>
      </c>
      <c r="I15664" s="48" t="s">
        <v>20029</v>
      </c>
    </row>
    <row r="15665" spans="2:9" ht="15" customHeight="1" x14ac:dyDescent="0.25">
      <c r="B15665" s="55" t="s">
        <v>282</v>
      </c>
      <c r="C15665" s="46">
        <v>653</v>
      </c>
      <c r="D15665" s="69" t="s">
        <v>29419</v>
      </c>
      <c r="E15665" s="51"/>
      <c r="F15665" s="114" t="str">
        <f>IF(INDEX(I.Facility.P3IDNumber,653)="","",INDEX(I.Facility.P3IDNumber,653))</f>
        <v/>
      </c>
      <c r="G15665" s="51"/>
      <c r="H15665" s="46" t="str">
        <f>IF(AND(I.Developer.P3=TRUE,I.Facility.P3FacilityCount&gt;=653,F15665=""),"Incomplete","Complete")</f>
        <v>Complete</v>
      </c>
      <c r="I15665" s="48" t="s">
        <v>20030</v>
      </c>
    </row>
    <row r="15666" spans="2:9" ht="15" customHeight="1" x14ac:dyDescent="0.25">
      <c r="B15666" s="55" t="s">
        <v>282</v>
      </c>
      <c r="C15666" s="46">
        <v>654</v>
      </c>
      <c r="D15666" s="69" t="s">
        <v>29419</v>
      </c>
      <c r="E15666" s="51"/>
      <c r="F15666" s="114" t="str">
        <f>IF(INDEX(I.Facility.P3IDNumber,654)="","",INDEX(I.Facility.P3IDNumber,654))</f>
        <v/>
      </c>
      <c r="G15666" s="51"/>
      <c r="H15666" s="46" t="str">
        <f>IF(AND(I.Developer.P3=TRUE,I.Facility.P3FacilityCount&gt;=654,F15666=""),"Incomplete","Complete")</f>
        <v>Complete</v>
      </c>
      <c r="I15666" s="48" t="s">
        <v>20031</v>
      </c>
    </row>
    <row r="15667" spans="2:9" ht="15" customHeight="1" x14ac:dyDescent="0.25">
      <c r="B15667" s="55" t="s">
        <v>282</v>
      </c>
      <c r="C15667" s="46">
        <v>655</v>
      </c>
      <c r="D15667" s="69" t="s">
        <v>29419</v>
      </c>
      <c r="E15667" s="51"/>
      <c r="F15667" s="114" t="str">
        <f>IF(INDEX(I.Facility.P3IDNumber,655)="","",INDEX(I.Facility.P3IDNumber,655))</f>
        <v/>
      </c>
      <c r="G15667" s="51"/>
      <c r="H15667" s="46" t="str">
        <f>IF(AND(I.Developer.P3=TRUE,I.Facility.P3FacilityCount&gt;=655,F15667=""),"Incomplete","Complete")</f>
        <v>Complete</v>
      </c>
      <c r="I15667" s="48" t="s">
        <v>20032</v>
      </c>
    </row>
    <row r="15668" spans="2:9" ht="15" customHeight="1" x14ac:dyDescent="0.25">
      <c r="B15668" s="55" t="s">
        <v>282</v>
      </c>
      <c r="C15668" s="46">
        <v>656</v>
      </c>
      <c r="D15668" s="69" t="s">
        <v>29419</v>
      </c>
      <c r="E15668" s="51"/>
      <c r="F15668" s="114" t="str">
        <f>IF(INDEX(I.Facility.P3IDNumber,656)="","",INDEX(I.Facility.P3IDNumber,656))</f>
        <v/>
      </c>
      <c r="G15668" s="51"/>
      <c r="H15668" s="46" t="str">
        <f>IF(AND(I.Developer.P3=TRUE,I.Facility.P3FacilityCount&gt;=656,F15668=""),"Incomplete","Complete")</f>
        <v>Complete</v>
      </c>
      <c r="I15668" s="48" t="s">
        <v>20033</v>
      </c>
    </row>
    <row r="15669" spans="2:9" ht="15" customHeight="1" x14ac:dyDescent="0.25">
      <c r="B15669" s="55" t="s">
        <v>282</v>
      </c>
      <c r="C15669" s="46">
        <v>657</v>
      </c>
      <c r="D15669" s="69" t="s">
        <v>29419</v>
      </c>
      <c r="E15669" s="51"/>
      <c r="F15669" s="114" t="str">
        <f>IF(INDEX(I.Facility.P3IDNumber,657)="","",INDEX(I.Facility.P3IDNumber,657))</f>
        <v/>
      </c>
      <c r="G15669" s="51"/>
      <c r="H15669" s="46" t="str">
        <f>IF(AND(I.Developer.P3=TRUE,I.Facility.P3FacilityCount&gt;=657,F15669=""),"Incomplete","Complete")</f>
        <v>Complete</v>
      </c>
      <c r="I15669" s="48" t="s">
        <v>20034</v>
      </c>
    </row>
    <row r="15670" spans="2:9" ht="15" customHeight="1" x14ac:dyDescent="0.25">
      <c r="B15670" s="55" t="s">
        <v>282</v>
      </c>
      <c r="C15670" s="46">
        <v>658</v>
      </c>
      <c r="D15670" s="69" t="s">
        <v>29419</v>
      </c>
      <c r="E15670" s="51"/>
      <c r="F15670" s="114" t="str">
        <f>IF(INDEX(I.Facility.P3IDNumber,658)="","",INDEX(I.Facility.P3IDNumber,658))</f>
        <v/>
      </c>
      <c r="G15670" s="51"/>
      <c r="H15670" s="46" t="str">
        <f>IF(AND(I.Developer.P3=TRUE,I.Facility.P3FacilityCount&gt;=658,F15670=""),"Incomplete","Complete")</f>
        <v>Complete</v>
      </c>
      <c r="I15670" s="48" t="s">
        <v>20035</v>
      </c>
    </row>
    <row r="15671" spans="2:9" ht="15" customHeight="1" x14ac:dyDescent="0.25">
      <c r="B15671" s="55" t="s">
        <v>282</v>
      </c>
      <c r="C15671" s="46">
        <v>659</v>
      </c>
      <c r="D15671" s="69" t="s">
        <v>29419</v>
      </c>
      <c r="E15671" s="51"/>
      <c r="F15671" s="114" t="str">
        <f>IF(INDEX(I.Facility.P3IDNumber,659)="","",INDEX(I.Facility.P3IDNumber,659))</f>
        <v/>
      </c>
      <c r="G15671" s="51"/>
      <c r="H15671" s="46" t="str">
        <f>IF(AND(I.Developer.P3=TRUE,I.Facility.P3FacilityCount&gt;=659,F15671=""),"Incomplete","Complete")</f>
        <v>Complete</v>
      </c>
      <c r="I15671" s="48" t="s">
        <v>20036</v>
      </c>
    </row>
    <row r="15672" spans="2:9" ht="15" customHeight="1" x14ac:dyDescent="0.25">
      <c r="B15672" s="55" t="s">
        <v>282</v>
      </c>
      <c r="C15672" s="46">
        <v>660</v>
      </c>
      <c r="D15672" s="69" t="s">
        <v>29419</v>
      </c>
      <c r="E15672" s="51"/>
      <c r="F15672" s="114" t="str">
        <f>IF(INDEX(I.Facility.P3IDNumber,660)="","",INDEX(I.Facility.P3IDNumber,660))</f>
        <v/>
      </c>
      <c r="G15672" s="51"/>
      <c r="H15672" s="46" t="str">
        <f>IF(AND(I.Developer.P3=TRUE,I.Facility.P3FacilityCount&gt;=660,F15672=""),"Incomplete","Complete")</f>
        <v>Complete</v>
      </c>
      <c r="I15672" s="48" t="s">
        <v>20037</v>
      </c>
    </row>
    <row r="15673" spans="2:9" ht="15" customHeight="1" x14ac:dyDescent="0.25">
      <c r="B15673" s="55" t="s">
        <v>282</v>
      </c>
      <c r="C15673" s="46">
        <v>661</v>
      </c>
      <c r="D15673" s="69" t="s">
        <v>29419</v>
      </c>
      <c r="E15673" s="51"/>
      <c r="F15673" s="114" t="str">
        <f>IF(INDEX(I.Facility.P3IDNumber,661)="","",INDEX(I.Facility.P3IDNumber,661))</f>
        <v/>
      </c>
      <c r="G15673" s="51"/>
      <c r="H15673" s="46" t="str">
        <f>IF(AND(I.Developer.P3=TRUE,I.Facility.P3FacilityCount&gt;=661,F15673=""),"Incomplete","Complete")</f>
        <v>Complete</v>
      </c>
      <c r="I15673" s="48" t="s">
        <v>20038</v>
      </c>
    </row>
    <row r="15674" spans="2:9" ht="15" customHeight="1" x14ac:dyDescent="0.25">
      <c r="B15674" s="55" t="s">
        <v>282</v>
      </c>
      <c r="C15674" s="46">
        <v>662</v>
      </c>
      <c r="D15674" s="69" t="s">
        <v>29419</v>
      </c>
      <c r="E15674" s="51"/>
      <c r="F15674" s="114" t="str">
        <f>IF(INDEX(I.Facility.P3IDNumber,662)="","",INDEX(I.Facility.P3IDNumber,662))</f>
        <v/>
      </c>
      <c r="G15674" s="51"/>
      <c r="H15674" s="46" t="str">
        <f>IF(AND(I.Developer.P3=TRUE,I.Facility.P3FacilityCount&gt;=662,F15674=""),"Incomplete","Complete")</f>
        <v>Complete</v>
      </c>
      <c r="I15674" s="48" t="s">
        <v>20039</v>
      </c>
    </row>
    <row r="15675" spans="2:9" ht="15" customHeight="1" x14ac:dyDescent="0.25">
      <c r="B15675" s="55" t="s">
        <v>282</v>
      </c>
      <c r="C15675" s="46">
        <v>663</v>
      </c>
      <c r="D15675" s="69" t="s">
        <v>29419</v>
      </c>
      <c r="E15675" s="51"/>
      <c r="F15675" s="114" t="str">
        <f>IF(INDEX(I.Facility.P3IDNumber,663)="","",INDEX(I.Facility.P3IDNumber,663))</f>
        <v/>
      </c>
      <c r="G15675" s="51"/>
      <c r="H15675" s="46" t="str">
        <f>IF(AND(I.Developer.P3=TRUE,I.Facility.P3FacilityCount&gt;=663,F15675=""),"Incomplete","Complete")</f>
        <v>Complete</v>
      </c>
      <c r="I15675" s="48" t="s">
        <v>20040</v>
      </c>
    </row>
    <row r="15676" spans="2:9" ht="15" customHeight="1" x14ac:dyDescent="0.25">
      <c r="B15676" s="55" t="s">
        <v>282</v>
      </c>
      <c r="C15676" s="46">
        <v>664</v>
      </c>
      <c r="D15676" s="69" t="s">
        <v>29419</v>
      </c>
      <c r="E15676" s="51"/>
      <c r="F15676" s="114" t="str">
        <f>IF(INDEX(I.Facility.P3IDNumber,664)="","",INDEX(I.Facility.P3IDNumber,664))</f>
        <v/>
      </c>
      <c r="G15676" s="51"/>
      <c r="H15676" s="46" t="str">
        <f>IF(AND(I.Developer.P3=TRUE,I.Facility.P3FacilityCount&gt;=664,F15676=""),"Incomplete","Complete")</f>
        <v>Complete</v>
      </c>
      <c r="I15676" s="48" t="s">
        <v>20041</v>
      </c>
    </row>
    <row r="15677" spans="2:9" ht="15" customHeight="1" x14ac:dyDescent="0.25">
      <c r="B15677" s="55" t="s">
        <v>282</v>
      </c>
      <c r="C15677" s="46">
        <v>665</v>
      </c>
      <c r="D15677" s="69" t="s">
        <v>29419</v>
      </c>
      <c r="E15677" s="51"/>
      <c r="F15677" s="114" t="str">
        <f>IF(INDEX(I.Facility.P3IDNumber,665)="","",INDEX(I.Facility.P3IDNumber,665))</f>
        <v/>
      </c>
      <c r="G15677" s="51"/>
      <c r="H15677" s="46" t="str">
        <f>IF(AND(I.Developer.P3=TRUE,I.Facility.P3FacilityCount&gt;=665,F15677=""),"Incomplete","Complete")</f>
        <v>Complete</v>
      </c>
      <c r="I15677" s="48" t="s">
        <v>20042</v>
      </c>
    </row>
    <row r="15678" spans="2:9" ht="15" customHeight="1" x14ac:dyDescent="0.25">
      <c r="B15678" s="55" t="s">
        <v>282</v>
      </c>
      <c r="C15678" s="46">
        <v>666</v>
      </c>
      <c r="D15678" s="69" t="s">
        <v>29419</v>
      </c>
      <c r="E15678" s="51"/>
      <c r="F15678" s="114" t="str">
        <f>IF(INDEX(I.Facility.P3IDNumber,666)="","",INDEX(I.Facility.P3IDNumber,666))</f>
        <v/>
      </c>
      <c r="G15678" s="51"/>
      <c r="H15678" s="46" t="str">
        <f>IF(AND(I.Developer.P3=TRUE,I.Facility.P3FacilityCount&gt;=666,F15678=""),"Incomplete","Complete")</f>
        <v>Complete</v>
      </c>
      <c r="I15678" s="48" t="s">
        <v>20043</v>
      </c>
    </row>
    <row r="15679" spans="2:9" ht="15" customHeight="1" x14ac:dyDescent="0.25">
      <c r="B15679" s="55" t="s">
        <v>282</v>
      </c>
      <c r="C15679" s="46">
        <v>667</v>
      </c>
      <c r="D15679" s="69" t="s">
        <v>29419</v>
      </c>
      <c r="E15679" s="51"/>
      <c r="F15679" s="114" t="str">
        <f>IF(INDEX(I.Facility.P3IDNumber,667)="","",INDEX(I.Facility.P3IDNumber,667))</f>
        <v/>
      </c>
      <c r="G15679" s="51"/>
      <c r="H15679" s="46" t="str">
        <f>IF(AND(I.Developer.P3=TRUE,I.Facility.P3FacilityCount&gt;=667,F15679=""),"Incomplete","Complete")</f>
        <v>Complete</v>
      </c>
      <c r="I15679" s="48" t="s">
        <v>20044</v>
      </c>
    </row>
    <row r="15680" spans="2:9" ht="15" customHeight="1" x14ac:dyDescent="0.25">
      <c r="B15680" s="55" t="s">
        <v>282</v>
      </c>
      <c r="C15680" s="46">
        <v>668</v>
      </c>
      <c r="D15680" s="69" t="s">
        <v>29419</v>
      </c>
      <c r="E15680" s="51"/>
      <c r="F15680" s="114" t="str">
        <f>IF(INDEX(I.Facility.P3IDNumber,668)="","",INDEX(I.Facility.P3IDNumber,668))</f>
        <v/>
      </c>
      <c r="G15680" s="51"/>
      <c r="H15680" s="46" t="str">
        <f>IF(AND(I.Developer.P3=TRUE,I.Facility.P3FacilityCount&gt;=668,F15680=""),"Incomplete","Complete")</f>
        <v>Complete</v>
      </c>
      <c r="I15680" s="48" t="s">
        <v>20045</v>
      </c>
    </row>
    <row r="15681" spans="2:9" ht="15" customHeight="1" x14ac:dyDescent="0.25">
      <c r="B15681" s="55" t="s">
        <v>282</v>
      </c>
      <c r="C15681" s="46">
        <v>669</v>
      </c>
      <c r="D15681" s="69" t="s">
        <v>29419</v>
      </c>
      <c r="E15681" s="51"/>
      <c r="F15681" s="114" t="str">
        <f>IF(INDEX(I.Facility.P3IDNumber,669)="","",INDEX(I.Facility.P3IDNumber,669))</f>
        <v/>
      </c>
      <c r="G15681" s="51"/>
      <c r="H15681" s="46" t="str">
        <f>IF(AND(I.Developer.P3=TRUE,I.Facility.P3FacilityCount&gt;=669,F15681=""),"Incomplete","Complete")</f>
        <v>Complete</v>
      </c>
      <c r="I15681" s="48" t="s">
        <v>20046</v>
      </c>
    </row>
    <row r="15682" spans="2:9" ht="15" customHeight="1" x14ac:dyDescent="0.25">
      <c r="B15682" s="55" t="s">
        <v>282</v>
      </c>
      <c r="C15682" s="46">
        <v>670</v>
      </c>
      <c r="D15682" s="69" t="s">
        <v>29419</v>
      </c>
      <c r="E15682" s="51"/>
      <c r="F15682" s="114" t="str">
        <f>IF(INDEX(I.Facility.P3IDNumber,670)="","",INDEX(I.Facility.P3IDNumber,670))</f>
        <v/>
      </c>
      <c r="G15682" s="51"/>
      <c r="H15682" s="46" t="str">
        <f>IF(AND(I.Developer.P3=TRUE,I.Facility.P3FacilityCount&gt;=670,F15682=""),"Incomplete","Complete")</f>
        <v>Complete</v>
      </c>
      <c r="I15682" s="48" t="s">
        <v>20047</v>
      </c>
    </row>
    <row r="15683" spans="2:9" ht="15" customHeight="1" x14ac:dyDescent="0.25">
      <c r="B15683" s="55" t="s">
        <v>282</v>
      </c>
      <c r="C15683" s="46">
        <v>671</v>
      </c>
      <c r="D15683" s="69" t="s">
        <v>29419</v>
      </c>
      <c r="E15683" s="51"/>
      <c r="F15683" s="114" t="str">
        <f>IF(INDEX(I.Facility.P3IDNumber,671)="","",INDEX(I.Facility.P3IDNumber,671))</f>
        <v/>
      </c>
      <c r="G15683" s="51"/>
      <c r="H15683" s="46" t="str">
        <f>IF(AND(I.Developer.P3=TRUE,I.Facility.P3FacilityCount&gt;=671,F15683=""),"Incomplete","Complete")</f>
        <v>Complete</v>
      </c>
      <c r="I15683" s="48" t="s">
        <v>20048</v>
      </c>
    </row>
    <row r="15684" spans="2:9" ht="15" customHeight="1" x14ac:dyDescent="0.25">
      <c r="B15684" s="55" t="s">
        <v>282</v>
      </c>
      <c r="C15684" s="46">
        <v>672</v>
      </c>
      <c r="D15684" s="69" t="s">
        <v>29419</v>
      </c>
      <c r="E15684" s="51"/>
      <c r="F15684" s="114" t="str">
        <f>IF(INDEX(I.Facility.P3IDNumber,672)="","",INDEX(I.Facility.P3IDNumber,672))</f>
        <v/>
      </c>
      <c r="G15684" s="51"/>
      <c r="H15684" s="46" t="str">
        <f>IF(AND(I.Developer.P3=TRUE,I.Facility.P3FacilityCount&gt;=672,F15684=""),"Incomplete","Complete")</f>
        <v>Complete</v>
      </c>
      <c r="I15684" s="48" t="s">
        <v>20049</v>
      </c>
    </row>
    <row r="15685" spans="2:9" ht="15" customHeight="1" x14ac:dyDescent="0.25">
      <c r="B15685" s="55" t="s">
        <v>282</v>
      </c>
      <c r="C15685" s="46">
        <v>673</v>
      </c>
      <c r="D15685" s="69" t="s">
        <v>29419</v>
      </c>
      <c r="E15685" s="51"/>
      <c r="F15685" s="114" t="str">
        <f>IF(INDEX(I.Facility.P3IDNumber,673)="","",INDEX(I.Facility.P3IDNumber,673))</f>
        <v/>
      </c>
      <c r="G15685" s="51"/>
      <c r="H15685" s="46" t="str">
        <f>IF(AND(I.Developer.P3=TRUE,I.Facility.P3FacilityCount&gt;=673,F15685=""),"Incomplete","Complete")</f>
        <v>Complete</v>
      </c>
      <c r="I15685" s="48" t="s">
        <v>20050</v>
      </c>
    </row>
    <row r="15686" spans="2:9" ht="15" customHeight="1" x14ac:dyDescent="0.25">
      <c r="B15686" s="55" t="s">
        <v>282</v>
      </c>
      <c r="C15686" s="46">
        <v>674</v>
      </c>
      <c r="D15686" s="69" t="s">
        <v>29419</v>
      </c>
      <c r="E15686" s="51"/>
      <c r="F15686" s="114" t="str">
        <f>IF(INDEX(I.Facility.P3IDNumber,674)="","",INDEX(I.Facility.P3IDNumber,674))</f>
        <v/>
      </c>
      <c r="G15686" s="51"/>
      <c r="H15686" s="46" t="str">
        <f>IF(AND(I.Developer.P3=TRUE,I.Facility.P3FacilityCount&gt;=674,F15686=""),"Incomplete","Complete")</f>
        <v>Complete</v>
      </c>
      <c r="I15686" s="48" t="s">
        <v>20051</v>
      </c>
    </row>
    <row r="15687" spans="2:9" ht="15" customHeight="1" x14ac:dyDescent="0.25">
      <c r="B15687" s="55" t="s">
        <v>282</v>
      </c>
      <c r="C15687" s="46">
        <v>675</v>
      </c>
      <c r="D15687" s="69" t="s">
        <v>29419</v>
      </c>
      <c r="E15687" s="51"/>
      <c r="F15687" s="114" t="str">
        <f>IF(INDEX(I.Facility.P3IDNumber,675)="","",INDEX(I.Facility.P3IDNumber,675))</f>
        <v/>
      </c>
      <c r="G15687" s="51"/>
      <c r="H15687" s="46" t="str">
        <f>IF(AND(I.Developer.P3=TRUE,I.Facility.P3FacilityCount&gt;=675,F15687=""),"Incomplete","Complete")</f>
        <v>Complete</v>
      </c>
      <c r="I15687" s="48" t="s">
        <v>20052</v>
      </c>
    </row>
    <row r="15688" spans="2:9" ht="15" customHeight="1" x14ac:dyDescent="0.25">
      <c r="B15688" s="55" t="s">
        <v>282</v>
      </c>
      <c r="C15688" s="46">
        <v>676</v>
      </c>
      <c r="D15688" s="69" t="s">
        <v>29419</v>
      </c>
      <c r="E15688" s="51"/>
      <c r="F15688" s="114" t="str">
        <f>IF(INDEX(I.Facility.P3IDNumber,676)="","",INDEX(I.Facility.P3IDNumber,676))</f>
        <v/>
      </c>
      <c r="G15688" s="51"/>
      <c r="H15688" s="46" t="str">
        <f>IF(AND(I.Developer.P3=TRUE,I.Facility.P3FacilityCount&gt;=676,F15688=""),"Incomplete","Complete")</f>
        <v>Complete</v>
      </c>
      <c r="I15688" s="48" t="s">
        <v>20053</v>
      </c>
    </row>
    <row r="15689" spans="2:9" ht="15" customHeight="1" x14ac:dyDescent="0.25">
      <c r="B15689" s="55" t="s">
        <v>282</v>
      </c>
      <c r="C15689" s="46">
        <v>677</v>
      </c>
      <c r="D15689" s="69" t="s">
        <v>29419</v>
      </c>
      <c r="E15689" s="51"/>
      <c r="F15689" s="114" t="str">
        <f>IF(INDEX(I.Facility.P3IDNumber,677)="","",INDEX(I.Facility.P3IDNumber,677))</f>
        <v/>
      </c>
      <c r="G15689" s="51"/>
      <c r="H15689" s="46" t="str">
        <f>IF(AND(I.Developer.P3=TRUE,I.Facility.P3FacilityCount&gt;=677,F15689=""),"Incomplete","Complete")</f>
        <v>Complete</v>
      </c>
      <c r="I15689" s="48" t="s">
        <v>20054</v>
      </c>
    </row>
    <row r="15690" spans="2:9" ht="15" customHeight="1" x14ac:dyDescent="0.25">
      <c r="B15690" s="55" t="s">
        <v>282</v>
      </c>
      <c r="C15690" s="46">
        <v>678</v>
      </c>
      <c r="D15690" s="69" t="s">
        <v>29419</v>
      </c>
      <c r="E15690" s="51"/>
      <c r="F15690" s="114" t="str">
        <f>IF(INDEX(I.Facility.P3IDNumber,678)="","",INDEX(I.Facility.P3IDNumber,678))</f>
        <v/>
      </c>
      <c r="G15690" s="51"/>
      <c r="H15690" s="46" t="str">
        <f>IF(AND(I.Developer.P3=TRUE,I.Facility.P3FacilityCount&gt;=678,F15690=""),"Incomplete","Complete")</f>
        <v>Complete</v>
      </c>
      <c r="I15690" s="48" t="s">
        <v>20055</v>
      </c>
    </row>
    <row r="15691" spans="2:9" ht="15" customHeight="1" x14ac:dyDescent="0.25">
      <c r="B15691" s="55" t="s">
        <v>282</v>
      </c>
      <c r="C15691" s="46">
        <v>679</v>
      </c>
      <c r="D15691" s="69" t="s">
        <v>29419</v>
      </c>
      <c r="E15691" s="51"/>
      <c r="F15691" s="114" t="str">
        <f>IF(INDEX(I.Facility.P3IDNumber,679)="","",INDEX(I.Facility.P3IDNumber,679))</f>
        <v/>
      </c>
      <c r="G15691" s="51"/>
      <c r="H15691" s="46" t="str">
        <f>IF(AND(I.Developer.P3=TRUE,I.Facility.P3FacilityCount&gt;=679,F15691=""),"Incomplete","Complete")</f>
        <v>Complete</v>
      </c>
      <c r="I15691" s="48" t="s">
        <v>20056</v>
      </c>
    </row>
    <row r="15692" spans="2:9" ht="15" customHeight="1" x14ac:dyDescent="0.25">
      <c r="B15692" s="55" t="s">
        <v>282</v>
      </c>
      <c r="C15692" s="46">
        <v>680</v>
      </c>
      <c r="D15692" s="69" t="s">
        <v>29419</v>
      </c>
      <c r="E15692" s="51"/>
      <c r="F15692" s="114" t="str">
        <f>IF(INDEX(I.Facility.P3IDNumber,680)="","",INDEX(I.Facility.P3IDNumber,680))</f>
        <v/>
      </c>
      <c r="G15692" s="51"/>
      <c r="H15692" s="46" t="str">
        <f>IF(AND(I.Developer.P3=TRUE,I.Facility.P3FacilityCount&gt;=680,F15692=""),"Incomplete","Complete")</f>
        <v>Complete</v>
      </c>
      <c r="I15692" s="48" t="s">
        <v>20057</v>
      </c>
    </row>
    <row r="15693" spans="2:9" ht="15" customHeight="1" x14ac:dyDescent="0.25">
      <c r="B15693" s="55" t="s">
        <v>282</v>
      </c>
      <c r="C15693" s="46">
        <v>681</v>
      </c>
      <c r="D15693" s="69" t="s">
        <v>29419</v>
      </c>
      <c r="E15693" s="51"/>
      <c r="F15693" s="114" t="str">
        <f>IF(INDEX(I.Facility.P3IDNumber,681)="","",INDEX(I.Facility.P3IDNumber,681))</f>
        <v/>
      </c>
      <c r="G15693" s="51"/>
      <c r="H15693" s="46" t="str">
        <f>IF(AND(I.Developer.P3=TRUE,I.Facility.P3FacilityCount&gt;=681,F15693=""),"Incomplete","Complete")</f>
        <v>Complete</v>
      </c>
      <c r="I15693" s="48" t="s">
        <v>20058</v>
      </c>
    </row>
    <row r="15694" spans="2:9" ht="15" customHeight="1" x14ac:dyDescent="0.25">
      <c r="B15694" s="55" t="s">
        <v>282</v>
      </c>
      <c r="C15694" s="46">
        <v>682</v>
      </c>
      <c r="D15694" s="69" t="s">
        <v>29419</v>
      </c>
      <c r="E15694" s="51"/>
      <c r="F15694" s="114" t="str">
        <f>IF(INDEX(I.Facility.P3IDNumber,682)="","",INDEX(I.Facility.P3IDNumber,682))</f>
        <v/>
      </c>
      <c r="G15694" s="51"/>
      <c r="H15694" s="46" t="str">
        <f>IF(AND(I.Developer.P3=TRUE,I.Facility.P3FacilityCount&gt;=682,F15694=""),"Incomplete","Complete")</f>
        <v>Complete</v>
      </c>
      <c r="I15694" s="48" t="s">
        <v>20059</v>
      </c>
    </row>
    <row r="15695" spans="2:9" ht="15" customHeight="1" x14ac:dyDescent="0.25">
      <c r="B15695" s="55" t="s">
        <v>282</v>
      </c>
      <c r="C15695" s="46">
        <v>683</v>
      </c>
      <c r="D15695" s="69" t="s">
        <v>29419</v>
      </c>
      <c r="E15695" s="51"/>
      <c r="F15695" s="114" t="str">
        <f>IF(INDEX(I.Facility.P3IDNumber,683)="","",INDEX(I.Facility.P3IDNumber,683))</f>
        <v/>
      </c>
      <c r="G15695" s="51"/>
      <c r="H15695" s="46" t="str">
        <f>IF(AND(I.Developer.P3=TRUE,I.Facility.P3FacilityCount&gt;=683,F15695=""),"Incomplete","Complete")</f>
        <v>Complete</v>
      </c>
      <c r="I15695" s="48" t="s">
        <v>20060</v>
      </c>
    </row>
    <row r="15696" spans="2:9" ht="15" customHeight="1" x14ac:dyDescent="0.25">
      <c r="B15696" s="55" t="s">
        <v>282</v>
      </c>
      <c r="C15696" s="46">
        <v>684</v>
      </c>
      <c r="D15696" s="69" t="s">
        <v>29419</v>
      </c>
      <c r="E15696" s="51"/>
      <c r="F15696" s="114" t="str">
        <f>IF(INDEX(I.Facility.P3IDNumber,684)="","",INDEX(I.Facility.P3IDNumber,684))</f>
        <v/>
      </c>
      <c r="G15696" s="51"/>
      <c r="H15696" s="46" t="str">
        <f>IF(AND(I.Developer.P3=TRUE,I.Facility.P3FacilityCount&gt;=684,F15696=""),"Incomplete","Complete")</f>
        <v>Complete</v>
      </c>
      <c r="I15696" s="48" t="s">
        <v>20061</v>
      </c>
    </row>
    <row r="15697" spans="2:9" ht="15" customHeight="1" x14ac:dyDescent="0.25">
      <c r="B15697" s="55" t="s">
        <v>282</v>
      </c>
      <c r="C15697" s="46">
        <v>685</v>
      </c>
      <c r="D15697" s="69" t="s">
        <v>29419</v>
      </c>
      <c r="E15697" s="51"/>
      <c r="F15697" s="114" t="str">
        <f>IF(INDEX(I.Facility.P3IDNumber,685)="","",INDEX(I.Facility.P3IDNumber,685))</f>
        <v/>
      </c>
      <c r="G15697" s="51"/>
      <c r="H15697" s="46" t="str">
        <f>IF(AND(I.Developer.P3=TRUE,I.Facility.P3FacilityCount&gt;=685,F15697=""),"Incomplete","Complete")</f>
        <v>Complete</v>
      </c>
      <c r="I15697" s="48" t="s">
        <v>20062</v>
      </c>
    </row>
    <row r="15698" spans="2:9" ht="15" customHeight="1" x14ac:dyDescent="0.25">
      <c r="B15698" s="55" t="s">
        <v>282</v>
      </c>
      <c r="C15698" s="46">
        <v>686</v>
      </c>
      <c r="D15698" s="69" t="s">
        <v>29419</v>
      </c>
      <c r="E15698" s="51"/>
      <c r="F15698" s="114" t="str">
        <f>IF(INDEX(I.Facility.P3IDNumber,686)="","",INDEX(I.Facility.P3IDNumber,686))</f>
        <v/>
      </c>
      <c r="G15698" s="51"/>
      <c r="H15698" s="46" t="str">
        <f>IF(AND(I.Developer.P3=TRUE,I.Facility.P3FacilityCount&gt;=686,F15698=""),"Incomplete","Complete")</f>
        <v>Complete</v>
      </c>
      <c r="I15698" s="48" t="s">
        <v>20063</v>
      </c>
    </row>
    <row r="15699" spans="2:9" ht="15" customHeight="1" x14ac:dyDescent="0.25">
      <c r="B15699" s="55" t="s">
        <v>282</v>
      </c>
      <c r="C15699" s="46">
        <v>687</v>
      </c>
      <c r="D15699" s="69" t="s">
        <v>29419</v>
      </c>
      <c r="E15699" s="51"/>
      <c r="F15699" s="114" t="str">
        <f>IF(INDEX(I.Facility.P3IDNumber,687)="","",INDEX(I.Facility.P3IDNumber,687))</f>
        <v/>
      </c>
      <c r="G15699" s="51"/>
      <c r="H15699" s="46" t="str">
        <f>IF(AND(I.Developer.P3=TRUE,I.Facility.P3FacilityCount&gt;=687,F15699=""),"Incomplete","Complete")</f>
        <v>Complete</v>
      </c>
      <c r="I15699" s="48" t="s">
        <v>20064</v>
      </c>
    </row>
    <row r="15700" spans="2:9" ht="15" customHeight="1" x14ac:dyDescent="0.25">
      <c r="B15700" s="55" t="s">
        <v>282</v>
      </c>
      <c r="C15700" s="46">
        <v>688</v>
      </c>
      <c r="D15700" s="69" t="s">
        <v>29419</v>
      </c>
      <c r="E15700" s="51"/>
      <c r="F15700" s="114" t="str">
        <f>IF(INDEX(I.Facility.P3IDNumber,688)="","",INDEX(I.Facility.P3IDNumber,688))</f>
        <v/>
      </c>
      <c r="G15700" s="51"/>
      <c r="H15700" s="46" t="str">
        <f>IF(AND(I.Developer.P3=TRUE,I.Facility.P3FacilityCount&gt;=688,F15700=""),"Incomplete","Complete")</f>
        <v>Complete</v>
      </c>
      <c r="I15700" s="48" t="s">
        <v>20065</v>
      </c>
    </row>
    <row r="15701" spans="2:9" ht="15" customHeight="1" x14ac:dyDescent="0.25">
      <c r="B15701" s="55" t="s">
        <v>282</v>
      </c>
      <c r="C15701" s="46">
        <v>689</v>
      </c>
      <c r="D15701" s="69" t="s">
        <v>29419</v>
      </c>
      <c r="E15701" s="51"/>
      <c r="F15701" s="114" t="str">
        <f>IF(INDEX(I.Facility.P3IDNumber,689)="","",INDEX(I.Facility.P3IDNumber,689))</f>
        <v/>
      </c>
      <c r="G15701" s="51"/>
      <c r="H15701" s="46" t="str">
        <f>IF(AND(I.Developer.P3=TRUE,I.Facility.P3FacilityCount&gt;=689,F15701=""),"Incomplete","Complete")</f>
        <v>Complete</v>
      </c>
      <c r="I15701" s="48" t="s">
        <v>20066</v>
      </c>
    </row>
    <row r="15702" spans="2:9" ht="15" customHeight="1" x14ac:dyDescent="0.25">
      <c r="B15702" s="55" t="s">
        <v>282</v>
      </c>
      <c r="C15702" s="46">
        <v>690</v>
      </c>
      <c r="D15702" s="69" t="s">
        <v>29419</v>
      </c>
      <c r="E15702" s="51"/>
      <c r="F15702" s="114" t="str">
        <f>IF(INDEX(I.Facility.P3IDNumber,690)="","",INDEX(I.Facility.P3IDNumber,690))</f>
        <v/>
      </c>
      <c r="G15702" s="51"/>
      <c r="H15702" s="46" t="str">
        <f>IF(AND(I.Developer.P3=TRUE,I.Facility.P3FacilityCount&gt;=690,F15702=""),"Incomplete","Complete")</f>
        <v>Complete</v>
      </c>
      <c r="I15702" s="48" t="s">
        <v>20067</v>
      </c>
    </row>
    <row r="15703" spans="2:9" ht="15" customHeight="1" x14ac:dyDescent="0.25">
      <c r="B15703" s="55" t="s">
        <v>282</v>
      </c>
      <c r="C15703" s="46">
        <v>691</v>
      </c>
      <c r="D15703" s="69" t="s">
        <v>29419</v>
      </c>
      <c r="E15703" s="51"/>
      <c r="F15703" s="114" t="str">
        <f>IF(INDEX(I.Facility.P3IDNumber,691)="","",INDEX(I.Facility.P3IDNumber,691))</f>
        <v/>
      </c>
      <c r="G15703" s="51"/>
      <c r="H15703" s="46" t="str">
        <f>IF(AND(I.Developer.P3=TRUE,I.Facility.P3FacilityCount&gt;=691,F15703=""),"Incomplete","Complete")</f>
        <v>Complete</v>
      </c>
      <c r="I15703" s="48" t="s">
        <v>20068</v>
      </c>
    </row>
    <row r="15704" spans="2:9" ht="15" customHeight="1" x14ac:dyDescent="0.25">
      <c r="B15704" s="55" t="s">
        <v>282</v>
      </c>
      <c r="C15704" s="46">
        <v>692</v>
      </c>
      <c r="D15704" s="69" t="s">
        <v>29419</v>
      </c>
      <c r="E15704" s="51"/>
      <c r="F15704" s="114" t="str">
        <f>IF(INDEX(I.Facility.P3IDNumber,692)="","",INDEX(I.Facility.P3IDNumber,692))</f>
        <v/>
      </c>
      <c r="G15704" s="51"/>
      <c r="H15704" s="46" t="str">
        <f>IF(AND(I.Developer.P3=TRUE,I.Facility.P3FacilityCount&gt;=692,F15704=""),"Incomplete","Complete")</f>
        <v>Complete</v>
      </c>
      <c r="I15704" s="48" t="s">
        <v>20069</v>
      </c>
    </row>
    <row r="15705" spans="2:9" ht="15" customHeight="1" x14ac:dyDescent="0.25">
      <c r="B15705" s="55" t="s">
        <v>282</v>
      </c>
      <c r="C15705" s="46">
        <v>693</v>
      </c>
      <c r="D15705" s="69" t="s">
        <v>29419</v>
      </c>
      <c r="E15705" s="51"/>
      <c r="F15705" s="114" t="str">
        <f>IF(INDEX(I.Facility.P3IDNumber,693)="","",INDEX(I.Facility.P3IDNumber,693))</f>
        <v/>
      </c>
      <c r="G15705" s="51"/>
      <c r="H15705" s="46" t="str">
        <f>IF(AND(I.Developer.P3=TRUE,I.Facility.P3FacilityCount&gt;=693,F15705=""),"Incomplete","Complete")</f>
        <v>Complete</v>
      </c>
      <c r="I15705" s="48" t="s">
        <v>20070</v>
      </c>
    </row>
    <row r="15706" spans="2:9" ht="15" customHeight="1" x14ac:dyDescent="0.25">
      <c r="B15706" s="55" t="s">
        <v>282</v>
      </c>
      <c r="C15706" s="46">
        <v>694</v>
      </c>
      <c r="D15706" s="69" t="s">
        <v>29419</v>
      </c>
      <c r="E15706" s="51"/>
      <c r="F15706" s="114" t="str">
        <f>IF(INDEX(I.Facility.P3IDNumber,694)="","",INDEX(I.Facility.P3IDNumber,694))</f>
        <v/>
      </c>
      <c r="G15706" s="51"/>
      <c r="H15706" s="46" t="str">
        <f>IF(AND(I.Developer.P3=TRUE,I.Facility.P3FacilityCount&gt;=694,F15706=""),"Incomplete","Complete")</f>
        <v>Complete</v>
      </c>
      <c r="I15706" s="48" t="s">
        <v>20071</v>
      </c>
    </row>
    <row r="15707" spans="2:9" ht="15" customHeight="1" x14ac:dyDescent="0.25">
      <c r="B15707" s="55" t="s">
        <v>282</v>
      </c>
      <c r="C15707" s="46">
        <v>695</v>
      </c>
      <c r="D15707" s="69" t="s">
        <v>29419</v>
      </c>
      <c r="E15707" s="51"/>
      <c r="F15707" s="114" t="str">
        <f>IF(INDEX(I.Facility.P3IDNumber,695)="","",INDEX(I.Facility.P3IDNumber,695))</f>
        <v/>
      </c>
      <c r="G15707" s="51"/>
      <c r="H15707" s="46" t="str">
        <f>IF(AND(I.Developer.P3=TRUE,I.Facility.P3FacilityCount&gt;=695,F15707=""),"Incomplete","Complete")</f>
        <v>Complete</v>
      </c>
      <c r="I15707" s="48" t="s">
        <v>20072</v>
      </c>
    </row>
    <row r="15708" spans="2:9" ht="15" customHeight="1" x14ac:dyDescent="0.25">
      <c r="B15708" s="55" t="s">
        <v>282</v>
      </c>
      <c r="C15708" s="46">
        <v>696</v>
      </c>
      <c r="D15708" s="69" t="s">
        <v>29419</v>
      </c>
      <c r="E15708" s="51"/>
      <c r="F15708" s="114" t="str">
        <f>IF(INDEX(I.Facility.P3IDNumber,696)="","",INDEX(I.Facility.P3IDNumber,696))</f>
        <v/>
      </c>
      <c r="G15708" s="51"/>
      <c r="H15708" s="46" t="str">
        <f>IF(AND(I.Developer.P3=TRUE,I.Facility.P3FacilityCount&gt;=696,F15708=""),"Incomplete","Complete")</f>
        <v>Complete</v>
      </c>
      <c r="I15708" s="48" t="s">
        <v>20073</v>
      </c>
    </row>
    <row r="15709" spans="2:9" ht="15" customHeight="1" x14ac:dyDescent="0.25">
      <c r="B15709" s="55" t="s">
        <v>282</v>
      </c>
      <c r="C15709" s="46">
        <v>697</v>
      </c>
      <c r="D15709" s="69" t="s">
        <v>29419</v>
      </c>
      <c r="E15709" s="51"/>
      <c r="F15709" s="114" t="str">
        <f>IF(INDEX(I.Facility.P3IDNumber,697)="","",INDEX(I.Facility.P3IDNumber,697))</f>
        <v/>
      </c>
      <c r="G15709" s="51"/>
      <c r="H15709" s="46" t="str">
        <f>IF(AND(I.Developer.P3=TRUE,I.Facility.P3FacilityCount&gt;=697,F15709=""),"Incomplete","Complete")</f>
        <v>Complete</v>
      </c>
      <c r="I15709" s="48" t="s">
        <v>20074</v>
      </c>
    </row>
    <row r="15710" spans="2:9" ht="15" customHeight="1" x14ac:dyDescent="0.25">
      <c r="B15710" s="55" t="s">
        <v>282</v>
      </c>
      <c r="C15710" s="46">
        <v>698</v>
      </c>
      <c r="D15710" s="69" t="s">
        <v>29419</v>
      </c>
      <c r="E15710" s="51"/>
      <c r="F15710" s="114" t="str">
        <f>IF(INDEX(I.Facility.P3IDNumber,698)="","",INDEX(I.Facility.P3IDNumber,698))</f>
        <v/>
      </c>
      <c r="G15710" s="51"/>
      <c r="H15710" s="46" t="str">
        <f>IF(AND(I.Developer.P3=TRUE,I.Facility.P3FacilityCount&gt;=698,F15710=""),"Incomplete","Complete")</f>
        <v>Complete</v>
      </c>
      <c r="I15710" s="48" t="s">
        <v>20075</v>
      </c>
    </row>
    <row r="15711" spans="2:9" ht="15" customHeight="1" x14ac:dyDescent="0.25">
      <c r="B15711" s="55" t="s">
        <v>282</v>
      </c>
      <c r="C15711" s="46">
        <v>699</v>
      </c>
      <c r="D15711" s="69" t="s">
        <v>29419</v>
      </c>
      <c r="E15711" s="51"/>
      <c r="F15711" s="114" t="str">
        <f>IF(INDEX(I.Facility.P3IDNumber,699)="","",INDEX(I.Facility.P3IDNumber,699))</f>
        <v/>
      </c>
      <c r="G15711" s="51"/>
      <c r="H15711" s="46" t="str">
        <f>IF(AND(I.Developer.P3=TRUE,I.Facility.P3FacilityCount&gt;=699,F15711=""),"Incomplete","Complete")</f>
        <v>Complete</v>
      </c>
      <c r="I15711" s="48" t="s">
        <v>20076</v>
      </c>
    </row>
    <row r="15712" spans="2:9" ht="15" customHeight="1" x14ac:dyDescent="0.25">
      <c r="B15712" s="55" t="s">
        <v>282</v>
      </c>
      <c r="C15712" s="46">
        <v>700</v>
      </c>
      <c r="D15712" s="69" t="s">
        <v>29419</v>
      </c>
      <c r="E15712" s="51"/>
      <c r="F15712" s="114" t="str">
        <f>IF(INDEX(I.Facility.P3IDNumber,700)="","",INDEX(I.Facility.P3IDNumber,700))</f>
        <v/>
      </c>
      <c r="G15712" s="51"/>
      <c r="H15712" s="46" t="str">
        <f>IF(AND(I.Developer.P3=TRUE,I.Facility.P3FacilityCount&gt;=700,F15712=""),"Incomplete","Complete")</f>
        <v>Complete</v>
      </c>
      <c r="I15712" s="48" t="s">
        <v>20077</v>
      </c>
    </row>
    <row r="15713" spans="2:9" ht="15" customHeight="1" x14ac:dyDescent="0.25">
      <c r="B15713" s="55" t="s">
        <v>282</v>
      </c>
      <c r="C15713" s="46">
        <v>701</v>
      </c>
      <c r="D15713" s="69" t="s">
        <v>29419</v>
      </c>
      <c r="E15713" s="51"/>
      <c r="F15713" s="114" t="str">
        <f>IF(INDEX(I.Facility.P3IDNumber,701)="","",INDEX(I.Facility.P3IDNumber,701))</f>
        <v/>
      </c>
      <c r="G15713" s="51"/>
      <c r="H15713" s="46" t="str">
        <f>IF(AND(I.Developer.P3=TRUE,I.Facility.P3FacilityCount&gt;=701,F15713=""),"Incomplete","Complete")</f>
        <v>Complete</v>
      </c>
      <c r="I15713" s="48" t="s">
        <v>20078</v>
      </c>
    </row>
    <row r="15714" spans="2:9" ht="15" customHeight="1" x14ac:dyDescent="0.25">
      <c r="B15714" s="55" t="s">
        <v>282</v>
      </c>
      <c r="C15714" s="46">
        <v>702</v>
      </c>
      <c r="D15714" s="69" t="s">
        <v>29419</v>
      </c>
      <c r="E15714" s="51"/>
      <c r="F15714" s="114" t="str">
        <f>IF(INDEX(I.Facility.P3IDNumber,702)="","",INDEX(I.Facility.P3IDNumber,702))</f>
        <v/>
      </c>
      <c r="G15714" s="51"/>
      <c r="H15714" s="46" t="str">
        <f>IF(AND(I.Developer.P3=TRUE,I.Facility.P3FacilityCount&gt;=702,F15714=""),"Incomplete","Complete")</f>
        <v>Complete</v>
      </c>
      <c r="I15714" s="48" t="s">
        <v>20079</v>
      </c>
    </row>
    <row r="15715" spans="2:9" ht="15" customHeight="1" x14ac:dyDescent="0.25">
      <c r="B15715" s="55" t="s">
        <v>282</v>
      </c>
      <c r="C15715" s="46">
        <v>703</v>
      </c>
      <c r="D15715" s="69" t="s">
        <v>29419</v>
      </c>
      <c r="E15715" s="51"/>
      <c r="F15715" s="114" t="str">
        <f>IF(INDEX(I.Facility.P3IDNumber,703)="","",INDEX(I.Facility.P3IDNumber,703))</f>
        <v/>
      </c>
      <c r="G15715" s="51"/>
      <c r="H15715" s="46" t="str">
        <f>IF(AND(I.Developer.P3=TRUE,I.Facility.P3FacilityCount&gt;=703,F15715=""),"Incomplete","Complete")</f>
        <v>Complete</v>
      </c>
      <c r="I15715" s="48" t="s">
        <v>20080</v>
      </c>
    </row>
    <row r="15716" spans="2:9" ht="15" customHeight="1" x14ac:dyDescent="0.25">
      <c r="B15716" s="55" t="s">
        <v>282</v>
      </c>
      <c r="C15716" s="46">
        <v>704</v>
      </c>
      <c r="D15716" s="69" t="s">
        <v>29419</v>
      </c>
      <c r="E15716" s="51"/>
      <c r="F15716" s="114" t="str">
        <f>IF(INDEX(I.Facility.P3IDNumber,704)="","",INDEX(I.Facility.P3IDNumber,704))</f>
        <v/>
      </c>
      <c r="G15716" s="51"/>
      <c r="H15716" s="46" t="str">
        <f>IF(AND(I.Developer.P3=TRUE,I.Facility.P3FacilityCount&gt;=704,F15716=""),"Incomplete","Complete")</f>
        <v>Complete</v>
      </c>
      <c r="I15716" s="48" t="s">
        <v>20081</v>
      </c>
    </row>
    <row r="15717" spans="2:9" ht="15" customHeight="1" x14ac:dyDescent="0.25">
      <c r="B15717" s="55" t="s">
        <v>282</v>
      </c>
      <c r="C15717" s="46">
        <v>705</v>
      </c>
      <c r="D15717" s="69" t="s">
        <v>29419</v>
      </c>
      <c r="E15717" s="51"/>
      <c r="F15717" s="114" t="str">
        <f>IF(INDEX(I.Facility.P3IDNumber,705)="","",INDEX(I.Facility.P3IDNumber,705))</f>
        <v/>
      </c>
      <c r="G15717" s="51"/>
      <c r="H15717" s="46" t="str">
        <f>IF(AND(I.Developer.P3=TRUE,I.Facility.P3FacilityCount&gt;=705,F15717=""),"Incomplete","Complete")</f>
        <v>Complete</v>
      </c>
      <c r="I15717" s="48" t="s">
        <v>20082</v>
      </c>
    </row>
    <row r="15718" spans="2:9" ht="15" customHeight="1" x14ac:dyDescent="0.25">
      <c r="B15718" s="55" t="s">
        <v>282</v>
      </c>
      <c r="C15718" s="46">
        <v>706</v>
      </c>
      <c r="D15718" s="69" t="s">
        <v>29419</v>
      </c>
      <c r="E15718" s="51"/>
      <c r="F15718" s="114" t="str">
        <f>IF(INDEX(I.Facility.P3IDNumber,706)="","",INDEX(I.Facility.P3IDNumber,706))</f>
        <v/>
      </c>
      <c r="G15718" s="51"/>
      <c r="H15718" s="46" t="str">
        <f>IF(AND(I.Developer.P3=TRUE,I.Facility.P3FacilityCount&gt;=706,F15718=""),"Incomplete","Complete")</f>
        <v>Complete</v>
      </c>
      <c r="I15718" s="48" t="s">
        <v>20083</v>
      </c>
    </row>
    <row r="15719" spans="2:9" ht="15" customHeight="1" x14ac:dyDescent="0.25">
      <c r="B15719" s="55" t="s">
        <v>282</v>
      </c>
      <c r="C15719" s="46">
        <v>707</v>
      </c>
      <c r="D15719" s="69" t="s">
        <v>29419</v>
      </c>
      <c r="E15719" s="51"/>
      <c r="F15719" s="114" t="str">
        <f>IF(INDEX(I.Facility.P3IDNumber,707)="","",INDEX(I.Facility.P3IDNumber,707))</f>
        <v/>
      </c>
      <c r="G15719" s="51"/>
      <c r="H15719" s="46" t="str">
        <f>IF(AND(I.Developer.P3=TRUE,I.Facility.P3FacilityCount&gt;=707,F15719=""),"Incomplete","Complete")</f>
        <v>Complete</v>
      </c>
      <c r="I15719" s="48" t="s">
        <v>20084</v>
      </c>
    </row>
    <row r="15720" spans="2:9" ht="15" customHeight="1" x14ac:dyDescent="0.25">
      <c r="B15720" s="55" t="s">
        <v>282</v>
      </c>
      <c r="C15720" s="46">
        <v>708</v>
      </c>
      <c r="D15720" s="69" t="s">
        <v>29419</v>
      </c>
      <c r="E15720" s="51"/>
      <c r="F15720" s="114" t="str">
        <f>IF(INDEX(I.Facility.P3IDNumber,708)="","",INDEX(I.Facility.P3IDNumber,708))</f>
        <v/>
      </c>
      <c r="G15720" s="51"/>
      <c r="H15720" s="46" t="str">
        <f>IF(AND(I.Developer.P3=TRUE,I.Facility.P3FacilityCount&gt;=708,F15720=""),"Incomplete","Complete")</f>
        <v>Complete</v>
      </c>
      <c r="I15720" s="48" t="s">
        <v>20085</v>
      </c>
    </row>
    <row r="15721" spans="2:9" ht="15" customHeight="1" x14ac:dyDescent="0.25">
      <c r="B15721" s="55" t="s">
        <v>282</v>
      </c>
      <c r="C15721" s="46">
        <v>709</v>
      </c>
      <c r="D15721" s="69" t="s">
        <v>29419</v>
      </c>
      <c r="E15721" s="51"/>
      <c r="F15721" s="114" t="str">
        <f>IF(INDEX(I.Facility.P3IDNumber,709)="","",INDEX(I.Facility.P3IDNumber,709))</f>
        <v/>
      </c>
      <c r="G15721" s="51"/>
      <c r="H15721" s="46" t="str">
        <f>IF(AND(I.Developer.P3=TRUE,I.Facility.P3FacilityCount&gt;=709,F15721=""),"Incomplete","Complete")</f>
        <v>Complete</v>
      </c>
      <c r="I15721" s="48" t="s">
        <v>20086</v>
      </c>
    </row>
    <row r="15722" spans="2:9" ht="15" customHeight="1" x14ac:dyDescent="0.25">
      <c r="B15722" s="55" t="s">
        <v>282</v>
      </c>
      <c r="C15722" s="46">
        <v>710</v>
      </c>
      <c r="D15722" s="69" t="s">
        <v>29419</v>
      </c>
      <c r="E15722" s="51"/>
      <c r="F15722" s="114" t="str">
        <f>IF(INDEX(I.Facility.P3IDNumber,710)="","",INDEX(I.Facility.P3IDNumber,710))</f>
        <v/>
      </c>
      <c r="G15722" s="51"/>
      <c r="H15722" s="46" t="str">
        <f>IF(AND(I.Developer.P3=TRUE,I.Facility.P3FacilityCount&gt;=710,F15722=""),"Incomplete","Complete")</f>
        <v>Complete</v>
      </c>
      <c r="I15722" s="48" t="s">
        <v>20087</v>
      </c>
    </row>
    <row r="15723" spans="2:9" ht="15" customHeight="1" x14ac:dyDescent="0.25">
      <c r="B15723" s="55" t="s">
        <v>282</v>
      </c>
      <c r="C15723" s="46">
        <v>711</v>
      </c>
      <c r="D15723" s="69" t="s">
        <v>29419</v>
      </c>
      <c r="E15723" s="51"/>
      <c r="F15723" s="114" t="str">
        <f>IF(INDEX(I.Facility.P3IDNumber,711)="","",INDEX(I.Facility.P3IDNumber,711))</f>
        <v/>
      </c>
      <c r="G15723" s="51"/>
      <c r="H15723" s="46" t="str">
        <f>IF(AND(I.Developer.P3=TRUE,I.Facility.P3FacilityCount&gt;=711,F15723=""),"Incomplete","Complete")</f>
        <v>Complete</v>
      </c>
      <c r="I15723" s="48" t="s">
        <v>20088</v>
      </c>
    </row>
    <row r="15724" spans="2:9" ht="15" customHeight="1" x14ac:dyDescent="0.25">
      <c r="B15724" s="55" t="s">
        <v>282</v>
      </c>
      <c r="C15724" s="46">
        <v>712</v>
      </c>
      <c r="D15724" s="69" t="s">
        <v>29419</v>
      </c>
      <c r="E15724" s="51"/>
      <c r="F15724" s="114" t="str">
        <f>IF(INDEX(I.Facility.P3IDNumber,712)="","",INDEX(I.Facility.P3IDNumber,712))</f>
        <v/>
      </c>
      <c r="G15724" s="51"/>
      <c r="H15724" s="46" t="str">
        <f>IF(AND(I.Developer.P3=TRUE,I.Facility.P3FacilityCount&gt;=712,F15724=""),"Incomplete","Complete")</f>
        <v>Complete</v>
      </c>
      <c r="I15724" s="48" t="s">
        <v>20089</v>
      </c>
    </row>
    <row r="15725" spans="2:9" ht="15" customHeight="1" x14ac:dyDescent="0.25">
      <c r="B15725" s="55" t="s">
        <v>282</v>
      </c>
      <c r="C15725" s="46">
        <v>713</v>
      </c>
      <c r="D15725" s="69" t="s">
        <v>29419</v>
      </c>
      <c r="E15725" s="51"/>
      <c r="F15725" s="114" t="str">
        <f>IF(INDEX(I.Facility.P3IDNumber,713)="","",INDEX(I.Facility.P3IDNumber,713))</f>
        <v/>
      </c>
      <c r="G15725" s="51"/>
      <c r="H15725" s="46" t="str">
        <f>IF(AND(I.Developer.P3=TRUE,I.Facility.P3FacilityCount&gt;=713,F15725=""),"Incomplete","Complete")</f>
        <v>Complete</v>
      </c>
      <c r="I15725" s="48" t="s">
        <v>20090</v>
      </c>
    </row>
    <row r="15726" spans="2:9" ht="15" customHeight="1" x14ac:dyDescent="0.25">
      <c r="B15726" s="55" t="s">
        <v>282</v>
      </c>
      <c r="C15726" s="46">
        <v>714</v>
      </c>
      <c r="D15726" s="69" t="s">
        <v>29419</v>
      </c>
      <c r="E15726" s="51"/>
      <c r="F15726" s="114" t="str">
        <f>IF(INDEX(I.Facility.P3IDNumber,714)="","",INDEX(I.Facility.P3IDNumber,714))</f>
        <v/>
      </c>
      <c r="G15726" s="51"/>
      <c r="H15726" s="46" t="str">
        <f>IF(AND(I.Developer.P3=TRUE,I.Facility.P3FacilityCount&gt;=714,F15726=""),"Incomplete","Complete")</f>
        <v>Complete</v>
      </c>
      <c r="I15726" s="48" t="s">
        <v>20091</v>
      </c>
    </row>
    <row r="15727" spans="2:9" ht="15" customHeight="1" x14ac:dyDescent="0.25">
      <c r="B15727" s="55" t="s">
        <v>282</v>
      </c>
      <c r="C15727" s="46">
        <v>715</v>
      </c>
      <c r="D15727" s="69" t="s">
        <v>29419</v>
      </c>
      <c r="E15727" s="51"/>
      <c r="F15727" s="114" t="str">
        <f>IF(INDEX(I.Facility.P3IDNumber,715)="","",INDEX(I.Facility.P3IDNumber,715))</f>
        <v/>
      </c>
      <c r="G15727" s="51"/>
      <c r="H15727" s="46" t="str">
        <f>IF(AND(I.Developer.P3=TRUE,I.Facility.P3FacilityCount&gt;=715,F15727=""),"Incomplete","Complete")</f>
        <v>Complete</v>
      </c>
      <c r="I15727" s="48" t="s">
        <v>20092</v>
      </c>
    </row>
    <row r="15728" spans="2:9" ht="15" customHeight="1" x14ac:dyDescent="0.25">
      <c r="B15728" s="55" t="s">
        <v>282</v>
      </c>
      <c r="C15728" s="46">
        <v>716</v>
      </c>
      <c r="D15728" s="69" t="s">
        <v>29419</v>
      </c>
      <c r="E15728" s="51"/>
      <c r="F15728" s="114" t="str">
        <f>IF(INDEX(I.Facility.P3IDNumber,716)="","",INDEX(I.Facility.P3IDNumber,716))</f>
        <v/>
      </c>
      <c r="G15728" s="51"/>
      <c r="H15728" s="46" t="str">
        <f>IF(AND(I.Developer.P3=TRUE,I.Facility.P3FacilityCount&gt;=716,F15728=""),"Incomplete","Complete")</f>
        <v>Complete</v>
      </c>
      <c r="I15728" s="48" t="s">
        <v>20093</v>
      </c>
    </row>
    <row r="15729" spans="2:9" ht="15" customHeight="1" x14ac:dyDescent="0.25">
      <c r="B15729" s="55" t="s">
        <v>282</v>
      </c>
      <c r="C15729" s="46">
        <v>717</v>
      </c>
      <c r="D15729" s="69" t="s">
        <v>29419</v>
      </c>
      <c r="E15729" s="51"/>
      <c r="F15729" s="114" t="str">
        <f>IF(INDEX(I.Facility.P3IDNumber,717)="","",INDEX(I.Facility.P3IDNumber,717))</f>
        <v/>
      </c>
      <c r="G15729" s="51"/>
      <c r="H15729" s="46" t="str">
        <f>IF(AND(I.Developer.P3=TRUE,I.Facility.P3FacilityCount&gt;=717,F15729=""),"Incomplete","Complete")</f>
        <v>Complete</v>
      </c>
      <c r="I15729" s="48" t="s">
        <v>20094</v>
      </c>
    </row>
    <row r="15730" spans="2:9" ht="15" customHeight="1" x14ac:dyDescent="0.25">
      <c r="B15730" s="55" t="s">
        <v>282</v>
      </c>
      <c r="C15730" s="46">
        <v>718</v>
      </c>
      <c r="D15730" s="69" t="s">
        <v>29419</v>
      </c>
      <c r="E15730" s="51"/>
      <c r="F15730" s="114" t="str">
        <f>IF(INDEX(I.Facility.P3IDNumber,718)="","",INDEX(I.Facility.P3IDNumber,718))</f>
        <v/>
      </c>
      <c r="G15730" s="51"/>
      <c r="H15730" s="46" t="str">
        <f>IF(AND(I.Developer.P3=TRUE,I.Facility.P3FacilityCount&gt;=718,F15730=""),"Incomplete","Complete")</f>
        <v>Complete</v>
      </c>
      <c r="I15730" s="48" t="s">
        <v>20095</v>
      </c>
    </row>
    <row r="15731" spans="2:9" ht="15" customHeight="1" x14ac:dyDescent="0.25">
      <c r="B15731" s="55" t="s">
        <v>282</v>
      </c>
      <c r="C15731" s="46">
        <v>719</v>
      </c>
      <c r="D15731" s="69" t="s">
        <v>29419</v>
      </c>
      <c r="E15731" s="51"/>
      <c r="F15731" s="114" t="str">
        <f>IF(INDEX(I.Facility.P3IDNumber,719)="","",INDEX(I.Facility.P3IDNumber,719))</f>
        <v/>
      </c>
      <c r="G15731" s="51"/>
      <c r="H15731" s="46" t="str">
        <f>IF(AND(I.Developer.P3=TRUE,I.Facility.P3FacilityCount&gt;=719,F15731=""),"Incomplete","Complete")</f>
        <v>Complete</v>
      </c>
      <c r="I15731" s="48" t="s">
        <v>20096</v>
      </c>
    </row>
    <row r="15732" spans="2:9" ht="15" customHeight="1" x14ac:dyDescent="0.25">
      <c r="B15732" s="55" t="s">
        <v>282</v>
      </c>
      <c r="C15732" s="46">
        <v>720</v>
      </c>
      <c r="D15732" s="69" t="s">
        <v>29419</v>
      </c>
      <c r="E15732" s="51"/>
      <c r="F15732" s="114" t="str">
        <f>IF(INDEX(I.Facility.P3IDNumber,720)="","",INDEX(I.Facility.P3IDNumber,720))</f>
        <v/>
      </c>
      <c r="G15732" s="51"/>
      <c r="H15732" s="46" t="str">
        <f>IF(AND(I.Developer.P3=TRUE,I.Facility.P3FacilityCount&gt;=720,F15732=""),"Incomplete","Complete")</f>
        <v>Complete</v>
      </c>
      <c r="I15732" s="48" t="s">
        <v>20097</v>
      </c>
    </row>
    <row r="15733" spans="2:9" ht="15" customHeight="1" x14ac:dyDescent="0.25">
      <c r="B15733" s="55" t="s">
        <v>282</v>
      </c>
      <c r="C15733" s="46">
        <v>721</v>
      </c>
      <c r="D15733" s="69" t="s">
        <v>29419</v>
      </c>
      <c r="E15733" s="51"/>
      <c r="F15733" s="114" t="str">
        <f>IF(INDEX(I.Facility.P3IDNumber,721)="","",INDEX(I.Facility.P3IDNumber,721))</f>
        <v/>
      </c>
      <c r="G15733" s="51"/>
      <c r="H15733" s="46" t="str">
        <f>IF(AND(I.Developer.P3=TRUE,I.Facility.P3FacilityCount&gt;=721,F15733=""),"Incomplete","Complete")</f>
        <v>Complete</v>
      </c>
      <c r="I15733" s="48" t="s">
        <v>20098</v>
      </c>
    </row>
    <row r="15734" spans="2:9" ht="15" customHeight="1" x14ac:dyDescent="0.25">
      <c r="B15734" s="55" t="s">
        <v>282</v>
      </c>
      <c r="C15734" s="46">
        <v>722</v>
      </c>
      <c r="D15734" s="69" t="s">
        <v>29419</v>
      </c>
      <c r="E15734" s="51"/>
      <c r="F15734" s="114" t="str">
        <f>IF(INDEX(I.Facility.P3IDNumber,722)="","",INDEX(I.Facility.P3IDNumber,722))</f>
        <v/>
      </c>
      <c r="G15734" s="51"/>
      <c r="H15734" s="46" t="str">
        <f>IF(AND(I.Developer.P3=TRUE,I.Facility.P3FacilityCount&gt;=722,F15734=""),"Incomplete","Complete")</f>
        <v>Complete</v>
      </c>
      <c r="I15734" s="48" t="s">
        <v>20099</v>
      </c>
    </row>
    <row r="15735" spans="2:9" ht="15" customHeight="1" x14ac:dyDescent="0.25">
      <c r="B15735" s="55" t="s">
        <v>282</v>
      </c>
      <c r="C15735" s="46">
        <v>723</v>
      </c>
      <c r="D15735" s="69" t="s">
        <v>29419</v>
      </c>
      <c r="E15735" s="51"/>
      <c r="F15735" s="114" t="str">
        <f>IF(INDEX(I.Facility.P3IDNumber,723)="","",INDEX(I.Facility.P3IDNumber,723))</f>
        <v/>
      </c>
      <c r="G15735" s="51"/>
      <c r="H15735" s="46" t="str">
        <f>IF(AND(I.Developer.P3=TRUE,I.Facility.P3FacilityCount&gt;=723,F15735=""),"Incomplete","Complete")</f>
        <v>Complete</v>
      </c>
      <c r="I15735" s="48" t="s">
        <v>20100</v>
      </c>
    </row>
    <row r="15736" spans="2:9" ht="15" customHeight="1" x14ac:dyDescent="0.25">
      <c r="B15736" s="55" t="s">
        <v>282</v>
      </c>
      <c r="C15736" s="46">
        <v>724</v>
      </c>
      <c r="D15736" s="69" t="s">
        <v>29419</v>
      </c>
      <c r="E15736" s="51"/>
      <c r="F15736" s="114" t="str">
        <f>IF(INDEX(I.Facility.P3IDNumber,724)="","",INDEX(I.Facility.P3IDNumber,724))</f>
        <v/>
      </c>
      <c r="G15736" s="51"/>
      <c r="H15736" s="46" t="str">
        <f>IF(AND(I.Developer.P3=TRUE,I.Facility.P3FacilityCount&gt;=724,F15736=""),"Incomplete","Complete")</f>
        <v>Complete</v>
      </c>
      <c r="I15736" s="48" t="s">
        <v>20101</v>
      </c>
    </row>
    <row r="15737" spans="2:9" ht="15" customHeight="1" x14ac:dyDescent="0.25">
      <c r="B15737" s="55" t="s">
        <v>282</v>
      </c>
      <c r="C15737" s="46">
        <v>725</v>
      </c>
      <c r="D15737" s="69" t="s">
        <v>29419</v>
      </c>
      <c r="E15737" s="51"/>
      <c r="F15737" s="114" t="str">
        <f>IF(INDEX(I.Facility.P3IDNumber,725)="","",INDEX(I.Facility.P3IDNumber,725))</f>
        <v/>
      </c>
      <c r="G15737" s="51"/>
      <c r="H15737" s="46" t="str">
        <f>IF(AND(I.Developer.P3=TRUE,I.Facility.P3FacilityCount&gt;=725,F15737=""),"Incomplete","Complete")</f>
        <v>Complete</v>
      </c>
      <c r="I15737" s="48" t="s">
        <v>20102</v>
      </c>
    </row>
    <row r="15738" spans="2:9" ht="15" customHeight="1" x14ac:dyDescent="0.25">
      <c r="B15738" s="55" t="s">
        <v>282</v>
      </c>
      <c r="C15738" s="46">
        <v>726</v>
      </c>
      <c r="D15738" s="69" t="s">
        <v>29419</v>
      </c>
      <c r="E15738" s="51"/>
      <c r="F15738" s="114" t="str">
        <f>IF(INDEX(I.Facility.P3IDNumber,726)="","",INDEX(I.Facility.P3IDNumber,726))</f>
        <v/>
      </c>
      <c r="G15738" s="51"/>
      <c r="H15738" s="46" t="str">
        <f>IF(AND(I.Developer.P3=TRUE,I.Facility.P3FacilityCount&gt;=726,F15738=""),"Incomplete","Complete")</f>
        <v>Complete</v>
      </c>
      <c r="I15738" s="48" t="s">
        <v>20103</v>
      </c>
    </row>
    <row r="15739" spans="2:9" ht="15" customHeight="1" x14ac:dyDescent="0.25">
      <c r="B15739" s="55" t="s">
        <v>282</v>
      </c>
      <c r="C15739" s="46">
        <v>727</v>
      </c>
      <c r="D15739" s="69" t="s">
        <v>29419</v>
      </c>
      <c r="E15739" s="51"/>
      <c r="F15739" s="114" t="str">
        <f>IF(INDEX(I.Facility.P3IDNumber,727)="","",INDEX(I.Facility.P3IDNumber,727))</f>
        <v/>
      </c>
      <c r="G15739" s="51"/>
      <c r="H15739" s="46" t="str">
        <f>IF(AND(I.Developer.P3=TRUE,I.Facility.P3FacilityCount&gt;=727,F15739=""),"Incomplete","Complete")</f>
        <v>Complete</v>
      </c>
      <c r="I15739" s="48" t="s">
        <v>20104</v>
      </c>
    </row>
    <row r="15740" spans="2:9" ht="15" customHeight="1" x14ac:dyDescent="0.25">
      <c r="B15740" s="55" t="s">
        <v>282</v>
      </c>
      <c r="C15740" s="46">
        <v>728</v>
      </c>
      <c r="D15740" s="69" t="s">
        <v>29419</v>
      </c>
      <c r="E15740" s="51"/>
      <c r="F15740" s="114" t="str">
        <f>IF(INDEX(I.Facility.P3IDNumber,728)="","",INDEX(I.Facility.P3IDNumber,728))</f>
        <v/>
      </c>
      <c r="G15740" s="51"/>
      <c r="H15740" s="46" t="str">
        <f>IF(AND(I.Developer.P3=TRUE,I.Facility.P3FacilityCount&gt;=728,F15740=""),"Incomplete","Complete")</f>
        <v>Complete</v>
      </c>
      <c r="I15740" s="48" t="s">
        <v>20105</v>
      </c>
    </row>
    <row r="15741" spans="2:9" ht="15" customHeight="1" x14ac:dyDescent="0.25">
      <c r="B15741" s="55" t="s">
        <v>282</v>
      </c>
      <c r="C15741" s="46">
        <v>729</v>
      </c>
      <c r="D15741" s="69" t="s">
        <v>29419</v>
      </c>
      <c r="E15741" s="51"/>
      <c r="F15741" s="114" t="str">
        <f>IF(INDEX(I.Facility.P3IDNumber,729)="","",INDEX(I.Facility.P3IDNumber,729))</f>
        <v/>
      </c>
      <c r="G15741" s="51"/>
      <c r="H15741" s="46" t="str">
        <f>IF(AND(I.Developer.P3=TRUE,I.Facility.P3FacilityCount&gt;=729,F15741=""),"Incomplete","Complete")</f>
        <v>Complete</v>
      </c>
      <c r="I15741" s="48" t="s">
        <v>20106</v>
      </c>
    </row>
    <row r="15742" spans="2:9" ht="15" customHeight="1" x14ac:dyDescent="0.25">
      <c r="B15742" s="55" t="s">
        <v>282</v>
      </c>
      <c r="C15742" s="46">
        <v>730</v>
      </c>
      <c r="D15742" s="69" t="s">
        <v>29419</v>
      </c>
      <c r="E15742" s="51"/>
      <c r="F15742" s="114" t="str">
        <f>IF(INDEX(I.Facility.P3IDNumber,730)="","",INDEX(I.Facility.P3IDNumber,730))</f>
        <v/>
      </c>
      <c r="G15742" s="51"/>
      <c r="H15742" s="46" t="str">
        <f>IF(AND(I.Developer.P3=TRUE,I.Facility.P3FacilityCount&gt;=730,F15742=""),"Incomplete","Complete")</f>
        <v>Complete</v>
      </c>
      <c r="I15742" s="48" t="s">
        <v>20107</v>
      </c>
    </row>
    <row r="15743" spans="2:9" ht="15" customHeight="1" x14ac:dyDescent="0.25">
      <c r="B15743" s="55" t="s">
        <v>282</v>
      </c>
      <c r="C15743" s="46">
        <v>731</v>
      </c>
      <c r="D15743" s="69" t="s">
        <v>29419</v>
      </c>
      <c r="E15743" s="51"/>
      <c r="F15743" s="114" t="str">
        <f>IF(INDEX(I.Facility.P3IDNumber,731)="","",INDEX(I.Facility.P3IDNumber,731))</f>
        <v/>
      </c>
      <c r="G15743" s="51"/>
      <c r="H15743" s="46" t="str">
        <f>IF(AND(I.Developer.P3=TRUE,I.Facility.P3FacilityCount&gt;=731,F15743=""),"Incomplete","Complete")</f>
        <v>Complete</v>
      </c>
      <c r="I15743" s="48" t="s">
        <v>20108</v>
      </c>
    </row>
    <row r="15744" spans="2:9" ht="15" customHeight="1" x14ac:dyDescent="0.25">
      <c r="B15744" s="55" t="s">
        <v>282</v>
      </c>
      <c r="C15744" s="46">
        <v>732</v>
      </c>
      <c r="D15744" s="69" t="s">
        <v>29419</v>
      </c>
      <c r="E15744" s="51"/>
      <c r="F15744" s="114" t="str">
        <f>IF(INDEX(I.Facility.P3IDNumber,732)="","",INDEX(I.Facility.P3IDNumber,732))</f>
        <v/>
      </c>
      <c r="G15744" s="51"/>
      <c r="H15744" s="46" t="str">
        <f>IF(AND(I.Developer.P3=TRUE,I.Facility.P3FacilityCount&gt;=732,F15744=""),"Incomplete","Complete")</f>
        <v>Complete</v>
      </c>
      <c r="I15744" s="48" t="s">
        <v>20109</v>
      </c>
    </row>
    <row r="15745" spans="2:9" ht="15" customHeight="1" x14ac:dyDescent="0.25">
      <c r="B15745" s="55" t="s">
        <v>282</v>
      </c>
      <c r="C15745" s="46">
        <v>733</v>
      </c>
      <c r="D15745" s="69" t="s">
        <v>29419</v>
      </c>
      <c r="E15745" s="51"/>
      <c r="F15745" s="114" t="str">
        <f>IF(INDEX(I.Facility.P3IDNumber,733)="","",INDEX(I.Facility.P3IDNumber,733))</f>
        <v/>
      </c>
      <c r="G15745" s="51"/>
      <c r="H15745" s="46" t="str">
        <f>IF(AND(I.Developer.P3=TRUE,I.Facility.P3FacilityCount&gt;=733,F15745=""),"Incomplete","Complete")</f>
        <v>Complete</v>
      </c>
      <c r="I15745" s="48" t="s">
        <v>20110</v>
      </c>
    </row>
    <row r="15746" spans="2:9" ht="15" customHeight="1" x14ac:dyDescent="0.25">
      <c r="B15746" s="55" t="s">
        <v>282</v>
      </c>
      <c r="C15746" s="46">
        <v>734</v>
      </c>
      <c r="D15746" s="69" t="s">
        <v>29419</v>
      </c>
      <c r="E15746" s="51"/>
      <c r="F15746" s="114" t="str">
        <f>IF(INDEX(I.Facility.P3IDNumber,734)="","",INDEX(I.Facility.P3IDNumber,734))</f>
        <v/>
      </c>
      <c r="G15746" s="51"/>
      <c r="H15746" s="46" t="str">
        <f>IF(AND(I.Developer.P3=TRUE,I.Facility.P3FacilityCount&gt;=734,F15746=""),"Incomplete","Complete")</f>
        <v>Complete</v>
      </c>
      <c r="I15746" s="48" t="s">
        <v>20111</v>
      </c>
    </row>
    <row r="15747" spans="2:9" ht="15" customHeight="1" x14ac:dyDescent="0.25">
      <c r="B15747" s="55" t="s">
        <v>282</v>
      </c>
      <c r="C15747" s="46">
        <v>735</v>
      </c>
      <c r="D15747" s="69" t="s">
        <v>29419</v>
      </c>
      <c r="E15747" s="51"/>
      <c r="F15747" s="114" t="str">
        <f>IF(INDEX(I.Facility.P3IDNumber,735)="","",INDEX(I.Facility.P3IDNumber,735))</f>
        <v/>
      </c>
      <c r="G15747" s="51"/>
      <c r="H15747" s="46" t="str">
        <f>IF(AND(I.Developer.P3=TRUE,I.Facility.P3FacilityCount&gt;=735,F15747=""),"Incomplete","Complete")</f>
        <v>Complete</v>
      </c>
      <c r="I15747" s="48" t="s">
        <v>20112</v>
      </c>
    </row>
    <row r="15748" spans="2:9" ht="15" customHeight="1" x14ac:dyDescent="0.25">
      <c r="B15748" s="55" t="s">
        <v>282</v>
      </c>
      <c r="C15748" s="46">
        <v>736</v>
      </c>
      <c r="D15748" s="69" t="s">
        <v>29419</v>
      </c>
      <c r="E15748" s="51"/>
      <c r="F15748" s="114" t="str">
        <f>IF(INDEX(I.Facility.P3IDNumber,736)="","",INDEX(I.Facility.P3IDNumber,736))</f>
        <v/>
      </c>
      <c r="G15748" s="51"/>
      <c r="H15748" s="46" t="str">
        <f>IF(AND(I.Developer.P3=TRUE,I.Facility.P3FacilityCount&gt;=736,F15748=""),"Incomplete","Complete")</f>
        <v>Complete</v>
      </c>
      <c r="I15748" s="48" t="s">
        <v>20113</v>
      </c>
    </row>
    <row r="15749" spans="2:9" ht="15" customHeight="1" x14ac:dyDescent="0.25">
      <c r="B15749" s="55" t="s">
        <v>282</v>
      </c>
      <c r="C15749" s="46">
        <v>737</v>
      </c>
      <c r="D15749" s="69" t="s">
        <v>29419</v>
      </c>
      <c r="E15749" s="51"/>
      <c r="F15749" s="114" t="str">
        <f>IF(INDEX(I.Facility.P3IDNumber,737)="","",INDEX(I.Facility.P3IDNumber,737))</f>
        <v/>
      </c>
      <c r="G15749" s="51"/>
      <c r="H15749" s="46" t="str">
        <f>IF(AND(I.Developer.P3=TRUE,I.Facility.P3FacilityCount&gt;=737,F15749=""),"Incomplete","Complete")</f>
        <v>Complete</v>
      </c>
      <c r="I15749" s="48" t="s">
        <v>20114</v>
      </c>
    </row>
    <row r="15750" spans="2:9" ht="15" customHeight="1" x14ac:dyDescent="0.25">
      <c r="B15750" s="55" t="s">
        <v>282</v>
      </c>
      <c r="C15750" s="46">
        <v>738</v>
      </c>
      <c r="D15750" s="69" t="s">
        <v>29419</v>
      </c>
      <c r="E15750" s="51"/>
      <c r="F15750" s="114" t="str">
        <f>IF(INDEX(I.Facility.P3IDNumber,738)="","",INDEX(I.Facility.P3IDNumber,738))</f>
        <v/>
      </c>
      <c r="G15750" s="51"/>
      <c r="H15750" s="46" t="str">
        <f>IF(AND(I.Developer.P3=TRUE,I.Facility.P3FacilityCount&gt;=738,F15750=""),"Incomplete","Complete")</f>
        <v>Complete</v>
      </c>
      <c r="I15750" s="48" t="s">
        <v>20115</v>
      </c>
    </row>
    <row r="15751" spans="2:9" ht="15" customHeight="1" x14ac:dyDescent="0.25">
      <c r="B15751" s="55" t="s">
        <v>282</v>
      </c>
      <c r="C15751" s="46">
        <v>739</v>
      </c>
      <c r="D15751" s="69" t="s">
        <v>29419</v>
      </c>
      <c r="E15751" s="51"/>
      <c r="F15751" s="114" t="str">
        <f>IF(INDEX(I.Facility.P3IDNumber,739)="","",INDEX(I.Facility.P3IDNumber,739))</f>
        <v/>
      </c>
      <c r="G15751" s="51"/>
      <c r="H15751" s="46" t="str">
        <f>IF(AND(I.Developer.P3=TRUE,I.Facility.P3FacilityCount&gt;=739,F15751=""),"Incomplete","Complete")</f>
        <v>Complete</v>
      </c>
      <c r="I15751" s="48" t="s">
        <v>20116</v>
      </c>
    </row>
    <row r="15752" spans="2:9" ht="15" customHeight="1" x14ac:dyDescent="0.25">
      <c r="B15752" s="55" t="s">
        <v>282</v>
      </c>
      <c r="C15752" s="46">
        <v>740</v>
      </c>
      <c r="D15752" s="69" t="s">
        <v>29419</v>
      </c>
      <c r="E15752" s="51"/>
      <c r="F15752" s="114" t="str">
        <f>IF(INDEX(I.Facility.P3IDNumber,740)="","",INDEX(I.Facility.P3IDNumber,740))</f>
        <v/>
      </c>
      <c r="G15752" s="51"/>
      <c r="H15752" s="46" t="str">
        <f>IF(AND(I.Developer.P3=TRUE,I.Facility.P3FacilityCount&gt;=740,F15752=""),"Incomplete","Complete")</f>
        <v>Complete</v>
      </c>
      <c r="I15752" s="48" t="s">
        <v>20117</v>
      </c>
    </row>
    <row r="15753" spans="2:9" ht="15" customHeight="1" x14ac:dyDescent="0.25">
      <c r="B15753" s="55" t="s">
        <v>282</v>
      </c>
      <c r="C15753" s="46">
        <v>741</v>
      </c>
      <c r="D15753" s="69" t="s">
        <v>29419</v>
      </c>
      <c r="E15753" s="51"/>
      <c r="F15753" s="114" t="str">
        <f>IF(INDEX(I.Facility.P3IDNumber,741)="","",INDEX(I.Facility.P3IDNumber,741))</f>
        <v/>
      </c>
      <c r="G15753" s="51"/>
      <c r="H15753" s="46" t="str">
        <f>IF(AND(I.Developer.P3=TRUE,I.Facility.P3FacilityCount&gt;=741,F15753=""),"Incomplete","Complete")</f>
        <v>Complete</v>
      </c>
      <c r="I15753" s="48" t="s">
        <v>20118</v>
      </c>
    </row>
    <row r="15754" spans="2:9" ht="15" customHeight="1" x14ac:dyDescent="0.25">
      <c r="B15754" s="55" t="s">
        <v>282</v>
      </c>
      <c r="C15754" s="46">
        <v>742</v>
      </c>
      <c r="D15754" s="69" t="s">
        <v>29419</v>
      </c>
      <c r="E15754" s="51"/>
      <c r="F15754" s="114" t="str">
        <f>IF(INDEX(I.Facility.P3IDNumber,742)="","",INDEX(I.Facility.P3IDNumber,742))</f>
        <v/>
      </c>
      <c r="G15754" s="51"/>
      <c r="H15754" s="46" t="str">
        <f>IF(AND(I.Developer.P3=TRUE,I.Facility.P3FacilityCount&gt;=742,F15754=""),"Incomplete","Complete")</f>
        <v>Complete</v>
      </c>
      <c r="I15754" s="48" t="s">
        <v>20119</v>
      </c>
    </row>
    <row r="15755" spans="2:9" ht="15" customHeight="1" x14ac:dyDescent="0.25">
      <c r="B15755" s="55" t="s">
        <v>282</v>
      </c>
      <c r="C15755" s="46">
        <v>743</v>
      </c>
      <c r="D15755" s="69" t="s">
        <v>29419</v>
      </c>
      <c r="E15755" s="51"/>
      <c r="F15755" s="114" t="str">
        <f>IF(INDEX(I.Facility.P3IDNumber,743)="","",INDEX(I.Facility.P3IDNumber,743))</f>
        <v/>
      </c>
      <c r="G15755" s="51"/>
      <c r="H15755" s="46" t="str">
        <f>IF(AND(I.Developer.P3=TRUE,I.Facility.P3FacilityCount&gt;=743,F15755=""),"Incomplete","Complete")</f>
        <v>Complete</v>
      </c>
      <c r="I15755" s="48" t="s">
        <v>20120</v>
      </c>
    </row>
    <row r="15756" spans="2:9" ht="15" customHeight="1" x14ac:dyDescent="0.25">
      <c r="B15756" s="55" t="s">
        <v>282</v>
      </c>
      <c r="C15756" s="46">
        <v>744</v>
      </c>
      <c r="D15756" s="69" t="s">
        <v>29419</v>
      </c>
      <c r="E15756" s="51"/>
      <c r="F15756" s="114" t="str">
        <f>IF(INDEX(I.Facility.P3IDNumber,744)="","",INDEX(I.Facility.P3IDNumber,744))</f>
        <v/>
      </c>
      <c r="G15756" s="51"/>
      <c r="H15756" s="46" t="str">
        <f>IF(AND(I.Developer.P3=TRUE,I.Facility.P3FacilityCount&gt;=744,F15756=""),"Incomplete","Complete")</f>
        <v>Complete</v>
      </c>
      <c r="I15756" s="48" t="s">
        <v>20121</v>
      </c>
    </row>
    <row r="15757" spans="2:9" ht="15" customHeight="1" x14ac:dyDescent="0.25">
      <c r="B15757" s="55" t="s">
        <v>282</v>
      </c>
      <c r="C15757" s="46">
        <v>745</v>
      </c>
      <c r="D15757" s="69" t="s">
        <v>29419</v>
      </c>
      <c r="E15757" s="51"/>
      <c r="F15757" s="114" t="str">
        <f>IF(INDEX(I.Facility.P3IDNumber,745)="","",INDEX(I.Facility.P3IDNumber,745))</f>
        <v/>
      </c>
      <c r="G15757" s="51"/>
      <c r="H15757" s="46" t="str">
        <f>IF(AND(I.Developer.P3=TRUE,I.Facility.P3FacilityCount&gt;=745,F15757=""),"Incomplete","Complete")</f>
        <v>Complete</v>
      </c>
      <c r="I15757" s="48" t="s">
        <v>20122</v>
      </c>
    </row>
    <row r="15758" spans="2:9" ht="15" customHeight="1" x14ac:dyDescent="0.25">
      <c r="B15758" s="55" t="s">
        <v>282</v>
      </c>
      <c r="C15758" s="46">
        <v>746</v>
      </c>
      <c r="D15758" s="69" t="s">
        <v>29419</v>
      </c>
      <c r="E15758" s="51"/>
      <c r="F15758" s="114" t="str">
        <f>IF(INDEX(I.Facility.P3IDNumber,746)="","",INDEX(I.Facility.P3IDNumber,746))</f>
        <v/>
      </c>
      <c r="G15758" s="51"/>
      <c r="H15758" s="46" t="str">
        <f>IF(AND(I.Developer.P3=TRUE,I.Facility.P3FacilityCount&gt;=746,F15758=""),"Incomplete","Complete")</f>
        <v>Complete</v>
      </c>
      <c r="I15758" s="48" t="s">
        <v>20123</v>
      </c>
    </row>
    <row r="15759" spans="2:9" ht="15" customHeight="1" x14ac:dyDescent="0.25">
      <c r="B15759" s="55" t="s">
        <v>282</v>
      </c>
      <c r="C15759" s="46">
        <v>747</v>
      </c>
      <c r="D15759" s="69" t="s">
        <v>29419</v>
      </c>
      <c r="E15759" s="51"/>
      <c r="F15759" s="114" t="str">
        <f>IF(INDEX(I.Facility.P3IDNumber,747)="","",INDEX(I.Facility.P3IDNumber,747))</f>
        <v/>
      </c>
      <c r="G15759" s="51"/>
      <c r="H15759" s="46" t="str">
        <f>IF(AND(I.Developer.P3=TRUE,I.Facility.P3FacilityCount&gt;=747,F15759=""),"Incomplete","Complete")</f>
        <v>Complete</v>
      </c>
      <c r="I15759" s="48" t="s">
        <v>20124</v>
      </c>
    </row>
    <row r="15760" spans="2:9" ht="15" customHeight="1" x14ac:dyDescent="0.25">
      <c r="B15760" s="55" t="s">
        <v>282</v>
      </c>
      <c r="C15760" s="46">
        <v>748</v>
      </c>
      <c r="D15760" s="69" t="s">
        <v>29419</v>
      </c>
      <c r="E15760" s="51"/>
      <c r="F15760" s="114" t="str">
        <f>IF(INDEX(I.Facility.P3IDNumber,748)="","",INDEX(I.Facility.P3IDNumber,748))</f>
        <v/>
      </c>
      <c r="G15760" s="51"/>
      <c r="H15760" s="46" t="str">
        <f>IF(AND(I.Developer.P3=TRUE,I.Facility.P3FacilityCount&gt;=748,F15760=""),"Incomplete","Complete")</f>
        <v>Complete</v>
      </c>
      <c r="I15760" s="48" t="s">
        <v>20125</v>
      </c>
    </row>
    <row r="15761" spans="2:9" ht="15" customHeight="1" x14ac:dyDescent="0.25">
      <c r="B15761" s="55" t="s">
        <v>282</v>
      </c>
      <c r="C15761" s="46">
        <v>749</v>
      </c>
      <c r="D15761" s="69" t="s">
        <v>29419</v>
      </c>
      <c r="E15761" s="51"/>
      <c r="F15761" s="114" t="str">
        <f>IF(INDEX(I.Facility.P3IDNumber,749)="","",INDEX(I.Facility.P3IDNumber,749))</f>
        <v/>
      </c>
      <c r="G15761" s="51"/>
      <c r="H15761" s="46" t="str">
        <f>IF(AND(I.Developer.P3=TRUE,I.Facility.P3FacilityCount&gt;=749,F15761=""),"Incomplete","Complete")</f>
        <v>Complete</v>
      </c>
      <c r="I15761" s="48" t="s">
        <v>20126</v>
      </c>
    </row>
    <row r="15762" spans="2:9" ht="15" customHeight="1" x14ac:dyDescent="0.25">
      <c r="B15762" s="55" t="s">
        <v>282</v>
      </c>
      <c r="C15762" s="46">
        <v>750</v>
      </c>
      <c r="D15762" s="69" t="s">
        <v>29419</v>
      </c>
      <c r="E15762" s="51"/>
      <c r="F15762" s="114" t="str">
        <f>IF(INDEX(I.Facility.P3IDNumber,750)="","",INDEX(I.Facility.P3IDNumber,750))</f>
        <v/>
      </c>
      <c r="G15762" s="51"/>
      <c r="H15762" s="46" t="str">
        <f>IF(AND(I.Developer.P3=TRUE,I.Facility.P3FacilityCount&gt;=750,F15762=""),"Incomplete","Complete")</f>
        <v>Complete</v>
      </c>
      <c r="I15762" s="48" t="s">
        <v>20127</v>
      </c>
    </row>
    <row r="15763" spans="2:9" ht="15" customHeight="1" x14ac:dyDescent="0.25">
      <c r="B15763" s="55" t="s">
        <v>282</v>
      </c>
      <c r="C15763" s="46">
        <v>751</v>
      </c>
      <c r="D15763" s="69" t="s">
        <v>29419</v>
      </c>
      <c r="E15763" s="51"/>
      <c r="F15763" s="114" t="str">
        <f>IF(INDEX(I.Facility.P3IDNumber,751)="","",INDEX(I.Facility.P3IDNumber,751))</f>
        <v/>
      </c>
      <c r="G15763" s="51"/>
      <c r="H15763" s="46" t="str">
        <f>IF(AND(I.Developer.P3=TRUE,I.Facility.P3FacilityCount&gt;=751,F15763=""),"Incomplete","Complete")</f>
        <v>Complete</v>
      </c>
      <c r="I15763" s="48" t="s">
        <v>20128</v>
      </c>
    </row>
    <row r="15764" spans="2:9" ht="15" customHeight="1" x14ac:dyDescent="0.25">
      <c r="B15764" s="55" t="s">
        <v>282</v>
      </c>
      <c r="C15764" s="46">
        <v>752</v>
      </c>
      <c r="D15764" s="69" t="s">
        <v>29419</v>
      </c>
      <c r="E15764" s="51"/>
      <c r="F15764" s="114" t="str">
        <f>IF(INDEX(I.Facility.P3IDNumber,752)="","",INDEX(I.Facility.P3IDNumber,752))</f>
        <v/>
      </c>
      <c r="G15764" s="51"/>
      <c r="H15764" s="46" t="str">
        <f>IF(AND(I.Developer.P3=TRUE,I.Facility.P3FacilityCount&gt;=752,F15764=""),"Incomplete","Complete")</f>
        <v>Complete</v>
      </c>
      <c r="I15764" s="48" t="s">
        <v>20129</v>
      </c>
    </row>
    <row r="15765" spans="2:9" ht="15" customHeight="1" x14ac:dyDescent="0.25">
      <c r="B15765" s="55" t="s">
        <v>282</v>
      </c>
      <c r="C15765" s="46">
        <v>753</v>
      </c>
      <c r="D15765" s="69" t="s">
        <v>29419</v>
      </c>
      <c r="E15765" s="51"/>
      <c r="F15765" s="114" t="str">
        <f>IF(INDEX(I.Facility.P3IDNumber,753)="","",INDEX(I.Facility.P3IDNumber,753))</f>
        <v/>
      </c>
      <c r="G15765" s="51"/>
      <c r="H15765" s="46" t="str">
        <f>IF(AND(I.Developer.P3=TRUE,I.Facility.P3FacilityCount&gt;=753,F15765=""),"Incomplete","Complete")</f>
        <v>Complete</v>
      </c>
      <c r="I15765" s="48" t="s">
        <v>20130</v>
      </c>
    </row>
    <row r="15766" spans="2:9" ht="15" customHeight="1" x14ac:dyDescent="0.25">
      <c r="B15766" s="55" t="s">
        <v>282</v>
      </c>
      <c r="C15766" s="46">
        <v>754</v>
      </c>
      <c r="D15766" s="69" t="s">
        <v>29419</v>
      </c>
      <c r="E15766" s="51"/>
      <c r="F15766" s="114" t="str">
        <f>IF(INDEX(I.Facility.P3IDNumber,754)="","",INDEX(I.Facility.P3IDNumber,754))</f>
        <v/>
      </c>
      <c r="G15766" s="51"/>
      <c r="H15766" s="46" t="str">
        <f>IF(AND(I.Developer.P3=TRUE,I.Facility.P3FacilityCount&gt;=754,F15766=""),"Incomplete","Complete")</f>
        <v>Complete</v>
      </c>
      <c r="I15766" s="48" t="s">
        <v>20131</v>
      </c>
    </row>
    <row r="15767" spans="2:9" ht="15" customHeight="1" x14ac:dyDescent="0.25">
      <c r="B15767" s="55" t="s">
        <v>282</v>
      </c>
      <c r="C15767" s="46">
        <v>755</v>
      </c>
      <c r="D15767" s="69" t="s">
        <v>29419</v>
      </c>
      <c r="E15767" s="51"/>
      <c r="F15767" s="114" t="str">
        <f>IF(INDEX(I.Facility.P3IDNumber,755)="","",INDEX(I.Facility.P3IDNumber,755))</f>
        <v/>
      </c>
      <c r="G15767" s="51"/>
      <c r="H15767" s="46" t="str">
        <f>IF(AND(I.Developer.P3=TRUE,I.Facility.P3FacilityCount&gt;=755,F15767=""),"Incomplete","Complete")</f>
        <v>Complete</v>
      </c>
      <c r="I15767" s="48" t="s">
        <v>20132</v>
      </c>
    </row>
    <row r="15768" spans="2:9" ht="15" customHeight="1" x14ac:dyDescent="0.25">
      <c r="B15768" s="55" t="s">
        <v>282</v>
      </c>
      <c r="C15768" s="46">
        <v>756</v>
      </c>
      <c r="D15768" s="69" t="s">
        <v>29419</v>
      </c>
      <c r="E15768" s="51"/>
      <c r="F15768" s="114" t="str">
        <f>IF(INDEX(I.Facility.P3IDNumber,756)="","",INDEX(I.Facility.P3IDNumber,756))</f>
        <v/>
      </c>
      <c r="G15768" s="51"/>
      <c r="H15768" s="46" t="str">
        <f>IF(AND(I.Developer.P3=TRUE,I.Facility.P3FacilityCount&gt;=756,F15768=""),"Incomplete","Complete")</f>
        <v>Complete</v>
      </c>
      <c r="I15768" s="48" t="s">
        <v>20133</v>
      </c>
    </row>
    <row r="15769" spans="2:9" ht="15" customHeight="1" x14ac:dyDescent="0.25">
      <c r="B15769" s="55" t="s">
        <v>282</v>
      </c>
      <c r="C15769" s="46">
        <v>757</v>
      </c>
      <c r="D15769" s="69" t="s">
        <v>29419</v>
      </c>
      <c r="E15769" s="51"/>
      <c r="F15769" s="114" t="str">
        <f>IF(INDEX(I.Facility.P3IDNumber,757)="","",INDEX(I.Facility.P3IDNumber,757))</f>
        <v/>
      </c>
      <c r="G15769" s="51"/>
      <c r="H15769" s="46" t="str">
        <f>IF(AND(I.Developer.P3=TRUE,I.Facility.P3FacilityCount&gt;=757,F15769=""),"Incomplete","Complete")</f>
        <v>Complete</v>
      </c>
      <c r="I15769" s="48" t="s">
        <v>20134</v>
      </c>
    </row>
    <row r="15770" spans="2:9" ht="15" customHeight="1" x14ac:dyDescent="0.25">
      <c r="B15770" s="55" t="s">
        <v>282</v>
      </c>
      <c r="C15770" s="46">
        <v>758</v>
      </c>
      <c r="D15770" s="69" t="s">
        <v>29419</v>
      </c>
      <c r="E15770" s="51"/>
      <c r="F15770" s="114" t="str">
        <f>IF(INDEX(I.Facility.P3IDNumber,758)="","",INDEX(I.Facility.P3IDNumber,758))</f>
        <v/>
      </c>
      <c r="G15770" s="51"/>
      <c r="H15770" s="46" t="str">
        <f>IF(AND(I.Developer.P3=TRUE,I.Facility.P3FacilityCount&gt;=758,F15770=""),"Incomplete","Complete")</f>
        <v>Complete</v>
      </c>
      <c r="I15770" s="48" t="s">
        <v>20135</v>
      </c>
    </row>
    <row r="15771" spans="2:9" ht="15" customHeight="1" x14ac:dyDescent="0.25">
      <c r="B15771" s="55" t="s">
        <v>282</v>
      </c>
      <c r="C15771" s="46">
        <v>759</v>
      </c>
      <c r="D15771" s="69" t="s">
        <v>29419</v>
      </c>
      <c r="E15771" s="51"/>
      <c r="F15771" s="114" t="str">
        <f>IF(INDEX(I.Facility.P3IDNumber,759)="","",INDEX(I.Facility.P3IDNumber,759))</f>
        <v/>
      </c>
      <c r="G15771" s="51"/>
      <c r="H15771" s="46" t="str">
        <f>IF(AND(I.Developer.P3=TRUE,I.Facility.P3FacilityCount&gt;=759,F15771=""),"Incomplete","Complete")</f>
        <v>Complete</v>
      </c>
      <c r="I15771" s="48" t="s">
        <v>20136</v>
      </c>
    </row>
    <row r="15772" spans="2:9" ht="15" customHeight="1" x14ac:dyDescent="0.25">
      <c r="B15772" s="55" t="s">
        <v>282</v>
      </c>
      <c r="C15772" s="46">
        <v>760</v>
      </c>
      <c r="D15772" s="69" t="s">
        <v>29419</v>
      </c>
      <c r="E15772" s="51"/>
      <c r="F15772" s="114" t="str">
        <f>IF(INDEX(I.Facility.P3IDNumber,760)="","",INDEX(I.Facility.P3IDNumber,760))</f>
        <v/>
      </c>
      <c r="G15772" s="51"/>
      <c r="H15772" s="46" t="str">
        <f>IF(AND(I.Developer.P3=TRUE,I.Facility.P3FacilityCount&gt;=760,F15772=""),"Incomplete","Complete")</f>
        <v>Complete</v>
      </c>
      <c r="I15772" s="48" t="s">
        <v>20137</v>
      </c>
    </row>
    <row r="15773" spans="2:9" ht="15" customHeight="1" x14ac:dyDescent="0.25">
      <c r="B15773" s="55" t="s">
        <v>282</v>
      </c>
      <c r="C15773" s="46">
        <v>761</v>
      </c>
      <c r="D15773" s="69" t="s">
        <v>29419</v>
      </c>
      <c r="E15773" s="51"/>
      <c r="F15773" s="114" t="str">
        <f>IF(INDEX(I.Facility.P3IDNumber,761)="","",INDEX(I.Facility.P3IDNumber,761))</f>
        <v/>
      </c>
      <c r="G15773" s="51"/>
      <c r="H15773" s="46" t="str">
        <f>IF(AND(I.Developer.P3=TRUE,I.Facility.P3FacilityCount&gt;=761,F15773=""),"Incomplete","Complete")</f>
        <v>Complete</v>
      </c>
      <c r="I15773" s="48" t="s">
        <v>20138</v>
      </c>
    </row>
    <row r="15774" spans="2:9" ht="15" customHeight="1" x14ac:dyDescent="0.25">
      <c r="B15774" s="55" t="s">
        <v>282</v>
      </c>
      <c r="C15774" s="46">
        <v>762</v>
      </c>
      <c r="D15774" s="69" t="s">
        <v>29419</v>
      </c>
      <c r="E15774" s="51"/>
      <c r="F15774" s="114" t="str">
        <f>IF(INDEX(I.Facility.P3IDNumber,762)="","",INDEX(I.Facility.P3IDNumber,762))</f>
        <v/>
      </c>
      <c r="G15774" s="51"/>
      <c r="H15774" s="46" t="str">
        <f>IF(AND(I.Developer.P3=TRUE,I.Facility.P3FacilityCount&gt;=762,F15774=""),"Incomplete","Complete")</f>
        <v>Complete</v>
      </c>
      <c r="I15774" s="48" t="s">
        <v>20139</v>
      </c>
    </row>
    <row r="15775" spans="2:9" ht="15" customHeight="1" x14ac:dyDescent="0.25">
      <c r="B15775" s="55" t="s">
        <v>282</v>
      </c>
      <c r="C15775" s="46">
        <v>763</v>
      </c>
      <c r="D15775" s="69" t="s">
        <v>29419</v>
      </c>
      <c r="E15775" s="51"/>
      <c r="F15775" s="114" t="str">
        <f>IF(INDEX(I.Facility.P3IDNumber,763)="","",INDEX(I.Facility.P3IDNumber,763))</f>
        <v/>
      </c>
      <c r="G15775" s="51"/>
      <c r="H15775" s="46" t="str">
        <f>IF(AND(I.Developer.P3=TRUE,I.Facility.P3FacilityCount&gt;=763,F15775=""),"Incomplete","Complete")</f>
        <v>Complete</v>
      </c>
      <c r="I15775" s="48" t="s">
        <v>20140</v>
      </c>
    </row>
    <row r="15776" spans="2:9" ht="15" customHeight="1" x14ac:dyDescent="0.25">
      <c r="B15776" s="55" t="s">
        <v>282</v>
      </c>
      <c r="C15776" s="46">
        <v>764</v>
      </c>
      <c r="D15776" s="69" t="s">
        <v>29419</v>
      </c>
      <c r="E15776" s="51"/>
      <c r="F15776" s="114" t="str">
        <f>IF(INDEX(I.Facility.P3IDNumber,764)="","",INDEX(I.Facility.P3IDNumber,764))</f>
        <v/>
      </c>
      <c r="G15776" s="51"/>
      <c r="H15776" s="46" t="str">
        <f>IF(AND(I.Developer.P3=TRUE,I.Facility.P3FacilityCount&gt;=764,F15776=""),"Incomplete","Complete")</f>
        <v>Complete</v>
      </c>
      <c r="I15776" s="48" t="s">
        <v>20141</v>
      </c>
    </row>
    <row r="15777" spans="2:9" ht="15" customHeight="1" x14ac:dyDescent="0.25">
      <c r="B15777" s="55" t="s">
        <v>282</v>
      </c>
      <c r="C15777" s="46">
        <v>765</v>
      </c>
      <c r="D15777" s="69" t="s">
        <v>29419</v>
      </c>
      <c r="E15777" s="51"/>
      <c r="F15777" s="114" t="str">
        <f>IF(INDEX(I.Facility.P3IDNumber,765)="","",INDEX(I.Facility.P3IDNumber,765))</f>
        <v/>
      </c>
      <c r="G15777" s="51"/>
      <c r="H15777" s="46" t="str">
        <f>IF(AND(I.Developer.P3=TRUE,I.Facility.P3FacilityCount&gt;=765,F15777=""),"Incomplete","Complete")</f>
        <v>Complete</v>
      </c>
      <c r="I15777" s="48" t="s">
        <v>20142</v>
      </c>
    </row>
    <row r="15778" spans="2:9" ht="15" customHeight="1" x14ac:dyDescent="0.25">
      <c r="B15778" s="55" t="s">
        <v>282</v>
      </c>
      <c r="C15778" s="46">
        <v>766</v>
      </c>
      <c r="D15778" s="69" t="s">
        <v>29419</v>
      </c>
      <c r="E15778" s="51"/>
      <c r="F15778" s="114" t="str">
        <f>IF(INDEX(I.Facility.P3IDNumber,766)="","",INDEX(I.Facility.P3IDNumber,766))</f>
        <v/>
      </c>
      <c r="G15778" s="51"/>
      <c r="H15778" s="46" t="str">
        <f>IF(AND(I.Developer.P3=TRUE,I.Facility.P3FacilityCount&gt;=766,F15778=""),"Incomplete","Complete")</f>
        <v>Complete</v>
      </c>
      <c r="I15778" s="48" t="s">
        <v>20143</v>
      </c>
    </row>
    <row r="15779" spans="2:9" ht="15" customHeight="1" x14ac:dyDescent="0.25">
      <c r="B15779" s="55" t="s">
        <v>282</v>
      </c>
      <c r="C15779" s="46">
        <v>767</v>
      </c>
      <c r="D15779" s="69" t="s">
        <v>29419</v>
      </c>
      <c r="E15779" s="51"/>
      <c r="F15779" s="114" t="str">
        <f>IF(INDEX(I.Facility.P3IDNumber,767)="","",INDEX(I.Facility.P3IDNumber,767))</f>
        <v/>
      </c>
      <c r="G15779" s="51"/>
      <c r="H15779" s="46" t="str">
        <f>IF(AND(I.Developer.P3=TRUE,I.Facility.P3FacilityCount&gt;=767,F15779=""),"Incomplete","Complete")</f>
        <v>Complete</v>
      </c>
      <c r="I15779" s="48" t="s">
        <v>20144</v>
      </c>
    </row>
    <row r="15780" spans="2:9" ht="15" customHeight="1" x14ac:dyDescent="0.25">
      <c r="B15780" s="55" t="s">
        <v>282</v>
      </c>
      <c r="C15780" s="46">
        <v>768</v>
      </c>
      <c r="D15780" s="69" t="s">
        <v>29419</v>
      </c>
      <c r="E15780" s="51"/>
      <c r="F15780" s="114" t="str">
        <f>IF(INDEX(I.Facility.P3IDNumber,768)="","",INDEX(I.Facility.P3IDNumber,768))</f>
        <v/>
      </c>
      <c r="G15780" s="51"/>
      <c r="H15780" s="46" t="str">
        <f>IF(AND(I.Developer.P3=TRUE,I.Facility.P3FacilityCount&gt;=768,F15780=""),"Incomplete","Complete")</f>
        <v>Complete</v>
      </c>
      <c r="I15780" s="48" t="s">
        <v>20145</v>
      </c>
    </row>
    <row r="15781" spans="2:9" ht="15" customHeight="1" x14ac:dyDescent="0.25">
      <c r="B15781" s="55" t="s">
        <v>282</v>
      </c>
      <c r="C15781" s="46">
        <v>769</v>
      </c>
      <c r="D15781" s="69" t="s">
        <v>29419</v>
      </c>
      <c r="E15781" s="51"/>
      <c r="F15781" s="114" t="str">
        <f>IF(INDEX(I.Facility.P3IDNumber,769)="","",INDEX(I.Facility.P3IDNumber,769))</f>
        <v/>
      </c>
      <c r="G15781" s="51"/>
      <c r="H15781" s="46" t="str">
        <f>IF(AND(I.Developer.P3=TRUE,I.Facility.P3FacilityCount&gt;=769,F15781=""),"Incomplete","Complete")</f>
        <v>Complete</v>
      </c>
      <c r="I15781" s="48" t="s">
        <v>20146</v>
      </c>
    </row>
    <row r="15782" spans="2:9" ht="15" customHeight="1" x14ac:dyDescent="0.25">
      <c r="B15782" s="55" t="s">
        <v>282</v>
      </c>
      <c r="C15782" s="46">
        <v>770</v>
      </c>
      <c r="D15782" s="69" t="s">
        <v>29419</v>
      </c>
      <c r="E15782" s="51"/>
      <c r="F15782" s="114" t="str">
        <f>IF(INDEX(I.Facility.P3IDNumber,770)="","",INDEX(I.Facility.P3IDNumber,770))</f>
        <v/>
      </c>
      <c r="G15782" s="51"/>
      <c r="H15782" s="46" t="str">
        <f>IF(AND(I.Developer.P3=TRUE,I.Facility.P3FacilityCount&gt;=770,F15782=""),"Incomplete","Complete")</f>
        <v>Complete</v>
      </c>
      <c r="I15782" s="48" t="s">
        <v>20147</v>
      </c>
    </row>
    <row r="15783" spans="2:9" ht="15" customHeight="1" x14ac:dyDescent="0.25">
      <c r="B15783" s="55" t="s">
        <v>282</v>
      </c>
      <c r="C15783" s="46">
        <v>771</v>
      </c>
      <c r="D15783" s="69" t="s">
        <v>29419</v>
      </c>
      <c r="E15783" s="51"/>
      <c r="F15783" s="114" t="str">
        <f>IF(INDEX(I.Facility.P3IDNumber,771)="","",INDEX(I.Facility.P3IDNumber,771))</f>
        <v/>
      </c>
      <c r="G15783" s="51"/>
      <c r="H15783" s="46" t="str">
        <f>IF(AND(I.Developer.P3=TRUE,I.Facility.P3FacilityCount&gt;=771,F15783=""),"Incomplete","Complete")</f>
        <v>Complete</v>
      </c>
      <c r="I15783" s="48" t="s">
        <v>20148</v>
      </c>
    </row>
    <row r="15784" spans="2:9" ht="15" customHeight="1" x14ac:dyDescent="0.25">
      <c r="B15784" s="55" t="s">
        <v>282</v>
      </c>
      <c r="C15784" s="46">
        <v>772</v>
      </c>
      <c r="D15784" s="69" t="s">
        <v>29419</v>
      </c>
      <c r="E15784" s="51"/>
      <c r="F15784" s="114" t="str">
        <f>IF(INDEX(I.Facility.P3IDNumber,772)="","",INDEX(I.Facility.P3IDNumber,772))</f>
        <v/>
      </c>
      <c r="G15784" s="51"/>
      <c r="H15784" s="46" t="str">
        <f>IF(AND(I.Developer.P3=TRUE,I.Facility.P3FacilityCount&gt;=772,F15784=""),"Incomplete","Complete")</f>
        <v>Complete</v>
      </c>
      <c r="I15784" s="48" t="s">
        <v>20149</v>
      </c>
    </row>
    <row r="15785" spans="2:9" ht="15" customHeight="1" x14ac:dyDescent="0.25">
      <c r="B15785" s="55" t="s">
        <v>282</v>
      </c>
      <c r="C15785" s="46">
        <v>773</v>
      </c>
      <c r="D15785" s="69" t="s">
        <v>29419</v>
      </c>
      <c r="E15785" s="51"/>
      <c r="F15785" s="114" t="str">
        <f>IF(INDEX(I.Facility.P3IDNumber,773)="","",INDEX(I.Facility.P3IDNumber,773))</f>
        <v/>
      </c>
      <c r="G15785" s="51"/>
      <c r="H15785" s="46" t="str">
        <f>IF(AND(I.Developer.P3=TRUE,I.Facility.P3FacilityCount&gt;=773,F15785=""),"Incomplete","Complete")</f>
        <v>Complete</v>
      </c>
      <c r="I15785" s="48" t="s">
        <v>20150</v>
      </c>
    </row>
    <row r="15786" spans="2:9" ht="15" customHeight="1" x14ac:dyDescent="0.25">
      <c r="B15786" s="55" t="s">
        <v>282</v>
      </c>
      <c r="C15786" s="46">
        <v>774</v>
      </c>
      <c r="D15786" s="69" t="s">
        <v>29419</v>
      </c>
      <c r="E15786" s="51"/>
      <c r="F15786" s="114" t="str">
        <f>IF(INDEX(I.Facility.P3IDNumber,774)="","",INDEX(I.Facility.P3IDNumber,774))</f>
        <v/>
      </c>
      <c r="G15786" s="51"/>
      <c r="H15786" s="46" t="str">
        <f>IF(AND(I.Developer.P3=TRUE,I.Facility.P3FacilityCount&gt;=774,F15786=""),"Incomplete","Complete")</f>
        <v>Complete</v>
      </c>
      <c r="I15786" s="48" t="s">
        <v>20151</v>
      </c>
    </row>
    <row r="15787" spans="2:9" ht="15" customHeight="1" x14ac:dyDescent="0.25">
      <c r="B15787" s="55" t="s">
        <v>282</v>
      </c>
      <c r="C15787" s="46">
        <v>775</v>
      </c>
      <c r="D15787" s="69" t="s">
        <v>29419</v>
      </c>
      <c r="E15787" s="51"/>
      <c r="F15787" s="114" t="str">
        <f>IF(INDEX(I.Facility.P3IDNumber,775)="","",INDEX(I.Facility.P3IDNumber,775))</f>
        <v/>
      </c>
      <c r="G15787" s="51"/>
      <c r="H15787" s="46" t="str">
        <f>IF(AND(I.Developer.P3=TRUE,I.Facility.P3FacilityCount&gt;=775,F15787=""),"Incomplete","Complete")</f>
        <v>Complete</v>
      </c>
      <c r="I15787" s="48" t="s">
        <v>20152</v>
      </c>
    </row>
    <row r="15788" spans="2:9" ht="15" customHeight="1" x14ac:dyDescent="0.25">
      <c r="B15788" s="55" t="s">
        <v>282</v>
      </c>
      <c r="C15788" s="46">
        <v>776</v>
      </c>
      <c r="D15788" s="69" t="s">
        <v>29419</v>
      </c>
      <c r="E15788" s="51"/>
      <c r="F15788" s="114" t="str">
        <f>IF(INDEX(I.Facility.P3IDNumber,776)="","",INDEX(I.Facility.P3IDNumber,776))</f>
        <v/>
      </c>
      <c r="G15788" s="51"/>
      <c r="H15788" s="46" t="str">
        <f>IF(AND(I.Developer.P3=TRUE,I.Facility.P3FacilityCount&gt;=776,F15788=""),"Incomplete","Complete")</f>
        <v>Complete</v>
      </c>
      <c r="I15788" s="48" t="s">
        <v>20153</v>
      </c>
    </row>
    <row r="15789" spans="2:9" ht="15" customHeight="1" x14ac:dyDescent="0.25">
      <c r="B15789" s="55" t="s">
        <v>282</v>
      </c>
      <c r="C15789" s="46">
        <v>777</v>
      </c>
      <c r="D15789" s="69" t="s">
        <v>29419</v>
      </c>
      <c r="E15789" s="51"/>
      <c r="F15789" s="114" t="str">
        <f>IF(INDEX(I.Facility.P3IDNumber,777)="","",INDEX(I.Facility.P3IDNumber,777))</f>
        <v/>
      </c>
      <c r="G15789" s="51"/>
      <c r="H15789" s="46" t="str">
        <f>IF(AND(I.Developer.P3=TRUE,I.Facility.P3FacilityCount&gt;=777,F15789=""),"Incomplete","Complete")</f>
        <v>Complete</v>
      </c>
      <c r="I15789" s="48" t="s">
        <v>20154</v>
      </c>
    </row>
    <row r="15790" spans="2:9" ht="15" customHeight="1" x14ac:dyDescent="0.25">
      <c r="B15790" s="55" t="s">
        <v>282</v>
      </c>
      <c r="C15790" s="46">
        <v>778</v>
      </c>
      <c r="D15790" s="69" t="s">
        <v>29419</v>
      </c>
      <c r="E15790" s="51"/>
      <c r="F15790" s="114" t="str">
        <f>IF(INDEX(I.Facility.P3IDNumber,778)="","",INDEX(I.Facility.P3IDNumber,778))</f>
        <v/>
      </c>
      <c r="G15790" s="51"/>
      <c r="H15790" s="46" t="str">
        <f>IF(AND(I.Developer.P3=TRUE,I.Facility.P3FacilityCount&gt;=778,F15790=""),"Incomplete","Complete")</f>
        <v>Complete</v>
      </c>
      <c r="I15790" s="48" t="s">
        <v>20155</v>
      </c>
    </row>
    <row r="15791" spans="2:9" ht="15" customHeight="1" x14ac:dyDescent="0.25">
      <c r="B15791" s="55" t="s">
        <v>282</v>
      </c>
      <c r="C15791" s="46">
        <v>779</v>
      </c>
      <c r="D15791" s="69" t="s">
        <v>29419</v>
      </c>
      <c r="E15791" s="51"/>
      <c r="F15791" s="114" t="str">
        <f>IF(INDEX(I.Facility.P3IDNumber,779)="","",INDEX(I.Facility.P3IDNumber,779))</f>
        <v/>
      </c>
      <c r="G15791" s="51"/>
      <c r="H15791" s="46" t="str">
        <f>IF(AND(I.Developer.P3=TRUE,I.Facility.P3FacilityCount&gt;=779,F15791=""),"Incomplete","Complete")</f>
        <v>Complete</v>
      </c>
      <c r="I15791" s="48" t="s">
        <v>20156</v>
      </c>
    </row>
    <row r="15792" spans="2:9" ht="15" customHeight="1" x14ac:dyDescent="0.25">
      <c r="B15792" s="55" t="s">
        <v>282</v>
      </c>
      <c r="C15792" s="46">
        <v>780</v>
      </c>
      <c r="D15792" s="69" t="s">
        <v>29419</v>
      </c>
      <c r="E15792" s="51"/>
      <c r="F15792" s="114" t="str">
        <f>IF(INDEX(I.Facility.P3IDNumber,780)="","",INDEX(I.Facility.P3IDNumber,780))</f>
        <v/>
      </c>
      <c r="G15792" s="51"/>
      <c r="H15792" s="46" t="str">
        <f>IF(AND(I.Developer.P3=TRUE,I.Facility.P3FacilityCount&gt;=780,F15792=""),"Incomplete","Complete")</f>
        <v>Complete</v>
      </c>
      <c r="I15792" s="48" t="s">
        <v>20157</v>
      </c>
    </row>
    <row r="15793" spans="2:9" ht="15" customHeight="1" x14ac:dyDescent="0.25">
      <c r="B15793" s="55" t="s">
        <v>282</v>
      </c>
      <c r="C15793" s="46">
        <v>781</v>
      </c>
      <c r="D15793" s="69" t="s">
        <v>29419</v>
      </c>
      <c r="E15793" s="51"/>
      <c r="F15793" s="114" t="str">
        <f>IF(INDEX(I.Facility.P3IDNumber,781)="","",INDEX(I.Facility.P3IDNumber,781))</f>
        <v/>
      </c>
      <c r="G15793" s="51"/>
      <c r="H15793" s="46" t="str">
        <f>IF(AND(I.Developer.P3=TRUE,I.Facility.P3FacilityCount&gt;=781,F15793=""),"Incomplete","Complete")</f>
        <v>Complete</v>
      </c>
      <c r="I15793" s="48" t="s">
        <v>20158</v>
      </c>
    </row>
    <row r="15794" spans="2:9" ht="15" customHeight="1" x14ac:dyDescent="0.25">
      <c r="B15794" s="55" t="s">
        <v>282</v>
      </c>
      <c r="C15794" s="46">
        <v>782</v>
      </c>
      <c r="D15794" s="69" t="s">
        <v>29419</v>
      </c>
      <c r="E15794" s="51"/>
      <c r="F15794" s="114" t="str">
        <f>IF(INDEX(I.Facility.P3IDNumber,782)="","",INDEX(I.Facility.P3IDNumber,782))</f>
        <v/>
      </c>
      <c r="G15794" s="51"/>
      <c r="H15794" s="46" t="str">
        <f>IF(AND(I.Developer.P3=TRUE,I.Facility.P3FacilityCount&gt;=782,F15794=""),"Incomplete","Complete")</f>
        <v>Complete</v>
      </c>
      <c r="I15794" s="48" t="s">
        <v>20159</v>
      </c>
    </row>
    <row r="15795" spans="2:9" ht="15" customHeight="1" x14ac:dyDescent="0.25">
      <c r="B15795" s="55" t="s">
        <v>282</v>
      </c>
      <c r="C15795" s="46">
        <v>783</v>
      </c>
      <c r="D15795" s="69" t="s">
        <v>29419</v>
      </c>
      <c r="E15795" s="51"/>
      <c r="F15795" s="114" t="str">
        <f>IF(INDEX(I.Facility.P3IDNumber,783)="","",INDEX(I.Facility.P3IDNumber,783))</f>
        <v/>
      </c>
      <c r="G15795" s="51"/>
      <c r="H15795" s="46" t="str">
        <f>IF(AND(I.Developer.P3=TRUE,I.Facility.P3FacilityCount&gt;=783,F15795=""),"Incomplete","Complete")</f>
        <v>Complete</v>
      </c>
      <c r="I15795" s="48" t="s">
        <v>20160</v>
      </c>
    </row>
    <row r="15796" spans="2:9" ht="15" customHeight="1" x14ac:dyDescent="0.25">
      <c r="B15796" s="55" t="s">
        <v>282</v>
      </c>
      <c r="C15796" s="46">
        <v>784</v>
      </c>
      <c r="D15796" s="69" t="s">
        <v>29419</v>
      </c>
      <c r="E15796" s="51"/>
      <c r="F15796" s="114" t="str">
        <f>IF(INDEX(I.Facility.P3IDNumber,784)="","",INDEX(I.Facility.P3IDNumber,784))</f>
        <v/>
      </c>
      <c r="G15796" s="51"/>
      <c r="H15796" s="46" t="str">
        <f>IF(AND(I.Developer.P3=TRUE,I.Facility.P3FacilityCount&gt;=784,F15796=""),"Incomplete","Complete")</f>
        <v>Complete</v>
      </c>
      <c r="I15796" s="48" t="s">
        <v>20161</v>
      </c>
    </row>
    <row r="15797" spans="2:9" ht="15" customHeight="1" x14ac:dyDescent="0.25">
      <c r="B15797" s="55" t="s">
        <v>282</v>
      </c>
      <c r="C15797" s="46">
        <v>785</v>
      </c>
      <c r="D15797" s="69" t="s">
        <v>29419</v>
      </c>
      <c r="E15797" s="51"/>
      <c r="F15797" s="114" t="str">
        <f>IF(INDEX(I.Facility.P3IDNumber,785)="","",INDEX(I.Facility.P3IDNumber,785))</f>
        <v/>
      </c>
      <c r="G15797" s="51"/>
      <c r="H15797" s="46" t="str">
        <f>IF(AND(I.Developer.P3=TRUE,I.Facility.P3FacilityCount&gt;=785,F15797=""),"Incomplete","Complete")</f>
        <v>Complete</v>
      </c>
      <c r="I15797" s="48" t="s">
        <v>20162</v>
      </c>
    </row>
    <row r="15798" spans="2:9" ht="15" customHeight="1" x14ac:dyDescent="0.25">
      <c r="B15798" s="55" t="s">
        <v>282</v>
      </c>
      <c r="C15798" s="46">
        <v>786</v>
      </c>
      <c r="D15798" s="69" t="s">
        <v>29419</v>
      </c>
      <c r="E15798" s="51"/>
      <c r="F15798" s="114" t="str">
        <f>IF(INDEX(I.Facility.P3IDNumber,786)="","",INDEX(I.Facility.P3IDNumber,786))</f>
        <v/>
      </c>
      <c r="G15798" s="51"/>
      <c r="H15798" s="46" t="str">
        <f>IF(AND(I.Developer.P3=TRUE,I.Facility.P3FacilityCount&gt;=786,F15798=""),"Incomplete","Complete")</f>
        <v>Complete</v>
      </c>
      <c r="I15798" s="48" t="s">
        <v>20163</v>
      </c>
    </row>
    <row r="15799" spans="2:9" ht="15" customHeight="1" x14ac:dyDescent="0.25">
      <c r="B15799" s="55" t="s">
        <v>282</v>
      </c>
      <c r="C15799" s="46">
        <v>787</v>
      </c>
      <c r="D15799" s="69" t="s">
        <v>29419</v>
      </c>
      <c r="E15799" s="51"/>
      <c r="F15799" s="114" t="str">
        <f>IF(INDEX(I.Facility.P3IDNumber,787)="","",INDEX(I.Facility.P3IDNumber,787))</f>
        <v/>
      </c>
      <c r="G15799" s="51"/>
      <c r="H15799" s="46" t="str">
        <f>IF(AND(I.Developer.P3=TRUE,I.Facility.P3FacilityCount&gt;=787,F15799=""),"Incomplete","Complete")</f>
        <v>Complete</v>
      </c>
      <c r="I15799" s="48" t="s">
        <v>20164</v>
      </c>
    </row>
    <row r="15800" spans="2:9" ht="15" customHeight="1" x14ac:dyDescent="0.25">
      <c r="B15800" s="55" t="s">
        <v>282</v>
      </c>
      <c r="C15800" s="46">
        <v>788</v>
      </c>
      <c r="D15800" s="69" t="s">
        <v>29419</v>
      </c>
      <c r="E15800" s="51"/>
      <c r="F15800" s="114" t="str">
        <f>IF(INDEX(I.Facility.P3IDNumber,788)="","",INDEX(I.Facility.P3IDNumber,788))</f>
        <v/>
      </c>
      <c r="G15800" s="51"/>
      <c r="H15800" s="46" t="str">
        <f>IF(AND(I.Developer.P3=TRUE,I.Facility.P3FacilityCount&gt;=788,F15800=""),"Incomplete","Complete")</f>
        <v>Complete</v>
      </c>
      <c r="I15800" s="48" t="s">
        <v>20165</v>
      </c>
    </row>
    <row r="15801" spans="2:9" ht="15" customHeight="1" x14ac:dyDescent="0.25">
      <c r="B15801" s="55" t="s">
        <v>282</v>
      </c>
      <c r="C15801" s="46">
        <v>789</v>
      </c>
      <c r="D15801" s="69" t="s">
        <v>29419</v>
      </c>
      <c r="E15801" s="51"/>
      <c r="F15801" s="114" t="str">
        <f>IF(INDEX(I.Facility.P3IDNumber,789)="","",INDEX(I.Facility.P3IDNumber,789))</f>
        <v/>
      </c>
      <c r="G15801" s="51"/>
      <c r="H15801" s="46" t="str">
        <f>IF(AND(I.Developer.P3=TRUE,I.Facility.P3FacilityCount&gt;=789,F15801=""),"Incomplete","Complete")</f>
        <v>Complete</v>
      </c>
      <c r="I15801" s="48" t="s">
        <v>20166</v>
      </c>
    </row>
    <row r="15802" spans="2:9" ht="15" customHeight="1" x14ac:dyDescent="0.25">
      <c r="B15802" s="55" t="s">
        <v>282</v>
      </c>
      <c r="C15802" s="46">
        <v>790</v>
      </c>
      <c r="D15802" s="69" t="s">
        <v>29419</v>
      </c>
      <c r="E15802" s="51"/>
      <c r="F15802" s="114" t="str">
        <f>IF(INDEX(I.Facility.P3IDNumber,790)="","",INDEX(I.Facility.P3IDNumber,790))</f>
        <v/>
      </c>
      <c r="G15802" s="51"/>
      <c r="H15802" s="46" t="str">
        <f>IF(AND(I.Developer.P3=TRUE,I.Facility.P3FacilityCount&gt;=790,F15802=""),"Incomplete","Complete")</f>
        <v>Complete</v>
      </c>
      <c r="I15802" s="48" t="s">
        <v>20167</v>
      </c>
    </row>
    <row r="15803" spans="2:9" ht="15" customHeight="1" x14ac:dyDescent="0.25">
      <c r="B15803" s="55" t="s">
        <v>282</v>
      </c>
      <c r="C15803" s="46">
        <v>791</v>
      </c>
      <c r="D15803" s="69" t="s">
        <v>29419</v>
      </c>
      <c r="E15803" s="51"/>
      <c r="F15803" s="114" t="str">
        <f>IF(INDEX(I.Facility.P3IDNumber,791)="","",INDEX(I.Facility.P3IDNumber,791))</f>
        <v/>
      </c>
      <c r="G15803" s="51"/>
      <c r="H15803" s="46" t="str">
        <f>IF(AND(I.Developer.P3=TRUE,I.Facility.P3FacilityCount&gt;=791,F15803=""),"Incomplete","Complete")</f>
        <v>Complete</v>
      </c>
      <c r="I15803" s="48" t="s">
        <v>20168</v>
      </c>
    </row>
    <row r="15804" spans="2:9" ht="15" customHeight="1" x14ac:dyDescent="0.25">
      <c r="B15804" s="55" t="s">
        <v>282</v>
      </c>
      <c r="C15804" s="46">
        <v>792</v>
      </c>
      <c r="D15804" s="69" t="s">
        <v>29419</v>
      </c>
      <c r="E15804" s="51"/>
      <c r="F15804" s="114" t="str">
        <f>IF(INDEX(I.Facility.P3IDNumber,792)="","",INDEX(I.Facility.P3IDNumber,792))</f>
        <v/>
      </c>
      <c r="G15804" s="51"/>
      <c r="H15804" s="46" t="str">
        <f>IF(AND(I.Developer.P3=TRUE,I.Facility.P3FacilityCount&gt;=792,F15804=""),"Incomplete","Complete")</f>
        <v>Complete</v>
      </c>
      <c r="I15804" s="48" t="s">
        <v>20169</v>
      </c>
    </row>
    <row r="15805" spans="2:9" ht="15" customHeight="1" x14ac:dyDescent="0.25">
      <c r="B15805" s="55" t="s">
        <v>282</v>
      </c>
      <c r="C15805" s="46">
        <v>793</v>
      </c>
      <c r="D15805" s="69" t="s">
        <v>29419</v>
      </c>
      <c r="E15805" s="51"/>
      <c r="F15805" s="114" t="str">
        <f>IF(INDEX(I.Facility.P3IDNumber,793)="","",INDEX(I.Facility.P3IDNumber,793))</f>
        <v/>
      </c>
      <c r="G15805" s="51"/>
      <c r="H15805" s="46" t="str">
        <f>IF(AND(I.Developer.P3=TRUE,I.Facility.P3FacilityCount&gt;=793,F15805=""),"Incomplete","Complete")</f>
        <v>Complete</v>
      </c>
      <c r="I15805" s="48" t="s">
        <v>20170</v>
      </c>
    </row>
    <row r="15806" spans="2:9" ht="15" customHeight="1" x14ac:dyDescent="0.25">
      <c r="B15806" s="55" t="s">
        <v>282</v>
      </c>
      <c r="C15806" s="46">
        <v>794</v>
      </c>
      <c r="D15806" s="69" t="s">
        <v>29419</v>
      </c>
      <c r="E15806" s="51"/>
      <c r="F15806" s="114" t="str">
        <f>IF(INDEX(I.Facility.P3IDNumber,794)="","",INDEX(I.Facility.P3IDNumber,794))</f>
        <v/>
      </c>
      <c r="G15806" s="51"/>
      <c r="H15806" s="46" t="str">
        <f>IF(AND(I.Developer.P3=TRUE,I.Facility.P3FacilityCount&gt;=794,F15806=""),"Incomplete","Complete")</f>
        <v>Complete</v>
      </c>
      <c r="I15806" s="48" t="s">
        <v>20171</v>
      </c>
    </row>
    <row r="15807" spans="2:9" ht="15" customHeight="1" x14ac:dyDescent="0.25">
      <c r="B15807" s="55" t="s">
        <v>282</v>
      </c>
      <c r="C15807" s="46">
        <v>795</v>
      </c>
      <c r="D15807" s="69" t="s">
        <v>29419</v>
      </c>
      <c r="E15807" s="51"/>
      <c r="F15807" s="114" t="str">
        <f>IF(INDEX(I.Facility.P3IDNumber,795)="","",INDEX(I.Facility.P3IDNumber,795))</f>
        <v/>
      </c>
      <c r="G15807" s="51"/>
      <c r="H15807" s="46" t="str">
        <f>IF(AND(I.Developer.P3=TRUE,I.Facility.P3FacilityCount&gt;=795,F15807=""),"Incomplete","Complete")</f>
        <v>Complete</v>
      </c>
      <c r="I15807" s="48" t="s">
        <v>20172</v>
      </c>
    </row>
    <row r="15808" spans="2:9" ht="15" customHeight="1" x14ac:dyDescent="0.25">
      <c r="B15808" s="55" t="s">
        <v>282</v>
      </c>
      <c r="C15808" s="46">
        <v>796</v>
      </c>
      <c r="D15808" s="69" t="s">
        <v>29419</v>
      </c>
      <c r="E15808" s="51"/>
      <c r="F15808" s="114" t="str">
        <f>IF(INDEX(I.Facility.P3IDNumber,796)="","",INDEX(I.Facility.P3IDNumber,796))</f>
        <v/>
      </c>
      <c r="G15808" s="51"/>
      <c r="H15808" s="46" t="str">
        <f>IF(AND(I.Developer.P3=TRUE,I.Facility.P3FacilityCount&gt;=796,F15808=""),"Incomplete","Complete")</f>
        <v>Complete</v>
      </c>
      <c r="I15808" s="48" t="s">
        <v>20173</v>
      </c>
    </row>
    <row r="15809" spans="2:9" ht="15" customHeight="1" x14ac:dyDescent="0.25">
      <c r="B15809" s="55" t="s">
        <v>282</v>
      </c>
      <c r="C15809" s="46">
        <v>797</v>
      </c>
      <c r="D15809" s="69" t="s">
        <v>29419</v>
      </c>
      <c r="E15809" s="51"/>
      <c r="F15809" s="114" t="str">
        <f>IF(INDEX(I.Facility.P3IDNumber,797)="","",INDEX(I.Facility.P3IDNumber,797))</f>
        <v/>
      </c>
      <c r="G15809" s="51"/>
      <c r="H15809" s="46" t="str">
        <f>IF(AND(I.Developer.P3=TRUE,I.Facility.P3FacilityCount&gt;=797,F15809=""),"Incomplete","Complete")</f>
        <v>Complete</v>
      </c>
      <c r="I15809" s="48" t="s">
        <v>20174</v>
      </c>
    </row>
    <row r="15810" spans="2:9" ht="15" customHeight="1" x14ac:dyDescent="0.25">
      <c r="B15810" s="55" t="s">
        <v>282</v>
      </c>
      <c r="C15810" s="46">
        <v>798</v>
      </c>
      <c r="D15810" s="69" t="s">
        <v>29419</v>
      </c>
      <c r="E15810" s="51"/>
      <c r="F15810" s="114" t="str">
        <f>IF(INDEX(I.Facility.P3IDNumber,798)="","",INDEX(I.Facility.P3IDNumber,798))</f>
        <v/>
      </c>
      <c r="G15810" s="51"/>
      <c r="H15810" s="46" t="str">
        <f>IF(AND(I.Developer.P3=TRUE,I.Facility.P3FacilityCount&gt;=798,F15810=""),"Incomplete","Complete")</f>
        <v>Complete</v>
      </c>
      <c r="I15810" s="48" t="s">
        <v>20175</v>
      </c>
    </row>
    <row r="15811" spans="2:9" ht="15" customHeight="1" x14ac:dyDescent="0.25">
      <c r="B15811" s="55" t="s">
        <v>282</v>
      </c>
      <c r="C15811" s="46">
        <v>799</v>
      </c>
      <c r="D15811" s="69" t="s">
        <v>29419</v>
      </c>
      <c r="E15811" s="51"/>
      <c r="F15811" s="114" t="str">
        <f>IF(INDEX(I.Facility.P3IDNumber,799)="","",INDEX(I.Facility.P3IDNumber,799))</f>
        <v/>
      </c>
      <c r="G15811" s="51"/>
      <c r="H15811" s="46" t="str">
        <f>IF(AND(I.Developer.P3=TRUE,I.Facility.P3FacilityCount&gt;=799,F15811=""),"Incomplete","Complete")</f>
        <v>Complete</v>
      </c>
      <c r="I15811" s="48" t="s">
        <v>20176</v>
      </c>
    </row>
    <row r="15812" spans="2:9" ht="15" customHeight="1" x14ac:dyDescent="0.25">
      <c r="B15812" s="55" t="s">
        <v>282</v>
      </c>
      <c r="C15812" s="46">
        <v>800</v>
      </c>
      <c r="D15812" s="69" t="s">
        <v>29419</v>
      </c>
      <c r="E15812" s="51"/>
      <c r="F15812" s="114" t="str">
        <f>IF(INDEX(I.Facility.P3IDNumber,800)="","",INDEX(I.Facility.P3IDNumber,800))</f>
        <v/>
      </c>
      <c r="G15812" s="51"/>
      <c r="H15812" s="46" t="str">
        <f>IF(AND(I.Developer.P3=TRUE,I.Facility.P3FacilityCount&gt;=800,F15812=""),"Incomplete","Complete")</f>
        <v>Complete</v>
      </c>
      <c r="I15812" s="48" t="s">
        <v>20177</v>
      </c>
    </row>
    <row r="15813" spans="2:9" ht="15" customHeight="1" x14ac:dyDescent="0.25">
      <c r="B15813" s="55" t="s">
        <v>282</v>
      </c>
      <c r="C15813" s="46">
        <v>801</v>
      </c>
      <c r="D15813" s="69" t="s">
        <v>29419</v>
      </c>
      <c r="E15813" s="51"/>
      <c r="F15813" s="114" t="str">
        <f>IF(INDEX(I.Facility.P3IDNumber,801)="","",INDEX(I.Facility.P3IDNumber,801))</f>
        <v/>
      </c>
      <c r="G15813" s="51"/>
      <c r="H15813" s="46" t="str">
        <f>IF(AND(I.Developer.P3=TRUE,I.Facility.P3FacilityCount&gt;=801,F15813=""),"Incomplete","Complete")</f>
        <v>Complete</v>
      </c>
      <c r="I15813" s="48" t="s">
        <v>20178</v>
      </c>
    </row>
    <row r="15814" spans="2:9" ht="15" customHeight="1" x14ac:dyDescent="0.25">
      <c r="B15814" s="55" t="s">
        <v>282</v>
      </c>
      <c r="C15814" s="46">
        <v>802</v>
      </c>
      <c r="D15814" s="69" t="s">
        <v>29419</v>
      </c>
      <c r="E15814" s="51"/>
      <c r="F15814" s="114" t="str">
        <f>IF(INDEX(I.Facility.P3IDNumber,802)="","",INDEX(I.Facility.P3IDNumber,802))</f>
        <v/>
      </c>
      <c r="G15814" s="51"/>
      <c r="H15814" s="46" t="str">
        <f>IF(AND(I.Developer.P3=TRUE,I.Facility.P3FacilityCount&gt;=802,F15814=""),"Incomplete","Complete")</f>
        <v>Complete</v>
      </c>
      <c r="I15814" s="48" t="s">
        <v>20179</v>
      </c>
    </row>
    <row r="15815" spans="2:9" ht="15" customHeight="1" x14ac:dyDescent="0.25">
      <c r="B15815" s="55" t="s">
        <v>282</v>
      </c>
      <c r="C15815" s="46">
        <v>803</v>
      </c>
      <c r="D15815" s="69" t="s">
        <v>29419</v>
      </c>
      <c r="E15815" s="51"/>
      <c r="F15815" s="114" t="str">
        <f>IF(INDEX(I.Facility.P3IDNumber,803)="","",INDEX(I.Facility.P3IDNumber,803))</f>
        <v/>
      </c>
      <c r="G15815" s="51"/>
      <c r="H15815" s="46" t="str">
        <f>IF(AND(I.Developer.P3=TRUE,I.Facility.P3FacilityCount&gt;=803,F15815=""),"Incomplete","Complete")</f>
        <v>Complete</v>
      </c>
      <c r="I15815" s="48" t="s">
        <v>20180</v>
      </c>
    </row>
    <row r="15816" spans="2:9" ht="15" customHeight="1" x14ac:dyDescent="0.25">
      <c r="B15816" s="55" t="s">
        <v>282</v>
      </c>
      <c r="C15816" s="46">
        <v>804</v>
      </c>
      <c r="D15816" s="69" t="s">
        <v>29419</v>
      </c>
      <c r="E15816" s="51"/>
      <c r="F15816" s="114" t="str">
        <f>IF(INDEX(I.Facility.P3IDNumber,804)="","",INDEX(I.Facility.P3IDNumber,804))</f>
        <v/>
      </c>
      <c r="G15816" s="51"/>
      <c r="H15816" s="46" t="str">
        <f>IF(AND(I.Developer.P3=TRUE,I.Facility.P3FacilityCount&gt;=804,F15816=""),"Incomplete","Complete")</f>
        <v>Complete</v>
      </c>
      <c r="I15816" s="48" t="s">
        <v>20181</v>
      </c>
    </row>
    <row r="15817" spans="2:9" ht="15" customHeight="1" x14ac:dyDescent="0.25">
      <c r="B15817" s="55" t="s">
        <v>282</v>
      </c>
      <c r="C15817" s="46">
        <v>805</v>
      </c>
      <c r="D15817" s="69" t="s">
        <v>29419</v>
      </c>
      <c r="E15817" s="51"/>
      <c r="F15817" s="114" t="str">
        <f>IF(INDEX(I.Facility.P3IDNumber,805)="","",INDEX(I.Facility.P3IDNumber,805))</f>
        <v/>
      </c>
      <c r="G15817" s="51"/>
      <c r="H15817" s="46" t="str">
        <f>IF(AND(I.Developer.P3=TRUE,I.Facility.P3FacilityCount&gt;=805,F15817=""),"Incomplete","Complete")</f>
        <v>Complete</v>
      </c>
      <c r="I15817" s="48" t="s">
        <v>20182</v>
      </c>
    </row>
    <row r="15818" spans="2:9" ht="15" customHeight="1" x14ac:dyDescent="0.25">
      <c r="B15818" s="55" t="s">
        <v>282</v>
      </c>
      <c r="C15818" s="46">
        <v>806</v>
      </c>
      <c r="D15818" s="69" t="s">
        <v>29419</v>
      </c>
      <c r="E15818" s="51"/>
      <c r="F15818" s="114" t="str">
        <f>IF(INDEX(I.Facility.P3IDNumber,806)="","",INDEX(I.Facility.P3IDNumber,806))</f>
        <v/>
      </c>
      <c r="G15818" s="51"/>
      <c r="H15818" s="46" t="str">
        <f>IF(AND(I.Developer.P3=TRUE,I.Facility.P3FacilityCount&gt;=806,F15818=""),"Incomplete","Complete")</f>
        <v>Complete</v>
      </c>
      <c r="I15818" s="48" t="s">
        <v>20183</v>
      </c>
    </row>
    <row r="15819" spans="2:9" ht="15" customHeight="1" x14ac:dyDescent="0.25">
      <c r="B15819" s="55" t="s">
        <v>282</v>
      </c>
      <c r="C15819" s="46">
        <v>807</v>
      </c>
      <c r="D15819" s="69" t="s">
        <v>29419</v>
      </c>
      <c r="E15819" s="51"/>
      <c r="F15819" s="114" t="str">
        <f>IF(INDEX(I.Facility.P3IDNumber,807)="","",INDEX(I.Facility.P3IDNumber,807))</f>
        <v/>
      </c>
      <c r="G15819" s="51"/>
      <c r="H15819" s="46" t="str">
        <f>IF(AND(I.Developer.P3=TRUE,I.Facility.P3FacilityCount&gt;=807,F15819=""),"Incomplete","Complete")</f>
        <v>Complete</v>
      </c>
      <c r="I15819" s="48" t="s">
        <v>20184</v>
      </c>
    </row>
    <row r="15820" spans="2:9" ht="15" customHeight="1" x14ac:dyDescent="0.25">
      <c r="B15820" s="55" t="s">
        <v>282</v>
      </c>
      <c r="C15820" s="46">
        <v>808</v>
      </c>
      <c r="D15820" s="69" t="s">
        <v>29419</v>
      </c>
      <c r="E15820" s="51"/>
      <c r="F15820" s="114" t="str">
        <f>IF(INDEX(I.Facility.P3IDNumber,808)="","",INDEX(I.Facility.P3IDNumber,808))</f>
        <v/>
      </c>
      <c r="G15820" s="51"/>
      <c r="H15820" s="46" t="str">
        <f>IF(AND(I.Developer.P3=TRUE,I.Facility.P3FacilityCount&gt;=808,F15820=""),"Incomplete","Complete")</f>
        <v>Complete</v>
      </c>
      <c r="I15820" s="48" t="s">
        <v>20185</v>
      </c>
    </row>
    <row r="15821" spans="2:9" ht="15" customHeight="1" x14ac:dyDescent="0.25">
      <c r="B15821" s="55" t="s">
        <v>282</v>
      </c>
      <c r="C15821" s="46">
        <v>809</v>
      </c>
      <c r="D15821" s="69" t="s">
        <v>29419</v>
      </c>
      <c r="E15821" s="51"/>
      <c r="F15821" s="114" t="str">
        <f>IF(INDEX(I.Facility.P3IDNumber,809)="","",INDEX(I.Facility.P3IDNumber,809))</f>
        <v/>
      </c>
      <c r="G15821" s="51"/>
      <c r="H15821" s="46" t="str">
        <f>IF(AND(I.Developer.P3=TRUE,I.Facility.P3FacilityCount&gt;=809,F15821=""),"Incomplete","Complete")</f>
        <v>Complete</v>
      </c>
      <c r="I15821" s="48" t="s">
        <v>20186</v>
      </c>
    </row>
    <row r="15822" spans="2:9" ht="15" customHeight="1" x14ac:dyDescent="0.25">
      <c r="B15822" s="55" t="s">
        <v>282</v>
      </c>
      <c r="C15822" s="46">
        <v>810</v>
      </c>
      <c r="D15822" s="69" t="s">
        <v>29419</v>
      </c>
      <c r="E15822" s="51"/>
      <c r="F15822" s="114" t="str">
        <f>IF(INDEX(I.Facility.P3IDNumber,810)="","",INDEX(I.Facility.P3IDNumber,810))</f>
        <v/>
      </c>
      <c r="G15822" s="51"/>
      <c r="H15822" s="46" t="str">
        <f>IF(AND(I.Developer.P3=TRUE,I.Facility.P3FacilityCount&gt;=810,F15822=""),"Incomplete","Complete")</f>
        <v>Complete</v>
      </c>
      <c r="I15822" s="48" t="s">
        <v>20187</v>
      </c>
    </row>
    <row r="15823" spans="2:9" ht="15" customHeight="1" x14ac:dyDescent="0.25">
      <c r="B15823" s="55" t="s">
        <v>282</v>
      </c>
      <c r="C15823" s="46">
        <v>811</v>
      </c>
      <c r="D15823" s="69" t="s">
        <v>29419</v>
      </c>
      <c r="E15823" s="51"/>
      <c r="F15823" s="114" t="str">
        <f>IF(INDEX(I.Facility.P3IDNumber,811)="","",INDEX(I.Facility.P3IDNumber,811))</f>
        <v/>
      </c>
      <c r="G15823" s="51"/>
      <c r="H15823" s="46" t="str">
        <f>IF(AND(I.Developer.P3=TRUE,I.Facility.P3FacilityCount&gt;=811,F15823=""),"Incomplete","Complete")</f>
        <v>Complete</v>
      </c>
      <c r="I15823" s="48" t="s">
        <v>20188</v>
      </c>
    </row>
    <row r="15824" spans="2:9" ht="15" customHeight="1" x14ac:dyDescent="0.25">
      <c r="B15824" s="55" t="s">
        <v>282</v>
      </c>
      <c r="C15824" s="46">
        <v>812</v>
      </c>
      <c r="D15824" s="69" t="s">
        <v>29419</v>
      </c>
      <c r="E15824" s="51"/>
      <c r="F15824" s="114" t="str">
        <f>IF(INDEX(I.Facility.P3IDNumber,812)="","",INDEX(I.Facility.P3IDNumber,812))</f>
        <v/>
      </c>
      <c r="G15824" s="51"/>
      <c r="H15824" s="46" t="str">
        <f>IF(AND(I.Developer.P3=TRUE,I.Facility.P3FacilityCount&gt;=812,F15824=""),"Incomplete","Complete")</f>
        <v>Complete</v>
      </c>
      <c r="I15824" s="48" t="s">
        <v>20189</v>
      </c>
    </row>
    <row r="15825" spans="2:9" ht="15" customHeight="1" x14ac:dyDescent="0.25">
      <c r="B15825" s="55" t="s">
        <v>282</v>
      </c>
      <c r="C15825" s="46">
        <v>813</v>
      </c>
      <c r="D15825" s="69" t="s">
        <v>29419</v>
      </c>
      <c r="E15825" s="51"/>
      <c r="F15825" s="114" t="str">
        <f>IF(INDEX(I.Facility.P3IDNumber,813)="","",INDEX(I.Facility.P3IDNumber,813))</f>
        <v/>
      </c>
      <c r="G15825" s="51"/>
      <c r="H15825" s="46" t="str">
        <f>IF(AND(I.Developer.P3=TRUE,I.Facility.P3FacilityCount&gt;=813,F15825=""),"Incomplete","Complete")</f>
        <v>Complete</v>
      </c>
      <c r="I15825" s="48" t="s">
        <v>20190</v>
      </c>
    </row>
    <row r="15826" spans="2:9" ht="15" customHeight="1" x14ac:dyDescent="0.25">
      <c r="B15826" s="55" t="s">
        <v>282</v>
      </c>
      <c r="C15826" s="46">
        <v>814</v>
      </c>
      <c r="D15826" s="69" t="s">
        <v>29419</v>
      </c>
      <c r="E15826" s="51"/>
      <c r="F15826" s="114" t="str">
        <f>IF(INDEX(I.Facility.P3IDNumber,814)="","",INDEX(I.Facility.P3IDNumber,814))</f>
        <v/>
      </c>
      <c r="G15826" s="51"/>
      <c r="H15826" s="46" t="str">
        <f>IF(AND(I.Developer.P3=TRUE,I.Facility.P3FacilityCount&gt;=814,F15826=""),"Incomplete","Complete")</f>
        <v>Complete</v>
      </c>
      <c r="I15826" s="48" t="s">
        <v>20191</v>
      </c>
    </row>
    <row r="15827" spans="2:9" ht="15" customHeight="1" x14ac:dyDescent="0.25">
      <c r="B15827" s="55" t="s">
        <v>282</v>
      </c>
      <c r="C15827" s="46">
        <v>815</v>
      </c>
      <c r="D15827" s="69" t="s">
        <v>29419</v>
      </c>
      <c r="E15827" s="51"/>
      <c r="F15827" s="114" t="str">
        <f>IF(INDEX(I.Facility.P3IDNumber,815)="","",INDEX(I.Facility.P3IDNumber,815))</f>
        <v/>
      </c>
      <c r="G15827" s="51"/>
      <c r="H15827" s="46" t="str">
        <f>IF(AND(I.Developer.P3=TRUE,I.Facility.P3FacilityCount&gt;=815,F15827=""),"Incomplete","Complete")</f>
        <v>Complete</v>
      </c>
      <c r="I15827" s="48" t="s">
        <v>20192</v>
      </c>
    </row>
    <row r="15828" spans="2:9" ht="15" customHeight="1" x14ac:dyDescent="0.25">
      <c r="B15828" s="55" t="s">
        <v>282</v>
      </c>
      <c r="C15828" s="46">
        <v>816</v>
      </c>
      <c r="D15828" s="69" t="s">
        <v>29419</v>
      </c>
      <c r="E15828" s="51"/>
      <c r="F15828" s="114" t="str">
        <f>IF(INDEX(I.Facility.P3IDNumber,816)="","",INDEX(I.Facility.P3IDNumber,816))</f>
        <v/>
      </c>
      <c r="G15828" s="51"/>
      <c r="H15828" s="46" t="str">
        <f>IF(AND(I.Developer.P3=TRUE,I.Facility.P3FacilityCount&gt;=816,F15828=""),"Incomplete","Complete")</f>
        <v>Complete</v>
      </c>
      <c r="I15828" s="48" t="s">
        <v>20193</v>
      </c>
    </row>
    <row r="15829" spans="2:9" ht="15" customHeight="1" x14ac:dyDescent="0.25">
      <c r="B15829" s="55" t="s">
        <v>282</v>
      </c>
      <c r="C15829" s="46">
        <v>817</v>
      </c>
      <c r="D15829" s="69" t="s">
        <v>29419</v>
      </c>
      <c r="E15829" s="51"/>
      <c r="F15829" s="114" t="str">
        <f>IF(INDEX(I.Facility.P3IDNumber,817)="","",INDEX(I.Facility.P3IDNumber,817))</f>
        <v/>
      </c>
      <c r="G15829" s="51"/>
      <c r="H15829" s="46" t="str">
        <f>IF(AND(I.Developer.P3=TRUE,I.Facility.P3FacilityCount&gt;=817,F15829=""),"Incomplete","Complete")</f>
        <v>Complete</v>
      </c>
      <c r="I15829" s="48" t="s">
        <v>20194</v>
      </c>
    </row>
    <row r="15830" spans="2:9" ht="15" customHeight="1" x14ac:dyDescent="0.25">
      <c r="B15830" s="55" t="s">
        <v>282</v>
      </c>
      <c r="C15830" s="46">
        <v>818</v>
      </c>
      <c r="D15830" s="69" t="s">
        <v>29419</v>
      </c>
      <c r="E15830" s="51"/>
      <c r="F15830" s="114" t="str">
        <f>IF(INDEX(I.Facility.P3IDNumber,818)="","",INDEX(I.Facility.P3IDNumber,818))</f>
        <v/>
      </c>
      <c r="G15830" s="51"/>
      <c r="H15830" s="46" t="str">
        <f>IF(AND(I.Developer.P3=TRUE,I.Facility.P3FacilityCount&gt;=818,F15830=""),"Incomplete","Complete")</f>
        <v>Complete</v>
      </c>
      <c r="I15830" s="48" t="s">
        <v>20195</v>
      </c>
    </row>
    <row r="15831" spans="2:9" ht="15" customHeight="1" x14ac:dyDescent="0.25">
      <c r="B15831" s="55" t="s">
        <v>282</v>
      </c>
      <c r="C15831" s="46">
        <v>819</v>
      </c>
      <c r="D15831" s="69" t="s">
        <v>29419</v>
      </c>
      <c r="E15831" s="51"/>
      <c r="F15831" s="114" t="str">
        <f>IF(INDEX(I.Facility.P3IDNumber,819)="","",INDEX(I.Facility.P3IDNumber,819))</f>
        <v/>
      </c>
      <c r="G15831" s="51"/>
      <c r="H15831" s="46" t="str">
        <f>IF(AND(I.Developer.P3=TRUE,I.Facility.P3FacilityCount&gt;=819,F15831=""),"Incomplete","Complete")</f>
        <v>Complete</v>
      </c>
      <c r="I15831" s="48" t="s">
        <v>20196</v>
      </c>
    </row>
    <row r="15832" spans="2:9" ht="15" customHeight="1" x14ac:dyDescent="0.25">
      <c r="B15832" s="55" t="s">
        <v>282</v>
      </c>
      <c r="C15832" s="46">
        <v>820</v>
      </c>
      <c r="D15832" s="69" t="s">
        <v>29419</v>
      </c>
      <c r="E15832" s="51"/>
      <c r="F15832" s="114" t="str">
        <f>IF(INDEX(I.Facility.P3IDNumber,820)="","",INDEX(I.Facility.P3IDNumber,820))</f>
        <v/>
      </c>
      <c r="G15832" s="51"/>
      <c r="H15832" s="46" t="str">
        <f>IF(AND(I.Developer.P3=TRUE,I.Facility.P3FacilityCount&gt;=820,F15832=""),"Incomplete","Complete")</f>
        <v>Complete</v>
      </c>
      <c r="I15832" s="48" t="s">
        <v>20197</v>
      </c>
    </row>
    <row r="15833" spans="2:9" ht="15" customHeight="1" x14ac:dyDescent="0.25">
      <c r="B15833" s="55" t="s">
        <v>282</v>
      </c>
      <c r="C15833" s="46">
        <v>821</v>
      </c>
      <c r="D15833" s="69" t="s">
        <v>29419</v>
      </c>
      <c r="E15833" s="51"/>
      <c r="F15833" s="114" t="str">
        <f>IF(INDEX(I.Facility.P3IDNumber,821)="","",INDEX(I.Facility.P3IDNumber,821))</f>
        <v/>
      </c>
      <c r="G15833" s="51"/>
      <c r="H15833" s="46" t="str">
        <f>IF(AND(I.Developer.P3=TRUE,I.Facility.P3FacilityCount&gt;=821,F15833=""),"Incomplete","Complete")</f>
        <v>Complete</v>
      </c>
      <c r="I15833" s="48" t="s">
        <v>20198</v>
      </c>
    </row>
    <row r="15834" spans="2:9" ht="15" customHeight="1" x14ac:dyDescent="0.25">
      <c r="B15834" s="55" t="s">
        <v>282</v>
      </c>
      <c r="C15834" s="46">
        <v>822</v>
      </c>
      <c r="D15834" s="69" t="s">
        <v>29419</v>
      </c>
      <c r="E15834" s="51"/>
      <c r="F15834" s="114" t="str">
        <f>IF(INDEX(I.Facility.P3IDNumber,822)="","",INDEX(I.Facility.P3IDNumber,822))</f>
        <v/>
      </c>
      <c r="G15834" s="51"/>
      <c r="H15834" s="46" t="str">
        <f>IF(AND(I.Developer.P3=TRUE,I.Facility.P3FacilityCount&gt;=822,F15834=""),"Incomplete","Complete")</f>
        <v>Complete</v>
      </c>
      <c r="I15834" s="48" t="s">
        <v>20199</v>
      </c>
    </row>
    <row r="15835" spans="2:9" ht="15" customHeight="1" x14ac:dyDescent="0.25">
      <c r="B15835" s="55" t="s">
        <v>282</v>
      </c>
      <c r="C15835" s="46">
        <v>823</v>
      </c>
      <c r="D15835" s="69" t="s">
        <v>29419</v>
      </c>
      <c r="E15835" s="51"/>
      <c r="F15835" s="114" t="str">
        <f>IF(INDEX(I.Facility.P3IDNumber,823)="","",INDEX(I.Facility.P3IDNumber,823))</f>
        <v/>
      </c>
      <c r="G15835" s="51"/>
      <c r="H15835" s="46" t="str">
        <f>IF(AND(I.Developer.P3=TRUE,I.Facility.P3FacilityCount&gt;=823,F15835=""),"Incomplete","Complete")</f>
        <v>Complete</v>
      </c>
      <c r="I15835" s="48" t="s">
        <v>20200</v>
      </c>
    </row>
    <row r="15836" spans="2:9" ht="15" customHeight="1" x14ac:dyDescent="0.25">
      <c r="B15836" s="55" t="s">
        <v>282</v>
      </c>
      <c r="C15836" s="46">
        <v>824</v>
      </c>
      <c r="D15836" s="69" t="s">
        <v>29419</v>
      </c>
      <c r="E15836" s="51"/>
      <c r="F15836" s="114" t="str">
        <f>IF(INDEX(I.Facility.P3IDNumber,824)="","",INDEX(I.Facility.P3IDNumber,824))</f>
        <v/>
      </c>
      <c r="G15836" s="51"/>
      <c r="H15836" s="46" t="str">
        <f>IF(AND(I.Developer.P3=TRUE,I.Facility.P3FacilityCount&gt;=824,F15836=""),"Incomplete","Complete")</f>
        <v>Complete</v>
      </c>
      <c r="I15836" s="48" t="s">
        <v>20201</v>
      </c>
    </row>
    <row r="15837" spans="2:9" ht="15" customHeight="1" x14ac:dyDescent="0.25">
      <c r="B15837" s="55" t="s">
        <v>282</v>
      </c>
      <c r="C15837" s="46">
        <v>825</v>
      </c>
      <c r="D15837" s="69" t="s">
        <v>29419</v>
      </c>
      <c r="E15837" s="51"/>
      <c r="F15837" s="114" t="str">
        <f>IF(INDEX(I.Facility.P3IDNumber,825)="","",INDEX(I.Facility.P3IDNumber,825))</f>
        <v/>
      </c>
      <c r="G15837" s="51"/>
      <c r="H15837" s="46" t="str">
        <f>IF(AND(I.Developer.P3=TRUE,I.Facility.P3FacilityCount&gt;=825,F15837=""),"Incomplete","Complete")</f>
        <v>Complete</v>
      </c>
      <c r="I15837" s="48" t="s">
        <v>20202</v>
      </c>
    </row>
    <row r="15838" spans="2:9" ht="15" customHeight="1" x14ac:dyDescent="0.25">
      <c r="B15838" s="55" t="s">
        <v>282</v>
      </c>
      <c r="C15838" s="46">
        <v>826</v>
      </c>
      <c r="D15838" s="69" t="s">
        <v>29419</v>
      </c>
      <c r="E15838" s="51"/>
      <c r="F15838" s="114" t="str">
        <f>IF(INDEX(I.Facility.P3IDNumber,826)="","",INDEX(I.Facility.P3IDNumber,826))</f>
        <v/>
      </c>
      <c r="G15838" s="51"/>
      <c r="H15838" s="46" t="str">
        <f>IF(AND(I.Developer.P3=TRUE,I.Facility.P3FacilityCount&gt;=826,F15838=""),"Incomplete","Complete")</f>
        <v>Complete</v>
      </c>
      <c r="I15838" s="48" t="s">
        <v>20203</v>
      </c>
    </row>
    <row r="15839" spans="2:9" ht="15" customHeight="1" x14ac:dyDescent="0.25">
      <c r="B15839" s="55" t="s">
        <v>282</v>
      </c>
      <c r="C15839" s="46">
        <v>827</v>
      </c>
      <c r="D15839" s="69" t="s">
        <v>29419</v>
      </c>
      <c r="E15839" s="51"/>
      <c r="F15839" s="114" t="str">
        <f>IF(INDEX(I.Facility.P3IDNumber,827)="","",INDEX(I.Facility.P3IDNumber,827))</f>
        <v/>
      </c>
      <c r="G15839" s="51"/>
      <c r="H15839" s="46" t="str">
        <f>IF(AND(I.Developer.P3=TRUE,I.Facility.P3FacilityCount&gt;=827,F15839=""),"Incomplete","Complete")</f>
        <v>Complete</v>
      </c>
      <c r="I15839" s="48" t="s">
        <v>20204</v>
      </c>
    </row>
    <row r="15840" spans="2:9" ht="15" customHeight="1" x14ac:dyDescent="0.25">
      <c r="B15840" s="55" t="s">
        <v>282</v>
      </c>
      <c r="C15840" s="46">
        <v>828</v>
      </c>
      <c r="D15840" s="69" t="s">
        <v>29419</v>
      </c>
      <c r="E15840" s="51"/>
      <c r="F15840" s="114" t="str">
        <f>IF(INDEX(I.Facility.P3IDNumber,828)="","",INDEX(I.Facility.P3IDNumber,828))</f>
        <v/>
      </c>
      <c r="G15840" s="51"/>
      <c r="H15840" s="46" t="str">
        <f>IF(AND(I.Developer.P3=TRUE,I.Facility.P3FacilityCount&gt;=828,F15840=""),"Incomplete","Complete")</f>
        <v>Complete</v>
      </c>
      <c r="I15840" s="48" t="s">
        <v>20205</v>
      </c>
    </row>
    <row r="15841" spans="2:9" ht="15" customHeight="1" x14ac:dyDescent="0.25">
      <c r="B15841" s="55" t="s">
        <v>282</v>
      </c>
      <c r="C15841" s="46">
        <v>829</v>
      </c>
      <c r="D15841" s="69" t="s">
        <v>29419</v>
      </c>
      <c r="E15841" s="51"/>
      <c r="F15841" s="114" t="str">
        <f>IF(INDEX(I.Facility.P3IDNumber,829)="","",INDEX(I.Facility.P3IDNumber,829))</f>
        <v/>
      </c>
      <c r="G15841" s="51"/>
      <c r="H15841" s="46" t="str">
        <f>IF(AND(I.Developer.P3=TRUE,I.Facility.P3FacilityCount&gt;=829,F15841=""),"Incomplete","Complete")</f>
        <v>Complete</v>
      </c>
      <c r="I15841" s="48" t="s">
        <v>20206</v>
      </c>
    </row>
    <row r="15842" spans="2:9" ht="15" customHeight="1" x14ac:dyDescent="0.25">
      <c r="B15842" s="55" t="s">
        <v>282</v>
      </c>
      <c r="C15842" s="46">
        <v>830</v>
      </c>
      <c r="D15842" s="69" t="s">
        <v>29419</v>
      </c>
      <c r="E15842" s="51"/>
      <c r="F15842" s="114" t="str">
        <f>IF(INDEX(I.Facility.P3IDNumber,830)="","",INDEX(I.Facility.P3IDNumber,830))</f>
        <v/>
      </c>
      <c r="G15842" s="51"/>
      <c r="H15842" s="46" t="str">
        <f>IF(AND(I.Developer.P3=TRUE,I.Facility.P3FacilityCount&gt;=830,F15842=""),"Incomplete","Complete")</f>
        <v>Complete</v>
      </c>
      <c r="I15842" s="48" t="s">
        <v>20207</v>
      </c>
    </row>
    <row r="15843" spans="2:9" ht="15" customHeight="1" x14ac:dyDescent="0.25">
      <c r="B15843" s="55" t="s">
        <v>282</v>
      </c>
      <c r="C15843" s="46">
        <v>831</v>
      </c>
      <c r="D15843" s="69" t="s">
        <v>29419</v>
      </c>
      <c r="E15843" s="51"/>
      <c r="F15843" s="114" t="str">
        <f>IF(INDEX(I.Facility.P3IDNumber,831)="","",INDEX(I.Facility.P3IDNumber,831))</f>
        <v/>
      </c>
      <c r="G15843" s="51"/>
      <c r="H15843" s="46" t="str">
        <f>IF(AND(I.Developer.P3=TRUE,I.Facility.P3FacilityCount&gt;=831,F15843=""),"Incomplete","Complete")</f>
        <v>Complete</v>
      </c>
      <c r="I15843" s="48" t="s">
        <v>20208</v>
      </c>
    </row>
    <row r="15844" spans="2:9" ht="15" customHeight="1" x14ac:dyDescent="0.25">
      <c r="B15844" s="55" t="s">
        <v>282</v>
      </c>
      <c r="C15844" s="46">
        <v>832</v>
      </c>
      <c r="D15844" s="69" t="s">
        <v>29419</v>
      </c>
      <c r="E15844" s="51"/>
      <c r="F15844" s="114" t="str">
        <f>IF(INDEX(I.Facility.P3IDNumber,832)="","",INDEX(I.Facility.P3IDNumber,832))</f>
        <v/>
      </c>
      <c r="G15844" s="51"/>
      <c r="H15844" s="46" t="str">
        <f>IF(AND(I.Developer.P3=TRUE,I.Facility.P3FacilityCount&gt;=832,F15844=""),"Incomplete","Complete")</f>
        <v>Complete</v>
      </c>
      <c r="I15844" s="48" t="s">
        <v>20209</v>
      </c>
    </row>
    <row r="15845" spans="2:9" ht="15" customHeight="1" x14ac:dyDescent="0.25">
      <c r="B15845" s="55" t="s">
        <v>282</v>
      </c>
      <c r="C15845" s="46">
        <v>833</v>
      </c>
      <c r="D15845" s="69" t="s">
        <v>29419</v>
      </c>
      <c r="E15845" s="51"/>
      <c r="F15845" s="114" t="str">
        <f>IF(INDEX(I.Facility.P3IDNumber,833)="","",INDEX(I.Facility.P3IDNumber,833))</f>
        <v/>
      </c>
      <c r="G15845" s="51"/>
      <c r="H15845" s="46" t="str">
        <f>IF(AND(I.Developer.P3=TRUE,I.Facility.P3FacilityCount&gt;=833,F15845=""),"Incomplete","Complete")</f>
        <v>Complete</v>
      </c>
      <c r="I15845" s="48" t="s">
        <v>20210</v>
      </c>
    </row>
    <row r="15846" spans="2:9" ht="15" customHeight="1" x14ac:dyDescent="0.25">
      <c r="B15846" s="55" t="s">
        <v>282</v>
      </c>
      <c r="C15846" s="46">
        <v>834</v>
      </c>
      <c r="D15846" s="69" t="s">
        <v>29419</v>
      </c>
      <c r="E15846" s="51"/>
      <c r="F15846" s="114" t="str">
        <f>IF(INDEX(I.Facility.P3IDNumber,834)="","",INDEX(I.Facility.P3IDNumber,834))</f>
        <v/>
      </c>
      <c r="G15846" s="51"/>
      <c r="H15846" s="46" t="str">
        <f>IF(AND(I.Developer.P3=TRUE,I.Facility.P3FacilityCount&gt;=834,F15846=""),"Incomplete","Complete")</f>
        <v>Complete</v>
      </c>
      <c r="I15846" s="48" t="s">
        <v>20211</v>
      </c>
    </row>
    <row r="15847" spans="2:9" ht="15" customHeight="1" x14ac:dyDescent="0.25">
      <c r="B15847" s="55" t="s">
        <v>282</v>
      </c>
      <c r="C15847" s="46">
        <v>835</v>
      </c>
      <c r="D15847" s="69" t="s">
        <v>29419</v>
      </c>
      <c r="E15847" s="51"/>
      <c r="F15847" s="114" t="str">
        <f>IF(INDEX(I.Facility.P3IDNumber,835)="","",INDEX(I.Facility.P3IDNumber,835))</f>
        <v/>
      </c>
      <c r="G15847" s="51"/>
      <c r="H15847" s="46" t="str">
        <f>IF(AND(I.Developer.P3=TRUE,I.Facility.P3FacilityCount&gt;=835,F15847=""),"Incomplete","Complete")</f>
        <v>Complete</v>
      </c>
      <c r="I15847" s="48" t="s">
        <v>20212</v>
      </c>
    </row>
    <row r="15848" spans="2:9" ht="15" customHeight="1" x14ac:dyDescent="0.25">
      <c r="B15848" s="55" t="s">
        <v>282</v>
      </c>
      <c r="C15848" s="46">
        <v>836</v>
      </c>
      <c r="D15848" s="69" t="s">
        <v>29419</v>
      </c>
      <c r="E15848" s="51"/>
      <c r="F15848" s="114" t="str">
        <f>IF(INDEX(I.Facility.P3IDNumber,836)="","",INDEX(I.Facility.P3IDNumber,836))</f>
        <v/>
      </c>
      <c r="G15848" s="51"/>
      <c r="H15848" s="46" t="str">
        <f>IF(AND(I.Developer.P3=TRUE,I.Facility.P3FacilityCount&gt;=836,F15848=""),"Incomplete","Complete")</f>
        <v>Complete</v>
      </c>
      <c r="I15848" s="48" t="s">
        <v>20213</v>
      </c>
    </row>
    <row r="15849" spans="2:9" ht="15" customHeight="1" x14ac:dyDescent="0.25">
      <c r="B15849" s="55" t="s">
        <v>282</v>
      </c>
      <c r="C15849" s="46">
        <v>837</v>
      </c>
      <c r="D15849" s="69" t="s">
        <v>29419</v>
      </c>
      <c r="E15849" s="51"/>
      <c r="F15849" s="114" t="str">
        <f>IF(INDEX(I.Facility.P3IDNumber,837)="","",INDEX(I.Facility.P3IDNumber,837))</f>
        <v/>
      </c>
      <c r="G15849" s="51"/>
      <c r="H15849" s="46" t="str">
        <f>IF(AND(I.Developer.P3=TRUE,I.Facility.P3FacilityCount&gt;=837,F15849=""),"Incomplete","Complete")</f>
        <v>Complete</v>
      </c>
      <c r="I15849" s="48" t="s">
        <v>20214</v>
      </c>
    </row>
    <row r="15850" spans="2:9" ht="15" customHeight="1" x14ac:dyDescent="0.25">
      <c r="B15850" s="55" t="s">
        <v>282</v>
      </c>
      <c r="C15850" s="46">
        <v>838</v>
      </c>
      <c r="D15850" s="69" t="s">
        <v>29419</v>
      </c>
      <c r="E15850" s="51"/>
      <c r="F15850" s="114" t="str">
        <f>IF(INDEX(I.Facility.P3IDNumber,838)="","",INDEX(I.Facility.P3IDNumber,838))</f>
        <v/>
      </c>
      <c r="G15850" s="51"/>
      <c r="H15850" s="46" t="str">
        <f>IF(AND(I.Developer.P3=TRUE,I.Facility.P3FacilityCount&gt;=838,F15850=""),"Incomplete","Complete")</f>
        <v>Complete</v>
      </c>
      <c r="I15850" s="48" t="s">
        <v>20215</v>
      </c>
    </row>
    <row r="15851" spans="2:9" ht="15" customHeight="1" x14ac:dyDescent="0.25">
      <c r="B15851" s="55" t="s">
        <v>282</v>
      </c>
      <c r="C15851" s="46">
        <v>839</v>
      </c>
      <c r="D15851" s="69" t="s">
        <v>29419</v>
      </c>
      <c r="E15851" s="51"/>
      <c r="F15851" s="114" t="str">
        <f>IF(INDEX(I.Facility.P3IDNumber,839)="","",INDEX(I.Facility.P3IDNumber,839))</f>
        <v/>
      </c>
      <c r="G15851" s="51"/>
      <c r="H15851" s="46" t="str">
        <f>IF(AND(I.Developer.P3=TRUE,I.Facility.P3FacilityCount&gt;=839,F15851=""),"Incomplete","Complete")</f>
        <v>Complete</v>
      </c>
      <c r="I15851" s="48" t="s">
        <v>20216</v>
      </c>
    </row>
    <row r="15852" spans="2:9" ht="15" customHeight="1" x14ac:dyDescent="0.25">
      <c r="B15852" s="55" t="s">
        <v>282</v>
      </c>
      <c r="C15852" s="46">
        <v>840</v>
      </c>
      <c r="D15852" s="69" t="s">
        <v>29419</v>
      </c>
      <c r="E15852" s="51"/>
      <c r="F15852" s="114" t="str">
        <f>IF(INDEX(I.Facility.P3IDNumber,840)="","",INDEX(I.Facility.P3IDNumber,840))</f>
        <v/>
      </c>
      <c r="G15852" s="51"/>
      <c r="H15852" s="46" t="str">
        <f>IF(AND(I.Developer.P3=TRUE,I.Facility.P3FacilityCount&gt;=840,F15852=""),"Incomplete","Complete")</f>
        <v>Complete</v>
      </c>
      <c r="I15852" s="48" t="s">
        <v>20217</v>
      </c>
    </row>
    <row r="15853" spans="2:9" ht="15" customHeight="1" x14ac:dyDescent="0.25">
      <c r="B15853" s="55" t="s">
        <v>282</v>
      </c>
      <c r="C15853" s="46">
        <v>841</v>
      </c>
      <c r="D15853" s="69" t="s">
        <v>29419</v>
      </c>
      <c r="E15853" s="51"/>
      <c r="F15853" s="114" t="str">
        <f>IF(INDEX(I.Facility.P3IDNumber,841)="","",INDEX(I.Facility.P3IDNumber,841))</f>
        <v/>
      </c>
      <c r="G15853" s="51"/>
      <c r="H15853" s="46" t="str">
        <f>IF(AND(I.Developer.P3=TRUE,I.Facility.P3FacilityCount&gt;=841,F15853=""),"Incomplete","Complete")</f>
        <v>Complete</v>
      </c>
      <c r="I15853" s="48" t="s">
        <v>20218</v>
      </c>
    </row>
    <row r="15854" spans="2:9" ht="15" customHeight="1" x14ac:dyDescent="0.25">
      <c r="B15854" s="55" t="s">
        <v>282</v>
      </c>
      <c r="C15854" s="46">
        <v>842</v>
      </c>
      <c r="D15854" s="69" t="s">
        <v>29419</v>
      </c>
      <c r="E15854" s="51"/>
      <c r="F15854" s="114" t="str">
        <f>IF(INDEX(I.Facility.P3IDNumber,842)="","",INDEX(I.Facility.P3IDNumber,842))</f>
        <v/>
      </c>
      <c r="G15854" s="51"/>
      <c r="H15854" s="46" t="str">
        <f>IF(AND(I.Developer.P3=TRUE,I.Facility.P3FacilityCount&gt;=842,F15854=""),"Incomplete","Complete")</f>
        <v>Complete</v>
      </c>
      <c r="I15854" s="48" t="s">
        <v>20219</v>
      </c>
    </row>
    <row r="15855" spans="2:9" ht="15" customHeight="1" x14ac:dyDescent="0.25">
      <c r="B15855" s="55" t="s">
        <v>282</v>
      </c>
      <c r="C15855" s="46">
        <v>843</v>
      </c>
      <c r="D15855" s="69" t="s">
        <v>29419</v>
      </c>
      <c r="E15855" s="51"/>
      <c r="F15855" s="114" t="str">
        <f>IF(INDEX(I.Facility.P3IDNumber,843)="","",INDEX(I.Facility.P3IDNumber,843))</f>
        <v/>
      </c>
      <c r="G15855" s="51"/>
      <c r="H15855" s="46" t="str">
        <f>IF(AND(I.Developer.P3=TRUE,I.Facility.P3FacilityCount&gt;=843,F15855=""),"Incomplete","Complete")</f>
        <v>Complete</v>
      </c>
      <c r="I15855" s="48" t="s">
        <v>20220</v>
      </c>
    </row>
    <row r="15856" spans="2:9" ht="15" customHeight="1" x14ac:dyDescent="0.25">
      <c r="B15856" s="55" t="s">
        <v>282</v>
      </c>
      <c r="C15856" s="46">
        <v>844</v>
      </c>
      <c r="D15856" s="69" t="s">
        <v>29419</v>
      </c>
      <c r="E15856" s="51"/>
      <c r="F15856" s="114" t="str">
        <f>IF(INDEX(I.Facility.P3IDNumber,844)="","",INDEX(I.Facility.P3IDNumber,844))</f>
        <v/>
      </c>
      <c r="G15856" s="51"/>
      <c r="H15856" s="46" t="str">
        <f>IF(AND(I.Developer.P3=TRUE,I.Facility.P3FacilityCount&gt;=844,F15856=""),"Incomplete","Complete")</f>
        <v>Complete</v>
      </c>
      <c r="I15856" s="48" t="s">
        <v>20221</v>
      </c>
    </row>
    <row r="15857" spans="2:9" ht="15" customHeight="1" x14ac:dyDescent="0.25">
      <c r="B15857" s="55" t="s">
        <v>282</v>
      </c>
      <c r="C15857" s="46">
        <v>845</v>
      </c>
      <c r="D15857" s="69" t="s">
        <v>29419</v>
      </c>
      <c r="E15857" s="51"/>
      <c r="F15857" s="114" t="str">
        <f>IF(INDEX(I.Facility.P3IDNumber,845)="","",INDEX(I.Facility.P3IDNumber,845))</f>
        <v/>
      </c>
      <c r="G15857" s="51"/>
      <c r="H15857" s="46" t="str">
        <f>IF(AND(I.Developer.P3=TRUE,I.Facility.P3FacilityCount&gt;=845,F15857=""),"Incomplete","Complete")</f>
        <v>Complete</v>
      </c>
      <c r="I15857" s="48" t="s">
        <v>20222</v>
      </c>
    </row>
    <row r="15858" spans="2:9" ht="15" customHeight="1" x14ac:dyDescent="0.25">
      <c r="B15858" s="55" t="s">
        <v>282</v>
      </c>
      <c r="C15858" s="46">
        <v>846</v>
      </c>
      <c r="D15858" s="69" t="s">
        <v>29419</v>
      </c>
      <c r="E15858" s="51"/>
      <c r="F15858" s="114" t="str">
        <f>IF(INDEX(I.Facility.P3IDNumber,846)="","",INDEX(I.Facility.P3IDNumber,846))</f>
        <v/>
      </c>
      <c r="G15858" s="51"/>
      <c r="H15858" s="46" t="str">
        <f>IF(AND(I.Developer.P3=TRUE,I.Facility.P3FacilityCount&gt;=846,F15858=""),"Incomplete","Complete")</f>
        <v>Complete</v>
      </c>
      <c r="I15858" s="48" t="s">
        <v>20223</v>
      </c>
    </row>
    <row r="15859" spans="2:9" ht="15" customHeight="1" x14ac:dyDescent="0.25">
      <c r="B15859" s="55" t="s">
        <v>282</v>
      </c>
      <c r="C15859" s="46">
        <v>847</v>
      </c>
      <c r="D15859" s="69" t="s">
        <v>29419</v>
      </c>
      <c r="E15859" s="51"/>
      <c r="F15859" s="114" t="str">
        <f>IF(INDEX(I.Facility.P3IDNumber,847)="","",INDEX(I.Facility.P3IDNumber,847))</f>
        <v/>
      </c>
      <c r="G15859" s="51"/>
      <c r="H15859" s="46" t="str">
        <f>IF(AND(I.Developer.P3=TRUE,I.Facility.P3FacilityCount&gt;=847,F15859=""),"Incomplete","Complete")</f>
        <v>Complete</v>
      </c>
      <c r="I15859" s="48" t="s">
        <v>20224</v>
      </c>
    </row>
    <row r="15860" spans="2:9" ht="15" customHeight="1" x14ac:dyDescent="0.25">
      <c r="B15860" s="55" t="s">
        <v>282</v>
      </c>
      <c r="C15860" s="46">
        <v>848</v>
      </c>
      <c r="D15860" s="69" t="s">
        <v>29419</v>
      </c>
      <c r="E15860" s="51"/>
      <c r="F15860" s="114" t="str">
        <f>IF(INDEX(I.Facility.P3IDNumber,848)="","",INDEX(I.Facility.P3IDNumber,848))</f>
        <v/>
      </c>
      <c r="G15860" s="51"/>
      <c r="H15860" s="46" t="str">
        <f>IF(AND(I.Developer.P3=TRUE,I.Facility.P3FacilityCount&gt;=848,F15860=""),"Incomplete","Complete")</f>
        <v>Complete</v>
      </c>
      <c r="I15860" s="48" t="s">
        <v>20225</v>
      </c>
    </row>
    <row r="15861" spans="2:9" ht="15" customHeight="1" x14ac:dyDescent="0.25">
      <c r="B15861" s="55" t="s">
        <v>282</v>
      </c>
      <c r="C15861" s="46">
        <v>849</v>
      </c>
      <c r="D15861" s="69" t="s">
        <v>29419</v>
      </c>
      <c r="E15861" s="51"/>
      <c r="F15861" s="114" t="str">
        <f>IF(INDEX(I.Facility.P3IDNumber,849)="","",INDEX(I.Facility.P3IDNumber,849))</f>
        <v/>
      </c>
      <c r="G15861" s="51"/>
      <c r="H15861" s="46" t="str">
        <f>IF(AND(I.Developer.P3=TRUE,I.Facility.P3FacilityCount&gt;=849,F15861=""),"Incomplete","Complete")</f>
        <v>Complete</v>
      </c>
      <c r="I15861" s="48" t="s">
        <v>20226</v>
      </c>
    </row>
    <row r="15862" spans="2:9" ht="15" customHeight="1" x14ac:dyDescent="0.25">
      <c r="B15862" s="55" t="s">
        <v>282</v>
      </c>
      <c r="C15862" s="46">
        <v>850</v>
      </c>
      <c r="D15862" s="69" t="s">
        <v>29419</v>
      </c>
      <c r="E15862" s="51"/>
      <c r="F15862" s="114" t="str">
        <f>IF(INDEX(I.Facility.P3IDNumber,850)="","",INDEX(I.Facility.P3IDNumber,850))</f>
        <v/>
      </c>
      <c r="G15862" s="51"/>
      <c r="H15862" s="46" t="str">
        <f>IF(AND(I.Developer.P3=TRUE,I.Facility.P3FacilityCount&gt;=850,F15862=""),"Incomplete","Complete")</f>
        <v>Complete</v>
      </c>
      <c r="I15862" s="48" t="s">
        <v>20227</v>
      </c>
    </row>
    <row r="15863" spans="2:9" ht="15" customHeight="1" x14ac:dyDescent="0.25">
      <c r="B15863" s="55" t="s">
        <v>282</v>
      </c>
      <c r="C15863" s="46">
        <v>851</v>
      </c>
      <c r="D15863" s="69" t="s">
        <v>29419</v>
      </c>
      <c r="E15863" s="51"/>
      <c r="F15863" s="114" t="str">
        <f>IF(INDEX(I.Facility.P3IDNumber,851)="","",INDEX(I.Facility.P3IDNumber,851))</f>
        <v/>
      </c>
      <c r="G15863" s="51"/>
      <c r="H15863" s="46" t="str">
        <f>IF(AND(I.Developer.P3=TRUE,I.Facility.P3FacilityCount&gt;=851,F15863=""),"Incomplete","Complete")</f>
        <v>Complete</v>
      </c>
      <c r="I15863" s="48" t="s">
        <v>20228</v>
      </c>
    </row>
    <row r="15864" spans="2:9" ht="15" customHeight="1" x14ac:dyDescent="0.25">
      <c r="B15864" s="55" t="s">
        <v>282</v>
      </c>
      <c r="C15864" s="46">
        <v>852</v>
      </c>
      <c r="D15864" s="69" t="s">
        <v>29419</v>
      </c>
      <c r="E15864" s="51"/>
      <c r="F15864" s="114" t="str">
        <f>IF(INDEX(I.Facility.P3IDNumber,852)="","",INDEX(I.Facility.P3IDNumber,852))</f>
        <v/>
      </c>
      <c r="G15864" s="51"/>
      <c r="H15864" s="46" t="str">
        <f>IF(AND(I.Developer.P3=TRUE,I.Facility.P3FacilityCount&gt;=852,F15864=""),"Incomplete","Complete")</f>
        <v>Complete</v>
      </c>
      <c r="I15864" s="48" t="s">
        <v>20229</v>
      </c>
    </row>
    <row r="15865" spans="2:9" ht="15" customHeight="1" x14ac:dyDescent="0.25">
      <c r="B15865" s="55" t="s">
        <v>282</v>
      </c>
      <c r="C15865" s="46">
        <v>853</v>
      </c>
      <c r="D15865" s="69" t="s">
        <v>29419</v>
      </c>
      <c r="E15865" s="51"/>
      <c r="F15865" s="114" t="str">
        <f>IF(INDEX(I.Facility.P3IDNumber,853)="","",INDEX(I.Facility.P3IDNumber,853))</f>
        <v/>
      </c>
      <c r="G15865" s="51"/>
      <c r="H15865" s="46" t="str">
        <f>IF(AND(I.Developer.P3=TRUE,I.Facility.P3FacilityCount&gt;=853,F15865=""),"Incomplete","Complete")</f>
        <v>Complete</v>
      </c>
      <c r="I15865" s="48" t="s">
        <v>20230</v>
      </c>
    </row>
    <row r="15866" spans="2:9" ht="15" customHeight="1" x14ac:dyDescent="0.25">
      <c r="B15866" s="55" t="s">
        <v>282</v>
      </c>
      <c r="C15866" s="46">
        <v>854</v>
      </c>
      <c r="D15866" s="69" t="s">
        <v>29419</v>
      </c>
      <c r="E15866" s="51"/>
      <c r="F15866" s="114" t="str">
        <f>IF(INDEX(I.Facility.P3IDNumber,854)="","",INDEX(I.Facility.P3IDNumber,854))</f>
        <v/>
      </c>
      <c r="G15866" s="51"/>
      <c r="H15866" s="46" t="str">
        <f>IF(AND(I.Developer.P3=TRUE,I.Facility.P3FacilityCount&gt;=854,F15866=""),"Incomplete","Complete")</f>
        <v>Complete</v>
      </c>
      <c r="I15866" s="48" t="s">
        <v>20231</v>
      </c>
    </row>
    <row r="15867" spans="2:9" ht="15" customHeight="1" x14ac:dyDescent="0.25">
      <c r="B15867" s="55" t="s">
        <v>282</v>
      </c>
      <c r="C15867" s="46">
        <v>855</v>
      </c>
      <c r="D15867" s="69" t="s">
        <v>29419</v>
      </c>
      <c r="E15867" s="51"/>
      <c r="F15867" s="114" t="str">
        <f>IF(INDEX(I.Facility.P3IDNumber,855)="","",INDEX(I.Facility.P3IDNumber,855))</f>
        <v/>
      </c>
      <c r="G15867" s="51"/>
      <c r="H15867" s="46" t="str">
        <f>IF(AND(I.Developer.P3=TRUE,I.Facility.P3FacilityCount&gt;=855,F15867=""),"Incomplete","Complete")</f>
        <v>Complete</v>
      </c>
      <c r="I15867" s="48" t="s">
        <v>20232</v>
      </c>
    </row>
    <row r="15868" spans="2:9" ht="15" customHeight="1" x14ac:dyDescent="0.25">
      <c r="B15868" s="55" t="s">
        <v>282</v>
      </c>
      <c r="C15868" s="46">
        <v>856</v>
      </c>
      <c r="D15868" s="69" t="s">
        <v>29419</v>
      </c>
      <c r="E15868" s="51"/>
      <c r="F15868" s="114" t="str">
        <f>IF(INDEX(I.Facility.P3IDNumber,856)="","",INDEX(I.Facility.P3IDNumber,856))</f>
        <v/>
      </c>
      <c r="G15868" s="51"/>
      <c r="H15868" s="46" t="str">
        <f>IF(AND(I.Developer.P3=TRUE,I.Facility.P3FacilityCount&gt;=856,F15868=""),"Incomplete","Complete")</f>
        <v>Complete</v>
      </c>
      <c r="I15868" s="48" t="s">
        <v>20233</v>
      </c>
    </row>
    <row r="15869" spans="2:9" ht="15" customHeight="1" x14ac:dyDescent="0.25">
      <c r="B15869" s="55" t="s">
        <v>282</v>
      </c>
      <c r="C15869" s="46">
        <v>857</v>
      </c>
      <c r="D15869" s="69" t="s">
        <v>29419</v>
      </c>
      <c r="E15869" s="51"/>
      <c r="F15869" s="114" t="str">
        <f>IF(INDEX(I.Facility.P3IDNumber,857)="","",INDEX(I.Facility.P3IDNumber,857))</f>
        <v/>
      </c>
      <c r="G15869" s="51"/>
      <c r="H15869" s="46" t="str">
        <f>IF(AND(I.Developer.P3=TRUE,I.Facility.P3FacilityCount&gt;=857,F15869=""),"Incomplete","Complete")</f>
        <v>Complete</v>
      </c>
      <c r="I15869" s="48" t="s">
        <v>20234</v>
      </c>
    </row>
    <row r="15870" spans="2:9" ht="15" customHeight="1" x14ac:dyDescent="0.25">
      <c r="B15870" s="55" t="s">
        <v>282</v>
      </c>
      <c r="C15870" s="46">
        <v>858</v>
      </c>
      <c r="D15870" s="69" t="s">
        <v>29419</v>
      </c>
      <c r="E15870" s="51"/>
      <c r="F15870" s="114" t="str">
        <f>IF(INDEX(I.Facility.P3IDNumber,858)="","",INDEX(I.Facility.P3IDNumber,858))</f>
        <v/>
      </c>
      <c r="G15870" s="51"/>
      <c r="H15870" s="46" t="str">
        <f>IF(AND(I.Developer.P3=TRUE,I.Facility.P3FacilityCount&gt;=858,F15870=""),"Incomplete","Complete")</f>
        <v>Complete</v>
      </c>
      <c r="I15870" s="48" t="s">
        <v>20235</v>
      </c>
    </row>
    <row r="15871" spans="2:9" ht="15" customHeight="1" x14ac:dyDescent="0.25">
      <c r="B15871" s="55" t="s">
        <v>282</v>
      </c>
      <c r="C15871" s="46">
        <v>859</v>
      </c>
      <c r="D15871" s="69" t="s">
        <v>29419</v>
      </c>
      <c r="E15871" s="51"/>
      <c r="F15871" s="114" t="str">
        <f>IF(INDEX(I.Facility.P3IDNumber,859)="","",INDEX(I.Facility.P3IDNumber,859))</f>
        <v/>
      </c>
      <c r="G15871" s="51"/>
      <c r="H15871" s="46" t="str">
        <f>IF(AND(I.Developer.P3=TRUE,I.Facility.P3FacilityCount&gt;=859,F15871=""),"Incomplete","Complete")</f>
        <v>Complete</v>
      </c>
      <c r="I15871" s="48" t="s">
        <v>20236</v>
      </c>
    </row>
    <row r="15872" spans="2:9" ht="15" customHeight="1" x14ac:dyDescent="0.25">
      <c r="B15872" s="55" t="s">
        <v>282</v>
      </c>
      <c r="C15872" s="46">
        <v>860</v>
      </c>
      <c r="D15872" s="69" t="s">
        <v>29419</v>
      </c>
      <c r="E15872" s="51"/>
      <c r="F15872" s="114" t="str">
        <f>IF(INDEX(I.Facility.P3IDNumber,860)="","",INDEX(I.Facility.P3IDNumber,860))</f>
        <v/>
      </c>
      <c r="G15872" s="51"/>
      <c r="H15872" s="46" t="str">
        <f>IF(AND(I.Developer.P3=TRUE,I.Facility.P3FacilityCount&gt;=860,F15872=""),"Incomplete","Complete")</f>
        <v>Complete</v>
      </c>
      <c r="I15872" s="48" t="s">
        <v>20237</v>
      </c>
    </row>
    <row r="15873" spans="2:9" ht="15" customHeight="1" x14ac:dyDescent="0.25">
      <c r="B15873" s="55" t="s">
        <v>282</v>
      </c>
      <c r="C15873" s="46">
        <v>861</v>
      </c>
      <c r="D15873" s="69" t="s">
        <v>29419</v>
      </c>
      <c r="E15873" s="51"/>
      <c r="F15873" s="114" t="str">
        <f>IF(INDEX(I.Facility.P3IDNumber,861)="","",INDEX(I.Facility.P3IDNumber,861))</f>
        <v/>
      </c>
      <c r="G15873" s="51"/>
      <c r="H15873" s="46" t="str">
        <f>IF(AND(I.Developer.P3=TRUE,I.Facility.P3FacilityCount&gt;=861,F15873=""),"Incomplete","Complete")</f>
        <v>Complete</v>
      </c>
      <c r="I15873" s="48" t="s">
        <v>20238</v>
      </c>
    </row>
    <row r="15874" spans="2:9" ht="15" customHeight="1" x14ac:dyDescent="0.25">
      <c r="B15874" s="55" t="s">
        <v>282</v>
      </c>
      <c r="C15874" s="46">
        <v>862</v>
      </c>
      <c r="D15874" s="69" t="s">
        <v>29419</v>
      </c>
      <c r="E15874" s="51"/>
      <c r="F15874" s="114" t="str">
        <f>IF(INDEX(I.Facility.P3IDNumber,862)="","",INDEX(I.Facility.P3IDNumber,862))</f>
        <v/>
      </c>
      <c r="G15874" s="51"/>
      <c r="H15874" s="46" t="str">
        <f>IF(AND(I.Developer.P3=TRUE,I.Facility.P3FacilityCount&gt;=862,F15874=""),"Incomplete","Complete")</f>
        <v>Complete</v>
      </c>
      <c r="I15874" s="48" t="s">
        <v>20239</v>
      </c>
    </row>
    <row r="15875" spans="2:9" ht="15" customHeight="1" x14ac:dyDescent="0.25">
      <c r="B15875" s="55" t="s">
        <v>282</v>
      </c>
      <c r="C15875" s="46">
        <v>863</v>
      </c>
      <c r="D15875" s="69" t="s">
        <v>29419</v>
      </c>
      <c r="E15875" s="51"/>
      <c r="F15875" s="114" t="str">
        <f>IF(INDEX(I.Facility.P3IDNumber,863)="","",INDEX(I.Facility.P3IDNumber,863))</f>
        <v/>
      </c>
      <c r="G15875" s="51"/>
      <c r="H15875" s="46" t="str">
        <f>IF(AND(I.Developer.P3=TRUE,I.Facility.P3FacilityCount&gt;=863,F15875=""),"Incomplete","Complete")</f>
        <v>Complete</v>
      </c>
      <c r="I15875" s="48" t="s">
        <v>20240</v>
      </c>
    </row>
    <row r="15876" spans="2:9" ht="15" customHeight="1" x14ac:dyDescent="0.25">
      <c r="B15876" s="55" t="s">
        <v>282</v>
      </c>
      <c r="C15876" s="46">
        <v>864</v>
      </c>
      <c r="D15876" s="69" t="s">
        <v>29419</v>
      </c>
      <c r="E15876" s="51"/>
      <c r="F15876" s="114" t="str">
        <f>IF(INDEX(I.Facility.P3IDNumber,864)="","",INDEX(I.Facility.P3IDNumber,864))</f>
        <v/>
      </c>
      <c r="G15876" s="51"/>
      <c r="H15876" s="46" t="str">
        <f>IF(AND(I.Developer.P3=TRUE,I.Facility.P3FacilityCount&gt;=864,F15876=""),"Incomplete","Complete")</f>
        <v>Complete</v>
      </c>
      <c r="I15876" s="48" t="s">
        <v>20241</v>
      </c>
    </row>
    <row r="15877" spans="2:9" ht="15" customHeight="1" x14ac:dyDescent="0.25">
      <c r="B15877" s="55" t="s">
        <v>282</v>
      </c>
      <c r="C15877" s="46">
        <v>865</v>
      </c>
      <c r="D15877" s="69" t="s">
        <v>29419</v>
      </c>
      <c r="E15877" s="51"/>
      <c r="F15877" s="114" t="str">
        <f>IF(INDEX(I.Facility.P3IDNumber,865)="","",INDEX(I.Facility.P3IDNumber,865))</f>
        <v/>
      </c>
      <c r="G15877" s="51"/>
      <c r="H15877" s="46" t="str">
        <f>IF(AND(I.Developer.P3=TRUE,I.Facility.P3FacilityCount&gt;=865,F15877=""),"Incomplete","Complete")</f>
        <v>Complete</v>
      </c>
      <c r="I15877" s="48" t="s">
        <v>20242</v>
      </c>
    </row>
    <row r="15878" spans="2:9" ht="15" customHeight="1" x14ac:dyDescent="0.25">
      <c r="B15878" s="55" t="s">
        <v>282</v>
      </c>
      <c r="C15878" s="46">
        <v>866</v>
      </c>
      <c r="D15878" s="69" t="s">
        <v>29419</v>
      </c>
      <c r="E15878" s="51"/>
      <c r="F15878" s="114" t="str">
        <f>IF(INDEX(I.Facility.P3IDNumber,866)="","",INDEX(I.Facility.P3IDNumber,866))</f>
        <v/>
      </c>
      <c r="G15878" s="51"/>
      <c r="H15878" s="46" t="str">
        <f>IF(AND(I.Developer.P3=TRUE,I.Facility.P3FacilityCount&gt;=866,F15878=""),"Incomplete","Complete")</f>
        <v>Complete</v>
      </c>
      <c r="I15878" s="48" t="s">
        <v>20243</v>
      </c>
    </row>
    <row r="15879" spans="2:9" ht="15" customHeight="1" x14ac:dyDescent="0.25">
      <c r="B15879" s="55" t="s">
        <v>282</v>
      </c>
      <c r="C15879" s="46">
        <v>867</v>
      </c>
      <c r="D15879" s="69" t="s">
        <v>29419</v>
      </c>
      <c r="E15879" s="51"/>
      <c r="F15879" s="114" t="str">
        <f>IF(INDEX(I.Facility.P3IDNumber,867)="","",INDEX(I.Facility.P3IDNumber,867))</f>
        <v/>
      </c>
      <c r="G15879" s="51"/>
      <c r="H15879" s="46" t="str">
        <f>IF(AND(I.Developer.P3=TRUE,I.Facility.P3FacilityCount&gt;=867,F15879=""),"Incomplete","Complete")</f>
        <v>Complete</v>
      </c>
      <c r="I15879" s="48" t="s">
        <v>20244</v>
      </c>
    </row>
    <row r="15880" spans="2:9" ht="15" customHeight="1" x14ac:dyDescent="0.25">
      <c r="B15880" s="55" t="s">
        <v>282</v>
      </c>
      <c r="C15880" s="46">
        <v>868</v>
      </c>
      <c r="D15880" s="69" t="s">
        <v>29419</v>
      </c>
      <c r="E15880" s="51"/>
      <c r="F15880" s="114" t="str">
        <f>IF(INDEX(I.Facility.P3IDNumber,868)="","",INDEX(I.Facility.P3IDNumber,868))</f>
        <v/>
      </c>
      <c r="G15880" s="51"/>
      <c r="H15880" s="46" t="str">
        <f>IF(AND(I.Developer.P3=TRUE,I.Facility.P3FacilityCount&gt;=868,F15880=""),"Incomplete","Complete")</f>
        <v>Complete</v>
      </c>
      <c r="I15880" s="48" t="s">
        <v>20245</v>
      </c>
    </row>
    <row r="15881" spans="2:9" ht="15" customHeight="1" x14ac:dyDescent="0.25">
      <c r="B15881" s="55" t="s">
        <v>282</v>
      </c>
      <c r="C15881" s="46">
        <v>869</v>
      </c>
      <c r="D15881" s="69" t="s">
        <v>29419</v>
      </c>
      <c r="E15881" s="51"/>
      <c r="F15881" s="114" t="str">
        <f>IF(INDEX(I.Facility.P3IDNumber,869)="","",INDEX(I.Facility.P3IDNumber,869))</f>
        <v/>
      </c>
      <c r="G15881" s="51"/>
      <c r="H15881" s="46" t="str">
        <f>IF(AND(I.Developer.P3=TRUE,I.Facility.P3FacilityCount&gt;=869,F15881=""),"Incomplete","Complete")</f>
        <v>Complete</v>
      </c>
      <c r="I15881" s="48" t="s">
        <v>20246</v>
      </c>
    </row>
    <row r="15882" spans="2:9" ht="15" customHeight="1" x14ac:dyDescent="0.25">
      <c r="B15882" s="55" t="s">
        <v>282</v>
      </c>
      <c r="C15882" s="46">
        <v>870</v>
      </c>
      <c r="D15882" s="69" t="s">
        <v>29419</v>
      </c>
      <c r="E15882" s="51"/>
      <c r="F15882" s="114" t="str">
        <f>IF(INDEX(I.Facility.P3IDNumber,870)="","",INDEX(I.Facility.P3IDNumber,870))</f>
        <v/>
      </c>
      <c r="G15882" s="51"/>
      <c r="H15882" s="46" t="str">
        <f>IF(AND(I.Developer.P3=TRUE,I.Facility.P3FacilityCount&gt;=870,F15882=""),"Incomplete","Complete")</f>
        <v>Complete</v>
      </c>
      <c r="I15882" s="48" t="s">
        <v>20247</v>
      </c>
    </row>
    <row r="15883" spans="2:9" ht="15" customHeight="1" x14ac:dyDescent="0.25">
      <c r="B15883" s="55" t="s">
        <v>282</v>
      </c>
      <c r="C15883" s="46">
        <v>871</v>
      </c>
      <c r="D15883" s="69" t="s">
        <v>29419</v>
      </c>
      <c r="E15883" s="51"/>
      <c r="F15883" s="114" t="str">
        <f>IF(INDEX(I.Facility.P3IDNumber,871)="","",INDEX(I.Facility.P3IDNumber,871))</f>
        <v/>
      </c>
      <c r="G15883" s="51"/>
      <c r="H15883" s="46" t="str">
        <f>IF(AND(I.Developer.P3=TRUE,I.Facility.P3FacilityCount&gt;=871,F15883=""),"Incomplete","Complete")</f>
        <v>Complete</v>
      </c>
      <c r="I15883" s="48" t="s">
        <v>20248</v>
      </c>
    </row>
    <row r="15884" spans="2:9" ht="15" customHeight="1" x14ac:dyDescent="0.25">
      <c r="B15884" s="55" t="s">
        <v>282</v>
      </c>
      <c r="C15884" s="46">
        <v>872</v>
      </c>
      <c r="D15884" s="69" t="s">
        <v>29419</v>
      </c>
      <c r="E15884" s="51"/>
      <c r="F15884" s="114" t="str">
        <f>IF(INDEX(I.Facility.P3IDNumber,872)="","",INDEX(I.Facility.P3IDNumber,872))</f>
        <v/>
      </c>
      <c r="G15884" s="51"/>
      <c r="H15884" s="46" t="str">
        <f>IF(AND(I.Developer.P3=TRUE,I.Facility.P3FacilityCount&gt;=872,F15884=""),"Incomplete","Complete")</f>
        <v>Complete</v>
      </c>
      <c r="I15884" s="48" t="s">
        <v>20249</v>
      </c>
    </row>
    <row r="15885" spans="2:9" ht="15" customHeight="1" x14ac:dyDescent="0.25">
      <c r="B15885" s="55" t="s">
        <v>282</v>
      </c>
      <c r="C15885" s="46">
        <v>873</v>
      </c>
      <c r="D15885" s="69" t="s">
        <v>29419</v>
      </c>
      <c r="E15885" s="51"/>
      <c r="F15885" s="114" t="str">
        <f>IF(INDEX(I.Facility.P3IDNumber,873)="","",INDEX(I.Facility.P3IDNumber,873))</f>
        <v/>
      </c>
      <c r="G15885" s="51"/>
      <c r="H15885" s="46" t="str">
        <f>IF(AND(I.Developer.P3=TRUE,I.Facility.P3FacilityCount&gt;=873,F15885=""),"Incomplete","Complete")</f>
        <v>Complete</v>
      </c>
      <c r="I15885" s="48" t="s">
        <v>20250</v>
      </c>
    </row>
    <row r="15886" spans="2:9" ht="15" customHeight="1" x14ac:dyDescent="0.25">
      <c r="B15886" s="55" t="s">
        <v>282</v>
      </c>
      <c r="C15886" s="46">
        <v>874</v>
      </c>
      <c r="D15886" s="69" t="s">
        <v>29419</v>
      </c>
      <c r="E15886" s="51"/>
      <c r="F15886" s="114" t="str">
        <f>IF(INDEX(I.Facility.P3IDNumber,874)="","",INDEX(I.Facility.P3IDNumber,874))</f>
        <v/>
      </c>
      <c r="G15886" s="51"/>
      <c r="H15886" s="46" t="str">
        <f>IF(AND(I.Developer.P3=TRUE,I.Facility.P3FacilityCount&gt;=874,F15886=""),"Incomplete","Complete")</f>
        <v>Complete</v>
      </c>
      <c r="I15886" s="48" t="s">
        <v>20251</v>
      </c>
    </row>
    <row r="15887" spans="2:9" ht="15" customHeight="1" x14ac:dyDescent="0.25">
      <c r="B15887" s="55" t="s">
        <v>282</v>
      </c>
      <c r="C15887" s="46">
        <v>875</v>
      </c>
      <c r="D15887" s="69" t="s">
        <v>29419</v>
      </c>
      <c r="E15887" s="51"/>
      <c r="F15887" s="114" t="str">
        <f>IF(INDEX(I.Facility.P3IDNumber,875)="","",INDEX(I.Facility.P3IDNumber,875))</f>
        <v/>
      </c>
      <c r="G15887" s="51"/>
      <c r="H15887" s="46" t="str">
        <f>IF(AND(I.Developer.P3=TRUE,I.Facility.P3FacilityCount&gt;=875,F15887=""),"Incomplete","Complete")</f>
        <v>Complete</v>
      </c>
      <c r="I15887" s="48" t="s">
        <v>20252</v>
      </c>
    </row>
    <row r="15888" spans="2:9" ht="15" customHeight="1" x14ac:dyDescent="0.25">
      <c r="B15888" s="55" t="s">
        <v>282</v>
      </c>
      <c r="C15888" s="46">
        <v>876</v>
      </c>
      <c r="D15888" s="69" t="s">
        <v>29419</v>
      </c>
      <c r="E15888" s="51"/>
      <c r="F15888" s="114" t="str">
        <f>IF(INDEX(I.Facility.P3IDNumber,876)="","",INDEX(I.Facility.P3IDNumber,876))</f>
        <v/>
      </c>
      <c r="G15888" s="51"/>
      <c r="H15888" s="46" t="str">
        <f>IF(AND(I.Developer.P3=TRUE,I.Facility.P3FacilityCount&gt;=876,F15888=""),"Incomplete","Complete")</f>
        <v>Complete</v>
      </c>
      <c r="I15888" s="48" t="s">
        <v>20253</v>
      </c>
    </row>
    <row r="15889" spans="2:9" ht="15" customHeight="1" x14ac:dyDescent="0.25">
      <c r="B15889" s="55" t="s">
        <v>282</v>
      </c>
      <c r="C15889" s="46">
        <v>877</v>
      </c>
      <c r="D15889" s="69" t="s">
        <v>29419</v>
      </c>
      <c r="E15889" s="51"/>
      <c r="F15889" s="114" t="str">
        <f>IF(INDEX(I.Facility.P3IDNumber,877)="","",INDEX(I.Facility.P3IDNumber,877))</f>
        <v/>
      </c>
      <c r="G15889" s="51"/>
      <c r="H15889" s="46" t="str">
        <f>IF(AND(I.Developer.P3=TRUE,I.Facility.P3FacilityCount&gt;=877,F15889=""),"Incomplete","Complete")</f>
        <v>Complete</v>
      </c>
      <c r="I15889" s="48" t="s">
        <v>20254</v>
      </c>
    </row>
    <row r="15890" spans="2:9" ht="15" customHeight="1" x14ac:dyDescent="0.25">
      <c r="B15890" s="55" t="s">
        <v>282</v>
      </c>
      <c r="C15890" s="46">
        <v>878</v>
      </c>
      <c r="D15890" s="69" t="s">
        <v>29419</v>
      </c>
      <c r="E15890" s="51"/>
      <c r="F15890" s="114" t="str">
        <f>IF(INDEX(I.Facility.P3IDNumber,878)="","",INDEX(I.Facility.P3IDNumber,878))</f>
        <v/>
      </c>
      <c r="G15890" s="51"/>
      <c r="H15890" s="46" t="str">
        <f>IF(AND(I.Developer.P3=TRUE,I.Facility.P3FacilityCount&gt;=878,F15890=""),"Incomplete","Complete")</f>
        <v>Complete</v>
      </c>
      <c r="I15890" s="48" t="s">
        <v>20255</v>
      </c>
    </row>
    <row r="15891" spans="2:9" ht="15" customHeight="1" x14ac:dyDescent="0.25">
      <c r="B15891" s="55" t="s">
        <v>282</v>
      </c>
      <c r="C15891" s="46">
        <v>879</v>
      </c>
      <c r="D15891" s="69" t="s">
        <v>29419</v>
      </c>
      <c r="E15891" s="51"/>
      <c r="F15891" s="114" t="str">
        <f>IF(INDEX(I.Facility.P3IDNumber,879)="","",INDEX(I.Facility.P3IDNumber,879))</f>
        <v/>
      </c>
      <c r="G15891" s="51"/>
      <c r="H15891" s="46" t="str">
        <f>IF(AND(I.Developer.P3=TRUE,I.Facility.P3FacilityCount&gt;=879,F15891=""),"Incomplete","Complete")</f>
        <v>Complete</v>
      </c>
      <c r="I15891" s="48" t="s">
        <v>20256</v>
      </c>
    </row>
    <row r="15892" spans="2:9" ht="15" customHeight="1" x14ac:dyDescent="0.25">
      <c r="B15892" s="55" t="s">
        <v>282</v>
      </c>
      <c r="C15892" s="46">
        <v>880</v>
      </c>
      <c r="D15892" s="69" t="s">
        <v>29419</v>
      </c>
      <c r="E15892" s="51"/>
      <c r="F15892" s="114" t="str">
        <f>IF(INDEX(I.Facility.P3IDNumber,880)="","",INDEX(I.Facility.P3IDNumber,880))</f>
        <v/>
      </c>
      <c r="G15892" s="51"/>
      <c r="H15892" s="46" t="str">
        <f>IF(AND(I.Developer.P3=TRUE,I.Facility.P3FacilityCount&gt;=880,F15892=""),"Incomplete","Complete")</f>
        <v>Complete</v>
      </c>
      <c r="I15892" s="48" t="s">
        <v>20257</v>
      </c>
    </row>
    <row r="15893" spans="2:9" ht="15" customHeight="1" x14ac:dyDescent="0.25">
      <c r="B15893" s="55" t="s">
        <v>282</v>
      </c>
      <c r="C15893" s="46">
        <v>881</v>
      </c>
      <c r="D15893" s="69" t="s">
        <v>29419</v>
      </c>
      <c r="E15893" s="51"/>
      <c r="F15893" s="114" t="str">
        <f>IF(INDEX(I.Facility.P3IDNumber,881)="","",INDEX(I.Facility.P3IDNumber,881))</f>
        <v/>
      </c>
      <c r="G15893" s="51"/>
      <c r="H15893" s="46" t="str">
        <f>IF(AND(I.Developer.P3=TRUE,I.Facility.P3FacilityCount&gt;=881,F15893=""),"Incomplete","Complete")</f>
        <v>Complete</v>
      </c>
      <c r="I15893" s="48" t="s">
        <v>20258</v>
      </c>
    </row>
    <row r="15894" spans="2:9" ht="15" customHeight="1" x14ac:dyDescent="0.25">
      <c r="B15894" s="55" t="s">
        <v>282</v>
      </c>
      <c r="C15894" s="46">
        <v>882</v>
      </c>
      <c r="D15894" s="69" t="s">
        <v>29419</v>
      </c>
      <c r="E15894" s="51"/>
      <c r="F15894" s="114" t="str">
        <f>IF(INDEX(I.Facility.P3IDNumber,882)="","",INDEX(I.Facility.P3IDNumber,882))</f>
        <v/>
      </c>
      <c r="G15894" s="51"/>
      <c r="H15894" s="46" t="str">
        <f>IF(AND(I.Developer.P3=TRUE,I.Facility.P3FacilityCount&gt;=882,F15894=""),"Incomplete","Complete")</f>
        <v>Complete</v>
      </c>
      <c r="I15894" s="48" t="s">
        <v>20259</v>
      </c>
    </row>
    <row r="15895" spans="2:9" ht="15" customHeight="1" x14ac:dyDescent="0.25">
      <c r="B15895" s="55" t="s">
        <v>282</v>
      </c>
      <c r="C15895" s="46">
        <v>883</v>
      </c>
      <c r="D15895" s="69" t="s">
        <v>29419</v>
      </c>
      <c r="E15895" s="51"/>
      <c r="F15895" s="114" t="str">
        <f>IF(INDEX(I.Facility.P3IDNumber,883)="","",INDEX(I.Facility.P3IDNumber,883))</f>
        <v/>
      </c>
      <c r="G15895" s="51"/>
      <c r="H15895" s="46" t="str">
        <f>IF(AND(I.Developer.P3=TRUE,I.Facility.P3FacilityCount&gt;=883,F15895=""),"Incomplete","Complete")</f>
        <v>Complete</v>
      </c>
      <c r="I15895" s="48" t="s">
        <v>20260</v>
      </c>
    </row>
    <row r="15896" spans="2:9" ht="15" customHeight="1" x14ac:dyDescent="0.25">
      <c r="B15896" s="55" t="s">
        <v>282</v>
      </c>
      <c r="C15896" s="46">
        <v>884</v>
      </c>
      <c r="D15896" s="69" t="s">
        <v>29419</v>
      </c>
      <c r="E15896" s="51"/>
      <c r="F15896" s="114" t="str">
        <f>IF(INDEX(I.Facility.P3IDNumber,884)="","",INDEX(I.Facility.P3IDNumber,884))</f>
        <v/>
      </c>
      <c r="G15896" s="51"/>
      <c r="H15896" s="46" t="str">
        <f>IF(AND(I.Developer.P3=TRUE,I.Facility.P3FacilityCount&gt;=884,F15896=""),"Incomplete","Complete")</f>
        <v>Complete</v>
      </c>
      <c r="I15896" s="48" t="s">
        <v>20261</v>
      </c>
    </row>
    <row r="15897" spans="2:9" ht="15" customHeight="1" x14ac:dyDescent="0.25">
      <c r="B15897" s="55" t="s">
        <v>282</v>
      </c>
      <c r="C15897" s="46">
        <v>885</v>
      </c>
      <c r="D15897" s="69" t="s">
        <v>29419</v>
      </c>
      <c r="E15897" s="51"/>
      <c r="F15897" s="114" t="str">
        <f>IF(INDEX(I.Facility.P3IDNumber,885)="","",INDEX(I.Facility.P3IDNumber,885))</f>
        <v/>
      </c>
      <c r="G15897" s="51"/>
      <c r="H15897" s="46" t="str">
        <f>IF(AND(I.Developer.P3=TRUE,I.Facility.P3FacilityCount&gt;=885,F15897=""),"Incomplete","Complete")</f>
        <v>Complete</v>
      </c>
      <c r="I15897" s="48" t="s">
        <v>20262</v>
      </c>
    </row>
    <row r="15898" spans="2:9" ht="15" customHeight="1" x14ac:dyDescent="0.25">
      <c r="B15898" s="55" t="s">
        <v>282</v>
      </c>
      <c r="C15898" s="46">
        <v>886</v>
      </c>
      <c r="D15898" s="69" t="s">
        <v>29419</v>
      </c>
      <c r="E15898" s="51"/>
      <c r="F15898" s="114" t="str">
        <f>IF(INDEX(I.Facility.P3IDNumber,886)="","",INDEX(I.Facility.P3IDNumber,886))</f>
        <v/>
      </c>
      <c r="G15898" s="51"/>
      <c r="H15898" s="46" t="str">
        <f>IF(AND(I.Developer.P3=TRUE,I.Facility.P3FacilityCount&gt;=886,F15898=""),"Incomplete","Complete")</f>
        <v>Complete</v>
      </c>
      <c r="I15898" s="48" t="s">
        <v>20263</v>
      </c>
    </row>
    <row r="15899" spans="2:9" ht="15" customHeight="1" x14ac:dyDescent="0.25">
      <c r="B15899" s="55" t="s">
        <v>282</v>
      </c>
      <c r="C15899" s="46">
        <v>887</v>
      </c>
      <c r="D15899" s="69" t="s">
        <v>29419</v>
      </c>
      <c r="E15899" s="51"/>
      <c r="F15899" s="114" t="str">
        <f>IF(INDEX(I.Facility.P3IDNumber,887)="","",INDEX(I.Facility.P3IDNumber,887))</f>
        <v/>
      </c>
      <c r="G15899" s="51"/>
      <c r="H15899" s="46" t="str">
        <f>IF(AND(I.Developer.P3=TRUE,I.Facility.P3FacilityCount&gt;=887,F15899=""),"Incomplete","Complete")</f>
        <v>Complete</v>
      </c>
      <c r="I15899" s="48" t="s">
        <v>20264</v>
      </c>
    </row>
    <row r="15900" spans="2:9" ht="15" customHeight="1" x14ac:dyDescent="0.25">
      <c r="B15900" s="55" t="s">
        <v>282</v>
      </c>
      <c r="C15900" s="46">
        <v>888</v>
      </c>
      <c r="D15900" s="69" t="s">
        <v>29419</v>
      </c>
      <c r="E15900" s="51"/>
      <c r="F15900" s="114" t="str">
        <f>IF(INDEX(I.Facility.P3IDNumber,888)="","",INDEX(I.Facility.P3IDNumber,888))</f>
        <v/>
      </c>
      <c r="G15900" s="51"/>
      <c r="H15900" s="46" t="str">
        <f>IF(AND(I.Developer.P3=TRUE,I.Facility.P3FacilityCount&gt;=888,F15900=""),"Incomplete","Complete")</f>
        <v>Complete</v>
      </c>
      <c r="I15900" s="48" t="s">
        <v>20265</v>
      </c>
    </row>
    <row r="15901" spans="2:9" ht="15" customHeight="1" x14ac:dyDescent="0.25">
      <c r="B15901" s="55" t="s">
        <v>282</v>
      </c>
      <c r="C15901" s="46">
        <v>889</v>
      </c>
      <c r="D15901" s="69" t="s">
        <v>29419</v>
      </c>
      <c r="E15901" s="51"/>
      <c r="F15901" s="114" t="str">
        <f>IF(INDEX(I.Facility.P3IDNumber,889)="","",INDEX(I.Facility.P3IDNumber,889))</f>
        <v/>
      </c>
      <c r="G15901" s="51"/>
      <c r="H15901" s="46" t="str">
        <f>IF(AND(I.Developer.P3=TRUE,I.Facility.P3FacilityCount&gt;=889,F15901=""),"Incomplete","Complete")</f>
        <v>Complete</v>
      </c>
      <c r="I15901" s="48" t="s">
        <v>20266</v>
      </c>
    </row>
    <row r="15902" spans="2:9" ht="15" customHeight="1" x14ac:dyDescent="0.25">
      <c r="B15902" s="55" t="s">
        <v>282</v>
      </c>
      <c r="C15902" s="46">
        <v>890</v>
      </c>
      <c r="D15902" s="69" t="s">
        <v>29419</v>
      </c>
      <c r="E15902" s="51"/>
      <c r="F15902" s="114" t="str">
        <f>IF(INDEX(I.Facility.P3IDNumber,890)="","",INDEX(I.Facility.P3IDNumber,890))</f>
        <v/>
      </c>
      <c r="G15902" s="51"/>
      <c r="H15902" s="46" t="str">
        <f>IF(AND(I.Developer.P3=TRUE,I.Facility.P3FacilityCount&gt;=890,F15902=""),"Incomplete","Complete")</f>
        <v>Complete</v>
      </c>
      <c r="I15902" s="48" t="s">
        <v>20267</v>
      </c>
    </row>
    <row r="15903" spans="2:9" ht="15" customHeight="1" x14ac:dyDescent="0.25">
      <c r="B15903" s="55" t="s">
        <v>282</v>
      </c>
      <c r="C15903" s="46">
        <v>891</v>
      </c>
      <c r="D15903" s="69" t="s">
        <v>29419</v>
      </c>
      <c r="E15903" s="51"/>
      <c r="F15903" s="114" t="str">
        <f>IF(INDEX(I.Facility.P3IDNumber,891)="","",INDEX(I.Facility.P3IDNumber,891))</f>
        <v/>
      </c>
      <c r="G15903" s="51"/>
      <c r="H15903" s="46" t="str">
        <f>IF(AND(I.Developer.P3=TRUE,I.Facility.P3FacilityCount&gt;=891,F15903=""),"Incomplete","Complete")</f>
        <v>Complete</v>
      </c>
      <c r="I15903" s="48" t="s">
        <v>20268</v>
      </c>
    </row>
    <row r="15904" spans="2:9" ht="15" customHeight="1" x14ac:dyDescent="0.25">
      <c r="B15904" s="55" t="s">
        <v>282</v>
      </c>
      <c r="C15904" s="46">
        <v>892</v>
      </c>
      <c r="D15904" s="69" t="s">
        <v>29419</v>
      </c>
      <c r="E15904" s="51"/>
      <c r="F15904" s="114" t="str">
        <f>IF(INDEX(I.Facility.P3IDNumber,892)="","",INDEX(I.Facility.P3IDNumber,892))</f>
        <v/>
      </c>
      <c r="G15904" s="51"/>
      <c r="H15904" s="46" t="str">
        <f>IF(AND(I.Developer.P3=TRUE,I.Facility.P3FacilityCount&gt;=892,F15904=""),"Incomplete","Complete")</f>
        <v>Complete</v>
      </c>
      <c r="I15904" s="48" t="s">
        <v>20269</v>
      </c>
    </row>
    <row r="15905" spans="2:9" ht="15" customHeight="1" x14ac:dyDescent="0.25">
      <c r="B15905" s="55" t="s">
        <v>282</v>
      </c>
      <c r="C15905" s="46">
        <v>893</v>
      </c>
      <c r="D15905" s="69" t="s">
        <v>29419</v>
      </c>
      <c r="E15905" s="51"/>
      <c r="F15905" s="114" t="str">
        <f>IF(INDEX(I.Facility.P3IDNumber,893)="","",INDEX(I.Facility.P3IDNumber,893))</f>
        <v/>
      </c>
      <c r="G15905" s="51"/>
      <c r="H15905" s="46" t="str">
        <f>IF(AND(I.Developer.P3=TRUE,I.Facility.P3FacilityCount&gt;=893,F15905=""),"Incomplete","Complete")</f>
        <v>Complete</v>
      </c>
      <c r="I15905" s="48" t="s">
        <v>20270</v>
      </c>
    </row>
    <row r="15906" spans="2:9" ht="15" customHeight="1" x14ac:dyDescent="0.25">
      <c r="B15906" s="55" t="s">
        <v>282</v>
      </c>
      <c r="C15906" s="46">
        <v>894</v>
      </c>
      <c r="D15906" s="69" t="s">
        <v>29419</v>
      </c>
      <c r="E15906" s="51"/>
      <c r="F15906" s="114" t="str">
        <f>IF(INDEX(I.Facility.P3IDNumber,894)="","",INDEX(I.Facility.P3IDNumber,894))</f>
        <v/>
      </c>
      <c r="G15906" s="51"/>
      <c r="H15906" s="46" t="str">
        <f>IF(AND(I.Developer.P3=TRUE,I.Facility.P3FacilityCount&gt;=894,F15906=""),"Incomplete","Complete")</f>
        <v>Complete</v>
      </c>
      <c r="I15906" s="48" t="s">
        <v>20271</v>
      </c>
    </row>
    <row r="15907" spans="2:9" ht="15" customHeight="1" x14ac:dyDescent="0.25">
      <c r="B15907" s="55" t="s">
        <v>282</v>
      </c>
      <c r="C15907" s="46">
        <v>895</v>
      </c>
      <c r="D15907" s="69" t="s">
        <v>29419</v>
      </c>
      <c r="E15907" s="51"/>
      <c r="F15907" s="114" t="str">
        <f>IF(INDEX(I.Facility.P3IDNumber,895)="","",INDEX(I.Facility.P3IDNumber,895))</f>
        <v/>
      </c>
      <c r="G15907" s="51"/>
      <c r="H15907" s="46" t="str">
        <f>IF(AND(I.Developer.P3=TRUE,I.Facility.P3FacilityCount&gt;=895,F15907=""),"Incomplete","Complete")</f>
        <v>Complete</v>
      </c>
      <c r="I15907" s="48" t="s">
        <v>20272</v>
      </c>
    </row>
    <row r="15908" spans="2:9" ht="15" customHeight="1" x14ac:dyDescent="0.25">
      <c r="B15908" s="55" t="s">
        <v>282</v>
      </c>
      <c r="C15908" s="46">
        <v>896</v>
      </c>
      <c r="D15908" s="69" t="s">
        <v>29419</v>
      </c>
      <c r="E15908" s="51"/>
      <c r="F15908" s="114" t="str">
        <f>IF(INDEX(I.Facility.P3IDNumber,896)="","",INDEX(I.Facility.P3IDNumber,896))</f>
        <v/>
      </c>
      <c r="G15908" s="51"/>
      <c r="H15908" s="46" t="str">
        <f>IF(AND(I.Developer.P3=TRUE,I.Facility.P3FacilityCount&gt;=896,F15908=""),"Incomplete","Complete")</f>
        <v>Complete</v>
      </c>
      <c r="I15908" s="48" t="s">
        <v>20273</v>
      </c>
    </row>
    <row r="15909" spans="2:9" ht="15" customHeight="1" x14ac:dyDescent="0.25">
      <c r="B15909" s="55" t="s">
        <v>282</v>
      </c>
      <c r="C15909" s="46">
        <v>897</v>
      </c>
      <c r="D15909" s="69" t="s">
        <v>29419</v>
      </c>
      <c r="E15909" s="51"/>
      <c r="F15909" s="114" t="str">
        <f>IF(INDEX(I.Facility.P3IDNumber,897)="","",INDEX(I.Facility.P3IDNumber,897))</f>
        <v/>
      </c>
      <c r="G15909" s="51"/>
      <c r="H15909" s="46" t="str">
        <f>IF(AND(I.Developer.P3=TRUE,I.Facility.P3FacilityCount&gt;=897,F15909=""),"Incomplete","Complete")</f>
        <v>Complete</v>
      </c>
      <c r="I15909" s="48" t="s">
        <v>20274</v>
      </c>
    </row>
    <row r="15910" spans="2:9" ht="15" customHeight="1" x14ac:dyDescent="0.25">
      <c r="B15910" s="55" t="s">
        <v>282</v>
      </c>
      <c r="C15910" s="46">
        <v>898</v>
      </c>
      <c r="D15910" s="69" t="s">
        <v>29419</v>
      </c>
      <c r="E15910" s="51"/>
      <c r="F15910" s="114" t="str">
        <f>IF(INDEX(I.Facility.P3IDNumber,898)="","",INDEX(I.Facility.P3IDNumber,898))</f>
        <v/>
      </c>
      <c r="G15910" s="51"/>
      <c r="H15910" s="46" t="str">
        <f>IF(AND(I.Developer.P3=TRUE,I.Facility.P3FacilityCount&gt;=898,F15910=""),"Incomplete","Complete")</f>
        <v>Complete</v>
      </c>
      <c r="I15910" s="48" t="s">
        <v>20275</v>
      </c>
    </row>
    <row r="15911" spans="2:9" ht="15" customHeight="1" x14ac:dyDescent="0.25">
      <c r="B15911" s="55" t="s">
        <v>282</v>
      </c>
      <c r="C15911" s="46">
        <v>899</v>
      </c>
      <c r="D15911" s="69" t="s">
        <v>29419</v>
      </c>
      <c r="E15911" s="51"/>
      <c r="F15911" s="114" t="str">
        <f>IF(INDEX(I.Facility.P3IDNumber,899)="","",INDEX(I.Facility.P3IDNumber,899))</f>
        <v/>
      </c>
      <c r="G15911" s="51"/>
      <c r="H15911" s="46" t="str">
        <f>IF(AND(I.Developer.P3=TRUE,I.Facility.P3FacilityCount&gt;=899,F15911=""),"Incomplete","Complete")</f>
        <v>Complete</v>
      </c>
      <c r="I15911" s="48" t="s">
        <v>20276</v>
      </c>
    </row>
    <row r="15912" spans="2:9" ht="15" customHeight="1" x14ac:dyDescent="0.25">
      <c r="B15912" s="55" t="s">
        <v>282</v>
      </c>
      <c r="C15912" s="46">
        <v>900</v>
      </c>
      <c r="D15912" s="69" t="s">
        <v>29419</v>
      </c>
      <c r="E15912" s="51"/>
      <c r="F15912" s="114" t="str">
        <f>IF(INDEX(I.Facility.P3IDNumber,900)="","",INDEX(I.Facility.P3IDNumber,900))</f>
        <v/>
      </c>
      <c r="G15912" s="51"/>
      <c r="H15912" s="46" t="str">
        <f>IF(AND(I.Developer.P3=TRUE,I.Facility.P3FacilityCount&gt;=900,F15912=""),"Incomplete","Complete")</f>
        <v>Complete</v>
      </c>
      <c r="I15912" s="48" t="s">
        <v>20277</v>
      </c>
    </row>
    <row r="15913" spans="2:9" ht="15" customHeight="1" x14ac:dyDescent="0.25">
      <c r="B15913" s="55" t="s">
        <v>282</v>
      </c>
      <c r="C15913" s="46">
        <v>901</v>
      </c>
      <c r="D15913" s="69" t="s">
        <v>29419</v>
      </c>
      <c r="E15913" s="51"/>
      <c r="F15913" s="114" t="str">
        <f>IF(INDEX(I.Facility.P3IDNumber,901)="","",INDEX(I.Facility.P3IDNumber,901))</f>
        <v/>
      </c>
      <c r="G15913" s="51"/>
      <c r="H15913" s="46" t="str">
        <f>IF(AND(I.Developer.P3=TRUE,I.Facility.P3FacilityCount&gt;=901,F15913=""),"Incomplete","Complete")</f>
        <v>Complete</v>
      </c>
      <c r="I15913" s="48" t="s">
        <v>20278</v>
      </c>
    </row>
    <row r="15914" spans="2:9" ht="15" customHeight="1" x14ac:dyDescent="0.25">
      <c r="B15914" s="55" t="s">
        <v>282</v>
      </c>
      <c r="C15914" s="46">
        <v>902</v>
      </c>
      <c r="D15914" s="69" t="s">
        <v>29419</v>
      </c>
      <c r="E15914" s="51"/>
      <c r="F15914" s="114" t="str">
        <f>IF(INDEX(I.Facility.P3IDNumber,902)="","",INDEX(I.Facility.P3IDNumber,902))</f>
        <v/>
      </c>
      <c r="G15914" s="51"/>
      <c r="H15914" s="46" t="str">
        <f>IF(AND(I.Developer.P3=TRUE,I.Facility.P3FacilityCount&gt;=902,F15914=""),"Incomplete","Complete")</f>
        <v>Complete</v>
      </c>
      <c r="I15914" s="48" t="s">
        <v>20279</v>
      </c>
    </row>
    <row r="15915" spans="2:9" ht="15" customHeight="1" x14ac:dyDescent="0.25">
      <c r="B15915" s="55" t="s">
        <v>282</v>
      </c>
      <c r="C15915" s="46">
        <v>903</v>
      </c>
      <c r="D15915" s="69" t="s">
        <v>29419</v>
      </c>
      <c r="E15915" s="51"/>
      <c r="F15915" s="114" t="str">
        <f>IF(INDEX(I.Facility.P3IDNumber,903)="","",INDEX(I.Facility.P3IDNumber,903))</f>
        <v/>
      </c>
      <c r="G15915" s="51"/>
      <c r="H15915" s="46" t="str">
        <f>IF(AND(I.Developer.P3=TRUE,I.Facility.P3FacilityCount&gt;=903,F15915=""),"Incomplete","Complete")</f>
        <v>Complete</v>
      </c>
      <c r="I15915" s="48" t="s">
        <v>20280</v>
      </c>
    </row>
    <row r="15916" spans="2:9" ht="15" customHeight="1" x14ac:dyDescent="0.25">
      <c r="B15916" s="55" t="s">
        <v>282</v>
      </c>
      <c r="C15916" s="46">
        <v>904</v>
      </c>
      <c r="D15916" s="69" t="s">
        <v>29419</v>
      </c>
      <c r="E15916" s="51"/>
      <c r="F15916" s="114" t="str">
        <f>IF(INDEX(I.Facility.P3IDNumber,904)="","",INDEX(I.Facility.P3IDNumber,904))</f>
        <v/>
      </c>
      <c r="G15916" s="51"/>
      <c r="H15916" s="46" t="str">
        <f>IF(AND(I.Developer.P3=TRUE,I.Facility.P3FacilityCount&gt;=904,F15916=""),"Incomplete","Complete")</f>
        <v>Complete</v>
      </c>
      <c r="I15916" s="48" t="s">
        <v>20281</v>
      </c>
    </row>
    <row r="15917" spans="2:9" ht="15" customHeight="1" x14ac:dyDescent="0.25">
      <c r="B15917" s="55" t="s">
        <v>282</v>
      </c>
      <c r="C15917" s="46">
        <v>905</v>
      </c>
      <c r="D15917" s="69" t="s">
        <v>29419</v>
      </c>
      <c r="E15917" s="51"/>
      <c r="F15917" s="114" t="str">
        <f>IF(INDEX(I.Facility.P3IDNumber,905)="","",INDEX(I.Facility.P3IDNumber,905))</f>
        <v/>
      </c>
      <c r="G15917" s="51"/>
      <c r="H15917" s="46" t="str">
        <f>IF(AND(I.Developer.P3=TRUE,I.Facility.P3FacilityCount&gt;=905,F15917=""),"Incomplete","Complete")</f>
        <v>Complete</v>
      </c>
      <c r="I15917" s="48" t="s">
        <v>20282</v>
      </c>
    </row>
    <row r="15918" spans="2:9" ht="15" customHeight="1" x14ac:dyDescent="0.25">
      <c r="B15918" s="55" t="s">
        <v>282</v>
      </c>
      <c r="C15918" s="46">
        <v>906</v>
      </c>
      <c r="D15918" s="69" t="s">
        <v>29419</v>
      </c>
      <c r="E15918" s="51"/>
      <c r="F15918" s="114" t="str">
        <f>IF(INDEX(I.Facility.P3IDNumber,906)="","",INDEX(I.Facility.P3IDNumber,906))</f>
        <v/>
      </c>
      <c r="G15918" s="51"/>
      <c r="H15918" s="46" t="str">
        <f>IF(AND(I.Developer.P3=TRUE,I.Facility.P3FacilityCount&gt;=906,F15918=""),"Incomplete","Complete")</f>
        <v>Complete</v>
      </c>
      <c r="I15918" s="48" t="s">
        <v>20283</v>
      </c>
    </row>
    <row r="15919" spans="2:9" ht="15" customHeight="1" x14ac:dyDescent="0.25">
      <c r="B15919" s="55" t="s">
        <v>282</v>
      </c>
      <c r="C15919" s="46">
        <v>907</v>
      </c>
      <c r="D15919" s="69" t="s">
        <v>29419</v>
      </c>
      <c r="E15919" s="51"/>
      <c r="F15919" s="114" t="str">
        <f>IF(INDEX(I.Facility.P3IDNumber,907)="","",INDEX(I.Facility.P3IDNumber,907))</f>
        <v/>
      </c>
      <c r="G15919" s="51"/>
      <c r="H15919" s="46" t="str">
        <f>IF(AND(I.Developer.P3=TRUE,I.Facility.P3FacilityCount&gt;=907,F15919=""),"Incomplete","Complete")</f>
        <v>Complete</v>
      </c>
      <c r="I15919" s="48" t="s">
        <v>20284</v>
      </c>
    </row>
    <row r="15920" spans="2:9" ht="15" customHeight="1" x14ac:dyDescent="0.25">
      <c r="B15920" s="55" t="s">
        <v>282</v>
      </c>
      <c r="C15920" s="46">
        <v>908</v>
      </c>
      <c r="D15920" s="69" t="s">
        <v>29419</v>
      </c>
      <c r="E15920" s="51"/>
      <c r="F15920" s="114" t="str">
        <f>IF(INDEX(I.Facility.P3IDNumber,908)="","",INDEX(I.Facility.P3IDNumber,908))</f>
        <v/>
      </c>
      <c r="G15920" s="51"/>
      <c r="H15920" s="46" t="str">
        <f>IF(AND(I.Developer.P3=TRUE,I.Facility.P3FacilityCount&gt;=908,F15920=""),"Incomplete","Complete")</f>
        <v>Complete</v>
      </c>
      <c r="I15920" s="48" t="s">
        <v>20285</v>
      </c>
    </row>
    <row r="15921" spans="2:9" ht="15" customHeight="1" x14ac:dyDescent="0.25">
      <c r="B15921" s="55" t="s">
        <v>282</v>
      </c>
      <c r="C15921" s="46">
        <v>909</v>
      </c>
      <c r="D15921" s="69" t="s">
        <v>29419</v>
      </c>
      <c r="E15921" s="51"/>
      <c r="F15921" s="114" t="str">
        <f>IF(INDEX(I.Facility.P3IDNumber,909)="","",INDEX(I.Facility.P3IDNumber,909))</f>
        <v/>
      </c>
      <c r="G15921" s="51"/>
      <c r="H15921" s="46" t="str">
        <f>IF(AND(I.Developer.P3=TRUE,I.Facility.P3FacilityCount&gt;=909,F15921=""),"Incomplete","Complete")</f>
        <v>Complete</v>
      </c>
      <c r="I15921" s="48" t="s">
        <v>20286</v>
      </c>
    </row>
    <row r="15922" spans="2:9" ht="15" customHeight="1" x14ac:dyDescent="0.25">
      <c r="B15922" s="55" t="s">
        <v>282</v>
      </c>
      <c r="C15922" s="46">
        <v>910</v>
      </c>
      <c r="D15922" s="69" t="s">
        <v>29419</v>
      </c>
      <c r="E15922" s="51"/>
      <c r="F15922" s="114" t="str">
        <f>IF(INDEX(I.Facility.P3IDNumber,910)="","",INDEX(I.Facility.P3IDNumber,910))</f>
        <v/>
      </c>
      <c r="G15922" s="51"/>
      <c r="H15922" s="46" t="str">
        <f>IF(AND(I.Developer.P3=TRUE,I.Facility.P3FacilityCount&gt;=910,F15922=""),"Incomplete","Complete")</f>
        <v>Complete</v>
      </c>
      <c r="I15922" s="48" t="s">
        <v>20287</v>
      </c>
    </row>
    <row r="15923" spans="2:9" ht="15" customHeight="1" x14ac:dyDescent="0.25">
      <c r="B15923" s="55" t="s">
        <v>282</v>
      </c>
      <c r="C15923" s="46">
        <v>911</v>
      </c>
      <c r="D15923" s="69" t="s">
        <v>29419</v>
      </c>
      <c r="E15923" s="51"/>
      <c r="F15923" s="114" t="str">
        <f>IF(INDEX(I.Facility.P3IDNumber,911)="","",INDEX(I.Facility.P3IDNumber,911))</f>
        <v/>
      </c>
      <c r="G15923" s="51"/>
      <c r="H15923" s="46" t="str">
        <f>IF(AND(I.Developer.P3=TRUE,I.Facility.P3FacilityCount&gt;=911,F15923=""),"Incomplete","Complete")</f>
        <v>Complete</v>
      </c>
      <c r="I15923" s="48" t="s">
        <v>20288</v>
      </c>
    </row>
    <row r="15924" spans="2:9" ht="15" customHeight="1" x14ac:dyDescent="0.25">
      <c r="B15924" s="55" t="s">
        <v>282</v>
      </c>
      <c r="C15924" s="46">
        <v>912</v>
      </c>
      <c r="D15924" s="69" t="s">
        <v>29419</v>
      </c>
      <c r="E15924" s="51"/>
      <c r="F15924" s="114" t="str">
        <f>IF(INDEX(I.Facility.P3IDNumber,912)="","",INDEX(I.Facility.P3IDNumber,912))</f>
        <v/>
      </c>
      <c r="G15924" s="51"/>
      <c r="H15924" s="46" t="str">
        <f>IF(AND(I.Developer.P3=TRUE,I.Facility.P3FacilityCount&gt;=912,F15924=""),"Incomplete","Complete")</f>
        <v>Complete</v>
      </c>
      <c r="I15924" s="48" t="s">
        <v>20289</v>
      </c>
    </row>
    <row r="15925" spans="2:9" ht="15" customHeight="1" x14ac:dyDescent="0.25">
      <c r="B15925" s="55" t="s">
        <v>282</v>
      </c>
      <c r="C15925" s="46">
        <v>913</v>
      </c>
      <c r="D15925" s="69" t="s">
        <v>29419</v>
      </c>
      <c r="E15925" s="51"/>
      <c r="F15925" s="114" t="str">
        <f>IF(INDEX(I.Facility.P3IDNumber,913)="","",INDEX(I.Facility.P3IDNumber,913))</f>
        <v/>
      </c>
      <c r="G15925" s="51"/>
      <c r="H15925" s="46" t="str">
        <f>IF(AND(I.Developer.P3=TRUE,I.Facility.P3FacilityCount&gt;=913,F15925=""),"Incomplete","Complete")</f>
        <v>Complete</v>
      </c>
      <c r="I15925" s="48" t="s">
        <v>20290</v>
      </c>
    </row>
    <row r="15926" spans="2:9" ht="15" customHeight="1" x14ac:dyDescent="0.25">
      <c r="B15926" s="55" t="s">
        <v>282</v>
      </c>
      <c r="C15926" s="46">
        <v>914</v>
      </c>
      <c r="D15926" s="69" t="s">
        <v>29419</v>
      </c>
      <c r="E15926" s="51"/>
      <c r="F15926" s="114" t="str">
        <f>IF(INDEX(I.Facility.P3IDNumber,914)="","",INDEX(I.Facility.P3IDNumber,914))</f>
        <v/>
      </c>
      <c r="G15926" s="51"/>
      <c r="H15926" s="46" t="str">
        <f>IF(AND(I.Developer.P3=TRUE,I.Facility.P3FacilityCount&gt;=914,F15926=""),"Incomplete","Complete")</f>
        <v>Complete</v>
      </c>
      <c r="I15926" s="48" t="s">
        <v>20291</v>
      </c>
    </row>
    <row r="15927" spans="2:9" ht="15" customHeight="1" x14ac:dyDescent="0.25">
      <c r="B15927" s="55" t="s">
        <v>282</v>
      </c>
      <c r="C15927" s="46">
        <v>915</v>
      </c>
      <c r="D15927" s="69" t="s">
        <v>29419</v>
      </c>
      <c r="E15927" s="51"/>
      <c r="F15927" s="114" t="str">
        <f>IF(INDEX(I.Facility.P3IDNumber,915)="","",INDEX(I.Facility.P3IDNumber,915))</f>
        <v/>
      </c>
      <c r="G15927" s="51"/>
      <c r="H15927" s="46" t="str">
        <f>IF(AND(I.Developer.P3=TRUE,I.Facility.P3FacilityCount&gt;=915,F15927=""),"Incomplete","Complete")</f>
        <v>Complete</v>
      </c>
      <c r="I15927" s="48" t="s">
        <v>20292</v>
      </c>
    </row>
    <row r="15928" spans="2:9" ht="15" customHeight="1" x14ac:dyDescent="0.25">
      <c r="B15928" s="55" t="s">
        <v>282</v>
      </c>
      <c r="C15928" s="46">
        <v>916</v>
      </c>
      <c r="D15928" s="69" t="s">
        <v>29419</v>
      </c>
      <c r="E15928" s="51"/>
      <c r="F15928" s="114" t="str">
        <f>IF(INDEX(I.Facility.P3IDNumber,916)="","",INDEX(I.Facility.P3IDNumber,916))</f>
        <v/>
      </c>
      <c r="G15928" s="51"/>
      <c r="H15928" s="46" t="str">
        <f>IF(AND(I.Developer.P3=TRUE,I.Facility.P3FacilityCount&gt;=916,F15928=""),"Incomplete","Complete")</f>
        <v>Complete</v>
      </c>
      <c r="I15928" s="48" t="s">
        <v>20293</v>
      </c>
    </row>
    <row r="15929" spans="2:9" ht="15" customHeight="1" x14ac:dyDescent="0.25">
      <c r="B15929" s="55" t="s">
        <v>282</v>
      </c>
      <c r="C15929" s="46">
        <v>917</v>
      </c>
      <c r="D15929" s="69" t="s">
        <v>29419</v>
      </c>
      <c r="E15929" s="51"/>
      <c r="F15929" s="114" t="str">
        <f>IF(INDEX(I.Facility.P3IDNumber,917)="","",INDEX(I.Facility.P3IDNumber,917))</f>
        <v/>
      </c>
      <c r="G15929" s="51"/>
      <c r="H15929" s="46" t="str">
        <f>IF(AND(I.Developer.P3=TRUE,I.Facility.P3FacilityCount&gt;=917,F15929=""),"Incomplete","Complete")</f>
        <v>Complete</v>
      </c>
      <c r="I15929" s="48" t="s">
        <v>20294</v>
      </c>
    </row>
    <row r="15930" spans="2:9" ht="15" customHeight="1" x14ac:dyDescent="0.25">
      <c r="B15930" s="55" t="s">
        <v>282</v>
      </c>
      <c r="C15930" s="46">
        <v>918</v>
      </c>
      <c r="D15930" s="69" t="s">
        <v>29419</v>
      </c>
      <c r="E15930" s="51"/>
      <c r="F15930" s="114" t="str">
        <f>IF(INDEX(I.Facility.P3IDNumber,918)="","",INDEX(I.Facility.P3IDNumber,918))</f>
        <v/>
      </c>
      <c r="G15930" s="51"/>
      <c r="H15930" s="46" t="str">
        <f>IF(AND(I.Developer.P3=TRUE,I.Facility.P3FacilityCount&gt;=918,F15930=""),"Incomplete","Complete")</f>
        <v>Complete</v>
      </c>
      <c r="I15930" s="48" t="s">
        <v>20295</v>
      </c>
    </row>
    <row r="15931" spans="2:9" ht="15" customHeight="1" x14ac:dyDescent="0.25">
      <c r="B15931" s="55" t="s">
        <v>282</v>
      </c>
      <c r="C15931" s="46">
        <v>919</v>
      </c>
      <c r="D15931" s="69" t="s">
        <v>29419</v>
      </c>
      <c r="E15931" s="51"/>
      <c r="F15931" s="114" t="str">
        <f>IF(INDEX(I.Facility.P3IDNumber,919)="","",INDEX(I.Facility.P3IDNumber,919))</f>
        <v/>
      </c>
      <c r="G15931" s="51"/>
      <c r="H15931" s="46" t="str">
        <f>IF(AND(I.Developer.P3=TRUE,I.Facility.P3FacilityCount&gt;=919,F15931=""),"Incomplete","Complete")</f>
        <v>Complete</v>
      </c>
      <c r="I15931" s="48" t="s">
        <v>20296</v>
      </c>
    </row>
    <row r="15932" spans="2:9" ht="15" customHeight="1" x14ac:dyDescent="0.25">
      <c r="B15932" s="55" t="s">
        <v>282</v>
      </c>
      <c r="C15932" s="46">
        <v>920</v>
      </c>
      <c r="D15932" s="69" t="s">
        <v>29419</v>
      </c>
      <c r="E15932" s="51"/>
      <c r="F15932" s="114" t="str">
        <f>IF(INDEX(I.Facility.P3IDNumber,920)="","",INDEX(I.Facility.P3IDNumber,920))</f>
        <v/>
      </c>
      <c r="G15932" s="51"/>
      <c r="H15932" s="46" t="str">
        <f>IF(AND(I.Developer.P3=TRUE,I.Facility.P3FacilityCount&gt;=920,F15932=""),"Incomplete","Complete")</f>
        <v>Complete</v>
      </c>
      <c r="I15932" s="48" t="s">
        <v>20297</v>
      </c>
    </row>
    <row r="15933" spans="2:9" ht="15" customHeight="1" x14ac:dyDescent="0.25">
      <c r="B15933" s="55" t="s">
        <v>282</v>
      </c>
      <c r="C15933" s="46">
        <v>921</v>
      </c>
      <c r="D15933" s="69" t="s">
        <v>29419</v>
      </c>
      <c r="E15933" s="51"/>
      <c r="F15933" s="114" t="str">
        <f>IF(INDEX(I.Facility.P3IDNumber,921)="","",INDEX(I.Facility.P3IDNumber,921))</f>
        <v/>
      </c>
      <c r="G15933" s="51"/>
      <c r="H15933" s="46" t="str">
        <f>IF(AND(I.Developer.P3=TRUE,I.Facility.P3FacilityCount&gt;=921,F15933=""),"Incomplete","Complete")</f>
        <v>Complete</v>
      </c>
      <c r="I15933" s="48" t="s">
        <v>20298</v>
      </c>
    </row>
    <row r="15934" spans="2:9" ht="15" customHeight="1" x14ac:dyDescent="0.25">
      <c r="B15934" s="55" t="s">
        <v>282</v>
      </c>
      <c r="C15934" s="46">
        <v>922</v>
      </c>
      <c r="D15934" s="69" t="s">
        <v>29419</v>
      </c>
      <c r="E15934" s="51"/>
      <c r="F15934" s="114" t="str">
        <f>IF(INDEX(I.Facility.P3IDNumber,922)="","",INDEX(I.Facility.P3IDNumber,922))</f>
        <v/>
      </c>
      <c r="G15934" s="51"/>
      <c r="H15934" s="46" t="str">
        <f>IF(AND(I.Developer.P3=TRUE,I.Facility.P3FacilityCount&gt;=922,F15934=""),"Incomplete","Complete")</f>
        <v>Complete</v>
      </c>
      <c r="I15934" s="48" t="s">
        <v>20299</v>
      </c>
    </row>
    <row r="15935" spans="2:9" ht="15" customHeight="1" x14ac:dyDescent="0.25">
      <c r="B15935" s="55" t="s">
        <v>282</v>
      </c>
      <c r="C15935" s="46">
        <v>923</v>
      </c>
      <c r="D15935" s="69" t="s">
        <v>29419</v>
      </c>
      <c r="E15935" s="51"/>
      <c r="F15935" s="114" t="str">
        <f>IF(INDEX(I.Facility.P3IDNumber,923)="","",INDEX(I.Facility.P3IDNumber,923))</f>
        <v/>
      </c>
      <c r="G15935" s="51"/>
      <c r="H15935" s="46" t="str">
        <f>IF(AND(I.Developer.P3=TRUE,I.Facility.P3FacilityCount&gt;=923,F15935=""),"Incomplete","Complete")</f>
        <v>Complete</v>
      </c>
      <c r="I15935" s="48" t="s">
        <v>20300</v>
      </c>
    </row>
    <row r="15936" spans="2:9" ht="15" customHeight="1" x14ac:dyDescent="0.25">
      <c r="B15936" s="55" t="s">
        <v>282</v>
      </c>
      <c r="C15936" s="46">
        <v>924</v>
      </c>
      <c r="D15936" s="69" t="s">
        <v>29419</v>
      </c>
      <c r="E15936" s="51"/>
      <c r="F15936" s="114" t="str">
        <f>IF(INDEX(I.Facility.P3IDNumber,924)="","",INDEX(I.Facility.P3IDNumber,924))</f>
        <v/>
      </c>
      <c r="G15936" s="51"/>
      <c r="H15936" s="46" t="str">
        <f>IF(AND(I.Developer.P3=TRUE,I.Facility.P3FacilityCount&gt;=924,F15936=""),"Incomplete","Complete")</f>
        <v>Complete</v>
      </c>
      <c r="I15936" s="48" t="s">
        <v>20301</v>
      </c>
    </row>
    <row r="15937" spans="2:9" ht="15" customHeight="1" x14ac:dyDescent="0.25">
      <c r="B15937" s="55" t="s">
        <v>282</v>
      </c>
      <c r="C15937" s="46">
        <v>925</v>
      </c>
      <c r="D15937" s="69" t="s">
        <v>29419</v>
      </c>
      <c r="E15937" s="51"/>
      <c r="F15937" s="114" t="str">
        <f>IF(INDEX(I.Facility.P3IDNumber,925)="","",INDEX(I.Facility.P3IDNumber,925))</f>
        <v/>
      </c>
      <c r="G15937" s="51"/>
      <c r="H15937" s="46" t="str">
        <f>IF(AND(I.Developer.P3=TRUE,I.Facility.P3FacilityCount&gt;=925,F15937=""),"Incomplete","Complete")</f>
        <v>Complete</v>
      </c>
      <c r="I15937" s="48" t="s">
        <v>20302</v>
      </c>
    </row>
    <row r="15938" spans="2:9" ht="15" customHeight="1" x14ac:dyDescent="0.25">
      <c r="B15938" s="55" t="s">
        <v>282</v>
      </c>
      <c r="C15938" s="46">
        <v>926</v>
      </c>
      <c r="D15938" s="69" t="s">
        <v>29419</v>
      </c>
      <c r="E15938" s="51"/>
      <c r="F15938" s="114" t="str">
        <f>IF(INDEX(I.Facility.P3IDNumber,926)="","",INDEX(I.Facility.P3IDNumber,926))</f>
        <v/>
      </c>
      <c r="G15938" s="51"/>
      <c r="H15938" s="46" t="str">
        <f>IF(AND(I.Developer.P3=TRUE,I.Facility.P3FacilityCount&gt;=926,F15938=""),"Incomplete","Complete")</f>
        <v>Complete</v>
      </c>
      <c r="I15938" s="48" t="s">
        <v>20303</v>
      </c>
    </row>
    <row r="15939" spans="2:9" ht="15" customHeight="1" x14ac:dyDescent="0.25">
      <c r="B15939" s="55" t="s">
        <v>282</v>
      </c>
      <c r="C15939" s="46">
        <v>927</v>
      </c>
      <c r="D15939" s="69" t="s">
        <v>29419</v>
      </c>
      <c r="E15939" s="51"/>
      <c r="F15939" s="114" t="str">
        <f>IF(INDEX(I.Facility.P3IDNumber,927)="","",INDEX(I.Facility.P3IDNumber,927))</f>
        <v/>
      </c>
      <c r="G15939" s="51"/>
      <c r="H15939" s="46" t="str">
        <f>IF(AND(I.Developer.P3=TRUE,I.Facility.P3FacilityCount&gt;=927,F15939=""),"Incomplete","Complete")</f>
        <v>Complete</v>
      </c>
      <c r="I15939" s="48" t="s">
        <v>20304</v>
      </c>
    </row>
    <row r="15940" spans="2:9" ht="15" customHeight="1" x14ac:dyDescent="0.25">
      <c r="B15940" s="55" t="s">
        <v>282</v>
      </c>
      <c r="C15940" s="46">
        <v>928</v>
      </c>
      <c r="D15940" s="69" t="s">
        <v>29419</v>
      </c>
      <c r="E15940" s="51"/>
      <c r="F15940" s="114" t="str">
        <f>IF(INDEX(I.Facility.P3IDNumber,928)="","",INDEX(I.Facility.P3IDNumber,928))</f>
        <v/>
      </c>
      <c r="G15940" s="51"/>
      <c r="H15940" s="46" t="str">
        <f>IF(AND(I.Developer.P3=TRUE,I.Facility.P3FacilityCount&gt;=928,F15940=""),"Incomplete","Complete")</f>
        <v>Complete</v>
      </c>
      <c r="I15940" s="48" t="s">
        <v>20305</v>
      </c>
    </row>
    <row r="15941" spans="2:9" ht="15" customHeight="1" x14ac:dyDescent="0.25">
      <c r="B15941" s="55" t="s">
        <v>282</v>
      </c>
      <c r="C15941" s="46">
        <v>929</v>
      </c>
      <c r="D15941" s="69" t="s">
        <v>29419</v>
      </c>
      <c r="E15941" s="51"/>
      <c r="F15941" s="114" t="str">
        <f>IF(INDEX(I.Facility.P3IDNumber,929)="","",INDEX(I.Facility.P3IDNumber,929))</f>
        <v/>
      </c>
      <c r="G15941" s="51"/>
      <c r="H15941" s="46" t="str">
        <f>IF(AND(I.Developer.P3=TRUE,I.Facility.P3FacilityCount&gt;=929,F15941=""),"Incomplete","Complete")</f>
        <v>Complete</v>
      </c>
      <c r="I15941" s="48" t="s">
        <v>20306</v>
      </c>
    </row>
    <row r="15942" spans="2:9" ht="15" customHeight="1" x14ac:dyDescent="0.25">
      <c r="B15942" s="55" t="s">
        <v>282</v>
      </c>
      <c r="C15942" s="46">
        <v>930</v>
      </c>
      <c r="D15942" s="69" t="s">
        <v>29419</v>
      </c>
      <c r="E15942" s="51"/>
      <c r="F15942" s="114" t="str">
        <f>IF(INDEX(I.Facility.P3IDNumber,930)="","",INDEX(I.Facility.P3IDNumber,930))</f>
        <v/>
      </c>
      <c r="G15942" s="51"/>
      <c r="H15942" s="46" t="str">
        <f>IF(AND(I.Developer.P3=TRUE,I.Facility.P3FacilityCount&gt;=930,F15942=""),"Incomplete","Complete")</f>
        <v>Complete</v>
      </c>
      <c r="I15942" s="48" t="s">
        <v>20307</v>
      </c>
    </row>
    <row r="15943" spans="2:9" ht="15" customHeight="1" x14ac:dyDescent="0.25">
      <c r="B15943" s="55" t="s">
        <v>282</v>
      </c>
      <c r="C15943" s="46">
        <v>931</v>
      </c>
      <c r="D15943" s="69" t="s">
        <v>29419</v>
      </c>
      <c r="E15943" s="51"/>
      <c r="F15943" s="114" t="str">
        <f>IF(INDEX(I.Facility.P3IDNumber,931)="","",INDEX(I.Facility.P3IDNumber,931))</f>
        <v/>
      </c>
      <c r="G15943" s="51"/>
      <c r="H15943" s="46" t="str">
        <f>IF(AND(I.Developer.P3=TRUE,I.Facility.P3FacilityCount&gt;=931,F15943=""),"Incomplete","Complete")</f>
        <v>Complete</v>
      </c>
      <c r="I15943" s="48" t="s">
        <v>20308</v>
      </c>
    </row>
    <row r="15944" spans="2:9" ht="15" customHeight="1" x14ac:dyDescent="0.25">
      <c r="B15944" s="55" t="s">
        <v>282</v>
      </c>
      <c r="C15944" s="46">
        <v>932</v>
      </c>
      <c r="D15944" s="69" t="s">
        <v>29419</v>
      </c>
      <c r="E15944" s="51"/>
      <c r="F15944" s="114" t="str">
        <f>IF(INDEX(I.Facility.P3IDNumber,932)="","",INDEX(I.Facility.P3IDNumber,932))</f>
        <v/>
      </c>
      <c r="G15944" s="51"/>
      <c r="H15944" s="46" t="str">
        <f>IF(AND(I.Developer.P3=TRUE,I.Facility.P3FacilityCount&gt;=932,F15944=""),"Incomplete","Complete")</f>
        <v>Complete</v>
      </c>
      <c r="I15944" s="48" t="s">
        <v>20309</v>
      </c>
    </row>
    <row r="15945" spans="2:9" ht="15" customHeight="1" x14ac:dyDescent="0.25">
      <c r="B15945" s="55" t="s">
        <v>282</v>
      </c>
      <c r="C15945" s="46">
        <v>933</v>
      </c>
      <c r="D15945" s="69" t="s">
        <v>29419</v>
      </c>
      <c r="E15945" s="51"/>
      <c r="F15945" s="114" t="str">
        <f>IF(INDEX(I.Facility.P3IDNumber,933)="","",INDEX(I.Facility.P3IDNumber,933))</f>
        <v/>
      </c>
      <c r="G15945" s="51"/>
      <c r="H15945" s="46" t="str">
        <f>IF(AND(I.Developer.P3=TRUE,I.Facility.P3FacilityCount&gt;=933,F15945=""),"Incomplete","Complete")</f>
        <v>Complete</v>
      </c>
      <c r="I15945" s="48" t="s">
        <v>20310</v>
      </c>
    </row>
    <row r="15946" spans="2:9" ht="15" customHeight="1" x14ac:dyDescent="0.25">
      <c r="B15946" s="55" t="s">
        <v>282</v>
      </c>
      <c r="C15946" s="46">
        <v>934</v>
      </c>
      <c r="D15946" s="69" t="s">
        <v>29419</v>
      </c>
      <c r="E15946" s="51"/>
      <c r="F15946" s="114" t="str">
        <f>IF(INDEX(I.Facility.P3IDNumber,934)="","",INDEX(I.Facility.P3IDNumber,934))</f>
        <v/>
      </c>
      <c r="G15946" s="51"/>
      <c r="H15946" s="46" t="str">
        <f>IF(AND(I.Developer.P3=TRUE,I.Facility.P3FacilityCount&gt;=934,F15946=""),"Incomplete","Complete")</f>
        <v>Complete</v>
      </c>
      <c r="I15946" s="48" t="s">
        <v>20311</v>
      </c>
    </row>
    <row r="15947" spans="2:9" ht="15" customHeight="1" x14ac:dyDescent="0.25">
      <c r="B15947" s="55" t="s">
        <v>282</v>
      </c>
      <c r="C15947" s="46">
        <v>935</v>
      </c>
      <c r="D15947" s="69" t="s">
        <v>29419</v>
      </c>
      <c r="E15947" s="51"/>
      <c r="F15947" s="114" t="str">
        <f>IF(INDEX(I.Facility.P3IDNumber,935)="","",INDEX(I.Facility.P3IDNumber,935))</f>
        <v/>
      </c>
      <c r="G15947" s="51"/>
      <c r="H15947" s="46" t="str">
        <f>IF(AND(I.Developer.P3=TRUE,I.Facility.P3FacilityCount&gt;=935,F15947=""),"Incomplete","Complete")</f>
        <v>Complete</v>
      </c>
      <c r="I15947" s="48" t="s">
        <v>20312</v>
      </c>
    </row>
    <row r="15948" spans="2:9" ht="15" customHeight="1" x14ac:dyDescent="0.25">
      <c r="B15948" s="55" t="s">
        <v>282</v>
      </c>
      <c r="C15948" s="46">
        <v>936</v>
      </c>
      <c r="D15948" s="69" t="s">
        <v>29419</v>
      </c>
      <c r="E15948" s="51"/>
      <c r="F15948" s="114" t="str">
        <f>IF(INDEX(I.Facility.P3IDNumber,936)="","",INDEX(I.Facility.P3IDNumber,936))</f>
        <v/>
      </c>
      <c r="G15948" s="51"/>
      <c r="H15948" s="46" t="str">
        <f>IF(AND(I.Developer.P3=TRUE,I.Facility.P3FacilityCount&gt;=936,F15948=""),"Incomplete","Complete")</f>
        <v>Complete</v>
      </c>
      <c r="I15948" s="48" t="s">
        <v>20313</v>
      </c>
    </row>
    <row r="15949" spans="2:9" ht="15" customHeight="1" x14ac:dyDescent="0.25">
      <c r="B15949" s="55" t="s">
        <v>282</v>
      </c>
      <c r="C15949" s="46">
        <v>937</v>
      </c>
      <c r="D15949" s="69" t="s">
        <v>29419</v>
      </c>
      <c r="E15949" s="51"/>
      <c r="F15949" s="114" t="str">
        <f>IF(INDEX(I.Facility.P3IDNumber,937)="","",INDEX(I.Facility.P3IDNumber,937))</f>
        <v/>
      </c>
      <c r="G15949" s="51"/>
      <c r="H15949" s="46" t="str">
        <f>IF(AND(I.Developer.P3=TRUE,I.Facility.P3FacilityCount&gt;=937,F15949=""),"Incomplete","Complete")</f>
        <v>Complete</v>
      </c>
      <c r="I15949" s="48" t="s">
        <v>20314</v>
      </c>
    </row>
    <row r="15950" spans="2:9" ht="15" customHeight="1" x14ac:dyDescent="0.25">
      <c r="B15950" s="55" t="s">
        <v>282</v>
      </c>
      <c r="C15950" s="46">
        <v>938</v>
      </c>
      <c r="D15950" s="69" t="s">
        <v>29419</v>
      </c>
      <c r="E15950" s="51"/>
      <c r="F15950" s="114" t="str">
        <f>IF(INDEX(I.Facility.P3IDNumber,938)="","",INDEX(I.Facility.P3IDNumber,938))</f>
        <v/>
      </c>
      <c r="G15950" s="51"/>
      <c r="H15950" s="46" t="str">
        <f>IF(AND(I.Developer.P3=TRUE,I.Facility.P3FacilityCount&gt;=938,F15950=""),"Incomplete","Complete")</f>
        <v>Complete</v>
      </c>
      <c r="I15950" s="48" t="s">
        <v>20315</v>
      </c>
    </row>
    <row r="15951" spans="2:9" ht="15" customHeight="1" x14ac:dyDescent="0.25">
      <c r="B15951" s="55" t="s">
        <v>282</v>
      </c>
      <c r="C15951" s="46">
        <v>939</v>
      </c>
      <c r="D15951" s="69" t="s">
        <v>29419</v>
      </c>
      <c r="E15951" s="51"/>
      <c r="F15951" s="114" t="str">
        <f>IF(INDEX(I.Facility.P3IDNumber,939)="","",INDEX(I.Facility.P3IDNumber,939))</f>
        <v/>
      </c>
      <c r="G15951" s="51"/>
      <c r="H15951" s="46" t="str">
        <f>IF(AND(I.Developer.P3=TRUE,I.Facility.P3FacilityCount&gt;=939,F15951=""),"Incomplete","Complete")</f>
        <v>Complete</v>
      </c>
      <c r="I15951" s="48" t="s">
        <v>20316</v>
      </c>
    </row>
    <row r="15952" spans="2:9" ht="15" customHeight="1" x14ac:dyDescent="0.25">
      <c r="B15952" s="55" t="s">
        <v>282</v>
      </c>
      <c r="C15952" s="46">
        <v>940</v>
      </c>
      <c r="D15952" s="69" t="s">
        <v>29419</v>
      </c>
      <c r="E15952" s="51"/>
      <c r="F15952" s="114" t="str">
        <f>IF(INDEX(I.Facility.P3IDNumber,940)="","",INDEX(I.Facility.P3IDNumber,940))</f>
        <v/>
      </c>
      <c r="G15952" s="51"/>
      <c r="H15952" s="46" t="str">
        <f>IF(AND(I.Developer.P3=TRUE,I.Facility.P3FacilityCount&gt;=940,F15952=""),"Incomplete","Complete")</f>
        <v>Complete</v>
      </c>
      <c r="I15952" s="48" t="s">
        <v>20317</v>
      </c>
    </row>
    <row r="15953" spans="2:9" ht="15" customHeight="1" x14ac:dyDescent="0.25">
      <c r="B15953" s="55" t="s">
        <v>282</v>
      </c>
      <c r="C15953" s="46">
        <v>941</v>
      </c>
      <c r="D15953" s="69" t="s">
        <v>29419</v>
      </c>
      <c r="E15953" s="51"/>
      <c r="F15953" s="114" t="str">
        <f>IF(INDEX(I.Facility.P3IDNumber,941)="","",INDEX(I.Facility.P3IDNumber,941))</f>
        <v/>
      </c>
      <c r="G15953" s="51"/>
      <c r="H15953" s="46" t="str">
        <f>IF(AND(I.Developer.P3=TRUE,I.Facility.P3FacilityCount&gt;=941,F15953=""),"Incomplete","Complete")</f>
        <v>Complete</v>
      </c>
      <c r="I15953" s="48" t="s">
        <v>20318</v>
      </c>
    </row>
    <row r="15954" spans="2:9" ht="15" customHeight="1" x14ac:dyDescent="0.25">
      <c r="B15954" s="55" t="s">
        <v>282</v>
      </c>
      <c r="C15954" s="46">
        <v>942</v>
      </c>
      <c r="D15954" s="69" t="s">
        <v>29419</v>
      </c>
      <c r="E15954" s="51"/>
      <c r="F15954" s="114" t="str">
        <f>IF(INDEX(I.Facility.P3IDNumber,942)="","",INDEX(I.Facility.P3IDNumber,942))</f>
        <v/>
      </c>
      <c r="G15954" s="51"/>
      <c r="H15954" s="46" t="str">
        <f>IF(AND(I.Developer.P3=TRUE,I.Facility.P3FacilityCount&gt;=942,F15954=""),"Incomplete","Complete")</f>
        <v>Complete</v>
      </c>
      <c r="I15954" s="48" t="s">
        <v>20319</v>
      </c>
    </row>
    <row r="15955" spans="2:9" ht="15" customHeight="1" x14ac:dyDescent="0.25">
      <c r="B15955" s="55" t="s">
        <v>282</v>
      </c>
      <c r="C15955" s="46">
        <v>943</v>
      </c>
      <c r="D15955" s="69" t="s">
        <v>29419</v>
      </c>
      <c r="E15955" s="51"/>
      <c r="F15955" s="114" t="str">
        <f>IF(INDEX(I.Facility.P3IDNumber,943)="","",INDEX(I.Facility.P3IDNumber,943))</f>
        <v/>
      </c>
      <c r="G15955" s="51"/>
      <c r="H15955" s="46" t="str">
        <f>IF(AND(I.Developer.P3=TRUE,I.Facility.P3FacilityCount&gt;=943,F15955=""),"Incomplete","Complete")</f>
        <v>Complete</v>
      </c>
      <c r="I15955" s="48" t="s">
        <v>20320</v>
      </c>
    </row>
    <row r="15956" spans="2:9" ht="15" customHeight="1" x14ac:dyDescent="0.25">
      <c r="B15956" s="55" t="s">
        <v>282</v>
      </c>
      <c r="C15956" s="46">
        <v>944</v>
      </c>
      <c r="D15956" s="69" t="s">
        <v>29419</v>
      </c>
      <c r="E15956" s="51"/>
      <c r="F15956" s="114" t="str">
        <f>IF(INDEX(I.Facility.P3IDNumber,944)="","",INDEX(I.Facility.P3IDNumber,944))</f>
        <v/>
      </c>
      <c r="G15956" s="51"/>
      <c r="H15956" s="46" t="str">
        <f>IF(AND(I.Developer.P3=TRUE,I.Facility.P3FacilityCount&gt;=944,F15956=""),"Incomplete","Complete")</f>
        <v>Complete</v>
      </c>
      <c r="I15956" s="48" t="s">
        <v>20321</v>
      </c>
    </row>
    <row r="15957" spans="2:9" ht="15" customHeight="1" x14ac:dyDescent="0.25">
      <c r="B15957" s="55" t="s">
        <v>282</v>
      </c>
      <c r="C15957" s="46">
        <v>945</v>
      </c>
      <c r="D15957" s="69" t="s">
        <v>29419</v>
      </c>
      <c r="E15957" s="51"/>
      <c r="F15957" s="114" t="str">
        <f>IF(INDEX(I.Facility.P3IDNumber,945)="","",INDEX(I.Facility.P3IDNumber,945))</f>
        <v/>
      </c>
      <c r="G15957" s="51"/>
      <c r="H15957" s="46" t="str">
        <f>IF(AND(I.Developer.P3=TRUE,I.Facility.P3FacilityCount&gt;=945,F15957=""),"Incomplete","Complete")</f>
        <v>Complete</v>
      </c>
      <c r="I15957" s="48" t="s">
        <v>20322</v>
      </c>
    </row>
    <row r="15958" spans="2:9" ht="15" customHeight="1" x14ac:dyDescent="0.25">
      <c r="B15958" s="55" t="s">
        <v>282</v>
      </c>
      <c r="C15958" s="46">
        <v>946</v>
      </c>
      <c r="D15958" s="69" t="s">
        <v>29419</v>
      </c>
      <c r="E15958" s="51"/>
      <c r="F15958" s="114" t="str">
        <f>IF(INDEX(I.Facility.P3IDNumber,946)="","",INDEX(I.Facility.P3IDNumber,946))</f>
        <v/>
      </c>
      <c r="G15958" s="51"/>
      <c r="H15958" s="46" t="str">
        <f>IF(AND(I.Developer.P3=TRUE,I.Facility.P3FacilityCount&gt;=946,F15958=""),"Incomplete","Complete")</f>
        <v>Complete</v>
      </c>
      <c r="I15958" s="48" t="s">
        <v>20323</v>
      </c>
    </row>
    <row r="15959" spans="2:9" ht="15" customHeight="1" x14ac:dyDescent="0.25">
      <c r="B15959" s="55" t="s">
        <v>282</v>
      </c>
      <c r="C15959" s="46">
        <v>947</v>
      </c>
      <c r="D15959" s="69" t="s">
        <v>29419</v>
      </c>
      <c r="E15959" s="51"/>
      <c r="F15959" s="114" t="str">
        <f>IF(INDEX(I.Facility.P3IDNumber,947)="","",INDEX(I.Facility.P3IDNumber,947))</f>
        <v/>
      </c>
      <c r="G15959" s="51"/>
      <c r="H15959" s="46" t="str">
        <f>IF(AND(I.Developer.P3=TRUE,I.Facility.P3FacilityCount&gt;=947,F15959=""),"Incomplete","Complete")</f>
        <v>Complete</v>
      </c>
      <c r="I15959" s="48" t="s">
        <v>20324</v>
      </c>
    </row>
    <row r="15960" spans="2:9" ht="15" customHeight="1" x14ac:dyDescent="0.25">
      <c r="B15960" s="55" t="s">
        <v>282</v>
      </c>
      <c r="C15960" s="46">
        <v>948</v>
      </c>
      <c r="D15960" s="69" t="s">
        <v>29419</v>
      </c>
      <c r="E15960" s="51"/>
      <c r="F15960" s="114" t="str">
        <f>IF(INDEX(I.Facility.P3IDNumber,948)="","",INDEX(I.Facility.P3IDNumber,948))</f>
        <v/>
      </c>
      <c r="G15960" s="51"/>
      <c r="H15960" s="46" t="str">
        <f>IF(AND(I.Developer.P3=TRUE,I.Facility.P3FacilityCount&gt;=948,F15960=""),"Incomplete","Complete")</f>
        <v>Complete</v>
      </c>
      <c r="I15960" s="48" t="s">
        <v>20325</v>
      </c>
    </row>
    <row r="15961" spans="2:9" ht="15" customHeight="1" x14ac:dyDescent="0.25">
      <c r="B15961" s="55" t="s">
        <v>282</v>
      </c>
      <c r="C15961" s="46">
        <v>949</v>
      </c>
      <c r="D15961" s="69" t="s">
        <v>29419</v>
      </c>
      <c r="E15961" s="51"/>
      <c r="F15961" s="114" t="str">
        <f>IF(INDEX(I.Facility.P3IDNumber,949)="","",INDEX(I.Facility.P3IDNumber,949))</f>
        <v/>
      </c>
      <c r="G15961" s="51"/>
      <c r="H15961" s="46" t="str">
        <f>IF(AND(I.Developer.P3=TRUE,I.Facility.P3FacilityCount&gt;=949,F15961=""),"Incomplete","Complete")</f>
        <v>Complete</v>
      </c>
      <c r="I15961" s="48" t="s">
        <v>20326</v>
      </c>
    </row>
    <row r="15962" spans="2:9" ht="15" customHeight="1" x14ac:dyDescent="0.25">
      <c r="B15962" s="55" t="s">
        <v>282</v>
      </c>
      <c r="C15962" s="46">
        <v>950</v>
      </c>
      <c r="D15962" s="69" t="s">
        <v>29419</v>
      </c>
      <c r="E15962" s="51"/>
      <c r="F15962" s="114" t="str">
        <f>IF(INDEX(I.Facility.P3IDNumber,950)="","",INDEX(I.Facility.P3IDNumber,950))</f>
        <v/>
      </c>
      <c r="G15962" s="51"/>
      <c r="H15962" s="46" t="str">
        <f>IF(AND(I.Developer.P3=TRUE,I.Facility.P3FacilityCount&gt;=950,F15962=""),"Incomplete","Complete")</f>
        <v>Complete</v>
      </c>
      <c r="I15962" s="48" t="s">
        <v>20327</v>
      </c>
    </row>
    <row r="15963" spans="2:9" ht="15" customHeight="1" x14ac:dyDescent="0.25">
      <c r="B15963" s="55" t="s">
        <v>282</v>
      </c>
      <c r="C15963" s="46">
        <v>951</v>
      </c>
      <c r="D15963" s="69" t="s">
        <v>29419</v>
      </c>
      <c r="E15963" s="51"/>
      <c r="F15963" s="114" t="str">
        <f>IF(INDEX(I.Facility.P3IDNumber,951)="","",INDEX(I.Facility.P3IDNumber,951))</f>
        <v/>
      </c>
      <c r="G15963" s="51"/>
      <c r="H15963" s="46" t="str">
        <f>IF(AND(I.Developer.P3=TRUE,I.Facility.P3FacilityCount&gt;=951,F15963=""),"Incomplete","Complete")</f>
        <v>Complete</v>
      </c>
      <c r="I15963" s="48" t="s">
        <v>20328</v>
      </c>
    </row>
    <row r="15964" spans="2:9" ht="15" customHeight="1" x14ac:dyDescent="0.25">
      <c r="B15964" s="55" t="s">
        <v>282</v>
      </c>
      <c r="C15964" s="46">
        <v>952</v>
      </c>
      <c r="D15964" s="69" t="s">
        <v>29419</v>
      </c>
      <c r="E15964" s="51"/>
      <c r="F15964" s="114" t="str">
        <f>IF(INDEX(I.Facility.P3IDNumber,952)="","",INDEX(I.Facility.P3IDNumber,952))</f>
        <v/>
      </c>
      <c r="G15964" s="51"/>
      <c r="H15964" s="46" t="str">
        <f>IF(AND(I.Developer.P3=TRUE,I.Facility.P3FacilityCount&gt;=952,F15964=""),"Incomplete","Complete")</f>
        <v>Complete</v>
      </c>
      <c r="I15964" s="48" t="s">
        <v>20329</v>
      </c>
    </row>
    <row r="15965" spans="2:9" ht="15" customHeight="1" x14ac:dyDescent="0.25">
      <c r="B15965" s="55" t="s">
        <v>282</v>
      </c>
      <c r="C15965" s="46">
        <v>953</v>
      </c>
      <c r="D15965" s="69" t="s">
        <v>29419</v>
      </c>
      <c r="E15965" s="51"/>
      <c r="F15965" s="114" t="str">
        <f>IF(INDEX(I.Facility.P3IDNumber,953)="","",INDEX(I.Facility.P3IDNumber,953))</f>
        <v/>
      </c>
      <c r="G15965" s="51"/>
      <c r="H15965" s="46" t="str">
        <f>IF(AND(I.Developer.P3=TRUE,I.Facility.P3FacilityCount&gt;=953,F15965=""),"Incomplete","Complete")</f>
        <v>Complete</v>
      </c>
      <c r="I15965" s="48" t="s">
        <v>20330</v>
      </c>
    </row>
    <row r="15966" spans="2:9" ht="15" customHeight="1" x14ac:dyDescent="0.25">
      <c r="B15966" s="55" t="s">
        <v>282</v>
      </c>
      <c r="C15966" s="46">
        <v>954</v>
      </c>
      <c r="D15966" s="69" t="s">
        <v>29419</v>
      </c>
      <c r="E15966" s="51"/>
      <c r="F15966" s="114" t="str">
        <f>IF(INDEX(I.Facility.P3IDNumber,954)="","",INDEX(I.Facility.P3IDNumber,954))</f>
        <v/>
      </c>
      <c r="G15966" s="51"/>
      <c r="H15966" s="46" t="str">
        <f>IF(AND(I.Developer.P3=TRUE,I.Facility.P3FacilityCount&gt;=954,F15966=""),"Incomplete","Complete")</f>
        <v>Complete</v>
      </c>
      <c r="I15966" s="48" t="s">
        <v>20331</v>
      </c>
    </row>
    <row r="15967" spans="2:9" ht="15" customHeight="1" x14ac:dyDescent="0.25">
      <c r="B15967" s="55" t="s">
        <v>282</v>
      </c>
      <c r="C15967" s="46">
        <v>955</v>
      </c>
      <c r="D15967" s="69" t="s">
        <v>29419</v>
      </c>
      <c r="E15967" s="51"/>
      <c r="F15967" s="114" t="str">
        <f>IF(INDEX(I.Facility.P3IDNumber,955)="","",INDEX(I.Facility.P3IDNumber,955))</f>
        <v/>
      </c>
      <c r="G15967" s="51"/>
      <c r="H15967" s="46" t="str">
        <f>IF(AND(I.Developer.P3=TRUE,I.Facility.P3FacilityCount&gt;=955,F15967=""),"Incomplete","Complete")</f>
        <v>Complete</v>
      </c>
      <c r="I15967" s="48" t="s">
        <v>20332</v>
      </c>
    </row>
    <row r="15968" spans="2:9" ht="15" customHeight="1" x14ac:dyDescent="0.25">
      <c r="B15968" s="55" t="s">
        <v>282</v>
      </c>
      <c r="C15968" s="46">
        <v>956</v>
      </c>
      <c r="D15968" s="69" t="s">
        <v>29419</v>
      </c>
      <c r="E15968" s="51"/>
      <c r="F15968" s="114" t="str">
        <f>IF(INDEX(I.Facility.P3IDNumber,956)="","",INDEX(I.Facility.P3IDNumber,956))</f>
        <v/>
      </c>
      <c r="G15968" s="51"/>
      <c r="H15968" s="46" t="str">
        <f>IF(AND(I.Developer.P3=TRUE,I.Facility.P3FacilityCount&gt;=956,F15968=""),"Incomplete","Complete")</f>
        <v>Complete</v>
      </c>
      <c r="I15968" s="48" t="s">
        <v>20333</v>
      </c>
    </row>
    <row r="15969" spans="2:9" ht="15" customHeight="1" x14ac:dyDescent="0.25">
      <c r="B15969" s="55" t="s">
        <v>282</v>
      </c>
      <c r="C15969" s="46">
        <v>957</v>
      </c>
      <c r="D15969" s="69" t="s">
        <v>29419</v>
      </c>
      <c r="E15969" s="51"/>
      <c r="F15969" s="114" t="str">
        <f>IF(INDEX(I.Facility.P3IDNumber,957)="","",INDEX(I.Facility.P3IDNumber,957))</f>
        <v/>
      </c>
      <c r="G15969" s="51"/>
      <c r="H15969" s="46" t="str">
        <f>IF(AND(I.Developer.P3=TRUE,I.Facility.P3FacilityCount&gt;=957,F15969=""),"Incomplete","Complete")</f>
        <v>Complete</v>
      </c>
      <c r="I15969" s="48" t="s">
        <v>20334</v>
      </c>
    </row>
    <row r="15970" spans="2:9" ht="15" customHeight="1" x14ac:dyDescent="0.25">
      <c r="B15970" s="55" t="s">
        <v>282</v>
      </c>
      <c r="C15970" s="46">
        <v>958</v>
      </c>
      <c r="D15970" s="69" t="s">
        <v>29419</v>
      </c>
      <c r="E15970" s="51"/>
      <c r="F15970" s="114" t="str">
        <f>IF(INDEX(I.Facility.P3IDNumber,958)="","",INDEX(I.Facility.P3IDNumber,958))</f>
        <v/>
      </c>
      <c r="G15970" s="51"/>
      <c r="H15970" s="46" t="str">
        <f>IF(AND(I.Developer.P3=TRUE,I.Facility.P3FacilityCount&gt;=958,F15970=""),"Incomplete","Complete")</f>
        <v>Complete</v>
      </c>
      <c r="I15970" s="48" t="s">
        <v>20335</v>
      </c>
    </row>
    <row r="15971" spans="2:9" ht="15" customHeight="1" x14ac:dyDescent="0.25">
      <c r="B15971" s="55" t="s">
        <v>282</v>
      </c>
      <c r="C15971" s="46">
        <v>959</v>
      </c>
      <c r="D15971" s="69" t="s">
        <v>29419</v>
      </c>
      <c r="E15971" s="51"/>
      <c r="F15971" s="114" t="str">
        <f>IF(INDEX(I.Facility.P3IDNumber,959)="","",INDEX(I.Facility.P3IDNumber,959))</f>
        <v/>
      </c>
      <c r="G15971" s="51"/>
      <c r="H15971" s="46" t="str">
        <f>IF(AND(I.Developer.P3=TRUE,I.Facility.P3FacilityCount&gt;=959,F15971=""),"Incomplete","Complete")</f>
        <v>Complete</v>
      </c>
      <c r="I15971" s="48" t="s">
        <v>20336</v>
      </c>
    </row>
    <row r="15972" spans="2:9" ht="15" customHeight="1" x14ac:dyDescent="0.25">
      <c r="B15972" s="55" t="s">
        <v>282</v>
      </c>
      <c r="C15972" s="46">
        <v>960</v>
      </c>
      <c r="D15972" s="69" t="s">
        <v>29419</v>
      </c>
      <c r="E15972" s="51"/>
      <c r="F15972" s="114" t="str">
        <f>IF(INDEX(I.Facility.P3IDNumber,960)="","",INDEX(I.Facility.P3IDNumber,960))</f>
        <v/>
      </c>
      <c r="G15972" s="51"/>
      <c r="H15972" s="46" t="str">
        <f>IF(AND(I.Developer.P3=TRUE,I.Facility.P3FacilityCount&gt;=960,F15972=""),"Incomplete","Complete")</f>
        <v>Complete</v>
      </c>
      <c r="I15972" s="48" t="s">
        <v>20337</v>
      </c>
    </row>
    <row r="15973" spans="2:9" ht="15" customHeight="1" x14ac:dyDescent="0.25">
      <c r="B15973" s="55" t="s">
        <v>282</v>
      </c>
      <c r="C15973" s="46">
        <v>961</v>
      </c>
      <c r="D15973" s="69" t="s">
        <v>29419</v>
      </c>
      <c r="E15973" s="51"/>
      <c r="F15973" s="114" t="str">
        <f>IF(INDEX(I.Facility.P3IDNumber,961)="","",INDEX(I.Facility.P3IDNumber,961))</f>
        <v/>
      </c>
      <c r="G15973" s="51"/>
      <c r="H15973" s="46" t="str">
        <f>IF(AND(I.Developer.P3=TRUE,I.Facility.P3FacilityCount&gt;=961,F15973=""),"Incomplete","Complete")</f>
        <v>Complete</v>
      </c>
      <c r="I15973" s="48" t="s">
        <v>20338</v>
      </c>
    </row>
    <row r="15974" spans="2:9" ht="15" customHeight="1" x14ac:dyDescent="0.25">
      <c r="B15974" s="55" t="s">
        <v>282</v>
      </c>
      <c r="C15974" s="46">
        <v>962</v>
      </c>
      <c r="D15974" s="69" t="s">
        <v>29419</v>
      </c>
      <c r="E15974" s="51"/>
      <c r="F15974" s="114" t="str">
        <f>IF(INDEX(I.Facility.P3IDNumber,962)="","",INDEX(I.Facility.P3IDNumber,962))</f>
        <v/>
      </c>
      <c r="G15974" s="51"/>
      <c r="H15974" s="46" t="str">
        <f>IF(AND(I.Developer.P3=TRUE,I.Facility.P3FacilityCount&gt;=962,F15974=""),"Incomplete","Complete")</f>
        <v>Complete</v>
      </c>
      <c r="I15974" s="48" t="s">
        <v>20339</v>
      </c>
    </row>
    <row r="15975" spans="2:9" ht="15" customHeight="1" x14ac:dyDescent="0.25">
      <c r="B15975" s="55" t="s">
        <v>282</v>
      </c>
      <c r="C15975" s="46">
        <v>963</v>
      </c>
      <c r="D15975" s="69" t="s">
        <v>29419</v>
      </c>
      <c r="E15975" s="51"/>
      <c r="F15975" s="114" t="str">
        <f>IF(INDEX(I.Facility.P3IDNumber,963)="","",INDEX(I.Facility.P3IDNumber,963))</f>
        <v/>
      </c>
      <c r="G15975" s="51"/>
      <c r="H15975" s="46" t="str">
        <f>IF(AND(I.Developer.P3=TRUE,I.Facility.P3FacilityCount&gt;=963,F15975=""),"Incomplete","Complete")</f>
        <v>Complete</v>
      </c>
      <c r="I15975" s="48" t="s">
        <v>20340</v>
      </c>
    </row>
    <row r="15976" spans="2:9" ht="15" customHeight="1" x14ac:dyDescent="0.25">
      <c r="B15976" s="55" t="s">
        <v>282</v>
      </c>
      <c r="C15976" s="46">
        <v>964</v>
      </c>
      <c r="D15976" s="69" t="s">
        <v>29419</v>
      </c>
      <c r="E15976" s="51"/>
      <c r="F15976" s="114" t="str">
        <f>IF(INDEX(I.Facility.P3IDNumber,964)="","",INDEX(I.Facility.P3IDNumber,964))</f>
        <v/>
      </c>
      <c r="G15976" s="51"/>
      <c r="H15976" s="46" t="str">
        <f>IF(AND(I.Developer.P3=TRUE,I.Facility.P3FacilityCount&gt;=964,F15976=""),"Incomplete","Complete")</f>
        <v>Complete</v>
      </c>
      <c r="I15976" s="48" t="s">
        <v>20341</v>
      </c>
    </row>
    <row r="15977" spans="2:9" ht="15" customHeight="1" x14ac:dyDescent="0.25">
      <c r="B15977" s="55" t="s">
        <v>282</v>
      </c>
      <c r="C15977" s="46">
        <v>965</v>
      </c>
      <c r="D15977" s="69" t="s">
        <v>29419</v>
      </c>
      <c r="E15977" s="51"/>
      <c r="F15977" s="114" t="str">
        <f>IF(INDEX(I.Facility.P3IDNumber,965)="","",INDEX(I.Facility.P3IDNumber,965))</f>
        <v/>
      </c>
      <c r="G15977" s="51"/>
      <c r="H15977" s="46" t="str">
        <f>IF(AND(I.Developer.P3=TRUE,I.Facility.P3FacilityCount&gt;=965,F15977=""),"Incomplete","Complete")</f>
        <v>Complete</v>
      </c>
      <c r="I15977" s="48" t="s">
        <v>20342</v>
      </c>
    </row>
    <row r="15978" spans="2:9" ht="15" customHeight="1" x14ac:dyDescent="0.25">
      <c r="B15978" s="55" t="s">
        <v>282</v>
      </c>
      <c r="C15978" s="46">
        <v>966</v>
      </c>
      <c r="D15978" s="69" t="s">
        <v>29419</v>
      </c>
      <c r="E15978" s="51"/>
      <c r="F15978" s="114" t="str">
        <f>IF(INDEX(I.Facility.P3IDNumber,966)="","",INDEX(I.Facility.P3IDNumber,966))</f>
        <v/>
      </c>
      <c r="G15978" s="51"/>
      <c r="H15978" s="46" t="str">
        <f>IF(AND(I.Developer.P3=TRUE,I.Facility.P3FacilityCount&gt;=966,F15978=""),"Incomplete","Complete")</f>
        <v>Complete</v>
      </c>
      <c r="I15978" s="48" t="s">
        <v>20343</v>
      </c>
    </row>
    <row r="15979" spans="2:9" ht="15" customHeight="1" x14ac:dyDescent="0.25">
      <c r="B15979" s="55" t="s">
        <v>282</v>
      </c>
      <c r="C15979" s="46">
        <v>967</v>
      </c>
      <c r="D15979" s="69" t="s">
        <v>29419</v>
      </c>
      <c r="E15979" s="51"/>
      <c r="F15979" s="114" t="str">
        <f>IF(INDEX(I.Facility.P3IDNumber,967)="","",INDEX(I.Facility.P3IDNumber,967))</f>
        <v/>
      </c>
      <c r="G15979" s="51"/>
      <c r="H15979" s="46" t="str">
        <f>IF(AND(I.Developer.P3=TRUE,I.Facility.P3FacilityCount&gt;=967,F15979=""),"Incomplete","Complete")</f>
        <v>Complete</v>
      </c>
      <c r="I15979" s="48" t="s">
        <v>20344</v>
      </c>
    </row>
    <row r="15980" spans="2:9" ht="15" customHeight="1" x14ac:dyDescent="0.25">
      <c r="B15980" s="55" t="s">
        <v>282</v>
      </c>
      <c r="C15980" s="46">
        <v>968</v>
      </c>
      <c r="D15980" s="69" t="s">
        <v>29419</v>
      </c>
      <c r="E15980" s="51"/>
      <c r="F15980" s="114" t="str">
        <f>IF(INDEX(I.Facility.P3IDNumber,968)="","",INDEX(I.Facility.P3IDNumber,968))</f>
        <v/>
      </c>
      <c r="G15980" s="51"/>
      <c r="H15980" s="46" t="str">
        <f>IF(AND(I.Developer.P3=TRUE,I.Facility.P3FacilityCount&gt;=968,F15980=""),"Incomplete","Complete")</f>
        <v>Complete</v>
      </c>
      <c r="I15980" s="48" t="s">
        <v>20345</v>
      </c>
    </row>
    <row r="15981" spans="2:9" ht="15" customHeight="1" x14ac:dyDescent="0.25">
      <c r="B15981" s="55" t="s">
        <v>282</v>
      </c>
      <c r="C15981" s="46">
        <v>969</v>
      </c>
      <c r="D15981" s="69" t="s">
        <v>29419</v>
      </c>
      <c r="E15981" s="51"/>
      <c r="F15981" s="114" t="str">
        <f>IF(INDEX(I.Facility.P3IDNumber,969)="","",INDEX(I.Facility.P3IDNumber,969))</f>
        <v/>
      </c>
      <c r="G15981" s="51"/>
      <c r="H15981" s="46" t="str">
        <f>IF(AND(I.Developer.P3=TRUE,I.Facility.P3FacilityCount&gt;=969,F15981=""),"Incomplete","Complete")</f>
        <v>Complete</v>
      </c>
      <c r="I15981" s="48" t="s">
        <v>20346</v>
      </c>
    </row>
    <row r="15982" spans="2:9" ht="15" customHeight="1" x14ac:dyDescent="0.25">
      <c r="B15982" s="55" t="s">
        <v>282</v>
      </c>
      <c r="C15982" s="46">
        <v>970</v>
      </c>
      <c r="D15982" s="69" t="s">
        <v>29419</v>
      </c>
      <c r="E15982" s="51"/>
      <c r="F15982" s="114" t="str">
        <f>IF(INDEX(I.Facility.P3IDNumber,970)="","",INDEX(I.Facility.P3IDNumber,970))</f>
        <v/>
      </c>
      <c r="G15982" s="51"/>
      <c r="H15982" s="46" t="str">
        <f>IF(AND(I.Developer.P3=TRUE,I.Facility.P3FacilityCount&gt;=970,F15982=""),"Incomplete","Complete")</f>
        <v>Complete</v>
      </c>
      <c r="I15982" s="48" t="s">
        <v>20347</v>
      </c>
    </row>
    <row r="15983" spans="2:9" ht="15" customHeight="1" x14ac:dyDescent="0.25">
      <c r="B15983" s="55" t="s">
        <v>282</v>
      </c>
      <c r="C15983" s="46">
        <v>971</v>
      </c>
      <c r="D15983" s="69" t="s">
        <v>29419</v>
      </c>
      <c r="E15983" s="51"/>
      <c r="F15983" s="114" t="str">
        <f>IF(INDEX(I.Facility.P3IDNumber,971)="","",INDEX(I.Facility.P3IDNumber,971))</f>
        <v/>
      </c>
      <c r="G15983" s="51"/>
      <c r="H15983" s="46" t="str">
        <f>IF(AND(I.Developer.P3=TRUE,I.Facility.P3FacilityCount&gt;=971,F15983=""),"Incomplete","Complete")</f>
        <v>Complete</v>
      </c>
      <c r="I15983" s="48" t="s">
        <v>20348</v>
      </c>
    </row>
    <row r="15984" spans="2:9" ht="15" customHeight="1" x14ac:dyDescent="0.25">
      <c r="B15984" s="55" t="s">
        <v>282</v>
      </c>
      <c r="C15984" s="46">
        <v>972</v>
      </c>
      <c r="D15984" s="69" t="s">
        <v>29419</v>
      </c>
      <c r="E15984" s="51"/>
      <c r="F15984" s="114" t="str">
        <f>IF(INDEX(I.Facility.P3IDNumber,972)="","",INDEX(I.Facility.P3IDNumber,972))</f>
        <v/>
      </c>
      <c r="G15984" s="51"/>
      <c r="H15984" s="46" t="str">
        <f>IF(AND(I.Developer.P3=TRUE,I.Facility.P3FacilityCount&gt;=972,F15984=""),"Incomplete","Complete")</f>
        <v>Complete</v>
      </c>
      <c r="I15984" s="48" t="s">
        <v>20349</v>
      </c>
    </row>
    <row r="15985" spans="2:9" ht="15" customHeight="1" x14ac:dyDescent="0.25">
      <c r="B15985" s="55" t="s">
        <v>282</v>
      </c>
      <c r="C15985" s="46">
        <v>973</v>
      </c>
      <c r="D15985" s="69" t="s">
        <v>29419</v>
      </c>
      <c r="E15985" s="51"/>
      <c r="F15985" s="114" t="str">
        <f>IF(INDEX(I.Facility.P3IDNumber,973)="","",INDEX(I.Facility.P3IDNumber,973))</f>
        <v/>
      </c>
      <c r="G15985" s="51"/>
      <c r="H15985" s="46" t="str">
        <f>IF(AND(I.Developer.P3=TRUE,I.Facility.P3FacilityCount&gt;=973,F15985=""),"Incomplete","Complete")</f>
        <v>Complete</v>
      </c>
      <c r="I15985" s="48" t="s">
        <v>20350</v>
      </c>
    </row>
    <row r="15986" spans="2:9" ht="15" customHeight="1" x14ac:dyDescent="0.25">
      <c r="B15986" s="55" t="s">
        <v>282</v>
      </c>
      <c r="C15986" s="46">
        <v>974</v>
      </c>
      <c r="D15986" s="69" t="s">
        <v>29419</v>
      </c>
      <c r="E15986" s="51"/>
      <c r="F15986" s="114" t="str">
        <f>IF(INDEX(I.Facility.P3IDNumber,974)="","",INDEX(I.Facility.P3IDNumber,974))</f>
        <v/>
      </c>
      <c r="G15986" s="51"/>
      <c r="H15986" s="46" t="str">
        <f>IF(AND(I.Developer.P3=TRUE,I.Facility.P3FacilityCount&gt;=974,F15986=""),"Incomplete","Complete")</f>
        <v>Complete</v>
      </c>
      <c r="I15986" s="48" t="s">
        <v>20351</v>
      </c>
    </row>
    <row r="15987" spans="2:9" ht="15" customHeight="1" x14ac:dyDescent="0.25">
      <c r="B15987" s="55" t="s">
        <v>282</v>
      </c>
      <c r="C15987" s="46">
        <v>975</v>
      </c>
      <c r="D15987" s="69" t="s">
        <v>29419</v>
      </c>
      <c r="E15987" s="51"/>
      <c r="F15987" s="114" t="str">
        <f>IF(INDEX(I.Facility.P3IDNumber,975)="","",INDEX(I.Facility.P3IDNumber,975))</f>
        <v/>
      </c>
      <c r="G15987" s="51"/>
      <c r="H15987" s="46" t="str">
        <f>IF(AND(I.Developer.P3=TRUE,I.Facility.P3FacilityCount&gt;=975,F15987=""),"Incomplete","Complete")</f>
        <v>Complete</v>
      </c>
      <c r="I15987" s="48" t="s">
        <v>20352</v>
      </c>
    </row>
    <row r="15988" spans="2:9" ht="15" customHeight="1" x14ac:dyDescent="0.25">
      <c r="B15988" s="55" t="s">
        <v>282</v>
      </c>
      <c r="C15988" s="46">
        <v>976</v>
      </c>
      <c r="D15988" s="69" t="s">
        <v>29419</v>
      </c>
      <c r="E15988" s="51"/>
      <c r="F15988" s="114" t="str">
        <f>IF(INDEX(I.Facility.P3IDNumber,976)="","",INDEX(I.Facility.P3IDNumber,976))</f>
        <v/>
      </c>
      <c r="G15988" s="51"/>
      <c r="H15988" s="46" t="str">
        <f>IF(AND(I.Developer.P3=TRUE,I.Facility.P3FacilityCount&gt;=976,F15988=""),"Incomplete","Complete")</f>
        <v>Complete</v>
      </c>
      <c r="I15988" s="48" t="s">
        <v>20353</v>
      </c>
    </row>
    <row r="15989" spans="2:9" ht="15" customHeight="1" x14ac:dyDescent="0.25">
      <c r="B15989" s="55" t="s">
        <v>282</v>
      </c>
      <c r="C15989" s="46">
        <v>977</v>
      </c>
      <c r="D15989" s="69" t="s">
        <v>29419</v>
      </c>
      <c r="E15989" s="51"/>
      <c r="F15989" s="114" t="str">
        <f>IF(INDEX(I.Facility.P3IDNumber,977)="","",INDEX(I.Facility.P3IDNumber,977))</f>
        <v/>
      </c>
      <c r="G15989" s="51"/>
      <c r="H15989" s="46" t="str">
        <f>IF(AND(I.Developer.P3=TRUE,I.Facility.P3FacilityCount&gt;=977,F15989=""),"Incomplete","Complete")</f>
        <v>Complete</v>
      </c>
      <c r="I15989" s="48" t="s">
        <v>20354</v>
      </c>
    </row>
    <row r="15990" spans="2:9" ht="15" customHeight="1" x14ac:dyDescent="0.25">
      <c r="B15990" s="55" t="s">
        <v>282</v>
      </c>
      <c r="C15990" s="46">
        <v>978</v>
      </c>
      <c r="D15990" s="69" t="s">
        <v>29419</v>
      </c>
      <c r="E15990" s="51"/>
      <c r="F15990" s="114" t="str">
        <f>IF(INDEX(I.Facility.P3IDNumber,978)="","",INDEX(I.Facility.P3IDNumber,978))</f>
        <v/>
      </c>
      <c r="G15990" s="51"/>
      <c r="H15990" s="46" t="str">
        <f>IF(AND(I.Developer.P3=TRUE,I.Facility.P3FacilityCount&gt;=978,F15990=""),"Incomplete","Complete")</f>
        <v>Complete</v>
      </c>
      <c r="I15990" s="48" t="s">
        <v>20355</v>
      </c>
    </row>
    <row r="15991" spans="2:9" ht="15" customHeight="1" x14ac:dyDescent="0.25">
      <c r="B15991" s="55" t="s">
        <v>282</v>
      </c>
      <c r="C15991" s="46">
        <v>979</v>
      </c>
      <c r="D15991" s="69" t="s">
        <v>29419</v>
      </c>
      <c r="E15991" s="51"/>
      <c r="F15991" s="114" t="str">
        <f>IF(INDEX(I.Facility.P3IDNumber,979)="","",INDEX(I.Facility.P3IDNumber,979))</f>
        <v/>
      </c>
      <c r="G15991" s="51"/>
      <c r="H15991" s="46" t="str">
        <f>IF(AND(I.Developer.P3=TRUE,I.Facility.P3FacilityCount&gt;=979,F15991=""),"Incomplete","Complete")</f>
        <v>Complete</v>
      </c>
      <c r="I15991" s="48" t="s">
        <v>20356</v>
      </c>
    </row>
    <row r="15992" spans="2:9" ht="15" customHeight="1" x14ac:dyDescent="0.25">
      <c r="B15992" s="55" t="s">
        <v>282</v>
      </c>
      <c r="C15992" s="46">
        <v>980</v>
      </c>
      <c r="D15992" s="69" t="s">
        <v>29419</v>
      </c>
      <c r="E15992" s="51"/>
      <c r="F15992" s="114" t="str">
        <f>IF(INDEX(I.Facility.P3IDNumber,980)="","",INDEX(I.Facility.P3IDNumber,980))</f>
        <v/>
      </c>
      <c r="G15992" s="51"/>
      <c r="H15992" s="46" t="str">
        <f>IF(AND(I.Developer.P3=TRUE,I.Facility.P3FacilityCount&gt;=980,F15992=""),"Incomplete","Complete")</f>
        <v>Complete</v>
      </c>
      <c r="I15992" s="48" t="s">
        <v>20357</v>
      </c>
    </row>
    <row r="15993" spans="2:9" ht="15" customHeight="1" x14ac:dyDescent="0.25">
      <c r="B15993" s="55" t="s">
        <v>282</v>
      </c>
      <c r="C15993" s="46">
        <v>981</v>
      </c>
      <c r="D15993" s="69" t="s">
        <v>29419</v>
      </c>
      <c r="E15993" s="51"/>
      <c r="F15993" s="114" t="str">
        <f>IF(INDEX(I.Facility.P3IDNumber,981)="","",INDEX(I.Facility.P3IDNumber,981))</f>
        <v/>
      </c>
      <c r="G15993" s="51"/>
      <c r="H15993" s="46" t="str">
        <f>IF(AND(I.Developer.P3=TRUE,I.Facility.P3FacilityCount&gt;=981,F15993=""),"Incomplete","Complete")</f>
        <v>Complete</v>
      </c>
      <c r="I15993" s="48" t="s">
        <v>20358</v>
      </c>
    </row>
    <row r="15994" spans="2:9" ht="15" customHeight="1" x14ac:dyDescent="0.25">
      <c r="B15994" s="55" t="s">
        <v>282</v>
      </c>
      <c r="C15994" s="46">
        <v>982</v>
      </c>
      <c r="D15994" s="69" t="s">
        <v>29419</v>
      </c>
      <c r="E15994" s="51"/>
      <c r="F15994" s="114" t="str">
        <f>IF(INDEX(I.Facility.P3IDNumber,982)="","",INDEX(I.Facility.P3IDNumber,982))</f>
        <v/>
      </c>
      <c r="G15994" s="51"/>
      <c r="H15994" s="46" t="str">
        <f>IF(AND(I.Developer.P3=TRUE,I.Facility.P3FacilityCount&gt;=982,F15994=""),"Incomplete","Complete")</f>
        <v>Complete</v>
      </c>
      <c r="I15994" s="48" t="s">
        <v>20359</v>
      </c>
    </row>
    <row r="15995" spans="2:9" ht="15" customHeight="1" x14ac:dyDescent="0.25">
      <c r="B15995" s="55" t="s">
        <v>282</v>
      </c>
      <c r="C15995" s="46">
        <v>983</v>
      </c>
      <c r="D15995" s="69" t="s">
        <v>29419</v>
      </c>
      <c r="E15995" s="51"/>
      <c r="F15995" s="114" t="str">
        <f>IF(INDEX(I.Facility.P3IDNumber,983)="","",INDEX(I.Facility.P3IDNumber,983))</f>
        <v/>
      </c>
      <c r="G15995" s="51"/>
      <c r="H15995" s="46" t="str">
        <f>IF(AND(I.Developer.P3=TRUE,I.Facility.P3FacilityCount&gt;=983,F15995=""),"Incomplete","Complete")</f>
        <v>Complete</v>
      </c>
      <c r="I15995" s="48" t="s">
        <v>20360</v>
      </c>
    </row>
    <row r="15996" spans="2:9" ht="15" customHeight="1" x14ac:dyDescent="0.25">
      <c r="B15996" s="55" t="s">
        <v>282</v>
      </c>
      <c r="C15996" s="46">
        <v>984</v>
      </c>
      <c r="D15996" s="69" t="s">
        <v>29419</v>
      </c>
      <c r="E15996" s="51"/>
      <c r="F15996" s="114" t="str">
        <f>IF(INDEX(I.Facility.P3IDNumber,984)="","",INDEX(I.Facility.P3IDNumber,984))</f>
        <v/>
      </c>
      <c r="G15996" s="51"/>
      <c r="H15996" s="46" t="str">
        <f>IF(AND(I.Developer.P3=TRUE,I.Facility.P3FacilityCount&gt;=984,F15996=""),"Incomplete","Complete")</f>
        <v>Complete</v>
      </c>
      <c r="I15996" s="48" t="s">
        <v>20361</v>
      </c>
    </row>
    <row r="15997" spans="2:9" ht="15" customHeight="1" x14ac:dyDescent="0.25">
      <c r="B15997" s="55" t="s">
        <v>282</v>
      </c>
      <c r="C15997" s="46">
        <v>985</v>
      </c>
      <c r="D15997" s="69" t="s">
        <v>29419</v>
      </c>
      <c r="E15997" s="51"/>
      <c r="F15997" s="114" t="str">
        <f>IF(INDEX(I.Facility.P3IDNumber,985)="","",INDEX(I.Facility.P3IDNumber,985))</f>
        <v/>
      </c>
      <c r="G15997" s="51"/>
      <c r="H15997" s="46" t="str">
        <f>IF(AND(I.Developer.P3=TRUE,I.Facility.P3FacilityCount&gt;=985,F15997=""),"Incomplete","Complete")</f>
        <v>Complete</v>
      </c>
      <c r="I15997" s="48" t="s">
        <v>20362</v>
      </c>
    </row>
    <row r="15998" spans="2:9" ht="15" customHeight="1" x14ac:dyDescent="0.25">
      <c r="B15998" s="55" t="s">
        <v>282</v>
      </c>
      <c r="C15998" s="46">
        <v>986</v>
      </c>
      <c r="D15998" s="69" t="s">
        <v>29419</v>
      </c>
      <c r="E15998" s="51"/>
      <c r="F15998" s="114" t="str">
        <f>IF(INDEX(I.Facility.P3IDNumber,986)="","",INDEX(I.Facility.P3IDNumber,986))</f>
        <v/>
      </c>
      <c r="G15998" s="51"/>
      <c r="H15998" s="46" t="str">
        <f>IF(AND(I.Developer.P3=TRUE,I.Facility.P3FacilityCount&gt;=986,F15998=""),"Incomplete","Complete")</f>
        <v>Complete</v>
      </c>
      <c r="I15998" s="48" t="s">
        <v>20363</v>
      </c>
    </row>
    <row r="15999" spans="2:9" ht="15" customHeight="1" x14ac:dyDescent="0.25">
      <c r="B15999" s="55" t="s">
        <v>282</v>
      </c>
      <c r="C15999" s="46">
        <v>987</v>
      </c>
      <c r="D15999" s="69" t="s">
        <v>29419</v>
      </c>
      <c r="E15999" s="51"/>
      <c r="F15999" s="114" t="str">
        <f>IF(INDEX(I.Facility.P3IDNumber,987)="","",INDEX(I.Facility.P3IDNumber,987))</f>
        <v/>
      </c>
      <c r="G15999" s="51"/>
      <c r="H15999" s="46" t="str">
        <f>IF(AND(I.Developer.P3=TRUE,I.Facility.P3FacilityCount&gt;=987,F15999=""),"Incomplete","Complete")</f>
        <v>Complete</v>
      </c>
      <c r="I15999" s="48" t="s">
        <v>20364</v>
      </c>
    </row>
    <row r="16000" spans="2:9" ht="15" customHeight="1" x14ac:dyDescent="0.25">
      <c r="B16000" s="55" t="s">
        <v>282</v>
      </c>
      <c r="C16000" s="46">
        <v>988</v>
      </c>
      <c r="D16000" s="69" t="s">
        <v>29419</v>
      </c>
      <c r="E16000" s="51"/>
      <c r="F16000" s="114" t="str">
        <f>IF(INDEX(I.Facility.P3IDNumber,988)="","",INDEX(I.Facility.P3IDNumber,988))</f>
        <v/>
      </c>
      <c r="G16000" s="51"/>
      <c r="H16000" s="46" t="str">
        <f>IF(AND(I.Developer.P3=TRUE,I.Facility.P3FacilityCount&gt;=988,F16000=""),"Incomplete","Complete")</f>
        <v>Complete</v>
      </c>
      <c r="I16000" s="48" t="s">
        <v>20365</v>
      </c>
    </row>
    <row r="16001" spans="2:9" ht="15" customHeight="1" x14ac:dyDescent="0.25">
      <c r="B16001" s="55" t="s">
        <v>282</v>
      </c>
      <c r="C16001" s="46">
        <v>989</v>
      </c>
      <c r="D16001" s="69" t="s">
        <v>29419</v>
      </c>
      <c r="E16001" s="51"/>
      <c r="F16001" s="114" t="str">
        <f>IF(INDEX(I.Facility.P3IDNumber,989)="","",INDEX(I.Facility.P3IDNumber,989))</f>
        <v/>
      </c>
      <c r="G16001" s="51"/>
      <c r="H16001" s="46" t="str">
        <f>IF(AND(I.Developer.P3=TRUE,I.Facility.P3FacilityCount&gt;=989,F16001=""),"Incomplete","Complete")</f>
        <v>Complete</v>
      </c>
      <c r="I16001" s="48" t="s">
        <v>20366</v>
      </c>
    </row>
    <row r="16002" spans="2:9" ht="15" customHeight="1" x14ac:dyDescent="0.25">
      <c r="B16002" s="55" t="s">
        <v>282</v>
      </c>
      <c r="C16002" s="46">
        <v>990</v>
      </c>
      <c r="D16002" s="69" t="s">
        <v>29419</v>
      </c>
      <c r="E16002" s="51"/>
      <c r="F16002" s="114" t="str">
        <f>IF(INDEX(I.Facility.P3IDNumber,990)="","",INDEX(I.Facility.P3IDNumber,990))</f>
        <v/>
      </c>
      <c r="G16002" s="51"/>
      <c r="H16002" s="46" t="str">
        <f>IF(AND(I.Developer.P3=TRUE,I.Facility.P3FacilityCount&gt;=990,F16002=""),"Incomplete","Complete")</f>
        <v>Complete</v>
      </c>
      <c r="I16002" s="48" t="s">
        <v>20367</v>
      </c>
    </row>
    <row r="16003" spans="2:9" ht="15" customHeight="1" x14ac:dyDescent="0.25">
      <c r="B16003" s="55" t="s">
        <v>282</v>
      </c>
      <c r="C16003" s="46">
        <v>991</v>
      </c>
      <c r="D16003" s="69" t="s">
        <v>29419</v>
      </c>
      <c r="E16003" s="51"/>
      <c r="F16003" s="114" t="str">
        <f>IF(INDEX(I.Facility.P3IDNumber,991)="","",INDEX(I.Facility.P3IDNumber,991))</f>
        <v/>
      </c>
      <c r="G16003" s="51"/>
      <c r="H16003" s="46" t="str">
        <f>IF(AND(I.Developer.P3=TRUE,I.Facility.P3FacilityCount&gt;=991,F16003=""),"Incomplete","Complete")</f>
        <v>Complete</v>
      </c>
      <c r="I16003" s="48" t="s">
        <v>20368</v>
      </c>
    </row>
    <row r="16004" spans="2:9" ht="15" customHeight="1" x14ac:dyDescent="0.25">
      <c r="B16004" s="55" t="s">
        <v>282</v>
      </c>
      <c r="C16004" s="46">
        <v>992</v>
      </c>
      <c r="D16004" s="69" t="s">
        <v>29419</v>
      </c>
      <c r="E16004" s="51"/>
      <c r="F16004" s="114" t="str">
        <f>IF(INDEX(I.Facility.P3IDNumber,992)="","",INDEX(I.Facility.P3IDNumber,992))</f>
        <v/>
      </c>
      <c r="G16004" s="51"/>
      <c r="H16004" s="46" t="str">
        <f>IF(AND(I.Developer.P3=TRUE,I.Facility.P3FacilityCount&gt;=992,F16004=""),"Incomplete","Complete")</f>
        <v>Complete</v>
      </c>
      <c r="I16004" s="48" t="s">
        <v>20369</v>
      </c>
    </row>
    <row r="16005" spans="2:9" ht="15" customHeight="1" x14ac:dyDescent="0.25">
      <c r="B16005" s="55" t="s">
        <v>282</v>
      </c>
      <c r="C16005" s="46">
        <v>993</v>
      </c>
      <c r="D16005" s="69" t="s">
        <v>29419</v>
      </c>
      <c r="E16005" s="51"/>
      <c r="F16005" s="114" t="str">
        <f>IF(INDEX(I.Facility.P3IDNumber,993)="","",INDEX(I.Facility.P3IDNumber,993))</f>
        <v/>
      </c>
      <c r="G16005" s="51"/>
      <c r="H16005" s="46" t="str">
        <f>IF(AND(I.Developer.P3=TRUE,I.Facility.P3FacilityCount&gt;=993,F16005=""),"Incomplete","Complete")</f>
        <v>Complete</v>
      </c>
      <c r="I16005" s="48" t="s">
        <v>20370</v>
      </c>
    </row>
    <row r="16006" spans="2:9" ht="15" customHeight="1" x14ac:dyDescent="0.25">
      <c r="B16006" s="55" t="s">
        <v>282</v>
      </c>
      <c r="C16006" s="46">
        <v>994</v>
      </c>
      <c r="D16006" s="69" t="s">
        <v>29419</v>
      </c>
      <c r="E16006" s="51"/>
      <c r="F16006" s="114" t="str">
        <f>IF(INDEX(I.Facility.P3IDNumber,994)="","",INDEX(I.Facility.P3IDNumber,994))</f>
        <v/>
      </c>
      <c r="G16006" s="51"/>
      <c r="H16006" s="46" t="str">
        <f>IF(AND(I.Developer.P3=TRUE,I.Facility.P3FacilityCount&gt;=994,F16006=""),"Incomplete","Complete")</f>
        <v>Complete</v>
      </c>
      <c r="I16006" s="48" t="s">
        <v>20371</v>
      </c>
    </row>
    <row r="16007" spans="2:9" ht="15" customHeight="1" x14ac:dyDescent="0.25">
      <c r="B16007" s="55" t="s">
        <v>282</v>
      </c>
      <c r="C16007" s="46">
        <v>995</v>
      </c>
      <c r="D16007" s="69" t="s">
        <v>29419</v>
      </c>
      <c r="E16007" s="51"/>
      <c r="F16007" s="114" t="str">
        <f>IF(INDEX(I.Facility.P3IDNumber,995)="","",INDEX(I.Facility.P3IDNumber,995))</f>
        <v/>
      </c>
      <c r="G16007" s="51"/>
      <c r="H16007" s="46" t="str">
        <f>IF(AND(I.Developer.P3=TRUE,I.Facility.P3FacilityCount&gt;=995,F16007=""),"Incomplete","Complete")</f>
        <v>Complete</v>
      </c>
      <c r="I16007" s="48" t="s">
        <v>20372</v>
      </c>
    </row>
    <row r="16008" spans="2:9" ht="15" customHeight="1" x14ac:dyDescent="0.25">
      <c r="B16008" s="55" t="s">
        <v>282</v>
      </c>
      <c r="C16008" s="46">
        <v>996</v>
      </c>
      <c r="D16008" s="69" t="s">
        <v>29419</v>
      </c>
      <c r="E16008" s="51"/>
      <c r="F16008" s="114" t="str">
        <f>IF(INDEX(I.Facility.P3IDNumber,996)="","",INDEX(I.Facility.P3IDNumber,996))</f>
        <v/>
      </c>
      <c r="G16008" s="51"/>
      <c r="H16008" s="46" t="str">
        <f>IF(AND(I.Developer.P3=TRUE,I.Facility.P3FacilityCount&gt;=996,F16008=""),"Incomplete","Complete")</f>
        <v>Complete</v>
      </c>
      <c r="I16008" s="48" t="s">
        <v>20373</v>
      </c>
    </row>
    <row r="16009" spans="2:9" ht="15" customHeight="1" x14ac:dyDescent="0.25">
      <c r="B16009" s="55" t="s">
        <v>282</v>
      </c>
      <c r="C16009" s="46">
        <v>997</v>
      </c>
      <c r="D16009" s="69" t="s">
        <v>29419</v>
      </c>
      <c r="E16009" s="51"/>
      <c r="F16009" s="114" t="str">
        <f>IF(INDEX(I.Facility.P3IDNumber,997)="","",INDEX(I.Facility.P3IDNumber,997))</f>
        <v/>
      </c>
      <c r="G16009" s="51"/>
      <c r="H16009" s="46" t="str">
        <f>IF(AND(I.Developer.P3=TRUE,I.Facility.P3FacilityCount&gt;=997,F16009=""),"Incomplete","Complete")</f>
        <v>Complete</v>
      </c>
      <c r="I16009" s="48" t="s">
        <v>20374</v>
      </c>
    </row>
    <row r="16010" spans="2:9" ht="15" customHeight="1" x14ac:dyDescent="0.25">
      <c r="B16010" s="55" t="s">
        <v>282</v>
      </c>
      <c r="C16010" s="46">
        <v>998</v>
      </c>
      <c r="D16010" s="69" t="s">
        <v>29419</v>
      </c>
      <c r="E16010" s="51"/>
      <c r="F16010" s="114" t="str">
        <f>IF(INDEX(I.Facility.P3IDNumber,998)="","",INDEX(I.Facility.P3IDNumber,998))</f>
        <v/>
      </c>
      <c r="G16010" s="51"/>
      <c r="H16010" s="46" t="str">
        <f>IF(AND(I.Developer.P3=TRUE,I.Facility.P3FacilityCount&gt;=998,F16010=""),"Incomplete","Complete")</f>
        <v>Complete</v>
      </c>
      <c r="I16010" s="48" t="s">
        <v>20375</v>
      </c>
    </row>
    <row r="16011" spans="2:9" ht="15" customHeight="1" x14ac:dyDescent="0.25">
      <c r="B16011" s="55" t="s">
        <v>282</v>
      </c>
      <c r="C16011" s="46">
        <v>999</v>
      </c>
      <c r="D16011" s="69" t="s">
        <v>29419</v>
      </c>
      <c r="E16011" s="51"/>
      <c r="F16011" s="114" t="str">
        <f>IF(INDEX(I.Facility.P3IDNumber,999)="","",INDEX(I.Facility.P3IDNumber,999))</f>
        <v/>
      </c>
      <c r="G16011" s="51"/>
      <c r="H16011" s="46" t="str">
        <f>IF(AND(I.Developer.P3=TRUE,I.Facility.P3FacilityCount&gt;=999,F16011=""),"Incomplete","Complete")</f>
        <v>Complete</v>
      </c>
      <c r="I16011" s="48" t="s">
        <v>20376</v>
      </c>
    </row>
    <row r="16012" spans="2:9" ht="15" customHeight="1" x14ac:dyDescent="0.25">
      <c r="B16012" s="55" t="s">
        <v>282</v>
      </c>
      <c r="C16012" s="46">
        <v>1000</v>
      </c>
      <c r="D16012" s="69" t="s">
        <v>29419</v>
      </c>
      <c r="E16012" s="51"/>
      <c r="F16012" s="114" t="str">
        <f>IF(INDEX(I.Facility.P3IDNumber,1000)="","",INDEX(I.Facility.P3IDNumber,1000))</f>
        <v/>
      </c>
      <c r="G16012" s="51"/>
      <c r="H16012" s="46" t="str">
        <f>IF(AND(I.Developer.P3=TRUE,I.Facility.P3FacilityCount&gt;=1000,F16012=""),"Incomplete","Complete")</f>
        <v>Complete</v>
      </c>
      <c r="I16012" s="48" t="s">
        <v>20377</v>
      </c>
    </row>
    <row r="16013" spans="2:9" ht="15" customHeight="1" x14ac:dyDescent="0.25">
      <c r="B16013" s="55" t="s">
        <v>282</v>
      </c>
      <c r="C16013" s="46">
        <v>1001</v>
      </c>
      <c r="D16013" s="69" t="s">
        <v>29419</v>
      </c>
      <c r="E16013" s="51"/>
      <c r="F16013" s="114" t="str">
        <f>IF(INDEX(I.Facility.P3IDNumber,1001)="","",INDEX(I.Facility.P3IDNumber,1001))</f>
        <v/>
      </c>
      <c r="G16013" s="51"/>
      <c r="H16013" s="46" t="str">
        <f>IF(AND(I.Developer.P3=TRUE,I.Facility.P3FacilityCount&gt;=1001,F16013=""),"Incomplete","Complete")</f>
        <v>Complete</v>
      </c>
      <c r="I16013" s="48" t="s">
        <v>20378</v>
      </c>
    </row>
    <row r="16014" spans="2:9" ht="15" customHeight="1" x14ac:dyDescent="0.25">
      <c r="B16014" s="55" t="s">
        <v>282</v>
      </c>
      <c r="C16014" s="46">
        <v>1002</v>
      </c>
      <c r="D16014" s="69" t="s">
        <v>29419</v>
      </c>
      <c r="E16014" s="51"/>
      <c r="F16014" s="114" t="str">
        <f>IF(INDEX(I.Facility.P3IDNumber,1002)="","",INDEX(I.Facility.P3IDNumber,1002))</f>
        <v/>
      </c>
      <c r="G16014" s="51"/>
      <c r="H16014" s="46" t="str">
        <f>IF(AND(I.Developer.P3=TRUE,I.Facility.P3FacilityCount&gt;=1002,F16014=""),"Incomplete","Complete")</f>
        <v>Complete</v>
      </c>
      <c r="I16014" s="48" t="s">
        <v>20379</v>
      </c>
    </row>
    <row r="16015" spans="2:9" ht="15" customHeight="1" x14ac:dyDescent="0.25">
      <c r="B16015" s="55" t="s">
        <v>282</v>
      </c>
      <c r="C16015" s="46">
        <v>1003</v>
      </c>
      <c r="D16015" s="69" t="s">
        <v>29419</v>
      </c>
      <c r="E16015" s="51"/>
      <c r="F16015" s="114" t="str">
        <f>IF(INDEX(I.Facility.P3IDNumber,1003)="","",INDEX(I.Facility.P3IDNumber,1003))</f>
        <v/>
      </c>
      <c r="G16015" s="51"/>
      <c r="H16015" s="46" t="str">
        <f>IF(AND(I.Developer.P3=TRUE,I.Facility.P3FacilityCount&gt;=1003,F16015=""),"Incomplete","Complete")</f>
        <v>Complete</v>
      </c>
      <c r="I16015" s="48" t="s">
        <v>20380</v>
      </c>
    </row>
    <row r="16016" spans="2:9" ht="15" customHeight="1" x14ac:dyDescent="0.25">
      <c r="B16016" s="55" t="s">
        <v>282</v>
      </c>
      <c r="C16016" s="46">
        <v>1004</v>
      </c>
      <c r="D16016" s="69" t="s">
        <v>29419</v>
      </c>
      <c r="E16016" s="51"/>
      <c r="F16016" s="114" t="str">
        <f>IF(INDEX(I.Facility.P3IDNumber,1004)="","",INDEX(I.Facility.P3IDNumber,1004))</f>
        <v/>
      </c>
      <c r="G16016" s="51"/>
      <c r="H16016" s="46" t="str">
        <f>IF(AND(I.Developer.P3=TRUE,I.Facility.P3FacilityCount&gt;=1004,F16016=""),"Incomplete","Complete")</f>
        <v>Complete</v>
      </c>
      <c r="I16016" s="48" t="s">
        <v>20381</v>
      </c>
    </row>
    <row r="16017" spans="2:9" ht="15" customHeight="1" x14ac:dyDescent="0.25">
      <c r="B16017" s="55" t="s">
        <v>282</v>
      </c>
      <c r="C16017" s="46">
        <v>1005</v>
      </c>
      <c r="D16017" s="69" t="s">
        <v>29419</v>
      </c>
      <c r="E16017" s="51"/>
      <c r="F16017" s="114" t="str">
        <f>IF(INDEX(I.Facility.P3IDNumber,1005)="","",INDEX(I.Facility.P3IDNumber,1005))</f>
        <v/>
      </c>
      <c r="G16017" s="51"/>
      <c r="H16017" s="46" t="str">
        <f>IF(AND(I.Developer.P3=TRUE,I.Facility.P3FacilityCount&gt;=1005,F16017=""),"Incomplete","Complete")</f>
        <v>Complete</v>
      </c>
      <c r="I16017" s="48" t="s">
        <v>20382</v>
      </c>
    </row>
    <row r="16018" spans="2:9" ht="15" customHeight="1" x14ac:dyDescent="0.25">
      <c r="B16018" s="55" t="s">
        <v>282</v>
      </c>
      <c r="C16018" s="46">
        <v>1006</v>
      </c>
      <c r="D16018" s="69" t="s">
        <v>29419</v>
      </c>
      <c r="E16018" s="51"/>
      <c r="F16018" s="114" t="str">
        <f>IF(INDEX(I.Facility.P3IDNumber,1006)="","",INDEX(I.Facility.P3IDNumber,1006))</f>
        <v/>
      </c>
      <c r="G16018" s="51"/>
      <c r="H16018" s="46" t="str">
        <f>IF(AND(I.Developer.P3=TRUE,I.Facility.P3FacilityCount&gt;=1006,F16018=""),"Incomplete","Complete")</f>
        <v>Complete</v>
      </c>
      <c r="I16018" s="48" t="s">
        <v>20383</v>
      </c>
    </row>
    <row r="16019" spans="2:9" ht="15" customHeight="1" x14ac:dyDescent="0.25">
      <c r="B16019" s="55" t="s">
        <v>282</v>
      </c>
      <c r="C16019" s="46">
        <v>1007</v>
      </c>
      <c r="D16019" s="69" t="s">
        <v>29419</v>
      </c>
      <c r="E16019" s="51"/>
      <c r="F16019" s="114" t="str">
        <f>IF(INDEX(I.Facility.P3IDNumber,1007)="","",INDEX(I.Facility.P3IDNumber,1007))</f>
        <v/>
      </c>
      <c r="G16019" s="51"/>
      <c r="H16019" s="46" t="str">
        <f>IF(AND(I.Developer.P3=TRUE,I.Facility.P3FacilityCount&gt;=1007,F16019=""),"Incomplete","Complete")</f>
        <v>Complete</v>
      </c>
      <c r="I16019" s="48" t="s">
        <v>20384</v>
      </c>
    </row>
    <row r="16020" spans="2:9" ht="15" customHeight="1" x14ac:dyDescent="0.25">
      <c r="B16020" s="55" t="s">
        <v>282</v>
      </c>
      <c r="C16020" s="46">
        <v>1008</v>
      </c>
      <c r="D16020" s="69" t="s">
        <v>29419</v>
      </c>
      <c r="E16020" s="51"/>
      <c r="F16020" s="114" t="str">
        <f>IF(INDEX(I.Facility.P3IDNumber,1008)="","",INDEX(I.Facility.P3IDNumber,1008))</f>
        <v/>
      </c>
      <c r="G16020" s="51"/>
      <c r="H16020" s="46" t="str">
        <f>IF(AND(I.Developer.P3=TRUE,I.Facility.P3FacilityCount&gt;=1008,F16020=""),"Incomplete","Complete")</f>
        <v>Complete</v>
      </c>
      <c r="I16020" s="48" t="s">
        <v>20385</v>
      </c>
    </row>
    <row r="16021" spans="2:9" ht="15" customHeight="1" x14ac:dyDescent="0.25">
      <c r="B16021" s="55" t="s">
        <v>282</v>
      </c>
      <c r="C16021" s="46">
        <v>1009</v>
      </c>
      <c r="D16021" s="69" t="s">
        <v>29419</v>
      </c>
      <c r="E16021" s="51"/>
      <c r="F16021" s="114" t="str">
        <f>IF(INDEX(I.Facility.P3IDNumber,1009)="","",INDEX(I.Facility.P3IDNumber,1009))</f>
        <v/>
      </c>
      <c r="G16021" s="51"/>
      <c r="H16021" s="46" t="str">
        <f>IF(AND(I.Developer.P3=TRUE,I.Facility.P3FacilityCount&gt;=1009,F16021=""),"Incomplete","Complete")</f>
        <v>Complete</v>
      </c>
      <c r="I16021" s="48" t="s">
        <v>20386</v>
      </c>
    </row>
    <row r="16022" spans="2:9" ht="15" customHeight="1" x14ac:dyDescent="0.25">
      <c r="B16022" s="55" t="s">
        <v>282</v>
      </c>
      <c r="C16022" s="46">
        <v>1010</v>
      </c>
      <c r="D16022" s="69" t="s">
        <v>29419</v>
      </c>
      <c r="E16022" s="51"/>
      <c r="F16022" s="114" t="str">
        <f>IF(INDEX(I.Facility.P3IDNumber,1010)="","",INDEX(I.Facility.P3IDNumber,1010))</f>
        <v/>
      </c>
      <c r="G16022" s="51"/>
      <c r="H16022" s="46" t="str">
        <f>IF(AND(I.Developer.P3=TRUE,I.Facility.P3FacilityCount&gt;=1010,F16022=""),"Incomplete","Complete")</f>
        <v>Complete</v>
      </c>
      <c r="I16022" s="48" t="s">
        <v>20387</v>
      </c>
    </row>
    <row r="16023" spans="2:9" ht="15" customHeight="1" x14ac:dyDescent="0.25">
      <c r="B16023" s="55" t="s">
        <v>282</v>
      </c>
      <c r="C16023" s="46">
        <v>1011</v>
      </c>
      <c r="D16023" s="69" t="s">
        <v>29419</v>
      </c>
      <c r="E16023" s="51"/>
      <c r="F16023" s="114" t="str">
        <f>IF(INDEX(I.Facility.P3IDNumber,1011)="","",INDEX(I.Facility.P3IDNumber,1011))</f>
        <v/>
      </c>
      <c r="G16023" s="51"/>
      <c r="H16023" s="46" t="str">
        <f>IF(AND(I.Developer.P3=TRUE,I.Facility.P3FacilityCount&gt;=1011,F16023=""),"Incomplete","Complete")</f>
        <v>Complete</v>
      </c>
      <c r="I16023" s="48" t="s">
        <v>20388</v>
      </c>
    </row>
    <row r="16024" spans="2:9" ht="15" customHeight="1" x14ac:dyDescent="0.25">
      <c r="B16024" s="55" t="s">
        <v>282</v>
      </c>
      <c r="C16024" s="46">
        <v>1012</v>
      </c>
      <c r="D16024" s="69" t="s">
        <v>29419</v>
      </c>
      <c r="E16024" s="51"/>
      <c r="F16024" s="114" t="str">
        <f>IF(INDEX(I.Facility.P3IDNumber,1012)="","",INDEX(I.Facility.P3IDNumber,1012))</f>
        <v/>
      </c>
      <c r="G16024" s="51"/>
      <c r="H16024" s="46" t="str">
        <f>IF(AND(I.Developer.P3=TRUE,I.Facility.P3FacilityCount&gt;=1012,F16024=""),"Incomplete","Complete")</f>
        <v>Complete</v>
      </c>
      <c r="I16024" s="48" t="s">
        <v>20389</v>
      </c>
    </row>
    <row r="16025" spans="2:9" ht="15" customHeight="1" x14ac:dyDescent="0.25">
      <c r="B16025" s="55" t="s">
        <v>282</v>
      </c>
      <c r="C16025" s="46">
        <v>1013</v>
      </c>
      <c r="D16025" s="69" t="s">
        <v>29419</v>
      </c>
      <c r="E16025" s="51"/>
      <c r="F16025" s="114" t="str">
        <f>IF(INDEX(I.Facility.P3IDNumber,1013)="","",INDEX(I.Facility.P3IDNumber,1013))</f>
        <v/>
      </c>
      <c r="G16025" s="51"/>
      <c r="H16025" s="46" t="str">
        <f>IF(AND(I.Developer.P3=TRUE,I.Facility.P3FacilityCount&gt;=1013,F16025=""),"Incomplete","Complete")</f>
        <v>Complete</v>
      </c>
      <c r="I16025" s="48" t="s">
        <v>20390</v>
      </c>
    </row>
    <row r="16026" spans="2:9" ht="15" customHeight="1" x14ac:dyDescent="0.25">
      <c r="B16026" s="55" t="s">
        <v>282</v>
      </c>
      <c r="C16026" s="46">
        <v>1014</v>
      </c>
      <c r="D16026" s="69" t="s">
        <v>29419</v>
      </c>
      <c r="E16026" s="51"/>
      <c r="F16026" s="114" t="str">
        <f>IF(INDEX(I.Facility.P3IDNumber,1014)="","",INDEX(I.Facility.P3IDNumber,1014))</f>
        <v/>
      </c>
      <c r="G16026" s="51"/>
      <c r="H16026" s="46" t="str">
        <f>IF(AND(I.Developer.P3=TRUE,I.Facility.P3FacilityCount&gt;=1014,F16026=""),"Incomplete","Complete")</f>
        <v>Complete</v>
      </c>
      <c r="I16026" s="48" t="s">
        <v>20391</v>
      </c>
    </row>
    <row r="16027" spans="2:9" ht="15" customHeight="1" x14ac:dyDescent="0.25">
      <c r="B16027" s="55" t="s">
        <v>282</v>
      </c>
      <c r="C16027" s="46">
        <v>1015</v>
      </c>
      <c r="D16027" s="69" t="s">
        <v>29419</v>
      </c>
      <c r="E16027" s="51"/>
      <c r="F16027" s="114" t="str">
        <f>IF(INDEX(I.Facility.P3IDNumber,1015)="","",INDEX(I.Facility.P3IDNumber,1015))</f>
        <v/>
      </c>
      <c r="G16027" s="51"/>
      <c r="H16027" s="46" t="str">
        <f>IF(AND(I.Developer.P3=TRUE,I.Facility.P3FacilityCount&gt;=1015,F16027=""),"Incomplete","Complete")</f>
        <v>Complete</v>
      </c>
      <c r="I16027" s="48" t="s">
        <v>20392</v>
      </c>
    </row>
    <row r="16028" spans="2:9" ht="15" customHeight="1" x14ac:dyDescent="0.25">
      <c r="B16028" s="55" t="s">
        <v>282</v>
      </c>
      <c r="C16028" s="46">
        <v>1016</v>
      </c>
      <c r="D16028" s="69" t="s">
        <v>29419</v>
      </c>
      <c r="E16028" s="51"/>
      <c r="F16028" s="114" t="str">
        <f>IF(INDEX(I.Facility.P3IDNumber,1016)="","",INDEX(I.Facility.P3IDNumber,1016))</f>
        <v/>
      </c>
      <c r="G16028" s="51"/>
      <c r="H16028" s="46" t="str">
        <f>IF(AND(I.Developer.P3=TRUE,I.Facility.P3FacilityCount&gt;=1016,F16028=""),"Incomplete","Complete")</f>
        <v>Complete</v>
      </c>
      <c r="I16028" s="48" t="s">
        <v>20393</v>
      </c>
    </row>
    <row r="16029" spans="2:9" ht="15" customHeight="1" x14ac:dyDescent="0.25">
      <c r="B16029" s="55" t="s">
        <v>282</v>
      </c>
      <c r="C16029" s="46">
        <v>1017</v>
      </c>
      <c r="D16029" s="69" t="s">
        <v>29419</v>
      </c>
      <c r="E16029" s="51"/>
      <c r="F16029" s="114" t="str">
        <f>IF(INDEX(I.Facility.P3IDNumber,1017)="","",INDEX(I.Facility.P3IDNumber,1017))</f>
        <v/>
      </c>
      <c r="G16029" s="51"/>
      <c r="H16029" s="46" t="str">
        <f>IF(AND(I.Developer.P3=TRUE,I.Facility.P3FacilityCount&gt;=1017,F16029=""),"Incomplete","Complete")</f>
        <v>Complete</v>
      </c>
      <c r="I16029" s="48" t="s">
        <v>20394</v>
      </c>
    </row>
    <row r="16030" spans="2:9" ht="15" customHeight="1" x14ac:dyDescent="0.25">
      <c r="B16030" s="55" t="s">
        <v>282</v>
      </c>
      <c r="C16030" s="46">
        <v>1018</v>
      </c>
      <c r="D16030" s="69" t="s">
        <v>29419</v>
      </c>
      <c r="E16030" s="51"/>
      <c r="F16030" s="114" t="str">
        <f>IF(INDEX(I.Facility.P3IDNumber,1018)="","",INDEX(I.Facility.P3IDNumber,1018))</f>
        <v/>
      </c>
      <c r="G16030" s="51"/>
      <c r="H16030" s="46" t="str">
        <f>IF(AND(I.Developer.P3=TRUE,I.Facility.P3FacilityCount&gt;=1018,F16030=""),"Incomplete","Complete")</f>
        <v>Complete</v>
      </c>
      <c r="I16030" s="48" t="s">
        <v>20395</v>
      </c>
    </row>
    <row r="16031" spans="2:9" ht="15" customHeight="1" x14ac:dyDescent="0.25">
      <c r="B16031" s="55" t="s">
        <v>282</v>
      </c>
      <c r="C16031" s="46">
        <v>1019</v>
      </c>
      <c r="D16031" s="69" t="s">
        <v>29419</v>
      </c>
      <c r="E16031" s="51"/>
      <c r="F16031" s="114" t="str">
        <f>IF(INDEX(I.Facility.P3IDNumber,1019)="","",INDEX(I.Facility.P3IDNumber,1019))</f>
        <v/>
      </c>
      <c r="G16031" s="51"/>
      <c r="H16031" s="46" t="str">
        <f>IF(AND(I.Developer.P3=TRUE,I.Facility.P3FacilityCount&gt;=1019,F16031=""),"Incomplete","Complete")</f>
        <v>Complete</v>
      </c>
      <c r="I16031" s="48" t="s">
        <v>20396</v>
      </c>
    </row>
    <row r="16032" spans="2:9" ht="15" customHeight="1" x14ac:dyDescent="0.25">
      <c r="B16032" s="55" t="s">
        <v>282</v>
      </c>
      <c r="C16032" s="46">
        <v>1020</v>
      </c>
      <c r="D16032" s="69" t="s">
        <v>29419</v>
      </c>
      <c r="E16032" s="51"/>
      <c r="F16032" s="114" t="str">
        <f>IF(INDEX(I.Facility.P3IDNumber,1020)="","",INDEX(I.Facility.P3IDNumber,1020))</f>
        <v/>
      </c>
      <c r="G16032" s="51"/>
      <c r="H16032" s="46" t="str">
        <f>IF(AND(I.Developer.P3=TRUE,I.Facility.P3FacilityCount&gt;=1020,F16032=""),"Incomplete","Complete")</f>
        <v>Complete</v>
      </c>
      <c r="I16032" s="48" t="s">
        <v>20397</v>
      </c>
    </row>
    <row r="16033" spans="2:9" ht="15" customHeight="1" x14ac:dyDescent="0.25">
      <c r="B16033" s="55" t="s">
        <v>282</v>
      </c>
      <c r="C16033" s="46">
        <v>1021</v>
      </c>
      <c r="D16033" s="69" t="s">
        <v>29419</v>
      </c>
      <c r="E16033" s="51"/>
      <c r="F16033" s="114" t="str">
        <f>IF(INDEX(I.Facility.P3IDNumber,1021)="","",INDEX(I.Facility.P3IDNumber,1021))</f>
        <v/>
      </c>
      <c r="G16033" s="51"/>
      <c r="H16033" s="46" t="str">
        <f>IF(AND(I.Developer.P3=TRUE,I.Facility.P3FacilityCount&gt;=1021,F16033=""),"Incomplete","Complete")</f>
        <v>Complete</v>
      </c>
      <c r="I16033" s="48" t="s">
        <v>20398</v>
      </c>
    </row>
    <row r="16034" spans="2:9" ht="15" customHeight="1" x14ac:dyDescent="0.25">
      <c r="B16034" s="55" t="s">
        <v>282</v>
      </c>
      <c r="C16034" s="46">
        <v>1022</v>
      </c>
      <c r="D16034" s="69" t="s">
        <v>29419</v>
      </c>
      <c r="E16034" s="51"/>
      <c r="F16034" s="114" t="str">
        <f>IF(INDEX(I.Facility.P3IDNumber,1022)="","",INDEX(I.Facility.P3IDNumber,1022))</f>
        <v/>
      </c>
      <c r="G16034" s="51"/>
      <c r="H16034" s="46" t="str">
        <f>IF(AND(I.Developer.P3=TRUE,I.Facility.P3FacilityCount&gt;=1022,F16034=""),"Incomplete","Complete")</f>
        <v>Complete</v>
      </c>
      <c r="I16034" s="48" t="s">
        <v>20399</v>
      </c>
    </row>
    <row r="16035" spans="2:9" ht="15" customHeight="1" x14ac:dyDescent="0.25">
      <c r="B16035" s="55" t="s">
        <v>282</v>
      </c>
      <c r="C16035" s="46">
        <v>1023</v>
      </c>
      <c r="D16035" s="69" t="s">
        <v>29419</v>
      </c>
      <c r="E16035" s="51"/>
      <c r="F16035" s="114" t="str">
        <f>IF(INDEX(I.Facility.P3IDNumber,1023)="","",INDEX(I.Facility.P3IDNumber,1023))</f>
        <v/>
      </c>
      <c r="G16035" s="51"/>
      <c r="H16035" s="46" t="str">
        <f>IF(AND(I.Developer.P3=TRUE,I.Facility.P3FacilityCount&gt;=1023,F16035=""),"Incomplete","Complete")</f>
        <v>Complete</v>
      </c>
      <c r="I16035" s="48" t="s">
        <v>20400</v>
      </c>
    </row>
    <row r="16036" spans="2:9" ht="15" customHeight="1" x14ac:dyDescent="0.25">
      <c r="B16036" s="55" t="s">
        <v>282</v>
      </c>
      <c r="C16036" s="46">
        <v>1024</v>
      </c>
      <c r="D16036" s="69" t="s">
        <v>29419</v>
      </c>
      <c r="E16036" s="51"/>
      <c r="F16036" s="114" t="str">
        <f>IF(INDEX(I.Facility.P3IDNumber,1024)="","",INDEX(I.Facility.P3IDNumber,1024))</f>
        <v/>
      </c>
      <c r="G16036" s="51"/>
      <c r="H16036" s="46" t="str">
        <f>IF(AND(I.Developer.P3=TRUE,I.Facility.P3FacilityCount&gt;=1024,F16036=""),"Incomplete","Complete")</f>
        <v>Complete</v>
      </c>
      <c r="I16036" s="48" t="s">
        <v>20401</v>
      </c>
    </row>
    <row r="16037" spans="2:9" ht="15" customHeight="1" x14ac:dyDescent="0.25">
      <c r="B16037" s="55" t="s">
        <v>282</v>
      </c>
      <c r="C16037" s="46">
        <v>1025</v>
      </c>
      <c r="D16037" s="69" t="s">
        <v>29419</v>
      </c>
      <c r="E16037" s="51"/>
      <c r="F16037" s="114" t="str">
        <f>IF(INDEX(I.Facility.P3IDNumber,1025)="","",INDEX(I.Facility.P3IDNumber,1025))</f>
        <v/>
      </c>
      <c r="G16037" s="51"/>
      <c r="H16037" s="46" t="str">
        <f>IF(AND(I.Developer.P3=TRUE,I.Facility.P3FacilityCount&gt;=1025,F16037=""),"Incomplete","Complete")</f>
        <v>Complete</v>
      </c>
      <c r="I16037" s="48" t="s">
        <v>20402</v>
      </c>
    </row>
    <row r="16038" spans="2:9" ht="15" customHeight="1" x14ac:dyDescent="0.25">
      <c r="B16038" s="55" t="s">
        <v>282</v>
      </c>
      <c r="C16038" s="46">
        <v>1026</v>
      </c>
      <c r="D16038" s="69" t="s">
        <v>29419</v>
      </c>
      <c r="E16038" s="51"/>
      <c r="F16038" s="114" t="str">
        <f>IF(INDEX(I.Facility.P3IDNumber,1026)="","",INDEX(I.Facility.P3IDNumber,1026))</f>
        <v/>
      </c>
      <c r="G16038" s="51"/>
      <c r="H16038" s="46" t="str">
        <f>IF(AND(I.Developer.P3=TRUE,I.Facility.P3FacilityCount&gt;=1026,F16038=""),"Incomplete","Complete")</f>
        <v>Complete</v>
      </c>
      <c r="I16038" s="48" t="s">
        <v>20403</v>
      </c>
    </row>
    <row r="16039" spans="2:9" ht="15" customHeight="1" x14ac:dyDescent="0.25">
      <c r="B16039" s="55" t="s">
        <v>282</v>
      </c>
      <c r="C16039" s="46">
        <v>1027</v>
      </c>
      <c r="D16039" s="69" t="s">
        <v>29419</v>
      </c>
      <c r="E16039" s="51"/>
      <c r="F16039" s="114" t="str">
        <f>IF(INDEX(I.Facility.P3IDNumber,1027)="","",INDEX(I.Facility.P3IDNumber,1027))</f>
        <v/>
      </c>
      <c r="G16039" s="51"/>
      <c r="H16039" s="46" t="str">
        <f>IF(AND(I.Developer.P3=TRUE,I.Facility.P3FacilityCount&gt;=1027,F16039=""),"Incomplete","Complete")</f>
        <v>Complete</v>
      </c>
      <c r="I16039" s="48" t="s">
        <v>20404</v>
      </c>
    </row>
    <row r="16040" spans="2:9" ht="15" customHeight="1" x14ac:dyDescent="0.25">
      <c r="B16040" s="55" t="s">
        <v>282</v>
      </c>
      <c r="C16040" s="46">
        <v>1028</v>
      </c>
      <c r="D16040" s="69" t="s">
        <v>29419</v>
      </c>
      <c r="E16040" s="51"/>
      <c r="F16040" s="114" t="str">
        <f>IF(INDEX(I.Facility.P3IDNumber,1028)="","",INDEX(I.Facility.P3IDNumber,1028))</f>
        <v/>
      </c>
      <c r="G16040" s="51"/>
      <c r="H16040" s="46" t="str">
        <f>IF(AND(I.Developer.P3=TRUE,I.Facility.P3FacilityCount&gt;=1028,F16040=""),"Incomplete","Complete")</f>
        <v>Complete</v>
      </c>
      <c r="I16040" s="48" t="s">
        <v>20405</v>
      </c>
    </row>
    <row r="16041" spans="2:9" ht="15" customHeight="1" x14ac:dyDescent="0.25">
      <c r="B16041" s="55" t="s">
        <v>282</v>
      </c>
      <c r="C16041" s="46">
        <v>1029</v>
      </c>
      <c r="D16041" s="69" t="s">
        <v>29419</v>
      </c>
      <c r="E16041" s="51"/>
      <c r="F16041" s="114" t="str">
        <f>IF(INDEX(I.Facility.P3IDNumber,1029)="","",INDEX(I.Facility.P3IDNumber,1029))</f>
        <v/>
      </c>
      <c r="G16041" s="51"/>
      <c r="H16041" s="46" t="str">
        <f>IF(AND(I.Developer.P3=TRUE,I.Facility.P3FacilityCount&gt;=1029,F16041=""),"Incomplete","Complete")</f>
        <v>Complete</v>
      </c>
      <c r="I16041" s="48" t="s">
        <v>20406</v>
      </c>
    </row>
    <row r="16042" spans="2:9" ht="15" customHeight="1" x14ac:dyDescent="0.25">
      <c r="B16042" s="55" t="s">
        <v>282</v>
      </c>
      <c r="C16042" s="46">
        <v>1030</v>
      </c>
      <c r="D16042" s="69" t="s">
        <v>29419</v>
      </c>
      <c r="E16042" s="51"/>
      <c r="F16042" s="114" t="str">
        <f>IF(INDEX(I.Facility.P3IDNumber,1030)="","",INDEX(I.Facility.P3IDNumber,1030))</f>
        <v/>
      </c>
      <c r="G16042" s="51"/>
      <c r="H16042" s="46" t="str">
        <f>IF(AND(I.Developer.P3=TRUE,I.Facility.P3FacilityCount&gt;=1030,F16042=""),"Incomplete","Complete")</f>
        <v>Complete</v>
      </c>
      <c r="I16042" s="48" t="s">
        <v>20407</v>
      </c>
    </row>
    <row r="16043" spans="2:9" ht="15" customHeight="1" x14ac:dyDescent="0.25">
      <c r="B16043" s="55" t="s">
        <v>282</v>
      </c>
      <c r="C16043" s="46">
        <v>1031</v>
      </c>
      <c r="D16043" s="69" t="s">
        <v>29419</v>
      </c>
      <c r="E16043" s="51"/>
      <c r="F16043" s="114" t="str">
        <f>IF(INDEX(I.Facility.P3IDNumber,1031)="","",INDEX(I.Facility.P3IDNumber,1031))</f>
        <v/>
      </c>
      <c r="G16043" s="51"/>
      <c r="H16043" s="46" t="str">
        <f>IF(AND(I.Developer.P3=TRUE,I.Facility.P3FacilityCount&gt;=1031,F16043=""),"Incomplete","Complete")</f>
        <v>Complete</v>
      </c>
      <c r="I16043" s="48" t="s">
        <v>20408</v>
      </c>
    </row>
    <row r="16044" spans="2:9" ht="15" customHeight="1" x14ac:dyDescent="0.25">
      <c r="B16044" s="55" t="s">
        <v>282</v>
      </c>
      <c r="C16044" s="46">
        <v>1032</v>
      </c>
      <c r="D16044" s="69" t="s">
        <v>29419</v>
      </c>
      <c r="E16044" s="51"/>
      <c r="F16044" s="114" t="str">
        <f>IF(INDEX(I.Facility.P3IDNumber,1032)="","",INDEX(I.Facility.P3IDNumber,1032))</f>
        <v/>
      </c>
      <c r="G16044" s="51"/>
      <c r="H16044" s="46" t="str">
        <f>IF(AND(I.Developer.P3=TRUE,I.Facility.P3FacilityCount&gt;=1032,F16044=""),"Incomplete","Complete")</f>
        <v>Complete</v>
      </c>
      <c r="I16044" s="48" t="s">
        <v>20409</v>
      </c>
    </row>
    <row r="16045" spans="2:9" ht="15" customHeight="1" x14ac:dyDescent="0.25">
      <c r="B16045" s="55" t="s">
        <v>282</v>
      </c>
      <c r="C16045" s="46">
        <v>1033</v>
      </c>
      <c r="D16045" s="69" t="s">
        <v>29419</v>
      </c>
      <c r="E16045" s="51"/>
      <c r="F16045" s="114" t="str">
        <f>IF(INDEX(I.Facility.P3IDNumber,1033)="","",INDEX(I.Facility.P3IDNumber,1033))</f>
        <v/>
      </c>
      <c r="G16045" s="51"/>
      <c r="H16045" s="46" t="str">
        <f>IF(AND(I.Developer.P3=TRUE,I.Facility.P3FacilityCount&gt;=1033,F16045=""),"Incomplete","Complete")</f>
        <v>Complete</v>
      </c>
      <c r="I16045" s="48" t="s">
        <v>20410</v>
      </c>
    </row>
    <row r="16046" spans="2:9" ht="15" customHeight="1" x14ac:dyDescent="0.25">
      <c r="B16046" s="55" t="s">
        <v>282</v>
      </c>
      <c r="C16046" s="46">
        <v>1034</v>
      </c>
      <c r="D16046" s="69" t="s">
        <v>29419</v>
      </c>
      <c r="E16046" s="51"/>
      <c r="F16046" s="114" t="str">
        <f>IF(INDEX(I.Facility.P3IDNumber,1034)="","",INDEX(I.Facility.P3IDNumber,1034))</f>
        <v/>
      </c>
      <c r="G16046" s="51"/>
      <c r="H16046" s="46" t="str">
        <f>IF(AND(I.Developer.P3=TRUE,I.Facility.P3FacilityCount&gt;=1034,F16046=""),"Incomplete","Complete")</f>
        <v>Complete</v>
      </c>
      <c r="I16046" s="48" t="s">
        <v>20411</v>
      </c>
    </row>
    <row r="16047" spans="2:9" ht="15" customHeight="1" x14ac:dyDescent="0.25">
      <c r="B16047" s="55" t="s">
        <v>282</v>
      </c>
      <c r="C16047" s="46">
        <v>1035</v>
      </c>
      <c r="D16047" s="69" t="s">
        <v>29419</v>
      </c>
      <c r="E16047" s="51"/>
      <c r="F16047" s="114" t="str">
        <f>IF(INDEX(I.Facility.P3IDNumber,1035)="","",INDEX(I.Facility.P3IDNumber,1035))</f>
        <v/>
      </c>
      <c r="G16047" s="51"/>
      <c r="H16047" s="46" t="str">
        <f>IF(AND(I.Developer.P3=TRUE,I.Facility.P3FacilityCount&gt;=1035,F16047=""),"Incomplete","Complete")</f>
        <v>Complete</v>
      </c>
      <c r="I16047" s="48" t="s">
        <v>20412</v>
      </c>
    </row>
    <row r="16048" spans="2:9" ht="15" customHeight="1" x14ac:dyDescent="0.25">
      <c r="B16048" s="55" t="s">
        <v>282</v>
      </c>
      <c r="C16048" s="46">
        <v>1036</v>
      </c>
      <c r="D16048" s="69" t="s">
        <v>29419</v>
      </c>
      <c r="E16048" s="51"/>
      <c r="F16048" s="114" t="str">
        <f>IF(INDEX(I.Facility.P3IDNumber,1036)="","",INDEX(I.Facility.P3IDNumber,1036))</f>
        <v/>
      </c>
      <c r="G16048" s="51"/>
      <c r="H16048" s="46" t="str">
        <f>IF(AND(I.Developer.P3=TRUE,I.Facility.P3FacilityCount&gt;=1036,F16048=""),"Incomplete","Complete")</f>
        <v>Complete</v>
      </c>
      <c r="I16048" s="48" t="s">
        <v>20413</v>
      </c>
    </row>
    <row r="16049" spans="2:9" ht="15" customHeight="1" x14ac:dyDescent="0.25">
      <c r="B16049" s="55" t="s">
        <v>282</v>
      </c>
      <c r="C16049" s="46">
        <v>1037</v>
      </c>
      <c r="D16049" s="69" t="s">
        <v>29419</v>
      </c>
      <c r="E16049" s="51"/>
      <c r="F16049" s="114" t="str">
        <f>IF(INDEX(I.Facility.P3IDNumber,1037)="","",INDEX(I.Facility.P3IDNumber,1037))</f>
        <v/>
      </c>
      <c r="G16049" s="51"/>
      <c r="H16049" s="46" t="str">
        <f>IF(AND(I.Developer.P3=TRUE,I.Facility.P3FacilityCount&gt;=1037,F16049=""),"Incomplete","Complete")</f>
        <v>Complete</v>
      </c>
      <c r="I16049" s="48" t="s">
        <v>20414</v>
      </c>
    </row>
    <row r="16050" spans="2:9" ht="15" customHeight="1" x14ac:dyDescent="0.25">
      <c r="B16050" s="55" t="s">
        <v>282</v>
      </c>
      <c r="C16050" s="46">
        <v>1038</v>
      </c>
      <c r="D16050" s="69" t="s">
        <v>29419</v>
      </c>
      <c r="E16050" s="51"/>
      <c r="F16050" s="114" t="str">
        <f>IF(INDEX(I.Facility.P3IDNumber,1038)="","",INDEX(I.Facility.P3IDNumber,1038))</f>
        <v/>
      </c>
      <c r="G16050" s="51"/>
      <c r="H16050" s="46" t="str">
        <f>IF(AND(I.Developer.P3=TRUE,I.Facility.P3FacilityCount&gt;=1038,F16050=""),"Incomplete","Complete")</f>
        <v>Complete</v>
      </c>
      <c r="I16050" s="48" t="s">
        <v>20415</v>
      </c>
    </row>
    <row r="16051" spans="2:9" ht="15" customHeight="1" x14ac:dyDescent="0.25">
      <c r="B16051" s="55" t="s">
        <v>282</v>
      </c>
      <c r="C16051" s="46">
        <v>1039</v>
      </c>
      <c r="D16051" s="69" t="s">
        <v>29419</v>
      </c>
      <c r="E16051" s="51"/>
      <c r="F16051" s="114" t="str">
        <f>IF(INDEX(I.Facility.P3IDNumber,1039)="","",INDEX(I.Facility.P3IDNumber,1039))</f>
        <v/>
      </c>
      <c r="G16051" s="51"/>
      <c r="H16051" s="46" t="str">
        <f>IF(AND(I.Developer.P3=TRUE,I.Facility.P3FacilityCount&gt;=1039,F16051=""),"Incomplete","Complete")</f>
        <v>Complete</v>
      </c>
      <c r="I16051" s="48" t="s">
        <v>20416</v>
      </c>
    </row>
    <row r="16052" spans="2:9" ht="15" customHeight="1" x14ac:dyDescent="0.25">
      <c r="B16052" s="55" t="s">
        <v>282</v>
      </c>
      <c r="C16052" s="46">
        <v>1040</v>
      </c>
      <c r="D16052" s="69" t="s">
        <v>29419</v>
      </c>
      <c r="E16052" s="51"/>
      <c r="F16052" s="114" t="str">
        <f>IF(INDEX(I.Facility.P3IDNumber,1040)="","",INDEX(I.Facility.P3IDNumber,1040))</f>
        <v/>
      </c>
      <c r="G16052" s="51"/>
      <c r="H16052" s="46" t="str">
        <f>IF(AND(I.Developer.P3=TRUE,I.Facility.P3FacilityCount&gt;=1040,F16052=""),"Incomplete","Complete")</f>
        <v>Complete</v>
      </c>
      <c r="I16052" s="48" t="s">
        <v>20417</v>
      </c>
    </row>
    <row r="16053" spans="2:9" ht="15" customHeight="1" x14ac:dyDescent="0.25">
      <c r="B16053" s="55" t="s">
        <v>282</v>
      </c>
      <c r="C16053" s="46">
        <v>1041</v>
      </c>
      <c r="D16053" s="69" t="s">
        <v>29419</v>
      </c>
      <c r="E16053" s="51"/>
      <c r="F16053" s="114" t="str">
        <f>IF(INDEX(I.Facility.P3IDNumber,1041)="","",INDEX(I.Facility.P3IDNumber,1041))</f>
        <v/>
      </c>
      <c r="G16053" s="51"/>
      <c r="H16053" s="46" t="str">
        <f>IF(AND(I.Developer.P3=TRUE,I.Facility.P3FacilityCount&gt;=1041,F16053=""),"Incomplete","Complete")</f>
        <v>Complete</v>
      </c>
      <c r="I16053" s="48" t="s">
        <v>20418</v>
      </c>
    </row>
    <row r="16054" spans="2:9" ht="15" customHeight="1" x14ac:dyDescent="0.25">
      <c r="B16054" s="55" t="s">
        <v>282</v>
      </c>
      <c r="C16054" s="46">
        <v>1042</v>
      </c>
      <c r="D16054" s="69" t="s">
        <v>29419</v>
      </c>
      <c r="E16054" s="51"/>
      <c r="F16054" s="114" t="str">
        <f>IF(INDEX(I.Facility.P3IDNumber,1042)="","",INDEX(I.Facility.P3IDNumber,1042))</f>
        <v/>
      </c>
      <c r="G16054" s="51"/>
      <c r="H16054" s="46" t="str">
        <f>IF(AND(I.Developer.P3=TRUE,I.Facility.P3FacilityCount&gt;=1042,F16054=""),"Incomplete","Complete")</f>
        <v>Complete</v>
      </c>
      <c r="I16054" s="48" t="s">
        <v>20419</v>
      </c>
    </row>
    <row r="16055" spans="2:9" ht="15" customHeight="1" x14ac:dyDescent="0.25">
      <c r="B16055" s="55" t="s">
        <v>282</v>
      </c>
      <c r="C16055" s="46">
        <v>1043</v>
      </c>
      <c r="D16055" s="69" t="s">
        <v>29419</v>
      </c>
      <c r="E16055" s="51"/>
      <c r="F16055" s="114" t="str">
        <f>IF(INDEX(I.Facility.P3IDNumber,1043)="","",INDEX(I.Facility.P3IDNumber,1043))</f>
        <v/>
      </c>
      <c r="G16055" s="51"/>
      <c r="H16055" s="46" t="str">
        <f>IF(AND(I.Developer.P3=TRUE,I.Facility.P3FacilityCount&gt;=1043,F16055=""),"Incomplete","Complete")</f>
        <v>Complete</v>
      </c>
      <c r="I16055" s="48" t="s">
        <v>20420</v>
      </c>
    </row>
    <row r="16056" spans="2:9" ht="15" customHeight="1" x14ac:dyDescent="0.25">
      <c r="B16056" s="55" t="s">
        <v>282</v>
      </c>
      <c r="C16056" s="46">
        <v>1044</v>
      </c>
      <c r="D16056" s="69" t="s">
        <v>29419</v>
      </c>
      <c r="E16056" s="51"/>
      <c r="F16056" s="114" t="str">
        <f>IF(INDEX(I.Facility.P3IDNumber,1044)="","",INDEX(I.Facility.P3IDNumber,1044))</f>
        <v/>
      </c>
      <c r="G16056" s="51"/>
      <c r="H16056" s="46" t="str">
        <f>IF(AND(I.Developer.P3=TRUE,I.Facility.P3FacilityCount&gt;=1044,F16056=""),"Incomplete","Complete")</f>
        <v>Complete</v>
      </c>
      <c r="I16056" s="48" t="s">
        <v>20421</v>
      </c>
    </row>
    <row r="16057" spans="2:9" ht="15" customHeight="1" x14ac:dyDescent="0.25">
      <c r="B16057" s="55" t="s">
        <v>282</v>
      </c>
      <c r="C16057" s="46">
        <v>1045</v>
      </c>
      <c r="D16057" s="69" t="s">
        <v>29419</v>
      </c>
      <c r="E16057" s="51"/>
      <c r="F16057" s="114" t="str">
        <f>IF(INDEX(I.Facility.P3IDNumber,1045)="","",INDEX(I.Facility.P3IDNumber,1045))</f>
        <v/>
      </c>
      <c r="G16057" s="51"/>
      <c r="H16057" s="46" t="str">
        <f>IF(AND(I.Developer.P3=TRUE,I.Facility.P3FacilityCount&gt;=1045,F16057=""),"Incomplete","Complete")</f>
        <v>Complete</v>
      </c>
      <c r="I16057" s="48" t="s">
        <v>20422</v>
      </c>
    </row>
    <row r="16058" spans="2:9" ht="15" customHeight="1" x14ac:dyDescent="0.25">
      <c r="B16058" s="55" t="s">
        <v>282</v>
      </c>
      <c r="C16058" s="46">
        <v>1046</v>
      </c>
      <c r="D16058" s="69" t="s">
        <v>29419</v>
      </c>
      <c r="E16058" s="51"/>
      <c r="F16058" s="114" t="str">
        <f>IF(INDEX(I.Facility.P3IDNumber,1046)="","",INDEX(I.Facility.P3IDNumber,1046))</f>
        <v/>
      </c>
      <c r="G16058" s="51"/>
      <c r="H16058" s="46" t="str">
        <f>IF(AND(I.Developer.P3=TRUE,I.Facility.P3FacilityCount&gt;=1046,F16058=""),"Incomplete","Complete")</f>
        <v>Complete</v>
      </c>
      <c r="I16058" s="48" t="s">
        <v>20423</v>
      </c>
    </row>
    <row r="16059" spans="2:9" ht="15" customHeight="1" x14ac:dyDescent="0.25">
      <c r="B16059" s="55" t="s">
        <v>282</v>
      </c>
      <c r="C16059" s="46">
        <v>1047</v>
      </c>
      <c r="D16059" s="69" t="s">
        <v>29419</v>
      </c>
      <c r="E16059" s="51"/>
      <c r="F16059" s="114" t="str">
        <f>IF(INDEX(I.Facility.P3IDNumber,1047)="","",INDEX(I.Facility.P3IDNumber,1047))</f>
        <v/>
      </c>
      <c r="G16059" s="51"/>
      <c r="H16059" s="46" t="str">
        <f>IF(AND(I.Developer.P3=TRUE,I.Facility.P3FacilityCount&gt;=1047,F16059=""),"Incomplete","Complete")</f>
        <v>Complete</v>
      </c>
      <c r="I16059" s="48" t="s">
        <v>20424</v>
      </c>
    </row>
    <row r="16060" spans="2:9" ht="15" customHeight="1" x14ac:dyDescent="0.25">
      <c r="B16060" s="55" t="s">
        <v>282</v>
      </c>
      <c r="C16060" s="46">
        <v>1048</v>
      </c>
      <c r="D16060" s="69" t="s">
        <v>29419</v>
      </c>
      <c r="E16060" s="51"/>
      <c r="F16060" s="114" t="str">
        <f>IF(INDEX(I.Facility.P3IDNumber,1048)="","",INDEX(I.Facility.P3IDNumber,1048))</f>
        <v/>
      </c>
      <c r="G16060" s="51"/>
      <c r="H16060" s="46" t="str">
        <f>IF(AND(I.Developer.P3=TRUE,I.Facility.P3FacilityCount&gt;=1048,F16060=""),"Incomplete","Complete")</f>
        <v>Complete</v>
      </c>
      <c r="I16060" s="48" t="s">
        <v>20425</v>
      </c>
    </row>
    <row r="16061" spans="2:9" ht="15" customHeight="1" x14ac:dyDescent="0.25">
      <c r="B16061" s="55" t="s">
        <v>282</v>
      </c>
      <c r="C16061" s="46">
        <v>1049</v>
      </c>
      <c r="D16061" s="69" t="s">
        <v>29419</v>
      </c>
      <c r="E16061" s="51"/>
      <c r="F16061" s="114" t="str">
        <f>IF(INDEX(I.Facility.P3IDNumber,1049)="","",INDEX(I.Facility.P3IDNumber,1049))</f>
        <v/>
      </c>
      <c r="G16061" s="51"/>
      <c r="H16061" s="46" t="str">
        <f>IF(AND(I.Developer.P3=TRUE,I.Facility.P3FacilityCount&gt;=1049,F16061=""),"Incomplete","Complete")</f>
        <v>Complete</v>
      </c>
      <c r="I16061" s="48" t="s">
        <v>20426</v>
      </c>
    </row>
    <row r="16062" spans="2:9" ht="15" customHeight="1" x14ac:dyDescent="0.25">
      <c r="B16062" s="55" t="s">
        <v>282</v>
      </c>
      <c r="C16062" s="46">
        <v>1050</v>
      </c>
      <c r="D16062" s="69" t="s">
        <v>29419</v>
      </c>
      <c r="E16062" s="51"/>
      <c r="F16062" s="114" t="str">
        <f>IF(INDEX(I.Facility.P3IDNumber,1050)="","",INDEX(I.Facility.P3IDNumber,1050))</f>
        <v/>
      </c>
      <c r="G16062" s="51"/>
      <c r="H16062" s="46" t="str">
        <f>IF(AND(I.Developer.P3=TRUE,I.Facility.P3FacilityCount&gt;=1050,F16062=""),"Incomplete","Complete")</f>
        <v>Complete</v>
      </c>
      <c r="I16062" s="48" t="s">
        <v>20427</v>
      </c>
    </row>
    <row r="16063" spans="2:9" ht="15" customHeight="1" x14ac:dyDescent="0.25">
      <c r="B16063" s="55" t="s">
        <v>282</v>
      </c>
      <c r="C16063" s="46">
        <v>1051</v>
      </c>
      <c r="D16063" s="69" t="s">
        <v>29419</v>
      </c>
      <c r="E16063" s="51"/>
      <c r="F16063" s="114" t="str">
        <f>IF(INDEX(I.Facility.P3IDNumber,1051)="","",INDEX(I.Facility.P3IDNumber,1051))</f>
        <v/>
      </c>
      <c r="G16063" s="51"/>
      <c r="H16063" s="46" t="str">
        <f>IF(AND(I.Developer.P3=TRUE,I.Facility.P3FacilityCount&gt;=1051,F16063=""),"Incomplete","Complete")</f>
        <v>Complete</v>
      </c>
      <c r="I16063" s="48" t="s">
        <v>20428</v>
      </c>
    </row>
    <row r="16064" spans="2:9" ht="15" customHeight="1" x14ac:dyDescent="0.25">
      <c r="B16064" s="55" t="s">
        <v>282</v>
      </c>
      <c r="C16064" s="46">
        <v>1052</v>
      </c>
      <c r="D16064" s="69" t="s">
        <v>29419</v>
      </c>
      <c r="E16064" s="51"/>
      <c r="F16064" s="114" t="str">
        <f>IF(INDEX(I.Facility.P3IDNumber,1052)="","",INDEX(I.Facility.P3IDNumber,1052))</f>
        <v/>
      </c>
      <c r="G16064" s="51"/>
      <c r="H16064" s="46" t="str">
        <f>IF(AND(I.Developer.P3=TRUE,I.Facility.P3FacilityCount&gt;=1052,F16064=""),"Incomplete","Complete")</f>
        <v>Complete</v>
      </c>
      <c r="I16064" s="48" t="s">
        <v>20429</v>
      </c>
    </row>
    <row r="16065" spans="2:9" ht="15" customHeight="1" x14ac:dyDescent="0.25">
      <c r="B16065" s="55" t="s">
        <v>282</v>
      </c>
      <c r="C16065" s="46">
        <v>1053</v>
      </c>
      <c r="D16065" s="69" t="s">
        <v>29419</v>
      </c>
      <c r="E16065" s="51"/>
      <c r="F16065" s="114" t="str">
        <f>IF(INDEX(I.Facility.P3IDNumber,1053)="","",INDEX(I.Facility.P3IDNumber,1053))</f>
        <v/>
      </c>
      <c r="G16065" s="51"/>
      <c r="H16065" s="46" t="str">
        <f>IF(AND(I.Developer.P3=TRUE,I.Facility.P3FacilityCount&gt;=1053,F16065=""),"Incomplete","Complete")</f>
        <v>Complete</v>
      </c>
      <c r="I16065" s="48" t="s">
        <v>20430</v>
      </c>
    </row>
    <row r="16066" spans="2:9" ht="15" customHeight="1" x14ac:dyDescent="0.25">
      <c r="B16066" s="55" t="s">
        <v>282</v>
      </c>
      <c r="C16066" s="46">
        <v>1054</v>
      </c>
      <c r="D16066" s="69" t="s">
        <v>29419</v>
      </c>
      <c r="E16066" s="51"/>
      <c r="F16066" s="114" t="str">
        <f>IF(INDEX(I.Facility.P3IDNumber,1054)="","",INDEX(I.Facility.P3IDNumber,1054))</f>
        <v/>
      </c>
      <c r="G16066" s="51"/>
      <c r="H16066" s="46" t="str">
        <f>IF(AND(I.Developer.P3=TRUE,I.Facility.P3FacilityCount&gt;=1054,F16066=""),"Incomplete","Complete")</f>
        <v>Complete</v>
      </c>
      <c r="I16066" s="48" t="s">
        <v>20431</v>
      </c>
    </row>
    <row r="16067" spans="2:9" ht="15" customHeight="1" x14ac:dyDescent="0.25">
      <c r="B16067" s="55" t="s">
        <v>282</v>
      </c>
      <c r="C16067" s="46">
        <v>1055</v>
      </c>
      <c r="D16067" s="69" t="s">
        <v>29419</v>
      </c>
      <c r="E16067" s="51"/>
      <c r="F16067" s="114" t="str">
        <f>IF(INDEX(I.Facility.P3IDNumber,1055)="","",INDEX(I.Facility.P3IDNumber,1055))</f>
        <v/>
      </c>
      <c r="G16067" s="51"/>
      <c r="H16067" s="46" t="str">
        <f>IF(AND(I.Developer.P3=TRUE,I.Facility.P3FacilityCount&gt;=1055,F16067=""),"Incomplete","Complete")</f>
        <v>Complete</v>
      </c>
      <c r="I16067" s="48" t="s">
        <v>20432</v>
      </c>
    </row>
    <row r="16068" spans="2:9" ht="15" customHeight="1" x14ac:dyDescent="0.25">
      <c r="B16068" s="55" t="s">
        <v>282</v>
      </c>
      <c r="C16068" s="46">
        <v>1056</v>
      </c>
      <c r="D16068" s="69" t="s">
        <v>29419</v>
      </c>
      <c r="E16068" s="51"/>
      <c r="F16068" s="114" t="str">
        <f>IF(INDEX(I.Facility.P3IDNumber,1056)="","",INDEX(I.Facility.P3IDNumber,1056))</f>
        <v/>
      </c>
      <c r="G16068" s="51"/>
      <c r="H16068" s="46" t="str">
        <f>IF(AND(I.Developer.P3=TRUE,I.Facility.P3FacilityCount&gt;=1056,F16068=""),"Incomplete","Complete")</f>
        <v>Complete</v>
      </c>
      <c r="I16068" s="48" t="s">
        <v>20433</v>
      </c>
    </row>
    <row r="16069" spans="2:9" ht="15" customHeight="1" x14ac:dyDescent="0.25">
      <c r="B16069" s="55" t="s">
        <v>282</v>
      </c>
      <c r="C16069" s="46">
        <v>1057</v>
      </c>
      <c r="D16069" s="69" t="s">
        <v>29419</v>
      </c>
      <c r="E16069" s="51"/>
      <c r="F16069" s="114" t="str">
        <f>IF(INDEX(I.Facility.P3IDNumber,1057)="","",INDEX(I.Facility.P3IDNumber,1057))</f>
        <v/>
      </c>
      <c r="G16069" s="51"/>
      <c r="H16069" s="46" t="str">
        <f>IF(AND(I.Developer.P3=TRUE,I.Facility.P3FacilityCount&gt;=1057,F16069=""),"Incomplete","Complete")</f>
        <v>Complete</v>
      </c>
      <c r="I16069" s="48" t="s">
        <v>20434</v>
      </c>
    </row>
    <row r="16070" spans="2:9" ht="15" customHeight="1" x14ac:dyDescent="0.25">
      <c r="B16070" s="55" t="s">
        <v>282</v>
      </c>
      <c r="C16070" s="46">
        <v>1058</v>
      </c>
      <c r="D16070" s="69" t="s">
        <v>29419</v>
      </c>
      <c r="E16070" s="51"/>
      <c r="F16070" s="114" t="str">
        <f>IF(INDEX(I.Facility.P3IDNumber,1058)="","",INDEX(I.Facility.P3IDNumber,1058))</f>
        <v/>
      </c>
      <c r="G16070" s="51"/>
      <c r="H16070" s="46" t="str">
        <f>IF(AND(I.Developer.P3=TRUE,I.Facility.P3FacilityCount&gt;=1058,F16070=""),"Incomplete","Complete")</f>
        <v>Complete</v>
      </c>
      <c r="I16070" s="48" t="s">
        <v>20435</v>
      </c>
    </row>
    <row r="16071" spans="2:9" ht="15" customHeight="1" x14ac:dyDescent="0.25">
      <c r="B16071" s="55" t="s">
        <v>282</v>
      </c>
      <c r="C16071" s="46">
        <v>1059</v>
      </c>
      <c r="D16071" s="69" t="s">
        <v>29419</v>
      </c>
      <c r="E16071" s="51"/>
      <c r="F16071" s="114" t="str">
        <f>IF(INDEX(I.Facility.P3IDNumber,1059)="","",INDEX(I.Facility.P3IDNumber,1059))</f>
        <v/>
      </c>
      <c r="G16071" s="51"/>
      <c r="H16071" s="46" t="str">
        <f>IF(AND(I.Developer.P3=TRUE,I.Facility.P3FacilityCount&gt;=1059,F16071=""),"Incomplete","Complete")</f>
        <v>Complete</v>
      </c>
      <c r="I16071" s="48" t="s">
        <v>20436</v>
      </c>
    </row>
    <row r="16072" spans="2:9" ht="15" customHeight="1" x14ac:dyDescent="0.25">
      <c r="B16072" s="55" t="s">
        <v>282</v>
      </c>
      <c r="C16072" s="46">
        <v>1060</v>
      </c>
      <c r="D16072" s="69" t="s">
        <v>29419</v>
      </c>
      <c r="E16072" s="51"/>
      <c r="F16072" s="114" t="str">
        <f>IF(INDEX(I.Facility.P3IDNumber,1060)="","",INDEX(I.Facility.P3IDNumber,1060))</f>
        <v/>
      </c>
      <c r="G16072" s="51"/>
      <c r="H16072" s="46" t="str">
        <f>IF(AND(I.Developer.P3=TRUE,I.Facility.P3FacilityCount&gt;=1060,F16072=""),"Incomplete","Complete")</f>
        <v>Complete</v>
      </c>
      <c r="I16072" s="48" t="s">
        <v>20437</v>
      </c>
    </row>
    <row r="16073" spans="2:9" ht="15" customHeight="1" x14ac:dyDescent="0.25">
      <c r="B16073" s="55" t="s">
        <v>282</v>
      </c>
      <c r="C16073" s="46">
        <v>1061</v>
      </c>
      <c r="D16073" s="69" t="s">
        <v>29419</v>
      </c>
      <c r="E16073" s="51"/>
      <c r="F16073" s="114" t="str">
        <f>IF(INDEX(I.Facility.P3IDNumber,1061)="","",INDEX(I.Facility.P3IDNumber,1061))</f>
        <v/>
      </c>
      <c r="G16073" s="51"/>
      <c r="H16073" s="46" t="str">
        <f>IF(AND(I.Developer.P3=TRUE,I.Facility.P3FacilityCount&gt;=1061,F16073=""),"Incomplete","Complete")</f>
        <v>Complete</v>
      </c>
      <c r="I16073" s="48" t="s">
        <v>20438</v>
      </c>
    </row>
    <row r="16074" spans="2:9" ht="15" customHeight="1" x14ac:dyDescent="0.25">
      <c r="B16074" s="55" t="s">
        <v>282</v>
      </c>
      <c r="C16074" s="46">
        <v>1062</v>
      </c>
      <c r="D16074" s="69" t="s">
        <v>29419</v>
      </c>
      <c r="E16074" s="51"/>
      <c r="F16074" s="114" t="str">
        <f>IF(INDEX(I.Facility.P3IDNumber,1062)="","",INDEX(I.Facility.P3IDNumber,1062))</f>
        <v/>
      </c>
      <c r="G16074" s="51"/>
      <c r="H16074" s="46" t="str">
        <f>IF(AND(I.Developer.P3=TRUE,I.Facility.P3FacilityCount&gt;=1062,F16074=""),"Incomplete","Complete")</f>
        <v>Complete</v>
      </c>
      <c r="I16074" s="48" t="s">
        <v>20439</v>
      </c>
    </row>
    <row r="16075" spans="2:9" ht="15" customHeight="1" x14ac:dyDescent="0.25">
      <c r="B16075" s="55" t="s">
        <v>282</v>
      </c>
      <c r="C16075" s="46">
        <v>1063</v>
      </c>
      <c r="D16075" s="69" t="s">
        <v>29419</v>
      </c>
      <c r="E16075" s="51"/>
      <c r="F16075" s="114" t="str">
        <f>IF(INDEX(I.Facility.P3IDNumber,1063)="","",INDEX(I.Facility.P3IDNumber,1063))</f>
        <v/>
      </c>
      <c r="G16075" s="51"/>
      <c r="H16075" s="46" t="str">
        <f>IF(AND(I.Developer.P3=TRUE,I.Facility.P3FacilityCount&gt;=1063,F16075=""),"Incomplete","Complete")</f>
        <v>Complete</v>
      </c>
      <c r="I16075" s="48" t="s">
        <v>20440</v>
      </c>
    </row>
    <row r="16076" spans="2:9" ht="15" customHeight="1" x14ac:dyDescent="0.25">
      <c r="B16076" s="55" t="s">
        <v>282</v>
      </c>
      <c r="C16076" s="46">
        <v>1064</v>
      </c>
      <c r="D16076" s="69" t="s">
        <v>29419</v>
      </c>
      <c r="E16076" s="51"/>
      <c r="F16076" s="114" t="str">
        <f>IF(INDEX(I.Facility.P3IDNumber,1064)="","",INDEX(I.Facility.P3IDNumber,1064))</f>
        <v/>
      </c>
      <c r="G16076" s="51"/>
      <c r="H16076" s="46" t="str">
        <f>IF(AND(I.Developer.P3=TRUE,I.Facility.P3FacilityCount&gt;=1064,F16076=""),"Incomplete","Complete")</f>
        <v>Complete</v>
      </c>
      <c r="I16076" s="48" t="s">
        <v>20441</v>
      </c>
    </row>
    <row r="16077" spans="2:9" ht="15" customHeight="1" x14ac:dyDescent="0.25">
      <c r="B16077" s="55" t="s">
        <v>282</v>
      </c>
      <c r="C16077" s="46">
        <v>1065</v>
      </c>
      <c r="D16077" s="69" t="s">
        <v>29419</v>
      </c>
      <c r="E16077" s="51"/>
      <c r="F16077" s="114" t="str">
        <f>IF(INDEX(I.Facility.P3IDNumber,1065)="","",INDEX(I.Facility.P3IDNumber,1065))</f>
        <v/>
      </c>
      <c r="G16077" s="51"/>
      <c r="H16077" s="46" t="str">
        <f>IF(AND(I.Developer.P3=TRUE,I.Facility.P3FacilityCount&gt;=1065,F16077=""),"Incomplete","Complete")</f>
        <v>Complete</v>
      </c>
      <c r="I16077" s="48" t="s">
        <v>20442</v>
      </c>
    </row>
    <row r="16078" spans="2:9" ht="15" customHeight="1" x14ac:dyDescent="0.25">
      <c r="B16078" s="55" t="s">
        <v>282</v>
      </c>
      <c r="C16078" s="46">
        <v>1066</v>
      </c>
      <c r="D16078" s="69" t="s">
        <v>29419</v>
      </c>
      <c r="E16078" s="51"/>
      <c r="F16078" s="114" t="str">
        <f>IF(INDEX(I.Facility.P3IDNumber,1066)="","",INDEX(I.Facility.P3IDNumber,1066))</f>
        <v/>
      </c>
      <c r="G16078" s="51"/>
      <c r="H16078" s="46" t="str">
        <f>IF(AND(I.Developer.P3=TRUE,I.Facility.P3FacilityCount&gt;=1066,F16078=""),"Incomplete","Complete")</f>
        <v>Complete</v>
      </c>
      <c r="I16078" s="48" t="s">
        <v>20443</v>
      </c>
    </row>
    <row r="16079" spans="2:9" ht="15" customHeight="1" x14ac:dyDescent="0.25">
      <c r="B16079" s="55" t="s">
        <v>282</v>
      </c>
      <c r="C16079" s="46">
        <v>1067</v>
      </c>
      <c r="D16079" s="69" t="s">
        <v>29419</v>
      </c>
      <c r="E16079" s="51"/>
      <c r="F16079" s="114" t="str">
        <f>IF(INDEX(I.Facility.P3IDNumber,1067)="","",INDEX(I.Facility.P3IDNumber,1067))</f>
        <v/>
      </c>
      <c r="G16079" s="51"/>
      <c r="H16079" s="46" t="str">
        <f>IF(AND(I.Developer.P3=TRUE,I.Facility.P3FacilityCount&gt;=1067,F16079=""),"Incomplete","Complete")</f>
        <v>Complete</v>
      </c>
      <c r="I16079" s="48" t="s">
        <v>20444</v>
      </c>
    </row>
    <row r="16080" spans="2:9" ht="15" customHeight="1" x14ac:dyDescent="0.25">
      <c r="B16080" s="55" t="s">
        <v>282</v>
      </c>
      <c r="C16080" s="46">
        <v>1068</v>
      </c>
      <c r="D16080" s="69" t="s">
        <v>29419</v>
      </c>
      <c r="E16080" s="51"/>
      <c r="F16080" s="114" t="str">
        <f>IF(INDEX(I.Facility.P3IDNumber,1068)="","",INDEX(I.Facility.P3IDNumber,1068))</f>
        <v/>
      </c>
      <c r="G16080" s="51"/>
      <c r="H16080" s="46" t="str">
        <f>IF(AND(I.Developer.P3=TRUE,I.Facility.P3FacilityCount&gt;=1068,F16080=""),"Incomplete","Complete")</f>
        <v>Complete</v>
      </c>
      <c r="I16080" s="48" t="s">
        <v>20445</v>
      </c>
    </row>
    <row r="16081" spans="2:9" ht="15" customHeight="1" x14ac:dyDescent="0.25">
      <c r="B16081" s="55" t="s">
        <v>282</v>
      </c>
      <c r="C16081" s="46">
        <v>1069</v>
      </c>
      <c r="D16081" s="69" t="s">
        <v>29419</v>
      </c>
      <c r="E16081" s="51"/>
      <c r="F16081" s="114" t="str">
        <f>IF(INDEX(I.Facility.P3IDNumber,1069)="","",INDEX(I.Facility.P3IDNumber,1069))</f>
        <v/>
      </c>
      <c r="G16081" s="51"/>
      <c r="H16081" s="46" t="str">
        <f>IF(AND(I.Developer.P3=TRUE,I.Facility.P3FacilityCount&gt;=1069,F16081=""),"Incomplete","Complete")</f>
        <v>Complete</v>
      </c>
      <c r="I16081" s="48" t="s">
        <v>20446</v>
      </c>
    </row>
    <row r="16082" spans="2:9" ht="15" customHeight="1" x14ac:dyDescent="0.25">
      <c r="B16082" s="55" t="s">
        <v>282</v>
      </c>
      <c r="C16082" s="46">
        <v>1070</v>
      </c>
      <c r="D16082" s="69" t="s">
        <v>29419</v>
      </c>
      <c r="E16082" s="51"/>
      <c r="F16082" s="114" t="str">
        <f>IF(INDEX(I.Facility.P3IDNumber,1070)="","",INDEX(I.Facility.P3IDNumber,1070))</f>
        <v/>
      </c>
      <c r="G16082" s="51"/>
      <c r="H16082" s="46" t="str">
        <f>IF(AND(I.Developer.P3=TRUE,I.Facility.P3FacilityCount&gt;=1070,F16082=""),"Incomplete","Complete")</f>
        <v>Complete</v>
      </c>
      <c r="I16082" s="48" t="s">
        <v>20447</v>
      </c>
    </row>
    <row r="16083" spans="2:9" ht="15" customHeight="1" x14ac:dyDescent="0.25">
      <c r="B16083" s="55" t="s">
        <v>282</v>
      </c>
      <c r="C16083" s="46">
        <v>1071</v>
      </c>
      <c r="D16083" s="69" t="s">
        <v>29419</v>
      </c>
      <c r="E16083" s="51"/>
      <c r="F16083" s="114" t="str">
        <f>IF(INDEX(I.Facility.P3IDNumber,1071)="","",INDEX(I.Facility.P3IDNumber,1071))</f>
        <v/>
      </c>
      <c r="G16083" s="51"/>
      <c r="H16083" s="46" t="str">
        <f>IF(AND(I.Developer.P3=TRUE,I.Facility.P3FacilityCount&gt;=1071,F16083=""),"Incomplete","Complete")</f>
        <v>Complete</v>
      </c>
      <c r="I16083" s="48" t="s">
        <v>20448</v>
      </c>
    </row>
    <row r="16084" spans="2:9" ht="15" customHeight="1" x14ac:dyDescent="0.25">
      <c r="B16084" s="55" t="s">
        <v>282</v>
      </c>
      <c r="C16084" s="46">
        <v>1072</v>
      </c>
      <c r="D16084" s="69" t="s">
        <v>29419</v>
      </c>
      <c r="E16084" s="51"/>
      <c r="F16084" s="114" t="str">
        <f>IF(INDEX(I.Facility.P3IDNumber,1072)="","",INDEX(I.Facility.P3IDNumber,1072))</f>
        <v/>
      </c>
      <c r="G16084" s="51"/>
      <c r="H16084" s="46" t="str">
        <f>IF(AND(I.Developer.P3=TRUE,I.Facility.P3FacilityCount&gt;=1072,F16084=""),"Incomplete","Complete")</f>
        <v>Complete</v>
      </c>
      <c r="I16084" s="48" t="s">
        <v>20449</v>
      </c>
    </row>
    <row r="16085" spans="2:9" ht="15" customHeight="1" x14ac:dyDescent="0.25">
      <c r="B16085" s="55" t="s">
        <v>282</v>
      </c>
      <c r="C16085" s="46">
        <v>1073</v>
      </c>
      <c r="D16085" s="69" t="s">
        <v>29419</v>
      </c>
      <c r="E16085" s="51"/>
      <c r="F16085" s="114" t="str">
        <f>IF(INDEX(I.Facility.P3IDNumber,1073)="","",INDEX(I.Facility.P3IDNumber,1073))</f>
        <v/>
      </c>
      <c r="G16085" s="51"/>
      <c r="H16085" s="46" t="str">
        <f>IF(AND(I.Developer.P3=TRUE,I.Facility.P3FacilityCount&gt;=1073,F16085=""),"Incomplete","Complete")</f>
        <v>Complete</v>
      </c>
      <c r="I16085" s="48" t="s">
        <v>20450</v>
      </c>
    </row>
    <row r="16086" spans="2:9" ht="15" customHeight="1" x14ac:dyDescent="0.25">
      <c r="B16086" s="55" t="s">
        <v>282</v>
      </c>
      <c r="C16086" s="46">
        <v>1074</v>
      </c>
      <c r="D16086" s="69" t="s">
        <v>29419</v>
      </c>
      <c r="E16086" s="51"/>
      <c r="F16086" s="114" t="str">
        <f>IF(INDEX(I.Facility.P3IDNumber,1074)="","",INDEX(I.Facility.P3IDNumber,1074))</f>
        <v/>
      </c>
      <c r="G16086" s="51"/>
      <c r="H16086" s="46" t="str">
        <f>IF(AND(I.Developer.P3=TRUE,I.Facility.P3FacilityCount&gt;=1074,F16086=""),"Incomplete","Complete")</f>
        <v>Complete</v>
      </c>
      <c r="I16086" s="48" t="s">
        <v>20451</v>
      </c>
    </row>
    <row r="16087" spans="2:9" ht="15" customHeight="1" x14ac:dyDescent="0.25">
      <c r="B16087" s="55" t="s">
        <v>282</v>
      </c>
      <c r="C16087" s="46">
        <v>1075</v>
      </c>
      <c r="D16087" s="69" t="s">
        <v>29419</v>
      </c>
      <c r="E16087" s="51"/>
      <c r="F16087" s="114" t="str">
        <f>IF(INDEX(I.Facility.P3IDNumber,1075)="","",INDEX(I.Facility.P3IDNumber,1075))</f>
        <v/>
      </c>
      <c r="G16087" s="51"/>
      <c r="H16087" s="46" t="str">
        <f>IF(AND(I.Developer.P3=TRUE,I.Facility.P3FacilityCount&gt;=1075,F16087=""),"Incomplete","Complete")</f>
        <v>Complete</v>
      </c>
      <c r="I16087" s="48" t="s">
        <v>20452</v>
      </c>
    </row>
    <row r="16088" spans="2:9" ht="15" customHeight="1" x14ac:dyDescent="0.25">
      <c r="B16088" s="55" t="s">
        <v>282</v>
      </c>
      <c r="C16088" s="46">
        <v>1076</v>
      </c>
      <c r="D16088" s="69" t="s">
        <v>29419</v>
      </c>
      <c r="E16088" s="51"/>
      <c r="F16088" s="114" t="str">
        <f>IF(INDEX(I.Facility.P3IDNumber,1076)="","",INDEX(I.Facility.P3IDNumber,1076))</f>
        <v/>
      </c>
      <c r="G16088" s="51"/>
      <c r="H16088" s="46" t="str">
        <f>IF(AND(I.Developer.P3=TRUE,I.Facility.P3FacilityCount&gt;=1076,F16088=""),"Incomplete","Complete")</f>
        <v>Complete</v>
      </c>
      <c r="I16088" s="48" t="s">
        <v>20453</v>
      </c>
    </row>
    <row r="16089" spans="2:9" ht="15" customHeight="1" x14ac:dyDescent="0.25">
      <c r="B16089" s="55" t="s">
        <v>282</v>
      </c>
      <c r="C16089" s="46">
        <v>1077</v>
      </c>
      <c r="D16089" s="69" t="s">
        <v>29419</v>
      </c>
      <c r="E16089" s="51"/>
      <c r="F16089" s="114" t="str">
        <f>IF(INDEX(I.Facility.P3IDNumber,1077)="","",INDEX(I.Facility.P3IDNumber,1077))</f>
        <v/>
      </c>
      <c r="G16089" s="51"/>
      <c r="H16089" s="46" t="str">
        <f>IF(AND(I.Developer.P3=TRUE,I.Facility.P3FacilityCount&gt;=1077,F16089=""),"Incomplete","Complete")</f>
        <v>Complete</v>
      </c>
      <c r="I16089" s="48" t="s">
        <v>20454</v>
      </c>
    </row>
    <row r="16090" spans="2:9" ht="15" customHeight="1" x14ac:dyDescent="0.25">
      <c r="B16090" s="55" t="s">
        <v>282</v>
      </c>
      <c r="C16090" s="46">
        <v>1078</v>
      </c>
      <c r="D16090" s="69" t="s">
        <v>29419</v>
      </c>
      <c r="E16090" s="51"/>
      <c r="F16090" s="114" t="str">
        <f>IF(INDEX(I.Facility.P3IDNumber,1078)="","",INDEX(I.Facility.P3IDNumber,1078))</f>
        <v/>
      </c>
      <c r="G16090" s="51"/>
      <c r="H16090" s="46" t="str">
        <f>IF(AND(I.Developer.P3=TRUE,I.Facility.P3FacilityCount&gt;=1078,F16090=""),"Incomplete","Complete")</f>
        <v>Complete</v>
      </c>
      <c r="I16090" s="48" t="s">
        <v>20455</v>
      </c>
    </row>
    <row r="16091" spans="2:9" ht="15" customHeight="1" x14ac:dyDescent="0.25">
      <c r="B16091" s="55" t="s">
        <v>282</v>
      </c>
      <c r="C16091" s="46">
        <v>1079</v>
      </c>
      <c r="D16091" s="69" t="s">
        <v>29419</v>
      </c>
      <c r="E16091" s="51"/>
      <c r="F16091" s="114" t="str">
        <f>IF(INDEX(I.Facility.P3IDNumber,1079)="","",INDEX(I.Facility.P3IDNumber,1079))</f>
        <v/>
      </c>
      <c r="G16091" s="51"/>
      <c r="H16091" s="46" t="str">
        <f>IF(AND(I.Developer.P3=TRUE,I.Facility.P3FacilityCount&gt;=1079,F16091=""),"Incomplete","Complete")</f>
        <v>Complete</v>
      </c>
      <c r="I16091" s="48" t="s">
        <v>20456</v>
      </c>
    </row>
    <row r="16092" spans="2:9" ht="15" customHeight="1" x14ac:dyDescent="0.25">
      <c r="B16092" s="55" t="s">
        <v>282</v>
      </c>
      <c r="C16092" s="46">
        <v>1080</v>
      </c>
      <c r="D16092" s="69" t="s">
        <v>29419</v>
      </c>
      <c r="E16092" s="51"/>
      <c r="F16092" s="114" t="str">
        <f>IF(INDEX(I.Facility.P3IDNumber,1080)="","",INDEX(I.Facility.P3IDNumber,1080))</f>
        <v/>
      </c>
      <c r="G16092" s="51"/>
      <c r="H16092" s="46" t="str">
        <f>IF(AND(I.Developer.P3=TRUE,I.Facility.P3FacilityCount&gt;=1080,F16092=""),"Incomplete","Complete")</f>
        <v>Complete</v>
      </c>
      <c r="I16092" s="48" t="s">
        <v>20457</v>
      </c>
    </row>
    <row r="16093" spans="2:9" ht="15" customHeight="1" x14ac:dyDescent="0.25">
      <c r="B16093" s="55" t="s">
        <v>282</v>
      </c>
      <c r="C16093" s="46">
        <v>1081</v>
      </c>
      <c r="D16093" s="69" t="s">
        <v>29419</v>
      </c>
      <c r="E16093" s="51"/>
      <c r="F16093" s="114" t="str">
        <f>IF(INDEX(I.Facility.P3IDNumber,1081)="","",INDEX(I.Facility.P3IDNumber,1081))</f>
        <v/>
      </c>
      <c r="G16093" s="51"/>
      <c r="H16093" s="46" t="str">
        <f>IF(AND(I.Developer.P3=TRUE,I.Facility.P3FacilityCount&gt;=1081,F16093=""),"Incomplete","Complete")</f>
        <v>Complete</v>
      </c>
      <c r="I16093" s="48" t="s">
        <v>20458</v>
      </c>
    </row>
    <row r="16094" spans="2:9" ht="15" customHeight="1" x14ac:dyDescent="0.25">
      <c r="B16094" s="55" t="s">
        <v>282</v>
      </c>
      <c r="C16094" s="46">
        <v>1082</v>
      </c>
      <c r="D16094" s="69" t="s">
        <v>29419</v>
      </c>
      <c r="E16094" s="51"/>
      <c r="F16094" s="114" t="str">
        <f>IF(INDEX(I.Facility.P3IDNumber,1082)="","",INDEX(I.Facility.P3IDNumber,1082))</f>
        <v/>
      </c>
      <c r="G16094" s="51"/>
      <c r="H16094" s="46" t="str">
        <f>IF(AND(I.Developer.P3=TRUE,I.Facility.P3FacilityCount&gt;=1082,F16094=""),"Incomplete","Complete")</f>
        <v>Complete</v>
      </c>
      <c r="I16094" s="48" t="s">
        <v>20459</v>
      </c>
    </row>
    <row r="16095" spans="2:9" ht="15" customHeight="1" x14ac:dyDescent="0.25">
      <c r="B16095" s="55" t="s">
        <v>282</v>
      </c>
      <c r="C16095" s="46">
        <v>1083</v>
      </c>
      <c r="D16095" s="69" t="s">
        <v>29419</v>
      </c>
      <c r="E16095" s="51"/>
      <c r="F16095" s="114" t="str">
        <f>IF(INDEX(I.Facility.P3IDNumber,1083)="","",INDEX(I.Facility.P3IDNumber,1083))</f>
        <v/>
      </c>
      <c r="G16095" s="51"/>
      <c r="H16095" s="46" t="str">
        <f>IF(AND(I.Developer.P3=TRUE,I.Facility.P3FacilityCount&gt;=1083,F16095=""),"Incomplete","Complete")</f>
        <v>Complete</v>
      </c>
      <c r="I16095" s="48" t="s">
        <v>20460</v>
      </c>
    </row>
    <row r="16096" spans="2:9" ht="15" customHeight="1" x14ac:dyDescent="0.25">
      <c r="B16096" s="55" t="s">
        <v>282</v>
      </c>
      <c r="C16096" s="46">
        <v>1084</v>
      </c>
      <c r="D16096" s="69" t="s">
        <v>29419</v>
      </c>
      <c r="E16096" s="51"/>
      <c r="F16096" s="114" t="str">
        <f>IF(INDEX(I.Facility.P3IDNumber,1084)="","",INDEX(I.Facility.P3IDNumber,1084))</f>
        <v/>
      </c>
      <c r="G16096" s="51"/>
      <c r="H16096" s="46" t="str">
        <f>IF(AND(I.Developer.P3=TRUE,I.Facility.P3FacilityCount&gt;=1084,F16096=""),"Incomplete","Complete")</f>
        <v>Complete</v>
      </c>
      <c r="I16096" s="48" t="s">
        <v>20461</v>
      </c>
    </row>
    <row r="16097" spans="2:9" ht="15" customHeight="1" x14ac:dyDescent="0.25">
      <c r="B16097" s="55" t="s">
        <v>282</v>
      </c>
      <c r="C16097" s="46">
        <v>1085</v>
      </c>
      <c r="D16097" s="69" t="s">
        <v>29419</v>
      </c>
      <c r="E16097" s="51"/>
      <c r="F16097" s="114" t="str">
        <f>IF(INDEX(I.Facility.P3IDNumber,1085)="","",INDEX(I.Facility.P3IDNumber,1085))</f>
        <v/>
      </c>
      <c r="G16097" s="51"/>
      <c r="H16097" s="46" t="str">
        <f>IF(AND(I.Developer.P3=TRUE,I.Facility.P3FacilityCount&gt;=1085,F16097=""),"Incomplete","Complete")</f>
        <v>Complete</v>
      </c>
      <c r="I16097" s="48" t="s">
        <v>20462</v>
      </c>
    </row>
    <row r="16098" spans="2:9" ht="15" customHeight="1" x14ac:dyDescent="0.25">
      <c r="B16098" s="55" t="s">
        <v>282</v>
      </c>
      <c r="C16098" s="46">
        <v>1086</v>
      </c>
      <c r="D16098" s="69" t="s">
        <v>29419</v>
      </c>
      <c r="E16098" s="51"/>
      <c r="F16098" s="114" t="str">
        <f>IF(INDEX(I.Facility.P3IDNumber,1086)="","",INDEX(I.Facility.P3IDNumber,1086))</f>
        <v/>
      </c>
      <c r="G16098" s="51"/>
      <c r="H16098" s="46" t="str">
        <f>IF(AND(I.Developer.P3=TRUE,I.Facility.P3FacilityCount&gt;=1086,F16098=""),"Incomplete","Complete")</f>
        <v>Complete</v>
      </c>
      <c r="I16098" s="48" t="s">
        <v>20463</v>
      </c>
    </row>
    <row r="16099" spans="2:9" ht="15" customHeight="1" x14ac:dyDescent="0.25">
      <c r="B16099" s="55" t="s">
        <v>282</v>
      </c>
      <c r="C16099" s="46">
        <v>1087</v>
      </c>
      <c r="D16099" s="69" t="s">
        <v>29419</v>
      </c>
      <c r="E16099" s="51"/>
      <c r="F16099" s="114" t="str">
        <f>IF(INDEX(I.Facility.P3IDNumber,1087)="","",INDEX(I.Facility.P3IDNumber,1087))</f>
        <v/>
      </c>
      <c r="G16099" s="51"/>
      <c r="H16099" s="46" t="str">
        <f>IF(AND(I.Developer.P3=TRUE,I.Facility.P3FacilityCount&gt;=1087,F16099=""),"Incomplete","Complete")</f>
        <v>Complete</v>
      </c>
      <c r="I16099" s="48" t="s">
        <v>20464</v>
      </c>
    </row>
    <row r="16100" spans="2:9" ht="15" customHeight="1" x14ac:dyDescent="0.25">
      <c r="B16100" s="55" t="s">
        <v>282</v>
      </c>
      <c r="C16100" s="46">
        <v>1088</v>
      </c>
      <c r="D16100" s="69" t="s">
        <v>29419</v>
      </c>
      <c r="E16100" s="51"/>
      <c r="F16100" s="114" t="str">
        <f>IF(INDEX(I.Facility.P3IDNumber,1088)="","",INDEX(I.Facility.P3IDNumber,1088))</f>
        <v/>
      </c>
      <c r="G16100" s="51"/>
      <c r="H16100" s="46" t="str">
        <f>IF(AND(I.Developer.P3=TRUE,I.Facility.P3FacilityCount&gt;=1088,F16100=""),"Incomplete","Complete")</f>
        <v>Complete</v>
      </c>
      <c r="I16100" s="48" t="s">
        <v>20465</v>
      </c>
    </row>
    <row r="16101" spans="2:9" ht="15" customHeight="1" x14ac:dyDescent="0.25">
      <c r="B16101" s="55" t="s">
        <v>282</v>
      </c>
      <c r="C16101" s="46">
        <v>1089</v>
      </c>
      <c r="D16101" s="69" t="s">
        <v>29419</v>
      </c>
      <c r="E16101" s="51"/>
      <c r="F16101" s="114" t="str">
        <f>IF(INDEX(I.Facility.P3IDNumber,1089)="","",INDEX(I.Facility.P3IDNumber,1089))</f>
        <v/>
      </c>
      <c r="G16101" s="51"/>
      <c r="H16101" s="46" t="str">
        <f>IF(AND(I.Developer.P3=TRUE,I.Facility.P3FacilityCount&gt;=1089,F16101=""),"Incomplete","Complete")</f>
        <v>Complete</v>
      </c>
      <c r="I16101" s="48" t="s">
        <v>20466</v>
      </c>
    </row>
    <row r="16102" spans="2:9" ht="15" customHeight="1" x14ac:dyDescent="0.25">
      <c r="B16102" s="55" t="s">
        <v>282</v>
      </c>
      <c r="C16102" s="46">
        <v>1090</v>
      </c>
      <c r="D16102" s="69" t="s">
        <v>29419</v>
      </c>
      <c r="E16102" s="51"/>
      <c r="F16102" s="114" t="str">
        <f>IF(INDEX(I.Facility.P3IDNumber,1090)="","",INDEX(I.Facility.P3IDNumber,1090))</f>
        <v/>
      </c>
      <c r="G16102" s="51"/>
      <c r="H16102" s="46" t="str">
        <f>IF(AND(I.Developer.P3=TRUE,I.Facility.P3FacilityCount&gt;=1090,F16102=""),"Incomplete","Complete")</f>
        <v>Complete</v>
      </c>
      <c r="I16102" s="48" t="s">
        <v>20467</v>
      </c>
    </row>
    <row r="16103" spans="2:9" ht="15" customHeight="1" x14ac:dyDescent="0.25">
      <c r="B16103" s="55" t="s">
        <v>282</v>
      </c>
      <c r="C16103" s="46">
        <v>1091</v>
      </c>
      <c r="D16103" s="69" t="s">
        <v>29419</v>
      </c>
      <c r="E16103" s="51"/>
      <c r="F16103" s="114" t="str">
        <f>IF(INDEX(I.Facility.P3IDNumber,1091)="","",INDEX(I.Facility.P3IDNumber,1091))</f>
        <v/>
      </c>
      <c r="G16103" s="51"/>
      <c r="H16103" s="46" t="str">
        <f>IF(AND(I.Developer.P3=TRUE,I.Facility.P3FacilityCount&gt;=1091,F16103=""),"Incomplete","Complete")</f>
        <v>Complete</v>
      </c>
      <c r="I16103" s="48" t="s">
        <v>20468</v>
      </c>
    </row>
    <row r="16104" spans="2:9" ht="15" customHeight="1" x14ac:dyDescent="0.25">
      <c r="B16104" s="55" t="s">
        <v>282</v>
      </c>
      <c r="C16104" s="46">
        <v>1092</v>
      </c>
      <c r="D16104" s="69" t="s">
        <v>29419</v>
      </c>
      <c r="E16104" s="51"/>
      <c r="F16104" s="114" t="str">
        <f>IF(INDEX(I.Facility.P3IDNumber,1092)="","",INDEX(I.Facility.P3IDNumber,1092))</f>
        <v/>
      </c>
      <c r="G16104" s="51"/>
      <c r="H16104" s="46" t="str">
        <f>IF(AND(I.Developer.P3=TRUE,I.Facility.P3FacilityCount&gt;=1092,F16104=""),"Incomplete","Complete")</f>
        <v>Complete</v>
      </c>
      <c r="I16104" s="48" t="s">
        <v>20469</v>
      </c>
    </row>
    <row r="16105" spans="2:9" ht="15" customHeight="1" x14ac:dyDescent="0.25">
      <c r="B16105" s="55" t="s">
        <v>282</v>
      </c>
      <c r="C16105" s="46">
        <v>1093</v>
      </c>
      <c r="D16105" s="69" t="s">
        <v>29419</v>
      </c>
      <c r="E16105" s="51"/>
      <c r="F16105" s="114" t="str">
        <f>IF(INDEX(I.Facility.P3IDNumber,1093)="","",INDEX(I.Facility.P3IDNumber,1093))</f>
        <v/>
      </c>
      <c r="G16105" s="51"/>
      <c r="H16105" s="46" t="str">
        <f>IF(AND(I.Developer.P3=TRUE,I.Facility.P3FacilityCount&gt;=1093,F16105=""),"Incomplete","Complete")</f>
        <v>Complete</v>
      </c>
      <c r="I16105" s="48" t="s">
        <v>20470</v>
      </c>
    </row>
    <row r="16106" spans="2:9" ht="15" customHeight="1" x14ac:dyDescent="0.25">
      <c r="B16106" s="55" t="s">
        <v>282</v>
      </c>
      <c r="C16106" s="46">
        <v>1094</v>
      </c>
      <c r="D16106" s="69" t="s">
        <v>29419</v>
      </c>
      <c r="E16106" s="51"/>
      <c r="F16106" s="114" t="str">
        <f>IF(INDEX(I.Facility.P3IDNumber,1094)="","",INDEX(I.Facility.P3IDNumber,1094))</f>
        <v/>
      </c>
      <c r="G16106" s="51"/>
      <c r="H16106" s="46" t="str">
        <f>IF(AND(I.Developer.P3=TRUE,I.Facility.P3FacilityCount&gt;=1094,F16106=""),"Incomplete","Complete")</f>
        <v>Complete</v>
      </c>
      <c r="I16106" s="48" t="s">
        <v>20471</v>
      </c>
    </row>
    <row r="16107" spans="2:9" ht="15" customHeight="1" x14ac:dyDescent="0.25">
      <c r="B16107" s="55" t="s">
        <v>282</v>
      </c>
      <c r="C16107" s="46">
        <v>1095</v>
      </c>
      <c r="D16107" s="69" t="s">
        <v>29419</v>
      </c>
      <c r="E16107" s="51"/>
      <c r="F16107" s="114" t="str">
        <f>IF(INDEX(I.Facility.P3IDNumber,1095)="","",INDEX(I.Facility.P3IDNumber,1095))</f>
        <v/>
      </c>
      <c r="G16107" s="51"/>
      <c r="H16107" s="46" t="str">
        <f>IF(AND(I.Developer.P3=TRUE,I.Facility.P3FacilityCount&gt;=1095,F16107=""),"Incomplete","Complete")</f>
        <v>Complete</v>
      </c>
      <c r="I16107" s="48" t="s">
        <v>20472</v>
      </c>
    </row>
    <row r="16108" spans="2:9" ht="15" customHeight="1" x14ac:dyDescent="0.25">
      <c r="B16108" s="55" t="s">
        <v>282</v>
      </c>
      <c r="C16108" s="46">
        <v>1096</v>
      </c>
      <c r="D16108" s="69" t="s">
        <v>29419</v>
      </c>
      <c r="E16108" s="51"/>
      <c r="F16108" s="114" t="str">
        <f>IF(INDEX(I.Facility.P3IDNumber,1096)="","",INDEX(I.Facility.P3IDNumber,1096))</f>
        <v/>
      </c>
      <c r="G16108" s="51"/>
      <c r="H16108" s="46" t="str">
        <f>IF(AND(I.Developer.P3=TRUE,I.Facility.P3FacilityCount&gt;=1096,F16108=""),"Incomplete","Complete")</f>
        <v>Complete</v>
      </c>
      <c r="I16108" s="48" t="s">
        <v>20473</v>
      </c>
    </row>
    <row r="16109" spans="2:9" ht="15" customHeight="1" x14ac:dyDescent="0.25">
      <c r="B16109" s="55" t="s">
        <v>282</v>
      </c>
      <c r="C16109" s="46">
        <v>1097</v>
      </c>
      <c r="D16109" s="69" t="s">
        <v>29419</v>
      </c>
      <c r="E16109" s="51"/>
      <c r="F16109" s="114" t="str">
        <f>IF(INDEX(I.Facility.P3IDNumber,1097)="","",INDEX(I.Facility.P3IDNumber,1097))</f>
        <v/>
      </c>
      <c r="G16109" s="51"/>
      <c r="H16109" s="46" t="str">
        <f>IF(AND(I.Developer.P3=TRUE,I.Facility.P3FacilityCount&gt;=1097,F16109=""),"Incomplete","Complete")</f>
        <v>Complete</v>
      </c>
      <c r="I16109" s="48" t="s">
        <v>20474</v>
      </c>
    </row>
    <row r="16110" spans="2:9" ht="15" customHeight="1" x14ac:dyDescent="0.25">
      <c r="B16110" s="55" t="s">
        <v>282</v>
      </c>
      <c r="C16110" s="46">
        <v>1098</v>
      </c>
      <c r="D16110" s="69" t="s">
        <v>29419</v>
      </c>
      <c r="E16110" s="51"/>
      <c r="F16110" s="114" t="str">
        <f>IF(INDEX(I.Facility.P3IDNumber,1098)="","",INDEX(I.Facility.P3IDNumber,1098))</f>
        <v/>
      </c>
      <c r="G16110" s="51"/>
      <c r="H16110" s="46" t="str">
        <f>IF(AND(I.Developer.P3=TRUE,I.Facility.P3FacilityCount&gt;=1098,F16110=""),"Incomplete","Complete")</f>
        <v>Complete</v>
      </c>
      <c r="I16110" s="48" t="s">
        <v>20475</v>
      </c>
    </row>
    <row r="16111" spans="2:9" ht="15" customHeight="1" x14ac:dyDescent="0.25">
      <c r="B16111" s="55" t="s">
        <v>282</v>
      </c>
      <c r="C16111" s="46">
        <v>1099</v>
      </c>
      <c r="D16111" s="69" t="s">
        <v>29419</v>
      </c>
      <c r="E16111" s="51"/>
      <c r="F16111" s="114" t="str">
        <f>IF(INDEX(I.Facility.P3IDNumber,1099)="","",INDEX(I.Facility.P3IDNumber,1099))</f>
        <v/>
      </c>
      <c r="G16111" s="51"/>
      <c r="H16111" s="46" t="str">
        <f>IF(AND(I.Developer.P3=TRUE,I.Facility.P3FacilityCount&gt;=1099,F16111=""),"Incomplete","Complete")</f>
        <v>Complete</v>
      </c>
      <c r="I16111" s="48" t="s">
        <v>20476</v>
      </c>
    </row>
    <row r="16112" spans="2:9" ht="15" customHeight="1" x14ac:dyDescent="0.25">
      <c r="B16112" s="55" t="s">
        <v>282</v>
      </c>
      <c r="C16112" s="46">
        <v>1100</v>
      </c>
      <c r="D16112" s="69" t="s">
        <v>29419</v>
      </c>
      <c r="E16112" s="51"/>
      <c r="F16112" s="114" t="str">
        <f>IF(INDEX(I.Facility.P3IDNumber,1100)="","",INDEX(I.Facility.P3IDNumber,1100))</f>
        <v/>
      </c>
      <c r="G16112" s="51"/>
      <c r="H16112" s="46" t="str">
        <f>IF(AND(I.Developer.P3=TRUE,I.Facility.P3FacilityCount&gt;=1100,F16112=""),"Incomplete","Complete")</f>
        <v>Complete</v>
      </c>
      <c r="I16112" s="48" t="s">
        <v>20477</v>
      </c>
    </row>
    <row r="16113" spans="2:9" ht="15" customHeight="1" x14ac:dyDescent="0.25">
      <c r="B16113" s="55" t="s">
        <v>282</v>
      </c>
      <c r="C16113" s="46">
        <v>1101</v>
      </c>
      <c r="D16113" s="69" t="s">
        <v>29419</v>
      </c>
      <c r="E16113" s="51"/>
      <c r="F16113" s="114" t="str">
        <f>IF(INDEX(I.Facility.P3IDNumber,1101)="","",INDEX(I.Facility.P3IDNumber,1101))</f>
        <v/>
      </c>
      <c r="G16113" s="51"/>
      <c r="H16113" s="46" t="str">
        <f>IF(AND(I.Developer.P3=TRUE,I.Facility.P3FacilityCount&gt;=1101,F16113=""),"Incomplete","Complete")</f>
        <v>Complete</v>
      </c>
      <c r="I16113" s="48" t="s">
        <v>20478</v>
      </c>
    </row>
    <row r="16114" spans="2:9" ht="15" customHeight="1" x14ac:dyDescent="0.25">
      <c r="B16114" s="55" t="s">
        <v>282</v>
      </c>
      <c r="C16114" s="46">
        <v>1102</v>
      </c>
      <c r="D16114" s="69" t="s">
        <v>29419</v>
      </c>
      <c r="E16114" s="51"/>
      <c r="F16114" s="114" t="str">
        <f>IF(INDEX(I.Facility.P3IDNumber,1102)="","",INDEX(I.Facility.P3IDNumber,1102))</f>
        <v/>
      </c>
      <c r="G16114" s="51"/>
      <c r="H16114" s="46" t="str">
        <f>IF(AND(I.Developer.P3=TRUE,I.Facility.P3FacilityCount&gt;=1102,F16114=""),"Incomplete","Complete")</f>
        <v>Complete</v>
      </c>
      <c r="I16114" s="48" t="s">
        <v>20479</v>
      </c>
    </row>
    <row r="16115" spans="2:9" ht="15" customHeight="1" x14ac:dyDescent="0.25">
      <c r="B16115" s="55" t="s">
        <v>282</v>
      </c>
      <c r="C16115" s="46">
        <v>1103</v>
      </c>
      <c r="D16115" s="69" t="s">
        <v>29419</v>
      </c>
      <c r="E16115" s="51"/>
      <c r="F16115" s="114" t="str">
        <f>IF(INDEX(I.Facility.P3IDNumber,1103)="","",INDEX(I.Facility.P3IDNumber,1103))</f>
        <v/>
      </c>
      <c r="G16115" s="51"/>
      <c r="H16115" s="46" t="str">
        <f>IF(AND(I.Developer.P3=TRUE,I.Facility.P3FacilityCount&gt;=1103,F16115=""),"Incomplete","Complete")</f>
        <v>Complete</v>
      </c>
      <c r="I16115" s="48" t="s">
        <v>20480</v>
      </c>
    </row>
    <row r="16116" spans="2:9" ht="15" customHeight="1" x14ac:dyDescent="0.25">
      <c r="B16116" s="55" t="s">
        <v>282</v>
      </c>
      <c r="C16116" s="46">
        <v>1104</v>
      </c>
      <c r="D16116" s="69" t="s">
        <v>29419</v>
      </c>
      <c r="E16116" s="51"/>
      <c r="F16116" s="114" t="str">
        <f>IF(INDEX(I.Facility.P3IDNumber,1104)="","",INDEX(I.Facility.P3IDNumber,1104))</f>
        <v/>
      </c>
      <c r="G16116" s="51"/>
      <c r="H16116" s="46" t="str">
        <f>IF(AND(I.Developer.P3=TRUE,I.Facility.P3FacilityCount&gt;=1104,F16116=""),"Incomplete","Complete")</f>
        <v>Complete</v>
      </c>
      <c r="I16116" s="48" t="s">
        <v>20481</v>
      </c>
    </row>
    <row r="16117" spans="2:9" ht="15" customHeight="1" x14ac:dyDescent="0.25">
      <c r="B16117" s="55" t="s">
        <v>282</v>
      </c>
      <c r="C16117" s="46">
        <v>1105</v>
      </c>
      <c r="D16117" s="69" t="s">
        <v>29419</v>
      </c>
      <c r="E16117" s="51"/>
      <c r="F16117" s="114" t="str">
        <f>IF(INDEX(I.Facility.P3IDNumber,1105)="","",INDEX(I.Facility.P3IDNumber,1105))</f>
        <v/>
      </c>
      <c r="G16117" s="51"/>
      <c r="H16117" s="46" t="str">
        <f>IF(AND(I.Developer.P3=TRUE,I.Facility.P3FacilityCount&gt;=1105,F16117=""),"Incomplete","Complete")</f>
        <v>Complete</v>
      </c>
      <c r="I16117" s="48" t="s">
        <v>20482</v>
      </c>
    </row>
    <row r="16118" spans="2:9" ht="15" customHeight="1" x14ac:dyDescent="0.25">
      <c r="B16118" s="55" t="s">
        <v>282</v>
      </c>
      <c r="C16118" s="46">
        <v>1106</v>
      </c>
      <c r="D16118" s="69" t="s">
        <v>29419</v>
      </c>
      <c r="E16118" s="51"/>
      <c r="F16118" s="114" t="str">
        <f>IF(INDEX(I.Facility.P3IDNumber,1106)="","",INDEX(I.Facility.P3IDNumber,1106))</f>
        <v/>
      </c>
      <c r="G16118" s="51"/>
      <c r="H16118" s="46" t="str">
        <f>IF(AND(I.Developer.P3=TRUE,I.Facility.P3FacilityCount&gt;=1106,F16118=""),"Incomplete","Complete")</f>
        <v>Complete</v>
      </c>
      <c r="I16118" s="48" t="s">
        <v>20483</v>
      </c>
    </row>
    <row r="16119" spans="2:9" ht="15" customHeight="1" x14ac:dyDescent="0.25">
      <c r="B16119" s="55" t="s">
        <v>282</v>
      </c>
      <c r="C16119" s="46">
        <v>1107</v>
      </c>
      <c r="D16119" s="69" t="s">
        <v>29419</v>
      </c>
      <c r="E16119" s="51"/>
      <c r="F16119" s="114" t="str">
        <f>IF(INDEX(I.Facility.P3IDNumber,1107)="","",INDEX(I.Facility.P3IDNumber,1107))</f>
        <v/>
      </c>
      <c r="G16119" s="51"/>
      <c r="H16119" s="46" t="str">
        <f>IF(AND(I.Developer.P3=TRUE,I.Facility.P3FacilityCount&gt;=1107,F16119=""),"Incomplete","Complete")</f>
        <v>Complete</v>
      </c>
      <c r="I16119" s="48" t="s">
        <v>20484</v>
      </c>
    </row>
    <row r="16120" spans="2:9" ht="15" customHeight="1" x14ac:dyDescent="0.25">
      <c r="B16120" s="55" t="s">
        <v>282</v>
      </c>
      <c r="C16120" s="46">
        <v>1108</v>
      </c>
      <c r="D16120" s="69" t="s">
        <v>29419</v>
      </c>
      <c r="E16120" s="51"/>
      <c r="F16120" s="114" t="str">
        <f>IF(INDEX(I.Facility.P3IDNumber,1108)="","",INDEX(I.Facility.P3IDNumber,1108))</f>
        <v/>
      </c>
      <c r="G16120" s="51"/>
      <c r="H16120" s="46" t="str">
        <f>IF(AND(I.Developer.P3=TRUE,I.Facility.P3FacilityCount&gt;=1108,F16120=""),"Incomplete","Complete")</f>
        <v>Complete</v>
      </c>
      <c r="I16120" s="48" t="s">
        <v>20485</v>
      </c>
    </row>
    <row r="16121" spans="2:9" ht="15" customHeight="1" x14ac:dyDescent="0.25">
      <c r="B16121" s="55" t="s">
        <v>282</v>
      </c>
      <c r="C16121" s="46">
        <v>1109</v>
      </c>
      <c r="D16121" s="69" t="s">
        <v>29419</v>
      </c>
      <c r="E16121" s="51"/>
      <c r="F16121" s="114" t="str">
        <f>IF(INDEX(I.Facility.P3IDNumber,1109)="","",INDEX(I.Facility.P3IDNumber,1109))</f>
        <v/>
      </c>
      <c r="G16121" s="51"/>
      <c r="H16121" s="46" t="str">
        <f>IF(AND(I.Developer.P3=TRUE,I.Facility.P3FacilityCount&gt;=1109,F16121=""),"Incomplete","Complete")</f>
        <v>Complete</v>
      </c>
      <c r="I16121" s="48" t="s">
        <v>20486</v>
      </c>
    </row>
    <row r="16122" spans="2:9" ht="15" customHeight="1" x14ac:dyDescent="0.25">
      <c r="B16122" s="55" t="s">
        <v>282</v>
      </c>
      <c r="C16122" s="46">
        <v>1110</v>
      </c>
      <c r="D16122" s="69" t="s">
        <v>29419</v>
      </c>
      <c r="E16122" s="51"/>
      <c r="F16122" s="114" t="str">
        <f>IF(INDEX(I.Facility.P3IDNumber,1110)="","",INDEX(I.Facility.P3IDNumber,1110))</f>
        <v/>
      </c>
      <c r="G16122" s="51"/>
      <c r="H16122" s="46" t="str">
        <f>IF(AND(I.Developer.P3=TRUE,I.Facility.P3FacilityCount&gt;=1110,F16122=""),"Incomplete","Complete")</f>
        <v>Complete</v>
      </c>
      <c r="I16122" s="48" t="s">
        <v>20487</v>
      </c>
    </row>
    <row r="16123" spans="2:9" ht="15" customHeight="1" x14ac:dyDescent="0.25">
      <c r="B16123" s="55" t="s">
        <v>282</v>
      </c>
      <c r="C16123" s="46">
        <v>1111</v>
      </c>
      <c r="D16123" s="69" t="s">
        <v>29419</v>
      </c>
      <c r="E16123" s="51"/>
      <c r="F16123" s="114" t="str">
        <f>IF(INDEX(I.Facility.P3IDNumber,1111)="","",INDEX(I.Facility.P3IDNumber,1111))</f>
        <v/>
      </c>
      <c r="G16123" s="51"/>
      <c r="H16123" s="46" t="str">
        <f>IF(AND(I.Developer.P3=TRUE,I.Facility.P3FacilityCount&gt;=1111,F16123=""),"Incomplete","Complete")</f>
        <v>Complete</v>
      </c>
      <c r="I16123" s="48" t="s">
        <v>20488</v>
      </c>
    </row>
    <row r="16124" spans="2:9" ht="15" customHeight="1" x14ac:dyDescent="0.25">
      <c r="B16124" s="55" t="s">
        <v>282</v>
      </c>
      <c r="C16124" s="46">
        <v>1112</v>
      </c>
      <c r="D16124" s="69" t="s">
        <v>29419</v>
      </c>
      <c r="E16124" s="51"/>
      <c r="F16124" s="114" t="str">
        <f>IF(INDEX(I.Facility.P3IDNumber,1112)="","",INDEX(I.Facility.P3IDNumber,1112))</f>
        <v/>
      </c>
      <c r="G16124" s="51"/>
      <c r="H16124" s="46" t="str">
        <f>IF(AND(I.Developer.P3=TRUE,I.Facility.P3FacilityCount&gt;=1112,F16124=""),"Incomplete","Complete")</f>
        <v>Complete</v>
      </c>
      <c r="I16124" s="48" t="s">
        <v>20489</v>
      </c>
    </row>
    <row r="16125" spans="2:9" ht="15" customHeight="1" x14ac:dyDescent="0.25">
      <c r="B16125" s="55" t="s">
        <v>282</v>
      </c>
      <c r="C16125" s="46">
        <v>1113</v>
      </c>
      <c r="D16125" s="69" t="s">
        <v>29419</v>
      </c>
      <c r="E16125" s="51"/>
      <c r="F16125" s="114" t="str">
        <f>IF(INDEX(I.Facility.P3IDNumber,1113)="","",INDEX(I.Facility.P3IDNumber,1113))</f>
        <v/>
      </c>
      <c r="G16125" s="51"/>
      <c r="H16125" s="46" t="str">
        <f>IF(AND(I.Developer.P3=TRUE,I.Facility.P3FacilityCount&gt;=1113,F16125=""),"Incomplete","Complete")</f>
        <v>Complete</v>
      </c>
      <c r="I16125" s="48" t="s">
        <v>20490</v>
      </c>
    </row>
    <row r="16126" spans="2:9" ht="15" customHeight="1" x14ac:dyDescent="0.25">
      <c r="B16126" s="55" t="s">
        <v>282</v>
      </c>
      <c r="C16126" s="46">
        <v>1114</v>
      </c>
      <c r="D16126" s="69" t="s">
        <v>29419</v>
      </c>
      <c r="E16126" s="51"/>
      <c r="F16126" s="114" t="str">
        <f>IF(INDEX(I.Facility.P3IDNumber,1114)="","",INDEX(I.Facility.P3IDNumber,1114))</f>
        <v/>
      </c>
      <c r="G16126" s="51"/>
      <c r="H16126" s="46" t="str">
        <f>IF(AND(I.Developer.P3=TRUE,I.Facility.P3FacilityCount&gt;=1114,F16126=""),"Incomplete","Complete")</f>
        <v>Complete</v>
      </c>
      <c r="I16126" s="48" t="s">
        <v>20491</v>
      </c>
    </row>
    <row r="16127" spans="2:9" ht="15" customHeight="1" x14ac:dyDescent="0.25">
      <c r="B16127" s="55" t="s">
        <v>282</v>
      </c>
      <c r="C16127" s="46">
        <v>1115</v>
      </c>
      <c r="D16127" s="69" t="s">
        <v>29419</v>
      </c>
      <c r="E16127" s="51"/>
      <c r="F16127" s="114" t="str">
        <f>IF(INDEX(I.Facility.P3IDNumber,1115)="","",INDEX(I.Facility.P3IDNumber,1115))</f>
        <v/>
      </c>
      <c r="G16127" s="51"/>
      <c r="H16127" s="46" t="str">
        <f>IF(AND(I.Developer.P3=TRUE,I.Facility.P3FacilityCount&gt;=1115,F16127=""),"Incomplete","Complete")</f>
        <v>Complete</v>
      </c>
      <c r="I16127" s="48" t="s">
        <v>20492</v>
      </c>
    </row>
    <row r="16128" spans="2:9" ht="15" customHeight="1" x14ac:dyDescent="0.25">
      <c r="B16128" s="55" t="s">
        <v>282</v>
      </c>
      <c r="C16128" s="46">
        <v>1116</v>
      </c>
      <c r="D16128" s="69" t="s">
        <v>29419</v>
      </c>
      <c r="E16128" s="51"/>
      <c r="F16128" s="114" t="str">
        <f>IF(INDEX(I.Facility.P3IDNumber,1116)="","",INDEX(I.Facility.P3IDNumber,1116))</f>
        <v/>
      </c>
      <c r="G16128" s="51"/>
      <c r="H16128" s="46" t="str">
        <f>IF(AND(I.Developer.P3=TRUE,I.Facility.P3FacilityCount&gt;=1116,F16128=""),"Incomplete","Complete")</f>
        <v>Complete</v>
      </c>
      <c r="I16128" s="48" t="s">
        <v>20493</v>
      </c>
    </row>
    <row r="16129" spans="2:9" ht="15" customHeight="1" x14ac:dyDescent="0.25">
      <c r="B16129" s="55" t="s">
        <v>282</v>
      </c>
      <c r="C16129" s="46">
        <v>1117</v>
      </c>
      <c r="D16129" s="69" t="s">
        <v>29419</v>
      </c>
      <c r="E16129" s="51"/>
      <c r="F16129" s="114" t="str">
        <f>IF(INDEX(I.Facility.P3IDNumber,1117)="","",INDEX(I.Facility.P3IDNumber,1117))</f>
        <v/>
      </c>
      <c r="G16129" s="51"/>
      <c r="H16129" s="46" t="str">
        <f>IF(AND(I.Developer.P3=TRUE,I.Facility.P3FacilityCount&gt;=1117,F16129=""),"Incomplete","Complete")</f>
        <v>Complete</v>
      </c>
      <c r="I16129" s="48" t="s">
        <v>20494</v>
      </c>
    </row>
    <row r="16130" spans="2:9" ht="15" customHeight="1" x14ac:dyDescent="0.25">
      <c r="B16130" s="55" t="s">
        <v>282</v>
      </c>
      <c r="C16130" s="46">
        <v>1118</v>
      </c>
      <c r="D16130" s="69" t="s">
        <v>29419</v>
      </c>
      <c r="E16130" s="51"/>
      <c r="F16130" s="114" t="str">
        <f>IF(INDEX(I.Facility.P3IDNumber,1118)="","",INDEX(I.Facility.P3IDNumber,1118))</f>
        <v/>
      </c>
      <c r="G16130" s="51"/>
      <c r="H16130" s="46" t="str">
        <f>IF(AND(I.Developer.P3=TRUE,I.Facility.P3FacilityCount&gt;=1118,F16130=""),"Incomplete","Complete")</f>
        <v>Complete</v>
      </c>
      <c r="I16130" s="48" t="s">
        <v>20495</v>
      </c>
    </row>
    <row r="16131" spans="2:9" ht="15" customHeight="1" x14ac:dyDescent="0.25">
      <c r="B16131" s="55" t="s">
        <v>282</v>
      </c>
      <c r="C16131" s="46">
        <v>1119</v>
      </c>
      <c r="D16131" s="69" t="s">
        <v>29419</v>
      </c>
      <c r="E16131" s="51"/>
      <c r="F16131" s="114" t="str">
        <f>IF(INDEX(I.Facility.P3IDNumber,1119)="","",INDEX(I.Facility.P3IDNumber,1119))</f>
        <v/>
      </c>
      <c r="G16131" s="51"/>
      <c r="H16131" s="46" t="str">
        <f>IF(AND(I.Developer.P3=TRUE,I.Facility.P3FacilityCount&gt;=1119,F16131=""),"Incomplete","Complete")</f>
        <v>Complete</v>
      </c>
      <c r="I16131" s="48" t="s">
        <v>20496</v>
      </c>
    </row>
    <row r="16132" spans="2:9" ht="15" customHeight="1" x14ac:dyDescent="0.25">
      <c r="B16132" s="55" t="s">
        <v>282</v>
      </c>
      <c r="C16132" s="46">
        <v>1120</v>
      </c>
      <c r="D16132" s="69" t="s">
        <v>29419</v>
      </c>
      <c r="E16132" s="51"/>
      <c r="F16132" s="114" t="str">
        <f>IF(INDEX(I.Facility.P3IDNumber,1120)="","",INDEX(I.Facility.P3IDNumber,1120))</f>
        <v/>
      </c>
      <c r="G16132" s="51"/>
      <c r="H16132" s="46" t="str">
        <f>IF(AND(I.Developer.P3=TRUE,I.Facility.P3FacilityCount&gt;=1120,F16132=""),"Incomplete","Complete")</f>
        <v>Complete</v>
      </c>
      <c r="I16132" s="48" t="s">
        <v>20497</v>
      </c>
    </row>
    <row r="16133" spans="2:9" ht="15" customHeight="1" x14ac:dyDescent="0.25">
      <c r="B16133" s="55" t="s">
        <v>282</v>
      </c>
      <c r="C16133" s="46">
        <v>1121</v>
      </c>
      <c r="D16133" s="69" t="s">
        <v>29419</v>
      </c>
      <c r="E16133" s="51"/>
      <c r="F16133" s="114" t="str">
        <f>IF(INDEX(I.Facility.P3IDNumber,1121)="","",INDEX(I.Facility.P3IDNumber,1121))</f>
        <v/>
      </c>
      <c r="G16133" s="51"/>
      <c r="H16133" s="46" t="str">
        <f>IF(AND(I.Developer.P3=TRUE,I.Facility.P3FacilityCount&gt;=1121,F16133=""),"Incomplete","Complete")</f>
        <v>Complete</v>
      </c>
      <c r="I16133" s="48" t="s">
        <v>20498</v>
      </c>
    </row>
    <row r="16134" spans="2:9" ht="15" customHeight="1" x14ac:dyDescent="0.25">
      <c r="B16134" s="55" t="s">
        <v>282</v>
      </c>
      <c r="C16134" s="46">
        <v>1122</v>
      </c>
      <c r="D16134" s="69" t="s">
        <v>29419</v>
      </c>
      <c r="E16134" s="51"/>
      <c r="F16134" s="114" t="str">
        <f>IF(INDEX(I.Facility.P3IDNumber,1122)="","",INDEX(I.Facility.P3IDNumber,1122))</f>
        <v/>
      </c>
      <c r="G16134" s="51"/>
      <c r="H16134" s="46" t="str">
        <f>IF(AND(I.Developer.P3=TRUE,I.Facility.P3FacilityCount&gt;=1122,F16134=""),"Incomplete","Complete")</f>
        <v>Complete</v>
      </c>
      <c r="I16134" s="48" t="s">
        <v>20499</v>
      </c>
    </row>
    <row r="16135" spans="2:9" ht="15" customHeight="1" x14ac:dyDescent="0.25">
      <c r="B16135" s="55" t="s">
        <v>282</v>
      </c>
      <c r="C16135" s="46">
        <v>1123</v>
      </c>
      <c r="D16135" s="69" t="s">
        <v>29419</v>
      </c>
      <c r="E16135" s="51"/>
      <c r="F16135" s="114" t="str">
        <f>IF(INDEX(I.Facility.P3IDNumber,1123)="","",INDEX(I.Facility.P3IDNumber,1123))</f>
        <v/>
      </c>
      <c r="G16135" s="51"/>
      <c r="H16135" s="46" t="str">
        <f>IF(AND(I.Developer.P3=TRUE,I.Facility.P3FacilityCount&gt;=1123,F16135=""),"Incomplete","Complete")</f>
        <v>Complete</v>
      </c>
      <c r="I16135" s="48" t="s">
        <v>20500</v>
      </c>
    </row>
    <row r="16136" spans="2:9" ht="15" customHeight="1" x14ac:dyDescent="0.25">
      <c r="B16136" s="55" t="s">
        <v>282</v>
      </c>
      <c r="C16136" s="46">
        <v>1124</v>
      </c>
      <c r="D16136" s="69" t="s">
        <v>29419</v>
      </c>
      <c r="E16136" s="51"/>
      <c r="F16136" s="114" t="str">
        <f>IF(INDEX(I.Facility.P3IDNumber,1124)="","",INDEX(I.Facility.P3IDNumber,1124))</f>
        <v/>
      </c>
      <c r="G16136" s="51"/>
      <c r="H16136" s="46" t="str">
        <f>IF(AND(I.Developer.P3=TRUE,I.Facility.P3FacilityCount&gt;=1124,F16136=""),"Incomplete","Complete")</f>
        <v>Complete</v>
      </c>
      <c r="I16136" s="48" t="s">
        <v>20501</v>
      </c>
    </row>
    <row r="16137" spans="2:9" ht="15" customHeight="1" x14ac:dyDescent="0.25">
      <c r="B16137" s="55" t="s">
        <v>282</v>
      </c>
      <c r="C16137" s="46">
        <v>1125</v>
      </c>
      <c r="D16137" s="69" t="s">
        <v>29419</v>
      </c>
      <c r="E16137" s="51"/>
      <c r="F16137" s="114" t="str">
        <f>IF(INDEX(I.Facility.P3IDNumber,1125)="","",INDEX(I.Facility.P3IDNumber,1125))</f>
        <v/>
      </c>
      <c r="G16137" s="51"/>
      <c r="H16137" s="46" t="str">
        <f>IF(AND(I.Developer.P3=TRUE,I.Facility.P3FacilityCount&gt;=1125,F16137=""),"Incomplete","Complete")</f>
        <v>Complete</v>
      </c>
      <c r="I16137" s="48" t="s">
        <v>20502</v>
      </c>
    </row>
    <row r="16138" spans="2:9" ht="15" customHeight="1" x14ac:dyDescent="0.25">
      <c r="B16138" s="55" t="s">
        <v>282</v>
      </c>
      <c r="C16138" s="46">
        <v>1126</v>
      </c>
      <c r="D16138" s="69" t="s">
        <v>29419</v>
      </c>
      <c r="E16138" s="51"/>
      <c r="F16138" s="114" t="str">
        <f>IF(INDEX(I.Facility.P3IDNumber,1126)="","",INDEX(I.Facility.P3IDNumber,1126))</f>
        <v/>
      </c>
      <c r="G16138" s="51"/>
      <c r="H16138" s="46" t="str">
        <f>IF(AND(I.Developer.P3=TRUE,I.Facility.P3FacilityCount&gt;=1126,F16138=""),"Incomplete","Complete")</f>
        <v>Complete</v>
      </c>
      <c r="I16138" s="48" t="s">
        <v>20503</v>
      </c>
    </row>
    <row r="16139" spans="2:9" ht="15" customHeight="1" x14ac:dyDescent="0.25">
      <c r="B16139" s="55" t="s">
        <v>282</v>
      </c>
      <c r="C16139" s="46">
        <v>1127</v>
      </c>
      <c r="D16139" s="69" t="s">
        <v>29419</v>
      </c>
      <c r="E16139" s="51"/>
      <c r="F16139" s="114" t="str">
        <f>IF(INDEX(I.Facility.P3IDNumber,1127)="","",INDEX(I.Facility.P3IDNumber,1127))</f>
        <v/>
      </c>
      <c r="G16139" s="51"/>
      <c r="H16139" s="46" t="str">
        <f>IF(AND(I.Developer.P3=TRUE,I.Facility.P3FacilityCount&gt;=1127,F16139=""),"Incomplete","Complete")</f>
        <v>Complete</v>
      </c>
      <c r="I16139" s="48" t="s">
        <v>20504</v>
      </c>
    </row>
    <row r="16140" spans="2:9" ht="15" customHeight="1" x14ac:dyDescent="0.25">
      <c r="B16140" s="55" t="s">
        <v>282</v>
      </c>
      <c r="C16140" s="46">
        <v>1128</v>
      </c>
      <c r="D16140" s="69" t="s">
        <v>29419</v>
      </c>
      <c r="E16140" s="51"/>
      <c r="F16140" s="114" t="str">
        <f>IF(INDEX(I.Facility.P3IDNumber,1128)="","",INDEX(I.Facility.P3IDNumber,1128))</f>
        <v/>
      </c>
      <c r="G16140" s="51"/>
      <c r="H16140" s="46" t="str">
        <f>IF(AND(I.Developer.P3=TRUE,I.Facility.P3FacilityCount&gt;=1128,F16140=""),"Incomplete","Complete")</f>
        <v>Complete</v>
      </c>
      <c r="I16140" s="48" t="s">
        <v>20505</v>
      </c>
    </row>
    <row r="16141" spans="2:9" ht="15" customHeight="1" x14ac:dyDescent="0.25">
      <c r="B16141" s="55" t="s">
        <v>282</v>
      </c>
      <c r="C16141" s="46">
        <v>1129</v>
      </c>
      <c r="D16141" s="69" t="s">
        <v>29419</v>
      </c>
      <c r="E16141" s="51"/>
      <c r="F16141" s="114" t="str">
        <f>IF(INDEX(I.Facility.P3IDNumber,1129)="","",INDEX(I.Facility.P3IDNumber,1129))</f>
        <v/>
      </c>
      <c r="G16141" s="51"/>
      <c r="H16141" s="46" t="str">
        <f>IF(AND(I.Developer.P3=TRUE,I.Facility.P3FacilityCount&gt;=1129,F16141=""),"Incomplete","Complete")</f>
        <v>Complete</v>
      </c>
      <c r="I16141" s="48" t="s">
        <v>20506</v>
      </c>
    </row>
    <row r="16142" spans="2:9" ht="15" customHeight="1" x14ac:dyDescent="0.25">
      <c r="B16142" s="55" t="s">
        <v>282</v>
      </c>
      <c r="C16142" s="46">
        <v>1130</v>
      </c>
      <c r="D16142" s="69" t="s">
        <v>29419</v>
      </c>
      <c r="E16142" s="51"/>
      <c r="F16142" s="114" t="str">
        <f>IF(INDEX(I.Facility.P3IDNumber,1130)="","",INDEX(I.Facility.P3IDNumber,1130))</f>
        <v/>
      </c>
      <c r="G16142" s="51"/>
      <c r="H16142" s="46" t="str">
        <f>IF(AND(I.Developer.P3=TRUE,I.Facility.P3FacilityCount&gt;=1130,F16142=""),"Incomplete","Complete")</f>
        <v>Complete</v>
      </c>
      <c r="I16142" s="48" t="s">
        <v>20507</v>
      </c>
    </row>
    <row r="16143" spans="2:9" ht="15" customHeight="1" x14ac:dyDescent="0.25">
      <c r="B16143" s="55" t="s">
        <v>282</v>
      </c>
      <c r="C16143" s="46">
        <v>1131</v>
      </c>
      <c r="D16143" s="69" t="s">
        <v>29419</v>
      </c>
      <c r="E16143" s="51"/>
      <c r="F16143" s="114" t="str">
        <f>IF(INDEX(I.Facility.P3IDNumber,1131)="","",INDEX(I.Facility.P3IDNumber,1131))</f>
        <v/>
      </c>
      <c r="G16143" s="51"/>
      <c r="H16143" s="46" t="str">
        <f>IF(AND(I.Developer.P3=TRUE,I.Facility.P3FacilityCount&gt;=1131,F16143=""),"Incomplete","Complete")</f>
        <v>Complete</v>
      </c>
      <c r="I16143" s="48" t="s">
        <v>20508</v>
      </c>
    </row>
    <row r="16144" spans="2:9" ht="15" customHeight="1" x14ac:dyDescent="0.25">
      <c r="B16144" s="55" t="s">
        <v>282</v>
      </c>
      <c r="C16144" s="46">
        <v>1132</v>
      </c>
      <c r="D16144" s="69" t="s">
        <v>29419</v>
      </c>
      <c r="E16144" s="51"/>
      <c r="F16144" s="114" t="str">
        <f>IF(INDEX(I.Facility.P3IDNumber,1132)="","",INDEX(I.Facility.P3IDNumber,1132))</f>
        <v/>
      </c>
      <c r="G16144" s="51"/>
      <c r="H16144" s="46" t="str">
        <f>IF(AND(I.Developer.P3=TRUE,I.Facility.P3FacilityCount&gt;=1132,F16144=""),"Incomplete","Complete")</f>
        <v>Complete</v>
      </c>
      <c r="I16144" s="48" t="s">
        <v>20509</v>
      </c>
    </row>
    <row r="16145" spans="2:9" ht="15" customHeight="1" x14ac:dyDescent="0.25">
      <c r="B16145" s="55" t="s">
        <v>282</v>
      </c>
      <c r="C16145" s="46">
        <v>1133</v>
      </c>
      <c r="D16145" s="69" t="s">
        <v>29419</v>
      </c>
      <c r="E16145" s="51"/>
      <c r="F16145" s="114" t="str">
        <f>IF(INDEX(I.Facility.P3IDNumber,1133)="","",INDEX(I.Facility.P3IDNumber,1133))</f>
        <v/>
      </c>
      <c r="G16145" s="51"/>
      <c r="H16145" s="46" t="str">
        <f>IF(AND(I.Developer.P3=TRUE,I.Facility.P3FacilityCount&gt;=1133,F16145=""),"Incomplete","Complete")</f>
        <v>Complete</v>
      </c>
      <c r="I16145" s="48" t="s">
        <v>20510</v>
      </c>
    </row>
    <row r="16146" spans="2:9" ht="15" customHeight="1" x14ac:dyDescent="0.25">
      <c r="B16146" s="55" t="s">
        <v>282</v>
      </c>
      <c r="C16146" s="46">
        <v>1134</v>
      </c>
      <c r="D16146" s="69" t="s">
        <v>29419</v>
      </c>
      <c r="E16146" s="51"/>
      <c r="F16146" s="114" t="str">
        <f>IF(INDEX(I.Facility.P3IDNumber,1134)="","",INDEX(I.Facility.P3IDNumber,1134))</f>
        <v/>
      </c>
      <c r="G16146" s="51"/>
      <c r="H16146" s="46" t="str">
        <f>IF(AND(I.Developer.P3=TRUE,I.Facility.P3FacilityCount&gt;=1134,F16146=""),"Incomplete","Complete")</f>
        <v>Complete</v>
      </c>
      <c r="I16146" s="48" t="s">
        <v>20511</v>
      </c>
    </row>
    <row r="16147" spans="2:9" ht="15" customHeight="1" x14ac:dyDescent="0.25">
      <c r="B16147" s="55" t="s">
        <v>282</v>
      </c>
      <c r="C16147" s="46">
        <v>1135</v>
      </c>
      <c r="D16147" s="69" t="s">
        <v>29419</v>
      </c>
      <c r="E16147" s="51"/>
      <c r="F16147" s="114" t="str">
        <f>IF(INDEX(I.Facility.P3IDNumber,1135)="","",INDEX(I.Facility.P3IDNumber,1135))</f>
        <v/>
      </c>
      <c r="G16147" s="51"/>
      <c r="H16147" s="46" t="str">
        <f>IF(AND(I.Developer.P3=TRUE,I.Facility.P3FacilityCount&gt;=1135,F16147=""),"Incomplete","Complete")</f>
        <v>Complete</v>
      </c>
      <c r="I16147" s="48" t="s">
        <v>20512</v>
      </c>
    </row>
    <row r="16148" spans="2:9" ht="15" customHeight="1" x14ac:dyDescent="0.25">
      <c r="B16148" s="55" t="s">
        <v>282</v>
      </c>
      <c r="C16148" s="46">
        <v>1136</v>
      </c>
      <c r="D16148" s="69" t="s">
        <v>29419</v>
      </c>
      <c r="E16148" s="51"/>
      <c r="F16148" s="114" t="str">
        <f>IF(INDEX(I.Facility.P3IDNumber,1136)="","",INDEX(I.Facility.P3IDNumber,1136))</f>
        <v/>
      </c>
      <c r="G16148" s="51"/>
      <c r="H16148" s="46" t="str">
        <f>IF(AND(I.Developer.P3=TRUE,I.Facility.P3FacilityCount&gt;=1136,F16148=""),"Incomplete","Complete")</f>
        <v>Complete</v>
      </c>
      <c r="I16148" s="48" t="s">
        <v>20513</v>
      </c>
    </row>
    <row r="16149" spans="2:9" ht="15" customHeight="1" x14ac:dyDescent="0.25">
      <c r="B16149" s="55" t="s">
        <v>282</v>
      </c>
      <c r="C16149" s="46">
        <v>1137</v>
      </c>
      <c r="D16149" s="69" t="s">
        <v>29419</v>
      </c>
      <c r="E16149" s="51"/>
      <c r="F16149" s="114" t="str">
        <f>IF(INDEX(I.Facility.P3IDNumber,1137)="","",INDEX(I.Facility.P3IDNumber,1137))</f>
        <v/>
      </c>
      <c r="G16149" s="51"/>
      <c r="H16149" s="46" t="str">
        <f>IF(AND(I.Developer.P3=TRUE,I.Facility.P3FacilityCount&gt;=1137,F16149=""),"Incomplete","Complete")</f>
        <v>Complete</v>
      </c>
      <c r="I16149" s="48" t="s">
        <v>20514</v>
      </c>
    </row>
    <row r="16150" spans="2:9" ht="15" customHeight="1" x14ac:dyDescent="0.25">
      <c r="B16150" s="55" t="s">
        <v>282</v>
      </c>
      <c r="C16150" s="46">
        <v>1138</v>
      </c>
      <c r="D16150" s="69" t="s">
        <v>29419</v>
      </c>
      <c r="E16150" s="51"/>
      <c r="F16150" s="114" t="str">
        <f>IF(INDEX(I.Facility.P3IDNumber,1138)="","",INDEX(I.Facility.P3IDNumber,1138))</f>
        <v/>
      </c>
      <c r="G16150" s="51"/>
      <c r="H16150" s="46" t="str">
        <f>IF(AND(I.Developer.P3=TRUE,I.Facility.P3FacilityCount&gt;=1138,F16150=""),"Incomplete","Complete")</f>
        <v>Complete</v>
      </c>
      <c r="I16150" s="48" t="s">
        <v>20515</v>
      </c>
    </row>
    <row r="16151" spans="2:9" ht="15" customHeight="1" x14ac:dyDescent="0.25">
      <c r="B16151" s="55" t="s">
        <v>282</v>
      </c>
      <c r="C16151" s="46">
        <v>1139</v>
      </c>
      <c r="D16151" s="69" t="s">
        <v>29419</v>
      </c>
      <c r="E16151" s="51"/>
      <c r="F16151" s="114" t="str">
        <f>IF(INDEX(I.Facility.P3IDNumber,1139)="","",INDEX(I.Facility.P3IDNumber,1139))</f>
        <v/>
      </c>
      <c r="G16151" s="51"/>
      <c r="H16151" s="46" t="str">
        <f>IF(AND(I.Developer.P3=TRUE,I.Facility.P3FacilityCount&gt;=1139,F16151=""),"Incomplete","Complete")</f>
        <v>Complete</v>
      </c>
      <c r="I16151" s="48" t="s">
        <v>20516</v>
      </c>
    </row>
    <row r="16152" spans="2:9" ht="15" customHeight="1" x14ac:dyDescent="0.25">
      <c r="B16152" s="55" t="s">
        <v>282</v>
      </c>
      <c r="C16152" s="46">
        <v>1140</v>
      </c>
      <c r="D16152" s="69" t="s">
        <v>29419</v>
      </c>
      <c r="E16152" s="51"/>
      <c r="F16152" s="114" t="str">
        <f>IF(INDEX(I.Facility.P3IDNumber,1140)="","",INDEX(I.Facility.P3IDNumber,1140))</f>
        <v/>
      </c>
      <c r="G16152" s="51"/>
      <c r="H16152" s="46" t="str">
        <f>IF(AND(I.Developer.P3=TRUE,I.Facility.P3FacilityCount&gt;=1140,F16152=""),"Incomplete","Complete")</f>
        <v>Complete</v>
      </c>
      <c r="I16152" s="48" t="s">
        <v>20517</v>
      </c>
    </row>
    <row r="16153" spans="2:9" ht="15" customHeight="1" x14ac:dyDescent="0.25">
      <c r="B16153" s="55" t="s">
        <v>282</v>
      </c>
      <c r="C16153" s="46">
        <v>1141</v>
      </c>
      <c r="D16153" s="69" t="s">
        <v>29419</v>
      </c>
      <c r="E16153" s="51"/>
      <c r="F16153" s="114" t="str">
        <f>IF(INDEX(I.Facility.P3IDNumber,1141)="","",INDEX(I.Facility.P3IDNumber,1141))</f>
        <v/>
      </c>
      <c r="G16153" s="51"/>
      <c r="H16153" s="46" t="str">
        <f>IF(AND(I.Developer.P3=TRUE,I.Facility.P3FacilityCount&gt;=1141,F16153=""),"Incomplete","Complete")</f>
        <v>Complete</v>
      </c>
      <c r="I16153" s="48" t="s">
        <v>20518</v>
      </c>
    </row>
    <row r="16154" spans="2:9" ht="15" customHeight="1" x14ac:dyDescent="0.25">
      <c r="B16154" s="55" t="s">
        <v>282</v>
      </c>
      <c r="C16154" s="46">
        <v>1142</v>
      </c>
      <c r="D16154" s="69" t="s">
        <v>29419</v>
      </c>
      <c r="E16154" s="51"/>
      <c r="F16154" s="114" t="str">
        <f>IF(INDEX(I.Facility.P3IDNumber,1142)="","",INDEX(I.Facility.P3IDNumber,1142))</f>
        <v/>
      </c>
      <c r="G16154" s="51"/>
      <c r="H16154" s="46" t="str">
        <f>IF(AND(I.Developer.P3=TRUE,I.Facility.P3FacilityCount&gt;=1142,F16154=""),"Incomplete","Complete")</f>
        <v>Complete</v>
      </c>
      <c r="I16154" s="48" t="s">
        <v>20519</v>
      </c>
    </row>
    <row r="16155" spans="2:9" ht="15" customHeight="1" x14ac:dyDescent="0.25">
      <c r="B16155" s="55" t="s">
        <v>282</v>
      </c>
      <c r="C16155" s="46">
        <v>1143</v>
      </c>
      <c r="D16155" s="69" t="s">
        <v>29419</v>
      </c>
      <c r="E16155" s="51"/>
      <c r="F16155" s="114" t="str">
        <f>IF(INDEX(I.Facility.P3IDNumber,1143)="","",INDEX(I.Facility.P3IDNumber,1143))</f>
        <v/>
      </c>
      <c r="G16155" s="51"/>
      <c r="H16155" s="46" t="str">
        <f>IF(AND(I.Developer.P3=TRUE,I.Facility.P3FacilityCount&gt;=1143,F16155=""),"Incomplete","Complete")</f>
        <v>Complete</v>
      </c>
      <c r="I16155" s="48" t="s">
        <v>20520</v>
      </c>
    </row>
    <row r="16156" spans="2:9" ht="15" customHeight="1" x14ac:dyDescent="0.25">
      <c r="B16156" s="55" t="s">
        <v>282</v>
      </c>
      <c r="C16156" s="46">
        <v>1144</v>
      </c>
      <c r="D16156" s="69" t="s">
        <v>29419</v>
      </c>
      <c r="E16156" s="51"/>
      <c r="F16156" s="114" t="str">
        <f>IF(INDEX(I.Facility.P3IDNumber,1144)="","",INDEX(I.Facility.P3IDNumber,1144))</f>
        <v/>
      </c>
      <c r="G16156" s="51"/>
      <c r="H16156" s="46" t="str">
        <f>IF(AND(I.Developer.P3=TRUE,I.Facility.P3FacilityCount&gt;=1144,F16156=""),"Incomplete","Complete")</f>
        <v>Complete</v>
      </c>
      <c r="I16156" s="48" t="s">
        <v>20521</v>
      </c>
    </row>
    <row r="16157" spans="2:9" ht="15" customHeight="1" x14ac:dyDescent="0.25">
      <c r="B16157" s="55" t="s">
        <v>282</v>
      </c>
      <c r="C16157" s="46">
        <v>1145</v>
      </c>
      <c r="D16157" s="69" t="s">
        <v>29419</v>
      </c>
      <c r="E16157" s="51"/>
      <c r="F16157" s="114" t="str">
        <f>IF(INDEX(I.Facility.P3IDNumber,1145)="","",INDEX(I.Facility.P3IDNumber,1145))</f>
        <v/>
      </c>
      <c r="G16157" s="51"/>
      <c r="H16157" s="46" t="str">
        <f>IF(AND(I.Developer.P3=TRUE,I.Facility.P3FacilityCount&gt;=1145,F16157=""),"Incomplete","Complete")</f>
        <v>Complete</v>
      </c>
      <c r="I16157" s="48" t="s">
        <v>20522</v>
      </c>
    </row>
    <row r="16158" spans="2:9" ht="15" customHeight="1" x14ac:dyDescent="0.25">
      <c r="B16158" s="55" t="s">
        <v>282</v>
      </c>
      <c r="C16158" s="46">
        <v>1146</v>
      </c>
      <c r="D16158" s="69" t="s">
        <v>29419</v>
      </c>
      <c r="E16158" s="51"/>
      <c r="F16158" s="114" t="str">
        <f>IF(INDEX(I.Facility.P3IDNumber,1146)="","",INDEX(I.Facility.P3IDNumber,1146))</f>
        <v/>
      </c>
      <c r="G16158" s="51"/>
      <c r="H16158" s="46" t="str">
        <f>IF(AND(I.Developer.P3=TRUE,I.Facility.P3FacilityCount&gt;=1146,F16158=""),"Incomplete","Complete")</f>
        <v>Complete</v>
      </c>
      <c r="I16158" s="48" t="s">
        <v>20523</v>
      </c>
    </row>
    <row r="16159" spans="2:9" ht="15" customHeight="1" x14ac:dyDescent="0.25">
      <c r="B16159" s="55" t="s">
        <v>282</v>
      </c>
      <c r="C16159" s="46">
        <v>1147</v>
      </c>
      <c r="D16159" s="69" t="s">
        <v>29419</v>
      </c>
      <c r="E16159" s="51"/>
      <c r="F16159" s="114" t="str">
        <f>IF(INDEX(I.Facility.P3IDNumber,1147)="","",INDEX(I.Facility.P3IDNumber,1147))</f>
        <v/>
      </c>
      <c r="G16159" s="51"/>
      <c r="H16159" s="46" t="str">
        <f>IF(AND(I.Developer.P3=TRUE,I.Facility.P3FacilityCount&gt;=1147,F16159=""),"Incomplete","Complete")</f>
        <v>Complete</v>
      </c>
      <c r="I16159" s="48" t="s">
        <v>20524</v>
      </c>
    </row>
    <row r="16160" spans="2:9" ht="15" customHeight="1" x14ac:dyDescent="0.25">
      <c r="B16160" s="55" t="s">
        <v>282</v>
      </c>
      <c r="C16160" s="46">
        <v>1148</v>
      </c>
      <c r="D16160" s="69" t="s">
        <v>29419</v>
      </c>
      <c r="E16160" s="51"/>
      <c r="F16160" s="114" t="str">
        <f>IF(INDEX(I.Facility.P3IDNumber,1148)="","",INDEX(I.Facility.P3IDNumber,1148))</f>
        <v/>
      </c>
      <c r="G16160" s="51"/>
      <c r="H16160" s="46" t="str">
        <f>IF(AND(I.Developer.P3=TRUE,I.Facility.P3FacilityCount&gt;=1148,F16160=""),"Incomplete","Complete")</f>
        <v>Complete</v>
      </c>
      <c r="I16160" s="48" t="s">
        <v>20525</v>
      </c>
    </row>
    <row r="16161" spans="2:9" ht="15" customHeight="1" x14ac:dyDescent="0.25">
      <c r="B16161" s="55" t="s">
        <v>282</v>
      </c>
      <c r="C16161" s="46">
        <v>1149</v>
      </c>
      <c r="D16161" s="69" t="s">
        <v>29419</v>
      </c>
      <c r="E16161" s="51"/>
      <c r="F16161" s="114" t="str">
        <f>IF(INDEX(I.Facility.P3IDNumber,1149)="","",INDEX(I.Facility.P3IDNumber,1149))</f>
        <v/>
      </c>
      <c r="G16161" s="51"/>
      <c r="H16161" s="46" t="str">
        <f>IF(AND(I.Developer.P3=TRUE,I.Facility.P3FacilityCount&gt;=1149,F16161=""),"Incomplete","Complete")</f>
        <v>Complete</v>
      </c>
      <c r="I16161" s="48" t="s">
        <v>20526</v>
      </c>
    </row>
    <row r="16162" spans="2:9" ht="15" customHeight="1" x14ac:dyDescent="0.25">
      <c r="B16162" s="55" t="s">
        <v>282</v>
      </c>
      <c r="C16162" s="46">
        <v>1150</v>
      </c>
      <c r="D16162" s="69" t="s">
        <v>29419</v>
      </c>
      <c r="E16162" s="51"/>
      <c r="F16162" s="114" t="str">
        <f>IF(INDEX(I.Facility.P3IDNumber,1150)="","",INDEX(I.Facility.P3IDNumber,1150))</f>
        <v/>
      </c>
      <c r="G16162" s="51"/>
      <c r="H16162" s="46" t="str">
        <f>IF(AND(I.Developer.P3=TRUE,I.Facility.P3FacilityCount&gt;=1150,F16162=""),"Incomplete","Complete")</f>
        <v>Complete</v>
      </c>
      <c r="I16162" s="48" t="s">
        <v>20527</v>
      </c>
    </row>
    <row r="16163" spans="2:9" ht="15" customHeight="1" x14ac:dyDescent="0.25">
      <c r="B16163" s="55" t="s">
        <v>282</v>
      </c>
      <c r="C16163" s="46">
        <v>1151</v>
      </c>
      <c r="D16163" s="69" t="s">
        <v>29419</v>
      </c>
      <c r="E16163" s="51"/>
      <c r="F16163" s="114" t="str">
        <f>IF(INDEX(I.Facility.P3IDNumber,1151)="","",INDEX(I.Facility.P3IDNumber,1151))</f>
        <v/>
      </c>
      <c r="G16163" s="51"/>
      <c r="H16163" s="46" t="str">
        <f>IF(AND(I.Developer.P3=TRUE,I.Facility.P3FacilityCount&gt;=1151,F16163=""),"Incomplete","Complete")</f>
        <v>Complete</v>
      </c>
      <c r="I16163" s="48" t="s">
        <v>20528</v>
      </c>
    </row>
    <row r="16164" spans="2:9" ht="15" customHeight="1" x14ac:dyDescent="0.25">
      <c r="B16164" s="55" t="s">
        <v>282</v>
      </c>
      <c r="C16164" s="46">
        <v>1152</v>
      </c>
      <c r="D16164" s="69" t="s">
        <v>29419</v>
      </c>
      <c r="E16164" s="51"/>
      <c r="F16164" s="114" t="str">
        <f>IF(INDEX(I.Facility.P3IDNumber,1152)="","",INDEX(I.Facility.P3IDNumber,1152))</f>
        <v/>
      </c>
      <c r="G16164" s="51"/>
      <c r="H16164" s="46" t="str">
        <f>IF(AND(I.Developer.P3=TRUE,I.Facility.P3FacilityCount&gt;=1152,F16164=""),"Incomplete","Complete")</f>
        <v>Complete</v>
      </c>
      <c r="I16164" s="48" t="s">
        <v>20529</v>
      </c>
    </row>
    <row r="16165" spans="2:9" ht="15" customHeight="1" x14ac:dyDescent="0.25">
      <c r="B16165" s="55" t="s">
        <v>282</v>
      </c>
      <c r="C16165" s="46">
        <v>1153</v>
      </c>
      <c r="D16165" s="69" t="s">
        <v>29419</v>
      </c>
      <c r="E16165" s="51"/>
      <c r="F16165" s="114" t="str">
        <f>IF(INDEX(I.Facility.P3IDNumber,1153)="","",INDEX(I.Facility.P3IDNumber,1153))</f>
        <v/>
      </c>
      <c r="G16165" s="51"/>
      <c r="H16165" s="46" t="str">
        <f>IF(AND(I.Developer.P3=TRUE,I.Facility.P3FacilityCount&gt;=1153,F16165=""),"Incomplete","Complete")</f>
        <v>Complete</v>
      </c>
      <c r="I16165" s="48" t="s">
        <v>20530</v>
      </c>
    </row>
    <row r="16166" spans="2:9" ht="15" customHeight="1" x14ac:dyDescent="0.25">
      <c r="B16166" s="55" t="s">
        <v>282</v>
      </c>
      <c r="C16166" s="46">
        <v>1154</v>
      </c>
      <c r="D16166" s="69" t="s">
        <v>29419</v>
      </c>
      <c r="E16166" s="51"/>
      <c r="F16166" s="114" t="str">
        <f>IF(INDEX(I.Facility.P3IDNumber,1154)="","",INDEX(I.Facility.P3IDNumber,1154))</f>
        <v/>
      </c>
      <c r="G16166" s="51"/>
      <c r="H16166" s="46" t="str">
        <f>IF(AND(I.Developer.P3=TRUE,I.Facility.P3FacilityCount&gt;=1154,F16166=""),"Incomplete","Complete")</f>
        <v>Complete</v>
      </c>
      <c r="I16166" s="48" t="s">
        <v>20531</v>
      </c>
    </row>
    <row r="16167" spans="2:9" ht="15" customHeight="1" x14ac:dyDescent="0.25">
      <c r="B16167" s="55" t="s">
        <v>282</v>
      </c>
      <c r="C16167" s="46">
        <v>1155</v>
      </c>
      <c r="D16167" s="69" t="s">
        <v>29419</v>
      </c>
      <c r="E16167" s="51"/>
      <c r="F16167" s="114" t="str">
        <f>IF(INDEX(I.Facility.P3IDNumber,1155)="","",INDEX(I.Facility.P3IDNumber,1155))</f>
        <v/>
      </c>
      <c r="G16167" s="51"/>
      <c r="H16167" s="46" t="str">
        <f>IF(AND(I.Developer.P3=TRUE,I.Facility.P3FacilityCount&gt;=1155,F16167=""),"Incomplete","Complete")</f>
        <v>Complete</v>
      </c>
      <c r="I16167" s="48" t="s">
        <v>20532</v>
      </c>
    </row>
    <row r="16168" spans="2:9" ht="15" customHeight="1" x14ac:dyDescent="0.25">
      <c r="B16168" s="55" t="s">
        <v>282</v>
      </c>
      <c r="C16168" s="46">
        <v>1156</v>
      </c>
      <c r="D16168" s="69" t="s">
        <v>29419</v>
      </c>
      <c r="E16168" s="51"/>
      <c r="F16168" s="114" t="str">
        <f>IF(INDEX(I.Facility.P3IDNumber,1156)="","",INDEX(I.Facility.P3IDNumber,1156))</f>
        <v/>
      </c>
      <c r="G16168" s="51"/>
      <c r="H16168" s="46" t="str">
        <f>IF(AND(I.Developer.P3=TRUE,I.Facility.P3FacilityCount&gt;=1156,F16168=""),"Incomplete","Complete")</f>
        <v>Complete</v>
      </c>
      <c r="I16168" s="48" t="s">
        <v>20533</v>
      </c>
    </row>
    <row r="16169" spans="2:9" ht="15" customHeight="1" x14ac:dyDescent="0.25">
      <c r="B16169" s="55" t="s">
        <v>282</v>
      </c>
      <c r="C16169" s="46">
        <v>1157</v>
      </c>
      <c r="D16169" s="69" t="s">
        <v>29419</v>
      </c>
      <c r="E16169" s="51"/>
      <c r="F16169" s="114" t="str">
        <f>IF(INDEX(I.Facility.P3IDNumber,1157)="","",INDEX(I.Facility.P3IDNumber,1157))</f>
        <v/>
      </c>
      <c r="G16169" s="51"/>
      <c r="H16169" s="46" t="str">
        <f>IF(AND(I.Developer.P3=TRUE,I.Facility.P3FacilityCount&gt;=1157,F16169=""),"Incomplete","Complete")</f>
        <v>Complete</v>
      </c>
      <c r="I16169" s="48" t="s">
        <v>20534</v>
      </c>
    </row>
    <row r="16170" spans="2:9" ht="15" customHeight="1" x14ac:dyDescent="0.25">
      <c r="B16170" s="55" t="s">
        <v>282</v>
      </c>
      <c r="C16170" s="46">
        <v>1158</v>
      </c>
      <c r="D16170" s="69" t="s">
        <v>29419</v>
      </c>
      <c r="E16170" s="51"/>
      <c r="F16170" s="114" t="str">
        <f>IF(INDEX(I.Facility.P3IDNumber,1158)="","",INDEX(I.Facility.P3IDNumber,1158))</f>
        <v/>
      </c>
      <c r="G16170" s="51"/>
      <c r="H16170" s="46" t="str">
        <f>IF(AND(I.Developer.P3=TRUE,I.Facility.P3FacilityCount&gt;=1158,F16170=""),"Incomplete","Complete")</f>
        <v>Complete</v>
      </c>
      <c r="I16170" s="48" t="s">
        <v>20535</v>
      </c>
    </row>
    <row r="16171" spans="2:9" ht="15" customHeight="1" x14ac:dyDescent="0.25">
      <c r="B16171" s="55" t="s">
        <v>282</v>
      </c>
      <c r="C16171" s="46">
        <v>1159</v>
      </c>
      <c r="D16171" s="69" t="s">
        <v>29419</v>
      </c>
      <c r="E16171" s="51"/>
      <c r="F16171" s="114" t="str">
        <f>IF(INDEX(I.Facility.P3IDNumber,1159)="","",INDEX(I.Facility.P3IDNumber,1159))</f>
        <v/>
      </c>
      <c r="G16171" s="51"/>
      <c r="H16171" s="46" t="str">
        <f>IF(AND(I.Developer.P3=TRUE,I.Facility.P3FacilityCount&gt;=1159,F16171=""),"Incomplete","Complete")</f>
        <v>Complete</v>
      </c>
      <c r="I16171" s="48" t="s">
        <v>20536</v>
      </c>
    </row>
    <row r="16172" spans="2:9" ht="15" customHeight="1" x14ac:dyDescent="0.25">
      <c r="B16172" s="55" t="s">
        <v>282</v>
      </c>
      <c r="C16172" s="46">
        <v>1160</v>
      </c>
      <c r="D16172" s="69" t="s">
        <v>29419</v>
      </c>
      <c r="E16172" s="51"/>
      <c r="F16172" s="114" t="str">
        <f>IF(INDEX(I.Facility.P3IDNumber,1160)="","",INDEX(I.Facility.P3IDNumber,1160))</f>
        <v/>
      </c>
      <c r="G16172" s="51"/>
      <c r="H16172" s="46" t="str">
        <f>IF(AND(I.Developer.P3=TRUE,I.Facility.P3FacilityCount&gt;=1160,F16172=""),"Incomplete","Complete")</f>
        <v>Complete</v>
      </c>
      <c r="I16172" s="48" t="s">
        <v>20537</v>
      </c>
    </row>
    <row r="16173" spans="2:9" ht="15" customHeight="1" x14ac:dyDescent="0.25">
      <c r="B16173" s="55" t="s">
        <v>282</v>
      </c>
      <c r="C16173" s="46">
        <v>1161</v>
      </c>
      <c r="D16173" s="69" t="s">
        <v>29419</v>
      </c>
      <c r="E16173" s="51"/>
      <c r="F16173" s="114" t="str">
        <f>IF(INDEX(I.Facility.P3IDNumber,1161)="","",INDEX(I.Facility.P3IDNumber,1161))</f>
        <v/>
      </c>
      <c r="G16173" s="51"/>
      <c r="H16173" s="46" t="str">
        <f>IF(AND(I.Developer.P3=TRUE,I.Facility.P3FacilityCount&gt;=1161,F16173=""),"Incomplete","Complete")</f>
        <v>Complete</v>
      </c>
      <c r="I16173" s="48" t="s">
        <v>20538</v>
      </c>
    </row>
    <row r="16174" spans="2:9" ht="15" customHeight="1" x14ac:dyDescent="0.25">
      <c r="B16174" s="55" t="s">
        <v>282</v>
      </c>
      <c r="C16174" s="46">
        <v>1162</v>
      </c>
      <c r="D16174" s="69" t="s">
        <v>29419</v>
      </c>
      <c r="E16174" s="51"/>
      <c r="F16174" s="114" t="str">
        <f>IF(INDEX(I.Facility.P3IDNumber,1162)="","",INDEX(I.Facility.P3IDNumber,1162))</f>
        <v/>
      </c>
      <c r="G16174" s="51"/>
      <c r="H16174" s="46" t="str">
        <f>IF(AND(I.Developer.P3=TRUE,I.Facility.P3FacilityCount&gt;=1162,F16174=""),"Incomplete","Complete")</f>
        <v>Complete</v>
      </c>
      <c r="I16174" s="48" t="s">
        <v>20539</v>
      </c>
    </row>
    <row r="16175" spans="2:9" ht="15" customHeight="1" x14ac:dyDescent="0.25">
      <c r="B16175" s="55" t="s">
        <v>282</v>
      </c>
      <c r="C16175" s="46">
        <v>1163</v>
      </c>
      <c r="D16175" s="69" t="s">
        <v>29419</v>
      </c>
      <c r="E16175" s="51"/>
      <c r="F16175" s="114" t="str">
        <f>IF(INDEX(I.Facility.P3IDNumber,1163)="","",INDEX(I.Facility.P3IDNumber,1163))</f>
        <v/>
      </c>
      <c r="G16175" s="51"/>
      <c r="H16175" s="46" t="str">
        <f>IF(AND(I.Developer.P3=TRUE,I.Facility.P3FacilityCount&gt;=1163,F16175=""),"Incomplete","Complete")</f>
        <v>Complete</v>
      </c>
      <c r="I16175" s="48" t="s">
        <v>20540</v>
      </c>
    </row>
    <row r="16176" spans="2:9" ht="15" customHeight="1" x14ac:dyDescent="0.25">
      <c r="B16176" s="55" t="s">
        <v>282</v>
      </c>
      <c r="C16176" s="46">
        <v>1164</v>
      </c>
      <c r="D16176" s="69" t="s">
        <v>29419</v>
      </c>
      <c r="E16176" s="51"/>
      <c r="F16176" s="114" t="str">
        <f>IF(INDEX(I.Facility.P3IDNumber,1164)="","",INDEX(I.Facility.P3IDNumber,1164))</f>
        <v/>
      </c>
      <c r="G16176" s="51"/>
      <c r="H16176" s="46" t="str">
        <f>IF(AND(I.Developer.P3=TRUE,I.Facility.P3FacilityCount&gt;=1164,F16176=""),"Incomplete","Complete")</f>
        <v>Complete</v>
      </c>
      <c r="I16176" s="48" t="s">
        <v>20541</v>
      </c>
    </row>
    <row r="16177" spans="2:9" ht="15" customHeight="1" x14ac:dyDescent="0.25">
      <c r="B16177" s="55" t="s">
        <v>282</v>
      </c>
      <c r="C16177" s="46">
        <v>1165</v>
      </c>
      <c r="D16177" s="69" t="s">
        <v>29419</v>
      </c>
      <c r="E16177" s="51"/>
      <c r="F16177" s="114" t="str">
        <f>IF(INDEX(I.Facility.P3IDNumber,1165)="","",INDEX(I.Facility.P3IDNumber,1165))</f>
        <v/>
      </c>
      <c r="G16177" s="51"/>
      <c r="H16177" s="46" t="str">
        <f>IF(AND(I.Developer.P3=TRUE,I.Facility.P3FacilityCount&gt;=1165,F16177=""),"Incomplete","Complete")</f>
        <v>Complete</v>
      </c>
      <c r="I16177" s="48" t="s">
        <v>20542</v>
      </c>
    </row>
    <row r="16178" spans="2:9" ht="15" customHeight="1" x14ac:dyDescent="0.25">
      <c r="B16178" s="55" t="s">
        <v>282</v>
      </c>
      <c r="C16178" s="46">
        <v>1166</v>
      </c>
      <c r="D16178" s="69" t="s">
        <v>29419</v>
      </c>
      <c r="E16178" s="51"/>
      <c r="F16178" s="114" t="str">
        <f>IF(INDEX(I.Facility.P3IDNumber,1166)="","",INDEX(I.Facility.P3IDNumber,1166))</f>
        <v/>
      </c>
      <c r="G16178" s="51"/>
      <c r="H16178" s="46" t="str">
        <f>IF(AND(I.Developer.P3=TRUE,I.Facility.P3FacilityCount&gt;=1166,F16178=""),"Incomplete","Complete")</f>
        <v>Complete</v>
      </c>
      <c r="I16178" s="48" t="s">
        <v>20543</v>
      </c>
    </row>
    <row r="16179" spans="2:9" ht="15" customHeight="1" x14ac:dyDescent="0.25">
      <c r="B16179" s="55" t="s">
        <v>282</v>
      </c>
      <c r="C16179" s="46">
        <v>1167</v>
      </c>
      <c r="D16179" s="69" t="s">
        <v>29419</v>
      </c>
      <c r="E16179" s="51"/>
      <c r="F16179" s="114" t="str">
        <f>IF(INDEX(I.Facility.P3IDNumber,1167)="","",INDEX(I.Facility.P3IDNumber,1167))</f>
        <v/>
      </c>
      <c r="G16179" s="51"/>
      <c r="H16179" s="46" t="str">
        <f>IF(AND(I.Developer.P3=TRUE,I.Facility.P3FacilityCount&gt;=1167,F16179=""),"Incomplete","Complete")</f>
        <v>Complete</v>
      </c>
      <c r="I16179" s="48" t="s">
        <v>20544</v>
      </c>
    </row>
    <row r="16180" spans="2:9" ht="15" customHeight="1" x14ac:dyDescent="0.25">
      <c r="B16180" s="55" t="s">
        <v>282</v>
      </c>
      <c r="C16180" s="46">
        <v>1168</v>
      </c>
      <c r="D16180" s="69" t="s">
        <v>29419</v>
      </c>
      <c r="E16180" s="51"/>
      <c r="F16180" s="114" t="str">
        <f>IF(INDEX(I.Facility.P3IDNumber,1168)="","",INDEX(I.Facility.P3IDNumber,1168))</f>
        <v/>
      </c>
      <c r="G16180" s="51"/>
      <c r="H16180" s="46" t="str">
        <f>IF(AND(I.Developer.P3=TRUE,I.Facility.P3FacilityCount&gt;=1168,F16180=""),"Incomplete","Complete")</f>
        <v>Complete</v>
      </c>
      <c r="I16180" s="48" t="s">
        <v>20545</v>
      </c>
    </row>
    <row r="16181" spans="2:9" ht="15" customHeight="1" x14ac:dyDescent="0.25">
      <c r="B16181" s="55" t="s">
        <v>282</v>
      </c>
      <c r="C16181" s="46">
        <v>1169</v>
      </c>
      <c r="D16181" s="69" t="s">
        <v>29419</v>
      </c>
      <c r="E16181" s="51"/>
      <c r="F16181" s="114" t="str">
        <f>IF(INDEX(I.Facility.P3IDNumber,1169)="","",INDEX(I.Facility.P3IDNumber,1169))</f>
        <v/>
      </c>
      <c r="G16181" s="51"/>
      <c r="H16181" s="46" t="str">
        <f>IF(AND(I.Developer.P3=TRUE,I.Facility.P3FacilityCount&gt;=1169,F16181=""),"Incomplete","Complete")</f>
        <v>Complete</v>
      </c>
      <c r="I16181" s="48" t="s">
        <v>20546</v>
      </c>
    </row>
    <row r="16182" spans="2:9" ht="15" customHeight="1" x14ac:dyDescent="0.25">
      <c r="B16182" s="55" t="s">
        <v>282</v>
      </c>
      <c r="C16182" s="46">
        <v>1170</v>
      </c>
      <c r="D16182" s="69" t="s">
        <v>29419</v>
      </c>
      <c r="E16182" s="51"/>
      <c r="F16182" s="114" t="str">
        <f>IF(INDEX(I.Facility.P3IDNumber,1170)="","",INDEX(I.Facility.P3IDNumber,1170))</f>
        <v/>
      </c>
      <c r="G16182" s="51"/>
      <c r="H16182" s="46" t="str">
        <f>IF(AND(I.Developer.P3=TRUE,I.Facility.P3FacilityCount&gt;=1170,F16182=""),"Incomplete","Complete")</f>
        <v>Complete</v>
      </c>
      <c r="I16182" s="48" t="s">
        <v>20547</v>
      </c>
    </row>
    <row r="16183" spans="2:9" ht="15" customHeight="1" x14ac:dyDescent="0.25">
      <c r="B16183" s="55" t="s">
        <v>282</v>
      </c>
      <c r="C16183" s="46">
        <v>1171</v>
      </c>
      <c r="D16183" s="69" t="s">
        <v>29419</v>
      </c>
      <c r="E16183" s="51"/>
      <c r="F16183" s="114" t="str">
        <f>IF(INDEX(I.Facility.P3IDNumber,1171)="","",INDEX(I.Facility.P3IDNumber,1171))</f>
        <v/>
      </c>
      <c r="G16183" s="51"/>
      <c r="H16183" s="46" t="str">
        <f>IF(AND(I.Developer.P3=TRUE,I.Facility.P3FacilityCount&gt;=1171,F16183=""),"Incomplete","Complete")</f>
        <v>Complete</v>
      </c>
      <c r="I16183" s="48" t="s">
        <v>20548</v>
      </c>
    </row>
    <row r="16184" spans="2:9" ht="15" customHeight="1" x14ac:dyDescent="0.25">
      <c r="B16184" s="55" t="s">
        <v>282</v>
      </c>
      <c r="C16184" s="46">
        <v>1172</v>
      </c>
      <c r="D16184" s="69" t="s">
        <v>29419</v>
      </c>
      <c r="E16184" s="51"/>
      <c r="F16184" s="114" t="str">
        <f>IF(INDEX(I.Facility.P3IDNumber,1172)="","",INDEX(I.Facility.P3IDNumber,1172))</f>
        <v/>
      </c>
      <c r="G16184" s="51"/>
      <c r="H16184" s="46" t="str">
        <f>IF(AND(I.Developer.P3=TRUE,I.Facility.P3FacilityCount&gt;=1172,F16184=""),"Incomplete","Complete")</f>
        <v>Complete</v>
      </c>
      <c r="I16184" s="48" t="s">
        <v>20549</v>
      </c>
    </row>
    <row r="16185" spans="2:9" ht="15" customHeight="1" x14ac:dyDescent="0.25">
      <c r="B16185" s="55" t="s">
        <v>282</v>
      </c>
      <c r="C16185" s="46">
        <v>1173</v>
      </c>
      <c r="D16185" s="69" t="s">
        <v>29419</v>
      </c>
      <c r="E16185" s="51"/>
      <c r="F16185" s="114" t="str">
        <f>IF(INDEX(I.Facility.P3IDNumber,1173)="","",INDEX(I.Facility.P3IDNumber,1173))</f>
        <v/>
      </c>
      <c r="G16185" s="51"/>
      <c r="H16185" s="46" t="str">
        <f>IF(AND(I.Developer.P3=TRUE,I.Facility.P3FacilityCount&gt;=1173,F16185=""),"Incomplete","Complete")</f>
        <v>Complete</v>
      </c>
      <c r="I16185" s="48" t="s">
        <v>20550</v>
      </c>
    </row>
    <row r="16186" spans="2:9" ht="15" customHeight="1" x14ac:dyDescent="0.25">
      <c r="B16186" s="55" t="s">
        <v>282</v>
      </c>
      <c r="C16186" s="46">
        <v>1174</v>
      </c>
      <c r="D16186" s="69" t="s">
        <v>29419</v>
      </c>
      <c r="E16186" s="51"/>
      <c r="F16186" s="114" t="str">
        <f>IF(INDEX(I.Facility.P3IDNumber,1174)="","",INDEX(I.Facility.P3IDNumber,1174))</f>
        <v/>
      </c>
      <c r="G16186" s="51"/>
      <c r="H16186" s="46" t="str">
        <f>IF(AND(I.Developer.P3=TRUE,I.Facility.P3FacilityCount&gt;=1174,F16186=""),"Incomplete","Complete")</f>
        <v>Complete</v>
      </c>
      <c r="I16186" s="48" t="s">
        <v>20551</v>
      </c>
    </row>
    <row r="16187" spans="2:9" ht="15" customHeight="1" x14ac:dyDescent="0.25">
      <c r="B16187" s="55" t="s">
        <v>282</v>
      </c>
      <c r="C16187" s="46">
        <v>1175</v>
      </c>
      <c r="D16187" s="69" t="s">
        <v>29419</v>
      </c>
      <c r="E16187" s="51"/>
      <c r="F16187" s="114" t="str">
        <f>IF(INDEX(I.Facility.P3IDNumber,1175)="","",INDEX(I.Facility.P3IDNumber,1175))</f>
        <v/>
      </c>
      <c r="G16187" s="51"/>
      <c r="H16187" s="46" t="str">
        <f>IF(AND(I.Developer.P3=TRUE,I.Facility.P3FacilityCount&gt;=1175,F16187=""),"Incomplete","Complete")</f>
        <v>Complete</v>
      </c>
      <c r="I16187" s="48" t="s">
        <v>20552</v>
      </c>
    </row>
    <row r="16188" spans="2:9" ht="15" customHeight="1" x14ac:dyDescent="0.25">
      <c r="B16188" s="55" t="s">
        <v>282</v>
      </c>
      <c r="C16188" s="46">
        <v>1176</v>
      </c>
      <c r="D16188" s="69" t="s">
        <v>29419</v>
      </c>
      <c r="E16188" s="51"/>
      <c r="F16188" s="114" t="str">
        <f>IF(INDEX(I.Facility.P3IDNumber,1176)="","",INDEX(I.Facility.P3IDNumber,1176))</f>
        <v/>
      </c>
      <c r="G16188" s="51"/>
      <c r="H16188" s="46" t="str">
        <f>IF(AND(I.Developer.P3=TRUE,I.Facility.P3FacilityCount&gt;=1176,F16188=""),"Incomplete","Complete")</f>
        <v>Complete</v>
      </c>
      <c r="I16188" s="48" t="s">
        <v>20553</v>
      </c>
    </row>
    <row r="16189" spans="2:9" ht="15" customHeight="1" x14ac:dyDescent="0.25">
      <c r="B16189" s="55" t="s">
        <v>282</v>
      </c>
      <c r="C16189" s="46">
        <v>1177</v>
      </c>
      <c r="D16189" s="69" t="s">
        <v>29419</v>
      </c>
      <c r="E16189" s="51"/>
      <c r="F16189" s="114" t="str">
        <f>IF(INDEX(I.Facility.P3IDNumber,1177)="","",INDEX(I.Facility.P3IDNumber,1177))</f>
        <v/>
      </c>
      <c r="G16189" s="51"/>
      <c r="H16189" s="46" t="str">
        <f>IF(AND(I.Developer.P3=TRUE,I.Facility.P3FacilityCount&gt;=1177,F16189=""),"Incomplete","Complete")</f>
        <v>Complete</v>
      </c>
      <c r="I16189" s="48" t="s">
        <v>20554</v>
      </c>
    </row>
    <row r="16190" spans="2:9" ht="15" customHeight="1" x14ac:dyDescent="0.25">
      <c r="B16190" s="55" t="s">
        <v>282</v>
      </c>
      <c r="C16190" s="46">
        <v>1178</v>
      </c>
      <c r="D16190" s="69" t="s">
        <v>29419</v>
      </c>
      <c r="E16190" s="51"/>
      <c r="F16190" s="114" t="str">
        <f>IF(INDEX(I.Facility.P3IDNumber,1178)="","",INDEX(I.Facility.P3IDNumber,1178))</f>
        <v/>
      </c>
      <c r="G16190" s="51"/>
      <c r="H16190" s="46" t="str">
        <f>IF(AND(I.Developer.P3=TRUE,I.Facility.P3FacilityCount&gt;=1178,F16190=""),"Incomplete","Complete")</f>
        <v>Complete</v>
      </c>
      <c r="I16190" s="48" t="s">
        <v>20555</v>
      </c>
    </row>
    <row r="16191" spans="2:9" ht="15" customHeight="1" x14ac:dyDescent="0.25">
      <c r="B16191" s="55" t="s">
        <v>282</v>
      </c>
      <c r="C16191" s="46">
        <v>1179</v>
      </c>
      <c r="D16191" s="69" t="s">
        <v>29419</v>
      </c>
      <c r="E16191" s="51"/>
      <c r="F16191" s="114" t="str">
        <f>IF(INDEX(I.Facility.P3IDNumber,1179)="","",INDEX(I.Facility.P3IDNumber,1179))</f>
        <v/>
      </c>
      <c r="G16191" s="51"/>
      <c r="H16191" s="46" t="str">
        <f>IF(AND(I.Developer.P3=TRUE,I.Facility.P3FacilityCount&gt;=1179,F16191=""),"Incomplete","Complete")</f>
        <v>Complete</v>
      </c>
      <c r="I16191" s="48" t="s">
        <v>20556</v>
      </c>
    </row>
    <row r="16192" spans="2:9" ht="15" customHeight="1" x14ac:dyDescent="0.25">
      <c r="B16192" s="55" t="s">
        <v>282</v>
      </c>
      <c r="C16192" s="46">
        <v>1180</v>
      </c>
      <c r="D16192" s="69" t="s">
        <v>29419</v>
      </c>
      <c r="E16192" s="51"/>
      <c r="F16192" s="114" t="str">
        <f>IF(INDEX(I.Facility.P3IDNumber,1180)="","",INDEX(I.Facility.P3IDNumber,1180))</f>
        <v/>
      </c>
      <c r="G16192" s="51"/>
      <c r="H16192" s="46" t="str">
        <f>IF(AND(I.Developer.P3=TRUE,I.Facility.P3FacilityCount&gt;=1180,F16192=""),"Incomplete","Complete")</f>
        <v>Complete</v>
      </c>
      <c r="I16192" s="48" t="s">
        <v>20557</v>
      </c>
    </row>
    <row r="16193" spans="2:9" ht="15" customHeight="1" x14ac:dyDescent="0.25">
      <c r="B16193" s="55" t="s">
        <v>282</v>
      </c>
      <c r="C16193" s="46">
        <v>1181</v>
      </c>
      <c r="D16193" s="69" t="s">
        <v>29419</v>
      </c>
      <c r="E16193" s="51"/>
      <c r="F16193" s="114" t="str">
        <f>IF(INDEX(I.Facility.P3IDNumber,1181)="","",INDEX(I.Facility.P3IDNumber,1181))</f>
        <v/>
      </c>
      <c r="G16193" s="51"/>
      <c r="H16193" s="46" t="str">
        <f>IF(AND(I.Developer.P3=TRUE,I.Facility.P3FacilityCount&gt;=1181,F16193=""),"Incomplete","Complete")</f>
        <v>Complete</v>
      </c>
      <c r="I16193" s="48" t="s">
        <v>20558</v>
      </c>
    </row>
    <row r="16194" spans="2:9" ht="15" customHeight="1" x14ac:dyDescent="0.25">
      <c r="B16194" s="55" t="s">
        <v>282</v>
      </c>
      <c r="C16194" s="46">
        <v>1182</v>
      </c>
      <c r="D16194" s="69" t="s">
        <v>29419</v>
      </c>
      <c r="E16194" s="51"/>
      <c r="F16194" s="114" t="str">
        <f>IF(INDEX(I.Facility.P3IDNumber,1182)="","",INDEX(I.Facility.P3IDNumber,1182))</f>
        <v/>
      </c>
      <c r="G16194" s="51"/>
      <c r="H16194" s="46" t="str">
        <f>IF(AND(I.Developer.P3=TRUE,I.Facility.P3FacilityCount&gt;=1182,F16194=""),"Incomplete","Complete")</f>
        <v>Complete</v>
      </c>
      <c r="I16194" s="48" t="s">
        <v>20559</v>
      </c>
    </row>
    <row r="16195" spans="2:9" ht="15" customHeight="1" x14ac:dyDescent="0.25">
      <c r="B16195" s="55" t="s">
        <v>282</v>
      </c>
      <c r="C16195" s="46">
        <v>1183</v>
      </c>
      <c r="D16195" s="69" t="s">
        <v>29419</v>
      </c>
      <c r="E16195" s="51"/>
      <c r="F16195" s="114" t="str">
        <f>IF(INDEX(I.Facility.P3IDNumber,1183)="","",INDEX(I.Facility.P3IDNumber,1183))</f>
        <v/>
      </c>
      <c r="G16195" s="51"/>
      <c r="H16195" s="46" t="str">
        <f>IF(AND(I.Developer.P3=TRUE,I.Facility.P3FacilityCount&gt;=1183,F16195=""),"Incomplete","Complete")</f>
        <v>Complete</v>
      </c>
      <c r="I16195" s="48" t="s">
        <v>20560</v>
      </c>
    </row>
    <row r="16196" spans="2:9" ht="15" customHeight="1" x14ac:dyDescent="0.25">
      <c r="B16196" s="55" t="s">
        <v>282</v>
      </c>
      <c r="C16196" s="46">
        <v>1184</v>
      </c>
      <c r="D16196" s="69" t="s">
        <v>29419</v>
      </c>
      <c r="E16196" s="51"/>
      <c r="F16196" s="114" t="str">
        <f>IF(INDEX(I.Facility.P3IDNumber,1184)="","",INDEX(I.Facility.P3IDNumber,1184))</f>
        <v/>
      </c>
      <c r="G16196" s="51"/>
      <c r="H16196" s="46" t="str">
        <f>IF(AND(I.Developer.P3=TRUE,I.Facility.P3FacilityCount&gt;=1184,F16196=""),"Incomplete","Complete")</f>
        <v>Complete</v>
      </c>
      <c r="I16196" s="48" t="s">
        <v>20561</v>
      </c>
    </row>
    <row r="16197" spans="2:9" ht="15" customHeight="1" x14ac:dyDescent="0.25">
      <c r="B16197" s="55" t="s">
        <v>282</v>
      </c>
      <c r="C16197" s="46">
        <v>1185</v>
      </c>
      <c r="D16197" s="69" t="s">
        <v>29419</v>
      </c>
      <c r="E16197" s="51"/>
      <c r="F16197" s="114" t="str">
        <f>IF(INDEX(I.Facility.P3IDNumber,1185)="","",INDEX(I.Facility.P3IDNumber,1185))</f>
        <v/>
      </c>
      <c r="G16197" s="51"/>
      <c r="H16197" s="46" t="str">
        <f>IF(AND(I.Developer.P3=TRUE,I.Facility.P3FacilityCount&gt;=1185,F16197=""),"Incomplete","Complete")</f>
        <v>Complete</v>
      </c>
      <c r="I16197" s="48" t="s">
        <v>20562</v>
      </c>
    </row>
    <row r="16198" spans="2:9" ht="15" customHeight="1" x14ac:dyDescent="0.25">
      <c r="B16198" s="55" t="s">
        <v>282</v>
      </c>
      <c r="C16198" s="46">
        <v>1186</v>
      </c>
      <c r="D16198" s="69" t="s">
        <v>29419</v>
      </c>
      <c r="E16198" s="51"/>
      <c r="F16198" s="114" t="str">
        <f>IF(INDEX(I.Facility.P3IDNumber,1186)="","",INDEX(I.Facility.P3IDNumber,1186))</f>
        <v/>
      </c>
      <c r="G16198" s="51"/>
      <c r="H16198" s="46" t="str">
        <f>IF(AND(I.Developer.P3=TRUE,I.Facility.P3FacilityCount&gt;=1186,F16198=""),"Incomplete","Complete")</f>
        <v>Complete</v>
      </c>
      <c r="I16198" s="48" t="s">
        <v>20563</v>
      </c>
    </row>
    <row r="16199" spans="2:9" ht="15" customHeight="1" x14ac:dyDescent="0.25">
      <c r="B16199" s="55" t="s">
        <v>282</v>
      </c>
      <c r="C16199" s="46">
        <v>1187</v>
      </c>
      <c r="D16199" s="69" t="s">
        <v>29419</v>
      </c>
      <c r="E16199" s="51"/>
      <c r="F16199" s="114" t="str">
        <f>IF(INDEX(I.Facility.P3IDNumber,1187)="","",INDEX(I.Facility.P3IDNumber,1187))</f>
        <v/>
      </c>
      <c r="G16199" s="51"/>
      <c r="H16199" s="46" t="str">
        <f>IF(AND(I.Developer.P3=TRUE,I.Facility.P3FacilityCount&gt;=1187,F16199=""),"Incomplete","Complete")</f>
        <v>Complete</v>
      </c>
      <c r="I16199" s="48" t="s">
        <v>20564</v>
      </c>
    </row>
    <row r="16200" spans="2:9" ht="15" customHeight="1" x14ac:dyDescent="0.25">
      <c r="B16200" s="55" t="s">
        <v>282</v>
      </c>
      <c r="C16200" s="46">
        <v>1188</v>
      </c>
      <c r="D16200" s="69" t="s">
        <v>29419</v>
      </c>
      <c r="E16200" s="51"/>
      <c r="F16200" s="114" t="str">
        <f>IF(INDEX(I.Facility.P3IDNumber,1188)="","",INDEX(I.Facility.P3IDNumber,1188))</f>
        <v/>
      </c>
      <c r="G16200" s="51"/>
      <c r="H16200" s="46" t="str">
        <f>IF(AND(I.Developer.P3=TRUE,I.Facility.P3FacilityCount&gt;=1188,F16200=""),"Incomplete","Complete")</f>
        <v>Complete</v>
      </c>
      <c r="I16200" s="48" t="s">
        <v>20565</v>
      </c>
    </row>
    <row r="16201" spans="2:9" ht="15" customHeight="1" x14ac:dyDescent="0.25">
      <c r="B16201" s="55" t="s">
        <v>282</v>
      </c>
      <c r="C16201" s="46">
        <v>1189</v>
      </c>
      <c r="D16201" s="69" t="s">
        <v>29419</v>
      </c>
      <c r="E16201" s="51"/>
      <c r="F16201" s="114" t="str">
        <f>IF(INDEX(I.Facility.P3IDNumber,1189)="","",INDEX(I.Facility.P3IDNumber,1189))</f>
        <v/>
      </c>
      <c r="G16201" s="51"/>
      <c r="H16201" s="46" t="str">
        <f>IF(AND(I.Developer.P3=TRUE,I.Facility.P3FacilityCount&gt;=1189,F16201=""),"Incomplete","Complete")</f>
        <v>Complete</v>
      </c>
      <c r="I16201" s="48" t="s">
        <v>20566</v>
      </c>
    </row>
    <row r="16202" spans="2:9" ht="15" customHeight="1" x14ac:dyDescent="0.25">
      <c r="B16202" s="55" t="s">
        <v>282</v>
      </c>
      <c r="C16202" s="46">
        <v>1190</v>
      </c>
      <c r="D16202" s="69" t="s">
        <v>29419</v>
      </c>
      <c r="E16202" s="51"/>
      <c r="F16202" s="114" t="str">
        <f>IF(INDEX(I.Facility.P3IDNumber,1190)="","",INDEX(I.Facility.P3IDNumber,1190))</f>
        <v/>
      </c>
      <c r="G16202" s="51"/>
      <c r="H16202" s="46" t="str">
        <f>IF(AND(I.Developer.P3=TRUE,I.Facility.P3FacilityCount&gt;=1190,F16202=""),"Incomplete","Complete")</f>
        <v>Complete</v>
      </c>
      <c r="I16202" s="48" t="s">
        <v>20567</v>
      </c>
    </row>
    <row r="16203" spans="2:9" ht="15" customHeight="1" x14ac:dyDescent="0.25">
      <c r="B16203" s="55" t="s">
        <v>282</v>
      </c>
      <c r="C16203" s="46">
        <v>1191</v>
      </c>
      <c r="D16203" s="69" t="s">
        <v>29419</v>
      </c>
      <c r="E16203" s="51"/>
      <c r="F16203" s="114" t="str">
        <f>IF(INDEX(I.Facility.P3IDNumber,1191)="","",INDEX(I.Facility.P3IDNumber,1191))</f>
        <v/>
      </c>
      <c r="G16203" s="51"/>
      <c r="H16203" s="46" t="str">
        <f>IF(AND(I.Developer.P3=TRUE,I.Facility.P3FacilityCount&gt;=1191,F16203=""),"Incomplete","Complete")</f>
        <v>Complete</v>
      </c>
      <c r="I16203" s="48" t="s">
        <v>20568</v>
      </c>
    </row>
    <row r="16204" spans="2:9" ht="15" customHeight="1" x14ac:dyDescent="0.25">
      <c r="B16204" s="55" t="s">
        <v>282</v>
      </c>
      <c r="C16204" s="46">
        <v>1192</v>
      </c>
      <c r="D16204" s="69" t="s">
        <v>29419</v>
      </c>
      <c r="E16204" s="51"/>
      <c r="F16204" s="114" t="str">
        <f>IF(INDEX(I.Facility.P3IDNumber,1192)="","",INDEX(I.Facility.P3IDNumber,1192))</f>
        <v/>
      </c>
      <c r="G16204" s="51"/>
      <c r="H16204" s="46" t="str">
        <f>IF(AND(I.Developer.P3=TRUE,I.Facility.P3FacilityCount&gt;=1192,F16204=""),"Incomplete","Complete")</f>
        <v>Complete</v>
      </c>
      <c r="I16204" s="48" t="s">
        <v>20569</v>
      </c>
    </row>
    <row r="16205" spans="2:9" ht="15" customHeight="1" x14ac:dyDescent="0.25">
      <c r="B16205" s="55" t="s">
        <v>282</v>
      </c>
      <c r="C16205" s="46">
        <v>1193</v>
      </c>
      <c r="D16205" s="69" t="s">
        <v>29419</v>
      </c>
      <c r="E16205" s="51"/>
      <c r="F16205" s="114" t="str">
        <f>IF(INDEX(I.Facility.P3IDNumber,1193)="","",INDEX(I.Facility.P3IDNumber,1193))</f>
        <v/>
      </c>
      <c r="G16205" s="51"/>
      <c r="H16205" s="46" t="str">
        <f>IF(AND(I.Developer.P3=TRUE,I.Facility.P3FacilityCount&gt;=1193,F16205=""),"Incomplete","Complete")</f>
        <v>Complete</v>
      </c>
      <c r="I16205" s="48" t="s">
        <v>20570</v>
      </c>
    </row>
    <row r="16206" spans="2:9" ht="15" customHeight="1" x14ac:dyDescent="0.25">
      <c r="B16206" s="55" t="s">
        <v>282</v>
      </c>
      <c r="C16206" s="46">
        <v>1194</v>
      </c>
      <c r="D16206" s="69" t="s">
        <v>29419</v>
      </c>
      <c r="E16206" s="51"/>
      <c r="F16206" s="114" t="str">
        <f>IF(INDEX(I.Facility.P3IDNumber,1194)="","",INDEX(I.Facility.P3IDNumber,1194))</f>
        <v/>
      </c>
      <c r="G16206" s="51"/>
      <c r="H16206" s="46" t="str">
        <f>IF(AND(I.Developer.P3=TRUE,I.Facility.P3FacilityCount&gt;=1194,F16206=""),"Incomplete","Complete")</f>
        <v>Complete</v>
      </c>
      <c r="I16206" s="48" t="s">
        <v>20571</v>
      </c>
    </row>
    <row r="16207" spans="2:9" ht="15" customHeight="1" x14ac:dyDescent="0.25">
      <c r="B16207" s="55" t="s">
        <v>282</v>
      </c>
      <c r="C16207" s="46">
        <v>1195</v>
      </c>
      <c r="D16207" s="69" t="s">
        <v>29419</v>
      </c>
      <c r="E16207" s="51"/>
      <c r="F16207" s="114" t="str">
        <f>IF(INDEX(I.Facility.P3IDNumber,1195)="","",INDEX(I.Facility.P3IDNumber,1195))</f>
        <v/>
      </c>
      <c r="G16207" s="51"/>
      <c r="H16207" s="46" t="str">
        <f>IF(AND(I.Developer.P3=TRUE,I.Facility.P3FacilityCount&gt;=1195,F16207=""),"Incomplete","Complete")</f>
        <v>Complete</v>
      </c>
      <c r="I16207" s="48" t="s">
        <v>20572</v>
      </c>
    </row>
    <row r="16208" spans="2:9" ht="15" customHeight="1" x14ac:dyDescent="0.25">
      <c r="B16208" s="55" t="s">
        <v>282</v>
      </c>
      <c r="C16208" s="46">
        <v>1196</v>
      </c>
      <c r="D16208" s="69" t="s">
        <v>29419</v>
      </c>
      <c r="E16208" s="51"/>
      <c r="F16208" s="114" t="str">
        <f>IF(INDEX(I.Facility.P3IDNumber,1196)="","",INDEX(I.Facility.P3IDNumber,1196))</f>
        <v/>
      </c>
      <c r="G16208" s="51"/>
      <c r="H16208" s="46" t="str">
        <f>IF(AND(I.Developer.P3=TRUE,I.Facility.P3FacilityCount&gt;=1196,F16208=""),"Incomplete","Complete")</f>
        <v>Complete</v>
      </c>
      <c r="I16208" s="48" t="s">
        <v>20573</v>
      </c>
    </row>
    <row r="16209" spans="2:9" ht="15" customHeight="1" x14ac:dyDescent="0.25">
      <c r="B16209" s="55" t="s">
        <v>282</v>
      </c>
      <c r="C16209" s="46">
        <v>1197</v>
      </c>
      <c r="D16209" s="69" t="s">
        <v>29419</v>
      </c>
      <c r="E16209" s="51"/>
      <c r="F16209" s="114" t="str">
        <f>IF(INDEX(I.Facility.P3IDNumber,1197)="","",INDEX(I.Facility.P3IDNumber,1197))</f>
        <v/>
      </c>
      <c r="G16209" s="51"/>
      <c r="H16209" s="46" t="str">
        <f>IF(AND(I.Developer.P3=TRUE,I.Facility.P3FacilityCount&gt;=1197,F16209=""),"Incomplete","Complete")</f>
        <v>Complete</v>
      </c>
      <c r="I16209" s="48" t="s">
        <v>20574</v>
      </c>
    </row>
    <row r="16210" spans="2:9" ht="15" customHeight="1" x14ac:dyDescent="0.25">
      <c r="B16210" s="55" t="s">
        <v>282</v>
      </c>
      <c r="C16210" s="46">
        <v>1198</v>
      </c>
      <c r="D16210" s="69" t="s">
        <v>29419</v>
      </c>
      <c r="E16210" s="51"/>
      <c r="F16210" s="114" t="str">
        <f>IF(INDEX(I.Facility.P3IDNumber,1198)="","",INDEX(I.Facility.P3IDNumber,1198))</f>
        <v/>
      </c>
      <c r="G16210" s="51"/>
      <c r="H16210" s="46" t="str">
        <f>IF(AND(I.Developer.P3=TRUE,I.Facility.P3FacilityCount&gt;=1198,F16210=""),"Incomplete","Complete")</f>
        <v>Complete</v>
      </c>
      <c r="I16210" s="48" t="s">
        <v>20575</v>
      </c>
    </row>
    <row r="16211" spans="2:9" ht="15" customHeight="1" x14ac:dyDescent="0.25">
      <c r="B16211" s="55" t="s">
        <v>282</v>
      </c>
      <c r="C16211" s="46">
        <v>1199</v>
      </c>
      <c r="D16211" s="69" t="s">
        <v>29419</v>
      </c>
      <c r="E16211" s="51"/>
      <c r="F16211" s="114" t="str">
        <f>IF(INDEX(I.Facility.P3IDNumber,1199)="","",INDEX(I.Facility.P3IDNumber,1199))</f>
        <v/>
      </c>
      <c r="G16211" s="51"/>
      <c r="H16211" s="46" t="str">
        <f>IF(AND(I.Developer.P3=TRUE,I.Facility.P3FacilityCount&gt;=1199,F16211=""),"Incomplete","Complete")</f>
        <v>Complete</v>
      </c>
      <c r="I16211" s="48" t="s">
        <v>20576</v>
      </c>
    </row>
    <row r="16212" spans="2:9" ht="15" customHeight="1" x14ac:dyDescent="0.25">
      <c r="B16212" s="55" t="s">
        <v>282</v>
      </c>
      <c r="C16212" s="46">
        <v>1200</v>
      </c>
      <c r="D16212" s="69" t="s">
        <v>29419</v>
      </c>
      <c r="E16212" s="51"/>
      <c r="F16212" s="114" t="str">
        <f>IF(INDEX(I.Facility.P3IDNumber,1200)="","",INDEX(I.Facility.P3IDNumber,1200))</f>
        <v/>
      </c>
      <c r="G16212" s="51"/>
      <c r="H16212" s="46" t="str">
        <f>IF(AND(I.Developer.P3=TRUE,I.Facility.P3FacilityCount&gt;=1200,F16212=""),"Incomplete","Complete")</f>
        <v>Complete</v>
      </c>
      <c r="I16212" s="48" t="s">
        <v>20577</v>
      </c>
    </row>
    <row r="16213" spans="2:9" ht="15" customHeight="1" x14ac:dyDescent="0.25">
      <c r="B16213" s="55" t="s">
        <v>282</v>
      </c>
      <c r="C16213" s="46">
        <v>1201</v>
      </c>
      <c r="D16213" s="69" t="s">
        <v>29419</v>
      </c>
      <c r="E16213" s="51"/>
      <c r="F16213" s="114" t="str">
        <f>IF(INDEX(I.Facility.P3IDNumber,1201)="","",INDEX(I.Facility.P3IDNumber,1201))</f>
        <v/>
      </c>
      <c r="G16213" s="51"/>
      <c r="H16213" s="46" t="str">
        <f>IF(AND(I.Developer.P3=TRUE,I.Facility.P3FacilityCount&gt;=1201,F16213=""),"Incomplete","Complete")</f>
        <v>Complete</v>
      </c>
      <c r="I16213" s="48" t="s">
        <v>20578</v>
      </c>
    </row>
    <row r="16214" spans="2:9" ht="15" customHeight="1" x14ac:dyDescent="0.25">
      <c r="B16214" s="55" t="s">
        <v>282</v>
      </c>
      <c r="C16214" s="46">
        <v>1202</v>
      </c>
      <c r="D16214" s="69" t="s">
        <v>29419</v>
      </c>
      <c r="E16214" s="51"/>
      <c r="F16214" s="114" t="str">
        <f>IF(INDEX(I.Facility.P3IDNumber,1202)="","",INDEX(I.Facility.P3IDNumber,1202))</f>
        <v/>
      </c>
      <c r="G16214" s="51"/>
      <c r="H16214" s="46" t="str">
        <f>IF(AND(I.Developer.P3=TRUE,I.Facility.P3FacilityCount&gt;=1202,F16214=""),"Incomplete","Complete")</f>
        <v>Complete</v>
      </c>
      <c r="I16214" s="48" t="s">
        <v>20579</v>
      </c>
    </row>
    <row r="16215" spans="2:9" ht="15" customHeight="1" x14ac:dyDescent="0.25">
      <c r="B16215" s="55" t="s">
        <v>282</v>
      </c>
      <c r="C16215" s="46">
        <v>1203</v>
      </c>
      <c r="D16215" s="69" t="s">
        <v>29419</v>
      </c>
      <c r="E16215" s="51"/>
      <c r="F16215" s="114" t="str">
        <f>IF(INDEX(I.Facility.P3IDNumber,1203)="","",INDEX(I.Facility.P3IDNumber,1203))</f>
        <v/>
      </c>
      <c r="G16215" s="51"/>
      <c r="H16215" s="46" t="str">
        <f>IF(AND(I.Developer.P3=TRUE,I.Facility.P3FacilityCount&gt;=1203,F16215=""),"Incomplete","Complete")</f>
        <v>Complete</v>
      </c>
      <c r="I16215" s="48" t="s">
        <v>20580</v>
      </c>
    </row>
    <row r="16216" spans="2:9" ht="15" customHeight="1" x14ac:dyDescent="0.25">
      <c r="B16216" s="55" t="s">
        <v>282</v>
      </c>
      <c r="C16216" s="46">
        <v>1204</v>
      </c>
      <c r="D16216" s="69" t="s">
        <v>29419</v>
      </c>
      <c r="E16216" s="51"/>
      <c r="F16216" s="114" t="str">
        <f>IF(INDEX(I.Facility.P3IDNumber,1204)="","",INDEX(I.Facility.P3IDNumber,1204))</f>
        <v/>
      </c>
      <c r="G16216" s="51"/>
      <c r="H16216" s="46" t="str">
        <f>IF(AND(I.Developer.P3=TRUE,I.Facility.P3FacilityCount&gt;=1204,F16216=""),"Incomplete","Complete")</f>
        <v>Complete</v>
      </c>
      <c r="I16216" s="48" t="s">
        <v>20581</v>
      </c>
    </row>
    <row r="16217" spans="2:9" ht="15" customHeight="1" x14ac:dyDescent="0.25">
      <c r="B16217" s="55" t="s">
        <v>282</v>
      </c>
      <c r="C16217" s="46">
        <v>1205</v>
      </c>
      <c r="D16217" s="69" t="s">
        <v>29419</v>
      </c>
      <c r="E16217" s="51"/>
      <c r="F16217" s="114" t="str">
        <f>IF(INDEX(I.Facility.P3IDNumber,1205)="","",INDEX(I.Facility.P3IDNumber,1205))</f>
        <v/>
      </c>
      <c r="G16217" s="51"/>
      <c r="H16217" s="46" t="str">
        <f>IF(AND(I.Developer.P3=TRUE,I.Facility.P3FacilityCount&gt;=1205,F16217=""),"Incomplete","Complete")</f>
        <v>Complete</v>
      </c>
      <c r="I16217" s="48" t="s">
        <v>20582</v>
      </c>
    </row>
    <row r="16218" spans="2:9" ht="15" customHeight="1" x14ac:dyDescent="0.25">
      <c r="B16218" s="55" t="s">
        <v>282</v>
      </c>
      <c r="C16218" s="46">
        <v>1206</v>
      </c>
      <c r="D16218" s="69" t="s">
        <v>29419</v>
      </c>
      <c r="E16218" s="51"/>
      <c r="F16218" s="114" t="str">
        <f>IF(INDEX(I.Facility.P3IDNumber,1206)="","",INDEX(I.Facility.P3IDNumber,1206))</f>
        <v/>
      </c>
      <c r="G16218" s="51"/>
      <c r="H16218" s="46" t="str">
        <f>IF(AND(I.Developer.P3=TRUE,I.Facility.P3FacilityCount&gt;=1206,F16218=""),"Incomplete","Complete")</f>
        <v>Complete</v>
      </c>
      <c r="I16218" s="48" t="s">
        <v>20583</v>
      </c>
    </row>
    <row r="16219" spans="2:9" ht="15" customHeight="1" x14ac:dyDescent="0.25">
      <c r="B16219" s="55" t="s">
        <v>282</v>
      </c>
      <c r="C16219" s="46">
        <v>1207</v>
      </c>
      <c r="D16219" s="69" t="s">
        <v>29419</v>
      </c>
      <c r="E16219" s="51"/>
      <c r="F16219" s="114" t="str">
        <f>IF(INDEX(I.Facility.P3IDNumber,1207)="","",INDEX(I.Facility.P3IDNumber,1207))</f>
        <v/>
      </c>
      <c r="G16219" s="51"/>
      <c r="H16219" s="46" t="str">
        <f>IF(AND(I.Developer.P3=TRUE,I.Facility.P3FacilityCount&gt;=1207,F16219=""),"Incomplete","Complete")</f>
        <v>Complete</v>
      </c>
      <c r="I16219" s="48" t="s">
        <v>20584</v>
      </c>
    </row>
    <row r="16220" spans="2:9" ht="15" customHeight="1" x14ac:dyDescent="0.25">
      <c r="B16220" s="55" t="s">
        <v>282</v>
      </c>
      <c r="C16220" s="46">
        <v>1208</v>
      </c>
      <c r="D16220" s="69" t="s">
        <v>29419</v>
      </c>
      <c r="E16220" s="51"/>
      <c r="F16220" s="114" t="str">
        <f>IF(INDEX(I.Facility.P3IDNumber,1208)="","",INDEX(I.Facility.P3IDNumber,1208))</f>
        <v/>
      </c>
      <c r="G16220" s="51"/>
      <c r="H16220" s="46" t="str">
        <f>IF(AND(I.Developer.P3=TRUE,I.Facility.P3FacilityCount&gt;=1208,F16220=""),"Incomplete","Complete")</f>
        <v>Complete</v>
      </c>
      <c r="I16220" s="48" t="s">
        <v>20585</v>
      </c>
    </row>
    <row r="16221" spans="2:9" ht="15" customHeight="1" x14ac:dyDescent="0.25">
      <c r="B16221" s="55" t="s">
        <v>282</v>
      </c>
      <c r="C16221" s="46">
        <v>1209</v>
      </c>
      <c r="D16221" s="69" t="s">
        <v>29419</v>
      </c>
      <c r="E16221" s="51"/>
      <c r="F16221" s="114" t="str">
        <f>IF(INDEX(I.Facility.P3IDNumber,1209)="","",INDEX(I.Facility.P3IDNumber,1209))</f>
        <v/>
      </c>
      <c r="G16221" s="51"/>
      <c r="H16221" s="46" t="str">
        <f>IF(AND(I.Developer.P3=TRUE,I.Facility.P3FacilityCount&gt;=1209,F16221=""),"Incomplete","Complete")</f>
        <v>Complete</v>
      </c>
      <c r="I16221" s="48" t="s">
        <v>20586</v>
      </c>
    </row>
    <row r="16222" spans="2:9" ht="15" customHeight="1" x14ac:dyDescent="0.25">
      <c r="B16222" s="55" t="s">
        <v>282</v>
      </c>
      <c r="C16222" s="46">
        <v>1210</v>
      </c>
      <c r="D16222" s="69" t="s">
        <v>29419</v>
      </c>
      <c r="E16222" s="51"/>
      <c r="F16222" s="114" t="str">
        <f>IF(INDEX(I.Facility.P3IDNumber,1210)="","",INDEX(I.Facility.P3IDNumber,1210))</f>
        <v/>
      </c>
      <c r="G16222" s="51"/>
      <c r="H16222" s="46" t="str">
        <f>IF(AND(I.Developer.P3=TRUE,I.Facility.P3FacilityCount&gt;=1210,F16222=""),"Incomplete","Complete")</f>
        <v>Complete</v>
      </c>
      <c r="I16222" s="48" t="s">
        <v>20587</v>
      </c>
    </row>
    <row r="16223" spans="2:9" ht="15" customHeight="1" x14ac:dyDescent="0.25">
      <c r="B16223" s="55" t="s">
        <v>282</v>
      </c>
      <c r="C16223" s="46">
        <v>1211</v>
      </c>
      <c r="D16223" s="69" t="s">
        <v>29419</v>
      </c>
      <c r="E16223" s="51"/>
      <c r="F16223" s="114" t="str">
        <f>IF(INDEX(I.Facility.P3IDNumber,1211)="","",INDEX(I.Facility.P3IDNumber,1211))</f>
        <v/>
      </c>
      <c r="G16223" s="51"/>
      <c r="H16223" s="46" t="str">
        <f>IF(AND(I.Developer.P3=TRUE,I.Facility.P3FacilityCount&gt;=1211,F16223=""),"Incomplete","Complete")</f>
        <v>Complete</v>
      </c>
      <c r="I16223" s="48" t="s">
        <v>20588</v>
      </c>
    </row>
    <row r="16224" spans="2:9" ht="15" customHeight="1" x14ac:dyDescent="0.25">
      <c r="B16224" s="55" t="s">
        <v>282</v>
      </c>
      <c r="C16224" s="46">
        <v>1212</v>
      </c>
      <c r="D16224" s="69" t="s">
        <v>29419</v>
      </c>
      <c r="E16224" s="51"/>
      <c r="F16224" s="114" t="str">
        <f>IF(INDEX(I.Facility.P3IDNumber,1212)="","",INDEX(I.Facility.P3IDNumber,1212))</f>
        <v/>
      </c>
      <c r="G16224" s="51"/>
      <c r="H16224" s="46" t="str">
        <f>IF(AND(I.Developer.P3=TRUE,I.Facility.P3FacilityCount&gt;=1212,F16224=""),"Incomplete","Complete")</f>
        <v>Complete</v>
      </c>
      <c r="I16224" s="48" t="s">
        <v>20589</v>
      </c>
    </row>
    <row r="16225" spans="2:9" ht="15" customHeight="1" x14ac:dyDescent="0.25">
      <c r="B16225" s="55" t="s">
        <v>282</v>
      </c>
      <c r="C16225" s="46">
        <v>1213</v>
      </c>
      <c r="D16225" s="69" t="s">
        <v>29419</v>
      </c>
      <c r="E16225" s="51"/>
      <c r="F16225" s="114" t="str">
        <f>IF(INDEX(I.Facility.P3IDNumber,1213)="","",INDEX(I.Facility.P3IDNumber,1213))</f>
        <v/>
      </c>
      <c r="G16225" s="51"/>
      <c r="H16225" s="46" t="str">
        <f>IF(AND(I.Developer.P3=TRUE,I.Facility.P3FacilityCount&gt;=1213,F16225=""),"Incomplete","Complete")</f>
        <v>Complete</v>
      </c>
      <c r="I16225" s="48" t="s">
        <v>20590</v>
      </c>
    </row>
    <row r="16226" spans="2:9" ht="15" customHeight="1" x14ac:dyDescent="0.25">
      <c r="B16226" s="55" t="s">
        <v>282</v>
      </c>
      <c r="C16226" s="46">
        <v>1214</v>
      </c>
      <c r="D16226" s="69" t="s">
        <v>29419</v>
      </c>
      <c r="E16226" s="51"/>
      <c r="F16226" s="114" t="str">
        <f>IF(INDEX(I.Facility.P3IDNumber,1214)="","",INDEX(I.Facility.P3IDNumber,1214))</f>
        <v/>
      </c>
      <c r="G16226" s="51"/>
      <c r="H16226" s="46" t="str">
        <f>IF(AND(I.Developer.P3=TRUE,I.Facility.P3FacilityCount&gt;=1214,F16226=""),"Incomplete","Complete")</f>
        <v>Complete</v>
      </c>
      <c r="I16226" s="48" t="s">
        <v>20591</v>
      </c>
    </row>
    <row r="16227" spans="2:9" ht="15" customHeight="1" x14ac:dyDescent="0.25">
      <c r="B16227" s="55" t="s">
        <v>282</v>
      </c>
      <c r="C16227" s="46">
        <v>1215</v>
      </c>
      <c r="D16227" s="69" t="s">
        <v>29419</v>
      </c>
      <c r="E16227" s="51"/>
      <c r="F16227" s="114" t="str">
        <f>IF(INDEX(I.Facility.P3IDNumber,1215)="","",INDEX(I.Facility.P3IDNumber,1215))</f>
        <v/>
      </c>
      <c r="G16227" s="51"/>
      <c r="H16227" s="46" t="str">
        <f>IF(AND(I.Developer.P3=TRUE,I.Facility.P3FacilityCount&gt;=1215,F16227=""),"Incomplete","Complete")</f>
        <v>Complete</v>
      </c>
      <c r="I16227" s="48" t="s">
        <v>20592</v>
      </c>
    </row>
    <row r="16228" spans="2:9" ht="15" customHeight="1" x14ac:dyDescent="0.25">
      <c r="B16228" s="55" t="s">
        <v>282</v>
      </c>
      <c r="C16228" s="46">
        <v>1216</v>
      </c>
      <c r="D16228" s="69" t="s">
        <v>29419</v>
      </c>
      <c r="E16228" s="51"/>
      <c r="F16228" s="114" t="str">
        <f>IF(INDEX(I.Facility.P3IDNumber,1216)="","",INDEX(I.Facility.P3IDNumber,1216))</f>
        <v/>
      </c>
      <c r="G16228" s="51"/>
      <c r="H16228" s="46" t="str">
        <f>IF(AND(I.Developer.P3=TRUE,I.Facility.P3FacilityCount&gt;=1216,F16228=""),"Incomplete","Complete")</f>
        <v>Complete</v>
      </c>
      <c r="I16228" s="48" t="s">
        <v>20593</v>
      </c>
    </row>
    <row r="16229" spans="2:9" ht="15" customHeight="1" x14ac:dyDescent="0.25">
      <c r="B16229" s="55" t="s">
        <v>282</v>
      </c>
      <c r="C16229" s="46">
        <v>1217</v>
      </c>
      <c r="D16229" s="69" t="s">
        <v>29419</v>
      </c>
      <c r="E16229" s="51"/>
      <c r="F16229" s="114" t="str">
        <f>IF(INDEX(I.Facility.P3IDNumber,1217)="","",INDEX(I.Facility.P3IDNumber,1217))</f>
        <v/>
      </c>
      <c r="G16229" s="51"/>
      <c r="H16229" s="46" t="str">
        <f>IF(AND(I.Developer.P3=TRUE,I.Facility.P3FacilityCount&gt;=1217,F16229=""),"Incomplete","Complete")</f>
        <v>Complete</v>
      </c>
      <c r="I16229" s="48" t="s">
        <v>20594</v>
      </c>
    </row>
    <row r="16230" spans="2:9" ht="15" customHeight="1" x14ac:dyDescent="0.25">
      <c r="B16230" s="55" t="s">
        <v>282</v>
      </c>
      <c r="C16230" s="46">
        <v>1218</v>
      </c>
      <c r="D16230" s="69" t="s">
        <v>29419</v>
      </c>
      <c r="E16230" s="51"/>
      <c r="F16230" s="114" t="str">
        <f>IF(INDEX(I.Facility.P3IDNumber,1218)="","",INDEX(I.Facility.P3IDNumber,1218))</f>
        <v/>
      </c>
      <c r="G16230" s="51"/>
      <c r="H16230" s="46" t="str">
        <f>IF(AND(I.Developer.P3=TRUE,I.Facility.P3FacilityCount&gt;=1218,F16230=""),"Incomplete","Complete")</f>
        <v>Complete</v>
      </c>
      <c r="I16230" s="48" t="s">
        <v>20595</v>
      </c>
    </row>
    <row r="16231" spans="2:9" ht="15" customHeight="1" x14ac:dyDescent="0.25">
      <c r="B16231" s="55" t="s">
        <v>282</v>
      </c>
      <c r="C16231" s="46">
        <v>1219</v>
      </c>
      <c r="D16231" s="69" t="s">
        <v>29419</v>
      </c>
      <c r="E16231" s="51"/>
      <c r="F16231" s="114" t="str">
        <f>IF(INDEX(I.Facility.P3IDNumber,1219)="","",INDEX(I.Facility.P3IDNumber,1219))</f>
        <v/>
      </c>
      <c r="G16231" s="51"/>
      <c r="H16231" s="46" t="str">
        <f>IF(AND(I.Developer.P3=TRUE,I.Facility.P3FacilityCount&gt;=1219,F16231=""),"Incomplete","Complete")</f>
        <v>Complete</v>
      </c>
      <c r="I16231" s="48" t="s">
        <v>20596</v>
      </c>
    </row>
    <row r="16232" spans="2:9" ht="15" customHeight="1" x14ac:dyDescent="0.25">
      <c r="B16232" s="55" t="s">
        <v>282</v>
      </c>
      <c r="C16232" s="46">
        <v>1220</v>
      </c>
      <c r="D16232" s="69" t="s">
        <v>29419</v>
      </c>
      <c r="E16232" s="51"/>
      <c r="F16232" s="114" t="str">
        <f>IF(INDEX(I.Facility.P3IDNumber,1220)="","",INDEX(I.Facility.P3IDNumber,1220))</f>
        <v/>
      </c>
      <c r="G16232" s="51"/>
      <c r="H16232" s="46" t="str">
        <f>IF(AND(I.Developer.P3=TRUE,I.Facility.P3FacilityCount&gt;=1220,F16232=""),"Incomplete","Complete")</f>
        <v>Complete</v>
      </c>
      <c r="I16232" s="48" t="s">
        <v>20597</v>
      </c>
    </row>
    <row r="16233" spans="2:9" ht="15" customHeight="1" x14ac:dyDescent="0.25">
      <c r="B16233" s="55" t="s">
        <v>282</v>
      </c>
      <c r="C16233" s="46">
        <v>1221</v>
      </c>
      <c r="D16233" s="69" t="s">
        <v>29419</v>
      </c>
      <c r="E16233" s="51"/>
      <c r="F16233" s="114" t="str">
        <f>IF(INDEX(I.Facility.P3IDNumber,1221)="","",INDEX(I.Facility.P3IDNumber,1221))</f>
        <v/>
      </c>
      <c r="G16233" s="51"/>
      <c r="H16233" s="46" t="str">
        <f>IF(AND(I.Developer.P3=TRUE,I.Facility.P3FacilityCount&gt;=1221,F16233=""),"Incomplete","Complete")</f>
        <v>Complete</v>
      </c>
      <c r="I16233" s="48" t="s">
        <v>20598</v>
      </c>
    </row>
    <row r="16234" spans="2:9" ht="15" customHeight="1" x14ac:dyDescent="0.25">
      <c r="B16234" s="55" t="s">
        <v>282</v>
      </c>
      <c r="C16234" s="46">
        <v>1222</v>
      </c>
      <c r="D16234" s="69" t="s">
        <v>29419</v>
      </c>
      <c r="E16234" s="51"/>
      <c r="F16234" s="114" t="str">
        <f>IF(INDEX(I.Facility.P3IDNumber,1222)="","",INDEX(I.Facility.P3IDNumber,1222))</f>
        <v/>
      </c>
      <c r="G16234" s="51"/>
      <c r="H16234" s="46" t="str">
        <f>IF(AND(I.Developer.P3=TRUE,I.Facility.P3FacilityCount&gt;=1222,F16234=""),"Incomplete","Complete")</f>
        <v>Complete</v>
      </c>
      <c r="I16234" s="48" t="s">
        <v>20599</v>
      </c>
    </row>
    <row r="16235" spans="2:9" ht="15" customHeight="1" x14ac:dyDescent="0.25">
      <c r="B16235" s="55" t="s">
        <v>282</v>
      </c>
      <c r="C16235" s="46">
        <v>1223</v>
      </c>
      <c r="D16235" s="69" t="s">
        <v>29419</v>
      </c>
      <c r="E16235" s="51"/>
      <c r="F16235" s="114" t="str">
        <f>IF(INDEX(I.Facility.P3IDNumber,1223)="","",INDEX(I.Facility.P3IDNumber,1223))</f>
        <v/>
      </c>
      <c r="G16235" s="51"/>
      <c r="H16235" s="46" t="str">
        <f>IF(AND(I.Developer.P3=TRUE,I.Facility.P3FacilityCount&gt;=1223,F16235=""),"Incomplete","Complete")</f>
        <v>Complete</v>
      </c>
      <c r="I16235" s="48" t="s">
        <v>20600</v>
      </c>
    </row>
    <row r="16236" spans="2:9" ht="15" customHeight="1" x14ac:dyDescent="0.25">
      <c r="B16236" s="55" t="s">
        <v>282</v>
      </c>
      <c r="C16236" s="46">
        <v>1224</v>
      </c>
      <c r="D16236" s="69" t="s">
        <v>29419</v>
      </c>
      <c r="E16236" s="51"/>
      <c r="F16236" s="114" t="str">
        <f>IF(INDEX(I.Facility.P3IDNumber,1224)="","",INDEX(I.Facility.P3IDNumber,1224))</f>
        <v/>
      </c>
      <c r="G16236" s="51"/>
      <c r="H16236" s="46" t="str">
        <f>IF(AND(I.Developer.P3=TRUE,I.Facility.P3FacilityCount&gt;=1224,F16236=""),"Incomplete","Complete")</f>
        <v>Complete</v>
      </c>
      <c r="I16236" s="48" t="s">
        <v>20601</v>
      </c>
    </row>
    <row r="16237" spans="2:9" ht="15" customHeight="1" x14ac:dyDescent="0.25">
      <c r="B16237" s="55" t="s">
        <v>282</v>
      </c>
      <c r="C16237" s="46">
        <v>1225</v>
      </c>
      <c r="D16237" s="69" t="s">
        <v>29419</v>
      </c>
      <c r="E16237" s="51"/>
      <c r="F16237" s="114" t="str">
        <f>IF(INDEX(I.Facility.P3IDNumber,1225)="","",INDEX(I.Facility.P3IDNumber,1225))</f>
        <v/>
      </c>
      <c r="G16237" s="51"/>
      <c r="H16237" s="46" t="str">
        <f>IF(AND(I.Developer.P3=TRUE,I.Facility.P3FacilityCount&gt;=1225,F16237=""),"Incomplete","Complete")</f>
        <v>Complete</v>
      </c>
      <c r="I16237" s="48" t="s">
        <v>20602</v>
      </c>
    </row>
    <row r="16238" spans="2:9" ht="15" customHeight="1" x14ac:dyDescent="0.25">
      <c r="B16238" s="55" t="s">
        <v>282</v>
      </c>
      <c r="C16238" s="46">
        <v>1226</v>
      </c>
      <c r="D16238" s="69" t="s">
        <v>29419</v>
      </c>
      <c r="E16238" s="51"/>
      <c r="F16238" s="114" t="str">
        <f>IF(INDEX(I.Facility.P3IDNumber,1226)="","",INDEX(I.Facility.P3IDNumber,1226))</f>
        <v/>
      </c>
      <c r="G16238" s="51"/>
      <c r="H16238" s="46" t="str">
        <f>IF(AND(I.Developer.P3=TRUE,I.Facility.P3FacilityCount&gt;=1226,F16238=""),"Incomplete","Complete")</f>
        <v>Complete</v>
      </c>
      <c r="I16238" s="48" t="s">
        <v>20603</v>
      </c>
    </row>
    <row r="16239" spans="2:9" ht="15" customHeight="1" x14ac:dyDescent="0.25">
      <c r="B16239" s="55" t="s">
        <v>282</v>
      </c>
      <c r="C16239" s="46">
        <v>1227</v>
      </c>
      <c r="D16239" s="69" t="s">
        <v>29419</v>
      </c>
      <c r="E16239" s="51"/>
      <c r="F16239" s="114" t="str">
        <f>IF(INDEX(I.Facility.P3IDNumber,1227)="","",INDEX(I.Facility.P3IDNumber,1227))</f>
        <v/>
      </c>
      <c r="G16239" s="51"/>
      <c r="H16239" s="46" t="str">
        <f>IF(AND(I.Developer.P3=TRUE,I.Facility.P3FacilityCount&gt;=1227,F16239=""),"Incomplete","Complete")</f>
        <v>Complete</v>
      </c>
      <c r="I16239" s="48" t="s">
        <v>20604</v>
      </c>
    </row>
    <row r="16240" spans="2:9" ht="15" customHeight="1" x14ac:dyDescent="0.25">
      <c r="B16240" s="55" t="s">
        <v>282</v>
      </c>
      <c r="C16240" s="46">
        <v>1228</v>
      </c>
      <c r="D16240" s="69" t="s">
        <v>29419</v>
      </c>
      <c r="E16240" s="51"/>
      <c r="F16240" s="114" t="str">
        <f>IF(INDEX(I.Facility.P3IDNumber,1228)="","",INDEX(I.Facility.P3IDNumber,1228))</f>
        <v/>
      </c>
      <c r="G16240" s="51"/>
      <c r="H16240" s="46" t="str">
        <f>IF(AND(I.Developer.P3=TRUE,I.Facility.P3FacilityCount&gt;=1228,F16240=""),"Incomplete","Complete")</f>
        <v>Complete</v>
      </c>
      <c r="I16240" s="48" t="s">
        <v>20605</v>
      </c>
    </row>
    <row r="16241" spans="2:9" ht="15" customHeight="1" x14ac:dyDescent="0.25">
      <c r="B16241" s="55" t="s">
        <v>282</v>
      </c>
      <c r="C16241" s="46">
        <v>1229</v>
      </c>
      <c r="D16241" s="69" t="s">
        <v>29419</v>
      </c>
      <c r="E16241" s="51"/>
      <c r="F16241" s="114" t="str">
        <f>IF(INDEX(I.Facility.P3IDNumber,1229)="","",INDEX(I.Facility.P3IDNumber,1229))</f>
        <v/>
      </c>
      <c r="G16241" s="51"/>
      <c r="H16241" s="46" t="str">
        <f>IF(AND(I.Developer.P3=TRUE,I.Facility.P3FacilityCount&gt;=1229,F16241=""),"Incomplete","Complete")</f>
        <v>Complete</v>
      </c>
      <c r="I16241" s="48" t="s">
        <v>20606</v>
      </c>
    </row>
    <row r="16242" spans="2:9" ht="15" customHeight="1" x14ac:dyDescent="0.25">
      <c r="B16242" s="55" t="s">
        <v>282</v>
      </c>
      <c r="C16242" s="46">
        <v>1230</v>
      </c>
      <c r="D16242" s="69" t="s">
        <v>29419</v>
      </c>
      <c r="E16242" s="51"/>
      <c r="F16242" s="114" t="str">
        <f>IF(INDEX(I.Facility.P3IDNumber,1230)="","",INDEX(I.Facility.P3IDNumber,1230))</f>
        <v/>
      </c>
      <c r="G16242" s="51"/>
      <c r="H16242" s="46" t="str">
        <f>IF(AND(I.Developer.P3=TRUE,I.Facility.P3FacilityCount&gt;=1230,F16242=""),"Incomplete","Complete")</f>
        <v>Complete</v>
      </c>
      <c r="I16242" s="48" t="s">
        <v>20607</v>
      </c>
    </row>
    <row r="16243" spans="2:9" ht="15" customHeight="1" x14ac:dyDescent="0.25">
      <c r="B16243" s="55" t="s">
        <v>282</v>
      </c>
      <c r="C16243" s="46">
        <v>1231</v>
      </c>
      <c r="D16243" s="69" t="s">
        <v>29419</v>
      </c>
      <c r="E16243" s="51"/>
      <c r="F16243" s="114" t="str">
        <f>IF(INDEX(I.Facility.P3IDNumber,1231)="","",INDEX(I.Facility.P3IDNumber,1231))</f>
        <v/>
      </c>
      <c r="G16243" s="51"/>
      <c r="H16243" s="46" t="str">
        <f>IF(AND(I.Developer.P3=TRUE,I.Facility.P3FacilityCount&gt;=1231,F16243=""),"Incomplete","Complete")</f>
        <v>Complete</v>
      </c>
      <c r="I16243" s="48" t="s">
        <v>20608</v>
      </c>
    </row>
    <row r="16244" spans="2:9" ht="15" customHeight="1" x14ac:dyDescent="0.25">
      <c r="B16244" s="55" t="s">
        <v>282</v>
      </c>
      <c r="C16244" s="46">
        <v>1232</v>
      </c>
      <c r="D16244" s="69" t="s">
        <v>29419</v>
      </c>
      <c r="E16244" s="51"/>
      <c r="F16244" s="114" t="str">
        <f>IF(INDEX(I.Facility.P3IDNumber,1232)="","",INDEX(I.Facility.P3IDNumber,1232))</f>
        <v/>
      </c>
      <c r="G16244" s="51"/>
      <c r="H16244" s="46" t="str">
        <f>IF(AND(I.Developer.P3=TRUE,I.Facility.P3FacilityCount&gt;=1232,F16244=""),"Incomplete","Complete")</f>
        <v>Complete</v>
      </c>
      <c r="I16244" s="48" t="s">
        <v>20609</v>
      </c>
    </row>
    <row r="16245" spans="2:9" ht="15" customHeight="1" x14ac:dyDescent="0.25">
      <c r="B16245" s="55" t="s">
        <v>282</v>
      </c>
      <c r="C16245" s="46">
        <v>1233</v>
      </c>
      <c r="D16245" s="69" t="s">
        <v>29419</v>
      </c>
      <c r="E16245" s="51"/>
      <c r="F16245" s="114" t="str">
        <f>IF(INDEX(I.Facility.P3IDNumber,1233)="","",INDEX(I.Facility.P3IDNumber,1233))</f>
        <v/>
      </c>
      <c r="G16245" s="51"/>
      <c r="H16245" s="46" t="str">
        <f>IF(AND(I.Developer.P3=TRUE,I.Facility.P3FacilityCount&gt;=1233,F16245=""),"Incomplete","Complete")</f>
        <v>Complete</v>
      </c>
      <c r="I16245" s="48" t="s">
        <v>20610</v>
      </c>
    </row>
    <row r="16246" spans="2:9" ht="15" customHeight="1" x14ac:dyDescent="0.25">
      <c r="B16246" s="55" t="s">
        <v>282</v>
      </c>
      <c r="C16246" s="46">
        <v>1234</v>
      </c>
      <c r="D16246" s="69" t="s">
        <v>29419</v>
      </c>
      <c r="E16246" s="51"/>
      <c r="F16246" s="114" t="str">
        <f>IF(INDEX(I.Facility.P3IDNumber,1234)="","",INDEX(I.Facility.P3IDNumber,1234))</f>
        <v/>
      </c>
      <c r="G16246" s="51"/>
      <c r="H16246" s="46" t="str">
        <f>IF(AND(I.Developer.P3=TRUE,I.Facility.P3FacilityCount&gt;=1234,F16246=""),"Incomplete","Complete")</f>
        <v>Complete</v>
      </c>
      <c r="I16246" s="48" t="s">
        <v>20611</v>
      </c>
    </row>
    <row r="16247" spans="2:9" ht="15" customHeight="1" x14ac:dyDescent="0.25">
      <c r="B16247" s="55" t="s">
        <v>282</v>
      </c>
      <c r="C16247" s="46">
        <v>1235</v>
      </c>
      <c r="D16247" s="69" t="s">
        <v>29419</v>
      </c>
      <c r="E16247" s="51"/>
      <c r="F16247" s="114" t="str">
        <f>IF(INDEX(I.Facility.P3IDNumber,1235)="","",INDEX(I.Facility.P3IDNumber,1235))</f>
        <v/>
      </c>
      <c r="G16247" s="51"/>
      <c r="H16247" s="46" t="str">
        <f>IF(AND(I.Developer.P3=TRUE,I.Facility.P3FacilityCount&gt;=1235,F16247=""),"Incomplete","Complete")</f>
        <v>Complete</v>
      </c>
      <c r="I16247" s="48" t="s">
        <v>20612</v>
      </c>
    </row>
    <row r="16248" spans="2:9" ht="15" customHeight="1" x14ac:dyDescent="0.25">
      <c r="B16248" s="55" t="s">
        <v>282</v>
      </c>
      <c r="C16248" s="46">
        <v>1236</v>
      </c>
      <c r="D16248" s="69" t="s">
        <v>29419</v>
      </c>
      <c r="E16248" s="51"/>
      <c r="F16248" s="114" t="str">
        <f>IF(INDEX(I.Facility.P3IDNumber,1236)="","",INDEX(I.Facility.P3IDNumber,1236))</f>
        <v/>
      </c>
      <c r="G16248" s="51"/>
      <c r="H16248" s="46" t="str">
        <f>IF(AND(I.Developer.P3=TRUE,I.Facility.P3FacilityCount&gt;=1236,F16248=""),"Incomplete","Complete")</f>
        <v>Complete</v>
      </c>
      <c r="I16248" s="48" t="s">
        <v>20613</v>
      </c>
    </row>
    <row r="16249" spans="2:9" ht="15" customHeight="1" x14ac:dyDescent="0.25">
      <c r="B16249" s="55" t="s">
        <v>282</v>
      </c>
      <c r="C16249" s="46">
        <v>1237</v>
      </c>
      <c r="D16249" s="69" t="s">
        <v>29419</v>
      </c>
      <c r="E16249" s="51"/>
      <c r="F16249" s="114" t="str">
        <f>IF(INDEX(I.Facility.P3IDNumber,1237)="","",INDEX(I.Facility.P3IDNumber,1237))</f>
        <v/>
      </c>
      <c r="G16249" s="51"/>
      <c r="H16249" s="46" t="str">
        <f>IF(AND(I.Developer.P3=TRUE,I.Facility.P3FacilityCount&gt;=1237,F16249=""),"Incomplete","Complete")</f>
        <v>Complete</v>
      </c>
      <c r="I16249" s="48" t="s">
        <v>20614</v>
      </c>
    </row>
    <row r="16250" spans="2:9" ht="15" customHeight="1" x14ac:dyDescent="0.25">
      <c r="B16250" s="55" t="s">
        <v>282</v>
      </c>
      <c r="C16250" s="46">
        <v>1238</v>
      </c>
      <c r="D16250" s="69" t="s">
        <v>29419</v>
      </c>
      <c r="E16250" s="51"/>
      <c r="F16250" s="114" t="str">
        <f>IF(INDEX(I.Facility.P3IDNumber,1238)="","",INDEX(I.Facility.P3IDNumber,1238))</f>
        <v/>
      </c>
      <c r="G16250" s="51"/>
      <c r="H16250" s="46" t="str">
        <f>IF(AND(I.Developer.P3=TRUE,I.Facility.P3FacilityCount&gt;=1238,F16250=""),"Incomplete","Complete")</f>
        <v>Complete</v>
      </c>
      <c r="I16250" s="48" t="s">
        <v>20615</v>
      </c>
    </row>
    <row r="16251" spans="2:9" ht="15" customHeight="1" x14ac:dyDescent="0.25">
      <c r="B16251" s="55" t="s">
        <v>282</v>
      </c>
      <c r="C16251" s="46">
        <v>1239</v>
      </c>
      <c r="D16251" s="69" t="s">
        <v>29419</v>
      </c>
      <c r="E16251" s="51"/>
      <c r="F16251" s="114" t="str">
        <f>IF(INDEX(I.Facility.P3IDNumber,1239)="","",INDEX(I.Facility.P3IDNumber,1239))</f>
        <v/>
      </c>
      <c r="G16251" s="51"/>
      <c r="H16251" s="46" t="str">
        <f>IF(AND(I.Developer.P3=TRUE,I.Facility.P3FacilityCount&gt;=1239,F16251=""),"Incomplete","Complete")</f>
        <v>Complete</v>
      </c>
      <c r="I16251" s="48" t="s">
        <v>20616</v>
      </c>
    </row>
    <row r="16252" spans="2:9" ht="15" customHeight="1" x14ac:dyDescent="0.25">
      <c r="B16252" s="55" t="s">
        <v>282</v>
      </c>
      <c r="C16252" s="46">
        <v>1240</v>
      </c>
      <c r="D16252" s="69" t="s">
        <v>29419</v>
      </c>
      <c r="E16252" s="51"/>
      <c r="F16252" s="114" t="str">
        <f>IF(INDEX(I.Facility.P3IDNumber,1240)="","",INDEX(I.Facility.P3IDNumber,1240))</f>
        <v/>
      </c>
      <c r="G16252" s="51"/>
      <c r="H16252" s="46" t="str">
        <f>IF(AND(I.Developer.P3=TRUE,I.Facility.P3FacilityCount&gt;=1240,F16252=""),"Incomplete","Complete")</f>
        <v>Complete</v>
      </c>
      <c r="I16252" s="48" t="s">
        <v>20617</v>
      </c>
    </row>
    <row r="16253" spans="2:9" ht="15" customHeight="1" x14ac:dyDescent="0.25">
      <c r="B16253" s="55" t="s">
        <v>282</v>
      </c>
      <c r="C16253" s="46">
        <v>1241</v>
      </c>
      <c r="D16253" s="69" t="s">
        <v>29419</v>
      </c>
      <c r="E16253" s="51"/>
      <c r="F16253" s="114" t="str">
        <f>IF(INDEX(I.Facility.P3IDNumber,1241)="","",INDEX(I.Facility.P3IDNumber,1241))</f>
        <v/>
      </c>
      <c r="G16253" s="51"/>
      <c r="H16253" s="46" t="str">
        <f>IF(AND(I.Developer.P3=TRUE,I.Facility.P3FacilityCount&gt;=1241,F16253=""),"Incomplete","Complete")</f>
        <v>Complete</v>
      </c>
      <c r="I16253" s="48" t="s">
        <v>20618</v>
      </c>
    </row>
    <row r="16254" spans="2:9" ht="15" customHeight="1" x14ac:dyDescent="0.25">
      <c r="B16254" s="55" t="s">
        <v>282</v>
      </c>
      <c r="C16254" s="46">
        <v>1242</v>
      </c>
      <c r="D16254" s="69" t="s">
        <v>29419</v>
      </c>
      <c r="E16254" s="51"/>
      <c r="F16254" s="114" t="str">
        <f>IF(INDEX(I.Facility.P3IDNumber,1242)="","",INDEX(I.Facility.P3IDNumber,1242))</f>
        <v/>
      </c>
      <c r="G16254" s="51"/>
      <c r="H16254" s="46" t="str">
        <f>IF(AND(I.Developer.P3=TRUE,I.Facility.P3FacilityCount&gt;=1242,F16254=""),"Incomplete","Complete")</f>
        <v>Complete</v>
      </c>
      <c r="I16254" s="48" t="s">
        <v>20619</v>
      </c>
    </row>
    <row r="16255" spans="2:9" ht="15" customHeight="1" x14ac:dyDescent="0.25">
      <c r="B16255" s="55" t="s">
        <v>282</v>
      </c>
      <c r="C16255" s="46">
        <v>1243</v>
      </c>
      <c r="D16255" s="69" t="s">
        <v>29419</v>
      </c>
      <c r="E16255" s="51"/>
      <c r="F16255" s="114" t="str">
        <f>IF(INDEX(I.Facility.P3IDNumber,1243)="","",INDEX(I.Facility.P3IDNumber,1243))</f>
        <v/>
      </c>
      <c r="G16255" s="51"/>
      <c r="H16255" s="46" t="str">
        <f>IF(AND(I.Developer.P3=TRUE,I.Facility.P3FacilityCount&gt;=1243,F16255=""),"Incomplete","Complete")</f>
        <v>Complete</v>
      </c>
      <c r="I16255" s="48" t="s">
        <v>20620</v>
      </c>
    </row>
    <row r="16256" spans="2:9" ht="15" customHeight="1" x14ac:dyDescent="0.25">
      <c r="B16256" s="55" t="s">
        <v>282</v>
      </c>
      <c r="C16256" s="46">
        <v>1244</v>
      </c>
      <c r="D16256" s="69" t="s">
        <v>29419</v>
      </c>
      <c r="E16256" s="51"/>
      <c r="F16256" s="114" t="str">
        <f>IF(INDEX(I.Facility.P3IDNumber,1244)="","",INDEX(I.Facility.P3IDNumber,1244))</f>
        <v/>
      </c>
      <c r="G16256" s="51"/>
      <c r="H16256" s="46" t="str">
        <f>IF(AND(I.Developer.P3=TRUE,I.Facility.P3FacilityCount&gt;=1244,F16256=""),"Incomplete","Complete")</f>
        <v>Complete</v>
      </c>
      <c r="I16256" s="48" t="s">
        <v>20621</v>
      </c>
    </row>
    <row r="16257" spans="2:9" ht="15" customHeight="1" x14ac:dyDescent="0.25">
      <c r="B16257" s="55" t="s">
        <v>282</v>
      </c>
      <c r="C16257" s="46">
        <v>1245</v>
      </c>
      <c r="D16257" s="69" t="s">
        <v>29419</v>
      </c>
      <c r="E16257" s="51"/>
      <c r="F16257" s="114" t="str">
        <f>IF(INDEX(I.Facility.P3IDNumber,1245)="","",INDEX(I.Facility.P3IDNumber,1245))</f>
        <v/>
      </c>
      <c r="G16257" s="51"/>
      <c r="H16257" s="46" t="str">
        <f>IF(AND(I.Developer.P3=TRUE,I.Facility.P3FacilityCount&gt;=1245,F16257=""),"Incomplete","Complete")</f>
        <v>Complete</v>
      </c>
      <c r="I16257" s="48" t="s">
        <v>20622</v>
      </c>
    </row>
    <row r="16258" spans="2:9" ht="15" customHeight="1" x14ac:dyDescent="0.25">
      <c r="B16258" s="55" t="s">
        <v>282</v>
      </c>
      <c r="C16258" s="46">
        <v>1246</v>
      </c>
      <c r="D16258" s="69" t="s">
        <v>29419</v>
      </c>
      <c r="E16258" s="51"/>
      <c r="F16258" s="114" t="str">
        <f>IF(INDEX(I.Facility.P3IDNumber,1246)="","",INDEX(I.Facility.P3IDNumber,1246))</f>
        <v/>
      </c>
      <c r="G16258" s="51"/>
      <c r="H16258" s="46" t="str">
        <f>IF(AND(I.Developer.P3=TRUE,I.Facility.P3FacilityCount&gt;=1246,F16258=""),"Incomplete","Complete")</f>
        <v>Complete</v>
      </c>
      <c r="I16258" s="48" t="s">
        <v>20623</v>
      </c>
    </row>
    <row r="16259" spans="2:9" ht="15" customHeight="1" x14ac:dyDescent="0.25">
      <c r="B16259" s="55" t="s">
        <v>282</v>
      </c>
      <c r="C16259" s="46">
        <v>1247</v>
      </c>
      <c r="D16259" s="69" t="s">
        <v>29419</v>
      </c>
      <c r="E16259" s="51"/>
      <c r="F16259" s="114" t="str">
        <f>IF(INDEX(I.Facility.P3IDNumber,1247)="","",INDEX(I.Facility.P3IDNumber,1247))</f>
        <v/>
      </c>
      <c r="G16259" s="51"/>
      <c r="H16259" s="46" t="str">
        <f>IF(AND(I.Developer.P3=TRUE,I.Facility.P3FacilityCount&gt;=1247,F16259=""),"Incomplete","Complete")</f>
        <v>Complete</v>
      </c>
      <c r="I16259" s="48" t="s">
        <v>20624</v>
      </c>
    </row>
    <row r="16260" spans="2:9" ht="15" customHeight="1" x14ac:dyDescent="0.25">
      <c r="B16260" s="55" t="s">
        <v>282</v>
      </c>
      <c r="C16260" s="46">
        <v>1248</v>
      </c>
      <c r="D16260" s="69" t="s">
        <v>29419</v>
      </c>
      <c r="E16260" s="51"/>
      <c r="F16260" s="114" t="str">
        <f>IF(INDEX(I.Facility.P3IDNumber,1248)="","",INDEX(I.Facility.P3IDNumber,1248))</f>
        <v/>
      </c>
      <c r="G16260" s="51"/>
      <c r="H16260" s="46" t="str">
        <f>IF(AND(I.Developer.P3=TRUE,I.Facility.P3FacilityCount&gt;=1248,F16260=""),"Incomplete","Complete")</f>
        <v>Complete</v>
      </c>
      <c r="I16260" s="48" t="s">
        <v>20625</v>
      </c>
    </row>
    <row r="16261" spans="2:9" ht="15" customHeight="1" x14ac:dyDescent="0.25">
      <c r="B16261" s="55" t="s">
        <v>282</v>
      </c>
      <c r="C16261" s="46">
        <v>1249</v>
      </c>
      <c r="D16261" s="69" t="s">
        <v>29419</v>
      </c>
      <c r="E16261" s="51"/>
      <c r="F16261" s="114" t="str">
        <f>IF(INDEX(I.Facility.P3IDNumber,1249)="","",INDEX(I.Facility.P3IDNumber,1249))</f>
        <v/>
      </c>
      <c r="G16261" s="51"/>
      <c r="H16261" s="46" t="str">
        <f>IF(AND(I.Developer.P3=TRUE,I.Facility.P3FacilityCount&gt;=1249,F16261=""),"Incomplete","Complete")</f>
        <v>Complete</v>
      </c>
      <c r="I16261" s="48" t="s">
        <v>20626</v>
      </c>
    </row>
    <row r="16262" spans="2:9" ht="15" customHeight="1" x14ac:dyDescent="0.25">
      <c r="B16262" s="55" t="s">
        <v>282</v>
      </c>
      <c r="C16262" s="46">
        <v>1250</v>
      </c>
      <c r="D16262" s="69" t="s">
        <v>29419</v>
      </c>
      <c r="E16262" s="51"/>
      <c r="F16262" s="114" t="str">
        <f>IF(INDEX(I.Facility.P3IDNumber,1250)="","",INDEX(I.Facility.P3IDNumber,1250))</f>
        <v/>
      </c>
      <c r="G16262" s="51"/>
      <c r="H16262" s="46" t="str">
        <f>IF(AND(I.Developer.P3=TRUE,I.Facility.P3FacilityCount&gt;=1250,F16262=""),"Incomplete","Complete")</f>
        <v>Complete</v>
      </c>
      <c r="I16262" s="48" t="s">
        <v>20627</v>
      </c>
    </row>
    <row r="16263" spans="2:9" ht="15" customHeight="1" x14ac:dyDescent="0.25">
      <c r="B16263" s="55" t="s">
        <v>282</v>
      </c>
      <c r="C16263" s="46">
        <v>1251</v>
      </c>
      <c r="D16263" s="69" t="s">
        <v>29419</v>
      </c>
      <c r="E16263" s="51"/>
      <c r="F16263" s="114" t="str">
        <f>IF(INDEX(I.Facility.P3IDNumber,1251)="","",INDEX(I.Facility.P3IDNumber,1251))</f>
        <v/>
      </c>
      <c r="G16263" s="51"/>
      <c r="H16263" s="46" t="str">
        <f>IF(AND(I.Developer.P3=TRUE,I.Facility.P3FacilityCount&gt;=1251,F16263=""),"Incomplete","Complete")</f>
        <v>Complete</v>
      </c>
      <c r="I16263" s="48" t="s">
        <v>20628</v>
      </c>
    </row>
    <row r="16264" spans="2:9" ht="15" customHeight="1" x14ac:dyDescent="0.25">
      <c r="B16264" s="55" t="s">
        <v>282</v>
      </c>
      <c r="C16264" s="46">
        <v>1252</v>
      </c>
      <c r="D16264" s="69" t="s">
        <v>29419</v>
      </c>
      <c r="E16264" s="51"/>
      <c r="F16264" s="114" t="str">
        <f>IF(INDEX(I.Facility.P3IDNumber,1252)="","",INDEX(I.Facility.P3IDNumber,1252))</f>
        <v/>
      </c>
      <c r="G16264" s="51"/>
      <c r="H16264" s="46" t="str">
        <f>IF(AND(I.Developer.P3=TRUE,I.Facility.P3FacilityCount&gt;=1252,F16264=""),"Incomplete","Complete")</f>
        <v>Complete</v>
      </c>
      <c r="I16264" s="48" t="s">
        <v>20629</v>
      </c>
    </row>
    <row r="16265" spans="2:9" ht="15" customHeight="1" x14ac:dyDescent="0.25">
      <c r="B16265" s="55" t="s">
        <v>282</v>
      </c>
      <c r="C16265" s="46">
        <v>1253</v>
      </c>
      <c r="D16265" s="69" t="s">
        <v>29419</v>
      </c>
      <c r="E16265" s="51"/>
      <c r="F16265" s="114" t="str">
        <f>IF(INDEX(I.Facility.P3IDNumber,1253)="","",INDEX(I.Facility.P3IDNumber,1253))</f>
        <v/>
      </c>
      <c r="G16265" s="51"/>
      <c r="H16265" s="46" t="str">
        <f>IF(AND(I.Developer.P3=TRUE,I.Facility.P3FacilityCount&gt;=1253,F16265=""),"Incomplete","Complete")</f>
        <v>Complete</v>
      </c>
      <c r="I16265" s="48" t="s">
        <v>20630</v>
      </c>
    </row>
    <row r="16266" spans="2:9" ht="15" customHeight="1" x14ac:dyDescent="0.25">
      <c r="B16266" s="55" t="s">
        <v>282</v>
      </c>
      <c r="C16266" s="46">
        <v>1254</v>
      </c>
      <c r="D16266" s="69" t="s">
        <v>29419</v>
      </c>
      <c r="E16266" s="51"/>
      <c r="F16266" s="114" t="str">
        <f>IF(INDEX(I.Facility.P3IDNumber,1254)="","",INDEX(I.Facility.P3IDNumber,1254))</f>
        <v/>
      </c>
      <c r="G16266" s="51"/>
      <c r="H16266" s="46" t="str">
        <f>IF(AND(I.Developer.P3=TRUE,I.Facility.P3FacilityCount&gt;=1254,F16266=""),"Incomplete","Complete")</f>
        <v>Complete</v>
      </c>
      <c r="I16266" s="48" t="s">
        <v>20631</v>
      </c>
    </row>
    <row r="16267" spans="2:9" ht="15" customHeight="1" x14ac:dyDescent="0.25">
      <c r="B16267" s="55" t="s">
        <v>282</v>
      </c>
      <c r="C16267" s="46">
        <v>1255</v>
      </c>
      <c r="D16267" s="69" t="s">
        <v>29419</v>
      </c>
      <c r="E16267" s="51"/>
      <c r="F16267" s="114" t="str">
        <f>IF(INDEX(I.Facility.P3IDNumber,1255)="","",INDEX(I.Facility.P3IDNumber,1255))</f>
        <v/>
      </c>
      <c r="G16267" s="51"/>
      <c r="H16267" s="46" t="str">
        <f>IF(AND(I.Developer.P3=TRUE,I.Facility.P3FacilityCount&gt;=1255,F16267=""),"Incomplete","Complete")</f>
        <v>Complete</v>
      </c>
      <c r="I16267" s="48" t="s">
        <v>20632</v>
      </c>
    </row>
    <row r="16268" spans="2:9" ht="15" customHeight="1" x14ac:dyDescent="0.25">
      <c r="B16268" s="55" t="s">
        <v>282</v>
      </c>
      <c r="C16268" s="46">
        <v>1256</v>
      </c>
      <c r="D16268" s="69" t="s">
        <v>29419</v>
      </c>
      <c r="E16268" s="51"/>
      <c r="F16268" s="114" t="str">
        <f>IF(INDEX(I.Facility.P3IDNumber,1256)="","",INDEX(I.Facility.P3IDNumber,1256))</f>
        <v/>
      </c>
      <c r="G16268" s="51"/>
      <c r="H16268" s="46" t="str">
        <f>IF(AND(I.Developer.P3=TRUE,I.Facility.P3FacilityCount&gt;=1256,F16268=""),"Incomplete","Complete")</f>
        <v>Complete</v>
      </c>
      <c r="I16268" s="48" t="s">
        <v>20633</v>
      </c>
    </row>
    <row r="16269" spans="2:9" ht="15" customHeight="1" x14ac:dyDescent="0.25">
      <c r="B16269" s="55" t="s">
        <v>282</v>
      </c>
      <c r="C16269" s="46">
        <v>1257</v>
      </c>
      <c r="D16269" s="69" t="s">
        <v>29419</v>
      </c>
      <c r="E16269" s="51"/>
      <c r="F16269" s="114" t="str">
        <f>IF(INDEX(I.Facility.P3IDNumber,1257)="","",INDEX(I.Facility.P3IDNumber,1257))</f>
        <v/>
      </c>
      <c r="G16269" s="51"/>
      <c r="H16269" s="46" t="str">
        <f>IF(AND(I.Developer.P3=TRUE,I.Facility.P3FacilityCount&gt;=1257,F16269=""),"Incomplete","Complete")</f>
        <v>Complete</v>
      </c>
      <c r="I16269" s="48" t="s">
        <v>20634</v>
      </c>
    </row>
    <row r="16270" spans="2:9" ht="15" customHeight="1" x14ac:dyDescent="0.25">
      <c r="B16270" s="55" t="s">
        <v>282</v>
      </c>
      <c r="C16270" s="46">
        <v>1258</v>
      </c>
      <c r="D16270" s="69" t="s">
        <v>29419</v>
      </c>
      <c r="E16270" s="51"/>
      <c r="F16270" s="114" t="str">
        <f>IF(INDEX(I.Facility.P3IDNumber,1258)="","",INDEX(I.Facility.P3IDNumber,1258))</f>
        <v/>
      </c>
      <c r="G16270" s="51"/>
      <c r="H16270" s="46" t="str">
        <f>IF(AND(I.Developer.P3=TRUE,I.Facility.P3FacilityCount&gt;=1258,F16270=""),"Incomplete","Complete")</f>
        <v>Complete</v>
      </c>
      <c r="I16270" s="48" t="s">
        <v>20635</v>
      </c>
    </row>
    <row r="16271" spans="2:9" ht="15" customHeight="1" x14ac:dyDescent="0.25">
      <c r="B16271" s="55" t="s">
        <v>282</v>
      </c>
      <c r="C16271" s="46">
        <v>1259</v>
      </c>
      <c r="D16271" s="69" t="s">
        <v>29419</v>
      </c>
      <c r="E16271" s="51"/>
      <c r="F16271" s="114" t="str">
        <f>IF(INDEX(I.Facility.P3IDNumber,1259)="","",INDEX(I.Facility.P3IDNumber,1259))</f>
        <v/>
      </c>
      <c r="G16271" s="51"/>
      <c r="H16271" s="46" t="str">
        <f>IF(AND(I.Developer.P3=TRUE,I.Facility.P3FacilityCount&gt;=1259,F16271=""),"Incomplete","Complete")</f>
        <v>Complete</v>
      </c>
      <c r="I16271" s="48" t="s">
        <v>20636</v>
      </c>
    </row>
    <row r="16272" spans="2:9" ht="15" customHeight="1" x14ac:dyDescent="0.25">
      <c r="B16272" s="55" t="s">
        <v>282</v>
      </c>
      <c r="C16272" s="46">
        <v>1260</v>
      </c>
      <c r="D16272" s="69" t="s">
        <v>29419</v>
      </c>
      <c r="E16272" s="51"/>
      <c r="F16272" s="114" t="str">
        <f>IF(INDEX(I.Facility.P3IDNumber,1260)="","",INDEX(I.Facility.P3IDNumber,1260))</f>
        <v/>
      </c>
      <c r="G16272" s="51"/>
      <c r="H16272" s="46" t="str">
        <f>IF(AND(I.Developer.P3=TRUE,I.Facility.P3FacilityCount&gt;=1260,F16272=""),"Incomplete","Complete")</f>
        <v>Complete</v>
      </c>
      <c r="I16272" s="48" t="s">
        <v>20637</v>
      </c>
    </row>
    <row r="16273" spans="2:9" ht="15" customHeight="1" x14ac:dyDescent="0.25">
      <c r="B16273" s="55" t="s">
        <v>282</v>
      </c>
      <c r="C16273" s="46">
        <v>1261</v>
      </c>
      <c r="D16273" s="69" t="s">
        <v>29419</v>
      </c>
      <c r="E16273" s="51"/>
      <c r="F16273" s="114" t="str">
        <f>IF(INDEX(I.Facility.P3IDNumber,1261)="","",INDEX(I.Facility.P3IDNumber,1261))</f>
        <v/>
      </c>
      <c r="G16273" s="51"/>
      <c r="H16273" s="46" t="str">
        <f>IF(AND(I.Developer.P3=TRUE,I.Facility.P3FacilityCount&gt;=1261,F16273=""),"Incomplete","Complete")</f>
        <v>Complete</v>
      </c>
      <c r="I16273" s="48" t="s">
        <v>20638</v>
      </c>
    </row>
    <row r="16274" spans="2:9" ht="15" customHeight="1" x14ac:dyDescent="0.25">
      <c r="B16274" s="55" t="s">
        <v>282</v>
      </c>
      <c r="C16274" s="46">
        <v>1262</v>
      </c>
      <c r="D16274" s="69" t="s">
        <v>29419</v>
      </c>
      <c r="E16274" s="51"/>
      <c r="F16274" s="114" t="str">
        <f>IF(INDEX(I.Facility.P3IDNumber,1262)="","",INDEX(I.Facility.P3IDNumber,1262))</f>
        <v/>
      </c>
      <c r="G16274" s="51"/>
      <c r="H16274" s="46" t="str">
        <f>IF(AND(I.Developer.P3=TRUE,I.Facility.P3FacilityCount&gt;=1262,F16274=""),"Incomplete","Complete")</f>
        <v>Complete</v>
      </c>
      <c r="I16274" s="48" t="s">
        <v>20639</v>
      </c>
    </row>
    <row r="16275" spans="2:9" ht="15" customHeight="1" x14ac:dyDescent="0.25">
      <c r="B16275" s="55" t="s">
        <v>282</v>
      </c>
      <c r="C16275" s="46">
        <v>1263</v>
      </c>
      <c r="D16275" s="69" t="s">
        <v>29419</v>
      </c>
      <c r="E16275" s="51"/>
      <c r="F16275" s="114" t="str">
        <f>IF(INDEX(I.Facility.P3IDNumber,1263)="","",INDEX(I.Facility.P3IDNumber,1263))</f>
        <v/>
      </c>
      <c r="G16275" s="51"/>
      <c r="H16275" s="46" t="str">
        <f>IF(AND(I.Developer.P3=TRUE,I.Facility.P3FacilityCount&gt;=1263,F16275=""),"Incomplete","Complete")</f>
        <v>Complete</v>
      </c>
      <c r="I16275" s="48" t="s">
        <v>20640</v>
      </c>
    </row>
    <row r="16276" spans="2:9" ht="15" customHeight="1" x14ac:dyDescent="0.25">
      <c r="B16276" s="55" t="s">
        <v>282</v>
      </c>
      <c r="C16276" s="46">
        <v>1264</v>
      </c>
      <c r="D16276" s="69" t="s">
        <v>29419</v>
      </c>
      <c r="E16276" s="51"/>
      <c r="F16276" s="114" t="str">
        <f>IF(INDEX(I.Facility.P3IDNumber,1264)="","",INDEX(I.Facility.P3IDNumber,1264))</f>
        <v/>
      </c>
      <c r="G16276" s="51"/>
      <c r="H16276" s="46" t="str">
        <f>IF(AND(I.Developer.P3=TRUE,I.Facility.P3FacilityCount&gt;=1264,F16276=""),"Incomplete","Complete")</f>
        <v>Complete</v>
      </c>
      <c r="I16276" s="48" t="s">
        <v>20641</v>
      </c>
    </row>
    <row r="16277" spans="2:9" ht="15" customHeight="1" x14ac:dyDescent="0.25">
      <c r="B16277" s="55" t="s">
        <v>282</v>
      </c>
      <c r="C16277" s="46">
        <v>1265</v>
      </c>
      <c r="D16277" s="69" t="s">
        <v>29419</v>
      </c>
      <c r="E16277" s="51"/>
      <c r="F16277" s="114" t="str">
        <f>IF(INDEX(I.Facility.P3IDNumber,1265)="","",INDEX(I.Facility.P3IDNumber,1265))</f>
        <v/>
      </c>
      <c r="G16277" s="51"/>
      <c r="H16277" s="46" t="str">
        <f>IF(AND(I.Developer.P3=TRUE,I.Facility.P3FacilityCount&gt;=1265,F16277=""),"Incomplete","Complete")</f>
        <v>Complete</v>
      </c>
      <c r="I16277" s="48" t="s">
        <v>20642</v>
      </c>
    </row>
    <row r="16278" spans="2:9" ht="15" customHeight="1" x14ac:dyDescent="0.25">
      <c r="B16278" s="55" t="s">
        <v>282</v>
      </c>
      <c r="C16278" s="46">
        <v>1266</v>
      </c>
      <c r="D16278" s="69" t="s">
        <v>29419</v>
      </c>
      <c r="E16278" s="51"/>
      <c r="F16278" s="114" t="str">
        <f>IF(INDEX(I.Facility.P3IDNumber,1266)="","",INDEX(I.Facility.P3IDNumber,1266))</f>
        <v/>
      </c>
      <c r="G16278" s="51"/>
      <c r="H16278" s="46" t="str">
        <f>IF(AND(I.Developer.P3=TRUE,I.Facility.P3FacilityCount&gt;=1266,F16278=""),"Incomplete","Complete")</f>
        <v>Complete</v>
      </c>
      <c r="I16278" s="48" t="s">
        <v>20643</v>
      </c>
    </row>
    <row r="16279" spans="2:9" ht="15" customHeight="1" x14ac:dyDescent="0.25">
      <c r="B16279" s="55" t="s">
        <v>282</v>
      </c>
      <c r="C16279" s="46">
        <v>1267</v>
      </c>
      <c r="D16279" s="69" t="s">
        <v>29419</v>
      </c>
      <c r="E16279" s="51"/>
      <c r="F16279" s="114" t="str">
        <f>IF(INDEX(I.Facility.P3IDNumber,1267)="","",INDEX(I.Facility.P3IDNumber,1267))</f>
        <v/>
      </c>
      <c r="G16279" s="51"/>
      <c r="H16279" s="46" t="str">
        <f>IF(AND(I.Developer.P3=TRUE,I.Facility.P3FacilityCount&gt;=1267,F16279=""),"Incomplete","Complete")</f>
        <v>Complete</v>
      </c>
      <c r="I16279" s="48" t="s">
        <v>20644</v>
      </c>
    </row>
    <row r="16280" spans="2:9" ht="15" customHeight="1" x14ac:dyDescent="0.25">
      <c r="B16280" s="55" t="s">
        <v>282</v>
      </c>
      <c r="C16280" s="46">
        <v>1268</v>
      </c>
      <c r="D16280" s="69" t="s">
        <v>29419</v>
      </c>
      <c r="E16280" s="51"/>
      <c r="F16280" s="114" t="str">
        <f>IF(INDEX(I.Facility.P3IDNumber,1268)="","",INDEX(I.Facility.P3IDNumber,1268))</f>
        <v/>
      </c>
      <c r="G16280" s="51"/>
      <c r="H16280" s="46" t="str">
        <f>IF(AND(I.Developer.P3=TRUE,I.Facility.P3FacilityCount&gt;=1268,F16280=""),"Incomplete","Complete")</f>
        <v>Complete</v>
      </c>
      <c r="I16280" s="48" t="s">
        <v>20645</v>
      </c>
    </row>
    <row r="16281" spans="2:9" ht="15" customHeight="1" x14ac:dyDescent="0.25">
      <c r="B16281" s="55" t="s">
        <v>282</v>
      </c>
      <c r="C16281" s="46">
        <v>1269</v>
      </c>
      <c r="D16281" s="69" t="s">
        <v>29419</v>
      </c>
      <c r="E16281" s="51"/>
      <c r="F16281" s="114" t="str">
        <f>IF(INDEX(I.Facility.P3IDNumber,1269)="","",INDEX(I.Facility.P3IDNumber,1269))</f>
        <v/>
      </c>
      <c r="G16281" s="51"/>
      <c r="H16281" s="46" t="str">
        <f>IF(AND(I.Developer.P3=TRUE,I.Facility.P3FacilityCount&gt;=1269,F16281=""),"Incomplete","Complete")</f>
        <v>Complete</v>
      </c>
      <c r="I16281" s="48" t="s">
        <v>20646</v>
      </c>
    </row>
    <row r="16282" spans="2:9" ht="15" customHeight="1" x14ac:dyDescent="0.25">
      <c r="B16282" s="55" t="s">
        <v>282</v>
      </c>
      <c r="C16282" s="46">
        <v>1270</v>
      </c>
      <c r="D16282" s="69" t="s">
        <v>29419</v>
      </c>
      <c r="E16282" s="51"/>
      <c r="F16282" s="114" t="str">
        <f>IF(INDEX(I.Facility.P3IDNumber,1270)="","",INDEX(I.Facility.P3IDNumber,1270))</f>
        <v/>
      </c>
      <c r="G16282" s="51"/>
      <c r="H16282" s="46" t="str">
        <f>IF(AND(I.Developer.P3=TRUE,I.Facility.P3FacilityCount&gt;=1270,F16282=""),"Incomplete","Complete")</f>
        <v>Complete</v>
      </c>
      <c r="I16282" s="48" t="s">
        <v>20647</v>
      </c>
    </row>
    <row r="16283" spans="2:9" ht="15" customHeight="1" x14ac:dyDescent="0.25">
      <c r="B16283" s="55" t="s">
        <v>282</v>
      </c>
      <c r="C16283" s="46">
        <v>1271</v>
      </c>
      <c r="D16283" s="69" t="s">
        <v>29419</v>
      </c>
      <c r="E16283" s="51"/>
      <c r="F16283" s="114" t="str">
        <f>IF(INDEX(I.Facility.P3IDNumber,1271)="","",INDEX(I.Facility.P3IDNumber,1271))</f>
        <v/>
      </c>
      <c r="G16283" s="51"/>
      <c r="H16283" s="46" t="str">
        <f>IF(AND(I.Developer.P3=TRUE,I.Facility.P3FacilityCount&gt;=1271,F16283=""),"Incomplete","Complete")</f>
        <v>Complete</v>
      </c>
      <c r="I16283" s="48" t="s">
        <v>20648</v>
      </c>
    </row>
    <row r="16284" spans="2:9" ht="15" customHeight="1" x14ac:dyDescent="0.25">
      <c r="B16284" s="55" t="s">
        <v>282</v>
      </c>
      <c r="C16284" s="46">
        <v>1272</v>
      </c>
      <c r="D16284" s="69" t="s">
        <v>29419</v>
      </c>
      <c r="E16284" s="51"/>
      <c r="F16284" s="114" t="str">
        <f>IF(INDEX(I.Facility.P3IDNumber,1272)="","",INDEX(I.Facility.P3IDNumber,1272))</f>
        <v/>
      </c>
      <c r="G16284" s="51"/>
      <c r="H16284" s="46" t="str">
        <f>IF(AND(I.Developer.P3=TRUE,I.Facility.P3FacilityCount&gt;=1272,F16284=""),"Incomplete","Complete")</f>
        <v>Complete</v>
      </c>
      <c r="I16284" s="48" t="s">
        <v>20649</v>
      </c>
    </row>
    <row r="16285" spans="2:9" ht="15" customHeight="1" x14ac:dyDescent="0.25">
      <c r="B16285" s="55" t="s">
        <v>282</v>
      </c>
      <c r="C16285" s="46">
        <v>1273</v>
      </c>
      <c r="D16285" s="69" t="s">
        <v>29419</v>
      </c>
      <c r="E16285" s="51"/>
      <c r="F16285" s="114" t="str">
        <f>IF(INDEX(I.Facility.P3IDNumber,1273)="","",INDEX(I.Facility.P3IDNumber,1273))</f>
        <v/>
      </c>
      <c r="G16285" s="51"/>
      <c r="H16285" s="46" t="str">
        <f>IF(AND(I.Developer.P3=TRUE,I.Facility.P3FacilityCount&gt;=1273,F16285=""),"Incomplete","Complete")</f>
        <v>Complete</v>
      </c>
      <c r="I16285" s="48" t="s">
        <v>20650</v>
      </c>
    </row>
    <row r="16286" spans="2:9" ht="15" customHeight="1" x14ac:dyDescent="0.25">
      <c r="B16286" s="55" t="s">
        <v>282</v>
      </c>
      <c r="C16286" s="46">
        <v>1274</v>
      </c>
      <c r="D16286" s="69" t="s">
        <v>29419</v>
      </c>
      <c r="E16286" s="51"/>
      <c r="F16286" s="114" t="str">
        <f>IF(INDEX(I.Facility.P3IDNumber,1274)="","",INDEX(I.Facility.P3IDNumber,1274))</f>
        <v/>
      </c>
      <c r="G16286" s="51"/>
      <c r="H16286" s="46" t="str">
        <f>IF(AND(I.Developer.P3=TRUE,I.Facility.P3FacilityCount&gt;=1274,F16286=""),"Incomplete","Complete")</f>
        <v>Complete</v>
      </c>
      <c r="I16286" s="48" t="s">
        <v>20651</v>
      </c>
    </row>
    <row r="16287" spans="2:9" ht="15" customHeight="1" x14ac:dyDescent="0.25">
      <c r="B16287" s="55" t="s">
        <v>282</v>
      </c>
      <c r="C16287" s="46">
        <v>1275</v>
      </c>
      <c r="D16287" s="69" t="s">
        <v>29419</v>
      </c>
      <c r="E16287" s="51"/>
      <c r="F16287" s="114" t="str">
        <f>IF(INDEX(I.Facility.P3IDNumber,1275)="","",INDEX(I.Facility.P3IDNumber,1275))</f>
        <v/>
      </c>
      <c r="G16287" s="51"/>
      <c r="H16287" s="46" t="str">
        <f>IF(AND(I.Developer.P3=TRUE,I.Facility.P3FacilityCount&gt;=1275,F16287=""),"Incomplete","Complete")</f>
        <v>Complete</v>
      </c>
      <c r="I16287" s="48" t="s">
        <v>20652</v>
      </c>
    </row>
    <row r="16288" spans="2:9" ht="15" customHeight="1" x14ac:dyDescent="0.25">
      <c r="B16288" s="55" t="s">
        <v>282</v>
      </c>
      <c r="C16288" s="46">
        <v>1276</v>
      </c>
      <c r="D16288" s="69" t="s">
        <v>29419</v>
      </c>
      <c r="E16288" s="51"/>
      <c r="F16288" s="114" t="str">
        <f>IF(INDEX(I.Facility.P3IDNumber,1276)="","",INDEX(I.Facility.P3IDNumber,1276))</f>
        <v/>
      </c>
      <c r="G16288" s="51"/>
      <c r="H16288" s="46" t="str">
        <f>IF(AND(I.Developer.P3=TRUE,I.Facility.P3FacilityCount&gt;=1276,F16288=""),"Incomplete","Complete")</f>
        <v>Complete</v>
      </c>
      <c r="I16288" s="48" t="s">
        <v>20653</v>
      </c>
    </row>
    <row r="16289" spans="2:9" ht="15" customHeight="1" x14ac:dyDescent="0.25">
      <c r="B16289" s="55" t="s">
        <v>282</v>
      </c>
      <c r="C16289" s="46">
        <v>1277</v>
      </c>
      <c r="D16289" s="69" t="s">
        <v>29419</v>
      </c>
      <c r="E16289" s="51"/>
      <c r="F16289" s="114" t="str">
        <f>IF(INDEX(I.Facility.P3IDNumber,1277)="","",INDEX(I.Facility.P3IDNumber,1277))</f>
        <v/>
      </c>
      <c r="G16289" s="51"/>
      <c r="H16289" s="46" t="str">
        <f>IF(AND(I.Developer.P3=TRUE,I.Facility.P3FacilityCount&gt;=1277,F16289=""),"Incomplete","Complete")</f>
        <v>Complete</v>
      </c>
      <c r="I16289" s="48" t="s">
        <v>20654</v>
      </c>
    </row>
    <row r="16290" spans="2:9" ht="15" customHeight="1" x14ac:dyDescent="0.25">
      <c r="B16290" s="55" t="s">
        <v>282</v>
      </c>
      <c r="C16290" s="46">
        <v>1278</v>
      </c>
      <c r="D16290" s="69" t="s">
        <v>29419</v>
      </c>
      <c r="E16290" s="51"/>
      <c r="F16290" s="114" t="str">
        <f>IF(INDEX(I.Facility.P3IDNumber,1278)="","",INDEX(I.Facility.P3IDNumber,1278))</f>
        <v/>
      </c>
      <c r="G16290" s="51"/>
      <c r="H16290" s="46" t="str">
        <f>IF(AND(I.Developer.P3=TRUE,I.Facility.P3FacilityCount&gt;=1278,F16290=""),"Incomplete","Complete")</f>
        <v>Complete</v>
      </c>
      <c r="I16290" s="48" t="s">
        <v>20655</v>
      </c>
    </row>
    <row r="16291" spans="2:9" ht="15" customHeight="1" x14ac:dyDescent="0.25">
      <c r="B16291" s="55" t="s">
        <v>282</v>
      </c>
      <c r="C16291" s="46">
        <v>1279</v>
      </c>
      <c r="D16291" s="69" t="s">
        <v>29419</v>
      </c>
      <c r="E16291" s="51"/>
      <c r="F16291" s="114" t="str">
        <f>IF(INDEX(I.Facility.P3IDNumber,1279)="","",INDEX(I.Facility.P3IDNumber,1279))</f>
        <v/>
      </c>
      <c r="G16291" s="51"/>
      <c r="H16291" s="46" t="str">
        <f>IF(AND(I.Developer.P3=TRUE,I.Facility.P3FacilityCount&gt;=1279,F16291=""),"Incomplete","Complete")</f>
        <v>Complete</v>
      </c>
      <c r="I16291" s="48" t="s">
        <v>20656</v>
      </c>
    </row>
    <row r="16292" spans="2:9" ht="15" customHeight="1" x14ac:dyDescent="0.25">
      <c r="B16292" s="55" t="s">
        <v>282</v>
      </c>
      <c r="C16292" s="46">
        <v>1280</v>
      </c>
      <c r="D16292" s="69" t="s">
        <v>29419</v>
      </c>
      <c r="E16292" s="51"/>
      <c r="F16292" s="114" t="str">
        <f>IF(INDEX(I.Facility.P3IDNumber,1280)="","",INDEX(I.Facility.P3IDNumber,1280))</f>
        <v/>
      </c>
      <c r="G16292" s="51"/>
      <c r="H16292" s="46" t="str">
        <f>IF(AND(I.Developer.P3=TRUE,I.Facility.P3FacilityCount&gt;=1280,F16292=""),"Incomplete","Complete")</f>
        <v>Complete</v>
      </c>
      <c r="I16292" s="48" t="s">
        <v>20657</v>
      </c>
    </row>
    <row r="16293" spans="2:9" ht="15" customHeight="1" x14ac:dyDescent="0.25">
      <c r="B16293" s="55" t="s">
        <v>282</v>
      </c>
      <c r="C16293" s="46">
        <v>1281</v>
      </c>
      <c r="D16293" s="69" t="s">
        <v>29419</v>
      </c>
      <c r="E16293" s="51"/>
      <c r="F16293" s="114" t="str">
        <f>IF(INDEX(I.Facility.P3IDNumber,1281)="","",INDEX(I.Facility.P3IDNumber,1281))</f>
        <v/>
      </c>
      <c r="G16293" s="51"/>
      <c r="H16293" s="46" t="str">
        <f>IF(AND(I.Developer.P3=TRUE,I.Facility.P3FacilityCount&gt;=1281,F16293=""),"Incomplete","Complete")</f>
        <v>Complete</v>
      </c>
      <c r="I16293" s="48" t="s">
        <v>20658</v>
      </c>
    </row>
    <row r="16294" spans="2:9" ht="15" customHeight="1" x14ac:dyDescent="0.25">
      <c r="B16294" s="55" t="s">
        <v>282</v>
      </c>
      <c r="C16294" s="46">
        <v>1282</v>
      </c>
      <c r="D16294" s="69" t="s">
        <v>29419</v>
      </c>
      <c r="E16294" s="51"/>
      <c r="F16294" s="114" t="str">
        <f>IF(INDEX(I.Facility.P3IDNumber,1282)="","",INDEX(I.Facility.P3IDNumber,1282))</f>
        <v/>
      </c>
      <c r="G16294" s="51"/>
      <c r="H16294" s="46" t="str">
        <f>IF(AND(I.Developer.P3=TRUE,I.Facility.P3FacilityCount&gt;=1282,F16294=""),"Incomplete","Complete")</f>
        <v>Complete</v>
      </c>
      <c r="I16294" s="48" t="s">
        <v>20659</v>
      </c>
    </row>
    <row r="16295" spans="2:9" ht="15" customHeight="1" x14ac:dyDescent="0.25">
      <c r="B16295" s="55" t="s">
        <v>282</v>
      </c>
      <c r="C16295" s="46">
        <v>1283</v>
      </c>
      <c r="D16295" s="69" t="s">
        <v>29419</v>
      </c>
      <c r="E16295" s="51"/>
      <c r="F16295" s="114" t="str">
        <f>IF(INDEX(I.Facility.P3IDNumber,1283)="","",INDEX(I.Facility.P3IDNumber,1283))</f>
        <v/>
      </c>
      <c r="G16295" s="51"/>
      <c r="H16295" s="46" t="str">
        <f>IF(AND(I.Developer.P3=TRUE,I.Facility.P3FacilityCount&gt;=1283,F16295=""),"Incomplete","Complete")</f>
        <v>Complete</v>
      </c>
      <c r="I16295" s="48" t="s">
        <v>20660</v>
      </c>
    </row>
    <row r="16296" spans="2:9" ht="15" customHeight="1" x14ac:dyDescent="0.25">
      <c r="B16296" s="55" t="s">
        <v>282</v>
      </c>
      <c r="C16296" s="46">
        <v>1284</v>
      </c>
      <c r="D16296" s="69" t="s">
        <v>29419</v>
      </c>
      <c r="E16296" s="51"/>
      <c r="F16296" s="114" t="str">
        <f>IF(INDEX(I.Facility.P3IDNumber,1284)="","",INDEX(I.Facility.P3IDNumber,1284))</f>
        <v/>
      </c>
      <c r="G16296" s="51"/>
      <c r="H16296" s="46" t="str">
        <f>IF(AND(I.Developer.P3=TRUE,I.Facility.P3FacilityCount&gt;=1284,F16296=""),"Incomplete","Complete")</f>
        <v>Complete</v>
      </c>
      <c r="I16296" s="48" t="s">
        <v>20661</v>
      </c>
    </row>
    <row r="16297" spans="2:9" ht="15" customHeight="1" x14ac:dyDescent="0.25">
      <c r="B16297" s="55" t="s">
        <v>282</v>
      </c>
      <c r="C16297" s="46">
        <v>1285</v>
      </c>
      <c r="D16297" s="69" t="s">
        <v>29419</v>
      </c>
      <c r="E16297" s="51"/>
      <c r="F16297" s="114" t="str">
        <f>IF(INDEX(I.Facility.P3IDNumber,1285)="","",INDEX(I.Facility.P3IDNumber,1285))</f>
        <v/>
      </c>
      <c r="G16297" s="51"/>
      <c r="H16297" s="46" t="str">
        <f>IF(AND(I.Developer.P3=TRUE,I.Facility.P3FacilityCount&gt;=1285,F16297=""),"Incomplete","Complete")</f>
        <v>Complete</v>
      </c>
      <c r="I16297" s="48" t="s">
        <v>20662</v>
      </c>
    </row>
    <row r="16298" spans="2:9" ht="15" customHeight="1" x14ac:dyDescent="0.25">
      <c r="B16298" s="55" t="s">
        <v>282</v>
      </c>
      <c r="C16298" s="46">
        <v>1286</v>
      </c>
      <c r="D16298" s="69" t="s">
        <v>29419</v>
      </c>
      <c r="E16298" s="51"/>
      <c r="F16298" s="114" t="str">
        <f>IF(INDEX(I.Facility.P3IDNumber,1286)="","",INDEX(I.Facility.P3IDNumber,1286))</f>
        <v/>
      </c>
      <c r="G16298" s="51"/>
      <c r="H16298" s="46" t="str">
        <f>IF(AND(I.Developer.P3=TRUE,I.Facility.P3FacilityCount&gt;=1286,F16298=""),"Incomplete","Complete")</f>
        <v>Complete</v>
      </c>
      <c r="I16298" s="48" t="s">
        <v>20663</v>
      </c>
    </row>
    <row r="16299" spans="2:9" ht="15" customHeight="1" x14ac:dyDescent="0.25">
      <c r="B16299" s="55" t="s">
        <v>282</v>
      </c>
      <c r="C16299" s="46">
        <v>1287</v>
      </c>
      <c r="D16299" s="69" t="s">
        <v>29419</v>
      </c>
      <c r="E16299" s="51"/>
      <c r="F16299" s="114" t="str">
        <f>IF(INDEX(I.Facility.P3IDNumber,1287)="","",INDEX(I.Facility.P3IDNumber,1287))</f>
        <v/>
      </c>
      <c r="G16299" s="51"/>
      <c r="H16299" s="46" t="str">
        <f>IF(AND(I.Developer.P3=TRUE,I.Facility.P3FacilityCount&gt;=1287,F16299=""),"Incomplete","Complete")</f>
        <v>Complete</v>
      </c>
      <c r="I16299" s="48" t="s">
        <v>20664</v>
      </c>
    </row>
    <row r="16300" spans="2:9" ht="15" customHeight="1" x14ac:dyDescent="0.25">
      <c r="B16300" s="55" t="s">
        <v>282</v>
      </c>
      <c r="C16300" s="46">
        <v>1288</v>
      </c>
      <c r="D16300" s="69" t="s">
        <v>29419</v>
      </c>
      <c r="E16300" s="51"/>
      <c r="F16300" s="114" t="str">
        <f>IF(INDEX(I.Facility.P3IDNumber,1288)="","",INDEX(I.Facility.P3IDNumber,1288))</f>
        <v/>
      </c>
      <c r="G16300" s="51"/>
      <c r="H16300" s="46" t="str">
        <f>IF(AND(I.Developer.P3=TRUE,I.Facility.P3FacilityCount&gt;=1288,F16300=""),"Incomplete","Complete")</f>
        <v>Complete</v>
      </c>
      <c r="I16300" s="48" t="s">
        <v>20665</v>
      </c>
    </row>
    <row r="16301" spans="2:9" ht="15" customHeight="1" x14ac:dyDescent="0.25">
      <c r="B16301" s="55" t="s">
        <v>282</v>
      </c>
      <c r="C16301" s="46">
        <v>1289</v>
      </c>
      <c r="D16301" s="69" t="s">
        <v>29419</v>
      </c>
      <c r="E16301" s="51"/>
      <c r="F16301" s="114" t="str">
        <f>IF(INDEX(I.Facility.P3IDNumber,1289)="","",INDEX(I.Facility.P3IDNumber,1289))</f>
        <v/>
      </c>
      <c r="G16301" s="51"/>
      <c r="H16301" s="46" t="str">
        <f>IF(AND(I.Developer.P3=TRUE,I.Facility.P3FacilityCount&gt;=1289,F16301=""),"Incomplete","Complete")</f>
        <v>Complete</v>
      </c>
      <c r="I16301" s="48" t="s">
        <v>20666</v>
      </c>
    </row>
    <row r="16302" spans="2:9" ht="15" customHeight="1" x14ac:dyDescent="0.25">
      <c r="B16302" s="55" t="s">
        <v>282</v>
      </c>
      <c r="C16302" s="46">
        <v>1290</v>
      </c>
      <c r="D16302" s="69" t="s">
        <v>29419</v>
      </c>
      <c r="E16302" s="51"/>
      <c r="F16302" s="114" t="str">
        <f>IF(INDEX(I.Facility.P3IDNumber,1290)="","",INDEX(I.Facility.P3IDNumber,1290))</f>
        <v/>
      </c>
      <c r="G16302" s="51"/>
      <c r="H16302" s="46" t="str">
        <f>IF(AND(I.Developer.P3=TRUE,I.Facility.P3FacilityCount&gt;=1290,F16302=""),"Incomplete","Complete")</f>
        <v>Complete</v>
      </c>
      <c r="I16302" s="48" t="s">
        <v>20667</v>
      </c>
    </row>
    <row r="16303" spans="2:9" ht="15" customHeight="1" x14ac:dyDescent="0.25">
      <c r="B16303" s="55" t="s">
        <v>282</v>
      </c>
      <c r="C16303" s="46">
        <v>1291</v>
      </c>
      <c r="D16303" s="69" t="s">
        <v>29419</v>
      </c>
      <c r="E16303" s="51"/>
      <c r="F16303" s="114" t="str">
        <f>IF(INDEX(I.Facility.P3IDNumber,1291)="","",INDEX(I.Facility.P3IDNumber,1291))</f>
        <v/>
      </c>
      <c r="G16303" s="51"/>
      <c r="H16303" s="46" t="str">
        <f>IF(AND(I.Developer.P3=TRUE,I.Facility.P3FacilityCount&gt;=1291,F16303=""),"Incomplete","Complete")</f>
        <v>Complete</v>
      </c>
      <c r="I16303" s="48" t="s">
        <v>20668</v>
      </c>
    </row>
    <row r="16304" spans="2:9" ht="15" customHeight="1" x14ac:dyDescent="0.25">
      <c r="B16304" s="55" t="s">
        <v>282</v>
      </c>
      <c r="C16304" s="46">
        <v>1292</v>
      </c>
      <c r="D16304" s="69" t="s">
        <v>29419</v>
      </c>
      <c r="E16304" s="51"/>
      <c r="F16304" s="114" t="str">
        <f>IF(INDEX(I.Facility.P3IDNumber,1292)="","",INDEX(I.Facility.P3IDNumber,1292))</f>
        <v/>
      </c>
      <c r="G16304" s="51"/>
      <c r="H16304" s="46" t="str">
        <f>IF(AND(I.Developer.P3=TRUE,I.Facility.P3FacilityCount&gt;=1292,F16304=""),"Incomplete","Complete")</f>
        <v>Complete</v>
      </c>
      <c r="I16304" s="48" t="s">
        <v>20669</v>
      </c>
    </row>
    <row r="16305" spans="2:9" ht="15" customHeight="1" x14ac:dyDescent="0.25">
      <c r="B16305" s="55" t="s">
        <v>282</v>
      </c>
      <c r="C16305" s="46">
        <v>1293</v>
      </c>
      <c r="D16305" s="69" t="s">
        <v>29419</v>
      </c>
      <c r="E16305" s="51"/>
      <c r="F16305" s="114" t="str">
        <f>IF(INDEX(I.Facility.P3IDNumber,1293)="","",INDEX(I.Facility.P3IDNumber,1293))</f>
        <v/>
      </c>
      <c r="G16305" s="51"/>
      <c r="H16305" s="46" t="str">
        <f>IF(AND(I.Developer.P3=TRUE,I.Facility.P3FacilityCount&gt;=1293,F16305=""),"Incomplete","Complete")</f>
        <v>Complete</v>
      </c>
      <c r="I16305" s="48" t="s">
        <v>20670</v>
      </c>
    </row>
    <row r="16306" spans="2:9" ht="15" customHeight="1" x14ac:dyDescent="0.25">
      <c r="B16306" s="55" t="s">
        <v>282</v>
      </c>
      <c r="C16306" s="46">
        <v>1294</v>
      </c>
      <c r="D16306" s="69" t="s">
        <v>29419</v>
      </c>
      <c r="E16306" s="51"/>
      <c r="F16306" s="114" t="str">
        <f>IF(INDEX(I.Facility.P3IDNumber,1294)="","",INDEX(I.Facility.P3IDNumber,1294))</f>
        <v/>
      </c>
      <c r="G16306" s="51"/>
      <c r="H16306" s="46" t="str">
        <f>IF(AND(I.Developer.P3=TRUE,I.Facility.P3FacilityCount&gt;=1294,F16306=""),"Incomplete","Complete")</f>
        <v>Complete</v>
      </c>
      <c r="I16306" s="48" t="s">
        <v>20671</v>
      </c>
    </row>
    <row r="16307" spans="2:9" ht="15" customHeight="1" x14ac:dyDescent="0.25">
      <c r="B16307" s="55" t="s">
        <v>282</v>
      </c>
      <c r="C16307" s="46">
        <v>1295</v>
      </c>
      <c r="D16307" s="69" t="s">
        <v>29419</v>
      </c>
      <c r="E16307" s="51"/>
      <c r="F16307" s="114" t="str">
        <f>IF(INDEX(I.Facility.P3IDNumber,1295)="","",INDEX(I.Facility.P3IDNumber,1295))</f>
        <v/>
      </c>
      <c r="G16307" s="51"/>
      <c r="H16307" s="46" t="str">
        <f>IF(AND(I.Developer.P3=TRUE,I.Facility.P3FacilityCount&gt;=1295,F16307=""),"Incomplete","Complete")</f>
        <v>Complete</v>
      </c>
      <c r="I16307" s="48" t="s">
        <v>20672</v>
      </c>
    </row>
    <row r="16308" spans="2:9" ht="15" customHeight="1" x14ac:dyDescent="0.25">
      <c r="B16308" s="55" t="s">
        <v>282</v>
      </c>
      <c r="C16308" s="46">
        <v>1296</v>
      </c>
      <c r="D16308" s="69" t="s">
        <v>29419</v>
      </c>
      <c r="E16308" s="51"/>
      <c r="F16308" s="114" t="str">
        <f>IF(INDEX(I.Facility.P3IDNumber,1296)="","",INDEX(I.Facility.P3IDNumber,1296))</f>
        <v/>
      </c>
      <c r="G16308" s="51"/>
      <c r="H16308" s="46" t="str">
        <f>IF(AND(I.Developer.P3=TRUE,I.Facility.P3FacilityCount&gt;=1296,F16308=""),"Incomplete","Complete")</f>
        <v>Complete</v>
      </c>
      <c r="I16308" s="48" t="s">
        <v>20673</v>
      </c>
    </row>
    <row r="16309" spans="2:9" ht="15" customHeight="1" x14ac:dyDescent="0.25">
      <c r="B16309" s="55" t="s">
        <v>282</v>
      </c>
      <c r="C16309" s="46">
        <v>1297</v>
      </c>
      <c r="D16309" s="69" t="s">
        <v>29419</v>
      </c>
      <c r="E16309" s="51"/>
      <c r="F16309" s="114" t="str">
        <f>IF(INDEX(I.Facility.P3IDNumber,1297)="","",INDEX(I.Facility.P3IDNumber,1297))</f>
        <v/>
      </c>
      <c r="G16309" s="51"/>
      <c r="H16309" s="46" t="str">
        <f>IF(AND(I.Developer.P3=TRUE,I.Facility.P3FacilityCount&gt;=1297,F16309=""),"Incomplete","Complete")</f>
        <v>Complete</v>
      </c>
      <c r="I16309" s="48" t="s">
        <v>20674</v>
      </c>
    </row>
    <row r="16310" spans="2:9" ht="15" customHeight="1" x14ac:dyDescent="0.25">
      <c r="B16310" s="55" t="s">
        <v>282</v>
      </c>
      <c r="C16310" s="46">
        <v>1298</v>
      </c>
      <c r="D16310" s="69" t="s">
        <v>29419</v>
      </c>
      <c r="E16310" s="51"/>
      <c r="F16310" s="114" t="str">
        <f>IF(INDEX(I.Facility.P3IDNumber,1298)="","",INDEX(I.Facility.P3IDNumber,1298))</f>
        <v/>
      </c>
      <c r="G16310" s="51"/>
      <c r="H16310" s="46" t="str">
        <f>IF(AND(I.Developer.P3=TRUE,I.Facility.P3FacilityCount&gt;=1298,F16310=""),"Incomplete","Complete")</f>
        <v>Complete</v>
      </c>
      <c r="I16310" s="48" t="s">
        <v>20675</v>
      </c>
    </row>
    <row r="16311" spans="2:9" ht="15" customHeight="1" x14ac:dyDescent="0.25">
      <c r="B16311" s="55" t="s">
        <v>282</v>
      </c>
      <c r="C16311" s="46">
        <v>1299</v>
      </c>
      <c r="D16311" s="69" t="s">
        <v>29419</v>
      </c>
      <c r="E16311" s="51"/>
      <c r="F16311" s="114" t="str">
        <f>IF(INDEX(I.Facility.P3IDNumber,1299)="","",INDEX(I.Facility.P3IDNumber,1299))</f>
        <v/>
      </c>
      <c r="G16311" s="51"/>
      <c r="H16311" s="46" t="str">
        <f>IF(AND(I.Developer.P3=TRUE,I.Facility.P3FacilityCount&gt;=1299,F16311=""),"Incomplete","Complete")</f>
        <v>Complete</v>
      </c>
      <c r="I16311" s="48" t="s">
        <v>20676</v>
      </c>
    </row>
    <row r="16312" spans="2:9" ht="15" customHeight="1" x14ac:dyDescent="0.25">
      <c r="B16312" s="55" t="s">
        <v>282</v>
      </c>
      <c r="C16312" s="46">
        <v>1300</v>
      </c>
      <c r="D16312" s="69" t="s">
        <v>29419</v>
      </c>
      <c r="E16312" s="51"/>
      <c r="F16312" s="114" t="str">
        <f>IF(INDEX(I.Facility.P3IDNumber,1300)="","",INDEX(I.Facility.P3IDNumber,1300))</f>
        <v/>
      </c>
      <c r="G16312" s="51"/>
      <c r="H16312" s="46" t="str">
        <f>IF(AND(I.Developer.P3=TRUE,I.Facility.P3FacilityCount&gt;=1300,F16312=""),"Incomplete","Complete")</f>
        <v>Complete</v>
      </c>
      <c r="I16312" s="48" t="s">
        <v>20677</v>
      </c>
    </row>
    <row r="16313" spans="2:9" ht="15" customHeight="1" x14ac:dyDescent="0.25">
      <c r="B16313" s="55" t="s">
        <v>282</v>
      </c>
      <c r="C16313" s="46">
        <v>1301</v>
      </c>
      <c r="D16313" s="69" t="s">
        <v>29419</v>
      </c>
      <c r="E16313" s="51"/>
      <c r="F16313" s="114" t="str">
        <f>IF(INDEX(I.Facility.P3IDNumber,1301)="","",INDEX(I.Facility.P3IDNumber,1301))</f>
        <v/>
      </c>
      <c r="G16313" s="51"/>
      <c r="H16313" s="46" t="str">
        <f>IF(AND(I.Developer.P3=TRUE,I.Facility.P3FacilityCount&gt;=1301,F16313=""),"Incomplete","Complete")</f>
        <v>Complete</v>
      </c>
      <c r="I16313" s="48" t="s">
        <v>20678</v>
      </c>
    </row>
    <row r="16314" spans="2:9" ht="15" customHeight="1" x14ac:dyDescent="0.25">
      <c r="B16314" s="55" t="s">
        <v>282</v>
      </c>
      <c r="C16314" s="46">
        <v>1302</v>
      </c>
      <c r="D16314" s="69" t="s">
        <v>29419</v>
      </c>
      <c r="E16314" s="51"/>
      <c r="F16314" s="114" t="str">
        <f>IF(INDEX(I.Facility.P3IDNumber,1302)="","",INDEX(I.Facility.P3IDNumber,1302))</f>
        <v/>
      </c>
      <c r="G16314" s="51"/>
      <c r="H16314" s="46" t="str">
        <f>IF(AND(I.Developer.P3=TRUE,I.Facility.P3FacilityCount&gt;=1302,F16314=""),"Incomplete","Complete")</f>
        <v>Complete</v>
      </c>
      <c r="I16314" s="48" t="s">
        <v>20679</v>
      </c>
    </row>
    <row r="16315" spans="2:9" ht="15" customHeight="1" x14ac:dyDescent="0.25">
      <c r="B16315" s="55" t="s">
        <v>282</v>
      </c>
      <c r="C16315" s="46">
        <v>1303</v>
      </c>
      <c r="D16315" s="69" t="s">
        <v>29419</v>
      </c>
      <c r="E16315" s="51"/>
      <c r="F16315" s="114" t="str">
        <f>IF(INDEX(I.Facility.P3IDNumber,1303)="","",INDEX(I.Facility.P3IDNumber,1303))</f>
        <v/>
      </c>
      <c r="G16315" s="51"/>
      <c r="H16315" s="46" t="str">
        <f>IF(AND(I.Developer.P3=TRUE,I.Facility.P3FacilityCount&gt;=1303,F16315=""),"Incomplete","Complete")</f>
        <v>Complete</v>
      </c>
      <c r="I16315" s="48" t="s">
        <v>20680</v>
      </c>
    </row>
    <row r="16316" spans="2:9" ht="15" customHeight="1" x14ac:dyDescent="0.25">
      <c r="B16316" s="55" t="s">
        <v>282</v>
      </c>
      <c r="C16316" s="46">
        <v>1304</v>
      </c>
      <c r="D16316" s="69" t="s">
        <v>29419</v>
      </c>
      <c r="E16316" s="51"/>
      <c r="F16316" s="114" t="str">
        <f>IF(INDEX(I.Facility.P3IDNumber,1304)="","",INDEX(I.Facility.P3IDNumber,1304))</f>
        <v/>
      </c>
      <c r="G16316" s="51"/>
      <c r="H16316" s="46" t="str">
        <f>IF(AND(I.Developer.P3=TRUE,I.Facility.P3FacilityCount&gt;=1304,F16316=""),"Incomplete","Complete")</f>
        <v>Complete</v>
      </c>
      <c r="I16316" s="48" t="s">
        <v>20681</v>
      </c>
    </row>
    <row r="16317" spans="2:9" ht="15" customHeight="1" x14ac:dyDescent="0.25">
      <c r="B16317" s="55" t="s">
        <v>282</v>
      </c>
      <c r="C16317" s="46">
        <v>1305</v>
      </c>
      <c r="D16317" s="69" t="s">
        <v>29419</v>
      </c>
      <c r="E16317" s="51"/>
      <c r="F16317" s="114" t="str">
        <f>IF(INDEX(I.Facility.P3IDNumber,1305)="","",INDEX(I.Facility.P3IDNumber,1305))</f>
        <v/>
      </c>
      <c r="G16317" s="51"/>
      <c r="H16317" s="46" t="str">
        <f>IF(AND(I.Developer.P3=TRUE,I.Facility.P3FacilityCount&gt;=1305,F16317=""),"Incomplete","Complete")</f>
        <v>Complete</v>
      </c>
      <c r="I16317" s="48" t="s">
        <v>20682</v>
      </c>
    </row>
    <row r="16318" spans="2:9" ht="15" customHeight="1" x14ac:dyDescent="0.25">
      <c r="B16318" s="55" t="s">
        <v>282</v>
      </c>
      <c r="C16318" s="46">
        <v>1306</v>
      </c>
      <c r="D16318" s="69" t="s">
        <v>29419</v>
      </c>
      <c r="E16318" s="51"/>
      <c r="F16318" s="114" t="str">
        <f>IF(INDEX(I.Facility.P3IDNumber,1306)="","",INDEX(I.Facility.P3IDNumber,1306))</f>
        <v/>
      </c>
      <c r="G16318" s="51"/>
      <c r="H16318" s="46" t="str">
        <f>IF(AND(I.Developer.P3=TRUE,I.Facility.P3FacilityCount&gt;=1306,F16318=""),"Incomplete","Complete")</f>
        <v>Complete</v>
      </c>
      <c r="I16318" s="48" t="s">
        <v>20683</v>
      </c>
    </row>
    <row r="16319" spans="2:9" ht="15" customHeight="1" x14ac:dyDescent="0.25">
      <c r="B16319" s="55" t="s">
        <v>282</v>
      </c>
      <c r="C16319" s="46">
        <v>1307</v>
      </c>
      <c r="D16319" s="69" t="s">
        <v>29419</v>
      </c>
      <c r="E16319" s="51"/>
      <c r="F16319" s="114" t="str">
        <f>IF(INDEX(I.Facility.P3IDNumber,1307)="","",INDEX(I.Facility.P3IDNumber,1307))</f>
        <v/>
      </c>
      <c r="G16319" s="51"/>
      <c r="H16319" s="46" t="str">
        <f>IF(AND(I.Developer.P3=TRUE,I.Facility.P3FacilityCount&gt;=1307,F16319=""),"Incomplete","Complete")</f>
        <v>Complete</v>
      </c>
      <c r="I16319" s="48" t="s">
        <v>20684</v>
      </c>
    </row>
    <row r="16320" spans="2:9" ht="15" customHeight="1" x14ac:dyDescent="0.25">
      <c r="B16320" s="55" t="s">
        <v>282</v>
      </c>
      <c r="C16320" s="46">
        <v>1308</v>
      </c>
      <c r="D16320" s="69" t="s">
        <v>29419</v>
      </c>
      <c r="E16320" s="51"/>
      <c r="F16320" s="114" t="str">
        <f>IF(INDEX(I.Facility.P3IDNumber,1308)="","",INDEX(I.Facility.P3IDNumber,1308))</f>
        <v/>
      </c>
      <c r="G16320" s="51"/>
      <c r="H16320" s="46" t="str">
        <f>IF(AND(I.Developer.P3=TRUE,I.Facility.P3FacilityCount&gt;=1308,F16320=""),"Incomplete","Complete")</f>
        <v>Complete</v>
      </c>
      <c r="I16320" s="48" t="s">
        <v>20685</v>
      </c>
    </row>
    <row r="16321" spans="2:9" ht="15" customHeight="1" x14ac:dyDescent="0.25">
      <c r="B16321" s="55" t="s">
        <v>282</v>
      </c>
      <c r="C16321" s="46">
        <v>1309</v>
      </c>
      <c r="D16321" s="69" t="s">
        <v>29419</v>
      </c>
      <c r="E16321" s="51"/>
      <c r="F16321" s="114" t="str">
        <f>IF(INDEX(I.Facility.P3IDNumber,1309)="","",INDEX(I.Facility.P3IDNumber,1309))</f>
        <v/>
      </c>
      <c r="G16321" s="51"/>
      <c r="H16321" s="46" t="str">
        <f>IF(AND(I.Developer.P3=TRUE,I.Facility.P3FacilityCount&gt;=1309,F16321=""),"Incomplete","Complete")</f>
        <v>Complete</v>
      </c>
      <c r="I16321" s="48" t="s">
        <v>20686</v>
      </c>
    </row>
    <row r="16322" spans="2:9" ht="15" customHeight="1" x14ac:dyDescent="0.25">
      <c r="B16322" s="55" t="s">
        <v>282</v>
      </c>
      <c r="C16322" s="46">
        <v>1310</v>
      </c>
      <c r="D16322" s="69" t="s">
        <v>29419</v>
      </c>
      <c r="E16322" s="51"/>
      <c r="F16322" s="114" t="str">
        <f>IF(INDEX(I.Facility.P3IDNumber,1310)="","",INDEX(I.Facility.P3IDNumber,1310))</f>
        <v/>
      </c>
      <c r="G16322" s="51"/>
      <c r="H16322" s="46" t="str">
        <f>IF(AND(I.Developer.P3=TRUE,I.Facility.P3FacilityCount&gt;=1310,F16322=""),"Incomplete","Complete")</f>
        <v>Complete</v>
      </c>
      <c r="I16322" s="48" t="s">
        <v>20687</v>
      </c>
    </row>
    <row r="16323" spans="2:9" ht="15" customHeight="1" x14ac:dyDescent="0.25">
      <c r="B16323" s="55" t="s">
        <v>282</v>
      </c>
      <c r="C16323" s="46">
        <v>1311</v>
      </c>
      <c r="D16323" s="69" t="s">
        <v>29419</v>
      </c>
      <c r="E16323" s="51"/>
      <c r="F16323" s="114" t="str">
        <f>IF(INDEX(I.Facility.P3IDNumber,1311)="","",INDEX(I.Facility.P3IDNumber,1311))</f>
        <v/>
      </c>
      <c r="G16323" s="51"/>
      <c r="H16323" s="46" t="str">
        <f>IF(AND(I.Developer.P3=TRUE,I.Facility.P3FacilityCount&gt;=1311,F16323=""),"Incomplete","Complete")</f>
        <v>Complete</v>
      </c>
      <c r="I16323" s="48" t="s">
        <v>20688</v>
      </c>
    </row>
    <row r="16324" spans="2:9" ht="15" customHeight="1" x14ac:dyDescent="0.25">
      <c r="B16324" s="55" t="s">
        <v>282</v>
      </c>
      <c r="C16324" s="46">
        <v>1312</v>
      </c>
      <c r="D16324" s="69" t="s">
        <v>29419</v>
      </c>
      <c r="E16324" s="51"/>
      <c r="F16324" s="114" t="str">
        <f>IF(INDEX(I.Facility.P3IDNumber,1312)="","",INDEX(I.Facility.P3IDNumber,1312))</f>
        <v/>
      </c>
      <c r="G16324" s="51"/>
      <c r="H16324" s="46" t="str">
        <f>IF(AND(I.Developer.P3=TRUE,I.Facility.P3FacilityCount&gt;=1312,F16324=""),"Incomplete","Complete")</f>
        <v>Complete</v>
      </c>
      <c r="I16324" s="48" t="s">
        <v>20689</v>
      </c>
    </row>
    <row r="16325" spans="2:9" ht="15" customHeight="1" x14ac:dyDescent="0.25">
      <c r="B16325" s="55" t="s">
        <v>282</v>
      </c>
      <c r="C16325" s="46">
        <v>1313</v>
      </c>
      <c r="D16325" s="69" t="s">
        <v>29419</v>
      </c>
      <c r="E16325" s="51"/>
      <c r="F16325" s="114" t="str">
        <f>IF(INDEX(I.Facility.P3IDNumber,1313)="","",INDEX(I.Facility.P3IDNumber,1313))</f>
        <v/>
      </c>
      <c r="G16325" s="51"/>
      <c r="H16325" s="46" t="str">
        <f>IF(AND(I.Developer.P3=TRUE,I.Facility.P3FacilityCount&gt;=1313,F16325=""),"Incomplete","Complete")</f>
        <v>Complete</v>
      </c>
      <c r="I16325" s="48" t="s">
        <v>20690</v>
      </c>
    </row>
    <row r="16326" spans="2:9" ht="15" customHeight="1" x14ac:dyDescent="0.25">
      <c r="B16326" s="55" t="s">
        <v>282</v>
      </c>
      <c r="C16326" s="46">
        <v>1314</v>
      </c>
      <c r="D16326" s="69" t="s">
        <v>29419</v>
      </c>
      <c r="E16326" s="51"/>
      <c r="F16326" s="114" t="str">
        <f>IF(INDEX(I.Facility.P3IDNumber,1314)="","",INDEX(I.Facility.P3IDNumber,1314))</f>
        <v/>
      </c>
      <c r="G16326" s="51"/>
      <c r="H16326" s="46" t="str">
        <f>IF(AND(I.Developer.P3=TRUE,I.Facility.P3FacilityCount&gt;=1314,F16326=""),"Incomplete","Complete")</f>
        <v>Complete</v>
      </c>
      <c r="I16326" s="48" t="s">
        <v>20691</v>
      </c>
    </row>
    <row r="16327" spans="2:9" ht="15" customHeight="1" x14ac:dyDescent="0.25">
      <c r="B16327" s="55" t="s">
        <v>282</v>
      </c>
      <c r="C16327" s="46">
        <v>1315</v>
      </c>
      <c r="D16327" s="69" t="s">
        <v>29419</v>
      </c>
      <c r="E16327" s="51"/>
      <c r="F16327" s="114" t="str">
        <f>IF(INDEX(I.Facility.P3IDNumber,1315)="","",INDEX(I.Facility.P3IDNumber,1315))</f>
        <v/>
      </c>
      <c r="G16327" s="51"/>
      <c r="H16327" s="46" t="str">
        <f>IF(AND(I.Developer.P3=TRUE,I.Facility.P3FacilityCount&gt;=1315,F16327=""),"Incomplete","Complete")</f>
        <v>Complete</v>
      </c>
      <c r="I16327" s="48" t="s">
        <v>20692</v>
      </c>
    </row>
    <row r="16328" spans="2:9" ht="15" customHeight="1" x14ac:dyDescent="0.25">
      <c r="B16328" s="55" t="s">
        <v>282</v>
      </c>
      <c r="C16328" s="46">
        <v>1316</v>
      </c>
      <c r="D16328" s="69" t="s">
        <v>29419</v>
      </c>
      <c r="E16328" s="51"/>
      <c r="F16328" s="114" t="str">
        <f>IF(INDEX(I.Facility.P3IDNumber,1316)="","",INDEX(I.Facility.P3IDNumber,1316))</f>
        <v/>
      </c>
      <c r="G16328" s="51"/>
      <c r="H16328" s="46" t="str">
        <f>IF(AND(I.Developer.P3=TRUE,I.Facility.P3FacilityCount&gt;=1316,F16328=""),"Incomplete","Complete")</f>
        <v>Complete</v>
      </c>
      <c r="I16328" s="48" t="s">
        <v>20693</v>
      </c>
    </row>
    <row r="16329" spans="2:9" ht="15" customHeight="1" x14ac:dyDescent="0.25">
      <c r="B16329" s="55" t="s">
        <v>282</v>
      </c>
      <c r="C16329" s="46">
        <v>1317</v>
      </c>
      <c r="D16329" s="69" t="s">
        <v>29419</v>
      </c>
      <c r="E16329" s="51"/>
      <c r="F16329" s="114" t="str">
        <f>IF(INDEX(I.Facility.P3IDNumber,1317)="","",INDEX(I.Facility.P3IDNumber,1317))</f>
        <v/>
      </c>
      <c r="G16329" s="51"/>
      <c r="H16329" s="46" t="str">
        <f>IF(AND(I.Developer.P3=TRUE,I.Facility.P3FacilityCount&gt;=1317,F16329=""),"Incomplete","Complete")</f>
        <v>Complete</v>
      </c>
      <c r="I16329" s="48" t="s">
        <v>20694</v>
      </c>
    </row>
    <row r="16330" spans="2:9" ht="15" customHeight="1" x14ac:dyDescent="0.25">
      <c r="B16330" s="55" t="s">
        <v>282</v>
      </c>
      <c r="C16330" s="46">
        <v>1318</v>
      </c>
      <c r="D16330" s="69" t="s">
        <v>29419</v>
      </c>
      <c r="E16330" s="51"/>
      <c r="F16330" s="114" t="str">
        <f>IF(INDEX(I.Facility.P3IDNumber,1318)="","",INDEX(I.Facility.P3IDNumber,1318))</f>
        <v/>
      </c>
      <c r="G16330" s="51"/>
      <c r="H16330" s="46" t="str">
        <f>IF(AND(I.Developer.P3=TRUE,I.Facility.P3FacilityCount&gt;=1318,F16330=""),"Incomplete","Complete")</f>
        <v>Complete</v>
      </c>
      <c r="I16330" s="48" t="s">
        <v>20695</v>
      </c>
    </row>
    <row r="16331" spans="2:9" ht="15" customHeight="1" x14ac:dyDescent="0.25">
      <c r="B16331" s="55" t="s">
        <v>282</v>
      </c>
      <c r="C16331" s="46">
        <v>1319</v>
      </c>
      <c r="D16331" s="69" t="s">
        <v>29419</v>
      </c>
      <c r="E16331" s="51"/>
      <c r="F16331" s="114" t="str">
        <f>IF(INDEX(I.Facility.P3IDNumber,1319)="","",INDEX(I.Facility.P3IDNumber,1319))</f>
        <v/>
      </c>
      <c r="G16331" s="51"/>
      <c r="H16331" s="46" t="str">
        <f>IF(AND(I.Developer.P3=TRUE,I.Facility.P3FacilityCount&gt;=1319,F16331=""),"Incomplete","Complete")</f>
        <v>Complete</v>
      </c>
      <c r="I16331" s="48" t="s">
        <v>20696</v>
      </c>
    </row>
    <row r="16332" spans="2:9" ht="15" customHeight="1" x14ac:dyDescent="0.25">
      <c r="B16332" s="55" t="s">
        <v>282</v>
      </c>
      <c r="C16332" s="46">
        <v>1320</v>
      </c>
      <c r="D16332" s="69" t="s">
        <v>29419</v>
      </c>
      <c r="E16332" s="51"/>
      <c r="F16332" s="114" t="str">
        <f>IF(INDEX(I.Facility.P3IDNumber,1320)="","",INDEX(I.Facility.P3IDNumber,1320))</f>
        <v/>
      </c>
      <c r="G16332" s="51"/>
      <c r="H16332" s="46" t="str">
        <f>IF(AND(I.Developer.P3=TRUE,I.Facility.P3FacilityCount&gt;=1320,F16332=""),"Incomplete","Complete")</f>
        <v>Complete</v>
      </c>
      <c r="I16332" s="48" t="s">
        <v>20697</v>
      </c>
    </row>
    <row r="16333" spans="2:9" ht="15" customHeight="1" x14ac:dyDescent="0.25">
      <c r="B16333" s="55" t="s">
        <v>282</v>
      </c>
      <c r="C16333" s="46">
        <v>1321</v>
      </c>
      <c r="D16333" s="69" t="s">
        <v>29419</v>
      </c>
      <c r="E16333" s="51"/>
      <c r="F16333" s="114" t="str">
        <f>IF(INDEX(I.Facility.P3IDNumber,1321)="","",INDEX(I.Facility.P3IDNumber,1321))</f>
        <v/>
      </c>
      <c r="G16333" s="51"/>
      <c r="H16333" s="46" t="str">
        <f>IF(AND(I.Developer.P3=TRUE,I.Facility.P3FacilityCount&gt;=1321,F16333=""),"Incomplete","Complete")</f>
        <v>Complete</v>
      </c>
      <c r="I16333" s="48" t="s">
        <v>20698</v>
      </c>
    </row>
    <row r="16334" spans="2:9" ht="15" customHeight="1" x14ac:dyDescent="0.25">
      <c r="B16334" s="55" t="s">
        <v>282</v>
      </c>
      <c r="C16334" s="46">
        <v>1322</v>
      </c>
      <c r="D16334" s="69" t="s">
        <v>29419</v>
      </c>
      <c r="E16334" s="51"/>
      <c r="F16334" s="114" t="str">
        <f>IF(INDEX(I.Facility.P3IDNumber,1322)="","",INDEX(I.Facility.P3IDNumber,1322))</f>
        <v/>
      </c>
      <c r="G16334" s="51"/>
      <c r="H16334" s="46" t="str">
        <f>IF(AND(I.Developer.P3=TRUE,I.Facility.P3FacilityCount&gt;=1322,F16334=""),"Incomplete","Complete")</f>
        <v>Complete</v>
      </c>
      <c r="I16334" s="48" t="s">
        <v>20699</v>
      </c>
    </row>
    <row r="16335" spans="2:9" ht="15" customHeight="1" x14ac:dyDescent="0.25">
      <c r="B16335" s="55" t="s">
        <v>282</v>
      </c>
      <c r="C16335" s="46">
        <v>1323</v>
      </c>
      <c r="D16335" s="69" t="s">
        <v>29419</v>
      </c>
      <c r="E16335" s="51"/>
      <c r="F16335" s="114" t="str">
        <f>IF(INDEX(I.Facility.P3IDNumber,1323)="","",INDEX(I.Facility.P3IDNumber,1323))</f>
        <v/>
      </c>
      <c r="G16335" s="51"/>
      <c r="H16335" s="46" t="str">
        <f>IF(AND(I.Developer.P3=TRUE,I.Facility.P3FacilityCount&gt;=1323,F16335=""),"Incomplete","Complete")</f>
        <v>Complete</v>
      </c>
      <c r="I16335" s="48" t="s">
        <v>20700</v>
      </c>
    </row>
    <row r="16336" spans="2:9" ht="15" customHeight="1" x14ac:dyDescent="0.25">
      <c r="B16336" s="55" t="s">
        <v>282</v>
      </c>
      <c r="C16336" s="46">
        <v>1324</v>
      </c>
      <c r="D16336" s="69" t="s">
        <v>29419</v>
      </c>
      <c r="E16336" s="51"/>
      <c r="F16336" s="114" t="str">
        <f>IF(INDEX(I.Facility.P3IDNumber,1324)="","",INDEX(I.Facility.P3IDNumber,1324))</f>
        <v/>
      </c>
      <c r="G16336" s="51"/>
      <c r="H16336" s="46" t="str">
        <f>IF(AND(I.Developer.P3=TRUE,I.Facility.P3FacilityCount&gt;=1324,F16336=""),"Incomplete","Complete")</f>
        <v>Complete</v>
      </c>
      <c r="I16336" s="48" t="s">
        <v>20701</v>
      </c>
    </row>
    <row r="16337" spans="2:9" ht="15" customHeight="1" x14ac:dyDescent="0.25">
      <c r="B16337" s="55" t="s">
        <v>282</v>
      </c>
      <c r="C16337" s="46">
        <v>1325</v>
      </c>
      <c r="D16337" s="69" t="s">
        <v>29419</v>
      </c>
      <c r="E16337" s="51"/>
      <c r="F16337" s="114" t="str">
        <f>IF(INDEX(I.Facility.P3IDNumber,1325)="","",INDEX(I.Facility.P3IDNumber,1325))</f>
        <v/>
      </c>
      <c r="G16337" s="51"/>
      <c r="H16337" s="46" t="str">
        <f>IF(AND(I.Developer.P3=TRUE,I.Facility.P3FacilityCount&gt;=1325,F16337=""),"Incomplete","Complete")</f>
        <v>Complete</v>
      </c>
      <c r="I16337" s="48" t="s">
        <v>20702</v>
      </c>
    </row>
    <row r="16338" spans="2:9" ht="15" customHeight="1" x14ac:dyDescent="0.25">
      <c r="B16338" s="55" t="s">
        <v>282</v>
      </c>
      <c r="C16338" s="46">
        <v>1326</v>
      </c>
      <c r="D16338" s="69" t="s">
        <v>29419</v>
      </c>
      <c r="E16338" s="51"/>
      <c r="F16338" s="114" t="str">
        <f>IF(INDEX(I.Facility.P3IDNumber,1326)="","",INDEX(I.Facility.P3IDNumber,1326))</f>
        <v/>
      </c>
      <c r="G16338" s="51"/>
      <c r="H16338" s="46" t="str">
        <f>IF(AND(I.Developer.P3=TRUE,I.Facility.P3FacilityCount&gt;=1326,F16338=""),"Incomplete","Complete")</f>
        <v>Complete</v>
      </c>
      <c r="I16338" s="48" t="s">
        <v>20703</v>
      </c>
    </row>
    <row r="16339" spans="2:9" ht="15" customHeight="1" x14ac:dyDescent="0.25">
      <c r="B16339" s="55" t="s">
        <v>282</v>
      </c>
      <c r="C16339" s="46">
        <v>1327</v>
      </c>
      <c r="D16339" s="69" t="s">
        <v>29419</v>
      </c>
      <c r="E16339" s="51"/>
      <c r="F16339" s="114" t="str">
        <f>IF(INDEX(I.Facility.P3IDNumber,1327)="","",INDEX(I.Facility.P3IDNumber,1327))</f>
        <v/>
      </c>
      <c r="G16339" s="51"/>
      <c r="H16339" s="46" t="str">
        <f>IF(AND(I.Developer.P3=TRUE,I.Facility.P3FacilityCount&gt;=1327,F16339=""),"Incomplete","Complete")</f>
        <v>Complete</v>
      </c>
      <c r="I16339" s="48" t="s">
        <v>20704</v>
      </c>
    </row>
    <row r="16340" spans="2:9" ht="15" customHeight="1" x14ac:dyDescent="0.25">
      <c r="B16340" s="55" t="s">
        <v>282</v>
      </c>
      <c r="C16340" s="46">
        <v>1328</v>
      </c>
      <c r="D16340" s="69" t="s">
        <v>29419</v>
      </c>
      <c r="E16340" s="51"/>
      <c r="F16340" s="114" t="str">
        <f>IF(INDEX(I.Facility.P3IDNumber,1328)="","",INDEX(I.Facility.P3IDNumber,1328))</f>
        <v/>
      </c>
      <c r="G16340" s="51"/>
      <c r="H16340" s="46" t="str">
        <f>IF(AND(I.Developer.P3=TRUE,I.Facility.P3FacilityCount&gt;=1328,F16340=""),"Incomplete","Complete")</f>
        <v>Complete</v>
      </c>
      <c r="I16340" s="48" t="s">
        <v>20705</v>
      </c>
    </row>
    <row r="16341" spans="2:9" ht="15" customHeight="1" x14ac:dyDescent="0.25">
      <c r="B16341" s="55" t="s">
        <v>282</v>
      </c>
      <c r="C16341" s="46">
        <v>1329</v>
      </c>
      <c r="D16341" s="69" t="s">
        <v>29419</v>
      </c>
      <c r="E16341" s="51"/>
      <c r="F16341" s="114" t="str">
        <f>IF(INDEX(I.Facility.P3IDNumber,1329)="","",INDEX(I.Facility.P3IDNumber,1329))</f>
        <v/>
      </c>
      <c r="G16341" s="51"/>
      <c r="H16341" s="46" t="str">
        <f>IF(AND(I.Developer.P3=TRUE,I.Facility.P3FacilityCount&gt;=1329,F16341=""),"Incomplete","Complete")</f>
        <v>Complete</v>
      </c>
      <c r="I16341" s="48" t="s">
        <v>20706</v>
      </c>
    </row>
    <row r="16342" spans="2:9" ht="15" customHeight="1" x14ac:dyDescent="0.25">
      <c r="B16342" s="55" t="s">
        <v>282</v>
      </c>
      <c r="C16342" s="46">
        <v>1330</v>
      </c>
      <c r="D16342" s="69" t="s">
        <v>29419</v>
      </c>
      <c r="E16342" s="51"/>
      <c r="F16342" s="114" t="str">
        <f>IF(INDEX(I.Facility.P3IDNumber,1330)="","",INDEX(I.Facility.P3IDNumber,1330))</f>
        <v/>
      </c>
      <c r="G16342" s="51"/>
      <c r="H16342" s="46" t="str">
        <f>IF(AND(I.Developer.P3=TRUE,I.Facility.P3FacilityCount&gt;=1330,F16342=""),"Incomplete","Complete")</f>
        <v>Complete</v>
      </c>
      <c r="I16342" s="48" t="s">
        <v>20707</v>
      </c>
    </row>
    <row r="16343" spans="2:9" ht="15" customHeight="1" x14ac:dyDescent="0.25">
      <c r="B16343" s="55" t="s">
        <v>282</v>
      </c>
      <c r="C16343" s="46">
        <v>1331</v>
      </c>
      <c r="D16343" s="69" t="s">
        <v>29419</v>
      </c>
      <c r="E16343" s="51"/>
      <c r="F16343" s="114" t="str">
        <f>IF(INDEX(I.Facility.P3IDNumber,1331)="","",INDEX(I.Facility.P3IDNumber,1331))</f>
        <v/>
      </c>
      <c r="G16343" s="51"/>
      <c r="H16343" s="46" t="str">
        <f>IF(AND(I.Developer.P3=TRUE,I.Facility.P3FacilityCount&gt;=1331,F16343=""),"Incomplete","Complete")</f>
        <v>Complete</v>
      </c>
      <c r="I16343" s="48" t="s">
        <v>20708</v>
      </c>
    </row>
    <row r="16344" spans="2:9" ht="15" customHeight="1" x14ac:dyDescent="0.25">
      <c r="B16344" s="55" t="s">
        <v>282</v>
      </c>
      <c r="C16344" s="46">
        <v>1332</v>
      </c>
      <c r="D16344" s="69" t="s">
        <v>29419</v>
      </c>
      <c r="E16344" s="51"/>
      <c r="F16344" s="114" t="str">
        <f>IF(INDEX(I.Facility.P3IDNumber,1332)="","",INDEX(I.Facility.P3IDNumber,1332))</f>
        <v/>
      </c>
      <c r="G16344" s="51"/>
      <c r="H16344" s="46" t="str">
        <f>IF(AND(I.Developer.P3=TRUE,I.Facility.P3FacilityCount&gt;=1332,F16344=""),"Incomplete","Complete")</f>
        <v>Complete</v>
      </c>
      <c r="I16344" s="48" t="s">
        <v>20709</v>
      </c>
    </row>
    <row r="16345" spans="2:9" ht="15" customHeight="1" x14ac:dyDescent="0.25">
      <c r="B16345" s="55" t="s">
        <v>282</v>
      </c>
      <c r="C16345" s="46">
        <v>1333</v>
      </c>
      <c r="D16345" s="69" t="s">
        <v>29419</v>
      </c>
      <c r="E16345" s="51"/>
      <c r="F16345" s="114" t="str">
        <f>IF(INDEX(I.Facility.P3IDNumber,1333)="","",INDEX(I.Facility.P3IDNumber,1333))</f>
        <v/>
      </c>
      <c r="G16345" s="51"/>
      <c r="H16345" s="46" t="str">
        <f>IF(AND(I.Developer.P3=TRUE,I.Facility.P3FacilityCount&gt;=1333,F16345=""),"Incomplete","Complete")</f>
        <v>Complete</v>
      </c>
      <c r="I16345" s="48" t="s">
        <v>20710</v>
      </c>
    </row>
    <row r="16346" spans="2:9" ht="15" customHeight="1" x14ac:dyDescent="0.25">
      <c r="B16346" s="55" t="s">
        <v>282</v>
      </c>
      <c r="C16346" s="46">
        <v>1334</v>
      </c>
      <c r="D16346" s="69" t="s">
        <v>29419</v>
      </c>
      <c r="E16346" s="51"/>
      <c r="F16346" s="114" t="str">
        <f>IF(INDEX(I.Facility.P3IDNumber,1334)="","",INDEX(I.Facility.P3IDNumber,1334))</f>
        <v/>
      </c>
      <c r="G16346" s="51"/>
      <c r="H16346" s="46" t="str">
        <f>IF(AND(I.Developer.P3=TRUE,I.Facility.P3FacilityCount&gt;=1334,F16346=""),"Incomplete","Complete")</f>
        <v>Complete</v>
      </c>
      <c r="I16346" s="48" t="s">
        <v>20711</v>
      </c>
    </row>
    <row r="16347" spans="2:9" ht="15" customHeight="1" x14ac:dyDescent="0.25">
      <c r="B16347" s="55" t="s">
        <v>282</v>
      </c>
      <c r="C16347" s="46">
        <v>1335</v>
      </c>
      <c r="D16347" s="69" t="s">
        <v>29419</v>
      </c>
      <c r="E16347" s="51"/>
      <c r="F16347" s="114" t="str">
        <f>IF(INDEX(I.Facility.P3IDNumber,1335)="","",INDEX(I.Facility.P3IDNumber,1335))</f>
        <v/>
      </c>
      <c r="G16347" s="51"/>
      <c r="H16347" s="46" t="str">
        <f>IF(AND(I.Developer.P3=TRUE,I.Facility.P3FacilityCount&gt;=1335,F16347=""),"Incomplete","Complete")</f>
        <v>Complete</v>
      </c>
      <c r="I16347" s="48" t="s">
        <v>20712</v>
      </c>
    </row>
    <row r="16348" spans="2:9" ht="15" customHeight="1" x14ac:dyDescent="0.25">
      <c r="B16348" s="55" t="s">
        <v>282</v>
      </c>
      <c r="C16348" s="46">
        <v>1336</v>
      </c>
      <c r="D16348" s="69" t="s">
        <v>29419</v>
      </c>
      <c r="E16348" s="51"/>
      <c r="F16348" s="114" t="str">
        <f>IF(INDEX(I.Facility.P3IDNumber,1336)="","",INDEX(I.Facility.P3IDNumber,1336))</f>
        <v/>
      </c>
      <c r="G16348" s="51"/>
      <c r="H16348" s="46" t="str">
        <f>IF(AND(I.Developer.P3=TRUE,I.Facility.P3FacilityCount&gt;=1336,F16348=""),"Incomplete","Complete")</f>
        <v>Complete</v>
      </c>
      <c r="I16348" s="48" t="s">
        <v>20713</v>
      </c>
    </row>
    <row r="16349" spans="2:9" ht="15" customHeight="1" x14ac:dyDescent="0.25">
      <c r="B16349" s="55" t="s">
        <v>282</v>
      </c>
      <c r="C16349" s="46">
        <v>1337</v>
      </c>
      <c r="D16349" s="69" t="s">
        <v>29419</v>
      </c>
      <c r="E16349" s="51"/>
      <c r="F16349" s="114" t="str">
        <f>IF(INDEX(I.Facility.P3IDNumber,1337)="","",INDEX(I.Facility.P3IDNumber,1337))</f>
        <v/>
      </c>
      <c r="G16349" s="51"/>
      <c r="H16349" s="46" t="str">
        <f>IF(AND(I.Developer.P3=TRUE,I.Facility.P3FacilityCount&gt;=1337,F16349=""),"Incomplete","Complete")</f>
        <v>Complete</v>
      </c>
      <c r="I16349" s="48" t="s">
        <v>20714</v>
      </c>
    </row>
    <row r="16350" spans="2:9" ht="15" customHeight="1" x14ac:dyDescent="0.25">
      <c r="B16350" s="55" t="s">
        <v>282</v>
      </c>
      <c r="C16350" s="46">
        <v>1338</v>
      </c>
      <c r="D16350" s="69" t="s">
        <v>29419</v>
      </c>
      <c r="E16350" s="51"/>
      <c r="F16350" s="114" t="str">
        <f>IF(INDEX(I.Facility.P3IDNumber,1338)="","",INDEX(I.Facility.P3IDNumber,1338))</f>
        <v/>
      </c>
      <c r="G16350" s="51"/>
      <c r="H16350" s="46" t="str">
        <f>IF(AND(I.Developer.P3=TRUE,I.Facility.P3FacilityCount&gt;=1338,F16350=""),"Incomplete","Complete")</f>
        <v>Complete</v>
      </c>
      <c r="I16350" s="48" t="s">
        <v>20715</v>
      </c>
    </row>
    <row r="16351" spans="2:9" ht="15" customHeight="1" x14ac:dyDescent="0.25">
      <c r="B16351" s="55" t="s">
        <v>282</v>
      </c>
      <c r="C16351" s="46">
        <v>1339</v>
      </c>
      <c r="D16351" s="69" t="s">
        <v>29419</v>
      </c>
      <c r="E16351" s="51"/>
      <c r="F16351" s="114" t="str">
        <f>IF(INDEX(I.Facility.P3IDNumber,1339)="","",INDEX(I.Facility.P3IDNumber,1339))</f>
        <v/>
      </c>
      <c r="G16351" s="51"/>
      <c r="H16351" s="46" t="str">
        <f>IF(AND(I.Developer.P3=TRUE,I.Facility.P3FacilityCount&gt;=1339,F16351=""),"Incomplete","Complete")</f>
        <v>Complete</v>
      </c>
      <c r="I16351" s="48" t="s">
        <v>20716</v>
      </c>
    </row>
    <row r="16352" spans="2:9" ht="15" customHeight="1" x14ac:dyDescent="0.25">
      <c r="B16352" s="55" t="s">
        <v>282</v>
      </c>
      <c r="C16352" s="46">
        <v>1340</v>
      </c>
      <c r="D16352" s="69" t="s">
        <v>29419</v>
      </c>
      <c r="E16352" s="51"/>
      <c r="F16352" s="114" t="str">
        <f>IF(INDEX(I.Facility.P3IDNumber,1340)="","",INDEX(I.Facility.P3IDNumber,1340))</f>
        <v/>
      </c>
      <c r="G16352" s="51"/>
      <c r="H16352" s="46" t="str">
        <f>IF(AND(I.Developer.P3=TRUE,I.Facility.P3FacilityCount&gt;=1340,F16352=""),"Incomplete","Complete")</f>
        <v>Complete</v>
      </c>
      <c r="I16352" s="48" t="s">
        <v>20717</v>
      </c>
    </row>
    <row r="16353" spans="2:9" ht="15" customHeight="1" x14ac:dyDescent="0.25">
      <c r="B16353" s="55" t="s">
        <v>282</v>
      </c>
      <c r="C16353" s="46">
        <v>1341</v>
      </c>
      <c r="D16353" s="69" t="s">
        <v>29419</v>
      </c>
      <c r="E16353" s="51"/>
      <c r="F16353" s="114" t="str">
        <f>IF(INDEX(I.Facility.P3IDNumber,1341)="","",INDEX(I.Facility.P3IDNumber,1341))</f>
        <v/>
      </c>
      <c r="G16353" s="51"/>
      <c r="H16353" s="46" t="str">
        <f>IF(AND(I.Developer.P3=TRUE,I.Facility.P3FacilityCount&gt;=1341,F16353=""),"Incomplete","Complete")</f>
        <v>Complete</v>
      </c>
      <c r="I16353" s="48" t="s">
        <v>20718</v>
      </c>
    </row>
    <row r="16354" spans="2:9" ht="15" customHeight="1" x14ac:dyDescent="0.25">
      <c r="B16354" s="55" t="s">
        <v>282</v>
      </c>
      <c r="C16354" s="46">
        <v>1342</v>
      </c>
      <c r="D16354" s="69" t="s">
        <v>29419</v>
      </c>
      <c r="E16354" s="51"/>
      <c r="F16354" s="114" t="str">
        <f>IF(INDEX(I.Facility.P3IDNumber,1342)="","",INDEX(I.Facility.P3IDNumber,1342))</f>
        <v/>
      </c>
      <c r="G16354" s="51"/>
      <c r="H16354" s="46" t="str">
        <f>IF(AND(I.Developer.P3=TRUE,I.Facility.P3FacilityCount&gt;=1342,F16354=""),"Incomplete","Complete")</f>
        <v>Complete</v>
      </c>
      <c r="I16354" s="48" t="s">
        <v>20719</v>
      </c>
    </row>
    <row r="16355" spans="2:9" ht="15" customHeight="1" x14ac:dyDescent="0.25">
      <c r="B16355" s="55" t="s">
        <v>282</v>
      </c>
      <c r="C16355" s="46">
        <v>1343</v>
      </c>
      <c r="D16355" s="69" t="s">
        <v>29419</v>
      </c>
      <c r="E16355" s="51"/>
      <c r="F16355" s="114" t="str">
        <f>IF(INDEX(I.Facility.P3IDNumber,1343)="","",INDEX(I.Facility.P3IDNumber,1343))</f>
        <v/>
      </c>
      <c r="G16355" s="51"/>
      <c r="H16355" s="46" t="str">
        <f>IF(AND(I.Developer.P3=TRUE,I.Facility.P3FacilityCount&gt;=1343,F16355=""),"Incomplete","Complete")</f>
        <v>Complete</v>
      </c>
      <c r="I16355" s="48" t="s">
        <v>20720</v>
      </c>
    </row>
    <row r="16356" spans="2:9" ht="15" customHeight="1" x14ac:dyDescent="0.25">
      <c r="B16356" s="55" t="s">
        <v>282</v>
      </c>
      <c r="C16356" s="46">
        <v>1344</v>
      </c>
      <c r="D16356" s="69" t="s">
        <v>29419</v>
      </c>
      <c r="E16356" s="51"/>
      <c r="F16356" s="114" t="str">
        <f>IF(INDEX(I.Facility.P3IDNumber,1344)="","",INDEX(I.Facility.P3IDNumber,1344))</f>
        <v/>
      </c>
      <c r="G16356" s="51"/>
      <c r="H16356" s="46" t="str">
        <f>IF(AND(I.Developer.P3=TRUE,I.Facility.P3FacilityCount&gt;=1344,F16356=""),"Incomplete","Complete")</f>
        <v>Complete</v>
      </c>
      <c r="I16356" s="48" t="s">
        <v>20721</v>
      </c>
    </row>
    <row r="16357" spans="2:9" ht="15" customHeight="1" x14ac:dyDescent="0.25">
      <c r="B16357" s="55" t="s">
        <v>282</v>
      </c>
      <c r="C16357" s="46">
        <v>1345</v>
      </c>
      <c r="D16357" s="69" t="s">
        <v>29419</v>
      </c>
      <c r="E16357" s="51"/>
      <c r="F16357" s="114" t="str">
        <f>IF(INDEX(I.Facility.P3IDNumber,1345)="","",INDEX(I.Facility.P3IDNumber,1345))</f>
        <v/>
      </c>
      <c r="G16357" s="51"/>
      <c r="H16357" s="46" t="str">
        <f>IF(AND(I.Developer.P3=TRUE,I.Facility.P3FacilityCount&gt;=1345,F16357=""),"Incomplete","Complete")</f>
        <v>Complete</v>
      </c>
      <c r="I16357" s="48" t="s">
        <v>20722</v>
      </c>
    </row>
    <row r="16358" spans="2:9" ht="15" customHeight="1" x14ac:dyDescent="0.25">
      <c r="B16358" s="55" t="s">
        <v>282</v>
      </c>
      <c r="C16358" s="46">
        <v>1346</v>
      </c>
      <c r="D16358" s="69" t="s">
        <v>29419</v>
      </c>
      <c r="E16358" s="51"/>
      <c r="F16358" s="114" t="str">
        <f>IF(INDEX(I.Facility.P3IDNumber,1346)="","",INDEX(I.Facility.P3IDNumber,1346))</f>
        <v/>
      </c>
      <c r="G16358" s="51"/>
      <c r="H16358" s="46" t="str">
        <f>IF(AND(I.Developer.P3=TRUE,I.Facility.P3FacilityCount&gt;=1346,F16358=""),"Incomplete","Complete")</f>
        <v>Complete</v>
      </c>
      <c r="I16358" s="48" t="s">
        <v>20723</v>
      </c>
    </row>
    <row r="16359" spans="2:9" ht="15" customHeight="1" x14ac:dyDescent="0.25">
      <c r="B16359" s="55" t="s">
        <v>282</v>
      </c>
      <c r="C16359" s="46">
        <v>1347</v>
      </c>
      <c r="D16359" s="69" t="s">
        <v>29419</v>
      </c>
      <c r="E16359" s="51"/>
      <c r="F16359" s="114" t="str">
        <f>IF(INDEX(I.Facility.P3IDNumber,1347)="","",INDEX(I.Facility.P3IDNumber,1347))</f>
        <v/>
      </c>
      <c r="G16359" s="51"/>
      <c r="H16359" s="46" t="str">
        <f>IF(AND(I.Developer.P3=TRUE,I.Facility.P3FacilityCount&gt;=1347,F16359=""),"Incomplete","Complete")</f>
        <v>Complete</v>
      </c>
      <c r="I16359" s="48" t="s">
        <v>20724</v>
      </c>
    </row>
    <row r="16360" spans="2:9" ht="15" customHeight="1" x14ac:dyDescent="0.25">
      <c r="B16360" s="55" t="s">
        <v>282</v>
      </c>
      <c r="C16360" s="46">
        <v>1348</v>
      </c>
      <c r="D16360" s="69" t="s">
        <v>29419</v>
      </c>
      <c r="E16360" s="51"/>
      <c r="F16360" s="114" t="str">
        <f>IF(INDEX(I.Facility.P3IDNumber,1348)="","",INDEX(I.Facility.P3IDNumber,1348))</f>
        <v/>
      </c>
      <c r="G16360" s="51"/>
      <c r="H16360" s="46" t="str">
        <f>IF(AND(I.Developer.P3=TRUE,I.Facility.P3FacilityCount&gt;=1348,F16360=""),"Incomplete","Complete")</f>
        <v>Complete</v>
      </c>
      <c r="I16360" s="48" t="s">
        <v>20725</v>
      </c>
    </row>
    <row r="16361" spans="2:9" ht="15" customHeight="1" x14ac:dyDescent="0.25">
      <c r="B16361" s="55" t="s">
        <v>282</v>
      </c>
      <c r="C16361" s="46">
        <v>1349</v>
      </c>
      <c r="D16361" s="69" t="s">
        <v>29419</v>
      </c>
      <c r="E16361" s="51"/>
      <c r="F16361" s="114" t="str">
        <f>IF(INDEX(I.Facility.P3IDNumber,1349)="","",INDEX(I.Facility.P3IDNumber,1349))</f>
        <v/>
      </c>
      <c r="G16361" s="51"/>
      <c r="H16361" s="46" t="str">
        <f>IF(AND(I.Developer.P3=TRUE,I.Facility.P3FacilityCount&gt;=1349,F16361=""),"Incomplete","Complete")</f>
        <v>Complete</v>
      </c>
      <c r="I16361" s="48" t="s">
        <v>20726</v>
      </c>
    </row>
    <row r="16362" spans="2:9" ht="15" customHeight="1" x14ac:dyDescent="0.25">
      <c r="B16362" s="55" t="s">
        <v>282</v>
      </c>
      <c r="C16362" s="46">
        <v>1350</v>
      </c>
      <c r="D16362" s="69" t="s">
        <v>29419</v>
      </c>
      <c r="E16362" s="51"/>
      <c r="F16362" s="114" t="str">
        <f>IF(INDEX(I.Facility.P3IDNumber,1350)="","",INDEX(I.Facility.P3IDNumber,1350))</f>
        <v/>
      </c>
      <c r="G16362" s="51"/>
      <c r="H16362" s="46" t="str">
        <f>IF(AND(I.Developer.P3=TRUE,I.Facility.P3FacilityCount&gt;=1350,F16362=""),"Incomplete","Complete")</f>
        <v>Complete</v>
      </c>
      <c r="I16362" s="48" t="s">
        <v>20727</v>
      </c>
    </row>
    <row r="16363" spans="2:9" ht="15" customHeight="1" x14ac:dyDescent="0.25">
      <c r="B16363" s="55" t="s">
        <v>282</v>
      </c>
      <c r="C16363" s="46">
        <v>1351</v>
      </c>
      <c r="D16363" s="69" t="s">
        <v>29419</v>
      </c>
      <c r="E16363" s="51"/>
      <c r="F16363" s="114" t="str">
        <f>IF(INDEX(I.Facility.P3IDNumber,1351)="","",INDEX(I.Facility.P3IDNumber,1351))</f>
        <v/>
      </c>
      <c r="G16363" s="51"/>
      <c r="H16363" s="46" t="str">
        <f>IF(AND(I.Developer.P3=TRUE,I.Facility.P3FacilityCount&gt;=1351,F16363=""),"Incomplete","Complete")</f>
        <v>Complete</v>
      </c>
      <c r="I16363" s="48" t="s">
        <v>20728</v>
      </c>
    </row>
    <row r="16364" spans="2:9" ht="15" customHeight="1" x14ac:dyDescent="0.25">
      <c r="B16364" s="55" t="s">
        <v>282</v>
      </c>
      <c r="C16364" s="46">
        <v>1352</v>
      </c>
      <c r="D16364" s="69" t="s">
        <v>29419</v>
      </c>
      <c r="E16364" s="51"/>
      <c r="F16364" s="114" t="str">
        <f>IF(INDEX(I.Facility.P3IDNumber,1352)="","",INDEX(I.Facility.P3IDNumber,1352))</f>
        <v/>
      </c>
      <c r="G16364" s="51"/>
      <c r="H16364" s="46" t="str">
        <f>IF(AND(I.Developer.P3=TRUE,I.Facility.P3FacilityCount&gt;=1352,F16364=""),"Incomplete","Complete")</f>
        <v>Complete</v>
      </c>
      <c r="I16364" s="48" t="s">
        <v>20729</v>
      </c>
    </row>
    <row r="16365" spans="2:9" ht="15" customHeight="1" x14ac:dyDescent="0.25">
      <c r="B16365" s="55" t="s">
        <v>282</v>
      </c>
      <c r="C16365" s="46">
        <v>1353</v>
      </c>
      <c r="D16365" s="69" t="s">
        <v>29419</v>
      </c>
      <c r="E16365" s="51"/>
      <c r="F16365" s="114" t="str">
        <f>IF(INDEX(I.Facility.P3IDNumber,1353)="","",INDEX(I.Facility.P3IDNumber,1353))</f>
        <v/>
      </c>
      <c r="G16365" s="51"/>
      <c r="H16365" s="46" t="str">
        <f>IF(AND(I.Developer.P3=TRUE,I.Facility.P3FacilityCount&gt;=1353,F16365=""),"Incomplete","Complete")</f>
        <v>Complete</v>
      </c>
      <c r="I16365" s="48" t="s">
        <v>20730</v>
      </c>
    </row>
    <row r="16366" spans="2:9" ht="15" customHeight="1" x14ac:dyDescent="0.25">
      <c r="B16366" s="55" t="s">
        <v>282</v>
      </c>
      <c r="C16366" s="46">
        <v>1354</v>
      </c>
      <c r="D16366" s="69" t="s">
        <v>29419</v>
      </c>
      <c r="E16366" s="51"/>
      <c r="F16366" s="114" t="str">
        <f>IF(INDEX(I.Facility.P3IDNumber,1354)="","",INDEX(I.Facility.P3IDNumber,1354))</f>
        <v/>
      </c>
      <c r="G16366" s="51"/>
      <c r="H16366" s="46" t="str">
        <f>IF(AND(I.Developer.P3=TRUE,I.Facility.P3FacilityCount&gt;=1354,F16366=""),"Incomplete","Complete")</f>
        <v>Complete</v>
      </c>
      <c r="I16366" s="48" t="s">
        <v>20731</v>
      </c>
    </row>
    <row r="16367" spans="2:9" ht="15" customHeight="1" x14ac:dyDescent="0.25">
      <c r="B16367" s="55" t="s">
        <v>282</v>
      </c>
      <c r="C16367" s="46">
        <v>1355</v>
      </c>
      <c r="D16367" s="69" t="s">
        <v>29419</v>
      </c>
      <c r="E16367" s="51"/>
      <c r="F16367" s="114" t="str">
        <f>IF(INDEX(I.Facility.P3IDNumber,1355)="","",INDEX(I.Facility.P3IDNumber,1355))</f>
        <v/>
      </c>
      <c r="G16367" s="51"/>
      <c r="H16367" s="46" t="str">
        <f>IF(AND(I.Developer.P3=TRUE,I.Facility.P3FacilityCount&gt;=1355,F16367=""),"Incomplete","Complete")</f>
        <v>Complete</v>
      </c>
      <c r="I16367" s="48" t="s">
        <v>20732</v>
      </c>
    </row>
    <row r="16368" spans="2:9" ht="15" customHeight="1" x14ac:dyDescent="0.25">
      <c r="B16368" s="55" t="s">
        <v>282</v>
      </c>
      <c r="C16368" s="46">
        <v>1356</v>
      </c>
      <c r="D16368" s="69" t="s">
        <v>29419</v>
      </c>
      <c r="E16368" s="51"/>
      <c r="F16368" s="114" t="str">
        <f>IF(INDEX(I.Facility.P3IDNumber,1356)="","",INDEX(I.Facility.P3IDNumber,1356))</f>
        <v/>
      </c>
      <c r="G16368" s="51"/>
      <c r="H16368" s="46" t="str">
        <f>IF(AND(I.Developer.P3=TRUE,I.Facility.P3FacilityCount&gt;=1356,F16368=""),"Incomplete","Complete")</f>
        <v>Complete</v>
      </c>
      <c r="I16368" s="48" t="s">
        <v>20733</v>
      </c>
    </row>
    <row r="16369" spans="2:9" ht="15" customHeight="1" x14ac:dyDescent="0.25">
      <c r="B16369" s="55" t="s">
        <v>282</v>
      </c>
      <c r="C16369" s="46">
        <v>1357</v>
      </c>
      <c r="D16369" s="69" t="s">
        <v>29419</v>
      </c>
      <c r="E16369" s="51"/>
      <c r="F16369" s="114" t="str">
        <f>IF(INDEX(I.Facility.P3IDNumber,1357)="","",INDEX(I.Facility.P3IDNumber,1357))</f>
        <v/>
      </c>
      <c r="G16369" s="51"/>
      <c r="H16369" s="46" t="str">
        <f>IF(AND(I.Developer.P3=TRUE,I.Facility.P3FacilityCount&gt;=1357,F16369=""),"Incomplete","Complete")</f>
        <v>Complete</v>
      </c>
      <c r="I16369" s="48" t="s">
        <v>20734</v>
      </c>
    </row>
    <row r="16370" spans="2:9" ht="15" customHeight="1" x14ac:dyDescent="0.25">
      <c r="B16370" s="55" t="s">
        <v>282</v>
      </c>
      <c r="C16370" s="46">
        <v>1358</v>
      </c>
      <c r="D16370" s="69" t="s">
        <v>29419</v>
      </c>
      <c r="E16370" s="51"/>
      <c r="F16370" s="114" t="str">
        <f>IF(INDEX(I.Facility.P3IDNumber,1358)="","",INDEX(I.Facility.P3IDNumber,1358))</f>
        <v/>
      </c>
      <c r="G16370" s="51"/>
      <c r="H16370" s="46" t="str">
        <f>IF(AND(I.Developer.P3=TRUE,I.Facility.P3FacilityCount&gt;=1358,F16370=""),"Incomplete","Complete")</f>
        <v>Complete</v>
      </c>
      <c r="I16370" s="48" t="s">
        <v>20735</v>
      </c>
    </row>
    <row r="16371" spans="2:9" ht="15" customHeight="1" x14ac:dyDescent="0.25">
      <c r="B16371" s="55" t="s">
        <v>282</v>
      </c>
      <c r="C16371" s="46">
        <v>1359</v>
      </c>
      <c r="D16371" s="69" t="s">
        <v>29419</v>
      </c>
      <c r="E16371" s="51"/>
      <c r="F16371" s="114" t="str">
        <f>IF(INDEX(I.Facility.P3IDNumber,1359)="","",INDEX(I.Facility.P3IDNumber,1359))</f>
        <v/>
      </c>
      <c r="G16371" s="51"/>
      <c r="H16371" s="46" t="str">
        <f>IF(AND(I.Developer.P3=TRUE,I.Facility.P3FacilityCount&gt;=1359,F16371=""),"Incomplete","Complete")</f>
        <v>Complete</v>
      </c>
      <c r="I16371" s="48" t="s">
        <v>20736</v>
      </c>
    </row>
    <row r="16372" spans="2:9" ht="15" customHeight="1" x14ac:dyDescent="0.25">
      <c r="B16372" s="55" t="s">
        <v>282</v>
      </c>
      <c r="C16372" s="46">
        <v>1360</v>
      </c>
      <c r="D16372" s="69" t="s">
        <v>29419</v>
      </c>
      <c r="E16372" s="51"/>
      <c r="F16372" s="114" t="str">
        <f>IF(INDEX(I.Facility.P3IDNumber,1360)="","",INDEX(I.Facility.P3IDNumber,1360))</f>
        <v/>
      </c>
      <c r="G16372" s="51"/>
      <c r="H16372" s="46" t="str">
        <f>IF(AND(I.Developer.P3=TRUE,I.Facility.P3FacilityCount&gt;=1360,F16372=""),"Incomplete","Complete")</f>
        <v>Complete</v>
      </c>
      <c r="I16372" s="48" t="s">
        <v>20737</v>
      </c>
    </row>
    <row r="16373" spans="2:9" ht="15" customHeight="1" x14ac:dyDescent="0.25">
      <c r="B16373" s="55" t="s">
        <v>282</v>
      </c>
      <c r="C16373" s="46">
        <v>1361</v>
      </c>
      <c r="D16373" s="69" t="s">
        <v>29419</v>
      </c>
      <c r="E16373" s="51"/>
      <c r="F16373" s="114" t="str">
        <f>IF(INDEX(I.Facility.P3IDNumber,1361)="","",INDEX(I.Facility.P3IDNumber,1361))</f>
        <v/>
      </c>
      <c r="G16373" s="51"/>
      <c r="H16373" s="46" t="str">
        <f>IF(AND(I.Developer.P3=TRUE,I.Facility.P3FacilityCount&gt;=1361,F16373=""),"Incomplete","Complete")</f>
        <v>Complete</v>
      </c>
      <c r="I16373" s="48" t="s">
        <v>20738</v>
      </c>
    </row>
    <row r="16374" spans="2:9" ht="15" customHeight="1" x14ac:dyDescent="0.25">
      <c r="B16374" s="55" t="s">
        <v>282</v>
      </c>
      <c r="C16374" s="46">
        <v>1362</v>
      </c>
      <c r="D16374" s="69" t="s">
        <v>29419</v>
      </c>
      <c r="E16374" s="51"/>
      <c r="F16374" s="114" t="str">
        <f>IF(INDEX(I.Facility.P3IDNumber,1362)="","",INDEX(I.Facility.P3IDNumber,1362))</f>
        <v/>
      </c>
      <c r="G16374" s="51"/>
      <c r="H16374" s="46" t="str">
        <f>IF(AND(I.Developer.P3=TRUE,I.Facility.P3FacilityCount&gt;=1362,F16374=""),"Incomplete","Complete")</f>
        <v>Complete</v>
      </c>
      <c r="I16374" s="48" t="s">
        <v>20739</v>
      </c>
    </row>
    <row r="16375" spans="2:9" ht="15" customHeight="1" x14ac:dyDescent="0.25">
      <c r="B16375" s="55" t="s">
        <v>282</v>
      </c>
      <c r="C16375" s="46">
        <v>1363</v>
      </c>
      <c r="D16375" s="69" t="s">
        <v>29419</v>
      </c>
      <c r="E16375" s="51"/>
      <c r="F16375" s="114" t="str">
        <f>IF(INDEX(I.Facility.P3IDNumber,1363)="","",INDEX(I.Facility.P3IDNumber,1363))</f>
        <v/>
      </c>
      <c r="G16375" s="51"/>
      <c r="H16375" s="46" t="str">
        <f>IF(AND(I.Developer.P3=TRUE,I.Facility.P3FacilityCount&gt;=1363,F16375=""),"Incomplete","Complete")</f>
        <v>Complete</v>
      </c>
      <c r="I16375" s="48" t="s">
        <v>20740</v>
      </c>
    </row>
    <row r="16376" spans="2:9" ht="15" customHeight="1" x14ac:dyDescent="0.25">
      <c r="B16376" s="55" t="s">
        <v>282</v>
      </c>
      <c r="C16376" s="46">
        <v>1364</v>
      </c>
      <c r="D16376" s="69" t="s">
        <v>29419</v>
      </c>
      <c r="E16376" s="51"/>
      <c r="F16376" s="114" t="str">
        <f>IF(INDEX(I.Facility.P3IDNumber,1364)="","",INDEX(I.Facility.P3IDNumber,1364))</f>
        <v/>
      </c>
      <c r="G16376" s="51"/>
      <c r="H16376" s="46" t="str">
        <f>IF(AND(I.Developer.P3=TRUE,I.Facility.P3FacilityCount&gt;=1364,F16376=""),"Incomplete","Complete")</f>
        <v>Complete</v>
      </c>
      <c r="I16376" s="48" t="s">
        <v>20741</v>
      </c>
    </row>
    <row r="16377" spans="2:9" ht="15" customHeight="1" x14ac:dyDescent="0.25">
      <c r="B16377" s="55" t="s">
        <v>282</v>
      </c>
      <c r="C16377" s="46">
        <v>1365</v>
      </c>
      <c r="D16377" s="69" t="s">
        <v>29419</v>
      </c>
      <c r="E16377" s="51"/>
      <c r="F16377" s="114" t="str">
        <f>IF(INDEX(I.Facility.P3IDNumber,1365)="","",INDEX(I.Facility.P3IDNumber,1365))</f>
        <v/>
      </c>
      <c r="G16377" s="51"/>
      <c r="H16377" s="46" t="str">
        <f>IF(AND(I.Developer.P3=TRUE,I.Facility.P3FacilityCount&gt;=1365,F16377=""),"Incomplete","Complete")</f>
        <v>Complete</v>
      </c>
      <c r="I16377" s="48" t="s">
        <v>20742</v>
      </c>
    </row>
    <row r="16378" spans="2:9" ht="15" customHeight="1" x14ac:dyDescent="0.25">
      <c r="B16378" s="55" t="s">
        <v>282</v>
      </c>
      <c r="C16378" s="46">
        <v>1366</v>
      </c>
      <c r="D16378" s="69" t="s">
        <v>29419</v>
      </c>
      <c r="E16378" s="51"/>
      <c r="F16378" s="114" t="str">
        <f>IF(INDEX(I.Facility.P3IDNumber,1366)="","",INDEX(I.Facility.P3IDNumber,1366))</f>
        <v/>
      </c>
      <c r="G16378" s="51"/>
      <c r="H16378" s="46" t="str">
        <f>IF(AND(I.Developer.P3=TRUE,I.Facility.P3FacilityCount&gt;=1366,F16378=""),"Incomplete","Complete")</f>
        <v>Complete</v>
      </c>
      <c r="I16378" s="48" t="s">
        <v>20743</v>
      </c>
    </row>
    <row r="16379" spans="2:9" ht="15" customHeight="1" x14ac:dyDescent="0.25">
      <c r="B16379" s="55" t="s">
        <v>282</v>
      </c>
      <c r="C16379" s="46">
        <v>1367</v>
      </c>
      <c r="D16379" s="69" t="s">
        <v>29419</v>
      </c>
      <c r="E16379" s="51"/>
      <c r="F16379" s="114" t="str">
        <f>IF(INDEX(I.Facility.P3IDNumber,1367)="","",INDEX(I.Facility.P3IDNumber,1367))</f>
        <v/>
      </c>
      <c r="G16379" s="51"/>
      <c r="H16379" s="46" t="str">
        <f>IF(AND(I.Developer.P3=TRUE,I.Facility.P3FacilityCount&gt;=1367,F16379=""),"Incomplete","Complete")</f>
        <v>Complete</v>
      </c>
      <c r="I16379" s="48" t="s">
        <v>20744</v>
      </c>
    </row>
    <row r="16380" spans="2:9" ht="15" customHeight="1" x14ac:dyDescent="0.25">
      <c r="B16380" s="55" t="s">
        <v>282</v>
      </c>
      <c r="C16380" s="46">
        <v>1368</v>
      </c>
      <c r="D16380" s="69" t="s">
        <v>29419</v>
      </c>
      <c r="E16380" s="51"/>
      <c r="F16380" s="114" t="str">
        <f>IF(INDEX(I.Facility.P3IDNumber,1368)="","",INDEX(I.Facility.P3IDNumber,1368))</f>
        <v/>
      </c>
      <c r="G16380" s="51"/>
      <c r="H16380" s="46" t="str">
        <f>IF(AND(I.Developer.P3=TRUE,I.Facility.P3FacilityCount&gt;=1368,F16380=""),"Incomplete","Complete")</f>
        <v>Complete</v>
      </c>
      <c r="I16380" s="48" t="s">
        <v>20745</v>
      </c>
    </row>
    <row r="16381" spans="2:9" ht="15" customHeight="1" x14ac:dyDescent="0.25">
      <c r="B16381" s="55" t="s">
        <v>282</v>
      </c>
      <c r="C16381" s="46">
        <v>1369</v>
      </c>
      <c r="D16381" s="69" t="s">
        <v>29419</v>
      </c>
      <c r="E16381" s="51"/>
      <c r="F16381" s="114" t="str">
        <f>IF(INDEX(I.Facility.P3IDNumber,1369)="","",INDEX(I.Facility.P3IDNumber,1369))</f>
        <v/>
      </c>
      <c r="G16381" s="51"/>
      <c r="H16381" s="46" t="str">
        <f>IF(AND(I.Developer.P3=TRUE,I.Facility.P3FacilityCount&gt;=1369,F16381=""),"Incomplete","Complete")</f>
        <v>Complete</v>
      </c>
      <c r="I16381" s="48" t="s">
        <v>20746</v>
      </c>
    </row>
    <row r="16382" spans="2:9" ht="15" customHeight="1" x14ac:dyDescent="0.25">
      <c r="B16382" s="55" t="s">
        <v>282</v>
      </c>
      <c r="C16382" s="46">
        <v>1370</v>
      </c>
      <c r="D16382" s="69" t="s">
        <v>29419</v>
      </c>
      <c r="E16382" s="51"/>
      <c r="F16382" s="114" t="str">
        <f>IF(INDEX(I.Facility.P3IDNumber,1370)="","",INDEX(I.Facility.P3IDNumber,1370))</f>
        <v/>
      </c>
      <c r="G16382" s="51"/>
      <c r="H16382" s="46" t="str">
        <f>IF(AND(I.Developer.P3=TRUE,I.Facility.P3FacilityCount&gt;=1370,F16382=""),"Incomplete","Complete")</f>
        <v>Complete</v>
      </c>
      <c r="I16382" s="48" t="s">
        <v>20747</v>
      </c>
    </row>
    <row r="16383" spans="2:9" ht="15" customHeight="1" x14ac:dyDescent="0.25">
      <c r="B16383" s="55" t="s">
        <v>282</v>
      </c>
      <c r="C16383" s="46">
        <v>1371</v>
      </c>
      <c r="D16383" s="69" t="s">
        <v>29419</v>
      </c>
      <c r="E16383" s="51"/>
      <c r="F16383" s="114" t="str">
        <f>IF(INDEX(I.Facility.P3IDNumber,1371)="","",INDEX(I.Facility.P3IDNumber,1371))</f>
        <v/>
      </c>
      <c r="G16383" s="51"/>
      <c r="H16383" s="46" t="str">
        <f>IF(AND(I.Developer.P3=TRUE,I.Facility.P3FacilityCount&gt;=1371,F16383=""),"Incomplete","Complete")</f>
        <v>Complete</v>
      </c>
      <c r="I16383" s="48" t="s">
        <v>20748</v>
      </c>
    </row>
    <row r="16384" spans="2:9" ht="15" customHeight="1" x14ac:dyDescent="0.25">
      <c r="B16384" s="55" t="s">
        <v>282</v>
      </c>
      <c r="C16384" s="46">
        <v>1372</v>
      </c>
      <c r="D16384" s="69" t="s">
        <v>29419</v>
      </c>
      <c r="E16384" s="51"/>
      <c r="F16384" s="114" t="str">
        <f>IF(INDEX(I.Facility.P3IDNumber,1372)="","",INDEX(I.Facility.P3IDNumber,1372))</f>
        <v/>
      </c>
      <c r="G16384" s="51"/>
      <c r="H16384" s="46" t="str">
        <f>IF(AND(I.Developer.P3=TRUE,I.Facility.P3FacilityCount&gt;=1372,F16384=""),"Incomplete","Complete")</f>
        <v>Complete</v>
      </c>
      <c r="I16384" s="48" t="s">
        <v>20749</v>
      </c>
    </row>
    <row r="16385" spans="2:9" ht="15" customHeight="1" x14ac:dyDescent="0.25">
      <c r="B16385" s="55" t="s">
        <v>282</v>
      </c>
      <c r="C16385" s="46">
        <v>1373</v>
      </c>
      <c r="D16385" s="69" t="s">
        <v>29419</v>
      </c>
      <c r="E16385" s="51"/>
      <c r="F16385" s="114" t="str">
        <f>IF(INDEX(I.Facility.P3IDNumber,1373)="","",INDEX(I.Facility.P3IDNumber,1373))</f>
        <v/>
      </c>
      <c r="G16385" s="51"/>
      <c r="H16385" s="46" t="str">
        <f>IF(AND(I.Developer.P3=TRUE,I.Facility.P3FacilityCount&gt;=1373,F16385=""),"Incomplete","Complete")</f>
        <v>Complete</v>
      </c>
      <c r="I16385" s="48" t="s">
        <v>20750</v>
      </c>
    </row>
    <row r="16386" spans="2:9" ht="15" customHeight="1" x14ac:dyDescent="0.25">
      <c r="B16386" s="55" t="s">
        <v>282</v>
      </c>
      <c r="C16386" s="46">
        <v>1374</v>
      </c>
      <c r="D16386" s="69" t="s">
        <v>29419</v>
      </c>
      <c r="E16386" s="51"/>
      <c r="F16386" s="114" t="str">
        <f>IF(INDEX(I.Facility.P3IDNumber,1374)="","",INDEX(I.Facility.P3IDNumber,1374))</f>
        <v/>
      </c>
      <c r="G16386" s="51"/>
      <c r="H16386" s="46" t="str">
        <f>IF(AND(I.Developer.P3=TRUE,I.Facility.P3FacilityCount&gt;=1374,F16386=""),"Incomplete","Complete")</f>
        <v>Complete</v>
      </c>
      <c r="I16386" s="48" t="s">
        <v>20751</v>
      </c>
    </row>
    <row r="16387" spans="2:9" ht="15" customHeight="1" x14ac:dyDescent="0.25">
      <c r="B16387" s="55" t="s">
        <v>282</v>
      </c>
      <c r="C16387" s="46">
        <v>1375</v>
      </c>
      <c r="D16387" s="69" t="s">
        <v>29419</v>
      </c>
      <c r="E16387" s="51"/>
      <c r="F16387" s="114" t="str">
        <f>IF(INDEX(I.Facility.P3IDNumber,1375)="","",INDEX(I.Facility.P3IDNumber,1375))</f>
        <v/>
      </c>
      <c r="G16387" s="51"/>
      <c r="H16387" s="46" t="str">
        <f>IF(AND(I.Developer.P3=TRUE,I.Facility.P3FacilityCount&gt;=1375,F16387=""),"Incomplete","Complete")</f>
        <v>Complete</v>
      </c>
      <c r="I16387" s="48" t="s">
        <v>20752</v>
      </c>
    </row>
    <row r="16388" spans="2:9" ht="15" customHeight="1" x14ac:dyDescent="0.25">
      <c r="B16388" s="55" t="s">
        <v>282</v>
      </c>
      <c r="C16388" s="46">
        <v>1376</v>
      </c>
      <c r="D16388" s="69" t="s">
        <v>29419</v>
      </c>
      <c r="E16388" s="51"/>
      <c r="F16388" s="114" t="str">
        <f>IF(INDEX(I.Facility.P3IDNumber,1376)="","",INDEX(I.Facility.P3IDNumber,1376))</f>
        <v/>
      </c>
      <c r="G16388" s="51"/>
      <c r="H16388" s="46" t="str">
        <f>IF(AND(I.Developer.P3=TRUE,I.Facility.P3FacilityCount&gt;=1376,F16388=""),"Incomplete","Complete")</f>
        <v>Complete</v>
      </c>
      <c r="I16388" s="48" t="s">
        <v>20753</v>
      </c>
    </row>
    <row r="16389" spans="2:9" ht="15" customHeight="1" x14ac:dyDescent="0.25">
      <c r="B16389" s="55" t="s">
        <v>282</v>
      </c>
      <c r="C16389" s="46">
        <v>1377</v>
      </c>
      <c r="D16389" s="69" t="s">
        <v>29419</v>
      </c>
      <c r="E16389" s="51"/>
      <c r="F16389" s="114" t="str">
        <f>IF(INDEX(I.Facility.P3IDNumber,1377)="","",INDEX(I.Facility.P3IDNumber,1377))</f>
        <v/>
      </c>
      <c r="G16389" s="51"/>
      <c r="H16389" s="46" t="str">
        <f>IF(AND(I.Developer.P3=TRUE,I.Facility.P3FacilityCount&gt;=1377,F16389=""),"Incomplete","Complete")</f>
        <v>Complete</v>
      </c>
      <c r="I16389" s="48" t="s">
        <v>20754</v>
      </c>
    </row>
    <row r="16390" spans="2:9" ht="15" customHeight="1" x14ac:dyDescent="0.25">
      <c r="B16390" s="55" t="s">
        <v>282</v>
      </c>
      <c r="C16390" s="46">
        <v>1378</v>
      </c>
      <c r="D16390" s="69" t="s">
        <v>29419</v>
      </c>
      <c r="E16390" s="51"/>
      <c r="F16390" s="114" t="str">
        <f>IF(INDEX(I.Facility.P3IDNumber,1378)="","",INDEX(I.Facility.P3IDNumber,1378))</f>
        <v/>
      </c>
      <c r="G16390" s="51"/>
      <c r="H16390" s="46" t="str">
        <f>IF(AND(I.Developer.P3=TRUE,I.Facility.P3FacilityCount&gt;=1378,F16390=""),"Incomplete","Complete")</f>
        <v>Complete</v>
      </c>
      <c r="I16390" s="48" t="s">
        <v>20755</v>
      </c>
    </row>
    <row r="16391" spans="2:9" ht="15" customHeight="1" x14ac:dyDescent="0.25">
      <c r="B16391" s="55" t="s">
        <v>282</v>
      </c>
      <c r="C16391" s="46">
        <v>1379</v>
      </c>
      <c r="D16391" s="69" t="s">
        <v>29419</v>
      </c>
      <c r="E16391" s="51"/>
      <c r="F16391" s="114" t="str">
        <f>IF(INDEX(I.Facility.P3IDNumber,1379)="","",INDEX(I.Facility.P3IDNumber,1379))</f>
        <v/>
      </c>
      <c r="G16391" s="51"/>
      <c r="H16391" s="46" t="str">
        <f>IF(AND(I.Developer.P3=TRUE,I.Facility.P3FacilityCount&gt;=1379,F16391=""),"Incomplete","Complete")</f>
        <v>Complete</v>
      </c>
      <c r="I16391" s="48" t="s">
        <v>20756</v>
      </c>
    </row>
    <row r="16392" spans="2:9" ht="15" customHeight="1" x14ac:dyDescent="0.25">
      <c r="B16392" s="55" t="s">
        <v>282</v>
      </c>
      <c r="C16392" s="46">
        <v>1380</v>
      </c>
      <c r="D16392" s="69" t="s">
        <v>29419</v>
      </c>
      <c r="E16392" s="51"/>
      <c r="F16392" s="114" t="str">
        <f>IF(INDEX(I.Facility.P3IDNumber,1380)="","",INDEX(I.Facility.P3IDNumber,1380))</f>
        <v/>
      </c>
      <c r="G16392" s="51"/>
      <c r="H16392" s="46" t="str">
        <f>IF(AND(I.Developer.P3=TRUE,I.Facility.P3FacilityCount&gt;=1380,F16392=""),"Incomplete","Complete")</f>
        <v>Complete</v>
      </c>
      <c r="I16392" s="48" t="s">
        <v>20757</v>
      </c>
    </row>
    <row r="16393" spans="2:9" ht="15" customHeight="1" x14ac:dyDescent="0.25">
      <c r="B16393" s="55" t="s">
        <v>282</v>
      </c>
      <c r="C16393" s="46">
        <v>1381</v>
      </c>
      <c r="D16393" s="69" t="s">
        <v>29419</v>
      </c>
      <c r="E16393" s="51"/>
      <c r="F16393" s="114" t="str">
        <f>IF(INDEX(I.Facility.P3IDNumber,1381)="","",INDEX(I.Facility.P3IDNumber,1381))</f>
        <v/>
      </c>
      <c r="G16393" s="51"/>
      <c r="H16393" s="46" t="str">
        <f>IF(AND(I.Developer.P3=TRUE,I.Facility.P3FacilityCount&gt;=1381,F16393=""),"Incomplete","Complete")</f>
        <v>Complete</v>
      </c>
      <c r="I16393" s="48" t="s">
        <v>20758</v>
      </c>
    </row>
    <row r="16394" spans="2:9" ht="15" customHeight="1" x14ac:dyDescent="0.25">
      <c r="B16394" s="55" t="s">
        <v>282</v>
      </c>
      <c r="C16394" s="46">
        <v>1382</v>
      </c>
      <c r="D16394" s="69" t="s">
        <v>29419</v>
      </c>
      <c r="E16394" s="51"/>
      <c r="F16394" s="114" t="str">
        <f>IF(INDEX(I.Facility.P3IDNumber,1382)="","",INDEX(I.Facility.P3IDNumber,1382))</f>
        <v/>
      </c>
      <c r="G16394" s="51"/>
      <c r="H16394" s="46" t="str">
        <f>IF(AND(I.Developer.P3=TRUE,I.Facility.P3FacilityCount&gt;=1382,F16394=""),"Incomplete","Complete")</f>
        <v>Complete</v>
      </c>
      <c r="I16394" s="48" t="s">
        <v>20759</v>
      </c>
    </row>
    <row r="16395" spans="2:9" ht="15" customHeight="1" x14ac:dyDescent="0.25">
      <c r="B16395" s="55" t="s">
        <v>282</v>
      </c>
      <c r="C16395" s="46">
        <v>1383</v>
      </c>
      <c r="D16395" s="69" t="s">
        <v>29419</v>
      </c>
      <c r="E16395" s="51"/>
      <c r="F16395" s="114" t="str">
        <f>IF(INDEX(I.Facility.P3IDNumber,1383)="","",INDEX(I.Facility.P3IDNumber,1383))</f>
        <v/>
      </c>
      <c r="G16395" s="51"/>
      <c r="H16395" s="46" t="str">
        <f>IF(AND(I.Developer.P3=TRUE,I.Facility.P3FacilityCount&gt;=1383,F16395=""),"Incomplete","Complete")</f>
        <v>Complete</v>
      </c>
      <c r="I16395" s="48" t="s">
        <v>20760</v>
      </c>
    </row>
    <row r="16396" spans="2:9" ht="15" customHeight="1" x14ac:dyDescent="0.25">
      <c r="B16396" s="55" t="s">
        <v>282</v>
      </c>
      <c r="C16396" s="46">
        <v>1384</v>
      </c>
      <c r="D16396" s="69" t="s">
        <v>29419</v>
      </c>
      <c r="E16396" s="51"/>
      <c r="F16396" s="114" t="str">
        <f>IF(INDEX(I.Facility.P3IDNumber,1384)="","",INDEX(I.Facility.P3IDNumber,1384))</f>
        <v/>
      </c>
      <c r="G16396" s="51"/>
      <c r="H16396" s="46" t="str">
        <f>IF(AND(I.Developer.P3=TRUE,I.Facility.P3FacilityCount&gt;=1384,F16396=""),"Incomplete","Complete")</f>
        <v>Complete</v>
      </c>
      <c r="I16396" s="48" t="s">
        <v>20761</v>
      </c>
    </row>
    <row r="16397" spans="2:9" ht="15" customHeight="1" x14ac:dyDescent="0.25">
      <c r="B16397" s="55" t="s">
        <v>282</v>
      </c>
      <c r="C16397" s="46">
        <v>1385</v>
      </c>
      <c r="D16397" s="69" t="s">
        <v>29419</v>
      </c>
      <c r="E16397" s="51"/>
      <c r="F16397" s="114" t="str">
        <f>IF(INDEX(I.Facility.P3IDNumber,1385)="","",INDEX(I.Facility.P3IDNumber,1385))</f>
        <v/>
      </c>
      <c r="G16397" s="51"/>
      <c r="H16397" s="46" t="str">
        <f>IF(AND(I.Developer.P3=TRUE,I.Facility.P3FacilityCount&gt;=1385,F16397=""),"Incomplete","Complete")</f>
        <v>Complete</v>
      </c>
      <c r="I16397" s="48" t="s">
        <v>20762</v>
      </c>
    </row>
    <row r="16398" spans="2:9" ht="15" customHeight="1" x14ac:dyDescent="0.25">
      <c r="B16398" s="55" t="s">
        <v>282</v>
      </c>
      <c r="C16398" s="46">
        <v>1386</v>
      </c>
      <c r="D16398" s="69" t="s">
        <v>29419</v>
      </c>
      <c r="E16398" s="51"/>
      <c r="F16398" s="114" t="str">
        <f>IF(INDEX(I.Facility.P3IDNumber,1386)="","",INDEX(I.Facility.P3IDNumber,1386))</f>
        <v/>
      </c>
      <c r="G16398" s="51"/>
      <c r="H16398" s="46" t="str">
        <f>IF(AND(I.Developer.P3=TRUE,I.Facility.P3FacilityCount&gt;=1386,F16398=""),"Incomplete","Complete")</f>
        <v>Complete</v>
      </c>
      <c r="I16398" s="48" t="s">
        <v>20763</v>
      </c>
    </row>
    <row r="16399" spans="2:9" ht="15" customHeight="1" x14ac:dyDescent="0.25">
      <c r="B16399" s="55" t="s">
        <v>282</v>
      </c>
      <c r="C16399" s="46">
        <v>1387</v>
      </c>
      <c r="D16399" s="69" t="s">
        <v>29419</v>
      </c>
      <c r="E16399" s="51"/>
      <c r="F16399" s="114" t="str">
        <f>IF(INDEX(I.Facility.P3IDNumber,1387)="","",INDEX(I.Facility.P3IDNumber,1387))</f>
        <v/>
      </c>
      <c r="G16399" s="51"/>
      <c r="H16399" s="46" t="str">
        <f>IF(AND(I.Developer.P3=TRUE,I.Facility.P3FacilityCount&gt;=1387,F16399=""),"Incomplete","Complete")</f>
        <v>Complete</v>
      </c>
      <c r="I16399" s="48" t="s">
        <v>20764</v>
      </c>
    </row>
    <row r="16400" spans="2:9" ht="15" customHeight="1" x14ac:dyDescent="0.25">
      <c r="B16400" s="55" t="s">
        <v>282</v>
      </c>
      <c r="C16400" s="46">
        <v>1388</v>
      </c>
      <c r="D16400" s="69" t="s">
        <v>29419</v>
      </c>
      <c r="E16400" s="51"/>
      <c r="F16400" s="114" t="str">
        <f>IF(INDEX(I.Facility.P3IDNumber,1388)="","",INDEX(I.Facility.P3IDNumber,1388))</f>
        <v/>
      </c>
      <c r="G16400" s="51"/>
      <c r="H16400" s="46" t="str">
        <f>IF(AND(I.Developer.P3=TRUE,I.Facility.P3FacilityCount&gt;=1388,F16400=""),"Incomplete","Complete")</f>
        <v>Complete</v>
      </c>
      <c r="I16400" s="48" t="s">
        <v>20765</v>
      </c>
    </row>
    <row r="16401" spans="2:9" ht="15" customHeight="1" x14ac:dyDescent="0.25">
      <c r="B16401" s="55" t="s">
        <v>282</v>
      </c>
      <c r="C16401" s="46">
        <v>1389</v>
      </c>
      <c r="D16401" s="69" t="s">
        <v>29419</v>
      </c>
      <c r="E16401" s="51"/>
      <c r="F16401" s="114" t="str">
        <f>IF(INDEX(I.Facility.P3IDNumber,1389)="","",INDEX(I.Facility.P3IDNumber,1389))</f>
        <v/>
      </c>
      <c r="G16401" s="51"/>
      <c r="H16401" s="46" t="str">
        <f>IF(AND(I.Developer.P3=TRUE,I.Facility.P3FacilityCount&gt;=1389,F16401=""),"Incomplete","Complete")</f>
        <v>Complete</v>
      </c>
      <c r="I16401" s="48" t="s">
        <v>20766</v>
      </c>
    </row>
    <row r="16402" spans="2:9" ht="15" customHeight="1" x14ac:dyDescent="0.25">
      <c r="B16402" s="55" t="s">
        <v>282</v>
      </c>
      <c r="C16402" s="46">
        <v>1390</v>
      </c>
      <c r="D16402" s="69" t="s">
        <v>29419</v>
      </c>
      <c r="E16402" s="51"/>
      <c r="F16402" s="114" t="str">
        <f>IF(INDEX(I.Facility.P3IDNumber,1390)="","",INDEX(I.Facility.P3IDNumber,1390))</f>
        <v/>
      </c>
      <c r="G16402" s="51"/>
      <c r="H16402" s="46" t="str">
        <f>IF(AND(I.Developer.P3=TRUE,I.Facility.P3FacilityCount&gt;=1390,F16402=""),"Incomplete","Complete")</f>
        <v>Complete</v>
      </c>
      <c r="I16402" s="48" t="s">
        <v>20767</v>
      </c>
    </row>
    <row r="16403" spans="2:9" ht="15" customHeight="1" x14ac:dyDescent="0.25">
      <c r="B16403" s="55" t="s">
        <v>282</v>
      </c>
      <c r="C16403" s="46">
        <v>1391</v>
      </c>
      <c r="D16403" s="69" t="s">
        <v>29419</v>
      </c>
      <c r="E16403" s="51"/>
      <c r="F16403" s="114" t="str">
        <f>IF(INDEX(I.Facility.P3IDNumber,1391)="","",INDEX(I.Facility.P3IDNumber,1391))</f>
        <v/>
      </c>
      <c r="G16403" s="51"/>
      <c r="H16403" s="46" t="str">
        <f>IF(AND(I.Developer.P3=TRUE,I.Facility.P3FacilityCount&gt;=1391,F16403=""),"Incomplete","Complete")</f>
        <v>Complete</v>
      </c>
      <c r="I16403" s="48" t="s">
        <v>20768</v>
      </c>
    </row>
    <row r="16404" spans="2:9" ht="15" customHeight="1" x14ac:dyDescent="0.25">
      <c r="B16404" s="55" t="s">
        <v>282</v>
      </c>
      <c r="C16404" s="46">
        <v>1392</v>
      </c>
      <c r="D16404" s="69" t="s">
        <v>29419</v>
      </c>
      <c r="E16404" s="51"/>
      <c r="F16404" s="114" t="str">
        <f>IF(INDEX(I.Facility.P3IDNumber,1392)="","",INDEX(I.Facility.P3IDNumber,1392))</f>
        <v/>
      </c>
      <c r="G16404" s="51"/>
      <c r="H16404" s="46" t="str">
        <f>IF(AND(I.Developer.P3=TRUE,I.Facility.P3FacilityCount&gt;=1392,F16404=""),"Incomplete","Complete")</f>
        <v>Complete</v>
      </c>
      <c r="I16404" s="48" t="s">
        <v>20769</v>
      </c>
    </row>
    <row r="16405" spans="2:9" ht="15" customHeight="1" x14ac:dyDescent="0.25">
      <c r="B16405" s="55" t="s">
        <v>282</v>
      </c>
      <c r="C16405" s="46">
        <v>1393</v>
      </c>
      <c r="D16405" s="69" t="s">
        <v>29419</v>
      </c>
      <c r="E16405" s="51"/>
      <c r="F16405" s="114" t="str">
        <f>IF(INDEX(I.Facility.P3IDNumber,1393)="","",INDEX(I.Facility.P3IDNumber,1393))</f>
        <v/>
      </c>
      <c r="G16405" s="51"/>
      <c r="H16405" s="46" t="str">
        <f>IF(AND(I.Developer.P3=TRUE,I.Facility.P3FacilityCount&gt;=1393,F16405=""),"Incomplete","Complete")</f>
        <v>Complete</v>
      </c>
      <c r="I16405" s="48" t="s">
        <v>20770</v>
      </c>
    </row>
    <row r="16406" spans="2:9" ht="15" customHeight="1" x14ac:dyDescent="0.25">
      <c r="B16406" s="55" t="s">
        <v>282</v>
      </c>
      <c r="C16406" s="46">
        <v>1394</v>
      </c>
      <c r="D16406" s="69" t="s">
        <v>29419</v>
      </c>
      <c r="E16406" s="51"/>
      <c r="F16406" s="114" t="str">
        <f>IF(INDEX(I.Facility.P3IDNumber,1394)="","",INDEX(I.Facility.P3IDNumber,1394))</f>
        <v/>
      </c>
      <c r="G16406" s="51"/>
      <c r="H16406" s="46" t="str">
        <f>IF(AND(I.Developer.P3=TRUE,I.Facility.P3FacilityCount&gt;=1394,F16406=""),"Incomplete","Complete")</f>
        <v>Complete</v>
      </c>
      <c r="I16406" s="48" t="s">
        <v>20771</v>
      </c>
    </row>
    <row r="16407" spans="2:9" ht="15" customHeight="1" x14ac:dyDescent="0.25">
      <c r="B16407" s="55" t="s">
        <v>282</v>
      </c>
      <c r="C16407" s="46">
        <v>1395</v>
      </c>
      <c r="D16407" s="69" t="s">
        <v>29419</v>
      </c>
      <c r="E16407" s="51"/>
      <c r="F16407" s="114" t="str">
        <f>IF(INDEX(I.Facility.P3IDNumber,1395)="","",INDEX(I.Facility.P3IDNumber,1395))</f>
        <v/>
      </c>
      <c r="G16407" s="51"/>
      <c r="H16407" s="46" t="str">
        <f>IF(AND(I.Developer.P3=TRUE,I.Facility.P3FacilityCount&gt;=1395,F16407=""),"Incomplete","Complete")</f>
        <v>Complete</v>
      </c>
      <c r="I16407" s="48" t="s">
        <v>20772</v>
      </c>
    </row>
    <row r="16408" spans="2:9" ht="15" customHeight="1" x14ac:dyDescent="0.25">
      <c r="B16408" s="55" t="s">
        <v>282</v>
      </c>
      <c r="C16408" s="46">
        <v>1396</v>
      </c>
      <c r="D16408" s="69" t="s">
        <v>29419</v>
      </c>
      <c r="E16408" s="51"/>
      <c r="F16408" s="114" t="str">
        <f>IF(INDEX(I.Facility.P3IDNumber,1396)="","",INDEX(I.Facility.P3IDNumber,1396))</f>
        <v/>
      </c>
      <c r="G16408" s="51"/>
      <c r="H16408" s="46" t="str">
        <f>IF(AND(I.Developer.P3=TRUE,I.Facility.P3FacilityCount&gt;=1396,F16408=""),"Incomplete","Complete")</f>
        <v>Complete</v>
      </c>
      <c r="I16408" s="48" t="s">
        <v>20773</v>
      </c>
    </row>
    <row r="16409" spans="2:9" ht="15" customHeight="1" x14ac:dyDescent="0.25">
      <c r="B16409" s="55" t="s">
        <v>282</v>
      </c>
      <c r="C16409" s="46">
        <v>1397</v>
      </c>
      <c r="D16409" s="69" t="s">
        <v>29419</v>
      </c>
      <c r="E16409" s="51"/>
      <c r="F16409" s="114" t="str">
        <f>IF(INDEX(I.Facility.P3IDNumber,1397)="","",INDEX(I.Facility.P3IDNumber,1397))</f>
        <v/>
      </c>
      <c r="G16409" s="51"/>
      <c r="H16409" s="46" t="str">
        <f>IF(AND(I.Developer.P3=TRUE,I.Facility.P3FacilityCount&gt;=1397,F16409=""),"Incomplete","Complete")</f>
        <v>Complete</v>
      </c>
      <c r="I16409" s="48" t="s">
        <v>20774</v>
      </c>
    </row>
    <row r="16410" spans="2:9" ht="15" customHeight="1" x14ac:dyDescent="0.25">
      <c r="B16410" s="55" t="s">
        <v>282</v>
      </c>
      <c r="C16410" s="46">
        <v>1398</v>
      </c>
      <c r="D16410" s="69" t="s">
        <v>29419</v>
      </c>
      <c r="E16410" s="51"/>
      <c r="F16410" s="114" t="str">
        <f>IF(INDEX(I.Facility.P3IDNumber,1398)="","",INDEX(I.Facility.P3IDNumber,1398))</f>
        <v/>
      </c>
      <c r="G16410" s="51"/>
      <c r="H16410" s="46" t="str">
        <f>IF(AND(I.Developer.P3=TRUE,I.Facility.P3FacilityCount&gt;=1398,F16410=""),"Incomplete","Complete")</f>
        <v>Complete</v>
      </c>
      <c r="I16410" s="48" t="s">
        <v>20775</v>
      </c>
    </row>
    <row r="16411" spans="2:9" ht="15" customHeight="1" x14ac:dyDescent="0.25">
      <c r="B16411" s="55" t="s">
        <v>282</v>
      </c>
      <c r="C16411" s="46">
        <v>1399</v>
      </c>
      <c r="D16411" s="69" t="s">
        <v>29419</v>
      </c>
      <c r="E16411" s="51"/>
      <c r="F16411" s="114" t="str">
        <f>IF(INDEX(I.Facility.P3IDNumber,1399)="","",INDEX(I.Facility.P3IDNumber,1399))</f>
        <v/>
      </c>
      <c r="G16411" s="51"/>
      <c r="H16411" s="46" t="str">
        <f>IF(AND(I.Developer.P3=TRUE,I.Facility.P3FacilityCount&gt;=1399,F16411=""),"Incomplete","Complete")</f>
        <v>Complete</v>
      </c>
      <c r="I16411" s="48" t="s">
        <v>20776</v>
      </c>
    </row>
    <row r="16412" spans="2:9" ht="15" customHeight="1" x14ac:dyDescent="0.25">
      <c r="B16412" s="55" t="s">
        <v>282</v>
      </c>
      <c r="C16412" s="46">
        <v>1400</v>
      </c>
      <c r="D16412" s="69" t="s">
        <v>29419</v>
      </c>
      <c r="E16412" s="51"/>
      <c r="F16412" s="114" t="str">
        <f>IF(INDEX(I.Facility.P3IDNumber,1400)="","",INDEX(I.Facility.P3IDNumber,1400))</f>
        <v/>
      </c>
      <c r="G16412" s="51"/>
      <c r="H16412" s="46" t="str">
        <f>IF(AND(I.Developer.P3=TRUE,I.Facility.P3FacilityCount&gt;=1400,F16412=""),"Incomplete","Complete")</f>
        <v>Complete</v>
      </c>
      <c r="I16412" s="48" t="s">
        <v>20777</v>
      </c>
    </row>
    <row r="16413" spans="2:9" ht="15" customHeight="1" x14ac:dyDescent="0.25">
      <c r="B16413" s="55" t="s">
        <v>282</v>
      </c>
      <c r="C16413" s="46">
        <v>1401</v>
      </c>
      <c r="D16413" s="69" t="s">
        <v>29419</v>
      </c>
      <c r="E16413" s="51"/>
      <c r="F16413" s="114" t="str">
        <f>IF(INDEX(I.Facility.P3IDNumber,1401)="","",INDEX(I.Facility.P3IDNumber,1401))</f>
        <v/>
      </c>
      <c r="G16413" s="51"/>
      <c r="H16413" s="46" t="str">
        <f>IF(AND(I.Developer.P3=TRUE,I.Facility.P3FacilityCount&gt;=1401,F16413=""),"Incomplete","Complete")</f>
        <v>Complete</v>
      </c>
      <c r="I16413" s="48" t="s">
        <v>20778</v>
      </c>
    </row>
    <row r="16414" spans="2:9" ht="15" customHeight="1" x14ac:dyDescent="0.25">
      <c r="B16414" s="55" t="s">
        <v>282</v>
      </c>
      <c r="C16414" s="46">
        <v>1402</v>
      </c>
      <c r="D16414" s="69" t="s">
        <v>29419</v>
      </c>
      <c r="E16414" s="51"/>
      <c r="F16414" s="114" t="str">
        <f>IF(INDEX(I.Facility.P3IDNumber,1402)="","",INDEX(I.Facility.P3IDNumber,1402))</f>
        <v/>
      </c>
      <c r="G16414" s="51"/>
      <c r="H16414" s="46" t="str">
        <f>IF(AND(I.Developer.P3=TRUE,I.Facility.P3FacilityCount&gt;=1402,F16414=""),"Incomplete","Complete")</f>
        <v>Complete</v>
      </c>
      <c r="I16414" s="48" t="s">
        <v>20779</v>
      </c>
    </row>
    <row r="16415" spans="2:9" ht="15" customHeight="1" x14ac:dyDescent="0.25">
      <c r="B16415" s="55" t="s">
        <v>282</v>
      </c>
      <c r="C16415" s="46">
        <v>1403</v>
      </c>
      <c r="D16415" s="69" t="s">
        <v>29419</v>
      </c>
      <c r="E16415" s="51"/>
      <c r="F16415" s="114" t="str">
        <f>IF(INDEX(I.Facility.P3IDNumber,1403)="","",INDEX(I.Facility.P3IDNumber,1403))</f>
        <v/>
      </c>
      <c r="G16415" s="51"/>
      <c r="H16415" s="46" t="str">
        <f>IF(AND(I.Developer.P3=TRUE,I.Facility.P3FacilityCount&gt;=1403,F16415=""),"Incomplete","Complete")</f>
        <v>Complete</v>
      </c>
      <c r="I16415" s="48" t="s">
        <v>20780</v>
      </c>
    </row>
    <row r="16416" spans="2:9" ht="15" customHeight="1" x14ac:dyDescent="0.25">
      <c r="B16416" s="55" t="s">
        <v>282</v>
      </c>
      <c r="C16416" s="46">
        <v>1404</v>
      </c>
      <c r="D16416" s="69" t="s">
        <v>29419</v>
      </c>
      <c r="E16416" s="51"/>
      <c r="F16416" s="114" t="str">
        <f>IF(INDEX(I.Facility.P3IDNumber,1404)="","",INDEX(I.Facility.P3IDNumber,1404))</f>
        <v/>
      </c>
      <c r="G16416" s="51"/>
      <c r="H16416" s="46" t="str">
        <f>IF(AND(I.Developer.P3=TRUE,I.Facility.P3FacilityCount&gt;=1404,F16416=""),"Incomplete","Complete")</f>
        <v>Complete</v>
      </c>
      <c r="I16416" s="48" t="s">
        <v>20781</v>
      </c>
    </row>
    <row r="16417" spans="2:9" ht="15" customHeight="1" x14ac:dyDescent="0.25">
      <c r="B16417" s="55" t="s">
        <v>282</v>
      </c>
      <c r="C16417" s="46">
        <v>1405</v>
      </c>
      <c r="D16417" s="69" t="s">
        <v>29419</v>
      </c>
      <c r="E16417" s="51"/>
      <c r="F16417" s="114" t="str">
        <f>IF(INDEX(I.Facility.P3IDNumber,1405)="","",INDEX(I.Facility.P3IDNumber,1405))</f>
        <v/>
      </c>
      <c r="G16417" s="51"/>
      <c r="H16417" s="46" t="str">
        <f>IF(AND(I.Developer.P3=TRUE,I.Facility.P3FacilityCount&gt;=1405,F16417=""),"Incomplete","Complete")</f>
        <v>Complete</v>
      </c>
      <c r="I16417" s="48" t="s">
        <v>20782</v>
      </c>
    </row>
    <row r="16418" spans="2:9" ht="15" customHeight="1" x14ac:dyDescent="0.25">
      <c r="B16418" s="55" t="s">
        <v>282</v>
      </c>
      <c r="C16418" s="46">
        <v>1406</v>
      </c>
      <c r="D16418" s="69" t="s">
        <v>29419</v>
      </c>
      <c r="E16418" s="51"/>
      <c r="F16418" s="114" t="str">
        <f>IF(INDEX(I.Facility.P3IDNumber,1406)="","",INDEX(I.Facility.P3IDNumber,1406))</f>
        <v/>
      </c>
      <c r="G16418" s="51"/>
      <c r="H16418" s="46" t="str">
        <f>IF(AND(I.Developer.P3=TRUE,I.Facility.P3FacilityCount&gt;=1406,F16418=""),"Incomplete","Complete")</f>
        <v>Complete</v>
      </c>
      <c r="I16418" s="48" t="s">
        <v>20783</v>
      </c>
    </row>
    <row r="16419" spans="2:9" ht="15" customHeight="1" x14ac:dyDescent="0.25">
      <c r="B16419" s="55" t="s">
        <v>282</v>
      </c>
      <c r="C16419" s="46">
        <v>1407</v>
      </c>
      <c r="D16419" s="69" t="s">
        <v>29419</v>
      </c>
      <c r="E16419" s="51"/>
      <c r="F16419" s="114" t="str">
        <f>IF(INDEX(I.Facility.P3IDNumber,1407)="","",INDEX(I.Facility.P3IDNumber,1407))</f>
        <v/>
      </c>
      <c r="G16419" s="51"/>
      <c r="H16419" s="46" t="str">
        <f>IF(AND(I.Developer.P3=TRUE,I.Facility.P3FacilityCount&gt;=1407,F16419=""),"Incomplete","Complete")</f>
        <v>Complete</v>
      </c>
      <c r="I16419" s="48" t="s">
        <v>20784</v>
      </c>
    </row>
    <row r="16420" spans="2:9" ht="15" customHeight="1" x14ac:dyDescent="0.25">
      <c r="B16420" s="55" t="s">
        <v>282</v>
      </c>
      <c r="C16420" s="46">
        <v>1408</v>
      </c>
      <c r="D16420" s="69" t="s">
        <v>29419</v>
      </c>
      <c r="E16420" s="51"/>
      <c r="F16420" s="114" t="str">
        <f>IF(INDEX(I.Facility.P3IDNumber,1408)="","",INDEX(I.Facility.P3IDNumber,1408))</f>
        <v/>
      </c>
      <c r="G16420" s="51"/>
      <c r="H16420" s="46" t="str">
        <f>IF(AND(I.Developer.P3=TRUE,I.Facility.P3FacilityCount&gt;=1408,F16420=""),"Incomplete","Complete")</f>
        <v>Complete</v>
      </c>
      <c r="I16420" s="48" t="s">
        <v>20785</v>
      </c>
    </row>
    <row r="16421" spans="2:9" ht="15" customHeight="1" x14ac:dyDescent="0.25">
      <c r="B16421" s="55" t="s">
        <v>282</v>
      </c>
      <c r="C16421" s="46">
        <v>1409</v>
      </c>
      <c r="D16421" s="69" t="s">
        <v>29419</v>
      </c>
      <c r="E16421" s="51"/>
      <c r="F16421" s="114" t="str">
        <f>IF(INDEX(I.Facility.P3IDNumber,1409)="","",INDEX(I.Facility.P3IDNumber,1409))</f>
        <v/>
      </c>
      <c r="G16421" s="51"/>
      <c r="H16421" s="46" t="str">
        <f>IF(AND(I.Developer.P3=TRUE,I.Facility.P3FacilityCount&gt;=1409,F16421=""),"Incomplete","Complete")</f>
        <v>Complete</v>
      </c>
      <c r="I16421" s="48" t="s">
        <v>20786</v>
      </c>
    </row>
    <row r="16422" spans="2:9" ht="15" customHeight="1" x14ac:dyDescent="0.25">
      <c r="B16422" s="55" t="s">
        <v>282</v>
      </c>
      <c r="C16422" s="46">
        <v>1410</v>
      </c>
      <c r="D16422" s="69" t="s">
        <v>29419</v>
      </c>
      <c r="E16422" s="51"/>
      <c r="F16422" s="114" t="str">
        <f>IF(INDEX(I.Facility.P3IDNumber,1410)="","",INDEX(I.Facility.P3IDNumber,1410))</f>
        <v/>
      </c>
      <c r="G16422" s="51"/>
      <c r="H16422" s="46" t="str">
        <f>IF(AND(I.Developer.P3=TRUE,I.Facility.P3FacilityCount&gt;=1410,F16422=""),"Incomplete","Complete")</f>
        <v>Complete</v>
      </c>
      <c r="I16422" s="48" t="s">
        <v>20787</v>
      </c>
    </row>
    <row r="16423" spans="2:9" ht="15" customHeight="1" x14ac:dyDescent="0.25">
      <c r="B16423" s="55" t="s">
        <v>282</v>
      </c>
      <c r="C16423" s="46">
        <v>1411</v>
      </c>
      <c r="D16423" s="69" t="s">
        <v>29419</v>
      </c>
      <c r="E16423" s="51"/>
      <c r="F16423" s="114" t="str">
        <f>IF(INDEX(I.Facility.P3IDNumber,1411)="","",INDEX(I.Facility.P3IDNumber,1411))</f>
        <v/>
      </c>
      <c r="G16423" s="51"/>
      <c r="H16423" s="46" t="str">
        <f>IF(AND(I.Developer.P3=TRUE,I.Facility.P3FacilityCount&gt;=1411,F16423=""),"Incomplete","Complete")</f>
        <v>Complete</v>
      </c>
      <c r="I16423" s="48" t="s">
        <v>20788</v>
      </c>
    </row>
    <row r="16424" spans="2:9" ht="15" customHeight="1" x14ac:dyDescent="0.25">
      <c r="B16424" s="55" t="s">
        <v>282</v>
      </c>
      <c r="C16424" s="46">
        <v>1412</v>
      </c>
      <c r="D16424" s="69" t="s">
        <v>29419</v>
      </c>
      <c r="E16424" s="51"/>
      <c r="F16424" s="114" t="str">
        <f>IF(INDEX(I.Facility.P3IDNumber,1412)="","",INDEX(I.Facility.P3IDNumber,1412))</f>
        <v/>
      </c>
      <c r="G16424" s="51"/>
      <c r="H16424" s="46" t="str">
        <f>IF(AND(I.Developer.P3=TRUE,I.Facility.P3FacilityCount&gt;=1412,F16424=""),"Incomplete","Complete")</f>
        <v>Complete</v>
      </c>
      <c r="I16424" s="48" t="s">
        <v>20789</v>
      </c>
    </row>
    <row r="16425" spans="2:9" ht="15" customHeight="1" x14ac:dyDescent="0.25">
      <c r="B16425" s="55" t="s">
        <v>282</v>
      </c>
      <c r="C16425" s="46">
        <v>1413</v>
      </c>
      <c r="D16425" s="69" t="s">
        <v>29419</v>
      </c>
      <c r="E16425" s="51"/>
      <c r="F16425" s="114" t="str">
        <f>IF(INDEX(I.Facility.P3IDNumber,1413)="","",INDEX(I.Facility.P3IDNumber,1413))</f>
        <v/>
      </c>
      <c r="G16425" s="51"/>
      <c r="H16425" s="46" t="str">
        <f>IF(AND(I.Developer.P3=TRUE,I.Facility.P3FacilityCount&gt;=1413,F16425=""),"Incomplete","Complete")</f>
        <v>Complete</v>
      </c>
      <c r="I16425" s="48" t="s">
        <v>20790</v>
      </c>
    </row>
    <row r="16426" spans="2:9" ht="15" customHeight="1" x14ac:dyDescent="0.25">
      <c r="B16426" s="55" t="s">
        <v>282</v>
      </c>
      <c r="C16426" s="46">
        <v>1414</v>
      </c>
      <c r="D16426" s="69" t="s">
        <v>29419</v>
      </c>
      <c r="E16426" s="51"/>
      <c r="F16426" s="114" t="str">
        <f>IF(INDEX(I.Facility.P3IDNumber,1414)="","",INDEX(I.Facility.P3IDNumber,1414))</f>
        <v/>
      </c>
      <c r="G16426" s="51"/>
      <c r="H16426" s="46" t="str">
        <f>IF(AND(I.Developer.P3=TRUE,I.Facility.P3FacilityCount&gt;=1414,F16426=""),"Incomplete","Complete")</f>
        <v>Complete</v>
      </c>
      <c r="I16426" s="48" t="s">
        <v>20791</v>
      </c>
    </row>
    <row r="16427" spans="2:9" ht="15" customHeight="1" x14ac:dyDescent="0.25">
      <c r="B16427" s="55" t="s">
        <v>282</v>
      </c>
      <c r="C16427" s="46">
        <v>1415</v>
      </c>
      <c r="D16427" s="69" t="s">
        <v>29419</v>
      </c>
      <c r="E16427" s="51"/>
      <c r="F16427" s="114" t="str">
        <f>IF(INDEX(I.Facility.P3IDNumber,1415)="","",INDEX(I.Facility.P3IDNumber,1415))</f>
        <v/>
      </c>
      <c r="G16427" s="51"/>
      <c r="H16427" s="46" t="str">
        <f>IF(AND(I.Developer.P3=TRUE,I.Facility.P3FacilityCount&gt;=1415,F16427=""),"Incomplete","Complete")</f>
        <v>Complete</v>
      </c>
      <c r="I16427" s="48" t="s">
        <v>20792</v>
      </c>
    </row>
    <row r="16428" spans="2:9" ht="15" customHeight="1" x14ac:dyDescent="0.25">
      <c r="B16428" s="55" t="s">
        <v>282</v>
      </c>
      <c r="C16428" s="46">
        <v>1416</v>
      </c>
      <c r="D16428" s="69" t="s">
        <v>29419</v>
      </c>
      <c r="E16428" s="51"/>
      <c r="F16428" s="114" t="str">
        <f>IF(INDEX(I.Facility.P3IDNumber,1416)="","",INDEX(I.Facility.P3IDNumber,1416))</f>
        <v/>
      </c>
      <c r="G16428" s="51"/>
      <c r="H16428" s="46" t="str">
        <f>IF(AND(I.Developer.P3=TRUE,I.Facility.P3FacilityCount&gt;=1416,F16428=""),"Incomplete","Complete")</f>
        <v>Complete</v>
      </c>
      <c r="I16428" s="48" t="s">
        <v>20793</v>
      </c>
    </row>
    <row r="16429" spans="2:9" ht="15" customHeight="1" x14ac:dyDescent="0.25">
      <c r="B16429" s="55" t="s">
        <v>282</v>
      </c>
      <c r="C16429" s="46">
        <v>1417</v>
      </c>
      <c r="D16429" s="69" t="s">
        <v>29419</v>
      </c>
      <c r="E16429" s="51"/>
      <c r="F16429" s="114" t="str">
        <f>IF(INDEX(I.Facility.P3IDNumber,1417)="","",INDEX(I.Facility.P3IDNumber,1417))</f>
        <v/>
      </c>
      <c r="G16429" s="51"/>
      <c r="H16429" s="46" t="str">
        <f>IF(AND(I.Developer.P3=TRUE,I.Facility.P3FacilityCount&gt;=1417,F16429=""),"Incomplete","Complete")</f>
        <v>Complete</v>
      </c>
      <c r="I16429" s="48" t="s">
        <v>20794</v>
      </c>
    </row>
    <row r="16430" spans="2:9" ht="15" customHeight="1" x14ac:dyDescent="0.25">
      <c r="B16430" s="55" t="s">
        <v>282</v>
      </c>
      <c r="C16430" s="46">
        <v>1418</v>
      </c>
      <c r="D16430" s="69" t="s">
        <v>29419</v>
      </c>
      <c r="E16430" s="51"/>
      <c r="F16430" s="114" t="str">
        <f>IF(INDEX(I.Facility.P3IDNumber,1418)="","",INDEX(I.Facility.P3IDNumber,1418))</f>
        <v/>
      </c>
      <c r="G16430" s="51"/>
      <c r="H16430" s="46" t="str">
        <f>IF(AND(I.Developer.P3=TRUE,I.Facility.P3FacilityCount&gt;=1418,F16430=""),"Incomplete","Complete")</f>
        <v>Complete</v>
      </c>
      <c r="I16430" s="48" t="s">
        <v>20795</v>
      </c>
    </row>
    <row r="16431" spans="2:9" ht="15" customHeight="1" x14ac:dyDescent="0.25">
      <c r="B16431" s="55" t="s">
        <v>282</v>
      </c>
      <c r="C16431" s="46">
        <v>1419</v>
      </c>
      <c r="D16431" s="69" t="s">
        <v>29419</v>
      </c>
      <c r="E16431" s="51"/>
      <c r="F16431" s="114" t="str">
        <f>IF(INDEX(I.Facility.P3IDNumber,1419)="","",INDEX(I.Facility.P3IDNumber,1419))</f>
        <v/>
      </c>
      <c r="G16431" s="51"/>
      <c r="H16431" s="46" t="str">
        <f>IF(AND(I.Developer.P3=TRUE,I.Facility.P3FacilityCount&gt;=1419,F16431=""),"Incomplete","Complete")</f>
        <v>Complete</v>
      </c>
      <c r="I16431" s="48" t="s">
        <v>20796</v>
      </c>
    </row>
    <row r="16432" spans="2:9" ht="15" customHeight="1" x14ac:dyDescent="0.25">
      <c r="B16432" s="55" t="s">
        <v>282</v>
      </c>
      <c r="C16432" s="46">
        <v>1420</v>
      </c>
      <c r="D16432" s="69" t="s">
        <v>29419</v>
      </c>
      <c r="E16432" s="51"/>
      <c r="F16432" s="114" t="str">
        <f>IF(INDEX(I.Facility.P3IDNumber,1420)="","",INDEX(I.Facility.P3IDNumber,1420))</f>
        <v/>
      </c>
      <c r="G16432" s="51"/>
      <c r="H16432" s="46" t="str">
        <f>IF(AND(I.Developer.P3=TRUE,I.Facility.P3FacilityCount&gt;=1420,F16432=""),"Incomplete","Complete")</f>
        <v>Complete</v>
      </c>
      <c r="I16432" s="48" t="s">
        <v>20797</v>
      </c>
    </row>
    <row r="16433" spans="2:9" ht="15" customHeight="1" x14ac:dyDescent="0.25">
      <c r="B16433" s="55" t="s">
        <v>282</v>
      </c>
      <c r="C16433" s="46">
        <v>1421</v>
      </c>
      <c r="D16433" s="69" t="s">
        <v>29419</v>
      </c>
      <c r="E16433" s="51"/>
      <c r="F16433" s="114" t="str">
        <f>IF(INDEX(I.Facility.P3IDNumber,1421)="","",INDEX(I.Facility.P3IDNumber,1421))</f>
        <v/>
      </c>
      <c r="G16433" s="51"/>
      <c r="H16433" s="46" t="str">
        <f>IF(AND(I.Developer.P3=TRUE,I.Facility.P3FacilityCount&gt;=1421,F16433=""),"Incomplete","Complete")</f>
        <v>Complete</v>
      </c>
      <c r="I16433" s="48" t="s">
        <v>20798</v>
      </c>
    </row>
    <row r="16434" spans="2:9" ht="15" customHeight="1" x14ac:dyDescent="0.25">
      <c r="B16434" s="55" t="s">
        <v>282</v>
      </c>
      <c r="C16434" s="46">
        <v>1422</v>
      </c>
      <c r="D16434" s="69" t="s">
        <v>29419</v>
      </c>
      <c r="E16434" s="51"/>
      <c r="F16434" s="114" t="str">
        <f>IF(INDEX(I.Facility.P3IDNumber,1422)="","",INDEX(I.Facility.P3IDNumber,1422))</f>
        <v/>
      </c>
      <c r="G16434" s="51"/>
      <c r="H16434" s="46" t="str">
        <f>IF(AND(I.Developer.P3=TRUE,I.Facility.P3FacilityCount&gt;=1422,F16434=""),"Incomplete","Complete")</f>
        <v>Complete</v>
      </c>
      <c r="I16434" s="48" t="s">
        <v>20799</v>
      </c>
    </row>
    <row r="16435" spans="2:9" ht="15" customHeight="1" x14ac:dyDescent="0.25">
      <c r="B16435" s="55" t="s">
        <v>282</v>
      </c>
      <c r="C16435" s="46">
        <v>1423</v>
      </c>
      <c r="D16435" s="69" t="s">
        <v>29419</v>
      </c>
      <c r="E16435" s="51"/>
      <c r="F16435" s="114" t="str">
        <f>IF(INDEX(I.Facility.P3IDNumber,1423)="","",INDEX(I.Facility.P3IDNumber,1423))</f>
        <v/>
      </c>
      <c r="G16435" s="51"/>
      <c r="H16435" s="46" t="str">
        <f>IF(AND(I.Developer.P3=TRUE,I.Facility.P3FacilityCount&gt;=1423,F16435=""),"Incomplete","Complete")</f>
        <v>Complete</v>
      </c>
      <c r="I16435" s="48" t="s">
        <v>20800</v>
      </c>
    </row>
    <row r="16436" spans="2:9" ht="15" customHeight="1" x14ac:dyDescent="0.25">
      <c r="B16436" s="55" t="s">
        <v>282</v>
      </c>
      <c r="C16436" s="46">
        <v>1424</v>
      </c>
      <c r="D16436" s="69" t="s">
        <v>29419</v>
      </c>
      <c r="E16436" s="51"/>
      <c r="F16436" s="114" t="str">
        <f>IF(INDEX(I.Facility.P3IDNumber,1424)="","",INDEX(I.Facility.P3IDNumber,1424))</f>
        <v/>
      </c>
      <c r="G16436" s="51"/>
      <c r="H16436" s="46" t="str">
        <f>IF(AND(I.Developer.P3=TRUE,I.Facility.P3FacilityCount&gt;=1424,F16436=""),"Incomplete","Complete")</f>
        <v>Complete</v>
      </c>
      <c r="I16436" s="48" t="s">
        <v>20801</v>
      </c>
    </row>
    <row r="16437" spans="2:9" ht="15" customHeight="1" x14ac:dyDescent="0.25">
      <c r="B16437" s="55" t="s">
        <v>282</v>
      </c>
      <c r="C16437" s="46">
        <v>1425</v>
      </c>
      <c r="D16437" s="69" t="s">
        <v>29419</v>
      </c>
      <c r="E16437" s="51"/>
      <c r="F16437" s="114" t="str">
        <f>IF(INDEX(I.Facility.P3IDNumber,1425)="","",INDEX(I.Facility.P3IDNumber,1425))</f>
        <v/>
      </c>
      <c r="G16437" s="51"/>
      <c r="H16437" s="46" t="str">
        <f>IF(AND(I.Developer.P3=TRUE,I.Facility.P3FacilityCount&gt;=1425,F16437=""),"Incomplete","Complete")</f>
        <v>Complete</v>
      </c>
      <c r="I16437" s="48" t="s">
        <v>20802</v>
      </c>
    </row>
    <row r="16438" spans="2:9" ht="15" customHeight="1" x14ac:dyDescent="0.25">
      <c r="B16438" s="55" t="s">
        <v>282</v>
      </c>
      <c r="C16438" s="46">
        <v>1426</v>
      </c>
      <c r="D16438" s="69" t="s">
        <v>29419</v>
      </c>
      <c r="E16438" s="51"/>
      <c r="F16438" s="114" t="str">
        <f>IF(INDEX(I.Facility.P3IDNumber,1426)="","",INDEX(I.Facility.P3IDNumber,1426))</f>
        <v/>
      </c>
      <c r="G16438" s="51"/>
      <c r="H16438" s="46" t="str">
        <f>IF(AND(I.Developer.P3=TRUE,I.Facility.P3FacilityCount&gt;=1426,F16438=""),"Incomplete","Complete")</f>
        <v>Complete</v>
      </c>
      <c r="I16438" s="48" t="s">
        <v>20803</v>
      </c>
    </row>
    <row r="16439" spans="2:9" ht="15" customHeight="1" x14ac:dyDescent="0.25">
      <c r="B16439" s="55" t="s">
        <v>282</v>
      </c>
      <c r="C16439" s="46">
        <v>1427</v>
      </c>
      <c r="D16439" s="69" t="s">
        <v>29419</v>
      </c>
      <c r="E16439" s="51"/>
      <c r="F16439" s="114" t="str">
        <f>IF(INDEX(I.Facility.P3IDNumber,1427)="","",INDEX(I.Facility.P3IDNumber,1427))</f>
        <v/>
      </c>
      <c r="G16439" s="51"/>
      <c r="H16439" s="46" t="str">
        <f>IF(AND(I.Developer.P3=TRUE,I.Facility.P3FacilityCount&gt;=1427,F16439=""),"Incomplete","Complete")</f>
        <v>Complete</v>
      </c>
      <c r="I16439" s="48" t="s">
        <v>20804</v>
      </c>
    </row>
    <row r="16440" spans="2:9" ht="15" customHeight="1" x14ac:dyDescent="0.25">
      <c r="B16440" s="55" t="s">
        <v>282</v>
      </c>
      <c r="C16440" s="46">
        <v>1428</v>
      </c>
      <c r="D16440" s="69" t="s">
        <v>29419</v>
      </c>
      <c r="E16440" s="51"/>
      <c r="F16440" s="114" t="str">
        <f>IF(INDEX(I.Facility.P3IDNumber,1428)="","",INDEX(I.Facility.P3IDNumber,1428))</f>
        <v/>
      </c>
      <c r="G16440" s="51"/>
      <c r="H16440" s="46" t="str">
        <f>IF(AND(I.Developer.P3=TRUE,I.Facility.P3FacilityCount&gt;=1428,F16440=""),"Incomplete","Complete")</f>
        <v>Complete</v>
      </c>
      <c r="I16440" s="48" t="s">
        <v>20805</v>
      </c>
    </row>
    <row r="16441" spans="2:9" ht="15" customHeight="1" x14ac:dyDescent="0.25">
      <c r="B16441" s="55" t="s">
        <v>282</v>
      </c>
      <c r="C16441" s="46">
        <v>1429</v>
      </c>
      <c r="D16441" s="69" t="s">
        <v>29419</v>
      </c>
      <c r="E16441" s="51"/>
      <c r="F16441" s="114" t="str">
        <f>IF(INDEX(I.Facility.P3IDNumber,1429)="","",INDEX(I.Facility.P3IDNumber,1429))</f>
        <v/>
      </c>
      <c r="G16441" s="51"/>
      <c r="H16441" s="46" t="str">
        <f>IF(AND(I.Developer.P3=TRUE,I.Facility.P3FacilityCount&gt;=1429,F16441=""),"Incomplete","Complete")</f>
        <v>Complete</v>
      </c>
      <c r="I16441" s="48" t="s">
        <v>20806</v>
      </c>
    </row>
    <row r="16442" spans="2:9" ht="15" customHeight="1" x14ac:dyDescent="0.25">
      <c r="B16442" s="55" t="s">
        <v>282</v>
      </c>
      <c r="C16442" s="46">
        <v>1430</v>
      </c>
      <c r="D16442" s="69" t="s">
        <v>29419</v>
      </c>
      <c r="E16442" s="51"/>
      <c r="F16442" s="114" t="str">
        <f>IF(INDEX(I.Facility.P3IDNumber,1430)="","",INDEX(I.Facility.P3IDNumber,1430))</f>
        <v/>
      </c>
      <c r="G16442" s="51"/>
      <c r="H16442" s="46" t="str">
        <f>IF(AND(I.Developer.P3=TRUE,I.Facility.P3FacilityCount&gt;=1430,F16442=""),"Incomplete","Complete")</f>
        <v>Complete</v>
      </c>
      <c r="I16442" s="48" t="s">
        <v>20807</v>
      </c>
    </row>
    <row r="16443" spans="2:9" ht="15" customHeight="1" x14ac:dyDescent="0.25">
      <c r="B16443" s="55" t="s">
        <v>282</v>
      </c>
      <c r="C16443" s="46">
        <v>1431</v>
      </c>
      <c r="D16443" s="69" t="s">
        <v>29419</v>
      </c>
      <c r="E16443" s="51"/>
      <c r="F16443" s="114" t="str">
        <f>IF(INDEX(I.Facility.P3IDNumber,1431)="","",INDEX(I.Facility.P3IDNumber,1431))</f>
        <v/>
      </c>
      <c r="G16443" s="51"/>
      <c r="H16443" s="46" t="str">
        <f>IF(AND(I.Developer.P3=TRUE,I.Facility.P3FacilityCount&gt;=1431,F16443=""),"Incomplete","Complete")</f>
        <v>Complete</v>
      </c>
      <c r="I16443" s="48" t="s">
        <v>20808</v>
      </c>
    </row>
    <row r="16444" spans="2:9" ht="15" customHeight="1" x14ac:dyDescent="0.25">
      <c r="B16444" s="55" t="s">
        <v>282</v>
      </c>
      <c r="C16444" s="46">
        <v>1432</v>
      </c>
      <c r="D16444" s="69" t="s">
        <v>29419</v>
      </c>
      <c r="E16444" s="51"/>
      <c r="F16444" s="114" t="str">
        <f>IF(INDEX(I.Facility.P3IDNumber,1432)="","",INDEX(I.Facility.P3IDNumber,1432))</f>
        <v/>
      </c>
      <c r="G16444" s="51"/>
      <c r="H16444" s="46" t="str">
        <f>IF(AND(I.Developer.P3=TRUE,I.Facility.P3FacilityCount&gt;=1432,F16444=""),"Incomplete","Complete")</f>
        <v>Complete</v>
      </c>
      <c r="I16444" s="48" t="s">
        <v>20809</v>
      </c>
    </row>
    <row r="16445" spans="2:9" ht="15" customHeight="1" x14ac:dyDescent="0.25">
      <c r="B16445" s="55" t="s">
        <v>282</v>
      </c>
      <c r="C16445" s="46">
        <v>1433</v>
      </c>
      <c r="D16445" s="69" t="s">
        <v>29419</v>
      </c>
      <c r="E16445" s="51"/>
      <c r="F16445" s="114" t="str">
        <f>IF(INDEX(I.Facility.P3IDNumber,1433)="","",INDEX(I.Facility.P3IDNumber,1433))</f>
        <v/>
      </c>
      <c r="G16445" s="51"/>
      <c r="H16445" s="46" t="str">
        <f>IF(AND(I.Developer.P3=TRUE,I.Facility.P3FacilityCount&gt;=1433,F16445=""),"Incomplete","Complete")</f>
        <v>Complete</v>
      </c>
      <c r="I16445" s="48" t="s">
        <v>20810</v>
      </c>
    </row>
    <row r="16446" spans="2:9" ht="15" customHeight="1" x14ac:dyDescent="0.25">
      <c r="B16446" s="55" t="s">
        <v>282</v>
      </c>
      <c r="C16446" s="46">
        <v>1434</v>
      </c>
      <c r="D16446" s="69" t="s">
        <v>29419</v>
      </c>
      <c r="E16446" s="51"/>
      <c r="F16446" s="114" t="str">
        <f>IF(INDEX(I.Facility.P3IDNumber,1434)="","",INDEX(I.Facility.P3IDNumber,1434))</f>
        <v/>
      </c>
      <c r="G16446" s="51"/>
      <c r="H16446" s="46" t="str">
        <f>IF(AND(I.Developer.P3=TRUE,I.Facility.P3FacilityCount&gt;=1434,F16446=""),"Incomplete","Complete")</f>
        <v>Complete</v>
      </c>
      <c r="I16446" s="48" t="s">
        <v>20811</v>
      </c>
    </row>
    <row r="16447" spans="2:9" ht="15" customHeight="1" x14ac:dyDescent="0.25">
      <c r="B16447" s="55" t="s">
        <v>282</v>
      </c>
      <c r="C16447" s="46">
        <v>1435</v>
      </c>
      <c r="D16447" s="69" t="s">
        <v>29419</v>
      </c>
      <c r="E16447" s="51"/>
      <c r="F16447" s="114" t="str">
        <f>IF(INDEX(I.Facility.P3IDNumber,1435)="","",INDEX(I.Facility.P3IDNumber,1435))</f>
        <v/>
      </c>
      <c r="G16447" s="51"/>
      <c r="H16447" s="46" t="str">
        <f>IF(AND(I.Developer.P3=TRUE,I.Facility.P3FacilityCount&gt;=1435,F16447=""),"Incomplete","Complete")</f>
        <v>Complete</v>
      </c>
      <c r="I16447" s="48" t="s">
        <v>20812</v>
      </c>
    </row>
    <row r="16448" spans="2:9" ht="15" customHeight="1" x14ac:dyDescent="0.25">
      <c r="B16448" s="55" t="s">
        <v>282</v>
      </c>
      <c r="C16448" s="46">
        <v>1436</v>
      </c>
      <c r="D16448" s="69" t="s">
        <v>29419</v>
      </c>
      <c r="E16448" s="51"/>
      <c r="F16448" s="114" t="str">
        <f>IF(INDEX(I.Facility.P3IDNumber,1436)="","",INDEX(I.Facility.P3IDNumber,1436))</f>
        <v/>
      </c>
      <c r="G16448" s="51"/>
      <c r="H16448" s="46" t="str">
        <f>IF(AND(I.Developer.P3=TRUE,I.Facility.P3FacilityCount&gt;=1436,F16448=""),"Incomplete","Complete")</f>
        <v>Complete</v>
      </c>
      <c r="I16448" s="48" t="s">
        <v>20813</v>
      </c>
    </row>
    <row r="16449" spans="2:9" ht="15" customHeight="1" x14ac:dyDescent="0.25">
      <c r="B16449" s="55" t="s">
        <v>282</v>
      </c>
      <c r="C16449" s="46">
        <v>1437</v>
      </c>
      <c r="D16449" s="69" t="s">
        <v>29419</v>
      </c>
      <c r="E16449" s="51"/>
      <c r="F16449" s="114" t="str">
        <f>IF(INDEX(I.Facility.P3IDNumber,1437)="","",INDEX(I.Facility.P3IDNumber,1437))</f>
        <v/>
      </c>
      <c r="G16449" s="51"/>
      <c r="H16449" s="46" t="str">
        <f>IF(AND(I.Developer.P3=TRUE,I.Facility.P3FacilityCount&gt;=1437,F16449=""),"Incomplete","Complete")</f>
        <v>Complete</v>
      </c>
      <c r="I16449" s="48" t="s">
        <v>20814</v>
      </c>
    </row>
    <row r="16450" spans="2:9" ht="15" customHeight="1" x14ac:dyDescent="0.25">
      <c r="B16450" s="55" t="s">
        <v>282</v>
      </c>
      <c r="C16450" s="46">
        <v>1438</v>
      </c>
      <c r="D16450" s="69" t="s">
        <v>29419</v>
      </c>
      <c r="E16450" s="51"/>
      <c r="F16450" s="114" t="str">
        <f>IF(INDEX(I.Facility.P3IDNumber,1438)="","",INDEX(I.Facility.P3IDNumber,1438))</f>
        <v/>
      </c>
      <c r="G16450" s="51"/>
      <c r="H16450" s="46" t="str">
        <f>IF(AND(I.Developer.P3=TRUE,I.Facility.P3FacilityCount&gt;=1438,F16450=""),"Incomplete","Complete")</f>
        <v>Complete</v>
      </c>
      <c r="I16450" s="48" t="s">
        <v>20815</v>
      </c>
    </row>
    <row r="16451" spans="2:9" ht="15" customHeight="1" x14ac:dyDescent="0.25">
      <c r="B16451" s="55" t="s">
        <v>282</v>
      </c>
      <c r="C16451" s="46">
        <v>1439</v>
      </c>
      <c r="D16451" s="69" t="s">
        <v>29419</v>
      </c>
      <c r="E16451" s="51"/>
      <c r="F16451" s="114" t="str">
        <f>IF(INDEX(I.Facility.P3IDNumber,1439)="","",INDEX(I.Facility.P3IDNumber,1439))</f>
        <v/>
      </c>
      <c r="G16451" s="51"/>
      <c r="H16451" s="46" t="str">
        <f>IF(AND(I.Developer.P3=TRUE,I.Facility.P3FacilityCount&gt;=1439,F16451=""),"Incomplete","Complete")</f>
        <v>Complete</v>
      </c>
      <c r="I16451" s="48" t="s">
        <v>20816</v>
      </c>
    </row>
    <row r="16452" spans="2:9" ht="15" customHeight="1" x14ac:dyDescent="0.25">
      <c r="B16452" s="55" t="s">
        <v>282</v>
      </c>
      <c r="C16452" s="46">
        <v>1440</v>
      </c>
      <c r="D16452" s="69" t="s">
        <v>29419</v>
      </c>
      <c r="E16452" s="51"/>
      <c r="F16452" s="114" t="str">
        <f>IF(INDEX(I.Facility.P3IDNumber,1440)="","",INDEX(I.Facility.P3IDNumber,1440))</f>
        <v/>
      </c>
      <c r="G16452" s="51"/>
      <c r="H16452" s="46" t="str">
        <f>IF(AND(I.Developer.P3=TRUE,I.Facility.P3FacilityCount&gt;=1440,F16452=""),"Incomplete","Complete")</f>
        <v>Complete</v>
      </c>
      <c r="I16452" s="48" t="s">
        <v>20817</v>
      </c>
    </row>
    <row r="16453" spans="2:9" ht="15" customHeight="1" x14ac:dyDescent="0.25">
      <c r="B16453" s="55" t="s">
        <v>282</v>
      </c>
      <c r="C16453" s="46">
        <v>1441</v>
      </c>
      <c r="D16453" s="69" t="s">
        <v>29419</v>
      </c>
      <c r="E16453" s="51"/>
      <c r="F16453" s="114" t="str">
        <f>IF(INDEX(I.Facility.P3IDNumber,1441)="","",INDEX(I.Facility.P3IDNumber,1441))</f>
        <v/>
      </c>
      <c r="G16453" s="51"/>
      <c r="H16453" s="46" t="str">
        <f>IF(AND(I.Developer.P3=TRUE,I.Facility.P3FacilityCount&gt;=1441,F16453=""),"Incomplete","Complete")</f>
        <v>Complete</v>
      </c>
      <c r="I16453" s="48" t="s">
        <v>20818</v>
      </c>
    </row>
    <row r="16454" spans="2:9" ht="15" customHeight="1" x14ac:dyDescent="0.25">
      <c r="B16454" s="55" t="s">
        <v>282</v>
      </c>
      <c r="C16454" s="46">
        <v>1442</v>
      </c>
      <c r="D16454" s="69" t="s">
        <v>29419</v>
      </c>
      <c r="E16454" s="51"/>
      <c r="F16454" s="114" t="str">
        <f>IF(INDEX(I.Facility.P3IDNumber,1442)="","",INDEX(I.Facility.P3IDNumber,1442))</f>
        <v/>
      </c>
      <c r="G16454" s="51"/>
      <c r="H16454" s="46" t="str">
        <f>IF(AND(I.Developer.P3=TRUE,I.Facility.P3FacilityCount&gt;=1442,F16454=""),"Incomplete","Complete")</f>
        <v>Complete</v>
      </c>
      <c r="I16454" s="48" t="s">
        <v>20819</v>
      </c>
    </row>
    <row r="16455" spans="2:9" ht="15" customHeight="1" x14ac:dyDescent="0.25">
      <c r="B16455" s="55" t="s">
        <v>282</v>
      </c>
      <c r="C16455" s="46">
        <v>1443</v>
      </c>
      <c r="D16455" s="69" t="s">
        <v>29419</v>
      </c>
      <c r="E16455" s="51"/>
      <c r="F16455" s="114" t="str">
        <f>IF(INDEX(I.Facility.P3IDNumber,1443)="","",INDEX(I.Facility.P3IDNumber,1443))</f>
        <v/>
      </c>
      <c r="G16455" s="51"/>
      <c r="H16455" s="46" t="str">
        <f>IF(AND(I.Developer.P3=TRUE,I.Facility.P3FacilityCount&gt;=1443,F16455=""),"Incomplete","Complete")</f>
        <v>Complete</v>
      </c>
      <c r="I16455" s="48" t="s">
        <v>20820</v>
      </c>
    </row>
    <row r="16456" spans="2:9" ht="15" customHeight="1" x14ac:dyDescent="0.25">
      <c r="B16456" s="55" t="s">
        <v>282</v>
      </c>
      <c r="C16456" s="46">
        <v>1444</v>
      </c>
      <c r="D16456" s="69" t="s">
        <v>29419</v>
      </c>
      <c r="E16456" s="51"/>
      <c r="F16456" s="114" t="str">
        <f>IF(INDEX(I.Facility.P3IDNumber,1444)="","",INDEX(I.Facility.P3IDNumber,1444))</f>
        <v/>
      </c>
      <c r="G16456" s="51"/>
      <c r="H16456" s="46" t="str">
        <f>IF(AND(I.Developer.P3=TRUE,I.Facility.P3FacilityCount&gt;=1444,F16456=""),"Incomplete","Complete")</f>
        <v>Complete</v>
      </c>
      <c r="I16456" s="48" t="s">
        <v>20821</v>
      </c>
    </row>
    <row r="16457" spans="2:9" ht="15" customHeight="1" x14ac:dyDescent="0.25">
      <c r="B16457" s="55" t="s">
        <v>282</v>
      </c>
      <c r="C16457" s="46">
        <v>1445</v>
      </c>
      <c r="D16457" s="69" t="s">
        <v>29419</v>
      </c>
      <c r="E16457" s="51"/>
      <c r="F16457" s="114" t="str">
        <f>IF(INDEX(I.Facility.P3IDNumber,1445)="","",INDEX(I.Facility.P3IDNumber,1445))</f>
        <v/>
      </c>
      <c r="G16457" s="51"/>
      <c r="H16457" s="46" t="str">
        <f>IF(AND(I.Developer.P3=TRUE,I.Facility.P3FacilityCount&gt;=1445,F16457=""),"Incomplete","Complete")</f>
        <v>Complete</v>
      </c>
      <c r="I16457" s="48" t="s">
        <v>20822</v>
      </c>
    </row>
    <row r="16458" spans="2:9" ht="15" customHeight="1" x14ac:dyDescent="0.25">
      <c r="B16458" s="55" t="s">
        <v>282</v>
      </c>
      <c r="C16458" s="46">
        <v>1446</v>
      </c>
      <c r="D16458" s="69" t="s">
        <v>29419</v>
      </c>
      <c r="E16458" s="51"/>
      <c r="F16458" s="114" t="str">
        <f>IF(INDEX(I.Facility.P3IDNumber,1446)="","",INDEX(I.Facility.P3IDNumber,1446))</f>
        <v/>
      </c>
      <c r="G16458" s="51"/>
      <c r="H16458" s="46" t="str">
        <f>IF(AND(I.Developer.P3=TRUE,I.Facility.P3FacilityCount&gt;=1446,F16458=""),"Incomplete","Complete")</f>
        <v>Complete</v>
      </c>
      <c r="I16458" s="48" t="s">
        <v>20823</v>
      </c>
    </row>
    <row r="16459" spans="2:9" ht="15" customHeight="1" x14ac:dyDescent="0.25">
      <c r="B16459" s="55" t="s">
        <v>282</v>
      </c>
      <c r="C16459" s="46">
        <v>1447</v>
      </c>
      <c r="D16459" s="69" t="s">
        <v>29419</v>
      </c>
      <c r="E16459" s="51"/>
      <c r="F16459" s="114" t="str">
        <f>IF(INDEX(I.Facility.P3IDNumber,1447)="","",INDEX(I.Facility.P3IDNumber,1447))</f>
        <v/>
      </c>
      <c r="G16459" s="51"/>
      <c r="H16459" s="46" t="str">
        <f>IF(AND(I.Developer.P3=TRUE,I.Facility.P3FacilityCount&gt;=1447,F16459=""),"Incomplete","Complete")</f>
        <v>Complete</v>
      </c>
      <c r="I16459" s="48" t="s">
        <v>20824</v>
      </c>
    </row>
    <row r="16460" spans="2:9" ht="15" customHeight="1" x14ac:dyDescent="0.25">
      <c r="B16460" s="55" t="s">
        <v>282</v>
      </c>
      <c r="C16460" s="46">
        <v>1448</v>
      </c>
      <c r="D16460" s="69" t="s">
        <v>29419</v>
      </c>
      <c r="E16460" s="51"/>
      <c r="F16460" s="114" t="str">
        <f>IF(INDEX(I.Facility.P3IDNumber,1448)="","",INDEX(I.Facility.P3IDNumber,1448))</f>
        <v/>
      </c>
      <c r="G16460" s="51"/>
      <c r="H16460" s="46" t="str">
        <f>IF(AND(I.Developer.P3=TRUE,I.Facility.P3FacilityCount&gt;=1448,F16460=""),"Incomplete","Complete")</f>
        <v>Complete</v>
      </c>
      <c r="I16460" s="48" t="s">
        <v>20825</v>
      </c>
    </row>
    <row r="16461" spans="2:9" ht="15" customHeight="1" x14ac:dyDescent="0.25">
      <c r="B16461" s="55" t="s">
        <v>282</v>
      </c>
      <c r="C16461" s="46">
        <v>1449</v>
      </c>
      <c r="D16461" s="69" t="s">
        <v>29419</v>
      </c>
      <c r="E16461" s="51"/>
      <c r="F16461" s="114" t="str">
        <f>IF(INDEX(I.Facility.P3IDNumber,1449)="","",INDEX(I.Facility.P3IDNumber,1449))</f>
        <v/>
      </c>
      <c r="G16461" s="51"/>
      <c r="H16461" s="46" t="str">
        <f>IF(AND(I.Developer.P3=TRUE,I.Facility.P3FacilityCount&gt;=1449,F16461=""),"Incomplete","Complete")</f>
        <v>Complete</v>
      </c>
      <c r="I16461" s="48" t="s">
        <v>20826</v>
      </c>
    </row>
    <row r="16462" spans="2:9" ht="15" customHeight="1" x14ac:dyDescent="0.25">
      <c r="B16462" s="55" t="s">
        <v>282</v>
      </c>
      <c r="C16462" s="46">
        <v>1450</v>
      </c>
      <c r="D16462" s="69" t="s">
        <v>29419</v>
      </c>
      <c r="E16462" s="51"/>
      <c r="F16462" s="114" t="str">
        <f>IF(INDEX(I.Facility.P3IDNumber,1450)="","",INDEX(I.Facility.P3IDNumber,1450))</f>
        <v/>
      </c>
      <c r="G16462" s="51"/>
      <c r="H16462" s="46" t="str">
        <f>IF(AND(I.Developer.P3=TRUE,I.Facility.P3FacilityCount&gt;=1450,F16462=""),"Incomplete","Complete")</f>
        <v>Complete</v>
      </c>
      <c r="I16462" s="48" t="s">
        <v>20827</v>
      </c>
    </row>
    <row r="16463" spans="2:9" ht="15" customHeight="1" x14ac:dyDescent="0.25">
      <c r="B16463" s="55" t="s">
        <v>282</v>
      </c>
      <c r="C16463" s="46">
        <v>1451</v>
      </c>
      <c r="D16463" s="69" t="s">
        <v>29419</v>
      </c>
      <c r="E16463" s="51"/>
      <c r="F16463" s="114" t="str">
        <f>IF(INDEX(I.Facility.P3IDNumber,1451)="","",INDEX(I.Facility.P3IDNumber,1451))</f>
        <v/>
      </c>
      <c r="G16463" s="51"/>
      <c r="H16463" s="46" t="str">
        <f>IF(AND(I.Developer.P3=TRUE,I.Facility.P3FacilityCount&gt;=1451,F16463=""),"Incomplete","Complete")</f>
        <v>Complete</v>
      </c>
      <c r="I16463" s="48" t="s">
        <v>20828</v>
      </c>
    </row>
    <row r="16464" spans="2:9" ht="15" customHeight="1" x14ac:dyDescent="0.25">
      <c r="B16464" s="55" t="s">
        <v>282</v>
      </c>
      <c r="C16464" s="46">
        <v>1452</v>
      </c>
      <c r="D16464" s="69" t="s">
        <v>29419</v>
      </c>
      <c r="E16464" s="51"/>
      <c r="F16464" s="114" t="str">
        <f>IF(INDEX(I.Facility.P3IDNumber,1452)="","",INDEX(I.Facility.P3IDNumber,1452))</f>
        <v/>
      </c>
      <c r="G16464" s="51"/>
      <c r="H16464" s="46" t="str">
        <f>IF(AND(I.Developer.P3=TRUE,I.Facility.P3FacilityCount&gt;=1452,F16464=""),"Incomplete","Complete")</f>
        <v>Complete</v>
      </c>
      <c r="I16464" s="48" t="s">
        <v>20829</v>
      </c>
    </row>
    <row r="16465" spans="2:9" ht="15" customHeight="1" x14ac:dyDescent="0.25">
      <c r="B16465" s="55" t="s">
        <v>282</v>
      </c>
      <c r="C16465" s="46">
        <v>1453</v>
      </c>
      <c r="D16465" s="69" t="s">
        <v>29419</v>
      </c>
      <c r="E16465" s="51"/>
      <c r="F16465" s="114" t="str">
        <f>IF(INDEX(I.Facility.P3IDNumber,1453)="","",INDEX(I.Facility.P3IDNumber,1453))</f>
        <v/>
      </c>
      <c r="G16465" s="51"/>
      <c r="H16465" s="46" t="str">
        <f>IF(AND(I.Developer.P3=TRUE,I.Facility.P3FacilityCount&gt;=1453,F16465=""),"Incomplete","Complete")</f>
        <v>Complete</v>
      </c>
      <c r="I16465" s="48" t="s">
        <v>20830</v>
      </c>
    </row>
    <row r="16466" spans="2:9" ht="15" customHeight="1" x14ac:dyDescent="0.25">
      <c r="B16466" s="55" t="s">
        <v>282</v>
      </c>
      <c r="C16466" s="46">
        <v>1454</v>
      </c>
      <c r="D16466" s="69" t="s">
        <v>29419</v>
      </c>
      <c r="E16466" s="51"/>
      <c r="F16466" s="114" t="str">
        <f>IF(INDEX(I.Facility.P3IDNumber,1454)="","",INDEX(I.Facility.P3IDNumber,1454))</f>
        <v/>
      </c>
      <c r="G16466" s="51"/>
      <c r="H16466" s="46" t="str">
        <f>IF(AND(I.Developer.P3=TRUE,I.Facility.P3FacilityCount&gt;=1454,F16466=""),"Incomplete","Complete")</f>
        <v>Complete</v>
      </c>
      <c r="I16466" s="48" t="s">
        <v>20831</v>
      </c>
    </row>
    <row r="16467" spans="2:9" ht="15" customHeight="1" x14ac:dyDescent="0.25">
      <c r="B16467" s="55" t="s">
        <v>282</v>
      </c>
      <c r="C16467" s="46">
        <v>1455</v>
      </c>
      <c r="D16467" s="69" t="s">
        <v>29419</v>
      </c>
      <c r="E16467" s="51"/>
      <c r="F16467" s="114" t="str">
        <f>IF(INDEX(I.Facility.P3IDNumber,1455)="","",INDEX(I.Facility.P3IDNumber,1455))</f>
        <v/>
      </c>
      <c r="G16467" s="51"/>
      <c r="H16467" s="46" t="str">
        <f>IF(AND(I.Developer.P3=TRUE,I.Facility.P3FacilityCount&gt;=1455,F16467=""),"Incomplete","Complete")</f>
        <v>Complete</v>
      </c>
      <c r="I16467" s="48" t="s">
        <v>20832</v>
      </c>
    </row>
    <row r="16468" spans="2:9" ht="15" customHeight="1" x14ac:dyDescent="0.25">
      <c r="B16468" s="55" t="s">
        <v>282</v>
      </c>
      <c r="C16468" s="46">
        <v>1456</v>
      </c>
      <c r="D16468" s="69" t="s">
        <v>29419</v>
      </c>
      <c r="E16468" s="51"/>
      <c r="F16468" s="114" t="str">
        <f>IF(INDEX(I.Facility.P3IDNumber,1456)="","",INDEX(I.Facility.P3IDNumber,1456))</f>
        <v/>
      </c>
      <c r="G16468" s="51"/>
      <c r="H16468" s="46" t="str">
        <f>IF(AND(I.Developer.P3=TRUE,I.Facility.P3FacilityCount&gt;=1456,F16468=""),"Incomplete","Complete")</f>
        <v>Complete</v>
      </c>
      <c r="I16468" s="48" t="s">
        <v>20833</v>
      </c>
    </row>
    <row r="16469" spans="2:9" ht="15" customHeight="1" x14ac:dyDescent="0.25">
      <c r="B16469" s="55" t="s">
        <v>282</v>
      </c>
      <c r="C16469" s="46">
        <v>1457</v>
      </c>
      <c r="D16469" s="69" t="s">
        <v>29419</v>
      </c>
      <c r="E16469" s="51"/>
      <c r="F16469" s="114" t="str">
        <f>IF(INDEX(I.Facility.P3IDNumber,1457)="","",INDEX(I.Facility.P3IDNumber,1457))</f>
        <v/>
      </c>
      <c r="G16469" s="51"/>
      <c r="H16469" s="46" t="str">
        <f>IF(AND(I.Developer.P3=TRUE,I.Facility.P3FacilityCount&gt;=1457,F16469=""),"Incomplete","Complete")</f>
        <v>Complete</v>
      </c>
      <c r="I16469" s="48" t="s">
        <v>20834</v>
      </c>
    </row>
    <row r="16470" spans="2:9" ht="15" customHeight="1" x14ac:dyDescent="0.25">
      <c r="B16470" s="55" t="s">
        <v>282</v>
      </c>
      <c r="C16470" s="46">
        <v>1458</v>
      </c>
      <c r="D16470" s="69" t="s">
        <v>29419</v>
      </c>
      <c r="E16470" s="51"/>
      <c r="F16470" s="114" t="str">
        <f>IF(INDEX(I.Facility.P3IDNumber,1458)="","",INDEX(I.Facility.P3IDNumber,1458))</f>
        <v/>
      </c>
      <c r="G16470" s="51"/>
      <c r="H16470" s="46" t="str">
        <f>IF(AND(I.Developer.P3=TRUE,I.Facility.P3FacilityCount&gt;=1458,F16470=""),"Incomplete","Complete")</f>
        <v>Complete</v>
      </c>
      <c r="I16470" s="48" t="s">
        <v>20835</v>
      </c>
    </row>
    <row r="16471" spans="2:9" ht="15" customHeight="1" x14ac:dyDescent="0.25">
      <c r="B16471" s="55" t="s">
        <v>282</v>
      </c>
      <c r="C16471" s="46">
        <v>1459</v>
      </c>
      <c r="D16471" s="69" t="s">
        <v>29419</v>
      </c>
      <c r="E16471" s="51"/>
      <c r="F16471" s="114" t="str">
        <f>IF(INDEX(I.Facility.P3IDNumber,1459)="","",INDEX(I.Facility.P3IDNumber,1459))</f>
        <v/>
      </c>
      <c r="G16471" s="51"/>
      <c r="H16471" s="46" t="str">
        <f>IF(AND(I.Developer.P3=TRUE,I.Facility.P3FacilityCount&gt;=1459,F16471=""),"Incomplete","Complete")</f>
        <v>Complete</v>
      </c>
      <c r="I16471" s="48" t="s">
        <v>20836</v>
      </c>
    </row>
    <row r="16472" spans="2:9" ht="15" customHeight="1" x14ac:dyDescent="0.25">
      <c r="B16472" s="55" t="s">
        <v>282</v>
      </c>
      <c r="C16472" s="46">
        <v>1460</v>
      </c>
      <c r="D16472" s="69" t="s">
        <v>29419</v>
      </c>
      <c r="E16472" s="51"/>
      <c r="F16472" s="114" t="str">
        <f>IF(INDEX(I.Facility.P3IDNumber,1460)="","",INDEX(I.Facility.P3IDNumber,1460))</f>
        <v/>
      </c>
      <c r="G16472" s="51"/>
      <c r="H16472" s="46" t="str">
        <f>IF(AND(I.Developer.P3=TRUE,I.Facility.P3FacilityCount&gt;=1460,F16472=""),"Incomplete","Complete")</f>
        <v>Complete</v>
      </c>
      <c r="I16472" s="48" t="s">
        <v>20837</v>
      </c>
    </row>
    <row r="16473" spans="2:9" ht="15" customHeight="1" x14ac:dyDescent="0.25">
      <c r="B16473" s="55" t="s">
        <v>282</v>
      </c>
      <c r="C16473" s="46">
        <v>1461</v>
      </c>
      <c r="D16473" s="69" t="s">
        <v>29419</v>
      </c>
      <c r="E16473" s="51"/>
      <c r="F16473" s="114" t="str">
        <f>IF(INDEX(I.Facility.P3IDNumber,1461)="","",INDEX(I.Facility.P3IDNumber,1461))</f>
        <v/>
      </c>
      <c r="G16473" s="51"/>
      <c r="H16473" s="46" t="str">
        <f>IF(AND(I.Developer.P3=TRUE,I.Facility.P3FacilityCount&gt;=1461,F16473=""),"Incomplete","Complete")</f>
        <v>Complete</v>
      </c>
      <c r="I16473" s="48" t="s">
        <v>20838</v>
      </c>
    </row>
    <row r="16474" spans="2:9" ht="15" customHeight="1" x14ac:dyDescent="0.25">
      <c r="B16474" s="55" t="s">
        <v>282</v>
      </c>
      <c r="C16474" s="46">
        <v>1462</v>
      </c>
      <c r="D16474" s="69" t="s">
        <v>29419</v>
      </c>
      <c r="E16474" s="51"/>
      <c r="F16474" s="114" t="str">
        <f>IF(INDEX(I.Facility.P3IDNumber,1462)="","",INDEX(I.Facility.P3IDNumber,1462))</f>
        <v/>
      </c>
      <c r="G16474" s="51"/>
      <c r="H16474" s="46" t="str">
        <f>IF(AND(I.Developer.P3=TRUE,I.Facility.P3FacilityCount&gt;=1462,F16474=""),"Incomplete","Complete")</f>
        <v>Complete</v>
      </c>
      <c r="I16474" s="48" t="s">
        <v>20839</v>
      </c>
    </row>
    <row r="16475" spans="2:9" ht="15" customHeight="1" x14ac:dyDescent="0.25">
      <c r="B16475" s="55" t="s">
        <v>282</v>
      </c>
      <c r="C16475" s="46">
        <v>1463</v>
      </c>
      <c r="D16475" s="69" t="s">
        <v>29419</v>
      </c>
      <c r="E16475" s="51"/>
      <c r="F16475" s="114" t="str">
        <f>IF(INDEX(I.Facility.P3IDNumber,1463)="","",INDEX(I.Facility.P3IDNumber,1463))</f>
        <v/>
      </c>
      <c r="G16475" s="51"/>
      <c r="H16475" s="46" t="str">
        <f>IF(AND(I.Developer.P3=TRUE,I.Facility.P3FacilityCount&gt;=1463,F16475=""),"Incomplete","Complete")</f>
        <v>Complete</v>
      </c>
      <c r="I16475" s="48" t="s">
        <v>20840</v>
      </c>
    </row>
    <row r="16476" spans="2:9" ht="15" customHeight="1" x14ac:dyDescent="0.25">
      <c r="B16476" s="55" t="s">
        <v>282</v>
      </c>
      <c r="C16476" s="46">
        <v>1464</v>
      </c>
      <c r="D16476" s="69" t="s">
        <v>29419</v>
      </c>
      <c r="E16476" s="51"/>
      <c r="F16476" s="114" t="str">
        <f>IF(INDEX(I.Facility.P3IDNumber,1464)="","",INDEX(I.Facility.P3IDNumber,1464))</f>
        <v/>
      </c>
      <c r="G16476" s="51"/>
      <c r="H16476" s="46" t="str">
        <f>IF(AND(I.Developer.P3=TRUE,I.Facility.P3FacilityCount&gt;=1464,F16476=""),"Incomplete","Complete")</f>
        <v>Complete</v>
      </c>
      <c r="I16476" s="48" t="s">
        <v>20841</v>
      </c>
    </row>
    <row r="16477" spans="2:9" ht="15" customHeight="1" x14ac:dyDescent="0.25">
      <c r="B16477" s="55" t="s">
        <v>282</v>
      </c>
      <c r="C16477" s="46">
        <v>1465</v>
      </c>
      <c r="D16477" s="69" t="s">
        <v>29419</v>
      </c>
      <c r="E16477" s="51"/>
      <c r="F16477" s="114" t="str">
        <f>IF(INDEX(I.Facility.P3IDNumber,1465)="","",INDEX(I.Facility.P3IDNumber,1465))</f>
        <v/>
      </c>
      <c r="G16477" s="51"/>
      <c r="H16477" s="46" t="str">
        <f>IF(AND(I.Developer.P3=TRUE,I.Facility.P3FacilityCount&gt;=1465,F16477=""),"Incomplete","Complete")</f>
        <v>Complete</v>
      </c>
      <c r="I16477" s="48" t="s">
        <v>20842</v>
      </c>
    </row>
    <row r="16478" spans="2:9" ht="15" customHeight="1" x14ac:dyDescent="0.25">
      <c r="B16478" s="55" t="s">
        <v>282</v>
      </c>
      <c r="C16478" s="46">
        <v>1466</v>
      </c>
      <c r="D16478" s="69" t="s">
        <v>29419</v>
      </c>
      <c r="E16478" s="51"/>
      <c r="F16478" s="114" t="str">
        <f>IF(INDEX(I.Facility.P3IDNumber,1466)="","",INDEX(I.Facility.P3IDNumber,1466))</f>
        <v/>
      </c>
      <c r="G16478" s="51"/>
      <c r="H16478" s="46" t="str">
        <f>IF(AND(I.Developer.P3=TRUE,I.Facility.P3FacilityCount&gt;=1466,F16478=""),"Incomplete","Complete")</f>
        <v>Complete</v>
      </c>
      <c r="I16478" s="48" t="s">
        <v>20843</v>
      </c>
    </row>
    <row r="16479" spans="2:9" ht="15" customHeight="1" x14ac:dyDescent="0.25">
      <c r="B16479" s="55" t="s">
        <v>282</v>
      </c>
      <c r="C16479" s="46">
        <v>1467</v>
      </c>
      <c r="D16479" s="69" t="s">
        <v>29419</v>
      </c>
      <c r="E16479" s="51"/>
      <c r="F16479" s="114" t="str">
        <f>IF(INDEX(I.Facility.P3IDNumber,1467)="","",INDEX(I.Facility.P3IDNumber,1467))</f>
        <v/>
      </c>
      <c r="G16479" s="51"/>
      <c r="H16479" s="46" t="str">
        <f>IF(AND(I.Developer.P3=TRUE,I.Facility.P3FacilityCount&gt;=1467,F16479=""),"Incomplete","Complete")</f>
        <v>Complete</v>
      </c>
      <c r="I16479" s="48" t="s">
        <v>20844</v>
      </c>
    </row>
    <row r="16480" spans="2:9" ht="15" customHeight="1" x14ac:dyDescent="0.25">
      <c r="B16480" s="55" t="s">
        <v>282</v>
      </c>
      <c r="C16480" s="46">
        <v>1468</v>
      </c>
      <c r="D16480" s="69" t="s">
        <v>29419</v>
      </c>
      <c r="E16480" s="51"/>
      <c r="F16480" s="114" t="str">
        <f>IF(INDEX(I.Facility.P3IDNumber,1468)="","",INDEX(I.Facility.P3IDNumber,1468))</f>
        <v/>
      </c>
      <c r="G16480" s="51"/>
      <c r="H16480" s="46" t="str">
        <f>IF(AND(I.Developer.P3=TRUE,I.Facility.P3FacilityCount&gt;=1468,F16480=""),"Incomplete","Complete")</f>
        <v>Complete</v>
      </c>
      <c r="I16480" s="48" t="s">
        <v>20845</v>
      </c>
    </row>
    <row r="16481" spans="2:9" ht="15" customHeight="1" x14ac:dyDescent="0.25">
      <c r="B16481" s="55" t="s">
        <v>282</v>
      </c>
      <c r="C16481" s="46">
        <v>1469</v>
      </c>
      <c r="D16481" s="69" t="s">
        <v>29419</v>
      </c>
      <c r="E16481" s="51"/>
      <c r="F16481" s="114" t="str">
        <f>IF(INDEX(I.Facility.P3IDNumber,1469)="","",INDEX(I.Facility.P3IDNumber,1469))</f>
        <v/>
      </c>
      <c r="G16481" s="51"/>
      <c r="H16481" s="46" t="str">
        <f>IF(AND(I.Developer.P3=TRUE,I.Facility.P3FacilityCount&gt;=1469,F16481=""),"Incomplete","Complete")</f>
        <v>Complete</v>
      </c>
      <c r="I16481" s="48" t="s">
        <v>20846</v>
      </c>
    </row>
    <row r="16482" spans="2:9" ht="15" customHeight="1" x14ac:dyDescent="0.25">
      <c r="B16482" s="55" t="s">
        <v>282</v>
      </c>
      <c r="C16482" s="46">
        <v>1470</v>
      </c>
      <c r="D16482" s="69" t="s">
        <v>29419</v>
      </c>
      <c r="E16482" s="51"/>
      <c r="F16482" s="114" t="str">
        <f>IF(INDEX(I.Facility.P3IDNumber,1470)="","",INDEX(I.Facility.P3IDNumber,1470))</f>
        <v/>
      </c>
      <c r="G16482" s="51"/>
      <c r="H16482" s="46" t="str">
        <f>IF(AND(I.Developer.P3=TRUE,I.Facility.P3FacilityCount&gt;=1470,F16482=""),"Incomplete","Complete")</f>
        <v>Complete</v>
      </c>
      <c r="I16482" s="48" t="s">
        <v>20847</v>
      </c>
    </row>
    <row r="16483" spans="2:9" ht="15" customHeight="1" x14ac:dyDescent="0.25">
      <c r="B16483" s="55" t="s">
        <v>282</v>
      </c>
      <c r="C16483" s="46">
        <v>1471</v>
      </c>
      <c r="D16483" s="69" t="s">
        <v>29419</v>
      </c>
      <c r="E16483" s="51"/>
      <c r="F16483" s="114" t="str">
        <f>IF(INDEX(I.Facility.P3IDNumber,1471)="","",INDEX(I.Facility.P3IDNumber,1471))</f>
        <v/>
      </c>
      <c r="G16483" s="51"/>
      <c r="H16483" s="46" t="str">
        <f>IF(AND(I.Developer.P3=TRUE,I.Facility.P3FacilityCount&gt;=1471,F16483=""),"Incomplete","Complete")</f>
        <v>Complete</v>
      </c>
      <c r="I16483" s="48" t="s">
        <v>20848</v>
      </c>
    </row>
    <row r="16484" spans="2:9" ht="15" customHeight="1" x14ac:dyDescent="0.25">
      <c r="B16484" s="55" t="s">
        <v>282</v>
      </c>
      <c r="C16484" s="46">
        <v>1472</v>
      </c>
      <c r="D16484" s="69" t="s">
        <v>29419</v>
      </c>
      <c r="E16484" s="51"/>
      <c r="F16484" s="114" t="str">
        <f>IF(INDEX(I.Facility.P3IDNumber,1472)="","",INDEX(I.Facility.P3IDNumber,1472))</f>
        <v/>
      </c>
      <c r="G16484" s="51"/>
      <c r="H16484" s="46" t="str">
        <f>IF(AND(I.Developer.P3=TRUE,I.Facility.P3FacilityCount&gt;=1472,F16484=""),"Incomplete","Complete")</f>
        <v>Complete</v>
      </c>
      <c r="I16484" s="48" t="s">
        <v>20849</v>
      </c>
    </row>
    <row r="16485" spans="2:9" ht="15" customHeight="1" x14ac:dyDescent="0.25">
      <c r="B16485" s="55" t="s">
        <v>282</v>
      </c>
      <c r="C16485" s="46">
        <v>1473</v>
      </c>
      <c r="D16485" s="69" t="s">
        <v>29419</v>
      </c>
      <c r="E16485" s="51"/>
      <c r="F16485" s="114" t="str">
        <f>IF(INDEX(I.Facility.P3IDNumber,1473)="","",INDEX(I.Facility.P3IDNumber,1473))</f>
        <v/>
      </c>
      <c r="G16485" s="51"/>
      <c r="H16485" s="46" t="str">
        <f>IF(AND(I.Developer.P3=TRUE,I.Facility.P3FacilityCount&gt;=1473,F16485=""),"Incomplete","Complete")</f>
        <v>Complete</v>
      </c>
      <c r="I16485" s="48" t="s">
        <v>20850</v>
      </c>
    </row>
    <row r="16486" spans="2:9" ht="15" customHeight="1" x14ac:dyDescent="0.25">
      <c r="B16486" s="55" t="s">
        <v>282</v>
      </c>
      <c r="C16486" s="46">
        <v>1474</v>
      </c>
      <c r="D16486" s="69" t="s">
        <v>29419</v>
      </c>
      <c r="E16486" s="51"/>
      <c r="F16486" s="114" t="str">
        <f>IF(INDEX(I.Facility.P3IDNumber,1474)="","",INDEX(I.Facility.P3IDNumber,1474))</f>
        <v/>
      </c>
      <c r="G16486" s="51"/>
      <c r="H16486" s="46" t="str">
        <f>IF(AND(I.Developer.P3=TRUE,I.Facility.P3FacilityCount&gt;=1474,F16486=""),"Incomplete","Complete")</f>
        <v>Complete</v>
      </c>
      <c r="I16486" s="48" t="s">
        <v>20851</v>
      </c>
    </row>
    <row r="16487" spans="2:9" ht="15" customHeight="1" x14ac:dyDescent="0.25">
      <c r="B16487" s="55" t="s">
        <v>282</v>
      </c>
      <c r="C16487" s="46">
        <v>1475</v>
      </c>
      <c r="D16487" s="69" t="s">
        <v>29419</v>
      </c>
      <c r="E16487" s="51"/>
      <c r="F16487" s="114" t="str">
        <f>IF(INDEX(I.Facility.P3IDNumber,1475)="","",INDEX(I.Facility.P3IDNumber,1475))</f>
        <v/>
      </c>
      <c r="G16487" s="51"/>
      <c r="H16487" s="46" t="str">
        <f>IF(AND(I.Developer.P3=TRUE,I.Facility.P3FacilityCount&gt;=1475,F16487=""),"Incomplete","Complete")</f>
        <v>Complete</v>
      </c>
      <c r="I16487" s="48" t="s">
        <v>20852</v>
      </c>
    </row>
    <row r="16488" spans="2:9" ht="15" customHeight="1" x14ac:dyDescent="0.25">
      <c r="B16488" s="55" t="s">
        <v>282</v>
      </c>
      <c r="C16488" s="46">
        <v>1476</v>
      </c>
      <c r="D16488" s="69" t="s">
        <v>29419</v>
      </c>
      <c r="E16488" s="51"/>
      <c r="F16488" s="114" t="str">
        <f>IF(INDEX(I.Facility.P3IDNumber,1476)="","",INDEX(I.Facility.P3IDNumber,1476))</f>
        <v/>
      </c>
      <c r="G16488" s="51"/>
      <c r="H16488" s="46" t="str">
        <f>IF(AND(I.Developer.P3=TRUE,I.Facility.P3FacilityCount&gt;=1476,F16488=""),"Incomplete","Complete")</f>
        <v>Complete</v>
      </c>
      <c r="I16488" s="48" t="s">
        <v>20853</v>
      </c>
    </row>
    <row r="16489" spans="2:9" ht="15" customHeight="1" x14ac:dyDescent="0.25">
      <c r="B16489" s="55" t="s">
        <v>282</v>
      </c>
      <c r="C16489" s="46">
        <v>1477</v>
      </c>
      <c r="D16489" s="69" t="s">
        <v>29419</v>
      </c>
      <c r="E16489" s="51"/>
      <c r="F16489" s="114" t="str">
        <f>IF(INDEX(I.Facility.P3IDNumber,1477)="","",INDEX(I.Facility.P3IDNumber,1477))</f>
        <v/>
      </c>
      <c r="G16489" s="51"/>
      <c r="H16489" s="46" t="str">
        <f>IF(AND(I.Developer.P3=TRUE,I.Facility.P3FacilityCount&gt;=1477,F16489=""),"Incomplete","Complete")</f>
        <v>Complete</v>
      </c>
      <c r="I16489" s="48" t="s">
        <v>20854</v>
      </c>
    </row>
    <row r="16490" spans="2:9" ht="15" customHeight="1" x14ac:dyDescent="0.25">
      <c r="B16490" s="55" t="s">
        <v>282</v>
      </c>
      <c r="C16490" s="46">
        <v>1478</v>
      </c>
      <c r="D16490" s="69" t="s">
        <v>29419</v>
      </c>
      <c r="E16490" s="51"/>
      <c r="F16490" s="114" t="str">
        <f>IF(INDEX(I.Facility.P3IDNumber,1478)="","",INDEX(I.Facility.P3IDNumber,1478))</f>
        <v/>
      </c>
      <c r="G16490" s="51"/>
      <c r="H16490" s="46" t="str">
        <f>IF(AND(I.Developer.P3=TRUE,I.Facility.P3FacilityCount&gt;=1478,F16490=""),"Incomplete","Complete")</f>
        <v>Complete</v>
      </c>
      <c r="I16490" s="48" t="s">
        <v>20855</v>
      </c>
    </row>
    <row r="16491" spans="2:9" ht="15" customHeight="1" x14ac:dyDescent="0.25">
      <c r="B16491" s="55" t="s">
        <v>282</v>
      </c>
      <c r="C16491" s="46">
        <v>1479</v>
      </c>
      <c r="D16491" s="69" t="s">
        <v>29419</v>
      </c>
      <c r="E16491" s="51"/>
      <c r="F16491" s="114" t="str">
        <f>IF(INDEX(I.Facility.P3IDNumber,1479)="","",INDEX(I.Facility.P3IDNumber,1479))</f>
        <v/>
      </c>
      <c r="G16491" s="51"/>
      <c r="H16491" s="46" t="str">
        <f>IF(AND(I.Developer.P3=TRUE,I.Facility.P3FacilityCount&gt;=1479,F16491=""),"Incomplete","Complete")</f>
        <v>Complete</v>
      </c>
      <c r="I16491" s="48" t="s">
        <v>20856</v>
      </c>
    </row>
    <row r="16492" spans="2:9" ht="15" customHeight="1" x14ac:dyDescent="0.25">
      <c r="B16492" s="55" t="s">
        <v>282</v>
      </c>
      <c r="C16492" s="46">
        <v>1480</v>
      </c>
      <c r="D16492" s="69" t="s">
        <v>29419</v>
      </c>
      <c r="E16492" s="51"/>
      <c r="F16492" s="114" t="str">
        <f>IF(INDEX(I.Facility.P3IDNumber,1480)="","",INDEX(I.Facility.P3IDNumber,1480))</f>
        <v/>
      </c>
      <c r="G16492" s="51"/>
      <c r="H16492" s="46" t="str">
        <f>IF(AND(I.Developer.P3=TRUE,I.Facility.P3FacilityCount&gt;=1480,F16492=""),"Incomplete","Complete")</f>
        <v>Complete</v>
      </c>
      <c r="I16492" s="48" t="s">
        <v>20857</v>
      </c>
    </row>
    <row r="16493" spans="2:9" ht="15" customHeight="1" x14ac:dyDescent="0.25">
      <c r="B16493" s="55" t="s">
        <v>282</v>
      </c>
      <c r="C16493" s="46">
        <v>1481</v>
      </c>
      <c r="D16493" s="69" t="s">
        <v>29419</v>
      </c>
      <c r="E16493" s="51"/>
      <c r="F16493" s="114" t="str">
        <f>IF(INDEX(I.Facility.P3IDNumber,1481)="","",INDEX(I.Facility.P3IDNumber,1481))</f>
        <v/>
      </c>
      <c r="G16493" s="51"/>
      <c r="H16493" s="46" t="str">
        <f>IF(AND(I.Developer.P3=TRUE,I.Facility.P3FacilityCount&gt;=1481,F16493=""),"Incomplete","Complete")</f>
        <v>Complete</v>
      </c>
      <c r="I16493" s="48" t="s">
        <v>20858</v>
      </c>
    </row>
    <row r="16494" spans="2:9" ht="15" customHeight="1" x14ac:dyDescent="0.25">
      <c r="B16494" s="55" t="s">
        <v>282</v>
      </c>
      <c r="C16494" s="46">
        <v>1482</v>
      </c>
      <c r="D16494" s="69" t="s">
        <v>29419</v>
      </c>
      <c r="E16494" s="51"/>
      <c r="F16494" s="114" t="str">
        <f>IF(INDEX(I.Facility.P3IDNumber,1482)="","",INDEX(I.Facility.P3IDNumber,1482))</f>
        <v/>
      </c>
      <c r="G16494" s="51"/>
      <c r="H16494" s="46" t="str">
        <f>IF(AND(I.Developer.P3=TRUE,I.Facility.P3FacilityCount&gt;=1482,F16494=""),"Incomplete","Complete")</f>
        <v>Complete</v>
      </c>
      <c r="I16494" s="48" t="s">
        <v>20859</v>
      </c>
    </row>
    <row r="16495" spans="2:9" ht="15" customHeight="1" x14ac:dyDescent="0.25">
      <c r="B16495" s="55" t="s">
        <v>282</v>
      </c>
      <c r="C16495" s="46">
        <v>1483</v>
      </c>
      <c r="D16495" s="69" t="s">
        <v>29419</v>
      </c>
      <c r="E16495" s="51"/>
      <c r="F16495" s="114" t="str">
        <f>IF(INDEX(I.Facility.P3IDNumber,1483)="","",INDEX(I.Facility.P3IDNumber,1483))</f>
        <v/>
      </c>
      <c r="G16495" s="51"/>
      <c r="H16495" s="46" t="str">
        <f>IF(AND(I.Developer.P3=TRUE,I.Facility.P3FacilityCount&gt;=1483,F16495=""),"Incomplete","Complete")</f>
        <v>Complete</v>
      </c>
      <c r="I16495" s="48" t="s">
        <v>20860</v>
      </c>
    </row>
    <row r="16496" spans="2:9" ht="15" customHeight="1" x14ac:dyDescent="0.25">
      <c r="B16496" s="55" t="s">
        <v>282</v>
      </c>
      <c r="C16496" s="46">
        <v>1484</v>
      </c>
      <c r="D16496" s="69" t="s">
        <v>29419</v>
      </c>
      <c r="E16496" s="51"/>
      <c r="F16496" s="114" t="str">
        <f>IF(INDEX(I.Facility.P3IDNumber,1484)="","",INDEX(I.Facility.P3IDNumber,1484))</f>
        <v/>
      </c>
      <c r="G16496" s="51"/>
      <c r="H16496" s="46" t="str">
        <f>IF(AND(I.Developer.P3=TRUE,I.Facility.P3FacilityCount&gt;=1484,F16496=""),"Incomplete","Complete")</f>
        <v>Complete</v>
      </c>
      <c r="I16496" s="48" t="s">
        <v>20861</v>
      </c>
    </row>
    <row r="16497" spans="2:9" ht="15" customHeight="1" x14ac:dyDescent="0.25">
      <c r="B16497" s="55" t="s">
        <v>282</v>
      </c>
      <c r="C16497" s="46">
        <v>1485</v>
      </c>
      <c r="D16497" s="69" t="s">
        <v>29419</v>
      </c>
      <c r="E16497" s="51"/>
      <c r="F16497" s="114" t="str">
        <f>IF(INDEX(I.Facility.P3IDNumber,1485)="","",INDEX(I.Facility.P3IDNumber,1485))</f>
        <v/>
      </c>
      <c r="G16497" s="51"/>
      <c r="H16497" s="46" t="str">
        <f>IF(AND(I.Developer.P3=TRUE,I.Facility.P3FacilityCount&gt;=1485,F16497=""),"Incomplete","Complete")</f>
        <v>Complete</v>
      </c>
      <c r="I16497" s="48" t="s">
        <v>20862</v>
      </c>
    </row>
    <row r="16498" spans="2:9" ht="15" customHeight="1" x14ac:dyDescent="0.25">
      <c r="B16498" s="55" t="s">
        <v>282</v>
      </c>
      <c r="C16498" s="46">
        <v>1486</v>
      </c>
      <c r="D16498" s="69" t="s">
        <v>29419</v>
      </c>
      <c r="E16498" s="51"/>
      <c r="F16498" s="114" t="str">
        <f>IF(INDEX(I.Facility.P3IDNumber,1486)="","",INDEX(I.Facility.P3IDNumber,1486))</f>
        <v/>
      </c>
      <c r="G16498" s="51"/>
      <c r="H16498" s="46" t="str">
        <f>IF(AND(I.Developer.P3=TRUE,I.Facility.P3FacilityCount&gt;=1486,F16498=""),"Incomplete","Complete")</f>
        <v>Complete</v>
      </c>
      <c r="I16498" s="48" t="s">
        <v>20863</v>
      </c>
    </row>
    <row r="16499" spans="2:9" ht="15" customHeight="1" x14ac:dyDescent="0.25">
      <c r="B16499" s="55" t="s">
        <v>282</v>
      </c>
      <c r="C16499" s="46">
        <v>1487</v>
      </c>
      <c r="D16499" s="69" t="s">
        <v>29419</v>
      </c>
      <c r="E16499" s="51"/>
      <c r="F16499" s="114" t="str">
        <f>IF(INDEX(I.Facility.P3IDNumber,1487)="","",INDEX(I.Facility.P3IDNumber,1487))</f>
        <v/>
      </c>
      <c r="G16499" s="51"/>
      <c r="H16499" s="46" t="str">
        <f>IF(AND(I.Developer.P3=TRUE,I.Facility.P3FacilityCount&gt;=1487,F16499=""),"Incomplete","Complete")</f>
        <v>Complete</v>
      </c>
      <c r="I16499" s="48" t="s">
        <v>20864</v>
      </c>
    </row>
    <row r="16500" spans="2:9" ht="15" customHeight="1" x14ac:dyDescent="0.25">
      <c r="B16500" s="55" t="s">
        <v>282</v>
      </c>
      <c r="C16500" s="46">
        <v>1488</v>
      </c>
      <c r="D16500" s="69" t="s">
        <v>29419</v>
      </c>
      <c r="E16500" s="51"/>
      <c r="F16500" s="114" t="str">
        <f>IF(INDEX(I.Facility.P3IDNumber,1488)="","",INDEX(I.Facility.P3IDNumber,1488))</f>
        <v/>
      </c>
      <c r="G16500" s="51"/>
      <c r="H16500" s="46" t="str">
        <f>IF(AND(I.Developer.P3=TRUE,I.Facility.P3FacilityCount&gt;=1488,F16500=""),"Incomplete","Complete")</f>
        <v>Complete</v>
      </c>
      <c r="I16500" s="48" t="s">
        <v>20865</v>
      </c>
    </row>
    <row r="16501" spans="2:9" ht="15" customHeight="1" x14ac:dyDescent="0.25">
      <c r="B16501" s="55" t="s">
        <v>282</v>
      </c>
      <c r="C16501" s="46">
        <v>1489</v>
      </c>
      <c r="D16501" s="69" t="s">
        <v>29419</v>
      </c>
      <c r="E16501" s="51"/>
      <c r="F16501" s="114" t="str">
        <f>IF(INDEX(I.Facility.P3IDNumber,1489)="","",INDEX(I.Facility.P3IDNumber,1489))</f>
        <v/>
      </c>
      <c r="G16501" s="51"/>
      <c r="H16501" s="46" t="str">
        <f>IF(AND(I.Developer.P3=TRUE,I.Facility.P3FacilityCount&gt;=1489,F16501=""),"Incomplete","Complete")</f>
        <v>Complete</v>
      </c>
      <c r="I16501" s="48" t="s">
        <v>20866</v>
      </c>
    </row>
    <row r="16502" spans="2:9" ht="15" customHeight="1" x14ac:dyDescent="0.25">
      <c r="B16502" s="55" t="s">
        <v>282</v>
      </c>
      <c r="C16502" s="46">
        <v>1490</v>
      </c>
      <c r="D16502" s="69" t="s">
        <v>29419</v>
      </c>
      <c r="E16502" s="51"/>
      <c r="F16502" s="114" t="str">
        <f>IF(INDEX(I.Facility.P3IDNumber,1490)="","",INDEX(I.Facility.P3IDNumber,1490))</f>
        <v/>
      </c>
      <c r="G16502" s="51"/>
      <c r="H16502" s="46" t="str">
        <f>IF(AND(I.Developer.P3=TRUE,I.Facility.P3FacilityCount&gt;=1490,F16502=""),"Incomplete","Complete")</f>
        <v>Complete</v>
      </c>
      <c r="I16502" s="48" t="s">
        <v>20867</v>
      </c>
    </row>
    <row r="16503" spans="2:9" ht="15" customHeight="1" x14ac:dyDescent="0.25">
      <c r="B16503" s="55" t="s">
        <v>282</v>
      </c>
      <c r="C16503" s="46">
        <v>1491</v>
      </c>
      <c r="D16503" s="69" t="s">
        <v>29419</v>
      </c>
      <c r="E16503" s="51"/>
      <c r="F16503" s="114" t="str">
        <f>IF(INDEX(I.Facility.P3IDNumber,1491)="","",INDEX(I.Facility.P3IDNumber,1491))</f>
        <v/>
      </c>
      <c r="G16503" s="51"/>
      <c r="H16503" s="46" t="str">
        <f>IF(AND(I.Developer.P3=TRUE,I.Facility.P3FacilityCount&gt;=1491,F16503=""),"Incomplete","Complete")</f>
        <v>Complete</v>
      </c>
      <c r="I16503" s="48" t="s">
        <v>20868</v>
      </c>
    </row>
    <row r="16504" spans="2:9" ht="15" customHeight="1" x14ac:dyDescent="0.25">
      <c r="B16504" s="55" t="s">
        <v>282</v>
      </c>
      <c r="C16504" s="46">
        <v>1492</v>
      </c>
      <c r="D16504" s="69" t="s">
        <v>29419</v>
      </c>
      <c r="E16504" s="51"/>
      <c r="F16504" s="114" t="str">
        <f>IF(INDEX(I.Facility.P3IDNumber,1492)="","",INDEX(I.Facility.P3IDNumber,1492))</f>
        <v/>
      </c>
      <c r="G16504" s="51"/>
      <c r="H16504" s="46" t="str">
        <f>IF(AND(I.Developer.P3=TRUE,I.Facility.P3FacilityCount&gt;=1492,F16504=""),"Incomplete","Complete")</f>
        <v>Complete</v>
      </c>
      <c r="I16504" s="48" t="s">
        <v>20869</v>
      </c>
    </row>
    <row r="16505" spans="2:9" ht="15" customHeight="1" x14ac:dyDescent="0.25">
      <c r="B16505" s="55" t="s">
        <v>282</v>
      </c>
      <c r="C16505" s="46">
        <v>1493</v>
      </c>
      <c r="D16505" s="69" t="s">
        <v>29419</v>
      </c>
      <c r="E16505" s="51"/>
      <c r="F16505" s="114" t="str">
        <f>IF(INDEX(I.Facility.P3IDNumber,1493)="","",INDEX(I.Facility.P3IDNumber,1493))</f>
        <v/>
      </c>
      <c r="G16505" s="51"/>
      <c r="H16505" s="46" t="str">
        <f>IF(AND(I.Developer.P3=TRUE,I.Facility.P3FacilityCount&gt;=1493,F16505=""),"Incomplete","Complete")</f>
        <v>Complete</v>
      </c>
      <c r="I16505" s="48" t="s">
        <v>20870</v>
      </c>
    </row>
    <row r="16506" spans="2:9" ht="15" customHeight="1" x14ac:dyDescent="0.25">
      <c r="B16506" s="55" t="s">
        <v>282</v>
      </c>
      <c r="C16506" s="46">
        <v>1494</v>
      </c>
      <c r="D16506" s="69" t="s">
        <v>29419</v>
      </c>
      <c r="E16506" s="51"/>
      <c r="F16506" s="114" t="str">
        <f>IF(INDEX(I.Facility.P3IDNumber,1494)="","",INDEX(I.Facility.P3IDNumber,1494))</f>
        <v/>
      </c>
      <c r="G16506" s="51"/>
      <c r="H16506" s="46" t="str">
        <f>IF(AND(I.Developer.P3=TRUE,I.Facility.P3FacilityCount&gt;=1494,F16506=""),"Incomplete","Complete")</f>
        <v>Complete</v>
      </c>
      <c r="I16506" s="48" t="s">
        <v>20871</v>
      </c>
    </row>
    <row r="16507" spans="2:9" ht="15" customHeight="1" x14ac:dyDescent="0.25">
      <c r="B16507" s="55" t="s">
        <v>282</v>
      </c>
      <c r="C16507" s="46">
        <v>1495</v>
      </c>
      <c r="D16507" s="69" t="s">
        <v>29419</v>
      </c>
      <c r="E16507" s="51"/>
      <c r="F16507" s="114" t="str">
        <f>IF(INDEX(I.Facility.P3IDNumber,1495)="","",INDEX(I.Facility.P3IDNumber,1495))</f>
        <v/>
      </c>
      <c r="G16507" s="51"/>
      <c r="H16507" s="46" t="str">
        <f>IF(AND(I.Developer.P3=TRUE,I.Facility.P3FacilityCount&gt;=1495,F16507=""),"Incomplete","Complete")</f>
        <v>Complete</v>
      </c>
      <c r="I16507" s="48" t="s">
        <v>20872</v>
      </c>
    </row>
    <row r="16508" spans="2:9" ht="15" customHeight="1" x14ac:dyDescent="0.25">
      <c r="B16508" s="55" t="s">
        <v>282</v>
      </c>
      <c r="C16508" s="46">
        <v>1496</v>
      </c>
      <c r="D16508" s="69" t="s">
        <v>29419</v>
      </c>
      <c r="E16508" s="51"/>
      <c r="F16508" s="114" t="str">
        <f>IF(INDEX(I.Facility.P3IDNumber,1496)="","",INDEX(I.Facility.P3IDNumber,1496))</f>
        <v/>
      </c>
      <c r="G16508" s="51"/>
      <c r="H16508" s="46" t="str">
        <f>IF(AND(I.Developer.P3=TRUE,I.Facility.P3FacilityCount&gt;=1496,F16508=""),"Incomplete","Complete")</f>
        <v>Complete</v>
      </c>
      <c r="I16508" s="48" t="s">
        <v>20873</v>
      </c>
    </row>
    <row r="16509" spans="2:9" ht="15" customHeight="1" x14ac:dyDescent="0.25">
      <c r="B16509" s="55" t="s">
        <v>282</v>
      </c>
      <c r="C16509" s="46">
        <v>1497</v>
      </c>
      <c r="D16509" s="69" t="s">
        <v>29419</v>
      </c>
      <c r="E16509" s="51"/>
      <c r="F16509" s="114" t="str">
        <f>IF(INDEX(I.Facility.P3IDNumber,1497)="","",INDEX(I.Facility.P3IDNumber,1497))</f>
        <v/>
      </c>
      <c r="G16509" s="51"/>
      <c r="H16509" s="46" t="str">
        <f>IF(AND(I.Developer.P3=TRUE,I.Facility.P3FacilityCount&gt;=1497,F16509=""),"Incomplete","Complete")</f>
        <v>Complete</v>
      </c>
      <c r="I16509" s="48" t="s">
        <v>20874</v>
      </c>
    </row>
    <row r="16510" spans="2:9" ht="15" customHeight="1" x14ac:dyDescent="0.25">
      <c r="B16510" s="55" t="s">
        <v>282</v>
      </c>
      <c r="C16510" s="46">
        <v>1498</v>
      </c>
      <c r="D16510" s="69" t="s">
        <v>29419</v>
      </c>
      <c r="E16510" s="51"/>
      <c r="F16510" s="114" t="str">
        <f>IF(INDEX(I.Facility.P3IDNumber,1498)="","",INDEX(I.Facility.P3IDNumber,1498))</f>
        <v/>
      </c>
      <c r="G16510" s="51"/>
      <c r="H16510" s="46" t="str">
        <f>IF(AND(I.Developer.P3=TRUE,I.Facility.P3FacilityCount&gt;=1498,F16510=""),"Incomplete","Complete")</f>
        <v>Complete</v>
      </c>
      <c r="I16510" s="48" t="s">
        <v>20875</v>
      </c>
    </row>
    <row r="16511" spans="2:9" ht="15" customHeight="1" x14ac:dyDescent="0.25">
      <c r="B16511" s="55" t="s">
        <v>282</v>
      </c>
      <c r="C16511" s="46">
        <v>1499</v>
      </c>
      <c r="D16511" s="69" t="s">
        <v>29419</v>
      </c>
      <c r="E16511" s="51"/>
      <c r="F16511" s="114" t="str">
        <f>IF(INDEX(I.Facility.P3IDNumber,1499)="","",INDEX(I.Facility.P3IDNumber,1499))</f>
        <v/>
      </c>
      <c r="G16511" s="51"/>
      <c r="H16511" s="46" t="str">
        <f>IF(AND(I.Developer.P3=TRUE,I.Facility.P3FacilityCount&gt;=1499,F16511=""),"Incomplete","Complete")</f>
        <v>Complete</v>
      </c>
      <c r="I16511" s="48" t="s">
        <v>20876</v>
      </c>
    </row>
    <row r="16512" spans="2:9" ht="15" customHeight="1" x14ac:dyDescent="0.25">
      <c r="B16512" s="55" t="s">
        <v>282</v>
      </c>
      <c r="C16512" s="46">
        <v>1500</v>
      </c>
      <c r="D16512" s="69" t="s">
        <v>29419</v>
      </c>
      <c r="E16512" s="51"/>
      <c r="F16512" s="114" t="str">
        <f>IF(INDEX(I.Facility.P3IDNumber,1500)="","",INDEX(I.Facility.P3IDNumber,1500))</f>
        <v/>
      </c>
      <c r="G16512" s="51"/>
      <c r="H16512" s="46" t="str">
        <f>IF(AND(I.Developer.P3=TRUE,I.Facility.P3FacilityCount&gt;=1500,F16512=""),"Incomplete","Complete")</f>
        <v>Complete</v>
      </c>
      <c r="I16512" s="48" t="s">
        <v>20877</v>
      </c>
    </row>
    <row r="16513" spans="2:9" ht="15" customHeight="1" x14ac:dyDescent="0.25">
      <c r="B16513" s="55" t="s">
        <v>282</v>
      </c>
      <c r="C16513" s="46">
        <v>1501</v>
      </c>
      <c r="D16513" s="69" t="s">
        <v>29419</v>
      </c>
      <c r="E16513" s="51"/>
      <c r="F16513" s="114" t="str">
        <f>IF(INDEX(I.Facility.P3IDNumber,1501)="","",INDEX(I.Facility.P3IDNumber,1501))</f>
        <v/>
      </c>
      <c r="G16513" s="51"/>
      <c r="H16513" s="46" t="str">
        <f>IF(AND(I.Developer.P3=TRUE,I.Facility.P3FacilityCount&gt;=1501,F16513=""),"Incomplete","Complete")</f>
        <v>Complete</v>
      </c>
      <c r="I16513" s="48" t="s">
        <v>20878</v>
      </c>
    </row>
    <row r="16514" spans="2:9" ht="15" customHeight="1" x14ac:dyDescent="0.25">
      <c r="B16514" s="55" t="s">
        <v>282</v>
      </c>
      <c r="C16514" s="46">
        <v>1502</v>
      </c>
      <c r="D16514" s="69" t="s">
        <v>29419</v>
      </c>
      <c r="E16514" s="51"/>
      <c r="F16514" s="114" t="str">
        <f>IF(INDEX(I.Facility.P3IDNumber,1502)="","",INDEX(I.Facility.P3IDNumber,1502))</f>
        <v/>
      </c>
      <c r="G16514" s="51"/>
      <c r="H16514" s="46" t="str">
        <f>IF(AND(I.Developer.P3=TRUE,I.Facility.P3FacilityCount&gt;=1502,F16514=""),"Incomplete","Complete")</f>
        <v>Complete</v>
      </c>
      <c r="I16514" s="48" t="s">
        <v>20879</v>
      </c>
    </row>
    <row r="16515" spans="2:9" ht="15" customHeight="1" x14ac:dyDescent="0.25">
      <c r="B16515" s="55" t="s">
        <v>282</v>
      </c>
      <c r="C16515" s="46">
        <v>1503</v>
      </c>
      <c r="D16515" s="69" t="s">
        <v>29419</v>
      </c>
      <c r="E16515" s="51"/>
      <c r="F16515" s="114" t="str">
        <f>IF(INDEX(I.Facility.P3IDNumber,1503)="","",INDEX(I.Facility.P3IDNumber,1503))</f>
        <v/>
      </c>
      <c r="G16515" s="51"/>
      <c r="H16515" s="46" t="str">
        <f>IF(AND(I.Developer.P3=TRUE,I.Facility.P3FacilityCount&gt;=1503,F16515=""),"Incomplete","Complete")</f>
        <v>Complete</v>
      </c>
      <c r="I16515" s="48" t="s">
        <v>20880</v>
      </c>
    </row>
    <row r="16516" spans="2:9" ht="15" customHeight="1" x14ac:dyDescent="0.25">
      <c r="B16516" s="55" t="s">
        <v>282</v>
      </c>
      <c r="C16516" s="46">
        <v>1504</v>
      </c>
      <c r="D16516" s="69" t="s">
        <v>29419</v>
      </c>
      <c r="E16516" s="51"/>
      <c r="F16516" s="114" t="str">
        <f>IF(INDEX(I.Facility.P3IDNumber,1504)="","",INDEX(I.Facility.P3IDNumber,1504))</f>
        <v/>
      </c>
      <c r="G16516" s="51"/>
      <c r="H16516" s="46" t="str">
        <f>IF(AND(I.Developer.P3=TRUE,I.Facility.P3FacilityCount&gt;=1504,F16516=""),"Incomplete","Complete")</f>
        <v>Complete</v>
      </c>
      <c r="I16516" s="48" t="s">
        <v>20881</v>
      </c>
    </row>
    <row r="16517" spans="2:9" ht="15" customHeight="1" x14ac:dyDescent="0.25">
      <c r="B16517" s="55" t="s">
        <v>282</v>
      </c>
      <c r="C16517" s="46">
        <v>1505</v>
      </c>
      <c r="D16517" s="69" t="s">
        <v>29419</v>
      </c>
      <c r="E16517" s="51"/>
      <c r="F16517" s="114" t="str">
        <f>IF(INDEX(I.Facility.P3IDNumber,1505)="","",INDEX(I.Facility.P3IDNumber,1505))</f>
        <v/>
      </c>
      <c r="G16517" s="51"/>
      <c r="H16517" s="46" t="str">
        <f>IF(AND(I.Developer.P3=TRUE,I.Facility.P3FacilityCount&gt;=1505,F16517=""),"Incomplete","Complete")</f>
        <v>Complete</v>
      </c>
      <c r="I16517" s="48" t="s">
        <v>20882</v>
      </c>
    </row>
    <row r="16518" spans="2:9" ht="15" customHeight="1" x14ac:dyDescent="0.25">
      <c r="B16518" s="55" t="s">
        <v>282</v>
      </c>
      <c r="C16518" s="46">
        <v>1506</v>
      </c>
      <c r="D16518" s="69" t="s">
        <v>29419</v>
      </c>
      <c r="E16518" s="51"/>
      <c r="F16518" s="114" t="str">
        <f>IF(INDEX(I.Facility.P3IDNumber,1506)="","",INDEX(I.Facility.P3IDNumber,1506))</f>
        <v/>
      </c>
      <c r="G16518" s="51"/>
      <c r="H16518" s="46" t="str">
        <f>IF(AND(I.Developer.P3=TRUE,I.Facility.P3FacilityCount&gt;=1506,F16518=""),"Incomplete","Complete")</f>
        <v>Complete</v>
      </c>
      <c r="I16518" s="48" t="s">
        <v>20883</v>
      </c>
    </row>
    <row r="16519" spans="2:9" ht="15" customHeight="1" x14ac:dyDescent="0.25">
      <c r="B16519" s="55" t="s">
        <v>282</v>
      </c>
      <c r="C16519" s="46">
        <v>1507</v>
      </c>
      <c r="D16519" s="69" t="s">
        <v>29419</v>
      </c>
      <c r="E16519" s="51"/>
      <c r="F16519" s="114" t="str">
        <f>IF(INDEX(I.Facility.P3IDNumber,1507)="","",INDEX(I.Facility.P3IDNumber,1507))</f>
        <v/>
      </c>
      <c r="G16519" s="51"/>
      <c r="H16519" s="46" t="str">
        <f>IF(AND(I.Developer.P3=TRUE,I.Facility.P3FacilityCount&gt;=1507,F16519=""),"Incomplete","Complete")</f>
        <v>Complete</v>
      </c>
      <c r="I16519" s="48" t="s">
        <v>20884</v>
      </c>
    </row>
    <row r="16520" spans="2:9" ht="15" customHeight="1" x14ac:dyDescent="0.25">
      <c r="B16520" s="55" t="s">
        <v>282</v>
      </c>
      <c r="C16520" s="46">
        <v>1508</v>
      </c>
      <c r="D16520" s="69" t="s">
        <v>29419</v>
      </c>
      <c r="E16520" s="51"/>
      <c r="F16520" s="114" t="str">
        <f>IF(INDEX(I.Facility.P3IDNumber,1508)="","",INDEX(I.Facility.P3IDNumber,1508))</f>
        <v/>
      </c>
      <c r="G16520" s="51"/>
      <c r="H16520" s="46" t="str">
        <f>IF(AND(I.Developer.P3=TRUE,I.Facility.P3FacilityCount&gt;=1508,F16520=""),"Incomplete","Complete")</f>
        <v>Complete</v>
      </c>
      <c r="I16520" s="48" t="s">
        <v>20885</v>
      </c>
    </row>
    <row r="16521" spans="2:9" ht="15" customHeight="1" x14ac:dyDescent="0.25">
      <c r="B16521" s="55" t="s">
        <v>282</v>
      </c>
      <c r="C16521" s="46">
        <v>1509</v>
      </c>
      <c r="D16521" s="69" t="s">
        <v>29419</v>
      </c>
      <c r="E16521" s="51"/>
      <c r="F16521" s="114" t="str">
        <f>IF(INDEX(I.Facility.P3IDNumber,1509)="","",INDEX(I.Facility.P3IDNumber,1509))</f>
        <v/>
      </c>
      <c r="G16521" s="51"/>
      <c r="H16521" s="46" t="str">
        <f>IF(AND(I.Developer.P3=TRUE,I.Facility.P3FacilityCount&gt;=1509,F16521=""),"Incomplete","Complete")</f>
        <v>Complete</v>
      </c>
      <c r="I16521" s="48" t="s">
        <v>20886</v>
      </c>
    </row>
    <row r="16522" spans="2:9" ht="15" customHeight="1" x14ac:dyDescent="0.25">
      <c r="B16522" s="55" t="s">
        <v>282</v>
      </c>
      <c r="C16522" s="46">
        <v>1510</v>
      </c>
      <c r="D16522" s="69" t="s">
        <v>29419</v>
      </c>
      <c r="E16522" s="51"/>
      <c r="F16522" s="114" t="str">
        <f>IF(INDEX(I.Facility.P3IDNumber,1510)="","",INDEX(I.Facility.P3IDNumber,1510))</f>
        <v/>
      </c>
      <c r="G16522" s="51"/>
      <c r="H16522" s="46" t="str">
        <f>IF(AND(I.Developer.P3=TRUE,I.Facility.P3FacilityCount&gt;=1510,F16522=""),"Incomplete","Complete")</f>
        <v>Complete</v>
      </c>
      <c r="I16522" s="48" t="s">
        <v>20887</v>
      </c>
    </row>
    <row r="16523" spans="2:9" ht="15" customHeight="1" x14ac:dyDescent="0.25">
      <c r="B16523" s="55" t="s">
        <v>282</v>
      </c>
      <c r="C16523" s="46">
        <v>1511</v>
      </c>
      <c r="D16523" s="69" t="s">
        <v>29419</v>
      </c>
      <c r="E16523" s="51"/>
      <c r="F16523" s="114" t="str">
        <f>IF(INDEX(I.Facility.P3IDNumber,1511)="","",INDEX(I.Facility.P3IDNumber,1511))</f>
        <v/>
      </c>
      <c r="G16523" s="51"/>
      <c r="H16523" s="46" t="str">
        <f>IF(AND(I.Developer.P3=TRUE,I.Facility.P3FacilityCount&gt;=1511,F16523=""),"Incomplete","Complete")</f>
        <v>Complete</v>
      </c>
      <c r="I16523" s="48" t="s">
        <v>20888</v>
      </c>
    </row>
    <row r="16524" spans="2:9" ht="15" customHeight="1" x14ac:dyDescent="0.25">
      <c r="B16524" s="55" t="s">
        <v>282</v>
      </c>
      <c r="C16524" s="46">
        <v>1512</v>
      </c>
      <c r="D16524" s="69" t="s">
        <v>29419</v>
      </c>
      <c r="E16524" s="51"/>
      <c r="F16524" s="114" t="str">
        <f>IF(INDEX(I.Facility.P3IDNumber,1512)="","",INDEX(I.Facility.P3IDNumber,1512))</f>
        <v/>
      </c>
      <c r="G16524" s="51"/>
      <c r="H16524" s="46" t="str">
        <f>IF(AND(I.Developer.P3=TRUE,I.Facility.P3FacilityCount&gt;=1512,F16524=""),"Incomplete","Complete")</f>
        <v>Complete</v>
      </c>
      <c r="I16524" s="48" t="s">
        <v>20889</v>
      </c>
    </row>
    <row r="16525" spans="2:9" ht="15" customHeight="1" x14ac:dyDescent="0.25">
      <c r="B16525" s="55" t="s">
        <v>282</v>
      </c>
      <c r="C16525" s="46">
        <v>1513</v>
      </c>
      <c r="D16525" s="69" t="s">
        <v>29419</v>
      </c>
      <c r="E16525" s="51"/>
      <c r="F16525" s="114" t="str">
        <f>IF(INDEX(I.Facility.P3IDNumber,1513)="","",INDEX(I.Facility.P3IDNumber,1513))</f>
        <v/>
      </c>
      <c r="G16525" s="51"/>
      <c r="H16525" s="46" t="str">
        <f>IF(AND(I.Developer.P3=TRUE,I.Facility.P3FacilityCount&gt;=1513,F16525=""),"Incomplete","Complete")</f>
        <v>Complete</v>
      </c>
      <c r="I16525" s="48" t="s">
        <v>20890</v>
      </c>
    </row>
    <row r="16526" spans="2:9" ht="15" customHeight="1" x14ac:dyDescent="0.25">
      <c r="B16526" s="55" t="s">
        <v>282</v>
      </c>
      <c r="C16526" s="46">
        <v>1514</v>
      </c>
      <c r="D16526" s="69" t="s">
        <v>29419</v>
      </c>
      <c r="E16526" s="51"/>
      <c r="F16526" s="114" t="str">
        <f>IF(INDEX(I.Facility.P3IDNumber,1514)="","",INDEX(I.Facility.P3IDNumber,1514))</f>
        <v/>
      </c>
      <c r="G16526" s="51"/>
      <c r="H16526" s="46" t="str">
        <f>IF(AND(I.Developer.P3=TRUE,I.Facility.P3FacilityCount&gt;=1514,F16526=""),"Incomplete","Complete")</f>
        <v>Complete</v>
      </c>
      <c r="I16526" s="48" t="s">
        <v>20891</v>
      </c>
    </row>
    <row r="16527" spans="2:9" ht="15" customHeight="1" x14ac:dyDescent="0.25">
      <c r="B16527" s="55" t="s">
        <v>282</v>
      </c>
      <c r="C16527" s="46">
        <v>1515</v>
      </c>
      <c r="D16527" s="69" t="s">
        <v>29419</v>
      </c>
      <c r="E16527" s="51"/>
      <c r="F16527" s="114" t="str">
        <f>IF(INDEX(I.Facility.P3IDNumber,1515)="","",INDEX(I.Facility.P3IDNumber,1515))</f>
        <v/>
      </c>
      <c r="G16527" s="51"/>
      <c r="H16527" s="46" t="str">
        <f>IF(AND(I.Developer.P3=TRUE,I.Facility.P3FacilityCount&gt;=1515,F16527=""),"Incomplete","Complete")</f>
        <v>Complete</v>
      </c>
      <c r="I16527" s="48" t="s">
        <v>20892</v>
      </c>
    </row>
    <row r="16528" spans="2:9" ht="15" customHeight="1" x14ac:dyDescent="0.25">
      <c r="B16528" s="55" t="s">
        <v>282</v>
      </c>
      <c r="C16528" s="46">
        <v>1516</v>
      </c>
      <c r="D16528" s="69" t="s">
        <v>29419</v>
      </c>
      <c r="E16528" s="51"/>
      <c r="F16528" s="114" t="str">
        <f>IF(INDEX(I.Facility.P3IDNumber,1516)="","",INDEX(I.Facility.P3IDNumber,1516))</f>
        <v/>
      </c>
      <c r="G16528" s="51"/>
      <c r="H16528" s="46" t="str">
        <f>IF(AND(I.Developer.P3=TRUE,I.Facility.P3FacilityCount&gt;=1516,F16528=""),"Incomplete","Complete")</f>
        <v>Complete</v>
      </c>
      <c r="I16528" s="48" t="s">
        <v>20893</v>
      </c>
    </row>
    <row r="16529" spans="2:9" ht="15" customHeight="1" x14ac:dyDescent="0.25">
      <c r="B16529" s="55" t="s">
        <v>282</v>
      </c>
      <c r="C16529" s="46">
        <v>1517</v>
      </c>
      <c r="D16529" s="69" t="s">
        <v>29419</v>
      </c>
      <c r="E16529" s="51"/>
      <c r="F16529" s="114" t="str">
        <f>IF(INDEX(I.Facility.P3IDNumber,1517)="","",INDEX(I.Facility.P3IDNumber,1517))</f>
        <v/>
      </c>
      <c r="G16529" s="51"/>
      <c r="H16529" s="46" t="str">
        <f>IF(AND(I.Developer.P3=TRUE,I.Facility.P3FacilityCount&gt;=1517,F16529=""),"Incomplete","Complete")</f>
        <v>Complete</v>
      </c>
      <c r="I16529" s="48" t="s">
        <v>20894</v>
      </c>
    </row>
    <row r="16530" spans="2:9" ht="15" customHeight="1" x14ac:dyDescent="0.25">
      <c r="B16530" s="55" t="s">
        <v>282</v>
      </c>
      <c r="C16530" s="46">
        <v>1518</v>
      </c>
      <c r="D16530" s="69" t="s">
        <v>29419</v>
      </c>
      <c r="E16530" s="51"/>
      <c r="F16530" s="114" t="str">
        <f>IF(INDEX(I.Facility.P3IDNumber,1518)="","",INDEX(I.Facility.P3IDNumber,1518))</f>
        <v/>
      </c>
      <c r="G16530" s="51"/>
      <c r="H16530" s="46" t="str">
        <f>IF(AND(I.Developer.P3=TRUE,I.Facility.P3FacilityCount&gt;=1518,F16530=""),"Incomplete","Complete")</f>
        <v>Complete</v>
      </c>
      <c r="I16530" s="48" t="s">
        <v>20895</v>
      </c>
    </row>
    <row r="16531" spans="2:9" ht="15" customHeight="1" x14ac:dyDescent="0.25">
      <c r="B16531" s="55" t="s">
        <v>282</v>
      </c>
      <c r="C16531" s="46">
        <v>1519</v>
      </c>
      <c r="D16531" s="69" t="s">
        <v>29419</v>
      </c>
      <c r="E16531" s="51"/>
      <c r="F16531" s="114" t="str">
        <f>IF(INDEX(I.Facility.P3IDNumber,1519)="","",INDEX(I.Facility.P3IDNumber,1519))</f>
        <v/>
      </c>
      <c r="G16531" s="51"/>
      <c r="H16531" s="46" t="str">
        <f>IF(AND(I.Developer.P3=TRUE,I.Facility.P3FacilityCount&gt;=1519,F16531=""),"Incomplete","Complete")</f>
        <v>Complete</v>
      </c>
      <c r="I16531" s="48" t="s">
        <v>20896</v>
      </c>
    </row>
    <row r="16532" spans="2:9" ht="15" customHeight="1" x14ac:dyDescent="0.25">
      <c r="B16532" s="55" t="s">
        <v>282</v>
      </c>
      <c r="C16532" s="46">
        <v>1520</v>
      </c>
      <c r="D16532" s="69" t="s">
        <v>29419</v>
      </c>
      <c r="E16532" s="51"/>
      <c r="F16532" s="114" t="str">
        <f>IF(INDEX(I.Facility.P3IDNumber,1520)="","",INDEX(I.Facility.P3IDNumber,1520))</f>
        <v/>
      </c>
      <c r="G16532" s="51"/>
      <c r="H16532" s="46" t="str">
        <f>IF(AND(I.Developer.P3=TRUE,I.Facility.P3FacilityCount&gt;=1520,F16532=""),"Incomplete","Complete")</f>
        <v>Complete</v>
      </c>
      <c r="I16532" s="48" t="s">
        <v>20897</v>
      </c>
    </row>
    <row r="16533" spans="2:9" ht="15" customHeight="1" x14ac:dyDescent="0.25">
      <c r="B16533" s="55" t="s">
        <v>282</v>
      </c>
      <c r="C16533" s="46">
        <v>1521</v>
      </c>
      <c r="D16533" s="69" t="s">
        <v>29419</v>
      </c>
      <c r="E16533" s="51"/>
      <c r="F16533" s="114" t="str">
        <f>IF(INDEX(I.Facility.P3IDNumber,1521)="","",INDEX(I.Facility.P3IDNumber,1521))</f>
        <v/>
      </c>
      <c r="G16533" s="51"/>
      <c r="H16533" s="46" t="str">
        <f>IF(AND(I.Developer.P3=TRUE,I.Facility.P3FacilityCount&gt;=1521,F16533=""),"Incomplete","Complete")</f>
        <v>Complete</v>
      </c>
      <c r="I16533" s="48" t="s">
        <v>20898</v>
      </c>
    </row>
    <row r="16534" spans="2:9" ht="15" customHeight="1" x14ac:dyDescent="0.25">
      <c r="B16534" s="55" t="s">
        <v>282</v>
      </c>
      <c r="C16534" s="46">
        <v>1522</v>
      </c>
      <c r="D16534" s="69" t="s">
        <v>29419</v>
      </c>
      <c r="E16534" s="51"/>
      <c r="F16534" s="114" t="str">
        <f>IF(INDEX(I.Facility.P3IDNumber,1522)="","",INDEX(I.Facility.P3IDNumber,1522))</f>
        <v/>
      </c>
      <c r="G16534" s="51"/>
      <c r="H16534" s="46" t="str">
        <f>IF(AND(I.Developer.P3=TRUE,I.Facility.P3FacilityCount&gt;=1522,F16534=""),"Incomplete","Complete")</f>
        <v>Complete</v>
      </c>
      <c r="I16534" s="48" t="s">
        <v>20899</v>
      </c>
    </row>
    <row r="16535" spans="2:9" ht="15" customHeight="1" x14ac:dyDescent="0.25">
      <c r="B16535" s="55" t="s">
        <v>282</v>
      </c>
      <c r="C16535" s="46">
        <v>1523</v>
      </c>
      <c r="D16535" s="69" t="s">
        <v>29419</v>
      </c>
      <c r="E16535" s="51"/>
      <c r="F16535" s="114" t="str">
        <f>IF(INDEX(I.Facility.P3IDNumber,1523)="","",INDEX(I.Facility.P3IDNumber,1523))</f>
        <v/>
      </c>
      <c r="G16535" s="51"/>
      <c r="H16535" s="46" t="str">
        <f>IF(AND(I.Developer.P3=TRUE,I.Facility.P3FacilityCount&gt;=1523,F16535=""),"Incomplete","Complete")</f>
        <v>Complete</v>
      </c>
      <c r="I16535" s="48" t="s">
        <v>20900</v>
      </c>
    </row>
    <row r="16536" spans="2:9" ht="15" customHeight="1" x14ac:dyDescent="0.25">
      <c r="B16536" s="55" t="s">
        <v>282</v>
      </c>
      <c r="C16536" s="46">
        <v>1524</v>
      </c>
      <c r="D16536" s="69" t="s">
        <v>29419</v>
      </c>
      <c r="E16536" s="51"/>
      <c r="F16536" s="114" t="str">
        <f>IF(INDEX(I.Facility.P3IDNumber,1524)="","",INDEX(I.Facility.P3IDNumber,1524))</f>
        <v/>
      </c>
      <c r="G16536" s="51"/>
      <c r="H16536" s="46" t="str">
        <f>IF(AND(I.Developer.P3=TRUE,I.Facility.P3FacilityCount&gt;=1524,F16536=""),"Incomplete","Complete")</f>
        <v>Complete</v>
      </c>
      <c r="I16536" s="48" t="s">
        <v>20901</v>
      </c>
    </row>
    <row r="16537" spans="2:9" ht="15" customHeight="1" x14ac:dyDescent="0.25">
      <c r="B16537" s="55" t="s">
        <v>282</v>
      </c>
      <c r="C16537" s="46">
        <v>1525</v>
      </c>
      <c r="D16537" s="69" t="s">
        <v>29419</v>
      </c>
      <c r="E16537" s="51"/>
      <c r="F16537" s="114" t="str">
        <f>IF(INDEX(I.Facility.P3IDNumber,1525)="","",INDEX(I.Facility.P3IDNumber,1525))</f>
        <v/>
      </c>
      <c r="G16537" s="51"/>
      <c r="H16537" s="46" t="str">
        <f>IF(AND(I.Developer.P3=TRUE,I.Facility.P3FacilityCount&gt;=1525,F16537=""),"Incomplete","Complete")</f>
        <v>Complete</v>
      </c>
      <c r="I16537" s="48" t="s">
        <v>20902</v>
      </c>
    </row>
    <row r="16538" spans="2:9" ht="15" customHeight="1" x14ac:dyDescent="0.25">
      <c r="B16538" s="55" t="s">
        <v>282</v>
      </c>
      <c r="C16538" s="46">
        <v>1526</v>
      </c>
      <c r="D16538" s="69" t="s">
        <v>29419</v>
      </c>
      <c r="E16538" s="51"/>
      <c r="F16538" s="114" t="str">
        <f>IF(INDEX(I.Facility.P3IDNumber,1526)="","",INDEX(I.Facility.P3IDNumber,1526))</f>
        <v/>
      </c>
      <c r="G16538" s="51"/>
      <c r="H16538" s="46" t="str">
        <f>IF(AND(I.Developer.P3=TRUE,I.Facility.P3FacilityCount&gt;=1526,F16538=""),"Incomplete","Complete")</f>
        <v>Complete</v>
      </c>
      <c r="I16538" s="48" t="s">
        <v>20903</v>
      </c>
    </row>
    <row r="16539" spans="2:9" ht="15" customHeight="1" x14ac:dyDescent="0.25">
      <c r="B16539" s="55" t="s">
        <v>282</v>
      </c>
      <c r="C16539" s="46">
        <v>1527</v>
      </c>
      <c r="D16539" s="69" t="s">
        <v>29419</v>
      </c>
      <c r="E16539" s="51"/>
      <c r="F16539" s="114" t="str">
        <f>IF(INDEX(I.Facility.P3IDNumber,1527)="","",INDEX(I.Facility.P3IDNumber,1527))</f>
        <v/>
      </c>
      <c r="G16539" s="51"/>
      <c r="H16539" s="46" t="str">
        <f>IF(AND(I.Developer.P3=TRUE,I.Facility.P3FacilityCount&gt;=1527,F16539=""),"Incomplete","Complete")</f>
        <v>Complete</v>
      </c>
      <c r="I16539" s="48" t="s">
        <v>20904</v>
      </c>
    </row>
    <row r="16540" spans="2:9" ht="15" customHeight="1" x14ac:dyDescent="0.25">
      <c r="B16540" s="55" t="s">
        <v>282</v>
      </c>
      <c r="C16540" s="46">
        <v>1528</v>
      </c>
      <c r="D16540" s="69" t="s">
        <v>29419</v>
      </c>
      <c r="E16540" s="51"/>
      <c r="F16540" s="114" t="str">
        <f>IF(INDEX(I.Facility.P3IDNumber,1528)="","",INDEX(I.Facility.P3IDNumber,1528))</f>
        <v/>
      </c>
      <c r="G16540" s="51"/>
      <c r="H16540" s="46" t="str">
        <f>IF(AND(I.Developer.P3=TRUE,I.Facility.P3FacilityCount&gt;=1528,F16540=""),"Incomplete","Complete")</f>
        <v>Complete</v>
      </c>
      <c r="I16540" s="48" t="s">
        <v>20905</v>
      </c>
    </row>
    <row r="16541" spans="2:9" ht="15" customHeight="1" x14ac:dyDescent="0.25">
      <c r="B16541" s="55" t="s">
        <v>282</v>
      </c>
      <c r="C16541" s="46">
        <v>1529</v>
      </c>
      <c r="D16541" s="69" t="s">
        <v>29419</v>
      </c>
      <c r="E16541" s="51"/>
      <c r="F16541" s="114" t="str">
        <f>IF(INDEX(I.Facility.P3IDNumber,1529)="","",INDEX(I.Facility.P3IDNumber,1529))</f>
        <v/>
      </c>
      <c r="G16541" s="51"/>
      <c r="H16541" s="46" t="str">
        <f>IF(AND(I.Developer.P3=TRUE,I.Facility.P3FacilityCount&gt;=1529,F16541=""),"Incomplete","Complete")</f>
        <v>Complete</v>
      </c>
      <c r="I16541" s="48" t="s">
        <v>20906</v>
      </c>
    </row>
    <row r="16542" spans="2:9" ht="15" customHeight="1" x14ac:dyDescent="0.25">
      <c r="B16542" s="55" t="s">
        <v>282</v>
      </c>
      <c r="C16542" s="46">
        <v>1530</v>
      </c>
      <c r="D16542" s="69" t="s">
        <v>29419</v>
      </c>
      <c r="E16542" s="51"/>
      <c r="F16542" s="114" t="str">
        <f>IF(INDEX(I.Facility.P3IDNumber,1530)="","",INDEX(I.Facility.P3IDNumber,1530))</f>
        <v/>
      </c>
      <c r="G16542" s="51"/>
      <c r="H16542" s="46" t="str">
        <f>IF(AND(I.Developer.P3=TRUE,I.Facility.P3FacilityCount&gt;=1530,F16542=""),"Incomplete","Complete")</f>
        <v>Complete</v>
      </c>
      <c r="I16542" s="48" t="s">
        <v>20907</v>
      </c>
    </row>
    <row r="16543" spans="2:9" ht="15" customHeight="1" x14ac:dyDescent="0.25">
      <c r="B16543" s="55" t="s">
        <v>282</v>
      </c>
      <c r="C16543" s="46">
        <v>1531</v>
      </c>
      <c r="D16543" s="69" t="s">
        <v>29419</v>
      </c>
      <c r="E16543" s="51"/>
      <c r="F16543" s="114" t="str">
        <f>IF(INDEX(I.Facility.P3IDNumber,1531)="","",INDEX(I.Facility.P3IDNumber,1531))</f>
        <v/>
      </c>
      <c r="G16543" s="51"/>
      <c r="H16543" s="46" t="str">
        <f>IF(AND(I.Developer.P3=TRUE,I.Facility.P3FacilityCount&gt;=1531,F16543=""),"Incomplete","Complete")</f>
        <v>Complete</v>
      </c>
      <c r="I16543" s="48" t="s">
        <v>20908</v>
      </c>
    </row>
    <row r="16544" spans="2:9" ht="15" customHeight="1" x14ac:dyDescent="0.25">
      <c r="B16544" s="55" t="s">
        <v>282</v>
      </c>
      <c r="C16544" s="46">
        <v>1532</v>
      </c>
      <c r="D16544" s="69" t="s">
        <v>29419</v>
      </c>
      <c r="E16544" s="51"/>
      <c r="F16544" s="114" t="str">
        <f>IF(INDEX(I.Facility.P3IDNumber,1532)="","",INDEX(I.Facility.P3IDNumber,1532))</f>
        <v/>
      </c>
      <c r="G16544" s="51"/>
      <c r="H16544" s="46" t="str">
        <f>IF(AND(I.Developer.P3=TRUE,I.Facility.P3FacilityCount&gt;=1532,F16544=""),"Incomplete","Complete")</f>
        <v>Complete</v>
      </c>
      <c r="I16544" s="48" t="s">
        <v>20909</v>
      </c>
    </row>
    <row r="16545" spans="2:9" ht="15" customHeight="1" x14ac:dyDescent="0.25">
      <c r="B16545" s="55" t="s">
        <v>282</v>
      </c>
      <c r="C16545" s="46">
        <v>1533</v>
      </c>
      <c r="D16545" s="69" t="s">
        <v>29419</v>
      </c>
      <c r="E16545" s="51"/>
      <c r="F16545" s="114" t="str">
        <f>IF(INDEX(I.Facility.P3IDNumber,1533)="","",INDEX(I.Facility.P3IDNumber,1533))</f>
        <v/>
      </c>
      <c r="G16545" s="51"/>
      <c r="H16545" s="46" t="str">
        <f>IF(AND(I.Developer.P3=TRUE,I.Facility.P3FacilityCount&gt;=1533,F16545=""),"Incomplete","Complete")</f>
        <v>Complete</v>
      </c>
      <c r="I16545" s="48" t="s">
        <v>20910</v>
      </c>
    </row>
    <row r="16546" spans="2:9" ht="15" customHeight="1" x14ac:dyDescent="0.25">
      <c r="B16546" s="55" t="s">
        <v>282</v>
      </c>
      <c r="C16546" s="46">
        <v>1534</v>
      </c>
      <c r="D16546" s="69" t="s">
        <v>29419</v>
      </c>
      <c r="E16546" s="51"/>
      <c r="F16546" s="114" t="str">
        <f>IF(INDEX(I.Facility.P3IDNumber,1534)="","",INDEX(I.Facility.P3IDNumber,1534))</f>
        <v/>
      </c>
      <c r="G16546" s="51"/>
      <c r="H16546" s="46" t="str">
        <f>IF(AND(I.Developer.P3=TRUE,I.Facility.P3FacilityCount&gt;=1534,F16546=""),"Incomplete","Complete")</f>
        <v>Complete</v>
      </c>
      <c r="I16546" s="48" t="s">
        <v>20911</v>
      </c>
    </row>
    <row r="16547" spans="2:9" ht="15" customHeight="1" x14ac:dyDescent="0.25">
      <c r="B16547" s="55" t="s">
        <v>282</v>
      </c>
      <c r="C16547" s="46">
        <v>1535</v>
      </c>
      <c r="D16547" s="69" t="s">
        <v>29419</v>
      </c>
      <c r="E16547" s="51"/>
      <c r="F16547" s="114" t="str">
        <f>IF(INDEX(I.Facility.P3IDNumber,1535)="","",INDEX(I.Facility.P3IDNumber,1535))</f>
        <v/>
      </c>
      <c r="G16547" s="51"/>
      <c r="H16547" s="46" t="str">
        <f>IF(AND(I.Developer.P3=TRUE,I.Facility.P3FacilityCount&gt;=1535,F16547=""),"Incomplete","Complete")</f>
        <v>Complete</v>
      </c>
      <c r="I16547" s="48" t="s">
        <v>20912</v>
      </c>
    </row>
    <row r="16548" spans="2:9" ht="15" customHeight="1" x14ac:dyDescent="0.25">
      <c r="B16548" s="55" t="s">
        <v>282</v>
      </c>
      <c r="C16548" s="46">
        <v>1536</v>
      </c>
      <c r="D16548" s="69" t="s">
        <v>29419</v>
      </c>
      <c r="E16548" s="51"/>
      <c r="F16548" s="114" t="str">
        <f>IF(INDEX(I.Facility.P3IDNumber,1536)="","",INDEX(I.Facility.P3IDNumber,1536))</f>
        <v/>
      </c>
      <c r="G16548" s="51"/>
      <c r="H16548" s="46" t="str">
        <f>IF(AND(I.Developer.P3=TRUE,I.Facility.P3FacilityCount&gt;=1536,F16548=""),"Incomplete","Complete")</f>
        <v>Complete</v>
      </c>
      <c r="I16548" s="48" t="s">
        <v>20913</v>
      </c>
    </row>
    <row r="16549" spans="2:9" ht="15" customHeight="1" x14ac:dyDescent="0.25">
      <c r="B16549" s="55" t="s">
        <v>282</v>
      </c>
      <c r="C16549" s="46">
        <v>1537</v>
      </c>
      <c r="D16549" s="69" t="s">
        <v>29419</v>
      </c>
      <c r="E16549" s="51"/>
      <c r="F16549" s="114" t="str">
        <f>IF(INDEX(I.Facility.P3IDNumber,1537)="","",INDEX(I.Facility.P3IDNumber,1537))</f>
        <v/>
      </c>
      <c r="G16549" s="51"/>
      <c r="H16549" s="46" t="str">
        <f>IF(AND(I.Developer.P3=TRUE,I.Facility.P3FacilityCount&gt;=1537,F16549=""),"Incomplete","Complete")</f>
        <v>Complete</v>
      </c>
      <c r="I16549" s="48" t="s">
        <v>20914</v>
      </c>
    </row>
    <row r="16550" spans="2:9" ht="15" customHeight="1" x14ac:dyDescent="0.25">
      <c r="B16550" s="55" t="s">
        <v>282</v>
      </c>
      <c r="C16550" s="46">
        <v>1538</v>
      </c>
      <c r="D16550" s="69" t="s">
        <v>29419</v>
      </c>
      <c r="E16550" s="51"/>
      <c r="F16550" s="114" t="str">
        <f>IF(INDEX(I.Facility.P3IDNumber,1538)="","",INDEX(I.Facility.P3IDNumber,1538))</f>
        <v/>
      </c>
      <c r="G16550" s="51"/>
      <c r="H16550" s="46" t="str">
        <f>IF(AND(I.Developer.P3=TRUE,I.Facility.P3FacilityCount&gt;=1538,F16550=""),"Incomplete","Complete")</f>
        <v>Complete</v>
      </c>
      <c r="I16550" s="48" t="s">
        <v>20915</v>
      </c>
    </row>
    <row r="16551" spans="2:9" ht="15" customHeight="1" x14ac:dyDescent="0.25">
      <c r="B16551" s="55" t="s">
        <v>282</v>
      </c>
      <c r="C16551" s="46">
        <v>1539</v>
      </c>
      <c r="D16551" s="69" t="s">
        <v>29419</v>
      </c>
      <c r="E16551" s="51"/>
      <c r="F16551" s="114" t="str">
        <f>IF(INDEX(I.Facility.P3IDNumber,1539)="","",INDEX(I.Facility.P3IDNumber,1539))</f>
        <v/>
      </c>
      <c r="G16551" s="51"/>
      <c r="H16551" s="46" t="str">
        <f>IF(AND(I.Developer.P3=TRUE,I.Facility.P3FacilityCount&gt;=1539,F16551=""),"Incomplete","Complete")</f>
        <v>Complete</v>
      </c>
      <c r="I16551" s="48" t="s">
        <v>20916</v>
      </c>
    </row>
    <row r="16552" spans="2:9" ht="15" customHeight="1" x14ac:dyDescent="0.25">
      <c r="B16552" s="55" t="s">
        <v>282</v>
      </c>
      <c r="C16552" s="46">
        <v>1540</v>
      </c>
      <c r="D16552" s="69" t="s">
        <v>29419</v>
      </c>
      <c r="E16552" s="51"/>
      <c r="F16552" s="114" t="str">
        <f>IF(INDEX(I.Facility.P3IDNumber,1540)="","",INDEX(I.Facility.P3IDNumber,1540))</f>
        <v/>
      </c>
      <c r="G16552" s="51"/>
      <c r="H16552" s="46" t="str">
        <f>IF(AND(I.Developer.P3=TRUE,I.Facility.P3FacilityCount&gt;=1540,F16552=""),"Incomplete","Complete")</f>
        <v>Complete</v>
      </c>
      <c r="I16552" s="48" t="s">
        <v>20917</v>
      </c>
    </row>
    <row r="16553" spans="2:9" ht="15" customHeight="1" x14ac:dyDescent="0.25">
      <c r="B16553" s="55" t="s">
        <v>282</v>
      </c>
      <c r="C16553" s="46">
        <v>1541</v>
      </c>
      <c r="D16553" s="69" t="s">
        <v>29419</v>
      </c>
      <c r="E16553" s="51"/>
      <c r="F16553" s="114" t="str">
        <f>IF(INDEX(I.Facility.P3IDNumber,1541)="","",INDEX(I.Facility.P3IDNumber,1541))</f>
        <v/>
      </c>
      <c r="G16553" s="51"/>
      <c r="H16553" s="46" t="str">
        <f>IF(AND(I.Developer.P3=TRUE,I.Facility.P3FacilityCount&gt;=1541,F16553=""),"Incomplete","Complete")</f>
        <v>Complete</v>
      </c>
      <c r="I16553" s="48" t="s">
        <v>20918</v>
      </c>
    </row>
    <row r="16554" spans="2:9" ht="15" customHeight="1" x14ac:dyDescent="0.25">
      <c r="B16554" s="55" t="s">
        <v>282</v>
      </c>
      <c r="C16554" s="46">
        <v>1542</v>
      </c>
      <c r="D16554" s="69" t="s">
        <v>29419</v>
      </c>
      <c r="E16554" s="51"/>
      <c r="F16554" s="114" t="str">
        <f>IF(INDEX(I.Facility.P3IDNumber,1542)="","",INDEX(I.Facility.P3IDNumber,1542))</f>
        <v/>
      </c>
      <c r="G16554" s="51"/>
      <c r="H16554" s="46" t="str">
        <f>IF(AND(I.Developer.P3=TRUE,I.Facility.P3FacilityCount&gt;=1542,F16554=""),"Incomplete","Complete")</f>
        <v>Complete</v>
      </c>
      <c r="I16554" s="48" t="s">
        <v>20919</v>
      </c>
    </row>
    <row r="16555" spans="2:9" ht="15" customHeight="1" x14ac:dyDescent="0.25">
      <c r="B16555" s="55" t="s">
        <v>282</v>
      </c>
      <c r="C16555" s="46">
        <v>1543</v>
      </c>
      <c r="D16555" s="69" t="s">
        <v>29419</v>
      </c>
      <c r="E16555" s="51"/>
      <c r="F16555" s="114" t="str">
        <f>IF(INDEX(I.Facility.P3IDNumber,1543)="","",INDEX(I.Facility.P3IDNumber,1543))</f>
        <v/>
      </c>
      <c r="G16555" s="51"/>
      <c r="H16555" s="46" t="str">
        <f>IF(AND(I.Developer.P3=TRUE,I.Facility.P3FacilityCount&gt;=1543,F16555=""),"Incomplete","Complete")</f>
        <v>Complete</v>
      </c>
      <c r="I16555" s="48" t="s">
        <v>20920</v>
      </c>
    </row>
    <row r="16556" spans="2:9" ht="15" customHeight="1" x14ac:dyDescent="0.25">
      <c r="B16556" s="55" t="s">
        <v>282</v>
      </c>
      <c r="C16556" s="46">
        <v>1544</v>
      </c>
      <c r="D16556" s="69" t="s">
        <v>29419</v>
      </c>
      <c r="E16556" s="51"/>
      <c r="F16556" s="114" t="str">
        <f>IF(INDEX(I.Facility.P3IDNumber,1544)="","",INDEX(I.Facility.P3IDNumber,1544))</f>
        <v/>
      </c>
      <c r="G16556" s="51"/>
      <c r="H16556" s="46" t="str">
        <f>IF(AND(I.Developer.P3=TRUE,I.Facility.P3FacilityCount&gt;=1544,F16556=""),"Incomplete","Complete")</f>
        <v>Complete</v>
      </c>
      <c r="I16556" s="48" t="s">
        <v>20921</v>
      </c>
    </row>
    <row r="16557" spans="2:9" ht="15" customHeight="1" x14ac:dyDescent="0.25">
      <c r="B16557" s="55" t="s">
        <v>282</v>
      </c>
      <c r="C16557" s="46">
        <v>1545</v>
      </c>
      <c r="D16557" s="69" t="s">
        <v>29419</v>
      </c>
      <c r="E16557" s="51"/>
      <c r="F16557" s="114" t="str">
        <f>IF(INDEX(I.Facility.P3IDNumber,1545)="","",INDEX(I.Facility.P3IDNumber,1545))</f>
        <v/>
      </c>
      <c r="G16557" s="51"/>
      <c r="H16557" s="46" t="str">
        <f>IF(AND(I.Developer.P3=TRUE,I.Facility.P3FacilityCount&gt;=1545,F16557=""),"Incomplete","Complete")</f>
        <v>Complete</v>
      </c>
      <c r="I16557" s="48" t="s">
        <v>20922</v>
      </c>
    </row>
    <row r="16558" spans="2:9" ht="15" customHeight="1" x14ac:dyDescent="0.25">
      <c r="B16558" s="55" t="s">
        <v>282</v>
      </c>
      <c r="C16558" s="46">
        <v>1546</v>
      </c>
      <c r="D16558" s="69" t="s">
        <v>29419</v>
      </c>
      <c r="E16558" s="51"/>
      <c r="F16558" s="114" t="str">
        <f>IF(INDEX(I.Facility.P3IDNumber,1546)="","",INDEX(I.Facility.P3IDNumber,1546))</f>
        <v/>
      </c>
      <c r="G16558" s="51"/>
      <c r="H16558" s="46" t="str">
        <f>IF(AND(I.Developer.P3=TRUE,I.Facility.P3FacilityCount&gt;=1546,F16558=""),"Incomplete","Complete")</f>
        <v>Complete</v>
      </c>
      <c r="I16558" s="48" t="s">
        <v>20923</v>
      </c>
    </row>
    <row r="16559" spans="2:9" ht="15" customHeight="1" x14ac:dyDescent="0.25">
      <c r="B16559" s="55" t="s">
        <v>282</v>
      </c>
      <c r="C16559" s="46">
        <v>1547</v>
      </c>
      <c r="D16559" s="69" t="s">
        <v>29419</v>
      </c>
      <c r="E16559" s="51"/>
      <c r="F16559" s="114" t="str">
        <f>IF(INDEX(I.Facility.P3IDNumber,1547)="","",INDEX(I.Facility.P3IDNumber,1547))</f>
        <v/>
      </c>
      <c r="G16559" s="51"/>
      <c r="H16559" s="46" t="str">
        <f>IF(AND(I.Developer.P3=TRUE,I.Facility.P3FacilityCount&gt;=1547,F16559=""),"Incomplete","Complete")</f>
        <v>Complete</v>
      </c>
      <c r="I16559" s="48" t="s">
        <v>20924</v>
      </c>
    </row>
    <row r="16560" spans="2:9" ht="15" customHeight="1" x14ac:dyDescent="0.25">
      <c r="B16560" s="55" t="s">
        <v>282</v>
      </c>
      <c r="C16560" s="46">
        <v>1548</v>
      </c>
      <c r="D16560" s="69" t="s">
        <v>29419</v>
      </c>
      <c r="E16560" s="51"/>
      <c r="F16560" s="114" t="str">
        <f>IF(INDEX(I.Facility.P3IDNumber,1548)="","",INDEX(I.Facility.P3IDNumber,1548))</f>
        <v/>
      </c>
      <c r="G16560" s="51"/>
      <c r="H16560" s="46" t="str">
        <f>IF(AND(I.Developer.P3=TRUE,I.Facility.P3FacilityCount&gt;=1548,F16560=""),"Incomplete","Complete")</f>
        <v>Complete</v>
      </c>
      <c r="I16560" s="48" t="s">
        <v>20925</v>
      </c>
    </row>
    <row r="16561" spans="2:9" ht="15" customHeight="1" x14ac:dyDescent="0.25">
      <c r="B16561" s="55" t="s">
        <v>282</v>
      </c>
      <c r="C16561" s="46">
        <v>1549</v>
      </c>
      <c r="D16561" s="69" t="s">
        <v>29419</v>
      </c>
      <c r="E16561" s="51"/>
      <c r="F16561" s="114" t="str">
        <f>IF(INDEX(I.Facility.P3IDNumber,1549)="","",INDEX(I.Facility.P3IDNumber,1549))</f>
        <v/>
      </c>
      <c r="G16561" s="51"/>
      <c r="H16561" s="46" t="str">
        <f>IF(AND(I.Developer.P3=TRUE,I.Facility.P3FacilityCount&gt;=1549,F16561=""),"Incomplete","Complete")</f>
        <v>Complete</v>
      </c>
      <c r="I16561" s="48" t="s">
        <v>20926</v>
      </c>
    </row>
    <row r="16562" spans="2:9" ht="15" customHeight="1" x14ac:dyDescent="0.25">
      <c r="B16562" s="55" t="s">
        <v>282</v>
      </c>
      <c r="C16562" s="46">
        <v>1550</v>
      </c>
      <c r="D16562" s="69" t="s">
        <v>29419</v>
      </c>
      <c r="E16562" s="51"/>
      <c r="F16562" s="114" t="str">
        <f>IF(INDEX(I.Facility.P3IDNumber,1550)="","",INDEX(I.Facility.P3IDNumber,1550))</f>
        <v/>
      </c>
      <c r="G16562" s="51"/>
      <c r="H16562" s="46" t="str">
        <f>IF(AND(I.Developer.P3=TRUE,I.Facility.P3FacilityCount&gt;=1550,F16562=""),"Incomplete","Complete")</f>
        <v>Complete</v>
      </c>
      <c r="I16562" s="48" t="s">
        <v>20927</v>
      </c>
    </row>
    <row r="16563" spans="2:9" ht="15" customHeight="1" x14ac:dyDescent="0.25">
      <c r="B16563" s="55" t="s">
        <v>282</v>
      </c>
      <c r="C16563" s="46">
        <v>1551</v>
      </c>
      <c r="D16563" s="69" t="s">
        <v>29419</v>
      </c>
      <c r="E16563" s="51"/>
      <c r="F16563" s="114" t="str">
        <f>IF(INDEX(I.Facility.P3IDNumber,1551)="","",INDEX(I.Facility.P3IDNumber,1551))</f>
        <v/>
      </c>
      <c r="G16563" s="51"/>
      <c r="H16563" s="46" t="str">
        <f>IF(AND(I.Developer.P3=TRUE,I.Facility.P3FacilityCount&gt;=1551,F16563=""),"Incomplete","Complete")</f>
        <v>Complete</v>
      </c>
      <c r="I16563" s="48" t="s">
        <v>20928</v>
      </c>
    </row>
    <row r="16564" spans="2:9" ht="15" customHeight="1" x14ac:dyDescent="0.25">
      <c r="B16564" s="55" t="s">
        <v>282</v>
      </c>
      <c r="C16564" s="46">
        <v>1552</v>
      </c>
      <c r="D16564" s="69" t="s">
        <v>29419</v>
      </c>
      <c r="E16564" s="51"/>
      <c r="F16564" s="114" t="str">
        <f>IF(INDEX(I.Facility.P3IDNumber,1552)="","",INDEX(I.Facility.P3IDNumber,1552))</f>
        <v/>
      </c>
      <c r="G16564" s="51"/>
      <c r="H16564" s="46" t="str">
        <f>IF(AND(I.Developer.P3=TRUE,I.Facility.P3FacilityCount&gt;=1552,F16564=""),"Incomplete","Complete")</f>
        <v>Complete</v>
      </c>
      <c r="I16564" s="48" t="s">
        <v>20929</v>
      </c>
    </row>
    <row r="16565" spans="2:9" ht="15" customHeight="1" x14ac:dyDescent="0.25">
      <c r="B16565" s="55" t="s">
        <v>282</v>
      </c>
      <c r="C16565" s="46">
        <v>1553</v>
      </c>
      <c r="D16565" s="69" t="s">
        <v>29419</v>
      </c>
      <c r="E16565" s="51"/>
      <c r="F16565" s="114" t="str">
        <f>IF(INDEX(I.Facility.P3IDNumber,1553)="","",INDEX(I.Facility.P3IDNumber,1553))</f>
        <v/>
      </c>
      <c r="G16565" s="51"/>
      <c r="H16565" s="46" t="str">
        <f>IF(AND(I.Developer.P3=TRUE,I.Facility.P3FacilityCount&gt;=1553,F16565=""),"Incomplete","Complete")</f>
        <v>Complete</v>
      </c>
      <c r="I16565" s="48" t="s">
        <v>20930</v>
      </c>
    </row>
    <row r="16566" spans="2:9" ht="15" customHeight="1" x14ac:dyDescent="0.25">
      <c r="B16566" s="55" t="s">
        <v>282</v>
      </c>
      <c r="C16566" s="46">
        <v>1554</v>
      </c>
      <c r="D16566" s="69" t="s">
        <v>29419</v>
      </c>
      <c r="E16566" s="51"/>
      <c r="F16566" s="114" t="str">
        <f>IF(INDEX(I.Facility.P3IDNumber,1554)="","",INDEX(I.Facility.P3IDNumber,1554))</f>
        <v/>
      </c>
      <c r="G16566" s="51"/>
      <c r="H16566" s="46" t="str">
        <f>IF(AND(I.Developer.P3=TRUE,I.Facility.P3FacilityCount&gt;=1554,F16566=""),"Incomplete","Complete")</f>
        <v>Complete</v>
      </c>
      <c r="I16566" s="48" t="s">
        <v>20931</v>
      </c>
    </row>
    <row r="16567" spans="2:9" ht="15" customHeight="1" x14ac:dyDescent="0.25">
      <c r="B16567" s="55" t="s">
        <v>282</v>
      </c>
      <c r="C16567" s="46">
        <v>1555</v>
      </c>
      <c r="D16567" s="69" t="s">
        <v>29419</v>
      </c>
      <c r="E16567" s="51"/>
      <c r="F16567" s="114" t="str">
        <f>IF(INDEX(I.Facility.P3IDNumber,1555)="","",INDEX(I.Facility.P3IDNumber,1555))</f>
        <v/>
      </c>
      <c r="G16567" s="51"/>
      <c r="H16567" s="46" t="str">
        <f>IF(AND(I.Developer.P3=TRUE,I.Facility.P3FacilityCount&gt;=1555,F16567=""),"Incomplete","Complete")</f>
        <v>Complete</v>
      </c>
      <c r="I16567" s="48" t="s">
        <v>20932</v>
      </c>
    </row>
    <row r="16568" spans="2:9" ht="15" customHeight="1" x14ac:dyDescent="0.25">
      <c r="B16568" s="55" t="s">
        <v>282</v>
      </c>
      <c r="C16568" s="46">
        <v>1556</v>
      </c>
      <c r="D16568" s="69" t="s">
        <v>29419</v>
      </c>
      <c r="E16568" s="51"/>
      <c r="F16568" s="114" t="str">
        <f>IF(INDEX(I.Facility.P3IDNumber,1556)="","",INDEX(I.Facility.P3IDNumber,1556))</f>
        <v/>
      </c>
      <c r="G16568" s="51"/>
      <c r="H16568" s="46" t="str">
        <f>IF(AND(I.Developer.P3=TRUE,I.Facility.P3FacilityCount&gt;=1556,F16568=""),"Incomplete","Complete")</f>
        <v>Complete</v>
      </c>
      <c r="I16568" s="48" t="s">
        <v>20933</v>
      </c>
    </row>
    <row r="16569" spans="2:9" ht="15" customHeight="1" x14ac:dyDescent="0.25">
      <c r="B16569" s="55" t="s">
        <v>282</v>
      </c>
      <c r="C16569" s="46">
        <v>1557</v>
      </c>
      <c r="D16569" s="69" t="s">
        <v>29419</v>
      </c>
      <c r="E16569" s="51"/>
      <c r="F16569" s="114" t="str">
        <f>IF(INDEX(I.Facility.P3IDNumber,1557)="","",INDEX(I.Facility.P3IDNumber,1557))</f>
        <v/>
      </c>
      <c r="G16569" s="51"/>
      <c r="H16569" s="46" t="str">
        <f>IF(AND(I.Developer.P3=TRUE,I.Facility.P3FacilityCount&gt;=1557,F16569=""),"Incomplete","Complete")</f>
        <v>Complete</v>
      </c>
      <c r="I16569" s="48" t="s">
        <v>20934</v>
      </c>
    </row>
    <row r="16570" spans="2:9" ht="15" customHeight="1" x14ac:dyDescent="0.25">
      <c r="B16570" s="55" t="s">
        <v>282</v>
      </c>
      <c r="C16570" s="46">
        <v>1558</v>
      </c>
      <c r="D16570" s="69" t="s">
        <v>29419</v>
      </c>
      <c r="E16570" s="51"/>
      <c r="F16570" s="114" t="str">
        <f>IF(INDEX(I.Facility.P3IDNumber,1558)="","",INDEX(I.Facility.P3IDNumber,1558))</f>
        <v/>
      </c>
      <c r="G16570" s="51"/>
      <c r="H16570" s="46" t="str">
        <f>IF(AND(I.Developer.P3=TRUE,I.Facility.P3FacilityCount&gt;=1558,F16570=""),"Incomplete","Complete")</f>
        <v>Complete</v>
      </c>
      <c r="I16570" s="48" t="s">
        <v>20935</v>
      </c>
    </row>
    <row r="16571" spans="2:9" ht="15" customHeight="1" x14ac:dyDescent="0.25">
      <c r="B16571" s="55" t="s">
        <v>282</v>
      </c>
      <c r="C16571" s="46">
        <v>1559</v>
      </c>
      <c r="D16571" s="69" t="s">
        <v>29419</v>
      </c>
      <c r="E16571" s="51"/>
      <c r="F16571" s="114" t="str">
        <f>IF(INDEX(I.Facility.P3IDNumber,1559)="","",INDEX(I.Facility.P3IDNumber,1559))</f>
        <v/>
      </c>
      <c r="G16571" s="51"/>
      <c r="H16571" s="46" t="str">
        <f>IF(AND(I.Developer.P3=TRUE,I.Facility.P3FacilityCount&gt;=1559,F16571=""),"Incomplete","Complete")</f>
        <v>Complete</v>
      </c>
      <c r="I16571" s="48" t="s">
        <v>20936</v>
      </c>
    </row>
    <row r="16572" spans="2:9" ht="15" customHeight="1" x14ac:dyDescent="0.25">
      <c r="B16572" s="55" t="s">
        <v>282</v>
      </c>
      <c r="C16572" s="46">
        <v>1560</v>
      </c>
      <c r="D16572" s="69" t="s">
        <v>29419</v>
      </c>
      <c r="E16572" s="51"/>
      <c r="F16572" s="114" t="str">
        <f>IF(INDEX(I.Facility.P3IDNumber,1560)="","",INDEX(I.Facility.P3IDNumber,1560))</f>
        <v/>
      </c>
      <c r="G16572" s="51"/>
      <c r="H16572" s="46" t="str">
        <f>IF(AND(I.Developer.P3=TRUE,I.Facility.P3FacilityCount&gt;=1560,F16572=""),"Incomplete","Complete")</f>
        <v>Complete</v>
      </c>
      <c r="I16572" s="48" t="s">
        <v>20937</v>
      </c>
    </row>
    <row r="16573" spans="2:9" ht="15" customHeight="1" x14ac:dyDescent="0.25">
      <c r="B16573" s="55" t="s">
        <v>282</v>
      </c>
      <c r="C16573" s="46">
        <v>1561</v>
      </c>
      <c r="D16573" s="69" t="s">
        <v>29419</v>
      </c>
      <c r="E16573" s="51"/>
      <c r="F16573" s="114" t="str">
        <f>IF(INDEX(I.Facility.P3IDNumber,1561)="","",INDEX(I.Facility.P3IDNumber,1561))</f>
        <v/>
      </c>
      <c r="G16573" s="51"/>
      <c r="H16573" s="46" t="str">
        <f>IF(AND(I.Developer.P3=TRUE,I.Facility.P3FacilityCount&gt;=1561,F16573=""),"Incomplete","Complete")</f>
        <v>Complete</v>
      </c>
      <c r="I16573" s="48" t="s">
        <v>20938</v>
      </c>
    </row>
    <row r="16574" spans="2:9" ht="15" customHeight="1" x14ac:dyDescent="0.25">
      <c r="B16574" s="55" t="s">
        <v>282</v>
      </c>
      <c r="C16574" s="46">
        <v>1562</v>
      </c>
      <c r="D16574" s="69" t="s">
        <v>29419</v>
      </c>
      <c r="E16574" s="51"/>
      <c r="F16574" s="114" t="str">
        <f>IF(INDEX(I.Facility.P3IDNumber,1562)="","",INDEX(I.Facility.P3IDNumber,1562))</f>
        <v/>
      </c>
      <c r="G16574" s="51"/>
      <c r="H16574" s="46" t="str">
        <f>IF(AND(I.Developer.P3=TRUE,I.Facility.P3FacilityCount&gt;=1562,F16574=""),"Incomplete","Complete")</f>
        <v>Complete</v>
      </c>
      <c r="I16574" s="48" t="s">
        <v>20939</v>
      </c>
    </row>
    <row r="16575" spans="2:9" ht="15" customHeight="1" x14ac:dyDescent="0.25">
      <c r="B16575" s="55" t="s">
        <v>282</v>
      </c>
      <c r="C16575" s="46">
        <v>1563</v>
      </c>
      <c r="D16575" s="69" t="s">
        <v>29419</v>
      </c>
      <c r="E16575" s="51"/>
      <c r="F16575" s="114" t="str">
        <f>IF(INDEX(I.Facility.P3IDNumber,1563)="","",INDEX(I.Facility.P3IDNumber,1563))</f>
        <v/>
      </c>
      <c r="G16575" s="51"/>
      <c r="H16575" s="46" t="str">
        <f>IF(AND(I.Developer.P3=TRUE,I.Facility.P3FacilityCount&gt;=1563,F16575=""),"Incomplete","Complete")</f>
        <v>Complete</v>
      </c>
      <c r="I16575" s="48" t="s">
        <v>20940</v>
      </c>
    </row>
    <row r="16576" spans="2:9" ht="15" customHeight="1" x14ac:dyDescent="0.25">
      <c r="B16576" s="55" t="s">
        <v>282</v>
      </c>
      <c r="C16576" s="46">
        <v>1564</v>
      </c>
      <c r="D16576" s="69" t="s">
        <v>29419</v>
      </c>
      <c r="E16576" s="51"/>
      <c r="F16576" s="114" t="str">
        <f>IF(INDEX(I.Facility.P3IDNumber,1564)="","",INDEX(I.Facility.P3IDNumber,1564))</f>
        <v/>
      </c>
      <c r="G16576" s="51"/>
      <c r="H16576" s="46" t="str">
        <f>IF(AND(I.Developer.P3=TRUE,I.Facility.P3FacilityCount&gt;=1564,F16576=""),"Incomplete","Complete")</f>
        <v>Complete</v>
      </c>
      <c r="I16576" s="48" t="s">
        <v>20941</v>
      </c>
    </row>
    <row r="16577" spans="2:9" ht="15" customHeight="1" x14ac:dyDescent="0.25">
      <c r="B16577" s="55" t="s">
        <v>282</v>
      </c>
      <c r="C16577" s="46">
        <v>1565</v>
      </c>
      <c r="D16577" s="69" t="s">
        <v>29419</v>
      </c>
      <c r="E16577" s="51"/>
      <c r="F16577" s="114" t="str">
        <f>IF(INDEX(I.Facility.P3IDNumber,1565)="","",INDEX(I.Facility.P3IDNumber,1565))</f>
        <v/>
      </c>
      <c r="G16577" s="51"/>
      <c r="H16577" s="46" t="str">
        <f>IF(AND(I.Developer.P3=TRUE,I.Facility.P3FacilityCount&gt;=1565,F16577=""),"Incomplete","Complete")</f>
        <v>Complete</v>
      </c>
      <c r="I16577" s="48" t="s">
        <v>20942</v>
      </c>
    </row>
    <row r="16578" spans="2:9" ht="15" customHeight="1" x14ac:dyDescent="0.25">
      <c r="B16578" s="55" t="s">
        <v>282</v>
      </c>
      <c r="C16578" s="46">
        <v>1566</v>
      </c>
      <c r="D16578" s="69" t="s">
        <v>29419</v>
      </c>
      <c r="E16578" s="51"/>
      <c r="F16578" s="114" t="str">
        <f>IF(INDEX(I.Facility.P3IDNumber,1566)="","",INDEX(I.Facility.P3IDNumber,1566))</f>
        <v/>
      </c>
      <c r="G16578" s="51"/>
      <c r="H16578" s="46" t="str">
        <f>IF(AND(I.Developer.P3=TRUE,I.Facility.P3FacilityCount&gt;=1566,F16578=""),"Incomplete","Complete")</f>
        <v>Complete</v>
      </c>
      <c r="I16578" s="48" t="s">
        <v>20943</v>
      </c>
    </row>
    <row r="16579" spans="2:9" ht="15" customHeight="1" x14ac:dyDescent="0.25">
      <c r="B16579" s="55" t="s">
        <v>282</v>
      </c>
      <c r="C16579" s="46">
        <v>1567</v>
      </c>
      <c r="D16579" s="69" t="s">
        <v>29419</v>
      </c>
      <c r="E16579" s="51"/>
      <c r="F16579" s="114" t="str">
        <f>IF(INDEX(I.Facility.P3IDNumber,1567)="","",INDEX(I.Facility.P3IDNumber,1567))</f>
        <v/>
      </c>
      <c r="G16579" s="51"/>
      <c r="H16579" s="46" t="str">
        <f>IF(AND(I.Developer.P3=TRUE,I.Facility.P3FacilityCount&gt;=1567,F16579=""),"Incomplete","Complete")</f>
        <v>Complete</v>
      </c>
      <c r="I16579" s="48" t="s">
        <v>20944</v>
      </c>
    </row>
    <row r="16580" spans="2:9" ht="15" customHeight="1" x14ac:dyDescent="0.25">
      <c r="B16580" s="55" t="s">
        <v>282</v>
      </c>
      <c r="C16580" s="46">
        <v>1568</v>
      </c>
      <c r="D16580" s="69" t="s">
        <v>29419</v>
      </c>
      <c r="E16580" s="51"/>
      <c r="F16580" s="114" t="str">
        <f>IF(INDEX(I.Facility.P3IDNumber,1568)="","",INDEX(I.Facility.P3IDNumber,1568))</f>
        <v/>
      </c>
      <c r="G16580" s="51"/>
      <c r="H16580" s="46" t="str">
        <f>IF(AND(I.Developer.P3=TRUE,I.Facility.P3FacilityCount&gt;=1568,F16580=""),"Incomplete","Complete")</f>
        <v>Complete</v>
      </c>
      <c r="I16580" s="48" t="s">
        <v>20945</v>
      </c>
    </row>
    <row r="16581" spans="2:9" ht="15" customHeight="1" x14ac:dyDescent="0.25">
      <c r="B16581" s="55" t="s">
        <v>282</v>
      </c>
      <c r="C16581" s="46">
        <v>1569</v>
      </c>
      <c r="D16581" s="69" t="s">
        <v>29419</v>
      </c>
      <c r="E16581" s="51"/>
      <c r="F16581" s="114" t="str">
        <f>IF(INDEX(I.Facility.P3IDNumber,1569)="","",INDEX(I.Facility.P3IDNumber,1569))</f>
        <v/>
      </c>
      <c r="G16581" s="51"/>
      <c r="H16581" s="46" t="str">
        <f>IF(AND(I.Developer.P3=TRUE,I.Facility.P3FacilityCount&gt;=1569,F16581=""),"Incomplete","Complete")</f>
        <v>Complete</v>
      </c>
      <c r="I16581" s="48" t="s">
        <v>20946</v>
      </c>
    </row>
    <row r="16582" spans="2:9" ht="15" customHeight="1" x14ac:dyDescent="0.25">
      <c r="B16582" s="55" t="s">
        <v>282</v>
      </c>
      <c r="C16582" s="46">
        <v>1570</v>
      </c>
      <c r="D16582" s="69" t="s">
        <v>29419</v>
      </c>
      <c r="E16582" s="51"/>
      <c r="F16582" s="114" t="str">
        <f>IF(INDEX(I.Facility.P3IDNumber,1570)="","",INDEX(I.Facility.P3IDNumber,1570))</f>
        <v/>
      </c>
      <c r="G16582" s="51"/>
      <c r="H16582" s="46" t="str">
        <f>IF(AND(I.Developer.P3=TRUE,I.Facility.P3FacilityCount&gt;=1570,F16582=""),"Incomplete","Complete")</f>
        <v>Complete</v>
      </c>
      <c r="I16582" s="48" t="s">
        <v>20947</v>
      </c>
    </row>
    <row r="16583" spans="2:9" ht="15" customHeight="1" x14ac:dyDescent="0.25">
      <c r="B16583" s="55" t="s">
        <v>282</v>
      </c>
      <c r="C16583" s="46">
        <v>1571</v>
      </c>
      <c r="D16583" s="69" t="s">
        <v>29419</v>
      </c>
      <c r="E16583" s="51"/>
      <c r="F16583" s="114" t="str">
        <f>IF(INDEX(I.Facility.P3IDNumber,1571)="","",INDEX(I.Facility.P3IDNumber,1571))</f>
        <v/>
      </c>
      <c r="G16583" s="51"/>
      <c r="H16583" s="46" t="str">
        <f>IF(AND(I.Developer.P3=TRUE,I.Facility.P3FacilityCount&gt;=1571,F16583=""),"Incomplete","Complete")</f>
        <v>Complete</v>
      </c>
      <c r="I16583" s="48" t="s">
        <v>20948</v>
      </c>
    </row>
    <row r="16584" spans="2:9" ht="15" customHeight="1" x14ac:dyDescent="0.25">
      <c r="B16584" s="55" t="s">
        <v>282</v>
      </c>
      <c r="C16584" s="46">
        <v>1572</v>
      </c>
      <c r="D16584" s="69" t="s">
        <v>29419</v>
      </c>
      <c r="E16584" s="51"/>
      <c r="F16584" s="114" t="str">
        <f>IF(INDEX(I.Facility.P3IDNumber,1572)="","",INDEX(I.Facility.P3IDNumber,1572))</f>
        <v/>
      </c>
      <c r="G16584" s="51"/>
      <c r="H16584" s="46" t="str">
        <f>IF(AND(I.Developer.P3=TRUE,I.Facility.P3FacilityCount&gt;=1572,F16584=""),"Incomplete","Complete")</f>
        <v>Complete</v>
      </c>
      <c r="I16584" s="48" t="s">
        <v>20949</v>
      </c>
    </row>
    <row r="16585" spans="2:9" ht="15" customHeight="1" x14ac:dyDescent="0.25">
      <c r="B16585" s="55" t="s">
        <v>282</v>
      </c>
      <c r="C16585" s="46">
        <v>1573</v>
      </c>
      <c r="D16585" s="69" t="s">
        <v>29419</v>
      </c>
      <c r="E16585" s="51"/>
      <c r="F16585" s="114" t="str">
        <f>IF(INDEX(I.Facility.P3IDNumber,1573)="","",INDEX(I.Facility.P3IDNumber,1573))</f>
        <v/>
      </c>
      <c r="G16585" s="51"/>
      <c r="H16585" s="46" t="str">
        <f>IF(AND(I.Developer.P3=TRUE,I.Facility.P3FacilityCount&gt;=1573,F16585=""),"Incomplete","Complete")</f>
        <v>Complete</v>
      </c>
      <c r="I16585" s="48" t="s">
        <v>20950</v>
      </c>
    </row>
    <row r="16586" spans="2:9" ht="15" customHeight="1" x14ac:dyDescent="0.25">
      <c r="B16586" s="55" t="s">
        <v>282</v>
      </c>
      <c r="C16586" s="46">
        <v>1574</v>
      </c>
      <c r="D16586" s="69" t="s">
        <v>29419</v>
      </c>
      <c r="E16586" s="51"/>
      <c r="F16586" s="114" t="str">
        <f>IF(INDEX(I.Facility.P3IDNumber,1574)="","",INDEX(I.Facility.P3IDNumber,1574))</f>
        <v/>
      </c>
      <c r="G16586" s="51"/>
      <c r="H16586" s="46" t="str">
        <f>IF(AND(I.Developer.P3=TRUE,I.Facility.P3FacilityCount&gt;=1574,F16586=""),"Incomplete","Complete")</f>
        <v>Complete</v>
      </c>
      <c r="I16586" s="48" t="s">
        <v>20951</v>
      </c>
    </row>
    <row r="16587" spans="2:9" ht="15" customHeight="1" x14ac:dyDescent="0.25">
      <c r="B16587" s="55" t="s">
        <v>282</v>
      </c>
      <c r="C16587" s="46">
        <v>1575</v>
      </c>
      <c r="D16587" s="69" t="s">
        <v>29419</v>
      </c>
      <c r="E16587" s="51"/>
      <c r="F16587" s="114" t="str">
        <f>IF(INDEX(I.Facility.P3IDNumber,1575)="","",INDEX(I.Facility.P3IDNumber,1575))</f>
        <v/>
      </c>
      <c r="G16587" s="51"/>
      <c r="H16587" s="46" t="str">
        <f>IF(AND(I.Developer.P3=TRUE,I.Facility.P3FacilityCount&gt;=1575,F16587=""),"Incomplete","Complete")</f>
        <v>Complete</v>
      </c>
      <c r="I16587" s="48" t="s">
        <v>20952</v>
      </c>
    </row>
    <row r="16588" spans="2:9" ht="15" customHeight="1" x14ac:dyDescent="0.25">
      <c r="B16588" s="55" t="s">
        <v>282</v>
      </c>
      <c r="C16588" s="46">
        <v>1576</v>
      </c>
      <c r="D16588" s="69" t="s">
        <v>29419</v>
      </c>
      <c r="E16588" s="51"/>
      <c r="F16588" s="114" t="str">
        <f>IF(INDEX(I.Facility.P3IDNumber,1576)="","",INDEX(I.Facility.P3IDNumber,1576))</f>
        <v/>
      </c>
      <c r="G16588" s="51"/>
      <c r="H16588" s="46" t="str">
        <f>IF(AND(I.Developer.P3=TRUE,I.Facility.P3FacilityCount&gt;=1576,F16588=""),"Incomplete","Complete")</f>
        <v>Complete</v>
      </c>
      <c r="I16588" s="48" t="s">
        <v>20953</v>
      </c>
    </row>
    <row r="16589" spans="2:9" ht="15" customHeight="1" x14ac:dyDescent="0.25">
      <c r="B16589" s="55" t="s">
        <v>282</v>
      </c>
      <c r="C16589" s="46">
        <v>1577</v>
      </c>
      <c r="D16589" s="69" t="s">
        <v>29419</v>
      </c>
      <c r="E16589" s="51"/>
      <c r="F16589" s="114" t="str">
        <f>IF(INDEX(I.Facility.P3IDNumber,1577)="","",INDEX(I.Facility.P3IDNumber,1577))</f>
        <v/>
      </c>
      <c r="G16589" s="51"/>
      <c r="H16589" s="46" t="str">
        <f>IF(AND(I.Developer.P3=TRUE,I.Facility.P3FacilityCount&gt;=1577,F16589=""),"Incomplete","Complete")</f>
        <v>Complete</v>
      </c>
      <c r="I16589" s="48" t="s">
        <v>20954</v>
      </c>
    </row>
    <row r="16590" spans="2:9" ht="15" customHeight="1" x14ac:dyDescent="0.25">
      <c r="B16590" s="55" t="s">
        <v>282</v>
      </c>
      <c r="C16590" s="46">
        <v>1578</v>
      </c>
      <c r="D16590" s="69" t="s">
        <v>29419</v>
      </c>
      <c r="E16590" s="51"/>
      <c r="F16590" s="114" t="str">
        <f>IF(INDEX(I.Facility.P3IDNumber,1578)="","",INDEX(I.Facility.P3IDNumber,1578))</f>
        <v/>
      </c>
      <c r="G16590" s="51"/>
      <c r="H16590" s="46" t="str">
        <f>IF(AND(I.Developer.P3=TRUE,I.Facility.P3FacilityCount&gt;=1578,F16590=""),"Incomplete","Complete")</f>
        <v>Complete</v>
      </c>
      <c r="I16590" s="48" t="s">
        <v>20955</v>
      </c>
    </row>
    <row r="16591" spans="2:9" ht="15" customHeight="1" x14ac:dyDescent="0.25">
      <c r="B16591" s="55" t="s">
        <v>282</v>
      </c>
      <c r="C16591" s="46">
        <v>1579</v>
      </c>
      <c r="D16591" s="69" t="s">
        <v>29419</v>
      </c>
      <c r="E16591" s="51"/>
      <c r="F16591" s="114" t="str">
        <f>IF(INDEX(I.Facility.P3IDNumber,1579)="","",INDEX(I.Facility.P3IDNumber,1579))</f>
        <v/>
      </c>
      <c r="G16591" s="51"/>
      <c r="H16591" s="46" t="str">
        <f>IF(AND(I.Developer.P3=TRUE,I.Facility.P3FacilityCount&gt;=1579,F16591=""),"Incomplete","Complete")</f>
        <v>Complete</v>
      </c>
      <c r="I16591" s="48" t="s">
        <v>20956</v>
      </c>
    </row>
    <row r="16592" spans="2:9" ht="15" customHeight="1" x14ac:dyDescent="0.25">
      <c r="B16592" s="55" t="s">
        <v>282</v>
      </c>
      <c r="C16592" s="46">
        <v>1580</v>
      </c>
      <c r="D16592" s="69" t="s">
        <v>29419</v>
      </c>
      <c r="E16592" s="51"/>
      <c r="F16592" s="114" t="str">
        <f>IF(INDEX(I.Facility.P3IDNumber,1580)="","",INDEX(I.Facility.P3IDNumber,1580))</f>
        <v/>
      </c>
      <c r="G16592" s="51"/>
      <c r="H16592" s="46" t="str">
        <f>IF(AND(I.Developer.P3=TRUE,I.Facility.P3FacilityCount&gt;=1580,F16592=""),"Incomplete","Complete")</f>
        <v>Complete</v>
      </c>
      <c r="I16592" s="48" t="s">
        <v>20957</v>
      </c>
    </row>
    <row r="16593" spans="2:9" ht="15" customHeight="1" x14ac:dyDescent="0.25">
      <c r="B16593" s="55" t="s">
        <v>282</v>
      </c>
      <c r="C16593" s="46">
        <v>1581</v>
      </c>
      <c r="D16593" s="69" t="s">
        <v>29419</v>
      </c>
      <c r="E16593" s="51"/>
      <c r="F16593" s="114" t="str">
        <f>IF(INDEX(I.Facility.P3IDNumber,1581)="","",INDEX(I.Facility.P3IDNumber,1581))</f>
        <v/>
      </c>
      <c r="G16593" s="51"/>
      <c r="H16593" s="46" t="str">
        <f>IF(AND(I.Developer.P3=TRUE,I.Facility.P3FacilityCount&gt;=1581,F16593=""),"Incomplete","Complete")</f>
        <v>Complete</v>
      </c>
      <c r="I16593" s="48" t="s">
        <v>20958</v>
      </c>
    </row>
    <row r="16594" spans="2:9" ht="15" customHeight="1" x14ac:dyDescent="0.25">
      <c r="B16594" s="55" t="s">
        <v>282</v>
      </c>
      <c r="C16594" s="46">
        <v>1582</v>
      </c>
      <c r="D16594" s="69" t="s">
        <v>29419</v>
      </c>
      <c r="E16594" s="51"/>
      <c r="F16594" s="114" t="str">
        <f>IF(INDEX(I.Facility.P3IDNumber,1582)="","",INDEX(I.Facility.P3IDNumber,1582))</f>
        <v/>
      </c>
      <c r="G16594" s="51"/>
      <c r="H16594" s="46" t="str">
        <f>IF(AND(I.Developer.P3=TRUE,I.Facility.P3FacilityCount&gt;=1582,F16594=""),"Incomplete","Complete")</f>
        <v>Complete</v>
      </c>
      <c r="I16594" s="48" t="s">
        <v>20959</v>
      </c>
    </row>
    <row r="16595" spans="2:9" ht="15" customHeight="1" x14ac:dyDescent="0.25">
      <c r="B16595" s="55" t="s">
        <v>282</v>
      </c>
      <c r="C16595" s="46">
        <v>1583</v>
      </c>
      <c r="D16595" s="69" t="s">
        <v>29419</v>
      </c>
      <c r="E16595" s="51"/>
      <c r="F16595" s="114" t="str">
        <f>IF(INDEX(I.Facility.P3IDNumber,1583)="","",INDEX(I.Facility.P3IDNumber,1583))</f>
        <v/>
      </c>
      <c r="G16595" s="51"/>
      <c r="H16595" s="46" t="str">
        <f>IF(AND(I.Developer.P3=TRUE,I.Facility.P3FacilityCount&gt;=1583,F16595=""),"Incomplete","Complete")</f>
        <v>Complete</v>
      </c>
      <c r="I16595" s="48" t="s">
        <v>20960</v>
      </c>
    </row>
    <row r="16596" spans="2:9" ht="15" customHeight="1" x14ac:dyDescent="0.25">
      <c r="B16596" s="55" t="s">
        <v>282</v>
      </c>
      <c r="C16596" s="46">
        <v>1584</v>
      </c>
      <c r="D16596" s="69" t="s">
        <v>29419</v>
      </c>
      <c r="E16596" s="51"/>
      <c r="F16596" s="114" t="str">
        <f>IF(INDEX(I.Facility.P3IDNumber,1584)="","",INDEX(I.Facility.P3IDNumber,1584))</f>
        <v/>
      </c>
      <c r="G16596" s="51"/>
      <c r="H16596" s="46" t="str">
        <f>IF(AND(I.Developer.P3=TRUE,I.Facility.P3FacilityCount&gt;=1584,F16596=""),"Incomplete","Complete")</f>
        <v>Complete</v>
      </c>
      <c r="I16596" s="48" t="s">
        <v>20961</v>
      </c>
    </row>
    <row r="16597" spans="2:9" ht="15" customHeight="1" x14ac:dyDescent="0.25">
      <c r="B16597" s="55" t="s">
        <v>282</v>
      </c>
      <c r="C16597" s="46">
        <v>1585</v>
      </c>
      <c r="D16597" s="69" t="s">
        <v>29419</v>
      </c>
      <c r="E16597" s="51"/>
      <c r="F16597" s="114" t="str">
        <f>IF(INDEX(I.Facility.P3IDNumber,1585)="","",INDEX(I.Facility.P3IDNumber,1585))</f>
        <v/>
      </c>
      <c r="G16597" s="51"/>
      <c r="H16597" s="46" t="str">
        <f>IF(AND(I.Developer.P3=TRUE,I.Facility.P3FacilityCount&gt;=1585,F16597=""),"Incomplete","Complete")</f>
        <v>Complete</v>
      </c>
      <c r="I16597" s="48" t="s">
        <v>20962</v>
      </c>
    </row>
    <row r="16598" spans="2:9" ht="15" customHeight="1" x14ac:dyDescent="0.25">
      <c r="B16598" s="55" t="s">
        <v>282</v>
      </c>
      <c r="C16598" s="46">
        <v>1586</v>
      </c>
      <c r="D16598" s="69" t="s">
        <v>29419</v>
      </c>
      <c r="E16598" s="51"/>
      <c r="F16598" s="114" t="str">
        <f>IF(INDEX(I.Facility.P3IDNumber,1586)="","",INDEX(I.Facility.P3IDNumber,1586))</f>
        <v/>
      </c>
      <c r="G16598" s="51"/>
      <c r="H16598" s="46" t="str">
        <f>IF(AND(I.Developer.P3=TRUE,I.Facility.P3FacilityCount&gt;=1586,F16598=""),"Incomplete","Complete")</f>
        <v>Complete</v>
      </c>
      <c r="I16598" s="48" t="s">
        <v>20963</v>
      </c>
    </row>
    <row r="16599" spans="2:9" ht="15" customHeight="1" x14ac:dyDescent="0.25">
      <c r="B16599" s="55" t="s">
        <v>282</v>
      </c>
      <c r="C16599" s="46">
        <v>1587</v>
      </c>
      <c r="D16599" s="69" t="s">
        <v>29419</v>
      </c>
      <c r="E16599" s="51"/>
      <c r="F16599" s="114" t="str">
        <f>IF(INDEX(I.Facility.P3IDNumber,1587)="","",INDEX(I.Facility.P3IDNumber,1587))</f>
        <v/>
      </c>
      <c r="G16599" s="51"/>
      <c r="H16599" s="46" t="str">
        <f>IF(AND(I.Developer.P3=TRUE,I.Facility.P3FacilityCount&gt;=1587,F16599=""),"Incomplete","Complete")</f>
        <v>Complete</v>
      </c>
      <c r="I16599" s="48" t="s">
        <v>20964</v>
      </c>
    </row>
    <row r="16600" spans="2:9" ht="15" customHeight="1" x14ac:dyDescent="0.25">
      <c r="B16600" s="55" t="s">
        <v>282</v>
      </c>
      <c r="C16600" s="46">
        <v>1588</v>
      </c>
      <c r="D16600" s="69" t="s">
        <v>29419</v>
      </c>
      <c r="E16600" s="51"/>
      <c r="F16600" s="114" t="str">
        <f>IF(INDEX(I.Facility.P3IDNumber,1588)="","",INDEX(I.Facility.P3IDNumber,1588))</f>
        <v/>
      </c>
      <c r="G16600" s="51"/>
      <c r="H16600" s="46" t="str">
        <f>IF(AND(I.Developer.P3=TRUE,I.Facility.P3FacilityCount&gt;=1588,F16600=""),"Incomplete","Complete")</f>
        <v>Complete</v>
      </c>
      <c r="I16600" s="48" t="s">
        <v>20965</v>
      </c>
    </row>
    <row r="16601" spans="2:9" ht="15" customHeight="1" x14ac:dyDescent="0.25">
      <c r="B16601" s="55" t="s">
        <v>282</v>
      </c>
      <c r="C16601" s="46">
        <v>1589</v>
      </c>
      <c r="D16601" s="69" t="s">
        <v>29419</v>
      </c>
      <c r="E16601" s="51"/>
      <c r="F16601" s="114" t="str">
        <f>IF(INDEX(I.Facility.P3IDNumber,1589)="","",INDEX(I.Facility.P3IDNumber,1589))</f>
        <v/>
      </c>
      <c r="G16601" s="51"/>
      <c r="H16601" s="46" t="str">
        <f>IF(AND(I.Developer.P3=TRUE,I.Facility.P3FacilityCount&gt;=1589,F16601=""),"Incomplete","Complete")</f>
        <v>Complete</v>
      </c>
      <c r="I16601" s="48" t="s">
        <v>20966</v>
      </c>
    </row>
    <row r="16602" spans="2:9" ht="15" customHeight="1" x14ac:dyDescent="0.25">
      <c r="B16602" s="55" t="s">
        <v>282</v>
      </c>
      <c r="C16602" s="46">
        <v>1590</v>
      </c>
      <c r="D16602" s="69" t="s">
        <v>29419</v>
      </c>
      <c r="E16602" s="51"/>
      <c r="F16602" s="114" t="str">
        <f>IF(INDEX(I.Facility.P3IDNumber,1590)="","",INDEX(I.Facility.P3IDNumber,1590))</f>
        <v/>
      </c>
      <c r="G16602" s="51"/>
      <c r="H16602" s="46" t="str">
        <f>IF(AND(I.Developer.P3=TRUE,I.Facility.P3FacilityCount&gt;=1590,F16602=""),"Incomplete","Complete")</f>
        <v>Complete</v>
      </c>
      <c r="I16602" s="48" t="s">
        <v>20967</v>
      </c>
    </row>
    <row r="16603" spans="2:9" ht="15" customHeight="1" x14ac:dyDescent="0.25">
      <c r="B16603" s="55" t="s">
        <v>282</v>
      </c>
      <c r="C16603" s="46">
        <v>1591</v>
      </c>
      <c r="D16603" s="69" t="s">
        <v>29419</v>
      </c>
      <c r="E16603" s="51"/>
      <c r="F16603" s="114" t="str">
        <f>IF(INDEX(I.Facility.P3IDNumber,1591)="","",INDEX(I.Facility.P3IDNumber,1591))</f>
        <v/>
      </c>
      <c r="G16603" s="51"/>
      <c r="H16603" s="46" t="str">
        <f>IF(AND(I.Developer.P3=TRUE,I.Facility.P3FacilityCount&gt;=1591,F16603=""),"Incomplete","Complete")</f>
        <v>Complete</v>
      </c>
      <c r="I16603" s="48" t="s">
        <v>20968</v>
      </c>
    </row>
    <row r="16604" spans="2:9" ht="15" customHeight="1" x14ac:dyDescent="0.25">
      <c r="B16604" s="55" t="s">
        <v>282</v>
      </c>
      <c r="C16604" s="46">
        <v>1592</v>
      </c>
      <c r="D16604" s="69" t="s">
        <v>29419</v>
      </c>
      <c r="E16604" s="51"/>
      <c r="F16604" s="114" t="str">
        <f>IF(INDEX(I.Facility.P3IDNumber,1592)="","",INDEX(I.Facility.P3IDNumber,1592))</f>
        <v/>
      </c>
      <c r="G16604" s="51"/>
      <c r="H16604" s="46" t="str">
        <f>IF(AND(I.Developer.P3=TRUE,I.Facility.P3FacilityCount&gt;=1592,F16604=""),"Incomplete","Complete")</f>
        <v>Complete</v>
      </c>
      <c r="I16604" s="48" t="s">
        <v>20969</v>
      </c>
    </row>
    <row r="16605" spans="2:9" ht="15" customHeight="1" x14ac:dyDescent="0.25">
      <c r="B16605" s="55" t="s">
        <v>282</v>
      </c>
      <c r="C16605" s="46">
        <v>1593</v>
      </c>
      <c r="D16605" s="69" t="s">
        <v>29419</v>
      </c>
      <c r="E16605" s="51"/>
      <c r="F16605" s="114" t="str">
        <f>IF(INDEX(I.Facility.P3IDNumber,1593)="","",INDEX(I.Facility.P3IDNumber,1593))</f>
        <v/>
      </c>
      <c r="G16605" s="51"/>
      <c r="H16605" s="46" t="str">
        <f>IF(AND(I.Developer.P3=TRUE,I.Facility.P3FacilityCount&gt;=1593,F16605=""),"Incomplete","Complete")</f>
        <v>Complete</v>
      </c>
      <c r="I16605" s="48" t="s">
        <v>20970</v>
      </c>
    </row>
    <row r="16606" spans="2:9" ht="15" customHeight="1" x14ac:dyDescent="0.25">
      <c r="B16606" s="55" t="s">
        <v>282</v>
      </c>
      <c r="C16606" s="46">
        <v>1594</v>
      </c>
      <c r="D16606" s="69" t="s">
        <v>29419</v>
      </c>
      <c r="E16606" s="51"/>
      <c r="F16606" s="114" t="str">
        <f>IF(INDEX(I.Facility.P3IDNumber,1594)="","",INDEX(I.Facility.P3IDNumber,1594))</f>
        <v/>
      </c>
      <c r="G16606" s="51"/>
      <c r="H16606" s="46" t="str">
        <f>IF(AND(I.Developer.P3=TRUE,I.Facility.P3FacilityCount&gt;=1594,F16606=""),"Incomplete","Complete")</f>
        <v>Complete</v>
      </c>
      <c r="I16606" s="48" t="s">
        <v>20971</v>
      </c>
    </row>
    <row r="16607" spans="2:9" ht="15" customHeight="1" x14ac:dyDescent="0.25">
      <c r="B16607" s="55" t="s">
        <v>282</v>
      </c>
      <c r="C16607" s="46">
        <v>1595</v>
      </c>
      <c r="D16607" s="69" t="s">
        <v>29419</v>
      </c>
      <c r="E16607" s="51"/>
      <c r="F16607" s="114" t="str">
        <f>IF(INDEX(I.Facility.P3IDNumber,1595)="","",INDEX(I.Facility.P3IDNumber,1595))</f>
        <v/>
      </c>
      <c r="G16607" s="51"/>
      <c r="H16607" s="46" t="str">
        <f>IF(AND(I.Developer.P3=TRUE,I.Facility.P3FacilityCount&gt;=1595,F16607=""),"Incomplete","Complete")</f>
        <v>Complete</v>
      </c>
      <c r="I16607" s="48" t="s">
        <v>20972</v>
      </c>
    </row>
    <row r="16608" spans="2:9" ht="15" customHeight="1" x14ac:dyDescent="0.25">
      <c r="B16608" s="55" t="s">
        <v>282</v>
      </c>
      <c r="C16608" s="46">
        <v>1596</v>
      </c>
      <c r="D16608" s="69" t="s">
        <v>29419</v>
      </c>
      <c r="E16608" s="51"/>
      <c r="F16608" s="114" t="str">
        <f>IF(INDEX(I.Facility.P3IDNumber,1596)="","",INDEX(I.Facility.P3IDNumber,1596))</f>
        <v/>
      </c>
      <c r="G16608" s="51"/>
      <c r="H16608" s="46" t="str">
        <f>IF(AND(I.Developer.P3=TRUE,I.Facility.P3FacilityCount&gt;=1596,F16608=""),"Incomplete","Complete")</f>
        <v>Complete</v>
      </c>
      <c r="I16608" s="48" t="s">
        <v>20973</v>
      </c>
    </row>
    <row r="16609" spans="2:9" ht="15" customHeight="1" x14ac:dyDescent="0.25">
      <c r="B16609" s="55" t="s">
        <v>282</v>
      </c>
      <c r="C16609" s="46">
        <v>1597</v>
      </c>
      <c r="D16609" s="69" t="s">
        <v>29419</v>
      </c>
      <c r="E16609" s="51"/>
      <c r="F16609" s="114" t="str">
        <f>IF(INDEX(I.Facility.P3IDNumber,1597)="","",INDEX(I.Facility.P3IDNumber,1597))</f>
        <v/>
      </c>
      <c r="G16609" s="51"/>
      <c r="H16609" s="46" t="str">
        <f>IF(AND(I.Developer.P3=TRUE,I.Facility.P3FacilityCount&gt;=1597,F16609=""),"Incomplete","Complete")</f>
        <v>Complete</v>
      </c>
      <c r="I16609" s="48" t="s">
        <v>20974</v>
      </c>
    </row>
    <row r="16610" spans="2:9" ht="15" customHeight="1" x14ac:dyDescent="0.25">
      <c r="B16610" s="55" t="s">
        <v>282</v>
      </c>
      <c r="C16610" s="46">
        <v>1598</v>
      </c>
      <c r="D16610" s="69" t="s">
        <v>29419</v>
      </c>
      <c r="E16610" s="51"/>
      <c r="F16610" s="114" t="str">
        <f>IF(INDEX(I.Facility.P3IDNumber,1598)="","",INDEX(I.Facility.P3IDNumber,1598))</f>
        <v/>
      </c>
      <c r="G16610" s="51"/>
      <c r="H16610" s="46" t="str">
        <f>IF(AND(I.Developer.P3=TRUE,I.Facility.P3FacilityCount&gt;=1598,F16610=""),"Incomplete","Complete")</f>
        <v>Complete</v>
      </c>
      <c r="I16610" s="48" t="s">
        <v>20975</v>
      </c>
    </row>
    <row r="16611" spans="2:9" ht="15" customHeight="1" x14ac:dyDescent="0.25">
      <c r="B16611" s="55" t="s">
        <v>282</v>
      </c>
      <c r="C16611" s="46">
        <v>1599</v>
      </c>
      <c r="D16611" s="69" t="s">
        <v>29419</v>
      </c>
      <c r="E16611" s="51"/>
      <c r="F16611" s="114" t="str">
        <f>IF(INDEX(I.Facility.P3IDNumber,1599)="","",INDEX(I.Facility.P3IDNumber,1599))</f>
        <v/>
      </c>
      <c r="G16611" s="51"/>
      <c r="H16611" s="46" t="str">
        <f>IF(AND(I.Developer.P3=TRUE,I.Facility.P3FacilityCount&gt;=1599,F16611=""),"Incomplete","Complete")</f>
        <v>Complete</v>
      </c>
      <c r="I16611" s="48" t="s">
        <v>20976</v>
      </c>
    </row>
    <row r="16612" spans="2:9" ht="15" customHeight="1" x14ac:dyDescent="0.25">
      <c r="B16612" s="55" t="s">
        <v>282</v>
      </c>
      <c r="C16612" s="46">
        <v>1600</v>
      </c>
      <c r="D16612" s="69" t="s">
        <v>29419</v>
      </c>
      <c r="E16612" s="51"/>
      <c r="F16612" s="114" t="str">
        <f>IF(INDEX(I.Facility.P3IDNumber,1600)="","",INDEX(I.Facility.P3IDNumber,1600))</f>
        <v/>
      </c>
      <c r="G16612" s="51"/>
      <c r="H16612" s="46" t="str">
        <f>IF(AND(I.Developer.P3=TRUE,I.Facility.P3FacilityCount&gt;=1600,F16612=""),"Incomplete","Complete")</f>
        <v>Complete</v>
      </c>
      <c r="I16612" s="48" t="s">
        <v>20977</v>
      </c>
    </row>
    <row r="16613" spans="2:9" ht="15" customHeight="1" x14ac:dyDescent="0.25">
      <c r="B16613" s="55" t="s">
        <v>282</v>
      </c>
      <c r="C16613" s="46">
        <v>1601</v>
      </c>
      <c r="D16613" s="69" t="s">
        <v>29419</v>
      </c>
      <c r="E16613" s="51"/>
      <c r="F16613" s="114" t="str">
        <f>IF(INDEX(I.Facility.P3IDNumber,1601)="","",INDEX(I.Facility.P3IDNumber,1601))</f>
        <v/>
      </c>
      <c r="G16613" s="51"/>
      <c r="H16613" s="46" t="str">
        <f>IF(AND(I.Developer.P3=TRUE,I.Facility.P3FacilityCount&gt;=1601,F16613=""),"Incomplete","Complete")</f>
        <v>Complete</v>
      </c>
      <c r="I16613" s="48" t="s">
        <v>20978</v>
      </c>
    </row>
    <row r="16614" spans="2:9" ht="15" customHeight="1" x14ac:dyDescent="0.25">
      <c r="B16614" s="55" t="s">
        <v>282</v>
      </c>
      <c r="C16614" s="46">
        <v>1602</v>
      </c>
      <c r="D16614" s="69" t="s">
        <v>29419</v>
      </c>
      <c r="E16614" s="51"/>
      <c r="F16614" s="114" t="str">
        <f>IF(INDEX(I.Facility.P3IDNumber,1602)="","",INDEX(I.Facility.P3IDNumber,1602))</f>
        <v/>
      </c>
      <c r="G16614" s="51"/>
      <c r="H16614" s="46" t="str">
        <f>IF(AND(I.Developer.P3=TRUE,I.Facility.P3FacilityCount&gt;=1602,F16614=""),"Incomplete","Complete")</f>
        <v>Complete</v>
      </c>
      <c r="I16614" s="48" t="s">
        <v>20979</v>
      </c>
    </row>
    <row r="16615" spans="2:9" ht="15" customHeight="1" x14ac:dyDescent="0.25">
      <c r="B16615" s="55" t="s">
        <v>282</v>
      </c>
      <c r="C16615" s="46">
        <v>1603</v>
      </c>
      <c r="D16615" s="69" t="s">
        <v>29419</v>
      </c>
      <c r="E16615" s="51"/>
      <c r="F16615" s="114" t="str">
        <f>IF(INDEX(I.Facility.P3IDNumber,1603)="","",INDEX(I.Facility.P3IDNumber,1603))</f>
        <v/>
      </c>
      <c r="G16615" s="51"/>
      <c r="H16615" s="46" t="str">
        <f>IF(AND(I.Developer.P3=TRUE,I.Facility.P3FacilityCount&gt;=1603,F16615=""),"Incomplete","Complete")</f>
        <v>Complete</v>
      </c>
      <c r="I16615" s="48" t="s">
        <v>20980</v>
      </c>
    </row>
    <row r="16616" spans="2:9" ht="15" customHeight="1" x14ac:dyDescent="0.25">
      <c r="B16616" s="55" t="s">
        <v>282</v>
      </c>
      <c r="C16616" s="46">
        <v>1604</v>
      </c>
      <c r="D16616" s="69" t="s">
        <v>29419</v>
      </c>
      <c r="E16616" s="51"/>
      <c r="F16616" s="114" t="str">
        <f>IF(INDEX(I.Facility.P3IDNumber,1604)="","",INDEX(I.Facility.P3IDNumber,1604))</f>
        <v/>
      </c>
      <c r="G16616" s="51"/>
      <c r="H16616" s="46" t="str">
        <f>IF(AND(I.Developer.P3=TRUE,I.Facility.P3FacilityCount&gt;=1604,F16616=""),"Incomplete","Complete")</f>
        <v>Complete</v>
      </c>
      <c r="I16616" s="48" t="s">
        <v>20981</v>
      </c>
    </row>
    <row r="16617" spans="2:9" ht="15" customHeight="1" x14ac:dyDescent="0.25">
      <c r="B16617" s="55" t="s">
        <v>282</v>
      </c>
      <c r="C16617" s="46">
        <v>1605</v>
      </c>
      <c r="D16617" s="69" t="s">
        <v>29419</v>
      </c>
      <c r="E16617" s="51"/>
      <c r="F16617" s="114" t="str">
        <f>IF(INDEX(I.Facility.P3IDNumber,1605)="","",INDEX(I.Facility.P3IDNumber,1605))</f>
        <v/>
      </c>
      <c r="G16617" s="51"/>
      <c r="H16617" s="46" t="str">
        <f>IF(AND(I.Developer.P3=TRUE,I.Facility.P3FacilityCount&gt;=1605,F16617=""),"Incomplete","Complete")</f>
        <v>Complete</v>
      </c>
      <c r="I16617" s="48" t="s">
        <v>20982</v>
      </c>
    </row>
    <row r="16618" spans="2:9" ht="15" customHeight="1" x14ac:dyDescent="0.25">
      <c r="B16618" s="55" t="s">
        <v>282</v>
      </c>
      <c r="C16618" s="46">
        <v>1606</v>
      </c>
      <c r="D16618" s="69" t="s">
        <v>29419</v>
      </c>
      <c r="E16618" s="51"/>
      <c r="F16618" s="114" t="str">
        <f>IF(INDEX(I.Facility.P3IDNumber,1606)="","",INDEX(I.Facility.P3IDNumber,1606))</f>
        <v/>
      </c>
      <c r="G16618" s="51"/>
      <c r="H16618" s="46" t="str">
        <f>IF(AND(I.Developer.P3=TRUE,I.Facility.P3FacilityCount&gt;=1606,F16618=""),"Incomplete","Complete")</f>
        <v>Complete</v>
      </c>
      <c r="I16618" s="48" t="s">
        <v>20983</v>
      </c>
    </row>
    <row r="16619" spans="2:9" ht="15" customHeight="1" x14ac:dyDescent="0.25">
      <c r="B16619" s="55" t="s">
        <v>282</v>
      </c>
      <c r="C16619" s="46">
        <v>1607</v>
      </c>
      <c r="D16619" s="69" t="s">
        <v>29419</v>
      </c>
      <c r="E16619" s="51"/>
      <c r="F16619" s="114" t="str">
        <f>IF(INDEX(I.Facility.P3IDNumber,1607)="","",INDEX(I.Facility.P3IDNumber,1607))</f>
        <v/>
      </c>
      <c r="G16619" s="51"/>
      <c r="H16619" s="46" t="str">
        <f>IF(AND(I.Developer.P3=TRUE,I.Facility.P3FacilityCount&gt;=1607,F16619=""),"Incomplete","Complete")</f>
        <v>Complete</v>
      </c>
      <c r="I16619" s="48" t="s">
        <v>20984</v>
      </c>
    </row>
    <row r="16620" spans="2:9" ht="15" customHeight="1" x14ac:dyDescent="0.25">
      <c r="B16620" s="55" t="s">
        <v>282</v>
      </c>
      <c r="C16620" s="46">
        <v>1608</v>
      </c>
      <c r="D16620" s="69" t="s">
        <v>29419</v>
      </c>
      <c r="E16620" s="51"/>
      <c r="F16620" s="114" t="str">
        <f>IF(INDEX(I.Facility.P3IDNumber,1608)="","",INDEX(I.Facility.P3IDNumber,1608))</f>
        <v/>
      </c>
      <c r="G16620" s="51"/>
      <c r="H16620" s="46" t="str">
        <f>IF(AND(I.Developer.P3=TRUE,I.Facility.P3FacilityCount&gt;=1608,F16620=""),"Incomplete","Complete")</f>
        <v>Complete</v>
      </c>
      <c r="I16620" s="48" t="s">
        <v>20985</v>
      </c>
    </row>
    <row r="16621" spans="2:9" ht="15" customHeight="1" x14ac:dyDescent="0.25">
      <c r="B16621" s="55" t="s">
        <v>282</v>
      </c>
      <c r="C16621" s="46">
        <v>1609</v>
      </c>
      <c r="D16621" s="69" t="s">
        <v>29419</v>
      </c>
      <c r="E16621" s="51"/>
      <c r="F16621" s="114" t="str">
        <f>IF(INDEX(I.Facility.P3IDNumber,1609)="","",INDEX(I.Facility.P3IDNumber,1609))</f>
        <v/>
      </c>
      <c r="G16621" s="51"/>
      <c r="H16621" s="46" t="str">
        <f>IF(AND(I.Developer.P3=TRUE,I.Facility.P3FacilityCount&gt;=1609,F16621=""),"Incomplete","Complete")</f>
        <v>Complete</v>
      </c>
      <c r="I16621" s="48" t="s">
        <v>20986</v>
      </c>
    </row>
    <row r="16622" spans="2:9" ht="15" customHeight="1" x14ac:dyDescent="0.25">
      <c r="B16622" s="55" t="s">
        <v>282</v>
      </c>
      <c r="C16622" s="46">
        <v>1610</v>
      </c>
      <c r="D16622" s="69" t="s">
        <v>29419</v>
      </c>
      <c r="E16622" s="51"/>
      <c r="F16622" s="114" t="str">
        <f>IF(INDEX(I.Facility.P3IDNumber,1610)="","",INDEX(I.Facility.P3IDNumber,1610))</f>
        <v/>
      </c>
      <c r="G16622" s="51"/>
      <c r="H16622" s="46" t="str">
        <f>IF(AND(I.Developer.P3=TRUE,I.Facility.P3FacilityCount&gt;=1610,F16622=""),"Incomplete","Complete")</f>
        <v>Complete</v>
      </c>
      <c r="I16622" s="48" t="s">
        <v>20987</v>
      </c>
    </row>
    <row r="16623" spans="2:9" ht="15" customHeight="1" x14ac:dyDescent="0.25">
      <c r="B16623" s="55" t="s">
        <v>282</v>
      </c>
      <c r="C16623" s="46">
        <v>1611</v>
      </c>
      <c r="D16623" s="69" t="s">
        <v>29419</v>
      </c>
      <c r="E16623" s="51"/>
      <c r="F16623" s="114" t="str">
        <f>IF(INDEX(I.Facility.P3IDNumber,1611)="","",INDEX(I.Facility.P3IDNumber,1611))</f>
        <v/>
      </c>
      <c r="G16623" s="51"/>
      <c r="H16623" s="46" t="str">
        <f>IF(AND(I.Developer.P3=TRUE,I.Facility.P3FacilityCount&gt;=1611,F16623=""),"Incomplete","Complete")</f>
        <v>Complete</v>
      </c>
      <c r="I16623" s="48" t="s">
        <v>20988</v>
      </c>
    </row>
    <row r="16624" spans="2:9" ht="15" customHeight="1" x14ac:dyDescent="0.25">
      <c r="B16624" s="55" t="s">
        <v>282</v>
      </c>
      <c r="C16624" s="46">
        <v>1612</v>
      </c>
      <c r="D16624" s="69" t="s">
        <v>29419</v>
      </c>
      <c r="E16624" s="51"/>
      <c r="F16624" s="114" t="str">
        <f>IF(INDEX(I.Facility.P3IDNumber,1612)="","",INDEX(I.Facility.P3IDNumber,1612))</f>
        <v/>
      </c>
      <c r="G16624" s="51"/>
      <c r="H16624" s="46" t="str">
        <f>IF(AND(I.Developer.P3=TRUE,I.Facility.P3FacilityCount&gt;=1612,F16624=""),"Incomplete","Complete")</f>
        <v>Complete</v>
      </c>
      <c r="I16624" s="48" t="s">
        <v>20989</v>
      </c>
    </row>
    <row r="16625" spans="2:9" ht="15" customHeight="1" x14ac:dyDescent="0.25">
      <c r="B16625" s="55" t="s">
        <v>282</v>
      </c>
      <c r="C16625" s="46">
        <v>1613</v>
      </c>
      <c r="D16625" s="69" t="s">
        <v>29419</v>
      </c>
      <c r="E16625" s="51"/>
      <c r="F16625" s="114" t="str">
        <f>IF(INDEX(I.Facility.P3IDNumber,1613)="","",INDEX(I.Facility.P3IDNumber,1613))</f>
        <v/>
      </c>
      <c r="G16625" s="51"/>
      <c r="H16625" s="46" t="str">
        <f>IF(AND(I.Developer.P3=TRUE,I.Facility.P3FacilityCount&gt;=1613,F16625=""),"Incomplete","Complete")</f>
        <v>Complete</v>
      </c>
      <c r="I16625" s="48" t="s">
        <v>20990</v>
      </c>
    </row>
    <row r="16626" spans="2:9" ht="15" customHeight="1" x14ac:dyDescent="0.25">
      <c r="B16626" s="55" t="s">
        <v>282</v>
      </c>
      <c r="C16626" s="46">
        <v>1614</v>
      </c>
      <c r="D16626" s="69" t="s">
        <v>29419</v>
      </c>
      <c r="E16626" s="51"/>
      <c r="F16626" s="114" t="str">
        <f>IF(INDEX(I.Facility.P3IDNumber,1614)="","",INDEX(I.Facility.P3IDNumber,1614))</f>
        <v/>
      </c>
      <c r="G16626" s="51"/>
      <c r="H16626" s="46" t="str">
        <f>IF(AND(I.Developer.P3=TRUE,I.Facility.P3FacilityCount&gt;=1614,F16626=""),"Incomplete","Complete")</f>
        <v>Complete</v>
      </c>
      <c r="I16626" s="48" t="s">
        <v>20991</v>
      </c>
    </row>
    <row r="16627" spans="2:9" ht="15" customHeight="1" x14ac:dyDescent="0.25">
      <c r="B16627" s="55" t="s">
        <v>282</v>
      </c>
      <c r="C16627" s="46">
        <v>1615</v>
      </c>
      <c r="D16627" s="69" t="s">
        <v>29419</v>
      </c>
      <c r="E16627" s="51"/>
      <c r="F16627" s="114" t="str">
        <f>IF(INDEX(I.Facility.P3IDNumber,1615)="","",INDEX(I.Facility.P3IDNumber,1615))</f>
        <v/>
      </c>
      <c r="G16627" s="51"/>
      <c r="H16627" s="46" t="str">
        <f>IF(AND(I.Developer.P3=TRUE,I.Facility.P3FacilityCount&gt;=1615,F16627=""),"Incomplete","Complete")</f>
        <v>Complete</v>
      </c>
      <c r="I16627" s="48" t="s">
        <v>20992</v>
      </c>
    </row>
    <row r="16628" spans="2:9" ht="15" customHeight="1" x14ac:dyDescent="0.25">
      <c r="B16628" s="55" t="s">
        <v>282</v>
      </c>
      <c r="C16628" s="46">
        <v>1616</v>
      </c>
      <c r="D16628" s="69" t="s">
        <v>29419</v>
      </c>
      <c r="E16628" s="51"/>
      <c r="F16628" s="114" t="str">
        <f>IF(INDEX(I.Facility.P3IDNumber,1616)="","",INDEX(I.Facility.P3IDNumber,1616))</f>
        <v/>
      </c>
      <c r="G16628" s="51"/>
      <c r="H16628" s="46" t="str">
        <f>IF(AND(I.Developer.P3=TRUE,I.Facility.P3FacilityCount&gt;=1616,F16628=""),"Incomplete","Complete")</f>
        <v>Complete</v>
      </c>
      <c r="I16628" s="48" t="s">
        <v>20993</v>
      </c>
    </row>
    <row r="16629" spans="2:9" ht="15" customHeight="1" x14ac:dyDescent="0.25">
      <c r="B16629" s="55" t="s">
        <v>282</v>
      </c>
      <c r="C16629" s="46">
        <v>1617</v>
      </c>
      <c r="D16629" s="69" t="s">
        <v>29419</v>
      </c>
      <c r="E16629" s="51"/>
      <c r="F16629" s="114" t="str">
        <f>IF(INDEX(I.Facility.P3IDNumber,1617)="","",INDEX(I.Facility.P3IDNumber,1617))</f>
        <v/>
      </c>
      <c r="G16629" s="51"/>
      <c r="H16629" s="46" t="str">
        <f>IF(AND(I.Developer.P3=TRUE,I.Facility.P3FacilityCount&gt;=1617,F16629=""),"Incomplete","Complete")</f>
        <v>Complete</v>
      </c>
      <c r="I16629" s="48" t="s">
        <v>20994</v>
      </c>
    </row>
    <row r="16630" spans="2:9" ht="15" customHeight="1" x14ac:dyDescent="0.25">
      <c r="B16630" s="55" t="s">
        <v>282</v>
      </c>
      <c r="C16630" s="46">
        <v>1618</v>
      </c>
      <c r="D16630" s="69" t="s">
        <v>29419</v>
      </c>
      <c r="E16630" s="51"/>
      <c r="F16630" s="114" t="str">
        <f>IF(INDEX(I.Facility.P3IDNumber,1618)="","",INDEX(I.Facility.P3IDNumber,1618))</f>
        <v/>
      </c>
      <c r="G16630" s="51"/>
      <c r="H16630" s="46" t="str">
        <f>IF(AND(I.Developer.P3=TRUE,I.Facility.P3FacilityCount&gt;=1618,F16630=""),"Incomplete","Complete")</f>
        <v>Complete</v>
      </c>
      <c r="I16630" s="48" t="s">
        <v>20995</v>
      </c>
    </row>
    <row r="16631" spans="2:9" ht="15" customHeight="1" x14ac:dyDescent="0.25">
      <c r="B16631" s="55" t="s">
        <v>282</v>
      </c>
      <c r="C16631" s="46">
        <v>1619</v>
      </c>
      <c r="D16631" s="69" t="s">
        <v>29419</v>
      </c>
      <c r="E16631" s="51"/>
      <c r="F16631" s="114" t="str">
        <f>IF(INDEX(I.Facility.P3IDNumber,1619)="","",INDEX(I.Facility.P3IDNumber,1619))</f>
        <v/>
      </c>
      <c r="G16631" s="51"/>
      <c r="H16631" s="46" t="str">
        <f>IF(AND(I.Developer.P3=TRUE,I.Facility.P3FacilityCount&gt;=1619,F16631=""),"Incomplete","Complete")</f>
        <v>Complete</v>
      </c>
      <c r="I16631" s="48" t="s">
        <v>20996</v>
      </c>
    </row>
    <row r="16632" spans="2:9" ht="15" customHeight="1" x14ac:dyDescent="0.25">
      <c r="B16632" s="55" t="s">
        <v>282</v>
      </c>
      <c r="C16632" s="46">
        <v>1620</v>
      </c>
      <c r="D16632" s="69" t="s">
        <v>29419</v>
      </c>
      <c r="E16632" s="51"/>
      <c r="F16632" s="114" t="str">
        <f>IF(INDEX(I.Facility.P3IDNumber,1620)="","",INDEX(I.Facility.P3IDNumber,1620))</f>
        <v/>
      </c>
      <c r="G16632" s="51"/>
      <c r="H16632" s="46" t="str">
        <f>IF(AND(I.Developer.P3=TRUE,I.Facility.P3FacilityCount&gt;=1620,F16632=""),"Incomplete","Complete")</f>
        <v>Complete</v>
      </c>
      <c r="I16632" s="48" t="s">
        <v>20997</v>
      </c>
    </row>
    <row r="16633" spans="2:9" ht="15" customHeight="1" x14ac:dyDescent="0.25">
      <c r="B16633" s="55" t="s">
        <v>282</v>
      </c>
      <c r="C16633" s="46">
        <v>1621</v>
      </c>
      <c r="D16633" s="69" t="s">
        <v>29419</v>
      </c>
      <c r="E16633" s="51"/>
      <c r="F16633" s="114" t="str">
        <f>IF(INDEX(I.Facility.P3IDNumber,1621)="","",INDEX(I.Facility.P3IDNumber,1621))</f>
        <v/>
      </c>
      <c r="G16633" s="51"/>
      <c r="H16633" s="46" t="str">
        <f>IF(AND(I.Developer.P3=TRUE,I.Facility.P3FacilityCount&gt;=1621,F16633=""),"Incomplete","Complete")</f>
        <v>Complete</v>
      </c>
      <c r="I16633" s="48" t="s">
        <v>20998</v>
      </c>
    </row>
    <row r="16634" spans="2:9" ht="15" customHeight="1" x14ac:dyDescent="0.25">
      <c r="B16634" s="55" t="s">
        <v>282</v>
      </c>
      <c r="C16634" s="46">
        <v>1622</v>
      </c>
      <c r="D16634" s="69" t="s">
        <v>29419</v>
      </c>
      <c r="E16634" s="51"/>
      <c r="F16634" s="114" t="str">
        <f>IF(INDEX(I.Facility.P3IDNumber,1622)="","",INDEX(I.Facility.P3IDNumber,1622))</f>
        <v/>
      </c>
      <c r="G16634" s="51"/>
      <c r="H16634" s="46" t="str">
        <f>IF(AND(I.Developer.P3=TRUE,I.Facility.P3FacilityCount&gt;=1622,F16634=""),"Incomplete","Complete")</f>
        <v>Complete</v>
      </c>
      <c r="I16634" s="48" t="s">
        <v>20999</v>
      </c>
    </row>
    <row r="16635" spans="2:9" ht="15" customHeight="1" x14ac:dyDescent="0.25">
      <c r="B16635" s="55" t="s">
        <v>282</v>
      </c>
      <c r="C16635" s="46">
        <v>1623</v>
      </c>
      <c r="D16635" s="69" t="s">
        <v>29419</v>
      </c>
      <c r="E16635" s="51"/>
      <c r="F16635" s="114" t="str">
        <f>IF(INDEX(I.Facility.P3IDNumber,1623)="","",INDEX(I.Facility.P3IDNumber,1623))</f>
        <v/>
      </c>
      <c r="G16635" s="51"/>
      <c r="H16635" s="46" t="str">
        <f>IF(AND(I.Developer.P3=TRUE,I.Facility.P3FacilityCount&gt;=1623,F16635=""),"Incomplete","Complete")</f>
        <v>Complete</v>
      </c>
      <c r="I16635" s="48" t="s">
        <v>21000</v>
      </c>
    </row>
    <row r="16636" spans="2:9" ht="15" customHeight="1" x14ac:dyDescent="0.25">
      <c r="B16636" s="55" t="s">
        <v>282</v>
      </c>
      <c r="C16636" s="46">
        <v>1624</v>
      </c>
      <c r="D16636" s="69" t="s">
        <v>29419</v>
      </c>
      <c r="E16636" s="51"/>
      <c r="F16636" s="114" t="str">
        <f>IF(INDEX(I.Facility.P3IDNumber,1624)="","",INDEX(I.Facility.P3IDNumber,1624))</f>
        <v/>
      </c>
      <c r="G16636" s="51"/>
      <c r="H16636" s="46" t="str">
        <f>IF(AND(I.Developer.P3=TRUE,I.Facility.P3FacilityCount&gt;=1624,F16636=""),"Incomplete","Complete")</f>
        <v>Complete</v>
      </c>
      <c r="I16636" s="48" t="s">
        <v>21001</v>
      </c>
    </row>
    <row r="16637" spans="2:9" ht="15" customHeight="1" x14ac:dyDescent="0.25">
      <c r="B16637" s="55" t="s">
        <v>282</v>
      </c>
      <c r="C16637" s="46">
        <v>1625</v>
      </c>
      <c r="D16637" s="69" t="s">
        <v>29419</v>
      </c>
      <c r="E16637" s="51"/>
      <c r="F16637" s="114" t="str">
        <f>IF(INDEX(I.Facility.P3IDNumber,1625)="","",INDEX(I.Facility.P3IDNumber,1625))</f>
        <v/>
      </c>
      <c r="G16637" s="51"/>
      <c r="H16637" s="46" t="str">
        <f>IF(AND(I.Developer.P3=TRUE,I.Facility.P3FacilityCount&gt;=1625,F16637=""),"Incomplete","Complete")</f>
        <v>Complete</v>
      </c>
      <c r="I16637" s="48" t="s">
        <v>21002</v>
      </c>
    </row>
    <row r="16638" spans="2:9" ht="15" customHeight="1" x14ac:dyDescent="0.25">
      <c r="B16638" s="55" t="s">
        <v>282</v>
      </c>
      <c r="C16638" s="46">
        <v>1626</v>
      </c>
      <c r="D16638" s="69" t="s">
        <v>29419</v>
      </c>
      <c r="E16638" s="51"/>
      <c r="F16638" s="114" t="str">
        <f>IF(INDEX(I.Facility.P3IDNumber,1626)="","",INDEX(I.Facility.P3IDNumber,1626))</f>
        <v/>
      </c>
      <c r="G16638" s="51"/>
      <c r="H16638" s="46" t="str">
        <f>IF(AND(I.Developer.P3=TRUE,I.Facility.P3FacilityCount&gt;=1626,F16638=""),"Incomplete","Complete")</f>
        <v>Complete</v>
      </c>
      <c r="I16638" s="48" t="s">
        <v>21003</v>
      </c>
    </row>
    <row r="16639" spans="2:9" ht="15" customHeight="1" x14ac:dyDescent="0.25">
      <c r="B16639" s="55" t="s">
        <v>282</v>
      </c>
      <c r="C16639" s="46">
        <v>1627</v>
      </c>
      <c r="D16639" s="69" t="s">
        <v>29419</v>
      </c>
      <c r="E16639" s="51"/>
      <c r="F16639" s="114" t="str">
        <f>IF(INDEX(I.Facility.P3IDNumber,1627)="","",INDEX(I.Facility.P3IDNumber,1627))</f>
        <v/>
      </c>
      <c r="G16639" s="51"/>
      <c r="H16639" s="46" t="str">
        <f>IF(AND(I.Developer.P3=TRUE,I.Facility.P3FacilityCount&gt;=1627,F16639=""),"Incomplete","Complete")</f>
        <v>Complete</v>
      </c>
      <c r="I16639" s="48" t="s">
        <v>21004</v>
      </c>
    </row>
    <row r="16640" spans="2:9" ht="15" customHeight="1" x14ac:dyDescent="0.25">
      <c r="B16640" s="55" t="s">
        <v>282</v>
      </c>
      <c r="C16640" s="46">
        <v>1628</v>
      </c>
      <c r="D16640" s="69" t="s">
        <v>29419</v>
      </c>
      <c r="E16640" s="51"/>
      <c r="F16640" s="114" t="str">
        <f>IF(INDEX(I.Facility.P3IDNumber,1628)="","",INDEX(I.Facility.P3IDNumber,1628))</f>
        <v/>
      </c>
      <c r="G16640" s="51"/>
      <c r="H16640" s="46" t="str">
        <f>IF(AND(I.Developer.P3=TRUE,I.Facility.P3FacilityCount&gt;=1628,F16640=""),"Incomplete","Complete")</f>
        <v>Complete</v>
      </c>
      <c r="I16640" s="48" t="s">
        <v>21005</v>
      </c>
    </row>
    <row r="16641" spans="2:9" ht="15" customHeight="1" x14ac:dyDescent="0.25">
      <c r="B16641" s="55" t="s">
        <v>282</v>
      </c>
      <c r="C16641" s="46">
        <v>1629</v>
      </c>
      <c r="D16641" s="69" t="s">
        <v>29419</v>
      </c>
      <c r="E16641" s="51"/>
      <c r="F16641" s="114" t="str">
        <f>IF(INDEX(I.Facility.P3IDNumber,1629)="","",INDEX(I.Facility.P3IDNumber,1629))</f>
        <v/>
      </c>
      <c r="G16641" s="51"/>
      <c r="H16641" s="46" t="str">
        <f>IF(AND(I.Developer.P3=TRUE,I.Facility.P3FacilityCount&gt;=1629,F16641=""),"Incomplete","Complete")</f>
        <v>Complete</v>
      </c>
      <c r="I16641" s="48" t="s">
        <v>21006</v>
      </c>
    </row>
    <row r="16642" spans="2:9" ht="15" customHeight="1" x14ac:dyDescent="0.25">
      <c r="B16642" s="55" t="s">
        <v>282</v>
      </c>
      <c r="C16642" s="46">
        <v>1630</v>
      </c>
      <c r="D16642" s="69" t="s">
        <v>29419</v>
      </c>
      <c r="E16642" s="51"/>
      <c r="F16642" s="114" t="str">
        <f>IF(INDEX(I.Facility.P3IDNumber,1630)="","",INDEX(I.Facility.P3IDNumber,1630))</f>
        <v/>
      </c>
      <c r="G16642" s="51"/>
      <c r="H16642" s="46" t="str">
        <f>IF(AND(I.Developer.P3=TRUE,I.Facility.P3FacilityCount&gt;=1630,F16642=""),"Incomplete","Complete")</f>
        <v>Complete</v>
      </c>
      <c r="I16642" s="48" t="s">
        <v>21007</v>
      </c>
    </row>
    <row r="16643" spans="2:9" ht="15" customHeight="1" x14ac:dyDescent="0.25">
      <c r="B16643" s="55" t="s">
        <v>282</v>
      </c>
      <c r="C16643" s="46">
        <v>1631</v>
      </c>
      <c r="D16643" s="69" t="s">
        <v>29419</v>
      </c>
      <c r="E16643" s="51"/>
      <c r="F16643" s="114" t="str">
        <f>IF(INDEX(I.Facility.P3IDNumber,1631)="","",INDEX(I.Facility.P3IDNumber,1631))</f>
        <v/>
      </c>
      <c r="G16643" s="51"/>
      <c r="H16643" s="46" t="str">
        <f>IF(AND(I.Developer.P3=TRUE,I.Facility.P3FacilityCount&gt;=1631,F16643=""),"Incomplete","Complete")</f>
        <v>Complete</v>
      </c>
      <c r="I16643" s="48" t="s">
        <v>21008</v>
      </c>
    </row>
    <row r="16644" spans="2:9" ht="15" customHeight="1" x14ac:dyDescent="0.25">
      <c r="B16644" s="55" t="s">
        <v>282</v>
      </c>
      <c r="C16644" s="46">
        <v>1632</v>
      </c>
      <c r="D16644" s="69" t="s">
        <v>29419</v>
      </c>
      <c r="E16644" s="51"/>
      <c r="F16644" s="114" t="str">
        <f>IF(INDEX(I.Facility.P3IDNumber,1632)="","",INDEX(I.Facility.P3IDNumber,1632))</f>
        <v/>
      </c>
      <c r="G16644" s="51"/>
      <c r="H16644" s="46" t="str">
        <f>IF(AND(I.Developer.P3=TRUE,I.Facility.P3FacilityCount&gt;=1632,F16644=""),"Incomplete","Complete")</f>
        <v>Complete</v>
      </c>
      <c r="I16644" s="48" t="s">
        <v>21009</v>
      </c>
    </row>
    <row r="16645" spans="2:9" ht="15" customHeight="1" x14ac:dyDescent="0.25">
      <c r="B16645" s="55" t="s">
        <v>282</v>
      </c>
      <c r="C16645" s="46">
        <v>1633</v>
      </c>
      <c r="D16645" s="69" t="s">
        <v>29419</v>
      </c>
      <c r="E16645" s="51"/>
      <c r="F16645" s="114" t="str">
        <f>IF(INDEX(I.Facility.P3IDNumber,1633)="","",INDEX(I.Facility.P3IDNumber,1633))</f>
        <v/>
      </c>
      <c r="G16645" s="51"/>
      <c r="H16645" s="46" t="str">
        <f>IF(AND(I.Developer.P3=TRUE,I.Facility.P3FacilityCount&gt;=1633,F16645=""),"Incomplete","Complete")</f>
        <v>Complete</v>
      </c>
      <c r="I16645" s="48" t="s">
        <v>21010</v>
      </c>
    </row>
    <row r="16646" spans="2:9" ht="15" customHeight="1" x14ac:dyDescent="0.25">
      <c r="B16646" s="55" t="s">
        <v>282</v>
      </c>
      <c r="C16646" s="46">
        <v>1634</v>
      </c>
      <c r="D16646" s="69" t="s">
        <v>29419</v>
      </c>
      <c r="E16646" s="51"/>
      <c r="F16646" s="114" t="str">
        <f>IF(INDEX(I.Facility.P3IDNumber,1634)="","",INDEX(I.Facility.P3IDNumber,1634))</f>
        <v/>
      </c>
      <c r="G16646" s="51"/>
      <c r="H16646" s="46" t="str">
        <f>IF(AND(I.Developer.P3=TRUE,I.Facility.P3FacilityCount&gt;=1634,F16646=""),"Incomplete","Complete")</f>
        <v>Complete</v>
      </c>
      <c r="I16646" s="48" t="s">
        <v>21011</v>
      </c>
    </row>
    <row r="16647" spans="2:9" ht="15" customHeight="1" x14ac:dyDescent="0.25">
      <c r="B16647" s="55" t="s">
        <v>282</v>
      </c>
      <c r="C16647" s="46">
        <v>1635</v>
      </c>
      <c r="D16647" s="69" t="s">
        <v>29419</v>
      </c>
      <c r="E16647" s="51"/>
      <c r="F16647" s="114" t="str">
        <f>IF(INDEX(I.Facility.P3IDNumber,1635)="","",INDEX(I.Facility.P3IDNumber,1635))</f>
        <v/>
      </c>
      <c r="G16647" s="51"/>
      <c r="H16647" s="46" t="str">
        <f>IF(AND(I.Developer.P3=TRUE,I.Facility.P3FacilityCount&gt;=1635,F16647=""),"Incomplete","Complete")</f>
        <v>Complete</v>
      </c>
      <c r="I16647" s="48" t="s">
        <v>21012</v>
      </c>
    </row>
    <row r="16648" spans="2:9" ht="15" customHeight="1" x14ac:dyDescent="0.25">
      <c r="B16648" s="55" t="s">
        <v>282</v>
      </c>
      <c r="C16648" s="46">
        <v>1636</v>
      </c>
      <c r="D16648" s="69" t="s">
        <v>29419</v>
      </c>
      <c r="E16648" s="51"/>
      <c r="F16648" s="114" t="str">
        <f>IF(INDEX(I.Facility.P3IDNumber,1636)="","",INDEX(I.Facility.P3IDNumber,1636))</f>
        <v/>
      </c>
      <c r="G16648" s="51"/>
      <c r="H16648" s="46" t="str">
        <f>IF(AND(I.Developer.P3=TRUE,I.Facility.P3FacilityCount&gt;=1636,F16648=""),"Incomplete","Complete")</f>
        <v>Complete</v>
      </c>
      <c r="I16648" s="48" t="s">
        <v>21013</v>
      </c>
    </row>
    <row r="16649" spans="2:9" ht="15" customHeight="1" x14ac:dyDescent="0.25">
      <c r="B16649" s="55" t="s">
        <v>282</v>
      </c>
      <c r="C16649" s="46">
        <v>1637</v>
      </c>
      <c r="D16649" s="69" t="s">
        <v>29419</v>
      </c>
      <c r="E16649" s="51"/>
      <c r="F16649" s="114" t="str">
        <f>IF(INDEX(I.Facility.P3IDNumber,1637)="","",INDEX(I.Facility.P3IDNumber,1637))</f>
        <v/>
      </c>
      <c r="G16649" s="51"/>
      <c r="H16649" s="46" t="str">
        <f>IF(AND(I.Developer.P3=TRUE,I.Facility.P3FacilityCount&gt;=1637,F16649=""),"Incomplete","Complete")</f>
        <v>Complete</v>
      </c>
      <c r="I16649" s="48" t="s">
        <v>21014</v>
      </c>
    </row>
    <row r="16650" spans="2:9" ht="15" customHeight="1" x14ac:dyDescent="0.25">
      <c r="B16650" s="55" t="s">
        <v>282</v>
      </c>
      <c r="C16650" s="46">
        <v>1638</v>
      </c>
      <c r="D16650" s="69" t="s">
        <v>29419</v>
      </c>
      <c r="E16650" s="51"/>
      <c r="F16650" s="114" t="str">
        <f>IF(INDEX(I.Facility.P3IDNumber,1638)="","",INDEX(I.Facility.P3IDNumber,1638))</f>
        <v/>
      </c>
      <c r="G16650" s="51"/>
      <c r="H16650" s="46" t="str">
        <f>IF(AND(I.Developer.P3=TRUE,I.Facility.P3FacilityCount&gt;=1638,F16650=""),"Incomplete","Complete")</f>
        <v>Complete</v>
      </c>
      <c r="I16650" s="48" t="s">
        <v>21015</v>
      </c>
    </row>
    <row r="16651" spans="2:9" ht="15" customHeight="1" x14ac:dyDescent="0.25">
      <c r="B16651" s="55" t="s">
        <v>282</v>
      </c>
      <c r="C16651" s="46">
        <v>1639</v>
      </c>
      <c r="D16651" s="69" t="s">
        <v>29419</v>
      </c>
      <c r="E16651" s="51"/>
      <c r="F16651" s="114" t="str">
        <f>IF(INDEX(I.Facility.P3IDNumber,1639)="","",INDEX(I.Facility.P3IDNumber,1639))</f>
        <v/>
      </c>
      <c r="G16651" s="51"/>
      <c r="H16651" s="46" t="str">
        <f>IF(AND(I.Developer.P3=TRUE,I.Facility.P3FacilityCount&gt;=1639,F16651=""),"Incomplete","Complete")</f>
        <v>Complete</v>
      </c>
      <c r="I16651" s="48" t="s">
        <v>21016</v>
      </c>
    </row>
    <row r="16652" spans="2:9" ht="15" customHeight="1" x14ac:dyDescent="0.25">
      <c r="B16652" s="55" t="s">
        <v>282</v>
      </c>
      <c r="C16652" s="46">
        <v>1640</v>
      </c>
      <c r="D16652" s="69" t="s">
        <v>29419</v>
      </c>
      <c r="E16652" s="51"/>
      <c r="F16652" s="114" t="str">
        <f>IF(INDEX(I.Facility.P3IDNumber,1640)="","",INDEX(I.Facility.P3IDNumber,1640))</f>
        <v/>
      </c>
      <c r="G16652" s="51"/>
      <c r="H16652" s="46" t="str">
        <f>IF(AND(I.Developer.P3=TRUE,I.Facility.P3FacilityCount&gt;=1640,F16652=""),"Incomplete","Complete")</f>
        <v>Complete</v>
      </c>
      <c r="I16652" s="48" t="s">
        <v>21017</v>
      </c>
    </row>
    <row r="16653" spans="2:9" ht="15" customHeight="1" x14ac:dyDescent="0.25">
      <c r="B16653" s="55" t="s">
        <v>282</v>
      </c>
      <c r="C16653" s="46">
        <v>1641</v>
      </c>
      <c r="D16653" s="69" t="s">
        <v>29419</v>
      </c>
      <c r="E16653" s="51"/>
      <c r="F16653" s="114" t="str">
        <f>IF(INDEX(I.Facility.P3IDNumber,1641)="","",INDEX(I.Facility.P3IDNumber,1641))</f>
        <v/>
      </c>
      <c r="G16653" s="51"/>
      <c r="H16653" s="46" t="str">
        <f>IF(AND(I.Developer.P3=TRUE,I.Facility.P3FacilityCount&gt;=1641,F16653=""),"Incomplete","Complete")</f>
        <v>Complete</v>
      </c>
      <c r="I16653" s="48" t="s">
        <v>21018</v>
      </c>
    </row>
    <row r="16654" spans="2:9" ht="15" customHeight="1" x14ac:dyDescent="0.25">
      <c r="B16654" s="55" t="s">
        <v>282</v>
      </c>
      <c r="C16654" s="46">
        <v>1642</v>
      </c>
      <c r="D16654" s="69" t="s">
        <v>29419</v>
      </c>
      <c r="E16654" s="51"/>
      <c r="F16654" s="114" t="str">
        <f>IF(INDEX(I.Facility.P3IDNumber,1642)="","",INDEX(I.Facility.P3IDNumber,1642))</f>
        <v/>
      </c>
      <c r="G16654" s="51"/>
      <c r="H16654" s="46" t="str">
        <f>IF(AND(I.Developer.P3=TRUE,I.Facility.P3FacilityCount&gt;=1642,F16654=""),"Incomplete","Complete")</f>
        <v>Complete</v>
      </c>
      <c r="I16654" s="48" t="s">
        <v>21019</v>
      </c>
    </row>
    <row r="16655" spans="2:9" ht="15" customHeight="1" x14ac:dyDescent="0.25">
      <c r="B16655" s="55" t="s">
        <v>282</v>
      </c>
      <c r="C16655" s="46">
        <v>1643</v>
      </c>
      <c r="D16655" s="69" t="s">
        <v>29419</v>
      </c>
      <c r="E16655" s="51"/>
      <c r="F16655" s="114" t="str">
        <f>IF(INDEX(I.Facility.P3IDNumber,1643)="","",INDEX(I.Facility.P3IDNumber,1643))</f>
        <v/>
      </c>
      <c r="G16655" s="51"/>
      <c r="H16655" s="46" t="str">
        <f>IF(AND(I.Developer.P3=TRUE,I.Facility.P3FacilityCount&gt;=1643,F16655=""),"Incomplete","Complete")</f>
        <v>Complete</v>
      </c>
      <c r="I16655" s="48" t="s">
        <v>21020</v>
      </c>
    </row>
    <row r="16656" spans="2:9" ht="15" customHeight="1" x14ac:dyDescent="0.25">
      <c r="B16656" s="55" t="s">
        <v>282</v>
      </c>
      <c r="C16656" s="46">
        <v>1644</v>
      </c>
      <c r="D16656" s="69" t="s">
        <v>29419</v>
      </c>
      <c r="E16656" s="51"/>
      <c r="F16656" s="114" t="str">
        <f>IF(INDEX(I.Facility.P3IDNumber,1644)="","",INDEX(I.Facility.P3IDNumber,1644))</f>
        <v/>
      </c>
      <c r="G16656" s="51"/>
      <c r="H16656" s="46" t="str">
        <f>IF(AND(I.Developer.P3=TRUE,I.Facility.P3FacilityCount&gt;=1644,F16656=""),"Incomplete","Complete")</f>
        <v>Complete</v>
      </c>
      <c r="I16656" s="48" t="s">
        <v>21021</v>
      </c>
    </row>
    <row r="16657" spans="2:9" ht="15" customHeight="1" x14ac:dyDescent="0.25">
      <c r="B16657" s="55" t="s">
        <v>282</v>
      </c>
      <c r="C16657" s="46">
        <v>1645</v>
      </c>
      <c r="D16657" s="69" t="s">
        <v>29419</v>
      </c>
      <c r="E16657" s="51"/>
      <c r="F16657" s="114" t="str">
        <f>IF(INDEX(I.Facility.P3IDNumber,1645)="","",INDEX(I.Facility.P3IDNumber,1645))</f>
        <v/>
      </c>
      <c r="G16657" s="51"/>
      <c r="H16657" s="46" t="str">
        <f>IF(AND(I.Developer.P3=TRUE,I.Facility.P3FacilityCount&gt;=1645,F16657=""),"Incomplete","Complete")</f>
        <v>Complete</v>
      </c>
      <c r="I16657" s="48" t="s">
        <v>21022</v>
      </c>
    </row>
    <row r="16658" spans="2:9" ht="15" customHeight="1" x14ac:dyDescent="0.25">
      <c r="B16658" s="55" t="s">
        <v>282</v>
      </c>
      <c r="C16658" s="46">
        <v>1646</v>
      </c>
      <c r="D16658" s="69" t="s">
        <v>29419</v>
      </c>
      <c r="E16658" s="51"/>
      <c r="F16658" s="114" t="str">
        <f>IF(INDEX(I.Facility.P3IDNumber,1646)="","",INDEX(I.Facility.P3IDNumber,1646))</f>
        <v/>
      </c>
      <c r="G16658" s="51"/>
      <c r="H16658" s="46" t="str">
        <f>IF(AND(I.Developer.P3=TRUE,I.Facility.P3FacilityCount&gt;=1646,F16658=""),"Incomplete","Complete")</f>
        <v>Complete</v>
      </c>
      <c r="I16658" s="48" t="s">
        <v>21023</v>
      </c>
    </row>
    <row r="16659" spans="2:9" ht="15" customHeight="1" x14ac:dyDescent="0.25">
      <c r="B16659" s="55" t="s">
        <v>282</v>
      </c>
      <c r="C16659" s="46">
        <v>1647</v>
      </c>
      <c r="D16659" s="69" t="s">
        <v>29419</v>
      </c>
      <c r="E16659" s="51"/>
      <c r="F16659" s="114" t="str">
        <f>IF(INDEX(I.Facility.P3IDNumber,1647)="","",INDEX(I.Facility.P3IDNumber,1647))</f>
        <v/>
      </c>
      <c r="G16659" s="51"/>
      <c r="H16659" s="46" t="str">
        <f>IF(AND(I.Developer.P3=TRUE,I.Facility.P3FacilityCount&gt;=1647,F16659=""),"Incomplete","Complete")</f>
        <v>Complete</v>
      </c>
      <c r="I16659" s="48" t="s">
        <v>21024</v>
      </c>
    </row>
    <row r="16660" spans="2:9" ht="15" customHeight="1" x14ac:dyDescent="0.25">
      <c r="B16660" s="55" t="s">
        <v>282</v>
      </c>
      <c r="C16660" s="46">
        <v>1648</v>
      </c>
      <c r="D16660" s="69" t="s">
        <v>29419</v>
      </c>
      <c r="E16660" s="51"/>
      <c r="F16660" s="114" t="str">
        <f>IF(INDEX(I.Facility.P3IDNumber,1648)="","",INDEX(I.Facility.P3IDNumber,1648))</f>
        <v/>
      </c>
      <c r="G16660" s="51"/>
      <c r="H16660" s="46" t="str">
        <f>IF(AND(I.Developer.P3=TRUE,I.Facility.P3FacilityCount&gt;=1648,F16660=""),"Incomplete","Complete")</f>
        <v>Complete</v>
      </c>
      <c r="I16660" s="48" t="s">
        <v>21025</v>
      </c>
    </row>
    <row r="16661" spans="2:9" ht="15" customHeight="1" x14ac:dyDescent="0.25">
      <c r="B16661" s="55" t="s">
        <v>282</v>
      </c>
      <c r="C16661" s="46">
        <v>1649</v>
      </c>
      <c r="D16661" s="69" t="s">
        <v>29419</v>
      </c>
      <c r="E16661" s="51"/>
      <c r="F16661" s="114" t="str">
        <f>IF(INDEX(I.Facility.P3IDNumber,1649)="","",INDEX(I.Facility.P3IDNumber,1649))</f>
        <v/>
      </c>
      <c r="G16661" s="51"/>
      <c r="H16661" s="46" t="str">
        <f>IF(AND(I.Developer.P3=TRUE,I.Facility.P3FacilityCount&gt;=1649,F16661=""),"Incomplete","Complete")</f>
        <v>Complete</v>
      </c>
      <c r="I16661" s="48" t="s">
        <v>21026</v>
      </c>
    </row>
    <row r="16662" spans="2:9" ht="15" customHeight="1" x14ac:dyDescent="0.25">
      <c r="B16662" s="55" t="s">
        <v>282</v>
      </c>
      <c r="C16662" s="46">
        <v>1650</v>
      </c>
      <c r="D16662" s="69" t="s">
        <v>29419</v>
      </c>
      <c r="E16662" s="51"/>
      <c r="F16662" s="114" t="str">
        <f>IF(INDEX(I.Facility.P3IDNumber,1650)="","",INDEX(I.Facility.P3IDNumber,1650))</f>
        <v/>
      </c>
      <c r="G16662" s="51"/>
      <c r="H16662" s="46" t="str">
        <f>IF(AND(I.Developer.P3=TRUE,I.Facility.P3FacilityCount&gt;=1650,F16662=""),"Incomplete","Complete")</f>
        <v>Complete</v>
      </c>
      <c r="I16662" s="48" t="s">
        <v>21027</v>
      </c>
    </row>
    <row r="16663" spans="2:9" ht="15" customHeight="1" x14ac:dyDescent="0.25">
      <c r="B16663" s="55" t="s">
        <v>282</v>
      </c>
      <c r="C16663" s="46">
        <v>1651</v>
      </c>
      <c r="D16663" s="69" t="s">
        <v>29419</v>
      </c>
      <c r="E16663" s="51"/>
      <c r="F16663" s="114" t="str">
        <f>IF(INDEX(I.Facility.P3IDNumber,1651)="","",INDEX(I.Facility.P3IDNumber,1651))</f>
        <v/>
      </c>
      <c r="G16663" s="51"/>
      <c r="H16663" s="46" t="str">
        <f>IF(AND(I.Developer.P3=TRUE,I.Facility.P3FacilityCount&gt;=1651,F16663=""),"Incomplete","Complete")</f>
        <v>Complete</v>
      </c>
      <c r="I16663" s="48" t="s">
        <v>21028</v>
      </c>
    </row>
    <row r="16664" spans="2:9" ht="15" customHeight="1" x14ac:dyDescent="0.25">
      <c r="B16664" s="55" t="s">
        <v>282</v>
      </c>
      <c r="C16664" s="46">
        <v>1652</v>
      </c>
      <c r="D16664" s="69" t="s">
        <v>29419</v>
      </c>
      <c r="E16664" s="51"/>
      <c r="F16664" s="114" t="str">
        <f>IF(INDEX(I.Facility.P3IDNumber,1652)="","",INDEX(I.Facility.P3IDNumber,1652))</f>
        <v/>
      </c>
      <c r="G16664" s="51"/>
      <c r="H16664" s="46" t="str">
        <f>IF(AND(I.Developer.P3=TRUE,I.Facility.P3FacilityCount&gt;=1652,F16664=""),"Incomplete","Complete")</f>
        <v>Complete</v>
      </c>
      <c r="I16664" s="48" t="s">
        <v>21029</v>
      </c>
    </row>
    <row r="16665" spans="2:9" ht="15" customHeight="1" x14ac:dyDescent="0.25">
      <c r="B16665" s="55" t="s">
        <v>282</v>
      </c>
      <c r="C16665" s="46">
        <v>1653</v>
      </c>
      <c r="D16665" s="69" t="s">
        <v>29419</v>
      </c>
      <c r="E16665" s="51"/>
      <c r="F16665" s="114" t="str">
        <f>IF(INDEX(I.Facility.P3IDNumber,1653)="","",INDEX(I.Facility.P3IDNumber,1653))</f>
        <v/>
      </c>
      <c r="G16665" s="51"/>
      <c r="H16665" s="46" t="str">
        <f>IF(AND(I.Developer.P3=TRUE,I.Facility.P3FacilityCount&gt;=1653,F16665=""),"Incomplete","Complete")</f>
        <v>Complete</v>
      </c>
      <c r="I16665" s="48" t="s">
        <v>21030</v>
      </c>
    </row>
    <row r="16666" spans="2:9" ht="15" customHeight="1" x14ac:dyDescent="0.25">
      <c r="B16666" s="55" t="s">
        <v>282</v>
      </c>
      <c r="C16666" s="46">
        <v>1654</v>
      </c>
      <c r="D16666" s="69" t="s">
        <v>29419</v>
      </c>
      <c r="E16666" s="51"/>
      <c r="F16666" s="114" t="str">
        <f>IF(INDEX(I.Facility.P3IDNumber,1654)="","",INDEX(I.Facility.P3IDNumber,1654))</f>
        <v/>
      </c>
      <c r="G16666" s="51"/>
      <c r="H16666" s="46" t="str">
        <f>IF(AND(I.Developer.P3=TRUE,I.Facility.P3FacilityCount&gt;=1654,F16666=""),"Incomplete","Complete")</f>
        <v>Complete</v>
      </c>
      <c r="I16666" s="48" t="s">
        <v>21031</v>
      </c>
    </row>
    <row r="16667" spans="2:9" ht="15" customHeight="1" x14ac:dyDescent="0.25">
      <c r="B16667" s="55" t="s">
        <v>282</v>
      </c>
      <c r="C16667" s="46">
        <v>1655</v>
      </c>
      <c r="D16667" s="69" t="s">
        <v>29419</v>
      </c>
      <c r="E16667" s="51"/>
      <c r="F16667" s="114" t="str">
        <f>IF(INDEX(I.Facility.P3IDNumber,1655)="","",INDEX(I.Facility.P3IDNumber,1655))</f>
        <v/>
      </c>
      <c r="G16667" s="51"/>
      <c r="H16667" s="46" t="str">
        <f>IF(AND(I.Developer.P3=TRUE,I.Facility.P3FacilityCount&gt;=1655,F16667=""),"Incomplete","Complete")</f>
        <v>Complete</v>
      </c>
      <c r="I16667" s="48" t="s">
        <v>21032</v>
      </c>
    </row>
    <row r="16668" spans="2:9" ht="15" customHeight="1" x14ac:dyDescent="0.25">
      <c r="B16668" s="55" t="s">
        <v>282</v>
      </c>
      <c r="C16668" s="46">
        <v>1656</v>
      </c>
      <c r="D16668" s="69" t="s">
        <v>29419</v>
      </c>
      <c r="E16668" s="51"/>
      <c r="F16668" s="114" t="str">
        <f>IF(INDEX(I.Facility.P3IDNumber,1656)="","",INDEX(I.Facility.P3IDNumber,1656))</f>
        <v/>
      </c>
      <c r="G16668" s="51"/>
      <c r="H16668" s="46" t="str">
        <f>IF(AND(I.Developer.P3=TRUE,I.Facility.P3FacilityCount&gt;=1656,F16668=""),"Incomplete","Complete")</f>
        <v>Complete</v>
      </c>
      <c r="I16668" s="48" t="s">
        <v>21033</v>
      </c>
    </row>
    <row r="16669" spans="2:9" ht="15" customHeight="1" x14ac:dyDescent="0.25">
      <c r="B16669" s="55" t="s">
        <v>282</v>
      </c>
      <c r="C16669" s="46">
        <v>1657</v>
      </c>
      <c r="D16669" s="69" t="s">
        <v>29419</v>
      </c>
      <c r="E16669" s="51"/>
      <c r="F16669" s="114" t="str">
        <f>IF(INDEX(I.Facility.P3IDNumber,1657)="","",INDEX(I.Facility.P3IDNumber,1657))</f>
        <v/>
      </c>
      <c r="G16669" s="51"/>
      <c r="H16669" s="46" t="str">
        <f>IF(AND(I.Developer.P3=TRUE,I.Facility.P3FacilityCount&gt;=1657,F16669=""),"Incomplete","Complete")</f>
        <v>Complete</v>
      </c>
      <c r="I16669" s="48" t="s">
        <v>21034</v>
      </c>
    </row>
    <row r="16670" spans="2:9" ht="15" customHeight="1" x14ac:dyDescent="0.25">
      <c r="B16670" s="55" t="s">
        <v>282</v>
      </c>
      <c r="C16670" s="46">
        <v>1658</v>
      </c>
      <c r="D16670" s="69" t="s">
        <v>29419</v>
      </c>
      <c r="E16670" s="51"/>
      <c r="F16670" s="114" t="str">
        <f>IF(INDEX(I.Facility.P3IDNumber,1658)="","",INDEX(I.Facility.P3IDNumber,1658))</f>
        <v/>
      </c>
      <c r="G16670" s="51"/>
      <c r="H16670" s="46" t="str">
        <f>IF(AND(I.Developer.P3=TRUE,I.Facility.P3FacilityCount&gt;=1658,F16670=""),"Incomplete","Complete")</f>
        <v>Complete</v>
      </c>
      <c r="I16670" s="48" t="s">
        <v>21035</v>
      </c>
    </row>
    <row r="16671" spans="2:9" ht="15" customHeight="1" x14ac:dyDescent="0.25">
      <c r="B16671" s="55" t="s">
        <v>282</v>
      </c>
      <c r="C16671" s="46">
        <v>1659</v>
      </c>
      <c r="D16671" s="69" t="s">
        <v>29419</v>
      </c>
      <c r="E16671" s="51"/>
      <c r="F16671" s="114" t="str">
        <f>IF(INDEX(I.Facility.P3IDNumber,1659)="","",INDEX(I.Facility.P3IDNumber,1659))</f>
        <v/>
      </c>
      <c r="G16671" s="51"/>
      <c r="H16671" s="46" t="str">
        <f>IF(AND(I.Developer.P3=TRUE,I.Facility.P3FacilityCount&gt;=1659,F16671=""),"Incomplete","Complete")</f>
        <v>Complete</v>
      </c>
      <c r="I16671" s="48" t="s">
        <v>21036</v>
      </c>
    </row>
    <row r="16672" spans="2:9" ht="15" customHeight="1" x14ac:dyDescent="0.25">
      <c r="B16672" s="55" t="s">
        <v>282</v>
      </c>
      <c r="C16672" s="46">
        <v>1660</v>
      </c>
      <c r="D16672" s="69" t="s">
        <v>29419</v>
      </c>
      <c r="E16672" s="51"/>
      <c r="F16672" s="114" t="str">
        <f>IF(INDEX(I.Facility.P3IDNumber,1660)="","",INDEX(I.Facility.P3IDNumber,1660))</f>
        <v/>
      </c>
      <c r="G16672" s="51"/>
      <c r="H16672" s="46" t="str">
        <f>IF(AND(I.Developer.P3=TRUE,I.Facility.P3FacilityCount&gt;=1660,F16672=""),"Incomplete","Complete")</f>
        <v>Complete</v>
      </c>
      <c r="I16672" s="48" t="s">
        <v>21037</v>
      </c>
    </row>
    <row r="16673" spans="2:9" ht="15" customHeight="1" x14ac:dyDescent="0.25">
      <c r="B16673" s="55" t="s">
        <v>282</v>
      </c>
      <c r="C16673" s="46">
        <v>1661</v>
      </c>
      <c r="D16673" s="69" t="s">
        <v>29419</v>
      </c>
      <c r="E16673" s="51"/>
      <c r="F16673" s="114" t="str">
        <f>IF(INDEX(I.Facility.P3IDNumber,1661)="","",INDEX(I.Facility.P3IDNumber,1661))</f>
        <v/>
      </c>
      <c r="G16673" s="51"/>
      <c r="H16673" s="46" t="str">
        <f>IF(AND(I.Developer.P3=TRUE,I.Facility.P3FacilityCount&gt;=1661,F16673=""),"Incomplete","Complete")</f>
        <v>Complete</v>
      </c>
      <c r="I16673" s="48" t="s">
        <v>21038</v>
      </c>
    </row>
    <row r="16674" spans="2:9" ht="15" customHeight="1" x14ac:dyDescent="0.25">
      <c r="B16674" s="55" t="s">
        <v>282</v>
      </c>
      <c r="C16674" s="46">
        <v>1662</v>
      </c>
      <c r="D16674" s="69" t="s">
        <v>29419</v>
      </c>
      <c r="E16674" s="51"/>
      <c r="F16674" s="114" t="str">
        <f>IF(INDEX(I.Facility.P3IDNumber,1662)="","",INDEX(I.Facility.P3IDNumber,1662))</f>
        <v/>
      </c>
      <c r="G16674" s="51"/>
      <c r="H16674" s="46" t="str">
        <f>IF(AND(I.Developer.P3=TRUE,I.Facility.P3FacilityCount&gt;=1662,F16674=""),"Incomplete","Complete")</f>
        <v>Complete</v>
      </c>
      <c r="I16674" s="48" t="s">
        <v>21039</v>
      </c>
    </row>
    <row r="16675" spans="2:9" ht="15" customHeight="1" x14ac:dyDescent="0.25">
      <c r="B16675" s="55" t="s">
        <v>282</v>
      </c>
      <c r="C16675" s="46">
        <v>1663</v>
      </c>
      <c r="D16675" s="69" t="s">
        <v>29419</v>
      </c>
      <c r="E16675" s="51"/>
      <c r="F16675" s="114" t="str">
        <f>IF(INDEX(I.Facility.P3IDNumber,1663)="","",INDEX(I.Facility.P3IDNumber,1663))</f>
        <v/>
      </c>
      <c r="G16675" s="51"/>
      <c r="H16675" s="46" t="str">
        <f>IF(AND(I.Developer.P3=TRUE,I.Facility.P3FacilityCount&gt;=1663,F16675=""),"Incomplete","Complete")</f>
        <v>Complete</v>
      </c>
      <c r="I16675" s="48" t="s">
        <v>21040</v>
      </c>
    </row>
    <row r="16676" spans="2:9" ht="15" customHeight="1" x14ac:dyDescent="0.25">
      <c r="B16676" s="55" t="s">
        <v>282</v>
      </c>
      <c r="C16676" s="46">
        <v>1664</v>
      </c>
      <c r="D16676" s="69" t="s">
        <v>29419</v>
      </c>
      <c r="E16676" s="51"/>
      <c r="F16676" s="114" t="str">
        <f>IF(INDEX(I.Facility.P3IDNumber,1664)="","",INDEX(I.Facility.P3IDNumber,1664))</f>
        <v/>
      </c>
      <c r="G16676" s="51"/>
      <c r="H16676" s="46" t="str">
        <f>IF(AND(I.Developer.P3=TRUE,I.Facility.P3FacilityCount&gt;=1664,F16676=""),"Incomplete","Complete")</f>
        <v>Complete</v>
      </c>
      <c r="I16676" s="48" t="s">
        <v>21041</v>
      </c>
    </row>
    <row r="16677" spans="2:9" ht="15" customHeight="1" x14ac:dyDescent="0.25">
      <c r="B16677" s="55" t="s">
        <v>282</v>
      </c>
      <c r="C16677" s="46">
        <v>1665</v>
      </c>
      <c r="D16677" s="69" t="s">
        <v>29419</v>
      </c>
      <c r="E16677" s="51"/>
      <c r="F16677" s="114" t="str">
        <f>IF(INDEX(I.Facility.P3IDNumber,1665)="","",INDEX(I.Facility.P3IDNumber,1665))</f>
        <v/>
      </c>
      <c r="G16677" s="51"/>
      <c r="H16677" s="46" t="str">
        <f>IF(AND(I.Developer.P3=TRUE,I.Facility.P3FacilityCount&gt;=1665,F16677=""),"Incomplete","Complete")</f>
        <v>Complete</v>
      </c>
      <c r="I16677" s="48" t="s">
        <v>21042</v>
      </c>
    </row>
    <row r="16678" spans="2:9" ht="15" customHeight="1" x14ac:dyDescent="0.25">
      <c r="B16678" s="55" t="s">
        <v>282</v>
      </c>
      <c r="C16678" s="46">
        <v>1666</v>
      </c>
      <c r="D16678" s="69" t="s">
        <v>29419</v>
      </c>
      <c r="E16678" s="51"/>
      <c r="F16678" s="114" t="str">
        <f>IF(INDEX(I.Facility.P3IDNumber,1666)="","",INDEX(I.Facility.P3IDNumber,1666))</f>
        <v/>
      </c>
      <c r="G16678" s="51"/>
      <c r="H16678" s="46" t="str">
        <f>IF(AND(I.Developer.P3=TRUE,I.Facility.P3FacilityCount&gt;=1666,F16678=""),"Incomplete","Complete")</f>
        <v>Complete</v>
      </c>
      <c r="I16678" s="48" t="s">
        <v>21043</v>
      </c>
    </row>
    <row r="16679" spans="2:9" ht="15" customHeight="1" x14ac:dyDescent="0.25">
      <c r="B16679" s="55" t="s">
        <v>282</v>
      </c>
      <c r="C16679" s="46">
        <v>1667</v>
      </c>
      <c r="D16679" s="69" t="s">
        <v>29419</v>
      </c>
      <c r="E16679" s="51"/>
      <c r="F16679" s="114" t="str">
        <f>IF(INDEX(I.Facility.P3IDNumber,1667)="","",INDEX(I.Facility.P3IDNumber,1667))</f>
        <v/>
      </c>
      <c r="G16679" s="51"/>
      <c r="H16679" s="46" t="str">
        <f>IF(AND(I.Developer.P3=TRUE,I.Facility.P3FacilityCount&gt;=1667,F16679=""),"Incomplete","Complete")</f>
        <v>Complete</v>
      </c>
      <c r="I16679" s="48" t="s">
        <v>21044</v>
      </c>
    </row>
    <row r="16680" spans="2:9" ht="15" customHeight="1" x14ac:dyDescent="0.25">
      <c r="B16680" s="55" t="s">
        <v>282</v>
      </c>
      <c r="C16680" s="46">
        <v>1668</v>
      </c>
      <c r="D16680" s="69" t="s">
        <v>29419</v>
      </c>
      <c r="E16680" s="51"/>
      <c r="F16680" s="114" t="str">
        <f>IF(INDEX(I.Facility.P3IDNumber,1668)="","",INDEX(I.Facility.P3IDNumber,1668))</f>
        <v/>
      </c>
      <c r="G16680" s="51"/>
      <c r="H16680" s="46" t="str">
        <f>IF(AND(I.Developer.P3=TRUE,I.Facility.P3FacilityCount&gt;=1668,F16680=""),"Incomplete","Complete")</f>
        <v>Complete</v>
      </c>
      <c r="I16680" s="48" t="s">
        <v>21045</v>
      </c>
    </row>
    <row r="16681" spans="2:9" ht="15" customHeight="1" x14ac:dyDescent="0.25">
      <c r="B16681" s="55" t="s">
        <v>282</v>
      </c>
      <c r="C16681" s="46">
        <v>1669</v>
      </c>
      <c r="D16681" s="69" t="s">
        <v>29419</v>
      </c>
      <c r="E16681" s="51"/>
      <c r="F16681" s="114" t="str">
        <f>IF(INDEX(I.Facility.P3IDNumber,1669)="","",INDEX(I.Facility.P3IDNumber,1669))</f>
        <v/>
      </c>
      <c r="G16681" s="51"/>
      <c r="H16681" s="46" t="str">
        <f>IF(AND(I.Developer.P3=TRUE,I.Facility.P3FacilityCount&gt;=1669,F16681=""),"Incomplete","Complete")</f>
        <v>Complete</v>
      </c>
      <c r="I16681" s="48" t="s">
        <v>21046</v>
      </c>
    </row>
    <row r="16682" spans="2:9" ht="15" customHeight="1" x14ac:dyDescent="0.25">
      <c r="B16682" s="55" t="s">
        <v>282</v>
      </c>
      <c r="C16682" s="46">
        <v>1670</v>
      </c>
      <c r="D16682" s="69" t="s">
        <v>29419</v>
      </c>
      <c r="E16682" s="51"/>
      <c r="F16682" s="114" t="str">
        <f>IF(INDEX(I.Facility.P3IDNumber,1670)="","",INDEX(I.Facility.P3IDNumber,1670))</f>
        <v/>
      </c>
      <c r="G16682" s="51"/>
      <c r="H16682" s="46" t="str">
        <f>IF(AND(I.Developer.P3=TRUE,I.Facility.P3FacilityCount&gt;=1670,F16682=""),"Incomplete","Complete")</f>
        <v>Complete</v>
      </c>
      <c r="I16682" s="48" t="s">
        <v>21047</v>
      </c>
    </row>
    <row r="16683" spans="2:9" ht="15" customHeight="1" x14ac:dyDescent="0.25">
      <c r="B16683" s="55" t="s">
        <v>282</v>
      </c>
      <c r="C16683" s="46">
        <v>1671</v>
      </c>
      <c r="D16683" s="69" t="s">
        <v>29419</v>
      </c>
      <c r="E16683" s="51"/>
      <c r="F16683" s="114" t="str">
        <f>IF(INDEX(I.Facility.P3IDNumber,1671)="","",INDEX(I.Facility.P3IDNumber,1671))</f>
        <v/>
      </c>
      <c r="G16683" s="51"/>
      <c r="H16683" s="46" t="str">
        <f>IF(AND(I.Developer.P3=TRUE,I.Facility.P3FacilityCount&gt;=1671,F16683=""),"Incomplete","Complete")</f>
        <v>Complete</v>
      </c>
      <c r="I16683" s="48" t="s">
        <v>21048</v>
      </c>
    </row>
    <row r="16684" spans="2:9" ht="15" customHeight="1" x14ac:dyDescent="0.25">
      <c r="B16684" s="55" t="s">
        <v>282</v>
      </c>
      <c r="C16684" s="46">
        <v>1672</v>
      </c>
      <c r="D16684" s="69" t="s">
        <v>29419</v>
      </c>
      <c r="E16684" s="51"/>
      <c r="F16684" s="114" t="str">
        <f>IF(INDEX(I.Facility.P3IDNumber,1672)="","",INDEX(I.Facility.P3IDNumber,1672))</f>
        <v/>
      </c>
      <c r="G16684" s="51"/>
      <c r="H16684" s="46" t="str">
        <f>IF(AND(I.Developer.P3=TRUE,I.Facility.P3FacilityCount&gt;=1672,F16684=""),"Incomplete","Complete")</f>
        <v>Complete</v>
      </c>
      <c r="I16684" s="48" t="s">
        <v>21049</v>
      </c>
    </row>
    <row r="16685" spans="2:9" ht="15" customHeight="1" x14ac:dyDescent="0.25">
      <c r="B16685" s="55" t="s">
        <v>282</v>
      </c>
      <c r="C16685" s="46">
        <v>1673</v>
      </c>
      <c r="D16685" s="69" t="s">
        <v>29419</v>
      </c>
      <c r="E16685" s="51"/>
      <c r="F16685" s="114" t="str">
        <f>IF(INDEX(I.Facility.P3IDNumber,1673)="","",INDEX(I.Facility.P3IDNumber,1673))</f>
        <v/>
      </c>
      <c r="G16685" s="51"/>
      <c r="H16685" s="46" t="str">
        <f>IF(AND(I.Developer.P3=TRUE,I.Facility.P3FacilityCount&gt;=1673,F16685=""),"Incomplete","Complete")</f>
        <v>Complete</v>
      </c>
      <c r="I16685" s="48" t="s">
        <v>21050</v>
      </c>
    </row>
    <row r="16686" spans="2:9" ht="15" customHeight="1" x14ac:dyDescent="0.25">
      <c r="B16686" s="55" t="s">
        <v>282</v>
      </c>
      <c r="C16686" s="46">
        <v>1674</v>
      </c>
      <c r="D16686" s="69" t="s">
        <v>29419</v>
      </c>
      <c r="E16686" s="51"/>
      <c r="F16686" s="114" t="str">
        <f>IF(INDEX(I.Facility.P3IDNumber,1674)="","",INDEX(I.Facility.P3IDNumber,1674))</f>
        <v/>
      </c>
      <c r="G16686" s="51"/>
      <c r="H16686" s="46" t="str">
        <f>IF(AND(I.Developer.P3=TRUE,I.Facility.P3FacilityCount&gt;=1674,F16686=""),"Incomplete","Complete")</f>
        <v>Complete</v>
      </c>
      <c r="I16686" s="48" t="s">
        <v>21051</v>
      </c>
    </row>
    <row r="16687" spans="2:9" ht="15" customHeight="1" x14ac:dyDescent="0.25">
      <c r="B16687" s="55" t="s">
        <v>282</v>
      </c>
      <c r="C16687" s="46">
        <v>1675</v>
      </c>
      <c r="D16687" s="69" t="s">
        <v>29419</v>
      </c>
      <c r="E16687" s="51"/>
      <c r="F16687" s="114" t="str">
        <f>IF(INDEX(I.Facility.P3IDNumber,1675)="","",INDEX(I.Facility.P3IDNumber,1675))</f>
        <v/>
      </c>
      <c r="G16687" s="51"/>
      <c r="H16687" s="46" t="str">
        <f>IF(AND(I.Developer.P3=TRUE,I.Facility.P3FacilityCount&gt;=1675,F16687=""),"Incomplete","Complete")</f>
        <v>Complete</v>
      </c>
      <c r="I16687" s="48" t="s">
        <v>21052</v>
      </c>
    </row>
    <row r="16688" spans="2:9" ht="15" customHeight="1" x14ac:dyDescent="0.25">
      <c r="B16688" s="55" t="s">
        <v>282</v>
      </c>
      <c r="C16688" s="46">
        <v>1676</v>
      </c>
      <c r="D16688" s="69" t="s">
        <v>29419</v>
      </c>
      <c r="E16688" s="51"/>
      <c r="F16688" s="114" t="str">
        <f>IF(INDEX(I.Facility.P3IDNumber,1676)="","",INDEX(I.Facility.P3IDNumber,1676))</f>
        <v/>
      </c>
      <c r="G16688" s="51"/>
      <c r="H16688" s="46" t="str">
        <f>IF(AND(I.Developer.P3=TRUE,I.Facility.P3FacilityCount&gt;=1676,F16688=""),"Incomplete","Complete")</f>
        <v>Complete</v>
      </c>
      <c r="I16688" s="48" t="s">
        <v>21053</v>
      </c>
    </row>
    <row r="16689" spans="2:9" ht="15" customHeight="1" x14ac:dyDescent="0.25">
      <c r="B16689" s="55" t="s">
        <v>282</v>
      </c>
      <c r="C16689" s="46">
        <v>1677</v>
      </c>
      <c r="D16689" s="69" t="s">
        <v>29419</v>
      </c>
      <c r="E16689" s="51"/>
      <c r="F16689" s="114" t="str">
        <f>IF(INDEX(I.Facility.P3IDNumber,1677)="","",INDEX(I.Facility.P3IDNumber,1677))</f>
        <v/>
      </c>
      <c r="G16689" s="51"/>
      <c r="H16689" s="46" t="str">
        <f>IF(AND(I.Developer.P3=TRUE,I.Facility.P3FacilityCount&gt;=1677,F16689=""),"Incomplete","Complete")</f>
        <v>Complete</v>
      </c>
      <c r="I16689" s="48" t="s">
        <v>21054</v>
      </c>
    </row>
    <row r="16690" spans="2:9" ht="15" customHeight="1" x14ac:dyDescent="0.25">
      <c r="B16690" s="55" t="s">
        <v>282</v>
      </c>
      <c r="C16690" s="46">
        <v>1678</v>
      </c>
      <c r="D16690" s="69" t="s">
        <v>29419</v>
      </c>
      <c r="E16690" s="51"/>
      <c r="F16690" s="114" t="str">
        <f>IF(INDEX(I.Facility.P3IDNumber,1678)="","",INDEX(I.Facility.P3IDNumber,1678))</f>
        <v/>
      </c>
      <c r="G16690" s="51"/>
      <c r="H16690" s="46" t="str">
        <f>IF(AND(I.Developer.P3=TRUE,I.Facility.P3FacilityCount&gt;=1678,F16690=""),"Incomplete","Complete")</f>
        <v>Complete</v>
      </c>
      <c r="I16690" s="48" t="s">
        <v>21055</v>
      </c>
    </row>
    <row r="16691" spans="2:9" ht="15" customHeight="1" x14ac:dyDescent="0.25">
      <c r="B16691" s="55" t="s">
        <v>282</v>
      </c>
      <c r="C16691" s="46">
        <v>1679</v>
      </c>
      <c r="D16691" s="69" t="s">
        <v>29419</v>
      </c>
      <c r="E16691" s="51"/>
      <c r="F16691" s="114" t="str">
        <f>IF(INDEX(I.Facility.P3IDNumber,1679)="","",INDEX(I.Facility.P3IDNumber,1679))</f>
        <v/>
      </c>
      <c r="G16691" s="51"/>
      <c r="H16691" s="46" t="str">
        <f>IF(AND(I.Developer.P3=TRUE,I.Facility.P3FacilityCount&gt;=1679,F16691=""),"Incomplete","Complete")</f>
        <v>Complete</v>
      </c>
      <c r="I16691" s="48" t="s">
        <v>21056</v>
      </c>
    </row>
    <row r="16692" spans="2:9" ht="15" customHeight="1" x14ac:dyDescent="0.25">
      <c r="B16692" s="55" t="s">
        <v>282</v>
      </c>
      <c r="C16692" s="46">
        <v>1680</v>
      </c>
      <c r="D16692" s="69" t="s">
        <v>29419</v>
      </c>
      <c r="E16692" s="51"/>
      <c r="F16692" s="114" t="str">
        <f>IF(INDEX(I.Facility.P3IDNumber,1680)="","",INDEX(I.Facility.P3IDNumber,1680))</f>
        <v/>
      </c>
      <c r="G16692" s="51"/>
      <c r="H16692" s="46" t="str">
        <f>IF(AND(I.Developer.P3=TRUE,I.Facility.P3FacilityCount&gt;=1680,F16692=""),"Incomplete","Complete")</f>
        <v>Complete</v>
      </c>
      <c r="I16692" s="48" t="s">
        <v>21057</v>
      </c>
    </row>
    <row r="16693" spans="2:9" ht="15" customHeight="1" x14ac:dyDescent="0.25">
      <c r="B16693" s="55" t="s">
        <v>282</v>
      </c>
      <c r="C16693" s="46">
        <v>1681</v>
      </c>
      <c r="D16693" s="69" t="s">
        <v>29419</v>
      </c>
      <c r="E16693" s="51"/>
      <c r="F16693" s="114" t="str">
        <f>IF(INDEX(I.Facility.P3IDNumber,1681)="","",INDEX(I.Facility.P3IDNumber,1681))</f>
        <v/>
      </c>
      <c r="G16693" s="51"/>
      <c r="H16693" s="46" t="str">
        <f>IF(AND(I.Developer.P3=TRUE,I.Facility.P3FacilityCount&gt;=1681,F16693=""),"Incomplete","Complete")</f>
        <v>Complete</v>
      </c>
      <c r="I16693" s="48" t="s">
        <v>21058</v>
      </c>
    </row>
    <row r="16694" spans="2:9" ht="15" customHeight="1" x14ac:dyDescent="0.25">
      <c r="B16694" s="55" t="s">
        <v>282</v>
      </c>
      <c r="C16694" s="46">
        <v>1682</v>
      </c>
      <c r="D16694" s="69" t="s">
        <v>29419</v>
      </c>
      <c r="E16694" s="51"/>
      <c r="F16694" s="114" t="str">
        <f>IF(INDEX(I.Facility.P3IDNumber,1682)="","",INDEX(I.Facility.P3IDNumber,1682))</f>
        <v/>
      </c>
      <c r="G16694" s="51"/>
      <c r="H16694" s="46" t="str">
        <f>IF(AND(I.Developer.P3=TRUE,I.Facility.P3FacilityCount&gt;=1682,F16694=""),"Incomplete","Complete")</f>
        <v>Complete</v>
      </c>
      <c r="I16694" s="48" t="s">
        <v>21059</v>
      </c>
    </row>
    <row r="16695" spans="2:9" ht="15" customHeight="1" x14ac:dyDescent="0.25">
      <c r="B16695" s="55" t="s">
        <v>282</v>
      </c>
      <c r="C16695" s="46">
        <v>1683</v>
      </c>
      <c r="D16695" s="69" t="s">
        <v>29419</v>
      </c>
      <c r="E16695" s="51"/>
      <c r="F16695" s="114" t="str">
        <f>IF(INDEX(I.Facility.P3IDNumber,1683)="","",INDEX(I.Facility.P3IDNumber,1683))</f>
        <v/>
      </c>
      <c r="G16695" s="51"/>
      <c r="H16695" s="46" t="str">
        <f>IF(AND(I.Developer.P3=TRUE,I.Facility.P3FacilityCount&gt;=1683,F16695=""),"Incomplete","Complete")</f>
        <v>Complete</v>
      </c>
      <c r="I16695" s="48" t="s">
        <v>21060</v>
      </c>
    </row>
    <row r="16696" spans="2:9" ht="15" customHeight="1" x14ac:dyDescent="0.25">
      <c r="B16696" s="55" t="s">
        <v>282</v>
      </c>
      <c r="C16696" s="46">
        <v>1684</v>
      </c>
      <c r="D16696" s="69" t="s">
        <v>29419</v>
      </c>
      <c r="E16696" s="51"/>
      <c r="F16696" s="114" t="str">
        <f>IF(INDEX(I.Facility.P3IDNumber,1684)="","",INDEX(I.Facility.P3IDNumber,1684))</f>
        <v/>
      </c>
      <c r="G16696" s="51"/>
      <c r="H16696" s="46" t="str">
        <f>IF(AND(I.Developer.P3=TRUE,I.Facility.P3FacilityCount&gt;=1684,F16696=""),"Incomplete","Complete")</f>
        <v>Complete</v>
      </c>
      <c r="I16696" s="48" t="s">
        <v>21061</v>
      </c>
    </row>
    <row r="16697" spans="2:9" ht="15" customHeight="1" x14ac:dyDescent="0.25">
      <c r="B16697" s="55" t="s">
        <v>282</v>
      </c>
      <c r="C16697" s="46">
        <v>1685</v>
      </c>
      <c r="D16697" s="69" t="s">
        <v>29419</v>
      </c>
      <c r="E16697" s="51"/>
      <c r="F16697" s="114" t="str">
        <f>IF(INDEX(I.Facility.P3IDNumber,1685)="","",INDEX(I.Facility.P3IDNumber,1685))</f>
        <v/>
      </c>
      <c r="G16697" s="51"/>
      <c r="H16697" s="46" t="str">
        <f>IF(AND(I.Developer.P3=TRUE,I.Facility.P3FacilityCount&gt;=1685,F16697=""),"Incomplete","Complete")</f>
        <v>Complete</v>
      </c>
      <c r="I16697" s="48" t="s">
        <v>21062</v>
      </c>
    </row>
    <row r="16698" spans="2:9" ht="15" customHeight="1" x14ac:dyDescent="0.25">
      <c r="B16698" s="55" t="s">
        <v>282</v>
      </c>
      <c r="C16698" s="46">
        <v>1686</v>
      </c>
      <c r="D16698" s="69" t="s">
        <v>29419</v>
      </c>
      <c r="E16698" s="51"/>
      <c r="F16698" s="114" t="str">
        <f>IF(INDEX(I.Facility.P3IDNumber,1686)="","",INDEX(I.Facility.P3IDNumber,1686))</f>
        <v/>
      </c>
      <c r="G16698" s="51"/>
      <c r="H16698" s="46" t="str">
        <f>IF(AND(I.Developer.P3=TRUE,I.Facility.P3FacilityCount&gt;=1686,F16698=""),"Incomplete","Complete")</f>
        <v>Complete</v>
      </c>
      <c r="I16698" s="48" t="s">
        <v>21063</v>
      </c>
    </row>
    <row r="16699" spans="2:9" ht="15" customHeight="1" x14ac:dyDescent="0.25">
      <c r="B16699" s="55" t="s">
        <v>282</v>
      </c>
      <c r="C16699" s="46">
        <v>1687</v>
      </c>
      <c r="D16699" s="69" t="s">
        <v>29419</v>
      </c>
      <c r="E16699" s="51"/>
      <c r="F16699" s="114" t="str">
        <f>IF(INDEX(I.Facility.P3IDNumber,1687)="","",INDEX(I.Facility.P3IDNumber,1687))</f>
        <v/>
      </c>
      <c r="G16699" s="51"/>
      <c r="H16699" s="46" t="str">
        <f>IF(AND(I.Developer.P3=TRUE,I.Facility.P3FacilityCount&gt;=1687,F16699=""),"Incomplete","Complete")</f>
        <v>Complete</v>
      </c>
      <c r="I16699" s="48" t="s">
        <v>21064</v>
      </c>
    </row>
    <row r="16700" spans="2:9" ht="15" customHeight="1" x14ac:dyDescent="0.25">
      <c r="B16700" s="55" t="s">
        <v>282</v>
      </c>
      <c r="C16700" s="46">
        <v>1688</v>
      </c>
      <c r="D16700" s="69" t="s">
        <v>29419</v>
      </c>
      <c r="E16700" s="51"/>
      <c r="F16700" s="114" t="str">
        <f>IF(INDEX(I.Facility.P3IDNumber,1688)="","",INDEX(I.Facility.P3IDNumber,1688))</f>
        <v/>
      </c>
      <c r="G16700" s="51"/>
      <c r="H16700" s="46" t="str">
        <f>IF(AND(I.Developer.P3=TRUE,I.Facility.P3FacilityCount&gt;=1688,F16700=""),"Incomplete","Complete")</f>
        <v>Complete</v>
      </c>
      <c r="I16700" s="48" t="s">
        <v>21065</v>
      </c>
    </row>
    <row r="16701" spans="2:9" ht="15" customHeight="1" x14ac:dyDescent="0.25">
      <c r="B16701" s="55" t="s">
        <v>282</v>
      </c>
      <c r="C16701" s="46">
        <v>1689</v>
      </c>
      <c r="D16701" s="69" t="s">
        <v>29419</v>
      </c>
      <c r="E16701" s="51"/>
      <c r="F16701" s="114" t="str">
        <f>IF(INDEX(I.Facility.P3IDNumber,1689)="","",INDEX(I.Facility.P3IDNumber,1689))</f>
        <v/>
      </c>
      <c r="G16701" s="51"/>
      <c r="H16701" s="46" t="str">
        <f>IF(AND(I.Developer.P3=TRUE,I.Facility.P3FacilityCount&gt;=1689,F16701=""),"Incomplete","Complete")</f>
        <v>Complete</v>
      </c>
      <c r="I16701" s="48" t="s">
        <v>21066</v>
      </c>
    </row>
    <row r="16702" spans="2:9" ht="15" customHeight="1" x14ac:dyDescent="0.25">
      <c r="B16702" s="55" t="s">
        <v>282</v>
      </c>
      <c r="C16702" s="46">
        <v>1690</v>
      </c>
      <c r="D16702" s="69" t="s">
        <v>29419</v>
      </c>
      <c r="E16702" s="51"/>
      <c r="F16702" s="114" t="str">
        <f>IF(INDEX(I.Facility.P3IDNumber,1690)="","",INDEX(I.Facility.P3IDNumber,1690))</f>
        <v/>
      </c>
      <c r="G16702" s="51"/>
      <c r="H16702" s="46" t="str">
        <f>IF(AND(I.Developer.P3=TRUE,I.Facility.P3FacilityCount&gt;=1690,F16702=""),"Incomplete","Complete")</f>
        <v>Complete</v>
      </c>
      <c r="I16702" s="48" t="s">
        <v>21067</v>
      </c>
    </row>
    <row r="16703" spans="2:9" ht="15" customHeight="1" x14ac:dyDescent="0.25">
      <c r="B16703" s="55" t="s">
        <v>282</v>
      </c>
      <c r="C16703" s="46">
        <v>1691</v>
      </c>
      <c r="D16703" s="69" t="s">
        <v>29419</v>
      </c>
      <c r="E16703" s="51"/>
      <c r="F16703" s="114" t="str">
        <f>IF(INDEX(I.Facility.P3IDNumber,1691)="","",INDEX(I.Facility.P3IDNumber,1691))</f>
        <v/>
      </c>
      <c r="G16703" s="51"/>
      <c r="H16703" s="46" t="str">
        <f>IF(AND(I.Developer.P3=TRUE,I.Facility.P3FacilityCount&gt;=1691,F16703=""),"Incomplete","Complete")</f>
        <v>Complete</v>
      </c>
      <c r="I16703" s="48" t="s">
        <v>21068</v>
      </c>
    </row>
    <row r="16704" spans="2:9" ht="15" customHeight="1" x14ac:dyDescent="0.25">
      <c r="B16704" s="55" t="s">
        <v>282</v>
      </c>
      <c r="C16704" s="46">
        <v>1692</v>
      </c>
      <c r="D16704" s="69" t="s">
        <v>29419</v>
      </c>
      <c r="E16704" s="51"/>
      <c r="F16704" s="114" t="str">
        <f>IF(INDEX(I.Facility.P3IDNumber,1692)="","",INDEX(I.Facility.P3IDNumber,1692))</f>
        <v/>
      </c>
      <c r="G16704" s="51"/>
      <c r="H16704" s="46" t="str">
        <f>IF(AND(I.Developer.P3=TRUE,I.Facility.P3FacilityCount&gt;=1692,F16704=""),"Incomplete","Complete")</f>
        <v>Complete</v>
      </c>
      <c r="I16704" s="48" t="s">
        <v>21069</v>
      </c>
    </row>
    <row r="16705" spans="2:9" ht="15" customHeight="1" x14ac:dyDescent="0.25">
      <c r="B16705" s="55" t="s">
        <v>282</v>
      </c>
      <c r="C16705" s="46">
        <v>1693</v>
      </c>
      <c r="D16705" s="69" t="s">
        <v>29419</v>
      </c>
      <c r="E16705" s="51"/>
      <c r="F16705" s="114" t="str">
        <f>IF(INDEX(I.Facility.P3IDNumber,1693)="","",INDEX(I.Facility.P3IDNumber,1693))</f>
        <v/>
      </c>
      <c r="G16705" s="51"/>
      <c r="H16705" s="46" t="str">
        <f>IF(AND(I.Developer.P3=TRUE,I.Facility.P3FacilityCount&gt;=1693,F16705=""),"Incomplete","Complete")</f>
        <v>Complete</v>
      </c>
      <c r="I16705" s="48" t="s">
        <v>21070</v>
      </c>
    </row>
    <row r="16706" spans="2:9" ht="15" customHeight="1" x14ac:dyDescent="0.25">
      <c r="B16706" s="55" t="s">
        <v>282</v>
      </c>
      <c r="C16706" s="46">
        <v>1694</v>
      </c>
      <c r="D16706" s="69" t="s">
        <v>29419</v>
      </c>
      <c r="E16706" s="51"/>
      <c r="F16706" s="114" t="str">
        <f>IF(INDEX(I.Facility.P3IDNumber,1694)="","",INDEX(I.Facility.P3IDNumber,1694))</f>
        <v/>
      </c>
      <c r="G16706" s="51"/>
      <c r="H16706" s="46" t="str">
        <f>IF(AND(I.Developer.P3=TRUE,I.Facility.P3FacilityCount&gt;=1694,F16706=""),"Incomplete","Complete")</f>
        <v>Complete</v>
      </c>
      <c r="I16706" s="48" t="s">
        <v>21071</v>
      </c>
    </row>
    <row r="16707" spans="2:9" ht="15" customHeight="1" x14ac:dyDescent="0.25">
      <c r="B16707" s="55" t="s">
        <v>282</v>
      </c>
      <c r="C16707" s="46">
        <v>1695</v>
      </c>
      <c r="D16707" s="69" t="s">
        <v>29419</v>
      </c>
      <c r="E16707" s="51"/>
      <c r="F16707" s="114" t="str">
        <f>IF(INDEX(I.Facility.P3IDNumber,1695)="","",INDEX(I.Facility.P3IDNumber,1695))</f>
        <v/>
      </c>
      <c r="G16707" s="51"/>
      <c r="H16707" s="46" t="str">
        <f>IF(AND(I.Developer.P3=TRUE,I.Facility.P3FacilityCount&gt;=1695,F16707=""),"Incomplete","Complete")</f>
        <v>Complete</v>
      </c>
      <c r="I16707" s="48" t="s">
        <v>21072</v>
      </c>
    </row>
    <row r="16708" spans="2:9" ht="15" customHeight="1" x14ac:dyDescent="0.25">
      <c r="B16708" s="55" t="s">
        <v>282</v>
      </c>
      <c r="C16708" s="46">
        <v>1696</v>
      </c>
      <c r="D16708" s="69" t="s">
        <v>29419</v>
      </c>
      <c r="E16708" s="51"/>
      <c r="F16708" s="114" t="str">
        <f>IF(INDEX(I.Facility.P3IDNumber,1696)="","",INDEX(I.Facility.P3IDNumber,1696))</f>
        <v/>
      </c>
      <c r="G16708" s="51"/>
      <c r="H16708" s="46" t="str">
        <f>IF(AND(I.Developer.P3=TRUE,I.Facility.P3FacilityCount&gt;=1696,F16708=""),"Incomplete","Complete")</f>
        <v>Complete</v>
      </c>
      <c r="I16708" s="48" t="s">
        <v>21073</v>
      </c>
    </row>
    <row r="16709" spans="2:9" ht="15" customHeight="1" x14ac:dyDescent="0.25">
      <c r="B16709" s="55" t="s">
        <v>282</v>
      </c>
      <c r="C16709" s="46">
        <v>1697</v>
      </c>
      <c r="D16709" s="69" t="s">
        <v>29419</v>
      </c>
      <c r="E16709" s="51"/>
      <c r="F16709" s="114" t="str">
        <f>IF(INDEX(I.Facility.P3IDNumber,1697)="","",INDEX(I.Facility.P3IDNumber,1697))</f>
        <v/>
      </c>
      <c r="G16709" s="51"/>
      <c r="H16709" s="46" t="str">
        <f>IF(AND(I.Developer.P3=TRUE,I.Facility.P3FacilityCount&gt;=1697,F16709=""),"Incomplete","Complete")</f>
        <v>Complete</v>
      </c>
      <c r="I16709" s="48" t="s">
        <v>21074</v>
      </c>
    </row>
    <row r="16710" spans="2:9" ht="15" customHeight="1" x14ac:dyDescent="0.25">
      <c r="B16710" s="55" t="s">
        <v>282</v>
      </c>
      <c r="C16710" s="46">
        <v>1698</v>
      </c>
      <c r="D16710" s="69" t="s">
        <v>29419</v>
      </c>
      <c r="E16710" s="51"/>
      <c r="F16710" s="114" t="str">
        <f>IF(INDEX(I.Facility.P3IDNumber,1698)="","",INDEX(I.Facility.P3IDNumber,1698))</f>
        <v/>
      </c>
      <c r="G16710" s="51"/>
      <c r="H16710" s="46" t="str">
        <f>IF(AND(I.Developer.P3=TRUE,I.Facility.P3FacilityCount&gt;=1698,F16710=""),"Incomplete","Complete")</f>
        <v>Complete</v>
      </c>
      <c r="I16710" s="48" t="s">
        <v>21075</v>
      </c>
    </row>
    <row r="16711" spans="2:9" ht="15" customHeight="1" x14ac:dyDescent="0.25">
      <c r="B16711" s="55" t="s">
        <v>282</v>
      </c>
      <c r="C16711" s="46">
        <v>1699</v>
      </c>
      <c r="D16711" s="69" t="s">
        <v>29419</v>
      </c>
      <c r="E16711" s="51"/>
      <c r="F16711" s="114" t="str">
        <f>IF(INDEX(I.Facility.P3IDNumber,1699)="","",INDEX(I.Facility.P3IDNumber,1699))</f>
        <v/>
      </c>
      <c r="G16711" s="51"/>
      <c r="H16711" s="46" t="str">
        <f>IF(AND(I.Developer.P3=TRUE,I.Facility.P3FacilityCount&gt;=1699,F16711=""),"Incomplete","Complete")</f>
        <v>Complete</v>
      </c>
      <c r="I16711" s="48" t="s">
        <v>21076</v>
      </c>
    </row>
    <row r="16712" spans="2:9" ht="15" customHeight="1" x14ac:dyDescent="0.25">
      <c r="B16712" s="55" t="s">
        <v>282</v>
      </c>
      <c r="C16712" s="46">
        <v>1700</v>
      </c>
      <c r="D16712" s="69" t="s">
        <v>29419</v>
      </c>
      <c r="E16712" s="51"/>
      <c r="F16712" s="114" t="str">
        <f>IF(INDEX(I.Facility.P3IDNumber,1700)="","",INDEX(I.Facility.P3IDNumber,1700))</f>
        <v/>
      </c>
      <c r="G16712" s="51"/>
      <c r="H16712" s="46" t="str">
        <f>IF(AND(I.Developer.P3=TRUE,I.Facility.P3FacilityCount&gt;=1700,F16712=""),"Incomplete","Complete")</f>
        <v>Complete</v>
      </c>
      <c r="I16712" s="48" t="s">
        <v>21077</v>
      </c>
    </row>
    <row r="16713" spans="2:9" ht="15" customHeight="1" x14ac:dyDescent="0.25">
      <c r="B16713" s="55" t="s">
        <v>282</v>
      </c>
      <c r="C16713" s="46">
        <v>1701</v>
      </c>
      <c r="D16713" s="69" t="s">
        <v>29419</v>
      </c>
      <c r="E16713" s="51"/>
      <c r="F16713" s="114" t="str">
        <f>IF(INDEX(I.Facility.P3IDNumber,1701)="","",INDEX(I.Facility.P3IDNumber,1701))</f>
        <v/>
      </c>
      <c r="G16713" s="51"/>
      <c r="H16713" s="46" t="str">
        <f>IF(AND(I.Developer.P3=TRUE,I.Facility.P3FacilityCount&gt;=1701,F16713=""),"Incomplete","Complete")</f>
        <v>Complete</v>
      </c>
      <c r="I16713" s="48" t="s">
        <v>21078</v>
      </c>
    </row>
    <row r="16714" spans="2:9" ht="15" customHeight="1" x14ac:dyDescent="0.25">
      <c r="B16714" s="55" t="s">
        <v>282</v>
      </c>
      <c r="C16714" s="46">
        <v>1702</v>
      </c>
      <c r="D16714" s="69" t="s">
        <v>29419</v>
      </c>
      <c r="E16714" s="51"/>
      <c r="F16714" s="114" t="str">
        <f>IF(INDEX(I.Facility.P3IDNumber,1702)="","",INDEX(I.Facility.P3IDNumber,1702))</f>
        <v/>
      </c>
      <c r="G16714" s="51"/>
      <c r="H16714" s="46" t="str">
        <f>IF(AND(I.Developer.P3=TRUE,I.Facility.P3FacilityCount&gt;=1702,F16714=""),"Incomplete","Complete")</f>
        <v>Complete</v>
      </c>
      <c r="I16714" s="48" t="s">
        <v>21079</v>
      </c>
    </row>
    <row r="16715" spans="2:9" ht="15" customHeight="1" x14ac:dyDescent="0.25">
      <c r="B16715" s="55" t="s">
        <v>282</v>
      </c>
      <c r="C16715" s="46">
        <v>1703</v>
      </c>
      <c r="D16715" s="69" t="s">
        <v>29419</v>
      </c>
      <c r="E16715" s="51"/>
      <c r="F16715" s="114" t="str">
        <f>IF(INDEX(I.Facility.P3IDNumber,1703)="","",INDEX(I.Facility.P3IDNumber,1703))</f>
        <v/>
      </c>
      <c r="G16715" s="51"/>
      <c r="H16715" s="46" t="str">
        <f>IF(AND(I.Developer.P3=TRUE,I.Facility.P3FacilityCount&gt;=1703,F16715=""),"Incomplete","Complete")</f>
        <v>Complete</v>
      </c>
      <c r="I16715" s="48" t="s">
        <v>21080</v>
      </c>
    </row>
    <row r="16716" spans="2:9" ht="15" customHeight="1" x14ac:dyDescent="0.25">
      <c r="B16716" s="55" t="s">
        <v>282</v>
      </c>
      <c r="C16716" s="46">
        <v>1704</v>
      </c>
      <c r="D16716" s="69" t="s">
        <v>29419</v>
      </c>
      <c r="E16716" s="51"/>
      <c r="F16716" s="114" t="str">
        <f>IF(INDEX(I.Facility.P3IDNumber,1704)="","",INDEX(I.Facility.P3IDNumber,1704))</f>
        <v/>
      </c>
      <c r="G16716" s="51"/>
      <c r="H16716" s="46" t="str">
        <f>IF(AND(I.Developer.P3=TRUE,I.Facility.P3FacilityCount&gt;=1704,F16716=""),"Incomplete","Complete")</f>
        <v>Complete</v>
      </c>
      <c r="I16716" s="48" t="s">
        <v>21081</v>
      </c>
    </row>
    <row r="16717" spans="2:9" ht="15" customHeight="1" x14ac:dyDescent="0.25">
      <c r="B16717" s="55" t="s">
        <v>282</v>
      </c>
      <c r="C16717" s="46">
        <v>1705</v>
      </c>
      <c r="D16717" s="69" t="s">
        <v>29419</v>
      </c>
      <c r="E16717" s="51"/>
      <c r="F16717" s="114" t="str">
        <f>IF(INDEX(I.Facility.P3IDNumber,1705)="","",INDEX(I.Facility.P3IDNumber,1705))</f>
        <v/>
      </c>
      <c r="G16717" s="51"/>
      <c r="H16717" s="46" t="str">
        <f>IF(AND(I.Developer.P3=TRUE,I.Facility.P3FacilityCount&gt;=1705,F16717=""),"Incomplete","Complete")</f>
        <v>Complete</v>
      </c>
      <c r="I16717" s="48" t="s">
        <v>21082</v>
      </c>
    </row>
    <row r="16718" spans="2:9" ht="15" customHeight="1" x14ac:dyDescent="0.25">
      <c r="B16718" s="55" t="s">
        <v>282</v>
      </c>
      <c r="C16718" s="46">
        <v>1706</v>
      </c>
      <c r="D16718" s="69" t="s">
        <v>29419</v>
      </c>
      <c r="E16718" s="51"/>
      <c r="F16718" s="114" t="str">
        <f>IF(INDEX(I.Facility.P3IDNumber,1706)="","",INDEX(I.Facility.P3IDNumber,1706))</f>
        <v/>
      </c>
      <c r="G16718" s="51"/>
      <c r="H16718" s="46" t="str">
        <f>IF(AND(I.Developer.P3=TRUE,I.Facility.P3FacilityCount&gt;=1706,F16718=""),"Incomplete","Complete")</f>
        <v>Complete</v>
      </c>
      <c r="I16718" s="48" t="s">
        <v>21083</v>
      </c>
    </row>
    <row r="16719" spans="2:9" ht="15" customHeight="1" x14ac:dyDescent="0.25">
      <c r="B16719" s="55" t="s">
        <v>282</v>
      </c>
      <c r="C16719" s="46">
        <v>1707</v>
      </c>
      <c r="D16719" s="69" t="s">
        <v>29419</v>
      </c>
      <c r="E16719" s="51"/>
      <c r="F16719" s="114" t="str">
        <f>IF(INDEX(I.Facility.P3IDNumber,1707)="","",INDEX(I.Facility.P3IDNumber,1707))</f>
        <v/>
      </c>
      <c r="G16719" s="51"/>
      <c r="H16719" s="46" t="str">
        <f>IF(AND(I.Developer.P3=TRUE,I.Facility.P3FacilityCount&gt;=1707,F16719=""),"Incomplete","Complete")</f>
        <v>Complete</v>
      </c>
      <c r="I16719" s="48" t="s">
        <v>21084</v>
      </c>
    </row>
    <row r="16720" spans="2:9" ht="15" customHeight="1" x14ac:dyDescent="0.25">
      <c r="B16720" s="55" t="s">
        <v>282</v>
      </c>
      <c r="C16720" s="46">
        <v>1708</v>
      </c>
      <c r="D16720" s="69" t="s">
        <v>29419</v>
      </c>
      <c r="E16720" s="51"/>
      <c r="F16720" s="114" t="str">
        <f>IF(INDEX(I.Facility.P3IDNumber,1708)="","",INDEX(I.Facility.P3IDNumber,1708))</f>
        <v/>
      </c>
      <c r="G16720" s="51"/>
      <c r="H16720" s="46" t="str">
        <f>IF(AND(I.Developer.P3=TRUE,I.Facility.P3FacilityCount&gt;=1708,F16720=""),"Incomplete","Complete")</f>
        <v>Complete</v>
      </c>
      <c r="I16720" s="48" t="s">
        <v>21085</v>
      </c>
    </row>
    <row r="16721" spans="2:9" ht="15" customHeight="1" x14ac:dyDescent="0.25">
      <c r="B16721" s="55" t="s">
        <v>282</v>
      </c>
      <c r="C16721" s="46">
        <v>1709</v>
      </c>
      <c r="D16721" s="69" t="s">
        <v>29419</v>
      </c>
      <c r="E16721" s="51"/>
      <c r="F16721" s="114" t="str">
        <f>IF(INDEX(I.Facility.P3IDNumber,1709)="","",INDEX(I.Facility.P3IDNumber,1709))</f>
        <v/>
      </c>
      <c r="G16721" s="51"/>
      <c r="H16721" s="46" t="str">
        <f>IF(AND(I.Developer.P3=TRUE,I.Facility.P3FacilityCount&gt;=1709,F16721=""),"Incomplete","Complete")</f>
        <v>Complete</v>
      </c>
      <c r="I16721" s="48" t="s">
        <v>21086</v>
      </c>
    </row>
    <row r="16722" spans="2:9" ht="15" customHeight="1" x14ac:dyDescent="0.25">
      <c r="B16722" s="55" t="s">
        <v>282</v>
      </c>
      <c r="C16722" s="46">
        <v>1710</v>
      </c>
      <c r="D16722" s="69" t="s">
        <v>29419</v>
      </c>
      <c r="E16722" s="51"/>
      <c r="F16722" s="114" t="str">
        <f>IF(INDEX(I.Facility.P3IDNumber,1710)="","",INDEX(I.Facility.P3IDNumber,1710))</f>
        <v/>
      </c>
      <c r="G16722" s="51"/>
      <c r="H16722" s="46" t="str">
        <f>IF(AND(I.Developer.P3=TRUE,I.Facility.P3FacilityCount&gt;=1710,F16722=""),"Incomplete","Complete")</f>
        <v>Complete</v>
      </c>
      <c r="I16722" s="48" t="s">
        <v>21087</v>
      </c>
    </row>
    <row r="16723" spans="2:9" ht="15" customHeight="1" x14ac:dyDescent="0.25">
      <c r="B16723" s="55" t="s">
        <v>282</v>
      </c>
      <c r="C16723" s="46">
        <v>1711</v>
      </c>
      <c r="D16723" s="69" t="s">
        <v>29419</v>
      </c>
      <c r="E16723" s="51"/>
      <c r="F16723" s="114" t="str">
        <f>IF(INDEX(I.Facility.P3IDNumber,1711)="","",INDEX(I.Facility.P3IDNumber,1711))</f>
        <v/>
      </c>
      <c r="G16723" s="51"/>
      <c r="H16723" s="46" t="str">
        <f>IF(AND(I.Developer.P3=TRUE,I.Facility.P3FacilityCount&gt;=1711,F16723=""),"Incomplete","Complete")</f>
        <v>Complete</v>
      </c>
      <c r="I16723" s="48" t="s">
        <v>21088</v>
      </c>
    </row>
    <row r="16724" spans="2:9" ht="15" customHeight="1" x14ac:dyDescent="0.25">
      <c r="B16724" s="55" t="s">
        <v>282</v>
      </c>
      <c r="C16724" s="46">
        <v>1712</v>
      </c>
      <c r="D16724" s="69" t="s">
        <v>29419</v>
      </c>
      <c r="E16724" s="51"/>
      <c r="F16724" s="114" t="str">
        <f>IF(INDEX(I.Facility.P3IDNumber,1712)="","",INDEX(I.Facility.P3IDNumber,1712))</f>
        <v/>
      </c>
      <c r="G16724" s="51"/>
      <c r="H16724" s="46" t="str">
        <f>IF(AND(I.Developer.P3=TRUE,I.Facility.P3FacilityCount&gt;=1712,F16724=""),"Incomplete","Complete")</f>
        <v>Complete</v>
      </c>
      <c r="I16724" s="48" t="s">
        <v>21089</v>
      </c>
    </row>
    <row r="16725" spans="2:9" ht="15" customHeight="1" x14ac:dyDescent="0.25">
      <c r="B16725" s="55" t="s">
        <v>282</v>
      </c>
      <c r="C16725" s="46">
        <v>1713</v>
      </c>
      <c r="D16725" s="69" t="s">
        <v>29419</v>
      </c>
      <c r="E16725" s="51"/>
      <c r="F16725" s="114" t="str">
        <f>IF(INDEX(I.Facility.P3IDNumber,1713)="","",INDEX(I.Facility.P3IDNumber,1713))</f>
        <v/>
      </c>
      <c r="G16725" s="51"/>
      <c r="H16725" s="46" t="str">
        <f>IF(AND(I.Developer.P3=TRUE,I.Facility.P3FacilityCount&gt;=1713,F16725=""),"Incomplete","Complete")</f>
        <v>Complete</v>
      </c>
      <c r="I16725" s="48" t="s">
        <v>21090</v>
      </c>
    </row>
    <row r="16726" spans="2:9" ht="15" customHeight="1" x14ac:dyDescent="0.25">
      <c r="B16726" s="55" t="s">
        <v>282</v>
      </c>
      <c r="C16726" s="46">
        <v>1714</v>
      </c>
      <c r="D16726" s="69" t="s">
        <v>29419</v>
      </c>
      <c r="E16726" s="51"/>
      <c r="F16726" s="114" t="str">
        <f>IF(INDEX(I.Facility.P3IDNumber,1714)="","",INDEX(I.Facility.P3IDNumber,1714))</f>
        <v/>
      </c>
      <c r="G16726" s="51"/>
      <c r="H16726" s="46" t="str">
        <f>IF(AND(I.Developer.P3=TRUE,I.Facility.P3FacilityCount&gt;=1714,F16726=""),"Incomplete","Complete")</f>
        <v>Complete</v>
      </c>
      <c r="I16726" s="48" t="s">
        <v>21091</v>
      </c>
    </row>
    <row r="16727" spans="2:9" ht="15" customHeight="1" x14ac:dyDescent="0.25">
      <c r="B16727" s="55" t="s">
        <v>282</v>
      </c>
      <c r="C16727" s="46">
        <v>1715</v>
      </c>
      <c r="D16727" s="69" t="s">
        <v>29419</v>
      </c>
      <c r="E16727" s="51"/>
      <c r="F16727" s="114" t="str">
        <f>IF(INDEX(I.Facility.P3IDNumber,1715)="","",INDEX(I.Facility.P3IDNumber,1715))</f>
        <v/>
      </c>
      <c r="G16727" s="51"/>
      <c r="H16727" s="46" t="str">
        <f>IF(AND(I.Developer.P3=TRUE,I.Facility.P3FacilityCount&gt;=1715,F16727=""),"Incomplete","Complete")</f>
        <v>Complete</v>
      </c>
      <c r="I16727" s="48" t="s">
        <v>21092</v>
      </c>
    </row>
    <row r="16728" spans="2:9" ht="15" customHeight="1" x14ac:dyDescent="0.25">
      <c r="B16728" s="55" t="s">
        <v>282</v>
      </c>
      <c r="C16728" s="46">
        <v>1716</v>
      </c>
      <c r="D16728" s="69" t="s">
        <v>29419</v>
      </c>
      <c r="E16728" s="51"/>
      <c r="F16728" s="114" t="str">
        <f>IF(INDEX(I.Facility.P3IDNumber,1716)="","",INDEX(I.Facility.P3IDNumber,1716))</f>
        <v/>
      </c>
      <c r="G16728" s="51"/>
      <c r="H16728" s="46" t="str">
        <f>IF(AND(I.Developer.P3=TRUE,I.Facility.P3FacilityCount&gt;=1716,F16728=""),"Incomplete","Complete")</f>
        <v>Complete</v>
      </c>
      <c r="I16728" s="48" t="s">
        <v>21093</v>
      </c>
    </row>
    <row r="16729" spans="2:9" ht="15" customHeight="1" x14ac:dyDescent="0.25">
      <c r="B16729" s="55" t="s">
        <v>282</v>
      </c>
      <c r="C16729" s="46">
        <v>1717</v>
      </c>
      <c r="D16729" s="69" t="s">
        <v>29419</v>
      </c>
      <c r="E16729" s="51"/>
      <c r="F16729" s="114" t="str">
        <f>IF(INDEX(I.Facility.P3IDNumber,1717)="","",INDEX(I.Facility.P3IDNumber,1717))</f>
        <v/>
      </c>
      <c r="G16729" s="51"/>
      <c r="H16729" s="46" t="str">
        <f>IF(AND(I.Developer.P3=TRUE,I.Facility.P3FacilityCount&gt;=1717,F16729=""),"Incomplete","Complete")</f>
        <v>Complete</v>
      </c>
      <c r="I16729" s="48" t="s">
        <v>21094</v>
      </c>
    </row>
    <row r="16730" spans="2:9" ht="15" customHeight="1" x14ac:dyDescent="0.25">
      <c r="B16730" s="55" t="s">
        <v>282</v>
      </c>
      <c r="C16730" s="46">
        <v>1718</v>
      </c>
      <c r="D16730" s="69" t="s">
        <v>29419</v>
      </c>
      <c r="E16730" s="51"/>
      <c r="F16730" s="114" t="str">
        <f>IF(INDEX(I.Facility.P3IDNumber,1718)="","",INDEX(I.Facility.P3IDNumber,1718))</f>
        <v/>
      </c>
      <c r="G16730" s="51"/>
      <c r="H16730" s="46" t="str">
        <f>IF(AND(I.Developer.P3=TRUE,I.Facility.P3FacilityCount&gt;=1718,F16730=""),"Incomplete","Complete")</f>
        <v>Complete</v>
      </c>
      <c r="I16730" s="48" t="s">
        <v>21095</v>
      </c>
    </row>
    <row r="16731" spans="2:9" ht="15" customHeight="1" x14ac:dyDescent="0.25">
      <c r="B16731" s="55" t="s">
        <v>282</v>
      </c>
      <c r="C16731" s="46">
        <v>1719</v>
      </c>
      <c r="D16731" s="69" t="s">
        <v>29419</v>
      </c>
      <c r="E16731" s="51"/>
      <c r="F16731" s="114" t="str">
        <f>IF(INDEX(I.Facility.P3IDNumber,1719)="","",INDEX(I.Facility.P3IDNumber,1719))</f>
        <v/>
      </c>
      <c r="G16731" s="51"/>
      <c r="H16731" s="46" t="str">
        <f>IF(AND(I.Developer.P3=TRUE,I.Facility.P3FacilityCount&gt;=1719,F16731=""),"Incomplete","Complete")</f>
        <v>Complete</v>
      </c>
      <c r="I16731" s="48" t="s">
        <v>21096</v>
      </c>
    </row>
    <row r="16732" spans="2:9" ht="15" customHeight="1" x14ac:dyDescent="0.25">
      <c r="B16732" s="55" t="s">
        <v>282</v>
      </c>
      <c r="C16732" s="46">
        <v>1720</v>
      </c>
      <c r="D16732" s="69" t="s">
        <v>29419</v>
      </c>
      <c r="E16732" s="51"/>
      <c r="F16732" s="114" t="str">
        <f>IF(INDEX(I.Facility.P3IDNumber,1720)="","",INDEX(I.Facility.P3IDNumber,1720))</f>
        <v/>
      </c>
      <c r="G16732" s="51"/>
      <c r="H16732" s="46" t="str">
        <f>IF(AND(I.Developer.P3=TRUE,I.Facility.P3FacilityCount&gt;=1720,F16732=""),"Incomplete","Complete")</f>
        <v>Complete</v>
      </c>
      <c r="I16732" s="48" t="s">
        <v>21097</v>
      </c>
    </row>
    <row r="16733" spans="2:9" ht="15" customHeight="1" x14ac:dyDescent="0.25">
      <c r="B16733" s="55" t="s">
        <v>282</v>
      </c>
      <c r="C16733" s="46">
        <v>1721</v>
      </c>
      <c r="D16733" s="69" t="s">
        <v>29419</v>
      </c>
      <c r="E16733" s="51"/>
      <c r="F16733" s="114" t="str">
        <f>IF(INDEX(I.Facility.P3IDNumber,1721)="","",INDEX(I.Facility.P3IDNumber,1721))</f>
        <v/>
      </c>
      <c r="G16733" s="51"/>
      <c r="H16733" s="46" t="str">
        <f>IF(AND(I.Developer.P3=TRUE,I.Facility.P3FacilityCount&gt;=1721,F16733=""),"Incomplete","Complete")</f>
        <v>Complete</v>
      </c>
      <c r="I16733" s="48" t="s">
        <v>21098</v>
      </c>
    </row>
    <row r="16734" spans="2:9" ht="15" customHeight="1" x14ac:dyDescent="0.25">
      <c r="B16734" s="55" t="s">
        <v>282</v>
      </c>
      <c r="C16734" s="46">
        <v>1722</v>
      </c>
      <c r="D16734" s="69" t="s">
        <v>29419</v>
      </c>
      <c r="E16734" s="51"/>
      <c r="F16734" s="114" t="str">
        <f>IF(INDEX(I.Facility.P3IDNumber,1722)="","",INDEX(I.Facility.P3IDNumber,1722))</f>
        <v/>
      </c>
      <c r="G16734" s="51"/>
      <c r="H16734" s="46" t="str">
        <f>IF(AND(I.Developer.P3=TRUE,I.Facility.P3FacilityCount&gt;=1722,F16734=""),"Incomplete","Complete")</f>
        <v>Complete</v>
      </c>
      <c r="I16734" s="48" t="s">
        <v>21099</v>
      </c>
    </row>
    <row r="16735" spans="2:9" ht="15" customHeight="1" x14ac:dyDescent="0.25">
      <c r="B16735" s="55" t="s">
        <v>282</v>
      </c>
      <c r="C16735" s="46">
        <v>1723</v>
      </c>
      <c r="D16735" s="69" t="s">
        <v>29419</v>
      </c>
      <c r="E16735" s="51"/>
      <c r="F16735" s="114" t="str">
        <f>IF(INDEX(I.Facility.P3IDNumber,1723)="","",INDEX(I.Facility.P3IDNumber,1723))</f>
        <v/>
      </c>
      <c r="G16735" s="51"/>
      <c r="H16735" s="46" t="str">
        <f>IF(AND(I.Developer.P3=TRUE,I.Facility.P3FacilityCount&gt;=1723,F16735=""),"Incomplete","Complete")</f>
        <v>Complete</v>
      </c>
      <c r="I16735" s="48" t="s">
        <v>21100</v>
      </c>
    </row>
    <row r="16736" spans="2:9" ht="15" customHeight="1" x14ac:dyDescent="0.25">
      <c r="B16736" s="55" t="s">
        <v>282</v>
      </c>
      <c r="C16736" s="46">
        <v>1724</v>
      </c>
      <c r="D16736" s="69" t="s">
        <v>29419</v>
      </c>
      <c r="E16736" s="51"/>
      <c r="F16736" s="114" t="str">
        <f>IF(INDEX(I.Facility.P3IDNumber,1724)="","",INDEX(I.Facility.P3IDNumber,1724))</f>
        <v/>
      </c>
      <c r="G16736" s="51"/>
      <c r="H16736" s="46" t="str">
        <f>IF(AND(I.Developer.P3=TRUE,I.Facility.P3FacilityCount&gt;=1724,F16736=""),"Incomplete","Complete")</f>
        <v>Complete</v>
      </c>
      <c r="I16736" s="48" t="s">
        <v>21101</v>
      </c>
    </row>
    <row r="16737" spans="2:9" ht="15" customHeight="1" x14ac:dyDescent="0.25">
      <c r="B16737" s="55" t="s">
        <v>282</v>
      </c>
      <c r="C16737" s="46">
        <v>1725</v>
      </c>
      <c r="D16737" s="69" t="s">
        <v>29419</v>
      </c>
      <c r="E16737" s="51"/>
      <c r="F16737" s="114" t="str">
        <f>IF(INDEX(I.Facility.P3IDNumber,1725)="","",INDEX(I.Facility.P3IDNumber,1725))</f>
        <v/>
      </c>
      <c r="G16737" s="51"/>
      <c r="H16737" s="46" t="str">
        <f>IF(AND(I.Developer.P3=TRUE,I.Facility.P3FacilityCount&gt;=1725,F16737=""),"Incomplete","Complete")</f>
        <v>Complete</v>
      </c>
      <c r="I16737" s="48" t="s">
        <v>21102</v>
      </c>
    </row>
    <row r="16738" spans="2:9" ht="15" customHeight="1" x14ac:dyDescent="0.25">
      <c r="B16738" s="55" t="s">
        <v>282</v>
      </c>
      <c r="C16738" s="46">
        <v>1726</v>
      </c>
      <c r="D16738" s="69" t="s">
        <v>29419</v>
      </c>
      <c r="E16738" s="51"/>
      <c r="F16738" s="114" t="str">
        <f>IF(INDEX(I.Facility.P3IDNumber,1726)="","",INDEX(I.Facility.P3IDNumber,1726))</f>
        <v/>
      </c>
      <c r="G16738" s="51"/>
      <c r="H16738" s="46" t="str">
        <f>IF(AND(I.Developer.P3=TRUE,I.Facility.P3FacilityCount&gt;=1726,F16738=""),"Incomplete","Complete")</f>
        <v>Complete</v>
      </c>
      <c r="I16738" s="48" t="s">
        <v>21103</v>
      </c>
    </row>
    <row r="16739" spans="2:9" ht="15" customHeight="1" x14ac:dyDescent="0.25">
      <c r="B16739" s="55" t="s">
        <v>282</v>
      </c>
      <c r="C16739" s="46">
        <v>1727</v>
      </c>
      <c r="D16739" s="69" t="s">
        <v>29419</v>
      </c>
      <c r="E16739" s="51"/>
      <c r="F16739" s="114" t="str">
        <f>IF(INDEX(I.Facility.P3IDNumber,1727)="","",INDEX(I.Facility.P3IDNumber,1727))</f>
        <v/>
      </c>
      <c r="G16739" s="51"/>
      <c r="H16739" s="46" t="str">
        <f>IF(AND(I.Developer.P3=TRUE,I.Facility.P3FacilityCount&gt;=1727,F16739=""),"Incomplete","Complete")</f>
        <v>Complete</v>
      </c>
      <c r="I16739" s="48" t="s">
        <v>21104</v>
      </c>
    </row>
    <row r="16740" spans="2:9" ht="15" customHeight="1" x14ac:dyDescent="0.25">
      <c r="B16740" s="55" t="s">
        <v>282</v>
      </c>
      <c r="C16740" s="46">
        <v>1728</v>
      </c>
      <c r="D16740" s="69" t="s">
        <v>29419</v>
      </c>
      <c r="E16740" s="51"/>
      <c r="F16740" s="114" t="str">
        <f>IF(INDEX(I.Facility.P3IDNumber,1728)="","",INDEX(I.Facility.P3IDNumber,1728))</f>
        <v/>
      </c>
      <c r="G16740" s="51"/>
      <c r="H16740" s="46" t="str">
        <f>IF(AND(I.Developer.P3=TRUE,I.Facility.P3FacilityCount&gt;=1728,F16740=""),"Incomplete","Complete")</f>
        <v>Complete</v>
      </c>
      <c r="I16740" s="48" t="s">
        <v>21105</v>
      </c>
    </row>
    <row r="16741" spans="2:9" ht="15" customHeight="1" x14ac:dyDescent="0.25">
      <c r="B16741" s="55" t="s">
        <v>282</v>
      </c>
      <c r="C16741" s="46">
        <v>1729</v>
      </c>
      <c r="D16741" s="69" t="s">
        <v>29419</v>
      </c>
      <c r="E16741" s="51"/>
      <c r="F16741" s="114" t="str">
        <f>IF(INDEX(I.Facility.P3IDNumber,1729)="","",INDEX(I.Facility.P3IDNumber,1729))</f>
        <v/>
      </c>
      <c r="G16741" s="51"/>
      <c r="H16741" s="46" t="str">
        <f>IF(AND(I.Developer.P3=TRUE,I.Facility.P3FacilityCount&gt;=1729,F16741=""),"Incomplete","Complete")</f>
        <v>Complete</v>
      </c>
      <c r="I16741" s="48" t="s">
        <v>21106</v>
      </c>
    </row>
    <row r="16742" spans="2:9" ht="15" customHeight="1" x14ac:dyDescent="0.25">
      <c r="B16742" s="55" t="s">
        <v>282</v>
      </c>
      <c r="C16742" s="46">
        <v>1730</v>
      </c>
      <c r="D16742" s="69" t="s">
        <v>29419</v>
      </c>
      <c r="E16742" s="51"/>
      <c r="F16742" s="114" t="str">
        <f>IF(INDEX(I.Facility.P3IDNumber,1730)="","",INDEX(I.Facility.P3IDNumber,1730))</f>
        <v/>
      </c>
      <c r="G16742" s="51"/>
      <c r="H16742" s="46" t="str">
        <f>IF(AND(I.Developer.P3=TRUE,I.Facility.P3FacilityCount&gt;=1730,F16742=""),"Incomplete","Complete")</f>
        <v>Complete</v>
      </c>
      <c r="I16742" s="48" t="s">
        <v>21107</v>
      </c>
    </row>
    <row r="16743" spans="2:9" ht="15" customHeight="1" x14ac:dyDescent="0.25">
      <c r="B16743" s="55" t="s">
        <v>282</v>
      </c>
      <c r="C16743" s="46">
        <v>1731</v>
      </c>
      <c r="D16743" s="69" t="s">
        <v>29419</v>
      </c>
      <c r="E16743" s="51"/>
      <c r="F16743" s="114" t="str">
        <f>IF(INDEX(I.Facility.P3IDNumber,1731)="","",INDEX(I.Facility.P3IDNumber,1731))</f>
        <v/>
      </c>
      <c r="G16743" s="51"/>
      <c r="H16743" s="46" t="str">
        <f>IF(AND(I.Developer.P3=TRUE,I.Facility.P3FacilityCount&gt;=1731,F16743=""),"Incomplete","Complete")</f>
        <v>Complete</v>
      </c>
      <c r="I16743" s="48" t="s">
        <v>21108</v>
      </c>
    </row>
    <row r="16744" spans="2:9" ht="15" customHeight="1" x14ac:dyDescent="0.25">
      <c r="B16744" s="55" t="s">
        <v>282</v>
      </c>
      <c r="C16744" s="46">
        <v>1732</v>
      </c>
      <c r="D16744" s="69" t="s">
        <v>29419</v>
      </c>
      <c r="E16744" s="51"/>
      <c r="F16744" s="114" t="str">
        <f>IF(INDEX(I.Facility.P3IDNumber,1732)="","",INDEX(I.Facility.P3IDNumber,1732))</f>
        <v/>
      </c>
      <c r="G16744" s="51"/>
      <c r="H16744" s="46" t="str">
        <f>IF(AND(I.Developer.P3=TRUE,I.Facility.P3FacilityCount&gt;=1732,F16744=""),"Incomplete","Complete")</f>
        <v>Complete</v>
      </c>
      <c r="I16744" s="48" t="s">
        <v>21109</v>
      </c>
    </row>
    <row r="16745" spans="2:9" ht="15" customHeight="1" x14ac:dyDescent="0.25">
      <c r="B16745" s="55" t="s">
        <v>282</v>
      </c>
      <c r="C16745" s="46">
        <v>1733</v>
      </c>
      <c r="D16745" s="69" t="s">
        <v>29419</v>
      </c>
      <c r="E16745" s="51"/>
      <c r="F16745" s="114" t="str">
        <f>IF(INDEX(I.Facility.P3IDNumber,1733)="","",INDEX(I.Facility.P3IDNumber,1733))</f>
        <v/>
      </c>
      <c r="G16745" s="51"/>
      <c r="H16745" s="46" t="str">
        <f>IF(AND(I.Developer.P3=TRUE,I.Facility.P3FacilityCount&gt;=1733,F16745=""),"Incomplete","Complete")</f>
        <v>Complete</v>
      </c>
      <c r="I16745" s="48" t="s">
        <v>21110</v>
      </c>
    </row>
    <row r="16746" spans="2:9" ht="15" customHeight="1" x14ac:dyDescent="0.25">
      <c r="B16746" s="55" t="s">
        <v>282</v>
      </c>
      <c r="C16746" s="46">
        <v>1734</v>
      </c>
      <c r="D16746" s="69" t="s">
        <v>29419</v>
      </c>
      <c r="E16746" s="51"/>
      <c r="F16746" s="114" t="str">
        <f>IF(INDEX(I.Facility.P3IDNumber,1734)="","",INDEX(I.Facility.P3IDNumber,1734))</f>
        <v/>
      </c>
      <c r="G16746" s="51"/>
      <c r="H16746" s="46" t="str">
        <f>IF(AND(I.Developer.P3=TRUE,I.Facility.P3FacilityCount&gt;=1734,F16746=""),"Incomplete","Complete")</f>
        <v>Complete</v>
      </c>
      <c r="I16746" s="48" t="s">
        <v>21111</v>
      </c>
    </row>
    <row r="16747" spans="2:9" ht="15" customHeight="1" x14ac:dyDescent="0.25">
      <c r="B16747" s="55" t="s">
        <v>282</v>
      </c>
      <c r="C16747" s="46">
        <v>1735</v>
      </c>
      <c r="D16747" s="69" t="s">
        <v>29419</v>
      </c>
      <c r="E16747" s="51"/>
      <c r="F16747" s="114" t="str">
        <f>IF(INDEX(I.Facility.P3IDNumber,1735)="","",INDEX(I.Facility.P3IDNumber,1735))</f>
        <v/>
      </c>
      <c r="G16747" s="51"/>
      <c r="H16747" s="46" t="str">
        <f>IF(AND(I.Developer.P3=TRUE,I.Facility.P3FacilityCount&gt;=1735,F16747=""),"Incomplete","Complete")</f>
        <v>Complete</v>
      </c>
      <c r="I16747" s="48" t="s">
        <v>21112</v>
      </c>
    </row>
    <row r="16748" spans="2:9" ht="15" customHeight="1" x14ac:dyDescent="0.25">
      <c r="B16748" s="55" t="s">
        <v>282</v>
      </c>
      <c r="C16748" s="46">
        <v>1736</v>
      </c>
      <c r="D16748" s="69" t="s">
        <v>29419</v>
      </c>
      <c r="E16748" s="51"/>
      <c r="F16748" s="114" t="str">
        <f>IF(INDEX(I.Facility.P3IDNumber,1736)="","",INDEX(I.Facility.P3IDNumber,1736))</f>
        <v/>
      </c>
      <c r="G16748" s="51"/>
      <c r="H16748" s="46" t="str">
        <f>IF(AND(I.Developer.P3=TRUE,I.Facility.P3FacilityCount&gt;=1736,F16748=""),"Incomplete","Complete")</f>
        <v>Complete</v>
      </c>
      <c r="I16748" s="48" t="s">
        <v>21113</v>
      </c>
    </row>
    <row r="16749" spans="2:9" ht="15" customHeight="1" x14ac:dyDescent="0.25">
      <c r="B16749" s="55" t="s">
        <v>282</v>
      </c>
      <c r="C16749" s="46">
        <v>1737</v>
      </c>
      <c r="D16749" s="69" t="s">
        <v>29419</v>
      </c>
      <c r="E16749" s="51"/>
      <c r="F16749" s="114" t="str">
        <f>IF(INDEX(I.Facility.P3IDNumber,1737)="","",INDEX(I.Facility.P3IDNumber,1737))</f>
        <v/>
      </c>
      <c r="G16749" s="51"/>
      <c r="H16749" s="46" t="str">
        <f>IF(AND(I.Developer.P3=TRUE,I.Facility.P3FacilityCount&gt;=1737,F16749=""),"Incomplete","Complete")</f>
        <v>Complete</v>
      </c>
      <c r="I16749" s="48" t="s">
        <v>21114</v>
      </c>
    </row>
    <row r="16750" spans="2:9" ht="15" customHeight="1" x14ac:dyDescent="0.25">
      <c r="B16750" s="55" t="s">
        <v>282</v>
      </c>
      <c r="C16750" s="46">
        <v>1738</v>
      </c>
      <c r="D16750" s="69" t="s">
        <v>29419</v>
      </c>
      <c r="E16750" s="51"/>
      <c r="F16750" s="114" t="str">
        <f>IF(INDEX(I.Facility.P3IDNumber,1738)="","",INDEX(I.Facility.P3IDNumber,1738))</f>
        <v/>
      </c>
      <c r="G16750" s="51"/>
      <c r="H16750" s="46" t="str">
        <f>IF(AND(I.Developer.P3=TRUE,I.Facility.P3FacilityCount&gt;=1738,F16750=""),"Incomplete","Complete")</f>
        <v>Complete</v>
      </c>
      <c r="I16750" s="48" t="s">
        <v>21115</v>
      </c>
    </row>
    <row r="16751" spans="2:9" ht="15" customHeight="1" x14ac:dyDescent="0.25">
      <c r="B16751" s="55" t="s">
        <v>282</v>
      </c>
      <c r="C16751" s="46">
        <v>1739</v>
      </c>
      <c r="D16751" s="69" t="s">
        <v>29419</v>
      </c>
      <c r="E16751" s="51"/>
      <c r="F16751" s="114" t="str">
        <f>IF(INDEX(I.Facility.P3IDNumber,1739)="","",INDEX(I.Facility.P3IDNumber,1739))</f>
        <v/>
      </c>
      <c r="G16751" s="51"/>
      <c r="H16751" s="46" t="str">
        <f>IF(AND(I.Developer.P3=TRUE,I.Facility.P3FacilityCount&gt;=1739,F16751=""),"Incomplete","Complete")</f>
        <v>Complete</v>
      </c>
      <c r="I16751" s="48" t="s">
        <v>21116</v>
      </c>
    </row>
    <row r="16752" spans="2:9" ht="15" customHeight="1" x14ac:dyDescent="0.25">
      <c r="B16752" s="55" t="s">
        <v>282</v>
      </c>
      <c r="C16752" s="46">
        <v>1740</v>
      </c>
      <c r="D16752" s="69" t="s">
        <v>29419</v>
      </c>
      <c r="E16752" s="51"/>
      <c r="F16752" s="114" t="str">
        <f>IF(INDEX(I.Facility.P3IDNumber,1740)="","",INDEX(I.Facility.P3IDNumber,1740))</f>
        <v/>
      </c>
      <c r="G16752" s="51"/>
      <c r="H16752" s="46" t="str">
        <f>IF(AND(I.Developer.P3=TRUE,I.Facility.P3FacilityCount&gt;=1740,F16752=""),"Incomplete","Complete")</f>
        <v>Complete</v>
      </c>
      <c r="I16752" s="48" t="s">
        <v>21117</v>
      </c>
    </row>
    <row r="16753" spans="2:9" ht="15" customHeight="1" x14ac:dyDescent="0.25">
      <c r="B16753" s="55" t="s">
        <v>282</v>
      </c>
      <c r="C16753" s="46">
        <v>1741</v>
      </c>
      <c r="D16753" s="69" t="s">
        <v>29419</v>
      </c>
      <c r="E16753" s="51"/>
      <c r="F16753" s="114" t="str">
        <f>IF(INDEX(I.Facility.P3IDNumber,1741)="","",INDEX(I.Facility.P3IDNumber,1741))</f>
        <v/>
      </c>
      <c r="G16753" s="51"/>
      <c r="H16753" s="46" t="str">
        <f>IF(AND(I.Developer.P3=TRUE,I.Facility.P3FacilityCount&gt;=1741,F16753=""),"Incomplete","Complete")</f>
        <v>Complete</v>
      </c>
      <c r="I16753" s="48" t="s">
        <v>21118</v>
      </c>
    </row>
    <row r="16754" spans="2:9" ht="15" customHeight="1" x14ac:dyDescent="0.25">
      <c r="B16754" s="55" t="s">
        <v>282</v>
      </c>
      <c r="C16754" s="46">
        <v>1742</v>
      </c>
      <c r="D16754" s="69" t="s">
        <v>29419</v>
      </c>
      <c r="E16754" s="51"/>
      <c r="F16754" s="114" t="str">
        <f>IF(INDEX(I.Facility.P3IDNumber,1742)="","",INDEX(I.Facility.P3IDNumber,1742))</f>
        <v/>
      </c>
      <c r="G16754" s="51"/>
      <c r="H16754" s="46" t="str">
        <f>IF(AND(I.Developer.P3=TRUE,I.Facility.P3FacilityCount&gt;=1742,F16754=""),"Incomplete","Complete")</f>
        <v>Complete</v>
      </c>
      <c r="I16754" s="48" t="s">
        <v>21119</v>
      </c>
    </row>
    <row r="16755" spans="2:9" ht="15" customHeight="1" x14ac:dyDescent="0.25">
      <c r="B16755" s="55" t="s">
        <v>282</v>
      </c>
      <c r="C16755" s="46">
        <v>1743</v>
      </c>
      <c r="D16755" s="69" t="s">
        <v>29419</v>
      </c>
      <c r="E16755" s="51"/>
      <c r="F16755" s="114" t="str">
        <f>IF(INDEX(I.Facility.P3IDNumber,1743)="","",INDEX(I.Facility.P3IDNumber,1743))</f>
        <v/>
      </c>
      <c r="G16755" s="51"/>
      <c r="H16755" s="46" t="str">
        <f>IF(AND(I.Developer.P3=TRUE,I.Facility.P3FacilityCount&gt;=1743,F16755=""),"Incomplete","Complete")</f>
        <v>Complete</v>
      </c>
      <c r="I16755" s="48" t="s">
        <v>21120</v>
      </c>
    </row>
    <row r="16756" spans="2:9" ht="15" customHeight="1" x14ac:dyDescent="0.25">
      <c r="B16756" s="55" t="s">
        <v>282</v>
      </c>
      <c r="C16756" s="46">
        <v>1744</v>
      </c>
      <c r="D16756" s="69" t="s">
        <v>29419</v>
      </c>
      <c r="E16756" s="51"/>
      <c r="F16756" s="114" t="str">
        <f>IF(INDEX(I.Facility.P3IDNumber,1744)="","",INDEX(I.Facility.P3IDNumber,1744))</f>
        <v/>
      </c>
      <c r="G16756" s="51"/>
      <c r="H16756" s="46" t="str">
        <f>IF(AND(I.Developer.P3=TRUE,I.Facility.P3FacilityCount&gt;=1744,F16756=""),"Incomplete","Complete")</f>
        <v>Complete</v>
      </c>
      <c r="I16756" s="48" t="s">
        <v>21121</v>
      </c>
    </row>
    <row r="16757" spans="2:9" ht="15" customHeight="1" x14ac:dyDescent="0.25">
      <c r="B16757" s="55" t="s">
        <v>282</v>
      </c>
      <c r="C16757" s="46">
        <v>1745</v>
      </c>
      <c r="D16757" s="69" t="s">
        <v>29419</v>
      </c>
      <c r="E16757" s="51"/>
      <c r="F16757" s="114" t="str">
        <f>IF(INDEX(I.Facility.P3IDNumber,1745)="","",INDEX(I.Facility.P3IDNumber,1745))</f>
        <v/>
      </c>
      <c r="G16757" s="51"/>
      <c r="H16757" s="46" t="str">
        <f>IF(AND(I.Developer.P3=TRUE,I.Facility.P3FacilityCount&gt;=1745,F16757=""),"Incomplete","Complete")</f>
        <v>Complete</v>
      </c>
      <c r="I16757" s="48" t="s">
        <v>21122</v>
      </c>
    </row>
    <row r="16758" spans="2:9" ht="15" customHeight="1" x14ac:dyDescent="0.25">
      <c r="B16758" s="55" t="s">
        <v>282</v>
      </c>
      <c r="C16758" s="46">
        <v>1746</v>
      </c>
      <c r="D16758" s="69" t="s">
        <v>29419</v>
      </c>
      <c r="E16758" s="51"/>
      <c r="F16758" s="114" t="str">
        <f>IF(INDEX(I.Facility.P3IDNumber,1746)="","",INDEX(I.Facility.P3IDNumber,1746))</f>
        <v/>
      </c>
      <c r="G16758" s="51"/>
      <c r="H16758" s="46" t="str">
        <f>IF(AND(I.Developer.P3=TRUE,I.Facility.P3FacilityCount&gt;=1746,F16758=""),"Incomplete","Complete")</f>
        <v>Complete</v>
      </c>
      <c r="I16758" s="48" t="s">
        <v>21123</v>
      </c>
    </row>
    <row r="16759" spans="2:9" ht="15" customHeight="1" x14ac:dyDescent="0.25">
      <c r="B16759" s="55" t="s">
        <v>282</v>
      </c>
      <c r="C16759" s="46">
        <v>1747</v>
      </c>
      <c r="D16759" s="69" t="s">
        <v>29419</v>
      </c>
      <c r="E16759" s="51"/>
      <c r="F16759" s="114" t="str">
        <f>IF(INDEX(I.Facility.P3IDNumber,1747)="","",INDEX(I.Facility.P3IDNumber,1747))</f>
        <v/>
      </c>
      <c r="G16759" s="51"/>
      <c r="H16759" s="46" t="str">
        <f>IF(AND(I.Developer.P3=TRUE,I.Facility.P3FacilityCount&gt;=1747,F16759=""),"Incomplete","Complete")</f>
        <v>Complete</v>
      </c>
      <c r="I16759" s="48" t="s">
        <v>21124</v>
      </c>
    </row>
    <row r="16760" spans="2:9" ht="15" customHeight="1" x14ac:dyDescent="0.25">
      <c r="B16760" s="55" t="s">
        <v>282</v>
      </c>
      <c r="C16760" s="46">
        <v>1748</v>
      </c>
      <c r="D16760" s="69" t="s">
        <v>29419</v>
      </c>
      <c r="E16760" s="51"/>
      <c r="F16760" s="114" t="str">
        <f>IF(INDEX(I.Facility.P3IDNumber,1748)="","",INDEX(I.Facility.P3IDNumber,1748))</f>
        <v/>
      </c>
      <c r="G16760" s="51"/>
      <c r="H16760" s="46" t="str">
        <f>IF(AND(I.Developer.P3=TRUE,I.Facility.P3FacilityCount&gt;=1748,F16760=""),"Incomplete","Complete")</f>
        <v>Complete</v>
      </c>
      <c r="I16760" s="48" t="s">
        <v>21125</v>
      </c>
    </row>
    <row r="16761" spans="2:9" ht="15" customHeight="1" x14ac:dyDescent="0.25">
      <c r="B16761" s="55" t="s">
        <v>282</v>
      </c>
      <c r="C16761" s="46">
        <v>1749</v>
      </c>
      <c r="D16761" s="69" t="s">
        <v>29419</v>
      </c>
      <c r="E16761" s="51"/>
      <c r="F16761" s="114" t="str">
        <f>IF(INDEX(I.Facility.P3IDNumber,1749)="","",INDEX(I.Facility.P3IDNumber,1749))</f>
        <v/>
      </c>
      <c r="G16761" s="51"/>
      <c r="H16761" s="46" t="str">
        <f>IF(AND(I.Developer.P3=TRUE,I.Facility.P3FacilityCount&gt;=1749,F16761=""),"Incomplete","Complete")</f>
        <v>Complete</v>
      </c>
      <c r="I16761" s="48" t="s">
        <v>21126</v>
      </c>
    </row>
    <row r="16762" spans="2:9" ht="15" customHeight="1" x14ac:dyDescent="0.25">
      <c r="B16762" s="55" t="s">
        <v>282</v>
      </c>
      <c r="C16762" s="46">
        <v>1750</v>
      </c>
      <c r="D16762" s="69" t="s">
        <v>29419</v>
      </c>
      <c r="E16762" s="51"/>
      <c r="F16762" s="114" t="str">
        <f>IF(INDEX(I.Facility.P3IDNumber,1750)="","",INDEX(I.Facility.P3IDNumber,1750))</f>
        <v/>
      </c>
      <c r="G16762" s="51"/>
      <c r="H16762" s="46" t="str">
        <f>IF(AND(I.Developer.P3=TRUE,I.Facility.P3FacilityCount&gt;=1750,F16762=""),"Incomplete","Complete")</f>
        <v>Complete</v>
      </c>
      <c r="I16762" s="48" t="s">
        <v>21127</v>
      </c>
    </row>
    <row r="16763" spans="2:9" ht="15" customHeight="1" x14ac:dyDescent="0.25">
      <c r="B16763" s="55" t="s">
        <v>282</v>
      </c>
      <c r="C16763" s="46">
        <v>1751</v>
      </c>
      <c r="D16763" s="69" t="s">
        <v>29419</v>
      </c>
      <c r="E16763" s="51"/>
      <c r="F16763" s="114" t="str">
        <f>IF(INDEX(I.Facility.P3IDNumber,1751)="","",INDEX(I.Facility.P3IDNumber,1751))</f>
        <v/>
      </c>
      <c r="G16763" s="51"/>
      <c r="H16763" s="46" t="str">
        <f>IF(AND(I.Developer.P3=TRUE,I.Facility.P3FacilityCount&gt;=1751,F16763=""),"Incomplete","Complete")</f>
        <v>Complete</v>
      </c>
      <c r="I16763" s="48" t="s">
        <v>21128</v>
      </c>
    </row>
    <row r="16764" spans="2:9" ht="15" customHeight="1" x14ac:dyDescent="0.25">
      <c r="B16764" s="55" t="s">
        <v>282</v>
      </c>
      <c r="C16764" s="46">
        <v>1752</v>
      </c>
      <c r="D16764" s="69" t="s">
        <v>29419</v>
      </c>
      <c r="E16764" s="51"/>
      <c r="F16764" s="114" t="str">
        <f>IF(INDEX(I.Facility.P3IDNumber,1752)="","",INDEX(I.Facility.P3IDNumber,1752))</f>
        <v/>
      </c>
      <c r="G16764" s="51"/>
      <c r="H16764" s="46" t="str">
        <f>IF(AND(I.Developer.P3=TRUE,I.Facility.P3FacilityCount&gt;=1752,F16764=""),"Incomplete","Complete")</f>
        <v>Complete</v>
      </c>
      <c r="I16764" s="48" t="s">
        <v>21129</v>
      </c>
    </row>
    <row r="16765" spans="2:9" ht="15" customHeight="1" x14ac:dyDescent="0.25">
      <c r="B16765" s="55" t="s">
        <v>282</v>
      </c>
      <c r="C16765" s="46">
        <v>1753</v>
      </c>
      <c r="D16765" s="69" t="s">
        <v>29419</v>
      </c>
      <c r="E16765" s="51"/>
      <c r="F16765" s="114" t="str">
        <f>IF(INDEX(I.Facility.P3IDNumber,1753)="","",INDEX(I.Facility.P3IDNumber,1753))</f>
        <v/>
      </c>
      <c r="G16765" s="51"/>
      <c r="H16765" s="46" t="str">
        <f>IF(AND(I.Developer.P3=TRUE,I.Facility.P3FacilityCount&gt;=1753,F16765=""),"Incomplete","Complete")</f>
        <v>Complete</v>
      </c>
      <c r="I16765" s="48" t="s">
        <v>21130</v>
      </c>
    </row>
    <row r="16766" spans="2:9" ht="15" customHeight="1" x14ac:dyDescent="0.25">
      <c r="B16766" s="55" t="s">
        <v>282</v>
      </c>
      <c r="C16766" s="46">
        <v>1754</v>
      </c>
      <c r="D16766" s="69" t="s">
        <v>29419</v>
      </c>
      <c r="E16766" s="51"/>
      <c r="F16766" s="114" t="str">
        <f>IF(INDEX(I.Facility.P3IDNumber,1754)="","",INDEX(I.Facility.P3IDNumber,1754))</f>
        <v/>
      </c>
      <c r="G16766" s="51"/>
      <c r="H16766" s="46" t="str">
        <f>IF(AND(I.Developer.P3=TRUE,I.Facility.P3FacilityCount&gt;=1754,F16766=""),"Incomplete","Complete")</f>
        <v>Complete</v>
      </c>
      <c r="I16766" s="48" t="s">
        <v>21131</v>
      </c>
    </row>
    <row r="16767" spans="2:9" ht="15" customHeight="1" x14ac:dyDescent="0.25">
      <c r="B16767" s="55" t="s">
        <v>282</v>
      </c>
      <c r="C16767" s="46">
        <v>1755</v>
      </c>
      <c r="D16767" s="69" t="s">
        <v>29419</v>
      </c>
      <c r="E16767" s="51"/>
      <c r="F16767" s="114" t="str">
        <f>IF(INDEX(I.Facility.P3IDNumber,1755)="","",INDEX(I.Facility.P3IDNumber,1755))</f>
        <v/>
      </c>
      <c r="G16767" s="51"/>
      <c r="H16767" s="46" t="str">
        <f>IF(AND(I.Developer.P3=TRUE,I.Facility.P3FacilityCount&gt;=1755,F16767=""),"Incomplete","Complete")</f>
        <v>Complete</v>
      </c>
      <c r="I16767" s="48" t="s">
        <v>21132</v>
      </c>
    </row>
    <row r="16768" spans="2:9" ht="15" customHeight="1" x14ac:dyDescent="0.25">
      <c r="B16768" s="55" t="s">
        <v>282</v>
      </c>
      <c r="C16768" s="46">
        <v>1756</v>
      </c>
      <c r="D16768" s="69" t="s">
        <v>29419</v>
      </c>
      <c r="E16768" s="51"/>
      <c r="F16768" s="114" t="str">
        <f>IF(INDEX(I.Facility.P3IDNumber,1756)="","",INDEX(I.Facility.P3IDNumber,1756))</f>
        <v/>
      </c>
      <c r="G16768" s="51"/>
      <c r="H16768" s="46" t="str">
        <f>IF(AND(I.Developer.P3=TRUE,I.Facility.P3FacilityCount&gt;=1756,F16768=""),"Incomplete","Complete")</f>
        <v>Complete</v>
      </c>
      <c r="I16768" s="48" t="s">
        <v>21133</v>
      </c>
    </row>
    <row r="16769" spans="2:9" ht="15" customHeight="1" x14ac:dyDescent="0.25">
      <c r="B16769" s="55" t="s">
        <v>282</v>
      </c>
      <c r="C16769" s="46">
        <v>1757</v>
      </c>
      <c r="D16769" s="69" t="s">
        <v>29419</v>
      </c>
      <c r="E16769" s="51"/>
      <c r="F16769" s="114" t="str">
        <f>IF(INDEX(I.Facility.P3IDNumber,1757)="","",INDEX(I.Facility.P3IDNumber,1757))</f>
        <v/>
      </c>
      <c r="G16769" s="51"/>
      <c r="H16769" s="46" t="str">
        <f>IF(AND(I.Developer.P3=TRUE,I.Facility.P3FacilityCount&gt;=1757,F16769=""),"Incomplete","Complete")</f>
        <v>Complete</v>
      </c>
      <c r="I16769" s="48" t="s">
        <v>21134</v>
      </c>
    </row>
    <row r="16770" spans="2:9" ht="15" customHeight="1" x14ac:dyDescent="0.25">
      <c r="B16770" s="55" t="s">
        <v>282</v>
      </c>
      <c r="C16770" s="46">
        <v>1758</v>
      </c>
      <c r="D16770" s="69" t="s">
        <v>29419</v>
      </c>
      <c r="E16770" s="51"/>
      <c r="F16770" s="114" t="str">
        <f>IF(INDEX(I.Facility.P3IDNumber,1758)="","",INDEX(I.Facility.P3IDNumber,1758))</f>
        <v/>
      </c>
      <c r="G16770" s="51"/>
      <c r="H16770" s="46" t="str">
        <f>IF(AND(I.Developer.P3=TRUE,I.Facility.P3FacilityCount&gt;=1758,F16770=""),"Incomplete","Complete")</f>
        <v>Complete</v>
      </c>
      <c r="I16770" s="48" t="s">
        <v>21135</v>
      </c>
    </row>
    <row r="16771" spans="2:9" ht="15" customHeight="1" x14ac:dyDescent="0.25">
      <c r="B16771" s="55" t="s">
        <v>282</v>
      </c>
      <c r="C16771" s="46">
        <v>1759</v>
      </c>
      <c r="D16771" s="69" t="s">
        <v>29419</v>
      </c>
      <c r="E16771" s="51"/>
      <c r="F16771" s="114" t="str">
        <f>IF(INDEX(I.Facility.P3IDNumber,1759)="","",INDEX(I.Facility.P3IDNumber,1759))</f>
        <v/>
      </c>
      <c r="G16771" s="51"/>
      <c r="H16771" s="46" t="str">
        <f>IF(AND(I.Developer.P3=TRUE,I.Facility.P3FacilityCount&gt;=1759,F16771=""),"Incomplete","Complete")</f>
        <v>Complete</v>
      </c>
      <c r="I16771" s="48" t="s">
        <v>21136</v>
      </c>
    </row>
    <row r="16772" spans="2:9" ht="15" customHeight="1" x14ac:dyDescent="0.25">
      <c r="B16772" s="55" t="s">
        <v>282</v>
      </c>
      <c r="C16772" s="46">
        <v>1760</v>
      </c>
      <c r="D16772" s="69" t="s">
        <v>29419</v>
      </c>
      <c r="E16772" s="51"/>
      <c r="F16772" s="114" t="str">
        <f>IF(INDEX(I.Facility.P3IDNumber,1760)="","",INDEX(I.Facility.P3IDNumber,1760))</f>
        <v/>
      </c>
      <c r="G16772" s="51"/>
      <c r="H16772" s="46" t="str">
        <f>IF(AND(I.Developer.P3=TRUE,I.Facility.P3FacilityCount&gt;=1760,F16772=""),"Incomplete","Complete")</f>
        <v>Complete</v>
      </c>
      <c r="I16772" s="48" t="s">
        <v>21137</v>
      </c>
    </row>
    <row r="16773" spans="2:9" ht="15" customHeight="1" x14ac:dyDescent="0.25">
      <c r="B16773" s="55" t="s">
        <v>282</v>
      </c>
      <c r="C16773" s="46">
        <v>1761</v>
      </c>
      <c r="D16773" s="69" t="s">
        <v>29419</v>
      </c>
      <c r="E16773" s="51"/>
      <c r="F16773" s="114" t="str">
        <f>IF(INDEX(I.Facility.P3IDNumber,1761)="","",INDEX(I.Facility.P3IDNumber,1761))</f>
        <v/>
      </c>
      <c r="G16773" s="51"/>
      <c r="H16773" s="46" t="str">
        <f>IF(AND(I.Developer.P3=TRUE,I.Facility.P3FacilityCount&gt;=1761,F16773=""),"Incomplete","Complete")</f>
        <v>Complete</v>
      </c>
      <c r="I16773" s="48" t="s">
        <v>21138</v>
      </c>
    </row>
    <row r="16774" spans="2:9" ht="15" customHeight="1" x14ac:dyDescent="0.25">
      <c r="B16774" s="55" t="s">
        <v>282</v>
      </c>
      <c r="C16774" s="46">
        <v>1762</v>
      </c>
      <c r="D16774" s="69" t="s">
        <v>29419</v>
      </c>
      <c r="E16774" s="51"/>
      <c r="F16774" s="114" t="str">
        <f>IF(INDEX(I.Facility.P3IDNumber,1762)="","",INDEX(I.Facility.P3IDNumber,1762))</f>
        <v/>
      </c>
      <c r="G16774" s="51"/>
      <c r="H16774" s="46" t="str">
        <f>IF(AND(I.Developer.P3=TRUE,I.Facility.P3FacilityCount&gt;=1762,F16774=""),"Incomplete","Complete")</f>
        <v>Complete</v>
      </c>
      <c r="I16774" s="48" t="s">
        <v>21139</v>
      </c>
    </row>
    <row r="16775" spans="2:9" ht="15" customHeight="1" x14ac:dyDescent="0.25">
      <c r="B16775" s="55" t="s">
        <v>282</v>
      </c>
      <c r="C16775" s="46">
        <v>1763</v>
      </c>
      <c r="D16775" s="69" t="s">
        <v>29419</v>
      </c>
      <c r="E16775" s="51"/>
      <c r="F16775" s="114" t="str">
        <f>IF(INDEX(I.Facility.P3IDNumber,1763)="","",INDEX(I.Facility.P3IDNumber,1763))</f>
        <v/>
      </c>
      <c r="G16775" s="51"/>
      <c r="H16775" s="46" t="str">
        <f>IF(AND(I.Developer.P3=TRUE,I.Facility.P3FacilityCount&gt;=1763,F16775=""),"Incomplete","Complete")</f>
        <v>Complete</v>
      </c>
      <c r="I16775" s="48" t="s">
        <v>21140</v>
      </c>
    </row>
    <row r="16776" spans="2:9" ht="15" customHeight="1" x14ac:dyDescent="0.25">
      <c r="B16776" s="55" t="s">
        <v>282</v>
      </c>
      <c r="C16776" s="46">
        <v>1764</v>
      </c>
      <c r="D16776" s="69" t="s">
        <v>29419</v>
      </c>
      <c r="E16776" s="51"/>
      <c r="F16776" s="114" t="str">
        <f>IF(INDEX(I.Facility.P3IDNumber,1764)="","",INDEX(I.Facility.P3IDNumber,1764))</f>
        <v/>
      </c>
      <c r="G16776" s="51"/>
      <c r="H16776" s="46" t="str">
        <f>IF(AND(I.Developer.P3=TRUE,I.Facility.P3FacilityCount&gt;=1764,F16776=""),"Incomplete","Complete")</f>
        <v>Complete</v>
      </c>
      <c r="I16776" s="48" t="s">
        <v>21141</v>
      </c>
    </row>
    <row r="16777" spans="2:9" ht="15" customHeight="1" x14ac:dyDescent="0.25">
      <c r="B16777" s="55" t="s">
        <v>282</v>
      </c>
      <c r="C16777" s="46">
        <v>1765</v>
      </c>
      <c r="D16777" s="69" t="s">
        <v>29419</v>
      </c>
      <c r="E16777" s="51"/>
      <c r="F16777" s="114" t="str">
        <f>IF(INDEX(I.Facility.P3IDNumber,1765)="","",INDEX(I.Facility.P3IDNumber,1765))</f>
        <v/>
      </c>
      <c r="G16777" s="51"/>
      <c r="H16777" s="46" t="str">
        <f>IF(AND(I.Developer.P3=TRUE,I.Facility.P3FacilityCount&gt;=1765,F16777=""),"Incomplete","Complete")</f>
        <v>Complete</v>
      </c>
      <c r="I16777" s="48" t="s">
        <v>21142</v>
      </c>
    </row>
    <row r="16778" spans="2:9" ht="15" customHeight="1" x14ac:dyDescent="0.25">
      <c r="B16778" s="55" t="s">
        <v>282</v>
      </c>
      <c r="C16778" s="46">
        <v>1766</v>
      </c>
      <c r="D16778" s="69" t="s">
        <v>29419</v>
      </c>
      <c r="E16778" s="51"/>
      <c r="F16778" s="114" t="str">
        <f>IF(INDEX(I.Facility.P3IDNumber,1766)="","",INDEX(I.Facility.P3IDNumber,1766))</f>
        <v/>
      </c>
      <c r="G16778" s="51"/>
      <c r="H16778" s="46" t="str">
        <f>IF(AND(I.Developer.P3=TRUE,I.Facility.P3FacilityCount&gt;=1766,F16778=""),"Incomplete","Complete")</f>
        <v>Complete</v>
      </c>
      <c r="I16778" s="48" t="s">
        <v>21143</v>
      </c>
    </row>
    <row r="16779" spans="2:9" ht="15" customHeight="1" x14ac:dyDescent="0.25">
      <c r="B16779" s="55" t="s">
        <v>282</v>
      </c>
      <c r="C16779" s="46">
        <v>1767</v>
      </c>
      <c r="D16779" s="69" t="s">
        <v>29419</v>
      </c>
      <c r="E16779" s="51"/>
      <c r="F16779" s="114" t="str">
        <f>IF(INDEX(I.Facility.P3IDNumber,1767)="","",INDEX(I.Facility.P3IDNumber,1767))</f>
        <v/>
      </c>
      <c r="G16779" s="51"/>
      <c r="H16779" s="46" t="str">
        <f>IF(AND(I.Developer.P3=TRUE,I.Facility.P3FacilityCount&gt;=1767,F16779=""),"Incomplete","Complete")</f>
        <v>Complete</v>
      </c>
      <c r="I16779" s="48" t="s">
        <v>21144</v>
      </c>
    </row>
    <row r="16780" spans="2:9" ht="15" customHeight="1" x14ac:dyDescent="0.25">
      <c r="B16780" s="55" t="s">
        <v>282</v>
      </c>
      <c r="C16780" s="46">
        <v>1768</v>
      </c>
      <c r="D16780" s="69" t="s">
        <v>29419</v>
      </c>
      <c r="E16780" s="51"/>
      <c r="F16780" s="114" t="str">
        <f>IF(INDEX(I.Facility.P3IDNumber,1768)="","",INDEX(I.Facility.P3IDNumber,1768))</f>
        <v/>
      </c>
      <c r="G16780" s="51"/>
      <c r="H16780" s="46" t="str">
        <f>IF(AND(I.Developer.P3=TRUE,I.Facility.P3FacilityCount&gt;=1768,F16780=""),"Incomplete","Complete")</f>
        <v>Complete</v>
      </c>
      <c r="I16780" s="48" t="s">
        <v>21145</v>
      </c>
    </row>
    <row r="16781" spans="2:9" ht="15" customHeight="1" x14ac:dyDescent="0.25">
      <c r="B16781" s="55" t="s">
        <v>282</v>
      </c>
      <c r="C16781" s="46">
        <v>1769</v>
      </c>
      <c r="D16781" s="69" t="s">
        <v>29419</v>
      </c>
      <c r="E16781" s="51"/>
      <c r="F16781" s="114" t="str">
        <f>IF(INDEX(I.Facility.P3IDNumber,1769)="","",INDEX(I.Facility.P3IDNumber,1769))</f>
        <v/>
      </c>
      <c r="G16781" s="51"/>
      <c r="H16781" s="46" t="str">
        <f>IF(AND(I.Developer.P3=TRUE,I.Facility.P3FacilityCount&gt;=1769,F16781=""),"Incomplete","Complete")</f>
        <v>Complete</v>
      </c>
      <c r="I16781" s="48" t="s">
        <v>21146</v>
      </c>
    </row>
    <row r="16782" spans="2:9" ht="15" customHeight="1" x14ac:dyDescent="0.25">
      <c r="B16782" s="55" t="s">
        <v>282</v>
      </c>
      <c r="C16782" s="46">
        <v>1770</v>
      </c>
      <c r="D16782" s="69" t="s">
        <v>29419</v>
      </c>
      <c r="E16782" s="51"/>
      <c r="F16782" s="114" t="str">
        <f>IF(INDEX(I.Facility.P3IDNumber,1770)="","",INDEX(I.Facility.P3IDNumber,1770))</f>
        <v/>
      </c>
      <c r="G16782" s="51"/>
      <c r="H16782" s="46" t="str">
        <f>IF(AND(I.Developer.P3=TRUE,I.Facility.P3FacilityCount&gt;=1770,F16782=""),"Incomplete","Complete")</f>
        <v>Complete</v>
      </c>
      <c r="I16782" s="48" t="s">
        <v>21147</v>
      </c>
    </row>
    <row r="16783" spans="2:9" ht="15" customHeight="1" x14ac:dyDescent="0.25">
      <c r="B16783" s="55" t="s">
        <v>282</v>
      </c>
      <c r="C16783" s="46">
        <v>1771</v>
      </c>
      <c r="D16783" s="69" t="s">
        <v>29419</v>
      </c>
      <c r="E16783" s="51"/>
      <c r="F16783" s="114" t="str">
        <f>IF(INDEX(I.Facility.P3IDNumber,1771)="","",INDEX(I.Facility.P3IDNumber,1771))</f>
        <v/>
      </c>
      <c r="G16783" s="51"/>
      <c r="H16783" s="46" t="str">
        <f>IF(AND(I.Developer.P3=TRUE,I.Facility.P3FacilityCount&gt;=1771,F16783=""),"Incomplete","Complete")</f>
        <v>Complete</v>
      </c>
      <c r="I16783" s="48" t="s">
        <v>21148</v>
      </c>
    </row>
    <row r="16784" spans="2:9" ht="15" customHeight="1" x14ac:dyDescent="0.25">
      <c r="B16784" s="55" t="s">
        <v>282</v>
      </c>
      <c r="C16784" s="46">
        <v>1772</v>
      </c>
      <c r="D16784" s="69" t="s">
        <v>29419</v>
      </c>
      <c r="E16784" s="51"/>
      <c r="F16784" s="114" t="str">
        <f>IF(INDEX(I.Facility.P3IDNumber,1772)="","",INDEX(I.Facility.P3IDNumber,1772))</f>
        <v/>
      </c>
      <c r="G16784" s="51"/>
      <c r="H16784" s="46" t="str">
        <f>IF(AND(I.Developer.P3=TRUE,I.Facility.P3FacilityCount&gt;=1772,F16784=""),"Incomplete","Complete")</f>
        <v>Complete</v>
      </c>
      <c r="I16784" s="48" t="s">
        <v>21149</v>
      </c>
    </row>
    <row r="16785" spans="2:9" ht="15" customHeight="1" x14ac:dyDescent="0.25">
      <c r="B16785" s="55" t="s">
        <v>282</v>
      </c>
      <c r="C16785" s="46">
        <v>1773</v>
      </c>
      <c r="D16785" s="69" t="s">
        <v>29419</v>
      </c>
      <c r="E16785" s="51"/>
      <c r="F16785" s="114" t="str">
        <f>IF(INDEX(I.Facility.P3IDNumber,1773)="","",INDEX(I.Facility.P3IDNumber,1773))</f>
        <v/>
      </c>
      <c r="G16785" s="51"/>
      <c r="H16785" s="46" t="str">
        <f>IF(AND(I.Developer.P3=TRUE,I.Facility.P3FacilityCount&gt;=1773,F16785=""),"Incomplete","Complete")</f>
        <v>Complete</v>
      </c>
      <c r="I16785" s="48" t="s">
        <v>21150</v>
      </c>
    </row>
    <row r="16786" spans="2:9" ht="15" customHeight="1" x14ac:dyDescent="0.25">
      <c r="B16786" s="55" t="s">
        <v>282</v>
      </c>
      <c r="C16786" s="46">
        <v>1774</v>
      </c>
      <c r="D16786" s="69" t="s">
        <v>29419</v>
      </c>
      <c r="E16786" s="51"/>
      <c r="F16786" s="114" t="str">
        <f>IF(INDEX(I.Facility.P3IDNumber,1774)="","",INDEX(I.Facility.P3IDNumber,1774))</f>
        <v/>
      </c>
      <c r="G16786" s="51"/>
      <c r="H16786" s="46" t="str">
        <f>IF(AND(I.Developer.P3=TRUE,I.Facility.P3FacilityCount&gt;=1774,F16786=""),"Incomplete","Complete")</f>
        <v>Complete</v>
      </c>
      <c r="I16786" s="48" t="s">
        <v>21151</v>
      </c>
    </row>
    <row r="16787" spans="2:9" ht="15" customHeight="1" x14ac:dyDescent="0.25">
      <c r="B16787" s="55" t="s">
        <v>282</v>
      </c>
      <c r="C16787" s="46">
        <v>1775</v>
      </c>
      <c r="D16787" s="69" t="s">
        <v>29419</v>
      </c>
      <c r="E16787" s="51"/>
      <c r="F16787" s="114" t="str">
        <f>IF(INDEX(I.Facility.P3IDNumber,1775)="","",INDEX(I.Facility.P3IDNumber,1775))</f>
        <v/>
      </c>
      <c r="G16787" s="51"/>
      <c r="H16787" s="46" t="str">
        <f>IF(AND(I.Developer.P3=TRUE,I.Facility.P3FacilityCount&gt;=1775,F16787=""),"Incomplete","Complete")</f>
        <v>Complete</v>
      </c>
      <c r="I16787" s="48" t="s">
        <v>21152</v>
      </c>
    </row>
    <row r="16788" spans="2:9" ht="15" customHeight="1" x14ac:dyDescent="0.25">
      <c r="B16788" s="55" t="s">
        <v>282</v>
      </c>
      <c r="C16788" s="46">
        <v>1776</v>
      </c>
      <c r="D16788" s="69" t="s">
        <v>29419</v>
      </c>
      <c r="E16788" s="51"/>
      <c r="F16788" s="114" t="str">
        <f>IF(INDEX(I.Facility.P3IDNumber,1776)="","",INDEX(I.Facility.P3IDNumber,1776))</f>
        <v/>
      </c>
      <c r="G16788" s="51"/>
      <c r="H16788" s="46" t="str">
        <f>IF(AND(I.Developer.P3=TRUE,I.Facility.P3FacilityCount&gt;=1776,F16788=""),"Incomplete","Complete")</f>
        <v>Complete</v>
      </c>
      <c r="I16788" s="48" t="s">
        <v>21153</v>
      </c>
    </row>
    <row r="16789" spans="2:9" ht="15" customHeight="1" x14ac:dyDescent="0.25">
      <c r="B16789" s="55" t="s">
        <v>282</v>
      </c>
      <c r="C16789" s="46">
        <v>1777</v>
      </c>
      <c r="D16789" s="69" t="s">
        <v>29419</v>
      </c>
      <c r="E16789" s="51"/>
      <c r="F16789" s="114" t="str">
        <f>IF(INDEX(I.Facility.P3IDNumber,1777)="","",INDEX(I.Facility.P3IDNumber,1777))</f>
        <v/>
      </c>
      <c r="G16789" s="51"/>
      <c r="H16789" s="46" t="str">
        <f>IF(AND(I.Developer.P3=TRUE,I.Facility.P3FacilityCount&gt;=1777,F16789=""),"Incomplete","Complete")</f>
        <v>Complete</v>
      </c>
      <c r="I16789" s="48" t="s">
        <v>21154</v>
      </c>
    </row>
    <row r="16790" spans="2:9" ht="15" customHeight="1" x14ac:dyDescent="0.25">
      <c r="B16790" s="55" t="s">
        <v>282</v>
      </c>
      <c r="C16790" s="46">
        <v>1778</v>
      </c>
      <c r="D16790" s="69" t="s">
        <v>29419</v>
      </c>
      <c r="E16790" s="51"/>
      <c r="F16790" s="114" t="str">
        <f>IF(INDEX(I.Facility.P3IDNumber,1778)="","",INDEX(I.Facility.P3IDNumber,1778))</f>
        <v/>
      </c>
      <c r="G16790" s="51"/>
      <c r="H16790" s="46" t="str">
        <f>IF(AND(I.Developer.P3=TRUE,I.Facility.P3FacilityCount&gt;=1778,F16790=""),"Incomplete","Complete")</f>
        <v>Complete</v>
      </c>
      <c r="I16790" s="48" t="s">
        <v>21155</v>
      </c>
    </row>
    <row r="16791" spans="2:9" ht="15" customHeight="1" x14ac:dyDescent="0.25">
      <c r="B16791" s="55" t="s">
        <v>282</v>
      </c>
      <c r="C16791" s="46">
        <v>1779</v>
      </c>
      <c r="D16791" s="69" t="s">
        <v>29419</v>
      </c>
      <c r="E16791" s="51"/>
      <c r="F16791" s="114" t="str">
        <f>IF(INDEX(I.Facility.P3IDNumber,1779)="","",INDEX(I.Facility.P3IDNumber,1779))</f>
        <v/>
      </c>
      <c r="G16791" s="51"/>
      <c r="H16791" s="46" t="str">
        <f>IF(AND(I.Developer.P3=TRUE,I.Facility.P3FacilityCount&gt;=1779,F16791=""),"Incomplete","Complete")</f>
        <v>Complete</v>
      </c>
      <c r="I16791" s="48" t="s">
        <v>21156</v>
      </c>
    </row>
    <row r="16792" spans="2:9" ht="15" customHeight="1" x14ac:dyDescent="0.25">
      <c r="B16792" s="55" t="s">
        <v>282</v>
      </c>
      <c r="C16792" s="46">
        <v>1780</v>
      </c>
      <c r="D16792" s="69" t="s">
        <v>29419</v>
      </c>
      <c r="E16792" s="51"/>
      <c r="F16792" s="114" t="str">
        <f>IF(INDEX(I.Facility.P3IDNumber,1780)="","",INDEX(I.Facility.P3IDNumber,1780))</f>
        <v/>
      </c>
      <c r="G16792" s="51"/>
      <c r="H16792" s="46" t="str">
        <f>IF(AND(I.Developer.P3=TRUE,I.Facility.P3FacilityCount&gt;=1780,F16792=""),"Incomplete","Complete")</f>
        <v>Complete</v>
      </c>
      <c r="I16792" s="48" t="s">
        <v>21157</v>
      </c>
    </row>
    <row r="16793" spans="2:9" ht="15" customHeight="1" x14ac:dyDescent="0.25">
      <c r="B16793" s="55" t="s">
        <v>282</v>
      </c>
      <c r="C16793" s="46">
        <v>1781</v>
      </c>
      <c r="D16793" s="69" t="s">
        <v>29419</v>
      </c>
      <c r="E16793" s="51"/>
      <c r="F16793" s="114" t="str">
        <f>IF(INDEX(I.Facility.P3IDNumber,1781)="","",INDEX(I.Facility.P3IDNumber,1781))</f>
        <v/>
      </c>
      <c r="G16793" s="51"/>
      <c r="H16793" s="46" t="str">
        <f>IF(AND(I.Developer.P3=TRUE,I.Facility.P3FacilityCount&gt;=1781,F16793=""),"Incomplete","Complete")</f>
        <v>Complete</v>
      </c>
      <c r="I16793" s="48" t="s">
        <v>21158</v>
      </c>
    </row>
    <row r="16794" spans="2:9" ht="15" customHeight="1" x14ac:dyDescent="0.25">
      <c r="B16794" s="55" t="s">
        <v>282</v>
      </c>
      <c r="C16794" s="46">
        <v>1782</v>
      </c>
      <c r="D16794" s="69" t="s">
        <v>29419</v>
      </c>
      <c r="E16794" s="51"/>
      <c r="F16794" s="114" t="str">
        <f>IF(INDEX(I.Facility.P3IDNumber,1782)="","",INDEX(I.Facility.P3IDNumber,1782))</f>
        <v/>
      </c>
      <c r="G16794" s="51"/>
      <c r="H16794" s="46" t="str">
        <f>IF(AND(I.Developer.P3=TRUE,I.Facility.P3FacilityCount&gt;=1782,F16794=""),"Incomplete","Complete")</f>
        <v>Complete</v>
      </c>
      <c r="I16794" s="48" t="s">
        <v>21159</v>
      </c>
    </row>
    <row r="16795" spans="2:9" ht="15" customHeight="1" x14ac:dyDescent="0.25">
      <c r="B16795" s="55" t="s">
        <v>282</v>
      </c>
      <c r="C16795" s="46">
        <v>1783</v>
      </c>
      <c r="D16795" s="69" t="s">
        <v>29419</v>
      </c>
      <c r="E16795" s="51"/>
      <c r="F16795" s="114" t="str">
        <f>IF(INDEX(I.Facility.P3IDNumber,1783)="","",INDEX(I.Facility.P3IDNumber,1783))</f>
        <v/>
      </c>
      <c r="G16795" s="51"/>
      <c r="H16795" s="46" t="str">
        <f>IF(AND(I.Developer.P3=TRUE,I.Facility.P3FacilityCount&gt;=1783,F16795=""),"Incomplete","Complete")</f>
        <v>Complete</v>
      </c>
      <c r="I16795" s="48" t="s">
        <v>21160</v>
      </c>
    </row>
    <row r="16796" spans="2:9" ht="15" customHeight="1" x14ac:dyDescent="0.25">
      <c r="B16796" s="55" t="s">
        <v>282</v>
      </c>
      <c r="C16796" s="46">
        <v>1784</v>
      </c>
      <c r="D16796" s="69" t="s">
        <v>29419</v>
      </c>
      <c r="E16796" s="51"/>
      <c r="F16796" s="114" t="str">
        <f>IF(INDEX(I.Facility.P3IDNumber,1784)="","",INDEX(I.Facility.P3IDNumber,1784))</f>
        <v/>
      </c>
      <c r="G16796" s="51"/>
      <c r="H16796" s="46" t="str">
        <f>IF(AND(I.Developer.P3=TRUE,I.Facility.P3FacilityCount&gt;=1784,F16796=""),"Incomplete","Complete")</f>
        <v>Complete</v>
      </c>
      <c r="I16796" s="48" t="s">
        <v>21161</v>
      </c>
    </row>
    <row r="16797" spans="2:9" ht="15" customHeight="1" x14ac:dyDescent="0.25">
      <c r="B16797" s="55" t="s">
        <v>282</v>
      </c>
      <c r="C16797" s="46">
        <v>1785</v>
      </c>
      <c r="D16797" s="69" t="s">
        <v>29419</v>
      </c>
      <c r="E16797" s="51"/>
      <c r="F16797" s="114" t="str">
        <f>IF(INDEX(I.Facility.P3IDNumber,1785)="","",INDEX(I.Facility.P3IDNumber,1785))</f>
        <v/>
      </c>
      <c r="G16797" s="51"/>
      <c r="H16797" s="46" t="str">
        <f>IF(AND(I.Developer.P3=TRUE,I.Facility.P3FacilityCount&gt;=1785,F16797=""),"Incomplete","Complete")</f>
        <v>Complete</v>
      </c>
      <c r="I16797" s="48" t="s">
        <v>21162</v>
      </c>
    </row>
    <row r="16798" spans="2:9" ht="15" customHeight="1" x14ac:dyDescent="0.25">
      <c r="B16798" s="55" t="s">
        <v>282</v>
      </c>
      <c r="C16798" s="46">
        <v>1786</v>
      </c>
      <c r="D16798" s="69" t="s">
        <v>29419</v>
      </c>
      <c r="E16798" s="51"/>
      <c r="F16798" s="114" t="str">
        <f>IF(INDEX(I.Facility.P3IDNumber,1786)="","",INDEX(I.Facility.P3IDNumber,1786))</f>
        <v/>
      </c>
      <c r="G16798" s="51"/>
      <c r="H16798" s="46" t="str">
        <f>IF(AND(I.Developer.P3=TRUE,I.Facility.P3FacilityCount&gt;=1786,F16798=""),"Incomplete","Complete")</f>
        <v>Complete</v>
      </c>
      <c r="I16798" s="48" t="s">
        <v>21163</v>
      </c>
    </row>
    <row r="16799" spans="2:9" ht="15" customHeight="1" x14ac:dyDescent="0.25">
      <c r="B16799" s="55" t="s">
        <v>282</v>
      </c>
      <c r="C16799" s="46">
        <v>1787</v>
      </c>
      <c r="D16799" s="69" t="s">
        <v>29419</v>
      </c>
      <c r="E16799" s="51"/>
      <c r="F16799" s="114" t="str">
        <f>IF(INDEX(I.Facility.P3IDNumber,1787)="","",INDEX(I.Facility.P3IDNumber,1787))</f>
        <v/>
      </c>
      <c r="G16799" s="51"/>
      <c r="H16799" s="46" t="str">
        <f>IF(AND(I.Developer.P3=TRUE,I.Facility.P3FacilityCount&gt;=1787,F16799=""),"Incomplete","Complete")</f>
        <v>Complete</v>
      </c>
      <c r="I16799" s="48" t="s">
        <v>21164</v>
      </c>
    </row>
    <row r="16800" spans="2:9" ht="15" customHeight="1" x14ac:dyDescent="0.25">
      <c r="B16800" s="55" t="s">
        <v>282</v>
      </c>
      <c r="C16800" s="46">
        <v>1788</v>
      </c>
      <c r="D16800" s="69" t="s">
        <v>29419</v>
      </c>
      <c r="E16800" s="51"/>
      <c r="F16800" s="114" t="str">
        <f>IF(INDEX(I.Facility.P3IDNumber,1788)="","",INDEX(I.Facility.P3IDNumber,1788))</f>
        <v/>
      </c>
      <c r="G16800" s="51"/>
      <c r="H16800" s="46" t="str">
        <f>IF(AND(I.Developer.P3=TRUE,I.Facility.P3FacilityCount&gt;=1788,F16800=""),"Incomplete","Complete")</f>
        <v>Complete</v>
      </c>
      <c r="I16800" s="48" t="s">
        <v>21165</v>
      </c>
    </row>
    <row r="16801" spans="2:9" ht="15" customHeight="1" x14ac:dyDescent="0.25">
      <c r="B16801" s="55" t="s">
        <v>282</v>
      </c>
      <c r="C16801" s="46">
        <v>1789</v>
      </c>
      <c r="D16801" s="69" t="s">
        <v>29419</v>
      </c>
      <c r="E16801" s="51"/>
      <c r="F16801" s="114" t="str">
        <f>IF(INDEX(I.Facility.P3IDNumber,1789)="","",INDEX(I.Facility.P3IDNumber,1789))</f>
        <v/>
      </c>
      <c r="G16801" s="51"/>
      <c r="H16801" s="46" t="str">
        <f>IF(AND(I.Developer.P3=TRUE,I.Facility.P3FacilityCount&gt;=1789,F16801=""),"Incomplete","Complete")</f>
        <v>Complete</v>
      </c>
      <c r="I16801" s="48" t="s">
        <v>21166</v>
      </c>
    </row>
    <row r="16802" spans="2:9" ht="15" customHeight="1" x14ac:dyDescent="0.25">
      <c r="B16802" s="55" t="s">
        <v>282</v>
      </c>
      <c r="C16802" s="46">
        <v>1790</v>
      </c>
      <c r="D16802" s="69" t="s">
        <v>29419</v>
      </c>
      <c r="E16802" s="51"/>
      <c r="F16802" s="114" t="str">
        <f>IF(INDEX(I.Facility.P3IDNumber,1790)="","",INDEX(I.Facility.P3IDNumber,1790))</f>
        <v/>
      </c>
      <c r="G16802" s="51"/>
      <c r="H16802" s="46" t="str">
        <f>IF(AND(I.Developer.P3=TRUE,I.Facility.P3FacilityCount&gt;=1790,F16802=""),"Incomplete","Complete")</f>
        <v>Complete</v>
      </c>
      <c r="I16802" s="48" t="s">
        <v>21167</v>
      </c>
    </row>
    <row r="16803" spans="2:9" ht="15" customHeight="1" x14ac:dyDescent="0.25">
      <c r="B16803" s="55" t="s">
        <v>282</v>
      </c>
      <c r="C16803" s="46">
        <v>1791</v>
      </c>
      <c r="D16803" s="69" t="s">
        <v>29419</v>
      </c>
      <c r="E16803" s="51"/>
      <c r="F16803" s="114" t="str">
        <f>IF(INDEX(I.Facility.P3IDNumber,1791)="","",INDEX(I.Facility.P3IDNumber,1791))</f>
        <v/>
      </c>
      <c r="G16803" s="51"/>
      <c r="H16803" s="46" t="str">
        <f>IF(AND(I.Developer.P3=TRUE,I.Facility.P3FacilityCount&gt;=1791,F16803=""),"Incomplete","Complete")</f>
        <v>Complete</v>
      </c>
      <c r="I16803" s="48" t="s">
        <v>21168</v>
      </c>
    </row>
    <row r="16804" spans="2:9" ht="15" customHeight="1" x14ac:dyDescent="0.25">
      <c r="B16804" s="55" t="s">
        <v>282</v>
      </c>
      <c r="C16804" s="46">
        <v>1792</v>
      </c>
      <c r="D16804" s="69" t="s">
        <v>29419</v>
      </c>
      <c r="E16804" s="51"/>
      <c r="F16804" s="114" t="str">
        <f>IF(INDEX(I.Facility.P3IDNumber,1792)="","",INDEX(I.Facility.P3IDNumber,1792))</f>
        <v/>
      </c>
      <c r="G16804" s="51"/>
      <c r="H16804" s="46" t="str">
        <f>IF(AND(I.Developer.P3=TRUE,I.Facility.P3FacilityCount&gt;=1792,F16804=""),"Incomplete","Complete")</f>
        <v>Complete</v>
      </c>
      <c r="I16804" s="48" t="s">
        <v>21169</v>
      </c>
    </row>
    <row r="16805" spans="2:9" ht="15" customHeight="1" x14ac:dyDescent="0.25">
      <c r="B16805" s="55" t="s">
        <v>282</v>
      </c>
      <c r="C16805" s="46">
        <v>1793</v>
      </c>
      <c r="D16805" s="69" t="s">
        <v>29419</v>
      </c>
      <c r="E16805" s="51"/>
      <c r="F16805" s="114" t="str">
        <f>IF(INDEX(I.Facility.P3IDNumber,1793)="","",INDEX(I.Facility.P3IDNumber,1793))</f>
        <v/>
      </c>
      <c r="G16805" s="51"/>
      <c r="H16805" s="46" t="str">
        <f>IF(AND(I.Developer.P3=TRUE,I.Facility.P3FacilityCount&gt;=1793,F16805=""),"Incomplete","Complete")</f>
        <v>Complete</v>
      </c>
      <c r="I16805" s="48" t="s">
        <v>21170</v>
      </c>
    </row>
    <row r="16806" spans="2:9" ht="15" customHeight="1" x14ac:dyDescent="0.25">
      <c r="B16806" s="55" t="s">
        <v>282</v>
      </c>
      <c r="C16806" s="46">
        <v>1794</v>
      </c>
      <c r="D16806" s="69" t="s">
        <v>29419</v>
      </c>
      <c r="E16806" s="51"/>
      <c r="F16806" s="114" t="str">
        <f>IF(INDEX(I.Facility.P3IDNumber,1794)="","",INDEX(I.Facility.P3IDNumber,1794))</f>
        <v/>
      </c>
      <c r="G16806" s="51"/>
      <c r="H16806" s="46" t="str">
        <f>IF(AND(I.Developer.P3=TRUE,I.Facility.P3FacilityCount&gt;=1794,F16806=""),"Incomplete","Complete")</f>
        <v>Complete</v>
      </c>
      <c r="I16806" s="48" t="s">
        <v>21171</v>
      </c>
    </row>
    <row r="16807" spans="2:9" ht="15" customHeight="1" x14ac:dyDescent="0.25">
      <c r="B16807" s="55" t="s">
        <v>282</v>
      </c>
      <c r="C16807" s="46">
        <v>1795</v>
      </c>
      <c r="D16807" s="69" t="s">
        <v>29419</v>
      </c>
      <c r="E16807" s="51"/>
      <c r="F16807" s="114" t="str">
        <f>IF(INDEX(I.Facility.P3IDNumber,1795)="","",INDEX(I.Facility.P3IDNumber,1795))</f>
        <v/>
      </c>
      <c r="G16807" s="51"/>
      <c r="H16807" s="46" t="str">
        <f>IF(AND(I.Developer.P3=TRUE,I.Facility.P3FacilityCount&gt;=1795,F16807=""),"Incomplete","Complete")</f>
        <v>Complete</v>
      </c>
      <c r="I16807" s="48" t="s">
        <v>21172</v>
      </c>
    </row>
    <row r="16808" spans="2:9" ht="15" customHeight="1" x14ac:dyDescent="0.25">
      <c r="B16808" s="55" t="s">
        <v>282</v>
      </c>
      <c r="C16808" s="46">
        <v>1796</v>
      </c>
      <c r="D16808" s="69" t="s">
        <v>29419</v>
      </c>
      <c r="E16808" s="51"/>
      <c r="F16808" s="114" t="str">
        <f>IF(INDEX(I.Facility.P3IDNumber,1796)="","",INDEX(I.Facility.P3IDNumber,1796))</f>
        <v/>
      </c>
      <c r="G16808" s="51"/>
      <c r="H16808" s="46" t="str">
        <f>IF(AND(I.Developer.P3=TRUE,I.Facility.P3FacilityCount&gt;=1796,F16808=""),"Incomplete","Complete")</f>
        <v>Complete</v>
      </c>
      <c r="I16808" s="48" t="s">
        <v>21173</v>
      </c>
    </row>
    <row r="16809" spans="2:9" ht="15" customHeight="1" x14ac:dyDescent="0.25">
      <c r="B16809" s="55" t="s">
        <v>282</v>
      </c>
      <c r="C16809" s="46">
        <v>1797</v>
      </c>
      <c r="D16809" s="69" t="s">
        <v>29419</v>
      </c>
      <c r="E16809" s="51"/>
      <c r="F16809" s="114" t="str">
        <f>IF(INDEX(I.Facility.P3IDNumber,1797)="","",INDEX(I.Facility.P3IDNumber,1797))</f>
        <v/>
      </c>
      <c r="G16809" s="51"/>
      <c r="H16809" s="46" t="str">
        <f>IF(AND(I.Developer.P3=TRUE,I.Facility.P3FacilityCount&gt;=1797,F16809=""),"Incomplete","Complete")</f>
        <v>Complete</v>
      </c>
      <c r="I16809" s="48" t="s">
        <v>21174</v>
      </c>
    </row>
    <row r="16810" spans="2:9" ht="15" customHeight="1" x14ac:dyDescent="0.25">
      <c r="B16810" s="55" t="s">
        <v>282</v>
      </c>
      <c r="C16810" s="46">
        <v>1798</v>
      </c>
      <c r="D16810" s="69" t="s">
        <v>29419</v>
      </c>
      <c r="E16810" s="51"/>
      <c r="F16810" s="114" t="str">
        <f>IF(INDEX(I.Facility.P3IDNumber,1798)="","",INDEX(I.Facility.P3IDNumber,1798))</f>
        <v/>
      </c>
      <c r="G16810" s="51"/>
      <c r="H16810" s="46" t="str">
        <f>IF(AND(I.Developer.P3=TRUE,I.Facility.P3FacilityCount&gt;=1798,F16810=""),"Incomplete","Complete")</f>
        <v>Complete</v>
      </c>
      <c r="I16810" s="48" t="s">
        <v>21175</v>
      </c>
    </row>
    <row r="16811" spans="2:9" ht="15" customHeight="1" x14ac:dyDescent="0.25">
      <c r="B16811" s="55" t="s">
        <v>282</v>
      </c>
      <c r="C16811" s="46">
        <v>1799</v>
      </c>
      <c r="D16811" s="69" t="s">
        <v>29419</v>
      </c>
      <c r="E16811" s="51"/>
      <c r="F16811" s="114" t="str">
        <f>IF(INDEX(I.Facility.P3IDNumber,1799)="","",INDEX(I.Facility.P3IDNumber,1799))</f>
        <v/>
      </c>
      <c r="G16811" s="51"/>
      <c r="H16811" s="46" t="str">
        <f>IF(AND(I.Developer.P3=TRUE,I.Facility.P3FacilityCount&gt;=1799,F16811=""),"Incomplete","Complete")</f>
        <v>Complete</v>
      </c>
      <c r="I16811" s="48" t="s">
        <v>21176</v>
      </c>
    </row>
    <row r="16812" spans="2:9" ht="15" customHeight="1" x14ac:dyDescent="0.25">
      <c r="B16812" s="55" t="s">
        <v>282</v>
      </c>
      <c r="C16812" s="46">
        <v>1800</v>
      </c>
      <c r="D16812" s="69" t="s">
        <v>29419</v>
      </c>
      <c r="E16812" s="51"/>
      <c r="F16812" s="114" t="str">
        <f>IF(INDEX(I.Facility.P3IDNumber,1800)="","",INDEX(I.Facility.P3IDNumber,1800))</f>
        <v/>
      </c>
      <c r="G16812" s="51"/>
      <c r="H16812" s="46" t="str">
        <f>IF(AND(I.Developer.P3=TRUE,I.Facility.P3FacilityCount&gt;=1800,F16812=""),"Incomplete","Complete")</f>
        <v>Complete</v>
      </c>
      <c r="I16812" s="48" t="s">
        <v>21177</v>
      </c>
    </row>
    <row r="16813" spans="2:9" ht="15" customHeight="1" x14ac:dyDescent="0.25">
      <c r="B16813" s="55" t="s">
        <v>282</v>
      </c>
      <c r="C16813" s="46">
        <v>1801</v>
      </c>
      <c r="D16813" s="69" t="s">
        <v>29419</v>
      </c>
      <c r="E16813" s="51"/>
      <c r="F16813" s="114" t="str">
        <f>IF(INDEX(I.Facility.P3IDNumber,1801)="","",INDEX(I.Facility.P3IDNumber,1801))</f>
        <v/>
      </c>
      <c r="G16813" s="51"/>
      <c r="H16813" s="46" t="str">
        <f>IF(AND(I.Developer.P3=TRUE,I.Facility.P3FacilityCount&gt;=1801,F16813=""),"Incomplete","Complete")</f>
        <v>Complete</v>
      </c>
      <c r="I16813" s="48" t="s">
        <v>21178</v>
      </c>
    </row>
    <row r="16814" spans="2:9" ht="15" customHeight="1" x14ac:dyDescent="0.25">
      <c r="B16814" s="55" t="s">
        <v>282</v>
      </c>
      <c r="C16814" s="46">
        <v>1802</v>
      </c>
      <c r="D16814" s="69" t="s">
        <v>29419</v>
      </c>
      <c r="E16814" s="51"/>
      <c r="F16814" s="114" t="str">
        <f>IF(INDEX(I.Facility.P3IDNumber,1802)="","",INDEX(I.Facility.P3IDNumber,1802))</f>
        <v/>
      </c>
      <c r="G16814" s="51"/>
      <c r="H16814" s="46" t="str">
        <f>IF(AND(I.Developer.P3=TRUE,I.Facility.P3FacilityCount&gt;=1802,F16814=""),"Incomplete","Complete")</f>
        <v>Complete</v>
      </c>
      <c r="I16814" s="48" t="s">
        <v>21179</v>
      </c>
    </row>
    <row r="16815" spans="2:9" ht="15" customHeight="1" x14ac:dyDescent="0.25">
      <c r="B16815" s="55" t="s">
        <v>282</v>
      </c>
      <c r="C16815" s="46">
        <v>1803</v>
      </c>
      <c r="D16815" s="69" t="s">
        <v>29419</v>
      </c>
      <c r="E16815" s="51"/>
      <c r="F16815" s="114" t="str">
        <f>IF(INDEX(I.Facility.P3IDNumber,1803)="","",INDEX(I.Facility.P3IDNumber,1803))</f>
        <v/>
      </c>
      <c r="G16815" s="51"/>
      <c r="H16815" s="46" t="str">
        <f>IF(AND(I.Developer.P3=TRUE,I.Facility.P3FacilityCount&gt;=1803,F16815=""),"Incomplete","Complete")</f>
        <v>Complete</v>
      </c>
      <c r="I16815" s="48" t="s">
        <v>21180</v>
      </c>
    </row>
    <row r="16816" spans="2:9" ht="15" customHeight="1" x14ac:dyDescent="0.25">
      <c r="B16816" s="55" t="s">
        <v>282</v>
      </c>
      <c r="C16816" s="46">
        <v>1804</v>
      </c>
      <c r="D16816" s="69" t="s">
        <v>29419</v>
      </c>
      <c r="E16816" s="51"/>
      <c r="F16816" s="114" t="str">
        <f>IF(INDEX(I.Facility.P3IDNumber,1804)="","",INDEX(I.Facility.P3IDNumber,1804))</f>
        <v/>
      </c>
      <c r="G16816" s="51"/>
      <c r="H16816" s="46" t="str">
        <f>IF(AND(I.Developer.P3=TRUE,I.Facility.P3FacilityCount&gt;=1804,F16816=""),"Incomplete","Complete")</f>
        <v>Complete</v>
      </c>
      <c r="I16816" s="48" t="s">
        <v>21181</v>
      </c>
    </row>
    <row r="16817" spans="2:9" ht="15" customHeight="1" x14ac:dyDescent="0.25">
      <c r="B16817" s="55" t="s">
        <v>282</v>
      </c>
      <c r="C16817" s="46">
        <v>1805</v>
      </c>
      <c r="D16817" s="69" t="s">
        <v>29419</v>
      </c>
      <c r="E16817" s="51"/>
      <c r="F16817" s="114" t="str">
        <f>IF(INDEX(I.Facility.P3IDNumber,1805)="","",INDEX(I.Facility.P3IDNumber,1805))</f>
        <v/>
      </c>
      <c r="G16817" s="51"/>
      <c r="H16817" s="46" t="str">
        <f>IF(AND(I.Developer.P3=TRUE,I.Facility.P3FacilityCount&gt;=1805,F16817=""),"Incomplete","Complete")</f>
        <v>Complete</v>
      </c>
      <c r="I16817" s="48" t="s">
        <v>21182</v>
      </c>
    </row>
    <row r="16818" spans="2:9" ht="15" customHeight="1" x14ac:dyDescent="0.25">
      <c r="B16818" s="55" t="s">
        <v>282</v>
      </c>
      <c r="C16818" s="46">
        <v>1806</v>
      </c>
      <c r="D16818" s="69" t="s">
        <v>29419</v>
      </c>
      <c r="E16818" s="51"/>
      <c r="F16818" s="114" t="str">
        <f>IF(INDEX(I.Facility.P3IDNumber,1806)="","",INDEX(I.Facility.P3IDNumber,1806))</f>
        <v/>
      </c>
      <c r="G16818" s="51"/>
      <c r="H16818" s="46" t="str">
        <f>IF(AND(I.Developer.P3=TRUE,I.Facility.P3FacilityCount&gt;=1806,F16818=""),"Incomplete","Complete")</f>
        <v>Complete</v>
      </c>
      <c r="I16818" s="48" t="s">
        <v>21183</v>
      </c>
    </row>
    <row r="16819" spans="2:9" ht="15" customHeight="1" x14ac:dyDescent="0.25">
      <c r="B16819" s="55" t="s">
        <v>282</v>
      </c>
      <c r="C16819" s="46">
        <v>1807</v>
      </c>
      <c r="D16819" s="69" t="s">
        <v>29419</v>
      </c>
      <c r="E16819" s="51"/>
      <c r="F16819" s="114" t="str">
        <f>IF(INDEX(I.Facility.P3IDNumber,1807)="","",INDEX(I.Facility.P3IDNumber,1807))</f>
        <v/>
      </c>
      <c r="G16819" s="51"/>
      <c r="H16819" s="46" t="str">
        <f>IF(AND(I.Developer.P3=TRUE,I.Facility.P3FacilityCount&gt;=1807,F16819=""),"Incomplete","Complete")</f>
        <v>Complete</v>
      </c>
      <c r="I16819" s="48" t="s">
        <v>21184</v>
      </c>
    </row>
    <row r="16820" spans="2:9" ht="15" customHeight="1" x14ac:dyDescent="0.25">
      <c r="B16820" s="55" t="s">
        <v>282</v>
      </c>
      <c r="C16820" s="46">
        <v>1808</v>
      </c>
      <c r="D16820" s="69" t="s">
        <v>29419</v>
      </c>
      <c r="E16820" s="51"/>
      <c r="F16820" s="114" t="str">
        <f>IF(INDEX(I.Facility.P3IDNumber,1808)="","",INDEX(I.Facility.P3IDNumber,1808))</f>
        <v/>
      </c>
      <c r="G16820" s="51"/>
      <c r="H16820" s="46" t="str">
        <f>IF(AND(I.Developer.P3=TRUE,I.Facility.P3FacilityCount&gt;=1808,F16820=""),"Incomplete","Complete")</f>
        <v>Complete</v>
      </c>
      <c r="I16820" s="48" t="s">
        <v>21185</v>
      </c>
    </row>
    <row r="16821" spans="2:9" ht="15" customHeight="1" x14ac:dyDescent="0.25">
      <c r="B16821" s="55" t="s">
        <v>282</v>
      </c>
      <c r="C16821" s="46">
        <v>1809</v>
      </c>
      <c r="D16821" s="69" t="s">
        <v>29419</v>
      </c>
      <c r="E16821" s="51"/>
      <c r="F16821" s="114" t="str">
        <f>IF(INDEX(I.Facility.P3IDNumber,1809)="","",INDEX(I.Facility.P3IDNumber,1809))</f>
        <v/>
      </c>
      <c r="G16821" s="51"/>
      <c r="H16821" s="46" t="str">
        <f>IF(AND(I.Developer.P3=TRUE,I.Facility.P3FacilityCount&gt;=1809,F16821=""),"Incomplete","Complete")</f>
        <v>Complete</v>
      </c>
      <c r="I16821" s="48" t="s">
        <v>21186</v>
      </c>
    </row>
    <row r="16822" spans="2:9" ht="15" customHeight="1" x14ac:dyDescent="0.25">
      <c r="B16822" s="55" t="s">
        <v>282</v>
      </c>
      <c r="C16822" s="46">
        <v>1810</v>
      </c>
      <c r="D16822" s="69" t="s">
        <v>29419</v>
      </c>
      <c r="E16822" s="51"/>
      <c r="F16822" s="114" t="str">
        <f>IF(INDEX(I.Facility.P3IDNumber,1810)="","",INDEX(I.Facility.P3IDNumber,1810))</f>
        <v/>
      </c>
      <c r="G16822" s="51"/>
      <c r="H16822" s="46" t="str">
        <f>IF(AND(I.Developer.P3=TRUE,I.Facility.P3FacilityCount&gt;=1810,F16822=""),"Incomplete","Complete")</f>
        <v>Complete</v>
      </c>
      <c r="I16822" s="48" t="s">
        <v>21187</v>
      </c>
    </row>
    <row r="16823" spans="2:9" ht="15" customHeight="1" x14ac:dyDescent="0.25">
      <c r="B16823" s="55" t="s">
        <v>282</v>
      </c>
      <c r="C16823" s="46">
        <v>1811</v>
      </c>
      <c r="D16823" s="69" t="s">
        <v>29419</v>
      </c>
      <c r="E16823" s="51"/>
      <c r="F16823" s="114" t="str">
        <f>IF(INDEX(I.Facility.P3IDNumber,1811)="","",INDEX(I.Facility.P3IDNumber,1811))</f>
        <v/>
      </c>
      <c r="G16823" s="51"/>
      <c r="H16823" s="46" t="str">
        <f>IF(AND(I.Developer.P3=TRUE,I.Facility.P3FacilityCount&gt;=1811,F16823=""),"Incomplete","Complete")</f>
        <v>Complete</v>
      </c>
      <c r="I16823" s="48" t="s">
        <v>21188</v>
      </c>
    </row>
    <row r="16824" spans="2:9" ht="15" customHeight="1" x14ac:dyDescent="0.25">
      <c r="B16824" s="55" t="s">
        <v>282</v>
      </c>
      <c r="C16824" s="46">
        <v>1812</v>
      </c>
      <c r="D16824" s="69" t="s">
        <v>29419</v>
      </c>
      <c r="E16824" s="51"/>
      <c r="F16824" s="114" t="str">
        <f>IF(INDEX(I.Facility.P3IDNumber,1812)="","",INDEX(I.Facility.P3IDNumber,1812))</f>
        <v/>
      </c>
      <c r="G16824" s="51"/>
      <c r="H16824" s="46" t="str">
        <f>IF(AND(I.Developer.P3=TRUE,I.Facility.P3FacilityCount&gt;=1812,F16824=""),"Incomplete","Complete")</f>
        <v>Complete</v>
      </c>
      <c r="I16824" s="48" t="s">
        <v>21189</v>
      </c>
    </row>
    <row r="16825" spans="2:9" ht="15" customHeight="1" x14ac:dyDescent="0.25">
      <c r="B16825" s="55" t="s">
        <v>282</v>
      </c>
      <c r="C16825" s="46">
        <v>1813</v>
      </c>
      <c r="D16825" s="69" t="s">
        <v>29419</v>
      </c>
      <c r="E16825" s="51"/>
      <c r="F16825" s="114" t="str">
        <f>IF(INDEX(I.Facility.P3IDNumber,1813)="","",INDEX(I.Facility.P3IDNumber,1813))</f>
        <v/>
      </c>
      <c r="G16825" s="51"/>
      <c r="H16825" s="46" t="str">
        <f>IF(AND(I.Developer.P3=TRUE,I.Facility.P3FacilityCount&gt;=1813,F16825=""),"Incomplete","Complete")</f>
        <v>Complete</v>
      </c>
      <c r="I16825" s="48" t="s">
        <v>21190</v>
      </c>
    </row>
    <row r="16826" spans="2:9" ht="15" customHeight="1" x14ac:dyDescent="0.25">
      <c r="B16826" s="55" t="s">
        <v>282</v>
      </c>
      <c r="C16826" s="46">
        <v>1814</v>
      </c>
      <c r="D16826" s="69" t="s">
        <v>29419</v>
      </c>
      <c r="E16826" s="51"/>
      <c r="F16826" s="114" t="str">
        <f>IF(INDEX(I.Facility.P3IDNumber,1814)="","",INDEX(I.Facility.P3IDNumber,1814))</f>
        <v/>
      </c>
      <c r="G16826" s="51"/>
      <c r="H16826" s="46" t="str">
        <f>IF(AND(I.Developer.P3=TRUE,I.Facility.P3FacilityCount&gt;=1814,F16826=""),"Incomplete","Complete")</f>
        <v>Complete</v>
      </c>
      <c r="I16826" s="48" t="s">
        <v>21191</v>
      </c>
    </row>
    <row r="16827" spans="2:9" ht="15" customHeight="1" x14ac:dyDescent="0.25">
      <c r="B16827" s="55" t="s">
        <v>282</v>
      </c>
      <c r="C16827" s="46">
        <v>1815</v>
      </c>
      <c r="D16827" s="69" t="s">
        <v>29419</v>
      </c>
      <c r="E16827" s="51"/>
      <c r="F16827" s="114" t="str">
        <f>IF(INDEX(I.Facility.P3IDNumber,1815)="","",INDEX(I.Facility.P3IDNumber,1815))</f>
        <v/>
      </c>
      <c r="G16827" s="51"/>
      <c r="H16827" s="46" t="str">
        <f>IF(AND(I.Developer.P3=TRUE,I.Facility.P3FacilityCount&gt;=1815,F16827=""),"Incomplete","Complete")</f>
        <v>Complete</v>
      </c>
      <c r="I16827" s="48" t="s">
        <v>21192</v>
      </c>
    </row>
    <row r="16828" spans="2:9" ht="15" customHeight="1" x14ac:dyDescent="0.25">
      <c r="B16828" s="55" t="s">
        <v>282</v>
      </c>
      <c r="C16828" s="46">
        <v>1816</v>
      </c>
      <c r="D16828" s="69" t="s">
        <v>29419</v>
      </c>
      <c r="E16828" s="51"/>
      <c r="F16828" s="114" t="str">
        <f>IF(INDEX(I.Facility.P3IDNumber,1816)="","",INDEX(I.Facility.P3IDNumber,1816))</f>
        <v/>
      </c>
      <c r="G16828" s="51"/>
      <c r="H16828" s="46" t="str">
        <f>IF(AND(I.Developer.P3=TRUE,I.Facility.P3FacilityCount&gt;=1816,F16828=""),"Incomplete","Complete")</f>
        <v>Complete</v>
      </c>
      <c r="I16828" s="48" t="s">
        <v>21193</v>
      </c>
    </row>
    <row r="16829" spans="2:9" ht="15" customHeight="1" x14ac:dyDescent="0.25">
      <c r="B16829" s="55" t="s">
        <v>282</v>
      </c>
      <c r="C16829" s="46">
        <v>1817</v>
      </c>
      <c r="D16829" s="69" t="s">
        <v>29419</v>
      </c>
      <c r="E16829" s="51"/>
      <c r="F16829" s="114" t="str">
        <f>IF(INDEX(I.Facility.P3IDNumber,1817)="","",INDEX(I.Facility.P3IDNumber,1817))</f>
        <v/>
      </c>
      <c r="G16829" s="51"/>
      <c r="H16829" s="46" t="str">
        <f>IF(AND(I.Developer.P3=TRUE,I.Facility.P3FacilityCount&gt;=1817,F16829=""),"Incomplete","Complete")</f>
        <v>Complete</v>
      </c>
      <c r="I16829" s="48" t="s">
        <v>21194</v>
      </c>
    </row>
    <row r="16830" spans="2:9" ht="15" customHeight="1" x14ac:dyDescent="0.25">
      <c r="B16830" s="55" t="s">
        <v>282</v>
      </c>
      <c r="C16830" s="46">
        <v>1818</v>
      </c>
      <c r="D16830" s="69" t="s">
        <v>29419</v>
      </c>
      <c r="E16830" s="51"/>
      <c r="F16830" s="114" t="str">
        <f>IF(INDEX(I.Facility.P3IDNumber,1818)="","",INDEX(I.Facility.P3IDNumber,1818))</f>
        <v/>
      </c>
      <c r="G16830" s="51"/>
      <c r="H16830" s="46" t="str">
        <f>IF(AND(I.Developer.P3=TRUE,I.Facility.P3FacilityCount&gt;=1818,F16830=""),"Incomplete","Complete")</f>
        <v>Complete</v>
      </c>
      <c r="I16830" s="48" t="s">
        <v>21195</v>
      </c>
    </row>
    <row r="16831" spans="2:9" ht="15" customHeight="1" x14ac:dyDescent="0.25">
      <c r="B16831" s="55" t="s">
        <v>282</v>
      </c>
      <c r="C16831" s="46">
        <v>1819</v>
      </c>
      <c r="D16831" s="69" t="s">
        <v>29419</v>
      </c>
      <c r="E16831" s="51"/>
      <c r="F16831" s="114" t="str">
        <f>IF(INDEX(I.Facility.P3IDNumber,1819)="","",INDEX(I.Facility.P3IDNumber,1819))</f>
        <v/>
      </c>
      <c r="G16831" s="51"/>
      <c r="H16831" s="46" t="str">
        <f>IF(AND(I.Developer.P3=TRUE,I.Facility.P3FacilityCount&gt;=1819,F16831=""),"Incomplete","Complete")</f>
        <v>Complete</v>
      </c>
      <c r="I16831" s="48" t="s">
        <v>21196</v>
      </c>
    </row>
    <row r="16832" spans="2:9" ht="15" customHeight="1" x14ac:dyDescent="0.25">
      <c r="B16832" s="55" t="s">
        <v>282</v>
      </c>
      <c r="C16832" s="46">
        <v>1820</v>
      </c>
      <c r="D16832" s="69" t="s">
        <v>29419</v>
      </c>
      <c r="E16832" s="51"/>
      <c r="F16832" s="114" t="str">
        <f>IF(INDEX(I.Facility.P3IDNumber,1820)="","",INDEX(I.Facility.P3IDNumber,1820))</f>
        <v/>
      </c>
      <c r="G16832" s="51"/>
      <c r="H16832" s="46" t="str">
        <f>IF(AND(I.Developer.P3=TRUE,I.Facility.P3FacilityCount&gt;=1820,F16832=""),"Incomplete","Complete")</f>
        <v>Complete</v>
      </c>
      <c r="I16832" s="48" t="s">
        <v>21197</v>
      </c>
    </row>
    <row r="16833" spans="2:9" ht="15" customHeight="1" x14ac:dyDescent="0.25">
      <c r="B16833" s="55" t="s">
        <v>282</v>
      </c>
      <c r="C16833" s="46">
        <v>1821</v>
      </c>
      <c r="D16833" s="69" t="s">
        <v>29419</v>
      </c>
      <c r="E16833" s="51"/>
      <c r="F16833" s="114" t="str">
        <f>IF(INDEX(I.Facility.P3IDNumber,1821)="","",INDEX(I.Facility.P3IDNumber,1821))</f>
        <v/>
      </c>
      <c r="G16833" s="51"/>
      <c r="H16833" s="46" t="str">
        <f>IF(AND(I.Developer.P3=TRUE,I.Facility.P3FacilityCount&gt;=1821,F16833=""),"Incomplete","Complete")</f>
        <v>Complete</v>
      </c>
      <c r="I16833" s="48" t="s">
        <v>21198</v>
      </c>
    </row>
    <row r="16834" spans="2:9" ht="15" customHeight="1" x14ac:dyDescent="0.25">
      <c r="B16834" s="55" t="s">
        <v>282</v>
      </c>
      <c r="C16834" s="46">
        <v>1822</v>
      </c>
      <c r="D16834" s="69" t="s">
        <v>29419</v>
      </c>
      <c r="E16834" s="51"/>
      <c r="F16834" s="114" t="str">
        <f>IF(INDEX(I.Facility.P3IDNumber,1822)="","",INDEX(I.Facility.P3IDNumber,1822))</f>
        <v/>
      </c>
      <c r="G16834" s="51"/>
      <c r="H16834" s="46" t="str">
        <f>IF(AND(I.Developer.P3=TRUE,I.Facility.P3FacilityCount&gt;=1822,F16834=""),"Incomplete","Complete")</f>
        <v>Complete</v>
      </c>
      <c r="I16834" s="48" t="s">
        <v>21199</v>
      </c>
    </row>
    <row r="16835" spans="2:9" ht="15" customHeight="1" x14ac:dyDescent="0.25">
      <c r="B16835" s="55" t="s">
        <v>282</v>
      </c>
      <c r="C16835" s="46">
        <v>1823</v>
      </c>
      <c r="D16835" s="69" t="s">
        <v>29419</v>
      </c>
      <c r="E16835" s="51"/>
      <c r="F16835" s="114" t="str">
        <f>IF(INDEX(I.Facility.P3IDNumber,1823)="","",INDEX(I.Facility.P3IDNumber,1823))</f>
        <v/>
      </c>
      <c r="G16835" s="51"/>
      <c r="H16835" s="46" t="str">
        <f>IF(AND(I.Developer.P3=TRUE,I.Facility.P3FacilityCount&gt;=1823,F16835=""),"Incomplete","Complete")</f>
        <v>Complete</v>
      </c>
      <c r="I16835" s="48" t="s">
        <v>21200</v>
      </c>
    </row>
    <row r="16836" spans="2:9" ht="15" customHeight="1" x14ac:dyDescent="0.25">
      <c r="B16836" s="55" t="s">
        <v>282</v>
      </c>
      <c r="C16836" s="46">
        <v>1824</v>
      </c>
      <c r="D16836" s="69" t="s">
        <v>29419</v>
      </c>
      <c r="E16836" s="51"/>
      <c r="F16836" s="114" t="str">
        <f>IF(INDEX(I.Facility.P3IDNumber,1824)="","",INDEX(I.Facility.P3IDNumber,1824))</f>
        <v/>
      </c>
      <c r="G16836" s="51"/>
      <c r="H16836" s="46" t="str">
        <f>IF(AND(I.Developer.P3=TRUE,I.Facility.P3FacilityCount&gt;=1824,F16836=""),"Incomplete","Complete")</f>
        <v>Complete</v>
      </c>
      <c r="I16836" s="48" t="s">
        <v>21201</v>
      </c>
    </row>
    <row r="16837" spans="2:9" ht="15" customHeight="1" x14ac:dyDescent="0.25">
      <c r="B16837" s="55" t="s">
        <v>282</v>
      </c>
      <c r="C16837" s="46">
        <v>1825</v>
      </c>
      <c r="D16837" s="69" t="s">
        <v>29419</v>
      </c>
      <c r="E16837" s="51"/>
      <c r="F16837" s="114" t="str">
        <f>IF(INDEX(I.Facility.P3IDNumber,1825)="","",INDEX(I.Facility.P3IDNumber,1825))</f>
        <v/>
      </c>
      <c r="G16837" s="51"/>
      <c r="H16837" s="46" t="str">
        <f>IF(AND(I.Developer.P3=TRUE,I.Facility.P3FacilityCount&gt;=1825,F16837=""),"Incomplete","Complete")</f>
        <v>Complete</v>
      </c>
      <c r="I16837" s="48" t="s">
        <v>21202</v>
      </c>
    </row>
    <row r="16838" spans="2:9" ht="15" customHeight="1" x14ac:dyDescent="0.25">
      <c r="B16838" s="55" t="s">
        <v>282</v>
      </c>
      <c r="C16838" s="46">
        <v>1826</v>
      </c>
      <c r="D16838" s="69" t="s">
        <v>29419</v>
      </c>
      <c r="E16838" s="51"/>
      <c r="F16838" s="114" t="str">
        <f>IF(INDEX(I.Facility.P3IDNumber,1826)="","",INDEX(I.Facility.P3IDNumber,1826))</f>
        <v/>
      </c>
      <c r="G16838" s="51"/>
      <c r="H16838" s="46" t="str">
        <f>IF(AND(I.Developer.P3=TRUE,I.Facility.P3FacilityCount&gt;=1826,F16838=""),"Incomplete","Complete")</f>
        <v>Complete</v>
      </c>
      <c r="I16838" s="48" t="s">
        <v>21203</v>
      </c>
    </row>
    <row r="16839" spans="2:9" ht="15" customHeight="1" x14ac:dyDescent="0.25">
      <c r="B16839" s="55" t="s">
        <v>282</v>
      </c>
      <c r="C16839" s="46">
        <v>1827</v>
      </c>
      <c r="D16839" s="69" t="s">
        <v>29419</v>
      </c>
      <c r="E16839" s="51"/>
      <c r="F16839" s="114" t="str">
        <f>IF(INDEX(I.Facility.P3IDNumber,1827)="","",INDEX(I.Facility.P3IDNumber,1827))</f>
        <v/>
      </c>
      <c r="G16839" s="51"/>
      <c r="H16839" s="46" t="str">
        <f>IF(AND(I.Developer.P3=TRUE,I.Facility.P3FacilityCount&gt;=1827,F16839=""),"Incomplete","Complete")</f>
        <v>Complete</v>
      </c>
      <c r="I16839" s="48" t="s">
        <v>21204</v>
      </c>
    </row>
    <row r="16840" spans="2:9" ht="15" customHeight="1" x14ac:dyDescent="0.25">
      <c r="B16840" s="55" t="s">
        <v>282</v>
      </c>
      <c r="C16840" s="46">
        <v>1828</v>
      </c>
      <c r="D16840" s="69" t="s">
        <v>29419</v>
      </c>
      <c r="E16840" s="51"/>
      <c r="F16840" s="114" t="str">
        <f>IF(INDEX(I.Facility.P3IDNumber,1828)="","",INDEX(I.Facility.P3IDNumber,1828))</f>
        <v/>
      </c>
      <c r="G16840" s="51"/>
      <c r="H16840" s="46" t="str">
        <f>IF(AND(I.Developer.P3=TRUE,I.Facility.P3FacilityCount&gt;=1828,F16840=""),"Incomplete","Complete")</f>
        <v>Complete</v>
      </c>
      <c r="I16840" s="48" t="s">
        <v>21205</v>
      </c>
    </row>
    <row r="16841" spans="2:9" ht="15" customHeight="1" x14ac:dyDescent="0.25">
      <c r="B16841" s="55" t="s">
        <v>282</v>
      </c>
      <c r="C16841" s="46">
        <v>1829</v>
      </c>
      <c r="D16841" s="69" t="s">
        <v>29419</v>
      </c>
      <c r="E16841" s="51"/>
      <c r="F16841" s="114" t="str">
        <f>IF(INDEX(I.Facility.P3IDNumber,1829)="","",INDEX(I.Facility.P3IDNumber,1829))</f>
        <v/>
      </c>
      <c r="G16841" s="51"/>
      <c r="H16841" s="46" t="str">
        <f>IF(AND(I.Developer.P3=TRUE,I.Facility.P3FacilityCount&gt;=1829,F16841=""),"Incomplete","Complete")</f>
        <v>Complete</v>
      </c>
      <c r="I16841" s="48" t="s">
        <v>21206</v>
      </c>
    </row>
    <row r="16842" spans="2:9" ht="15" customHeight="1" x14ac:dyDescent="0.25">
      <c r="B16842" s="55" t="s">
        <v>282</v>
      </c>
      <c r="C16842" s="46">
        <v>1830</v>
      </c>
      <c r="D16842" s="69" t="s">
        <v>29419</v>
      </c>
      <c r="E16842" s="51"/>
      <c r="F16842" s="114" t="str">
        <f>IF(INDEX(I.Facility.P3IDNumber,1830)="","",INDEX(I.Facility.P3IDNumber,1830))</f>
        <v/>
      </c>
      <c r="G16842" s="51"/>
      <c r="H16842" s="46" t="str">
        <f>IF(AND(I.Developer.P3=TRUE,I.Facility.P3FacilityCount&gt;=1830,F16842=""),"Incomplete","Complete")</f>
        <v>Complete</v>
      </c>
      <c r="I16842" s="48" t="s">
        <v>21207</v>
      </c>
    </row>
    <row r="16843" spans="2:9" ht="15" customHeight="1" x14ac:dyDescent="0.25">
      <c r="B16843" s="55" t="s">
        <v>282</v>
      </c>
      <c r="C16843" s="46">
        <v>1831</v>
      </c>
      <c r="D16843" s="69" t="s">
        <v>29419</v>
      </c>
      <c r="E16843" s="51"/>
      <c r="F16843" s="114" t="str">
        <f>IF(INDEX(I.Facility.P3IDNumber,1831)="","",INDEX(I.Facility.P3IDNumber,1831))</f>
        <v/>
      </c>
      <c r="G16843" s="51"/>
      <c r="H16843" s="46" t="str">
        <f>IF(AND(I.Developer.P3=TRUE,I.Facility.P3FacilityCount&gt;=1831,F16843=""),"Incomplete","Complete")</f>
        <v>Complete</v>
      </c>
      <c r="I16843" s="48" t="s">
        <v>21208</v>
      </c>
    </row>
    <row r="16844" spans="2:9" ht="15" customHeight="1" x14ac:dyDescent="0.25">
      <c r="B16844" s="55" t="s">
        <v>282</v>
      </c>
      <c r="C16844" s="46">
        <v>1832</v>
      </c>
      <c r="D16844" s="69" t="s">
        <v>29419</v>
      </c>
      <c r="E16844" s="51"/>
      <c r="F16844" s="114" t="str">
        <f>IF(INDEX(I.Facility.P3IDNumber,1832)="","",INDEX(I.Facility.P3IDNumber,1832))</f>
        <v/>
      </c>
      <c r="G16844" s="51"/>
      <c r="H16844" s="46" t="str">
        <f>IF(AND(I.Developer.P3=TRUE,I.Facility.P3FacilityCount&gt;=1832,F16844=""),"Incomplete","Complete")</f>
        <v>Complete</v>
      </c>
      <c r="I16844" s="48" t="s">
        <v>21209</v>
      </c>
    </row>
    <row r="16845" spans="2:9" ht="15" customHeight="1" x14ac:dyDescent="0.25">
      <c r="B16845" s="55" t="s">
        <v>282</v>
      </c>
      <c r="C16845" s="46">
        <v>1833</v>
      </c>
      <c r="D16845" s="69" t="s">
        <v>29419</v>
      </c>
      <c r="E16845" s="51"/>
      <c r="F16845" s="114" t="str">
        <f>IF(INDEX(I.Facility.P3IDNumber,1833)="","",INDEX(I.Facility.P3IDNumber,1833))</f>
        <v/>
      </c>
      <c r="G16845" s="51"/>
      <c r="H16845" s="46" t="str">
        <f>IF(AND(I.Developer.P3=TRUE,I.Facility.P3FacilityCount&gt;=1833,F16845=""),"Incomplete","Complete")</f>
        <v>Complete</v>
      </c>
      <c r="I16845" s="48" t="s">
        <v>21210</v>
      </c>
    </row>
    <row r="16846" spans="2:9" ht="15" customHeight="1" x14ac:dyDescent="0.25">
      <c r="B16846" s="55" t="s">
        <v>282</v>
      </c>
      <c r="C16846" s="46">
        <v>1834</v>
      </c>
      <c r="D16846" s="69" t="s">
        <v>29419</v>
      </c>
      <c r="E16846" s="51"/>
      <c r="F16846" s="114" t="str">
        <f>IF(INDEX(I.Facility.P3IDNumber,1834)="","",INDEX(I.Facility.P3IDNumber,1834))</f>
        <v/>
      </c>
      <c r="G16846" s="51"/>
      <c r="H16846" s="46" t="str">
        <f>IF(AND(I.Developer.P3=TRUE,I.Facility.P3FacilityCount&gt;=1834,F16846=""),"Incomplete","Complete")</f>
        <v>Complete</v>
      </c>
      <c r="I16846" s="48" t="s">
        <v>21211</v>
      </c>
    </row>
    <row r="16847" spans="2:9" ht="15" customHeight="1" x14ac:dyDescent="0.25">
      <c r="B16847" s="55" t="s">
        <v>282</v>
      </c>
      <c r="C16847" s="46">
        <v>1835</v>
      </c>
      <c r="D16847" s="69" t="s">
        <v>29419</v>
      </c>
      <c r="E16847" s="51"/>
      <c r="F16847" s="114" t="str">
        <f>IF(INDEX(I.Facility.P3IDNumber,1835)="","",INDEX(I.Facility.P3IDNumber,1835))</f>
        <v/>
      </c>
      <c r="G16847" s="51"/>
      <c r="H16847" s="46" t="str">
        <f>IF(AND(I.Developer.P3=TRUE,I.Facility.P3FacilityCount&gt;=1835,F16847=""),"Incomplete","Complete")</f>
        <v>Complete</v>
      </c>
      <c r="I16847" s="48" t="s">
        <v>21212</v>
      </c>
    </row>
    <row r="16848" spans="2:9" ht="15" customHeight="1" x14ac:dyDescent="0.25">
      <c r="B16848" s="55" t="s">
        <v>282</v>
      </c>
      <c r="C16848" s="46">
        <v>1836</v>
      </c>
      <c r="D16848" s="69" t="s">
        <v>29419</v>
      </c>
      <c r="E16848" s="51"/>
      <c r="F16848" s="114" t="str">
        <f>IF(INDEX(I.Facility.P3IDNumber,1836)="","",INDEX(I.Facility.P3IDNumber,1836))</f>
        <v/>
      </c>
      <c r="G16848" s="51"/>
      <c r="H16848" s="46" t="str">
        <f>IF(AND(I.Developer.P3=TRUE,I.Facility.P3FacilityCount&gt;=1836,F16848=""),"Incomplete","Complete")</f>
        <v>Complete</v>
      </c>
      <c r="I16848" s="48" t="s">
        <v>21213</v>
      </c>
    </row>
    <row r="16849" spans="2:9" ht="15" customHeight="1" x14ac:dyDescent="0.25">
      <c r="B16849" s="55" t="s">
        <v>282</v>
      </c>
      <c r="C16849" s="46">
        <v>1837</v>
      </c>
      <c r="D16849" s="69" t="s">
        <v>29419</v>
      </c>
      <c r="E16849" s="51"/>
      <c r="F16849" s="114" t="str">
        <f>IF(INDEX(I.Facility.P3IDNumber,1837)="","",INDEX(I.Facility.P3IDNumber,1837))</f>
        <v/>
      </c>
      <c r="G16849" s="51"/>
      <c r="H16849" s="46" t="str">
        <f>IF(AND(I.Developer.P3=TRUE,I.Facility.P3FacilityCount&gt;=1837,F16849=""),"Incomplete","Complete")</f>
        <v>Complete</v>
      </c>
      <c r="I16849" s="48" t="s">
        <v>21214</v>
      </c>
    </row>
    <row r="16850" spans="2:9" ht="15" customHeight="1" x14ac:dyDescent="0.25">
      <c r="B16850" s="55" t="s">
        <v>282</v>
      </c>
      <c r="C16850" s="46">
        <v>1838</v>
      </c>
      <c r="D16850" s="69" t="s">
        <v>29419</v>
      </c>
      <c r="E16850" s="51"/>
      <c r="F16850" s="114" t="str">
        <f>IF(INDEX(I.Facility.P3IDNumber,1838)="","",INDEX(I.Facility.P3IDNumber,1838))</f>
        <v/>
      </c>
      <c r="G16850" s="51"/>
      <c r="H16850" s="46" t="str">
        <f>IF(AND(I.Developer.P3=TRUE,I.Facility.P3FacilityCount&gt;=1838,F16850=""),"Incomplete","Complete")</f>
        <v>Complete</v>
      </c>
      <c r="I16850" s="48" t="s">
        <v>21215</v>
      </c>
    </row>
    <row r="16851" spans="2:9" ht="15" customHeight="1" x14ac:dyDescent="0.25">
      <c r="B16851" s="55" t="s">
        <v>282</v>
      </c>
      <c r="C16851" s="46">
        <v>1839</v>
      </c>
      <c r="D16851" s="69" t="s">
        <v>29419</v>
      </c>
      <c r="E16851" s="51"/>
      <c r="F16851" s="114" t="str">
        <f>IF(INDEX(I.Facility.P3IDNumber,1839)="","",INDEX(I.Facility.P3IDNumber,1839))</f>
        <v/>
      </c>
      <c r="G16851" s="51"/>
      <c r="H16851" s="46" t="str">
        <f>IF(AND(I.Developer.P3=TRUE,I.Facility.P3FacilityCount&gt;=1839,F16851=""),"Incomplete","Complete")</f>
        <v>Complete</v>
      </c>
      <c r="I16851" s="48" t="s">
        <v>21216</v>
      </c>
    </row>
    <row r="16852" spans="2:9" ht="15" customHeight="1" x14ac:dyDescent="0.25">
      <c r="B16852" s="55" t="s">
        <v>282</v>
      </c>
      <c r="C16852" s="46">
        <v>1840</v>
      </c>
      <c r="D16852" s="69" t="s">
        <v>29419</v>
      </c>
      <c r="E16852" s="51"/>
      <c r="F16852" s="114" t="str">
        <f>IF(INDEX(I.Facility.P3IDNumber,1840)="","",INDEX(I.Facility.P3IDNumber,1840))</f>
        <v/>
      </c>
      <c r="G16852" s="51"/>
      <c r="H16852" s="46" t="str">
        <f>IF(AND(I.Developer.P3=TRUE,I.Facility.P3FacilityCount&gt;=1840,F16852=""),"Incomplete","Complete")</f>
        <v>Complete</v>
      </c>
      <c r="I16852" s="48" t="s">
        <v>21217</v>
      </c>
    </row>
    <row r="16853" spans="2:9" ht="15" customHeight="1" x14ac:dyDescent="0.25">
      <c r="B16853" s="55" t="s">
        <v>282</v>
      </c>
      <c r="C16853" s="46">
        <v>1841</v>
      </c>
      <c r="D16853" s="69" t="s">
        <v>29419</v>
      </c>
      <c r="E16853" s="51"/>
      <c r="F16853" s="114" t="str">
        <f>IF(INDEX(I.Facility.P3IDNumber,1841)="","",INDEX(I.Facility.P3IDNumber,1841))</f>
        <v/>
      </c>
      <c r="G16853" s="51"/>
      <c r="H16853" s="46" t="str">
        <f>IF(AND(I.Developer.P3=TRUE,I.Facility.P3FacilityCount&gt;=1841,F16853=""),"Incomplete","Complete")</f>
        <v>Complete</v>
      </c>
      <c r="I16853" s="48" t="s">
        <v>21218</v>
      </c>
    </row>
    <row r="16854" spans="2:9" ht="15" customHeight="1" x14ac:dyDescent="0.25">
      <c r="B16854" s="55" t="s">
        <v>282</v>
      </c>
      <c r="C16854" s="46">
        <v>1842</v>
      </c>
      <c r="D16854" s="69" t="s">
        <v>29419</v>
      </c>
      <c r="E16854" s="51"/>
      <c r="F16854" s="114" t="str">
        <f>IF(INDEX(I.Facility.P3IDNumber,1842)="","",INDEX(I.Facility.P3IDNumber,1842))</f>
        <v/>
      </c>
      <c r="G16854" s="51"/>
      <c r="H16854" s="46" t="str">
        <f>IF(AND(I.Developer.P3=TRUE,I.Facility.P3FacilityCount&gt;=1842,F16854=""),"Incomplete","Complete")</f>
        <v>Complete</v>
      </c>
      <c r="I16854" s="48" t="s">
        <v>21219</v>
      </c>
    </row>
    <row r="16855" spans="2:9" ht="15" customHeight="1" x14ac:dyDescent="0.25">
      <c r="B16855" s="55" t="s">
        <v>282</v>
      </c>
      <c r="C16855" s="46">
        <v>1843</v>
      </c>
      <c r="D16855" s="69" t="s">
        <v>29419</v>
      </c>
      <c r="E16855" s="51"/>
      <c r="F16855" s="114" t="str">
        <f>IF(INDEX(I.Facility.P3IDNumber,1843)="","",INDEX(I.Facility.P3IDNumber,1843))</f>
        <v/>
      </c>
      <c r="G16855" s="51"/>
      <c r="H16855" s="46" t="str">
        <f>IF(AND(I.Developer.P3=TRUE,I.Facility.P3FacilityCount&gt;=1843,F16855=""),"Incomplete","Complete")</f>
        <v>Complete</v>
      </c>
      <c r="I16855" s="48" t="s">
        <v>21220</v>
      </c>
    </row>
    <row r="16856" spans="2:9" ht="15" customHeight="1" x14ac:dyDescent="0.25">
      <c r="B16856" s="55" t="s">
        <v>282</v>
      </c>
      <c r="C16856" s="46">
        <v>1844</v>
      </c>
      <c r="D16856" s="69" t="s">
        <v>29419</v>
      </c>
      <c r="E16856" s="51"/>
      <c r="F16856" s="114" t="str">
        <f>IF(INDEX(I.Facility.P3IDNumber,1844)="","",INDEX(I.Facility.P3IDNumber,1844))</f>
        <v/>
      </c>
      <c r="G16856" s="51"/>
      <c r="H16856" s="46" t="str">
        <f>IF(AND(I.Developer.P3=TRUE,I.Facility.P3FacilityCount&gt;=1844,F16856=""),"Incomplete","Complete")</f>
        <v>Complete</v>
      </c>
      <c r="I16856" s="48" t="s">
        <v>21221</v>
      </c>
    </row>
    <row r="16857" spans="2:9" ht="15" customHeight="1" x14ac:dyDescent="0.25">
      <c r="B16857" s="55" t="s">
        <v>282</v>
      </c>
      <c r="C16857" s="46">
        <v>1845</v>
      </c>
      <c r="D16857" s="69" t="s">
        <v>29419</v>
      </c>
      <c r="E16857" s="51"/>
      <c r="F16857" s="114" t="str">
        <f>IF(INDEX(I.Facility.P3IDNumber,1845)="","",INDEX(I.Facility.P3IDNumber,1845))</f>
        <v/>
      </c>
      <c r="G16857" s="51"/>
      <c r="H16857" s="46" t="str">
        <f>IF(AND(I.Developer.P3=TRUE,I.Facility.P3FacilityCount&gt;=1845,F16857=""),"Incomplete","Complete")</f>
        <v>Complete</v>
      </c>
      <c r="I16857" s="48" t="s">
        <v>21222</v>
      </c>
    </row>
    <row r="16858" spans="2:9" ht="15" customHeight="1" x14ac:dyDescent="0.25">
      <c r="B16858" s="55" t="s">
        <v>282</v>
      </c>
      <c r="C16858" s="46">
        <v>1846</v>
      </c>
      <c r="D16858" s="69" t="s">
        <v>29419</v>
      </c>
      <c r="E16858" s="51"/>
      <c r="F16858" s="114" t="str">
        <f>IF(INDEX(I.Facility.P3IDNumber,1846)="","",INDEX(I.Facility.P3IDNumber,1846))</f>
        <v/>
      </c>
      <c r="G16858" s="51"/>
      <c r="H16858" s="46" t="str">
        <f>IF(AND(I.Developer.P3=TRUE,I.Facility.P3FacilityCount&gt;=1846,F16858=""),"Incomplete","Complete")</f>
        <v>Complete</v>
      </c>
      <c r="I16858" s="48" t="s">
        <v>21223</v>
      </c>
    </row>
    <row r="16859" spans="2:9" ht="15" customHeight="1" x14ac:dyDescent="0.25">
      <c r="B16859" s="55" t="s">
        <v>282</v>
      </c>
      <c r="C16859" s="46">
        <v>1847</v>
      </c>
      <c r="D16859" s="69" t="s">
        <v>29419</v>
      </c>
      <c r="E16859" s="51"/>
      <c r="F16859" s="114" t="str">
        <f>IF(INDEX(I.Facility.P3IDNumber,1847)="","",INDEX(I.Facility.P3IDNumber,1847))</f>
        <v/>
      </c>
      <c r="G16859" s="51"/>
      <c r="H16859" s="46" t="str">
        <f>IF(AND(I.Developer.P3=TRUE,I.Facility.P3FacilityCount&gt;=1847,F16859=""),"Incomplete","Complete")</f>
        <v>Complete</v>
      </c>
      <c r="I16859" s="48" t="s">
        <v>21224</v>
      </c>
    </row>
    <row r="16860" spans="2:9" ht="15" customHeight="1" x14ac:dyDescent="0.25">
      <c r="B16860" s="55" t="s">
        <v>282</v>
      </c>
      <c r="C16860" s="46">
        <v>1848</v>
      </c>
      <c r="D16860" s="69" t="s">
        <v>29419</v>
      </c>
      <c r="E16860" s="51"/>
      <c r="F16860" s="114" t="str">
        <f>IF(INDEX(I.Facility.P3IDNumber,1848)="","",INDEX(I.Facility.P3IDNumber,1848))</f>
        <v/>
      </c>
      <c r="G16860" s="51"/>
      <c r="H16860" s="46" t="str">
        <f>IF(AND(I.Developer.P3=TRUE,I.Facility.P3FacilityCount&gt;=1848,F16860=""),"Incomplete","Complete")</f>
        <v>Complete</v>
      </c>
      <c r="I16860" s="48" t="s">
        <v>21225</v>
      </c>
    </row>
    <row r="16861" spans="2:9" ht="15" customHeight="1" x14ac:dyDescent="0.25">
      <c r="B16861" s="55" t="s">
        <v>282</v>
      </c>
      <c r="C16861" s="46">
        <v>1849</v>
      </c>
      <c r="D16861" s="69" t="s">
        <v>29419</v>
      </c>
      <c r="E16861" s="51"/>
      <c r="F16861" s="114" t="str">
        <f>IF(INDEX(I.Facility.P3IDNumber,1849)="","",INDEX(I.Facility.P3IDNumber,1849))</f>
        <v/>
      </c>
      <c r="G16861" s="51"/>
      <c r="H16861" s="46" t="str">
        <f>IF(AND(I.Developer.P3=TRUE,I.Facility.P3FacilityCount&gt;=1849,F16861=""),"Incomplete","Complete")</f>
        <v>Complete</v>
      </c>
      <c r="I16861" s="48" t="s">
        <v>21226</v>
      </c>
    </row>
    <row r="16862" spans="2:9" ht="15" customHeight="1" x14ac:dyDescent="0.25">
      <c r="B16862" s="55" t="s">
        <v>282</v>
      </c>
      <c r="C16862" s="46">
        <v>1850</v>
      </c>
      <c r="D16862" s="69" t="s">
        <v>29419</v>
      </c>
      <c r="E16862" s="51"/>
      <c r="F16862" s="114" t="str">
        <f>IF(INDEX(I.Facility.P3IDNumber,1850)="","",INDEX(I.Facility.P3IDNumber,1850))</f>
        <v/>
      </c>
      <c r="G16862" s="51"/>
      <c r="H16862" s="46" t="str">
        <f>IF(AND(I.Developer.P3=TRUE,I.Facility.P3FacilityCount&gt;=1850,F16862=""),"Incomplete","Complete")</f>
        <v>Complete</v>
      </c>
      <c r="I16862" s="48" t="s">
        <v>21227</v>
      </c>
    </row>
    <row r="16863" spans="2:9" ht="15" customHeight="1" x14ac:dyDescent="0.25">
      <c r="B16863" s="55" t="s">
        <v>282</v>
      </c>
      <c r="C16863" s="46">
        <v>1851</v>
      </c>
      <c r="D16863" s="69" t="s">
        <v>29419</v>
      </c>
      <c r="E16863" s="51"/>
      <c r="F16863" s="114" t="str">
        <f>IF(INDEX(I.Facility.P3IDNumber,1851)="","",INDEX(I.Facility.P3IDNumber,1851))</f>
        <v/>
      </c>
      <c r="G16863" s="51"/>
      <c r="H16863" s="46" t="str">
        <f>IF(AND(I.Developer.P3=TRUE,I.Facility.P3FacilityCount&gt;=1851,F16863=""),"Incomplete","Complete")</f>
        <v>Complete</v>
      </c>
      <c r="I16863" s="48" t="s">
        <v>21228</v>
      </c>
    </row>
    <row r="16864" spans="2:9" ht="15" customHeight="1" x14ac:dyDescent="0.25">
      <c r="B16864" s="55" t="s">
        <v>282</v>
      </c>
      <c r="C16864" s="46">
        <v>1852</v>
      </c>
      <c r="D16864" s="69" t="s">
        <v>29419</v>
      </c>
      <c r="E16864" s="51"/>
      <c r="F16864" s="114" t="str">
        <f>IF(INDEX(I.Facility.P3IDNumber,1852)="","",INDEX(I.Facility.P3IDNumber,1852))</f>
        <v/>
      </c>
      <c r="G16864" s="51"/>
      <c r="H16864" s="46" t="str">
        <f>IF(AND(I.Developer.P3=TRUE,I.Facility.P3FacilityCount&gt;=1852,F16864=""),"Incomplete","Complete")</f>
        <v>Complete</v>
      </c>
      <c r="I16864" s="48" t="s">
        <v>21229</v>
      </c>
    </row>
    <row r="16865" spans="2:9" ht="15" customHeight="1" x14ac:dyDescent="0.25">
      <c r="B16865" s="55" t="s">
        <v>282</v>
      </c>
      <c r="C16865" s="46">
        <v>1853</v>
      </c>
      <c r="D16865" s="69" t="s">
        <v>29419</v>
      </c>
      <c r="E16865" s="51"/>
      <c r="F16865" s="114" t="str">
        <f>IF(INDEX(I.Facility.P3IDNumber,1853)="","",INDEX(I.Facility.P3IDNumber,1853))</f>
        <v/>
      </c>
      <c r="G16865" s="51"/>
      <c r="H16865" s="46" t="str">
        <f>IF(AND(I.Developer.P3=TRUE,I.Facility.P3FacilityCount&gt;=1853,F16865=""),"Incomplete","Complete")</f>
        <v>Complete</v>
      </c>
      <c r="I16865" s="48" t="s">
        <v>21230</v>
      </c>
    </row>
    <row r="16866" spans="2:9" ht="15" customHeight="1" x14ac:dyDescent="0.25">
      <c r="B16866" s="55" t="s">
        <v>282</v>
      </c>
      <c r="C16866" s="46">
        <v>1854</v>
      </c>
      <c r="D16866" s="69" t="s">
        <v>29419</v>
      </c>
      <c r="E16866" s="51"/>
      <c r="F16866" s="114" t="str">
        <f>IF(INDEX(I.Facility.P3IDNumber,1854)="","",INDEX(I.Facility.P3IDNumber,1854))</f>
        <v/>
      </c>
      <c r="G16866" s="51"/>
      <c r="H16866" s="46" t="str">
        <f>IF(AND(I.Developer.P3=TRUE,I.Facility.P3FacilityCount&gt;=1854,F16866=""),"Incomplete","Complete")</f>
        <v>Complete</v>
      </c>
      <c r="I16866" s="48" t="s">
        <v>21231</v>
      </c>
    </row>
    <row r="16867" spans="2:9" ht="15" customHeight="1" x14ac:dyDescent="0.25">
      <c r="B16867" s="55" t="s">
        <v>282</v>
      </c>
      <c r="C16867" s="46">
        <v>1855</v>
      </c>
      <c r="D16867" s="69" t="s">
        <v>29419</v>
      </c>
      <c r="E16867" s="51"/>
      <c r="F16867" s="114" t="str">
        <f>IF(INDEX(I.Facility.P3IDNumber,1855)="","",INDEX(I.Facility.P3IDNumber,1855))</f>
        <v/>
      </c>
      <c r="G16867" s="51"/>
      <c r="H16867" s="46" t="str">
        <f>IF(AND(I.Developer.P3=TRUE,I.Facility.P3FacilityCount&gt;=1855,F16867=""),"Incomplete","Complete")</f>
        <v>Complete</v>
      </c>
      <c r="I16867" s="48" t="s">
        <v>21232</v>
      </c>
    </row>
    <row r="16868" spans="2:9" ht="15" customHeight="1" x14ac:dyDescent="0.25">
      <c r="B16868" s="55" t="s">
        <v>282</v>
      </c>
      <c r="C16868" s="46">
        <v>1856</v>
      </c>
      <c r="D16868" s="69" t="s">
        <v>29419</v>
      </c>
      <c r="E16868" s="51"/>
      <c r="F16868" s="114" t="str">
        <f>IF(INDEX(I.Facility.P3IDNumber,1856)="","",INDEX(I.Facility.P3IDNumber,1856))</f>
        <v/>
      </c>
      <c r="G16868" s="51"/>
      <c r="H16868" s="46" t="str">
        <f>IF(AND(I.Developer.P3=TRUE,I.Facility.P3FacilityCount&gt;=1856,F16868=""),"Incomplete","Complete")</f>
        <v>Complete</v>
      </c>
      <c r="I16868" s="48" t="s">
        <v>21233</v>
      </c>
    </row>
    <row r="16869" spans="2:9" ht="15" customHeight="1" x14ac:dyDescent="0.25">
      <c r="B16869" s="55" t="s">
        <v>282</v>
      </c>
      <c r="C16869" s="46">
        <v>1857</v>
      </c>
      <c r="D16869" s="69" t="s">
        <v>29419</v>
      </c>
      <c r="E16869" s="51"/>
      <c r="F16869" s="114" t="str">
        <f>IF(INDEX(I.Facility.P3IDNumber,1857)="","",INDEX(I.Facility.P3IDNumber,1857))</f>
        <v/>
      </c>
      <c r="G16869" s="51"/>
      <c r="H16869" s="46" t="str">
        <f>IF(AND(I.Developer.P3=TRUE,I.Facility.P3FacilityCount&gt;=1857,F16869=""),"Incomplete","Complete")</f>
        <v>Complete</v>
      </c>
      <c r="I16869" s="48" t="s">
        <v>21234</v>
      </c>
    </row>
    <row r="16870" spans="2:9" ht="15" customHeight="1" x14ac:dyDescent="0.25">
      <c r="B16870" s="55" t="s">
        <v>282</v>
      </c>
      <c r="C16870" s="46">
        <v>1858</v>
      </c>
      <c r="D16870" s="69" t="s">
        <v>29419</v>
      </c>
      <c r="E16870" s="51"/>
      <c r="F16870" s="114" t="str">
        <f>IF(INDEX(I.Facility.P3IDNumber,1858)="","",INDEX(I.Facility.P3IDNumber,1858))</f>
        <v/>
      </c>
      <c r="G16870" s="51"/>
      <c r="H16870" s="46" t="str">
        <f>IF(AND(I.Developer.P3=TRUE,I.Facility.P3FacilityCount&gt;=1858,F16870=""),"Incomplete","Complete")</f>
        <v>Complete</v>
      </c>
      <c r="I16870" s="48" t="s">
        <v>21235</v>
      </c>
    </row>
    <row r="16871" spans="2:9" ht="15" customHeight="1" x14ac:dyDescent="0.25">
      <c r="B16871" s="55" t="s">
        <v>282</v>
      </c>
      <c r="C16871" s="46">
        <v>1859</v>
      </c>
      <c r="D16871" s="69" t="s">
        <v>29419</v>
      </c>
      <c r="E16871" s="51"/>
      <c r="F16871" s="114" t="str">
        <f>IF(INDEX(I.Facility.P3IDNumber,1859)="","",INDEX(I.Facility.P3IDNumber,1859))</f>
        <v/>
      </c>
      <c r="G16871" s="51"/>
      <c r="H16871" s="46" t="str">
        <f>IF(AND(I.Developer.P3=TRUE,I.Facility.P3FacilityCount&gt;=1859,F16871=""),"Incomplete","Complete")</f>
        <v>Complete</v>
      </c>
      <c r="I16871" s="48" t="s">
        <v>21236</v>
      </c>
    </row>
    <row r="16872" spans="2:9" ht="15" customHeight="1" x14ac:dyDescent="0.25">
      <c r="B16872" s="55" t="s">
        <v>282</v>
      </c>
      <c r="C16872" s="46">
        <v>1860</v>
      </c>
      <c r="D16872" s="69" t="s">
        <v>29419</v>
      </c>
      <c r="E16872" s="51"/>
      <c r="F16872" s="114" t="str">
        <f>IF(INDEX(I.Facility.P3IDNumber,1860)="","",INDEX(I.Facility.P3IDNumber,1860))</f>
        <v/>
      </c>
      <c r="G16872" s="51"/>
      <c r="H16872" s="46" t="str">
        <f>IF(AND(I.Developer.P3=TRUE,I.Facility.P3FacilityCount&gt;=1860,F16872=""),"Incomplete","Complete")</f>
        <v>Complete</v>
      </c>
      <c r="I16872" s="48" t="s">
        <v>21237</v>
      </c>
    </row>
    <row r="16873" spans="2:9" ht="15" customHeight="1" x14ac:dyDescent="0.25">
      <c r="B16873" s="55" t="s">
        <v>282</v>
      </c>
      <c r="C16873" s="46">
        <v>1861</v>
      </c>
      <c r="D16873" s="69" t="s">
        <v>29419</v>
      </c>
      <c r="E16873" s="51"/>
      <c r="F16873" s="114" t="str">
        <f>IF(INDEX(I.Facility.P3IDNumber,1861)="","",INDEX(I.Facility.P3IDNumber,1861))</f>
        <v/>
      </c>
      <c r="G16873" s="51"/>
      <c r="H16873" s="46" t="str">
        <f>IF(AND(I.Developer.P3=TRUE,I.Facility.P3FacilityCount&gt;=1861,F16873=""),"Incomplete","Complete")</f>
        <v>Complete</v>
      </c>
      <c r="I16873" s="48" t="s">
        <v>21238</v>
      </c>
    </row>
    <row r="16874" spans="2:9" ht="15" customHeight="1" x14ac:dyDescent="0.25">
      <c r="B16874" s="55" t="s">
        <v>282</v>
      </c>
      <c r="C16874" s="46">
        <v>1862</v>
      </c>
      <c r="D16874" s="69" t="s">
        <v>29419</v>
      </c>
      <c r="E16874" s="51"/>
      <c r="F16874" s="114" t="str">
        <f>IF(INDEX(I.Facility.P3IDNumber,1862)="","",INDEX(I.Facility.P3IDNumber,1862))</f>
        <v/>
      </c>
      <c r="G16874" s="51"/>
      <c r="H16874" s="46" t="str">
        <f>IF(AND(I.Developer.P3=TRUE,I.Facility.P3FacilityCount&gt;=1862,F16874=""),"Incomplete","Complete")</f>
        <v>Complete</v>
      </c>
      <c r="I16874" s="48" t="s">
        <v>21239</v>
      </c>
    </row>
    <row r="16875" spans="2:9" ht="15" customHeight="1" x14ac:dyDescent="0.25">
      <c r="B16875" s="55" t="s">
        <v>282</v>
      </c>
      <c r="C16875" s="46">
        <v>1863</v>
      </c>
      <c r="D16875" s="69" t="s">
        <v>29419</v>
      </c>
      <c r="E16875" s="51"/>
      <c r="F16875" s="114" t="str">
        <f>IF(INDEX(I.Facility.P3IDNumber,1863)="","",INDEX(I.Facility.P3IDNumber,1863))</f>
        <v/>
      </c>
      <c r="G16875" s="51"/>
      <c r="H16875" s="46" t="str">
        <f>IF(AND(I.Developer.P3=TRUE,I.Facility.P3FacilityCount&gt;=1863,F16875=""),"Incomplete","Complete")</f>
        <v>Complete</v>
      </c>
      <c r="I16875" s="48" t="s">
        <v>21240</v>
      </c>
    </row>
    <row r="16876" spans="2:9" ht="15" customHeight="1" x14ac:dyDescent="0.25">
      <c r="B16876" s="55" t="s">
        <v>282</v>
      </c>
      <c r="C16876" s="46">
        <v>1864</v>
      </c>
      <c r="D16876" s="69" t="s">
        <v>29419</v>
      </c>
      <c r="E16876" s="51"/>
      <c r="F16876" s="114" t="str">
        <f>IF(INDEX(I.Facility.P3IDNumber,1864)="","",INDEX(I.Facility.P3IDNumber,1864))</f>
        <v/>
      </c>
      <c r="G16876" s="51"/>
      <c r="H16876" s="46" t="str">
        <f>IF(AND(I.Developer.P3=TRUE,I.Facility.P3FacilityCount&gt;=1864,F16876=""),"Incomplete","Complete")</f>
        <v>Complete</v>
      </c>
      <c r="I16876" s="48" t="s">
        <v>21241</v>
      </c>
    </row>
    <row r="16877" spans="2:9" ht="15" customHeight="1" x14ac:dyDescent="0.25">
      <c r="B16877" s="55" t="s">
        <v>282</v>
      </c>
      <c r="C16877" s="46">
        <v>1865</v>
      </c>
      <c r="D16877" s="69" t="s">
        <v>29419</v>
      </c>
      <c r="E16877" s="51"/>
      <c r="F16877" s="114" t="str">
        <f>IF(INDEX(I.Facility.P3IDNumber,1865)="","",INDEX(I.Facility.P3IDNumber,1865))</f>
        <v/>
      </c>
      <c r="G16877" s="51"/>
      <c r="H16877" s="46" t="str">
        <f>IF(AND(I.Developer.P3=TRUE,I.Facility.P3FacilityCount&gt;=1865,F16877=""),"Incomplete","Complete")</f>
        <v>Complete</v>
      </c>
      <c r="I16877" s="48" t="s">
        <v>21242</v>
      </c>
    </row>
    <row r="16878" spans="2:9" ht="15" customHeight="1" x14ac:dyDescent="0.25">
      <c r="B16878" s="55" t="s">
        <v>282</v>
      </c>
      <c r="C16878" s="46">
        <v>1866</v>
      </c>
      <c r="D16878" s="69" t="s">
        <v>29419</v>
      </c>
      <c r="E16878" s="51"/>
      <c r="F16878" s="114" t="str">
        <f>IF(INDEX(I.Facility.P3IDNumber,1866)="","",INDEX(I.Facility.P3IDNumber,1866))</f>
        <v/>
      </c>
      <c r="G16878" s="51"/>
      <c r="H16878" s="46" t="str">
        <f>IF(AND(I.Developer.P3=TRUE,I.Facility.P3FacilityCount&gt;=1866,F16878=""),"Incomplete","Complete")</f>
        <v>Complete</v>
      </c>
      <c r="I16878" s="48" t="s">
        <v>21243</v>
      </c>
    </row>
    <row r="16879" spans="2:9" ht="15" customHeight="1" x14ac:dyDescent="0.25">
      <c r="B16879" s="55" t="s">
        <v>282</v>
      </c>
      <c r="C16879" s="46">
        <v>1867</v>
      </c>
      <c r="D16879" s="69" t="s">
        <v>29419</v>
      </c>
      <c r="E16879" s="51"/>
      <c r="F16879" s="114" t="str">
        <f>IF(INDEX(I.Facility.P3IDNumber,1867)="","",INDEX(I.Facility.P3IDNumber,1867))</f>
        <v/>
      </c>
      <c r="G16879" s="51"/>
      <c r="H16879" s="46" t="str">
        <f>IF(AND(I.Developer.P3=TRUE,I.Facility.P3FacilityCount&gt;=1867,F16879=""),"Incomplete","Complete")</f>
        <v>Complete</v>
      </c>
      <c r="I16879" s="48" t="s">
        <v>21244</v>
      </c>
    </row>
    <row r="16880" spans="2:9" ht="15" customHeight="1" x14ac:dyDescent="0.25">
      <c r="B16880" s="55" t="s">
        <v>282</v>
      </c>
      <c r="C16880" s="46">
        <v>1868</v>
      </c>
      <c r="D16880" s="69" t="s">
        <v>29419</v>
      </c>
      <c r="E16880" s="51"/>
      <c r="F16880" s="114" t="str">
        <f>IF(INDEX(I.Facility.P3IDNumber,1868)="","",INDEX(I.Facility.P3IDNumber,1868))</f>
        <v/>
      </c>
      <c r="G16880" s="51"/>
      <c r="H16880" s="46" t="str">
        <f>IF(AND(I.Developer.P3=TRUE,I.Facility.P3FacilityCount&gt;=1868,F16880=""),"Incomplete","Complete")</f>
        <v>Complete</v>
      </c>
      <c r="I16880" s="48" t="s">
        <v>21245</v>
      </c>
    </row>
    <row r="16881" spans="2:9" ht="15" customHeight="1" x14ac:dyDescent="0.25">
      <c r="B16881" s="55" t="s">
        <v>282</v>
      </c>
      <c r="C16881" s="46">
        <v>1869</v>
      </c>
      <c r="D16881" s="69" t="s">
        <v>29419</v>
      </c>
      <c r="E16881" s="51"/>
      <c r="F16881" s="114" t="str">
        <f>IF(INDEX(I.Facility.P3IDNumber,1869)="","",INDEX(I.Facility.P3IDNumber,1869))</f>
        <v/>
      </c>
      <c r="G16881" s="51"/>
      <c r="H16881" s="46" t="str">
        <f>IF(AND(I.Developer.P3=TRUE,I.Facility.P3FacilityCount&gt;=1869,F16881=""),"Incomplete","Complete")</f>
        <v>Complete</v>
      </c>
      <c r="I16881" s="48" t="s">
        <v>21246</v>
      </c>
    </row>
    <row r="16882" spans="2:9" ht="15" customHeight="1" x14ac:dyDescent="0.25">
      <c r="B16882" s="55" t="s">
        <v>282</v>
      </c>
      <c r="C16882" s="46">
        <v>1870</v>
      </c>
      <c r="D16882" s="69" t="s">
        <v>29419</v>
      </c>
      <c r="E16882" s="51"/>
      <c r="F16882" s="114" t="str">
        <f>IF(INDEX(I.Facility.P3IDNumber,1870)="","",INDEX(I.Facility.P3IDNumber,1870))</f>
        <v/>
      </c>
      <c r="G16882" s="51"/>
      <c r="H16882" s="46" t="str">
        <f>IF(AND(I.Developer.P3=TRUE,I.Facility.P3FacilityCount&gt;=1870,F16882=""),"Incomplete","Complete")</f>
        <v>Complete</v>
      </c>
      <c r="I16882" s="48" t="s">
        <v>21247</v>
      </c>
    </row>
    <row r="16883" spans="2:9" ht="15" customHeight="1" x14ac:dyDescent="0.25">
      <c r="B16883" s="55" t="s">
        <v>282</v>
      </c>
      <c r="C16883" s="46">
        <v>1871</v>
      </c>
      <c r="D16883" s="69" t="s">
        <v>29419</v>
      </c>
      <c r="E16883" s="51"/>
      <c r="F16883" s="114" t="str">
        <f>IF(INDEX(I.Facility.P3IDNumber,1871)="","",INDEX(I.Facility.P3IDNumber,1871))</f>
        <v/>
      </c>
      <c r="G16883" s="51"/>
      <c r="H16883" s="46" t="str">
        <f>IF(AND(I.Developer.P3=TRUE,I.Facility.P3FacilityCount&gt;=1871,F16883=""),"Incomplete","Complete")</f>
        <v>Complete</v>
      </c>
      <c r="I16883" s="48" t="s">
        <v>21248</v>
      </c>
    </row>
    <row r="16884" spans="2:9" ht="15" customHeight="1" x14ac:dyDescent="0.25">
      <c r="B16884" s="55" t="s">
        <v>282</v>
      </c>
      <c r="C16884" s="46">
        <v>1872</v>
      </c>
      <c r="D16884" s="69" t="s">
        <v>29419</v>
      </c>
      <c r="E16884" s="51"/>
      <c r="F16884" s="114" t="str">
        <f>IF(INDEX(I.Facility.P3IDNumber,1872)="","",INDEX(I.Facility.P3IDNumber,1872))</f>
        <v/>
      </c>
      <c r="G16884" s="51"/>
      <c r="H16884" s="46" t="str">
        <f>IF(AND(I.Developer.P3=TRUE,I.Facility.P3FacilityCount&gt;=1872,F16884=""),"Incomplete","Complete")</f>
        <v>Complete</v>
      </c>
      <c r="I16884" s="48" t="s">
        <v>21249</v>
      </c>
    </row>
    <row r="16885" spans="2:9" ht="15" customHeight="1" x14ac:dyDescent="0.25">
      <c r="B16885" s="55" t="s">
        <v>282</v>
      </c>
      <c r="C16885" s="46">
        <v>1873</v>
      </c>
      <c r="D16885" s="69" t="s">
        <v>29419</v>
      </c>
      <c r="E16885" s="51"/>
      <c r="F16885" s="114" t="str">
        <f>IF(INDEX(I.Facility.P3IDNumber,1873)="","",INDEX(I.Facility.P3IDNumber,1873))</f>
        <v/>
      </c>
      <c r="G16885" s="51"/>
      <c r="H16885" s="46" t="str">
        <f>IF(AND(I.Developer.P3=TRUE,I.Facility.P3FacilityCount&gt;=1873,F16885=""),"Incomplete","Complete")</f>
        <v>Complete</v>
      </c>
      <c r="I16885" s="48" t="s">
        <v>21250</v>
      </c>
    </row>
    <row r="16886" spans="2:9" ht="15" customHeight="1" x14ac:dyDescent="0.25">
      <c r="B16886" s="55" t="s">
        <v>282</v>
      </c>
      <c r="C16886" s="46">
        <v>1874</v>
      </c>
      <c r="D16886" s="69" t="s">
        <v>29419</v>
      </c>
      <c r="E16886" s="51"/>
      <c r="F16886" s="114" t="str">
        <f>IF(INDEX(I.Facility.P3IDNumber,1874)="","",INDEX(I.Facility.P3IDNumber,1874))</f>
        <v/>
      </c>
      <c r="G16886" s="51"/>
      <c r="H16886" s="46" t="str">
        <f>IF(AND(I.Developer.P3=TRUE,I.Facility.P3FacilityCount&gt;=1874,F16886=""),"Incomplete","Complete")</f>
        <v>Complete</v>
      </c>
      <c r="I16886" s="48" t="s">
        <v>21251</v>
      </c>
    </row>
    <row r="16887" spans="2:9" ht="15" customHeight="1" x14ac:dyDescent="0.25">
      <c r="B16887" s="55" t="s">
        <v>282</v>
      </c>
      <c r="C16887" s="46">
        <v>1875</v>
      </c>
      <c r="D16887" s="69" t="s">
        <v>29419</v>
      </c>
      <c r="E16887" s="51"/>
      <c r="F16887" s="114" t="str">
        <f>IF(INDEX(I.Facility.P3IDNumber,1875)="","",INDEX(I.Facility.P3IDNumber,1875))</f>
        <v/>
      </c>
      <c r="G16887" s="51"/>
      <c r="H16887" s="46" t="str">
        <f>IF(AND(I.Developer.P3=TRUE,I.Facility.P3FacilityCount&gt;=1875,F16887=""),"Incomplete","Complete")</f>
        <v>Complete</v>
      </c>
      <c r="I16887" s="48" t="s">
        <v>21252</v>
      </c>
    </row>
    <row r="16888" spans="2:9" ht="15" customHeight="1" x14ac:dyDescent="0.25">
      <c r="B16888" s="55" t="s">
        <v>282</v>
      </c>
      <c r="C16888" s="46">
        <v>1876</v>
      </c>
      <c r="D16888" s="69" t="s">
        <v>29419</v>
      </c>
      <c r="E16888" s="51"/>
      <c r="F16888" s="114" t="str">
        <f>IF(INDEX(I.Facility.P3IDNumber,1876)="","",INDEX(I.Facility.P3IDNumber,1876))</f>
        <v/>
      </c>
      <c r="G16888" s="51"/>
      <c r="H16888" s="46" t="str">
        <f>IF(AND(I.Developer.P3=TRUE,I.Facility.P3FacilityCount&gt;=1876,F16888=""),"Incomplete","Complete")</f>
        <v>Complete</v>
      </c>
      <c r="I16888" s="48" t="s">
        <v>21253</v>
      </c>
    </row>
    <row r="16889" spans="2:9" ht="15" customHeight="1" x14ac:dyDescent="0.25">
      <c r="B16889" s="55" t="s">
        <v>282</v>
      </c>
      <c r="C16889" s="46">
        <v>1877</v>
      </c>
      <c r="D16889" s="69" t="s">
        <v>29419</v>
      </c>
      <c r="E16889" s="51"/>
      <c r="F16889" s="114" t="str">
        <f>IF(INDEX(I.Facility.P3IDNumber,1877)="","",INDEX(I.Facility.P3IDNumber,1877))</f>
        <v/>
      </c>
      <c r="G16889" s="51"/>
      <c r="H16889" s="46" t="str">
        <f>IF(AND(I.Developer.P3=TRUE,I.Facility.P3FacilityCount&gt;=1877,F16889=""),"Incomplete","Complete")</f>
        <v>Complete</v>
      </c>
      <c r="I16889" s="48" t="s">
        <v>21254</v>
      </c>
    </row>
    <row r="16890" spans="2:9" ht="15" customHeight="1" x14ac:dyDescent="0.25">
      <c r="B16890" s="55" t="s">
        <v>282</v>
      </c>
      <c r="C16890" s="46">
        <v>1878</v>
      </c>
      <c r="D16890" s="69" t="s">
        <v>29419</v>
      </c>
      <c r="E16890" s="51"/>
      <c r="F16890" s="114" t="str">
        <f>IF(INDEX(I.Facility.P3IDNumber,1878)="","",INDEX(I.Facility.P3IDNumber,1878))</f>
        <v/>
      </c>
      <c r="G16890" s="51"/>
      <c r="H16890" s="46" t="str">
        <f>IF(AND(I.Developer.P3=TRUE,I.Facility.P3FacilityCount&gt;=1878,F16890=""),"Incomplete","Complete")</f>
        <v>Complete</v>
      </c>
      <c r="I16890" s="48" t="s">
        <v>21255</v>
      </c>
    </row>
    <row r="16891" spans="2:9" ht="15" customHeight="1" x14ac:dyDescent="0.25">
      <c r="B16891" s="55" t="s">
        <v>282</v>
      </c>
      <c r="C16891" s="46">
        <v>1879</v>
      </c>
      <c r="D16891" s="69" t="s">
        <v>29419</v>
      </c>
      <c r="E16891" s="51"/>
      <c r="F16891" s="114" t="str">
        <f>IF(INDEX(I.Facility.P3IDNumber,1879)="","",INDEX(I.Facility.P3IDNumber,1879))</f>
        <v/>
      </c>
      <c r="G16891" s="51"/>
      <c r="H16891" s="46" t="str">
        <f>IF(AND(I.Developer.P3=TRUE,I.Facility.P3FacilityCount&gt;=1879,F16891=""),"Incomplete","Complete")</f>
        <v>Complete</v>
      </c>
      <c r="I16891" s="48" t="s">
        <v>21256</v>
      </c>
    </row>
    <row r="16892" spans="2:9" ht="15" customHeight="1" x14ac:dyDescent="0.25">
      <c r="B16892" s="55" t="s">
        <v>282</v>
      </c>
      <c r="C16892" s="46">
        <v>1880</v>
      </c>
      <c r="D16892" s="69" t="s">
        <v>29419</v>
      </c>
      <c r="E16892" s="51"/>
      <c r="F16892" s="114" t="str">
        <f>IF(INDEX(I.Facility.P3IDNumber,1880)="","",INDEX(I.Facility.P3IDNumber,1880))</f>
        <v/>
      </c>
      <c r="G16892" s="51"/>
      <c r="H16892" s="46" t="str">
        <f>IF(AND(I.Developer.P3=TRUE,I.Facility.P3FacilityCount&gt;=1880,F16892=""),"Incomplete","Complete")</f>
        <v>Complete</v>
      </c>
      <c r="I16892" s="48" t="s">
        <v>21257</v>
      </c>
    </row>
    <row r="16893" spans="2:9" ht="15" customHeight="1" x14ac:dyDescent="0.25">
      <c r="B16893" s="55" t="s">
        <v>282</v>
      </c>
      <c r="C16893" s="46">
        <v>1881</v>
      </c>
      <c r="D16893" s="69" t="s">
        <v>29419</v>
      </c>
      <c r="E16893" s="51"/>
      <c r="F16893" s="114" t="str">
        <f>IF(INDEX(I.Facility.P3IDNumber,1881)="","",INDEX(I.Facility.P3IDNumber,1881))</f>
        <v/>
      </c>
      <c r="G16893" s="51"/>
      <c r="H16893" s="46" t="str">
        <f>IF(AND(I.Developer.P3=TRUE,I.Facility.P3FacilityCount&gt;=1881,F16893=""),"Incomplete","Complete")</f>
        <v>Complete</v>
      </c>
      <c r="I16893" s="48" t="s">
        <v>21258</v>
      </c>
    </row>
    <row r="16894" spans="2:9" ht="15" customHeight="1" x14ac:dyDescent="0.25">
      <c r="B16894" s="55" t="s">
        <v>282</v>
      </c>
      <c r="C16894" s="46">
        <v>1882</v>
      </c>
      <c r="D16894" s="69" t="s">
        <v>29419</v>
      </c>
      <c r="E16894" s="51"/>
      <c r="F16894" s="114" t="str">
        <f>IF(INDEX(I.Facility.P3IDNumber,1882)="","",INDEX(I.Facility.P3IDNumber,1882))</f>
        <v/>
      </c>
      <c r="G16894" s="51"/>
      <c r="H16894" s="46" t="str">
        <f>IF(AND(I.Developer.P3=TRUE,I.Facility.P3FacilityCount&gt;=1882,F16894=""),"Incomplete","Complete")</f>
        <v>Complete</v>
      </c>
      <c r="I16894" s="48" t="s">
        <v>21259</v>
      </c>
    </row>
    <row r="16895" spans="2:9" ht="15" customHeight="1" x14ac:dyDescent="0.25">
      <c r="B16895" s="55" t="s">
        <v>282</v>
      </c>
      <c r="C16895" s="46">
        <v>1883</v>
      </c>
      <c r="D16895" s="69" t="s">
        <v>29419</v>
      </c>
      <c r="E16895" s="51"/>
      <c r="F16895" s="114" t="str">
        <f>IF(INDEX(I.Facility.P3IDNumber,1883)="","",INDEX(I.Facility.P3IDNumber,1883))</f>
        <v/>
      </c>
      <c r="G16895" s="51"/>
      <c r="H16895" s="46" t="str">
        <f>IF(AND(I.Developer.P3=TRUE,I.Facility.P3FacilityCount&gt;=1883,F16895=""),"Incomplete","Complete")</f>
        <v>Complete</v>
      </c>
      <c r="I16895" s="48" t="s">
        <v>21260</v>
      </c>
    </row>
    <row r="16896" spans="2:9" ht="15" customHeight="1" x14ac:dyDescent="0.25">
      <c r="B16896" s="55" t="s">
        <v>282</v>
      </c>
      <c r="C16896" s="46">
        <v>1884</v>
      </c>
      <c r="D16896" s="69" t="s">
        <v>29419</v>
      </c>
      <c r="E16896" s="51"/>
      <c r="F16896" s="114" t="str">
        <f>IF(INDEX(I.Facility.P3IDNumber,1884)="","",INDEX(I.Facility.P3IDNumber,1884))</f>
        <v/>
      </c>
      <c r="G16896" s="51"/>
      <c r="H16896" s="46" t="str">
        <f>IF(AND(I.Developer.P3=TRUE,I.Facility.P3FacilityCount&gt;=1884,F16896=""),"Incomplete","Complete")</f>
        <v>Complete</v>
      </c>
      <c r="I16896" s="48" t="s">
        <v>21261</v>
      </c>
    </row>
    <row r="16897" spans="2:9" ht="15" customHeight="1" x14ac:dyDescent="0.25">
      <c r="B16897" s="55" t="s">
        <v>282</v>
      </c>
      <c r="C16897" s="46">
        <v>1885</v>
      </c>
      <c r="D16897" s="69" t="s">
        <v>29419</v>
      </c>
      <c r="E16897" s="51"/>
      <c r="F16897" s="114" t="str">
        <f>IF(INDEX(I.Facility.P3IDNumber,1885)="","",INDEX(I.Facility.P3IDNumber,1885))</f>
        <v/>
      </c>
      <c r="G16897" s="51"/>
      <c r="H16897" s="46" t="str">
        <f>IF(AND(I.Developer.P3=TRUE,I.Facility.P3FacilityCount&gt;=1885,F16897=""),"Incomplete","Complete")</f>
        <v>Complete</v>
      </c>
      <c r="I16897" s="48" t="s">
        <v>21262</v>
      </c>
    </row>
    <row r="16898" spans="2:9" ht="15" customHeight="1" x14ac:dyDescent="0.25">
      <c r="B16898" s="55" t="s">
        <v>282</v>
      </c>
      <c r="C16898" s="46">
        <v>1886</v>
      </c>
      <c r="D16898" s="69" t="s">
        <v>29419</v>
      </c>
      <c r="E16898" s="51"/>
      <c r="F16898" s="114" t="str">
        <f>IF(INDEX(I.Facility.P3IDNumber,1886)="","",INDEX(I.Facility.P3IDNumber,1886))</f>
        <v/>
      </c>
      <c r="G16898" s="51"/>
      <c r="H16898" s="46" t="str">
        <f>IF(AND(I.Developer.P3=TRUE,I.Facility.P3FacilityCount&gt;=1886,F16898=""),"Incomplete","Complete")</f>
        <v>Complete</v>
      </c>
      <c r="I16898" s="48" t="s">
        <v>21263</v>
      </c>
    </row>
    <row r="16899" spans="2:9" ht="15" customHeight="1" x14ac:dyDescent="0.25">
      <c r="B16899" s="55" t="s">
        <v>282</v>
      </c>
      <c r="C16899" s="46">
        <v>1887</v>
      </c>
      <c r="D16899" s="69" t="s">
        <v>29419</v>
      </c>
      <c r="E16899" s="51"/>
      <c r="F16899" s="114" t="str">
        <f>IF(INDEX(I.Facility.P3IDNumber,1887)="","",INDEX(I.Facility.P3IDNumber,1887))</f>
        <v/>
      </c>
      <c r="G16899" s="51"/>
      <c r="H16899" s="46" t="str">
        <f>IF(AND(I.Developer.P3=TRUE,I.Facility.P3FacilityCount&gt;=1887,F16899=""),"Incomplete","Complete")</f>
        <v>Complete</v>
      </c>
      <c r="I16899" s="48" t="s">
        <v>21264</v>
      </c>
    </row>
    <row r="16900" spans="2:9" ht="15" customHeight="1" x14ac:dyDescent="0.25">
      <c r="B16900" s="55" t="s">
        <v>282</v>
      </c>
      <c r="C16900" s="46">
        <v>1888</v>
      </c>
      <c r="D16900" s="69" t="s">
        <v>29419</v>
      </c>
      <c r="E16900" s="51"/>
      <c r="F16900" s="114" t="str">
        <f>IF(INDEX(I.Facility.P3IDNumber,1888)="","",INDEX(I.Facility.P3IDNumber,1888))</f>
        <v/>
      </c>
      <c r="G16900" s="51"/>
      <c r="H16900" s="46" t="str">
        <f>IF(AND(I.Developer.P3=TRUE,I.Facility.P3FacilityCount&gt;=1888,F16900=""),"Incomplete","Complete")</f>
        <v>Complete</v>
      </c>
      <c r="I16900" s="48" t="s">
        <v>21265</v>
      </c>
    </row>
    <row r="16901" spans="2:9" ht="15" customHeight="1" x14ac:dyDescent="0.25">
      <c r="B16901" s="55" t="s">
        <v>282</v>
      </c>
      <c r="C16901" s="46">
        <v>1889</v>
      </c>
      <c r="D16901" s="69" t="s">
        <v>29419</v>
      </c>
      <c r="E16901" s="51"/>
      <c r="F16901" s="114" t="str">
        <f>IF(INDEX(I.Facility.P3IDNumber,1889)="","",INDEX(I.Facility.P3IDNumber,1889))</f>
        <v/>
      </c>
      <c r="G16901" s="51"/>
      <c r="H16901" s="46" t="str">
        <f>IF(AND(I.Developer.P3=TRUE,I.Facility.P3FacilityCount&gt;=1889,F16901=""),"Incomplete","Complete")</f>
        <v>Complete</v>
      </c>
      <c r="I16901" s="48" t="s">
        <v>21266</v>
      </c>
    </row>
    <row r="16902" spans="2:9" ht="15" customHeight="1" x14ac:dyDescent="0.25">
      <c r="B16902" s="55" t="s">
        <v>282</v>
      </c>
      <c r="C16902" s="46">
        <v>1890</v>
      </c>
      <c r="D16902" s="69" t="s">
        <v>29419</v>
      </c>
      <c r="E16902" s="51"/>
      <c r="F16902" s="114" t="str">
        <f>IF(INDEX(I.Facility.P3IDNumber,1890)="","",INDEX(I.Facility.P3IDNumber,1890))</f>
        <v/>
      </c>
      <c r="G16902" s="51"/>
      <c r="H16902" s="46" t="str">
        <f>IF(AND(I.Developer.P3=TRUE,I.Facility.P3FacilityCount&gt;=1890,F16902=""),"Incomplete","Complete")</f>
        <v>Complete</v>
      </c>
      <c r="I16902" s="48" t="s">
        <v>21267</v>
      </c>
    </row>
    <row r="16903" spans="2:9" ht="15" customHeight="1" x14ac:dyDescent="0.25">
      <c r="B16903" s="55" t="s">
        <v>282</v>
      </c>
      <c r="C16903" s="46">
        <v>1891</v>
      </c>
      <c r="D16903" s="69" t="s">
        <v>29419</v>
      </c>
      <c r="E16903" s="51"/>
      <c r="F16903" s="114" t="str">
        <f>IF(INDEX(I.Facility.P3IDNumber,1891)="","",INDEX(I.Facility.P3IDNumber,1891))</f>
        <v/>
      </c>
      <c r="G16903" s="51"/>
      <c r="H16903" s="46" t="str">
        <f>IF(AND(I.Developer.P3=TRUE,I.Facility.P3FacilityCount&gt;=1891,F16903=""),"Incomplete","Complete")</f>
        <v>Complete</v>
      </c>
      <c r="I16903" s="48" t="s">
        <v>21268</v>
      </c>
    </row>
    <row r="16904" spans="2:9" ht="15" customHeight="1" x14ac:dyDescent="0.25">
      <c r="B16904" s="55" t="s">
        <v>282</v>
      </c>
      <c r="C16904" s="46">
        <v>1892</v>
      </c>
      <c r="D16904" s="69" t="s">
        <v>29419</v>
      </c>
      <c r="E16904" s="51"/>
      <c r="F16904" s="114" t="str">
        <f>IF(INDEX(I.Facility.P3IDNumber,1892)="","",INDEX(I.Facility.P3IDNumber,1892))</f>
        <v/>
      </c>
      <c r="G16904" s="51"/>
      <c r="H16904" s="46" t="str">
        <f>IF(AND(I.Developer.P3=TRUE,I.Facility.P3FacilityCount&gt;=1892,F16904=""),"Incomplete","Complete")</f>
        <v>Complete</v>
      </c>
      <c r="I16904" s="48" t="s">
        <v>21269</v>
      </c>
    </row>
    <row r="16905" spans="2:9" ht="15" customHeight="1" x14ac:dyDescent="0.25">
      <c r="B16905" s="55" t="s">
        <v>282</v>
      </c>
      <c r="C16905" s="46">
        <v>1893</v>
      </c>
      <c r="D16905" s="69" t="s">
        <v>29419</v>
      </c>
      <c r="E16905" s="51"/>
      <c r="F16905" s="114" t="str">
        <f>IF(INDEX(I.Facility.P3IDNumber,1893)="","",INDEX(I.Facility.P3IDNumber,1893))</f>
        <v/>
      </c>
      <c r="G16905" s="51"/>
      <c r="H16905" s="46" t="str">
        <f>IF(AND(I.Developer.P3=TRUE,I.Facility.P3FacilityCount&gt;=1893,F16905=""),"Incomplete","Complete")</f>
        <v>Complete</v>
      </c>
      <c r="I16905" s="48" t="s">
        <v>21270</v>
      </c>
    </row>
    <row r="16906" spans="2:9" ht="15" customHeight="1" x14ac:dyDescent="0.25">
      <c r="B16906" s="55" t="s">
        <v>282</v>
      </c>
      <c r="C16906" s="46">
        <v>1894</v>
      </c>
      <c r="D16906" s="69" t="s">
        <v>29419</v>
      </c>
      <c r="E16906" s="51"/>
      <c r="F16906" s="114" t="str">
        <f>IF(INDEX(I.Facility.P3IDNumber,1894)="","",INDEX(I.Facility.P3IDNumber,1894))</f>
        <v/>
      </c>
      <c r="G16906" s="51"/>
      <c r="H16906" s="46" t="str">
        <f>IF(AND(I.Developer.P3=TRUE,I.Facility.P3FacilityCount&gt;=1894,F16906=""),"Incomplete","Complete")</f>
        <v>Complete</v>
      </c>
      <c r="I16906" s="48" t="s">
        <v>21271</v>
      </c>
    </row>
    <row r="16907" spans="2:9" ht="15" customHeight="1" x14ac:dyDescent="0.25">
      <c r="B16907" s="55" t="s">
        <v>282</v>
      </c>
      <c r="C16907" s="46">
        <v>1895</v>
      </c>
      <c r="D16907" s="69" t="s">
        <v>29419</v>
      </c>
      <c r="E16907" s="51"/>
      <c r="F16907" s="114" t="str">
        <f>IF(INDEX(I.Facility.P3IDNumber,1895)="","",INDEX(I.Facility.P3IDNumber,1895))</f>
        <v/>
      </c>
      <c r="G16907" s="51"/>
      <c r="H16907" s="46" t="str">
        <f>IF(AND(I.Developer.P3=TRUE,I.Facility.P3FacilityCount&gt;=1895,F16907=""),"Incomplete","Complete")</f>
        <v>Complete</v>
      </c>
      <c r="I16907" s="48" t="s">
        <v>21272</v>
      </c>
    </row>
    <row r="16908" spans="2:9" ht="15" customHeight="1" x14ac:dyDescent="0.25">
      <c r="B16908" s="55" t="s">
        <v>282</v>
      </c>
      <c r="C16908" s="46">
        <v>1896</v>
      </c>
      <c r="D16908" s="69" t="s">
        <v>29419</v>
      </c>
      <c r="E16908" s="51"/>
      <c r="F16908" s="114" t="str">
        <f>IF(INDEX(I.Facility.P3IDNumber,1896)="","",INDEX(I.Facility.P3IDNumber,1896))</f>
        <v/>
      </c>
      <c r="G16908" s="51"/>
      <c r="H16908" s="46" t="str">
        <f>IF(AND(I.Developer.P3=TRUE,I.Facility.P3FacilityCount&gt;=1896,F16908=""),"Incomplete","Complete")</f>
        <v>Complete</v>
      </c>
      <c r="I16908" s="48" t="s">
        <v>21273</v>
      </c>
    </row>
    <row r="16909" spans="2:9" ht="15" customHeight="1" x14ac:dyDescent="0.25">
      <c r="B16909" s="55" t="s">
        <v>282</v>
      </c>
      <c r="C16909" s="46">
        <v>1897</v>
      </c>
      <c r="D16909" s="69" t="s">
        <v>29419</v>
      </c>
      <c r="E16909" s="51"/>
      <c r="F16909" s="114" t="str">
        <f>IF(INDEX(I.Facility.P3IDNumber,1897)="","",INDEX(I.Facility.P3IDNumber,1897))</f>
        <v/>
      </c>
      <c r="G16909" s="51"/>
      <c r="H16909" s="46" t="str">
        <f>IF(AND(I.Developer.P3=TRUE,I.Facility.P3FacilityCount&gt;=1897,F16909=""),"Incomplete","Complete")</f>
        <v>Complete</v>
      </c>
      <c r="I16909" s="48" t="s">
        <v>21274</v>
      </c>
    </row>
    <row r="16910" spans="2:9" ht="15" customHeight="1" x14ac:dyDescent="0.25">
      <c r="B16910" s="55" t="s">
        <v>282</v>
      </c>
      <c r="C16910" s="46">
        <v>1898</v>
      </c>
      <c r="D16910" s="69" t="s">
        <v>29419</v>
      </c>
      <c r="E16910" s="51"/>
      <c r="F16910" s="114" t="str">
        <f>IF(INDEX(I.Facility.P3IDNumber,1898)="","",INDEX(I.Facility.P3IDNumber,1898))</f>
        <v/>
      </c>
      <c r="G16910" s="51"/>
      <c r="H16910" s="46" t="str">
        <f>IF(AND(I.Developer.P3=TRUE,I.Facility.P3FacilityCount&gt;=1898,F16910=""),"Incomplete","Complete")</f>
        <v>Complete</v>
      </c>
      <c r="I16910" s="48" t="s">
        <v>21275</v>
      </c>
    </row>
    <row r="16911" spans="2:9" ht="15" customHeight="1" x14ac:dyDescent="0.25">
      <c r="B16911" s="55" t="s">
        <v>282</v>
      </c>
      <c r="C16911" s="46">
        <v>1899</v>
      </c>
      <c r="D16911" s="69" t="s">
        <v>29419</v>
      </c>
      <c r="E16911" s="51"/>
      <c r="F16911" s="114" t="str">
        <f>IF(INDEX(I.Facility.P3IDNumber,1899)="","",INDEX(I.Facility.P3IDNumber,1899))</f>
        <v/>
      </c>
      <c r="G16911" s="51"/>
      <c r="H16911" s="46" t="str">
        <f>IF(AND(I.Developer.P3=TRUE,I.Facility.P3FacilityCount&gt;=1899,F16911=""),"Incomplete","Complete")</f>
        <v>Complete</v>
      </c>
      <c r="I16911" s="48" t="s">
        <v>21276</v>
      </c>
    </row>
    <row r="16912" spans="2:9" ht="15" customHeight="1" x14ac:dyDescent="0.25">
      <c r="B16912" s="55" t="s">
        <v>282</v>
      </c>
      <c r="C16912" s="46">
        <v>1900</v>
      </c>
      <c r="D16912" s="69" t="s">
        <v>29419</v>
      </c>
      <c r="E16912" s="51"/>
      <c r="F16912" s="114" t="str">
        <f>IF(INDEX(I.Facility.P3IDNumber,1900)="","",INDEX(I.Facility.P3IDNumber,1900))</f>
        <v/>
      </c>
      <c r="G16912" s="51"/>
      <c r="H16912" s="46" t="str">
        <f>IF(AND(I.Developer.P3=TRUE,I.Facility.P3FacilityCount&gt;=1900,F16912=""),"Incomplete","Complete")</f>
        <v>Complete</v>
      </c>
      <c r="I16912" s="48" t="s">
        <v>21277</v>
      </c>
    </row>
    <row r="16913" spans="2:9" ht="15" customHeight="1" x14ac:dyDescent="0.25">
      <c r="B16913" s="55" t="s">
        <v>282</v>
      </c>
      <c r="C16913" s="46">
        <v>1901</v>
      </c>
      <c r="D16913" s="69" t="s">
        <v>29419</v>
      </c>
      <c r="E16913" s="51"/>
      <c r="F16913" s="114" t="str">
        <f>IF(INDEX(I.Facility.P3IDNumber,1901)="","",INDEX(I.Facility.P3IDNumber,1901))</f>
        <v/>
      </c>
      <c r="G16913" s="51"/>
      <c r="H16913" s="46" t="str">
        <f>IF(AND(I.Developer.P3=TRUE,I.Facility.P3FacilityCount&gt;=1901,F16913=""),"Incomplete","Complete")</f>
        <v>Complete</v>
      </c>
      <c r="I16913" s="48" t="s">
        <v>21278</v>
      </c>
    </row>
    <row r="16914" spans="2:9" ht="15" customHeight="1" x14ac:dyDescent="0.25">
      <c r="B16914" s="55" t="s">
        <v>282</v>
      </c>
      <c r="C16914" s="46">
        <v>1902</v>
      </c>
      <c r="D16914" s="69" t="s">
        <v>29419</v>
      </c>
      <c r="E16914" s="51"/>
      <c r="F16914" s="114" t="str">
        <f>IF(INDEX(I.Facility.P3IDNumber,1902)="","",INDEX(I.Facility.P3IDNumber,1902))</f>
        <v/>
      </c>
      <c r="G16914" s="51"/>
      <c r="H16914" s="46" t="str">
        <f>IF(AND(I.Developer.P3=TRUE,I.Facility.P3FacilityCount&gt;=1902,F16914=""),"Incomplete","Complete")</f>
        <v>Complete</v>
      </c>
      <c r="I16914" s="48" t="s">
        <v>21279</v>
      </c>
    </row>
    <row r="16915" spans="2:9" ht="15" customHeight="1" x14ac:dyDescent="0.25">
      <c r="B16915" s="55" t="s">
        <v>282</v>
      </c>
      <c r="C16915" s="46">
        <v>1903</v>
      </c>
      <c r="D16915" s="69" t="s">
        <v>29419</v>
      </c>
      <c r="E16915" s="51"/>
      <c r="F16915" s="114" t="str">
        <f>IF(INDEX(I.Facility.P3IDNumber,1903)="","",INDEX(I.Facility.P3IDNumber,1903))</f>
        <v/>
      </c>
      <c r="G16915" s="51"/>
      <c r="H16915" s="46" t="str">
        <f>IF(AND(I.Developer.P3=TRUE,I.Facility.P3FacilityCount&gt;=1903,F16915=""),"Incomplete","Complete")</f>
        <v>Complete</v>
      </c>
      <c r="I16915" s="48" t="s">
        <v>21280</v>
      </c>
    </row>
    <row r="16916" spans="2:9" ht="15" customHeight="1" x14ac:dyDescent="0.25">
      <c r="B16916" s="55" t="s">
        <v>282</v>
      </c>
      <c r="C16916" s="46">
        <v>1904</v>
      </c>
      <c r="D16916" s="69" t="s">
        <v>29419</v>
      </c>
      <c r="E16916" s="51"/>
      <c r="F16916" s="114" t="str">
        <f>IF(INDEX(I.Facility.P3IDNumber,1904)="","",INDEX(I.Facility.P3IDNumber,1904))</f>
        <v/>
      </c>
      <c r="G16916" s="51"/>
      <c r="H16916" s="46" t="str">
        <f>IF(AND(I.Developer.P3=TRUE,I.Facility.P3FacilityCount&gt;=1904,F16916=""),"Incomplete","Complete")</f>
        <v>Complete</v>
      </c>
      <c r="I16916" s="48" t="s">
        <v>21281</v>
      </c>
    </row>
    <row r="16917" spans="2:9" ht="15" customHeight="1" x14ac:dyDescent="0.25">
      <c r="B16917" s="55" t="s">
        <v>282</v>
      </c>
      <c r="C16917" s="46">
        <v>1905</v>
      </c>
      <c r="D16917" s="69" t="s">
        <v>29419</v>
      </c>
      <c r="E16917" s="51"/>
      <c r="F16917" s="114" t="str">
        <f>IF(INDEX(I.Facility.P3IDNumber,1905)="","",INDEX(I.Facility.P3IDNumber,1905))</f>
        <v/>
      </c>
      <c r="G16917" s="51"/>
      <c r="H16917" s="46" t="str">
        <f>IF(AND(I.Developer.P3=TRUE,I.Facility.P3FacilityCount&gt;=1905,F16917=""),"Incomplete","Complete")</f>
        <v>Complete</v>
      </c>
      <c r="I16917" s="48" t="s">
        <v>21282</v>
      </c>
    </row>
    <row r="16918" spans="2:9" ht="15" customHeight="1" x14ac:dyDescent="0.25">
      <c r="B16918" s="55" t="s">
        <v>282</v>
      </c>
      <c r="C16918" s="46">
        <v>1906</v>
      </c>
      <c r="D16918" s="69" t="s">
        <v>29419</v>
      </c>
      <c r="E16918" s="51"/>
      <c r="F16918" s="114" t="str">
        <f>IF(INDEX(I.Facility.P3IDNumber,1906)="","",INDEX(I.Facility.P3IDNumber,1906))</f>
        <v/>
      </c>
      <c r="G16918" s="51"/>
      <c r="H16918" s="46" t="str">
        <f>IF(AND(I.Developer.P3=TRUE,I.Facility.P3FacilityCount&gt;=1906,F16918=""),"Incomplete","Complete")</f>
        <v>Complete</v>
      </c>
      <c r="I16918" s="48" t="s">
        <v>21283</v>
      </c>
    </row>
    <row r="16919" spans="2:9" ht="15" customHeight="1" x14ac:dyDescent="0.25">
      <c r="B16919" s="55" t="s">
        <v>282</v>
      </c>
      <c r="C16919" s="46">
        <v>1907</v>
      </c>
      <c r="D16919" s="69" t="s">
        <v>29419</v>
      </c>
      <c r="E16919" s="51"/>
      <c r="F16919" s="114" t="str">
        <f>IF(INDEX(I.Facility.P3IDNumber,1907)="","",INDEX(I.Facility.P3IDNumber,1907))</f>
        <v/>
      </c>
      <c r="G16919" s="51"/>
      <c r="H16919" s="46" t="str">
        <f>IF(AND(I.Developer.P3=TRUE,I.Facility.P3FacilityCount&gt;=1907,F16919=""),"Incomplete","Complete")</f>
        <v>Complete</v>
      </c>
      <c r="I16919" s="48" t="s">
        <v>21284</v>
      </c>
    </row>
    <row r="16920" spans="2:9" ht="15" customHeight="1" x14ac:dyDescent="0.25">
      <c r="B16920" s="55" t="s">
        <v>282</v>
      </c>
      <c r="C16920" s="46">
        <v>1908</v>
      </c>
      <c r="D16920" s="69" t="s">
        <v>29419</v>
      </c>
      <c r="E16920" s="51"/>
      <c r="F16920" s="114" t="str">
        <f>IF(INDEX(I.Facility.P3IDNumber,1908)="","",INDEX(I.Facility.P3IDNumber,1908))</f>
        <v/>
      </c>
      <c r="G16920" s="51"/>
      <c r="H16920" s="46" t="str">
        <f>IF(AND(I.Developer.P3=TRUE,I.Facility.P3FacilityCount&gt;=1908,F16920=""),"Incomplete","Complete")</f>
        <v>Complete</v>
      </c>
      <c r="I16920" s="48" t="s">
        <v>21285</v>
      </c>
    </row>
    <row r="16921" spans="2:9" ht="15" customHeight="1" x14ac:dyDescent="0.25">
      <c r="B16921" s="55" t="s">
        <v>282</v>
      </c>
      <c r="C16921" s="46">
        <v>1909</v>
      </c>
      <c r="D16921" s="69" t="s">
        <v>29419</v>
      </c>
      <c r="E16921" s="51"/>
      <c r="F16921" s="114" t="str">
        <f>IF(INDEX(I.Facility.P3IDNumber,1909)="","",INDEX(I.Facility.P3IDNumber,1909))</f>
        <v/>
      </c>
      <c r="G16921" s="51"/>
      <c r="H16921" s="46" t="str">
        <f>IF(AND(I.Developer.P3=TRUE,I.Facility.P3FacilityCount&gt;=1909,F16921=""),"Incomplete","Complete")</f>
        <v>Complete</v>
      </c>
      <c r="I16921" s="48" t="s">
        <v>21286</v>
      </c>
    </row>
    <row r="16922" spans="2:9" ht="15" customHeight="1" x14ac:dyDescent="0.25">
      <c r="B16922" s="55" t="s">
        <v>282</v>
      </c>
      <c r="C16922" s="46">
        <v>1910</v>
      </c>
      <c r="D16922" s="69" t="s">
        <v>29419</v>
      </c>
      <c r="E16922" s="51"/>
      <c r="F16922" s="114" t="str">
        <f>IF(INDEX(I.Facility.P3IDNumber,1910)="","",INDEX(I.Facility.P3IDNumber,1910))</f>
        <v/>
      </c>
      <c r="G16922" s="51"/>
      <c r="H16922" s="46" t="str">
        <f>IF(AND(I.Developer.P3=TRUE,I.Facility.P3FacilityCount&gt;=1910,F16922=""),"Incomplete","Complete")</f>
        <v>Complete</v>
      </c>
      <c r="I16922" s="48" t="s">
        <v>21287</v>
      </c>
    </row>
    <row r="16923" spans="2:9" ht="15" customHeight="1" x14ac:dyDescent="0.25">
      <c r="B16923" s="55" t="s">
        <v>282</v>
      </c>
      <c r="C16923" s="46">
        <v>1911</v>
      </c>
      <c r="D16923" s="69" t="s">
        <v>29419</v>
      </c>
      <c r="E16923" s="51"/>
      <c r="F16923" s="114" t="str">
        <f>IF(INDEX(I.Facility.P3IDNumber,1911)="","",INDEX(I.Facility.P3IDNumber,1911))</f>
        <v/>
      </c>
      <c r="G16923" s="51"/>
      <c r="H16923" s="46" t="str">
        <f>IF(AND(I.Developer.P3=TRUE,I.Facility.P3FacilityCount&gt;=1911,F16923=""),"Incomplete","Complete")</f>
        <v>Complete</v>
      </c>
      <c r="I16923" s="48" t="s">
        <v>21288</v>
      </c>
    </row>
    <row r="16924" spans="2:9" ht="15" customHeight="1" x14ac:dyDescent="0.25">
      <c r="B16924" s="55" t="s">
        <v>282</v>
      </c>
      <c r="C16924" s="46">
        <v>1912</v>
      </c>
      <c r="D16924" s="69" t="s">
        <v>29419</v>
      </c>
      <c r="E16924" s="51"/>
      <c r="F16924" s="114" t="str">
        <f>IF(INDEX(I.Facility.P3IDNumber,1912)="","",INDEX(I.Facility.P3IDNumber,1912))</f>
        <v/>
      </c>
      <c r="G16924" s="51"/>
      <c r="H16924" s="46" t="str">
        <f>IF(AND(I.Developer.P3=TRUE,I.Facility.P3FacilityCount&gt;=1912,F16924=""),"Incomplete","Complete")</f>
        <v>Complete</v>
      </c>
      <c r="I16924" s="48" t="s">
        <v>21289</v>
      </c>
    </row>
    <row r="16925" spans="2:9" ht="15" customHeight="1" x14ac:dyDescent="0.25">
      <c r="B16925" s="55" t="s">
        <v>282</v>
      </c>
      <c r="C16925" s="46">
        <v>1913</v>
      </c>
      <c r="D16925" s="69" t="s">
        <v>29419</v>
      </c>
      <c r="E16925" s="51"/>
      <c r="F16925" s="114" t="str">
        <f>IF(INDEX(I.Facility.P3IDNumber,1913)="","",INDEX(I.Facility.P3IDNumber,1913))</f>
        <v/>
      </c>
      <c r="G16925" s="51"/>
      <c r="H16925" s="46" t="str">
        <f>IF(AND(I.Developer.P3=TRUE,I.Facility.P3FacilityCount&gt;=1913,F16925=""),"Incomplete","Complete")</f>
        <v>Complete</v>
      </c>
      <c r="I16925" s="48" t="s">
        <v>21290</v>
      </c>
    </row>
    <row r="16926" spans="2:9" ht="15" customHeight="1" x14ac:dyDescent="0.25">
      <c r="B16926" s="55" t="s">
        <v>282</v>
      </c>
      <c r="C16926" s="46">
        <v>1914</v>
      </c>
      <c r="D16926" s="69" t="s">
        <v>29419</v>
      </c>
      <c r="E16926" s="51"/>
      <c r="F16926" s="114" t="str">
        <f>IF(INDEX(I.Facility.P3IDNumber,1914)="","",INDEX(I.Facility.P3IDNumber,1914))</f>
        <v/>
      </c>
      <c r="G16926" s="51"/>
      <c r="H16926" s="46" t="str">
        <f>IF(AND(I.Developer.P3=TRUE,I.Facility.P3FacilityCount&gt;=1914,F16926=""),"Incomplete","Complete")</f>
        <v>Complete</v>
      </c>
      <c r="I16926" s="48" t="s">
        <v>21291</v>
      </c>
    </row>
    <row r="16927" spans="2:9" ht="15" customHeight="1" x14ac:dyDescent="0.25">
      <c r="B16927" s="55" t="s">
        <v>282</v>
      </c>
      <c r="C16927" s="46">
        <v>1915</v>
      </c>
      <c r="D16927" s="69" t="s">
        <v>29419</v>
      </c>
      <c r="E16927" s="51"/>
      <c r="F16927" s="114" t="str">
        <f>IF(INDEX(I.Facility.P3IDNumber,1915)="","",INDEX(I.Facility.P3IDNumber,1915))</f>
        <v/>
      </c>
      <c r="G16927" s="51"/>
      <c r="H16927" s="46" t="str">
        <f>IF(AND(I.Developer.P3=TRUE,I.Facility.P3FacilityCount&gt;=1915,F16927=""),"Incomplete","Complete")</f>
        <v>Complete</v>
      </c>
      <c r="I16927" s="48" t="s">
        <v>21292</v>
      </c>
    </row>
    <row r="16928" spans="2:9" ht="15" customHeight="1" x14ac:dyDescent="0.25">
      <c r="B16928" s="55" t="s">
        <v>282</v>
      </c>
      <c r="C16928" s="46">
        <v>1916</v>
      </c>
      <c r="D16928" s="69" t="s">
        <v>29419</v>
      </c>
      <c r="E16928" s="51"/>
      <c r="F16928" s="114" t="str">
        <f>IF(INDEX(I.Facility.P3IDNumber,1916)="","",INDEX(I.Facility.P3IDNumber,1916))</f>
        <v/>
      </c>
      <c r="G16928" s="51"/>
      <c r="H16928" s="46" t="str">
        <f>IF(AND(I.Developer.P3=TRUE,I.Facility.P3FacilityCount&gt;=1916,F16928=""),"Incomplete","Complete")</f>
        <v>Complete</v>
      </c>
      <c r="I16928" s="48" t="s">
        <v>21293</v>
      </c>
    </row>
    <row r="16929" spans="2:9" ht="15" customHeight="1" x14ac:dyDescent="0.25">
      <c r="B16929" s="55" t="s">
        <v>282</v>
      </c>
      <c r="C16929" s="46">
        <v>1917</v>
      </c>
      <c r="D16929" s="69" t="s">
        <v>29419</v>
      </c>
      <c r="E16929" s="51"/>
      <c r="F16929" s="114" t="str">
        <f>IF(INDEX(I.Facility.P3IDNumber,1917)="","",INDEX(I.Facility.P3IDNumber,1917))</f>
        <v/>
      </c>
      <c r="G16929" s="51"/>
      <c r="H16929" s="46" t="str">
        <f>IF(AND(I.Developer.P3=TRUE,I.Facility.P3FacilityCount&gt;=1917,F16929=""),"Incomplete","Complete")</f>
        <v>Complete</v>
      </c>
      <c r="I16929" s="48" t="s">
        <v>21294</v>
      </c>
    </row>
    <row r="16930" spans="2:9" ht="15" customHeight="1" x14ac:dyDescent="0.25">
      <c r="B16930" s="55" t="s">
        <v>282</v>
      </c>
      <c r="C16930" s="46">
        <v>1918</v>
      </c>
      <c r="D16930" s="69" t="s">
        <v>29419</v>
      </c>
      <c r="E16930" s="51"/>
      <c r="F16930" s="114" t="str">
        <f>IF(INDEX(I.Facility.P3IDNumber,1918)="","",INDEX(I.Facility.P3IDNumber,1918))</f>
        <v/>
      </c>
      <c r="G16930" s="51"/>
      <c r="H16930" s="46" t="str">
        <f>IF(AND(I.Developer.P3=TRUE,I.Facility.P3FacilityCount&gt;=1918,F16930=""),"Incomplete","Complete")</f>
        <v>Complete</v>
      </c>
      <c r="I16930" s="48" t="s">
        <v>21295</v>
      </c>
    </row>
    <row r="16931" spans="2:9" ht="15" customHeight="1" x14ac:dyDescent="0.25">
      <c r="B16931" s="55" t="s">
        <v>282</v>
      </c>
      <c r="C16931" s="46">
        <v>1919</v>
      </c>
      <c r="D16931" s="69" t="s">
        <v>29419</v>
      </c>
      <c r="E16931" s="51"/>
      <c r="F16931" s="114" t="str">
        <f>IF(INDEX(I.Facility.P3IDNumber,1919)="","",INDEX(I.Facility.P3IDNumber,1919))</f>
        <v/>
      </c>
      <c r="G16931" s="51"/>
      <c r="H16931" s="46" t="str">
        <f>IF(AND(I.Developer.P3=TRUE,I.Facility.P3FacilityCount&gt;=1919,F16931=""),"Incomplete","Complete")</f>
        <v>Complete</v>
      </c>
      <c r="I16931" s="48" t="s">
        <v>21296</v>
      </c>
    </row>
    <row r="16932" spans="2:9" ht="15" customHeight="1" x14ac:dyDescent="0.25">
      <c r="B16932" s="55" t="s">
        <v>282</v>
      </c>
      <c r="C16932" s="46">
        <v>1920</v>
      </c>
      <c r="D16932" s="69" t="s">
        <v>29419</v>
      </c>
      <c r="E16932" s="51"/>
      <c r="F16932" s="114" t="str">
        <f>IF(INDEX(I.Facility.P3IDNumber,1920)="","",INDEX(I.Facility.P3IDNumber,1920))</f>
        <v/>
      </c>
      <c r="G16932" s="51"/>
      <c r="H16932" s="46" t="str">
        <f>IF(AND(I.Developer.P3=TRUE,I.Facility.P3FacilityCount&gt;=1920,F16932=""),"Incomplete","Complete")</f>
        <v>Complete</v>
      </c>
      <c r="I16932" s="48" t="s">
        <v>21297</v>
      </c>
    </row>
    <row r="16933" spans="2:9" ht="15" customHeight="1" x14ac:dyDescent="0.25">
      <c r="B16933" s="55" t="s">
        <v>282</v>
      </c>
      <c r="C16933" s="46">
        <v>1921</v>
      </c>
      <c r="D16933" s="69" t="s">
        <v>29419</v>
      </c>
      <c r="E16933" s="51"/>
      <c r="F16933" s="114" t="str">
        <f>IF(INDEX(I.Facility.P3IDNumber,1921)="","",INDEX(I.Facility.P3IDNumber,1921))</f>
        <v/>
      </c>
      <c r="G16933" s="51"/>
      <c r="H16933" s="46" t="str">
        <f>IF(AND(I.Developer.P3=TRUE,I.Facility.P3FacilityCount&gt;=1921,F16933=""),"Incomplete","Complete")</f>
        <v>Complete</v>
      </c>
      <c r="I16933" s="48" t="s">
        <v>21298</v>
      </c>
    </row>
    <row r="16934" spans="2:9" ht="15" customHeight="1" x14ac:dyDescent="0.25">
      <c r="B16934" s="55" t="s">
        <v>282</v>
      </c>
      <c r="C16934" s="46">
        <v>1922</v>
      </c>
      <c r="D16934" s="69" t="s">
        <v>29419</v>
      </c>
      <c r="E16934" s="51"/>
      <c r="F16934" s="114" t="str">
        <f>IF(INDEX(I.Facility.P3IDNumber,1922)="","",INDEX(I.Facility.P3IDNumber,1922))</f>
        <v/>
      </c>
      <c r="G16934" s="51"/>
      <c r="H16934" s="46" t="str">
        <f>IF(AND(I.Developer.P3=TRUE,I.Facility.P3FacilityCount&gt;=1922,F16934=""),"Incomplete","Complete")</f>
        <v>Complete</v>
      </c>
      <c r="I16934" s="48" t="s">
        <v>21299</v>
      </c>
    </row>
    <row r="16935" spans="2:9" ht="15" customHeight="1" x14ac:dyDescent="0.25">
      <c r="B16935" s="55" t="s">
        <v>282</v>
      </c>
      <c r="C16935" s="46">
        <v>1923</v>
      </c>
      <c r="D16935" s="69" t="s">
        <v>29419</v>
      </c>
      <c r="E16935" s="51"/>
      <c r="F16935" s="114" t="str">
        <f>IF(INDEX(I.Facility.P3IDNumber,1923)="","",INDEX(I.Facility.P3IDNumber,1923))</f>
        <v/>
      </c>
      <c r="G16935" s="51"/>
      <c r="H16935" s="46" t="str">
        <f>IF(AND(I.Developer.P3=TRUE,I.Facility.P3FacilityCount&gt;=1923,F16935=""),"Incomplete","Complete")</f>
        <v>Complete</v>
      </c>
      <c r="I16935" s="48" t="s">
        <v>21300</v>
      </c>
    </row>
    <row r="16936" spans="2:9" ht="15" customHeight="1" x14ac:dyDescent="0.25">
      <c r="B16936" s="55" t="s">
        <v>282</v>
      </c>
      <c r="C16936" s="46">
        <v>1924</v>
      </c>
      <c r="D16936" s="69" t="s">
        <v>29419</v>
      </c>
      <c r="E16936" s="51"/>
      <c r="F16936" s="114" t="str">
        <f>IF(INDEX(I.Facility.P3IDNumber,1924)="","",INDEX(I.Facility.P3IDNumber,1924))</f>
        <v/>
      </c>
      <c r="G16936" s="51"/>
      <c r="H16936" s="46" t="str">
        <f>IF(AND(I.Developer.P3=TRUE,I.Facility.P3FacilityCount&gt;=1924,F16936=""),"Incomplete","Complete")</f>
        <v>Complete</v>
      </c>
      <c r="I16936" s="48" t="s">
        <v>21301</v>
      </c>
    </row>
    <row r="16937" spans="2:9" ht="15" customHeight="1" x14ac:dyDescent="0.25">
      <c r="B16937" s="55" t="s">
        <v>282</v>
      </c>
      <c r="C16937" s="46">
        <v>1925</v>
      </c>
      <c r="D16937" s="69" t="s">
        <v>29419</v>
      </c>
      <c r="E16937" s="51"/>
      <c r="F16937" s="114" t="str">
        <f>IF(INDEX(I.Facility.P3IDNumber,1925)="","",INDEX(I.Facility.P3IDNumber,1925))</f>
        <v/>
      </c>
      <c r="G16937" s="51"/>
      <c r="H16937" s="46" t="str">
        <f>IF(AND(I.Developer.P3=TRUE,I.Facility.P3FacilityCount&gt;=1925,F16937=""),"Incomplete","Complete")</f>
        <v>Complete</v>
      </c>
      <c r="I16937" s="48" t="s">
        <v>21302</v>
      </c>
    </row>
    <row r="16938" spans="2:9" ht="15" customHeight="1" x14ac:dyDescent="0.25">
      <c r="B16938" s="55" t="s">
        <v>282</v>
      </c>
      <c r="C16938" s="46">
        <v>1926</v>
      </c>
      <c r="D16938" s="69" t="s">
        <v>29419</v>
      </c>
      <c r="E16938" s="51"/>
      <c r="F16938" s="114" t="str">
        <f>IF(INDEX(I.Facility.P3IDNumber,1926)="","",INDEX(I.Facility.P3IDNumber,1926))</f>
        <v/>
      </c>
      <c r="G16938" s="51"/>
      <c r="H16938" s="46" t="str">
        <f>IF(AND(I.Developer.P3=TRUE,I.Facility.P3FacilityCount&gt;=1926,F16938=""),"Incomplete","Complete")</f>
        <v>Complete</v>
      </c>
      <c r="I16938" s="48" t="s">
        <v>21303</v>
      </c>
    </row>
    <row r="16939" spans="2:9" ht="15" customHeight="1" x14ac:dyDescent="0.25">
      <c r="B16939" s="55" t="s">
        <v>282</v>
      </c>
      <c r="C16939" s="46">
        <v>1927</v>
      </c>
      <c r="D16939" s="69" t="s">
        <v>29419</v>
      </c>
      <c r="E16939" s="51"/>
      <c r="F16939" s="114" t="str">
        <f>IF(INDEX(I.Facility.P3IDNumber,1927)="","",INDEX(I.Facility.P3IDNumber,1927))</f>
        <v/>
      </c>
      <c r="G16939" s="51"/>
      <c r="H16939" s="46" t="str">
        <f>IF(AND(I.Developer.P3=TRUE,I.Facility.P3FacilityCount&gt;=1927,F16939=""),"Incomplete","Complete")</f>
        <v>Complete</v>
      </c>
      <c r="I16939" s="48" t="s">
        <v>21304</v>
      </c>
    </row>
    <row r="16940" spans="2:9" ht="15" customHeight="1" x14ac:dyDescent="0.25">
      <c r="B16940" s="55" t="s">
        <v>282</v>
      </c>
      <c r="C16940" s="46">
        <v>1928</v>
      </c>
      <c r="D16940" s="69" t="s">
        <v>29419</v>
      </c>
      <c r="E16940" s="51"/>
      <c r="F16940" s="114" t="str">
        <f>IF(INDEX(I.Facility.P3IDNumber,1928)="","",INDEX(I.Facility.P3IDNumber,1928))</f>
        <v/>
      </c>
      <c r="G16940" s="51"/>
      <c r="H16940" s="46" t="str">
        <f>IF(AND(I.Developer.P3=TRUE,I.Facility.P3FacilityCount&gt;=1928,F16940=""),"Incomplete","Complete")</f>
        <v>Complete</v>
      </c>
      <c r="I16940" s="48" t="s">
        <v>21305</v>
      </c>
    </row>
    <row r="16941" spans="2:9" ht="15" customHeight="1" x14ac:dyDescent="0.25">
      <c r="B16941" s="55" t="s">
        <v>282</v>
      </c>
      <c r="C16941" s="46">
        <v>1929</v>
      </c>
      <c r="D16941" s="69" t="s">
        <v>29419</v>
      </c>
      <c r="E16941" s="51"/>
      <c r="F16941" s="114" t="str">
        <f>IF(INDEX(I.Facility.P3IDNumber,1929)="","",INDEX(I.Facility.P3IDNumber,1929))</f>
        <v/>
      </c>
      <c r="G16941" s="51"/>
      <c r="H16941" s="46" t="str">
        <f>IF(AND(I.Developer.P3=TRUE,I.Facility.P3FacilityCount&gt;=1929,F16941=""),"Incomplete","Complete")</f>
        <v>Complete</v>
      </c>
      <c r="I16941" s="48" t="s">
        <v>21306</v>
      </c>
    </row>
    <row r="16942" spans="2:9" ht="15" customHeight="1" x14ac:dyDescent="0.25">
      <c r="B16942" s="55" t="s">
        <v>282</v>
      </c>
      <c r="C16942" s="46">
        <v>1930</v>
      </c>
      <c r="D16942" s="69" t="s">
        <v>29419</v>
      </c>
      <c r="E16942" s="51"/>
      <c r="F16942" s="114" t="str">
        <f>IF(INDEX(I.Facility.P3IDNumber,1930)="","",INDEX(I.Facility.P3IDNumber,1930))</f>
        <v/>
      </c>
      <c r="G16942" s="51"/>
      <c r="H16942" s="46" t="str">
        <f>IF(AND(I.Developer.P3=TRUE,I.Facility.P3FacilityCount&gt;=1930,F16942=""),"Incomplete","Complete")</f>
        <v>Complete</v>
      </c>
      <c r="I16942" s="48" t="s">
        <v>21307</v>
      </c>
    </row>
    <row r="16943" spans="2:9" ht="15" customHeight="1" x14ac:dyDescent="0.25">
      <c r="B16943" s="55" t="s">
        <v>282</v>
      </c>
      <c r="C16943" s="46">
        <v>1931</v>
      </c>
      <c r="D16943" s="69" t="s">
        <v>29419</v>
      </c>
      <c r="E16943" s="51"/>
      <c r="F16943" s="114" t="str">
        <f>IF(INDEX(I.Facility.P3IDNumber,1931)="","",INDEX(I.Facility.P3IDNumber,1931))</f>
        <v/>
      </c>
      <c r="G16943" s="51"/>
      <c r="H16943" s="46" t="str">
        <f>IF(AND(I.Developer.P3=TRUE,I.Facility.P3FacilityCount&gt;=1931,F16943=""),"Incomplete","Complete")</f>
        <v>Complete</v>
      </c>
      <c r="I16943" s="48" t="s">
        <v>21308</v>
      </c>
    </row>
    <row r="16944" spans="2:9" ht="15" customHeight="1" x14ac:dyDescent="0.25">
      <c r="B16944" s="55" t="s">
        <v>282</v>
      </c>
      <c r="C16944" s="46">
        <v>1932</v>
      </c>
      <c r="D16944" s="69" t="s">
        <v>29419</v>
      </c>
      <c r="E16944" s="51"/>
      <c r="F16944" s="114" t="str">
        <f>IF(INDEX(I.Facility.P3IDNumber,1932)="","",INDEX(I.Facility.P3IDNumber,1932))</f>
        <v/>
      </c>
      <c r="G16944" s="51"/>
      <c r="H16944" s="46" t="str">
        <f>IF(AND(I.Developer.P3=TRUE,I.Facility.P3FacilityCount&gt;=1932,F16944=""),"Incomplete","Complete")</f>
        <v>Complete</v>
      </c>
      <c r="I16944" s="48" t="s">
        <v>21309</v>
      </c>
    </row>
    <row r="16945" spans="2:9" ht="15" customHeight="1" x14ac:dyDescent="0.25">
      <c r="B16945" s="55" t="s">
        <v>282</v>
      </c>
      <c r="C16945" s="46">
        <v>1933</v>
      </c>
      <c r="D16945" s="69" t="s">
        <v>29419</v>
      </c>
      <c r="E16945" s="51"/>
      <c r="F16945" s="114" t="str">
        <f>IF(INDEX(I.Facility.P3IDNumber,1933)="","",INDEX(I.Facility.P3IDNumber,1933))</f>
        <v/>
      </c>
      <c r="G16945" s="51"/>
      <c r="H16945" s="46" t="str">
        <f>IF(AND(I.Developer.P3=TRUE,I.Facility.P3FacilityCount&gt;=1933,F16945=""),"Incomplete","Complete")</f>
        <v>Complete</v>
      </c>
      <c r="I16945" s="48" t="s">
        <v>21310</v>
      </c>
    </row>
    <row r="16946" spans="2:9" ht="15" customHeight="1" x14ac:dyDescent="0.25">
      <c r="B16946" s="55" t="s">
        <v>282</v>
      </c>
      <c r="C16946" s="46">
        <v>1934</v>
      </c>
      <c r="D16946" s="69" t="s">
        <v>29419</v>
      </c>
      <c r="E16946" s="51"/>
      <c r="F16946" s="114" t="str">
        <f>IF(INDEX(I.Facility.P3IDNumber,1934)="","",INDEX(I.Facility.P3IDNumber,1934))</f>
        <v/>
      </c>
      <c r="G16946" s="51"/>
      <c r="H16946" s="46" t="str">
        <f>IF(AND(I.Developer.P3=TRUE,I.Facility.P3FacilityCount&gt;=1934,F16946=""),"Incomplete","Complete")</f>
        <v>Complete</v>
      </c>
      <c r="I16946" s="48" t="s">
        <v>21311</v>
      </c>
    </row>
    <row r="16947" spans="2:9" ht="15" customHeight="1" x14ac:dyDescent="0.25">
      <c r="B16947" s="55" t="s">
        <v>282</v>
      </c>
      <c r="C16947" s="46">
        <v>1935</v>
      </c>
      <c r="D16947" s="69" t="s">
        <v>29419</v>
      </c>
      <c r="E16947" s="51"/>
      <c r="F16947" s="114" t="str">
        <f>IF(INDEX(I.Facility.P3IDNumber,1935)="","",INDEX(I.Facility.P3IDNumber,1935))</f>
        <v/>
      </c>
      <c r="G16947" s="51"/>
      <c r="H16947" s="46" t="str">
        <f>IF(AND(I.Developer.P3=TRUE,I.Facility.P3FacilityCount&gt;=1935,F16947=""),"Incomplete","Complete")</f>
        <v>Complete</v>
      </c>
      <c r="I16947" s="48" t="s">
        <v>21312</v>
      </c>
    </row>
    <row r="16948" spans="2:9" ht="15" customHeight="1" x14ac:dyDescent="0.25">
      <c r="B16948" s="55" t="s">
        <v>282</v>
      </c>
      <c r="C16948" s="46">
        <v>1936</v>
      </c>
      <c r="D16948" s="69" t="s">
        <v>29419</v>
      </c>
      <c r="E16948" s="51"/>
      <c r="F16948" s="114" t="str">
        <f>IF(INDEX(I.Facility.P3IDNumber,1936)="","",INDEX(I.Facility.P3IDNumber,1936))</f>
        <v/>
      </c>
      <c r="G16948" s="51"/>
      <c r="H16948" s="46" t="str">
        <f>IF(AND(I.Developer.P3=TRUE,I.Facility.P3FacilityCount&gt;=1936,F16948=""),"Incomplete","Complete")</f>
        <v>Complete</v>
      </c>
      <c r="I16948" s="48" t="s">
        <v>21313</v>
      </c>
    </row>
    <row r="16949" spans="2:9" ht="15" customHeight="1" x14ac:dyDescent="0.25">
      <c r="B16949" s="55" t="s">
        <v>282</v>
      </c>
      <c r="C16949" s="46">
        <v>1937</v>
      </c>
      <c r="D16949" s="69" t="s">
        <v>29419</v>
      </c>
      <c r="E16949" s="51"/>
      <c r="F16949" s="114" t="str">
        <f>IF(INDEX(I.Facility.P3IDNumber,1937)="","",INDEX(I.Facility.P3IDNumber,1937))</f>
        <v/>
      </c>
      <c r="G16949" s="51"/>
      <c r="H16949" s="46" t="str">
        <f>IF(AND(I.Developer.P3=TRUE,I.Facility.P3FacilityCount&gt;=1937,F16949=""),"Incomplete","Complete")</f>
        <v>Complete</v>
      </c>
      <c r="I16949" s="48" t="s">
        <v>21314</v>
      </c>
    </row>
    <row r="16950" spans="2:9" ht="15" customHeight="1" x14ac:dyDescent="0.25">
      <c r="B16950" s="55" t="s">
        <v>282</v>
      </c>
      <c r="C16950" s="46">
        <v>1938</v>
      </c>
      <c r="D16950" s="69" t="s">
        <v>29419</v>
      </c>
      <c r="E16950" s="51"/>
      <c r="F16950" s="114" t="str">
        <f>IF(INDEX(I.Facility.P3IDNumber,1938)="","",INDEX(I.Facility.P3IDNumber,1938))</f>
        <v/>
      </c>
      <c r="G16950" s="51"/>
      <c r="H16950" s="46" t="str">
        <f>IF(AND(I.Developer.P3=TRUE,I.Facility.P3FacilityCount&gt;=1938,F16950=""),"Incomplete","Complete")</f>
        <v>Complete</v>
      </c>
      <c r="I16950" s="48" t="s">
        <v>21315</v>
      </c>
    </row>
    <row r="16951" spans="2:9" ht="15" customHeight="1" x14ac:dyDescent="0.25">
      <c r="B16951" s="55" t="s">
        <v>282</v>
      </c>
      <c r="C16951" s="46">
        <v>1939</v>
      </c>
      <c r="D16951" s="69" t="s">
        <v>29419</v>
      </c>
      <c r="E16951" s="51"/>
      <c r="F16951" s="114" t="str">
        <f>IF(INDEX(I.Facility.P3IDNumber,1939)="","",INDEX(I.Facility.P3IDNumber,1939))</f>
        <v/>
      </c>
      <c r="G16951" s="51"/>
      <c r="H16951" s="46" t="str">
        <f>IF(AND(I.Developer.P3=TRUE,I.Facility.P3FacilityCount&gt;=1939,F16951=""),"Incomplete","Complete")</f>
        <v>Complete</v>
      </c>
      <c r="I16951" s="48" t="s">
        <v>21316</v>
      </c>
    </row>
    <row r="16952" spans="2:9" ht="15" customHeight="1" x14ac:dyDescent="0.25">
      <c r="B16952" s="55" t="s">
        <v>282</v>
      </c>
      <c r="C16952" s="46">
        <v>1940</v>
      </c>
      <c r="D16952" s="69" t="s">
        <v>29419</v>
      </c>
      <c r="E16952" s="51"/>
      <c r="F16952" s="114" t="str">
        <f>IF(INDEX(I.Facility.P3IDNumber,1940)="","",INDEX(I.Facility.P3IDNumber,1940))</f>
        <v/>
      </c>
      <c r="G16952" s="51"/>
      <c r="H16952" s="46" t="str">
        <f>IF(AND(I.Developer.P3=TRUE,I.Facility.P3FacilityCount&gt;=1940,F16952=""),"Incomplete","Complete")</f>
        <v>Complete</v>
      </c>
      <c r="I16952" s="48" t="s">
        <v>21317</v>
      </c>
    </row>
    <row r="16953" spans="2:9" ht="15" customHeight="1" x14ac:dyDescent="0.25">
      <c r="B16953" s="55" t="s">
        <v>282</v>
      </c>
      <c r="C16953" s="46">
        <v>1941</v>
      </c>
      <c r="D16953" s="69" t="s">
        <v>29419</v>
      </c>
      <c r="E16953" s="51"/>
      <c r="F16953" s="114" t="str">
        <f>IF(INDEX(I.Facility.P3IDNumber,1941)="","",INDEX(I.Facility.P3IDNumber,1941))</f>
        <v/>
      </c>
      <c r="G16953" s="51"/>
      <c r="H16953" s="46" t="str">
        <f>IF(AND(I.Developer.P3=TRUE,I.Facility.P3FacilityCount&gt;=1941,F16953=""),"Incomplete","Complete")</f>
        <v>Complete</v>
      </c>
      <c r="I16953" s="48" t="s">
        <v>21318</v>
      </c>
    </row>
    <row r="16954" spans="2:9" ht="15" customHeight="1" x14ac:dyDescent="0.25">
      <c r="B16954" s="55" t="s">
        <v>282</v>
      </c>
      <c r="C16954" s="46">
        <v>1942</v>
      </c>
      <c r="D16954" s="69" t="s">
        <v>29419</v>
      </c>
      <c r="E16954" s="51"/>
      <c r="F16954" s="114" t="str">
        <f>IF(INDEX(I.Facility.P3IDNumber,1942)="","",INDEX(I.Facility.P3IDNumber,1942))</f>
        <v/>
      </c>
      <c r="G16954" s="51"/>
      <c r="H16954" s="46" t="str">
        <f>IF(AND(I.Developer.P3=TRUE,I.Facility.P3FacilityCount&gt;=1942,F16954=""),"Incomplete","Complete")</f>
        <v>Complete</v>
      </c>
      <c r="I16954" s="48" t="s">
        <v>21319</v>
      </c>
    </row>
    <row r="16955" spans="2:9" ht="15" customHeight="1" x14ac:dyDescent="0.25">
      <c r="B16955" s="55" t="s">
        <v>282</v>
      </c>
      <c r="C16955" s="46">
        <v>1943</v>
      </c>
      <c r="D16955" s="69" t="s">
        <v>29419</v>
      </c>
      <c r="E16955" s="51"/>
      <c r="F16955" s="114" t="str">
        <f>IF(INDEX(I.Facility.P3IDNumber,1943)="","",INDEX(I.Facility.P3IDNumber,1943))</f>
        <v/>
      </c>
      <c r="G16955" s="51"/>
      <c r="H16955" s="46" t="str">
        <f>IF(AND(I.Developer.P3=TRUE,I.Facility.P3FacilityCount&gt;=1943,F16955=""),"Incomplete","Complete")</f>
        <v>Complete</v>
      </c>
      <c r="I16955" s="48" t="s">
        <v>21320</v>
      </c>
    </row>
    <row r="16956" spans="2:9" ht="15" customHeight="1" x14ac:dyDescent="0.25">
      <c r="B16956" s="55" t="s">
        <v>282</v>
      </c>
      <c r="C16956" s="46">
        <v>1944</v>
      </c>
      <c r="D16956" s="69" t="s">
        <v>29419</v>
      </c>
      <c r="E16956" s="51"/>
      <c r="F16956" s="114" t="str">
        <f>IF(INDEX(I.Facility.P3IDNumber,1944)="","",INDEX(I.Facility.P3IDNumber,1944))</f>
        <v/>
      </c>
      <c r="G16956" s="51"/>
      <c r="H16956" s="46" t="str">
        <f>IF(AND(I.Developer.P3=TRUE,I.Facility.P3FacilityCount&gt;=1944,F16956=""),"Incomplete","Complete")</f>
        <v>Complete</v>
      </c>
      <c r="I16956" s="48" t="s">
        <v>21321</v>
      </c>
    </row>
    <row r="16957" spans="2:9" ht="15" customHeight="1" x14ac:dyDescent="0.25">
      <c r="B16957" s="55" t="s">
        <v>282</v>
      </c>
      <c r="C16957" s="46">
        <v>1945</v>
      </c>
      <c r="D16957" s="69" t="s">
        <v>29419</v>
      </c>
      <c r="E16957" s="51"/>
      <c r="F16957" s="114" t="str">
        <f>IF(INDEX(I.Facility.P3IDNumber,1945)="","",INDEX(I.Facility.P3IDNumber,1945))</f>
        <v/>
      </c>
      <c r="G16957" s="51"/>
      <c r="H16957" s="46" t="str">
        <f>IF(AND(I.Developer.P3=TRUE,I.Facility.P3FacilityCount&gt;=1945,F16957=""),"Incomplete","Complete")</f>
        <v>Complete</v>
      </c>
      <c r="I16957" s="48" t="s">
        <v>21322</v>
      </c>
    </row>
    <row r="16958" spans="2:9" ht="15" customHeight="1" x14ac:dyDescent="0.25">
      <c r="B16958" s="55" t="s">
        <v>282</v>
      </c>
      <c r="C16958" s="46">
        <v>1946</v>
      </c>
      <c r="D16958" s="69" t="s">
        <v>29419</v>
      </c>
      <c r="E16958" s="51"/>
      <c r="F16958" s="114" t="str">
        <f>IF(INDEX(I.Facility.P3IDNumber,1946)="","",INDEX(I.Facility.P3IDNumber,1946))</f>
        <v/>
      </c>
      <c r="G16958" s="51"/>
      <c r="H16958" s="46" t="str">
        <f>IF(AND(I.Developer.P3=TRUE,I.Facility.P3FacilityCount&gt;=1946,F16958=""),"Incomplete","Complete")</f>
        <v>Complete</v>
      </c>
      <c r="I16958" s="48" t="s">
        <v>21323</v>
      </c>
    </row>
    <row r="16959" spans="2:9" ht="15" customHeight="1" x14ac:dyDescent="0.25">
      <c r="B16959" s="55" t="s">
        <v>282</v>
      </c>
      <c r="C16959" s="46">
        <v>1947</v>
      </c>
      <c r="D16959" s="69" t="s">
        <v>29419</v>
      </c>
      <c r="E16959" s="51"/>
      <c r="F16959" s="114" t="str">
        <f>IF(INDEX(I.Facility.P3IDNumber,1947)="","",INDEX(I.Facility.P3IDNumber,1947))</f>
        <v/>
      </c>
      <c r="G16959" s="51"/>
      <c r="H16959" s="46" t="str">
        <f>IF(AND(I.Developer.P3=TRUE,I.Facility.P3FacilityCount&gt;=1947,F16959=""),"Incomplete","Complete")</f>
        <v>Complete</v>
      </c>
      <c r="I16959" s="48" t="s">
        <v>21324</v>
      </c>
    </row>
    <row r="16960" spans="2:9" ht="15" customHeight="1" x14ac:dyDescent="0.25">
      <c r="B16960" s="55" t="s">
        <v>282</v>
      </c>
      <c r="C16960" s="46">
        <v>1948</v>
      </c>
      <c r="D16960" s="69" t="s">
        <v>29419</v>
      </c>
      <c r="E16960" s="51"/>
      <c r="F16960" s="114" t="str">
        <f>IF(INDEX(I.Facility.P3IDNumber,1948)="","",INDEX(I.Facility.P3IDNumber,1948))</f>
        <v/>
      </c>
      <c r="G16960" s="51"/>
      <c r="H16960" s="46" t="str">
        <f>IF(AND(I.Developer.P3=TRUE,I.Facility.P3FacilityCount&gt;=1948,F16960=""),"Incomplete","Complete")</f>
        <v>Complete</v>
      </c>
      <c r="I16960" s="48" t="s">
        <v>21325</v>
      </c>
    </row>
    <row r="16961" spans="2:9" ht="15" customHeight="1" x14ac:dyDescent="0.25">
      <c r="B16961" s="55" t="s">
        <v>282</v>
      </c>
      <c r="C16961" s="46">
        <v>1949</v>
      </c>
      <c r="D16961" s="69" t="s">
        <v>29419</v>
      </c>
      <c r="E16961" s="51"/>
      <c r="F16961" s="114" t="str">
        <f>IF(INDEX(I.Facility.P3IDNumber,1949)="","",INDEX(I.Facility.P3IDNumber,1949))</f>
        <v/>
      </c>
      <c r="G16961" s="51"/>
      <c r="H16961" s="46" t="str">
        <f>IF(AND(I.Developer.P3=TRUE,I.Facility.P3FacilityCount&gt;=1949,F16961=""),"Incomplete","Complete")</f>
        <v>Complete</v>
      </c>
      <c r="I16961" s="48" t="s">
        <v>21326</v>
      </c>
    </row>
    <row r="16962" spans="2:9" ht="15" customHeight="1" x14ac:dyDescent="0.25">
      <c r="B16962" s="55" t="s">
        <v>282</v>
      </c>
      <c r="C16962" s="46">
        <v>1950</v>
      </c>
      <c r="D16962" s="69" t="s">
        <v>29419</v>
      </c>
      <c r="E16962" s="51"/>
      <c r="F16962" s="114" t="str">
        <f>IF(INDEX(I.Facility.P3IDNumber,1950)="","",INDEX(I.Facility.P3IDNumber,1950))</f>
        <v/>
      </c>
      <c r="G16962" s="51"/>
      <c r="H16962" s="46" t="str">
        <f>IF(AND(I.Developer.P3=TRUE,I.Facility.P3FacilityCount&gt;=1950,F16962=""),"Incomplete","Complete")</f>
        <v>Complete</v>
      </c>
      <c r="I16962" s="48" t="s">
        <v>21327</v>
      </c>
    </row>
    <row r="16963" spans="2:9" ht="15" customHeight="1" x14ac:dyDescent="0.25">
      <c r="B16963" s="55" t="s">
        <v>282</v>
      </c>
      <c r="C16963" s="46">
        <v>1951</v>
      </c>
      <c r="D16963" s="69" t="s">
        <v>29419</v>
      </c>
      <c r="E16963" s="51"/>
      <c r="F16963" s="114" t="str">
        <f>IF(INDEX(I.Facility.P3IDNumber,1951)="","",INDEX(I.Facility.P3IDNumber,1951))</f>
        <v/>
      </c>
      <c r="G16963" s="51"/>
      <c r="H16963" s="46" t="str">
        <f>IF(AND(I.Developer.P3=TRUE,I.Facility.P3FacilityCount&gt;=1951,F16963=""),"Incomplete","Complete")</f>
        <v>Complete</v>
      </c>
      <c r="I16963" s="48" t="s">
        <v>21328</v>
      </c>
    </row>
    <row r="16964" spans="2:9" ht="15" customHeight="1" x14ac:dyDescent="0.25">
      <c r="B16964" s="55" t="s">
        <v>282</v>
      </c>
      <c r="C16964" s="46">
        <v>1952</v>
      </c>
      <c r="D16964" s="69" t="s">
        <v>29419</v>
      </c>
      <c r="E16964" s="51"/>
      <c r="F16964" s="114" t="str">
        <f>IF(INDEX(I.Facility.P3IDNumber,1952)="","",INDEX(I.Facility.P3IDNumber,1952))</f>
        <v/>
      </c>
      <c r="G16964" s="51"/>
      <c r="H16964" s="46" t="str">
        <f>IF(AND(I.Developer.P3=TRUE,I.Facility.P3FacilityCount&gt;=1952,F16964=""),"Incomplete","Complete")</f>
        <v>Complete</v>
      </c>
      <c r="I16964" s="48" t="s">
        <v>21329</v>
      </c>
    </row>
    <row r="16965" spans="2:9" ht="15" customHeight="1" x14ac:dyDescent="0.25">
      <c r="B16965" s="55" t="s">
        <v>282</v>
      </c>
      <c r="C16965" s="46">
        <v>1953</v>
      </c>
      <c r="D16965" s="69" t="s">
        <v>29419</v>
      </c>
      <c r="E16965" s="51"/>
      <c r="F16965" s="114" t="str">
        <f>IF(INDEX(I.Facility.P3IDNumber,1953)="","",INDEX(I.Facility.P3IDNumber,1953))</f>
        <v/>
      </c>
      <c r="G16965" s="51"/>
      <c r="H16965" s="46" t="str">
        <f>IF(AND(I.Developer.P3=TRUE,I.Facility.P3FacilityCount&gt;=1953,F16965=""),"Incomplete","Complete")</f>
        <v>Complete</v>
      </c>
      <c r="I16965" s="48" t="s">
        <v>21330</v>
      </c>
    </row>
    <row r="16966" spans="2:9" ht="15" customHeight="1" x14ac:dyDescent="0.25">
      <c r="B16966" s="55" t="s">
        <v>282</v>
      </c>
      <c r="C16966" s="46">
        <v>1954</v>
      </c>
      <c r="D16966" s="69" t="s">
        <v>29419</v>
      </c>
      <c r="E16966" s="51"/>
      <c r="F16966" s="114" t="str">
        <f>IF(INDEX(I.Facility.P3IDNumber,1954)="","",INDEX(I.Facility.P3IDNumber,1954))</f>
        <v/>
      </c>
      <c r="G16966" s="51"/>
      <c r="H16966" s="46" t="str">
        <f>IF(AND(I.Developer.P3=TRUE,I.Facility.P3FacilityCount&gt;=1954,F16966=""),"Incomplete","Complete")</f>
        <v>Complete</v>
      </c>
      <c r="I16966" s="48" t="s">
        <v>21331</v>
      </c>
    </row>
    <row r="16967" spans="2:9" ht="15" customHeight="1" x14ac:dyDescent="0.25">
      <c r="B16967" s="55" t="s">
        <v>282</v>
      </c>
      <c r="C16967" s="46">
        <v>1955</v>
      </c>
      <c r="D16967" s="69" t="s">
        <v>29419</v>
      </c>
      <c r="E16967" s="51"/>
      <c r="F16967" s="114" t="str">
        <f>IF(INDEX(I.Facility.P3IDNumber,1955)="","",INDEX(I.Facility.P3IDNumber,1955))</f>
        <v/>
      </c>
      <c r="G16967" s="51"/>
      <c r="H16967" s="46" t="str">
        <f>IF(AND(I.Developer.P3=TRUE,I.Facility.P3FacilityCount&gt;=1955,F16967=""),"Incomplete","Complete")</f>
        <v>Complete</v>
      </c>
      <c r="I16967" s="48" t="s">
        <v>21332</v>
      </c>
    </row>
    <row r="16968" spans="2:9" ht="15" customHeight="1" x14ac:dyDescent="0.25">
      <c r="B16968" s="55" t="s">
        <v>282</v>
      </c>
      <c r="C16968" s="46">
        <v>1956</v>
      </c>
      <c r="D16968" s="69" t="s">
        <v>29419</v>
      </c>
      <c r="E16968" s="51"/>
      <c r="F16968" s="114" t="str">
        <f>IF(INDEX(I.Facility.P3IDNumber,1956)="","",INDEX(I.Facility.P3IDNumber,1956))</f>
        <v/>
      </c>
      <c r="G16968" s="51"/>
      <c r="H16968" s="46" t="str">
        <f>IF(AND(I.Developer.P3=TRUE,I.Facility.P3FacilityCount&gt;=1956,F16968=""),"Incomplete","Complete")</f>
        <v>Complete</v>
      </c>
      <c r="I16968" s="48" t="s">
        <v>21333</v>
      </c>
    </row>
    <row r="16969" spans="2:9" ht="15" customHeight="1" x14ac:dyDescent="0.25">
      <c r="B16969" s="55" t="s">
        <v>282</v>
      </c>
      <c r="C16969" s="46">
        <v>1957</v>
      </c>
      <c r="D16969" s="69" t="s">
        <v>29419</v>
      </c>
      <c r="E16969" s="51"/>
      <c r="F16969" s="114" t="str">
        <f>IF(INDEX(I.Facility.P3IDNumber,1957)="","",INDEX(I.Facility.P3IDNumber,1957))</f>
        <v/>
      </c>
      <c r="G16969" s="51"/>
      <c r="H16969" s="46" t="str">
        <f>IF(AND(I.Developer.P3=TRUE,I.Facility.P3FacilityCount&gt;=1957,F16969=""),"Incomplete","Complete")</f>
        <v>Complete</v>
      </c>
      <c r="I16969" s="48" t="s">
        <v>21334</v>
      </c>
    </row>
    <row r="16970" spans="2:9" ht="15" customHeight="1" x14ac:dyDescent="0.25">
      <c r="B16970" s="55" t="s">
        <v>282</v>
      </c>
      <c r="C16970" s="46">
        <v>1958</v>
      </c>
      <c r="D16970" s="69" t="s">
        <v>29419</v>
      </c>
      <c r="E16970" s="51"/>
      <c r="F16970" s="114" t="str">
        <f>IF(INDEX(I.Facility.P3IDNumber,1958)="","",INDEX(I.Facility.P3IDNumber,1958))</f>
        <v/>
      </c>
      <c r="G16970" s="51"/>
      <c r="H16970" s="46" t="str">
        <f>IF(AND(I.Developer.P3=TRUE,I.Facility.P3FacilityCount&gt;=1958,F16970=""),"Incomplete","Complete")</f>
        <v>Complete</v>
      </c>
      <c r="I16970" s="48" t="s">
        <v>21335</v>
      </c>
    </row>
    <row r="16971" spans="2:9" ht="15" customHeight="1" x14ac:dyDescent="0.25">
      <c r="B16971" s="55" t="s">
        <v>282</v>
      </c>
      <c r="C16971" s="46">
        <v>1959</v>
      </c>
      <c r="D16971" s="69" t="s">
        <v>29419</v>
      </c>
      <c r="E16971" s="51"/>
      <c r="F16971" s="114" t="str">
        <f>IF(INDEX(I.Facility.P3IDNumber,1959)="","",INDEX(I.Facility.P3IDNumber,1959))</f>
        <v/>
      </c>
      <c r="G16971" s="51"/>
      <c r="H16971" s="46" t="str">
        <f>IF(AND(I.Developer.P3=TRUE,I.Facility.P3FacilityCount&gt;=1959,F16971=""),"Incomplete","Complete")</f>
        <v>Complete</v>
      </c>
      <c r="I16971" s="48" t="s">
        <v>21336</v>
      </c>
    </row>
    <row r="16972" spans="2:9" ht="15" customHeight="1" x14ac:dyDescent="0.25">
      <c r="B16972" s="55" t="s">
        <v>282</v>
      </c>
      <c r="C16972" s="46">
        <v>1960</v>
      </c>
      <c r="D16972" s="69" t="s">
        <v>29419</v>
      </c>
      <c r="E16972" s="51"/>
      <c r="F16972" s="114" t="str">
        <f>IF(INDEX(I.Facility.P3IDNumber,1960)="","",INDEX(I.Facility.P3IDNumber,1960))</f>
        <v/>
      </c>
      <c r="G16972" s="51"/>
      <c r="H16972" s="46" t="str">
        <f>IF(AND(I.Developer.P3=TRUE,I.Facility.P3FacilityCount&gt;=1960,F16972=""),"Incomplete","Complete")</f>
        <v>Complete</v>
      </c>
      <c r="I16972" s="48" t="s">
        <v>21337</v>
      </c>
    </row>
    <row r="16973" spans="2:9" ht="15" customHeight="1" x14ac:dyDescent="0.25">
      <c r="B16973" s="55" t="s">
        <v>282</v>
      </c>
      <c r="C16973" s="46">
        <v>1961</v>
      </c>
      <c r="D16973" s="69" t="s">
        <v>29419</v>
      </c>
      <c r="E16973" s="51"/>
      <c r="F16973" s="114" t="str">
        <f>IF(INDEX(I.Facility.P3IDNumber,1961)="","",INDEX(I.Facility.P3IDNumber,1961))</f>
        <v/>
      </c>
      <c r="G16973" s="51"/>
      <c r="H16973" s="46" t="str">
        <f>IF(AND(I.Developer.P3=TRUE,I.Facility.P3FacilityCount&gt;=1961,F16973=""),"Incomplete","Complete")</f>
        <v>Complete</v>
      </c>
      <c r="I16973" s="48" t="s">
        <v>21338</v>
      </c>
    </row>
    <row r="16974" spans="2:9" ht="15" customHeight="1" x14ac:dyDescent="0.25">
      <c r="B16974" s="55" t="s">
        <v>282</v>
      </c>
      <c r="C16974" s="46">
        <v>1962</v>
      </c>
      <c r="D16974" s="69" t="s">
        <v>29419</v>
      </c>
      <c r="E16974" s="51"/>
      <c r="F16974" s="114" t="str">
        <f>IF(INDEX(I.Facility.P3IDNumber,1962)="","",INDEX(I.Facility.P3IDNumber,1962))</f>
        <v/>
      </c>
      <c r="G16974" s="51"/>
      <c r="H16974" s="46" t="str">
        <f>IF(AND(I.Developer.P3=TRUE,I.Facility.P3FacilityCount&gt;=1962,F16974=""),"Incomplete","Complete")</f>
        <v>Complete</v>
      </c>
      <c r="I16974" s="48" t="s">
        <v>21339</v>
      </c>
    </row>
    <row r="16975" spans="2:9" ht="15" customHeight="1" x14ac:dyDescent="0.25">
      <c r="B16975" s="55" t="s">
        <v>282</v>
      </c>
      <c r="C16975" s="46">
        <v>1963</v>
      </c>
      <c r="D16975" s="69" t="s">
        <v>29419</v>
      </c>
      <c r="E16975" s="51"/>
      <c r="F16975" s="114" t="str">
        <f>IF(INDEX(I.Facility.P3IDNumber,1963)="","",INDEX(I.Facility.P3IDNumber,1963))</f>
        <v/>
      </c>
      <c r="G16975" s="51"/>
      <c r="H16975" s="46" t="str">
        <f>IF(AND(I.Developer.P3=TRUE,I.Facility.P3FacilityCount&gt;=1963,F16975=""),"Incomplete","Complete")</f>
        <v>Complete</v>
      </c>
      <c r="I16975" s="48" t="s">
        <v>21340</v>
      </c>
    </row>
    <row r="16976" spans="2:9" ht="15" customHeight="1" x14ac:dyDescent="0.25">
      <c r="B16976" s="55" t="s">
        <v>282</v>
      </c>
      <c r="C16976" s="46">
        <v>1964</v>
      </c>
      <c r="D16976" s="69" t="s">
        <v>29419</v>
      </c>
      <c r="E16976" s="51"/>
      <c r="F16976" s="114" t="str">
        <f>IF(INDEX(I.Facility.P3IDNumber,1964)="","",INDEX(I.Facility.P3IDNumber,1964))</f>
        <v/>
      </c>
      <c r="G16976" s="51"/>
      <c r="H16976" s="46" t="str">
        <f>IF(AND(I.Developer.P3=TRUE,I.Facility.P3FacilityCount&gt;=1964,F16976=""),"Incomplete","Complete")</f>
        <v>Complete</v>
      </c>
      <c r="I16976" s="48" t="s">
        <v>21341</v>
      </c>
    </row>
    <row r="16977" spans="2:9" ht="15" customHeight="1" x14ac:dyDescent="0.25">
      <c r="B16977" s="55" t="s">
        <v>282</v>
      </c>
      <c r="C16977" s="46">
        <v>1965</v>
      </c>
      <c r="D16977" s="69" t="s">
        <v>29419</v>
      </c>
      <c r="E16977" s="51"/>
      <c r="F16977" s="114" t="str">
        <f>IF(INDEX(I.Facility.P3IDNumber,1965)="","",INDEX(I.Facility.P3IDNumber,1965))</f>
        <v/>
      </c>
      <c r="G16977" s="51"/>
      <c r="H16977" s="46" t="str">
        <f>IF(AND(I.Developer.P3=TRUE,I.Facility.P3FacilityCount&gt;=1965,F16977=""),"Incomplete","Complete")</f>
        <v>Complete</v>
      </c>
      <c r="I16977" s="48" t="s">
        <v>21342</v>
      </c>
    </row>
    <row r="16978" spans="2:9" ht="15" customHeight="1" x14ac:dyDescent="0.25">
      <c r="B16978" s="55" t="s">
        <v>282</v>
      </c>
      <c r="C16978" s="46">
        <v>1966</v>
      </c>
      <c r="D16978" s="69" t="s">
        <v>29419</v>
      </c>
      <c r="E16978" s="51"/>
      <c r="F16978" s="114" t="str">
        <f>IF(INDEX(I.Facility.P3IDNumber,1966)="","",INDEX(I.Facility.P3IDNumber,1966))</f>
        <v/>
      </c>
      <c r="G16978" s="51"/>
      <c r="H16978" s="46" t="str">
        <f>IF(AND(I.Developer.P3=TRUE,I.Facility.P3FacilityCount&gt;=1966,F16978=""),"Incomplete","Complete")</f>
        <v>Complete</v>
      </c>
      <c r="I16978" s="48" t="s">
        <v>21343</v>
      </c>
    </row>
    <row r="16979" spans="2:9" ht="15" customHeight="1" x14ac:dyDescent="0.25">
      <c r="B16979" s="55" t="s">
        <v>282</v>
      </c>
      <c r="C16979" s="46">
        <v>1967</v>
      </c>
      <c r="D16979" s="69" t="s">
        <v>29419</v>
      </c>
      <c r="E16979" s="51"/>
      <c r="F16979" s="114" t="str">
        <f>IF(INDEX(I.Facility.P3IDNumber,1967)="","",INDEX(I.Facility.P3IDNumber,1967))</f>
        <v/>
      </c>
      <c r="G16979" s="51"/>
      <c r="H16979" s="46" t="str">
        <f>IF(AND(I.Developer.P3=TRUE,I.Facility.P3FacilityCount&gt;=1967,F16979=""),"Incomplete","Complete")</f>
        <v>Complete</v>
      </c>
      <c r="I16979" s="48" t="s">
        <v>21344</v>
      </c>
    </row>
    <row r="16980" spans="2:9" ht="15" customHeight="1" x14ac:dyDescent="0.25">
      <c r="B16980" s="55" t="s">
        <v>282</v>
      </c>
      <c r="C16980" s="46">
        <v>1968</v>
      </c>
      <c r="D16980" s="69" t="s">
        <v>29419</v>
      </c>
      <c r="E16980" s="51"/>
      <c r="F16980" s="114" t="str">
        <f>IF(INDEX(I.Facility.P3IDNumber,1968)="","",INDEX(I.Facility.P3IDNumber,1968))</f>
        <v/>
      </c>
      <c r="G16980" s="51"/>
      <c r="H16980" s="46" t="str">
        <f>IF(AND(I.Developer.P3=TRUE,I.Facility.P3FacilityCount&gt;=1968,F16980=""),"Incomplete","Complete")</f>
        <v>Complete</v>
      </c>
      <c r="I16980" s="48" t="s">
        <v>21345</v>
      </c>
    </row>
    <row r="16981" spans="2:9" ht="15" customHeight="1" x14ac:dyDescent="0.25">
      <c r="B16981" s="55" t="s">
        <v>282</v>
      </c>
      <c r="C16981" s="46">
        <v>1969</v>
      </c>
      <c r="D16981" s="69" t="s">
        <v>29419</v>
      </c>
      <c r="E16981" s="51"/>
      <c r="F16981" s="114" t="str">
        <f>IF(INDEX(I.Facility.P3IDNumber,1969)="","",INDEX(I.Facility.P3IDNumber,1969))</f>
        <v/>
      </c>
      <c r="G16981" s="51"/>
      <c r="H16981" s="46" t="str">
        <f>IF(AND(I.Developer.P3=TRUE,I.Facility.P3FacilityCount&gt;=1969,F16981=""),"Incomplete","Complete")</f>
        <v>Complete</v>
      </c>
      <c r="I16981" s="48" t="s">
        <v>21346</v>
      </c>
    </row>
    <row r="16982" spans="2:9" ht="15" customHeight="1" x14ac:dyDescent="0.25">
      <c r="B16982" s="55" t="s">
        <v>282</v>
      </c>
      <c r="C16982" s="46">
        <v>1970</v>
      </c>
      <c r="D16982" s="69" t="s">
        <v>29419</v>
      </c>
      <c r="E16982" s="51"/>
      <c r="F16982" s="114" t="str">
        <f>IF(INDEX(I.Facility.P3IDNumber,1970)="","",INDEX(I.Facility.P3IDNumber,1970))</f>
        <v/>
      </c>
      <c r="G16982" s="51"/>
      <c r="H16982" s="46" t="str">
        <f>IF(AND(I.Developer.P3=TRUE,I.Facility.P3FacilityCount&gt;=1970,F16982=""),"Incomplete","Complete")</f>
        <v>Complete</v>
      </c>
      <c r="I16982" s="48" t="s">
        <v>21347</v>
      </c>
    </row>
    <row r="16983" spans="2:9" ht="15" customHeight="1" x14ac:dyDescent="0.25">
      <c r="B16983" s="55" t="s">
        <v>282</v>
      </c>
      <c r="C16983" s="46">
        <v>1971</v>
      </c>
      <c r="D16983" s="69" t="s">
        <v>29419</v>
      </c>
      <c r="E16983" s="51"/>
      <c r="F16983" s="114" t="str">
        <f>IF(INDEX(I.Facility.P3IDNumber,1971)="","",INDEX(I.Facility.P3IDNumber,1971))</f>
        <v/>
      </c>
      <c r="G16983" s="51"/>
      <c r="H16983" s="46" t="str">
        <f>IF(AND(I.Developer.P3=TRUE,I.Facility.P3FacilityCount&gt;=1971,F16983=""),"Incomplete","Complete")</f>
        <v>Complete</v>
      </c>
      <c r="I16983" s="48" t="s">
        <v>21348</v>
      </c>
    </row>
    <row r="16984" spans="2:9" ht="15" customHeight="1" x14ac:dyDescent="0.25">
      <c r="B16984" s="55" t="s">
        <v>282</v>
      </c>
      <c r="C16984" s="46">
        <v>1972</v>
      </c>
      <c r="D16984" s="69" t="s">
        <v>29419</v>
      </c>
      <c r="E16984" s="51"/>
      <c r="F16984" s="114" t="str">
        <f>IF(INDEX(I.Facility.P3IDNumber,1972)="","",INDEX(I.Facility.P3IDNumber,1972))</f>
        <v/>
      </c>
      <c r="G16984" s="51"/>
      <c r="H16984" s="46" t="str">
        <f>IF(AND(I.Developer.P3=TRUE,I.Facility.P3FacilityCount&gt;=1972,F16984=""),"Incomplete","Complete")</f>
        <v>Complete</v>
      </c>
      <c r="I16984" s="48" t="s">
        <v>21349</v>
      </c>
    </row>
    <row r="16985" spans="2:9" ht="15" customHeight="1" x14ac:dyDescent="0.25">
      <c r="B16985" s="55" t="s">
        <v>282</v>
      </c>
      <c r="C16985" s="46">
        <v>1973</v>
      </c>
      <c r="D16985" s="69" t="s">
        <v>29419</v>
      </c>
      <c r="E16985" s="51"/>
      <c r="F16985" s="114" t="str">
        <f>IF(INDEX(I.Facility.P3IDNumber,1973)="","",INDEX(I.Facility.P3IDNumber,1973))</f>
        <v/>
      </c>
      <c r="G16985" s="51"/>
      <c r="H16985" s="46" t="str">
        <f>IF(AND(I.Developer.P3=TRUE,I.Facility.P3FacilityCount&gt;=1973,F16985=""),"Incomplete","Complete")</f>
        <v>Complete</v>
      </c>
      <c r="I16985" s="48" t="s">
        <v>21350</v>
      </c>
    </row>
    <row r="16986" spans="2:9" ht="15" customHeight="1" x14ac:dyDescent="0.25">
      <c r="B16986" s="55" t="s">
        <v>282</v>
      </c>
      <c r="C16986" s="46">
        <v>1974</v>
      </c>
      <c r="D16986" s="69" t="s">
        <v>29419</v>
      </c>
      <c r="E16986" s="51"/>
      <c r="F16986" s="114" t="str">
        <f>IF(INDEX(I.Facility.P3IDNumber,1974)="","",INDEX(I.Facility.P3IDNumber,1974))</f>
        <v/>
      </c>
      <c r="G16986" s="51"/>
      <c r="H16986" s="46" t="str">
        <f>IF(AND(I.Developer.P3=TRUE,I.Facility.P3FacilityCount&gt;=1974,F16986=""),"Incomplete","Complete")</f>
        <v>Complete</v>
      </c>
      <c r="I16986" s="48" t="s">
        <v>21351</v>
      </c>
    </row>
    <row r="16987" spans="2:9" ht="15" customHeight="1" x14ac:dyDescent="0.25">
      <c r="B16987" s="55" t="s">
        <v>282</v>
      </c>
      <c r="C16987" s="46">
        <v>1975</v>
      </c>
      <c r="D16987" s="69" t="s">
        <v>29419</v>
      </c>
      <c r="E16987" s="51"/>
      <c r="F16987" s="114" t="str">
        <f>IF(INDEX(I.Facility.P3IDNumber,1975)="","",INDEX(I.Facility.P3IDNumber,1975))</f>
        <v/>
      </c>
      <c r="G16987" s="51"/>
      <c r="H16987" s="46" t="str">
        <f>IF(AND(I.Developer.P3=TRUE,I.Facility.P3FacilityCount&gt;=1975,F16987=""),"Incomplete","Complete")</f>
        <v>Complete</v>
      </c>
      <c r="I16987" s="48" t="s">
        <v>21352</v>
      </c>
    </row>
    <row r="16988" spans="2:9" ht="15" customHeight="1" x14ac:dyDescent="0.25">
      <c r="B16988" s="55" t="s">
        <v>282</v>
      </c>
      <c r="C16988" s="46">
        <v>1976</v>
      </c>
      <c r="D16988" s="69" t="s">
        <v>29419</v>
      </c>
      <c r="E16988" s="51"/>
      <c r="F16988" s="114" t="str">
        <f>IF(INDEX(I.Facility.P3IDNumber,1976)="","",INDEX(I.Facility.P3IDNumber,1976))</f>
        <v/>
      </c>
      <c r="G16988" s="51"/>
      <c r="H16988" s="46" t="str">
        <f>IF(AND(I.Developer.P3=TRUE,I.Facility.P3FacilityCount&gt;=1976,F16988=""),"Incomplete","Complete")</f>
        <v>Complete</v>
      </c>
      <c r="I16988" s="48" t="s">
        <v>21353</v>
      </c>
    </row>
    <row r="16989" spans="2:9" ht="15" customHeight="1" x14ac:dyDescent="0.25">
      <c r="B16989" s="55" t="s">
        <v>282</v>
      </c>
      <c r="C16989" s="46">
        <v>1977</v>
      </c>
      <c r="D16989" s="69" t="s">
        <v>29419</v>
      </c>
      <c r="E16989" s="51"/>
      <c r="F16989" s="114" t="str">
        <f>IF(INDEX(I.Facility.P3IDNumber,1977)="","",INDEX(I.Facility.P3IDNumber,1977))</f>
        <v/>
      </c>
      <c r="G16989" s="51"/>
      <c r="H16989" s="46" t="str">
        <f>IF(AND(I.Developer.P3=TRUE,I.Facility.P3FacilityCount&gt;=1977,F16989=""),"Incomplete","Complete")</f>
        <v>Complete</v>
      </c>
      <c r="I16989" s="48" t="s">
        <v>21354</v>
      </c>
    </row>
    <row r="16990" spans="2:9" ht="15" customHeight="1" x14ac:dyDescent="0.25">
      <c r="B16990" s="55" t="s">
        <v>282</v>
      </c>
      <c r="C16990" s="46">
        <v>1978</v>
      </c>
      <c r="D16990" s="69" t="s">
        <v>29419</v>
      </c>
      <c r="E16990" s="51"/>
      <c r="F16990" s="114" t="str">
        <f>IF(INDEX(I.Facility.P3IDNumber,1978)="","",INDEX(I.Facility.P3IDNumber,1978))</f>
        <v/>
      </c>
      <c r="G16990" s="51"/>
      <c r="H16990" s="46" t="str">
        <f>IF(AND(I.Developer.P3=TRUE,I.Facility.P3FacilityCount&gt;=1978,F16990=""),"Incomplete","Complete")</f>
        <v>Complete</v>
      </c>
      <c r="I16990" s="48" t="s">
        <v>21355</v>
      </c>
    </row>
    <row r="16991" spans="2:9" ht="15" customHeight="1" x14ac:dyDescent="0.25">
      <c r="B16991" s="55" t="s">
        <v>282</v>
      </c>
      <c r="C16991" s="46">
        <v>1979</v>
      </c>
      <c r="D16991" s="69" t="s">
        <v>29419</v>
      </c>
      <c r="E16991" s="51"/>
      <c r="F16991" s="114" t="str">
        <f>IF(INDEX(I.Facility.P3IDNumber,1979)="","",INDEX(I.Facility.P3IDNumber,1979))</f>
        <v/>
      </c>
      <c r="G16991" s="51"/>
      <c r="H16991" s="46" t="str">
        <f>IF(AND(I.Developer.P3=TRUE,I.Facility.P3FacilityCount&gt;=1979,F16991=""),"Incomplete","Complete")</f>
        <v>Complete</v>
      </c>
      <c r="I16991" s="48" t="s">
        <v>21356</v>
      </c>
    </row>
    <row r="16992" spans="2:9" ht="15" customHeight="1" x14ac:dyDescent="0.25">
      <c r="B16992" s="55" t="s">
        <v>282</v>
      </c>
      <c r="C16992" s="46">
        <v>1980</v>
      </c>
      <c r="D16992" s="69" t="s">
        <v>29419</v>
      </c>
      <c r="E16992" s="51"/>
      <c r="F16992" s="114" t="str">
        <f>IF(INDEX(I.Facility.P3IDNumber,1980)="","",INDEX(I.Facility.P3IDNumber,1980))</f>
        <v/>
      </c>
      <c r="G16992" s="51"/>
      <c r="H16992" s="46" t="str">
        <f>IF(AND(I.Developer.P3=TRUE,I.Facility.P3FacilityCount&gt;=1980,F16992=""),"Incomplete","Complete")</f>
        <v>Complete</v>
      </c>
      <c r="I16992" s="48" t="s">
        <v>21357</v>
      </c>
    </row>
    <row r="16993" spans="2:9" ht="15" customHeight="1" x14ac:dyDescent="0.25">
      <c r="B16993" s="55" t="s">
        <v>282</v>
      </c>
      <c r="C16993" s="46">
        <v>1981</v>
      </c>
      <c r="D16993" s="69" t="s">
        <v>29419</v>
      </c>
      <c r="E16993" s="51"/>
      <c r="F16993" s="114" t="str">
        <f>IF(INDEX(I.Facility.P3IDNumber,1981)="","",INDEX(I.Facility.P3IDNumber,1981))</f>
        <v/>
      </c>
      <c r="G16993" s="51"/>
      <c r="H16993" s="46" t="str">
        <f>IF(AND(I.Developer.P3=TRUE,I.Facility.P3FacilityCount&gt;=1981,F16993=""),"Incomplete","Complete")</f>
        <v>Complete</v>
      </c>
      <c r="I16993" s="48" t="s">
        <v>21358</v>
      </c>
    </row>
    <row r="16994" spans="2:9" ht="15" customHeight="1" x14ac:dyDescent="0.25">
      <c r="B16994" s="55" t="s">
        <v>282</v>
      </c>
      <c r="C16994" s="46">
        <v>1982</v>
      </c>
      <c r="D16994" s="69" t="s">
        <v>29419</v>
      </c>
      <c r="E16994" s="51"/>
      <c r="F16994" s="114" t="str">
        <f>IF(INDEX(I.Facility.P3IDNumber,1982)="","",INDEX(I.Facility.P3IDNumber,1982))</f>
        <v/>
      </c>
      <c r="G16994" s="51"/>
      <c r="H16994" s="46" t="str">
        <f>IF(AND(I.Developer.P3=TRUE,I.Facility.P3FacilityCount&gt;=1982,F16994=""),"Incomplete","Complete")</f>
        <v>Complete</v>
      </c>
      <c r="I16994" s="48" t="s">
        <v>21359</v>
      </c>
    </row>
    <row r="16995" spans="2:9" ht="15" customHeight="1" x14ac:dyDescent="0.25">
      <c r="B16995" s="55" t="s">
        <v>282</v>
      </c>
      <c r="C16995" s="46">
        <v>1983</v>
      </c>
      <c r="D16995" s="69" t="s">
        <v>29419</v>
      </c>
      <c r="E16995" s="51"/>
      <c r="F16995" s="114" t="str">
        <f>IF(INDEX(I.Facility.P3IDNumber,1983)="","",INDEX(I.Facility.P3IDNumber,1983))</f>
        <v/>
      </c>
      <c r="G16995" s="51"/>
      <c r="H16995" s="46" t="str">
        <f>IF(AND(I.Developer.P3=TRUE,I.Facility.P3FacilityCount&gt;=1983,F16995=""),"Incomplete","Complete")</f>
        <v>Complete</v>
      </c>
      <c r="I16995" s="48" t="s">
        <v>21360</v>
      </c>
    </row>
    <row r="16996" spans="2:9" ht="15" customHeight="1" x14ac:dyDescent="0.25">
      <c r="B16996" s="55" t="s">
        <v>282</v>
      </c>
      <c r="C16996" s="46">
        <v>1984</v>
      </c>
      <c r="D16996" s="69" t="s">
        <v>29419</v>
      </c>
      <c r="E16996" s="51"/>
      <c r="F16996" s="114" t="str">
        <f>IF(INDEX(I.Facility.P3IDNumber,1984)="","",INDEX(I.Facility.P3IDNumber,1984))</f>
        <v/>
      </c>
      <c r="G16996" s="51"/>
      <c r="H16996" s="46" t="str">
        <f>IF(AND(I.Developer.P3=TRUE,I.Facility.P3FacilityCount&gt;=1984,F16996=""),"Incomplete","Complete")</f>
        <v>Complete</v>
      </c>
      <c r="I16996" s="48" t="s">
        <v>21361</v>
      </c>
    </row>
    <row r="16997" spans="2:9" ht="15" customHeight="1" x14ac:dyDescent="0.25">
      <c r="B16997" s="55" t="s">
        <v>282</v>
      </c>
      <c r="C16997" s="46">
        <v>1985</v>
      </c>
      <c r="D16997" s="69" t="s">
        <v>29419</v>
      </c>
      <c r="E16997" s="51"/>
      <c r="F16997" s="114" t="str">
        <f>IF(INDEX(I.Facility.P3IDNumber,1985)="","",INDEX(I.Facility.P3IDNumber,1985))</f>
        <v/>
      </c>
      <c r="G16997" s="51"/>
      <c r="H16997" s="46" t="str">
        <f>IF(AND(I.Developer.P3=TRUE,I.Facility.P3FacilityCount&gt;=1985,F16997=""),"Incomplete","Complete")</f>
        <v>Complete</v>
      </c>
      <c r="I16997" s="48" t="s">
        <v>21362</v>
      </c>
    </row>
    <row r="16998" spans="2:9" ht="15" customHeight="1" x14ac:dyDescent="0.25">
      <c r="B16998" s="55" t="s">
        <v>282</v>
      </c>
      <c r="C16998" s="46">
        <v>1986</v>
      </c>
      <c r="D16998" s="69" t="s">
        <v>29419</v>
      </c>
      <c r="E16998" s="51"/>
      <c r="F16998" s="114" t="str">
        <f>IF(INDEX(I.Facility.P3IDNumber,1986)="","",INDEX(I.Facility.P3IDNumber,1986))</f>
        <v/>
      </c>
      <c r="G16998" s="51"/>
      <c r="H16998" s="46" t="str">
        <f>IF(AND(I.Developer.P3=TRUE,I.Facility.P3FacilityCount&gt;=1986,F16998=""),"Incomplete","Complete")</f>
        <v>Complete</v>
      </c>
      <c r="I16998" s="48" t="s">
        <v>21363</v>
      </c>
    </row>
    <row r="16999" spans="2:9" ht="15" customHeight="1" x14ac:dyDescent="0.25">
      <c r="B16999" s="55" t="s">
        <v>282</v>
      </c>
      <c r="C16999" s="46">
        <v>1987</v>
      </c>
      <c r="D16999" s="69" t="s">
        <v>29419</v>
      </c>
      <c r="E16999" s="51"/>
      <c r="F16999" s="114" t="str">
        <f>IF(INDEX(I.Facility.P3IDNumber,1987)="","",INDEX(I.Facility.P3IDNumber,1987))</f>
        <v/>
      </c>
      <c r="G16999" s="51"/>
      <c r="H16999" s="46" t="str">
        <f>IF(AND(I.Developer.P3=TRUE,I.Facility.P3FacilityCount&gt;=1987,F16999=""),"Incomplete","Complete")</f>
        <v>Complete</v>
      </c>
      <c r="I16999" s="48" t="s">
        <v>21364</v>
      </c>
    </row>
    <row r="17000" spans="2:9" ht="15" customHeight="1" x14ac:dyDescent="0.25">
      <c r="B17000" s="55" t="s">
        <v>282</v>
      </c>
      <c r="C17000" s="46">
        <v>1988</v>
      </c>
      <c r="D17000" s="69" t="s">
        <v>29419</v>
      </c>
      <c r="E17000" s="51"/>
      <c r="F17000" s="114" t="str">
        <f>IF(INDEX(I.Facility.P3IDNumber,1988)="","",INDEX(I.Facility.P3IDNumber,1988))</f>
        <v/>
      </c>
      <c r="G17000" s="51"/>
      <c r="H17000" s="46" t="str">
        <f>IF(AND(I.Developer.P3=TRUE,I.Facility.P3FacilityCount&gt;=1988,F17000=""),"Incomplete","Complete")</f>
        <v>Complete</v>
      </c>
      <c r="I17000" s="48" t="s">
        <v>21365</v>
      </c>
    </row>
    <row r="17001" spans="2:9" ht="15" customHeight="1" x14ac:dyDescent="0.25">
      <c r="B17001" s="55" t="s">
        <v>282</v>
      </c>
      <c r="C17001" s="46">
        <v>1989</v>
      </c>
      <c r="D17001" s="69" t="s">
        <v>29419</v>
      </c>
      <c r="E17001" s="51"/>
      <c r="F17001" s="114" t="str">
        <f>IF(INDEX(I.Facility.P3IDNumber,1989)="","",INDEX(I.Facility.P3IDNumber,1989))</f>
        <v/>
      </c>
      <c r="G17001" s="51"/>
      <c r="H17001" s="46" t="str">
        <f>IF(AND(I.Developer.P3=TRUE,I.Facility.P3FacilityCount&gt;=1989,F17001=""),"Incomplete","Complete")</f>
        <v>Complete</v>
      </c>
      <c r="I17001" s="48" t="s">
        <v>21366</v>
      </c>
    </row>
    <row r="17002" spans="2:9" ht="15" customHeight="1" x14ac:dyDescent="0.25">
      <c r="B17002" s="55" t="s">
        <v>282</v>
      </c>
      <c r="C17002" s="46">
        <v>1990</v>
      </c>
      <c r="D17002" s="69" t="s">
        <v>29419</v>
      </c>
      <c r="E17002" s="51"/>
      <c r="F17002" s="114" t="str">
        <f>IF(INDEX(I.Facility.P3IDNumber,1990)="","",INDEX(I.Facility.P3IDNumber,1990))</f>
        <v/>
      </c>
      <c r="G17002" s="51"/>
      <c r="H17002" s="46" t="str">
        <f>IF(AND(I.Developer.P3=TRUE,I.Facility.P3FacilityCount&gt;=1990,F17002=""),"Incomplete","Complete")</f>
        <v>Complete</v>
      </c>
      <c r="I17002" s="48" t="s">
        <v>21367</v>
      </c>
    </row>
    <row r="17003" spans="2:9" ht="15" customHeight="1" x14ac:dyDescent="0.25">
      <c r="B17003" s="55" t="s">
        <v>282</v>
      </c>
      <c r="C17003" s="46">
        <v>1991</v>
      </c>
      <c r="D17003" s="69" t="s">
        <v>29419</v>
      </c>
      <c r="E17003" s="51"/>
      <c r="F17003" s="114" t="str">
        <f>IF(INDEX(I.Facility.P3IDNumber,1991)="","",INDEX(I.Facility.P3IDNumber,1991))</f>
        <v/>
      </c>
      <c r="G17003" s="51"/>
      <c r="H17003" s="46" t="str">
        <f>IF(AND(I.Developer.P3=TRUE,I.Facility.P3FacilityCount&gt;=1991,F17003=""),"Incomplete","Complete")</f>
        <v>Complete</v>
      </c>
      <c r="I17003" s="48" t="s">
        <v>21368</v>
      </c>
    </row>
    <row r="17004" spans="2:9" ht="15" customHeight="1" x14ac:dyDescent="0.25">
      <c r="B17004" s="55" t="s">
        <v>282</v>
      </c>
      <c r="C17004" s="46">
        <v>1992</v>
      </c>
      <c r="D17004" s="69" t="s">
        <v>29419</v>
      </c>
      <c r="E17004" s="51"/>
      <c r="F17004" s="114" t="str">
        <f>IF(INDEX(I.Facility.P3IDNumber,1992)="","",INDEX(I.Facility.P3IDNumber,1992))</f>
        <v/>
      </c>
      <c r="G17004" s="51"/>
      <c r="H17004" s="46" t="str">
        <f>IF(AND(I.Developer.P3=TRUE,I.Facility.P3FacilityCount&gt;=1992,F17004=""),"Incomplete","Complete")</f>
        <v>Complete</v>
      </c>
      <c r="I17004" s="48" t="s">
        <v>21369</v>
      </c>
    </row>
    <row r="17005" spans="2:9" ht="15" customHeight="1" x14ac:dyDescent="0.25">
      <c r="B17005" s="55" t="s">
        <v>282</v>
      </c>
      <c r="C17005" s="46">
        <v>1993</v>
      </c>
      <c r="D17005" s="69" t="s">
        <v>29419</v>
      </c>
      <c r="E17005" s="51"/>
      <c r="F17005" s="114" t="str">
        <f>IF(INDEX(I.Facility.P3IDNumber,1993)="","",INDEX(I.Facility.P3IDNumber,1993))</f>
        <v/>
      </c>
      <c r="G17005" s="51"/>
      <c r="H17005" s="46" t="str">
        <f>IF(AND(I.Developer.P3=TRUE,I.Facility.P3FacilityCount&gt;=1993,F17005=""),"Incomplete","Complete")</f>
        <v>Complete</v>
      </c>
      <c r="I17005" s="48" t="s">
        <v>21370</v>
      </c>
    </row>
    <row r="17006" spans="2:9" ht="15" customHeight="1" x14ac:dyDescent="0.25">
      <c r="B17006" s="55" t="s">
        <v>282</v>
      </c>
      <c r="C17006" s="46">
        <v>1994</v>
      </c>
      <c r="D17006" s="69" t="s">
        <v>29419</v>
      </c>
      <c r="E17006" s="51"/>
      <c r="F17006" s="114" t="str">
        <f>IF(INDEX(I.Facility.P3IDNumber,1994)="","",INDEX(I.Facility.P3IDNumber,1994))</f>
        <v/>
      </c>
      <c r="G17006" s="51"/>
      <c r="H17006" s="46" t="str">
        <f>IF(AND(I.Developer.P3=TRUE,I.Facility.P3FacilityCount&gt;=1994,F17006=""),"Incomplete","Complete")</f>
        <v>Complete</v>
      </c>
      <c r="I17006" s="48" t="s">
        <v>21371</v>
      </c>
    </row>
    <row r="17007" spans="2:9" ht="15" customHeight="1" x14ac:dyDescent="0.25">
      <c r="B17007" s="55" t="s">
        <v>282</v>
      </c>
      <c r="C17007" s="46">
        <v>1995</v>
      </c>
      <c r="D17007" s="69" t="s">
        <v>29419</v>
      </c>
      <c r="E17007" s="51"/>
      <c r="F17007" s="114" t="str">
        <f>IF(INDEX(I.Facility.P3IDNumber,1995)="","",INDEX(I.Facility.P3IDNumber,1995))</f>
        <v/>
      </c>
      <c r="G17007" s="51"/>
      <c r="H17007" s="46" t="str">
        <f>IF(AND(I.Developer.P3=TRUE,I.Facility.P3FacilityCount&gt;=1995,F17007=""),"Incomplete","Complete")</f>
        <v>Complete</v>
      </c>
      <c r="I17007" s="48" t="s">
        <v>21372</v>
      </c>
    </row>
    <row r="17008" spans="2:9" ht="15" customHeight="1" x14ac:dyDescent="0.25">
      <c r="B17008" s="55" t="s">
        <v>282</v>
      </c>
      <c r="C17008" s="46">
        <v>1996</v>
      </c>
      <c r="D17008" s="69" t="s">
        <v>29419</v>
      </c>
      <c r="E17008" s="51"/>
      <c r="F17008" s="114" t="str">
        <f>IF(INDEX(I.Facility.P3IDNumber,1996)="","",INDEX(I.Facility.P3IDNumber,1996))</f>
        <v/>
      </c>
      <c r="G17008" s="51"/>
      <c r="H17008" s="46" t="str">
        <f>IF(AND(I.Developer.P3=TRUE,I.Facility.P3FacilityCount&gt;=1996,F17008=""),"Incomplete","Complete")</f>
        <v>Complete</v>
      </c>
      <c r="I17008" s="48" t="s">
        <v>21373</v>
      </c>
    </row>
    <row r="17009" spans="2:9" ht="15" customHeight="1" x14ac:dyDescent="0.25">
      <c r="B17009" s="55" t="s">
        <v>282</v>
      </c>
      <c r="C17009" s="46">
        <v>1997</v>
      </c>
      <c r="D17009" s="69" t="s">
        <v>29419</v>
      </c>
      <c r="E17009" s="51"/>
      <c r="F17009" s="114" t="str">
        <f>IF(INDEX(I.Facility.P3IDNumber,1997)="","",INDEX(I.Facility.P3IDNumber,1997))</f>
        <v/>
      </c>
      <c r="G17009" s="51"/>
      <c r="H17009" s="46" t="str">
        <f>IF(AND(I.Developer.P3=TRUE,I.Facility.P3FacilityCount&gt;=1997,F17009=""),"Incomplete","Complete")</f>
        <v>Complete</v>
      </c>
      <c r="I17009" s="48" t="s">
        <v>21374</v>
      </c>
    </row>
    <row r="17010" spans="2:9" ht="15" customHeight="1" x14ac:dyDescent="0.25">
      <c r="B17010" s="55" t="s">
        <v>282</v>
      </c>
      <c r="C17010" s="46">
        <v>1998</v>
      </c>
      <c r="D17010" s="69" t="s">
        <v>29419</v>
      </c>
      <c r="E17010" s="51"/>
      <c r="F17010" s="114" t="str">
        <f>IF(INDEX(I.Facility.P3IDNumber,1998)="","",INDEX(I.Facility.P3IDNumber,1998))</f>
        <v/>
      </c>
      <c r="G17010" s="51"/>
      <c r="H17010" s="46" t="str">
        <f>IF(AND(I.Developer.P3=TRUE,I.Facility.P3FacilityCount&gt;=1998,F17010=""),"Incomplete","Complete")</f>
        <v>Complete</v>
      </c>
      <c r="I17010" s="48" t="s">
        <v>21375</v>
      </c>
    </row>
    <row r="17011" spans="2:9" ht="15" customHeight="1" x14ac:dyDescent="0.25">
      <c r="B17011" s="55" t="s">
        <v>282</v>
      </c>
      <c r="C17011" s="46">
        <v>1999</v>
      </c>
      <c r="D17011" s="69" t="s">
        <v>29419</v>
      </c>
      <c r="E17011" s="51"/>
      <c r="F17011" s="114" t="str">
        <f>IF(INDEX(I.Facility.P3IDNumber,1999)="","",INDEX(I.Facility.P3IDNumber,1999))</f>
        <v/>
      </c>
      <c r="G17011" s="51"/>
      <c r="H17011" s="46" t="str">
        <f>IF(AND(I.Developer.P3=TRUE,I.Facility.P3FacilityCount&gt;=1999,F17011=""),"Incomplete","Complete")</f>
        <v>Complete</v>
      </c>
      <c r="I17011" s="48" t="s">
        <v>21376</v>
      </c>
    </row>
    <row r="17012" spans="2:9" ht="15" customHeight="1" x14ac:dyDescent="0.25">
      <c r="B17012" s="55" t="s">
        <v>282</v>
      </c>
      <c r="C17012" s="46">
        <v>2000</v>
      </c>
      <c r="D17012" s="69" t="s">
        <v>29419</v>
      </c>
      <c r="E17012" s="51"/>
      <c r="F17012" s="114" t="str">
        <f>IF(INDEX(I.Facility.P3IDNumber,2000)="","",INDEX(I.Facility.P3IDNumber,2000))</f>
        <v/>
      </c>
      <c r="G17012" s="51"/>
      <c r="H17012" s="46" t="str">
        <f>IF(AND(I.Developer.P3=TRUE,I.Facility.P3FacilityCount&gt;=2000,F17012=""),"Incomplete","Complete")</f>
        <v>Complete</v>
      </c>
      <c r="I17012" s="48" t="s">
        <v>21377</v>
      </c>
    </row>
    <row r="17013" spans="2:9" ht="15" customHeight="1" x14ac:dyDescent="0.25">
      <c r="B17013" s="55" t="s">
        <v>282</v>
      </c>
      <c r="C17013" s="46">
        <v>2001</v>
      </c>
      <c r="D17013" s="69" t="s">
        <v>29419</v>
      </c>
      <c r="E17013" s="51"/>
      <c r="F17013" s="114" t="str">
        <f>IF(INDEX(I.Facility.P3IDNumber,2001)="","",INDEX(I.Facility.P3IDNumber,2001))</f>
        <v/>
      </c>
      <c r="G17013" s="51"/>
      <c r="H17013" s="46" t="str">
        <f>IF(AND(I.Developer.P3=TRUE,I.Facility.P3FacilityCount&gt;=2001,F17013=""),"Incomplete","Complete")</f>
        <v>Complete</v>
      </c>
      <c r="I17013" s="48" t="s">
        <v>21378</v>
      </c>
    </row>
    <row r="17014" spans="2:9" ht="15" customHeight="1" x14ac:dyDescent="0.25">
      <c r="B17014" s="55" t="s">
        <v>282</v>
      </c>
      <c r="C17014" s="46">
        <v>2002</v>
      </c>
      <c r="D17014" s="69" t="s">
        <v>29419</v>
      </c>
      <c r="E17014" s="51"/>
      <c r="F17014" s="114" t="str">
        <f>IF(INDEX(I.Facility.P3IDNumber,2002)="","",INDEX(I.Facility.P3IDNumber,2002))</f>
        <v/>
      </c>
      <c r="G17014" s="51"/>
      <c r="H17014" s="46" t="str">
        <f>IF(AND(I.Developer.P3=TRUE,I.Facility.P3FacilityCount&gt;=2002,F17014=""),"Incomplete","Complete")</f>
        <v>Complete</v>
      </c>
      <c r="I17014" s="48" t="s">
        <v>21379</v>
      </c>
    </row>
    <row r="17015" spans="2:9" ht="15" customHeight="1" x14ac:dyDescent="0.25">
      <c r="B17015" s="55" t="s">
        <v>282</v>
      </c>
      <c r="C17015" s="46">
        <v>2003</v>
      </c>
      <c r="D17015" s="69" t="s">
        <v>29419</v>
      </c>
      <c r="E17015" s="51"/>
      <c r="F17015" s="114" t="str">
        <f>IF(INDEX(I.Facility.P3IDNumber,2003)="","",INDEX(I.Facility.P3IDNumber,2003))</f>
        <v/>
      </c>
      <c r="G17015" s="51"/>
      <c r="H17015" s="46" t="str">
        <f>IF(AND(I.Developer.P3=TRUE,I.Facility.P3FacilityCount&gt;=2003,F17015=""),"Incomplete","Complete")</f>
        <v>Complete</v>
      </c>
      <c r="I17015" s="48" t="s">
        <v>21380</v>
      </c>
    </row>
    <row r="17016" spans="2:9" ht="15" customHeight="1" x14ac:dyDescent="0.25">
      <c r="B17016" s="55" t="s">
        <v>282</v>
      </c>
      <c r="C17016" s="46">
        <v>2004</v>
      </c>
      <c r="D17016" s="69" t="s">
        <v>29419</v>
      </c>
      <c r="E17016" s="51"/>
      <c r="F17016" s="114" t="str">
        <f>IF(INDEX(I.Facility.P3IDNumber,2004)="","",INDEX(I.Facility.P3IDNumber,2004))</f>
        <v/>
      </c>
      <c r="G17016" s="51"/>
      <c r="H17016" s="46" t="str">
        <f>IF(AND(I.Developer.P3=TRUE,I.Facility.P3FacilityCount&gt;=2004,F17016=""),"Incomplete","Complete")</f>
        <v>Complete</v>
      </c>
      <c r="I17016" s="48" t="s">
        <v>21381</v>
      </c>
    </row>
    <row r="17017" spans="2:9" ht="15" customHeight="1" x14ac:dyDescent="0.25">
      <c r="B17017" s="55" t="s">
        <v>282</v>
      </c>
      <c r="C17017" s="46">
        <v>2005</v>
      </c>
      <c r="D17017" s="69" t="s">
        <v>29419</v>
      </c>
      <c r="E17017" s="51"/>
      <c r="F17017" s="114" t="str">
        <f>IF(INDEX(I.Facility.P3IDNumber,2005)="","",INDEX(I.Facility.P3IDNumber,2005))</f>
        <v/>
      </c>
      <c r="G17017" s="51"/>
      <c r="H17017" s="46" t="str">
        <f>IF(AND(I.Developer.P3=TRUE,I.Facility.P3FacilityCount&gt;=2005,F17017=""),"Incomplete","Complete")</f>
        <v>Complete</v>
      </c>
      <c r="I17017" s="48" t="s">
        <v>21382</v>
      </c>
    </row>
    <row r="17018" spans="2:9" ht="15" customHeight="1" x14ac:dyDescent="0.25">
      <c r="B17018" s="55" t="s">
        <v>282</v>
      </c>
      <c r="C17018" s="46">
        <v>2006</v>
      </c>
      <c r="D17018" s="69" t="s">
        <v>29419</v>
      </c>
      <c r="E17018" s="51"/>
      <c r="F17018" s="114" t="str">
        <f>IF(INDEX(I.Facility.P3IDNumber,2006)="","",INDEX(I.Facility.P3IDNumber,2006))</f>
        <v/>
      </c>
      <c r="G17018" s="51"/>
      <c r="H17018" s="46" t="str">
        <f>IF(AND(I.Developer.P3=TRUE,I.Facility.P3FacilityCount&gt;=2006,F17018=""),"Incomplete","Complete")</f>
        <v>Complete</v>
      </c>
      <c r="I17018" s="48" t="s">
        <v>21383</v>
      </c>
    </row>
    <row r="17019" spans="2:9" ht="15" customHeight="1" x14ac:dyDescent="0.25">
      <c r="B17019" s="55" t="s">
        <v>282</v>
      </c>
      <c r="C17019" s="46">
        <v>2007</v>
      </c>
      <c r="D17019" s="69" t="s">
        <v>29419</v>
      </c>
      <c r="E17019" s="51"/>
      <c r="F17019" s="114" t="str">
        <f>IF(INDEX(I.Facility.P3IDNumber,2007)="","",INDEX(I.Facility.P3IDNumber,2007))</f>
        <v/>
      </c>
      <c r="G17019" s="51"/>
      <c r="H17019" s="46" t="str">
        <f>IF(AND(I.Developer.P3=TRUE,I.Facility.P3FacilityCount&gt;=2007,F17019=""),"Incomplete","Complete")</f>
        <v>Complete</v>
      </c>
      <c r="I17019" s="48" t="s">
        <v>21384</v>
      </c>
    </row>
    <row r="17020" spans="2:9" ht="15" customHeight="1" x14ac:dyDescent="0.25">
      <c r="B17020" s="55" t="s">
        <v>282</v>
      </c>
      <c r="C17020" s="46">
        <v>2008</v>
      </c>
      <c r="D17020" s="69" t="s">
        <v>29419</v>
      </c>
      <c r="E17020" s="51"/>
      <c r="F17020" s="114" t="str">
        <f>IF(INDEX(I.Facility.P3IDNumber,2008)="","",INDEX(I.Facility.P3IDNumber,2008))</f>
        <v/>
      </c>
      <c r="G17020" s="51"/>
      <c r="H17020" s="46" t="str">
        <f>IF(AND(I.Developer.P3=TRUE,I.Facility.P3FacilityCount&gt;=2008,F17020=""),"Incomplete","Complete")</f>
        <v>Complete</v>
      </c>
      <c r="I17020" s="48" t="s">
        <v>21385</v>
      </c>
    </row>
    <row r="17021" spans="2:9" ht="15" customHeight="1" x14ac:dyDescent="0.25">
      <c r="B17021" s="55" t="s">
        <v>282</v>
      </c>
      <c r="C17021" s="46">
        <v>2009</v>
      </c>
      <c r="D17021" s="69" t="s">
        <v>29419</v>
      </c>
      <c r="E17021" s="51"/>
      <c r="F17021" s="114" t="str">
        <f>IF(INDEX(I.Facility.P3IDNumber,2009)="","",INDEX(I.Facility.P3IDNumber,2009))</f>
        <v/>
      </c>
      <c r="G17021" s="51"/>
      <c r="H17021" s="46" t="str">
        <f>IF(AND(I.Developer.P3=TRUE,I.Facility.P3FacilityCount&gt;=2009,F17021=""),"Incomplete","Complete")</f>
        <v>Complete</v>
      </c>
      <c r="I17021" s="48" t="s">
        <v>21386</v>
      </c>
    </row>
    <row r="17022" spans="2:9" ht="15" customHeight="1" x14ac:dyDescent="0.25">
      <c r="B17022" s="55" t="s">
        <v>282</v>
      </c>
      <c r="C17022" s="46">
        <v>2010</v>
      </c>
      <c r="D17022" s="69" t="s">
        <v>29419</v>
      </c>
      <c r="E17022" s="51"/>
      <c r="F17022" s="114" t="str">
        <f>IF(INDEX(I.Facility.P3IDNumber,2010)="","",INDEX(I.Facility.P3IDNumber,2010))</f>
        <v/>
      </c>
      <c r="G17022" s="51"/>
      <c r="H17022" s="46" t="str">
        <f>IF(AND(I.Developer.P3=TRUE,I.Facility.P3FacilityCount&gt;=2010,F17022=""),"Incomplete","Complete")</f>
        <v>Complete</v>
      </c>
      <c r="I17022" s="48" t="s">
        <v>21387</v>
      </c>
    </row>
    <row r="17023" spans="2:9" ht="15" customHeight="1" x14ac:dyDescent="0.25">
      <c r="B17023" s="55" t="s">
        <v>282</v>
      </c>
      <c r="C17023" s="46">
        <v>2011</v>
      </c>
      <c r="D17023" s="69" t="s">
        <v>29419</v>
      </c>
      <c r="E17023" s="51"/>
      <c r="F17023" s="114" t="str">
        <f>IF(INDEX(I.Facility.P3IDNumber,2011)="","",INDEX(I.Facility.P3IDNumber,2011))</f>
        <v/>
      </c>
      <c r="G17023" s="51"/>
      <c r="H17023" s="46" t="str">
        <f>IF(AND(I.Developer.P3=TRUE,I.Facility.P3FacilityCount&gt;=2011,F17023=""),"Incomplete","Complete")</f>
        <v>Complete</v>
      </c>
      <c r="I17023" s="48" t="s">
        <v>21388</v>
      </c>
    </row>
    <row r="17024" spans="2:9" ht="15" customHeight="1" x14ac:dyDescent="0.25">
      <c r="B17024" s="55" t="s">
        <v>282</v>
      </c>
      <c r="C17024" s="46">
        <v>2012</v>
      </c>
      <c r="D17024" s="69" t="s">
        <v>29419</v>
      </c>
      <c r="E17024" s="51"/>
      <c r="F17024" s="114" t="str">
        <f>IF(INDEX(I.Facility.P3IDNumber,2012)="","",INDEX(I.Facility.P3IDNumber,2012))</f>
        <v/>
      </c>
      <c r="G17024" s="51"/>
      <c r="H17024" s="46" t="str">
        <f>IF(AND(I.Developer.P3=TRUE,I.Facility.P3FacilityCount&gt;=2012,F17024=""),"Incomplete","Complete")</f>
        <v>Complete</v>
      </c>
      <c r="I17024" s="48" t="s">
        <v>21389</v>
      </c>
    </row>
    <row r="17025" spans="2:9" ht="15" customHeight="1" x14ac:dyDescent="0.25">
      <c r="B17025" s="55" t="s">
        <v>282</v>
      </c>
      <c r="C17025" s="46">
        <v>2013</v>
      </c>
      <c r="D17025" s="69" t="s">
        <v>29419</v>
      </c>
      <c r="E17025" s="51"/>
      <c r="F17025" s="114" t="str">
        <f>IF(INDEX(I.Facility.P3IDNumber,2013)="","",INDEX(I.Facility.P3IDNumber,2013))</f>
        <v/>
      </c>
      <c r="G17025" s="51"/>
      <c r="H17025" s="46" t="str">
        <f>IF(AND(I.Developer.P3=TRUE,I.Facility.P3FacilityCount&gt;=2013,F17025=""),"Incomplete","Complete")</f>
        <v>Complete</v>
      </c>
      <c r="I17025" s="48" t="s">
        <v>21390</v>
      </c>
    </row>
    <row r="17026" spans="2:9" ht="15" customHeight="1" x14ac:dyDescent="0.25">
      <c r="B17026" s="55" t="s">
        <v>282</v>
      </c>
      <c r="C17026" s="46">
        <v>2014</v>
      </c>
      <c r="D17026" s="69" t="s">
        <v>29419</v>
      </c>
      <c r="E17026" s="51"/>
      <c r="F17026" s="114" t="str">
        <f>IF(INDEX(I.Facility.P3IDNumber,2014)="","",INDEX(I.Facility.P3IDNumber,2014))</f>
        <v/>
      </c>
      <c r="G17026" s="51"/>
      <c r="H17026" s="46" t="str">
        <f>IF(AND(I.Developer.P3=TRUE,I.Facility.P3FacilityCount&gt;=2014,F17026=""),"Incomplete","Complete")</f>
        <v>Complete</v>
      </c>
      <c r="I17026" s="48" t="s">
        <v>21391</v>
      </c>
    </row>
    <row r="17027" spans="2:9" ht="15" customHeight="1" x14ac:dyDescent="0.25">
      <c r="B17027" s="55" t="s">
        <v>282</v>
      </c>
      <c r="C17027" s="46">
        <v>2015</v>
      </c>
      <c r="D17027" s="69" t="s">
        <v>29419</v>
      </c>
      <c r="E17027" s="51"/>
      <c r="F17027" s="114" t="str">
        <f>IF(INDEX(I.Facility.P3IDNumber,2015)="","",INDEX(I.Facility.P3IDNumber,2015))</f>
        <v/>
      </c>
      <c r="G17027" s="51"/>
      <c r="H17027" s="46" t="str">
        <f>IF(AND(I.Developer.P3=TRUE,I.Facility.P3FacilityCount&gt;=2015,F17027=""),"Incomplete","Complete")</f>
        <v>Complete</v>
      </c>
      <c r="I17027" s="48" t="s">
        <v>21392</v>
      </c>
    </row>
    <row r="17028" spans="2:9" ht="15" customHeight="1" x14ac:dyDescent="0.25">
      <c r="B17028" s="55" t="s">
        <v>282</v>
      </c>
      <c r="C17028" s="46">
        <v>2016</v>
      </c>
      <c r="D17028" s="69" t="s">
        <v>29419</v>
      </c>
      <c r="E17028" s="51"/>
      <c r="F17028" s="114" t="str">
        <f>IF(INDEX(I.Facility.P3IDNumber,2016)="","",INDEX(I.Facility.P3IDNumber,2016))</f>
        <v/>
      </c>
      <c r="G17028" s="51"/>
      <c r="H17028" s="46" t="str">
        <f>IF(AND(I.Developer.P3=TRUE,I.Facility.P3FacilityCount&gt;=2016,F17028=""),"Incomplete","Complete")</f>
        <v>Complete</v>
      </c>
      <c r="I17028" s="48" t="s">
        <v>21393</v>
      </c>
    </row>
    <row r="17029" spans="2:9" ht="15" customHeight="1" x14ac:dyDescent="0.25">
      <c r="B17029" s="55" t="s">
        <v>282</v>
      </c>
      <c r="C17029" s="46">
        <v>2017</v>
      </c>
      <c r="D17029" s="69" t="s">
        <v>29419</v>
      </c>
      <c r="E17029" s="51"/>
      <c r="F17029" s="114" t="str">
        <f>IF(INDEX(I.Facility.P3IDNumber,2017)="","",INDEX(I.Facility.P3IDNumber,2017))</f>
        <v/>
      </c>
      <c r="G17029" s="51"/>
      <c r="H17029" s="46" t="str">
        <f>IF(AND(I.Developer.P3=TRUE,I.Facility.P3FacilityCount&gt;=2017,F17029=""),"Incomplete","Complete")</f>
        <v>Complete</v>
      </c>
      <c r="I17029" s="48" t="s">
        <v>21394</v>
      </c>
    </row>
    <row r="17030" spans="2:9" ht="15" customHeight="1" x14ac:dyDescent="0.25">
      <c r="B17030" s="55" t="s">
        <v>282</v>
      </c>
      <c r="C17030" s="46">
        <v>2018</v>
      </c>
      <c r="D17030" s="69" t="s">
        <v>29419</v>
      </c>
      <c r="E17030" s="51"/>
      <c r="F17030" s="114" t="str">
        <f>IF(INDEX(I.Facility.P3IDNumber,2018)="","",INDEX(I.Facility.P3IDNumber,2018))</f>
        <v/>
      </c>
      <c r="G17030" s="51"/>
      <c r="H17030" s="46" t="str">
        <f>IF(AND(I.Developer.P3=TRUE,I.Facility.P3FacilityCount&gt;=2018,F17030=""),"Incomplete","Complete")</f>
        <v>Complete</v>
      </c>
      <c r="I17030" s="48" t="s">
        <v>21395</v>
      </c>
    </row>
    <row r="17031" spans="2:9" ht="15" customHeight="1" x14ac:dyDescent="0.25">
      <c r="B17031" s="55" t="s">
        <v>282</v>
      </c>
      <c r="C17031" s="46">
        <v>2019</v>
      </c>
      <c r="D17031" s="69" t="s">
        <v>29419</v>
      </c>
      <c r="E17031" s="51"/>
      <c r="F17031" s="114" t="str">
        <f>IF(INDEX(I.Facility.P3IDNumber,2019)="","",INDEX(I.Facility.P3IDNumber,2019))</f>
        <v/>
      </c>
      <c r="G17031" s="51"/>
      <c r="H17031" s="46" t="str">
        <f>IF(AND(I.Developer.P3=TRUE,I.Facility.P3FacilityCount&gt;=2019,F17031=""),"Incomplete","Complete")</f>
        <v>Complete</v>
      </c>
      <c r="I17031" s="48" t="s">
        <v>21396</v>
      </c>
    </row>
    <row r="17032" spans="2:9" ht="15" customHeight="1" x14ac:dyDescent="0.25">
      <c r="B17032" s="55" t="s">
        <v>282</v>
      </c>
      <c r="C17032" s="46">
        <v>2020</v>
      </c>
      <c r="D17032" s="69" t="s">
        <v>29419</v>
      </c>
      <c r="E17032" s="51"/>
      <c r="F17032" s="114" t="str">
        <f>IF(INDEX(I.Facility.P3IDNumber,2020)="","",INDEX(I.Facility.P3IDNumber,2020))</f>
        <v/>
      </c>
      <c r="G17032" s="51"/>
      <c r="H17032" s="46" t="str">
        <f>IF(AND(I.Developer.P3=TRUE,I.Facility.P3FacilityCount&gt;=2020,F17032=""),"Incomplete","Complete")</f>
        <v>Complete</v>
      </c>
      <c r="I17032" s="48" t="s">
        <v>21397</v>
      </c>
    </row>
    <row r="17033" spans="2:9" ht="15" customHeight="1" x14ac:dyDescent="0.25">
      <c r="B17033" s="55" t="s">
        <v>282</v>
      </c>
      <c r="C17033" s="46">
        <v>2021</v>
      </c>
      <c r="D17033" s="69" t="s">
        <v>29419</v>
      </c>
      <c r="E17033" s="51"/>
      <c r="F17033" s="114" t="str">
        <f>IF(INDEX(I.Facility.P3IDNumber,2021)="","",INDEX(I.Facility.P3IDNumber,2021))</f>
        <v/>
      </c>
      <c r="G17033" s="51"/>
      <c r="H17033" s="46" t="str">
        <f>IF(AND(I.Developer.P3=TRUE,I.Facility.P3FacilityCount&gt;=2021,F17033=""),"Incomplete","Complete")</f>
        <v>Complete</v>
      </c>
      <c r="I17033" s="48" t="s">
        <v>21398</v>
      </c>
    </row>
    <row r="17034" spans="2:9" ht="15" customHeight="1" x14ac:dyDescent="0.25">
      <c r="B17034" s="55" t="s">
        <v>282</v>
      </c>
      <c r="C17034" s="46">
        <v>2022</v>
      </c>
      <c r="D17034" s="69" t="s">
        <v>29419</v>
      </c>
      <c r="E17034" s="51"/>
      <c r="F17034" s="114" t="str">
        <f>IF(INDEX(I.Facility.P3IDNumber,2022)="","",INDEX(I.Facility.P3IDNumber,2022))</f>
        <v/>
      </c>
      <c r="G17034" s="51"/>
      <c r="H17034" s="46" t="str">
        <f>IF(AND(I.Developer.P3=TRUE,I.Facility.P3FacilityCount&gt;=2022,F17034=""),"Incomplete","Complete")</f>
        <v>Complete</v>
      </c>
      <c r="I17034" s="48" t="s">
        <v>21399</v>
      </c>
    </row>
    <row r="17035" spans="2:9" ht="15" customHeight="1" x14ac:dyDescent="0.25">
      <c r="B17035" s="55" t="s">
        <v>282</v>
      </c>
      <c r="C17035" s="46">
        <v>2023</v>
      </c>
      <c r="D17035" s="69" t="s">
        <v>29419</v>
      </c>
      <c r="E17035" s="51"/>
      <c r="F17035" s="114" t="str">
        <f>IF(INDEX(I.Facility.P3IDNumber,2023)="","",INDEX(I.Facility.P3IDNumber,2023))</f>
        <v/>
      </c>
      <c r="G17035" s="51"/>
      <c r="H17035" s="46" t="str">
        <f>IF(AND(I.Developer.P3=TRUE,I.Facility.P3FacilityCount&gt;=2023,F17035=""),"Incomplete","Complete")</f>
        <v>Complete</v>
      </c>
      <c r="I17035" s="48" t="s">
        <v>21400</v>
      </c>
    </row>
    <row r="17036" spans="2:9" ht="15" customHeight="1" x14ac:dyDescent="0.25">
      <c r="B17036" s="55" t="s">
        <v>282</v>
      </c>
      <c r="C17036" s="46">
        <v>2024</v>
      </c>
      <c r="D17036" s="69" t="s">
        <v>29419</v>
      </c>
      <c r="E17036" s="51"/>
      <c r="F17036" s="114" t="str">
        <f>IF(INDEX(I.Facility.P3IDNumber,2024)="","",INDEX(I.Facility.P3IDNumber,2024))</f>
        <v/>
      </c>
      <c r="G17036" s="51"/>
      <c r="H17036" s="46" t="str">
        <f>IF(AND(I.Developer.P3=TRUE,I.Facility.P3FacilityCount&gt;=2024,F17036=""),"Incomplete","Complete")</f>
        <v>Complete</v>
      </c>
      <c r="I17036" s="48" t="s">
        <v>21401</v>
      </c>
    </row>
    <row r="17037" spans="2:9" ht="15" customHeight="1" x14ac:dyDescent="0.25">
      <c r="B17037" s="55" t="s">
        <v>282</v>
      </c>
      <c r="C17037" s="46">
        <v>2025</v>
      </c>
      <c r="D17037" s="69" t="s">
        <v>29419</v>
      </c>
      <c r="E17037" s="51"/>
      <c r="F17037" s="114" t="str">
        <f>IF(INDEX(I.Facility.P3IDNumber,2025)="","",INDEX(I.Facility.P3IDNumber,2025))</f>
        <v/>
      </c>
      <c r="G17037" s="51"/>
      <c r="H17037" s="46" t="str">
        <f>IF(AND(I.Developer.P3=TRUE,I.Facility.P3FacilityCount&gt;=2025,F17037=""),"Incomplete","Complete")</f>
        <v>Complete</v>
      </c>
      <c r="I17037" s="48" t="s">
        <v>21402</v>
      </c>
    </row>
    <row r="17038" spans="2:9" ht="15" customHeight="1" x14ac:dyDescent="0.25">
      <c r="B17038" s="55" t="s">
        <v>282</v>
      </c>
      <c r="C17038" s="46">
        <v>2026</v>
      </c>
      <c r="D17038" s="69" t="s">
        <v>29419</v>
      </c>
      <c r="E17038" s="51"/>
      <c r="F17038" s="114" t="str">
        <f>IF(INDEX(I.Facility.P3IDNumber,2026)="","",INDEX(I.Facility.P3IDNumber,2026))</f>
        <v/>
      </c>
      <c r="G17038" s="51"/>
      <c r="H17038" s="46" t="str">
        <f>IF(AND(I.Developer.P3=TRUE,I.Facility.P3FacilityCount&gt;=2026,F17038=""),"Incomplete","Complete")</f>
        <v>Complete</v>
      </c>
      <c r="I17038" s="48" t="s">
        <v>21403</v>
      </c>
    </row>
    <row r="17039" spans="2:9" ht="15" customHeight="1" x14ac:dyDescent="0.25">
      <c r="B17039" s="55" t="s">
        <v>282</v>
      </c>
      <c r="C17039" s="46">
        <v>2027</v>
      </c>
      <c r="D17039" s="69" t="s">
        <v>29419</v>
      </c>
      <c r="E17039" s="51"/>
      <c r="F17039" s="114" t="str">
        <f>IF(INDEX(I.Facility.P3IDNumber,2027)="","",INDEX(I.Facility.P3IDNumber,2027))</f>
        <v/>
      </c>
      <c r="G17039" s="51"/>
      <c r="H17039" s="46" t="str">
        <f>IF(AND(I.Developer.P3=TRUE,I.Facility.P3FacilityCount&gt;=2027,F17039=""),"Incomplete","Complete")</f>
        <v>Complete</v>
      </c>
      <c r="I17039" s="48" t="s">
        <v>21404</v>
      </c>
    </row>
    <row r="17040" spans="2:9" ht="15" customHeight="1" x14ac:dyDescent="0.25">
      <c r="B17040" s="55" t="s">
        <v>282</v>
      </c>
      <c r="C17040" s="46">
        <v>2028</v>
      </c>
      <c r="D17040" s="69" t="s">
        <v>29419</v>
      </c>
      <c r="E17040" s="51"/>
      <c r="F17040" s="114" t="str">
        <f>IF(INDEX(I.Facility.P3IDNumber,2028)="","",INDEX(I.Facility.P3IDNumber,2028))</f>
        <v/>
      </c>
      <c r="G17040" s="51"/>
      <c r="H17040" s="46" t="str">
        <f>IF(AND(I.Developer.P3=TRUE,I.Facility.P3FacilityCount&gt;=2028,F17040=""),"Incomplete","Complete")</f>
        <v>Complete</v>
      </c>
      <c r="I17040" s="48" t="s">
        <v>21405</v>
      </c>
    </row>
    <row r="17041" spans="2:9" ht="15" customHeight="1" x14ac:dyDescent="0.25">
      <c r="B17041" s="55" t="s">
        <v>282</v>
      </c>
      <c r="C17041" s="46">
        <v>2029</v>
      </c>
      <c r="D17041" s="69" t="s">
        <v>29419</v>
      </c>
      <c r="E17041" s="51"/>
      <c r="F17041" s="114" t="str">
        <f>IF(INDEX(I.Facility.P3IDNumber,2029)="","",INDEX(I.Facility.P3IDNumber,2029))</f>
        <v/>
      </c>
      <c r="G17041" s="51"/>
      <c r="H17041" s="46" t="str">
        <f>IF(AND(I.Developer.P3=TRUE,I.Facility.P3FacilityCount&gt;=2029,F17041=""),"Incomplete","Complete")</f>
        <v>Complete</v>
      </c>
      <c r="I17041" s="48" t="s">
        <v>21406</v>
      </c>
    </row>
    <row r="17042" spans="2:9" ht="15" customHeight="1" x14ac:dyDescent="0.25">
      <c r="B17042" s="55" t="s">
        <v>282</v>
      </c>
      <c r="C17042" s="46">
        <v>2030</v>
      </c>
      <c r="D17042" s="69" t="s">
        <v>29419</v>
      </c>
      <c r="E17042" s="51"/>
      <c r="F17042" s="114" t="str">
        <f>IF(INDEX(I.Facility.P3IDNumber,2030)="","",INDEX(I.Facility.P3IDNumber,2030))</f>
        <v/>
      </c>
      <c r="G17042" s="51"/>
      <c r="H17042" s="46" t="str">
        <f>IF(AND(I.Developer.P3=TRUE,I.Facility.P3FacilityCount&gt;=2030,F17042=""),"Incomplete","Complete")</f>
        <v>Complete</v>
      </c>
      <c r="I17042" s="48" t="s">
        <v>21407</v>
      </c>
    </row>
    <row r="17043" spans="2:9" ht="15" customHeight="1" x14ac:dyDescent="0.25">
      <c r="B17043" s="55" t="s">
        <v>282</v>
      </c>
      <c r="C17043" s="46">
        <v>2031</v>
      </c>
      <c r="D17043" s="69" t="s">
        <v>29419</v>
      </c>
      <c r="E17043" s="51"/>
      <c r="F17043" s="114" t="str">
        <f>IF(INDEX(I.Facility.P3IDNumber,2031)="","",INDEX(I.Facility.P3IDNumber,2031))</f>
        <v/>
      </c>
      <c r="G17043" s="51"/>
      <c r="H17043" s="46" t="str">
        <f>IF(AND(I.Developer.P3=TRUE,I.Facility.P3FacilityCount&gt;=2031,F17043=""),"Incomplete","Complete")</f>
        <v>Complete</v>
      </c>
      <c r="I17043" s="48" t="s">
        <v>21408</v>
      </c>
    </row>
    <row r="17044" spans="2:9" ht="15" customHeight="1" x14ac:dyDescent="0.25">
      <c r="B17044" s="55" t="s">
        <v>282</v>
      </c>
      <c r="C17044" s="46">
        <v>2032</v>
      </c>
      <c r="D17044" s="69" t="s">
        <v>29419</v>
      </c>
      <c r="E17044" s="51"/>
      <c r="F17044" s="114" t="str">
        <f>IF(INDEX(I.Facility.P3IDNumber,2032)="","",INDEX(I.Facility.P3IDNumber,2032))</f>
        <v/>
      </c>
      <c r="G17044" s="51"/>
      <c r="H17044" s="46" t="str">
        <f>IF(AND(I.Developer.P3=TRUE,I.Facility.P3FacilityCount&gt;=2032,F17044=""),"Incomplete","Complete")</f>
        <v>Complete</v>
      </c>
      <c r="I17044" s="48" t="s">
        <v>21409</v>
      </c>
    </row>
    <row r="17045" spans="2:9" ht="15" customHeight="1" x14ac:dyDescent="0.25">
      <c r="B17045" s="55" t="s">
        <v>282</v>
      </c>
      <c r="C17045" s="46">
        <v>2033</v>
      </c>
      <c r="D17045" s="69" t="s">
        <v>29419</v>
      </c>
      <c r="E17045" s="51"/>
      <c r="F17045" s="114" t="str">
        <f>IF(INDEX(I.Facility.P3IDNumber,2033)="","",INDEX(I.Facility.P3IDNumber,2033))</f>
        <v/>
      </c>
      <c r="G17045" s="51"/>
      <c r="H17045" s="46" t="str">
        <f>IF(AND(I.Developer.P3=TRUE,I.Facility.P3FacilityCount&gt;=2033,F17045=""),"Incomplete","Complete")</f>
        <v>Complete</v>
      </c>
      <c r="I17045" s="48" t="s">
        <v>21410</v>
      </c>
    </row>
    <row r="17046" spans="2:9" ht="15" customHeight="1" x14ac:dyDescent="0.25">
      <c r="B17046" s="55" t="s">
        <v>282</v>
      </c>
      <c r="C17046" s="46">
        <v>2034</v>
      </c>
      <c r="D17046" s="69" t="s">
        <v>29419</v>
      </c>
      <c r="E17046" s="51"/>
      <c r="F17046" s="114" t="str">
        <f>IF(INDEX(I.Facility.P3IDNumber,2034)="","",INDEX(I.Facility.P3IDNumber,2034))</f>
        <v/>
      </c>
      <c r="G17046" s="51"/>
      <c r="H17046" s="46" t="str">
        <f>IF(AND(I.Developer.P3=TRUE,I.Facility.P3FacilityCount&gt;=2034,F17046=""),"Incomplete","Complete")</f>
        <v>Complete</v>
      </c>
      <c r="I17046" s="48" t="s">
        <v>21411</v>
      </c>
    </row>
    <row r="17047" spans="2:9" ht="15" customHeight="1" x14ac:dyDescent="0.25">
      <c r="B17047" s="55" t="s">
        <v>282</v>
      </c>
      <c r="C17047" s="46">
        <v>2035</v>
      </c>
      <c r="D17047" s="69" t="s">
        <v>29419</v>
      </c>
      <c r="E17047" s="51"/>
      <c r="F17047" s="114" t="str">
        <f>IF(INDEX(I.Facility.P3IDNumber,2035)="","",INDEX(I.Facility.P3IDNumber,2035))</f>
        <v/>
      </c>
      <c r="G17047" s="51"/>
      <c r="H17047" s="46" t="str">
        <f>IF(AND(I.Developer.P3=TRUE,I.Facility.P3FacilityCount&gt;=2035,F17047=""),"Incomplete","Complete")</f>
        <v>Complete</v>
      </c>
      <c r="I17047" s="48" t="s">
        <v>21412</v>
      </c>
    </row>
    <row r="17048" spans="2:9" ht="15" customHeight="1" x14ac:dyDescent="0.25">
      <c r="B17048" s="55" t="s">
        <v>282</v>
      </c>
      <c r="C17048" s="46">
        <v>2036</v>
      </c>
      <c r="D17048" s="69" t="s">
        <v>29419</v>
      </c>
      <c r="E17048" s="51"/>
      <c r="F17048" s="114" t="str">
        <f>IF(INDEX(I.Facility.P3IDNumber,2036)="","",INDEX(I.Facility.P3IDNumber,2036))</f>
        <v/>
      </c>
      <c r="G17048" s="51"/>
      <c r="H17048" s="46" t="str">
        <f>IF(AND(I.Developer.P3=TRUE,I.Facility.P3FacilityCount&gt;=2036,F17048=""),"Incomplete","Complete")</f>
        <v>Complete</v>
      </c>
      <c r="I17048" s="48" t="s">
        <v>21413</v>
      </c>
    </row>
    <row r="17049" spans="2:9" ht="15" customHeight="1" x14ac:dyDescent="0.25">
      <c r="B17049" s="55" t="s">
        <v>282</v>
      </c>
      <c r="C17049" s="46">
        <v>2037</v>
      </c>
      <c r="D17049" s="69" t="s">
        <v>29419</v>
      </c>
      <c r="E17049" s="51"/>
      <c r="F17049" s="114" t="str">
        <f>IF(INDEX(I.Facility.P3IDNumber,2037)="","",INDEX(I.Facility.P3IDNumber,2037))</f>
        <v/>
      </c>
      <c r="G17049" s="51"/>
      <c r="H17049" s="46" t="str">
        <f>IF(AND(I.Developer.P3=TRUE,I.Facility.P3FacilityCount&gt;=2037,F17049=""),"Incomplete","Complete")</f>
        <v>Complete</v>
      </c>
      <c r="I17049" s="48" t="s">
        <v>21414</v>
      </c>
    </row>
    <row r="17050" spans="2:9" ht="15" customHeight="1" x14ac:dyDescent="0.25">
      <c r="B17050" s="55" t="s">
        <v>282</v>
      </c>
      <c r="C17050" s="46">
        <v>2038</v>
      </c>
      <c r="D17050" s="69" t="s">
        <v>29419</v>
      </c>
      <c r="E17050" s="51"/>
      <c r="F17050" s="114" t="str">
        <f>IF(INDEX(I.Facility.P3IDNumber,2038)="","",INDEX(I.Facility.P3IDNumber,2038))</f>
        <v/>
      </c>
      <c r="G17050" s="51"/>
      <c r="H17050" s="46" t="str">
        <f>IF(AND(I.Developer.P3=TRUE,I.Facility.P3FacilityCount&gt;=2038,F17050=""),"Incomplete","Complete")</f>
        <v>Complete</v>
      </c>
      <c r="I17050" s="48" t="s">
        <v>21415</v>
      </c>
    </row>
    <row r="17051" spans="2:9" ht="15" customHeight="1" x14ac:dyDescent="0.25">
      <c r="B17051" s="55" t="s">
        <v>282</v>
      </c>
      <c r="C17051" s="46">
        <v>2039</v>
      </c>
      <c r="D17051" s="69" t="s">
        <v>29419</v>
      </c>
      <c r="E17051" s="51"/>
      <c r="F17051" s="114" t="str">
        <f>IF(INDEX(I.Facility.P3IDNumber,2039)="","",INDEX(I.Facility.P3IDNumber,2039))</f>
        <v/>
      </c>
      <c r="G17051" s="51"/>
      <c r="H17051" s="46" t="str">
        <f>IF(AND(I.Developer.P3=TRUE,I.Facility.P3FacilityCount&gt;=2039,F17051=""),"Incomplete","Complete")</f>
        <v>Complete</v>
      </c>
      <c r="I17051" s="48" t="s">
        <v>21416</v>
      </c>
    </row>
    <row r="17052" spans="2:9" ht="15" customHeight="1" x14ac:dyDescent="0.25">
      <c r="B17052" s="55" t="s">
        <v>282</v>
      </c>
      <c r="C17052" s="46">
        <v>2040</v>
      </c>
      <c r="D17052" s="69" t="s">
        <v>29419</v>
      </c>
      <c r="E17052" s="51"/>
      <c r="F17052" s="114" t="str">
        <f>IF(INDEX(I.Facility.P3IDNumber,2040)="","",INDEX(I.Facility.P3IDNumber,2040))</f>
        <v/>
      </c>
      <c r="G17052" s="51"/>
      <c r="H17052" s="46" t="str">
        <f>IF(AND(I.Developer.P3=TRUE,I.Facility.P3FacilityCount&gt;=2040,F17052=""),"Incomplete","Complete")</f>
        <v>Complete</v>
      </c>
      <c r="I17052" s="48" t="s">
        <v>21417</v>
      </c>
    </row>
    <row r="17053" spans="2:9" ht="15" customHeight="1" x14ac:dyDescent="0.25">
      <c r="B17053" s="55" t="s">
        <v>282</v>
      </c>
      <c r="C17053" s="46">
        <v>2041</v>
      </c>
      <c r="D17053" s="69" t="s">
        <v>29419</v>
      </c>
      <c r="E17053" s="51"/>
      <c r="F17053" s="114" t="str">
        <f>IF(INDEX(I.Facility.P3IDNumber,2041)="","",INDEX(I.Facility.P3IDNumber,2041))</f>
        <v/>
      </c>
      <c r="G17053" s="51"/>
      <c r="H17053" s="46" t="str">
        <f>IF(AND(I.Developer.P3=TRUE,I.Facility.P3FacilityCount&gt;=2041,F17053=""),"Incomplete","Complete")</f>
        <v>Complete</v>
      </c>
      <c r="I17053" s="48" t="s">
        <v>21418</v>
      </c>
    </row>
    <row r="17054" spans="2:9" ht="15" customHeight="1" x14ac:dyDescent="0.25">
      <c r="B17054" s="55" t="s">
        <v>282</v>
      </c>
      <c r="C17054" s="46">
        <v>2042</v>
      </c>
      <c r="D17054" s="69" t="s">
        <v>29419</v>
      </c>
      <c r="E17054" s="51"/>
      <c r="F17054" s="114" t="str">
        <f>IF(INDEX(I.Facility.P3IDNumber,2042)="","",INDEX(I.Facility.P3IDNumber,2042))</f>
        <v/>
      </c>
      <c r="G17054" s="51"/>
      <c r="H17054" s="46" t="str">
        <f>IF(AND(I.Developer.P3=TRUE,I.Facility.P3FacilityCount&gt;=2042,F17054=""),"Incomplete","Complete")</f>
        <v>Complete</v>
      </c>
      <c r="I17054" s="48" t="s">
        <v>21419</v>
      </c>
    </row>
    <row r="17055" spans="2:9" ht="15" customHeight="1" x14ac:dyDescent="0.25">
      <c r="B17055" s="55" t="s">
        <v>282</v>
      </c>
      <c r="C17055" s="46">
        <v>2043</v>
      </c>
      <c r="D17055" s="69" t="s">
        <v>29419</v>
      </c>
      <c r="E17055" s="51"/>
      <c r="F17055" s="114" t="str">
        <f>IF(INDEX(I.Facility.P3IDNumber,2043)="","",INDEX(I.Facility.P3IDNumber,2043))</f>
        <v/>
      </c>
      <c r="G17055" s="51"/>
      <c r="H17055" s="46" t="str">
        <f>IF(AND(I.Developer.P3=TRUE,I.Facility.P3FacilityCount&gt;=2043,F17055=""),"Incomplete","Complete")</f>
        <v>Complete</v>
      </c>
      <c r="I17055" s="48" t="s">
        <v>21420</v>
      </c>
    </row>
    <row r="17056" spans="2:9" ht="15" customHeight="1" x14ac:dyDescent="0.25">
      <c r="B17056" s="55" t="s">
        <v>282</v>
      </c>
      <c r="C17056" s="46">
        <v>2044</v>
      </c>
      <c r="D17056" s="69" t="s">
        <v>29419</v>
      </c>
      <c r="E17056" s="51"/>
      <c r="F17056" s="114" t="str">
        <f>IF(INDEX(I.Facility.P3IDNumber,2044)="","",INDEX(I.Facility.P3IDNumber,2044))</f>
        <v/>
      </c>
      <c r="G17056" s="51"/>
      <c r="H17056" s="46" t="str">
        <f>IF(AND(I.Developer.P3=TRUE,I.Facility.P3FacilityCount&gt;=2044,F17056=""),"Incomplete","Complete")</f>
        <v>Complete</v>
      </c>
      <c r="I17056" s="48" t="s">
        <v>21421</v>
      </c>
    </row>
    <row r="17057" spans="2:9" ht="15" customHeight="1" x14ac:dyDescent="0.25">
      <c r="B17057" s="55" t="s">
        <v>282</v>
      </c>
      <c r="C17057" s="46">
        <v>2045</v>
      </c>
      <c r="D17057" s="69" t="s">
        <v>29419</v>
      </c>
      <c r="E17057" s="51"/>
      <c r="F17057" s="114" t="str">
        <f>IF(INDEX(I.Facility.P3IDNumber,2045)="","",INDEX(I.Facility.P3IDNumber,2045))</f>
        <v/>
      </c>
      <c r="G17057" s="51"/>
      <c r="H17057" s="46" t="str">
        <f>IF(AND(I.Developer.P3=TRUE,I.Facility.P3FacilityCount&gt;=2045,F17057=""),"Incomplete","Complete")</f>
        <v>Complete</v>
      </c>
      <c r="I17057" s="48" t="s">
        <v>21422</v>
      </c>
    </row>
    <row r="17058" spans="2:9" ht="15" customHeight="1" x14ac:dyDescent="0.25">
      <c r="B17058" s="55" t="s">
        <v>282</v>
      </c>
      <c r="C17058" s="46">
        <v>2046</v>
      </c>
      <c r="D17058" s="69" t="s">
        <v>29419</v>
      </c>
      <c r="E17058" s="51"/>
      <c r="F17058" s="114" t="str">
        <f>IF(INDEX(I.Facility.P3IDNumber,2046)="","",INDEX(I.Facility.P3IDNumber,2046))</f>
        <v/>
      </c>
      <c r="G17058" s="51"/>
      <c r="H17058" s="46" t="str">
        <f>IF(AND(I.Developer.P3=TRUE,I.Facility.P3FacilityCount&gt;=2046,F17058=""),"Incomplete","Complete")</f>
        <v>Complete</v>
      </c>
      <c r="I17058" s="48" t="s">
        <v>21423</v>
      </c>
    </row>
    <row r="17059" spans="2:9" ht="15" customHeight="1" x14ac:dyDescent="0.25">
      <c r="B17059" s="55" t="s">
        <v>282</v>
      </c>
      <c r="C17059" s="46">
        <v>2047</v>
      </c>
      <c r="D17059" s="69" t="s">
        <v>29419</v>
      </c>
      <c r="E17059" s="51"/>
      <c r="F17059" s="114" t="str">
        <f>IF(INDEX(I.Facility.P3IDNumber,2047)="","",INDEX(I.Facility.P3IDNumber,2047))</f>
        <v/>
      </c>
      <c r="G17059" s="51"/>
      <c r="H17059" s="46" t="str">
        <f>IF(AND(I.Developer.P3=TRUE,I.Facility.P3FacilityCount&gt;=2047,F17059=""),"Incomplete","Complete")</f>
        <v>Complete</v>
      </c>
      <c r="I17059" s="48" t="s">
        <v>21424</v>
      </c>
    </row>
    <row r="17060" spans="2:9" ht="15" customHeight="1" x14ac:dyDescent="0.25">
      <c r="B17060" s="55" t="s">
        <v>282</v>
      </c>
      <c r="C17060" s="46">
        <v>2048</v>
      </c>
      <c r="D17060" s="69" t="s">
        <v>29419</v>
      </c>
      <c r="E17060" s="51"/>
      <c r="F17060" s="114" t="str">
        <f>IF(INDEX(I.Facility.P3IDNumber,2048)="","",INDEX(I.Facility.P3IDNumber,2048))</f>
        <v/>
      </c>
      <c r="G17060" s="51"/>
      <c r="H17060" s="46" t="str">
        <f>IF(AND(I.Developer.P3=TRUE,I.Facility.P3FacilityCount&gt;=2048,F17060=""),"Incomplete","Complete")</f>
        <v>Complete</v>
      </c>
      <c r="I17060" s="48" t="s">
        <v>21425</v>
      </c>
    </row>
    <row r="17061" spans="2:9" ht="15" customHeight="1" x14ac:dyDescent="0.25">
      <c r="B17061" s="55" t="s">
        <v>282</v>
      </c>
      <c r="C17061" s="46">
        <v>2049</v>
      </c>
      <c r="D17061" s="69" t="s">
        <v>29419</v>
      </c>
      <c r="E17061" s="51"/>
      <c r="F17061" s="114" t="str">
        <f>IF(INDEX(I.Facility.P3IDNumber,2049)="","",INDEX(I.Facility.P3IDNumber,2049))</f>
        <v/>
      </c>
      <c r="G17061" s="51"/>
      <c r="H17061" s="46" t="str">
        <f>IF(AND(I.Developer.P3=TRUE,I.Facility.P3FacilityCount&gt;=2049,F17061=""),"Incomplete","Complete")</f>
        <v>Complete</v>
      </c>
      <c r="I17061" s="48" t="s">
        <v>21426</v>
      </c>
    </row>
    <row r="17062" spans="2:9" ht="15" customHeight="1" x14ac:dyDescent="0.25">
      <c r="B17062" s="55" t="s">
        <v>282</v>
      </c>
      <c r="C17062" s="46">
        <v>2050</v>
      </c>
      <c r="D17062" s="69" t="s">
        <v>29419</v>
      </c>
      <c r="E17062" s="51"/>
      <c r="F17062" s="114" t="str">
        <f>IF(INDEX(I.Facility.P3IDNumber,2050)="","",INDEX(I.Facility.P3IDNumber,2050))</f>
        <v/>
      </c>
      <c r="G17062" s="51"/>
      <c r="H17062" s="46" t="str">
        <f>IF(AND(I.Developer.P3=TRUE,I.Facility.P3FacilityCount&gt;=2050,F17062=""),"Incomplete","Complete")</f>
        <v>Complete</v>
      </c>
      <c r="I17062" s="48" t="s">
        <v>21427</v>
      </c>
    </row>
    <row r="17063" spans="2:9" ht="15" customHeight="1" x14ac:dyDescent="0.25">
      <c r="B17063" s="55" t="s">
        <v>282</v>
      </c>
      <c r="C17063" s="46">
        <v>2051</v>
      </c>
      <c r="D17063" s="69" t="s">
        <v>29419</v>
      </c>
      <c r="E17063" s="51"/>
      <c r="F17063" s="114" t="str">
        <f>IF(INDEX(I.Facility.P3IDNumber,2051)="","",INDEX(I.Facility.P3IDNumber,2051))</f>
        <v/>
      </c>
      <c r="G17063" s="51"/>
      <c r="H17063" s="46" t="str">
        <f>IF(AND(I.Developer.P3=TRUE,I.Facility.P3FacilityCount&gt;=2051,F17063=""),"Incomplete","Complete")</f>
        <v>Complete</v>
      </c>
      <c r="I17063" s="48" t="s">
        <v>21428</v>
      </c>
    </row>
    <row r="17064" spans="2:9" ht="15" customHeight="1" x14ac:dyDescent="0.25">
      <c r="B17064" s="55" t="s">
        <v>282</v>
      </c>
      <c r="C17064" s="46">
        <v>2052</v>
      </c>
      <c r="D17064" s="69" t="s">
        <v>29419</v>
      </c>
      <c r="E17064" s="51"/>
      <c r="F17064" s="114" t="str">
        <f>IF(INDEX(I.Facility.P3IDNumber,2052)="","",INDEX(I.Facility.P3IDNumber,2052))</f>
        <v/>
      </c>
      <c r="G17064" s="51"/>
      <c r="H17064" s="46" t="str">
        <f>IF(AND(I.Developer.P3=TRUE,I.Facility.P3FacilityCount&gt;=2052,F17064=""),"Incomplete","Complete")</f>
        <v>Complete</v>
      </c>
      <c r="I17064" s="48" t="s">
        <v>21429</v>
      </c>
    </row>
    <row r="17065" spans="2:9" ht="15" customHeight="1" x14ac:dyDescent="0.25">
      <c r="B17065" s="55" t="s">
        <v>282</v>
      </c>
      <c r="C17065" s="46">
        <v>2053</v>
      </c>
      <c r="D17065" s="69" t="s">
        <v>29419</v>
      </c>
      <c r="E17065" s="51"/>
      <c r="F17065" s="114" t="str">
        <f>IF(INDEX(I.Facility.P3IDNumber,2053)="","",INDEX(I.Facility.P3IDNumber,2053))</f>
        <v/>
      </c>
      <c r="G17065" s="51"/>
      <c r="H17065" s="46" t="str">
        <f>IF(AND(I.Developer.P3=TRUE,I.Facility.P3FacilityCount&gt;=2053,F17065=""),"Incomplete","Complete")</f>
        <v>Complete</v>
      </c>
      <c r="I17065" s="48" t="s">
        <v>21430</v>
      </c>
    </row>
    <row r="17066" spans="2:9" ht="15" customHeight="1" x14ac:dyDescent="0.25">
      <c r="B17066" s="55" t="s">
        <v>282</v>
      </c>
      <c r="C17066" s="46">
        <v>2054</v>
      </c>
      <c r="D17066" s="69" t="s">
        <v>29419</v>
      </c>
      <c r="E17066" s="51"/>
      <c r="F17066" s="114" t="str">
        <f>IF(INDEX(I.Facility.P3IDNumber,2054)="","",INDEX(I.Facility.P3IDNumber,2054))</f>
        <v/>
      </c>
      <c r="G17066" s="51"/>
      <c r="H17066" s="46" t="str">
        <f>IF(AND(I.Developer.P3=TRUE,I.Facility.P3FacilityCount&gt;=2054,F17066=""),"Incomplete","Complete")</f>
        <v>Complete</v>
      </c>
      <c r="I17066" s="48" t="s">
        <v>21431</v>
      </c>
    </row>
    <row r="17067" spans="2:9" ht="15" customHeight="1" x14ac:dyDescent="0.25">
      <c r="B17067" s="55" t="s">
        <v>282</v>
      </c>
      <c r="C17067" s="46">
        <v>2055</v>
      </c>
      <c r="D17067" s="69" t="s">
        <v>29419</v>
      </c>
      <c r="E17067" s="51"/>
      <c r="F17067" s="114" t="str">
        <f>IF(INDEX(I.Facility.P3IDNumber,2055)="","",INDEX(I.Facility.P3IDNumber,2055))</f>
        <v/>
      </c>
      <c r="G17067" s="51"/>
      <c r="H17067" s="46" t="str">
        <f>IF(AND(I.Developer.P3=TRUE,I.Facility.P3FacilityCount&gt;=2055,F17067=""),"Incomplete","Complete")</f>
        <v>Complete</v>
      </c>
      <c r="I17067" s="48" t="s">
        <v>21432</v>
      </c>
    </row>
    <row r="17068" spans="2:9" ht="15" customHeight="1" x14ac:dyDescent="0.25">
      <c r="B17068" s="55" t="s">
        <v>282</v>
      </c>
      <c r="C17068" s="46">
        <v>2056</v>
      </c>
      <c r="D17068" s="69" t="s">
        <v>29419</v>
      </c>
      <c r="E17068" s="51"/>
      <c r="F17068" s="114" t="str">
        <f>IF(INDEX(I.Facility.P3IDNumber,2056)="","",INDEX(I.Facility.P3IDNumber,2056))</f>
        <v/>
      </c>
      <c r="G17068" s="51"/>
      <c r="H17068" s="46" t="str">
        <f>IF(AND(I.Developer.P3=TRUE,I.Facility.P3FacilityCount&gt;=2056,F17068=""),"Incomplete","Complete")</f>
        <v>Complete</v>
      </c>
      <c r="I17068" s="48" t="s">
        <v>21433</v>
      </c>
    </row>
    <row r="17069" spans="2:9" ht="15" customHeight="1" x14ac:dyDescent="0.25">
      <c r="B17069" s="55" t="s">
        <v>282</v>
      </c>
      <c r="C17069" s="46">
        <v>2057</v>
      </c>
      <c r="D17069" s="69" t="s">
        <v>29419</v>
      </c>
      <c r="E17069" s="51"/>
      <c r="F17069" s="114" t="str">
        <f>IF(INDEX(I.Facility.P3IDNumber,2057)="","",INDEX(I.Facility.P3IDNumber,2057))</f>
        <v/>
      </c>
      <c r="G17069" s="51"/>
      <c r="H17069" s="46" t="str">
        <f>IF(AND(I.Developer.P3=TRUE,I.Facility.P3FacilityCount&gt;=2057,F17069=""),"Incomplete","Complete")</f>
        <v>Complete</v>
      </c>
      <c r="I17069" s="48" t="s">
        <v>21434</v>
      </c>
    </row>
    <row r="17070" spans="2:9" ht="15" customHeight="1" x14ac:dyDescent="0.25">
      <c r="B17070" s="55" t="s">
        <v>282</v>
      </c>
      <c r="C17070" s="46">
        <v>2058</v>
      </c>
      <c r="D17070" s="69" t="s">
        <v>29419</v>
      </c>
      <c r="E17070" s="51"/>
      <c r="F17070" s="114" t="str">
        <f>IF(INDEX(I.Facility.P3IDNumber,2058)="","",INDEX(I.Facility.P3IDNumber,2058))</f>
        <v/>
      </c>
      <c r="G17070" s="51"/>
      <c r="H17070" s="46" t="str">
        <f>IF(AND(I.Developer.P3=TRUE,I.Facility.P3FacilityCount&gt;=2058,F17070=""),"Incomplete","Complete")</f>
        <v>Complete</v>
      </c>
      <c r="I17070" s="48" t="s">
        <v>21435</v>
      </c>
    </row>
    <row r="17071" spans="2:9" ht="15" customHeight="1" x14ac:dyDescent="0.25">
      <c r="B17071" s="55" t="s">
        <v>282</v>
      </c>
      <c r="C17071" s="46">
        <v>2059</v>
      </c>
      <c r="D17071" s="69" t="s">
        <v>29419</v>
      </c>
      <c r="E17071" s="51"/>
      <c r="F17071" s="114" t="str">
        <f>IF(INDEX(I.Facility.P3IDNumber,2059)="","",INDEX(I.Facility.P3IDNumber,2059))</f>
        <v/>
      </c>
      <c r="G17071" s="51"/>
      <c r="H17071" s="46" t="str">
        <f>IF(AND(I.Developer.P3=TRUE,I.Facility.P3FacilityCount&gt;=2059,F17071=""),"Incomplete","Complete")</f>
        <v>Complete</v>
      </c>
      <c r="I17071" s="48" t="s">
        <v>21436</v>
      </c>
    </row>
    <row r="17072" spans="2:9" ht="15" customHeight="1" x14ac:dyDescent="0.25">
      <c r="B17072" s="55" t="s">
        <v>282</v>
      </c>
      <c r="C17072" s="46">
        <v>2060</v>
      </c>
      <c r="D17072" s="69" t="s">
        <v>29419</v>
      </c>
      <c r="E17072" s="51"/>
      <c r="F17072" s="114" t="str">
        <f>IF(INDEX(I.Facility.P3IDNumber,2060)="","",INDEX(I.Facility.P3IDNumber,2060))</f>
        <v/>
      </c>
      <c r="G17072" s="51"/>
      <c r="H17072" s="46" t="str">
        <f>IF(AND(I.Developer.P3=TRUE,I.Facility.P3FacilityCount&gt;=2060,F17072=""),"Incomplete","Complete")</f>
        <v>Complete</v>
      </c>
      <c r="I17072" s="48" t="s">
        <v>21437</v>
      </c>
    </row>
    <row r="17073" spans="2:9" ht="15" customHeight="1" x14ac:dyDescent="0.25">
      <c r="B17073" s="55" t="s">
        <v>282</v>
      </c>
      <c r="C17073" s="46">
        <v>2061</v>
      </c>
      <c r="D17073" s="69" t="s">
        <v>29419</v>
      </c>
      <c r="E17073" s="51"/>
      <c r="F17073" s="114" t="str">
        <f>IF(INDEX(I.Facility.P3IDNumber,2061)="","",INDEX(I.Facility.P3IDNumber,2061))</f>
        <v/>
      </c>
      <c r="G17073" s="51"/>
      <c r="H17073" s="46" t="str">
        <f>IF(AND(I.Developer.P3=TRUE,I.Facility.P3FacilityCount&gt;=2061,F17073=""),"Incomplete","Complete")</f>
        <v>Complete</v>
      </c>
      <c r="I17073" s="48" t="s">
        <v>21438</v>
      </c>
    </row>
    <row r="17074" spans="2:9" ht="15" customHeight="1" x14ac:dyDescent="0.25">
      <c r="B17074" s="55" t="s">
        <v>282</v>
      </c>
      <c r="C17074" s="46">
        <v>2062</v>
      </c>
      <c r="D17074" s="69" t="s">
        <v>29419</v>
      </c>
      <c r="E17074" s="51"/>
      <c r="F17074" s="114" t="str">
        <f>IF(INDEX(I.Facility.P3IDNumber,2062)="","",INDEX(I.Facility.P3IDNumber,2062))</f>
        <v/>
      </c>
      <c r="G17074" s="51"/>
      <c r="H17074" s="46" t="str">
        <f>IF(AND(I.Developer.P3=TRUE,I.Facility.P3FacilityCount&gt;=2062,F17074=""),"Incomplete","Complete")</f>
        <v>Complete</v>
      </c>
      <c r="I17074" s="48" t="s">
        <v>21439</v>
      </c>
    </row>
    <row r="17075" spans="2:9" ht="15" customHeight="1" x14ac:dyDescent="0.25">
      <c r="B17075" s="55" t="s">
        <v>282</v>
      </c>
      <c r="C17075" s="46">
        <v>2063</v>
      </c>
      <c r="D17075" s="69" t="s">
        <v>29419</v>
      </c>
      <c r="E17075" s="51"/>
      <c r="F17075" s="114" t="str">
        <f>IF(INDEX(I.Facility.P3IDNumber,2063)="","",INDEX(I.Facility.P3IDNumber,2063))</f>
        <v/>
      </c>
      <c r="G17075" s="51"/>
      <c r="H17075" s="46" t="str">
        <f>IF(AND(I.Developer.P3=TRUE,I.Facility.P3FacilityCount&gt;=2063,F17075=""),"Incomplete","Complete")</f>
        <v>Complete</v>
      </c>
      <c r="I17075" s="48" t="s">
        <v>21440</v>
      </c>
    </row>
    <row r="17076" spans="2:9" ht="15" customHeight="1" x14ac:dyDescent="0.25">
      <c r="B17076" s="55" t="s">
        <v>282</v>
      </c>
      <c r="C17076" s="46">
        <v>2064</v>
      </c>
      <c r="D17076" s="69" t="s">
        <v>29419</v>
      </c>
      <c r="E17076" s="51"/>
      <c r="F17076" s="114" t="str">
        <f>IF(INDEX(I.Facility.P3IDNumber,2064)="","",INDEX(I.Facility.P3IDNumber,2064))</f>
        <v/>
      </c>
      <c r="G17076" s="51"/>
      <c r="H17076" s="46" t="str">
        <f>IF(AND(I.Developer.P3=TRUE,I.Facility.P3FacilityCount&gt;=2064,F17076=""),"Incomplete","Complete")</f>
        <v>Complete</v>
      </c>
      <c r="I17076" s="48" t="s">
        <v>21441</v>
      </c>
    </row>
    <row r="17077" spans="2:9" ht="15" customHeight="1" x14ac:dyDescent="0.25">
      <c r="B17077" s="55" t="s">
        <v>282</v>
      </c>
      <c r="C17077" s="46">
        <v>2065</v>
      </c>
      <c r="D17077" s="69" t="s">
        <v>29419</v>
      </c>
      <c r="E17077" s="51"/>
      <c r="F17077" s="114" t="str">
        <f>IF(INDEX(I.Facility.P3IDNumber,2065)="","",INDEX(I.Facility.P3IDNumber,2065))</f>
        <v/>
      </c>
      <c r="G17077" s="51"/>
      <c r="H17077" s="46" t="str">
        <f>IF(AND(I.Developer.P3=TRUE,I.Facility.P3FacilityCount&gt;=2065,F17077=""),"Incomplete","Complete")</f>
        <v>Complete</v>
      </c>
      <c r="I17077" s="48" t="s">
        <v>21442</v>
      </c>
    </row>
    <row r="17078" spans="2:9" ht="15" customHeight="1" x14ac:dyDescent="0.25">
      <c r="B17078" s="55" t="s">
        <v>282</v>
      </c>
      <c r="C17078" s="46">
        <v>2066</v>
      </c>
      <c r="D17078" s="69" t="s">
        <v>29419</v>
      </c>
      <c r="E17078" s="51"/>
      <c r="F17078" s="114" t="str">
        <f>IF(INDEX(I.Facility.P3IDNumber,2066)="","",INDEX(I.Facility.P3IDNumber,2066))</f>
        <v/>
      </c>
      <c r="G17078" s="51"/>
      <c r="H17078" s="46" t="str">
        <f>IF(AND(I.Developer.P3=TRUE,I.Facility.P3FacilityCount&gt;=2066,F17078=""),"Incomplete","Complete")</f>
        <v>Complete</v>
      </c>
      <c r="I17078" s="48" t="s">
        <v>21443</v>
      </c>
    </row>
    <row r="17079" spans="2:9" ht="15" customHeight="1" x14ac:dyDescent="0.25">
      <c r="B17079" s="55" t="s">
        <v>282</v>
      </c>
      <c r="C17079" s="46">
        <v>2067</v>
      </c>
      <c r="D17079" s="69" t="s">
        <v>29419</v>
      </c>
      <c r="E17079" s="51"/>
      <c r="F17079" s="114" t="str">
        <f>IF(INDEX(I.Facility.P3IDNumber,2067)="","",INDEX(I.Facility.P3IDNumber,2067))</f>
        <v/>
      </c>
      <c r="G17079" s="51"/>
      <c r="H17079" s="46" t="str">
        <f>IF(AND(I.Developer.P3=TRUE,I.Facility.P3FacilityCount&gt;=2067,F17079=""),"Incomplete","Complete")</f>
        <v>Complete</v>
      </c>
      <c r="I17079" s="48" t="s">
        <v>21444</v>
      </c>
    </row>
    <row r="17080" spans="2:9" ht="15" customHeight="1" x14ac:dyDescent="0.25">
      <c r="B17080" s="55" t="s">
        <v>282</v>
      </c>
      <c r="C17080" s="46">
        <v>2068</v>
      </c>
      <c r="D17080" s="69" t="s">
        <v>29419</v>
      </c>
      <c r="E17080" s="51"/>
      <c r="F17080" s="114" t="str">
        <f>IF(INDEX(I.Facility.P3IDNumber,2068)="","",INDEX(I.Facility.P3IDNumber,2068))</f>
        <v/>
      </c>
      <c r="G17080" s="51"/>
      <c r="H17080" s="46" t="str">
        <f>IF(AND(I.Developer.P3=TRUE,I.Facility.P3FacilityCount&gt;=2068,F17080=""),"Incomplete","Complete")</f>
        <v>Complete</v>
      </c>
      <c r="I17080" s="48" t="s">
        <v>21445</v>
      </c>
    </row>
    <row r="17081" spans="2:9" ht="15" customHeight="1" x14ac:dyDescent="0.25">
      <c r="B17081" s="55" t="s">
        <v>282</v>
      </c>
      <c r="C17081" s="46">
        <v>2069</v>
      </c>
      <c r="D17081" s="69" t="s">
        <v>29419</v>
      </c>
      <c r="E17081" s="51"/>
      <c r="F17081" s="114" t="str">
        <f>IF(INDEX(I.Facility.P3IDNumber,2069)="","",INDEX(I.Facility.P3IDNumber,2069))</f>
        <v/>
      </c>
      <c r="G17081" s="51"/>
      <c r="H17081" s="46" t="str">
        <f>IF(AND(I.Developer.P3=TRUE,I.Facility.P3FacilityCount&gt;=2069,F17081=""),"Incomplete","Complete")</f>
        <v>Complete</v>
      </c>
      <c r="I17081" s="48" t="s">
        <v>21446</v>
      </c>
    </row>
    <row r="17082" spans="2:9" ht="15" customHeight="1" x14ac:dyDescent="0.25">
      <c r="B17082" s="55" t="s">
        <v>282</v>
      </c>
      <c r="C17082" s="46">
        <v>2070</v>
      </c>
      <c r="D17082" s="69" t="s">
        <v>29419</v>
      </c>
      <c r="E17082" s="51"/>
      <c r="F17082" s="114" t="str">
        <f>IF(INDEX(I.Facility.P3IDNumber,2070)="","",INDEX(I.Facility.P3IDNumber,2070))</f>
        <v/>
      </c>
      <c r="G17082" s="51"/>
      <c r="H17082" s="46" t="str">
        <f>IF(AND(I.Developer.P3=TRUE,I.Facility.P3FacilityCount&gt;=2070,F17082=""),"Incomplete","Complete")</f>
        <v>Complete</v>
      </c>
      <c r="I17082" s="48" t="s">
        <v>21447</v>
      </c>
    </row>
    <row r="17083" spans="2:9" ht="15" customHeight="1" x14ac:dyDescent="0.25">
      <c r="B17083" s="55" t="s">
        <v>282</v>
      </c>
      <c r="C17083" s="46">
        <v>2071</v>
      </c>
      <c r="D17083" s="69" t="s">
        <v>29419</v>
      </c>
      <c r="E17083" s="51"/>
      <c r="F17083" s="114" t="str">
        <f>IF(INDEX(I.Facility.P3IDNumber,2071)="","",INDEX(I.Facility.P3IDNumber,2071))</f>
        <v/>
      </c>
      <c r="G17083" s="51"/>
      <c r="H17083" s="46" t="str">
        <f>IF(AND(I.Developer.P3=TRUE,I.Facility.P3FacilityCount&gt;=2071,F17083=""),"Incomplete","Complete")</f>
        <v>Complete</v>
      </c>
      <c r="I17083" s="48" t="s">
        <v>21448</v>
      </c>
    </row>
    <row r="17084" spans="2:9" ht="15" customHeight="1" x14ac:dyDescent="0.25">
      <c r="B17084" s="55" t="s">
        <v>282</v>
      </c>
      <c r="C17084" s="46">
        <v>2072</v>
      </c>
      <c r="D17084" s="69" t="s">
        <v>29419</v>
      </c>
      <c r="E17084" s="51"/>
      <c r="F17084" s="114" t="str">
        <f>IF(INDEX(I.Facility.P3IDNumber,2072)="","",INDEX(I.Facility.P3IDNumber,2072))</f>
        <v/>
      </c>
      <c r="G17084" s="51"/>
      <c r="H17084" s="46" t="str">
        <f>IF(AND(I.Developer.P3=TRUE,I.Facility.P3FacilityCount&gt;=2072,F17084=""),"Incomplete","Complete")</f>
        <v>Complete</v>
      </c>
      <c r="I17084" s="48" t="s">
        <v>21449</v>
      </c>
    </row>
    <row r="17085" spans="2:9" ht="15" customHeight="1" x14ac:dyDescent="0.25">
      <c r="B17085" s="55" t="s">
        <v>282</v>
      </c>
      <c r="C17085" s="46">
        <v>2073</v>
      </c>
      <c r="D17085" s="69" t="s">
        <v>29419</v>
      </c>
      <c r="E17085" s="51"/>
      <c r="F17085" s="114" t="str">
        <f>IF(INDEX(I.Facility.P3IDNumber,2073)="","",INDEX(I.Facility.P3IDNumber,2073))</f>
        <v/>
      </c>
      <c r="G17085" s="51"/>
      <c r="H17085" s="46" t="str">
        <f>IF(AND(I.Developer.P3=TRUE,I.Facility.P3FacilityCount&gt;=2073,F17085=""),"Incomplete","Complete")</f>
        <v>Complete</v>
      </c>
      <c r="I17085" s="48" t="s">
        <v>21450</v>
      </c>
    </row>
    <row r="17086" spans="2:9" ht="15" customHeight="1" x14ac:dyDescent="0.25">
      <c r="B17086" s="55" t="s">
        <v>282</v>
      </c>
      <c r="C17086" s="46">
        <v>2074</v>
      </c>
      <c r="D17086" s="69" t="s">
        <v>29419</v>
      </c>
      <c r="E17086" s="51"/>
      <c r="F17086" s="114" t="str">
        <f>IF(INDEX(I.Facility.P3IDNumber,2074)="","",INDEX(I.Facility.P3IDNumber,2074))</f>
        <v/>
      </c>
      <c r="G17086" s="51"/>
      <c r="H17086" s="46" t="str">
        <f>IF(AND(I.Developer.P3=TRUE,I.Facility.P3FacilityCount&gt;=2074,F17086=""),"Incomplete","Complete")</f>
        <v>Complete</v>
      </c>
      <c r="I17086" s="48" t="s">
        <v>21451</v>
      </c>
    </row>
    <row r="17087" spans="2:9" ht="15" customHeight="1" x14ac:dyDescent="0.25">
      <c r="B17087" s="55" t="s">
        <v>282</v>
      </c>
      <c r="C17087" s="46">
        <v>2075</v>
      </c>
      <c r="D17087" s="69" t="s">
        <v>29419</v>
      </c>
      <c r="E17087" s="51"/>
      <c r="F17087" s="114" t="str">
        <f>IF(INDEX(I.Facility.P3IDNumber,2075)="","",INDEX(I.Facility.P3IDNumber,2075))</f>
        <v/>
      </c>
      <c r="G17087" s="51"/>
      <c r="H17087" s="46" t="str">
        <f>IF(AND(I.Developer.P3=TRUE,I.Facility.P3FacilityCount&gt;=2075,F17087=""),"Incomplete","Complete")</f>
        <v>Complete</v>
      </c>
      <c r="I17087" s="48" t="s">
        <v>21452</v>
      </c>
    </row>
    <row r="17088" spans="2:9" ht="15" customHeight="1" x14ac:dyDescent="0.25">
      <c r="B17088" s="55" t="s">
        <v>282</v>
      </c>
      <c r="C17088" s="46">
        <v>2076</v>
      </c>
      <c r="D17088" s="69" t="s">
        <v>29419</v>
      </c>
      <c r="E17088" s="51"/>
      <c r="F17088" s="114" t="str">
        <f>IF(INDEX(I.Facility.P3IDNumber,2076)="","",INDEX(I.Facility.P3IDNumber,2076))</f>
        <v/>
      </c>
      <c r="G17088" s="51"/>
      <c r="H17088" s="46" t="str">
        <f>IF(AND(I.Developer.P3=TRUE,I.Facility.P3FacilityCount&gt;=2076,F17088=""),"Incomplete","Complete")</f>
        <v>Complete</v>
      </c>
      <c r="I17088" s="48" t="s">
        <v>21453</v>
      </c>
    </row>
    <row r="17089" spans="2:9" ht="15" customHeight="1" x14ac:dyDescent="0.25">
      <c r="B17089" s="55" t="s">
        <v>282</v>
      </c>
      <c r="C17089" s="46">
        <v>2077</v>
      </c>
      <c r="D17089" s="69" t="s">
        <v>29419</v>
      </c>
      <c r="E17089" s="51"/>
      <c r="F17089" s="114" t="str">
        <f>IF(INDEX(I.Facility.P3IDNumber,2077)="","",INDEX(I.Facility.P3IDNumber,2077))</f>
        <v/>
      </c>
      <c r="G17089" s="51"/>
      <c r="H17089" s="46" t="str">
        <f>IF(AND(I.Developer.P3=TRUE,I.Facility.P3FacilityCount&gt;=2077,F17089=""),"Incomplete","Complete")</f>
        <v>Complete</v>
      </c>
      <c r="I17089" s="48" t="s">
        <v>21454</v>
      </c>
    </row>
    <row r="17090" spans="2:9" ht="15" customHeight="1" x14ac:dyDescent="0.25">
      <c r="B17090" s="55" t="s">
        <v>282</v>
      </c>
      <c r="C17090" s="46">
        <v>2078</v>
      </c>
      <c r="D17090" s="69" t="s">
        <v>29419</v>
      </c>
      <c r="E17090" s="51"/>
      <c r="F17090" s="114" t="str">
        <f>IF(INDEX(I.Facility.P3IDNumber,2078)="","",INDEX(I.Facility.P3IDNumber,2078))</f>
        <v/>
      </c>
      <c r="G17090" s="51"/>
      <c r="H17090" s="46" t="str">
        <f>IF(AND(I.Developer.P3=TRUE,I.Facility.P3FacilityCount&gt;=2078,F17090=""),"Incomplete","Complete")</f>
        <v>Complete</v>
      </c>
      <c r="I17090" s="48" t="s">
        <v>21455</v>
      </c>
    </row>
    <row r="17091" spans="2:9" ht="15" customHeight="1" x14ac:dyDescent="0.25">
      <c r="B17091" s="55" t="s">
        <v>282</v>
      </c>
      <c r="C17091" s="46">
        <v>2079</v>
      </c>
      <c r="D17091" s="69" t="s">
        <v>29419</v>
      </c>
      <c r="E17091" s="51"/>
      <c r="F17091" s="114" t="str">
        <f>IF(INDEX(I.Facility.P3IDNumber,2079)="","",INDEX(I.Facility.P3IDNumber,2079))</f>
        <v/>
      </c>
      <c r="G17091" s="51"/>
      <c r="H17091" s="46" t="str">
        <f>IF(AND(I.Developer.P3=TRUE,I.Facility.P3FacilityCount&gt;=2079,F17091=""),"Incomplete","Complete")</f>
        <v>Complete</v>
      </c>
      <c r="I17091" s="48" t="s">
        <v>21456</v>
      </c>
    </row>
    <row r="17092" spans="2:9" ht="15" customHeight="1" x14ac:dyDescent="0.25">
      <c r="B17092" s="55" t="s">
        <v>282</v>
      </c>
      <c r="C17092" s="46">
        <v>2080</v>
      </c>
      <c r="D17092" s="69" t="s">
        <v>29419</v>
      </c>
      <c r="E17092" s="51"/>
      <c r="F17092" s="114" t="str">
        <f>IF(INDEX(I.Facility.P3IDNumber,2080)="","",INDEX(I.Facility.P3IDNumber,2080))</f>
        <v/>
      </c>
      <c r="G17092" s="51"/>
      <c r="H17092" s="46" t="str">
        <f>IF(AND(I.Developer.P3=TRUE,I.Facility.P3FacilityCount&gt;=2080,F17092=""),"Incomplete","Complete")</f>
        <v>Complete</v>
      </c>
      <c r="I17092" s="48" t="s">
        <v>21457</v>
      </c>
    </row>
    <row r="17093" spans="2:9" ht="15" customHeight="1" x14ac:dyDescent="0.25">
      <c r="B17093" s="55" t="s">
        <v>282</v>
      </c>
      <c r="C17093" s="46">
        <v>2081</v>
      </c>
      <c r="D17093" s="69" t="s">
        <v>29419</v>
      </c>
      <c r="E17093" s="51"/>
      <c r="F17093" s="114" t="str">
        <f>IF(INDEX(I.Facility.P3IDNumber,2081)="","",INDEX(I.Facility.P3IDNumber,2081))</f>
        <v/>
      </c>
      <c r="G17093" s="51"/>
      <c r="H17093" s="46" t="str">
        <f>IF(AND(I.Developer.P3=TRUE,I.Facility.P3FacilityCount&gt;=2081,F17093=""),"Incomplete","Complete")</f>
        <v>Complete</v>
      </c>
      <c r="I17093" s="48" t="s">
        <v>21458</v>
      </c>
    </row>
    <row r="17094" spans="2:9" ht="15" customHeight="1" x14ac:dyDescent="0.25">
      <c r="B17094" s="55" t="s">
        <v>282</v>
      </c>
      <c r="C17094" s="46">
        <v>2082</v>
      </c>
      <c r="D17094" s="69" t="s">
        <v>29419</v>
      </c>
      <c r="E17094" s="51"/>
      <c r="F17094" s="114" t="str">
        <f>IF(INDEX(I.Facility.P3IDNumber,2082)="","",INDEX(I.Facility.P3IDNumber,2082))</f>
        <v/>
      </c>
      <c r="G17094" s="51"/>
      <c r="H17094" s="46" t="str">
        <f>IF(AND(I.Developer.P3=TRUE,I.Facility.P3FacilityCount&gt;=2082,F17094=""),"Incomplete","Complete")</f>
        <v>Complete</v>
      </c>
      <c r="I17094" s="48" t="s">
        <v>21459</v>
      </c>
    </row>
    <row r="17095" spans="2:9" ht="15" customHeight="1" x14ac:dyDescent="0.25">
      <c r="B17095" s="55" t="s">
        <v>282</v>
      </c>
      <c r="C17095" s="46">
        <v>2083</v>
      </c>
      <c r="D17095" s="69" t="s">
        <v>29419</v>
      </c>
      <c r="E17095" s="51"/>
      <c r="F17095" s="114" t="str">
        <f>IF(INDEX(I.Facility.P3IDNumber,2083)="","",INDEX(I.Facility.P3IDNumber,2083))</f>
        <v/>
      </c>
      <c r="G17095" s="51"/>
      <c r="H17095" s="46" t="str">
        <f>IF(AND(I.Developer.P3=TRUE,I.Facility.P3FacilityCount&gt;=2083,F17095=""),"Incomplete","Complete")</f>
        <v>Complete</v>
      </c>
      <c r="I17095" s="48" t="s">
        <v>21460</v>
      </c>
    </row>
    <row r="17096" spans="2:9" ht="15" customHeight="1" x14ac:dyDescent="0.25">
      <c r="B17096" s="55" t="s">
        <v>282</v>
      </c>
      <c r="C17096" s="46">
        <v>2084</v>
      </c>
      <c r="D17096" s="69" t="s">
        <v>29419</v>
      </c>
      <c r="E17096" s="51"/>
      <c r="F17096" s="114" t="str">
        <f>IF(INDEX(I.Facility.P3IDNumber,2084)="","",INDEX(I.Facility.P3IDNumber,2084))</f>
        <v/>
      </c>
      <c r="G17096" s="51"/>
      <c r="H17096" s="46" t="str">
        <f>IF(AND(I.Developer.P3=TRUE,I.Facility.P3FacilityCount&gt;=2084,F17096=""),"Incomplete","Complete")</f>
        <v>Complete</v>
      </c>
      <c r="I17096" s="48" t="s">
        <v>21461</v>
      </c>
    </row>
    <row r="17097" spans="2:9" ht="15" customHeight="1" x14ac:dyDescent="0.25">
      <c r="B17097" s="55" t="s">
        <v>282</v>
      </c>
      <c r="C17097" s="46">
        <v>2085</v>
      </c>
      <c r="D17097" s="69" t="s">
        <v>29419</v>
      </c>
      <c r="E17097" s="51"/>
      <c r="F17097" s="114" t="str">
        <f>IF(INDEX(I.Facility.P3IDNumber,2085)="","",INDEX(I.Facility.P3IDNumber,2085))</f>
        <v/>
      </c>
      <c r="G17097" s="51"/>
      <c r="H17097" s="46" t="str">
        <f>IF(AND(I.Developer.P3=TRUE,I.Facility.P3FacilityCount&gt;=2085,F17097=""),"Incomplete","Complete")</f>
        <v>Complete</v>
      </c>
      <c r="I17097" s="48" t="s">
        <v>21462</v>
      </c>
    </row>
    <row r="17098" spans="2:9" ht="15" customHeight="1" x14ac:dyDescent="0.25">
      <c r="B17098" s="55" t="s">
        <v>282</v>
      </c>
      <c r="C17098" s="46">
        <v>2086</v>
      </c>
      <c r="D17098" s="69" t="s">
        <v>29419</v>
      </c>
      <c r="E17098" s="51"/>
      <c r="F17098" s="114" t="str">
        <f>IF(INDEX(I.Facility.P3IDNumber,2086)="","",INDEX(I.Facility.P3IDNumber,2086))</f>
        <v/>
      </c>
      <c r="G17098" s="51"/>
      <c r="H17098" s="46" t="str">
        <f>IF(AND(I.Developer.P3=TRUE,I.Facility.P3FacilityCount&gt;=2086,F17098=""),"Incomplete","Complete")</f>
        <v>Complete</v>
      </c>
      <c r="I17098" s="48" t="s">
        <v>21463</v>
      </c>
    </row>
    <row r="17099" spans="2:9" ht="15" customHeight="1" x14ac:dyDescent="0.25">
      <c r="B17099" s="55" t="s">
        <v>282</v>
      </c>
      <c r="C17099" s="46">
        <v>2087</v>
      </c>
      <c r="D17099" s="69" t="s">
        <v>29419</v>
      </c>
      <c r="E17099" s="51"/>
      <c r="F17099" s="114" t="str">
        <f>IF(INDEX(I.Facility.P3IDNumber,2087)="","",INDEX(I.Facility.P3IDNumber,2087))</f>
        <v/>
      </c>
      <c r="G17099" s="51"/>
      <c r="H17099" s="46" t="str">
        <f>IF(AND(I.Developer.P3=TRUE,I.Facility.P3FacilityCount&gt;=2087,F17099=""),"Incomplete","Complete")</f>
        <v>Complete</v>
      </c>
      <c r="I17099" s="48" t="s">
        <v>21464</v>
      </c>
    </row>
    <row r="17100" spans="2:9" ht="15" customHeight="1" x14ac:dyDescent="0.25">
      <c r="B17100" s="55" t="s">
        <v>282</v>
      </c>
      <c r="C17100" s="46">
        <v>2088</v>
      </c>
      <c r="D17100" s="69" t="s">
        <v>29419</v>
      </c>
      <c r="E17100" s="51"/>
      <c r="F17100" s="114" t="str">
        <f>IF(INDEX(I.Facility.P3IDNumber,2088)="","",INDEX(I.Facility.P3IDNumber,2088))</f>
        <v/>
      </c>
      <c r="G17100" s="51"/>
      <c r="H17100" s="46" t="str">
        <f>IF(AND(I.Developer.P3=TRUE,I.Facility.P3FacilityCount&gt;=2088,F17100=""),"Incomplete","Complete")</f>
        <v>Complete</v>
      </c>
      <c r="I17100" s="48" t="s">
        <v>21465</v>
      </c>
    </row>
    <row r="17101" spans="2:9" ht="15" customHeight="1" x14ac:dyDescent="0.25">
      <c r="B17101" s="55" t="s">
        <v>282</v>
      </c>
      <c r="C17101" s="46">
        <v>2089</v>
      </c>
      <c r="D17101" s="69" t="s">
        <v>29419</v>
      </c>
      <c r="E17101" s="51"/>
      <c r="F17101" s="114" t="str">
        <f>IF(INDEX(I.Facility.P3IDNumber,2089)="","",INDEX(I.Facility.P3IDNumber,2089))</f>
        <v/>
      </c>
      <c r="G17101" s="51"/>
      <c r="H17101" s="46" t="str">
        <f>IF(AND(I.Developer.P3=TRUE,I.Facility.P3FacilityCount&gt;=2089,F17101=""),"Incomplete","Complete")</f>
        <v>Complete</v>
      </c>
      <c r="I17101" s="48" t="s">
        <v>21466</v>
      </c>
    </row>
    <row r="17102" spans="2:9" ht="15" customHeight="1" x14ac:dyDescent="0.25">
      <c r="B17102" s="55" t="s">
        <v>282</v>
      </c>
      <c r="C17102" s="46">
        <v>2090</v>
      </c>
      <c r="D17102" s="69" t="s">
        <v>29419</v>
      </c>
      <c r="E17102" s="51"/>
      <c r="F17102" s="114" t="str">
        <f>IF(INDEX(I.Facility.P3IDNumber,2090)="","",INDEX(I.Facility.P3IDNumber,2090))</f>
        <v/>
      </c>
      <c r="G17102" s="51"/>
      <c r="H17102" s="46" t="str">
        <f>IF(AND(I.Developer.P3=TRUE,I.Facility.P3FacilityCount&gt;=2090,F17102=""),"Incomplete","Complete")</f>
        <v>Complete</v>
      </c>
      <c r="I17102" s="48" t="s">
        <v>21467</v>
      </c>
    </row>
    <row r="17103" spans="2:9" ht="15" customHeight="1" x14ac:dyDescent="0.25">
      <c r="B17103" s="55" t="s">
        <v>282</v>
      </c>
      <c r="C17103" s="46">
        <v>2091</v>
      </c>
      <c r="D17103" s="69" t="s">
        <v>29419</v>
      </c>
      <c r="E17103" s="51"/>
      <c r="F17103" s="114" t="str">
        <f>IF(INDEX(I.Facility.P3IDNumber,2091)="","",INDEX(I.Facility.P3IDNumber,2091))</f>
        <v/>
      </c>
      <c r="G17103" s="51"/>
      <c r="H17103" s="46" t="str">
        <f>IF(AND(I.Developer.P3=TRUE,I.Facility.P3FacilityCount&gt;=2091,F17103=""),"Incomplete","Complete")</f>
        <v>Complete</v>
      </c>
      <c r="I17103" s="48" t="s">
        <v>21468</v>
      </c>
    </row>
    <row r="17104" spans="2:9" ht="15" customHeight="1" x14ac:dyDescent="0.25">
      <c r="B17104" s="55" t="s">
        <v>282</v>
      </c>
      <c r="C17104" s="46">
        <v>2092</v>
      </c>
      <c r="D17104" s="69" t="s">
        <v>29419</v>
      </c>
      <c r="E17104" s="51"/>
      <c r="F17104" s="114" t="str">
        <f>IF(INDEX(I.Facility.P3IDNumber,2092)="","",INDEX(I.Facility.P3IDNumber,2092))</f>
        <v/>
      </c>
      <c r="G17104" s="51"/>
      <c r="H17104" s="46" t="str">
        <f>IF(AND(I.Developer.P3=TRUE,I.Facility.P3FacilityCount&gt;=2092,F17104=""),"Incomplete","Complete")</f>
        <v>Complete</v>
      </c>
      <c r="I17104" s="48" t="s">
        <v>21469</v>
      </c>
    </row>
    <row r="17105" spans="2:9" ht="15" customHeight="1" x14ac:dyDescent="0.25">
      <c r="B17105" s="55" t="s">
        <v>282</v>
      </c>
      <c r="C17105" s="46">
        <v>2093</v>
      </c>
      <c r="D17105" s="69" t="s">
        <v>29419</v>
      </c>
      <c r="E17105" s="51"/>
      <c r="F17105" s="114" t="str">
        <f>IF(INDEX(I.Facility.P3IDNumber,2093)="","",INDEX(I.Facility.P3IDNumber,2093))</f>
        <v/>
      </c>
      <c r="G17105" s="51"/>
      <c r="H17105" s="46" t="str">
        <f>IF(AND(I.Developer.P3=TRUE,I.Facility.P3FacilityCount&gt;=2093,F17105=""),"Incomplete","Complete")</f>
        <v>Complete</v>
      </c>
      <c r="I17105" s="48" t="s">
        <v>21470</v>
      </c>
    </row>
    <row r="17106" spans="2:9" ht="15" customHeight="1" x14ac:dyDescent="0.25">
      <c r="B17106" s="55" t="s">
        <v>282</v>
      </c>
      <c r="C17106" s="46">
        <v>2094</v>
      </c>
      <c r="D17106" s="69" t="s">
        <v>29419</v>
      </c>
      <c r="E17106" s="51"/>
      <c r="F17106" s="114" t="str">
        <f>IF(INDEX(I.Facility.P3IDNumber,2094)="","",INDEX(I.Facility.P3IDNumber,2094))</f>
        <v/>
      </c>
      <c r="G17106" s="51"/>
      <c r="H17106" s="46" t="str">
        <f>IF(AND(I.Developer.P3=TRUE,I.Facility.P3FacilityCount&gt;=2094,F17106=""),"Incomplete","Complete")</f>
        <v>Complete</v>
      </c>
      <c r="I17106" s="48" t="s">
        <v>21471</v>
      </c>
    </row>
    <row r="17107" spans="2:9" ht="15" customHeight="1" x14ac:dyDescent="0.25">
      <c r="B17107" s="55" t="s">
        <v>282</v>
      </c>
      <c r="C17107" s="46">
        <v>2095</v>
      </c>
      <c r="D17107" s="69" t="s">
        <v>29419</v>
      </c>
      <c r="E17107" s="51"/>
      <c r="F17107" s="114" t="str">
        <f>IF(INDEX(I.Facility.P3IDNumber,2095)="","",INDEX(I.Facility.P3IDNumber,2095))</f>
        <v/>
      </c>
      <c r="G17107" s="51"/>
      <c r="H17107" s="46" t="str">
        <f>IF(AND(I.Developer.P3=TRUE,I.Facility.P3FacilityCount&gt;=2095,F17107=""),"Incomplete","Complete")</f>
        <v>Complete</v>
      </c>
      <c r="I17107" s="48" t="s">
        <v>21472</v>
      </c>
    </row>
    <row r="17108" spans="2:9" ht="15" customHeight="1" x14ac:dyDescent="0.25">
      <c r="B17108" s="55" t="s">
        <v>282</v>
      </c>
      <c r="C17108" s="46">
        <v>2096</v>
      </c>
      <c r="D17108" s="69" t="s">
        <v>29419</v>
      </c>
      <c r="E17108" s="51"/>
      <c r="F17108" s="114" t="str">
        <f>IF(INDEX(I.Facility.P3IDNumber,2096)="","",INDEX(I.Facility.P3IDNumber,2096))</f>
        <v/>
      </c>
      <c r="G17108" s="51"/>
      <c r="H17108" s="46" t="str">
        <f>IF(AND(I.Developer.P3=TRUE,I.Facility.P3FacilityCount&gt;=2096,F17108=""),"Incomplete","Complete")</f>
        <v>Complete</v>
      </c>
      <c r="I17108" s="48" t="s">
        <v>21473</v>
      </c>
    </row>
    <row r="17109" spans="2:9" ht="15" customHeight="1" x14ac:dyDescent="0.25">
      <c r="B17109" s="55" t="s">
        <v>282</v>
      </c>
      <c r="C17109" s="46">
        <v>2097</v>
      </c>
      <c r="D17109" s="69" t="s">
        <v>29419</v>
      </c>
      <c r="E17109" s="51"/>
      <c r="F17109" s="114" t="str">
        <f>IF(INDEX(I.Facility.P3IDNumber,2097)="","",INDEX(I.Facility.P3IDNumber,2097))</f>
        <v/>
      </c>
      <c r="G17109" s="51"/>
      <c r="H17109" s="46" t="str">
        <f>IF(AND(I.Developer.P3=TRUE,I.Facility.P3FacilityCount&gt;=2097,F17109=""),"Incomplete","Complete")</f>
        <v>Complete</v>
      </c>
      <c r="I17109" s="48" t="s">
        <v>21474</v>
      </c>
    </row>
    <row r="17110" spans="2:9" ht="15" customHeight="1" x14ac:dyDescent="0.25">
      <c r="B17110" s="55" t="s">
        <v>282</v>
      </c>
      <c r="C17110" s="46">
        <v>2098</v>
      </c>
      <c r="D17110" s="69" t="s">
        <v>29419</v>
      </c>
      <c r="E17110" s="51"/>
      <c r="F17110" s="114" t="str">
        <f>IF(INDEX(I.Facility.P3IDNumber,2098)="","",INDEX(I.Facility.P3IDNumber,2098))</f>
        <v/>
      </c>
      <c r="G17110" s="51"/>
      <c r="H17110" s="46" t="str">
        <f>IF(AND(I.Developer.P3=TRUE,I.Facility.P3FacilityCount&gt;=2098,F17110=""),"Incomplete","Complete")</f>
        <v>Complete</v>
      </c>
      <c r="I17110" s="48" t="s">
        <v>21475</v>
      </c>
    </row>
    <row r="17111" spans="2:9" ht="15" customHeight="1" x14ac:dyDescent="0.25">
      <c r="B17111" s="55" t="s">
        <v>282</v>
      </c>
      <c r="C17111" s="46">
        <v>2099</v>
      </c>
      <c r="D17111" s="69" t="s">
        <v>29419</v>
      </c>
      <c r="E17111" s="51"/>
      <c r="F17111" s="114" t="str">
        <f>IF(INDEX(I.Facility.P3IDNumber,2099)="","",INDEX(I.Facility.P3IDNumber,2099))</f>
        <v/>
      </c>
      <c r="G17111" s="51"/>
      <c r="H17111" s="46" t="str">
        <f>IF(AND(I.Developer.P3=TRUE,I.Facility.P3FacilityCount&gt;=2099,F17111=""),"Incomplete","Complete")</f>
        <v>Complete</v>
      </c>
      <c r="I17111" s="48" t="s">
        <v>21476</v>
      </c>
    </row>
    <row r="17112" spans="2:9" ht="15" customHeight="1" x14ac:dyDescent="0.25">
      <c r="B17112" s="55" t="s">
        <v>282</v>
      </c>
      <c r="C17112" s="46">
        <v>2100</v>
      </c>
      <c r="D17112" s="69" t="s">
        <v>29419</v>
      </c>
      <c r="E17112" s="51"/>
      <c r="F17112" s="114" t="str">
        <f>IF(INDEX(I.Facility.P3IDNumber,2100)="","",INDEX(I.Facility.P3IDNumber,2100))</f>
        <v/>
      </c>
      <c r="G17112" s="51"/>
      <c r="H17112" s="46" t="str">
        <f>IF(AND(I.Developer.P3=TRUE,I.Facility.P3FacilityCount&gt;=2100,F17112=""),"Incomplete","Complete")</f>
        <v>Complete</v>
      </c>
      <c r="I17112" s="48" t="s">
        <v>21477</v>
      </c>
    </row>
    <row r="17113" spans="2:9" ht="15" customHeight="1" x14ac:dyDescent="0.25">
      <c r="B17113" s="55" t="s">
        <v>282</v>
      </c>
      <c r="C17113" s="46">
        <v>2101</v>
      </c>
      <c r="D17113" s="69" t="s">
        <v>29419</v>
      </c>
      <c r="E17113" s="51"/>
      <c r="F17113" s="114" t="str">
        <f>IF(INDEX(I.Facility.P3IDNumber,2101)="","",INDEX(I.Facility.P3IDNumber,2101))</f>
        <v/>
      </c>
      <c r="G17113" s="51"/>
      <c r="H17113" s="46" t="str">
        <f>IF(AND(I.Developer.P3=TRUE,I.Facility.P3FacilityCount&gt;=2101,F17113=""),"Incomplete","Complete")</f>
        <v>Complete</v>
      </c>
      <c r="I17113" s="48" t="s">
        <v>21478</v>
      </c>
    </row>
    <row r="17114" spans="2:9" ht="15" customHeight="1" x14ac:dyDescent="0.25">
      <c r="B17114" s="55" t="s">
        <v>282</v>
      </c>
      <c r="C17114" s="46">
        <v>2102</v>
      </c>
      <c r="D17114" s="69" t="s">
        <v>29419</v>
      </c>
      <c r="E17114" s="51"/>
      <c r="F17114" s="114" t="str">
        <f>IF(INDEX(I.Facility.P3IDNumber,2102)="","",INDEX(I.Facility.P3IDNumber,2102))</f>
        <v/>
      </c>
      <c r="G17114" s="51"/>
      <c r="H17114" s="46" t="str">
        <f>IF(AND(I.Developer.P3=TRUE,I.Facility.P3FacilityCount&gt;=2102,F17114=""),"Incomplete","Complete")</f>
        <v>Complete</v>
      </c>
      <c r="I17114" s="48" t="s">
        <v>21479</v>
      </c>
    </row>
    <row r="17115" spans="2:9" ht="15" customHeight="1" x14ac:dyDescent="0.25">
      <c r="B17115" s="55" t="s">
        <v>282</v>
      </c>
      <c r="C17115" s="46">
        <v>2103</v>
      </c>
      <c r="D17115" s="69" t="s">
        <v>29419</v>
      </c>
      <c r="E17115" s="51"/>
      <c r="F17115" s="114" t="str">
        <f>IF(INDEX(I.Facility.P3IDNumber,2103)="","",INDEX(I.Facility.P3IDNumber,2103))</f>
        <v/>
      </c>
      <c r="G17115" s="51"/>
      <c r="H17115" s="46" t="str">
        <f>IF(AND(I.Developer.P3=TRUE,I.Facility.P3FacilityCount&gt;=2103,F17115=""),"Incomplete","Complete")</f>
        <v>Complete</v>
      </c>
      <c r="I17115" s="48" t="s">
        <v>21480</v>
      </c>
    </row>
    <row r="17116" spans="2:9" ht="15" customHeight="1" x14ac:dyDescent="0.25">
      <c r="B17116" s="55" t="s">
        <v>282</v>
      </c>
      <c r="C17116" s="46">
        <v>2104</v>
      </c>
      <c r="D17116" s="69" t="s">
        <v>29419</v>
      </c>
      <c r="E17116" s="51"/>
      <c r="F17116" s="114" t="str">
        <f>IF(INDEX(I.Facility.P3IDNumber,2104)="","",INDEX(I.Facility.P3IDNumber,2104))</f>
        <v/>
      </c>
      <c r="G17116" s="51"/>
      <c r="H17116" s="46" t="str">
        <f>IF(AND(I.Developer.P3=TRUE,I.Facility.P3FacilityCount&gt;=2104,F17116=""),"Incomplete","Complete")</f>
        <v>Complete</v>
      </c>
      <c r="I17116" s="48" t="s">
        <v>21481</v>
      </c>
    </row>
    <row r="17117" spans="2:9" ht="15" customHeight="1" x14ac:dyDescent="0.25">
      <c r="B17117" s="55" t="s">
        <v>282</v>
      </c>
      <c r="C17117" s="46">
        <v>2105</v>
      </c>
      <c r="D17117" s="69" t="s">
        <v>29419</v>
      </c>
      <c r="E17117" s="51"/>
      <c r="F17117" s="114" t="str">
        <f>IF(INDEX(I.Facility.P3IDNumber,2105)="","",INDEX(I.Facility.P3IDNumber,2105))</f>
        <v/>
      </c>
      <c r="G17117" s="51"/>
      <c r="H17117" s="46" t="str">
        <f>IF(AND(I.Developer.P3=TRUE,I.Facility.P3FacilityCount&gt;=2105,F17117=""),"Incomplete","Complete")</f>
        <v>Complete</v>
      </c>
      <c r="I17117" s="48" t="s">
        <v>21482</v>
      </c>
    </row>
    <row r="17118" spans="2:9" ht="15" customHeight="1" x14ac:dyDescent="0.25">
      <c r="B17118" s="55" t="s">
        <v>282</v>
      </c>
      <c r="C17118" s="46">
        <v>2106</v>
      </c>
      <c r="D17118" s="69" t="s">
        <v>29419</v>
      </c>
      <c r="E17118" s="51"/>
      <c r="F17118" s="114" t="str">
        <f>IF(INDEX(I.Facility.P3IDNumber,2106)="","",INDEX(I.Facility.P3IDNumber,2106))</f>
        <v/>
      </c>
      <c r="G17118" s="51"/>
      <c r="H17118" s="46" t="str">
        <f>IF(AND(I.Developer.P3=TRUE,I.Facility.P3FacilityCount&gt;=2106,F17118=""),"Incomplete","Complete")</f>
        <v>Complete</v>
      </c>
      <c r="I17118" s="48" t="s">
        <v>21483</v>
      </c>
    </row>
    <row r="17119" spans="2:9" ht="15" customHeight="1" x14ac:dyDescent="0.25">
      <c r="B17119" s="55" t="s">
        <v>282</v>
      </c>
      <c r="C17119" s="46">
        <v>2107</v>
      </c>
      <c r="D17119" s="69" t="s">
        <v>29419</v>
      </c>
      <c r="E17119" s="51"/>
      <c r="F17119" s="114" t="str">
        <f>IF(INDEX(I.Facility.P3IDNumber,2107)="","",INDEX(I.Facility.P3IDNumber,2107))</f>
        <v/>
      </c>
      <c r="G17119" s="51"/>
      <c r="H17119" s="46" t="str">
        <f>IF(AND(I.Developer.P3=TRUE,I.Facility.P3FacilityCount&gt;=2107,F17119=""),"Incomplete","Complete")</f>
        <v>Complete</v>
      </c>
      <c r="I17119" s="48" t="s">
        <v>21484</v>
      </c>
    </row>
    <row r="17120" spans="2:9" ht="15" customHeight="1" x14ac:dyDescent="0.25">
      <c r="B17120" s="55" t="s">
        <v>282</v>
      </c>
      <c r="C17120" s="46">
        <v>2108</v>
      </c>
      <c r="D17120" s="69" t="s">
        <v>29419</v>
      </c>
      <c r="E17120" s="51"/>
      <c r="F17120" s="114" t="str">
        <f>IF(INDEX(I.Facility.P3IDNumber,2108)="","",INDEX(I.Facility.P3IDNumber,2108))</f>
        <v/>
      </c>
      <c r="G17120" s="51"/>
      <c r="H17120" s="46" t="str">
        <f>IF(AND(I.Developer.P3=TRUE,I.Facility.P3FacilityCount&gt;=2108,F17120=""),"Incomplete","Complete")</f>
        <v>Complete</v>
      </c>
      <c r="I17120" s="48" t="s">
        <v>21485</v>
      </c>
    </row>
    <row r="17121" spans="2:9" ht="15" customHeight="1" x14ac:dyDescent="0.25">
      <c r="B17121" s="55" t="s">
        <v>282</v>
      </c>
      <c r="C17121" s="46">
        <v>2109</v>
      </c>
      <c r="D17121" s="69" t="s">
        <v>29419</v>
      </c>
      <c r="E17121" s="51"/>
      <c r="F17121" s="114" t="str">
        <f>IF(INDEX(I.Facility.P3IDNumber,2109)="","",INDEX(I.Facility.P3IDNumber,2109))</f>
        <v/>
      </c>
      <c r="G17121" s="51"/>
      <c r="H17121" s="46" t="str">
        <f>IF(AND(I.Developer.P3=TRUE,I.Facility.P3FacilityCount&gt;=2109,F17121=""),"Incomplete","Complete")</f>
        <v>Complete</v>
      </c>
      <c r="I17121" s="48" t="s">
        <v>21486</v>
      </c>
    </row>
    <row r="17122" spans="2:9" ht="15" customHeight="1" x14ac:dyDescent="0.25">
      <c r="B17122" s="55" t="s">
        <v>282</v>
      </c>
      <c r="C17122" s="46">
        <v>2110</v>
      </c>
      <c r="D17122" s="69" t="s">
        <v>29419</v>
      </c>
      <c r="E17122" s="51"/>
      <c r="F17122" s="114" t="str">
        <f>IF(INDEX(I.Facility.P3IDNumber,2110)="","",INDEX(I.Facility.P3IDNumber,2110))</f>
        <v/>
      </c>
      <c r="G17122" s="51"/>
      <c r="H17122" s="46" t="str">
        <f>IF(AND(I.Developer.P3=TRUE,I.Facility.P3FacilityCount&gt;=2110,F17122=""),"Incomplete","Complete")</f>
        <v>Complete</v>
      </c>
      <c r="I17122" s="48" t="s">
        <v>21487</v>
      </c>
    </row>
    <row r="17123" spans="2:9" ht="15" customHeight="1" x14ac:dyDescent="0.25">
      <c r="B17123" s="55" t="s">
        <v>282</v>
      </c>
      <c r="C17123" s="46">
        <v>2111</v>
      </c>
      <c r="D17123" s="69" t="s">
        <v>29419</v>
      </c>
      <c r="E17123" s="51"/>
      <c r="F17123" s="114" t="str">
        <f>IF(INDEX(I.Facility.P3IDNumber,2111)="","",INDEX(I.Facility.P3IDNumber,2111))</f>
        <v/>
      </c>
      <c r="G17123" s="51"/>
      <c r="H17123" s="46" t="str">
        <f>IF(AND(I.Developer.P3=TRUE,I.Facility.P3FacilityCount&gt;=2111,F17123=""),"Incomplete","Complete")</f>
        <v>Complete</v>
      </c>
      <c r="I17123" s="48" t="s">
        <v>21488</v>
      </c>
    </row>
    <row r="17124" spans="2:9" ht="15" customHeight="1" x14ac:dyDescent="0.25">
      <c r="B17124" s="55" t="s">
        <v>282</v>
      </c>
      <c r="C17124" s="46">
        <v>2112</v>
      </c>
      <c r="D17124" s="69" t="s">
        <v>29419</v>
      </c>
      <c r="E17124" s="51"/>
      <c r="F17124" s="114" t="str">
        <f>IF(INDEX(I.Facility.P3IDNumber,2112)="","",INDEX(I.Facility.P3IDNumber,2112))</f>
        <v/>
      </c>
      <c r="G17124" s="51"/>
      <c r="H17124" s="46" t="str">
        <f>IF(AND(I.Developer.P3=TRUE,I.Facility.P3FacilityCount&gt;=2112,F17124=""),"Incomplete","Complete")</f>
        <v>Complete</v>
      </c>
      <c r="I17124" s="48" t="s">
        <v>21489</v>
      </c>
    </row>
    <row r="17125" spans="2:9" ht="15" customHeight="1" x14ac:dyDescent="0.25">
      <c r="B17125" s="55" t="s">
        <v>282</v>
      </c>
      <c r="C17125" s="46">
        <v>2113</v>
      </c>
      <c r="D17125" s="69" t="s">
        <v>29419</v>
      </c>
      <c r="E17125" s="51"/>
      <c r="F17125" s="114" t="str">
        <f>IF(INDEX(I.Facility.P3IDNumber,2113)="","",INDEX(I.Facility.P3IDNumber,2113))</f>
        <v/>
      </c>
      <c r="G17125" s="51"/>
      <c r="H17125" s="46" t="str">
        <f>IF(AND(I.Developer.P3=TRUE,I.Facility.P3FacilityCount&gt;=2113,F17125=""),"Incomplete","Complete")</f>
        <v>Complete</v>
      </c>
      <c r="I17125" s="48" t="s">
        <v>21490</v>
      </c>
    </row>
    <row r="17126" spans="2:9" ht="15" customHeight="1" x14ac:dyDescent="0.25">
      <c r="B17126" s="55" t="s">
        <v>282</v>
      </c>
      <c r="C17126" s="46">
        <v>2114</v>
      </c>
      <c r="D17126" s="69" t="s">
        <v>29419</v>
      </c>
      <c r="E17126" s="51"/>
      <c r="F17126" s="114" t="str">
        <f>IF(INDEX(I.Facility.P3IDNumber,2114)="","",INDEX(I.Facility.P3IDNumber,2114))</f>
        <v/>
      </c>
      <c r="G17126" s="51"/>
      <c r="H17126" s="46" t="str">
        <f>IF(AND(I.Developer.P3=TRUE,I.Facility.P3FacilityCount&gt;=2114,F17126=""),"Incomplete","Complete")</f>
        <v>Complete</v>
      </c>
      <c r="I17126" s="48" t="s">
        <v>21491</v>
      </c>
    </row>
    <row r="17127" spans="2:9" ht="15" customHeight="1" x14ac:dyDescent="0.25">
      <c r="B17127" s="55" t="s">
        <v>282</v>
      </c>
      <c r="C17127" s="46">
        <v>2115</v>
      </c>
      <c r="D17127" s="69" t="s">
        <v>29419</v>
      </c>
      <c r="E17127" s="51"/>
      <c r="F17127" s="114" t="str">
        <f>IF(INDEX(I.Facility.P3IDNumber,2115)="","",INDEX(I.Facility.P3IDNumber,2115))</f>
        <v/>
      </c>
      <c r="G17127" s="51"/>
      <c r="H17127" s="46" t="str">
        <f>IF(AND(I.Developer.P3=TRUE,I.Facility.P3FacilityCount&gt;=2115,F17127=""),"Incomplete","Complete")</f>
        <v>Complete</v>
      </c>
      <c r="I17127" s="48" t="s">
        <v>21492</v>
      </c>
    </row>
    <row r="17128" spans="2:9" ht="15" customHeight="1" x14ac:dyDescent="0.25">
      <c r="B17128" s="55" t="s">
        <v>282</v>
      </c>
      <c r="C17128" s="46">
        <v>2116</v>
      </c>
      <c r="D17128" s="69" t="s">
        <v>29419</v>
      </c>
      <c r="E17128" s="51"/>
      <c r="F17128" s="114" t="str">
        <f>IF(INDEX(I.Facility.P3IDNumber,2116)="","",INDEX(I.Facility.P3IDNumber,2116))</f>
        <v/>
      </c>
      <c r="G17128" s="51"/>
      <c r="H17128" s="46" t="str">
        <f>IF(AND(I.Developer.P3=TRUE,I.Facility.P3FacilityCount&gt;=2116,F17128=""),"Incomplete","Complete")</f>
        <v>Complete</v>
      </c>
      <c r="I17128" s="48" t="s">
        <v>21493</v>
      </c>
    </row>
    <row r="17129" spans="2:9" ht="15" customHeight="1" x14ac:dyDescent="0.25">
      <c r="B17129" s="55" t="s">
        <v>282</v>
      </c>
      <c r="C17129" s="46">
        <v>2117</v>
      </c>
      <c r="D17129" s="69" t="s">
        <v>29419</v>
      </c>
      <c r="E17129" s="51"/>
      <c r="F17129" s="114" t="str">
        <f>IF(INDEX(I.Facility.P3IDNumber,2117)="","",INDEX(I.Facility.P3IDNumber,2117))</f>
        <v/>
      </c>
      <c r="G17129" s="51"/>
      <c r="H17129" s="46" t="str">
        <f>IF(AND(I.Developer.P3=TRUE,I.Facility.P3FacilityCount&gt;=2117,F17129=""),"Incomplete","Complete")</f>
        <v>Complete</v>
      </c>
      <c r="I17129" s="48" t="s">
        <v>21494</v>
      </c>
    </row>
    <row r="17130" spans="2:9" ht="15" customHeight="1" x14ac:dyDescent="0.25">
      <c r="B17130" s="55" t="s">
        <v>282</v>
      </c>
      <c r="C17130" s="46">
        <v>2118</v>
      </c>
      <c r="D17130" s="69" t="s">
        <v>29419</v>
      </c>
      <c r="E17130" s="51"/>
      <c r="F17130" s="114" t="str">
        <f>IF(INDEX(I.Facility.P3IDNumber,2118)="","",INDEX(I.Facility.P3IDNumber,2118))</f>
        <v/>
      </c>
      <c r="G17130" s="51"/>
      <c r="H17130" s="46" t="str">
        <f>IF(AND(I.Developer.P3=TRUE,I.Facility.P3FacilityCount&gt;=2118,F17130=""),"Incomplete","Complete")</f>
        <v>Complete</v>
      </c>
      <c r="I17130" s="48" t="s">
        <v>21495</v>
      </c>
    </row>
    <row r="17131" spans="2:9" ht="15" customHeight="1" x14ac:dyDescent="0.25">
      <c r="B17131" s="55" t="s">
        <v>282</v>
      </c>
      <c r="C17131" s="46">
        <v>2119</v>
      </c>
      <c r="D17131" s="69" t="s">
        <v>29419</v>
      </c>
      <c r="E17131" s="51"/>
      <c r="F17131" s="114" t="str">
        <f>IF(INDEX(I.Facility.P3IDNumber,2119)="","",INDEX(I.Facility.P3IDNumber,2119))</f>
        <v/>
      </c>
      <c r="G17131" s="51"/>
      <c r="H17131" s="46" t="str">
        <f>IF(AND(I.Developer.P3=TRUE,I.Facility.P3FacilityCount&gt;=2119,F17131=""),"Incomplete","Complete")</f>
        <v>Complete</v>
      </c>
      <c r="I17131" s="48" t="s">
        <v>21496</v>
      </c>
    </row>
    <row r="17132" spans="2:9" ht="15" customHeight="1" x14ac:dyDescent="0.25">
      <c r="B17132" s="55" t="s">
        <v>282</v>
      </c>
      <c r="C17132" s="46">
        <v>2120</v>
      </c>
      <c r="D17132" s="69" t="s">
        <v>29419</v>
      </c>
      <c r="E17132" s="51"/>
      <c r="F17132" s="114" t="str">
        <f>IF(INDEX(I.Facility.P3IDNumber,2120)="","",INDEX(I.Facility.P3IDNumber,2120))</f>
        <v/>
      </c>
      <c r="G17132" s="51"/>
      <c r="H17132" s="46" t="str">
        <f>IF(AND(I.Developer.P3=TRUE,I.Facility.P3FacilityCount&gt;=2120,F17132=""),"Incomplete","Complete")</f>
        <v>Complete</v>
      </c>
      <c r="I17132" s="48" t="s">
        <v>21497</v>
      </c>
    </row>
    <row r="17133" spans="2:9" ht="15" customHeight="1" x14ac:dyDescent="0.25">
      <c r="B17133" s="55" t="s">
        <v>282</v>
      </c>
      <c r="C17133" s="46">
        <v>2121</v>
      </c>
      <c r="D17133" s="69" t="s">
        <v>29419</v>
      </c>
      <c r="E17133" s="51"/>
      <c r="F17133" s="114" t="str">
        <f>IF(INDEX(I.Facility.P3IDNumber,2121)="","",INDEX(I.Facility.P3IDNumber,2121))</f>
        <v/>
      </c>
      <c r="G17133" s="51"/>
      <c r="H17133" s="46" t="str">
        <f>IF(AND(I.Developer.P3=TRUE,I.Facility.P3FacilityCount&gt;=2121,F17133=""),"Incomplete","Complete")</f>
        <v>Complete</v>
      </c>
      <c r="I17133" s="48" t="s">
        <v>21498</v>
      </c>
    </row>
    <row r="17134" spans="2:9" ht="15" customHeight="1" x14ac:dyDescent="0.25">
      <c r="B17134" s="55" t="s">
        <v>282</v>
      </c>
      <c r="C17134" s="46">
        <v>2122</v>
      </c>
      <c r="D17134" s="69" t="s">
        <v>29419</v>
      </c>
      <c r="E17134" s="51"/>
      <c r="F17134" s="114" t="str">
        <f>IF(INDEX(I.Facility.P3IDNumber,2122)="","",INDEX(I.Facility.P3IDNumber,2122))</f>
        <v/>
      </c>
      <c r="G17134" s="51"/>
      <c r="H17134" s="46" t="str">
        <f>IF(AND(I.Developer.P3=TRUE,I.Facility.P3FacilityCount&gt;=2122,F17134=""),"Incomplete","Complete")</f>
        <v>Complete</v>
      </c>
      <c r="I17134" s="48" t="s">
        <v>21499</v>
      </c>
    </row>
    <row r="17135" spans="2:9" ht="15" customHeight="1" x14ac:dyDescent="0.25">
      <c r="B17135" s="55" t="s">
        <v>282</v>
      </c>
      <c r="C17135" s="46">
        <v>2123</v>
      </c>
      <c r="D17135" s="69" t="s">
        <v>29419</v>
      </c>
      <c r="E17135" s="51"/>
      <c r="F17135" s="114" t="str">
        <f>IF(INDEX(I.Facility.P3IDNumber,2123)="","",INDEX(I.Facility.P3IDNumber,2123))</f>
        <v/>
      </c>
      <c r="G17135" s="51"/>
      <c r="H17135" s="46" t="str">
        <f>IF(AND(I.Developer.P3=TRUE,I.Facility.P3FacilityCount&gt;=2123,F17135=""),"Incomplete","Complete")</f>
        <v>Complete</v>
      </c>
      <c r="I17135" s="48" t="s">
        <v>21500</v>
      </c>
    </row>
    <row r="17136" spans="2:9" ht="15" customHeight="1" x14ac:dyDescent="0.25">
      <c r="B17136" s="55" t="s">
        <v>282</v>
      </c>
      <c r="C17136" s="46">
        <v>2124</v>
      </c>
      <c r="D17136" s="69" t="s">
        <v>29419</v>
      </c>
      <c r="E17136" s="51"/>
      <c r="F17136" s="114" t="str">
        <f>IF(INDEX(I.Facility.P3IDNumber,2124)="","",INDEX(I.Facility.P3IDNumber,2124))</f>
        <v/>
      </c>
      <c r="G17136" s="51"/>
      <c r="H17136" s="46" t="str">
        <f>IF(AND(I.Developer.P3=TRUE,I.Facility.P3FacilityCount&gt;=2124,F17136=""),"Incomplete","Complete")</f>
        <v>Complete</v>
      </c>
      <c r="I17136" s="48" t="s">
        <v>21501</v>
      </c>
    </row>
    <row r="17137" spans="2:9" ht="15" customHeight="1" x14ac:dyDescent="0.25">
      <c r="B17137" s="55" t="s">
        <v>282</v>
      </c>
      <c r="C17137" s="46">
        <v>2125</v>
      </c>
      <c r="D17137" s="69" t="s">
        <v>29419</v>
      </c>
      <c r="E17137" s="51"/>
      <c r="F17137" s="114" t="str">
        <f>IF(INDEX(I.Facility.P3IDNumber,2125)="","",INDEX(I.Facility.P3IDNumber,2125))</f>
        <v/>
      </c>
      <c r="G17137" s="51"/>
      <c r="H17137" s="46" t="str">
        <f>IF(AND(I.Developer.P3=TRUE,I.Facility.P3FacilityCount&gt;=2125,F17137=""),"Incomplete","Complete")</f>
        <v>Complete</v>
      </c>
      <c r="I17137" s="48" t="s">
        <v>21502</v>
      </c>
    </row>
    <row r="17138" spans="2:9" ht="15" customHeight="1" x14ac:dyDescent="0.25">
      <c r="B17138" s="55" t="s">
        <v>282</v>
      </c>
      <c r="C17138" s="46">
        <v>2126</v>
      </c>
      <c r="D17138" s="69" t="s">
        <v>29419</v>
      </c>
      <c r="E17138" s="51"/>
      <c r="F17138" s="114" t="str">
        <f>IF(INDEX(I.Facility.P3IDNumber,2126)="","",INDEX(I.Facility.P3IDNumber,2126))</f>
        <v/>
      </c>
      <c r="G17138" s="51"/>
      <c r="H17138" s="46" t="str">
        <f>IF(AND(I.Developer.P3=TRUE,I.Facility.P3FacilityCount&gt;=2126,F17138=""),"Incomplete","Complete")</f>
        <v>Complete</v>
      </c>
      <c r="I17138" s="48" t="s">
        <v>21503</v>
      </c>
    </row>
    <row r="17139" spans="2:9" ht="15" customHeight="1" x14ac:dyDescent="0.25">
      <c r="B17139" s="55" t="s">
        <v>282</v>
      </c>
      <c r="C17139" s="46">
        <v>2127</v>
      </c>
      <c r="D17139" s="69" t="s">
        <v>29419</v>
      </c>
      <c r="E17139" s="51"/>
      <c r="F17139" s="114" t="str">
        <f>IF(INDEX(I.Facility.P3IDNumber,2127)="","",INDEX(I.Facility.P3IDNumber,2127))</f>
        <v/>
      </c>
      <c r="G17139" s="51"/>
      <c r="H17139" s="46" t="str">
        <f>IF(AND(I.Developer.P3=TRUE,I.Facility.P3FacilityCount&gt;=2127,F17139=""),"Incomplete","Complete")</f>
        <v>Complete</v>
      </c>
      <c r="I17139" s="48" t="s">
        <v>21504</v>
      </c>
    </row>
    <row r="17140" spans="2:9" ht="15" customHeight="1" x14ac:dyDescent="0.25">
      <c r="B17140" s="55" t="s">
        <v>282</v>
      </c>
      <c r="C17140" s="46">
        <v>2128</v>
      </c>
      <c r="D17140" s="69" t="s">
        <v>29419</v>
      </c>
      <c r="E17140" s="51"/>
      <c r="F17140" s="114" t="str">
        <f>IF(INDEX(I.Facility.P3IDNumber,2128)="","",INDEX(I.Facility.P3IDNumber,2128))</f>
        <v/>
      </c>
      <c r="G17140" s="51"/>
      <c r="H17140" s="46" t="str">
        <f>IF(AND(I.Developer.P3=TRUE,I.Facility.P3FacilityCount&gt;=2128,F17140=""),"Incomplete","Complete")</f>
        <v>Complete</v>
      </c>
      <c r="I17140" s="48" t="s">
        <v>21505</v>
      </c>
    </row>
    <row r="17141" spans="2:9" ht="15" customHeight="1" x14ac:dyDescent="0.25">
      <c r="B17141" s="55" t="s">
        <v>282</v>
      </c>
      <c r="C17141" s="46">
        <v>2129</v>
      </c>
      <c r="D17141" s="69" t="s">
        <v>29419</v>
      </c>
      <c r="E17141" s="51"/>
      <c r="F17141" s="114" t="str">
        <f>IF(INDEX(I.Facility.P3IDNumber,2129)="","",INDEX(I.Facility.P3IDNumber,2129))</f>
        <v/>
      </c>
      <c r="G17141" s="51"/>
      <c r="H17141" s="46" t="str">
        <f>IF(AND(I.Developer.P3=TRUE,I.Facility.P3FacilityCount&gt;=2129,F17141=""),"Incomplete","Complete")</f>
        <v>Complete</v>
      </c>
      <c r="I17141" s="48" t="s">
        <v>21506</v>
      </c>
    </row>
    <row r="17142" spans="2:9" ht="15" customHeight="1" x14ac:dyDescent="0.25">
      <c r="B17142" s="55" t="s">
        <v>282</v>
      </c>
      <c r="C17142" s="46">
        <v>2130</v>
      </c>
      <c r="D17142" s="69" t="s">
        <v>29419</v>
      </c>
      <c r="E17142" s="51"/>
      <c r="F17142" s="114" t="str">
        <f>IF(INDEX(I.Facility.P3IDNumber,2130)="","",INDEX(I.Facility.P3IDNumber,2130))</f>
        <v/>
      </c>
      <c r="G17142" s="51"/>
      <c r="H17142" s="46" t="str">
        <f>IF(AND(I.Developer.P3=TRUE,I.Facility.P3FacilityCount&gt;=2130,F17142=""),"Incomplete","Complete")</f>
        <v>Complete</v>
      </c>
      <c r="I17142" s="48" t="s">
        <v>21507</v>
      </c>
    </row>
    <row r="17143" spans="2:9" ht="15" customHeight="1" x14ac:dyDescent="0.25">
      <c r="B17143" s="55" t="s">
        <v>282</v>
      </c>
      <c r="C17143" s="46">
        <v>2131</v>
      </c>
      <c r="D17143" s="69" t="s">
        <v>29419</v>
      </c>
      <c r="E17143" s="51"/>
      <c r="F17143" s="114" t="str">
        <f>IF(INDEX(I.Facility.P3IDNumber,2131)="","",INDEX(I.Facility.P3IDNumber,2131))</f>
        <v/>
      </c>
      <c r="G17143" s="51"/>
      <c r="H17143" s="46" t="str">
        <f>IF(AND(I.Developer.P3=TRUE,I.Facility.P3FacilityCount&gt;=2131,F17143=""),"Incomplete","Complete")</f>
        <v>Complete</v>
      </c>
      <c r="I17143" s="48" t="s">
        <v>21508</v>
      </c>
    </row>
    <row r="17144" spans="2:9" ht="15" customHeight="1" x14ac:dyDescent="0.25">
      <c r="B17144" s="55" t="s">
        <v>282</v>
      </c>
      <c r="C17144" s="46">
        <v>2132</v>
      </c>
      <c r="D17144" s="69" t="s">
        <v>29419</v>
      </c>
      <c r="E17144" s="51"/>
      <c r="F17144" s="114" t="str">
        <f>IF(INDEX(I.Facility.P3IDNumber,2132)="","",INDEX(I.Facility.P3IDNumber,2132))</f>
        <v/>
      </c>
      <c r="G17144" s="51"/>
      <c r="H17144" s="46" t="str">
        <f>IF(AND(I.Developer.P3=TRUE,I.Facility.P3FacilityCount&gt;=2132,F17144=""),"Incomplete","Complete")</f>
        <v>Complete</v>
      </c>
      <c r="I17144" s="48" t="s">
        <v>21509</v>
      </c>
    </row>
    <row r="17145" spans="2:9" ht="15" customHeight="1" x14ac:dyDescent="0.25">
      <c r="B17145" s="55" t="s">
        <v>282</v>
      </c>
      <c r="C17145" s="46">
        <v>2133</v>
      </c>
      <c r="D17145" s="69" t="s">
        <v>29419</v>
      </c>
      <c r="E17145" s="51"/>
      <c r="F17145" s="114" t="str">
        <f>IF(INDEX(I.Facility.P3IDNumber,2133)="","",INDEX(I.Facility.P3IDNumber,2133))</f>
        <v/>
      </c>
      <c r="G17145" s="51"/>
      <c r="H17145" s="46" t="str">
        <f>IF(AND(I.Developer.P3=TRUE,I.Facility.P3FacilityCount&gt;=2133,F17145=""),"Incomplete","Complete")</f>
        <v>Complete</v>
      </c>
      <c r="I17145" s="48" t="s">
        <v>21510</v>
      </c>
    </row>
    <row r="17146" spans="2:9" ht="15" customHeight="1" x14ac:dyDescent="0.25">
      <c r="B17146" s="55" t="s">
        <v>282</v>
      </c>
      <c r="C17146" s="46">
        <v>2134</v>
      </c>
      <c r="D17146" s="69" t="s">
        <v>29419</v>
      </c>
      <c r="E17146" s="51"/>
      <c r="F17146" s="114" t="str">
        <f>IF(INDEX(I.Facility.P3IDNumber,2134)="","",INDEX(I.Facility.P3IDNumber,2134))</f>
        <v/>
      </c>
      <c r="G17146" s="51"/>
      <c r="H17146" s="46" t="str">
        <f>IF(AND(I.Developer.P3=TRUE,I.Facility.P3FacilityCount&gt;=2134,F17146=""),"Incomplete","Complete")</f>
        <v>Complete</v>
      </c>
      <c r="I17146" s="48" t="s">
        <v>21511</v>
      </c>
    </row>
    <row r="17147" spans="2:9" ht="15" customHeight="1" x14ac:dyDescent="0.25">
      <c r="B17147" s="55" t="s">
        <v>282</v>
      </c>
      <c r="C17147" s="46">
        <v>2135</v>
      </c>
      <c r="D17147" s="69" t="s">
        <v>29419</v>
      </c>
      <c r="E17147" s="51"/>
      <c r="F17147" s="114" t="str">
        <f>IF(INDEX(I.Facility.P3IDNumber,2135)="","",INDEX(I.Facility.P3IDNumber,2135))</f>
        <v/>
      </c>
      <c r="G17147" s="51"/>
      <c r="H17147" s="46" t="str">
        <f>IF(AND(I.Developer.P3=TRUE,I.Facility.P3FacilityCount&gt;=2135,F17147=""),"Incomplete","Complete")</f>
        <v>Complete</v>
      </c>
      <c r="I17147" s="48" t="s">
        <v>21512</v>
      </c>
    </row>
    <row r="17148" spans="2:9" ht="15" customHeight="1" x14ac:dyDescent="0.25">
      <c r="B17148" s="55" t="s">
        <v>282</v>
      </c>
      <c r="C17148" s="46">
        <v>2136</v>
      </c>
      <c r="D17148" s="69" t="s">
        <v>29419</v>
      </c>
      <c r="E17148" s="51"/>
      <c r="F17148" s="114" t="str">
        <f>IF(INDEX(I.Facility.P3IDNumber,2136)="","",INDEX(I.Facility.P3IDNumber,2136))</f>
        <v/>
      </c>
      <c r="G17148" s="51"/>
      <c r="H17148" s="46" t="str">
        <f>IF(AND(I.Developer.P3=TRUE,I.Facility.P3FacilityCount&gt;=2136,F17148=""),"Incomplete","Complete")</f>
        <v>Complete</v>
      </c>
      <c r="I17148" s="48" t="s">
        <v>21513</v>
      </c>
    </row>
    <row r="17149" spans="2:9" ht="15" customHeight="1" x14ac:dyDescent="0.25">
      <c r="B17149" s="55" t="s">
        <v>282</v>
      </c>
      <c r="C17149" s="46">
        <v>2137</v>
      </c>
      <c r="D17149" s="69" t="s">
        <v>29419</v>
      </c>
      <c r="E17149" s="51"/>
      <c r="F17149" s="114" t="str">
        <f>IF(INDEX(I.Facility.P3IDNumber,2137)="","",INDEX(I.Facility.P3IDNumber,2137))</f>
        <v/>
      </c>
      <c r="G17149" s="51"/>
      <c r="H17149" s="46" t="str">
        <f>IF(AND(I.Developer.P3=TRUE,I.Facility.P3FacilityCount&gt;=2137,F17149=""),"Incomplete","Complete")</f>
        <v>Complete</v>
      </c>
      <c r="I17149" s="48" t="s">
        <v>21514</v>
      </c>
    </row>
    <row r="17150" spans="2:9" ht="15" customHeight="1" x14ac:dyDescent="0.25">
      <c r="B17150" s="55" t="s">
        <v>282</v>
      </c>
      <c r="C17150" s="46">
        <v>2138</v>
      </c>
      <c r="D17150" s="69" t="s">
        <v>29419</v>
      </c>
      <c r="E17150" s="51"/>
      <c r="F17150" s="114" t="str">
        <f>IF(INDEX(I.Facility.P3IDNumber,2138)="","",INDEX(I.Facility.P3IDNumber,2138))</f>
        <v/>
      </c>
      <c r="G17150" s="51"/>
      <c r="H17150" s="46" t="str">
        <f>IF(AND(I.Developer.P3=TRUE,I.Facility.P3FacilityCount&gt;=2138,F17150=""),"Incomplete","Complete")</f>
        <v>Complete</v>
      </c>
      <c r="I17150" s="48" t="s">
        <v>21515</v>
      </c>
    </row>
    <row r="17151" spans="2:9" ht="15" customHeight="1" x14ac:dyDescent="0.25">
      <c r="B17151" s="55" t="s">
        <v>282</v>
      </c>
      <c r="C17151" s="46">
        <v>2139</v>
      </c>
      <c r="D17151" s="69" t="s">
        <v>29419</v>
      </c>
      <c r="E17151" s="51"/>
      <c r="F17151" s="114" t="str">
        <f>IF(INDEX(I.Facility.P3IDNumber,2139)="","",INDEX(I.Facility.P3IDNumber,2139))</f>
        <v/>
      </c>
      <c r="G17151" s="51"/>
      <c r="H17151" s="46" t="str">
        <f>IF(AND(I.Developer.P3=TRUE,I.Facility.P3FacilityCount&gt;=2139,F17151=""),"Incomplete","Complete")</f>
        <v>Complete</v>
      </c>
      <c r="I17151" s="48" t="s">
        <v>21516</v>
      </c>
    </row>
    <row r="17152" spans="2:9" ht="15" customHeight="1" x14ac:dyDescent="0.25">
      <c r="B17152" s="55" t="s">
        <v>282</v>
      </c>
      <c r="C17152" s="46">
        <v>2140</v>
      </c>
      <c r="D17152" s="69" t="s">
        <v>29419</v>
      </c>
      <c r="E17152" s="51"/>
      <c r="F17152" s="114" t="str">
        <f>IF(INDEX(I.Facility.P3IDNumber,2140)="","",INDEX(I.Facility.P3IDNumber,2140))</f>
        <v/>
      </c>
      <c r="G17152" s="51"/>
      <c r="H17152" s="46" t="str">
        <f>IF(AND(I.Developer.P3=TRUE,I.Facility.P3FacilityCount&gt;=2140,F17152=""),"Incomplete","Complete")</f>
        <v>Complete</v>
      </c>
      <c r="I17152" s="48" t="s">
        <v>21517</v>
      </c>
    </row>
    <row r="17153" spans="2:9" ht="15" customHeight="1" x14ac:dyDescent="0.25">
      <c r="B17153" s="55" t="s">
        <v>282</v>
      </c>
      <c r="C17153" s="46">
        <v>2141</v>
      </c>
      <c r="D17153" s="69" t="s">
        <v>29419</v>
      </c>
      <c r="E17153" s="51"/>
      <c r="F17153" s="114" t="str">
        <f>IF(INDEX(I.Facility.P3IDNumber,2141)="","",INDEX(I.Facility.P3IDNumber,2141))</f>
        <v/>
      </c>
      <c r="G17153" s="51"/>
      <c r="H17153" s="46" t="str">
        <f>IF(AND(I.Developer.P3=TRUE,I.Facility.P3FacilityCount&gt;=2141,F17153=""),"Incomplete","Complete")</f>
        <v>Complete</v>
      </c>
      <c r="I17153" s="48" t="s">
        <v>21518</v>
      </c>
    </row>
    <row r="17154" spans="2:9" ht="15" customHeight="1" x14ac:dyDescent="0.25">
      <c r="B17154" s="55" t="s">
        <v>282</v>
      </c>
      <c r="C17154" s="46">
        <v>2142</v>
      </c>
      <c r="D17154" s="69" t="s">
        <v>29419</v>
      </c>
      <c r="E17154" s="51"/>
      <c r="F17154" s="114" t="str">
        <f>IF(INDEX(I.Facility.P3IDNumber,2142)="","",INDEX(I.Facility.P3IDNumber,2142))</f>
        <v/>
      </c>
      <c r="G17154" s="51"/>
      <c r="H17154" s="46" t="str">
        <f>IF(AND(I.Developer.P3=TRUE,I.Facility.P3FacilityCount&gt;=2142,F17154=""),"Incomplete","Complete")</f>
        <v>Complete</v>
      </c>
      <c r="I17154" s="48" t="s">
        <v>21519</v>
      </c>
    </row>
    <row r="17155" spans="2:9" ht="15" customHeight="1" x14ac:dyDescent="0.25">
      <c r="B17155" s="55" t="s">
        <v>282</v>
      </c>
      <c r="C17155" s="46">
        <v>2143</v>
      </c>
      <c r="D17155" s="69" t="s">
        <v>29419</v>
      </c>
      <c r="E17155" s="51"/>
      <c r="F17155" s="114" t="str">
        <f>IF(INDEX(I.Facility.P3IDNumber,2143)="","",INDEX(I.Facility.P3IDNumber,2143))</f>
        <v/>
      </c>
      <c r="G17155" s="51"/>
      <c r="H17155" s="46" t="str">
        <f>IF(AND(I.Developer.P3=TRUE,I.Facility.P3FacilityCount&gt;=2143,F17155=""),"Incomplete","Complete")</f>
        <v>Complete</v>
      </c>
      <c r="I17155" s="48" t="s">
        <v>21520</v>
      </c>
    </row>
    <row r="17156" spans="2:9" ht="15" customHeight="1" x14ac:dyDescent="0.25">
      <c r="B17156" s="55" t="s">
        <v>282</v>
      </c>
      <c r="C17156" s="46">
        <v>2144</v>
      </c>
      <c r="D17156" s="69" t="s">
        <v>29419</v>
      </c>
      <c r="E17156" s="51"/>
      <c r="F17156" s="114" t="str">
        <f>IF(INDEX(I.Facility.P3IDNumber,2144)="","",INDEX(I.Facility.P3IDNumber,2144))</f>
        <v/>
      </c>
      <c r="G17156" s="51"/>
      <c r="H17156" s="46" t="str">
        <f>IF(AND(I.Developer.P3=TRUE,I.Facility.P3FacilityCount&gt;=2144,F17156=""),"Incomplete","Complete")</f>
        <v>Complete</v>
      </c>
      <c r="I17156" s="48" t="s">
        <v>21521</v>
      </c>
    </row>
    <row r="17157" spans="2:9" ht="15" customHeight="1" x14ac:dyDescent="0.25">
      <c r="B17157" s="55" t="s">
        <v>282</v>
      </c>
      <c r="C17157" s="46">
        <v>2145</v>
      </c>
      <c r="D17157" s="69" t="s">
        <v>29419</v>
      </c>
      <c r="E17157" s="51"/>
      <c r="F17157" s="114" t="str">
        <f>IF(INDEX(I.Facility.P3IDNumber,2145)="","",INDEX(I.Facility.P3IDNumber,2145))</f>
        <v/>
      </c>
      <c r="G17157" s="51"/>
      <c r="H17157" s="46" t="str">
        <f>IF(AND(I.Developer.P3=TRUE,I.Facility.P3FacilityCount&gt;=2145,F17157=""),"Incomplete","Complete")</f>
        <v>Complete</v>
      </c>
      <c r="I17157" s="48" t="s">
        <v>21522</v>
      </c>
    </row>
    <row r="17158" spans="2:9" ht="15" customHeight="1" x14ac:dyDescent="0.25">
      <c r="B17158" s="55" t="s">
        <v>282</v>
      </c>
      <c r="C17158" s="46">
        <v>2146</v>
      </c>
      <c r="D17158" s="69" t="s">
        <v>29419</v>
      </c>
      <c r="E17158" s="51"/>
      <c r="F17158" s="114" t="str">
        <f>IF(INDEX(I.Facility.P3IDNumber,2146)="","",INDEX(I.Facility.P3IDNumber,2146))</f>
        <v/>
      </c>
      <c r="G17158" s="51"/>
      <c r="H17158" s="46" t="str">
        <f>IF(AND(I.Developer.P3=TRUE,I.Facility.P3FacilityCount&gt;=2146,F17158=""),"Incomplete","Complete")</f>
        <v>Complete</v>
      </c>
      <c r="I17158" s="48" t="s">
        <v>21523</v>
      </c>
    </row>
    <row r="17159" spans="2:9" ht="15" customHeight="1" x14ac:dyDescent="0.25">
      <c r="B17159" s="55" t="s">
        <v>282</v>
      </c>
      <c r="C17159" s="46">
        <v>2147</v>
      </c>
      <c r="D17159" s="69" t="s">
        <v>29419</v>
      </c>
      <c r="E17159" s="51"/>
      <c r="F17159" s="114" t="str">
        <f>IF(INDEX(I.Facility.P3IDNumber,2147)="","",INDEX(I.Facility.P3IDNumber,2147))</f>
        <v/>
      </c>
      <c r="G17159" s="51"/>
      <c r="H17159" s="46" t="str">
        <f>IF(AND(I.Developer.P3=TRUE,I.Facility.P3FacilityCount&gt;=2147,F17159=""),"Incomplete","Complete")</f>
        <v>Complete</v>
      </c>
      <c r="I17159" s="48" t="s">
        <v>21524</v>
      </c>
    </row>
    <row r="17160" spans="2:9" ht="15" customHeight="1" x14ac:dyDescent="0.25">
      <c r="B17160" s="55" t="s">
        <v>282</v>
      </c>
      <c r="C17160" s="46">
        <v>2148</v>
      </c>
      <c r="D17160" s="69" t="s">
        <v>29419</v>
      </c>
      <c r="E17160" s="51"/>
      <c r="F17160" s="114" t="str">
        <f>IF(INDEX(I.Facility.P3IDNumber,2148)="","",INDEX(I.Facility.P3IDNumber,2148))</f>
        <v/>
      </c>
      <c r="G17160" s="51"/>
      <c r="H17160" s="46" t="str">
        <f>IF(AND(I.Developer.P3=TRUE,I.Facility.P3FacilityCount&gt;=2148,F17160=""),"Incomplete","Complete")</f>
        <v>Complete</v>
      </c>
      <c r="I17160" s="48" t="s">
        <v>21525</v>
      </c>
    </row>
    <row r="17161" spans="2:9" ht="15" customHeight="1" x14ac:dyDescent="0.25">
      <c r="B17161" s="55" t="s">
        <v>282</v>
      </c>
      <c r="C17161" s="46">
        <v>2149</v>
      </c>
      <c r="D17161" s="69" t="s">
        <v>29419</v>
      </c>
      <c r="E17161" s="51"/>
      <c r="F17161" s="114" t="str">
        <f>IF(INDEX(I.Facility.P3IDNumber,2149)="","",INDEX(I.Facility.P3IDNumber,2149))</f>
        <v/>
      </c>
      <c r="G17161" s="51"/>
      <c r="H17161" s="46" t="str">
        <f>IF(AND(I.Developer.P3=TRUE,I.Facility.P3FacilityCount&gt;=2149,F17161=""),"Incomplete","Complete")</f>
        <v>Complete</v>
      </c>
      <c r="I17161" s="48" t="s">
        <v>21526</v>
      </c>
    </row>
    <row r="17162" spans="2:9" ht="15" customHeight="1" x14ac:dyDescent="0.25">
      <c r="B17162" s="55" t="s">
        <v>282</v>
      </c>
      <c r="C17162" s="46">
        <v>2150</v>
      </c>
      <c r="D17162" s="69" t="s">
        <v>29419</v>
      </c>
      <c r="E17162" s="51"/>
      <c r="F17162" s="114" t="str">
        <f>IF(INDEX(I.Facility.P3IDNumber,2150)="","",INDEX(I.Facility.P3IDNumber,2150))</f>
        <v/>
      </c>
      <c r="G17162" s="51"/>
      <c r="H17162" s="46" t="str">
        <f>IF(AND(I.Developer.P3=TRUE,I.Facility.P3FacilityCount&gt;=2150,F17162=""),"Incomplete","Complete")</f>
        <v>Complete</v>
      </c>
      <c r="I17162" s="48" t="s">
        <v>21527</v>
      </c>
    </row>
    <row r="17163" spans="2:9" ht="15" customHeight="1" x14ac:dyDescent="0.25">
      <c r="B17163" s="55" t="s">
        <v>282</v>
      </c>
      <c r="C17163" s="46">
        <v>2151</v>
      </c>
      <c r="D17163" s="69" t="s">
        <v>29419</v>
      </c>
      <c r="E17163" s="51"/>
      <c r="F17163" s="114" t="str">
        <f>IF(INDEX(I.Facility.P3IDNumber,2151)="","",INDEX(I.Facility.P3IDNumber,2151))</f>
        <v/>
      </c>
      <c r="G17163" s="51"/>
      <c r="H17163" s="46" t="str">
        <f>IF(AND(I.Developer.P3=TRUE,I.Facility.P3FacilityCount&gt;=2151,F17163=""),"Incomplete","Complete")</f>
        <v>Complete</v>
      </c>
      <c r="I17163" s="48" t="s">
        <v>21528</v>
      </c>
    </row>
    <row r="17164" spans="2:9" ht="15" customHeight="1" x14ac:dyDescent="0.25">
      <c r="B17164" s="55" t="s">
        <v>282</v>
      </c>
      <c r="C17164" s="46">
        <v>2152</v>
      </c>
      <c r="D17164" s="69" t="s">
        <v>29419</v>
      </c>
      <c r="E17164" s="51"/>
      <c r="F17164" s="114" t="str">
        <f>IF(INDEX(I.Facility.P3IDNumber,2152)="","",INDEX(I.Facility.P3IDNumber,2152))</f>
        <v/>
      </c>
      <c r="G17164" s="51"/>
      <c r="H17164" s="46" t="str">
        <f>IF(AND(I.Developer.P3=TRUE,I.Facility.P3FacilityCount&gt;=2152,F17164=""),"Incomplete","Complete")</f>
        <v>Complete</v>
      </c>
      <c r="I17164" s="48" t="s">
        <v>21529</v>
      </c>
    </row>
    <row r="17165" spans="2:9" ht="15" customHeight="1" x14ac:dyDescent="0.25">
      <c r="B17165" s="55" t="s">
        <v>282</v>
      </c>
      <c r="C17165" s="46">
        <v>2153</v>
      </c>
      <c r="D17165" s="69" t="s">
        <v>29419</v>
      </c>
      <c r="E17165" s="51"/>
      <c r="F17165" s="114" t="str">
        <f>IF(INDEX(I.Facility.P3IDNumber,2153)="","",INDEX(I.Facility.P3IDNumber,2153))</f>
        <v/>
      </c>
      <c r="G17165" s="51"/>
      <c r="H17165" s="46" t="str">
        <f>IF(AND(I.Developer.P3=TRUE,I.Facility.P3FacilityCount&gt;=2153,F17165=""),"Incomplete","Complete")</f>
        <v>Complete</v>
      </c>
      <c r="I17165" s="48" t="s">
        <v>21530</v>
      </c>
    </row>
    <row r="17166" spans="2:9" ht="15" customHeight="1" x14ac:dyDescent="0.25">
      <c r="B17166" s="55" t="s">
        <v>282</v>
      </c>
      <c r="C17166" s="46">
        <v>2154</v>
      </c>
      <c r="D17166" s="69" t="s">
        <v>29419</v>
      </c>
      <c r="E17166" s="51"/>
      <c r="F17166" s="114" t="str">
        <f>IF(INDEX(I.Facility.P3IDNumber,2154)="","",INDEX(I.Facility.P3IDNumber,2154))</f>
        <v/>
      </c>
      <c r="G17166" s="51"/>
      <c r="H17166" s="46" t="str">
        <f>IF(AND(I.Developer.P3=TRUE,I.Facility.P3FacilityCount&gt;=2154,F17166=""),"Incomplete","Complete")</f>
        <v>Complete</v>
      </c>
      <c r="I17166" s="48" t="s">
        <v>21531</v>
      </c>
    </row>
    <row r="17167" spans="2:9" ht="15" customHeight="1" x14ac:dyDescent="0.25">
      <c r="B17167" s="55" t="s">
        <v>282</v>
      </c>
      <c r="C17167" s="46">
        <v>2155</v>
      </c>
      <c r="D17167" s="69" t="s">
        <v>29419</v>
      </c>
      <c r="E17167" s="51"/>
      <c r="F17167" s="114" t="str">
        <f>IF(INDEX(I.Facility.P3IDNumber,2155)="","",INDEX(I.Facility.P3IDNumber,2155))</f>
        <v/>
      </c>
      <c r="G17167" s="51"/>
      <c r="H17167" s="46" t="str">
        <f>IF(AND(I.Developer.P3=TRUE,I.Facility.P3FacilityCount&gt;=2155,F17167=""),"Incomplete","Complete")</f>
        <v>Complete</v>
      </c>
      <c r="I17167" s="48" t="s">
        <v>21532</v>
      </c>
    </row>
    <row r="17168" spans="2:9" ht="15" customHeight="1" x14ac:dyDescent="0.25">
      <c r="B17168" s="55" t="s">
        <v>282</v>
      </c>
      <c r="C17168" s="46">
        <v>2156</v>
      </c>
      <c r="D17168" s="69" t="s">
        <v>29419</v>
      </c>
      <c r="E17168" s="51"/>
      <c r="F17168" s="114" t="str">
        <f>IF(INDEX(I.Facility.P3IDNumber,2156)="","",INDEX(I.Facility.P3IDNumber,2156))</f>
        <v/>
      </c>
      <c r="G17168" s="51"/>
      <c r="H17168" s="46" t="str">
        <f>IF(AND(I.Developer.P3=TRUE,I.Facility.P3FacilityCount&gt;=2156,F17168=""),"Incomplete","Complete")</f>
        <v>Complete</v>
      </c>
      <c r="I17168" s="48" t="s">
        <v>21533</v>
      </c>
    </row>
    <row r="17169" spans="2:9" ht="15" customHeight="1" x14ac:dyDescent="0.25">
      <c r="B17169" s="55" t="s">
        <v>282</v>
      </c>
      <c r="C17169" s="46">
        <v>2157</v>
      </c>
      <c r="D17169" s="69" t="s">
        <v>29419</v>
      </c>
      <c r="E17169" s="51"/>
      <c r="F17169" s="114" t="str">
        <f>IF(INDEX(I.Facility.P3IDNumber,2157)="","",INDEX(I.Facility.P3IDNumber,2157))</f>
        <v/>
      </c>
      <c r="G17169" s="51"/>
      <c r="H17169" s="46" t="str">
        <f>IF(AND(I.Developer.P3=TRUE,I.Facility.P3FacilityCount&gt;=2157,F17169=""),"Incomplete","Complete")</f>
        <v>Complete</v>
      </c>
      <c r="I17169" s="48" t="s">
        <v>21534</v>
      </c>
    </row>
    <row r="17170" spans="2:9" ht="15" customHeight="1" x14ac:dyDescent="0.25">
      <c r="B17170" s="55" t="s">
        <v>282</v>
      </c>
      <c r="C17170" s="46">
        <v>2158</v>
      </c>
      <c r="D17170" s="69" t="s">
        <v>29419</v>
      </c>
      <c r="E17170" s="51"/>
      <c r="F17170" s="114" t="str">
        <f>IF(INDEX(I.Facility.P3IDNumber,2158)="","",INDEX(I.Facility.P3IDNumber,2158))</f>
        <v/>
      </c>
      <c r="G17170" s="51"/>
      <c r="H17170" s="46" t="str">
        <f>IF(AND(I.Developer.P3=TRUE,I.Facility.P3FacilityCount&gt;=2158,F17170=""),"Incomplete","Complete")</f>
        <v>Complete</v>
      </c>
      <c r="I17170" s="48" t="s">
        <v>21535</v>
      </c>
    </row>
    <row r="17171" spans="2:9" ht="15" customHeight="1" x14ac:dyDescent="0.25">
      <c r="B17171" s="55" t="s">
        <v>282</v>
      </c>
      <c r="C17171" s="46">
        <v>2159</v>
      </c>
      <c r="D17171" s="69" t="s">
        <v>29419</v>
      </c>
      <c r="E17171" s="51"/>
      <c r="F17171" s="114" t="str">
        <f>IF(INDEX(I.Facility.P3IDNumber,2159)="","",INDEX(I.Facility.P3IDNumber,2159))</f>
        <v/>
      </c>
      <c r="G17171" s="51"/>
      <c r="H17171" s="46" t="str">
        <f>IF(AND(I.Developer.P3=TRUE,I.Facility.P3FacilityCount&gt;=2159,F17171=""),"Incomplete","Complete")</f>
        <v>Complete</v>
      </c>
      <c r="I17171" s="48" t="s">
        <v>21536</v>
      </c>
    </row>
    <row r="17172" spans="2:9" ht="15" customHeight="1" x14ac:dyDescent="0.25">
      <c r="B17172" s="55" t="s">
        <v>282</v>
      </c>
      <c r="C17172" s="46">
        <v>2160</v>
      </c>
      <c r="D17172" s="69" t="s">
        <v>29419</v>
      </c>
      <c r="E17172" s="51"/>
      <c r="F17172" s="114" t="str">
        <f>IF(INDEX(I.Facility.P3IDNumber,2160)="","",INDEX(I.Facility.P3IDNumber,2160))</f>
        <v/>
      </c>
      <c r="G17172" s="51"/>
      <c r="H17172" s="46" t="str">
        <f>IF(AND(I.Developer.P3=TRUE,I.Facility.P3FacilityCount&gt;=2160,F17172=""),"Incomplete","Complete")</f>
        <v>Complete</v>
      </c>
      <c r="I17172" s="48" t="s">
        <v>21537</v>
      </c>
    </row>
    <row r="17173" spans="2:9" ht="15" customHeight="1" x14ac:dyDescent="0.25">
      <c r="B17173" s="55" t="s">
        <v>282</v>
      </c>
      <c r="C17173" s="46">
        <v>2161</v>
      </c>
      <c r="D17173" s="69" t="s">
        <v>29419</v>
      </c>
      <c r="E17173" s="51"/>
      <c r="F17173" s="114" t="str">
        <f>IF(INDEX(I.Facility.P3IDNumber,2161)="","",INDEX(I.Facility.P3IDNumber,2161))</f>
        <v/>
      </c>
      <c r="G17173" s="51"/>
      <c r="H17173" s="46" t="str">
        <f>IF(AND(I.Developer.P3=TRUE,I.Facility.P3FacilityCount&gt;=2161,F17173=""),"Incomplete","Complete")</f>
        <v>Complete</v>
      </c>
      <c r="I17173" s="48" t="s">
        <v>21538</v>
      </c>
    </row>
    <row r="17174" spans="2:9" ht="15" customHeight="1" x14ac:dyDescent="0.25">
      <c r="B17174" s="55" t="s">
        <v>282</v>
      </c>
      <c r="C17174" s="46">
        <v>2162</v>
      </c>
      <c r="D17174" s="69" t="s">
        <v>29419</v>
      </c>
      <c r="E17174" s="51"/>
      <c r="F17174" s="114" t="str">
        <f>IF(INDEX(I.Facility.P3IDNumber,2162)="","",INDEX(I.Facility.P3IDNumber,2162))</f>
        <v/>
      </c>
      <c r="G17174" s="51"/>
      <c r="H17174" s="46" t="str">
        <f>IF(AND(I.Developer.P3=TRUE,I.Facility.P3FacilityCount&gt;=2162,F17174=""),"Incomplete","Complete")</f>
        <v>Complete</v>
      </c>
      <c r="I17174" s="48" t="s">
        <v>21539</v>
      </c>
    </row>
    <row r="17175" spans="2:9" ht="15" customHeight="1" x14ac:dyDescent="0.25">
      <c r="B17175" s="55" t="s">
        <v>282</v>
      </c>
      <c r="C17175" s="46">
        <v>2163</v>
      </c>
      <c r="D17175" s="69" t="s">
        <v>29419</v>
      </c>
      <c r="E17175" s="51"/>
      <c r="F17175" s="114" t="str">
        <f>IF(INDEX(I.Facility.P3IDNumber,2163)="","",INDEX(I.Facility.P3IDNumber,2163))</f>
        <v/>
      </c>
      <c r="G17175" s="51"/>
      <c r="H17175" s="46" t="str">
        <f>IF(AND(I.Developer.P3=TRUE,I.Facility.P3FacilityCount&gt;=2163,F17175=""),"Incomplete","Complete")</f>
        <v>Complete</v>
      </c>
      <c r="I17175" s="48" t="s">
        <v>21540</v>
      </c>
    </row>
    <row r="17176" spans="2:9" ht="15" customHeight="1" x14ac:dyDescent="0.25">
      <c r="B17176" s="55" t="s">
        <v>282</v>
      </c>
      <c r="C17176" s="46">
        <v>2164</v>
      </c>
      <c r="D17176" s="69" t="s">
        <v>29419</v>
      </c>
      <c r="E17176" s="51"/>
      <c r="F17176" s="114" t="str">
        <f>IF(INDEX(I.Facility.P3IDNumber,2164)="","",INDEX(I.Facility.P3IDNumber,2164))</f>
        <v/>
      </c>
      <c r="G17176" s="51"/>
      <c r="H17176" s="46" t="str">
        <f>IF(AND(I.Developer.P3=TRUE,I.Facility.P3FacilityCount&gt;=2164,F17176=""),"Incomplete","Complete")</f>
        <v>Complete</v>
      </c>
      <c r="I17176" s="48" t="s">
        <v>21541</v>
      </c>
    </row>
    <row r="17177" spans="2:9" ht="15" customHeight="1" x14ac:dyDescent="0.25">
      <c r="B17177" s="55" t="s">
        <v>282</v>
      </c>
      <c r="C17177" s="46">
        <v>2165</v>
      </c>
      <c r="D17177" s="69" t="s">
        <v>29419</v>
      </c>
      <c r="E17177" s="51"/>
      <c r="F17177" s="114" t="str">
        <f>IF(INDEX(I.Facility.P3IDNumber,2165)="","",INDEX(I.Facility.P3IDNumber,2165))</f>
        <v/>
      </c>
      <c r="G17177" s="51"/>
      <c r="H17177" s="46" t="str">
        <f>IF(AND(I.Developer.P3=TRUE,I.Facility.P3FacilityCount&gt;=2165,F17177=""),"Incomplete","Complete")</f>
        <v>Complete</v>
      </c>
      <c r="I17177" s="48" t="s">
        <v>21542</v>
      </c>
    </row>
    <row r="17178" spans="2:9" ht="15" customHeight="1" x14ac:dyDescent="0.25">
      <c r="B17178" s="55" t="s">
        <v>282</v>
      </c>
      <c r="C17178" s="46">
        <v>2166</v>
      </c>
      <c r="D17178" s="69" t="s">
        <v>29419</v>
      </c>
      <c r="E17178" s="51"/>
      <c r="F17178" s="114" t="str">
        <f>IF(INDEX(I.Facility.P3IDNumber,2166)="","",INDEX(I.Facility.P3IDNumber,2166))</f>
        <v/>
      </c>
      <c r="G17178" s="51"/>
      <c r="H17178" s="46" t="str">
        <f>IF(AND(I.Developer.P3=TRUE,I.Facility.P3FacilityCount&gt;=2166,F17178=""),"Incomplete","Complete")</f>
        <v>Complete</v>
      </c>
      <c r="I17178" s="48" t="s">
        <v>21543</v>
      </c>
    </row>
    <row r="17179" spans="2:9" ht="15" customHeight="1" x14ac:dyDescent="0.25">
      <c r="B17179" s="55" t="s">
        <v>282</v>
      </c>
      <c r="C17179" s="46">
        <v>2167</v>
      </c>
      <c r="D17179" s="69" t="s">
        <v>29419</v>
      </c>
      <c r="E17179" s="51"/>
      <c r="F17179" s="114" t="str">
        <f>IF(INDEX(I.Facility.P3IDNumber,2167)="","",INDEX(I.Facility.P3IDNumber,2167))</f>
        <v/>
      </c>
      <c r="G17179" s="51"/>
      <c r="H17179" s="46" t="str">
        <f>IF(AND(I.Developer.P3=TRUE,I.Facility.P3FacilityCount&gt;=2167,F17179=""),"Incomplete","Complete")</f>
        <v>Complete</v>
      </c>
      <c r="I17179" s="48" t="s">
        <v>21544</v>
      </c>
    </row>
    <row r="17180" spans="2:9" ht="15" customHeight="1" x14ac:dyDescent="0.25">
      <c r="B17180" s="55" t="s">
        <v>282</v>
      </c>
      <c r="C17180" s="46">
        <v>2168</v>
      </c>
      <c r="D17180" s="69" t="s">
        <v>29419</v>
      </c>
      <c r="E17180" s="51"/>
      <c r="F17180" s="114" t="str">
        <f>IF(INDEX(I.Facility.P3IDNumber,2168)="","",INDEX(I.Facility.P3IDNumber,2168))</f>
        <v/>
      </c>
      <c r="G17180" s="51"/>
      <c r="H17180" s="46" t="str">
        <f>IF(AND(I.Developer.P3=TRUE,I.Facility.P3FacilityCount&gt;=2168,F17180=""),"Incomplete","Complete")</f>
        <v>Complete</v>
      </c>
      <c r="I17180" s="48" t="s">
        <v>21545</v>
      </c>
    </row>
    <row r="17181" spans="2:9" ht="15" customHeight="1" x14ac:dyDescent="0.25">
      <c r="B17181" s="55" t="s">
        <v>282</v>
      </c>
      <c r="C17181" s="46">
        <v>2169</v>
      </c>
      <c r="D17181" s="69" t="s">
        <v>29419</v>
      </c>
      <c r="E17181" s="51"/>
      <c r="F17181" s="114" t="str">
        <f>IF(INDEX(I.Facility.P3IDNumber,2169)="","",INDEX(I.Facility.P3IDNumber,2169))</f>
        <v/>
      </c>
      <c r="G17181" s="51"/>
      <c r="H17181" s="46" t="str">
        <f>IF(AND(I.Developer.P3=TRUE,I.Facility.P3FacilityCount&gt;=2169,F17181=""),"Incomplete","Complete")</f>
        <v>Complete</v>
      </c>
      <c r="I17181" s="48" t="s">
        <v>21546</v>
      </c>
    </row>
    <row r="17182" spans="2:9" ht="15" customHeight="1" x14ac:dyDescent="0.25">
      <c r="B17182" s="55" t="s">
        <v>282</v>
      </c>
      <c r="C17182" s="46">
        <v>2170</v>
      </c>
      <c r="D17182" s="69" t="s">
        <v>29419</v>
      </c>
      <c r="E17182" s="51"/>
      <c r="F17182" s="114" t="str">
        <f>IF(INDEX(I.Facility.P3IDNumber,2170)="","",INDEX(I.Facility.P3IDNumber,2170))</f>
        <v/>
      </c>
      <c r="G17182" s="51"/>
      <c r="H17182" s="46" t="str">
        <f>IF(AND(I.Developer.P3=TRUE,I.Facility.P3FacilityCount&gt;=2170,F17182=""),"Incomplete","Complete")</f>
        <v>Complete</v>
      </c>
      <c r="I17182" s="48" t="s">
        <v>21547</v>
      </c>
    </row>
    <row r="17183" spans="2:9" ht="15" customHeight="1" x14ac:dyDescent="0.25">
      <c r="B17183" s="55" t="s">
        <v>282</v>
      </c>
      <c r="C17183" s="46">
        <v>2171</v>
      </c>
      <c r="D17183" s="69" t="s">
        <v>29419</v>
      </c>
      <c r="E17183" s="51"/>
      <c r="F17183" s="114" t="str">
        <f>IF(INDEX(I.Facility.P3IDNumber,2171)="","",INDEX(I.Facility.P3IDNumber,2171))</f>
        <v/>
      </c>
      <c r="G17183" s="51"/>
      <c r="H17183" s="46" t="str">
        <f>IF(AND(I.Developer.P3=TRUE,I.Facility.P3FacilityCount&gt;=2171,F17183=""),"Incomplete","Complete")</f>
        <v>Complete</v>
      </c>
      <c r="I17183" s="48" t="s">
        <v>21548</v>
      </c>
    </row>
    <row r="17184" spans="2:9" ht="15" customHeight="1" x14ac:dyDescent="0.25">
      <c r="B17184" s="55" t="s">
        <v>282</v>
      </c>
      <c r="C17184" s="46">
        <v>2172</v>
      </c>
      <c r="D17184" s="69" t="s">
        <v>29419</v>
      </c>
      <c r="E17184" s="51"/>
      <c r="F17184" s="114" t="str">
        <f>IF(INDEX(I.Facility.P3IDNumber,2172)="","",INDEX(I.Facility.P3IDNumber,2172))</f>
        <v/>
      </c>
      <c r="G17184" s="51"/>
      <c r="H17184" s="46" t="str">
        <f>IF(AND(I.Developer.P3=TRUE,I.Facility.P3FacilityCount&gt;=2172,F17184=""),"Incomplete","Complete")</f>
        <v>Complete</v>
      </c>
      <c r="I17184" s="48" t="s">
        <v>21549</v>
      </c>
    </row>
    <row r="17185" spans="2:9" ht="15" customHeight="1" x14ac:dyDescent="0.25">
      <c r="B17185" s="55" t="s">
        <v>282</v>
      </c>
      <c r="C17185" s="46">
        <v>2173</v>
      </c>
      <c r="D17185" s="69" t="s">
        <v>29419</v>
      </c>
      <c r="E17185" s="51"/>
      <c r="F17185" s="114" t="str">
        <f>IF(INDEX(I.Facility.P3IDNumber,2173)="","",INDEX(I.Facility.P3IDNumber,2173))</f>
        <v/>
      </c>
      <c r="G17185" s="51"/>
      <c r="H17185" s="46" t="str">
        <f>IF(AND(I.Developer.P3=TRUE,I.Facility.P3FacilityCount&gt;=2173,F17185=""),"Incomplete","Complete")</f>
        <v>Complete</v>
      </c>
      <c r="I17185" s="48" t="s">
        <v>21550</v>
      </c>
    </row>
    <row r="17186" spans="2:9" ht="15" customHeight="1" x14ac:dyDescent="0.25">
      <c r="B17186" s="55" t="s">
        <v>282</v>
      </c>
      <c r="C17186" s="46">
        <v>2174</v>
      </c>
      <c r="D17186" s="69" t="s">
        <v>29419</v>
      </c>
      <c r="E17186" s="51"/>
      <c r="F17186" s="114" t="str">
        <f>IF(INDEX(I.Facility.P3IDNumber,2174)="","",INDEX(I.Facility.P3IDNumber,2174))</f>
        <v/>
      </c>
      <c r="G17186" s="51"/>
      <c r="H17186" s="46" t="str">
        <f>IF(AND(I.Developer.P3=TRUE,I.Facility.P3FacilityCount&gt;=2174,F17186=""),"Incomplete","Complete")</f>
        <v>Complete</v>
      </c>
      <c r="I17186" s="48" t="s">
        <v>21551</v>
      </c>
    </row>
    <row r="17187" spans="2:9" ht="15" customHeight="1" x14ac:dyDescent="0.25">
      <c r="B17187" s="55" t="s">
        <v>282</v>
      </c>
      <c r="C17187" s="46">
        <v>2175</v>
      </c>
      <c r="D17187" s="69" t="s">
        <v>29419</v>
      </c>
      <c r="E17187" s="51"/>
      <c r="F17187" s="114" t="str">
        <f>IF(INDEX(I.Facility.P3IDNumber,2175)="","",INDEX(I.Facility.P3IDNumber,2175))</f>
        <v/>
      </c>
      <c r="G17187" s="51"/>
      <c r="H17187" s="46" t="str">
        <f>IF(AND(I.Developer.P3=TRUE,I.Facility.P3FacilityCount&gt;=2175,F17187=""),"Incomplete","Complete")</f>
        <v>Complete</v>
      </c>
      <c r="I17187" s="48" t="s">
        <v>21552</v>
      </c>
    </row>
    <row r="17188" spans="2:9" ht="15" customHeight="1" x14ac:dyDescent="0.25">
      <c r="B17188" s="55" t="s">
        <v>282</v>
      </c>
      <c r="C17188" s="46">
        <v>2176</v>
      </c>
      <c r="D17188" s="69" t="s">
        <v>29419</v>
      </c>
      <c r="E17188" s="51"/>
      <c r="F17188" s="114" t="str">
        <f>IF(INDEX(I.Facility.P3IDNumber,2176)="","",INDEX(I.Facility.P3IDNumber,2176))</f>
        <v/>
      </c>
      <c r="G17188" s="51"/>
      <c r="H17188" s="46" t="str">
        <f>IF(AND(I.Developer.P3=TRUE,I.Facility.P3FacilityCount&gt;=2176,F17188=""),"Incomplete","Complete")</f>
        <v>Complete</v>
      </c>
      <c r="I17188" s="48" t="s">
        <v>21553</v>
      </c>
    </row>
    <row r="17189" spans="2:9" ht="15" customHeight="1" x14ac:dyDescent="0.25">
      <c r="B17189" s="55" t="s">
        <v>282</v>
      </c>
      <c r="C17189" s="46">
        <v>2177</v>
      </c>
      <c r="D17189" s="69" t="s">
        <v>29419</v>
      </c>
      <c r="E17189" s="51"/>
      <c r="F17189" s="114" t="str">
        <f>IF(INDEX(I.Facility.P3IDNumber,2177)="","",INDEX(I.Facility.P3IDNumber,2177))</f>
        <v/>
      </c>
      <c r="G17189" s="51"/>
      <c r="H17189" s="46" t="str">
        <f>IF(AND(I.Developer.P3=TRUE,I.Facility.P3FacilityCount&gt;=2177,F17189=""),"Incomplete","Complete")</f>
        <v>Complete</v>
      </c>
      <c r="I17189" s="48" t="s">
        <v>21554</v>
      </c>
    </row>
    <row r="17190" spans="2:9" ht="15" customHeight="1" x14ac:dyDescent="0.25">
      <c r="B17190" s="55" t="s">
        <v>282</v>
      </c>
      <c r="C17190" s="46">
        <v>2178</v>
      </c>
      <c r="D17190" s="69" t="s">
        <v>29419</v>
      </c>
      <c r="E17190" s="51"/>
      <c r="F17190" s="114" t="str">
        <f>IF(INDEX(I.Facility.P3IDNumber,2178)="","",INDEX(I.Facility.P3IDNumber,2178))</f>
        <v/>
      </c>
      <c r="G17190" s="51"/>
      <c r="H17190" s="46" t="str">
        <f>IF(AND(I.Developer.P3=TRUE,I.Facility.P3FacilityCount&gt;=2178,F17190=""),"Incomplete","Complete")</f>
        <v>Complete</v>
      </c>
      <c r="I17190" s="48" t="s">
        <v>21555</v>
      </c>
    </row>
    <row r="17191" spans="2:9" ht="15" customHeight="1" x14ac:dyDescent="0.25">
      <c r="B17191" s="55" t="s">
        <v>282</v>
      </c>
      <c r="C17191" s="46">
        <v>2179</v>
      </c>
      <c r="D17191" s="69" t="s">
        <v>29419</v>
      </c>
      <c r="E17191" s="51"/>
      <c r="F17191" s="114" t="str">
        <f>IF(INDEX(I.Facility.P3IDNumber,2179)="","",INDEX(I.Facility.P3IDNumber,2179))</f>
        <v/>
      </c>
      <c r="G17191" s="51"/>
      <c r="H17191" s="46" t="str">
        <f>IF(AND(I.Developer.P3=TRUE,I.Facility.P3FacilityCount&gt;=2179,F17191=""),"Incomplete","Complete")</f>
        <v>Complete</v>
      </c>
      <c r="I17191" s="48" t="s">
        <v>21556</v>
      </c>
    </row>
    <row r="17192" spans="2:9" ht="15" customHeight="1" x14ac:dyDescent="0.25">
      <c r="B17192" s="55" t="s">
        <v>282</v>
      </c>
      <c r="C17192" s="46">
        <v>2180</v>
      </c>
      <c r="D17192" s="69" t="s">
        <v>29419</v>
      </c>
      <c r="E17192" s="51"/>
      <c r="F17192" s="114" t="str">
        <f>IF(INDEX(I.Facility.P3IDNumber,2180)="","",INDEX(I.Facility.P3IDNumber,2180))</f>
        <v/>
      </c>
      <c r="G17192" s="51"/>
      <c r="H17192" s="46" t="str">
        <f>IF(AND(I.Developer.P3=TRUE,I.Facility.P3FacilityCount&gt;=2180,F17192=""),"Incomplete","Complete")</f>
        <v>Complete</v>
      </c>
      <c r="I17192" s="48" t="s">
        <v>21557</v>
      </c>
    </row>
    <row r="17193" spans="2:9" ht="15" customHeight="1" x14ac:dyDescent="0.25">
      <c r="B17193" s="55" t="s">
        <v>282</v>
      </c>
      <c r="C17193" s="46">
        <v>2181</v>
      </c>
      <c r="D17193" s="69" t="s">
        <v>29419</v>
      </c>
      <c r="E17193" s="51"/>
      <c r="F17193" s="114" t="str">
        <f>IF(INDEX(I.Facility.P3IDNumber,2181)="","",INDEX(I.Facility.P3IDNumber,2181))</f>
        <v/>
      </c>
      <c r="G17193" s="51"/>
      <c r="H17193" s="46" t="str">
        <f>IF(AND(I.Developer.P3=TRUE,I.Facility.P3FacilityCount&gt;=2181,F17193=""),"Incomplete","Complete")</f>
        <v>Complete</v>
      </c>
      <c r="I17193" s="48" t="s">
        <v>21558</v>
      </c>
    </row>
    <row r="17194" spans="2:9" ht="15" customHeight="1" x14ac:dyDescent="0.25">
      <c r="B17194" s="55" t="s">
        <v>282</v>
      </c>
      <c r="C17194" s="46">
        <v>2182</v>
      </c>
      <c r="D17194" s="69" t="s">
        <v>29419</v>
      </c>
      <c r="E17194" s="51"/>
      <c r="F17194" s="114" t="str">
        <f>IF(INDEX(I.Facility.P3IDNumber,2182)="","",INDEX(I.Facility.P3IDNumber,2182))</f>
        <v/>
      </c>
      <c r="G17194" s="51"/>
      <c r="H17194" s="46" t="str">
        <f>IF(AND(I.Developer.P3=TRUE,I.Facility.P3FacilityCount&gt;=2182,F17194=""),"Incomplete","Complete")</f>
        <v>Complete</v>
      </c>
      <c r="I17194" s="48" t="s">
        <v>21559</v>
      </c>
    </row>
    <row r="17195" spans="2:9" ht="15" customHeight="1" x14ac:dyDescent="0.25">
      <c r="B17195" s="55" t="s">
        <v>282</v>
      </c>
      <c r="C17195" s="46">
        <v>2183</v>
      </c>
      <c r="D17195" s="69" t="s">
        <v>29419</v>
      </c>
      <c r="E17195" s="51"/>
      <c r="F17195" s="114" t="str">
        <f>IF(INDEX(I.Facility.P3IDNumber,2183)="","",INDEX(I.Facility.P3IDNumber,2183))</f>
        <v/>
      </c>
      <c r="G17195" s="51"/>
      <c r="H17195" s="46" t="str">
        <f>IF(AND(I.Developer.P3=TRUE,I.Facility.P3FacilityCount&gt;=2183,F17195=""),"Incomplete","Complete")</f>
        <v>Complete</v>
      </c>
      <c r="I17195" s="48" t="s">
        <v>21560</v>
      </c>
    </row>
    <row r="17196" spans="2:9" ht="15" customHeight="1" x14ac:dyDescent="0.25">
      <c r="B17196" s="55" t="s">
        <v>282</v>
      </c>
      <c r="C17196" s="46">
        <v>2184</v>
      </c>
      <c r="D17196" s="69" t="s">
        <v>29419</v>
      </c>
      <c r="E17196" s="51"/>
      <c r="F17196" s="114" t="str">
        <f>IF(INDEX(I.Facility.P3IDNumber,2184)="","",INDEX(I.Facility.P3IDNumber,2184))</f>
        <v/>
      </c>
      <c r="G17196" s="51"/>
      <c r="H17196" s="46" t="str">
        <f>IF(AND(I.Developer.P3=TRUE,I.Facility.P3FacilityCount&gt;=2184,F17196=""),"Incomplete","Complete")</f>
        <v>Complete</v>
      </c>
      <c r="I17196" s="48" t="s">
        <v>21561</v>
      </c>
    </row>
    <row r="17197" spans="2:9" ht="15" customHeight="1" x14ac:dyDescent="0.25">
      <c r="B17197" s="55" t="s">
        <v>282</v>
      </c>
      <c r="C17197" s="46">
        <v>2185</v>
      </c>
      <c r="D17197" s="69" t="s">
        <v>29419</v>
      </c>
      <c r="E17197" s="51"/>
      <c r="F17197" s="114" t="str">
        <f>IF(INDEX(I.Facility.P3IDNumber,2185)="","",INDEX(I.Facility.P3IDNumber,2185))</f>
        <v/>
      </c>
      <c r="G17197" s="51"/>
      <c r="H17197" s="46" t="str">
        <f>IF(AND(I.Developer.P3=TRUE,I.Facility.P3FacilityCount&gt;=2185,F17197=""),"Incomplete","Complete")</f>
        <v>Complete</v>
      </c>
      <c r="I17197" s="48" t="s">
        <v>21562</v>
      </c>
    </row>
    <row r="17198" spans="2:9" ht="15" customHeight="1" x14ac:dyDescent="0.25">
      <c r="B17198" s="55" t="s">
        <v>282</v>
      </c>
      <c r="C17198" s="46">
        <v>2186</v>
      </c>
      <c r="D17198" s="69" t="s">
        <v>29419</v>
      </c>
      <c r="E17198" s="51"/>
      <c r="F17198" s="114" t="str">
        <f>IF(INDEX(I.Facility.P3IDNumber,2186)="","",INDEX(I.Facility.P3IDNumber,2186))</f>
        <v/>
      </c>
      <c r="G17198" s="51"/>
      <c r="H17198" s="46" t="str">
        <f>IF(AND(I.Developer.P3=TRUE,I.Facility.P3FacilityCount&gt;=2186,F17198=""),"Incomplete","Complete")</f>
        <v>Complete</v>
      </c>
      <c r="I17198" s="48" t="s">
        <v>21563</v>
      </c>
    </row>
    <row r="17199" spans="2:9" ht="15" customHeight="1" x14ac:dyDescent="0.25">
      <c r="B17199" s="55" t="s">
        <v>282</v>
      </c>
      <c r="C17199" s="46">
        <v>2187</v>
      </c>
      <c r="D17199" s="69" t="s">
        <v>29419</v>
      </c>
      <c r="E17199" s="51"/>
      <c r="F17199" s="114" t="str">
        <f>IF(INDEX(I.Facility.P3IDNumber,2187)="","",INDEX(I.Facility.P3IDNumber,2187))</f>
        <v/>
      </c>
      <c r="G17199" s="51"/>
      <c r="H17199" s="46" t="str">
        <f>IF(AND(I.Developer.P3=TRUE,I.Facility.P3FacilityCount&gt;=2187,F17199=""),"Incomplete","Complete")</f>
        <v>Complete</v>
      </c>
      <c r="I17199" s="48" t="s">
        <v>21564</v>
      </c>
    </row>
    <row r="17200" spans="2:9" ht="15" customHeight="1" x14ac:dyDescent="0.25">
      <c r="B17200" s="55" t="s">
        <v>282</v>
      </c>
      <c r="C17200" s="46">
        <v>2188</v>
      </c>
      <c r="D17200" s="69" t="s">
        <v>29419</v>
      </c>
      <c r="E17200" s="51"/>
      <c r="F17200" s="114" t="str">
        <f>IF(INDEX(I.Facility.P3IDNumber,2188)="","",INDEX(I.Facility.P3IDNumber,2188))</f>
        <v/>
      </c>
      <c r="G17200" s="51"/>
      <c r="H17200" s="46" t="str">
        <f>IF(AND(I.Developer.P3=TRUE,I.Facility.P3FacilityCount&gt;=2188,F17200=""),"Incomplete","Complete")</f>
        <v>Complete</v>
      </c>
      <c r="I17200" s="48" t="s">
        <v>21565</v>
      </c>
    </row>
    <row r="17201" spans="2:9" ht="15" customHeight="1" x14ac:dyDescent="0.25">
      <c r="B17201" s="55" t="s">
        <v>282</v>
      </c>
      <c r="C17201" s="46">
        <v>2189</v>
      </c>
      <c r="D17201" s="69" t="s">
        <v>29419</v>
      </c>
      <c r="E17201" s="51"/>
      <c r="F17201" s="114" t="str">
        <f>IF(INDEX(I.Facility.P3IDNumber,2189)="","",INDEX(I.Facility.P3IDNumber,2189))</f>
        <v/>
      </c>
      <c r="G17201" s="51"/>
      <c r="H17201" s="46" t="str">
        <f>IF(AND(I.Developer.P3=TRUE,I.Facility.P3FacilityCount&gt;=2189,F17201=""),"Incomplete","Complete")</f>
        <v>Complete</v>
      </c>
      <c r="I17201" s="48" t="s">
        <v>21566</v>
      </c>
    </row>
    <row r="17202" spans="2:9" ht="15" customHeight="1" x14ac:dyDescent="0.25">
      <c r="B17202" s="55" t="s">
        <v>282</v>
      </c>
      <c r="C17202" s="46">
        <v>2190</v>
      </c>
      <c r="D17202" s="69" t="s">
        <v>29419</v>
      </c>
      <c r="E17202" s="51"/>
      <c r="F17202" s="114" t="str">
        <f>IF(INDEX(I.Facility.P3IDNumber,2190)="","",INDEX(I.Facility.P3IDNumber,2190))</f>
        <v/>
      </c>
      <c r="G17202" s="51"/>
      <c r="H17202" s="46" t="str">
        <f>IF(AND(I.Developer.P3=TRUE,I.Facility.P3FacilityCount&gt;=2190,F17202=""),"Incomplete","Complete")</f>
        <v>Complete</v>
      </c>
      <c r="I17202" s="48" t="s">
        <v>21567</v>
      </c>
    </row>
    <row r="17203" spans="2:9" ht="15" customHeight="1" x14ac:dyDescent="0.25">
      <c r="B17203" s="55" t="s">
        <v>282</v>
      </c>
      <c r="C17203" s="46">
        <v>2191</v>
      </c>
      <c r="D17203" s="69" t="s">
        <v>29419</v>
      </c>
      <c r="E17203" s="51"/>
      <c r="F17203" s="114" t="str">
        <f>IF(INDEX(I.Facility.P3IDNumber,2191)="","",INDEX(I.Facility.P3IDNumber,2191))</f>
        <v/>
      </c>
      <c r="G17203" s="51"/>
      <c r="H17203" s="46" t="str">
        <f>IF(AND(I.Developer.P3=TRUE,I.Facility.P3FacilityCount&gt;=2191,F17203=""),"Incomplete","Complete")</f>
        <v>Complete</v>
      </c>
      <c r="I17203" s="48" t="s">
        <v>21568</v>
      </c>
    </row>
    <row r="17204" spans="2:9" ht="15" customHeight="1" x14ac:dyDescent="0.25">
      <c r="B17204" s="55" t="s">
        <v>282</v>
      </c>
      <c r="C17204" s="46">
        <v>2192</v>
      </c>
      <c r="D17204" s="69" t="s">
        <v>29419</v>
      </c>
      <c r="E17204" s="51"/>
      <c r="F17204" s="114" t="str">
        <f>IF(INDEX(I.Facility.P3IDNumber,2192)="","",INDEX(I.Facility.P3IDNumber,2192))</f>
        <v/>
      </c>
      <c r="G17204" s="51"/>
      <c r="H17204" s="46" t="str">
        <f>IF(AND(I.Developer.P3=TRUE,I.Facility.P3FacilityCount&gt;=2192,F17204=""),"Incomplete","Complete")</f>
        <v>Complete</v>
      </c>
      <c r="I17204" s="48" t="s">
        <v>21569</v>
      </c>
    </row>
    <row r="17205" spans="2:9" ht="15" customHeight="1" x14ac:dyDescent="0.25">
      <c r="B17205" s="55" t="s">
        <v>282</v>
      </c>
      <c r="C17205" s="46">
        <v>2193</v>
      </c>
      <c r="D17205" s="69" t="s">
        <v>29419</v>
      </c>
      <c r="E17205" s="51"/>
      <c r="F17205" s="114" t="str">
        <f>IF(INDEX(I.Facility.P3IDNumber,2193)="","",INDEX(I.Facility.P3IDNumber,2193))</f>
        <v/>
      </c>
      <c r="G17205" s="51"/>
      <c r="H17205" s="46" t="str">
        <f>IF(AND(I.Developer.P3=TRUE,I.Facility.P3FacilityCount&gt;=2193,F17205=""),"Incomplete","Complete")</f>
        <v>Complete</v>
      </c>
      <c r="I17205" s="48" t="s">
        <v>21570</v>
      </c>
    </row>
    <row r="17206" spans="2:9" ht="15" customHeight="1" x14ac:dyDescent="0.25">
      <c r="B17206" s="55" t="s">
        <v>282</v>
      </c>
      <c r="C17206" s="46">
        <v>2194</v>
      </c>
      <c r="D17206" s="69" t="s">
        <v>29419</v>
      </c>
      <c r="E17206" s="51"/>
      <c r="F17206" s="114" t="str">
        <f>IF(INDEX(I.Facility.P3IDNumber,2194)="","",INDEX(I.Facility.P3IDNumber,2194))</f>
        <v/>
      </c>
      <c r="G17206" s="51"/>
      <c r="H17206" s="46" t="str">
        <f>IF(AND(I.Developer.P3=TRUE,I.Facility.P3FacilityCount&gt;=2194,F17206=""),"Incomplete","Complete")</f>
        <v>Complete</v>
      </c>
      <c r="I17206" s="48" t="s">
        <v>21571</v>
      </c>
    </row>
    <row r="17207" spans="2:9" ht="15" customHeight="1" x14ac:dyDescent="0.25">
      <c r="B17207" s="55" t="s">
        <v>282</v>
      </c>
      <c r="C17207" s="46">
        <v>2195</v>
      </c>
      <c r="D17207" s="69" t="s">
        <v>29419</v>
      </c>
      <c r="E17207" s="51"/>
      <c r="F17207" s="114" t="str">
        <f>IF(INDEX(I.Facility.P3IDNumber,2195)="","",INDEX(I.Facility.P3IDNumber,2195))</f>
        <v/>
      </c>
      <c r="G17207" s="51"/>
      <c r="H17207" s="46" t="str">
        <f>IF(AND(I.Developer.P3=TRUE,I.Facility.P3FacilityCount&gt;=2195,F17207=""),"Incomplete","Complete")</f>
        <v>Complete</v>
      </c>
      <c r="I17207" s="48" t="s">
        <v>21572</v>
      </c>
    </row>
    <row r="17208" spans="2:9" ht="15" customHeight="1" x14ac:dyDescent="0.25">
      <c r="B17208" s="55" t="s">
        <v>282</v>
      </c>
      <c r="C17208" s="46">
        <v>2196</v>
      </c>
      <c r="D17208" s="69" t="s">
        <v>29419</v>
      </c>
      <c r="E17208" s="51"/>
      <c r="F17208" s="114" t="str">
        <f>IF(INDEX(I.Facility.P3IDNumber,2196)="","",INDEX(I.Facility.P3IDNumber,2196))</f>
        <v/>
      </c>
      <c r="G17208" s="51"/>
      <c r="H17208" s="46" t="str">
        <f>IF(AND(I.Developer.P3=TRUE,I.Facility.P3FacilityCount&gt;=2196,F17208=""),"Incomplete","Complete")</f>
        <v>Complete</v>
      </c>
      <c r="I17208" s="48" t="s">
        <v>21573</v>
      </c>
    </row>
    <row r="17209" spans="2:9" ht="15" customHeight="1" x14ac:dyDescent="0.25">
      <c r="B17209" s="55" t="s">
        <v>282</v>
      </c>
      <c r="C17209" s="46">
        <v>2197</v>
      </c>
      <c r="D17209" s="69" t="s">
        <v>29419</v>
      </c>
      <c r="E17209" s="51"/>
      <c r="F17209" s="114" t="str">
        <f>IF(INDEX(I.Facility.P3IDNumber,2197)="","",INDEX(I.Facility.P3IDNumber,2197))</f>
        <v/>
      </c>
      <c r="G17209" s="51"/>
      <c r="H17209" s="46" t="str">
        <f>IF(AND(I.Developer.P3=TRUE,I.Facility.P3FacilityCount&gt;=2197,F17209=""),"Incomplete","Complete")</f>
        <v>Complete</v>
      </c>
      <c r="I17209" s="48" t="s">
        <v>21574</v>
      </c>
    </row>
    <row r="17210" spans="2:9" ht="15" customHeight="1" x14ac:dyDescent="0.25">
      <c r="B17210" s="55" t="s">
        <v>282</v>
      </c>
      <c r="C17210" s="46">
        <v>2198</v>
      </c>
      <c r="D17210" s="69" t="s">
        <v>29419</v>
      </c>
      <c r="E17210" s="51"/>
      <c r="F17210" s="114" t="str">
        <f>IF(INDEX(I.Facility.P3IDNumber,2198)="","",INDEX(I.Facility.P3IDNumber,2198))</f>
        <v/>
      </c>
      <c r="G17210" s="51"/>
      <c r="H17210" s="46" t="str">
        <f>IF(AND(I.Developer.P3=TRUE,I.Facility.P3FacilityCount&gt;=2198,F17210=""),"Incomplete","Complete")</f>
        <v>Complete</v>
      </c>
      <c r="I17210" s="48" t="s">
        <v>21575</v>
      </c>
    </row>
    <row r="17211" spans="2:9" ht="15" customHeight="1" x14ac:dyDescent="0.25">
      <c r="B17211" s="55" t="s">
        <v>282</v>
      </c>
      <c r="C17211" s="46">
        <v>2199</v>
      </c>
      <c r="D17211" s="69" t="s">
        <v>29419</v>
      </c>
      <c r="E17211" s="51"/>
      <c r="F17211" s="114" t="str">
        <f>IF(INDEX(I.Facility.P3IDNumber,2199)="","",INDEX(I.Facility.P3IDNumber,2199))</f>
        <v/>
      </c>
      <c r="G17211" s="51"/>
      <c r="H17211" s="46" t="str">
        <f>IF(AND(I.Developer.P3=TRUE,I.Facility.P3FacilityCount&gt;=2199,F17211=""),"Incomplete","Complete")</f>
        <v>Complete</v>
      </c>
      <c r="I17211" s="48" t="s">
        <v>21576</v>
      </c>
    </row>
    <row r="17212" spans="2:9" ht="15" customHeight="1" x14ac:dyDescent="0.25">
      <c r="B17212" s="55" t="s">
        <v>282</v>
      </c>
      <c r="C17212" s="46">
        <v>2200</v>
      </c>
      <c r="D17212" s="69" t="s">
        <v>29419</v>
      </c>
      <c r="E17212" s="51"/>
      <c r="F17212" s="114" t="str">
        <f>IF(INDEX(I.Facility.P3IDNumber,2200)="","",INDEX(I.Facility.P3IDNumber,2200))</f>
        <v/>
      </c>
      <c r="G17212" s="51"/>
      <c r="H17212" s="46" t="str">
        <f>IF(AND(I.Developer.P3=TRUE,I.Facility.P3FacilityCount&gt;=2200,F17212=""),"Incomplete","Complete")</f>
        <v>Complete</v>
      </c>
      <c r="I17212" s="48" t="s">
        <v>21577</v>
      </c>
    </row>
    <row r="17213" spans="2:9" ht="15" customHeight="1" x14ac:dyDescent="0.25">
      <c r="B17213" s="55" t="s">
        <v>282</v>
      </c>
      <c r="C17213" s="46">
        <v>2201</v>
      </c>
      <c r="D17213" s="69" t="s">
        <v>29419</v>
      </c>
      <c r="E17213" s="51"/>
      <c r="F17213" s="114" t="str">
        <f>IF(INDEX(I.Facility.P3IDNumber,2201)="","",INDEX(I.Facility.P3IDNumber,2201))</f>
        <v/>
      </c>
      <c r="G17213" s="51"/>
      <c r="H17213" s="46" t="str">
        <f>IF(AND(I.Developer.P3=TRUE,I.Facility.P3FacilityCount&gt;=2201,F17213=""),"Incomplete","Complete")</f>
        <v>Complete</v>
      </c>
      <c r="I17213" s="48" t="s">
        <v>21578</v>
      </c>
    </row>
    <row r="17214" spans="2:9" ht="15" customHeight="1" x14ac:dyDescent="0.25">
      <c r="B17214" s="55" t="s">
        <v>282</v>
      </c>
      <c r="C17214" s="46">
        <v>2202</v>
      </c>
      <c r="D17214" s="69" t="s">
        <v>29419</v>
      </c>
      <c r="E17214" s="51"/>
      <c r="F17214" s="114" t="str">
        <f>IF(INDEX(I.Facility.P3IDNumber,2202)="","",INDEX(I.Facility.P3IDNumber,2202))</f>
        <v/>
      </c>
      <c r="G17214" s="51"/>
      <c r="H17214" s="46" t="str">
        <f>IF(AND(I.Developer.P3=TRUE,I.Facility.P3FacilityCount&gt;=2202,F17214=""),"Incomplete","Complete")</f>
        <v>Complete</v>
      </c>
      <c r="I17214" s="48" t="s">
        <v>21579</v>
      </c>
    </row>
    <row r="17215" spans="2:9" ht="15" customHeight="1" x14ac:dyDescent="0.25">
      <c r="B17215" s="55" t="s">
        <v>282</v>
      </c>
      <c r="C17215" s="46">
        <v>2203</v>
      </c>
      <c r="D17215" s="69" t="s">
        <v>29419</v>
      </c>
      <c r="E17215" s="51"/>
      <c r="F17215" s="114" t="str">
        <f>IF(INDEX(I.Facility.P3IDNumber,2203)="","",INDEX(I.Facility.P3IDNumber,2203))</f>
        <v/>
      </c>
      <c r="G17215" s="51"/>
      <c r="H17215" s="46" t="str">
        <f>IF(AND(I.Developer.P3=TRUE,I.Facility.P3FacilityCount&gt;=2203,F17215=""),"Incomplete","Complete")</f>
        <v>Complete</v>
      </c>
      <c r="I17215" s="48" t="s">
        <v>21580</v>
      </c>
    </row>
    <row r="17216" spans="2:9" ht="15" customHeight="1" x14ac:dyDescent="0.25">
      <c r="B17216" s="55" t="s">
        <v>282</v>
      </c>
      <c r="C17216" s="46">
        <v>2204</v>
      </c>
      <c r="D17216" s="69" t="s">
        <v>29419</v>
      </c>
      <c r="E17216" s="51"/>
      <c r="F17216" s="114" t="str">
        <f>IF(INDEX(I.Facility.P3IDNumber,2204)="","",INDEX(I.Facility.P3IDNumber,2204))</f>
        <v/>
      </c>
      <c r="G17216" s="51"/>
      <c r="H17216" s="46" t="str">
        <f>IF(AND(I.Developer.P3=TRUE,I.Facility.P3FacilityCount&gt;=2204,F17216=""),"Incomplete","Complete")</f>
        <v>Complete</v>
      </c>
      <c r="I17216" s="48" t="s">
        <v>21581</v>
      </c>
    </row>
    <row r="17217" spans="2:9" ht="15" customHeight="1" x14ac:dyDescent="0.25">
      <c r="B17217" s="55" t="s">
        <v>282</v>
      </c>
      <c r="C17217" s="46">
        <v>2205</v>
      </c>
      <c r="D17217" s="69" t="s">
        <v>29419</v>
      </c>
      <c r="E17217" s="51"/>
      <c r="F17217" s="114" t="str">
        <f>IF(INDEX(I.Facility.P3IDNumber,2205)="","",INDEX(I.Facility.P3IDNumber,2205))</f>
        <v/>
      </c>
      <c r="G17217" s="51"/>
      <c r="H17217" s="46" t="str">
        <f>IF(AND(I.Developer.P3=TRUE,I.Facility.P3FacilityCount&gt;=2205,F17217=""),"Incomplete","Complete")</f>
        <v>Complete</v>
      </c>
      <c r="I17217" s="48" t="s">
        <v>21582</v>
      </c>
    </row>
    <row r="17218" spans="2:9" ht="15" customHeight="1" x14ac:dyDescent="0.25">
      <c r="B17218" s="55" t="s">
        <v>282</v>
      </c>
      <c r="C17218" s="46">
        <v>2206</v>
      </c>
      <c r="D17218" s="69" t="s">
        <v>29419</v>
      </c>
      <c r="E17218" s="51"/>
      <c r="F17218" s="114" t="str">
        <f>IF(INDEX(I.Facility.P3IDNumber,2206)="","",INDEX(I.Facility.P3IDNumber,2206))</f>
        <v/>
      </c>
      <c r="G17218" s="51"/>
      <c r="H17218" s="46" t="str">
        <f>IF(AND(I.Developer.P3=TRUE,I.Facility.P3FacilityCount&gt;=2206,F17218=""),"Incomplete","Complete")</f>
        <v>Complete</v>
      </c>
      <c r="I17218" s="48" t="s">
        <v>21583</v>
      </c>
    </row>
    <row r="17219" spans="2:9" ht="15" customHeight="1" x14ac:dyDescent="0.25">
      <c r="B17219" s="55" t="s">
        <v>282</v>
      </c>
      <c r="C17219" s="46">
        <v>2207</v>
      </c>
      <c r="D17219" s="69" t="s">
        <v>29419</v>
      </c>
      <c r="E17219" s="51"/>
      <c r="F17219" s="114" t="str">
        <f>IF(INDEX(I.Facility.P3IDNumber,2207)="","",INDEX(I.Facility.P3IDNumber,2207))</f>
        <v/>
      </c>
      <c r="G17219" s="51"/>
      <c r="H17219" s="46" t="str">
        <f>IF(AND(I.Developer.P3=TRUE,I.Facility.P3FacilityCount&gt;=2207,F17219=""),"Incomplete","Complete")</f>
        <v>Complete</v>
      </c>
      <c r="I17219" s="48" t="s">
        <v>21584</v>
      </c>
    </row>
    <row r="17220" spans="2:9" ht="15" customHeight="1" x14ac:dyDescent="0.25">
      <c r="B17220" s="55" t="s">
        <v>282</v>
      </c>
      <c r="C17220" s="46">
        <v>2208</v>
      </c>
      <c r="D17220" s="69" t="s">
        <v>29419</v>
      </c>
      <c r="E17220" s="51"/>
      <c r="F17220" s="114" t="str">
        <f>IF(INDEX(I.Facility.P3IDNumber,2208)="","",INDEX(I.Facility.P3IDNumber,2208))</f>
        <v/>
      </c>
      <c r="G17220" s="51"/>
      <c r="H17220" s="46" t="str">
        <f>IF(AND(I.Developer.P3=TRUE,I.Facility.P3FacilityCount&gt;=2208,F17220=""),"Incomplete","Complete")</f>
        <v>Complete</v>
      </c>
      <c r="I17220" s="48" t="s">
        <v>21585</v>
      </c>
    </row>
    <row r="17221" spans="2:9" ht="15" customHeight="1" x14ac:dyDescent="0.25">
      <c r="B17221" s="55" t="s">
        <v>282</v>
      </c>
      <c r="C17221" s="46">
        <v>2209</v>
      </c>
      <c r="D17221" s="69" t="s">
        <v>29419</v>
      </c>
      <c r="E17221" s="51"/>
      <c r="F17221" s="114" t="str">
        <f>IF(INDEX(I.Facility.P3IDNumber,2209)="","",INDEX(I.Facility.P3IDNumber,2209))</f>
        <v/>
      </c>
      <c r="G17221" s="51"/>
      <c r="H17221" s="46" t="str">
        <f>IF(AND(I.Developer.P3=TRUE,I.Facility.P3FacilityCount&gt;=2209,F17221=""),"Incomplete","Complete")</f>
        <v>Complete</v>
      </c>
      <c r="I17221" s="48" t="s">
        <v>21586</v>
      </c>
    </row>
    <row r="17222" spans="2:9" ht="15" customHeight="1" x14ac:dyDescent="0.25">
      <c r="B17222" s="55" t="s">
        <v>282</v>
      </c>
      <c r="C17222" s="46">
        <v>2210</v>
      </c>
      <c r="D17222" s="69" t="s">
        <v>29419</v>
      </c>
      <c r="E17222" s="51"/>
      <c r="F17222" s="114" t="str">
        <f>IF(INDEX(I.Facility.P3IDNumber,2210)="","",INDEX(I.Facility.P3IDNumber,2210))</f>
        <v/>
      </c>
      <c r="G17222" s="51"/>
      <c r="H17222" s="46" t="str">
        <f>IF(AND(I.Developer.P3=TRUE,I.Facility.P3FacilityCount&gt;=2210,F17222=""),"Incomplete","Complete")</f>
        <v>Complete</v>
      </c>
      <c r="I17222" s="48" t="s">
        <v>21587</v>
      </c>
    </row>
    <row r="17223" spans="2:9" ht="15" customHeight="1" x14ac:dyDescent="0.25">
      <c r="B17223" s="55" t="s">
        <v>282</v>
      </c>
      <c r="C17223" s="46">
        <v>2211</v>
      </c>
      <c r="D17223" s="69" t="s">
        <v>29419</v>
      </c>
      <c r="E17223" s="51"/>
      <c r="F17223" s="114" t="str">
        <f>IF(INDEX(I.Facility.P3IDNumber,2211)="","",INDEX(I.Facility.P3IDNumber,2211))</f>
        <v/>
      </c>
      <c r="G17223" s="51"/>
      <c r="H17223" s="46" t="str">
        <f>IF(AND(I.Developer.P3=TRUE,I.Facility.P3FacilityCount&gt;=2211,F17223=""),"Incomplete","Complete")</f>
        <v>Complete</v>
      </c>
      <c r="I17223" s="48" t="s">
        <v>21588</v>
      </c>
    </row>
    <row r="17224" spans="2:9" ht="15" customHeight="1" x14ac:dyDescent="0.25">
      <c r="B17224" s="55" t="s">
        <v>282</v>
      </c>
      <c r="C17224" s="46">
        <v>2212</v>
      </c>
      <c r="D17224" s="69" t="s">
        <v>29419</v>
      </c>
      <c r="E17224" s="51"/>
      <c r="F17224" s="114" t="str">
        <f>IF(INDEX(I.Facility.P3IDNumber,2212)="","",INDEX(I.Facility.P3IDNumber,2212))</f>
        <v/>
      </c>
      <c r="G17224" s="51"/>
      <c r="H17224" s="46" t="str">
        <f>IF(AND(I.Developer.P3=TRUE,I.Facility.P3FacilityCount&gt;=2212,F17224=""),"Incomplete","Complete")</f>
        <v>Complete</v>
      </c>
      <c r="I17224" s="48" t="s">
        <v>21589</v>
      </c>
    </row>
    <row r="17225" spans="2:9" ht="15" customHeight="1" x14ac:dyDescent="0.25">
      <c r="B17225" s="55" t="s">
        <v>282</v>
      </c>
      <c r="C17225" s="46">
        <v>2213</v>
      </c>
      <c r="D17225" s="69" t="s">
        <v>29419</v>
      </c>
      <c r="E17225" s="51"/>
      <c r="F17225" s="114" t="str">
        <f>IF(INDEX(I.Facility.P3IDNumber,2213)="","",INDEX(I.Facility.P3IDNumber,2213))</f>
        <v/>
      </c>
      <c r="G17225" s="51"/>
      <c r="H17225" s="46" t="str">
        <f>IF(AND(I.Developer.P3=TRUE,I.Facility.P3FacilityCount&gt;=2213,F17225=""),"Incomplete","Complete")</f>
        <v>Complete</v>
      </c>
      <c r="I17225" s="48" t="s">
        <v>21590</v>
      </c>
    </row>
    <row r="17226" spans="2:9" ht="15" customHeight="1" x14ac:dyDescent="0.25">
      <c r="B17226" s="55" t="s">
        <v>282</v>
      </c>
      <c r="C17226" s="46">
        <v>2214</v>
      </c>
      <c r="D17226" s="69" t="s">
        <v>29419</v>
      </c>
      <c r="E17226" s="51"/>
      <c r="F17226" s="114" t="str">
        <f>IF(INDEX(I.Facility.P3IDNumber,2214)="","",INDEX(I.Facility.P3IDNumber,2214))</f>
        <v/>
      </c>
      <c r="G17226" s="51"/>
      <c r="H17226" s="46" t="str">
        <f>IF(AND(I.Developer.P3=TRUE,I.Facility.P3FacilityCount&gt;=2214,F17226=""),"Incomplete","Complete")</f>
        <v>Complete</v>
      </c>
      <c r="I17226" s="48" t="s">
        <v>21591</v>
      </c>
    </row>
    <row r="17227" spans="2:9" ht="15" customHeight="1" x14ac:dyDescent="0.25">
      <c r="B17227" s="55" t="s">
        <v>282</v>
      </c>
      <c r="C17227" s="46">
        <v>2215</v>
      </c>
      <c r="D17227" s="69" t="s">
        <v>29419</v>
      </c>
      <c r="E17227" s="51"/>
      <c r="F17227" s="114" t="str">
        <f>IF(INDEX(I.Facility.P3IDNumber,2215)="","",INDEX(I.Facility.P3IDNumber,2215))</f>
        <v/>
      </c>
      <c r="G17227" s="51"/>
      <c r="H17227" s="46" t="str">
        <f>IF(AND(I.Developer.P3=TRUE,I.Facility.P3FacilityCount&gt;=2215,F17227=""),"Incomplete","Complete")</f>
        <v>Complete</v>
      </c>
      <c r="I17227" s="48" t="s">
        <v>21592</v>
      </c>
    </row>
    <row r="17228" spans="2:9" ht="15" customHeight="1" x14ac:dyDescent="0.25">
      <c r="B17228" s="55" t="s">
        <v>282</v>
      </c>
      <c r="C17228" s="46">
        <v>2216</v>
      </c>
      <c r="D17228" s="69" t="s">
        <v>29419</v>
      </c>
      <c r="E17228" s="51"/>
      <c r="F17228" s="114" t="str">
        <f>IF(INDEX(I.Facility.P3IDNumber,2216)="","",INDEX(I.Facility.P3IDNumber,2216))</f>
        <v/>
      </c>
      <c r="G17228" s="51"/>
      <c r="H17228" s="46" t="str">
        <f>IF(AND(I.Developer.P3=TRUE,I.Facility.P3FacilityCount&gt;=2216,F17228=""),"Incomplete","Complete")</f>
        <v>Complete</v>
      </c>
      <c r="I17228" s="48" t="s">
        <v>21593</v>
      </c>
    </row>
    <row r="17229" spans="2:9" ht="15" customHeight="1" x14ac:dyDescent="0.25">
      <c r="B17229" s="55" t="s">
        <v>282</v>
      </c>
      <c r="C17229" s="46">
        <v>2217</v>
      </c>
      <c r="D17229" s="69" t="s">
        <v>29419</v>
      </c>
      <c r="E17229" s="51"/>
      <c r="F17229" s="114" t="str">
        <f>IF(INDEX(I.Facility.P3IDNumber,2217)="","",INDEX(I.Facility.P3IDNumber,2217))</f>
        <v/>
      </c>
      <c r="G17229" s="51"/>
      <c r="H17229" s="46" t="str">
        <f>IF(AND(I.Developer.P3=TRUE,I.Facility.P3FacilityCount&gt;=2217,F17229=""),"Incomplete","Complete")</f>
        <v>Complete</v>
      </c>
      <c r="I17229" s="48" t="s">
        <v>21594</v>
      </c>
    </row>
    <row r="17230" spans="2:9" ht="15" customHeight="1" x14ac:dyDescent="0.25">
      <c r="B17230" s="55" t="s">
        <v>282</v>
      </c>
      <c r="C17230" s="46">
        <v>2218</v>
      </c>
      <c r="D17230" s="69" t="s">
        <v>29419</v>
      </c>
      <c r="E17230" s="51"/>
      <c r="F17230" s="114" t="str">
        <f>IF(INDEX(I.Facility.P3IDNumber,2218)="","",INDEX(I.Facility.P3IDNumber,2218))</f>
        <v/>
      </c>
      <c r="G17230" s="51"/>
      <c r="H17230" s="46" t="str">
        <f>IF(AND(I.Developer.P3=TRUE,I.Facility.P3FacilityCount&gt;=2218,F17230=""),"Incomplete","Complete")</f>
        <v>Complete</v>
      </c>
      <c r="I17230" s="48" t="s">
        <v>21595</v>
      </c>
    </row>
    <row r="17231" spans="2:9" ht="15" customHeight="1" x14ac:dyDescent="0.25">
      <c r="B17231" s="55" t="s">
        <v>282</v>
      </c>
      <c r="C17231" s="46">
        <v>2219</v>
      </c>
      <c r="D17231" s="69" t="s">
        <v>29419</v>
      </c>
      <c r="E17231" s="51"/>
      <c r="F17231" s="114" t="str">
        <f>IF(INDEX(I.Facility.P3IDNumber,2219)="","",INDEX(I.Facility.P3IDNumber,2219))</f>
        <v/>
      </c>
      <c r="G17231" s="51"/>
      <c r="H17231" s="46" t="str">
        <f>IF(AND(I.Developer.P3=TRUE,I.Facility.P3FacilityCount&gt;=2219,F17231=""),"Incomplete","Complete")</f>
        <v>Complete</v>
      </c>
      <c r="I17231" s="48" t="s">
        <v>21596</v>
      </c>
    </row>
    <row r="17232" spans="2:9" ht="15" customHeight="1" x14ac:dyDescent="0.25">
      <c r="B17232" s="55" t="s">
        <v>282</v>
      </c>
      <c r="C17232" s="46">
        <v>2220</v>
      </c>
      <c r="D17232" s="69" t="s">
        <v>29419</v>
      </c>
      <c r="E17232" s="51"/>
      <c r="F17232" s="114" t="str">
        <f>IF(INDEX(I.Facility.P3IDNumber,2220)="","",INDEX(I.Facility.P3IDNumber,2220))</f>
        <v/>
      </c>
      <c r="G17232" s="51"/>
      <c r="H17232" s="46" t="str">
        <f>IF(AND(I.Developer.P3=TRUE,I.Facility.P3FacilityCount&gt;=2220,F17232=""),"Incomplete","Complete")</f>
        <v>Complete</v>
      </c>
      <c r="I17232" s="48" t="s">
        <v>21597</v>
      </c>
    </row>
    <row r="17233" spans="2:9" ht="15" customHeight="1" x14ac:dyDescent="0.25">
      <c r="B17233" s="55" t="s">
        <v>282</v>
      </c>
      <c r="C17233" s="46">
        <v>2221</v>
      </c>
      <c r="D17233" s="69" t="s">
        <v>29419</v>
      </c>
      <c r="E17233" s="51"/>
      <c r="F17233" s="114" t="str">
        <f>IF(INDEX(I.Facility.P3IDNumber,2221)="","",INDEX(I.Facility.P3IDNumber,2221))</f>
        <v/>
      </c>
      <c r="G17233" s="51"/>
      <c r="H17233" s="46" t="str">
        <f>IF(AND(I.Developer.P3=TRUE,I.Facility.P3FacilityCount&gt;=2221,F17233=""),"Incomplete","Complete")</f>
        <v>Complete</v>
      </c>
      <c r="I17233" s="48" t="s">
        <v>21598</v>
      </c>
    </row>
    <row r="17234" spans="2:9" ht="15" customHeight="1" x14ac:dyDescent="0.25">
      <c r="B17234" s="55" t="s">
        <v>282</v>
      </c>
      <c r="C17234" s="46">
        <v>2222</v>
      </c>
      <c r="D17234" s="69" t="s">
        <v>29419</v>
      </c>
      <c r="E17234" s="51"/>
      <c r="F17234" s="114" t="str">
        <f>IF(INDEX(I.Facility.P3IDNumber,2222)="","",INDEX(I.Facility.P3IDNumber,2222))</f>
        <v/>
      </c>
      <c r="G17234" s="51"/>
      <c r="H17234" s="46" t="str">
        <f>IF(AND(I.Developer.P3=TRUE,I.Facility.P3FacilityCount&gt;=2222,F17234=""),"Incomplete","Complete")</f>
        <v>Complete</v>
      </c>
      <c r="I17234" s="48" t="s">
        <v>21599</v>
      </c>
    </row>
    <row r="17235" spans="2:9" ht="15" customHeight="1" x14ac:dyDescent="0.25">
      <c r="B17235" s="55" t="s">
        <v>282</v>
      </c>
      <c r="C17235" s="46">
        <v>2223</v>
      </c>
      <c r="D17235" s="69" t="s">
        <v>29419</v>
      </c>
      <c r="E17235" s="51"/>
      <c r="F17235" s="114" t="str">
        <f>IF(INDEX(I.Facility.P3IDNumber,2223)="","",INDEX(I.Facility.P3IDNumber,2223))</f>
        <v/>
      </c>
      <c r="G17235" s="51"/>
      <c r="H17235" s="46" t="str">
        <f>IF(AND(I.Developer.P3=TRUE,I.Facility.P3FacilityCount&gt;=2223,F17235=""),"Incomplete","Complete")</f>
        <v>Complete</v>
      </c>
      <c r="I17235" s="48" t="s">
        <v>21600</v>
      </c>
    </row>
    <row r="17236" spans="2:9" ht="15" customHeight="1" x14ac:dyDescent="0.25">
      <c r="B17236" s="55" t="s">
        <v>282</v>
      </c>
      <c r="C17236" s="46">
        <v>2224</v>
      </c>
      <c r="D17236" s="69" t="s">
        <v>29419</v>
      </c>
      <c r="E17236" s="51"/>
      <c r="F17236" s="114" t="str">
        <f>IF(INDEX(I.Facility.P3IDNumber,2224)="","",INDEX(I.Facility.P3IDNumber,2224))</f>
        <v/>
      </c>
      <c r="G17236" s="51"/>
      <c r="H17236" s="46" t="str">
        <f>IF(AND(I.Developer.P3=TRUE,I.Facility.P3FacilityCount&gt;=2224,F17236=""),"Incomplete","Complete")</f>
        <v>Complete</v>
      </c>
      <c r="I17236" s="48" t="s">
        <v>21601</v>
      </c>
    </row>
    <row r="17237" spans="2:9" ht="15" customHeight="1" x14ac:dyDescent="0.25">
      <c r="B17237" s="55" t="s">
        <v>282</v>
      </c>
      <c r="C17237" s="46">
        <v>2225</v>
      </c>
      <c r="D17237" s="69" t="s">
        <v>29419</v>
      </c>
      <c r="E17237" s="51"/>
      <c r="F17237" s="114" t="str">
        <f>IF(INDEX(I.Facility.P3IDNumber,2225)="","",INDEX(I.Facility.P3IDNumber,2225))</f>
        <v/>
      </c>
      <c r="G17237" s="51"/>
      <c r="H17237" s="46" t="str">
        <f>IF(AND(I.Developer.P3=TRUE,I.Facility.P3FacilityCount&gt;=2225,F17237=""),"Incomplete","Complete")</f>
        <v>Complete</v>
      </c>
      <c r="I17237" s="48" t="s">
        <v>21602</v>
      </c>
    </row>
    <row r="17238" spans="2:9" ht="15" customHeight="1" x14ac:dyDescent="0.25">
      <c r="B17238" s="55" t="s">
        <v>282</v>
      </c>
      <c r="C17238" s="46">
        <v>2226</v>
      </c>
      <c r="D17238" s="69" t="s">
        <v>29419</v>
      </c>
      <c r="E17238" s="51"/>
      <c r="F17238" s="114" t="str">
        <f>IF(INDEX(I.Facility.P3IDNumber,2226)="","",INDEX(I.Facility.P3IDNumber,2226))</f>
        <v/>
      </c>
      <c r="G17238" s="51"/>
      <c r="H17238" s="46" t="str">
        <f>IF(AND(I.Developer.P3=TRUE,I.Facility.P3FacilityCount&gt;=2226,F17238=""),"Incomplete","Complete")</f>
        <v>Complete</v>
      </c>
      <c r="I17238" s="48" t="s">
        <v>21603</v>
      </c>
    </row>
    <row r="17239" spans="2:9" ht="15" customHeight="1" x14ac:dyDescent="0.25">
      <c r="B17239" s="55" t="s">
        <v>282</v>
      </c>
      <c r="C17239" s="46">
        <v>2227</v>
      </c>
      <c r="D17239" s="69" t="s">
        <v>29419</v>
      </c>
      <c r="E17239" s="51"/>
      <c r="F17239" s="114" t="str">
        <f>IF(INDEX(I.Facility.P3IDNumber,2227)="","",INDEX(I.Facility.P3IDNumber,2227))</f>
        <v/>
      </c>
      <c r="G17239" s="51"/>
      <c r="H17239" s="46" t="str">
        <f>IF(AND(I.Developer.P3=TRUE,I.Facility.P3FacilityCount&gt;=2227,F17239=""),"Incomplete","Complete")</f>
        <v>Complete</v>
      </c>
      <c r="I17239" s="48" t="s">
        <v>21604</v>
      </c>
    </row>
    <row r="17240" spans="2:9" ht="15" customHeight="1" x14ac:dyDescent="0.25">
      <c r="B17240" s="55" t="s">
        <v>282</v>
      </c>
      <c r="C17240" s="46">
        <v>2228</v>
      </c>
      <c r="D17240" s="69" t="s">
        <v>29419</v>
      </c>
      <c r="E17240" s="51"/>
      <c r="F17240" s="114" t="str">
        <f>IF(INDEX(I.Facility.P3IDNumber,2228)="","",INDEX(I.Facility.P3IDNumber,2228))</f>
        <v/>
      </c>
      <c r="G17240" s="51"/>
      <c r="H17240" s="46" t="str">
        <f>IF(AND(I.Developer.P3=TRUE,I.Facility.P3FacilityCount&gt;=2228,F17240=""),"Incomplete","Complete")</f>
        <v>Complete</v>
      </c>
      <c r="I17240" s="48" t="s">
        <v>21605</v>
      </c>
    </row>
    <row r="17241" spans="2:9" ht="15" customHeight="1" x14ac:dyDescent="0.25">
      <c r="B17241" s="55" t="s">
        <v>282</v>
      </c>
      <c r="C17241" s="46">
        <v>2229</v>
      </c>
      <c r="D17241" s="69" t="s">
        <v>29419</v>
      </c>
      <c r="E17241" s="51"/>
      <c r="F17241" s="114" t="str">
        <f>IF(INDEX(I.Facility.P3IDNumber,2229)="","",INDEX(I.Facility.P3IDNumber,2229))</f>
        <v/>
      </c>
      <c r="G17241" s="51"/>
      <c r="H17241" s="46" t="str">
        <f>IF(AND(I.Developer.P3=TRUE,I.Facility.P3FacilityCount&gt;=2229,F17241=""),"Incomplete","Complete")</f>
        <v>Complete</v>
      </c>
      <c r="I17241" s="48" t="s">
        <v>21606</v>
      </c>
    </row>
    <row r="17242" spans="2:9" ht="15" customHeight="1" x14ac:dyDescent="0.25">
      <c r="B17242" s="55" t="s">
        <v>282</v>
      </c>
      <c r="C17242" s="46">
        <v>2230</v>
      </c>
      <c r="D17242" s="69" t="s">
        <v>29419</v>
      </c>
      <c r="E17242" s="51"/>
      <c r="F17242" s="114" t="str">
        <f>IF(INDEX(I.Facility.P3IDNumber,2230)="","",INDEX(I.Facility.P3IDNumber,2230))</f>
        <v/>
      </c>
      <c r="G17242" s="51"/>
      <c r="H17242" s="46" t="str">
        <f>IF(AND(I.Developer.P3=TRUE,I.Facility.P3FacilityCount&gt;=2230,F17242=""),"Incomplete","Complete")</f>
        <v>Complete</v>
      </c>
      <c r="I17242" s="48" t="s">
        <v>21607</v>
      </c>
    </row>
    <row r="17243" spans="2:9" ht="15" customHeight="1" x14ac:dyDescent="0.25">
      <c r="B17243" s="55" t="s">
        <v>282</v>
      </c>
      <c r="C17243" s="46">
        <v>2231</v>
      </c>
      <c r="D17243" s="69" t="s">
        <v>29419</v>
      </c>
      <c r="E17243" s="51"/>
      <c r="F17243" s="114" t="str">
        <f>IF(INDEX(I.Facility.P3IDNumber,2231)="","",INDEX(I.Facility.P3IDNumber,2231))</f>
        <v/>
      </c>
      <c r="G17243" s="51"/>
      <c r="H17243" s="46" t="str">
        <f>IF(AND(I.Developer.P3=TRUE,I.Facility.P3FacilityCount&gt;=2231,F17243=""),"Incomplete","Complete")</f>
        <v>Complete</v>
      </c>
      <c r="I17243" s="48" t="s">
        <v>21608</v>
      </c>
    </row>
    <row r="17244" spans="2:9" ht="15" customHeight="1" x14ac:dyDescent="0.25">
      <c r="B17244" s="55" t="s">
        <v>282</v>
      </c>
      <c r="C17244" s="46">
        <v>2232</v>
      </c>
      <c r="D17244" s="69" t="s">
        <v>29419</v>
      </c>
      <c r="E17244" s="51"/>
      <c r="F17244" s="114" t="str">
        <f>IF(INDEX(I.Facility.P3IDNumber,2232)="","",INDEX(I.Facility.P3IDNumber,2232))</f>
        <v/>
      </c>
      <c r="G17244" s="51"/>
      <c r="H17244" s="46" t="str">
        <f>IF(AND(I.Developer.P3=TRUE,I.Facility.P3FacilityCount&gt;=2232,F17244=""),"Incomplete","Complete")</f>
        <v>Complete</v>
      </c>
      <c r="I17244" s="48" t="s">
        <v>21609</v>
      </c>
    </row>
    <row r="17245" spans="2:9" ht="15" customHeight="1" x14ac:dyDescent="0.25">
      <c r="B17245" s="55" t="s">
        <v>282</v>
      </c>
      <c r="C17245" s="46">
        <v>2233</v>
      </c>
      <c r="D17245" s="69" t="s">
        <v>29419</v>
      </c>
      <c r="E17245" s="51"/>
      <c r="F17245" s="114" t="str">
        <f>IF(INDEX(I.Facility.P3IDNumber,2233)="","",INDEX(I.Facility.P3IDNumber,2233))</f>
        <v/>
      </c>
      <c r="G17245" s="51"/>
      <c r="H17245" s="46" t="str">
        <f>IF(AND(I.Developer.P3=TRUE,I.Facility.P3FacilityCount&gt;=2233,F17245=""),"Incomplete","Complete")</f>
        <v>Complete</v>
      </c>
      <c r="I17245" s="48" t="s">
        <v>21610</v>
      </c>
    </row>
    <row r="17246" spans="2:9" ht="15" customHeight="1" x14ac:dyDescent="0.25">
      <c r="B17246" s="55" t="s">
        <v>282</v>
      </c>
      <c r="C17246" s="46">
        <v>2234</v>
      </c>
      <c r="D17246" s="69" t="s">
        <v>29419</v>
      </c>
      <c r="E17246" s="51"/>
      <c r="F17246" s="114" t="str">
        <f>IF(INDEX(I.Facility.P3IDNumber,2234)="","",INDEX(I.Facility.P3IDNumber,2234))</f>
        <v/>
      </c>
      <c r="G17246" s="51"/>
      <c r="H17246" s="46" t="str">
        <f>IF(AND(I.Developer.P3=TRUE,I.Facility.P3FacilityCount&gt;=2234,F17246=""),"Incomplete","Complete")</f>
        <v>Complete</v>
      </c>
      <c r="I17246" s="48" t="s">
        <v>21611</v>
      </c>
    </row>
    <row r="17247" spans="2:9" ht="15" customHeight="1" x14ac:dyDescent="0.25">
      <c r="B17247" s="55" t="s">
        <v>282</v>
      </c>
      <c r="C17247" s="46">
        <v>2235</v>
      </c>
      <c r="D17247" s="69" t="s">
        <v>29419</v>
      </c>
      <c r="E17247" s="51"/>
      <c r="F17247" s="114" t="str">
        <f>IF(INDEX(I.Facility.P3IDNumber,2235)="","",INDEX(I.Facility.P3IDNumber,2235))</f>
        <v/>
      </c>
      <c r="G17247" s="51"/>
      <c r="H17247" s="46" t="str">
        <f>IF(AND(I.Developer.P3=TRUE,I.Facility.P3FacilityCount&gt;=2235,F17247=""),"Incomplete","Complete")</f>
        <v>Complete</v>
      </c>
      <c r="I17247" s="48" t="s">
        <v>21612</v>
      </c>
    </row>
    <row r="17248" spans="2:9" ht="15" customHeight="1" x14ac:dyDescent="0.25">
      <c r="B17248" s="55" t="s">
        <v>282</v>
      </c>
      <c r="C17248" s="46">
        <v>2236</v>
      </c>
      <c r="D17248" s="69" t="s">
        <v>29419</v>
      </c>
      <c r="E17248" s="51"/>
      <c r="F17248" s="114" t="str">
        <f>IF(INDEX(I.Facility.P3IDNumber,2236)="","",INDEX(I.Facility.P3IDNumber,2236))</f>
        <v/>
      </c>
      <c r="G17248" s="51"/>
      <c r="H17248" s="46" t="str">
        <f>IF(AND(I.Developer.P3=TRUE,I.Facility.P3FacilityCount&gt;=2236,F17248=""),"Incomplete","Complete")</f>
        <v>Complete</v>
      </c>
      <c r="I17248" s="48" t="s">
        <v>21613</v>
      </c>
    </row>
    <row r="17249" spans="2:9" ht="15" customHeight="1" x14ac:dyDescent="0.25">
      <c r="B17249" s="55" t="s">
        <v>282</v>
      </c>
      <c r="C17249" s="46">
        <v>2237</v>
      </c>
      <c r="D17249" s="69" t="s">
        <v>29419</v>
      </c>
      <c r="E17249" s="51"/>
      <c r="F17249" s="114" t="str">
        <f>IF(INDEX(I.Facility.P3IDNumber,2237)="","",INDEX(I.Facility.P3IDNumber,2237))</f>
        <v/>
      </c>
      <c r="G17249" s="51"/>
      <c r="H17249" s="46" t="str">
        <f>IF(AND(I.Developer.P3=TRUE,I.Facility.P3FacilityCount&gt;=2237,F17249=""),"Incomplete","Complete")</f>
        <v>Complete</v>
      </c>
      <c r="I17249" s="48" t="s">
        <v>21614</v>
      </c>
    </row>
    <row r="17250" spans="2:9" ht="15" customHeight="1" x14ac:dyDescent="0.25">
      <c r="B17250" s="55" t="s">
        <v>282</v>
      </c>
      <c r="C17250" s="46">
        <v>2238</v>
      </c>
      <c r="D17250" s="69" t="s">
        <v>29419</v>
      </c>
      <c r="E17250" s="51"/>
      <c r="F17250" s="114" t="str">
        <f>IF(INDEX(I.Facility.P3IDNumber,2238)="","",INDEX(I.Facility.P3IDNumber,2238))</f>
        <v/>
      </c>
      <c r="G17250" s="51"/>
      <c r="H17250" s="46" t="str">
        <f>IF(AND(I.Developer.P3=TRUE,I.Facility.P3FacilityCount&gt;=2238,F17250=""),"Incomplete","Complete")</f>
        <v>Complete</v>
      </c>
      <c r="I17250" s="48" t="s">
        <v>21615</v>
      </c>
    </row>
    <row r="17251" spans="2:9" ht="15" customHeight="1" x14ac:dyDescent="0.25">
      <c r="B17251" s="55" t="s">
        <v>282</v>
      </c>
      <c r="C17251" s="46">
        <v>2239</v>
      </c>
      <c r="D17251" s="69" t="s">
        <v>29419</v>
      </c>
      <c r="E17251" s="51"/>
      <c r="F17251" s="114" t="str">
        <f>IF(INDEX(I.Facility.P3IDNumber,2239)="","",INDEX(I.Facility.P3IDNumber,2239))</f>
        <v/>
      </c>
      <c r="G17251" s="51"/>
      <c r="H17251" s="46" t="str">
        <f>IF(AND(I.Developer.P3=TRUE,I.Facility.P3FacilityCount&gt;=2239,F17251=""),"Incomplete","Complete")</f>
        <v>Complete</v>
      </c>
      <c r="I17251" s="48" t="s">
        <v>21616</v>
      </c>
    </row>
    <row r="17252" spans="2:9" ht="15" customHeight="1" x14ac:dyDescent="0.25">
      <c r="B17252" s="55" t="s">
        <v>282</v>
      </c>
      <c r="C17252" s="46">
        <v>2240</v>
      </c>
      <c r="D17252" s="69" t="s">
        <v>29419</v>
      </c>
      <c r="E17252" s="51"/>
      <c r="F17252" s="114" t="str">
        <f>IF(INDEX(I.Facility.P3IDNumber,2240)="","",INDEX(I.Facility.P3IDNumber,2240))</f>
        <v/>
      </c>
      <c r="G17252" s="51"/>
      <c r="H17252" s="46" t="str">
        <f>IF(AND(I.Developer.P3=TRUE,I.Facility.P3FacilityCount&gt;=2240,F17252=""),"Incomplete","Complete")</f>
        <v>Complete</v>
      </c>
      <c r="I17252" s="48" t="s">
        <v>21617</v>
      </c>
    </row>
    <row r="17253" spans="2:9" ht="15" customHeight="1" x14ac:dyDescent="0.25">
      <c r="B17253" s="55" t="s">
        <v>282</v>
      </c>
      <c r="C17253" s="46">
        <v>2241</v>
      </c>
      <c r="D17253" s="69" t="s">
        <v>29419</v>
      </c>
      <c r="E17253" s="51"/>
      <c r="F17253" s="114" t="str">
        <f>IF(INDEX(I.Facility.P3IDNumber,2241)="","",INDEX(I.Facility.P3IDNumber,2241))</f>
        <v/>
      </c>
      <c r="G17253" s="51"/>
      <c r="H17253" s="46" t="str">
        <f>IF(AND(I.Developer.P3=TRUE,I.Facility.P3FacilityCount&gt;=2241,F17253=""),"Incomplete","Complete")</f>
        <v>Complete</v>
      </c>
      <c r="I17253" s="48" t="s">
        <v>21618</v>
      </c>
    </row>
    <row r="17254" spans="2:9" ht="15" customHeight="1" x14ac:dyDescent="0.25">
      <c r="B17254" s="55" t="s">
        <v>282</v>
      </c>
      <c r="C17254" s="46">
        <v>2242</v>
      </c>
      <c r="D17254" s="69" t="s">
        <v>29419</v>
      </c>
      <c r="E17254" s="51"/>
      <c r="F17254" s="114" t="str">
        <f>IF(INDEX(I.Facility.P3IDNumber,2242)="","",INDEX(I.Facility.P3IDNumber,2242))</f>
        <v/>
      </c>
      <c r="G17254" s="51"/>
      <c r="H17254" s="46" t="str">
        <f>IF(AND(I.Developer.P3=TRUE,I.Facility.P3FacilityCount&gt;=2242,F17254=""),"Incomplete","Complete")</f>
        <v>Complete</v>
      </c>
      <c r="I17254" s="48" t="s">
        <v>21619</v>
      </c>
    </row>
    <row r="17255" spans="2:9" ht="15" customHeight="1" x14ac:dyDescent="0.25">
      <c r="B17255" s="55" t="s">
        <v>282</v>
      </c>
      <c r="C17255" s="46">
        <v>2243</v>
      </c>
      <c r="D17255" s="69" t="s">
        <v>29419</v>
      </c>
      <c r="E17255" s="51"/>
      <c r="F17255" s="114" t="str">
        <f>IF(INDEX(I.Facility.P3IDNumber,2243)="","",INDEX(I.Facility.P3IDNumber,2243))</f>
        <v/>
      </c>
      <c r="G17255" s="51"/>
      <c r="H17255" s="46" t="str">
        <f>IF(AND(I.Developer.P3=TRUE,I.Facility.P3FacilityCount&gt;=2243,F17255=""),"Incomplete","Complete")</f>
        <v>Complete</v>
      </c>
      <c r="I17255" s="48" t="s">
        <v>21620</v>
      </c>
    </row>
    <row r="17256" spans="2:9" ht="15" customHeight="1" x14ac:dyDescent="0.25">
      <c r="B17256" s="55" t="s">
        <v>282</v>
      </c>
      <c r="C17256" s="46">
        <v>2244</v>
      </c>
      <c r="D17256" s="69" t="s">
        <v>29419</v>
      </c>
      <c r="E17256" s="51"/>
      <c r="F17256" s="114" t="str">
        <f>IF(INDEX(I.Facility.P3IDNumber,2244)="","",INDEX(I.Facility.P3IDNumber,2244))</f>
        <v/>
      </c>
      <c r="G17256" s="51"/>
      <c r="H17256" s="46" t="str">
        <f>IF(AND(I.Developer.P3=TRUE,I.Facility.P3FacilityCount&gt;=2244,F17256=""),"Incomplete","Complete")</f>
        <v>Complete</v>
      </c>
      <c r="I17256" s="48" t="s">
        <v>21621</v>
      </c>
    </row>
    <row r="17257" spans="2:9" ht="15" customHeight="1" x14ac:dyDescent="0.25">
      <c r="B17257" s="55" t="s">
        <v>282</v>
      </c>
      <c r="C17257" s="46">
        <v>2245</v>
      </c>
      <c r="D17257" s="69" t="s">
        <v>29419</v>
      </c>
      <c r="E17257" s="51"/>
      <c r="F17257" s="114" t="str">
        <f>IF(INDEX(I.Facility.P3IDNumber,2245)="","",INDEX(I.Facility.P3IDNumber,2245))</f>
        <v/>
      </c>
      <c r="G17257" s="51"/>
      <c r="H17257" s="46" t="str">
        <f>IF(AND(I.Developer.P3=TRUE,I.Facility.P3FacilityCount&gt;=2245,F17257=""),"Incomplete","Complete")</f>
        <v>Complete</v>
      </c>
      <c r="I17257" s="48" t="s">
        <v>21622</v>
      </c>
    </row>
    <row r="17258" spans="2:9" ht="15" customHeight="1" x14ac:dyDescent="0.25">
      <c r="B17258" s="55" t="s">
        <v>282</v>
      </c>
      <c r="C17258" s="46">
        <v>2246</v>
      </c>
      <c r="D17258" s="69" t="s">
        <v>29419</v>
      </c>
      <c r="E17258" s="51"/>
      <c r="F17258" s="114" t="str">
        <f>IF(INDEX(I.Facility.P3IDNumber,2246)="","",INDEX(I.Facility.P3IDNumber,2246))</f>
        <v/>
      </c>
      <c r="G17258" s="51"/>
      <c r="H17258" s="46" t="str">
        <f>IF(AND(I.Developer.P3=TRUE,I.Facility.P3FacilityCount&gt;=2246,F17258=""),"Incomplete","Complete")</f>
        <v>Complete</v>
      </c>
      <c r="I17258" s="48" t="s">
        <v>21623</v>
      </c>
    </row>
    <row r="17259" spans="2:9" ht="15" customHeight="1" x14ac:dyDescent="0.25">
      <c r="B17259" s="55" t="s">
        <v>282</v>
      </c>
      <c r="C17259" s="46">
        <v>2247</v>
      </c>
      <c r="D17259" s="69" t="s">
        <v>29419</v>
      </c>
      <c r="E17259" s="51"/>
      <c r="F17259" s="114" t="str">
        <f>IF(INDEX(I.Facility.P3IDNumber,2247)="","",INDEX(I.Facility.P3IDNumber,2247))</f>
        <v/>
      </c>
      <c r="G17259" s="51"/>
      <c r="H17259" s="46" t="str">
        <f>IF(AND(I.Developer.P3=TRUE,I.Facility.P3FacilityCount&gt;=2247,F17259=""),"Incomplete","Complete")</f>
        <v>Complete</v>
      </c>
      <c r="I17259" s="48" t="s">
        <v>21624</v>
      </c>
    </row>
    <row r="17260" spans="2:9" ht="15" customHeight="1" x14ac:dyDescent="0.25">
      <c r="B17260" s="55" t="s">
        <v>282</v>
      </c>
      <c r="C17260" s="46">
        <v>2248</v>
      </c>
      <c r="D17260" s="69" t="s">
        <v>29419</v>
      </c>
      <c r="E17260" s="51"/>
      <c r="F17260" s="114" t="str">
        <f>IF(INDEX(I.Facility.P3IDNumber,2248)="","",INDEX(I.Facility.P3IDNumber,2248))</f>
        <v/>
      </c>
      <c r="G17260" s="51"/>
      <c r="H17260" s="46" t="str">
        <f>IF(AND(I.Developer.P3=TRUE,I.Facility.P3FacilityCount&gt;=2248,F17260=""),"Incomplete","Complete")</f>
        <v>Complete</v>
      </c>
      <c r="I17260" s="48" t="s">
        <v>21625</v>
      </c>
    </row>
    <row r="17261" spans="2:9" ht="15" customHeight="1" x14ac:dyDescent="0.25">
      <c r="B17261" s="55" t="s">
        <v>282</v>
      </c>
      <c r="C17261" s="46">
        <v>2249</v>
      </c>
      <c r="D17261" s="69" t="s">
        <v>29419</v>
      </c>
      <c r="E17261" s="51"/>
      <c r="F17261" s="114" t="str">
        <f>IF(INDEX(I.Facility.P3IDNumber,2249)="","",INDEX(I.Facility.P3IDNumber,2249))</f>
        <v/>
      </c>
      <c r="G17261" s="51"/>
      <c r="H17261" s="46" t="str">
        <f>IF(AND(I.Developer.P3=TRUE,I.Facility.P3FacilityCount&gt;=2249,F17261=""),"Incomplete","Complete")</f>
        <v>Complete</v>
      </c>
      <c r="I17261" s="48" t="s">
        <v>21626</v>
      </c>
    </row>
    <row r="17262" spans="2:9" ht="15" customHeight="1" x14ac:dyDescent="0.25">
      <c r="B17262" s="55" t="s">
        <v>282</v>
      </c>
      <c r="C17262" s="46">
        <v>2250</v>
      </c>
      <c r="D17262" s="69" t="s">
        <v>29419</v>
      </c>
      <c r="E17262" s="51"/>
      <c r="F17262" s="114" t="str">
        <f>IF(INDEX(I.Facility.P3IDNumber,2250)="","",INDEX(I.Facility.P3IDNumber,2250))</f>
        <v/>
      </c>
      <c r="G17262" s="51"/>
      <c r="H17262" s="46" t="str">
        <f>IF(AND(I.Developer.P3=TRUE,I.Facility.P3FacilityCount&gt;=2250,F17262=""),"Incomplete","Complete")</f>
        <v>Complete</v>
      </c>
      <c r="I17262" s="48" t="s">
        <v>21627</v>
      </c>
    </row>
    <row r="17263" spans="2:9" ht="15" customHeight="1" x14ac:dyDescent="0.25">
      <c r="B17263" s="55" t="s">
        <v>282</v>
      </c>
      <c r="C17263" s="46">
        <v>2251</v>
      </c>
      <c r="D17263" s="69" t="s">
        <v>29419</v>
      </c>
      <c r="E17263" s="51"/>
      <c r="F17263" s="114" t="str">
        <f>IF(INDEX(I.Facility.P3IDNumber,2251)="","",INDEX(I.Facility.P3IDNumber,2251))</f>
        <v/>
      </c>
      <c r="G17263" s="51"/>
      <c r="H17263" s="46" t="str">
        <f>IF(AND(I.Developer.P3=TRUE,I.Facility.P3FacilityCount&gt;=2251,F17263=""),"Incomplete","Complete")</f>
        <v>Complete</v>
      </c>
      <c r="I17263" s="48" t="s">
        <v>21628</v>
      </c>
    </row>
    <row r="17264" spans="2:9" ht="15" customHeight="1" x14ac:dyDescent="0.25">
      <c r="B17264" s="55" t="s">
        <v>282</v>
      </c>
      <c r="C17264" s="46">
        <v>2252</v>
      </c>
      <c r="D17264" s="69" t="s">
        <v>29419</v>
      </c>
      <c r="E17264" s="51"/>
      <c r="F17264" s="114" t="str">
        <f>IF(INDEX(I.Facility.P3IDNumber,2252)="","",INDEX(I.Facility.P3IDNumber,2252))</f>
        <v/>
      </c>
      <c r="G17264" s="51"/>
      <c r="H17264" s="46" t="str">
        <f>IF(AND(I.Developer.P3=TRUE,I.Facility.P3FacilityCount&gt;=2252,F17264=""),"Incomplete","Complete")</f>
        <v>Complete</v>
      </c>
      <c r="I17264" s="48" t="s">
        <v>21629</v>
      </c>
    </row>
    <row r="17265" spans="2:9" ht="15" customHeight="1" x14ac:dyDescent="0.25">
      <c r="B17265" s="55" t="s">
        <v>282</v>
      </c>
      <c r="C17265" s="46">
        <v>2253</v>
      </c>
      <c r="D17265" s="69" t="s">
        <v>29419</v>
      </c>
      <c r="E17265" s="51"/>
      <c r="F17265" s="114" t="str">
        <f>IF(INDEX(I.Facility.P3IDNumber,2253)="","",INDEX(I.Facility.P3IDNumber,2253))</f>
        <v/>
      </c>
      <c r="G17265" s="51"/>
      <c r="H17265" s="46" t="str">
        <f>IF(AND(I.Developer.P3=TRUE,I.Facility.P3FacilityCount&gt;=2253,F17265=""),"Incomplete","Complete")</f>
        <v>Complete</v>
      </c>
      <c r="I17265" s="48" t="s">
        <v>21630</v>
      </c>
    </row>
    <row r="17266" spans="2:9" ht="15" customHeight="1" x14ac:dyDescent="0.25">
      <c r="B17266" s="55" t="s">
        <v>282</v>
      </c>
      <c r="C17266" s="46">
        <v>2254</v>
      </c>
      <c r="D17266" s="69" t="s">
        <v>29419</v>
      </c>
      <c r="E17266" s="51"/>
      <c r="F17266" s="114" t="str">
        <f>IF(INDEX(I.Facility.P3IDNumber,2254)="","",INDEX(I.Facility.P3IDNumber,2254))</f>
        <v/>
      </c>
      <c r="G17266" s="51"/>
      <c r="H17266" s="46" t="str">
        <f>IF(AND(I.Developer.P3=TRUE,I.Facility.P3FacilityCount&gt;=2254,F17266=""),"Incomplete","Complete")</f>
        <v>Complete</v>
      </c>
      <c r="I17266" s="48" t="s">
        <v>21631</v>
      </c>
    </row>
    <row r="17267" spans="2:9" ht="15" customHeight="1" x14ac:dyDescent="0.25">
      <c r="B17267" s="55" t="s">
        <v>282</v>
      </c>
      <c r="C17267" s="46">
        <v>2255</v>
      </c>
      <c r="D17267" s="69" t="s">
        <v>29419</v>
      </c>
      <c r="E17267" s="51"/>
      <c r="F17267" s="114" t="str">
        <f>IF(INDEX(I.Facility.P3IDNumber,2255)="","",INDEX(I.Facility.P3IDNumber,2255))</f>
        <v/>
      </c>
      <c r="G17267" s="51"/>
      <c r="H17267" s="46" t="str">
        <f>IF(AND(I.Developer.P3=TRUE,I.Facility.P3FacilityCount&gt;=2255,F17267=""),"Incomplete","Complete")</f>
        <v>Complete</v>
      </c>
      <c r="I17267" s="48" t="s">
        <v>21632</v>
      </c>
    </row>
    <row r="17268" spans="2:9" ht="15" customHeight="1" x14ac:dyDescent="0.25">
      <c r="B17268" s="55" t="s">
        <v>282</v>
      </c>
      <c r="C17268" s="46">
        <v>2256</v>
      </c>
      <c r="D17268" s="69" t="s">
        <v>29419</v>
      </c>
      <c r="E17268" s="51"/>
      <c r="F17268" s="114" t="str">
        <f>IF(INDEX(I.Facility.P3IDNumber,2256)="","",INDEX(I.Facility.P3IDNumber,2256))</f>
        <v/>
      </c>
      <c r="G17268" s="51"/>
      <c r="H17268" s="46" t="str">
        <f>IF(AND(I.Developer.P3=TRUE,I.Facility.P3FacilityCount&gt;=2256,F17268=""),"Incomplete","Complete")</f>
        <v>Complete</v>
      </c>
      <c r="I17268" s="48" t="s">
        <v>21633</v>
      </c>
    </row>
    <row r="17269" spans="2:9" ht="15" customHeight="1" x14ac:dyDescent="0.25">
      <c r="B17269" s="55" t="s">
        <v>282</v>
      </c>
      <c r="C17269" s="46">
        <v>2257</v>
      </c>
      <c r="D17269" s="69" t="s">
        <v>29419</v>
      </c>
      <c r="E17269" s="51"/>
      <c r="F17269" s="114" t="str">
        <f>IF(INDEX(I.Facility.P3IDNumber,2257)="","",INDEX(I.Facility.P3IDNumber,2257))</f>
        <v/>
      </c>
      <c r="G17269" s="51"/>
      <c r="H17269" s="46" t="str">
        <f>IF(AND(I.Developer.P3=TRUE,I.Facility.P3FacilityCount&gt;=2257,F17269=""),"Incomplete","Complete")</f>
        <v>Complete</v>
      </c>
      <c r="I17269" s="48" t="s">
        <v>21634</v>
      </c>
    </row>
    <row r="17270" spans="2:9" ht="15" customHeight="1" x14ac:dyDescent="0.25">
      <c r="B17270" s="55" t="s">
        <v>282</v>
      </c>
      <c r="C17270" s="46">
        <v>2258</v>
      </c>
      <c r="D17270" s="69" t="s">
        <v>29419</v>
      </c>
      <c r="E17270" s="51"/>
      <c r="F17270" s="114" t="str">
        <f>IF(INDEX(I.Facility.P3IDNumber,2258)="","",INDEX(I.Facility.P3IDNumber,2258))</f>
        <v/>
      </c>
      <c r="G17270" s="51"/>
      <c r="H17270" s="46" t="str">
        <f>IF(AND(I.Developer.P3=TRUE,I.Facility.P3FacilityCount&gt;=2258,F17270=""),"Incomplete","Complete")</f>
        <v>Complete</v>
      </c>
      <c r="I17270" s="48" t="s">
        <v>21635</v>
      </c>
    </row>
    <row r="17271" spans="2:9" ht="15" customHeight="1" x14ac:dyDescent="0.25">
      <c r="B17271" s="55" t="s">
        <v>282</v>
      </c>
      <c r="C17271" s="46">
        <v>2259</v>
      </c>
      <c r="D17271" s="69" t="s">
        <v>29419</v>
      </c>
      <c r="E17271" s="51"/>
      <c r="F17271" s="114" t="str">
        <f>IF(INDEX(I.Facility.P3IDNumber,2259)="","",INDEX(I.Facility.P3IDNumber,2259))</f>
        <v/>
      </c>
      <c r="G17271" s="51"/>
      <c r="H17271" s="46" t="str">
        <f>IF(AND(I.Developer.P3=TRUE,I.Facility.P3FacilityCount&gt;=2259,F17271=""),"Incomplete","Complete")</f>
        <v>Complete</v>
      </c>
      <c r="I17271" s="48" t="s">
        <v>21636</v>
      </c>
    </row>
    <row r="17272" spans="2:9" ht="15" customHeight="1" x14ac:dyDescent="0.25">
      <c r="B17272" s="55" t="s">
        <v>282</v>
      </c>
      <c r="C17272" s="46">
        <v>2260</v>
      </c>
      <c r="D17272" s="69" t="s">
        <v>29419</v>
      </c>
      <c r="E17272" s="51"/>
      <c r="F17272" s="114" t="str">
        <f>IF(INDEX(I.Facility.P3IDNumber,2260)="","",INDEX(I.Facility.P3IDNumber,2260))</f>
        <v/>
      </c>
      <c r="G17272" s="51"/>
      <c r="H17272" s="46" t="str">
        <f>IF(AND(I.Developer.P3=TRUE,I.Facility.P3FacilityCount&gt;=2260,F17272=""),"Incomplete","Complete")</f>
        <v>Complete</v>
      </c>
      <c r="I17272" s="48" t="s">
        <v>21637</v>
      </c>
    </row>
    <row r="17273" spans="2:9" ht="15" customHeight="1" x14ac:dyDescent="0.25">
      <c r="B17273" s="55" t="s">
        <v>282</v>
      </c>
      <c r="C17273" s="46">
        <v>2261</v>
      </c>
      <c r="D17273" s="69" t="s">
        <v>29419</v>
      </c>
      <c r="E17273" s="51"/>
      <c r="F17273" s="114" t="str">
        <f>IF(INDEX(I.Facility.P3IDNumber,2261)="","",INDEX(I.Facility.P3IDNumber,2261))</f>
        <v/>
      </c>
      <c r="G17273" s="51"/>
      <c r="H17273" s="46" t="str">
        <f>IF(AND(I.Developer.P3=TRUE,I.Facility.P3FacilityCount&gt;=2261,F17273=""),"Incomplete","Complete")</f>
        <v>Complete</v>
      </c>
      <c r="I17273" s="48" t="s">
        <v>21638</v>
      </c>
    </row>
    <row r="17274" spans="2:9" ht="15" customHeight="1" x14ac:dyDescent="0.25">
      <c r="B17274" s="55" t="s">
        <v>282</v>
      </c>
      <c r="C17274" s="46">
        <v>2262</v>
      </c>
      <c r="D17274" s="69" t="s">
        <v>29419</v>
      </c>
      <c r="E17274" s="51"/>
      <c r="F17274" s="114" t="str">
        <f>IF(INDEX(I.Facility.P3IDNumber,2262)="","",INDEX(I.Facility.P3IDNumber,2262))</f>
        <v/>
      </c>
      <c r="G17274" s="51"/>
      <c r="H17274" s="46" t="str">
        <f>IF(AND(I.Developer.P3=TRUE,I.Facility.P3FacilityCount&gt;=2262,F17274=""),"Incomplete","Complete")</f>
        <v>Complete</v>
      </c>
      <c r="I17274" s="48" t="s">
        <v>21639</v>
      </c>
    </row>
    <row r="17275" spans="2:9" ht="15" customHeight="1" x14ac:dyDescent="0.25">
      <c r="B17275" s="55" t="s">
        <v>282</v>
      </c>
      <c r="C17275" s="46">
        <v>2263</v>
      </c>
      <c r="D17275" s="69" t="s">
        <v>29419</v>
      </c>
      <c r="E17275" s="51"/>
      <c r="F17275" s="114" t="str">
        <f>IF(INDEX(I.Facility.P3IDNumber,2263)="","",INDEX(I.Facility.P3IDNumber,2263))</f>
        <v/>
      </c>
      <c r="G17275" s="51"/>
      <c r="H17275" s="46" t="str">
        <f>IF(AND(I.Developer.P3=TRUE,I.Facility.P3FacilityCount&gt;=2263,F17275=""),"Incomplete","Complete")</f>
        <v>Complete</v>
      </c>
      <c r="I17275" s="48" t="s">
        <v>21640</v>
      </c>
    </row>
    <row r="17276" spans="2:9" ht="15" customHeight="1" x14ac:dyDescent="0.25">
      <c r="B17276" s="55" t="s">
        <v>282</v>
      </c>
      <c r="C17276" s="46">
        <v>2264</v>
      </c>
      <c r="D17276" s="69" t="s">
        <v>29419</v>
      </c>
      <c r="E17276" s="51"/>
      <c r="F17276" s="114" t="str">
        <f>IF(INDEX(I.Facility.P3IDNumber,2264)="","",INDEX(I.Facility.P3IDNumber,2264))</f>
        <v/>
      </c>
      <c r="G17276" s="51"/>
      <c r="H17276" s="46" t="str">
        <f>IF(AND(I.Developer.P3=TRUE,I.Facility.P3FacilityCount&gt;=2264,F17276=""),"Incomplete","Complete")</f>
        <v>Complete</v>
      </c>
      <c r="I17276" s="48" t="s">
        <v>21641</v>
      </c>
    </row>
    <row r="17277" spans="2:9" ht="15" customHeight="1" x14ac:dyDescent="0.25">
      <c r="B17277" s="55" t="s">
        <v>282</v>
      </c>
      <c r="C17277" s="46">
        <v>2265</v>
      </c>
      <c r="D17277" s="69" t="s">
        <v>29419</v>
      </c>
      <c r="E17277" s="51"/>
      <c r="F17277" s="114" t="str">
        <f>IF(INDEX(I.Facility.P3IDNumber,2265)="","",INDEX(I.Facility.P3IDNumber,2265))</f>
        <v/>
      </c>
      <c r="G17277" s="51"/>
      <c r="H17277" s="46" t="str">
        <f>IF(AND(I.Developer.P3=TRUE,I.Facility.P3FacilityCount&gt;=2265,F17277=""),"Incomplete","Complete")</f>
        <v>Complete</v>
      </c>
      <c r="I17277" s="48" t="s">
        <v>21642</v>
      </c>
    </row>
    <row r="17278" spans="2:9" ht="15" customHeight="1" x14ac:dyDescent="0.25">
      <c r="B17278" s="55" t="s">
        <v>282</v>
      </c>
      <c r="C17278" s="46">
        <v>2266</v>
      </c>
      <c r="D17278" s="69" t="s">
        <v>29419</v>
      </c>
      <c r="E17278" s="51"/>
      <c r="F17278" s="114" t="str">
        <f>IF(INDEX(I.Facility.P3IDNumber,2266)="","",INDEX(I.Facility.P3IDNumber,2266))</f>
        <v/>
      </c>
      <c r="G17278" s="51"/>
      <c r="H17278" s="46" t="str">
        <f>IF(AND(I.Developer.P3=TRUE,I.Facility.P3FacilityCount&gt;=2266,F17278=""),"Incomplete","Complete")</f>
        <v>Complete</v>
      </c>
      <c r="I17278" s="48" t="s">
        <v>21643</v>
      </c>
    </row>
    <row r="17279" spans="2:9" ht="15" customHeight="1" x14ac:dyDescent="0.25">
      <c r="B17279" s="55" t="s">
        <v>282</v>
      </c>
      <c r="C17279" s="46">
        <v>2267</v>
      </c>
      <c r="D17279" s="69" t="s">
        <v>29419</v>
      </c>
      <c r="E17279" s="51"/>
      <c r="F17279" s="114" t="str">
        <f>IF(INDEX(I.Facility.P3IDNumber,2267)="","",INDEX(I.Facility.P3IDNumber,2267))</f>
        <v/>
      </c>
      <c r="G17279" s="51"/>
      <c r="H17279" s="46" t="str">
        <f>IF(AND(I.Developer.P3=TRUE,I.Facility.P3FacilityCount&gt;=2267,F17279=""),"Incomplete","Complete")</f>
        <v>Complete</v>
      </c>
      <c r="I17279" s="48" t="s">
        <v>21644</v>
      </c>
    </row>
    <row r="17280" spans="2:9" ht="15" customHeight="1" x14ac:dyDescent="0.25">
      <c r="B17280" s="55" t="s">
        <v>282</v>
      </c>
      <c r="C17280" s="46">
        <v>2268</v>
      </c>
      <c r="D17280" s="69" t="s">
        <v>29419</v>
      </c>
      <c r="E17280" s="51"/>
      <c r="F17280" s="114" t="str">
        <f>IF(INDEX(I.Facility.P3IDNumber,2268)="","",INDEX(I.Facility.P3IDNumber,2268))</f>
        <v/>
      </c>
      <c r="G17280" s="51"/>
      <c r="H17280" s="46" t="str">
        <f>IF(AND(I.Developer.P3=TRUE,I.Facility.P3FacilityCount&gt;=2268,F17280=""),"Incomplete","Complete")</f>
        <v>Complete</v>
      </c>
      <c r="I17280" s="48" t="s">
        <v>21645</v>
      </c>
    </row>
    <row r="17281" spans="2:9" ht="15" customHeight="1" x14ac:dyDescent="0.25">
      <c r="B17281" s="55" t="s">
        <v>282</v>
      </c>
      <c r="C17281" s="46">
        <v>2269</v>
      </c>
      <c r="D17281" s="69" t="s">
        <v>29419</v>
      </c>
      <c r="E17281" s="51"/>
      <c r="F17281" s="114" t="str">
        <f>IF(INDEX(I.Facility.P3IDNumber,2269)="","",INDEX(I.Facility.P3IDNumber,2269))</f>
        <v/>
      </c>
      <c r="G17281" s="51"/>
      <c r="H17281" s="46" t="str">
        <f>IF(AND(I.Developer.P3=TRUE,I.Facility.P3FacilityCount&gt;=2269,F17281=""),"Incomplete","Complete")</f>
        <v>Complete</v>
      </c>
      <c r="I17281" s="48" t="s">
        <v>21646</v>
      </c>
    </row>
    <row r="17282" spans="2:9" ht="15" customHeight="1" x14ac:dyDescent="0.25">
      <c r="B17282" s="55" t="s">
        <v>282</v>
      </c>
      <c r="C17282" s="46">
        <v>2270</v>
      </c>
      <c r="D17282" s="69" t="s">
        <v>29419</v>
      </c>
      <c r="E17282" s="51"/>
      <c r="F17282" s="114" t="str">
        <f>IF(INDEX(I.Facility.P3IDNumber,2270)="","",INDEX(I.Facility.P3IDNumber,2270))</f>
        <v/>
      </c>
      <c r="G17282" s="51"/>
      <c r="H17282" s="46" t="str">
        <f>IF(AND(I.Developer.P3=TRUE,I.Facility.P3FacilityCount&gt;=2270,F17282=""),"Incomplete","Complete")</f>
        <v>Complete</v>
      </c>
      <c r="I17282" s="48" t="s">
        <v>21647</v>
      </c>
    </row>
    <row r="17283" spans="2:9" ht="15" customHeight="1" x14ac:dyDescent="0.25">
      <c r="B17283" s="55" t="s">
        <v>282</v>
      </c>
      <c r="C17283" s="46">
        <v>2271</v>
      </c>
      <c r="D17283" s="69" t="s">
        <v>29419</v>
      </c>
      <c r="E17283" s="51"/>
      <c r="F17283" s="114" t="str">
        <f>IF(INDEX(I.Facility.P3IDNumber,2271)="","",INDEX(I.Facility.P3IDNumber,2271))</f>
        <v/>
      </c>
      <c r="G17283" s="51"/>
      <c r="H17283" s="46" t="str">
        <f>IF(AND(I.Developer.P3=TRUE,I.Facility.P3FacilityCount&gt;=2271,F17283=""),"Incomplete","Complete")</f>
        <v>Complete</v>
      </c>
      <c r="I17283" s="48" t="s">
        <v>21648</v>
      </c>
    </row>
    <row r="17284" spans="2:9" ht="15" customHeight="1" x14ac:dyDescent="0.25">
      <c r="B17284" s="55" t="s">
        <v>282</v>
      </c>
      <c r="C17284" s="46">
        <v>2272</v>
      </c>
      <c r="D17284" s="69" t="s">
        <v>29419</v>
      </c>
      <c r="E17284" s="51"/>
      <c r="F17284" s="114" t="str">
        <f>IF(INDEX(I.Facility.P3IDNumber,2272)="","",INDEX(I.Facility.P3IDNumber,2272))</f>
        <v/>
      </c>
      <c r="G17284" s="51"/>
      <c r="H17284" s="46" t="str">
        <f>IF(AND(I.Developer.P3=TRUE,I.Facility.P3FacilityCount&gt;=2272,F17284=""),"Incomplete","Complete")</f>
        <v>Complete</v>
      </c>
      <c r="I17284" s="48" t="s">
        <v>21649</v>
      </c>
    </row>
    <row r="17285" spans="2:9" ht="15" customHeight="1" x14ac:dyDescent="0.25">
      <c r="B17285" s="55" t="s">
        <v>282</v>
      </c>
      <c r="C17285" s="46">
        <v>2273</v>
      </c>
      <c r="D17285" s="69" t="s">
        <v>29419</v>
      </c>
      <c r="E17285" s="51"/>
      <c r="F17285" s="114" t="str">
        <f>IF(INDEX(I.Facility.P3IDNumber,2273)="","",INDEX(I.Facility.P3IDNumber,2273))</f>
        <v/>
      </c>
      <c r="G17285" s="51"/>
      <c r="H17285" s="46" t="str">
        <f>IF(AND(I.Developer.P3=TRUE,I.Facility.P3FacilityCount&gt;=2273,F17285=""),"Incomplete","Complete")</f>
        <v>Complete</v>
      </c>
      <c r="I17285" s="48" t="s">
        <v>21650</v>
      </c>
    </row>
    <row r="17286" spans="2:9" ht="15" customHeight="1" x14ac:dyDescent="0.25">
      <c r="B17286" s="55" t="s">
        <v>282</v>
      </c>
      <c r="C17286" s="46">
        <v>2274</v>
      </c>
      <c r="D17286" s="69" t="s">
        <v>29419</v>
      </c>
      <c r="E17286" s="51"/>
      <c r="F17286" s="114" t="str">
        <f>IF(INDEX(I.Facility.P3IDNumber,2274)="","",INDEX(I.Facility.P3IDNumber,2274))</f>
        <v/>
      </c>
      <c r="G17286" s="51"/>
      <c r="H17286" s="46" t="str">
        <f>IF(AND(I.Developer.P3=TRUE,I.Facility.P3FacilityCount&gt;=2274,F17286=""),"Incomplete","Complete")</f>
        <v>Complete</v>
      </c>
      <c r="I17286" s="48" t="s">
        <v>21651</v>
      </c>
    </row>
    <row r="17287" spans="2:9" ht="15" customHeight="1" x14ac:dyDescent="0.25">
      <c r="B17287" s="55" t="s">
        <v>282</v>
      </c>
      <c r="C17287" s="46">
        <v>2275</v>
      </c>
      <c r="D17287" s="69" t="s">
        <v>29419</v>
      </c>
      <c r="E17287" s="51"/>
      <c r="F17287" s="114" t="str">
        <f>IF(INDEX(I.Facility.P3IDNumber,2275)="","",INDEX(I.Facility.P3IDNumber,2275))</f>
        <v/>
      </c>
      <c r="G17287" s="51"/>
      <c r="H17287" s="46" t="str">
        <f>IF(AND(I.Developer.P3=TRUE,I.Facility.P3FacilityCount&gt;=2275,F17287=""),"Incomplete","Complete")</f>
        <v>Complete</v>
      </c>
      <c r="I17287" s="48" t="s">
        <v>21652</v>
      </c>
    </row>
    <row r="17288" spans="2:9" ht="15" customHeight="1" x14ac:dyDescent="0.25">
      <c r="B17288" s="55" t="s">
        <v>282</v>
      </c>
      <c r="C17288" s="46">
        <v>2276</v>
      </c>
      <c r="D17288" s="69" t="s">
        <v>29419</v>
      </c>
      <c r="E17288" s="51"/>
      <c r="F17288" s="114" t="str">
        <f>IF(INDEX(I.Facility.P3IDNumber,2276)="","",INDEX(I.Facility.P3IDNumber,2276))</f>
        <v/>
      </c>
      <c r="G17288" s="51"/>
      <c r="H17288" s="46" t="str">
        <f>IF(AND(I.Developer.P3=TRUE,I.Facility.P3FacilityCount&gt;=2276,F17288=""),"Incomplete","Complete")</f>
        <v>Complete</v>
      </c>
      <c r="I17288" s="48" t="s">
        <v>21653</v>
      </c>
    </row>
    <row r="17289" spans="2:9" ht="15" customHeight="1" x14ac:dyDescent="0.25">
      <c r="B17289" s="55" t="s">
        <v>282</v>
      </c>
      <c r="C17289" s="46">
        <v>2277</v>
      </c>
      <c r="D17289" s="69" t="s">
        <v>29419</v>
      </c>
      <c r="E17289" s="51"/>
      <c r="F17289" s="114" t="str">
        <f>IF(INDEX(I.Facility.P3IDNumber,2277)="","",INDEX(I.Facility.P3IDNumber,2277))</f>
        <v/>
      </c>
      <c r="G17289" s="51"/>
      <c r="H17289" s="46" t="str">
        <f>IF(AND(I.Developer.P3=TRUE,I.Facility.P3FacilityCount&gt;=2277,F17289=""),"Incomplete","Complete")</f>
        <v>Complete</v>
      </c>
      <c r="I17289" s="48" t="s">
        <v>21654</v>
      </c>
    </row>
    <row r="17290" spans="2:9" ht="15" customHeight="1" x14ac:dyDescent="0.25">
      <c r="B17290" s="55" t="s">
        <v>282</v>
      </c>
      <c r="C17290" s="46">
        <v>2278</v>
      </c>
      <c r="D17290" s="69" t="s">
        <v>29419</v>
      </c>
      <c r="E17290" s="51"/>
      <c r="F17290" s="114" t="str">
        <f>IF(INDEX(I.Facility.P3IDNumber,2278)="","",INDEX(I.Facility.P3IDNumber,2278))</f>
        <v/>
      </c>
      <c r="G17290" s="51"/>
      <c r="H17290" s="46" t="str">
        <f>IF(AND(I.Developer.P3=TRUE,I.Facility.P3FacilityCount&gt;=2278,F17290=""),"Incomplete","Complete")</f>
        <v>Complete</v>
      </c>
      <c r="I17290" s="48" t="s">
        <v>21655</v>
      </c>
    </row>
    <row r="17291" spans="2:9" ht="15" customHeight="1" x14ac:dyDescent="0.25">
      <c r="B17291" s="55" t="s">
        <v>282</v>
      </c>
      <c r="C17291" s="46">
        <v>2279</v>
      </c>
      <c r="D17291" s="69" t="s">
        <v>29419</v>
      </c>
      <c r="E17291" s="51"/>
      <c r="F17291" s="114" t="str">
        <f>IF(INDEX(I.Facility.P3IDNumber,2279)="","",INDEX(I.Facility.P3IDNumber,2279))</f>
        <v/>
      </c>
      <c r="G17291" s="51"/>
      <c r="H17291" s="46" t="str">
        <f>IF(AND(I.Developer.P3=TRUE,I.Facility.P3FacilityCount&gt;=2279,F17291=""),"Incomplete","Complete")</f>
        <v>Complete</v>
      </c>
      <c r="I17291" s="48" t="s">
        <v>21656</v>
      </c>
    </row>
    <row r="17292" spans="2:9" ht="15" customHeight="1" x14ac:dyDescent="0.25">
      <c r="B17292" s="55" t="s">
        <v>282</v>
      </c>
      <c r="C17292" s="46">
        <v>2280</v>
      </c>
      <c r="D17292" s="69" t="s">
        <v>29419</v>
      </c>
      <c r="E17292" s="51"/>
      <c r="F17292" s="114" t="str">
        <f>IF(INDEX(I.Facility.P3IDNumber,2280)="","",INDEX(I.Facility.P3IDNumber,2280))</f>
        <v/>
      </c>
      <c r="G17292" s="51"/>
      <c r="H17292" s="46" t="str">
        <f>IF(AND(I.Developer.P3=TRUE,I.Facility.P3FacilityCount&gt;=2280,F17292=""),"Incomplete","Complete")</f>
        <v>Complete</v>
      </c>
      <c r="I17292" s="48" t="s">
        <v>21657</v>
      </c>
    </row>
    <row r="17293" spans="2:9" ht="15" customHeight="1" x14ac:dyDescent="0.25">
      <c r="B17293" s="55" t="s">
        <v>282</v>
      </c>
      <c r="C17293" s="46">
        <v>2281</v>
      </c>
      <c r="D17293" s="69" t="s">
        <v>29419</v>
      </c>
      <c r="E17293" s="51"/>
      <c r="F17293" s="114" t="str">
        <f>IF(INDEX(I.Facility.P3IDNumber,2281)="","",INDEX(I.Facility.P3IDNumber,2281))</f>
        <v/>
      </c>
      <c r="G17293" s="51"/>
      <c r="H17293" s="46" t="str">
        <f>IF(AND(I.Developer.P3=TRUE,I.Facility.P3FacilityCount&gt;=2281,F17293=""),"Incomplete","Complete")</f>
        <v>Complete</v>
      </c>
      <c r="I17293" s="48" t="s">
        <v>21658</v>
      </c>
    </row>
    <row r="17294" spans="2:9" ht="15" customHeight="1" x14ac:dyDescent="0.25">
      <c r="B17294" s="55" t="s">
        <v>282</v>
      </c>
      <c r="C17294" s="46">
        <v>2282</v>
      </c>
      <c r="D17294" s="69" t="s">
        <v>29419</v>
      </c>
      <c r="E17294" s="51"/>
      <c r="F17294" s="114" t="str">
        <f>IF(INDEX(I.Facility.P3IDNumber,2282)="","",INDEX(I.Facility.P3IDNumber,2282))</f>
        <v/>
      </c>
      <c r="G17294" s="51"/>
      <c r="H17294" s="46" t="str">
        <f>IF(AND(I.Developer.P3=TRUE,I.Facility.P3FacilityCount&gt;=2282,F17294=""),"Incomplete","Complete")</f>
        <v>Complete</v>
      </c>
      <c r="I17294" s="48" t="s">
        <v>21659</v>
      </c>
    </row>
    <row r="17295" spans="2:9" ht="15" customHeight="1" x14ac:dyDescent="0.25">
      <c r="B17295" s="55" t="s">
        <v>282</v>
      </c>
      <c r="C17295" s="46">
        <v>2283</v>
      </c>
      <c r="D17295" s="69" t="s">
        <v>29419</v>
      </c>
      <c r="E17295" s="51"/>
      <c r="F17295" s="114" t="str">
        <f>IF(INDEX(I.Facility.P3IDNumber,2283)="","",INDEX(I.Facility.P3IDNumber,2283))</f>
        <v/>
      </c>
      <c r="G17295" s="51"/>
      <c r="H17295" s="46" t="str">
        <f>IF(AND(I.Developer.P3=TRUE,I.Facility.P3FacilityCount&gt;=2283,F17295=""),"Incomplete","Complete")</f>
        <v>Complete</v>
      </c>
      <c r="I17295" s="48" t="s">
        <v>21660</v>
      </c>
    </row>
    <row r="17296" spans="2:9" ht="15" customHeight="1" x14ac:dyDescent="0.25">
      <c r="B17296" s="55" t="s">
        <v>282</v>
      </c>
      <c r="C17296" s="46">
        <v>2284</v>
      </c>
      <c r="D17296" s="69" t="s">
        <v>29419</v>
      </c>
      <c r="E17296" s="51"/>
      <c r="F17296" s="114" t="str">
        <f>IF(INDEX(I.Facility.P3IDNumber,2284)="","",INDEX(I.Facility.P3IDNumber,2284))</f>
        <v/>
      </c>
      <c r="G17296" s="51"/>
      <c r="H17296" s="46" t="str">
        <f>IF(AND(I.Developer.P3=TRUE,I.Facility.P3FacilityCount&gt;=2284,F17296=""),"Incomplete","Complete")</f>
        <v>Complete</v>
      </c>
      <c r="I17296" s="48" t="s">
        <v>21661</v>
      </c>
    </row>
    <row r="17297" spans="2:9" ht="15" customHeight="1" x14ac:dyDescent="0.25">
      <c r="B17297" s="55" t="s">
        <v>282</v>
      </c>
      <c r="C17297" s="46">
        <v>2285</v>
      </c>
      <c r="D17297" s="69" t="s">
        <v>29419</v>
      </c>
      <c r="E17297" s="51"/>
      <c r="F17297" s="114" t="str">
        <f>IF(INDEX(I.Facility.P3IDNumber,2285)="","",INDEX(I.Facility.P3IDNumber,2285))</f>
        <v/>
      </c>
      <c r="G17297" s="51"/>
      <c r="H17297" s="46" t="str">
        <f>IF(AND(I.Developer.P3=TRUE,I.Facility.P3FacilityCount&gt;=2285,F17297=""),"Incomplete","Complete")</f>
        <v>Complete</v>
      </c>
      <c r="I17297" s="48" t="s">
        <v>21662</v>
      </c>
    </row>
    <row r="17298" spans="2:9" ht="15" customHeight="1" x14ac:dyDescent="0.25">
      <c r="B17298" s="55" t="s">
        <v>282</v>
      </c>
      <c r="C17298" s="46">
        <v>2286</v>
      </c>
      <c r="D17298" s="69" t="s">
        <v>29419</v>
      </c>
      <c r="E17298" s="51"/>
      <c r="F17298" s="114" t="str">
        <f>IF(INDEX(I.Facility.P3IDNumber,2286)="","",INDEX(I.Facility.P3IDNumber,2286))</f>
        <v/>
      </c>
      <c r="G17298" s="51"/>
      <c r="H17298" s="46" t="str">
        <f>IF(AND(I.Developer.P3=TRUE,I.Facility.P3FacilityCount&gt;=2286,F17298=""),"Incomplete","Complete")</f>
        <v>Complete</v>
      </c>
      <c r="I17298" s="48" t="s">
        <v>21663</v>
      </c>
    </row>
    <row r="17299" spans="2:9" ht="15" customHeight="1" x14ac:dyDescent="0.25">
      <c r="B17299" s="55" t="s">
        <v>282</v>
      </c>
      <c r="C17299" s="46">
        <v>2287</v>
      </c>
      <c r="D17299" s="69" t="s">
        <v>29419</v>
      </c>
      <c r="E17299" s="51"/>
      <c r="F17299" s="114" t="str">
        <f>IF(INDEX(I.Facility.P3IDNumber,2287)="","",INDEX(I.Facility.P3IDNumber,2287))</f>
        <v/>
      </c>
      <c r="G17299" s="51"/>
      <c r="H17299" s="46" t="str">
        <f>IF(AND(I.Developer.P3=TRUE,I.Facility.P3FacilityCount&gt;=2287,F17299=""),"Incomplete","Complete")</f>
        <v>Complete</v>
      </c>
      <c r="I17299" s="48" t="s">
        <v>21664</v>
      </c>
    </row>
    <row r="17300" spans="2:9" ht="15" customHeight="1" x14ac:dyDescent="0.25">
      <c r="B17300" s="55" t="s">
        <v>282</v>
      </c>
      <c r="C17300" s="46">
        <v>2288</v>
      </c>
      <c r="D17300" s="69" t="s">
        <v>29419</v>
      </c>
      <c r="E17300" s="51"/>
      <c r="F17300" s="114" t="str">
        <f>IF(INDEX(I.Facility.P3IDNumber,2288)="","",INDEX(I.Facility.P3IDNumber,2288))</f>
        <v/>
      </c>
      <c r="G17300" s="51"/>
      <c r="H17300" s="46" t="str">
        <f>IF(AND(I.Developer.P3=TRUE,I.Facility.P3FacilityCount&gt;=2288,F17300=""),"Incomplete","Complete")</f>
        <v>Complete</v>
      </c>
      <c r="I17300" s="48" t="s">
        <v>21665</v>
      </c>
    </row>
    <row r="17301" spans="2:9" ht="15" customHeight="1" x14ac:dyDescent="0.25">
      <c r="B17301" s="55" t="s">
        <v>282</v>
      </c>
      <c r="C17301" s="46">
        <v>2289</v>
      </c>
      <c r="D17301" s="69" t="s">
        <v>29419</v>
      </c>
      <c r="E17301" s="51"/>
      <c r="F17301" s="114" t="str">
        <f>IF(INDEX(I.Facility.P3IDNumber,2289)="","",INDEX(I.Facility.P3IDNumber,2289))</f>
        <v/>
      </c>
      <c r="G17301" s="51"/>
      <c r="H17301" s="46" t="str">
        <f>IF(AND(I.Developer.P3=TRUE,I.Facility.P3FacilityCount&gt;=2289,F17301=""),"Incomplete","Complete")</f>
        <v>Complete</v>
      </c>
      <c r="I17301" s="48" t="s">
        <v>21666</v>
      </c>
    </row>
    <row r="17302" spans="2:9" ht="15" customHeight="1" x14ac:dyDescent="0.25">
      <c r="B17302" s="55" t="s">
        <v>282</v>
      </c>
      <c r="C17302" s="46">
        <v>2290</v>
      </c>
      <c r="D17302" s="69" t="s">
        <v>29419</v>
      </c>
      <c r="E17302" s="51"/>
      <c r="F17302" s="114" t="str">
        <f>IF(INDEX(I.Facility.P3IDNumber,2290)="","",INDEX(I.Facility.P3IDNumber,2290))</f>
        <v/>
      </c>
      <c r="G17302" s="51"/>
      <c r="H17302" s="46" t="str">
        <f>IF(AND(I.Developer.P3=TRUE,I.Facility.P3FacilityCount&gt;=2290,F17302=""),"Incomplete","Complete")</f>
        <v>Complete</v>
      </c>
      <c r="I17302" s="48" t="s">
        <v>21667</v>
      </c>
    </row>
    <row r="17303" spans="2:9" ht="15" customHeight="1" x14ac:dyDescent="0.25">
      <c r="B17303" s="55" t="s">
        <v>282</v>
      </c>
      <c r="C17303" s="46">
        <v>2291</v>
      </c>
      <c r="D17303" s="69" t="s">
        <v>29419</v>
      </c>
      <c r="E17303" s="51"/>
      <c r="F17303" s="114" t="str">
        <f>IF(INDEX(I.Facility.P3IDNumber,2291)="","",INDEX(I.Facility.P3IDNumber,2291))</f>
        <v/>
      </c>
      <c r="G17303" s="51"/>
      <c r="H17303" s="46" t="str">
        <f>IF(AND(I.Developer.P3=TRUE,I.Facility.P3FacilityCount&gt;=2291,F17303=""),"Incomplete","Complete")</f>
        <v>Complete</v>
      </c>
      <c r="I17303" s="48" t="s">
        <v>21668</v>
      </c>
    </row>
    <row r="17304" spans="2:9" ht="15" customHeight="1" x14ac:dyDescent="0.25">
      <c r="B17304" s="55" t="s">
        <v>282</v>
      </c>
      <c r="C17304" s="46">
        <v>2292</v>
      </c>
      <c r="D17304" s="69" t="s">
        <v>29419</v>
      </c>
      <c r="E17304" s="51"/>
      <c r="F17304" s="114" t="str">
        <f>IF(INDEX(I.Facility.P3IDNumber,2292)="","",INDEX(I.Facility.P3IDNumber,2292))</f>
        <v/>
      </c>
      <c r="G17304" s="51"/>
      <c r="H17304" s="46" t="str">
        <f>IF(AND(I.Developer.P3=TRUE,I.Facility.P3FacilityCount&gt;=2292,F17304=""),"Incomplete","Complete")</f>
        <v>Complete</v>
      </c>
      <c r="I17304" s="48" t="s">
        <v>21669</v>
      </c>
    </row>
    <row r="17305" spans="2:9" ht="15" customHeight="1" x14ac:dyDescent="0.25">
      <c r="B17305" s="55" t="s">
        <v>282</v>
      </c>
      <c r="C17305" s="46">
        <v>2293</v>
      </c>
      <c r="D17305" s="69" t="s">
        <v>29419</v>
      </c>
      <c r="E17305" s="51"/>
      <c r="F17305" s="114" t="str">
        <f>IF(INDEX(I.Facility.P3IDNumber,2293)="","",INDEX(I.Facility.P3IDNumber,2293))</f>
        <v/>
      </c>
      <c r="G17305" s="51"/>
      <c r="H17305" s="46" t="str">
        <f>IF(AND(I.Developer.P3=TRUE,I.Facility.P3FacilityCount&gt;=2293,F17305=""),"Incomplete","Complete")</f>
        <v>Complete</v>
      </c>
      <c r="I17305" s="48" t="s">
        <v>21670</v>
      </c>
    </row>
    <row r="17306" spans="2:9" ht="15" customHeight="1" x14ac:dyDescent="0.25">
      <c r="B17306" s="55" t="s">
        <v>282</v>
      </c>
      <c r="C17306" s="46">
        <v>2294</v>
      </c>
      <c r="D17306" s="69" t="s">
        <v>29419</v>
      </c>
      <c r="E17306" s="51"/>
      <c r="F17306" s="114" t="str">
        <f>IF(INDEX(I.Facility.P3IDNumber,2294)="","",INDEX(I.Facility.P3IDNumber,2294))</f>
        <v/>
      </c>
      <c r="G17306" s="51"/>
      <c r="H17306" s="46" t="str">
        <f>IF(AND(I.Developer.P3=TRUE,I.Facility.P3FacilityCount&gt;=2294,F17306=""),"Incomplete","Complete")</f>
        <v>Complete</v>
      </c>
      <c r="I17306" s="48" t="s">
        <v>21671</v>
      </c>
    </row>
    <row r="17307" spans="2:9" ht="15" customHeight="1" x14ac:dyDescent="0.25">
      <c r="B17307" s="55" t="s">
        <v>282</v>
      </c>
      <c r="C17307" s="46">
        <v>2295</v>
      </c>
      <c r="D17307" s="69" t="s">
        <v>29419</v>
      </c>
      <c r="E17307" s="51"/>
      <c r="F17307" s="114" t="str">
        <f>IF(INDEX(I.Facility.P3IDNumber,2295)="","",INDEX(I.Facility.P3IDNumber,2295))</f>
        <v/>
      </c>
      <c r="G17307" s="51"/>
      <c r="H17307" s="46" t="str">
        <f>IF(AND(I.Developer.P3=TRUE,I.Facility.P3FacilityCount&gt;=2295,F17307=""),"Incomplete","Complete")</f>
        <v>Complete</v>
      </c>
      <c r="I17307" s="48" t="s">
        <v>21672</v>
      </c>
    </row>
    <row r="17308" spans="2:9" ht="15" customHeight="1" x14ac:dyDescent="0.25">
      <c r="B17308" s="55" t="s">
        <v>282</v>
      </c>
      <c r="C17308" s="46">
        <v>2296</v>
      </c>
      <c r="D17308" s="69" t="s">
        <v>29419</v>
      </c>
      <c r="E17308" s="51"/>
      <c r="F17308" s="114" t="str">
        <f>IF(INDEX(I.Facility.P3IDNumber,2296)="","",INDEX(I.Facility.P3IDNumber,2296))</f>
        <v/>
      </c>
      <c r="G17308" s="51"/>
      <c r="H17308" s="46" t="str">
        <f>IF(AND(I.Developer.P3=TRUE,I.Facility.P3FacilityCount&gt;=2296,F17308=""),"Incomplete","Complete")</f>
        <v>Complete</v>
      </c>
      <c r="I17308" s="48" t="s">
        <v>21673</v>
      </c>
    </row>
    <row r="17309" spans="2:9" ht="15" customHeight="1" x14ac:dyDescent="0.25">
      <c r="B17309" s="55" t="s">
        <v>282</v>
      </c>
      <c r="C17309" s="46">
        <v>2297</v>
      </c>
      <c r="D17309" s="69" t="s">
        <v>29419</v>
      </c>
      <c r="E17309" s="51"/>
      <c r="F17309" s="114" t="str">
        <f>IF(INDEX(I.Facility.P3IDNumber,2297)="","",INDEX(I.Facility.P3IDNumber,2297))</f>
        <v/>
      </c>
      <c r="G17309" s="51"/>
      <c r="H17309" s="46" t="str">
        <f>IF(AND(I.Developer.P3=TRUE,I.Facility.P3FacilityCount&gt;=2297,F17309=""),"Incomplete","Complete")</f>
        <v>Complete</v>
      </c>
      <c r="I17309" s="48" t="s">
        <v>21674</v>
      </c>
    </row>
    <row r="17310" spans="2:9" ht="15" customHeight="1" x14ac:dyDescent="0.25">
      <c r="B17310" s="55" t="s">
        <v>282</v>
      </c>
      <c r="C17310" s="46">
        <v>2298</v>
      </c>
      <c r="D17310" s="69" t="s">
        <v>29419</v>
      </c>
      <c r="E17310" s="51"/>
      <c r="F17310" s="114" t="str">
        <f>IF(INDEX(I.Facility.P3IDNumber,2298)="","",INDEX(I.Facility.P3IDNumber,2298))</f>
        <v/>
      </c>
      <c r="G17310" s="51"/>
      <c r="H17310" s="46" t="str">
        <f>IF(AND(I.Developer.P3=TRUE,I.Facility.P3FacilityCount&gt;=2298,F17310=""),"Incomplete","Complete")</f>
        <v>Complete</v>
      </c>
      <c r="I17310" s="48" t="s">
        <v>21675</v>
      </c>
    </row>
    <row r="17311" spans="2:9" ht="15" customHeight="1" x14ac:dyDescent="0.25">
      <c r="B17311" s="55" t="s">
        <v>282</v>
      </c>
      <c r="C17311" s="46">
        <v>2299</v>
      </c>
      <c r="D17311" s="69" t="s">
        <v>29419</v>
      </c>
      <c r="E17311" s="51"/>
      <c r="F17311" s="114" t="str">
        <f>IF(INDEX(I.Facility.P3IDNumber,2299)="","",INDEX(I.Facility.P3IDNumber,2299))</f>
        <v/>
      </c>
      <c r="G17311" s="51"/>
      <c r="H17311" s="46" t="str">
        <f>IF(AND(I.Developer.P3=TRUE,I.Facility.P3FacilityCount&gt;=2299,F17311=""),"Incomplete","Complete")</f>
        <v>Complete</v>
      </c>
      <c r="I17311" s="48" t="s">
        <v>21676</v>
      </c>
    </row>
    <row r="17312" spans="2:9" ht="15" customHeight="1" x14ac:dyDescent="0.25">
      <c r="B17312" s="55" t="s">
        <v>282</v>
      </c>
      <c r="C17312" s="46">
        <v>2300</v>
      </c>
      <c r="D17312" s="69" t="s">
        <v>29419</v>
      </c>
      <c r="E17312" s="51"/>
      <c r="F17312" s="114" t="str">
        <f>IF(INDEX(I.Facility.P3IDNumber,2300)="","",INDEX(I.Facility.P3IDNumber,2300))</f>
        <v/>
      </c>
      <c r="G17312" s="51"/>
      <c r="H17312" s="46" t="str">
        <f>IF(AND(I.Developer.P3=TRUE,I.Facility.P3FacilityCount&gt;=2300,F17312=""),"Incomplete","Complete")</f>
        <v>Complete</v>
      </c>
      <c r="I17312" s="48" t="s">
        <v>21677</v>
      </c>
    </row>
    <row r="17313" spans="2:9" ht="15" customHeight="1" x14ac:dyDescent="0.25">
      <c r="B17313" s="55" t="s">
        <v>282</v>
      </c>
      <c r="C17313" s="46">
        <v>2301</v>
      </c>
      <c r="D17313" s="69" t="s">
        <v>29419</v>
      </c>
      <c r="E17313" s="51"/>
      <c r="F17313" s="114" t="str">
        <f>IF(INDEX(I.Facility.P3IDNumber,2301)="","",INDEX(I.Facility.P3IDNumber,2301))</f>
        <v/>
      </c>
      <c r="G17313" s="51"/>
      <c r="H17313" s="46" t="str">
        <f>IF(AND(I.Developer.P3=TRUE,I.Facility.P3FacilityCount&gt;=2301,F17313=""),"Incomplete","Complete")</f>
        <v>Complete</v>
      </c>
      <c r="I17313" s="48" t="s">
        <v>21678</v>
      </c>
    </row>
    <row r="17314" spans="2:9" ht="15" customHeight="1" x14ac:dyDescent="0.25">
      <c r="B17314" s="55" t="s">
        <v>282</v>
      </c>
      <c r="C17314" s="46">
        <v>2302</v>
      </c>
      <c r="D17314" s="69" t="s">
        <v>29419</v>
      </c>
      <c r="E17314" s="51"/>
      <c r="F17314" s="114" t="str">
        <f>IF(INDEX(I.Facility.P3IDNumber,2302)="","",INDEX(I.Facility.P3IDNumber,2302))</f>
        <v/>
      </c>
      <c r="G17314" s="51"/>
      <c r="H17314" s="46" t="str">
        <f>IF(AND(I.Developer.P3=TRUE,I.Facility.P3FacilityCount&gt;=2302,F17314=""),"Incomplete","Complete")</f>
        <v>Complete</v>
      </c>
      <c r="I17314" s="48" t="s">
        <v>21679</v>
      </c>
    </row>
    <row r="17315" spans="2:9" ht="15" customHeight="1" x14ac:dyDescent="0.25">
      <c r="B17315" s="55" t="s">
        <v>282</v>
      </c>
      <c r="C17315" s="46">
        <v>2303</v>
      </c>
      <c r="D17315" s="69" t="s">
        <v>29419</v>
      </c>
      <c r="E17315" s="51"/>
      <c r="F17315" s="114" t="str">
        <f>IF(INDEX(I.Facility.P3IDNumber,2303)="","",INDEX(I.Facility.P3IDNumber,2303))</f>
        <v/>
      </c>
      <c r="G17315" s="51"/>
      <c r="H17315" s="46" t="str">
        <f>IF(AND(I.Developer.P3=TRUE,I.Facility.P3FacilityCount&gt;=2303,F17315=""),"Incomplete","Complete")</f>
        <v>Complete</v>
      </c>
      <c r="I17315" s="48" t="s">
        <v>21680</v>
      </c>
    </row>
    <row r="17316" spans="2:9" ht="15" customHeight="1" x14ac:dyDescent="0.25">
      <c r="B17316" s="55" t="s">
        <v>282</v>
      </c>
      <c r="C17316" s="46">
        <v>2304</v>
      </c>
      <c r="D17316" s="69" t="s">
        <v>29419</v>
      </c>
      <c r="E17316" s="51"/>
      <c r="F17316" s="114" t="str">
        <f>IF(INDEX(I.Facility.P3IDNumber,2304)="","",INDEX(I.Facility.P3IDNumber,2304))</f>
        <v/>
      </c>
      <c r="G17316" s="51"/>
      <c r="H17316" s="46" t="str">
        <f>IF(AND(I.Developer.P3=TRUE,I.Facility.P3FacilityCount&gt;=2304,F17316=""),"Incomplete","Complete")</f>
        <v>Complete</v>
      </c>
      <c r="I17316" s="48" t="s">
        <v>21681</v>
      </c>
    </row>
    <row r="17317" spans="2:9" ht="15" customHeight="1" x14ac:dyDescent="0.25">
      <c r="B17317" s="55" t="s">
        <v>282</v>
      </c>
      <c r="C17317" s="46">
        <v>2305</v>
      </c>
      <c r="D17317" s="69" t="s">
        <v>29419</v>
      </c>
      <c r="E17317" s="51"/>
      <c r="F17317" s="114" t="str">
        <f>IF(INDEX(I.Facility.P3IDNumber,2305)="","",INDEX(I.Facility.P3IDNumber,2305))</f>
        <v/>
      </c>
      <c r="G17317" s="51"/>
      <c r="H17317" s="46" t="str">
        <f>IF(AND(I.Developer.P3=TRUE,I.Facility.P3FacilityCount&gt;=2305,F17317=""),"Incomplete","Complete")</f>
        <v>Complete</v>
      </c>
      <c r="I17317" s="48" t="s">
        <v>21682</v>
      </c>
    </row>
    <row r="17318" spans="2:9" ht="15" customHeight="1" x14ac:dyDescent="0.25">
      <c r="B17318" s="55" t="s">
        <v>282</v>
      </c>
      <c r="C17318" s="46">
        <v>2306</v>
      </c>
      <c r="D17318" s="69" t="s">
        <v>29419</v>
      </c>
      <c r="E17318" s="51"/>
      <c r="F17318" s="114" t="str">
        <f>IF(INDEX(I.Facility.P3IDNumber,2306)="","",INDEX(I.Facility.P3IDNumber,2306))</f>
        <v/>
      </c>
      <c r="G17318" s="51"/>
      <c r="H17318" s="46" t="str">
        <f>IF(AND(I.Developer.P3=TRUE,I.Facility.P3FacilityCount&gt;=2306,F17318=""),"Incomplete","Complete")</f>
        <v>Complete</v>
      </c>
      <c r="I17318" s="48" t="s">
        <v>21683</v>
      </c>
    </row>
    <row r="17319" spans="2:9" ht="15" customHeight="1" x14ac:dyDescent="0.25">
      <c r="B17319" s="55" t="s">
        <v>282</v>
      </c>
      <c r="C17319" s="46">
        <v>2307</v>
      </c>
      <c r="D17319" s="69" t="s">
        <v>29419</v>
      </c>
      <c r="E17319" s="51"/>
      <c r="F17319" s="114" t="str">
        <f>IF(INDEX(I.Facility.P3IDNumber,2307)="","",INDEX(I.Facility.P3IDNumber,2307))</f>
        <v/>
      </c>
      <c r="G17319" s="51"/>
      <c r="H17319" s="46" t="str">
        <f>IF(AND(I.Developer.P3=TRUE,I.Facility.P3FacilityCount&gt;=2307,F17319=""),"Incomplete","Complete")</f>
        <v>Complete</v>
      </c>
      <c r="I17319" s="48" t="s">
        <v>21684</v>
      </c>
    </row>
    <row r="17320" spans="2:9" ht="15" customHeight="1" x14ac:dyDescent="0.25">
      <c r="B17320" s="55" t="s">
        <v>282</v>
      </c>
      <c r="C17320" s="46">
        <v>2308</v>
      </c>
      <c r="D17320" s="69" t="s">
        <v>29419</v>
      </c>
      <c r="E17320" s="51"/>
      <c r="F17320" s="114" t="str">
        <f>IF(INDEX(I.Facility.P3IDNumber,2308)="","",INDEX(I.Facility.P3IDNumber,2308))</f>
        <v/>
      </c>
      <c r="G17320" s="51"/>
      <c r="H17320" s="46" t="str">
        <f>IF(AND(I.Developer.P3=TRUE,I.Facility.P3FacilityCount&gt;=2308,F17320=""),"Incomplete","Complete")</f>
        <v>Complete</v>
      </c>
      <c r="I17320" s="48" t="s">
        <v>21685</v>
      </c>
    </row>
    <row r="17321" spans="2:9" ht="15" customHeight="1" x14ac:dyDescent="0.25">
      <c r="B17321" s="55" t="s">
        <v>282</v>
      </c>
      <c r="C17321" s="46">
        <v>2309</v>
      </c>
      <c r="D17321" s="69" t="s">
        <v>29419</v>
      </c>
      <c r="E17321" s="51"/>
      <c r="F17321" s="114" t="str">
        <f>IF(INDEX(I.Facility.P3IDNumber,2309)="","",INDEX(I.Facility.P3IDNumber,2309))</f>
        <v/>
      </c>
      <c r="G17321" s="51"/>
      <c r="H17321" s="46" t="str">
        <f>IF(AND(I.Developer.P3=TRUE,I.Facility.P3FacilityCount&gt;=2309,F17321=""),"Incomplete","Complete")</f>
        <v>Complete</v>
      </c>
      <c r="I17321" s="48" t="s">
        <v>21686</v>
      </c>
    </row>
    <row r="17322" spans="2:9" ht="15" customHeight="1" x14ac:dyDescent="0.25">
      <c r="B17322" s="55" t="s">
        <v>282</v>
      </c>
      <c r="C17322" s="46">
        <v>2310</v>
      </c>
      <c r="D17322" s="69" t="s">
        <v>29419</v>
      </c>
      <c r="E17322" s="51"/>
      <c r="F17322" s="114" t="str">
        <f>IF(INDEX(I.Facility.P3IDNumber,2310)="","",INDEX(I.Facility.P3IDNumber,2310))</f>
        <v/>
      </c>
      <c r="G17322" s="51"/>
      <c r="H17322" s="46" t="str">
        <f>IF(AND(I.Developer.P3=TRUE,I.Facility.P3FacilityCount&gt;=2310,F17322=""),"Incomplete","Complete")</f>
        <v>Complete</v>
      </c>
      <c r="I17322" s="48" t="s">
        <v>21687</v>
      </c>
    </row>
    <row r="17323" spans="2:9" ht="15" customHeight="1" x14ac:dyDescent="0.25">
      <c r="B17323" s="55" t="s">
        <v>282</v>
      </c>
      <c r="C17323" s="46">
        <v>2311</v>
      </c>
      <c r="D17323" s="69" t="s">
        <v>29419</v>
      </c>
      <c r="E17323" s="51"/>
      <c r="F17323" s="114" t="str">
        <f>IF(INDEX(I.Facility.P3IDNumber,2311)="","",INDEX(I.Facility.P3IDNumber,2311))</f>
        <v/>
      </c>
      <c r="G17323" s="51"/>
      <c r="H17323" s="46" t="str">
        <f>IF(AND(I.Developer.P3=TRUE,I.Facility.P3FacilityCount&gt;=2311,F17323=""),"Incomplete","Complete")</f>
        <v>Complete</v>
      </c>
      <c r="I17323" s="48" t="s">
        <v>21688</v>
      </c>
    </row>
    <row r="17324" spans="2:9" ht="15" customHeight="1" x14ac:dyDescent="0.25">
      <c r="B17324" s="55" t="s">
        <v>282</v>
      </c>
      <c r="C17324" s="46">
        <v>2312</v>
      </c>
      <c r="D17324" s="69" t="s">
        <v>29419</v>
      </c>
      <c r="E17324" s="51"/>
      <c r="F17324" s="114" t="str">
        <f>IF(INDEX(I.Facility.P3IDNumber,2312)="","",INDEX(I.Facility.P3IDNumber,2312))</f>
        <v/>
      </c>
      <c r="G17324" s="51"/>
      <c r="H17324" s="46" t="str">
        <f>IF(AND(I.Developer.P3=TRUE,I.Facility.P3FacilityCount&gt;=2312,F17324=""),"Incomplete","Complete")</f>
        <v>Complete</v>
      </c>
      <c r="I17324" s="48" t="s">
        <v>21689</v>
      </c>
    </row>
    <row r="17325" spans="2:9" ht="15" customHeight="1" x14ac:dyDescent="0.25">
      <c r="B17325" s="55" t="s">
        <v>282</v>
      </c>
      <c r="C17325" s="46">
        <v>2313</v>
      </c>
      <c r="D17325" s="69" t="s">
        <v>29419</v>
      </c>
      <c r="E17325" s="51"/>
      <c r="F17325" s="114" t="str">
        <f>IF(INDEX(I.Facility.P3IDNumber,2313)="","",INDEX(I.Facility.P3IDNumber,2313))</f>
        <v/>
      </c>
      <c r="G17325" s="51"/>
      <c r="H17325" s="46" t="str">
        <f>IF(AND(I.Developer.P3=TRUE,I.Facility.P3FacilityCount&gt;=2313,F17325=""),"Incomplete","Complete")</f>
        <v>Complete</v>
      </c>
      <c r="I17325" s="48" t="s">
        <v>21690</v>
      </c>
    </row>
    <row r="17326" spans="2:9" ht="15" customHeight="1" x14ac:dyDescent="0.25">
      <c r="B17326" s="55" t="s">
        <v>282</v>
      </c>
      <c r="C17326" s="46">
        <v>2314</v>
      </c>
      <c r="D17326" s="69" t="s">
        <v>29419</v>
      </c>
      <c r="E17326" s="51"/>
      <c r="F17326" s="114" t="str">
        <f>IF(INDEX(I.Facility.P3IDNumber,2314)="","",INDEX(I.Facility.P3IDNumber,2314))</f>
        <v/>
      </c>
      <c r="G17326" s="51"/>
      <c r="H17326" s="46" t="str">
        <f>IF(AND(I.Developer.P3=TRUE,I.Facility.P3FacilityCount&gt;=2314,F17326=""),"Incomplete","Complete")</f>
        <v>Complete</v>
      </c>
      <c r="I17326" s="48" t="s">
        <v>21691</v>
      </c>
    </row>
    <row r="17327" spans="2:9" ht="15" customHeight="1" x14ac:dyDescent="0.25">
      <c r="B17327" s="55" t="s">
        <v>282</v>
      </c>
      <c r="C17327" s="46">
        <v>2315</v>
      </c>
      <c r="D17327" s="69" t="s">
        <v>29419</v>
      </c>
      <c r="E17327" s="51"/>
      <c r="F17327" s="114" t="str">
        <f>IF(INDEX(I.Facility.P3IDNumber,2315)="","",INDEX(I.Facility.P3IDNumber,2315))</f>
        <v/>
      </c>
      <c r="G17327" s="51"/>
      <c r="H17327" s="46" t="str">
        <f>IF(AND(I.Developer.P3=TRUE,I.Facility.P3FacilityCount&gt;=2315,F17327=""),"Incomplete","Complete")</f>
        <v>Complete</v>
      </c>
      <c r="I17327" s="48" t="s">
        <v>21692</v>
      </c>
    </row>
    <row r="17328" spans="2:9" ht="15" customHeight="1" x14ac:dyDescent="0.25">
      <c r="B17328" s="55" t="s">
        <v>282</v>
      </c>
      <c r="C17328" s="46">
        <v>2316</v>
      </c>
      <c r="D17328" s="69" t="s">
        <v>29419</v>
      </c>
      <c r="E17328" s="51"/>
      <c r="F17328" s="114" t="str">
        <f>IF(INDEX(I.Facility.P3IDNumber,2316)="","",INDEX(I.Facility.P3IDNumber,2316))</f>
        <v/>
      </c>
      <c r="G17328" s="51"/>
      <c r="H17328" s="46" t="str">
        <f>IF(AND(I.Developer.P3=TRUE,I.Facility.P3FacilityCount&gt;=2316,F17328=""),"Incomplete","Complete")</f>
        <v>Complete</v>
      </c>
      <c r="I17328" s="48" t="s">
        <v>21693</v>
      </c>
    </row>
    <row r="17329" spans="2:9" ht="15" customHeight="1" x14ac:dyDescent="0.25">
      <c r="B17329" s="55" t="s">
        <v>282</v>
      </c>
      <c r="C17329" s="46">
        <v>2317</v>
      </c>
      <c r="D17329" s="69" t="s">
        <v>29419</v>
      </c>
      <c r="E17329" s="51"/>
      <c r="F17329" s="114" t="str">
        <f>IF(INDEX(I.Facility.P3IDNumber,2317)="","",INDEX(I.Facility.P3IDNumber,2317))</f>
        <v/>
      </c>
      <c r="G17329" s="51"/>
      <c r="H17329" s="46" t="str">
        <f>IF(AND(I.Developer.P3=TRUE,I.Facility.P3FacilityCount&gt;=2317,F17329=""),"Incomplete","Complete")</f>
        <v>Complete</v>
      </c>
      <c r="I17329" s="48" t="s">
        <v>21694</v>
      </c>
    </row>
    <row r="17330" spans="2:9" ht="15" customHeight="1" x14ac:dyDescent="0.25">
      <c r="B17330" s="55" t="s">
        <v>282</v>
      </c>
      <c r="C17330" s="46">
        <v>2318</v>
      </c>
      <c r="D17330" s="69" t="s">
        <v>29419</v>
      </c>
      <c r="E17330" s="51"/>
      <c r="F17330" s="114" t="str">
        <f>IF(INDEX(I.Facility.P3IDNumber,2318)="","",INDEX(I.Facility.P3IDNumber,2318))</f>
        <v/>
      </c>
      <c r="G17330" s="51"/>
      <c r="H17330" s="46" t="str">
        <f>IF(AND(I.Developer.P3=TRUE,I.Facility.P3FacilityCount&gt;=2318,F17330=""),"Incomplete","Complete")</f>
        <v>Complete</v>
      </c>
      <c r="I17330" s="48" t="s">
        <v>21695</v>
      </c>
    </row>
    <row r="17331" spans="2:9" ht="15" customHeight="1" x14ac:dyDescent="0.25">
      <c r="B17331" s="55" t="s">
        <v>282</v>
      </c>
      <c r="C17331" s="46">
        <v>2319</v>
      </c>
      <c r="D17331" s="69" t="s">
        <v>29419</v>
      </c>
      <c r="E17331" s="51"/>
      <c r="F17331" s="114" t="str">
        <f>IF(INDEX(I.Facility.P3IDNumber,2319)="","",INDEX(I.Facility.P3IDNumber,2319))</f>
        <v/>
      </c>
      <c r="G17331" s="51"/>
      <c r="H17331" s="46" t="str">
        <f>IF(AND(I.Developer.P3=TRUE,I.Facility.P3FacilityCount&gt;=2319,F17331=""),"Incomplete","Complete")</f>
        <v>Complete</v>
      </c>
      <c r="I17331" s="48" t="s">
        <v>21696</v>
      </c>
    </row>
    <row r="17332" spans="2:9" ht="15" customHeight="1" x14ac:dyDescent="0.25">
      <c r="B17332" s="55" t="s">
        <v>282</v>
      </c>
      <c r="C17332" s="46">
        <v>2320</v>
      </c>
      <c r="D17332" s="69" t="s">
        <v>29419</v>
      </c>
      <c r="E17332" s="51"/>
      <c r="F17332" s="114" t="str">
        <f>IF(INDEX(I.Facility.P3IDNumber,2320)="","",INDEX(I.Facility.P3IDNumber,2320))</f>
        <v/>
      </c>
      <c r="G17332" s="51"/>
      <c r="H17332" s="46" t="str">
        <f>IF(AND(I.Developer.P3=TRUE,I.Facility.P3FacilityCount&gt;=2320,F17332=""),"Incomplete","Complete")</f>
        <v>Complete</v>
      </c>
      <c r="I17332" s="48" t="s">
        <v>21697</v>
      </c>
    </row>
    <row r="17333" spans="2:9" ht="15" customHeight="1" x14ac:dyDescent="0.25">
      <c r="B17333" s="55" t="s">
        <v>282</v>
      </c>
      <c r="C17333" s="46">
        <v>2321</v>
      </c>
      <c r="D17333" s="69" t="s">
        <v>29419</v>
      </c>
      <c r="E17333" s="51"/>
      <c r="F17333" s="114" t="str">
        <f>IF(INDEX(I.Facility.P3IDNumber,2321)="","",INDEX(I.Facility.P3IDNumber,2321))</f>
        <v/>
      </c>
      <c r="G17333" s="51"/>
      <c r="H17333" s="46" t="str">
        <f>IF(AND(I.Developer.P3=TRUE,I.Facility.P3FacilityCount&gt;=2321,F17333=""),"Incomplete","Complete")</f>
        <v>Complete</v>
      </c>
      <c r="I17333" s="48" t="s">
        <v>21698</v>
      </c>
    </row>
    <row r="17334" spans="2:9" ht="15" customHeight="1" x14ac:dyDescent="0.25">
      <c r="B17334" s="55" t="s">
        <v>282</v>
      </c>
      <c r="C17334" s="46">
        <v>2322</v>
      </c>
      <c r="D17334" s="69" t="s">
        <v>29419</v>
      </c>
      <c r="E17334" s="51"/>
      <c r="F17334" s="114" t="str">
        <f>IF(INDEX(I.Facility.P3IDNumber,2322)="","",INDEX(I.Facility.P3IDNumber,2322))</f>
        <v/>
      </c>
      <c r="G17334" s="51"/>
      <c r="H17334" s="46" t="str">
        <f>IF(AND(I.Developer.P3=TRUE,I.Facility.P3FacilityCount&gt;=2322,F17334=""),"Incomplete","Complete")</f>
        <v>Complete</v>
      </c>
      <c r="I17334" s="48" t="s">
        <v>21699</v>
      </c>
    </row>
    <row r="17335" spans="2:9" ht="15" customHeight="1" x14ac:dyDescent="0.25">
      <c r="B17335" s="55" t="s">
        <v>282</v>
      </c>
      <c r="C17335" s="46">
        <v>2323</v>
      </c>
      <c r="D17335" s="69" t="s">
        <v>29419</v>
      </c>
      <c r="E17335" s="51"/>
      <c r="F17335" s="114" t="str">
        <f>IF(INDEX(I.Facility.P3IDNumber,2323)="","",INDEX(I.Facility.P3IDNumber,2323))</f>
        <v/>
      </c>
      <c r="G17335" s="51"/>
      <c r="H17335" s="46" t="str">
        <f>IF(AND(I.Developer.P3=TRUE,I.Facility.P3FacilityCount&gt;=2323,F17335=""),"Incomplete","Complete")</f>
        <v>Complete</v>
      </c>
      <c r="I17335" s="48" t="s">
        <v>21700</v>
      </c>
    </row>
    <row r="17336" spans="2:9" ht="15" customHeight="1" x14ac:dyDescent="0.25">
      <c r="B17336" s="55" t="s">
        <v>282</v>
      </c>
      <c r="C17336" s="46">
        <v>2324</v>
      </c>
      <c r="D17336" s="69" t="s">
        <v>29419</v>
      </c>
      <c r="E17336" s="51"/>
      <c r="F17336" s="114" t="str">
        <f>IF(INDEX(I.Facility.P3IDNumber,2324)="","",INDEX(I.Facility.P3IDNumber,2324))</f>
        <v/>
      </c>
      <c r="G17336" s="51"/>
      <c r="H17336" s="46" t="str">
        <f>IF(AND(I.Developer.P3=TRUE,I.Facility.P3FacilityCount&gt;=2324,F17336=""),"Incomplete","Complete")</f>
        <v>Complete</v>
      </c>
      <c r="I17336" s="48" t="s">
        <v>21701</v>
      </c>
    </row>
    <row r="17337" spans="2:9" ht="15" customHeight="1" x14ac:dyDescent="0.25">
      <c r="B17337" s="55" t="s">
        <v>282</v>
      </c>
      <c r="C17337" s="46">
        <v>2325</v>
      </c>
      <c r="D17337" s="69" t="s">
        <v>29419</v>
      </c>
      <c r="E17337" s="51"/>
      <c r="F17337" s="114" t="str">
        <f>IF(INDEX(I.Facility.P3IDNumber,2325)="","",INDEX(I.Facility.P3IDNumber,2325))</f>
        <v/>
      </c>
      <c r="G17337" s="51"/>
      <c r="H17337" s="46" t="str">
        <f>IF(AND(I.Developer.P3=TRUE,I.Facility.P3FacilityCount&gt;=2325,F17337=""),"Incomplete","Complete")</f>
        <v>Complete</v>
      </c>
      <c r="I17337" s="48" t="s">
        <v>21702</v>
      </c>
    </row>
    <row r="17338" spans="2:9" ht="15" customHeight="1" x14ac:dyDescent="0.25">
      <c r="B17338" s="55" t="s">
        <v>282</v>
      </c>
      <c r="C17338" s="46">
        <v>2326</v>
      </c>
      <c r="D17338" s="69" t="s">
        <v>29419</v>
      </c>
      <c r="E17338" s="51"/>
      <c r="F17338" s="114" t="str">
        <f>IF(INDEX(I.Facility.P3IDNumber,2326)="","",INDEX(I.Facility.P3IDNumber,2326))</f>
        <v/>
      </c>
      <c r="G17338" s="51"/>
      <c r="H17338" s="46" t="str">
        <f>IF(AND(I.Developer.P3=TRUE,I.Facility.P3FacilityCount&gt;=2326,F17338=""),"Incomplete","Complete")</f>
        <v>Complete</v>
      </c>
      <c r="I17338" s="48" t="s">
        <v>21703</v>
      </c>
    </row>
    <row r="17339" spans="2:9" ht="15" customHeight="1" x14ac:dyDescent="0.25">
      <c r="B17339" s="55" t="s">
        <v>282</v>
      </c>
      <c r="C17339" s="46">
        <v>2327</v>
      </c>
      <c r="D17339" s="69" t="s">
        <v>29419</v>
      </c>
      <c r="E17339" s="51"/>
      <c r="F17339" s="114" t="str">
        <f>IF(INDEX(I.Facility.P3IDNumber,2327)="","",INDEX(I.Facility.P3IDNumber,2327))</f>
        <v/>
      </c>
      <c r="G17339" s="51"/>
      <c r="H17339" s="46" t="str">
        <f>IF(AND(I.Developer.P3=TRUE,I.Facility.P3FacilityCount&gt;=2327,F17339=""),"Incomplete","Complete")</f>
        <v>Complete</v>
      </c>
      <c r="I17339" s="48" t="s">
        <v>21704</v>
      </c>
    </row>
    <row r="17340" spans="2:9" ht="15" customHeight="1" x14ac:dyDescent="0.25">
      <c r="B17340" s="55" t="s">
        <v>282</v>
      </c>
      <c r="C17340" s="46">
        <v>2328</v>
      </c>
      <c r="D17340" s="69" t="s">
        <v>29419</v>
      </c>
      <c r="E17340" s="51"/>
      <c r="F17340" s="114" t="str">
        <f>IF(INDEX(I.Facility.P3IDNumber,2328)="","",INDEX(I.Facility.P3IDNumber,2328))</f>
        <v/>
      </c>
      <c r="G17340" s="51"/>
      <c r="H17340" s="46" t="str">
        <f>IF(AND(I.Developer.P3=TRUE,I.Facility.P3FacilityCount&gt;=2328,F17340=""),"Incomplete","Complete")</f>
        <v>Complete</v>
      </c>
      <c r="I17340" s="48" t="s">
        <v>21705</v>
      </c>
    </row>
    <row r="17341" spans="2:9" ht="15" customHeight="1" x14ac:dyDescent="0.25">
      <c r="B17341" s="55" t="s">
        <v>282</v>
      </c>
      <c r="C17341" s="46">
        <v>2329</v>
      </c>
      <c r="D17341" s="69" t="s">
        <v>29419</v>
      </c>
      <c r="E17341" s="51"/>
      <c r="F17341" s="114" t="str">
        <f>IF(INDEX(I.Facility.P3IDNumber,2329)="","",INDEX(I.Facility.P3IDNumber,2329))</f>
        <v/>
      </c>
      <c r="G17341" s="51"/>
      <c r="H17341" s="46" t="str">
        <f>IF(AND(I.Developer.P3=TRUE,I.Facility.P3FacilityCount&gt;=2329,F17341=""),"Incomplete","Complete")</f>
        <v>Complete</v>
      </c>
      <c r="I17341" s="48" t="s">
        <v>21706</v>
      </c>
    </row>
    <row r="17342" spans="2:9" ht="15" customHeight="1" x14ac:dyDescent="0.25">
      <c r="B17342" s="55" t="s">
        <v>282</v>
      </c>
      <c r="C17342" s="46">
        <v>2330</v>
      </c>
      <c r="D17342" s="69" t="s">
        <v>29419</v>
      </c>
      <c r="E17342" s="51"/>
      <c r="F17342" s="114" t="str">
        <f>IF(INDEX(I.Facility.P3IDNumber,2330)="","",INDEX(I.Facility.P3IDNumber,2330))</f>
        <v/>
      </c>
      <c r="G17342" s="51"/>
      <c r="H17342" s="46" t="str">
        <f>IF(AND(I.Developer.P3=TRUE,I.Facility.P3FacilityCount&gt;=2330,F17342=""),"Incomplete","Complete")</f>
        <v>Complete</v>
      </c>
      <c r="I17342" s="48" t="s">
        <v>21707</v>
      </c>
    </row>
    <row r="17343" spans="2:9" ht="15" customHeight="1" x14ac:dyDescent="0.25">
      <c r="B17343" s="55" t="s">
        <v>282</v>
      </c>
      <c r="C17343" s="46">
        <v>2331</v>
      </c>
      <c r="D17343" s="69" t="s">
        <v>29419</v>
      </c>
      <c r="E17343" s="51"/>
      <c r="F17343" s="114" t="str">
        <f>IF(INDEX(I.Facility.P3IDNumber,2331)="","",INDEX(I.Facility.P3IDNumber,2331))</f>
        <v/>
      </c>
      <c r="G17343" s="51"/>
      <c r="H17343" s="46" t="str">
        <f>IF(AND(I.Developer.P3=TRUE,I.Facility.P3FacilityCount&gt;=2331,F17343=""),"Incomplete","Complete")</f>
        <v>Complete</v>
      </c>
      <c r="I17343" s="48" t="s">
        <v>21708</v>
      </c>
    </row>
    <row r="17344" spans="2:9" ht="15" customHeight="1" x14ac:dyDescent="0.25">
      <c r="B17344" s="55" t="s">
        <v>282</v>
      </c>
      <c r="C17344" s="46">
        <v>2332</v>
      </c>
      <c r="D17344" s="69" t="s">
        <v>29419</v>
      </c>
      <c r="E17344" s="51"/>
      <c r="F17344" s="114" t="str">
        <f>IF(INDEX(I.Facility.P3IDNumber,2332)="","",INDEX(I.Facility.P3IDNumber,2332))</f>
        <v/>
      </c>
      <c r="G17344" s="51"/>
      <c r="H17344" s="46" t="str">
        <f>IF(AND(I.Developer.P3=TRUE,I.Facility.P3FacilityCount&gt;=2332,F17344=""),"Incomplete","Complete")</f>
        <v>Complete</v>
      </c>
      <c r="I17344" s="48" t="s">
        <v>21709</v>
      </c>
    </row>
    <row r="17345" spans="2:9" ht="15" customHeight="1" x14ac:dyDescent="0.25">
      <c r="B17345" s="55" t="s">
        <v>282</v>
      </c>
      <c r="C17345" s="46">
        <v>2333</v>
      </c>
      <c r="D17345" s="69" t="s">
        <v>29419</v>
      </c>
      <c r="E17345" s="51"/>
      <c r="F17345" s="114" t="str">
        <f>IF(INDEX(I.Facility.P3IDNumber,2333)="","",INDEX(I.Facility.P3IDNumber,2333))</f>
        <v/>
      </c>
      <c r="G17345" s="51"/>
      <c r="H17345" s="46" t="str">
        <f>IF(AND(I.Developer.P3=TRUE,I.Facility.P3FacilityCount&gt;=2333,F17345=""),"Incomplete","Complete")</f>
        <v>Complete</v>
      </c>
      <c r="I17345" s="48" t="s">
        <v>21710</v>
      </c>
    </row>
    <row r="17346" spans="2:9" ht="15" customHeight="1" x14ac:dyDescent="0.25">
      <c r="B17346" s="55" t="s">
        <v>282</v>
      </c>
      <c r="C17346" s="46">
        <v>2334</v>
      </c>
      <c r="D17346" s="69" t="s">
        <v>29419</v>
      </c>
      <c r="E17346" s="51"/>
      <c r="F17346" s="114" t="str">
        <f>IF(INDEX(I.Facility.P3IDNumber,2334)="","",INDEX(I.Facility.P3IDNumber,2334))</f>
        <v/>
      </c>
      <c r="G17346" s="51"/>
      <c r="H17346" s="46" t="str">
        <f>IF(AND(I.Developer.P3=TRUE,I.Facility.P3FacilityCount&gt;=2334,F17346=""),"Incomplete","Complete")</f>
        <v>Complete</v>
      </c>
      <c r="I17346" s="48" t="s">
        <v>21711</v>
      </c>
    </row>
    <row r="17347" spans="2:9" ht="15" customHeight="1" x14ac:dyDescent="0.25">
      <c r="B17347" s="55" t="s">
        <v>282</v>
      </c>
      <c r="C17347" s="46">
        <v>2335</v>
      </c>
      <c r="D17347" s="69" t="s">
        <v>29419</v>
      </c>
      <c r="E17347" s="51"/>
      <c r="F17347" s="114" t="str">
        <f>IF(INDEX(I.Facility.P3IDNumber,2335)="","",INDEX(I.Facility.P3IDNumber,2335))</f>
        <v/>
      </c>
      <c r="G17347" s="51"/>
      <c r="H17347" s="46" t="str">
        <f>IF(AND(I.Developer.P3=TRUE,I.Facility.P3FacilityCount&gt;=2335,F17347=""),"Incomplete","Complete")</f>
        <v>Complete</v>
      </c>
      <c r="I17347" s="48" t="s">
        <v>21712</v>
      </c>
    </row>
    <row r="17348" spans="2:9" ht="15" customHeight="1" x14ac:dyDescent="0.25">
      <c r="B17348" s="55" t="s">
        <v>282</v>
      </c>
      <c r="C17348" s="46">
        <v>2336</v>
      </c>
      <c r="D17348" s="69" t="s">
        <v>29419</v>
      </c>
      <c r="E17348" s="51"/>
      <c r="F17348" s="114" t="str">
        <f>IF(INDEX(I.Facility.P3IDNumber,2336)="","",INDEX(I.Facility.P3IDNumber,2336))</f>
        <v/>
      </c>
      <c r="G17348" s="51"/>
      <c r="H17348" s="46" t="str">
        <f>IF(AND(I.Developer.P3=TRUE,I.Facility.P3FacilityCount&gt;=2336,F17348=""),"Incomplete","Complete")</f>
        <v>Complete</v>
      </c>
      <c r="I17348" s="48" t="s">
        <v>21713</v>
      </c>
    </row>
    <row r="17349" spans="2:9" ht="15" customHeight="1" x14ac:dyDescent="0.25">
      <c r="B17349" s="55" t="s">
        <v>282</v>
      </c>
      <c r="C17349" s="46">
        <v>2337</v>
      </c>
      <c r="D17349" s="69" t="s">
        <v>29419</v>
      </c>
      <c r="E17349" s="51"/>
      <c r="F17349" s="114" t="str">
        <f>IF(INDEX(I.Facility.P3IDNumber,2337)="","",INDEX(I.Facility.P3IDNumber,2337))</f>
        <v/>
      </c>
      <c r="G17349" s="51"/>
      <c r="H17349" s="46" t="str">
        <f>IF(AND(I.Developer.P3=TRUE,I.Facility.P3FacilityCount&gt;=2337,F17349=""),"Incomplete","Complete")</f>
        <v>Complete</v>
      </c>
      <c r="I17349" s="48" t="s">
        <v>21714</v>
      </c>
    </row>
    <row r="17350" spans="2:9" ht="15" customHeight="1" x14ac:dyDescent="0.25">
      <c r="B17350" s="55" t="s">
        <v>282</v>
      </c>
      <c r="C17350" s="46">
        <v>2338</v>
      </c>
      <c r="D17350" s="69" t="s">
        <v>29419</v>
      </c>
      <c r="E17350" s="51"/>
      <c r="F17350" s="114" t="str">
        <f>IF(INDEX(I.Facility.P3IDNumber,2338)="","",INDEX(I.Facility.P3IDNumber,2338))</f>
        <v/>
      </c>
      <c r="G17350" s="51"/>
      <c r="H17350" s="46" t="str">
        <f>IF(AND(I.Developer.P3=TRUE,I.Facility.P3FacilityCount&gt;=2338,F17350=""),"Incomplete","Complete")</f>
        <v>Complete</v>
      </c>
      <c r="I17350" s="48" t="s">
        <v>21715</v>
      </c>
    </row>
    <row r="17351" spans="2:9" ht="15" customHeight="1" x14ac:dyDescent="0.25">
      <c r="B17351" s="55" t="s">
        <v>282</v>
      </c>
      <c r="C17351" s="46">
        <v>2339</v>
      </c>
      <c r="D17351" s="69" t="s">
        <v>29419</v>
      </c>
      <c r="E17351" s="51"/>
      <c r="F17351" s="114" t="str">
        <f>IF(INDEX(I.Facility.P3IDNumber,2339)="","",INDEX(I.Facility.P3IDNumber,2339))</f>
        <v/>
      </c>
      <c r="G17351" s="51"/>
      <c r="H17351" s="46" t="str">
        <f>IF(AND(I.Developer.P3=TRUE,I.Facility.P3FacilityCount&gt;=2339,F17351=""),"Incomplete","Complete")</f>
        <v>Complete</v>
      </c>
      <c r="I17351" s="48" t="s">
        <v>21716</v>
      </c>
    </row>
    <row r="17352" spans="2:9" ht="15" customHeight="1" x14ac:dyDescent="0.25">
      <c r="B17352" s="55" t="s">
        <v>282</v>
      </c>
      <c r="C17352" s="46">
        <v>2340</v>
      </c>
      <c r="D17352" s="69" t="s">
        <v>29419</v>
      </c>
      <c r="E17352" s="51"/>
      <c r="F17352" s="114" t="str">
        <f>IF(INDEX(I.Facility.P3IDNumber,2340)="","",INDEX(I.Facility.P3IDNumber,2340))</f>
        <v/>
      </c>
      <c r="G17352" s="51"/>
      <c r="H17352" s="46" t="str">
        <f>IF(AND(I.Developer.P3=TRUE,I.Facility.P3FacilityCount&gt;=2340,F17352=""),"Incomplete","Complete")</f>
        <v>Complete</v>
      </c>
      <c r="I17352" s="48" t="s">
        <v>21717</v>
      </c>
    </row>
    <row r="17353" spans="2:9" ht="15" customHeight="1" x14ac:dyDescent="0.25">
      <c r="B17353" s="55" t="s">
        <v>282</v>
      </c>
      <c r="C17353" s="46">
        <v>2341</v>
      </c>
      <c r="D17353" s="69" t="s">
        <v>29419</v>
      </c>
      <c r="E17353" s="51"/>
      <c r="F17353" s="114" t="str">
        <f>IF(INDEX(I.Facility.P3IDNumber,2341)="","",INDEX(I.Facility.P3IDNumber,2341))</f>
        <v/>
      </c>
      <c r="G17353" s="51"/>
      <c r="H17353" s="46" t="str">
        <f>IF(AND(I.Developer.P3=TRUE,I.Facility.P3FacilityCount&gt;=2341,F17353=""),"Incomplete","Complete")</f>
        <v>Complete</v>
      </c>
      <c r="I17353" s="48" t="s">
        <v>21718</v>
      </c>
    </row>
    <row r="17354" spans="2:9" ht="15" customHeight="1" x14ac:dyDescent="0.25">
      <c r="B17354" s="55" t="s">
        <v>282</v>
      </c>
      <c r="C17354" s="46">
        <v>2342</v>
      </c>
      <c r="D17354" s="69" t="s">
        <v>29419</v>
      </c>
      <c r="E17354" s="51"/>
      <c r="F17354" s="114" t="str">
        <f>IF(INDEX(I.Facility.P3IDNumber,2342)="","",INDEX(I.Facility.P3IDNumber,2342))</f>
        <v/>
      </c>
      <c r="G17354" s="51"/>
      <c r="H17354" s="46" t="str">
        <f>IF(AND(I.Developer.P3=TRUE,I.Facility.P3FacilityCount&gt;=2342,F17354=""),"Incomplete","Complete")</f>
        <v>Complete</v>
      </c>
      <c r="I17354" s="48" t="s">
        <v>21719</v>
      </c>
    </row>
    <row r="17355" spans="2:9" ht="15" customHeight="1" x14ac:dyDescent="0.25">
      <c r="B17355" s="55" t="s">
        <v>282</v>
      </c>
      <c r="C17355" s="46">
        <v>2343</v>
      </c>
      <c r="D17355" s="69" t="s">
        <v>29419</v>
      </c>
      <c r="E17355" s="51"/>
      <c r="F17355" s="114" t="str">
        <f>IF(INDEX(I.Facility.P3IDNumber,2343)="","",INDEX(I.Facility.P3IDNumber,2343))</f>
        <v/>
      </c>
      <c r="G17355" s="51"/>
      <c r="H17355" s="46" t="str">
        <f>IF(AND(I.Developer.P3=TRUE,I.Facility.P3FacilityCount&gt;=2343,F17355=""),"Incomplete","Complete")</f>
        <v>Complete</v>
      </c>
      <c r="I17355" s="48" t="s">
        <v>21720</v>
      </c>
    </row>
    <row r="17356" spans="2:9" ht="15" customHeight="1" x14ac:dyDescent="0.25">
      <c r="B17356" s="55" t="s">
        <v>282</v>
      </c>
      <c r="C17356" s="46">
        <v>2344</v>
      </c>
      <c r="D17356" s="69" t="s">
        <v>29419</v>
      </c>
      <c r="E17356" s="51"/>
      <c r="F17356" s="114" t="str">
        <f>IF(INDEX(I.Facility.P3IDNumber,2344)="","",INDEX(I.Facility.P3IDNumber,2344))</f>
        <v/>
      </c>
      <c r="G17356" s="51"/>
      <c r="H17356" s="46" t="str">
        <f>IF(AND(I.Developer.P3=TRUE,I.Facility.P3FacilityCount&gt;=2344,F17356=""),"Incomplete","Complete")</f>
        <v>Complete</v>
      </c>
      <c r="I17356" s="48" t="s">
        <v>21721</v>
      </c>
    </row>
    <row r="17357" spans="2:9" ht="15" customHeight="1" x14ac:dyDescent="0.25">
      <c r="B17357" s="55" t="s">
        <v>282</v>
      </c>
      <c r="C17357" s="46">
        <v>2345</v>
      </c>
      <c r="D17357" s="69" t="s">
        <v>29419</v>
      </c>
      <c r="E17357" s="51"/>
      <c r="F17357" s="114" t="str">
        <f>IF(INDEX(I.Facility.P3IDNumber,2345)="","",INDEX(I.Facility.P3IDNumber,2345))</f>
        <v/>
      </c>
      <c r="G17357" s="51"/>
      <c r="H17357" s="46" t="str">
        <f>IF(AND(I.Developer.P3=TRUE,I.Facility.P3FacilityCount&gt;=2345,F17357=""),"Incomplete","Complete")</f>
        <v>Complete</v>
      </c>
      <c r="I17357" s="48" t="s">
        <v>21722</v>
      </c>
    </row>
    <row r="17358" spans="2:9" ht="15" customHeight="1" x14ac:dyDescent="0.25">
      <c r="B17358" s="55" t="s">
        <v>282</v>
      </c>
      <c r="C17358" s="46">
        <v>2346</v>
      </c>
      <c r="D17358" s="69" t="s">
        <v>29419</v>
      </c>
      <c r="E17358" s="51"/>
      <c r="F17358" s="114" t="str">
        <f>IF(INDEX(I.Facility.P3IDNumber,2346)="","",INDEX(I.Facility.P3IDNumber,2346))</f>
        <v/>
      </c>
      <c r="G17358" s="51"/>
      <c r="H17358" s="46" t="str">
        <f>IF(AND(I.Developer.P3=TRUE,I.Facility.P3FacilityCount&gt;=2346,F17358=""),"Incomplete","Complete")</f>
        <v>Complete</v>
      </c>
      <c r="I17358" s="48" t="s">
        <v>21723</v>
      </c>
    </row>
    <row r="17359" spans="2:9" ht="15" customHeight="1" x14ac:dyDescent="0.25">
      <c r="B17359" s="55" t="s">
        <v>282</v>
      </c>
      <c r="C17359" s="46">
        <v>2347</v>
      </c>
      <c r="D17359" s="69" t="s">
        <v>29419</v>
      </c>
      <c r="E17359" s="51"/>
      <c r="F17359" s="114" t="str">
        <f>IF(INDEX(I.Facility.P3IDNumber,2347)="","",INDEX(I.Facility.P3IDNumber,2347))</f>
        <v/>
      </c>
      <c r="G17359" s="51"/>
      <c r="H17359" s="46" t="str">
        <f>IF(AND(I.Developer.P3=TRUE,I.Facility.P3FacilityCount&gt;=2347,F17359=""),"Incomplete","Complete")</f>
        <v>Complete</v>
      </c>
      <c r="I17359" s="48" t="s">
        <v>21724</v>
      </c>
    </row>
    <row r="17360" spans="2:9" ht="15" customHeight="1" x14ac:dyDescent="0.25">
      <c r="B17360" s="55" t="s">
        <v>282</v>
      </c>
      <c r="C17360" s="46">
        <v>2348</v>
      </c>
      <c r="D17360" s="69" t="s">
        <v>29419</v>
      </c>
      <c r="E17360" s="51"/>
      <c r="F17360" s="114" t="str">
        <f>IF(INDEX(I.Facility.P3IDNumber,2348)="","",INDEX(I.Facility.P3IDNumber,2348))</f>
        <v/>
      </c>
      <c r="G17360" s="51"/>
      <c r="H17360" s="46" t="str">
        <f>IF(AND(I.Developer.P3=TRUE,I.Facility.P3FacilityCount&gt;=2348,F17360=""),"Incomplete","Complete")</f>
        <v>Complete</v>
      </c>
      <c r="I17360" s="48" t="s">
        <v>21725</v>
      </c>
    </row>
    <row r="17361" spans="2:9" ht="15" customHeight="1" x14ac:dyDescent="0.25">
      <c r="B17361" s="55" t="s">
        <v>282</v>
      </c>
      <c r="C17361" s="46">
        <v>2349</v>
      </c>
      <c r="D17361" s="69" t="s">
        <v>29419</v>
      </c>
      <c r="E17361" s="51"/>
      <c r="F17361" s="114" t="str">
        <f>IF(INDEX(I.Facility.P3IDNumber,2349)="","",INDEX(I.Facility.P3IDNumber,2349))</f>
        <v/>
      </c>
      <c r="G17361" s="51"/>
      <c r="H17361" s="46" t="str">
        <f>IF(AND(I.Developer.P3=TRUE,I.Facility.P3FacilityCount&gt;=2349,F17361=""),"Incomplete","Complete")</f>
        <v>Complete</v>
      </c>
      <c r="I17361" s="48" t="s">
        <v>21726</v>
      </c>
    </row>
    <row r="17362" spans="2:9" ht="15" customHeight="1" x14ac:dyDescent="0.25">
      <c r="B17362" s="55" t="s">
        <v>282</v>
      </c>
      <c r="C17362" s="46">
        <v>2350</v>
      </c>
      <c r="D17362" s="69" t="s">
        <v>29419</v>
      </c>
      <c r="E17362" s="51"/>
      <c r="F17362" s="114" t="str">
        <f>IF(INDEX(I.Facility.P3IDNumber,2350)="","",INDEX(I.Facility.P3IDNumber,2350))</f>
        <v/>
      </c>
      <c r="G17362" s="51"/>
      <c r="H17362" s="46" t="str">
        <f>IF(AND(I.Developer.P3=TRUE,I.Facility.P3FacilityCount&gt;=2350,F17362=""),"Incomplete","Complete")</f>
        <v>Complete</v>
      </c>
      <c r="I17362" s="48" t="s">
        <v>21727</v>
      </c>
    </row>
    <row r="17363" spans="2:9" ht="15" customHeight="1" x14ac:dyDescent="0.25">
      <c r="B17363" s="55" t="s">
        <v>282</v>
      </c>
      <c r="C17363" s="46">
        <v>2351</v>
      </c>
      <c r="D17363" s="69" t="s">
        <v>29419</v>
      </c>
      <c r="E17363" s="51"/>
      <c r="F17363" s="114" t="str">
        <f>IF(INDEX(I.Facility.P3IDNumber,2351)="","",INDEX(I.Facility.P3IDNumber,2351))</f>
        <v/>
      </c>
      <c r="G17363" s="51"/>
      <c r="H17363" s="46" t="str">
        <f>IF(AND(I.Developer.P3=TRUE,I.Facility.P3FacilityCount&gt;=2351,F17363=""),"Incomplete","Complete")</f>
        <v>Complete</v>
      </c>
      <c r="I17363" s="48" t="s">
        <v>21728</v>
      </c>
    </row>
    <row r="17364" spans="2:9" ht="15" customHeight="1" x14ac:dyDescent="0.25">
      <c r="B17364" s="55" t="s">
        <v>282</v>
      </c>
      <c r="C17364" s="46">
        <v>2352</v>
      </c>
      <c r="D17364" s="69" t="s">
        <v>29419</v>
      </c>
      <c r="E17364" s="51"/>
      <c r="F17364" s="114" t="str">
        <f>IF(INDEX(I.Facility.P3IDNumber,2352)="","",INDEX(I.Facility.P3IDNumber,2352))</f>
        <v/>
      </c>
      <c r="G17364" s="51"/>
      <c r="H17364" s="46" t="str">
        <f>IF(AND(I.Developer.P3=TRUE,I.Facility.P3FacilityCount&gt;=2352,F17364=""),"Incomplete","Complete")</f>
        <v>Complete</v>
      </c>
      <c r="I17364" s="48" t="s">
        <v>21729</v>
      </c>
    </row>
    <row r="17365" spans="2:9" ht="15" customHeight="1" x14ac:dyDescent="0.25">
      <c r="B17365" s="55" t="s">
        <v>282</v>
      </c>
      <c r="C17365" s="46">
        <v>2353</v>
      </c>
      <c r="D17365" s="69" t="s">
        <v>29419</v>
      </c>
      <c r="E17365" s="51"/>
      <c r="F17365" s="114" t="str">
        <f>IF(INDEX(I.Facility.P3IDNumber,2353)="","",INDEX(I.Facility.P3IDNumber,2353))</f>
        <v/>
      </c>
      <c r="G17365" s="51"/>
      <c r="H17365" s="46" t="str">
        <f>IF(AND(I.Developer.P3=TRUE,I.Facility.P3FacilityCount&gt;=2353,F17365=""),"Incomplete","Complete")</f>
        <v>Complete</v>
      </c>
      <c r="I17365" s="48" t="s">
        <v>21730</v>
      </c>
    </row>
    <row r="17366" spans="2:9" ht="15" customHeight="1" x14ac:dyDescent="0.25">
      <c r="B17366" s="55" t="s">
        <v>282</v>
      </c>
      <c r="C17366" s="46">
        <v>2354</v>
      </c>
      <c r="D17366" s="69" t="s">
        <v>29419</v>
      </c>
      <c r="E17366" s="51"/>
      <c r="F17366" s="114" t="str">
        <f>IF(INDEX(I.Facility.P3IDNumber,2354)="","",INDEX(I.Facility.P3IDNumber,2354))</f>
        <v/>
      </c>
      <c r="G17366" s="51"/>
      <c r="H17366" s="46" t="str">
        <f>IF(AND(I.Developer.P3=TRUE,I.Facility.P3FacilityCount&gt;=2354,F17366=""),"Incomplete","Complete")</f>
        <v>Complete</v>
      </c>
      <c r="I17366" s="48" t="s">
        <v>21731</v>
      </c>
    </row>
    <row r="17367" spans="2:9" ht="15" customHeight="1" x14ac:dyDescent="0.25">
      <c r="B17367" s="55" t="s">
        <v>282</v>
      </c>
      <c r="C17367" s="46">
        <v>2355</v>
      </c>
      <c r="D17367" s="69" t="s">
        <v>29419</v>
      </c>
      <c r="E17367" s="51"/>
      <c r="F17367" s="114" t="str">
        <f>IF(INDEX(I.Facility.P3IDNumber,2355)="","",INDEX(I.Facility.P3IDNumber,2355))</f>
        <v/>
      </c>
      <c r="G17367" s="51"/>
      <c r="H17367" s="46" t="str">
        <f>IF(AND(I.Developer.P3=TRUE,I.Facility.P3FacilityCount&gt;=2355,F17367=""),"Incomplete","Complete")</f>
        <v>Complete</v>
      </c>
      <c r="I17367" s="48" t="s">
        <v>21732</v>
      </c>
    </row>
    <row r="17368" spans="2:9" ht="15" customHeight="1" x14ac:dyDescent="0.25">
      <c r="B17368" s="55" t="s">
        <v>282</v>
      </c>
      <c r="C17368" s="46">
        <v>2356</v>
      </c>
      <c r="D17368" s="69" t="s">
        <v>29419</v>
      </c>
      <c r="E17368" s="51"/>
      <c r="F17368" s="114" t="str">
        <f>IF(INDEX(I.Facility.P3IDNumber,2356)="","",INDEX(I.Facility.P3IDNumber,2356))</f>
        <v/>
      </c>
      <c r="G17368" s="51"/>
      <c r="H17368" s="46" t="str">
        <f>IF(AND(I.Developer.P3=TRUE,I.Facility.P3FacilityCount&gt;=2356,F17368=""),"Incomplete","Complete")</f>
        <v>Complete</v>
      </c>
      <c r="I17368" s="48" t="s">
        <v>21733</v>
      </c>
    </row>
    <row r="17369" spans="2:9" ht="15" customHeight="1" x14ac:dyDescent="0.25">
      <c r="B17369" s="55" t="s">
        <v>282</v>
      </c>
      <c r="C17369" s="46">
        <v>2357</v>
      </c>
      <c r="D17369" s="69" t="s">
        <v>29419</v>
      </c>
      <c r="E17369" s="51"/>
      <c r="F17369" s="114" t="str">
        <f>IF(INDEX(I.Facility.P3IDNumber,2357)="","",INDEX(I.Facility.P3IDNumber,2357))</f>
        <v/>
      </c>
      <c r="G17369" s="51"/>
      <c r="H17369" s="46" t="str">
        <f>IF(AND(I.Developer.P3=TRUE,I.Facility.P3FacilityCount&gt;=2357,F17369=""),"Incomplete","Complete")</f>
        <v>Complete</v>
      </c>
      <c r="I17369" s="48" t="s">
        <v>21734</v>
      </c>
    </row>
    <row r="17370" spans="2:9" ht="15" customHeight="1" x14ac:dyDescent="0.25">
      <c r="B17370" s="55" t="s">
        <v>282</v>
      </c>
      <c r="C17370" s="46">
        <v>2358</v>
      </c>
      <c r="D17370" s="69" t="s">
        <v>29419</v>
      </c>
      <c r="E17370" s="51"/>
      <c r="F17370" s="114" t="str">
        <f>IF(INDEX(I.Facility.P3IDNumber,2358)="","",INDEX(I.Facility.P3IDNumber,2358))</f>
        <v/>
      </c>
      <c r="G17370" s="51"/>
      <c r="H17370" s="46" t="str">
        <f>IF(AND(I.Developer.P3=TRUE,I.Facility.P3FacilityCount&gt;=2358,F17370=""),"Incomplete","Complete")</f>
        <v>Complete</v>
      </c>
      <c r="I17370" s="48" t="s">
        <v>21735</v>
      </c>
    </row>
    <row r="17371" spans="2:9" ht="15" customHeight="1" x14ac:dyDescent="0.25">
      <c r="B17371" s="55" t="s">
        <v>282</v>
      </c>
      <c r="C17371" s="46">
        <v>2359</v>
      </c>
      <c r="D17371" s="69" t="s">
        <v>29419</v>
      </c>
      <c r="E17371" s="51"/>
      <c r="F17371" s="114" t="str">
        <f>IF(INDEX(I.Facility.P3IDNumber,2359)="","",INDEX(I.Facility.P3IDNumber,2359))</f>
        <v/>
      </c>
      <c r="G17371" s="51"/>
      <c r="H17371" s="46" t="str">
        <f>IF(AND(I.Developer.P3=TRUE,I.Facility.P3FacilityCount&gt;=2359,F17371=""),"Incomplete","Complete")</f>
        <v>Complete</v>
      </c>
      <c r="I17371" s="48" t="s">
        <v>21736</v>
      </c>
    </row>
    <row r="17372" spans="2:9" ht="15" customHeight="1" x14ac:dyDescent="0.25">
      <c r="B17372" s="55" t="s">
        <v>282</v>
      </c>
      <c r="C17372" s="46">
        <v>2360</v>
      </c>
      <c r="D17372" s="69" t="s">
        <v>29419</v>
      </c>
      <c r="E17372" s="51"/>
      <c r="F17372" s="114" t="str">
        <f>IF(INDEX(I.Facility.P3IDNumber,2360)="","",INDEX(I.Facility.P3IDNumber,2360))</f>
        <v/>
      </c>
      <c r="G17372" s="51"/>
      <c r="H17372" s="46" t="str">
        <f>IF(AND(I.Developer.P3=TRUE,I.Facility.P3FacilityCount&gt;=2360,F17372=""),"Incomplete","Complete")</f>
        <v>Complete</v>
      </c>
      <c r="I17372" s="48" t="s">
        <v>21737</v>
      </c>
    </row>
    <row r="17373" spans="2:9" ht="15" customHeight="1" x14ac:dyDescent="0.25">
      <c r="B17373" s="55" t="s">
        <v>282</v>
      </c>
      <c r="C17373" s="46">
        <v>2361</v>
      </c>
      <c r="D17373" s="69" t="s">
        <v>29419</v>
      </c>
      <c r="E17373" s="51"/>
      <c r="F17373" s="114" t="str">
        <f>IF(INDEX(I.Facility.P3IDNumber,2361)="","",INDEX(I.Facility.P3IDNumber,2361))</f>
        <v/>
      </c>
      <c r="G17373" s="51"/>
      <c r="H17373" s="46" t="str">
        <f>IF(AND(I.Developer.P3=TRUE,I.Facility.P3FacilityCount&gt;=2361,F17373=""),"Incomplete","Complete")</f>
        <v>Complete</v>
      </c>
      <c r="I17373" s="48" t="s">
        <v>21738</v>
      </c>
    </row>
    <row r="17374" spans="2:9" ht="15" customHeight="1" x14ac:dyDescent="0.25">
      <c r="B17374" s="55" t="s">
        <v>282</v>
      </c>
      <c r="C17374" s="46">
        <v>2362</v>
      </c>
      <c r="D17374" s="69" t="s">
        <v>29419</v>
      </c>
      <c r="E17374" s="51"/>
      <c r="F17374" s="114" t="str">
        <f>IF(INDEX(I.Facility.P3IDNumber,2362)="","",INDEX(I.Facility.P3IDNumber,2362))</f>
        <v/>
      </c>
      <c r="G17374" s="51"/>
      <c r="H17374" s="46" t="str">
        <f>IF(AND(I.Developer.P3=TRUE,I.Facility.P3FacilityCount&gt;=2362,F17374=""),"Incomplete","Complete")</f>
        <v>Complete</v>
      </c>
      <c r="I17374" s="48" t="s">
        <v>21739</v>
      </c>
    </row>
    <row r="17375" spans="2:9" ht="15" customHeight="1" x14ac:dyDescent="0.25">
      <c r="B17375" s="55" t="s">
        <v>282</v>
      </c>
      <c r="C17375" s="46">
        <v>2363</v>
      </c>
      <c r="D17375" s="69" t="s">
        <v>29419</v>
      </c>
      <c r="E17375" s="51"/>
      <c r="F17375" s="114" t="str">
        <f>IF(INDEX(I.Facility.P3IDNumber,2363)="","",INDEX(I.Facility.P3IDNumber,2363))</f>
        <v/>
      </c>
      <c r="G17375" s="51"/>
      <c r="H17375" s="46" t="str">
        <f>IF(AND(I.Developer.P3=TRUE,I.Facility.P3FacilityCount&gt;=2363,F17375=""),"Incomplete","Complete")</f>
        <v>Complete</v>
      </c>
      <c r="I17375" s="48" t="s">
        <v>21740</v>
      </c>
    </row>
    <row r="17376" spans="2:9" ht="15" customHeight="1" x14ac:dyDescent="0.25">
      <c r="B17376" s="55" t="s">
        <v>282</v>
      </c>
      <c r="C17376" s="46">
        <v>2364</v>
      </c>
      <c r="D17376" s="69" t="s">
        <v>29419</v>
      </c>
      <c r="E17376" s="51"/>
      <c r="F17376" s="114" t="str">
        <f>IF(INDEX(I.Facility.P3IDNumber,2364)="","",INDEX(I.Facility.P3IDNumber,2364))</f>
        <v/>
      </c>
      <c r="G17376" s="51"/>
      <c r="H17376" s="46" t="str">
        <f>IF(AND(I.Developer.P3=TRUE,I.Facility.P3FacilityCount&gt;=2364,F17376=""),"Incomplete","Complete")</f>
        <v>Complete</v>
      </c>
      <c r="I17376" s="48" t="s">
        <v>21741</v>
      </c>
    </row>
    <row r="17377" spans="2:9" ht="15" customHeight="1" x14ac:dyDescent="0.25">
      <c r="B17377" s="55" t="s">
        <v>282</v>
      </c>
      <c r="C17377" s="46">
        <v>2365</v>
      </c>
      <c r="D17377" s="69" t="s">
        <v>29419</v>
      </c>
      <c r="E17377" s="51"/>
      <c r="F17377" s="114" t="str">
        <f>IF(INDEX(I.Facility.P3IDNumber,2365)="","",INDEX(I.Facility.P3IDNumber,2365))</f>
        <v/>
      </c>
      <c r="G17377" s="51"/>
      <c r="H17377" s="46" t="str">
        <f>IF(AND(I.Developer.P3=TRUE,I.Facility.P3FacilityCount&gt;=2365,F17377=""),"Incomplete","Complete")</f>
        <v>Complete</v>
      </c>
      <c r="I17377" s="48" t="s">
        <v>21742</v>
      </c>
    </row>
    <row r="17378" spans="2:9" ht="15" customHeight="1" x14ac:dyDescent="0.25">
      <c r="B17378" s="55" t="s">
        <v>282</v>
      </c>
      <c r="C17378" s="46">
        <v>2366</v>
      </c>
      <c r="D17378" s="69" t="s">
        <v>29419</v>
      </c>
      <c r="E17378" s="51"/>
      <c r="F17378" s="114" t="str">
        <f>IF(INDEX(I.Facility.P3IDNumber,2366)="","",INDEX(I.Facility.P3IDNumber,2366))</f>
        <v/>
      </c>
      <c r="G17378" s="51"/>
      <c r="H17378" s="46" t="str">
        <f>IF(AND(I.Developer.P3=TRUE,I.Facility.P3FacilityCount&gt;=2366,F17378=""),"Incomplete","Complete")</f>
        <v>Complete</v>
      </c>
      <c r="I17378" s="48" t="s">
        <v>21743</v>
      </c>
    </row>
    <row r="17379" spans="2:9" ht="15" customHeight="1" x14ac:dyDescent="0.25">
      <c r="B17379" s="55" t="s">
        <v>282</v>
      </c>
      <c r="C17379" s="46">
        <v>2367</v>
      </c>
      <c r="D17379" s="69" t="s">
        <v>29419</v>
      </c>
      <c r="E17379" s="51"/>
      <c r="F17379" s="114" t="str">
        <f>IF(INDEX(I.Facility.P3IDNumber,2367)="","",INDEX(I.Facility.P3IDNumber,2367))</f>
        <v/>
      </c>
      <c r="G17379" s="51"/>
      <c r="H17379" s="46" t="str">
        <f>IF(AND(I.Developer.P3=TRUE,I.Facility.P3FacilityCount&gt;=2367,F17379=""),"Incomplete","Complete")</f>
        <v>Complete</v>
      </c>
      <c r="I17379" s="48" t="s">
        <v>21744</v>
      </c>
    </row>
    <row r="17380" spans="2:9" ht="15" customHeight="1" x14ac:dyDescent="0.25">
      <c r="B17380" s="55" t="s">
        <v>282</v>
      </c>
      <c r="C17380" s="46">
        <v>2368</v>
      </c>
      <c r="D17380" s="69" t="s">
        <v>29419</v>
      </c>
      <c r="E17380" s="51"/>
      <c r="F17380" s="114" t="str">
        <f>IF(INDEX(I.Facility.P3IDNumber,2368)="","",INDEX(I.Facility.P3IDNumber,2368))</f>
        <v/>
      </c>
      <c r="G17380" s="51"/>
      <c r="H17380" s="46" t="str">
        <f>IF(AND(I.Developer.P3=TRUE,I.Facility.P3FacilityCount&gt;=2368,F17380=""),"Incomplete","Complete")</f>
        <v>Complete</v>
      </c>
      <c r="I17380" s="48" t="s">
        <v>21745</v>
      </c>
    </row>
    <row r="17381" spans="2:9" ht="15" customHeight="1" x14ac:dyDescent="0.25">
      <c r="B17381" s="55" t="s">
        <v>282</v>
      </c>
      <c r="C17381" s="46">
        <v>2369</v>
      </c>
      <c r="D17381" s="69" t="s">
        <v>29419</v>
      </c>
      <c r="E17381" s="51"/>
      <c r="F17381" s="114" t="str">
        <f>IF(INDEX(I.Facility.P3IDNumber,2369)="","",INDEX(I.Facility.P3IDNumber,2369))</f>
        <v/>
      </c>
      <c r="G17381" s="51"/>
      <c r="H17381" s="46" t="str">
        <f>IF(AND(I.Developer.P3=TRUE,I.Facility.P3FacilityCount&gt;=2369,F17381=""),"Incomplete","Complete")</f>
        <v>Complete</v>
      </c>
      <c r="I17381" s="48" t="s">
        <v>21746</v>
      </c>
    </row>
    <row r="17382" spans="2:9" ht="15" customHeight="1" x14ac:dyDescent="0.25">
      <c r="B17382" s="55" t="s">
        <v>282</v>
      </c>
      <c r="C17382" s="46">
        <v>2370</v>
      </c>
      <c r="D17382" s="69" t="s">
        <v>29419</v>
      </c>
      <c r="E17382" s="51"/>
      <c r="F17382" s="114" t="str">
        <f>IF(INDEX(I.Facility.P3IDNumber,2370)="","",INDEX(I.Facility.P3IDNumber,2370))</f>
        <v/>
      </c>
      <c r="G17382" s="51"/>
      <c r="H17382" s="46" t="str">
        <f>IF(AND(I.Developer.P3=TRUE,I.Facility.P3FacilityCount&gt;=2370,F17382=""),"Incomplete","Complete")</f>
        <v>Complete</v>
      </c>
      <c r="I17382" s="48" t="s">
        <v>21747</v>
      </c>
    </row>
    <row r="17383" spans="2:9" ht="15" customHeight="1" x14ac:dyDescent="0.25">
      <c r="B17383" s="55" t="s">
        <v>282</v>
      </c>
      <c r="C17383" s="46">
        <v>2371</v>
      </c>
      <c r="D17383" s="69" t="s">
        <v>29419</v>
      </c>
      <c r="E17383" s="51"/>
      <c r="F17383" s="114" t="str">
        <f>IF(INDEX(I.Facility.P3IDNumber,2371)="","",INDEX(I.Facility.P3IDNumber,2371))</f>
        <v/>
      </c>
      <c r="G17383" s="51"/>
      <c r="H17383" s="46" t="str">
        <f>IF(AND(I.Developer.P3=TRUE,I.Facility.P3FacilityCount&gt;=2371,F17383=""),"Incomplete","Complete")</f>
        <v>Complete</v>
      </c>
      <c r="I17383" s="48" t="s">
        <v>21748</v>
      </c>
    </row>
    <row r="17384" spans="2:9" ht="15" customHeight="1" x14ac:dyDescent="0.25">
      <c r="B17384" s="55" t="s">
        <v>282</v>
      </c>
      <c r="C17384" s="46">
        <v>2372</v>
      </c>
      <c r="D17384" s="69" t="s">
        <v>29419</v>
      </c>
      <c r="E17384" s="51"/>
      <c r="F17384" s="114" t="str">
        <f>IF(INDEX(I.Facility.P3IDNumber,2372)="","",INDEX(I.Facility.P3IDNumber,2372))</f>
        <v/>
      </c>
      <c r="G17384" s="51"/>
      <c r="H17384" s="46" t="str">
        <f>IF(AND(I.Developer.P3=TRUE,I.Facility.P3FacilityCount&gt;=2372,F17384=""),"Incomplete","Complete")</f>
        <v>Complete</v>
      </c>
      <c r="I17384" s="48" t="s">
        <v>21749</v>
      </c>
    </row>
    <row r="17385" spans="2:9" ht="15" customHeight="1" x14ac:dyDescent="0.25">
      <c r="B17385" s="55" t="s">
        <v>282</v>
      </c>
      <c r="C17385" s="46">
        <v>2373</v>
      </c>
      <c r="D17385" s="69" t="s">
        <v>29419</v>
      </c>
      <c r="E17385" s="51"/>
      <c r="F17385" s="114" t="str">
        <f>IF(INDEX(I.Facility.P3IDNumber,2373)="","",INDEX(I.Facility.P3IDNumber,2373))</f>
        <v/>
      </c>
      <c r="G17385" s="51"/>
      <c r="H17385" s="46" t="str">
        <f>IF(AND(I.Developer.P3=TRUE,I.Facility.P3FacilityCount&gt;=2373,F17385=""),"Incomplete","Complete")</f>
        <v>Complete</v>
      </c>
      <c r="I17385" s="48" t="s">
        <v>21750</v>
      </c>
    </row>
    <row r="17386" spans="2:9" ht="15" customHeight="1" x14ac:dyDescent="0.25">
      <c r="B17386" s="55" t="s">
        <v>282</v>
      </c>
      <c r="C17386" s="46">
        <v>2374</v>
      </c>
      <c r="D17386" s="69" t="s">
        <v>29419</v>
      </c>
      <c r="E17386" s="51"/>
      <c r="F17386" s="114" t="str">
        <f>IF(INDEX(I.Facility.P3IDNumber,2374)="","",INDEX(I.Facility.P3IDNumber,2374))</f>
        <v/>
      </c>
      <c r="G17386" s="51"/>
      <c r="H17386" s="46" t="str">
        <f>IF(AND(I.Developer.P3=TRUE,I.Facility.P3FacilityCount&gt;=2374,F17386=""),"Incomplete","Complete")</f>
        <v>Complete</v>
      </c>
      <c r="I17386" s="48" t="s">
        <v>21751</v>
      </c>
    </row>
    <row r="17387" spans="2:9" ht="15" customHeight="1" x14ac:dyDescent="0.25">
      <c r="B17387" s="55" t="s">
        <v>282</v>
      </c>
      <c r="C17387" s="46">
        <v>2375</v>
      </c>
      <c r="D17387" s="69" t="s">
        <v>29419</v>
      </c>
      <c r="E17387" s="51"/>
      <c r="F17387" s="114" t="str">
        <f>IF(INDEX(I.Facility.P3IDNumber,2375)="","",INDEX(I.Facility.P3IDNumber,2375))</f>
        <v/>
      </c>
      <c r="G17387" s="51"/>
      <c r="H17387" s="46" t="str">
        <f>IF(AND(I.Developer.P3=TRUE,I.Facility.P3FacilityCount&gt;=2375,F17387=""),"Incomplete","Complete")</f>
        <v>Complete</v>
      </c>
      <c r="I17387" s="48" t="s">
        <v>21752</v>
      </c>
    </row>
    <row r="17388" spans="2:9" ht="15" customHeight="1" x14ac:dyDescent="0.25">
      <c r="B17388" s="55" t="s">
        <v>282</v>
      </c>
      <c r="C17388" s="46">
        <v>2376</v>
      </c>
      <c r="D17388" s="69" t="s">
        <v>29419</v>
      </c>
      <c r="E17388" s="51"/>
      <c r="F17388" s="114" t="str">
        <f>IF(INDEX(I.Facility.P3IDNumber,2376)="","",INDEX(I.Facility.P3IDNumber,2376))</f>
        <v/>
      </c>
      <c r="G17388" s="51"/>
      <c r="H17388" s="46" t="str">
        <f>IF(AND(I.Developer.P3=TRUE,I.Facility.P3FacilityCount&gt;=2376,F17388=""),"Incomplete","Complete")</f>
        <v>Complete</v>
      </c>
      <c r="I17388" s="48" t="s">
        <v>21753</v>
      </c>
    </row>
    <row r="17389" spans="2:9" ht="15" customHeight="1" x14ac:dyDescent="0.25">
      <c r="B17389" s="55" t="s">
        <v>282</v>
      </c>
      <c r="C17389" s="46">
        <v>2377</v>
      </c>
      <c r="D17389" s="69" t="s">
        <v>29419</v>
      </c>
      <c r="E17389" s="51"/>
      <c r="F17389" s="114" t="str">
        <f>IF(INDEX(I.Facility.P3IDNumber,2377)="","",INDEX(I.Facility.P3IDNumber,2377))</f>
        <v/>
      </c>
      <c r="G17389" s="51"/>
      <c r="H17389" s="46" t="str">
        <f>IF(AND(I.Developer.P3=TRUE,I.Facility.P3FacilityCount&gt;=2377,F17389=""),"Incomplete","Complete")</f>
        <v>Complete</v>
      </c>
      <c r="I17389" s="48" t="s">
        <v>21754</v>
      </c>
    </row>
    <row r="17390" spans="2:9" ht="15" customHeight="1" x14ac:dyDescent="0.25">
      <c r="B17390" s="55" t="s">
        <v>282</v>
      </c>
      <c r="C17390" s="46">
        <v>2378</v>
      </c>
      <c r="D17390" s="69" t="s">
        <v>29419</v>
      </c>
      <c r="E17390" s="51"/>
      <c r="F17390" s="114" t="str">
        <f>IF(INDEX(I.Facility.P3IDNumber,2378)="","",INDEX(I.Facility.P3IDNumber,2378))</f>
        <v/>
      </c>
      <c r="G17390" s="51"/>
      <c r="H17390" s="46" t="str">
        <f>IF(AND(I.Developer.P3=TRUE,I.Facility.P3FacilityCount&gt;=2378,F17390=""),"Incomplete","Complete")</f>
        <v>Complete</v>
      </c>
      <c r="I17390" s="48" t="s">
        <v>21755</v>
      </c>
    </row>
    <row r="17391" spans="2:9" ht="15" customHeight="1" x14ac:dyDescent="0.25">
      <c r="B17391" s="55" t="s">
        <v>282</v>
      </c>
      <c r="C17391" s="46">
        <v>2379</v>
      </c>
      <c r="D17391" s="69" t="s">
        <v>29419</v>
      </c>
      <c r="E17391" s="51"/>
      <c r="F17391" s="114" t="str">
        <f>IF(INDEX(I.Facility.P3IDNumber,2379)="","",INDEX(I.Facility.P3IDNumber,2379))</f>
        <v/>
      </c>
      <c r="G17391" s="51"/>
      <c r="H17391" s="46" t="str">
        <f>IF(AND(I.Developer.P3=TRUE,I.Facility.P3FacilityCount&gt;=2379,F17391=""),"Incomplete","Complete")</f>
        <v>Complete</v>
      </c>
      <c r="I17391" s="48" t="s">
        <v>21756</v>
      </c>
    </row>
    <row r="17392" spans="2:9" ht="15" customHeight="1" x14ac:dyDescent="0.25">
      <c r="B17392" s="55" t="s">
        <v>282</v>
      </c>
      <c r="C17392" s="46">
        <v>2380</v>
      </c>
      <c r="D17392" s="69" t="s">
        <v>29419</v>
      </c>
      <c r="E17392" s="51"/>
      <c r="F17392" s="114" t="str">
        <f>IF(INDEX(I.Facility.P3IDNumber,2380)="","",INDEX(I.Facility.P3IDNumber,2380))</f>
        <v/>
      </c>
      <c r="G17392" s="51"/>
      <c r="H17392" s="46" t="str">
        <f>IF(AND(I.Developer.P3=TRUE,I.Facility.P3FacilityCount&gt;=2380,F17392=""),"Incomplete","Complete")</f>
        <v>Complete</v>
      </c>
      <c r="I17392" s="48" t="s">
        <v>21757</v>
      </c>
    </row>
    <row r="17393" spans="2:9" ht="15" customHeight="1" x14ac:dyDescent="0.25">
      <c r="B17393" s="55" t="s">
        <v>282</v>
      </c>
      <c r="C17393" s="46">
        <v>2381</v>
      </c>
      <c r="D17393" s="69" t="s">
        <v>29419</v>
      </c>
      <c r="E17393" s="51"/>
      <c r="F17393" s="114" t="str">
        <f>IF(INDEX(I.Facility.P3IDNumber,2381)="","",INDEX(I.Facility.P3IDNumber,2381))</f>
        <v/>
      </c>
      <c r="G17393" s="51"/>
      <c r="H17393" s="46" t="str">
        <f>IF(AND(I.Developer.P3=TRUE,I.Facility.P3FacilityCount&gt;=2381,F17393=""),"Incomplete","Complete")</f>
        <v>Complete</v>
      </c>
      <c r="I17393" s="48" t="s">
        <v>21758</v>
      </c>
    </row>
    <row r="17394" spans="2:9" ht="15" customHeight="1" x14ac:dyDescent="0.25">
      <c r="B17394" s="55" t="s">
        <v>282</v>
      </c>
      <c r="C17394" s="46">
        <v>2382</v>
      </c>
      <c r="D17394" s="69" t="s">
        <v>29419</v>
      </c>
      <c r="E17394" s="51"/>
      <c r="F17394" s="114" t="str">
        <f>IF(INDEX(I.Facility.P3IDNumber,2382)="","",INDEX(I.Facility.P3IDNumber,2382))</f>
        <v/>
      </c>
      <c r="G17394" s="51"/>
      <c r="H17394" s="46" t="str">
        <f>IF(AND(I.Developer.P3=TRUE,I.Facility.P3FacilityCount&gt;=2382,F17394=""),"Incomplete","Complete")</f>
        <v>Complete</v>
      </c>
      <c r="I17394" s="48" t="s">
        <v>21759</v>
      </c>
    </row>
    <row r="17395" spans="2:9" ht="15" customHeight="1" x14ac:dyDescent="0.25">
      <c r="B17395" s="55" t="s">
        <v>282</v>
      </c>
      <c r="C17395" s="46">
        <v>2383</v>
      </c>
      <c r="D17395" s="69" t="s">
        <v>29419</v>
      </c>
      <c r="E17395" s="51"/>
      <c r="F17395" s="114" t="str">
        <f>IF(INDEX(I.Facility.P3IDNumber,2383)="","",INDEX(I.Facility.P3IDNumber,2383))</f>
        <v/>
      </c>
      <c r="G17395" s="51"/>
      <c r="H17395" s="46" t="str">
        <f>IF(AND(I.Developer.P3=TRUE,I.Facility.P3FacilityCount&gt;=2383,F17395=""),"Incomplete","Complete")</f>
        <v>Complete</v>
      </c>
      <c r="I17395" s="48" t="s">
        <v>21760</v>
      </c>
    </row>
    <row r="17396" spans="2:9" ht="15" customHeight="1" x14ac:dyDescent="0.25">
      <c r="B17396" s="55" t="s">
        <v>282</v>
      </c>
      <c r="C17396" s="46">
        <v>2384</v>
      </c>
      <c r="D17396" s="69" t="s">
        <v>29419</v>
      </c>
      <c r="E17396" s="51"/>
      <c r="F17396" s="114" t="str">
        <f>IF(INDEX(I.Facility.P3IDNumber,2384)="","",INDEX(I.Facility.P3IDNumber,2384))</f>
        <v/>
      </c>
      <c r="G17396" s="51"/>
      <c r="H17396" s="46" t="str">
        <f>IF(AND(I.Developer.P3=TRUE,I.Facility.P3FacilityCount&gt;=2384,F17396=""),"Incomplete","Complete")</f>
        <v>Complete</v>
      </c>
      <c r="I17396" s="48" t="s">
        <v>21761</v>
      </c>
    </row>
    <row r="17397" spans="2:9" ht="15" customHeight="1" x14ac:dyDescent="0.25">
      <c r="B17397" s="55" t="s">
        <v>282</v>
      </c>
      <c r="C17397" s="46">
        <v>2385</v>
      </c>
      <c r="D17397" s="69" t="s">
        <v>29419</v>
      </c>
      <c r="E17397" s="51"/>
      <c r="F17397" s="114" t="str">
        <f>IF(INDEX(I.Facility.P3IDNumber,2385)="","",INDEX(I.Facility.P3IDNumber,2385))</f>
        <v/>
      </c>
      <c r="G17397" s="51"/>
      <c r="H17397" s="46" t="str">
        <f>IF(AND(I.Developer.P3=TRUE,I.Facility.P3FacilityCount&gt;=2385,F17397=""),"Incomplete","Complete")</f>
        <v>Complete</v>
      </c>
      <c r="I17397" s="48" t="s">
        <v>21762</v>
      </c>
    </row>
    <row r="17398" spans="2:9" ht="15" customHeight="1" x14ac:dyDescent="0.25">
      <c r="B17398" s="55" t="s">
        <v>282</v>
      </c>
      <c r="C17398" s="46">
        <v>2386</v>
      </c>
      <c r="D17398" s="69" t="s">
        <v>29419</v>
      </c>
      <c r="E17398" s="51"/>
      <c r="F17398" s="114" t="str">
        <f>IF(INDEX(I.Facility.P3IDNumber,2386)="","",INDEX(I.Facility.P3IDNumber,2386))</f>
        <v/>
      </c>
      <c r="G17398" s="51"/>
      <c r="H17398" s="46" t="str">
        <f>IF(AND(I.Developer.P3=TRUE,I.Facility.P3FacilityCount&gt;=2386,F17398=""),"Incomplete","Complete")</f>
        <v>Complete</v>
      </c>
      <c r="I17398" s="48" t="s">
        <v>21763</v>
      </c>
    </row>
    <row r="17399" spans="2:9" ht="15" customHeight="1" x14ac:dyDescent="0.25">
      <c r="B17399" s="55" t="s">
        <v>282</v>
      </c>
      <c r="C17399" s="46">
        <v>2387</v>
      </c>
      <c r="D17399" s="69" t="s">
        <v>29419</v>
      </c>
      <c r="E17399" s="51"/>
      <c r="F17399" s="114" t="str">
        <f>IF(INDEX(I.Facility.P3IDNumber,2387)="","",INDEX(I.Facility.P3IDNumber,2387))</f>
        <v/>
      </c>
      <c r="G17399" s="51"/>
      <c r="H17399" s="46" t="str">
        <f>IF(AND(I.Developer.P3=TRUE,I.Facility.P3FacilityCount&gt;=2387,F17399=""),"Incomplete","Complete")</f>
        <v>Complete</v>
      </c>
      <c r="I17399" s="48" t="s">
        <v>21764</v>
      </c>
    </row>
    <row r="17400" spans="2:9" ht="15" customHeight="1" x14ac:dyDescent="0.25">
      <c r="B17400" s="55" t="s">
        <v>282</v>
      </c>
      <c r="C17400" s="46">
        <v>2388</v>
      </c>
      <c r="D17400" s="69" t="s">
        <v>29419</v>
      </c>
      <c r="E17400" s="51"/>
      <c r="F17400" s="114" t="str">
        <f>IF(INDEX(I.Facility.P3IDNumber,2388)="","",INDEX(I.Facility.P3IDNumber,2388))</f>
        <v/>
      </c>
      <c r="G17400" s="51"/>
      <c r="H17400" s="46" t="str">
        <f>IF(AND(I.Developer.P3=TRUE,I.Facility.P3FacilityCount&gt;=2388,F17400=""),"Incomplete","Complete")</f>
        <v>Complete</v>
      </c>
      <c r="I17400" s="48" t="s">
        <v>21765</v>
      </c>
    </row>
    <row r="17401" spans="2:9" ht="15" customHeight="1" x14ac:dyDescent="0.25">
      <c r="B17401" s="55" t="s">
        <v>282</v>
      </c>
      <c r="C17401" s="46">
        <v>2389</v>
      </c>
      <c r="D17401" s="69" t="s">
        <v>29419</v>
      </c>
      <c r="E17401" s="51"/>
      <c r="F17401" s="114" t="str">
        <f>IF(INDEX(I.Facility.P3IDNumber,2389)="","",INDEX(I.Facility.P3IDNumber,2389))</f>
        <v/>
      </c>
      <c r="G17401" s="51"/>
      <c r="H17401" s="46" t="str">
        <f>IF(AND(I.Developer.P3=TRUE,I.Facility.P3FacilityCount&gt;=2389,F17401=""),"Incomplete","Complete")</f>
        <v>Complete</v>
      </c>
      <c r="I17401" s="48" t="s">
        <v>21766</v>
      </c>
    </row>
    <row r="17402" spans="2:9" ht="15" customHeight="1" x14ac:dyDescent="0.25">
      <c r="B17402" s="55" t="s">
        <v>282</v>
      </c>
      <c r="C17402" s="46">
        <v>2390</v>
      </c>
      <c r="D17402" s="69" t="s">
        <v>29419</v>
      </c>
      <c r="E17402" s="51"/>
      <c r="F17402" s="114" t="str">
        <f>IF(INDEX(I.Facility.P3IDNumber,2390)="","",INDEX(I.Facility.P3IDNumber,2390))</f>
        <v/>
      </c>
      <c r="G17402" s="51"/>
      <c r="H17402" s="46" t="str">
        <f>IF(AND(I.Developer.P3=TRUE,I.Facility.P3FacilityCount&gt;=2390,F17402=""),"Incomplete","Complete")</f>
        <v>Complete</v>
      </c>
      <c r="I17402" s="48" t="s">
        <v>21767</v>
      </c>
    </row>
    <row r="17403" spans="2:9" ht="15" customHeight="1" x14ac:dyDescent="0.25">
      <c r="B17403" s="55" t="s">
        <v>282</v>
      </c>
      <c r="C17403" s="46">
        <v>2391</v>
      </c>
      <c r="D17403" s="69" t="s">
        <v>29419</v>
      </c>
      <c r="E17403" s="51"/>
      <c r="F17403" s="114" t="str">
        <f>IF(INDEX(I.Facility.P3IDNumber,2391)="","",INDEX(I.Facility.P3IDNumber,2391))</f>
        <v/>
      </c>
      <c r="G17403" s="51"/>
      <c r="H17403" s="46" t="str">
        <f>IF(AND(I.Developer.P3=TRUE,I.Facility.P3FacilityCount&gt;=2391,F17403=""),"Incomplete","Complete")</f>
        <v>Complete</v>
      </c>
      <c r="I17403" s="48" t="s">
        <v>21768</v>
      </c>
    </row>
    <row r="17404" spans="2:9" ht="15" customHeight="1" x14ac:dyDescent="0.25">
      <c r="B17404" s="55" t="s">
        <v>282</v>
      </c>
      <c r="C17404" s="46">
        <v>2392</v>
      </c>
      <c r="D17404" s="69" t="s">
        <v>29419</v>
      </c>
      <c r="E17404" s="51"/>
      <c r="F17404" s="114" t="str">
        <f>IF(INDEX(I.Facility.P3IDNumber,2392)="","",INDEX(I.Facility.P3IDNumber,2392))</f>
        <v/>
      </c>
      <c r="G17404" s="51"/>
      <c r="H17404" s="46" t="str">
        <f>IF(AND(I.Developer.P3=TRUE,I.Facility.P3FacilityCount&gt;=2392,F17404=""),"Incomplete","Complete")</f>
        <v>Complete</v>
      </c>
      <c r="I17404" s="48" t="s">
        <v>21769</v>
      </c>
    </row>
    <row r="17405" spans="2:9" ht="15" customHeight="1" x14ac:dyDescent="0.25">
      <c r="B17405" s="55" t="s">
        <v>282</v>
      </c>
      <c r="C17405" s="46">
        <v>2393</v>
      </c>
      <c r="D17405" s="69" t="s">
        <v>29419</v>
      </c>
      <c r="E17405" s="51"/>
      <c r="F17405" s="114" t="str">
        <f>IF(INDEX(I.Facility.P3IDNumber,2393)="","",INDEX(I.Facility.P3IDNumber,2393))</f>
        <v/>
      </c>
      <c r="G17405" s="51"/>
      <c r="H17405" s="46" t="str">
        <f>IF(AND(I.Developer.P3=TRUE,I.Facility.P3FacilityCount&gt;=2393,F17405=""),"Incomplete","Complete")</f>
        <v>Complete</v>
      </c>
      <c r="I17405" s="48" t="s">
        <v>21770</v>
      </c>
    </row>
    <row r="17406" spans="2:9" ht="15" customHeight="1" x14ac:dyDescent="0.25">
      <c r="B17406" s="55" t="s">
        <v>282</v>
      </c>
      <c r="C17406" s="46">
        <v>2394</v>
      </c>
      <c r="D17406" s="69" t="s">
        <v>29419</v>
      </c>
      <c r="E17406" s="51"/>
      <c r="F17406" s="114" t="str">
        <f>IF(INDEX(I.Facility.P3IDNumber,2394)="","",INDEX(I.Facility.P3IDNumber,2394))</f>
        <v/>
      </c>
      <c r="G17406" s="51"/>
      <c r="H17406" s="46" t="str">
        <f>IF(AND(I.Developer.P3=TRUE,I.Facility.P3FacilityCount&gt;=2394,F17406=""),"Incomplete","Complete")</f>
        <v>Complete</v>
      </c>
      <c r="I17406" s="48" t="s">
        <v>21771</v>
      </c>
    </row>
    <row r="17407" spans="2:9" ht="15" customHeight="1" x14ac:dyDescent="0.25">
      <c r="B17407" s="55" t="s">
        <v>282</v>
      </c>
      <c r="C17407" s="46">
        <v>2395</v>
      </c>
      <c r="D17407" s="69" t="s">
        <v>29419</v>
      </c>
      <c r="E17407" s="51"/>
      <c r="F17407" s="114" t="str">
        <f>IF(INDEX(I.Facility.P3IDNumber,2395)="","",INDEX(I.Facility.P3IDNumber,2395))</f>
        <v/>
      </c>
      <c r="G17407" s="51"/>
      <c r="H17407" s="46" t="str">
        <f>IF(AND(I.Developer.P3=TRUE,I.Facility.P3FacilityCount&gt;=2395,F17407=""),"Incomplete","Complete")</f>
        <v>Complete</v>
      </c>
      <c r="I17407" s="48" t="s">
        <v>21772</v>
      </c>
    </row>
    <row r="17408" spans="2:9" ht="15" customHeight="1" x14ac:dyDescent="0.25">
      <c r="B17408" s="55" t="s">
        <v>282</v>
      </c>
      <c r="C17408" s="46">
        <v>2396</v>
      </c>
      <c r="D17408" s="69" t="s">
        <v>29419</v>
      </c>
      <c r="E17408" s="51"/>
      <c r="F17408" s="114" t="str">
        <f>IF(INDEX(I.Facility.P3IDNumber,2396)="","",INDEX(I.Facility.P3IDNumber,2396))</f>
        <v/>
      </c>
      <c r="G17408" s="51"/>
      <c r="H17408" s="46" t="str">
        <f>IF(AND(I.Developer.P3=TRUE,I.Facility.P3FacilityCount&gt;=2396,F17408=""),"Incomplete","Complete")</f>
        <v>Complete</v>
      </c>
      <c r="I17408" s="48" t="s">
        <v>21773</v>
      </c>
    </row>
    <row r="17409" spans="2:9" ht="15" customHeight="1" x14ac:dyDescent="0.25">
      <c r="B17409" s="55" t="s">
        <v>282</v>
      </c>
      <c r="C17409" s="46">
        <v>2397</v>
      </c>
      <c r="D17409" s="69" t="s">
        <v>29419</v>
      </c>
      <c r="E17409" s="51"/>
      <c r="F17409" s="114" t="str">
        <f>IF(INDEX(I.Facility.P3IDNumber,2397)="","",INDEX(I.Facility.P3IDNumber,2397))</f>
        <v/>
      </c>
      <c r="G17409" s="51"/>
      <c r="H17409" s="46" t="str">
        <f>IF(AND(I.Developer.P3=TRUE,I.Facility.P3FacilityCount&gt;=2397,F17409=""),"Incomplete","Complete")</f>
        <v>Complete</v>
      </c>
      <c r="I17409" s="48" t="s">
        <v>21774</v>
      </c>
    </row>
    <row r="17410" spans="2:9" ht="15" customHeight="1" x14ac:dyDescent="0.25">
      <c r="B17410" s="55" t="s">
        <v>282</v>
      </c>
      <c r="C17410" s="46">
        <v>2398</v>
      </c>
      <c r="D17410" s="69" t="s">
        <v>29419</v>
      </c>
      <c r="E17410" s="51"/>
      <c r="F17410" s="114" t="str">
        <f>IF(INDEX(I.Facility.P3IDNumber,2398)="","",INDEX(I.Facility.P3IDNumber,2398))</f>
        <v/>
      </c>
      <c r="G17410" s="51"/>
      <c r="H17410" s="46" t="str">
        <f>IF(AND(I.Developer.P3=TRUE,I.Facility.P3FacilityCount&gt;=2398,F17410=""),"Incomplete","Complete")</f>
        <v>Complete</v>
      </c>
      <c r="I17410" s="48" t="s">
        <v>21775</v>
      </c>
    </row>
    <row r="17411" spans="2:9" ht="15" customHeight="1" x14ac:dyDescent="0.25">
      <c r="B17411" s="55" t="s">
        <v>282</v>
      </c>
      <c r="C17411" s="46">
        <v>2399</v>
      </c>
      <c r="D17411" s="69" t="s">
        <v>29419</v>
      </c>
      <c r="E17411" s="51"/>
      <c r="F17411" s="114" t="str">
        <f>IF(INDEX(I.Facility.P3IDNumber,2399)="","",INDEX(I.Facility.P3IDNumber,2399))</f>
        <v/>
      </c>
      <c r="G17411" s="51"/>
      <c r="H17411" s="46" t="str">
        <f>IF(AND(I.Developer.P3=TRUE,I.Facility.P3FacilityCount&gt;=2399,F17411=""),"Incomplete","Complete")</f>
        <v>Complete</v>
      </c>
      <c r="I17411" s="48" t="s">
        <v>21776</v>
      </c>
    </row>
    <row r="17412" spans="2:9" ht="15" customHeight="1" x14ac:dyDescent="0.25">
      <c r="B17412" s="55" t="s">
        <v>282</v>
      </c>
      <c r="C17412" s="46">
        <v>2400</v>
      </c>
      <c r="D17412" s="69" t="s">
        <v>29419</v>
      </c>
      <c r="E17412" s="51"/>
      <c r="F17412" s="114" t="str">
        <f>IF(INDEX(I.Facility.P3IDNumber,2400)="","",INDEX(I.Facility.P3IDNumber,2400))</f>
        <v/>
      </c>
      <c r="G17412" s="51"/>
      <c r="H17412" s="46" t="str">
        <f>IF(AND(I.Developer.P3=TRUE,I.Facility.P3FacilityCount&gt;=2400,F17412=""),"Incomplete","Complete")</f>
        <v>Complete</v>
      </c>
      <c r="I17412" s="48" t="s">
        <v>21777</v>
      </c>
    </row>
    <row r="17413" spans="2:9" ht="15" customHeight="1" x14ac:dyDescent="0.25">
      <c r="B17413" s="55" t="s">
        <v>282</v>
      </c>
      <c r="C17413" s="46">
        <v>2401</v>
      </c>
      <c r="D17413" s="69" t="s">
        <v>29419</v>
      </c>
      <c r="E17413" s="51"/>
      <c r="F17413" s="114" t="str">
        <f>IF(INDEX(I.Facility.P3IDNumber,2401)="","",INDEX(I.Facility.P3IDNumber,2401))</f>
        <v/>
      </c>
      <c r="G17413" s="51"/>
      <c r="H17413" s="46" t="str">
        <f>IF(AND(I.Developer.P3=TRUE,I.Facility.P3FacilityCount&gt;=2401,F17413=""),"Incomplete","Complete")</f>
        <v>Complete</v>
      </c>
      <c r="I17413" s="48" t="s">
        <v>21778</v>
      </c>
    </row>
    <row r="17414" spans="2:9" ht="15" customHeight="1" x14ac:dyDescent="0.25">
      <c r="B17414" s="55" t="s">
        <v>282</v>
      </c>
      <c r="C17414" s="46">
        <v>2402</v>
      </c>
      <c r="D17414" s="69" t="s">
        <v>29419</v>
      </c>
      <c r="E17414" s="51"/>
      <c r="F17414" s="114" t="str">
        <f>IF(INDEX(I.Facility.P3IDNumber,2402)="","",INDEX(I.Facility.P3IDNumber,2402))</f>
        <v/>
      </c>
      <c r="G17414" s="51"/>
      <c r="H17414" s="46" t="str">
        <f>IF(AND(I.Developer.P3=TRUE,I.Facility.P3FacilityCount&gt;=2402,F17414=""),"Incomplete","Complete")</f>
        <v>Complete</v>
      </c>
      <c r="I17414" s="48" t="s">
        <v>21779</v>
      </c>
    </row>
    <row r="17415" spans="2:9" ht="15" customHeight="1" x14ac:dyDescent="0.25">
      <c r="B17415" s="55" t="s">
        <v>282</v>
      </c>
      <c r="C17415" s="46">
        <v>2403</v>
      </c>
      <c r="D17415" s="69" t="s">
        <v>29419</v>
      </c>
      <c r="E17415" s="51"/>
      <c r="F17415" s="114" t="str">
        <f>IF(INDEX(I.Facility.P3IDNumber,2403)="","",INDEX(I.Facility.P3IDNumber,2403))</f>
        <v/>
      </c>
      <c r="G17415" s="51"/>
      <c r="H17415" s="46" t="str">
        <f>IF(AND(I.Developer.P3=TRUE,I.Facility.P3FacilityCount&gt;=2403,F17415=""),"Incomplete","Complete")</f>
        <v>Complete</v>
      </c>
      <c r="I17415" s="48" t="s">
        <v>21780</v>
      </c>
    </row>
    <row r="17416" spans="2:9" ht="15" customHeight="1" x14ac:dyDescent="0.25">
      <c r="B17416" s="55" t="s">
        <v>282</v>
      </c>
      <c r="C17416" s="46">
        <v>2404</v>
      </c>
      <c r="D17416" s="69" t="s">
        <v>29419</v>
      </c>
      <c r="E17416" s="51"/>
      <c r="F17416" s="114" t="str">
        <f>IF(INDEX(I.Facility.P3IDNumber,2404)="","",INDEX(I.Facility.P3IDNumber,2404))</f>
        <v/>
      </c>
      <c r="G17416" s="51"/>
      <c r="H17416" s="46" t="str">
        <f>IF(AND(I.Developer.P3=TRUE,I.Facility.P3FacilityCount&gt;=2404,F17416=""),"Incomplete","Complete")</f>
        <v>Complete</v>
      </c>
      <c r="I17416" s="48" t="s">
        <v>21781</v>
      </c>
    </row>
    <row r="17417" spans="2:9" ht="15" customHeight="1" x14ac:dyDescent="0.25">
      <c r="B17417" s="55" t="s">
        <v>282</v>
      </c>
      <c r="C17417" s="46">
        <v>2405</v>
      </c>
      <c r="D17417" s="69" t="s">
        <v>29419</v>
      </c>
      <c r="E17417" s="51"/>
      <c r="F17417" s="114" t="str">
        <f>IF(INDEX(I.Facility.P3IDNumber,2405)="","",INDEX(I.Facility.P3IDNumber,2405))</f>
        <v/>
      </c>
      <c r="G17417" s="51"/>
      <c r="H17417" s="46" t="str">
        <f>IF(AND(I.Developer.P3=TRUE,I.Facility.P3FacilityCount&gt;=2405,F17417=""),"Incomplete","Complete")</f>
        <v>Complete</v>
      </c>
      <c r="I17417" s="48" t="s">
        <v>21782</v>
      </c>
    </row>
    <row r="17418" spans="2:9" ht="15" customHeight="1" x14ac:dyDescent="0.25">
      <c r="B17418" s="55" t="s">
        <v>282</v>
      </c>
      <c r="C17418" s="46">
        <v>2406</v>
      </c>
      <c r="D17418" s="69" t="s">
        <v>29419</v>
      </c>
      <c r="E17418" s="51"/>
      <c r="F17418" s="114" t="str">
        <f>IF(INDEX(I.Facility.P3IDNumber,2406)="","",INDEX(I.Facility.P3IDNumber,2406))</f>
        <v/>
      </c>
      <c r="G17418" s="51"/>
      <c r="H17418" s="46" t="str">
        <f>IF(AND(I.Developer.P3=TRUE,I.Facility.P3FacilityCount&gt;=2406,F17418=""),"Incomplete","Complete")</f>
        <v>Complete</v>
      </c>
      <c r="I17418" s="48" t="s">
        <v>21783</v>
      </c>
    </row>
    <row r="17419" spans="2:9" ht="15" customHeight="1" x14ac:dyDescent="0.25">
      <c r="B17419" s="55" t="s">
        <v>282</v>
      </c>
      <c r="C17419" s="46">
        <v>2407</v>
      </c>
      <c r="D17419" s="69" t="s">
        <v>29419</v>
      </c>
      <c r="E17419" s="51"/>
      <c r="F17419" s="114" t="str">
        <f>IF(INDEX(I.Facility.P3IDNumber,2407)="","",INDEX(I.Facility.P3IDNumber,2407))</f>
        <v/>
      </c>
      <c r="G17419" s="51"/>
      <c r="H17419" s="46" t="str">
        <f>IF(AND(I.Developer.P3=TRUE,I.Facility.P3FacilityCount&gt;=2407,F17419=""),"Incomplete","Complete")</f>
        <v>Complete</v>
      </c>
      <c r="I17419" s="48" t="s">
        <v>21784</v>
      </c>
    </row>
    <row r="17420" spans="2:9" ht="15" customHeight="1" x14ac:dyDescent="0.25">
      <c r="B17420" s="55" t="s">
        <v>282</v>
      </c>
      <c r="C17420" s="46">
        <v>2408</v>
      </c>
      <c r="D17420" s="69" t="s">
        <v>29419</v>
      </c>
      <c r="E17420" s="51"/>
      <c r="F17420" s="114" t="str">
        <f>IF(INDEX(I.Facility.P3IDNumber,2408)="","",INDEX(I.Facility.P3IDNumber,2408))</f>
        <v/>
      </c>
      <c r="G17420" s="51"/>
      <c r="H17420" s="46" t="str">
        <f>IF(AND(I.Developer.P3=TRUE,I.Facility.P3FacilityCount&gt;=2408,F17420=""),"Incomplete","Complete")</f>
        <v>Complete</v>
      </c>
      <c r="I17420" s="48" t="s">
        <v>21785</v>
      </c>
    </row>
    <row r="17421" spans="2:9" ht="15" customHeight="1" x14ac:dyDescent="0.25">
      <c r="B17421" s="55" t="s">
        <v>282</v>
      </c>
      <c r="C17421" s="46">
        <v>2409</v>
      </c>
      <c r="D17421" s="69" t="s">
        <v>29419</v>
      </c>
      <c r="E17421" s="51"/>
      <c r="F17421" s="114" t="str">
        <f>IF(INDEX(I.Facility.P3IDNumber,2409)="","",INDEX(I.Facility.P3IDNumber,2409))</f>
        <v/>
      </c>
      <c r="G17421" s="51"/>
      <c r="H17421" s="46" t="str">
        <f>IF(AND(I.Developer.P3=TRUE,I.Facility.P3FacilityCount&gt;=2409,F17421=""),"Incomplete","Complete")</f>
        <v>Complete</v>
      </c>
      <c r="I17421" s="48" t="s">
        <v>21786</v>
      </c>
    </row>
    <row r="17422" spans="2:9" ht="15" customHeight="1" x14ac:dyDescent="0.25">
      <c r="B17422" s="55" t="s">
        <v>282</v>
      </c>
      <c r="C17422" s="46">
        <v>2410</v>
      </c>
      <c r="D17422" s="69" t="s">
        <v>29419</v>
      </c>
      <c r="E17422" s="51"/>
      <c r="F17422" s="114" t="str">
        <f>IF(INDEX(I.Facility.P3IDNumber,2410)="","",INDEX(I.Facility.P3IDNumber,2410))</f>
        <v/>
      </c>
      <c r="G17422" s="51"/>
      <c r="H17422" s="46" t="str">
        <f>IF(AND(I.Developer.P3=TRUE,I.Facility.P3FacilityCount&gt;=2410,F17422=""),"Incomplete","Complete")</f>
        <v>Complete</v>
      </c>
      <c r="I17422" s="48" t="s">
        <v>21787</v>
      </c>
    </row>
    <row r="17423" spans="2:9" ht="15" customHeight="1" x14ac:dyDescent="0.25">
      <c r="B17423" s="55" t="s">
        <v>282</v>
      </c>
      <c r="C17423" s="46">
        <v>2411</v>
      </c>
      <c r="D17423" s="69" t="s">
        <v>29419</v>
      </c>
      <c r="E17423" s="51"/>
      <c r="F17423" s="114" t="str">
        <f>IF(INDEX(I.Facility.P3IDNumber,2411)="","",INDEX(I.Facility.P3IDNumber,2411))</f>
        <v/>
      </c>
      <c r="G17423" s="51"/>
      <c r="H17423" s="46" t="str">
        <f>IF(AND(I.Developer.P3=TRUE,I.Facility.P3FacilityCount&gt;=2411,F17423=""),"Incomplete","Complete")</f>
        <v>Complete</v>
      </c>
      <c r="I17423" s="48" t="s">
        <v>21788</v>
      </c>
    </row>
    <row r="17424" spans="2:9" ht="15" customHeight="1" x14ac:dyDescent="0.25">
      <c r="B17424" s="55" t="s">
        <v>282</v>
      </c>
      <c r="C17424" s="46">
        <v>2412</v>
      </c>
      <c r="D17424" s="69" t="s">
        <v>29419</v>
      </c>
      <c r="E17424" s="51"/>
      <c r="F17424" s="114" t="str">
        <f>IF(INDEX(I.Facility.P3IDNumber,2412)="","",INDEX(I.Facility.P3IDNumber,2412))</f>
        <v/>
      </c>
      <c r="G17424" s="51"/>
      <c r="H17424" s="46" t="str">
        <f>IF(AND(I.Developer.P3=TRUE,I.Facility.P3FacilityCount&gt;=2412,F17424=""),"Incomplete","Complete")</f>
        <v>Complete</v>
      </c>
      <c r="I17424" s="48" t="s">
        <v>21789</v>
      </c>
    </row>
    <row r="17425" spans="2:9" ht="15" customHeight="1" x14ac:dyDescent="0.25">
      <c r="B17425" s="55" t="s">
        <v>282</v>
      </c>
      <c r="C17425" s="46">
        <v>2413</v>
      </c>
      <c r="D17425" s="69" t="s">
        <v>29419</v>
      </c>
      <c r="E17425" s="51"/>
      <c r="F17425" s="114" t="str">
        <f>IF(INDEX(I.Facility.P3IDNumber,2413)="","",INDEX(I.Facility.P3IDNumber,2413))</f>
        <v/>
      </c>
      <c r="G17425" s="51"/>
      <c r="H17425" s="46" t="str">
        <f>IF(AND(I.Developer.P3=TRUE,I.Facility.P3FacilityCount&gt;=2413,F17425=""),"Incomplete","Complete")</f>
        <v>Complete</v>
      </c>
      <c r="I17425" s="48" t="s">
        <v>21790</v>
      </c>
    </row>
    <row r="17426" spans="2:9" ht="15" customHeight="1" x14ac:dyDescent="0.25">
      <c r="B17426" s="55" t="s">
        <v>282</v>
      </c>
      <c r="C17426" s="46">
        <v>2414</v>
      </c>
      <c r="D17426" s="69" t="s">
        <v>29419</v>
      </c>
      <c r="E17426" s="51"/>
      <c r="F17426" s="114" t="str">
        <f>IF(INDEX(I.Facility.P3IDNumber,2414)="","",INDEX(I.Facility.P3IDNumber,2414))</f>
        <v/>
      </c>
      <c r="G17426" s="51"/>
      <c r="H17426" s="46" t="str">
        <f>IF(AND(I.Developer.P3=TRUE,I.Facility.P3FacilityCount&gt;=2414,F17426=""),"Incomplete","Complete")</f>
        <v>Complete</v>
      </c>
      <c r="I17426" s="48" t="s">
        <v>21791</v>
      </c>
    </row>
    <row r="17427" spans="2:9" ht="15" customHeight="1" x14ac:dyDescent="0.25">
      <c r="B17427" s="55" t="s">
        <v>282</v>
      </c>
      <c r="C17427" s="46">
        <v>2415</v>
      </c>
      <c r="D17427" s="69" t="s">
        <v>29419</v>
      </c>
      <c r="E17427" s="51"/>
      <c r="F17427" s="114" t="str">
        <f>IF(INDEX(I.Facility.P3IDNumber,2415)="","",INDEX(I.Facility.P3IDNumber,2415))</f>
        <v/>
      </c>
      <c r="G17427" s="51"/>
      <c r="H17427" s="46" t="str">
        <f>IF(AND(I.Developer.P3=TRUE,I.Facility.P3FacilityCount&gt;=2415,F17427=""),"Incomplete","Complete")</f>
        <v>Complete</v>
      </c>
      <c r="I17427" s="48" t="s">
        <v>21792</v>
      </c>
    </row>
    <row r="17428" spans="2:9" ht="15" customHeight="1" x14ac:dyDescent="0.25">
      <c r="B17428" s="55" t="s">
        <v>282</v>
      </c>
      <c r="C17428" s="46">
        <v>2416</v>
      </c>
      <c r="D17428" s="69" t="s">
        <v>29419</v>
      </c>
      <c r="E17428" s="51"/>
      <c r="F17428" s="114" t="str">
        <f>IF(INDEX(I.Facility.P3IDNumber,2416)="","",INDEX(I.Facility.P3IDNumber,2416))</f>
        <v/>
      </c>
      <c r="G17428" s="51"/>
      <c r="H17428" s="46" t="str">
        <f>IF(AND(I.Developer.P3=TRUE,I.Facility.P3FacilityCount&gt;=2416,F17428=""),"Incomplete","Complete")</f>
        <v>Complete</v>
      </c>
      <c r="I17428" s="48" t="s">
        <v>21793</v>
      </c>
    </row>
    <row r="17429" spans="2:9" ht="15" customHeight="1" x14ac:dyDescent="0.25">
      <c r="B17429" s="55" t="s">
        <v>282</v>
      </c>
      <c r="C17429" s="46">
        <v>2417</v>
      </c>
      <c r="D17429" s="69" t="s">
        <v>29419</v>
      </c>
      <c r="E17429" s="51"/>
      <c r="F17429" s="114" t="str">
        <f>IF(INDEX(I.Facility.P3IDNumber,2417)="","",INDEX(I.Facility.P3IDNumber,2417))</f>
        <v/>
      </c>
      <c r="G17429" s="51"/>
      <c r="H17429" s="46" t="str">
        <f>IF(AND(I.Developer.P3=TRUE,I.Facility.P3FacilityCount&gt;=2417,F17429=""),"Incomplete","Complete")</f>
        <v>Complete</v>
      </c>
      <c r="I17429" s="48" t="s">
        <v>21794</v>
      </c>
    </row>
    <row r="17430" spans="2:9" ht="15" customHeight="1" x14ac:dyDescent="0.25">
      <c r="B17430" s="55" t="s">
        <v>282</v>
      </c>
      <c r="C17430" s="46">
        <v>2418</v>
      </c>
      <c r="D17430" s="69" t="s">
        <v>29419</v>
      </c>
      <c r="E17430" s="51"/>
      <c r="F17430" s="114" t="str">
        <f>IF(INDEX(I.Facility.P3IDNumber,2418)="","",INDEX(I.Facility.P3IDNumber,2418))</f>
        <v/>
      </c>
      <c r="G17430" s="51"/>
      <c r="H17430" s="46" t="str">
        <f>IF(AND(I.Developer.P3=TRUE,I.Facility.P3FacilityCount&gt;=2418,F17430=""),"Incomplete","Complete")</f>
        <v>Complete</v>
      </c>
      <c r="I17430" s="48" t="s">
        <v>21795</v>
      </c>
    </row>
    <row r="17431" spans="2:9" ht="15" customHeight="1" x14ac:dyDescent="0.25">
      <c r="B17431" s="55" t="s">
        <v>282</v>
      </c>
      <c r="C17431" s="46">
        <v>2419</v>
      </c>
      <c r="D17431" s="69" t="s">
        <v>29419</v>
      </c>
      <c r="E17431" s="51"/>
      <c r="F17431" s="114" t="str">
        <f>IF(INDEX(I.Facility.P3IDNumber,2419)="","",INDEX(I.Facility.P3IDNumber,2419))</f>
        <v/>
      </c>
      <c r="G17431" s="51"/>
      <c r="H17431" s="46" t="str">
        <f>IF(AND(I.Developer.P3=TRUE,I.Facility.P3FacilityCount&gt;=2419,F17431=""),"Incomplete","Complete")</f>
        <v>Complete</v>
      </c>
      <c r="I17431" s="48" t="s">
        <v>21796</v>
      </c>
    </row>
    <row r="17432" spans="2:9" ht="15" customHeight="1" x14ac:dyDescent="0.25">
      <c r="B17432" s="55" t="s">
        <v>282</v>
      </c>
      <c r="C17432" s="46">
        <v>2420</v>
      </c>
      <c r="D17432" s="69" t="s">
        <v>29419</v>
      </c>
      <c r="E17432" s="51"/>
      <c r="F17432" s="114" t="str">
        <f>IF(INDEX(I.Facility.P3IDNumber,2420)="","",INDEX(I.Facility.P3IDNumber,2420))</f>
        <v/>
      </c>
      <c r="G17432" s="51"/>
      <c r="H17432" s="46" t="str">
        <f>IF(AND(I.Developer.P3=TRUE,I.Facility.P3FacilityCount&gt;=2420,F17432=""),"Incomplete","Complete")</f>
        <v>Complete</v>
      </c>
      <c r="I17432" s="48" t="s">
        <v>21797</v>
      </c>
    </row>
    <row r="17433" spans="2:9" ht="15" customHeight="1" x14ac:dyDescent="0.25">
      <c r="B17433" s="55" t="s">
        <v>282</v>
      </c>
      <c r="C17433" s="46">
        <v>2421</v>
      </c>
      <c r="D17433" s="69" t="s">
        <v>29419</v>
      </c>
      <c r="E17433" s="51"/>
      <c r="F17433" s="114" t="str">
        <f>IF(INDEX(I.Facility.P3IDNumber,2421)="","",INDEX(I.Facility.P3IDNumber,2421))</f>
        <v/>
      </c>
      <c r="G17433" s="51"/>
      <c r="H17433" s="46" t="str">
        <f>IF(AND(I.Developer.P3=TRUE,I.Facility.P3FacilityCount&gt;=2421,F17433=""),"Incomplete","Complete")</f>
        <v>Complete</v>
      </c>
      <c r="I17433" s="48" t="s">
        <v>21798</v>
      </c>
    </row>
    <row r="17434" spans="2:9" ht="15" customHeight="1" x14ac:dyDescent="0.25">
      <c r="B17434" s="55" t="s">
        <v>282</v>
      </c>
      <c r="C17434" s="46">
        <v>2422</v>
      </c>
      <c r="D17434" s="69" t="s">
        <v>29419</v>
      </c>
      <c r="E17434" s="51"/>
      <c r="F17434" s="114" t="str">
        <f>IF(INDEX(I.Facility.P3IDNumber,2422)="","",INDEX(I.Facility.P3IDNumber,2422))</f>
        <v/>
      </c>
      <c r="G17434" s="51"/>
      <c r="H17434" s="46" t="str">
        <f>IF(AND(I.Developer.P3=TRUE,I.Facility.P3FacilityCount&gt;=2422,F17434=""),"Incomplete","Complete")</f>
        <v>Complete</v>
      </c>
      <c r="I17434" s="48" t="s">
        <v>21799</v>
      </c>
    </row>
    <row r="17435" spans="2:9" ht="15" customHeight="1" x14ac:dyDescent="0.25">
      <c r="B17435" s="55" t="s">
        <v>282</v>
      </c>
      <c r="C17435" s="46">
        <v>2423</v>
      </c>
      <c r="D17435" s="69" t="s">
        <v>29419</v>
      </c>
      <c r="E17435" s="51"/>
      <c r="F17435" s="114" t="str">
        <f>IF(INDEX(I.Facility.P3IDNumber,2423)="","",INDEX(I.Facility.P3IDNumber,2423))</f>
        <v/>
      </c>
      <c r="G17435" s="51"/>
      <c r="H17435" s="46" t="str">
        <f>IF(AND(I.Developer.P3=TRUE,I.Facility.P3FacilityCount&gt;=2423,F17435=""),"Incomplete","Complete")</f>
        <v>Complete</v>
      </c>
      <c r="I17435" s="48" t="s">
        <v>21800</v>
      </c>
    </row>
    <row r="17436" spans="2:9" ht="15" customHeight="1" x14ac:dyDescent="0.25">
      <c r="B17436" s="55" t="s">
        <v>282</v>
      </c>
      <c r="C17436" s="46">
        <v>2424</v>
      </c>
      <c r="D17436" s="69" t="s">
        <v>29419</v>
      </c>
      <c r="E17436" s="51"/>
      <c r="F17436" s="114" t="str">
        <f>IF(INDEX(I.Facility.P3IDNumber,2424)="","",INDEX(I.Facility.P3IDNumber,2424))</f>
        <v/>
      </c>
      <c r="G17436" s="51"/>
      <c r="H17436" s="46" t="str">
        <f>IF(AND(I.Developer.P3=TRUE,I.Facility.P3FacilityCount&gt;=2424,F17436=""),"Incomplete","Complete")</f>
        <v>Complete</v>
      </c>
      <c r="I17436" s="48" t="s">
        <v>21801</v>
      </c>
    </row>
    <row r="17437" spans="2:9" ht="15" customHeight="1" x14ac:dyDescent="0.25">
      <c r="B17437" s="55" t="s">
        <v>282</v>
      </c>
      <c r="C17437" s="46">
        <v>2425</v>
      </c>
      <c r="D17437" s="69" t="s">
        <v>29419</v>
      </c>
      <c r="E17437" s="51"/>
      <c r="F17437" s="114" t="str">
        <f>IF(INDEX(I.Facility.P3IDNumber,2425)="","",INDEX(I.Facility.P3IDNumber,2425))</f>
        <v/>
      </c>
      <c r="G17437" s="51"/>
      <c r="H17437" s="46" t="str">
        <f>IF(AND(I.Developer.P3=TRUE,I.Facility.P3FacilityCount&gt;=2425,F17437=""),"Incomplete","Complete")</f>
        <v>Complete</v>
      </c>
      <c r="I17437" s="48" t="s">
        <v>21802</v>
      </c>
    </row>
    <row r="17438" spans="2:9" ht="15" customHeight="1" x14ac:dyDescent="0.25">
      <c r="B17438" s="55" t="s">
        <v>282</v>
      </c>
      <c r="C17438" s="46">
        <v>2426</v>
      </c>
      <c r="D17438" s="69" t="s">
        <v>29419</v>
      </c>
      <c r="E17438" s="51"/>
      <c r="F17438" s="114" t="str">
        <f>IF(INDEX(I.Facility.P3IDNumber,2426)="","",INDEX(I.Facility.P3IDNumber,2426))</f>
        <v/>
      </c>
      <c r="G17438" s="51"/>
      <c r="H17438" s="46" t="str">
        <f>IF(AND(I.Developer.P3=TRUE,I.Facility.P3FacilityCount&gt;=2426,F17438=""),"Incomplete","Complete")</f>
        <v>Complete</v>
      </c>
      <c r="I17438" s="48" t="s">
        <v>21803</v>
      </c>
    </row>
    <row r="17439" spans="2:9" ht="15" customHeight="1" x14ac:dyDescent="0.25">
      <c r="B17439" s="55" t="s">
        <v>282</v>
      </c>
      <c r="C17439" s="46">
        <v>2427</v>
      </c>
      <c r="D17439" s="69" t="s">
        <v>29419</v>
      </c>
      <c r="E17439" s="51"/>
      <c r="F17439" s="114" t="str">
        <f>IF(INDEX(I.Facility.P3IDNumber,2427)="","",INDEX(I.Facility.P3IDNumber,2427))</f>
        <v/>
      </c>
      <c r="G17439" s="51"/>
      <c r="H17439" s="46" t="str">
        <f>IF(AND(I.Developer.P3=TRUE,I.Facility.P3FacilityCount&gt;=2427,F17439=""),"Incomplete","Complete")</f>
        <v>Complete</v>
      </c>
      <c r="I17439" s="48" t="s">
        <v>21804</v>
      </c>
    </row>
    <row r="17440" spans="2:9" ht="15" customHeight="1" x14ac:dyDescent="0.25">
      <c r="B17440" s="55" t="s">
        <v>282</v>
      </c>
      <c r="C17440" s="46">
        <v>2428</v>
      </c>
      <c r="D17440" s="69" t="s">
        <v>29419</v>
      </c>
      <c r="E17440" s="51"/>
      <c r="F17440" s="114" t="str">
        <f>IF(INDEX(I.Facility.P3IDNumber,2428)="","",INDEX(I.Facility.P3IDNumber,2428))</f>
        <v/>
      </c>
      <c r="G17440" s="51"/>
      <c r="H17440" s="46" t="str">
        <f>IF(AND(I.Developer.P3=TRUE,I.Facility.P3FacilityCount&gt;=2428,F17440=""),"Incomplete","Complete")</f>
        <v>Complete</v>
      </c>
      <c r="I17440" s="48" t="s">
        <v>21805</v>
      </c>
    </row>
    <row r="17441" spans="2:9" ht="15" customHeight="1" x14ac:dyDescent="0.25">
      <c r="B17441" s="55" t="s">
        <v>282</v>
      </c>
      <c r="C17441" s="46">
        <v>2429</v>
      </c>
      <c r="D17441" s="69" t="s">
        <v>29419</v>
      </c>
      <c r="E17441" s="51"/>
      <c r="F17441" s="114" t="str">
        <f>IF(INDEX(I.Facility.P3IDNumber,2429)="","",INDEX(I.Facility.P3IDNumber,2429))</f>
        <v/>
      </c>
      <c r="G17441" s="51"/>
      <c r="H17441" s="46" t="str">
        <f>IF(AND(I.Developer.P3=TRUE,I.Facility.P3FacilityCount&gt;=2429,F17441=""),"Incomplete","Complete")</f>
        <v>Complete</v>
      </c>
      <c r="I17441" s="48" t="s">
        <v>21806</v>
      </c>
    </row>
    <row r="17442" spans="2:9" ht="15" customHeight="1" x14ac:dyDescent="0.25">
      <c r="B17442" s="55" t="s">
        <v>282</v>
      </c>
      <c r="C17442" s="46">
        <v>2430</v>
      </c>
      <c r="D17442" s="69" t="s">
        <v>29419</v>
      </c>
      <c r="E17442" s="51"/>
      <c r="F17442" s="114" t="str">
        <f>IF(INDEX(I.Facility.P3IDNumber,2430)="","",INDEX(I.Facility.P3IDNumber,2430))</f>
        <v/>
      </c>
      <c r="G17442" s="51"/>
      <c r="H17442" s="46" t="str">
        <f>IF(AND(I.Developer.P3=TRUE,I.Facility.P3FacilityCount&gt;=2430,F17442=""),"Incomplete","Complete")</f>
        <v>Complete</v>
      </c>
      <c r="I17442" s="48" t="s">
        <v>21807</v>
      </c>
    </row>
    <row r="17443" spans="2:9" ht="15" customHeight="1" x14ac:dyDescent="0.25">
      <c r="B17443" s="55" t="s">
        <v>282</v>
      </c>
      <c r="C17443" s="46">
        <v>2431</v>
      </c>
      <c r="D17443" s="69" t="s">
        <v>29419</v>
      </c>
      <c r="E17443" s="51"/>
      <c r="F17443" s="114" t="str">
        <f>IF(INDEX(I.Facility.P3IDNumber,2431)="","",INDEX(I.Facility.P3IDNumber,2431))</f>
        <v/>
      </c>
      <c r="G17443" s="51"/>
      <c r="H17443" s="46" t="str">
        <f>IF(AND(I.Developer.P3=TRUE,I.Facility.P3FacilityCount&gt;=2431,F17443=""),"Incomplete","Complete")</f>
        <v>Complete</v>
      </c>
      <c r="I17443" s="48" t="s">
        <v>21808</v>
      </c>
    </row>
    <row r="17444" spans="2:9" ht="15" customHeight="1" x14ac:dyDescent="0.25">
      <c r="B17444" s="55" t="s">
        <v>282</v>
      </c>
      <c r="C17444" s="46">
        <v>2432</v>
      </c>
      <c r="D17444" s="69" t="s">
        <v>29419</v>
      </c>
      <c r="E17444" s="51"/>
      <c r="F17444" s="114" t="str">
        <f>IF(INDEX(I.Facility.P3IDNumber,2432)="","",INDEX(I.Facility.P3IDNumber,2432))</f>
        <v/>
      </c>
      <c r="G17444" s="51"/>
      <c r="H17444" s="46" t="str">
        <f>IF(AND(I.Developer.P3=TRUE,I.Facility.P3FacilityCount&gt;=2432,F17444=""),"Incomplete","Complete")</f>
        <v>Complete</v>
      </c>
      <c r="I17444" s="48" t="s">
        <v>21809</v>
      </c>
    </row>
    <row r="17445" spans="2:9" ht="15" customHeight="1" x14ac:dyDescent="0.25">
      <c r="B17445" s="55" t="s">
        <v>282</v>
      </c>
      <c r="C17445" s="46">
        <v>2433</v>
      </c>
      <c r="D17445" s="69" t="s">
        <v>29419</v>
      </c>
      <c r="E17445" s="51"/>
      <c r="F17445" s="114" t="str">
        <f>IF(INDEX(I.Facility.P3IDNumber,2433)="","",INDEX(I.Facility.P3IDNumber,2433))</f>
        <v/>
      </c>
      <c r="G17445" s="51"/>
      <c r="H17445" s="46" t="str">
        <f>IF(AND(I.Developer.P3=TRUE,I.Facility.P3FacilityCount&gt;=2433,F17445=""),"Incomplete","Complete")</f>
        <v>Complete</v>
      </c>
      <c r="I17445" s="48" t="s">
        <v>21810</v>
      </c>
    </row>
    <row r="17446" spans="2:9" ht="15" customHeight="1" x14ac:dyDescent="0.25">
      <c r="B17446" s="55" t="s">
        <v>282</v>
      </c>
      <c r="C17446" s="46">
        <v>2434</v>
      </c>
      <c r="D17446" s="69" t="s">
        <v>29419</v>
      </c>
      <c r="E17446" s="51"/>
      <c r="F17446" s="114" t="str">
        <f>IF(INDEX(I.Facility.P3IDNumber,2434)="","",INDEX(I.Facility.P3IDNumber,2434))</f>
        <v/>
      </c>
      <c r="G17446" s="51"/>
      <c r="H17446" s="46" t="str">
        <f>IF(AND(I.Developer.P3=TRUE,I.Facility.P3FacilityCount&gt;=2434,F17446=""),"Incomplete","Complete")</f>
        <v>Complete</v>
      </c>
      <c r="I17446" s="48" t="s">
        <v>21811</v>
      </c>
    </row>
    <row r="17447" spans="2:9" ht="15" customHeight="1" x14ac:dyDescent="0.25">
      <c r="B17447" s="55" t="s">
        <v>282</v>
      </c>
      <c r="C17447" s="46">
        <v>2435</v>
      </c>
      <c r="D17447" s="69" t="s">
        <v>29419</v>
      </c>
      <c r="E17447" s="51"/>
      <c r="F17447" s="114" t="str">
        <f>IF(INDEX(I.Facility.P3IDNumber,2435)="","",INDEX(I.Facility.P3IDNumber,2435))</f>
        <v/>
      </c>
      <c r="G17447" s="51"/>
      <c r="H17447" s="46" t="str">
        <f>IF(AND(I.Developer.P3=TRUE,I.Facility.P3FacilityCount&gt;=2435,F17447=""),"Incomplete","Complete")</f>
        <v>Complete</v>
      </c>
      <c r="I17447" s="48" t="s">
        <v>21812</v>
      </c>
    </row>
    <row r="17448" spans="2:9" ht="15" customHeight="1" x14ac:dyDescent="0.25">
      <c r="B17448" s="55" t="s">
        <v>282</v>
      </c>
      <c r="C17448" s="46">
        <v>2436</v>
      </c>
      <c r="D17448" s="69" t="s">
        <v>29419</v>
      </c>
      <c r="E17448" s="51"/>
      <c r="F17448" s="114" t="str">
        <f>IF(INDEX(I.Facility.P3IDNumber,2436)="","",INDEX(I.Facility.P3IDNumber,2436))</f>
        <v/>
      </c>
      <c r="G17448" s="51"/>
      <c r="H17448" s="46" t="str">
        <f>IF(AND(I.Developer.P3=TRUE,I.Facility.P3FacilityCount&gt;=2436,F17448=""),"Incomplete","Complete")</f>
        <v>Complete</v>
      </c>
      <c r="I17448" s="48" t="s">
        <v>21813</v>
      </c>
    </row>
    <row r="17449" spans="2:9" ht="15" customHeight="1" x14ac:dyDescent="0.25">
      <c r="B17449" s="55" t="s">
        <v>282</v>
      </c>
      <c r="C17449" s="46">
        <v>2437</v>
      </c>
      <c r="D17449" s="69" t="s">
        <v>29419</v>
      </c>
      <c r="E17449" s="51"/>
      <c r="F17449" s="114" t="str">
        <f>IF(INDEX(I.Facility.P3IDNumber,2437)="","",INDEX(I.Facility.P3IDNumber,2437))</f>
        <v/>
      </c>
      <c r="G17449" s="51"/>
      <c r="H17449" s="46" t="str">
        <f>IF(AND(I.Developer.P3=TRUE,I.Facility.P3FacilityCount&gt;=2437,F17449=""),"Incomplete","Complete")</f>
        <v>Complete</v>
      </c>
      <c r="I17449" s="48" t="s">
        <v>21814</v>
      </c>
    </row>
    <row r="17450" spans="2:9" ht="15" customHeight="1" x14ac:dyDescent="0.25">
      <c r="B17450" s="55" t="s">
        <v>282</v>
      </c>
      <c r="C17450" s="46">
        <v>2438</v>
      </c>
      <c r="D17450" s="69" t="s">
        <v>29419</v>
      </c>
      <c r="E17450" s="51"/>
      <c r="F17450" s="114" t="str">
        <f>IF(INDEX(I.Facility.P3IDNumber,2438)="","",INDEX(I.Facility.P3IDNumber,2438))</f>
        <v/>
      </c>
      <c r="G17450" s="51"/>
      <c r="H17450" s="46" t="str">
        <f>IF(AND(I.Developer.P3=TRUE,I.Facility.P3FacilityCount&gt;=2438,F17450=""),"Incomplete","Complete")</f>
        <v>Complete</v>
      </c>
      <c r="I17450" s="48" t="s">
        <v>21815</v>
      </c>
    </row>
    <row r="17451" spans="2:9" ht="15" customHeight="1" x14ac:dyDescent="0.25">
      <c r="B17451" s="55" t="s">
        <v>282</v>
      </c>
      <c r="C17451" s="46">
        <v>2439</v>
      </c>
      <c r="D17451" s="69" t="s">
        <v>29419</v>
      </c>
      <c r="E17451" s="51"/>
      <c r="F17451" s="114" t="str">
        <f>IF(INDEX(I.Facility.P3IDNumber,2439)="","",INDEX(I.Facility.P3IDNumber,2439))</f>
        <v/>
      </c>
      <c r="G17451" s="51"/>
      <c r="H17451" s="46" t="str">
        <f>IF(AND(I.Developer.P3=TRUE,I.Facility.P3FacilityCount&gt;=2439,F17451=""),"Incomplete","Complete")</f>
        <v>Complete</v>
      </c>
      <c r="I17451" s="48" t="s">
        <v>21816</v>
      </c>
    </row>
    <row r="17452" spans="2:9" ht="15" customHeight="1" x14ac:dyDescent="0.25">
      <c r="B17452" s="55" t="s">
        <v>282</v>
      </c>
      <c r="C17452" s="46">
        <v>2440</v>
      </c>
      <c r="D17452" s="69" t="s">
        <v>29419</v>
      </c>
      <c r="E17452" s="51"/>
      <c r="F17452" s="114" t="str">
        <f>IF(INDEX(I.Facility.P3IDNumber,2440)="","",INDEX(I.Facility.P3IDNumber,2440))</f>
        <v/>
      </c>
      <c r="G17452" s="51"/>
      <c r="H17452" s="46" t="str">
        <f>IF(AND(I.Developer.P3=TRUE,I.Facility.P3FacilityCount&gt;=2440,F17452=""),"Incomplete","Complete")</f>
        <v>Complete</v>
      </c>
      <c r="I17452" s="48" t="s">
        <v>21817</v>
      </c>
    </row>
    <row r="17453" spans="2:9" ht="15" customHeight="1" x14ac:dyDescent="0.25">
      <c r="B17453" s="55" t="s">
        <v>282</v>
      </c>
      <c r="C17453" s="46">
        <v>2441</v>
      </c>
      <c r="D17453" s="69" t="s">
        <v>29419</v>
      </c>
      <c r="E17453" s="51"/>
      <c r="F17453" s="114" t="str">
        <f>IF(INDEX(I.Facility.P3IDNumber,2441)="","",INDEX(I.Facility.P3IDNumber,2441))</f>
        <v/>
      </c>
      <c r="G17453" s="51"/>
      <c r="H17453" s="46" t="str">
        <f>IF(AND(I.Developer.P3=TRUE,I.Facility.P3FacilityCount&gt;=2441,F17453=""),"Incomplete","Complete")</f>
        <v>Complete</v>
      </c>
      <c r="I17453" s="48" t="s">
        <v>21818</v>
      </c>
    </row>
    <row r="17454" spans="2:9" ht="15" customHeight="1" x14ac:dyDescent="0.25">
      <c r="B17454" s="55" t="s">
        <v>282</v>
      </c>
      <c r="C17454" s="46">
        <v>2442</v>
      </c>
      <c r="D17454" s="69" t="s">
        <v>29419</v>
      </c>
      <c r="E17454" s="51"/>
      <c r="F17454" s="114" t="str">
        <f>IF(INDEX(I.Facility.P3IDNumber,2442)="","",INDEX(I.Facility.P3IDNumber,2442))</f>
        <v/>
      </c>
      <c r="G17454" s="51"/>
      <c r="H17454" s="46" t="str">
        <f>IF(AND(I.Developer.P3=TRUE,I.Facility.P3FacilityCount&gt;=2442,F17454=""),"Incomplete","Complete")</f>
        <v>Complete</v>
      </c>
      <c r="I17454" s="48" t="s">
        <v>21819</v>
      </c>
    </row>
    <row r="17455" spans="2:9" ht="15" customHeight="1" x14ac:dyDescent="0.25">
      <c r="B17455" s="55" t="s">
        <v>282</v>
      </c>
      <c r="C17455" s="46">
        <v>2443</v>
      </c>
      <c r="D17455" s="69" t="s">
        <v>29419</v>
      </c>
      <c r="E17455" s="51"/>
      <c r="F17455" s="114" t="str">
        <f>IF(INDEX(I.Facility.P3IDNumber,2443)="","",INDEX(I.Facility.P3IDNumber,2443))</f>
        <v/>
      </c>
      <c r="G17455" s="51"/>
      <c r="H17455" s="46" t="str">
        <f>IF(AND(I.Developer.P3=TRUE,I.Facility.P3FacilityCount&gt;=2443,F17455=""),"Incomplete","Complete")</f>
        <v>Complete</v>
      </c>
      <c r="I17455" s="48" t="s">
        <v>21820</v>
      </c>
    </row>
    <row r="17456" spans="2:9" ht="15" customHeight="1" x14ac:dyDescent="0.25">
      <c r="B17456" s="55" t="s">
        <v>282</v>
      </c>
      <c r="C17456" s="46">
        <v>2444</v>
      </c>
      <c r="D17456" s="69" t="s">
        <v>29419</v>
      </c>
      <c r="E17456" s="51"/>
      <c r="F17456" s="114" t="str">
        <f>IF(INDEX(I.Facility.P3IDNumber,2444)="","",INDEX(I.Facility.P3IDNumber,2444))</f>
        <v/>
      </c>
      <c r="G17456" s="51"/>
      <c r="H17456" s="46" t="str">
        <f>IF(AND(I.Developer.P3=TRUE,I.Facility.P3FacilityCount&gt;=2444,F17456=""),"Incomplete","Complete")</f>
        <v>Complete</v>
      </c>
      <c r="I17456" s="48" t="s">
        <v>21821</v>
      </c>
    </row>
    <row r="17457" spans="2:9" ht="15" customHeight="1" x14ac:dyDescent="0.25">
      <c r="B17457" s="55" t="s">
        <v>282</v>
      </c>
      <c r="C17457" s="46">
        <v>2445</v>
      </c>
      <c r="D17457" s="69" t="s">
        <v>29419</v>
      </c>
      <c r="E17457" s="51"/>
      <c r="F17457" s="114" t="str">
        <f>IF(INDEX(I.Facility.P3IDNumber,2445)="","",INDEX(I.Facility.P3IDNumber,2445))</f>
        <v/>
      </c>
      <c r="G17457" s="51"/>
      <c r="H17457" s="46" t="str">
        <f>IF(AND(I.Developer.P3=TRUE,I.Facility.P3FacilityCount&gt;=2445,F17457=""),"Incomplete","Complete")</f>
        <v>Complete</v>
      </c>
      <c r="I17457" s="48" t="s">
        <v>21822</v>
      </c>
    </row>
    <row r="17458" spans="2:9" ht="15" customHeight="1" x14ac:dyDescent="0.25">
      <c r="B17458" s="55" t="s">
        <v>282</v>
      </c>
      <c r="C17458" s="46">
        <v>2446</v>
      </c>
      <c r="D17458" s="69" t="s">
        <v>29419</v>
      </c>
      <c r="E17458" s="51"/>
      <c r="F17458" s="114" t="str">
        <f>IF(INDEX(I.Facility.P3IDNumber,2446)="","",INDEX(I.Facility.P3IDNumber,2446))</f>
        <v/>
      </c>
      <c r="G17458" s="51"/>
      <c r="H17458" s="46" t="str">
        <f>IF(AND(I.Developer.P3=TRUE,I.Facility.P3FacilityCount&gt;=2446,F17458=""),"Incomplete","Complete")</f>
        <v>Complete</v>
      </c>
      <c r="I17458" s="48" t="s">
        <v>21823</v>
      </c>
    </row>
    <row r="17459" spans="2:9" ht="15" customHeight="1" x14ac:dyDescent="0.25">
      <c r="B17459" s="55" t="s">
        <v>282</v>
      </c>
      <c r="C17459" s="46">
        <v>2447</v>
      </c>
      <c r="D17459" s="69" t="s">
        <v>29419</v>
      </c>
      <c r="E17459" s="51"/>
      <c r="F17459" s="114" t="str">
        <f>IF(INDEX(I.Facility.P3IDNumber,2447)="","",INDEX(I.Facility.P3IDNumber,2447))</f>
        <v/>
      </c>
      <c r="G17459" s="51"/>
      <c r="H17459" s="46" t="str">
        <f>IF(AND(I.Developer.P3=TRUE,I.Facility.P3FacilityCount&gt;=2447,F17459=""),"Incomplete","Complete")</f>
        <v>Complete</v>
      </c>
      <c r="I17459" s="48" t="s">
        <v>21824</v>
      </c>
    </row>
    <row r="17460" spans="2:9" ht="15" customHeight="1" x14ac:dyDescent="0.25">
      <c r="B17460" s="55" t="s">
        <v>282</v>
      </c>
      <c r="C17460" s="46">
        <v>2448</v>
      </c>
      <c r="D17460" s="69" t="s">
        <v>29419</v>
      </c>
      <c r="E17460" s="51"/>
      <c r="F17460" s="114" t="str">
        <f>IF(INDEX(I.Facility.P3IDNumber,2448)="","",INDEX(I.Facility.P3IDNumber,2448))</f>
        <v/>
      </c>
      <c r="G17460" s="51"/>
      <c r="H17460" s="46" t="str">
        <f>IF(AND(I.Developer.P3=TRUE,I.Facility.P3FacilityCount&gt;=2448,F17460=""),"Incomplete","Complete")</f>
        <v>Complete</v>
      </c>
      <c r="I17460" s="48" t="s">
        <v>21825</v>
      </c>
    </row>
    <row r="17461" spans="2:9" ht="15" customHeight="1" x14ac:dyDescent="0.25">
      <c r="B17461" s="55" t="s">
        <v>282</v>
      </c>
      <c r="C17461" s="46">
        <v>2449</v>
      </c>
      <c r="D17461" s="69" t="s">
        <v>29419</v>
      </c>
      <c r="E17461" s="51"/>
      <c r="F17461" s="114" t="str">
        <f>IF(INDEX(I.Facility.P3IDNumber,2449)="","",INDEX(I.Facility.P3IDNumber,2449))</f>
        <v/>
      </c>
      <c r="G17461" s="51"/>
      <c r="H17461" s="46" t="str">
        <f>IF(AND(I.Developer.P3=TRUE,I.Facility.P3FacilityCount&gt;=2449,F17461=""),"Incomplete","Complete")</f>
        <v>Complete</v>
      </c>
      <c r="I17461" s="48" t="s">
        <v>21826</v>
      </c>
    </row>
    <row r="17462" spans="2:9" ht="15" customHeight="1" x14ac:dyDescent="0.25">
      <c r="B17462" s="55" t="s">
        <v>282</v>
      </c>
      <c r="C17462" s="46">
        <v>2450</v>
      </c>
      <c r="D17462" s="69" t="s">
        <v>29419</v>
      </c>
      <c r="E17462" s="51"/>
      <c r="F17462" s="114" t="str">
        <f>IF(INDEX(I.Facility.P3IDNumber,2450)="","",INDEX(I.Facility.P3IDNumber,2450))</f>
        <v/>
      </c>
      <c r="G17462" s="51"/>
      <c r="H17462" s="46" t="str">
        <f>IF(AND(I.Developer.P3=TRUE,I.Facility.P3FacilityCount&gt;=2450,F17462=""),"Incomplete","Complete")</f>
        <v>Complete</v>
      </c>
      <c r="I17462" s="48" t="s">
        <v>21827</v>
      </c>
    </row>
    <row r="17463" spans="2:9" ht="15" customHeight="1" x14ac:dyDescent="0.25">
      <c r="B17463" s="55" t="s">
        <v>282</v>
      </c>
      <c r="C17463" s="46">
        <v>2451</v>
      </c>
      <c r="D17463" s="69" t="s">
        <v>29419</v>
      </c>
      <c r="E17463" s="51"/>
      <c r="F17463" s="114" t="str">
        <f>IF(INDEX(I.Facility.P3IDNumber,2451)="","",INDEX(I.Facility.P3IDNumber,2451))</f>
        <v/>
      </c>
      <c r="G17463" s="51"/>
      <c r="H17463" s="46" t="str">
        <f>IF(AND(I.Developer.P3=TRUE,I.Facility.P3FacilityCount&gt;=2451,F17463=""),"Incomplete","Complete")</f>
        <v>Complete</v>
      </c>
      <c r="I17463" s="48" t="s">
        <v>21828</v>
      </c>
    </row>
    <row r="17464" spans="2:9" ht="15" customHeight="1" x14ac:dyDescent="0.25">
      <c r="B17464" s="55" t="s">
        <v>282</v>
      </c>
      <c r="C17464" s="46">
        <v>2452</v>
      </c>
      <c r="D17464" s="69" t="s">
        <v>29419</v>
      </c>
      <c r="E17464" s="51"/>
      <c r="F17464" s="114" t="str">
        <f>IF(INDEX(I.Facility.P3IDNumber,2452)="","",INDEX(I.Facility.P3IDNumber,2452))</f>
        <v/>
      </c>
      <c r="G17464" s="51"/>
      <c r="H17464" s="46" t="str">
        <f>IF(AND(I.Developer.P3=TRUE,I.Facility.P3FacilityCount&gt;=2452,F17464=""),"Incomplete","Complete")</f>
        <v>Complete</v>
      </c>
      <c r="I17464" s="48" t="s">
        <v>21829</v>
      </c>
    </row>
    <row r="17465" spans="2:9" ht="15" customHeight="1" x14ac:dyDescent="0.25">
      <c r="B17465" s="55" t="s">
        <v>282</v>
      </c>
      <c r="C17465" s="46">
        <v>2453</v>
      </c>
      <c r="D17465" s="69" t="s">
        <v>29419</v>
      </c>
      <c r="E17465" s="51"/>
      <c r="F17465" s="114" t="str">
        <f>IF(INDEX(I.Facility.P3IDNumber,2453)="","",INDEX(I.Facility.P3IDNumber,2453))</f>
        <v/>
      </c>
      <c r="G17465" s="51"/>
      <c r="H17465" s="46" t="str">
        <f>IF(AND(I.Developer.P3=TRUE,I.Facility.P3FacilityCount&gt;=2453,F17465=""),"Incomplete","Complete")</f>
        <v>Complete</v>
      </c>
      <c r="I17465" s="48" t="s">
        <v>21830</v>
      </c>
    </row>
    <row r="17466" spans="2:9" ht="15" customHeight="1" x14ac:dyDescent="0.25">
      <c r="B17466" s="55" t="s">
        <v>282</v>
      </c>
      <c r="C17466" s="46">
        <v>2454</v>
      </c>
      <c r="D17466" s="69" t="s">
        <v>29419</v>
      </c>
      <c r="E17466" s="51"/>
      <c r="F17466" s="114" t="str">
        <f>IF(INDEX(I.Facility.P3IDNumber,2454)="","",INDEX(I.Facility.P3IDNumber,2454))</f>
        <v/>
      </c>
      <c r="G17466" s="51"/>
      <c r="H17466" s="46" t="str">
        <f>IF(AND(I.Developer.P3=TRUE,I.Facility.P3FacilityCount&gt;=2454,F17466=""),"Incomplete","Complete")</f>
        <v>Complete</v>
      </c>
      <c r="I17466" s="48" t="s">
        <v>21831</v>
      </c>
    </row>
    <row r="17467" spans="2:9" ht="15" customHeight="1" x14ac:dyDescent="0.25">
      <c r="B17467" s="55" t="s">
        <v>282</v>
      </c>
      <c r="C17467" s="46">
        <v>2455</v>
      </c>
      <c r="D17467" s="69" t="s">
        <v>29419</v>
      </c>
      <c r="E17467" s="51"/>
      <c r="F17467" s="114" t="str">
        <f>IF(INDEX(I.Facility.P3IDNumber,2455)="","",INDEX(I.Facility.P3IDNumber,2455))</f>
        <v/>
      </c>
      <c r="G17467" s="51"/>
      <c r="H17467" s="46" t="str">
        <f>IF(AND(I.Developer.P3=TRUE,I.Facility.P3FacilityCount&gt;=2455,F17467=""),"Incomplete","Complete")</f>
        <v>Complete</v>
      </c>
      <c r="I17467" s="48" t="s">
        <v>21832</v>
      </c>
    </row>
    <row r="17468" spans="2:9" ht="15" customHeight="1" x14ac:dyDescent="0.25">
      <c r="B17468" s="55" t="s">
        <v>282</v>
      </c>
      <c r="C17468" s="46">
        <v>2456</v>
      </c>
      <c r="D17468" s="69" t="s">
        <v>29419</v>
      </c>
      <c r="E17468" s="51"/>
      <c r="F17468" s="114" t="str">
        <f>IF(INDEX(I.Facility.P3IDNumber,2456)="","",INDEX(I.Facility.P3IDNumber,2456))</f>
        <v/>
      </c>
      <c r="G17468" s="51"/>
      <c r="H17468" s="46" t="str">
        <f>IF(AND(I.Developer.P3=TRUE,I.Facility.P3FacilityCount&gt;=2456,F17468=""),"Incomplete","Complete")</f>
        <v>Complete</v>
      </c>
      <c r="I17468" s="48" t="s">
        <v>21833</v>
      </c>
    </row>
    <row r="17469" spans="2:9" ht="15" customHeight="1" x14ac:dyDescent="0.25">
      <c r="B17469" s="55" t="s">
        <v>282</v>
      </c>
      <c r="C17469" s="46">
        <v>2457</v>
      </c>
      <c r="D17469" s="69" t="s">
        <v>29419</v>
      </c>
      <c r="E17469" s="51"/>
      <c r="F17469" s="114" t="str">
        <f>IF(INDEX(I.Facility.P3IDNumber,2457)="","",INDEX(I.Facility.P3IDNumber,2457))</f>
        <v/>
      </c>
      <c r="G17469" s="51"/>
      <c r="H17469" s="46" t="str">
        <f>IF(AND(I.Developer.P3=TRUE,I.Facility.P3FacilityCount&gt;=2457,F17469=""),"Incomplete","Complete")</f>
        <v>Complete</v>
      </c>
      <c r="I17469" s="48" t="s">
        <v>21834</v>
      </c>
    </row>
    <row r="17470" spans="2:9" ht="15" customHeight="1" x14ac:dyDescent="0.25">
      <c r="B17470" s="55" t="s">
        <v>282</v>
      </c>
      <c r="C17470" s="46">
        <v>2458</v>
      </c>
      <c r="D17470" s="69" t="s">
        <v>29419</v>
      </c>
      <c r="E17470" s="51"/>
      <c r="F17470" s="114" t="str">
        <f>IF(INDEX(I.Facility.P3IDNumber,2458)="","",INDEX(I.Facility.P3IDNumber,2458))</f>
        <v/>
      </c>
      <c r="G17470" s="51"/>
      <c r="H17470" s="46" t="str">
        <f>IF(AND(I.Developer.P3=TRUE,I.Facility.P3FacilityCount&gt;=2458,F17470=""),"Incomplete","Complete")</f>
        <v>Complete</v>
      </c>
      <c r="I17470" s="48" t="s">
        <v>21835</v>
      </c>
    </row>
    <row r="17471" spans="2:9" ht="15" customHeight="1" x14ac:dyDescent="0.25">
      <c r="B17471" s="55" t="s">
        <v>282</v>
      </c>
      <c r="C17471" s="46">
        <v>2459</v>
      </c>
      <c r="D17471" s="69" t="s">
        <v>29419</v>
      </c>
      <c r="E17471" s="51"/>
      <c r="F17471" s="114" t="str">
        <f>IF(INDEX(I.Facility.P3IDNumber,2459)="","",INDEX(I.Facility.P3IDNumber,2459))</f>
        <v/>
      </c>
      <c r="G17471" s="51"/>
      <c r="H17471" s="46" t="str">
        <f>IF(AND(I.Developer.P3=TRUE,I.Facility.P3FacilityCount&gt;=2459,F17471=""),"Incomplete","Complete")</f>
        <v>Complete</v>
      </c>
      <c r="I17471" s="48" t="s">
        <v>21836</v>
      </c>
    </row>
    <row r="17472" spans="2:9" ht="15" customHeight="1" x14ac:dyDescent="0.25">
      <c r="B17472" s="55" t="s">
        <v>282</v>
      </c>
      <c r="C17472" s="46">
        <v>2460</v>
      </c>
      <c r="D17472" s="69" t="s">
        <v>29419</v>
      </c>
      <c r="E17472" s="51"/>
      <c r="F17472" s="114" t="str">
        <f>IF(INDEX(I.Facility.P3IDNumber,2460)="","",INDEX(I.Facility.P3IDNumber,2460))</f>
        <v/>
      </c>
      <c r="G17472" s="51"/>
      <c r="H17472" s="46" t="str">
        <f>IF(AND(I.Developer.P3=TRUE,I.Facility.P3FacilityCount&gt;=2460,F17472=""),"Incomplete","Complete")</f>
        <v>Complete</v>
      </c>
      <c r="I17472" s="48" t="s">
        <v>21837</v>
      </c>
    </row>
    <row r="17473" spans="2:9" ht="15" customHeight="1" x14ac:dyDescent="0.25">
      <c r="B17473" s="55" t="s">
        <v>282</v>
      </c>
      <c r="C17473" s="46">
        <v>2461</v>
      </c>
      <c r="D17473" s="69" t="s">
        <v>29419</v>
      </c>
      <c r="E17473" s="51"/>
      <c r="F17473" s="114" t="str">
        <f>IF(INDEX(I.Facility.P3IDNumber,2461)="","",INDEX(I.Facility.P3IDNumber,2461))</f>
        <v/>
      </c>
      <c r="G17473" s="51"/>
      <c r="H17473" s="46" t="str">
        <f>IF(AND(I.Developer.P3=TRUE,I.Facility.P3FacilityCount&gt;=2461,F17473=""),"Incomplete","Complete")</f>
        <v>Complete</v>
      </c>
      <c r="I17473" s="48" t="s">
        <v>21838</v>
      </c>
    </row>
    <row r="17474" spans="2:9" ht="15" customHeight="1" x14ac:dyDescent="0.25">
      <c r="B17474" s="55" t="s">
        <v>282</v>
      </c>
      <c r="C17474" s="46">
        <v>2462</v>
      </c>
      <c r="D17474" s="69" t="s">
        <v>29419</v>
      </c>
      <c r="E17474" s="51"/>
      <c r="F17474" s="114" t="str">
        <f>IF(INDEX(I.Facility.P3IDNumber,2462)="","",INDEX(I.Facility.P3IDNumber,2462))</f>
        <v/>
      </c>
      <c r="G17474" s="51"/>
      <c r="H17474" s="46" t="str">
        <f>IF(AND(I.Developer.P3=TRUE,I.Facility.P3FacilityCount&gt;=2462,F17474=""),"Incomplete","Complete")</f>
        <v>Complete</v>
      </c>
      <c r="I17474" s="48" t="s">
        <v>21839</v>
      </c>
    </row>
    <row r="17475" spans="2:9" ht="15" customHeight="1" x14ac:dyDescent="0.25">
      <c r="B17475" s="55" t="s">
        <v>282</v>
      </c>
      <c r="C17475" s="46">
        <v>2463</v>
      </c>
      <c r="D17475" s="69" t="s">
        <v>29419</v>
      </c>
      <c r="E17475" s="51"/>
      <c r="F17475" s="114" t="str">
        <f>IF(INDEX(I.Facility.P3IDNumber,2463)="","",INDEX(I.Facility.P3IDNumber,2463))</f>
        <v/>
      </c>
      <c r="G17475" s="51"/>
      <c r="H17475" s="46" t="str">
        <f>IF(AND(I.Developer.P3=TRUE,I.Facility.P3FacilityCount&gt;=2463,F17475=""),"Incomplete","Complete")</f>
        <v>Complete</v>
      </c>
      <c r="I17475" s="48" t="s">
        <v>21840</v>
      </c>
    </row>
    <row r="17476" spans="2:9" ht="15" customHeight="1" x14ac:dyDescent="0.25">
      <c r="B17476" s="55" t="s">
        <v>282</v>
      </c>
      <c r="C17476" s="46">
        <v>2464</v>
      </c>
      <c r="D17476" s="69" t="s">
        <v>29419</v>
      </c>
      <c r="E17476" s="51"/>
      <c r="F17476" s="114" t="str">
        <f>IF(INDEX(I.Facility.P3IDNumber,2464)="","",INDEX(I.Facility.P3IDNumber,2464))</f>
        <v/>
      </c>
      <c r="G17476" s="51"/>
      <c r="H17476" s="46" t="str">
        <f>IF(AND(I.Developer.P3=TRUE,I.Facility.P3FacilityCount&gt;=2464,F17476=""),"Incomplete","Complete")</f>
        <v>Complete</v>
      </c>
      <c r="I17476" s="48" t="s">
        <v>21841</v>
      </c>
    </row>
    <row r="17477" spans="2:9" ht="15" customHeight="1" x14ac:dyDescent="0.25">
      <c r="B17477" s="55" t="s">
        <v>282</v>
      </c>
      <c r="C17477" s="46">
        <v>2465</v>
      </c>
      <c r="D17477" s="69" t="s">
        <v>29419</v>
      </c>
      <c r="E17477" s="51"/>
      <c r="F17477" s="114" t="str">
        <f>IF(INDEX(I.Facility.P3IDNumber,2465)="","",INDEX(I.Facility.P3IDNumber,2465))</f>
        <v/>
      </c>
      <c r="G17477" s="51"/>
      <c r="H17477" s="46" t="str">
        <f>IF(AND(I.Developer.P3=TRUE,I.Facility.P3FacilityCount&gt;=2465,F17477=""),"Incomplete","Complete")</f>
        <v>Complete</v>
      </c>
      <c r="I17477" s="48" t="s">
        <v>21842</v>
      </c>
    </row>
    <row r="17478" spans="2:9" ht="15" customHeight="1" x14ac:dyDescent="0.25">
      <c r="B17478" s="55" t="s">
        <v>282</v>
      </c>
      <c r="C17478" s="46">
        <v>2466</v>
      </c>
      <c r="D17478" s="69" t="s">
        <v>29419</v>
      </c>
      <c r="E17478" s="51"/>
      <c r="F17478" s="114" t="str">
        <f>IF(INDEX(I.Facility.P3IDNumber,2466)="","",INDEX(I.Facility.P3IDNumber,2466))</f>
        <v/>
      </c>
      <c r="G17478" s="51"/>
      <c r="H17478" s="46" t="str">
        <f>IF(AND(I.Developer.P3=TRUE,I.Facility.P3FacilityCount&gt;=2466,F17478=""),"Incomplete","Complete")</f>
        <v>Complete</v>
      </c>
      <c r="I17478" s="48" t="s">
        <v>21843</v>
      </c>
    </row>
    <row r="17479" spans="2:9" ht="15" customHeight="1" x14ac:dyDescent="0.25">
      <c r="B17479" s="55" t="s">
        <v>282</v>
      </c>
      <c r="C17479" s="46">
        <v>2467</v>
      </c>
      <c r="D17479" s="69" t="s">
        <v>29419</v>
      </c>
      <c r="E17479" s="51"/>
      <c r="F17479" s="114" t="str">
        <f>IF(INDEX(I.Facility.P3IDNumber,2467)="","",INDEX(I.Facility.P3IDNumber,2467))</f>
        <v/>
      </c>
      <c r="G17479" s="51"/>
      <c r="H17479" s="46" t="str">
        <f>IF(AND(I.Developer.P3=TRUE,I.Facility.P3FacilityCount&gt;=2467,F17479=""),"Incomplete","Complete")</f>
        <v>Complete</v>
      </c>
      <c r="I17479" s="48" t="s">
        <v>21844</v>
      </c>
    </row>
    <row r="17480" spans="2:9" ht="15" customHeight="1" x14ac:dyDescent="0.25">
      <c r="B17480" s="55" t="s">
        <v>282</v>
      </c>
      <c r="C17480" s="46">
        <v>2468</v>
      </c>
      <c r="D17480" s="69" t="s">
        <v>29419</v>
      </c>
      <c r="E17480" s="51"/>
      <c r="F17480" s="114" t="str">
        <f>IF(INDEX(I.Facility.P3IDNumber,2468)="","",INDEX(I.Facility.P3IDNumber,2468))</f>
        <v/>
      </c>
      <c r="G17480" s="51"/>
      <c r="H17480" s="46" t="str">
        <f>IF(AND(I.Developer.P3=TRUE,I.Facility.P3FacilityCount&gt;=2468,F17480=""),"Incomplete","Complete")</f>
        <v>Complete</v>
      </c>
      <c r="I17480" s="48" t="s">
        <v>21845</v>
      </c>
    </row>
    <row r="17481" spans="2:9" ht="15" customHeight="1" x14ac:dyDescent="0.25">
      <c r="B17481" s="55" t="s">
        <v>282</v>
      </c>
      <c r="C17481" s="46">
        <v>2469</v>
      </c>
      <c r="D17481" s="69" t="s">
        <v>29419</v>
      </c>
      <c r="E17481" s="51"/>
      <c r="F17481" s="114" t="str">
        <f>IF(INDEX(I.Facility.P3IDNumber,2469)="","",INDEX(I.Facility.P3IDNumber,2469))</f>
        <v/>
      </c>
      <c r="G17481" s="51"/>
      <c r="H17481" s="46" t="str">
        <f>IF(AND(I.Developer.P3=TRUE,I.Facility.P3FacilityCount&gt;=2469,F17481=""),"Incomplete","Complete")</f>
        <v>Complete</v>
      </c>
      <c r="I17481" s="48" t="s">
        <v>21846</v>
      </c>
    </row>
    <row r="17482" spans="2:9" ht="15" customHeight="1" x14ac:dyDescent="0.25">
      <c r="B17482" s="55" t="s">
        <v>282</v>
      </c>
      <c r="C17482" s="46">
        <v>2470</v>
      </c>
      <c r="D17482" s="69" t="s">
        <v>29419</v>
      </c>
      <c r="E17482" s="51"/>
      <c r="F17482" s="114" t="str">
        <f>IF(INDEX(I.Facility.P3IDNumber,2470)="","",INDEX(I.Facility.P3IDNumber,2470))</f>
        <v/>
      </c>
      <c r="G17482" s="51"/>
      <c r="H17482" s="46" t="str">
        <f>IF(AND(I.Developer.P3=TRUE,I.Facility.P3FacilityCount&gt;=2470,F17482=""),"Incomplete","Complete")</f>
        <v>Complete</v>
      </c>
      <c r="I17482" s="48" t="s">
        <v>21847</v>
      </c>
    </row>
    <row r="17483" spans="2:9" ht="15" customHeight="1" x14ac:dyDescent="0.25">
      <c r="B17483" s="55" t="s">
        <v>282</v>
      </c>
      <c r="C17483" s="46">
        <v>2471</v>
      </c>
      <c r="D17483" s="69" t="s">
        <v>29419</v>
      </c>
      <c r="E17483" s="51"/>
      <c r="F17483" s="114" t="str">
        <f>IF(INDEX(I.Facility.P3IDNumber,2471)="","",INDEX(I.Facility.P3IDNumber,2471))</f>
        <v/>
      </c>
      <c r="G17483" s="51"/>
      <c r="H17483" s="46" t="str">
        <f>IF(AND(I.Developer.P3=TRUE,I.Facility.P3FacilityCount&gt;=2471,F17483=""),"Incomplete","Complete")</f>
        <v>Complete</v>
      </c>
      <c r="I17483" s="48" t="s">
        <v>21848</v>
      </c>
    </row>
    <row r="17484" spans="2:9" ht="15" customHeight="1" x14ac:dyDescent="0.25">
      <c r="B17484" s="55" t="s">
        <v>282</v>
      </c>
      <c r="C17484" s="46">
        <v>2472</v>
      </c>
      <c r="D17484" s="69" t="s">
        <v>29419</v>
      </c>
      <c r="E17484" s="51"/>
      <c r="F17484" s="114" t="str">
        <f>IF(INDEX(I.Facility.P3IDNumber,2472)="","",INDEX(I.Facility.P3IDNumber,2472))</f>
        <v/>
      </c>
      <c r="G17484" s="51"/>
      <c r="H17484" s="46" t="str">
        <f>IF(AND(I.Developer.P3=TRUE,I.Facility.P3FacilityCount&gt;=2472,F17484=""),"Incomplete","Complete")</f>
        <v>Complete</v>
      </c>
      <c r="I17484" s="48" t="s">
        <v>21849</v>
      </c>
    </row>
    <row r="17485" spans="2:9" ht="15" customHeight="1" x14ac:dyDescent="0.25">
      <c r="B17485" s="55" t="s">
        <v>282</v>
      </c>
      <c r="C17485" s="46">
        <v>2473</v>
      </c>
      <c r="D17485" s="69" t="s">
        <v>29419</v>
      </c>
      <c r="E17485" s="51"/>
      <c r="F17485" s="114" t="str">
        <f>IF(INDEX(I.Facility.P3IDNumber,2473)="","",INDEX(I.Facility.P3IDNumber,2473))</f>
        <v/>
      </c>
      <c r="G17485" s="51"/>
      <c r="H17485" s="46" t="str">
        <f>IF(AND(I.Developer.P3=TRUE,I.Facility.P3FacilityCount&gt;=2473,F17485=""),"Incomplete","Complete")</f>
        <v>Complete</v>
      </c>
      <c r="I17485" s="48" t="s">
        <v>21850</v>
      </c>
    </row>
    <row r="17486" spans="2:9" ht="15" customHeight="1" x14ac:dyDescent="0.25">
      <c r="B17486" s="55" t="s">
        <v>282</v>
      </c>
      <c r="C17486" s="46">
        <v>2474</v>
      </c>
      <c r="D17486" s="69" t="s">
        <v>29419</v>
      </c>
      <c r="E17486" s="51"/>
      <c r="F17486" s="114" t="str">
        <f>IF(INDEX(I.Facility.P3IDNumber,2474)="","",INDEX(I.Facility.P3IDNumber,2474))</f>
        <v/>
      </c>
      <c r="G17486" s="51"/>
      <c r="H17486" s="46" t="str">
        <f>IF(AND(I.Developer.P3=TRUE,I.Facility.P3FacilityCount&gt;=2474,F17486=""),"Incomplete","Complete")</f>
        <v>Complete</v>
      </c>
      <c r="I17486" s="48" t="s">
        <v>21851</v>
      </c>
    </row>
    <row r="17487" spans="2:9" ht="15" customHeight="1" x14ac:dyDescent="0.25">
      <c r="B17487" s="55" t="s">
        <v>282</v>
      </c>
      <c r="C17487" s="46">
        <v>2475</v>
      </c>
      <c r="D17487" s="69" t="s">
        <v>29419</v>
      </c>
      <c r="E17487" s="51"/>
      <c r="F17487" s="114" t="str">
        <f>IF(INDEX(I.Facility.P3IDNumber,2475)="","",INDEX(I.Facility.P3IDNumber,2475))</f>
        <v/>
      </c>
      <c r="G17487" s="51"/>
      <c r="H17487" s="46" t="str">
        <f>IF(AND(I.Developer.P3=TRUE,I.Facility.P3FacilityCount&gt;=2475,F17487=""),"Incomplete","Complete")</f>
        <v>Complete</v>
      </c>
      <c r="I17487" s="48" t="s">
        <v>21852</v>
      </c>
    </row>
    <row r="17488" spans="2:9" ht="15" customHeight="1" x14ac:dyDescent="0.25">
      <c r="B17488" s="55" t="s">
        <v>282</v>
      </c>
      <c r="C17488" s="46">
        <v>2476</v>
      </c>
      <c r="D17488" s="69" t="s">
        <v>29419</v>
      </c>
      <c r="E17488" s="51"/>
      <c r="F17488" s="114" t="str">
        <f>IF(INDEX(I.Facility.P3IDNumber,2476)="","",INDEX(I.Facility.P3IDNumber,2476))</f>
        <v/>
      </c>
      <c r="G17488" s="51"/>
      <c r="H17488" s="46" t="str">
        <f>IF(AND(I.Developer.P3=TRUE,I.Facility.P3FacilityCount&gt;=2476,F17488=""),"Incomplete","Complete")</f>
        <v>Complete</v>
      </c>
      <c r="I17488" s="48" t="s">
        <v>21853</v>
      </c>
    </row>
    <row r="17489" spans="2:9" ht="15" customHeight="1" x14ac:dyDescent="0.25">
      <c r="B17489" s="55" t="s">
        <v>282</v>
      </c>
      <c r="C17489" s="46">
        <v>2477</v>
      </c>
      <c r="D17489" s="69" t="s">
        <v>29419</v>
      </c>
      <c r="E17489" s="51"/>
      <c r="F17489" s="114" t="str">
        <f>IF(INDEX(I.Facility.P3IDNumber,2477)="","",INDEX(I.Facility.P3IDNumber,2477))</f>
        <v/>
      </c>
      <c r="G17489" s="51"/>
      <c r="H17489" s="46" t="str">
        <f>IF(AND(I.Developer.P3=TRUE,I.Facility.P3FacilityCount&gt;=2477,F17489=""),"Incomplete","Complete")</f>
        <v>Complete</v>
      </c>
      <c r="I17489" s="48" t="s">
        <v>21854</v>
      </c>
    </row>
    <row r="17490" spans="2:9" ht="15" customHeight="1" x14ac:dyDescent="0.25">
      <c r="B17490" s="55" t="s">
        <v>282</v>
      </c>
      <c r="C17490" s="46">
        <v>2478</v>
      </c>
      <c r="D17490" s="69" t="s">
        <v>29419</v>
      </c>
      <c r="E17490" s="51"/>
      <c r="F17490" s="114" t="str">
        <f>IF(INDEX(I.Facility.P3IDNumber,2478)="","",INDEX(I.Facility.P3IDNumber,2478))</f>
        <v/>
      </c>
      <c r="G17490" s="51"/>
      <c r="H17490" s="46" t="str">
        <f>IF(AND(I.Developer.P3=TRUE,I.Facility.P3FacilityCount&gt;=2478,F17490=""),"Incomplete","Complete")</f>
        <v>Complete</v>
      </c>
      <c r="I17490" s="48" t="s">
        <v>21855</v>
      </c>
    </row>
    <row r="17491" spans="2:9" ht="15" customHeight="1" x14ac:dyDescent="0.25">
      <c r="B17491" s="55" t="s">
        <v>282</v>
      </c>
      <c r="C17491" s="46">
        <v>2479</v>
      </c>
      <c r="D17491" s="69" t="s">
        <v>29419</v>
      </c>
      <c r="E17491" s="51"/>
      <c r="F17491" s="114" t="str">
        <f>IF(INDEX(I.Facility.P3IDNumber,2479)="","",INDEX(I.Facility.P3IDNumber,2479))</f>
        <v/>
      </c>
      <c r="G17491" s="51"/>
      <c r="H17491" s="46" t="str">
        <f>IF(AND(I.Developer.P3=TRUE,I.Facility.P3FacilityCount&gt;=2479,F17491=""),"Incomplete","Complete")</f>
        <v>Complete</v>
      </c>
      <c r="I17491" s="48" t="s">
        <v>21856</v>
      </c>
    </row>
    <row r="17492" spans="2:9" ht="15" customHeight="1" x14ac:dyDescent="0.25">
      <c r="B17492" s="55" t="s">
        <v>282</v>
      </c>
      <c r="C17492" s="46">
        <v>2480</v>
      </c>
      <c r="D17492" s="69" t="s">
        <v>29419</v>
      </c>
      <c r="E17492" s="51"/>
      <c r="F17492" s="114" t="str">
        <f>IF(INDEX(I.Facility.P3IDNumber,2480)="","",INDEX(I.Facility.P3IDNumber,2480))</f>
        <v/>
      </c>
      <c r="G17492" s="51"/>
      <c r="H17492" s="46" t="str">
        <f>IF(AND(I.Developer.P3=TRUE,I.Facility.P3FacilityCount&gt;=2480,F17492=""),"Incomplete","Complete")</f>
        <v>Complete</v>
      </c>
      <c r="I17492" s="48" t="s">
        <v>21857</v>
      </c>
    </row>
    <row r="17493" spans="2:9" ht="15" customHeight="1" x14ac:dyDescent="0.25">
      <c r="B17493" s="55" t="s">
        <v>282</v>
      </c>
      <c r="C17493" s="46">
        <v>2481</v>
      </c>
      <c r="D17493" s="69" t="s">
        <v>29419</v>
      </c>
      <c r="E17493" s="51"/>
      <c r="F17493" s="114" t="str">
        <f>IF(INDEX(I.Facility.P3IDNumber,2481)="","",INDEX(I.Facility.P3IDNumber,2481))</f>
        <v/>
      </c>
      <c r="G17493" s="51"/>
      <c r="H17493" s="46" t="str">
        <f>IF(AND(I.Developer.P3=TRUE,I.Facility.P3FacilityCount&gt;=2481,F17493=""),"Incomplete","Complete")</f>
        <v>Complete</v>
      </c>
      <c r="I17493" s="48" t="s">
        <v>21858</v>
      </c>
    </row>
    <row r="17494" spans="2:9" ht="15" customHeight="1" x14ac:dyDescent="0.25">
      <c r="B17494" s="55" t="s">
        <v>282</v>
      </c>
      <c r="C17494" s="46">
        <v>2482</v>
      </c>
      <c r="D17494" s="69" t="s">
        <v>29419</v>
      </c>
      <c r="E17494" s="51"/>
      <c r="F17494" s="114" t="str">
        <f>IF(INDEX(I.Facility.P3IDNumber,2482)="","",INDEX(I.Facility.P3IDNumber,2482))</f>
        <v/>
      </c>
      <c r="G17494" s="51"/>
      <c r="H17494" s="46" t="str">
        <f>IF(AND(I.Developer.P3=TRUE,I.Facility.P3FacilityCount&gt;=2482,F17494=""),"Incomplete","Complete")</f>
        <v>Complete</v>
      </c>
      <c r="I17494" s="48" t="s">
        <v>21859</v>
      </c>
    </row>
    <row r="17495" spans="2:9" ht="15" customHeight="1" x14ac:dyDescent="0.25">
      <c r="B17495" s="55" t="s">
        <v>282</v>
      </c>
      <c r="C17495" s="46">
        <v>2483</v>
      </c>
      <c r="D17495" s="69" t="s">
        <v>29419</v>
      </c>
      <c r="E17495" s="51"/>
      <c r="F17495" s="114" t="str">
        <f>IF(INDEX(I.Facility.P3IDNumber,2483)="","",INDEX(I.Facility.P3IDNumber,2483))</f>
        <v/>
      </c>
      <c r="G17495" s="51"/>
      <c r="H17495" s="46" t="str">
        <f>IF(AND(I.Developer.P3=TRUE,I.Facility.P3FacilityCount&gt;=2483,F17495=""),"Incomplete","Complete")</f>
        <v>Complete</v>
      </c>
      <c r="I17495" s="48" t="s">
        <v>21860</v>
      </c>
    </row>
    <row r="17496" spans="2:9" ht="15" customHeight="1" x14ac:dyDescent="0.25">
      <c r="B17496" s="55" t="s">
        <v>282</v>
      </c>
      <c r="C17496" s="46">
        <v>2484</v>
      </c>
      <c r="D17496" s="69" t="s">
        <v>29419</v>
      </c>
      <c r="E17496" s="51"/>
      <c r="F17496" s="114" t="str">
        <f>IF(INDEX(I.Facility.P3IDNumber,2484)="","",INDEX(I.Facility.P3IDNumber,2484))</f>
        <v/>
      </c>
      <c r="G17496" s="51"/>
      <c r="H17496" s="46" t="str">
        <f>IF(AND(I.Developer.P3=TRUE,I.Facility.P3FacilityCount&gt;=2484,F17496=""),"Incomplete","Complete")</f>
        <v>Complete</v>
      </c>
      <c r="I17496" s="48" t="s">
        <v>21861</v>
      </c>
    </row>
    <row r="17497" spans="2:9" ht="15" customHeight="1" x14ac:dyDescent="0.25">
      <c r="B17497" s="55" t="s">
        <v>282</v>
      </c>
      <c r="C17497" s="46">
        <v>2485</v>
      </c>
      <c r="D17497" s="69" t="s">
        <v>29419</v>
      </c>
      <c r="E17497" s="51"/>
      <c r="F17497" s="114" t="str">
        <f>IF(INDEX(I.Facility.P3IDNumber,2485)="","",INDEX(I.Facility.P3IDNumber,2485))</f>
        <v/>
      </c>
      <c r="G17497" s="51"/>
      <c r="H17497" s="46" t="str">
        <f>IF(AND(I.Developer.P3=TRUE,I.Facility.P3FacilityCount&gt;=2485,F17497=""),"Incomplete","Complete")</f>
        <v>Complete</v>
      </c>
      <c r="I17497" s="48" t="s">
        <v>21862</v>
      </c>
    </row>
    <row r="17498" spans="2:9" ht="15" customHeight="1" x14ac:dyDescent="0.25">
      <c r="B17498" s="55" t="s">
        <v>282</v>
      </c>
      <c r="C17498" s="46">
        <v>2486</v>
      </c>
      <c r="D17498" s="69" t="s">
        <v>29419</v>
      </c>
      <c r="E17498" s="51"/>
      <c r="F17498" s="114" t="str">
        <f>IF(INDEX(I.Facility.P3IDNumber,2486)="","",INDEX(I.Facility.P3IDNumber,2486))</f>
        <v/>
      </c>
      <c r="G17498" s="51"/>
      <c r="H17498" s="46" t="str">
        <f>IF(AND(I.Developer.P3=TRUE,I.Facility.P3FacilityCount&gt;=2486,F17498=""),"Incomplete","Complete")</f>
        <v>Complete</v>
      </c>
      <c r="I17498" s="48" t="s">
        <v>21863</v>
      </c>
    </row>
    <row r="17499" spans="2:9" ht="15" customHeight="1" x14ac:dyDescent="0.25">
      <c r="B17499" s="55" t="s">
        <v>282</v>
      </c>
      <c r="C17499" s="46">
        <v>2487</v>
      </c>
      <c r="D17499" s="69" t="s">
        <v>29419</v>
      </c>
      <c r="E17499" s="51"/>
      <c r="F17499" s="114" t="str">
        <f>IF(INDEX(I.Facility.P3IDNumber,2487)="","",INDEX(I.Facility.P3IDNumber,2487))</f>
        <v/>
      </c>
      <c r="G17499" s="51"/>
      <c r="H17499" s="46" t="str">
        <f>IF(AND(I.Developer.P3=TRUE,I.Facility.P3FacilityCount&gt;=2487,F17499=""),"Incomplete","Complete")</f>
        <v>Complete</v>
      </c>
      <c r="I17499" s="48" t="s">
        <v>21864</v>
      </c>
    </row>
    <row r="17500" spans="2:9" ht="15" customHeight="1" x14ac:dyDescent="0.25">
      <c r="B17500" s="55" t="s">
        <v>282</v>
      </c>
      <c r="C17500" s="46">
        <v>2488</v>
      </c>
      <c r="D17500" s="69" t="s">
        <v>29419</v>
      </c>
      <c r="E17500" s="51"/>
      <c r="F17500" s="114" t="str">
        <f>IF(INDEX(I.Facility.P3IDNumber,2488)="","",INDEX(I.Facility.P3IDNumber,2488))</f>
        <v/>
      </c>
      <c r="G17500" s="51"/>
      <c r="H17500" s="46" t="str">
        <f>IF(AND(I.Developer.P3=TRUE,I.Facility.P3FacilityCount&gt;=2488,F17500=""),"Incomplete","Complete")</f>
        <v>Complete</v>
      </c>
      <c r="I17500" s="48" t="s">
        <v>21865</v>
      </c>
    </row>
    <row r="17501" spans="2:9" ht="15" customHeight="1" x14ac:dyDescent="0.25">
      <c r="B17501" s="55" t="s">
        <v>282</v>
      </c>
      <c r="C17501" s="46">
        <v>2489</v>
      </c>
      <c r="D17501" s="69" t="s">
        <v>29419</v>
      </c>
      <c r="E17501" s="51"/>
      <c r="F17501" s="114" t="str">
        <f>IF(INDEX(I.Facility.P3IDNumber,2489)="","",INDEX(I.Facility.P3IDNumber,2489))</f>
        <v/>
      </c>
      <c r="G17501" s="51"/>
      <c r="H17501" s="46" t="str">
        <f>IF(AND(I.Developer.P3=TRUE,I.Facility.P3FacilityCount&gt;=2489,F17501=""),"Incomplete","Complete")</f>
        <v>Complete</v>
      </c>
      <c r="I17501" s="48" t="s">
        <v>21866</v>
      </c>
    </row>
    <row r="17502" spans="2:9" ht="15" customHeight="1" x14ac:dyDescent="0.25">
      <c r="B17502" s="55" t="s">
        <v>282</v>
      </c>
      <c r="C17502" s="46">
        <v>2490</v>
      </c>
      <c r="D17502" s="69" t="s">
        <v>29419</v>
      </c>
      <c r="E17502" s="51"/>
      <c r="F17502" s="114" t="str">
        <f>IF(INDEX(I.Facility.P3IDNumber,2490)="","",INDEX(I.Facility.P3IDNumber,2490))</f>
        <v/>
      </c>
      <c r="G17502" s="51"/>
      <c r="H17502" s="46" t="str">
        <f>IF(AND(I.Developer.P3=TRUE,I.Facility.P3FacilityCount&gt;=2490,F17502=""),"Incomplete","Complete")</f>
        <v>Complete</v>
      </c>
      <c r="I17502" s="48" t="s">
        <v>21867</v>
      </c>
    </row>
    <row r="17503" spans="2:9" ht="15" customHeight="1" x14ac:dyDescent="0.25">
      <c r="B17503" s="55" t="s">
        <v>282</v>
      </c>
      <c r="C17503" s="46">
        <v>2491</v>
      </c>
      <c r="D17503" s="69" t="s">
        <v>29419</v>
      </c>
      <c r="E17503" s="51"/>
      <c r="F17503" s="114" t="str">
        <f>IF(INDEX(I.Facility.P3IDNumber,2491)="","",INDEX(I.Facility.P3IDNumber,2491))</f>
        <v/>
      </c>
      <c r="G17503" s="51"/>
      <c r="H17503" s="46" t="str">
        <f>IF(AND(I.Developer.P3=TRUE,I.Facility.P3FacilityCount&gt;=2491,F17503=""),"Incomplete","Complete")</f>
        <v>Complete</v>
      </c>
      <c r="I17503" s="48" t="s">
        <v>21868</v>
      </c>
    </row>
    <row r="17504" spans="2:9" ht="15" customHeight="1" x14ac:dyDescent="0.25">
      <c r="B17504" s="55" t="s">
        <v>282</v>
      </c>
      <c r="C17504" s="46">
        <v>2492</v>
      </c>
      <c r="D17504" s="69" t="s">
        <v>29419</v>
      </c>
      <c r="E17504" s="51"/>
      <c r="F17504" s="114" t="str">
        <f>IF(INDEX(I.Facility.P3IDNumber,2492)="","",INDEX(I.Facility.P3IDNumber,2492))</f>
        <v/>
      </c>
      <c r="G17504" s="51"/>
      <c r="H17504" s="46" t="str">
        <f>IF(AND(I.Developer.P3=TRUE,I.Facility.P3FacilityCount&gt;=2492,F17504=""),"Incomplete","Complete")</f>
        <v>Complete</v>
      </c>
      <c r="I17504" s="48" t="s">
        <v>21869</v>
      </c>
    </row>
    <row r="17505" spans="2:9" ht="15" customHeight="1" x14ac:dyDescent="0.25">
      <c r="B17505" s="55" t="s">
        <v>282</v>
      </c>
      <c r="C17505" s="46">
        <v>2493</v>
      </c>
      <c r="D17505" s="69" t="s">
        <v>29419</v>
      </c>
      <c r="E17505" s="51"/>
      <c r="F17505" s="114" t="str">
        <f>IF(INDEX(I.Facility.P3IDNumber,2493)="","",INDEX(I.Facility.P3IDNumber,2493))</f>
        <v/>
      </c>
      <c r="G17505" s="51"/>
      <c r="H17505" s="46" t="str">
        <f>IF(AND(I.Developer.P3=TRUE,I.Facility.P3FacilityCount&gt;=2493,F17505=""),"Incomplete","Complete")</f>
        <v>Complete</v>
      </c>
      <c r="I17505" s="48" t="s">
        <v>21870</v>
      </c>
    </row>
    <row r="17506" spans="2:9" ht="15" customHeight="1" x14ac:dyDescent="0.25">
      <c r="B17506" s="55" t="s">
        <v>282</v>
      </c>
      <c r="C17506" s="46">
        <v>2494</v>
      </c>
      <c r="D17506" s="69" t="s">
        <v>29419</v>
      </c>
      <c r="E17506" s="51"/>
      <c r="F17506" s="114" t="str">
        <f>IF(INDEX(I.Facility.P3IDNumber,2494)="","",INDEX(I.Facility.P3IDNumber,2494))</f>
        <v/>
      </c>
      <c r="G17506" s="51"/>
      <c r="H17506" s="46" t="str">
        <f>IF(AND(I.Developer.P3=TRUE,I.Facility.P3FacilityCount&gt;=2494,F17506=""),"Incomplete","Complete")</f>
        <v>Complete</v>
      </c>
      <c r="I17506" s="48" t="s">
        <v>21871</v>
      </c>
    </row>
    <row r="17507" spans="2:9" ht="15" customHeight="1" x14ac:dyDescent="0.25">
      <c r="B17507" s="55" t="s">
        <v>282</v>
      </c>
      <c r="C17507" s="46">
        <v>2495</v>
      </c>
      <c r="D17507" s="69" t="s">
        <v>29419</v>
      </c>
      <c r="E17507" s="51"/>
      <c r="F17507" s="114" t="str">
        <f>IF(INDEX(I.Facility.P3IDNumber,2495)="","",INDEX(I.Facility.P3IDNumber,2495))</f>
        <v/>
      </c>
      <c r="G17507" s="51"/>
      <c r="H17507" s="46" t="str">
        <f>IF(AND(I.Developer.P3=TRUE,I.Facility.P3FacilityCount&gt;=2495,F17507=""),"Incomplete","Complete")</f>
        <v>Complete</v>
      </c>
      <c r="I17507" s="48" t="s">
        <v>21872</v>
      </c>
    </row>
    <row r="17508" spans="2:9" ht="15" customHeight="1" x14ac:dyDescent="0.25">
      <c r="B17508" s="55" t="s">
        <v>282</v>
      </c>
      <c r="C17508" s="46">
        <v>2496</v>
      </c>
      <c r="D17508" s="69" t="s">
        <v>29419</v>
      </c>
      <c r="E17508" s="51"/>
      <c r="F17508" s="114" t="str">
        <f>IF(INDEX(I.Facility.P3IDNumber,2496)="","",INDEX(I.Facility.P3IDNumber,2496))</f>
        <v/>
      </c>
      <c r="G17508" s="51"/>
      <c r="H17508" s="46" t="str">
        <f>IF(AND(I.Developer.P3=TRUE,I.Facility.P3FacilityCount&gt;=2496,F17508=""),"Incomplete","Complete")</f>
        <v>Complete</v>
      </c>
      <c r="I17508" s="48" t="s">
        <v>21873</v>
      </c>
    </row>
    <row r="17509" spans="2:9" ht="15" customHeight="1" x14ac:dyDescent="0.25">
      <c r="B17509" s="55" t="s">
        <v>282</v>
      </c>
      <c r="C17509" s="46">
        <v>2497</v>
      </c>
      <c r="D17509" s="69" t="s">
        <v>29419</v>
      </c>
      <c r="E17509" s="51"/>
      <c r="F17509" s="114" t="str">
        <f>IF(INDEX(I.Facility.P3IDNumber,2497)="","",INDEX(I.Facility.P3IDNumber,2497))</f>
        <v/>
      </c>
      <c r="G17509" s="51"/>
      <c r="H17509" s="46" t="str">
        <f>IF(AND(I.Developer.P3=TRUE,I.Facility.P3FacilityCount&gt;=2497,F17509=""),"Incomplete","Complete")</f>
        <v>Complete</v>
      </c>
      <c r="I17509" s="48" t="s">
        <v>21874</v>
      </c>
    </row>
    <row r="17510" spans="2:9" ht="15" customHeight="1" x14ac:dyDescent="0.25">
      <c r="B17510" s="55" t="s">
        <v>282</v>
      </c>
      <c r="C17510" s="46">
        <v>2498</v>
      </c>
      <c r="D17510" s="69" t="s">
        <v>29419</v>
      </c>
      <c r="E17510" s="51"/>
      <c r="F17510" s="114" t="str">
        <f>IF(INDEX(I.Facility.P3IDNumber,2498)="","",INDEX(I.Facility.P3IDNumber,2498))</f>
        <v/>
      </c>
      <c r="G17510" s="51"/>
      <c r="H17510" s="46" t="str">
        <f>IF(AND(I.Developer.P3=TRUE,I.Facility.P3FacilityCount&gt;=2498,F17510=""),"Incomplete","Complete")</f>
        <v>Complete</v>
      </c>
      <c r="I17510" s="48" t="s">
        <v>21875</v>
      </c>
    </row>
    <row r="17511" spans="2:9" ht="15" customHeight="1" x14ac:dyDescent="0.25">
      <c r="B17511" s="55" t="s">
        <v>282</v>
      </c>
      <c r="C17511" s="46">
        <v>2499</v>
      </c>
      <c r="D17511" s="69" t="s">
        <v>29419</v>
      </c>
      <c r="E17511" s="51"/>
      <c r="F17511" s="114" t="str">
        <f>IF(INDEX(I.Facility.P3IDNumber,2499)="","",INDEX(I.Facility.P3IDNumber,2499))</f>
        <v/>
      </c>
      <c r="G17511" s="51"/>
      <c r="H17511" s="46" t="str">
        <f>IF(AND(I.Developer.P3=TRUE,I.Facility.P3FacilityCount&gt;=2499,F17511=""),"Incomplete","Complete")</f>
        <v>Complete</v>
      </c>
      <c r="I17511" s="48" t="s">
        <v>21876</v>
      </c>
    </row>
    <row r="17512" spans="2:9" ht="15" customHeight="1" x14ac:dyDescent="0.25">
      <c r="B17512" s="55" t="s">
        <v>282</v>
      </c>
      <c r="C17512" s="46">
        <v>2500</v>
      </c>
      <c r="D17512" s="69" t="s">
        <v>29419</v>
      </c>
      <c r="E17512" s="51"/>
      <c r="F17512" s="114" t="str">
        <f>IF(INDEX(I.Facility.P3IDNumber,2500)="","",INDEX(I.Facility.P3IDNumber,2500))</f>
        <v/>
      </c>
      <c r="G17512" s="51"/>
      <c r="H17512" s="46" t="str">
        <f>IF(AND(I.Developer.P3=TRUE,I.Facility.P3FacilityCount&gt;=2500,F17512=""),"Incomplete","Complete")</f>
        <v>Complete</v>
      </c>
      <c r="I17512" s="48" t="s">
        <v>21877</v>
      </c>
    </row>
    <row r="17513" spans="2:9" ht="15" customHeight="1" x14ac:dyDescent="0.25">
      <c r="B17513" s="55" t="s">
        <v>282</v>
      </c>
      <c r="C17513" s="46">
        <v>2501</v>
      </c>
      <c r="D17513" s="69" t="s">
        <v>29419</v>
      </c>
      <c r="E17513" s="51"/>
      <c r="F17513" s="114" t="str">
        <f>IF(INDEX(I.Facility.P3IDNumber,2501)="","",INDEX(I.Facility.P3IDNumber,2501))</f>
        <v/>
      </c>
      <c r="G17513" s="51"/>
      <c r="H17513" s="46" t="str">
        <f>IF(AND(I.Developer.P3=TRUE,I.Facility.P3FacilityCount&gt;=2501,F17513=""),"Incomplete","Complete")</f>
        <v>Complete</v>
      </c>
      <c r="I17513" s="48" t="s">
        <v>21878</v>
      </c>
    </row>
    <row r="17514" spans="2:9" ht="15" customHeight="1" x14ac:dyDescent="0.25">
      <c r="B17514" s="55" t="s">
        <v>282</v>
      </c>
      <c r="C17514" s="46">
        <v>2502</v>
      </c>
      <c r="D17514" s="69" t="s">
        <v>29419</v>
      </c>
      <c r="E17514" s="51"/>
      <c r="F17514" s="114" t="str">
        <f>IF(INDEX(I.Facility.P3IDNumber,2502)="","",INDEX(I.Facility.P3IDNumber,2502))</f>
        <v/>
      </c>
      <c r="G17514" s="51"/>
      <c r="H17514" s="46" t="str">
        <f>IF(AND(I.Developer.P3=TRUE,I.Facility.P3FacilityCount&gt;=2502,F17514=""),"Incomplete","Complete")</f>
        <v>Complete</v>
      </c>
      <c r="I17514" s="48" t="s">
        <v>21879</v>
      </c>
    </row>
    <row r="17515" spans="2:9" ht="15" customHeight="1" x14ac:dyDescent="0.25">
      <c r="B17515" s="55" t="s">
        <v>282</v>
      </c>
      <c r="C17515" s="46">
        <v>2503</v>
      </c>
      <c r="D17515" s="69" t="s">
        <v>29419</v>
      </c>
      <c r="E17515" s="51"/>
      <c r="F17515" s="114" t="str">
        <f>IF(INDEX(I.Facility.P3IDNumber,2503)="","",INDEX(I.Facility.P3IDNumber,2503))</f>
        <v/>
      </c>
      <c r="G17515" s="51"/>
      <c r="H17515" s="46" t="str">
        <f>IF(AND(I.Developer.P3=TRUE,I.Facility.P3FacilityCount&gt;=2503,F17515=""),"Incomplete","Complete")</f>
        <v>Complete</v>
      </c>
      <c r="I17515" s="48" t="s">
        <v>21880</v>
      </c>
    </row>
    <row r="17516" spans="2:9" ht="15" customHeight="1" x14ac:dyDescent="0.25">
      <c r="B17516" s="55" t="s">
        <v>282</v>
      </c>
      <c r="C17516" s="46">
        <v>2504</v>
      </c>
      <c r="D17516" s="69" t="s">
        <v>29419</v>
      </c>
      <c r="E17516" s="51"/>
      <c r="F17516" s="114" t="str">
        <f>IF(INDEX(I.Facility.P3IDNumber,2504)="","",INDEX(I.Facility.P3IDNumber,2504))</f>
        <v/>
      </c>
      <c r="G17516" s="51"/>
      <c r="H17516" s="46" t="str">
        <f>IF(AND(I.Developer.P3=TRUE,I.Facility.P3FacilityCount&gt;=2504,F17516=""),"Incomplete","Complete")</f>
        <v>Complete</v>
      </c>
      <c r="I17516" s="48" t="s">
        <v>21881</v>
      </c>
    </row>
    <row r="17517" spans="2:9" ht="15" customHeight="1" x14ac:dyDescent="0.25">
      <c r="B17517" s="55" t="s">
        <v>282</v>
      </c>
      <c r="C17517" s="46">
        <v>2505</v>
      </c>
      <c r="D17517" s="69" t="s">
        <v>29419</v>
      </c>
      <c r="E17517" s="51"/>
      <c r="F17517" s="114" t="str">
        <f>IF(INDEX(I.Facility.P3IDNumber,2505)="","",INDEX(I.Facility.P3IDNumber,2505))</f>
        <v/>
      </c>
      <c r="G17517" s="51"/>
      <c r="H17517" s="46" t="str">
        <f>IF(AND(I.Developer.P3=TRUE,I.Facility.P3FacilityCount&gt;=2505,F17517=""),"Incomplete","Complete")</f>
        <v>Complete</v>
      </c>
      <c r="I17517" s="48" t="s">
        <v>21882</v>
      </c>
    </row>
    <row r="17518" spans="2:9" ht="15" customHeight="1" x14ac:dyDescent="0.25">
      <c r="B17518" s="55" t="s">
        <v>282</v>
      </c>
      <c r="C17518" s="46">
        <v>2506</v>
      </c>
      <c r="D17518" s="69" t="s">
        <v>29419</v>
      </c>
      <c r="E17518" s="51"/>
      <c r="F17518" s="114" t="str">
        <f>IF(INDEX(I.Facility.P3IDNumber,2506)="","",INDEX(I.Facility.P3IDNumber,2506))</f>
        <v/>
      </c>
      <c r="G17518" s="51"/>
      <c r="H17518" s="46" t="str">
        <f>IF(AND(I.Developer.P3=TRUE,I.Facility.P3FacilityCount&gt;=2506,F17518=""),"Incomplete","Complete")</f>
        <v>Complete</v>
      </c>
      <c r="I17518" s="48" t="s">
        <v>21883</v>
      </c>
    </row>
    <row r="17519" spans="2:9" ht="15" customHeight="1" x14ac:dyDescent="0.25">
      <c r="B17519" s="55" t="s">
        <v>282</v>
      </c>
      <c r="C17519" s="46">
        <v>2507</v>
      </c>
      <c r="D17519" s="69" t="s">
        <v>29419</v>
      </c>
      <c r="E17519" s="51"/>
      <c r="F17519" s="114" t="str">
        <f>IF(INDEX(I.Facility.P3IDNumber,2507)="","",INDEX(I.Facility.P3IDNumber,2507))</f>
        <v/>
      </c>
      <c r="G17519" s="51"/>
      <c r="H17519" s="46" t="str">
        <f>IF(AND(I.Developer.P3=TRUE,I.Facility.P3FacilityCount&gt;=2507,F17519=""),"Incomplete","Complete")</f>
        <v>Complete</v>
      </c>
      <c r="I17519" s="48" t="s">
        <v>21884</v>
      </c>
    </row>
    <row r="17520" spans="2:9" ht="15" customHeight="1" x14ac:dyDescent="0.25">
      <c r="B17520" s="55" t="s">
        <v>282</v>
      </c>
      <c r="C17520" s="46">
        <v>2508</v>
      </c>
      <c r="D17520" s="69" t="s">
        <v>29419</v>
      </c>
      <c r="E17520" s="51"/>
      <c r="F17520" s="114" t="str">
        <f>IF(INDEX(I.Facility.P3IDNumber,2508)="","",INDEX(I.Facility.P3IDNumber,2508))</f>
        <v/>
      </c>
      <c r="G17520" s="51"/>
      <c r="H17520" s="46" t="str">
        <f>IF(AND(I.Developer.P3=TRUE,I.Facility.P3FacilityCount&gt;=2508,F17520=""),"Incomplete","Complete")</f>
        <v>Complete</v>
      </c>
      <c r="I17520" s="48" t="s">
        <v>21885</v>
      </c>
    </row>
    <row r="17521" spans="2:9" ht="15" customHeight="1" x14ac:dyDescent="0.25">
      <c r="B17521" s="55" t="s">
        <v>282</v>
      </c>
      <c r="C17521" s="46">
        <v>2509</v>
      </c>
      <c r="D17521" s="69" t="s">
        <v>29419</v>
      </c>
      <c r="E17521" s="51"/>
      <c r="F17521" s="114" t="str">
        <f>IF(INDEX(I.Facility.P3IDNumber,2509)="","",INDEX(I.Facility.P3IDNumber,2509))</f>
        <v/>
      </c>
      <c r="G17521" s="51"/>
      <c r="H17521" s="46" t="str">
        <f>IF(AND(I.Developer.P3=TRUE,I.Facility.P3FacilityCount&gt;=2509,F17521=""),"Incomplete","Complete")</f>
        <v>Complete</v>
      </c>
      <c r="I17521" s="48" t="s">
        <v>21886</v>
      </c>
    </row>
    <row r="17522" spans="2:9" ht="15" customHeight="1" x14ac:dyDescent="0.25">
      <c r="B17522" s="55" t="s">
        <v>282</v>
      </c>
      <c r="C17522" s="46">
        <v>2510</v>
      </c>
      <c r="D17522" s="69" t="s">
        <v>29419</v>
      </c>
      <c r="E17522" s="51"/>
      <c r="F17522" s="114" t="str">
        <f>IF(INDEX(I.Facility.P3IDNumber,2510)="","",INDEX(I.Facility.P3IDNumber,2510))</f>
        <v/>
      </c>
      <c r="G17522" s="51"/>
      <c r="H17522" s="46" t="str">
        <f>IF(AND(I.Developer.P3=TRUE,I.Facility.P3FacilityCount&gt;=2510,F17522=""),"Incomplete","Complete")</f>
        <v>Complete</v>
      </c>
      <c r="I17522" s="48" t="s">
        <v>21887</v>
      </c>
    </row>
    <row r="17523" spans="2:9" ht="15" customHeight="1" x14ac:dyDescent="0.25">
      <c r="B17523" s="55" t="s">
        <v>282</v>
      </c>
      <c r="C17523" s="46">
        <v>2511</v>
      </c>
      <c r="D17523" s="69" t="s">
        <v>29419</v>
      </c>
      <c r="E17523" s="51"/>
      <c r="F17523" s="114" t="str">
        <f>IF(INDEX(I.Facility.P3IDNumber,2511)="","",INDEX(I.Facility.P3IDNumber,2511))</f>
        <v/>
      </c>
      <c r="G17523" s="51"/>
      <c r="H17523" s="46" t="str">
        <f>IF(AND(I.Developer.P3=TRUE,I.Facility.P3FacilityCount&gt;=2511,F17523=""),"Incomplete","Complete")</f>
        <v>Complete</v>
      </c>
      <c r="I17523" s="48" t="s">
        <v>21888</v>
      </c>
    </row>
    <row r="17524" spans="2:9" ht="15" customHeight="1" x14ac:dyDescent="0.25">
      <c r="B17524" s="55" t="s">
        <v>282</v>
      </c>
      <c r="C17524" s="46">
        <v>2512</v>
      </c>
      <c r="D17524" s="69" t="s">
        <v>29419</v>
      </c>
      <c r="E17524" s="51"/>
      <c r="F17524" s="114" t="str">
        <f>IF(INDEX(I.Facility.P3IDNumber,2512)="","",INDEX(I.Facility.P3IDNumber,2512))</f>
        <v/>
      </c>
      <c r="G17524" s="51"/>
      <c r="H17524" s="46" t="str">
        <f>IF(AND(I.Developer.P3=TRUE,I.Facility.P3FacilityCount&gt;=2512,F17524=""),"Incomplete","Complete")</f>
        <v>Complete</v>
      </c>
      <c r="I17524" s="48" t="s">
        <v>21889</v>
      </c>
    </row>
    <row r="17525" spans="2:9" ht="15" customHeight="1" x14ac:dyDescent="0.25">
      <c r="B17525" s="55" t="s">
        <v>282</v>
      </c>
      <c r="C17525" s="46">
        <v>2513</v>
      </c>
      <c r="D17525" s="69" t="s">
        <v>29419</v>
      </c>
      <c r="E17525" s="51"/>
      <c r="F17525" s="114" t="str">
        <f>IF(INDEX(I.Facility.P3IDNumber,2513)="","",INDEX(I.Facility.P3IDNumber,2513))</f>
        <v/>
      </c>
      <c r="G17525" s="51"/>
      <c r="H17525" s="46" t="str">
        <f>IF(AND(I.Developer.P3=TRUE,I.Facility.P3FacilityCount&gt;=2513,F17525=""),"Incomplete","Complete")</f>
        <v>Complete</v>
      </c>
      <c r="I17525" s="48" t="s">
        <v>21890</v>
      </c>
    </row>
    <row r="17526" spans="2:9" ht="15" customHeight="1" x14ac:dyDescent="0.25">
      <c r="B17526" s="55" t="s">
        <v>282</v>
      </c>
      <c r="C17526" s="46">
        <v>2514</v>
      </c>
      <c r="D17526" s="69" t="s">
        <v>29419</v>
      </c>
      <c r="E17526" s="51"/>
      <c r="F17526" s="114" t="str">
        <f>IF(INDEX(I.Facility.P3IDNumber,2514)="","",INDEX(I.Facility.P3IDNumber,2514))</f>
        <v/>
      </c>
      <c r="G17526" s="51"/>
      <c r="H17526" s="46" t="str">
        <f>IF(AND(I.Developer.P3=TRUE,I.Facility.P3FacilityCount&gt;=2514,F17526=""),"Incomplete","Complete")</f>
        <v>Complete</v>
      </c>
      <c r="I17526" s="48" t="s">
        <v>21891</v>
      </c>
    </row>
    <row r="17527" spans="2:9" ht="15" customHeight="1" x14ac:dyDescent="0.25">
      <c r="B17527" s="55" t="s">
        <v>282</v>
      </c>
      <c r="C17527" s="46">
        <v>2515</v>
      </c>
      <c r="D17527" s="69" t="s">
        <v>29419</v>
      </c>
      <c r="E17527" s="51"/>
      <c r="F17527" s="114" t="str">
        <f>IF(INDEX(I.Facility.P3IDNumber,2515)="","",INDEX(I.Facility.P3IDNumber,2515))</f>
        <v/>
      </c>
      <c r="G17527" s="51"/>
      <c r="H17527" s="46" t="str">
        <f>IF(AND(I.Developer.P3=TRUE,I.Facility.P3FacilityCount&gt;=2515,F17527=""),"Incomplete","Complete")</f>
        <v>Complete</v>
      </c>
      <c r="I17527" s="48" t="s">
        <v>21892</v>
      </c>
    </row>
    <row r="17528" spans="2:9" ht="15" customHeight="1" x14ac:dyDescent="0.25">
      <c r="B17528" s="55" t="s">
        <v>282</v>
      </c>
      <c r="C17528" s="46">
        <v>2516</v>
      </c>
      <c r="D17528" s="69" t="s">
        <v>29419</v>
      </c>
      <c r="E17528" s="51"/>
      <c r="F17528" s="114" t="str">
        <f>IF(INDEX(I.Facility.P3IDNumber,2516)="","",INDEX(I.Facility.P3IDNumber,2516))</f>
        <v/>
      </c>
      <c r="G17528" s="51"/>
      <c r="H17528" s="46" t="str">
        <f>IF(AND(I.Developer.P3=TRUE,I.Facility.P3FacilityCount&gt;=2516,F17528=""),"Incomplete","Complete")</f>
        <v>Complete</v>
      </c>
      <c r="I17528" s="48" t="s">
        <v>21893</v>
      </c>
    </row>
    <row r="17529" spans="2:9" ht="15" customHeight="1" x14ac:dyDescent="0.25">
      <c r="B17529" s="55" t="s">
        <v>282</v>
      </c>
      <c r="C17529" s="46">
        <v>2517</v>
      </c>
      <c r="D17529" s="69" t="s">
        <v>29419</v>
      </c>
      <c r="E17529" s="51"/>
      <c r="F17529" s="114" t="str">
        <f>IF(INDEX(I.Facility.P3IDNumber,2517)="","",INDEX(I.Facility.P3IDNumber,2517))</f>
        <v/>
      </c>
      <c r="G17529" s="51"/>
      <c r="H17529" s="46" t="str">
        <f>IF(AND(I.Developer.P3=TRUE,I.Facility.P3FacilityCount&gt;=2517,F17529=""),"Incomplete","Complete")</f>
        <v>Complete</v>
      </c>
      <c r="I17529" s="48" t="s">
        <v>21894</v>
      </c>
    </row>
    <row r="17530" spans="2:9" ht="15" customHeight="1" x14ac:dyDescent="0.25">
      <c r="B17530" s="55" t="s">
        <v>282</v>
      </c>
      <c r="C17530" s="46">
        <v>2518</v>
      </c>
      <c r="D17530" s="69" t="s">
        <v>29419</v>
      </c>
      <c r="E17530" s="51"/>
      <c r="F17530" s="114" t="str">
        <f>IF(INDEX(I.Facility.P3IDNumber,2518)="","",INDEX(I.Facility.P3IDNumber,2518))</f>
        <v/>
      </c>
      <c r="G17530" s="51"/>
      <c r="H17530" s="46" t="str">
        <f>IF(AND(I.Developer.P3=TRUE,I.Facility.P3FacilityCount&gt;=2518,F17530=""),"Incomplete","Complete")</f>
        <v>Complete</v>
      </c>
      <c r="I17530" s="48" t="s">
        <v>21895</v>
      </c>
    </row>
    <row r="17531" spans="2:9" ht="15" customHeight="1" x14ac:dyDescent="0.25">
      <c r="B17531" s="55" t="s">
        <v>282</v>
      </c>
      <c r="C17531" s="46">
        <v>2519</v>
      </c>
      <c r="D17531" s="69" t="s">
        <v>29419</v>
      </c>
      <c r="E17531" s="51"/>
      <c r="F17531" s="114" t="str">
        <f>IF(INDEX(I.Facility.P3IDNumber,2519)="","",INDEX(I.Facility.P3IDNumber,2519))</f>
        <v/>
      </c>
      <c r="G17531" s="51"/>
      <c r="H17531" s="46" t="str">
        <f>IF(AND(I.Developer.P3=TRUE,I.Facility.P3FacilityCount&gt;=2519,F17531=""),"Incomplete","Complete")</f>
        <v>Complete</v>
      </c>
      <c r="I17531" s="48" t="s">
        <v>21896</v>
      </c>
    </row>
    <row r="17532" spans="2:9" ht="15" customHeight="1" x14ac:dyDescent="0.25">
      <c r="B17532" s="55" t="s">
        <v>282</v>
      </c>
      <c r="C17532" s="46">
        <v>2520</v>
      </c>
      <c r="D17532" s="69" t="s">
        <v>29419</v>
      </c>
      <c r="E17532" s="51"/>
      <c r="F17532" s="114" t="str">
        <f>IF(INDEX(I.Facility.P3IDNumber,2520)="","",INDEX(I.Facility.P3IDNumber,2520))</f>
        <v/>
      </c>
      <c r="G17532" s="51"/>
      <c r="H17532" s="46" t="str">
        <f>IF(AND(I.Developer.P3=TRUE,I.Facility.P3FacilityCount&gt;=2520,F17532=""),"Incomplete","Complete")</f>
        <v>Complete</v>
      </c>
      <c r="I17532" s="48" t="s">
        <v>21897</v>
      </c>
    </row>
    <row r="17533" spans="2:9" ht="15" customHeight="1" x14ac:dyDescent="0.25">
      <c r="B17533" s="55" t="s">
        <v>282</v>
      </c>
      <c r="C17533" s="46">
        <v>2521</v>
      </c>
      <c r="D17533" s="69" t="s">
        <v>29419</v>
      </c>
      <c r="E17533" s="51"/>
      <c r="F17533" s="114" t="str">
        <f>IF(INDEX(I.Facility.P3IDNumber,2521)="","",INDEX(I.Facility.P3IDNumber,2521))</f>
        <v/>
      </c>
      <c r="G17533" s="51"/>
      <c r="H17533" s="46" t="str">
        <f>IF(AND(I.Developer.P3=TRUE,I.Facility.P3FacilityCount&gt;=2521,F17533=""),"Incomplete","Complete")</f>
        <v>Complete</v>
      </c>
      <c r="I17533" s="48" t="s">
        <v>21898</v>
      </c>
    </row>
    <row r="17534" spans="2:9" ht="15" customHeight="1" x14ac:dyDescent="0.25">
      <c r="B17534" s="55" t="s">
        <v>282</v>
      </c>
      <c r="C17534" s="46">
        <v>2522</v>
      </c>
      <c r="D17534" s="69" t="s">
        <v>29419</v>
      </c>
      <c r="E17534" s="51"/>
      <c r="F17534" s="114" t="str">
        <f>IF(INDEX(I.Facility.P3IDNumber,2522)="","",INDEX(I.Facility.P3IDNumber,2522))</f>
        <v/>
      </c>
      <c r="G17534" s="51"/>
      <c r="H17534" s="46" t="str">
        <f>IF(AND(I.Developer.P3=TRUE,I.Facility.P3FacilityCount&gt;=2522,F17534=""),"Incomplete","Complete")</f>
        <v>Complete</v>
      </c>
      <c r="I17534" s="48" t="s">
        <v>21899</v>
      </c>
    </row>
    <row r="17535" spans="2:9" ht="15" customHeight="1" x14ac:dyDescent="0.25">
      <c r="B17535" s="55" t="s">
        <v>282</v>
      </c>
      <c r="C17535" s="46">
        <v>2523</v>
      </c>
      <c r="D17535" s="69" t="s">
        <v>29419</v>
      </c>
      <c r="E17535" s="51"/>
      <c r="F17535" s="114" t="str">
        <f>IF(INDEX(I.Facility.P3IDNumber,2523)="","",INDEX(I.Facility.P3IDNumber,2523))</f>
        <v/>
      </c>
      <c r="G17535" s="51"/>
      <c r="H17535" s="46" t="str">
        <f>IF(AND(I.Developer.P3=TRUE,I.Facility.P3FacilityCount&gt;=2523,F17535=""),"Incomplete","Complete")</f>
        <v>Complete</v>
      </c>
      <c r="I17535" s="48" t="s">
        <v>21900</v>
      </c>
    </row>
    <row r="17536" spans="2:9" ht="15" customHeight="1" x14ac:dyDescent="0.25">
      <c r="B17536" s="55" t="s">
        <v>282</v>
      </c>
      <c r="C17536" s="46">
        <v>2524</v>
      </c>
      <c r="D17536" s="69" t="s">
        <v>29419</v>
      </c>
      <c r="E17536" s="51"/>
      <c r="F17536" s="114" t="str">
        <f>IF(INDEX(I.Facility.P3IDNumber,2524)="","",INDEX(I.Facility.P3IDNumber,2524))</f>
        <v/>
      </c>
      <c r="G17536" s="51"/>
      <c r="H17536" s="46" t="str">
        <f>IF(AND(I.Developer.P3=TRUE,I.Facility.P3FacilityCount&gt;=2524,F17536=""),"Incomplete","Complete")</f>
        <v>Complete</v>
      </c>
      <c r="I17536" s="48" t="s">
        <v>21901</v>
      </c>
    </row>
    <row r="17537" spans="2:9" ht="15" customHeight="1" x14ac:dyDescent="0.25">
      <c r="B17537" s="55" t="s">
        <v>282</v>
      </c>
      <c r="C17537" s="46">
        <v>2525</v>
      </c>
      <c r="D17537" s="69" t="s">
        <v>29419</v>
      </c>
      <c r="E17537" s="51"/>
      <c r="F17537" s="114" t="str">
        <f>IF(INDEX(I.Facility.P3IDNumber,2525)="","",INDEX(I.Facility.P3IDNumber,2525))</f>
        <v/>
      </c>
      <c r="G17537" s="51"/>
      <c r="H17537" s="46" t="str">
        <f>IF(AND(I.Developer.P3=TRUE,I.Facility.P3FacilityCount&gt;=2525,F17537=""),"Incomplete","Complete")</f>
        <v>Complete</v>
      </c>
      <c r="I17537" s="48" t="s">
        <v>21902</v>
      </c>
    </row>
    <row r="17538" spans="2:9" ht="15" customHeight="1" x14ac:dyDescent="0.25">
      <c r="B17538" s="55" t="s">
        <v>282</v>
      </c>
      <c r="C17538" s="46">
        <v>2526</v>
      </c>
      <c r="D17538" s="69" t="s">
        <v>29419</v>
      </c>
      <c r="E17538" s="51"/>
      <c r="F17538" s="114" t="str">
        <f>IF(INDEX(I.Facility.P3IDNumber,2526)="","",INDEX(I.Facility.P3IDNumber,2526))</f>
        <v/>
      </c>
      <c r="G17538" s="51"/>
      <c r="H17538" s="46" t="str">
        <f>IF(AND(I.Developer.P3=TRUE,I.Facility.P3FacilityCount&gt;=2526,F17538=""),"Incomplete","Complete")</f>
        <v>Complete</v>
      </c>
      <c r="I17538" s="48" t="s">
        <v>21903</v>
      </c>
    </row>
    <row r="17539" spans="2:9" ht="15" customHeight="1" x14ac:dyDescent="0.25">
      <c r="B17539" s="55" t="s">
        <v>282</v>
      </c>
      <c r="C17539" s="46">
        <v>2527</v>
      </c>
      <c r="D17539" s="69" t="s">
        <v>29419</v>
      </c>
      <c r="E17539" s="51"/>
      <c r="F17539" s="114" t="str">
        <f>IF(INDEX(I.Facility.P3IDNumber,2527)="","",INDEX(I.Facility.P3IDNumber,2527))</f>
        <v/>
      </c>
      <c r="G17539" s="51"/>
      <c r="H17539" s="46" t="str">
        <f>IF(AND(I.Developer.P3=TRUE,I.Facility.P3FacilityCount&gt;=2527,F17539=""),"Incomplete","Complete")</f>
        <v>Complete</v>
      </c>
      <c r="I17539" s="48" t="s">
        <v>21904</v>
      </c>
    </row>
    <row r="17540" spans="2:9" ht="15" customHeight="1" x14ac:dyDescent="0.25">
      <c r="B17540" s="55" t="s">
        <v>282</v>
      </c>
      <c r="C17540" s="46">
        <v>2528</v>
      </c>
      <c r="D17540" s="69" t="s">
        <v>29419</v>
      </c>
      <c r="E17540" s="51"/>
      <c r="F17540" s="114" t="str">
        <f>IF(INDEX(I.Facility.P3IDNumber,2528)="","",INDEX(I.Facility.P3IDNumber,2528))</f>
        <v/>
      </c>
      <c r="G17540" s="51"/>
      <c r="H17540" s="46" t="str">
        <f>IF(AND(I.Developer.P3=TRUE,I.Facility.P3FacilityCount&gt;=2528,F17540=""),"Incomplete","Complete")</f>
        <v>Complete</v>
      </c>
      <c r="I17540" s="48" t="s">
        <v>21905</v>
      </c>
    </row>
    <row r="17541" spans="2:9" ht="15" customHeight="1" x14ac:dyDescent="0.25">
      <c r="B17541" s="55" t="s">
        <v>282</v>
      </c>
      <c r="C17541" s="46">
        <v>2529</v>
      </c>
      <c r="D17541" s="69" t="s">
        <v>29419</v>
      </c>
      <c r="E17541" s="51"/>
      <c r="F17541" s="114" t="str">
        <f>IF(INDEX(I.Facility.P3IDNumber,2529)="","",INDEX(I.Facility.P3IDNumber,2529))</f>
        <v/>
      </c>
      <c r="G17541" s="51"/>
      <c r="H17541" s="46" t="str">
        <f>IF(AND(I.Developer.P3=TRUE,I.Facility.P3FacilityCount&gt;=2529,F17541=""),"Incomplete","Complete")</f>
        <v>Complete</v>
      </c>
      <c r="I17541" s="48" t="s">
        <v>21906</v>
      </c>
    </row>
    <row r="17542" spans="2:9" ht="15" customHeight="1" x14ac:dyDescent="0.25">
      <c r="B17542" s="55" t="s">
        <v>282</v>
      </c>
      <c r="C17542" s="46">
        <v>2530</v>
      </c>
      <c r="D17542" s="69" t="s">
        <v>29419</v>
      </c>
      <c r="E17542" s="51"/>
      <c r="F17542" s="114" t="str">
        <f>IF(INDEX(I.Facility.P3IDNumber,2530)="","",INDEX(I.Facility.P3IDNumber,2530))</f>
        <v/>
      </c>
      <c r="G17542" s="51"/>
      <c r="H17542" s="46" t="str">
        <f>IF(AND(I.Developer.P3=TRUE,I.Facility.P3FacilityCount&gt;=2530,F17542=""),"Incomplete","Complete")</f>
        <v>Complete</v>
      </c>
      <c r="I17542" s="48" t="s">
        <v>21907</v>
      </c>
    </row>
    <row r="17543" spans="2:9" ht="15" customHeight="1" x14ac:dyDescent="0.25">
      <c r="B17543" s="55" t="s">
        <v>282</v>
      </c>
      <c r="C17543" s="46">
        <v>2531</v>
      </c>
      <c r="D17543" s="69" t="s">
        <v>29419</v>
      </c>
      <c r="E17543" s="51"/>
      <c r="F17543" s="114" t="str">
        <f>IF(INDEX(I.Facility.P3IDNumber,2531)="","",INDEX(I.Facility.P3IDNumber,2531))</f>
        <v/>
      </c>
      <c r="G17543" s="51"/>
      <c r="H17543" s="46" t="str">
        <f>IF(AND(I.Developer.P3=TRUE,I.Facility.P3FacilityCount&gt;=2531,F17543=""),"Incomplete","Complete")</f>
        <v>Complete</v>
      </c>
      <c r="I17543" s="48" t="s">
        <v>21908</v>
      </c>
    </row>
    <row r="17544" spans="2:9" ht="15" customHeight="1" x14ac:dyDescent="0.25">
      <c r="B17544" s="55" t="s">
        <v>282</v>
      </c>
      <c r="C17544" s="46">
        <v>2532</v>
      </c>
      <c r="D17544" s="69" t="s">
        <v>29419</v>
      </c>
      <c r="E17544" s="51"/>
      <c r="F17544" s="114" t="str">
        <f>IF(INDEX(I.Facility.P3IDNumber,2532)="","",INDEX(I.Facility.P3IDNumber,2532))</f>
        <v/>
      </c>
      <c r="G17544" s="51"/>
      <c r="H17544" s="46" t="str">
        <f>IF(AND(I.Developer.P3=TRUE,I.Facility.P3FacilityCount&gt;=2532,F17544=""),"Incomplete","Complete")</f>
        <v>Complete</v>
      </c>
      <c r="I17544" s="48" t="s">
        <v>21909</v>
      </c>
    </row>
    <row r="17545" spans="2:9" ht="15" customHeight="1" x14ac:dyDescent="0.25">
      <c r="B17545" s="55" t="s">
        <v>282</v>
      </c>
      <c r="C17545" s="46">
        <v>2533</v>
      </c>
      <c r="D17545" s="69" t="s">
        <v>29419</v>
      </c>
      <c r="E17545" s="51"/>
      <c r="F17545" s="114" t="str">
        <f>IF(INDEX(I.Facility.P3IDNumber,2533)="","",INDEX(I.Facility.P3IDNumber,2533))</f>
        <v/>
      </c>
      <c r="G17545" s="51"/>
      <c r="H17545" s="46" t="str">
        <f>IF(AND(I.Developer.P3=TRUE,I.Facility.P3FacilityCount&gt;=2533,F17545=""),"Incomplete","Complete")</f>
        <v>Complete</v>
      </c>
      <c r="I17545" s="48" t="s">
        <v>21910</v>
      </c>
    </row>
    <row r="17546" spans="2:9" ht="15" customHeight="1" x14ac:dyDescent="0.25">
      <c r="B17546" s="55" t="s">
        <v>282</v>
      </c>
      <c r="C17546" s="46">
        <v>2534</v>
      </c>
      <c r="D17546" s="69" t="s">
        <v>29419</v>
      </c>
      <c r="E17546" s="51"/>
      <c r="F17546" s="114" t="str">
        <f>IF(INDEX(I.Facility.P3IDNumber,2534)="","",INDEX(I.Facility.P3IDNumber,2534))</f>
        <v/>
      </c>
      <c r="G17546" s="51"/>
      <c r="H17546" s="46" t="str">
        <f>IF(AND(I.Developer.P3=TRUE,I.Facility.P3FacilityCount&gt;=2534,F17546=""),"Incomplete","Complete")</f>
        <v>Complete</v>
      </c>
      <c r="I17546" s="48" t="s">
        <v>21911</v>
      </c>
    </row>
    <row r="17547" spans="2:9" ht="15" customHeight="1" x14ac:dyDescent="0.25">
      <c r="B17547" s="55" t="s">
        <v>282</v>
      </c>
      <c r="C17547" s="46">
        <v>2535</v>
      </c>
      <c r="D17547" s="69" t="s">
        <v>29419</v>
      </c>
      <c r="E17547" s="51"/>
      <c r="F17547" s="114" t="str">
        <f>IF(INDEX(I.Facility.P3IDNumber,2535)="","",INDEX(I.Facility.P3IDNumber,2535))</f>
        <v/>
      </c>
      <c r="G17547" s="51"/>
      <c r="H17547" s="46" t="str">
        <f>IF(AND(I.Developer.P3=TRUE,I.Facility.P3FacilityCount&gt;=2535,F17547=""),"Incomplete","Complete")</f>
        <v>Complete</v>
      </c>
      <c r="I17547" s="48" t="s">
        <v>21912</v>
      </c>
    </row>
    <row r="17548" spans="2:9" ht="15" customHeight="1" x14ac:dyDescent="0.25">
      <c r="B17548" s="55" t="s">
        <v>282</v>
      </c>
      <c r="C17548" s="46">
        <v>2536</v>
      </c>
      <c r="D17548" s="69" t="s">
        <v>29419</v>
      </c>
      <c r="E17548" s="51"/>
      <c r="F17548" s="114" t="str">
        <f>IF(INDEX(I.Facility.P3IDNumber,2536)="","",INDEX(I.Facility.P3IDNumber,2536))</f>
        <v/>
      </c>
      <c r="G17548" s="51"/>
      <c r="H17548" s="46" t="str">
        <f>IF(AND(I.Developer.P3=TRUE,I.Facility.P3FacilityCount&gt;=2536,F17548=""),"Incomplete","Complete")</f>
        <v>Complete</v>
      </c>
      <c r="I17548" s="48" t="s">
        <v>21913</v>
      </c>
    </row>
    <row r="17549" spans="2:9" ht="15" customHeight="1" x14ac:dyDescent="0.25">
      <c r="B17549" s="55" t="s">
        <v>282</v>
      </c>
      <c r="C17549" s="46">
        <v>2537</v>
      </c>
      <c r="D17549" s="69" t="s">
        <v>29419</v>
      </c>
      <c r="E17549" s="51"/>
      <c r="F17549" s="114" t="str">
        <f>IF(INDEX(I.Facility.P3IDNumber,2537)="","",INDEX(I.Facility.P3IDNumber,2537))</f>
        <v/>
      </c>
      <c r="G17549" s="51"/>
      <c r="H17549" s="46" t="str">
        <f>IF(AND(I.Developer.P3=TRUE,I.Facility.P3FacilityCount&gt;=2537,F17549=""),"Incomplete","Complete")</f>
        <v>Complete</v>
      </c>
      <c r="I17549" s="48" t="s">
        <v>21914</v>
      </c>
    </row>
    <row r="17550" spans="2:9" ht="15" customHeight="1" x14ac:dyDescent="0.25">
      <c r="B17550" s="55" t="s">
        <v>282</v>
      </c>
      <c r="C17550" s="46">
        <v>2538</v>
      </c>
      <c r="D17550" s="69" t="s">
        <v>29419</v>
      </c>
      <c r="E17550" s="51"/>
      <c r="F17550" s="114" t="str">
        <f>IF(INDEX(I.Facility.P3IDNumber,2538)="","",INDEX(I.Facility.P3IDNumber,2538))</f>
        <v/>
      </c>
      <c r="G17550" s="51"/>
      <c r="H17550" s="46" t="str">
        <f>IF(AND(I.Developer.P3=TRUE,I.Facility.P3FacilityCount&gt;=2538,F17550=""),"Incomplete","Complete")</f>
        <v>Complete</v>
      </c>
      <c r="I17550" s="48" t="s">
        <v>21915</v>
      </c>
    </row>
    <row r="17551" spans="2:9" ht="15" customHeight="1" x14ac:dyDescent="0.25">
      <c r="B17551" s="55" t="s">
        <v>282</v>
      </c>
      <c r="C17551" s="46">
        <v>2539</v>
      </c>
      <c r="D17551" s="69" t="s">
        <v>29419</v>
      </c>
      <c r="E17551" s="51"/>
      <c r="F17551" s="114" t="str">
        <f>IF(INDEX(I.Facility.P3IDNumber,2539)="","",INDEX(I.Facility.P3IDNumber,2539))</f>
        <v/>
      </c>
      <c r="G17551" s="51"/>
      <c r="H17551" s="46" t="str">
        <f>IF(AND(I.Developer.P3=TRUE,I.Facility.P3FacilityCount&gt;=2539,F17551=""),"Incomplete","Complete")</f>
        <v>Complete</v>
      </c>
      <c r="I17551" s="48" t="s">
        <v>21916</v>
      </c>
    </row>
    <row r="17552" spans="2:9" ht="15" customHeight="1" x14ac:dyDescent="0.25">
      <c r="B17552" s="55" t="s">
        <v>282</v>
      </c>
      <c r="C17552" s="46">
        <v>2540</v>
      </c>
      <c r="D17552" s="69" t="s">
        <v>29419</v>
      </c>
      <c r="E17552" s="51"/>
      <c r="F17552" s="114" t="str">
        <f>IF(INDEX(I.Facility.P3IDNumber,2540)="","",INDEX(I.Facility.P3IDNumber,2540))</f>
        <v/>
      </c>
      <c r="G17552" s="51"/>
      <c r="H17552" s="46" t="str">
        <f>IF(AND(I.Developer.P3=TRUE,I.Facility.P3FacilityCount&gt;=2540,F17552=""),"Incomplete","Complete")</f>
        <v>Complete</v>
      </c>
      <c r="I17552" s="48" t="s">
        <v>21917</v>
      </c>
    </row>
    <row r="17553" spans="2:9" ht="15" customHeight="1" x14ac:dyDescent="0.25">
      <c r="B17553" s="55" t="s">
        <v>282</v>
      </c>
      <c r="C17553" s="46">
        <v>2541</v>
      </c>
      <c r="D17553" s="69" t="s">
        <v>29419</v>
      </c>
      <c r="E17553" s="51"/>
      <c r="F17553" s="114" t="str">
        <f>IF(INDEX(I.Facility.P3IDNumber,2541)="","",INDEX(I.Facility.P3IDNumber,2541))</f>
        <v/>
      </c>
      <c r="G17553" s="51"/>
      <c r="H17553" s="46" t="str">
        <f>IF(AND(I.Developer.P3=TRUE,I.Facility.P3FacilityCount&gt;=2541,F17553=""),"Incomplete","Complete")</f>
        <v>Complete</v>
      </c>
      <c r="I17553" s="48" t="s">
        <v>21918</v>
      </c>
    </row>
    <row r="17554" spans="2:9" ht="15" customHeight="1" x14ac:dyDescent="0.25">
      <c r="B17554" s="55" t="s">
        <v>282</v>
      </c>
      <c r="C17554" s="46">
        <v>2542</v>
      </c>
      <c r="D17554" s="69" t="s">
        <v>29419</v>
      </c>
      <c r="E17554" s="51"/>
      <c r="F17554" s="114" t="str">
        <f>IF(INDEX(I.Facility.P3IDNumber,2542)="","",INDEX(I.Facility.P3IDNumber,2542))</f>
        <v/>
      </c>
      <c r="G17554" s="51"/>
      <c r="H17554" s="46" t="str">
        <f>IF(AND(I.Developer.P3=TRUE,I.Facility.P3FacilityCount&gt;=2542,F17554=""),"Incomplete","Complete")</f>
        <v>Complete</v>
      </c>
      <c r="I17554" s="48" t="s">
        <v>21919</v>
      </c>
    </row>
    <row r="17555" spans="2:9" ht="15" customHeight="1" x14ac:dyDescent="0.25">
      <c r="B17555" s="55" t="s">
        <v>282</v>
      </c>
      <c r="C17555" s="46">
        <v>2543</v>
      </c>
      <c r="D17555" s="69" t="s">
        <v>29419</v>
      </c>
      <c r="E17555" s="51"/>
      <c r="F17555" s="114" t="str">
        <f>IF(INDEX(I.Facility.P3IDNumber,2543)="","",INDEX(I.Facility.P3IDNumber,2543))</f>
        <v/>
      </c>
      <c r="G17555" s="51"/>
      <c r="H17555" s="46" t="str">
        <f>IF(AND(I.Developer.P3=TRUE,I.Facility.P3FacilityCount&gt;=2543,F17555=""),"Incomplete","Complete")</f>
        <v>Complete</v>
      </c>
      <c r="I17555" s="48" t="s">
        <v>21920</v>
      </c>
    </row>
    <row r="17556" spans="2:9" ht="15" customHeight="1" x14ac:dyDescent="0.25">
      <c r="B17556" s="55" t="s">
        <v>282</v>
      </c>
      <c r="C17556" s="46">
        <v>2544</v>
      </c>
      <c r="D17556" s="69" t="s">
        <v>29419</v>
      </c>
      <c r="E17556" s="51"/>
      <c r="F17556" s="114" t="str">
        <f>IF(INDEX(I.Facility.P3IDNumber,2544)="","",INDEX(I.Facility.P3IDNumber,2544))</f>
        <v/>
      </c>
      <c r="G17556" s="51"/>
      <c r="H17556" s="46" t="str">
        <f>IF(AND(I.Developer.P3=TRUE,I.Facility.P3FacilityCount&gt;=2544,F17556=""),"Incomplete","Complete")</f>
        <v>Complete</v>
      </c>
      <c r="I17556" s="48" t="s">
        <v>21921</v>
      </c>
    </row>
    <row r="17557" spans="2:9" ht="15" customHeight="1" x14ac:dyDescent="0.25">
      <c r="B17557" s="55" t="s">
        <v>282</v>
      </c>
      <c r="C17557" s="46">
        <v>2545</v>
      </c>
      <c r="D17557" s="69" t="s">
        <v>29419</v>
      </c>
      <c r="E17557" s="51"/>
      <c r="F17557" s="114" t="str">
        <f>IF(INDEX(I.Facility.P3IDNumber,2545)="","",INDEX(I.Facility.P3IDNumber,2545))</f>
        <v/>
      </c>
      <c r="G17557" s="51"/>
      <c r="H17557" s="46" t="str">
        <f>IF(AND(I.Developer.P3=TRUE,I.Facility.P3FacilityCount&gt;=2545,F17557=""),"Incomplete","Complete")</f>
        <v>Complete</v>
      </c>
      <c r="I17557" s="48" t="s">
        <v>21922</v>
      </c>
    </row>
    <row r="17558" spans="2:9" ht="15" customHeight="1" x14ac:dyDescent="0.25">
      <c r="B17558" s="55" t="s">
        <v>282</v>
      </c>
      <c r="C17558" s="46">
        <v>2546</v>
      </c>
      <c r="D17558" s="69" t="s">
        <v>29419</v>
      </c>
      <c r="E17558" s="51"/>
      <c r="F17558" s="114" t="str">
        <f>IF(INDEX(I.Facility.P3IDNumber,2546)="","",INDEX(I.Facility.P3IDNumber,2546))</f>
        <v/>
      </c>
      <c r="G17558" s="51"/>
      <c r="H17558" s="46" t="str">
        <f>IF(AND(I.Developer.P3=TRUE,I.Facility.P3FacilityCount&gt;=2546,F17558=""),"Incomplete","Complete")</f>
        <v>Complete</v>
      </c>
      <c r="I17558" s="48" t="s">
        <v>21923</v>
      </c>
    </row>
    <row r="17559" spans="2:9" ht="15" customHeight="1" x14ac:dyDescent="0.25">
      <c r="B17559" s="55" t="s">
        <v>282</v>
      </c>
      <c r="C17559" s="46">
        <v>2547</v>
      </c>
      <c r="D17559" s="69" t="s">
        <v>29419</v>
      </c>
      <c r="E17559" s="51"/>
      <c r="F17559" s="114" t="str">
        <f>IF(INDEX(I.Facility.P3IDNumber,2547)="","",INDEX(I.Facility.P3IDNumber,2547))</f>
        <v/>
      </c>
      <c r="G17559" s="51"/>
      <c r="H17559" s="46" t="str">
        <f>IF(AND(I.Developer.P3=TRUE,I.Facility.P3FacilityCount&gt;=2547,F17559=""),"Incomplete","Complete")</f>
        <v>Complete</v>
      </c>
      <c r="I17559" s="48" t="s">
        <v>21924</v>
      </c>
    </row>
    <row r="17560" spans="2:9" ht="15" customHeight="1" x14ac:dyDescent="0.25">
      <c r="B17560" s="55" t="s">
        <v>282</v>
      </c>
      <c r="C17560" s="46">
        <v>2548</v>
      </c>
      <c r="D17560" s="69" t="s">
        <v>29419</v>
      </c>
      <c r="E17560" s="51"/>
      <c r="F17560" s="114" t="str">
        <f>IF(INDEX(I.Facility.P3IDNumber,2548)="","",INDEX(I.Facility.P3IDNumber,2548))</f>
        <v/>
      </c>
      <c r="G17560" s="51"/>
      <c r="H17560" s="46" t="str">
        <f>IF(AND(I.Developer.P3=TRUE,I.Facility.P3FacilityCount&gt;=2548,F17560=""),"Incomplete","Complete")</f>
        <v>Complete</v>
      </c>
      <c r="I17560" s="48" t="s">
        <v>21925</v>
      </c>
    </row>
    <row r="17561" spans="2:9" ht="15" customHeight="1" x14ac:dyDescent="0.25">
      <c r="B17561" s="55" t="s">
        <v>282</v>
      </c>
      <c r="C17561" s="46">
        <v>2549</v>
      </c>
      <c r="D17561" s="69" t="s">
        <v>29419</v>
      </c>
      <c r="E17561" s="51"/>
      <c r="F17561" s="114" t="str">
        <f>IF(INDEX(I.Facility.P3IDNumber,2549)="","",INDEX(I.Facility.P3IDNumber,2549))</f>
        <v/>
      </c>
      <c r="G17561" s="51"/>
      <c r="H17561" s="46" t="str">
        <f>IF(AND(I.Developer.P3=TRUE,I.Facility.P3FacilityCount&gt;=2549,F17561=""),"Incomplete","Complete")</f>
        <v>Complete</v>
      </c>
      <c r="I17561" s="48" t="s">
        <v>21926</v>
      </c>
    </row>
    <row r="17562" spans="2:9" ht="15" customHeight="1" x14ac:dyDescent="0.25">
      <c r="B17562" s="55" t="s">
        <v>282</v>
      </c>
      <c r="C17562" s="46">
        <v>2550</v>
      </c>
      <c r="D17562" s="69" t="s">
        <v>29419</v>
      </c>
      <c r="E17562" s="51"/>
      <c r="F17562" s="114" t="str">
        <f>IF(INDEX(I.Facility.P3IDNumber,2550)="","",INDEX(I.Facility.P3IDNumber,2550))</f>
        <v/>
      </c>
      <c r="G17562" s="51"/>
      <c r="H17562" s="46" t="str">
        <f>IF(AND(I.Developer.P3=TRUE,I.Facility.P3FacilityCount&gt;=2550,F17562=""),"Incomplete","Complete")</f>
        <v>Complete</v>
      </c>
      <c r="I17562" s="48" t="s">
        <v>21927</v>
      </c>
    </row>
    <row r="17563" spans="2:9" ht="15" customHeight="1" x14ac:dyDescent="0.25">
      <c r="B17563" s="55" t="s">
        <v>282</v>
      </c>
      <c r="C17563" s="46">
        <v>2551</v>
      </c>
      <c r="D17563" s="69" t="s">
        <v>29419</v>
      </c>
      <c r="E17563" s="51"/>
      <c r="F17563" s="114" t="str">
        <f>IF(INDEX(I.Facility.P3IDNumber,2551)="","",INDEX(I.Facility.P3IDNumber,2551))</f>
        <v/>
      </c>
      <c r="G17563" s="51"/>
      <c r="H17563" s="46" t="str">
        <f>IF(AND(I.Developer.P3=TRUE,I.Facility.P3FacilityCount&gt;=2551,F17563=""),"Incomplete","Complete")</f>
        <v>Complete</v>
      </c>
      <c r="I17563" s="48" t="s">
        <v>21928</v>
      </c>
    </row>
    <row r="17564" spans="2:9" ht="15" customHeight="1" x14ac:dyDescent="0.25">
      <c r="B17564" s="55" t="s">
        <v>282</v>
      </c>
      <c r="C17564" s="46">
        <v>2552</v>
      </c>
      <c r="D17564" s="69" t="s">
        <v>29419</v>
      </c>
      <c r="E17564" s="51"/>
      <c r="F17564" s="114" t="str">
        <f>IF(INDEX(I.Facility.P3IDNumber,2552)="","",INDEX(I.Facility.P3IDNumber,2552))</f>
        <v/>
      </c>
      <c r="G17564" s="51"/>
      <c r="H17564" s="46" t="str">
        <f>IF(AND(I.Developer.P3=TRUE,I.Facility.P3FacilityCount&gt;=2552,F17564=""),"Incomplete","Complete")</f>
        <v>Complete</v>
      </c>
      <c r="I17564" s="48" t="s">
        <v>21929</v>
      </c>
    </row>
    <row r="17565" spans="2:9" ht="15" customHeight="1" x14ac:dyDescent="0.25">
      <c r="B17565" s="55" t="s">
        <v>282</v>
      </c>
      <c r="C17565" s="46">
        <v>2553</v>
      </c>
      <c r="D17565" s="69" t="s">
        <v>29419</v>
      </c>
      <c r="E17565" s="51"/>
      <c r="F17565" s="114" t="str">
        <f>IF(INDEX(I.Facility.P3IDNumber,2553)="","",INDEX(I.Facility.P3IDNumber,2553))</f>
        <v/>
      </c>
      <c r="G17565" s="51"/>
      <c r="H17565" s="46" t="str">
        <f>IF(AND(I.Developer.P3=TRUE,I.Facility.P3FacilityCount&gt;=2553,F17565=""),"Incomplete","Complete")</f>
        <v>Complete</v>
      </c>
      <c r="I17565" s="48" t="s">
        <v>21930</v>
      </c>
    </row>
    <row r="17566" spans="2:9" ht="15" customHeight="1" x14ac:dyDescent="0.25">
      <c r="B17566" s="55" t="s">
        <v>282</v>
      </c>
      <c r="C17566" s="46">
        <v>2554</v>
      </c>
      <c r="D17566" s="69" t="s">
        <v>29419</v>
      </c>
      <c r="E17566" s="51"/>
      <c r="F17566" s="114" t="str">
        <f>IF(INDEX(I.Facility.P3IDNumber,2554)="","",INDEX(I.Facility.P3IDNumber,2554))</f>
        <v/>
      </c>
      <c r="G17566" s="51"/>
      <c r="H17566" s="46" t="str">
        <f>IF(AND(I.Developer.P3=TRUE,I.Facility.P3FacilityCount&gt;=2554,F17566=""),"Incomplete","Complete")</f>
        <v>Complete</v>
      </c>
      <c r="I17566" s="48" t="s">
        <v>21931</v>
      </c>
    </row>
    <row r="17567" spans="2:9" ht="15" customHeight="1" x14ac:dyDescent="0.25">
      <c r="B17567" s="55" t="s">
        <v>282</v>
      </c>
      <c r="C17567" s="46">
        <v>2555</v>
      </c>
      <c r="D17567" s="69" t="s">
        <v>29419</v>
      </c>
      <c r="E17567" s="51"/>
      <c r="F17567" s="114" t="str">
        <f>IF(INDEX(I.Facility.P3IDNumber,2555)="","",INDEX(I.Facility.P3IDNumber,2555))</f>
        <v/>
      </c>
      <c r="G17567" s="51"/>
      <c r="H17567" s="46" t="str">
        <f>IF(AND(I.Developer.P3=TRUE,I.Facility.P3FacilityCount&gt;=2555,F17567=""),"Incomplete","Complete")</f>
        <v>Complete</v>
      </c>
      <c r="I17567" s="48" t="s">
        <v>21932</v>
      </c>
    </row>
    <row r="17568" spans="2:9" ht="15" customHeight="1" x14ac:dyDescent="0.25">
      <c r="B17568" s="55" t="s">
        <v>282</v>
      </c>
      <c r="C17568" s="46">
        <v>2556</v>
      </c>
      <c r="D17568" s="69" t="s">
        <v>29419</v>
      </c>
      <c r="E17568" s="51"/>
      <c r="F17568" s="114" t="str">
        <f>IF(INDEX(I.Facility.P3IDNumber,2556)="","",INDEX(I.Facility.P3IDNumber,2556))</f>
        <v/>
      </c>
      <c r="G17568" s="51"/>
      <c r="H17568" s="46" t="str">
        <f>IF(AND(I.Developer.P3=TRUE,I.Facility.P3FacilityCount&gt;=2556,F17568=""),"Incomplete","Complete")</f>
        <v>Complete</v>
      </c>
      <c r="I17568" s="48" t="s">
        <v>21933</v>
      </c>
    </row>
    <row r="17569" spans="2:9" ht="15" customHeight="1" x14ac:dyDescent="0.25">
      <c r="B17569" s="55" t="s">
        <v>282</v>
      </c>
      <c r="C17569" s="46">
        <v>2557</v>
      </c>
      <c r="D17569" s="69" t="s">
        <v>29419</v>
      </c>
      <c r="E17569" s="51"/>
      <c r="F17569" s="114" t="str">
        <f>IF(INDEX(I.Facility.P3IDNumber,2557)="","",INDEX(I.Facility.P3IDNumber,2557))</f>
        <v/>
      </c>
      <c r="G17569" s="51"/>
      <c r="H17569" s="46" t="str">
        <f>IF(AND(I.Developer.P3=TRUE,I.Facility.P3FacilityCount&gt;=2557,F17569=""),"Incomplete","Complete")</f>
        <v>Complete</v>
      </c>
      <c r="I17569" s="48" t="s">
        <v>21934</v>
      </c>
    </row>
    <row r="17570" spans="2:9" ht="15" customHeight="1" x14ac:dyDescent="0.25">
      <c r="B17570" s="55" t="s">
        <v>282</v>
      </c>
      <c r="C17570" s="46">
        <v>2558</v>
      </c>
      <c r="D17570" s="69" t="s">
        <v>29419</v>
      </c>
      <c r="E17570" s="51"/>
      <c r="F17570" s="114" t="str">
        <f>IF(INDEX(I.Facility.P3IDNumber,2558)="","",INDEX(I.Facility.P3IDNumber,2558))</f>
        <v/>
      </c>
      <c r="G17570" s="51"/>
      <c r="H17570" s="46" t="str">
        <f>IF(AND(I.Developer.P3=TRUE,I.Facility.P3FacilityCount&gt;=2558,F17570=""),"Incomplete","Complete")</f>
        <v>Complete</v>
      </c>
      <c r="I17570" s="48" t="s">
        <v>21935</v>
      </c>
    </row>
    <row r="17571" spans="2:9" ht="15" customHeight="1" x14ac:dyDescent="0.25">
      <c r="B17571" s="55" t="s">
        <v>282</v>
      </c>
      <c r="C17571" s="46">
        <v>2559</v>
      </c>
      <c r="D17571" s="69" t="s">
        <v>29419</v>
      </c>
      <c r="E17571" s="51"/>
      <c r="F17571" s="114" t="str">
        <f>IF(INDEX(I.Facility.P3IDNumber,2559)="","",INDEX(I.Facility.P3IDNumber,2559))</f>
        <v/>
      </c>
      <c r="G17571" s="51"/>
      <c r="H17571" s="46" t="str">
        <f>IF(AND(I.Developer.P3=TRUE,I.Facility.P3FacilityCount&gt;=2559,F17571=""),"Incomplete","Complete")</f>
        <v>Complete</v>
      </c>
      <c r="I17571" s="48" t="s">
        <v>21936</v>
      </c>
    </row>
    <row r="17572" spans="2:9" ht="15" customHeight="1" x14ac:dyDescent="0.25">
      <c r="B17572" s="55" t="s">
        <v>282</v>
      </c>
      <c r="C17572" s="46">
        <v>2560</v>
      </c>
      <c r="D17572" s="69" t="s">
        <v>29419</v>
      </c>
      <c r="E17572" s="51"/>
      <c r="F17572" s="114" t="str">
        <f>IF(INDEX(I.Facility.P3IDNumber,2560)="","",INDEX(I.Facility.P3IDNumber,2560))</f>
        <v/>
      </c>
      <c r="G17572" s="51"/>
      <c r="H17572" s="46" t="str">
        <f>IF(AND(I.Developer.P3=TRUE,I.Facility.P3FacilityCount&gt;=2560,F17572=""),"Incomplete","Complete")</f>
        <v>Complete</v>
      </c>
      <c r="I17572" s="48" t="s">
        <v>21937</v>
      </c>
    </row>
    <row r="17573" spans="2:9" ht="15" customHeight="1" x14ac:dyDescent="0.25">
      <c r="B17573" s="55" t="s">
        <v>282</v>
      </c>
      <c r="C17573" s="46">
        <v>2561</v>
      </c>
      <c r="D17573" s="69" t="s">
        <v>29419</v>
      </c>
      <c r="E17573" s="51"/>
      <c r="F17573" s="114" t="str">
        <f>IF(INDEX(I.Facility.P3IDNumber,2561)="","",INDEX(I.Facility.P3IDNumber,2561))</f>
        <v/>
      </c>
      <c r="G17573" s="51"/>
      <c r="H17573" s="46" t="str">
        <f>IF(AND(I.Developer.P3=TRUE,I.Facility.P3FacilityCount&gt;=2561,F17573=""),"Incomplete","Complete")</f>
        <v>Complete</v>
      </c>
      <c r="I17573" s="48" t="s">
        <v>21938</v>
      </c>
    </row>
    <row r="17574" spans="2:9" ht="15" customHeight="1" x14ac:dyDescent="0.25">
      <c r="B17574" s="55" t="s">
        <v>282</v>
      </c>
      <c r="C17574" s="46">
        <v>2562</v>
      </c>
      <c r="D17574" s="69" t="s">
        <v>29419</v>
      </c>
      <c r="E17574" s="51"/>
      <c r="F17574" s="114" t="str">
        <f>IF(INDEX(I.Facility.P3IDNumber,2562)="","",INDEX(I.Facility.P3IDNumber,2562))</f>
        <v/>
      </c>
      <c r="G17574" s="51"/>
      <c r="H17574" s="46" t="str">
        <f>IF(AND(I.Developer.P3=TRUE,I.Facility.P3FacilityCount&gt;=2562,F17574=""),"Incomplete","Complete")</f>
        <v>Complete</v>
      </c>
      <c r="I17574" s="48" t="s">
        <v>21939</v>
      </c>
    </row>
    <row r="17575" spans="2:9" ht="15" customHeight="1" x14ac:dyDescent="0.25">
      <c r="B17575" s="55" t="s">
        <v>282</v>
      </c>
      <c r="C17575" s="46">
        <v>2563</v>
      </c>
      <c r="D17575" s="69" t="s">
        <v>29419</v>
      </c>
      <c r="E17575" s="51"/>
      <c r="F17575" s="114" t="str">
        <f>IF(INDEX(I.Facility.P3IDNumber,2563)="","",INDEX(I.Facility.P3IDNumber,2563))</f>
        <v/>
      </c>
      <c r="G17575" s="51"/>
      <c r="H17575" s="46" t="str">
        <f>IF(AND(I.Developer.P3=TRUE,I.Facility.P3FacilityCount&gt;=2563,F17575=""),"Incomplete","Complete")</f>
        <v>Complete</v>
      </c>
      <c r="I17575" s="48" t="s">
        <v>21940</v>
      </c>
    </row>
    <row r="17576" spans="2:9" ht="15" customHeight="1" x14ac:dyDescent="0.25">
      <c r="B17576" s="55" t="s">
        <v>282</v>
      </c>
      <c r="C17576" s="46">
        <v>2564</v>
      </c>
      <c r="D17576" s="69" t="s">
        <v>29419</v>
      </c>
      <c r="E17576" s="51"/>
      <c r="F17576" s="114" t="str">
        <f>IF(INDEX(I.Facility.P3IDNumber,2564)="","",INDEX(I.Facility.P3IDNumber,2564))</f>
        <v/>
      </c>
      <c r="G17576" s="51"/>
      <c r="H17576" s="46" t="str">
        <f>IF(AND(I.Developer.P3=TRUE,I.Facility.P3FacilityCount&gt;=2564,F17576=""),"Incomplete","Complete")</f>
        <v>Complete</v>
      </c>
      <c r="I17576" s="48" t="s">
        <v>21941</v>
      </c>
    </row>
    <row r="17577" spans="2:9" ht="15" customHeight="1" x14ac:dyDescent="0.25">
      <c r="B17577" s="55" t="s">
        <v>282</v>
      </c>
      <c r="C17577" s="46">
        <v>2565</v>
      </c>
      <c r="D17577" s="69" t="s">
        <v>29419</v>
      </c>
      <c r="E17577" s="51"/>
      <c r="F17577" s="114" t="str">
        <f>IF(INDEX(I.Facility.P3IDNumber,2565)="","",INDEX(I.Facility.P3IDNumber,2565))</f>
        <v/>
      </c>
      <c r="G17577" s="51"/>
      <c r="H17577" s="46" t="str">
        <f>IF(AND(I.Developer.P3=TRUE,I.Facility.P3FacilityCount&gt;=2565,F17577=""),"Incomplete","Complete")</f>
        <v>Complete</v>
      </c>
      <c r="I17577" s="48" t="s">
        <v>21942</v>
      </c>
    </row>
    <row r="17578" spans="2:9" ht="15" customHeight="1" x14ac:dyDescent="0.25">
      <c r="B17578" s="55" t="s">
        <v>282</v>
      </c>
      <c r="C17578" s="46">
        <v>2566</v>
      </c>
      <c r="D17578" s="69" t="s">
        <v>29419</v>
      </c>
      <c r="E17578" s="51"/>
      <c r="F17578" s="114" t="str">
        <f>IF(INDEX(I.Facility.P3IDNumber,2566)="","",INDEX(I.Facility.P3IDNumber,2566))</f>
        <v/>
      </c>
      <c r="G17578" s="51"/>
      <c r="H17578" s="46" t="str">
        <f>IF(AND(I.Developer.P3=TRUE,I.Facility.P3FacilityCount&gt;=2566,F17578=""),"Incomplete","Complete")</f>
        <v>Complete</v>
      </c>
      <c r="I17578" s="48" t="s">
        <v>21943</v>
      </c>
    </row>
    <row r="17579" spans="2:9" ht="15" customHeight="1" x14ac:dyDescent="0.25">
      <c r="B17579" s="55" t="s">
        <v>282</v>
      </c>
      <c r="C17579" s="46">
        <v>2567</v>
      </c>
      <c r="D17579" s="69" t="s">
        <v>29419</v>
      </c>
      <c r="E17579" s="51"/>
      <c r="F17579" s="114" t="str">
        <f>IF(INDEX(I.Facility.P3IDNumber,2567)="","",INDEX(I.Facility.P3IDNumber,2567))</f>
        <v/>
      </c>
      <c r="G17579" s="51"/>
      <c r="H17579" s="46" t="str">
        <f>IF(AND(I.Developer.P3=TRUE,I.Facility.P3FacilityCount&gt;=2567,F17579=""),"Incomplete","Complete")</f>
        <v>Complete</v>
      </c>
      <c r="I17579" s="48" t="s">
        <v>21944</v>
      </c>
    </row>
    <row r="17580" spans="2:9" ht="15" customHeight="1" x14ac:dyDescent="0.25">
      <c r="B17580" s="55" t="s">
        <v>282</v>
      </c>
      <c r="C17580" s="46">
        <v>2568</v>
      </c>
      <c r="D17580" s="69" t="s">
        <v>29419</v>
      </c>
      <c r="E17580" s="51"/>
      <c r="F17580" s="114" t="str">
        <f>IF(INDEX(I.Facility.P3IDNumber,2568)="","",INDEX(I.Facility.P3IDNumber,2568))</f>
        <v/>
      </c>
      <c r="G17580" s="51"/>
      <c r="H17580" s="46" t="str">
        <f>IF(AND(I.Developer.P3=TRUE,I.Facility.P3FacilityCount&gt;=2568,F17580=""),"Incomplete","Complete")</f>
        <v>Complete</v>
      </c>
      <c r="I17580" s="48" t="s">
        <v>21945</v>
      </c>
    </row>
    <row r="17581" spans="2:9" ht="15" customHeight="1" x14ac:dyDescent="0.25">
      <c r="B17581" s="55" t="s">
        <v>282</v>
      </c>
      <c r="C17581" s="46">
        <v>2569</v>
      </c>
      <c r="D17581" s="69" t="s">
        <v>29419</v>
      </c>
      <c r="E17581" s="51"/>
      <c r="F17581" s="114" t="str">
        <f>IF(INDEX(I.Facility.P3IDNumber,2569)="","",INDEX(I.Facility.P3IDNumber,2569))</f>
        <v/>
      </c>
      <c r="G17581" s="51"/>
      <c r="H17581" s="46" t="str">
        <f>IF(AND(I.Developer.P3=TRUE,I.Facility.P3FacilityCount&gt;=2569,F17581=""),"Incomplete","Complete")</f>
        <v>Complete</v>
      </c>
      <c r="I17581" s="48" t="s">
        <v>21946</v>
      </c>
    </row>
    <row r="17582" spans="2:9" ht="15" customHeight="1" x14ac:dyDescent="0.25">
      <c r="B17582" s="55" t="s">
        <v>282</v>
      </c>
      <c r="C17582" s="46">
        <v>2570</v>
      </c>
      <c r="D17582" s="69" t="s">
        <v>29419</v>
      </c>
      <c r="E17582" s="51"/>
      <c r="F17582" s="114" t="str">
        <f>IF(INDEX(I.Facility.P3IDNumber,2570)="","",INDEX(I.Facility.P3IDNumber,2570))</f>
        <v/>
      </c>
      <c r="G17582" s="51"/>
      <c r="H17582" s="46" t="str">
        <f>IF(AND(I.Developer.P3=TRUE,I.Facility.P3FacilityCount&gt;=2570,F17582=""),"Incomplete","Complete")</f>
        <v>Complete</v>
      </c>
      <c r="I17582" s="48" t="s">
        <v>21947</v>
      </c>
    </row>
    <row r="17583" spans="2:9" ht="15" customHeight="1" x14ac:dyDescent="0.25">
      <c r="B17583" s="55" t="s">
        <v>282</v>
      </c>
      <c r="C17583" s="46">
        <v>2571</v>
      </c>
      <c r="D17583" s="69" t="s">
        <v>29419</v>
      </c>
      <c r="E17583" s="51"/>
      <c r="F17583" s="114" t="str">
        <f>IF(INDEX(I.Facility.P3IDNumber,2571)="","",INDEX(I.Facility.P3IDNumber,2571))</f>
        <v/>
      </c>
      <c r="G17583" s="51"/>
      <c r="H17583" s="46" t="str">
        <f>IF(AND(I.Developer.P3=TRUE,I.Facility.P3FacilityCount&gt;=2571,F17583=""),"Incomplete","Complete")</f>
        <v>Complete</v>
      </c>
      <c r="I17583" s="48" t="s">
        <v>21948</v>
      </c>
    </row>
    <row r="17584" spans="2:9" ht="15" customHeight="1" x14ac:dyDescent="0.25">
      <c r="B17584" s="55" t="s">
        <v>282</v>
      </c>
      <c r="C17584" s="46">
        <v>2572</v>
      </c>
      <c r="D17584" s="69" t="s">
        <v>29419</v>
      </c>
      <c r="E17584" s="51"/>
      <c r="F17584" s="114" t="str">
        <f>IF(INDEX(I.Facility.P3IDNumber,2572)="","",INDEX(I.Facility.P3IDNumber,2572))</f>
        <v/>
      </c>
      <c r="G17584" s="51"/>
      <c r="H17584" s="46" t="str">
        <f>IF(AND(I.Developer.P3=TRUE,I.Facility.P3FacilityCount&gt;=2572,F17584=""),"Incomplete","Complete")</f>
        <v>Complete</v>
      </c>
      <c r="I17584" s="48" t="s">
        <v>21949</v>
      </c>
    </row>
    <row r="17585" spans="2:9" ht="15" customHeight="1" x14ac:dyDescent="0.25">
      <c r="B17585" s="55" t="s">
        <v>282</v>
      </c>
      <c r="C17585" s="46">
        <v>2573</v>
      </c>
      <c r="D17585" s="69" t="s">
        <v>29419</v>
      </c>
      <c r="E17585" s="51"/>
      <c r="F17585" s="114" t="str">
        <f>IF(INDEX(I.Facility.P3IDNumber,2573)="","",INDEX(I.Facility.P3IDNumber,2573))</f>
        <v/>
      </c>
      <c r="G17585" s="51"/>
      <c r="H17585" s="46" t="str">
        <f>IF(AND(I.Developer.P3=TRUE,I.Facility.P3FacilityCount&gt;=2573,F17585=""),"Incomplete","Complete")</f>
        <v>Complete</v>
      </c>
      <c r="I17585" s="48" t="s">
        <v>21950</v>
      </c>
    </row>
    <row r="17586" spans="2:9" ht="15" customHeight="1" x14ac:dyDescent="0.25">
      <c r="B17586" s="55" t="s">
        <v>282</v>
      </c>
      <c r="C17586" s="46">
        <v>2574</v>
      </c>
      <c r="D17586" s="69" t="s">
        <v>29419</v>
      </c>
      <c r="E17586" s="51"/>
      <c r="F17586" s="114" t="str">
        <f>IF(INDEX(I.Facility.P3IDNumber,2574)="","",INDEX(I.Facility.P3IDNumber,2574))</f>
        <v/>
      </c>
      <c r="G17586" s="51"/>
      <c r="H17586" s="46" t="str">
        <f>IF(AND(I.Developer.P3=TRUE,I.Facility.P3FacilityCount&gt;=2574,F17586=""),"Incomplete","Complete")</f>
        <v>Complete</v>
      </c>
      <c r="I17586" s="48" t="s">
        <v>21951</v>
      </c>
    </row>
    <row r="17587" spans="2:9" ht="15" customHeight="1" x14ac:dyDescent="0.25">
      <c r="B17587" s="55" t="s">
        <v>282</v>
      </c>
      <c r="C17587" s="46">
        <v>2575</v>
      </c>
      <c r="D17587" s="69" t="s">
        <v>29419</v>
      </c>
      <c r="E17587" s="51"/>
      <c r="F17587" s="114" t="str">
        <f>IF(INDEX(I.Facility.P3IDNumber,2575)="","",INDEX(I.Facility.P3IDNumber,2575))</f>
        <v/>
      </c>
      <c r="G17587" s="51"/>
      <c r="H17587" s="46" t="str">
        <f>IF(AND(I.Developer.P3=TRUE,I.Facility.P3FacilityCount&gt;=2575,F17587=""),"Incomplete","Complete")</f>
        <v>Complete</v>
      </c>
      <c r="I17587" s="48" t="s">
        <v>21952</v>
      </c>
    </row>
    <row r="17588" spans="2:9" ht="15" customHeight="1" x14ac:dyDescent="0.25">
      <c r="B17588" s="55" t="s">
        <v>282</v>
      </c>
      <c r="C17588" s="46">
        <v>2576</v>
      </c>
      <c r="D17588" s="69" t="s">
        <v>29419</v>
      </c>
      <c r="E17588" s="51"/>
      <c r="F17588" s="114" t="str">
        <f>IF(INDEX(I.Facility.P3IDNumber,2576)="","",INDEX(I.Facility.P3IDNumber,2576))</f>
        <v/>
      </c>
      <c r="G17588" s="51"/>
      <c r="H17588" s="46" t="str">
        <f>IF(AND(I.Developer.P3=TRUE,I.Facility.P3FacilityCount&gt;=2576,F17588=""),"Incomplete","Complete")</f>
        <v>Complete</v>
      </c>
      <c r="I17588" s="48" t="s">
        <v>21953</v>
      </c>
    </row>
    <row r="17589" spans="2:9" ht="15" customHeight="1" x14ac:dyDescent="0.25">
      <c r="B17589" s="55" t="s">
        <v>282</v>
      </c>
      <c r="C17589" s="46">
        <v>2577</v>
      </c>
      <c r="D17589" s="69" t="s">
        <v>29419</v>
      </c>
      <c r="E17589" s="51"/>
      <c r="F17589" s="114" t="str">
        <f>IF(INDEX(I.Facility.P3IDNumber,2577)="","",INDEX(I.Facility.P3IDNumber,2577))</f>
        <v/>
      </c>
      <c r="G17589" s="51"/>
      <c r="H17589" s="46" t="str">
        <f>IF(AND(I.Developer.P3=TRUE,I.Facility.P3FacilityCount&gt;=2577,F17589=""),"Incomplete","Complete")</f>
        <v>Complete</v>
      </c>
      <c r="I17589" s="48" t="s">
        <v>21954</v>
      </c>
    </row>
    <row r="17590" spans="2:9" ht="15" customHeight="1" x14ac:dyDescent="0.25">
      <c r="B17590" s="55" t="s">
        <v>282</v>
      </c>
      <c r="C17590" s="46">
        <v>2578</v>
      </c>
      <c r="D17590" s="69" t="s">
        <v>29419</v>
      </c>
      <c r="E17590" s="51"/>
      <c r="F17590" s="114" t="str">
        <f>IF(INDEX(I.Facility.P3IDNumber,2578)="","",INDEX(I.Facility.P3IDNumber,2578))</f>
        <v/>
      </c>
      <c r="G17590" s="51"/>
      <c r="H17590" s="46" t="str">
        <f>IF(AND(I.Developer.P3=TRUE,I.Facility.P3FacilityCount&gt;=2578,F17590=""),"Incomplete","Complete")</f>
        <v>Complete</v>
      </c>
      <c r="I17590" s="48" t="s">
        <v>21955</v>
      </c>
    </row>
    <row r="17591" spans="2:9" ht="15" customHeight="1" x14ac:dyDescent="0.25">
      <c r="B17591" s="55" t="s">
        <v>282</v>
      </c>
      <c r="C17591" s="46">
        <v>2579</v>
      </c>
      <c r="D17591" s="69" t="s">
        <v>29419</v>
      </c>
      <c r="E17591" s="51"/>
      <c r="F17591" s="114" t="str">
        <f>IF(INDEX(I.Facility.P3IDNumber,2579)="","",INDEX(I.Facility.P3IDNumber,2579))</f>
        <v/>
      </c>
      <c r="G17591" s="51"/>
      <c r="H17591" s="46" t="str">
        <f>IF(AND(I.Developer.P3=TRUE,I.Facility.P3FacilityCount&gt;=2579,F17591=""),"Incomplete","Complete")</f>
        <v>Complete</v>
      </c>
      <c r="I17591" s="48" t="s">
        <v>21956</v>
      </c>
    </row>
    <row r="17592" spans="2:9" ht="15" customHeight="1" x14ac:dyDescent="0.25">
      <c r="B17592" s="55" t="s">
        <v>282</v>
      </c>
      <c r="C17592" s="46">
        <v>2580</v>
      </c>
      <c r="D17592" s="69" t="s">
        <v>29419</v>
      </c>
      <c r="E17592" s="51"/>
      <c r="F17592" s="114" t="str">
        <f>IF(INDEX(I.Facility.P3IDNumber,2580)="","",INDEX(I.Facility.P3IDNumber,2580))</f>
        <v/>
      </c>
      <c r="G17592" s="51"/>
      <c r="H17592" s="46" t="str">
        <f>IF(AND(I.Developer.P3=TRUE,I.Facility.P3FacilityCount&gt;=2580,F17592=""),"Incomplete","Complete")</f>
        <v>Complete</v>
      </c>
      <c r="I17592" s="48" t="s">
        <v>21957</v>
      </c>
    </row>
    <row r="17593" spans="2:9" ht="15" customHeight="1" x14ac:dyDescent="0.25">
      <c r="B17593" s="55" t="s">
        <v>282</v>
      </c>
      <c r="C17593" s="46">
        <v>2581</v>
      </c>
      <c r="D17593" s="69" t="s">
        <v>29419</v>
      </c>
      <c r="E17593" s="51"/>
      <c r="F17593" s="114" t="str">
        <f>IF(INDEX(I.Facility.P3IDNumber,2581)="","",INDEX(I.Facility.P3IDNumber,2581))</f>
        <v/>
      </c>
      <c r="G17593" s="51"/>
      <c r="H17593" s="46" t="str">
        <f>IF(AND(I.Developer.P3=TRUE,I.Facility.P3FacilityCount&gt;=2581,F17593=""),"Incomplete","Complete")</f>
        <v>Complete</v>
      </c>
      <c r="I17593" s="48" t="s">
        <v>21958</v>
      </c>
    </row>
    <row r="17594" spans="2:9" ht="15" customHeight="1" x14ac:dyDescent="0.25">
      <c r="B17594" s="55" t="s">
        <v>282</v>
      </c>
      <c r="C17594" s="46">
        <v>2582</v>
      </c>
      <c r="D17594" s="69" t="s">
        <v>29419</v>
      </c>
      <c r="E17594" s="51"/>
      <c r="F17594" s="114" t="str">
        <f>IF(INDEX(I.Facility.P3IDNumber,2582)="","",INDEX(I.Facility.P3IDNumber,2582))</f>
        <v/>
      </c>
      <c r="G17594" s="51"/>
      <c r="H17594" s="46" t="str">
        <f>IF(AND(I.Developer.P3=TRUE,I.Facility.P3FacilityCount&gt;=2582,F17594=""),"Incomplete","Complete")</f>
        <v>Complete</v>
      </c>
      <c r="I17594" s="48" t="s">
        <v>21959</v>
      </c>
    </row>
    <row r="17595" spans="2:9" ht="15" customHeight="1" x14ac:dyDescent="0.25">
      <c r="B17595" s="55" t="s">
        <v>282</v>
      </c>
      <c r="C17595" s="46">
        <v>2583</v>
      </c>
      <c r="D17595" s="69" t="s">
        <v>29419</v>
      </c>
      <c r="E17595" s="51"/>
      <c r="F17595" s="114" t="str">
        <f>IF(INDEX(I.Facility.P3IDNumber,2583)="","",INDEX(I.Facility.P3IDNumber,2583))</f>
        <v/>
      </c>
      <c r="G17595" s="51"/>
      <c r="H17595" s="46" t="str">
        <f>IF(AND(I.Developer.P3=TRUE,I.Facility.P3FacilityCount&gt;=2583,F17595=""),"Incomplete","Complete")</f>
        <v>Complete</v>
      </c>
      <c r="I17595" s="48" t="s">
        <v>21960</v>
      </c>
    </row>
    <row r="17596" spans="2:9" ht="15" customHeight="1" x14ac:dyDescent="0.25">
      <c r="B17596" s="55" t="s">
        <v>282</v>
      </c>
      <c r="C17596" s="46">
        <v>2584</v>
      </c>
      <c r="D17596" s="69" t="s">
        <v>29419</v>
      </c>
      <c r="E17596" s="51"/>
      <c r="F17596" s="114" t="str">
        <f>IF(INDEX(I.Facility.P3IDNumber,2584)="","",INDEX(I.Facility.P3IDNumber,2584))</f>
        <v/>
      </c>
      <c r="G17596" s="51"/>
      <c r="H17596" s="46" t="str">
        <f>IF(AND(I.Developer.P3=TRUE,I.Facility.P3FacilityCount&gt;=2584,F17596=""),"Incomplete","Complete")</f>
        <v>Complete</v>
      </c>
      <c r="I17596" s="48" t="s">
        <v>21961</v>
      </c>
    </row>
    <row r="17597" spans="2:9" ht="15" customHeight="1" x14ac:dyDescent="0.25">
      <c r="B17597" s="55" t="s">
        <v>282</v>
      </c>
      <c r="C17597" s="46">
        <v>2585</v>
      </c>
      <c r="D17597" s="69" t="s">
        <v>29419</v>
      </c>
      <c r="E17597" s="51"/>
      <c r="F17597" s="114" t="str">
        <f>IF(INDEX(I.Facility.P3IDNumber,2585)="","",INDEX(I.Facility.P3IDNumber,2585))</f>
        <v/>
      </c>
      <c r="G17597" s="51"/>
      <c r="H17597" s="46" t="str">
        <f>IF(AND(I.Developer.P3=TRUE,I.Facility.P3FacilityCount&gt;=2585,F17597=""),"Incomplete","Complete")</f>
        <v>Complete</v>
      </c>
      <c r="I17597" s="48" t="s">
        <v>21962</v>
      </c>
    </row>
    <row r="17598" spans="2:9" ht="15" customHeight="1" x14ac:dyDescent="0.25">
      <c r="B17598" s="55" t="s">
        <v>282</v>
      </c>
      <c r="C17598" s="46">
        <v>2586</v>
      </c>
      <c r="D17598" s="69" t="s">
        <v>29419</v>
      </c>
      <c r="E17598" s="51"/>
      <c r="F17598" s="114" t="str">
        <f>IF(INDEX(I.Facility.P3IDNumber,2586)="","",INDEX(I.Facility.P3IDNumber,2586))</f>
        <v/>
      </c>
      <c r="G17598" s="51"/>
      <c r="H17598" s="46" t="str">
        <f>IF(AND(I.Developer.P3=TRUE,I.Facility.P3FacilityCount&gt;=2586,F17598=""),"Incomplete","Complete")</f>
        <v>Complete</v>
      </c>
      <c r="I17598" s="48" t="s">
        <v>21963</v>
      </c>
    </row>
    <row r="17599" spans="2:9" ht="15" customHeight="1" x14ac:dyDescent="0.25">
      <c r="B17599" s="55" t="s">
        <v>282</v>
      </c>
      <c r="C17599" s="46">
        <v>2587</v>
      </c>
      <c r="D17599" s="69" t="s">
        <v>29419</v>
      </c>
      <c r="E17599" s="51"/>
      <c r="F17599" s="114" t="str">
        <f>IF(INDEX(I.Facility.P3IDNumber,2587)="","",INDEX(I.Facility.P3IDNumber,2587))</f>
        <v/>
      </c>
      <c r="G17599" s="51"/>
      <c r="H17599" s="46" t="str">
        <f>IF(AND(I.Developer.P3=TRUE,I.Facility.P3FacilityCount&gt;=2587,F17599=""),"Incomplete","Complete")</f>
        <v>Complete</v>
      </c>
      <c r="I17599" s="48" t="s">
        <v>21964</v>
      </c>
    </row>
    <row r="17600" spans="2:9" ht="15" customHeight="1" x14ac:dyDescent="0.25">
      <c r="B17600" s="55" t="s">
        <v>282</v>
      </c>
      <c r="C17600" s="46">
        <v>2588</v>
      </c>
      <c r="D17600" s="69" t="s">
        <v>29419</v>
      </c>
      <c r="E17600" s="51"/>
      <c r="F17600" s="114" t="str">
        <f>IF(INDEX(I.Facility.P3IDNumber,2588)="","",INDEX(I.Facility.P3IDNumber,2588))</f>
        <v/>
      </c>
      <c r="G17600" s="51"/>
      <c r="H17600" s="46" t="str">
        <f>IF(AND(I.Developer.P3=TRUE,I.Facility.P3FacilityCount&gt;=2588,F17600=""),"Incomplete","Complete")</f>
        <v>Complete</v>
      </c>
      <c r="I17600" s="48" t="s">
        <v>21965</v>
      </c>
    </row>
    <row r="17601" spans="2:9" ht="15" customHeight="1" x14ac:dyDescent="0.25">
      <c r="B17601" s="55" t="s">
        <v>282</v>
      </c>
      <c r="C17601" s="46">
        <v>2589</v>
      </c>
      <c r="D17601" s="69" t="s">
        <v>29419</v>
      </c>
      <c r="E17601" s="51"/>
      <c r="F17601" s="114" t="str">
        <f>IF(INDEX(I.Facility.P3IDNumber,2589)="","",INDEX(I.Facility.P3IDNumber,2589))</f>
        <v/>
      </c>
      <c r="G17601" s="51"/>
      <c r="H17601" s="46" t="str">
        <f>IF(AND(I.Developer.P3=TRUE,I.Facility.P3FacilityCount&gt;=2589,F17601=""),"Incomplete","Complete")</f>
        <v>Complete</v>
      </c>
      <c r="I17601" s="48" t="s">
        <v>21966</v>
      </c>
    </row>
    <row r="17602" spans="2:9" ht="15" customHeight="1" x14ac:dyDescent="0.25">
      <c r="B17602" s="55" t="s">
        <v>282</v>
      </c>
      <c r="C17602" s="46">
        <v>2590</v>
      </c>
      <c r="D17602" s="69" t="s">
        <v>29419</v>
      </c>
      <c r="E17602" s="51"/>
      <c r="F17602" s="114" t="str">
        <f>IF(INDEX(I.Facility.P3IDNumber,2590)="","",INDEX(I.Facility.P3IDNumber,2590))</f>
        <v/>
      </c>
      <c r="G17602" s="51"/>
      <c r="H17602" s="46" t="str">
        <f>IF(AND(I.Developer.P3=TRUE,I.Facility.P3FacilityCount&gt;=2590,F17602=""),"Incomplete","Complete")</f>
        <v>Complete</v>
      </c>
      <c r="I17602" s="48" t="s">
        <v>21967</v>
      </c>
    </row>
    <row r="17603" spans="2:9" ht="15" customHeight="1" x14ac:dyDescent="0.25">
      <c r="B17603" s="55" t="s">
        <v>282</v>
      </c>
      <c r="C17603" s="46">
        <v>2591</v>
      </c>
      <c r="D17603" s="69" t="s">
        <v>29419</v>
      </c>
      <c r="E17603" s="51"/>
      <c r="F17603" s="114" t="str">
        <f>IF(INDEX(I.Facility.P3IDNumber,2591)="","",INDEX(I.Facility.P3IDNumber,2591))</f>
        <v/>
      </c>
      <c r="G17603" s="51"/>
      <c r="H17603" s="46" t="str">
        <f>IF(AND(I.Developer.P3=TRUE,I.Facility.P3FacilityCount&gt;=2591,F17603=""),"Incomplete","Complete")</f>
        <v>Complete</v>
      </c>
      <c r="I17603" s="48" t="s">
        <v>21968</v>
      </c>
    </row>
    <row r="17604" spans="2:9" ht="15" customHeight="1" x14ac:dyDescent="0.25">
      <c r="B17604" s="55" t="s">
        <v>282</v>
      </c>
      <c r="C17604" s="46">
        <v>2592</v>
      </c>
      <c r="D17604" s="69" t="s">
        <v>29419</v>
      </c>
      <c r="E17604" s="51"/>
      <c r="F17604" s="114" t="str">
        <f>IF(INDEX(I.Facility.P3IDNumber,2592)="","",INDEX(I.Facility.P3IDNumber,2592))</f>
        <v/>
      </c>
      <c r="G17604" s="51"/>
      <c r="H17604" s="46" t="str">
        <f>IF(AND(I.Developer.P3=TRUE,I.Facility.P3FacilityCount&gt;=2592,F17604=""),"Incomplete","Complete")</f>
        <v>Complete</v>
      </c>
      <c r="I17604" s="48" t="s">
        <v>21969</v>
      </c>
    </row>
    <row r="17605" spans="2:9" ht="15" customHeight="1" x14ac:dyDescent="0.25">
      <c r="B17605" s="55" t="s">
        <v>282</v>
      </c>
      <c r="C17605" s="46">
        <v>2593</v>
      </c>
      <c r="D17605" s="69" t="s">
        <v>29419</v>
      </c>
      <c r="E17605" s="51"/>
      <c r="F17605" s="114" t="str">
        <f>IF(INDEX(I.Facility.P3IDNumber,2593)="","",INDEX(I.Facility.P3IDNumber,2593))</f>
        <v/>
      </c>
      <c r="G17605" s="51"/>
      <c r="H17605" s="46" t="str">
        <f>IF(AND(I.Developer.P3=TRUE,I.Facility.P3FacilityCount&gt;=2593,F17605=""),"Incomplete","Complete")</f>
        <v>Complete</v>
      </c>
      <c r="I17605" s="48" t="s">
        <v>21970</v>
      </c>
    </row>
    <row r="17606" spans="2:9" ht="15" customHeight="1" x14ac:dyDescent="0.25">
      <c r="B17606" s="55" t="s">
        <v>282</v>
      </c>
      <c r="C17606" s="46">
        <v>2594</v>
      </c>
      <c r="D17606" s="69" t="s">
        <v>29419</v>
      </c>
      <c r="E17606" s="51"/>
      <c r="F17606" s="114" t="str">
        <f>IF(INDEX(I.Facility.P3IDNumber,2594)="","",INDEX(I.Facility.P3IDNumber,2594))</f>
        <v/>
      </c>
      <c r="G17606" s="51"/>
      <c r="H17606" s="46" t="str">
        <f>IF(AND(I.Developer.P3=TRUE,I.Facility.P3FacilityCount&gt;=2594,F17606=""),"Incomplete","Complete")</f>
        <v>Complete</v>
      </c>
      <c r="I17606" s="48" t="s">
        <v>21971</v>
      </c>
    </row>
    <row r="17607" spans="2:9" ht="15" customHeight="1" x14ac:dyDescent="0.25">
      <c r="B17607" s="55" t="s">
        <v>282</v>
      </c>
      <c r="C17607" s="46">
        <v>2595</v>
      </c>
      <c r="D17607" s="69" t="s">
        <v>29419</v>
      </c>
      <c r="E17607" s="51"/>
      <c r="F17607" s="114" t="str">
        <f>IF(INDEX(I.Facility.P3IDNumber,2595)="","",INDEX(I.Facility.P3IDNumber,2595))</f>
        <v/>
      </c>
      <c r="G17607" s="51"/>
      <c r="H17607" s="46" t="str">
        <f>IF(AND(I.Developer.P3=TRUE,I.Facility.P3FacilityCount&gt;=2595,F17607=""),"Incomplete","Complete")</f>
        <v>Complete</v>
      </c>
      <c r="I17607" s="48" t="s">
        <v>21972</v>
      </c>
    </row>
    <row r="17608" spans="2:9" ht="15" customHeight="1" x14ac:dyDescent="0.25">
      <c r="B17608" s="55" t="s">
        <v>282</v>
      </c>
      <c r="C17608" s="46">
        <v>2596</v>
      </c>
      <c r="D17608" s="69" t="s">
        <v>29419</v>
      </c>
      <c r="E17608" s="51"/>
      <c r="F17608" s="114" t="str">
        <f>IF(INDEX(I.Facility.P3IDNumber,2596)="","",INDEX(I.Facility.P3IDNumber,2596))</f>
        <v/>
      </c>
      <c r="G17608" s="51"/>
      <c r="H17608" s="46" t="str">
        <f>IF(AND(I.Developer.P3=TRUE,I.Facility.P3FacilityCount&gt;=2596,F17608=""),"Incomplete","Complete")</f>
        <v>Complete</v>
      </c>
      <c r="I17608" s="48" t="s">
        <v>21973</v>
      </c>
    </row>
    <row r="17609" spans="2:9" ht="15" customHeight="1" x14ac:dyDescent="0.25">
      <c r="B17609" s="55" t="s">
        <v>282</v>
      </c>
      <c r="C17609" s="46">
        <v>2597</v>
      </c>
      <c r="D17609" s="69" t="s">
        <v>29419</v>
      </c>
      <c r="E17609" s="51"/>
      <c r="F17609" s="114" t="str">
        <f>IF(INDEX(I.Facility.P3IDNumber,2597)="","",INDEX(I.Facility.P3IDNumber,2597))</f>
        <v/>
      </c>
      <c r="G17609" s="51"/>
      <c r="H17609" s="46" t="str">
        <f>IF(AND(I.Developer.P3=TRUE,I.Facility.P3FacilityCount&gt;=2597,F17609=""),"Incomplete","Complete")</f>
        <v>Complete</v>
      </c>
      <c r="I17609" s="48" t="s">
        <v>21974</v>
      </c>
    </row>
    <row r="17610" spans="2:9" ht="15" customHeight="1" x14ac:dyDescent="0.25">
      <c r="B17610" s="55" t="s">
        <v>282</v>
      </c>
      <c r="C17610" s="46">
        <v>2598</v>
      </c>
      <c r="D17610" s="69" t="s">
        <v>29419</v>
      </c>
      <c r="E17610" s="51"/>
      <c r="F17610" s="114" t="str">
        <f>IF(INDEX(I.Facility.P3IDNumber,2598)="","",INDEX(I.Facility.P3IDNumber,2598))</f>
        <v/>
      </c>
      <c r="G17610" s="51"/>
      <c r="H17610" s="46" t="str">
        <f>IF(AND(I.Developer.P3=TRUE,I.Facility.P3FacilityCount&gt;=2598,F17610=""),"Incomplete","Complete")</f>
        <v>Complete</v>
      </c>
      <c r="I17610" s="48" t="s">
        <v>21975</v>
      </c>
    </row>
    <row r="17611" spans="2:9" ht="15" customHeight="1" x14ac:dyDescent="0.25">
      <c r="B17611" s="55" t="s">
        <v>282</v>
      </c>
      <c r="C17611" s="46">
        <v>2599</v>
      </c>
      <c r="D17611" s="69" t="s">
        <v>29419</v>
      </c>
      <c r="E17611" s="51"/>
      <c r="F17611" s="114" t="str">
        <f>IF(INDEX(I.Facility.P3IDNumber,2599)="","",INDEX(I.Facility.P3IDNumber,2599))</f>
        <v/>
      </c>
      <c r="G17611" s="51"/>
      <c r="H17611" s="46" t="str">
        <f>IF(AND(I.Developer.P3=TRUE,I.Facility.P3FacilityCount&gt;=2599,F17611=""),"Incomplete","Complete")</f>
        <v>Complete</v>
      </c>
      <c r="I17611" s="48" t="s">
        <v>21976</v>
      </c>
    </row>
    <row r="17612" spans="2:9" ht="15" customHeight="1" x14ac:dyDescent="0.25">
      <c r="B17612" s="55" t="s">
        <v>282</v>
      </c>
      <c r="C17612" s="46">
        <v>2600</v>
      </c>
      <c r="D17612" s="69" t="s">
        <v>29419</v>
      </c>
      <c r="E17612" s="51"/>
      <c r="F17612" s="114" t="str">
        <f>IF(INDEX(I.Facility.P3IDNumber,2600)="","",INDEX(I.Facility.P3IDNumber,2600))</f>
        <v/>
      </c>
      <c r="G17612" s="51"/>
      <c r="H17612" s="46" t="str">
        <f>IF(AND(I.Developer.P3=TRUE,I.Facility.P3FacilityCount&gt;=2600,F17612=""),"Incomplete","Complete")</f>
        <v>Complete</v>
      </c>
      <c r="I17612" s="48" t="s">
        <v>21977</v>
      </c>
    </row>
    <row r="17613" spans="2:9" ht="15" customHeight="1" x14ac:dyDescent="0.25">
      <c r="B17613" s="55" t="s">
        <v>282</v>
      </c>
      <c r="C17613" s="46">
        <v>2601</v>
      </c>
      <c r="D17613" s="69" t="s">
        <v>29419</v>
      </c>
      <c r="E17613" s="51"/>
      <c r="F17613" s="114" t="str">
        <f>IF(INDEX(I.Facility.P3IDNumber,2601)="","",INDEX(I.Facility.P3IDNumber,2601))</f>
        <v/>
      </c>
      <c r="G17613" s="51"/>
      <c r="H17613" s="46" t="str">
        <f>IF(AND(I.Developer.P3=TRUE,I.Facility.P3FacilityCount&gt;=2601,F17613=""),"Incomplete","Complete")</f>
        <v>Complete</v>
      </c>
      <c r="I17613" s="48" t="s">
        <v>21978</v>
      </c>
    </row>
    <row r="17614" spans="2:9" ht="15" customHeight="1" x14ac:dyDescent="0.25">
      <c r="B17614" s="55" t="s">
        <v>282</v>
      </c>
      <c r="C17614" s="46">
        <v>2602</v>
      </c>
      <c r="D17614" s="69" t="s">
        <v>29419</v>
      </c>
      <c r="E17614" s="51"/>
      <c r="F17614" s="114" t="str">
        <f>IF(INDEX(I.Facility.P3IDNumber,2602)="","",INDEX(I.Facility.P3IDNumber,2602))</f>
        <v/>
      </c>
      <c r="G17614" s="51"/>
      <c r="H17614" s="46" t="str">
        <f>IF(AND(I.Developer.P3=TRUE,I.Facility.P3FacilityCount&gt;=2602,F17614=""),"Incomplete","Complete")</f>
        <v>Complete</v>
      </c>
      <c r="I17614" s="48" t="s">
        <v>21979</v>
      </c>
    </row>
    <row r="17615" spans="2:9" ht="15" customHeight="1" x14ac:dyDescent="0.25">
      <c r="B17615" s="55" t="s">
        <v>282</v>
      </c>
      <c r="C17615" s="46">
        <v>2603</v>
      </c>
      <c r="D17615" s="69" t="s">
        <v>29419</v>
      </c>
      <c r="E17615" s="51"/>
      <c r="F17615" s="114" t="str">
        <f>IF(INDEX(I.Facility.P3IDNumber,2603)="","",INDEX(I.Facility.P3IDNumber,2603))</f>
        <v/>
      </c>
      <c r="G17615" s="51"/>
      <c r="H17615" s="46" t="str">
        <f>IF(AND(I.Developer.P3=TRUE,I.Facility.P3FacilityCount&gt;=2603,F17615=""),"Incomplete","Complete")</f>
        <v>Complete</v>
      </c>
      <c r="I17615" s="48" t="s">
        <v>21980</v>
      </c>
    </row>
    <row r="17616" spans="2:9" ht="15" customHeight="1" x14ac:dyDescent="0.25">
      <c r="B17616" s="55" t="s">
        <v>282</v>
      </c>
      <c r="C17616" s="46">
        <v>2604</v>
      </c>
      <c r="D17616" s="69" t="s">
        <v>29419</v>
      </c>
      <c r="E17616" s="51"/>
      <c r="F17616" s="114" t="str">
        <f>IF(INDEX(I.Facility.P3IDNumber,2604)="","",INDEX(I.Facility.P3IDNumber,2604))</f>
        <v/>
      </c>
      <c r="G17616" s="51"/>
      <c r="H17616" s="46" t="str">
        <f>IF(AND(I.Developer.P3=TRUE,I.Facility.P3FacilityCount&gt;=2604,F17616=""),"Incomplete","Complete")</f>
        <v>Complete</v>
      </c>
      <c r="I17616" s="48" t="s">
        <v>21981</v>
      </c>
    </row>
    <row r="17617" spans="2:9" ht="15" customHeight="1" x14ac:dyDescent="0.25">
      <c r="B17617" s="55" t="s">
        <v>282</v>
      </c>
      <c r="C17617" s="46">
        <v>2605</v>
      </c>
      <c r="D17617" s="69" t="s">
        <v>29419</v>
      </c>
      <c r="E17617" s="51"/>
      <c r="F17617" s="114" t="str">
        <f>IF(INDEX(I.Facility.P3IDNumber,2605)="","",INDEX(I.Facility.P3IDNumber,2605))</f>
        <v/>
      </c>
      <c r="G17617" s="51"/>
      <c r="H17617" s="46" t="str">
        <f>IF(AND(I.Developer.P3=TRUE,I.Facility.P3FacilityCount&gt;=2605,F17617=""),"Incomplete","Complete")</f>
        <v>Complete</v>
      </c>
      <c r="I17617" s="48" t="s">
        <v>21982</v>
      </c>
    </row>
    <row r="17618" spans="2:9" ht="15" customHeight="1" x14ac:dyDescent="0.25">
      <c r="B17618" s="55" t="s">
        <v>282</v>
      </c>
      <c r="C17618" s="46">
        <v>2606</v>
      </c>
      <c r="D17618" s="69" t="s">
        <v>29419</v>
      </c>
      <c r="E17618" s="51"/>
      <c r="F17618" s="114" t="str">
        <f>IF(INDEX(I.Facility.P3IDNumber,2606)="","",INDEX(I.Facility.P3IDNumber,2606))</f>
        <v/>
      </c>
      <c r="G17618" s="51"/>
      <c r="H17618" s="46" t="str">
        <f>IF(AND(I.Developer.P3=TRUE,I.Facility.P3FacilityCount&gt;=2606,F17618=""),"Incomplete","Complete")</f>
        <v>Complete</v>
      </c>
      <c r="I17618" s="48" t="s">
        <v>21983</v>
      </c>
    </row>
    <row r="17619" spans="2:9" ht="15" customHeight="1" x14ac:dyDescent="0.25">
      <c r="B17619" s="55" t="s">
        <v>282</v>
      </c>
      <c r="C17619" s="46">
        <v>2607</v>
      </c>
      <c r="D17619" s="69" t="s">
        <v>29419</v>
      </c>
      <c r="E17619" s="51"/>
      <c r="F17619" s="114" t="str">
        <f>IF(INDEX(I.Facility.P3IDNumber,2607)="","",INDEX(I.Facility.P3IDNumber,2607))</f>
        <v/>
      </c>
      <c r="G17619" s="51"/>
      <c r="H17619" s="46" t="str">
        <f>IF(AND(I.Developer.P3=TRUE,I.Facility.P3FacilityCount&gt;=2607,F17619=""),"Incomplete","Complete")</f>
        <v>Complete</v>
      </c>
      <c r="I17619" s="48" t="s">
        <v>21984</v>
      </c>
    </row>
    <row r="17620" spans="2:9" ht="15" customHeight="1" x14ac:dyDescent="0.25">
      <c r="B17620" s="55" t="s">
        <v>282</v>
      </c>
      <c r="C17620" s="46">
        <v>2608</v>
      </c>
      <c r="D17620" s="69" t="s">
        <v>29419</v>
      </c>
      <c r="E17620" s="51"/>
      <c r="F17620" s="114" t="str">
        <f>IF(INDEX(I.Facility.P3IDNumber,2608)="","",INDEX(I.Facility.P3IDNumber,2608))</f>
        <v/>
      </c>
      <c r="G17620" s="51"/>
      <c r="H17620" s="46" t="str">
        <f>IF(AND(I.Developer.P3=TRUE,I.Facility.P3FacilityCount&gt;=2608,F17620=""),"Incomplete","Complete")</f>
        <v>Complete</v>
      </c>
      <c r="I17620" s="48" t="s">
        <v>21985</v>
      </c>
    </row>
    <row r="17621" spans="2:9" ht="15" customHeight="1" x14ac:dyDescent="0.25">
      <c r="B17621" s="55" t="s">
        <v>282</v>
      </c>
      <c r="C17621" s="46">
        <v>2609</v>
      </c>
      <c r="D17621" s="69" t="s">
        <v>29419</v>
      </c>
      <c r="E17621" s="51"/>
      <c r="F17621" s="114" t="str">
        <f>IF(INDEX(I.Facility.P3IDNumber,2609)="","",INDEX(I.Facility.P3IDNumber,2609))</f>
        <v/>
      </c>
      <c r="G17621" s="51"/>
      <c r="H17621" s="46" t="str">
        <f>IF(AND(I.Developer.P3=TRUE,I.Facility.P3FacilityCount&gt;=2609,F17621=""),"Incomplete","Complete")</f>
        <v>Complete</v>
      </c>
      <c r="I17621" s="48" t="s">
        <v>21986</v>
      </c>
    </row>
    <row r="17622" spans="2:9" ht="15" customHeight="1" x14ac:dyDescent="0.25">
      <c r="B17622" s="55" t="s">
        <v>282</v>
      </c>
      <c r="C17622" s="46">
        <v>2610</v>
      </c>
      <c r="D17622" s="69" t="s">
        <v>29419</v>
      </c>
      <c r="E17622" s="51"/>
      <c r="F17622" s="114" t="str">
        <f>IF(INDEX(I.Facility.P3IDNumber,2610)="","",INDEX(I.Facility.P3IDNumber,2610))</f>
        <v/>
      </c>
      <c r="G17622" s="51"/>
      <c r="H17622" s="46" t="str">
        <f>IF(AND(I.Developer.P3=TRUE,I.Facility.P3FacilityCount&gt;=2610,F17622=""),"Incomplete","Complete")</f>
        <v>Complete</v>
      </c>
      <c r="I17622" s="48" t="s">
        <v>21987</v>
      </c>
    </row>
    <row r="17623" spans="2:9" ht="15" customHeight="1" x14ac:dyDescent="0.25">
      <c r="B17623" s="55" t="s">
        <v>282</v>
      </c>
      <c r="C17623" s="46">
        <v>2611</v>
      </c>
      <c r="D17623" s="69" t="s">
        <v>29419</v>
      </c>
      <c r="E17623" s="51"/>
      <c r="F17623" s="114" t="str">
        <f>IF(INDEX(I.Facility.P3IDNumber,2611)="","",INDEX(I.Facility.P3IDNumber,2611))</f>
        <v/>
      </c>
      <c r="G17623" s="51"/>
      <c r="H17623" s="46" t="str">
        <f>IF(AND(I.Developer.P3=TRUE,I.Facility.P3FacilityCount&gt;=2611,F17623=""),"Incomplete","Complete")</f>
        <v>Complete</v>
      </c>
      <c r="I17623" s="48" t="s">
        <v>21988</v>
      </c>
    </row>
    <row r="17624" spans="2:9" ht="15" customHeight="1" x14ac:dyDescent="0.25">
      <c r="B17624" s="55" t="s">
        <v>282</v>
      </c>
      <c r="C17624" s="46">
        <v>2612</v>
      </c>
      <c r="D17624" s="69" t="s">
        <v>29419</v>
      </c>
      <c r="E17624" s="51"/>
      <c r="F17624" s="114" t="str">
        <f>IF(INDEX(I.Facility.P3IDNumber,2612)="","",INDEX(I.Facility.P3IDNumber,2612))</f>
        <v/>
      </c>
      <c r="G17624" s="51"/>
      <c r="H17624" s="46" t="str">
        <f>IF(AND(I.Developer.P3=TRUE,I.Facility.P3FacilityCount&gt;=2612,F17624=""),"Incomplete","Complete")</f>
        <v>Complete</v>
      </c>
      <c r="I17624" s="48" t="s">
        <v>21989</v>
      </c>
    </row>
    <row r="17625" spans="2:9" ht="15" customHeight="1" x14ac:dyDescent="0.25">
      <c r="B17625" s="55" t="s">
        <v>282</v>
      </c>
      <c r="C17625" s="46">
        <v>2613</v>
      </c>
      <c r="D17625" s="69" t="s">
        <v>29419</v>
      </c>
      <c r="E17625" s="51"/>
      <c r="F17625" s="114" t="str">
        <f>IF(INDEX(I.Facility.P3IDNumber,2613)="","",INDEX(I.Facility.P3IDNumber,2613))</f>
        <v/>
      </c>
      <c r="G17625" s="51"/>
      <c r="H17625" s="46" t="str">
        <f>IF(AND(I.Developer.P3=TRUE,I.Facility.P3FacilityCount&gt;=2613,F17625=""),"Incomplete","Complete")</f>
        <v>Complete</v>
      </c>
      <c r="I17625" s="48" t="s">
        <v>21990</v>
      </c>
    </row>
    <row r="17626" spans="2:9" ht="15" customHeight="1" x14ac:dyDescent="0.25">
      <c r="B17626" s="55" t="s">
        <v>282</v>
      </c>
      <c r="C17626" s="46">
        <v>2614</v>
      </c>
      <c r="D17626" s="69" t="s">
        <v>29419</v>
      </c>
      <c r="E17626" s="51"/>
      <c r="F17626" s="114" t="str">
        <f>IF(INDEX(I.Facility.P3IDNumber,2614)="","",INDEX(I.Facility.P3IDNumber,2614))</f>
        <v/>
      </c>
      <c r="G17626" s="51"/>
      <c r="H17626" s="46" t="str">
        <f>IF(AND(I.Developer.P3=TRUE,I.Facility.P3FacilityCount&gt;=2614,F17626=""),"Incomplete","Complete")</f>
        <v>Complete</v>
      </c>
      <c r="I17626" s="48" t="s">
        <v>21991</v>
      </c>
    </row>
    <row r="17627" spans="2:9" ht="15" customHeight="1" x14ac:dyDescent="0.25">
      <c r="B17627" s="55" t="s">
        <v>282</v>
      </c>
      <c r="C17627" s="46">
        <v>2615</v>
      </c>
      <c r="D17627" s="69" t="s">
        <v>29419</v>
      </c>
      <c r="E17627" s="51"/>
      <c r="F17627" s="114" t="str">
        <f>IF(INDEX(I.Facility.P3IDNumber,2615)="","",INDEX(I.Facility.P3IDNumber,2615))</f>
        <v/>
      </c>
      <c r="G17627" s="51"/>
      <c r="H17627" s="46" t="str">
        <f>IF(AND(I.Developer.P3=TRUE,I.Facility.P3FacilityCount&gt;=2615,F17627=""),"Incomplete","Complete")</f>
        <v>Complete</v>
      </c>
      <c r="I17627" s="48" t="s">
        <v>21992</v>
      </c>
    </row>
    <row r="17628" spans="2:9" ht="15" customHeight="1" x14ac:dyDescent="0.25">
      <c r="B17628" s="55" t="s">
        <v>282</v>
      </c>
      <c r="C17628" s="46">
        <v>2616</v>
      </c>
      <c r="D17628" s="69" t="s">
        <v>29419</v>
      </c>
      <c r="E17628" s="51"/>
      <c r="F17628" s="114" t="str">
        <f>IF(INDEX(I.Facility.P3IDNumber,2616)="","",INDEX(I.Facility.P3IDNumber,2616))</f>
        <v/>
      </c>
      <c r="G17628" s="51"/>
      <c r="H17628" s="46" t="str">
        <f>IF(AND(I.Developer.P3=TRUE,I.Facility.P3FacilityCount&gt;=2616,F17628=""),"Incomplete","Complete")</f>
        <v>Complete</v>
      </c>
      <c r="I17628" s="48" t="s">
        <v>21993</v>
      </c>
    </row>
    <row r="17629" spans="2:9" ht="15" customHeight="1" x14ac:dyDescent="0.25">
      <c r="B17629" s="55" t="s">
        <v>282</v>
      </c>
      <c r="C17629" s="46">
        <v>2617</v>
      </c>
      <c r="D17629" s="69" t="s">
        <v>29419</v>
      </c>
      <c r="E17629" s="51"/>
      <c r="F17629" s="114" t="str">
        <f>IF(INDEX(I.Facility.P3IDNumber,2617)="","",INDEX(I.Facility.P3IDNumber,2617))</f>
        <v/>
      </c>
      <c r="G17629" s="51"/>
      <c r="H17629" s="46" t="str">
        <f>IF(AND(I.Developer.P3=TRUE,I.Facility.P3FacilityCount&gt;=2617,F17629=""),"Incomplete","Complete")</f>
        <v>Complete</v>
      </c>
      <c r="I17629" s="48" t="s">
        <v>21994</v>
      </c>
    </row>
    <row r="17630" spans="2:9" ht="15" customHeight="1" x14ac:dyDescent="0.25">
      <c r="B17630" s="55" t="s">
        <v>282</v>
      </c>
      <c r="C17630" s="46">
        <v>2618</v>
      </c>
      <c r="D17630" s="69" t="s">
        <v>29419</v>
      </c>
      <c r="E17630" s="51"/>
      <c r="F17630" s="114" t="str">
        <f>IF(INDEX(I.Facility.P3IDNumber,2618)="","",INDEX(I.Facility.P3IDNumber,2618))</f>
        <v/>
      </c>
      <c r="G17630" s="51"/>
      <c r="H17630" s="46" t="str">
        <f>IF(AND(I.Developer.P3=TRUE,I.Facility.P3FacilityCount&gt;=2618,F17630=""),"Incomplete","Complete")</f>
        <v>Complete</v>
      </c>
      <c r="I17630" s="48" t="s">
        <v>21995</v>
      </c>
    </row>
    <row r="17631" spans="2:9" ht="15" customHeight="1" x14ac:dyDescent="0.25">
      <c r="B17631" s="55" t="s">
        <v>282</v>
      </c>
      <c r="C17631" s="46">
        <v>2619</v>
      </c>
      <c r="D17631" s="69" t="s">
        <v>29419</v>
      </c>
      <c r="E17631" s="51"/>
      <c r="F17631" s="114" t="str">
        <f>IF(INDEX(I.Facility.P3IDNumber,2619)="","",INDEX(I.Facility.P3IDNumber,2619))</f>
        <v/>
      </c>
      <c r="G17631" s="51"/>
      <c r="H17631" s="46" t="str">
        <f>IF(AND(I.Developer.P3=TRUE,I.Facility.P3FacilityCount&gt;=2619,F17631=""),"Incomplete","Complete")</f>
        <v>Complete</v>
      </c>
      <c r="I17631" s="48" t="s">
        <v>21996</v>
      </c>
    </row>
    <row r="17632" spans="2:9" ht="15" customHeight="1" x14ac:dyDescent="0.25">
      <c r="B17632" s="55" t="s">
        <v>282</v>
      </c>
      <c r="C17632" s="46">
        <v>2620</v>
      </c>
      <c r="D17632" s="69" t="s">
        <v>29419</v>
      </c>
      <c r="E17632" s="51"/>
      <c r="F17632" s="114" t="str">
        <f>IF(INDEX(I.Facility.P3IDNumber,2620)="","",INDEX(I.Facility.P3IDNumber,2620))</f>
        <v/>
      </c>
      <c r="G17632" s="51"/>
      <c r="H17632" s="46" t="str">
        <f>IF(AND(I.Developer.P3=TRUE,I.Facility.P3FacilityCount&gt;=2620,F17632=""),"Incomplete","Complete")</f>
        <v>Complete</v>
      </c>
      <c r="I17632" s="48" t="s">
        <v>21997</v>
      </c>
    </row>
    <row r="17633" spans="2:9" ht="15" customHeight="1" x14ac:dyDescent="0.25">
      <c r="B17633" s="55" t="s">
        <v>282</v>
      </c>
      <c r="C17633" s="46">
        <v>2621</v>
      </c>
      <c r="D17633" s="69" t="s">
        <v>29419</v>
      </c>
      <c r="E17633" s="51"/>
      <c r="F17633" s="114" t="str">
        <f>IF(INDEX(I.Facility.P3IDNumber,2621)="","",INDEX(I.Facility.P3IDNumber,2621))</f>
        <v/>
      </c>
      <c r="G17633" s="51"/>
      <c r="H17633" s="46" t="str">
        <f>IF(AND(I.Developer.P3=TRUE,I.Facility.P3FacilityCount&gt;=2621,F17633=""),"Incomplete","Complete")</f>
        <v>Complete</v>
      </c>
      <c r="I17633" s="48" t="s">
        <v>21998</v>
      </c>
    </row>
    <row r="17634" spans="2:9" ht="15" customHeight="1" x14ac:dyDescent="0.25">
      <c r="B17634" s="55" t="s">
        <v>282</v>
      </c>
      <c r="C17634" s="46">
        <v>2622</v>
      </c>
      <c r="D17634" s="69" t="s">
        <v>29419</v>
      </c>
      <c r="E17634" s="51"/>
      <c r="F17634" s="114" t="str">
        <f>IF(INDEX(I.Facility.P3IDNumber,2622)="","",INDEX(I.Facility.P3IDNumber,2622))</f>
        <v/>
      </c>
      <c r="G17634" s="51"/>
      <c r="H17634" s="46" t="str">
        <f>IF(AND(I.Developer.P3=TRUE,I.Facility.P3FacilityCount&gt;=2622,F17634=""),"Incomplete","Complete")</f>
        <v>Complete</v>
      </c>
      <c r="I17634" s="48" t="s">
        <v>21999</v>
      </c>
    </row>
    <row r="17635" spans="2:9" ht="15" customHeight="1" x14ac:dyDescent="0.25">
      <c r="B17635" s="55" t="s">
        <v>282</v>
      </c>
      <c r="C17635" s="46">
        <v>2623</v>
      </c>
      <c r="D17635" s="69" t="s">
        <v>29419</v>
      </c>
      <c r="E17635" s="51"/>
      <c r="F17635" s="114" t="str">
        <f>IF(INDEX(I.Facility.P3IDNumber,2623)="","",INDEX(I.Facility.P3IDNumber,2623))</f>
        <v/>
      </c>
      <c r="G17635" s="51"/>
      <c r="H17635" s="46" t="str">
        <f>IF(AND(I.Developer.P3=TRUE,I.Facility.P3FacilityCount&gt;=2623,F17635=""),"Incomplete","Complete")</f>
        <v>Complete</v>
      </c>
      <c r="I17635" s="48" t="s">
        <v>22000</v>
      </c>
    </row>
    <row r="17636" spans="2:9" ht="15" customHeight="1" x14ac:dyDescent="0.25">
      <c r="B17636" s="55" t="s">
        <v>282</v>
      </c>
      <c r="C17636" s="46">
        <v>2624</v>
      </c>
      <c r="D17636" s="69" t="s">
        <v>29419</v>
      </c>
      <c r="E17636" s="51"/>
      <c r="F17636" s="114" t="str">
        <f>IF(INDEX(I.Facility.P3IDNumber,2624)="","",INDEX(I.Facility.P3IDNumber,2624))</f>
        <v/>
      </c>
      <c r="G17636" s="51"/>
      <c r="H17636" s="46" t="str">
        <f>IF(AND(I.Developer.P3=TRUE,I.Facility.P3FacilityCount&gt;=2624,F17636=""),"Incomplete","Complete")</f>
        <v>Complete</v>
      </c>
      <c r="I17636" s="48" t="s">
        <v>22001</v>
      </c>
    </row>
    <row r="17637" spans="2:9" ht="15" customHeight="1" x14ac:dyDescent="0.25">
      <c r="B17637" s="55" t="s">
        <v>282</v>
      </c>
      <c r="C17637" s="46">
        <v>2625</v>
      </c>
      <c r="D17637" s="69" t="s">
        <v>29419</v>
      </c>
      <c r="E17637" s="51"/>
      <c r="F17637" s="114" t="str">
        <f>IF(INDEX(I.Facility.P3IDNumber,2625)="","",INDEX(I.Facility.P3IDNumber,2625))</f>
        <v/>
      </c>
      <c r="G17637" s="51"/>
      <c r="H17637" s="46" t="str">
        <f>IF(AND(I.Developer.P3=TRUE,I.Facility.P3FacilityCount&gt;=2625,F17637=""),"Incomplete","Complete")</f>
        <v>Complete</v>
      </c>
      <c r="I17637" s="48" t="s">
        <v>22002</v>
      </c>
    </row>
    <row r="17638" spans="2:9" ht="15" customHeight="1" x14ac:dyDescent="0.25">
      <c r="B17638" s="55" t="s">
        <v>282</v>
      </c>
      <c r="C17638" s="46">
        <v>2626</v>
      </c>
      <c r="D17638" s="69" t="s">
        <v>29419</v>
      </c>
      <c r="E17638" s="51"/>
      <c r="F17638" s="114" t="str">
        <f>IF(INDEX(I.Facility.P3IDNumber,2626)="","",INDEX(I.Facility.P3IDNumber,2626))</f>
        <v/>
      </c>
      <c r="G17638" s="51"/>
      <c r="H17638" s="46" t="str">
        <f>IF(AND(I.Developer.P3=TRUE,I.Facility.P3FacilityCount&gt;=2626,F17638=""),"Incomplete","Complete")</f>
        <v>Complete</v>
      </c>
      <c r="I17638" s="48" t="s">
        <v>22003</v>
      </c>
    </row>
    <row r="17639" spans="2:9" ht="15" customHeight="1" x14ac:dyDescent="0.25">
      <c r="B17639" s="55" t="s">
        <v>282</v>
      </c>
      <c r="C17639" s="46">
        <v>2627</v>
      </c>
      <c r="D17639" s="69" t="s">
        <v>29419</v>
      </c>
      <c r="E17639" s="51"/>
      <c r="F17639" s="114" t="str">
        <f>IF(INDEX(I.Facility.P3IDNumber,2627)="","",INDEX(I.Facility.P3IDNumber,2627))</f>
        <v/>
      </c>
      <c r="G17639" s="51"/>
      <c r="H17639" s="46" t="str">
        <f>IF(AND(I.Developer.P3=TRUE,I.Facility.P3FacilityCount&gt;=2627,F17639=""),"Incomplete","Complete")</f>
        <v>Complete</v>
      </c>
      <c r="I17639" s="48" t="s">
        <v>22004</v>
      </c>
    </row>
    <row r="17640" spans="2:9" ht="15" customHeight="1" x14ac:dyDescent="0.25">
      <c r="B17640" s="55" t="s">
        <v>282</v>
      </c>
      <c r="C17640" s="46">
        <v>2628</v>
      </c>
      <c r="D17640" s="69" t="s">
        <v>29419</v>
      </c>
      <c r="E17640" s="51"/>
      <c r="F17640" s="114" t="str">
        <f>IF(INDEX(I.Facility.P3IDNumber,2628)="","",INDEX(I.Facility.P3IDNumber,2628))</f>
        <v/>
      </c>
      <c r="G17640" s="51"/>
      <c r="H17640" s="46" t="str">
        <f>IF(AND(I.Developer.P3=TRUE,I.Facility.P3FacilityCount&gt;=2628,F17640=""),"Incomplete","Complete")</f>
        <v>Complete</v>
      </c>
      <c r="I17640" s="48" t="s">
        <v>22005</v>
      </c>
    </row>
    <row r="17641" spans="2:9" ht="15" customHeight="1" x14ac:dyDescent="0.25">
      <c r="B17641" s="55" t="s">
        <v>282</v>
      </c>
      <c r="C17641" s="46">
        <v>2629</v>
      </c>
      <c r="D17641" s="69" t="s">
        <v>29419</v>
      </c>
      <c r="E17641" s="51"/>
      <c r="F17641" s="114" t="str">
        <f>IF(INDEX(I.Facility.P3IDNumber,2629)="","",INDEX(I.Facility.P3IDNumber,2629))</f>
        <v/>
      </c>
      <c r="G17641" s="51"/>
      <c r="H17641" s="46" t="str">
        <f>IF(AND(I.Developer.P3=TRUE,I.Facility.P3FacilityCount&gt;=2629,F17641=""),"Incomplete","Complete")</f>
        <v>Complete</v>
      </c>
      <c r="I17641" s="48" t="s">
        <v>22006</v>
      </c>
    </row>
    <row r="17642" spans="2:9" ht="15" customHeight="1" x14ac:dyDescent="0.25">
      <c r="B17642" s="55" t="s">
        <v>282</v>
      </c>
      <c r="C17642" s="46">
        <v>2630</v>
      </c>
      <c r="D17642" s="69" t="s">
        <v>29419</v>
      </c>
      <c r="E17642" s="51"/>
      <c r="F17642" s="114" t="str">
        <f>IF(INDEX(I.Facility.P3IDNumber,2630)="","",INDEX(I.Facility.P3IDNumber,2630))</f>
        <v/>
      </c>
      <c r="G17642" s="51"/>
      <c r="H17642" s="46" t="str">
        <f>IF(AND(I.Developer.P3=TRUE,I.Facility.P3FacilityCount&gt;=2630,F17642=""),"Incomplete","Complete")</f>
        <v>Complete</v>
      </c>
      <c r="I17642" s="48" t="s">
        <v>22007</v>
      </c>
    </row>
    <row r="17643" spans="2:9" ht="15" customHeight="1" x14ac:dyDescent="0.25">
      <c r="B17643" s="55" t="s">
        <v>282</v>
      </c>
      <c r="C17643" s="46">
        <v>2631</v>
      </c>
      <c r="D17643" s="69" t="s">
        <v>29419</v>
      </c>
      <c r="E17643" s="51"/>
      <c r="F17643" s="114" t="str">
        <f>IF(INDEX(I.Facility.P3IDNumber,2631)="","",INDEX(I.Facility.P3IDNumber,2631))</f>
        <v/>
      </c>
      <c r="G17643" s="51"/>
      <c r="H17643" s="46" t="str">
        <f>IF(AND(I.Developer.P3=TRUE,I.Facility.P3FacilityCount&gt;=2631,F17643=""),"Incomplete","Complete")</f>
        <v>Complete</v>
      </c>
      <c r="I17643" s="48" t="s">
        <v>22008</v>
      </c>
    </row>
    <row r="17644" spans="2:9" ht="15" customHeight="1" x14ac:dyDescent="0.25">
      <c r="B17644" s="55" t="s">
        <v>282</v>
      </c>
      <c r="C17644" s="46">
        <v>2632</v>
      </c>
      <c r="D17644" s="69" t="s">
        <v>29419</v>
      </c>
      <c r="E17644" s="51"/>
      <c r="F17644" s="114" t="str">
        <f>IF(INDEX(I.Facility.P3IDNumber,2632)="","",INDEX(I.Facility.P3IDNumber,2632))</f>
        <v/>
      </c>
      <c r="G17644" s="51"/>
      <c r="H17644" s="46" t="str">
        <f>IF(AND(I.Developer.P3=TRUE,I.Facility.P3FacilityCount&gt;=2632,F17644=""),"Incomplete","Complete")</f>
        <v>Complete</v>
      </c>
      <c r="I17644" s="48" t="s">
        <v>22009</v>
      </c>
    </row>
    <row r="17645" spans="2:9" ht="15" customHeight="1" x14ac:dyDescent="0.25">
      <c r="B17645" s="55" t="s">
        <v>282</v>
      </c>
      <c r="C17645" s="46">
        <v>2633</v>
      </c>
      <c r="D17645" s="69" t="s">
        <v>29419</v>
      </c>
      <c r="E17645" s="51"/>
      <c r="F17645" s="114" t="str">
        <f>IF(INDEX(I.Facility.P3IDNumber,2633)="","",INDEX(I.Facility.P3IDNumber,2633))</f>
        <v/>
      </c>
      <c r="G17645" s="51"/>
      <c r="H17645" s="46" t="str">
        <f>IF(AND(I.Developer.P3=TRUE,I.Facility.P3FacilityCount&gt;=2633,F17645=""),"Incomplete","Complete")</f>
        <v>Complete</v>
      </c>
      <c r="I17645" s="48" t="s">
        <v>22010</v>
      </c>
    </row>
    <row r="17646" spans="2:9" ht="15" customHeight="1" x14ac:dyDescent="0.25">
      <c r="B17646" s="55" t="s">
        <v>282</v>
      </c>
      <c r="C17646" s="46">
        <v>2634</v>
      </c>
      <c r="D17646" s="69" t="s">
        <v>29419</v>
      </c>
      <c r="E17646" s="51"/>
      <c r="F17646" s="114" t="str">
        <f>IF(INDEX(I.Facility.P3IDNumber,2634)="","",INDEX(I.Facility.P3IDNumber,2634))</f>
        <v/>
      </c>
      <c r="G17646" s="51"/>
      <c r="H17646" s="46" t="str">
        <f>IF(AND(I.Developer.P3=TRUE,I.Facility.P3FacilityCount&gt;=2634,F17646=""),"Incomplete","Complete")</f>
        <v>Complete</v>
      </c>
      <c r="I17646" s="48" t="s">
        <v>22011</v>
      </c>
    </row>
    <row r="17647" spans="2:9" ht="15" customHeight="1" x14ac:dyDescent="0.25">
      <c r="B17647" s="55" t="s">
        <v>282</v>
      </c>
      <c r="C17647" s="46">
        <v>2635</v>
      </c>
      <c r="D17647" s="69" t="s">
        <v>29419</v>
      </c>
      <c r="E17647" s="51"/>
      <c r="F17647" s="114" t="str">
        <f>IF(INDEX(I.Facility.P3IDNumber,2635)="","",INDEX(I.Facility.P3IDNumber,2635))</f>
        <v/>
      </c>
      <c r="G17647" s="51"/>
      <c r="H17647" s="46" t="str">
        <f>IF(AND(I.Developer.P3=TRUE,I.Facility.P3FacilityCount&gt;=2635,F17647=""),"Incomplete","Complete")</f>
        <v>Complete</v>
      </c>
      <c r="I17647" s="48" t="s">
        <v>22012</v>
      </c>
    </row>
    <row r="17648" spans="2:9" ht="15" customHeight="1" x14ac:dyDescent="0.25">
      <c r="B17648" s="55" t="s">
        <v>282</v>
      </c>
      <c r="C17648" s="46">
        <v>2636</v>
      </c>
      <c r="D17648" s="69" t="s">
        <v>29419</v>
      </c>
      <c r="E17648" s="51"/>
      <c r="F17648" s="114" t="str">
        <f>IF(INDEX(I.Facility.P3IDNumber,2636)="","",INDEX(I.Facility.P3IDNumber,2636))</f>
        <v/>
      </c>
      <c r="G17648" s="51"/>
      <c r="H17648" s="46" t="str">
        <f>IF(AND(I.Developer.P3=TRUE,I.Facility.P3FacilityCount&gt;=2636,F17648=""),"Incomplete","Complete")</f>
        <v>Complete</v>
      </c>
      <c r="I17648" s="48" t="s">
        <v>22013</v>
      </c>
    </row>
    <row r="17649" spans="2:9" ht="15" customHeight="1" x14ac:dyDescent="0.25">
      <c r="B17649" s="55" t="s">
        <v>282</v>
      </c>
      <c r="C17649" s="46">
        <v>2637</v>
      </c>
      <c r="D17649" s="69" t="s">
        <v>29419</v>
      </c>
      <c r="E17649" s="51"/>
      <c r="F17649" s="114" t="str">
        <f>IF(INDEX(I.Facility.P3IDNumber,2637)="","",INDEX(I.Facility.P3IDNumber,2637))</f>
        <v/>
      </c>
      <c r="G17649" s="51"/>
      <c r="H17649" s="46" t="str">
        <f>IF(AND(I.Developer.P3=TRUE,I.Facility.P3FacilityCount&gt;=2637,F17649=""),"Incomplete","Complete")</f>
        <v>Complete</v>
      </c>
      <c r="I17649" s="48" t="s">
        <v>22014</v>
      </c>
    </row>
    <row r="17650" spans="2:9" ht="15" customHeight="1" x14ac:dyDescent="0.25">
      <c r="B17650" s="55" t="s">
        <v>282</v>
      </c>
      <c r="C17650" s="46">
        <v>2638</v>
      </c>
      <c r="D17650" s="69" t="s">
        <v>29419</v>
      </c>
      <c r="E17650" s="51"/>
      <c r="F17650" s="114" t="str">
        <f>IF(INDEX(I.Facility.P3IDNumber,2638)="","",INDEX(I.Facility.P3IDNumber,2638))</f>
        <v/>
      </c>
      <c r="G17650" s="51"/>
      <c r="H17650" s="46" t="str">
        <f>IF(AND(I.Developer.P3=TRUE,I.Facility.P3FacilityCount&gt;=2638,F17650=""),"Incomplete","Complete")</f>
        <v>Complete</v>
      </c>
      <c r="I17650" s="48" t="s">
        <v>22015</v>
      </c>
    </row>
    <row r="17651" spans="2:9" ht="15" customHeight="1" x14ac:dyDescent="0.25">
      <c r="B17651" s="55" t="s">
        <v>282</v>
      </c>
      <c r="C17651" s="46">
        <v>2639</v>
      </c>
      <c r="D17651" s="69" t="s">
        <v>29419</v>
      </c>
      <c r="E17651" s="51"/>
      <c r="F17651" s="114" t="str">
        <f>IF(INDEX(I.Facility.P3IDNumber,2639)="","",INDEX(I.Facility.P3IDNumber,2639))</f>
        <v/>
      </c>
      <c r="G17651" s="51"/>
      <c r="H17651" s="46" t="str">
        <f>IF(AND(I.Developer.P3=TRUE,I.Facility.P3FacilityCount&gt;=2639,F17651=""),"Incomplete","Complete")</f>
        <v>Complete</v>
      </c>
      <c r="I17651" s="48" t="s">
        <v>22016</v>
      </c>
    </row>
    <row r="17652" spans="2:9" ht="15" customHeight="1" x14ac:dyDescent="0.25">
      <c r="B17652" s="55" t="s">
        <v>282</v>
      </c>
      <c r="C17652" s="46">
        <v>2640</v>
      </c>
      <c r="D17652" s="69" t="s">
        <v>29419</v>
      </c>
      <c r="E17652" s="51"/>
      <c r="F17652" s="114" t="str">
        <f>IF(INDEX(I.Facility.P3IDNumber,2640)="","",INDEX(I.Facility.P3IDNumber,2640))</f>
        <v/>
      </c>
      <c r="G17652" s="51"/>
      <c r="H17652" s="46" t="str">
        <f>IF(AND(I.Developer.P3=TRUE,I.Facility.P3FacilityCount&gt;=2640,F17652=""),"Incomplete","Complete")</f>
        <v>Complete</v>
      </c>
      <c r="I17652" s="48" t="s">
        <v>22017</v>
      </c>
    </row>
    <row r="17653" spans="2:9" ht="15" customHeight="1" x14ac:dyDescent="0.25">
      <c r="B17653" s="55" t="s">
        <v>282</v>
      </c>
      <c r="C17653" s="46">
        <v>2641</v>
      </c>
      <c r="D17653" s="69" t="s">
        <v>29419</v>
      </c>
      <c r="E17653" s="51"/>
      <c r="F17653" s="114" t="str">
        <f>IF(INDEX(I.Facility.P3IDNumber,2641)="","",INDEX(I.Facility.P3IDNumber,2641))</f>
        <v/>
      </c>
      <c r="G17653" s="51"/>
      <c r="H17653" s="46" t="str">
        <f>IF(AND(I.Developer.P3=TRUE,I.Facility.P3FacilityCount&gt;=2641,F17653=""),"Incomplete","Complete")</f>
        <v>Complete</v>
      </c>
      <c r="I17653" s="48" t="s">
        <v>22018</v>
      </c>
    </row>
    <row r="17654" spans="2:9" ht="15" customHeight="1" x14ac:dyDescent="0.25">
      <c r="B17654" s="55" t="s">
        <v>282</v>
      </c>
      <c r="C17654" s="46">
        <v>2642</v>
      </c>
      <c r="D17654" s="69" t="s">
        <v>29419</v>
      </c>
      <c r="E17654" s="51"/>
      <c r="F17654" s="114" t="str">
        <f>IF(INDEX(I.Facility.P3IDNumber,2642)="","",INDEX(I.Facility.P3IDNumber,2642))</f>
        <v/>
      </c>
      <c r="G17654" s="51"/>
      <c r="H17654" s="46" t="str">
        <f>IF(AND(I.Developer.P3=TRUE,I.Facility.P3FacilityCount&gt;=2642,F17654=""),"Incomplete","Complete")</f>
        <v>Complete</v>
      </c>
      <c r="I17654" s="48" t="s">
        <v>22019</v>
      </c>
    </row>
    <row r="17655" spans="2:9" ht="15" customHeight="1" x14ac:dyDescent="0.25">
      <c r="B17655" s="55" t="s">
        <v>282</v>
      </c>
      <c r="C17655" s="46">
        <v>2643</v>
      </c>
      <c r="D17655" s="69" t="s">
        <v>29419</v>
      </c>
      <c r="E17655" s="51"/>
      <c r="F17655" s="114" t="str">
        <f>IF(INDEX(I.Facility.P3IDNumber,2643)="","",INDEX(I.Facility.P3IDNumber,2643))</f>
        <v/>
      </c>
      <c r="G17655" s="51"/>
      <c r="H17655" s="46" t="str">
        <f>IF(AND(I.Developer.P3=TRUE,I.Facility.P3FacilityCount&gt;=2643,F17655=""),"Incomplete","Complete")</f>
        <v>Complete</v>
      </c>
      <c r="I17655" s="48" t="s">
        <v>22020</v>
      </c>
    </row>
    <row r="17656" spans="2:9" ht="15" customHeight="1" x14ac:dyDescent="0.25">
      <c r="B17656" s="55" t="s">
        <v>282</v>
      </c>
      <c r="C17656" s="46">
        <v>2644</v>
      </c>
      <c r="D17656" s="69" t="s">
        <v>29419</v>
      </c>
      <c r="E17656" s="51"/>
      <c r="F17656" s="114" t="str">
        <f>IF(INDEX(I.Facility.P3IDNumber,2644)="","",INDEX(I.Facility.P3IDNumber,2644))</f>
        <v/>
      </c>
      <c r="G17656" s="51"/>
      <c r="H17656" s="46" t="str">
        <f>IF(AND(I.Developer.P3=TRUE,I.Facility.P3FacilityCount&gt;=2644,F17656=""),"Incomplete","Complete")</f>
        <v>Complete</v>
      </c>
      <c r="I17656" s="48" t="s">
        <v>22021</v>
      </c>
    </row>
    <row r="17657" spans="2:9" ht="15" customHeight="1" x14ac:dyDescent="0.25">
      <c r="B17657" s="55" t="s">
        <v>282</v>
      </c>
      <c r="C17657" s="46">
        <v>2645</v>
      </c>
      <c r="D17657" s="69" t="s">
        <v>29419</v>
      </c>
      <c r="E17657" s="51"/>
      <c r="F17657" s="114" t="str">
        <f>IF(INDEX(I.Facility.P3IDNumber,2645)="","",INDEX(I.Facility.P3IDNumber,2645))</f>
        <v/>
      </c>
      <c r="G17657" s="51"/>
      <c r="H17657" s="46" t="str">
        <f>IF(AND(I.Developer.P3=TRUE,I.Facility.P3FacilityCount&gt;=2645,F17657=""),"Incomplete","Complete")</f>
        <v>Complete</v>
      </c>
      <c r="I17657" s="48" t="s">
        <v>22022</v>
      </c>
    </row>
    <row r="17658" spans="2:9" ht="15" customHeight="1" x14ac:dyDescent="0.25">
      <c r="B17658" s="55" t="s">
        <v>282</v>
      </c>
      <c r="C17658" s="46">
        <v>2646</v>
      </c>
      <c r="D17658" s="69" t="s">
        <v>29419</v>
      </c>
      <c r="E17658" s="51"/>
      <c r="F17658" s="114" t="str">
        <f>IF(INDEX(I.Facility.P3IDNumber,2646)="","",INDEX(I.Facility.P3IDNumber,2646))</f>
        <v/>
      </c>
      <c r="G17658" s="51"/>
      <c r="H17658" s="46" t="str">
        <f>IF(AND(I.Developer.P3=TRUE,I.Facility.P3FacilityCount&gt;=2646,F17658=""),"Incomplete","Complete")</f>
        <v>Complete</v>
      </c>
      <c r="I17658" s="48" t="s">
        <v>22023</v>
      </c>
    </row>
    <row r="17659" spans="2:9" ht="15" customHeight="1" x14ac:dyDescent="0.25">
      <c r="B17659" s="55" t="s">
        <v>282</v>
      </c>
      <c r="C17659" s="46">
        <v>2647</v>
      </c>
      <c r="D17659" s="69" t="s">
        <v>29419</v>
      </c>
      <c r="E17659" s="51"/>
      <c r="F17659" s="114" t="str">
        <f>IF(INDEX(I.Facility.P3IDNumber,2647)="","",INDEX(I.Facility.P3IDNumber,2647))</f>
        <v/>
      </c>
      <c r="G17659" s="51"/>
      <c r="H17659" s="46" t="str">
        <f>IF(AND(I.Developer.P3=TRUE,I.Facility.P3FacilityCount&gt;=2647,F17659=""),"Incomplete","Complete")</f>
        <v>Complete</v>
      </c>
      <c r="I17659" s="48" t="s">
        <v>22024</v>
      </c>
    </row>
    <row r="17660" spans="2:9" ht="15" customHeight="1" x14ac:dyDescent="0.25">
      <c r="B17660" s="55" t="s">
        <v>282</v>
      </c>
      <c r="C17660" s="46">
        <v>2648</v>
      </c>
      <c r="D17660" s="69" t="s">
        <v>29419</v>
      </c>
      <c r="E17660" s="51"/>
      <c r="F17660" s="114" t="str">
        <f>IF(INDEX(I.Facility.P3IDNumber,2648)="","",INDEX(I.Facility.P3IDNumber,2648))</f>
        <v/>
      </c>
      <c r="G17660" s="51"/>
      <c r="H17660" s="46" t="str">
        <f>IF(AND(I.Developer.P3=TRUE,I.Facility.P3FacilityCount&gt;=2648,F17660=""),"Incomplete","Complete")</f>
        <v>Complete</v>
      </c>
      <c r="I17660" s="48" t="s">
        <v>22025</v>
      </c>
    </row>
    <row r="17661" spans="2:9" ht="15" customHeight="1" x14ac:dyDescent="0.25">
      <c r="B17661" s="55" t="s">
        <v>282</v>
      </c>
      <c r="C17661" s="46">
        <v>2649</v>
      </c>
      <c r="D17661" s="69" t="s">
        <v>29419</v>
      </c>
      <c r="E17661" s="51"/>
      <c r="F17661" s="114" t="str">
        <f>IF(INDEX(I.Facility.P3IDNumber,2649)="","",INDEX(I.Facility.P3IDNumber,2649))</f>
        <v/>
      </c>
      <c r="G17661" s="51"/>
      <c r="H17661" s="46" t="str">
        <f>IF(AND(I.Developer.P3=TRUE,I.Facility.P3FacilityCount&gt;=2649,F17661=""),"Incomplete","Complete")</f>
        <v>Complete</v>
      </c>
      <c r="I17661" s="48" t="s">
        <v>22026</v>
      </c>
    </row>
    <row r="17662" spans="2:9" ht="15" customHeight="1" x14ac:dyDescent="0.25">
      <c r="B17662" s="55" t="s">
        <v>282</v>
      </c>
      <c r="C17662" s="46">
        <v>2650</v>
      </c>
      <c r="D17662" s="69" t="s">
        <v>29419</v>
      </c>
      <c r="E17662" s="51"/>
      <c r="F17662" s="114" t="str">
        <f>IF(INDEX(I.Facility.P3IDNumber,2650)="","",INDEX(I.Facility.P3IDNumber,2650))</f>
        <v/>
      </c>
      <c r="G17662" s="51"/>
      <c r="H17662" s="46" t="str">
        <f>IF(AND(I.Developer.P3=TRUE,I.Facility.P3FacilityCount&gt;=2650,F17662=""),"Incomplete","Complete")</f>
        <v>Complete</v>
      </c>
      <c r="I17662" s="48" t="s">
        <v>22027</v>
      </c>
    </row>
    <row r="17663" spans="2:9" ht="15" customHeight="1" x14ac:dyDescent="0.25">
      <c r="B17663" s="55" t="s">
        <v>282</v>
      </c>
      <c r="C17663" s="46">
        <v>2651</v>
      </c>
      <c r="D17663" s="69" t="s">
        <v>29419</v>
      </c>
      <c r="E17663" s="51"/>
      <c r="F17663" s="114" t="str">
        <f>IF(INDEX(I.Facility.P3IDNumber,2651)="","",INDEX(I.Facility.P3IDNumber,2651))</f>
        <v/>
      </c>
      <c r="G17663" s="51"/>
      <c r="H17663" s="46" t="str">
        <f>IF(AND(I.Developer.P3=TRUE,I.Facility.P3FacilityCount&gt;=2651,F17663=""),"Incomplete","Complete")</f>
        <v>Complete</v>
      </c>
      <c r="I17663" s="48" t="s">
        <v>22028</v>
      </c>
    </row>
    <row r="17664" spans="2:9" ht="15" customHeight="1" x14ac:dyDescent="0.25">
      <c r="B17664" s="55" t="s">
        <v>282</v>
      </c>
      <c r="C17664" s="46">
        <v>2652</v>
      </c>
      <c r="D17664" s="69" t="s">
        <v>29419</v>
      </c>
      <c r="E17664" s="51"/>
      <c r="F17664" s="114" t="str">
        <f>IF(INDEX(I.Facility.P3IDNumber,2652)="","",INDEX(I.Facility.P3IDNumber,2652))</f>
        <v/>
      </c>
      <c r="G17664" s="51"/>
      <c r="H17664" s="46" t="str">
        <f>IF(AND(I.Developer.P3=TRUE,I.Facility.P3FacilityCount&gt;=2652,F17664=""),"Incomplete","Complete")</f>
        <v>Complete</v>
      </c>
      <c r="I17664" s="48" t="s">
        <v>22029</v>
      </c>
    </row>
    <row r="17665" spans="2:9" ht="15" customHeight="1" x14ac:dyDescent="0.25">
      <c r="B17665" s="55" t="s">
        <v>282</v>
      </c>
      <c r="C17665" s="46">
        <v>2653</v>
      </c>
      <c r="D17665" s="69" t="s">
        <v>29419</v>
      </c>
      <c r="E17665" s="51"/>
      <c r="F17665" s="114" t="str">
        <f>IF(INDEX(I.Facility.P3IDNumber,2653)="","",INDEX(I.Facility.P3IDNumber,2653))</f>
        <v/>
      </c>
      <c r="G17665" s="51"/>
      <c r="H17665" s="46" t="str">
        <f>IF(AND(I.Developer.P3=TRUE,I.Facility.P3FacilityCount&gt;=2653,F17665=""),"Incomplete","Complete")</f>
        <v>Complete</v>
      </c>
      <c r="I17665" s="48" t="s">
        <v>22030</v>
      </c>
    </row>
    <row r="17666" spans="2:9" ht="15" customHeight="1" x14ac:dyDescent="0.25">
      <c r="B17666" s="55" t="s">
        <v>282</v>
      </c>
      <c r="C17666" s="46">
        <v>2654</v>
      </c>
      <c r="D17666" s="69" t="s">
        <v>29419</v>
      </c>
      <c r="E17666" s="51"/>
      <c r="F17666" s="114" t="str">
        <f>IF(INDEX(I.Facility.P3IDNumber,2654)="","",INDEX(I.Facility.P3IDNumber,2654))</f>
        <v/>
      </c>
      <c r="G17666" s="51"/>
      <c r="H17666" s="46" t="str">
        <f>IF(AND(I.Developer.P3=TRUE,I.Facility.P3FacilityCount&gt;=2654,F17666=""),"Incomplete","Complete")</f>
        <v>Complete</v>
      </c>
      <c r="I17666" s="48" t="s">
        <v>22031</v>
      </c>
    </row>
    <row r="17667" spans="2:9" ht="15" customHeight="1" x14ac:dyDescent="0.25">
      <c r="B17667" s="55" t="s">
        <v>282</v>
      </c>
      <c r="C17667" s="46">
        <v>2655</v>
      </c>
      <c r="D17667" s="69" t="s">
        <v>29419</v>
      </c>
      <c r="E17667" s="51"/>
      <c r="F17667" s="114" t="str">
        <f>IF(INDEX(I.Facility.P3IDNumber,2655)="","",INDEX(I.Facility.P3IDNumber,2655))</f>
        <v/>
      </c>
      <c r="G17667" s="51"/>
      <c r="H17667" s="46" t="str">
        <f>IF(AND(I.Developer.P3=TRUE,I.Facility.P3FacilityCount&gt;=2655,F17667=""),"Incomplete","Complete")</f>
        <v>Complete</v>
      </c>
      <c r="I17667" s="48" t="s">
        <v>22032</v>
      </c>
    </row>
    <row r="17668" spans="2:9" ht="15" customHeight="1" x14ac:dyDescent="0.25">
      <c r="B17668" s="55" t="s">
        <v>282</v>
      </c>
      <c r="C17668" s="46">
        <v>2656</v>
      </c>
      <c r="D17668" s="69" t="s">
        <v>29419</v>
      </c>
      <c r="E17668" s="51"/>
      <c r="F17668" s="114" t="str">
        <f>IF(INDEX(I.Facility.P3IDNumber,2656)="","",INDEX(I.Facility.P3IDNumber,2656))</f>
        <v/>
      </c>
      <c r="G17668" s="51"/>
      <c r="H17668" s="46" t="str">
        <f>IF(AND(I.Developer.P3=TRUE,I.Facility.P3FacilityCount&gt;=2656,F17668=""),"Incomplete","Complete")</f>
        <v>Complete</v>
      </c>
      <c r="I17668" s="48" t="s">
        <v>22033</v>
      </c>
    </row>
    <row r="17669" spans="2:9" ht="15" customHeight="1" x14ac:dyDescent="0.25">
      <c r="B17669" s="55" t="s">
        <v>282</v>
      </c>
      <c r="C17669" s="46">
        <v>2657</v>
      </c>
      <c r="D17669" s="69" t="s">
        <v>29419</v>
      </c>
      <c r="E17669" s="51"/>
      <c r="F17669" s="114" t="str">
        <f>IF(INDEX(I.Facility.P3IDNumber,2657)="","",INDEX(I.Facility.P3IDNumber,2657))</f>
        <v/>
      </c>
      <c r="G17669" s="51"/>
      <c r="H17669" s="46" t="str">
        <f>IF(AND(I.Developer.P3=TRUE,I.Facility.P3FacilityCount&gt;=2657,F17669=""),"Incomplete","Complete")</f>
        <v>Complete</v>
      </c>
      <c r="I17669" s="48" t="s">
        <v>22034</v>
      </c>
    </row>
    <row r="17670" spans="2:9" ht="15" customHeight="1" x14ac:dyDescent="0.25">
      <c r="B17670" s="55" t="s">
        <v>282</v>
      </c>
      <c r="C17670" s="46">
        <v>2658</v>
      </c>
      <c r="D17670" s="69" t="s">
        <v>29419</v>
      </c>
      <c r="E17670" s="51"/>
      <c r="F17670" s="114" t="str">
        <f>IF(INDEX(I.Facility.P3IDNumber,2658)="","",INDEX(I.Facility.P3IDNumber,2658))</f>
        <v/>
      </c>
      <c r="G17670" s="51"/>
      <c r="H17670" s="46" t="str">
        <f>IF(AND(I.Developer.P3=TRUE,I.Facility.P3FacilityCount&gt;=2658,F17670=""),"Incomplete","Complete")</f>
        <v>Complete</v>
      </c>
      <c r="I17670" s="48" t="s">
        <v>22035</v>
      </c>
    </row>
    <row r="17671" spans="2:9" ht="15" customHeight="1" x14ac:dyDescent="0.25">
      <c r="B17671" s="55" t="s">
        <v>282</v>
      </c>
      <c r="C17671" s="46">
        <v>2659</v>
      </c>
      <c r="D17671" s="69" t="s">
        <v>29419</v>
      </c>
      <c r="E17671" s="51"/>
      <c r="F17671" s="114" t="str">
        <f>IF(INDEX(I.Facility.P3IDNumber,2659)="","",INDEX(I.Facility.P3IDNumber,2659))</f>
        <v/>
      </c>
      <c r="G17671" s="51"/>
      <c r="H17671" s="46" t="str">
        <f>IF(AND(I.Developer.P3=TRUE,I.Facility.P3FacilityCount&gt;=2659,F17671=""),"Incomplete","Complete")</f>
        <v>Complete</v>
      </c>
      <c r="I17671" s="48" t="s">
        <v>22036</v>
      </c>
    </row>
    <row r="17672" spans="2:9" ht="15" customHeight="1" x14ac:dyDescent="0.25">
      <c r="B17672" s="55" t="s">
        <v>282</v>
      </c>
      <c r="C17672" s="46">
        <v>2660</v>
      </c>
      <c r="D17672" s="69" t="s">
        <v>29419</v>
      </c>
      <c r="E17672" s="51"/>
      <c r="F17672" s="114" t="str">
        <f>IF(INDEX(I.Facility.P3IDNumber,2660)="","",INDEX(I.Facility.P3IDNumber,2660))</f>
        <v/>
      </c>
      <c r="G17672" s="51"/>
      <c r="H17672" s="46" t="str">
        <f>IF(AND(I.Developer.P3=TRUE,I.Facility.P3FacilityCount&gt;=2660,F17672=""),"Incomplete","Complete")</f>
        <v>Complete</v>
      </c>
      <c r="I17672" s="48" t="s">
        <v>22037</v>
      </c>
    </row>
    <row r="17673" spans="2:9" ht="15" customHeight="1" x14ac:dyDescent="0.25">
      <c r="B17673" s="55" t="s">
        <v>282</v>
      </c>
      <c r="C17673" s="46">
        <v>2661</v>
      </c>
      <c r="D17673" s="69" t="s">
        <v>29419</v>
      </c>
      <c r="E17673" s="51"/>
      <c r="F17673" s="114" t="str">
        <f>IF(INDEX(I.Facility.P3IDNumber,2661)="","",INDEX(I.Facility.P3IDNumber,2661))</f>
        <v/>
      </c>
      <c r="G17673" s="51"/>
      <c r="H17673" s="46" t="str">
        <f>IF(AND(I.Developer.P3=TRUE,I.Facility.P3FacilityCount&gt;=2661,F17673=""),"Incomplete","Complete")</f>
        <v>Complete</v>
      </c>
      <c r="I17673" s="48" t="s">
        <v>22038</v>
      </c>
    </row>
    <row r="17674" spans="2:9" ht="15" customHeight="1" x14ac:dyDescent="0.25">
      <c r="B17674" s="55" t="s">
        <v>282</v>
      </c>
      <c r="C17674" s="46">
        <v>2662</v>
      </c>
      <c r="D17674" s="69" t="s">
        <v>29419</v>
      </c>
      <c r="E17674" s="51"/>
      <c r="F17674" s="114" t="str">
        <f>IF(INDEX(I.Facility.P3IDNumber,2662)="","",INDEX(I.Facility.P3IDNumber,2662))</f>
        <v/>
      </c>
      <c r="G17674" s="51"/>
      <c r="H17674" s="46" t="str">
        <f>IF(AND(I.Developer.P3=TRUE,I.Facility.P3FacilityCount&gt;=2662,F17674=""),"Incomplete","Complete")</f>
        <v>Complete</v>
      </c>
      <c r="I17674" s="48" t="s">
        <v>22039</v>
      </c>
    </row>
    <row r="17675" spans="2:9" ht="15" customHeight="1" x14ac:dyDescent="0.25">
      <c r="B17675" s="55" t="s">
        <v>282</v>
      </c>
      <c r="C17675" s="46">
        <v>2663</v>
      </c>
      <c r="D17675" s="69" t="s">
        <v>29419</v>
      </c>
      <c r="E17675" s="51"/>
      <c r="F17675" s="114" t="str">
        <f>IF(INDEX(I.Facility.P3IDNumber,2663)="","",INDEX(I.Facility.P3IDNumber,2663))</f>
        <v/>
      </c>
      <c r="G17675" s="51"/>
      <c r="H17675" s="46" t="str">
        <f>IF(AND(I.Developer.P3=TRUE,I.Facility.P3FacilityCount&gt;=2663,F17675=""),"Incomplete","Complete")</f>
        <v>Complete</v>
      </c>
      <c r="I17675" s="48" t="s">
        <v>22040</v>
      </c>
    </row>
    <row r="17676" spans="2:9" ht="15" customHeight="1" x14ac:dyDescent="0.25">
      <c r="B17676" s="55" t="s">
        <v>282</v>
      </c>
      <c r="C17676" s="46">
        <v>2664</v>
      </c>
      <c r="D17676" s="69" t="s">
        <v>29419</v>
      </c>
      <c r="E17676" s="51"/>
      <c r="F17676" s="114" t="str">
        <f>IF(INDEX(I.Facility.P3IDNumber,2664)="","",INDEX(I.Facility.P3IDNumber,2664))</f>
        <v/>
      </c>
      <c r="G17676" s="51"/>
      <c r="H17676" s="46" t="str">
        <f>IF(AND(I.Developer.P3=TRUE,I.Facility.P3FacilityCount&gt;=2664,F17676=""),"Incomplete","Complete")</f>
        <v>Complete</v>
      </c>
      <c r="I17676" s="48" t="s">
        <v>22041</v>
      </c>
    </row>
    <row r="17677" spans="2:9" ht="15" customHeight="1" x14ac:dyDescent="0.25">
      <c r="B17677" s="55" t="s">
        <v>282</v>
      </c>
      <c r="C17677" s="46">
        <v>2665</v>
      </c>
      <c r="D17677" s="69" t="s">
        <v>29419</v>
      </c>
      <c r="E17677" s="51"/>
      <c r="F17677" s="114" t="str">
        <f>IF(INDEX(I.Facility.P3IDNumber,2665)="","",INDEX(I.Facility.P3IDNumber,2665))</f>
        <v/>
      </c>
      <c r="G17677" s="51"/>
      <c r="H17677" s="46" t="str">
        <f>IF(AND(I.Developer.P3=TRUE,I.Facility.P3FacilityCount&gt;=2665,F17677=""),"Incomplete","Complete")</f>
        <v>Complete</v>
      </c>
      <c r="I17677" s="48" t="s">
        <v>22042</v>
      </c>
    </row>
    <row r="17678" spans="2:9" ht="15" customHeight="1" x14ac:dyDescent="0.25">
      <c r="B17678" s="55" t="s">
        <v>282</v>
      </c>
      <c r="C17678" s="46">
        <v>2666</v>
      </c>
      <c r="D17678" s="69" t="s">
        <v>29419</v>
      </c>
      <c r="E17678" s="51"/>
      <c r="F17678" s="114" t="str">
        <f>IF(INDEX(I.Facility.P3IDNumber,2666)="","",INDEX(I.Facility.P3IDNumber,2666))</f>
        <v/>
      </c>
      <c r="G17678" s="51"/>
      <c r="H17678" s="46" t="str">
        <f>IF(AND(I.Developer.P3=TRUE,I.Facility.P3FacilityCount&gt;=2666,F17678=""),"Incomplete","Complete")</f>
        <v>Complete</v>
      </c>
      <c r="I17678" s="48" t="s">
        <v>22043</v>
      </c>
    </row>
    <row r="17679" spans="2:9" ht="15" customHeight="1" x14ac:dyDescent="0.25">
      <c r="B17679" s="55" t="s">
        <v>282</v>
      </c>
      <c r="C17679" s="46">
        <v>2667</v>
      </c>
      <c r="D17679" s="69" t="s">
        <v>29419</v>
      </c>
      <c r="E17679" s="51"/>
      <c r="F17679" s="114" t="str">
        <f>IF(INDEX(I.Facility.P3IDNumber,2667)="","",INDEX(I.Facility.P3IDNumber,2667))</f>
        <v/>
      </c>
      <c r="G17679" s="51"/>
      <c r="H17679" s="46" t="str">
        <f>IF(AND(I.Developer.P3=TRUE,I.Facility.P3FacilityCount&gt;=2667,F17679=""),"Incomplete","Complete")</f>
        <v>Complete</v>
      </c>
      <c r="I17679" s="48" t="s">
        <v>22044</v>
      </c>
    </row>
    <row r="17680" spans="2:9" ht="15" customHeight="1" x14ac:dyDescent="0.25">
      <c r="B17680" s="55" t="s">
        <v>282</v>
      </c>
      <c r="C17680" s="46">
        <v>2668</v>
      </c>
      <c r="D17680" s="69" t="s">
        <v>29419</v>
      </c>
      <c r="E17680" s="51"/>
      <c r="F17680" s="114" t="str">
        <f>IF(INDEX(I.Facility.P3IDNumber,2668)="","",INDEX(I.Facility.P3IDNumber,2668))</f>
        <v/>
      </c>
      <c r="G17680" s="51"/>
      <c r="H17680" s="46" t="str">
        <f>IF(AND(I.Developer.P3=TRUE,I.Facility.P3FacilityCount&gt;=2668,F17680=""),"Incomplete","Complete")</f>
        <v>Complete</v>
      </c>
      <c r="I17680" s="48" t="s">
        <v>22045</v>
      </c>
    </row>
    <row r="17681" spans="2:9" ht="15" customHeight="1" x14ac:dyDescent="0.25">
      <c r="B17681" s="55" t="s">
        <v>282</v>
      </c>
      <c r="C17681" s="46">
        <v>2669</v>
      </c>
      <c r="D17681" s="69" t="s">
        <v>29419</v>
      </c>
      <c r="E17681" s="51"/>
      <c r="F17681" s="114" t="str">
        <f>IF(INDEX(I.Facility.P3IDNumber,2669)="","",INDEX(I.Facility.P3IDNumber,2669))</f>
        <v/>
      </c>
      <c r="G17681" s="51"/>
      <c r="H17681" s="46" t="str">
        <f>IF(AND(I.Developer.P3=TRUE,I.Facility.P3FacilityCount&gt;=2669,F17681=""),"Incomplete","Complete")</f>
        <v>Complete</v>
      </c>
      <c r="I17681" s="48" t="s">
        <v>22046</v>
      </c>
    </row>
    <row r="17682" spans="2:9" ht="15" customHeight="1" x14ac:dyDescent="0.25">
      <c r="B17682" s="55" t="s">
        <v>282</v>
      </c>
      <c r="C17682" s="46">
        <v>2670</v>
      </c>
      <c r="D17682" s="69" t="s">
        <v>29419</v>
      </c>
      <c r="E17682" s="51"/>
      <c r="F17682" s="114" t="str">
        <f>IF(INDEX(I.Facility.P3IDNumber,2670)="","",INDEX(I.Facility.P3IDNumber,2670))</f>
        <v/>
      </c>
      <c r="G17682" s="51"/>
      <c r="H17682" s="46" t="str">
        <f>IF(AND(I.Developer.P3=TRUE,I.Facility.P3FacilityCount&gt;=2670,F17682=""),"Incomplete","Complete")</f>
        <v>Complete</v>
      </c>
      <c r="I17682" s="48" t="s">
        <v>22047</v>
      </c>
    </row>
    <row r="17683" spans="2:9" ht="15" customHeight="1" x14ac:dyDescent="0.25">
      <c r="B17683" s="55" t="s">
        <v>282</v>
      </c>
      <c r="C17683" s="46">
        <v>2671</v>
      </c>
      <c r="D17683" s="69" t="s">
        <v>29419</v>
      </c>
      <c r="E17683" s="51"/>
      <c r="F17683" s="114" t="str">
        <f>IF(INDEX(I.Facility.P3IDNumber,2671)="","",INDEX(I.Facility.P3IDNumber,2671))</f>
        <v/>
      </c>
      <c r="G17683" s="51"/>
      <c r="H17683" s="46" t="str">
        <f>IF(AND(I.Developer.P3=TRUE,I.Facility.P3FacilityCount&gt;=2671,F17683=""),"Incomplete","Complete")</f>
        <v>Complete</v>
      </c>
      <c r="I17683" s="48" t="s">
        <v>22048</v>
      </c>
    </row>
    <row r="17684" spans="2:9" ht="15" customHeight="1" x14ac:dyDescent="0.25">
      <c r="B17684" s="55" t="s">
        <v>282</v>
      </c>
      <c r="C17684" s="46">
        <v>2672</v>
      </c>
      <c r="D17684" s="69" t="s">
        <v>29419</v>
      </c>
      <c r="E17684" s="51"/>
      <c r="F17684" s="114" t="str">
        <f>IF(INDEX(I.Facility.P3IDNumber,2672)="","",INDEX(I.Facility.P3IDNumber,2672))</f>
        <v/>
      </c>
      <c r="G17684" s="51"/>
      <c r="H17684" s="46" t="str">
        <f>IF(AND(I.Developer.P3=TRUE,I.Facility.P3FacilityCount&gt;=2672,F17684=""),"Incomplete","Complete")</f>
        <v>Complete</v>
      </c>
      <c r="I17684" s="48" t="s">
        <v>22049</v>
      </c>
    </row>
    <row r="17685" spans="2:9" ht="15" customHeight="1" x14ac:dyDescent="0.25">
      <c r="B17685" s="55" t="s">
        <v>282</v>
      </c>
      <c r="C17685" s="46">
        <v>2673</v>
      </c>
      <c r="D17685" s="69" t="s">
        <v>29419</v>
      </c>
      <c r="E17685" s="51"/>
      <c r="F17685" s="114" t="str">
        <f>IF(INDEX(I.Facility.P3IDNumber,2673)="","",INDEX(I.Facility.P3IDNumber,2673))</f>
        <v/>
      </c>
      <c r="G17685" s="51"/>
      <c r="H17685" s="46" t="str">
        <f>IF(AND(I.Developer.P3=TRUE,I.Facility.P3FacilityCount&gt;=2673,F17685=""),"Incomplete","Complete")</f>
        <v>Complete</v>
      </c>
      <c r="I17685" s="48" t="s">
        <v>22050</v>
      </c>
    </row>
    <row r="17686" spans="2:9" ht="15" customHeight="1" x14ac:dyDescent="0.25">
      <c r="B17686" s="55" t="s">
        <v>282</v>
      </c>
      <c r="C17686" s="46">
        <v>2674</v>
      </c>
      <c r="D17686" s="69" t="s">
        <v>29419</v>
      </c>
      <c r="E17686" s="51"/>
      <c r="F17686" s="114" t="str">
        <f>IF(INDEX(I.Facility.P3IDNumber,2674)="","",INDEX(I.Facility.P3IDNumber,2674))</f>
        <v/>
      </c>
      <c r="G17686" s="51"/>
      <c r="H17686" s="46" t="str">
        <f>IF(AND(I.Developer.P3=TRUE,I.Facility.P3FacilityCount&gt;=2674,F17686=""),"Incomplete","Complete")</f>
        <v>Complete</v>
      </c>
      <c r="I17686" s="48" t="s">
        <v>22051</v>
      </c>
    </row>
    <row r="17687" spans="2:9" ht="15" customHeight="1" x14ac:dyDescent="0.25">
      <c r="B17687" s="55" t="s">
        <v>282</v>
      </c>
      <c r="C17687" s="46">
        <v>2675</v>
      </c>
      <c r="D17687" s="69" t="s">
        <v>29419</v>
      </c>
      <c r="E17687" s="51"/>
      <c r="F17687" s="114" t="str">
        <f>IF(INDEX(I.Facility.P3IDNumber,2675)="","",INDEX(I.Facility.P3IDNumber,2675))</f>
        <v/>
      </c>
      <c r="G17687" s="51"/>
      <c r="H17687" s="46" t="str">
        <f>IF(AND(I.Developer.P3=TRUE,I.Facility.P3FacilityCount&gt;=2675,F17687=""),"Incomplete","Complete")</f>
        <v>Complete</v>
      </c>
      <c r="I17687" s="48" t="s">
        <v>22052</v>
      </c>
    </row>
    <row r="17688" spans="2:9" ht="15" customHeight="1" x14ac:dyDescent="0.25">
      <c r="B17688" s="55" t="s">
        <v>282</v>
      </c>
      <c r="C17688" s="46">
        <v>2676</v>
      </c>
      <c r="D17688" s="69" t="s">
        <v>29419</v>
      </c>
      <c r="E17688" s="51"/>
      <c r="F17688" s="114" t="str">
        <f>IF(INDEX(I.Facility.P3IDNumber,2676)="","",INDEX(I.Facility.P3IDNumber,2676))</f>
        <v/>
      </c>
      <c r="G17688" s="51"/>
      <c r="H17688" s="46" t="str">
        <f>IF(AND(I.Developer.P3=TRUE,I.Facility.P3FacilityCount&gt;=2676,F17688=""),"Incomplete","Complete")</f>
        <v>Complete</v>
      </c>
      <c r="I17688" s="48" t="s">
        <v>22053</v>
      </c>
    </row>
    <row r="17689" spans="2:9" ht="15" customHeight="1" x14ac:dyDescent="0.25">
      <c r="B17689" s="55" t="s">
        <v>282</v>
      </c>
      <c r="C17689" s="46">
        <v>2677</v>
      </c>
      <c r="D17689" s="69" t="s">
        <v>29419</v>
      </c>
      <c r="E17689" s="51"/>
      <c r="F17689" s="114" t="str">
        <f>IF(INDEX(I.Facility.P3IDNumber,2677)="","",INDEX(I.Facility.P3IDNumber,2677))</f>
        <v/>
      </c>
      <c r="G17689" s="51"/>
      <c r="H17689" s="46" t="str">
        <f>IF(AND(I.Developer.P3=TRUE,I.Facility.P3FacilityCount&gt;=2677,F17689=""),"Incomplete","Complete")</f>
        <v>Complete</v>
      </c>
      <c r="I17689" s="48" t="s">
        <v>22054</v>
      </c>
    </row>
    <row r="17690" spans="2:9" ht="15" customHeight="1" x14ac:dyDescent="0.25">
      <c r="B17690" s="55" t="s">
        <v>282</v>
      </c>
      <c r="C17690" s="46">
        <v>2678</v>
      </c>
      <c r="D17690" s="69" t="s">
        <v>29419</v>
      </c>
      <c r="E17690" s="51"/>
      <c r="F17690" s="114" t="str">
        <f>IF(INDEX(I.Facility.P3IDNumber,2678)="","",INDEX(I.Facility.P3IDNumber,2678))</f>
        <v/>
      </c>
      <c r="G17690" s="51"/>
      <c r="H17690" s="46" t="str">
        <f>IF(AND(I.Developer.P3=TRUE,I.Facility.P3FacilityCount&gt;=2678,F17690=""),"Incomplete","Complete")</f>
        <v>Complete</v>
      </c>
      <c r="I17690" s="48" t="s">
        <v>22055</v>
      </c>
    </row>
    <row r="17691" spans="2:9" ht="15" customHeight="1" x14ac:dyDescent="0.25">
      <c r="B17691" s="55" t="s">
        <v>282</v>
      </c>
      <c r="C17691" s="46">
        <v>2679</v>
      </c>
      <c r="D17691" s="69" t="s">
        <v>29419</v>
      </c>
      <c r="E17691" s="51"/>
      <c r="F17691" s="114" t="str">
        <f>IF(INDEX(I.Facility.P3IDNumber,2679)="","",INDEX(I.Facility.P3IDNumber,2679))</f>
        <v/>
      </c>
      <c r="G17691" s="51"/>
      <c r="H17691" s="46" t="str">
        <f>IF(AND(I.Developer.P3=TRUE,I.Facility.P3FacilityCount&gt;=2679,F17691=""),"Incomplete","Complete")</f>
        <v>Complete</v>
      </c>
      <c r="I17691" s="48" t="s">
        <v>22056</v>
      </c>
    </row>
    <row r="17692" spans="2:9" ht="15" customHeight="1" x14ac:dyDescent="0.25">
      <c r="B17692" s="55" t="s">
        <v>282</v>
      </c>
      <c r="C17692" s="46">
        <v>2680</v>
      </c>
      <c r="D17692" s="69" t="s">
        <v>29419</v>
      </c>
      <c r="E17692" s="51"/>
      <c r="F17692" s="114" t="str">
        <f>IF(INDEX(I.Facility.P3IDNumber,2680)="","",INDEX(I.Facility.P3IDNumber,2680))</f>
        <v/>
      </c>
      <c r="G17692" s="51"/>
      <c r="H17692" s="46" t="str">
        <f>IF(AND(I.Developer.P3=TRUE,I.Facility.P3FacilityCount&gt;=2680,F17692=""),"Incomplete","Complete")</f>
        <v>Complete</v>
      </c>
      <c r="I17692" s="48" t="s">
        <v>22057</v>
      </c>
    </row>
    <row r="17693" spans="2:9" ht="15" customHeight="1" x14ac:dyDescent="0.25">
      <c r="B17693" s="55" t="s">
        <v>282</v>
      </c>
      <c r="C17693" s="46">
        <v>2681</v>
      </c>
      <c r="D17693" s="69" t="s">
        <v>29419</v>
      </c>
      <c r="E17693" s="51"/>
      <c r="F17693" s="114" t="str">
        <f>IF(INDEX(I.Facility.P3IDNumber,2681)="","",INDEX(I.Facility.P3IDNumber,2681))</f>
        <v/>
      </c>
      <c r="G17693" s="51"/>
      <c r="H17693" s="46" t="str">
        <f>IF(AND(I.Developer.P3=TRUE,I.Facility.P3FacilityCount&gt;=2681,F17693=""),"Incomplete","Complete")</f>
        <v>Complete</v>
      </c>
      <c r="I17693" s="48" t="s">
        <v>22058</v>
      </c>
    </row>
    <row r="17694" spans="2:9" ht="15" customHeight="1" x14ac:dyDescent="0.25">
      <c r="B17694" s="55" t="s">
        <v>282</v>
      </c>
      <c r="C17694" s="46">
        <v>2682</v>
      </c>
      <c r="D17694" s="69" t="s">
        <v>29419</v>
      </c>
      <c r="E17694" s="51"/>
      <c r="F17694" s="114" t="str">
        <f>IF(INDEX(I.Facility.P3IDNumber,2682)="","",INDEX(I.Facility.P3IDNumber,2682))</f>
        <v/>
      </c>
      <c r="G17694" s="51"/>
      <c r="H17694" s="46" t="str">
        <f>IF(AND(I.Developer.P3=TRUE,I.Facility.P3FacilityCount&gt;=2682,F17694=""),"Incomplete","Complete")</f>
        <v>Complete</v>
      </c>
      <c r="I17694" s="48" t="s">
        <v>22059</v>
      </c>
    </row>
    <row r="17695" spans="2:9" ht="15" customHeight="1" x14ac:dyDescent="0.25">
      <c r="B17695" s="55" t="s">
        <v>282</v>
      </c>
      <c r="C17695" s="46">
        <v>2683</v>
      </c>
      <c r="D17695" s="69" t="s">
        <v>29419</v>
      </c>
      <c r="E17695" s="51"/>
      <c r="F17695" s="114" t="str">
        <f>IF(INDEX(I.Facility.P3IDNumber,2683)="","",INDEX(I.Facility.P3IDNumber,2683))</f>
        <v/>
      </c>
      <c r="G17695" s="51"/>
      <c r="H17695" s="46" t="str">
        <f>IF(AND(I.Developer.P3=TRUE,I.Facility.P3FacilityCount&gt;=2683,F17695=""),"Incomplete","Complete")</f>
        <v>Complete</v>
      </c>
      <c r="I17695" s="48" t="s">
        <v>22060</v>
      </c>
    </row>
    <row r="17696" spans="2:9" ht="15" customHeight="1" x14ac:dyDescent="0.25">
      <c r="B17696" s="55" t="s">
        <v>282</v>
      </c>
      <c r="C17696" s="46">
        <v>2684</v>
      </c>
      <c r="D17696" s="69" t="s">
        <v>29419</v>
      </c>
      <c r="E17696" s="51"/>
      <c r="F17696" s="114" t="str">
        <f>IF(INDEX(I.Facility.P3IDNumber,2684)="","",INDEX(I.Facility.P3IDNumber,2684))</f>
        <v/>
      </c>
      <c r="G17696" s="51"/>
      <c r="H17696" s="46" t="str">
        <f>IF(AND(I.Developer.P3=TRUE,I.Facility.P3FacilityCount&gt;=2684,F17696=""),"Incomplete","Complete")</f>
        <v>Complete</v>
      </c>
      <c r="I17696" s="48" t="s">
        <v>22061</v>
      </c>
    </row>
    <row r="17697" spans="2:9" ht="15" customHeight="1" x14ac:dyDescent="0.25">
      <c r="B17697" s="55" t="s">
        <v>282</v>
      </c>
      <c r="C17697" s="46">
        <v>2685</v>
      </c>
      <c r="D17697" s="69" t="s">
        <v>29419</v>
      </c>
      <c r="E17697" s="51"/>
      <c r="F17697" s="114" t="str">
        <f>IF(INDEX(I.Facility.P3IDNumber,2685)="","",INDEX(I.Facility.P3IDNumber,2685))</f>
        <v/>
      </c>
      <c r="G17697" s="51"/>
      <c r="H17697" s="46" t="str">
        <f>IF(AND(I.Developer.P3=TRUE,I.Facility.P3FacilityCount&gt;=2685,F17697=""),"Incomplete","Complete")</f>
        <v>Complete</v>
      </c>
      <c r="I17697" s="48" t="s">
        <v>22062</v>
      </c>
    </row>
    <row r="17698" spans="2:9" ht="15" customHeight="1" x14ac:dyDescent="0.25">
      <c r="B17698" s="55" t="s">
        <v>282</v>
      </c>
      <c r="C17698" s="46">
        <v>2686</v>
      </c>
      <c r="D17698" s="69" t="s">
        <v>29419</v>
      </c>
      <c r="E17698" s="51"/>
      <c r="F17698" s="114" t="str">
        <f>IF(INDEX(I.Facility.P3IDNumber,2686)="","",INDEX(I.Facility.P3IDNumber,2686))</f>
        <v/>
      </c>
      <c r="G17698" s="51"/>
      <c r="H17698" s="46" t="str">
        <f>IF(AND(I.Developer.P3=TRUE,I.Facility.P3FacilityCount&gt;=2686,F17698=""),"Incomplete","Complete")</f>
        <v>Complete</v>
      </c>
      <c r="I17698" s="48" t="s">
        <v>22063</v>
      </c>
    </row>
    <row r="17699" spans="2:9" ht="15" customHeight="1" x14ac:dyDescent="0.25">
      <c r="B17699" s="55" t="s">
        <v>282</v>
      </c>
      <c r="C17699" s="46">
        <v>2687</v>
      </c>
      <c r="D17699" s="69" t="s">
        <v>29419</v>
      </c>
      <c r="E17699" s="51"/>
      <c r="F17699" s="114" t="str">
        <f>IF(INDEX(I.Facility.P3IDNumber,2687)="","",INDEX(I.Facility.P3IDNumber,2687))</f>
        <v/>
      </c>
      <c r="G17699" s="51"/>
      <c r="H17699" s="46" t="str">
        <f>IF(AND(I.Developer.P3=TRUE,I.Facility.P3FacilityCount&gt;=2687,F17699=""),"Incomplete","Complete")</f>
        <v>Complete</v>
      </c>
      <c r="I17699" s="48" t="s">
        <v>22064</v>
      </c>
    </row>
    <row r="17700" spans="2:9" ht="15" customHeight="1" x14ac:dyDescent="0.25">
      <c r="B17700" s="55" t="s">
        <v>282</v>
      </c>
      <c r="C17700" s="46">
        <v>2688</v>
      </c>
      <c r="D17700" s="69" t="s">
        <v>29419</v>
      </c>
      <c r="E17700" s="51"/>
      <c r="F17700" s="114" t="str">
        <f>IF(INDEX(I.Facility.P3IDNumber,2688)="","",INDEX(I.Facility.P3IDNumber,2688))</f>
        <v/>
      </c>
      <c r="G17700" s="51"/>
      <c r="H17700" s="46" t="str">
        <f>IF(AND(I.Developer.P3=TRUE,I.Facility.P3FacilityCount&gt;=2688,F17700=""),"Incomplete","Complete")</f>
        <v>Complete</v>
      </c>
      <c r="I17700" s="48" t="s">
        <v>22065</v>
      </c>
    </row>
    <row r="17701" spans="2:9" ht="15" customHeight="1" x14ac:dyDescent="0.25">
      <c r="B17701" s="55" t="s">
        <v>282</v>
      </c>
      <c r="C17701" s="46">
        <v>2689</v>
      </c>
      <c r="D17701" s="69" t="s">
        <v>29419</v>
      </c>
      <c r="E17701" s="51"/>
      <c r="F17701" s="114" t="str">
        <f>IF(INDEX(I.Facility.P3IDNumber,2689)="","",INDEX(I.Facility.P3IDNumber,2689))</f>
        <v/>
      </c>
      <c r="G17701" s="51"/>
      <c r="H17701" s="46" t="str">
        <f>IF(AND(I.Developer.P3=TRUE,I.Facility.P3FacilityCount&gt;=2689,F17701=""),"Incomplete","Complete")</f>
        <v>Complete</v>
      </c>
      <c r="I17701" s="48" t="s">
        <v>22066</v>
      </c>
    </row>
    <row r="17702" spans="2:9" ht="15" customHeight="1" x14ac:dyDescent="0.25">
      <c r="B17702" s="55" t="s">
        <v>282</v>
      </c>
      <c r="C17702" s="46">
        <v>2690</v>
      </c>
      <c r="D17702" s="69" t="s">
        <v>29419</v>
      </c>
      <c r="E17702" s="51"/>
      <c r="F17702" s="114" t="str">
        <f>IF(INDEX(I.Facility.P3IDNumber,2690)="","",INDEX(I.Facility.P3IDNumber,2690))</f>
        <v/>
      </c>
      <c r="G17702" s="51"/>
      <c r="H17702" s="46" t="str">
        <f>IF(AND(I.Developer.P3=TRUE,I.Facility.P3FacilityCount&gt;=2690,F17702=""),"Incomplete","Complete")</f>
        <v>Complete</v>
      </c>
      <c r="I17702" s="48" t="s">
        <v>22067</v>
      </c>
    </row>
    <row r="17703" spans="2:9" ht="15" customHeight="1" x14ac:dyDescent="0.25">
      <c r="B17703" s="55" t="s">
        <v>282</v>
      </c>
      <c r="C17703" s="46">
        <v>2691</v>
      </c>
      <c r="D17703" s="69" t="s">
        <v>29419</v>
      </c>
      <c r="E17703" s="51"/>
      <c r="F17703" s="114" t="str">
        <f>IF(INDEX(I.Facility.P3IDNumber,2691)="","",INDEX(I.Facility.P3IDNumber,2691))</f>
        <v/>
      </c>
      <c r="G17703" s="51"/>
      <c r="H17703" s="46" t="str">
        <f>IF(AND(I.Developer.P3=TRUE,I.Facility.P3FacilityCount&gt;=2691,F17703=""),"Incomplete","Complete")</f>
        <v>Complete</v>
      </c>
      <c r="I17703" s="48" t="s">
        <v>22068</v>
      </c>
    </row>
    <row r="17704" spans="2:9" ht="15" customHeight="1" x14ac:dyDescent="0.25">
      <c r="B17704" s="55" t="s">
        <v>282</v>
      </c>
      <c r="C17704" s="46">
        <v>2692</v>
      </c>
      <c r="D17704" s="69" t="s">
        <v>29419</v>
      </c>
      <c r="E17704" s="51"/>
      <c r="F17704" s="114" t="str">
        <f>IF(INDEX(I.Facility.P3IDNumber,2692)="","",INDEX(I.Facility.P3IDNumber,2692))</f>
        <v/>
      </c>
      <c r="G17704" s="51"/>
      <c r="H17704" s="46" t="str">
        <f>IF(AND(I.Developer.P3=TRUE,I.Facility.P3FacilityCount&gt;=2692,F17704=""),"Incomplete","Complete")</f>
        <v>Complete</v>
      </c>
      <c r="I17704" s="48" t="s">
        <v>22069</v>
      </c>
    </row>
    <row r="17705" spans="2:9" ht="15" customHeight="1" x14ac:dyDescent="0.25">
      <c r="B17705" s="55" t="s">
        <v>282</v>
      </c>
      <c r="C17705" s="46">
        <v>2693</v>
      </c>
      <c r="D17705" s="69" t="s">
        <v>29419</v>
      </c>
      <c r="E17705" s="51"/>
      <c r="F17705" s="114" t="str">
        <f>IF(INDEX(I.Facility.P3IDNumber,2693)="","",INDEX(I.Facility.P3IDNumber,2693))</f>
        <v/>
      </c>
      <c r="G17705" s="51"/>
      <c r="H17705" s="46" t="str">
        <f>IF(AND(I.Developer.P3=TRUE,I.Facility.P3FacilityCount&gt;=2693,F17705=""),"Incomplete","Complete")</f>
        <v>Complete</v>
      </c>
      <c r="I17705" s="48" t="s">
        <v>22070</v>
      </c>
    </row>
    <row r="17706" spans="2:9" ht="15" customHeight="1" x14ac:dyDescent="0.25">
      <c r="B17706" s="55" t="s">
        <v>282</v>
      </c>
      <c r="C17706" s="46">
        <v>2694</v>
      </c>
      <c r="D17706" s="69" t="s">
        <v>29419</v>
      </c>
      <c r="E17706" s="51"/>
      <c r="F17706" s="114" t="str">
        <f>IF(INDEX(I.Facility.P3IDNumber,2694)="","",INDEX(I.Facility.P3IDNumber,2694))</f>
        <v/>
      </c>
      <c r="G17706" s="51"/>
      <c r="H17706" s="46" t="str">
        <f>IF(AND(I.Developer.P3=TRUE,I.Facility.P3FacilityCount&gt;=2694,F17706=""),"Incomplete","Complete")</f>
        <v>Complete</v>
      </c>
      <c r="I17706" s="48" t="s">
        <v>22071</v>
      </c>
    </row>
    <row r="17707" spans="2:9" ht="15" customHeight="1" x14ac:dyDescent="0.25">
      <c r="B17707" s="55" t="s">
        <v>282</v>
      </c>
      <c r="C17707" s="46">
        <v>2695</v>
      </c>
      <c r="D17707" s="69" t="s">
        <v>29419</v>
      </c>
      <c r="E17707" s="51"/>
      <c r="F17707" s="114" t="str">
        <f>IF(INDEX(I.Facility.P3IDNumber,2695)="","",INDEX(I.Facility.P3IDNumber,2695))</f>
        <v/>
      </c>
      <c r="G17707" s="51"/>
      <c r="H17707" s="46" t="str">
        <f>IF(AND(I.Developer.P3=TRUE,I.Facility.P3FacilityCount&gt;=2695,F17707=""),"Incomplete","Complete")</f>
        <v>Complete</v>
      </c>
      <c r="I17707" s="48" t="s">
        <v>22072</v>
      </c>
    </row>
    <row r="17708" spans="2:9" ht="15" customHeight="1" x14ac:dyDescent="0.25">
      <c r="B17708" s="55" t="s">
        <v>282</v>
      </c>
      <c r="C17708" s="46">
        <v>2696</v>
      </c>
      <c r="D17708" s="69" t="s">
        <v>29419</v>
      </c>
      <c r="E17708" s="51"/>
      <c r="F17708" s="114" t="str">
        <f>IF(INDEX(I.Facility.P3IDNumber,2696)="","",INDEX(I.Facility.P3IDNumber,2696))</f>
        <v/>
      </c>
      <c r="G17708" s="51"/>
      <c r="H17708" s="46" t="str">
        <f>IF(AND(I.Developer.P3=TRUE,I.Facility.P3FacilityCount&gt;=2696,F17708=""),"Incomplete","Complete")</f>
        <v>Complete</v>
      </c>
      <c r="I17708" s="48" t="s">
        <v>22073</v>
      </c>
    </row>
    <row r="17709" spans="2:9" ht="15" customHeight="1" x14ac:dyDescent="0.25">
      <c r="B17709" s="55" t="s">
        <v>282</v>
      </c>
      <c r="C17709" s="46">
        <v>2697</v>
      </c>
      <c r="D17709" s="69" t="s">
        <v>29419</v>
      </c>
      <c r="E17709" s="51"/>
      <c r="F17709" s="114" t="str">
        <f>IF(INDEX(I.Facility.P3IDNumber,2697)="","",INDEX(I.Facility.P3IDNumber,2697))</f>
        <v/>
      </c>
      <c r="G17709" s="51"/>
      <c r="H17709" s="46" t="str">
        <f>IF(AND(I.Developer.P3=TRUE,I.Facility.P3FacilityCount&gt;=2697,F17709=""),"Incomplete","Complete")</f>
        <v>Complete</v>
      </c>
      <c r="I17709" s="48" t="s">
        <v>22074</v>
      </c>
    </row>
    <row r="17710" spans="2:9" ht="15" customHeight="1" x14ac:dyDescent="0.25">
      <c r="B17710" s="55" t="s">
        <v>282</v>
      </c>
      <c r="C17710" s="46">
        <v>2698</v>
      </c>
      <c r="D17710" s="69" t="s">
        <v>29419</v>
      </c>
      <c r="E17710" s="51"/>
      <c r="F17710" s="114" t="str">
        <f>IF(INDEX(I.Facility.P3IDNumber,2698)="","",INDEX(I.Facility.P3IDNumber,2698))</f>
        <v/>
      </c>
      <c r="G17710" s="51"/>
      <c r="H17710" s="46" t="str">
        <f>IF(AND(I.Developer.P3=TRUE,I.Facility.P3FacilityCount&gt;=2698,F17710=""),"Incomplete","Complete")</f>
        <v>Complete</v>
      </c>
      <c r="I17710" s="48" t="s">
        <v>22075</v>
      </c>
    </row>
    <row r="17711" spans="2:9" ht="15" customHeight="1" x14ac:dyDescent="0.25">
      <c r="B17711" s="55" t="s">
        <v>282</v>
      </c>
      <c r="C17711" s="46">
        <v>2699</v>
      </c>
      <c r="D17711" s="69" t="s">
        <v>29419</v>
      </c>
      <c r="E17711" s="51"/>
      <c r="F17711" s="114" t="str">
        <f>IF(INDEX(I.Facility.P3IDNumber,2699)="","",INDEX(I.Facility.P3IDNumber,2699))</f>
        <v/>
      </c>
      <c r="G17711" s="51"/>
      <c r="H17711" s="46" t="str">
        <f>IF(AND(I.Developer.P3=TRUE,I.Facility.P3FacilityCount&gt;=2699,F17711=""),"Incomplete","Complete")</f>
        <v>Complete</v>
      </c>
      <c r="I17711" s="48" t="s">
        <v>22076</v>
      </c>
    </row>
    <row r="17712" spans="2:9" ht="15" customHeight="1" x14ac:dyDescent="0.25">
      <c r="B17712" s="55" t="s">
        <v>282</v>
      </c>
      <c r="C17712" s="46">
        <v>2700</v>
      </c>
      <c r="D17712" s="69" t="s">
        <v>29419</v>
      </c>
      <c r="E17712" s="51"/>
      <c r="F17712" s="114" t="str">
        <f>IF(INDEX(I.Facility.P3IDNumber,2700)="","",INDEX(I.Facility.P3IDNumber,2700))</f>
        <v/>
      </c>
      <c r="G17712" s="51"/>
      <c r="H17712" s="46" t="str">
        <f>IF(AND(I.Developer.P3=TRUE,I.Facility.P3FacilityCount&gt;=2700,F17712=""),"Incomplete","Complete")</f>
        <v>Complete</v>
      </c>
      <c r="I17712" s="48" t="s">
        <v>22077</v>
      </c>
    </row>
    <row r="17713" spans="2:9" ht="15" customHeight="1" x14ac:dyDescent="0.25">
      <c r="B17713" s="55" t="s">
        <v>282</v>
      </c>
      <c r="C17713" s="46">
        <v>2701</v>
      </c>
      <c r="D17713" s="69" t="s">
        <v>29419</v>
      </c>
      <c r="E17713" s="51"/>
      <c r="F17713" s="114" t="str">
        <f>IF(INDEX(I.Facility.P3IDNumber,2701)="","",INDEX(I.Facility.P3IDNumber,2701))</f>
        <v/>
      </c>
      <c r="G17713" s="51"/>
      <c r="H17713" s="46" t="str">
        <f>IF(AND(I.Developer.P3=TRUE,I.Facility.P3FacilityCount&gt;=2701,F17713=""),"Incomplete","Complete")</f>
        <v>Complete</v>
      </c>
      <c r="I17713" s="48" t="s">
        <v>22078</v>
      </c>
    </row>
    <row r="17714" spans="2:9" ht="15" customHeight="1" x14ac:dyDescent="0.25">
      <c r="B17714" s="55" t="s">
        <v>282</v>
      </c>
      <c r="C17714" s="46">
        <v>2702</v>
      </c>
      <c r="D17714" s="69" t="s">
        <v>29419</v>
      </c>
      <c r="E17714" s="51"/>
      <c r="F17714" s="114" t="str">
        <f>IF(INDEX(I.Facility.P3IDNumber,2702)="","",INDEX(I.Facility.P3IDNumber,2702))</f>
        <v/>
      </c>
      <c r="G17714" s="51"/>
      <c r="H17714" s="46" t="str">
        <f>IF(AND(I.Developer.P3=TRUE,I.Facility.P3FacilityCount&gt;=2702,F17714=""),"Incomplete","Complete")</f>
        <v>Complete</v>
      </c>
      <c r="I17714" s="48" t="s">
        <v>22079</v>
      </c>
    </row>
    <row r="17715" spans="2:9" ht="15" customHeight="1" x14ac:dyDescent="0.25">
      <c r="B17715" s="55" t="s">
        <v>282</v>
      </c>
      <c r="C17715" s="46">
        <v>2703</v>
      </c>
      <c r="D17715" s="69" t="s">
        <v>29419</v>
      </c>
      <c r="E17715" s="51"/>
      <c r="F17715" s="114" t="str">
        <f>IF(INDEX(I.Facility.P3IDNumber,2703)="","",INDEX(I.Facility.P3IDNumber,2703))</f>
        <v/>
      </c>
      <c r="G17715" s="51"/>
      <c r="H17715" s="46" t="str">
        <f>IF(AND(I.Developer.P3=TRUE,I.Facility.P3FacilityCount&gt;=2703,F17715=""),"Incomplete","Complete")</f>
        <v>Complete</v>
      </c>
      <c r="I17715" s="48" t="s">
        <v>22080</v>
      </c>
    </row>
    <row r="17716" spans="2:9" ht="15" customHeight="1" x14ac:dyDescent="0.25">
      <c r="B17716" s="55" t="s">
        <v>282</v>
      </c>
      <c r="C17716" s="46">
        <v>2704</v>
      </c>
      <c r="D17716" s="69" t="s">
        <v>29419</v>
      </c>
      <c r="E17716" s="51"/>
      <c r="F17716" s="114" t="str">
        <f>IF(INDEX(I.Facility.P3IDNumber,2704)="","",INDEX(I.Facility.P3IDNumber,2704))</f>
        <v/>
      </c>
      <c r="G17716" s="51"/>
      <c r="H17716" s="46" t="str">
        <f>IF(AND(I.Developer.P3=TRUE,I.Facility.P3FacilityCount&gt;=2704,F17716=""),"Incomplete","Complete")</f>
        <v>Complete</v>
      </c>
      <c r="I17716" s="48" t="s">
        <v>22081</v>
      </c>
    </row>
    <row r="17717" spans="2:9" ht="15" customHeight="1" x14ac:dyDescent="0.25">
      <c r="B17717" s="55" t="s">
        <v>282</v>
      </c>
      <c r="C17717" s="46">
        <v>2705</v>
      </c>
      <c r="D17717" s="69" t="s">
        <v>29419</v>
      </c>
      <c r="E17717" s="51"/>
      <c r="F17717" s="114" t="str">
        <f>IF(INDEX(I.Facility.P3IDNumber,2705)="","",INDEX(I.Facility.P3IDNumber,2705))</f>
        <v/>
      </c>
      <c r="G17717" s="51"/>
      <c r="H17717" s="46" t="str">
        <f>IF(AND(I.Developer.P3=TRUE,I.Facility.P3FacilityCount&gt;=2705,F17717=""),"Incomplete","Complete")</f>
        <v>Complete</v>
      </c>
      <c r="I17717" s="48" t="s">
        <v>22082</v>
      </c>
    </row>
    <row r="17718" spans="2:9" ht="15" customHeight="1" x14ac:dyDescent="0.25">
      <c r="B17718" s="55" t="s">
        <v>282</v>
      </c>
      <c r="C17718" s="46">
        <v>2706</v>
      </c>
      <c r="D17718" s="69" t="s">
        <v>29419</v>
      </c>
      <c r="E17718" s="51"/>
      <c r="F17718" s="114" t="str">
        <f>IF(INDEX(I.Facility.P3IDNumber,2706)="","",INDEX(I.Facility.P3IDNumber,2706))</f>
        <v/>
      </c>
      <c r="G17718" s="51"/>
      <c r="H17718" s="46" t="str">
        <f>IF(AND(I.Developer.P3=TRUE,I.Facility.P3FacilityCount&gt;=2706,F17718=""),"Incomplete","Complete")</f>
        <v>Complete</v>
      </c>
      <c r="I17718" s="48" t="s">
        <v>22083</v>
      </c>
    </row>
    <row r="17719" spans="2:9" ht="15" customHeight="1" x14ac:dyDescent="0.25">
      <c r="B17719" s="55" t="s">
        <v>282</v>
      </c>
      <c r="C17719" s="46">
        <v>2707</v>
      </c>
      <c r="D17719" s="69" t="s">
        <v>29419</v>
      </c>
      <c r="E17719" s="51"/>
      <c r="F17719" s="114" t="str">
        <f>IF(INDEX(I.Facility.P3IDNumber,2707)="","",INDEX(I.Facility.P3IDNumber,2707))</f>
        <v/>
      </c>
      <c r="G17719" s="51"/>
      <c r="H17719" s="46" t="str">
        <f>IF(AND(I.Developer.P3=TRUE,I.Facility.P3FacilityCount&gt;=2707,F17719=""),"Incomplete","Complete")</f>
        <v>Complete</v>
      </c>
      <c r="I17719" s="48" t="s">
        <v>22084</v>
      </c>
    </row>
    <row r="17720" spans="2:9" ht="15" customHeight="1" x14ac:dyDescent="0.25">
      <c r="B17720" s="55" t="s">
        <v>282</v>
      </c>
      <c r="C17720" s="46">
        <v>2708</v>
      </c>
      <c r="D17720" s="69" t="s">
        <v>29419</v>
      </c>
      <c r="E17720" s="51"/>
      <c r="F17720" s="114" t="str">
        <f>IF(INDEX(I.Facility.P3IDNumber,2708)="","",INDEX(I.Facility.P3IDNumber,2708))</f>
        <v/>
      </c>
      <c r="G17720" s="51"/>
      <c r="H17720" s="46" t="str">
        <f>IF(AND(I.Developer.P3=TRUE,I.Facility.P3FacilityCount&gt;=2708,F17720=""),"Incomplete","Complete")</f>
        <v>Complete</v>
      </c>
      <c r="I17720" s="48" t="s">
        <v>22085</v>
      </c>
    </row>
    <row r="17721" spans="2:9" ht="15" customHeight="1" x14ac:dyDescent="0.25">
      <c r="B17721" s="55" t="s">
        <v>282</v>
      </c>
      <c r="C17721" s="46">
        <v>2709</v>
      </c>
      <c r="D17721" s="69" t="s">
        <v>29419</v>
      </c>
      <c r="E17721" s="51"/>
      <c r="F17721" s="114" t="str">
        <f>IF(INDEX(I.Facility.P3IDNumber,2709)="","",INDEX(I.Facility.P3IDNumber,2709))</f>
        <v/>
      </c>
      <c r="G17721" s="51"/>
      <c r="H17721" s="46" t="str">
        <f>IF(AND(I.Developer.P3=TRUE,I.Facility.P3FacilityCount&gt;=2709,F17721=""),"Incomplete","Complete")</f>
        <v>Complete</v>
      </c>
      <c r="I17721" s="48" t="s">
        <v>22086</v>
      </c>
    </row>
    <row r="17722" spans="2:9" ht="15" customHeight="1" x14ac:dyDescent="0.25">
      <c r="B17722" s="55" t="s">
        <v>282</v>
      </c>
      <c r="C17722" s="46">
        <v>2710</v>
      </c>
      <c r="D17722" s="69" t="s">
        <v>29419</v>
      </c>
      <c r="E17722" s="51"/>
      <c r="F17722" s="114" t="str">
        <f>IF(INDEX(I.Facility.P3IDNumber,2710)="","",INDEX(I.Facility.P3IDNumber,2710))</f>
        <v/>
      </c>
      <c r="G17722" s="51"/>
      <c r="H17722" s="46" t="str">
        <f>IF(AND(I.Developer.P3=TRUE,I.Facility.P3FacilityCount&gt;=2710,F17722=""),"Incomplete","Complete")</f>
        <v>Complete</v>
      </c>
      <c r="I17722" s="48" t="s">
        <v>22087</v>
      </c>
    </row>
    <row r="17723" spans="2:9" ht="15" customHeight="1" x14ac:dyDescent="0.25">
      <c r="B17723" s="55" t="s">
        <v>282</v>
      </c>
      <c r="C17723" s="46">
        <v>2711</v>
      </c>
      <c r="D17723" s="69" t="s">
        <v>29419</v>
      </c>
      <c r="E17723" s="51"/>
      <c r="F17723" s="114" t="str">
        <f>IF(INDEX(I.Facility.P3IDNumber,2711)="","",INDEX(I.Facility.P3IDNumber,2711))</f>
        <v/>
      </c>
      <c r="G17723" s="51"/>
      <c r="H17723" s="46" t="str">
        <f>IF(AND(I.Developer.P3=TRUE,I.Facility.P3FacilityCount&gt;=2711,F17723=""),"Incomplete","Complete")</f>
        <v>Complete</v>
      </c>
      <c r="I17723" s="48" t="s">
        <v>22088</v>
      </c>
    </row>
    <row r="17724" spans="2:9" ht="15" customHeight="1" x14ac:dyDescent="0.25">
      <c r="B17724" s="55" t="s">
        <v>282</v>
      </c>
      <c r="C17724" s="46">
        <v>2712</v>
      </c>
      <c r="D17724" s="69" t="s">
        <v>29419</v>
      </c>
      <c r="E17724" s="51"/>
      <c r="F17724" s="114" t="str">
        <f>IF(INDEX(I.Facility.P3IDNumber,2712)="","",INDEX(I.Facility.P3IDNumber,2712))</f>
        <v/>
      </c>
      <c r="G17724" s="51"/>
      <c r="H17724" s="46" t="str">
        <f>IF(AND(I.Developer.P3=TRUE,I.Facility.P3FacilityCount&gt;=2712,F17724=""),"Incomplete","Complete")</f>
        <v>Complete</v>
      </c>
      <c r="I17724" s="48" t="s">
        <v>22089</v>
      </c>
    </row>
    <row r="17725" spans="2:9" ht="15" customHeight="1" x14ac:dyDescent="0.25">
      <c r="B17725" s="55" t="s">
        <v>282</v>
      </c>
      <c r="C17725" s="46">
        <v>2713</v>
      </c>
      <c r="D17725" s="69" t="s">
        <v>29419</v>
      </c>
      <c r="E17725" s="51"/>
      <c r="F17725" s="114" t="str">
        <f>IF(INDEX(I.Facility.P3IDNumber,2713)="","",INDEX(I.Facility.P3IDNumber,2713))</f>
        <v/>
      </c>
      <c r="G17725" s="51"/>
      <c r="H17725" s="46" t="str">
        <f>IF(AND(I.Developer.P3=TRUE,I.Facility.P3FacilityCount&gt;=2713,F17725=""),"Incomplete","Complete")</f>
        <v>Complete</v>
      </c>
      <c r="I17725" s="48" t="s">
        <v>22090</v>
      </c>
    </row>
    <row r="17726" spans="2:9" ht="15" customHeight="1" x14ac:dyDescent="0.25">
      <c r="B17726" s="55" t="s">
        <v>282</v>
      </c>
      <c r="C17726" s="46">
        <v>2714</v>
      </c>
      <c r="D17726" s="69" t="s">
        <v>29419</v>
      </c>
      <c r="E17726" s="51"/>
      <c r="F17726" s="114" t="str">
        <f>IF(INDEX(I.Facility.P3IDNumber,2714)="","",INDEX(I.Facility.P3IDNumber,2714))</f>
        <v/>
      </c>
      <c r="G17726" s="51"/>
      <c r="H17726" s="46" t="str">
        <f>IF(AND(I.Developer.P3=TRUE,I.Facility.P3FacilityCount&gt;=2714,F17726=""),"Incomplete","Complete")</f>
        <v>Complete</v>
      </c>
      <c r="I17726" s="48" t="s">
        <v>22091</v>
      </c>
    </row>
    <row r="17727" spans="2:9" ht="15" customHeight="1" x14ac:dyDescent="0.25">
      <c r="B17727" s="55" t="s">
        <v>282</v>
      </c>
      <c r="C17727" s="46">
        <v>2715</v>
      </c>
      <c r="D17727" s="69" t="s">
        <v>29419</v>
      </c>
      <c r="E17727" s="51"/>
      <c r="F17727" s="114" t="str">
        <f>IF(INDEX(I.Facility.P3IDNumber,2715)="","",INDEX(I.Facility.P3IDNumber,2715))</f>
        <v/>
      </c>
      <c r="G17727" s="51"/>
      <c r="H17727" s="46" t="str">
        <f>IF(AND(I.Developer.P3=TRUE,I.Facility.P3FacilityCount&gt;=2715,F17727=""),"Incomplete","Complete")</f>
        <v>Complete</v>
      </c>
      <c r="I17727" s="48" t="s">
        <v>22092</v>
      </c>
    </row>
    <row r="17728" spans="2:9" ht="15" customHeight="1" x14ac:dyDescent="0.25">
      <c r="B17728" s="55" t="s">
        <v>282</v>
      </c>
      <c r="C17728" s="46">
        <v>2716</v>
      </c>
      <c r="D17728" s="69" t="s">
        <v>29419</v>
      </c>
      <c r="E17728" s="51"/>
      <c r="F17728" s="114" t="str">
        <f>IF(INDEX(I.Facility.P3IDNumber,2716)="","",INDEX(I.Facility.P3IDNumber,2716))</f>
        <v/>
      </c>
      <c r="G17728" s="51"/>
      <c r="H17728" s="46" t="str">
        <f>IF(AND(I.Developer.P3=TRUE,I.Facility.P3FacilityCount&gt;=2716,F17728=""),"Incomplete","Complete")</f>
        <v>Complete</v>
      </c>
      <c r="I17728" s="48" t="s">
        <v>22093</v>
      </c>
    </row>
    <row r="17729" spans="2:9" ht="15" customHeight="1" x14ac:dyDescent="0.25">
      <c r="B17729" s="55" t="s">
        <v>282</v>
      </c>
      <c r="C17729" s="46">
        <v>2717</v>
      </c>
      <c r="D17729" s="69" t="s">
        <v>29419</v>
      </c>
      <c r="E17729" s="51"/>
      <c r="F17729" s="114" t="str">
        <f>IF(INDEX(I.Facility.P3IDNumber,2717)="","",INDEX(I.Facility.P3IDNumber,2717))</f>
        <v/>
      </c>
      <c r="G17729" s="51"/>
      <c r="H17729" s="46" t="str">
        <f>IF(AND(I.Developer.P3=TRUE,I.Facility.P3FacilityCount&gt;=2717,F17729=""),"Incomplete","Complete")</f>
        <v>Complete</v>
      </c>
      <c r="I17729" s="48" t="s">
        <v>22094</v>
      </c>
    </row>
    <row r="17730" spans="2:9" ht="15" customHeight="1" x14ac:dyDescent="0.25">
      <c r="B17730" s="55" t="s">
        <v>282</v>
      </c>
      <c r="C17730" s="46">
        <v>2718</v>
      </c>
      <c r="D17730" s="69" t="s">
        <v>29419</v>
      </c>
      <c r="E17730" s="51"/>
      <c r="F17730" s="114" t="str">
        <f>IF(INDEX(I.Facility.P3IDNumber,2718)="","",INDEX(I.Facility.P3IDNumber,2718))</f>
        <v/>
      </c>
      <c r="G17730" s="51"/>
      <c r="H17730" s="46" t="str">
        <f>IF(AND(I.Developer.P3=TRUE,I.Facility.P3FacilityCount&gt;=2718,F17730=""),"Incomplete","Complete")</f>
        <v>Complete</v>
      </c>
      <c r="I17730" s="48" t="s">
        <v>22095</v>
      </c>
    </row>
    <row r="17731" spans="2:9" ht="15" customHeight="1" x14ac:dyDescent="0.25">
      <c r="B17731" s="55" t="s">
        <v>282</v>
      </c>
      <c r="C17731" s="46">
        <v>2719</v>
      </c>
      <c r="D17731" s="69" t="s">
        <v>29419</v>
      </c>
      <c r="E17731" s="51"/>
      <c r="F17731" s="114" t="str">
        <f>IF(INDEX(I.Facility.P3IDNumber,2719)="","",INDEX(I.Facility.P3IDNumber,2719))</f>
        <v/>
      </c>
      <c r="G17731" s="51"/>
      <c r="H17731" s="46" t="str">
        <f>IF(AND(I.Developer.P3=TRUE,I.Facility.P3FacilityCount&gt;=2719,F17731=""),"Incomplete","Complete")</f>
        <v>Complete</v>
      </c>
      <c r="I17731" s="48" t="s">
        <v>22096</v>
      </c>
    </row>
    <row r="17732" spans="2:9" ht="15" customHeight="1" x14ac:dyDescent="0.25">
      <c r="B17732" s="55" t="s">
        <v>282</v>
      </c>
      <c r="C17732" s="46">
        <v>2720</v>
      </c>
      <c r="D17732" s="69" t="s">
        <v>29419</v>
      </c>
      <c r="E17732" s="51"/>
      <c r="F17732" s="114" t="str">
        <f>IF(INDEX(I.Facility.P3IDNumber,2720)="","",INDEX(I.Facility.P3IDNumber,2720))</f>
        <v/>
      </c>
      <c r="G17732" s="51"/>
      <c r="H17732" s="46" t="str">
        <f>IF(AND(I.Developer.P3=TRUE,I.Facility.P3FacilityCount&gt;=2720,F17732=""),"Incomplete","Complete")</f>
        <v>Complete</v>
      </c>
      <c r="I17732" s="48" t="s">
        <v>22097</v>
      </c>
    </row>
    <row r="17733" spans="2:9" ht="15" customHeight="1" x14ac:dyDescent="0.25">
      <c r="B17733" s="55" t="s">
        <v>282</v>
      </c>
      <c r="C17733" s="46">
        <v>2721</v>
      </c>
      <c r="D17733" s="69" t="s">
        <v>29419</v>
      </c>
      <c r="E17733" s="51"/>
      <c r="F17733" s="114" t="str">
        <f>IF(INDEX(I.Facility.P3IDNumber,2721)="","",INDEX(I.Facility.P3IDNumber,2721))</f>
        <v/>
      </c>
      <c r="G17733" s="51"/>
      <c r="H17733" s="46" t="str">
        <f>IF(AND(I.Developer.P3=TRUE,I.Facility.P3FacilityCount&gt;=2721,F17733=""),"Incomplete","Complete")</f>
        <v>Complete</v>
      </c>
      <c r="I17733" s="48" t="s">
        <v>22098</v>
      </c>
    </row>
    <row r="17734" spans="2:9" ht="15" customHeight="1" x14ac:dyDescent="0.25">
      <c r="B17734" s="55" t="s">
        <v>282</v>
      </c>
      <c r="C17734" s="46">
        <v>2722</v>
      </c>
      <c r="D17734" s="69" t="s">
        <v>29419</v>
      </c>
      <c r="E17734" s="51"/>
      <c r="F17734" s="114" t="str">
        <f>IF(INDEX(I.Facility.P3IDNumber,2722)="","",INDEX(I.Facility.P3IDNumber,2722))</f>
        <v/>
      </c>
      <c r="G17734" s="51"/>
      <c r="H17734" s="46" t="str">
        <f>IF(AND(I.Developer.P3=TRUE,I.Facility.P3FacilityCount&gt;=2722,F17734=""),"Incomplete","Complete")</f>
        <v>Complete</v>
      </c>
      <c r="I17734" s="48" t="s">
        <v>22099</v>
      </c>
    </row>
    <row r="17735" spans="2:9" ht="15" customHeight="1" x14ac:dyDescent="0.25">
      <c r="B17735" s="55" t="s">
        <v>282</v>
      </c>
      <c r="C17735" s="46">
        <v>2723</v>
      </c>
      <c r="D17735" s="69" t="s">
        <v>29419</v>
      </c>
      <c r="E17735" s="51"/>
      <c r="F17735" s="114" t="str">
        <f>IF(INDEX(I.Facility.P3IDNumber,2723)="","",INDEX(I.Facility.P3IDNumber,2723))</f>
        <v/>
      </c>
      <c r="G17735" s="51"/>
      <c r="H17735" s="46" t="str">
        <f>IF(AND(I.Developer.P3=TRUE,I.Facility.P3FacilityCount&gt;=2723,F17735=""),"Incomplete","Complete")</f>
        <v>Complete</v>
      </c>
      <c r="I17735" s="48" t="s">
        <v>22100</v>
      </c>
    </row>
    <row r="17736" spans="2:9" ht="15" customHeight="1" x14ac:dyDescent="0.25">
      <c r="B17736" s="55" t="s">
        <v>282</v>
      </c>
      <c r="C17736" s="46">
        <v>2724</v>
      </c>
      <c r="D17736" s="69" t="s">
        <v>29419</v>
      </c>
      <c r="E17736" s="51"/>
      <c r="F17736" s="114" t="str">
        <f>IF(INDEX(I.Facility.P3IDNumber,2724)="","",INDEX(I.Facility.P3IDNumber,2724))</f>
        <v/>
      </c>
      <c r="G17736" s="51"/>
      <c r="H17736" s="46" t="str">
        <f>IF(AND(I.Developer.P3=TRUE,I.Facility.P3FacilityCount&gt;=2724,F17736=""),"Incomplete","Complete")</f>
        <v>Complete</v>
      </c>
      <c r="I17736" s="48" t="s">
        <v>22101</v>
      </c>
    </row>
    <row r="17737" spans="2:9" ht="15" customHeight="1" x14ac:dyDescent="0.25">
      <c r="B17737" s="55" t="s">
        <v>282</v>
      </c>
      <c r="C17737" s="46">
        <v>2725</v>
      </c>
      <c r="D17737" s="69" t="s">
        <v>29419</v>
      </c>
      <c r="E17737" s="51"/>
      <c r="F17737" s="114" t="str">
        <f>IF(INDEX(I.Facility.P3IDNumber,2725)="","",INDEX(I.Facility.P3IDNumber,2725))</f>
        <v/>
      </c>
      <c r="G17737" s="51"/>
      <c r="H17737" s="46" t="str">
        <f>IF(AND(I.Developer.P3=TRUE,I.Facility.P3FacilityCount&gt;=2725,F17737=""),"Incomplete","Complete")</f>
        <v>Complete</v>
      </c>
      <c r="I17737" s="48" t="s">
        <v>22102</v>
      </c>
    </row>
    <row r="17738" spans="2:9" ht="15" customHeight="1" x14ac:dyDescent="0.25">
      <c r="B17738" s="55" t="s">
        <v>282</v>
      </c>
      <c r="C17738" s="46">
        <v>2726</v>
      </c>
      <c r="D17738" s="69" t="s">
        <v>29419</v>
      </c>
      <c r="E17738" s="51"/>
      <c r="F17738" s="114" t="str">
        <f>IF(INDEX(I.Facility.P3IDNumber,2726)="","",INDEX(I.Facility.P3IDNumber,2726))</f>
        <v/>
      </c>
      <c r="G17738" s="51"/>
      <c r="H17738" s="46" t="str">
        <f>IF(AND(I.Developer.P3=TRUE,I.Facility.P3FacilityCount&gt;=2726,F17738=""),"Incomplete","Complete")</f>
        <v>Complete</v>
      </c>
      <c r="I17738" s="48" t="s">
        <v>22103</v>
      </c>
    </row>
    <row r="17739" spans="2:9" ht="15" customHeight="1" x14ac:dyDescent="0.25">
      <c r="B17739" s="55" t="s">
        <v>282</v>
      </c>
      <c r="C17739" s="46">
        <v>2727</v>
      </c>
      <c r="D17739" s="69" t="s">
        <v>29419</v>
      </c>
      <c r="E17739" s="51"/>
      <c r="F17739" s="114" t="str">
        <f>IF(INDEX(I.Facility.P3IDNumber,2727)="","",INDEX(I.Facility.P3IDNumber,2727))</f>
        <v/>
      </c>
      <c r="G17739" s="51"/>
      <c r="H17739" s="46" t="str">
        <f>IF(AND(I.Developer.P3=TRUE,I.Facility.P3FacilityCount&gt;=2727,F17739=""),"Incomplete","Complete")</f>
        <v>Complete</v>
      </c>
      <c r="I17739" s="48" t="s">
        <v>22104</v>
      </c>
    </row>
    <row r="17740" spans="2:9" ht="15" customHeight="1" x14ac:dyDescent="0.25">
      <c r="B17740" s="55" t="s">
        <v>282</v>
      </c>
      <c r="C17740" s="46">
        <v>2728</v>
      </c>
      <c r="D17740" s="69" t="s">
        <v>29419</v>
      </c>
      <c r="E17740" s="51"/>
      <c r="F17740" s="114" t="str">
        <f>IF(INDEX(I.Facility.P3IDNumber,2728)="","",INDEX(I.Facility.P3IDNumber,2728))</f>
        <v/>
      </c>
      <c r="G17740" s="51"/>
      <c r="H17740" s="46" t="str">
        <f>IF(AND(I.Developer.P3=TRUE,I.Facility.P3FacilityCount&gt;=2728,F17740=""),"Incomplete","Complete")</f>
        <v>Complete</v>
      </c>
      <c r="I17740" s="48" t="s">
        <v>22105</v>
      </c>
    </row>
    <row r="17741" spans="2:9" ht="15" customHeight="1" x14ac:dyDescent="0.25">
      <c r="B17741" s="55" t="s">
        <v>282</v>
      </c>
      <c r="C17741" s="46">
        <v>2729</v>
      </c>
      <c r="D17741" s="69" t="s">
        <v>29419</v>
      </c>
      <c r="E17741" s="51"/>
      <c r="F17741" s="114" t="str">
        <f>IF(INDEX(I.Facility.P3IDNumber,2729)="","",INDEX(I.Facility.P3IDNumber,2729))</f>
        <v/>
      </c>
      <c r="G17741" s="51"/>
      <c r="H17741" s="46" t="str">
        <f>IF(AND(I.Developer.P3=TRUE,I.Facility.P3FacilityCount&gt;=2729,F17741=""),"Incomplete","Complete")</f>
        <v>Complete</v>
      </c>
      <c r="I17741" s="48" t="s">
        <v>22106</v>
      </c>
    </row>
    <row r="17742" spans="2:9" ht="15" customHeight="1" x14ac:dyDescent="0.25">
      <c r="B17742" s="55" t="s">
        <v>282</v>
      </c>
      <c r="C17742" s="46">
        <v>2730</v>
      </c>
      <c r="D17742" s="69" t="s">
        <v>29419</v>
      </c>
      <c r="E17742" s="51"/>
      <c r="F17742" s="114" t="str">
        <f>IF(INDEX(I.Facility.P3IDNumber,2730)="","",INDEX(I.Facility.P3IDNumber,2730))</f>
        <v/>
      </c>
      <c r="G17742" s="51"/>
      <c r="H17742" s="46" t="str">
        <f>IF(AND(I.Developer.P3=TRUE,I.Facility.P3FacilityCount&gt;=2730,F17742=""),"Incomplete","Complete")</f>
        <v>Complete</v>
      </c>
      <c r="I17742" s="48" t="s">
        <v>22107</v>
      </c>
    </row>
    <row r="17743" spans="2:9" ht="15" customHeight="1" x14ac:dyDescent="0.25">
      <c r="B17743" s="55" t="s">
        <v>282</v>
      </c>
      <c r="C17743" s="46">
        <v>2731</v>
      </c>
      <c r="D17743" s="69" t="s">
        <v>29419</v>
      </c>
      <c r="E17743" s="51"/>
      <c r="F17743" s="114" t="str">
        <f>IF(INDEX(I.Facility.P3IDNumber,2731)="","",INDEX(I.Facility.P3IDNumber,2731))</f>
        <v/>
      </c>
      <c r="G17743" s="51"/>
      <c r="H17743" s="46" t="str">
        <f>IF(AND(I.Developer.P3=TRUE,I.Facility.P3FacilityCount&gt;=2731,F17743=""),"Incomplete","Complete")</f>
        <v>Complete</v>
      </c>
      <c r="I17743" s="48" t="s">
        <v>22108</v>
      </c>
    </row>
    <row r="17744" spans="2:9" ht="15" customHeight="1" x14ac:dyDescent="0.25">
      <c r="B17744" s="55" t="s">
        <v>282</v>
      </c>
      <c r="C17744" s="46">
        <v>2732</v>
      </c>
      <c r="D17744" s="69" t="s">
        <v>29419</v>
      </c>
      <c r="E17744" s="51"/>
      <c r="F17744" s="114" t="str">
        <f>IF(INDEX(I.Facility.P3IDNumber,2732)="","",INDEX(I.Facility.P3IDNumber,2732))</f>
        <v/>
      </c>
      <c r="G17744" s="51"/>
      <c r="H17744" s="46" t="str">
        <f>IF(AND(I.Developer.P3=TRUE,I.Facility.P3FacilityCount&gt;=2732,F17744=""),"Incomplete","Complete")</f>
        <v>Complete</v>
      </c>
      <c r="I17744" s="48" t="s">
        <v>22109</v>
      </c>
    </row>
    <row r="17745" spans="2:9" ht="15" customHeight="1" x14ac:dyDescent="0.25">
      <c r="B17745" s="55" t="s">
        <v>282</v>
      </c>
      <c r="C17745" s="46">
        <v>2733</v>
      </c>
      <c r="D17745" s="69" t="s">
        <v>29419</v>
      </c>
      <c r="E17745" s="51"/>
      <c r="F17745" s="114" t="str">
        <f>IF(INDEX(I.Facility.P3IDNumber,2733)="","",INDEX(I.Facility.P3IDNumber,2733))</f>
        <v/>
      </c>
      <c r="G17745" s="51"/>
      <c r="H17745" s="46" t="str">
        <f>IF(AND(I.Developer.P3=TRUE,I.Facility.P3FacilityCount&gt;=2733,F17745=""),"Incomplete","Complete")</f>
        <v>Complete</v>
      </c>
      <c r="I17745" s="48" t="s">
        <v>22110</v>
      </c>
    </row>
    <row r="17746" spans="2:9" ht="15" customHeight="1" x14ac:dyDescent="0.25">
      <c r="B17746" s="55" t="s">
        <v>282</v>
      </c>
      <c r="C17746" s="46">
        <v>2734</v>
      </c>
      <c r="D17746" s="69" t="s">
        <v>29419</v>
      </c>
      <c r="E17746" s="51"/>
      <c r="F17746" s="114" t="str">
        <f>IF(INDEX(I.Facility.P3IDNumber,2734)="","",INDEX(I.Facility.P3IDNumber,2734))</f>
        <v/>
      </c>
      <c r="G17746" s="51"/>
      <c r="H17746" s="46" t="str">
        <f>IF(AND(I.Developer.P3=TRUE,I.Facility.P3FacilityCount&gt;=2734,F17746=""),"Incomplete","Complete")</f>
        <v>Complete</v>
      </c>
      <c r="I17746" s="48" t="s">
        <v>22111</v>
      </c>
    </row>
    <row r="17747" spans="2:9" ht="15" customHeight="1" x14ac:dyDescent="0.25">
      <c r="B17747" s="55" t="s">
        <v>282</v>
      </c>
      <c r="C17747" s="46">
        <v>2735</v>
      </c>
      <c r="D17747" s="69" t="s">
        <v>29419</v>
      </c>
      <c r="E17747" s="51"/>
      <c r="F17747" s="114" t="str">
        <f>IF(INDEX(I.Facility.P3IDNumber,2735)="","",INDEX(I.Facility.P3IDNumber,2735))</f>
        <v/>
      </c>
      <c r="G17747" s="51"/>
      <c r="H17747" s="46" t="str">
        <f>IF(AND(I.Developer.P3=TRUE,I.Facility.P3FacilityCount&gt;=2735,F17747=""),"Incomplete","Complete")</f>
        <v>Complete</v>
      </c>
      <c r="I17747" s="48" t="s">
        <v>22112</v>
      </c>
    </row>
    <row r="17748" spans="2:9" ht="15" customHeight="1" x14ac:dyDescent="0.25">
      <c r="B17748" s="55" t="s">
        <v>282</v>
      </c>
      <c r="C17748" s="46">
        <v>2736</v>
      </c>
      <c r="D17748" s="69" t="s">
        <v>29419</v>
      </c>
      <c r="E17748" s="51"/>
      <c r="F17748" s="114" t="str">
        <f>IF(INDEX(I.Facility.P3IDNumber,2736)="","",INDEX(I.Facility.P3IDNumber,2736))</f>
        <v/>
      </c>
      <c r="G17748" s="51"/>
      <c r="H17748" s="46" t="str">
        <f>IF(AND(I.Developer.P3=TRUE,I.Facility.P3FacilityCount&gt;=2736,F17748=""),"Incomplete","Complete")</f>
        <v>Complete</v>
      </c>
      <c r="I17748" s="48" t="s">
        <v>22113</v>
      </c>
    </row>
    <row r="17749" spans="2:9" ht="15" customHeight="1" x14ac:dyDescent="0.25">
      <c r="B17749" s="55" t="s">
        <v>282</v>
      </c>
      <c r="C17749" s="46">
        <v>2737</v>
      </c>
      <c r="D17749" s="69" t="s">
        <v>29419</v>
      </c>
      <c r="E17749" s="51"/>
      <c r="F17749" s="114" t="str">
        <f>IF(INDEX(I.Facility.P3IDNumber,2737)="","",INDEX(I.Facility.P3IDNumber,2737))</f>
        <v/>
      </c>
      <c r="G17749" s="51"/>
      <c r="H17749" s="46" t="str">
        <f>IF(AND(I.Developer.P3=TRUE,I.Facility.P3FacilityCount&gt;=2737,F17749=""),"Incomplete","Complete")</f>
        <v>Complete</v>
      </c>
      <c r="I17749" s="48" t="s">
        <v>22114</v>
      </c>
    </row>
    <row r="17750" spans="2:9" ht="15" customHeight="1" x14ac:dyDescent="0.25">
      <c r="B17750" s="55" t="s">
        <v>282</v>
      </c>
      <c r="C17750" s="46">
        <v>2738</v>
      </c>
      <c r="D17750" s="69" t="s">
        <v>29419</v>
      </c>
      <c r="E17750" s="51"/>
      <c r="F17750" s="114" t="str">
        <f>IF(INDEX(I.Facility.P3IDNumber,2738)="","",INDEX(I.Facility.P3IDNumber,2738))</f>
        <v/>
      </c>
      <c r="G17750" s="51"/>
      <c r="H17750" s="46" t="str">
        <f>IF(AND(I.Developer.P3=TRUE,I.Facility.P3FacilityCount&gt;=2738,F17750=""),"Incomplete","Complete")</f>
        <v>Complete</v>
      </c>
      <c r="I17750" s="48" t="s">
        <v>22115</v>
      </c>
    </row>
    <row r="17751" spans="2:9" ht="15" customHeight="1" x14ac:dyDescent="0.25">
      <c r="B17751" s="55" t="s">
        <v>282</v>
      </c>
      <c r="C17751" s="46">
        <v>2739</v>
      </c>
      <c r="D17751" s="69" t="s">
        <v>29419</v>
      </c>
      <c r="E17751" s="51"/>
      <c r="F17751" s="114" t="str">
        <f>IF(INDEX(I.Facility.P3IDNumber,2739)="","",INDEX(I.Facility.P3IDNumber,2739))</f>
        <v/>
      </c>
      <c r="G17751" s="51"/>
      <c r="H17751" s="46" t="str">
        <f>IF(AND(I.Developer.P3=TRUE,I.Facility.P3FacilityCount&gt;=2739,F17751=""),"Incomplete","Complete")</f>
        <v>Complete</v>
      </c>
      <c r="I17751" s="48" t="s">
        <v>22116</v>
      </c>
    </row>
    <row r="17752" spans="2:9" ht="15" customHeight="1" x14ac:dyDescent="0.25">
      <c r="B17752" s="55" t="s">
        <v>282</v>
      </c>
      <c r="C17752" s="46">
        <v>2740</v>
      </c>
      <c r="D17752" s="69" t="s">
        <v>29419</v>
      </c>
      <c r="E17752" s="51"/>
      <c r="F17752" s="114" t="str">
        <f>IF(INDEX(I.Facility.P3IDNumber,2740)="","",INDEX(I.Facility.P3IDNumber,2740))</f>
        <v/>
      </c>
      <c r="G17752" s="51"/>
      <c r="H17752" s="46" t="str">
        <f>IF(AND(I.Developer.P3=TRUE,I.Facility.P3FacilityCount&gt;=2740,F17752=""),"Incomplete","Complete")</f>
        <v>Complete</v>
      </c>
      <c r="I17752" s="48" t="s">
        <v>22117</v>
      </c>
    </row>
    <row r="17753" spans="2:9" ht="15" customHeight="1" x14ac:dyDescent="0.25">
      <c r="B17753" s="55" t="s">
        <v>282</v>
      </c>
      <c r="C17753" s="46">
        <v>2741</v>
      </c>
      <c r="D17753" s="69" t="s">
        <v>29419</v>
      </c>
      <c r="E17753" s="51"/>
      <c r="F17753" s="114" t="str">
        <f>IF(INDEX(I.Facility.P3IDNumber,2741)="","",INDEX(I.Facility.P3IDNumber,2741))</f>
        <v/>
      </c>
      <c r="G17753" s="51"/>
      <c r="H17753" s="46" t="str">
        <f>IF(AND(I.Developer.P3=TRUE,I.Facility.P3FacilityCount&gt;=2741,F17753=""),"Incomplete","Complete")</f>
        <v>Complete</v>
      </c>
      <c r="I17753" s="48" t="s">
        <v>22118</v>
      </c>
    </row>
    <row r="17754" spans="2:9" ht="15" customHeight="1" x14ac:dyDescent="0.25">
      <c r="B17754" s="55" t="s">
        <v>282</v>
      </c>
      <c r="C17754" s="46">
        <v>2742</v>
      </c>
      <c r="D17754" s="69" t="s">
        <v>29419</v>
      </c>
      <c r="E17754" s="51"/>
      <c r="F17754" s="114" t="str">
        <f>IF(INDEX(I.Facility.P3IDNumber,2742)="","",INDEX(I.Facility.P3IDNumber,2742))</f>
        <v/>
      </c>
      <c r="G17754" s="51"/>
      <c r="H17754" s="46" t="str">
        <f>IF(AND(I.Developer.P3=TRUE,I.Facility.P3FacilityCount&gt;=2742,F17754=""),"Incomplete","Complete")</f>
        <v>Complete</v>
      </c>
      <c r="I17754" s="48" t="s">
        <v>22119</v>
      </c>
    </row>
    <row r="17755" spans="2:9" ht="15" customHeight="1" x14ac:dyDescent="0.25">
      <c r="B17755" s="55" t="s">
        <v>282</v>
      </c>
      <c r="C17755" s="46">
        <v>2743</v>
      </c>
      <c r="D17755" s="69" t="s">
        <v>29419</v>
      </c>
      <c r="E17755" s="51"/>
      <c r="F17755" s="114" t="str">
        <f>IF(INDEX(I.Facility.P3IDNumber,2743)="","",INDEX(I.Facility.P3IDNumber,2743))</f>
        <v/>
      </c>
      <c r="G17755" s="51"/>
      <c r="H17755" s="46" t="str">
        <f>IF(AND(I.Developer.P3=TRUE,I.Facility.P3FacilityCount&gt;=2743,F17755=""),"Incomplete","Complete")</f>
        <v>Complete</v>
      </c>
      <c r="I17755" s="48" t="s">
        <v>22120</v>
      </c>
    </row>
    <row r="17756" spans="2:9" ht="15" customHeight="1" x14ac:dyDescent="0.25">
      <c r="B17756" s="55" t="s">
        <v>282</v>
      </c>
      <c r="C17756" s="46">
        <v>2744</v>
      </c>
      <c r="D17756" s="69" t="s">
        <v>29419</v>
      </c>
      <c r="E17756" s="51"/>
      <c r="F17756" s="114" t="str">
        <f>IF(INDEX(I.Facility.P3IDNumber,2744)="","",INDEX(I.Facility.P3IDNumber,2744))</f>
        <v/>
      </c>
      <c r="G17756" s="51"/>
      <c r="H17756" s="46" t="str">
        <f>IF(AND(I.Developer.P3=TRUE,I.Facility.P3FacilityCount&gt;=2744,F17756=""),"Incomplete","Complete")</f>
        <v>Complete</v>
      </c>
      <c r="I17756" s="48" t="s">
        <v>22121</v>
      </c>
    </row>
    <row r="17757" spans="2:9" ht="15" customHeight="1" x14ac:dyDescent="0.25">
      <c r="B17757" s="55" t="s">
        <v>282</v>
      </c>
      <c r="C17757" s="46">
        <v>2745</v>
      </c>
      <c r="D17757" s="69" t="s">
        <v>29419</v>
      </c>
      <c r="E17757" s="51"/>
      <c r="F17757" s="114" t="str">
        <f>IF(INDEX(I.Facility.P3IDNumber,2745)="","",INDEX(I.Facility.P3IDNumber,2745))</f>
        <v/>
      </c>
      <c r="G17757" s="51"/>
      <c r="H17757" s="46" t="str">
        <f>IF(AND(I.Developer.P3=TRUE,I.Facility.P3FacilityCount&gt;=2745,F17757=""),"Incomplete","Complete")</f>
        <v>Complete</v>
      </c>
      <c r="I17757" s="48" t="s">
        <v>22122</v>
      </c>
    </row>
    <row r="17758" spans="2:9" ht="15" customHeight="1" x14ac:dyDescent="0.25">
      <c r="B17758" s="55" t="s">
        <v>282</v>
      </c>
      <c r="C17758" s="46">
        <v>2746</v>
      </c>
      <c r="D17758" s="69" t="s">
        <v>29419</v>
      </c>
      <c r="E17758" s="51"/>
      <c r="F17758" s="114" t="str">
        <f>IF(INDEX(I.Facility.P3IDNumber,2746)="","",INDEX(I.Facility.P3IDNumber,2746))</f>
        <v/>
      </c>
      <c r="G17758" s="51"/>
      <c r="H17758" s="46" t="str">
        <f>IF(AND(I.Developer.P3=TRUE,I.Facility.P3FacilityCount&gt;=2746,F17758=""),"Incomplete","Complete")</f>
        <v>Complete</v>
      </c>
      <c r="I17758" s="48" t="s">
        <v>22123</v>
      </c>
    </row>
    <row r="17759" spans="2:9" ht="15" customHeight="1" x14ac:dyDescent="0.25">
      <c r="B17759" s="55" t="s">
        <v>282</v>
      </c>
      <c r="C17759" s="46">
        <v>2747</v>
      </c>
      <c r="D17759" s="69" t="s">
        <v>29419</v>
      </c>
      <c r="E17759" s="51"/>
      <c r="F17759" s="114" t="str">
        <f>IF(INDEX(I.Facility.P3IDNumber,2747)="","",INDEX(I.Facility.P3IDNumber,2747))</f>
        <v/>
      </c>
      <c r="G17759" s="51"/>
      <c r="H17759" s="46" t="str">
        <f>IF(AND(I.Developer.P3=TRUE,I.Facility.P3FacilityCount&gt;=2747,F17759=""),"Incomplete","Complete")</f>
        <v>Complete</v>
      </c>
      <c r="I17759" s="48" t="s">
        <v>22124</v>
      </c>
    </row>
    <row r="17760" spans="2:9" ht="15" customHeight="1" x14ac:dyDescent="0.25">
      <c r="B17760" s="55" t="s">
        <v>282</v>
      </c>
      <c r="C17760" s="46">
        <v>2748</v>
      </c>
      <c r="D17760" s="69" t="s">
        <v>29419</v>
      </c>
      <c r="E17760" s="51"/>
      <c r="F17760" s="114" t="str">
        <f>IF(INDEX(I.Facility.P3IDNumber,2748)="","",INDEX(I.Facility.P3IDNumber,2748))</f>
        <v/>
      </c>
      <c r="G17760" s="51"/>
      <c r="H17760" s="46" t="str">
        <f>IF(AND(I.Developer.P3=TRUE,I.Facility.P3FacilityCount&gt;=2748,F17760=""),"Incomplete","Complete")</f>
        <v>Complete</v>
      </c>
      <c r="I17760" s="48" t="s">
        <v>22125</v>
      </c>
    </row>
    <row r="17761" spans="2:9" ht="15" customHeight="1" x14ac:dyDescent="0.25">
      <c r="B17761" s="55" t="s">
        <v>282</v>
      </c>
      <c r="C17761" s="46">
        <v>2749</v>
      </c>
      <c r="D17761" s="69" t="s">
        <v>29419</v>
      </c>
      <c r="E17761" s="51"/>
      <c r="F17761" s="114" t="str">
        <f>IF(INDEX(I.Facility.P3IDNumber,2749)="","",INDEX(I.Facility.P3IDNumber,2749))</f>
        <v/>
      </c>
      <c r="G17761" s="51"/>
      <c r="H17761" s="46" t="str">
        <f>IF(AND(I.Developer.P3=TRUE,I.Facility.P3FacilityCount&gt;=2749,F17761=""),"Incomplete","Complete")</f>
        <v>Complete</v>
      </c>
      <c r="I17761" s="48" t="s">
        <v>22126</v>
      </c>
    </row>
    <row r="17762" spans="2:9" ht="15" customHeight="1" x14ac:dyDescent="0.25">
      <c r="B17762" s="55" t="s">
        <v>282</v>
      </c>
      <c r="C17762" s="46">
        <v>2750</v>
      </c>
      <c r="D17762" s="69" t="s">
        <v>29419</v>
      </c>
      <c r="E17762" s="51"/>
      <c r="F17762" s="114" t="str">
        <f>IF(INDEX(I.Facility.P3IDNumber,2750)="","",INDEX(I.Facility.P3IDNumber,2750))</f>
        <v/>
      </c>
      <c r="G17762" s="51"/>
      <c r="H17762" s="46" t="str">
        <f>IF(AND(I.Developer.P3=TRUE,I.Facility.P3FacilityCount&gt;=2750,F17762=""),"Incomplete","Complete")</f>
        <v>Complete</v>
      </c>
      <c r="I17762" s="48" t="s">
        <v>22127</v>
      </c>
    </row>
    <row r="17763" spans="2:9" ht="15" customHeight="1" x14ac:dyDescent="0.25">
      <c r="B17763" s="55" t="s">
        <v>282</v>
      </c>
      <c r="C17763" s="46">
        <v>2751</v>
      </c>
      <c r="D17763" s="69" t="s">
        <v>29419</v>
      </c>
      <c r="E17763" s="51"/>
      <c r="F17763" s="114" t="str">
        <f>IF(INDEX(I.Facility.P3IDNumber,2751)="","",INDEX(I.Facility.P3IDNumber,2751))</f>
        <v/>
      </c>
      <c r="G17763" s="51"/>
      <c r="H17763" s="46" t="str">
        <f>IF(AND(I.Developer.P3=TRUE,I.Facility.P3FacilityCount&gt;=2751,F17763=""),"Incomplete","Complete")</f>
        <v>Complete</v>
      </c>
      <c r="I17763" s="48" t="s">
        <v>22128</v>
      </c>
    </row>
    <row r="17764" spans="2:9" ht="15" customHeight="1" x14ac:dyDescent="0.25">
      <c r="B17764" s="55" t="s">
        <v>282</v>
      </c>
      <c r="C17764" s="46">
        <v>2752</v>
      </c>
      <c r="D17764" s="69" t="s">
        <v>29419</v>
      </c>
      <c r="E17764" s="51"/>
      <c r="F17764" s="114" t="str">
        <f>IF(INDEX(I.Facility.P3IDNumber,2752)="","",INDEX(I.Facility.P3IDNumber,2752))</f>
        <v/>
      </c>
      <c r="G17764" s="51"/>
      <c r="H17764" s="46" t="str">
        <f>IF(AND(I.Developer.P3=TRUE,I.Facility.P3FacilityCount&gt;=2752,F17764=""),"Incomplete","Complete")</f>
        <v>Complete</v>
      </c>
      <c r="I17764" s="48" t="s">
        <v>22129</v>
      </c>
    </row>
    <row r="17765" spans="2:9" ht="15" customHeight="1" x14ac:dyDescent="0.25">
      <c r="B17765" s="55" t="s">
        <v>282</v>
      </c>
      <c r="C17765" s="46">
        <v>2753</v>
      </c>
      <c r="D17765" s="69" t="s">
        <v>29419</v>
      </c>
      <c r="E17765" s="51"/>
      <c r="F17765" s="114" t="str">
        <f>IF(INDEX(I.Facility.P3IDNumber,2753)="","",INDEX(I.Facility.P3IDNumber,2753))</f>
        <v/>
      </c>
      <c r="G17765" s="51"/>
      <c r="H17765" s="46" t="str">
        <f>IF(AND(I.Developer.P3=TRUE,I.Facility.P3FacilityCount&gt;=2753,F17765=""),"Incomplete","Complete")</f>
        <v>Complete</v>
      </c>
      <c r="I17765" s="48" t="s">
        <v>22130</v>
      </c>
    </row>
    <row r="17766" spans="2:9" ht="15" customHeight="1" x14ac:dyDescent="0.25">
      <c r="B17766" s="55" t="s">
        <v>282</v>
      </c>
      <c r="C17766" s="46">
        <v>2754</v>
      </c>
      <c r="D17766" s="69" t="s">
        <v>29419</v>
      </c>
      <c r="E17766" s="51"/>
      <c r="F17766" s="114" t="str">
        <f>IF(INDEX(I.Facility.P3IDNumber,2754)="","",INDEX(I.Facility.P3IDNumber,2754))</f>
        <v/>
      </c>
      <c r="G17766" s="51"/>
      <c r="H17766" s="46" t="str">
        <f>IF(AND(I.Developer.P3=TRUE,I.Facility.P3FacilityCount&gt;=2754,F17766=""),"Incomplete","Complete")</f>
        <v>Complete</v>
      </c>
      <c r="I17766" s="48" t="s">
        <v>22131</v>
      </c>
    </row>
    <row r="17767" spans="2:9" ht="15" customHeight="1" x14ac:dyDescent="0.25">
      <c r="B17767" s="55" t="s">
        <v>282</v>
      </c>
      <c r="C17767" s="46">
        <v>2755</v>
      </c>
      <c r="D17767" s="69" t="s">
        <v>29419</v>
      </c>
      <c r="E17767" s="51"/>
      <c r="F17767" s="114" t="str">
        <f>IF(INDEX(I.Facility.P3IDNumber,2755)="","",INDEX(I.Facility.P3IDNumber,2755))</f>
        <v/>
      </c>
      <c r="G17767" s="51"/>
      <c r="H17767" s="46" t="str">
        <f>IF(AND(I.Developer.P3=TRUE,I.Facility.P3FacilityCount&gt;=2755,F17767=""),"Incomplete","Complete")</f>
        <v>Complete</v>
      </c>
      <c r="I17767" s="48" t="s">
        <v>22132</v>
      </c>
    </row>
    <row r="17768" spans="2:9" ht="15" customHeight="1" x14ac:dyDescent="0.25">
      <c r="B17768" s="55" t="s">
        <v>282</v>
      </c>
      <c r="C17768" s="46">
        <v>2756</v>
      </c>
      <c r="D17768" s="69" t="s">
        <v>29419</v>
      </c>
      <c r="E17768" s="51"/>
      <c r="F17768" s="114" t="str">
        <f>IF(INDEX(I.Facility.P3IDNumber,2756)="","",INDEX(I.Facility.P3IDNumber,2756))</f>
        <v/>
      </c>
      <c r="G17768" s="51"/>
      <c r="H17768" s="46" t="str">
        <f>IF(AND(I.Developer.P3=TRUE,I.Facility.P3FacilityCount&gt;=2756,F17768=""),"Incomplete","Complete")</f>
        <v>Complete</v>
      </c>
      <c r="I17768" s="48" t="s">
        <v>22133</v>
      </c>
    </row>
    <row r="17769" spans="2:9" ht="15" customHeight="1" x14ac:dyDescent="0.25">
      <c r="B17769" s="55" t="s">
        <v>282</v>
      </c>
      <c r="C17769" s="46">
        <v>2757</v>
      </c>
      <c r="D17769" s="69" t="s">
        <v>29419</v>
      </c>
      <c r="E17769" s="51"/>
      <c r="F17769" s="114" t="str">
        <f>IF(INDEX(I.Facility.P3IDNumber,2757)="","",INDEX(I.Facility.P3IDNumber,2757))</f>
        <v/>
      </c>
      <c r="G17769" s="51"/>
      <c r="H17769" s="46" t="str">
        <f>IF(AND(I.Developer.P3=TRUE,I.Facility.P3FacilityCount&gt;=2757,F17769=""),"Incomplete","Complete")</f>
        <v>Complete</v>
      </c>
      <c r="I17769" s="48" t="s">
        <v>22134</v>
      </c>
    </row>
    <row r="17770" spans="2:9" ht="15" customHeight="1" x14ac:dyDescent="0.25">
      <c r="B17770" s="55" t="s">
        <v>282</v>
      </c>
      <c r="C17770" s="46">
        <v>2758</v>
      </c>
      <c r="D17770" s="69" t="s">
        <v>29419</v>
      </c>
      <c r="E17770" s="51"/>
      <c r="F17770" s="114" t="str">
        <f>IF(INDEX(I.Facility.P3IDNumber,2758)="","",INDEX(I.Facility.P3IDNumber,2758))</f>
        <v/>
      </c>
      <c r="G17770" s="51"/>
      <c r="H17770" s="46" t="str">
        <f>IF(AND(I.Developer.P3=TRUE,I.Facility.P3FacilityCount&gt;=2758,F17770=""),"Incomplete","Complete")</f>
        <v>Complete</v>
      </c>
      <c r="I17770" s="48" t="s">
        <v>22135</v>
      </c>
    </row>
    <row r="17771" spans="2:9" ht="15" customHeight="1" x14ac:dyDescent="0.25">
      <c r="B17771" s="55" t="s">
        <v>282</v>
      </c>
      <c r="C17771" s="46">
        <v>2759</v>
      </c>
      <c r="D17771" s="69" t="s">
        <v>29419</v>
      </c>
      <c r="E17771" s="51"/>
      <c r="F17771" s="114" t="str">
        <f>IF(INDEX(I.Facility.P3IDNumber,2759)="","",INDEX(I.Facility.P3IDNumber,2759))</f>
        <v/>
      </c>
      <c r="G17771" s="51"/>
      <c r="H17771" s="46" t="str">
        <f>IF(AND(I.Developer.P3=TRUE,I.Facility.P3FacilityCount&gt;=2759,F17771=""),"Incomplete","Complete")</f>
        <v>Complete</v>
      </c>
      <c r="I17771" s="48" t="s">
        <v>22136</v>
      </c>
    </row>
    <row r="17772" spans="2:9" ht="15" customHeight="1" x14ac:dyDescent="0.25">
      <c r="B17772" s="55" t="s">
        <v>282</v>
      </c>
      <c r="C17772" s="46">
        <v>2760</v>
      </c>
      <c r="D17772" s="69" t="s">
        <v>29419</v>
      </c>
      <c r="E17772" s="51"/>
      <c r="F17772" s="114" t="str">
        <f>IF(INDEX(I.Facility.P3IDNumber,2760)="","",INDEX(I.Facility.P3IDNumber,2760))</f>
        <v/>
      </c>
      <c r="G17772" s="51"/>
      <c r="H17772" s="46" t="str">
        <f>IF(AND(I.Developer.P3=TRUE,I.Facility.P3FacilityCount&gt;=2760,F17772=""),"Incomplete","Complete")</f>
        <v>Complete</v>
      </c>
      <c r="I17772" s="48" t="s">
        <v>22137</v>
      </c>
    </row>
    <row r="17773" spans="2:9" ht="15" customHeight="1" x14ac:dyDescent="0.25">
      <c r="B17773" s="55" t="s">
        <v>282</v>
      </c>
      <c r="C17773" s="46">
        <v>2761</v>
      </c>
      <c r="D17773" s="69" t="s">
        <v>29419</v>
      </c>
      <c r="E17773" s="51"/>
      <c r="F17773" s="114" t="str">
        <f>IF(INDEX(I.Facility.P3IDNumber,2761)="","",INDEX(I.Facility.P3IDNumber,2761))</f>
        <v/>
      </c>
      <c r="G17773" s="51"/>
      <c r="H17773" s="46" t="str">
        <f>IF(AND(I.Developer.P3=TRUE,I.Facility.P3FacilityCount&gt;=2761,F17773=""),"Incomplete","Complete")</f>
        <v>Complete</v>
      </c>
      <c r="I17773" s="48" t="s">
        <v>22138</v>
      </c>
    </row>
    <row r="17774" spans="2:9" ht="15" customHeight="1" x14ac:dyDescent="0.25">
      <c r="B17774" s="55" t="s">
        <v>282</v>
      </c>
      <c r="C17774" s="46">
        <v>2762</v>
      </c>
      <c r="D17774" s="69" t="s">
        <v>29419</v>
      </c>
      <c r="E17774" s="51"/>
      <c r="F17774" s="114" t="str">
        <f>IF(INDEX(I.Facility.P3IDNumber,2762)="","",INDEX(I.Facility.P3IDNumber,2762))</f>
        <v/>
      </c>
      <c r="G17774" s="51"/>
      <c r="H17774" s="46" t="str">
        <f>IF(AND(I.Developer.P3=TRUE,I.Facility.P3FacilityCount&gt;=2762,F17774=""),"Incomplete","Complete")</f>
        <v>Complete</v>
      </c>
      <c r="I17774" s="48" t="s">
        <v>22139</v>
      </c>
    </row>
    <row r="17775" spans="2:9" ht="15" customHeight="1" x14ac:dyDescent="0.25">
      <c r="B17775" s="55" t="s">
        <v>282</v>
      </c>
      <c r="C17775" s="46">
        <v>2763</v>
      </c>
      <c r="D17775" s="69" t="s">
        <v>29419</v>
      </c>
      <c r="E17775" s="51"/>
      <c r="F17775" s="114" t="str">
        <f>IF(INDEX(I.Facility.P3IDNumber,2763)="","",INDEX(I.Facility.P3IDNumber,2763))</f>
        <v/>
      </c>
      <c r="G17775" s="51"/>
      <c r="H17775" s="46" t="str">
        <f>IF(AND(I.Developer.P3=TRUE,I.Facility.P3FacilityCount&gt;=2763,F17775=""),"Incomplete","Complete")</f>
        <v>Complete</v>
      </c>
      <c r="I17775" s="48" t="s">
        <v>22140</v>
      </c>
    </row>
    <row r="17776" spans="2:9" ht="15" customHeight="1" x14ac:dyDescent="0.25">
      <c r="B17776" s="55" t="s">
        <v>282</v>
      </c>
      <c r="C17776" s="46">
        <v>2764</v>
      </c>
      <c r="D17776" s="69" t="s">
        <v>29419</v>
      </c>
      <c r="E17776" s="51"/>
      <c r="F17776" s="114" t="str">
        <f>IF(INDEX(I.Facility.P3IDNumber,2764)="","",INDEX(I.Facility.P3IDNumber,2764))</f>
        <v/>
      </c>
      <c r="G17776" s="51"/>
      <c r="H17776" s="46" t="str">
        <f>IF(AND(I.Developer.P3=TRUE,I.Facility.P3FacilityCount&gt;=2764,F17776=""),"Incomplete","Complete")</f>
        <v>Complete</v>
      </c>
      <c r="I17776" s="48" t="s">
        <v>22141</v>
      </c>
    </row>
    <row r="17777" spans="2:9" ht="15" customHeight="1" x14ac:dyDescent="0.25">
      <c r="B17777" s="55" t="s">
        <v>282</v>
      </c>
      <c r="C17777" s="46">
        <v>2765</v>
      </c>
      <c r="D17777" s="69" t="s">
        <v>29419</v>
      </c>
      <c r="E17777" s="51"/>
      <c r="F17777" s="114" t="str">
        <f>IF(INDEX(I.Facility.P3IDNumber,2765)="","",INDEX(I.Facility.P3IDNumber,2765))</f>
        <v/>
      </c>
      <c r="G17777" s="51"/>
      <c r="H17777" s="46" t="str">
        <f>IF(AND(I.Developer.P3=TRUE,I.Facility.P3FacilityCount&gt;=2765,F17777=""),"Incomplete","Complete")</f>
        <v>Complete</v>
      </c>
      <c r="I17777" s="48" t="s">
        <v>22142</v>
      </c>
    </row>
    <row r="17778" spans="2:9" ht="15" customHeight="1" x14ac:dyDescent="0.25">
      <c r="B17778" s="55" t="s">
        <v>282</v>
      </c>
      <c r="C17778" s="46">
        <v>2766</v>
      </c>
      <c r="D17778" s="69" t="s">
        <v>29419</v>
      </c>
      <c r="E17778" s="51"/>
      <c r="F17778" s="114" t="str">
        <f>IF(INDEX(I.Facility.P3IDNumber,2766)="","",INDEX(I.Facility.P3IDNumber,2766))</f>
        <v/>
      </c>
      <c r="G17778" s="51"/>
      <c r="H17778" s="46" t="str">
        <f>IF(AND(I.Developer.P3=TRUE,I.Facility.P3FacilityCount&gt;=2766,F17778=""),"Incomplete","Complete")</f>
        <v>Complete</v>
      </c>
      <c r="I17778" s="48" t="s">
        <v>22143</v>
      </c>
    </row>
    <row r="17779" spans="2:9" ht="15" customHeight="1" x14ac:dyDescent="0.25">
      <c r="B17779" s="55" t="s">
        <v>282</v>
      </c>
      <c r="C17779" s="46">
        <v>2767</v>
      </c>
      <c r="D17779" s="69" t="s">
        <v>29419</v>
      </c>
      <c r="E17779" s="51"/>
      <c r="F17779" s="114" t="str">
        <f>IF(INDEX(I.Facility.P3IDNumber,2767)="","",INDEX(I.Facility.P3IDNumber,2767))</f>
        <v/>
      </c>
      <c r="G17779" s="51"/>
      <c r="H17779" s="46" t="str">
        <f>IF(AND(I.Developer.P3=TRUE,I.Facility.P3FacilityCount&gt;=2767,F17779=""),"Incomplete","Complete")</f>
        <v>Complete</v>
      </c>
      <c r="I17779" s="48" t="s">
        <v>22144</v>
      </c>
    </row>
    <row r="17780" spans="2:9" ht="15" customHeight="1" x14ac:dyDescent="0.25">
      <c r="B17780" s="55" t="s">
        <v>282</v>
      </c>
      <c r="C17780" s="46">
        <v>2768</v>
      </c>
      <c r="D17780" s="69" t="s">
        <v>29419</v>
      </c>
      <c r="E17780" s="51"/>
      <c r="F17780" s="114" t="str">
        <f>IF(INDEX(I.Facility.P3IDNumber,2768)="","",INDEX(I.Facility.P3IDNumber,2768))</f>
        <v/>
      </c>
      <c r="G17780" s="51"/>
      <c r="H17780" s="46" t="str">
        <f>IF(AND(I.Developer.P3=TRUE,I.Facility.P3FacilityCount&gt;=2768,F17780=""),"Incomplete","Complete")</f>
        <v>Complete</v>
      </c>
      <c r="I17780" s="48" t="s">
        <v>22145</v>
      </c>
    </row>
    <row r="17781" spans="2:9" ht="15" customHeight="1" x14ac:dyDescent="0.25">
      <c r="B17781" s="55" t="s">
        <v>282</v>
      </c>
      <c r="C17781" s="46">
        <v>2769</v>
      </c>
      <c r="D17781" s="69" t="s">
        <v>29419</v>
      </c>
      <c r="E17781" s="51"/>
      <c r="F17781" s="114" t="str">
        <f>IF(INDEX(I.Facility.P3IDNumber,2769)="","",INDEX(I.Facility.P3IDNumber,2769))</f>
        <v/>
      </c>
      <c r="G17781" s="51"/>
      <c r="H17781" s="46" t="str">
        <f>IF(AND(I.Developer.P3=TRUE,I.Facility.P3FacilityCount&gt;=2769,F17781=""),"Incomplete","Complete")</f>
        <v>Complete</v>
      </c>
      <c r="I17781" s="48" t="s">
        <v>22146</v>
      </c>
    </row>
    <row r="17782" spans="2:9" ht="15" customHeight="1" x14ac:dyDescent="0.25">
      <c r="B17782" s="55" t="s">
        <v>282</v>
      </c>
      <c r="C17782" s="46">
        <v>2770</v>
      </c>
      <c r="D17782" s="69" t="s">
        <v>29419</v>
      </c>
      <c r="E17782" s="51"/>
      <c r="F17782" s="114" t="str">
        <f>IF(INDEX(I.Facility.P3IDNumber,2770)="","",INDEX(I.Facility.P3IDNumber,2770))</f>
        <v/>
      </c>
      <c r="G17782" s="51"/>
      <c r="H17782" s="46" t="str">
        <f>IF(AND(I.Developer.P3=TRUE,I.Facility.P3FacilityCount&gt;=2770,F17782=""),"Incomplete","Complete")</f>
        <v>Complete</v>
      </c>
      <c r="I17782" s="48" t="s">
        <v>22147</v>
      </c>
    </row>
    <row r="17783" spans="2:9" ht="15" customHeight="1" x14ac:dyDescent="0.25">
      <c r="B17783" s="55" t="s">
        <v>282</v>
      </c>
      <c r="C17783" s="46">
        <v>2771</v>
      </c>
      <c r="D17783" s="69" t="s">
        <v>29419</v>
      </c>
      <c r="E17783" s="51"/>
      <c r="F17783" s="114" t="str">
        <f>IF(INDEX(I.Facility.P3IDNumber,2771)="","",INDEX(I.Facility.P3IDNumber,2771))</f>
        <v/>
      </c>
      <c r="G17783" s="51"/>
      <c r="H17783" s="46" t="str">
        <f>IF(AND(I.Developer.P3=TRUE,I.Facility.P3FacilityCount&gt;=2771,F17783=""),"Incomplete","Complete")</f>
        <v>Complete</v>
      </c>
      <c r="I17783" s="48" t="s">
        <v>22148</v>
      </c>
    </row>
    <row r="17784" spans="2:9" ht="15" customHeight="1" x14ac:dyDescent="0.25">
      <c r="B17784" s="55" t="s">
        <v>282</v>
      </c>
      <c r="C17784" s="46">
        <v>2772</v>
      </c>
      <c r="D17784" s="69" t="s">
        <v>29419</v>
      </c>
      <c r="E17784" s="51"/>
      <c r="F17784" s="114" t="str">
        <f>IF(INDEX(I.Facility.P3IDNumber,2772)="","",INDEX(I.Facility.P3IDNumber,2772))</f>
        <v/>
      </c>
      <c r="G17784" s="51"/>
      <c r="H17784" s="46" t="str">
        <f>IF(AND(I.Developer.P3=TRUE,I.Facility.P3FacilityCount&gt;=2772,F17784=""),"Incomplete","Complete")</f>
        <v>Complete</v>
      </c>
      <c r="I17784" s="48" t="s">
        <v>22149</v>
      </c>
    </row>
    <row r="17785" spans="2:9" ht="15" customHeight="1" x14ac:dyDescent="0.25">
      <c r="B17785" s="55" t="s">
        <v>282</v>
      </c>
      <c r="C17785" s="46">
        <v>2773</v>
      </c>
      <c r="D17785" s="69" t="s">
        <v>29419</v>
      </c>
      <c r="E17785" s="51"/>
      <c r="F17785" s="114" t="str">
        <f>IF(INDEX(I.Facility.P3IDNumber,2773)="","",INDEX(I.Facility.P3IDNumber,2773))</f>
        <v/>
      </c>
      <c r="G17785" s="51"/>
      <c r="H17785" s="46" t="str">
        <f>IF(AND(I.Developer.P3=TRUE,I.Facility.P3FacilityCount&gt;=2773,F17785=""),"Incomplete","Complete")</f>
        <v>Complete</v>
      </c>
      <c r="I17785" s="48" t="s">
        <v>22150</v>
      </c>
    </row>
    <row r="17786" spans="2:9" ht="15" customHeight="1" x14ac:dyDescent="0.25">
      <c r="B17786" s="55" t="s">
        <v>282</v>
      </c>
      <c r="C17786" s="46">
        <v>2774</v>
      </c>
      <c r="D17786" s="69" t="s">
        <v>29419</v>
      </c>
      <c r="E17786" s="51"/>
      <c r="F17786" s="114" t="str">
        <f>IF(INDEX(I.Facility.P3IDNumber,2774)="","",INDEX(I.Facility.P3IDNumber,2774))</f>
        <v/>
      </c>
      <c r="G17786" s="51"/>
      <c r="H17786" s="46" t="str">
        <f>IF(AND(I.Developer.P3=TRUE,I.Facility.P3FacilityCount&gt;=2774,F17786=""),"Incomplete","Complete")</f>
        <v>Complete</v>
      </c>
      <c r="I17786" s="48" t="s">
        <v>22151</v>
      </c>
    </row>
    <row r="17787" spans="2:9" ht="15" customHeight="1" x14ac:dyDescent="0.25">
      <c r="B17787" s="55" t="s">
        <v>282</v>
      </c>
      <c r="C17787" s="46">
        <v>2775</v>
      </c>
      <c r="D17787" s="69" t="s">
        <v>29419</v>
      </c>
      <c r="E17787" s="51"/>
      <c r="F17787" s="114" t="str">
        <f>IF(INDEX(I.Facility.P3IDNumber,2775)="","",INDEX(I.Facility.P3IDNumber,2775))</f>
        <v/>
      </c>
      <c r="G17787" s="51"/>
      <c r="H17787" s="46" t="str">
        <f>IF(AND(I.Developer.P3=TRUE,I.Facility.P3FacilityCount&gt;=2775,F17787=""),"Incomplete","Complete")</f>
        <v>Complete</v>
      </c>
      <c r="I17787" s="48" t="s">
        <v>22152</v>
      </c>
    </row>
    <row r="17788" spans="2:9" ht="15" customHeight="1" x14ac:dyDescent="0.25">
      <c r="B17788" s="55" t="s">
        <v>282</v>
      </c>
      <c r="C17788" s="46">
        <v>2776</v>
      </c>
      <c r="D17788" s="69" t="s">
        <v>29419</v>
      </c>
      <c r="E17788" s="51"/>
      <c r="F17788" s="114" t="str">
        <f>IF(INDEX(I.Facility.P3IDNumber,2776)="","",INDEX(I.Facility.P3IDNumber,2776))</f>
        <v/>
      </c>
      <c r="G17788" s="51"/>
      <c r="H17788" s="46" t="str">
        <f>IF(AND(I.Developer.P3=TRUE,I.Facility.P3FacilityCount&gt;=2776,F17788=""),"Incomplete","Complete")</f>
        <v>Complete</v>
      </c>
      <c r="I17788" s="48" t="s">
        <v>22153</v>
      </c>
    </row>
    <row r="17789" spans="2:9" ht="15" customHeight="1" x14ac:dyDescent="0.25">
      <c r="B17789" s="55" t="s">
        <v>282</v>
      </c>
      <c r="C17789" s="46">
        <v>2777</v>
      </c>
      <c r="D17789" s="69" t="s">
        <v>29419</v>
      </c>
      <c r="E17789" s="51"/>
      <c r="F17789" s="114" t="str">
        <f>IF(INDEX(I.Facility.P3IDNumber,2777)="","",INDEX(I.Facility.P3IDNumber,2777))</f>
        <v/>
      </c>
      <c r="G17789" s="51"/>
      <c r="H17789" s="46" t="str">
        <f>IF(AND(I.Developer.P3=TRUE,I.Facility.P3FacilityCount&gt;=2777,F17789=""),"Incomplete","Complete")</f>
        <v>Complete</v>
      </c>
      <c r="I17789" s="48" t="s">
        <v>22154</v>
      </c>
    </row>
    <row r="17790" spans="2:9" ht="15" customHeight="1" x14ac:dyDescent="0.25">
      <c r="B17790" s="55" t="s">
        <v>282</v>
      </c>
      <c r="C17790" s="46">
        <v>2778</v>
      </c>
      <c r="D17790" s="69" t="s">
        <v>29419</v>
      </c>
      <c r="E17790" s="51"/>
      <c r="F17790" s="114" t="str">
        <f>IF(INDEX(I.Facility.P3IDNumber,2778)="","",INDEX(I.Facility.P3IDNumber,2778))</f>
        <v/>
      </c>
      <c r="G17790" s="51"/>
      <c r="H17790" s="46" t="str">
        <f>IF(AND(I.Developer.P3=TRUE,I.Facility.P3FacilityCount&gt;=2778,F17790=""),"Incomplete","Complete")</f>
        <v>Complete</v>
      </c>
      <c r="I17790" s="48" t="s">
        <v>22155</v>
      </c>
    </row>
    <row r="17791" spans="2:9" ht="15" customHeight="1" x14ac:dyDescent="0.25">
      <c r="B17791" s="55" t="s">
        <v>282</v>
      </c>
      <c r="C17791" s="46">
        <v>2779</v>
      </c>
      <c r="D17791" s="69" t="s">
        <v>29419</v>
      </c>
      <c r="E17791" s="51"/>
      <c r="F17791" s="114" t="str">
        <f>IF(INDEX(I.Facility.P3IDNumber,2779)="","",INDEX(I.Facility.P3IDNumber,2779))</f>
        <v/>
      </c>
      <c r="G17791" s="51"/>
      <c r="H17791" s="46" t="str">
        <f>IF(AND(I.Developer.P3=TRUE,I.Facility.P3FacilityCount&gt;=2779,F17791=""),"Incomplete","Complete")</f>
        <v>Complete</v>
      </c>
      <c r="I17791" s="48" t="s">
        <v>22156</v>
      </c>
    </row>
    <row r="17792" spans="2:9" ht="15" customHeight="1" x14ac:dyDescent="0.25">
      <c r="B17792" s="55" t="s">
        <v>282</v>
      </c>
      <c r="C17792" s="46">
        <v>2780</v>
      </c>
      <c r="D17792" s="69" t="s">
        <v>29419</v>
      </c>
      <c r="E17792" s="51"/>
      <c r="F17792" s="114" t="str">
        <f>IF(INDEX(I.Facility.P3IDNumber,2780)="","",INDEX(I.Facility.P3IDNumber,2780))</f>
        <v/>
      </c>
      <c r="G17792" s="51"/>
      <c r="H17792" s="46" t="str">
        <f>IF(AND(I.Developer.P3=TRUE,I.Facility.P3FacilityCount&gt;=2780,F17792=""),"Incomplete","Complete")</f>
        <v>Complete</v>
      </c>
      <c r="I17792" s="48" t="s">
        <v>22157</v>
      </c>
    </row>
    <row r="17793" spans="2:9" ht="15" customHeight="1" x14ac:dyDescent="0.25">
      <c r="B17793" s="55" t="s">
        <v>282</v>
      </c>
      <c r="C17793" s="46">
        <v>2781</v>
      </c>
      <c r="D17793" s="69" t="s">
        <v>29419</v>
      </c>
      <c r="E17793" s="51"/>
      <c r="F17793" s="114" t="str">
        <f>IF(INDEX(I.Facility.P3IDNumber,2781)="","",INDEX(I.Facility.P3IDNumber,2781))</f>
        <v/>
      </c>
      <c r="G17793" s="51"/>
      <c r="H17793" s="46" t="str">
        <f>IF(AND(I.Developer.P3=TRUE,I.Facility.P3FacilityCount&gt;=2781,F17793=""),"Incomplete","Complete")</f>
        <v>Complete</v>
      </c>
      <c r="I17793" s="48" t="s">
        <v>22158</v>
      </c>
    </row>
    <row r="17794" spans="2:9" ht="15" customHeight="1" x14ac:dyDescent="0.25">
      <c r="B17794" s="55" t="s">
        <v>282</v>
      </c>
      <c r="C17794" s="46">
        <v>2782</v>
      </c>
      <c r="D17794" s="69" t="s">
        <v>29419</v>
      </c>
      <c r="E17794" s="51"/>
      <c r="F17794" s="114" t="str">
        <f>IF(INDEX(I.Facility.P3IDNumber,2782)="","",INDEX(I.Facility.P3IDNumber,2782))</f>
        <v/>
      </c>
      <c r="G17794" s="51"/>
      <c r="H17794" s="46" t="str">
        <f>IF(AND(I.Developer.P3=TRUE,I.Facility.P3FacilityCount&gt;=2782,F17794=""),"Incomplete","Complete")</f>
        <v>Complete</v>
      </c>
      <c r="I17794" s="48" t="s">
        <v>22159</v>
      </c>
    </row>
    <row r="17795" spans="2:9" ht="15" customHeight="1" x14ac:dyDescent="0.25">
      <c r="B17795" s="55" t="s">
        <v>282</v>
      </c>
      <c r="C17795" s="46">
        <v>2783</v>
      </c>
      <c r="D17795" s="69" t="s">
        <v>29419</v>
      </c>
      <c r="E17795" s="51"/>
      <c r="F17795" s="114" t="str">
        <f>IF(INDEX(I.Facility.P3IDNumber,2783)="","",INDEX(I.Facility.P3IDNumber,2783))</f>
        <v/>
      </c>
      <c r="G17795" s="51"/>
      <c r="H17795" s="46" t="str">
        <f>IF(AND(I.Developer.P3=TRUE,I.Facility.P3FacilityCount&gt;=2783,F17795=""),"Incomplete","Complete")</f>
        <v>Complete</v>
      </c>
      <c r="I17795" s="48" t="s">
        <v>22160</v>
      </c>
    </row>
    <row r="17796" spans="2:9" ht="15" customHeight="1" x14ac:dyDescent="0.25">
      <c r="B17796" s="55" t="s">
        <v>282</v>
      </c>
      <c r="C17796" s="46">
        <v>2784</v>
      </c>
      <c r="D17796" s="69" t="s">
        <v>29419</v>
      </c>
      <c r="E17796" s="51"/>
      <c r="F17796" s="114" t="str">
        <f>IF(INDEX(I.Facility.P3IDNumber,2784)="","",INDEX(I.Facility.P3IDNumber,2784))</f>
        <v/>
      </c>
      <c r="G17796" s="51"/>
      <c r="H17796" s="46" t="str">
        <f>IF(AND(I.Developer.P3=TRUE,I.Facility.P3FacilityCount&gt;=2784,F17796=""),"Incomplete","Complete")</f>
        <v>Complete</v>
      </c>
      <c r="I17796" s="48" t="s">
        <v>22161</v>
      </c>
    </row>
    <row r="17797" spans="2:9" ht="15" customHeight="1" x14ac:dyDescent="0.25">
      <c r="B17797" s="55" t="s">
        <v>282</v>
      </c>
      <c r="C17797" s="46">
        <v>2785</v>
      </c>
      <c r="D17797" s="69" t="s">
        <v>29419</v>
      </c>
      <c r="E17797" s="51"/>
      <c r="F17797" s="114" t="str">
        <f>IF(INDEX(I.Facility.P3IDNumber,2785)="","",INDEX(I.Facility.P3IDNumber,2785))</f>
        <v/>
      </c>
      <c r="G17797" s="51"/>
      <c r="H17797" s="46" t="str">
        <f>IF(AND(I.Developer.P3=TRUE,I.Facility.P3FacilityCount&gt;=2785,F17797=""),"Incomplete","Complete")</f>
        <v>Complete</v>
      </c>
      <c r="I17797" s="48" t="s">
        <v>22162</v>
      </c>
    </row>
    <row r="17798" spans="2:9" ht="15" customHeight="1" x14ac:dyDescent="0.25">
      <c r="B17798" s="55" t="s">
        <v>282</v>
      </c>
      <c r="C17798" s="46">
        <v>2786</v>
      </c>
      <c r="D17798" s="69" t="s">
        <v>29419</v>
      </c>
      <c r="E17798" s="51"/>
      <c r="F17798" s="114" t="str">
        <f>IF(INDEX(I.Facility.P3IDNumber,2786)="","",INDEX(I.Facility.P3IDNumber,2786))</f>
        <v/>
      </c>
      <c r="G17798" s="51"/>
      <c r="H17798" s="46" t="str">
        <f>IF(AND(I.Developer.P3=TRUE,I.Facility.P3FacilityCount&gt;=2786,F17798=""),"Incomplete","Complete")</f>
        <v>Complete</v>
      </c>
      <c r="I17798" s="48" t="s">
        <v>22163</v>
      </c>
    </row>
    <row r="17799" spans="2:9" ht="15" customHeight="1" x14ac:dyDescent="0.25">
      <c r="B17799" s="55" t="s">
        <v>282</v>
      </c>
      <c r="C17799" s="46">
        <v>2787</v>
      </c>
      <c r="D17799" s="69" t="s">
        <v>29419</v>
      </c>
      <c r="E17799" s="51"/>
      <c r="F17799" s="114" t="str">
        <f>IF(INDEX(I.Facility.P3IDNumber,2787)="","",INDEX(I.Facility.P3IDNumber,2787))</f>
        <v/>
      </c>
      <c r="G17799" s="51"/>
      <c r="H17799" s="46" t="str">
        <f>IF(AND(I.Developer.P3=TRUE,I.Facility.P3FacilityCount&gt;=2787,F17799=""),"Incomplete","Complete")</f>
        <v>Complete</v>
      </c>
      <c r="I17799" s="48" t="s">
        <v>22164</v>
      </c>
    </row>
    <row r="17800" spans="2:9" ht="15" customHeight="1" x14ac:dyDescent="0.25">
      <c r="B17800" s="55" t="s">
        <v>282</v>
      </c>
      <c r="C17800" s="46">
        <v>2788</v>
      </c>
      <c r="D17800" s="69" t="s">
        <v>29419</v>
      </c>
      <c r="E17800" s="51"/>
      <c r="F17800" s="114" t="str">
        <f>IF(INDEX(I.Facility.P3IDNumber,2788)="","",INDEX(I.Facility.P3IDNumber,2788))</f>
        <v/>
      </c>
      <c r="G17800" s="51"/>
      <c r="H17800" s="46" t="str">
        <f>IF(AND(I.Developer.P3=TRUE,I.Facility.P3FacilityCount&gt;=2788,F17800=""),"Incomplete","Complete")</f>
        <v>Complete</v>
      </c>
      <c r="I17800" s="48" t="s">
        <v>22165</v>
      </c>
    </row>
    <row r="17801" spans="2:9" ht="15" customHeight="1" x14ac:dyDescent="0.25">
      <c r="B17801" s="55" t="s">
        <v>282</v>
      </c>
      <c r="C17801" s="46">
        <v>2789</v>
      </c>
      <c r="D17801" s="69" t="s">
        <v>29419</v>
      </c>
      <c r="E17801" s="51"/>
      <c r="F17801" s="114" t="str">
        <f>IF(INDEX(I.Facility.P3IDNumber,2789)="","",INDEX(I.Facility.P3IDNumber,2789))</f>
        <v/>
      </c>
      <c r="G17801" s="51"/>
      <c r="H17801" s="46" t="str">
        <f>IF(AND(I.Developer.P3=TRUE,I.Facility.P3FacilityCount&gt;=2789,F17801=""),"Incomplete","Complete")</f>
        <v>Complete</v>
      </c>
      <c r="I17801" s="48" t="s">
        <v>22166</v>
      </c>
    </row>
    <row r="17802" spans="2:9" ht="15" customHeight="1" x14ac:dyDescent="0.25">
      <c r="B17802" s="55" t="s">
        <v>282</v>
      </c>
      <c r="C17802" s="46">
        <v>2790</v>
      </c>
      <c r="D17802" s="69" t="s">
        <v>29419</v>
      </c>
      <c r="E17802" s="51"/>
      <c r="F17802" s="114" t="str">
        <f>IF(INDEX(I.Facility.P3IDNumber,2790)="","",INDEX(I.Facility.P3IDNumber,2790))</f>
        <v/>
      </c>
      <c r="G17802" s="51"/>
      <c r="H17802" s="46" t="str">
        <f>IF(AND(I.Developer.P3=TRUE,I.Facility.P3FacilityCount&gt;=2790,F17802=""),"Incomplete","Complete")</f>
        <v>Complete</v>
      </c>
      <c r="I17802" s="48" t="s">
        <v>22167</v>
      </c>
    </row>
    <row r="17803" spans="2:9" ht="15" customHeight="1" x14ac:dyDescent="0.25">
      <c r="B17803" s="55" t="s">
        <v>282</v>
      </c>
      <c r="C17803" s="46">
        <v>2791</v>
      </c>
      <c r="D17803" s="69" t="s">
        <v>29419</v>
      </c>
      <c r="E17803" s="51"/>
      <c r="F17803" s="114" t="str">
        <f>IF(INDEX(I.Facility.P3IDNumber,2791)="","",INDEX(I.Facility.P3IDNumber,2791))</f>
        <v/>
      </c>
      <c r="G17803" s="51"/>
      <c r="H17803" s="46" t="str">
        <f>IF(AND(I.Developer.P3=TRUE,I.Facility.P3FacilityCount&gt;=2791,F17803=""),"Incomplete","Complete")</f>
        <v>Complete</v>
      </c>
      <c r="I17803" s="48" t="s">
        <v>22168</v>
      </c>
    </row>
    <row r="17804" spans="2:9" ht="15" customHeight="1" x14ac:dyDescent="0.25">
      <c r="B17804" s="55" t="s">
        <v>282</v>
      </c>
      <c r="C17804" s="46">
        <v>2792</v>
      </c>
      <c r="D17804" s="69" t="s">
        <v>29419</v>
      </c>
      <c r="E17804" s="51"/>
      <c r="F17804" s="114" t="str">
        <f>IF(INDEX(I.Facility.P3IDNumber,2792)="","",INDEX(I.Facility.P3IDNumber,2792))</f>
        <v/>
      </c>
      <c r="G17804" s="51"/>
      <c r="H17804" s="46" t="str">
        <f>IF(AND(I.Developer.P3=TRUE,I.Facility.P3FacilityCount&gt;=2792,F17804=""),"Incomplete","Complete")</f>
        <v>Complete</v>
      </c>
      <c r="I17804" s="48" t="s">
        <v>22169</v>
      </c>
    </row>
    <row r="17805" spans="2:9" ht="15" customHeight="1" x14ac:dyDescent="0.25">
      <c r="B17805" s="55" t="s">
        <v>282</v>
      </c>
      <c r="C17805" s="46">
        <v>2793</v>
      </c>
      <c r="D17805" s="69" t="s">
        <v>29419</v>
      </c>
      <c r="E17805" s="51"/>
      <c r="F17805" s="114" t="str">
        <f>IF(INDEX(I.Facility.P3IDNumber,2793)="","",INDEX(I.Facility.P3IDNumber,2793))</f>
        <v/>
      </c>
      <c r="G17805" s="51"/>
      <c r="H17805" s="46" t="str">
        <f>IF(AND(I.Developer.P3=TRUE,I.Facility.P3FacilityCount&gt;=2793,F17805=""),"Incomplete","Complete")</f>
        <v>Complete</v>
      </c>
      <c r="I17805" s="48" t="s">
        <v>22170</v>
      </c>
    </row>
    <row r="17806" spans="2:9" ht="15" customHeight="1" x14ac:dyDescent="0.25">
      <c r="B17806" s="55" t="s">
        <v>282</v>
      </c>
      <c r="C17806" s="46">
        <v>2794</v>
      </c>
      <c r="D17806" s="69" t="s">
        <v>29419</v>
      </c>
      <c r="E17806" s="51"/>
      <c r="F17806" s="114" t="str">
        <f>IF(INDEX(I.Facility.P3IDNumber,2794)="","",INDEX(I.Facility.P3IDNumber,2794))</f>
        <v/>
      </c>
      <c r="G17806" s="51"/>
      <c r="H17806" s="46" t="str">
        <f>IF(AND(I.Developer.P3=TRUE,I.Facility.P3FacilityCount&gt;=2794,F17806=""),"Incomplete","Complete")</f>
        <v>Complete</v>
      </c>
      <c r="I17806" s="48" t="s">
        <v>22171</v>
      </c>
    </row>
    <row r="17807" spans="2:9" ht="15" customHeight="1" x14ac:dyDescent="0.25">
      <c r="B17807" s="55" t="s">
        <v>282</v>
      </c>
      <c r="C17807" s="46">
        <v>2795</v>
      </c>
      <c r="D17807" s="69" t="s">
        <v>29419</v>
      </c>
      <c r="E17807" s="51"/>
      <c r="F17807" s="114" t="str">
        <f>IF(INDEX(I.Facility.P3IDNumber,2795)="","",INDEX(I.Facility.P3IDNumber,2795))</f>
        <v/>
      </c>
      <c r="G17807" s="51"/>
      <c r="H17807" s="46" t="str">
        <f>IF(AND(I.Developer.P3=TRUE,I.Facility.P3FacilityCount&gt;=2795,F17807=""),"Incomplete","Complete")</f>
        <v>Complete</v>
      </c>
      <c r="I17807" s="48" t="s">
        <v>22172</v>
      </c>
    </row>
    <row r="17808" spans="2:9" ht="15" customHeight="1" x14ac:dyDescent="0.25">
      <c r="B17808" s="55" t="s">
        <v>282</v>
      </c>
      <c r="C17808" s="46">
        <v>2796</v>
      </c>
      <c r="D17808" s="69" t="s">
        <v>29419</v>
      </c>
      <c r="E17808" s="51"/>
      <c r="F17808" s="114" t="str">
        <f>IF(INDEX(I.Facility.P3IDNumber,2796)="","",INDEX(I.Facility.P3IDNumber,2796))</f>
        <v/>
      </c>
      <c r="G17808" s="51"/>
      <c r="H17808" s="46" t="str">
        <f>IF(AND(I.Developer.P3=TRUE,I.Facility.P3FacilityCount&gt;=2796,F17808=""),"Incomplete","Complete")</f>
        <v>Complete</v>
      </c>
      <c r="I17808" s="48" t="s">
        <v>22173</v>
      </c>
    </row>
    <row r="17809" spans="2:9" ht="15" customHeight="1" x14ac:dyDescent="0.25">
      <c r="B17809" s="55" t="s">
        <v>282</v>
      </c>
      <c r="C17809" s="46">
        <v>2797</v>
      </c>
      <c r="D17809" s="69" t="s">
        <v>29419</v>
      </c>
      <c r="E17809" s="51"/>
      <c r="F17809" s="114" t="str">
        <f>IF(INDEX(I.Facility.P3IDNumber,2797)="","",INDEX(I.Facility.P3IDNumber,2797))</f>
        <v/>
      </c>
      <c r="G17809" s="51"/>
      <c r="H17809" s="46" t="str">
        <f>IF(AND(I.Developer.P3=TRUE,I.Facility.P3FacilityCount&gt;=2797,F17809=""),"Incomplete","Complete")</f>
        <v>Complete</v>
      </c>
      <c r="I17809" s="48" t="s">
        <v>22174</v>
      </c>
    </row>
    <row r="17810" spans="2:9" ht="15" customHeight="1" x14ac:dyDescent="0.25">
      <c r="B17810" s="55" t="s">
        <v>282</v>
      </c>
      <c r="C17810" s="46">
        <v>2798</v>
      </c>
      <c r="D17810" s="69" t="s">
        <v>29419</v>
      </c>
      <c r="E17810" s="51"/>
      <c r="F17810" s="114" t="str">
        <f>IF(INDEX(I.Facility.P3IDNumber,2798)="","",INDEX(I.Facility.P3IDNumber,2798))</f>
        <v/>
      </c>
      <c r="G17810" s="51"/>
      <c r="H17810" s="46" t="str">
        <f>IF(AND(I.Developer.P3=TRUE,I.Facility.P3FacilityCount&gt;=2798,F17810=""),"Incomplete","Complete")</f>
        <v>Complete</v>
      </c>
      <c r="I17810" s="48" t="s">
        <v>22175</v>
      </c>
    </row>
    <row r="17811" spans="2:9" ht="15" customHeight="1" x14ac:dyDescent="0.25">
      <c r="B17811" s="55" t="s">
        <v>282</v>
      </c>
      <c r="C17811" s="46">
        <v>2799</v>
      </c>
      <c r="D17811" s="69" t="s">
        <v>29419</v>
      </c>
      <c r="E17811" s="51"/>
      <c r="F17811" s="114" t="str">
        <f>IF(INDEX(I.Facility.P3IDNumber,2799)="","",INDEX(I.Facility.P3IDNumber,2799))</f>
        <v/>
      </c>
      <c r="G17811" s="51"/>
      <c r="H17811" s="46" t="str">
        <f>IF(AND(I.Developer.P3=TRUE,I.Facility.P3FacilityCount&gt;=2799,F17811=""),"Incomplete","Complete")</f>
        <v>Complete</v>
      </c>
      <c r="I17811" s="48" t="s">
        <v>22176</v>
      </c>
    </row>
    <row r="17812" spans="2:9" ht="15" customHeight="1" x14ac:dyDescent="0.25">
      <c r="B17812" s="55" t="s">
        <v>282</v>
      </c>
      <c r="C17812" s="46">
        <v>2800</v>
      </c>
      <c r="D17812" s="69" t="s">
        <v>29419</v>
      </c>
      <c r="E17812" s="51"/>
      <c r="F17812" s="114" t="str">
        <f>IF(INDEX(I.Facility.P3IDNumber,2800)="","",INDEX(I.Facility.P3IDNumber,2800))</f>
        <v/>
      </c>
      <c r="G17812" s="51"/>
      <c r="H17812" s="46" t="str">
        <f>IF(AND(I.Developer.P3=TRUE,I.Facility.P3FacilityCount&gt;=2800,F17812=""),"Incomplete","Complete")</f>
        <v>Complete</v>
      </c>
      <c r="I17812" s="48" t="s">
        <v>22177</v>
      </c>
    </row>
    <row r="17813" spans="2:9" ht="15" customHeight="1" x14ac:dyDescent="0.25">
      <c r="B17813" s="55" t="s">
        <v>282</v>
      </c>
      <c r="C17813" s="46">
        <v>2801</v>
      </c>
      <c r="D17813" s="69" t="s">
        <v>29419</v>
      </c>
      <c r="E17813" s="51"/>
      <c r="F17813" s="114" t="str">
        <f>IF(INDEX(I.Facility.P3IDNumber,2801)="","",INDEX(I.Facility.P3IDNumber,2801))</f>
        <v/>
      </c>
      <c r="G17813" s="51"/>
      <c r="H17813" s="46" t="str">
        <f>IF(AND(I.Developer.P3=TRUE,I.Facility.P3FacilityCount&gt;=2801,F17813=""),"Incomplete","Complete")</f>
        <v>Complete</v>
      </c>
      <c r="I17813" s="48" t="s">
        <v>22178</v>
      </c>
    </row>
    <row r="17814" spans="2:9" ht="15" customHeight="1" x14ac:dyDescent="0.25">
      <c r="B17814" s="55" t="s">
        <v>282</v>
      </c>
      <c r="C17814" s="46">
        <v>2802</v>
      </c>
      <c r="D17814" s="69" t="s">
        <v>29419</v>
      </c>
      <c r="E17814" s="51"/>
      <c r="F17814" s="114" t="str">
        <f>IF(INDEX(I.Facility.P3IDNumber,2802)="","",INDEX(I.Facility.P3IDNumber,2802))</f>
        <v/>
      </c>
      <c r="G17814" s="51"/>
      <c r="H17814" s="46" t="str">
        <f>IF(AND(I.Developer.P3=TRUE,I.Facility.P3FacilityCount&gt;=2802,F17814=""),"Incomplete","Complete")</f>
        <v>Complete</v>
      </c>
      <c r="I17814" s="48" t="s">
        <v>22179</v>
      </c>
    </row>
    <row r="17815" spans="2:9" ht="15" customHeight="1" x14ac:dyDescent="0.25">
      <c r="B17815" s="55" t="s">
        <v>282</v>
      </c>
      <c r="C17815" s="46">
        <v>2803</v>
      </c>
      <c r="D17815" s="69" t="s">
        <v>29419</v>
      </c>
      <c r="E17815" s="51"/>
      <c r="F17815" s="114" t="str">
        <f>IF(INDEX(I.Facility.P3IDNumber,2803)="","",INDEX(I.Facility.P3IDNumber,2803))</f>
        <v/>
      </c>
      <c r="G17815" s="51"/>
      <c r="H17815" s="46" t="str">
        <f>IF(AND(I.Developer.P3=TRUE,I.Facility.P3FacilityCount&gt;=2803,F17815=""),"Incomplete","Complete")</f>
        <v>Complete</v>
      </c>
      <c r="I17815" s="48" t="s">
        <v>22180</v>
      </c>
    </row>
    <row r="17816" spans="2:9" ht="15" customHeight="1" x14ac:dyDescent="0.25">
      <c r="B17816" s="55" t="s">
        <v>282</v>
      </c>
      <c r="C17816" s="46">
        <v>2804</v>
      </c>
      <c r="D17816" s="69" t="s">
        <v>29419</v>
      </c>
      <c r="E17816" s="51"/>
      <c r="F17816" s="114" t="str">
        <f>IF(INDEX(I.Facility.P3IDNumber,2804)="","",INDEX(I.Facility.P3IDNumber,2804))</f>
        <v/>
      </c>
      <c r="G17816" s="51"/>
      <c r="H17816" s="46" t="str">
        <f>IF(AND(I.Developer.P3=TRUE,I.Facility.P3FacilityCount&gt;=2804,F17816=""),"Incomplete","Complete")</f>
        <v>Complete</v>
      </c>
      <c r="I17816" s="48" t="s">
        <v>22181</v>
      </c>
    </row>
    <row r="17817" spans="2:9" ht="15" customHeight="1" x14ac:dyDescent="0.25">
      <c r="B17817" s="55" t="s">
        <v>282</v>
      </c>
      <c r="C17817" s="46">
        <v>2805</v>
      </c>
      <c r="D17817" s="69" t="s">
        <v>29419</v>
      </c>
      <c r="E17817" s="51"/>
      <c r="F17817" s="114" t="str">
        <f>IF(INDEX(I.Facility.P3IDNumber,2805)="","",INDEX(I.Facility.P3IDNumber,2805))</f>
        <v/>
      </c>
      <c r="G17817" s="51"/>
      <c r="H17817" s="46" t="str">
        <f>IF(AND(I.Developer.P3=TRUE,I.Facility.P3FacilityCount&gt;=2805,F17817=""),"Incomplete","Complete")</f>
        <v>Complete</v>
      </c>
      <c r="I17817" s="48" t="s">
        <v>22182</v>
      </c>
    </row>
    <row r="17818" spans="2:9" ht="15" customHeight="1" x14ac:dyDescent="0.25">
      <c r="B17818" s="55" t="s">
        <v>282</v>
      </c>
      <c r="C17818" s="46">
        <v>2806</v>
      </c>
      <c r="D17818" s="69" t="s">
        <v>29419</v>
      </c>
      <c r="E17818" s="51"/>
      <c r="F17818" s="114" t="str">
        <f>IF(INDEX(I.Facility.P3IDNumber,2806)="","",INDEX(I.Facility.P3IDNumber,2806))</f>
        <v/>
      </c>
      <c r="G17818" s="51"/>
      <c r="H17818" s="46" t="str">
        <f>IF(AND(I.Developer.P3=TRUE,I.Facility.P3FacilityCount&gt;=2806,F17818=""),"Incomplete","Complete")</f>
        <v>Complete</v>
      </c>
      <c r="I17818" s="48" t="s">
        <v>22183</v>
      </c>
    </row>
    <row r="17819" spans="2:9" ht="15" customHeight="1" x14ac:dyDescent="0.25">
      <c r="B17819" s="55" t="s">
        <v>282</v>
      </c>
      <c r="C17819" s="46">
        <v>2807</v>
      </c>
      <c r="D17819" s="69" t="s">
        <v>29419</v>
      </c>
      <c r="E17819" s="51"/>
      <c r="F17819" s="114" t="str">
        <f>IF(INDEX(I.Facility.P3IDNumber,2807)="","",INDEX(I.Facility.P3IDNumber,2807))</f>
        <v/>
      </c>
      <c r="G17819" s="51"/>
      <c r="H17819" s="46" t="str">
        <f>IF(AND(I.Developer.P3=TRUE,I.Facility.P3FacilityCount&gt;=2807,F17819=""),"Incomplete","Complete")</f>
        <v>Complete</v>
      </c>
      <c r="I17819" s="48" t="s">
        <v>22184</v>
      </c>
    </row>
    <row r="17820" spans="2:9" ht="15" customHeight="1" x14ac:dyDescent="0.25">
      <c r="B17820" s="55" t="s">
        <v>282</v>
      </c>
      <c r="C17820" s="46">
        <v>2808</v>
      </c>
      <c r="D17820" s="69" t="s">
        <v>29419</v>
      </c>
      <c r="E17820" s="51"/>
      <c r="F17820" s="114" t="str">
        <f>IF(INDEX(I.Facility.P3IDNumber,2808)="","",INDEX(I.Facility.P3IDNumber,2808))</f>
        <v/>
      </c>
      <c r="G17820" s="51"/>
      <c r="H17820" s="46" t="str">
        <f>IF(AND(I.Developer.P3=TRUE,I.Facility.P3FacilityCount&gt;=2808,F17820=""),"Incomplete","Complete")</f>
        <v>Complete</v>
      </c>
      <c r="I17820" s="48" t="s">
        <v>22185</v>
      </c>
    </row>
    <row r="17821" spans="2:9" ht="15" customHeight="1" x14ac:dyDescent="0.25">
      <c r="B17821" s="55" t="s">
        <v>282</v>
      </c>
      <c r="C17821" s="46">
        <v>2809</v>
      </c>
      <c r="D17821" s="69" t="s">
        <v>29419</v>
      </c>
      <c r="E17821" s="51"/>
      <c r="F17821" s="114" t="str">
        <f>IF(INDEX(I.Facility.P3IDNumber,2809)="","",INDEX(I.Facility.P3IDNumber,2809))</f>
        <v/>
      </c>
      <c r="G17821" s="51"/>
      <c r="H17821" s="46" t="str">
        <f>IF(AND(I.Developer.P3=TRUE,I.Facility.P3FacilityCount&gt;=2809,F17821=""),"Incomplete","Complete")</f>
        <v>Complete</v>
      </c>
      <c r="I17821" s="48" t="s">
        <v>22186</v>
      </c>
    </row>
    <row r="17822" spans="2:9" ht="15" customHeight="1" x14ac:dyDescent="0.25">
      <c r="B17822" s="55" t="s">
        <v>282</v>
      </c>
      <c r="C17822" s="46">
        <v>2810</v>
      </c>
      <c r="D17822" s="69" t="s">
        <v>29419</v>
      </c>
      <c r="E17822" s="51"/>
      <c r="F17822" s="114" t="str">
        <f>IF(INDEX(I.Facility.P3IDNumber,2810)="","",INDEX(I.Facility.P3IDNumber,2810))</f>
        <v/>
      </c>
      <c r="G17822" s="51"/>
      <c r="H17822" s="46" t="str">
        <f>IF(AND(I.Developer.P3=TRUE,I.Facility.P3FacilityCount&gt;=2810,F17822=""),"Incomplete","Complete")</f>
        <v>Complete</v>
      </c>
      <c r="I17822" s="48" t="s">
        <v>22187</v>
      </c>
    </row>
    <row r="17823" spans="2:9" ht="15" customHeight="1" x14ac:dyDescent="0.25">
      <c r="B17823" s="55" t="s">
        <v>282</v>
      </c>
      <c r="C17823" s="46">
        <v>2811</v>
      </c>
      <c r="D17823" s="69" t="s">
        <v>29419</v>
      </c>
      <c r="E17823" s="51"/>
      <c r="F17823" s="114" t="str">
        <f>IF(INDEX(I.Facility.P3IDNumber,2811)="","",INDEX(I.Facility.P3IDNumber,2811))</f>
        <v/>
      </c>
      <c r="G17823" s="51"/>
      <c r="H17823" s="46" t="str">
        <f>IF(AND(I.Developer.P3=TRUE,I.Facility.P3FacilityCount&gt;=2811,F17823=""),"Incomplete","Complete")</f>
        <v>Complete</v>
      </c>
      <c r="I17823" s="48" t="s">
        <v>22188</v>
      </c>
    </row>
    <row r="17824" spans="2:9" ht="15" customHeight="1" x14ac:dyDescent="0.25">
      <c r="B17824" s="55" t="s">
        <v>282</v>
      </c>
      <c r="C17824" s="46">
        <v>2812</v>
      </c>
      <c r="D17824" s="69" t="s">
        <v>29419</v>
      </c>
      <c r="E17824" s="51"/>
      <c r="F17824" s="114" t="str">
        <f>IF(INDEX(I.Facility.P3IDNumber,2812)="","",INDEX(I.Facility.P3IDNumber,2812))</f>
        <v/>
      </c>
      <c r="G17824" s="51"/>
      <c r="H17824" s="46" t="str">
        <f>IF(AND(I.Developer.P3=TRUE,I.Facility.P3FacilityCount&gt;=2812,F17824=""),"Incomplete","Complete")</f>
        <v>Complete</v>
      </c>
      <c r="I17824" s="48" t="s">
        <v>22189</v>
      </c>
    </row>
    <row r="17825" spans="2:9" ht="15" customHeight="1" x14ac:dyDescent="0.25">
      <c r="B17825" s="55" t="s">
        <v>282</v>
      </c>
      <c r="C17825" s="46">
        <v>2813</v>
      </c>
      <c r="D17825" s="69" t="s">
        <v>29419</v>
      </c>
      <c r="E17825" s="51"/>
      <c r="F17825" s="114" t="str">
        <f>IF(INDEX(I.Facility.P3IDNumber,2813)="","",INDEX(I.Facility.P3IDNumber,2813))</f>
        <v/>
      </c>
      <c r="G17825" s="51"/>
      <c r="H17825" s="46" t="str">
        <f>IF(AND(I.Developer.P3=TRUE,I.Facility.P3FacilityCount&gt;=2813,F17825=""),"Incomplete","Complete")</f>
        <v>Complete</v>
      </c>
      <c r="I17825" s="48" t="s">
        <v>22190</v>
      </c>
    </row>
    <row r="17826" spans="2:9" ht="15" customHeight="1" x14ac:dyDescent="0.25">
      <c r="B17826" s="55" t="s">
        <v>282</v>
      </c>
      <c r="C17826" s="46">
        <v>2814</v>
      </c>
      <c r="D17826" s="69" t="s">
        <v>29419</v>
      </c>
      <c r="E17826" s="51"/>
      <c r="F17826" s="114" t="str">
        <f>IF(INDEX(I.Facility.P3IDNumber,2814)="","",INDEX(I.Facility.P3IDNumber,2814))</f>
        <v/>
      </c>
      <c r="G17826" s="51"/>
      <c r="H17826" s="46" t="str">
        <f>IF(AND(I.Developer.P3=TRUE,I.Facility.P3FacilityCount&gt;=2814,F17826=""),"Incomplete","Complete")</f>
        <v>Complete</v>
      </c>
      <c r="I17826" s="48" t="s">
        <v>22191</v>
      </c>
    </row>
    <row r="17827" spans="2:9" ht="15" customHeight="1" x14ac:dyDescent="0.25">
      <c r="B17827" s="55" t="s">
        <v>282</v>
      </c>
      <c r="C17827" s="46">
        <v>2815</v>
      </c>
      <c r="D17827" s="69" t="s">
        <v>29419</v>
      </c>
      <c r="E17827" s="51"/>
      <c r="F17827" s="114" t="str">
        <f>IF(INDEX(I.Facility.P3IDNumber,2815)="","",INDEX(I.Facility.P3IDNumber,2815))</f>
        <v/>
      </c>
      <c r="G17827" s="51"/>
      <c r="H17827" s="46" t="str">
        <f>IF(AND(I.Developer.P3=TRUE,I.Facility.P3FacilityCount&gt;=2815,F17827=""),"Incomplete","Complete")</f>
        <v>Complete</v>
      </c>
      <c r="I17827" s="48" t="s">
        <v>22192</v>
      </c>
    </row>
    <row r="17828" spans="2:9" ht="15" customHeight="1" x14ac:dyDescent="0.25">
      <c r="B17828" s="55" t="s">
        <v>282</v>
      </c>
      <c r="C17828" s="46">
        <v>2816</v>
      </c>
      <c r="D17828" s="69" t="s">
        <v>29419</v>
      </c>
      <c r="E17828" s="51"/>
      <c r="F17828" s="114" t="str">
        <f>IF(INDEX(I.Facility.P3IDNumber,2816)="","",INDEX(I.Facility.P3IDNumber,2816))</f>
        <v/>
      </c>
      <c r="G17828" s="51"/>
      <c r="H17828" s="46" t="str">
        <f>IF(AND(I.Developer.P3=TRUE,I.Facility.P3FacilityCount&gt;=2816,F17828=""),"Incomplete","Complete")</f>
        <v>Complete</v>
      </c>
      <c r="I17828" s="48" t="s">
        <v>22193</v>
      </c>
    </row>
    <row r="17829" spans="2:9" ht="15" customHeight="1" x14ac:dyDescent="0.25">
      <c r="B17829" s="55" t="s">
        <v>282</v>
      </c>
      <c r="C17829" s="46">
        <v>2817</v>
      </c>
      <c r="D17829" s="69" t="s">
        <v>29419</v>
      </c>
      <c r="E17829" s="51"/>
      <c r="F17829" s="114" t="str">
        <f>IF(INDEX(I.Facility.P3IDNumber,2817)="","",INDEX(I.Facility.P3IDNumber,2817))</f>
        <v/>
      </c>
      <c r="G17829" s="51"/>
      <c r="H17829" s="46" t="str">
        <f>IF(AND(I.Developer.P3=TRUE,I.Facility.P3FacilityCount&gt;=2817,F17829=""),"Incomplete","Complete")</f>
        <v>Complete</v>
      </c>
      <c r="I17829" s="48" t="s">
        <v>22194</v>
      </c>
    </row>
    <row r="17830" spans="2:9" ht="15" customHeight="1" x14ac:dyDescent="0.25">
      <c r="B17830" s="55" t="s">
        <v>282</v>
      </c>
      <c r="C17830" s="46">
        <v>2818</v>
      </c>
      <c r="D17830" s="69" t="s">
        <v>29419</v>
      </c>
      <c r="E17830" s="51"/>
      <c r="F17830" s="114" t="str">
        <f>IF(INDEX(I.Facility.P3IDNumber,2818)="","",INDEX(I.Facility.P3IDNumber,2818))</f>
        <v/>
      </c>
      <c r="G17830" s="51"/>
      <c r="H17830" s="46" t="str">
        <f>IF(AND(I.Developer.P3=TRUE,I.Facility.P3FacilityCount&gt;=2818,F17830=""),"Incomplete","Complete")</f>
        <v>Complete</v>
      </c>
      <c r="I17830" s="48" t="s">
        <v>22195</v>
      </c>
    </row>
    <row r="17831" spans="2:9" ht="15" customHeight="1" x14ac:dyDescent="0.25">
      <c r="B17831" s="55" t="s">
        <v>282</v>
      </c>
      <c r="C17831" s="46">
        <v>2819</v>
      </c>
      <c r="D17831" s="69" t="s">
        <v>29419</v>
      </c>
      <c r="E17831" s="51"/>
      <c r="F17831" s="114" t="str">
        <f>IF(INDEX(I.Facility.P3IDNumber,2819)="","",INDEX(I.Facility.P3IDNumber,2819))</f>
        <v/>
      </c>
      <c r="G17831" s="51"/>
      <c r="H17831" s="46" t="str">
        <f>IF(AND(I.Developer.P3=TRUE,I.Facility.P3FacilityCount&gt;=2819,F17831=""),"Incomplete","Complete")</f>
        <v>Complete</v>
      </c>
      <c r="I17831" s="48" t="s">
        <v>22196</v>
      </c>
    </row>
    <row r="17832" spans="2:9" ht="15" customHeight="1" x14ac:dyDescent="0.25">
      <c r="B17832" s="55" t="s">
        <v>282</v>
      </c>
      <c r="C17832" s="46">
        <v>2820</v>
      </c>
      <c r="D17832" s="69" t="s">
        <v>29419</v>
      </c>
      <c r="E17832" s="51"/>
      <c r="F17832" s="114" t="str">
        <f>IF(INDEX(I.Facility.P3IDNumber,2820)="","",INDEX(I.Facility.P3IDNumber,2820))</f>
        <v/>
      </c>
      <c r="G17832" s="51"/>
      <c r="H17832" s="46" t="str">
        <f>IF(AND(I.Developer.P3=TRUE,I.Facility.P3FacilityCount&gt;=2820,F17832=""),"Incomplete","Complete")</f>
        <v>Complete</v>
      </c>
      <c r="I17832" s="48" t="s">
        <v>22197</v>
      </c>
    </row>
    <row r="17833" spans="2:9" ht="15" customHeight="1" x14ac:dyDescent="0.25">
      <c r="B17833" s="55" t="s">
        <v>282</v>
      </c>
      <c r="C17833" s="46">
        <v>2821</v>
      </c>
      <c r="D17833" s="69" t="s">
        <v>29419</v>
      </c>
      <c r="E17833" s="51"/>
      <c r="F17833" s="114" t="str">
        <f>IF(INDEX(I.Facility.P3IDNumber,2821)="","",INDEX(I.Facility.P3IDNumber,2821))</f>
        <v/>
      </c>
      <c r="G17833" s="51"/>
      <c r="H17833" s="46" t="str">
        <f>IF(AND(I.Developer.P3=TRUE,I.Facility.P3FacilityCount&gt;=2821,F17833=""),"Incomplete","Complete")</f>
        <v>Complete</v>
      </c>
      <c r="I17833" s="48" t="s">
        <v>22198</v>
      </c>
    </row>
    <row r="17834" spans="2:9" ht="15" customHeight="1" x14ac:dyDescent="0.25">
      <c r="B17834" s="55" t="s">
        <v>282</v>
      </c>
      <c r="C17834" s="46">
        <v>2822</v>
      </c>
      <c r="D17834" s="69" t="s">
        <v>29419</v>
      </c>
      <c r="E17834" s="51"/>
      <c r="F17834" s="114" t="str">
        <f>IF(INDEX(I.Facility.P3IDNumber,2822)="","",INDEX(I.Facility.P3IDNumber,2822))</f>
        <v/>
      </c>
      <c r="G17834" s="51"/>
      <c r="H17834" s="46" t="str">
        <f>IF(AND(I.Developer.P3=TRUE,I.Facility.P3FacilityCount&gt;=2822,F17834=""),"Incomplete","Complete")</f>
        <v>Complete</v>
      </c>
      <c r="I17834" s="48" t="s">
        <v>22199</v>
      </c>
    </row>
    <row r="17835" spans="2:9" ht="15" customHeight="1" x14ac:dyDescent="0.25">
      <c r="B17835" s="55" t="s">
        <v>282</v>
      </c>
      <c r="C17835" s="46">
        <v>2823</v>
      </c>
      <c r="D17835" s="69" t="s">
        <v>29419</v>
      </c>
      <c r="E17835" s="51"/>
      <c r="F17835" s="114" t="str">
        <f>IF(INDEX(I.Facility.P3IDNumber,2823)="","",INDEX(I.Facility.P3IDNumber,2823))</f>
        <v/>
      </c>
      <c r="G17835" s="51"/>
      <c r="H17835" s="46" t="str">
        <f>IF(AND(I.Developer.P3=TRUE,I.Facility.P3FacilityCount&gt;=2823,F17835=""),"Incomplete","Complete")</f>
        <v>Complete</v>
      </c>
      <c r="I17835" s="48" t="s">
        <v>22200</v>
      </c>
    </row>
    <row r="17836" spans="2:9" ht="15" customHeight="1" x14ac:dyDescent="0.25">
      <c r="B17836" s="55" t="s">
        <v>282</v>
      </c>
      <c r="C17836" s="46">
        <v>2824</v>
      </c>
      <c r="D17836" s="69" t="s">
        <v>29419</v>
      </c>
      <c r="E17836" s="51"/>
      <c r="F17836" s="114" t="str">
        <f>IF(INDEX(I.Facility.P3IDNumber,2824)="","",INDEX(I.Facility.P3IDNumber,2824))</f>
        <v/>
      </c>
      <c r="G17836" s="51"/>
      <c r="H17836" s="46" t="str">
        <f>IF(AND(I.Developer.P3=TRUE,I.Facility.P3FacilityCount&gt;=2824,F17836=""),"Incomplete","Complete")</f>
        <v>Complete</v>
      </c>
      <c r="I17836" s="48" t="s">
        <v>22201</v>
      </c>
    </row>
    <row r="17837" spans="2:9" ht="15" customHeight="1" x14ac:dyDescent="0.25">
      <c r="B17837" s="55" t="s">
        <v>282</v>
      </c>
      <c r="C17837" s="46">
        <v>2825</v>
      </c>
      <c r="D17837" s="69" t="s">
        <v>29419</v>
      </c>
      <c r="E17837" s="51"/>
      <c r="F17837" s="114" t="str">
        <f>IF(INDEX(I.Facility.P3IDNumber,2825)="","",INDEX(I.Facility.P3IDNumber,2825))</f>
        <v/>
      </c>
      <c r="G17837" s="51"/>
      <c r="H17837" s="46" t="str">
        <f>IF(AND(I.Developer.P3=TRUE,I.Facility.P3FacilityCount&gt;=2825,F17837=""),"Incomplete","Complete")</f>
        <v>Complete</v>
      </c>
      <c r="I17837" s="48" t="s">
        <v>22202</v>
      </c>
    </row>
    <row r="17838" spans="2:9" ht="15" customHeight="1" x14ac:dyDescent="0.25">
      <c r="B17838" s="55" t="s">
        <v>282</v>
      </c>
      <c r="C17838" s="46">
        <v>2826</v>
      </c>
      <c r="D17838" s="69" t="s">
        <v>29419</v>
      </c>
      <c r="E17838" s="51"/>
      <c r="F17838" s="114" t="str">
        <f>IF(INDEX(I.Facility.P3IDNumber,2826)="","",INDEX(I.Facility.P3IDNumber,2826))</f>
        <v/>
      </c>
      <c r="G17838" s="51"/>
      <c r="H17838" s="46" t="str">
        <f>IF(AND(I.Developer.P3=TRUE,I.Facility.P3FacilityCount&gt;=2826,F17838=""),"Incomplete","Complete")</f>
        <v>Complete</v>
      </c>
      <c r="I17838" s="48" t="s">
        <v>22203</v>
      </c>
    </row>
    <row r="17839" spans="2:9" ht="15" customHeight="1" x14ac:dyDescent="0.25">
      <c r="B17839" s="55" t="s">
        <v>282</v>
      </c>
      <c r="C17839" s="46">
        <v>2827</v>
      </c>
      <c r="D17839" s="69" t="s">
        <v>29419</v>
      </c>
      <c r="E17839" s="51"/>
      <c r="F17839" s="114" t="str">
        <f>IF(INDEX(I.Facility.P3IDNumber,2827)="","",INDEX(I.Facility.P3IDNumber,2827))</f>
        <v/>
      </c>
      <c r="G17839" s="51"/>
      <c r="H17839" s="46" t="str">
        <f>IF(AND(I.Developer.P3=TRUE,I.Facility.P3FacilityCount&gt;=2827,F17839=""),"Incomplete","Complete")</f>
        <v>Complete</v>
      </c>
      <c r="I17839" s="48" t="s">
        <v>22204</v>
      </c>
    </row>
    <row r="17840" spans="2:9" ht="15" customHeight="1" x14ac:dyDescent="0.25">
      <c r="B17840" s="55" t="s">
        <v>282</v>
      </c>
      <c r="C17840" s="46">
        <v>2828</v>
      </c>
      <c r="D17840" s="69" t="s">
        <v>29419</v>
      </c>
      <c r="E17840" s="51"/>
      <c r="F17840" s="114" t="str">
        <f>IF(INDEX(I.Facility.P3IDNumber,2828)="","",INDEX(I.Facility.P3IDNumber,2828))</f>
        <v/>
      </c>
      <c r="G17840" s="51"/>
      <c r="H17840" s="46" t="str">
        <f>IF(AND(I.Developer.P3=TRUE,I.Facility.P3FacilityCount&gt;=2828,F17840=""),"Incomplete","Complete")</f>
        <v>Complete</v>
      </c>
      <c r="I17840" s="48" t="s">
        <v>22205</v>
      </c>
    </row>
    <row r="17841" spans="2:9" ht="15" customHeight="1" x14ac:dyDescent="0.25">
      <c r="B17841" s="55" t="s">
        <v>282</v>
      </c>
      <c r="C17841" s="46">
        <v>2829</v>
      </c>
      <c r="D17841" s="69" t="s">
        <v>29419</v>
      </c>
      <c r="E17841" s="51"/>
      <c r="F17841" s="114" t="str">
        <f>IF(INDEX(I.Facility.P3IDNumber,2829)="","",INDEX(I.Facility.P3IDNumber,2829))</f>
        <v/>
      </c>
      <c r="G17841" s="51"/>
      <c r="H17841" s="46" t="str">
        <f>IF(AND(I.Developer.P3=TRUE,I.Facility.P3FacilityCount&gt;=2829,F17841=""),"Incomplete","Complete")</f>
        <v>Complete</v>
      </c>
      <c r="I17841" s="48" t="s">
        <v>22206</v>
      </c>
    </row>
    <row r="17842" spans="2:9" ht="15" customHeight="1" x14ac:dyDescent="0.25">
      <c r="B17842" s="55" t="s">
        <v>282</v>
      </c>
      <c r="C17842" s="46">
        <v>2830</v>
      </c>
      <c r="D17842" s="69" t="s">
        <v>29419</v>
      </c>
      <c r="E17842" s="51"/>
      <c r="F17842" s="114" t="str">
        <f>IF(INDEX(I.Facility.P3IDNumber,2830)="","",INDEX(I.Facility.P3IDNumber,2830))</f>
        <v/>
      </c>
      <c r="G17842" s="51"/>
      <c r="H17842" s="46" t="str">
        <f>IF(AND(I.Developer.P3=TRUE,I.Facility.P3FacilityCount&gt;=2830,F17842=""),"Incomplete","Complete")</f>
        <v>Complete</v>
      </c>
      <c r="I17842" s="48" t="s">
        <v>22207</v>
      </c>
    </row>
    <row r="17843" spans="2:9" ht="15" customHeight="1" x14ac:dyDescent="0.25">
      <c r="B17843" s="55" t="s">
        <v>282</v>
      </c>
      <c r="C17843" s="46">
        <v>2831</v>
      </c>
      <c r="D17843" s="69" t="s">
        <v>29419</v>
      </c>
      <c r="E17843" s="51"/>
      <c r="F17843" s="114" t="str">
        <f>IF(INDEX(I.Facility.P3IDNumber,2831)="","",INDEX(I.Facility.P3IDNumber,2831))</f>
        <v/>
      </c>
      <c r="G17843" s="51"/>
      <c r="H17843" s="46" t="str">
        <f>IF(AND(I.Developer.P3=TRUE,I.Facility.P3FacilityCount&gt;=2831,F17843=""),"Incomplete","Complete")</f>
        <v>Complete</v>
      </c>
      <c r="I17843" s="48" t="s">
        <v>22208</v>
      </c>
    </row>
    <row r="17844" spans="2:9" ht="15" customHeight="1" x14ac:dyDescent="0.25">
      <c r="B17844" s="55" t="s">
        <v>282</v>
      </c>
      <c r="C17844" s="46">
        <v>2832</v>
      </c>
      <c r="D17844" s="69" t="s">
        <v>29419</v>
      </c>
      <c r="E17844" s="51"/>
      <c r="F17844" s="114" t="str">
        <f>IF(INDEX(I.Facility.P3IDNumber,2832)="","",INDEX(I.Facility.P3IDNumber,2832))</f>
        <v/>
      </c>
      <c r="G17844" s="51"/>
      <c r="H17844" s="46" t="str">
        <f>IF(AND(I.Developer.P3=TRUE,I.Facility.P3FacilityCount&gt;=2832,F17844=""),"Incomplete","Complete")</f>
        <v>Complete</v>
      </c>
      <c r="I17844" s="48" t="s">
        <v>22209</v>
      </c>
    </row>
    <row r="17845" spans="2:9" ht="15" customHeight="1" x14ac:dyDescent="0.25">
      <c r="B17845" s="55" t="s">
        <v>282</v>
      </c>
      <c r="C17845" s="46">
        <v>2833</v>
      </c>
      <c r="D17845" s="69" t="s">
        <v>29419</v>
      </c>
      <c r="E17845" s="51"/>
      <c r="F17845" s="114" t="str">
        <f>IF(INDEX(I.Facility.P3IDNumber,2833)="","",INDEX(I.Facility.P3IDNumber,2833))</f>
        <v/>
      </c>
      <c r="G17845" s="51"/>
      <c r="H17845" s="46" t="str">
        <f>IF(AND(I.Developer.P3=TRUE,I.Facility.P3FacilityCount&gt;=2833,F17845=""),"Incomplete","Complete")</f>
        <v>Complete</v>
      </c>
      <c r="I17845" s="48" t="s">
        <v>22210</v>
      </c>
    </row>
    <row r="17846" spans="2:9" ht="15" customHeight="1" x14ac:dyDescent="0.25">
      <c r="B17846" s="55" t="s">
        <v>282</v>
      </c>
      <c r="C17846" s="46">
        <v>2834</v>
      </c>
      <c r="D17846" s="69" t="s">
        <v>29419</v>
      </c>
      <c r="E17846" s="51"/>
      <c r="F17846" s="114" t="str">
        <f>IF(INDEX(I.Facility.P3IDNumber,2834)="","",INDEX(I.Facility.P3IDNumber,2834))</f>
        <v/>
      </c>
      <c r="G17846" s="51"/>
      <c r="H17846" s="46" t="str">
        <f>IF(AND(I.Developer.P3=TRUE,I.Facility.P3FacilityCount&gt;=2834,F17846=""),"Incomplete","Complete")</f>
        <v>Complete</v>
      </c>
      <c r="I17846" s="48" t="s">
        <v>22211</v>
      </c>
    </row>
    <row r="17847" spans="2:9" ht="15" customHeight="1" x14ac:dyDescent="0.25">
      <c r="B17847" s="55" t="s">
        <v>282</v>
      </c>
      <c r="C17847" s="46">
        <v>2835</v>
      </c>
      <c r="D17847" s="69" t="s">
        <v>29419</v>
      </c>
      <c r="E17847" s="51"/>
      <c r="F17847" s="114" t="str">
        <f>IF(INDEX(I.Facility.P3IDNumber,2835)="","",INDEX(I.Facility.P3IDNumber,2835))</f>
        <v/>
      </c>
      <c r="G17847" s="51"/>
      <c r="H17847" s="46" t="str">
        <f>IF(AND(I.Developer.P3=TRUE,I.Facility.P3FacilityCount&gt;=2835,F17847=""),"Incomplete","Complete")</f>
        <v>Complete</v>
      </c>
      <c r="I17847" s="48" t="s">
        <v>22212</v>
      </c>
    </row>
    <row r="17848" spans="2:9" ht="15" customHeight="1" x14ac:dyDescent="0.25">
      <c r="B17848" s="55" t="s">
        <v>282</v>
      </c>
      <c r="C17848" s="46">
        <v>2836</v>
      </c>
      <c r="D17848" s="69" t="s">
        <v>29419</v>
      </c>
      <c r="E17848" s="51"/>
      <c r="F17848" s="114" t="str">
        <f>IF(INDEX(I.Facility.P3IDNumber,2836)="","",INDEX(I.Facility.P3IDNumber,2836))</f>
        <v/>
      </c>
      <c r="G17848" s="51"/>
      <c r="H17848" s="46" t="str">
        <f>IF(AND(I.Developer.P3=TRUE,I.Facility.P3FacilityCount&gt;=2836,F17848=""),"Incomplete","Complete")</f>
        <v>Complete</v>
      </c>
      <c r="I17848" s="48" t="s">
        <v>22213</v>
      </c>
    </row>
    <row r="17849" spans="2:9" ht="15" customHeight="1" x14ac:dyDescent="0.25">
      <c r="B17849" s="55" t="s">
        <v>282</v>
      </c>
      <c r="C17849" s="46">
        <v>2837</v>
      </c>
      <c r="D17849" s="69" t="s">
        <v>29419</v>
      </c>
      <c r="E17849" s="51"/>
      <c r="F17849" s="114" t="str">
        <f>IF(INDEX(I.Facility.P3IDNumber,2837)="","",INDEX(I.Facility.P3IDNumber,2837))</f>
        <v/>
      </c>
      <c r="G17849" s="51"/>
      <c r="H17849" s="46" t="str">
        <f>IF(AND(I.Developer.P3=TRUE,I.Facility.P3FacilityCount&gt;=2837,F17849=""),"Incomplete","Complete")</f>
        <v>Complete</v>
      </c>
      <c r="I17849" s="48" t="s">
        <v>22214</v>
      </c>
    </row>
    <row r="17850" spans="2:9" ht="15" customHeight="1" x14ac:dyDescent="0.25">
      <c r="B17850" s="55" t="s">
        <v>282</v>
      </c>
      <c r="C17850" s="46">
        <v>2838</v>
      </c>
      <c r="D17850" s="69" t="s">
        <v>29419</v>
      </c>
      <c r="E17850" s="51"/>
      <c r="F17850" s="114" t="str">
        <f>IF(INDEX(I.Facility.P3IDNumber,2838)="","",INDEX(I.Facility.P3IDNumber,2838))</f>
        <v/>
      </c>
      <c r="G17850" s="51"/>
      <c r="H17850" s="46" t="str">
        <f>IF(AND(I.Developer.P3=TRUE,I.Facility.P3FacilityCount&gt;=2838,F17850=""),"Incomplete","Complete")</f>
        <v>Complete</v>
      </c>
      <c r="I17850" s="48" t="s">
        <v>22215</v>
      </c>
    </row>
    <row r="17851" spans="2:9" ht="15" customHeight="1" x14ac:dyDescent="0.25">
      <c r="B17851" s="55" t="s">
        <v>282</v>
      </c>
      <c r="C17851" s="46">
        <v>2839</v>
      </c>
      <c r="D17851" s="69" t="s">
        <v>29419</v>
      </c>
      <c r="E17851" s="51"/>
      <c r="F17851" s="114" t="str">
        <f>IF(INDEX(I.Facility.P3IDNumber,2839)="","",INDEX(I.Facility.P3IDNumber,2839))</f>
        <v/>
      </c>
      <c r="G17851" s="51"/>
      <c r="H17851" s="46" t="str">
        <f>IF(AND(I.Developer.P3=TRUE,I.Facility.P3FacilityCount&gt;=2839,F17851=""),"Incomplete","Complete")</f>
        <v>Complete</v>
      </c>
      <c r="I17851" s="48" t="s">
        <v>22216</v>
      </c>
    </row>
    <row r="17852" spans="2:9" ht="15" customHeight="1" x14ac:dyDescent="0.25">
      <c r="B17852" s="55" t="s">
        <v>282</v>
      </c>
      <c r="C17852" s="46">
        <v>2840</v>
      </c>
      <c r="D17852" s="69" t="s">
        <v>29419</v>
      </c>
      <c r="E17852" s="51"/>
      <c r="F17852" s="114" t="str">
        <f>IF(INDEX(I.Facility.P3IDNumber,2840)="","",INDEX(I.Facility.P3IDNumber,2840))</f>
        <v/>
      </c>
      <c r="G17852" s="51"/>
      <c r="H17852" s="46" t="str">
        <f>IF(AND(I.Developer.P3=TRUE,I.Facility.P3FacilityCount&gt;=2840,F17852=""),"Incomplete","Complete")</f>
        <v>Complete</v>
      </c>
      <c r="I17852" s="48" t="s">
        <v>22217</v>
      </c>
    </row>
    <row r="17853" spans="2:9" ht="15" customHeight="1" x14ac:dyDescent="0.25">
      <c r="B17853" s="55" t="s">
        <v>282</v>
      </c>
      <c r="C17853" s="46">
        <v>2841</v>
      </c>
      <c r="D17853" s="69" t="s">
        <v>29419</v>
      </c>
      <c r="E17853" s="51"/>
      <c r="F17853" s="114" t="str">
        <f>IF(INDEX(I.Facility.P3IDNumber,2841)="","",INDEX(I.Facility.P3IDNumber,2841))</f>
        <v/>
      </c>
      <c r="G17853" s="51"/>
      <c r="H17853" s="46" t="str">
        <f>IF(AND(I.Developer.P3=TRUE,I.Facility.P3FacilityCount&gt;=2841,F17853=""),"Incomplete","Complete")</f>
        <v>Complete</v>
      </c>
      <c r="I17853" s="48" t="s">
        <v>22218</v>
      </c>
    </row>
    <row r="17854" spans="2:9" ht="15" customHeight="1" x14ac:dyDescent="0.25">
      <c r="B17854" s="55" t="s">
        <v>282</v>
      </c>
      <c r="C17854" s="46">
        <v>2842</v>
      </c>
      <c r="D17854" s="69" t="s">
        <v>29419</v>
      </c>
      <c r="E17854" s="51"/>
      <c r="F17854" s="114" t="str">
        <f>IF(INDEX(I.Facility.P3IDNumber,2842)="","",INDEX(I.Facility.P3IDNumber,2842))</f>
        <v/>
      </c>
      <c r="G17854" s="51"/>
      <c r="H17854" s="46" t="str">
        <f>IF(AND(I.Developer.P3=TRUE,I.Facility.P3FacilityCount&gt;=2842,F17854=""),"Incomplete","Complete")</f>
        <v>Complete</v>
      </c>
      <c r="I17854" s="48" t="s">
        <v>22219</v>
      </c>
    </row>
    <row r="17855" spans="2:9" ht="15" customHeight="1" x14ac:dyDescent="0.25">
      <c r="B17855" s="55" t="s">
        <v>282</v>
      </c>
      <c r="C17855" s="46">
        <v>2843</v>
      </c>
      <c r="D17855" s="69" t="s">
        <v>29419</v>
      </c>
      <c r="E17855" s="51"/>
      <c r="F17855" s="114" t="str">
        <f>IF(INDEX(I.Facility.P3IDNumber,2843)="","",INDEX(I.Facility.P3IDNumber,2843))</f>
        <v/>
      </c>
      <c r="G17855" s="51"/>
      <c r="H17855" s="46" t="str">
        <f>IF(AND(I.Developer.P3=TRUE,I.Facility.P3FacilityCount&gt;=2843,F17855=""),"Incomplete","Complete")</f>
        <v>Complete</v>
      </c>
      <c r="I17855" s="48" t="s">
        <v>22220</v>
      </c>
    </row>
    <row r="17856" spans="2:9" ht="15" customHeight="1" x14ac:dyDescent="0.25">
      <c r="B17856" s="55" t="s">
        <v>282</v>
      </c>
      <c r="C17856" s="46">
        <v>2844</v>
      </c>
      <c r="D17856" s="69" t="s">
        <v>29419</v>
      </c>
      <c r="E17856" s="51"/>
      <c r="F17856" s="114" t="str">
        <f>IF(INDEX(I.Facility.P3IDNumber,2844)="","",INDEX(I.Facility.P3IDNumber,2844))</f>
        <v/>
      </c>
      <c r="G17856" s="51"/>
      <c r="H17856" s="46" t="str">
        <f>IF(AND(I.Developer.P3=TRUE,I.Facility.P3FacilityCount&gt;=2844,F17856=""),"Incomplete","Complete")</f>
        <v>Complete</v>
      </c>
      <c r="I17856" s="48" t="s">
        <v>22221</v>
      </c>
    </row>
    <row r="17857" spans="2:9" ht="15" customHeight="1" x14ac:dyDescent="0.25">
      <c r="B17857" s="55" t="s">
        <v>282</v>
      </c>
      <c r="C17857" s="46">
        <v>2845</v>
      </c>
      <c r="D17857" s="69" t="s">
        <v>29419</v>
      </c>
      <c r="E17857" s="51"/>
      <c r="F17857" s="114" t="str">
        <f>IF(INDEX(I.Facility.P3IDNumber,2845)="","",INDEX(I.Facility.P3IDNumber,2845))</f>
        <v/>
      </c>
      <c r="G17857" s="51"/>
      <c r="H17857" s="46" t="str">
        <f>IF(AND(I.Developer.P3=TRUE,I.Facility.P3FacilityCount&gt;=2845,F17857=""),"Incomplete","Complete")</f>
        <v>Complete</v>
      </c>
      <c r="I17857" s="48" t="s">
        <v>22222</v>
      </c>
    </row>
    <row r="17858" spans="2:9" ht="15" customHeight="1" x14ac:dyDescent="0.25">
      <c r="B17858" s="55" t="s">
        <v>282</v>
      </c>
      <c r="C17858" s="46">
        <v>2846</v>
      </c>
      <c r="D17858" s="69" t="s">
        <v>29419</v>
      </c>
      <c r="E17858" s="51"/>
      <c r="F17858" s="114" t="str">
        <f>IF(INDEX(I.Facility.P3IDNumber,2846)="","",INDEX(I.Facility.P3IDNumber,2846))</f>
        <v/>
      </c>
      <c r="G17858" s="51"/>
      <c r="H17858" s="46" t="str">
        <f>IF(AND(I.Developer.P3=TRUE,I.Facility.P3FacilityCount&gt;=2846,F17858=""),"Incomplete","Complete")</f>
        <v>Complete</v>
      </c>
      <c r="I17858" s="48" t="s">
        <v>22223</v>
      </c>
    </row>
    <row r="17859" spans="2:9" ht="15" customHeight="1" x14ac:dyDescent="0.25">
      <c r="B17859" s="55" t="s">
        <v>282</v>
      </c>
      <c r="C17859" s="46">
        <v>2847</v>
      </c>
      <c r="D17859" s="69" t="s">
        <v>29419</v>
      </c>
      <c r="E17859" s="51"/>
      <c r="F17859" s="114" t="str">
        <f>IF(INDEX(I.Facility.P3IDNumber,2847)="","",INDEX(I.Facility.P3IDNumber,2847))</f>
        <v/>
      </c>
      <c r="G17859" s="51"/>
      <c r="H17859" s="46" t="str">
        <f>IF(AND(I.Developer.P3=TRUE,I.Facility.P3FacilityCount&gt;=2847,F17859=""),"Incomplete","Complete")</f>
        <v>Complete</v>
      </c>
      <c r="I17859" s="48" t="s">
        <v>22224</v>
      </c>
    </row>
    <row r="17860" spans="2:9" ht="15" customHeight="1" x14ac:dyDescent="0.25">
      <c r="B17860" s="55" t="s">
        <v>282</v>
      </c>
      <c r="C17860" s="46">
        <v>2848</v>
      </c>
      <c r="D17860" s="69" t="s">
        <v>29419</v>
      </c>
      <c r="E17860" s="51"/>
      <c r="F17860" s="114" t="str">
        <f>IF(INDEX(I.Facility.P3IDNumber,2848)="","",INDEX(I.Facility.P3IDNumber,2848))</f>
        <v/>
      </c>
      <c r="G17860" s="51"/>
      <c r="H17860" s="46" t="str">
        <f>IF(AND(I.Developer.P3=TRUE,I.Facility.P3FacilityCount&gt;=2848,F17860=""),"Incomplete","Complete")</f>
        <v>Complete</v>
      </c>
      <c r="I17860" s="48" t="s">
        <v>22225</v>
      </c>
    </row>
    <row r="17861" spans="2:9" ht="15" customHeight="1" x14ac:dyDescent="0.25">
      <c r="B17861" s="55" t="s">
        <v>282</v>
      </c>
      <c r="C17861" s="46">
        <v>2849</v>
      </c>
      <c r="D17861" s="69" t="s">
        <v>29419</v>
      </c>
      <c r="E17861" s="51"/>
      <c r="F17861" s="114" t="str">
        <f>IF(INDEX(I.Facility.P3IDNumber,2849)="","",INDEX(I.Facility.P3IDNumber,2849))</f>
        <v/>
      </c>
      <c r="G17861" s="51"/>
      <c r="H17861" s="46" t="str">
        <f>IF(AND(I.Developer.P3=TRUE,I.Facility.P3FacilityCount&gt;=2849,F17861=""),"Incomplete","Complete")</f>
        <v>Complete</v>
      </c>
      <c r="I17861" s="48" t="s">
        <v>22226</v>
      </c>
    </row>
    <row r="17862" spans="2:9" ht="15" customHeight="1" x14ac:dyDescent="0.25">
      <c r="B17862" s="55" t="s">
        <v>282</v>
      </c>
      <c r="C17862" s="46">
        <v>2850</v>
      </c>
      <c r="D17862" s="69" t="s">
        <v>29419</v>
      </c>
      <c r="E17862" s="51"/>
      <c r="F17862" s="114" t="str">
        <f>IF(INDEX(I.Facility.P3IDNumber,2850)="","",INDEX(I.Facility.P3IDNumber,2850))</f>
        <v/>
      </c>
      <c r="G17862" s="51"/>
      <c r="H17862" s="46" t="str">
        <f>IF(AND(I.Developer.P3=TRUE,I.Facility.P3FacilityCount&gt;=2850,F17862=""),"Incomplete","Complete")</f>
        <v>Complete</v>
      </c>
      <c r="I17862" s="48" t="s">
        <v>22227</v>
      </c>
    </row>
    <row r="17863" spans="2:9" ht="15" customHeight="1" x14ac:dyDescent="0.25">
      <c r="B17863" s="55" t="s">
        <v>282</v>
      </c>
      <c r="C17863" s="46">
        <v>2851</v>
      </c>
      <c r="D17863" s="69" t="s">
        <v>29419</v>
      </c>
      <c r="E17863" s="51"/>
      <c r="F17863" s="114" t="str">
        <f>IF(INDEX(I.Facility.P3IDNumber,2851)="","",INDEX(I.Facility.P3IDNumber,2851))</f>
        <v/>
      </c>
      <c r="G17863" s="51"/>
      <c r="H17863" s="46" t="str">
        <f>IF(AND(I.Developer.P3=TRUE,I.Facility.P3FacilityCount&gt;=2851,F17863=""),"Incomplete","Complete")</f>
        <v>Complete</v>
      </c>
      <c r="I17863" s="48" t="s">
        <v>22228</v>
      </c>
    </row>
    <row r="17864" spans="2:9" ht="15" customHeight="1" x14ac:dyDescent="0.25">
      <c r="B17864" s="55" t="s">
        <v>282</v>
      </c>
      <c r="C17864" s="46">
        <v>2852</v>
      </c>
      <c r="D17864" s="69" t="s">
        <v>29419</v>
      </c>
      <c r="E17864" s="51"/>
      <c r="F17864" s="114" t="str">
        <f>IF(INDEX(I.Facility.P3IDNumber,2852)="","",INDEX(I.Facility.P3IDNumber,2852))</f>
        <v/>
      </c>
      <c r="G17864" s="51"/>
      <c r="H17864" s="46" t="str">
        <f>IF(AND(I.Developer.P3=TRUE,I.Facility.P3FacilityCount&gt;=2852,F17864=""),"Incomplete","Complete")</f>
        <v>Complete</v>
      </c>
      <c r="I17864" s="48" t="s">
        <v>22229</v>
      </c>
    </row>
    <row r="17865" spans="2:9" ht="15" customHeight="1" x14ac:dyDescent="0.25">
      <c r="B17865" s="55" t="s">
        <v>282</v>
      </c>
      <c r="C17865" s="46">
        <v>2853</v>
      </c>
      <c r="D17865" s="69" t="s">
        <v>29419</v>
      </c>
      <c r="E17865" s="51"/>
      <c r="F17865" s="114" t="str">
        <f>IF(INDEX(I.Facility.P3IDNumber,2853)="","",INDEX(I.Facility.P3IDNumber,2853))</f>
        <v/>
      </c>
      <c r="G17865" s="51"/>
      <c r="H17865" s="46" t="str">
        <f>IF(AND(I.Developer.P3=TRUE,I.Facility.P3FacilityCount&gt;=2853,F17865=""),"Incomplete","Complete")</f>
        <v>Complete</v>
      </c>
      <c r="I17865" s="48" t="s">
        <v>22230</v>
      </c>
    </row>
    <row r="17866" spans="2:9" ht="15" customHeight="1" x14ac:dyDescent="0.25">
      <c r="B17866" s="55" t="s">
        <v>282</v>
      </c>
      <c r="C17866" s="46">
        <v>2854</v>
      </c>
      <c r="D17866" s="69" t="s">
        <v>29419</v>
      </c>
      <c r="E17866" s="51"/>
      <c r="F17866" s="114" t="str">
        <f>IF(INDEX(I.Facility.P3IDNumber,2854)="","",INDEX(I.Facility.P3IDNumber,2854))</f>
        <v/>
      </c>
      <c r="G17866" s="51"/>
      <c r="H17866" s="46" t="str">
        <f>IF(AND(I.Developer.P3=TRUE,I.Facility.P3FacilityCount&gt;=2854,F17866=""),"Incomplete","Complete")</f>
        <v>Complete</v>
      </c>
      <c r="I17866" s="48" t="s">
        <v>22231</v>
      </c>
    </row>
    <row r="17867" spans="2:9" ht="15" customHeight="1" x14ac:dyDescent="0.25">
      <c r="B17867" s="55" t="s">
        <v>282</v>
      </c>
      <c r="C17867" s="46">
        <v>2855</v>
      </c>
      <c r="D17867" s="69" t="s">
        <v>29419</v>
      </c>
      <c r="E17867" s="51"/>
      <c r="F17867" s="114" t="str">
        <f>IF(INDEX(I.Facility.P3IDNumber,2855)="","",INDEX(I.Facility.P3IDNumber,2855))</f>
        <v/>
      </c>
      <c r="G17867" s="51"/>
      <c r="H17867" s="46" t="str">
        <f>IF(AND(I.Developer.P3=TRUE,I.Facility.P3FacilityCount&gt;=2855,F17867=""),"Incomplete","Complete")</f>
        <v>Complete</v>
      </c>
      <c r="I17867" s="48" t="s">
        <v>22232</v>
      </c>
    </row>
    <row r="17868" spans="2:9" ht="15" customHeight="1" x14ac:dyDescent="0.25">
      <c r="B17868" s="55" t="s">
        <v>282</v>
      </c>
      <c r="C17868" s="46">
        <v>2856</v>
      </c>
      <c r="D17868" s="69" t="s">
        <v>29419</v>
      </c>
      <c r="E17868" s="51"/>
      <c r="F17868" s="114" t="str">
        <f>IF(INDEX(I.Facility.P3IDNumber,2856)="","",INDEX(I.Facility.P3IDNumber,2856))</f>
        <v/>
      </c>
      <c r="G17868" s="51"/>
      <c r="H17868" s="46" t="str">
        <f>IF(AND(I.Developer.P3=TRUE,I.Facility.P3FacilityCount&gt;=2856,F17868=""),"Incomplete","Complete")</f>
        <v>Complete</v>
      </c>
      <c r="I17868" s="48" t="s">
        <v>22233</v>
      </c>
    </row>
    <row r="17869" spans="2:9" ht="15" customHeight="1" x14ac:dyDescent="0.25">
      <c r="B17869" s="55" t="s">
        <v>282</v>
      </c>
      <c r="C17869" s="46">
        <v>2857</v>
      </c>
      <c r="D17869" s="69" t="s">
        <v>29419</v>
      </c>
      <c r="E17869" s="51"/>
      <c r="F17869" s="114" t="str">
        <f>IF(INDEX(I.Facility.P3IDNumber,2857)="","",INDEX(I.Facility.P3IDNumber,2857))</f>
        <v/>
      </c>
      <c r="G17869" s="51"/>
      <c r="H17869" s="46" t="str">
        <f>IF(AND(I.Developer.P3=TRUE,I.Facility.P3FacilityCount&gt;=2857,F17869=""),"Incomplete","Complete")</f>
        <v>Complete</v>
      </c>
      <c r="I17869" s="48" t="s">
        <v>22234</v>
      </c>
    </row>
    <row r="17870" spans="2:9" ht="15" customHeight="1" x14ac:dyDescent="0.25">
      <c r="B17870" s="55" t="s">
        <v>282</v>
      </c>
      <c r="C17870" s="46">
        <v>2858</v>
      </c>
      <c r="D17870" s="69" t="s">
        <v>29419</v>
      </c>
      <c r="E17870" s="51"/>
      <c r="F17870" s="114" t="str">
        <f>IF(INDEX(I.Facility.P3IDNumber,2858)="","",INDEX(I.Facility.P3IDNumber,2858))</f>
        <v/>
      </c>
      <c r="G17870" s="51"/>
      <c r="H17870" s="46" t="str">
        <f>IF(AND(I.Developer.P3=TRUE,I.Facility.P3FacilityCount&gt;=2858,F17870=""),"Incomplete","Complete")</f>
        <v>Complete</v>
      </c>
      <c r="I17870" s="48" t="s">
        <v>22235</v>
      </c>
    </row>
    <row r="17871" spans="2:9" ht="15" customHeight="1" x14ac:dyDescent="0.25">
      <c r="B17871" s="55" t="s">
        <v>282</v>
      </c>
      <c r="C17871" s="46">
        <v>2859</v>
      </c>
      <c r="D17871" s="69" t="s">
        <v>29419</v>
      </c>
      <c r="E17871" s="51"/>
      <c r="F17871" s="114" t="str">
        <f>IF(INDEX(I.Facility.P3IDNumber,2859)="","",INDEX(I.Facility.P3IDNumber,2859))</f>
        <v/>
      </c>
      <c r="G17871" s="51"/>
      <c r="H17871" s="46" t="str">
        <f>IF(AND(I.Developer.P3=TRUE,I.Facility.P3FacilityCount&gt;=2859,F17871=""),"Incomplete","Complete")</f>
        <v>Complete</v>
      </c>
      <c r="I17871" s="48" t="s">
        <v>22236</v>
      </c>
    </row>
    <row r="17872" spans="2:9" ht="15" customHeight="1" x14ac:dyDescent="0.25">
      <c r="B17872" s="55" t="s">
        <v>282</v>
      </c>
      <c r="C17872" s="46">
        <v>2860</v>
      </c>
      <c r="D17872" s="69" t="s">
        <v>29419</v>
      </c>
      <c r="E17872" s="51"/>
      <c r="F17872" s="114" t="str">
        <f>IF(INDEX(I.Facility.P3IDNumber,2860)="","",INDEX(I.Facility.P3IDNumber,2860))</f>
        <v/>
      </c>
      <c r="G17872" s="51"/>
      <c r="H17872" s="46" t="str">
        <f>IF(AND(I.Developer.P3=TRUE,I.Facility.P3FacilityCount&gt;=2860,F17872=""),"Incomplete","Complete")</f>
        <v>Complete</v>
      </c>
      <c r="I17872" s="48" t="s">
        <v>22237</v>
      </c>
    </row>
    <row r="17873" spans="2:9" ht="15" customHeight="1" x14ac:dyDescent="0.25">
      <c r="B17873" s="55" t="s">
        <v>282</v>
      </c>
      <c r="C17873" s="46">
        <v>2861</v>
      </c>
      <c r="D17873" s="69" t="s">
        <v>29419</v>
      </c>
      <c r="E17873" s="51"/>
      <c r="F17873" s="114" t="str">
        <f>IF(INDEX(I.Facility.P3IDNumber,2861)="","",INDEX(I.Facility.P3IDNumber,2861))</f>
        <v/>
      </c>
      <c r="G17873" s="51"/>
      <c r="H17873" s="46" t="str">
        <f>IF(AND(I.Developer.P3=TRUE,I.Facility.P3FacilityCount&gt;=2861,F17873=""),"Incomplete","Complete")</f>
        <v>Complete</v>
      </c>
      <c r="I17873" s="48" t="s">
        <v>22238</v>
      </c>
    </row>
    <row r="17874" spans="2:9" ht="15" customHeight="1" x14ac:dyDescent="0.25">
      <c r="B17874" s="55" t="s">
        <v>282</v>
      </c>
      <c r="C17874" s="46">
        <v>2862</v>
      </c>
      <c r="D17874" s="69" t="s">
        <v>29419</v>
      </c>
      <c r="E17874" s="51"/>
      <c r="F17874" s="114" t="str">
        <f>IF(INDEX(I.Facility.P3IDNumber,2862)="","",INDEX(I.Facility.P3IDNumber,2862))</f>
        <v/>
      </c>
      <c r="G17874" s="51"/>
      <c r="H17874" s="46" t="str">
        <f>IF(AND(I.Developer.P3=TRUE,I.Facility.P3FacilityCount&gt;=2862,F17874=""),"Incomplete","Complete")</f>
        <v>Complete</v>
      </c>
      <c r="I17874" s="48" t="s">
        <v>22239</v>
      </c>
    </row>
    <row r="17875" spans="2:9" ht="15" customHeight="1" x14ac:dyDescent="0.25">
      <c r="B17875" s="55" t="s">
        <v>282</v>
      </c>
      <c r="C17875" s="46">
        <v>2863</v>
      </c>
      <c r="D17875" s="69" t="s">
        <v>29419</v>
      </c>
      <c r="E17875" s="51"/>
      <c r="F17875" s="114" t="str">
        <f>IF(INDEX(I.Facility.P3IDNumber,2863)="","",INDEX(I.Facility.P3IDNumber,2863))</f>
        <v/>
      </c>
      <c r="G17875" s="51"/>
      <c r="H17875" s="46" t="str">
        <f>IF(AND(I.Developer.P3=TRUE,I.Facility.P3FacilityCount&gt;=2863,F17875=""),"Incomplete","Complete")</f>
        <v>Complete</v>
      </c>
      <c r="I17875" s="48" t="s">
        <v>22240</v>
      </c>
    </row>
    <row r="17876" spans="2:9" ht="15" customHeight="1" x14ac:dyDescent="0.25">
      <c r="B17876" s="55" t="s">
        <v>282</v>
      </c>
      <c r="C17876" s="46">
        <v>2864</v>
      </c>
      <c r="D17876" s="69" t="s">
        <v>29419</v>
      </c>
      <c r="E17876" s="51"/>
      <c r="F17876" s="114" t="str">
        <f>IF(INDEX(I.Facility.P3IDNumber,2864)="","",INDEX(I.Facility.P3IDNumber,2864))</f>
        <v/>
      </c>
      <c r="G17876" s="51"/>
      <c r="H17876" s="46" t="str">
        <f>IF(AND(I.Developer.P3=TRUE,I.Facility.P3FacilityCount&gt;=2864,F17876=""),"Incomplete","Complete")</f>
        <v>Complete</v>
      </c>
      <c r="I17876" s="48" t="s">
        <v>22241</v>
      </c>
    </row>
    <row r="17877" spans="2:9" ht="15" customHeight="1" x14ac:dyDescent="0.25">
      <c r="B17877" s="55" t="s">
        <v>282</v>
      </c>
      <c r="C17877" s="46">
        <v>2865</v>
      </c>
      <c r="D17877" s="69" t="s">
        <v>29419</v>
      </c>
      <c r="E17877" s="51"/>
      <c r="F17877" s="114" t="str">
        <f>IF(INDEX(I.Facility.P3IDNumber,2865)="","",INDEX(I.Facility.P3IDNumber,2865))</f>
        <v/>
      </c>
      <c r="G17877" s="51"/>
      <c r="H17877" s="46" t="str">
        <f>IF(AND(I.Developer.P3=TRUE,I.Facility.P3FacilityCount&gt;=2865,F17877=""),"Incomplete","Complete")</f>
        <v>Complete</v>
      </c>
      <c r="I17877" s="48" t="s">
        <v>22242</v>
      </c>
    </row>
    <row r="17878" spans="2:9" ht="15" customHeight="1" x14ac:dyDescent="0.25">
      <c r="B17878" s="55" t="s">
        <v>282</v>
      </c>
      <c r="C17878" s="46">
        <v>2866</v>
      </c>
      <c r="D17878" s="69" t="s">
        <v>29419</v>
      </c>
      <c r="E17878" s="51"/>
      <c r="F17878" s="114" t="str">
        <f>IF(INDEX(I.Facility.P3IDNumber,2866)="","",INDEX(I.Facility.P3IDNumber,2866))</f>
        <v/>
      </c>
      <c r="G17878" s="51"/>
      <c r="H17878" s="46" t="str">
        <f>IF(AND(I.Developer.P3=TRUE,I.Facility.P3FacilityCount&gt;=2866,F17878=""),"Incomplete","Complete")</f>
        <v>Complete</v>
      </c>
      <c r="I17878" s="48" t="s">
        <v>22243</v>
      </c>
    </row>
    <row r="17879" spans="2:9" ht="15" customHeight="1" x14ac:dyDescent="0.25">
      <c r="B17879" s="55" t="s">
        <v>282</v>
      </c>
      <c r="C17879" s="46">
        <v>2867</v>
      </c>
      <c r="D17879" s="69" t="s">
        <v>29419</v>
      </c>
      <c r="E17879" s="51"/>
      <c r="F17879" s="114" t="str">
        <f>IF(INDEX(I.Facility.P3IDNumber,2867)="","",INDEX(I.Facility.P3IDNumber,2867))</f>
        <v/>
      </c>
      <c r="G17879" s="51"/>
      <c r="H17879" s="46" t="str">
        <f>IF(AND(I.Developer.P3=TRUE,I.Facility.P3FacilityCount&gt;=2867,F17879=""),"Incomplete","Complete")</f>
        <v>Complete</v>
      </c>
      <c r="I17879" s="48" t="s">
        <v>22244</v>
      </c>
    </row>
    <row r="17880" spans="2:9" ht="15" customHeight="1" x14ac:dyDescent="0.25">
      <c r="B17880" s="55" t="s">
        <v>282</v>
      </c>
      <c r="C17880" s="46">
        <v>2868</v>
      </c>
      <c r="D17880" s="69" t="s">
        <v>29419</v>
      </c>
      <c r="E17880" s="51"/>
      <c r="F17880" s="114" t="str">
        <f>IF(INDEX(I.Facility.P3IDNumber,2868)="","",INDEX(I.Facility.P3IDNumber,2868))</f>
        <v/>
      </c>
      <c r="G17880" s="51"/>
      <c r="H17880" s="46" t="str">
        <f>IF(AND(I.Developer.P3=TRUE,I.Facility.P3FacilityCount&gt;=2868,F17880=""),"Incomplete","Complete")</f>
        <v>Complete</v>
      </c>
      <c r="I17880" s="48" t="s">
        <v>22245</v>
      </c>
    </row>
    <row r="17881" spans="2:9" ht="15" customHeight="1" x14ac:dyDescent="0.25">
      <c r="B17881" s="55" t="s">
        <v>282</v>
      </c>
      <c r="C17881" s="46">
        <v>2869</v>
      </c>
      <c r="D17881" s="69" t="s">
        <v>29419</v>
      </c>
      <c r="E17881" s="51"/>
      <c r="F17881" s="114" t="str">
        <f>IF(INDEX(I.Facility.P3IDNumber,2869)="","",INDEX(I.Facility.P3IDNumber,2869))</f>
        <v/>
      </c>
      <c r="G17881" s="51"/>
      <c r="H17881" s="46" t="str">
        <f>IF(AND(I.Developer.P3=TRUE,I.Facility.P3FacilityCount&gt;=2869,F17881=""),"Incomplete","Complete")</f>
        <v>Complete</v>
      </c>
      <c r="I17881" s="48" t="s">
        <v>22246</v>
      </c>
    </row>
    <row r="17882" spans="2:9" ht="15" customHeight="1" x14ac:dyDescent="0.25">
      <c r="B17882" s="55" t="s">
        <v>282</v>
      </c>
      <c r="C17882" s="46">
        <v>2870</v>
      </c>
      <c r="D17882" s="69" t="s">
        <v>29419</v>
      </c>
      <c r="E17882" s="51"/>
      <c r="F17882" s="114" t="str">
        <f>IF(INDEX(I.Facility.P3IDNumber,2870)="","",INDEX(I.Facility.P3IDNumber,2870))</f>
        <v/>
      </c>
      <c r="G17882" s="51"/>
      <c r="H17882" s="46" t="str">
        <f>IF(AND(I.Developer.P3=TRUE,I.Facility.P3FacilityCount&gt;=2870,F17882=""),"Incomplete","Complete")</f>
        <v>Complete</v>
      </c>
      <c r="I17882" s="48" t="s">
        <v>22247</v>
      </c>
    </row>
    <row r="17883" spans="2:9" ht="15" customHeight="1" x14ac:dyDescent="0.25">
      <c r="B17883" s="55" t="s">
        <v>282</v>
      </c>
      <c r="C17883" s="46">
        <v>2871</v>
      </c>
      <c r="D17883" s="69" t="s">
        <v>29419</v>
      </c>
      <c r="E17883" s="51"/>
      <c r="F17883" s="114" t="str">
        <f>IF(INDEX(I.Facility.P3IDNumber,2871)="","",INDEX(I.Facility.P3IDNumber,2871))</f>
        <v/>
      </c>
      <c r="G17883" s="51"/>
      <c r="H17883" s="46" t="str">
        <f>IF(AND(I.Developer.P3=TRUE,I.Facility.P3FacilityCount&gt;=2871,F17883=""),"Incomplete","Complete")</f>
        <v>Complete</v>
      </c>
      <c r="I17883" s="48" t="s">
        <v>22248</v>
      </c>
    </row>
    <row r="17884" spans="2:9" ht="15" customHeight="1" x14ac:dyDescent="0.25">
      <c r="B17884" s="55" t="s">
        <v>282</v>
      </c>
      <c r="C17884" s="46">
        <v>2872</v>
      </c>
      <c r="D17884" s="69" t="s">
        <v>29419</v>
      </c>
      <c r="E17884" s="51"/>
      <c r="F17884" s="114" t="str">
        <f>IF(INDEX(I.Facility.P3IDNumber,2872)="","",INDEX(I.Facility.P3IDNumber,2872))</f>
        <v/>
      </c>
      <c r="G17884" s="51"/>
      <c r="H17884" s="46" t="str">
        <f>IF(AND(I.Developer.P3=TRUE,I.Facility.P3FacilityCount&gt;=2872,F17884=""),"Incomplete","Complete")</f>
        <v>Complete</v>
      </c>
      <c r="I17884" s="48" t="s">
        <v>22249</v>
      </c>
    </row>
    <row r="17885" spans="2:9" ht="15" customHeight="1" x14ac:dyDescent="0.25">
      <c r="B17885" s="55" t="s">
        <v>282</v>
      </c>
      <c r="C17885" s="46">
        <v>2873</v>
      </c>
      <c r="D17885" s="69" t="s">
        <v>29419</v>
      </c>
      <c r="E17885" s="51"/>
      <c r="F17885" s="114" t="str">
        <f>IF(INDEX(I.Facility.P3IDNumber,2873)="","",INDEX(I.Facility.P3IDNumber,2873))</f>
        <v/>
      </c>
      <c r="G17885" s="51"/>
      <c r="H17885" s="46" t="str">
        <f>IF(AND(I.Developer.P3=TRUE,I.Facility.P3FacilityCount&gt;=2873,F17885=""),"Incomplete","Complete")</f>
        <v>Complete</v>
      </c>
      <c r="I17885" s="48" t="s">
        <v>22250</v>
      </c>
    </row>
    <row r="17886" spans="2:9" ht="15" customHeight="1" x14ac:dyDescent="0.25">
      <c r="B17886" s="55" t="s">
        <v>282</v>
      </c>
      <c r="C17886" s="46">
        <v>2874</v>
      </c>
      <c r="D17886" s="69" t="s">
        <v>29419</v>
      </c>
      <c r="E17886" s="51"/>
      <c r="F17886" s="114" t="str">
        <f>IF(INDEX(I.Facility.P3IDNumber,2874)="","",INDEX(I.Facility.P3IDNumber,2874))</f>
        <v/>
      </c>
      <c r="G17886" s="51"/>
      <c r="H17886" s="46" t="str">
        <f>IF(AND(I.Developer.P3=TRUE,I.Facility.P3FacilityCount&gt;=2874,F17886=""),"Incomplete","Complete")</f>
        <v>Complete</v>
      </c>
      <c r="I17886" s="48" t="s">
        <v>22251</v>
      </c>
    </row>
    <row r="17887" spans="2:9" ht="15" customHeight="1" x14ac:dyDescent="0.25">
      <c r="B17887" s="55" t="s">
        <v>282</v>
      </c>
      <c r="C17887" s="46">
        <v>2875</v>
      </c>
      <c r="D17887" s="69" t="s">
        <v>29419</v>
      </c>
      <c r="E17887" s="51"/>
      <c r="F17887" s="114" t="str">
        <f>IF(INDEX(I.Facility.P3IDNumber,2875)="","",INDEX(I.Facility.P3IDNumber,2875))</f>
        <v/>
      </c>
      <c r="G17887" s="51"/>
      <c r="H17887" s="46" t="str">
        <f>IF(AND(I.Developer.P3=TRUE,I.Facility.P3FacilityCount&gt;=2875,F17887=""),"Incomplete","Complete")</f>
        <v>Complete</v>
      </c>
      <c r="I17887" s="48" t="s">
        <v>22252</v>
      </c>
    </row>
    <row r="17888" spans="2:9" ht="15" customHeight="1" x14ac:dyDescent="0.25">
      <c r="B17888" s="55" t="s">
        <v>282</v>
      </c>
      <c r="C17888" s="46">
        <v>2876</v>
      </c>
      <c r="D17888" s="69" t="s">
        <v>29419</v>
      </c>
      <c r="E17888" s="51"/>
      <c r="F17888" s="114" t="str">
        <f>IF(INDEX(I.Facility.P3IDNumber,2876)="","",INDEX(I.Facility.P3IDNumber,2876))</f>
        <v/>
      </c>
      <c r="G17888" s="51"/>
      <c r="H17888" s="46" t="str">
        <f>IF(AND(I.Developer.P3=TRUE,I.Facility.P3FacilityCount&gt;=2876,F17888=""),"Incomplete","Complete")</f>
        <v>Complete</v>
      </c>
      <c r="I17888" s="48" t="s">
        <v>22253</v>
      </c>
    </row>
    <row r="17889" spans="2:9" ht="15" customHeight="1" x14ac:dyDescent="0.25">
      <c r="B17889" s="55" t="s">
        <v>282</v>
      </c>
      <c r="C17889" s="46">
        <v>2877</v>
      </c>
      <c r="D17889" s="69" t="s">
        <v>29419</v>
      </c>
      <c r="E17889" s="51"/>
      <c r="F17889" s="114" t="str">
        <f>IF(INDEX(I.Facility.P3IDNumber,2877)="","",INDEX(I.Facility.P3IDNumber,2877))</f>
        <v/>
      </c>
      <c r="G17889" s="51"/>
      <c r="H17889" s="46" t="str">
        <f>IF(AND(I.Developer.P3=TRUE,I.Facility.P3FacilityCount&gt;=2877,F17889=""),"Incomplete","Complete")</f>
        <v>Complete</v>
      </c>
      <c r="I17889" s="48" t="s">
        <v>22254</v>
      </c>
    </row>
    <row r="17890" spans="2:9" ht="15" customHeight="1" x14ac:dyDescent="0.25">
      <c r="B17890" s="55" t="s">
        <v>282</v>
      </c>
      <c r="C17890" s="46">
        <v>2878</v>
      </c>
      <c r="D17890" s="69" t="s">
        <v>29419</v>
      </c>
      <c r="E17890" s="51"/>
      <c r="F17890" s="114" t="str">
        <f>IF(INDEX(I.Facility.P3IDNumber,2878)="","",INDEX(I.Facility.P3IDNumber,2878))</f>
        <v/>
      </c>
      <c r="G17890" s="51"/>
      <c r="H17890" s="46" t="str">
        <f>IF(AND(I.Developer.P3=TRUE,I.Facility.P3FacilityCount&gt;=2878,F17890=""),"Incomplete","Complete")</f>
        <v>Complete</v>
      </c>
      <c r="I17890" s="48" t="s">
        <v>22255</v>
      </c>
    </row>
    <row r="17891" spans="2:9" ht="15" customHeight="1" x14ac:dyDescent="0.25">
      <c r="B17891" s="55" t="s">
        <v>282</v>
      </c>
      <c r="C17891" s="46">
        <v>2879</v>
      </c>
      <c r="D17891" s="69" t="s">
        <v>29419</v>
      </c>
      <c r="E17891" s="51"/>
      <c r="F17891" s="114" t="str">
        <f>IF(INDEX(I.Facility.P3IDNumber,2879)="","",INDEX(I.Facility.P3IDNumber,2879))</f>
        <v/>
      </c>
      <c r="G17891" s="51"/>
      <c r="H17891" s="46" t="str">
        <f>IF(AND(I.Developer.P3=TRUE,I.Facility.P3FacilityCount&gt;=2879,F17891=""),"Incomplete","Complete")</f>
        <v>Complete</v>
      </c>
      <c r="I17891" s="48" t="s">
        <v>22256</v>
      </c>
    </row>
    <row r="17892" spans="2:9" ht="15" customHeight="1" x14ac:dyDescent="0.25">
      <c r="B17892" s="55" t="s">
        <v>282</v>
      </c>
      <c r="C17892" s="46">
        <v>2880</v>
      </c>
      <c r="D17892" s="69" t="s">
        <v>29419</v>
      </c>
      <c r="E17892" s="51"/>
      <c r="F17892" s="114" t="str">
        <f>IF(INDEX(I.Facility.P3IDNumber,2880)="","",INDEX(I.Facility.P3IDNumber,2880))</f>
        <v/>
      </c>
      <c r="G17892" s="51"/>
      <c r="H17892" s="46" t="str">
        <f>IF(AND(I.Developer.P3=TRUE,I.Facility.P3FacilityCount&gt;=2880,F17892=""),"Incomplete","Complete")</f>
        <v>Complete</v>
      </c>
      <c r="I17892" s="48" t="s">
        <v>22257</v>
      </c>
    </row>
    <row r="17893" spans="2:9" ht="15" customHeight="1" x14ac:dyDescent="0.25">
      <c r="B17893" s="55" t="s">
        <v>282</v>
      </c>
      <c r="C17893" s="46">
        <v>2881</v>
      </c>
      <c r="D17893" s="69" t="s">
        <v>29419</v>
      </c>
      <c r="E17893" s="51"/>
      <c r="F17893" s="114" t="str">
        <f>IF(INDEX(I.Facility.P3IDNumber,2881)="","",INDEX(I.Facility.P3IDNumber,2881))</f>
        <v/>
      </c>
      <c r="G17893" s="51"/>
      <c r="H17893" s="46" t="str">
        <f>IF(AND(I.Developer.P3=TRUE,I.Facility.P3FacilityCount&gt;=2881,F17893=""),"Incomplete","Complete")</f>
        <v>Complete</v>
      </c>
      <c r="I17893" s="48" t="s">
        <v>22258</v>
      </c>
    </row>
    <row r="17894" spans="2:9" ht="15" customHeight="1" x14ac:dyDescent="0.25">
      <c r="B17894" s="55" t="s">
        <v>282</v>
      </c>
      <c r="C17894" s="46">
        <v>2882</v>
      </c>
      <c r="D17894" s="69" t="s">
        <v>29419</v>
      </c>
      <c r="E17894" s="51"/>
      <c r="F17894" s="114" t="str">
        <f>IF(INDEX(I.Facility.P3IDNumber,2882)="","",INDEX(I.Facility.P3IDNumber,2882))</f>
        <v/>
      </c>
      <c r="G17894" s="51"/>
      <c r="H17894" s="46" t="str">
        <f>IF(AND(I.Developer.P3=TRUE,I.Facility.P3FacilityCount&gt;=2882,F17894=""),"Incomplete","Complete")</f>
        <v>Complete</v>
      </c>
      <c r="I17894" s="48" t="s">
        <v>22259</v>
      </c>
    </row>
    <row r="17895" spans="2:9" ht="15" customHeight="1" x14ac:dyDescent="0.25">
      <c r="B17895" s="55" t="s">
        <v>282</v>
      </c>
      <c r="C17895" s="46">
        <v>2883</v>
      </c>
      <c r="D17895" s="69" t="s">
        <v>29419</v>
      </c>
      <c r="E17895" s="51"/>
      <c r="F17895" s="114" t="str">
        <f>IF(INDEX(I.Facility.P3IDNumber,2883)="","",INDEX(I.Facility.P3IDNumber,2883))</f>
        <v/>
      </c>
      <c r="G17895" s="51"/>
      <c r="H17895" s="46" t="str">
        <f>IF(AND(I.Developer.P3=TRUE,I.Facility.P3FacilityCount&gt;=2883,F17895=""),"Incomplete","Complete")</f>
        <v>Complete</v>
      </c>
      <c r="I17895" s="48" t="s">
        <v>22260</v>
      </c>
    </row>
    <row r="17896" spans="2:9" ht="15" customHeight="1" x14ac:dyDescent="0.25">
      <c r="B17896" s="55" t="s">
        <v>282</v>
      </c>
      <c r="C17896" s="46">
        <v>2884</v>
      </c>
      <c r="D17896" s="69" t="s">
        <v>29419</v>
      </c>
      <c r="E17896" s="51"/>
      <c r="F17896" s="114" t="str">
        <f>IF(INDEX(I.Facility.P3IDNumber,2884)="","",INDEX(I.Facility.P3IDNumber,2884))</f>
        <v/>
      </c>
      <c r="G17896" s="51"/>
      <c r="H17896" s="46" t="str">
        <f>IF(AND(I.Developer.P3=TRUE,I.Facility.P3FacilityCount&gt;=2884,F17896=""),"Incomplete","Complete")</f>
        <v>Complete</v>
      </c>
      <c r="I17896" s="48" t="s">
        <v>22261</v>
      </c>
    </row>
    <row r="17897" spans="2:9" ht="15" customHeight="1" x14ac:dyDescent="0.25">
      <c r="B17897" s="55" t="s">
        <v>282</v>
      </c>
      <c r="C17897" s="46">
        <v>2885</v>
      </c>
      <c r="D17897" s="69" t="s">
        <v>29419</v>
      </c>
      <c r="E17897" s="51"/>
      <c r="F17897" s="114" t="str">
        <f>IF(INDEX(I.Facility.P3IDNumber,2885)="","",INDEX(I.Facility.P3IDNumber,2885))</f>
        <v/>
      </c>
      <c r="G17897" s="51"/>
      <c r="H17897" s="46" t="str">
        <f>IF(AND(I.Developer.P3=TRUE,I.Facility.P3FacilityCount&gt;=2885,F17897=""),"Incomplete","Complete")</f>
        <v>Complete</v>
      </c>
      <c r="I17897" s="48" t="s">
        <v>22262</v>
      </c>
    </row>
    <row r="17898" spans="2:9" ht="15" customHeight="1" x14ac:dyDescent="0.25">
      <c r="B17898" s="55" t="s">
        <v>282</v>
      </c>
      <c r="C17898" s="46">
        <v>2886</v>
      </c>
      <c r="D17898" s="69" t="s">
        <v>29419</v>
      </c>
      <c r="E17898" s="51"/>
      <c r="F17898" s="114" t="str">
        <f>IF(INDEX(I.Facility.P3IDNumber,2886)="","",INDEX(I.Facility.P3IDNumber,2886))</f>
        <v/>
      </c>
      <c r="G17898" s="51"/>
      <c r="H17898" s="46" t="str">
        <f>IF(AND(I.Developer.P3=TRUE,I.Facility.P3FacilityCount&gt;=2886,F17898=""),"Incomplete","Complete")</f>
        <v>Complete</v>
      </c>
      <c r="I17898" s="48" t="s">
        <v>22263</v>
      </c>
    </row>
    <row r="17899" spans="2:9" ht="15" customHeight="1" x14ac:dyDescent="0.25">
      <c r="B17899" s="55" t="s">
        <v>282</v>
      </c>
      <c r="C17899" s="46">
        <v>2887</v>
      </c>
      <c r="D17899" s="69" t="s">
        <v>29419</v>
      </c>
      <c r="E17899" s="51"/>
      <c r="F17899" s="114" t="str">
        <f>IF(INDEX(I.Facility.P3IDNumber,2887)="","",INDEX(I.Facility.P3IDNumber,2887))</f>
        <v/>
      </c>
      <c r="G17899" s="51"/>
      <c r="H17899" s="46" t="str">
        <f>IF(AND(I.Developer.P3=TRUE,I.Facility.P3FacilityCount&gt;=2887,F17899=""),"Incomplete","Complete")</f>
        <v>Complete</v>
      </c>
      <c r="I17899" s="48" t="s">
        <v>22264</v>
      </c>
    </row>
    <row r="17900" spans="2:9" ht="15" customHeight="1" x14ac:dyDescent="0.25">
      <c r="B17900" s="55" t="s">
        <v>282</v>
      </c>
      <c r="C17900" s="46">
        <v>2888</v>
      </c>
      <c r="D17900" s="69" t="s">
        <v>29419</v>
      </c>
      <c r="E17900" s="51"/>
      <c r="F17900" s="114" t="str">
        <f>IF(INDEX(I.Facility.P3IDNumber,2888)="","",INDEX(I.Facility.P3IDNumber,2888))</f>
        <v/>
      </c>
      <c r="G17900" s="51"/>
      <c r="H17900" s="46" t="str">
        <f>IF(AND(I.Developer.P3=TRUE,I.Facility.P3FacilityCount&gt;=2888,F17900=""),"Incomplete","Complete")</f>
        <v>Complete</v>
      </c>
      <c r="I17900" s="48" t="s">
        <v>22265</v>
      </c>
    </row>
    <row r="17901" spans="2:9" ht="15" customHeight="1" x14ac:dyDescent="0.25">
      <c r="B17901" s="55" t="s">
        <v>282</v>
      </c>
      <c r="C17901" s="46">
        <v>2889</v>
      </c>
      <c r="D17901" s="69" t="s">
        <v>29419</v>
      </c>
      <c r="E17901" s="51"/>
      <c r="F17901" s="114" t="str">
        <f>IF(INDEX(I.Facility.P3IDNumber,2889)="","",INDEX(I.Facility.P3IDNumber,2889))</f>
        <v/>
      </c>
      <c r="G17901" s="51"/>
      <c r="H17901" s="46" t="str">
        <f>IF(AND(I.Developer.P3=TRUE,I.Facility.P3FacilityCount&gt;=2889,F17901=""),"Incomplete","Complete")</f>
        <v>Complete</v>
      </c>
      <c r="I17901" s="48" t="s">
        <v>22266</v>
      </c>
    </row>
    <row r="17902" spans="2:9" ht="15" customHeight="1" x14ac:dyDescent="0.25">
      <c r="B17902" s="55" t="s">
        <v>282</v>
      </c>
      <c r="C17902" s="46">
        <v>2890</v>
      </c>
      <c r="D17902" s="69" t="s">
        <v>29419</v>
      </c>
      <c r="E17902" s="51"/>
      <c r="F17902" s="114" t="str">
        <f>IF(INDEX(I.Facility.P3IDNumber,2890)="","",INDEX(I.Facility.P3IDNumber,2890))</f>
        <v/>
      </c>
      <c r="G17902" s="51"/>
      <c r="H17902" s="46" t="str">
        <f>IF(AND(I.Developer.P3=TRUE,I.Facility.P3FacilityCount&gt;=2890,F17902=""),"Incomplete","Complete")</f>
        <v>Complete</v>
      </c>
      <c r="I17902" s="48" t="s">
        <v>22267</v>
      </c>
    </row>
    <row r="17903" spans="2:9" ht="15" customHeight="1" x14ac:dyDescent="0.25">
      <c r="B17903" s="55" t="s">
        <v>282</v>
      </c>
      <c r="C17903" s="46">
        <v>2891</v>
      </c>
      <c r="D17903" s="69" t="s">
        <v>29419</v>
      </c>
      <c r="E17903" s="51"/>
      <c r="F17903" s="114" t="str">
        <f>IF(INDEX(I.Facility.P3IDNumber,2891)="","",INDEX(I.Facility.P3IDNumber,2891))</f>
        <v/>
      </c>
      <c r="G17903" s="51"/>
      <c r="H17903" s="46" t="str">
        <f>IF(AND(I.Developer.P3=TRUE,I.Facility.P3FacilityCount&gt;=2891,F17903=""),"Incomplete","Complete")</f>
        <v>Complete</v>
      </c>
      <c r="I17903" s="48" t="s">
        <v>22268</v>
      </c>
    </row>
    <row r="17904" spans="2:9" ht="15" customHeight="1" x14ac:dyDescent="0.25">
      <c r="B17904" s="55" t="s">
        <v>282</v>
      </c>
      <c r="C17904" s="46">
        <v>2892</v>
      </c>
      <c r="D17904" s="69" t="s">
        <v>29419</v>
      </c>
      <c r="E17904" s="51"/>
      <c r="F17904" s="114" t="str">
        <f>IF(INDEX(I.Facility.P3IDNumber,2892)="","",INDEX(I.Facility.P3IDNumber,2892))</f>
        <v/>
      </c>
      <c r="G17904" s="51"/>
      <c r="H17904" s="46" t="str">
        <f>IF(AND(I.Developer.P3=TRUE,I.Facility.P3FacilityCount&gt;=2892,F17904=""),"Incomplete","Complete")</f>
        <v>Complete</v>
      </c>
      <c r="I17904" s="48" t="s">
        <v>22269</v>
      </c>
    </row>
    <row r="17905" spans="2:9" ht="15" customHeight="1" x14ac:dyDescent="0.25">
      <c r="B17905" s="55" t="s">
        <v>282</v>
      </c>
      <c r="C17905" s="46">
        <v>2893</v>
      </c>
      <c r="D17905" s="69" t="s">
        <v>29419</v>
      </c>
      <c r="E17905" s="51"/>
      <c r="F17905" s="114" t="str">
        <f>IF(INDEX(I.Facility.P3IDNumber,2893)="","",INDEX(I.Facility.P3IDNumber,2893))</f>
        <v/>
      </c>
      <c r="G17905" s="51"/>
      <c r="H17905" s="46" t="str">
        <f>IF(AND(I.Developer.P3=TRUE,I.Facility.P3FacilityCount&gt;=2893,F17905=""),"Incomplete","Complete")</f>
        <v>Complete</v>
      </c>
      <c r="I17905" s="48" t="s">
        <v>22270</v>
      </c>
    </row>
    <row r="17906" spans="2:9" ht="15" customHeight="1" x14ac:dyDescent="0.25">
      <c r="B17906" s="55" t="s">
        <v>282</v>
      </c>
      <c r="C17906" s="46">
        <v>2894</v>
      </c>
      <c r="D17906" s="69" t="s">
        <v>29419</v>
      </c>
      <c r="E17906" s="51"/>
      <c r="F17906" s="114" t="str">
        <f>IF(INDEX(I.Facility.P3IDNumber,2894)="","",INDEX(I.Facility.P3IDNumber,2894))</f>
        <v/>
      </c>
      <c r="G17906" s="51"/>
      <c r="H17906" s="46" t="str">
        <f>IF(AND(I.Developer.P3=TRUE,I.Facility.P3FacilityCount&gt;=2894,F17906=""),"Incomplete","Complete")</f>
        <v>Complete</v>
      </c>
      <c r="I17906" s="48" t="s">
        <v>22271</v>
      </c>
    </row>
    <row r="17907" spans="2:9" ht="15" customHeight="1" x14ac:dyDescent="0.25">
      <c r="B17907" s="55" t="s">
        <v>282</v>
      </c>
      <c r="C17907" s="46">
        <v>2895</v>
      </c>
      <c r="D17907" s="69" t="s">
        <v>29419</v>
      </c>
      <c r="E17907" s="51"/>
      <c r="F17907" s="114" t="str">
        <f>IF(INDEX(I.Facility.P3IDNumber,2895)="","",INDEX(I.Facility.P3IDNumber,2895))</f>
        <v/>
      </c>
      <c r="G17907" s="51"/>
      <c r="H17907" s="46" t="str">
        <f>IF(AND(I.Developer.P3=TRUE,I.Facility.P3FacilityCount&gt;=2895,F17907=""),"Incomplete","Complete")</f>
        <v>Complete</v>
      </c>
      <c r="I17907" s="48" t="s">
        <v>22272</v>
      </c>
    </row>
    <row r="17908" spans="2:9" ht="15" customHeight="1" x14ac:dyDescent="0.25">
      <c r="B17908" s="55" t="s">
        <v>282</v>
      </c>
      <c r="C17908" s="46">
        <v>2896</v>
      </c>
      <c r="D17908" s="69" t="s">
        <v>29419</v>
      </c>
      <c r="E17908" s="51"/>
      <c r="F17908" s="114" t="str">
        <f>IF(INDEX(I.Facility.P3IDNumber,2896)="","",INDEX(I.Facility.P3IDNumber,2896))</f>
        <v/>
      </c>
      <c r="G17908" s="51"/>
      <c r="H17908" s="46" t="str">
        <f>IF(AND(I.Developer.P3=TRUE,I.Facility.P3FacilityCount&gt;=2896,F17908=""),"Incomplete","Complete")</f>
        <v>Complete</v>
      </c>
      <c r="I17908" s="48" t="s">
        <v>22273</v>
      </c>
    </row>
    <row r="17909" spans="2:9" ht="15" customHeight="1" x14ac:dyDescent="0.25">
      <c r="B17909" s="55" t="s">
        <v>282</v>
      </c>
      <c r="C17909" s="46">
        <v>2897</v>
      </c>
      <c r="D17909" s="69" t="s">
        <v>29419</v>
      </c>
      <c r="E17909" s="51"/>
      <c r="F17909" s="114" t="str">
        <f>IF(INDEX(I.Facility.P3IDNumber,2897)="","",INDEX(I.Facility.P3IDNumber,2897))</f>
        <v/>
      </c>
      <c r="G17909" s="51"/>
      <c r="H17909" s="46" t="str">
        <f>IF(AND(I.Developer.P3=TRUE,I.Facility.P3FacilityCount&gt;=2897,F17909=""),"Incomplete","Complete")</f>
        <v>Complete</v>
      </c>
      <c r="I17909" s="48" t="s">
        <v>22274</v>
      </c>
    </row>
    <row r="17910" spans="2:9" ht="15" customHeight="1" x14ac:dyDescent="0.25">
      <c r="B17910" s="55" t="s">
        <v>282</v>
      </c>
      <c r="C17910" s="46">
        <v>2898</v>
      </c>
      <c r="D17910" s="69" t="s">
        <v>29419</v>
      </c>
      <c r="E17910" s="51"/>
      <c r="F17910" s="114" t="str">
        <f>IF(INDEX(I.Facility.P3IDNumber,2898)="","",INDEX(I.Facility.P3IDNumber,2898))</f>
        <v/>
      </c>
      <c r="G17910" s="51"/>
      <c r="H17910" s="46" t="str">
        <f>IF(AND(I.Developer.P3=TRUE,I.Facility.P3FacilityCount&gt;=2898,F17910=""),"Incomplete","Complete")</f>
        <v>Complete</v>
      </c>
      <c r="I17910" s="48" t="s">
        <v>22275</v>
      </c>
    </row>
    <row r="17911" spans="2:9" ht="15" customHeight="1" x14ac:dyDescent="0.25">
      <c r="B17911" s="55" t="s">
        <v>282</v>
      </c>
      <c r="C17911" s="46">
        <v>2899</v>
      </c>
      <c r="D17911" s="69" t="s">
        <v>29419</v>
      </c>
      <c r="E17911" s="51"/>
      <c r="F17911" s="114" t="str">
        <f>IF(INDEX(I.Facility.P3IDNumber,2899)="","",INDEX(I.Facility.P3IDNumber,2899))</f>
        <v/>
      </c>
      <c r="G17911" s="51"/>
      <c r="H17911" s="46" t="str">
        <f>IF(AND(I.Developer.P3=TRUE,I.Facility.P3FacilityCount&gt;=2899,F17911=""),"Incomplete","Complete")</f>
        <v>Complete</v>
      </c>
      <c r="I17911" s="48" t="s">
        <v>22276</v>
      </c>
    </row>
    <row r="17912" spans="2:9" ht="15" customHeight="1" x14ac:dyDescent="0.25">
      <c r="B17912" s="55" t="s">
        <v>282</v>
      </c>
      <c r="C17912" s="46">
        <v>2900</v>
      </c>
      <c r="D17912" s="69" t="s">
        <v>29419</v>
      </c>
      <c r="E17912" s="51"/>
      <c r="F17912" s="114" t="str">
        <f>IF(INDEX(I.Facility.P3IDNumber,2900)="","",INDEX(I.Facility.P3IDNumber,2900))</f>
        <v/>
      </c>
      <c r="G17912" s="51"/>
      <c r="H17912" s="46" t="str">
        <f>IF(AND(I.Developer.P3=TRUE,I.Facility.P3FacilityCount&gt;=2900,F17912=""),"Incomplete","Complete")</f>
        <v>Complete</v>
      </c>
      <c r="I17912" s="48" t="s">
        <v>22277</v>
      </c>
    </row>
    <row r="17913" spans="2:9" ht="15" customHeight="1" x14ac:dyDescent="0.25">
      <c r="B17913" s="55" t="s">
        <v>282</v>
      </c>
      <c r="C17913" s="46">
        <v>2901</v>
      </c>
      <c r="D17913" s="69" t="s">
        <v>29419</v>
      </c>
      <c r="E17913" s="51"/>
      <c r="F17913" s="114" t="str">
        <f>IF(INDEX(I.Facility.P3IDNumber,2901)="","",INDEX(I.Facility.P3IDNumber,2901))</f>
        <v/>
      </c>
      <c r="G17913" s="51"/>
      <c r="H17913" s="46" t="str">
        <f>IF(AND(I.Developer.P3=TRUE,I.Facility.P3FacilityCount&gt;=2901,F17913=""),"Incomplete","Complete")</f>
        <v>Complete</v>
      </c>
      <c r="I17913" s="48" t="s">
        <v>22278</v>
      </c>
    </row>
    <row r="17914" spans="2:9" ht="15" customHeight="1" x14ac:dyDescent="0.25">
      <c r="B17914" s="55" t="s">
        <v>282</v>
      </c>
      <c r="C17914" s="46">
        <v>2902</v>
      </c>
      <c r="D17914" s="69" t="s">
        <v>29419</v>
      </c>
      <c r="E17914" s="51"/>
      <c r="F17914" s="114" t="str">
        <f>IF(INDEX(I.Facility.P3IDNumber,2902)="","",INDEX(I.Facility.P3IDNumber,2902))</f>
        <v/>
      </c>
      <c r="G17914" s="51"/>
      <c r="H17914" s="46" t="str">
        <f>IF(AND(I.Developer.P3=TRUE,I.Facility.P3FacilityCount&gt;=2902,F17914=""),"Incomplete","Complete")</f>
        <v>Complete</v>
      </c>
      <c r="I17914" s="48" t="s">
        <v>22279</v>
      </c>
    </row>
    <row r="17915" spans="2:9" ht="15" customHeight="1" x14ac:dyDescent="0.25">
      <c r="B17915" s="55" t="s">
        <v>282</v>
      </c>
      <c r="C17915" s="46">
        <v>2903</v>
      </c>
      <c r="D17915" s="69" t="s">
        <v>29419</v>
      </c>
      <c r="E17915" s="51"/>
      <c r="F17915" s="114" t="str">
        <f>IF(INDEX(I.Facility.P3IDNumber,2903)="","",INDEX(I.Facility.P3IDNumber,2903))</f>
        <v/>
      </c>
      <c r="G17915" s="51"/>
      <c r="H17915" s="46" t="str">
        <f>IF(AND(I.Developer.P3=TRUE,I.Facility.P3FacilityCount&gt;=2903,F17915=""),"Incomplete","Complete")</f>
        <v>Complete</v>
      </c>
      <c r="I17915" s="48" t="s">
        <v>22280</v>
      </c>
    </row>
    <row r="17916" spans="2:9" ht="15" customHeight="1" x14ac:dyDescent="0.25">
      <c r="B17916" s="55" t="s">
        <v>282</v>
      </c>
      <c r="C17916" s="46">
        <v>2904</v>
      </c>
      <c r="D17916" s="69" t="s">
        <v>29419</v>
      </c>
      <c r="E17916" s="51"/>
      <c r="F17916" s="114" t="str">
        <f>IF(INDEX(I.Facility.P3IDNumber,2904)="","",INDEX(I.Facility.P3IDNumber,2904))</f>
        <v/>
      </c>
      <c r="G17916" s="51"/>
      <c r="H17916" s="46" t="str">
        <f>IF(AND(I.Developer.P3=TRUE,I.Facility.P3FacilityCount&gt;=2904,F17916=""),"Incomplete","Complete")</f>
        <v>Complete</v>
      </c>
      <c r="I17916" s="48" t="s">
        <v>22281</v>
      </c>
    </row>
    <row r="17917" spans="2:9" ht="15" customHeight="1" x14ac:dyDescent="0.25">
      <c r="B17917" s="55" t="s">
        <v>282</v>
      </c>
      <c r="C17917" s="46">
        <v>2905</v>
      </c>
      <c r="D17917" s="69" t="s">
        <v>29419</v>
      </c>
      <c r="E17917" s="51"/>
      <c r="F17917" s="114" t="str">
        <f>IF(INDEX(I.Facility.P3IDNumber,2905)="","",INDEX(I.Facility.P3IDNumber,2905))</f>
        <v/>
      </c>
      <c r="G17917" s="51"/>
      <c r="H17917" s="46" t="str">
        <f>IF(AND(I.Developer.P3=TRUE,I.Facility.P3FacilityCount&gt;=2905,F17917=""),"Incomplete","Complete")</f>
        <v>Complete</v>
      </c>
      <c r="I17917" s="48" t="s">
        <v>22282</v>
      </c>
    </row>
    <row r="17918" spans="2:9" ht="15" customHeight="1" x14ac:dyDescent="0.25">
      <c r="B17918" s="55" t="s">
        <v>282</v>
      </c>
      <c r="C17918" s="46">
        <v>2906</v>
      </c>
      <c r="D17918" s="69" t="s">
        <v>29419</v>
      </c>
      <c r="E17918" s="51"/>
      <c r="F17918" s="114" t="str">
        <f>IF(INDEX(I.Facility.P3IDNumber,2906)="","",INDEX(I.Facility.P3IDNumber,2906))</f>
        <v/>
      </c>
      <c r="G17918" s="51"/>
      <c r="H17918" s="46" t="str">
        <f>IF(AND(I.Developer.P3=TRUE,I.Facility.P3FacilityCount&gt;=2906,F17918=""),"Incomplete","Complete")</f>
        <v>Complete</v>
      </c>
      <c r="I17918" s="48" t="s">
        <v>22283</v>
      </c>
    </row>
    <row r="17919" spans="2:9" ht="15" customHeight="1" x14ac:dyDescent="0.25">
      <c r="B17919" s="55" t="s">
        <v>282</v>
      </c>
      <c r="C17919" s="46">
        <v>2907</v>
      </c>
      <c r="D17919" s="69" t="s">
        <v>29419</v>
      </c>
      <c r="E17919" s="51"/>
      <c r="F17919" s="114" t="str">
        <f>IF(INDEX(I.Facility.P3IDNumber,2907)="","",INDEX(I.Facility.P3IDNumber,2907))</f>
        <v/>
      </c>
      <c r="G17919" s="51"/>
      <c r="H17919" s="46" t="str">
        <f>IF(AND(I.Developer.P3=TRUE,I.Facility.P3FacilityCount&gt;=2907,F17919=""),"Incomplete","Complete")</f>
        <v>Complete</v>
      </c>
      <c r="I17919" s="48" t="s">
        <v>22284</v>
      </c>
    </row>
    <row r="17920" spans="2:9" ht="15" customHeight="1" x14ac:dyDescent="0.25">
      <c r="B17920" s="55" t="s">
        <v>282</v>
      </c>
      <c r="C17920" s="46">
        <v>2908</v>
      </c>
      <c r="D17920" s="69" t="s">
        <v>29419</v>
      </c>
      <c r="E17920" s="51"/>
      <c r="F17920" s="114" t="str">
        <f>IF(INDEX(I.Facility.P3IDNumber,2908)="","",INDEX(I.Facility.P3IDNumber,2908))</f>
        <v/>
      </c>
      <c r="G17920" s="51"/>
      <c r="H17920" s="46" t="str">
        <f>IF(AND(I.Developer.P3=TRUE,I.Facility.P3FacilityCount&gt;=2908,F17920=""),"Incomplete","Complete")</f>
        <v>Complete</v>
      </c>
      <c r="I17920" s="48" t="s">
        <v>22285</v>
      </c>
    </row>
    <row r="17921" spans="2:9" ht="15" customHeight="1" x14ac:dyDescent="0.25">
      <c r="B17921" s="55" t="s">
        <v>282</v>
      </c>
      <c r="C17921" s="46">
        <v>2909</v>
      </c>
      <c r="D17921" s="69" t="s">
        <v>29419</v>
      </c>
      <c r="E17921" s="51"/>
      <c r="F17921" s="114" t="str">
        <f>IF(INDEX(I.Facility.P3IDNumber,2909)="","",INDEX(I.Facility.P3IDNumber,2909))</f>
        <v/>
      </c>
      <c r="G17921" s="51"/>
      <c r="H17921" s="46" t="str">
        <f>IF(AND(I.Developer.P3=TRUE,I.Facility.P3FacilityCount&gt;=2909,F17921=""),"Incomplete","Complete")</f>
        <v>Complete</v>
      </c>
      <c r="I17921" s="48" t="s">
        <v>22286</v>
      </c>
    </row>
    <row r="17922" spans="2:9" ht="15" customHeight="1" x14ac:dyDescent="0.25">
      <c r="B17922" s="55" t="s">
        <v>282</v>
      </c>
      <c r="C17922" s="46">
        <v>2910</v>
      </c>
      <c r="D17922" s="69" t="s">
        <v>29419</v>
      </c>
      <c r="E17922" s="51"/>
      <c r="F17922" s="114" t="str">
        <f>IF(INDEX(I.Facility.P3IDNumber,2910)="","",INDEX(I.Facility.P3IDNumber,2910))</f>
        <v/>
      </c>
      <c r="G17922" s="51"/>
      <c r="H17922" s="46" t="str">
        <f>IF(AND(I.Developer.P3=TRUE,I.Facility.P3FacilityCount&gt;=2910,F17922=""),"Incomplete","Complete")</f>
        <v>Complete</v>
      </c>
      <c r="I17922" s="48" t="s">
        <v>22287</v>
      </c>
    </row>
    <row r="17923" spans="2:9" ht="15" customHeight="1" x14ac:dyDescent="0.25">
      <c r="B17923" s="55" t="s">
        <v>282</v>
      </c>
      <c r="C17923" s="46">
        <v>2911</v>
      </c>
      <c r="D17923" s="69" t="s">
        <v>29419</v>
      </c>
      <c r="E17923" s="51"/>
      <c r="F17923" s="114" t="str">
        <f>IF(INDEX(I.Facility.P3IDNumber,2911)="","",INDEX(I.Facility.P3IDNumber,2911))</f>
        <v/>
      </c>
      <c r="G17923" s="51"/>
      <c r="H17923" s="46" t="str">
        <f>IF(AND(I.Developer.P3=TRUE,I.Facility.P3FacilityCount&gt;=2911,F17923=""),"Incomplete","Complete")</f>
        <v>Complete</v>
      </c>
      <c r="I17923" s="48" t="s">
        <v>22288</v>
      </c>
    </row>
    <row r="17924" spans="2:9" ht="15" customHeight="1" x14ac:dyDescent="0.25">
      <c r="B17924" s="55" t="s">
        <v>282</v>
      </c>
      <c r="C17924" s="46">
        <v>2912</v>
      </c>
      <c r="D17924" s="69" t="s">
        <v>29419</v>
      </c>
      <c r="E17924" s="51"/>
      <c r="F17924" s="114" t="str">
        <f>IF(INDEX(I.Facility.P3IDNumber,2912)="","",INDEX(I.Facility.P3IDNumber,2912))</f>
        <v/>
      </c>
      <c r="G17924" s="51"/>
      <c r="H17924" s="46" t="str">
        <f>IF(AND(I.Developer.P3=TRUE,I.Facility.P3FacilityCount&gt;=2912,F17924=""),"Incomplete","Complete")</f>
        <v>Complete</v>
      </c>
      <c r="I17924" s="48" t="s">
        <v>22289</v>
      </c>
    </row>
    <row r="17925" spans="2:9" ht="15" customHeight="1" x14ac:dyDescent="0.25">
      <c r="B17925" s="55" t="s">
        <v>282</v>
      </c>
      <c r="C17925" s="46">
        <v>2913</v>
      </c>
      <c r="D17925" s="69" t="s">
        <v>29419</v>
      </c>
      <c r="E17925" s="51"/>
      <c r="F17925" s="114" t="str">
        <f>IF(INDEX(I.Facility.P3IDNumber,2913)="","",INDEX(I.Facility.P3IDNumber,2913))</f>
        <v/>
      </c>
      <c r="G17925" s="51"/>
      <c r="H17925" s="46" t="str">
        <f>IF(AND(I.Developer.P3=TRUE,I.Facility.P3FacilityCount&gt;=2913,F17925=""),"Incomplete","Complete")</f>
        <v>Complete</v>
      </c>
      <c r="I17925" s="48" t="s">
        <v>22290</v>
      </c>
    </row>
    <row r="17926" spans="2:9" ht="15" customHeight="1" x14ac:dyDescent="0.25">
      <c r="B17926" s="55" t="s">
        <v>282</v>
      </c>
      <c r="C17926" s="46">
        <v>2914</v>
      </c>
      <c r="D17926" s="69" t="s">
        <v>29419</v>
      </c>
      <c r="E17926" s="51"/>
      <c r="F17926" s="114" t="str">
        <f>IF(INDEX(I.Facility.P3IDNumber,2914)="","",INDEX(I.Facility.P3IDNumber,2914))</f>
        <v/>
      </c>
      <c r="G17926" s="51"/>
      <c r="H17926" s="46" t="str">
        <f>IF(AND(I.Developer.P3=TRUE,I.Facility.P3FacilityCount&gt;=2914,F17926=""),"Incomplete","Complete")</f>
        <v>Complete</v>
      </c>
      <c r="I17926" s="48" t="s">
        <v>22291</v>
      </c>
    </row>
    <row r="17927" spans="2:9" ht="15" customHeight="1" x14ac:dyDescent="0.25">
      <c r="B17927" s="55" t="s">
        <v>282</v>
      </c>
      <c r="C17927" s="46">
        <v>2915</v>
      </c>
      <c r="D17927" s="69" t="s">
        <v>29419</v>
      </c>
      <c r="E17927" s="51"/>
      <c r="F17927" s="114" t="str">
        <f>IF(INDEX(I.Facility.P3IDNumber,2915)="","",INDEX(I.Facility.P3IDNumber,2915))</f>
        <v/>
      </c>
      <c r="G17927" s="51"/>
      <c r="H17927" s="46" t="str">
        <f>IF(AND(I.Developer.P3=TRUE,I.Facility.P3FacilityCount&gt;=2915,F17927=""),"Incomplete","Complete")</f>
        <v>Complete</v>
      </c>
      <c r="I17927" s="48" t="s">
        <v>22292</v>
      </c>
    </row>
    <row r="17928" spans="2:9" ht="15" customHeight="1" x14ac:dyDescent="0.25">
      <c r="B17928" s="55" t="s">
        <v>282</v>
      </c>
      <c r="C17928" s="46">
        <v>2916</v>
      </c>
      <c r="D17928" s="69" t="s">
        <v>29419</v>
      </c>
      <c r="E17928" s="51"/>
      <c r="F17928" s="114" t="str">
        <f>IF(INDEX(I.Facility.P3IDNumber,2916)="","",INDEX(I.Facility.P3IDNumber,2916))</f>
        <v/>
      </c>
      <c r="G17928" s="51"/>
      <c r="H17928" s="46" t="str">
        <f>IF(AND(I.Developer.P3=TRUE,I.Facility.P3FacilityCount&gt;=2916,F17928=""),"Incomplete","Complete")</f>
        <v>Complete</v>
      </c>
      <c r="I17928" s="48" t="s">
        <v>22293</v>
      </c>
    </row>
    <row r="17929" spans="2:9" ht="15" customHeight="1" x14ac:dyDescent="0.25">
      <c r="B17929" s="55" t="s">
        <v>282</v>
      </c>
      <c r="C17929" s="46">
        <v>2917</v>
      </c>
      <c r="D17929" s="69" t="s">
        <v>29419</v>
      </c>
      <c r="E17929" s="51"/>
      <c r="F17929" s="114" t="str">
        <f>IF(INDEX(I.Facility.P3IDNumber,2917)="","",INDEX(I.Facility.P3IDNumber,2917))</f>
        <v/>
      </c>
      <c r="G17929" s="51"/>
      <c r="H17929" s="46" t="str">
        <f>IF(AND(I.Developer.P3=TRUE,I.Facility.P3FacilityCount&gt;=2917,F17929=""),"Incomplete","Complete")</f>
        <v>Complete</v>
      </c>
      <c r="I17929" s="48" t="s">
        <v>22294</v>
      </c>
    </row>
    <row r="17930" spans="2:9" ht="15" customHeight="1" x14ac:dyDescent="0.25">
      <c r="B17930" s="55" t="s">
        <v>282</v>
      </c>
      <c r="C17930" s="46">
        <v>2918</v>
      </c>
      <c r="D17930" s="69" t="s">
        <v>29419</v>
      </c>
      <c r="E17930" s="51"/>
      <c r="F17930" s="114" t="str">
        <f>IF(INDEX(I.Facility.P3IDNumber,2918)="","",INDEX(I.Facility.P3IDNumber,2918))</f>
        <v/>
      </c>
      <c r="G17930" s="51"/>
      <c r="H17930" s="46" t="str">
        <f>IF(AND(I.Developer.P3=TRUE,I.Facility.P3FacilityCount&gt;=2918,F17930=""),"Incomplete","Complete")</f>
        <v>Complete</v>
      </c>
      <c r="I17930" s="48" t="s">
        <v>22295</v>
      </c>
    </row>
    <row r="17931" spans="2:9" ht="15" customHeight="1" x14ac:dyDescent="0.25">
      <c r="B17931" s="55" t="s">
        <v>282</v>
      </c>
      <c r="C17931" s="46">
        <v>2919</v>
      </c>
      <c r="D17931" s="69" t="s">
        <v>29419</v>
      </c>
      <c r="E17931" s="51"/>
      <c r="F17931" s="114" t="str">
        <f>IF(INDEX(I.Facility.P3IDNumber,2919)="","",INDEX(I.Facility.P3IDNumber,2919))</f>
        <v/>
      </c>
      <c r="G17931" s="51"/>
      <c r="H17931" s="46" t="str">
        <f>IF(AND(I.Developer.P3=TRUE,I.Facility.P3FacilityCount&gt;=2919,F17931=""),"Incomplete","Complete")</f>
        <v>Complete</v>
      </c>
      <c r="I17931" s="48" t="s">
        <v>22296</v>
      </c>
    </row>
    <row r="17932" spans="2:9" ht="15" customHeight="1" x14ac:dyDescent="0.25">
      <c r="B17932" s="55" t="s">
        <v>282</v>
      </c>
      <c r="C17932" s="46">
        <v>2920</v>
      </c>
      <c r="D17932" s="69" t="s">
        <v>29419</v>
      </c>
      <c r="E17932" s="51"/>
      <c r="F17932" s="114" t="str">
        <f>IF(INDEX(I.Facility.P3IDNumber,2920)="","",INDEX(I.Facility.P3IDNumber,2920))</f>
        <v/>
      </c>
      <c r="G17932" s="51"/>
      <c r="H17932" s="46" t="str">
        <f>IF(AND(I.Developer.P3=TRUE,I.Facility.P3FacilityCount&gt;=2920,F17932=""),"Incomplete","Complete")</f>
        <v>Complete</v>
      </c>
      <c r="I17932" s="48" t="s">
        <v>22297</v>
      </c>
    </row>
    <row r="17933" spans="2:9" ht="15" customHeight="1" x14ac:dyDescent="0.25">
      <c r="B17933" s="55" t="s">
        <v>282</v>
      </c>
      <c r="C17933" s="46">
        <v>2921</v>
      </c>
      <c r="D17933" s="69" t="s">
        <v>29419</v>
      </c>
      <c r="E17933" s="51"/>
      <c r="F17933" s="114" t="str">
        <f>IF(INDEX(I.Facility.P3IDNumber,2921)="","",INDEX(I.Facility.P3IDNumber,2921))</f>
        <v/>
      </c>
      <c r="G17933" s="51"/>
      <c r="H17933" s="46" t="str">
        <f>IF(AND(I.Developer.P3=TRUE,I.Facility.P3FacilityCount&gt;=2921,F17933=""),"Incomplete","Complete")</f>
        <v>Complete</v>
      </c>
      <c r="I17933" s="48" t="s">
        <v>22298</v>
      </c>
    </row>
    <row r="17934" spans="2:9" ht="15" customHeight="1" x14ac:dyDescent="0.25">
      <c r="B17934" s="55" t="s">
        <v>282</v>
      </c>
      <c r="C17934" s="46">
        <v>2922</v>
      </c>
      <c r="D17934" s="69" t="s">
        <v>29419</v>
      </c>
      <c r="E17934" s="51"/>
      <c r="F17934" s="114" t="str">
        <f>IF(INDEX(I.Facility.P3IDNumber,2922)="","",INDEX(I.Facility.P3IDNumber,2922))</f>
        <v/>
      </c>
      <c r="G17934" s="51"/>
      <c r="H17934" s="46" t="str">
        <f>IF(AND(I.Developer.P3=TRUE,I.Facility.P3FacilityCount&gt;=2922,F17934=""),"Incomplete","Complete")</f>
        <v>Complete</v>
      </c>
      <c r="I17934" s="48" t="s">
        <v>22299</v>
      </c>
    </row>
    <row r="17935" spans="2:9" ht="15" customHeight="1" x14ac:dyDescent="0.25">
      <c r="B17935" s="55" t="s">
        <v>282</v>
      </c>
      <c r="C17935" s="46">
        <v>2923</v>
      </c>
      <c r="D17935" s="69" t="s">
        <v>29419</v>
      </c>
      <c r="E17935" s="51"/>
      <c r="F17935" s="114" t="str">
        <f>IF(INDEX(I.Facility.P3IDNumber,2923)="","",INDEX(I.Facility.P3IDNumber,2923))</f>
        <v/>
      </c>
      <c r="G17935" s="51"/>
      <c r="H17935" s="46" t="str">
        <f>IF(AND(I.Developer.P3=TRUE,I.Facility.P3FacilityCount&gt;=2923,F17935=""),"Incomplete","Complete")</f>
        <v>Complete</v>
      </c>
      <c r="I17935" s="48" t="s">
        <v>22300</v>
      </c>
    </row>
    <row r="17936" spans="2:9" ht="15" customHeight="1" x14ac:dyDescent="0.25">
      <c r="B17936" s="55" t="s">
        <v>282</v>
      </c>
      <c r="C17936" s="46">
        <v>2924</v>
      </c>
      <c r="D17936" s="69" t="s">
        <v>29419</v>
      </c>
      <c r="E17936" s="51"/>
      <c r="F17936" s="114" t="str">
        <f>IF(INDEX(I.Facility.P3IDNumber,2924)="","",INDEX(I.Facility.P3IDNumber,2924))</f>
        <v/>
      </c>
      <c r="G17936" s="51"/>
      <c r="H17936" s="46" t="str">
        <f>IF(AND(I.Developer.P3=TRUE,I.Facility.P3FacilityCount&gt;=2924,F17936=""),"Incomplete","Complete")</f>
        <v>Complete</v>
      </c>
      <c r="I17936" s="48" t="s">
        <v>22301</v>
      </c>
    </row>
    <row r="17937" spans="2:9" ht="15" customHeight="1" x14ac:dyDescent="0.25">
      <c r="B17937" s="55" t="s">
        <v>282</v>
      </c>
      <c r="C17937" s="46">
        <v>2925</v>
      </c>
      <c r="D17937" s="69" t="s">
        <v>29419</v>
      </c>
      <c r="E17937" s="51"/>
      <c r="F17937" s="114" t="str">
        <f>IF(INDEX(I.Facility.P3IDNumber,2925)="","",INDEX(I.Facility.P3IDNumber,2925))</f>
        <v/>
      </c>
      <c r="G17937" s="51"/>
      <c r="H17937" s="46" t="str">
        <f>IF(AND(I.Developer.P3=TRUE,I.Facility.P3FacilityCount&gt;=2925,F17937=""),"Incomplete","Complete")</f>
        <v>Complete</v>
      </c>
      <c r="I17937" s="48" t="s">
        <v>22302</v>
      </c>
    </row>
    <row r="17938" spans="2:9" ht="15" customHeight="1" x14ac:dyDescent="0.25">
      <c r="B17938" s="55" t="s">
        <v>282</v>
      </c>
      <c r="C17938" s="46">
        <v>2926</v>
      </c>
      <c r="D17938" s="69" t="s">
        <v>29419</v>
      </c>
      <c r="E17938" s="51"/>
      <c r="F17938" s="114" t="str">
        <f>IF(INDEX(I.Facility.P3IDNumber,2926)="","",INDEX(I.Facility.P3IDNumber,2926))</f>
        <v/>
      </c>
      <c r="G17938" s="51"/>
      <c r="H17938" s="46" t="str">
        <f>IF(AND(I.Developer.P3=TRUE,I.Facility.P3FacilityCount&gt;=2926,F17938=""),"Incomplete","Complete")</f>
        <v>Complete</v>
      </c>
      <c r="I17938" s="48" t="s">
        <v>22303</v>
      </c>
    </row>
    <row r="17939" spans="2:9" ht="15" customHeight="1" x14ac:dyDescent="0.25">
      <c r="B17939" s="55" t="s">
        <v>282</v>
      </c>
      <c r="C17939" s="46">
        <v>2927</v>
      </c>
      <c r="D17939" s="69" t="s">
        <v>29419</v>
      </c>
      <c r="E17939" s="51"/>
      <c r="F17939" s="114" t="str">
        <f>IF(INDEX(I.Facility.P3IDNumber,2927)="","",INDEX(I.Facility.P3IDNumber,2927))</f>
        <v/>
      </c>
      <c r="G17939" s="51"/>
      <c r="H17939" s="46" t="str">
        <f>IF(AND(I.Developer.P3=TRUE,I.Facility.P3FacilityCount&gt;=2927,F17939=""),"Incomplete","Complete")</f>
        <v>Complete</v>
      </c>
      <c r="I17939" s="48" t="s">
        <v>22304</v>
      </c>
    </row>
    <row r="17940" spans="2:9" ht="15" customHeight="1" x14ac:dyDescent="0.25">
      <c r="B17940" s="55" t="s">
        <v>282</v>
      </c>
      <c r="C17940" s="46">
        <v>2928</v>
      </c>
      <c r="D17940" s="69" t="s">
        <v>29419</v>
      </c>
      <c r="E17940" s="51"/>
      <c r="F17940" s="114" t="str">
        <f>IF(INDEX(I.Facility.P3IDNumber,2928)="","",INDEX(I.Facility.P3IDNumber,2928))</f>
        <v/>
      </c>
      <c r="G17940" s="51"/>
      <c r="H17940" s="46" t="str">
        <f>IF(AND(I.Developer.P3=TRUE,I.Facility.P3FacilityCount&gt;=2928,F17940=""),"Incomplete","Complete")</f>
        <v>Complete</v>
      </c>
      <c r="I17940" s="48" t="s">
        <v>22305</v>
      </c>
    </row>
    <row r="17941" spans="2:9" ht="15" customHeight="1" x14ac:dyDescent="0.25">
      <c r="B17941" s="55" t="s">
        <v>282</v>
      </c>
      <c r="C17941" s="46">
        <v>2929</v>
      </c>
      <c r="D17941" s="69" t="s">
        <v>29419</v>
      </c>
      <c r="E17941" s="51"/>
      <c r="F17941" s="114" t="str">
        <f>IF(INDEX(I.Facility.P3IDNumber,2929)="","",INDEX(I.Facility.P3IDNumber,2929))</f>
        <v/>
      </c>
      <c r="G17941" s="51"/>
      <c r="H17941" s="46" t="str">
        <f>IF(AND(I.Developer.P3=TRUE,I.Facility.P3FacilityCount&gt;=2929,F17941=""),"Incomplete","Complete")</f>
        <v>Complete</v>
      </c>
      <c r="I17941" s="48" t="s">
        <v>22306</v>
      </c>
    </row>
    <row r="17942" spans="2:9" ht="15" customHeight="1" x14ac:dyDescent="0.25">
      <c r="B17942" s="55" t="s">
        <v>282</v>
      </c>
      <c r="C17942" s="46">
        <v>2930</v>
      </c>
      <c r="D17942" s="69" t="s">
        <v>29419</v>
      </c>
      <c r="E17942" s="51"/>
      <c r="F17942" s="114" t="str">
        <f>IF(INDEX(I.Facility.P3IDNumber,2930)="","",INDEX(I.Facility.P3IDNumber,2930))</f>
        <v/>
      </c>
      <c r="G17942" s="51"/>
      <c r="H17942" s="46" t="str">
        <f>IF(AND(I.Developer.P3=TRUE,I.Facility.P3FacilityCount&gt;=2930,F17942=""),"Incomplete","Complete")</f>
        <v>Complete</v>
      </c>
      <c r="I17942" s="48" t="s">
        <v>22307</v>
      </c>
    </row>
    <row r="17943" spans="2:9" ht="15" customHeight="1" x14ac:dyDescent="0.25">
      <c r="B17943" s="55" t="s">
        <v>282</v>
      </c>
      <c r="C17943" s="46">
        <v>2931</v>
      </c>
      <c r="D17943" s="69" t="s">
        <v>29419</v>
      </c>
      <c r="E17943" s="51"/>
      <c r="F17943" s="114" t="str">
        <f>IF(INDEX(I.Facility.P3IDNumber,2931)="","",INDEX(I.Facility.P3IDNumber,2931))</f>
        <v/>
      </c>
      <c r="G17943" s="51"/>
      <c r="H17943" s="46" t="str">
        <f>IF(AND(I.Developer.P3=TRUE,I.Facility.P3FacilityCount&gt;=2931,F17943=""),"Incomplete","Complete")</f>
        <v>Complete</v>
      </c>
      <c r="I17943" s="48" t="s">
        <v>22308</v>
      </c>
    </row>
    <row r="17944" spans="2:9" ht="15" customHeight="1" x14ac:dyDescent="0.25">
      <c r="B17944" s="55" t="s">
        <v>282</v>
      </c>
      <c r="C17944" s="46">
        <v>2932</v>
      </c>
      <c r="D17944" s="69" t="s">
        <v>29419</v>
      </c>
      <c r="E17944" s="51"/>
      <c r="F17944" s="114" t="str">
        <f>IF(INDEX(I.Facility.P3IDNumber,2932)="","",INDEX(I.Facility.P3IDNumber,2932))</f>
        <v/>
      </c>
      <c r="G17944" s="51"/>
      <c r="H17944" s="46" t="str">
        <f>IF(AND(I.Developer.P3=TRUE,I.Facility.P3FacilityCount&gt;=2932,F17944=""),"Incomplete","Complete")</f>
        <v>Complete</v>
      </c>
      <c r="I17944" s="48" t="s">
        <v>22309</v>
      </c>
    </row>
    <row r="17945" spans="2:9" ht="15" customHeight="1" x14ac:dyDescent="0.25">
      <c r="B17945" s="55" t="s">
        <v>282</v>
      </c>
      <c r="C17945" s="46">
        <v>2933</v>
      </c>
      <c r="D17945" s="69" t="s">
        <v>29419</v>
      </c>
      <c r="E17945" s="51"/>
      <c r="F17945" s="114" t="str">
        <f>IF(INDEX(I.Facility.P3IDNumber,2933)="","",INDEX(I.Facility.P3IDNumber,2933))</f>
        <v/>
      </c>
      <c r="G17945" s="51"/>
      <c r="H17945" s="46" t="str">
        <f>IF(AND(I.Developer.P3=TRUE,I.Facility.P3FacilityCount&gt;=2933,F17945=""),"Incomplete","Complete")</f>
        <v>Complete</v>
      </c>
      <c r="I17945" s="48" t="s">
        <v>22310</v>
      </c>
    </row>
    <row r="17946" spans="2:9" ht="15" customHeight="1" x14ac:dyDescent="0.25">
      <c r="B17946" s="55" t="s">
        <v>282</v>
      </c>
      <c r="C17946" s="46">
        <v>2934</v>
      </c>
      <c r="D17946" s="69" t="s">
        <v>29419</v>
      </c>
      <c r="E17946" s="51"/>
      <c r="F17946" s="114" t="str">
        <f>IF(INDEX(I.Facility.P3IDNumber,2934)="","",INDEX(I.Facility.P3IDNumber,2934))</f>
        <v/>
      </c>
      <c r="G17946" s="51"/>
      <c r="H17946" s="46" t="str">
        <f>IF(AND(I.Developer.P3=TRUE,I.Facility.P3FacilityCount&gt;=2934,F17946=""),"Incomplete","Complete")</f>
        <v>Complete</v>
      </c>
      <c r="I17946" s="48" t="s">
        <v>22311</v>
      </c>
    </row>
    <row r="17947" spans="2:9" ht="15" customHeight="1" x14ac:dyDescent="0.25">
      <c r="B17947" s="55" t="s">
        <v>282</v>
      </c>
      <c r="C17947" s="46">
        <v>2935</v>
      </c>
      <c r="D17947" s="69" t="s">
        <v>29419</v>
      </c>
      <c r="E17947" s="51"/>
      <c r="F17947" s="114" t="str">
        <f>IF(INDEX(I.Facility.P3IDNumber,2935)="","",INDEX(I.Facility.P3IDNumber,2935))</f>
        <v/>
      </c>
      <c r="G17947" s="51"/>
      <c r="H17947" s="46" t="str">
        <f>IF(AND(I.Developer.P3=TRUE,I.Facility.P3FacilityCount&gt;=2935,F17947=""),"Incomplete","Complete")</f>
        <v>Complete</v>
      </c>
      <c r="I17947" s="48" t="s">
        <v>22312</v>
      </c>
    </row>
    <row r="17948" spans="2:9" ht="15" customHeight="1" x14ac:dyDescent="0.25">
      <c r="B17948" s="55" t="s">
        <v>282</v>
      </c>
      <c r="C17948" s="46">
        <v>2936</v>
      </c>
      <c r="D17948" s="69" t="s">
        <v>29419</v>
      </c>
      <c r="E17948" s="51"/>
      <c r="F17948" s="114" t="str">
        <f>IF(INDEX(I.Facility.P3IDNumber,2936)="","",INDEX(I.Facility.P3IDNumber,2936))</f>
        <v/>
      </c>
      <c r="G17948" s="51"/>
      <c r="H17948" s="46" t="str">
        <f>IF(AND(I.Developer.P3=TRUE,I.Facility.P3FacilityCount&gt;=2936,F17948=""),"Incomplete","Complete")</f>
        <v>Complete</v>
      </c>
      <c r="I17948" s="48" t="s">
        <v>22313</v>
      </c>
    </row>
    <row r="17949" spans="2:9" ht="15" customHeight="1" x14ac:dyDescent="0.25">
      <c r="B17949" s="55" t="s">
        <v>282</v>
      </c>
      <c r="C17949" s="46">
        <v>2937</v>
      </c>
      <c r="D17949" s="69" t="s">
        <v>29419</v>
      </c>
      <c r="E17949" s="51"/>
      <c r="F17949" s="114" t="str">
        <f>IF(INDEX(I.Facility.P3IDNumber,2937)="","",INDEX(I.Facility.P3IDNumber,2937))</f>
        <v/>
      </c>
      <c r="G17949" s="51"/>
      <c r="H17949" s="46" t="str">
        <f>IF(AND(I.Developer.P3=TRUE,I.Facility.P3FacilityCount&gt;=2937,F17949=""),"Incomplete","Complete")</f>
        <v>Complete</v>
      </c>
      <c r="I17949" s="48" t="s">
        <v>22314</v>
      </c>
    </row>
    <row r="17950" spans="2:9" ht="15" customHeight="1" x14ac:dyDescent="0.25">
      <c r="B17950" s="55" t="s">
        <v>282</v>
      </c>
      <c r="C17950" s="46">
        <v>2938</v>
      </c>
      <c r="D17950" s="69" t="s">
        <v>29419</v>
      </c>
      <c r="E17950" s="51"/>
      <c r="F17950" s="114" t="str">
        <f>IF(INDEX(I.Facility.P3IDNumber,2938)="","",INDEX(I.Facility.P3IDNumber,2938))</f>
        <v/>
      </c>
      <c r="G17950" s="51"/>
      <c r="H17950" s="46" t="str">
        <f>IF(AND(I.Developer.P3=TRUE,I.Facility.P3FacilityCount&gt;=2938,F17950=""),"Incomplete","Complete")</f>
        <v>Complete</v>
      </c>
      <c r="I17950" s="48" t="s">
        <v>22315</v>
      </c>
    </row>
    <row r="17951" spans="2:9" ht="15" customHeight="1" x14ac:dyDescent="0.25">
      <c r="B17951" s="55" t="s">
        <v>282</v>
      </c>
      <c r="C17951" s="46">
        <v>2939</v>
      </c>
      <c r="D17951" s="69" t="s">
        <v>29419</v>
      </c>
      <c r="E17951" s="51"/>
      <c r="F17951" s="114" t="str">
        <f>IF(INDEX(I.Facility.P3IDNumber,2939)="","",INDEX(I.Facility.P3IDNumber,2939))</f>
        <v/>
      </c>
      <c r="G17951" s="51"/>
      <c r="H17951" s="46" t="str">
        <f>IF(AND(I.Developer.P3=TRUE,I.Facility.P3FacilityCount&gt;=2939,F17951=""),"Incomplete","Complete")</f>
        <v>Complete</v>
      </c>
      <c r="I17951" s="48" t="s">
        <v>22316</v>
      </c>
    </row>
    <row r="17952" spans="2:9" ht="15" customHeight="1" x14ac:dyDescent="0.25">
      <c r="B17952" s="55" t="s">
        <v>282</v>
      </c>
      <c r="C17952" s="46">
        <v>2940</v>
      </c>
      <c r="D17952" s="69" t="s">
        <v>29419</v>
      </c>
      <c r="E17952" s="51"/>
      <c r="F17952" s="114" t="str">
        <f>IF(INDEX(I.Facility.P3IDNumber,2940)="","",INDEX(I.Facility.P3IDNumber,2940))</f>
        <v/>
      </c>
      <c r="G17952" s="51"/>
      <c r="H17952" s="46" t="str">
        <f>IF(AND(I.Developer.P3=TRUE,I.Facility.P3FacilityCount&gt;=2940,F17952=""),"Incomplete","Complete")</f>
        <v>Complete</v>
      </c>
      <c r="I17952" s="48" t="s">
        <v>22317</v>
      </c>
    </row>
    <row r="17953" spans="2:9" ht="15" customHeight="1" x14ac:dyDescent="0.25">
      <c r="B17953" s="55" t="s">
        <v>282</v>
      </c>
      <c r="C17953" s="46">
        <v>2941</v>
      </c>
      <c r="D17953" s="69" t="s">
        <v>29419</v>
      </c>
      <c r="E17953" s="51"/>
      <c r="F17953" s="114" t="str">
        <f>IF(INDEX(I.Facility.P3IDNumber,2941)="","",INDEX(I.Facility.P3IDNumber,2941))</f>
        <v/>
      </c>
      <c r="G17953" s="51"/>
      <c r="H17953" s="46" t="str">
        <f>IF(AND(I.Developer.P3=TRUE,I.Facility.P3FacilityCount&gt;=2941,F17953=""),"Incomplete","Complete")</f>
        <v>Complete</v>
      </c>
      <c r="I17953" s="48" t="s">
        <v>22318</v>
      </c>
    </row>
    <row r="17954" spans="2:9" ht="15" customHeight="1" x14ac:dyDescent="0.25">
      <c r="B17954" s="55" t="s">
        <v>282</v>
      </c>
      <c r="C17954" s="46">
        <v>2942</v>
      </c>
      <c r="D17954" s="69" t="s">
        <v>29419</v>
      </c>
      <c r="E17954" s="51"/>
      <c r="F17954" s="114" t="str">
        <f>IF(INDEX(I.Facility.P3IDNumber,2942)="","",INDEX(I.Facility.P3IDNumber,2942))</f>
        <v/>
      </c>
      <c r="G17954" s="51"/>
      <c r="H17954" s="46" t="str">
        <f>IF(AND(I.Developer.P3=TRUE,I.Facility.P3FacilityCount&gt;=2942,F17954=""),"Incomplete","Complete")</f>
        <v>Complete</v>
      </c>
      <c r="I17954" s="48" t="s">
        <v>22319</v>
      </c>
    </row>
    <row r="17955" spans="2:9" ht="15" customHeight="1" x14ac:dyDescent="0.25">
      <c r="B17955" s="55" t="s">
        <v>282</v>
      </c>
      <c r="C17955" s="46">
        <v>2943</v>
      </c>
      <c r="D17955" s="69" t="s">
        <v>29419</v>
      </c>
      <c r="E17955" s="51"/>
      <c r="F17955" s="114" t="str">
        <f>IF(INDEX(I.Facility.P3IDNumber,2943)="","",INDEX(I.Facility.P3IDNumber,2943))</f>
        <v/>
      </c>
      <c r="G17955" s="51"/>
      <c r="H17955" s="46" t="str">
        <f>IF(AND(I.Developer.P3=TRUE,I.Facility.P3FacilityCount&gt;=2943,F17955=""),"Incomplete","Complete")</f>
        <v>Complete</v>
      </c>
      <c r="I17955" s="48" t="s">
        <v>22320</v>
      </c>
    </row>
    <row r="17956" spans="2:9" ht="15" customHeight="1" x14ac:dyDescent="0.25">
      <c r="B17956" s="55" t="s">
        <v>282</v>
      </c>
      <c r="C17956" s="46">
        <v>2944</v>
      </c>
      <c r="D17956" s="69" t="s">
        <v>29419</v>
      </c>
      <c r="E17956" s="51"/>
      <c r="F17956" s="114" t="str">
        <f>IF(INDEX(I.Facility.P3IDNumber,2944)="","",INDEX(I.Facility.P3IDNumber,2944))</f>
        <v/>
      </c>
      <c r="G17956" s="51"/>
      <c r="H17956" s="46" t="str">
        <f>IF(AND(I.Developer.P3=TRUE,I.Facility.P3FacilityCount&gt;=2944,F17956=""),"Incomplete","Complete")</f>
        <v>Complete</v>
      </c>
      <c r="I17956" s="48" t="s">
        <v>22321</v>
      </c>
    </row>
    <row r="17957" spans="2:9" ht="15" customHeight="1" x14ac:dyDescent="0.25">
      <c r="B17957" s="55" t="s">
        <v>282</v>
      </c>
      <c r="C17957" s="46">
        <v>2945</v>
      </c>
      <c r="D17957" s="69" t="s">
        <v>29419</v>
      </c>
      <c r="E17957" s="51"/>
      <c r="F17957" s="114" t="str">
        <f>IF(INDEX(I.Facility.P3IDNumber,2945)="","",INDEX(I.Facility.P3IDNumber,2945))</f>
        <v/>
      </c>
      <c r="G17957" s="51"/>
      <c r="H17957" s="46" t="str">
        <f>IF(AND(I.Developer.P3=TRUE,I.Facility.P3FacilityCount&gt;=2945,F17957=""),"Incomplete","Complete")</f>
        <v>Complete</v>
      </c>
      <c r="I17957" s="48" t="s">
        <v>22322</v>
      </c>
    </row>
    <row r="17958" spans="2:9" ht="15" customHeight="1" x14ac:dyDescent="0.25">
      <c r="B17958" s="55" t="s">
        <v>282</v>
      </c>
      <c r="C17958" s="46">
        <v>2946</v>
      </c>
      <c r="D17958" s="69" t="s">
        <v>29419</v>
      </c>
      <c r="E17958" s="51"/>
      <c r="F17958" s="114" t="str">
        <f>IF(INDEX(I.Facility.P3IDNumber,2946)="","",INDEX(I.Facility.P3IDNumber,2946))</f>
        <v/>
      </c>
      <c r="G17958" s="51"/>
      <c r="H17958" s="46" t="str">
        <f>IF(AND(I.Developer.P3=TRUE,I.Facility.P3FacilityCount&gt;=2946,F17958=""),"Incomplete","Complete")</f>
        <v>Complete</v>
      </c>
      <c r="I17958" s="48" t="s">
        <v>22323</v>
      </c>
    </row>
    <row r="17959" spans="2:9" ht="15" customHeight="1" x14ac:dyDescent="0.25">
      <c r="B17959" s="55" t="s">
        <v>282</v>
      </c>
      <c r="C17959" s="46">
        <v>2947</v>
      </c>
      <c r="D17959" s="69" t="s">
        <v>29419</v>
      </c>
      <c r="E17959" s="51"/>
      <c r="F17959" s="114" t="str">
        <f>IF(INDEX(I.Facility.P3IDNumber,2947)="","",INDEX(I.Facility.P3IDNumber,2947))</f>
        <v/>
      </c>
      <c r="G17959" s="51"/>
      <c r="H17959" s="46" t="str">
        <f>IF(AND(I.Developer.P3=TRUE,I.Facility.P3FacilityCount&gt;=2947,F17959=""),"Incomplete","Complete")</f>
        <v>Complete</v>
      </c>
      <c r="I17959" s="48" t="s">
        <v>22324</v>
      </c>
    </row>
    <row r="17960" spans="2:9" ht="15" customHeight="1" x14ac:dyDescent="0.25">
      <c r="B17960" s="55" t="s">
        <v>282</v>
      </c>
      <c r="C17960" s="46">
        <v>2948</v>
      </c>
      <c r="D17960" s="69" t="s">
        <v>29419</v>
      </c>
      <c r="E17960" s="51"/>
      <c r="F17960" s="114" t="str">
        <f>IF(INDEX(I.Facility.P3IDNumber,2948)="","",INDEX(I.Facility.P3IDNumber,2948))</f>
        <v/>
      </c>
      <c r="G17960" s="51"/>
      <c r="H17960" s="46" t="str">
        <f>IF(AND(I.Developer.P3=TRUE,I.Facility.P3FacilityCount&gt;=2948,F17960=""),"Incomplete","Complete")</f>
        <v>Complete</v>
      </c>
      <c r="I17960" s="48" t="s">
        <v>22325</v>
      </c>
    </row>
    <row r="17961" spans="2:9" ht="15" customHeight="1" x14ac:dyDescent="0.25">
      <c r="B17961" s="55" t="s">
        <v>282</v>
      </c>
      <c r="C17961" s="46">
        <v>2949</v>
      </c>
      <c r="D17961" s="69" t="s">
        <v>29419</v>
      </c>
      <c r="E17961" s="51"/>
      <c r="F17961" s="114" t="str">
        <f>IF(INDEX(I.Facility.P3IDNumber,2949)="","",INDEX(I.Facility.P3IDNumber,2949))</f>
        <v/>
      </c>
      <c r="G17961" s="51"/>
      <c r="H17961" s="46" t="str">
        <f>IF(AND(I.Developer.P3=TRUE,I.Facility.P3FacilityCount&gt;=2949,F17961=""),"Incomplete","Complete")</f>
        <v>Complete</v>
      </c>
      <c r="I17961" s="48" t="s">
        <v>22326</v>
      </c>
    </row>
    <row r="17962" spans="2:9" ht="15" customHeight="1" x14ac:dyDescent="0.25">
      <c r="B17962" s="55" t="s">
        <v>282</v>
      </c>
      <c r="C17962" s="46">
        <v>2950</v>
      </c>
      <c r="D17962" s="69" t="s">
        <v>29419</v>
      </c>
      <c r="E17962" s="51"/>
      <c r="F17962" s="114" t="str">
        <f>IF(INDEX(I.Facility.P3IDNumber,2950)="","",INDEX(I.Facility.P3IDNumber,2950))</f>
        <v/>
      </c>
      <c r="G17962" s="51"/>
      <c r="H17962" s="46" t="str">
        <f>IF(AND(I.Developer.P3=TRUE,I.Facility.P3FacilityCount&gt;=2950,F17962=""),"Incomplete","Complete")</f>
        <v>Complete</v>
      </c>
      <c r="I17962" s="48" t="s">
        <v>22327</v>
      </c>
    </row>
    <row r="17963" spans="2:9" ht="15" customHeight="1" x14ac:dyDescent="0.25">
      <c r="B17963" s="55" t="s">
        <v>282</v>
      </c>
      <c r="C17963" s="46">
        <v>2951</v>
      </c>
      <c r="D17963" s="69" t="s">
        <v>29419</v>
      </c>
      <c r="E17963" s="51"/>
      <c r="F17963" s="114" t="str">
        <f>IF(INDEX(I.Facility.P3IDNumber,2951)="","",INDEX(I.Facility.P3IDNumber,2951))</f>
        <v/>
      </c>
      <c r="G17963" s="51"/>
      <c r="H17963" s="46" t="str">
        <f>IF(AND(I.Developer.P3=TRUE,I.Facility.P3FacilityCount&gt;=2951,F17963=""),"Incomplete","Complete")</f>
        <v>Complete</v>
      </c>
      <c r="I17963" s="48" t="s">
        <v>22328</v>
      </c>
    </row>
    <row r="17964" spans="2:9" ht="15" customHeight="1" x14ac:dyDescent="0.25">
      <c r="B17964" s="55" t="s">
        <v>282</v>
      </c>
      <c r="C17964" s="46">
        <v>2952</v>
      </c>
      <c r="D17964" s="69" t="s">
        <v>29419</v>
      </c>
      <c r="E17964" s="51"/>
      <c r="F17964" s="114" t="str">
        <f>IF(INDEX(I.Facility.P3IDNumber,2952)="","",INDEX(I.Facility.P3IDNumber,2952))</f>
        <v/>
      </c>
      <c r="G17964" s="51"/>
      <c r="H17964" s="46" t="str">
        <f>IF(AND(I.Developer.P3=TRUE,I.Facility.P3FacilityCount&gt;=2952,F17964=""),"Incomplete","Complete")</f>
        <v>Complete</v>
      </c>
      <c r="I17964" s="48" t="s">
        <v>22329</v>
      </c>
    </row>
    <row r="17965" spans="2:9" ht="15" customHeight="1" x14ac:dyDescent="0.25">
      <c r="B17965" s="55" t="s">
        <v>282</v>
      </c>
      <c r="C17965" s="46">
        <v>2953</v>
      </c>
      <c r="D17965" s="69" t="s">
        <v>29419</v>
      </c>
      <c r="E17965" s="51"/>
      <c r="F17965" s="114" t="str">
        <f>IF(INDEX(I.Facility.P3IDNumber,2953)="","",INDEX(I.Facility.P3IDNumber,2953))</f>
        <v/>
      </c>
      <c r="G17965" s="51"/>
      <c r="H17965" s="46" t="str">
        <f>IF(AND(I.Developer.P3=TRUE,I.Facility.P3FacilityCount&gt;=2953,F17965=""),"Incomplete","Complete")</f>
        <v>Complete</v>
      </c>
      <c r="I17965" s="48" t="s">
        <v>22330</v>
      </c>
    </row>
    <row r="17966" spans="2:9" ht="15" customHeight="1" x14ac:dyDescent="0.25">
      <c r="B17966" s="55" t="s">
        <v>282</v>
      </c>
      <c r="C17966" s="46">
        <v>2954</v>
      </c>
      <c r="D17966" s="69" t="s">
        <v>29419</v>
      </c>
      <c r="E17966" s="51"/>
      <c r="F17966" s="114" t="str">
        <f>IF(INDEX(I.Facility.P3IDNumber,2954)="","",INDEX(I.Facility.P3IDNumber,2954))</f>
        <v/>
      </c>
      <c r="G17966" s="51"/>
      <c r="H17966" s="46" t="str">
        <f>IF(AND(I.Developer.P3=TRUE,I.Facility.P3FacilityCount&gt;=2954,F17966=""),"Incomplete","Complete")</f>
        <v>Complete</v>
      </c>
      <c r="I17966" s="48" t="s">
        <v>22331</v>
      </c>
    </row>
    <row r="17967" spans="2:9" ht="15" customHeight="1" x14ac:dyDescent="0.25">
      <c r="B17967" s="55" t="s">
        <v>282</v>
      </c>
      <c r="C17967" s="46">
        <v>2955</v>
      </c>
      <c r="D17967" s="69" t="s">
        <v>29419</v>
      </c>
      <c r="E17967" s="51"/>
      <c r="F17967" s="114" t="str">
        <f>IF(INDEX(I.Facility.P3IDNumber,2955)="","",INDEX(I.Facility.P3IDNumber,2955))</f>
        <v/>
      </c>
      <c r="G17967" s="51"/>
      <c r="H17967" s="46" t="str">
        <f>IF(AND(I.Developer.P3=TRUE,I.Facility.P3FacilityCount&gt;=2955,F17967=""),"Incomplete","Complete")</f>
        <v>Complete</v>
      </c>
      <c r="I17967" s="48" t="s">
        <v>22332</v>
      </c>
    </row>
    <row r="17968" spans="2:9" ht="15" customHeight="1" x14ac:dyDescent="0.25">
      <c r="B17968" s="55" t="s">
        <v>282</v>
      </c>
      <c r="C17968" s="46">
        <v>2956</v>
      </c>
      <c r="D17968" s="69" t="s">
        <v>29419</v>
      </c>
      <c r="E17968" s="51"/>
      <c r="F17968" s="114" t="str">
        <f>IF(INDEX(I.Facility.P3IDNumber,2956)="","",INDEX(I.Facility.P3IDNumber,2956))</f>
        <v/>
      </c>
      <c r="G17968" s="51"/>
      <c r="H17968" s="46" t="str">
        <f>IF(AND(I.Developer.P3=TRUE,I.Facility.P3FacilityCount&gt;=2956,F17968=""),"Incomplete","Complete")</f>
        <v>Complete</v>
      </c>
      <c r="I17968" s="48" t="s">
        <v>22333</v>
      </c>
    </row>
    <row r="17969" spans="2:9" ht="15" customHeight="1" x14ac:dyDescent="0.25">
      <c r="B17969" s="55" t="s">
        <v>282</v>
      </c>
      <c r="C17969" s="46">
        <v>2957</v>
      </c>
      <c r="D17969" s="69" t="s">
        <v>29419</v>
      </c>
      <c r="E17969" s="51"/>
      <c r="F17969" s="114" t="str">
        <f>IF(INDEX(I.Facility.P3IDNumber,2957)="","",INDEX(I.Facility.P3IDNumber,2957))</f>
        <v/>
      </c>
      <c r="G17969" s="51"/>
      <c r="H17969" s="46" t="str">
        <f>IF(AND(I.Developer.P3=TRUE,I.Facility.P3FacilityCount&gt;=2957,F17969=""),"Incomplete","Complete")</f>
        <v>Complete</v>
      </c>
      <c r="I17969" s="48" t="s">
        <v>22334</v>
      </c>
    </row>
    <row r="17970" spans="2:9" ht="15" customHeight="1" x14ac:dyDescent="0.25">
      <c r="B17970" s="55" t="s">
        <v>282</v>
      </c>
      <c r="C17970" s="46">
        <v>2958</v>
      </c>
      <c r="D17970" s="69" t="s">
        <v>29419</v>
      </c>
      <c r="E17970" s="51"/>
      <c r="F17970" s="114" t="str">
        <f>IF(INDEX(I.Facility.P3IDNumber,2958)="","",INDEX(I.Facility.P3IDNumber,2958))</f>
        <v/>
      </c>
      <c r="G17970" s="51"/>
      <c r="H17970" s="46" t="str">
        <f>IF(AND(I.Developer.P3=TRUE,I.Facility.P3FacilityCount&gt;=2958,F17970=""),"Incomplete","Complete")</f>
        <v>Complete</v>
      </c>
      <c r="I17970" s="48" t="s">
        <v>22335</v>
      </c>
    </row>
    <row r="17971" spans="2:9" ht="15" customHeight="1" x14ac:dyDescent="0.25">
      <c r="B17971" s="55" t="s">
        <v>282</v>
      </c>
      <c r="C17971" s="46">
        <v>2959</v>
      </c>
      <c r="D17971" s="69" t="s">
        <v>29419</v>
      </c>
      <c r="E17971" s="51"/>
      <c r="F17971" s="114" t="str">
        <f>IF(INDEX(I.Facility.P3IDNumber,2959)="","",INDEX(I.Facility.P3IDNumber,2959))</f>
        <v/>
      </c>
      <c r="G17971" s="51"/>
      <c r="H17971" s="46" t="str">
        <f>IF(AND(I.Developer.P3=TRUE,I.Facility.P3FacilityCount&gt;=2959,F17971=""),"Incomplete","Complete")</f>
        <v>Complete</v>
      </c>
      <c r="I17971" s="48" t="s">
        <v>22336</v>
      </c>
    </row>
    <row r="17972" spans="2:9" ht="15" customHeight="1" x14ac:dyDescent="0.25">
      <c r="B17972" s="55" t="s">
        <v>282</v>
      </c>
      <c r="C17972" s="46">
        <v>2960</v>
      </c>
      <c r="D17972" s="69" t="s">
        <v>29419</v>
      </c>
      <c r="E17972" s="51"/>
      <c r="F17972" s="114" t="str">
        <f>IF(INDEX(I.Facility.P3IDNumber,2960)="","",INDEX(I.Facility.P3IDNumber,2960))</f>
        <v/>
      </c>
      <c r="G17972" s="51"/>
      <c r="H17972" s="46" t="str">
        <f>IF(AND(I.Developer.P3=TRUE,I.Facility.P3FacilityCount&gt;=2960,F17972=""),"Incomplete","Complete")</f>
        <v>Complete</v>
      </c>
      <c r="I17972" s="48" t="s">
        <v>22337</v>
      </c>
    </row>
    <row r="17973" spans="2:9" ht="15" customHeight="1" x14ac:dyDescent="0.25">
      <c r="B17973" s="55" t="s">
        <v>282</v>
      </c>
      <c r="C17973" s="46">
        <v>2961</v>
      </c>
      <c r="D17973" s="69" t="s">
        <v>29419</v>
      </c>
      <c r="E17973" s="51"/>
      <c r="F17973" s="114" t="str">
        <f>IF(INDEX(I.Facility.P3IDNumber,2961)="","",INDEX(I.Facility.P3IDNumber,2961))</f>
        <v/>
      </c>
      <c r="G17973" s="51"/>
      <c r="H17973" s="46" t="str">
        <f>IF(AND(I.Developer.P3=TRUE,I.Facility.P3FacilityCount&gt;=2961,F17973=""),"Incomplete","Complete")</f>
        <v>Complete</v>
      </c>
      <c r="I17973" s="48" t="s">
        <v>22338</v>
      </c>
    </row>
    <row r="17974" spans="2:9" ht="15" customHeight="1" x14ac:dyDescent="0.25">
      <c r="B17974" s="55" t="s">
        <v>282</v>
      </c>
      <c r="C17974" s="46">
        <v>2962</v>
      </c>
      <c r="D17974" s="69" t="s">
        <v>29419</v>
      </c>
      <c r="E17974" s="51"/>
      <c r="F17974" s="114" t="str">
        <f>IF(INDEX(I.Facility.P3IDNumber,2962)="","",INDEX(I.Facility.P3IDNumber,2962))</f>
        <v/>
      </c>
      <c r="G17974" s="51"/>
      <c r="H17974" s="46" t="str">
        <f>IF(AND(I.Developer.P3=TRUE,I.Facility.P3FacilityCount&gt;=2962,F17974=""),"Incomplete","Complete")</f>
        <v>Complete</v>
      </c>
      <c r="I17974" s="48" t="s">
        <v>22339</v>
      </c>
    </row>
    <row r="17975" spans="2:9" ht="15" customHeight="1" x14ac:dyDescent="0.25">
      <c r="B17975" s="55" t="s">
        <v>282</v>
      </c>
      <c r="C17975" s="46">
        <v>2963</v>
      </c>
      <c r="D17975" s="69" t="s">
        <v>29419</v>
      </c>
      <c r="E17975" s="51"/>
      <c r="F17975" s="114" t="str">
        <f>IF(INDEX(I.Facility.P3IDNumber,2963)="","",INDEX(I.Facility.P3IDNumber,2963))</f>
        <v/>
      </c>
      <c r="G17975" s="51"/>
      <c r="H17975" s="46" t="str">
        <f>IF(AND(I.Developer.P3=TRUE,I.Facility.P3FacilityCount&gt;=2963,F17975=""),"Incomplete","Complete")</f>
        <v>Complete</v>
      </c>
      <c r="I17975" s="48" t="s">
        <v>22340</v>
      </c>
    </row>
    <row r="17976" spans="2:9" ht="15" customHeight="1" x14ac:dyDescent="0.25">
      <c r="B17976" s="55" t="s">
        <v>282</v>
      </c>
      <c r="C17976" s="46">
        <v>2964</v>
      </c>
      <c r="D17976" s="69" t="s">
        <v>29419</v>
      </c>
      <c r="E17976" s="51"/>
      <c r="F17976" s="114" t="str">
        <f>IF(INDEX(I.Facility.P3IDNumber,2964)="","",INDEX(I.Facility.P3IDNumber,2964))</f>
        <v/>
      </c>
      <c r="G17976" s="51"/>
      <c r="H17976" s="46" t="str">
        <f>IF(AND(I.Developer.P3=TRUE,I.Facility.P3FacilityCount&gt;=2964,F17976=""),"Incomplete","Complete")</f>
        <v>Complete</v>
      </c>
      <c r="I17976" s="48" t="s">
        <v>22341</v>
      </c>
    </row>
    <row r="17977" spans="2:9" ht="15" customHeight="1" x14ac:dyDescent="0.25">
      <c r="B17977" s="55" t="s">
        <v>282</v>
      </c>
      <c r="C17977" s="46">
        <v>2965</v>
      </c>
      <c r="D17977" s="69" t="s">
        <v>29419</v>
      </c>
      <c r="E17977" s="51"/>
      <c r="F17977" s="114" t="str">
        <f>IF(INDEX(I.Facility.P3IDNumber,2965)="","",INDEX(I.Facility.P3IDNumber,2965))</f>
        <v/>
      </c>
      <c r="G17977" s="51"/>
      <c r="H17977" s="46" t="str">
        <f>IF(AND(I.Developer.P3=TRUE,I.Facility.P3FacilityCount&gt;=2965,F17977=""),"Incomplete","Complete")</f>
        <v>Complete</v>
      </c>
      <c r="I17977" s="48" t="s">
        <v>22342</v>
      </c>
    </row>
    <row r="17978" spans="2:9" ht="15" customHeight="1" x14ac:dyDescent="0.25">
      <c r="B17978" s="55" t="s">
        <v>282</v>
      </c>
      <c r="C17978" s="46">
        <v>2966</v>
      </c>
      <c r="D17978" s="69" t="s">
        <v>29419</v>
      </c>
      <c r="E17978" s="51"/>
      <c r="F17978" s="114" t="str">
        <f>IF(INDEX(I.Facility.P3IDNumber,2966)="","",INDEX(I.Facility.P3IDNumber,2966))</f>
        <v/>
      </c>
      <c r="G17978" s="51"/>
      <c r="H17978" s="46" t="str">
        <f>IF(AND(I.Developer.P3=TRUE,I.Facility.P3FacilityCount&gt;=2966,F17978=""),"Incomplete","Complete")</f>
        <v>Complete</v>
      </c>
      <c r="I17978" s="48" t="s">
        <v>22343</v>
      </c>
    </row>
    <row r="17979" spans="2:9" ht="15" customHeight="1" x14ac:dyDescent="0.25">
      <c r="B17979" s="55" t="s">
        <v>282</v>
      </c>
      <c r="C17979" s="46">
        <v>2967</v>
      </c>
      <c r="D17979" s="69" t="s">
        <v>29419</v>
      </c>
      <c r="E17979" s="51"/>
      <c r="F17979" s="114" t="str">
        <f>IF(INDEX(I.Facility.P3IDNumber,2967)="","",INDEX(I.Facility.P3IDNumber,2967))</f>
        <v/>
      </c>
      <c r="G17979" s="51"/>
      <c r="H17979" s="46" t="str">
        <f>IF(AND(I.Developer.P3=TRUE,I.Facility.P3FacilityCount&gt;=2967,F17979=""),"Incomplete","Complete")</f>
        <v>Complete</v>
      </c>
      <c r="I17979" s="48" t="s">
        <v>22344</v>
      </c>
    </row>
    <row r="17980" spans="2:9" ht="15" customHeight="1" x14ac:dyDescent="0.25">
      <c r="B17980" s="55" t="s">
        <v>282</v>
      </c>
      <c r="C17980" s="46">
        <v>2968</v>
      </c>
      <c r="D17980" s="69" t="s">
        <v>29419</v>
      </c>
      <c r="E17980" s="51"/>
      <c r="F17980" s="114" t="str">
        <f>IF(INDEX(I.Facility.P3IDNumber,2968)="","",INDEX(I.Facility.P3IDNumber,2968))</f>
        <v/>
      </c>
      <c r="G17980" s="51"/>
      <c r="H17980" s="46" t="str">
        <f>IF(AND(I.Developer.P3=TRUE,I.Facility.P3FacilityCount&gt;=2968,F17980=""),"Incomplete","Complete")</f>
        <v>Complete</v>
      </c>
      <c r="I17980" s="48" t="s">
        <v>22345</v>
      </c>
    </row>
    <row r="17981" spans="2:9" ht="15" customHeight="1" x14ac:dyDescent="0.25">
      <c r="B17981" s="55" t="s">
        <v>282</v>
      </c>
      <c r="C17981" s="46">
        <v>2969</v>
      </c>
      <c r="D17981" s="69" t="s">
        <v>29419</v>
      </c>
      <c r="E17981" s="51"/>
      <c r="F17981" s="114" t="str">
        <f>IF(INDEX(I.Facility.P3IDNumber,2969)="","",INDEX(I.Facility.P3IDNumber,2969))</f>
        <v/>
      </c>
      <c r="G17981" s="51"/>
      <c r="H17981" s="46" t="str">
        <f>IF(AND(I.Developer.P3=TRUE,I.Facility.P3FacilityCount&gt;=2969,F17981=""),"Incomplete","Complete")</f>
        <v>Complete</v>
      </c>
      <c r="I17981" s="48" t="s">
        <v>22346</v>
      </c>
    </row>
    <row r="17982" spans="2:9" ht="15" customHeight="1" x14ac:dyDescent="0.25">
      <c r="B17982" s="55" t="s">
        <v>282</v>
      </c>
      <c r="C17982" s="46">
        <v>2970</v>
      </c>
      <c r="D17982" s="69" t="s">
        <v>29419</v>
      </c>
      <c r="E17982" s="51"/>
      <c r="F17982" s="114" t="str">
        <f>IF(INDEX(I.Facility.P3IDNumber,2970)="","",INDEX(I.Facility.P3IDNumber,2970))</f>
        <v/>
      </c>
      <c r="G17982" s="51"/>
      <c r="H17982" s="46" t="str">
        <f>IF(AND(I.Developer.P3=TRUE,I.Facility.P3FacilityCount&gt;=2970,F17982=""),"Incomplete","Complete")</f>
        <v>Complete</v>
      </c>
      <c r="I17982" s="48" t="s">
        <v>22347</v>
      </c>
    </row>
    <row r="17983" spans="2:9" ht="15" customHeight="1" x14ac:dyDescent="0.25">
      <c r="B17983" s="55" t="s">
        <v>282</v>
      </c>
      <c r="C17983" s="46">
        <v>2971</v>
      </c>
      <c r="D17983" s="69" t="s">
        <v>29419</v>
      </c>
      <c r="E17983" s="51"/>
      <c r="F17983" s="114" t="str">
        <f>IF(INDEX(I.Facility.P3IDNumber,2971)="","",INDEX(I.Facility.P3IDNumber,2971))</f>
        <v/>
      </c>
      <c r="G17983" s="51"/>
      <c r="H17983" s="46" t="str">
        <f>IF(AND(I.Developer.P3=TRUE,I.Facility.P3FacilityCount&gt;=2971,F17983=""),"Incomplete","Complete")</f>
        <v>Complete</v>
      </c>
      <c r="I17983" s="48" t="s">
        <v>22348</v>
      </c>
    </row>
    <row r="17984" spans="2:9" ht="15" customHeight="1" x14ac:dyDescent="0.25">
      <c r="B17984" s="55" t="s">
        <v>282</v>
      </c>
      <c r="C17984" s="46">
        <v>2972</v>
      </c>
      <c r="D17984" s="69" t="s">
        <v>29419</v>
      </c>
      <c r="E17984" s="51"/>
      <c r="F17984" s="114" t="str">
        <f>IF(INDEX(I.Facility.P3IDNumber,2972)="","",INDEX(I.Facility.P3IDNumber,2972))</f>
        <v/>
      </c>
      <c r="G17984" s="51"/>
      <c r="H17984" s="46" t="str">
        <f>IF(AND(I.Developer.P3=TRUE,I.Facility.P3FacilityCount&gt;=2972,F17984=""),"Incomplete","Complete")</f>
        <v>Complete</v>
      </c>
      <c r="I17984" s="48" t="s">
        <v>22349</v>
      </c>
    </row>
    <row r="17985" spans="2:9" ht="15" customHeight="1" x14ac:dyDescent="0.25">
      <c r="B17985" s="55" t="s">
        <v>282</v>
      </c>
      <c r="C17985" s="46">
        <v>2973</v>
      </c>
      <c r="D17985" s="69" t="s">
        <v>29419</v>
      </c>
      <c r="E17985" s="51"/>
      <c r="F17985" s="114" t="str">
        <f>IF(INDEX(I.Facility.P3IDNumber,2973)="","",INDEX(I.Facility.P3IDNumber,2973))</f>
        <v/>
      </c>
      <c r="G17985" s="51"/>
      <c r="H17985" s="46" t="str">
        <f>IF(AND(I.Developer.P3=TRUE,I.Facility.P3FacilityCount&gt;=2973,F17985=""),"Incomplete","Complete")</f>
        <v>Complete</v>
      </c>
      <c r="I17985" s="48" t="s">
        <v>22350</v>
      </c>
    </row>
    <row r="17986" spans="2:9" ht="15" customHeight="1" x14ac:dyDescent="0.25">
      <c r="B17986" s="55" t="s">
        <v>282</v>
      </c>
      <c r="C17986" s="46">
        <v>2974</v>
      </c>
      <c r="D17986" s="69" t="s">
        <v>29419</v>
      </c>
      <c r="E17986" s="51"/>
      <c r="F17986" s="114" t="str">
        <f>IF(INDEX(I.Facility.P3IDNumber,2974)="","",INDEX(I.Facility.P3IDNumber,2974))</f>
        <v/>
      </c>
      <c r="G17986" s="51"/>
      <c r="H17986" s="46" t="str">
        <f>IF(AND(I.Developer.P3=TRUE,I.Facility.P3FacilityCount&gt;=2974,F17986=""),"Incomplete","Complete")</f>
        <v>Complete</v>
      </c>
      <c r="I17986" s="48" t="s">
        <v>22351</v>
      </c>
    </row>
    <row r="17987" spans="2:9" ht="15" customHeight="1" x14ac:dyDescent="0.25">
      <c r="B17987" s="55" t="s">
        <v>282</v>
      </c>
      <c r="C17987" s="46">
        <v>2975</v>
      </c>
      <c r="D17987" s="69" t="s">
        <v>29419</v>
      </c>
      <c r="E17987" s="51"/>
      <c r="F17987" s="114" t="str">
        <f>IF(INDEX(I.Facility.P3IDNumber,2975)="","",INDEX(I.Facility.P3IDNumber,2975))</f>
        <v/>
      </c>
      <c r="G17987" s="51"/>
      <c r="H17987" s="46" t="str">
        <f>IF(AND(I.Developer.P3=TRUE,I.Facility.P3FacilityCount&gt;=2975,F17987=""),"Incomplete","Complete")</f>
        <v>Complete</v>
      </c>
      <c r="I17987" s="48" t="s">
        <v>22352</v>
      </c>
    </row>
    <row r="17988" spans="2:9" ht="15" customHeight="1" x14ac:dyDescent="0.25">
      <c r="B17988" s="55" t="s">
        <v>282</v>
      </c>
      <c r="C17988" s="46">
        <v>2976</v>
      </c>
      <c r="D17988" s="69" t="s">
        <v>29419</v>
      </c>
      <c r="E17988" s="51"/>
      <c r="F17988" s="114" t="str">
        <f>IF(INDEX(I.Facility.P3IDNumber,2976)="","",INDEX(I.Facility.P3IDNumber,2976))</f>
        <v/>
      </c>
      <c r="G17988" s="51"/>
      <c r="H17988" s="46" t="str">
        <f>IF(AND(I.Developer.P3=TRUE,I.Facility.P3FacilityCount&gt;=2976,F17988=""),"Incomplete","Complete")</f>
        <v>Complete</v>
      </c>
      <c r="I17988" s="48" t="s">
        <v>22353</v>
      </c>
    </row>
    <row r="17989" spans="2:9" ht="15" customHeight="1" x14ac:dyDescent="0.25">
      <c r="B17989" s="55" t="s">
        <v>282</v>
      </c>
      <c r="C17989" s="46">
        <v>2977</v>
      </c>
      <c r="D17989" s="69" t="s">
        <v>29419</v>
      </c>
      <c r="E17989" s="51"/>
      <c r="F17989" s="114" t="str">
        <f>IF(INDEX(I.Facility.P3IDNumber,2977)="","",INDEX(I.Facility.P3IDNumber,2977))</f>
        <v/>
      </c>
      <c r="G17989" s="51"/>
      <c r="H17989" s="46" t="str">
        <f>IF(AND(I.Developer.P3=TRUE,I.Facility.P3FacilityCount&gt;=2977,F17989=""),"Incomplete","Complete")</f>
        <v>Complete</v>
      </c>
      <c r="I17989" s="48" t="s">
        <v>22354</v>
      </c>
    </row>
    <row r="17990" spans="2:9" ht="15" customHeight="1" x14ac:dyDescent="0.25">
      <c r="B17990" s="55" t="s">
        <v>282</v>
      </c>
      <c r="C17990" s="46">
        <v>2978</v>
      </c>
      <c r="D17990" s="69" t="s">
        <v>29419</v>
      </c>
      <c r="E17990" s="51"/>
      <c r="F17990" s="114" t="str">
        <f>IF(INDEX(I.Facility.P3IDNumber,2978)="","",INDEX(I.Facility.P3IDNumber,2978))</f>
        <v/>
      </c>
      <c r="G17990" s="51"/>
      <c r="H17990" s="46" t="str">
        <f>IF(AND(I.Developer.P3=TRUE,I.Facility.P3FacilityCount&gt;=2978,F17990=""),"Incomplete","Complete")</f>
        <v>Complete</v>
      </c>
      <c r="I17990" s="48" t="s">
        <v>22355</v>
      </c>
    </row>
    <row r="17991" spans="2:9" ht="15" customHeight="1" x14ac:dyDescent="0.25">
      <c r="B17991" s="55" t="s">
        <v>282</v>
      </c>
      <c r="C17991" s="46">
        <v>2979</v>
      </c>
      <c r="D17991" s="69" t="s">
        <v>29419</v>
      </c>
      <c r="E17991" s="51"/>
      <c r="F17991" s="114" t="str">
        <f>IF(INDEX(I.Facility.P3IDNumber,2979)="","",INDEX(I.Facility.P3IDNumber,2979))</f>
        <v/>
      </c>
      <c r="G17991" s="51"/>
      <c r="H17991" s="46" t="str">
        <f>IF(AND(I.Developer.P3=TRUE,I.Facility.P3FacilityCount&gt;=2979,F17991=""),"Incomplete","Complete")</f>
        <v>Complete</v>
      </c>
      <c r="I17991" s="48" t="s">
        <v>22356</v>
      </c>
    </row>
    <row r="17992" spans="2:9" ht="15" customHeight="1" x14ac:dyDescent="0.25">
      <c r="B17992" s="55" t="s">
        <v>282</v>
      </c>
      <c r="C17992" s="46">
        <v>2980</v>
      </c>
      <c r="D17992" s="69" t="s">
        <v>29419</v>
      </c>
      <c r="E17992" s="51"/>
      <c r="F17992" s="114" t="str">
        <f>IF(INDEX(I.Facility.P3IDNumber,2980)="","",INDEX(I.Facility.P3IDNumber,2980))</f>
        <v/>
      </c>
      <c r="G17992" s="51"/>
      <c r="H17992" s="46" t="str">
        <f>IF(AND(I.Developer.P3=TRUE,I.Facility.P3FacilityCount&gt;=2980,F17992=""),"Incomplete","Complete")</f>
        <v>Complete</v>
      </c>
      <c r="I17992" s="48" t="s">
        <v>22357</v>
      </c>
    </row>
    <row r="17993" spans="2:9" ht="15" customHeight="1" x14ac:dyDescent="0.25">
      <c r="B17993" s="55" t="s">
        <v>282</v>
      </c>
      <c r="C17993" s="46">
        <v>2981</v>
      </c>
      <c r="D17993" s="69" t="s">
        <v>29419</v>
      </c>
      <c r="E17993" s="51"/>
      <c r="F17993" s="114" t="str">
        <f>IF(INDEX(I.Facility.P3IDNumber,2981)="","",INDEX(I.Facility.P3IDNumber,2981))</f>
        <v/>
      </c>
      <c r="G17993" s="51"/>
      <c r="H17993" s="46" t="str">
        <f>IF(AND(I.Developer.P3=TRUE,I.Facility.P3FacilityCount&gt;=2981,F17993=""),"Incomplete","Complete")</f>
        <v>Complete</v>
      </c>
      <c r="I17993" s="48" t="s">
        <v>22358</v>
      </c>
    </row>
    <row r="17994" spans="2:9" ht="15" customHeight="1" x14ac:dyDescent="0.25">
      <c r="B17994" s="55" t="s">
        <v>282</v>
      </c>
      <c r="C17994" s="46">
        <v>2982</v>
      </c>
      <c r="D17994" s="69" t="s">
        <v>29419</v>
      </c>
      <c r="E17994" s="51"/>
      <c r="F17994" s="114" t="str">
        <f>IF(INDEX(I.Facility.P3IDNumber,2982)="","",INDEX(I.Facility.P3IDNumber,2982))</f>
        <v/>
      </c>
      <c r="G17994" s="51"/>
      <c r="H17994" s="46" t="str">
        <f>IF(AND(I.Developer.P3=TRUE,I.Facility.P3FacilityCount&gt;=2982,F17994=""),"Incomplete","Complete")</f>
        <v>Complete</v>
      </c>
      <c r="I17994" s="48" t="s">
        <v>22359</v>
      </c>
    </row>
    <row r="17995" spans="2:9" ht="15" customHeight="1" x14ac:dyDescent="0.25">
      <c r="B17995" s="55" t="s">
        <v>282</v>
      </c>
      <c r="C17995" s="46">
        <v>2983</v>
      </c>
      <c r="D17995" s="69" t="s">
        <v>29419</v>
      </c>
      <c r="E17995" s="51"/>
      <c r="F17995" s="114" t="str">
        <f>IF(INDEX(I.Facility.P3IDNumber,2983)="","",INDEX(I.Facility.P3IDNumber,2983))</f>
        <v/>
      </c>
      <c r="G17995" s="51"/>
      <c r="H17995" s="46" t="str">
        <f>IF(AND(I.Developer.P3=TRUE,I.Facility.P3FacilityCount&gt;=2983,F17995=""),"Incomplete","Complete")</f>
        <v>Complete</v>
      </c>
      <c r="I17995" s="48" t="s">
        <v>22360</v>
      </c>
    </row>
    <row r="17996" spans="2:9" ht="15" customHeight="1" x14ac:dyDescent="0.25">
      <c r="B17996" s="55" t="s">
        <v>282</v>
      </c>
      <c r="C17996" s="46">
        <v>2984</v>
      </c>
      <c r="D17996" s="69" t="s">
        <v>29419</v>
      </c>
      <c r="E17996" s="51"/>
      <c r="F17996" s="114" t="str">
        <f>IF(INDEX(I.Facility.P3IDNumber,2984)="","",INDEX(I.Facility.P3IDNumber,2984))</f>
        <v/>
      </c>
      <c r="G17996" s="51"/>
      <c r="H17996" s="46" t="str">
        <f>IF(AND(I.Developer.P3=TRUE,I.Facility.P3FacilityCount&gt;=2984,F17996=""),"Incomplete","Complete")</f>
        <v>Complete</v>
      </c>
      <c r="I17996" s="48" t="s">
        <v>22361</v>
      </c>
    </row>
    <row r="17997" spans="2:9" ht="15" customHeight="1" x14ac:dyDescent="0.25">
      <c r="B17997" s="55" t="s">
        <v>282</v>
      </c>
      <c r="C17997" s="46">
        <v>2985</v>
      </c>
      <c r="D17997" s="69" t="s">
        <v>29419</v>
      </c>
      <c r="E17997" s="51"/>
      <c r="F17997" s="114" t="str">
        <f>IF(INDEX(I.Facility.P3IDNumber,2985)="","",INDEX(I.Facility.P3IDNumber,2985))</f>
        <v/>
      </c>
      <c r="G17997" s="51"/>
      <c r="H17997" s="46" t="str">
        <f>IF(AND(I.Developer.P3=TRUE,I.Facility.P3FacilityCount&gt;=2985,F17997=""),"Incomplete","Complete")</f>
        <v>Complete</v>
      </c>
      <c r="I17997" s="48" t="s">
        <v>22362</v>
      </c>
    </row>
    <row r="17998" spans="2:9" ht="15" customHeight="1" x14ac:dyDescent="0.25">
      <c r="B17998" s="55" t="s">
        <v>282</v>
      </c>
      <c r="C17998" s="46">
        <v>2986</v>
      </c>
      <c r="D17998" s="69" t="s">
        <v>29419</v>
      </c>
      <c r="E17998" s="51"/>
      <c r="F17998" s="114" t="str">
        <f>IF(INDEX(I.Facility.P3IDNumber,2986)="","",INDEX(I.Facility.P3IDNumber,2986))</f>
        <v/>
      </c>
      <c r="G17998" s="51"/>
      <c r="H17998" s="46" t="str">
        <f>IF(AND(I.Developer.P3=TRUE,I.Facility.P3FacilityCount&gt;=2986,F17998=""),"Incomplete","Complete")</f>
        <v>Complete</v>
      </c>
      <c r="I17998" s="48" t="s">
        <v>22363</v>
      </c>
    </row>
    <row r="17999" spans="2:9" ht="15" customHeight="1" x14ac:dyDescent="0.25">
      <c r="B17999" s="55" t="s">
        <v>282</v>
      </c>
      <c r="C17999" s="46">
        <v>2987</v>
      </c>
      <c r="D17999" s="69" t="s">
        <v>29419</v>
      </c>
      <c r="E17999" s="51"/>
      <c r="F17999" s="114" t="str">
        <f>IF(INDEX(I.Facility.P3IDNumber,2987)="","",INDEX(I.Facility.P3IDNumber,2987))</f>
        <v/>
      </c>
      <c r="G17999" s="51"/>
      <c r="H17999" s="46" t="str">
        <f>IF(AND(I.Developer.P3=TRUE,I.Facility.P3FacilityCount&gt;=2987,F17999=""),"Incomplete","Complete")</f>
        <v>Complete</v>
      </c>
      <c r="I17999" s="48" t="s">
        <v>22364</v>
      </c>
    </row>
    <row r="18000" spans="2:9" ht="15" customHeight="1" x14ac:dyDescent="0.25">
      <c r="B18000" s="55" t="s">
        <v>282</v>
      </c>
      <c r="C18000" s="46">
        <v>2988</v>
      </c>
      <c r="D18000" s="69" t="s">
        <v>29419</v>
      </c>
      <c r="E18000" s="51"/>
      <c r="F18000" s="114" t="str">
        <f>IF(INDEX(I.Facility.P3IDNumber,2988)="","",INDEX(I.Facility.P3IDNumber,2988))</f>
        <v/>
      </c>
      <c r="G18000" s="51"/>
      <c r="H18000" s="46" t="str">
        <f>IF(AND(I.Developer.P3=TRUE,I.Facility.P3FacilityCount&gt;=2988,F18000=""),"Incomplete","Complete")</f>
        <v>Complete</v>
      </c>
      <c r="I18000" s="48" t="s">
        <v>22365</v>
      </c>
    </row>
    <row r="18001" spans="2:9" ht="15" customHeight="1" x14ac:dyDescent="0.25">
      <c r="B18001" s="55" t="s">
        <v>282</v>
      </c>
      <c r="C18001" s="46">
        <v>2989</v>
      </c>
      <c r="D18001" s="69" t="s">
        <v>29419</v>
      </c>
      <c r="E18001" s="51"/>
      <c r="F18001" s="114" t="str">
        <f>IF(INDEX(I.Facility.P3IDNumber,2989)="","",INDEX(I.Facility.P3IDNumber,2989))</f>
        <v/>
      </c>
      <c r="G18001" s="51"/>
      <c r="H18001" s="46" t="str">
        <f>IF(AND(I.Developer.P3=TRUE,I.Facility.P3FacilityCount&gt;=2989,F18001=""),"Incomplete","Complete")</f>
        <v>Complete</v>
      </c>
      <c r="I18001" s="48" t="s">
        <v>22366</v>
      </c>
    </row>
    <row r="18002" spans="2:9" ht="15" customHeight="1" x14ac:dyDescent="0.25">
      <c r="B18002" s="55" t="s">
        <v>282</v>
      </c>
      <c r="C18002" s="46">
        <v>2990</v>
      </c>
      <c r="D18002" s="69" t="s">
        <v>29419</v>
      </c>
      <c r="E18002" s="51"/>
      <c r="F18002" s="114" t="str">
        <f>IF(INDEX(I.Facility.P3IDNumber,2990)="","",INDEX(I.Facility.P3IDNumber,2990))</f>
        <v/>
      </c>
      <c r="G18002" s="51"/>
      <c r="H18002" s="46" t="str">
        <f>IF(AND(I.Developer.P3=TRUE,I.Facility.P3FacilityCount&gt;=2990,F18002=""),"Incomplete","Complete")</f>
        <v>Complete</v>
      </c>
      <c r="I18002" s="48" t="s">
        <v>22367</v>
      </c>
    </row>
    <row r="18003" spans="2:9" ht="15" customHeight="1" x14ac:dyDescent="0.25">
      <c r="B18003" s="55" t="s">
        <v>282</v>
      </c>
      <c r="C18003" s="46">
        <v>2991</v>
      </c>
      <c r="D18003" s="69" t="s">
        <v>29419</v>
      </c>
      <c r="E18003" s="51"/>
      <c r="F18003" s="114" t="str">
        <f>IF(INDEX(I.Facility.P3IDNumber,2991)="","",INDEX(I.Facility.P3IDNumber,2991))</f>
        <v/>
      </c>
      <c r="G18003" s="51"/>
      <c r="H18003" s="46" t="str">
        <f>IF(AND(I.Developer.P3=TRUE,I.Facility.P3FacilityCount&gt;=2991,F18003=""),"Incomplete","Complete")</f>
        <v>Complete</v>
      </c>
      <c r="I18003" s="48" t="s">
        <v>22368</v>
      </c>
    </row>
    <row r="18004" spans="2:9" ht="15" customHeight="1" x14ac:dyDescent="0.25">
      <c r="B18004" s="55" t="s">
        <v>282</v>
      </c>
      <c r="C18004" s="46">
        <v>2992</v>
      </c>
      <c r="D18004" s="69" t="s">
        <v>29419</v>
      </c>
      <c r="E18004" s="51"/>
      <c r="F18004" s="114" t="str">
        <f>IF(INDEX(I.Facility.P3IDNumber,2992)="","",INDEX(I.Facility.P3IDNumber,2992))</f>
        <v/>
      </c>
      <c r="G18004" s="51"/>
      <c r="H18004" s="46" t="str">
        <f>IF(AND(I.Developer.P3=TRUE,I.Facility.P3FacilityCount&gt;=2992,F18004=""),"Incomplete","Complete")</f>
        <v>Complete</v>
      </c>
      <c r="I18004" s="48" t="s">
        <v>22369</v>
      </c>
    </row>
    <row r="18005" spans="2:9" ht="15" customHeight="1" x14ac:dyDescent="0.25">
      <c r="B18005" s="55" t="s">
        <v>282</v>
      </c>
      <c r="C18005" s="46">
        <v>2993</v>
      </c>
      <c r="D18005" s="69" t="s">
        <v>29419</v>
      </c>
      <c r="E18005" s="51"/>
      <c r="F18005" s="114" t="str">
        <f>IF(INDEX(I.Facility.P3IDNumber,2993)="","",INDEX(I.Facility.P3IDNumber,2993))</f>
        <v/>
      </c>
      <c r="G18005" s="51"/>
      <c r="H18005" s="46" t="str">
        <f>IF(AND(I.Developer.P3=TRUE,I.Facility.P3FacilityCount&gt;=2993,F18005=""),"Incomplete","Complete")</f>
        <v>Complete</v>
      </c>
      <c r="I18005" s="48" t="s">
        <v>22370</v>
      </c>
    </row>
    <row r="18006" spans="2:9" ht="15" customHeight="1" x14ac:dyDescent="0.25">
      <c r="B18006" s="55" t="s">
        <v>282</v>
      </c>
      <c r="C18006" s="46">
        <v>2994</v>
      </c>
      <c r="D18006" s="69" t="s">
        <v>29419</v>
      </c>
      <c r="E18006" s="51"/>
      <c r="F18006" s="114" t="str">
        <f>IF(INDEX(I.Facility.P3IDNumber,2994)="","",INDEX(I.Facility.P3IDNumber,2994))</f>
        <v/>
      </c>
      <c r="G18006" s="51"/>
      <c r="H18006" s="46" t="str">
        <f>IF(AND(I.Developer.P3=TRUE,I.Facility.P3FacilityCount&gt;=2994,F18006=""),"Incomplete","Complete")</f>
        <v>Complete</v>
      </c>
      <c r="I18006" s="48" t="s">
        <v>22371</v>
      </c>
    </row>
    <row r="18007" spans="2:9" ht="15" customHeight="1" x14ac:dyDescent="0.25">
      <c r="B18007" s="55" t="s">
        <v>282</v>
      </c>
      <c r="C18007" s="46">
        <v>2995</v>
      </c>
      <c r="D18007" s="69" t="s">
        <v>29419</v>
      </c>
      <c r="E18007" s="51"/>
      <c r="F18007" s="114" t="str">
        <f>IF(INDEX(I.Facility.P3IDNumber,2995)="","",INDEX(I.Facility.P3IDNumber,2995))</f>
        <v/>
      </c>
      <c r="G18007" s="51"/>
      <c r="H18007" s="46" t="str">
        <f>IF(AND(I.Developer.P3=TRUE,I.Facility.P3FacilityCount&gt;=2995,F18007=""),"Incomplete","Complete")</f>
        <v>Complete</v>
      </c>
      <c r="I18007" s="48" t="s">
        <v>22372</v>
      </c>
    </row>
    <row r="18008" spans="2:9" ht="15" customHeight="1" x14ac:dyDescent="0.25">
      <c r="B18008" s="55" t="s">
        <v>282</v>
      </c>
      <c r="C18008" s="46">
        <v>2996</v>
      </c>
      <c r="D18008" s="69" t="s">
        <v>29419</v>
      </c>
      <c r="E18008" s="51"/>
      <c r="F18008" s="114" t="str">
        <f>IF(INDEX(I.Facility.P3IDNumber,2996)="","",INDEX(I.Facility.P3IDNumber,2996))</f>
        <v/>
      </c>
      <c r="G18008" s="51"/>
      <c r="H18008" s="46" t="str">
        <f>IF(AND(I.Developer.P3=TRUE,I.Facility.P3FacilityCount&gt;=2996,F18008=""),"Incomplete","Complete")</f>
        <v>Complete</v>
      </c>
      <c r="I18008" s="48" t="s">
        <v>22373</v>
      </c>
    </row>
    <row r="18009" spans="2:9" ht="15" customHeight="1" x14ac:dyDescent="0.25">
      <c r="B18009" s="55" t="s">
        <v>282</v>
      </c>
      <c r="C18009" s="46">
        <v>2997</v>
      </c>
      <c r="D18009" s="69" t="s">
        <v>29419</v>
      </c>
      <c r="E18009" s="51"/>
      <c r="F18009" s="114" t="str">
        <f>IF(INDEX(I.Facility.P3IDNumber,2997)="","",INDEX(I.Facility.P3IDNumber,2997))</f>
        <v/>
      </c>
      <c r="G18009" s="51"/>
      <c r="H18009" s="46" t="str">
        <f>IF(AND(I.Developer.P3=TRUE,I.Facility.P3FacilityCount&gt;=2997,F18009=""),"Incomplete","Complete")</f>
        <v>Complete</v>
      </c>
      <c r="I18009" s="48" t="s">
        <v>22374</v>
      </c>
    </row>
    <row r="18010" spans="2:9" ht="15" customHeight="1" x14ac:dyDescent="0.25">
      <c r="B18010" s="55" t="s">
        <v>282</v>
      </c>
      <c r="C18010" s="46">
        <v>2998</v>
      </c>
      <c r="D18010" s="69" t="s">
        <v>29419</v>
      </c>
      <c r="E18010" s="51"/>
      <c r="F18010" s="114" t="str">
        <f>IF(INDEX(I.Facility.P3IDNumber,2998)="","",INDEX(I.Facility.P3IDNumber,2998))</f>
        <v/>
      </c>
      <c r="G18010" s="51"/>
      <c r="H18010" s="46" t="str">
        <f>IF(AND(I.Developer.P3=TRUE,I.Facility.P3FacilityCount&gt;=2998,F18010=""),"Incomplete","Complete")</f>
        <v>Complete</v>
      </c>
      <c r="I18010" s="48" t="s">
        <v>22375</v>
      </c>
    </row>
    <row r="18011" spans="2:9" ht="15" customHeight="1" x14ac:dyDescent="0.25">
      <c r="B18011" s="55" t="s">
        <v>282</v>
      </c>
      <c r="C18011" s="46">
        <v>2999</v>
      </c>
      <c r="D18011" s="69" t="s">
        <v>29419</v>
      </c>
      <c r="E18011" s="51"/>
      <c r="F18011" s="114" t="str">
        <f>IF(INDEX(I.Facility.P3IDNumber,2999)="","",INDEX(I.Facility.P3IDNumber,2999))</f>
        <v/>
      </c>
      <c r="G18011" s="51"/>
      <c r="H18011" s="46" t="str">
        <f>IF(AND(I.Developer.P3=TRUE,I.Facility.P3FacilityCount&gt;=2999,F18011=""),"Incomplete","Complete")</f>
        <v>Complete</v>
      </c>
      <c r="I18011" s="48" t="s">
        <v>22376</v>
      </c>
    </row>
    <row r="18012" spans="2:9" ht="15" customHeight="1" x14ac:dyDescent="0.25">
      <c r="B18012" s="55" t="s">
        <v>282</v>
      </c>
      <c r="C18012" s="46">
        <v>3000</v>
      </c>
      <c r="D18012" s="69" t="s">
        <v>29419</v>
      </c>
      <c r="E18012" s="51"/>
      <c r="F18012" s="114" t="str">
        <f>IF(INDEX(I.Facility.P3IDNumber,3000)="","",INDEX(I.Facility.P3IDNumber,3000))</f>
        <v/>
      </c>
      <c r="G18012" s="51"/>
      <c r="H18012" s="46" t="str">
        <f>IF(AND(I.Developer.P3=TRUE,I.Facility.P3FacilityCount&gt;=3000,F18012=""),"Incomplete","Complete")</f>
        <v>Complete</v>
      </c>
      <c r="I18012" s="48" t="s">
        <v>22377</v>
      </c>
    </row>
    <row r="18013" spans="2:9" ht="15" customHeight="1" x14ac:dyDescent="0.25">
      <c r="B18013" s="55" t="s">
        <v>282</v>
      </c>
      <c r="C18013" s="46">
        <v>3001</v>
      </c>
      <c r="D18013" s="69" t="s">
        <v>29419</v>
      </c>
      <c r="E18013" s="51"/>
      <c r="F18013" s="114" t="str">
        <f>IF(INDEX(I.Facility.P3IDNumber,3001)="","",INDEX(I.Facility.P3IDNumber,3001))</f>
        <v/>
      </c>
      <c r="G18013" s="51"/>
      <c r="H18013" s="46" t="str">
        <f>IF(AND(I.Developer.P3=TRUE,I.Facility.P3FacilityCount&gt;=3001,F18013=""),"Incomplete","Complete")</f>
        <v>Complete</v>
      </c>
      <c r="I18013" s="48" t="s">
        <v>22378</v>
      </c>
    </row>
    <row r="18014" spans="2:9" ht="15" customHeight="1" x14ac:dyDescent="0.25">
      <c r="B18014" s="55" t="s">
        <v>282</v>
      </c>
      <c r="C18014" s="46">
        <v>3002</v>
      </c>
      <c r="D18014" s="69" t="s">
        <v>29419</v>
      </c>
      <c r="E18014" s="51"/>
      <c r="F18014" s="114" t="str">
        <f>IF(INDEX(I.Facility.P3IDNumber,3002)="","",INDEX(I.Facility.P3IDNumber,3002))</f>
        <v/>
      </c>
      <c r="G18014" s="51"/>
      <c r="H18014" s="46" t="str">
        <f>IF(AND(I.Developer.P3=TRUE,I.Facility.P3FacilityCount&gt;=3002,F18014=""),"Incomplete","Complete")</f>
        <v>Complete</v>
      </c>
      <c r="I18014" s="48" t="s">
        <v>22379</v>
      </c>
    </row>
    <row r="18015" spans="2:9" ht="15" customHeight="1" x14ac:dyDescent="0.25">
      <c r="B18015" s="55" t="s">
        <v>282</v>
      </c>
      <c r="C18015" s="46">
        <v>3003</v>
      </c>
      <c r="D18015" s="69" t="s">
        <v>29419</v>
      </c>
      <c r="E18015" s="51"/>
      <c r="F18015" s="114" t="str">
        <f>IF(INDEX(I.Facility.P3IDNumber,3003)="","",INDEX(I.Facility.P3IDNumber,3003))</f>
        <v/>
      </c>
      <c r="G18015" s="51"/>
      <c r="H18015" s="46" t="str">
        <f>IF(AND(I.Developer.P3=TRUE,I.Facility.P3FacilityCount&gt;=3003,F18015=""),"Incomplete","Complete")</f>
        <v>Complete</v>
      </c>
      <c r="I18015" s="48" t="s">
        <v>22380</v>
      </c>
    </row>
    <row r="18016" spans="2:9" ht="15" customHeight="1" x14ac:dyDescent="0.25">
      <c r="B18016" s="55" t="s">
        <v>282</v>
      </c>
      <c r="C18016" s="46">
        <v>3004</v>
      </c>
      <c r="D18016" s="69" t="s">
        <v>29419</v>
      </c>
      <c r="E18016" s="51"/>
      <c r="F18016" s="114" t="str">
        <f>IF(INDEX(I.Facility.P3IDNumber,3004)="","",INDEX(I.Facility.P3IDNumber,3004))</f>
        <v/>
      </c>
      <c r="G18016" s="51"/>
      <c r="H18016" s="46" t="str">
        <f>IF(AND(I.Developer.P3=TRUE,I.Facility.P3FacilityCount&gt;=3004,F18016=""),"Incomplete","Complete")</f>
        <v>Complete</v>
      </c>
      <c r="I18016" s="48" t="s">
        <v>22381</v>
      </c>
    </row>
    <row r="18017" spans="2:9" ht="15" customHeight="1" x14ac:dyDescent="0.25">
      <c r="B18017" s="55" t="s">
        <v>282</v>
      </c>
      <c r="C18017" s="46">
        <v>3005</v>
      </c>
      <c r="D18017" s="69" t="s">
        <v>29419</v>
      </c>
      <c r="E18017" s="51"/>
      <c r="F18017" s="114" t="str">
        <f>IF(INDEX(I.Facility.P3IDNumber,3005)="","",INDEX(I.Facility.P3IDNumber,3005))</f>
        <v/>
      </c>
      <c r="G18017" s="51"/>
      <c r="H18017" s="46" t="str">
        <f>IF(AND(I.Developer.P3=TRUE,I.Facility.P3FacilityCount&gt;=3005,F18017=""),"Incomplete","Complete")</f>
        <v>Complete</v>
      </c>
      <c r="I18017" s="48" t="s">
        <v>22382</v>
      </c>
    </row>
    <row r="18018" spans="2:9" ht="15" customHeight="1" x14ac:dyDescent="0.25">
      <c r="B18018" s="55" t="s">
        <v>282</v>
      </c>
      <c r="C18018" s="46">
        <v>3006</v>
      </c>
      <c r="D18018" s="69" t="s">
        <v>29419</v>
      </c>
      <c r="E18018" s="51"/>
      <c r="F18018" s="114" t="str">
        <f>IF(INDEX(I.Facility.P3IDNumber,3006)="","",INDEX(I.Facility.P3IDNumber,3006))</f>
        <v/>
      </c>
      <c r="G18018" s="51"/>
      <c r="H18018" s="46" t="str">
        <f>IF(AND(I.Developer.P3=TRUE,I.Facility.P3FacilityCount&gt;=3006,F18018=""),"Incomplete","Complete")</f>
        <v>Complete</v>
      </c>
      <c r="I18018" s="48" t="s">
        <v>22383</v>
      </c>
    </row>
    <row r="18019" spans="2:9" ht="15" customHeight="1" x14ac:dyDescent="0.25">
      <c r="B18019" s="55" t="s">
        <v>282</v>
      </c>
      <c r="C18019" s="46">
        <v>3007</v>
      </c>
      <c r="D18019" s="69" t="s">
        <v>29419</v>
      </c>
      <c r="E18019" s="51"/>
      <c r="F18019" s="114" t="str">
        <f>IF(INDEX(I.Facility.P3IDNumber,3007)="","",INDEX(I.Facility.P3IDNumber,3007))</f>
        <v/>
      </c>
      <c r="G18019" s="51"/>
      <c r="H18019" s="46" t="str">
        <f>IF(AND(I.Developer.P3=TRUE,I.Facility.P3FacilityCount&gt;=3007,F18019=""),"Incomplete","Complete")</f>
        <v>Complete</v>
      </c>
      <c r="I18019" s="48" t="s">
        <v>22384</v>
      </c>
    </row>
    <row r="18020" spans="2:9" ht="15" customHeight="1" x14ac:dyDescent="0.25">
      <c r="B18020" s="55" t="s">
        <v>282</v>
      </c>
      <c r="C18020" s="46">
        <v>3008</v>
      </c>
      <c r="D18020" s="69" t="s">
        <v>29419</v>
      </c>
      <c r="E18020" s="51"/>
      <c r="F18020" s="114" t="str">
        <f>IF(INDEX(I.Facility.P3IDNumber,3008)="","",INDEX(I.Facility.P3IDNumber,3008))</f>
        <v/>
      </c>
      <c r="G18020" s="51"/>
      <c r="H18020" s="46" t="str">
        <f>IF(AND(I.Developer.P3=TRUE,I.Facility.P3FacilityCount&gt;=3008,F18020=""),"Incomplete","Complete")</f>
        <v>Complete</v>
      </c>
      <c r="I18020" s="48" t="s">
        <v>22385</v>
      </c>
    </row>
    <row r="18021" spans="2:9" ht="15" customHeight="1" x14ac:dyDescent="0.25">
      <c r="B18021" s="55" t="s">
        <v>282</v>
      </c>
      <c r="C18021" s="46">
        <v>3009</v>
      </c>
      <c r="D18021" s="69" t="s">
        <v>29419</v>
      </c>
      <c r="E18021" s="51"/>
      <c r="F18021" s="114" t="str">
        <f>IF(INDEX(I.Facility.P3IDNumber,3009)="","",INDEX(I.Facility.P3IDNumber,3009))</f>
        <v/>
      </c>
      <c r="G18021" s="51"/>
      <c r="H18021" s="46" t="str">
        <f>IF(AND(I.Developer.P3=TRUE,I.Facility.P3FacilityCount&gt;=3009,F18021=""),"Incomplete","Complete")</f>
        <v>Complete</v>
      </c>
      <c r="I18021" s="48" t="s">
        <v>22386</v>
      </c>
    </row>
    <row r="18022" spans="2:9" ht="15" customHeight="1" x14ac:dyDescent="0.25">
      <c r="B18022" s="55" t="s">
        <v>282</v>
      </c>
      <c r="C18022" s="46">
        <v>3010</v>
      </c>
      <c r="D18022" s="69" t="s">
        <v>29419</v>
      </c>
      <c r="E18022" s="51"/>
      <c r="F18022" s="114" t="str">
        <f>IF(INDEX(I.Facility.P3IDNumber,3010)="","",INDEX(I.Facility.P3IDNumber,3010))</f>
        <v/>
      </c>
      <c r="G18022" s="51"/>
      <c r="H18022" s="46" t="str">
        <f>IF(AND(I.Developer.P3=TRUE,I.Facility.P3FacilityCount&gt;=3010,F18022=""),"Incomplete","Complete")</f>
        <v>Complete</v>
      </c>
      <c r="I18022" s="48" t="s">
        <v>22387</v>
      </c>
    </row>
    <row r="18023" spans="2:9" ht="15" customHeight="1" x14ac:dyDescent="0.25">
      <c r="B18023" s="55" t="s">
        <v>282</v>
      </c>
      <c r="C18023" s="46">
        <v>3011</v>
      </c>
      <c r="D18023" s="69" t="s">
        <v>29419</v>
      </c>
      <c r="E18023" s="51"/>
      <c r="F18023" s="114" t="str">
        <f>IF(INDEX(I.Facility.P3IDNumber,3011)="","",INDEX(I.Facility.P3IDNumber,3011))</f>
        <v/>
      </c>
      <c r="G18023" s="51"/>
      <c r="H18023" s="46" t="str">
        <f>IF(AND(I.Developer.P3=TRUE,I.Facility.P3FacilityCount&gt;=3011,F18023=""),"Incomplete","Complete")</f>
        <v>Complete</v>
      </c>
      <c r="I18023" s="48" t="s">
        <v>22388</v>
      </c>
    </row>
    <row r="18024" spans="2:9" ht="15" customHeight="1" x14ac:dyDescent="0.25">
      <c r="B18024" s="55" t="s">
        <v>282</v>
      </c>
      <c r="C18024" s="46">
        <v>3012</v>
      </c>
      <c r="D18024" s="69" t="s">
        <v>29419</v>
      </c>
      <c r="E18024" s="51"/>
      <c r="F18024" s="114" t="str">
        <f>IF(INDEX(I.Facility.P3IDNumber,3012)="","",INDEX(I.Facility.P3IDNumber,3012))</f>
        <v/>
      </c>
      <c r="G18024" s="51"/>
      <c r="H18024" s="46" t="str">
        <f>IF(AND(I.Developer.P3=TRUE,I.Facility.P3FacilityCount&gt;=3012,F18024=""),"Incomplete","Complete")</f>
        <v>Complete</v>
      </c>
      <c r="I18024" s="48" t="s">
        <v>22389</v>
      </c>
    </row>
    <row r="18025" spans="2:9" ht="15" customHeight="1" x14ac:dyDescent="0.25">
      <c r="B18025" s="55" t="s">
        <v>282</v>
      </c>
      <c r="C18025" s="46">
        <v>3013</v>
      </c>
      <c r="D18025" s="69" t="s">
        <v>29419</v>
      </c>
      <c r="E18025" s="51"/>
      <c r="F18025" s="114" t="str">
        <f>IF(INDEX(I.Facility.P3IDNumber,3013)="","",INDEX(I.Facility.P3IDNumber,3013))</f>
        <v/>
      </c>
      <c r="G18025" s="51"/>
      <c r="H18025" s="46" t="str">
        <f>IF(AND(I.Developer.P3=TRUE,I.Facility.P3FacilityCount&gt;=3013,F18025=""),"Incomplete","Complete")</f>
        <v>Complete</v>
      </c>
      <c r="I18025" s="48" t="s">
        <v>22390</v>
      </c>
    </row>
    <row r="18026" spans="2:9" ht="15" customHeight="1" x14ac:dyDescent="0.25">
      <c r="B18026" s="55" t="s">
        <v>282</v>
      </c>
      <c r="C18026" s="46">
        <v>3014</v>
      </c>
      <c r="D18026" s="69" t="s">
        <v>29419</v>
      </c>
      <c r="E18026" s="51"/>
      <c r="F18026" s="114" t="str">
        <f>IF(INDEX(I.Facility.P3IDNumber,3014)="","",INDEX(I.Facility.P3IDNumber,3014))</f>
        <v/>
      </c>
      <c r="G18026" s="51"/>
      <c r="H18026" s="46" t="str">
        <f>IF(AND(I.Developer.P3=TRUE,I.Facility.P3FacilityCount&gt;=3014,F18026=""),"Incomplete","Complete")</f>
        <v>Complete</v>
      </c>
      <c r="I18026" s="48" t="s">
        <v>22391</v>
      </c>
    </row>
    <row r="18027" spans="2:9" ht="15" customHeight="1" x14ac:dyDescent="0.25">
      <c r="B18027" s="55" t="s">
        <v>282</v>
      </c>
      <c r="C18027" s="46">
        <v>3015</v>
      </c>
      <c r="D18027" s="69" t="s">
        <v>29419</v>
      </c>
      <c r="E18027" s="51"/>
      <c r="F18027" s="114" t="str">
        <f>IF(INDEX(I.Facility.P3IDNumber,3015)="","",INDEX(I.Facility.P3IDNumber,3015))</f>
        <v/>
      </c>
      <c r="G18027" s="51"/>
      <c r="H18027" s="46" t="str">
        <f>IF(AND(I.Developer.P3=TRUE,I.Facility.P3FacilityCount&gt;=3015,F18027=""),"Incomplete","Complete")</f>
        <v>Complete</v>
      </c>
      <c r="I18027" s="48" t="s">
        <v>22392</v>
      </c>
    </row>
    <row r="18028" spans="2:9" ht="15" customHeight="1" x14ac:dyDescent="0.25">
      <c r="B18028" s="55" t="s">
        <v>282</v>
      </c>
      <c r="C18028" s="46">
        <v>3016</v>
      </c>
      <c r="D18028" s="69" t="s">
        <v>29419</v>
      </c>
      <c r="E18028" s="51"/>
      <c r="F18028" s="114" t="str">
        <f>IF(INDEX(I.Facility.P3IDNumber,3016)="","",INDEX(I.Facility.P3IDNumber,3016))</f>
        <v/>
      </c>
      <c r="G18028" s="51"/>
      <c r="H18028" s="46" t="str">
        <f>IF(AND(I.Developer.P3=TRUE,I.Facility.P3FacilityCount&gt;=3016,F18028=""),"Incomplete","Complete")</f>
        <v>Complete</v>
      </c>
      <c r="I18028" s="48" t="s">
        <v>22393</v>
      </c>
    </row>
    <row r="18029" spans="2:9" ht="15" customHeight="1" x14ac:dyDescent="0.25">
      <c r="B18029" s="55" t="s">
        <v>282</v>
      </c>
      <c r="C18029" s="46">
        <v>3017</v>
      </c>
      <c r="D18029" s="69" t="s">
        <v>29419</v>
      </c>
      <c r="E18029" s="51"/>
      <c r="F18029" s="114" t="str">
        <f>IF(INDEX(I.Facility.P3IDNumber,3017)="","",INDEX(I.Facility.P3IDNumber,3017))</f>
        <v/>
      </c>
      <c r="G18029" s="51"/>
      <c r="H18029" s="46" t="str">
        <f>IF(AND(I.Developer.P3=TRUE,I.Facility.P3FacilityCount&gt;=3017,F18029=""),"Incomplete","Complete")</f>
        <v>Complete</v>
      </c>
      <c r="I18029" s="48" t="s">
        <v>22394</v>
      </c>
    </row>
    <row r="18030" spans="2:9" ht="15" customHeight="1" x14ac:dyDescent="0.25">
      <c r="B18030" s="55" t="s">
        <v>282</v>
      </c>
      <c r="C18030" s="46">
        <v>3018</v>
      </c>
      <c r="D18030" s="69" t="s">
        <v>29419</v>
      </c>
      <c r="E18030" s="51"/>
      <c r="F18030" s="114" t="str">
        <f>IF(INDEX(I.Facility.P3IDNumber,3018)="","",INDEX(I.Facility.P3IDNumber,3018))</f>
        <v/>
      </c>
      <c r="G18030" s="51"/>
      <c r="H18030" s="46" t="str">
        <f>IF(AND(I.Developer.P3=TRUE,I.Facility.P3FacilityCount&gt;=3018,F18030=""),"Incomplete","Complete")</f>
        <v>Complete</v>
      </c>
      <c r="I18030" s="48" t="s">
        <v>22395</v>
      </c>
    </row>
    <row r="18031" spans="2:9" ht="15" customHeight="1" x14ac:dyDescent="0.25">
      <c r="B18031" s="55" t="s">
        <v>282</v>
      </c>
      <c r="C18031" s="46">
        <v>3019</v>
      </c>
      <c r="D18031" s="69" t="s">
        <v>29419</v>
      </c>
      <c r="E18031" s="51"/>
      <c r="F18031" s="114" t="str">
        <f>IF(INDEX(I.Facility.P3IDNumber,3019)="","",INDEX(I.Facility.P3IDNumber,3019))</f>
        <v/>
      </c>
      <c r="G18031" s="51"/>
      <c r="H18031" s="46" t="str">
        <f>IF(AND(I.Developer.P3=TRUE,I.Facility.P3FacilityCount&gt;=3019,F18031=""),"Incomplete","Complete")</f>
        <v>Complete</v>
      </c>
      <c r="I18031" s="48" t="s">
        <v>22396</v>
      </c>
    </row>
    <row r="18032" spans="2:9" ht="15" customHeight="1" x14ac:dyDescent="0.25">
      <c r="B18032" s="55" t="s">
        <v>282</v>
      </c>
      <c r="C18032" s="46">
        <v>3020</v>
      </c>
      <c r="D18032" s="69" t="s">
        <v>29419</v>
      </c>
      <c r="E18032" s="51"/>
      <c r="F18032" s="114" t="str">
        <f>IF(INDEX(I.Facility.P3IDNumber,3020)="","",INDEX(I.Facility.P3IDNumber,3020))</f>
        <v/>
      </c>
      <c r="G18032" s="51"/>
      <c r="H18032" s="46" t="str">
        <f>IF(AND(I.Developer.P3=TRUE,I.Facility.P3FacilityCount&gt;=3020,F18032=""),"Incomplete","Complete")</f>
        <v>Complete</v>
      </c>
      <c r="I18032" s="48" t="s">
        <v>22397</v>
      </c>
    </row>
    <row r="18033" spans="2:9" ht="15" customHeight="1" x14ac:dyDescent="0.25">
      <c r="B18033" s="55" t="s">
        <v>282</v>
      </c>
      <c r="C18033" s="46">
        <v>3021</v>
      </c>
      <c r="D18033" s="69" t="s">
        <v>29419</v>
      </c>
      <c r="E18033" s="51"/>
      <c r="F18033" s="114" t="str">
        <f>IF(INDEX(I.Facility.P3IDNumber,3021)="","",INDEX(I.Facility.P3IDNumber,3021))</f>
        <v/>
      </c>
      <c r="G18033" s="51"/>
      <c r="H18033" s="46" t="str">
        <f>IF(AND(I.Developer.P3=TRUE,I.Facility.P3FacilityCount&gt;=3021,F18033=""),"Incomplete","Complete")</f>
        <v>Complete</v>
      </c>
      <c r="I18033" s="48" t="s">
        <v>22398</v>
      </c>
    </row>
    <row r="18034" spans="2:9" ht="15" customHeight="1" x14ac:dyDescent="0.25">
      <c r="B18034" s="55" t="s">
        <v>282</v>
      </c>
      <c r="C18034" s="46">
        <v>3022</v>
      </c>
      <c r="D18034" s="69" t="s">
        <v>29419</v>
      </c>
      <c r="E18034" s="51"/>
      <c r="F18034" s="114" t="str">
        <f>IF(INDEX(I.Facility.P3IDNumber,3022)="","",INDEX(I.Facility.P3IDNumber,3022))</f>
        <v/>
      </c>
      <c r="G18034" s="51"/>
      <c r="H18034" s="46" t="str">
        <f>IF(AND(I.Developer.P3=TRUE,I.Facility.P3FacilityCount&gt;=3022,F18034=""),"Incomplete","Complete")</f>
        <v>Complete</v>
      </c>
      <c r="I18034" s="48" t="s">
        <v>22399</v>
      </c>
    </row>
    <row r="18035" spans="2:9" ht="15" customHeight="1" x14ac:dyDescent="0.25">
      <c r="B18035" s="55" t="s">
        <v>282</v>
      </c>
      <c r="C18035" s="46">
        <v>3023</v>
      </c>
      <c r="D18035" s="69" t="s">
        <v>29419</v>
      </c>
      <c r="E18035" s="51"/>
      <c r="F18035" s="114" t="str">
        <f>IF(INDEX(I.Facility.P3IDNumber,3023)="","",INDEX(I.Facility.P3IDNumber,3023))</f>
        <v/>
      </c>
      <c r="G18035" s="51"/>
      <c r="H18035" s="46" t="str">
        <f>IF(AND(I.Developer.P3=TRUE,I.Facility.P3FacilityCount&gt;=3023,F18035=""),"Incomplete","Complete")</f>
        <v>Complete</v>
      </c>
      <c r="I18035" s="48" t="s">
        <v>22400</v>
      </c>
    </row>
    <row r="18036" spans="2:9" ht="15" customHeight="1" x14ac:dyDescent="0.25">
      <c r="B18036" s="55" t="s">
        <v>282</v>
      </c>
      <c r="C18036" s="46">
        <v>3024</v>
      </c>
      <c r="D18036" s="69" t="s">
        <v>29419</v>
      </c>
      <c r="E18036" s="51"/>
      <c r="F18036" s="114" t="str">
        <f>IF(INDEX(I.Facility.P3IDNumber,3024)="","",INDEX(I.Facility.P3IDNumber,3024))</f>
        <v/>
      </c>
      <c r="G18036" s="51"/>
      <c r="H18036" s="46" t="str">
        <f>IF(AND(I.Developer.P3=TRUE,I.Facility.P3FacilityCount&gt;=3024,F18036=""),"Incomplete","Complete")</f>
        <v>Complete</v>
      </c>
      <c r="I18036" s="48" t="s">
        <v>22401</v>
      </c>
    </row>
    <row r="18037" spans="2:9" ht="15" customHeight="1" x14ac:dyDescent="0.25">
      <c r="B18037" s="55" t="s">
        <v>282</v>
      </c>
      <c r="C18037" s="46">
        <v>3025</v>
      </c>
      <c r="D18037" s="69" t="s">
        <v>29419</v>
      </c>
      <c r="E18037" s="51"/>
      <c r="F18037" s="114" t="str">
        <f>IF(INDEX(I.Facility.P3IDNumber,3025)="","",INDEX(I.Facility.P3IDNumber,3025))</f>
        <v/>
      </c>
      <c r="G18037" s="51"/>
      <c r="H18037" s="46" t="str">
        <f>IF(AND(I.Developer.P3=TRUE,I.Facility.P3FacilityCount&gt;=3025,F18037=""),"Incomplete","Complete")</f>
        <v>Complete</v>
      </c>
      <c r="I18037" s="48" t="s">
        <v>22402</v>
      </c>
    </row>
    <row r="18038" spans="2:9" ht="15" customHeight="1" x14ac:dyDescent="0.25">
      <c r="B18038" s="55" t="s">
        <v>282</v>
      </c>
      <c r="C18038" s="46">
        <v>3026</v>
      </c>
      <c r="D18038" s="69" t="s">
        <v>29419</v>
      </c>
      <c r="E18038" s="51"/>
      <c r="F18038" s="114" t="str">
        <f>IF(INDEX(I.Facility.P3IDNumber,3026)="","",INDEX(I.Facility.P3IDNumber,3026))</f>
        <v/>
      </c>
      <c r="G18038" s="51"/>
      <c r="H18038" s="46" t="str">
        <f>IF(AND(I.Developer.P3=TRUE,I.Facility.P3FacilityCount&gt;=3026,F18038=""),"Incomplete","Complete")</f>
        <v>Complete</v>
      </c>
      <c r="I18038" s="48" t="s">
        <v>22403</v>
      </c>
    </row>
    <row r="18039" spans="2:9" ht="15" customHeight="1" x14ac:dyDescent="0.25">
      <c r="B18039" s="55" t="s">
        <v>282</v>
      </c>
      <c r="C18039" s="46">
        <v>3027</v>
      </c>
      <c r="D18039" s="69" t="s">
        <v>29419</v>
      </c>
      <c r="E18039" s="51"/>
      <c r="F18039" s="114" t="str">
        <f>IF(INDEX(I.Facility.P3IDNumber,3027)="","",INDEX(I.Facility.P3IDNumber,3027))</f>
        <v/>
      </c>
      <c r="G18039" s="51"/>
      <c r="H18039" s="46" t="str">
        <f>IF(AND(I.Developer.P3=TRUE,I.Facility.P3FacilityCount&gt;=3027,F18039=""),"Incomplete","Complete")</f>
        <v>Complete</v>
      </c>
      <c r="I18039" s="48" t="s">
        <v>22404</v>
      </c>
    </row>
    <row r="18040" spans="2:9" ht="15" customHeight="1" x14ac:dyDescent="0.25">
      <c r="B18040" s="55" t="s">
        <v>282</v>
      </c>
      <c r="C18040" s="46">
        <v>3028</v>
      </c>
      <c r="D18040" s="69" t="s">
        <v>29419</v>
      </c>
      <c r="E18040" s="51"/>
      <c r="F18040" s="114" t="str">
        <f>IF(INDEX(I.Facility.P3IDNumber,3028)="","",INDEX(I.Facility.P3IDNumber,3028))</f>
        <v/>
      </c>
      <c r="G18040" s="51"/>
      <c r="H18040" s="46" t="str">
        <f>IF(AND(I.Developer.P3=TRUE,I.Facility.P3FacilityCount&gt;=3028,F18040=""),"Incomplete","Complete")</f>
        <v>Complete</v>
      </c>
      <c r="I18040" s="48" t="s">
        <v>22405</v>
      </c>
    </row>
    <row r="18041" spans="2:9" ht="15" customHeight="1" x14ac:dyDescent="0.25">
      <c r="B18041" s="55" t="s">
        <v>282</v>
      </c>
      <c r="C18041" s="46">
        <v>3029</v>
      </c>
      <c r="D18041" s="69" t="s">
        <v>29419</v>
      </c>
      <c r="E18041" s="51"/>
      <c r="F18041" s="114" t="str">
        <f>IF(INDEX(I.Facility.P3IDNumber,3029)="","",INDEX(I.Facility.P3IDNumber,3029))</f>
        <v/>
      </c>
      <c r="G18041" s="51"/>
      <c r="H18041" s="46" t="str">
        <f>IF(AND(I.Developer.P3=TRUE,I.Facility.P3FacilityCount&gt;=3029,F18041=""),"Incomplete","Complete")</f>
        <v>Complete</v>
      </c>
      <c r="I18041" s="48" t="s">
        <v>22406</v>
      </c>
    </row>
    <row r="18042" spans="2:9" ht="15" customHeight="1" x14ac:dyDescent="0.25">
      <c r="B18042" s="55" t="s">
        <v>282</v>
      </c>
      <c r="C18042" s="46">
        <v>3030</v>
      </c>
      <c r="D18042" s="69" t="s">
        <v>29419</v>
      </c>
      <c r="E18042" s="51"/>
      <c r="F18042" s="114" t="str">
        <f>IF(INDEX(I.Facility.P3IDNumber,3030)="","",INDEX(I.Facility.P3IDNumber,3030))</f>
        <v/>
      </c>
      <c r="G18042" s="51"/>
      <c r="H18042" s="46" t="str">
        <f>IF(AND(I.Developer.P3=TRUE,I.Facility.P3FacilityCount&gt;=3030,F18042=""),"Incomplete","Complete")</f>
        <v>Complete</v>
      </c>
      <c r="I18042" s="48" t="s">
        <v>22407</v>
      </c>
    </row>
    <row r="18043" spans="2:9" ht="15" customHeight="1" x14ac:dyDescent="0.25">
      <c r="B18043" s="55" t="s">
        <v>282</v>
      </c>
      <c r="C18043" s="46">
        <v>3031</v>
      </c>
      <c r="D18043" s="69" t="s">
        <v>29419</v>
      </c>
      <c r="E18043" s="51"/>
      <c r="F18043" s="114" t="str">
        <f>IF(INDEX(I.Facility.P3IDNumber,3031)="","",INDEX(I.Facility.P3IDNumber,3031))</f>
        <v/>
      </c>
      <c r="G18043" s="51"/>
      <c r="H18043" s="46" t="str">
        <f>IF(AND(I.Developer.P3=TRUE,I.Facility.P3FacilityCount&gt;=3031,F18043=""),"Incomplete","Complete")</f>
        <v>Complete</v>
      </c>
      <c r="I18043" s="48" t="s">
        <v>22408</v>
      </c>
    </row>
    <row r="18044" spans="2:9" ht="15" customHeight="1" x14ac:dyDescent="0.25">
      <c r="B18044" s="55" t="s">
        <v>282</v>
      </c>
      <c r="C18044" s="46">
        <v>3032</v>
      </c>
      <c r="D18044" s="69" t="s">
        <v>29419</v>
      </c>
      <c r="E18044" s="51"/>
      <c r="F18044" s="114" t="str">
        <f>IF(INDEX(I.Facility.P3IDNumber,3032)="","",INDEX(I.Facility.P3IDNumber,3032))</f>
        <v/>
      </c>
      <c r="G18044" s="51"/>
      <c r="H18044" s="46" t="str">
        <f>IF(AND(I.Developer.P3=TRUE,I.Facility.P3FacilityCount&gt;=3032,F18044=""),"Incomplete","Complete")</f>
        <v>Complete</v>
      </c>
      <c r="I18044" s="48" t="s">
        <v>22409</v>
      </c>
    </row>
    <row r="18045" spans="2:9" ht="15" customHeight="1" x14ac:dyDescent="0.25">
      <c r="B18045" s="55" t="s">
        <v>282</v>
      </c>
      <c r="C18045" s="46">
        <v>3033</v>
      </c>
      <c r="D18045" s="69" t="s">
        <v>29419</v>
      </c>
      <c r="E18045" s="51"/>
      <c r="F18045" s="114" t="str">
        <f>IF(INDEX(I.Facility.P3IDNumber,3033)="","",INDEX(I.Facility.P3IDNumber,3033))</f>
        <v/>
      </c>
      <c r="G18045" s="51"/>
      <c r="H18045" s="46" t="str">
        <f>IF(AND(I.Developer.P3=TRUE,I.Facility.P3FacilityCount&gt;=3033,F18045=""),"Incomplete","Complete")</f>
        <v>Complete</v>
      </c>
      <c r="I18045" s="48" t="s">
        <v>22410</v>
      </c>
    </row>
    <row r="18046" spans="2:9" ht="15" customHeight="1" x14ac:dyDescent="0.25">
      <c r="B18046" s="55" t="s">
        <v>282</v>
      </c>
      <c r="C18046" s="46">
        <v>3034</v>
      </c>
      <c r="D18046" s="69" t="s">
        <v>29419</v>
      </c>
      <c r="E18046" s="51"/>
      <c r="F18046" s="114" t="str">
        <f>IF(INDEX(I.Facility.P3IDNumber,3034)="","",INDEX(I.Facility.P3IDNumber,3034))</f>
        <v/>
      </c>
      <c r="G18046" s="51"/>
      <c r="H18046" s="46" t="str">
        <f>IF(AND(I.Developer.P3=TRUE,I.Facility.P3FacilityCount&gt;=3034,F18046=""),"Incomplete","Complete")</f>
        <v>Complete</v>
      </c>
      <c r="I18046" s="48" t="s">
        <v>22411</v>
      </c>
    </row>
    <row r="18047" spans="2:9" ht="15" customHeight="1" x14ac:dyDescent="0.25">
      <c r="B18047" s="55" t="s">
        <v>282</v>
      </c>
      <c r="C18047" s="46">
        <v>3035</v>
      </c>
      <c r="D18047" s="69" t="s">
        <v>29419</v>
      </c>
      <c r="E18047" s="51"/>
      <c r="F18047" s="114" t="str">
        <f>IF(INDEX(I.Facility.P3IDNumber,3035)="","",INDEX(I.Facility.P3IDNumber,3035))</f>
        <v/>
      </c>
      <c r="G18047" s="51"/>
      <c r="H18047" s="46" t="str">
        <f>IF(AND(I.Developer.P3=TRUE,I.Facility.P3FacilityCount&gt;=3035,F18047=""),"Incomplete","Complete")</f>
        <v>Complete</v>
      </c>
      <c r="I18047" s="48" t="s">
        <v>22412</v>
      </c>
    </row>
    <row r="18048" spans="2:9" ht="15" customHeight="1" x14ac:dyDescent="0.25">
      <c r="B18048" s="55" t="s">
        <v>282</v>
      </c>
      <c r="C18048" s="46">
        <v>3036</v>
      </c>
      <c r="D18048" s="69" t="s">
        <v>29419</v>
      </c>
      <c r="E18048" s="51"/>
      <c r="F18048" s="114" t="str">
        <f>IF(INDEX(I.Facility.P3IDNumber,3036)="","",INDEX(I.Facility.P3IDNumber,3036))</f>
        <v/>
      </c>
      <c r="G18048" s="51"/>
      <c r="H18048" s="46" t="str">
        <f>IF(AND(I.Developer.P3=TRUE,I.Facility.P3FacilityCount&gt;=3036,F18048=""),"Incomplete","Complete")</f>
        <v>Complete</v>
      </c>
      <c r="I18048" s="48" t="s">
        <v>22413</v>
      </c>
    </row>
    <row r="18049" spans="2:9" ht="15" customHeight="1" x14ac:dyDescent="0.25">
      <c r="B18049" s="55" t="s">
        <v>282</v>
      </c>
      <c r="C18049" s="46">
        <v>3037</v>
      </c>
      <c r="D18049" s="69" t="s">
        <v>29419</v>
      </c>
      <c r="E18049" s="51"/>
      <c r="F18049" s="114" t="str">
        <f>IF(INDEX(I.Facility.P3IDNumber,3037)="","",INDEX(I.Facility.P3IDNumber,3037))</f>
        <v/>
      </c>
      <c r="G18049" s="51"/>
      <c r="H18049" s="46" t="str">
        <f>IF(AND(I.Developer.P3=TRUE,I.Facility.P3FacilityCount&gt;=3037,F18049=""),"Incomplete","Complete")</f>
        <v>Complete</v>
      </c>
      <c r="I18049" s="48" t="s">
        <v>22414</v>
      </c>
    </row>
    <row r="18050" spans="2:9" ht="15" customHeight="1" x14ac:dyDescent="0.25">
      <c r="B18050" s="55" t="s">
        <v>282</v>
      </c>
      <c r="C18050" s="46">
        <v>3038</v>
      </c>
      <c r="D18050" s="69" t="s">
        <v>29419</v>
      </c>
      <c r="E18050" s="51"/>
      <c r="F18050" s="114" t="str">
        <f>IF(INDEX(I.Facility.P3IDNumber,3038)="","",INDEX(I.Facility.P3IDNumber,3038))</f>
        <v/>
      </c>
      <c r="G18050" s="51"/>
      <c r="H18050" s="46" t="str">
        <f>IF(AND(I.Developer.P3=TRUE,I.Facility.P3FacilityCount&gt;=3038,F18050=""),"Incomplete","Complete")</f>
        <v>Complete</v>
      </c>
      <c r="I18050" s="48" t="s">
        <v>22415</v>
      </c>
    </row>
    <row r="18051" spans="2:9" ht="15" customHeight="1" x14ac:dyDescent="0.25">
      <c r="B18051" s="55" t="s">
        <v>282</v>
      </c>
      <c r="C18051" s="46">
        <v>3039</v>
      </c>
      <c r="D18051" s="69" t="s">
        <v>29419</v>
      </c>
      <c r="E18051" s="51"/>
      <c r="F18051" s="114" t="str">
        <f>IF(INDEX(I.Facility.P3IDNumber,3039)="","",INDEX(I.Facility.P3IDNumber,3039))</f>
        <v/>
      </c>
      <c r="G18051" s="51"/>
      <c r="H18051" s="46" t="str">
        <f>IF(AND(I.Developer.P3=TRUE,I.Facility.P3FacilityCount&gt;=3039,F18051=""),"Incomplete","Complete")</f>
        <v>Complete</v>
      </c>
      <c r="I18051" s="48" t="s">
        <v>22416</v>
      </c>
    </row>
    <row r="18052" spans="2:9" ht="15" customHeight="1" x14ac:dyDescent="0.25">
      <c r="B18052" s="55" t="s">
        <v>282</v>
      </c>
      <c r="C18052" s="46">
        <v>3040</v>
      </c>
      <c r="D18052" s="69" t="s">
        <v>29419</v>
      </c>
      <c r="E18052" s="51"/>
      <c r="F18052" s="114" t="str">
        <f>IF(INDEX(I.Facility.P3IDNumber,3040)="","",INDEX(I.Facility.P3IDNumber,3040))</f>
        <v/>
      </c>
      <c r="G18052" s="51"/>
      <c r="H18052" s="46" t="str">
        <f>IF(AND(I.Developer.P3=TRUE,I.Facility.P3FacilityCount&gt;=3040,F18052=""),"Incomplete","Complete")</f>
        <v>Complete</v>
      </c>
      <c r="I18052" s="48" t="s">
        <v>22417</v>
      </c>
    </row>
    <row r="18053" spans="2:9" ht="15" customHeight="1" x14ac:dyDescent="0.25">
      <c r="B18053" s="55" t="s">
        <v>282</v>
      </c>
      <c r="C18053" s="46">
        <v>3041</v>
      </c>
      <c r="D18053" s="69" t="s">
        <v>29419</v>
      </c>
      <c r="E18053" s="51"/>
      <c r="F18053" s="114" t="str">
        <f>IF(INDEX(I.Facility.P3IDNumber,3041)="","",INDEX(I.Facility.P3IDNumber,3041))</f>
        <v/>
      </c>
      <c r="G18053" s="51"/>
      <c r="H18053" s="46" t="str">
        <f>IF(AND(I.Developer.P3=TRUE,I.Facility.P3FacilityCount&gt;=3041,F18053=""),"Incomplete","Complete")</f>
        <v>Complete</v>
      </c>
      <c r="I18053" s="48" t="s">
        <v>22418</v>
      </c>
    </row>
    <row r="18054" spans="2:9" ht="15" customHeight="1" x14ac:dyDescent="0.25">
      <c r="B18054" s="55" t="s">
        <v>282</v>
      </c>
      <c r="C18054" s="46">
        <v>3042</v>
      </c>
      <c r="D18054" s="69" t="s">
        <v>29419</v>
      </c>
      <c r="E18054" s="51"/>
      <c r="F18054" s="114" t="str">
        <f>IF(INDEX(I.Facility.P3IDNumber,3042)="","",INDEX(I.Facility.P3IDNumber,3042))</f>
        <v/>
      </c>
      <c r="G18054" s="51"/>
      <c r="H18054" s="46" t="str">
        <f>IF(AND(I.Developer.P3=TRUE,I.Facility.P3FacilityCount&gt;=3042,F18054=""),"Incomplete","Complete")</f>
        <v>Complete</v>
      </c>
      <c r="I18054" s="48" t="s">
        <v>22419</v>
      </c>
    </row>
    <row r="18055" spans="2:9" ht="15" customHeight="1" x14ac:dyDescent="0.25">
      <c r="B18055" s="55" t="s">
        <v>282</v>
      </c>
      <c r="C18055" s="46">
        <v>3043</v>
      </c>
      <c r="D18055" s="69" t="s">
        <v>29419</v>
      </c>
      <c r="E18055" s="51"/>
      <c r="F18055" s="114" t="str">
        <f>IF(INDEX(I.Facility.P3IDNumber,3043)="","",INDEX(I.Facility.P3IDNumber,3043))</f>
        <v/>
      </c>
      <c r="G18055" s="51"/>
      <c r="H18055" s="46" t="str">
        <f>IF(AND(I.Developer.P3=TRUE,I.Facility.P3FacilityCount&gt;=3043,F18055=""),"Incomplete","Complete")</f>
        <v>Complete</v>
      </c>
      <c r="I18055" s="48" t="s">
        <v>22420</v>
      </c>
    </row>
    <row r="18056" spans="2:9" ht="15" customHeight="1" x14ac:dyDescent="0.25">
      <c r="B18056" s="55" t="s">
        <v>282</v>
      </c>
      <c r="C18056" s="46">
        <v>3044</v>
      </c>
      <c r="D18056" s="69" t="s">
        <v>29419</v>
      </c>
      <c r="E18056" s="51"/>
      <c r="F18056" s="114" t="str">
        <f>IF(INDEX(I.Facility.P3IDNumber,3044)="","",INDEX(I.Facility.P3IDNumber,3044))</f>
        <v/>
      </c>
      <c r="G18056" s="51"/>
      <c r="H18056" s="46" t="str">
        <f>IF(AND(I.Developer.P3=TRUE,I.Facility.P3FacilityCount&gt;=3044,F18056=""),"Incomplete","Complete")</f>
        <v>Complete</v>
      </c>
      <c r="I18056" s="48" t="s">
        <v>22421</v>
      </c>
    </row>
    <row r="18057" spans="2:9" ht="15" customHeight="1" x14ac:dyDescent="0.25">
      <c r="B18057" s="55" t="s">
        <v>282</v>
      </c>
      <c r="C18057" s="46">
        <v>3045</v>
      </c>
      <c r="D18057" s="69" t="s">
        <v>29419</v>
      </c>
      <c r="E18057" s="51"/>
      <c r="F18057" s="114" t="str">
        <f>IF(INDEX(I.Facility.P3IDNumber,3045)="","",INDEX(I.Facility.P3IDNumber,3045))</f>
        <v/>
      </c>
      <c r="G18057" s="51"/>
      <c r="H18057" s="46" t="str">
        <f>IF(AND(I.Developer.P3=TRUE,I.Facility.P3FacilityCount&gt;=3045,F18057=""),"Incomplete","Complete")</f>
        <v>Complete</v>
      </c>
      <c r="I18057" s="48" t="s">
        <v>22422</v>
      </c>
    </row>
    <row r="18058" spans="2:9" ht="15" customHeight="1" x14ac:dyDescent="0.25">
      <c r="B18058" s="55" t="s">
        <v>282</v>
      </c>
      <c r="C18058" s="46">
        <v>3046</v>
      </c>
      <c r="D18058" s="69" t="s">
        <v>29419</v>
      </c>
      <c r="E18058" s="51"/>
      <c r="F18058" s="114" t="str">
        <f>IF(INDEX(I.Facility.P3IDNumber,3046)="","",INDEX(I.Facility.P3IDNumber,3046))</f>
        <v/>
      </c>
      <c r="G18058" s="51"/>
      <c r="H18058" s="46" t="str">
        <f>IF(AND(I.Developer.P3=TRUE,I.Facility.P3FacilityCount&gt;=3046,F18058=""),"Incomplete","Complete")</f>
        <v>Complete</v>
      </c>
      <c r="I18058" s="48" t="s">
        <v>22423</v>
      </c>
    </row>
    <row r="18059" spans="2:9" ht="15" customHeight="1" x14ac:dyDescent="0.25">
      <c r="B18059" s="55" t="s">
        <v>282</v>
      </c>
      <c r="C18059" s="46">
        <v>3047</v>
      </c>
      <c r="D18059" s="69" t="s">
        <v>29419</v>
      </c>
      <c r="E18059" s="51"/>
      <c r="F18059" s="114" t="str">
        <f>IF(INDEX(I.Facility.P3IDNumber,3047)="","",INDEX(I.Facility.P3IDNumber,3047))</f>
        <v/>
      </c>
      <c r="G18059" s="51"/>
      <c r="H18059" s="46" t="str">
        <f>IF(AND(I.Developer.P3=TRUE,I.Facility.P3FacilityCount&gt;=3047,F18059=""),"Incomplete","Complete")</f>
        <v>Complete</v>
      </c>
      <c r="I18059" s="48" t="s">
        <v>22424</v>
      </c>
    </row>
    <row r="18060" spans="2:9" ht="15" customHeight="1" x14ac:dyDescent="0.25">
      <c r="B18060" s="55" t="s">
        <v>282</v>
      </c>
      <c r="C18060" s="46">
        <v>3048</v>
      </c>
      <c r="D18060" s="69" t="s">
        <v>29419</v>
      </c>
      <c r="E18060" s="51"/>
      <c r="F18060" s="114" t="str">
        <f>IF(INDEX(I.Facility.P3IDNumber,3048)="","",INDEX(I.Facility.P3IDNumber,3048))</f>
        <v/>
      </c>
      <c r="G18060" s="51"/>
      <c r="H18060" s="46" t="str">
        <f>IF(AND(I.Developer.P3=TRUE,I.Facility.P3FacilityCount&gt;=3048,F18060=""),"Incomplete","Complete")</f>
        <v>Complete</v>
      </c>
      <c r="I18060" s="48" t="s">
        <v>22425</v>
      </c>
    </row>
    <row r="18061" spans="2:9" ht="15" customHeight="1" x14ac:dyDescent="0.25">
      <c r="B18061" s="55" t="s">
        <v>282</v>
      </c>
      <c r="C18061" s="46">
        <v>3049</v>
      </c>
      <c r="D18061" s="69" t="s">
        <v>29419</v>
      </c>
      <c r="E18061" s="51"/>
      <c r="F18061" s="114" t="str">
        <f>IF(INDEX(I.Facility.P3IDNumber,3049)="","",INDEX(I.Facility.P3IDNumber,3049))</f>
        <v/>
      </c>
      <c r="G18061" s="51"/>
      <c r="H18061" s="46" t="str">
        <f>IF(AND(I.Developer.P3=TRUE,I.Facility.P3FacilityCount&gt;=3049,F18061=""),"Incomplete","Complete")</f>
        <v>Complete</v>
      </c>
      <c r="I18061" s="48" t="s">
        <v>22426</v>
      </c>
    </row>
    <row r="18062" spans="2:9" ht="15" customHeight="1" x14ac:dyDescent="0.25">
      <c r="B18062" s="55" t="s">
        <v>282</v>
      </c>
      <c r="C18062" s="46">
        <v>3050</v>
      </c>
      <c r="D18062" s="69" t="s">
        <v>29419</v>
      </c>
      <c r="E18062" s="51"/>
      <c r="F18062" s="114" t="str">
        <f>IF(INDEX(I.Facility.P3IDNumber,3050)="","",INDEX(I.Facility.P3IDNumber,3050))</f>
        <v/>
      </c>
      <c r="G18062" s="51"/>
      <c r="H18062" s="46" t="str">
        <f>IF(AND(I.Developer.P3=TRUE,I.Facility.P3FacilityCount&gt;=3050,F18062=""),"Incomplete","Complete")</f>
        <v>Complete</v>
      </c>
      <c r="I18062" s="48" t="s">
        <v>22427</v>
      </c>
    </row>
    <row r="18063" spans="2:9" ht="15" customHeight="1" x14ac:dyDescent="0.25">
      <c r="B18063" s="55" t="s">
        <v>282</v>
      </c>
      <c r="C18063" s="46">
        <v>3051</v>
      </c>
      <c r="D18063" s="69" t="s">
        <v>29419</v>
      </c>
      <c r="E18063" s="51"/>
      <c r="F18063" s="114" t="str">
        <f>IF(INDEX(I.Facility.P3IDNumber,3051)="","",INDEX(I.Facility.P3IDNumber,3051))</f>
        <v/>
      </c>
      <c r="G18063" s="51"/>
      <c r="H18063" s="46" t="str">
        <f>IF(AND(I.Developer.P3=TRUE,I.Facility.P3FacilityCount&gt;=3051,F18063=""),"Incomplete","Complete")</f>
        <v>Complete</v>
      </c>
      <c r="I18063" s="48" t="s">
        <v>22428</v>
      </c>
    </row>
    <row r="18064" spans="2:9" ht="15" customHeight="1" x14ac:dyDescent="0.25">
      <c r="B18064" s="55" t="s">
        <v>282</v>
      </c>
      <c r="C18064" s="46">
        <v>3052</v>
      </c>
      <c r="D18064" s="69" t="s">
        <v>29419</v>
      </c>
      <c r="E18064" s="51"/>
      <c r="F18064" s="114" t="str">
        <f>IF(INDEX(I.Facility.P3IDNumber,3052)="","",INDEX(I.Facility.P3IDNumber,3052))</f>
        <v/>
      </c>
      <c r="G18064" s="51"/>
      <c r="H18064" s="46" t="str">
        <f>IF(AND(I.Developer.P3=TRUE,I.Facility.P3FacilityCount&gt;=3052,F18064=""),"Incomplete","Complete")</f>
        <v>Complete</v>
      </c>
      <c r="I18064" s="48" t="s">
        <v>22429</v>
      </c>
    </row>
    <row r="18065" spans="2:9" ht="15" customHeight="1" x14ac:dyDescent="0.25">
      <c r="B18065" s="55" t="s">
        <v>282</v>
      </c>
      <c r="C18065" s="46">
        <v>3053</v>
      </c>
      <c r="D18065" s="69" t="s">
        <v>29419</v>
      </c>
      <c r="E18065" s="51"/>
      <c r="F18065" s="114" t="str">
        <f>IF(INDEX(I.Facility.P3IDNumber,3053)="","",INDEX(I.Facility.P3IDNumber,3053))</f>
        <v/>
      </c>
      <c r="G18065" s="51"/>
      <c r="H18065" s="46" t="str">
        <f>IF(AND(I.Developer.P3=TRUE,I.Facility.P3FacilityCount&gt;=3053,F18065=""),"Incomplete","Complete")</f>
        <v>Complete</v>
      </c>
      <c r="I18065" s="48" t="s">
        <v>22430</v>
      </c>
    </row>
    <row r="18066" spans="2:9" ht="15" customHeight="1" x14ac:dyDescent="0.25">
      <c r="B18066" s="55" t="s">
        <v>282</v>
      </c>
      <c r="C18066" s="46">
        <v>3054</v>
      </c>
      <c r="D18066" s="69" t="s">
        <v>29419</v>
      </c>
      <c r="E18066" s="51"/>
      <c r="F18066" s="114" t="str">
        <f>IF(INDEX(I.Facility.P3IDNumber,3054)="","",INDEX(I.Facility.P3IDNumber,3054))</f>
        <v/>
      </c>
      <c r="G18066" s="51"/>
      <c r="H18066" s="46" t="str">
        <f>IF(AND(I.Developer.P3=TRUE,I.Facility.P3FacilityCount&gt;=3054,F18066=""),"Incomplete","Complete")</f>
        <v>Complete</v>
      </c>
      <c r="I18066" s="48" t="s">
        <v>22431</v>
      </c>
    </row>
    <row r="18067" spans="2:9" ht="15" customHeight="1" x14ac:dyDescent="0.25">
      <c r="B18067" s="55" t="s">
        <v>282</v>
      </c>
      <c r="C18067" s="46">
        <v>3055</v>
      </c>
      <c r="D18067" s="69" t="s">
        <v>29419</v>
      </c>
      <c r="E18067" s="51"/>
      <c r="F18067" s="114" t="str">
        <f>IF(INDEX(I.Facility.P3IDNumber,3055)="","",INDEX(I.Facility.P3IDNumber,3055))</f>
        <v/>
      </c>
      <c r="G18067" s="51"/>
      <c r="H18067" s="46" t="str">
        <f>IF(AND(I.Developer.P3=TRUE,I.Facility.P3FacilityCount&gt;=3055,F18067=""),"Incomplete","Complete")</f>
        <v>Complete</v>
      </c>
      <c r="I18067" s="48" t="s">
        <v>22432</v>
      </c>
    </row>
    <row r="18068" spans="2:9" ht="15" customHeight="1" x14ac:dyDescent="0.25">
      <c r="B18068" s="55" t="s">
        <v>282</v>
      </c>
      <c r="C18068" s="46">
        <v>3056</v>
      </c>
      <c r="D18068" s="69" t="s">
        <v>29419</v>
      </c>
      <c r="E18068" s="51"/>
      <c r="F18068" s="114" t="str">
        <f>IF(INDEX(I.Facility.P3IDNumber,3056)="","",INDEX(I.Facility.P3IDNumber,3056))</f>
        <v/>
      </c>
      <c r="G18068" s="51"/>
      <c r="H18068" s="46" t="str">
        <f>IF(AND(I.Developer.P3=TRUE,I.Facility.P3FacilityCount&gt;=3056,F18068=""),"Incomplete","Complete")</f>
        <v>Complete</v>
      </c>
      <c r="I18068" s="48" t="s">
        <v>22433</v>
      </c>
    </row>
    <row r="18069" spans="2:9" ht="15" customHeight="1" x14ac:dyDescent="0.25">
      <c r="B18069" s="55" t="s">
        <v>282</v>
      </c>
      <c r="C18069" s="46">
        <v>3057</v>
      </c>
      <c r="D18069" s="69" t="s">
        <v>29419</v>
      </c>
      <c r="E18069" s="51"/>
      <c r="F18069" s="114" t="str">
        <f>IF(INDEX(I.Facility.P3IDNumber,3057)="","",INDEX(I.Facility.P3IDNumber,3057))</f>
        <v/>
      </c>
      <c r="G18069" s="51"/>
      <c r="H18069" s="46" t="str">
        <f>IF(AND(I.Developer.P3=TRUE,I.Facility.P3FacilityCount&gt;=3057,F18069=""),"Incomplete","Complete")</f>
        <v>Complete</v>
      </c>
      <c r="I18069" s="48" t="s">
        <v>22434</v>
      </c>
    </row>
    <row r="18070" spans="2:9" ht="15" customHeight="1" x14ac:dyDescent="0.25">
      <c r="B18070" s="55" t="s">
        <v>282</v>
      </c>
      <c r="C18070" s="46">
        <v>3058</v>
      </c>
      <c r="D18070" s="69" t="s">
        <v>29419</v>
      </c>
      <c r="E18070" s="51"/>
      <c r="F18070" s="114" t="str">
        <f>IF(INDEX(I.Facility.P3IDNumber,3058)="","",INDEX(I.Facility.P3IDNumber,3058))</f>
        <v/>
      </c>
      <c r="G18070" s="51"/>
      <c r="H18070" s="46" t="str">
        <f>IF(AND(I.Developer.P3=TRUE,I.Facility.P3FacilityCount&gt;=3058,F18070=""),"Incomplete","Complete")</f>
        <v>Complete</v>
      </c>
      <c r="I18070" s="48" t="s">
        <v>22435</v>
      </c>
    </row>
    <row r="18071" spans="2:9" ht="15" customHeight="1" x14ac:dyDescent="0.25">
      <c r="B18071" s="55" t="s">
        <v>282</v>
      </c>
      <c r="C18071" s="46">
        <v>3059</v>
      </c>
      <c r="D18071" s="69" t="s">
        <v>29419</v>
      </c>
      <c r="E18071" s="51"/>
      <c r="F18071" s="114" t="str">
        <f>IF(INDEX(I.Facility.P3IDNumber,3059)="","",INDEX(I.Facility.P3IDNumber,3059))</f>
        <v/>
      </c>
      <c r="G18071" s="51"/>
      <c r="H18071" s="46" t="str">
        <f>IF(AND(I.Developer.P3=TRUE,I.Facility.P3FacilityCount&gt;=3059,F18071=""),"Incomplete","Complete")</f>
        <v>Complete</v>
      </c>
      <c r="I18071" s="48" t="s">
        <v>22436</v>
      </c>
    </row>
    <row r="18072" spans="2:9" ht="15" customHeight="1" x14ac:dyDescent="0.25">
      <c r="B18072" s="55" t="s">
        <v>282</v>
      </c>
      <c r="C18072" s="46">
        <v>3060</v>
      </c>
      <c r="D18072" s="69" t="s">
        <v>29419</v>
      </c>
      <c r="E18072" s="51"/>
      <c r="F18072" s="114" t="str">
        <f>IF(INDEX(I.Facility.P3IDNumber,3060)="","",INDEX(I.Facility.P3IDNumber,3060))</f>
        <v/>
      </c>
      <c r="G18072" s="51"/>
      <c r="H18072" s="46" t="str">
        <f>IF(AND(I.Developer.P3=TRUE,I.Facility.P3FacilityCount&gt;=3060,F18072=""),"Incomplete","Complete")</f>
        <v>Complete</v>
      </c>
      <c r="I18072" s="48" t="s">
        <v>22437</v>
      </c>
    </row>
    <row r="18073" spans="2:9" ht="15" customHeight="1" x14ac:dyDescent="0.25">
      <c r="B18073" s="55" t="s">
        <v>282</v>
      </c>
      <c r="C18073" s="46">
        <v>3061</v>
      </c>
      <c r="D18073" s="69" t="s">
        <v>29419</v>
      </c>
      <c r="E18073" s="51"/>
      <c r="F18073" s="114" t="str">
        <f>IF(INDEX(I.Facility.P3IDNumber,3061)="","",INDEX(I.Facility.P3IDNumber,3061))</f>
        <v/>
      </c>
      <c r="G18073" s="51"/>
      <c r="H18073" s="46" t="str">
        <f>IF(AND(I.Developer.P3=TRUE,I.Facility.P3FacilityCount&gt;=3061,F18073=""),"Incomplete","Complete")</f>
        <v>Complete</v>
      </c>
      <c r="I18073" s="48" t="s">
        <v>22438</v>
      </c>
    </row>
    <row r="18074" spans="2:9" ht="15" customHeight="1" x14ac:dyDescent="0.25">
      <c r="B18074" s="55" t="s">
        <v>282</v>
      </c>
      <c r="C18074" s="46">
        <v>3062</v>
      </c>
      <c r="D18074" s="69" t="s">
        <v>29419</v>
      </c>
      <c r="E18074" s="51"/>
      <c r="F18074" s="114" t="str">
        <f>IF(INDEX(I.Facility.P3IDNumber,3062)="","",INDEX(I.Facility.P3IDNumber,3062))</f>
        <v/>
      </c>
      <c r="G18074" s="51"/>
      <c r="H18074" s="46" t="str">
        <f>IF(AND(I.Developer.P3=TRUE,I.Facility.P3FacilityCount&gt;=3062,F18074=""),"Incomplete","Complete")</f>
        <v>Complete</v>
      </c>
      <c r="I18074" s="48" t="s">
        <v>22439</v>
      </c>
    </row>
    <row r="18075" spans="2:9" ht="15" customHeight="1" x14ac:dyDescent="0.25">
      <c r="B18075" s="55" t="s">
        <v>282</v>
      </c>
      <c r="C18075" s="46">
        <v>3063</v>
      </c>
      <c r="D18075" s="69" t="s">
        <v>29419</v>
      </c>
      <c r="E18075" s="51"/>
      <c r="F18075" s="114" t="str">
        <f>IF(INDEX(I.Facility.P3IDNumber,3063)="","",INDEX(I.Facility.P3IDNumber,3063))</f>
        <v/>
      </c>
      <c r="G18075" s="51"/>
      <c r="H18075" s="46" t="str">
        <f>IF(AND(I.Developer.P3=TRUE,I.Facility.P3FacilityCount&gt;=3063,F18075=""),"Incomplete","Complete")</f>
        <v>Complete</v>
      </c>
      <c r="I18075" s="48" t="s">
        <v>22440</v>
      </c>
    </row>
    <row r="18076" spans="2:9" ht="15" customHeight="1" x14ac:dyDescent="0.25">
      <c r="B18076" s="55" t="s">
        <v>282</v>
      </c>
      <c r="C18076" s="46">
        <v>3064</v>
      </c>
      <c r="D18076" s="69" t="s">
        <v>29419</v>
      </c>
      <c r="E18076" s="51"/>
      <c r="F18076" s="114" t="str">
        <f>IF(INDEX(I.Facility.P3IDNumber,3064)="","",INDEX(I.Facility.P3IDNumber,3064))</f>
        <v/>
      </c>
      <c r="G18076" s="51"/>
      <c r="H18076" s="46" t="str">
        <f>IF(AND(I.Developer.P3=TRUE,I.Facility.P3FacilityCount&gt;=3064,F18076=""),"Incomplete","Complete")</f>
        <v>Complete</v>
      </c>
      <c r="I18076" s="48" t="s">
        <v>22441</v>
      </c>
    </row>
    <row r="18077" spans="2:9" ht="15" customHeight="1" x14ac:dyDescent="0.25">
      <c r="B18077" s="55" t="s">
        <v>282</v>
      </c>
      <c r="C18077" s="46">
        <v>3065</v>
      </c>
      <c r="D18077" s="69" t="s">
        <v>29419</v>
      </c>
      <c r="E18077" s="51"/>
      <c r="F18077" s="114" t="str">
        <f>IF(INDEX(I.Facility.P3IDNumber,3065)="","",INDEX(I.Facility.P3IDNumber,3065))</f>
        <v/>
      </c>
      <c r="G18077" s="51"/>
      <c r="H18077" s="46" t="str">
        <f>IF(AND(I.Developer.P3=TRUE,I.Facility.P3FacilityCount&gt;=3065,F18077=""),"Incomplete","Complete")</f>
        <v>Complete</v>
      </c>
      <c r="I18077" s="48" t="s">
        <v>22442</v>
      </c>
    </row>
    <row r="18078" spans="2:9" ht="15" customHeight="1" x14ac:dyDescent="0.25">
      <c r="B18078" s="55" t="s">
        <v>282</v>
      </c>
      <c r="C18078" s="46">
        <v>3066</v>
      </c>
      <c r="D18078" s="69" t="s">
        <v>29419</v>
      </c>
      <c r="E18078" s="51"/>
      <c r="F18078" s="114" t="str">
        <f>IF(INDEX(I.Facility.P3IDNumber,3066)="","",INDEX(I.Facility.P3IDNumber,3066))</f>
        <v/>
      </c>
      <c r="G18078" s="51"/>
      <c r="H18078" s="46" t="str">
        <f>IF(AND(I.Developer.P3=TRUE,I.Facility.P3FacilityCount&gt;=3066,F18078=""),"Incomplete","Complete")</f>
        <v>Complete</v>
      </c>
      <c r="I18078" s="48" t="s">
        <v>22443</v>
      </c>
    </row>
    <row r="18079" spans="2:9" ht="15" customHeight="1" x14ac:dyDescent="0.25">
      <c r="B18079" s="55" t="s">
        <v>282</v>
      </c>
      <c r="C18079" s="46">
        <v>3067</v>
      </c>
      <c r="D18079" s="69" t="s">
        <v>29419</v>
      </c>
      <c r="E18079" s="51"/>
      <c r="F18079" s="114" t="str">
        <f>IF(INDEX(I.Facility.P3IDNumber,3067)="","",INDEX(I.Facility.P3IDNumber,3067))</f>
        <v/>
      </c>
      <c r="G18079" s="51"/>
      <c r="H18079" s="46" t="str">
        <f>IF(AND(I.Developer.P3=TRUE,I.Facility.P3FacilityCount&gt;=3067,F18079=""),"Incomplete","Complete")</f>
        <v>Complete</v>
      </c>
      <c r="I18079" s="48" t="s">
        <v>22444</v>
      </c>
    </row>
    <row r="18080" spans="2:9" ht="15" customHeight="1" x14ac:dyDescent="0.25">
      <c r="B18080" s="55" t="s">
        <v>282</v>
      </c>
      <c r="C18080" s="46">
        <v>3068</v>
      </c>
      <c r="D18080" s="69" t="s">
        <v>29419</v>
      </c>
      <c r="E18080" s="51"/>
      <c r="F18080" s="114" t="str">
        <f>IF(INDEX(I.Facility.P3IDNumber,3068)="","",INDEX(I.Facility.P3IDNumber,3068))</f>
        <v/>
      </c>
      <c r="G18080" s="51"/>
      <c r="H18080" s="46" t="str">
        <f>IF(AND(I.Developer.P3=TRUE,I.Facility.P3FacilityCount&gt;=3068,F18080=""),"Incomplete","Complete")</f>
        <v>Complete</v>
      </c>
      <c r="I18080" s="48" t="s">
        <v>22445</v>
      </c>
    </row>
    <row r="18081" spans="2:9" ht="15" customHeight="1" x14ac:dyDescent="0.25">
      <c r="B18081" s="55" t="s">
        <v>282</v>
      </c>
      <c r="C18081" s="46">
        <v>3069</v>
      </c>
      <c r="D18081" s="69" t="s">
        <v>29419</v>
      </c>
      <c r="E18081" s="51"/>
      <c r="F18081" s="114" t="str">
        <f>IF(INDEX(I.Facility.P3IDNumber,3069)="","",INDEX(I.Facility.P3IDNumber,3069))</f>
        <v/>
      </c>
      <c r="G18081" s="51"/>
      <c r="H18081" s="46" t="str">
        <f>IF(AND(I.Developer.P3=TRUE,I.Facility.P3FacilityCount&gt;=3069,F18081=""),"Incomplete","Complete")</f>
        <v>Complete</v>
      </c>
      <c r="I18081" s="48" t="s">
        <v>22446</v>
      </c>
    </row>
    <row r="18082" spans="2:9" ht="15" customHeight="1" x14ac:dyDescent="0.25">
      <c r="B18082" s="55" t="s">
        <v>282</v>
      </c>
      <c r="C18082" s="46">
        <v>3070</v>
      </c>
      <c r="D18082" s="69" t="s">
        <v>29419</v>
      </c>
      <c r="E18082" s="51"/>
      <c r="F18082" s="114" t="str">
        <f>IF(INDEX(I.Facility.P3IDNumber,3070)="","",INDEX(I.Facility.P3IDNumber,3070))</f>
        <v/>
      </c>
      <c r="G18082" s="51"/>
      <c r="H18082" s="46" t="str">
        <f>IF(AND(I.Developer.P3=TRUE,I.Facility.P3FacilityCount&gt;=3070,F18082=""),"Incomplete","Complete")</f>
        <v>Complete</v>
      </c>
      <c r="I18082" s="48" t="s">
        <v>22447</v>
      </c>
    </row>
    <row r="18083" spans="2:9" ht="15" customHeight="1" x14ac:dyDescent="0.25">
      <c r="B18083" s="55" t="s">
        <v>282</v>
      </c>
      <c r="C18083" s="46">
        <v>3071</v>
      </c>
      <c r="D18083" s="69" t="s">
        <v>29419</v>
      </c>
      <c r="E18083" s="51"/>
      <c r="F18083" s="114" t="str">
        <f>IF(INDEX(I.Facility.P3IDNumber,3071)="","",INDEX(I.Facility.P3IDNumber,3071))</f>
        <v/>
      </c>
      <c r="G18083" s="51"/>
      <c r="H18083" s="46" t="str">
        <f>IF(AND(I.Developer.P3=TRUE,I.Facility.P3FacilityCount&gt;=3071,F18083=""),"Incomplete","Complete")</f>
        <v>Complete</v>
      </c>
      <c r="I18083" s="48" t="s">
        <v>22448</v>
      </c>
    </row>
    <row r="18084" spans="2:9" ht="15" customHeight="1" x14ac:dyDescent="0.25">
      <c r="B18084" s="55" t="s">
        <v>282</v>
      </c>
      <c r="C18084" s="46">
        <v>3072</v>
      </c>
      <c r="D18084" s="69" t="s">
        <v>29419</v>
      </c>
      <c r="E18084" s="51"/>
      <c r="F18084" s="114" t="str">
        <f>IF(INDEX(I.Facility.P3IDNumber,3072)="","",INDEX(I.Facility.P3IDNumber,3072))</f>
        <v/>
      </c>
      <c r="G18084" s="51"/>
      <c r="H18084" s="46" t="str">
        <f>IF(AND(I.Developer.P3=TRUE,I.Facility.P3FacilityCount&gt;=3072,F18084=""),"Incomplete","Complete")</f>
        <v>Complete</v>
      </c>
      <c r="I18084" s="48" t="s">
        <v>22449</v>
      </c>
    </row>
    <row r="18085" spans="2:9" ht="15" customHeight="1" x14ac:dyDescent="0.25">
      <c r="B18085" s="55" t="s">
        <v>282</v>
      </c>
      <c r="C18085" s="46">
        <v>3073</v>
      </c>
      <c r="D18085" s="69" t="s">
        <v>29419</v>
      </c>
      <c r="E18085" s="51"/>
      <c r="F18085" s="114" t="str">
        <f>IF(INDEX(I.Facility.P3IDNumber,3073)="","",INDEX(I.Facility.P3IDNumber,3073))</f>
        <v/>
      </c>
      <c r="G18085" s="51"/>
      <c r="H18085" s="46" t="str">
        <f>IF(AND(I.Developer.P3=TRUE,I.Facility.P3FacilityCount&gt;=3073,F18085=""),"Incomplete","Complete")</f>
        <v>Complete</v>
      </c>
      <c r="I18085" s="48" t="s">
        <v>22450</v>
      </c>
    </row>
    <row r="18086" spans="2:9" ht="15" customHeight="1" x14ac:dyDescent="0.25">
      <c r="B18086" s="55" t="s">
        <v>282</v>
      </c>
      <c r="C18086" s="46">
        <v>3074</v>
      </c>
      <c r="D18086" s="69" t="s">
        <v>29419</v>
      </c>
      <c r="E18086" s="51"/>
      <c r="F18086" s="114" t="str">
        <f>IF(INDEX(I.Facility.P3IDNumber,3074)="","",INDEX(I.Facility.P3IDNumber,3074))</f>
        <v/>
      </c>
      <c r="G18086" s="51"/>
      <c r="H18086" s="46" t="str">
        <f>IF(AND(I.Developer.P3=TRUE,I.Facility.P3FacilityCount&gt;=3074,F18086=""),"Incomplete","Complete")</f>
        <v>Complete</v>
      </c>
      <c r="I18086" s="48" t="s">
        <v>22451</v>
      </c>
    </row>
    <row r="18087" spans="2:9" ht="15" customHeight="1" x14ac:dyDescent="0.25">
      <c r="B18087" s="55" t="s">
        <v>282</v>
      </c>
      <c r="C18087" s="46">
        <v>3075</v>
      </c>
      <c r="D18087" s="69" t="s">
        <v>29419</v>
      </c>
      <c r="E18087" s="51"/>
      <c r="F18087" s="114" t="str">
        <f>IF(INDEX(I.Facility.P3IDNumber,3075)="","",INDEX(I.Facility.P3IDNumber,3075))</f>
        <v/>
      </c>
      <c r="G18087" s="51"/>
      <c r="H18087" s="46" t="str">
        <f>IF(AND(I.Developer.P3=TRUE,I.Facility.P3FacilityCount&gt;=3075,F18087=""),"Incomplete","Complete")</f>
        <v>Complete</v>
      </c>
      <c r="I18087" s="48" t="s">
        <v>22452</v>
      </c>
    </row>
    <row r="18088" spans="2:9" ht="15" customHeight="1" x14ac:dyDescent="0.25">
      <c r="B18088" s="55" t="s">
        <v>282</v>
      </c>
      <c r="C18088" s="46">
        <v>3076</v>
      </c>
      <c r="D18088" s="69" t="s">
        <v>29419</v>
      </c>
      <c r="E18088" s="51"/>
      <c r="F18088" s="114" t="str">
        <f>IF(INDEX(I.Facility.P3IDNumber,3076)="","",INDEX(I.Facility.P3IDNumber,3076))</f>
        <v/>
      </c>
      <c r="G18088" s="51"/>
      <c r="H18088" s="46" t="str">
        <f>IF(AND(I.Developer.P3=TRUE,I.Facility.P3FacilityCount&gt;=3076,F18088=""),"Incomplete","Complete")</f>
        <v>Complete</v>
      </c>
      <c r="I18088" s="48" t="s">
        <v>22453</v>
      </c>
    </row>
    <row r="18089" spans="2:9" ht="15" customHeight="1" x14ac:dyDescent="0.25">
      <c r="B18089" s="55" t="s">
        <v>282</v>
      </c>
      <c r="C18089" s="46">
        <v>3077</v>
      </c>
      <c r="D18089" s="69" t="s">
        <v>29419</v>
      </c>
      <c r="E18089" s="51"/>
      <c r="F18089" s="114" t="str">
        <f>IF(INDEX(I.Facility.P3IDNumber,3077)="","",INDEX(I.Facility.P3IDNumber,3077))</f>
        <v/>
      </c>
      <c r="G18089" s="51"/>
      <c r="H18089" s="46" t="str">
        <f>IF(AND(I.Developer.P3=TRUE,I.Facility.P3FacilityCount&gt;=3077,F18089=""),"Incomplete","Complete")</f>
        <v>Complete</v>
      </c>
      <c r="I18089" s="48" t="s">
        <v>22454</v>
      </c>
    </row>
    <row r="18090" spans="2:9" ht="15" customHeight="1" x14ac:dyDescent="0.25">
      <c r="B18090" s="55" t="s">
        <v>282</v>
      </c>
      <c r="C18090" s="46">
        <v>3078</v>
      </c>
      <c r="D18090" s="69" t="s">
        <v>29419</v>
      </c>
      <c r="E18090" s="51"/>
      <c r="F18090" s="114" t="str">
        <f>IF(INDEX(I.Facility.P3IDNumber,3078)="","",INDEX(I.Facility.P3IDNumber,3078))</f>
        <v/>
      </c>
      <c r="G18090" s="51"/>
      <c r="H18090" s="46" t="str">
        <f>IF(AND(I.Developer.P3=TRUE,I.Facility.P3FacilityCount&gt;=3078,F18090=""),"Incomplete","Complete")</f>
        <v>Complete</v>
      </c>
      <c r="I18090" s="48" t="s">
        <v>22455</v>
      </c>
    </row>
    <row r="18091" spans="2:9" ht="15" customHeight="1" x14ac:dyDescent="0.25">
      <c r="B18091" s="55" t="s">
        <v>282</v>
      </c>
      <c r="C18091" s="46">
        <v>3079</v>
      </c>
      <c r="D18091" s="69" t="s">
        <v>29419</v>
      </c>
      <c r="E18091" s="51"/>
      <c r="F18091" s="114" t="str">
        <f>IF(INDEX(I.Facility.P3IDNumber,3079)="","",INDEX(I.Facility.P3IDNumber,3079))</f>
        <v/>
      </c>
      <c r="G18091" s="51"/>
      <c r="H18091" s="46" t="str">
        <f>IF(AND(I.Developer.P3=TRUE,I.Facility.P3FacilityCount&gt;=3079,F18091=""),"Incomplete","Complete")</f>
        <v>Complete</v>
      </c>
      <c r="I18091" s="48" t="s">
        <v>22456</v>
      </c>
    </row>
    <row r="18092" spans="2:9" ht="15" customHeight="1" x14ac:dyDescent="0.25">
      <c r="B18092" s="55" t="s">
        <v>282</v>
      </c>
      <c r="C18092" s="46">
        <v>3080</v>
      </c>
      <c r="D18092" s="69" t="s">
        <v>29419</v>
      </c>
      <c r="E18092" s="51"/>
      <c r="F18092" s="114" t="str">
        <f>IF(INDEX(I.Facility.P3IDNumber,3080)="","",INDEX(I.Facility.P3IDNumber,3080))</f>
        <v/>
      </c>
      <c r="G18092" s="51"/>
      <c r="H18092" s="46" t="str">
        <f>IF(AND(I.Developer.P3=TRUE,I.Facility.P3FacilityCount&gt;=3080,F18092=""),"Incomplete","Complete")</f>
        <v>Complete</v>
      </c>
      <c r="I18092" s="48" t="s">
        <v>22457</v>
      </c>
    </row>
    <row r="18093" spans="2:9" ht="15" customHeight="1" x14ac:dyDescent="0.25">
      <c r="B18093" s="55" t="s">
        <v>282</v>
      </c>
      <c r="C18093" s="46">
        <v>3081</v>
      </c>
      <c r="D18093" s="69" t="s">
        <v>29419</v>
      </c>
      <c r="E18093" s="51"/>
      <c r="F18093" s="114" t="str">
        <f>IF(INDEX(I.Facility.P3IDNumber,3081)="","",INDEX(I.Facility.P3IDNumber,3081))</f>
        <v/>
      </c>
      <c r="G18093" s="51"/>
      <c r="H18093" s="46" t="str">
        <f>IF(AND(I.Developer.P3=TRUE,I.Facility.P3FacilityCount&gt;=3081,F18093=""),"Incomplete","Complete")</f>
        <v>Complete</v>
      </c>
      <c r="I18093" s="48" t="s">
        <v>22458</v>
      </c>
    </row>
    <row r="18094" spans="2:9" ht="15" customHeight="1" x14ac:dyDescent="0.25">
      <c r="B18094" s="55" t="s">
        <v>282</v>
      </c>
      <c r="C18094" s="46">
        <v>3082</v>
      </c>
      <c r="D18094" s="69" t="s">
        <v>29419</v>
      </c>
      <c r="E18094" s="51"/>
      <c r="F18094" s="114" t="str">
        <f>IF(INDEX(I.Facility.P3IDNumber,3082)="","",INDEX(I.Facility.P3IDNumber,3082))</f>
        <v/>
      </c>
      <c r="G18094" s="51"/>
      <c r="H18094" s="46" t="str">
        <f>IF(AND(I.Developer.P3=TRUE,I.Facility.P3FacilityCount&gt;=3082,F18094=""),"Incomplete","Complete")</f>
        <v>Complete</v>
      </c>
      <c r="I18094" s="48" t="s">
        <v>22459</v>
      </c>
    </row>
    <row r="18095" spans="2:9" ht="15" customHeight="1" x14ac:dyDescent="0.25">
      <c r="B18095" s="55" t="s">
        <v>282</v>
      </c>
      <c r="C18095" s="46">
        <v>3083</v>
      </c>
      <c r="D18095" s="69" t="s">
        <v>29419</v>
      </c>
      <c r="E18095" s="51"/>
      <c r="F18095" s="114" t="str">
        <f>IF(INDEX(I.Facility.P3IDNumber,3083)="","",INDEX(I.Facility.P3IDNumber,3083))</f>
        <v/>
      </c>
      <c r="G18095" s="51"/>
      <c r="H18095" s="46" t="str">
        <f>IF(AND(I.Developer.P3=TRUE,I.Facility.P3FacilityCount&gt;=3083,F18095=""),"Incomplete","Complete")</f>
        <v>Complete</v>
      </c>
      <c r="I18095" s="48" t="s">
        <v>22460</v>
      </c>
    </row>
    <row r="18096" spans="2:9" ht="15" customHeight="1" x14ac:dyDescent="0.25">
      <c r="B18096" s="55" t="s">
        <v>282</v>
      </c>
      <c r="C18096" s="46">
        <v>3084</v>
      </c>
      <c r="D18096" s="69" t="s">
        <v>29419</v>
      </c>
      <c r="E18096" s="51"/>
      <c r="F18096" s="114" t="str">
        <f>IF(INDEX(I.Facility.P3IDNumber,3084)="","",INDEX(I.Facility.P3IDNumber,3084))</f>
        <v/>
      </c>
      <c r="G18096" s="51"/>
      <c r="H18096" s="46" t="str">
        <f>IF(AND(I.Developer.P3=TRUE,I.Facility.P3FacilityCount&gt;=3084,F18096=""),"Incomplete","Complete")</f>
        <v>Complete</v>
      </c>
      <c r="I18096" s="48" t="s">
        <v>22461</v>
      </c>
    </row>
    <row r="18097" spans="2:9" ht="15" customHeight="1" x14ac:dyDescent="0.25">
      <c r="B18097" s="55" t="s">
        <v>282</v>
      </c>
      <c r="C18097" s="46">
        <v>3085</v>
      </c>
      <c r="D18097" s="69" t="s">
        <v>29419</v>
      </c>
      <c r="E18097" s="51"/>
      <c r="F18097" s="114" t="str">
        <f>IF(INDEX(I.Facility.P3IDNumber,3085)="","",INDEX(I.Facility.P3IDNumber,3085))</f>
        <v/>
      </c>
      <c r="G18097" s="51"/>
      <c r="H18097" s="46" t="str">
        <f>IF(AND(I.Developer.P3=TRUE,I.Facility.P3FacilityCount&gt;=3085,F18097=""),"Incomplete","Complete")</f>
        <v>Complete</v>
      </c>
      <c r="I18097" s="48" t="s">
        <v>22462</v>
      </c>
    </row>
    <row r="18098" spans="2:9" ht="15" customHeight="1" x14ac:dyDescent="0.25">
      <c r="B18098" s="55" t="s">
        <v>282</v>
      </c>
      <c r="C18098" s="46">
        <v>3086</v>
      </c>
      <c r="D18098" s="69" t="s">
        <v>29419</v>
      </c>
      <c r="E18098" s="51"/>
      <c r="F18098" s="114" t="str">
        <f>IF(INDEX(I.Facility.P3IDNumber,3086)="","",INDEX(I.Facility.P3IDNumber,3086))</f>
        <v/>
      </c>
      <c r="G18098" s="51"/>
      <c r="H18098" s="46" t="str">
        <f>IF(AND(I.Developer.P3=TRUE,I.Facility.P3FacilityCount&gt;=3086,F18098=""),"Incomplete","Complete")</f>
        <v>Complete</v>
      </c>
      <c r="I18098" s="48" t="s">
        <v>22463</v>
      </c>
    </row>
    <row r="18099" spans="2:9" ht="15" customHeight="1" x14ac:dyDescent="0.25">
      <c r="B18099" s="55" t="s">
        <v>282</v>
      </c>
      <c r="C18099" s="46">
        <v>3087</v>
      </c>
      <c r="D18099" s="69" t="s">
        <v>29419</v>
      </c>
      <c r="E18099" s="51"/>
      <c r="F18099" s="114" t="str">
        <f>IF(INDEX(I.Facility.P3IDNumber,3087)="","",INDEX(I.Facility.P3IDNumber,3087))</f>
        <v/>
      </c>
      <c r="G18099" s="51"/>
      <c r="H18099" s="46" t="str">
        <f>IF(AND(I.Developer.P3=TRUE,I.Facility.P3FacilityCount&gt;=3087,F18099=""),"Incomplete","Complete")</f>
        <v>Complete</v>
      </c>
      <c r="I18099" s="48" t="s">
        <v>22464</v>
      </c>
    </row>
    <row r="18100" spans="2:9" ht="15" customHeight="1" x14ac:dyDescent="0.25">
      <c r="B18100" s="55" t="s">
        <v>282</v>
      </c>
      <c r="C18100" s="46">
        <v>3088</v>
      </c>
      <c r="D18100" s="69" t="s">
        <v>29419</v>
      </c>
      <c r="E18100" s="51"/>
      <c r="F18100" s="114" t="str">
        <f>IF(INDEX(I.Facility.P3IDNumber,3088)="","",INDEX(I.Facility.P3IDNumber,3088))</f>
        <v/>
      </c>
      <c r="G18100" s="51"/>
      <c r="H18100" s="46" t="str">
        <f>IF(AND(I.Developer.P3=TRUE,I.Facility.P3FacilityCount&gt;=3088,F18100=""),"Incomplete","Complete")</f>
        <v>Complete</v>
      </c>
      <c r="I18100" s="48" t="s">
        <v>22465</v>
      </c>
    </row>
    <row r="18101" spans="2:9" ht="15" customHeight="1" x14ac:dyDescent="0.25">
      <c r="B18101" s="55" t="s">
        <v>282</v>
      </c>
      <c r="C18101" s="46">
        <v>3089</v>
      </c>
      <c r="D18101" s="69" t="s">
        <v>29419</v>
      </c>
      <c r="E18101" s="51"/>
      <c r="F18101" s="114" t="str">
        <f>IF(INDEX(I.Facility.P3IDNumber,3089)="","",INDEX(I.Facility.P3IDNumber,3089))</f>
        <v/>
      </c>
      <c r="G18101" s="51"/>
      <c r="H18101" s="46" t="str">
        <f>IF(AND(I.Developer.P3=TRUE,I.Facility.P3FacilityCount&gt;=3089,F18101=""),"Incomplete","Complete")</f>
        <v>Complete</v>
      </c>
      <c r="I18101" s="48" t="s">
        <v>22466</v>
      </c>
    </row>
    <row r="18102" spans="2:9" ht="15" customHeight="1" x14ac:dyDescent="0.25">
      <c r="B18102" s="55" t="s">
        <v>282</v>
      </c>
      <c r="C18102" s="46">
        <v>3090</v>
      </c>
      <c r="D18102" s="69" t="s">
        <v>29419</v>
      </c>
      <c r="E18102" s="51"/>
      <c r="F18102" s="114" t="str">
        <f>IF(INDEX(I.Facility.P3IDNumber,3090)="","",INDEX(I.Facility.P3IDNumber,3090))</f>
        <v/>
      </c>
      <c r="G18102" s="51"/>
      <c r="H18102" s="46" t="str">
        <f>IF(AND(I.Developer.P3=TRUE,I.Facility.P3FacilityCount&gt;=3090,F18102=""),"Incomplete","Complete")</f>
        <v>Complete</v>
      </c>
      <c r="I18102" s="48" t="s">
        <v>22467</v>
      </c>
    </row>
    <row r="18103" spans="2:9" ht="15" customHeight="1" x14ac:dyDescent="0.25">
      <c r="B18103" s="55" t="s">
        <v>282</v>
      </c>
      <c r="C18103" s="46">
        <v>3091</v>
      </c>
      <c r="D18103" s="69" t="s">
        <v>29419</v>
      </c>
      <c r="E18103" s="51"/>
      <c r="F18103" s="114" t="str">
        <f>IF(INDEX(I.Facility.P3IDNumber,3091)="","",INDEX(I.Facility.P3IDNumber,3091))</f>
        <v/>
      </c>
      <c r="G18103" s="51"/>
      <c r="H18103" s="46" t="str">
        <f>IF(AND(I.Developer.P3=TRUE,I.Facility.P3FacilityCount&gt;=3091,F18103=""),"Incomplete","Complete")</f>
        <v>Complete</v>
      </c>
      <c r="I18103" s="48" t="s">
        <v>22468</v>
      </c>
    </row>
    <row r="18104" spans="2:9" ht="15" customHeight="1" x14ac:dyDescent="0.25">
      <c r="B18104" s="55" t="s">
        <v>282</v>
      </c>
      <c r="C18104" s="46">
        <v>3092</v>
      </c>
      <c r="D18104" s="69" t="s">
        <v>29419</v>
      </c>
      <c r="E18104" s="51"/>
      <c r="F18104" s="114" t="str">
        <f>IF(INDEX(I.Facility.P3IDNumber,3092)="","",INDEX(I.Facility.P3IDNumber,3092))</f>
        <v/>
      </c>
      <c r="G18104" s="51"/>
      <c r="H18104" s="46" t="str">
        <f>IF(AND(I.Developer.P3=TRUE,I.Facility.P3FacilityCount&gt;=3092,F18104=""),"Incomplete","Complete")</f>
        <v>Complete</v>
      </c>
      <c r="I18104" s="48" t="s">
        <v>22469</v>
      </c>
    </row>
    <row r="18105" spans="2:9" ht="15" customHeight="1" x14ac:dyDescent="0.25">
      <c r="B18105" s="55" t="s">
        <v>282</v>
      </c>
      <c r="C18105" s="46">
        <v>3093</v>
      </c>
      <c r="D18105" s="69" t="s">
        <v>29419</v>
      </c>
      <c r="E18105" s="51"/>
      <c r="F18105" s="114" t="str">
        <f>IF(INDEX(I.Facility.P3IDNumber,3093)="","",INDEX(I.Facility.P3IDNumber,3093))</f>
        <v/>
      </c>
      <c r="G18105" s="51"/>
      <c r="H18105" s="46" t="str">
        <f>IF(AND(I.Developer.P3=TRUE,I.Facility.P3FacilityCount&gt;=3093,F18105=""),"Incomplete","Complete")</f>
        <v>Complete</v>
      </c>
      <c r="I18105" s="48" t="s">
        <v>22470</v>
      </c>
    </row>
    <row r="18106" spans="2:9" ht="15" customHeight="1" x14ac:dyDescent="0.25">
      <c r="B18106" s="55" t="s">
        <v>282</v>
      </c>
      <c r="C18106" s="46">
        <v>3094</v>
      </c>
      <c r="D18106" s="69" t="s">
        <v>29419</v>
      </c>
      <c r="E18106" s="51"/>
      <c r="F18106" s="114" t="str">
        <f>IF(INDEX(I.Facility.P3IDNumber,3094)="","",INDEX(I.Facility.P3IDNumber,3094))</f>
        <v/>
      </c>
      <c r="G18106" s="51"/>
      <c r="H18106" s="46" t="str">
        <f>IF(AND(I.Developer.P3=TRUE,I.Facility.P3FacilityCount&gt;=3094,F18106=""),"Incomplete","Complete")</f>
        <v>Complete</v>
      </c>
      <c r="I18106" s="48" t="s">
        <v>22471</v>
      </c>
    </row>
    <row r="18107" spans="2:9" ht="15" customHeight="1" x14ac:dyDescent="0.25">
      <c r="B18107" s="55" t="s">
        <v>282</v>
      </c>
      <c r="C18107" s="46">
        <v>3095</v>
      </c>
      <c r="D18107" s="69" t="s">
        <v>29419</v>
      </c>
      <c r="E18107" s="51"/>
      <c r="F18107" s="114" t="str">
        <f>IF(INDEX(I.Facility.P3IDNumber,3095)="","",INDEX(I.Facility.P3IDNumber,3095))</f>
        <v/>
      </c>
      <c r="G18107" s="51"/>
      <c r="H18107" s="46" t="str">
        <f>IF(AND(I.Developer.P3=TRUE,I.Facility.P3FacilityCount&gt;=3095,F18107=""),"Incomplete","Complete")</f>
        <v>Complete</v>
      </c>
      <c r="I18107" s="48" t="s">
        <v>22472</v>
      </c>
    </row>
    <row r="18108" spans="2:9" ht="15" customHeight="1" x14ac:dyDescent="0.25">
      <c r="B18108" s="55" t="s">
        <v>282</v>
      </c>
      <c r="C18108" s="46">
        <v>3096</v>
      </c>
      <c r="D18108" s="69" t="s">
        <v>29419</v>
      </c>
      <c r="E18108" s="51"/>
      <c r="F18108" s="114" t="str">
        <f>IF(INDEX(I.Facility.P3IDNumber,3096)="","",INDEX(I.Facility.P3IDNumber,3096))</f>
        <v/>
      </c>
      <c r="G18108" s="51"/>
      <c r="H18108" s="46" t="str">
        <f>IF(AND(I.Developer.P3=TRUE,I.Facility.P3FacilityCount&gt;=3096,F18108=""),"Incomplete","Complete")</f>
        <v>Complete</v>
      </c>
      <c r="I18108" s="48" t="s">
        <v>22473</v>
      </c>
    </row>
    <row r="18109" spans="2:9" ht="15" customHeight="1" x14ac:dyDescent="0.25">
      <c r="B18109" s="55" t="s">
        <v>282</v>
      </c>
      <c r="C18109" s="46">
        <v>3097</v>
      </c>
      <c r="D18109" s="69" t="s">
        <v>29419</v>
      </c>
      <c r="E18109" s="51"/>
      <c r="F18109" s="114" t="str">
        <f>IF(INDEX(I.Facility.P3IDNumber,3097)="","",INDEX(I.Facility.P3IDNumber,3097))</f>
        <v/>
      </c>
      <c r="G18109" s="51"/>
      <c r="H18109" s="46" t="str">
        <f>IF(AND(I.Developer.P3=TRUE,I.Facility.P3FacilityCount&gt;=3097,F18109=""),"Incomplete","Complete")</f>
        <v>Complete</v>
      </c>
      <c r="I18109" s="48" t="s">
        <v>22474</v>
      </c>
    </row>
    <row r="18110" spans="2:9" ht="15" customHeight="1" x14ac:dyDescent="0.25">
      <c r="B18110" s="55" t="s">
        <v>282</v>
      </c>
      <c r="C18110" s="46">
        <v>3098</v>
      </c>
      <c r="D18110" s="69" t="s">
        <v>29419</v>
      </c>
      <c r="E18110" s="51"/>
      <c r="F18110" s="114" t="str">
        <f>IF(INDEX(I.Facility.P3IDNumber,3098)="","",INDEX(I.Facility.P3IDNumber,3098))</f>
        <v/>
      </c>
      <c r="G18110" s="51"/>
      <c r="H18110" s="46" t="str">
        <f>IF(AND(I.Developer.P3=TRUE,I.Facility.P3FacilityCount&gt;=3098,F18110=""),"Incomplete","Complete")</f>
        <v>Complete</v>
      </c>
      <c r="I18110" s="48" t="s">
        <v>22475</v>
      </c>
    </row>
    <row r="18111" spans="2:9" ht="15" customHeight="1" x14ac:dyDescent="0.25">
      <c r="B18111" s="55" t="s">
        <v>282</v>
      </c>
      <c r="C18111" s="46">
        <v>3099</v>
      </c>
      <c r="D18111" s="69" t="s">
        <v>29419</v>
      </c>
      <c r="E18111" s="51"/>
      <c r="F18111" s="114" t="str">
        <f>IF(INDEX(I.Facility.P3IDNumber,3099)="","",INDEX(I.Facility.P3IDNumber,3099))</f>
        <v/>
      </c>
      <c r="G18111" s="51"/>
      <c r="H18111" s="46" t="str">
        <f>IF(AND(I.Developer.P3=TRUE,I.Facility.P3FacilityCount&gt;=3099,F18111=""),"Incomplete","Complete")</f>
        <v>Complete</v>
      </c>
      <c r="I18111" s="48" t="s">
        <v>22476</v>
      </c>
    </row>
    <row r="18112" spans="2:9" ht="15" customHeight="1" x14ac:dyDescent="0.25">
      <c r="B18112" s="55" t="s">
        <v>282</v>
      </c>
      <c r="C18112" s="46">
        <v>3100</v>
      </c>
      <c r="D18112" s="69" t="s">
        <v>29419</v>
      </c>
      <c r="E18112" s="51"/>
      <c r="F18112" s="114" t="str">
        <f>IF(INDEX(I.Facility.P3IDNumber,3100)="","",INDEX(I.Facility.P3IDNumber,3100))</f>
        <v/>
      </c>
      <c r="G18112" s="51"/>
      <c r="H18112" s="46" t="str">
        <f>IF(AND(I.Developer.P3=TRUE,I.Facility.P3FacilityCount&gt;=3100,F18112=""),"Incomplete","Complete")</f>
        <v>Complete</v>
      </c>
      <c r="I18112" s="48" t="s">
        <v>22477</v>
      </c>
    </row>
    <row r="18113" spans="2:9" ht="15" customHeight="1" x14ac:dyDescent="0.25">
      <c r="B18113" s="55" t="s">
        <v>282</v>
      </c>
      <c r="C18113" s="46">
        <v>3101</v>
      </c>
      <c r="D18113" s="69" t="s">
        <v>29419</v>
      </c>
      <c r="E18113" s="51"/>
      <c r="F18113" s="114" t="str">
        <f>IF(INDEX(I.Facility.P3IDNumber,3101)="","",INDEX(I.Facility.P3IDNumber,3101))</f>
        <v/>
      </c>
      <c r="G18113" s="51"/>
      <c r="H18113" s="46" t="str">
        <f>IF(AND(I.Developer.P3=TRUE,I.Facility.P3FacilityCount&gt;=3101,F18113=""),"Incomplete","Complete")</f>
        <v>Complete</v>
      </c>
      <c r="I18113" s="48" t="s">
        <v>22478</v>
      </c>
    </row>
    <row r="18114" spans="2:9" ht="15" customHeight="1" x14ac:dyDescent="0.25">
      <c r="B18114" s="55" t="s">
        <v>282</v>
      </c>
      <c r="C18114" s="46">
        <v>3102</v>
      </c>
      <c r="D18114" s="69" t="s">
        <v>29419</v>
      </c>
      <c r="E18114" s="51"/>
      <c r="F18114" s="114" t="str">
        <f>IF(INDEX(I.Facility.P3IDNumber,3102)="","",INDEX(I.Facility.P3IDNumber,3102))</f>
        <v/>
      </c>
      <c r="G18114" s="51"/>
      <c r="H18114" s="46" t="str">
        <f>IF(AND(I.Developer.P3=TRUE,I.Facility.P3FacilityCount&gt;=3102,F18114=""),"Incomplete","Complete")</f>
        <v>Complete</v>
      </c>
      <c r="I18114" s="48" t="s">
        <v>22479</v>
      </c>
    </row>
    <row r="18115" spans="2:9" ht="15" customHeight="1" x14ac:dyDescent="0.25">
      <c r="B18115" s="55" t="s">
        <v>282</v>
      </c>
      <c r="C18115" s="46">
        <v>3103</v>
      </c>
      <c r="D18115" s="69" t="s">
        <v>29419</v>
      </c>
      <c r="E18115" s="51"/>
      <c r="F18115" s="114" t="str">
        <f>IF(INDEX(I.Facility.P3IDNumber,3103)="","",INDEX(I.Facility.P3IDNumber,3103))</f>
        <v/>
      </c>
      <c r="G18115" s="51"/>
      <c r="H18115" s="46" t="str">
        <f>IF(AND(I.Developer.P3=TRUE,I.Facility.P3FacilityCount&gt;=3103,F18115=""),"Incomplete","Complete")</f>
        <v>Complete</v>
      </c>
      <c r="I18115" s="48" t="s">
        <v>22480</v>
      </c>
    </row>
    <row r="18116" spans="2:9" ht="15" customHeight="1" x14ac:dyDescent="0.25">
      <c r="B18116" s="55" t="s">
        <v>282</v>
      </c>
      <c r="C18116" s="46">
        <v>3104</v>
      </c>
      <c r="D18116" s="69" t="s">
        <v>29419</v>
      </c>
      <c r="E18116" s="51"/>
      <c r="F18116" s="114" t="str">
        <f>IF(INDEX(I.Facility.P3IDNumber,3104)="","",INDEX(I.Facility.P3IDNumber,3104))</f>
        <v/>
      </c>
      <c r="G18116" s="51"/>
      <c r="H18116" s="46" t="str">
        <f>IF(AND(I.Developer.P3=TRUE,I.Facility.P3FacilityCount&gt;=3104,F18116=""),"Incomplete","Complete")</f>
        <v>Complete</v>
      </c>
      <c r="I18116" s="48" t="s">
        <v>22481</v>
      </c>
    </row>
    <row r="18117" spans="2:9" ht="15" customHeight="1" x14ac:dyDescent="0.25">
      <c r="B18117" s="55" t="s">
        <v>282</v>
      </c>
      <c r="C18117" s="46">
        <v>3105</v>
      </c>
      <c r="D18117" s="69" t="s">
        <v>29419</v>
      </c>
      <c r="E18117" s="51"/>
      <c r="F18117" s="114" t="str">
        <f>IF(INDEX(I.Facility.P3IDNumber,3105)="","",INDEX(I.Facility.P3IDNumber,3105))</f>
        <v/>
      </c>
      <c r="G18117" s="51"/>
      <c r="H18117" s="46" t="str">
        <f>IF(AND(I.Developer.P3=TRUE,I.Facility.P3FacilityCount&gt;=3105,F18117=""),"Incomplete","Complete")</f>
        <v>Complete</v>
      </c>
      <c r="I18117" s="48" t="s">
        <v>22482</v>
      </c>
    </row>
    <row r="18118" spans="2:9" ht="15" customHeight="1" x14ac:dyDescent="0.25">
      <c r="B18118" s="55" t="s">
        <v>282</v>
      </c>
      <c r="C18118" s="46">
        <v>3106</v>
      </c>
      <c r="D18118" s="69" t="s">
        <v>29419</v>
      </c>
      <c r="E18118" s="51"/>
      <c r="F18118" s="114" t="str">
        <f>IF(INDEX(I.Facility.P3IDNumber,3106)="","",INDEX(I.Facility.P3IDNumber,3106))</f>
        <v/>
      </c>
      <c r="G18118" s="51"/>
      <c r="H18118" s="46" t="str">
        <f>IF(AND(I.Developer.P3=TRUE,I.Facility.P3FacilityCount&gt;=3106,F18118=""),"Incomplete","Complete")</f>
        <v>Complete</v>
      </c>
      <c r="I18118" s="48" t="s">
        <v>22483</v>
      </c>
    </row>
    <row r="18119" spans="2:9" ht="15" customHeight="1" x14ac:dyDescent="0.25">
      <c r="B18119" s="55" t="s">
        <v>282</v>
      </c>
      <c r="C18119" s="46">
        <v>3107</v>
      </c>
      <c r="D18119" s="69" t="s">
        <v>29419</v>
      </c>
      <c r="E18119" s="51"/>
      <c r="F18119" s="114" t="str">
        <f>IF(INDEX(I.Facility.P3IDNumber,3107)="","",INDEX(I.Facility.P3IDNumber,3107))</f>
        <v/>
      </c>
      <c r="G18119" s="51"/>
      <c r="H18119" s="46" t="str">
        <f>IF(AND(I.Developer.P3=TRUE,I.Facility.P3FacilityCount&gt;=3107,F18119=""),"Incomplete","Complete")</f>
        <v>Complete</v>
      </c>
      <c r="I18119" s="48" t="s">
        <v>22484</v>
      </c>
    </row>
    <row r="18120" spans="2:9" ht="15" customHeight="1" x14ac:dyDescent="0.25">
      <c r="B18120" s="55" t="s">
        <v>282</v>
      </c>
      <c r="C18120" s="46">
        <v>3108</v>
      </c>
      <c r="D18120" s="69" t="s">
        <v>29419</v>
      </c>
      <c r="E18120" s="51"/>
      <c r="F18120" s="114" t="str">
        <f>IF(INDEX(I.Facility.P3IDNumber,3108)="","",INDEX(I.Facility.P3IDNumber,3108))</f>
        <v/>
      </c>
      <c r="G18120" s="51"/>
      <c r="H18120" s="46" t="str">
        <f>IF(AND(I.Developer.P3=TRUE,I.Facility.P3FacilityCount&gt;=3108,F18120=""),"Incomplete","Complete")</f>
        <v>Complete</v>
      </c>
      <c r="I18120" s="48" t="s">
        <v>22485</v>
      </c>
    </row>
    <row r="18121" spans="2:9" ht="15" customHeight="1" x14ac:dyDescent="0.25">
      <c r="B18121" s="55" t="s">
        <v>282</v>
      </c>
      <c r="C18121" s="46">
        <v>3109</v>
      </c>
      <c r="D18121" s="69" t="s">
        <v>29419</v>
      </c>
      <c r="E18121" s="51"/>
      <c r="F18121" s="114" t="str">
        <f>IF(INDEX(I.Facility.P3IDNumber,3109)="","",INDEX(I.Facility.P3IDNumber,3109))</f>
        <v/>
      </c>
      <c r="G18121" s="51"/>
      <c r="H18121" s="46" t="str">
        <f>IF(AND(I.Developer.P3=TRUE,I.Facility.P3FacilityCount&gt;=3109,F18121=""),"Incomplete","Complete")</f>
        <v>Complete</v>
      </c>
      <c r="I18121" s="48" t="s">
        <v>22486</v>
      </c>
    </row>
    <row r="18122" spans="2:9" ht="15" customHeight="1" x14ac:dyDescent="0.25">
      <c r="B18122" s="55" t="s">
        <v>282</v>
      </c>
      <c r="C18122" s="46">
        <v>3110</v>
      </c>
      <c r="D18122" s="69" t="s">
        <v>29419</v>
      </c>
      <c r="E18122" s="51"/>
      <c r="F18122" s="114" t="str">
        <f>IF(INDEX(I.Facility.P3IDNumber,3110)="","",INDEX(I.Facility.P3IDNumber,3110))</f>
        <v/>
      </c>
      <c r="G18122" s="51"/>
      <c r="H18122" s="46" t="str">
        <f>IF(AND(I.Developer.P3=TRUE,I.Facility.P3FacilityCount&gt;=3110,F18122=""),"Incomplete","Complete")</f>
        <v>Complete</v>
      </c>
      <c r="I18122" s="48" t="s">
        <v>22487</v>
      </c>
    </row>
    <row r="18123" spans="2:9" ht="15" customHeight="1" x14ac:dyDescent="0.25">
      <c r="B18123" s="55" t="s">
        <v>282</v>
      </c>
      <c r="C18123" s="46">
        <v>3111</v>
      </c>
      <c r="D18123" s="69" t="s">
        <v>29419</v>
      </c>
      <c r="E18123" s="51"/>
      <c r="F18123" s="114" t="str">
        <f>IF(INDEX(I.Facility.P3IDNumber,3111)="","",INDEX(I.Facility.P3IDNumber,3111))</f>
        <v/>
      </c>
      <c r="G18123" s="51"/>
      <c r="H18123" s="46" t="str">
        <f>IF(AND(I.Developer.P3=TRUE,I.Facility.P3FacilityCount&gt;=3111,F18123=""),"Incomplete","Complete")</f>
        <v>Complete</v>
      </c>
      <c r="I18123" s="48" t="s">
        <v>22488</v>
      </c>
    </row>
    <row r="18124" spans="2:9" ht="15" customHeight="1" x14ac:dyDescent="0.25">
      <c r="B18124" s="55" t="s">
        <v>282</v>
      </c>
      <c r="C18124" s="46">
        <v>3112</v>
      </c>
      <c r="D18124" s="69" t="s">
        <v>29419</v>
      </c>
      <c r="E18124" s="51"/>
      <c r="F18124" s="114" t="str">
        <f>IF(INDEX(I.Facility.P3IDNumber,3112)="","",INDEX(I.Facility.P3IDNumber,3112))</f>
        <v/>
      </c>
      <c r="G18124" s="51"/>
      <c r="H18124" s="46" t="str">
        <f>IF(AND(I.Developer.P3=TRUE,I.Facility.P3FacilityCount&gt;=3112,F18124=""),"Incomplete","Complete")</f>
        <v>Complete</v>
      </c>
      <c r="I18124" s="48" t="s">
        <v>22489</v>
      </c>
    </row>
    <row r="18125" spans="2:9" ht="15" customHeight="1" x14ac:dyDescent="0.25">
      <c r="B18125" s="55" t="s">
        <v>282</v>
      </c>
      <c r="C18125" s="46">
        <v>3113</v>
      </c>
      <c r="D18125" s="69" t="s">
        <v>29419</v>
      </c>
      <c r="E18125" s="51"/>
      <c r="F18125" s="114" t="str">
        <f>IF(INDEX(I.Facility.P3IDNumber,3113)="","",INDEX(I.Facility.P3IDNumber,3113))</f>
        <v/>
      </c>
      <c r="G18125" s="51"/>
      <c r="H18125" s="46" t="str">
        <f>IF(AND(I.Developer.P3=TRUE,I.Facility.P3FacilityCount&gt;=3113,F18125=""),"Incomplete","Complete")</f>
        <v>Complete</v>
      </c>
      <c r="I18125" s="48" t="s">
        <v>22490</v>
      </c>
    </row>
    <row r="18126" spans="2:9" ht="15" customHeight="1" x14ac:dyDescent="0.25">
      <c r="B18126" s="55" t="s">
        <v>282</v>
      </c>
      <c r="C18126" s="46">
        <v>3114</v>
      </c>
      <c r="D18126" s="69" t="s">
        <v>29419</v>
      </c>
      <c r="E18126" s="51"/>
      <c r="F18126" s="114" t="str">
        <f>IF(INDEX(I.Facility.P3IDNumber,3114)="","",INDEX(I.Facility.P3IDNumber,3114))</f>
        <v/>
      </c>
      <c r="G18126" s="51"/>
      <c r="H18126" s="46" t="str">
        <f>IF(AND(I.Developer.P3=TRUE,I.Facility.P3FacilityCount&gt;=3114,F18126=""),"Incomplete","Complete")</f>
        <v>Complete</v>
      </c>
      <c r="I18126" s="48" t="s">
        <v>22491</v>
      </c>
    </row>
    <row r="18127" spans="2:9" ht="15" customHeight="1" x14ac:dyDescent="0.25">
      <c r="B18127" s="55" t="s">
        <v>282</v>
      </c>
      <c r="C18127" s="46">
        <v>3115</v>
      </c>
      <c r="D18127" s="69" t="s">
        <v>29419</v>
      </c>
      <c r="E18127" s="51"/>
      <c r="F18127" s="114" t="str">
        <f>IF(INDEX(I.Facility.P3IDNumber,3115)="","",INDEX(I.Facility.P3IDNumber,3115))</f>
        <v/>
      </c>
      <c r="G18127" s="51"/>
      <c r="H18127" s="46" t="str">
        <f>IF(AND(I.Developer.P3=TRUE,I.Facility.P3FacilityCount&gt;=3115,F18127=""),"Incomplete","Complete")</f>
        <v>Complete</v>
      </c>
      <c r="I18127" s="48" t="s">
        <v>22492</v>
      </c>
    </row>
    <row r="18128" spans="2:9" ht="15" customHeight="1" x14ac:dyDescent="0.25">
      <c r="B18128" s="55" t="s">
        <v>282</v>
      </c>
      <c r="C18128" s="46">
        <v>3116</v>
      </c>
      <c r="D18128" s="69" t="s">
        <v>29419</v>
      </c>
      <c r="E18128" s="51"/>
      <c r="F18128" s="114" t="str">
        <f>IF(INDEX(I.Facility.P3IDNumber,3116)="","",INDEX(I.Facility.P3IDNumber,3116))</f>
        <v/>
      </c>
      <c r="G18128" s="51"/>
      <c r="H18128" s="46" t="str">
        <f>IF(AND(I.Developer.P3=TRUE,I.Facility.P3FacilityCount&gt;=3116,F18128=""),"Incomplete","Complete")</f>
        <v>Complete</v>
      </c>
      <c r="I18128" s="48" t="s">
        <v>22493</v>
      </c>
    </row>
    <row r="18129" spans="2:9" ht="15" customHeight="1" x14ac:dyDescent="0.25">
      <c r="B18129" s="55" t="s">
        <v>282</v>
      </c>
      <c r="C18129" s="46">
        <v>3117</v>
      </c>
      <c r="D18129" s="69" t="s">
        <v>29419</v>
      </c>
      <c r="E18129" s="51"/>
      <c r="F18129" s="114" t="str">
        <f>IF(INDEX(I.Facility.P3IDNumber,3117)="","",INDEX(I.Facility.P3IDNumber,3117))</f>
        <v/>
      </c>
      <c r="G18129" s="51"/>
      <c r="H18129" s="46" t="str">
        <f>IF(AND(I.Developer.P3=TRUE,I.Facility.P3FacilityCount&gt;=3117,F18129=""),"Incomplete","Complete")</f>
        <v>Complete</v>
      </c>
      <c r="I18129" s="48" t="s">
        <v>22494</v>
      </c>
    </row>
    <row r="18130" spans="2:9" ht="15" customHeight="1" x14ac:dyDescent="0.25">
      <c r="B18130" s="55" t="s">
        <v>282</v>
      </c>
      <c r="C18130" s="46">
        <v>3118</v>
      </c>
      <c r="D18130" s="69" t="s">
        <v>29419</v>
      </c>
      <c r="E18130" s="51"/>
      <c r="F18130" s="114" t="str">
        <f>IF(INDEX(I.Facility.P3IDNumber,3118)="","",INDEX(I.Facility.P3IDNumber,3118))</f>
        <v/>
      </c>
      <c r="G18130" s="51"/>
      <c r="H18130" s="46" t="str">
        <f>IF(AND(I.Developer.P3=TRUE,I.Facility.P3FacilityCount&gt;=3118,F18130=""),"Incomplete","Complete")</f>
        <v>Complete</v>
      </c>
      <c r="I18130" s="48" t="s">
        <v>22495</v>
      </c>
    </row>
    <row r="18131" spans="2:9" ht="15" customHeight="1" x14ac:dyDescent="0.25">
      <c r="B18131" s="55" t="s">
        <v>282</v>
      </c>
      <c r="C18131" s="46">
        <v>3119</v>
      </c>
      <c r="D18131" s="69" t="s">
        <v>29419</v>
      </c>
      <c r="E18131" s="51"/>
      <c r="F18131" s="114" t="str">
        <f>IF(INDEX(I.Facility.P3IDNumber,3119)="","",INDEX(I.Facility.P3IDNumber,3119))</f>
        <v/>
      </c>
      <c r="G18131" s="51"/>
      <c r="H18131" s="46" t="str">
        <f>IF(AND(I.Developer.P3=TRUE,I.Facility.P3FacilityCount&gt;=3119,F18131=""),"Incomplete","Complete")</f>
        <v>Complete</v>
      </c>
      <c r="I18131" s="48" t="s">
        <v>22496</v>
      </c>
    </row>
    <row r="18132" spans="2:9" ht="15" customHeight="1" x14ac:dyDescent="0.25">
      <c r="B18132" s="55" t="s">
        <v>282</v>
      </c>
      <c r="C18132" s="46">
        <v>3120</v>
      </c>
      <c r="D18132" s="69" t="s">
        <v>29419</v>
      </c>
      <c r="E18132" s="51"/>
      <c r="F18132" s="114" t="str">
        <f>IF(INDEX(I.Facility.P3IDNumber,3120)="","",INDEX(I.Facility.P3IDNumber,3120))</f>
        <v/>
      </c>
      <c r="G18132" s="51"/>
      <c r="H18132" s="46" t="str">
        <f>IF(AND(I.Developer.P3=TRUE,I.Facility.P3FacilityCount&gt;=3120,F18132=""),"Incomplete","Complete")</f>
        <v>Complete</v>
      </c>
      <c r="I18132" s="48" t="s">
        <v>22497</v>
      </c>
    </row>
    <row r="18133" spans="2:9" ht="15" customHeight="1" x14ac:dyDescent="0.25">
      <c r="B18133" s="55" t="s">
        <v>282</v>
      </c>
      <c r="C18133" s="46">
        <v>3121</v>
      </c>
      <c r="D18133" s="69" t="s">
        <v>29419</v>
      </c>
      <c r="E18133" s="51"/>
      <c r="F18133" s="114" t="str">
        <f>IF(INDEX(I.Facility.P3IDNumber,3121)="","",INDEX(I.Facility.P3IDNumber,3121))</f>
        <v/>
      </c>
      <c r="G18133" s="51"/>
      <c r="H18133" s="46" t="str">
        <f>IF(AND(I.Developer.P3=TRUE,I.Facility.P3FacilityCount&gt;=3121,F18133=""),"Incomplete","Complete")</f>
        <v>Complete</v>
      </c>
      <c r="I18133" s="48" t="s">
        <v>22498</v>
      </c>
    </row>
    <row r="18134" spans="2:9" ht="15" customHeight="1" x14ac:dyDescent="0.25">
      <c r="B18134" s="55" t="s">
        <v>282</v>
      </c>
      <c r="C18134" s="46">
        <v>3122</v>
      </c>
      <c r="D18134" s="69" t="s">
        <v>29419</v>
      </c>
      <c r="E18134" s="51"/>
      <c r="F18134" s="114" t="str">
        <f>IF(INDEX(I.Facility.P3IDNumber,3122)="","",INDEX(I.Facility.P3IDNumber,3122))</f>
        <v/>
      </c>
      <c r="G18134" s="51"/>
      <c r="H18134" s="46" t="str">
        <f>IF(AND(I.Developer.P3=TRUE,I.Facility.P3FacilityCount&gt;=3122,F18134=""),"Incomplete","Complete")</f>
        <v>Complete</v>
      </c>
      <c r="I18134" s="48" t="s">
        <v>22499</v>
      </c>
    </row>
    <row r="18135" spans="2:9" ht="15" customHeight="1" x14ac:dyDescent="0.25">
      <c r="B18135" s="55" t="s">
        <v>282</v>
      </c>
      <c r="C18135" s="46">
        <v>3123</v>
      </c>
      <c r="D18135" s="69" t="s">
        <v>29419</v>
      </c>
      <c r="E18135" s="51"/>
      <c r="F18135" s="114" t="str">
        <f>IF(INDEX(I.Facility.P3IDNumber,3123)="","",INDEX(I.Facility.P3IDNumber,3123))</f>
        <v/>
      </c>
      <c r="G18135" s="51"/>
      <c r="H18135" s="46" t="str">
        <f>IF(AND(I.Developer.P3=TRUE,I.Facility.P3FacilityCount&gt;=3123,F18135=""),"Incomplete","Complete")</f>
        <v>Complete</v>
      </c>
      <c r="I18135" s="48" t="s">
        <v>22500</v>
      </c>
    </row>
    <row r="18136" spans="2:9" ht="15" customHeight="1" x14ac:dyDescent="0.25">
      <c r="B18136" s="55" t="s">
        <v>282</v>
      </c>
      <c r="C18136" s="46">
        <v>3124</v>
      </c>
      <c r="D18136" s="69" t="s">
        <v>29419</v>
      </c>
      <c r="E18136" s="51"/>
      <c r="F18136" s="114" t="str">
        <f>IF(INDEX(I.Facility.P3IDNumber,3124)="","",INDEX(I.Facility.P3IDNumber,3124))</f>
        <v/>
      </c>
      <c r="G18136" s="51"/>
      <c r="H18136" s="46" t="str">
        <f>IF(AND(I.Developer.P3=TRUE,I.Facility.P3FacilityCount&gt;=3124,F18136=""),"Incomplete","Complete")</f>
        <v>Complete</v>
      </c>
      <c r="I18136" s="48" t="s">
        <v>22501</v>
      </c>
    </row>
    <row r="18137" spans="2:9" ht="15" customHeight="1" x14ac:dyDescent="0.25">
      <c r="B18137" s="55" t="s">
        <v>282</v>
      </c>
      <c r="C18137" s="46">
        <v>3125</v>
      </c>
      <c r="D18137" s="69" t="s">
        <v>29419</v>
      </c>
      <c r="E18137" s="51"/>
      <c r="F18137" s="114" t="str">
        <f>IF(INDEX(I.Facility.P3IDNumber,3125)="","",INDEX(I.Facility.P3IDNumber,3125))</f>
        <v/>
      </c>
      <c r="G18137" s="51"/>
      <c r="H18137" s="46" t="str">
        <f>IF(AND(I.Developer.P3=TRUE,I.Facility.P3FacilityCount&gt;=3125,F18137=""),"Incomplete","Complete")</f>
        <v>Complete</v>
      </c>
      <c r="I18137" s="48" t="s">
        <v>22502</v>
      </c>
    </row>
    <row r="18138" spans="2:9" ht="15" customHeight="1" x14ac:dyDescent="0.25">
      <c r="B18138" s="55" t="s">
        <v>282</v>
      </c>
      <c r="C18138" s="46">
        <v>3126</v>
      </c>
      <c r="D18138" s="69" t="s">
        <v>29419</v>
      </c>
      <c r="E18138" s="51"/>
      <c r="F18138" s="114" t="str">
        <f>IF(INDEX(I.Facility.P3IDNumber,3126)="","",INDEX(I.Facility.P3IDNumber,3126))</f>
        <v/>
      </c>
      <c r="G18138" s="51"/>
      <c r="H18138" s="46" t="str">
        <f>IF(AND(I.Developer.P3=TRUE,I.Facility.P3FacilityCount&gt;=3126,F18138=""),"Incomplete","Complete")</f>
        <v>Complete</v>
      </c>
      <c r="I18138" s="48" t="s">
        <v>22503</v>
      </c>
    </row>
    <row r="18139" spans="2:9" ht="15" customHeight="1" x14ac:dyDescent="0.25">
      <c r="B18139" s="55" t="s">
        <v>282</v>
      </c>
      <c r="C18139" s="46">
        <v>3127</v>
      </c>
      <c r="D18139" s="69" t="s">
        <v>29419</v>
      </c>
      <c r="E18139" s="51"/>
      <c r="F18139" s="114" t="str">
        <f>IF(INDEX(I.Facility.P3IDNumber,3127)="","",INDEX(I.Facility.P3IDNumber,3127))</f>
        <v/>
      </c>
      <c r="G18139" s="51"/>
      <c r="H18139" s="46" t="str">
        <f>IF(AND(I.Developer.P3=TRUE,I.Facility.P3FacilityCount&gt;=3127,F18139=""),"Incomplete","Complete")</f>
        <v>Complete</v>
      </c>
      <c r="I18139" s="48" t="s">
        <v>22504</v>
      </c>
    </row>
    <row r="18140" spans="2:9" ht="15" customHeight="1" x14ac:dyDescent="0.25">
      <c r="B18140" s="55" t="s">
        <v>282</v>
      </c>
      <c r="C18140" s="46">
        <v>3128</v>
      </c>
      <c r="D18140" s="69" t="s">
        <v>29419</v>
      </c>
      <c r="E18140" s="51"/>
      <c r="F18140" s="114" t="str">
        <f>IF(INDEX(I.Facility.P3IDNumber,3128)="","",INDEX(I.Facility.P3IDNumber,3128))</f>
        <v/>
      </c>
      <c r="G18140" s="51"/>
      <c r="H18140" s="46" t="str">
        <f>IF(AND(I.Developer.P3=TRUE,I.Facility.P3FacilityCount&gt;=3128,F18140=""),"Incomplete","Complete")</f>
        <v>Complete</v>
      </c>
      <c r="I18140" s="48" t="s">
        <v>22505</v>
      </c>
    </row>
    <row r="18141" spans="2:9" ht="15" customHeight="1" x14ac:dyDescent="0.25">
      <c r="B18141" s="55" t="s">
        <v>282</v>
      </c>
      <c r="C18141" s="46">
        <v>3129</v>
      </c>
      <c r="D18141" s="69" t="s">
        <v>29419</v>
      </c>
      <c r="E18141" s="51"/>
      <c r="F18141" s="114" t="str">
        <f>IF(INDEX(I.Facility.P3IDNumber,3129)="","",INDEX(I.Facility.P3IDNumber,3129))</f>
        <v/>
      </c>
      <c r="G18141" s="51"/>
      <c r="H18141" s="46" t="str">
        <f>IF(AND(I.Developer.P3=TRUE,I.Facility.P3FacilityCount&gt;=3129,F18141=""),"Incomplete","Complete")</f>
        <v>Complete</v>
      </c>
      <c r="I18141" s="48" t="s">
        <v>22506</v>
      </c>
    </row>
    <row r="18142" spans="2:9" ht="15" customHeight="1" x14ac:dyDescent="0.25">
      <c r="B18142" s="55" t="s">
        <v>282</v>
      </c>
      <c r="C18142" s="46">
        <v>3130</v>
      </c>
      <c r="D18142" s="69" t="s">
        <v>29419</v>
      </c>
      <c r="E18142" s="51"/>
      <c r="F18142" s="114" t="str">
        <f>IF(INDEX(I.Facility.P3IDNumber,3130)="","",INDEX(I.Facility.P3IDNumber,3130))</f>
        <v/>
      </c>
      <c r="G18142" s="51"/>
      <c r="H18142" s="46" t="str">
        <f>IF(AND(I.Developer.P3=TRUE,I.Facility.P3FacilityCount&gt;=3130,F18142=""),"Incomplete","Complete")</f>
        <v>Complete</v>
      </c>
      <c r="I18142" s="48" t="s">
        <v>22507</v>
      </c>
    </row>
    <row r="18143" spans="2:9" ht="15" customHeight="1" x14ac:dyDescent="0.25">
      <c r="B18143" s="55" t="s">
        <v>282</v>
      </c>
      <c r="C18143" s="46">
        <v>3131</v>
      </c>
      <c r="D18143" s="69" t="s">
        <v>29419</v>
      </c>
      <c r="E18143" s="51"/>
      <c r="F18143" s="114" t="str">
        <f>IF(INDEX(I.Facility.P3IDNumber,3131)="","",INDEX(I.Facility.P3IDNumber,3131))</f>
        <v/>
      </c>
      <c r="G18143" s="51"/>
      <c r="H18143" s="46" t="str">
        <f>IF(AND(I.Developer.P3=TRUE,I.Facility.P3FacilityCount&gt;=3131,F18143=""),"Incomplete","Complete")</f>
        <v>Complete</v>
      </c>
      <c r="I18143" s="48" t="s">
        <v>22508</v>
      </c>
    </row>
    <row r="18144" spans="2:9" ht="15" customHeight="1" x14ac:dyDescent="0.25">
      <c r="B18144" s="55" t="s">
        <v>282</v>
      </c>
      <c r="C18144" s="46">
        <v>3132</v>
      </c>
      <c r="D18144" s="69" t="s">
        <v>29419</v>
      </c>
      <c r="E18144" s="51"/>
      <c r="F18144" s="114" t="str">
        <f>IF(INDEX(I.Facility.P3IDNumber,3132)="","",INDEX(I.Facility.P3IDNumber,3132))</f>
        <v/>
      </c>
      <c r="G18144" s="51"/>
      <c r="H18144" s="46" t="str">
        <f>IF(AND(I.Developer.P3=TRUE,I.Facility.P3FacilityCount&gt;=3132,F18144=""),"Incomplete","Complete")</f>
        <v>Complete</v>
      </c>
      <c r="I18144" s="48" t="s">
        <v>22509</v>
      </c>
    </row>
    <row r="18145" spans="2:9" ht="15" customHeight="1" x14ac:dyDescent="0.25">
      <c r="B18145" s="55" t="s">
        <v>282</v>
      </c>
      <c r="C18145" s="46">
        <v>3133</v>
      </c>
      <c r="D18145" s="69" t="s">
        <v>29419</v>
      </c>
      <c r="E18145" s="51"/>
      <c r="F18145" s="114" t="str">
        <f>IF(INDEX(I.Facility.P3IDNumber,3133)="","",INDEX(I.Facility.P3IDNumber,3133))</f>
        <v/>
      </c>
      <c r="G18145" s="51"/>
      <c r="H18145" s="46" t="str">
        <f>IF(AND(I.Developer.P3=TRUE,I.Facility.P3FacilityCount&gt;=3133,F18145=""),"Incomplete","Complete")</f>
        <v>Complete</v>
      </c>
      <c r="I18145" s="48" t="s">
        <v>22510</v>
      </c>
    </row>
    <row r="18146" spans="2:9" ht="15" customHeight="1" x14ac:dyDescent="0.25">
      <c r="B18146" s="55" t="s">
        <v>282</v>
      </c>
      <c r="C18146" s="46">
        <v>3134</v>
      </c>
      <c r="D18146" s="69" t="s">
        <v>29419</v>
      </c>
      <c r="E18146" s="51"/>
      <c r="F18146" s="114" t="str">
        <f>IF(INDEX(I.Facility.P3IDNumber,3134)="","",INDEX(I.Facility.P3IDNumber,3134))</f>
        <v/>
      </c>
      <c r="G18146" s="51"/>
      <c r="H18146" s="46" t="str">
        <f>IF(AND(I.Developer.P3=TRUE,I.Facility.P3FacilityCount&gt;=3134,F18146=""),"Incomplete","Complete")</f>
        <v>Complete</v>
      </c>
      <c r="I18146" s="48" t="s">
        <v>22511</v>
      </c>
    </row>
    <row r="18147" spans="2:9" ht="15" customHeight="1" x14ac:dyDescent="0.25">
      <c r="B18147" s="55" t="s">
        <v>282</v>
      </c>
      <c r="C18147" s="46">
        <v>3135</v>
      </c>
      <c r="D18147" s="69" t="s">
        <v>29419</v>
      </c>
      <c r="E18147" s="51"/>
      <c r="F18147" s="114" t="str">
        <f>IF(INDEX(I.Facility.P3IDNumber,3135)="","",INDEX(I.Facility.P3IDNumber,3135))</f>
        <v/>
      </c>
      <c r="G18147" s="51"/>
      <c r="H18147" s="46" t="str">
        <f>IF(AND(I.Developer.P3=TRUE,I.Facility.P3FacilityCount&gt;=3135,F18147=""),"Incomplete","Complete")</f>
        <v>Complete</v>
      </c>
      <c r="I18147" s="48" t="s">
        <v>22512</v>
      </c>
    </row>
    <row r="18148" spans="2:9" ht="15" customHeight="1" x14ac:dyDescent="0.25">
      <c r="B18148" s="55" t="s">
        <v>282</v>
      </c>
      <c r="C18148" s="46">
        <v>3136</v>
      </c>
      <c r="D18148" s="69" t="s">
        <v>29419</v>
      </c>
      <c r="E18148" s="51"/>
      <c r="F18148" s="114" t="str">
        <f>IF(INDEX(I.Facility.P3IDNumber,3136)="","",INDEX(I.Facility.P3IDNumber,3136))</f>
        <v/>
      </c>
      <c r="G18148" s="51"/>
      <c r="H18148" s="46" t="str">
        <f>IF(AND(I.Developer.P3=TRUE,I.Facility.P3FacilityCount&gt;=3136,F18148=""),"Incomplete","Complete")</f>
        <v>Complete</v>
      </c>
      <c r="I18148" s="48" t="s">
        <v>22513</v>
      </c>
    </row>
    <row r="18149" spans="2:9" ht="15" customHeight="1" x14ac:dyDescent="0.25">
      <c r="B18149" s="55" t="s">
        <v>282</v>
      </c>
      <c r="C18149" s="46">
        <v>3137</v>
      </c>
      <c r="D18149" s="69" t="s">
        <v>29419</v>
      </c>
      <c r="E18149" s="51"/>
      <c r="F18149" s="114" t="str">
        <f>IF(INDEX(I.Facility.P3IDNumber,3137)="","",INDEX(I.Facility.P3IDNumber,3137))</f>
        <v/>
      </c>
      <c r="G18149" s="51"/>
      <c r="H18149" s="46" t="str">
        <f>IF(AND(I.Developer.P3=TRUE,I.Facility.P3FacilityCount&gt;=3137,F18149=""),"Incomplete","Complete")</f>
        <v>Complete</v>
      </c>
      <c r="I18149" s="48" t="s">
        <v>22514</v>
      </c>
    </row>
    <row r="18150" spans="2:9" ht="15" customHeight="1" x14ac:dyDescent="0.25">
      <c r="B18150" s="55" t="s">
        <v>282</v>
      </c>
      <c r="C18150" s="46">
        <v>3138</v>
      </c>
      <c r="D18150" s="69" t="s">
        <v>29419</v>
      </c>
      <c r="E18150" s="51"/>
      <c r="F18150" s="114" t="str">
        <f>IF(INDEX(I.Facility.P3IDNumber,3138)="","",INDEX(I.Facility.P3IDNumber,3138))</f>
        <v/>
      </c>
      <c r="G18150" s="51"/>
      <c r="H18150" s="46" t="str">
        <f>IF(AND(I.Developer.P3=TRUE,I.Facility.P3FacilityCount&gt;=3138,F18150=""),"Incomplete","Complete")</f>
        <v>Complete</v>
      </c>
      <c r="I18150" s="48" t="s">
        <v>22515</v>
      </c>
    </row>
    <row r="18151" spans="2:9" ht="15" customHeight="1" x14ac:dyDescent="0.25">
      <c r="B18151" s="55" t="s">
        <v>282</v>
      </c>
      <c r="C18151" s="46">
        <v>3139</v>
      </c>
      <c r="D18151" s="69" t="s">
        <v>29419</v>
      </c>
      <c r="E18151" s="51"/>
      <c r="F18151" s="114" t="str">
        <f>IF(INDEX(I.Facility.P3IDNumber,3139)="","",INDEX(I.Facility.P3IDNumber,3139))</f>
        <v/>
      </c>
      <c r="G18151" s="51"/>
      <c r="H18151" s="46" t="str">
        <f>IF(AND(I.Developer.P3=TRUE,I.Facility.P3FacilityCount&gt;=3139,F18151=""),"Incomplete","Complete")</f>
        <v>Complete</v>
      </c>
      <c r="I18151" s="48" t="s">
        <v>22516</v>
      </c>
    </row>
    <row r="18152" spans="2:9" ht="15" customHeight="1" x14ac:dyDescent="0.25">
      <c r="B18152" s="55" t="s">
        <v>282</v>
      </c>
      <c r="C18152" s="46">
        <v>3140</v>
      </c>
      <c r="D18152" s="69" t="s">
        <v>29419</v>
      </c>
      <c r="E18152" s="51"/>
      <c r="F18152" s="114" t="str">
        <f>IF(INDEX(I.Facility.P3IDNumber,3140)="","",INDEX(I.Facility.P3IDNumber,3140))</f>
        <v/>
      </c>
      <c r="G18152" s="51"/>
      <c r="H18152" s="46" t="str">
        <f>IF(AND(I.Developer.P3=TRUE,I.Facility.P3FacilityCount&gt;=3140,F18152=""),"Incomplete","Complete")</f>
        <v>Complete</v>
      </c>
      <c r="I18152" s="48" t="s">
        <v>22517</v>
      </c>
    </row>
    <row r="18153" spans="2:9" ht="15" customHeight="1" x14ac:dyDescent="0.25">
      <c r="B18153" s="55" t="s">
        <v>282</v>
      </c>
      <c r="C18153" s="46">
        <v>3141</v>
      </c>
      <c r="D18153" s="69" t="s">
        <v>29419</v>
      </c>
      <c r="E18153" s="51"/>
      <c r="F18153" s="114" t="str">
        <f>IF(INDEX(I.Facility.P3IDNumber,3141)="","",INDEX(I.Facility.P3IDNumber,3141))</f>
        <v/>
      </c>
      <c r="G18153" s="51"/>
      <c r="H18153" s="46" t="str">
        <f>IF(AND(I.Developer.P3=TRUE,I.Facility.P3FacilityCount&gt;=3141,F18153=""),"Incomplete","Complete")</f>
        <v>Complete</v>
      </c>
      <c r="I18153" s="48" t="s">
        <v>22518</v>
      </c>
    </row>
    <row r="18154" spans="2:9" ht="15" customHeight="1" x14ac:dyDescent="0.25">
      <c r="B18154" s="55" t="s">
        <v>282</v>
      </c>
      <c r="C18154" s="46">
        <v>3142</v>
      </c>
      <c r="D18154" s="69" t="s">
        <v>29419</v>
      </c>
      <c r="E18154" s="51"/>
      <c r="F18154" s="114" t="str">
        <f>IF(INDEX(I.Facility.P3IDNumber,3142)="","",INDEX(I.Facility.P3IDNumber,3142))</f>
        <v/>
      </c>
      <c r="G18154" s="51"/>
      <c r="H18154" s="46" t="str">
        <f>IF(AND(I.Developer.P3=TRUE,I.Facility.P3FacilityCount&gt;=3142,F18154=""),"Incomplete","Complete")</f>
        <v>Complete</v>
      </c>
      <c r="I18154" s="48" t="s">
        <v>22519</v>
      </c>
    </row>
    <row r="18155" spans="2:9" ht="15" customHeight="1" x14ac:dyDescent="0.25">
      <c r="B18155" s="55" t="s">
        <v>282</v>
      </c>
      <c r="C18155" s="46">
        <v>3143</v>
      </c>
      <c r="D18155" s="69" t="s">
        <v>29419</v>
      </c>
      <c r="E18155" s="51"/>
      <c r="F18155" s="114" t="str">
        <f>IF(INDEX(I.Facility.P3IDNumber,3143)="","",INDEX(I.Facility.P3IDNumber,3143))</f>
        <v/>
      </c>
      <c r="G18155" s="51"/>
      <c r="H18155" s="46" t="str">
        <f>IF(AND(I.Developer.P3=TRUE,I.Facility.P3FacilityCount&gt;=3143,F18155=""),"Incomplete","Complete")</f>
        <v>Complete</v>
      </c>
      <c r="I18155" s="48" t="s">
        <v>22520</v>
      </c>
    </row>
    <row r="18156" spans="2:9" ht="15" customHeight="1" x14ac:dyDescent="0.25">
      <c r="B18156" s="55" t="s">
        <v>282</v>
      </c>
      <c r="C18156" s="46">
        <v>3144</v>
      </c>
      <c r="D18156" s="69" t="s">
        <v>29419</v>
      </c>
      <c r="E18156" s="51"/>
      <c r="F18156" s="114" t="str">
        <f>IF(INDEX(I.Facility.P3IDNumber,3144)="","",INDEX(I.Facility.P3IDNumber,3144))</f>
        <v/>
      </c>
      <c r="G18156" s="51"/>
      <c r="H18156" s="46" t="str">
        <f>IF(AND(I.Developer.P3=TRUE,I.Facility.P3FacilityCount&gt;=3144,F18156=""),"Incomplete","Complete")</f>
        <v>Complete</v>
      </c>
      <c r="I18156" s="48" t="s">
        <v>22521</v>
      </c>
    </row>
    <row r="18157" spans="2:9" ht="15" customHeight="1" x14ac:dyDescent="0.25">
      <c r="B18157" s="55" t="s">
        <v>282</v>
      </c>
      <c r="C18157" s="46">
        <v>3145</v>
      </c>
      <c r="D18157" s="69" t="s">
        <v>29419</v>
      </c>
      <c r="E18157" s="51"/>
      <c r="F18157" s="114" t="str">
        <f>IF(INDEX(I.Facility.P3IDNumber,3145)="","",INDEX(I.Facility.P3IDNumber,3145))</f>
        <v/>
      </c>
      <c r="G18157" s="51"/>
      <c r="H18157" s="46" t="str">
        <f>IF(AND(I.Developer.P3=TRUE,I.Facility.P3FacilityCount&gt;=3145,F18157=""),"Incomplete","Complete")</f>
        <v>Complete</v>
      </c>
      <c r="I18157" s="48" t="s">
        <v>22522</v>
      </c>
    </row>
    <row r="18158" spans="2:9" ht="15" customHeight="1" x14ac:dyDescent="0.25">
      <c r="B18158" s="55" t="s">
        <v>282</v>
      </c>
      <c r="C18158" s="46">
        <v>3146</v>
      </c>
      <c r="D18158" s="69" t="s">
        <v>29419</v>
      </c>
      <c r="E18158" s="51"/>
      <c r="F18158" s="114" t="str">
        <f>IF(INDEX(I.Facility.P3IDNumber,3146)="","",INDEX(I.Facility.P3IDNumber,3146))</f>
        <v/>
      </c>
      <c r="G18158" s="51"/>
      <c r="H18158" s="46" t="str">
        <f>IF(AND(I.Developer.P3=TRUE,I.Facility.P3FacilityCount&gt;=3146,F18158=""),"Incomplete","Complete")</f>
        <v>Complete</v>
      </c>
      <c r="I18158" s="48" t="s">
        <v>22523</v>
      </c>
    </row>
    <row r="18159" spans="2:9" ht="15" customHeight="1" x14ac:dyDescent="0.25">
      <c r="B18159" s="55" t="s">
        <v>282</v>
      </c>
      <c r="C18159" s="46">
        <v>3147</v>
      </c>
      <c r="D18159" s="69" t="s">
        <v>29419</v>
      </c>
      <c r="E18159" s="51"/>
      <c r="F18159" s="114" t="str">
        <f>IF(INDEX(I.Facility.P3IDNumber,3147)="","",INDEX(I.Facility.P3IDNumber,3147))</f>
        <v/>
      </c>
      <c r="G18159" s="51"/>
      <c r="H18159" s="46" t="str">
        <f>IF(AND(I.Developer.P3=TRUE,I.Facility.P3FacilityCount&gt;=3147,F18159=""),"Incomplete","Complete")</f>
        <v>Complete</v>
      </c>
      <c r="I18159" s="48" t="s">
        <v>22524</v>
      </c>
    </row>
    <row r="18160" spans="2:9" ht="15" customHeight="1" x14ac:dyDescent="0.25">
      <c r="B18160" s="55" t="s">
        <v>282</v>
      </c>
      <c r="C18160" s="46">
        <v>3148</v>
      </c>
      <c r="D18160" s="69" t="s">
        <v>29419</v>
      </c>
      <c r="E18160" s="51"/>
      <c r="F18160" s="114" t="str">
        <f>IF(INDEX(I.Facility.P3IDNumber,3148)="","",INDEX(I.Facility.P3IDNumber,3148))</f>
        <v/>
      </c>
      <c r="G18160" s="51"/>
      <c r="H18160" s="46" t="str">
        <f>IF(AND(I.Developer.P3=TRUE,I.Facility.P3FacilityCount&gt;=3148,F18160=""),"Incomplete","Complete")</f>
        <v>Complete</v>
      </c>
      <c r="I18160" s="48" t="s">
        <v>22525</v>
      </c>
    </row>
    <row r="18161" spans="2:9" ht="15" customHeight="1" x14ac:dyDescent="0.25">
      <c r="B18161" s="55" t="s">
        <v>282</v>
      </c>
      <c r="C18161" s="46">
        <v>3149</v>
      </c>
      <c r="D18161" s="69" t="s">
        <v>29419</v>
      </c>
      <c r="E18161" s="51"/>
      <c r="F18161" s="114" t="str">
        <f>IF(INDEX(I.Facility.P3IDNumber,3149)="","",INDEX(I.Facility.P3IDNumber,3149))</f>
        <v/>
      </c>
      <c r="G18161" s="51"/>
      <c r="H18161" s="46" t="str">
        <f>IF(AND(I.Developer.P3=TRUE,I.Facility.P3FacilityCount&gt;=3149,F18161=""),"Incomplete","Complete")</f>
        <v>Complete</v>
      </c>
      <c r="I18161" s="48" t="s">
        <v>22526</v>
      </c>
    </row>
    <row r="18162" spans="2:9" ht="15" customHeight="1" x14ac:dyDescent="0.25">
      <c r="B18162" s="55" t="s">
        <v>282</v>
      </c>
      <c r="C18162" s="46">
        <v>3150</v>
      </c>
      <c r="D18162" s="69" t="s">
        <v>29419</v>
      </c>
      <c r="E18162" s="51"/>
      <c r="F18162" s="114" t="str">
        <f>IF(INDEX(I.Facility.P3IDNumber,3150)="","",INDEX(I.Facility.P3IDNumber,3150))</f>
        <v/>
      </c>
      <c r="G18162" s="51"/>
      <c r="H18162" s="46" t="str">
        <f>IF(AND(I.Developer.P3=TRUE,I.Facility.P3FacilityCount&gt;=3150,F18162=""),"Incomplete","Complete")</f>
        <v>Complete</v>
      </c>
      <c r="I18162" s="48" t="s">
        <v>22527</v>
      </c>
    </row>
    <row r="18163" spans="2:9" ht="15" customHeight="1" x14ac:dyDescent="0.25">
      <c r="B18163" s="55" t="s">
        <v>282</v>
      </c>
      <c r="C18163" s="46">
        <v>3151</v>
      </c>
      <c r="D18163" s="69" t="s">
        <v>29419</v>
      </c>
      <c r="E18163" s="51"/>
      <c r="F18163" s="114" t="str">
        <f>IF(INDEX(I.Facility.P3IDNumber,3151)="","",INDEX(I.Facility.P3IDNumber,3151))</f>
        <v/>
      </c>
      <c r="G18163" s="51"/>
      <c r="H18163" s="46" t="str">
        <f>IF(AND(I.Developer.P3=TRUE,I.Facility.P3FacilityCount&gt;=3151,F18163=""),"Incomplete","Complete")</f>
        <v>Complete</v>
      </c>
      <c r="I18163" s="48" t="s">
        <v>22528</v>
      </c>
    </row>
    <row r="18164" spans="2:9" ht="15" customHeight="1" x14ac:dyDescent="0.25">
      <c r="B18164" s="55" t="s">
        <v>282</v>
      </c>
      <c r="C18164" s="46">
        <v>3152</v>
      </c>
      <c r="D18164" s="69" t="s">
        <v>29419</v>
      </c>
      <c r="E18164" s="51"/>
      <c r="F18164" s="114" t="str">
        <f>IF(INDEX(I.Facility.P3IDNumber,3152)="","",INDEX(I.Facility.P3IDNumber,3152))</f>
        <v/>
      </c>
      <c r="G18164" s="51"/>
      <c r="H18164" s="46" t="str">
        <f>IF(AND(I.Developer.P3=TRUE,I.Facility.P3FacilityCount&gt;=3152,F18164=""),"Incomplete","Complete")</f>
        <v>Complete</v>
      </c>
      <c r="I18164" s="48" t="s">
        <v>22529</v>
      </c>
    </row>
    <row r="18165" spans="2:9" ht="15" customHeight="1" x14ac:dyDescent="0.25">
      <c r="B18165" s="55" t="s">
        <v>282</v>
      </c>
      <c r="C18165" s="46">
        <v>3153</v>
      </c>
      <c r="D18165" s="69" t="s">
        <v>29419</v>
      </c>
      <c r="E18165" s="51"/>
      <c r="F18165" s="114" t="str">
        <f>IF(INDEX(I.Facility.P3IDNumber,3153)="","",INDEX(I.Facility.P3IDNumber,3153))</f>
        <v/>
      </c>
      <c r="G18165" s="51"/>
      <c r="H18165" s="46" t="str">
        <f>IF(AND(I.Developer.P3=TRUE,I.Facility.P3FacilityCount&gt;=3153,F18165=""),"Incomplete","Complete")</f>
        <v>Complete</v>
      </c>
      <c r="I18165" s="48" t="s">
        <v>22530</v>
      </c>
    </row>
    <row r="18166" spans="2:9" ht="15" customHeight="1" x14ac:dyDescent="0.25">
      <c r="B18166" s="55" t="s">
        <v>282</v>
      </c>
      <c r="C18166" s="46">
        <v>3154</v>
      </c>
      <c r="D18166" s="69" t="s">
        <v>29419</v>
      </c>
      <c r="E18166" s="51"/>
      <c r="F18166" s="114" t="str">
        <f>IF(INDEX(I.Facility.P3IDNumber,3154)="","",INDEX(I.Facility.P3IDNumber,3154))</f>
        <v/>
      </c>
      <c r="G18166" s="51"/>
      <c r="H18166" s="46" t="str">
        <f>IF(AND(I.Developer.P3=TRUE,I.Facility.P3FacilityCount&gt;=3154,F18166=""),"Incomplete","Complete")</f>
        <v>Complete</v>
      </c>
      <c r="I18166" s="48" t="s">
        <v>22531</v>
      </c>
    </row>
    <row r="18167" spans="2:9" ht="15" customHeight="1" x14ac:dyDescent="0.25">
      <c r="B18167" s="55" t="s">
        <v>282</v>
      </c>
      <c r="C18167" s="46">
        <v>3155</v>
      </c>
      <c r="D18167" s="69" t="s">
        <v>29419</v>
      </c>
      <c r="E18167" s="51"/>
      <c r="F18167" s="114" t="str">
        <f>IF(INDEX(I.Facility.P3IDNumber,3155)="","",INDEX(I.Facility.P3IDNumber,3155))</f>
        <v/>
      </c>
      <c r="G18167" s="51"/>
      <c r="H18167" s="46" t="str">
        <f>IF(AND(I.Developer.P3=TRUE,I.Facility.P3FacilityCount&gt;=3155,F18167=""),"Incomplete","Complete")</f>
        <v>Complete</v>
      </c>
      <c r="I18167" s="48" t="s">
        <v>22532</v>
      </c>
    </row>
    <row r="18168" spans="2:9" ht="15" customHeight="1" x14ac:dyDescent="0.25">
      <c r="B18168" s="55" t="s">
        <v>282</v>
      </c>
      <c r="C18168" s="46">
        <v>3156</v>
      </c>
      <c r="D18168" s="69" t="s">
        <v>29419</v>
      </c>
      <c r="E18168" s="51"/>
      <c r="F18168" s="114" t="str">
        <f>IF(INDEX(I.Facility.P3IDNumber,3156)="","",INDEX(I.Facility.P3IDNumber,3156))</f>
        <v/>
      </c>
      <c r="G18168" s="51"/>
      <c r="H18168" s="46" t="str">
        <f>IF(AND(I.Developer.P3=TRUE,I.Facility.P3FacilityCount&gt;=3156,F18168=""),"Incomplete","Complete")</f>
        <v>Complete</v>
      </c>
      <c r="I18168" s="48" t="s">
        <v>22533</v>
      </c>
    </row>
    <row r="18169" spans="2:9" ht="15" customHeight="1" x14ac:dyDescent="0.25">
      <c r="B18169" s="55" t="s">
        <v>282</v>
      </c>
      <c r="C18169" s="46">
        <v>3157</v>
      </c>
      <c r="D18169" s="69" t="s">
        <v>29419</v>
      </c>
      <c r="E18169" s="51"/>
      <c r="F18169" s="114" t="str">
        <f>IF(INDEX(I.Facility.P3IDNumber,3157)="","",INDEX(I.Facility.P3IDNumber,3157))</f>
        <v/>
      </c>
      <c r="G18169" s="51"/>
      <c r="H18169" s="46" t="str">
        <f>IF(AND(I.Developer.P3=TRUE,I.Facility.P3FacilityCount&gt;=3157,F18169=""),"Incomplete","Complete")</f>
        <v>Complete</v>
      </c>
      <c r="I18169" s="48" t="s">
        <v>22534</v>
      </c>
    </row>
    <row r="18170" spans="2:9" ht="15" customHeight="1" x14ac:dyDescent="0.25">
      <c r="B18170" s="55" t="s">
        <v>282</v>
      </c>
      <c r="C18170" s="46">
        <v>3158</v>
      </c>
      <c r="D18170" s="69" t="s">
        <v>29419</v>
      </c>
      <c r="E18170" s="51"/>
      <c r="F18170" s="114" t="str">
        <f>IF(INDEX(I.Facility.P3IDNumber,3158)="","",INDEX(I.Facility.P3IDNumber,3158))</f>
        <v/>
      </c>
      <c r="G18170" s="51"/>
      <c r="H18170" s="46" t="str">
        <f>IF(AND(I.Developer.P3=TRUE,I.Facility.P3FacilityCount&gt;=3158,F18170=""),"Incomplete","Complete")</f>
        <v>Complete</v>
      </c>
      <c r="I18170" s="48" t="s">
        <v>22535</v>
      </c>
    </row>
    <row r="18171" spans="2:9" ht="15" customHeight="1" x14ac:dyDescent="0.25">
      <c r="B18171" s="55" t="s">
        <v>282</v>
      </c>
      <c r="C18171" s="46">
        <v>3159</v>
      </c>
      <c r="D18171" s="69" t="s">
        <v>29419</v>
      </c>
      <c r="E18171" s="51"/>
      <c r="F18171" s="114" t="str">
        <f>IF(INDEX(I.Facility.P3IDNumber,3159)="","",INDEX(I.Facility.P3IDNumber,3159))</f>
        <v/>
      </c>
      <c r="G18171" s="51"/>
      <c r="H18171" s="46" t="str">
        <f>IF(AND(I.Developer.P3=TRUE,I.Facility.P3FacilityCount&gt;=3159,F18171=""),"Incomplete","Complete")</f>
        <v>Complete</v>
      </c>
      <c r="I18171" s="48" t="s">
        <v>22536</v>
      </c>
    </row>
    <row r="18172" spans="2:9" ht="15" customHeight="1" x14ac:dyDescent="0.25">
      <c r="B18172" s="55" t="s">
        <v>282</v>
      </c>
      <c r="C18172" s="46">
        <v>3160</v>
      </c>
      <c r="D18172" s="69" t="s">
        <v>29419</v>
      </c>
      <c r="E18172" s="51"/>
      <c r="F18172" s="114" t="str">
        <f>IF(INDEX(I.Facility.P3IDNumber,3160)="","",INDEX(I.Facility.P3IDNumber,3160))</f>
        <v/>
      </c>
      <c r="G18172" s="51"/>
      <c r="H18172" s="46" t="str">
        <f>IF(AND(I.Developer.P3=TRUE,I.Facility.P3FacilityCount&gt;=3160,F18172=""),"Incomplete","Complete")</f>
        <v>Complete</v>
      </c>
      <c r="I18172" s="48" t="s">
        <v>22537</v>
      </c>
    </row>
    <row r="18173" spans="2:9" ht="15" customHeight="1" x14ac:dyDescent="0.25">
      <c r="B18173" s="55" t="s">
        <v>282</v>
      </c>
      <c r="C18173" s="46">
        <v>3161</v>
      </c>
      <c r="D18173" s="69" t="s">
        <v>29419</v>
      </c>
      <c r="E18173" s="51"/>
      <c r="F18173" s="114" t="str">
        <f>IF(INDEX(I.Facility.P3IDNumber,3161)="","",INDEX(I.Facility.P3IDNumber,3161))</f>
        <v/>
      </c>
      <c r="G18173" s="51"/>
      <c r="H18173" s="46" t="str">
        <f>IF(AND(I.Developer.P3=TRUE,I.Facility.P3FacilityCount&gt;=3161,F18173=""),"Incomplete","Complete")</f>
        <v>Complete</v>
      </c>
      <c r="I18173" s="48" t="s">
        <v>22538</v>
      </c>
    </row>
    <row r="18174" spans="2:9" ht="15" customHeight="1" x14ac:dyDescent="0.25">
      <c r="B18174" s="55" t="s">
        <v>282</v>
      </c>
      <c r="C18174" s="46">
        <v>3162</v>
      </c>
      <c r="D18174" s="69" t="s">
        <v>29419</v>
      </c>
      <c r="E18174" s="51"/>
      <c r="F18174" s="114" t="str">
        <f>IF(INDEX(I.Facility.P3IDNumber,3162)="","",INDEX(I.Facility.P3IDNumber,3162))</f>
        <v/>
      </c>
      <c r="G18174" s="51"/>
      <c r="H18174" s="46" t="str">
        <f>IF(AND(I.Developer.P3=TRUE,I.Facility.P3FacilityCount&gt;=3162,F18174=""),"Incomplete","Complete")</f>
        <v>Complete</v>
      </c>
      <c r="I18174" s="48" t="s">
        <v>22539</v>
      </c>
    </row>
    <row r="18175" spans="2:9" ht="15" customHeight="1" x14ac:dyDescent="0.25">
      <c r="B18175" s="55" t="s">
        <v>282</v>
      </c>
      <c r="C18175" s="46">
        <v>3163</v>
      </c>
      <c r="D18175" s="69" t="s">
        <v>29419</v>
      </c>
      <c r="E18175" s="51"/>
      <c r="F18175" s="114" t="str">
        <f>IF(INDEX(I.Facility.P3IDNumber,3163)="","",INDEX(I.Facility.P3IDNumber,3163))</f>
        <v/>
      </c>
      <c r="G18175" s="51"/>
      <c r="H18175" s="46" t="str">
        <f>IF(AND(I.Developer.P3=TRUE,I.Facility.P3FacilityCount&gt;=3163,F18175=""),"Incomplete","Complete")</f>
        <v>Complete</v>
      </c>
      <c r="I18175" s="48" t="s">
        <v>22540</v>
      </c>
    </row>
    <row r="18176" spans="2:9" ht="15" customHeight="1" x14ac:dyDescent="0.25">
      <c r="B18176" s="55" t="s">
        <v>282</v>
      </c>
      <c r="C18176" s="46">
        <v>3164</v>
      </c>
      <c r="D18176" s="69" t="s">
        <v>29419</v>
      </c>
      <c r="E18176" s="51"/>
      <c r="F18176" s="114" t="str">
        <f>IF(INDEX(I.Facility.P3IDNumber,3164)="","",INDEX(I.Facility.P3IDNumber,3164))</f>
        <v/>
      </c>
      <c r="G18176" s="51"/>
      <c r="H18176" s="46" t="str">
        <f>IF(AND(I.Developer.P3=TRUE,I.Facility.P3FacilityCount&gt;=3164,F18176=""),"Incomplete","Complete")</f>
        <v>Complete</v>
      </c>
      <c r="I18176" s="48" t="s">
        <v>22541</v>
      </c>
    </row>
    <row r="18177" spans="2:9" ht="15" customHeight="1" x14ac:dyDescent="0.25">
      <c r="B18177" s="55" t="s">
        <v>282</v>
      </c>
      <c r="C18177" s="46">
        <v>3165</v>
      </c>
      <c r="D18177" s="69" t="s">
        <v>29419</v>
      </c>
      <c r="E18177" s="51"/>
      <c r="F18177" s="114" t="str">
        <f>IF(INDEX(I.Facility.P3IDNumber,3165)="","",INDEX(I.Facility.P3IDNumber,3165))</f>
        <v/>
      </c>
      <c r="G18177" s="51"/>
      <c r="H18177" s="46" t="str">
        <f>IF(AND(I.Developer.P3=TRUE,I.Facility.P3FacilityCount&gt;=3165,F18177=""),"Incomplete","Complete")</f>
        <v>Complete</v>
      </c>
      <c r="I18177" s="48" t="s">
        <v>22542</v>
      </c>
    </row>
    <row r="18178" spans="2:9" ht="15" customHeight="1" x14ac:dyDescent="0.25">
      <c r="B18178" s="55" t="s">
        <v>282</v>
      </c>
      <c r="C18178" s="46">
        <v>3166</v>
      </c>
      <c r="D18178" s="69" t="s">
        <v>29419</v>
      </c>
      <c r="E18178" s="51"/>
      <c r="F18178" s="114" t="str">
        <f>IF(INDEX(I.Facility.P3IDNumber,3166)="","",INDEX(I.Facility.P3IDNumber,3166))</f>
        <v/>
      </c>
      <c r="G18178" s="51"/>
      <c r="H18178" s="46" t="str">
        <f>IF(AND(I.Developer.P3=TRUE,I.Facility.P3FacilityCount&gt;=3166,F18178=""),"Incomplete","Complete")</f>
        <v>Complete</v>
      </c>
      <c r="I18178" s="48" t="s">
        <v>22543</v>
      </c>
    </row>
    <row r="18179" spans="2:9" ht="15" customHeight="1" x14ac:dyDescent="0.25">
      <c r="B18179" s="55" t="s">
        <v>282</v>
      </c>
      <c r="C18179" s="46">
        <v>3167</v>
      </c>
      <c r="D18179" s="69" t="s">
        <v>29419</v>
      </c>
      <c r="E18179" s="51"/>
      <c r="F18179" s="114" t="str">
        <f>IF(INDEX(I.Facility.P3IDNumber,3167)="","",INDEX(I.Facility.P3IDNumber,3167))</f>
        <v/>
      </c>
      <c r="G18179" s="51"/>
      <c r="H18179" s="46" t="str">
        <f>IF(AND(I.Developer.P3=TRUE,I.Facility.P3FacilityCount&gt;=3167,F18179=""),"Incomplete","Complete")</f>
        <v>Complete</v>
      </c>
      <c r="I18179" s="48" t="s">
        <v>22544</v>
      </c>
    </row>
    <row r="18180" spans="2:9" ht="15" customHeight="1" x14ac:dyDescent="0.25">
      <c r="B18180" s="55" t="s">
        <v>282</v>
      </c>
      <c r="C18180" s="46">
        <v>3168</v>
      </c>
      <c r="D18180" s="69" t="s">
        <v>29419</v>
      </c>
      <c r="E18180" s="51"/>
      <c r="F18180" s="114" t="str">
        <f>IF(INDEX(I.Facility.P3IDNumber,3168)="","",INDEX(I.Facility.P3IDNumber,3168))</f>
        <v/>
      </c>
      <c r="G18180" s="51"/>
      <c r="H18180" s="46" t="str">
        <f>IF(AND(I.Developer.P3=TRUE,I.Facility.P3FacilityCount&gt;=3168,F18180=""),"Incomplete","Complete")</f>
        <v>Complete</v>
      </c>
      <c r="I18180" s="48" t="s">
        <v>22545</v>
      </c>
    </row>
    <row r="18181" spans="2:9" ht="15" customHeight="1" x14ac:dyDescent="0.25">
      <c r="B18181" s="55" t="s">
        <v>282</v>
      </c>
      <c r="C18181" s="46">
        <v>3169</v>
      </c>
      <c r="D18181" s="69" t="s">
        <v>29419</v>
      </c>
      <c r="E18181" s="51"/>
      <c r="F18181" s="114" t="str">
        <f>IF(INDEX(I.Facility.P3IDNumber,3169)="","",INDEX(I.Facility.P3IDNumber,3169))</f>
        <v/>
      </c>
      <c r="G18181" s="51"/>
      <c r="H18181" s="46" t="str">
        <f>IF(AND(I.Developer.P3=TRUE,I.Facility.P3FacilityCount&gt;=3169,F18181=""),"Incomplete","Complete")</f>
        <v>Complete</v>
      </c>
      <c r="I18181" s="48" t="s">
        <v>22546</v>
      </c>
    </row>
    <row r="18182" spans="2:9" ht="15" customHeight="1" x14ac:dyDescent="0.25">
      <c r="B18182" s="55" t="s">
        <v>282</v>
      </c>
      <c r="C18182" s="46">
        <v>3170</v>
      </c>
      <c r="D18182" s="69" t="s">
        <v>29419</v>
      </c>
      <c r="E18182" s="51"/>
      <c r="F18182" s="114" t="str">
        <f>IF(INDEX(I.Facility.P3IDNumber,3170)="","",INDEX(I.Facility.P3IDNumber,3170))</f>
        <v/>
      </c>
      <c r="G18182" s="51"/>
      <c r="H18182" s="46" t="str">
        <f>IF(AND(I.Developer.P3=TRUE,I.Facility.P3FacilityCount&gt;=3170,F18182=""),"Incomplete","Complete")</f>
        <v>Complete</v>
      </c>
      <c r="I18182" s="48" t="s">
        <v>22547</v>
      </c>
    </row>
    <row r="18183" spans="2:9" ht="15" customHeight="1" x14ac:dyDescent="0.25">
      <c r="B18183" s="55" t="s">
        <v>282</v>
      </c>
      <c r="C18183" s="46">
        <v>3171</v>
      </c>
      <c r="D18183" s="69" t="s">
        <v>29419</v>
      </c>
      <c r="E18183" s="51"/>
      <c r="F18183" s="114" t="str">
        <f>IF(INDEX(I.Facility.P3IDNumber,3171)="","",INDEX(I.Facility.P3IDNumber,3171))</f>
        <v/>
      </c>
      <c r="G18183" s="51"/>
      <c r="H18183" s="46" t="str">
        <f>IF(AND(I.Developer.P3=TRUE,I.Facility.P3FacilityCount&gt;=3171,F18183=""),"Incomplete","Complete")</f>
        <v>Complete</v>
      </c>
      <c r="I18183" s="48" t="s">
        <v>22548</v>
      </c>
    </row>
    <row r="18184" spans="2:9" ht="15" customHeight="1" x14ac:dyDescent="0.25">
      <c r="B18184" s="55" t="s">
        <v>282</v>
      </c>
      <c r="C18184" s="46">
        <v>3172</v>
      </c>
      <c r="D18184" s="69" t="s">
        <v>29419</v>
      </c>
      <c r="E18184" s="51"/>
      <c r="F18184" s="114" t="str">
        <f>IF(INDEX(I.Facility.P3IDNumber,3172)="","",INDEX(I.Facility.P3IDNumber,3172))</f>
        <v/>
      </c>
      <c r="G18184" s="51"/>
      <c r="H18184" s="46" t="str">
        <f>IF(AND(I.Developer.P3=TRUE,I.Facility.P3FacilityCount&gt;=3172,F18184=""),"Incomplete","Complete")</f>
        <v>Complete</v>
      </c>
      <c r="I18184" s="48" t="s">
        <v>22549</v>
      </c>
    </row>
    <row r="18185" spans="2:9" ht="15" customHeight="1" x14ac:dyDescent="0.25">
      <c r="B18185" s="55" t="s">
        <v>282</v>
      </c>
      <c r="C18185" s="46">
        <v>3173</v>
      </c>
      <c r="D18185" s="69" t="s">
        <v>29419</v>
      </c>
      <c r="E18185" s="51"/>
      <c r="F18185" s="114" t="str">
        <f>IF(INDEX(I.Facility.P3IDNumber,3173)="","",INDEX(I.Facility.P3IDNumber,3173))</f>
        <v/>
      </c>
      <c r="G18185" s="51"/>
      <c r="H18185" s="46" t="str">
        <f>IF(AND(I.Developer.P3=TRUE,I.Facility.P3FacilityCount&gt;=3173,F18185=""),"Incomplete","Complete")</f>
        <v>Complete</v>
      </c>
      <c r="I18185" s="48" t="s">
        <v>22550</v>
      </c>
    </row>
    <row r="18186" spans="2:9" ht="15" customHeight="1" x14ac:dyDescent="0.25">
      <c r="B18186" s="55" t="s">
        <v>282</v>
      </c>
      <c r="C18186" s="46">
        <v>3174</v>
      </c>
      <c r="D18186" s="69" t="s">
        <v>29419</v>
      </c>
      <c r="E18186" s="51"/>
      <c r="F18186" s="114" t="str">
        <f>IF(INDEX(I.Facility.P3IDNumber,3174)="","",INDEX(I.Facility.P3IDNumber,3174))</f>
        <v/>
      </c>
      <c r="G18186" s="51"/>
      <c r="H18186" s="46" t="str">
        <f>IF(AND(I.Developer.P3=TRUE,I.Facility.P3FacilityCount&gt;=3174,F18186=""),"Incomplete","Complete")</f>
        <v>Complete</v>
      </c>
      <c r="I18186" s="48" t="s">
        <v>22551</v>
      </c>
    </row>
    <row r="18187" spans="2:9" ht="15" customHeight="1" x14ac:dyDescent="0.25">
      <c r="B18187" s="55" t="s">
        <v>282</v>
      </c>
      <c r="C18187" s="46">
        <v>3175</v>
      </c>
      <c r="D18187" s="69" t="s">
        <v>29419</v>
      </c>
      <c r="E18187" s="51"/>
      <c r="F18187" s="114" t="str">
        <f>IF(INDEX(I.Facility.P3IDNumber,3175)="","",INDEX(I.Facility.P3IDNumber,3175))</f>
        <v/>
      </c>
      <c r="G18187" s="51"/>
      <c r="H18187" s="46" t="str">
        <f>IF(AND(I.Developer.P3=TRUE,I.Facility.P3FacilityCount&gt;=3175,F18187=""),"Incomplete","Complete")</f>
        <v>Complete</v>
      </c>
      <c r="I18187" s="48" t="s">
        <v>22552</v>
      </c>
    </row>
    <row r="18188" spans="2:9" ht="15" customHeight="1" x14ac:dyDescent="0.25">
      <c r="B18188" s="55" t="s">
        <v>282</v>
      </c>
      <c r="C18188" s="46">
        <v>3176</v>
      </c>
      <c r="D18188" s="69" t="s">
        <v>29419</v>
      </c>
      <c r="E18188" s="51"/>
      <c r="F18188" s="114" t="str">
        <f>IF(INDEX(I.Facility.P3IDNumber,3176)="","",INDEX(I.Facility.P3IDNumber,3176))</f>
        <v/>
      </c>
      <c r="G18188" s="51"/>
      <c r="H18188" s="46" t="str">
        <f>IF(AND(I.Developer.P3=TRUE,I.Facility.P3FacilityCount&gt;=3176,F18188=""),"Incomplete","Complete")</f>
        <v>Complete</v>
      </c>
      <c r="I18188" s="48" t="s">
        <v>22553</v>
      </c>
    </row>
    <row r="18189" spans="2:9" ht="15" customHeight="1" x14ac:dyDescent="0.25">
      <c r="B18189" s="55" t="s">
        <v>282</v>
      </c>
      <c r="C18189" s="46">
        <v>3177</v>
      </c>
      <c r="D18189" s="69" t="s">
        <v>29419</v>
      </c>
      <c r="E18189" s="51"/>
      <c r="F18189" s="114" t="str">
        <f>IF(INDEX(I.Facility.P3IDNumber,3177)="","",INDEX(I.Facility.P3IDNumber,3177))</f>
        <v/>
      </c>
      <c r="G18189" s="51"/>
      <c r="H18189" s="46" t="str">
        <f>IF(AND(I.Developer.P3=TRUE,I.Facility.P3FacilityCount&gt;=3177,F18189=""),"Incomplete","Complete")</f>
        <v>Complete</v>
      </c>
      <c r="I18189" s="48" t="s">
        <v>22554</v>
      </c>
    </row>
    <row r="18190" spans="2:9" ht="15" customHeight="1" x14ac:dyDescent="0.25">
      <c r="B18190" s="55" t="s">
        <v>282</v>
      </c>
      <c r="C18190" s="46">
        <v>3178</v>
      </c>
      <c r="D18190" s="69" t="s">
        <v>29419</v>
      </c>
      <c r="E18190" s="51"/>
      <c r="F18190" s="114" t="str">
        <f>IF(INDEX(I.Facility.P3IDNumber,3178)="","",INDEX(I.Facility.P3IDNumber,3178))</f>
        <v/>
      </c>
      <c r="G18190" s="51"/>
      <c r="H18190" s="46" t="str">
        <f>IF(AND(I.Developer.P3=TRUE,I.Facility.P3FacilityCount&gt;=3178,F18190=""),"Incomplete","Complete")</f>
        <v>Complete</v>
      </c>
      <c r="I18190" s="48" t="s">
        <v>22555</v>
      </c>
    </row>
    <row r="18191" spans="2:9" ht="15" customHeight="1" x14ac:dyDescent="0.25">
      <c r="B18191" s="55" t="s">
        <v>282</v>
      </c>
      <c r="C18191" s="46">
        <v>3179</v>
      </c>
      <c r="D18191" s="69" t="s">
        <v>29419</v>
      </c>
      <c r="E18191" s="51"/>
      <c r="F18191" s="114" t="str">
        <f>IF(INDEX(I.Facility.P3IDNumber,3179)="","",INDEX(I.Facility.P3IDNumber,3179))</f>
        <v/>
      </c>
      <c r="G18191" s="51"/>
      <c r="H18191" s="46" t="str">
        <f>IF(AND(I.Developer.P3=TRUE,I.Facility.P3FacilityCount&gt;=3179,F18191=""),"Incomplete","Complete")</f>
        <v>Complete</v>
      </c>
      <c r="I18191" s="48" t="s">
        <v>22556</v>
      </c>
    </row>
    <row r="18192" spans="2:9" ht="15" customHeight="1" x14ac:dyDescent="0.25">
      <c r="B18192" s="55" t="s">
        <v>282</v>
      </c>
      <c r="C18192" s="46">
        <v>3180</v>
      </c>
      <c r="D18192" s="69" t="s">
        <v>29419</v>
      </c>
      <c r="E18192" s="51"/>
      <c r="F18192" s="114" t="str">
        <f>IF(INDEX(I.Facility.P3IDNumber,3180)="","",INDEX(I.Facility.P3IDNumber,3180))</f>
        <v/>
      </c>
      <c r="G18192" s="51"/>
      <c r="H18192" s="46" t="str">
        <f>IF(AND(I.Developer.P3=TRUE,I.Facility.P3FacilityCount&gt;=3180,F18192=""),"Incomplete","Complete")</f>
        <v>Complete</v>
      </c>
      <c r="I18192" s="48" t="s">
        <v>22557</v>
      </c>
    </row>
    <row r="18193" spans="2:9" ht="15" customHeight="1" x14ac:dyDescent="0.25">
      <c r="B18193" s="55" t="s">
        <v>282</v>
      </c>
      <c r="C18193" s="46">
        <v>3181</v>
      </c>
      <c r="D18193" s="69" t="s">
        <v>29419</v>
      </c>
      <c r="E18193" s="51"/>
      <c r="F18193" s="114" t="str">
        <f>IF(INDEX(I.Facility.P3IDNumber,3181)="","",INDEX(I.Facility.P3IDNumber,3181))</f>
        <v/>
      </c>
      <c r="G18193" s="51"/>
      <c r="H18193" s="46" t="str">
        <f>IF(AND(I.Developer.P3=TRUE,I.Facility.P3FacilityCount&gt;=3181,F18193=""),"Incomplete","Complete")</f>
        <v>Complete</v>
      </c>
      <c r="I18193" s="48" t="s">
        <v>22558</v>
      </c>
    </row>
    <row r="18194" spans="2:9" ht="15" customHeight="1" x14ac:dyDescent="0.25">
      <c r="B18194" s="55" t="s">
        <v>282</v>
      </c>
      <c r="C18194" s="46">
        <v>3182</v>
      </c>
      <c r="D18194" s="69" t="s">
        <v>29419</v>
      </c>
      <c r="E18194" s="51"/>
      <c r="F18194" s="114" t="str">
        <f>IF(INDEX(I.Facility.P3IDNumber,3182)="","",INDEX(I.Facility.P3IDNumber,3182))</f>
        <v/>
      </c>
      <c r="G18194" s="51"/>
      <c r="H18194" s="46" t="str">
        <f>IF(AND(I.Developer.P3=TRUE,I.Facility.P3FacilityCount&gt;=3182,F18194=""),"Incomplete","Complete")</f>
        <v>Complete</v>
      </c>
      <c r="I18194" s="48" t="s">
        <v>22559</v>
      </c>
    </row>
    <row r="18195" spans="2:9" ht="15" customHeight="1" x14ac:dyDescent="0.25">
      <c r="B18195" s="55" t="s">
        <v>282</v>
      </c>
      <c r="C18195" s="46">
        <v>3183</v>
      </c>
      <c r="D18195" s="69" t="s">
        <v>29419</v>
      </c>
      <c r="E18195" s="51"/>
      <c r="F18195" s="114" t="str">
        <f>IF(INDEX(I.Facility.P3IDNumber,3183)="","",INDEX(I.Facility.P3IDNumber,3183))</f>
        <v/>
      </c>
      <c r="G18195" s="51"/>
      <c r="H18195" s="46" t="str">
        <f>IF(AND(I.Developer.P3=TRUE,I.Facility.P3FacilityCount&gt;=3183,F18195=""),"Incomplete","Complete")</f>
        <v>Complete</v>
      </c>
      <c r="I18195" s="48" t="s">
        <v>22560</v>
      </c>
    </row>
    <row r="18196" spans="2:9" ht="15" customHeight="1" x14ac:dyDescent="0.25">
      <c r="B18196" s="55" t="s">
        <v>282</v>
      </c>
      <c r="C18196" s="46">
        <v>3184</v>
      </c>
      <c r="D18196" s="69" t="s">
        <v>29419</v>
      </c>
      <c r="E18196" s="51"/>
      <c r="F18196" s="114" t="str">
        <f>IF(INDEX(I.Facility.P3IDNumber,3184)="","",INDEX(I.Facility.P3IDNumber,3184))</f>
        <v/>
      </c>
      <c r="G18196" s="51"/>
      <c r="H18196" s="46" t="str">
        <f>IF(AND(I.Developer.P3=TRUE,I.Facility.P3FacilityCount&gt;=3184,F18196=""),"Incomplete","Complete")</f>
        <v>Complete</v>
      </c>
      <c r="I18196" s="48" t="s">
        <v>22561</v>
      </c>
    </row>
    <row r="18197" spans="2:9" ht="15" customHeight="1" x14ac:dyDescent="0.25">
      <c r="B18197" s="55" t="s">
        <v>282</v>
      </c>
      <c r="C18197" s="46">
        <v>3185</v>
      </c>
      <c r="D18197" s="69" t="s">
        <v>29419</v>
      </c>
      <c r="E18197" s="51"/>
      <c r="F18197" s="114" t="str">
        <f>IF(INDEX(I.Facility.P3IDNumber,3185)="","",INDEX(I.Facility.P3IDNumber,3185))</f>
        <v/>
      </c>
      <c r="G18197" s="51"/>
      <c r="H18197" s="46" t="str">
        <f>IF(AND(I.Developer.P3=TRUE,I.Facility.P3FacilityCount&gt;=3185,F18197=""),"Incomplete","Complete")</f>
        <v>Complete</v>
      </c>
      <c r="I18197" s="48" t="s">
        <v>22562</v>
      </c>
    </row>
    <row r="18198" spans="2:9" ht="15" customHeight="1" x14ac:dyDescent="0.25">
      <c r="B18198" s="55" t="s">
        <v>282</v>
      </c>
      <c r="C18198" s="46">
        <v>3186</v>
      </c>
      <c r="D18198" s="69" t="s">
        <v>29419</v>
      </c>
      <c r="E18198" s="51"/>
      <c r="F18198" s="114" t="str">
        <f>IF(INDEX(I.Facility.P3IDNumber,3186)="","",INDEX(I.Facility.P3IDNumber,3186))</f>
        <v/>
      </c>
      <c r="G18198" s="51"/>
      <c r="H18198" s="46" t="str">
        <f>IF(AND(I.Developer.P3=TRUE,I.Facility.P3FacilityCount&gt;=3186,F18198=""),"Incomplete","Complete")</f>
        <v>Complete</v>
      </c>
      <c r="I18198" s="48" t="s">
        <v>22563</v>
      </c>
    </row>
    <row r="18199" spans="2:9" ht="15" customHeight="1" x14ac:dyDescent="0.25">
      <c r="B18199" s="55" t="s">
        <v>282</v>
      </c>
      <c r="C18199" s="46">
        <v>3187</v>
      </c>
      <c r="D18199" s="69" t="s">
        <v>29419</v>
      </c>
      <c r="E18199" s="51"/>
      <c r="F18199" s="114" t="str">
        <f>IF(INDEX(I.Facility.P3IDNumber,3187)="","",INDEX(I.Facility.P3IDNumber,3187))</f>
        <v/>
      </c>
      <c r="G18199" s="51"/>
      <c r="H18199" s="46" t="str">
        <f>IF(AND(I.Developer.P3=TRUE,I.Facility.P3FacilityCount&gt;=3187,F18199=""),"Incomplete","Complete")</f>
        <v>Complete</v>
      </c>
      <c r="I18199" s="48" t="s">
        <v>22564</v>
      </c>
    </row>
    <row r="18200" spans="2:9" ht="15" customHeight="1" x14ac:dyDescent="0.25">
      <c r="B18200" s="55" t="s">
        <v>282</v>
      </c>
      <c r="C18200" s="46">
        <v>3188</v>
      </c>
      <c r="D18200" s="69" t="s">
        <v>29419</v>
      </c>
      <c r="E18200" s="51"/>
      <c r="F18200" s="114" t="str">
        <f>IF(INDEX(I.Facility.P3IDNumber,3188)="","",INDEX(I.Facility.P3IDNumber,3188))</f>
        <v/>
      </c>
      <c r="G18200" s="51"/>
      <c r="H18200" s="46" t="str">
        <f>IF(AND(I.Developer.P3=TRUE,I.Facility.P3FacilityCount&gt;=3188,F18200=""),"Incomplete","Complete")</f>
        <v>Complete</v>
      </c>
      <c r="I18200" s="48" t="s">
        <v>22565</v>
      </c>
    </row>
    <row r="18201" spans="2:9" ht="15" customHeight="1" x14ac:dyDescent="0.25">
      <c r="B18201" s="55" t="s">
        <v>282</v>
      </c>
      <c r="C18201" s="46">
        <v>3189</v>
      </c>
      <c r="D18201" s="69" t="s">
        <v>29419</v>
      </c>
      <c r="E18201" s="51"/>
      <c r="F18201" s="114" t="str">
        <f>IF(INDEX(I.Facility.P3IDNumber,3189)="","",INDEX(I.Facility.P3IDNumber,3189))</f>
        <v/>
      </c>
      <c r="G18201" s="51"/>
      <c r="H18201" s="46" t="str">
        <f>IF(AND(I.Developer.P3=TRUE,I.Facility.P3FacilityCount&gt;=3189,F18201=""),"Incomplete","Complete")</f>
        <v>Complete</v>
      </c>
      <c r="I18201" s="48" t="s">
        <v>22566</v>
      </c>
    </row>
    <row r="18202" spans="2:9" ht="15" customHeight="1" x14ac:dyDescent="0.25">
      <c r="B18202" s="55" t="s">
        <v>282</v>
      </c>
      <c r="C18202" s="46">
        <v>3190</v>
      </c>
      <c r="D18202" s="69" t="s">
        <v>29419</v>
      </c>
      <c r="E18202" s="51"/>
      <c r="F18202" s="114" t="str">
        <f>IF(INDEX(I.Facility.P3IDNumber,3190)="","",INDEX(I.Facility.P3IDNumber,3190))</f>
        <v/>
      </c>
      <c r="G18202" s="51"/>
      <c r="H18202" s="46" t="str">
        <f>IF(AND(I.Developer.P3=TRUE,I.Facility.P3FacilityCount&gt;=3190,F18202=""),"Incomplete","Complete")</f>
        <v>Complete</v>
      </c>
      <c r="I18202" s="48" t="s">
        <v>22567</v>
      </c>
    </row>
    <row r="18203" spans="2:9" ht="15" customHeight="1" x14ac:dyDescent="0.25">
      <c r="B18203" s="55" t="s">
        <v>282</v>
      </c>
      <c r="C18203" s="46">
        <v>3191</v>
      </c>
      <c r="D18203" s="69" t="s">
        <v>29419</v>
      </c>
      <c r="E18203" s="51"/>
      <c r="F18203" s="114" t="str">
        <f>IF(INDEX(I.Facility.P3IDNumber,3191)="","",INDEX(I.Facility.P3IDNumber,3191))</f>
        <v/>
      </c>
      <c r="G18203" s="51"/>
      <c r="H18203" s="46" t="str">
        <f>IF(AND(I.Developer.P3=TRUE,I.Facility.P3FacilityCount&gt;=3191,F18203=""),"Incomplete","Complete")</f>
        <v>Complete</v>
      </c>
      <c r="I18203" s="48" t="s">
        <v>22568</v>
      </c>
    </row>
    <row r="18204" spans="2:9" ht="15" customHeight="1" x14ac:dyDescent="0.25">
      <c r="B18204" s="55" t="s">
        <v>282</v>
      </c>
      <c r="C18204" s="46">
        <v>3192</v>
      </c>
      <c r="D18204" s="69" t="s">
        <v>29419</v>
      </c>
      <c r="E18204" s="51"/>
      <c r="F18204" s="114" t="str">
        <f>IF(INDEX(I.Facility.P3IDNumber,3192)="","",INDEX(I.Facility.P3IDNumber,3192))</f>
        <v/>
      </c>
      <c r="G18204" s="51"/>
      <c r="H18204" s="46" t="str">
        <f>IF(AND(I.Developer.P3=TRUE,I.Facility.P3FacilityCount&gt;=3192,F18204=""),"Incomplete","Complete")</f>
        <v>Complete</v>
      </c>
      <c r="I18204" s="48" t="s">
        <v>22569</v>
      </c>
    </row>
    <row r="18205" spans="2:9" ht="15" customHeight="1" x14ac:dyDescent="0.25">
      <c r="B18205" s="55" t="s">
        <v>282</v>
      </c>
      <c r="C18205" s="46">
        <v>3193</v>
      </c>
      <c r="D18205" s="69" t="s">
        <v>29419</v>
      </c>
      <c r="E18205" s="51"/>
      <c r="F18205" s="114" t="str">
        <f>IF(INDEX(I.Facility.P3IDNumber,3193)="","",INDEX(I.Facility.P3IDNumber,3193))</f>
        <v/>
      </c>
      <c r="G18205" s="51"/>
      <c r="H18205" s="46" t="str">
        <f>IF(AND(I.Developer.P3=TRUE,I.Facility.P3FacilityCount&gt;=3193,F18205=""),"Incomplete","Complete")</f>
        <v>Complete</v>
      </c>
      <c r="I18205" s="48" t="s">
        <v>22570</v>
      </c>
    </row>
    <row r="18206" spans="2:9" ht="15" customHeight="1" x14ac:dyDescent="0.25">
      <c r="B18206" s="55" t="s">
        <v>282</v>
      </c>
      <c r="C18206" s="46">
        <v>3194</v>
      </c>
      <c r="D18206" s="69" t="s">
        <v>29419</v>
      </c>
      <c r="E18206" s="51"/>
      <c r="F18206" s="114" t="str">
        <f>IF(INDEX(I.Facility.P3IDNumber,3194)="","",INDEX(I.Facility.P3IDNumber,3194))</f>
        <v/>
      </c>
      <c r="G18206" s="51"/>
      <c r="H18206" s="46" t="str">
        <f>IF(AND(I.Developer.P3=TRUE,I.Facility.P3FacilityCount&gt;=3194,F18206=""),"Incomplete","Complete")</f>
        <v>Complete</v>
      </c>
      <c r="I18206" s="48" t="s">
        <v>22571</v>
      </c>
    </row>
    <row r="18207" spans="2:9" ht="15" customHeight="1" x14ac:dyDescent="0.25">
      <c r="B18207" s="55" t="s">
        <v>282</v>
      </c>
      <c r="C18207" s="46">
        <v>3195</v>
      </c>
      <c r="D18207" s="69" t="s">
        <v>29419</v>
      </c>
      <c r="E18207" s="51"/>
      <c r="F18207" s="114" t="str">
        <f>IF(INDEX(I.Facility.P3IDNumber,3195)="","",INDEX(I.Facility.P3IDNumber,3195))</f>
        <v/>
      </c>
      <c r="G18207" s="51"/>
      <c r="H18207" s="46" t="str">
        <f>IF(AND(I.Developer.P3=TRUE,I.Facility.P3FacilityCount&gt;=3195,F18207=""),"Incomplete","Complete")</f>
        <v>Complete</v>
      </c>
      <c r="I18207" s="48" t="s">
        <v>22572</v>
      </c>
    </row>
    <row r="18208" spans="2:9" ht="15" customHeight="1" x14ac:dyDescent="0.25">
      <c r="B18208" s="55" t="s">
        <v>282</v>
      </c>
      <c r="C18208" s="46">
        <v>3196</v>
      </c>
      <c r="D18208" s="69" t="s">
        <v>29419</v>
      </c>
      <c r="E18208" s="51"/>
      <c r="F18208" s="114" t="str">
        <f>IF(INDEX(I.Facility.P3IDNumber,3196)="","",INDEX(I.Facility.P3IDNumber,3196))</f>
        <v/>
      </c>
      <c r="G18208" s="51"/>
      <c r="H18208" s="46" t="str">
        <f>IF(AND(I.Developer.P3=TRUE,I.Facility.P3FacilityCount&gt;=3196,F18208=""),"Incomplete","Complete")</f>
        <v>Complete</v>
      </c>
      <c r="I18208" s="48" t="s">
        <v>22573</v>
      </c>
    </row>
    <row r="18209" spans="2:9" ht="15" customHeight="1" x14ac:dyDescent="0.25">
      <c r="B18209" s="55" t="s">
        <v>282</v>
      </c>
      <c r="C18209" s="46">
        <v>3197</v>
      </c>
      <c r="D18209" s="69" t="s">
        <v>29419</v>
      </c>
      <c r="E18209" s="51"/>
      <c r="F18209" s="114" t="str">
        <f>IF(INDEX(I.Facility.P3IDNumber,3197)="","",INDEX(I.Facility.P3IDNumber,3197))</f>
        <v/>
      </c>
      <c r="G18209" s="51"/>
      <c r="H18209" s="46" t="str">
        <f>IF(AND(I.Developer.P3=TRUE,I.Facility.P3FacilityCount&gt;=3197,F18209=""),"Incomplete","Complete")</f>
        <v>Complete</v>
      </c>
      <c r="I18209" s="48" t="s">
        <v>22574</v>
      </c>
    </row>
    <row r="18210" spans="2:9" ht="15" customHeight="1" x14ac:dyDescent="0.25">
      <c r="B18210" s="55" t="s">
        <v>282</v>
      </c>
      <c r="C18210" s="46">
        <v>3198</v>
      </c>
      <c r="D18210" s="69" t="s">
        <v>29419</v>
      </c>
      <c r="E18210" s="51"/>
      <c r="F18210" s="114" t="str">
        <f>IF(INDEX(I.Facility.P3IDNumber,3198)="","",INDEX(I.Facility.P3IDNumber,3198))</f>
        <v/>
      </c>
      <c r="G18210" s="51"/>
      <c r="H18210" s="46" t="str">
        <f>IF(AND(I.Developer.P3=TRUE,I.Facility.P3FacilityCount&gt;=3198,F18210=""),"Incomplete","Complete")</f>
        <v>Complete</v>
      </c>
      <c r="I18210" s="48" t="s">
        <v>22575</v>
      </c>
    </row>
    <row r="18211" spans="2:9" ht="15" customHeight="1" x14ac:dyDescent="0.25">
      <c r="B18211" s="55" t="s">
        <v>282</v>
      </c>
      <c r="C18211" s="46">
        <v>3199</v>
      </c>
      <c r="D18211" s="69" t="s">
        <v>29419</v>
      </c>
      <c r="E18211" s="51"/>
      <c r="F18211" s="114" t="str">
        <f>IF(INDEX(I.Facility.P3IDNumber,3199)="","",INDEX(I.Facility.P3IDNumber,3199))</f>
        <v/>
      </c>
      <c r="G18211" s="51"/>
      <c r="H18211" s="46" t="str">
        <f>IF(AND(I.Developer.P3=TRUE,I.Facility.P3FacilityCount&gt;=3199,F18211=""),"Incomplete","Complete")</f>
        <v>Complete</v>
      </c>
      <c r="I18211" s="48" t="s">
        <v>22576</v>
      </c>
    </row>
    <row r="18212" spans="2:9" ht="15" customHeight="1" x14ac:dyDescent="0.25">
      <c r="B18212" s="55" t="s">
        <v>282</v>
      </c>
      <c r="C18212" s="46">
        <v>3200</v>
      </c>
      <c r="D18212" s="69" t="s">
        <v>29419</v>
      </c>
      <c r="E18212" s="51"/>
      <c r="F18212" s="114" t="str">
        <f>IF(INDEX(I.Facility.P3IDNumber,3200)="","",INDEX(I.Facility.P3IDNumber,3200))</f>
        <v/>
      </c>
      <c r="G18212" s="51"/>
      <c r="H18212" s="46" t="str">
        <f>IF(AND(I.Developer.P3=TRUE,I.Facility.P3FacilityCount&gt;=3200,F18212=""),"Incomplete","Complete")</f>
        <v>Complete</v>
      </c>
      <c r="I18212" s="48" t="s">
        <v>22577</v>
      </c>
    </row>
    <row r="18213" spans="2:9" ht="15" customHeight="1" x14ac:dyDescent="0.25">
      <c r="B18213" s="55" t="s">
        <v>282</v>
      </c>
      <c r="C18213" s="46">
        <v>3201</v>
      </c>
      <c r="D18213" s="69" t="s">
        <v>29419</v>
      </c>
      <c r="E18213" s="51"/>
      <c r="F18213" s="114" t="str">
        <f>IF(INDEX(I.Facility.P3IDNumber,3201)="","",INDEX(I.Facility.P3IDNumber,3201))</f>
        <v/>
      </c>
      <c r="G18213" s="51"/>
      <c r="H18213" s="46" t="str">
        <f>IF(AND(I.Developer.P3=TRUE,I.Facility.P3FacilityCount&gt;=3201,F18213=""),"Incomplete","Complete")</f>
        <v>Complete</v>
      </c>
      <c r="I18213" s="48" t="s">
        <v>22578</v>
      </c>
    </row>
    <row r="18214" spans="2:9" ht="15" customHeight="1" x14ac:dyDescent="0.25">
      <c r="B18214" s="55" t="s">
        <v>282</v>
      </c>
      <c r="C18214" s="46">
        <v>3202</v>
      </c>
      <c r="D18214" s="69" t="s">
        <v>29419</v>
      </c>
      <c r="E18214" s="51"/>
      <c r="F18214" s="114" t="str">
        <f>IF(INDEX(I.Facility.P3IDNumber,3202)="","",INDEX(I.Facility.P3IDNumber,3202))</f>
        <v/>
      </c>
      <c r="G18214" s="51"/>
      <c r="H18214" s="46" t="str">
        <f>IF(AND(I.Developer.P3=TRUE,I.Facility.P3FacilityCount&gt;=3202,F18214=""),"Incomplete","Complete")</f>
        <v>Complete</v>
      </c>
      <c r="I18214" s="48" t="s">
        <v>22579</v>
      </c>
    </row>
    <row r="18215" spans="2:9" ht="15" customHeight="1" x14ac:dyDescent="0.25">
      <c r="B18215" s="55" t="s">
        <v>282</v>
      </c>
      <c r="C18215" s="46">
        <v>3203</v>
      </c>
      <c r="D18215" s="69" t="s">
        <v>29419</v>
      </c>
      <c r="E18215" s="51"/>
      <c r="F18215" s="114" t="str">
        <f>IF(INDEX(I.Facility.P3IDNumber,3203)="","",INDEX(I.Facility.P3IDNumber,3203))</f>
        <v/>
      </c>
      <c r="G18215" s="51"/>
      <c r="H18215" s="46" t="str">
        <f>IF(AND(I.Developer.P3=TRUE,I.Facility.P3FacilityCount&gt;=3203,F18215=""),"Incomplete","Complete")</f>
        <v>Complete</v>
      </c>
      <c r="I18215" s="48" t="s">
        <v>22580</v>
      </c>
    </row>
    <row r="18216" spans="2:9" ht="15" customHeight="1" x14ac:dyDescent="0.25">
      <c r="B18216" s="55" t="s">
        <v>282</v>
      </c>
      <c r="C18216" s="46">
        <v>3204</v>
      </c>
      <c r="D18216" s="69" t="s">
        <v>29419</v>
      </c>
      <c r="E18216" s="51"/>
      <c r="F18216" s="114" t="str">
        <f>IF(INDEX(I.Facility.P3IDNumber,3204)="","",INDEX(I.Facility.P3IDNumber,3204))</f>
        <v/>
      </c>
      <c r="G18216" s="51"/>
      <c r="H18216" s="46" t="str">
        <f>IF(AND(I.Developer.P3=TRUE,I.Facility.P3FacilityCount&gt;=3204,F18216=""),"Incomplete","Complete")</f>
        <v>Complete</v>
      </c>
      <c r="I18216" s="48" t="s">
        <v>22581</v>
      </c>
    </row>
    <row r="18217" spans="2:9" ht="15" customHeight="1" x14ac:dyDescent="0.25">
      <c r="B18217" s="55" t="s">
        <v>282</v>
      </c>
      <c r="C18217" s="46">
        <v>3205</v>
      </c>
      <c r="D18217" s="69" t="s">
        <v>29419</v>
      </c>
      <c r="E18217" s="51"/>
      <c r="F18217" s="114" t="str">
        <f>IF(INDEX(I.Facility.P3IDNumber,3205)="","",INDEX(I.Facility.P3IDNumber,3205))</f>
        <v/>
      </c>
      <c r="G18217" s="51"/>
      <c r="H18217" s="46" t="str">
        <f>IF(AND(I.Developer.P3=TRUE,I.Facility.P3FacilityCount&gt;=3205,F18217=""),"Incomplete","Complete")</f>
        <v>Complete</v>
      </c>
      <c r="I18217" s="48" t="s">
        <v>22582</v>
      </c>
    </row>
    <row r="18218" spans="2:9" ht="15" customHeight="1" x14ac:dyDescent="0.25">
      <c r="B18218" s="55" t="s">
        <v>282</v>
      </c>
      <c r="C18218" s="46">
        <v>3206</v>
      </c>
      <c r="D18218" s="69" t="s">
        <v>29419</v>
      </c>
      <c r="E18218" s="51"/>
      <c r="F18218" s="114" t="str">
        <f>IF(INDEX(I.Facility.P3IDNumber,3206)="","",INDEX(I.Facility.P3IDNumber,3206))</f>
        <v/>
      </c>
      <c r="G18218" s="51"/>
      <c r="H18218" s="46" t="str">
        <f>IF(AND(I.Developer.P3=TRUE,I.Facility.P3FacilityCount&gt;=3206,F18218=""),"Incomplete","Complete")</f>
        <v>Complete</v>
      </c>
      <c r="I18218" s="48" t="s">
        <v>22583</v>
      </c>
    </row>
    <row r="18219" spans="2:9" ht="15" customHeight="1" x14ac:dyDescent="0.25">
      <c r="B18219" s="55" t="s">
        <v>282</v>
      </c>
      <c r="C18219" s="46">
        <v>3207</v>
      </c>
      <c r="D18219" s="69" t="s">
        <v>29419</v>
      </c>
      <c r="E18219" s="51"/>
      <c r="F18219" s="114" t="str">
        <f>IF(INDEX(I.Facility.P3IDNumber,3207)="","",INDEX(I.Facility.P3IDNumber,3207))</f>
        <v/>
      </c>
      <c r="G18219" s="51"/>
      <c r="H18219" s="46" t="str">
        <f>IF(AND(I.Developer.P3=TRUE,I.Facility.P3FacilityCount&gt;=3207,F18219=""),"Incomplete","Complete")</f>
        <v>Complete</v>
      </c>
      <c r="I18219" s="48" t="s">
        <v>22584</v>
      </c>
    </row>
    <row r="18220" spans="2:9" ht="15" customHeight="1" x14ac:dyDescent="0.25">
      <c r="B18220" s="55" t="s">
        <v>282</v>
      </c>
      <c r="C18220" s="46">
        <v>3208</v>
      </c>
      <c r="D18220" s="69" t="s">
        <v>29419</v>
      </c>
      <c r="E18220" s="51"/>
      <c r="F18220" s="114" t="str">
        <f>IF(INDEX(I.Facility.P3IDNumber,3208)="","",INDEX(I.Facility.P3IDNumber,3208))</f>
        <v/>
      </c>
      <c r="G18220" s="51"/>
      <c r="H18220" s="46" t="str">
        <f>IF(AND(I.Developer.P3=TRUE,I.Facility.P3FacilityCount&gt;=3208,F18220=""),"Incomplete","Complete")</f>
        <v>Complete</v>
      </c>
      <c r="I18220" s="48" t="s">
        <v>22585</v>
      </c>
    </row>
    <row r="18221" spans="2:9" ht="15" customHeight="1" x14ac:dyDescent="0.25">
      <c r="B18221" s="55" t="s">
        <v>282</v>
      </c>
      <c r="C18221" s="46">
        <v>3209</v>
      </c>
      <c r="D18221" s="69" t="s">
        <v>29419</v>
      </c>
      <c r="E18221" s="51"/>
      <c r="F18221" s="114" t="str">
        <f>IF(INDEX(I.Facility.P3IDNumber,3209)="","",INDEX(I.Facility.P3IDNumber,3209))</f>
        <v/>
      </c>
      <c r="G18221" s="51"/>
      <c r="H18221" s="46" t="str">
        <f>IF(AND(I.Developer.P3=TRUE,I.Facility.P3FacilityCount&gt;=3209,F18221=""),"Incomplete","Complete")</f>
        <v>Complete</v>
      </c>
      <c r="I18221" s="48" t="s">
        <v>22586</v>
      </c>
    </row>
    <row r="18222" spans="2:9" ht="15" customHeight="1" x14ac:dyDescent="0.25">
      <c r="B18222" s="55" t="s">
        <v>282</v>
      </c>
      <c r="C18222" s="46">
        <v>3210</v>
      </c>
      <c r="D18222" s="69" t="s">
        <v>29419</v>
      </c>
      <c r="E18222" s="51"/>
      <c r="F18222" s="114" t="str">
        <f>IF(INDEX(I.Facility.P3IDNumber,3210)="","",INDEX(I.Facility.P3IDNumber,3210))</f>
        <v/>
      </c>
      <c r="G18222" s="51"/>
      <c r="H18222" s="46" t="str">
        <f>IF(AND(I.Developer.P3=TRUE,I.Facility.P3FacilityCount&gt;=3210,F18222=""),"Incomplete","Complete")</f>
        <v>Complete</v>
      </c>
      <c r="I18222" s="48" t="s">
        <v>22587</v>
      </c>
    </row>
    <row r="18223" spans="2:9" ht="15" customHeight="1" x14ac:dyDescent="0.25">
      <c r="B18223" s="55" t="s">
        <v>282</v>
      </c>
      <c r="C18223" s="46">
        <v>3211</v>
      </c>
      <c r="D18223" s="69" t="s">
        <v>29419</v>
      </c>
      <c r="E18223" s="51"/>
      <c r="F18223" s="114" t="str">
        <f>IF(INDEX(I.Facility.P3IDNumber,3211)="","",INDEX(I.Facility.P3IDNumber,3211))</f>
        <v/>
      </c>
      <c r="G18223" s="51"/>
      <c r="H18223" s="46" t="str">
        <f>IF(AND(I.Developer.P3=TRUE,I.Facility.P3FacilityCount&gt;=3211,F18223=""),"Incomplete","Complete")</f>
        <v>Complete</v>
      </c>
      <c r="I18223" s="48" t="s">
        <v>22588</v>
      </c>
    </row>
    <row r="18224" spans="2:9" ht="15" customHeight="1" x14ac:dyDescent="0.25">
      <c r="B18224" s="55" t="s">
        <v>282</v>
      </c>
      <c r="C18224" s="46">
        <v>3212</v>
      </c>
      <c r="D18224" s="69" t="s">
        <v>29419</v>
      </c>
      <c r="E18224" s="51"/>
      <c r="F18224" s="114" t="str">
        <f>IF(INDEX(I.Facility.P3IDNumber,3212)="","",INDEX(I.Facility.P3IDNumber,3212))</f>
        <v/>
      </c>
      <c r="G18224" s="51"/>
      <c r="H18224" s="46" t="str">
        <f>IF(AND(I.Developer.P3=TRUE,I.Facility.P3FacilityCount&gt;=3212,F18224=""),"Incomplete","Complete")</f>
        <v>Complete</v>
      </c>
      <c r="I18224" s="48" t="s">
        <v>22589</v>
      </c>
    </row>
    <row r="18225" spans="2:9" ht="15" customHeight="1" x14ac:dyDescent="0.25">
      <c r="B18225" s="55" t="s">
        <v>282</v>
      </c>
      <c r="C18225" s="46">
        <v>3213</v>
      </c>
      <c r="D18225" s="69" t="s">
        <v>29419</v>
      </c>
      <c r="E18225" s="51"/>
      <c r="F18225" s="114" t="str">
        <f>IF(INDEX(I.Facility.P3IDNumber,3213)="","",INDEX(I.Facility.P3IDNumber,3213))</f>
        <v/>
      </c>
      <c r="G18225" s="51"/>
      <c r="H18225" s="46" t="str">
        <f>IF(AND(I.Developer.P3=TRUE,I.Facility.P3FacilityCount&gt;=3213,F18225=""),"Incomplete","Complete")</f>
        <v>Complete</v>
      </c>
      <c r="I18225" s="48" t="s">
        <v>22590</v>
      </c>
    </row>
    <row r="18226" spans="2:9" ht="15" customHeight="1" x14ac:dyDescent="0.25">
      <c r="B18226" s="55" t="s">
        <v>282</v>
      </c>
      <c r="C18226" s="46">
        <v>3214</v>
      </c>
      <c r="D18226" s="69" t="s">
        <v>29419</v>
      </c>
      <c r="E18226" s="51"/>
      <c r="F18226" s="114" t="str">
        <f>IF(INDEX(I.Facility.P3IDNumber,3214)="","",INDEX(I.Facility.P3IDNumber,3214))</f>
        <v/>
      </c>
      <c r="G18226" s="51"/>
      <c r="H18226" s="46" t="str">
        <f>IF(AND(I.Developer.P3=TRUE,I.Facility.P3FacilityCount&gt;=3214,F18226=""),"Incomplete","Complete")</f>
        <v>Complete</v>
      </c>
      <c r="I18226" s="48" t="s">
        <v>22591</v>
      </c>
    </row>
    <row r="18227" spans="2:9" ht="15" customHeight="1" x14ac:dyDescent="0.25">
      <c r="B18227" s="55" t="s">
        <v>282</v>
      </c>
      <c r="C18227" s="46">
        <v>3215</v>
      </c>
      <c r="D18227" s="69" t="s">
        <v>29419</v>
      </c>
      <c r="E18227" s="51"/>
      <c r="F18227" s="114" t="str">
        <f>IF(INDEX(I.Facility.P3IDNumber,3215)="","",INDEX(I.Facility.P3IDNumber,3215))</f>
        <v/>
      </c>
      <c r="G18227" s="51"/>
      <c r="H18227" s="46" t="str">
        <f>IF(AND(I.Developer.P3=TRUE,I.Facility.P3FacilityCount&gt;=3215,F18227=""),"Incomplete","Complete")</f>
        <v>Complete</v>
      </c>
      <c r="I18227" s="48" t="s">
        <v>22592</v>
      </c>
    </row>
    <row r="18228" spans="2:9" ht="15" customHeight="1" x14ac:dyDescent="0.25">
      <c r="B18228" s="55" t="s">
        <v>282</v>
      </c>
      <c r="C18228" s="46">
        <v>3216</v>
      </c>
      <c r="D18228" s="69" t="s">
        <v>29419</v>
      </c>
      <c r="E18228" s="51"/>
      <c r="F18228" s="114" t="str">
        <f>IF(INDEX(I.Facility.P3IDNumber,3216)="","",INDEX(I.Facility.P3IDNumber,3216))</f>
        <v/>
      </c>
      <c r="G18228" s="51"/>
      <c r="H18228" s="46" t="str">
        <f>IF(AND(I.Developer.P3=TRUE,I.Facility.P3FacilityCount&gt;=3216,F18228=""),"Incomplete","Complete")</f>
        <v>Complete</v>
      </c>
      <c r="I18228" s="48" t="s">
        <v>22593</v>
      </c>
    </row>
    <row r="18229" spans="2:9" ht="15" customHeight="1" x14ac:dyDescent="0.25">
      <c r="B18229" s="55" t="s">
        <v>282</v>
      </c>
      <c r="C18229" s="46">
        <v>3217</v>
      </c>
      <c r="D18229" s="69" t="s">
        <v>29419</v>
      </c>
      <c r="E18229" s="51"/>
      <c r="F18229" s="114" t="str">
        <f>IF(INDEX(I.Facility.P3IDNumber,3217)="","",INDEX(I.Facility.P3IDNumber,3217))</f>
        <v/>
      </c>
      <c r="G18229" s="51"/>
      <c r="H18229" s="46" t="str">
        <f>IF(AND(I.Developer.P3=TRUE,I.Facility.P3FacilityCount&gt;=3217,F18229=""),"Incomplete","Complete")</f>
        <v>Complete</v>
      </c>
      <c r="I18229" s="48" t="s">
        <v>22594</v>
      </c>
    </row>
    <row r="18230" spans="2:9" ht="15" customHeight="1" x14ac:dyDescent="0.25">
      <c r="B18230" s="55" t="s">
        <v>282</v>
      </c>
      <c r="C18230" s="46">
        <v>3218</v>
      </c>
      <c r="D18230" s="69" t="s">
        <v>29419</v>
      </c>
      <c r="E18230" s="51"/>
      <c r="F18230" s="114" t="str">
        <f>IF(INDEX(I.Facility.P3IDNumber,3218)="","",INDEX(I.Facility.P3IDNumber,3218))</f>
        <v/>
      </c>
      <c r="G18230" s="51"/>
      <c r="H18230" s="46" t="str">
        <f>IF(AND(I.Developer.P3=TRUE,I.Facility.P3FacilityCount&gt;=3218,F18230=""),"Incomplete","Complete")</f>
        <v>Complete</v>
      </c>
      <c r="I18230" s="48" t="s">
        <v>22595</v>
      </c>
    </row>
    <row r="18231" spans="2:9" ht="15" customHeight="1" x14ac:dyDescent="0.25">
      <c r="B18231" s="55" t="s">
        <v>282</v>
      </c>
      <c r="C18231" s="46">
        <v>3219</v>
      </c>
      <c r="D18231" s="69" t="s">
        <v>29419</v>
      </c>
      <c r="E18231" s="51"/>
      <c r="F18231" s="114" t="str">
        <f>IF(INDEX(I.Facility.P3IDNumber,3219)="","",INDEX(I.Facility.P3IDNumber,3219))</f>
        <v/>
      </c>
      <c r="G18231" s="51"/>
      <c r="H18231" s="46" t="str">
        <f>IF(AND(I.Developer.P3=TRUE,I.Facility.P3FacilityCount&gt;=3219,F18231=""),"Incomplete","Complete")</f>
        <v>Complete</v>
      </c>
      <c r="I18231" s="48" t="s">
        <v>22596</v>
      </c>
    </row>
    <row r="18232" spans="2:9" ht="15" customHeight="1" x14ac:dyDescent="0.25">
      <c r="B18232" s="55" t="s">
        <v>282</v>
      </c>
      <c r="C18232" s="46">
        <v>3220</v>
      </c>
      <c r="D18232" s="69" t="s">
        <v>29419</v>
      </c>
      <c r="E18232" s="51"/>
      <c r="F18232" s="114" t="str">
        <f>IF(INDEX(I.Facility.P3IDNumber,3220)="","",INDEX(I.Facility.P3IDNumber,3220))</f>
        <v/>
      </c>
      <c r="G18232" s="51"/>
      <c r="H18232" s="46" t="str">
        <f>IF(AND(I.Developer.P3=TRUE,I.Facility.P3FacilityCount&gt;=3220,F18232=""),"Incomplete","Complete")</f>
        <v>Complete</v>
      </c>
      <c r="I18232" s="48" t="s">
        <v>22597</v>
      </c>
    </row>
    <row r="18233" spans="2:9" ht="15" customHeight="1" x14ac:dyDescent="0.25">
      <c r="B18233" s="55" t="s">
        <v>282</v>
      </c>
      <c r="C18233" s="46">
        <v>3221</v>
      </c>
      <c r="D18233" s="69" t="s">
        <v>29419</v>
      </c>
      <c r="E18233" s="51"/>
      <c r="F18233" s="114" t="str">
        <f>IF(INDEX(I.Facility.P3IDNumber,3221)="","",INDEX(I.Facility.P3IDNumber,3221))</f>
        <v/>
      </c>
      <c r="G18233" s="51"/>
      <c r="H18233" s="46" t="str">
        <f>IF(AND(I.Developer.P3=TRUE,I.Facility.P3FacilityCount&gt;=3221,F18233=""),"Incomplete","Complete")</f>
        <v>Complete</v>
      </c>
      <c r="I18233" s="48" t="s">
        <v>22598</v>
      </c>
    </row>
    <row r="18234" spans="2:9" ht="15" customHeight="1" x14ac:dyDescent="0.25">
      <c r="B18234" s="55" t="s">
        <v>282</v>
      </c>
      <c r="C18234" s="46">
        <v>3222</v>
      </c>
      <c r="D18234" s="69" t="s">
        <v>29419</v>
      </c>
      <c r="E18234" s="51"/>
      <c r="F18234" s="114" t="str">
        <f>IF(INDEX(I.Facility.P3IDNumber,3222)="","",INDEX(I.Facility.P3IDNumber,3222))</f>
        <v/>
      </c>
      <c r="G18234" s="51"/>
      <c r="H18234" s="46" t="str">
        <f>IF(AND(I.Developer.P3=TRUE,I.Facility.P3FacilityCount&gt;=3222,F18234=""),"Incomplete","Complete")</f>
        <v>Complete</v>
      </c>
      <c r="I18234" s="48" t="s">
        <v>22599</v>
      </c>
    </row>
    <row r="18235" spans="2:9" ht="15" customHeight="1" x14ac:dyDescent="0.25">
      <c r="B18235" s="55" t="s">
        <v>282</v>
      </c>
      <c r="C18235" s="46">
        <v>3223</v>
      </c>
      <c r="D18235" s="69" t="s">
        <v>29419</v>
      </c>
      <c r="E18235" s="51"/>
      <c r="F18235" s="114" t="str">
        <f>IF(INDEX(I.Facility.P3IDNumber,3223)="","",INDEX(I.Facility.P3IDNumber,3223))</f>
        <v/>
      </c>
      <c r="G18235" s="51"/>
      <c r="H18235" s="46" t="str">
        <f>IF(AND(I.Developer.P3=TRUE,I.Facility.P3FacilityCount&gt;=3223,F18235=""),"Incomplete","Complete")</f>
        <v>Complete</v>
      </c>
      <c r="I18235" s="48" t="s">
        <v>22600</v>
      </c>
    </row>
    <row r="18236" spans="2:9" ht="15" customHeight="1" x14ac:dyDescent="0.25">
      <c r="B18236" s="55" t="s">
        <v>282</v>
      </c>
      <c r="C18236" s="46">
        <v>3224</v>
      </c>
      <c r="D18236" s="69" t="s">
        <v>29419</v>
      </c>
      <c r="E18236" s="51"/>
      <c r="F18236" s="114" t="str">
        <f>IF(INDEX(I.Facility.P3IDNumber,3224)="","",INDEX(I.Facility.P3IDNumber,3224))</f>
        <v/>
      </c>
      <c r="G18236" s="51"/>
      <c r="H18236" s="46" t="str">
        <f>IF(AND(I.Developer.P3=TRUE,I.Facility.P3FacilityCount&gt;=3224,F18236=""),"Incomplete","Complete")</f>
        <v>Complete</v>
      </c>
      <c r="I18236" s="48" t="s">
        <v>22601</v>
      </c>
    </row>
    <row r="18237" spans="2:9" ht="15" customHeight="1" x14ac:dyDescent="0.25">
      <c r="B18237" s="55" t="s">
        <v>282</v>
      </c>
      <c r="C18237" s="46">
        <v>3225</v>
      </c>
      <c r="D18237" s="69" t="s">
        <v>29419</v>
      </c>
      <c r="E18237" s="51"/>
      <c r="F18237" s="114" t="str">
        <f>IF(INDEX(I.Facility.P3IDNumber,3225)="","",INDEX(I.Facility.P3IDNumber,3225))</f>
        <v/>
      </c>
      <c r="G18237" s="51"/>
      <c r="H18237" s="46" t="str">
        <f>IF(AND(I.Developer.P3=TRUE,I.Facility.P3FacilityCount&gt;=3225,F18237=""),"Incomplete","Complete")</f>
        <v>Complete</v>
      </c>
      <c r="I18237" s="48" t="s">
        <v>22602</v>
      </c>
    </row>
    <row r="18238" spans="2:9" ht="15" customHeight="1" x14ac:dyDescent="0.25">
      <c r="B18238" s="55" t="s">
        <v>282</v>
      </c>
      <c r="C18238" s="46">
        <v>3226</v>
      </c>
      <c r="D18238" s="69" t="s">
        <v>29419</v>
      </c>
      <c r="E18238" s="51"/>
      <c r="F18238" s="114" t="str">
        <f>IF(INDEX(I.Facility.P3IDNumber,3226)="","",INDEX(I.Facility.P3IDNumber,3226))</f>
        <v/>
      </c>
      <c r="G18238" s="51"/>
      <c r="H18238" s="46" t="str">
        <f>IF(AND(I.Developer.P3=TRUE,I.Facility.P3FacilityCount&gt;=3226,F18238=""),"Incomplete","Complete")</f>
        <v>Complete</v>
      </c>
      <c r="I18238" s="48" t="s">
        <v>22603</v>
      </c>
    </row>
    <row r="18239" spans="2:9" ht="15" customHeight="1" x14ac:dyDescent="0.25">
      <c r="B18239" s="55" t="s">
        <v>282</v>
      </c>
      <c r="C18239" s="46">
        <v>3227</v>
      </c>
      <c r="D18239" s="69" t="s">
        <v>29419</v>
      </c>
      <c r="E18239" s="51"/>
      <c r="F18239" s="114" t="str">
        <f>IF(INDEX(I.Facility.P3IDNumber,3227)="","",INDEX(I.Facility.P3IDNumber,3227))</f>
        <v/>
      </c>
      <c r="G18239" s="51"/>
      <c r="H18239" s="46" t="str">
        <f>IF(AND(I.Developer.P3=TRUE,I.Facility.P3FacilityCount&gt;=3227,F18239=""),"Incomplete","Complete")</f>
        <v>Complete</v>
      </c>
      <c r="I18239" s="48" t="s">
        <v>22604</v>
      </c>
    </row>
    <row r="18240" spans="2:9" ht="15" customHeight="1" x14ac:dyDescent="0.25">
      <c r="B18240" s="55" t="s">
        <v>282</v>
      </c>
      <c r="C18240" s="46">
        <v>3228</v>
      </c>
      <c r="D18240" s="69" t="s">
        <v>29419</v>
      </c>
      <c r="E18240" s="51"/>
      <c r="F18240" s="114" t="str">
        <f>IF(INDEX(I.Facility.P3IDNumber,3228)="","",INDEX(I.Facility.P3IDNumber,3228))</f>
        <v/>
      </c>
      <c r="G18240" s="51"/>
      <c r="H18240" s="46" t="str">
        <f>IF(AND(I.Developer.P3=TRUE,I.Facility.P3FacilityCount&gt;=3228,F18240=""),"Incomplete","Complete")</f>
        <v>Complete</v>
      </c>
      <c r="I18240" s="48" t="s">
        <v>22605</v>
      </c>
    </row>
    <row r="18241" spans="2:9" ht="15" customHeight="1" x14ac:dyDescent="0.25">
      <c r="B18241" s="55" t="s">
        <v>282</v>
      </c>
      <c r="C18241" s="46">
        <v>3229</v>
      </c>
      <c r="D18241" s="69" t="s">
        <v>29419</v>
      </c>
      <c r="E18241" s="51"/>
      <c r="F18241" s="114" t="str">
        <f>IF(INDEX(I.Facility.P3IDNumber,3229)="","",INDEX(I.Facility.P3IDNumber,3229))</f>
        <v/>
      </c>
      <c r="G18241" s="51"/>
      <c r="H18241" s="46" t="str">
        <f>IF(AND(I.Developer.P3=TRUE,I.Facility.P3FacilityCount&gt;=3229,F18241=""),"Incomplete","Complete")</f>
        <v>Complete</v>
      </c>
      <c r="I18241" s="48" t="s">
        <v>22606</v>
      </c>
    </row>
    <row r="18242" spans="2:9" ht="15" customHeight="1" x14ac:dyDescent="0.25">
      <c r="B18242" s="55" t="s">
        <v>282</v>
      </c>
      <c r="C18242" s="46">
        <v>3230</v>
      </c>
      <c r="D18242" s="69" t="s">
        <v>29419</v>
      </c>
      <c r="E18242" s="51"/>
      <c r="F18242" s="114" t="str">
        <f>IF(INDEX(I.Facility.P3IDNumber,3230)="","",INDEX(I.Facility.P3IDNumber,3230))</f>
        <v/>
      </c>
      <c r="G18242" s="51"/>
      <c r="H18242" s="46" t="str">
        <f>IF(AND(I.Developer.P3=TRUE,I.Facility.P3FacilityCount&gt;=3230,F18242=""),"Incomplete","Complete")</f>
        <v>Complete</v>
      </c>
      <c r="I18242" s="48" t="s">
        <v>22607</v>
      </c>
    </row>
    <row r="18243" spans="2:9" ht="15" customHeight="1" x14ac:dyDescent="0.25">
      <c r="B18243" s="55" t="s">
        <v>282</v>
      </c>
      <c r="C18243" s="46">
        <v>3231</v>
      </c>
      <c r="D18243" s="69" t="s">
        <v>29419</v>
      </c>
      <c r="E18243" s="51"/>
      <c r="F18243" s="114" t="str">
        <f>IF(INDEX(I.Facility.P3IDNumber,3231)="","",INDEX(I.Facility.P3IDNumber,3231))</f>
        <v/>
      </c>
      <c r="G18243" s="51"/>
      <c r="H18243" s="46" t="str">
        <f>IF(AND(I.Developer.P3=TRUE,I.Facility.P3FacilityCount&gt;=3231,F18243=""),"Incomplete","Complete")</f>
        <v>Complete</v>
      </c>
      <c r="I18243" s="48" t="s">
        <v>22608</v>
      </c>
    </row>
    <row r="18244" spans="2:9" ht="15" customHeight="1" x14ac:dyDescent="0.25">
      <c r="B18244" s="55" t="s">
        <v>282</v>
      </c>
      <c r="C18244" s="46">
        <v>3232</v>
      </c>
      <c r="D18244" s="69" t="s">
        <v>29419</v>
      </c>
      <c r="E18244" s="51"/>
      <c r="F18244" s="114" t="str">
        <f>IF(INDEX(I.Facility.P3IDNumber,3232)="","",INDEX(I.Facility.P3IDNumber,3232))</f>
        <v/>
      </c>
      <c r="G18244" s="51"/>
      <c r="H18244" s="46" t="str">
        <f>IF(AND(I.Developer.P3=TRUE,I.Facility.P3FacilityCount&gt;=3232,F18244=""),"Incomplete","Complete")</f>
        <v>Complete</v>
      </c>
      <c r="I18244" s="48" t="s">
        <v>22609</v>
      </c>
    </row>
    <row r="18245" spans="2:9" ht="15" customHeight="1" x14ac:dyDescent="0.25">
      <c r="B18245" s="55" t="s">
        <v>282</v>
      </c>
      <c r="C18245" s="46">
        <v>3233</v>
      </c>
      <c r="D18245" s="69" t="s">
        <v>29419</v>
      </c>
      <c r="E18245" s="51"/>
      <c r="F18245" s="114" t="str">
        <f>IF(INDEX(I.Facility.P3IDNumber,3233)="","",INDEX(I.Facility.P3IDNumber,3233))</f>
        <v/>
      </c>
      <c r="G18245" s="51"/>
      <c r="H18245" s="46" t="str">
        <f>IF(AND(I.Developer.P3=TRUE,I.Facility.P3FacilityCount&gt;=3233,F18245=""),"Incomplete","Complete")</f>
        <v>Complete</v>
      </c>
      <c r="I18245" s="48" t="s">
        <v>22610</v>
      </c>
    </row>
    <row r="18246" spans="2:9" ht="15" customHeight="1" x14ac:dyDescent="0.25">
      <c r="B18246" s="55" t="s">
        <v>282</v>
      </c>
      <c r="C18246" s="46">
        <v>3234</v>
      </c>
      <c r="D18246" s="69" t="s">
        <v>29419</v>
      </c>
      <c r="E18246" s="51"/>
      <c r="F18246" s="114" t="str">
        <f>IF(INDEX(I.Facility.P3IDNumber,3234)="","",INDEX(I.Facility.P3IDNumber,3234))</f>
        <v/>
      </c>
      <c r="G18246" s="51"/>
      <c r="H18246" s="46" t="str">
        <f>IF(AND(I.Developer.P3=TRUE,I.Facility.P3FacilityCount&gt;=3234,F18246=""),"Incomplete","Complete")</f>
        <v>Complete</v>
      </c>
      <c r="I18246" s="48" t="s">
        <v>22611</v>
      </c>
    </row>
    <row r="18247" spans="2:9" ht="15" customHeight="1" x14ac:dyDescent="0.25">
      <c r="B18247" s="55" t="s">
        <v>282</v>
      </c>
      <c r="C18247" s="46">
        <v>3235</v>
      </c>
      <c r="D18247" s="69" t="s">
        <v>29419</v>
      </c>
      <c r="E18247" s="51"/>
      <c r="F18247" s="114" t="str">
        <f>IF(INDEX(I.Facility.P3IDNumber,3235)="","",INDEX(I.Facility.P3IDNumber,3235))</f>
        <v/>
      </c>
      <c r="G18247" s="51"/>
      <c r="H18247" s="46" t="str">
        <f>IF(AND(I.Developer.P3=TRUE,I.Facility.P3FacilityCount&gt;=3235,F18247=""),"Incomplete","Complete")</f>
        <v>Complete</v>
      </c>
      <c r="I18247" s="48" t="s">
        <v>22612</v>
      </c>
    </row>
    <row r="18248" spans="2:9" ht="15" customHeight="1" x14ac:dyDescent="0.25">
      <c r="B18248" s="55" t="s">
        <v>282</v>
      </c>
      <c r="C18248" s="46">
        <v>3236</v>
      </c>
      <c r="D18248" s="69" t="s">
        <v>29419</v>
      </c>
      <c r="E18248" s="51"/>
      <c r="F18248" s="114" t="str">
        <f>IF(INDEX(I.Facility.P3IDNumber,3236)="","",INDEX(I.Facility.P3IDNumber,3236))</f>
        <v/>
      </c>
      <c r="G18248" s="51"/>
      <c r="H18248" s="46" t="str">
        <f>IF(AND(I.Developer.P3=TRUE,I.Facility.P3FacilityCount&gt;=3236,F18248=""),"Incomplete","Complete")</f>
        <v>Complete</v>
      </c>
      <c r="I18248" s="48" t="s">
        <v>22613</v>
      </c>
    </row>
    <row r="18249" spans="2:9" ht="15" customHeight="1" x14ac:dyDescent="0.25">
      <c r="B18249" s="55" t="s">
        <v>282</v>
      </c>
      <c r="C18249" s="46">
        <v>3237</v>
      </c>
      <c r="D18249" s="69" t="s">
        <v>29419</v>
      </c>
      <c r="E18249" s="51"/>
      <c r="F18249" s="114" t="str">
        <f>IF(INDEX(I.Facility.P3IDNumber,3237)="","",INDEX(I.Facility.P3IDNumber,3237))</f>
        <v/>
      </c>
      <c r="G18249" s="51"/>
      <c r="H18249" s="46" t="str">
        <f>IF(AND(I.Developer.P3=TRUE,I.Facility.P3FacilityCount&gt;=3237,F18249=""),"Incomplete","Complete")</f>
        <v>Complete</v>
      </c>
      <c r="I18249" s="48" t="s">
        <v>22614</v>
      </c>
    </row>
    <row r="18250" spans="2:9" ht="15" customHeight="1" x14ac:dyDescent="0.25">
      <c r="B18250" s="55" t="s">
        <v>282</v>
      </c>
      <c r="C18250" s="46">
        <v>3238</v>
      </c>
      <c r="D18250" s="69" t="s">
        <v>29419</v>
      </c>
      <c r="E18250" s="51"/>
      <c r="F18250" s="114" t="str">
        <f>IF(INDEX(I.Facility.P3IDNumber,3238)="","",INDEX(I.Facility.P3IDNumber,3238))</f>
        <v/>
      </c>
      <c r="G18250" s="51"/>
      <c r="H18250" s="46" t="str">
        <f>IF(AND(I.Developer.P3=TRUE,I.Facility.P3FacilityCount&gt;=3238,F18250=""),"Incomplete","Complete")</f>
        <v>Complete</v>
      </c>
      <c r="I18250" s="48" t="s">
        <v>22615</v>
      </c>
    </row>
    <row r="18251" spans="2:9" ht="15" customHeight="1" x14ac:dyDescent="0.25">
      <c r="B18251" s="55" t="s">
        <v>282</v>
      </c>
      <c r="C18251" s="46">
        <v>3239</v>
      </c>
      <c r="D18251" s="69" t="s">
        <v>29419</v>
      </c>
      <c r="E18251" s="51"/>
      <c r="F18251" s="114" t="str">
        <f>IF(INDEX(I.Facility.P3IDNumber,3239)="","",INDEX(I.Facility.P3IDNumber,3239))</f>
        <v/>
      </c>
      <c r="G18251" s="51"/>
      <c r="H18251" s="46" t="str">
        <f>IF(AND(I.Developer.P3=TRUE,I.Facility.P3FacilityCount&gt;=3239,F18251=""),"Incomplete","Complete")</f>
        <v>Complete</v>
      </c>
      <c r="I18251" s="48" t="s">
        <v>22616</v>
      </c>
    </row>
    <row r="18252" spans="2:9" ht="15" customHeight="1" x14ac:dyDescent="0.25">
      <c r="B18252" s="55" t="s">
        <v>282</v>
      </c>
      <c r="C18252" s="46">
        <v>3240</v>
      </c>
      <c r="D18252" s="69" t="s">
        <v>29419</v>
      </c>
      <c r="E18252" s="51"/>
      <c r="F18252" s="114" t="str">
        <f>IF(INDEX(I.Facility.P3IDNumber,3240)="","",INDEX(I.Facility.P3IDNumber,3240))</f>
        <v/>
      </c>
      <c r="G18252" s="51"/>
      <c r="H18252" s="46" t="str">
        <f>IF(AND(I.Developer.P3=TRUE,I.Facility.P3FacilityCount&gt;=3240,F18252=""),"Incomplete","Complete")</f>
        <v>Complete</v>
      </c>
      <c r="I18252" s="48" t="s">
        <v>22617</v>
      </c>
    </row>
    <row r="18253" spans="2:9" ht="15" customHeight="1" x14ac:dyDescent="0.25">
      <c r="B18253" s="55" t="s">
        <v>282</v>
      </c>
      <c r="C18253" s="46">
        <v>3241</v>
      </c>
      <c r="D18253" s="69" t="s">
        <v>29419</v>
      </c>
      <c r="E18253" s="51"/>
      <c r="F18253" s="114" t="str">
        <f>IF(INDEX(I.Facility.P3IDNumber,3241)="","",INDEX(I.Facility.P3IDNumber,3241))</f>
        <v/>
      </c>
      <c r="G18253" s="51"/>
      <c r="H18253" s="46" t="str">
        <f>IF(AND(I.Developer.P3=TRUE,I.Facility.P3FacilityCount&gt;=3241,F18253=""),"Incomplete","Complete")</f>
        <v>Complete</v>
      </c>
      <c r="I18253" s="48" t="s">
        <v>22618</v>
      </c>
    </row>
    <row r="18254" spans="2:9" ht="15" customHeight="1" x14ac:dyDescent="0.25">
      <c r="B18254" s="55" t="s">
        <v>282</v>
      </c>
      <c r="C18254" s="46">
        <v>3242</v>
      </c>
      <c r="D18254" s="69" t="s">
        <v>29419</v>
      </c>
      <c r="E18254" s="51"/>
      <c r="F18254" s="114" t="str">
        <f>IF(INDEX(I.Facility.P3IDNumber,3242)="","",INDEX(I.Facility.P3IDNumber,3242))</f>
        <v/>
      </c>
      <c r="G18254" s="51"/>
      <c r="H18254" s="46" t="str">
        <f>IF(AND(I.Developer.P3=TRUE,I.Facility.P3FacilityCount&gt;=3242,F18254=""),"Incomplete","Complete")</f>
        <v>Complete</v>
      </c>
      <c r="I18254" s="48" t="s">
        <v>22619</v>
      </c>
    </row>
    <row r="18255" spans="2:9" ht="15" customHeight="1" x14ac:dyDescent="0.25">
      <c r="B18255" s="55" t="s">
        <v>282</v>
      </c>
      <c r="C18255" s="46">
        <v>3243</v>
      </c>
      <c r="D18255" s="69" t="s">
        <v>29419</v>
      </c>
      <c r="E18255" s="51"/>
      <c r="F18255" s="114" t="str">
        <f>IF(INDEX(I.Facility.P3IDNumber,3243)="","",INDEX(I.Facility.P3IDNumber,3243))</f>
        <v/>
      </c>
      <c r="G18255" s="51"/>
      <c r="H18255" s="46" t="str">
        <f>IF(AND(I.Developer.P3=TRUE,I.Facility.P3FacilityCount&gt;=3243,F18255=""),"Incomplete","Complete")</f>
        <v>Complete</v>
      </c>
      <c r="I18255" s="48" t="s">
        <v>22620</v>
      </c>
    </row>
    <row r="18256" spans="2:9" ht="15" customHeight="1" x14ac:dyDescent="0.25">
      <c r="B18256" s="55" t="s">
        <v>282</v>
      </c>
      <c r="C18256" s="46">
        <v>3244</v>
      </c>
      <c r="D18256" s="69" t="s">
        <v>29419</v>
      </c>
      <c r="E18256" s="51"/>
      <c r="F18256" s="114" t="str">
        <f>IF(INDEX(I.Facility.P3IDNumber,3244)="","",INDEX(I.Facility.P3IDNumber,3244))</f>
        <v/>
      </c>
      <c r="G18256" s="51"/>
      <c r="H18256" s="46" t="str">
        <f>IF(AND(I.Developer.P3=TRUE,I.Facility.P3FacilityCount&gt;=3244,F18256=""),"Incomplete","Complete")</f>
        <v>Complete</v>
      </c>
      <c r="I18256" s="48" t="s">
        <v>22621</v>
      </c>
    </row>
    <row r="18257" spans="2:9" ht="15" customHeight="1" x14ac:dyDescent="0.25">
      <c r="B18257" s="55" t="s">
        <v>282</v>
      </c>
      <c r="C18257" s="46">
        <v>3245</v>
      </c>
      <c r="D18257" s="69" t="s">
        <v>29419</v>
      </c>
      <c r="E18257" s="51"/>
      <c r="F18257" s="114" t="str">
        <f>IF(INDEX(I.Facility.P3IDNumber,3245)="","",INDEX(I.Facility.P3IDNumber,3245))</f>
        <v/>
      </c>
      <c r="G18257" s="51"/>
      <c r="H18257" s="46" t="str">
        <f>IF(AND(I.Developer.P3=TRUE,I.Facility.P3FacilityCount&gt;=3245,F18257=""),"Incomplete","Complete")</f>
        <v>Complete</v>
      </c>
      <c r="I18257" s="48" t="s">
        <v>22622</v>
      </c>
    </row>
    <row r="18258" spans="2:9" ht="15" customHeight="1" x14ac:dyDescent="0.25">
      <c r="B18258" s="55" t="s">
        <v>282</v>
      </c>
      <c r="C18258" s="46">
        <v>3246</v>
      </c>
      <c r="D18258" s="69" t="s">
        <v>29419</v>
      </c>
      <c r="E18258" s="51"/>
      <c r="F18258" s="114" t="str">
        <f>IF(INDEX(I.Facility.P3IDNumber,3246)="","",INDEX(I.Facility.P3IDNumber,3246))</f>
        <v/>
      </c>
      <c r="G18258" s="51"/>
      <c r="H18258" s="46" t="str">
        <f>IF(AND(I.Developer.P3=TRUE,I.Facility.P3FacilityCount&gt;=3246,F18258=""),"Incomplete","Complete")</f>
        <v>Complete</v>
      </c>
      <c r="I18258" s="48" t="s">
        <v>22623</v>
      </c>
    </row>
    <row r="18259" spans="2:9" ht="15" customHeight="1" x14ac:dyDescent="0.25">
      <c r="B18259" s="55" t="s">
        <v>282</v>
      </c>
      <c r="C18259" s="46">
        <v>3247</v>
      </c>
      <c r="D18259" s="69" t="s">
        <v>29419</v>
      </c>
      <c r="E18259" s="51"/>
      <c r="F18259" s="114" t="str">
        <f>IF(INDEX(I.Facility.P3IDNumber,3247)="","",INDEX(I.Facility.P3IDNumber,3247))</f>
        <v/>
      </c>
      <c r="G18259" s="51"/>
      <c r="H18259" s="46" t="str">
        <f>IF(AND(I.Developer.P3=TRUE,I.Facility.P3FacilityCount&gt;=3247,F18259=""),"Incomplete","Complete")</f>
        <v>Complete</v>
      </c>
      <c r="I18259" s="48" t="s">
        <v>22624</v>
      </c>
    </row>
    <row r="18260" spans="2:9" ht="15" customHeight="1" x14ac:dyDescent="0.25">
      <c r="B18260" s="55" t="s">
        <v>282</v>
      </c>
      <c r="C18260" s="46">
        <v>3248</v>
      </c>
      <c r="D18260" s="69" t="s">
        <v>29419</v>
      </c>
      <c r="E18260" s="51"/>
      <c r="F18260" s="114" t="str">
        <f>IF(INDEX(I.Facility.P3IDNumber,3248)="","",INDEX(I.Facility.P3IDNumber,3248))</f>
        <v/>
      </c>
      <c r="G18260" s="51"/>
      <c r="H18260" s="46" t="str">
        <f>IF(AND(I.Developer.P3=TRUE,I.Facility.P3FacilityCount&gt;=3248,F18260=""),"Incomplete","Complete")</f>
        <v>Complete</v>
      </c>
      <c r="I18260" s="48" t="s">
        <v>22625</v>
      </c>
    </row>
    <row r="18261" spans="2:9" ht="15" customHeight="1" x14ac:dyDescent="0.25">
      <c r="B18261" s="55" t="s">
        <v>282</v>
      </c>
      <c r="C18261" s="46">
        <v>3249</v>
      </c>
      <c r="D18261" s="69" t="s">
        <v>29419</v>
      </c>
      <c r="E18261" s="51"/>
      <c r="F18261" s="114" t="str">
        <f>IF(INDEX(I.Facility.P3IDNumber,3249)="","",INDEX(I.Facility.P3IDNumber,3249))</f>
        <v/>
      </c>
      <c r="G18261" s="51"/>
      <c r="H18261" s="46" t="str">
        <f>IF(AND(I.Developer.P3=TRUE,I.Facility.P3FacilityCount&gt;=3249,F18261=""),"Incomplete","Complete")</f>
        <v>Complete</v>
      </c>
      <c r="I18261" s="48" t="s">
        <v>22626</v>
      </c>
    </row>
    <row r="18262" spans="2:9" ht="15" customHeight="1" x14ac:dyDescent="0.25">
      <c r="B18262" s="55" t="s">
        <v>282</v>
      </c>
      <c r="C18262" s="46">
        <v>3250</v>
      </c>
      <c r="D18262" s="69" t="s">
        <v>29419</v>
      </c>
      <c r="E18262" s="51"/>
      <c r="F18262" s="114" t="str">
        <f>IF(INDEX(I.Facility.P3IDNumber,3250)="","",INDEX(I.Facility.P3IDNumber,3250))</f>
        <v/>
      </c>
      <c r="G18262" s="51"/>
      <c r="H18262" s="46" t="str">
        <f>IF(AND(I.Developer.P3=TRUE,I.Facility.P3FacilityCount&gt;=3250,F18262=""),"Incomplete","Complete")</f>
        <v>Complete</v>
      </c>
      <c r="I18262" s="48" t="s">
        <v>22627</v>
      </c>
    </row>
    <row r="18263" spans="2:9" ht="15" customHeight="1" x14ac:dyDescent="0.25">
      <c r="B18263" s="55" t="s">
        <v>282</v>
      </c>
      <c r="C18263" s="46">
        <v>3251</v>
      </c>
      <c r="D18263" s="69" t="s">
        <v>29419</v>
      </c>
      <c r="E18263" s="51"/>
      <c r="F18263" s="114" t="str">
        <f>IF(INDEX(I.Facility.P3IDNumber,3251)="","",INDEX(I.Facility.P3IDNumber,3251))</f>
        <v/>
      </c>
      <c r="G18263" s="51"/>
      <c r="H18263" s="46" t="str">
        <f>IF(AND(I.Developer.P3=TRUE,I.Facility.P3FacilityCount&gt;=3251,F18263=""),"Incomplete","Complete")</f>
        <v>Complete</v>
      </c>
      <c r="I18263" s="48" t="s">
        <v>22628</v>
      </c>
    </row>
    <row r="18264" spans="2:9" ht="15" customHeight="1" x14ac:dyDescent="0.25">
      <c r="B18264" s="55" t="s">
        <v>282</v>
      </c>
      <c r="C18264" s="46">
        <v>3252</v>
      </c>
      <c r="D18264" s="69" t="s">
        <v>29419</v>
      </c>
      <c r="E18264" s="51"/>
      <c r="F18264" s="114" t="str">
        <f>IF(INDEX(I.Facility.P3IDNumber,3252)="","",INDEX(I.Facility.P3IDNumber,3252))</f>
        <v/>
      </c>
      <c r="G18264" s="51"/>
      <c r="H18264" s="46" t="str">
        <f>IF(AND(I.Developer.P3=TRUE,I.Facility.P3FacilityCount&gt;=3252,F18264=""),"Incomplete","Complete")</f>
        <v>Complete</v>
      </c>
      <c r="I18264" s="48" t="s">
        <v>22629</v>
      </c>
    </row>
    <row r="18265" spans="2:9" ht="15" customHeight="1" x14ac:dyDescent="0.25">
      <c r="B18265" s="55" t="s">
        <v>282</v>
      </c>
      <c r="C18265" s="46">
        <v>3253</v>
      </c>
      <c r="D18265" s="69" t="s">
        <v>29419</v>
      </c>
      <c r="E18265" s="51"/>
      <c r="F18265" s="114" t="str">
        <f>IF(INDEX(I.Facility.P3IDNumber,3253)="","",INDEX(I.Facility.P3IDNumber,3253))</f>
        <v/>
      </c>
      <c r="G18265" s="51"/>
      <c r="H18265" s="46" t="str">
        <f>IF(AND(I.Developer.P3=TRUE,I.Facility.P3FacilityCount&gt;=3253,F18265=""),"Incomplete","Complete")</f>
        <v>Complete</v>
      </c>
      <c r="I18265" s="48" t="s">
        <v>22630</v>
      </c>
    </row>
    <row r="18266" spans="2:9" ht="15" customHeight="1" x14ac:dyDescent="0.25">
      <c r="B18266" s="55" t="s">
        <v>282</v>
      </c>
      <c r="C18266" s="46">
        <v>3254</v>
      </c>
      <c r="D18266" s="69" t="s">
        <v>29419</v>
      </c>
      <c r="E18266" s="51"/>
      <c r="F18266" s="114" t="str">
        <f>IF(INDEX(I.Facility.P3IDNumber,3254)="","",INDEX(I.Facility.P3IDNumber,3254))</f>
        <v/>
      </c>
      <c r="G18266" s="51"/>
      <c r="H18266" s="46" t="str">
        <f>IF(AND(I.Developer.P3=TRUE,I.Facility.P3FacilityCount&gt;=3254,F18266=""),"Incomplete","Complete")</f>
        <v>Complete</v>
      </c>
      <c r="I18266" s="48" t="s">
        <v>22631</v>
      </c>
    </row>
    <row r="18267" spans="2:9" ht="15" customHeight="1" x14ac:dyDescent="0.25">
      <c r="B18267" s="55" t="s">
        <v>282</v>
      </c>
      <c r="C18267" s="46">
        <v>3255</v>
      </c>
      <c r="D18267" s="69" t="s">
        <v>29419</v>
      </c>
      <c r="E18267" s="51"/>
      <c r="F18267" s="114" t="str">
        <f>IF(INDEX(I.Facility.P3IDNumber,3255)="","",INDEX(I.Facility.P3IDNumber,3255))</f>
        <v/>
      </c>
      <c r="G18267" s="51"/>
      <c r="H18267" s="46" t="str">
        <f>IF(AND(I.Developer.P3=TRUE,I.Facility.P3FacilityCount&gt;=3255,F18267=""),"Incomplete","Complete")</f>
        <v>Complete</v>
      </c>
      <c r="I18267" s="48" t="s">
        <v>22632</v>
      </c>
    </row>
    <row r="18268" spans="2:9" ht="15" customHeight="1" x14ac:dyDescent="0.25">
      <c r="B18268" s="55" t="s">
        <v>282</v>
      </c>
      <c r="C18268" s="46">
        <v>3256</v>
      </c>
      <c r="D18268" s="69" t="s">
        <v>29419</v>
      </c>
      <c r="E18268" s="51"/>
      <c r="F18268" s="114" t="str">
        <f>IF(INDEX(I.Facility.P3IDNumber,3256)="","",INDEX(I.Facility.P3IDNumber,3256))</f>
        <v/>
      </c>
      <c r="G18268" s="51"/>
      <c r="H18268" s="46" t="str">
        <f>IF(AND(I.Developer.P3=TRUE,I.Facility.P3FacilityCount&gt;=3256,F18268=""),"Incomplete","Complete")</f>
        <v>Complete</v>
      </c>
      <c r="I18268" s="48" t="s">
        <v>22633</v>
      </c>
    </row>
    <row r="18269" spans="2:9" ht="15" customHeight="1" x14ac:dyDescent="0.25">
      <c r="B18269" s="55" t="s">
        <v>282</v>
      </c>
      <c r="C18269" s="46">
        <v>3257</v>
      </c>
      <c r="D18269" s="69" t="s">
        <v>29419</v>
      </c>
      <c r="E18269" s="51"/>
      <c r="F18269" s="114" t="str">
        <f>IF(INDEX(I.Facility.P3IDNumber,3257)="","",INDEX(I.Facility.P3IDNumber,3257))</f>
        <v/>
      </c>
      <c r="G18269" s="51"/>
      <c r="H18269" s="46" t="str">
        <f>IF(AND(I.Developer.P3=TRUE,I.Facility.P3FacilityCount&gt;=3257,F18269=""),"Incomplete","Complete")</f>
        <v>Complete</v>
      </c>
      <c r="I18269" s="48" t="s">
        <v>22634</v>
      </c>
    </row>
    <row r="18270" spans="2:9" ht="15" customHeight="1" x14ac:dyDescent="0.25">
      <c r="B18270" s="55" t="s">
        <v>282</v>
      </c>
      <c r="C18270" s="46">
        <v>3258</v>
      </c>
      <c r="D18270" s="69" t="s">
        <v>29419</v>
      </c>
      <c r="E18270" s="51"/>
      <c r="F18270" s="114" t="str">
        <f>IF(INDEX(I.Facility.P3IDNumber,3258)="","",INDEX(I.Facility.P3IDNumber,3258))</f>
        <v/>
      </c>
      <c r="G18270" s="51"/>
      <c r="H18270" s="46" t="str">
        <f>IF(AND(I.Developer.P3=TRUE,I.Facility.P3FacilityCount&gt;=3258,F18270=""),"Incomplete","Complete")</f>
        <v>Complete</v>
      </c>
      <c r="I18270" s="48" t="s">
        <v>22635</v>
      </c>
    </row>
    <row r="18271" spans="2:9" ht="15" customHeight="1" x14ac:dyDescent="0.25">
      <c r="B18271" s="55" t="s">
        <v>282</v>
      </c>
      <c r="C18271" s="46">
        <v>3259</v>
      </c>
      <c r="D18271" s="69" t="s">
        <v>29419</v>
      </c>
      <c r="E18271" s="51"/>
      <c r="F18271" s="114" t="str">
        <f>IF(INDEX(I.Facility.P3IDNumber,3259)="","",INDEX(I.Facility.P3IDNumber,3259))</f>
        <v/>
      </c>
      <c r="G18271" s="51"/>
      <c r="H18271" s="46" t="str">
        <f>IF(AND(I.Developer.P3=TRUE,I.Facility.P3FacilityCount&gt;=3259,F18271=""),"Incomplete","Complete")</f>
        <v>Complete</v>
      </c>
      <c r="I18271" s="48" t="s">
        <v>22636</v>
      </c>
    </row>
    <row r="18272" spans="2:9" ht="15" customHeight="1" x14ac:dyDescent="0.25">
      <c r="B18272" s="55" t="s">
        <v>282</v>
      </c>
      <c r="C18272" s="46">
        <v>3260</v>
      </c>
      <c r="D18272" s="69" t="s">
        <v>29419</v>
      </c>
      <c r="E18272" s="51"/>
      <c r="F18272" s="114" t="str">
        <f>IF(INDEX(I.Facility.P3IDNumber,3260)="","",INDEX(I.Facility.P3IDNumber,3260))</f>
        <v/>
      </c>
      <c r="G18272" s="51"/>
      <c r="H18272" s="46" t="str">
        <f>IF(AND(I.Developer.P3=TRUE,I.Facility.P3FacilityCount&gt;=3260,F18272=""),"Incomplete","Complete")</f>
        <v>Complete</v>
      </c>
      <c r="I18272" s="48" t="s">
        <v>22637</v>
      </c>
    </row>
    <row r="18273" spans="2:9" ht="15" customHeight="1" x14ac:dyDescent="0.25">
      <c r="B18273" s="55" t="s">
        <v>282</v>
      </c>
      <c r="C18273" s="46">
        <v>3261</v>
      </c>
      <c r="D18273" s="69" t="s">
        <v>29419</v>
      </c>
      <c r="E18273" s="51"/>
      <c r="F18273" s="114" t="str">
        <f>IF(INDEX(I.Facility.P3IDNumber,3261)="","",INDEX(I.Facility.P3IDNumber,3261))</f>
        <v/>
      </c>
      <c r="G18273" s="51"/>
      <c r="H18273" s="46" t="str">
        <f>IF(AND(I.Developer.P3=TRUE,I.Facility.P3FacilityCount&gt;=3261,F18273=""),"Incomplete","Complete")</f>
        <v>Complete</v>
      </c>
      <c r="I18273" s="48" t="s">
        <v>22638</v>
      </c>
    </row>
    <row r="18274" spans="2:9" ht="15" customHeight="1" x14ac:dyDescent="0.25">
      <c r="B18274" s="55" t="s">
        <v>282</v>
      </c>
      <c r="C18274" s="46">
        <v>3262</v>
      </c>
      <c r="D18274" s="69" t="s">
        <v>29419</v>
      </c>
      <c r="E18274" s="51"/>
      <c r="F18274" s="114" t="str">
        <f>IF(INDEX(I.Facility.P3IDNumber,3262)="","",INDEX(I.Facility.P3IDNumber,3262))</f>
        <v/>
      </c>
      <c r="G18274" s="51"/>
      <c r="H18274" s="46" t="str">
        <f>IF(AND(I.Developer.P3=TRUE,I.Facility.P3FacilityCount&gt;=3262,F18274=""),"Incomplete","Complete")</f>
        <v>Complete</v>
      </c>
      <c r="I18274" s="48" t="s">
        <v>22639</v>
      </c>
    </row>
    <row r="18275" spans="2:9" ht="15" customHeight="1" x14ac:dyDescent="0.25">
      <c r="B18275" s="55" t="s">
        <v>282</v>
      </c>
      <c r="C18275" s="46">
        <v>3263</v>
      </c>
      <c r="D18275" s="69" t="s">
        <v>29419</v>
      </c>
      <c r="E18275" s="51"/>
      <c r="F18275" s="114" t="str">
        <f>IF(INDEX(I.Facility.P3IDNumber,3263)="","",INDEX(I.Facility.P3IDNumber,3263))</f>
        <v/>
      </c>
      <c r="G18275" s="51"/>
      <c r="H18275" s="46" t="str">
        <f>IF(AND(I.Developer.P3=TRUE,I.Facility.P3FacilityCount&gt;=3263,F18275=""),"Incomplete","Complete")</f>
        <v>Complete</v>
      </c>
      <c r="I18275" s="48" t="s">
        <v>22640</v>
      </c>
    </row>
    <row r="18276" spans="2:9" ht="15" customHeight="1" x14ac:dyDescent="0.25">
      <c r="B18276" s="55" t="s">
        <v>282</v>
      </c>
      <c r="C18276" s="46">
        <v>3264</v>
      </c>
      <c r="D18276" s="69" t="s">
        <v>29419</v>
      </c>
      <c r="E18276" s="51"/>
      <c r="F18276" s="114" t="str">
        <f>IF(INDEX(I.Facility.P3IDNumber,3264)="","",INDEX(I.Facility.P3IDNumber,3264))</f>
        <v/>
      </c>
      <c r="G18276" s="51"/>
      <c r="H18276" s="46" t="str">
        <f>IF(AND(I.Developer.P3=TRUE,I.Facility.P3FacilityCount&gt;=3264,F18276=""),"Incomplete","Complete")</f>
        <v>Complete</v>
      </c>
      <c r="I18276" s="48" t="s">
        <v>22641</v>
      </c>
    </row>
    <row r="18277" spans="2:9" ht="15" customHeight="1" x14ac:dyDescent="0.25">
      <c r="B18277" s="55" t="s">
        <v>282</v>
      </c>
      <c r="C18277" s="46">
        <v>3265</v>
      </c>
      <c r="D18277" s="69" t="s">
        <v>29419</v>
      </c>
      <c r="E18277" s="51"/>
      <c r="F18277" s="114" t="str">
        <f>IF(INDEX(I.Facility.P3IDNumber,3265)="","",INDEX(I.Facility.P3IDNumber,3265))</f>
        <v/>
      </c>
      <c r="G18277" s="51"/>
      <c r="H18277" s="46" t="str">
        <f>IF(AND(I.Developer.P3=TRUE,I.Facility.P3FacilityCount&gt;=3265,F18277=""),"Incomplete","Complete")</f>
        <v>Complete</v>
      </c>
      <c r="I18277" s="48" t="s">
        <v>22642</v>
      </c>
    </row>
    <row r="18278" spans="2:9" ht="15" customHeight="1" x14ac:dyDescent="0.25">
      <c r="B18278" s="55" t="s">
        <v>282</v>
      </c>
      <c r="C18278" s="46">
        <v>3266</v>
      </c>
      <c r="D18278" s="69" t="s">
        <v>29419</v>
      </c>
      <c r="E18278" s="51"/>
      <c r="F18278" s="114" t="str">
        <f>IF(INDEX(I.Facility.P3IDNumber,3266)="","",INDEX(I.Facility.P3IDNumber,3266))</f>
        <v/>
      </c>
      <c r="G18278" s="51"/>
      <c r="H18278" s="46" t="str">
        <f>IF(AND(I.Developer.P3=TRUE,I.Facility.P3FacilityCount&gt;=3266,F18278=""),"Incomplete","Complete")</f>
        <v>Complete</v>
      </c>
      <c r="I18278" s="48" t="s">
        <v>22643</v>
      </c>
    </row>
    <row r="18279" spans="2:9" ht="15" customHeight="1" x14ac:dyDescent="0.25">
      <c r="B18279" s="55" t="s">
        <v>282</v>
      </c>
      <c r="C18279" s="46">
        <v>3267</v>
      </c>
      <c r="D18279" s="69" t="s">
        <v>29419</v>
      </c>
      <c r="E18279" s="51"/>
      <c r="F18279" s="114" t="str">
        <f>IF(INDEX(I.Facility.P3IDNumber,3267)="","",INDEX(I.Facility.P3IDNumber,3267))</f>
        <v/>
      </c>
      <c r="G18279" s="51"/>
      <c r="H18279" s="46" t="str">
        <f>IF(AND(I.Developer.P3=TRUE,I.Facility.P3FacilityCount&gt;=3267,F18279=""),"Incomplete","Complete")</f>
        <v>Complete</v>
      </c>
      <c r="I18279" s="48" t="s">
        <v>22644</v>
      </c>
    </row>
    <row r="18280" spans="2:9" ht="15" customHeight="1" x14ac:dyDescent="0.25">
      <c r="B18280" s="55" t="s">
        <v>282</v>
      </c>
      <c r="C18280" s="46">
        <v>3268</v>
      </c>
      <c r="D18280" s="69" t="s">
        <v>29419</v>
      </c>
      <c r="E18280" s="51"/>
      <c r="F18280" s="114" t="str">
        <f>IF(INDEX(I.Facility.P3IDNumber,3268)="","",INDEX(I.Facility.P3IDNumber,3268))</f>
        <v/>
      </c>
      <c r="G18280" s="51"/>
      <c r="H18280" s="46" t="str">
        <f>IF(AND(I.Developer.P3=TRUE,I.Facility.P3FacilityCount&gt;=3268,F18280=""),"Incomplete","Complete")</f>
        <v>Complete</v>
      </c>
      <c r="I18280" s="48" t="s">
        <v>22645</v>
      </c>
    </row>
    <row r="18281" spans="2:9" ht="15" customHeight="1" x14ac:dyDescent="0.25">
      <c r="B18281" s="55" t="s">
        <v>282</v>
      </c>
      <c r="C18281" s="46">
        <v>3269</v>
      </c>
      <c r="D18281" s="69" t="s">
        <v>29419</v>
      </c>
      <c r="E18281" s="51"/>
      <c r="F18281" s="114" t="str">
        <f>IF(INDEX(I.Facility.P3IDNumber,3269)="","",INDEX(I.Facility.P3IDNumber,3269))</f>
        <v/>
      </c>
      <c r="G18281" s="51"/>
      <c r="H18281" s="46" t="str">
        <f>IF(AND(I.Developer.P3=TRUE,I.Facility.P3FacilityCount&gt;=3269,F18281=""),"Incomplete","Complete")</f>
        <v>Complete</v>
      </c>
      <c r="I18281" s="48" t="s">
        <v>22646</v>
      </c>
    </row>
    <row r="18282" spans="2:9" ht="15" customHeight="1" x14ac:dyDescent="0.25">
      <c r="B18282" s="55" t="s">
        <v>282</v>
      </c>
      <c r="C18282" s="46">
        <v>3270</v>
      </c>
      <c r="D18282" s="69" t="s">
        <v>29419</v>
      </c>
      <c r="E18282" s="51"/>
      <c r="F18282" s="114" t="str">
        <f>IF(INDEX(I.Facility.P3IDNumber,3270)="","",INDEX(I.Facility.P3IDNumber,3270))</f>
        <v/>
      </c>
      <c r="G18282" s="51"/>
      <c r="H18282" s="46" t="str">
        <f>IF(AND(I.Developer.P3=TRUE,I.Facility.P3FacilityCount&gt;=3270,F18282=""),"Incomplete","Complete")</f>
        <v>Complete</v>
      </c>
      <c r="I18282" s="48" t="s">
        <v>22647</v>
      </c>
    </row>
    <row r="18283" spans="2:9" ht="15" customHeight="1" x14ac:dyDescent="0.25">
      <c r="B18283" s="55" t="s">
        <v>282</v>
      </c>
      <c r="C18283" s="46">
        <v>3271</v>
      </c>
      <c r="D18283" s="69" t="s">
        <v>29419</v>
      </c>
      <c r="E18283" s="51"/>
      <c r="F18283" s="114" t="str">
        <f>IF(INDEX(I.Facility.P3IDNumber,3271)="","",INDEX(I.Facility.P3IDNumber,3271))</f>
        <v/>
      </c>
      <c r="G18283" s="51"/>
      <c r="H18283" s="46" t="str">
        <f>IF(AND(I.Developer.P3=TRUE,I.Facility.P3FacilityCount&gt;=3271,F18283=""),"Incomplete","Complete")</f>
        <v>Complete</v>
      </c>
      <c r="I18283" s="48" t="s">
        <v>22648</v>
      </c>
    </row>
    <row r="18284" spans="2:9" ht="15" customHeight="1" x14ac:dyDescent="0.25">
      <c r="B18284" s="55" t="s">
        <v>282</v>
      </c>
      <c r="C18284" s="46">
        <v>3272</v>
      </c>
      <c r="D18284" s="69" t="s">
        <v>29419</v>
      </c>
      <c r="E18284" s="51"/>
      <c r="F18284" s="114" t="str">
        <f>IF(INDEX(I.Facility.P3IDNumber,3272)="","",INDEX(I.Facility.P3IDNumber,3272))</f>
        <v/>
      </c>
      <c r="G18284" s="51"/>
      <c r="H18284" s="46" t="str">
        <f>IF(AND(I.Developer.P3=TRUE,I.Facility.P3FacilityCount&gt;=3272,F18284=""),"Incomplete","Complete")</f>
        <v>Complete</v>
      </c>
      <c r="I18284" s="48" t="s">
        <v>22649</v>
      </c>
    </row>
    <row r="18285" spans="2:9" ht="15" customHeight="1" x14ac:dyDescent="0.25">
      <c r="B18285" s="55" t="s">
        <v>282</v>
      </c>
      <c r="C18285" s="46">
        <v>3273</v>
      </c>
      <c r="D18285" s="69" t="s">
        <v>29419</v>
      </c>
      <c r="E18285" s="51"/>
      <c r="F18285" s="114" t="str">
        <f>IF(INDEX(I.Facility.P3IDNumber,3273)="","",INDEX(I.Facility.P3IDNumber,3273))</f>
        <v/>
      </c>
      <c r="G18285" s="51"/>
      <c r="H18285" s="46" t="str">
        <f>IF(AND(I.Developer.P3=TRUE,I.Facility.P3FacilityCount&gt;=3273,F18285=""),"Incomplete","Complete")</f>
        <v>Complete</v>
      </c>
      <c r="I18285" s="48" t="s">
        <v>22650</v>
      </c>
    </row>
    <row r="18286" spans="2:9" ht="15" customHeight="1" x14ac:dyDescent="0.25">
      <c r="B18286" s="55" t="s">
        <v>282</v>
      </c>
      <c r="C18286" s="46">
        <v>3274</v>
      </c>
      <c r="D18286" s="69" t="s">
        <v>29419</v>
      </c>
      <c r="E18286" s="51"/>
      <c r="F18286" s="114" t="str">
        <f>IF(INDEX(I.Facility.P3IDNumber,3274)="","",INDEX(I.Facility.P3IDNumber,3274))</f>
        <v/>
      </c>
      <c r="G18286" s="51"/>
      <c r="H18286" s="46" t="str">
        <f>IF(AND(I.Developer.P3=TRUE,I.Facility.P3FacilityCount&gt;=3274,F18286=""),"Incomplete","Complete")</f>
        <v>Complete</v>
      </c>
      <c r="I18286" s="48" t="s">
        <v>22651</v>
      </c>
    </row>
    <row r="18287" spans="2:9" ht="15" customHeight="1" x14ac:dyDescent="0.25">
      <c r="B18287" s="55" t="s">
        <v>282</v>
      </c>
      <c r="C18287" s="46">
        <v>3275</v>
      </c>
      <c r="D18287" s="69" t="s">
        <v>29419</v>
      </c>
      <c r="E18287" s="51"/>
      <c r="F18287" s="114" t="str">
        <f>IF(INDEX(I.Facility.P3IDNumber,3275)="","",INDEX(I.Facility.P3IDNumber,3275))</f>
        <v/>
      </c>
      <c r="G18287" s="51"/>
      <c r="H18287" s="46" t="str">
        <f>IF(AND(I.Developer.P3=TRUE,I.Facility.P3FacilityCount&gt;=3275,F18287=""),"Incomplete","Complete")</f>
        <v>Complete</v>
      </c>
      <c r="I18287" s="48" t="s">
        <v>22652</v>
      </c>
    </row>
    <row r="18288" spans="2:9" ht="15" customHeight="1" x14ac:dyDescent="0.25">
      <c r="B18288" s="55" t="s">
        <v>282</v>
      </c>
      <c r="C18288" s="46">
        <v>3276</v>
      </c>
      <c r="D18288" s="69" t="s">
        <v>29419</v>
      </c>
      <c r="E18288" s="51"/>
      <c r="F18288" s="114" t="str">
        <f>IF(INDEX(I.Facility.P3IDNumber,3276)="","",INDEX(I.Facility.P3IDNumber,3276))</f>
        <v/>
      </c>
      <c r="G18288" s="51"/>
      <c r="H18288" s="46" t="str">
        <f>IF(AND(I.Developer.P3=TRUE,I.Facility.P3FacilityCount&gt;=3276,F18288=""),"Incomplete","Complete")</f>
        <v>Complete</v>
      </c>
      <c r="I18288" s="48" t="s">
        <v>22653</v>
      </c>
    </row>
    <row r="18289" spans="2:9" ht="15" customHeight="1" x14ac:dyDescent="0.25">
      <c r="B18289" s="55" t="s">
        <v>282</v>
      </c>
      <c r="C18289" s="46">
        <v>3277</v>
      </c>
      <c r="D18289" s="69" t="s">
        <v>29419</v>
      </c>
      <c r="E18289" s="51"/>
      <c r="F18289" s="114" t="str">
        <f>IF(INDEX(I.Facility.P3IDNumber,3277)="","",INDEX(I.Facility.P3IDNumber,3277))</f>
        <v/>
      </c>
      <c r="G18289" s="51"/>
      <c r="H18289" s="46" t="str">
        <f>IF(AND(I.Developer.P3=TRUE,I.Facility.P3FacilityCount&gt;=3277,F18289=""),"Incomplete","Complete")</f>
        <v>Complete</v>
      </c>
      <c r="I18289" s="48" t="s">
        <v>22654</v>
      </c>
    </row>
    <row r="18290" spans="2:9" ht="15" customHeight="1" x14ac:dyDescent="0.25">
      <c r="B18290" s="55" t="s">
        <v>282</v>
      </c>
      <c r="C18290" s="46">
        <v>3278</v>
      </c>
      <c r="D18290" s="69" t="s">
        <v>29419</v>
      </c>
      <c r="E18290" s="51"/>
      <c r="F18290" s="114" t="str">
        <f>IF(INDEX(I.Facility.P3IDNumber,3278)="","",INDEX(I.Facility.P3IDNumber,3278))</f>
        <v/>
      </c>
      <c r="G18290" s="51"/>
      <c r="H18290" s="46" t="str">
        <f>IF(AND(I.Developer.P3=TRUE,I.Facility.P3FacilityCount&gt;=3278,F18290=""),"Incomplete","Complete")</f>
        <v>Complete</v>
      </c>
      <c r="I18290" s="48" t="s">
        <v>22655</v>
      </c>
    </row>
    <row r="18291" spans="2:9" ht="15" customHeight="1" x14ac:dyDescent="0.25">
      <c r="B18291" s="55" t="s">
        <v>282</v>
      </c>
      <c r="C18291" s="46">
        <v>3279</v>
      </c>
      <c r="D18291" s="69" t="s">
        <v>29419</v>
      </c>
      <c r="E18291" s="51"/>
      <c r="F18291" s="114" t="str">
        <f>IF(INDEX(I.Facility.P3IDNumber,3279)="","",INDEX(I.Facility.P3IDNumber,3279))</f>
        <v/>
      </c>
      <c r="G18291" s="51"/>
      <c r="H18291" s="46" t="str">
        <f>IF(AND(I.Developer.P3=TRUE,I.Facility.P3FacilityCount&gt;=3279,F18291=""),"Incomplete","Complete")</f>
        <v>Complete</v>
      </c>
      <c r="I18291" s="48" t="s">
        <v>22656</v>
      </c>
    </row>
    <row r="18292" spans="2:9" ht="15" customHeight="1" x14ac:dyDescent="0.25">
      <c r="B18292" s="55" t="s">
        <v>282</v>
      </c>
      <c r="C18292" s="46">
        <v>3280</v>
      </c>
      <c r="D18292" s="69" t="s">
        <v>29419</v>
      </c>
      <c r="E18292" s="51"/>
      <c r="F18292" s="114" t="str">
        <f>IF(INDEX(I.Facility.P3IDNumber,3280)="","",INDEX(I.Facility.P3IDNumber,3280))</f>
        <v/>
      </c>
      <c r="G18292" s="51"/>
      <c r="H18292" s="46" t="str">
        <f>IF(AND(I.Developer.P3=TRUE,I.Facility.P3FacilityCount&gt;=3280,F18292=""),"Incomplete","Complete")</f>
        <v>Complete</v>
      </c>
      <c r="I18292" s="48" t="s">
        <v>22657</v>
      </c>
    </row>
    <row r="18293" spans="2:9" ht="15" customHeight="1" x14ac:dyDescent="0.25">
      <c r="B18293" s="55" t="s">
        <v>282</v>
      </c>
      <c r="C18293" s="46">
        <v>3281</v>
      </c>
      <c r="D18293" s="69" t="s">
        <v>29419</v>
      </c>
      <c r="E18293" s="51"/>
      <c r="F18293" s="114" t="str">
        <f>IF(INDEX(I.Facility.P3IDNumber,3281)="","",INDEX(I.Facility.P3IDNumber,3281))</f>
        <v/>
      </c>
      <c r="G18293" s="51"/>
      <c r="H18293" s="46" t="str">
        <f>IF(AND(I.Developer.P3=TRUE,I.Facility.P3FacilityCount&gt;=3281,F18293=""),"Incomplete","Complete")</f>
        <v>Complete</v>
      </c>
      <c r="I18293" s="48" t="s">
        <v>22658</v>
      </c>
    </row>
    <row r="18294" spans="2:9" ht="15" customHeight="1" x14ac:dyDescent="0.25">
      <c r="B18294" s="55" t="s">
        <v>282</v>
      </c>
      <c r="C18294" s="46">
        <v>3282</v>
      </c>
      <c r="D18294" s="69" t="s">
        <v>29419</v>
      </c>
      <c r="E18294" s="51"/>
      <c r="F18294" s="114" t="str">
        <f>IF(INDEX(I.Facility.P3IDNumber,3282)="","",INDEX(I.Facility.P3IDNumber,3282))</f>
        <v/>
      </c>
      <c r="G18294" s="51"/>
      <c r="H18294" s="46" t="str">
        <f>IF(AND(I.Developer.P3=TRUE,I.Facility.P3FacilityCount&gt;=3282,F18294=""),"Incomplete","Complete")</f>
        <v>Complete</v>
      </c>
      <c r="I18294" s="48" t="s">
        <v>22659</v>
      </c>
    </row>
    <row r="18295" spans="2:9" ht="15" customHeight="1" x14ac:dyDescent="0.25">
      <c r="B18295" s="55" t="s">
        <v>282</v>
      </c>
      <c r="C18295" s="46">
        <v>3283</v>
      </c>
      <c r="D18295" s="69" t="s">
        <v>29419</v>
      </c>
      <c r="E18295" s="51"/>
      <c r="F18295" s="114" t="str">
        <f>IF(INDEX(I.Facility.P3IDNumber,3283)="","",INDEX(I.Facility.P3IDNumber,3283))</f>
        <v/>
      </c>
      <c r="G18295" s="51"/>
      <c r="H18295" s="46" t="str">
        <f>IF(AND(I.Developer.P3=TRUE,I.Facility.P3FacilityCount&gt;=3283,F18295=""),"Incomplete","Complete")</f>
        <v>Complete</v>
      </c>
      <c r="I18295" s="48" t="s">
        <v>22660</v>
      </c>
    </row>
    <row r="18296" spans="2:9" ht="15" customHeight="1" x14ac:dyDescent="0.25">
      <c r="B18296" s="55" t="s">
        <v>282</v>
      </c>
      <c r="C18296" s="46">
        <v>3284</v>
      </c>
      <c r="D18296" s="69" t="s">
        <v>29419</v>
      </c>
      <c r="E18296" s="51"/>
      <c r="F18296" s="114" t="str">
        <f>IF(INDEX(I.Facility.P3IDNumber,3284)="","",INDEX(I.Facility.P3IDNumber,3284))</f>
        <v/>
      </c>
      <c r="G18296" s="51"/>
      <c r="H18296" s="46" t="str">
        <f>IF(AND(I.Developer.P3=TRUE,I.Facility.P3FacilityCount&gt;=3284,F18296=""),"Incomplete","Complete")</f>
        <v>Complete</v>
      </c>
      <c r="I18296" s="48" t="s">
        <v>22661</v>
      </c>
    </row>
    <row r="18297" spans="2:9" ht="15" customHeight="1" x14ac:dyDescent="0.25">
      <c r="B18297" s="55" t="s">
        <v>282</v>
      </c>
      <c r="C18297" s="46">
        <v>3285</v>
      </c>
      <c r="D18297" s="69" t="s">
        <v>29419</v>
      </c>
      <c r="E18297" s="51"/>
      <c r="F18297" s="114" t="str">
        <f>IF(INDEX(I.Facility.P3IDNumber,3285)="","",INDEX(I.Facility.P3IDNumber,3285))</f>
        <v/>
      </c>
      <c r="G18297" s="51"/>
      <c r="H18297" s="46" t="str">
        <f>IF(AND(I.Developer.P3=TRUE,I.Facility.P3FacilityCount&gt;=3285,F18297=""),"Incomplete","Complete")</f>
        <v>Complete</v>
      </c>
      <c r="I18297" s="48" t="s">
        <v>22662</v>
      </c>
    </row>
    <row r="18298" spans="2:9" ht="15" customHeight="1" x14ac:dyDescent="0.25">
      <c r="B18298" s="55" t="s">
        <v>282</v>
      </c>
      <c r="C18298" s="46">
        <v>3286</v>
      </c>
      <c r="D18298" s="69" t="s">
        <v>29419</v>
      </c>
      <c r="E18298" s="51"/>
      <c r="F18298" s="114" t="str">
        <f>IF(INDEX(I.Facility.P3IDNumber,3286)="","",INDEX(I.Facility.P3IDNumber,3286))</f>
        <v/>
      </c>
      <c r="G18298" s="51"/>
      <c r="H18298" s="46" t="str">
        <f>IF(AND(I.Developer.P3=TRUE,I.Facility.P3FacilityCount&gt;=3286,F18298=""),"Incomplete","Complete")</f>
        <v>Complete</v>
      </c>
      <c r="I18298" s="48" t="s">
        <v>22663</v>
      </c>
    </row>
    <row r="18299" spans="2:9" ht="15" customHeight="1" x14ac:dyDescent="0.25">
      <c r="B18299" s="55" t="s">
        <v>282</v>
      </c>
      <c r="C18299" s="46">
        <v>3287</v>
      </c>
      <c r="D18299" s="69" t="s">
        <v>29419</v>
      </c>
      <c r="E18299" s="51"/>
      <c r="F18299" s="114" t="str">
        <f>IF(INDEX(I.Facility.P3IDNumber,3287)="","",INDEX(I.Facility.P3IDNumber,3287))</f>
        <v/>
      </c>
      <c r="G18299" s="51"/>
      <c r="H18299" s="46" t="str">
        <f>IF(AND(I.Developer.P3=TRUE,I.Facility.P3FacilityCount&gt;=3287,F18299=""),"Incomplete","Complete")</f>
        <v>Complete</v>
      </c>
      <c r="I18299" s="48" t="s">
        <v>22664</v>
      </c>
    </row>
    <row r="18300" spans="2:9" ht="15" customHeight="1" x14ac:dyDescent="0.25">
      <c r="B18300" s="55" t="s">
        <v>282</v>
      </c>
      <c r="C18300" s="46">
        <v>3288</v>
      </c>
      <c r="D18300" s="69" t="s">
        <v>29419</v>
      </c>
      <c r="E18300" s="51"/>
      <c r="F18300" s="114" t="str">
        <f>IF(INDEX(I.Facility.P3IDNumber,3288)="","",INDEX(I.Facility.P3IDNumber,3288))</f>
        <v/>
      </c>
      <c r="G18300" s="51"/>
      <c r="H18300" s="46" t="str">
        <f>IF(AND(I.Developer.P3=TRUE,I.Facility.P3FacilityCount&gt;=3288,F18300=""),"Incomplete","Complete")</f>
        <v>Complete</v>
      </c>
      <c r="I18300" s="48" t="s">
        <v>22665</v>
      </c>
    </row>
    <row r="18301" spans="2:9" ht="15" customHeight="1" x14ac:dyDescent="0.25">
      <c r="B18301" s="55" t="s">
        <v>282</v>
      </c>
      <c r="C18301" s="46">
        <v>3289</v>
      </c>
      <c r="D18301" s="69" t="s">
        <v>29419</v>
      </c>
      <c r="E18301" s="51"/>
      <c r="F18301" s="114" t="str">
        <f>IF(INDEX(I.Facility.P3IDNumber,3289)="","",INDEX(I.Facility.P3IDNumber,3289))</f>
        <v/>
      </c>
      <c r="G18301" s="51"/>
      <c r="H18301" s="46" t="str">
        <f>IF(AND(I.Developer.P3=TRUE,I.Facility.P3FacilityCount&gt;=3289,F18301=""),"Incomplete","Complete")</f>
        <v>Complete</v>
      </c>
      <c r="I18301" s="48" t="s">
        <v>22666</v>
      </c>
    </row>
    <row r="18302" spans="2:9" ht="15" customHeight="1" x14ac:dyDescent="0.25">
      <c r="B18302" s="55" t="s">
        <v>282</v>
      </c>
      <c r="C18302" s="46">
        <v>3290</v>
      </c>
      <c r="D18302" s="69" t="s">
        <v>29419</v>
      </c>
      <c r="E18302" s="51"/>
      <c r="F18302" s="114" t="str">
        <f>IF(INDEX(I.Facility.P3IDNumber,3290)="","",INDEX(I.Facility.P3IDNumber,3290))</f>
        <v/>
      </c>
      <c r="G18302" s="51"/>
      <c r="H18302" s="46" t="str">
        <f>IF(AND(I.Developer.P3=TRUE,I.Facility.P3FacilityCount&gt;=3290,F18302=""),"Incomplete","Complete")</f>
        <v>Complete</v>
      </c>
      <c r="I18302" s="48" t="s">
        <v>22667</v>
      </c>
    </row>
    <row r="18303" spans="2:9" ht="15" customHeight="1" x14ac:dyDescent="0.25">
      <c r="B18303" s="55" t="s">
        <v>282</v>
      </c>
      <c r="C18303" s="46">
        <v>3291</v>
      </c>
      <c r="D18303" s="69" t="s">
        <v>29419</v>
      </c>
      <c r="E18303" s="51"/>
      <c r="F18303" s="114" t="str">
        <f>IF(INDEX(I.Facility.P3IDNumber,3291)="","",INDEX(I.Facility.P3IDNumber,3291))</f>
        <v/>
      </c>
      <c r="G18303" s="51"/>
      <c r="H18303" s="46" t="str">
        <f>IF(AND(I.Developer.P3=TRUE,I.Facility.P3FacilityCount&gt;=3291,F18303=""),"Incomplete","Complete")</f>
        <v>Complete</v>
      </c>
      <c r="I18303" s="48" t="s">
        <v>22668</v>
      </c>
    </row>
    <row r="18304" spans="2:9" ht="15" customHeight="1" x14ac:dyDescent="0.25">
      <c r="B18304" s="55" t="s">
        <v>282</v>
      </c>
      <c r="C18304" s="46">
        <v>3292</v>
      </c>
      <c r="D18304" s="69" t="s">
        <v>29419</v>
      </c>
      <c r="E18304" s="51"/>
      <c r="F18304" s="114" t="str">
        <f>IF(INDEX(I.Facility.P3IDNumber,3292)="","",INDEX(I.Facility.P3IDNumber,3292))</f>
        <v/>
      </c>
      <c r="G18304" s="51"/>
      <c r="H18304" s="46" t="str">
        <f>IF(AND(I.Developer.P3=TRUE,I.Facility.P3FacilityCount&gt;=3292,F18304=""),"Incomplete","Complete")</f>
        <v>Complete</v>
      </c>
      <c r="I18304" s="48" t="s">
        <v>22669</v>
      </c>
    </row>
    <row r="18305" spans="2:9" ht="15" customHeight="1" x14ac:dyDescent="0.25">
      <c r="B18305" s="55" t="s">
        <v>282</v>
      </c>
      <c r="C18305" s="46">
        <v>3293</v>
      </c>
      <c r="D18305" s="69" t="s">
        <v>29419</v>
      </c>
      <c r="E18305" s="51"/>
      <c r="F18305" s="114" t="str">
        <f>IF(INDEX(I.Facility.P3IDNumber,3293)="","",INDEX(I.Facility.P3IDNumber,3293))</f>
        <v/>
      </c>
      <c r="G18305" s="51"/>
      <c r="H18305" s="46" t="str">
        <f>IF(AND(I.Developer.P3=TRUE,I.Facility.P3FacilityCount&gt;=3293,F18305=""),"Incomplete","Complete")</f>
        <v>Complete</v>
      </c>
      <c r="I18305" s="48" t="s">
        <v>22670</v>
      </c>
    </row>
    <row r="18306" spans="2:9" ht="15" customHeight="1" x14ac:dyDescent="0.25">
      <c r="B18306" s="55" t="s">
        <v>282</v>
      </c>
      <c r="C18306" s="46">
        <v>3294</v>
      </c>
      <c r="D18306" s="69" t="s">
        <v>29419</v>
      </c>
      <c r="E18306" s="51"/>
      <c r="F18306" s="114" t="str">
        <f>IF(INDEX(I.Facility.P3IDNumber,3294)="","",INDEX(I.Facility.P3IDNumber,3294))</f>
        <v/>
      </c>
      <c r="G18306" s="51"/>
      <c r="H18306" s="46" t="str">
        <f>IF(AND(I.Developer.P3=TRUE,I.Facility.P3FacilityCount&gt;=3294,F18306=""),"Incomplete","Complete")</f>
        <v>Complete</v>
      </c>
      <c r="I18306" s="48" t="s">
        <v>22671</v>
      </c>
    </row>
    <row r="18307" spans="2:9" ht="15" customHeight="1" x14ac:dyDescent="0.25">
      <c r="B18307" s="55" t="s">
        <v>282</v>
      </c>
      <c r="C18307" s="46">
        <v>3295</v>
      </c>
      <c r="D18307" s="69" t="s">
        <v>29419</v>
      </c>
      <c r="E18307" s="51"/>
      <c r="F18307" s="114" t="str">
        <f>IF(INDEX(I.Facility.P3IDNumber,3295)="","",INDEX(I.Facility.P3IDNumber,3295))</f>
        <v/>
      </c>
      <c r="G18307" s="51"/>
      <c r="H18307" s="46" t="str">
        <f>IF(AND(I.Developer.P3=TRUE,I.Facility.P3FacilityCount&gt;=3295,F18307=""),"Incomplete","Complete")</f>
        <v>Complete</v>
      </c>
      <c r="I18307" s="48" t="s">
        <v>22672</v>
      </c>
    </row>
    <row r="18308" spans="2:9" ht="15" customHeight="1" x14ac:dyDescent="0.25">
      <c r="B18308" s="55" t="s">
        <v>282</v>
      </c>
      <c r="C18308" s="46">
        <v>3296</v>
      </c>
      <c r="D18308" s="69" t="s">
        <v>29419</v>
      </c>
      <c r="E18308" s="51"/>
      <c r="F18308" s="114" t="str">
        <f>IF(INDEX(I.Facility.P3IDNumber,3296)="","",INDEX(I.Facility.P3IDNumber,3296))</f>
        <v/>
      </c>
      <c r="G18308" s="51"/>
      <c r="H18308" s="46" t="str">
        <f>IF(AND(I.Developer.P3=TRUE,I.Facility.P3FacilityCount&gt;=3296,F18308=""),"Incomplete","Complete")</f>
        <v>Complete</v>
      </c>
      <c r="I18308" s="48" t="s">
        <v>22673</v>
      </c>
    </row>
    <row r="18309" spans="2:9" ht="15" customHeight="1" x14ac:dyDescent="0.25">
      <c r="B18309" s="55" t="s">
        <v>282</v>
      </c>
      <c r="C18309" s="46">
        <v>3297</v>
      </c>
      <c r="D18309" s="69" t="s">
        <v>29419</v>
      </c>
      <c r="E18309" s="51"/>
      <c r="F18309" s="114" t="str">
        <f>IF(INDEX(I.Facility.P3IDNumber,3297)="","",INDEX(I.Facility.P3IDNumber,3297))</f>
        <v/>
      </c>
      <c r="G18309" s="51"/>
      <c r="H18309" s="46" t="str">
        <f>IF(AND(I.Developer.P3=TRUE,I.Facility.P3FacilityCount&gt;=3297,F18309=""),"Incomplete","Complete")</f>
        <v>Complete</v>
      </c>
      <c r="I18309" s="48" t="s">
        <v>22674</v>
      </c>
    </row>
    <row r="18310" spans="2:9" ht="15" customHeight="1" x14ac:dyDescent="0.25">
      <c r="B18310" s="55" t="s">
        <v>282</v>
      </c>
      <c r="C18310" s="46">
        <v>3298</v>
      </c>
      <c r="D18310" s="69" t="s">
        <v>29419</v>
      </c>
      <c r="E18310" s="51"/>
      <c r="F18310" s="114" t="str">
        <f>IF(INDEX(I.Facility.P3IDNumber,3298)="","",INDEX(I.Facility.P3IDNumber,3298))</f>
        <v/>
      </c>
      <c r="G18310" s="51"/>
      <c r="H18310" s="46" t="str">
        <f>IF(AND(I.Developer.P3=TRUE,I.Facility.P3FacilityCount&gt;=3298,F18310=""),"Incomplete","Complete")</f>
        <v>Complete</v>
      </c>
      <c r="I18310" s="48" t="s">
        <v>22675</v>
      </c>
    </row>
    <row r="18311" spans="2:9" ht="15" customHeight="1" x14ac:dyDescent="0.25">
      <c r="B18311" s="55" t="s">
        <v>282</v>
      </c>
      <c r="C18311" s="46">
        <v>3299</v>
      </c>
      <c r="D18311" s="69" t="s">
        <v>29419</v>
      </c>
      <c r="E18311" s="51"/>
      <c r="F18311" s="114" t="str">
        <f>IF(INDEX(I.Facility.P3IDNumber,3299)="","",INDEX(I.Facility.P3IDNumber,3299))</f>
        <v/>
      </c>
      <c r="G18311" s="51"/>
      <c r="H18311" s="46" t="str">
        <f>IF(AND(I.Developer.P3=TRUE,I.Facility.P3FacilityCount&gt;=3299,F18311=""),"Incomplete","Complete")</f>
        <v>Complete</v>
      </c>
      <c r="I18311" s="48" t="s">
        <v>22676</v>
      </c>
    </row>
    <row r="18312" spans="2:9" ht="15" customHeight="1" x14ac:dyDescent="0.25">
      <c r="B18312" s="55" t="s">
        <v>282</v>
      </c>
      <c r="C18312" s="46">
        <v>3300</v>
      </c>
      <c r="D18312" s="69" t="s">
        <v>29419</v>
      </c>
      <c r="E18312" s="51"/>
      <c r="F18312" s="114" t="str">
        <f>IF(INDEX(I.Facility.P3IDNumber,3300)="","",INDEX(I.Facility.P3IDNumber,3300))</f>
        <v/>
      </c>
      <c r="G18312" s="51"/>
      <c r="H18312" s="46" t="str">
        <f>IF(AND(I.Developer.P3=TRUE,I.Facility.P3FacilityCount&gt;=3300,F18312=""),"Incomplete","Complete")</f>
        <v>Complete</v>
      </c>
      <c r="I18312" s="48" t="s">
        <v>22677</v>
      </c>
    </row>
    <row r="18313" spans="2:9" ht="15" customHeight="1" x14ac:dyDescent="0.25">
      <c r="B18313" s="55" t="s">
        <v>282</v>
      </c>
      <c r="C18313" s="46">
        <v>3301</v>
      </c>
      <c r="D18313" s="69" t="s">
        <v>29419</v>
      </c>
      <c r="E18313" s="51"/>
      <c r="F18313" s="114" t="str">
        <f>IF(INDEX(I.Facility.P3IDNumber,3301)="","",INDEX(I.Facility.P3IDNumber,3301))</f>
        <v/>
      </c>
      <c r="G18313" s="51"/>
      <c r="H18313" s="46" t="str">
        <f>IF(AND(I.Developer.P3=TRUE,I.Facility.P3FacilityCount&gt;=3301,F18313=""),"Incomplete","Complete")</f>
        <v>Complete</v>
      </c>
      <c r="I18313" s="48" t="s">
        <v>22678</v>
      </c>
    </row>
    <row r="18314" spans="2:9" ht="15" customHeight="1" x14ac:dyDescent="0.25">
      <c r="B18314" s="55" t="s">
        <v>282</v>
      </c>
      <c r="C18314" s="46">
        <v>3302</v>
      </c>
      <c r="D18314" s="69" t="s">
        <v>29419</v>
      </c>
      <c r="E18314" s="51"/>
      <c r="F18314" s="114" t="str">
        <f>IF(INDEX(I.Facility.P3IDNumber,3302)="","",INDEX(I.Facility.P3IDNumber,3302))</f>
        <v/>
      </c>
      <c r="G18314" s="51"/>
      <c r="H18314" s="46" t="str">
        <f>IF(AND(I.Developer.P3=TRUE,I.Facility.P3FacilityCount&gt;=3302,F18314=""),"Incomplete","Complete")</f>
        <v>Complete</v>
      </c>
      <c r="I18314" s="48" t="s">
        <v>22679</v>
      </c>
    </row>
    <row r="18315" spans="2:9" ht="15" customHeight="1" x14ac:dyDescent="0.25">
      <c r="B18315" s="55" t="s">
        <v>282</v>
      </c>
      <c r="C18315" s="46">
        <v>3303</v>
      </c>
      <c r="D18315" s="69" t="s">
        <v>29419</v>
      </c>
      <c r="E18315" s="51"/>
      <c r="F18315" s="114" t="str">
        <f>IF(INDEX(I.Facility.P3IDNumber,3303)="","",INDEX(I.Facility.P3IDNumber,3303))</f>
        <v/>
      </c>
      <c r="G18315" s="51"/>
      <c r="H18315" s="46" t="str">
        <f>IF(AND(I.Developer.P3=TRUE,I.Facility.P3FacilityCount&gt;=3303,F18315=""),"Incomplete","Complete")</f>
        <v>Complete</v>
      </c>
      <c r="I18315" s="48" t="s">
        <v>22680</v>
      </c>
    </row>
    <row r="18316" spans="2:9" ht="15" customHeight="1" x14ac:dyDescent="0.25">
      <c r="B18316" s="55" t="s">
        <v>282</v>
      </c>
      <c r="C18316" s="46">
        <v>3304</v>
      </c>
      <c r="D18316" s="69" t="s">
        <v>29419</v>
      </c>
      <c r="E18316" s="51"/>
      <c r="F18316" s="114" t="str">
        <f>IF(INDEX(I.Facility.P3IDNumber,3304)="","",INDEX(I.Facility.P3IDNumber,3304))</f>
        <v/>
      </c>
      <c r="G18316" s="51"/>
      <c r="H18316" s="46" t="str">
        <f>IF(AND(I.Developer.P3=TRUE,I.Facility.P3FacilityCount&gt;=3304,F18316=""),"Incomplete","Complete")</f>
        <v>Complete</v>
      </c>
      <c r="I18316" s="48" t="s">
        <v>22681</v>
      </c>
    </row>
    <row r="18317" spans="2:9" ht="15" customHeight="1" x14ac:dyDescent="0.25">
      <c r="B18317" s="55" t="s">
        <v>282</v>
      </c>
      <c r="C18317" s="46">
        <v>3305</v>
      </c>
      <c r="D18317" s="69" t="s">
        <v>29419</v>
      </c>
      <c r="E18317" s="51"/>
      <c r="F18317" s="114" t="str">
        <f>IF(INDEX(I.Facility.P3IDNumber,3305)="","",INDEX(I.Facility.P3IDNumber,3305))</f>
        <v/>
      </c>
      <c r="G18317" s="51"/>
      <c r="H18317" s="46" t="str">
        <f>IF(AND(I.Developer.P3=TRUE,I.Facility.P3FacilityCount&gt;=3305,F18317=""),"Incomplete","Complete")</f>
        <v>Complete</v>
      </c>
      <c r="I18317" s="48" t="s">
        <v>22682</v>
      </c>
    </row>
    <row r="18318" spans="2:9" ht="15" customHeight="1" x14ac:dyDescent="0.25">
      <c r="B18318" s="55" t="s">
        <v>282</v>
      </c>
      <c r="C18318" s="46">
        <v>3306</v>
      </c>
      <c r="D18318" s="69" t="s">
        <v>29419</v>
      </c>
      <c r="E18318" s="51"/>
      <c r="F18318" s="114" t="str">
        <f>IF(INDEX(I.Facility.P3IDNumber,3306)="","",INDEX(I.Facility.P3IDNumber,3306))</f>
        <v/>
      </c>
      <c r="G18318" s="51"/>
      <c r="H18318" s="46" t="str">
        <f>IF(AND(I.Developer.P3=TRUE,I.Facility.P3FacilityCount&gt;=3306,F18318=""),"Incomplete","Complete")</f>
        <v>Complete</v>
      </c>
      <c r="I18318" s="48" t="s">
        <v>22683</v>
      </c>
    </row>
    <row r="18319" spans="2:9" ht="15" customHeight="1" x14ac:dyDescent="0.25">
      <c r="B18319" s="55" t="s">
        <v>282</v>
      </c>
      <c r="C18319" s="46">
        <v>3307</v>
      </c>
      <c r="D18319" s="69" t="s">
        <v>29419</v>
      </c>
      <c r="E18319" s="51"/>
      <c r="F18319" s="114" t="str">
        <f>IF(INDEX(I.Facility.P3IDNumber,3307)="","",INDEX(I.Facility.P3IDNumber,3307))</f>
        <v/>
      </c>
      <c r="G18319" s="51"/>
      <c r="H18319" s="46" t="str">
        <f>IF(AND(I.Developer.P3=TRUE,I.Facility.P3FacilityCount&gt;=3307,F18319=""),"Incomplete","Complete")</f>
        <v>Complete</v>
      </c>
      <c r="I18319" s="48" t="s">
        <v>22684</v>
      </c>
    </row>
    <row r="18320" spans="2:9" ht="15" customHeight="1" x14ac:dyDescent="0.25">
      <c r="B18320" s="55" t="s">
        <v>282</v>
      </c>
      <c r="C18320" s="46">
        <v>3308</v>
      </c>
      <c r="D18320" s="69" t="s">
        <v>29419</v>
      </c>
      <c r="E18320" s="51"/>
      <c r="F18320" s="114" t="str">
        <f>IF(INDEX(I.Facility.P3IDNumber,3308)="","",INDEX(I.Facility.P3IDNumber,3308))</f>
        <v/>
      </c>
      <c r="G18320" s="51"/>
      <c r="H18320" s="46" t="str">
        <f>IF(AND(I.Developer.P3=TRUE,I.Facility.P3FacilityCount&gt;=3308,F18320=""),"Incomplete","Complete")</f>
        <v>Complete</v>
      </c>
      <c r="I18320" s="48" t="s">
        <v>22685</v>
      </c>
    </row>
    <row r="18321" spans="2:9" ht="15" customHeight="1" x14ac:dyDescent="0.25">
      <c r="B18321" s="55" t="s">
        <v>282</v>
      </c>
      <c r="C18321" s="46">
        <v>3309</v>
      </c>
      <c r="D18321" s="69" t="s">
        <v>29419</v>
      </c>
      <c r="E18321" s="51"/>
      <c r="F18321" s="114" t="str">
        <f>IF(INDEX(I.Facility.P3IDNumber,3309)="","",INDEX(I.Facility.P3IDNumber,3309))</f>
        <v/>
      </c>
      <c r="G18321" s="51"/>
      <c r="H18321" s="46" t="str">
        <f>IF(AND(I.Developer.P3=TRUE,I.Facility.P3FacilityCount&gt;=3309,F18321=""),"Incomplete","Complete")</f>
        <v>Complete</v>
      </c>
      <c r="I18321" s="48" t="s">
        <v>22686</v>
      </c>
    </row>
    <row r="18322" spans="2:9" ht="15" customHeight="1" x14ac:dyDescent="0.25">
      <c r="B18322" s="55" t="s">
        <v>282</v>
      </c>
      <c r="C18322" s="46">
        <v>3310</v>
      </c>
      <c r="D18322" s="69" t="s">
        <v>29419</v>
      </c>
      <c r="E18322" s="51"/>
      <c r="F18322" s="114" t="str">
        <f>IF(INDEX(I.Facility.P3IDNumber,3310)="","",INDEX(I.Facility.P3IDNumber,3310))</f>
        <v/>
      </c>
      <c r="G18322" s="51"/>
      <c r="H18322" s="46" t="str">
        <f>IF(AND(I.Developer.P3=TRUE,I.Facility.P3FacilityCount&gt;=3310,F18322=""),"Incomplete","Complete")</f>
        <v>Complete</v>
      </c>
      <c r="I18322" s="48" t="s">
        <v>22687</v>
      </c>
    </row>
    <row r="18323" spans="2:9" ht="15" customHeight="1" x14ac:dyDescent="0.25">
      <c r="B18323" s="55" t="s">
        <v>282</v>
      </c>
      <c r="C18323" s="46">
        <v>3311</v>
      </c>
      <c r="D18323" s="69" t="s">
        <v>29419</v>
      </c>
      <c r="E18323" s="51"/>
      <c r="F18323" s="114" t="str">
        <f>IF(INDEX(I.Facility.P3IDNumber,3311)="","",INDEX(I.Facility.P3IDNumber,3311))</f>
        <v/>
      </c>
      <c r="G18323" s="51"/>
      <c r="H18323" s="46" t="str">
        <f>IF(AND(I.Developer.P3=TRUE,I.Facility.P3FacilityCount&gt;=3311,F18323=""),"Incomplete","Complete")</f>
        <v>Complete</v>
      </c>
      <c r="I18323" s="48" t="s">
        <v>22688</v>
      </c>
    </row>
    <row r="18324" spans="2:9" ht="15" customHeight="1" x14ac:dyDescent="0.25">
      <c r="B18324" s="55" t="s">
        <v>282</v>
      </c>
      <c r="C18324" s="46">
        <v>3312</v>
      </c>
      <c r="D18324" s="69" t="s">
        <v>29419</v>
      </c>
      <c r="E18324" s="51"/>
      <c r="F18324" s="114" t="str">
        <f>IF(INDEX(I.Facility.P3IDNumber,3312)="","",INDEX(I.Facility.P3IDNumber,3312))</f>
        <v/>
      </c>
      <c r="G18324" s="51"/>
      <c r="H18324" s="46" t="str">
        <f>IF(AND(I.Developer.P3=TRUE,I.Facility.P3FacilityCount&gt;=3312,F18324=""),"Incomplete","Complete")</f>
        <v>Complete</v>
      </c>
      <c r="I18324" s="48" t="s">
        <v>22689</v>
      </c>
    </row>
    <row r="18325" spans="2:9" ht="15" customHeight="1" x14ac:dyDescent="0.25">
      <c r="B18325" s="55" t="s">
        <v>282</v>
      </c>
      <c r="C18325" s="46">
        <v>3313</v>
      </c>
      <c r="D18325" s="69" t="s">
        <v>29419</v>
      </c>
      <c r="E18325" s="51"/>
      <c r="F18325" s="114" t="str">
        <f>IF(INDEX(I.Facility.P3IDNumber,3313)="","",INDEX(I.Facility.P3IDNumber,3313))</f>
        <v/>
      </c>
      <c r="G18325" s="51"/>
      <c r="H18325" s="46" t="str">
        <f>IF(AND(I.Developer.P3=TRUE,I.Facility.P3FacilityCount&gt;=3313,F18325=""),"Incomplete","Complete")</f>
        <v>Complete</v>
      </c>
      <c r="I18325" s="48" t="s">
        <v>22690</v>
      </c>
    </row>
    <row r="18326" spans="2:9" ht="15" customHeight="1" x14ac:dyDescent="0.25">
      <c r="B18326" s="55" t="s">
        <v>282</v>
      </c>
      <c r="C18326" s="46">
        <v>3314</v>
      </c>
      <c r="D18326" s="69" t="s">
        <v>29419</v>
      </c>
      <c r="E18326" s="51"/>
      <c r="F18326" s="114" t="str">
        <f>IF(INDEX(I.Facility.P3IDNumber,3314)="","",INDEX(I.Facility.P3IDNumber,3314))</f>
        <v/>
      </c>
      <c r="G18326" s="51"/>
      <c r="H18326" s="46" t="str">
        <f>IF(AND(I.Developer.P3=TRUE,I.Facility.P3FacilityCount&gt;=3314,F18326=""),"Incomplete","Complete")</f>
        <v>Complete</v>
      </c>
      <c r="I18326" s="48" t="s">
        <v>22691</v>
      </c>
    </row>
    <row r="18327" spans="2:9" ht="15" customHeight="1" x14ac:dyDescent="0.25">
      <c r="B18327" s="55" t="s">
        <v>282</v>
      </c>
      <c r="C18327" s="46">
        <v>3315</v>
      </c>
      <c r="D18327" s="69" t="s">
        <v>29419</v>
      </c>
      <c r="E18327" s="51"/>
      <c r="F18327" s="114" t="str">
        <f>IF(INDEX(I.Facility.P3IDNumber,3315)="","",INDEX(I.Facility.P3IDNumber,3315))</f>
        <v/>
      </c>
      <c r="G18327" s="51"/>
      <c r="H18327" s="46" t="str">
        <f>IF(AND(I.Developer.P3=TRUE,I.Facility.P3FacilityCount&gt;=3315,F18327=""),"Incomplete","Complete")</f>
        <v>Complete</v>
      </c>
      <c r="I18327" s="48" t="s">
        <v>22692</v>
      </c>
    </row>
    <row r="18328" spans="2:9" ht="15" customHeight="1" x14ac:dyDescent="0.25">
      <c r="B18328" s="55" t="s">
        <v>282</v>
      </c>
      <c r="C18328" s="46">
        <v>3316</v>
      </c>
      <c r="D18328" s="69" t="s">
        <v>29419</v>
      </c>
      <c r="E18328" s="51"/>
      <c r="F18328" s="114" t="str">
        <f>IF(INDEX(I.Facility.P3IDNumber,3316)="","",INDEX(I.Facility.P3IDNumber,3316))</f>
        <v/>
      </c>
      <c r="G18328" s="51"/>
      <c r="H18328" s="46" t="str">
        <f>IF(AND(I.Developer.P3=TRUE,I.Facility.P3FacilityCount&gt;=3316,F18328=""),"Incomplete","Complete")</f>
        <v>Complete</v>
      </c>
      <c r="I18328" s="48" t="s">
        <v>22693</v>
      </c>
    </row>
    <row r="18329" spans="2:9" ht="15" customHeight="1" x14ac:dyDescent="0.25">
      <c r="B18329" s="55" t="s">
        <v>282</v>
      </c>
      <c r="C18329" s="46">
        <v>3317</v>
      </c>
      <c r="D18329" s="69" t="s">
        <v>29419</v>
      </c>
      <c r="E18329" s="51"/>
      <c r="F18329" s="114" t="str">
        <f>IF(INDEX(I.Facility.P3IDNumber,3317)="","",INDEX(I.Facility.P3IDNumber,3317))</f>
        <v/>
      </c>
      <c r="G18329" s="51"/>
      <c r="H18329" s="46" t="str">
        <f>IF(AND(I.Developer.P3=TRUE,I.Facility.P3FacilityCount&gt;=3317,F18329=""),"Incomplete","Complete")</f>
        <v>Complete</v>
      </c>
      <c r="I18329" s="48" t="s">
        <v>22694</v>
      </c>
    </row>
    <row r="18330" spans="2:9" ht="15" customHeight="1" x14ac:dyDescent="0.25">
      <c r="B18330" s="55" t="s">
        <v>282</v>
      </c>
      <c r="C18330" s="46">
        <v>3318</v>
      </c>
      <c r="D18330" s="69" t="s">
        <v>29419</v>
      </c>
      <c r="E18330" s="51"/>
      <c r="F18330" s="114" t="str">
        <f>IF(INDEX(I.Facility.P3IDNumber,3318)="","",INDEX(I.Facility.P3IDNumber,3318))</f>
        <v/>
      </c>
      <c r="G18330" s="51"/>
      <c r="H18330" s="46" t="str">
        <f>IF(AND(I.Developer.P3=TRUE,I.Facility.P3FacilityCount&gt;=3318,F18330=""),"Incomplete","Complete")</f>
        <v>Complete</v>
      </c>
      <c r="I18330" s="48" t="s">
        <v>22695</v>
      </c>
    </row>
    <row r="18331" spans="2:9" ht="15" customHeight="1" x14ac:dyDescent="0.25">
      <c r="B18331" s="55" t="s">
        <v>282</v>
      </c>
      <c r="C18331" s="46">
        <v>3319</v>
      </c>
      <c r="D18331" s="69" t="s">
        <v>29419</v>
      </c>
      <c r="E18331" s="51"/>
      <c r="F18331" s="114" t="str">
        <f>IF(INDEX(I.Facility.P3IDNumber,3319)="","",INDEX(I.Facility.P3IDNumber,3319))</f>
        <v/>
      </c>
      <c r="G18331" s="51"/>
      <c r="H18331" s="46" t="str">
        <f>IF(AND(I.Developer.P3=TRUE,I.Facility.P3FacilityCount&gt;=3319,F18331=""),"Incomplete","Complete")</f>
        <v>Complete</v>
      </c>
      <c r="I18331" s="48" t="s">
        <v>22696</v>
      </c>
    </row>
    <row r="18332" spans="2:9" ht="15" customHeight="1" x14ac:dyDescent="0.25">
      <c r="B18332" s="55" t="s">
        <v>282</v>
      </c>
      <c r="C18332" s="46">
        <v>3320</v>
      </c>
      <c r="D18332" s="69" t="s">
        <v>29419</v>
      </c>
      <c r="E18332" s="51"/>
      <c r="F18332" s="114" t="str">
        <f>IF(INDEX(I.Facility.P3IDNumber,3320)="","",INDEX(I.Facility.P3IDNumber,3320))</f>
        <v/>
      </c>
      <c r="G18332" s="51"/>
      <c r="H18332" s="46" t="str">
        <f>IF(AND(I.Developer.P3=TRUE,I.Facility.P3FacilityCount&gt;=3320,F18332=""),"Incomplete","Complete")</f>
        <v>Complete</v>
      </c>
      <c r="I18332" s="48" t="s">
        <v>22697</v>
      </c>
    </row>
    <row r="18333" spans="2:9" ht="15" customHeight="1" x14ac:dyDescent="0.25">
      <c r="B18333" s="55" t="s">
        <v>282</v>
      </c>
      <c r="C18333" s="46">
        <v>3321</v>
      </c>
      <c r="D18333" s="69" t="s">
        <v>29419</v>
      </c>
      <c r="E18333" s="51"/>
      <c r="F18333" s="114" t="str">
        <f>IF(INDEX(I.Facility.P3IDNumber,3321)="","",INDEX(I.Facility.P3IDNumber,3321))</f>
        <v/>
      </c>
      <c r="G18333" s="51"/>
      <c r="H18333" s="46" t="str">
        <f>IF(AND(I.Developer.P3=TRUE,I.Facility.P3FacilityCount&gt;=3321,F18333=""),"Incomplete","Complete")</f>
        <v>Complete</v>
      </c>
      <c r="I18333" s="48" t="s">
        <v>22698</v>
      </c>
    </row>
    <row r="18334" spans="2:9" ht="15" customHeight="1" x14ac:dyDescent="0.25">
      <c r="B18334" s="55" t="s">
        <v>282</v>
      </c>
      <c r="C18334" s="46">
        <v>3322</v>
      </c>
      <c r="D18334" s="69" t="s">
        <v>29419</v>
      </c>
      <c r="E18334" s="51"/>
      <c r="F18334" s="114" t="str">
        <f>IF(INDEX(I.Facility.P3IDNumber,3322)="","",INDEX(I.Facility.P3IDNumber,3322))</f>
        <v/>
      </c>
      <c r="G18334" s="51"/>
      <c r="H18334" s="46" t="str">
        <f>IF(AND(I.Developer.P3=TRUE,I.Facility.P3FacilityCount&gt;=3322,F18334=""),"Incomplete","Complete")</f>
        <v>Complete</v>
      </c>
      <c r="I18334" s="48" t="s">
        <v>22699</v>
      </c>
    </row>
    <row r="18335" spans="2:9" ht="15" customHeight="1" x14ac:dyDescent="0.25">
      <c r="B18335" s="55" t="s">
        <v>282</v>
      </c>
      <c r="C18335" s="46">
        <v>3323</v>
      </c>
      <c r="D18335" s="69" t="s">
        <v>29419</v>
      </c>
      <c r="E18335" s="51"/>
      <c r="F18335" s="114" t="str">
        <f>IF(INDEX(I.Facility.P3IDNumber,3323)="","",INDEX(I.Facility.P3IDNumber,3323))</f>
        <v/>
      </c>
      <c r="G18335" s="51"/>
      <c r="H18335" s="46" t="str">
        <f>IF(AND(I.Developer.P3=TRUE,I.Facility.P3FacilityCount&gt;=3323,F18335=""),"Incomplete","Complete")</f>
        <v>Complete</v>
      </c>
      <c r="I18335" s="48" t="s">
        <v>22700</v>
      </c>
    </row>
    <row r="18336" spans="2:9" ht="15" customHeight="1" x14ac:dyDescent="0.25">
      <c r="B18336" s="55" t="s">
        <v>282</v>
      </c>
      <c r="C18336" s="46">
        <v>3324</v>
      </c>
      <c r="D18336" s="69" t="s">
        <v>29419</v>
      </c>
      <c r="E18336" s="51"/>
      <c r="F18336" s="114" t="str">
        <f>IF(INDEX(I.Facility.P3IDNumber,3324)="","",INDEX(I.Facility.P3IDNumber,3324))</f>
        <v/>
      </c>
      <c r="G18336" s="51"/>
      <c r="H18336" s="46" t="str">
        <f>IF(AND(I.Developer.P3=TRUE,I.Facility.P3FacilityCount&gt;=3324,F18336=""),"Incomplete","Complete")</f>
        <v>Complete</v>
      </c>
      <c r="I18336" s="48" t="s">
        <v>22701</v>
      </c>
    </row>
    <row r="18337" spans="2:9" ht="15" customHeight="1" x14ac:dyDescent="0.25">
      <c r="B18337" s="55" t="s">
        <v>282</v>
      </c>
      <c r="C18337" s="46">
        <v>3325</v>
      </c>
      <c r="D18337" s="69" t="s">
        <v>29419</v>
      </c>
      <c r="E18337" s="51"/>
      <c r="F18337" s="114" t="str">
        <f>IF(INDEX(I.Facility.P3IDNumber,3325)="","",INDEX(I.Facility.P3IDNumber,3325))</f>
        <v/>
      </c>
      <c r="G18337" s="51"/>
      <c r="H18337" s="46" t="str">
        <f>IF(AND(I.Developer.P3=TRUE,I.Facility.P3FacilityCount&gt;=3325,F18337=""),"Incomplete","Complete")</f>
        <v>Complete</v>
      </c>
      <c r="I18337" s="48" t="s">
        <v>22702</v>
      </c>
    </row>
    <row r="18338" spans="2:9" ht="15" customHeight="1" x14ac:dyDescent="0.25">
      <c r="B18338" s="55" t="s">
        <v>282</v>
      </c>
      <c r="C18338" s="46">
        <v>3326</v>
      </c>
      <c r="D18338" s="69" t="s">
        <v>29419</v>
      </c>
      <c r="E18338" s="51"/>
      <c r="F18338" s="114" t="str">
        <f>IF(INDEX(I.Facility.P3IDNumber,3326)="","",INDEX(I.Facility.P3IDNumber,3326))</f>
        <v/>
      </c>
      <c r="G18338" s="51"/>
      <c r="H18338" s="46" t="str">
        <f>IF(AND(I.Developer.P3=TRUE,I.Facility.P3FacilityCount&gt;=3326,F18338=""),"Incomplete","Complete")</f>
        <v>Complete</v>
      </c>
      <c r="I18338" s="48" t="s">
        <v>22703</v>
      </c>
    </row>
    <row r="18339" spans="2:9" ht="15" customHeight="1" x14ac:dyDescent="0.25">
      <c r="B18339" s="55" t="s">
        <v>282</v>
      </c>
      <c r="C18339" s="46">
        <v>3327</v>
      </c>
      <c r="D18339" s="69" t="s">
        <v>29419</v>
      </c>
      <c r="E18339" s="51"/>
      <c r="F18339" s="114" t="str">
        <f>IF(INDEX(I.Facility.P3IDNumber,3327)="","",INDEX(I.Facility.P3IDNumber,3327))</f>
        <v/>
      </c>
      <c r="G18339" s="51"/>
      <c r="H18339" s="46" t="str">
        <f>IF(AND(I.Developer.P3=TRUE,I.Facility.P3FacilityCount&gt;=3327,F18339=""),"Incomplete","Complete")</f>
        <v>Complete</v>
      </c>
      <c r="I18339" s="48" t="s">
        <v>22704</v>
      </c>
    </row>
    <row r="18340" spans="2:9" ht="15" customHeight="1" x14ac:dyDescent="0.25">
      <c r="B18340" s="55" t="s">
        <v>282</v>
      </c>
      <c r="C18340" s="46">
        <v>3328</v>
      </c>
      <c r="D18340" s="69" t="s">
        <v>29419</v>
      </c>
      <c r="E18340" s="51"/>
      <c r="F18340" s="114" t="str">
        <f>IF(INDEX(I.Facility.P3IDNumber,3328)="","",INDEX(I.Facility.P3IDNumber,3328))</f>
        <v/>
      </c>
      <c r="G18340" s="51"/>
      <c r="H18340" s="46" t="str">
        <f>IF(AND(I.Developer.P3=TRUE,I.Facility.P3FacilityCount&gt;=3328,F18340=""),"Incomplete","Complete")</f>
        <v>Complete</v>
      </c>
      <c r="I18340" s="48" t="s">
        <v>22705</v>
      </c>
    </row>
    <row r="18341" spans="2:9" ht="15" customHeight="1" x14ac:dyDescent="0.25">
      <c r="B18341" s="55" t="s">
        <v>282</v>
      </c>
      <c r="C18341" s="46">
        <v>3329</v>
      </c>
      <c r="D18341" s="69" t="s">
        <v>29419</v>
      </c>
      <c r="E18341" s="51"/>
      <c r="F18341" s="114" t="str">
        <f>IF(INDEX(I.Facility.P3IDNumber,3329)="","",INDEX(I.Facility.P3IDNumber,3329))</f>
        <v/>
      </c>
      <c r="G18341" s="51"/>
      <c r="H18341" s="46" t="str">
        <f>IF(AND(I.Developer.P3=TRUE,I.Facility.P3FacilityCount&gt;=3329,F18341=""),"Incomplete","Complete")</f>
        <v>Complete</v>
      </c>
      <c r="I18341" s="48" t="s">
        <v>22706</v>
      </c>
    </row>
    <row r="18342" spans="2:9" ht="15" customHeight="1" x14ac:dyDescent="0.25">
      <c r="B18342" s="55" t="s">
        <v>282</v>
      </c>
      <c r="C18342" s="46">
        <v>3330</v>
      </c>
      <c r="D18342" s="69" t="s">
        <v>29419</v>
      </c>
      <c r="E18342" s="51"/>
      <c r="F18342" s="114" t="str">
        <f>IF(INDEX(I.Facility.P3IDNumber,3330)="","",INDEX(I.Facility.P3IDNumber,3330))</f>
        <v/>
      </c>
      <c r="G18342" s="51"/>
      <c r="H18342" s="46" t="str">
        <f>IF(AND(I.Developer.P3=TRUE,I.Facility.P3FacilityCount&gt;=3330,F18342=""),"Incomplete","Complete")</f>
        <v>Complete</v>
      </c>
      <c r="I18342" s="48" t="s">
        <v>22707</v>
      </c>
    </row>
    <row r="18343" spans="2:9" ht="15" customHeight="1" x14ac:dyDescent="0.25">
      <c r="B18343" s="55" t="s">
        <v>282</v>
      </c>
      <c r="C18343" s="46">
        <v>3331</v>
      </c>
      <c r="D18343" s="69" t="s">
        <v>29419</v>
      </c>
      <c r="E18343" s="51"/>
      <c r="F18343" s="114" t="str">
        <f>IF(INDEX(I.Facility.P3IDNumber,3331)="","",INDEX(I.Facility.P3IDNumber,3331))</f>
        <v/>
      </c>
      <c r="G18343" s="51"/>
      <c r="H18343" s="46" t="str">
        <f>IF(AND(I.Developer.P3=TRUE,I.Facility.P3FacilityCount&gt;=3331,F18343=""),"Incomplete","Complete")</f>
        <v>Complete</v>
      </c>
      <c r="I18343" s="48" t="s">
        <v>22708</v>
      </c>
    </row>
    <row r="18344" spans="2:9" ht="15" customHeight="1" x14ac:dyDescent="0.25">
      <c r="B18344" s="55" t="s">
        <v>282</v>
      </c>
      <c r="C18344" s="46">
        <v>3332</v>
      </c>
      <c r="D18344" s="69" t="s">
        <v>29419</v>
      </c>
      <c r="E18344" s="51"/>
      <c r="F18344" s="114" t="str">
        <f>IF(INDEX(I.Facility.P3IDNumber,3332)="","",INDEX(I.Facility.P3IDNumber,3332))</f>
        <v/>
      </c>
      <c r="G18344" s="51"/>
      <c r="H18344" s="46" t="str">
        <f>IF(AND(I.Developer.P3=TRUE,I.Facility.P3FacilityCount&gt;=3332,F18344=""),"Incomplete","Complete")</f>
        <v>Complete</v>
      </c>
      <c r="I18344" s="48" t="s">
        <v>22709</v>
      </c>
    </row>
    <row r="18345" spans="2:9" ht="15" customHeight="1" x14ac:dyDescent="0.25">
      <c r="B18345" s="55" t="s">
        <v>282</v>
      </c>
      <c r="C18345" s="46">
        <v>3333</v>
      </c>
      <c r="D18345" s="69" t="s">
        <v>29419</v>
      </c>
      <c r="E18345" s="51"/>
      <c r="F18345" s="114" t="str">
        <f>IF(INDEX(I.Facility.P3IDNumber,3333)="","",INDEX(I.Facility.P3IDNumber,3333))</f>
        <v/>
      </c>
      <c r="G18345" s="51"/>
      <c r="H18345" s="46" t="str">
        <f>IF(AND(I.Developer.P3=TRUE,I.Facility.P3FacilityCount&gt;=3333,F18345=""),"Incomplete","Complete")</f>
        <v>Complete</v>
      </c>
      <c r="I18345" s="48" t="s">
        <v>22710</v>
      </c>
    </row>
    <row r="18346" spans="2:9" ht="15" customHeight="1" x14ac:dyDescent="0.25">
      <c r="B18346" s="55" t="s">
        <v>282</v>
      </c>
      <c r="C18346" s="46">
        <v>3334</v>
      </c>
      <c r="D18346" s="69" t="s">
        <v>29419</v>
      </c>
      <c r="E18346" s="51"/>
      <c r="F18346" s="114" t="str">
        <f>IF(INDEX(I.Facility.P3IDNumber,3334)="","",INDEX(I.Facility.P3IDNumber,3334))</f>
        <v/>
      </c>
      <c r="G18346" s="51"/>
      <c r="H18346" s="46" t="str">
        <f>IF(AND(I.Developer.P3=TRUE,I.Facility.P3FacilityCount&gt;=3334,F18346=""),"Incomplete","Complete")</f>
        <v>Complete</v>
      </c>
      <c r="I18346" s="48" t="s">
        <v>22711</v>
      </c>
    </row>
    <row r="18347" spans="2:9" ht="15" customHeight="1" x14ac:dyDescent="0.25">
      <c r="B18347" s="55" t="s">
        <v>282</v>
      </c>
      <c r="C18347" s="46">
        <v>3335</v>
      </c>
      <c r="D18347" s="69" t="s">
        <v>29419</v>
      </c>
      <c r="E18347" s="51"/>
      <c r="F18347" s="114" t="str">
        <f>IF(INDEX(I.Facility.P3IDNumber,3335)="","",INDEX(I.Facility.P3IDNumber,3335))</f>
        <v/>
      </c>
      <c r="G18347" s="51"/>
      <c r="H18347" s="46" t="str">
        <f>IF(AND(I.Developer.P3=TRUE,I.Facility.P3FacilityCount&gt;=3335,F18347=""),"Incomplete","Complete")</f>
        <v>Complete</v>
      </c>
      <c r="I18347" s="48" t="s">
        <v>22712</v>
      </c>
    </row>
    <row r="18348" spans="2:9" ht="15" customHeight="1" x14ac:dyDescent="0.25">
      <c r="B18348" s="55" t="s">
        <v>282</v>
      </c>
      <c r="C18348" s="46">
        <v>3336</v>
      </c>
      <c r="D18348" s="69" t="s">
        <v>29419</v>
      </c>
      <c r="E18348" s="51"/>
      <c r="F18348" s="114" t="str">
        <f>IF(INDEX(I.Facility.P3IDNumber,3336)="","",INDEX(I.Facility.P3IDNumber,3336))</f>
        <v/>
      </c>
      <c r="G18348" s="51"/>
      <c r="H18348" s="46" t="str">
        <f>IF(AND(I.Developer.P3=TRUE,I.Facility.P3FacilityCount&gt;=3336,F18348=""),"Incomplete","Complete")</f>
        <v>Complete</v>
      </c>
      <c r="I18348" s="48" t="s">
        <v>22713</v>
      </c>
    </row>
    <row r="18349" spans="2:9" ht="15" customHeight="1" x14ac:dyDescent="0.25">
      <c r="B18349" s="55" t="s">
        <v>282</v>
      </c>
      <c r="C18349" s="46">
        <v>3337</v>
      </c>
      <c r="D18349" s="69" t="s">
        <v>29419</v>
      </c>
      <c r="E18349" s="51"/>
      <c r="F18349" s="114" t="str">
        <f>IF(INDEX(I.Facility.P3IDNumber,3337)="","",INDEX(I.Facility.P3IDNumber,3337))</f>
        <v/>
      </c>
      <c r="G18349" s="51"/>
      <c r="H18349" s="46" t="str">
        <f>IF(AND(I.Developer.P3=TRUE,I.Facility.P3FacilityCount&gt;=3337,F18349=""),"Incomplete","Complete")</f>
        <v>Complete</v>
      </c>
      <c r="I18349" s="48" t="s">
        <v>22714</v>
      </c>
    </row>
    <row r="18350" spans="2:9" ht="15" customHeight="1" x14ac:dyDescent="0.25">
      <c r="B18350" s="55" t="s">
        <v>282</v>
      </c>
      <c r="C18350" s="46">
        <v>3338</v>
      </c>
      <c r="D18350" s="69" t="s">
        <v>29419</v>
      </c>
      <c r="E18350" s="51"/>
      <c r="F18350" s="114" t="str">
        <f>IF(INDEX(I.Facility.P3IDNumber,3338)="","",INDEX(I.Facility.P3IDNumber,3338))</f>
        <v/>
      </c>
      <c r="G18350" s="51"/>
      <c r="H18350" s="46" t="str">
        <f>IF(AND(I.Developer.P3=TRUE,I.Facility.P3FacilityCount&gt;=3338,F18350=""),"Incomplete","Complete")</f>
        <v>Complete</v>
      </c>
      <c r="I18350" s="48" t="s">
        <v>22715</v>
      </c>
    </row>
    <row r="18351" spans="2:9" ht="15" customHeight="1" x14ac:dyDescent="0.25">
      <c r="B18351" s="55" t="s">
        <v>282</v>
      </c>
      <c r="C18351" s="46">
        <v>3339</v>
      </c>
      <c r="D18351" s="69" t="s">
        <v>29419</v>
      </c>
      <c r="E18351" s="51"/>
      <c r="F18351" s="114" t="str">
        <f>IF(INDEX(I.Facility.P3IDNumber,3339)="","",INDEX(I.Facility.P3IDNumber,3339))</f>
        <v/>
      </c>
      <c r="G18351" s="51"/>
      <c r="H18351" s="46" t="str">
        <f>IF(AND(I.Developer.P3=TRUE,I.Facility.P3FacilityCount&gt;=3339,F18351=""),"Incomplete","Complete")</f>
        <v>Complete</v>
      </c>
      <c r="I18351" s="48" t="s">
        <v>22716</v>
      </c>
    </row>
    <row r="18352" spans="2:9" ht="15" customHeight="1" x14ac:dyDescent="0.25">
      <c r="B18352" s="55" t="s">
        <v>282</v>
      </c>
      <c r="C18352" s="46">
        <v>3340</v>
      </c>
      <c r="D18352" s="69" t="s">
        <v>29419</v>
      </c>
      <c r="E18352" s="51"/>
      <c r="F18352" s="114" t="str">
        <f>IF(INDEX(I.Facility.P3IDNumber,3340)="","",INDEX(I.Facility.P3IDNumber,3340))</f>
        <v/>
      </c>
      <c r="G18352" s="51"/>
      <c r="H18352" s="46" t="str">
        <f>IF(AND(I.Developer.P3=TRUE,I.Facility.P3FacilityCount&gt;=3340,F18352=""),"Incomplete","Complete")</f>
        <v>Complete</v>
      </c>
      <c r="I18352" s="48" t="s">
        <v>22717</v>
      </c>
    </row>
    <row r="18353" spans="2:9" ht="15" customHeight="1" x14ac:dyDescent="0.25">
      <c r="B18353" s="55" t="s">
        <v>282</v>
      </c>
      <c r="C18353" s="46">
        <v>3341</v>
      </c>
      <c r="D18353" s="69" t="s">
        <v>29419</v>
      </c>
      <c r="E18353" s="51"/>
      <c r="F18353" s="114" t="str">
        <f>IF(INDEX(I.Facility.P3IDNumber,3341)="","",INDEX(I.Facility.P3IDNumber,3341))</f>
        <v/>
      </c>
      <c r="G18353" s="51"/>
      <c r="H18353" s="46" t="str">
        <f>IF(AND(I.Developer.P3=TRUE,I.Facility.P3FacilityCount&gt;=3341,F18353=""),"Incomplete","Complete")</f>
        <v>Complete</v>
      </c>
      <c r="I18353" s="48" t="s">
        <v>22718</v>
      </c>
    </row>
    <row r="18354" spans="2:9" ht="15" customHeight="1" x14ac:dyDescent="0.25">
      <c r="B18354" s="55" t="s">
        <v>282</v>
      </c>
      <c r="C18354" s="46">
        <v>3342</v>
      </c>
      <c r="D18354" s="69" t="s">
        <v>29419</v>
      </c>
      <c r="E18354" s="51"/>
      <c r="F18354" s="114" t="str">
        <f>IF(INDEX(I.Facility.P3IDNumber,3342)="","",INDEX(I.Facility.P3IDNumber,3342))</f>
        <v/>
      </c>
      <c r="G18354" s="51"/>
      <c r="H18354" s="46" t="str">
        <f>IF(AND(I.Developer.P3=TRUE,I.Facility.P3FacilityCount&gt;=3342,F18354=""),"Incomplete","Complete")</f>
        <v>Complete</v>
      </c>
      <c r="I18354" s="48" t="s">
        <v>22719</v>
      </c>
    </row>
    <row r="18355" spans="2:9" ht="15" customHeight="1" x14ac:dyDescent="0.25">
      <c r="B18355" s="55" t="s">
        <v>282</v>
      </c>
      <c r="C18355" s="46">
        <v>3343</v>
      </c>
      <c r="D18355" s="69" t="s">
        <v>29419</v>
      </c>
      <c r="E18355" s="51"/>
      <c r="F18355" s="114" t="str">
        <f>IF(INDEX(I.Facility.P3IDNumber,3343)="","",INDEX(I.Facility.P3IDNumber,3343))</f>
        <v/>
      </c>
      <c r="G18355" s="51"/>
      <c r="H18355" s="46" t="str">
        <f>IF(AND(I.Developer.P3=TRUE,I.Facility.P3FacilityCount&gt;=3343,F18355=""),"Incomplete","Complete")</f>
        <v>Complete</v>
      </c>
      <c r="I18355" s="48" t="s">
        <v>22720</v>
      </c>
    </row>
    <row r="18356" spans="2:9" ht="15" customHeight="1" x14ac:dyDescent="0.25">
      <c r="B18356" s="55" t="s">
        <v>282</v>
      </c>
      <c r="C18356" s="46">
        <v>3344</v>
      </c>
      <c r="D18356" s="69" t="s">
        <v>29419</v>
      </c>
      <c r="E18356" s="51"/>
      <c r="F18356" s="114" t="str">
        <f>IF(INDEX(I.Facility.P3IDNumber,3344)="","",INDEX(I.Facility.P3IDNumber,3344))</f>
        <v/>
      </c>
      <c r="G18356" s="51"/>
      <c r="H18356" s="46" t="str">
        <f>IF(AND(I.Developer.P3=TRUE,I.Facility.P3FacilityCount&gt;=3344,F18356=""),"Incomplete","Complete")</f>
        <v>Complete</v>
      </c>
      <c r="I18356" s="48" t="s">
        <v>22721</v>
      </c>
    </row>
    <row r="18357" spans="2:9" ht="15" customHeight="1" x14ac:dyDescent="0.25">
      <c r="B18357" s="55" t="s">
        <v>282</v>
      </c>
      <c r="C18357" s="46">
        <v>3345</v>
      </c>
      <c r="D18357" s="69" t="s">
        <v>29419</v>
      </c>
      <c r="E18357" s="51"/>
      <c r="F18357" s="114" t="str">
        <f>IF(INDEX(I.Facility.P3IDNumber,3345)="","",INDEX(I.Facility.P3IDNumber,3345))</f>
        <v/>
      </c>
      <c r="G18357" s="51"/>
      <c r="H18357" s="46" t="str">
        <f>IF(AND(I.Developer.P3=TRUE,I.Facility.P3FacilityCount&gt;=3345,F18357=""),"Incomplete","Complete")</f>
        <v>Complete</v>
      </c>
      <c r="I18357" s="48" t="s">
        <v>22722</v>
      </c>
    </row>
    <row r="18358" spans="2:9" ht="15" customHeight="1" x14ac:dyDescent="0.25">
      <c r="B18358" s="55" t="s">
        <v>282</v>
      </c>
      <c r="C18358" s="46">
        <v>3346</v>
      </c>
      <c r="D18358" s="69" t="s">
        <v>29419</v>
      </c>
      <c r="E18358" s="51"/>
      <c r="F18358" s="114" t="str">
        <f>IF(INDEX(I.Facility.P3IDNumber,3346)="","",INDEX(I.Facility.P3IDNumber,3346))</f>
        <v/>
      </c>
      <c r="G18358" s="51"/>
      <c r="H18358" s="46" t="str">
        <f>IF(AND(I.Developer.P3=TRUE,I.Facility.P3FacilityCount&gt;=3346,F18358=""),"Incomplete","Complete")</f>
        <v>Complete</v>
      </c>
      <c r="I18358" s="48" t="s">
        <v>22723</v>
      </c>
    </row>
    <row r="18359" spans="2:9" ht="15" customHeight="1" x14ac:dyDescent="0.25">
      <c r="B18359" s="55" t="s">
        <v>282</v>
      </c>
      <c r="C18359" s="46">
        <v>3347</v>
      </c>
      <c r="D18359" s="69" t="s">
        <v>29419</v>
      </c>
      <c r="E18359" s="51"/>
      <c r="F18359" s="114" t="str">
        <f>IF(INDEX(I.Facility.P3IDNumber,3347)="","",INDEX(I.Facility.P3IDNumber,3347))</f>
        <v/>
      </c>
      <c r="G18359" s="51"/>
      <c r="H18359" s="46" t="str">
        <f>IF(AND(I.Developer.P3=TRUE,I.Facility.P3FacilityCount&gt;=3347,F18359=""),"Incomplete","Complete")</f>
        <v>Complete</v>
      </c>
      <c r="I18359" s="48" t="s">
        <v>22724</v>
      </c>
    </row>
    <row r="18360" spans="2:9" ht="15" customHeight="1" x14ac:dyDescent="0.25">
      <c r="B18360" s="55" t="s">
        <v>282</v>
      </c>
      <c r="C18360" s="46">
        <v>3348</v>
      </c>
      <c r="D18360" s="69" t="s">
        <v>29419</v>
      </c>
      <c r="E18360" s="51"/>
      <c r="F18360" s="114" t="str">
        <f>IF(INDEX(I.Facility.P3IDNumber,3348)="","",INDEX(I.Facility.P3IDNumber,3348))</f>
        <v/>
      </c>
      <c r="G18360" s="51"/>
      <c r="H18360" s="46" t="str">
        <f>IF(AND(I.Developer.P3=TRUE,I.Facility.P3FacilityCount&gt;=3348,F18360=""),"Incomplete","Complete")</f>
        <v>Complete</v>
      </c>
      <c r="I18360" s="48" t="s">
        <v>22725</v>
      </c>
    </row>
    <row r="18361" spans="2:9" ht="15" customHeight="1" x14ac:dyDescent="0.25">
      <c r="B18361" s="55" t="s">
        <v>282</v>
      </c>
      <c r="C18361" s="46">
        <v>3349</v>
      </c>
      <c r="D18361" s="69" t="s">
        <v>29419</v>
      </c>
      <c r="E18361" s="51"/>
      <c r="F18361" s="114" t="str">
        <f>IF(INDEX(I.Facility.P3IDNumber,3349)="","",INDEX(I.Facility.P3IDNumber,3349))</f>
        <v/>
      </c>
      <c r="G18361" s="51"/>
      <c r="H18361" s="46" t="str">
        <f>IF(AND(I.Developer.P3=TRUE,I.Facility.P3FacilityCount&gt;=3349,F18361=""),"Incomplete","Complete")</f>
        <v>Complete</v>
      </c>
      <c r="I18361" s="48" t="s">
        <v>22726</v>
      </c>
    </row>
    <row r="18362" spans="2:9" ht="15" customHeight="1" x14ac:dyDescent="0.25">
      <c r="B18362" s="55" t="s">
        <v>282</v>
      </c>
      <c r="C18362" s="46">
        <v>3350</v>
      </c>
      <c r="D18362" s="69" t="s">
        <v>29419</v>
      </c>
      <c r="E18362" s="51"/>
      <c r="F18362" s="114" t="str">
        <f>IF(INDEX(I.Facility.P3IDNumber,3350)="","",INDEX(I.Facility.P3IDNumber,3350))</f>
        <v/>
      </c>
      <c r="G18362" s="51"/>
      <c r="H18362" s="46" t="str">
        <f>IF(AND(I.Developer.P3=TRUE,I.Facility.P3FacilityCount&gt;=3350,F18362=""),"Incomplete","Complete")</f>
        <v>Complete</v>
      </c>
      <c r="I18362" s="48" t="s">
        <v>22727</v>
      </c>
    </row>
    <row r="18363" spans="2:9" ht="15" customHeight="1" x14ac:dyDescent="0.25">
      <c r="B18363" s="55" t="s">
        <v>282</v>
      </c>
      <c r="C18363" s="46">
        <v>3351</v>
      </c>
      <c r="D18363" s="69" t="s">
        <v>29419</v>
      </c>
      <c r="E18363" s="51"/>
      <c r="F18363" s="114" t="str">
        <f>IF(INDEX(I.Facility.P3IDNumber,3351)="","",INDEX(I.Facility.P3IDNumber,3351))</f>
        <v/>
      </c>
      <c r="G18363" s="51"/>
      <c r="H18363" s="46" t="str">
        <f>IF(AND(I.Developer.P3=TRUE,I.Facility.P3FacilityCount&gt;=3351,F18363=""),"Incomplete","Complete")</f>
        <v>Complete</v>
      </c>
      <c r="I18363" s="48" t="s">
        <v>22728</v>
      </c>
    </row>
    <row r="18364" spans="2:9" ht="15" customHeight="1" x14ac:dyDescent="0.25">
      <c r="B18364" s="55" t="s">
        <v>282</v>
      </c>
      <c r="C18364" s="46">
        <v>3352</v>
      </c>
      <c r="D18364" s="69" t="s">
        <v>29419</v>
      </c>
      <c r="E18364" s="51"/>
      <c r="F18364" s="114" t="str">
        <f>IF(INDEX(I.Facility.P3IDNumber,3352)="","",INDEX(I.Facility.P3IDNumber,3352))</f>
        <v/>
      </c>
      <c r="G18364" s="51"/>
      <c r="H18364" s="46" t="str">
        <f>IF(AND(I.Developer.P3=TRUE,I.Facility.P3FacilityCount&gt;=3352,F18364=""),"Incomplete","Complete")</f>
        <v>Complete</v>
      </c>
      <c r="I18364" s="48" t="s">
        <v>22729</v>
      </c>
    </row>
    <row r="18365" spans="2:9" ht="15" customHeight="1" x14ac:dyDescent="0.25">
      <c r="B18365" s="55" t="s">
        <v>282</v>
      </c>
      <c r="C18365" s="46">
        <v>3353</v>
      </c>
      <c r="D18365" s="69" t="s">
        <v>29419</v>
      </c>
      <c r="E18365" s="51"/>
      <c r="F18365" s="114" t="str">
        <f>IF(INDEX(I.Facility.P3IDNumber,3353)="","",INDEX(I.Facility.P3IDNumber,3353))</f>
        <v/>
      </c>
      <c r="G18365" s="51"/>
      <c r="H18365" s="46" t="str">
        <f>IF(AND(I.Developer.P3=TRUE,I.Facility.P3FacilityCount&gt;=3353,F18365=""),"Incomplete","Complete")</f>
        <v>Complete</v>
      </c>
      <c r="I18365" s="48" t="s">
        <v>22730</v>
      </c>
    </row>
    <row r="18366" spans="2:9" ht="15" customHeight="1" x14ac:dyDescent="0.25">
      <c r="B18366" s="55" t="s">
        <v>282</v>
      </c>
      <c r="C18366" s="46">
        <v>3354</v>
      </c>
      <c r="D18366" s="69" t="s">
        <v>29419</v>
      </c>
      <c r="E18366" s="51"/>
      <c r="F18366" s="114" t="str">
        <f>IF(INDEX(I.Facility.P3IDNumber,3354)="","",INDEX(I.Facility.P3IDNumber,3354))</f>
        <v/>
      </c>
      <c r="G18366" s="51"/>
      <c r="H18366" s="46" t="str">
        <f>IF(AND(I.Developer.P3=TRUE,I.Facility.P3FacilityCount&gt;=3354,F18366=""),"Incomplete","Complete")</f>
        <v>Complete</v>
      </c>
      <c r="I18366" s="48" t="s">
        <v>22731</v>
      </c>
    </row>
    <row r="18367" spans="2:9" ht="15" customHeight="1" x14ac:dyDescent="0.25">
      <c r="B18367" s="55" t="s">
        <v>282</v>
      </c>
      <c r="C18367" s="46">
        <v>3355</v>
      </c>
      <c r="D18367" s="69" t="s">
        <v>29419</v>
      </c>
      <c r="E18367" s="51"/>
      <c r="F18367" s="114" t="str">
        <f>IF(INDEX(I.Facility.P3IDNumber,3355)="","",INDEX(I.Facility.P3IDNumber,3355))</f>
        <v/>
      </c>
      <c r="G18367" s="51"/>
      <c r="H18367" s="46" t="str">
        <f>IF(AND(I.Developer.P3=TRUE,I.Facility.P3FacilityCount&gt;=3355,F18367=""),"Incomplete","Complete")</f>
        <v>Complete</v>
      </c>
      <c r="I18367" s="48" t="s">
        <v>22732</v>
      </c>
    </row>
    <row r="18368" spans="2:9" ht="15" customHeight="1" x14ac:dyDescent="0.25">
      <c r="B18368" s="55" t="s">
        <v>282</v>
      </c>
      <c r="C18368" s="46">
        <v>3356</v>
      </c>
      <c r="D18368" s="69" t="s">
        <v>29419</v>
      </c>
      <c r="E18368" s="51"/>
      <c r="F18368" s="114" t="str">
        <f>IF(INDEX(I.Facility.P3IDNumber,3356)="","",INDEX(I.Facility.P3IDNumber,3356))</f>
        <v/>
      </c>
      <c r="G18368" s="51"/>
      <c r="H18368" s="46" t="str">
        <f>IF(AND(I.Developer.P3=TRUE,I.Facility.P3FacilityCount&gt;=3356,F18368=""),"Incomplete","Complete")</f>
        <v>Complete</v>
      </c>
      <c r="I18368" s="48" t="s">
        <v>22733</v>
      </c>
    </row>
    <row r="18369" spans="2:9" ht="15" customHeight="1" x14ac:dyDescent="0.25">
      <c r="B18369" s="55" t="s">
        <v>282</v>
      </c>
      <c r="C18369" s="46">
        <v>3357</v>
      </c>
      <c r="D18369" s="69" t="s">
        <v>29419</v>
      </c>
      <c r="E18369" s="51"/>
      <c r="F18369" s="114" t="str">
        <f>IF(INDEX(I.Facility.P3IDNumber,3357)="","",INDEX(I.Facility.P3IDNumber,3357))</f>
        <v/>
      </c>
      <c r="G18369" s="51"/>
      <c r="H18369" s="46" t="str">
        <f>IF(AND(I.Developer.P3=TRUE,I.Facility.P3FacilityCount&gt;=3357,F18369=""),"Incomplete","Complete")</f>
        <v>Complete</v>
      </c>
      <c r="I18369" s="48" t="s">
        <v>22734</v>
      </c>
    </row>
    <row r="18370" spans="2:9" ht="15" customHeight="1" x14ac:dyDescent="0.25">
      <c r="B18370" s="55" t="s">
        <v>282</v>
      </c>
      <c r="C18370" s="46">
        <v>3358</v>
      </c>
      <c r="D18370" s="69" t="s">
        <v>29419</v>
      </c>
      <c r="E18370" s="51"/>
      <c r="F18370" s="114" t="str">
        <f>IF(INDEX(I.Facility.P3IDNumber,3358)="","",INDEX(I.Facility.P3IDNumber,3358))</f>
        <v/>
      </c>
      <c r="G18370" s="51"/>
      <c r="H18370" s="46" t="str">
        <f>IF(AND(I.Developer.P3=TRUE,I.Facility.P3FacilityCount&gt;=3358,F18370=""),"Incomplete","Complete")</f>
        <v>Complete</v>
      </c>
      <c r="I18370" s="48" t="s">
        <v>22735</v>
      </c>
    </row>
    <row r="18371" spans="2:9" ht="15" customHeight="1" x14ac:dyDescent="0.25">
      <c r="B18371" s="55" t="s">
        <v>282</v>
      </c>
      <c r="C18371" s="46">
        <v>3359</v>
      </c>
      <c r="D18371" s="69" t="s">
        <v>29419</v>
      </c>
      <c r="E18371" s="51"/>
      <c r="F18371" s="114" t="str">
        <f>IF(INDEX(I.Facility.P3IDNumber,3359)="","",INDEX(I.Facility.P3IDNumber,3359))</f>
        <v/>
      </c>
      <c r="G18371" s="51"/>
      <c r="H18371" s="46" t="str">
        <f>IF(AND(I.Developer.P3=TRUE,I.Facility.P3FacilityCount&gt;=3359,F18371=""),"Incomplete","Complete")</f>
        <v>Complete</v>
      </c>
      <c r="I18371" s="48" t="s">
        <v>22736</v>
      </c>
    </row>
    <row r="18372" spans="2:9" ht="15" customHeight="1" x14ac:dyDescent="0.25">
      <c r="B18372" s="55" t="s">
        <v>282</v>
      </c>
      <c r="C18372" s="46">
        <v>3360</v>
      </c>
      <c r="D18372" s="69" t="s">
        <v>29419</v>
      </c>
      <c r="E18372" s="51"/>
      <c r="F18372" s="114" t="str">
        <f>IF(INDEX(I.Facility.P3IDNumber,3360)="","",INDEX(I.Facility.P3IDNumber,3360))</f>
        <v/>
      </c>
      <c r="G18372" s="51"/>
      <c r="H18372" s="46" t="str">
        <f>IF(AND(I.Developer.P3=TRUE,I.Facility.P3FacilityCount&gt;=3360,F18372=""),"Incomplete","Complete")</f>
        <v>Complete</v>
      </c>
      <c r="I18372" s="48" t="s">
        <v>22737</v>
      </c>
    </row>
    <row r="18373" spans="2:9" ht="15" customHeight="1" x14ac:dyDescent="0.25">
      <c r="B18373" s="55" t="s">
        <v>282</v>
      </c>
      <c r="C18373" s="46">
        <v>3361</v>
      </c>
      <c r="D18373" s="69" t="s">
        <v>29419</v>
      </c>
      <c r="E18373" s="51"/>
      <c r="F18373" s="114" t="str">
        <f>IF(INDEX(I.Facility.P3IDNumber,3361)="","",INDEX(I.Facility.P3IDNumber,3361))</f>
        <v/>
      </c>
      <c r="G18373" s="51"/>
      <c r="H18373" s="46" t="str">
        <f>IF(AND(I.Developer.P3=TRUE,I.Facility.P3FacilityCount&gt;=3361,F18373=""),"Incomplete","Complete")</f>
        <v>Complete</v>
      </c>
      <c r="I18373" s="48" t="s">
        <v>22738</v>
      </c>
    </row>
    <row r="18374" spans="2:9" ht="15" customHeight="1" x14ac:dyDescent="0.25">
      <c r="B18374" s="55" t="s">
        <v>282</v>
      </c>
      <c r="C18374" s="46">
        <v>3362</v>
      </c>
      <c r="D18374" s="69" t="s">
        <v>29419</v>
      </c>
      <c r="E18374" s="51"/>
      <c r="F18374" s="114" t="str">
        <f>IF(INDEX(I.Facility.P3IDNumber,3362)="","",INDEX(I.Facility.P3IDNumber,3362))</f>
        <v/>
      </c>
      <c r="G18374" s="51"/>
      <c r="H18374" s="46" t="str">
        <f>IF(AND(I.Developer.P3=TRUE,I.Facility.P3FacilityCount&gt;=3362,F18374=""),"Incomplete","Complete")</f>
        <v>Complete</v>
      </c>
      <c r="I18374" s="48" t="s">
        <v>22739</v>
      </c>
    </row>
    <row r="18375" spans="2:9" ht="15" customHeight="1" x14ac:dyDescent="0.25">
      <c r="B18375" s="55" t="s">
        <v>282</v>
      </c>
      <c r="C18375" s="46">
        <v>3363</v>
      </c>
      <c r="D18375" s="69" t="s">
        <v>29419</v>
      </c>
      <c r="E18375" s="51"/>
      <c r="F18375" s="114" t="str">
        <f>IF(INDEX(I.Facility.P3IDNumber,3363)="","",INDEX(I.Facility.P3IDNumber,3363))</f>
        <v/>
      </c>
      <c r="G18375" s="51"/>
      <c r="H18375" s="46" t="str">
        <f>IF(AND(I.Developer.P3=TRUE,I.Facility.P3FacilityCount&gt;=3363,F18375=""),"Incomplete","Complete")</f>
        <v>Complete</v>
      </c>
      <c r="I18375" s="48" t="s">
        <v>22740</v>
      </c>
    </row>
    <row r="18376" spans="2:9" ht="15" customHeight="1" x14ac:dyDescent="0.25">
      <c r="B18376" s="55" t="s">
        <v>282</v>
      </c>
      <c r="C18376" s="46">
        <v>3364</v>
      </c>
      <c r="D18376" s="69" t="s">
        <v>29419</v>
      </c>
      <c r="E18376" s="51"/>
      <c r="F18376" s="114" t="str">
        <f>IF(INDEX(I.Facility.P3IDNumber,3364)="","",INDEX(I.Facility.P3IDNumber,3364))</f>
        <v/>
      </c>
      <c r="G18376" s="51"/>
      <c r="H18376" s="46" t="str">
        <f>IF(AND(I.Developer.P3=TRUE,I.Facility.P3FacilityCount&gt;=3364,F18376=""),"Incomplete","Complete")</f>
        <v>Complete</v>
      </c>
      <c r="I18376" s="48" t="s">
        <v>22741</v>
      </c>
    </row>
    <row r="18377" spans="2:9" ht="15" customHeight="1" x14ac:dyDescent="0.25">
      <c r="B18377" s="55" t="s">
        <v>282</v>
      </c>
      <c r="C18377" s="46">
        <v>3365</v>
      </c>
      <c r="D18377" s="69" t="s">
        <v>29419</v>
      </c>
      <c r="E18377" s="51"/>
      <c r="F18377" s="114" t="str">
        <f>IF(INDEX(I.Facility.P3IDNumber,3365)="","",INDEX(I.Facility.P3IDNumber,3365))</f>
        <v/>
      </c>
      <c r="G18377" s="51"/>
      <c r="H18377" s="46" t="str">
        <f>IF(AND(I.Developer.P3=TRUE,I.Facility.P3FacilityCount&gt;=3365,F18377=""),"Incomplete","Complete")</f>
        <v>Complete</v>
      </c>
      <c r="I18377" s="48" t="s">
        <v>22742</v>
      </c>
    </row>
    <row r="18378" spans="2:9" ht="15" customHeight="1" x14ac:dyDescent="0.25">
      <c r="B18378" s="55" t="s">
        <v>282</v>
      </c>
      <c r="C18378" s="46">
        <v>3366</v>
      </c>
      <c r="D18378" s="69" t="s">
        <v>29419</v>
      </c>
      <c r="E18378" s="51"/>
      <c r="F18378" s="114" t="str">
        <f>IF(INDEX(I.Facility.P3IDNumber,3366)="","",INDEX(I.Facility.P3IDNumber,3366))</f>
        <v/>
      </c>
      <c r="G18378" s="51"/>
      <c r="H18378" s="46" t="str">
        <f>IF(AND(I.Developer.P3=TRUE,I.Facility.P3FacilityCount&gt;=3366,F18378=""),"Incomplete","Complete")</f>
        <v>Complete</v>
      </c>
      <c r="I18378" s="48" t="s">
        <v>22743</v>
      </c>
    </row>
    <row r="18379" spans="2:9" ht="15" customHeight="1" x14ac:dyDescent="0.25">
      <c r="B18379" s="55" t="s">
        <v>282</v>
      </c>
      <c r="C18379" s="46">
        <v>3367</v>
      </c>
      <c r="D18379" s="69" t="s">
        <v>29419</v>
      </c>
      <c r="E18379" s="51"/>
      <c r="F18379" s="114" t="str">
        <f>IF(INDEX(I.Facility.P3IDNumber,3367)="","",INDEX(I.Facility.P3IDNumber,3367))</f>
        <v/>
      </c>
      <c r="G18379" s="51"/>
      <c r="H18379" s="46" t="str">
        <f>IF(AND(I.Developer.P3=TRUE,I.Facility.P3FacilityCount&gt;=3367,F18379=""),"Incomplete","Complete")</f>
        <v>Complete</v>
      </c>
      <c r="I18379" s="48" t="s">
        <v>22744</v>
      </c>
    </row>
    <row r="18380" spans="2:9" ht="15" customHeight="1" x14ac:dyDescent="0.25">
      <c r="B18380" s="55" t="s">
        <v>282</v>
      </c>
      <c r="C18380" s="46">
        <v>3368</v>
      </c>
      <c r="D18380" s="69" t="s">
        <v>29419</v>
      </c>
      <c r="E18380" s="51"/>
      <c r="F18380" s="114" t="str">
        <f>IF(INDEX(I.Facility.P3IDNumber,3368)="","",INDEX(I.Facility.P3IDNumber,3368))</f>
        <v/>
      </c>
      <c r="G18380" s="51"/>
      <c r="H18380" s="46" t="str">
        <f>IF(AND(I.Developer.P3=TRUE,I.Facility.P3FacilityCount&gt;=3368,F18380=""),"Incomplete","Complete")</f>
        <v>Complete</v>
      </c>
      <c r="I18380" s="48" t="s">
        <v>22745</v>
      </c>
    </row>
    <row r="18381" spans="2:9" ht="15" customHeight="1" x14ac:dyDescent="0.25">
      <c r="B18381" s="55" t="s">
        <v>282</v>
      </c>
      <c r="C18381" s="46">
        <v>3369</v>
      </c>
      <c r="D18381" s="69" t="s">
        <v>29419</v>
      </c>
      <c r="E18381" s="51"/>
      <c r="F18381" s="114" t="str">
        <f>IF(INDEX(I.Facility.P3IDNumber,3369)="","",INDEX(I.Facility.P3IDNumber,3369))</f>
        <v/>
      </c>
      <c r="G18381" s="51"/>
      <c r="H18381" s="46" t="str">
        <f>IF(AND(I.Developer.P3=TRUE,I.Facility.P3FacilityCount&gt;=3369,F18381=""),"Incomplete","Complete")</f>
        <v>Complete</v>
      </c>
      <c r="I18381" s="48" t="s">
        <v>22746</v>
      </c>
    </row>
    <row r="18382" spans="2:9" ht="15" customHeight="1" x14ac:dyDescent="0.25">
      <c r="B18382" s="55" t="s">
        <v>282</v>
      </c>
      <c r="C18382" s="46">
        <v>3370</v>
      </c>
      <c r="D18382" s="69" t="s">
        <v>29419</v>
      </c>
      <c r="E18382" s="51"/>
      <c r="F18382" s="114" t="str">
        <f>IF(INDEX(I.Facility.P3IDNumber,3370)="","",INDEX(I.Facility.P3IDNumber,3370))</f>
        <v/>
      </c>
      <c r="G18382" s="51"/>
      <c r="H18382" s="46" t="str">
        <f>IF(AND(I.Developer.P3=TRUE,I.Facility.P3FacilityCount&gt;=3370,F18382=""),"Incomplete","Complete")</f>
        <v>Complete</v>
      </c>
      <c r="I18382" s="48" t="s">
        <v>22747</v>
      </c>
    </row>
    <row r="18383" spans="2:9" ht="15" customHeight="1" x14ac:dyDescent="0.25">
      <c r="B18383" s="55" t="s">
        <v>282</v>
      </c>
      <c r="C18383" s="46">
        <v>3371</v>
      </c>
      <c r="D18383" s="69" t="s">
        <v>29419</v>
      </c>
      <c r="E18383" s="51"/>
      <c r="F18383" s="114" t="str">
        <f>IF(INDEX(I.Facility.P3IDNumber,3371)="","",INDEX(I.Facility.P3IDNumber,3371))</f>
        <v/>
      </c>
      <c r="G18383" s="51"/>
      <c r="H18383" s="46" t="str">
        <f>IF(AND(I.Developer.P3=TRUE,I.Facility.P3FacilityCount&gt;=3371,F18383=""),"Incomplete","Complete")</f>
        <v>Complete</v>
      </c>
      <c r="I18383" s="48" t="s">
        <v>22748</v>
      </c>
    </row>
    <row r="18384" spans="2:9" ht="15" customHeight="1" x14ac:dyDescent="0.25">
      <c r="B18384" s="55" t="s">
        <v>282</v>
      </c>
      <c r="C18384" s="46">
        <v>3372</v>
      </c>
      <c r="D18384" s="69" t="s">
        <v>29419</v>
      </c>
      <c r="E18384" s="51"/>
      <c r="F18384" s="114" t="str">
        <f>IF(INDEX(I.Facility.P3IDNumber,3372)="","",INDEX(I.Facility.P3IDNumber,3372))</f>
        <v/>
      </c>
      <c r="G18384" s="51"/>
      <c r="H18384" s="46" t="str">
        <f>IF(AND(I.Developer.P3=TRUE,I.Facility.P3FacilityCount&gt;=3372,F18384=""),"Incomplete","Complete")</f>
        <v>Complete</v>
      </c>
      <c r="I18384" s="48" t="s">
        <v>22749</v>
      </c>
    </row>
    <row r="18385" spans="2:9" ht="15" customHeight="1" x14ac:dyDescent="0.25">
      <c r="B18385" s="55" t="s">
        <v>282</v>
      </c>
      <c r="C18385" s="46">
        <v>3373</v>
      </c>
      <c r="D18385" s="69" t="s">
        <v>29419</v>
      </c>
      <c r="E18385" s="51"/>
      <c r="F18385" s="114" t="str">
        <f>IF(INDEX(I.Facility.P3IDNumber,3373)="","",INDEX(I.Facility.P3IDNumber,3373))</f>
        <v/>
      </c>
      <c r="G18385" s="51"/>
      <c r="H18385" s="46" t="str">
        <f>IF(AND(I.Developer.P3=TRUE,I.Facility.P3FacilityCount&gt;=3373,F18385=""),"Incomplete","Complete")</f>
        <v>Complete</v>
      </c>
      <c r="I18385" s="48" t="s">
        <v>22750</v>
      </c>
    </row>
    <row r="18386" spans="2:9" ht="15" customHeight="1" x14ac:dyDescent="0.25">
      <c r="B18386" s="55" t="s">
        <v>282</v>
      </c>
      <c r="C18386" s="46">
        <v>3374</v>
      </c>
      <c r="D18386" s="69" t="s">
        <v>29419</v>
      </c>
      <c r="E18386" s="51"/>
      <c r="F18386" s="114" t="str">
        <f>IF(INDEX(I.Facility.P3IDNumber,3374)="","",INDEX(I.Facility.P3IDNumber,3374))</f>
        <v/>
      </c>
      <c r="G18386" s="51"/>
      <c r="H18386" s="46" t="str">
        <f>IF(AND(I.Developer.P3=TRUE,I.Facility.P3FacilityCount&gt;=3374,F18386=""),"Incomplete","Complete")</f>
        <v>Complete</v>
      </c>
      <c r="I18386" s="48" t="s">
        <v>22751</v>
      </c>
    </row>
    <row r="18387" spans="2:9" ht="15" customHeight="1" x14ac:dyDescent="0.25">
      <c r="B18387" s="55" t="s">
        <v>282</v>
      </c>
      <c r="C18387" s="46">
        <v>3375</v>
      </c>
      <c r="D18387" s="69" t="s">
        <v>29419</v>
      </c>
      <c r="E18387" s="51"/>
      <c r="F18387" s="114" t="str">
        <f>IF(INDEX(I.Facility.P3IDNumber,3375)="","",INDEX(I.Facility.P3IDNumber,3375))</f>
        <v/>
      </c>
      <c r="G18387" s="51"/>
      <c r="H18387" s="46" t="str">
        <f>IF(AND(I.Developer.P3=TRUE,I.Facility.P3FacilityCount&gt;=3375,F18387=""),"Incomplete","Complete")</f>
        <v>Complete</v>
      </c>
      <c r="I18387" s="48" t="s">
        <v>22752</v>
      </c>
    </row>
    <row r="18388" spans="2:9" ht="15" customHeight="1" x14ac:dyDescent="0.25">
      <c r="B18388" s="55" t="s">
        <v>282</v>
      </c>
      <c r="C18388" s="46">
        <v>3376</v>
      </c>
      <c r="D18388" s="69" t="s">
        <v>29419</v>
      </c>
      <c r="E18388" s="51"/>
      <c r="F18388" s="114" t="str">
        <f>IF(INDEX(I.Facility.P3IDNumber,3376)="","",INDEX(I.Facility.P3IDNumber,3376))</f>
        <v/>
      </c>
      <c r="G18388" s="51"/>
      <c r="H18388" s="46" t="str">
        <f>IF(AND(I.Developer.P3=TRUE,I.Facility.P3FacilityCount&gt;=3376,F18388=""),"Incomplete","Complete")</f>
        <v>Complete</v>
      </c>
      <c r="I18388" s="48" t="s">
        <v>22753</v>
      </c>
    </row>
    <row r="18389" spans="2:9" ht="15" customHeight="1" x14ac:dyDescent="0.25">
      <c r="B18389" s="55" t="s">
        <v>282</v>
      </c>
      <c r="C18389" s="46">
        <v>3377</v>
      </c>
      <c r="D18389" s="69" t="s">
        <v>29419</v>
      </c>
      <c r="E18389" s="51"/>
      <c r="F18389" s="114" t="str">
        <f>IF(INDEX(I.Facility.P3IDNumber,3377)="","",INDEX(I.Facility.P3IDNumber,3377))</f>
        <v/>
      </c>
      <c r="G18389" s="51"/>
      <c r="H18389" s="46" t="str">
        <f>IF(AND(I.Developer.P3=TRUE,I.Facility.P3FacilityCount&gt;=3377,F18389=""),"Incomplete","Complete")</f>
        <v>Complete</v>
      </c>
      <c r="I18389" s="48" t="s">
        <v>22754</v>
      </c>
    </row>
    <row r="18390" spans="2:9" ht="15" customHeight="1" x14ac:dyDescent="0.25">
      <c r="B18390" s="55" t="s">
        <v>282</v>
      </c>
      <c r="C18390" s="46">
        <v>3378</v>
      </c>
      <c r="D18390" s="69" t="s">
        <v>29419</v>
      </c>
      <c r="E18390" s="51"/>
      <c r="F18390" s="114" t="str">
        <f>IF(INDEX(I.Facility.P3IDNumber,3378)="","",INDEX(I.Facility.P3IDNumber,3378))</f>
        <v/>
      </c>
      <c r="G18390" s="51"/>
      <c r="H18390" s="46" t="str">
        <f>IF(AND(I.Developer.P3=TRUE,I.Facility.P3FacilityCount&gt;=3378,F18390=""),"Incomplete","Complete")</f>
        <v>Complete</v>
      </c>
      <c r="I18390" s="48" t="s">
        <v>22755</v>
      </c>
    </row>
    <row r="18391" spans="2:9" ht="15" customHeight="1" x14ac:dyDescent="0.25">
      <c r="B18391" s="55" t="s">
        <v>282</v>
      </c>
      <c r="C18391" s="46">
        <v>3379</v>
      </c>
      <c r="D18391" s="69" t="s">
        <v>29419</v>
      </c>
      <c r="E18391" s="51"/>
      <c r="F18391" s="114" t="str">
        <f>IF(INDEX(I.Facility.P3IDNumber,3379)="","",INDEX(I.Facility.P3IDNumber,3379))</f>
        <v/>
      </c>
      <c r="G18391" s="51"/>
      <c r="H18391" s="46" t="str">
        <f>IF(AND(I.Developer.P3=TRUE,I.Facility.P3FacilityCount&gt;=3379,F18391=""),"Incomplete","Complete")</f>
        <v>Complete</v>
      </c>
      <c r="I18391" s="48" t="s">
        <v>22756</v>
      </c>
    </row>
    <row r="18392" spans="2:9" ht="15" customHeight="1" x14ac:dyDescent="0.25">
      <c r="B18392" s="55" t="s">
        <v>282</v>
      </c>
      <c r="C18392" s="46">
        <v>3380</v>
      </c>
      <c r="D18392" s="69" t="s">
        <v>29419</v>
      </c>
      <c r="E18392" s="51"/>
      <c r="F18392" s="114" t="str">
        <f>IF(INDEX(I.Facility.P3IDNumber,3380)="","",INDEX(I.Facility.P3IDNumber,3380))</f>
        <v/>
      </c>
      <c r="G18392" s="51"/>
      <c r="H18392" s="46" t="str">
        <f>IF(AND(I.Developer.P3=TRUE,I.Facility.P3FacilityCount&gt;=3380,F18392=""),"Incomplete","Complete")</f>
        <v>Complete</v>
      </c>
      <c r="I18392" s="48" t="s">
        <v>22757</v>
      </c>
    </row>
    <row r="18393" spans="2:9" ht="15" customHeight="1" x14ac:dyDescent="0.25">
      <c r="B18393" s="55" t="s">
        <v>282</v>
      </c>
      <c r="C18393" s="46">
        <v>3381</v>
      </c>
      <c r="D18393" s="69" t="s">
        <v>29419</v>
      </c>
      <c r="E18393" s="51"/>
      <c r="F18393" s="114" t="str">
        <f>IF(INDEX(I.Facility.P3IDNumber,3381)="","",INDEX(I.Facility.P3IDNumber,3381))</f>
        <v/>
      </c>
      <c r="G18393" s="51"/>
      <c r="H18393" s="46" t="str">
        <f>IF(AND(I.Developer.P3=TRUE,I.Facility.P3FacilityCount&gt;=3381,F18393=""),"Incomplete","Complete")</f>
        <v>Complete</v>
      </c>
      <c r="I18393" s="48" t="s">
        <v>22758</v>
      </c>
    </row>
    <row r="18394" spans="2:9" ht="15" customHeight="1" x14ac:dyDescent="0.25">
      <c r="B18394" s="55" t="s">
        <v>282</v>
      </c>
      <c r="C18394" s="46">
        <v>3382</v>
      </c>
      <c r="D18394" s="69" t="s">
        <v>29419</v>
      </c>
      <c r="E18394" s="51"/>
      <c r="F18394" s="114" t="str">
        <f>IF(INDEX(I.Facility.P3IDNumber,3382)="","",INDEX(I.Facility.P3IDNumber,3382))</f>
        <v/>
      </c>
      <c r="G18394" s="51"/>
      <c r="H18394" s="46" t="str">
        <f>IF(AND(I.Developer.P3=TRUE,I.Facility.P3FacilityCount&gt;=3382,F18394=""),"Incomplete","Complete")</f>
        <v>Complete</v>
      </c>
      <c r="I18394" s="48" t="s">
        <v>22759</v>
      </c>
    </row>
    <row r="18395" spans="2:9" ht="15" customHeight="1" x14ac:dyDescent="0.25">
      <c r="B18395" s="55" t="s">
        <v>282</v>
      </c>
      <c r="C18395" s="46">
        <v>3383</v>
      </c>
      <c r="D18395" s="69" t="s">
        <v>29419</v>
      </c>
      <c r="E18395" s="51"/>
      <c r="F18395" s="114" t="str">
        <f>IF(INDEX(I.Facility.P3IDNumber,3383)="","",INDEX(I.Facility.P3IDNumber,3383))</f>
        <v/>
      </c>
      <c r="G18395" s="51"/>
      <c r="H18395" s="46" t="str">
        <f>IF(AND(I.Developer.P3=TRUE,I.Facility.P3FacilityCount&gt;=3383,F18395=""),"Incomplete","Complete")</f>
        <v>Complete</v>
      </c>
      <c r="I18395" s="48" t="s">
        <v>22760</v>
      </c>
    </row>
    <row r="18396" spans="2:9" ht="15" customHeight="1" x14ac:dyDescent="0.25">
      <c r="B18396" s="55" t="s">
        <v>282</v>
      </c>
      <c r="C18396" s="46">
        <v>3384</v>
      </c>
      <c r="D18396" s="69" t="s">
        <v>29419</v>
      </c>
      <c r="E18396" s="51"/>
      <c r="F18396" s="114" t="str">
        <f>IF(INDEX(I.Facility.P3IDNumber,3384)="","",INDEX(I.Facility.P3IDNumber,3384))</f>
        <v/>
      </c>
      <c r="G18396" s="51"/>
      <c r="H18396" s="46" t="str">
        <f>IF(AND(I.Developer.P3=TRUE,I.Facility.P3FacilityCount&gt;=3384,F18396=""),"Incomplete","Complete")</f>
        <v>Complete</v>
      </c>
      <c r="I18396" s="48" t="s">
        <v>22761</v>
      </c>
    </row>
    <row r="18397" spans="2:9" ht="15" customHeight="1" x14ac:dyDescent="0.25">
      <c r="B18397" s="55" t="s">
        <v>282</v>
      </c>
      <c r="C18397" s="46">
        <v>3385</v>
      </c>
      <c r="D18397" s="69" t="s">
        <v>29419</v>
      </c>
      <c r="E18397" s="51"/>
      <c r="F18397" s="114" t="str">
        <f>IF(INDEX(I.Facility.P3IDNumber,3385)="","",INDEX(I.Facility.P3IDNumber,3385))</f>
        <v/>
      </c>
      <c r="G18397" s="51"/>
      <c r="H18397" s="46" t="str">
        <f>IF(AND(I.Developer.P3=TRUE,I.Facility.P3FacilityCount&gt;=3385,F18397=""),"Incomplete","Complete")</f>
        <v>Complete</v>
      </c>
      <c r="I18397" s="48" t="s">
        <v>22762</v>
      </c>
    </row>
    <row r="18398" spans="2:9" ht="15" customHeight="1" x14ac:dyDescent="0.25">
      <c r="B18398" s="55" t="s">
        <v>282</v>
      </c>
      <c r="C18398" s="46">
        <v>3386</v>
      </c>
      <c r="D18398" s="69" t="s">
        <v>29419</v>
      </c>
      <c r="E18398" s="51"/>
      <c r="F18398" s="114" t="str">
        <f>IF(INDEX(I.Facility.P3IDNumber,3386)="","",INDEX(I.Facility.P3IDNumber,3386))</f>
        <v/>
      </c>
      <c r="G18398" s="51"/>
      <c r="H18398" s="46" t="str">
        <f>IF(AND(I.Developer.P3=TRUE,I.Facility.P3FacilityCount&gt;=3386,F18398=""),"Incomplete","Complete")</f>
        <v>Complete</v>
      </c>
      <c r="I18398" s="48" t="s">
        <v>22763</v>
      </c>
    </row>
    <row r="18399" spans="2:9" ht="15" customHeight="1" x14ac:dyDescent="0.25">
      <c r="B18399" s="55" t="s">
        <v>282</v>
      </c>
      <c r="C18399" s="46">
        <v>3387</v>
      </c>
      <c r="D18399" s="69" t="s">
        <v>29419</v>
      </c>
      <c r="E18399" s="51"/>
      <c r="F18399" s="114" t="str">
        <f>IF(INDEX(I.Facility.P3IDNumber,3387)="","",INDEX(I.Facility.P3IDNumber,3387))</f>
        <v/>
      </c>
      <c r="G18399" s="51"/>
      <c r="H18399" s="46" t="str">
        <f>IF(AND(I.Developer.P3=TRUE,I.Facility.P3FacilityCount&gt;=3387,F18399=""),"Incomplete","Complete")</f>
        <v>Complete</v>
      </c>
      <c r="I18399" s="48" t="s">
        <v>22764</v>
      </c>
    </row>
    <row r="18400" spans="2:9" ht="15" customHeight="1" x14ac:dyDescent="0.25">
      <c r="B18400" s="55" t="s">
        <v>282</v>
      </c>
      <c r="C18400" s="46">
        <v>3388</v>
      </c>
      <c r="D18400" s="69" t="s">
        <v>29419</v>
      </c>
      <c r="E18400" s="51"/>
      <c r="F18400" s="114" t="str">
        <f>IF(INDEX(I.Facility.P3IDNumber,3388)="","",INDEX(I.Facility.P3IDNumber,3388))</f>
        <v/>
      </c>
      <c r="G18400" s="51"/>
      <c r="H18400" s="46" t="str">
        <f>IF(AND(I.Developer.P3=TRUE,I.Facility.P3FacilityCount&gt;=3388,F18400=""),"Incomplete","Complete")</f>
        <v>Complete</v>
      </c>
      <c r="I18400" s="48" t="s">
        <v>22765</v>
      </c>
    </row>
    <row r="18401" spans="2:9" ht="15" customHeight="1" x14ac:dyDescent="0.25">
      <c r="B18401" s="55" t="s">
        <v>282</v>
      </c>
      <c r="C18401" s="46">
        <v>3389</v>
      </c>
      <c r="D18401" s="69" t="s">
        <v>29419</v>
      </c>
      <c r="E18401" s="51"/>
      <c r="F18401" s="114" t="str">
        <f>IF(INDEX(I.Facility.P3IDNumber,3389)="","",INDEX(I.Facility.P3IDNumber,3389))</f>
        <v/>
      </c>
      <c r="G18401" s="51"/>
      <c r="H18401" s="46" t="str">
        <f>IF(AND(I.Developer.P3=TRUE,I.Facility.P3FacilityCount&gt;=3389,F18401=""),"Incomplete","Complete")</f>
        <v>Complete</v>
      </c>
      <c r="I18401" s="48" t="s">
        <v>22766</v>
      </c>
    </row>
    <row r="18402" spans="2:9" ht="15" customHeight="1" x14ac:dyDescent="0.25">
      <c r="B18402" s="55" t="s">
        <v>282</v>
      </c>
      <c r="C18402" s="46">
        <v>3390</v>
      </c>
      <c r="D18402" s="69" t="s">
        <v>29419</v>
      </c>
      <c r="E18402" s="51"/>
      <c r="F18402" s="114" t="str">
        <f>IF(INDEX(I.Facility.P3IDNumber,3390)="","",INDEX(I.Facility.P3IDNumber,3390))</f>
        <v/>
      </c>
      <c r="G18402" s="51"/>
      <c r="H18402" s="46" t="str">
        <f>IF(AND(I.Developer.P3=TRUE,I.Facility.P3FacilityCount&gt;=3390,F18402=""),"Incomplete","Complete")</f>
        <v>Complete</v>
      </c>
      <c r="I18402" s="48" t="s">
        <v>22767</v>
      </c>
    </row>
    <row r="18403" spans="2:9" ht="15" customHeight="1" x14ac:dyDescent="0.25">
      <c r="B18403" s="55" t="s">
        <v>282</v>
      </c>
      <c r="C18403" s="46">
        <v>3391</v>
      </c>
      <c r="D18403" s="69" t="s">
        <v>29419</v>
      </c>
      <c r="E18403" s="51"/>
      <c r="F18403" s="114" t="str">
        <f>IF(INDEX(I.Facility.P3IDNumber,3391)="","",INDEX(I.Facility.P3IDNumber,3391))</f>
        <v/>
      </c>
      <c r="G18403" s="51"/>
      <c r="H18403" s="46" t="str">
        <f>IF(AND(I.Developer.P3=TRUE,I.Facility.P3FacilityCount&gt;=3391,F18403=""),"Incomplete","Complete")</f>
        <v>Complete</v>
      </c>
      <c r="I18403" s="48" t="s">
        <v>22768</v>
      </c>
    </row>
    <row r="18404" spans="2:9" ht="15" customHeight="1" x14ac:dyDescent="0.25">
      <c r="B18404" s="55" t="s">
        <v>282</v>
      </c>
      <c r="C18404" s="46">
        <v>3392</v>
      </c>
      <c r="D18404" s="69" t="s">
        <v>29419</v>
      </c>
      <c r="E18404" s="51"/>
      <c r="F18404" s="114" t="str">
        <f>IF(INDEX(I.Facility.P3IDNumber,3392)="","",INDEX(I.Facility.P3IDNumber,3392))</f>
        <v/>
      </c>
      <c r="G18404" s="51"/>
      <c r="H18404" s="46" t="str">
        <f>IF(AND(I.Developer.P3=TRUE,I.Facility.P3FacilityCount&gt;=3392,F18404=""),"Incomplete","Complete")</f>
        <v>Complete</v>
      </c>
      <c r="I18404" s="48" t="s">
        <v>22769</v>
      </c>
    </row>
    <row r="18405" spans="2:9" ht="15" customHeight="1" x14ac:dyDescent="0.25">
      <c r="B18405" s="55" t="s">
        <v>282</v>
      </c>
      <c r="C18405" s="46">
        <v>3393</v>
      </c>
      <c r="D18405" s="69" t="s">
        <v>29419</v>
      </c>
      <c r="E18405" s="51"/>
      <c r="F18405" s="114" t="str">
        <f>IF(INDEX(I.Facility.P3IDNumber,3393)="","",INDEX(I.Facility.P3IDNumber,3393))</f>
        <v/>
      </c>
      <c r="G18405" s="51"/>
      <c r="H18405" s="46" t="str">
        <f>IF(AND(I.Developer.P3=TRUE,I.Facility.P3FacilityCount&gt;=3393,F18405=""),"Incomplete","Complete")</f>
        <v>Complete</v>
      </c>
      <c r="I18405" s="48" t="s">
        <v>22770</v>
      </c>
    </row>
    <row r="18406" spans="2:9" ht="15" customHeight="1" x14ac:dyDescent="0.25">
      <c r="B18406" s="55" t="s">
        <v>282</v>
      </c>
      <c r="C18406" s="46">
        <v>3394</v>
      </c>
      <c r="D18406" s="69" t="s">
        <v>29419</v>
      </c>
      <c r="E18406" s="51"/>
      <c r="F18406" s="114" t="str">
        <f>IF(INDEX(I.Facility.P3IDNumber,3394)="","",INDEX(I.Facility.P3IDNumber,3394))</f>
        <v/>
      </c>
      <c r="G18406" s="51"/>
      <c r="H18406" s="46" t="str">
        <f>IF(AND(I.Developer.P3=TRUE,I.Facility.P3FacilityCount&gt;=3394,F18406=""),"Incomplete","Complete")</f>
        <v>Complete</v>
      </c>
      <c r="I18406" s="48" t="s">
        <v>22771</v>
      </c>
    </row>
    <row r="18407" spans="2:9" ht="15" customHeight="1" x14ac:dyDescent="0.25">
      <c r="B18407" s="55" t="s">
        <v>282</v>
      </c>
      <c r="C18407" s="46">
        <v>3395</v>
      </c>
      <c r="D18407" s="69" t="s">
        <v>29419</v>
      </c>
      <c r="E18407" s="51"/>
      <c r="F18407" s="114" t="str">
        <f>IF(INDEX(I.Facility.P3IDNumber,3395)="","",INDEX(I.Facility.P3IDNumber,3395))</f>
        <v/>
      </c>
      <c r="G18407" s="51"/>
      <c r="H18407" s="46" t="str">
        <f>IF(AND(I.Developer.P3=TRUE,I.Facility.P3FacilityCount&gt;=3395,F18407=""),"Incomplete","Complete")</f>
        <v>Complete</v>
      </c>
      <c r="I18407" s="48" t="s">
        <v>22772</v>
      </c>
    </row>
    <row r="18408" spans="2:9" ht="15" customHeight="1" x14ac:dyDescent="0.25">
      <c r="B18408" s="55" t="s">
        <v>282</v>
      </c>
      <c r="C18408" s="46">
        <v>3396</v>
      </c>
      <c r="D18408" s="69" t="s">
        <v>29419</v>
      </c>
      <c r="E18408" s="51"/>
      <c r="F18408" s="114" t="str">
        <f>IF(INDEX(I.Facility.P3IDNumber,3396)="","",INDEX(I.Facility.P3IDNumber,3396))</f>
        <v/>
      </c>
      <c r="G18408" s="51"/>
      <c r="H18408" s="46" t="str">
        <f>IF(AND(I.Developer.P3=TRUE,I.Facility.P3FacilityCount&gt;=3396,F18408=""),"Incomplete","Complete")</f>
        <v>Complete</v>
      </c>
      <c r="I18408" s="48" t="s">
        <v>22773</v>
      </c>
    </row>
    <row r="18409" spans="2:9" ht="15" customHeight="1" x14ac:dyDescent="0.25">
      <c r="B18409" s="55" t="s">
        <v>282</v>
      </c>
      <c r="C18409" s="46">
        <v>3397</v>
      </c>
      <c r="D18409" s="69" t="s">
        <v>29419</v>
      </c>
      <c r="E18409" s="51"/>
      <c r="F18409" s="114" t="str">
        <f>IF(INDEX(I.Facility.P3IDNumber,3397)="","",INDEX(I.Facility.P3IDNumber,3397))</f>
        <v/>
      </c>
      <c r="G18409" s="51"/>
      <c r="H18409" s="46" t="str">
        <f>IF(AND(I.Developer.P3=TRUE,I.Facility.P3FacilityCount&gt;=3397,F18409=""),"Incomplete","Complete")</f>
        <v>Complete</v>
      </c>
      <c r="I18409" s="48" t="s">
        <v>22774</v>
      </c>
    </row>
    <row r="18410" spans="2:9" ht="15" customHeight="1" x14ac:dyDescent="0.25">
      <c r="B18410" s="55" t="s">
        <v>282</v>
      </c>
      <c r="C18410" s="46">
        <v>3398</v>
      </c>
      <c r="D18410" s="69" t="s">
        <v>29419</v>
      </c>
      <c r="E18410" s="51"/>
      <c r="F18410" s="114" t="str">
        <f>IF(INDEX(I.Facility.P3IDNumber,3398)="","",INDEX(I.Facility.P3IDNumber,3398))</f>
        <v/>
      </c>
      <c r="G18410" s="51"/>
      <c r="H18410" s="46" t="str">
        <f>IF(AND(I.Developer.P3=TRUE,I.Facility.P3FacilityCount&gt;=3398,F18410=""),"Incomplete","Complete")</f>
        <v>Complete</v>
      </c>
      <c r="I18410" s="48" t="s">
        <v>22775</v>
      </c>
    </row>
    <row r="18411" spans="2:9" ht="15" customHeight="1" x14ac:dyDescent="0.25">
      <c r="B18411" s="55" t="s">
        <v>282</v>
      </c>
      <c r="C18411" s="46">
        <v>3399</v>
      </c>
      <c r="D18411" s="69" t="s">
        <v>29419</v>
      </c>
      <c r="E18411" s="51"/>
      <c r="F18411" s="114" t="str">
        <f>IF(INDEX(I.Facility.P3IDNumber,3399)="","",INDEX(I.Facility.P3IDNumber,3399))</f>
        <v/>
      </c>
      <c r="G18411" s="51"/>
      <c r="H18411" s="46" t="str">
        <f>IF(AND(I.Developer.P3=TRUE,I.Facility.P3FacilityCount&gt;=3399,F18411=""),"Incomplete","Complete")</f>
        <v>Complete</v>
      </c>
      <c r="I18411" s="48" t="s">
        <v>22776</v>
      </c>
    </row>
    <row r="18412" spans="2:9" ht="15" customHeight="1" x14ac:dyDescent="0.25">
      <c r="B18412" s="55" t="s">
        <v>282</v>
      </c>
      <c r="C18412" s="46">
        <v>3400</v>
      </c>
      <c r="D18412" s="69" t="s">
        <v>29419</v>
      </c>
      <c r="E18412" s="51"/>
      <c r="F18412" s="114" t="str">
        <f>IF(INDEX(I.Facility.P3IDNumber,3400)="","",INDEX(I.Facility.P3IDNumber,3400))</f>
        <v/>
      </c>
      <c r="G18412" s="51"/>
      <c r="H18412" s="46" t="str">
        <f>IF(AND(I.Developer.P3=TRUE,I.Facility.P3FacilityCount&gt;=3400,F18412=""),"Incomplete","Complete")</f>
        <v>Complete</v>
      </c>
      <c r="I18412" s="48" t="s">
        <v>22777</v>
      </c>
    </row>
    <row r="18413" spans="2:9" ht="15" customHeight="1" x14ac:dyDescent="0.25">
      <c r="B18413" s="55" t="s">
        <v>282</v>
      </c>
      <c r="C18413" s="46">
        <v>3401</v>
      </c>
      <c r="D18413" s="69" t="s">
        <v>29419</v>
      </c>
      <c r="E18413" s="51"/>
      <c r="F18413" s="114" t="str">
        <f>IF(INDEX(I.Facility.P3IDNumber,3401)="","",INDEX(I.Facility.P3IDNumber,3401))</f>
        <v/>
      </c>
      <c r="G18413" s="51"/>
      <c r="H18413" s="46" t="str">
        <f>IF(AND(I.Developer.P3=TRUE,I.Facility.P3FacilityCount&gt;=3401,F18413=""),"Incomplete","Complete")</f>
        <v>Complete</v>
      </c>
      <c r="I18413" s="48" t="s">
        <v>22778</v>
      </c>
    </row>
    <row r="18414" spans="2:9" ht="15" customHeight="1" x14ac:dyDescent="0.25">
      <c r="B18414" s="55" t="s">
        <v>282</v>
      </c>
      <c r="C18414" s="46">
        <v>3402</v>
      </c>
      <c r="D18414" s="69" t="s">
        <v>29419</v>
      </c>
      <c r="E18414" s="51"/>
      <c r="F18414" s="114" t="str">
        <f>IF(INDEX(I.Facility.P3IDNumber,3402)="","",INDEX(I.Facility.P3IDNumber,3402))</f>
        <v/>
      </c>
      <c r="G18414" s="51"/>
      <c r="H18414" s="46" t="str">
        <f>IF(AND(I.Developer.P3=TRUE,I.Facility.P3FacilityCount&gt;=3402,F18414=""),"Incomplete","Complete")</f>
        <v>Complete</v>
      </c>
      <c r="I18414" s="48" t="s">
        <v>22779</v>
      </c>
    </row>
    <row r="18415" spans="2:9" ht="15" customHeight="1" x14ac:dyDescent="0.25">
      <c r="B18415" s="55" t="s">
        <v>282</v>
      </c>
      <c r="C18415" s="46">
        <v>3403</v>
      </c>
      <c r="D18415" s="69" t="s">
        <v>29419</v>
      </c>
      <c r="E18415" s="51"/>
      <c r="F18415" s="114" t="str">
        <f>IF(INDEX(I.Facility.P3IDNumber,3403)="","",INDEX(I.Facility.P3IDNumber,3403))</f>
        <v/>
      </c>
      <c r="G18415" s="51"/>
      <c r="H18415" s="46" t="str">
        <f>IF(AND(I.Developer.P3=TRUE,I.Facility.P3FacilityCount&gt;=3403,F18415=""),"Incomplete","Complete")</f>
        <v>Complete</v>
      </c>
      <c r="I18415" s="48" t="s">
        <v>22780</v>
      </c>
    </row>
    <row r="18416" spans="2:9" ht="15" customHeight="1" x14ac:dyDescent="0.25">
      <c r="B18416" s="55" t="s">
        <v>282</v>
      </c>
      <c r="C18416" s="46">
        <v>3404</v>
      </c>
      <c r="D18416" s="69" t="s">
        <v>29419</v>
      </c>
      <c r="E18416" s="51"/>
      <c r="F18416" s="114" t="str">
        <f>IF(INDEX(I.Facility.P3IDNumber,3404)="","",INDEX(I.Facility.P3IDNumber,3404))</f>
        <v/>
      </c>
      <c r="G18416" s="51"/>
      <c r="H18416" s="46" t="str">
        <f>IF(AND(I.Developer.P3=TRUE,I.Facility.P3FacilityCount&gt;=3404,F18416=""),"Incomplete","Complete")</f>
        <v>Complete</v>
      </c>
      <c r="I18416" s="48" t="s">
        <v>22781</v>
      </c>
    </row>
    <row r="18417" spans="2:9" ht="15" customHeight="1" x14ac:dyDescent="0.25">
      <c r="B18417" s="55" t="s">
        <v>282</v>
      </c>
      <c r="C18417" s="46">
        <v>3405</v>
      </c>
      <c r="D18417" s="69" t="s">
        <v>29419</v>
      </c>
      <c r="E18417" s="51"/>
      <c r="F18417" s="114" t="str">
        <f>IF(INDEX(I.Facility.P3IDNumber,3405)="","",INDEX(I.Facility.P3IDNumber,3405))</f>
        <v/>
      </c>
      <c r="G18417" s="51"/>
      <c r="H18417" s="46" t="str">
        <f>IF(AND(I.Developer.P3=TRUE,I.Facility.P3FacilityCount&gt;=3405,F18417=""),"Incomplete","Complete")</f>
        <v>Complete</v>
      </c>
      <c r="I18417" s="48" t="s">
        <v>22782</v>
      </c>
    </row>
    <row r="18418" spans="2:9" ht="15" customHeight="1" x14ac:dyDescent="0.25">
      <c r="B18418" s="55" t="s">
        <v>282</v>
      </c>
      <c r="C18418" s="46">
        <v>3406</v>
      </c>
      <c r="D18418" s="69" t="s">
        <v>29419</v>
      </c>
      <c r="E18418" s="51"/>
      <c r="F18418" s="114" t="str">
        <f>IF(INDEX(I.Facility.P3IDNumber,3406)="","",INDEX(I.Facility.P3IDNumber,3406))</f>
        <v/>
      </c>
      <c r="G18418" s="51"/>
      <c r="H18418" s="46" t="str">
        <f>IF(AND(I.Developer.P3=TRUE,I.Facility.P3FacilityCount&gt;=3406,F18418=""),"Incomplete","Complete")</f>
        <v>Complete</v>
      </c>
      <c r="I18418" s="48" t="s">
        <v>22783</v>
      </c>
    </row>
    <row r="18419" spans="2:9" ht="15" customHeight="1" x14ac:dyDescent="0.25">
      <c r="B18419" s="55" t="s">
        <v>282</v>
      </c>
      <c r="C18419" s="46">
        <v>3407</v>
      </c>
      <c r="D18419" s="69" t="s">
        <v>29419</v>
      </c>
      <c r="E18419" s="51"/>
      <c r="F18419" s="114" t="str">
        <f>IF(INDEX(I.Facility.P3IDNumber,3407)="","",INDEX(I.Facility.P3IDNumber,3407))</f>
        <v/>
      </c>
      <c r="G18419" s="51"/>
      <c r="H18419" s="46" t="str">
        <f>IF(AND(I.Developer.P3=TRUE,I.Facility.P3FacilityCount&gt;=3407,F18419=""),"Incomplete","Complete")</f>
        <v>Complete</v>
      </c>
      <c r="I18419" s="48" t="s">
        <v>22784</v>
      </c>
    </row>
    <row r="18420" spans="2:9" ht="15" customHeight="1" x14ac:dyDescent="0.25">
      <c r="B18420" s="55" t="s">
        <v>282</v>
      </c>
      <c r="C18420" s="46">
        <v>3408</v>
      </c>
      <c r="D18420" s="69" t="s">
        <v>29419</v>
      </c>
      <c r="E18420" s="51"/>
      <c r="F18420" s="114" t="str">
        <f>IF(INDEX(I.Facility.P3IDNumber,3408)="","",INDEX(I.Facility.P3IDNumber,3408))</f>
        <v/>
      </c>
      <c r="G18420" s="51"/>
      <c r="H18420" s="46" t="str">
        <f>IF(AND(I.Developer.P3=TRUE,I.Facility.P3FacilityCount&gt;=3408,F18420=""),"Incomplete","Complete")</f>
        <v>Complete</v>
      </c>
      <c r="I18420" s="48" t="s">
        <v>22785</v>
      </c>
    </row>
    <row r="18421" spans="2:9" ht="15" customHeight="1" x14ac:dyDescent="0.25">
      <c r="B18421" s="55" t="s">
        <v>282</v>
      </c>
      <c r="C18421" s="46">
        <v>3409</v>
      </c>
      <c r="D18421" s="69" t="s">
        <v>29419</v>
      </c>
      <c r="E18421" s="51"/>
      <c r="F18421" s="114" t="str">
        <f>IF(INDEX(I.Facility.P3IDNumber,3409)="","",INDEX(I.Facility.P3IDNumber,3409))</f>
        <v/>
      </c>
      <c r="G18421" s="51"/>
      <c r="H18421" s="46" t="str">
        <f>IF(AND(I.Developer.P3=TRUE,I.Facility.P3FacilityCount&gt;=3409,F18421=""),"Incomplete","Complete")</f>
        <v>Complete</v>
      </c>
      <c r="I18421" s="48" t="s">
        <v>22786</v>
      </c>
    </row>
    <row r="18422" spans="2:9" ht="15" customHeight="1" x14ac:dyDescent="0.25">
      <c r="B18422" s="55" t="s">
        <v>282</v>
      </c>
      <c r="C18422" s="46">
        <v>3410</v>
      </c>
      <c r="D18422" s="69" t="s">
        <v>29419</v>
      </c>
      <c r="E18422" s="51"/>
      <c r="F18422" s="114" t="str">
        <f>IF(INDEX(I.Facility.P3IDNumber,3410)="","",INDEX(I.Facility.P3IDNumber,3410))</f>
        <v/>
      </c>
      <c r="G18422" s="51"/>
      <c r="H18422" s="46" t="str">
        <f>IF(AND(I.Developer.P3=TRUE,I.Facility.P3FacilityCount&gt;=3410,F18422=""),"Incomplete","Complete")</f>
        <v>Complete</v>
      </c>
      <c r="I18422" s="48" t="s">
        <v>22787</v>
      </c>
    </row>
    <row r="18423" spans="2:9" ht="15" customHeight="1" x14ac:dyDescent="0.25">
      <c r="B18423" s="55" t="s">
        <v>282</v>
      </c>
      <c r="C18423" s="46">
        <v>3411</v>
      </c>
      <c r="D18423" s="69" t="s">
        <v>29419</v>
      </c>
      <c r="E18423" s="51"/>
      <c r="F18423" s="114" t="str">
        <f>IF(INDEX(I.Facility.P3IDNumber,3411)="","",INDEX(I.Facility.P3IDNumber,3411))</f>
        <v/>
      </c>
      <c r="G18423" s="51"/>
      <c r="H18423" s="46" t="str">
        <f>IF(AND(I.Developer.P3=TRUE,I.Facility.P3FacilityCount&gt;=3411,F18423=""),"Incomplete","Complete")</f>
        <v>Complete</v>
      </c>
      <c r="I18423" s="48" t="s">
        <v>22788</v>
      </c>
    </row>
    <row r="18424" spans="2:9" ht="15" customHeight="1" x14ac:dyDescent="0.25">
      <c r="B18424" s="55" t="s">
        <v>282</v>
      </c>
      <c r="C18424" s="46">
        <v>3412</v>
      </c>
      <c r="D18424" s="69" t="s">
        <v>29419</v>
      </c>
      <c r="E18424" s="51"/>
      <c r="F18424" s="114" t="str">
        <f>IF(INDEX(I.Facility.P3IDNumber,3412)="","",INDEX(I.Facility.P3IDNumber,3412))</f>
        <v/>
      </c>
      <c r="G18424" s="51"/>
      <c r="H18424" s="46" t="str">
        <f>IF(AND(I.Developer.P3=TRUE,I.Facility.P3FacilityCount&gt;=3412,F18424=""),"Incomplete","Complete")</f>
        <v>Complete</v>
      </c>
      <c r="I18424" s="48" t="s">
        <v>22789</v>
      </c>
    </row>
    <row r="18425" spans="2:9" ht="15" customHeight="1" x14ac:dyDescent="0.25">
      <c r="B18425" s="55" t="s">
        <v>282</v>
      </c>
      <c r="C18425" s="46">
        <v>3413</v>
      </c>
      <c r="D18425" s="69" t="s">
        <v>29419</v>
      </c>
      <c r="E18425" s="51"/>
      <c r="F18425" s="114" t="str">
        <f>IF(INDEX(I.Facility.P3IDNumber,3413)="","",INDEX(I.Facility.P3IDNumber,3413))</f>
        <v/>
      </c>
      <c r="G18425" s="51"/>
      <c r="H18425" s="46" t="str">
        <f>IF(AND(I.Developer.P3=TRUE,I.Facility.P3FacilityCount&gt;=3413,F18425=""),"Incomplete","Complete")</f>
        <v>Complete</v>
      </c>
      <c r="I18425" s="48" t="s">
        <v>22790</v>
      </c>
    </row>
    <row r="18426" spans="2:9" ht="15" customHeight="1" x14ac:dyDescent="0.25">
      <c r="B18426" s="55" t="s">
        <v>282</v>
      </c>
      <c r="C18426" s="46">
        <v>3414</v>
      </c>
      <c r="D18426" s="69" t="s">
        <v>29419</v>
      </c>
      <c r="E18426" s="51"/>
      <c r="F18426" s="114" t="str">
        <f>IF(INDEX(I.Facility.P3IDNumber,3414)="","",INDEX(I.Facility.P3IDNumber,3414))</f>
        <v/>
      </c>
      <c r="G18426" s="51"/>
      <c r="H18426" s="46" t="str">
        <f>IF(AND(I.Developer.P3=TRUE,I.Facility.P3FacilityCount&gt;=3414,F18426=""),"Incomplete","Complete")</f>
        <v>Complete</v>
      </c>
      <c r="I18426" s="48" t="s">
        <v>22791</v>
      </c>
    </row>
    <row r="18427" spans="2:9" ht="15" customHeight="1" x14ac:dyDescent="0.25">
      <c r="B18427" s="55" t="s">
        <v>282</v>
      </c>
      <c r="C18427" s="46">
        <v>3415</v>
      </c>
      <c r="D18427" s="69" t="s">
        <v>29419</v>
      </c>
      <c r="E18427" s="51"/>
      <c r="F18427" s="114" t="str">
        <f>IF(INDEX(I.Facility.P3IDNumber,3415)="","",INDEX(I.Facility.P3IDNumber,3415))</f>
        <v/>
      </c>
      <c r="G18427" s="51"/>
      <c r="H18427" s="46" t="str">
        <f>IF(AND(I.Developer.P3=TRUE,I.Facility.P3FacilityCount&gt;=3415,F18427=""),"Incomplete","Complete")</f>
        <v>Complete</v>
      </c>
      <c r="I18427" s="48" t="s">
        <v>22792</v>
      </c>
    </row>
    <row r="18428" spans="2:9" ht="15" customHeight="1" x14ac:dyDescent="0.25">
      <c r="B18428" s="55" t="s">
        <v>282</v>
      </c>
      <c r="C18428" s="46">
        <v>3416</v>
      </c>
      <c r="D18428" s="69" t="s">
        <v>29419</v>
      </c>
      <c r="E18428" s="51"/>
      <c r="F18428" s="114" t="str">
        <f>IF(INDEX(I.Facility.P3IDNumber,3416)="","",INDEX(I.Facility.P3IDNumber,3416))</f>
        <v/>
      </c>
      <c r="G18428" s="51"/>
      <c r="H18428" s="46" t="str">
        <f>IF(AND(I.Developer.P3=TRUE,I.Facility.P3FacilityCount&gt;=3416,F18428=""),"Incomplete","Complete")</f>
        <v>Complete</v>
      </c>
      <c r="I18428" s="48" t="s">
        <v>22793</v>
      </c>
    </row>
    <row r="18429" spans="2:9" ht="15" customHeight="1" x14ac:dyDescent="0.25">
      <c r="B18429" s="55" t="s">
        <v>282</v>
      </c>
      <c r="C18429" s="46">
        <v>3417</v>
      </c>
      <c r="D18429" s="69" t="s">
        <v>29419</v>
      </c>
      <c r="E18429" s="51"/>
      <c r="F18429" s="114" t="str">
        <f>IF(INDEX(I.Facility.P3IDNumber,3417)="","",INDEX(I.Facility.P3IDNumber,3417))</f>
        <v/>
      </c>
      <c r="G18429" s="51"/>
      <c r="H18429" s="46" t="str">
        <f>IF(AND(I.Developer.P3=TRUE,I.Facility.P3FacilityCount&gt;=3417,F18429=""),"Incomplete","Complete")</f>
        <v>Complete</v>
      </c>
      <c r="I18429" s="48" t="s">
        <v>22794</v>
      </c>
    </row>
    <row r="18430" spans="2:9" ht="15" customHeight="1" x14ac:dyDescent="0.25">
      <c r="B18430" s="55" t="s">
        <v>282</v>
      </c>
      <c r="C18430" s="46">
        <v>3418</v>
      </c>
      <c r="D18430" s="69" t="s">
        <v>29419</v>
      </c>
      <c r="E18430" s="51"/>
      <c r="F18430" s="114" t="str">
        <f>IF(INDEX(I.Facility.P3IDNumber,3418)="","",INDEX(I.Facility.P3IDNumber,3418))</f>
        <v/>
      </c>
      <c r="G18430" s="51"/>
      <c r="H18430" s="46" t="str">
        <f>IF(AND(I.Developer.P3=TRUE,I.Facility.P3FacilityCount&gt;=3418,F18430=""),"Incomplete","Complete")</f>
        <v>Complete</v>
      </c>
      <c r="I18430" s="48" t="s">
        <v>22795</v>
      </c>
    </row>
    <row r="18431" spans="2:9" ht="15" customHeight="1" x14ac:dyDescent="0.25">
      <c r="B18431" s="55" t="s">
        <v>282</v>
      </c>
      <c r="C18431" s="46">
        <v>3419</v>
      </c>
      <c r="D18431" s="69" t="s">
        <v>29419</v>
      </c>
      <c r="E18431" s="51"/>
      <c r="F18431" s="114" t="str">
        <f>IF(INDEX(I.Facility.P3IDNumber,3419)="","",INDEX(I.Facility.P3IDNumber,3419))</f>
        <v/>
      </c>
      <c r="G18431" s="51"/>
      <c r="H18431" s="46" t="str">
        <f>IF(AND(I.Developer.P3=TRUE,I.Facility.P3FacilityCount&gt;=3419,F18431=""),"Incomplete","Complete")</f>
        <v>Complete</v>
      </c>
      <c r="I18431" s="48" t="s">
        <v>22796</v>
      </c>
    </row>
    <row r="18432" spans="2:9" ht="15" customHeight="1" x14ac:dyDescent="0.25">
      <c r="B18432" s="55" t="s">
        <v>282</v>
      </c>
      <c r="C18432" s="46">
        <v>3420</v>
      </c>
      <c r="D18432" s="69" t="s">
        <v>29419</v>
      </c>
      <c r="E18432" s="51"/>
      <c r="F18432" s="114" t="str">
        <f>IF(INDEX(I.Facility.P3IDNumber,3420)="","",INDEX(I.Facility.P3IDNumber,3420))</f>
        <v/>
      </c>
      <c r="G18432" s="51"/>
      <c r="H18432" s="46" t="str">
        <f>IF(AND(I.Developer.P3=TRUE,I.Facility.P3FacilityCount&gt;=3420,F18432=""),"Incomplete","Complete")</f>
        <v>Complete</v>
      </c>
      <c r="I18432" s="48" t="s">
        <v>22797</v>
      </c>
    </row>
    <row r="18433" spans="2:9" ht="15" customHeight="1" x14ac:dyDescent="0.25">
      <c r="B18433" s="55" t="s">
        <v>282</v>
      </c>
      <c r="C18433" s="46">
        <v>3421</v>
      </c>
      <c r="D18433" s="69" t="s">
        <v>29419</v>
      </c>
      <c r="E18433" s="51"/>
      <c r="F18433" s="114" t="str">
        <f>IF(INDEX(I.Facility.P3IDNumber,3421)="","",INDEX(I.Facility.P3IDNumber,3421))</f>
        <v/>
      </c>
      <c r="G18433" s="51"/>
      <c r="H18433" s="46" t="str">
        <f>IF(AND(I.Developer.P3=TRUE,I.Facility.P3FacilityCount&gt;=3421,F18433=""),"Incomplete","Complete")</f>
        <v>Complete</v>
      </c>
      <c r="I18433" s="48" t="s">
        <v>22798</v>
      </c>
    </row>
    <row r="18434" spans="2:9" ht="15" customHeight="1" x14ac:dyDescent="0.25">
      <c r="B18434" s="55" t="s">
        <v>282</v>
      </c>
      <c r="C18434" s="46">
        <v>3422</v>
      </c>
      <c r="D18434" s="69" t="s">
        <v>29419</v>
      </c>
      <c r="E18434" s="51"/>
      <c r="F18434" s="114" t="str">
        <f>IF(INDEX(I.Facility.P3IDNumber,3422)="","",INDEX(I.Facility.P3IDNumber,3422))</f>
        <v/>
      </c>
      <c r="G18434" s="51"/>
      <c r="H18434" s="46" t="str">
        <f>IF(AND(I.Developer.P3=TRUE,I.Facility.P3FacilityCount&gt;=3422,F18434=""),"Incomplete","Complete")</f>
        <v>Complete</v>
      </c>
      <c r="I18434" s="48" t="s">
        <v>22799</v>
      </c>
    </row>
    <row r="18435" spans="2:9" ht="15" customHeight="1" x14ac:dyDescent="0.25">
      <c r="B18435" s="55" t="s">
        <v>282</v>
      </c>
      <c r="C18435" s="46">
        <v>3423</v>
      </c>
      <c r="D18435" s="69" t="s">
        <v>29419</v>
      </c>
      <c r="E18435" s="51"/>
      <c r="F18435" s="114" t="str">
        <f>IF(INDEX(I.Facility.P3IDNumber,3423)="","",INDEX(I.Facility.P3IDNumber,3423))</f>
        <v/>
      </c>
      <c r="G18435" s="51"/>
      <c r="H18435" s="46" t="str">
        <f>IF(AND(I.Developer.P3=TRUE,I.Facility.P3FacilityCount&gt;=3423,F18435=""),"Incomplete","Complete")</f>
        <v>Complete</v>
      </c>
      <c r="I18435" s="48" t="s">
        <v>22800</v>
      </c>
    </row>
    <row r="18436" spans="2:9" ht="15" customHeight="1" x14ac:dyDescent="0.25">
      <c r="B18436" s="55" t="s">
        <v>282</v>
      </c>
      <c r="C18436" s="46">
        <v>3424</v>
      </c>
      <c r="D18436" s="69" t="s">
        <v>29419</v>
      </c>
      <c r="E18436" s="51"/>
      <c r="F18436" s="114" t="str">
        <f>IF(INDEX(I.Facility.P3IDNumber,3424)="","",INDEX(I.Facility.P3IDNumber,3424))</f>
        <v/>
      </c>
      <c r="G18436" s="51"/>
      <c r="H18436" s="46" t="str">
        <f>IF(AND(I.Developer.P3=TRUE,I.Facility.P3FacilityCount&gt;=3424,F18436=""),"Incomplete","Complete")</f>
        <v>Complete</v>
      </c>
      <c r="I18436" s="48" t="s">
        <v>22801</v>
      </c>
    </row>
    <row r="18437" spans="2:9" ht="15" customHeight="1" x14ac:dyDescent="0.25">
      <c r="B18437" s="55" t="s">
        <v>282</v>
      </c>
      <c r="C18437" s="46">
        <v>3425</v>
      </c>
      <c r="D18437" s="69" t="s">
        <v>29419</v>
      </c>
      <c r="E18437" s="51"/>
      <c r="F18437" s="114" t="str">
        <f>IF(INDEX(I.Facility.P3IDNumber,3425)="","",INDEX(I.Facility.P3IDNumber,3425))</f>
        <v/>
      </c>
      <c r="G18437" s="51"/>
      <c r="H18437" s="46" t="str">
        <f>IF(AND(I.Developer.P3=TRUE,I.Facility.P3FacilityCount&gt;=3425,F18437=""),"Incomplete","Complete")</f>
        <v>Complete</v>
      </c>
      <c r="I18437" s="48" t="s">
        <v>22802</v>
      </c>
    </row>
    <row r="18438" spans="2:9" ht="15" customHeight="1" x14ac:dyDescent="0.25">
      <c r="B18438" s="55" t="s">
        <v>282</v>
      </c>
      <c r="C18438" s="46">
        <v>3426</v>
      </c>
      <c r="D18438" s="69" t="s">
        <v>29419</v>
      </c>
      <c r="E18438" s="51"/>
      <c r="F18438" s="114" t="str">
        <f>IF(INDEX(I.Facility.P3IDNumber,3426)="","",INDEX(I.Facility.P3IDNumber,3426))</f>
        <v/>
      </c>
      <c r="G18438" s="51"/>
      <c r="H18438" s="46" t="str">
        <f>IF(AND(I.Developer.P3=TRUE,I.Facility.P3FacilityCount&gt;=3426,F18438=""),"Incomplete","Complete")</f>
        <v>Complete</v>
      </c>
      <c r="I18438" s="48" t="s">
        <v>22803</v>
      </c>
    </row>
    <row r="18439" spans="2:9" ht="15" customHeight="1" x14ac:dyDescent="0.25">
      <c r="B18439" s="55" t="s">
        <v>282</v>
      </c>
      <c r="C18439" s="46">
        <v>3427</v>
      </c>
      <c r="D18439" s="69" t="s">
        <v>29419</v>
      </c>
      <c r="E18439" s="51"/>
      <c r="F18439" s="114" t="str">
        <f>IF(INDEX(I.Facility.P3IDNumber,3427)="","",INDEX(I.Facility.P3IDNumber,3427))</f>
        <v/>
      </c>
      <c r="G18439" s="51"/>
      <c r="H18439" s="46" t="str">
        <f>IF(AND(I.Developer.P3=TRUE,I.Facility.P3FacilityCount&gt;=3427,F18439=""),"Incomplete","Complete")</f>
        <v>Complete</v>
      </c>
      <c r="I18439" s="48" t="s">
        <v>22804</v>
      </c>
    </row>
    <row r="18440" spans="2:9" ht="15" customHeight="1" x14ac:dyDescent="0.25">
      <c r="B18440" s="55" t="s">
        <v>282</v>
      </c>
      <c r="C18440" s="46">
        <v>3428</v>
      </c>
      <c r="D18440" s="69" t="s">
        <v>29419</v>
      </c>
      <c r="E18440" s="51"/>
      <c r="F18440" s="114" t="str">
        <f>IF(INDEX(I.Facility.P3IDNumber,3428)="","",INDEX(I.Facility.P3IDNumber,3428))</f>
        <v/>
      </c>
      <c r="G18440" s="51"/>
      <c r="H18440" s="46" t="str">
        <f>IF(AND(I.Developer.P3=TRUE,I.Facility.P3FacilityCount&gt;=3428,F18440=""),"Incomplete","Complete")</f>
        <v>Complete</v>
      </c>
      <c r="I18440" s="48" t="s">
        <v>22805</v>
      </c>
    </row>
    <row r="18441" spans="2:9" ht="15" customHeight="1" x14ac:dyDescent="0.25">
      <c r="B18441" s="55" t="s">
        <v>282</v>
      </c>
      <c r="C18441" s="46">
        <v>3429</v>
      </c>
      <c r="D18441" s="69" t="s">
        <v>29419</v>
      </c>
      <c r="E18441" s="51"/>
      <c r="F18441" s="114" t="str">
        <f>IF(INDEX(I.Facility.P3IDNumber,3429)="","",INDEX(I.Facility.P3IDNumber,3429))</f>
        <v/>
      </c>
      <c r="G18441" s="51"/>
      <c r="H18441" s="46" t="str">
        <f>IF(AND(I.Developer.P3=TRUE,I.Facility.P3FacilityCount&gt;=3429,F18441=""),"Incomplete","Complete")</f>
        <v>Complete</v>
      </c>
      <c r="I18441" s="48" t="s">
        <v>22806</v>
      </c>
    </row>
    <row r="18442" spans="2:9" ht="15" customHeight="1" x14ac:dyDescent="0.25">
      <c r="B18442" s="55" t="s">
        <v>282</v>
      </c>
      <c r="C18442" s="46">
        <v>3430</v>
      </c>
      <c r="D18442" s="69" t="s">
        <v>29419</v>
      </c>
      <c r="E18442" s="51"/>
      <c r="F18442" s="114" t="str">
        <f>IF(INDEX(I.Facility.P3IDNumber,3430)="","",INDEX(I.Facility.P3IDNumber,3430))</f>
        <v/>
      </c>
      <c r="G18442" s="51"/>
      <c r="H18442" s="46" t="str">
        <f>IF(AND(I.Developer.P3=TRUE,I.Facility.P3FacilityCount&gt;=3430,F18442=""),"Incomplete","Complete")</f>
        <v>Complete</v>
      </c>
      <c r="I18442" s="48" t="s">
        <v>22807</v>
      </c>
    </row>
    <row r="18443" spans="2:9" ht="15" customHeight="1" x14ac:dyDescent="0.25">
      <c r="B18443" s="55" t="s">
        <v>282</v>
      </c>
      <c r="C18443" s="46">
        <v>3431</v>
      </c>
      <c r="D18443" s="69" t="s">
        <v>29419</v>
      </c>
      <c r="E18443" s="51"/>
      <c r="F18443" s="114" t="str">
        <f>IF(INDEX(I.Facility.P3IDNumber,3431)="","",INDEX(I.Facility.P3IDNumber,3431))</f>
        <v/>
      </c>
      <c r="G18443" s="51"/>
      <c r="H18443" s="46" t="str">
        <f>IF(AND(I.Developer.P3=TRUE,I.Facility.P3FacilityCount&gt;=3431,F18443=""),"Incomplete","Complete")</f>
        <v>Complete</v>
      </c>
      <c r="I18443" s="48" t="s">
        <v>22808</v>
      </c>
    </row>
    <row r="18444" spans="2:9" ht="15" customHeight="1" x14ac:dyDescent="0.25">
      <c r="B18444" s="55" t="s">
        <v>282</v>
      </c>
      <c r="C18444" s="46">
        <v>3432</v>
      </c>
      <c r="D18444" s="69" t="s">
        <v>29419</v>
      </c>
      <c r="E18444" s="51"/>
      <c r="F18444" s="114" t="str">
        <f>IF(INDEX(I.Facility.P3IDNumber,3432)="","",INDEX(I.Facility.P3IDNumber,3432))</f>
        <v/>
      </c>
      <c r="G18444" s="51"/>
      <c r="H18444" s="46" t="str">
        <f>IF(AND(I.Developer.P3=TRUE,I.Facility.P3FacilityCount&gt;=3432,F18444=""),"Incomplete","Complete")</f>
        <v>Complete</v>
      </c>
      <c r="I18444" s="48" t="s">
        <v>22809</v>
      </c>
    </row>
    <row r="18445" spans="2:9" ht="15" customHeight="1" x14ac:dyDescent="0.25">
      <c r="B18445" s="55" t="s">
        <v>282</v>
      </c>
      <c r="C18445" s="46">
        <v>3433</v>
      </c>
      <c r="D18445" s="69" t="s">
        <v>29419</v>
      </c>
      <c r="E18445" s="51"/>
      <c r="F18445" s="114" t="str">
        <f>IF(INDEX(I.Facility.P3IDNumber,3433)="","",INDEX(I.Facility.P3IDNumber,3433))</f>
        <v/>
      </c>
      <c r="G18445" s="51"/>
      <c r="H18445" s="46" t="str">
        <f>IF(AND(I.Developer.P3=TRUE,I.Facility.P3FacilityCount&gt;=3433,F18445=""),"Incomplete","Complete")</f>
        <v>Complete</v>
      </c>
      <c r="I18445" s="48" t="s">
        <v>22810</v>
      </c>
    </row>
    <row r="18446" spans="2:9" ht="15" customHeight="1" x14ac:dyDescent="0.25">
      <c r="B18446" s="55" t="s">
        <v>282</v>
      </c>
      <c r="C18446" s="46">
        <v>3434</v>
      </c>
      <c r="D18446" s="69" t="s">
        <v>29419</v>
      </c>
      <c r="E18446" s="51"/>
      <c r="F18446" s="114" t="str">
        <f>IF(INDEX(I.Facility.P3IDNumber,3434)="","",INDEX(I.Facility.P3IDNumber,3434))</f>
        <v/>
      </c>
      <c r="G18446" s="51"/>
      <c r="H18446" s="46" t="str">
        <f>IF(AND(I.Developer.P3=TRUE,I.Facility.P3FacilityCount&gt;=3434,F18446=""),"Incomplete","Complete")</f>
        <v>Complete</v>
      </c>
      <c r="I18446" s="48" t="s">
        <v>22811</v>
      </c>
    </row>
    <row r="18447" spans="2:9" ht="15" customHeight="1" x14ac:dyDescent="0.25">
      <c r="B18447" s="55" t="s">
        <v>282</v>
      </c>
      <c r="C18447" s="46">
        <v>3435</v>
      </c>
      <c r="D18447" s="69" t="s">
        <v>29419</v>
      </c>
      <c r="E18447" s="51"/>
      <c r="F18447" s="114" t="str">
        <f>IF(INDEX(I.Facility.P3IDNumber,3435)="","",INDEX(I.Facility.P3IDNumber,3435))</f>
        <v/>
      </c>
      <c r="G18447" s="51"/>
      <c r="H18447" s="46" t="str">
        <f>IF(AND(I.Developer.P3=TRUE,I.Facility.P3FacilityCount&gt;=3435,F18447=""),"Incomplete","Complete")</f>
        <v>Complete</v>
      </c>
      <c r="I18447" s="48" t="s">
        <v>22812</v>
      </c>
    </row>
    <row r="18448" spans="2:9" ht="15" customHeight="1" x14ac:dyDescent="0.25">
      <c r="B18448" s="55" t="s">
        <v>282</v>
      </c>
      <c r="C18448" s="46">
        <v>3436</v>
      </c>
      <c r="D18448" s="69" t="s">
        <v>29419</v>
      </c>
      <c r="E18448" s="51"/>
      <c r="F18448" s="114" t="str">
        <f>IF(INDEX(I.Facility.P3IDNumber,3436)="","",INDEX(I.Facility.P3IDNumber,3436))</f>
        <v/>
      </c>
      <c r="G18448" s="51"/>
      <c r="H18448" s="46" t="str">
        <f>IF(AND(I.Developer.P3=TRUE,I.Facility.P3FacilityCount&gt;=3436,F18448=""),"Incomplete","Complete")</f>
        <v>Complete</v>
      </c>
      <c r="I18448" s="48" t="s">
        <v>22813</v>
      </c>
    </row>
    <row r="18449" spans="2:9" ht="15" customHeight="1" x14ac:dyDescent="0.25">
      <c r="B18449" s="55" t="s">
        <v>282</v>
      </c>
      <c r="C18449" s="46">
        <v>3437</v>
      </c>
      <c r="D18449" s="69" t="s">
        <v>29419</v>
      </c>
      <c r="E18449" s="51"/>
      <c r="F18449" s="114" t="str">
        <f>IF(INDEX(I.Facility.P3IDNumber,3437)="","",INDEX(I.Facility.P3IDNumber,3437))</f>
        <v/>
      </c>
      <c r="G18449" s="51"/>
      <c r="H18449" s="46" t="str">
        <f>IF(AND(I.Developer.P3=TRUE,I.Facility.P3FacilityCount&gt;=3437,F18449=""),"Incomplete","Complete")</f>
        <v>Complete</v>
      </c>
      <c r="I18449" s="48" t="s">
        <v>22814</v>
      </c>
    </row>
    <row r="18450" spans="2:9" ht="15" customHeight="1" x14ac:dyDescent="0.25">
      <c r="B18450" s="55" t="s">
        <v>282</v>
      </c>
      <c r="C18450" s="46">
        <v>3438</v>
      </c>
      <c r="D18450" s="69" t="s">
        <v>29419</v>
      </c>
      <c r="E18450" s="51"/>
      <c r="F18450" s="114" t="str">
        <f>IF(INDEX(I.Facility.P3IDNumber,3438)="","",INDEX(I.Facility.P3IDNumber,3438))</f>
        <v/>
      </c>
      <c r="G18450" s="51"/>
      <c r="H18450" s="46" t="str">
        <f>IF(AND(I.Developer.P3=TRUE,I.Facility.P3FacilityCount&gt;=3438,F18450=""),"Incomplete","Complete")</f>
        <v>Complete</v>
      </c>
      <c r="I18450" s="48" t="s">
        <v>22815</v>
      </c>
    </row>
    <row r="18451" spans="2:9" ht="15" customHeight="1" x14ac:dyDescent="0.25">
      <c r="B18451" s="55" t="s">
        <v>282</v>
      </c>
      <c r="C18451" s="46">
        <v>3439</v>
      </c>
      <c r="D18451" s="69" t="s">
        <v>29419</v>
      </c>
      <c r="E18451" s="51"/>
      <c r="F18451" s="114" t="str">
        <f>IF(INDEX(I.Facility.P3IDNumber,3439)="","",INDEX(I.Facility.P3IDNumber,3439))</f>
        <v/>
      </c>
      <c r="G18451" s="51"/>
      <c r="H18451" s="46" t="str">
        <f>IF(AND(I.Developer.P3=TRUE,I.Facility.P3FacilityCount&gt;=3439,F18451=""),"Incomplete","Complete")</f>
        <v>Complete</v>
      </c>
      <c r="I18451" s="48" t="s">
        <v>22816</v>
      </c>
    </row>
    <row r="18452" spans="2:9" ht="15" customHeight="1" x14ac:dyDescent="0.25">
      <c r="B18452" s="55" t="s">
        <v>282</v>
      </c>
      <c r="C18452" s="46">
        <v>3440</v>
      </c>
      <c r="D18452" s="69" t="s">
        <v>29419</v>
      </c>
      <c r="E18452" s="51"/>
      <c r="F18452" s="114" t="str">
        <f>IF(INDEX(I.Facility.P3IDNumber,3440)="","",INDEX(I.Facility.P3IDNumber,3440))</f>
        <v/>
      </c>
      <c r="G18452" s="51"/>
      <c r="H18452" s="46" t="str">
        <f>IF(AND(I.Developer.P3=TRUE,I.Facility.P3FacilityCount&gt;=3440,F18452=""),"Incomplete","Complete")</f>
        <v>Complete</v>
      </c>
      <c r="I18452" s="48" t="s">
        <v>22817</v>
      </c>
    </row>
    <row r="18453" spans="2:9" ht="15" customHeight="1" x14ac:dyDescent="0.25">
      <c r="B18453" s="55" t="s">
        <v>282</v>
      </c>
      <c r="C18453" s="46">
        <v>3441</v>
      </c>
      <c r="D18453" s="69" t="s">
        <v>29419</v>
      </c>
      <c r="E18453" s="51"/>
      <c r="F18453" s="114" t="str">
        <f>IF(INDEX(I.Facility.P3IDNumber,3441)="","",INDEX(I.Facility.P3IDNumber,3441))</f>
        <v/>
      </c>
      <c r="G18453" s="51"/>
      <c r="H18453" s="46" t="str">
        <f>IF(AND(I.Developer.P3=TRUE,I.Facility.P3FacilityCount&gt;=3441,F18453=""),"Incomplete","Complete")</f>
        <v>Complete</v>
      </c>
      <c r="I18453" s="48" t="s">
        <v>22818</v>
      </c>
    </row>
    <row r="18454" spans="2:9" ht="15" customHeight="1" x14ac:dyDescent="0.25">
      <c r="B18454" s="55" t="s">
        <v>282</v>
      </c>
      <c r="C18454" s="46">
        <v>3442</v>
      </c>
      <c r="D18454" s="69" t="s">
        <v>29419</v>
      </c>
      <c r="E18454" s="51"/>
      <c r="F18454" s="114" t="str">
        <f>IF(INDEX(I.Facility.P3IDNumber,3442)="","",INDEX(I.Facility.P3IDNumber,3442))</f>
        <v/>
      </c>
      <c r="G18454" s="51"/>
      <c r="H18454" s="46" t="str">
        <f>IF(AND(I.Developer.P3=TRUE,I.Facility.P3FacilityCount&gt;=3442,F18454=""),"Incomplete","Complete")</f>
        <v>Complete</v>
      </c>
      <c r="I18454" s="48" t="s">
        <v>22819</v>
      </c>
    </row>
    <row r="18455" spans="2:9" ht="15" customHeight="1" x14ac:dyDescent="0.25">
      <c r="B18455" s="55" t="s">
        <v>282</v>
      </c>
      <c r="C18455" s="46">
        <v>3443</v>
      </c>
      <c r="D18455" s="69" t="s">
        <v>29419</v>
      </c>
      <c r="E18455" s="51"/>
      <c r="F18455" s="114" t="str">
        <f>IF(INDEX(I.Facility.P3IDNumber,3443)="","",INDEX(I.Facility.P3IDNumber,3443))</f>
        <v/>
      </c>
      <c r="G18455" s="51"/>
      <c r="H18455" s="46" t="str">
        <f>IF(AND(I.Developer.P3=TRUE,I.Facility.P3FacilityCount&gt;=3443,F18455=""),"Incomplete","Complete")</f>
        <v>Complete</v>
      </c>
      <c r="I18455" s="48" t="s">
        <v>22820</v>
      </c>
    </row>
    <row r="18456" spans="2:9" ht="15" customHeight="1" x14ac:dyDescent="0.25">
      <c r="B18456" s="55" t="s">
        <v>282</v>
      </c>
      <c r="C18456" s="46">
        <v>3444</v>
      </c>
      <c r="D18456" s="69" t="s">
        <v>29419</v>
      </c>
      <c r="E18456" s="51"/>
      <c r="F18456" s="114" t="str">
        <f>IF(INDEX(I.Facility.P3IDNumber,3444)="","",INDEX(I.Facility.P3IDNumber,3444))</f>
        <v/>
      </c>
      <c r="G18456" s="51"/>
      <c r="H18456" s="46" t="str">
        <f>IF(AND(I.Developer.P3=TRUE,I.Facility.P3FacilityCount&gt;=3444,F18456=""),"Incomplete","Complete")</f>
        <v>Complete</v>
      </c>
      <c r="I18456" s="48" t="s">
        <v>22821</v>
      </c>
    </row>
    <row r="18457" spans="2:9" ht="15" customHeight="1" x14ac:dyDescent="0.25">
      <c r="B18457" s="55" t="s">
        <v>282</v>
      </c>
      <c r="C18457" s="46">
        <v>3445</v>
      </c>
      <c r="D18457" s="69" t="s">
        <v>29419</v>
      </c>
      <c r="E18457" s="51"/>
      <c r="F18457" s="114" t="str">
        <f>IF(INDEX(I.Facility.P3IDNumber,3445)="","",INDEX(I.Facility.P3IDNumber,3445))</f>
        <v/>
      </c>
      <c r="G18457" s="51"/>
      <c r="H18457" s="46" t="str">
        <f>IF(AND(I.Developer.P3=TRUE,I.Facility.P3FacilityCount&gt;=3445,F18457=""),"Incomplete","Complete")</f>
        <v>Complete</v>
      </c>
      <c r="I18457" s="48" t="s">
        <v>22822</v>
      </c>
    </row>
    <row r="18458" spans="2:9" ht="15" customHeight="1" x14ac:dyDescent="0.25">
      <c r="B18458" s="55" t="s">
        <v>282</v>
      </c>
      <c r="C18458" s="46">
        <v>3446</v>
      </c>
      <c r="D18458" s="69" t="s">
        <v>29419</v>
      </c>
      <c r="E18458" s="51"/>
      <c r="F18458" s="114" t="str">
        <f>IF(INDEX(I.Facility.P3IDNumber,3446)="","",INDEX(I.Facility.P3IDNumber,3446))</f>
        <v/>
      </c>
      <c r="G18458" s="51"/>
      <c r="H18458" s="46" t="str">
        <f>IF(AND(I.Developer.P3=TRUE,I.Facility.P3FacilityCount&gt;=3446,F18458=""),"Incomplete","Complete")</f>
        <v>Complete</v>
      </c>
      <c r="I18458" s="48" t="s">
        <v>22823</v>
      </c>
    </row>
    <row r="18459" spans="2:9" ht="15" customHeight="1" x14ac:dyDescent="0.25">
      <c r="B18459" s="55" t="s">
        <v>282</v>
      </c>
      <c r="C18459" s="46">
        <v>3447</v>
      </c>
      <c r="D18459" s="69" t="s">
        <v>29419</v>
      </c>
      <c r="E18459" s="51"/>
      <c r="F18459" s="114" t="str">
        <f>IF(INDEX(I.Facility.P3IDNumber,3447)="","",INDEX(I.Facility.P3IDNumber,3447))</f>
        <v/>
      </c>
      <c r="G18459" s="51"/>
      <c r="H18459" s="46" t="str">
        <f>IF(AND(I.Developer.P3=TRUE,I.Facility.P3FacilityCount&gt;=3447,F18459=""),"Incomplete","Complete")</f>
        <v>Complete</v>
      </c>
      <c r="I18459" s="48" t="s">
        <v>22824</v>
      </c>
    </row>
    <row r="18460" spans="2:9" ht="15" customHeight="1" x14ac:dyDescent="0.25">
      <c r="B18460" s="55" t="s">
        <v>282</v>
      </c>
      <c r="C18460" s="46">
        <v>3448</v>
      </c>
      <c r="D18460" s="69" t="s">
        <v>29419</v>
      </c>
      <c r="E18460" s="51"/>
      <c r="F18460" s="114" t="str">
        <f>IF(INDEX(I.Facility.P3IDNumber,3448)="","",INDEX(I.Facility.P3IDNumber,3448))</f>
        <v/>
      </c>
      <c r="G18460" s="51"/>
      <c r="H18460" s="46" t="str">
        <f>IF(AND(I.Developer.P3=TRUE,I.Facility.P3FacilityCount&gt;=3448,F18460=""),"Incomplete","Complete")</f>
        <v>Complete</v>
      </c>
      <c r="I18460" s="48" t="s">
        <v>22825</v>
      </c>
    </row>
    <row r="18461" spans="2:9" ht="15" customHeight="1" x14ac:dyDescent="0.25">
      <c r="B18461" s="55" t="s">
        <v>282</v>
      </c>
      <c r="C18461" s="46">
        <v>3449</v>
      </c>
      <c r="D18461" s="69" t="s">
        <v>29419</v>
      </c>
      <c r="E18461" s="51"/>
      <c r="F18461" s="114" t="str">
        <f>IF(INDEX(I.Facility.P3IDNumber,3449)="","",INDEX(I.Facility.P3IDNumber,3449))</f>
        <v/>
      </c>
      <c r="G18461" s="51"/>
      <c r="H18461" s="46" t="str">
        <f>IF(AND(I.Developer.P3=TRUE,I.Facility.P3FacilityCount&gt;=3449,F18461=""),"Incomplete","Complete")</f>
        <v>Complete</v>
      </c>
      <c r="I18461" s="48" t="s">
        <v>22826</v>
      </c>
    </row>
    <row r="18462" spans="2:9" ht="15" customHeight="1" x14ac:dyDescent="0.25">
      <c r="B18462" s="55" t="s">
        <v>282</v>
      </c>
      <c r="C18462" s="46">
        <v>3450</v>
      </c>
      <c r="D18462" s="69" t="s">
        <v>29419</v>
      </c>
      <c r="E18462" s="51"/>
      <c r="F18462" s="114" t="str">
        <f>IF(INDEX(I.Facility.P3IDNumber,3450)="","",INDEX(I.Facility.P3IDNumber,3450))</f>
        <v/>
      </c>
      <c r="G18462" s="51"/>
      <c r="H18462" s="46" t="str">
        <f>IF(AND(I.Developer.P3=TRUE,I.Facility.P3FacilityCount&gt;=3450,F18462=""),"Incomplete","Complete")</f>
        <v>Complete</v>
      </c>
      <c r="I18462" s="48" t="s">
        <v>22827</v>
      </c>
    </row>
    <row r="18463" spans="2:9" ht="15" customHeight="1" x14ac:dyDescent="0.25">
      <c r="B18463" s="55" t="s">
        <v>282</v>
      </c>
      <c r="C18463" s="46">
        <v>3451</v>
      </c>
      <c r="D18463" s="69" t="s">
        <v>29419</v>
      </c>
      <c r="E18463" s="51"/>
      <c r="F18463" s="114" t="str">
        <f>IF(INDEX(I.Facility.P3IDNumber,3451)="","",INDEX(I.Facility.P3IDNumber,3451))</f>
        <v/>
      </c>
      <c r="G18463" s="51"/>
      <c r="H18463" s="46" t="str">
        <f>IF(AND(I.Developer.P3=TRUE,I.Facility.P3FacilityCount&gt;=3451,F18463=""),"Incomplete","Complete")</f>
        <v>Complete</v>
      </c>
      <c r="I18463" s="48" t="s">
        <v>22828</v>
      </c>
    </row>
    <row r="18464" spans="2:9" ht="15" customHeight="1" x14ac:dyDescent="0.25">
      <c r="B18464" s="55" t="s">
        <v>282</v>
      </c>
      <c r="C18464" s="46">
        <v>3452</v>
      </c>
      <c r="D18464" s="69" t="s">
        <v>29419</v>
      </c>
      <c r="E18464" s="51"/>
      <c r="F18464" s="114" t="str">
        <f>IF(INDEX(I.Facility.P3IDNumber,3452)="","",INDEX(I.Facility.P3IDNumber,3452))</f>
        <v/>
      </c>
      <c r="G18464" s="51"/>
      <c r="H18464" s="46" t="str">
        <f>IF(AND(I.Developer.P3=TRUE,I.Facility.P3FacilityCount&gt;=3452,F18464=""),"Incomplete","Complete")</f>
        <v>Complete</v>
      </c>
      <c r="I18464" s="48" t="s">
        <v>22829</v>
      </c>
    </row>
    <row r="18465" spans="2:9" ht="15" customHeight="1" x14ac:dyDescent="0.25">
      <c r="B18465" s="55" t="s">
        <v>282</v>
      </c>
      <c r="C18465" s="46">
        <v>3453</v>
      </c>
      <c r="D18465" s="69" t="s">
        <v>29419</v>
      </c>
      <c r="E18465" s="51"/>
      <c r="F18465" s="114" t="str">
        <f>IF(INDEX(I.Facility.P3IDNumber,3453)="","",INDEX(I.Facility.P3IDNumber,3453))</f>
        <v/>
      </c>
      <c r="G18465" s="51"/>
      <c r="H18465" s="46" t="str">
        <f>IF(AND(I.Developer.P3=TRUE,I.Facility.P3FacilityCount&gt;=3453,F18465=""),"Incomplete","Complete")</f>
        <v>Complete</v>
      </c>
      <c r="I18465" s="48" t="s">
        <v>22830</v>
      </c>
    </row>
    <row r="18466" spans="2:9" ht="15" customHeight="1" x14ac:dyDescent="0.25">
      <c r="B18466" s="55" t="s">
        <v>282</v>
      </c>
      <c r="C18466" s="46">
        <v>3454</v>
      </c>
      <c r="D18466" s="69" t="s">
        <v>29419</v>
      </c>
      <c r="E18466" s="51"/>
      <c r="F18466" s="114" t="str">
        <f>IF(INDEX(I.Facility.P3IDNumber,3454)="","",INDEX(I.Facility.P3IDNumber,3454))</f>
        <v/>
      </c>
      <c r="G18466" s="51"/>
      <c r="H18466" s="46" t="str">
        <f>IF(AND(I.Developer.P3=TRUE,I.Facility.P3FacilityCount&gt;=3454,F18466=""),"Incomplete","Complete")</f>
        <v>Complete</v>
      </c>
      <c r="I18466" s="48" t="s">
        <v>22831</v>
      </c>
    </row>
    <row r="18467" spans="2:9" ht="15" customHeight="1" x14ac:dyDescent="0.25">
      <c r="B18467" s="55" t="s">
        <v>282</v>
      </c>
      <c r="C18467" s="46">
        <v>3455</v>
      </c>
      <c r="D18467" s="69" t="s">
        <v>29419</v>
      </c>
      <c r="E18467" s="51"/>
      <c r="F18467" s="114" t="str">
        <f>IF(INDEX(I.Facility.P3IDNumber,3455)="","",INDEX(I.Facility.P3IDNumber,3455))</f>
        <v/>
      </c>
      <c r="G18467" s="51"/>
      <c r="H18467" s="46" t="str">
        <f>IF(AND(I.Developer.P3=TRUE,I.Facility.P3FacilityCount&gt;=3455,F18467=""),"Incomplete","Complete")</f>
        <v>Complete</v>
      </c>
      <c r="I18467" s="48" t="s">
        <v>22832</v>
      </c>
    </row>
    <row r="18468" spans="2:9" ht="15" customHeight="1" x14ac:dyDescent="0.25">
      <c r="B18468" s="55" t="s">
        <v>282</v>
      </c>
      <c r="C18468" s="46">
        <v>3456</v>
      </c>
      <c r="D18468" s="69" t="s">
        <v>29419</v>
      </c>
      <c r="E18468" s="51"/>
      <c r="F18468" s="114" t="str">
        <f>IF(INDEX(I.Facility.P3IDNumber,3456)="","",INDEX(I.Facility.P3IDNumber,3456))</f>
        <v/>
      </c>
      <c r="G18468" s="51"/>
      <c r="H18468" s="46" t="str">
        <f>IF(AND(I.Developer.P3=TRUE,I.Facility.P3FacilityCount&gt;=3456,F18468=""),"Incomplete","Complete")</f>
        <v>Complete</v>
      </c>
      <c r="I18468" s="48" t="s">
        <v>22833</v>
      </c>
    </row>
    <row r="18469" spans="2:9" ht="15" customHeight="1" x14ac:dyDescent="0.25">
      <c r="B18469" s="55" t="s">
        <v>282</v>
      </c>
      <c r="C18469" s="46">
        <v>3457</v>
      </c>
      <c r="D18469" s="69" t="s">
        <v>29419</v>
      </c>
      <c r="E18469" s="51"/>
      <c r="F18469" s="114" t="str">
        <f>IF(INDEX(I.Facility.P3IDNumber,3457)="","",INDEX(I.Facility.P3IDNumber,3457))</f>
        <v/>
      </c>
      <c r="G18469" s="51"/>
      <c r="H18469" s="46" t="str">
        <f>IF(AND(I.Developer.P3=TRUE,I.Facility.P3FacilityCount&gt;=3457,F18469=""),"Incomplete","Complete")</f>
        <v>Complete</v>
      </c>
      <c r="I18469" s="48" t="s">
        <v>22834</v>
      </c>
    </row>
    <row r="18470" spans="2:9" ht="15" customHeight="1" x14ac:dyDescent="0.25">
      <c r="B18470" s="55" t="s">
        <v>282</v>
      </c>
      <c r="C18470" s="46">
        <v>3458</v>
      </c>
      <c r="D18470" s="69" t="s">
        <v>29419</v>
      </c>
      <c r="E18470" s="51"/>
      <c r="F18470" s="114" t="str">
        <f>IF(INDEX(I.Facility.P3IDNumber,3458)="","",INDEX(I.Facility.P3IDNumber,3458))</f>
        <v/>
      </c>
      <c r="G18470" s="51"/>
      <c r="H18470" s="46" t="str">
        <f>IF(AND(I.Developer.P3=TRUE,I.Facility.P3FacilityCount&gt;=3458,F18470=""),"Incomplete","Complete")</f>
        <v>Complete</v>
      </c>
      <c r="I18470" s="48" t="s">
        <v>22835</v>
      </c>
    </row>
    <row r="18471" spans="2:9" ht="15" customHeight="1" x14ac:dyDescent="0.25">
      <c r="B18471" s="55" t="s">
        <v>282</v>
      </c>
      <c r="C18471" s="46">
        <v>3459</v>
      </c>
      <c r="D18471" s="69" t="s">
        <v>29419</v>
      </c>
      <c r="E18471" s="51"/>
      <c r="F18471" s="114" t="str">
        <f>IF(INDEX(I.Facility.P3IDNumber,3459)="","",INDEX(I.Facility.P3IDNumber,3459))</f>
        <v/>
      </c>
      <c r="G18471" s="51"/>
      <c r="H18471" s="46" t="str">
        <f>IF(AND(I.Developer.P3=TRUE,I.Facility.P3FacilityCount&gt;=3459,F18471=""),"Incomplete","Complete")</f>
        <v>Complete</v>
      </c>
      <c r="I18471" s="48" t="s">
        <v>22836</v>
      </c>
    </row>
    <row r="18472" spans="2:9" ht="15" customHeight="1" x14ac:dyDescent="0.25">
      <c r="B18472" s="55" t="s">
        <v>282</v>
      </c>
      <c r="C18472" s="46">
        <v>3460</v>
      </c>
      <c r="D18472" s="69" t="s">
        <v>29419</v>
      </c>
      <c r="E18472" s="51"/>
      <c r="F18472" s="114" t="str">
        <f>IF(INDEX(I.Facility.P3IDNumber,3460)="","",INDEX(I.Facility.P3IDNumber,3460))</f>
        <v/>
      </c>
      <c r="G18472" s="51"/>
      <c r="H18472" s="46" t="str">
        <f>IF(AND(I.Developer.P3=TRUE,I.Facility.P3FacilityCount&gt;=3460,F18472=""),"Incomplete","Complete")</f>
        <v>Complete</v>
      </c>
      <c r="I18472" s="48" t="s">
        <v>22837</v>
      </c>
    </row>
    <row r="18473" spans="2:9" ht="15" customHeight="1" x14ac:dyDescent="0.25">
      <c r="B18473" s="55" t="s">
        <v>282</v>
      </c>
      <c r="C18473" s="46">
        <v>3461</v>
      </c>
      <c r="D18473" s="69" t="s">
        <v>29419</v>
      </c>
      <c r="E18473" s="51"/>
      <c r="F18473" s="114" t="str">
        <f>IF(INDEX(I.Facility.P3IDNumber,3461)="","",INDEX(I.Facility.P3IDNumber,3461))</f>
        <v/>
      </c>
      <c r="G18473" s="51"/>
      <c r="H18473" s="46" t="str">
        <f>IF(AND(I.Developer.P3=TRUE,I.Facility.P3FacilityCount&gt;=3461,F18473=""),"Incomplete","Complete")</f>
        <v>Complete</v>
      </c>
      <c r="I18473" s="48" t="s">
        <v>22838</v>
      </c>
    </row>
    <row r="18474" spans="2:9" ht="15" customHeight="1" x14ac:dyDescent="0.25">
      <c r="B18474" s="55" t="s">
        <v>282</v>
      </c>
      <c r="C18474" s="46">
        <v>3462</v>
      </c>
      <c r="D18474" s="69" t="s">
        <v>29419</v>
      </c>
      <c r="E18474" s="51"/>
      <c r="F18474" s="114" t="str">
        <f>IF(INDEX(I.Facility.P3IDNumber,3462)="","",INDEX(I.Facility.P3IDNumber,3462))</f>
        <v/>
      </c>
      <c r="G18474" s="51"/>
      <c r="H18474" s="46" t="str">
        <f>IF(AND(I.Developer.P3=TRUE,I.Facility.P3FacilityCount&gt;=3462,F18474=""),"Incomplete","Complete")</f>
        <v>Complete</v>
      </c>
      <c r="I18474" s="48" t="s">
        <v>22839</v>
      </c>
    </row>
    <row r="18475" spans="2:9" ht="15" customHeight="1" x14ac:dyDescent="0.25">
      <c r="B18475" s="55" t="s">
        <v>282</v>
      </c>
      <c r="C18475" s="46">
        <v>3463</v>
      </c>
      <c r="D18475" s="69" t="s">
        <v>29419</v>
      </c>
      <c r="E18475" s="51"/>
      <c r="F18475" s="114" t="str">
        <f>IF(INDEX(I.Facility.P3IDNumber,3463)="","",INDEX(I.Facility.P3IDNumber,3463))</f>
        <v/>
      </c>
      <c r="G18475" s="51"/>
      <c r="H18475" s="46" t="str">
        <f>IF(AND(I.Developer.P3=TRUE,I.Facility.P3FacilityCount&gt;=3463,F18475=""),"Incomplete","Complete")</f>
        <v>Complete</v>
      </c>
      <c r="I18475" s="48" t="s">
        <v>22840</v>
      </c>
    </row>
    <row r="18476" spans="2:9" ht="15" customHeight="1" x14ac:dyDescent="0.25">
      <c r="B18476" s="55" t="s">
        <v>282</v>
      </c>
      <c r="C18476" s="46">
        <v>3464</v>
      </c>
      <c r="D18476" s="69" t="s">
        <v>29419</v>
      </c>
      <c r="E18476" s="51"/>
      <c r="F18476" s="114" t="str">
        <f>IF(INDEX(I.Facility.P3IDNumber,3464)="","",INDEX(I.Facility.P3IDNumber,3464))</f>
        <v/>
      </c>
      <c r="G18476" s="51"/>
      <c r="H18476" s="46" t="str">
        <f>IF(AND(I.Developer.P3=TRUE,I.Facility.P3FacilityCount&gt;=3464,F18476=""),"Incomplete","Complete")</f>
        <v>Complete</v>
      </c>
      <c r="I18476" s="48" t="s">
        <v>22841</v>
      </c>
    </row>
    <row r="18477" spans="2:9" ht="15" customHeight="1" x14ac:dyDescent="0.25">
      <c r="B18477" s="55" t="s">
        <v>282</v>
      </c>
      <c r="C18477" s="46">
        <v>3465</v>
      </c>
      <c r="D18477" s="69" t="s">
        <v>29419</v>
      </c>
      <c r="E18477" s="51"/>
      <c r="F18477" s="114" t="str">
        <f>IF(INDEX(I.Facility.P3IDNumber,3465)="","",INDEX(I.Facility.P3IDNumber,3465))</f>
        <v/>
      </c>
      <c r="G18477" s="51"/>
      <c r="H18477" s="46" t="str">
        <f>IF(AND(I.Developer.P3=TRUE,I.Facility.P3FacilityCount&gt;=3465,F18477=""),"Incomplete","Complete")</f>
        <v>Complete</v>
      </c>
      <c r="I18477" s="48" t="s">
        <v>22842</v>
      </c>
    </row>
    <row r="18478" spans="2:9" ht="15" customHeight="1" x14ac:dyDescent="0.25">
      <c r="B18478" s="55" t="s">
        <v>282</v>
      </c>
      <c r="C18478" s="46">
        <v>3466</v>
      </c>
      <c r="D18478" s="69" t="s">
        <v>29419</v>
      </c>
      <c r="E18478" s="51"/>
      <c r="F18478" s="114" t="str">
        <f>IF(INDEX(I.Facility.P3IDNumber,3466)="","",INDEX(I.Facility.P3IDNumber,3466))</f>
        <v/>
      </c>
      <c r="G18478" s="51"/>
      <c r="H18478" s="46" t="str">
        <f>IF(AND(I.Developer.P3=TRUE,I.Facility.P3FacilityCount&gt;=3466,F18478=""),"Incomplete","Complete")</f>
        <v>Complete</v>
      </c>
      <c r="I18478" s="48" t="s">
        <v>22843</v>
      </c>
    </row>
    <row r="18479" spans="2:9" ht="15" customHeight="1" x14ac:dyDescent="0.25">
      <c r="B18479" s="55" t="s">
        <v>282</v>
      </c>
      <c r="C18479" s="46">
        <v>3467</v>
      </c>
      <c r="D18479" s="69" t="s">
        <v>29419</v>
      </c>
      <c r="E18479" s="51"/>
      <c r="F18479" s="114" t="str">
        <f>IF(INDEX(I.Facility.P3IDNumber,3467)="","",INDEX(I.Facility.P3IDNumber,3467))</f>
        <v/>
      </c>
      <c r="G18479" s="51"/>
      <c r="H18479" s="46" t="str">
        <f>IF(AND(I.Developer.P3=TRUE,I.Facility.P3FacilityCount&gt;=3467,F18479=""),"Incomplete","Complete")</f>
        <v>Complete</v>
      </c>
      <c r="I18479" s="48" t="s">
        <v>22844</v>
      </c>
    </row>
    <row r="18480" spans="2:9" ht="15" customHeight="1" x14ac:dyDescent="0.25">
      <c r="B18480" s="55" t="s">
        <v>282</v>
      </c>
      <c r="C18480" s="46">
        <v>3468</v>
      </c>
      <c r="D18480" s="69" t="s">
        <v>29419</v>
      </c>
      <c r="E18480" s="51"/>
      <c r="F18480" s="114" t="str">
        <f>IF(INDEX(I.Facility.P3IDNumber,3468)="","",INDEX(I.Facility.P3IDNumber,3468))</f>
        <v/>
      </c>
      <c r="G18480" s="51"/>
      <c r="H18480" s="46" t="str">
        <f>IF(AND(I.Developer.P3=TRUE,I.Facility.P3FacilityCount&gt;=3468,F18480=""),"Incomplete","Complete")</f>
        <v>Complete</v>
      </c>
      <c r="I18480" s="48" t="s">
        <v>22845</v>
      </c>
    </row>
    <row r="18481" spans="2:9" ht="15" customHeight="1" x14ac:dyDescent="0.25">
      <c r="B18481" s="55" t="s">
        <v>282</v>
      </c>
      <c r="C18481" s="46">
        <v>3469</v>
      </c>
      <c r="D18481" s="69" t="s">
        <v>29419</v>
      </c>
      <c r="E18481" s="51"/>
      <c r="F18481" s="114" t="str">
        <f>IF(INDEX(I.Facility.P3IDNumber,3469)="","",INDEX(I.Facility.P3IDNumber,3469))</f>
        <v/>
      </c>
      <c r="G18481" s="51"/>
      <c r="H18481" s="46" t="str">
        <f>IF(AND(I.Developer.P3=TRUE,I.Facility.P3FacilityCount&gt;=3469,F18481=""),"Incomplete","Complete")</f>
        <v>Complete</v>
      </c>
      <c r="I18481" s="48" t="s">
        <v>22846</v>
      </c>
    </row>
    <row r="18482" spans="2:9" ht="15" customHeight="1" x14ac:dyDescent="0.25">
      <c r="B18482" s="55" t="s">
        <v>282</v>
      </c>
      <c r="C18482" s="46">
        <v>3470</v>
      </c>
      <c r="D18482" s="69" t="s">
        <v>29419</v>
      </c>
      <c r="E18482" s="51"/>
      <c r="F18482" s="114" t="str">
        <f>IF(INDEX(I.Facility.P3IDNumber,3470)="","",INDEX(I.Facility.P3IDNumber,3470))</f>
        <v/>
      </c>
      <c r="G18482" s="51"/>
      <c r="H18482" s="46" t="str">
        <f>IF(AND(I.Developer.P3=TRUE,I.Facility.P3FacilityCount&gt;=3470,F18482=""),"Incomplete","Complete")</f>
        <v>Complete</v>
      </c>
      <c r="I18482" s="48" t="s">
        <v>22847</v>
      </c>
    </row>
    <row r="18483" spans="2:9" ht="15" customHeight="1" x14ac:dyDescent="0.25">
      <c r="B18483" s="55" t="s">
        <v>282</v>
      </c>
      <c r="C18483" s="46">
        <v>3471</v>
      </c>
      <c r="D18483" s="69" t="s">
        <v>29419</v>
      </c>
      <c r="E18483" s="51"/>
      <c r="F18483" s="114" t="str">
        <f>IF(INDEX(I.Facility.P3IDNumber,3471)="","",INDEX(I.Facility.P3IDNumber,3471))</f>
        <v/>
      </c>
      <c r="G18483" s="51"/>
      <c r="H18483" s="46" t="str">
        <f>IF(AND(I.Developer.P3=TRUE,I.Facility.P3FacilityCount&gt;=3471,F18483=""),"Incomplete","Complete")</f>
        <v>Complete</v>
      </c>
      <c r="I18483" s="48" t="s">
        <v>22848</v>
      </c>
    </row>
    <row r="18484" spans="2:9" ht="15" customHeight="1" x14ac:dyDescent="0.25">
      <c r="B18484" s="55" t="s">
        <v>282</v>
      </c>
      <c r="C18484" s="46">
        <v>3472</v>
      </c>
      <c r="D18484" s="69" t="s">
        <v>29419</v>
      </c>
      <c r="E18484" s="51"/>
      <c r="F18484" s="114" t="str">
        <f>IF(INDEX(I.Facility.P3IDNumber,3472)="","",INDEX(I.Facility.P3IDNumber,3472))</f>
        <v/>
      </c>
      <c r="G18484" s="51"/>
      <c r="H18484" s="46" t="str">
        <f>IF(AND(I.Developer.P3=TRUE,I.Facility.P3FacilityCount&gt;=3472,F18484=""),"Incomplete","Complete")</f>
        <v>Complete</v>
      </c>
      <c r="I18484" s="48" t="s">
        <v>22849</v>
      </c>
    </row>
    <row r="18485" spans="2:9" ht="15" customHeight="1" x14ac:dyDescent="0.25">
      <c r="B18485" s="55" t="s">
        <v>282</v>
      </c>
      <c r="C18485" s="46">
        <v>3473</v>
      </c>
      <c r="D18485" s="69" t="s">
        <v>29419</v>
      </c>
      <c r="E18485" s="51"/>
      <c r="F18485" s="114" t="str">
        <f>IF(INDEX(I.Facility.P3IDNumber,3473)="","",INDEX(I.Facility.P3IDNumber,3473))</f>
        <v/>
      </c>
      <c r="G18485" s="51"/>
      <c r="H18485" s="46" t="str">
        <f>IF(AND(I.Developer.P3=TRUE,I.Facility.P3FacilityCount&gt;=3473,F18485=""),"Incomplete","Complete")</f>
        <v>Complete</v>
      </c>
      <c r="I18485" s="48" t="s">
        <v>22850</v>
      </c>
    </row>
    <row r="18486" spans="2:9" ht="15" customHeight="1" x14ac:dyDescent="0.25">
      <c r="B18486" s="55" t="s">
        <v>282</v>
      </c>
      <c r="C18486" s="46">
        <v>3474</v>
      </c>
      <c r="D18486" s="69" t="s">
        <v>29419</v>
      </c>
      <c r="E18486" s="51"/>
      <c r="F18486" s="114" t="str">
        <f>IF(INDEX(I.Facility.P3IDNumber,3474)="","",INDEX(I.Facility.P3IDNumber,3474))</f>
        <v/>
      </c>
      <c r="G18486" s="51"/>
      <c r="H18486" s="46" t="str">
        <f>IF(AND(I.Developer.P3=TRUE,I.Facility.P3FacilityCount&gt;=3474,F18486=""),"Incomplete","Complete")</f>
        <v>Complete</v>
      </c>
      <c r="I18486" s="48" t="s">
        <v>22851</v>
      </c>
    </row>
    <row r="18487" spans="2:9" ht="15" customHeight="1" x14ac:dyDescent="0.25">
      <c r="B18487" s="55" t="s">
        <v>282</v>
      </c>
      <c r="C18487" s="46">
        <v>3475</v>
      </c>
      <c r="D18487" s="69" t="s">
        <v>29419</v>
      </c>
      <c r="E18487" s="51"/>
      <c r="F18487" s="114" t="str">
        <f>IF(INDEX(I.Facility.P3IDNumber,3475)="","",INDEX(I.Facility.P3IDNumber,3475))</f>
        <v/>
      </c>
      <c r="G18487" s="51"/>
      <c r="H18487" s="46" t="str">
        <f>IF(AND(I.Developer.P3=TRUE,I.Facility.P3FacilityCount&gt;=3475,F18487=""),"Incomplete","Complete")</f>
        <v>Complete</v>
      </c>
      <c r="I18487" s="48" t="s">
        <v>22852</v>
      </c>
    </row>
    <row r="18488" spans="2:9" ht="15" customHeight="1" x14ac:dyDescent="0.25">
      <c r="B18488" s="55" t="s">
        <v>282</v>
      </c>
      <c r="C18488" s="46">
        <v>3476</v>
      </c>
      <c r="D18488" s="69" t="s">
        <v>29419</v>
      </c>
      <c r="E18488" s="51"/>
      <c r="F18488" s="114" t="str">
        <f>IF(INDEX(I.Facility.P3IDNumber,3476)="","",INDEX(I.Facility.P3IDNumber,3476))</f>
        <v/>
      </c>
      <c r="G18488" s="51"/>
      <c r="H18488" s="46" t="str">
        <f>IF(AND(I.Developer.P3=TRUE,I.Facility.P3FacilityCount&gt;=3476,F18488=""),"Incomplete","Complete")</f>
        <v>Complete</v>
      </c>
      <c r="I18488" s="48" t="s">
        <v>22853</v>
      </c>
    </row>
    <row r="18489" spans="2:9" ht="15" customHeight="1" x14ac:dyDescent="0.25">
      <c r="B18489" s="55" t="s">
        <v>282</v>
      </c>
      <c r="C18489" s="46">
        <v>3477</v>
      </c>
      <c r="D18489" s="69" t="s">
        <v>29419</v>
      </c>
      <c r="E18489" s="51"/>
      <c r="F18489" s="114" t="str">
        <f>IF(INDEX(I.Facility.P3IDNumber,3477)="","",INDEX(I.Facility.P3IDNumber,3477))</f>
        <v/>
      </c>
      <c r="G18489" s="51"/>
      <c r="H18489" s="46" t="str">
        <f>IF(AND(I.Developer.P3=TRUE,I.Facility.P3FacilityCount&gt;=3477,F18489=""),"Incomplete","Complete")</f>
        <v>Complete</v>
      </c>
      <c r="I18489" s="48" t="s">
        <v>22854</v>
      </c>
    </row>
    <row r="18490" spans="2:9" ht="15" customHeight="1" x14ac:dyDescent="0.25">
      <c r="B18490" s="55" t="s">
        <v>282</v>
      </c>
      <c r="C18490" s="46">
        <v>3478</v>
      </c>
      <c r="D18490" s="69" t="s">
        <v>29419</v>
      </c>
      <c r="E18490" s="51"/>
      <c r="F18490" s="114" t="str">
        <f>IF(INDEX(I.Facility.P3IDNumber,3478)="","",INDEX(I.Facility.P3IDNumber,3478))</f>
        <v/>
      </c>
      <c r="G18490" s="51"/>
      <c r="H18490" s="46" t="str">
        <f>IF(AND(I.Developer.P3=TRUE,I.Facility.P3FacilityCount&gt;=3478,F18490=""),"Incomplete","Complete")</f>
        <v>Complete</v>
      </c>
      <c r="I18490" s="48" t="s">
        <v>22855</v>
      </c>
    </row>
    <row r="18491" spans="2:9" ht="15" customHeight="1" x14ac:dyDescent="0.25">
      <c r="B18491" s="55" t="s">
        <v>282</v>
      </c>
      <c r="C18491" s="46">
        <v>3479</v>
      </c>
      <c r="D18491" s="69" t="s">
        <v>29419</v>
      </c>
      <c r="E18491" s="51"/>
      <c r="F18491" s="114" t="str">
        <f>IF(INDEX(I.Facility.P3IDNumber,3479)="","",INDEX(I.Facility.P3IDNumber,3479))</f>
        <v/>
      </c>
      <c r="G18491" s="51"/>
      <c r="H18491" s="46" t="str">
        <f>IF(AND(I.Developer.P3=TRUE,I.Facility.P3FacilityCount&gt;=3479,F18491=""),"Incomplete","Complete")</f>
        <v>Complete</v>
      </c>
      <c r="I18491" s="48" t="s">
        <v>22856</v>
      </c>
    </row>
    <row r="18492" spans="2:9" ht="15" customHeight="1" x14ac:dyDescent="0.25">
      <c r="B18492" s="55" t="s">
        <v>282</v>
      </c>
      <c r="C18492" s="46">
        <v>3480</v>
      </c>
      <c r="D18492" s="69" t="s">
        <v>29419</v>
      </c>
      <c r="E18492" s="51"/>
      <c r="F18492" s="114" t="str">
        <f>IF(INDEX(I.Facility.P3IDNumber,3480)="","",INDEX(I.Facility.P3IDNumber,3480))</f>
        <v/>
      </c>
      <c r="G18492" s="51"/>
      <c r="H18492" s="46" t="str">
        <f>IF(AND(I.Developer.P3=TRUE,I.Facility.P3FacilityCount&gt;=3480,F18492=""),"Incomplete","Complete")</f>
        <v>Complete</v>
      </c>
      <c r="I18492" s="48" t="s">
        <v>22857</v>
      </c>
    </row>
    <row r="18493" spans="2:9" ht="15" customHeight="1" x14ac:dyDescent="0.25">
      <c r="B18493" s="55" t="s">
        <v>282</v>
      </c>
      <c r="C18493" s="46">
        <v>3481</v>
      </c>
      <c r="D18493" s="69" t="s">
        <v>29419</v>
      </c>
      <c r="E18493" s="51"/>
      <c r="F18493" s="114" t="str">
        <f>IF(INDEX(I.Facility.P3IDNumber,3481)="","",INDEX(I.Facility.P3IDNumber,3481))</f>
        <v/>
      </c>
      <c r="G18493" s="51"/>
      <c r="H18493" s="46" t="str">
        <f>IF(AND(I.Developer.P3=TRUE,I.Facility.P3FacilityCount&gt;=3481,F18493=""),"Incomplete","Complete")</f>
        <v>Complete</v>
      </c>
      <c r="I18493" s="48" t="s">
        <v>22858</v>
      </c>
    </row>
    <row r="18494" spans="2:9" ht="15" customHeight="1" x14ac:dyDescent="0.25">
      <c r="B18494" s="55" t="s">
        <v>282</v>
      </c>
      <c r="C18494" s="46">
        <v>3482</v>
      </c>
      <c r="D18494" s="69" t="s">
        <v>29419</v>
      </c>
      <c r="E18494" s="51"/>
      <c r="F18494" s="114" t="str">
        <f>IF(INDEX(I.Facility.P3IDNumber,3482)="","",INDEX(I.Facility.P3IDNumber,3482))</f>
        <v/>
      </c>
      <c r="G18494" s="51"/>
      <c r="H18494" s="46" t="str">
        <f>IF(AND(I.Developer.P3=TRUE,I.Facility.P3FacilityCount&gt;=3482,F18494=""),"Incomplete","Complete")</f>
        <v>Complete</v>
      </c>
      <c r="I18494" s="48" t="s">
        <v>22859</v>
      </c>
    </row>
    <row r="18495" spans="2:9" ht="15" customHeight="1" x14ac:dyDescent="0.25">
      <c r="B18495" s="55" t="s">
        <v>282</v>
      </c>
      <c r="C18495" s="46">
        <v>3483</v>
      </c>
      <c r="D18495" s="69" t="s">
        <v>29419</v>
      </c>
      <c r="E18495" s="51"/>
      <c r="F18495" s="114" t="str">
        <f>IF(INDEX(I.Facility.P3IDNumber,3483)="","",INDEX(I.Facility.P3IDNumber,3483))</f>
        <v/>
      </c>
      <c r="G18495" s="51"/>
      <c r="H18495" s="46" t="str">
        <f>IF(AND(I.Developer.P3=TRUE,I.Facility.P3FacilityCount&gt;=3483,F18495=""),"Incomplete","Complete")</f>
        <v>Complete</v>
      </c>
      <c r="I18495" s="48" t="s">
        <v>22860</v>
      </c>
    </row>
    <row r="18496" spans="2:9" ht="15" customHeight="1" x14ac:dyDescent="0.25">
      <c r="B18496" s="55" t="s">
        <v>282</v>
      </c>
      <c r="C18496" s="46">
        <v>3484</v>
      </c>
      <c r="D18496" s="69" t="s">
        <v>29419</v>
      </c>
      <c r="E18496" s="51"/>
      <c r="F18496" s="114" t="str">
        <f>IF(INDEX(I.Facility.P3IDNumber,3484)="","",INDEX(I.Facility.P3IDNumber,3484))</f>
        <v/>
      </c>
      <c r="G18496" s="51"/>
      <c r="H18496" s="46" t="str">
        <f>IF(AND(I.Developer.P3=TRUE,I.Facility.P3FacilityCount&gt;=3484,F18496=""),"Incomplete","Complete")</f>
        <v>Complete</v>
      </c>
      <c r="I18496" s="48" t="s">
        <v>22861</v>
      </c>
    </row>
    <row r="18497" spans="2:9" ht="15" customHeight="1" x14ac:dyDescent="0.25">
      <c r="B18497" s="55" t="s">
        <v>282</v>
      </c>
      <c r="C18497" s="46">
        <v>3485</v>
      </c>
      <c r="D18497" s="69" t="s">
        <v>29419</v>
      </c>
      <c r="E18497" s="51"/>
      <c r="F18497" s="114" t="str">
        <f>IF(INDEX(I.Facility.P3IDNumber,3485)="","",INDEX(I.Facility.P3IDNumber,3485))</f>
        <v/>
      </c>
      <c r="G18497" s="51"/>
      <c r="H18497" s="46" t="str">
        <f>IF(AND(I.Developer.P3=TRUE,I.Facility.P3FacilityCount&gt;=3485,F18497=""),"Incomplete","Complete")</f>
        <v>Complete</v>
      </c>
      <c r="I18497" s="48" t="s">
        <v>22862</v>
      </c>
    </row>
    <row r="18498" spans="2:9" ht="15" customHeight="1" x14ac:dyDescent="0.25">
      <c r="B18498" s="55" t="s">
        <v>282</v>
      </c>
      <c r="C18498" s="46">
        <v>3486</v>
      </c>
      <c r="D18498" s="69" t="s">
        <v>29419</v>
      </c>
      <c r="E18498" s="51"/>
      <c r="F18498" s="114" t="str">
        <f>IF(INDEX(I.Facility.P3IDNumber,3486)="","",INDEX(I.Facility.P3IDNumber,3486))</f>
        <v/>
      </c>
      <c r="G18498" s="51"/>
      <c r="H18498" s="46" t="str">
        <f>IF(AND(I.Developer.P3=TRUE,I.Facility.P3FacilityCount&gt;=3486,F18498=""),"Incomplete","Complete")</f>
        <v>Complete</v>
      </c>
      <c r="I18498" s="48" t="s">
        <v>22863</v>
      </c>
    </row>
    <row r="18499" spans="2:9" ht="15" customHeight="1" x14ac:dyDescent="0.25">
      <c r="B18499" s="55" t="s">
        <v>282</v>
      </c>
      <c r="C18499" s="46">
        <v>3487</v>
      </c>
      <c r="D18499" s="69" t="s">
        <v>29419</v>
      </c>
      <c r="E18499" s="51"/>
      <c r="F18499" s="114" t="str">
        <f>IF(INDEX(I.Facility.P3IDNumber,3487)="","",INDEX(I.Facility.P3IDNumber,3487))</f>
        <v/>
      </c>
      <c r="G18499" s="51"/>
      <c r="H18499" s="46" t="str">
        <f>IF(AND(I.Developer.P3=TRUE,I.Facility.P3FacilityCount&gt;=3487,F18499=""),"Incomplete","Complete")</f>
        <v>Complete</v>
      </c>
      <c r="I18499" s="48" t="s">
        <v>22864</v>
      </c>
    </row>
    <row r="18500" spans="2:9" ht="15" customHeight="1" x14ac:dyDescent="0.25">
      <c r="B18500" s="55" t="s">
        <v>282</v>
      </c>
      <c r="C18500" s="46">
        <v>3488</v>
      </c>
      <c r="D18500" s="69" t="s">
        <v>29419</v>
      </c>
      <c r="E18500" s="51"/>
      <c r="F18500" s="114" t="str">
        <f>IF(INDEX(I.Facility.P3IDNumber,3488)="","",INDEX(I.Facility.P3IDNumber,3488))</f>
        <v/>
      </c>
      <c r="G18500" s="51"/>
      <c r="H18500" s="46" t="str">
        <f>IF(AND(I.Developer.P3=TRUE,I.Facility.P3FacilityCount&gt;=3488,F18500=""),"Incomplete","Complete")</f>
        <v>Complete</v>
      </c>
      <c r="I18500" s="48" t="s">
        <v>22865</v>
      </c>
    </row>
    <row r="18501" spans="2:9" ht="15" customHeight="1" x14ac:dyDescent="0.25">
      <c r="B18501" s="55" t="s">
        <v>282</v>
      </c>
      <c r="C18501" s="46">
        <v>3489</v>
      </c>
      <c r="D18501" s="69" t="s">
        <v>29419</v>
      </c>
      <c r="E18501" s="51"/>
      <c r="F18501" s="114" t="str">
        <f>IF(INDEX(I.Facility.P3IDNumber,3489)="","",INDEX(I.Facility.P3IDNumber,3489))</f>
        <v/>
      </c>
      <c r="G18501" s="51"/>
      <c r="H18501" s="46" t="str">
        <f>IF(AND(I.Developer.P3=TRUE,I.Facility.P3FacilityCount&gt;=3489,F18501=""),"Incomplete","Complete")</f>
        <v>Complete</v>
      </c>
      <c r="I18501" s="48" t="s">
        <v>22866</v>
      </c>
    </row>
    <row r="18502" spans="2:9" ht="15" customHeight="1" x14ac:dyDescent="0.25">
      <c r="B18502" s="55" t="s">
        <v>282</v>
      </c>
      <c r="C18502" s="46">
        <v>3490</v>
      </c>
      <c r="D18502" s="69" t="s">
        <v>29419</v>
      </c>
      <c r="E18502" s="51"/>
      <c r="F18502" s="114" t="str">
        <f>IF(INDEX(I.Facility.P3IDNumber,3490)="","",INDEX(I.Facility.P3IDNumber,3490))</f>
        <v/>
      </c>
      <c r="G18502" s="51"/>
      <c r="H18502" s="46" t="str">
        <f>IF(AND(I.Developer.P3=TRUE,I.Facility.P3FacilityCount&gt;=3490,F18502=""),"Incomplete","Complete")</f>
        <v>Complete</v>
      </c>
      <c r="I18502" s="48" t="s">
        <v>22867</v>
      </c>
    </row>
    <row r="18503" spans="2:9" ht="15" customHeight="1" x14ac:dyDescent="0.25">
      <c r="B18503" s="55" t="s">
        <v>282</v>
      </c>
      <c r="C18503" s="46">
        <v>3491</v>
      </c>
      <c r="D18503" s="69" t="s">
        <v>29419</v>
      </c>
      <c r="E18503" s="51"/>
      <c r="F18503" s="114" t="str">
        <f>IF(INDEX(I.Facility.P3IDNumber,3491)="","",INDEX(I.Facility.P3IDNumber,3491))</f>
        <v/>
      </c>
      <c r="G18503" s="51"/>
      <c r="H18503" s="46" t="str">
        <f>IF(AND(I.Developer.P3=TRUE,I.Facility.P3FacilityCount&gt;=3491,F18503=""),"Incomplete","Complete")</f>
        <v>Complete</v>
      </c>
      <c r="I18503" s="48" t="s">
        <v>22868</v>
      </c>
    </row>
    <row r="18504" spans="2:9" ht="15" customHeight="1" x14ac:dyDescent="0.25">
      <c r="B18504" s="55" t="s">
        <v>282</v>
      </c>
      <c r="C18504" s="46">
        <v>3492</v>
      </c>
      <c r="D18504" s="69" t="s">
        <v>29419</v>
      </c>
      <c r="E18504" s="51"/>
      <c r="F18504" s="114" t="str">
        <f>IF(INDEX(I.Facility.P3IDNumber,3492)="","",INDEX(I.Facility.P3IDNumber,3492))</f>
        <v/>
      </c>
      <c r="G18504" s="51"/>
      <c r="H18504" s="46" t="str">
        <f>IF(AND(I.Developer.P3=TRUE,I.Facility.P3FacilityCount&gt;=3492,F18504=""),"Incomplete","Complete")</f>
        <v>Complete</v>
      </c>
      <c r="I18504" s="48" t="s">
        <v>22869</v>
      </c>
    </row>
    <row r="18505" spans="2:9" ht="15" customHeight="1" x14ac:dyDescent="0.25">
      <c r="B18505" s="55" t="s">
        <v>282</v>
      </c>
      <c r="C18505" s="46">
        <v>3493</v>
      </c>
      <c r="D18505" s="69" t="s">
        <v>29419</v>
      </c>
      <c r="E18505" s="51"/>
      <c r="F18505" s="114" t="str">
        <f>IF(INDEX(I.Facility.P3IDNumber,3493)="","",INDEX(I.Facility.P3IDNumber,3493))</f>
        <v/>
      </c>
      <c r="G18505" s="51"/>
      <c r="H18505" s="46" t="str">
        <f>IF(AND(I.Developer.P3=TRUE,I.Facility.P3FacilityCount&gt;=3493,F18505=""),"Incomplete","Complete")</f>
        <v>Complete</v>
      </c>
      <c r="I18505" s="48" t="s">
        <v>22870</v>
      </c>
    </row>
    <row r="18506" spans="2:9" ht="15" customHeight="1" x14ac:dyDescent="0.25">
      <c r="B18506" s="55" t="s">
        <v>282</v>
      </c>
      <c r="C18506" s="46">
        <v>3494</v>
      </c>
      <c r="D18506" s="69" t="s">
        <v>29419</v>
      </c>
      <c r="E18506" s="51"/>
      <c r="F18506" s="114" t="str">
        <f>IF(INDEX(I.Facility.P3IDNumber,3494)="","",INDEX(I.Facility.P3IDNumber,3494))</f>
        <v/>
      </c>
      <c r="G18506" s="51"/>
      <c r="H18506" s="46" t="str">
        <f>IF(AND(I.Developer.P3=TRUE,I.Facility.P3FacilityCount&gt;=3494,F18506=""),"Incomplete","Complete")</f>
        <v>Complete</v>
      </c>
      <c r="I18506" s="48" t="s">
        <v>22871</v>
      </c>
    </row>
    <row r="18507" spans="2:9" ht="15" customHeight="1" x14ac:dyDescent="0.25">
      <c r="B18507" s="55" t="s">
        <v>282</v>
      </c>
      <c r="C18507" s="46">
        <v>3495</v>
      </c>
      <c r="D18507" s="69" t="s">
        <v>29419</v>
      </c>
      <c r="E18507" s="51"/>
      <c r="F18507" s="114" t="str">
        <f>IF(INDEX(I.Facility.P3IDNumber,3495)="","",INDEX(I.Facility.P3IDNumber,3495))</f>
        <v/>
      </c>
      <c r="G18507" s="51"/>
      <c r="H18507" s="46" t="str">
        <f>IF(AND(I.Developer.P3=TRUE,I.Facility.P3FacilityCount&gt;=3495,F18507=""),"Incomplete","Complete")</f>
        <v>Complete</v>
      </c>
      <c r="I18507" s="48" t="s">
        <v>22872</v>
      </c>
    </row>
    <row r="18508" spans="2:9" ht="15" customHeight="1" x14ac:dyDescent="0.25">
      <c r="B18508" s="55" t="s">
        <v>282</v>
      </c>
      <c r="C18508" s="46">
        <v>3496</v>
      </c>
      <c r="D18508" s="69" t="s">
        <v>29419</v>
      </c>
      <c r="E18508" s="51"/>
      <c r="F18508" s="114" t="str">
        <f>IF(INDEX(I.Facility.P3IDNumber,3496)="","",INDEX(I.Facility.P3IDNumber,3496))</f>
        <v/>
      </c>
      <c r="G18508" s="51"/>
      <c r="H18508" s="46" t="str">
        <f>IF(AND(I.Developer.P3=TRUE,I.Facility.P3FacilityCount&gt;=3496,F18508=""),"Incomplete","Complete")</f>
        <v>Complete</v>
      </c>
      <c r="I18508" s="48" t="s">
        <v>22873</v>
      </c>
    </row>
    <row r="18509" spans="2:9" ht="15" customHeight="1" x14ac:dyDescent="0.25">
      <c r="B18509" s="55" t="s">
        <v>282</v>
      </c>
      <c r="C18509" s="46">
        <v>3497</v>
      </c>
      <c r="D18509" s="69" t="s">
        <v>29419</v>
      </c>
      <c r="E18509" s="51"/>
      <c r="F18509" s="114" t="str">
        <f>IF(INDEX(I.Facility.P3IDNumber,3497)="","",INDEX(I.Facility.P3IDNumber,3497))</f>
        <v/>
      </c>
      <c r="G18509" s="51"/>
      <c r="H18509" s="46" t="str">
        <f>IF(AND(I.Developer.P3=TRUE,I.Facility.P3FacilityCount&gt;=3497,F18509=""),"Incomplete","Complete")</f>
        <v>Complete</v>
      </c>
      <c r="I18509" s="48" t="s">
        <v>22874</v>
      </c>
    </row>
    <row r="18510" spans="2:9" ht="15" customHeight="1" x14ac:dyDescent="0.25">
      <c r="B18510" s="55" t="s">
        <v>282</v>
      </c>
      <c r="C18510" s="46">
        <v>3498</v>
      </c>
      <c r="D18510" s="69" t="s">
        <v>29419</v>
      </c>
      <c r="E18510" s="51"/>
      <c r="F18510" s="114" t="str">
        <f>IF(INDEX(I.Facility.P3IDNumber,3498)="","",INDEX(I.Facility.P3IDNumber,3498))</f>
        <v/>
      </c>
      <c r="G18510" s="51"/>
      <c r="H18510" s="46" t="str">
        <f>IF(AND(I.Developer.P3=TRUE,I.Facility.P3FacilityCount&gt;=3498,F18510=""),"Incomplete","Complete")</f>
        <v>Complete</v>
      </c>
      <c r="I18510" s="48" t="s">
        <v>22875</v>
      </c>
    </row>
    <row r="18511" spans="2:9" ht="15" customHeight="1" x14ac:dyDescent="0.25">
      <c r="B18511" s="55" t="s">
        <v>282</v>
      </c>
      <c r="C18511" s="46">
        <v>3499</v>
      </c>
      <c r="D18511" s="69" t="s">
        <v>29419</v>
      </c>
      <c r="E18511" s="51"/>
      <c r="F18511" s="114" t="str">
        <f>IF(INDEX(I.Facility.P3IDNumber,3499)="","",INDEX(I.Facility.P3IDNumber,3499))</f>
        <v/>
      </c>
      <c r="G18511" s="51"/>
      <c r="H18511" s="46" t="str">
        <f>IF(AND(I.Developer.P3=TRUE,I.Facility.P3FacilityCount&gt;=3499,F18511=""),"Incomplete","Complete")</f>
        <v>Complete</v>
      </c>
      <c r="I18511" s="48" t="s">
        <v>22876</v>
      </c>
    </row>
    <row r="18512" spans="2:9" ht="15" customHeight="1" x14ac:dyDescent="0.25">
      <c r="B18512" s="55" t="s">
        <v>282</v>
      </c>
      <c r="C18512" s="46">
        <v>3500</v>
      </c>
      <c r="D18512" s="69" t="s">
        <v>29419</v>
      </c>
      <c r="E18512" s="51"/>
      <c r="F18512" s="114" t="str">
        <f>IF(INDEX(I.Facility.P3IDNumber,3500)="","",INDEX(I.Facility.P3IDNumber,3500))</f>
        <v/>
      </c>
      <c r="G18512" s="51"/>
      <c r="H18512" s="46" t="str">
        <f>IF(AND(I.Developer.P3=TRUE,I.Facility.P3FacilityCount&gt;=3500,F18512=""),"Incomplete","Complete")</f>
        <v>Complete</v>
      </c>
      <c r="I18512" s="48" t="s">
        <v>22877</v>
      </c>
    </row>
    <row r="18513" spans="2:9" ht="15" customHeight="1" x14ac:dyDescent="0.25">
      <c r="B18513" s="55" t="s">
        <v>282</v>
      </c>
      <c r="C18513" s="46">
        <v>3501</v>
      </c>
      <c r="D18513" s="69" t="s">
        <v>29419</v>
      </c>
      <c r="E18513" s="51"/>
      <c r="F18513" s="114" t="str">
        <f>IF(INDEX(I.Facility.P3IDNumber,3501)="","",INDEX(I.Facility.P3IDNumber,3501))</f>
        <v/>
      </c>
      <c r="G18513" s="51"/>
      <c r="H18513" s="46" t="str">
        <f>IF(AND(I.Developer.P3=TRUE,I.Facility.P3FacilityCount&gt;=3501,F18513=""),"Incomplete","Complete")</f>
        <v>Complete</v>
      </c>
      <c r="I18513" s="48" t="s">
        <v>22878</v>
      </c>
    </row>
    <row r="18514" spans="2:9" ht="15" customHeight="1" x14ac:dyDescent="0.25">
      <c r="B18514" s="55" t="s">
        <v>282</v>
      </c>
      <c r="C18514" s="46">
        <v>3502</v>
      </c>
      <c r="D18514" s="69" t="s">
        <v>29419</v>
      </c>
      <c r="E18514" s="51"/>
      <c r="F18514" s="114" t="str">
        <f>IF(INDEX(I.Facility.P3IDNumber,3502)="","",INDEX(I.Facility.P3IDNumber,3502))</f>
        <v/>
      </c>
      <c r="G18514" s="51"/>
      <c r="H18514" s="46" t="str">
        <f>IF(AND(I.Developer.P3=TRUE,I.Facility.P3FacilityCount&gt;=3502,F18514=""),"Incomplete","Complete")</f>
        <v>Complete</v>
      </c>
      <c r="I18514" s="48" t="s">
        <v>22879</v>
      </c>
    </row>
    <row r="18515" spans="2:9" ht="15" customHeight="1" x14ac:dyDescent="0.25">
      <c r="B18515" s="55" t="s">
        <v>282</v>
      </c>
      <c r="C18515" s="46">
        <v>3503</v>
      </c>
      <c r="D18515" s="69" t="s">
        <v>29419</v>
      </c>
      <c r="E18515" s="51"/>
      <c r="F18515" s="114" t="str">
        <f>IF(INDEX(I.Facility.P3IDNumber,3503)="","",INDEX(I.Facility.P3IDNumber,3503))</f>
        <v/>
      </c>
      <c r="G18515" s="51"/>
      <c r="H18515" s="46" t="str">
        <f>IF(AND(I.Developer.P3=TRUE,I.Facility.P3FacilityCount&gt;=3503,F18515=""),"Incomplete","Complete")</f>
        <v>Complete</v>
      </c>
      <c r="I18515" s="48" t="s">
        <v>22880</v>
      </c>
    </row>
    <row r="18516" spans="2:9" ht="15" customHeight="1" x14ac:dyDescent="0.25">
      <c r="B18516" s="55" t="s">
        <v>282</v>
      </c>
      <c r="C18516" s="46">
        <v>3504</v>
      </c>
      <c r="D18516" s="69" t="s">
        <v>29419</v>
      </c>
      <c r="E18516" s="51"/>
      <c r="F18516" s="114" t="str">
        <f>IF(INDEX(I.Facility.P3IDNumber,3504)="","",INDEX(I.Facility.P3IDNumber,3504))</f>
        <v/>
      </c>
      <c r="G18516" s="51"/>
      <c r="H18516" s="46" t="str">
        <f>IF(AND(I.Developer.P3=TRUE,I.Facility.P3FacilityCount&gt;=3504,F18516=""),"Incomplete","Complete")</f>
        <v>Complete</v>
      </c>
      <c r="I18516" s="48" t="s">
        <v>22881</v>
      </c>
    </row>
    <row r="18517" spans="2:9" ht="15" customHeight="1" x14ac:dyDescent="0.25">
      <c r="B18517" s="55" t="s">
        <v>282</v>
      </c>
      <c r="C18517" s="46">
        <v>3505</v>
      </c>
      <c r="D18517" s="69" t="s">
        <v>29419</v>
      </c>
      <c r="E18517" s="51"/>
      <c r="F18517" s="114" t="str">
        <f>IF(INDEX(I.Facility.P3IDNumber,3505)="","",INDEX(I.Facility.P3IDNumber,3505))</f>
        <v/>
      </c>
      <c r="G18517" s="51"/>
      <c r="H18517" s="46" t="str">
        <f>IF(AND(I.Developer.P3=TRUE,I.Facility.P3FacilityCount&gt;=3505,F18517=""),"Incomplete","Complete")</f>
        <v>Complete</v>
      </c>
      <c r="I18517" s="48" t="s">
        <v>22882</v>
      </c>
    </row>
    <row r="18518" spans="2:9" ht="15" customHeight="1" x14ac:dyDescent="0.25">
      <c r="B18518" s="55" t="s">
        <v>282</v>
      </c>
      <c r="C18518" s="46">
        <v>3506</v>
      </c>
      <c r="D18518" s="69" t="s">
        <v>29419</v>
      </c>
      <c r="E18518" s="51"/>
      <c r="F18518" s="114" t="str">
        <f>IF(INDEX(I.Facility.P3IDNumber,3506)="","",INDEX(I.Facility.P3IDNumber,3506))</f>
        <v/>
      </c>
      <c r="G18518" s="51"/>
      <c r="H18518" s="46" t="str">
        <f>IF(AND(I.Developer.P3=TRUE,I.Facility.P3FacilityCount&gt;=3506,F18518=""),"Incomplete","Complete")</f>
        <v>Complete</v>
      </c>
      <c r="I18518" s="48" t="s">
        <v>22883</v>
      </c>
    </row>
    <row r="18519" spans="2:9" ht="15" customHeight="1" x14ac:dyDescent="0.25">
      <c r="B18519" s="55" t="s">
        <v>282</v>
      </c>
      <c r="C18519" s="46">
        <v>3507</v>
      </c>
      <c r="D18519" s="69" t="s">
        <v>29419</v>
      </c>
      <c r="E18519" s="51"/>
      <c r="F18519" s="114" t="str">
        <f>IF(INDEX(I.Facility.P3IDNumber,3507)="","",INDEX(I.Facility.P3IDNumber,3507))</f>
        <v/>
      </c>
      <c r="G18519" s="51"/>
      <c r="H18519" s="46" t="str">
        <f>IF(AND(I.Developer.P3=TRUE,I.Facility.P3FacilityCount&gt;=3507,F18519=""),"Incomplete","Complete")</f>
        <v>Complete</v>
      </c>
      <c r="I18519" s="48" t="s">
        <v>22884</v>
      </c>
    </row>
    <row r="18520" spans="2:9" ht="15" customHeight="1" x14ac:dyDescent="0.25">
      <c r="B18520" s="55" t="s">
        <v>282</v>
      </c>
      <c r="C18520" s="46">
        <v>3508</v>
      </c>
      <c r="D18520" s="69" t="s">
        <v>29419</v>
      </c>
      <c r="E18520" s="51"/>
      <c r="F18520" s="114" t="str">
        <f>IF(INDEX(I.Facility.P3IDNumber,3508)="","",INDEX(I.Facility.P3IDNumber,3508))</f>
        <v/>
      </c>
      <c r="G18520" s="51"/>
      <c r="H18520" s="46" t="str">
        <f>IF(AND(I.Developer.P3=TRUE,I.Facility.P3FacilityCount&gt;=3508,F18520=""),"Incomplete","Complete")</f>
        <v>Complete</v>
      </c>
      <c r="I18520" s="48" t="s">
        <v>22885</v>
      </c>
    </row>
    <row r="18521" spans="2:9" ht="15" customHeight="1" x14ac:dyDescent="0.25">
      <c r="B18521" s="55" t="s">
        <v>282</v>
      </c>
      <c r="C18521" s="46">
        <v>3509</v>
      </c>
      <c r="D18521" s="69" t="s">
        <v>29419</v>
      </c>
      <c r="E18521" s="51"/>
      <c r="F18521" s="114" t="str">
        <f>IF(INDEX(I.Facility.P3IDNumber,3509)="","",INDEX(I.Facility.P3IDNumber,3509))</f>
        <v/>
      </c>
      <c r="G18521" s="51"/>
      <c r="H18521" s="46" t="str">
        <f>IF(AND(I.Developer.P3=TRUE,I.Facility.P3FacilityCount&gt;=3509,F18521=""),"Incomplete","Complete")</f>
        <v>Complete</v>
      </c>
      <c r="I18521" s="48" t="s">
        <v>22886</v>
      </c>
    </row>
    <row r="18522" spans="2:9" ht="15" customHeight="1" x14ac:dyDescent="0.25">
      <c r="B18522" s="55" t="s">
        <v>282</v>
      </c>
      <c r="C18522" s="46">
        <v>3510</v>
      </c>
      <c r="D18522" s="69" t="s">
        <v>29419</v>
      </c>
      <c r="E18522" s="51"/>
      <c r="F18522" s="114" t="str">
        <f>IF(INDEX(I.Facility.P3IDNumber,3510)="","",INDEX(I.Facility.P3IDNumber,3510))</f>
        <v/>
      </c>
      <c r="G18522" s="51"/>
      <c r="H18522" s="46" t="str">
        <f>IF(AND(I.Developer.P3=TRUE,I.Facility.P3FacilityCount&gt;=3510,F18522=""),"Incomplete","Complete")</f>
        <v>Complete</v>
      </c>
      <c r="I18522" s="48" t="s">
        <v>22887</v>
      </c>
    </row>
    <row r="18523" spans="2:9" ht="15" customHeight="1" x14ac:dyDescent="0.25">
      <c r="B18523" s="55" t="s">
        <v>282</v>
      </c>
      <c r="C18523" s="46">
        <v>3511</v>
      </c>
      <c r="D18523" s="69" t="s">
        <v>29419</v>
      </c>
      <c r="E18523" s="51"/>
      <c r="F18523" s="114" t="str">
        <f>IF(INDEX(I.Facility.P3IDNumber,3511)="","",INDEX(I.Facility.P3IDNumber,3511))</f>
        <v/>
      </c>
      <c r="G18523" s="51"/>
      <c r="H18523" s="46" t="str">
        <f>IF(AND(I.Developer.P3=TRUE,I.Facility.P3FacilityCount&gt;=3511,F18523=""),"Incomplete","Complete")</f>
        <v>Complete</v>
      </c>
      <c r="I18523" s="48" t="s">
        <v>22888</v>
      </c>
    </row>
    <row r="18524" spans="2:9" ht="15" customHeight="1" x14ac:dyDescent="0.25">
      <c r="B18524" s="55" t="s">
        <v>282</v>
      </c>
      <c r="C18524" s="46">
        <v>3512</v>
      </c>
      <c r="D18524" s="69" t="s">
        <v>29419</v>
      </c>
      <c r="E18524" s="51"/>
      <c r="F18524" s="114" t="str">
        <f>IF(INDEX(I.Facility.P3IDNumber,3512)="","",INDEX(I.Facility.P3IDNumber,3512))</f>
        <v/>
      </c>
      <c r="G18524" s="51"/>
      <c r="H18524" s="46" t="str">
        <f>IF(AND(I.Developer.P3=TRUE,I.Facility.P3FacilityCount&gt;=3512,F18524=""),"Incomplete","Complete")</f>
        <v>Complete</v>
      </c>
      <c r="I18524" s="48" t="s">
        <v>22889</v>
      </c>
    </row>
    <row r="18525" spans="2:9" ht="15" customHeight="1" x14ac:dyDescent="0.25">
      <c r="B18525" s="55" t="s">
        <v>282</v>
      </c>
      <c r="C18525" s="46">
        <v>3513</v>
      </c>
      <c r="D18525" s="69" t="s">
        <v>29419</v>
      </c>
      <c r="E18525" s="51"/>
      <c r="F18525" s="114" t="str">
        <f>IF(INDEX(I.Facility.P3IDNumber,3513)="","",INDEX(I.Facility.P3IDNumber,3513))</f>
        <v/>
      </c>
      <c r="G18525" s="51"/>
      <c r="H18525" s="46" t="str">
        <f>IF(AND(I.Developer.P3=TRUE,I.Facility.P3FacilityCount&gt;=3513,F18525=""),"Incomplete","Complete")</f>
        <v>Complete</v>
      </c>
      <c r="I18525" s="48" t="s">
        <v>22890</v>
      </c>
    </row>
    <row r="18526" spans="2:9" ht="15" customHeight="1" x14ac:dyDescent="0.25">
      <c r="B18526" s="55" t="s">
        <v>282</v>
      </c>
      <c r="C18526" s="46">
        <v>3514</v>
      </c>
      <c r="D18526" s="69" t="s">
        <v>29419</v>
      </c>
      <c r="E18526" s="51"/>
      <c r="F18526" s="114" t="str">
        <f>IF(INDEX(I.Facility.P3IDNumber,3514)="","",INDEX(I.Facility.P3IDNumber,3514))</f>
        <v/>
      </c>
      <c r="G18526" s="51"/>
      <c r="H18526" s="46" t="str">
        <f>IF(AND(I.Developer.P3=TRUE,I.Facility.P3FacilityCount&gt;=3514,F18526=""),"Incomplete","Complete")</f>
        <v>Complete</v>
      </c>
      <c r="I18526" s="48" t="s">
        <v>22891</v>
      </c>
    </row>
    <row r="18527" spans="2:9" ht="15" customHeight="1" x14ac:dyDescent="0.25">
      <c r="B18527" s="55" t="s">
        <v>282</v>
      </c>
      <c r="C18527" s="46">
        <v>3515</v>
      </c>
      <c r="D18527" s="69" t="s">
        <v>29419</v>
      </c>
      <c r="E18527" s="51"/>
      <c r="F18527" s="114" t="str">
        <f>IF(INDEX(I.Facility.P3IDNumber,3515)="","",INDEX(I.Facility.P3IDNumber,3515))</f>
        <v/>
      </c>
      <c r="G18527" s="51"/>
      <c r="H18527" s="46" t="str">
        <f>IF(AND(I.Developer.P3=TRUE,I.Facility.P3FacilityCount&gt;=3515,F18527=""),"Incomplete","Complete")</f>
        <v>Complete</v>
      </c>
      <c r="I18527" s="48" t="s">
        <v>22892</v>
      </c>
    </row>
    <row r="18528" spans="2:9" ht="15" customHeight="1" x14ac:dyDescent="0.25">
      <c r="B18528" s="55" t="s">
        <v>282</v>
      </c>
      <c r="C18528" s="46">
        <v>3516</v>
      </c>
      <c r="D18528" s="69" t="s">
        <v>29419</v>
      </c>
      <c r="E18528" s="51"/>
      <c r="F18528" s="114" t="str">
        <f>IF(INDEX(I.Facility.P3IDNumber,3516)="","",INDEX(I.Facility.P3IDNumber,3516))</f>
        <v/>
      </c>
      <c r="G18528" s="51"/>
      <c r="H18528" s="46" t="str">
        <f>IF(AND(I.Developer.P3=TRUE,I.Facility.P3FacilityCount&gt;=3516,F18528=""),"Incomplete","Complete")</f>
        <v>Complete</v>
      </c>
      <c r="I18528" s="48" t="s">
        <v>22893</v>
      </c>
    </row>
    <row r="18529" spans="2:9" ht="15" customHeight="1" x14ac:dyDescent="0.25">
      <c r="B18529" s="55" t="s">
        <v>282</v>
      </c>
      <c r="C18529" s="46">
        <v>3517</v>
      </c>
      <c r="D18529" s="69" t="s">
        <v>29419</v>
      </c>
      <c r="E18529" s="51"/>
      <c r="F18529" s="114" t="str">
        <f>IF(INDEX(I.Facility.P3IDNumber,3517)="","",INDEX(I.Facility.P3IDNumber,3517))</f>
        <v/>
      </c>
      <c r="G18529" s="51"/>
      <c r="H18529" s="46" t="str">
        <f>IF(AND(I.Developer.P3=TRUE,I.Facility.P3FacilityCount&gt;=3517,F18529=""),"Incomplete","Complete")</f>
        <v>Complete</v>
      </c>
      <c r="I18529" s="48" t="s">
        <v>22894</v>
      </c>
    </row>
    <row r="18530" spans="2:9" ht="15" customHeight="1" x14ac:dyDescent="0.25">
      <c r="B18530" s="55" t="s">
        <v>282</v>
      </c>
      <c r="C18530" s="46">
        <v>3518</v>
      </c>
      <c r="D18530" s="69" t="s">
        <v>29419</v>
      </c>
      <c r="E18530" s="51"/>
      <c r="F18530" s="114" t="str">
        <f>IF(INDEX(I.Facility.P3IDNumber,3518)="","",INDEX(I.Facility.P3IDNumber,3518))</f>
        <v/>
      </c>
      <c r="G18530" s="51"/>
      <c r="H18530" s="46" t="str">
        <f>IF(AND(I.Developer.P3=TRUE,I.Facility.P3FacilityCount&gt;=3518,F18530=""),"Incomplete","Complete")</f>
        <v>Complete</v>
      </c>
      <c r="I18530" s="48" t="s">
        <v>22895</v>
      </c>
    </row>
    <row r="18531" spans="2:9" ht="15" customHeight="1" x14ac:dyDescent="0.25">
      <c r="B18531" s="55" t="s">
        <v>282</v>
      </c>
      <c r="C18531" s="46">
        <v>3519</v>
      </c>
      <c r="D18531" s="69" t="s">
        <v>29419</v>
      </c>
      <c r="E18531" s="51"/>
      <c r="F18531" s="114" t="str">
        <f>IF(INDEX(I.Facility.P3IDNumber,3519)="","",INDEX(I.Facility.P3IDNumber,3519))</f>
        <v/>
      </c>
      <c r="G18531" s="51"/>
      <c r="H18531" s="46" t="str">
        <f>IF(AND(I.Developer.P3=TRUE,I.Facility.P3FacilityCount&gt;=3519,F18531=""),"Incomplete","Complete")</f>
        <v>Complete</v>
      </c>
      <c r="I18531" s="48" t="s">
        <v>22896</v>
      </c>
    </row>
    <row r="18532" spans="2:9" ht="15" customHeight="1" x14ac:dyDescent="0.25">
      <c r="B18532" s="55" t="s">
        <v>282</v>
      </c>
      <c r="C18532" s="46">
        <v>3520</v>
      </c>
      <c r="D18532" s="69" t="s">
        <v>29419</v>
      </c>
      <c r="E18532" s="51"/>
      <c r="F18532" s="114" t="str">
        <f>IF(INDEX(I.Facility.P3IDNumber,3520)="","",INDEX(I.Facility.P3IDNumber,3520))</f>
        <v/>
      </c>
      <c r="G18532" s="51"/>
      <c r="H18532" s="46" t="str">
        <f>IF(AND(I.Developer.P3=TRUE,I.Facility.P3FacilityCount&gt;=3520,F18532=""),"Incomplete","Complete")</f>
        <v>Complete</v>
      </c>
      <c r="I18532" s="48" t="s">
        <v>22897</v>
      </c>
    </row>
    <row r="18533" spans="2:9" ht="15" customHeight="1" x14ac:dyDescent="0.25">
      <c r="B18533" s="55" t="s">
        <v>282</v>
      </c>
      <c r="C18533" s="46">
        <v>3521</v>
      </c>
      <c r="D18533" s="69" t="s">
        <v>29419</v>
      </c>
      <c r="E18533" s="51"/>
      <c r="F18533" s="114" t="str">
        <f>IF(INDEX(I.Facility.P3IDNumber,3521)="","",INDEX(I.Facility.P3IDNumber,3521))</f>
        <v/>
      </c>
      <c r="G18533" s="51"/>
      <c r="H18533" s="46" t="str">
        <f>IF(AND(I.Developer.P3=TRUE,I.Facility.P3FacilityCount&gt;=3521,F18533=""),"Incomplete","Complete")</f>
        <v>Complete</v>
      </c>
      <c r="I18533" s="48" t="s">
        <v>22898</v>
      </c>
    </row>
    <row r="18534" spans="2:9" ht="15" customHeight="1" x14ac:dyDescent="0.25">
      <c r="B18534" s="55" t="s">
        <v>282</v>
      </c>
      <c r="C18534" s="46">
        <v>3522</v>
      </c>
      <c r="D18534" s="69" t="s">
        <v>29419</v>
      </c>
      <c r="E18534" s="51"/>
      <c r="F18534" s="114" t="str">
        <f>IF(INDEX(I.Facility.P3IDNumber,3522)="","",INDEX(I.Facility.P3IDNumber,3522))</f>
        <v/>
      </c>
      <c r="G18534" s="51"/>
      <c r="H18534" s="46" t="str">
        <f>IF(AND(I.Developer.P3=TRUE,I.Facility.P3FacilityCount&gt;=3522,F18534=""),"Incomplete","Complete")</f>
        <v>Complete</v>
      </c>
      <c r="I18534" s="48" t="s">
        <v>22899</v>
      </c>
    </row>
    <row r="18535" spans="2:9" ht="15" customHeight="1" x14ac:dyDescent="0.25">
      <c r="B18535" s="55" t="s">
        <v>282</v>
      </c>
      <c r="C18535" s="46">
        <v>3523</v>
      </c>
      <c r="D18535" s="69" t="s">
        <v>29419</v>
      </c>
      <c r="E18535" s="51"/>
      <c r="F18535" s="114" t="str">
        <f>IF(INDEX(I.Facility.P3IDNumber,3523)="","",INDEX(I.Facility.P3IDNumber,3523))</f>
        <v/>
      </c>
      <c r="G18535" s="51"/>
      <c r="H18535" s="46" t="str">
        <f>IF(AND(I.Developer.P3=TRUE,I.Facility.P3FacilityCount&gt;=3523,F18535=""),"Incomplete","Complete")</f>
        <v>Complete</v>
      </c>
      <c r="I18535" s="48" t="s">
        <v>22900</v>
      </c>
    </row>
    <row r="18536" spans="2:9" ht="15" customHeight="1" x14ac:dyDescent="0.25">
      <c r="B18536" s="55" t="s">
        <v>282</v>
      </c>
      <c r="C18536" s="46">
        <v>3524</v>
      </c>
      <c r="D18536" s="69" t="s">
        <v>29419</v>
      </c>
      <c r="E18536" s="51"/>
      <c r="F18536" s="114" t="str">
        <f>IF(INDEX(I.Facility.P3IDNumber,3524)="","",INDEX(I.Facility.P3IDNumber,3524))</f>
        <v/>
      </c>
      <c r="G18536" s="51"/>
      <c r="H18536" s="46" t="str">
        <f>IF(AND(I.Developer.P3=TRUE,I.Facility.P3FacilityCount&gt;=3524,F18536=""),"Incomplete","Complete")</f>
        <v>Complete</v>
      </c>
      <c r="I18536" s="48" t="s">
        <v>22901</v>
      </c>
    </row>
    <row r="18537" spans="2:9" ht="15" customHeight="1" x14ac:dyDescent="0.25">
      <c r="B18537" s="55" t="s">
        <v>282</v>
      </c>
      <c r="C18537" s="46">
        <v>3525</v>
      </c>
      <c r="D18537" s="69" t="s">
        <v>29419</v>
      </c>
      <c r="E18537" s="51"/>
      <c r="F18537" s="114" t="str">
        <f>IF(INDEX(I.Facility.P3IDNumber,3525)="","",INDEX(I.Facility.P3IDNumber,3525))</f>
        <v/>
      </c>
      <c r="G18537" s="51"/>
      <c r="H18537" s="46" t="str">
        <f>IF(AND(I.Developer.P3=TRUE,I.Facility.P3FacilityCount&gt;=3525,F18537=""),"Incomplete","Complete")</f>
        <v>Complete</v>
      </c>
      <c r="I18537" s="48" t="s">
        <v>22902</v>
      </c>
    </row>
    <row r="18538" spans="2:9" ht="15" customHeight="1" x14ac:dyDescent="0.25">
      <c r="B18538" s="55" t="s">
        <v>282</v>
      </c>
      <c r="C18538" s="46">
        <v>3526</v>
      </c>
      <c r="D18538" s="69" t="s">
        <v>29419</v>
      </c>
      <c r="E18538" s="51"/>
      <c r="F18538" s="114" t="str">
        <f>IF(INDEX(I.Facility.P3IDNumber,3526)="","",INDEX(I.Facility.P3IDNumber,3526))</f>
        <v/>
      </c>
      <c r="G18538" s="51"/>
      <c r="H18538" s="46" t="str">
        <f>IF(AND(I.Developer.P3=TRUE,I.Facility.P3FacilityCount&gt;=3526,F18538=""),"Incomplete","Complete")</f>
        <v>Complete</v>
      </c>
      <c r="I18538" s="48" t="s">
        <v>22903</v>
      </c>
    </row>
    <row r="18539" spans="2:9" ht="15" customHeight="1" x14ac:dyDescent="0.25">
      <c r="B18539" s="55" t="s">
        <v>282</v>
      </c>
      <c r="C18539" s="46">
        <v>3527</v>
      </c>
      <c r="D18539" s="69" t="s">
        <v>29419</v>
      </c>
      <c r="E18539" s="51"/>
      <c r="F18539" s="114" t="str">
        <f>IF(INDEX(I.Facility.P3IDNumber,3527)="","",INDEX(I.Facility.P3IDNumber,3527))</f>
        <v/>
      </c>
      <c r="G18539" s="51"/>
      <c r="H18539" s="46" t="str">
        <f>IF(AND(I.Developer.P3=TRUE,I.Facility.P3FacilityCount&gt;=3527,F18539=""),"Incomplete","Complete")</f>
        <v>Complete</v>
      </c>
      <c r="I18539" s="48" t="s">
        <v>22904</v>
      </c>
    </row>
    <row r="18540" spans="2:9" ht="15" customHeight="1" x14ac:dyDescent="0.25">
      <c r="B18540" s="55" t="s">
        <v>282</v>
      </c>
      <c r="C18540" s="46">
        <v>3528</v>
      </c>
      <c r="D18540" s="69" t="s">
        <v>29419</v>
      </c>
      <c r="E18540" s="51"/>
      <c r="F18540" s="114" t="str">
        <f>IF(INDEX(I.Facility.P3IDNumber,3528)="","",INDEX(I.Facility.P3IDNumber,3528))</f>
        <v/>
      </c>
      <c r="G18540" s="51"/>
      <c r="H18540" s="46" t="str">
        <f>IF(AND(I.Developer.P3=TRUE,I.Facility.P3FacilityCount&gt;=3528,F18540=""),"Incomplete","Complete")</f>
        <v>Complete</v>
      </c>
      <c r="I18540" s="48" t="s">
        <v>22905</v>
      </c>
    </row>
    <row r="18541" spans="2:9" ht="15" customHeight="1" x14ac:dyDescent="0.25">
      <c r="B18541" s="55" t="s">
        <v>282</v>
      </c>
      <c r="C18541" s="46">
        <v>3529</v>
      </c>
      <c r="D18541" s="69" t="s">
        <v>29419</v>
      </c>
      <c r="E18541" s="51"/>
      <c r="F18541" s="114" t="str">
        <f>IF(INDEX(I.Facility.P3IDNumber,3529)="","",INDEX(I.Facility.P3IDNumber,3529))</f>
        <v/>
      </c>
      <c r="G18541" s="51"/>
      <c r="H18541" s="46" t="str">
        <f>IF(AND(I.Developer.P3=TRUE,I.Facility.P3FacilityCount&gt;=3529,F18541=""),"Incomplete","Complete")</f>
        <v>Complete</v>
      </c>
      <c r="I18541" s="48" t="s">
        <v>22906</v>
      </c>
    </row>
    <row r="18542" spans="2:9" ht="15" customHeight="1" x14ac:dyDescent="0.25">
      <c r="B18542" s="55" t="s">
        <v>282</v>
      </c>
      <c r="C18542" s="46">
        <v>3530</v>
      </c>
      <c r="D18542" s="69" t="s">
        <v>29419</v>
      </c>
      <c r="E18542" s="51"/>
      <c r="F18542" s="114" t="str">
        <f>IF(INDEX(I.Facility.P3IDNumber,3530)="","",INDEX(I.Facility.P3IDNumber,3530))</f>
        <v/>
      </c>
      <c r="G18542" s="51"/>
      <c r="H18542" s="46" t="str">
        <f>IF(AND(I.Developer.P3=TRUE,I.Facility.P3FacilityCount&gt;=3530,F18542=""),"Incomplete","Complete")</f>
        <v>Complete</v>
      </c>
      <c r="I18542" s="48" t="s">
        <v>22907</v>
      </c>
    </row>
    <row r="18543" spans="2:9" ht="15" customHeight="1" x14ac:dyDescent="0.25">
      <c r="B18543" s="55" t="s">
        <v>282</v>
      </c>
      <c r="C18543" s="46">
        <v>3531</v>
      </c>
      <c r="D18543" s="69" t="s">
        <v>29419</v>
      </c>
      <c r="E18543" s="51"/>
      <c r="F18543" s="114" t="str">
        <f>IF(INDEX(I.Facility.P3IDNumber,3531)="","",INDEX(I.Facility.P3IDNumber,3531))</f>
        <v/>
      </c>
      <c r="G18543" s="51"/>
      <c r="H18543" s="46" t="str">
        <f>IF(AND(I.Developer.P3=TRUE,I.Facility.P3FacilityCount&gt;=3531,F18543=""),"Incomplete","Complete")</f>
        <v>Complete</v>
      </c>
      <c r="I18543" s="48" t="s">
        <v>22908</v>
      </c>
    </row>
    <row r="18544" spans="2:9" ht="15" customHeight="1" x14ac:dyDescent="0.25">
      <c r="B18544" s="55" t="s">
        <v>282</v>
      </c>
      <c r="C18544" s="46">
        <v>3532</v>
      </c>
      <c r="D18544" s="69" t="s">
        <v>29419</v>
      </c>
      <c r="E18544" s="51"/>
      <c r="F18544" s="114" t="str">
        <f>IF(INDEX(I.Facility.P3IDNumber,3532)="","",INDEX(I.Facility.P3IDNumber,3532))</f>
        <v/>
      </c>
      <c r="G18544" s="51"/>
      <c r="H18544" s="46" t="str">
        <f>IF(AND(I.Developer.P3=TRUE,I.Facility.P3FacilityCount&gt;=3532,F18544=""),"Incomplete","Complete")</f>
        <v>Complete</v>
      </c>
      <c r="I18544" s="48" t="s">
        <v>22909</v>
      </c>
    </row>
    <row r="18545" spans="2:9" ht="15" customHeight="1" x14ac:dyDescent="0.25">
      <c r="B18545" s="55" t="s">
        <v>282</v>
      </c>
      <c r="C18545" s="46">
        <v>3533</v>
      </c>
      <c r="D18545" s="69" t="s">
        <v>29419</v>
      </c>
      <c r="E18545" s="51"/>
      <c r="F18545" s="114" t="str">
        <f>IF(INDEX(I.Facility.P3IDNumber,3533)="","",INDEX(I.Facility.P3IDNumber,3533))</f>
        <v/>
      </c>
      <c r="G18545" s="51"/>
      <c r="H18545" s="46" t="str">
        <f>IF(AND(I.Developer.P3=TRUE,I.Facility.P3FacilityCount&gt;=3533,F18545=""),"Incomplete","Complete")</f>
        <v>Complete</v>
      </c>
      <c r="I18545" s="48" t="s">
        <v>22910</v>
      </c>
    </row>
    <row r="18546" spans="2:9" ht="15" customHeight="1" x14ac:dyDescent="0.25">
      <c r="B18546" s="55" t="s">
        <v>282</v>
      </c>
      <c r="C18546" s="46">
        <v>3534</v>
      </c>
      <c r="D18546" s="69" t="s">
        <v>29419</v>
      </c>
      <c r="E18546" s="51"/>
      <c r="F18546" s="114" t="str">
        <f>IF(INDEX(I.Facility.P3IDNumber,3534)="","",INDEX(I.Facility.P3IDNumber,3534))</f>
        <v/>
      </c>
      <c r="G18546" s="51"/>
      <c r="H18546" s="46" t="str">
        <f>IF(AND(I.Developer.P3=TRUE,I.Facility.P3FacilityCount&gt;=3534,F18546=""),"Incomplete","Complete")</f>
        <v>Complete</v>
      </c>
      <c r="I18546" s="48" t="s">
        <v>22911</v>
      </c>
    </row>
    <row r="18547" spans="2:9" ht="15" customHeight="1" x14ac:dyDescent="0.25">
      <c r="B18547" s="55" t="s">
        <v>282</v>
      </c>
      <c r="C18547" s="46">
        <v>3535</v>
      </c>
      <c r="D18547" s="69" t="s">
        <v>29419</v>
      </c>
      <c r="E18547" s="51"/>
      <c r="F18547" s="114" t="str">
        <f>IF(INDEX(I.Facility.P3IDNumber,3535)="","",INDEX(I.Facility.P3IDNumber,3535))</f>
        <v/>
      </c>
      <c r="G18547" s="51"/>
      <c r="H18547" s="46" t="str">
        <f>IF(AND(I.Developer.P3=TRUE,I.Facility.P3FacilityCount&gt;=3535,F18547=""),"Incomplete","Complete")</f>
        <v>Complete</v>
      </c>
      <c r="I18547" s="48" t="s">
        <v>22912</v>
      </c>
    </row>
    <row r="18548" spans="2:9" ht="15" customHeight="1" x14ac:dyDescent="0.25">
      <c r="B18548" s="55" t="s">
        <v>282</v>
      </c>
      <c r="C18548" s="46">
        <v>3536</v>
      </c>
      <c r="D18548" s="69" t="s">
        <v>29419</v>
      </c>
      <c r="E18548" s="51"/>
      <c r="F18548" s="114" t="str">
        <f>IF(INDEX(I.Facility.P3IDNumber,3536)="","",INDEX(I.Facility.P3IDNumber,3536))</f>
        <v/>
      </c>
      <c r="G18548" s="51"/>
      <c r="H18548" s="46" t="str">
        <f>IF(AND(I.Developer.P3=TRUE,I.Facility.P3FacilityCount&gt;=3536,F18548=""),"Incomplete","Complete")</f>
        <v>Complete</v>
      </c>
      <c r="I18548" s="48" t="s">
        <v>22913</v>
      </c>
    </row>
    <row r="18549" spans="2:9" ht="15" customHeight="1" x14ac:dyDescent="0.25">
      <c r="B18549" s="55" t="s">
        <v>282</v>
      </c>
      <c r="C18549" s="46">
        <v>3537</v>
      </c>
      <c r="D18549" s="69" t="s">
        <v>29419</v>
      </c>
      <c r="E18549" s="51"/>
      <c r="F18549" s="114" t="str">
        <f>IF(INDEX(I.Facility.P3IDNumber,3537)="","",INDEX(I.Facility.P3IDNumber,3537))</f>
        <v/>
      </c>
      <c r="G18549" s="51"/>
      <c r="H18549" s="46" t="str">
        <f>IF(AND(I.Developer.P3=TRUE,I.Facility.P3FacilityCount&gt;=3537,F18549=""),"Incomplete","Complete")</f>
        <v>Complete</v>
      </c>
      <c r="I18549" s="48" t="s">
        <v>22914</v>
      </c>
    </row>
    <row r="18550" spans="2:9" ht="15" customHeight="1" x14ac:dyDescent="0.25">
      <c r="B18550" s="55" t="s">
        <v>282</v>
      </c>
      <c r="C18550" s="46">
        <v>3538</v>
      </c>
      <c r="D18550" s="69" t="s">
        <v>29419</v>
      </c>
      <c r="E18550" s="51"/>
      <c r="F18550" s="114" t="str">
        <f>IF(INDEX(I.Facility.P3IDNumber,3538)="","",INDEX(I.Facility.P3IDNumber,3538))</f>
        <v/>
      </c>
      <c r="G18550" s="51"/>
      <c r="H18550" s="46" t="str">
        <f>IF(AND(I.Developer.P3=TRUE,I.Facility.P3FacilityCount&gt;=3538,F18550=""),"Incomplete","Complete")</f>
        <v>Complete</v>
      </c>
      <c r="I18550" s="48" t="s">
        <v>22915</v>
      </c>
    </row>
    <row r="18551" spans="2:9" ht="15" customHeight="1" x14ac:dyDescent="0.25">
      <c r="B18551" s="55" t="s">
        <v>282</v>
      </c>
      <c r="C18551" s="46">
        <v>3539</v>
      </c>
      <c r="D18551" s="69" t="s">
        <v>29419</v>
      </c>
      <c r="E18551" s="51"/>
      <c r="F18551" s="114" t="str">
        <f>IF(INDEX(I.Facility.P3IDNumber,3539)="","",INDEX(I.Facility.P3IDNumber,3539))</f>
        <v/>
      </c>
      <c r="G18551" s="51"/>
      <c r="H18551" s="46" t="str">
        <f>IF(AND(I.Developer.P3=TRUE,I.Facility.P3FacilityCount&gt;=3539,F18551=""),"Incomplete","Complete")</f>
        <v>Complete</v>
      </c>
      <c r="I18551" s="48" t="s">
        <v>22916</v>
      </c>
    </row>
    <row r="18552" spans="2:9" ht="15" customHeight="1" x14ac:dyDescent="0.25">
      <c r="B18552" s="55" t="s">
        <v>282</v>
      </c>
      <c r="C18552" s="46">
        <v>3540</v>
      </c>
      <c r="D18552" s="69" t="s">
        <v>29419</v>
      </c>
      <c r="E18552" s="51"/>
      <c r="F18552" s="114" t="str">
        <f>IF(INDEX(I.Facility.P3IDNumber,3540)="","",INDEX(I.Facility.P3IDNumber,3540))</f>
        <v/>
      </c>
      <c r="G18552" s="51"/>
      <c r="H18552" s="46" t="str">
        <f>IF(AND(I.Developer.P3=TRUE,I.Facility.P3FacilityCount&gt;=3540,F18552=""),"Incomplete","Complete")</f>
        <v>Complete</v>
      </c>
      <c r="I18552" s="48" t="s">
        <v>22917</v>
      </c>
    </row>
    <row r="18553" spans="2:9" ht="15" customHeight="1" x14ac:dyDescent="0.25">
      <c r="B18553" s="55" t="s">
        <v>282</v>
      </c>
      <c r="C18553" s="46">
        <v>3541</v>
      </c>
      <c r="D18553" s="69" t="s">
        <v>29419</v>
      </c>
      <c r="E18553" s="51"/>
      <c r="F18553" s="114" t="str">
        <f>IF(INDEX(I.Facility.P3IDNumber,3541)="","",INDEX(I.Facility.P3IDNumber,3541))</f>
        <v/>
      </c>
      <c r="G18553" s="51"/>
      <c r="H18553" s="46" t="str">
        <f>IF(AND(I.Developer.P3=TRUE,I.Facility.P3FacilityCount&gt;=3541,F18553=""),"Incomplete","Complete")</f>
        <v>Complete</v>
      </c>
      <c r="I18553" s="48" t="s">
        <v>22918</v>
      </c>
    </row>
    <row r="18554" spans="2:9" ht="15" customHeight="1" x14ac:dyDescent="0.25">
      <c r="B18554" s="55" t="s">
        <v>282</v>
      </c>
      <c r="C18554" s="46">
        <v>3542</v>
      </c>
      <c r="D18554" s="69" t="s">
        <v>29419</v>
      </c>
      <c r="E18554" s="51"/>
      <c r="F18554" s="114" t="str">
        <f>IF(INDEX(I.Facility.P3IDNumber,3542)="","",INDEX(I.Facility.P3IDNumber,3542))</f>
        <v/>
      </c>
      <c r="G18554" s="51"/>
      <c r="H18554" s="46" t="str">
        <f>IF(AND(I.Developer.P3=TRUE,I.Facility.P3FacilityCount&gt;=3542,F18554=""),"Incomplete","Complete")</f>
        <v>Complete</v>
      </c>
      <c r="I18554" s="48" t="s">
        <v>22919</v>
      </c>
    </row>
    <row r="18555" spans="2:9" ht="15" customHeight="1" x14ac:dyDescent="0.25">
      <c r="B18555" s="55" t="s">
        <v>282</v>
      </c>
      <c r="C18555" s="46">
        <v>3543</v>
      </c>
      <c r="D18555" s="69" t="s">
        <v>29419</v>
      </c>
      <c r="E18555" s="51"/>
      <c r="F18555" s="114" t="str">
        <f>IF(INDEX(I.Facility.P3IDNumber,3543)="","",INDEX(I.Facility.P3IDNumber,3543))</f>
        <v/>
      </c>
      <c r="G18555" s="51"/>
      <c r="H18555" s="46" t="str">
        <f>IF(AND(I.Developer.P3=TRUE,I.Facility.P3FacilityCount&gt;=3543,F18555=""),"Incomplete","Complete")</f>
        <v>Complete</v>
      </c>
      <c r="I18555" s="48" t="s">
        <v>22920</v>
      </c>
    </row>
    <row r="18556" spans="2:9" ht="15" customHeight="1" x14ac:dyDescent="0.25">
      <c r="B18556" s="55" t="s">
        <v>282</v>
      </c>
      <c r="C18556" s="46">
        <v>3544</v>
      </c>
      <c r="D18556" s="69" t="s">
        <v>29419</v>
      </c>
      <c r="E18556" s="51"/>
      <c r="F18556" s="114" t="str">
        <f>IF(INDEX(I.Facility.P3IDNumber,3544)="","",INDEX(I.Facility.P3IDNumber,3544))</f>
        <v/>
      </c>
      <c r="G18556" s="51"/>
      <c r="H18556" s="46" t="str">
        <f>IF(AND(I.Developer.P3=TRUE,I.Facility.P3FacilityCount&gt;=3544,F18556=""),"Incomplete","Complete")</f>
        <v>Complete</v>
      </c>
      <c r="I18556" s="48" t="s">
        <v>22921</v>
      </c>
    </row>
    <row r="18557" spans="2:9" ht="15" customHeight="1" x14ac:dyDescent="0.25">
      <c r="B18557" s="55" t="s">
        <v>282</v>
      </c>
      <c r="C18557" s="46">
        <v>3545</v>
      </c>
      <c r="D18557" s="69" t="s">
        <v>29419</v>
      </c>
      <c r="E18557" s="51"/>
      <c r="F18557" s="114" t="str">
        <f>IF(INDEX(I.Facility.P3IDNumber,3545)="","",INDEX(I.Facility.P3IDNumber,3545))</f>
        <v/>
      </c>
      <c r="G18557" s="51"/>
      <c r="H18557" s="46" t="str">
        <f>IF(AND(I.Developer.P3=TRUE,I.Facility.P3FacilityCount&gt;=3545,F18557=""),"Incomplete","Complete")</f>
        <v>Complete</v>
      </c>
      <c r="I18557" s="48" t="s">
        <v>22922</v>
      </c>
    </row>
    <row r="18558" spans="2:9" ht="15" customHeight="1" x14ac:dyDescent="0.25">
      <c r="B18558" s="55" t="s">
        <v>282</v>
      </c>
      <c r="C18558" s="46">
        <v>3546</v>
      </c>
      <c r="D18558" s="69" t="s">
        <v>29419</v>
      </c>
      <c r="E18558" s="51"/>
      <c r="F18558" s="114" t="str">
        <f>IF(INDEX(I.Facility.P3IDNumber,3546)="","",INDEX(I.Facility.P3IDNumber,3546))</f>
        <v/>
      </c>
      <c r="G18558" s="51"/>
      <c r="H18558" s="46" t="str">
        <f>IF(AND(I.Developer.P3=TRUE,I.Facility.P3FacilityCount&gt;=3546,F18558=""),"Incomplete","Complete")</f>
        <v>Complete</v>
      </c>
      <c r="I18558" s="48" t="s">
        <v>22923</v>
      </c>
    </row>
    <row r="18559" spans="2:9" ht="15" customHeight="1" x14ac:dyDescent="0.25">
      <c r="B18559" s="55" t="s">
        <v>282</v>
      </c>
      <c r="C18559" s="46">
        <v>3547</v>
      </c>
      <c r="D18559" s="69" t="s">
        <v>29419</v>
      </c>
      <c r="E18559" s="51"/>
      <c r="F18559" s="114" t="str">
        <f>IF(INDEX(I.Facility.P3IDNumber,3547)="","",INDEX(I.Facility.P3IDNumber,3547))</f>
        <v/>
      </c>
      <c r="G18559" s="51"/>
      <c r="H18559" s="46" t="str">
        <f>IF(AND(I.Developer.P3=TRUE,I.Facility.P3FacilityCount&gt;=3547,F18559=""),"Incomplete","Complete")</f>
        <v>Complete</v>
      </c>
      <c r="I18559" s="48" t="s">
        <v>22924</v>
      </c>
    </row>
    <row r="18560" spans="2:9" ht="15" customHeight="1" x14ac:dyDescent="0.25">
      <c r="B18560" s="55" t="s">
        <v>282</v>
      </c>
      <c r="C18560" s="46">
        <v>3548</v>
      </c>
      <c r="D18560" s="69" t="s">
        <v>29419</v>
      </c>
      <c r="E18560" s="51"/>
      <c r="F18560" s="114" t="str">
        <f>IF(INDEX(I.Facility.P3IDNumber,3548)="","",INDEX(I.Facility.P3IDNumber,3548))</f>
        <v/>
      </c>
      <c r="G18560" s="51"/>
      <c r="H18560" s="46" t="str">
        <f>IF(AND(I.Developer.P3=TRUE,I.Facility.P3FacilityCount&gt;=3548,F18560=""),"Incomplete","Complete")</f>
        <v>Complete</v>
      </c>
      <c r="I18560" s="48" t="s">
        <v>22925</v>
      </c>
    </row>
    <row r="18561" spans="2:9" ht="15" customHeight="1" x14ac:dyDescent="0.25">
      <c r="B18561" s="55" t="s">
        <v>282</v>
      </c>
      <c r="C18561" s="46">
        <v>3549</v>
      </c>
      <c r="D18561" s="69" t="s">
        <v>29419</v>
      </c>
      <c r="E18561" s="51"/>
      <c r="F18561" s="114" t="str">
        <f>IF(INDEX(I.Facility.P3IDNumber,3549)="","",INDEX(I.Facility.P3IDNumber,3549))</f>
        <v/>
      </c>
      <c r="G18561" s="51"/>
      <c r="H18561" s="46" t="str">
        <f>IF(AND(I.Developer.P3=TRUE,I.Facility.P3FacilityCount&gt;=3549,F18561=""),"Incomplete","Complete")</f>
        <v>Complete</v>
      </c>
      <c r="I18561" s="48" t="s">
        <v>22926</v>
      </c>
    </row>
    <row r="18562" spans="2:9" ht="15" customHeight="1" x14ac:dyDescent="0.25">
      <c r="B18562" s="55" t="s">
        <v>282</v>
      </c>
      <c r="C18562" s="46">
        <v>3550</v>
      </c>
      <c r="D18562" s="69" t="s">
        <v>29419</v>
      </c>
      <c r="E18562" s="51"/>
      <c r="F18562" s="114" t="str">
        <f>IF(INDEX(I.Facility.P3IDNumber,3550)="","",INDEX(I.Facility.P3IDNumber,3550))</f>
        <v/>
      </c>
      <c r="G18562" s="51"/>
      <c r="H18562" s="46" t="str">
        <f>IF(AND(I.Developer.P3=TRUE,I.Facility.P3FacilityCount&gt;=3550,F18562=""),"Incomplete","Complete")</f>
        <v>Complete</v>
      </c>
      <c r="I18562" s="48" t="s">
        <v>22927</v>
      </c>
    </row>
    <row r="18563" spans="2:9" ht="15" customHeight="1" x14ac:dyDescent="0.25">
      <c r="B18563" s="55" t="s">
        <v>282</v>
      </c>
      <c r="C18563" s="46">
        <v>3551</v>
      </c>
      <c r="D18563" s="69" t="s">
        <v>29419</v>
      </c>
      <c r="E18563" s="51"/>
      <c r="F18563" s="114" t="str">
        <f>IF(INDEX(I.Facility.P3IDNumber,3551)="","",INDEX(I.Facility.P3IDNumber,3551))</f>
        <v/>
      </c>
      <c r="G18563" s="51"/>
      <c r="H18563" s="46" t="str">
        <f>IF(AND(I.Developer.P3=TRUE,I.Facility.P3FacilityCount&gt;=3551,F18563=""),"Incomplete","Complete")</f>
        <v>Complete</v>
      </c>
      <c r="I18563" s="48" t="s">
        <v>22928</v>
      </c>
    </row>
    <row r="18564" spans="2:9" ht="15" customHeight="1" x14ac:dyDescent="0.25">
      <c r="B18564" s="55" t="s">
        <v>282</v>
      </c>
      <c r="C18564" s="46">
        <v>3552</v>
      </c>
      <c r="D18564" s="69" t="s">
        <v>29419</v>
      </c>
      <c r="E18564" s="51"/>
      <c r="F18564" s="114" t="str">
        <f>IF(INDEX(I.Facility.P3IDNumber,3552)="","",INDEX(I.Facility.P3IDNumber,3552))</f>
        <v/>
      </c>
      <c r="G18564" s="51"/>
      <c r="H18564" s="46" t="str">
        <f>IF(AND(I.Developer.P3=TRUE,I.Facility.P3FacilityCount&gt;=3552,F18564=""),"Incomplete","Complete")</f>
        <v>Complete</v>
      </c>
      <c r="I18564" s="48" t="s">
        <v>22929</v>
      </c>
    </row>
    <row r="18565" spans="2:9" ht="15" customHeight="1" x14ac:dyDescent="0.25">
      <c r="B18565" s="55" t="s">
        <v>282</v>
      </c>
      <c r="C18565" s="46">
        <v>3553</v>
      </c>
      <c r="D18565" s="69" t="s">
        <v>29419</v>
      </c>
      <c r="E18565" s="51"/>
      <c r="F18565" s="114" t="str">
        <f>IF(INDEX(I.Facility.P3IDNumber,3553)="","",INDEX(I.Facility.P3IDNumber,3553))</f>
        <v/>
      </c>
      <c r="G18565" s="51"/>
      <c r="H18565" s="46" t="str">
        <f>IF(AND(I.Developer.P3=TRUE,I.Facility.P3FacilityCount&gt;=3553,F18565=""),"Incomplete","Complete")</f>
        <v>Complete</v>
      </c>
      <c r="I18565" s="48" t="s">
        <v>22930</v>
      </c>
    </row>
    <row r="18566" spans="2:9" ht="15" customHeight="1" x14ac:dyDescent="0.25">
      <c r="B18566" s="55" t="s">
        <v>282</v>
      </c>
      <c r="C18566" s="46">
        <v>3554</v>
      </c>
      <c r="D18566" s="69" t="s">
        <v>29419</v>
      </c>
      <c r="E18566" s="51"/>
      <c r="F18566" s="114" t="str">
        <f>IF(INDEX(I.Facility.P3IDNumber,3554)="","",INDEX(I.Facility.P3IDNumber,3554))</f>
        <v/>
      </c>
      <c r="G18566" s="51"/>
      <c r="H18566" s="46" t="str">
        <f>IF(AND(I.Developer.P3=TRUE,I.Facility.P3FacilityCount&gt;=3554,F18566=""),"Incomplete","Complete")</f>
        <v>Complete</v>
      </c>
      <c r="I18566" s="48" t="s">
        <v>22931</v>
      </c>
    </row>
    <row r="18567" spans="2:9" ht="15" customHeight="1" x14ac:dyDescent="0.25">
      <c r="B18567" s="55" t="s">
        <v>282</v>
      </c>
      <c r="C18567" s="46">
        <v>3555</v>
      </c>
      <c r="D18567" s="69" t="s">
        <v>29419</v>
      </c>
      <c r="E18567" s="51"/>
      <c r="F18567" s="114" t="str">
        <f>IF(INDEX(I.Facility.P3IDNumber,3555)="","",INDEX(I.Facility.P3IDNumber,3555))</f>
        <v/>
      </c>
      <c r="G18567" s="51"/>
      <c r="H18567" s="46" t="str">
        <f>IF(AND(I.Developer.P3=TRUE,I.Facility.P3FacilityCount&gt;=3555,F18567=""),"Incomplete","Complete")</f>
        <v>Complete</v>
      </c>
      <c r="I18567" s="48" t="s">
        <v>22932</v>
      </c>
    </row>
    <row r="18568" spans="2:9" ht="15" customHeight="1" x14ac:dyDescent="0.25">
      <c r="B18568" s="55" t="s">
        <v>282</v>
      </c>
      <c r="C18568" s="46">
        <v>3556</v>
      </c>
      <c r="D18568" s="69" t="s">
        <v>29419</v>
      </c>
      <c r="E18568" s="51"/>
      <c r="F18568" s="114" t="str">
        <f>IF(INDEX(I.Facility.P3IDNumber,3556)="","",INDEX(I.Facility.P3IDNumber,3556))</f>
        <v/>
      </c>
      <c r="G18568" s="51"/>
      <c r="H18568" s="46" t="str">
        <f>IF(AND(I.Developer.P3=TRUE,I.Facility.P3FacilityCount&gt;=3556,F18568=""),"Incomplete","Complete")</f>
        <v>Complete</v>
      </c>
      <c r="I18568" s="48" t="s">
        <v>22933</v>
      </c>
    </row>
    <row r="18569" spans="2:9" ht="15" customHeight="1" x14ac:dyDescent="0.25">
      <c r="B18569" s="55" t="s">
        <v>282</v>
      </c>
      <c r="C18569" s="46">
        <v>3557</v>
      </c>
      <c r="D18569" s="69" t="s">
        <v>29419</v>
      </c>
      <c r="E18569" s="51"/>
      <c r="F18569" s="114" t="str">
        <f>IF(INDEX(I.Facility.P3IDNumber,3557)="","",INDEX(I.Facility.P3IDNumber,3557))</f>
        <v/>
      </c>
      <c r="G18569" s="51"/>
      <c r="H18569" s="46" t="str">
        <f>IF(AND(I.Developer.P3=TRUE,I.Facility.P3FacilityCount&gt;=3557,F18569=""),"Incomplete","Complete")</f>
        <v>Complete</v>
      </c>
      <c r="I18569" s="48" t="s">
        <v>22934</v>
      </c>
    </row>
    <row r="18570" spans="2:9" ht="15" customHeight="1" x14ac:dyDescent="0.25">
      <c r="B18570" s="55" t="s">
        <v>282</v>
      </c>
      <c r="C18570" s="46">
        <v>3558</v>
      </c>
      <c r="D18570" s="69" t="s">
        <v>29419</v>
      </c>
      <c r="E18570" s="51"/>
      <c r="F18570" s="114" t="str">
        <f>IF(INDEX(I.Facility.P3IDNumber,3558)="","",INDEX(I.Facility.P3IDNumber,3558))</f>
        <v/>
      </c>
      <c r="G18570" s="51"/>
      <c r="H18570" s="46" t="str">
        <f>IF(AND(I.Developer.P3=TRUE,I.Facility.P3FacilityCount&gt;=3558,F18570=""),"Incomplete","Complete")</f>
        <v>Complete</v>
      </c>
      <c r="I18570" s="48" t="s">
        <v>22935</v>
      </c>
    </row>
    <row r="18571" spans="2:9" ht="15" customHeight="1" x14ac:dyDescent="0.25">
      <c r="B18571" s="55" t="s">
        <v>282</v>
      </c>
      <c r="C18571" s="46">
        <v>3559</v>
      </c>
      <c r="D18571" s="69" t="s">
        <v>29419</v>
      </c>
      <c r="E18571" s="51"/>
      <c r="F18571" s="114" t="str">
        <f>IF(INDEX(I.Facility.P3IDNumber,3559)="","",INDEX(I.Facility.P3IDNumber,3559))</f>
        <v/>
      </c>
      <c r="G18571" s="51"/>
      <c r="H18571" s="46" t="str">
        <f>IF(AND(I.Developer.P3=TRUE,I.Facility.P3FacilityCount&gt;=3559,F18571=""),"Incomplete","Complete")</f>
        <v>Complete</v>
      </c>
      <c r="I18571" s="48" t="s">
        <v>22936</v>
      </c>
    </row>
    <row r="18572" spans="2:9" ht="15" customHeight="1" x14ac:dyDescent="0.25">
      <c r="B18572" s="55" t="s">
        <v>282</v>
      </c>
      <c r="C18572" s="46">
        <v>3560</v>
      </c>
      <c r="D18572" s="69" t="s">
        <v>29419</v>
      </c>
      <c r="E18572" s="51"/>
      <c r="F18572" s="114" t="str">
        <f>IF(INDEX(I.Facility.P3IDNumber,3560)="","",INDEX(I.Facility.P3IDNumber,3560))</f>
        <v/>
      </c>
      <c r="G18572" s="51"/>
      <c r="H18572" s="46" t="str">
        <f>IF(AND(I.Developer.P3=TRUE,I.Facility.P3FacilityCount&gt;=3560,F18572=""),"Incomplete","Complete")</f>
        <v>Complete</v>
      </c>
      <c r="I18572" s="48" t="s">
        <v>22937</v>
      </c>
    </row>
    <row r="18573" spans="2:9" ht="15" customHeight="1" x14ac:dyDescent="0.25">
      <c r="B18573" s="55" t="s">
        <v>282</v>
      </c>
      <c r="C18573" s="46">
        <v>3561</v>
      </c>
      <c r="D18573" s="69" t="s">
        <v>29419</v>
      </c>
      <c r="E18573" s="51"/>
      <c r="F18573" s="114" t="str">
        <f>IF(INDEX(I.Facility.P3IDNumber,3561)="","",INDEX(I.Facility.P3IDNumber,3561))</f>
        <v/>
      </c>
      <c r="G18573" s="51"/>
      <c r="H18573" s="46" t="str">
        <f>IF(AND(I.Developer.P3=TRUE,I.Facility.P3FacilityCount&gt;=3561,F18573=""),"Incomplete","Complete")</f>
        <v>Complete</v>
      </c>
      <c r="I18573" s="48" t="s">
        <v>22938</v>
      </c>
    </row>
    <row r="18574" spans="2:9" ht="15" customHeight="1" x14ac:dyDescent="0.25">
      <c r="B18574" s="55" t="s">
        <v>282</v>
      </c>
      <c r="C18574" s="46">
        <v>3562</v>
      </c>
      <c r="D18574" s="69" t="s">
        <v>29419</v>
      </c>
      <c r="E18574" s="51"/>
      <c r="F18574" s="114" t="str">
        <f>IF(INDEX(I.Facility.P3IDNumber,3562)="","",INDEX(I.Facility.P3IDNumber,3562))</f>
        <v/>
      </c>
      <c r="G18574" s="51"/>
      <c r="H18574" s="46" t="str">
        <f>IF(AND(I.Developer.P3=TRUE,I.Facility.P3FacilityCount&gt;=3562,F18574=""),"Incomplete","Complete")</f>
        <v>Complete</v>
      </c>
      <c r="I18574" s="48" t="s">
        <v>22939</v>
      </c>
    </row>
    <row r="18575" spans="2:9" ht="15" customHeight="1" x14ac:dyDescent="0.25">
      <c r="B18575" s="55" t="s">
        <v>282</v>
      </c>
      <c r="C18575" s="46">
        <v>3563</v>
      </c>
      <c r="D18575" s="69" t="s">
        <v>29419</v>
      </c>
      <c r="E18575" s="51"/>
      <c r="F18575" s="114" t="str">
        <f>IF(INDEX(I.Facility.P3IDNumber,3563)="","",INDEX(I.Facility.P3IDNumber,3563))</f>
        <v/>
      </c>
      <c r="G18575" s="51"/>
      <c r="H18575" s="46" t="str">
        <f>IF(AND(I.Developer.P3=TRUE,I.Facility.P3FacilityCount&gt;=3563,F18575=""),"Incomplete","Complete")</f>
        <v>Complete</v>
      </c>
      <c r="I18575" s="48" t="s">
        <v>22940</v>
      </c>
    </row>
    <row r="18576" spans="2:9" ht="15" customHeight="1" x14ac:dyDescent="0.25">
      <c r="B18576" s="55" t="s">
        <v>282</v>
      </c>
      <c r="C18576" s="46">
        <v>3564</v>
      </c>
      <c r="D18576" s="69" t="s">
        <v>29419</v>
      </c>
      <c r="E18576" s="51"/>
      <c r="F18576" s="114" t="str">
        <f>IF(INDEX(I.Facility.P3IDNumber,3564)="","",INDEX(I.Facility.P3IDNumber,3564))</f>
        <v/>
      </c>
      <c r="G18576" s="51"/>
      <c r="H18576" s="46" t="str">
        <f>IF(AND(I.Developer.P3=TRUE,I.Facility.P3FacilityCount&gt;=3564,F18576=""),"Incomplete","Complete")</f>
        <v>Complete</v>
      </c>
      <c r="I18576" s="48" t="s">
        <v>22941</v>
      </c>
    </row>
    <row r="18577" spans="2:9" ht="15" customHeight="1" x14ac:dyDescent="0.25">
      <c r="B18577" s="55" t="s">
        <v>282</v>
      </c>
      <c r="C18577" s="46">
        <v>3565</v>
      </c>
      <c r="D18577" s="69" t="s">
        <v>29419</v>
      </c>
      <c r="E18577" s="51"/>
      <c r="F18577" s="114" t="str">
        <f>IF(INDEX(I.Facility.P3IDNumber,3565)="","",INDEX(I.Facility.P3IDNumber,3565))</f>
        <v/>
      </c>
      <c r="G18577" s="51"/>
      <c r="H18577" s="46" t="str">
        <f>IF(AND(I.Developer.P3=TRUE,I.Facility.P3FacilityCount&gt;=3565,F18577=""),"Incomplete","Complete")</f>
        <v>Complete</v>
      </c>
      <c r="I18577" s="48" t="s">
        <v>22942</v>
      </c>
    </row>
    <row r="18578" spans="2:9" ht="15" customHeight="1" x14ac:dyDescent="0.25">
      <c r="B18578" s="55" t="s">
        <v>282</v>
      </c>
      <c r="C18578" s="46">
        <v>3566</v>
      </c>
      <c r="D18578" s="69" t="s">
        <v>29419</v>
      </c>
      <c r="E18578" s="51"/>
      <c r="F18578" s="114" t="str">
        <f>IF(INDEX(I.Facility.P3IDNumber,3566)="","",INDEX(I.Facility.P3IDNumber,3566))</f>
        <v/>
      </c>
      <c r="G18578" s="51"/>
      <c r="H18578" s="46" t="str">
        <f>IF(AND(I.Developer.P3=TRUE,I.Facility.P3FacilityCount&gt;=3566,F18578=""),"Incomplete","Complete")</f>
        <v>Complete</v>
      </c>
      <c r="I18578" s="48" t="s">
        <v>22943</v>
      </c>
    </row>
    <row r="18579" spans="2:9" ht="15" customHeight="1" x14ac:dyDescent="0.25">
      <c r="B18579" s="55" t="s">
        <v>282</v>
      </c>
      <c r="C18579" s="46">
        <v>3567</v>
      </c>
      <c r="D18579" s="69" t="s">
        <v>29419</v>
      </c>
      <c r="E18579" s="51"/>
      <c r="F18579" s="114" t="str">
        <f>IF(INDEX(I.Facility.P3IDNumber,3567)="","",INDEX(I.Facility.P3IDNumber,3567))</f>
        <v/>
      </c>
      <c r="G18579" s="51"/>
      <c r="H18579" s="46" t="str">
        <f>IF(AND(I.Developer.P3=TRUE,I.Facility.P3FacilityCount&gt;=3567,F18579=""),"Incomplete","Complete")</f>
        <v>Complete</v>
      </c>
      <c r="I18579" s="48" t="s">
        <v>22944</v>
      </c>
    </row>
    <row r="18580" spans="2:9" ht="15" customHeight="1" x14ac:dyDescent="0.25">
      <c r="B18580" s="55" t="s">
        <v>282</v>
      </c>
      <c r="C18580" s="46">
        <v>3568</v>
      </c>
      <c r="D18580" s="69" t="s">
        <v>29419</v>
      </c>
      <c r="E18580" s="51"/>
      <c r="F18580" s="114" t="str">
        <f>IF(INDEX(I.Facility.P3IDNumber,3568)="","",INDEX(I.Facility.P3IDNumber,3568))</f>
        <v/>
      </c>
      <c r="G18580" s="51"/>
      <c r="H18580" s="46" t="str">
        <f>IF(AND(I.Developer.P3=TRUE,I.Facility.P3FacilityCount&gt;=3568,F18580=""),"Incomplete","Complete")</f>
        <v>Complete</v>
      </c>
      <c r="I18580" s="48" t="s">
        <v>22945</v>
      </c>
    </row>
    <row r="18581" spans="2:9" ht="15" customHeight="1" x14ac:dyDescent="0.25">
      <c r="B18581" s="55" t="s">
        <v>282</v>
      </c>
      <c r="C18581" s="46">
        <v>3569</v>
      </c>
      <c r="D18581" s="69" t="s">
        <v>29419</v>
      </c>
      <c r="E18581" s="51"/>
      <c r="F18581" s="114" t="str">
        <f>IF(INDEX(I.Facility.P3IDNumber,3569)="","",INDEX(I.Facility.P3IDNumber,3569))</f>
        <v/>
      </c>
      <c r="G18581" s="51"/>
      <c r="H18581" s="46" t="str">
        <f>IF(AND(I.Developer.P3=TRUE,I.Facility.P3FacilityCount&gt;=3569,F18581=""),"Incomplete","Complete")</f>
        <v>Complete</v>
      </c>
      <c r="I18581" s="48" t="s">
        <v>22946</v>
      </c>
    </row>
    <row r="18582" spans="2:9" ht="15" customHeight="1" x14ac:dyDescent="0.25">
      <c r="B18582" s="55" t="s">
        <v>282</v>
      </c>
      <c r="C18582" s="46">
        <v>3570</v>
      </c>
      <c r="D18582" s="69" t="s">
        <v>29419</v>
      </c>
      <c r="E18582" s="51"/>
      <c r="F18582" s="114" t="str">
        <f>IF(INDEX(I.Facility.P3IDNumber,3570)="","",INDEX(I.Facility.P3IDNumber,3570))</f>
        <v/>
      </c>
      <c r="G18582" s="51"/>
      <c r="H18582" s="46" t="str">
        <f>IF(AND(I.Developer.P3=TRUE,I.Facility.P3FacilityCount&gt;=3570,F18582=""),"Incomplete","Complete")</f>
        <v>Complete</v>
      </c>
      <c r="I18582" s="48" t="s">
        <v>22947</v>
      </c>
    </row>
    <row r="18583" spans="2:9" ht="15" customHeight="1" x14ac:dyDescent="0.25">
      <c r="B18583" s="55" t="s">
        <v>282</v>
      </c>
      <c r="C18583" s="46">
        <v>3571</v>
      </c>
      <c r="D18583" s="69" t="s">
        <v>29419</v>
      </c>
      <c r="E18583" s="51"/>
      <c r="F18583" s="114" t="str">
        <f>IF(INDEX(I.Facility.P3IDNumber,3571)="","",INDEX(I.Facility.P3IDNumber,3571))</f>
        <v/>
      </c>
      <c r="G18583" s="51"/>
      <c r="H18583" s="46" t="str">
        <f>IF(AND(I.Developer.P3=TRUE,I.Facility.P3FacilityCount&gt;=3571,F18583=""),"Incomplete","Complete")</f>
        <v>Complete</v>
      </c>
      <c r="I18583" s="48" t="s">
        <v>22948</v>
      </c>
    </row>
    <row r="18584" spans="2:9" ht="15" customHeight="1" x14ac:dyDescent="0.25">
      <c r="B18584" s="55" t="s">
        <v>282</v>
      </c>
      <c r="C18584" s="46">
        <v>3572</v>
      </c>
      <c r="D18584" s="69" t="s">
        <v>29419</v>
      </c>
      <c r="E18584" s="51"/>
      <c r="F18584" s="114" t="str">
        <f>IF(INDEX(I.Facility.P3IDNumber,3572)="","",INDEX(I.Facility.P3IDNumber,3572))</f>
        <v/>
      </c>
      <c r="G18584" s="51"/>
      <c r="H18584" s="46" t="str">
        <f>IF(AND(I.Developer.P3=TRUE,I.Facility.P3FacilityCount&gt;=3572,F18584=""),"Incomplete","Complete")</f>
        <v>Complete</v>
      </c>
      <c r="I18584" s="48" t="s">
        <v>22949</v>
      </c>
    </row>
    <row r="18585" spans="2:9" ht="15" customHeight="1" x14ac:dyDescent="0.25">
      <c r="B18585" s="55" t="s">
        <v>282</v>
      </c>
      <c r="C18585" s="46">
        <v>3573</v>
      </c>
      <c r="D18585" s="69" t="s">
        <v>29419</v>
      </c>
      <c r="E18585" s="51"/>
      <c r="F18585" s="114" t="str">
        <f>IF(INDEX(I.Facility.P3IDNumber,3573)="","",INDEX(I.Facility.P3IDNumber,3573))</f>
        <v/>
      </c>
      <c r="G18585" s="51"/>
      <c r="H18585" s="46" t="str">
        <f>IF(AND(I.Developer.P3=TRUE,I.Facility.P3FacilityCount&gt;=3573,F18585=""),"Incomplete","Complete")</f>
        <v>Complete</v>
      </c>
      <c r="I18585" s="48" t="s">
        <v>22950</v>
      </c>
    </row>
    <row r="18586" spans="2:9" ht="15" customHeight="1" x14ac:dyDescent="0.25">
      <c r="B18586" s="55" t="s">
        <v>282</v>
      </c>
      <c r="C18586" s="46">
        <v>3574</v>
      </c>
      <c r="D18586" s="69" t="s">
        <v>29419</v>
      </c>
      <c r="E18586" s="51"/>
      <c r="F18586" s="114" t="str">
        <f>IF(INDEX(I.Facility.P3IDNumber,3574)="","",INDEX(I.Facility.P3IDNumber,3574))</f>
        <v/>
      </c>
      <c r="G18586" s="51"/>
      <c r="H18586" s="46" t="str">
        <f>IF(AND(I.Developer.P3=TRUE,I.Facility.P3FacilityCount&gt;=3574,F18586=""),"Incomplete","Complete")</f>
        <v>Complete</v>
      </c>
      <c r="I18586" s="48" t="s">
        <v>22951</v>
      </c>
    </row>
    <row r="18587" spans="2:9" ht="15" customHeight="1" x14ac:dyDescent="0.25">
      <c r="B18587" s="55" t="s">
        <v>282</v>
      </c>
      <c r="C18587" s="46">
        <v>3575</v>
      </c>
      <c r="D18587" s="69" t="s">
        <v>29419</v>
      </c>
      <c r="E18587" s="51"/>
      <c r="F18587" s="114" t="str">
        <f>IF(INDEX(I.Facility.P3IDNumber,3575)="","",INDEX(I.Facility.P3IDNumber,3575))</f>
        <v/>
      </c>
      <c r="G18587" s="51"/>
      <c r="H18587" s="46" t="str">
        <f>IF(AND(I.Developer.P3=TRUE,I.Facility.P3FacilityCount&gt;=3575,F18587=""),"Incomplete","Complete")</f>
        <v>Complete</v>
      </c>
      <c r="I18587" s="48" t="s">
        <v>22952</v>
      </c>
    </row>
    <row r="18588" spans="2:9" ht="15" customHeight="1" x14ac:dyDescent="0.25">
      <c r="B18588" s="55" t="s">
        <v>282</v>
      </c>
      <c r="C18588" s="46">
        <v>3576</v>
      </c>
      <c r="D18588" s="69" t="s">
        <v>29419</v>
      </c>
      <c r="E18588" s="51"/>
      <c r="F18588" s="114" t="str">
        <f>IF(INDEX(I.Facility.P3IDNumber,3576)="","",INDEX(I.Facility.P3IDNumber,3576))</f>
        <v/>
      </c>
      <c r="G18588" s="51"/>
      <c r="H18588" s="46" t="str">
        <f>IF(AND(I.Developer.P3=TRUE,I.Facility.P3FacilityCount&gt;=3576,F18588=""),"Incomplete","Complete")</f>
        <v>Complete</v>
      </c>
      <c r="I18588" s="48" t="s">
        <v>22953</v>
      </c>
    </row>
    <row r="18589" spans="2:9" ht="15" customHeight="1" x14ac:dyDescent="0.25">
      <c r="B18589" s="55" t="s">
        <v>282</v>
      </c>
      <c r="C18589" s="46">
        <v>3577</v>
      </c>
      <c r="D18589" s="69" t="s">
        <v>29419</v>
      </c>
      <c r="E18589" s="51"/>
      <c r="F18589" s="114" t="str">
        <f>IF(INDEX(I.Facility.P3IDNumber,3577)="","",INDEX(I.Facility.P3IDNumber,3577))</f>
        <v/>
      </c>
      <c r="G18589" s="51"/>
      <c r="H18589" s="46" t="str">
        <f>IF(AND(I.Developer.P3=TRUE,I.Facility.P3FacilityCount&gt;=3577,F18589=""),"Incomplete","Complete")</f>
        <v>Complete</v>
      </c>
      <c r="I18589" s="48" t="s">
        <v>22954</v>
      </c>
    </row>
    <row r="18590" spans="2:9" ht="15" customHeight="1" x14ac:dyDescent="0.25">
      <c r="B18590" s="55" t="s">
        <v>282</v>
      </c>
      <c r="C18590" s="46">
        <v>3578</v>
      </c>
      <c r="D18590" s="69" t="s">
        <v>29419</v>
      </c>
      <c r="E18590" s="51"/>
      <c r="F18590" s="114" t="str">
        <f>IF(INDEX(I.Facility.P3IDNumber,3578)="","",INDEX(I.Facility.P3IDNumber,3578))</f>
        <v/>
      </c>
      <c r="G18590" s="51"/>
      <c r="H18590" s="46" t="str">
        <f>IF(AND(I.Developer.P3=TRUE,I.Facility.P3FacilityCount&gt;=3578,F18590=""),"Incomplete","Complete")</f>
        <v>Complete</v>
      </c>
      <c r="I18590" s="48" t="s">
        <v>22955</v>
      </c>
    </row>
    <row r="18591" spans="2:9" ht="15" customHeight="1" x14ac:dyDescent="0.25">
      <c r="B18591" s="55" t="s">
        <v>282</v>
      </c>
      <c r="C18591" s="46">
        <v>3579</v>
      </c>
      <c r="D18591" s="69" t="s">
        <v>29419</v>
      </c>
      <c r="E18591" s="51"/>
      <c r="F18591" s="114" t="str">
        <f>IF(INDEX(I.Facility.P3IDNumber,3579)="","",INDEX(I.Facility.P3IDNumber,3579))</f>
        <v/>
      </c>
      <c r="G18591" s="51"/>
      <c r="H18591" s="46" t="str">
        <f>IF(AND(I.Developer.P3=TRUE,I.Facility.P3FacilityCount&gt;=3579,F18591=""),"Incomplete","Complete")</f>
        <v>Complete</v>
      </c>
      <c r="I18591" s="48" t="s">
        <v>22956</v>
      </c>
    </row>
    <row r="18592" spans="2:9" ht="15" customHeight="1" x14ac:dyDescent="0.25">
      <c r="B18592" s="55" t="s">
        <v>282</v>
      </c>
      <c r="C18592" s="46">
        <v>3580</v>
      </c>
      <c r="D18592" s="69" t="s">
        <v>29419</v>
      </c>
      <c r="E18592" s="51"/>
      <c r="F18592" s="114" t="str">
        <f>IF(INDEX(I.Facility.P3IDNumber,3580)="","",INDEX(I.Facility.P3IDNumber,3580))</f>
        <v/>
      </c>
      <c r="G18592" s="51"/>
      <c r="H18592" s="46" t="str">
        <f>IF(AND(I.Developer.P3=TRUE,I.Facility.P3FacilityCount&gt;=3580,F18592=""),"Incomplete","Complete")</f>
        <v>Complete</v>
      </c>
      <c r="I18592" s="48" t="s">
        <v>22957</v>
      </c>
    </row>
    <row r="18593" spans="2:9" ht="15" customHeight="1" x14ac:dyDescent="0.25">
      <c r="B18593" s="55" t="s">
        <v>282</v>
      </c>
      <c r="C18593" s="46">
        <v>3581</v>
      </c>
      <c r="D18593" s="69" t="s">
        <v>29419</v>
      </c>
      <c r="E18593" s="51"/>
      <c r="F18593" s="114" t="str">
        <f>IF(INDEX(I.Facility.P3IDNumber,3581)="","",INDEX(I.Facility.P3IDNumber,3581))</f>
        <v/>
      </c>
      <c r="G18593" s="51"/>
      <c r="H18593" s="46" t="str">
        <f>IF(AND(I.Developer.P3=TRUE,I.Facility.P3FacilityCount&gt;=3581,F18593=""),"Incomplete","Complete")</f>
        <v>Complete</v>
      </c>
      <c r="I18593" s="48" t="s">
        <v>22958</v>
      </c>
    </row>
    <row r="18594" spans="2:9" ht="15" customHeight="1" x14ac:dyDescent="0.25">
      <c r="B18594" s="55" t="s">
        <v>282</v>
      </c>
      <c r="C18594" s="46">
        <v>3582</v>
      </c>
      <c r="D18594" s="69" t="s">
        <v>29419</v>
      </c>
      <c r="E18594" s="51"/>
      <c r="F18594" s="114" t="str">
        <f>IF(INDEX(I.Facility.P3IDNumber,3582)="","",INDEX(I.Facility.P3IDNumber,3582))</f>
        <v/>
      </c>
      <c r="G18594" s="51"/>
      <c r="H18594" s="46" t="str">
        <f>IF(AND(I.Developer.P3=TRUE,I.Facility.P3FacilityCount&gt;=3582,F18594=""),"Incomplete","Complete")</f>
        <v>Complete</v>
      </c>
      <c r="I18594" s="48" t="s">
        <v>22959</v>
      </c>
    </row>
    <row r="18595" spans="2:9" ht="15" customHeight="1" x14ac:dyDescent="0.25">
      <c r="B18595" s="55" t="s">
        <v>282</v>
      </c>
      <c r="C18595" s="46">
        <v>3583</v>
      </c>
      <c r="D18595" s="69" t="s">
        <v>29419</v>
      </c>
      <c r="E18595" s="51"/>
      <c r="F18595" s="114" t="str">
        <f>IF(INDEX(I.Facility.P3IDNumber,3583)="","",INDEX(I.Facility.P3IDNumber,3583))</f>
        <v/>
      </c>
      <c r="G18595" s="51"/>
      <c r="H18595" s="46" t="str">
        <f>IF(AND(I.Developer.P3=TRUE,I.Facility.P3FacilityCount&gt;=3583,F18595=""),"Incomplete","Complete")</f>
        <v>Complete</v>
      </c>
      <c r="I18595" s="48" t="s">
        <v>22960</v>
      </c>
    </row>
    <row r="18596" spans="2:9" ht="15" customHeight="1" x14ac:dyDescent="0.25">
      <c r="B18596" s="55" t="s">
        <v>282</v>
      </c>
      <c r="C18596" s="46">
        <v>3584</v>
      </c>
      <c r="D18596" s="69" t="s">
        <v>29419</v>
      </c>
      <c r="E18596" s="51"/>
      <c r="F18596" s="114" t="str">
        <f>IF(INDEX(I.Facility.P3IDNumber,3584)="","",INDEX(I.Facility.P3IDNumber,3584))</f>
        <v/>
      </c>
      <c r="G18596" s="51"/>
      <c r="H18596" s="46" t="str">
        <f>IF(AND(I.Developer.P3=TRUE,I.Facility.P3FacilityCount&gt;=3584,F18596=""),"Incomplete","Complete")</f>
        <v>Complete</v>
      </c>
      <c r="I18596" s="48" t="s">
        <v>22961</v>
      </c>
    </row>
    <row r="18597" spans="2:9" ht="15" customHeight="1" x14ac:dyDescent="0.25">
      <c r="B18597" s="55" t="s">
        <v>282</v>
      </c>
      <c r="C18597" s="46">
        <v>3585</v>
      </c>
      <c r="D18597" s="69" t="s">
        <v>29419</v>
      </c>
      <c r="E18597" s="51"/>
      <c r="F18597" s="114" t="str">
        <f>IF(INDEX(I.Facility.P3IDNumber,3585)="","",INDEX(I.Facility.P3IDNumber,3585))</f>
        <v/>
      </c>
      <c r="G18597" s="51"/>
      <c r="H18597" s="46" t="str">
        <f>IF(AND(I.Developer.P3=TRUE,I.Facility.P3FacilityCount&gt;=3585,F18597=""),"Incomplete","Complete")</f>
        <v>Complete</v>
      </c>
      <c r="I18597" s="48" t="s">
        <v>22962</v>
      </c>
    </row>
    <row r="18598" spans="2:9" ht="15" customHeight="1" x14ac:dyDescent="0.25">
      <c r="B18598" s="55" t="s">
        <v>282</v>
      </c>
      <c r="C18598" s="46">
        <v>3586</v>
      </c>
      <c r="D18598" s="69" t="s">
        <v>29419</v>
      </c>
      <c r="E18598" s="51"/>
      <c r="F18598" s="114" t="str">
        <f>IF(INDEX(I.Facility.P3IDNumber,3586)="","",INDEX(I.Facility.P3IDNumber,3586))</f>
        <v/>
      </c>
      <c r="G18598" s="51"/>
      <c r="H18598" s="46" t="str">
        <f>IF(AND(I.Developer.P3=TRUE,I.Facility.P3FacilityCount&gt;=3586,F18598=""),"Incomplete","Complete")</f>
        <v>Complete</v>
      </c>
      <c r="I18598" s="48" t="s">
        <v>22963</v>
      </c>
    </row>
    <row r="18599" spans="2:9" ht="15" customHeight="1" x14ac:dyDescent="0.25">
      <c r="B18599" s="55" t="s">
        <v>282</v>
      </c>
      <c r="C18599" s="46">
        <v>3587</v>
      </c>
      <c r="D18599" s="69" t="s">
        <v>29419</v>
      </c>
      <c r="E18599" s="51"/>
      <c r="F18599" s="114" t="str">
        <f>IF(INDEX(I.Facility.P3IDNumber,3587)="","",INDEX(I.Facility.P3IDNumber,3587))</f>
        <v/>
      </c>
      <c r="G18599" s="51"/>
      <c r="H18599" s="46" t="str">
        <f>IF(AND(I.Developer.P3=TRUE,I.Facility.P3FacilityCount&gt;=3587,F18599=""),"Incomplete","Complete")</f>
        <v>Complete</v>
      </c>
      <c r="I18599" s="48" t="s">
        <v>22964</v>
      </c>
    </row>
    <row r="18600" spans="2:9" ht="15" customHeight="1" x14ac:dyDescent="0.25">
      <c r="B18600" s="55" t="s">
        <v>282</v>
      </c>
      <c r="C18600" s="46">
        <v>3588</v>
      </c>
      <c r="D18600" s="69" t="s">
        <v>29419</v>
      </c>
      <c r="E18600" s="51"/>
      <c r="F18600" s="114" t="str">
        <f>IF(INDEX(I.Facility.P3IDNumber,3588)="","",INDEX(I.Facility.P3IDNumber,3588))</f>
        <v/>
      </c>
      <c r="G18600" s="51"/>
      <c r="H18600" s="46" t="str">
        <f>IF(AND(I.Developer.P3=TRUE,I.Facility.P3FacilityCount&gt;=3588,F18600=""),"Incomplete","Complete")</f>
        <v>Complete</v>
      </c>
      <c r="I18600" s="48" t="s">
        <v>22965</v>
      </c>
    </row>
    <row r="18601" spans="2:9" ht="15" customHeight="1" x14ac:dyDescent="0.25">
      <c r="B18601" s="55" t="s">
        <v>282</v>
      </c>
      <c r="C18601" s="46">
        <v>3589</v>
      </c>
      <c r="D18601" s="69" t="s">
        <v>29419</v>
      </c>
      <c r="E18601" s="51"/>
      <c r="F18601" s="114" t="str">
        <f>IF(INDEX(I.Facility.P3IDNumber,3589)="","",INDEX(I.Facility.P3IDNumber,3589))</f>
        <v/>
      </c>
      <c r="G18601" s="51"/>
      <c r="H18601" s="46" t="str">
        <f>IF(AND(I.Developer.P3=TRUE,I.Facility.P3FacilityCount&gt;=3589,F18601=""),"Incomplete","Complete")</f>
        <v>Complete</v>
      </c>
      <c r="I18601" s="48" t="s">
        <v>22966</v>
      </c>
    </row>
    <row r="18602" spans="2:9" ht="15" customHeight="1" x14ac:dyDescent="0.25">
      <c r="B18602" s="55" t="s">
        <v>282</v>
      </c>
      <c r="C18602" s="46">
        <v>3590</v>
      </c>
      <c r="D18602" s="69" t="s">
        <v>29419</v>
      </c>
      <c r="E18602" s="51"/>
      <c r="F18602" s="114" t="str">
        <f>IF(INDEX(I.Facility.P3IDNumber,3590)="","",INDEX(I.Facility.P3IDNumber,3590))</f>
        <v/>
      </c>
      <c r="G18602" s="51"/>
      <c r="H18602" s="46" t="str">
        <f>IF(AND(I.Developer.P3=TRUE,I.Facility.P3FacilityCount&gt;=3590,F18602=""),"Incomplete","Complete")</f>
        <v>Complete</v>
      </c>
      <c r="I18602" s="48" t="s">
        <v>22967</v>
      </c>
    </row>
    <row r="18603" spans="2:9" ht="15" customHeight="1" x14ac:dyDescent="0.25">
      <c r="B18603" s="55" t="s">
        <v>282</v>
      </c>
      <c r="C18603" s="46">
        <v>3591</v>
      </c>
      <c r="D18603" s="69" t="s">
        <v>29419</v>
      </c>
      <c r="E18603" s="51"/>
      <c r="F18603" s="114" t="str">
        <f>IF(INDEX(I.Facility.P3IDNumber,3591)="","",INDEX(I.Facility.P3IDNumber,3591))</f>
        <v/>
      </c>
      <c r="G18603" s="51"/>
      <c r="H18603" s="46" t="str">
        <f>IF(AND(I.Developer.P3=TRUE,I.Facility.P3FacilityCount&gt;=3591,F18603=""),"Incomplete","Complete")</f>
        <v>Complete</v>
      </c>
      <c r="I18603" s="48" t="s">
        <v>22968</v>
      </c>
    </row>
    <row r="18604" spans="2:9" ht="15" customHeight="1" x14ac:dyDescent="0.25">
      <c r="B18604" s="55" t="s">
        <v>282</v>
      </c>
      <c r="C18604" s="46">
        <v>3592</v>
      </c>
      <c r="D18604" s="69" t="s">
        <v>29419</v>
      </c>
      <c r="E18604" s="51"/>
      <c r="F18604" s="114" t="str">
        <f>IF(INDEX(I.Facility.P3IDNumber,3592)="","",INDEX(I.Facility.P3IDNumber,3592))</f>
        <v/>
      </c>
      <c r="G18604" s="51"/>
      <c r="H18604" s="46" t="str">
        <f>IF(AND(I.Developer.P3=TRUE,I.Facility.P3FacilityCount&gt;=3592,F18604=""),"Incomplete","Complete")</f>
        <v>Complete</v>
      </c>
      <c r="I18604" s="48" t="s">
        <v>22969</v>
      </c>
    </row>
    <row r="18605" spans="2:9" ht="15" customHeight="1" x14ac:dyDescent="0.25">
      <c r="B18605" s="55" t="s">
        <v>282</v>
      </c>
      <c r="C18605" s="46">
        <v>3593</v>
      </c>
      <c r="D18605" s="69" t="s">
        <v>29419</v>
      </c>
      <c r="E18605" s="51"/>
      <c r="F18605" s="114" t="str">
        <f>IF(INDEX(I.Facility.P3IDNumber,3593)="","",INDEX(I.Facility.P3IDNumber,3593))</f>
        <v/>
      </c>
      <c r="G18605" s="51"/>
      <c r="H18605" s="46" t="str">
        <f>IF(AND(I.Developer.P3=TRUE,I.Facility.P3FacilityCount&gt;=3593,F18605=""),"Incomplete","Complete")</f>
        <v>Complete</v>
      </c>
      <c r="I18605" s="48" t="s">
        <v>22970</v>
      </c>
    </row>
    <row r="18606" spans="2:9" ht="15" customHeight="1" x14ac:dyDescent="0.25">
      <c r="B18606" s="55" t="s">
        <v>282</v>
      </c>
      <c r="C18606" s="46">
        <v>3594</v>
      </c>
      <c r="D18606" s="69" t="s">
        <v>29419</v>
      </c>
      <c r="E18606" s="51"/>
      <c r="F18606" s="114" t="str">
        <f>IF(INDEX(I.Facility.P3IDNumber,3594)="","",INDEX(I.Facility.P3IDNumber,3594))</f>
        <v/>
      </c>
      <c r="G18606" s="51"/>
      <c r="H18606" s="46" t="str">
        <f>IF(AND(I.Developer.P3=TRUE,I.Facility.P3FacilityCount&gt;=3594,F18606=""),"Incomplete","Complete")</f>
        <v>Complete</v>
      </c>
      <c r="I18606" s="48" t="s">
        <v>22971</v>
      </c>
    </row>
    <row r="18607" spans="2:9" ht="15" customHeight="1" x14ac:dyDescent="0.25">
      <c r="B18607" s="55" t="s">
        <v>282</v>
      </c>
      <c r="C18607" s="46">
        <v>3595</v>
      </c>
      <c r="D18607" s="69" t="s">
        <v>29419</v>
      </c>
      <c r="E18607" s="51"/>
      <c r="F18607" s="114" t="str">
        <f>IF(INDEX(I.Facility.P3IDNumber,3595)="","",INDEX(I.Facility.P3IDNumber,3595))</f>
        <v/>
      </c>
      <c r="G18607" s="51"/>
      <c r="H18607" s="46" t="str">
        <f>IF(AND(I.Developer.P3=TRUE,I.Facility.P3FacilityCount&gt;=3595,F18607=""),"Incomplete","Complete")</f>
        <v>Complete</v>
      </c>
      <c r="I18607" s="48" t="s">
        <v>22972</v>
      </c>
    </row>
    <row r="18608" spans="2:9" ht="15" customHeight="1" x14ac:dyDescent="0.25">
      <c r="B18608" s="55" t="s">
        <v>282</v>
      </c>
      <c r="C18608" s="46">
        <v>3596</v>
      </c>
      <c r="D18608" s="69" t="s">
        <v>29419</v>
      </c>
      <c r="E18608" s="51"/>
      <c r="F18608" s="114" t="str">
        <f>IF(INDEX(I.Facility.P3IDNumber,3596)="","",INDEX(I.Facility.P3IDNumber,3596))</f>
        <v/>
      </c>
      <c r="G18608" s="51"/>
      <c r="H18608" s="46" t="str">
        <f>IF(AND(I.Developer.P3=TRUE,I.Facility.P3FacilityCount&gt;=3596,F18608=""),"Incomplete","Complete")</f>
        <v>Complete</v>
      </c>
      <c r="I18608" s="48" t="s">
        <v>22973</v>
      </c>
    </row>
    <row r="18609" spans="2:9" ht="15" customHeight="1" x14ac:dyDescent="0.25">
      <c r="B18609" s="55" t="s">
        <v>282</v>
      </c>
      <c r="C18609" s="46">
        <v>3597</v>
      </c>
      <c r="D18609" s="69" t="s">
        <v>29419</v>
      </c>
      <c r="E18609" s="51"/>
      <c r="F18609" s="114" t="str">
        <f>IF(INDEX(I.Facility.P3IDNumber,3597)="","",INDEX(I.Facility.P3IDNumber,3597))</f>
        <v/>
      </c>
      <c r="G18609" s="51"/>
      <c r="H18609" s="46" t="str">
        <f>IF(AND(I.Developer.P3=TRUE,I.Facility.P3FacilityCount&gt;=3597,F18609=""),"Incomplete","Complete")</f>
        <v>Complete</v>
      </c>
      <c r="I18609" s="48" t="s">
        <v>22974</v>
      </c>
    </row>
    <row r="18610" spans="2:9" ht="15" customHeight="1" x14ac:dyDescent="0.25">
      <c r="B18610" s="55" t="s">
        <v>282</v>
      </c>
      <c r="C18610" s="46">
        <v>3598</v>
      </c>
      <c r="D18610" s="69" t="s">
        <v>29419</v>
      </c>
      <c r="E18610" s="51"/>
      <c r="F18610" s="114" t="str">
        <f>IF(INDEX(I.Facility.P3IDNumber,3598)="","",INDEX(I.Facility.P3IDNumber,3598))</f>
        <v/>
      </c>
      <c r="G18610" s="51"/>
      <c r="H18610" s="46" t="str">
        <f>IF(AND(I.Developer.P3=TRUE,I.Facility.P3FacilityCount&gt;=3598,F18610=""),"Incomplete","Complete")</f>
        <v>Complete</v>
      </c>
      <c r="I18610" s="48" t="s">
        <v>22975</v>
      </c>
    </row>
    <row r="18611" spans="2:9" ht="15" customHeight="1" x14ac:dyDescent="0.25">
      <c r="B18611" s="55" t="s">
        <v>282</v>
      </c>
      <c r="C18611" s="46">
        <v>3599</v>
      </c>
      <c r="D18611" s="69" t="s">
        <v>29419</v>
      </c>
      <c r="E18611" s="51"/>
      <c r="F18611" s="114" t="str">
        <f>IF(INDEX(I.Facility.P3IDNumber,3599)="","",INDEX(I.Facility.P3IDNumber,3599))</f>
        <v/>
      </c>
      <c r="G18611" s="51"/>
      <c r="H18611" s="46" t="str">
        <f>IF(AND(I.Developer.P3=TRUE,I.Facility.P3FacilityCount&gt;=3599,F18611=""),"Incomplete","Complete")</f>
        <v>Complete</v>
      </c>
      <c r="I18611" s="48" t="s">
        <v>22976</v>
      </c>
    </row>
    <row r="18612" spans="2:9" ht="15" customHeight="1" x14ac:dyDescent="0.25">
      <c r="B18612" s="55" t="s">
        <v>282</v>
      </c>
      <c r="C18612" s="46">
        <v>3600</v>
      </c>
      <c r="D18612" s="69" t="s">
        <v>29419</v>
      </c>
      <c r="E18612" s="51"/>
      <c r="F18612" s="114" t="str">
        <f>IF(INDEX(I.Facility.P3IDNumber,3600)="","",INDEX(I.Facility.P3IDNumber,3600))</f>
        <v/>
      </c>
      <c r="G18612" s="51"/>
      <c r="H18612" s="46" t="str">
        <f>IF(AND(I.Developer.P3=TRUE,I.Facility.P3FacilityCount&gt;=3600,F18612=""),"Incomplete","Complete")</f>
        <v>Complete</v>
      </c>
      <c r="I18612" s="48" t="s">
        <v>22977</v>
      </c>
    </row>
    <row r="18613" spans="2:9" ht="15" customHeight="1" x14ac:dyDescent="0.25">
      <c r="B18613" s="55" t="s">
        <v>282</v>
      </c>
      <c r="C18613" s="46">
        <v>3601</v>
      </c>
      <c r="D18613" s="69" t="s">
        <v>29419</v>
      </c>
      <c r="E18613" s="51"/>
      <c r="F18613" s="114" t="str">
        <f>IF(INDEX(I.Facility.P3IDNumber,3601)="","",INDEX(I.Facility.P3IDNumber,3601))</f>
        <v/>
      </c>
      <c r="G18613" s="51"/>
      <c r="H18613" s="46" t="str">
        <f>IF(AND(I.Developer.P3=TRUE,I.Facility.P3FacilityCount&gt;=3601,F18613=""),"Incomplete","Complete")</f>
        <v>Complete</v>
      </c>
      <c r="I18613" s="48" t="s">
        <v>22978</v>
      </c>
    </row>
    <row r="18614" spans="2:9" ht="15" customHeight="1" x14ac:dyDescent="0.25">
      <c r="B18614" s="55" t="s">
        <v>282</v>
      </c>
      <c r="C18614" s="46">
        <v>3602</v>
      </c>
      <c r="D18614" s="69" t="s">
        <v>29419</v>
      </c>
      <c r="E18614" s="51"/>
      <c r="F18614" s="114" t="str">
        <f>IF(INDEX(I.Facility.P3IDNumber,3602)="","",INDEX(I.Facility.P3IDNumber,3602))</f>
        <v/>
      </c>
      <c r="G18614" s="51"/>
      <c r="H18614" s="46" t="str">
        <f>IF(AND(I.Developer.P3=TRUE,I.Facility.P3FacilityCount&gt;=3602,F18614=""),"Incomplete","Complete")</f>
        <v>Complete</v>
      </c>
      <c r="I18614" s="48" t="s">
        <v>22979</v>
      </c>
    </row>
    <row r="18615" spans="2:9" ht="15" customHeight="1" x14ac:dyDescent="0.25">
      <c r="B18615" s="55" t="s">
        <v>282</v>
      </c>
      <c r="C18615" s="46">
        <v>3603</v>
      </c>
      <c r="D18615" s="69" t="s">
        <v>29419</v>
      </c>
      <c r="E18615" s="51"/>
      <c r="F18615" s="114" t="str">
        <f>IF(INDEX(I.Facility.P3IDNumber,3603)="","",INDEX(I.Facility.P3IDNumber,3603))</f>
        <v/>
      </c>
      <c r="G18615" s="51"/>
      <c r="H18615" s="46" t="str">
        <f>IF(AND(I.Developer.P3=TRUE,I.Facility.P3FacilityCount&gt;=3603,F18615=""),"Incomplete","Complete")</f>
        <v>Complete</v>
      </c>
      <c r="I18615" s="48" t="s">
        <v>22980</v>
      </c>
    </row>
    <row r="18616" spans="2:9" ht="15" customHeight="1" x14ac:dyDescent="0.25">
      <c r="B18616" s="55" t="s">
        <v>282</v>
      </c>
      <c r="C18616" s="46">
        <v>3604</v>
      </c>
      <c r="D18616" s="69" t="s">
        <v>29419</v>
      </c>
      <c r="E18616" s="51"/>
      <c r="F18616" s="114" t="str">
        <f>IF(INDEX(I.Facility.P3IDNumber,3604)="","",INDEX(I.Facility.P3IDNumber,3604))</f>
        <v/>
      </c>
      <c r="G18616" s="51"/>
      <c r="H18616" s="46" t="str">
        <f>IF(AND(I.Developer.P3=TRUE,I.Facility.P3FacilityCount&gt;=3604,F18616=""),"Incomplete","Complete")</f>
        <v>Complete</v>
      </c>
      <c r="I18616" s="48" t="s">
        <v>22981</v>
      </c>
    </row>
    <row r="18617" spans="2:9" ht="15" customHeight="1" x14ac:dyDescent="0.25">
      <c r="B18617" s="55" t="s">
        <v>282</v>
      </c>
      <c r="C18617" s="46">
        <v>3605</v>
      </c>
      <c r="D18617" s="69" t="s">
        <v>29419</v>
      </c>
      <c r="E18617" s="51"/>
      <c r="F18617" s="114" t="str">
        <f>IF(INDEX(I.Facility.P3IDNumber,3605)="","",INDEX(I.Facility.P3IDNumber,3605))</f>
        <v/>
      </c>
      <c r="G18617" s="51"/>
      <c r="H18617" s="46" t="str">
        <f>IF(AND(I.Developer.P3=TRUE,I.Facility.P3FacilityCount&gt;=3605,F18617=""),"Incomplete","Complete")</f>
        <v>Complete</v>
      </c>
      <c r="I18617" s="48" t="s">
        <v>22982</v>
      </c>
    </row>
    <row r="18618" spans="2:9" ht="15" customHeight="1" x14ac:dyDescent="0.25">
      <c r="B18618" s="55" t="s">
        <v>282</v>
      </c>
      <c r="C18618" s="46">
        <v>3606</v>
      </c>
      <c r="D18618" s="69" t="s">
        <v>29419</v>
      </c>
      <c r="E18618" s="51"/>
      <c r="F18618" s="114" t="str">
        <f>IF(INDEX(I.Facility.P3IDNumber,3606)="","",INDEX(I.Facility.P3IDNumber,3606))</f>
        <v/>
      </c>
      <c r="G18618" s="51"/>
      <c r="H18618" s="46" t="str">
        <f>IF(AND(I.Developer.P3=TRUE,I.Facility.P3FacilityCount&gt;=3606,F18618=""),"Incomplete","Complete")</f>
        <v>Complete</v>
      </c>
      <c r="I18618" s="48" t="s">
        <v>22983</v>
      </c>
    </row>
    <row r="18619" spans="2:9" ht="15" customHeight="1" x14ac:dyDescent="0.25">
      <c r="B18619" s="55" t="s">
        <v>282</v>
      </c>
      <c r="C18619" s="46">
        <v>3607</v>
      </c>
      <c r="D18619" s="69" t="s">
        <v>29419</v>
      </c>
      <c r="E18619" s="51"/>
      <c r="F18619" s="114" t="str">
        <f>IF(INDEX(I.Facility.P3IDNumber,3607)="","",INDEX(I.Facility.P3IDNumber,3607))</f>
        <v/>
      </c>
      <c r="G18619" s="51"/>
      <c r="H18619" s="46" t="str">
        <f>IF(AND(I.Developer.P3=TRUE,I.Facility.P3FacilityCount&gt;=3607,F18619=""),"Incomplete","Complete")</f>
        <v>Complete</v>
      </c>
      <c r="I18619" s="48" t="s">
        <v>22984</v>
      </c>
    </row>
    <row r="18620" spans="2:9" ht="15" customHeight="1" x14ac:dyDescent="0.25">
      <c r="B18620" s="55" t="s">
        <v>282</v>
      </c>
      <c r="C18620" s="46">
        <v>3608</v>
      </c>
      <c r="D18620" s="69" t="s">
        <v>29419</v>
      </c>
      <c r="E18620" s="51"/>
      <c r="F18620" s="114" t="str">
        <f>IF(INDEX(I.Facility.P3IDNumber,3608)="","",INDEX(I.Facility.P3IDNumber,3608))</f>
        <v/>
      </c>
      <c r="G18620" s="51"/>
      <c r="H18620" s="46" t="str">
        <f>IF(AND(I.Developer.P3=TRUE,I.Facility.P3FacilityCount&gt;=3608,F18620=""),"Incomplete","Complete")</f>
        <v>Complete</v>
      </c>
      <c r="I18620" s="48" t="s">
        <v>22985</v>
      </c>
    </row>
    <row r="18621" spans="2:9" ht="15" customHeight="1" x14ac:dyDescent="0.25">
      <c r="B18621" s="55" t="s">
        <v>282</v>
      </c>
      <c r="C18621" s="46">
        <v>3609</v>
      </c>
      <c r="D18621" s="69" t="s">
        <v>29419</v>
      </c>
      <c r="E18621" s="51"/>
      <c r="F18621" s="114" t="str">
        <f>IF(INDEX(I.Facility.P3IDNumber,3609)="","",INDEX(I.Facility.P3IDNumber,3609))</f>
        <v/>
      </c>
      <c r="G18621" s="51"/>
      <c r="H18621" s="46" t="str">
        <f>IF(AND(I.Developer.P3=TRUE,I.Facility.P3FacilityCount&gt;=3609,F18621=""),"Incomplete","Complete")</f>
        <v>Complete</v>
      </c>
      <c r="I18621" s="48" t="s">
        <v>22986</v>
      </c>
    </row>
    <row r="18622" spans="2:9" ht="15" customHeight="1" x14ac:dyDescent="0.25">
      <c r="B18622" s="55" t="s">
        <v>282</v>
      </c>
      <c r="C18622" s="46">
        <v>3610</v>
      </c>
      <c r="D18622" s="69" t="s">
        <v>29419</v>
      </c>
      <c r="E18622" s="51"/>
      <c r="F18622" s="114" t="str">
        <f>IF(INDEX(I.Facility.P3IDNumber,3610)="","",INDEX(I.Facility.P3IDNumber,3610))</f>
        <v/>
      </c>
      <c r="G18622" s="51"/>
      <c r="H18622" s="46" t="str">
        <f>IF(AND(I.Developer.P3=TRUE,I.Facility.P3FacilityCount&gt;=3610,F18622=""),"Incomplete","Complete")</f>
        <v>Complete</v>
      </c>
      <c r="I18622" s="48" t="s">
        <v>22987</v>
      </c>
    </row>
    <row r="18623" spans="2:9" ht="15" customHeight="1" x14ac:dyDescent="0.25">
      <c r="B18623" s="55" t="s">
        <v>282</v>
      </c>
      <c r="C18623" s="46">
        <v>3611</v>
      </c>
      <c r="D18623" s="69" t="s">
        <v>29419</v>
      </c>
      <c r="E18623" s="51"/>
      <c r="F18623" s="114" t="str">
        <f>IF(INDEX(I.Facility.P3IDNumber,3611)="","",INDEX(I.Facility.P3IDNumber,3611))</f>
        <v/>
      </c>
      <c r="G18623" s="51"/>
      <c r="H18623" s="46" t="str">
        <f>IF(AND(I.Developer.P3=TRUE,I.Facility.P3FacilityCount&gt;=3611,F18623=""),"Incomplete","Complete")</f>
        <v>Complete</v>
      </c>
      <c r="I18623" s="48" t="s">
        <v>22988</v>
      </c>
    </row>
    <row r="18624" spans="2:9" ht="15" customHeight="1" x14ac:dyDescent="0.25">
      <c r="B18624" s="55" t="s">
        <v>282</v>
      </c>
      <c r="C18624" s="46">
        <v>3612</v>
      </c>
      <c r="D18624" s="69" t="s">
        <v>29419</v>
      </c>
      <c r="E18624" s="51"/>
      <c r="F18624" s="114" t="str">
        <f>IF(INDEX(I.Facility.P3IDNumber,3612)="","",INDEX(I.Facility.P3IDNumber,3612))</f>
        <v/>
      </c>
      <c r="G18624" s="51"/>
      <c r="H18624" s="46" t="str">
        <f>IF(AND(I.Developer.P3=TRUE,I.Facility.P3FacilityCount&gt;=3612,F18624=""),"Incomplete","Complete")</f>
        <v>Complete</v>
      </c>
      <c r="I18624" s="48" t="s">
        <v>22989</v>
      </c>
    </row>
    <row r="18625" spans="2:9" ht="15" customHeight="1" x14ac:dyDescent="0.25">
      <c r="B18625" s="55" t="s">
        <v>282</v>
      </c>
      <c r="C18625" s="46">
        <v>3613</v>
      </c>
      <c r="D18625" s="69" t="s">
        <v>29419</v>
      </c>
      <c r="E18625" s="51"/>
      <c r="F18625" s="114" t="str">
        <f>IF(INDEX(I.Facility.P3IDNumber,3613)="","",INDEX(I.Facility.P3IDNumber,3613))</f>
        <v/>
      </c>
      <c r="G18625" s="51"/>
      <c r="H18625" s="46" t="str">
        <f>IF(AND(I.Developer.P3=TRUE,I.Facility.P3FacilityCount&gt;=3613,F18625=""),"Incomplete","Complete")</f>
        <v>Complete</v>
      </c>
      <c r="I18625" s="48" t="s">
        <v>22990</v>
      </c>
    </row>
    <row r="18626" spans="2:9" ht="15" customHeight="1" x14ac:dyDescent="0.25">
      <c r="B18626" s="55" t="s">
        <v>282</v>
      </c>
      <c r="C18626" s="46">
        <v>3614</v>
      </c>
      <c r="D18626" s="69" t="s">
        <v>29419</v>
      </c>
      <c r="E18626" s="51"/>
      <c r="F18626" s="114" t="str">
        <f>IF(INDEX(I.Facility.P3IDNumber,3614)="","",INDEX(I.Facility.P3IDNumber,3614))</f>
        <v/>
      </c>
      <c r="G18626" s="51"/>
      <c r="H18626" s="46" t="str">
        <f>IF(AND(I.Developer.P3=TRUE,I.Facility.P3FacilityCount&gt;=3614,F18626=""),"Incomplete","Complete")</f>
        <v>Complete</v>
      </c>
      <c r="I18626" s="48" t="s">
        <v>22991</v>
      </c>
    </row>
    <row r="18627" spans="2:9" ht="15" customHeight="1" x14ac:dyDescent="0.25">
      <c r="B18627" s="55" t="s">
        <v>282</v>
      </c>
      <c r="C18627" s="46">
        <v>3615</v>
      </c>
      <c r="D18627" s="69" t="s">
        <v>29419</v>
      </c>
      <c r="E18627" s="51"/>
      <c r="F18627" s="114" t="str">
        <f>IF(INDEX(I.Facility.P3IDNumber,3615)="","",INDEX(I.Facility.P3IDNumber,3615))</f>
        <v/>
      </c>
      <c r="G18627" s="51"/>
      <c r="H18627" s="46" t="str">
        <f>IF(AND(I.Developer.P3=TRUE,I.Facility.P3FacilityCount&gt;=3615,F18627=""),"Incomplete","Complete")</f>
        <v>Complete</v>
      </c>
      <c r="I18627" s="48" t="s">
        <v>22992</v>
      </c>
    </row>
    <row r="18628" spans="2:9" ht="15" customHeight="1" x14ac:dyDescent="0.25">
      <c r="B18628" s="55" t="s">
        <v>282</v>
      </c>
      <c r="C18628" s="46">
        <v>3616</v>
      </c>
      <c r="D18628" s="69" t="s">
        <v>29419</v>
      </c>
      <c r="E18628" s="51"/>
      <c r="F18628" s="114" t="str">
        <f>IF(INDEX(I.Facility.P3IDNumber,3616)="","",INDEX(I.Facility.P3IDNumber,3616))</f>
        <v/>
      </c>
      <c r="G18628" s="51"/>
      <c r="H18628" s="46" t="str">
        <f>IF(AND(I.Developer.P3=TRUE,I.Facility.P3FacilityCount&gt;=3616,F18628=""),"Incomplete","Complete")</f>
        <v>Complete</v>
      </c>
      <c r="I18628" s="48" t="s">
        <v>22993</v>
      </c>
    </row>
    <row r="18629" spans="2:9" ht="15" customHeight="1" x14ac:dyDescent="0.25">
      <c r="B18629" s="55" t="s">
        <v>282</v>
      </c>
      <c r="C18629" s="46">
        <v>3617</v>
      </c>
      <c r="D18629" s="69" t="s">
        <v>29419</v>
      </c>
      <c r="E18629" s="51"/>
      <c r="F18629" s="114" t="str">
        <f>IF(INDEX(I.Facility.P3IDNumber,3617)="","",INDEX(I.Facility.P3IDNumber,3617))</f>
        <v/>
      </c>
      <c r="G18629" s="51"/>
      <c r="H18629" s="46" t="str">
        <f>IF(AND(I.Developer.P3=TRUE,I.Facility.P3FacilityCount&gt;=3617,F18629=""),"Incomplete","Complete")</f>
        <v>Complete</v>
      </c>
      <c r="I18629" s="48" t="s">
        <v>22994</v>
      </c>
    </row>
    <row r="18630" spans="2:9" ht="15" customHeight="1" x14ac:dyDescent="0.25">
      <c r="B18630" s="55" t="s">
        <v>282</v>
      </c>
      <c r="C18630" s="46">
        <v>3618</v>
      </c>
      <c r="D18630" s="69" t="s">
        <v>29419</v>
      </c>
      <c r="E18630" s="51"/>
      <c r="F18630" s="114" t="str">
        <f>IF(INDEX(I.Facility.P3IDNumber,3618)="","",INDEX(I.Facility.P3IDNumber,3618))</f>
        <v/>
      </c>
      <c r="G18630" s="51"/>
      <c r="H18630" s="46" t="str">
        <f>IF(AND(I.Developer.P3=TRUE,I.Facility.P3FacilityCount&gt;=3618,F18630=""),"Incomplete","Complete")</f>
        <v>Complete</v>
      </c>
      <c r="I18630" s="48" t="s">
        <v>22995</v>
      </c>
    </row>
    <row r="18631" spans="2:9" ht="15" customHeight="1" x14ac:dyDescent="0.25">
      <c r="B18631" s="55" t="s">
        <v>282</v>
      </c>
      <c r="C18631" s="46">
        <v>3619</v>
      </c>
      <c r="D18631" s="69" t="s">
        <v>29419</v>
      </c>
      <c r="E18631" s="51"/>
      <c r="F18631" s="114" t="str">
        <f>IF(INDEX(I.Facility.P3IDNumber,3619)="","",INDEX(I.Facility.P3IDNumber,3619))</f>
        <v/>
      </c>
      <c r="G18631" s="51"/>
      <c r="H18631" s="46" t="str">
        <f>IF(AND(I.Developer.P3=TRUE,I.Facility.P3FacilityCount&gt;=3619,F18631=""),"Incomplete","Complete")</f>
        <v>Complete</v>
      </c>
      <c r="I18631" s="48" t="s">
        <v>22996</v>
      </c>
    </row>
    <row r="18632" spans="2:9" ht="15" customHeight="1" x14ac:dyDescent="0.25">
      <c r="B18632" s="55" t="s">
        <v>282</v>
      </c>
      <c r="C18632" s="46">
        <v>3620</v>
      </c>
      <c r="D18632" s="69" t="s">
        <v>29419</v>
      </c>
      <c r="E18632" s="51"/>
      <c r="F18632" s="114" t="str">
        <f>IF(INDEX(I.Facility.P3IDNumber,3620)="","",INDEX(I.Facility.P3IDNumber,3620))</f>
        <v/>
      </c>
      <c r="G18632" s="51"/>
      <c r="H18632" s="46" t="str">
        <f>IF(AND(I.Developer.P3=TRUE,I.Facility.P3FacilityCount&gt;=3620,F18632=""),"Incomplete","Complete")</f>
        <v>Complete</v>
      </c>
      <c r="I18632" s="48" t="s">
        <v>22997</v>
      </c>
    </row>
    <row r="18633" spans="2:9" ht="15" customHeight="1" x14ac:dyDescent="0.25">
      <c r="B18633" s="55" t="s">
        <v>282</v>
      </c>
      <c r="C18633" s="46">
        <v>3621</v>
      </c>
      <c r="D18633" s="69" t="s">
        <v>29419</v>
      </c>
      <c r="E18633" s="51"/>
      <c r="F18633" s="114" t="str">
        <f>IF(INDEX(I.Facility.P3IDNumber,3621)="","",INDEX(I.Facility.P3IDNumber,3621))</f>
        <v/>
      </c>
      <c r="G18633" s="51"/>
      <c r="H18633" s="46" t="str">
        <f>IF(AND(I.Developer.P3=TRUE,I.Facility.P3FacilityCount&gt;=3621,F18633=""),"Incomplete","Complete")</f>
        <v>Complete</v>
      </c>
      <c r="I18633" s="48" t="s">
        <v>22998</v>
      </c>
    </row>
    <row r="18634" spans="2:9" ht="15" customHeight="1" x14ac:dyDescent="0.25">
      <c r="B18634" s="55" t="s">
        <v>282</v>
      </c>
      <c r="C18634" s="46">
        <v>3622</v>
      </c>
      <c r="D18634" s="69" t="s">
        <v>29419</v>
      </c>
      <c r="E18634" s="51"/>
      <c r="F18634" s="114" t="str">
        <f>IF(INDEX(I.Facility.P3IDNumber,3622)="","",INDEX(I.Facility.P3IDNumber,3622))</f>
        <v/>
      </c>
      <c r="G18634" s="51"/>
      <c r="H18634" s="46" t="str">
        <f>IF(AND(I.Developer.P3=TRUE,I.Facility.P3FacilityCount&gt;=3622,F18634=""),"Incomplete","Complete")</f>
        <v>Complete</v>
      </c>
      <c r="I18634" s="48" t="s">
        <v>22999</v>
      </c>
    </row>
    <row r="18635" spans="2:9" ht="15" customHeight="1" x14ac:dyDescent="0.25">
      <c r="B18635" s="55" t="s">
        <v>282</v>
      </c>
      <c r="C18635" s="46">
        <v>3623</v>
      </c>
      <c r="D18635" s="69" t="s">
        <v>29419</v>
      </c>
      <c r="E18635" s="51"/>
      <c r="F18635" s="114" t="str">
        <f>IF(INDEX(I.Facility.P3IDNumber,3623)="","",INDEX(I.Facility.P3IDNumber,3623))</f>
        <v/>
      </c>
      <c r="G18635" s="51"/>
      <c r="H18635" s="46" t="str">
        <f>IF(AND(I.Developer.P3=TRUE,I.Facility.P3FacilityCount&gt;=3623,F18635=""),"Incomplete","Complete")</f>
        <v>Complete</v>
      </c>
      <c r="I18635" s="48" t="s">
        <v>23000</v>
      </c>
    </row>
    <row r="18636" spans="2:9" ht="15" customHeight="1" x14ac:dyDescent="0.25">
      <c r="B18636" s="55" t="s">
        <v>282</v>
      </c>
      <c r="C18636" s="46">
        <v>3624</v>
      </c>
      <c r="D18636" s="69" t="s">
        <v>29419</v>
      </c>
      <c r="E18636" s="51"/>
      <c r="F18636" s="114" t="str">
        <f>IF(INDEX(I.Facility.P3IDNumber,3624)="","",INDEX(I.Facility.P3IDNumber,3624))</f>
        <v/>
      </c>
      <c r="G18636" s="51"/>
      <c r="H18636" s="46" t="str">
        <f>IF(AND(I.Developer.P3=TRUE,I.Facility.P3FacilityCount&gt;=3624,F18636=""),"Incomplete","Complete")</f>
        <v>Complete</v>
      </c>
      <c r="I18636" s="48" t="s">
        <v>23001</v>
      </c>
    </row>
    <row r="18637" spans="2:9" ht="15" customHeight="1" x14ac:dyDescent="0.25">
      <c r="B18637" s="55" t="s">
        <v>282</v>
      </c>
      <c r="C18637" s="46">
        <v>3625</v>
      </c>
      <c r="D18637" s="69" t="s">
        <v>29419</v>
      </c>
      <c r="E18637" s="51"/>
      <c r="F18637" s="114" t="str">
        <f>IF(INDEX(I.Facility.P3IDNumber,3625)="","",INDEX(I.Facility.P3IDNumber,3625))</f>
        <v/>
      </c>
      <c r="G18637" s="51"/>
      <c r="H18637" s="46" t="str">
        <f>IF(AND(I.Developer.P3=TRUE,I.Facility.P3FacilityCount&gt;=3625,F18637=""),"Incomplete","Complete")</f>
        <v>Complete</v>
      </c>
      <c r="I18637" s="48" t="s">
        <v>23002</v>
      </c>
    </row>
    <row r="18638" spans="2:9" ht="15" customHeight="1" x14ac:dyDescent="0.25">
      <c r="B18638" s="55" t="s">
        <v>282</v>
      </c>
      <c r="C18638" s="46">
        <v>3626</v>
      </c>
      <c r="D18638" s="69" t="s">
        <v>29419</v>
      </c>
      <c r="E18638" s="51"/>
      <c r="F18638" s="114" t="str">
        <f>IF(INDEX(I.Facility.P3IDNumber,3626)="","",INDEX(I.Facility.P3IDNumber,3626))</f>
        <v/>
      </c>
      <c r="G18638" s="51"/>
      <c r="H18638" s="46" t="str">
        <f>IF(AND(I.Developer.P3=TRUE,I.Facility.P3FacilityCount&gt;=3626,F18638=""),"Incomplete","Complete")</f>
        <v>Complete</v>
      </c>
      <c r="I18638" s="48" t="s">
        <v>23003</v>
      </c>
    </row>
    <row r="18639" spans="2:9" ht="15" customHeight="1" x14ac:dyDescent="0.25">
      <c r="B18639" s="55" t="s">
        <v>282</v>
      </c>
      <c r="C18639" s="46">
        <v>3627</v>
      </c>
      <c r="D18639" s="69" t="s">
        <v>29419</v>
      </c>
      <c r="E18639" s="51"/>
      <c r="F18639" s="114" t="str">
        <f>IF(INDEX(I.Facility.P3IDNumber,3627)="","",INDEX(I.Facility.P3IDNumber,3627))</f>
        <v/>
      </c>
      <c r="G18639" s="51"/>
      <c r="H18639" s="46" t="str">
        <f>IF(AND(I.Developer.P3=TRUE,I.Facility.P3FacilityCount&gt;=3627,F18639=""),"Incomplete","Complete")</f>
        <v>Complete</v>
      </c>
      <c r="I18639" s="48" t="s">
        <v>23004</v>
      </c>
    </row>
    <row r="18640" spans="2:9" ht="15" customHeight="1" x14ac:dyDescent="0.25">
      <c r="B18640" s="55" t="s">
        <v>282</v>
      </c>
      <c r="C18640" s="46">
        <v>3628</v>
      </c>
      <c r="D18640" s="69" t="s">
        <v>29419</v>
      </c>
      <c r="E18640" s="51"/>
      <c r="F18640" s="114" t="str">
        <f>IF(INDEX(I.Facility.P3IDNumber,3628)="","",INDEX(I.Facility.P3IDNumber,3628))</f>
        <v/>
      </c>
      <c r="G18640" s="51"/>
      <c r="H18640" s="46" t="str">
        <f>IF(AND(I.Developer.P3=TRUE,I.Facility.P3FacilityCount&gt;=3628,F18640=""),"Incomplete","Complete")</f>
        <v>Complete</v>
      </c>
      <c r="I18640" s="48" t="s">
        <v>23005</v>
      </c>
    </row>
    <row r="18641" spans="2:9" ht="15" customHeight="1" x14ac:dyDescent="0.25">
      <c r="B18641" s="55" t="s">
        <v>282</v>
      </c>
      <c r="C18641" s="46">
        <v>3629</v>
      </c>
      <c r="D18641" s="69" t="s">
        <v>29419</v>
      </c>
      <c r="E18641" s="51"/>
      <c r="F18641" s="114" t="str">
        <f>IF(INDEX(I.Facility.P3IDNumber,3629)="","",INDEX(I.Facility.P3IDNumber,3629))</f>
        <v/>
      </c>
      <c r="G18641" s="51"/>
      <c r="H18641" s="46" t="str">
        <f>IF(AND(I.Developer.P3=TRUE,I.Facility.P3FacilityCount&gt;=3629,F18641=""),"Incomplete","Complete")</f>
        <v>Complete</v>
      </c>
      <c r="I18641" s="48" t="s">
        <v>23006</v>
      </c>
    </row>
    <row r="18642" spans="2:9" ht="15" customHeight="1" x14ac:dyDescent="0.25">
      <c r="B18642" s="55" t="s">
        <v>282</v>
      </c>
      <c r="C18642" s="46">
        <v>3630</v>
      </c>
      <c r="D18642" s="69" t="s">
        <v>29419</v>
      </c>
      <c r="E18642" s="51"/>
      <c r="F18642" s="114" t="str">
        <f>IF(INDEX(I.Facility.P3IDNumber,3630)="","",INDEX(I.Facility.P3IDNumber,3630))</f>
        <v/>
      </c>
      <c r="G18642" s="51"/>
      <c r="H18642" s="46" t="str">
        <f>IF(AND(I.Developer.P3=TRUE,I.Facility.P3FacilityCount&gt;=3630,F18642=""),"Incomplete","Complete")</f>
        <v>Complete</v>
      </c>
      <c r="I18642" s="48" t="s">
        <v>23007</v>
      </c>
    </row>
    <row r="18643" spans="2:9" ht="15" customHeight="1" x14ac:dyDescent="0.25">
      <c r="B18643" s="55" t="s">
        <v>282</v>
      </c>
      <c r="C18643" s="46">
        <v>3631</v>
      </c>
      <c r="D18643" s="69" t="s">
        <v>29419</v>
      </c>
      <c r="E18643" s="51"/>
      <c r="F18643" s="114" t="str">
        <f>IF(INDEX(I.Facility.P3IDNumber,3631)="","",INDEX(I.Facility.P3IDNumber,3631))</f>
        <v/>
      </c>
      <c r="G18643" s="51"/>
      <c r="H18643" s="46" t="str">
        <f>IF(AND(I.Developer.P3=TRUE,I.Facility.P3FacilityCount&gt;=3631,F18643=""),"Incomplete","Complete")</f>
        <v>Complete</v>
      </c>
      <c r="I18643" s="48" t="s">
        <v>23008</v>
      </c>
    </row>
    <row r="18644" spans="2:9" ht="15" customHeight="1" x14ac:dyDescent="0.25">
      <c r="B18644" s="55" t="s">
        <v>282</v>
      </c>
      <c r="C18644" s="46">
        <v>3632</v>
      </c>
      <c r="D18644" s="69" t="s">
        <v>29419</v>
      </c>
      <c r="E18644" s="51"/>
      <c r="F18644" s="114" t="str">
        <f>IF(INDEX(I.Facility.P3IDNumber,3632)="","",INDEX(I.Facility.P3IDNumber,3632))</f>
        <v/>
      </c>
      <c r="G18644" s="51"/>
      <c r="H18644" s="46" t="str">
        <f>IF(AND(I.Developer.P3=TRUE,I.Facility.P3FacilityCount&gt;=3632,F18644=""),"Incomplete","Complete")</f>
        <v>Complete</v>
      </c>
      <c r="I18644" s="48" t="s">
        <v>23009</v>
      </c>
    </row>
    <row r="18645" spans="2:9" ht="15" customHeight="1" x14ac:dyDescent="0.25">
      <c r="B18645" s="55" t="s">
        <v>282</v>
      </c>
      <c r="C18645" s="46">
        <v>3633</v>
      </c>
      <c r="D18645" s="69" t="s">
        <v>29419</v>
      </c>
      <c r="E18645" s="51"/>
      <c r="F18645" s="114" t="str">
        <f>IF(INDEX(I.Facility.P3IDNumber,3633)="","",INDEX(I.Facility.P3IDNumber,3633))</f>
        <v/>
      </c>
      <c r="G18645" s="51"/>
      <c r="H18645" s="46" t="str">
        <f>IF(AND(I.Developer.P3=TRUE,I.Facility.P3FacilityCount&gt;=3633,F18645=""),"Incomplete","Complete")</f>
        <v>Complete</v>
      </c>
      <c r="I18645" s="48" t="s">
        <v>23010</v>
      </c>
    </row>
    <row r="18646" spans="2:9" ht="15" customHeight="1" x14ac:dyDescent="0.25">
      <c r="B18646" s="55" t="s">
        <v>282</v>
      </c>
      <c r="C18646" s="46">
        <v>3634</v>
      </c>
      <c r="D18646" s="69" t="s">
        <v>29419</v>
      </c>
      <c r="E18646" s="51"/>
      <c r="F18646" s="114" t="str">
        <f>IF(INDEX(I.Facility.P3IDNumber,3634)="","",INDEX(I.Facility.P3IDNumber,3634))</f>
        <v/>
      </c>
      <c r="G18646" s="51"/>
      <c r="H18646" s="46" t="str">
        <f>IF(AND(I.Developer.P3=TRUE,I.Facility.P3FacilityCount&gt;=3634,F18646=""),"Incomplete","Complete")</f>
        <v>Complete</v>
      </c>
      <c r="I18646" s="48" t="s">
        <v>23011</v>
      </c>
    </row>
    <row r="18647" spans="2:9" ht="15" customHeight="1" x14ac:dyDescent="0.25">
      <c r="B18647" s="55" t="s">
        <v>282</v>
      </c>
      <c r="C18647" s="46">
        <v>3635</v>
      </c>
      <c r="D18647" s="69" t="s">
        <v>29419</v>
      </c>
      <c r="E18647" s="51"/>
      <c r="F18647" s="114" t="str">
        <f>IF(INDEX(I.Facility.P3IDNumber,3635)="","",INDEX(I.Facility.P3IDNumber,3635))</f>
        <v/>
      </c>
      <c r="G18647" s="51"/>
      <c r="H18647" s="46" t="str">
        <f>IF(AND(I.Developer.P3=TRUE,I.Facility.P3FacilityCount&gt;=3635,F18647=""),"Incomplete","Complete")</f>
        <v>Complete</v>
      </c>
      <c r="I18647" s="48" t="s">
        <v>23012</v>
      </c>
    </row>
    <row r="18648" spans="2:9" ht="15" customHeight="1" x14ac:dyDescent="0.25">
      <c r="B18648" s="55" t="s">
        <v>282</v>
      </c>
      <c r="C18648" s="46">
        <v>3636</v>
      </c>
      <c r="D18648" s="69" t="s">
        <v>29419</v>
      </c>
      <c r="E18648" s="51"/>
      <c r="F18648" s="114" t="str">
        <f>IF(INDEX(I.Facility.P3IDNumber,3636)="","",INDEX(I.Facility.P3IDNumber,3636))</f>
        <v/>
      </c>
      <c r="G18648" s="51"/>
      <c r="H18648" s="46" t="str">
        <f>IF(AND(I.Developer.P3=TRUE,I.Facility.P3FacilityCount&gt;=3636,F18648=""),"Incomplete","Complete")</f>
        <v>Complete</v>
      </c>
      <c r="I18648" s="48" t="s">
        <v>23013</v>
      </c>
    </row>
    <row r="18649" spans="2:9" ht="15" customHeight="1" x14ac:dyDescent="0.25">
      <c r="B18649" s="55" t="s">
        <v>282</v>
      </c>
      <c r="C18649" s="46">
        <v>3637</v>
      </c>
      <c r="D18649" s="69" t="s">
        <v>29419</v>
      </c>
      <c r="E18649" s="51"/>
      <c r="F18649" s="114" t="str">
        <f>IF(INDEX(I.Facility.P3IDNumber,3637)="","",INDEX(I.Facility.P3IDNumber,3637))</f>
        <v/>
      </c>
      <c r="G18649" s="51"/>
      <c r="H18649" s="46" t="str">
        <f>IF(AND(I.Developer.P3=TRUE,I.Facility.P3FacilityCount&gt;=3637,F18649=""),"Incomplete","Complete")</f>
        <v>Complete</v>
      </c>
      <c r="I18649" s="48" t="s">
        <v>23014</v>
      </c>
    </row>
    <row r="18650" spans="2:9" ht="15" customHeight="1" x14ac:dyDescent="0.25">
      <c r="B18650" s="55" t="s">
        <v>282</v>
      </c>
      <c r="C18650" s="46">
        <v>3638</v>
      </c>
      <c r="D18650" s="69" t="s">
        <v>29419</v>
      </c>
      <c r="E18650" s="51"/>
      <c r="F18650" s="114" t="str">
        <f>IF(INDEX(I.Facility.P3IDNumber,3638)="","",INDEX(I.Facility.P3IDNumber,3638))</f>
        <v/>
      </c>
      <c r="G18650" s="51"/>
      <c r="H18650" s="46" t="str">
        <f>IF(AND(I.Developer.P3=TRUE,I.Facility.P3FacilityCount&gt;=3638,F18650=""),"Incomplete","Complete")</f>
        <v>Complete</v>
      </c>
      <c r="I18650" s="48" t="s">
        <v>23015</v>
      </c>
    </row>
    <row r="18651" spans="2:9" ht="15" customHeight="1" x14ac:dyDescent="0.25">
      <c r="B18651" s="55" t="s">
        <v>282</v>
      </c>
      <c r="C18651" s="46">
        <v>3639</v>
      </c>
      <c r="D18651" s="69" t="s">
        <v>29419</v>
      </c>
      <c r="E18651" s="51"/>
      <c r="F18651" s="114" t="str">
        <f>IF(INDEX(I.Facility.P3IDNumber,3639)="","",INDEX(I.Facility.P3IDNumber,3639))</f>
        <v/>
      </c>
      <c r="G18651" s="51"/>
      <c r="H18651" s="46" t="str">
        <f>IF(AND(I.Developer.P3=TRUE,I.Facility.P3FacilityCount&gt;=3639,F18651=""),"Incomplete","Complete")</f>
        <v>Complete</v>
      </c>
      <c r="I18651" s="48" t="s">
        <v>23016</v>
      </c>
    </row>
    <row r="18652" spans="2:9" ht="15" customHeight="1" x14ac:dyDescent="0.25">
      <c r="B18652" s="55" t="s">
        <v>282</v>
      </c>
      <c r="C18652" s="46">
        <v>3640</v>
      </c>
      <c r="D18652" s="69" t="s">
        <v>29419</v>
      </c>
      <c r="E18652" s="51"/>
      <c r="F18652" s="114" t="str">
        <f>IF(INDEX(I.Facility.P3IDNumber,3640)="","",INDEX(I.Facility.P3IDNumber,3640))</f>
        <v/>
      </c>
      <c r="G18652" s="51"/>
      <c r="H18652" s="46" t="str">
        <f>IF(AND(I.Developer.P3=TRUE,I.Facility.P3FacilityCount&gt;=3640,F18652=""),"Incomplete","Complete")</f>
        <v>Complete</v>
      </c>
      <c r="I18652" s="48" t="s">
        <v>23017</v>
      </c>
    </row>
    <row r="18653" spans="2:9" ht="15" customHeight="1" x14ac:dyDescent="0.25">
      <c r="B18653" s="55" t="s">
        <v>282</v>
      </c>
      <c r="C18653" s="46">
        <v>3641</v>
      </c>
      <c r="D18653" s="69" t="s">
        <v>29419</v>
      </c>
      <c r="E18653" s="51"/>
      <c r="F18653" s="114" t="str">
        <f>IF(INDEX(I.Facility.P3IDNumber,3641)="","",INDEX(I.Facility.P3IDNumber,3641))</f>
        <v/>
      </c>
      <c r="G18653" s="51"/>
      <c r="H18653" s="46" t="str">
        <f>IF(AND(I.Developer.P3=TRUE,I.Facility.P3FacilityCount&gt;=3641,F18653=""),"Incomplete","Complete")</f>
        <v>Complete</v>
      </c>
      <c r="I18653" s="48" t="s">
        <v>23018</v>
      </c>
    </row>
    <row r="18654" spans="2:9" ht="15" customHeight="1" x14ac:dyDescent="0.25">
      <c r="B18654" s="55" t="s">
        <v>282</v>
      </c>
      <c r="C18654" s="46">
        <v>3642</v>
      </c>
      <c r="D18654" s="69" t="s">
        <v>29419</v>
      </c>
      <c r="E18654" s="51"/>
      <c r="F18654" s="114" t="str">
        <f>IF(INDEX(I.Facility.P3IDNumber,3642)="","",INDEX(I.Facility.P3IDNumber,3642))</f>
        <v/>
      </c>
      <c r="G18654" s="51"/>
      <c r="H18654" s="46" t="str">
        <f>IF(AND(I.Developer.P3=TRUE,I.Facility.P3FacilityCount&gt;=3642,F18654=""),"Incomplete","Complete")</f>
        <v>Complete</v>
      </c>
      <c r="I18654" s="48" t="s">
        <v>23019</v>
      </c>
    </row>
    <row r="18655" spans="2:9" ht="15" customHeight="1" x14ac:dyDescent="0.25">
      <c r="B18655" s="55" t="s">
        <v>282</v>
      </c>
      <c r="C18655" s="46">
        <v>3643</v>
      </c>
      <c r="D18655" s="69" t="s">
        <v>29419</v>
      </c>
      <c r="E18655" s="51"/>
      <c r="F18655" s="114" t="str">
        <f>IF(INDEX(I.Facility.P3IDNumber,3643)="","",INDEX(I.Facility.P3IDNumber,3643))</f>
        <v/>
      </c>
      <c r="G18655" s="51"/>
      <c r="H18655" s="46" t="str">
        <f>IF(AND(I.Developer.P3=TRUE,I.Facility.P3FacilityCount&gt;=3643,F18655=""),"Incomplete","Complete")</f>
        <v>Complete</v>
      </c>
      <c r="I18655" s="48" t="s">
        <v>23020</v>
      </c>
    </row>
    <row r="18656" spans="2:9" ht="15" customHeight="1" x14ac:dyDescent="0.25">
      <c r="B18656" s="55" t="s">
        <v>282</v>
      </c>
      <c r="C18656" s="46">
        <v>3644</v>
      </c>
      <c r="D18656" s="69" t="s">
        <v>29419</v>
      </c>
      <c r="E18656" s="51"/>
      <c r="F18656" s="114" t="str">
        <f>IF(INDEX(I.Facility.P3IDNumber,3644)="","",INDEX(I.Facility.P3IDNumber,3644))</f>
        <v/>
      </c>
      <c r="G18656" s="51"/>
      <c r="H18656" s="46" t="str">
        <f>IF(AND(I.Developer.P3=TRUE,I.Facility.P3FacilityCount&gt;=3644,F18656=""),"Incomplete","Complete")</f>
        <v>Complete</v>
      </c>
      <c r="I18656" s="48" t="s">
        <v>23021</v>
      </c>
    </row>
    <row r="18657" spans="2:9" ht="15" customHeight="1" x14ac:dyDescent="0.25">
      <c r="B18657" s="55" t="s">
        <v>282</v>
      </c>
      <c r="C18657" s="46">
        <v>3645</v>
      </c>
      <c r="D18657" s="69" t="s">
        <v>29419</v>
      </c>
      <c r="E18657" s="51"/>
      <c r="F18657" s="114" t="str">
        <f>IF(INDEX(I.Facility.P3IDNumber,3645)="","",INDEX(I.Facility.P3IDNumber,3645))</f>
        <v/>
      </c>
      <c r="G18657" s="51"/>
      <c r="H18657" s="46" t="str">
        <f>IF(AND(I.Developer.P3=TRUE,I.Facility.P3FacilityCount&gt;=3645,F18657=""),"Incomplete","Complete")</f>
        <v>Complete</v>
      </c>
      <c r="I18657" s="48" t="s">
        <v>23022</v>
      </c>
    </row>
    <row r="18658" spans="2:9" ht="15" customHeight="1" x14ac:dyDescent="0.25">
      <c r="B18658" s="55" t="s">
        <v>282</v>
      </c>
      <c r="C18658" s="46">
        <v>3646</v>
      </c>
      <c r="D18658" s="69" t="s">
        <v>29419</v>
      </c>
      <c r="E18658" s="51"/>
      <c r="F18658" s="114" t="str">
        <f>IF(INDEX(I.Facility.P3IDNumber,3646)="","",INDEX(I.Facility.P3IDNumber,3646))</f>
        <v/>
      </c>
      <c r="G18658" s="51"/>
      <c r="H18658" s="46" t="str">
        <f>IF(AND(I.Developer.P3=TRUE,I.Facility.P3FacilityCount&gt;=3646,F18658=""),"Incomplete","Complete")</f>
        <v>Complete</v>
      </c>
      <c r="I18658" s="48" t="s">
        <v>23023</v>
      </c>
    </row>
    <row r="18659" spans="2:9" ht="15" customHeight="1" x14ac:dyDescent="0.25">
      <c r="B18659" s="55" t="s">
        <v>282</v>
      </c>
      <c r="C18659" s="46">
        <v>3647</v>
      </c>
      <c r="D18659" s="69" t="s">
        <v>29419</v>
      </c>
      <c r="E18659" s="51"/>
      <c r="F18659" s="114" t="str">
        <f>IF(INDEX(I.Facility.P3IDNumber,3647)="","",INDEX(I.Facility.P3IDNumber,3647))</f>
        <v/>
      </c>
      <c r="G18659" s="51"/>
      <c r="H18659" s="46" t="str">
        <f>IF(AND(I.Developer.P3=TRUE,I.Facility.P3FacilityCount&gt;=3647,F18659=""),"Incomplete","Complete")</f>
        <v>Complete</v>
      </c>
      <c r="I18659" s="48" t="s">
        <v>23024</v>
      </c>
    </row>
    <row r="18660" spans="2:9" ht="15" customHeight="1" x14ac:dyDescent="0.25">
      <c r="B18660" s="55" t="s">
        <v>282</v>
      </c>
      <c r="C18660" s="46">
        <v>3648</v>
      </c>
      <c r="D18660" s="69" t="s">
        <v>29419</v>
      </c>
      <c r="E18660" s="51"/>
      <c r="F18660" s="114" t="str">
        <f>IF(INDEX(I.Facility.P3IDNumber,3648)="","",INDEX(I.Facility.P3IDNumber,3648))</f>
        <v/>
      </c>
      <c r="G18660" s="51"/>
      <c r="H18660" s="46" t="str">
        <f>IF(AND(I.Developer.P3=TRUE,I.Facility.P3FacilityCount&gt;=3648,F18660=""),"Incomplete","Complete")</f>
        <v>Complete</v>
      </c>
      <c r="I18660" s="48" t="s">
        <v>23025</v>
      </c>
    </row>
    <row r="18661" spans="2:9" ht="15" customHeight="1" x14ac:dyDescent="0.25">
      <c r="B18661" s="55" t="s">
        <v>282</v>
      </c>
      <c r="C18661" s="46">
        <v>3649</v>
      </c>
      <c r="D18661" s="69" t="s">
        <v>29419</v>
      </c>
      <c r="E18661" s="51"/>
      <c r="F18661" s="114" t="str">
        <f>IF(INDEX(I.Facility.P3IDNumber,3649)="","",INDEX(I.Facility.P3IDNumber,3649))</f>
        <v/>
      </c>
      <c r="G18661" s="51"/>
      <c r="H18661" s="46" t="str">
        <f>IF(AND(I.Developer.P3=TRUE,I.Facility.P3FacilityCount&gt;=3649,F18661=""),"Incomplete","Complete")</f>
        <v>Complete</v>
      </c>
      <c r="I18661" s="48" t="s">
        <v>23026</v>
      </c>
    </row>
    <row r="18662" spans="2:9" ht="15" customHeight="1" x14ac:dyDescent="0.25">
      <c r="B18662" s="55" t="s">
        <v>282</v>
      </c>
      <c r="C18662" s="46">
        <v>3650</v>
      </c>
      <c r="D18662" s="69" t="s">
        <v>29419</v>
      </c>
      <c r="E18662" s="51"/>
      <c r="F18662" s="114" t="str">
        <f>IF(INDEX(I.Facility.P3IDNumber,3650)="","",INDEX(I.Facility.P3IDNumber,3650))</f>
        <v/>
      </c>
      <c r="G18662" s="51"/>
      <c r="H18662" s="46" t="str">
        <f>IF(AND(I.Developer.P3=TRUE,I.Facility.P3FacilityCount&gt;=3650,F18662=""),"Incomplete","Complete")</f>
        <v>Complete</v>
      </c>
      <c r="I18662" s="48" t="s">
        <v>23027</v>
      </c>
    </row>
    <row r="18663" spans="2:9" ht="15" customHeight="1" x14ac:dyDescent="0.25">
      <c r="B18663" s="55" t="s">
        <v>282</v>
      </c>
      <c r="C18663" s="46">
        <v>3651</v>
      </c>
      <c r="D18663" s="69" t="s">
        <v>29419</v>
      </c>
      <c r="E18663" s="51"/>
      <c r="F18663" s="114" t="str">
        <f>IF(INDEX(I.Facility.P3IDNumber,3651)="","",INDEX(I.Facility.P3IDNumber,3651))</f>
        <v/>
      </c>
      <c r="G18663" s="51"/>
      <c r="H18663" s="46" t="str">
        <f>IF(AND(I.Developer.P3=TRUE,I.Facility.P3FacilityCount&gt;=3651,F18663=""),"Incomplete","Complete")</f>
        <v>Complete</v>
      </c>
      <c r="I18663" s="48" t="s">
        <v>23028</v>
      </c>
    </row>
    <row r="18664" spans="2:9" ht="15" customHeight="1" x14ac:dyDescent="0.25">
      <c r="B18664" s="55" t="s">
        <v>282</v>
      </c>
      <c r="C18664" s="46">
        <v>3652</v>
      </c>
      <c r="D18664" s="69" t="s">
        <v>29419</v>
      </c>
      <c r="E18664" s="51"/>
      <c r="F18664" s="114" t="str">
        <f>IF(INDEX(I.Facility.P3IDNumber,3652)="","",INDEX(I.Facility.P3IDNumber,3652))</f>
        <v/>
      </c>
      <c r="G18664" s="51"/>
      <c r="H18664" s="46" t="str">
        <f>IF(AND(I.Developer.P3=TRUE,I.Facility.P3FacilityCount&gt;=3652,F18664=""),"Incomplete","Complete")</f>
        <v>Complete</v>
      </c>
      <c r="I18664" s="48" t="s">
        <v>23029</v>
      </c>
    </row>
    <row r="18665" spans="2:9" ht="15" customHeight="1" x14ac:dyDescent="0.25">
      <c r="B18665" s="55" t="s">
        <v>282</v>
      </c>
      <c r="C18665" s="46">
        <v>3653</v>
      </c>
      <c r="D18665" s="69" t="s">
        <v>29419</v>
      </c>
      <c r="E18665" s="51"/>
      <c r="F18665" s="114" t="str">
        <f>IF(INDEX(I.Facility.P3IDNumber,3653)="","",INDEX(I.Facility.P3IDNumber,3653))</f>
        <v/>
      </c>
      <c r="G18665" s="51"/>
      <c r="H18665" s="46" t="str">
        <f>IF(AND(I.Developer.P3=TRUE,I.Facility.P3FacilityCount&gt;=3653,F18665=""),"Incomplete","Complete")</f>
        <v>Complete</v>
      </c>
      <c r="I18665" s="48" t="s">
        <v>23030</v>
      </c>
    </row>
    <row r="18666" spans="2:9" ht="15" customHeight="1" x14ac:dyDescent="0.25">
      <c r="B18666" s="55" t="s">
        <v>282</v>
      </c>
      <c r="C18666" s="46">
        <v>3654</v>
      </c>
      <c r="D18666" s="69" t="s">
        <v>29419</v>
      </c>
      <c r="E18666" s="51"/>
      <c r="F18666" s="114" t="str">
        <f>IF(INDEX(I.Facility.P3IDNumber,3654)="","",INDEX(I.Facility.P3IDNumber,3654))</f>
        <v/>
      </c>
      <c r="G18666" s="51"/>
      <c r="H18666" s="46" t="str">
        <f>IF(AND(I.Developer.P3=TRUE,I.Facility.P3FacilityCount&gt;=3654,F18666=""),"Incomplete","Complete")</f>
        <v>Complete</v>
      </c>
      <c r="I18666" s="48" t="s">
        <v>23031</v>
      </c>
    </row>
    <row r="18667" spans="2:9" ht="15" customHeight="1" x14ac:dyDescent="0.25">
      <c r="B18667" s="55" t="s">
        <v>282</v>
      </c>
      <c r="C18667" s="46">
        <v>3655</v>
      </c>
      <c r="D18667" s="69" t="s">
        <v>29419</v>
      </c>
      <c r="E18667" s="51"/>
      <c r="F18667" s="114" t="str">
        <f>IF(INDEX(I.Facility.P3IDNumber,3655)="","",INDEX(I.Facility.P3IDNumber,3655))</f>
        <v/>
      </c>
      <c r="G18667" s="51"/>
      <c r="H18667" s="46" t="str">
        <f>IF(AND(I.Developer.P3=TRUE,I.Facility.P3FacilityCount&gt;=3655,F18667=""),"Incomplete","Complete")</f>
        <v>Complete</v>
      </c>
      <c r="I18667" s="48" t="s">
        <v>23032</v>
      </c>
    </row>
    <row r="18668" spans="2:9" ht="15" customHeight="1" x14ac:dyDescent="0.25">
      <c r="B18668" s="55" t="s">
        <v>282</v>
      </c>
      <c r="C18668" s="46">
        <v>3656</v>
      </c>
      <c r="D18668" s="69" t="s">
        <v>29419</v>
      </c>
      <c r="E18668" s="51"/>
      <c r="F18668" s="114" t="str">
        <f>IF(INDEX(I.Facility.P3IDNumber,3656)="","",INDEX(I.Facility.P3IDNumber,3656))</f>
        <v/>
      </c>
      <c r="G18668" s="51"/>
      <c r="H18668" s="46" t="str">
        <f>IF(AND(I.Developer.P3=TRUE,I.Facility.P3FacilityCount&gt;=3656,F18668=""),"Incomplete","Complete")</f>
        <v>Complete</v>
      </c>
      <c r="I18668" s="48" t="s">
        <v>23033</v>
      </c>
    </row>
    <row r="18669" spans="2:9" ht="15" customHeight="1" x14ac:dyDescent="0.25">
      <c r="B18669" s="55" t="s">
        <v>282</v>
      </c>
      <c r="C18669" s="46">
        <v>3657</v>
      </c>
      <c r="D18669" s="69" t="s">
        <v>29419</v>
      </c>
      <c r="E18669" s="51"/>
      <c r="F18669" s="114" t="str">
        <f>IF(INDEX(I.Facility.P3IDNumber,3657)="","",INDEX(I.Facility.P3IDNumber,3657))</f>
        <v/>
      </c>
      <c r="G18669" s="51"/>
      <c r="H18669" s="46" t="str">
        <f>IF(AND(I.Developer.P3=TRUE,I.Facility.P3FacilityCount&gt;=3657,F18669=""),"Incomplete","Complete")</f>
        <v>Complete</v>
      </c>
      <c r="I18669" s="48" t="s">
        <v>23034</v>
      </c>
    </row>
    <row r="18670" spans="2:9" ht="15" customHeight="1" x14ac:dyDescent="0.25">
      <c r="B18670" s="55" t="s">
        <v>282</v>
      </c>
      <c r="C18670" s="46">
        <v>3658</v>
      </c>
      <c r="D18670" s="69" t="s">
        <v>29419</v>
      </c>
      <c r="E18670" s="51"/>
      <c r="F18670" s="114" t="str">
        <f>IF(INDEX(I.Facility.P3IDNumber,3658)="","",INDEX(I.Facility.P3IDNumber,3658))</f>
        <v/>
      </c>
      <c r="G18670" s="51"/>
      <c r="H18670" s="46" t="str">
        <f>IF(AND(I.Developer.P3=TRUE,I.Facility.P3FacilityCount&gt;=3658,F18670=""),"Incomplete","Complete")</f>
        <v>Complete</v>
      </c>
      <c r="I18670" s="48" t="s">
        <v>23035</v>
      </c>
    </row>
    <row r="18671" spans="2:9" ht="15" customHeight="1" x14ac:dyDescent="0.25">
      <c r="B18671" s="55" t="s">
        <v>282</v>
      </c>
      <c r="C18671" s="46">
        <v>3659</v>
      </c>
      <c r="D18671" s="69" t="s">
        <v>29419</v>
      </c>
      <c r="E18671" s="51"/>
      <c r="F18671" s="114" t="str">
        <f>IF(INDEX(I.Facility.P3IDNumber,3659)="","",INDEX(I.Facility.P3IDNumber,3659))</f>
        <v/>
      </c>
      <c r="G18671" s="51"/>
      <c r="H18671" s="46" t="str">
        <f>IF(AND(I.Developer.P3=TRUE,I.Facility.P3FacilityCount&gt;=3659,F18671=""),"Incomplete","Complete")</f>
        <v>Complete</v>
      </c>
      <c r="I18671" s="48" t="s">
        <v>23036</v>
      </c>
    </row>
    <row r="18672" spans="2:9" ht="15" customHeight="1" x14ac:dyDescent="0.25">
      <c r="B18672" s="55" t="s">
        <v>282</v>
      </c>
      <c r="C18672" s="46">
        <v>3660</v>
      </c>
      <c r="D18672" s="69" t="s">
        <v>29419</v>
      </c>
      <c r="E18672" s="51"/>
      <c r="F18672" s="114" t="str">
        <f>IF(INDEX(I.Facility.P3IDNumber,3660)="","",INDEX(I.Facility.P3IDNumber,3660))</f>
        <v/>
      </c>
      <c r="G18672" s="51"/>
      <c r="H18672" s="46" t="str">
        <f>IF(AND(I.Developer.P3=TRUE,I.Facility.P3FacilityCount&gt;=3660,F18672=""),"Incomplete","Complete")</f>
        <v>Complete</v>
      </c>
      <c r="I18672" s="48" t="s">
        <v>23037</v>
      </c>
    </row>
    <row r="18673" spans="2:9" ht="15" customHeight="1" x14ac:dyDescent="0.25">
      <c r="B18673" s="55" t="s">
        <v>282</v>
      </c>
      <c r="C18673" s="46">
        <v>3661</v>
      </c>
      <c r="D18673" s="69" t="s">
        <v>29419</v>
      </c>
      <c r="E18673" s="51"/>
      <c r="F18673" s="114" t="str">
        <f>IF(INDEX(I.Facility.P3IDNumber,3661)="","",INDEX(I.Facility.P3IDNumber,3661))</f>
        <v/>
      </c>
      <c r="G18673" s="51"/>
      <c r="H18673" s="46" t="str">
        <f>IF(AND(I.Developer.P3=TRUE,I.Facility.P3FacilityCount&gt;=3661,F18673=""),"Incomplete","Complete")</f>
        <v>Complete</v>
      </c>
      <c r="I18673" s="48" t="s">
        <v>23038</v>
      </c>
    </row>
    <row r="18674" spans="2:9" ht="15" customHeight="1" x14ac:dyDescent="0.25">
      <c r="B18674" s="55" t="s">
        <v>282</v>
      </c>
      <c r="C18674" s="46">
        <v>3662</v>
      </c>
      <c r="D18674" s="69" t="s">
        <v>29419</v>
      </c>
      <c r="E18674" s="51"/>
      <c r="F18674" s="114" t="str">
        <f>IF(INDEX(I.Facility.P3IDNumber,3662)="","",INDEX(I.Facility.P3IDNumber,3662))</f>
        <v/>
      </c>
      <c r="G18674" s="51"/>
      <c r="H18674" s="46" t="str">
        <f>IF(AND(I.Developer.P3=TRUE,I.Facility.P3FacilityCount&gt;=3662,F18674=""),"Incomplete","Complete")</f>
        <v>Complete</v>
      </c>
      <c r="I18674" s="48" t="s">
        <v>23039</v>
      </c>
    </row>
    <row r="18675" spans="2:9" ht="15" customHeight="1" x14ac:dyDescent="0.25">
      <c r="B18675" s="55" t="s">
        <v>282</v>
      </c>
      <c r="C18675" s="46">
        <v>3663</v>
      </c>
      <c r="D18675" s="69" t="s">
        <v>29419</v>
      </c>
      <c r="E18675" s="51"/>
      <c r="F18675" s="114" t="str">
        <f>IF(INDEX(I.Facility.P3IDNumber,3663)="","",INDEX(I.Facility.P3IDNumber,3663))</f>
        <v/>
      </c>
      <c r="G18675" s="51"/>
      <c r="H18675" s="46" t="str">
        <f>IF(AND(I.Developer.P3=TRUE,I.Facility.P3FacilityCount&gt;=3663,F18675=""),"Incomplete","Complete")</f>
        <v>Complete</v>
      </c>
      <c r="I18675" s="48" t="s">
        <v>23040</v>
      </c>
    </row>
    <row r="18676" spans="2:9" ht="15" customHeight="1" x14ac:dyDescent="0.25">
      <c r="B18676" s="55" t="s">
        <v>282</v>
      </c>
      <c r="C18676" s="46">
        <v>3664</v>
      </c>
      <c r="D18676" s="69" t="s">
        <v>29419</v>
      </c>
      <c r="E18676" s="51"/>
      <c r="F18676" s="114" t="str">
        <f>IF(INDEX(I.Facility.P3IDNumber,3664)="","",INDEX(I.Facility.P3IDNumber,3664))</f>
        <v/>
      </c>
      <c r="G18676" s="51"/>
      <c r="H18676" s="46" t="str">
        <f>IF(AND(I.Developer.P3=TRUE,I.Facility.P3FacilityCount&gt;=3664,F18676=""),"Incomplete","Complete")</f>
        <v>Complete</v>
      </c>
      <c r="I18676" s="48" t="s">
        <v>23041</v>
      </c>
    </row>
    <row r="18677" spans="2:9" ht="15" customHeight="1" x14ac:dyDescent="0.25">
      <c r="B18677" s="55" t="s">
        <v>282</v>
      </c>
      <c r="C18677" s="46">
        <v>3665</v>
      </c>
      <c r="D18677" s="69" t="s">
        <v>29419</v>
      </c>
      <c r="E18677" s="51"/>
      <c r="F18677" s="114" t="str">
        <f>IF(INDEX(I.Facility.P3IDNumber,3665)="","",INDEX(I.Facility.P3IDNumber,3665))</f>
        <v/>
      </c>
      <c r="G18677" s="51"/>
      <c r="H18677" s="46" t="str">
        <f>IF(AND(I.Developer.P3=TRUE,I.Facility.P3FacilityCount&gt;=3665,F18677=""),"Incomplete","Complete")</f>
        <v>Complete</v>
      </c>
      <c r="I18677" s="48" t="s">
        <v>23042</v>
      </c>
    </row>
    <row r="18678" spans="2:9" ht="15" customHeight="1" x14ac:dyDescent="0.25">
      <c r="B18678" s="55" t="s">
        <v>282</v>
      </c>
      <c r="C18678" s="46">
        <v>3666</v>
      </c>
      <c r="D18678" s="69" t="s">
        <v>29419</v>
      </c>
      <c r="E18678" s="51"/>
      <c r="F18678" s="114" t="str">
        <f>IF(INDEX(I.Facility.P3IDNumber,3666)="","",INDEX(I.Facility.P3IDNumber,3666))</f>
        <v/>
      </c>
      <c r="G18678" s="51"/>
      <c r="H18678" s="46" t="str">
        <f>IF(AND(I.Developer.P3=TRUE,I.Facility.P3FacilityCount&gt;=3666,F18678=""),"Incomplete","Complete")</f>
        <v>Complete</v>
      </c>
      <c r="I18678" s="48" t="s">
        <v>23043</v>
      </c>
    </row>
    <row r="18679" spans="2:9" ht="15" customHeight="1" x14ac:dyDescent="0.25">
      <c r="B18679" s="55" t="s">
        <v>282</v>
      </c>
      <c r="C18679" s="46">
        <v>3667</v>
      </c>
      <c r="D18679" s="69" t="s">
        <v>29419</v>
      </c>
      <c r="E18679" s="51"/>
      <c r="F18679" s="114" t="str">
        <f>IF(INDEX(I.Facility.P3IDNumber,3667)="","",INDEX(I.Facility.P3IDNumber,3667))</f>
        <v/>
      </c>
      <c r="G18679" s="51"/>
      <c r="H18679" s="46" t="str">
        <f>IF(AND(I.Developer.P3=TRUE,I.Facility.P3FacilityCount&gt;=3667,F18679=""),"Incomplete","Complete")</f>
        <v>Complete</v>
      </c>
      <c r="I18679" s="48" t="s">
        <v>23044</v>
      </c>
    </row>
    <row r="18680" spans="2:9" ht="15" customHeight="1" x14ac:dyDescent="0.25">
      <c r="B18680" s="55" t="s">
        <v>282</v>
      </c>
      <c r="C18680" s="46">
        <v>3668</v>
      </c>
      <c r="D18680" s="69" t="s">
        <v>29419</v>
      </c>
      <c r="E18680" s="51"/>
      <c r="F18680" s="114" t="str">
        <f>IF(INDEX(I.Facility.P3IDNumber,3668)="","",INDEX(I.Facility.P3IDNumber,3668))</f>
        <v/>
      </c>
      <c r="G18680" s="51"/>
      <c r="H18680" s="46" t="str">
        <f>IF(AND(I.Developer.P3=TRUE,I.Facility.P3FacilityCount&gt;=3668,F18680=""),"Incomplete","Complete")</f>
        <v>Complete</v>
      </c>
      <c r="I18680" s="48" t="s">
        <v>23045</v>
      </c>
    </row>
    <row r="18681" spans="2:9" ht="15" customHeight="1" x14ac:dyDescent="0.25">
      <c r="B18681" s="55" t="s">
        <v>282</v>
      </c>
      <c r="C18681" s="46">
        <v>3669</v>
      </c>
      <c r="D18681" s="69" t="s">
        <v>29419</v>
      </c>
      <c r="E18681" s="51"/>
      <c r="F18681" s="114" t="str">
        <f>IF(INDEX(I.Facility.P3IDNumber,3669)="","",INDEX(I.Facility.P3IDNumber,3669))</f>
        <v/>
      </c>
      <c r="G18681" s="51"/>
      <c r="H18681" s="46" t="str">
        <f>IF(AND(I.Developer.P3=TRUE,I.Facility.P3FacilityCount&gt;=3669,F18681=""),"Incomplete","Complete")</f>
        <v>Complete</v>
      </c>
      <c r="I18681" s="48" t="s">
        <v>23046</v>
      </c>
    </row>
    <row r="18682" spans="2:9" ht="15" customHeight="1" x14ac:dyDescent="0.25">
      <c r="B18682" s="55" t="s">
        <v>282</v>
      </c>
      <c r="C18682" s="46">
        <v>3670</v>
      </c>
      <c r="D18682" s="69" t="s">
        <v>29419</v>
      </c>
      <c r="E18682" s="51"/>
      <c r="F18682" s="114" t="str">
        <f>IF(INDEX(I.Facility.P3IDNumber,3670)="","",INDEX(I.Facility.P3IDNumber,3670))</f>
        <v/>
      </c>
      <c r="G18682" s="51"/>
      <c r="H18682" s="46" t="str">
        <f>IF(AND(I.Developer.P3=TRUE,I.Facility.P3FacilityCount&gt;=3670,F18682=""),"Incomplete","Complete")</f>
        <v>Complete</v>
      </c>
      <c r="I18682" s="48" t="s">
        <v>23047</v>
      </c>
    </row>
    <row r="18683" spans="2:9" ht="15" customHeight="1" x14ac:dyDescent="0.25">
      <c r="B18683" s="55" t="s">
        <v>282</v>
      </c>
      <c r="C18683" s="46">
        <v>3671</v>
      </c>
      <c r="D18683" s="69" t="s">
        <v>29419</v>
      </c>
      <c r="E18683" s="51"/>
      <c r="F18683" s="114" t="str">
        <f>IF(INDEX(I.Facility.P3IDNumber,3671)="","",INDEX(I.Facility.P3IDNumber,3671))</f>
        <v/>
      </c>
      <c r="G18683" s="51"/>
      <c r="H18683" s="46" t="str">
        <f>IF(AND(I.Developer.P3=TRUE,I.Facility.P3FacilityCount&gt;=3671,F18683=""),"Incomplete","Complete")</f>
        <v>Complete</v>
      </c>
      <c r="I18683" s="48" t="s">
        <v>23048</v>
      </c>
    </row>
    <row r="18684" spans="2:9" ht="15" customHeight="1" x14ac:dyDescent="0.25">
      <c r="B18684" s="55" t="s">
        <v>282</v>
      </c>
      <c r="C18684" s="46">
        <v>3672</v>
      </c>
      <c r="D18684" s="69" t="s">
        <v>29419</v>
      </c>
      <c r="E18684" s="51"/>
      <c r="F18684" s="114" t="str">
        <f>IF(INDEX(I.Facility.P3IDNumber,3672)="","",INDEX(I.Facility.P3IDNumber,3672))</f>
        <v/>
      </c>
      <c r="G18684" s="51"/>
      <c r="H18684" s="46" t="str">
        <f>IF(AND(I.Developer.P3=TRUE,I.Facility.P3FacilityCount&gt;=3672,F18684=""),"Incomplete","Complete")</f>
        <v>Complete</v>
      </c>
      <c r="I18684" s="48" t="s">
        <v>23049</v>
      </c>
    </row>
    <row r="18685" spans="2:9" ht="15" customHeight="1" x14ac:dyDescent="0.25">
      <c r="B18685" s="55" t="s">
        <v>282</v>
      </c>
      <c r="C18685" s="46">
        <v>3673</v>
      </c>
      <c r="D18685" s="69" t="s">
        <v>29419</v>
      </c>
      <c r="E18685" s="51"/>
      <c r="F18685" s="114" t="str">
        <f>IF(INDEX(I.Facility.P3IDNumber,3673)="","",INDEX(I.Facility.P3IDNumber,3673))</f>
        <v/>
      </c>
      <c r="G18685" s="51"/>
      <c r="H18685" s="46" t="str">
        <f>IF(AND(I.Developer.P3=TRUE,I.Facility.P3FacilityCount&gt;=3673,F18685=""),"Incomplete","Complete")</f>
        <v>Complete</v>
      </c>
      <c r="I18685" s="48" t="s">
        <v>23050</v>
      </c>
    </row>
    <row r="18686" spans="2:9" ht="15" customHeight="1" x14ac:dyDescent="0.25">
      <c r="B18686" s="55" t="s">
        <v>282</v>
      </c>
      <c r="C18686" s="46">
        <v>3674</v>
      </c>
      <c r="D18686" s="69" t="s">
        <v>29419</v>
      </c>
      <c r="E18686" s="51"/>
      <c r="F18686" s="114" t="str">
        <f>IF(INDEX(I.Facility.P3IDNumber,3674)="","",INDEX(I.Facility.P3IDNumber,3674))</f>
        <v/>
      </c>
      <c r="G18686" s="51"/>
      <c r="H18686" s="46" t="str">
        <f>IF(AND(I.Developer.P3=TRUE,I.Facility.P3FacilityCount&gt;=3674,F18686=""),"Incomplete","Complete")</f>
        <v>Complete</v>
      </c>
      <c r="I18686" s="48" t="s">
        <v>23051</v>
      </c>
    </row>
    <row r="18687" spans="2:9" ht="15" customHeight="1" x14ac:dyDescent="0.25">
      <c r="B18687" s="55" t="s">
        <v>282</v>
      </c>
      <c r="C18687" s="46">
        <v>3675</v>
      </c>
      <c r="D18687" s="69" t="s">
        <v>29419</v>
      </c>
      <c r="E18687" s="51"/>
      <c r="F18687" s="114" t="str">
        <f>IF(INDEX(I.Facility.P3IDNumber,3675)="","",INDEX(I.Facility.P3IDNumber,3675))</f>
        <v/>
      </c>
      <c r="G18687" s="51"/>
      <c r="H18687" s="46" t="str">
        <f>IF(AND(I.Developer.P3=TRUE,I.Facility.P3FacilityCount&gt;=3675,F18687=""),"Incomplete","Complete")</f>
        <v>Complete</v>
      </c>
      <c r="I18687" s="48" t="s">
        <v>23052</v>
      </c>
    </row>
    <row r="18688" spans="2:9" ht="15" customHeight="1" x14ac:dyDescent="0.25">
      <c r="B18688" s="55" t="s">
        <v>282</v>
      </c>
      <c r="C18688" s="46">
        <v>3676</v>
      </c>
      <c r="D18688" s="69" t="s">
        <v>29419</v>
      </c>
      <c r="E18688" s="51"/>
      <c r="F18688" s="114" t="str">
        <f>IF(INDEX(I.Facility.P3IDNumber,3676)="","",INDEX(I.Facility.P3IDNumber,3676))</f>
        <v/>
      </c>
      <c r="G18688" s="51"/>
      <c r="H18688" s="46" t="str">
        <f>IF(AND(I.Developer.P3=TRUE,I.Facility.P3FacilityCount&gt;=3676,F18688=""),"Incomplete","Complete")</f>
        <v>Complete</v>
      </c>
      <c r="I18688" s="48" t="s">
        <v>23053</v>
      </c>
    </row>
    <row r="18689" spans="2:9" ht="15" customHeight="1" x14ac:dyDescent="0.25">
      <c r="B18689" s="55" t="s">
        <v>282</v>
      </c>
      <c r="C18689" s="46">
        <v>3677</v>
      </c>
      <c r="D18689" s="69" t="s">
        <v>29419</v>
      </c>
      <c r="E18689" s="51"/>
      <c r="F18689" s="114" t="str">
        <f>IF(INDEX(I.Facility.P3IDNumber,3677)="","",INDEX(I.Facility.P3IDNumber,3677))</f>
        <v/>
      </c>
      <c r="G18689" s="51"/>
      <c r="H18689" s="46" t="str">
        <f>IF(AND(I.Developer.P3=TRUE,I.Facility.P3FacilityCount&gt;=3677,F18689=""),"Incomplete","Complete")</f>
        <v>Complete</v>
      </c>
      <c r="I18689" s="48" t="s">
        <v>23054</v>
      </c>
    </row>
    <row r="18690" spans="2:9" ht="15" customHeight="1" x14ac:dyDescent="0.25">
      <c r="B18690" s="55" t="s">
        <v>282</v>
      </c>
      <c r="C18690" s="46">
        <v>3678</v>
      </c>
      <c r="D18690" s="69" t="s">
        <v>29419</v>
      </c>
      <c r="E18690" s="51"/>
      <c r="F18690" s="114" t="str">
        <f>IF(INDEX(I.Facility.P3IDNumber,3678)="","",INDEX(I.Facility.P3IDNumber,3678))</f>
        <v/>
      </c>
      <c r="G18690" s="51"/>
      <c r="H18690" s="46" t="str">
        <f>IF(AND(I.Developer.P3=TRUE,I.Facility.P3FacilityCount&gt;=3678,F18690=""),"Incomplete","Complete")</f>
        <v>Complete</v>
      </c>
      <c r="I18690" s="48" t="s">
        <v>23055</v>
      </c>
    </row>
    <row r="18691" spans="2:9" ht="15" customHeight="1" x14ac:dyDescent="0.25">
      <c r="B18691" s="55" t="s">
        <v>282</v>
      </c>
      <c r="C18691" s="46">
        <v>3679</v>
      </c>
      <c r="D18691" s="69" t="s">
        <v>29419</v>
      </c>
      <c r="E18691" s="51"/>
      <c r="F18691" s="114" t="str">
        <f>IF(INDEX(I.Facility.P3IDNumber,3679)="","",INDEX(I.Facility.P3IDNumber,3679))</f>
        <v/>
      </c>
      <c r="G18691" s="51"/>
      <c r="H18691" s="46" t="str">
        <f>IF(AND(I.Developer.P3=TRUE,I.Facility.P3FacilityCount&gt;=3679,F18691=""),"Incomplete","Complete")</f>
        <v>Complete</v>
      </c>
      <c r="I18691" s="48" t="s">
        <v>23056</v>
      </c>
    </row>
    <row r="18692" spans="2:9" ht="15" customHeight="1" x14ac:dyDescent="0.25">
      <c r="B18692" s="55" t="s">
        <v>282</v>
      </c>
      <c r="C18692" s="46">
        <v>3680</v>
      </c>
      <c r="D18692" s="69" t="s">
        <v>29419</v>
      </c>
      <c r="E18692" s="51"/>
      <c r="F18692" s="114" t="str">
        <f>IF(INDEX(I.Facility.P3IDNumber,3680)="","",INDEX(I.Facility.P3IDNumber,3680))</f>
        <v/>
      </c>
      <c r="G18692" s="51"/>
      <c r="H18692" s="46" t="str">
        <f>IF(AND(I.Developer.P3=TRUE,I.Facility.P3FacilityCount&gt;=3680,F18692=""),"Incomplete","Complete")</f>
        <v>Complete</v>
      </c>
      <c r="I18692" s="48" t="s">
        <v>23057</v>
      </c>
    </row>
    <row r="18693" spans="2:9" ht="15" customHeight="1" x14ac:dyDescent="0.25">
      <c r="B18693" s="55" t="s">
        <v>282</v>
      </c>
      <c r="C18693" s="46">
        <v>3681</v>
      </c>
      <c r="D18693" s="69" t="s">
        <v>29419</v>
      </c>
      <c r="E18693" s="51"/>
      <c r="F18693" s="114" t="str">
        <f>IF(INDEX(I.Facility.P3IDNumber,3681)="","",INDEX(I.Facility.P3IDNumber,3681))</f>
        <v/>
      </c>
      <c r="G18693" s="51"/>
      <c r="H18693" s="46" t="str">
        <f>IF(AND(I.Developer.P3=TRUE,I.Facility.P3FacilityCount&gt;=3681,F18693=""),"Incomplete","Complete")</f>
        <v>Complete</v>
      </c>
      <c r="I18693" s="48" t="s">
        <v>23058</v>
      </c>
    </row>
    <row r="18694" spans="2:9" ht="15" customHeight="1" x14ac:dyDescent="0.25">
      <c r="B18694" s="55" t="s">
        <v>282</v>
      </c>
      <c r="C18694" s="46">
        <v>3682</v>
      </c>
      <c r="D18694" s="69" t="s">
        <v>29419</v>
      </c>
      <c r="E18694" s="51"/>
      <c r="F18694" s="114" t="str">
        <f>IF(INDEX(I.Facility.P3IDNumber,3682)="","",INDEX(I.Facility.P3IDNumber,3682))</f>
        <v/>
      </c>
      <c r="G18694" s="51"/>
      <c r="H18694" s="46" t="str">
        <f>IF(AND(I.Developer.P3=TRUE,I.Facility.P3FacilityCount&gt;=3682,F18694=""),"Incomplete","Complete")</f>
        <v>Complete</v>
      </c>
      <c r="I18694" s="48" t="s">
        <v>23059</v>
      </c>
    </row>
    <row r="18695" spans="2:9" ht="15" customHeight="1" x14ac:dyDescent="0.25">
      <c r="B18695" s="55" t="s">
        <v>282</v>
      </c>
      <c r="C18695" s="46">
        <v>3683</v>
      </c>
      <c r="D18695" s="69" t="s">
        <v>29419</v>
      </c>
      <c r="E18695" s="51"/>
      <c r="F18695" s="114" t="str">
        <f>IF(INDEX(I.Facility.P3IDNumber,3683)="","",INDEX(I.Facility.P3IDNumber,3683))</f>
        <v/>
      </c>
      <c r="G18695" s="51"/>
      <c r="H18695" s="46" t="str">
        <f>IF(AND(I.Developer.P3=TRUE,I.Facility.P3FacilityCount&gt;=3683,F18695=""),"Incomplete","Complete")</f>
        <v>Complete</v>
      </c>
      <c r="I18695" s="48" t="s">
        <v>23060</v>
      </c>
    </row>
    <row r="18696" spans="2:9" ht="15" customHeight="1" x14ac:dyDescent="0.25">
      <c r="B18696" s="55" t="s">
        <v>282</v>
      </c>
      <c r="C18696" s="46">
        <v>3684</v>
      </c>
      <c r="D18696" s="69" t="s">
        <v>29419</v>
      </c>
      <c r="E18696" s="51"/>
      <c r="F18696" s="114" t="str">
        <f>IF(INDEX(I.Facility.P3IDNumber,3684)="","",INDEX(I.Facility.P3IDNumber,3684))</f>
        <v/>
      </c>
      <c r="G18696" s="51"/>
      <c r="H18696" s="46" t="str">
        <f>IF(AND(I.Developer.P3=TRUE,I.Facility.P3FacilityCount&gt;=3684,F18696=""),"Incomplete","Complete")</f>
        <v>Complete</v>
      </c>
      <c r="I18696" s="48" t="s">
        <v>23061</v>
      </c>
    </row>
    <row r="18697" spans="2:9" ht="15" customHeight="1" x14ac:dyDescent="0.25">
      <c r="B18697" s="55" t="s">
        <v>282</v>
      </c>
      <c r="C18697" s="46">
        <v>3685</v>
      </c>
      <c r="D18697" s="69" t="s">
        <v>29419</v>
      </c>
      <c r="E18697" s="51"/>
      <c r="F18697" s="114" t="str">
        <f>IF(INDEX(I.Facility.P3IDNumber,3685)="","",INDEX(I.Facility.P3IDNumber,3685))</f>
        <v/>
      </c>
      <c r="G18697" s="51"/>
      <c r="H18697" s="46" t="str">
        <f>IF(AND(I.Developer.P3=TRUE,I.Facility.P3FacilityCount&gt;=3685,F18697=""),"Incomplete","Complete")</f>
        <v>Complete</v>
      </c>
      <c r="I18697" s="48" t="s">
        <v>23062</v>
      </c>
    </row>
    <row r="18698" spans="2:9" ht="15" customHeight="1" x14ac:dyDescent="0.25">
      <c r="B18698" s="55" t="s">
        <v>282</v>
      </c>
      <c r="C18698" s="46">
        <v>3686</v>
      </c>
      <c r="D18698" s="69" t="s">
        <v>29419</v>
      </c>
      <c r="E18698" s="51"/>
      <c r="F18698" s="114" t="str">
        <f>IF(INDEX(I.Facility.P3IDNumber,3686)="","",INDEX(I.Facility.P3IDNumber,3686))</f>
        <v/>
      </c>
      <c r="G18698" s="51"/>
      <c r="H18698" s="46" t="str">
        <f>IF(AND(I.Developer.P3=TRUE,I.Facility.P3FacilityCount&gt;=3686,F18698=""),"Incomplete","Complete")</f>
        <v>Complete</v>
      </c>
      <c r="I18698" s="48" t="s">
        <v>23063</v>
      </c>
    </row>
    <row r="18699" spans="2:9" ht="15" customHeight="1" x14ac:dyDescent="0.25">
      <c r="B18699" s="55" t="s">
        <v>282</v>
      </c>
      <c r="C18699" s="46">
        <v>3687</v>
      </c>
      <c r="D18699" s="69" t="s">
        <v>29419</v>
      </c>
      <c r="E18699" s="51"/>
      <c r="F18699" s="114" t="str">
        <f>IF(INDEX(I.Facility.P3IDNumber,3687)="","",INDEX(I.Facility.P3IDNumber,3687))</f>
        <v/>
      </c>
      <c r="G18699" s="51"/>
      <c r="H18699" s="46" t="str">
        <f>IF(AND(I.Developer.P3=TRUE,I.Facility.P3FacilityCount&gt;=3687,F18699=""),"Incomplete","Complete")</f>
        <v>Complete</v>
      </c>
      <c r="I18699" s="48" t="s">
        <v>23064</v>
      </c>
    </row>
    <row r="18700" spans="2:9" ht="15" customHeight="1" x14ac:dyDescent="0.25">
      <c r="B18700" s="55" t="s">
        <v>282</v>
      </c>
      <c r="C18700" s="46">
        <v>3688</v>
      </c>
      <c r="D18700" s="69" t="s">
        <v>29419</v>
      </c>
      <c r="E18700" s="51"/>
      <c r="F18700" s="114" t="str">
        <f>IF(INDEX(I.Facility.P3IDNumber,3688)="","",INDEX(I.Facility.P3IDNumber,3688))</f>
        <v/>
      </c>
      <c r="G18700" s="51"/>
      <c r="H18700" s="46" t="str">
        <f>IF(AND(I.Developer.P3=TRUE,I.Facility.P3FacilityCount&gt;=3688,F18700=""),"Incomplete","Complete")</f>
        <v>Complete</v>
      </c>
      <c r="I18700" s="48" t="s">
        <v>23065</v>
      </c>
    </row>
    <row r="18701" spans="2:9" ht="15" customHeight="1" x14ac:dyDescent="0.25">
      <c r="B18701" s="55" t="s">
        <v>282</v>
      </c>
      <c r="C18701" s="46">
        <v>3689</v>
      </c>
      <c r="D18701" s="69" t="s">
        <v>29419</v>
      </c>
      <c r="E18701" s="51"/>
      <c r="F18701" s="114" t="str">
        <f>IF(INDEX(I.Facility.P3IDNumber,3689)="","",INDEX(I.Facility.P3IDNumber,3689))</f>
        <v/>
      </c>
      <c r="G18701" s="51"/>
      <c r="H18701" s="46" t="str">
        <f>IF(AND(I.Developer.P3=TRUE,I.Facility.P3FacilityCount&gt;=3689,F18701=""),"Incomplete","Complete")</f>
        <v>Complete</v>
      </c>
      <c r="I18701" s="48" t="s">
        <v>23066</v>
      </c>
    </row>
    <row r="18702" spans="2:9" ht="15" customHeight="1" x14ac:dyDescent="0.25">
      <c r="B18702" s="55" t="s">
        <v>282</v>
      </c>
      <c r="C18702" s="46">
        <v>3690</v>
      </c>
      <c r="D18702" s="69" t="s">
        <v>29419</v>
      </c>
      <c r="E18702" s="51"/>
      <c r="F18702" s="114" t="str">
        <f>IF(INDEX(I.Facility.P3IDNumber,3690)="","",INDEX(I.Facility.P3IDNumber,3690))</f>
        <v/>
      </c>
      <c r="G18702" s="51"/>
      <c r="H18702" s="46" t="str">
        <f>IF(AND(I.Developer.P3=TRUE,I.Facility.P3FacilityCount&gt;=3690,F18702=""),"Incomplete","Complete")</f>
        <v>Complete</v>
      </c>
      <c r="I18702" s="48" t="s">
        <v>23067</v>
      </c>
    </row>
    <row r="18703" spans="2:9" ht="15" customHeight="1" x14ac:dyDescent="0.25">
      <c r="B18703" s="55" t="s">
        <v>282</v>
      </c>
      <c r="C18703" s="46">
        <v>3691</v>
      </c>
      <c r="D18703" s="69" t="s">
        <v>29419</v>
      </c>
      <c r="E18703" s="51"/>
      <c r="F18703" s="114" t="str">
        <f>IF(INDEX(I.Facility.P3IDNumber,3691)="","",INDEX(I.Facility.P3IDNumber,3691))</f>
        <v/>
      </c>
      <c r="G18703" s="51"/>
      <c r="H18703" s="46" t="str">
        <f>IF(AND(I.Developer.P3=TRUE,I.Facility.P3FacilityCount&gt;=3691,F18703=""),"Incomplete","Complete")</f>
        <v>Complete</v>
      </c>
      <c r="I18703" s="48" t="s">
        <v>23068</v>
      </c>
    </row>
    <row r="18704" spans="2:9" ht="15" customHeight="1" x14ac:dyDescent="0.25">
      <c r="B18704" s="55" t="s">
        <v>282</v>
      </c>
      <c r="C18704" s="46">
        <v>3692</v>
      </c>
      <c r="D18704" s="69" t="s">
        <v>29419</v>
      </c>
      <c r="E18704" s="51"/>
      <c r="F18704" s="114" t="str">
        <f>IF(INDEX(I.Facility.P3IDNumber,3692)="","",INDEX(I.Facility.P3IDNumber,3692))</f>
        <v/>
      </c>
      <c r="G18704" s="51"/>
      <c r="H18704" s="46" t="str">
        <f>IF(AND(I.Developer.P3=TRUE,I.Facility.P3FacilityCount&gt;=3692,F18704=""),"Incomplete","Complete")</f>
        <v>Complete</v>
      </c>
      <c r="I18704" s="48" t="s">
        <v>23069</v>
      </c>
    </row>
    <row r="18705" spans="2:9" ht="15" customHeight="1" x14ac:dyDescent="0.25">
      <c r="B18705" s="55" t="s">
        <v>282</v>
      </c>
      <c r="C18705" s="46">
        <v>3693</v>
      </c>
      <c r="D18705" s="69" t="s">
        <v>29419</v>
      </c>
      <c r="E18705" s="51"/>
      <c r="F18705" s="114" t="str">
        <f>IF(INDEX(I.Facility.P3IDNumber,3693)="","",INDEX(I.Facility.P3IDNumber,3693))</f>
        <v/>
      </c>
      <c r="G18705" s="51"/>
      <c r="H18705" s="46" t="str">
        <f>IF(AND(I.Developer.P3=TRUE,I.Facility.P3FacilityCount&gt;=3693,F18705=""),"Incomplete","Complete")</f>
        <v>Complete</v>
      </c>
      <c r="I18705" s="48" t="s">
        <v>23070</v>
      </c>
    </row>
    <row r="18706" spans="2:9" ht="15" customHeight="1" x14ac:dyDescent="0.25">
      <c r="B18706" s="55" t="s">
        <v>282</v>
      </c>
      <c r="C18706" s="46">
        <v>3694</v>
      </c>
      <c r="D18706" s="69" t="s">
        <v>29419</v>
      </c>
      <c r="E18706" s="51"/>
      <c r="F18706" s="114" t="str">
        <f>IF(INDEX(I.Facility.P3IDNumber,3694)="","",INDEX(I.Facility.P3IDNumber,3694))</f>
        <v/>
      </c>
      <c r="G18706" s="51"/>
      <c r="H18706" s="46" t="str">
        <f>IF(AND(I.Developer.P3=TRUE,I.Facility.P3FacilityCount&gt;=3694,F18706=""),"Incomplete","Complete")</f>
        <v>Complete</v>
      </c>
      <c r="I18706" s="48" t="s">
        <v>23071</v>
      </c>
    </row>
    <row r="18707" spans="2:9" ht="15" customHeight="1" x14ac:dyDescent="0.25">
      <c r="B18707" s="55" t="s">
        <v>282</v>
      </c>
      <c r="C18707" s="46">
        <v>3695</v>
      </c>
      <c r="D18707" s="69" t="s">
        <v>29419</v>
      </c>
      <c r="E18707" s="51"/>
      <c r="F18707" s="114" t="str">
        <f>IF(INDEX(I.Facility.P3IDNumber,3695)="","",INDEX(I.Facility.P3IDNumber,3695))</f>
        <v/>
      </c>
      <c r="G18707" s="51"/>
      <c r="H18707" s="46" t="str">
        <f>IF(AND(I.Developer.P3=TRUE,I.Facility.P3FacilityCount&gt;=3695,F18707=""),"Incomplete","Complete")</f>
        <v>Complete</v>
      </c>
      <c r="I18707" s="48" t="s">
        <v>23072</v>
      </c>
    </row>
    <row r="18708" spans="2:9" ht="15" customHeight="1" x14ac:dyDescent="0.25">
      <c r="B18708" s="55" t="s">
        <v>282</v>
      </c>
      <c r="C18708" s="46">
        <v>3696</v>
      </c>
      <c r="D18708" s="69" t="s">
        <v>29419</v>
      </c>
      <c r="E18708" s="51"/>
      <c r="F18708" s="114" t="str">
        <f>IF(INDEX(I.Facility.P3IDNumber,3696)="","",INDEX(I.Facility.P3IDNumber,3696))</f>
        <v/>
      </c>
      <c r="G18708" s="51"/>
      <c r="H18708" s="46" t="str">
        <f>IF(AND(I.Developer.P3=TRUE,I.Facility.P3FacilityCount&gt;=3696,F18708=""),"Incomplete","Complete")</f>
        <v>Complete</v>
      </c>
      <c r="I18708" s="48" t="s">
        <v>23073</v>
      </c>
    </row>
    <row r="18709" spans="2:9" ht="15" customHeight="1" x14ac:dyDescent="0.25">
      <c r="B18709" s="55" t="s">
        <v>282</v>
      </c>
      <c r="C18709" s="46">
        <v>3697</v>
      </c>
      <c r="D18709" s="69" t="s">
        <v>29419</v>
      </c>
      <c r="E18709" s="51"/>
      <c r="F18709" s="114" t="str">
        <f>IF(INDEX(I.Facility.P3IDNumber,3697)="","",INDEX(I.Facility.P3IDNumber,3697))</f>
        <v/>
      </c>
      <c r="G18709" s="51"/>
      <c r="H18709" s="46" t="str">
        <f>IF(AND(I.Developer.P3=TRUE,I.Facility.P3FacilityCount&gt;=3697,F18709=""),"Incomplete","Complete")</f>
        <v>Complete</v>
      </c>
      <c r="I18709" s="48" t="s">
        <v>23074</v>
      </c>
    </row>
    <row r="18710" spans="2:9" ht="15" customHeight="1" x14ac:dyDescent="0.25">
      <c r="B18710" s="55" t="s">
        <v>282</v>
      </c>
      <c r="C18710" s="46">
        <v>3698</v>
      </c>
      <c r="D18710" s="69" t="s">
        <v>29419</v>
      </c>
      <c r="E18710" s="51"/>
      <c r="F18710" s="114" t="str">
        <f>IF(INDEX(I.Facility.P3IDNumber,3698)="","",INDEX(I.Facility.P3IDNumber,3698))</f>
        <v/>
      </c>
      <c r="G18710" s="51"/>
      <c r="H18710" s="46" t="str">
        <f>IF(AND(I.Developer.P3=TRUE,I.Facility.P3FacilityCount&gt;=3698,F18710=""),"Incomplete","Complete")</f>
        <v>Complete</v>
      </c>
      <c r="I18710" s="48" t="s">
        <v>23075</v>
      </c>
    </row>
    <row r="18711" spans="2:9" ht="15" customHeight="1" x14ac:dyDescent="0.25">
      <c r="B18711" s="55" t="s">
        <v>282</v>
      </c>
      <c r="C18711" s="46">
        <v>3699</v>
      </c>
      <c r="D18711" s="69" t="s">
        <v>29419</v>
      </c>
      <c r="E18711" s="51"/>
      <c r="F18711" s="114" t="str">
        <f>IF(INDEX(I.Facility.P3IDNumber,3699)="","",INDEX(I.Facility.P3IDNumber,3699))</f>
        <v/>
      </c>
      <c r="G18711" s="51"/>
      <c r="H18711" s="46" t="str">
        <f>IF(AND(I.Developer.P3=TRUE,I.Facility.P3FacilityCount&gt;=3699,F18711=""),"Incomplete","Complete")</f>
        <v>Complete</v>
      </c>
      <c r="I18711" s="48" t="s">
        <v>23076</v>
      </c>
    </row>
    <row r="18712" spans="2:9" ht="15" customHeight="1" x14ac:dyDescent="0.25">
      <c r="B18712" s="55" t="s">
        <v>282</v>
      </c>
      <c r="C18712" s="46">
        <v>3700</v>
      </c>
      <c r="D18712" s="69" t="s">
        <v>29419</v>
      </c>
      <c r="E18712" s="51"/>
      <c r="F18712" s="114" t="str">
        <f>IF(INDEX(I.Facility.P3IDNumber,3700)="","",INDEX(I.Facility.P3IDNumber,3700))</f>
        <v/>
      </c>
      <c r="G18712" s="51"/>
      <c r="H18712" s="46" t="str">
        <f>IF(AND(I.Developer.P3=TRUE,I.Facility.P3FacilityCount&gt;=3700,F18712=""),"Incomplete","Complete")</f>
        <v>Complete</v>
      </c>
      <c r="I18712" s="48" t="s">
        <v>23077</v>
      </c>
    </row>
    <row r="18713" spans="2:9" ht="15" customHeight="1" x14ac:dyDescent="0.25">
      <c r="B18713" s="55" t="s">
        <v>282</v>
      </c>
      <c r="C18713" s="46">
        <v>3701</v>
      </c>
      <c r="D18713" s="69" t="s">
        <v>29419</v>
      </c>
      <c r="E18713" s="51"/>
      <c r="F18713" s="114" t="str">
        <f>IF(INDEX(I.Facility.P3IDNumber,3701)="","",INDEX(I.Facility.P3IDNumber,3701))</f>
        <v/>
      </c>
      <c r="G18713" s="51"/>
      <c r="H18713" s="46" t="str">
        <f>IF(AND(I.Developer.P3=TRUE,I.Facility.P3FacilityCount&gt;=3701,F18713=""),"Incomplete","Complete")</f>
        <v>Complete</v>
      </c>
      <c r="I18713" s="48" t="s">
        <v>23078</v>
      </c>
    </row>
    <row r="18714" spans="2:9" ht="15" customHeight="1" x14ac:dyDescent="0.25">
      <c r="B18714" s="55" t="s">
        <v>282</v>
      </c>
      <c r="C18714" s="46">
        <v>3702</v>
      </c>
      <c r="D18714" s="69" t="s">
        <v>29419</v>
      </c>
      <c r="E18714" s="51"/>
      <c r="F18714" s="114" t="str">
        <f>IF(INDEX(I.Facility.P3IDNumber,3702)="","",INDEX(I.Facility.P3IDNumber,3702))</f>
        <v/>
      </c>
      <c r="G18714" s="51"/>
      <c r="H18714" s="46" t="str">
        <f>IF(AND(I.Developer.P3=TRUE,I.Facility.P3FacilityCount&gt;=3702,F18714=""),"Incomplete","Complete")</f>
        <v>Complete</v>
      </c>
      <c r="I18714" s="48" t="s">
        <v>23079</v>
      </c>
    </row>
    <row r="18715" spans="2:9" ht="15" customHeight="1" x14ac:dyDescent="0.25">
      <c r="B18715" s="55" t="s">
        <v>282</v>
      </c>
      <c r="C18715" s="46">
        <v>3703</v>
      </c>
      <c r="D18715" s="69" t="s">
        <v>29419</v>
      </c>
      <c r="E18715" s="51"/>
      <c r="F18715" s="114" t="str">
        <f>IF(INDEX(I.Facility.P3IDNumber,3703)="","",INDEX(I.Facility.P3IDNumber,3703))</f>
        <v/>
      </c>
      <c r="G18715" s="51"/>
      <c r="H18715" s="46" t="str">
        <f>IF(AND(I.Developer.P3=TRUE,I.Facility.P3FacilityCount&gt;=3703,F18715=""),"Incomplete","Complete")</f>
        <v>Complete</v>
      </c>
      <c r="I18715" s="48" t="s">
        <v>23080</v>
      </c>
    </row>
    <row r="18716" spans="2:9" ht="15" customHeight="1" x14ac:dyDescent="0.25">
      <c r="B18716" s="55" t="s">
        <v>282</v>
      </c>
      <c r="C18716" s="46">
        <v>3704</v>
      </c>
      <c r="D18716" s="69" t="s">
        <v>29419</v>
      </c>
      <c r="E18716" s="51"/>
      <c r="F18716" s="114" t="str">
        <f>IF(INDEX(I.Facility.P3IDNumber,3704)="","",INDEX(I.Facility.P3IDNumber,3704))</f>
        <v/>
      </c>
      <c r="G18716" s="51"/>
      <c r="H18716" s="46" t="str">
        <f>IF(AND(I.Developer.P3=TRUE,I.Facility.P3FacilityCount&gt;=3704,F18716=""),"Incomplete","Complete")</f>
        <v>Complete</v>
      </c>
      <c r="I18716" s="48" t="s">
        <v>23081</v>
      </c>
    </row>
    <row r="18717" spans="2:9" ht="15" customHeight="1" x14ac:dyDescent="0.25">
      <c r="B18717" s="55" t="s">
        <v>282</v>
      </c>
      <c r="C18717" s="46">
        <v>3705</v>
      </c>
      <c r="D18717" s="69" t="s">
        <v>29419</v>
      </c>
      <c r="E18717" s="51"/>
      <c r="F18717" s="114" t="str">
        <f>IF(INDEX(I.Facility.P3IDNumber,3705)="","",INDEX(I.Facility.P3IDNumber,3705))</f>
        <v/>
      </c>
      <c r="G18717" s="51"/>
      <c r="H18717" s="46" t="str">
        <f>IF(AND(I.Developer.P3=TRUE,I.Facility.P3FacilityCount&gt;=3705,F18717=""),"Incomplete","Complete")</f>
        <v>Complete</v>
      </c>
      <c r="I18717" s="48" t="s">
        <v>23082</v>
      </c>
    </row>
    <row r="18718" spans="2:9" ht="15" customHeight="1" x14ac:dyDescent="0.25">
      <c r="B18718" s="55" t="s">
        <v>282</v>
      </c>
      <c r="C18718" s="46">
        <v>3706</v>
      </c>
      <c r="D18718" s="69" t="s">
        <v>29419</v>
      </c>
      <c r="E18718" s="51"/>
      <c r="F18718" s="114" t="str">
        <f>IF(INDEX(I.Facility.P3IDNumber,3706)="","",INDEX(I.Facility.P3IDNumber,3706))</f>
        <v/>
      </c>
      <c r="G18718" s="51"/>
      <c r="H18718" s="46" t="str">
        <f>IF(AND(I.Developer.P3=TRUE,I.Facility.P3FacilityCount&gt;=3706,F18718=""),"Incomplete","Complete")</f>
        <v>Complete</v>
      </c>
      <c r="I18718" s="48" t="s">
        <v>23083</v>
      </c>
    </row>
    <row r="18719" spans="2:9" ht="15" customHeight="1" x14ac:dyDescent="0.25">
      <c r="B18719" s="55" t="s">
        <v>282</v>
      </c>
      <c r="C18719" s="46">
        <v>3707</v>
      </c>
      <c r="D18719" s="69" t="s">
        <v>29419</v>
      </c>
      <c r="E18719" s="51"/>
      <c r="F18719" s="114" t="str">
        <f>IF(INDEX(I.Facility.P3IDNumber,3707)="","",INDEX(I.Facility.P3IDNumber,3707))</f>
        <v/>
      </c>
      <c r="G18719" s="51"/>
      <c r="H18719" s="46" t="str">
        <f>IF(AND(I.Developer.P3=TRUE,I.Facility.P3FacilityCount&gt;=3707,F18719=""),"Incomplete","Complete")</f>
        <v>Complete</v>
      </c>
      <c r="I18719" s="48" t="s">
        <v>23084</v>
      </c>
    </row>
    <row r="18720" spans="2:9" ht="15" customHeight="1" x14ac:dyDescent="0.25">
      <c r="B18720" s="55" t="s">
        <v>282</v>
      </c>
      <c r="C18720" s="46">
        <v>3708</v>
      </c>
      <c r="D18720" s="69" t="s">
        <v>29419</v>
      </c>
      <c r="E18720" s="51"/>
      <c r="F18720" s="114" t="str">
        <f>IF(INDEX(I.Facility.P3IDNumber,3708)="","",INDEX(I.Facility.P3IDNumber,3708))</f>
        <v/>
      </c>
      <c r="G18720" s="51"/>
      <c r="H18720" s="46" t="str">
        <f>IF(AND(I.Developer.P3=TRUE,I.Facility.P3FacilityCount&gt;=3708,F18720=""),"Incomplete","Complete")</f>
        <v>Complete</v>
      </c>
      <c r="I18720" s="48" t="s">
        <v>23085</v>
      </c>
    </row>
    <row r="18721" spans="2:9" ht="15" customHeight="1" x14ac:dyDescent="0.25">
      <c r="B18721" s="55" t="s">
        <v>282</v>
      </c>
      <c r="C18721" s="46">
        <v>3709</v>
      </c>
      <c r="D18721" s="69" t="s">
        <v>29419</v>
      </c>
      <c r="E18721" s="51"/>
      <c r="F18721" s="114" t="str">
        <f>IF(INDEX(I.Facility.P3IDNumber,3709)="","",INDEX(I.Facility.P3IDNumber,3709))</f>
        <v/>
      </c>
      <c r="G18721" s="51"/>
      <c r="H18721" s="46" t="str">
        <f>IF(AND(I.Developer.P3=TRUE,I.Facility.P3FacilityCount&gt;=3709,F18721=""),"Incomplete","Complete")</f>
        <v>Complete</v>
      </c>
      <c r="I18721" s="48" t="s">
        <v>23086</v>
      </c>
    </row>
    <row r="18722" spans="2:9" ht="15" customHeight="1" x14ac:dyDescent="0.25">
      <c r="B18722" s="55" t="s">
        <v>282</v>
      </c>
      <c r="C18722" s="46">
        <v>3710</v>
      </c>
      <c r="D18722" s="69" t="s">
        <v>29419</v>
      </c>
      <c r="E18722" s="51"/>
      <c r="F18722" s="114" t="str">
        <f>IF(INDEX(I.Facility.P3IDNumber,3710)="","",INDEX(I.Facility.P3IDNumber,3710))</f>
        <v/>
      </c>
      <c r="G18722" s="51"/>
      <c r="H18722" s="46" t="str">
        <f>IF(AND(I.Developer.P3=TRUE,I.Facility.P3FacilityCount&gt;=3710,F18722=""),"Incomplete","Complete")</f>
        <v>Complete</v>
      </c>
      <c r="I18722" s="48" t="s">
        <v>23087</v>
      </c>
    </row>
    <row r="18723" spans="2:9" ht="15" customHeight="1" x14ac:dyDescent="0.25">
      <c r="B18723" s="55" t="s">
        <v>282</v>
      </c>
      <c r="C18723" s="46">
        <v>3711</v>
      </c>
      <c r="D18723" s="69" t="s">
        <v>29419</v>
      </c>
      <c r="E18723" s="51"/>
      <c r="F18723" s="114" t="str">
        <f>IF(INDEX(I.Facility.P3IDNumber,3711)="","",INDEX(I.Facility.P3IDNumber,3711))</f>
        <v/>
      </c>
      <c r="G18723" s="51"/>
      <c r="H18723" s="46" t="str">
        <f>IF(AND(I.Developer.P3=TRUE,I.Facility.P3FacilityCount&gt;=3711,F18723=""),"Incomplete","Complete")</f>
        <v>Complete</v>
      </c>
      <c r="I18723" s="48" t="s">
        <v>23088</v>
      </c>
    </row>
    <row r="18724" spans="2:9" ht="15" customHeight="1" x14ac:dyDescent="0.25">
      <c r="B18724" s="55" t="s">
        <v>282</v>
      </c>
      <c r="C18724" s="46">
        <v>3712</v>
      </c>
      <c r="D18724" s="69" t="s">
        <v>29419</v>
      </c>
      <c r="E18724" s="51"/>
      <c r="F18724" s="114" t="str">
        <f>IF(INDEX(I.Facility.P3IDNumber,3712)="","",INDEX(I.Facility.P3IDNumber,3712))</f>
        <v/>
      </c>
      <c r="G18724" s="51"/>
      <c r="H18724" s="46" t="str">
        <f>IF(AND(I.Developer.P3=TRUE,I.Facility.P3FacilityCount&gt;=3712,F18724=""),"Incomplete","Complete")</f>
        <v>Complete</v>
      </c>
      <c r="I18724" s="48" t="s">
        <v>23089</v>
      </c>
    </row>
    <row r="18725" spans="2:9" ht="15" customHeight="1" x14ac:dyDescent="0.25">
      <c r="B18725" s="55" t="s">
        <v>282</v>
      </c>
      <c r="C18725" s="46">
        <v>3713</v>
      </c>
      <c r="D18725" s="69" t="s">
        <v>29419</v>
      </c>
      <c r="E18725" s="51"/>
      <c r="F18725" s="114" t="str">
        <f>IF(INDEX(I.Facility.P3IDNumber,3713)="","",INDEX(I.Facility.P3IDNumber,3713))</f>
        <v/>
      </c>
      <c r="G18725" s="51"/>
      <c r="H18725" s="46" t="str">
        <f>IF(AND(I.Developer.P3=TRUE,I.Facility.P3FacilityCount&gt;=3713,F18725=""),"Incomplete","Complete")</f>
        <v>Complete</v>
      </c>
      <c r="I18725" s="48" t="s">
        <v>23090</v>
      </c>
    </row>
    <row r="18726" spans="2:9" ht="15" customHeight="1" x14ac:dyDescent="0.25">
      <c r="B18726" s="55" t="s">
        <v>282</v>
      </c>
      <c r="C18726" s="46">
        <v>3714</v>
      </c>
      <c r="D18726" s="69" t="s">
        <v>29419</v>
      </c>
      <c r="E18726" s="51"/>
      <c r="F18726" s="114" t="str">
        <f>IF(INDEX(I.Facility.P3IDNumber,3714)="","",INDEX(I.Facility.P3IDNumber,3714))</f>
        <v/>
      </c>
      <c r="G18726" s="51"/>
      <c r="H18726" s="46" t="str">
        <f>IF(AND(I.Developer.P3=TRUE,I.Facility.P3FacilityCount&gt;=3714,F18726=""),"Incomplete","Complete")</f>
        <v>Complete</v>
      </c>
      <c r="I18726" s="48" t="s">
        <v>23091</v>
      </c>
    </row>
    <row r="18727" spans="2:9" ht="15" customHeight="1" x14ac:dyDescent="0.25">
      <c r="B18727" s="55" t="s">
        <v>282</v>
      </c>
      <c r="C18727" s="46">
        <v>3715</v>
      </c>
      <c r="D18727" s="69" t="s">
        <v>29419</v>
      </c>
      <c r="E18727" s="51"/>
      <c r="F18727" s="114" t="str">
        <f>IF(INDEX(I.Facility.P3IDNumber,3715)="","",INDEX(I.Facility.P3IDNumber,3715))</f>
        <v/>
      </c>
      <c r="G18727" s="51"/>
      <c r="H18727" s="46" t="str">
        <f>IF(AND(I.Developer.P3=TRUE,I.Facility.P3FacilityCount&gt;=3715,F18727=""),"Incomplete","Complete")</f>
        <v>Complete</v>
      </c>
      <c r="I18727" s="48" t="s">
        <v>23092</v>
      </c>
    </row>
    <row r="18728" spans="2:9" ht="15" customHeight="1" x14ac:dyDescent="0.25">
      <c r="B18728" s="55" t="s">
        <v>282</v>
      </c>
      <c r="C18728" s="46">
        <v>3716</v>
      </c>
      <c r="D18728" s="69" t="s">
        <v>29419</v>
      </c>
      <c r="E18728" s="51"/>
      <c r="F18728" s="114" t="str">
        <f>IF(INDEX(I.Facility.P3IDNumber,3716)="","",INDEX(I.Facility.P3IDNumber,3716))</f>
        <v/>
      </c>
      <c r="G18728" s="51"/>
      <c r="H18728" s="46" t="str">
        <f>IF(AND(I.Developer.P3=TRUE,I.Facility.P3FacilityCount&gt;=3716,F18728=""),"Incomplete","Complete")</f>
        <v>Complete</v>
      </c>
      <c r="I18728" s="48" t="s">
        <v>23093</v>
      </c>
    </row>
    <row r="18729" spans="2:9" ht="15" customHeight="1" x14ac:dyDescent="0.25">
      <c r="B18729" s="55" t="s">
        <v>282</v>
      </c>
      <c r="C18729" s="46">
        <v>3717</v>
      </c>
      <c r="D18729" s="69" t="s">
        <v>29419</v>
      </c>
      <c r="E18729" s="51"/>
      <c r="F18729" s="114" t="str">
        <f>IF(INDEX(I.Facility.P3IDNumber,3717)="","",INDEX(I.Facility.P3IDNumber,3717))</f>
        <v/>
      </c>
      <c r="G18729" s="51"/>
      <c r="H18729" s="46" t="str">
        <f>IF(AND(I.Developer.P3=TRUE,I.Facility.P3FacilityCount&gt;=3717,F18729=""),"Incomplete","Complete")</f>
        <v>Complete</v>
      </c>
      <c r="I18729" s="48" t="s">
        <v>23094</v>
      </c>
    </row>
    <row r="18730" spans="2:9" ht="15" customHeight="1" x14ac:dyDescent="0.25">
      <c r="B18730" s="55" t="s">
        <v>282</v>
      </c>
      <c r="C18730" s="46">
        <v>3718</v>
      </c>
      <c r="D18730" s="69" t="s">
        <v>29419</v>
      </c>
      <c r="E18730" s="51"/>
      <c r="F18730" s="114" t="str">
        <f>IF(INDEX(I.Facility.P3IDNumber,3718)="","",INDEX(I.Facility.P3IDNumber,3718))</f>
        <v/>
      </c>
      <c r="G18730" s="51"/>
      <c r="H18730" s="46" t="str">
        <f>IF(AND(I.Developer.P3=TRUE,I.Facility.P3FacilityCount&gt;=3718,F18730=""),"Incomplete","Complete")</f>
        <v>Complete</v>
      </c>
      <c r="I18730" s="48" t="s">
        <v>23095</v>
      </c>
    </row>
    <row r="18731" spans="2:9" ht="15" customHeight="1" x14ac:dyDescent="0.25">
      <c r="B18731" s="55" t="s">
        <v>282</v>
      </c>
      <c r="C18731" s="46">
        <v>3719</v>
      </c>
      <c r="D18731" s="69" t="s">
        <v>29419</v>
      </c>
      <c r="E18731" s="51"/>
      <c r="F18731" s="114" t="str">
        <f>IF(INDEX(I.Facility.P3IDNumber,3719)="","",INDEX(I.Facility.P3IDNumber,3719))</f>
        <v/>
      </c>
      <c r="G18731" s="51"/>
      <c r="H18731" s="46" t="str">
        <f>IF(AND(I.Developer.P3=TRUE,I.Facility.P3FacilityCount&gt;=3719,F18731=""),"Incomplete","Complete")</f>
        <v>Complete</v>
      </c>
      <c r="I18731" s="48" t="s">
        <v>23096</v>
      </c>
    </row>
    <row r="18732" spans="2:9" ht="15" customHeight="1" x14ac:dyDescent="0.25">
      <c r="B18732" s="55" t="s">
        <v>282</v>
      </c>
      <c r="C18732" s="46">
        <v>3720</v>
      </c>
      <c r="D18732" s="69" t="s">
        <v>29419</v>
      </c>
      <c r="E18732" s="51"/>
      <c r="F18732" s="114" t="str">
        <f>IF(INDEX(I.Facility.P3IDNumber,3720)="","",INDEX(I.Facility.P3IDNumber,3720))</f>
        <v/>
      </c>
      <c r="G18732" s="51"/>
      <c r="H18732" s="46" t="str">
        <f>IF(AND(I.Developer.P3=TRUE,I.Facility.P3FacilityCount&gt;=3720,F18732=""),"Incomplete","Complete")</f>
        <v>Complete</v>
      </c>
      <c r="I18732" s="48" t="s">
        <v>23097</v>
      </c>
    </row>
    <row r="18733" spans="2:9" ht="15" customHeight="1" x14ac:dyDescent="0.25">
      <c r="B18733" s="55" t="s">
        <v>282</v>
      </c>
      <c r="C18733" s="46">
        <v>3721</v>
      </c>
      <c r="D18733" s="69" t="s">
        <v>29419</v>
      </c>
      <c r="E18733" s="51"/>
      <c r="F18733" s="114" t="str">
        <f>IF(INDEX(I.Facility.P3IDNumber,3721)="","",INDEX(I.Facility.P3IDNumber,3721))</f>
        <v/>
      </c>
      <c r="G18733" s="51"/>
      <c r="H18733" s="46" t="str">
        <f>IF(AND(I.Developer.P3=TRUE,I.Facility.P3FacilityCount&gt;=3721,F18733=""),"Incomplete","Complete")</f>
        <v>Complete</v>
      </c>
      <c r="I18733" s="48" t="s">
        <v>23098</v>
      </c>
    </row>
    <row r="18734" spans="2:9" ht="15" customHeight="1" x14ac:dyDescent="0.25">
      <c r="B18734" s="55" t="s">
        <v>282</v>
      </c>
      <c r="C18734" s="46">
        <v>3722</v>
      </c>
      <c r="D18734" s="69" t="s">
        <v>29419</v>
      </c>
      <c r="E18734" s="51"/>
      <c r="F18734" s="114" t="str">
        <f>IF(INDEX(I.Facility.P3IDNumber,3722)="","",INDEX(I.Facility.P3IDNumber,3722))</f>
        <v/>
      </c>
      <c r="G18734" s="51"/>
      <c r="H18734" s="46" t="str">
        <f>IF(AND(I.Developer.P3=TRUE,I.Facility.P3FacilityCount&gt;=3722,F18734=""),"Incomplete","Complete")</f>
        <v>Complete</v>
      </c>
      <c r="I18734" s="48" t="s">
        <v>23099</v>
      </c>
    </row>
    <row r="18735" spans="2:9" ht="15" customHeight="1" x14ac:dyDescent="0.25">
      <c r="B18735" s="55" t="s">
        <v>282</v>
      </c>
      <c r="C18735" s="46">
        <v>3723</v>
      </c>
      <c r="D18735" s="69" t="s">
        <v>29419</v>
      </c>
      <c r="E18735" s="51"/>
      <c r="F18735" s="114" t="str">
        <f>IF(INDEX(I.Facility.P3IDNumber,3723)="","",INDEX(I.Facility.P3IDNumber,3723))</f>
        <v/>
      </c>
      <c r="G18735" s="51"/>
      <c r="H18735" s="46" t="str">
        <f>IF(AND(I.Developer.P3=TRUE,I.Facility.P3FacilityCount&gt;=3723,F18735=""),"Incomplete","Complete")</f>
        <v>Complete</v>
      </c>
      <c r="I18735" s="48" t="s">
        <v>23100</v>
      </c>
    </row>
    <row r="18736" spans="2:9" ht="15" customHeight="1" x14ac:dyDescent="0.25">
      <c r="B18736" s="55" t="s">
        <v>282</v>
      </c>
      <c r="C18736" s="46">
        <v>3724</v>
      </c>
      <c r="D18736" s="69" t="s">
        <v>29419</v>
      </c>
      <c r="E18736" s="51"/>
      <c r="F18736" s="114" t="str">
        <f>IF(INDEX(I.Facility.P3IDNumber,3724)="","",INDEX(I.Facility.P3IDNumber,3724))</f>
        <v/>
      </c>
      <c r="G18736" s="51"/>
      <c r="H18736" s="46" t="str">
        <f>IF(AND(I.Developer.P3=TRUE,I.Facility.P3FacilityCount&gt;=3724,F18736=""),"Incomplete","Complete")</f>
        <v>Complete</v>
      </c>
      <c r="I18736" s="48" t="s">
        <v>23101</v>
      </c>
    </row>
    <row r="18737" spans="2:9" ht="15" customHeight="1" x14ac:dyDescent="0.25">
      <c r="B18737" s="55" t="s">
        <v>282</v>
      </c>
      <c r="C18737" s="46">
        <v>3725</v>
      </c>
      <c r="D18737" s="69" t="s">
        <v>29419</v>
      </c>
      <c r="E18737" s="51"/>
      <c r="F18737" s="114" t="str">
        <f>IF(INDEX(I.Facility.P3IDNumber,3725)="","",INDEX(I.Facility.P3IDNumber,3725))</f>
        <v/>
      </c>
      <c r="G18737" s="51"/>
      <c r="H18737" s="46" t="str">
        <f>IF(AND(I.Developer.P3=TRUE,I.Facility.P3FacilityCount&gt;=3725,F18737=""),"Incomplete","Complete")</f>
        <v>Complete</v>
      </c>
      <c r="I18737" s="48" t="s">
        <v>23102</v>
      </c>
    </row>
    <row r="18738" spans="2:9" ht="15" customHeight="1" x14ac:dyDescent="0.25">
      <c r="B18738" s="55" t="s">
        <v>282</v>
      </c>
      <c r="C18738" s="46">
        <v>3726</v>
      </c>
      <c r="D18738" s="69" t="s">
        <v>29419</v>
      </c>
      <c r="E18738" s="51"/>
      <c r="F18738" s="114" t="str">
        <f>IF(INDEX(I.Facility.P3IDNumber,3726)="","",INDEX(I.Facility.P3IDNumber,3726))</f>
        <v/>
      </c>
      <c r="G18738" s="51"/>
      <c r="H18738" s="46" t="str">
        <f>IF(AND(I.Developer.P3=TRUE,I.Facility.P3FacilityCount&gt;=3726,F18738=""),"Incomplete","Complete")</f>
        <v>Complete</v>
      </c>
      <c r="I18738" s="48" t="s">
        <v>23103</v>
      </c>
    </row>
    <row r="18739" spans="2:9" ht="15" customHeight="1" x14ac:dyDescent="0.25">
      <c r="B18739" s="55" t="s">
        <v>282</v>
      </c>
      <c r="C18739" s="46">
        <v>3727</v>
      </c>
      <c r="D18739" s="69" t="s">
        <v>29419</v>
      </c>
      <c r="E18739" s="51"/>
      <c r="F18739" s="114" t="str">
        <f>IF(INDEX(I.Facility.P3IDNumber,3727)="","",INDEX(I.Facility.P3IDNumber,3727))</f>
        <v/>
      </c>
      <c r="G18739" s="51"/>
      <c r="H18739" s="46" t="str">
        <f>IF(AND(I.Developer.P3=TRUE,I.Facility.P3FacilityCount&gt;=3727,F18739=""),"Incomplete","Complete")</f>
        <v>Complete</v>
      </c>
      <c r="I18739" s="48" t="s">
        <v>23104</v>
      </c>
    </row>
    <row r="18740" spans="2:9" ht="15" customHeight="1" x14ac:dyDescent="0.25">
      <c r="B18740" s="55" t="s">
        <v>282</v>
      </c>
      <c r="C18740" s="46">
        <v>3728</v>
      </c>
      <c r="D18740" s="69" t="s">
        <v>29419</v>
      </c>
      <c r="E18740" s="51"/>
      <c r="F18740" s="114" t="str">
        <f>IF(INDEX(I.Facility.P3IDNumber,3728)="","",INDEX(I.Facility.P3IDNumber,3728))</f>
        <v/>
      </c>
      <c r="G18740" s="51"/>
      <c r="H18740" s="46" t="str">
        <f>IF(AND(I.Developer.P3=TRUE,I.Facility.P3FacilityCount&gt;=3728,F18740=""),"Incomplete","Complete")</f>
        <v>Complete</v>
      </c>
      <c r="I18740" s="48" t="s">
        <v>23105</v>
      </c>
    </row>
    <row r="18741" spans="2:9" ht="15" customHeight="1" x14ac:dyDescent="0.25">
      <c r="B18741" s="55" t="s">
        <v>282</v>
      </c>
      <c r="C18741" s="46">
        <v>3729</v>
      </c>
      <c r="D18741" s="69" t="s">
        <v>29419</v>
      </c>
      <c r="E18741" s="51"/>
      <c r="F18741" s="114" t="str">
        <f>IF(INDEX(I.Facility.P3IDNumber,3729)="","",INDEX(I.Facility.P3IDNumber,3729))</f>
        <v/>
      </c>
      <c r="G18741" s="51"/>
      <c r="H18741" s="46" t="str">
        <f>IF(AND(I.Developer.P3=TRUE,I.Facility.P3FacilityCount&gt;=3729,F18741=""),"Incomplete","Complete")</f>
        <v>Complete</v>
      </c>
      <c r="I18741" s="48" t="s">
        <v>23106</v>
      </c>
    </row>
    <row r="18742" spans="2:9" ht="15" customHeight="1" x14ac:dyDescent="0.25">
      <c r="B18742" s="55" t="s">
        <v>282</v>
      </c>
      <c r="C18742" s="46">
        <v>3730</v>
      </c>
      <c r="D18742" s="69" t="s">
        <v>29419</v>
      </c>
      <c r="E18742" s="51"/>
      <c r="F18742" s="114" t="str">
        <f>IF(INDEX(I.Facility.P3IDNumber,3730)="","",INDEX(I.Facility.P3IDNumber,3730))</f>
        <v/>
      </c>
      <c r="G18742" s="51"/>
      <c r="H18742" s="46" t="str">
        <f>IF(AND(I.Developer.P3=TRUE,I.Facility.P3FacilityCount&gt;=3730,F18742=""),"Incomplete","Complete")</f>
        <v>Complete</v>
      </c>
      <c r="I18742" s="48" t="s">
        <v>23107</v>
      </c>
    </row>
    <row r="18743" spans="2:9" ht="15" customHeight="1" x14ac:dyDescent="0.25">
      <c r="B18743" s="55" t="s">
        <v>282</v>
      </c>
      <c r="C18743" s="46">
        <v>3731</v>
      </c>
      <c r="D18743" s="69" t="s">
        <v>29419</v>
      </c>
      <c r="E18743" s="51"/>
      <c r="F18743" s="114" t="str">
        <f>IF(INDEX(I.Facility.P3IDNumber,3731)="","",INDEX(I.Facility.P3IDNumber,3731))</f>
        <v/>
      </c>
      <c r="G18743" s="51"/>
      <c r="H18743" s="46" t="str">
        <f>IF(AND(I.Developer.P3=TRUE,I.Facility.P3FacilityCount&gt;=3731,F18743=""),"Incomplete","Complete")</f>
        <v>Complete</v>
      </c>
      <c r="I18743" s="48" t="s">
        <v>23108</v>
      </c>
    </row>
    <row r="18744" spans="2:9" ht="15" customHeight="1" x14ac:dyDescent="0.25">
      <c r="B18744" s="55" t="s">
        <v>282</v>
      </c>
      <c r="C18744" s="46">
        <v>3732</v>
      </c>
      <c r="D18744" s="69" t="s">
        <v>29419</v>
      </c>
      <c r="E18744" s="51"/>
      <c r="F18744" s="114" t="str">
        <f>IF(INDEX(I.Facility.P3IDNumber,3732)="","",INDEX(I.Facility.P3IDNumber,3732))</f>
        <v/>
      </c>
      <c r="G18744" s="51"/>
      <c r="H18744" s="46" t="str">
        <f>IF(AND(I.Developer.P3=TRUE,I.Facility.P3FacilityCount&gt;=3732,F18744=""),"Incomplete","Complete")</f>
        <v>Complete</v>
      </c>
      <c r="I18744" s="48" t="s">
        <v>23109</v>
      </c>
    </row>
    <row r="18745" spans="2:9" ht="15" customHeight="1" x14ac:dyDescent="0.25">
      <c r="B18745" s="55" t="s">
        <v>282</v>
      </c>
      <c r="C18745" s="46">
        <v>3733</v>
      </c>
      <c r="D18745" s="69" t="s">
        <v>29419</v>
      </c>
      <c r="E18745" s="51"/>
      <c r="F18745" s="114" t="str">
        <f>IF(INDEX(I.Facility.P3IDNumber,3733)="","",INDEX(I.Facility.P3IDNumber,3733))</f>
        <v/>
      </c>
      <c r="G18745" s="51"/>
      <c r="H18745" s="46" t="str">
        <f>IF(AND(I.Developer.P3=TRUE,I.Facility.P3FacilityCount&gt;=3733,F18745=""),"Incomplete","Complete")</f>
        <v>Complete</v>
      </c>
      <c r="I18745" s="48" t="s">
        <v>23110</v>
      </c>
    </row>
    <row r="18746" spans="2:9" ht="15" customHeight="1" x14ac:dyDescent="0.25">
      <c r="B18746" s="55" t="s">
        <v>282</v>
      </c>
      <c r="C18746" s="46">
        <v>3734</v>
      </c>
      <c r="D18746" s="69" t="s">
        <v>29419</v>
      </c>
      <c r="E18746" s="51"/>
      <c r="F18746" s="114" t="str">
        <f>IF(INDEX(I.Facility.P3IDNumber,3734)="","",INDEX(I.Facility.P3IDNumber,3734))</f>
        <v/>
      </c>
      <c r="G18746" s="51"/>
      <c r="H18746" s="46" t="str">
        <f>IF(AND(I.Developer.P3=TRUE,I.Facility.P3FacilityCount&gt;=3734,F18746=""),"Incomplete","Complete")</f>
        <v>Complete</v>
      </c>
      <c r="I18746" s="48" t="s">
        <v>23111</v>
      </c>
    </row>
    <row r="18747" spans="2:9" ht="15" customHeight="1" x14ac:dyDescent="0.25">
      <c r="B18747" s="55" t="s">
        <v>282</v>
      </c>
      <c r="C18747" s="46">
        <v>3735</v>
      </c>
      <c r="D18747" s="69" t="s">
        <v>29419</v>
      </c>
      <c r="E18747" s="51"/>
      <c r="F18747" s="114" t="str">
        <f>IF(INDEX(I.Facility.P3IDNumber,3735)="","",INDEX(I.Facility.P3IDNumber,3735))</f>
        <v/>
      </c>
      <c r="G18747" s="51"/>
      <c r="H18747" s="46" t="str">
        <f>IF(AND(I.Developer.P3=TRUE,I.Facility.P3FacilityCount&gt;=3735,F18747=""),"Incomplete","Complete")</f>
        <v>Complete</v>
      </c>
      <c r="I18747" s="48" t="s">
        <v>23112</v>
      </c>
    </row>
    <row r="18748" spans="2:9" ht="15" customHeight="1" x14ac:dyDescent="0.25">
      <c r="B18748" s="55" t="s">
        <v>282</v>
      </c>
      <c r="C18748" s="46">
        <v>3736</v>
      </c>
      <c r="D18748" s="69" t="s">
        <v>29419</v>
      </c>
      <c r="E18748" s="51"/>
      <c r="F18748" s="114" t="str">
        <f>IF(INDEX(I.Facility.P3IDNumber,3736)="","",INDEX(I.Facility.P3IDNumber,3736))</f>
        <v/>
      </c>
      <c r="G18748" s="51"/>
      <c r="H18748" s="46" t="str">
        <f>IF(AND(I.Developer.P3=TRUE,I.Facility.P3FacilityCount&gt;=3736,F18748=""),"Incomplete","Complete")</f>
        <v>Complete</v>
      </c>
      <c r="I18748" s="48" t="s">
        <v>23113</v>
      </c>
    </row>
    <row r="18749" spans="2:9" ht="15" customHeight="1" x14ac:dyDescent="0.25">
      <c r="B18749" s="55" t="s">
        <v>282</v>
      </c>
      <c r="C18749" s="46">
        <v>3737</v>
      </c>
      <c r="D18749" s="69" t="s">
        <v>29419</v>
      </c>
      <c r="E18749" s="51"/>
      <c r="F18749" s="114" t="str">
        <f>IF(INDEX(I.Facility.P3IDNumber,3737)="","",INDEX(I.Facility.P3IDNumber,3737))</f>
        <v/>
      </c>
      <c r="G18749" s="51"/>
      <c r="H18749" s="46" t="str">
        <f>IF(AND(I.Developer.P3=TRUE,I.Facility.P3FacilityCount&gt;=3737,F18749=""),"Incomplete","Complete")</f>
        <v>Complete</v>
      </c>
      <c r="I18749" s="48" t="s">
        <v>23114</v>
      </c>
    </row>
    <row r="18750" spans="2:9" ht="15" customHeight="1" x14ac:dyDescent="0.25">
      <c r="B18750" s="55" t="s">
        <v>282</v>
      </c>
      <c r="C18750" s="46">
        <v>3738</v>
      </c>
      <c r="D18750" s="69" t="s">
        <v>29419</v>
      </c>
      <c r="E18750" s="51"/>
      <c r="F18750" s="114" t="str">
        <f>IF(INDEX(I.Facility.P3IDNumber,3738)="","",INDEX(I.Facility.P3IDNumber,3738))</f>
        <v/>
      </c>
      <c r="G18750" s="51"/>
      <c r="H18750" s="46" t="str">
        <f>IF(AND(I.Developer.P3=TRUE,I.Facility.P3FacilityCount&gt;=3738,F18750=""),"Incomplete","Complete")</f>
        <v>Complete</v>
      </c>
      <c r="I18750" s="48" t="s">
        <v>23115</v>
      </c>
    </row>
    <row r="18751" spans="2:9" ht="15" customHeight="1" x14ac:dyDescent="0.25">
      <c r="B18751" s="55" t="s">
        <v>282</v>
      </c>
      <c r="C18751" s="46">
        <v>3739</v>
      </c>
      <c r="D18751" s="69" t="s">
        <v>29419</v>
      </c>
      <c r="E18751" s="51"/>
      <c r="F18751" s="114" t="str">
        <f>IF(INDEX(I.Facility.P3IDNumber,3739)="","",INDEX(I.Facility.P3IDNumber,3739))</f>
        <v/>
      </c>
      <c r="G18751" s="51"/>
      <c r="H18751" s="46" t="str">
        <f>IF(AND(I.Developer.P3=TRUE,I.Facility.P3FacilityCount&gt;=3739,F18751=""),"Incomplete","Complete")</f>
        <v>Complete</v>
      </c>
      <c r="I18751" s="48" t="s">
        <v>23116</v>
      </c>
    </row>
    <row r="18752" spans="2:9" ht="15" customHeight="1" x14ac:dyDescent="0.25">
      <c r="B18752" s="55" t="s">
        <v>282</v>
      </c>
      <c r="C18752" s="46">
        <v>3740</v>
      </c>
      <c r="D18752" s="69" t="s">
        <v>29419</v>
      </c>
      <c r="E18752" s="51"/>
      <c r="F18752" s="114" t="str">
        <f>IF(INDEX(I.Facility.P3IDNumber,3740)="","",INDEX(I.Facility.P3IDNumber,3740))</f>
        <v/>
      </c>
      <c r="G18752" s="51"/>
      <c r="H18752" s="46" t="str">
        <f>IF(AND(I.Developer.P3=TRUE,I.Facility.P3FacilityCount&gt;=3740,F18752=""),"Incomplete","Complete")</f>
        <v>Complete</v>
      </c>
      <c r="I18752" s="48" t="s">
        <v>23117</v>
      </c>
    </row>
    <row r="18753" spans="2:9" ht="15" customHeight="1" x14ac:dyDescent="0.25">
      <c r="B18753" s="55" t="s">
        <v>282</v>
      </c>
      <c r="C18753" s="46">
        <v>3741</v>
      </c>
      <c r="D18753" s="69" t="s">
        <v>29419</v>
      </c>
      <c r="E18753" s="51"/>
      <c r="F18753" s="114" t="str">
        <f>IF(INDEX(I.Facility.P3IDNumber,3741)="","",INDEX(I.Facility.P3IDNumber,3741))</f>
        <v/>
      </c>
      <c r="G18753" s="51"/>
      <c r="H18753" s="46" t="str">
        <f>IF(AND(I.Developer.P3=TRUE,I.Facility.P3FacilityCount&gt;=3741,F18753=""),"Incomplete","Complete")</f>
        <v>Complete</v>
      </c>
      <c r="I18753" s="48" t="s">
        <v>23118</v>
      </c>
    </row>
    <row r="18754" spans="2:9" ht="15" customHeight="1" x14ac:dyDescent="0.25">
      <c r="B18754" s="55" t="s">
        <v>282</v>
      </c>
      <c r="C18754" s="46">
        <v>3742</v>
      </c>
      <c r="D18754" s="69" t="s">
        <v>29419</v>
      </c>
      <c r="E18754" s="51"/>
      <c r="F18754" s="114" t="str">
        <f>IF(INDEX(I.Facility.P3IDNumber,3742)="","",INDEX(I.Facility.P3IDNumber,3742))</f>
        <v/>
      </c>
      <c r="G18754" s="51"/>
      <c r="H18754" s="46" t="str">
        <f>IF(AND(I.Developer.P3=TRUE,I.Facility.P3FacilityCount&gt;=3742,F18754=""),"Incomplete","Complete")</f>
        <v>Complete</v>
      </c>
      <c r="I18754" s="48" t="s">
        <v>23119</v>
      </c>
    </row>
    <row r="18755" spans="2:9" ht="15" customHeight="1" x14ac:dyDescent="0.25">
      <c r="B18755" s="55" t="s">
        <v>282</v>
      </c>
      <c r="C18755" s="46">
        <v>3743</v>
      </c>
      <c r="D18755" s="69" t="s">
        <v>29419</v>
      </c>
      <c r="E18755" s="51"/>
      <c r="F18755" s="114" t="str">
        <f>IF(INDEX(I.Facility.P3IDNumber,3743)="","",INDEX(I.Facility.P3IDNumber,3743))</f>
        <v/>
      </c>
      <c r="G18755" s="51"/>
      <c r="H18755" s="46" t="str">
        <f>IF(AND(I.Developer.P3=TRUE,I.Facility.P3FacilityCount&gt;=3743,F18755=""),"Incomplete","Complete")</f>
        <v>Complete</v>
      </c>
      <c r="I18755" s="48" t="s">
        <v>23120</v>
      </c>
    </row>
    <row r="18756" spans="2:9" ht="15" customHeight="1" x14ac:dyDescent="0.25">
      <c r="B18756" s="55" t="s">
        <v>282</v>
      </c>
      <c r="C18756" s="46">
        <v>3744</v>
      </c>
      <c r="D18756" s="69" t="s">
        <v>29419</v>
      </c>
      <c r="E18756" s="51"/>
      <c r="F18756" s="114" t="str">
        <f>IF(INDEX(I.Facility.P3IDNumber,3744)="","",INDEX(I.Facility.P3IDNumber,3744))</f>
        <v/>
      </c>
      <c r="G18756" s="51"/>
      <c r="H18756" s="46" t="str">
        <f>IF(AND(I.Developer.P3=TRUE,I.Facility.P3FacilityCount&gt;=3744,F18756=""),"Incomplete","Complete")</f>
        <v>Complete</v>
      </c>
      <c r="I18756" s="48" t="s">
        <v>23121</v>
      </c>
    </row>
    <row r="18757" spans="2:9" ht="15" customHeight="1" x14ac:dyDescent="0.25">
      <c r="B18757" s="55" t="s">
        <v>282</v>
      </c>
      <c r="C18757" s="46">
        <v>3745</v>
      </c>
      <c r="D18757" s="69" t="s">
        <v>29419</v>
      </c>
      <c r="E18757" s="51"/>
      <c r="F18757" s="114" t="str">
        <f>IF(INDEX(I.Facility.P3IDNumber,3745)="","",INDEX(I.Facility.P3IDNumber,3745))</f>
        <v/>
      </c>
      <c r="G18757" s="51"/>
      <c r="H18757" s="46" t="str">
        <f>IF(AND(I.Developer.P3=TRUE,I.Facility.P3FacilityCount&gt;=3745,F18757=""),"Incomplete","Complete")</f>
        <v>Complete</v>
      </c>
      <c r="I18757" s="48" t="s">
        <v>23122</v>
      </c>
    </row>
    <row r="18758" spans="2:9" ht="15" customHeight="1" x14ac:dyDescent="0.25">
      <c r="B18758" s="55" t="s">
        <v>282</v>
      </c>
      <c r="C18758" s="46">
        <v>3746</v>
      </c>
      <c r="D18758" s="69" t="s">
        <v>29419</v>
      </c>
      <c r="E18758" s="51"/>
      <c r="F18758" s="114" t="str">
        <f>IF(INDEX(I.Facility.P3IDNumber,3746)="","",INDEX(I.Facility.P3IDNumber,3746))</f>
        <v/>
      </c>
      <c r="G18758" s="51"/>
      <c r="H18758" s="46" t="str">
        <f>IF(AND(I.Developer.P3=TRUE,I.Facility.P3FacilityCount&gt;=3746,F18758=""),"Incomplete","Complete")</f>
        <v>Complete</v>
      </c>
      <c r="I18758" s="48" t="s">
        <v>23123</v>
      </c>
    </row>
    <row r="18759" spans="2:9" ht="15" customHeight="1" x14ac:dyDescent="0.25">
      <c r="B18759" s="55" t="s">
        <v>282</v>
      </c>
      <c r="C18759" s="46">
        <v>3747</v>
      </c>
      <c r="D18759" s="69" t="s">
        <v>29419</v>
      </c>
      <c r="E18759" s="51"/>
      <c r="F18759" s="114" t="str">
        <f>IF(INDEX(I.Facility.P3IDNumber,3747)="","",INDEX(I.Facility.P3IDNumber,3747))</f>
        <v/>
      </c>
      <c r="G18759" s="51"/>
      <c r="H18759" s="46" t="str">
        <f>IF(AND(I.Developer.P3=TRUE,I.Facility.P3FacilityCount&gt;=3747,F18759=""),"Incomplete","Complete")</f>
        <v>Complete</v>
      </c>
      <c r="I18759" s="48" t="s">
        <v>23124</v>
      </c>
    </row>
    <row r="18760" spans="2:9" ht="15" customHeight="1" x14ac:dyDescent="0.25">
      <c r="B18760" s="55" t="s">
        <v>282</v>
      </c>
      <c r="C18760" s="46">
        <v>3748</v>
      </c>
      <c r="D18760" s="69" t="s">
        <v>29419</v>
      </c>
      <c r="E18760" s="51"/>
      <c r="F18760" s="114" t="str">
        <f>IF(INDEX(I.Facility.P3IDNumber,3748)="","",INDEX(I.Facility.P3IDNumber,3748))</f>
        <v/>
      </c>
      <c r="G18760" s="51"/>
      <c r="H18760" s="46" t="str">
        <f>IF(AND(I.Developer.P3=TRUE,I.Facility.P3FacilityCount&gt;=3748,F18760=""),"Incomplete","Complete")</f>
        <v>Complete</v>
      </c>
      <c r="I18760" s="48" t="s">
        <v>23125</v>
      </c>
    </row>
    <row r="18761" spans="2:9" ht="15" customHeight="1" x14ac:dyDescent="0.25">
      <c r="B18761" s="55" t="s">
        <v>282</v>
      </c>
      <c r="C18761" s="46">
        <v>3749</v>
      </c>
      <c r="D18761" s="69" t="s">
        <v>29419</v>
      </c>
      <c r="E18761" s="51"/>
      <c r="F18761" s="114" t="str">
        <f>IF(INDEX(I.Facility.P3IDNumber,3749)="","",INDEX(I.Facility.P3IDNumber,3749))</f>
        <v/>
      </c>
      <c r="G18761" s="51"/>
      <c r="H18761" s="46" t="str">
        <f>IF(AND(I.Developer.P3=TRUE,I.Facility.P3FacilityCount&gt;=3749,F18761=""),"Incomplete","Complete")</f>
        <v>Complete</v>
      </c>
      <c r="I18761" s="48" t="s">
        <v>23126</v>
      </c>
    </row>
    <row r="18762" spans="2:9" ht="15" customHeight="1" x14ac:dyDescent="0.25">
      <c r="B18762" s="55" t="s">
        <v>282</v>
      </c>
      <c r="C18762" s="46">
        <v>3750</v>
      </c>
      <c r="D18762" s="69" t="s">
        <v>29419</v>
      </c>
      <c r="E18762" s="51"/>
      <c r="F18762" s="114" t="str">
        <f>IF(INDEX(I.Facility.P3IDNumber,3750)="","",INDEX(I.Facility.P3IDNumber,3750))</f>
        <v/>
      </c>
      <c r="G18762" s="51"/>
      <c r="H18762" s="46" t="str">
        <f>IF(AND(I.Developer.P3=TRUE,I.Facility.P3FacilityCount&gt;=3750,F18762=""),"Incomplete","Complete")</f>
        <v>Complete</v>
      </c>
      <c r="I18762" s="48" t="s">
        <v>23127</v>
      </c>
    </row>
    <row r="18763" spans="2:9" ht="15" customHeight="1" x14ac:dyDescent="0.25">
      <c r="B18763" s="55" t="s">
        <v>282</v>
      </c>
      <c r="C18763" s="46">
        <v>3751</v>
      </c>
      <c r="D18763" s="69" t="s">
        <v>29419</v>
      </c>
      <c r="E18763" s="51"/>
      <c r="F18763" s="114" t="str">
        <f>IF(INDEX(I.Facility.P3IDNumber,3751)="","",INDEX(I.Facility.P3IDNumber,3751))</f>
        <v/>
      </c>
      <c r="G18763" s="51"/>
      <c r="H18763" s="46" t="str">
        <f>IF(AND(I.Developer.P3=TRUE,I.Facility.P3FacilityCount&gt;=3751,F18763=""),"Incomplete","Complete")</f>
        <v>Complete</v>
      </c>
      <c r="I18763" s="48" t="s">
        <v>23128</v>
      </c>
    </row>
    <row r="18764" spans="2:9" ht="15" customHeight="1" x14ac:dyDescent="0.25">
      <c r="B18764" s="55" t="s">
        <v>282</v>
      </c>
      <c r="C18764" s="46">
        <v>3752</v>
      </c>
      <c r="D18764" s="69" t="s">
        <v>29419</v>
      </c>
      <c r="E18764" s="51"/>
      <c r="F18764" s="114" t="str">
        <f>IF(INDEX(I.Facility.P3IDNumber,3752)="","",INDEX(I.Facility.P3IDNumber,3752))</f>
        <v/>
      </c>
      <c r="G18764" s="51"/>
      <c r="H18764" s="46" t="str">
        <f>IF(AND(I.Developer.P3=TRUE,I.Facility.P3FacilityCount&gt;=3752,F18764=""),"Incomplete","Complete")</f>
        <v>Complete</v>
      </c>
      <c r="I18764" s="48" t="s">
        <v>23129</v>
      </c>
    </row>
    <row r="18765" spans="2:9" ht="15" customHeight="1" x14ac:dyDescent="0.25">
      <c r="B18765" s="55" t="s">
        <v>282</v>
      </c>
      <c r="C18765" s="46">
        <v>3753</v>
      </c>
      <c r="D18765" s="69" t="s">
        <v>29419</v>
      </c>
      <c r="E18765" s="51"/>
      <c r="F18765" s="114" t="str">
        <f>IF(INDEX(I.Facility.P3IDNumber,3753)="","",INDEX(I.Facility.P3IDNumber,3753))</f>
        <v/>
      </c>
      <c r="G18765" s="51"/>
      <c r="H18765" s="46" t="str">
        <f>IF(AND(I.Developer.P3=TRUE,I.Facility.P3FacilityCount&gt;=3753,F18765=""),"Incomplete","Complete")</f>
        <v>Complete</v>
      </c>
      <c r="I18765" s="48" t="s">
        <v>23130</v>
      </c>
    </row>
    <row r="18766" spans="2:9" ht="15" customHeight="1" x14ac:dyDescent="0.25">
      <c r="B18766" s="55" t="s">
        <v>282</v>
      </c>
      <c r="C18766" s="46">
        <v>3754</v>
      </c>
      <c r="D18766" s="69" t="s">
        <v>29419</v>
      </c>
      <c r="E18766" s="51"/>
      <c r="F18766" s="114" t="str">
        <f>IF(INDEX(I.Facility.P3IDNumber,3754)="","",INDEX(I.Facility.P3IDNumber,3754))</f>
        <v/>
      </c>
      <c r="G18766" s="51"/>
      <c r="H18766" s="46" t="str">
        <f>IF(AND(I.Developer.P3=TRUE,I.Facility.P3FacilityCount&gt;=3754,F18766=""),"Incomplete","Complete")</f>
        <v>Complete</v>
      </c>
      <c r="I18766" s="48" t="s">
        <v>23131</v>
      </c>
    </row>
    <row r="18767" spans="2:9" ht="15" customHeight="1" x14ac:dyDescent="0.25">
      <c r="B18767" s="55" t="s">
        <v>282</v>
      </c>
      <c r="C18767" s="46">
        <v>3755</v>
      </c>
      <c r="D18767" s="69" t="s">
        <v>29419</v>
      </c>
      <c r="E18767" s="51"/>
      <c r="F18767" s="114" t="str">
        <f>IF(INDEX(I.Facility.P3IDNumber,3755)="","",INDEX(I.Facility.P3IDNumber,3755))</f>
        <v/>
      </c>
      <c r="G18767" s="51"/>
      <c r="H18767" s="46" t="str">
        <f>IF(AND(I.Developer.P3=TRUE,I.Facility.P3FacilityCount&gt;=3755,F18767=""),"Incomplete","Complete")</f>
        <v>Complete</v>
      </c>
      <c r="I18767" s="48" t="s">
        <v>23132</v>
      </c>
    </row>
    <row r="18768" spans="2:9" ht="15" customHeight="1" x14ac:dyDescent="0.25">
      <c r="B18768" s="55" t="s">
        <v>282</v>
      </c>
      <c r="C18768" s="46">
        <v>3756</v>
      </c>
      <c r="D18768" s="69" t="s">
        <v>29419</v>
      </c>
      <c r="E18768" s="51"/>
      <c r="F18768" s="114" t="str">
        <f>IF(INDEX(I.Facility.P3IDNumber,3756)="","",INDEX(I.Facility.P3IDNumber,3756))</f>
        <v/>
      </c>
      <c r="G18768" s="51"/>
      <c r="H18768" s="46" t="str">
        <f>IF(AND(I.Developer.P3=TRUE,I.Facility.P3FacilityCount&gt;=3756,F18768=""),"Incomplete","Complete")</f>
        <v>Complete</v>
      </c>
      <c r="I18768" s="48" t="s">
        <v>23133</v>
      </c>
    </row>
    <row r="18769" spans="2:9" ht="15" customHeight="1" x14ac:dyDescent="0.25">
      <c r="B18769" s="55" t="s">
        <v>282</v>
      </c>
      <c r="C18769" s="46">
        <v>3757</v>
      </c>
      <c r="D18769" s="69" t="s">
        <v>29419</v>
      </c>
      <c r="E18769" s="51"/>
      <c r="F18769" s="114" t="str">
        <f>IF(INDEX(I.Facility.P3IDNumber,3757)="","",INDEX(I.Facility.P3IDNumber,3757))</f>
        <v/>
      </c>
      <c r="G18769" s="51"/>
      <c r="H18769" s="46" t="str">
        <f>IF(AND(I.Developer.P3=TRUE,I.Facility.P3FacilityCount&gt;=3757,F18769=""),"Incomplete","Complete")</f>
        <v>Complete</v>
      </c>
      <c r="I18769" s="48" t="s">
        <v>23134</v>
      </c>
    </row>
    <row r="18770" spans="2:9" ht="15" customHeight="1" x14ac:dyDescent="0.25">
      <c r="B18770" s="55" t="s">
        <v>282</v>
      </c>
      <c r="C18770" s="46">
        <v>3758</v>
      </c>
      <c r="D18770" s="69" t="s">
        <v>29419</v>
      </c>
      <c r="E18770" s="51"/>
      <c r="F18770" s="114" t="str">
        <f>IF(INDEX(I.Facility.P3IDNumber,3758)="","",INDEX(I.Facility.P3IDNumber,3758))</f>
        <v/>
      </c>
      <c r="G18770" s="51"/>
      <c r="H18770" s="46" t="str">
        <f>IF(AND(I.Developer.P3=TRUE,I.Facility.P3FacilityCount&gt;=3758,F18770=""),"Incomplete","Complete")</f>
        <v>Complete</v>
      </c>
      <c r="I18770" s="48" t="s">
        <v>23135</v>
      </c>
    </row>
    <row r="18771" spans="2:9" ht="15" customHeight="1" x14ac:dyDescent="0.25">
      <c r="B18771" s="55" t="s">
        <v>282</v>
      </c>
      <c r="C18771" s="46">
        <v>3759</v>
      </c>
      <c r="D18771" s="69" t="s">
        <v>29419</v>
      </c>
      <c r="E18771" s="51"/>
      <c r="F18771" s="114" t="str">
        <f>IF(INDEX(I.Facility.P3IDNumber,3759)="","",INDEX(I.Facility.P3IDNumber,3759))</f>
        <v/>
      </c>
      <c r="G18771" s="51"/>
      <c r="H18771" s="46" t="str">
        <f>IF(AND(I.Developer.P3=TRUE,I.Facility.P3FacilityCount&gt;=3759,F18771=""),"Incomplete","Complete")</f>
        <v>Complete</v>
      </c>
      <c r="I18771" s="48" t="s">
        <v>23136</v>
      </c>
    </row>
    <row r="18772" spans="2:9" ht="15" customHeight="1" x14ac:dyDescent="0.25">
      <c r="B18772" s="55" t="s">
        <v>282</v>
      </c>
      <c r="C18772" s="46">
        <v>3760</v>
      </c>
      <c r="D18772" s="69" t="s">
        <v>29419</v>
      </c>
      <c r="E18772" s="51"/>
      <c r="F18772" s="114" t="str">
        <f>IF(INDEX(I.Facility.P3IDNumber,3760)="","",INDEX(I.Facility.P3IDNumber,3760))</f>
        <v/>
      </c>
      <c r="G18772" s="51"/>
      <c r="H18772" s="46" t="str">
        <f>IF(AND(I.Developer.P3=TRUE,I.Facility.P3FacilityCount&gt;=3760,F18772=""),"Incomplete","Complete")</f>
        <v>Complete</v>
      </c>
      <c r="I18772" s="48" t="s">
        <v>23137</v>
      </c>
    </row>
    <row r="18773" spans="2:9" ht="15" customHeight="1" x14ac:dyDescent="0.25">
      <c r="B18773" s="55" t="s">
        <v>282</v>
      </c>
      <c r="C18773" s="46">
        <v>3761</v>
      </c>
      <c r="D18773" s="69" t="s">
        <v>29419</v>
      </c>
      <c r="E18773" s="51"/>
      <c r="F18773" s="114" t="str">
        <f>IF(INDEX(I.Facility.P3IDNumber,3761)="","",INDEX(I.Facility.P3IDNumber,3761))</f>
        <v/>
      </c>
      <c r="G18773" s="51"/>
      <c r="H18773" s="46" t="str">
        <f>IF(AND(I.Developer.P3=TRUE,I.Facility.P3FacilityCount&gt;=3761,F18773=""),"Incomplete","Complete")</f>
        <v>Complete</v>
      </c>
      <c r="I18773" s="48" t="s">
        <v>23138</v>
      </c>
    </row>
    <row r="18774" spans="2:9" ht="15" customHeight="1" x14ac:dyDescent="0.25">
      <c r="B18774" s="55" t="s">
        <v>282</v>
      </c>
      <c r="C18774" s="46">
        <v>3762</v>
      </c>
      <c r="D18774" s="69" t="s">
        <v>29419</v>
      </c>
      <c r="E18774" s="51"/>
      <c r="F18774" s="114" t="str">
        <f>IF(INDEX(I.Facility.P3IDNumber,3762)="","",INDEX(I.Facility.P3IDNumber,3762))</f>
        <v/>
      </c>
      <c r="G18774" s="51"/>
      <c r="H18774" s="46" t="str">
        <f>IF(AND(I.Developer.P3=TRUE,I.Facility.P3FacilityCount&gt;=3762,F18774=""),"Incomplete","Complete")</f>
        <v>Complete</v>
      </c>
      <c r="I18774" s="48" t="s">
        <v>23139</v>
      </c>
    </row>
    <row r="18775" spans="2:9" ht="15" customHeight="1" x14ac:dyDescent="0.25">
      <c r="B18775" s="55" t="s">
        <v>282</v>
      </c>
      <c r="C18775" s="46">
        <v>3763</v>
      </c>
      <c r="D18775" s="69" t="s">
        <v>29419</v>
      </c>
      <c r="E18775" s="51"/>
      <c r="F18775" s="114" t="str">
        <f>IF(INDEX(I.Facility.P3IDNumber,3763)="","",INDEX(I.Facility.P3IDNumber,3763))</f>
        <v/>
      </c>
      <c r="G18775" s="51"/>
      <c r="H18775" s="46" t="str">
        <f>IF(AND(I.Developer.P3=TRUE,I.Facility.P3FacilityCount&gt;=3763,F18775=""),"Incomplete","Complete")</f>
        <v>Complete</v>
      </c>
      <c r="I18775" s="48" t="s">
        <v>23140</v>
      </c>
    </row>
    <row r="18776" spans="2:9" ht="15" customHeight="1" x14ac:dyDescent="0.25">
      <c r="B18776" s="55" t="s">
        <v>282</v>
      </c>
      <c r="C18776" s="46">
        <v>3764</v>
      </c>
      <c r="D18776" s="69" t="s">
        <v>29419</v>
      </c>
      <c r="E18776" s="51"/>
      <c r="F18776" s="114" t="str">
        <f>IF(INDEX(I.Facility.P3IDNumber,3764)="","",INDEX(I.Facility.P3IDNumber,3764))</f>
        <v/>
      </c>
      <c r="G18776" s="51"/>
      <c r="H18776" s="46" t="str">
        <f>IF(AND(I.Developer.P3=TRUE,I.Facility.P3FacilityCount&gt;=3764,F18776=""),"Incomplete","Complete")</f>
        <v>Complete</v>
      </c>
      <c r="I18776" s="48" t="s">
        <v>23141</v>
      </c>
    </row>
    <row r="18777" spans="2:9" ht="15" customHeight="1" x14ac:dyDescent="0.25">
      <c r="B18777" s="55" t="s">
        <v>282</v>
      </c>
      <c r="C18777" s="46">
        <v>3765</v>
      </c>
      <c r="D18777" s="69" t="s">
        <v>29419</v>
      </c>
      <c r="E18777" s="51"/>
      <c r="F18777" s="114" t="str">
        <f>IF(INDEX(I.Facility.P3IDNumber,3765)="","",INDEX(I.Facility.P3IDNumber,3765))</f>
        <v/>
      </c>
      <c r="G18777" s="51"/>
      <c r="H18777" s="46" t="str">
        <f>IF(AND(I.Developer.P3=TRUE,I.Facility.P3FacilityCount&gt;=3765,F18777=""),"Incomplete","Complete")</f>
        <v>Complete</v>
      </c>
      <c r="I18777" s="48" t="s">
        <v>23142</v>
      </c>
    </row>
    <row r="18778" spans="2:9" ht="15" customHeight="1" x14ac:dyDescent="0.25">
      <c r="B18778" s="55" t="s">
        <v>282</v>
      </c>
      <c r="C18778" s="46">
        <v>3766</v>
      </c>
      <c r="D18778" s="69" t="s">
        <v>29419</v>
      </c>
      <c r="E18778" s="51"/>
      <c r="F18778" s="114" t="str">
        <f>IF(INDEX(I.Facility.P3IDNumber,3766)="","",INDEX(I.Facility.P3IDNumber,3766))</f>
        <v/>
      </c>
      <c r="G18778" s="51"/>
      <c r="H18778" s="46" t="str">
        <f>IF(AND(I.Developer.P3=TRUE,I.Facility.P3FacilityCount&gt;=3766,F18778=""),"Incomplete","Complete")</f>
        <v>Complete</v>
      </c>
      <c r="I18778" s="48" t="s">
        <v>23143</v>
      </c>
    </row>
    <row r="18779" spans="2:9" ht="15" customHeight="1" x14ac:dyDescent="0.25">
      <c r="B18779" s="55" t="s">
        <v>282</v>
      </c>
      <c r="C18779" s="46">
        <v>3767</v>
      </c>
      <c r="D18779" s="69" t="s">
        <v>29419</v>
      </c>
      <c r="E18779" s="51"/>
      <c r="F18779" s="114" t="str">
        <f>IF(INDEX(I.Facility.P3IDNumber,3767)="","",INDEX(I.Facility.P3IDNumber,3767))</f>
        <v/>
      </c>
      <c r="G18779" s="51"/>
      <c r="H18779" s="46" t="str">
        <f>IF(AND(I.Developer.P3=TRUE,I.Facility.P3FacilityCount&gt;=3767,F18779=""),"Incomplete","Complete")</f>
        <v>Complete</v>
      </c>
      <c r="I18779" s="48" t="s">
        <v>23144</v>
      </c>
    </row>
    <row r="18780" spans="2:9" ht="15" customHeight="1" x14ac:dyDescent="0.25">
      <c r="B18780" s="55" t="s">
        <v>282</v>
      </c>
      <c r="C18780" s="46">
        <v>3768</v>
      </c>
      <c r="D18780" s="69" t="s">
        <v>29419</v>
      </c>
      <c r="E18780" s="51"/>
      <c r="F18780" s="114" t="str">
        <f>IF(INDEX(I.Facility.P3IDNumber,3768)="","",INDEX(I.Facility.P3IDNumber,3768))</f>
        <v/>
      </c>
      <c r="G18780" s="51"/>
      <c r="H18780" s="46" t="str">
        <f>IF(AND(I.Developer.P3=TRUE,I.Facility.P3FacilityCount&gt;=3768,F18780=""),"Incomplete","Complete")</f>
        <v>Complete</v>
      </c>
      <c r="I18780" s="48" t="s">
        <v>23145</v>
      </c>
    </row>
    <row r="18781" spans="2:9" ht="15" customHeight="1" x14ac:dyDescent="0.25">
      <c r="B18781" s="55" t="s">
        <v>282</v>
      </c>
      <c r="C18781" s="46">
        <v>3769</v>
      </c>
      <c r="D18781" s="69" t="s">
        <v>29419</v>
      </c>
      <c r="E18781" s="51"/>
      <c r="F18781" s="114" t="str">
        <f>IF(INDEX(I.Facility.P3IDNumber,3769)="","",INDEX(I.Facility.P3IDNumber,3769))</f>
        <v/>
      </c>
      <c r="G18781" s="51"/>
      <c r="H18781" s="46" t="str">
        <f>IF(AND(I.Developer.P3=TRUE,I.Facility.P3FacilityCount&gt;=3769,F18781=""),"Incomplete","Complete")</f>
        <v>Complete</v>
      </c>
      <c r="I18781" s="48" t="s">
        <v>23146</v>
      </c>
    </row>
    <row r="18782" spans="2:9" ht="15" customHeight="1" x14ac:dyDescent="0.25">
      <c r="B18782" s="55" t="s">
        <v>282</v>
      </c>
      <c r="C18782" s="46">
        <v>3770</v>
      </c>
      <c r="D18782" s="69" t="s">
        <v>29419</v>
      </c>
      <c r="E18782" s="51"/>
      <c r="F18782" s="114" t="str">
        <f>IF(INDEX(I.Facility.P3IDNumber,3770)="","",INDEX(I.Facility.P3IDNumber,3770))</f>
        <v/>
      </c>
      <c r="G18782" s="51"/>
      <c r="H18782" s="46" t="str">
        <f>IF(AND(I.Developer.P3=TRUE,I.Facility.P3FacilityCount&gt;=3770,F18782=""),"Incomplete","Complete")</f>
        <v>Complete</v>
      </c>
      <c r="I18782" s="48" t="s">
        <v>23147</v>
      </c>
    </row>
    <row r="18783" spans="2:9" ht="15" customHeight="1" x14ac:dyDescent="0.25">
      <c r="B18783" s="55" t="s">
        <v>282</v>
      </c>
      <c r="C18783" s="46">
        <v>3771</v>
      </c>
      <c r="D18783" s="69" t="s">
        <v>29419</v>
      </c>
      <c r="E18783" s="51"/>
      <c r="F18783" s="114" t="str">
        <f>IF(INDEX(I.Facility.P3IDNumber,3771)="","",INDEX(I.Facility.P3IDNumber,3771))</f>
        <v/>
      </c>
      <c r="G18783" s="51"/>
      <c r="H18783" s="46" t="str">
        <f>IF(AND(I.Developer.P3=TRUE,I.Facility.P3FacilityCount&gt;=3771,F18783=""),"Incomplete","Complete")</f>
        <v>Complete</v>
      </c>
      <c r="I18783" s="48" t="s">
        <v>23148</v>
      </c>
    </row>
    <row r="18784" spans="2:9" ht="15" customHeight="1" x14ac:dyDescent="0.25">
      <c r="B18784" s="55" t="s">
        <v>282</v>
      </c>
      <c r="C18784" s="46">
        <v>3772</v>
      </c>
      <c r="D18784" s="69" t="s">
        <v>29419</v>
      </c>
      <c r="E18784" s="51"/>
      <c r="F18784" s="114" t="str">
        <f>IF(INDEX(I.Facility.P3IDNumber,3772)="","",INDEX(I.Facility.P3IDNumber,3772))</f>
        <v/>
      </c>
      <c r="G18784" s="51"/>
      <c r="H18784" s="46" t="str">
        <f>IF(AND(I.Developer.P3=TRUE,I.Facility.P3FacilityCount&gt;=3772,F18784=""),"Incomplete","Complete")</f>
        <v>Complete</v>
      </c>
      <c r="I18784" s="48" t="s">
        <v>23149</v>
      </c>
    </row>
    <row r="18785" spans="2:9" ht="15" customHeight="1" x14ac:dyDescent="0.25">
      <c r="B18785" s="55" t="s">
        <v>282</v>
      </c>
      <c r="C18785" s="46">
        <v>3773</v>
      </c>
      <c r="D18785" s="69" t="s">
        <v>29419</v>
      </c>
      <c r="E18785" s="51"/>
      <c r="F18785" s="114" t="str">
        <f>IF(INDEX(I.Facility.P3IDNumber,3773)="","",INDEX(I.Facility.P3IDNumber,3773))</f>
        <v/>
      </c>
      <c r="G18785" s="51"/>
      <c r="H18785" s="46" t="str">
        <f>IF(AND(I.Developer.P3=TRUE,I.Facility.P3FacilityCount&gt;=3773,F18785=""),"Incomplete","Complete")</f>
        <v>Complete</v>
      </c>
      <c r="I18785" s="48" t="s">
        <v>23150</v>
      </c>
    </row>
    <row r="18786" spans="2:9" ht="15" customHeight="1" x14ac:dyDescent="0.25">
      <c r="B18786" s="55" t="s">
        <v>282</v>
      </c>
      <c r="C18786" s="46">
        <v>3774</v>
      </c>
      <c r="D18786" s="69" t="s">
        <v>29419</v>
      </c>
      <c r="E18786" s="51"/>
      <c r="F18786" s="114" t="str">
        <f>IF(INDEX(I.Facility.P3IDNumber,3774)="","",INDEX(I.Facility.P3IDNumber,3774))</f>
        <v/>
      </c>
      <c r="G18786" s="51"/>
      <c r="H18786" s="46" t="str">
        <f>IF(AND(I.Developer.P3=TRUE,I.Facility.P3FacilityCount&gt;=3774,F18786=""),"Incomplete","Complete")</f>
        <v>Complete</v>
      </c>
      <c r="I18786" s="48" t="s">
        <v>23151</v>
      </c>
    </row>
    <row r="18787" spans="2:9" ht="15" customHeight="1" x14ac:dyDescent="0.25">
      <c r="B18787" s="55" t="s">
        <v>282</v>
      </c>
      <c r="C18787" s="46">
        <v>3775</v>
      </c>
      <c r="D18787" s="69" t="s">
        <v>29419</v>
      </c>
      <c r="E18787" s="51"/>
      <c r="F18787" s="114" t="str">
        <f>IF(INDEX(I.Facility.P3IDNumber,3775)="","",INDEX(I.Facility.P3IDNumber,3775))</f>
        <v/>
      </c>
      <c r="G18787" s="51"/>
      <c r="H18787" s="46" t="str">
        <f>IF(AND(I.Developer.P3=TRUE,I.Facility.P3FacilityCount&gt;=3775,F18787=""),"Incomplete","Complete")</f>
        <v>Complete</v>
      </c>
      <c r="I18787" s="48" t="s">
        <v>23152</v>
      </c>
    </row>
    <row r="18788" spans="2:9" ht="15" customHeight="1" x14ac:dyDescent="0.25">
      <c r="B18788" s="55" t="s">
        <v>282</v>
      </c>
      <c r="C18788" s="46">
        <v>3776</v>
      </c>
      <c r="D18788" s="69" t="s">
        <v>29419</v>
      </c>
      <c r="E18788" s="51"/>
      <c r="F18788" s="114" t="str">
        <f>IF(INDEX(I.Facility.P3IDNumber,3776)="","",INDEX(I.Facility.P3IDNumber,3776))</f>
        <v/>
      </c>
      <c r="G18788" s="51"/>
      <c r="H18788" s="46" t="str">
        <f>IF(AND(I.Developer.P3=TRUE,I.Facility.P3FacilityCount&gt;=3776,F18788=""),"Incomplete","Complete")</f>
        <v>Complete</v>
      </c>
      <c r="I18788" s="48" t="s">
        <v>23153</v>
      </c>
    </row>
    <row r="18789" spans="2:9" ht="15" customHeight="1" x14ac:dyDescent="0.25">
      <c r="B18789" s="55" t="s">
        <v>282</v>
      </c>
      <c r="C18789" s="46">
        <v>3777</v>
      </c>
      <c r="D18789" s="69" t="s">
        <v>29419</v>
      </c>
      <c r="E18789" s="51"/>
      <c r="F18789" s="114" t="str">
        <f>IF(INDEX(I.Facility.P3IDNumber,3777)="","",INDEX(I.Facility.P3IDNumber,3777))</f>
        <v/>
      </c>
      <c r="G18789" s="51"/>
      <c r="H18789" s="46" t="str">
        <f>IF(AND(I.Developer.P3=TRUE,I.Facility.P3FacilityCount&gt;=3777,F18789=""),"Incomplete","Complete")</f>
        <v>Complete</v>
      </c>
      <c r="I18789" s="48" t="s">
        <v>23154</v>
      </c>
    </row>
    <row r="18790" spans="2:9" ht="15" customHeight="1" x14ac:dyDescent="0.25">
      <c r="B18790" s="55" t="s">
        <v>282</v>
      </c>
      <c r="C18790" s="46">
        <v>3778</v>
      </c>
      <c r="D18790" s="69" t="s">
        <v>29419</v>
      </c>
      <c r="E18790" s="51"/>
      <c r="F18790" s="114" t="str">
        <f>IF(INDEX(I.Facility.P3IDNumber,3778)="","",INDEX(I.Facility.P3IDNumber,3778))</f>
        <v/>
      </c>
      <c r="G18790" s="51"/>
      <c r="H18790" s="46" t="str">
        <f>IF(AND(I.Developer.P3=TRUE,I.Facility.P3FacilityCount&gt;=3778,F18790=""),"Incomplete","Complete")</f>
        <v>Complete</v>
      </c>
      <c r="I18790" s="48" t="s">
        <v>23155</v>
      </c>
    </row>
    <row r="18791" spans="2:9" ht="15" customHeight="1" x14ac:dyDescent="0.25">
      <c r="B18791" s="55" t="s">
        <v>282</v>
      </c>
      <c r="C18791" s="46">
        <v>3779</v>
      </c>
      <c r="D18791" s="69" t="s">
        <v>29419</v>
      </c>
      <c r="E18791" s="51"/>
      <c r="F18791" s="114" t="str">
        <f>IF(INDEX(I.Facility.P3IDNumber,3779)="","",INDEX(I.Facility.P3IDNumber,3779))</f>
        <v/>
      </c>
      <c r="G18791" s="51"/>
      <c r="H18791" s="46" t="str">
        <f>IF(AND(I.Developer.P3=TRUE,I.Facility.P3FacilityCount&gt;=3779,F18791=""),"Incomplete","Complete")</f>
        <v>Complete</v>
      </c>
      <c r="I18791" s="48" t="s">
        <v>23156</v>
      </c>
    </row>
    <row r="18792" spans="2:9" ht="15" customHeight="1" x14ac:dyDescent="0.25">
      <c r="B18792" s="55" t="s">
        <v>282</v>
      </c>
      <c r="C18792" s="46">
        <v>3780</v>
      </c>
      <c r="D18792" s="69" t="s">
        <v>29419</v>
      </c>
      <c r="E18792" s="51"/>
      <c r="F18792" s="114" t="str">
        <f>IF(INDEX(I.Facility.P3IDNumber,3780)="","",INDEX(I.Facility.P3IDNumber,3780))</f>
        <v/>
      </c>
      <c r="G18792" s="51"/>
      <c r="H18792" s="46" t="str">
        <f>IF(AND(I.Developer.P3=TRUE,I.Facility.P3FacilityCount&gt;=3780,F18792=""),"Incomplete","Complete")</f>
        <v>Complete</v>
      </c>
      <c r="I18792" s="48" t="s">
        <v>23157</v>
      </c>
    </row>
    <row r="18793" spans="2:9" ht="15" customHeight="1" x14ac:dyDescent="0.25">
      <c r="B18793" s="55" t="s">
        <v>282</v>
      </c>
      <c r="C18793" s="46">
        <v>3781</v>
      </c>
      <c r="D18793" s="69" t="s">
        <v>29419</v>
      </c>
      <c r="E18793" s="51"/>
      <c r="F18793" s="114" t="str">
        <f>IF(INDEX(I.Facility.P3IDNumber,3781)="","",INDEX(I.Facility.P3IDNumber,3781))</f>
        <v/>
      </c>
      <c r="G18793" s="51"/>
      <c r="H18793" s="46" t="str">
        <f>IF(AND(I.Developer.P3=TRUE,I.Facility.P3FacilityCount&gt;=3781,F18793=""),"Incomplete","Complete")</f>
        <v>Complete</v>
      </c>
      <c r="I18793" s="48" t="s">
        <v>23158</v>
      </c>
    </row>
    <row r="18794" spans="2:9" ht="15" customHeight="1" x14ac:dyDescent="0.25">
      <c r="B18794" s="55" t="s">
        <v>282</v>
      </c>
      <c r="C18794" s="46">
        <v>3782</v>
      </c>
      <c r="D18794" s="69" t="s">
        <v>29419</v>
      </c>
      <c r="E18794" s="51"/>
      <c r="F18794" s="114" t="str">
        <f>IF(INDEX(I.Facility.P3IDNumber,3782)="","",INDEX(I.Facility.P3IDNumber,3782))</f>
        <v/>
      </c>
      <c r="G18794" s="51"/>
      <c r="H18794" s="46" t="str">
        <f>IF(AND(I.Developer.P3=TRUE,I.Facility.P3FacilityCount&gt;=3782,F18794=""),"Incomplete","Complete")</f>
        <v>Complete</v>
      </c>
      <c r="I18794" s="48" t="s">
        <v>23159</v>
      </c>
    </row>
    <row r="18795" spans="2:9" ht="15" customHeight="1" x14ac:dyDescent="0.25">
      <c r="B18795" s="55" t="s">
        <v>282</v>
      </c>
      <c r="C18795" s="46">
        <v>3783</v>
      </c>
      <c r="D18795" s="69" t="s">
        <v>29419</v>
      </c>
      <c r="E18795" s="51"/>
      <c r="F18795" s="114" t="str">
        <f>IF(INDEX(I.Facility.P3IDNumber,3783)="","",INDEX(I.Facility.P3IDNumber,3783))</f>
        <v/>
      </c>
      <c r="G18795" s="51"/>
      <c r="H18795" s="46" t="str">
        <f>IF(AND(I.Developer.P3=TRUE,I.Facility.P3FacilityCount&gt;=3783,F18795=""),"Incomplete","Complete")</f>
        <v>Complete</v>
      </c>
      <c r="I18795" s="48" t="s">
        <v>23160</v>
      </c>
    </row>
    <row r="18796" spans="2:9" ht="15" customHeight="1" x14ac:dyDescent="0.25">
      <c r="B18796" s="55" t="s">
        <v>282</v>
      </c>
      <c r="C18796" s="46">
        <v>3784</v>
      </c>
      <c r="D18796" s="69" t="s">
        <v>29419</v>
      </c>
      <c r="E18796" s="51"/>
      <c r="F18796" s="114" t="str">
        <f>IF(INDEX(I.Facility.P3IDNumber,3784)="","",INDEX(I.Facility.P3IDNumber,3784))</f>
        <v/>
      </c>
      <c r="G18796" s="51"/>
      <c r="H18796" s="46" t="str">
        <f>IF(AND(I.Developer.P3=TRUE,I.Facility.P3FacilityCount&gt;=3784,F18796=""),"Incomplete","Complete")</f>
        <v>Complete</v>
      </c>
      <c r="I18796" s="48" t="s">
        <v>23161</v>
      </c>
    </row>
    <row r="18797" spans="2:9" ht="15" customHeight="1" x14ac:dyDescent="0.25">
      <c r="B18797" s="55" t="s">
        <v>282</v>
      </c>
      <c r="C18797" s="46">
        <v>3785</v>
      </c>
      <c r="D18797" s="69" t="s">
        <v>29419</v>
      </c>
      <c r="E18797" s="51"/>
      <c r="F18797" s="114" t="str">
        <f>IF(INDEX(I.Facility.P3IDNumber,3785)="","",INDEX(I.Facility.P3IDNumber,3785))</f>
        <v/>
      </c>
      <c r="G18797" s="51"/>
      <c r="H18797" s="46" t="str">
        <f>IF(AND(I.Developer.P3=TRUE,I.Facility.P3FacilityCount&gt;=3785,F18797=""),"Incomplete","Complete")</f>
        <v>Complete</v>
      </c>
      <c r="I18797" s="48" t="s">
        <v>23162</v>
      </c>
    </row>
    <row r="18798" spans="2:9" ht="15" customHeight="1" x14ac:dyDescent="0.25">
      <c r="B18798" s="55" t="s">
        <v>282</v>
      </c>
      <c r="C18798" s="46">
        <v>3786</v>
      </c>
      <c r="D18798" s="69" t="s">
        <v>29419</v>
      </c>
      <c r="E18798" s="51"/>
      <c r="F18798" s="114" t="str">
        <f>IF(INDEX(I.Facility.P3IDNumber,3786)="","",INDEX(I.Facility.P3IDNumber,3786))</f>
        <v/>
      </c>
      <c r="G18798" s="51"/>
      <c r="H18798" s="46" t="str">
        <f>IF(AND(I.Developer.P3=TRUE,I.Facility.P3FacilityCount&gt;=3786,F18798=""),"Incomplete","Complete")</f>
        <v>Complete</v>
      </c>
      <c r="I18798" s="48" t="s">
        <v>23163</v>
      </c>
    </row>
    <row r="18799" spans="2:9" ht="15" customHeight="1" x14ac:dyDescent="0.25">
      <c r="B18799" s="55" t="s">
        <v>282</v>
      </c>
      <c r="C18799" s="46">
        <v>3787</v>
      </c>
      <c r="D18799" s="69" t="s">
        <v>29419</v>
      </c>
      <c r="E18799" s="51"/>
      <c r="F18799" s="114" t="str">
        <f>IF(INDEX(I.Facility.P3IDNumber,3787)="","",INDEX(I.Facility.P3IDNumber,3787))</f>
        <v/>
      </c>
      <c r="G18799" s="51"/>
      <c r="H18799" s="46" t="str">
        <f>IF(AND(I.Developer.P3=TRUE,I.Facility.P3FacilityCount&gt;=3787,F18799=""),"Incomplete","Complete")</f>
        <v>Complete</v>
      </c>
      <c r="I18799" s="48" t="s">
        <v>23164</v>
      </c>
    </row>
    <row r="18800" spans="2:9" ht="15" customHeight="1" x14ac:dyDescent="0.25">
      <c r="B18800" s="55" t="s">
        <v>282</v>
      </c>
      <c r="C18800" s="46">
        <v>3788</v>
      </c>
      <c r="D18800" s="69" t="s">
        <v>29419</v>
      </c>
      <c r="E18800" s="51"/>
      <c r="F18800" s="114" t="str">
        <f>IF(INDEX(I.Facility.P3IDNumber,3788)="","",INDEX(I.Facility.P3IDNumber,3788))</f>
        <v/>
      </c>
      <c r="G18800" s="51"/>
      <c r="H18800" s="46" t="str">
        <f>IF(AND(I.Developer.P3=TRUE,I.Facility.P3FacilityCount&gt;=3788,F18800=""),"Incomplete","Complete")</f>
        <v>Complete</v>
      </c>
      <c r="I18800" s="48" t="s">
        <v>23165</v>
      </c>
    </row>
    <row r="18801" spans="2:9" ht="15" customHeight="1" x14ac:dyDescent="0.25">
      <c r="B18801" s="55" t="s">
        <v>282</v>
      </c>
      <c r="C18801" s="46">
        <v>3789</v>
      </c>
      <c r="D18801" s="69" t="s">
        <v>29419</v>
      </c>
      <c r="E18801" s="51"/>
      <c r="F18801" s="114" t="str">
        <f>IF(INDEX(I.Facility.P3IDNumber,3789)="","",INDEX(I.Facility.P3IDNumber,3789))</f>
        <v/>
      </c>
      <c r="G18801" s="51"/>
      <c r="H18801" s="46" t="str">
        <f>IF(AND(I.Developer.P3=TRUE,I.Facility.P3FacilityCount&gt;=3789,F18801=""),"Incomplete","Complete")</f>
        <v>Complete</v>
      </c>
      <c r="I18801" s="48" t="s">
        <v>23166</v>
      </c>
    </row>
    <row r="18802" spans="2:9" ht="15" customHeight="1" x14ac:dyDescent="0.25">
      <c r="B18802" s="55" t="s">
        <v>282</v>
      </c>
      <c r="C18802" s="46">
        <v>3790</v>
      </c>
      <c r="D18802" s="69" t="s">
        <v>29419</v>
      </c>
      <c r="E18802" s="51"/>
      <c r="F18802" s="114" t="str">
        <f>IF(INDEX(I.Facility.P3IDNumber,3790)="","",INDEX(I.Facility.P3IDNumber,3790))</f>
        <v/>
      </c>
      <c r="G18802" s="51"/>
      <c r="H18802" s="46" t="str">
        <f>IF(AND(I.Developer.P3=TRUE,I.Facility.P3FacilityCount&gt;=3790,F18802=""),"Incomplete","Complete")</f>
        <v>Complete</v>
      </c>
      <c r="I18802" s="48" t="s">
        <v>23167</v>
      </c>
    </row>
    <row r="18803" spans="2:9" ht="15" customHeight="1" x14ac:dyDescent="0.25">
      <c r="B18803" s="55" t="s">
        <v>282</v>
      </c>
      <c r="C18803" s="46">
        <v>3791</v>
      </c>
      <c r="D18803" s="69" t="s">
        <v>29419</v>
      </c>
      <c r="E18803" s="51"/>
      <c r="F18803" s="114" t="str">
        <f>IF(INDEX(I.Facility.P3IDNumber,3791)="","",INDEX(I.Facility.P3IDNumber,3791))</f>
        <v/>
      </c>
      <c r="G18803" s="51"/>
      <c r="H18803" s="46" t="str">
        <f>IF(AND(I.Developer.P3=TRUE,I.Facility.P3FacilityCount&gt;=3791,F18803=""),"Incomplete","Complete")</f>
        <v>Complete</v>
      </c>
      <c r="I18803" s="48" t="s">
        <v>23168</v>
      </c>
    </row>
    <row r="18804" spans="2:9" ht="15" customHeight="1" x14ac:dyDescent="0.25">
      <c r="B18804" s="55" t="s">
        <v>282</v>
      </c>
      <c r="C18804" s="46">
        <v>3792</v>
      </c>
      <c r="D18804" s="69" t="s">
        <v>29419</v>
      </c>
      <c r="E18804" s="51"/>
      <c r="F18804" s="114" t="str">
        <f>IF(INDEX(I.Facility.P3IDNumber,3792)="","",INDEX(I.Facility.P3IDNumber,3792))</f>
        <v/>
      </c>
      <c r="G18804" s="51"/>
      <c r="H18804" s="46" t="str">
        <f>IF(AND(I.Developer.P3=TRUE,I.Facility.P3FacilityCount&gt;=3792,F18804=""),"Incomplete","Complete")</f>
        <v>Complete</v>
      </c>
      <c r="I18804" s="48" t="s">
        <v>23169</v>
      </c>
    </row>
    <row r="18805" spans="2:9" ht="15" customHeight="1" x14ac:dyDescent="0.25">
      <c r="B18805" s="55" t="s">
        <v>282</v>
      </c>
      <c r="C18805" s="46">
        <v>3793</v>
      </c>
      <c r="D18805" s="69" t="s">
        <v>29419</v>
      </c>
      <c r="E18805" s="51"/>
      <c r="F18805" s="114" t="str">
        <f>IF(INDEX(I.Facility.P3IDNumber,3793)="","",INDEX(I.Facility.P3IDNumber,3793))</f>
        <v/>
      </c>
      <c r="G18805" s="51"/>
      <c r="H18805" s="46" t="str">
        <f>IF(AND(I.Developer.P3=TRUE,I.Facility.P3FacilityCount&gt;=3793,F18805=""),"Incomplete","Complete")</f>
        <v>Complete</v>
      </c>
      <c r="I18805" s="48" t="s">
        <v>23170</v>
      </c>
    </row>
    <row r="18806" spans="2:9" ht="15" customHeight="1" x14ac:dyDescent="0.25">
      <c r="B18806" s="55" t="s">
        <v>282</v>
      </c>
      <c r="C18806" s="46">
        <v>3794</v>
      </c>
      <c r="D18806" s="69" t="s">
        <v>29419</v>
      </c>
      <c r="E18806" s="51"/>
      <c r="F18806" s="114" t="str">
        <f>IF(INDEX(I.Facility.P3IDNumber,3794)="","",INDEX(I.Facility.P3IDNumber,3794))</f>
        <v/>
      </c>
      <c r="G18806" s="51"/>
      <c r="H18806" s="46" t="str">
        <f>IF(AND(I.Developer.P3=TRUE,I.Facility.P3FacilityCount&gt;=3794,F18806=""),"Incomplete","Complete")</f>
        <v>Complete</v>
      </c>
      <c r="I18806" s="48" t="s">
        <v>23171</v>
      </c>
    </row>
    <row r="18807" spans="2:9" ht="15" customHeight="1" x14ac:dyDescent="0.25">
      <c r="B18807" s="55" t="s">
        <v>282</v>
      </c>
      <c r="C18807" s="46">
        <v>3795</v>
      </c>
      <c r="D18807" s="69" t="s">
        <v>29419</v>
      </c>
      <c r="E18807" s="51"/>
      <c r="F18807" s="114" t="str">
        <f>IF(INDEX(I.Facility.P3IDNumber,3795)="","",INDEX(I.Facility.P3IDNumber,3795))</f>
        <v/>
      </c>
      <c r="G18807" s="51"/>
      <c r="H18807" s="46" t="str">
        <f>IF(AND(I.Developer.P3=TRUE,I.Facility.P3FacilityCount&gt;=3795,F18807=""),"Incomplete","Complete")</f>
        <v>Complete</v>
      </c>
      <c r="I18807" s="48" t="s">
        <v>23172</v>
      </c>
    </row>
    <row r="18808" spans="2:9" ht="15" customHeight="1" x14ac:dyDescent="0.25">
      <c r="B18808" s="55" t="s">
        <v>282</v>
      </c>
      <c r="C18808" s="46">
        <v>3796</v>
      </c>
      <c r="D18808" s="69" t="s">
        <v>29419</v>
      </c>
      <c r="E18808" s="51"/>
      <c r="F18808" s="114" t="str">
        <f>IF(INDEX(I.Facility.P3IDNumber,3796)="","",INDEX(I.Facility.P3IDNumber,3796))</f>
        <v/>
      </c>
      <c r="G18808" s="51"/>
      <c r="H18808" s="46" t="str">
        <f>IF(AND(I.Developer.P3=TRUE,I.Facility.P3FacilityCount&gt;=3796,F18808=""),"Incomplete","Complete")</f>
        <v>Complete</v>
      </c>
      <c r="I18808" s="48" t="s">
        <v>23173</v>
      </c>
    </row>
    <row r="18809" spans="2:9" ht="15" customHeight="1" x14ac:dyDescent="0.25">
      <c r="B18809" s="55" t="s">
        <v>282</v>
      </c>
      <c r="C18809" s="46">
        <v>3797</v>
      </c>
      <c r="D18809" s="69" t="s">
        <v>29419</v>
      </c>
      <c r="E18809" s="51"/>
      <c r="F18809" s="114" t="str">
        <f>IF(INDEX(I.Facility.P3IDNumber,3797)="","",INDEX(I.Facility.P3IDNumber,3797))</f>
        <v/>
      </c>
      <c r="G18809" s="51"/>
      <c r="H18809" s="46" t="str">
        <f>IF(AND(I.Developer.P3=TRUE,I.Facility.P3FacilityCount&gt;=3797,F18809=""),"Incomplete","Complete")</f>
        <v>Complete</v>
      </c>
      <c r="I18809" s="48" t="s">
        <v>23174</v>
      </c>
    </row>
    <row r="18810" spans="2:9" ht="15" customHeight="1" x14ac:dyDescent="0.25">
      <c r="B18810" s="55" t="s">
        <v>282</v>
      </c>
      <c r="C18810" s="46">
        <v>3798</v>
      </c>
      <c r="D18810" s="69" t="s">
        <v>29419</v>
      </c>
      <c r="E18810" s="51"/>
      <c r="F18810" s="114" t="str">
        <f>IF(INDEX(I.Facility.P3IDNumber,3798)="","",INDEX(I.Facility.P3IDNumber,3798))</f>
        <v/>
      </c>
      <c r="G18810" s="51"/>
      <c r="H18810" s="46" t="str">
        <f>IF(AND(I.Developer.P3=TRUE,I.Facility.P3FacilityCount&gt;=3798,F18810=""),"Incomplete","Complete")</f>
        <v>Complete</v>
      </c>
      <c r="I18810" s="48" t="s">
        <v>23175</v>
      </c>
    </row>
    <row r="18811" spans="2:9" ht="15" customHeight="1" x14ac:dyDescent="0.25">
      <c r="B18811" s="55" t="s">
        <v>282</v>
      </c>
      <c r="C18811" s="46">
        <v>3799</v>
      </c>
      <c r="D18811" s="69" t="s">
        <v>29419</v>
      </c>
      <c r="E18811" s="51"/>
      <c r="F18811" s="114" t="str">
        <f>IF(INDEX(I.Facility.P3IDNumber,3799)="","",INDEX(I.Facility.P3IDNumber,3799))</f>
        <v/>
      </c>
      <c r="G18811" s="51"/>
      <c r="H18811" s="46" t="str">
        <f>IF(AND(I.Developer.P3=TRUE,I.Facility.P3FacilityCount&gt;=3799,F18811=""),"Incomplete","Complete")</f>
        <v>Complete</v>
      </c>
      <c r="I18811" s="48" t="s">
        <v>23176</v>
      </c>
    </row>
    <row r="18812" spans="2:9" ht="15" customHeight="1" x14ac:dyDescent="0.25">
      <c r="B18812" s="55" t="s">
        <v>282</v>
      </c>
      <c r="C18812" s="46">
        <v>3800</v>
      </c>
      <c r="D18812" s="69" t="s">
        <v>29419</v>
      </c>
      <c r="E18812" s="51"/>
      <c r="F18812" s="114" t="str">
        <f>IF(INDEX(I.Facility.P3IDNumber,3800)="","",INDEX(I.Facility.P3IDNumber,3800))</f>
        <v/>
      </c>
      <c r="G18812" s="51"/>
      <c r="H18812" s="46" t="str">
        <f>IF(AND(I.Developer.P3=TRUE,I.Facility.P3FacilityCount&gt;=3800,F18812=""),"Incomplete","Complete")</f>
        <v>Complete</v>
      </c>
      <c r="I18812" s="48" t="s">
        <v>23177</v>
      </c>
    </row>
    <row r="18813" spans="2:9" ht="15" customHeight="1" x14ac:dyDescent="0.25">
      <c r="B18813" s="55" t="s">
        <v>282</v>
      </c>
      <c r="C18813" s="46">
        <v>3801</v>
      </c>
      <c r="D18813" s="69" t="s">
        <v>29419</v>
      </c>
      <c r="E18813" s="51"/>
      <c r="F18813" s="114" t="str">
        <f>IF(INDEX(I.Facility.P3IDNumber,3801)="","",INDEX(I.Facility.P3IDNumber,3801))</f>
        <v/>
      </c>
      <c r="G18813" s="51"/>
      <c r="H18813" s="46" t="str">
        <f>IF(AND(I.Developer.P3=TRUE,I.Facility.P3FacilityCount&gt;=3801,F18813=""),"Incomplete","Complete")</f>
        <v>Complete</v>
      </c>
      <c r="I18813" s="48" t="s">
        <v>23178</v>
      </c>
    </row>
    <row r="18814" spans="2:9" ht="15" customHeight="1" x14ac:dyDescent="0.25">
      <c r="B18814" s="55" t="s">
        <v>282</v>
      </c>
      <c r="C18814" s="46">
        <v>3802</v>
      </c>
      <c r="D18814" s="69" t="s">
        <v>29419</v>
      </c>
      <c r="E18814" s="51"/>
      <c r="F18814" s="114" t="str">
        <f>IF(INDEX(I.Facility.P3IDNumber,3802)="","",INDEX(I.Facility.P3IDNumber,3802))</f>
        <v/>
      </c>
      <c r="G18814" s="51"/>
      <c r="H18814" s="46" t="str">
        <f>IF(AND(I.Developer.P3=TRUE,I.Facility.P3FacilityCount&gt;=3802,F18814=""),"Incomplete","Complete")</f>
        <v>Complete</v>
      </c>
      <c r="I18814" s="48" t="s">
        <v>23179</v>
      </c>
    </row>
    <row r="18815" spans="2:9" ht="15" customHeight="1" x14ac:dyDescent="0.25">
      <c r="B18815" s="55" t="s">
        <v>282</v>
      </c>
      <c r="C18815" s="46">
        <v>3803</v>
      </c>
      <c r="D18815" s="69" t="s">
        <v>29419</v>
      </c>
      <c r="E18815" s="51"/>
      <c r="F18815" s="114" t="str">
        <f>IF(INDEX(I.Facility.P3IDNumber,3803)="","",INDEX(I.Facility.P3IDNumber,3803))</f>
        <v/>
      </c>
      <c r="G18815" s="51"/>
      <c r="H18815" s="46" t="str">
        <f>IF(AND(I.Developer.P3=TRUE,I.Facility.P3FacilityCount&gt;=3803,F18815=""),"Incomplete","Complete")</f>
        <v>Complete</v>
      </c>
      <c r="I18815" s="48" t="s">
        <v>23180</v>
      </c>
    </row>
    <row r="18816" spans="2:9" ht="15" customHeight="1" x14ac:dyDescent="0.25">
      <c r="B18816" s="55" t="s">
        <v>282</v>
      </c>
      <c r="C18816" s="46">
        <v>3804</v>
      </c>
      <c r="D18816" s="69" t="s">
        <v>29419</v>
      </c>
      <c r="E18816" s="51"/>
      <c r="F18816" s="114" t="str">
        <f>IF(INDEX(I.Facility.P3IDNumber,3804)="","",INDEX(I.Facility.P3IDNumber,3804))</f>
        <v/>
      </c>
      <c r="G18816" s="51"/>
      <c r="H18816" s="46" t="str">
        <f>IF(AND(I.Developer.P3=TRUE,I.Facility.P3FacilityCount&gt;=3804,F18816=""),"Incomplete","Complete")</f>
        <v>Complete</v>
      </c>
      <c r="I18816" s="48" t="s">
        <v>23181</v>
      </c>
    </row>
    <row r="18817" spans="2:9" ht="15" customHeight="1" x14ac:dyDescent="0.25">
      <c r="B18817" s="55" t="s">
        <v>282</v>
      </c>
      <c r="C18817" s="46">
        <v>3805</v>
      </c>
      <c r="D18817" s="69" t="s">
        <v>29419</v>
      </c>
      <c r="E18817" s="51"/>
      <c r="F18817" s="114" t="str">
        <f>IF(INDEX(I.Facility.P3IDNumber,3805)="","",INDEX(I.Facility.P3IDNumber,3805))</f>
        <v/>
      </c>
      <c r="G18817" s="51"/>
      <c r="H18817" s="46" t="str">
        <f>IF(AND(I.Developer.P3=TRUE,I.Facility.P3FacilityCount&gt;=3805,F18817=""),"Incomplete","Complete")</f>
        <v>Complete</v>
      </c>
      <c r="I18817" s="48" t="s">
        <v>23182</v>
      </c>
    </row>
    <row r="18818" spans="2:9" ht="15" customHeight="1" x14ac:dyDescent="0.25">
      <c r="B18818" s="55" t="s">
        <v>282</v>
      </c>
      <c r="C18818" s="46">
        <v>3806</v>
      </c>
      <c r="D18818" s="69" t="s">
        <v>29419</v>
      </c>
      <c r="E18818" s="51"/>
      <c r="F18818" s="114" t="str">
        <f>IF(INDEX(I.Facility.P3IDNumber,3806)="","",INDEX(I.Facility.P3IDNumber,3806))</f>
        <v/>
      </c>
      <c r="G18818" s="51"/>
      <c r="H18818" s="46" t="str">
        <f>IF(AND(I.Developer.P3=TRUE,I.Facility.P3FacilityCount&gt;=3806,F18818=""),"Incomplete","Complete")</f>
        <v>Complete</v>
      </c>
      <c r="I18818" s="48" t="s">
        <v>23183</v>
      </c>
    </row>
    <row r="18819" spans="2:9" ht="15" customHeight="1" x14ac:dyDescent="0.25">
      <c r="B18819" s="55" t="s">
        <v>282</v>
      </c>
      <c r="C18819" s="46">
        <v>3807</v>
      </c>
      <c r="D18819" s="69" t="s">
        <v>29419</v>
      </c>
      <c r="E18819" s="51"/>
      <c r="F18819" s="114" t="str">
        <f>IF(INDEX(I.Facility.P3IDNumber,3807)="","",INDEX(I.Facility.P3IDNumber,3807))</f>
        <v/>
      </c>
      <c r="G18819" s="51"/>
      <c r="H18819" s="46" t="str">
        <f>IF(AND(I.Developer.P3=TRUE,I.Facility.P3FacilityCount&gt;=3807,F18819=""),"Incomplete","Complete")</f>
        <v>Complete</v>
      </c>
      <c r="I18819" s="48" t="s">
        <v>23184</v>
      </c>
    </row>
    <row r="18820" spans="2:9" ht="15" customHeight="1" x14ac:dyDescent="0.25">
      <c r="B18820" s="55" t="s">
        <v>282</v>
      </c>
      <c r="C18820" s="46">
        <v>3808</v>
      </c>
      <c r="D18820" s="69" t="s">
        <v>29419</v>
      </c>
      <c r="E18820" s="51"/>
      <c r="F18820" s="114" t="str">
        <f>IF(INDEX(I.Facility.P3IDNumber,3808)="","",INDEX(I.Facility.P3IDNumber,3808))</f>
        <v/>
      </c>
      <c r="G18820" s="51"/>
      <c r="H18820" s="46" t="str">
        <f>IF(AND(I.Developer.P3=TRUE,I.Facility.P3FacilityCount&gt;=3808,F18820=""),"Incomplete","Complete")</f>
        <v>Complete</v>
      </c>
      <c r="I18820" s="48" t="s">
        <v>23185</v>
      </c>
    </row>
    <row r="18821" spans="2:9" ht="15" customHeight="1" x14ac:dyDescent="0.25">
      <c r="B18821" s="55" t="s">
        <v>282</v>
      </c>
      <c r="C18821" s="46">
        <v>3809</v>
      </c>
      <c r="D18821" s="69" t="s">
        <v>29419</v>
      </c>
      <c r="E18821" s="51"/>
      <c r="F18821" s="114" t="str">
        <f>IF(INDEX(I.Facility.P3IDNumber,3809)="","",INDEX(I.Facility.P3IDNumber,3809))</f>
        <v/>
      </c>
      <c r="G18821" s="51"/>
      <c r="H18821" s="46" t="str">
        <f>IF(AND(I.Developer.P3=TRUE,I.Facility.P3FacilityCount&gt;=3809,F18821=""),"Incomplete","Complete")</f>
        <v>Complete</v>
      </c>
      <c r="I18821" s="48" t="s">
        <v>23186</v>
      </c>
    </row>
    <row r="18822" spans="2:9" ht="15" customHeight="1" x14ac:dyDescent="0.25">
      <c r="B18822" s="55" t="s">
        <v>282</v>
      </c>
      <c r="C18822" s="46">
        <v>3810</v>
      </c>
      <c r="D18822" s="69" t="s">
        <v>29419</v>
      </c>
      <c r="E18822" s="51"/>
      <c r="F18822" s="114" t="str">
        <f>IF(INDEX(I.Facility.P3IDNumber,3810)="","",INDEX(I.Facility.P3IDNumber,3810))</f>
        <v/>
      </c>
      <c r="G18822" s="51"/>
      <c r="H18822" s="46" t="str">
        <f>IF(AND(I.Developer.P3=TRUE,I.Facility.P3FacilityCount&gt;=3810,F18822=""),"Incomplete","Complete")</f>
        <v>Complete</v>
      </c>
      <c r="I18822" s="48" t="s">
        <v>23187</v>
      </c>
    </row>
    <row r="18823" spans="2:9" ht="15" customHeight="1" x14ac:dyDescent="0.25">
      <c r="B18823" s="55" t="s">
        <v>282</v>
      </c>
      <c r="C18823" s="46">
        <v>3811</v>
      </c>
      <c r="D18823" s="69" t="s">
        <v>29419</v>
      </c>
      <c r="E18823" s="51"/>
      <c r="F18823" s="114" t="str">
        <f>IF(INDEX(I.Facility.P3IDNumber,3811)="","",INDEX(I.Facility.P3IDNumber,3811))</f>
        <v/>
      </c>
      <c r="G18823" s="51"/>
      <c r="H18823" s="46" t="str">
        <f>IF(AND(I.Developer.P3=TRUE,I.Facility.P3FacilityCount&gt;=3811,F18823=""),"Incomplete","Complete")</f>
        <v>Complete</v>
      </c>
      <c r="I18823" s="48" t="s">
        <v>23188</v>
      </c>
    </row>
    <row r="18824" spans="2:9" ht="15" customHeight="1" x14ac:dyDescent="0.25">
      <c r="B18824" s="55" t="s">
        <v>282</v>
      </c>
      <c r="C18824" s="46">
        <v>3812</v>
      </c>
      <c r="D18824" s="69" t="s">
        <v>29419</v>
      </c>
      <c r="E18824" s="51"/>
      <c r="F18824" s="114" t="str">
        <f>IF(INDEX(I.Facility.P3IDNumber,3812)="","",INDEX(I.Facility.P3IDNumber,3812))</f>
        <v/>
      </c>
      <c r="G18824" s="51"/>
      <c r="H18824" s="46" t="str">
        <f>IF(AND(I.Developer.P3=TRUE,I.Facility.P3FacilityCount&gt;=3812,F18824=""),"Incomplete","Complete")</f>
        <v>Complete</v>
      </c>
      <c r="I18824" s="48" t="s">
        <v>23189</v>
      </c>
    </row>
    <row r="18825" spans="2:9" ht="15" customHeight="1" x14ac:dyDescent="0.25">
      <c r="B18825" s="55" t="s">
        <v>282</v>
      </c>
      <c r="C18825" s="46">
        <v>3813</v>
      </c>
      <c r="D18825" s="69" t="s">
        <v>29419</v>
      </c>
      <c r="E18825" s="51"/>
      <c r="F18825" s="114" t="str">
        <f>IF(INDEX(I.Facility.P3IDNumber,3813)="","",INDEX(I.Facility.P3IDNumber,3813))</f>
        <v/>
      </c>
      <c r="G18825" s="51"/>
      <c r="H18825" s="46" t="str">
        <f>IF(AND(I.Developer.P3=TRUE,I.Facility.P3FacilityCount&gt;=3813,F18825=""),"Incomplete","Complete")</f>
        <v>Complete</v>
      </c>
      <c r="I18825" s="48" t="s">
        <v>23190</v>
      </c>
    </row>
    <row r="18826" spans="2:9" ht="15" customHeight="1" x14ac:dyDescent="0.25">
      <c r="B18826" s="55" t="s">
        <v>282</v>
      </c>
      <c r="C18826" s="46">
        <v>3814</v>
      </c>
      <c r="D18826" s="69" t="s">
        <v>29419</v>
      </c>
      <c r="E18826" s="51"/>
      <c r="F18826" s="114" t="str">
        <f>IF(INDEX(I.Facility.P3IDNumber,3814)="","",INDEX(I.Facility.P3IDNumber,3814))</f>
        <v/>
      </c>
      <c r="G18826" s="51"/>
      <c r="H18826" s="46" t="str">
        <f>IF(AND(I.Developer.P3=TRUE,I.Facility.P3FacilityCount&gt;=3814,F18826=""),"Incomplete","Complete")</f>
        <v>Complete</v>
      </c>
      <c r="I18826" s="48" t="s">
        <v>23191</v>
      </c>
    </row>
    <row r="18827" spans="2:9" ht="15" customHeight="1" x14ac:dyDescent="0.25">
      <c r="B18827" s="55" t="s">
        <v>282</v>
      </c>
      <c r="C18827" s="46">
        <v>3815</v>
      </c>
      <c r="D18827" s="69" t="s">
        <v>29419</v>
      </c>
      <c r="E18827" s="51"/>
      <c r="F18827" s="114" t="str">
        <f>IF(INDEX(I.Facility.P3IDNumber,3815)="","",INDEX(I.Facility.P3IDNumber,3815))</f>
        <v/>
      </c>
      <c r="G18827" s="51"/>
      <c r="H18827" s="46" t="str">
        <f>IF(AND(I.Developer.P3=TRUE,I.Facility.P3FacilityCount&gt;=3815,F18827=""),"Incomplete","Complete")</f>
        <v>Complete</v>
      </c>
      <c r="I18827" s="48" t="s">
        <v>23192</v>
      </c>
    </row>
    <row r="18828" spans="2:9" ht="15" customHeight="1" x14ac:dyDescent="0.25">
      <c r="B18828" s="55" t="s">
        <v>282</v>
      </c>
      <c r="C18828" s="46">
        <v>3816</v>
      </c>
      <c r="D18828" s="69" t="s">
        <v>29419</v>
      </c>
      <c r="E18828" s="51"/>
      <c r="F18828" s="114" t="str">
        <f>IF(INDEX(I.Facility.P3IDNumber,3816)="","",INDEX(I.Facility.P3IDNumber,3816))</f>
        <v/>
      </c>
      <c r="G18828" s="51"/>
      <c r="H18828" s="46" t="str">
        <f>IF(AND(I.Developer.P3=TRUE,I.Facility.P3FacilityCount&gt;=3816,F18828=""),"Incomplete","Complete")</f>
        <v>Complete</v>
      </c>
      <c r="I18828" s="48" t="s">
        <v>23193</v>
      </c>
    </row>
    <row r="18829" spans="2:9" ht="15" customHeight="1" x14ac:dyDescent="0.25">
      <c r="B18829" s="55" t="s">
        <v>282</v>
      </c>
      <c r="C18829" s="46">
        <v>3817</v>
      </c>
      <c r="D18829" s="69" t="s">
        <v>29419</v>
      </c>
      <c r="E18829" s="51"/>
      <c r="F18829" s="114" t="str">
        <f>IF(INDEX(I.Facility.P3IDNumber,3817)="","",INDEX(I.Facility.P3IDNumber,3817))</f>
        <v/>
      </c>
      <c r="G18829" s="51"/>
      <c r="H18829" s="46" t="str">
        <f>IF(AND(I.Developer.P3=TRUE,I.Facility.P3FacilityCount&gt;=3817,F18829=""),"Incomplete","Complete")</f>
        <v>Complete</v>
      </c>
      <c r="I18829" s="48" t="s">
        <v>23194</v>
      </c>
    </row>
    <row r="18830" spans="2:9" ht="15" customHeight="1" x14ac:dyDescent="0.25">
      <c r="B18830" s="55" t="s">
        <v>282</v>
      </c>
      <c r="C18830" s="46">
        <v>3818</v>
      </c>
      <c r="D18830" s="69" t="s">
        <v>29419</v>
      </c>
      <c r="E18830" s="51"/>
      <c r="F18830" s="114" t="str">
        <f>IF(INDEX(I.Facility.P3IDNumber,3818)="","",INDEX(I.Facility.P3IDNumber,3818))</f>
        <v/>
      </c>
      <c r="G18830" s="51"/>
      <c r="H18830" s="46" t="str">
        <f>IF(AND(I.Developer.P3=TRUE,I.Facility.P3FacilityCount&gt;=3818,F18830=""),"Incomplete","Complete")</f>
        <v>Complete</v>
      </c>
      <c r="I18830" s="48" t="s">
        <v>23195</v>
      </c>
    </row>
    <row r="18831" spans="2:9" ht="15" customHeight="1" x14ac:dyDescent="0.25">
      <c r="B18831" s="55" t="s">
        <v>282</v>
      </c>
      <c r="C18831" s="46">
        <v>3819</v>
      </c>
      <c r="D18831" s="69" t="s">
        <v>29419</v>
      </c>
      <c r="E18831" s="51"/>
      <c r="F18831" s="114" t="str">
        <f>IF(INDEX(I.Facility.P3IDNumber,3819)="","",INDEX(I.Facility.P3IDNumber,3819))</f>
        <v/>
      </c>
      <c r="G18831" s="51"/>
      <c r="H18831" s="46" t="str">
        <f>IF(AND(I.Developer.P3=TRUE,I.Facility.P3FacilityCount&gt;=3819,F18831=""),"Incomplete","Complete")</f>
        <v>Complete</v>
      </c>
      <c r="I18831" s="48" t="s">
        <v>23196</v>
      </c>
    </row>
    <row r="18832" spans="2:9" ht="15" customHeight="1" x14ac:dyDescent="0.25">
      <c r="B18832" s="55" t="s">
        <v>282</v>
      </c>
      <c r="C18832" s="46">
        <v>3820</v>
      </c>
      <c r="D18832" s="69" t="s">
        <v>29419</v>
      </c>
      <c r="E18832" s="51"/>
      <c r="F18832" s="114" t="str">
        <f>IF(INDEX(I.Facility.P3IDNumber,3820)="","",INDEX(I.Facility.P3IDNumber,3820))</f>
        <v/>
      </c>
      <c r="G18832" s="51"/>
      <c r="H18832" s="46" t="str">
        <f>IF(AND(I.Developer.P3=TRUE,I.Facility.P3FacilityCount&gt;=3820,F18832=""),"Incomplete","Complete")</f>
        <v>Complete</v>
      </c>
      <c r="I18832" s="48" t="s">
        <v>23197</v>
      </c>
    </row>
    <row r="18833" spans="2:9" ht="15" customHeight="1" x14ac:dyDescent="0.25">
      <c r="B18833" s="55" t="s">
        <v>282</v>
      </c>
      <c r="C18833" s="46">
        <v>3821</v>
      </c>
      <c r="D18833" s="69" t="s">
        <v>29419</v>
      </c>
      <c r="E18833" s="51"/>
      <c r="F18833" s="114" t="str">
        <f>IF(INDEX(I.Facility.P3IDNumber,3821)="","",INDEX(I.Facility.P3IDNumber,3821))</f>
        <v/>
      </c>
      <c r="G18833" s="51"/>
      <c r="H18833" s="46" t="str">
        <f>IF(AND(I.Developer.P3=TRUE,I.Facility.P3FacilityCount&gt;=3821,F18833=""),"Incomplete","Complete")</f>
        <v>Complete</v>
      </c>
      <c r="I18833" s="48" t="s">
        <v>23198</v>
      </c>
    </row>
    <row r="18834" spans="2:9" ht="15" customHeight="1" x14ac:dyDescent="0.25">
      <c r="B18834" s="55" t="s">
        <v>282</v>
      </c>
      <c r="C18834" s="46">
        <v>3822</v>
      </c>
      <c r="D18834" s="69" t="s">
        <v>29419</v>
      </c>
      <c r="E18834" s="51"/>
      <c r="F18834" s="114" t="str">
        <f>IF(INDEX(I.Facility.P3IDNumber,3822)="","",INDEX(I.Facility.P3IDNumber,3822))</f>
        <v/>
      </c>
      <c r="G18834" s="51"/>
      <c r="H18834" s="46" t="str">
        <f>IF(AND(I.Developer.P3=TRUE,I.Facility.P3FacilityCount&gt;=3822,F18834=""),"Incomplete","Complete")</f>
        <v>Complete</v>
      </c>
      <c r="I18834" s="48" t="s">
        <v>23199</v>
      </c>
    </row>
    <row r="18835" spans="2:9" ht="15" customHeight="1" x14ac:dyDescent="0.25">
      <c r="B18835" s="55" t="s">
        <v>282</v>
      </c>
      <c r="C18835" s="46">
        <v>3823</v>
      </c>
      <c r="D18835" s="69" t="s">
        <v>29419</v>
      </c>
      <c r="E18835" s="51"/>
      <c r="F18835" s="114" t="str">
        <f>IF(INDEX(I.Facility.P3IDNumber,3823)="","",INDEX(I.Facility.P3IDNumber,3823))</f>
        <v/>
      </c>
      <c r="G18835" s="51"/>
      <c r="H18835" s="46" t="str">
        <f>IF(AND(I.Developer.P3=TRUE,I.Facility.P3FacilityCount&gt;=3823,F18835=""),"Incomplete","Complete")</f>
        <v>Complete</v>
      </c>
      <c r="I18835" s="48" t="s">
        <v>23200</v>
      </c>
    </row>
    <row r="18836" spans="2:9" ht="15" customHeight="1" x14ac:dyDescent="0.25">
      <c r="B18836" s="55" t="s">
        <v>282</v>
      </c>
      <c r="C18836" s="46">
        <v>3824</v>
      </c>
      <c r="D18836" s="69" t="s">
        <v>29419</v>
      </c>
      <c r="E18836" s="51"/>
      <c r="F18836" s="114" t="str">
        <f>IF(INDEX(I.Facility.P3IDNumber,3824)="","",INDEX(I.Facility.P3IDNumber,3824))</f>
        <v/>
      </c>
      <c r="G18836" s="51"/>
      <c r="H18836" s="46" t="str">
        <f>IF(AND(I.Developer.P3=TRUE,I.Facility.P3FacilityCount&gt;=3824,F18836=""),"Incomplete","Complete")</f>
        <v>Complete</v>
      </c>
      <c r="I18836" s="48" t="s">
        <v>23201</v>
      </c>
    </row>
    <row r="18837" spans="2:9" ht="15" customHeight="1" x14ac:dyDescent="0.25">
      <c r="B18837" s="55" t="s">
        <v>282</v>
      </c>
      <c r="C18837" s="46">
        <v>3825</v>
      </c>
      <c r="D18837" s="69" t="s">
        <v>29419</v>
      </c>
      <c r="E18837" s="51"/>
      <c r="F18837" s="114" t="str">
        <f>IF(INDEX(I.Facility.P3IDNumber,3825)="","",INDEX(I.Facility.P3IDNumber,3825))</f>
        <v/>
      </c>
      <c r="G18837" s="51"/>
      <c r="H18837" s="46" t="str">
        <f>IF(AND(I.Developer.P3=TRUE,I.Facility.P3FacilityCount&gt;=3825,F18837=""),"Incomplete","Complete")</f>
        <v>Complete</v>
      </c>
      <c r="I18837" s="48" t="s">
        <v>23202</v>
      </c>
    </row>
    <row r="18838" spans="2:9" ht="15" customHeight="1" x14ac:dyDescent="0.25">
      <c r="B18838" s="55" t="s">
        <v>282</v>
      </c>
      <c r="C18838" s="46">
        <v>3826</v>
      </c>
      <c r="D18838" s="69" t="s">
        <v>29419</v>
      </c>
      <c r="E18838" s="51"/>
      <c r="F18838" s="114" t="str">
        <f>IF(INDEX(I.Facility.P3IDNumber,3826)="","",INDEX(I.Facility.P3IDNumber,3826))</f>
        <v/>
      </c>
      <c r="G18838" s="51"/>
      <c r="H18838" s="46" t="str">
        <f>IF(AND(I.Developer.P3=TRUE,I.Facility.P3FacilityCount&gt;=3826,F18838=""),"Incomplete","Complete")</f>
        <v>Complete</v>
      </c>
      <c r="I18838" s="48" t="s">
        <v>23203</v>
      </c>
    </row>
    <row r="18839" spans="2:9" ht="15" customHeight="1" x14ac:dyDescent="0.25">
      <c r="B18839" s="55" t="s">
        <v>282</v>
      </c>
      <c r="C18839" s="46">
        <v>3827</v>
      </c>
      <c r="D18839" s="69" t="s">
        <v>29419</v>
      </c>
      <c r="E18839" s="51"/>
      <c r="F18839" s="114" t="str">
        <f>IF(INDEX(I.Facility.P3IDNumber,3827)="","",INDEX(I.Facility.P3IDNumber,3827))</f>
        <v/>
      </c>
      <c r="G18839" s="51"/>
      <c r="H18839" s="46" t="str">
        <f>IF(AND(I.Developer.P3=TRUE,I.Facility.P3FacilityCount&gt;=3827,F18839=""),"Incomplete","Complete")</f>
        <v>Complete</v>
      </c>
      <c r="I18839" s="48" t="s">
        <v>23204</v>
      </c>
    </row>
    <row r="18840" spans="2:9" ht="15" customHeight="1" x14ac:dyDescent="0.25">
      <c r="B18840" s="55" t="s">
        <v>282</v>
      </c>
      <c r="C18840" s="46">
        <v>3828</v>
      </c>
      <c r="D18840" s="69" t="s">
        <v>29419</v>
      </c>
      <c r="E18840" s="51"/>
      <c r="F18840" s="114" t="str">
        <f>IF(INDEX(I.Facility.P3IDNumber,3828)="","",INDEX(I.Facility.P3IDNumber,3828))</f>
        <v/>
      </c>
      <c r="G18840" s="51"/>
      <c r="H18840" s="46" t="str">
        <f>IF(AND(I.Developer.P3=TRUE,I.Facility.P3FacilityCount&gt;=3828,F18840=""),"Incomplete","Complete")</f>
        <v>Complete</v>
      </c>
      <c r="I18840" s="48" t="s">
        <v>23205</v>
      </c>
    </row>
    <row r="18841" spans="2:9" ht="15" customHeight="1" x14ac:dyDescent="0.25">
      <c r="B18841" s="55" t="s">
        <v>282</v>
      </c>
      <c r="C18841" s="46">
        <v>3829</v>
      </c>
      <c r="D18841" s="69" t="s">
        <v>29419</v>
      </c>
      <c r="E18841" s="51"/>
      <c r="F18841" s="114" t="str">
        <f>IF(INDEX(I.Facility.P3IDNumber,3829)="","",INDEX(I.Facility.P3IDNumber,3829))</f>
        <v/>
      </c>
      <c r="G18841" s="51"/>
      <c r="H18841" s="46" t="str">
        <f>IF(AND(I.Developer.P3=TRUE,I.Facility.P3FacilityCount&gt;=3829,F18841=""),"Incomplete","Complete")</f>
        <v>Complete</v>
      </c>
      <c r="I18841" s="48" t="s">
        <v>23206</v>
      </c>
    </row>
    <row r="18842" spans="2:9" ht="15" customHeight="1" x14ac:dyDescent="0.25">
      <c r="B18842" s="55" t="s">
        <v>282</v>
      </c>
      <c r="C18842" s="46">
        <v>3830</v>
      </c>
      <c r="D18842" s="69" t="s">
        <v>29419</v>
      </c>
      <c r="E18842" s="51"/>
      <c r="F18842" s="114" t="str">
        <f>IF(INDEX(I.Facility.P3IDNumber,3830)="","",INDEX(I.Facility.P3IDNumber,3830))</f>
        <v/>
      </c>
      <c r="G18842" s="51"/>
      <c r="H18842" s="46" t="str">
        <f>IF(AND(I.Developer.P3=TRUE,I.Facility.P3FacilityCount&gt;=3830,F18842=""),"Incomplete","Complete")</f>
        <v>Complete</v>
      </c>
      <c r="I18842" s="48" t="s">
        <v>23207</v>
      </c>
    </row>
    <row r="18843" spans="2:9" ht="15" customHeight="1" x14ac:dyDescent="0.25">
      <c r="B18843" s="55" t="s">
        <v>282</v>
      </c>
      <c r="C18843" s="46">
        <v>3831</v>
      </c>
      <c r="D18843" s="69" t="s">
        <v>29419</v>
      </c>
      <c r="E18843" s="51"/>
      <c r="F18843" s="114" t="str">
        <f>IF(INDEX(I.Facility.P3IDNumber,3831)="","",INDEX(I.Facility.P3IDNumber,3831))</f>
        <v/>
      </c>
      <c r="G18843" s="51"/>
      <c r="H18843" s="46" t="str">
        <f>IF(AND(I.Developer.P3=TRUE,I.Facility.P3FacilityCount&gt;=3831,F18843=""),"Incomplete","Complete")</f>
        <v>Complete</v>
      </c>
      <c r="I18843" s="48" t="s">
        <v>23208</v>
      </c>
    </row>
    <row r="18844" spans="2:9" ht="15" customHeight="1" x14ac:dyDescent="0.25">
      <c r="B18844" s="55" t="s">
        <v>282</v>
      </c>
      <c r="C18844" s="46">
        <v>3832</v>
      </c>
      <c r="D18844" s="69" t="s">
        <v>29419</v>
      </c>
      <c r="E18844" s="51"/>
      <c r="F18844" s="114" t="str">
        <f>IF(INDEX(I.Facility.P3IDNumber,3832)="","",INDEX(I.Facility.P3IDNumber,3832))</f>
        <v/>
      </c>
      <c r="G18844" s="51"/>
      <c r="H18844" s="46" t="str">
        <f>IF(AND(I.Developer.P3=TRUE,I.Facility.P3FacilityCount&gt;=3832,F18844=""),"Incomplete","Complete")</f>
        <v>Complete</v>
      </c>
      <c r="I18844" s="48" t="s">
        <v>23209</v>
      </c>
    </row>
    <row r="18845" spans="2:9" ht="15" customHeight="1" x14ac:dyDescent="0.25">
      <c r="B18845" s="55" t="s">
        <v>282</v>
      </c>
      <c r="C18845" s="46">
        <v>3833</v>
      </c>
      <c r="D18845" s="69" t="s">
        <v>29419</v>
      </c>
      <c r="E18845" s="51"/>
      <c r="F18845" s="114" t="str">
        <f>IF(INDEX(I.Facility.P3IDNumber,3833)="","",INDEX(I.Facility.P3IDNumber,3833))</f>
        <v/>
      </c>
      <c r="G18845" s="51"/>
      <c r="H18845" s="46" t="str">
        <f>IF(AND(I.Developer.P3=TRUE,I.Facility.P3FacilityCount&gt;=3833,F18845=""),"Incomplete","Complete")</f>
        <v>Complete</v>
      </c>
      <c r="I18845" s="48" t="s">
        <v>23210</v>
      </c>
    </row>
    <row r="18846" spans="2:9" ht="15" customHeight="1" x14ac:dyDescent="0.25">
      <c r="B18846" s="55" t="s">
        <v>282</v>
      </c>
      <c r="C18846" s="46">
        <v>3834</v>
      </c>
      <c r="D18846" s="69" t="s">
        <v>29419</v>
      </c>
      <c r="E18846" s="51"/>
      <c r="F18846" s="114" t="str">
        <f>IF(INDEX(I.Facility.P3IDNumber,3834)="","",INDEX(I.Facility.P3IDNumber,3834))</f>
        <v/>
      </c>
      <c r="G18846" s="51"/>
      <c r="H18846" s="46" t="str">
        <f>IF(AND(I.Developer.P3=TRUE,I.Facility.P3FacilityCount&gt;=3834,F18846=""),"Incomplete","Complete")</f>
        <v>Complete</v>
      </c>
      <c r="I18846" s="48" t="s">
        <v>23211</v>
      </c>
    </row>
    <row r="18847" spans="2:9" ht="15" customHeight="1" x14ac:dyDescent="0.25">
      <c r="B18847" s="55" t="s">
        <v>282</v>
      </c>
      <c r="C18847" s="46">
        <v>3835</v>
      </c>
      <c r="D18847" s="69" t="s">
        <v>29419</v>
      </c>
      <c r="E18847" s="51"/>
      <c r="F18847" s="114" t="str">
        <f>IF(INDEX(I.Facility.P3IDNumber,3835)="","",INDEX(I.Facility.P3IDNumber,3835))</f>
        <v/>
      </c>
      <c r="G18847" s="51"/>
      <c r="H18847" s="46" t="str">
        <f>IF(AND(I.Developer.P3=TRUE,I.Facility.P3FacilityCount&gt;=3835,F18847=""),"Incomplete","Complete")</f>
        <v>Complete</v>
      </c>
      <c r="I18847" s="48" t="s">
        <v>23212</v>
      </c>
    </row>
    <row r="18848" spans="2:9" ht="15" customHeight="1" x14ac:dyDescent="0.25">
      <c r="B18848" s="55" t="s">
        <v>282</v>
      </c>
      <c r="C18848" s="46">
        <v>3836</v>
      </c>
      <c r="D18848" s="69" t="s">
        <v>29419</v>
      </c>
      <c r="E18848" s="51"/>
      <c r="F18848" s="114" t="str">
        <f>IF(INDEX(I.Facility.P3IDNumber,3836)="","",INDEX(I.Facility.P3IDNumber,3836))</f>
        <v/>
      </c>
      <c r="G18848" s="51"/>
      <c r="H18848" s="46" t="str">
        <f>IF(AND(I.Developer.P3=TRUE,I.Facility.P3FacilityCount&gt;=3836,F18848=""),"Incomplete","Complete")</f>
        <v>Complete</v>
      </c>
      <c r="I18848" s="48" t="s">
        <v>23213</v>
      </c>
    </row>
    <row r="18849" spans="2:9" ht="15" customHeight="1" x14ac:dyDescent="0.25">
      <c r="B18849" s="55" t="s">
        <v>282</v>
      </c>
      <c r="C18849" s="46">
        <v>3837</v>
      </c>
      <c r="D18849" s="69" t="s">
        <v>29419</v>
      </c>
      <c r="E18849" s="51"/>
      <c r="F18849" s="114" t="str">
        <f>IF(INDEX(I.Facility.P3IDNumber,3837)="","",INDEX(I.Facility.P3IDNumber,3837))</f>
        <v/>
      </c>
      <c r="G18849" s="51"/>
      <c r="H18849" s="46" t="str">
        <f>IF(AND(I.Developer.P3=TRUE,I.Facility.P3FacilityCount&gt;=3837,F18849=""),"Incomplete","Complete")</f>
        <v>Complete</v>
      </c>
      <c r="I18849" s="48" t="s">
        <v>23214</v>
      </c>
    </row>
    <row r="18850" spans="2:9" ht="15" customHeight="1" x14ac:dyDescent="0.25">
      <c r="B18850" s="55" t="s">
        <v>282</v>
      </c>
      <c r="C18850" s="46">
        <v>3838</v>
      </c>
      <c r="D18850" s="69" t="s">
        <v>29419</v>
      </c>
      <c r="E18850" s="51"/>
      <c r="F18850" s="114" t="str">
        <f>IF(INDEX(I.Facility.P3IDNumber,3838)="","",INDEX(I.Facility.P3IDNumber,3838))</f>
        <v/>
      </c>
      <c r="G18850" s="51"/>
      <c r="H18850" s="46" t="str">
        <f>IF(AND(I.Developer.P3=TRUE,I.Facility.P3FacilityCount&gt;=3838,F18850=""),"Incomplete","Complete")</f>
        <v>Complete</v>
      </c>
      <c r="I18850" s="48" t="s">
        <v>23215</v>
      </c>
    </row>
    <row r="18851" spans="2:9" ht="15" customHeight="1" x14ac:dyDescent="0.25">
      <c r="B18851" s="55" t="s">
        <v>282</v>
      </c>
      <c r="C18851" s="46">
        <v>3839</v>
      </c>
      <c r="D18851" s="69" t="s">
        <v>29419</v>
      </c>
      <c r="E18851" s="51"/>
      <c r="F18851" s="114" t="str">
        <f>IF(INDEX(I.Facility.P3IDNumber,3839)="","",INDEX(I.Facility.P3IDNumber,3839))</f>
        <v/>
      </c>
      <c r="G18851" s="51"/>
      <c r="H18851" s="46" t="str">
        <f>IF(AND(I.Developer.P3=TRUE,I.Facility.P3FacilityCount&gt;=3839,F18851=""),"Incomplete","Complete")</f>
        <v>Complete</v>
      </c>
      <c r="I18851" s="48" t="s">
        <v>23216</v>
      </c>
    </row>
    <row r="18852" spans="2:9" ht="15" customHeight="1" x14ac:dyDescent="0.25">
      <c r="B18852" s="55" t="s">
        <v>282</v>
      </c>
      <c r="C18852" s="46">
        <v>3840</v>
      </c>
      <c r="D18852" s="69" t="s">
        <v>29419</v>
      </c>
      <c r="E18852" s="51"/>
      <c r="F18852" s="114" t="str">
        <f>IF(INDEX(I.Facility.P3IDNumber,3840)="","",INDEX(I.Facility.P3IDNumber,3840))</f>
        <v/>
      </c>
      <c r="G18852" s="51"/>
      <c r="H18852" s="46" t="str">
        <f>IF(AND(I.Developer.P3=TRUE,I.Facility.P3FacilityCount&gt;=3840,F18852=""),"Incomplete","Complete")</f>
        <v>Complete</v>
      </c>
      <c r="I18852" s="48" t="s">
        <v>23217</v>
      </c>
    </row>
    <row r="18853" spans="2:9" ht="15" customHeight="1" x14ac:dyDescent="0.25">
      <c r="B18853" s="55" t="s">
        <v>282</v>
      </c>
      <c r="C18853" s="46">
        <v>3841</v>
      </c>
      <c r="D18853" s="69" t="s">
        <v>29419</v>
      </c>
      <c r="E18853" s="51"/>
      <c r="F18853" s="114" t="str">
        <f>IF(INDEX(I.Facility.P3IDNumber,3841)="","",INDEX(I.Facility.P3IDNumber,3841))</f>
        <v/>
      </c>
      <c r="G18853" s="51"/>
      <c r="H18853" s="46" t="str">
        <f>IF(AND(I.Developer.P3=TRUE,I.Facility.P3FacilityCount&gt;=3841,F18853=""),"Incomplete","Complete")</f>
        <v>Complete</v>
      </c>
      <c r="I18853" s="48" t="s">
        <v>23218</v>
      </c>
    </row>
    <row r="18854" spans="2:9" ht="15" customHeight="1" x14ac:dyDescent="0.25">
      <c r="B18854" s="55" t="s">
        <v>282</v>
      </c>
      <c r="C18854" s="46">
        <v>3842</v>
      </c>
      <c r="D18854" s="69" t="s">
        <v>29419</v>
      </c>
      <c r="E18854" s="51"/>
      <c r="F18854" s="114" t="str">
        <f>IF(INDEX(I.Facility.P3IDNumber,3842)="","",INDEX(I.Facility.P3IDNumber,3842))</f>
        <v/>
      </c>
      <c r="G18854" s="51"/>
      <c r="H18854" s="46" t="str">
        <f>IF(AND(I.Developer.P3=TRUE,I.Facility.P3FacilityCount&gt;=3842,F18854=""),"Incomplete","Complete")</f>
        <v>Complete</v>
      </c>
      <c r="I18854" s="48" t="s">
        <v>23219</v>
      </c>
    </row>
    <row r="18855" spans="2:9" ht="15" customHeight="1" x14ac:dyDescent="0.25">
      <c r="B18855" s="55" t="s">
        <v>282</v>
      </c>
      <c r="C18855" s="46">
        <v>3843</v>
      </c>
      <c r="D18855" s="69" t="s">
        <v>29419</v>
      </c>
      <c r="E18855" s="51"/>
      <c r="F18855" s="114" t="str">
        <f>IF(INDEX(I.Facility.P3IDNumber,3843)="","",INDEX(I.Facility.P3IDNumber,3843))</f>
        <v/>
      </c>
      <c r="G18855" s="51"/>
      <c r="H18855" s="46" t="str">
        <f>IF(AND(I.Developer.P3=TRUE,I.Facility.P3FacilityCount&gt;=3843,F18855=""),"Incomplete","Complete")</f>
        <v>Complete</v>
      </c>
      <c r="I18855" s="48" t="s">
        <v>23220</v>
      </c>
    </row>
    <row r="18856" spans="2:9" ht="15" customHeight="1" x14ac:dyDescent="0.25">
      <c r="B18856" s="55" t="s">
        <v>282</v>
      </c>
      <c r="C18856" s="46">
        <v>3844</v>
      </c>
      <c r="D18856" s="69" t="s">
        <v>29419</v>
      </c>
      <c r="E18856" s="51"/>
      <c r="F18856" s="114" t="str">
        <f>IF(INDEX(I.Facility.P3IDNumber,3844)="","",INDEX(I.Facility.P3IDNumber,3844))</f>
        <v/>
      </c>
      <c r="G18856" s="51"/>
      <c r="H18856" s="46" t="str">
        <f>IF(AND(I.Developer.P3=TRUE,I.Facility.P3FacilityCount&gt;=3844,F18856=""),"Incomplete","Complete")</f>
        <v>Complete</v>
      </c>
      <c r="I18856" s="48" t="s">
        <v>23221</v>
      </c>
    </row>
    <row r="18857" spans="2:9" ht="15" customHeight="1" x14ac:dyDescent="0.25">
      <c r="B18857" s="55" t="s">
        <v>282</v>
      </c>
      <c r="C18857" s="46">
        <v>3845</v>
      </c>
      <c r="D18857" s="69" t="s">
        <v>29419</v>
      </c>
      <c r="E18857" s="51"/>
      <c r="F18857" s="114" t="str">
        <f>IF(INDEX(I.Facility.P3IDNumber,3845)="","",INDEX(I.Facility.P3IDNumber,3845))</f>
        <v/>
      </c>
      <c r="G18857" s="51"/>
      <c r="H18857" s="46" t="str">
        <f>IF(AND(I.Developer.P3=TRUE,I.Facility.P3FacilityCount&gt;=3845,F18857=""),"Incomplete","Complete")</f>
        <v>Complete</v>
      </c>
      <c r="I18857" s="48" t="s">
        <v>23222</v>
      </c>
    </row>
    <row r="18858" spans="2:9" ht="15" customHeight="1" x14ac:dyDescent="0.25">
      <c r="B18858" s="55" t="s">
        <v>282</v>
      </c>
      <c r="C18858" s="46">
        <v>3846</v>
      </c>
      <c r="D18858" s="69" t="s">
        <v>29419</v>
      </c>
      <c r="E18858" s="51"/>
      <c r="F18858" s="114" t="str">
        <f>IF(INDEX(I.Facility.P3IDNumber,3846)="","",INDEX(I.Facility.P3IDNumber,3846))</f>
        <v/>
      </c>
      <c r="G18858" s="51"/>
      <c r="H18858" s="46" t="str">
        <f>IF(AND(I.Developer.P3=TRUE,I.Facility.P3FacilityCount&gt;=3846,F18858=""),"Incomplete","Complete")</f>
        <v>Complete</v>
      </c>
      <c r="I18858" s="48" t="s">
        <v>23223</v>
      </c>
    </row>
    <row r="18859" spans="2:9" ht="15" customHeight="1" x14ac:dyDescent="0.25">
      <c r="B18859" s="55" t="s">
        <v>282</v>
      </c>
      <c r="C18859" s="46">
        <v>3847</v>
      </c>
      <c r="D18859" s="69" t="s">
        <v>29419</v>
      </c>
      <c r="E18859" s="51"/>
      <c r="F18859" s="114" t="str">
        <f>IF(INDEX(I.Facility.P3IDNumber,3847)="","",INDEX(I.Facility.P3IDNumber,3847))</f>
        <v/>
      </c>
      <c r="G18859" s="51"/>
      <c r="H18859" s="46" t="str">
        <f>IF(AND(I.Developer.P3=TRUE,I.Facility.P3FacilityCount&gt;=3847,F18859=""),"Incomplete","Complete")</f>
        <v>Complete</v>
      </c>
      <c r="I18859" s="48" t="s">
        <v>23224</v>
      </c>
    </row>
    <row r="18860" spans="2:9" ht="15" customHeight="1" x14ac:dyDescent="0.25">
      <c r="B18860" s="55" t="s">
        <v>282</v>
      </c>
      <c r="C18860" s="46">
        <v>3848</v>
      </c>
      <c r="D18860" s="69" t="s">
        <v>29419</v>
      </c>
      <c r="E18860" s="51"/>
      <c r="F18860" s="114" t="str">
        <f>IF(INDEX(I.Facility.P3IDNumber,3848)="","",INDEX(I.Facility.P3IDNumber,3848))</f>
        <v/>
      </c>
      <c r="G18860" s="51"/>
      <c r="H18860" s="46" t="str">
        <f>IF(AND(I.Developer.P3=TRUE,I.Facility.P3FacilityCount&gt;=3848,F18860=""),"Incomplete","Complete")</f>
        <v>Complete</v>
      </c>
      <c r="I18860" s="48" t="s">
        <v>23225</v>
      </c>
    </row>
    <row r="18861" spans="2:9" ht="15" customHeight="1" x14ac:dyDescent="0.25">
      <c r="B18861" s="55" t="s">
        <v>282</v>
      </c>
      <c r="C18861" s="46">
        <v>3849</v>
      </c>
      <c r="D18861" s="69" t="s">
        <v>29419</v>
      </c>
      <c r="E18861" s="51"/>
      <c r="F18861" s="114" t="str">
        <f>IF(INDEX(I.Facility.P3IDNumber,3849)="","",INDEX(I.Facility.P3IDNumber,3849))</f>
        <v/>
      </c>
      <c r="G18861" s="51"/>
      <c r="H18861" s="46" t="str">
        <f>IF(AND(I.Developer.P3=TRUE,I.Facility.P3FacilityCount&gt;=3849,F18861=""),"Incomplete","Complete")</f>
        <v>Complete</v>
      </c>
      <c r="I18861" s="48" t="s">
        <v>23226</v>
      </c>
    </row>
    <row r="18862" spans="2:9" ht="15" customHeight="1" x14ac:dyDescent="0.25">
      <c r="B18862" s="55" t="s">
        <v>282</v>
      </c>
      <c r="C18862" s="46">
        <v>3850</v>
      </c>
      <c r="D18862" s="69" t="s">
        <v>29419</v>
      </c>
      <c r="E18862" s="51"/>
      <c r="F18862" s="114" t="str">
        <f>IF(INDEX(I.Facility.P3IDNumber,3850)="","",INDEX(I.Facility.P3IDNumber,3850))</f>
        <v/>
      </c>
      <c r="G18862" s="51"/>
      <c r="H18862" s="46" t="str">
        <f>IF(AND(I.Developer.P3=TRUE,I.Facility.P3FacilityCount&gt;=3850,F18862=""),"Incomplete","Complete")</f>
        <v>Complete</v>
      </c>
      <c r="I18862" s="48" t="s">
        <v>23227</v>
      </c>
    </row>
    <row r="18863" spans="2:9" ht="15" customHeight="1" x14ac:dyDescent="0.25">
      <c r="B18863" s="55" t="s">
        <v>282</v>
      </c>
      <c r="C18863" s="46">
        <v>3851</v>
      </c>
      <c r="D18863" s="69" t="s">
        <v>29419</v>
      </c>
      <c r="E18863" s="51"/>
      <c r="F18863" s="114" t="str">
        <f>IF(INDEX(I.Facility.P3IDNumber,3851)="","",INDEX(I.Facility.P3IDNumber,3851))</f>
        <v/>
      </c>
      <c r="G18863" s="51"/>
      <c r="H18863" s="46" t="str">
        <f>IF(AND(I.Developer.P3=TRUE,I.Facility.P3FacilityCount&gt;=3851,F18863=""),"Incomplete","Complete")</f>
        <v>Complete</v>
      </c>
      <c r="I18863" s="48" t="s">
        <v>23228</v>
      </c>
    </row>
    <row r="18864" spans="2:9" ht="15" customHeight="1" x14ac:dyDescent="0.25">
      <c r="B18864" s="55" t="s">
        <v>282</v>
      </c>
      <c r="C18864" s="46">
        <v>3852</v>
      </c>
      <c r="D18864" s="69" t="s">
        <v>29419</v>
      </c>
      <c r="E18864" s="51"/>
      <c r="F18864" s="114" t="str">
        <f>IF(INDEX(I.Facility.P3IDNumber,3852)="","",INDEX(I.Facility.P3IDNumber,3852))</f>
        <v/>
      </c>
      <c r="G18864" s="51"/>
      <c r="H18864" s="46" t="str">
        <f>IF(AND(I.Developer.P3=TRUE,I.Facility.P3FacilityCount&gt;=3852,F18864=""),"Incomplete","Complete")</f>
        <v>Complete</v>
      </c>
      <c r="I18864" s="48" t="s">
        <v>23229</v>
      </c>
    </row>
    <row r="18865" spans="2:9" ht="15" customHeight="1" x14ac:dyDescent="0.25">
      <c r="B18865" s="55" t="s">
        <v>282</v>
      </c>
      <c r="C18865" s="46">
        <v>3853</v>
      </c>
      <c r="D18865" s="69" t="s">
        <v>29419</v>
      </c>
      <c r="E18865" s="51"/>
      <c r="F18865" s="114" t="str">
        <f>IF(INDEX(I.Facility.P3IDNumber,3853)="","",INDEX(I.Facility.P3IDNumber,3853))</f>
        <v/>
      </c>
      <c r="G18865" s="51"/>
      <c r="H18865" s="46" t="str">
        <f>IF(AND(I.Developer.P3=TRUE,I.Facility.P3FacilityCount&gt;=3853,F18865=""),"Incomplete","Complete")</f>
        <v>Complete</v>
      </c>
      <c r="I18865" s="48" t="s">
        <v>23230</v>
      </c>
    </row>
    <row r="18866" spans="2:9" ht="15" customHeight="1" x14ac:dyDescent="0.25">
      <c r="B18866" s="55" t="s">
        <v>282</v>
      </c>
      <c r="C18866" s="46">
        <v>3854</v>
      </c>
      <c r="D18866" s="69" t="s">
        <v>29419</v>
      </c>
      <c r="E18866" s="51"/>
      <c r="F18866" s="114" t="str">
        <f>IF(INDEX(I.Facility.P3IDNumber,3854)="","",INDEX(I.Facility.P3IDNumber,3854))</f>
        <v/>
      </c>
      <c r="G18866" s="51"/>
      <c r="H18866" s="46" t="str">
        <f>IF(AND(I.Developer.P3=TRUE,I.Facility.P3FacilityCount&gt;=3854,F18866=""),"Incomplete","Complete")</f>
        <v>Complete</v>
      </c>
      <c r="I18866" s="48" t="s">
        <v>23231</v>
      </c>
    </row>
    <row r="18867" spans="2:9" ht="15" customHeight="1" x14ac:dyDescent="0.25">
      <c r="B18867" s="55" t="s">
        <v>282</v>
      </c>
      <c r="C18867" s="46">
        <v>3855</v>
      </c>
      <c r="D18867" s="69" t="s">
        <v>29419</v>
      </c>
      <c r="E18867" s="51"/>
      <c r="F18867" s="114" t="str">
        <f>IF(INDEX(I.Facility.P3IDNumber,3855)="","",INDEX(I.Facility.P3IDNumber,3855))</f>
        <v/>
      </c>
      <c r="G18867" s="51"/>
      <c r="H18867" s="46" t="str">
        <f>IF(AND(I.Developer.P3=TRUE,I.Facility.P3FacilityCount&gt;=3855,F18867=""),"Incomplete","Complete")</f>
        <v>Complete</v>
      </c>
      <c r="I18867" s="48" t="s">
        <v>23232</v>
      </c>
    </row>
    <row r="18868" spans="2:9" ht="15" customHeight="1" x14ac:dyDescent="0.25">
      <c r="B18868" s="55" t="s">
        <v>282</v>
      </c>
      <c r="C18868" s="46">
        <v>3856</v>
      </c>
      <c r="D18868" s="69" t="s">
        <v>29419</v>
      </c>
      <c r="E18868" s="51"/>
      <c r="F18868" s="114" t="str">
        <f>IF(INDEX(I.Facility.P3IDNumber,3856)="","",INDEX(I.Facility.P3IDNumber,3856))</f>
        <v/>
      </c>
      <c r="G18868" s="51"/>
      <c r="H18868" s="46" t="str">
        <f>IF(AND(I.Developer.P3=TRUE,I.Facility.P3FacilityCount&gt;=3856,F18868=""),"Incomplete","Complete")</f>
        <v>Complete</v>
      </c>
      <c r="I18868" s="48" t="s">
        <v>23233</v>
      </c>
    </row>
    <row r="18869" spans="2:9" ht="15" customHeight="1" x14ac:dyDescent="0.25">
      <c r="B18869" s="55" t="s">
        <v>282</v>
      </c>
      <c r="C18869" s="46">
        <v>3857</v>
      </c>
      <c r="D18869" s="69" t="s">
        <v>29419</v>
      </c>
      <c r="E18869" s="51"/>
      <c r="F18869" s="114" t="str">
        <f>IF(INDEX(I.Facility.P3IDNumber,3857)="","",INDEX(I.Facility.P3IDNumber,3857))</f>
        <v/>
      </c>
      <c r="G18869" s="51"/>
      <c r="H18869" s="46" t="str">
        <f>IF(AND(I.Developer.P3=TRUE,I.Facility.P3FacilityCount&gt;=3857,F18869=""),"Incomplete","Complete")</f>
        <v>Complete</v>
      </c>
      <c r="I18869" s="48" t="s">
        <v>23234</v>
      </c>
    </row>
    <row r="18870" spans="2:9" ht="15" customHeight="1" x14ac:dyDescent="0.25">
      <c r="B18870" s="55" t="s">
        <v>282</v>
      </c>
      <c r="C18870" s="46">
        <v>3858</v>
      </c>
      <c r="D18870" s="69" t="s">
        <v>29419</v>
      </c>
      <c r="E18870" s="51"/>
      <c r="F18870" s="114" t="str">
        <f>IF(INDEX(I.Facility.P3IDNumber,3858)="","",INDEX(I.Facility.P3IDNumber,3858))</f>
        <v/>
      </c>
      <c r="G18870" s="51"/>
      <c r="H18870" s="46" t="str">
        <f>IF(AND(I.Developer.P3=TRUE,I.Facility.P3FacilityCount&gt;=3858,F18870=""),"Incomplete","Complete")</f>
        <v>Complete</v>
      </c>
      <c r="I18870" s="48" t="s">
        <v>23235</v>
      </c>
    </row>
    <row r="18871" spans="2:9" ht="15" customHeight="1" x14ac:dyDescent="0.25">
      <c r="B18871" s="55" t="s">
        <v>282</v>
      </c>
      <c r="C18871" s="46">
        <v>3859</v>
      </c>
      <c r="D18871" s="69" t="s">
        <v>29419</v>
      </c>
      <c r="E18871" s="51"/>
      <c r="F18871" s="114" t="str">
        <f>IF(INDEX(I.Facility.P3IDNumber,3859)="","",INDEX(I.Facility.P3IDNumber,3859))</f>
        <v/>
      </c>
      <c r="G18871" s="51"/>
      <c r="H18871" s="46" t="str">
        <f>IF(AND(I.Developer.P3=TRUE,I.Facility.P3FacilityCount&gt;=3859,F18871=""),"Incomplete","Complete")</f>
        <v>Complete</v>
      </c>
      <c r="I18871" s="48" t="s">
        <v>23236</v>
      </c>
    </row>
    <row r="18872" spans="2:9" ht="15" customHeight="1" x14ac:dyDescent="0.25">
      <c r="B18872" s="55" t="s">
        <v>282</v>
      </c>
      <c r="C18872" s="46">
        <v>3860</v>
      </c>
      <c r="D18872" s="69" t="s">
        <v>29419</v>
      </c>
      <c r="E18872" s="51"/>
      <c r="F18872" s="114" t="str">
        <f>IF(INDEX(I.Facility.P3IDNumber,3860)="","",INDEX(I.Facility.P3IDNumber,3860))</f>
        <v/>
      </c>
      <c r="G18872" s="51"/>
      <c r="H18872" s="46" t="str">
        <f>IF(AND(I.Developer.P3=TRUE,I.Facility.P3FacilityCount&gt;=3860,F18872=""),"Incomplete","Complete")</f>
        <v>Complete</v>
      </c>
      <c r="I18872" s="48" t="s">
        <v>23237</v>
      </c>
    </row>
    <row r="18873" spans="2:9" ht="15" customHeight="1" x14ac:dyDescent="0.25">
      <c r="B18873" s="55" t="s">
        <v>282</v>
      </c>
      <c r="C18873" s="46">
        <v>3861</v>
      </c>
      <c r="D18873" s="69" t="s">
        <v>29419</v>
      </c>
      <c r="E18873" s="51"/>
      <c r="F18873" s="114" t="str">
        <f>IF(INDEX(I.Facility.P3IDNumber,3861)="","",INDEX(I.Facility.P3IDNumber,3861))</f>
        <v/>
      </c>
      <c r="G18873" s="51"/>
      <c r="H18873" s="46" t="str">
        <f>IF(AND(I.Developer.P3=TRUE,I.Facility.P3FacilityCount&gt;=3861,F18873=""),"Incomplete","Complete")</f>
        <v>Complete</v>
      </c>
      <c r="I18873" s="48" t="s">
        <v>23238</v>
      </c>
    </row>
    <row r="18874" spans="2:9" ht="15" customHeight="1" x14ac:dyDescent="0.25">
      <c r="B18874" s="55" t="s">
        <v>282</v>
      </c>
      <c r="C18874" s="46">
        <v>3862</v>
      </c>
      <c r="D18874" s="69" t="s">
        <v>29419</v>
      </c>
      <c r="E18874" s="51"/>
      <c r="F18874" s="114" t="str">
        <f>IF(INDEX(I.Facility.P3IDNumber,3862)="","",INDEX(I.Facility.P3IDNumber,3862))</f>
        <v/>
      </c>
      <c r="G18874" s="51"/>
      <c r="H18874" s="46" t="str">
        <f>IF(AND(I.Developer.P3=TRUE,I.Facility.P3FacilityCount&gt;=3862,F18874=""),"Incomplete","Complete")</f>
        <v>Complete</v>
      </c>
      <c r="I18874" s="48" t="s">
        <v>23239</v>
      </c>
    </row>
    <row r="18875" spans="2:9" ht="15" customHeight="1" x14ac:dyDescent="0.25">
      <c r="B18875" s="55" t="s">
        <v>282</v>
      </c>
      <c r="C18875" s="46">
        <v>3863</v>
      </c>
      <c r="D18875" s="69" t="s">
        <v>29419</v>
      </c>
      <c r="E18875" s="51"/>
      <c r="F18875" s="114" t="str">
        <f>IF(INDEX(I.Facility.P3IDNumber,3863)="","",INDEX(I.Facility.P3IDNumber,3863))</f>
        <v/>
      </c>
      <c r="G18875" s="51"/>
      <c r="H18875" s="46" t="str">
        <f>IF(AND(I.Developer.P3=TRUE,I.Facility.P3FacilityCount&gt;=3863,F18875=""),"Incomplete","Complete")</f>
        <v>Complete</v>
      </c>
      <c r="I18875" s="48" t="s">
        <v>23240</v>
      </c>
    </row>
    <row r="18876" spans="2:9" ht="15" customHeight="1" x14ac:dyDescent="0.25">
      <c r="B18876" s="55" t="s">
        <v>282</v>
      </c>
      <c r="C18876" s="46">
        <v>3864</v>
      </c>
      <c r="D18876" s="69" t="s">
        <v>29419</v>
      </c>
      <c r="E18876" s="51"/>
      <c r="F18876" s="114" t="str">
        <f>IF(INDEX(I.Facility.P3IDNumber,3864)="","",INDEX(I.Facility.P3IDNumber,3864))</f>
        <v/>
      </c>
      <c r="G18876" s="51"/>
      <c r="H18876" s="46" t="str">
        <f>IF(AND(I.Developer.P3=TRUE,I.Facility.P3FacilityCount&gt;=3864,F18876=""),"Incomplete","Complete")</f>
        <v>Complete</v>
      </c>
      <c r="I18876" s="48" t="s">
        <v>23241</v>
      </c>
    </row>
    <row r="18877" spans="2:9" ht="15" customHeight="1" x14ac:dyDescent="0.25">
      <c r="B18877" s="55" t="s">
        <v>282</v>
      </c>
      <c r="C18877" s="46">
        <v>3865</v>
      </c>
      <c r="D18877" s="69" t="s">
        <v>29419</v>
      </c>
      <c r="E18877" s="51"/>
      <c r="F18877" s="114" t="str">
        <f>IF(INDEX(I.Facility.P3IDNumber,3865)="","",INDEX(I.Facility.P3IDNumber,3865))</f>
        <v/>
      </c>
      <c r="G18877" s="51"/>
      <c r="H18877" s="46" t="str">
        <f>IF(AND(I.Developer.P3=TRUE,I.Facility.P3FacilityCount&gt;=3865,F18877=""),"Incomplete","Complete")</f>
        <v>Complete</v>
      </c>
      <c r="I18877" s="48" t="s">
        <v>23242</v>
      </c>
    </row>
    <row r="18878" spans="2:9" ht="15" customHeight="1" x14ac:dyDescent="0.25">
      <c r="B18878" s="55" t="s">
        <v>282</v>
      </c>
      <c r="C18878" s="46">
        <v>3866</v>
      </c>
      <c r="D18878" s="69" t="s">
        <v>29419</v>
      </c>
      <c r="E18878" s="51"/>
      <c r="F18878" s="114" t="str">
        <f>IF(INDEX(I.Facility.P3IDNumber,3866)="","",INDEX(I.Facility.P3IDNumber,3866))</f>
        <v/>
      </c>
      <c r="G18878" s="51"/>
      <c r="H18878" s="46" t="str">
        <f>IF(AND(I.Developer.P3=TRUE,I.Facility.P3FacilityCount&gt;=3866,F18878=""),"Incomplete","Complete")</f>
        <v>Complete</v>
      </c>
      <c r="I18878" s="48" t="s">
        <v>23243</v>
      </c>
    </row>
    <row r="18879" spans="2:9" ht="15" customHeight="1" x14ac:dyDescent="0.25">
      <c r="B18879" s="55" t="s">
        <v>282</v>
      </c>
      <c r="C18879" s="46">
        <v>3867</v>
      </c>
      <c r="D18879" s="69" t="s">
        <v>29419</v>
      </c>
      <c r="E18879" s="51"/>
      <c r="F18879" s="114" t="str">
        <f>IF(INDEX(I.Facility.P3IDNumber,3867)="","",INDEX(I.Facility.P3IDNumber,3867))</f>
        <v/>
      </c>
      <c r="G18879" s="51"/>
      <c r="H18879" s="46" t="str">
        <f>IF(AND(I.Developer.P3=TRUE,I.Facility.P3FacilityCount&gt;=3867,F18879=""),"Incomplete","Complete")</f>
        <v>Complete</v>
      </c>
      <c r="I18879" s="48" t="s">
        <v>23244</v>
      </c>
    </row>
    <row r="18880" spans="2:9" ht="15" customHeight="1" x14ac:dyDescent="0.25">
      <c r="B18880" s="55" t="s">
        <v>282</v>
      </c>
      <c r="C18880" s="46">
        <v>3868</v>
      </c>
      <c r="D18880" s="69" t="s">
        <v>29419</v>
      </c>
      <c r="E18880" s="51"/>
      <c r="F18880" s="114" t="str">
        <f>IF(INDEX(I.Facility.P3IDNumber,3868)="","",INDEX(I.Facility.P3IDNumber,3868))</f>
        <v/>
      </c>
      <c r="G18880" s="51"/>
      <c r="H18880" s="46" t="str">
        <f>IF(AND(I.Developer.P3=TRUE,I.Facility.P3FacilityCount&gt;=3868,F18880=""),"Incomplete","Complete")</f>
        <v>Complete</v>
      </c>
      <c r="I18880" s="48" t="s">
        <v>23245</v>
      </c>
    </row>
    <row r="18881" spans="2:9" ht="15" customHeight="1" x14ac:dyDescent="0.25">
      <c r="B18881" s="55" t="s">
        <v>282</v>
      </c>
      <c r="C18881" s="46">
        <v>3869</v>
      </c>
      <c r="D18881" s="69" t="s">
        <v>29419</v>
      </c>
      <c r="E18881" s="51"/>
      <c r="F18881" s="114" t="str">
        <f>IF(INDEX(I.Facility.P3IDNumber,3869)="","",INDEX(I.Facility.P3IDNumber,3869))</f>
        <v/>
      </c>
      <c r="G18881" s="51"/>
      <c r="H18881" s="46" t="str">
        <f>IF(AND(I.Developer.P3=TRUE,I.Facility.P3FacilityCount&gt;=3869,F18881=""),"Incomplete","Complete")</f>
        <v>Complete</v>
      </c>
      <c r="I18881" s="48" t="s">
        <v>23246</v>
      </c>
    </row>
    <row r="18882" spans="2:9" ht="15" customHeight="1" x14ac:dyDescent="0.25">
      <c r="B18882" s="55" t="s">
        <v>282</v>
      </c>
      <c r="C18882" s="46">
        <v>3870</v>
      </c>
      <c r="D18882" s="69" t="s">
        <v>29419</v>
      </c>
      <c r="E18882" s="51"/>
      <c r="F18882" s="114" t="str">
        <f>IF(INDEX(I.Facility.P3IDNumber,3870)="","",INDEX(I.Facility.P3IDNumber,3870))</f>
        <v/>
      </c>
      <c r="G18882" s="51"/>
      <c r="H18882" s="46" t="str">
        <f>IF(AND(I.Developer.P3=TRUE,I.Facility.P3FacilityCount&gt;=3870,F18882=""),"Incomplete","Complete")</f>
        <v>Complete</v>
      </c>
      <c r="I18882" s="48" t="s">
        <v>23247</v>
      </c>
    </row>
    <row r="18883" spans="2:9" ht="15" customHeight="1" x14ac:dyDescent="0.25">
      <c r="B18883" s="55" t="s">
        <v>282</v>
      </c>
      <c r="C18883" s="46">
        <v>3871</v>
      </c>
      <c r="D18883" s="69" t="s">
        <v>29419</v>
      </c>
      <c r="E18883" s="51"/>
      <c r="F18883" s="114" t="str">
        <f>IF(INDEX(I.Facility.P3IDNumber,3871)="","",INDEX(I.Facility.P3IDNumber,3871))</f>
        <v/>
      </c>
      <c r="G18883" s="51"/>
      <c r="H18883" s="46" t="str">
        <f>IF(AND(I.Developer.P3=TRUE,I.Facility.P3FacilityCount&gt;=3871,F18883=""),"Incomplete","Complete")</f>
        <v>Complete</v>
      </c>
      <c r="I18883" s="48" t="s">
        <v>23248</v>
      </c>
    </row>
    <row r="18884" spans="2:9" ht="15" customHeight="1" x14ac:dyDescent="0.25">
      <c r="B18884" s="55" t="s">
        <v>282</v>
      </c>
      <c r="C18884" s="46">
        <v>3872</v>
      </c>
      <c r="D18884" s="69" t="s">
        <v>29419</v>
      </c>
      <c r="E18884" s="51"/>
      <c r="F18884" s="114" t="str">
        <f>IF(INDEX(I.Facility.P3IDNumber,3872)="","",INDEX(I.Facility.P3IDNumber,3872))</f>
        <v/>
      </c>
      <c r="G18884" s="51"/>
      <c r="H18884" s="46" t="str">
        <f>IF(AND(I.Developer.P3=TRUE,I.Facility.P3FacilityCount&gt;=3872,F18884=""),"Incomplete","Complete")</f>
        <v>Complete</v>
      </c>
      <c r="I18884" s="48" t="s">
        <v>23249</v>
      </c>
    </row>
    <row r="18885" spans="2:9" ht="15" customHeight="1" x14ac:dyDescent="0.25">
      <c r="B18885" s="55" t="s">
        <v>282</v>
      </c>
      <c r="C18885" s="46">
        <v>3873</v>
      </c>
      <c r="D18885" s="69" t="s">
        <v>29419</v>
      </c>
      <c r="E18885" s="51"/>
      <c r="F18885" s="114" t="str">
        <f>IF(INDEX(I.Facility.P3IDNumber,3873)="","",INDEX(I.Facility.P3IDNumber,3873))</f>
        <v/>
      </c>
      <c r="G18885" s="51"/>
      <c r="H18885" s="46" t="str">
        <f>IF(AND(I.Developer.P3=TRUE,I.Facility.P3FacilityCount&gt;=3873,F18885=""),"Incomplete","Complete")</f>
        <v>Complete</v>
      </c>
      <c r="I18885" s="48" t="s">
        <v>23250</v>
      </c>
    </row>
    <row r="18886" spans="2:9" ht="15" customHeight="1" x14ac:dyDescent="0.25">
      <c r="B18886" s="55" t="s">
        <v>282</v>
      </c>
      <c r="C18886" s="46">
        <v>3874</v>
      </c>
      <c r="D18886" s="69" t="s">
        <v>29419</v>
      </c>
      <c r="E18886" s="51"/>
      <c r="F18886" s="114" t="str">
        <f>IF(INDEX(I.Facility.P3IDNumber,3874)="","",INDEX(I.Facility.P3IDNumber,3874))</f>
        <v/>
      </c>
      <c r="G18886" s="51"/>
      <c r="H18886" s="46" t="str">
        <f>IF(AND(I.Developer.P3=TRUE,I.Facility.P3FacilityCount&gt;=3874,F18886=""),"Incomplete","Complete")</f>
        <v>Complete</v>
      </c>
      <c r="I18886" s="48" t="s">
        <v>23251</v>
      </c>
    </row>
    <row r="18887" spans="2:9" ht="15" customHeight="1" x14ac:dyDescent="0.25">
      <c r="B18887" s="55" t="s">
        <v>282</v>
      </c>
      <c r="C18887" s="46">
        <v>3875</v>
      </c>
      <c r="D18887" s="69" t="s">
        <v>29419</v>
      </c>
      <c r="E18887" s="51"/>
      <c r="F18887" s="114" t="str">
        <f>IF(INDEX(I.Facility.P3IDNumber,3875)="","",INDEX(I.Facility.P3IDNumber,3875))</f>
        <v/>
      </c>
      <c r="G18887" s="51"/>
      <c r="H18887" s="46" t="str">
        <f>IF(AND(I.Developer.P3=TRUE,I.Facility.P3FacilityCount&gt;=3875,F18887=""),"Incomplete","Complete")</f>
        <v>Complete</v>
      </c>
      <c r="I18887" s="48" t="s">
        <v>23252</v>
      </c>
    </row>
    <row r="18888" spans="2:9" ht="15" customHeight="1" x14ac:dyDescent="0.25">
      <c r="B18888" s="55" t="s">
        <v>282</v>
      </c>
      <c r="C18888" s="46">
        <v>3876</v>
      </c>
      <c r="D18888" s="69" t="s">
        <v>29419</v>
      </c>
      <c r="E18888" s="51"/>
      <c r="F18888" s="114" t="str">
        <f>IF(INDEX(I.Facility.P3IDNumber,3876)="","",INDEX(I.Facility.P3IDNumber,3876))</f>
        <v/>
      </c>
      <c r="G18888" s="51"/>
      <c r="H18888" s="46" t="str">
        <f>IF(AND(I.Developer.P3=TRUE,I.Facility.P3FacilityCount&gt;=3876,F18888=""),"Incomplete","Complete")</f>
        <v>Complete</v>
      </c>
      <c r="I18888" s="48" t="s">
        <v>23253</v>
      </c>
    </row>
    <row r="18889" spans="2:9" ht="15" customHeight="1" x14ac:dyDescent="0.25">
      <c r="B18889" s="55" t="s">
        <v>282</v>
      </c>
      <c r="C18889" s="46">
        <v>3877</v>
      </c>
      <c r="D18889" s="69" t="s">
        <v>29419</v>
      </c>
      <c r="E18889" s="51"/>
      <c r="F18889" s="114" t="str">
        <f>IF(INDEX(I.Facility.P3IDNumber,3877)="","",INDEX(I.Facility.P3IDNumber,3877))</f>
        <v/>
      </c>
      <c r="G18889" s="51"/>
      <c r="H18889" s="46" t="str">
        <f>IF(AND(I.Developer.P3=TRUE,I.Facility.P3FacilityCount&gt;=3877,F18889=""),"Incomplete","Complete")</f>
        <v>Complete</v>
      </c>
      <c r="I18889" s="48" t="s">
        <v>23254</v>
      </c>
    </row>
    <row r="18890" spans="2:9" ht="15" customHeight="1" x14ac:dyDescent="0.25">
      <c r="B18890" s="55" t="s">
        <v>282</v>
      </c>
      <c r="C18890" s="46">
        <v>3878</v>
      </c>
      <c r="D18890" s="69" t="s">
        <v>29419</v>
      </c>
      <c r="E18890" s="51"/>
      <c r="F18890" s="114" t="str">
        <f>IF(INDEX(I.Facility.P3IDNumber,3878)="","",INDEX(I.Facility.P3IDNumber,3878))</f>
        <v/>
      </c>
      <c r="G18890" s="51"/>
      <c r="H18890" s="46" t="str">
        <f>IF(AND(I.Developer.P3=TRUE,I.Facility.P3FacilityCount&gt;=3878,F18890=""),"Incomplete","Complete")</f>
        <v>Complete</v>
      </c>
      <c r="I18890" s="48" t="s">
        <v>23255</v>
      </c>
    </row>
    <row r="18891" spans="2:9" ht="15" customHeight="1" x14ac:dyDescent="0.25">
      <c r="B18891" s="55" t="s">
        <v>282</v>
      </c>
      <c r="C18891" s="46">
        <v>3879</v>
      </c>
      <c r="D18891" s="69" t="s">
        <v>29419</v>
      </c>
      <c r="E18891" s="51"/>
      <c r="F18891" s="114" t="str">
        <f>IF(INDEX(I.Facility.P3IDNumber,3879)="","",INDEX(I.Facility.P3IDNumber,3879))</f>
        <v/>
      </c>
      <c r="G18891" s="51"/>
      <c r="H18891" s="46" t="str">
        <f>IF(AND(I.Developer.P3=TRUE,I.Facility.P3FacilityCount&gt;=3879,F18891=""),"Incomplete","Complete")</f>
        <v>Complete</v>
      </c>
      <c r="I18891" s="48" t="s">
        <v>23256</v>
      </c>
    </row>
    <row r="18892" spans="2:9" ht="15" customHeight="1" x14ac:dyDescent="0.25">
      <c r="B18892" s="55" t="s">
        <v>282</v>
      </c>
      <c r="C18892" s="46">
        <v>3880</v>
      </c>
      <c r="D18892" s="69" t="s">
        <v>29419</v>
      </c>
      <c r="E18892" s="51"/>
      <c r="F18892" s="114" t="str">
        <f>IF(INDEX(I.Facility.P3IDNumber,3880)="","",INDEX(I.Facility.P3IDNumber,3880))</f>
        <v/>
      </c>
      <c r="G18892" s="51"/>
      <c r="H18892" s="46" t="str">
        <f>IF(AND(I.Developer.P3=TRUE,I.Facility.P3FacilityCount&gt;=3880,F18892=""),"Incomplete","Complete")</f>
        <v>Complete</v>
      </c>
      <c r="I18892" s="48" t="s">
        <v>23257</v>
      </c>
    </row>
    <row r="18893" spans="2:9" ht="15" customHeight="1" x14ac:dyDescent="0.25">
      <c r="B18893" s="55" t="s">
        <v>282</v>
      </c>
      <c r="C18893" s="46">
        <v>3881</v>
      </c>
      <c r="D18893" s="69" t="s">
        <v>29419</v>
      </c>
      <c r="E18893" s="51"/>
      <c r="F18893" s="114" t="str">
        <f>IF(INDEX(I.Facility.P3IDNumber,3881)="","",INDEX(I.Facility.P3IDNumber,3881))</f>
        <v/>
      </c>
      <c r="G18893" s="51"/>
      <c r="H18893" s="46" t="str">
        <f>IF(AND(I.Developer.P3=TRUE,I.Facility.P3FacilityCount&gt;=3881,F18893=""),"Incomplete","Complete")</f>
        <v>Complete</v>
      </c>
      <c r="I18893" s="48" t="s">
        <v>23258</v>
      </c>
    </row>
    <row r="18894" spans="2:9" ht="15" customHeight="1" x14ac:dyDescent="0.25">
      <c r="B18894" s="55" t="s">
        <v>282</v>
      </c>
      <c r="C18894" s="46">
        <v>3882</v>
      </c>
      <c r="D18894" s="69" t="s">
        <v>29419</v>
      </c>
      <c r="E18894" s="51"/>
      <c r="F18894" s="114" t="str">
        <f>IF(INDEX(I.Facility.P3IDNumber,3882)="","",INDEX(I.Facility.P3IDNumber,3882))</f>
        <v/>
      </c>
      <c r="G18894" s="51"/>
      <c r="H18894" s="46" t="str">
        <f>IF(AND(I.Developer.P3=TRUE,I.Facility.P3FacilityCount&gt;=3882,F18894=""),"Incomplete","Complete")</f>
        <v>Complete</v>
      </c>
      <c r="I18894" s="48" t="s">
        <v>23259</v>
      </c>
    </row>
    <row r="18895" spans="2:9" ht="15" customHeight="1" x14ac:dyDescent="0.25">
      <c r="B18895" s="55" t="s">
        <v>282</v>
      </c>
      <c r="C18895" s="46">
        <v>3883</v>
      </c>
      <c r="D18895" s="69" t="s">
        <v>29419</v>
      </c>
      <c r="E18895" s="51"/>
      <c r="F18895" s="114" t="str">
        <f>IF(INDEX(I.Facility.P3IDNumber,3883)="","",INDEX(I.Facility.P3IDNumber,3883))</f>
        <v/>
      </c>
      <c r="G18895" s="51"/>
      <c r="H18895" s="46" t="str">
        <f>IF(AND(I.Developer.P3=TRUE,I.Facility.P3FacilityCount&gt;=3883,F18895=""),"Incomplete","Complete")</f>
        <v>Complete</v>
      </c>
      <c r="I18895" s="48" t="s">
        <v>23260</v>
      </c>
    </row>
    <row r="18896" spans="2:9" ht="15" customHeight="1" x14ac:dyDescent="0.25">
      <c r="B18896" s="55" t="s">
        <v>282</v>
      </c>
      <c r="C18896" s="46">
        <v>3884</v>
      </c>
      <c r="D18896" s="69" t="s">
        <v>29419</v>
      </c>
      <c r="E18896" s="51"/>
      <c r="F18896" s="114" t="str">
        <f>IF(INDEX(I.Facility.P3IDNumber,3884)="","",INDEX(I.Facility.P3IDNumber,3884))</f>
        <v/>
      </c>
      <c r="G18896" s="51"/>
      <c r="H18896" s="46" t="str">
        <f>IF(AND(I.Developer.P3=TRUE,I.Facility.P3FacilityCount&gt;=3884,F18896=""),"Incomplete","Complete")</f>
        <v>Complete</v>
      </c>
      <c r="I18896" s="48" t="s">
        <v>23261</v>
      </c>
    </row>
    <row r="18897" spans="2:9" ht="15" customHeight="1" x14ac:dyDescent="0.25">
      <c r="B18897" s="55" t="s">
        <v>282</v>
      </c>
      <c r="C18897" s="46">
        <v>3885</v>
      </c>
      <c r="D18897" s="69" t="s">
        <v>29419</v>
      </c>
      <c r="E18897" s="51"/>
      <c r="F18897" s="114" t="str">
        <f>IF(INDEX(I.Facility.P3IDNumber,3885)="","",INDEX(I.Facility.P3IDNumber,3885))</f>
        <v/>
      </c>
      <c r="G18897" s="51"/>
      <c r="H18897" s="46" t="str">
        <f>IF(AND(I.Developer.P3=TRUE,I.Facility.P3FacilityCount&gt;=3885,F18897=""),"Incomplete","Complete")</f>
        <v>Complete</v>
      </c>
      <c r="I18897" s="48" t="s">
        <v>23262</v>
      </c>
    </row>
    <row r="18898" spans="2:9" ht="15" customHeight="1" x14ac:dyDescent="0.25">
      <c r="B18898" s="55" t="s">
        <v>282</v>
      </c>
      <c r="C18898" s="46">
        <v>3886</v>
      </c>
      <c r="D18898" s="69" t="s">
        <v>29419</v>
      </c>
      <c r="E18898" s="51"/>
      <c r="F18898" s="114" t="str">
        <f>IF(INDEX(I.Facility.P3IDNumber,3886)="","",INDEX(I.Facility.P3IDNumber,3886))</f>
        <v/>
      </c>
      <c r="G18898" s="51"/>
      <c r="H18898" s="46" t="str">
        <f>IF(AND(I.Developer.P3=TRUE,I.Facility.P3FacilityCount&gt;=3886,F18898=""),"Incomplete","Complete")</f>
        <v>Complete</v>
      </c>
      <c r="I18898" s="48" t="s">
        <v>23263</v>
      </c>
    </row>
    <row r="18899" spans="2:9" ht="15" customHeight="1" x14ac:dyDescent="0.25">
      <c r="B18899" s="55" t="s">
        <v>282</v>
      </c>
      <c r="C18899" s="46">
        <v>3887</v>
      </c>
      <c r="D18899" s="69" t="s">
        <v>29419</v>
      </c>
      <c r="E18899" s="51"/>
      <c r="F18899" s="114" t="str">
        <f>IF(INDEX(I.Facility.P3IDNumber,3887)="","",INDEX(I.Facility.P3IDNumber,3887))</f>
        <v/>
      </c>
      <c r="G18899" s="51"/>
      <c r="H18899" s="46" t="str">
        <f>IF(AND(I.Developer.P3=TRUE,I.Facility.P3FacilityCount&gt;=3887,F18899=""),"Incomplete","Complete")</f>
        <v>Complete</v>
      </c>
      <c r="I18899" s="48" t="s">
        <v>23264</v>
      </c>
    </row>
    <row r="18900" spans="2:9" ht="15" customHeight="1" x14ac:dyDescent="0.25">
      <c r="B18900" s="55" t="s">
        <v>282</v>
      </c>
      <c r="C18900" s="46">
        <v>3888</v>
      </c>
      <c r="D18900" s="69" t="s">
        <v>29419</v>
      </c>
      <c r="E18900" s="51"/>
      <c r="F18900" s="114" t="str">
        <f>IF(INDEX(I.Facility.P3IDNumber,3888)="","",INDEX(I.Facility.P3IDNumber,3888))</f>
        <v/>
      </c>
      <c r="G18900" s="51"/>
      <c r="H18900" s="46" t="str">
        <f>IF(AND(I.Developer.P3=TRUE,I.Facility.P3FacilityCount&gt;=3888,F18900=""),"Incomplete","Complete")</f>
        <v>Complete</v>
      </c>
      <c r="I18900" s="48" t="s">
        <v>23265</v>
      </c>
    </row>
    <row r="18901" spans="2:9" ht="15" customHeight="1" x14ac:dyDescent="0.25">
      <c r="B18901" s="55" t="s">
        <v>282</v>
      </c>
      <c r="C18901" s="46">
        <v>3889</v>
      </c>
      <c r="D18901" s="69" t="s">
        <v>29419</v>
      </c>
      <c r="E18901" s="51"/>
      <c r="F18901" s="114" t="str">
        <f>IF(INDEX(I.Facility.P3IDNumber,3889)="","",INDEX(I.Facility.P3IDNumber,3889))</f>
        <v/>
      </c>
      <c r="G18901" s="51"/>
      <c r="H18901" s="46" t="str">
        <f>IF(AND(I.Developer.P3=TRUE,I.Facility.P3FacilityCount&gt;=3889,F18901=""),"Incomplete","Complete")</f>
        <v>Complete</v>
      </c>
      <c r="I18901" s="48" t="s">
        <v>23266</v>
      </c>
    </row>
    <row r="18902" spans="2:9" ht="15" customHeight="1" x14ac:dyDescent="0.25">
      <c r="B18902" s="55" t="s">
        <v>282</v>
      </c>
      <c r="C18902" s="46">
        <v>3890</v>
      </c>
      <c r="D18902" s="69" t="s">
        <v>29419</v>
      </c>
      <c r="E18902" s="51"/>
      <c r="F18902" s="114" t="str">
        <f>IF(INDEX(I.Facility.P3IDNumber,3890)="","",INDEX(I.Facility.P3IDNumber,3890))</f>
        <v/>
      </c>
      <c r="G18902" s="51"/>
      <c r="H18902" s="46" t="str">
        <f>IF(AND(I.Developer.P3=TRUE,I.Facility.P3FacilityCount&gt;=3890,F18902=""),"Incomplete","Complete")</f>
        <v>Complete</v>
      </c>
      <c r="I18902" s="48" t="s">
        <v>23267</v>
      </c>
    </row>
    <row r="18903" spans="2:9" ht="15" customHeight="1" x14ac:dyDescent="0.25">
      <c r="B18903" s="55" t="s">
        <v>282</v>
      </c>
      <c r="C18903" s="46">
        <v>3891</v>
      </c>
      <c r="D18903" s="69" t="s">
        <v>29419</v>
      </c>
      <c r="E18903" s="51"/>
      <c r="F18903" s="114" t="str">
        <f>IF(INDEX(I.Facility.P3IDNumber,3891)="","",INDEX(I.Facility.P3IDNumber,3891))</f>
        <v/>
      </c>
      <c r="G18903" s="51"/>
      <c r="H18903" s="46" t="str">
        <f>IF(AND(I.Developer.P3=TRUE,I.Facility.P3FacilityCount&gt;=3891,F18903=""),"Incomplete","Complete")</f>
        <v>Complete</v>
      </c>
      <c r="I18903" s="48" t="s">
        <v>23268</v>
      </c>
    </row>
    <row r="18904" spans="2:9" ht="15" customHeight="1" x14ac:dyDescent="0.25">
      <c r="B18904" s="55" t="s">
        <v>282</v>
      </c>
      <c r="C18904" s="46">
        <v>3892</v>
      </c>
      <c r="D18904" s="69" t="s">
        <v>29419</v>
      </c>
      <c r="E18904" s="51"/>
      <c r="F18904" s="114" t="str">
        <f>IF(INDEX(I.Facility.P3IDNumber,3892)="","",INDEX(I.Facility.P3IDNumber,3892))</f>
        <v/>
      </c>
      <c r="G18904" s="51"/>
      <c r="H18904" s="46" t="str">
        <f>IF(AND(I.Developer.P3=TRUE,I.Facility.P3FacilityCount&gt;=3892,F18904=""),"Incomplete","Complete")</f>
        <v>Complete</v>
      </c>
      <c r="I18904" s="48" t="s">
        <v>23269</v>
      </c>
    </row>
    <row r="18905" spans="2:9" ht="15" customHeight="1" x14ac:dyDescent="0.25">
      <c r="B18905" s="55" t="s">
        <v>282</v>
      </c>
      <c r="C18905" s="46">
        <v>3893</v>
      </c>
      <c r="D18905" s="69" t="s">
        <v>29419</v>
      </c>
      <c r="E18905" s="51"/>
      <c r="F18905" s="114" t="str">
        <f>IF(INDEX(I.Facility.P3IDNumber,3893)="","",INDEX(I.Facility.P3IDNumber,3893))</f>
        <v/>
      </c>
      <c r="G18905" s="51"/>
      <c r="H18905" s="46" t="str">
        <f>IF(AND(I.Developer.P3=TRUE,I.Facility.P3FacilityCount&gt;=3893,F18905=""),"Incomplete","Complete")</f>
        <v>Complete</v>
      </c>
      <c r="I18905" s="48" t="s">
        <v>23270</v>
      </c>
    </row>
    <row r="18906" spans="2:9" ht="15" customHeight="1" x14ac:dyDescent="0.25">
      <c r="B18906" s="55" t="s">
        <v>282</v>
      </c>
      <c r="C18906" s="46">
        <v>3894</v>
      </c>
      <c r="D18906" s="69" t="s">
        <v>29419</v>
      </c>
      <c r="E18906" s="51"/>
      <c r="F18906" s="114" t="str">
        <f>IF(INDEX(I.Facility.P3IDNumber,3894)="","",INDEX(I.Facility.P3IDNumber,3894))</f>
        <v/>
      </c>
      <c r="G18906" s="51"/>
      <c r="H18906" s="46" t="str">
        <f>IF(AND(I.Developer.P3=TRUE,I.Facility.P3FacilityCount&gt;=3894,F18906=""),"Incomplete","Complete")</f>
        <v>Complete</v>
      </c>
      <c r="I18906" s="48" t="s">
        <v>23271</v>
      </c>
    </row>
    <row r="18907" spans="2:9" ht="15" customHeight="1" x14ac:dyDescent="0.25">
      <c r="B18907" s="55" t="s">
        <v>282</v>
      </c>
      <c r="C18907" s="46">
        <v>3895</v>
      </c>
      <c r="D18907" s="69" t="s">
        <v>29419</v>
      </c>
      <c r="E18907" s="51"/>
      <c r="F18907" s="114" t="str">
        <f>IF(INDEX(I.Facility.P3IDNumber,3895)="","",INDEX(I.Facility.P3IDNumber,3895))</f>
        <v/>
      </c>
      <c r="G18907" s="51"/>
      <c r="H18907" s="46" t="str">
        <f>IF(AND(I.Developer.P3=TRUE,I.Facility.P3FacilityCount&gt;=3895,F18907=""),"Incomplete","Complete")</f>
        <v>Complete</v>
      </c>
      <c r="I18907" s="48" t="s">
        <v>23272</v>
      </c>
    </row>
    <row r="18908" spans="2:9" ht="15" customHeight="1" x14ac:dyDescent="0.25">
      <c r="B18908" s="55" t="s">
        <v>282</v>
      </c>
      <c r="C18908" s="46">
        <v>3896</v>
      </c>
      <c r="D18908" s="69" t="s">
        <v>29419</v>
      </c>
      <c r="E18908" s="51"/>
      <c r="F18908" s="114" t="str">
        <f>IF(INDEX(I.Facility.P3IDNumber,3896)="","",INDEX(I.Facility.P3IDNumber,3896))</f>
        <v/>
      </c>
      <c r="G18908" s="51"/>
      <c r="H18908" s="46" t="str">
        <f>IF(AND(I.Developer.P3=TRUE,I.Facility.P3FacilityCount&gt;=3896,F18908=""),"Incomplete","Complete")</f>
        <v>Complete</v>
      </c>
      <c r="I18908" s="48" t="s">
        <v>23273</v>
      </c>
    </row>
    <row r="18909" spans="2:9" ht="15" customHeight="1" x14ac:dyDescent="0.25">
      <c r="B18909" s="55" t="s">
        <v>282</v>
      </c>
      <c r="C18909" s="46">
        <v>3897</v>
      </c>
      <c r="D18909" s="69" t="s">
        <v>29419</v>
      </c>
      <c r="E18909" s="51"/>
      <c r="F18909" s="114" t="str">
        <f>IF(INDEX(I.Facility.P3IDNumber,3897)="","",INDEX(I.Facility.P3IDNumber,3897))</f>
        <v/>
      </c>
      <c r="G18909" s="51"/>
      <c r="H18909" s="46" t="str">
        <f>IF(AND(I.Developer.P3=TRUE,I.Facility.P3FacilityCount&gt;=3897,F18909=""),"Incomplete","Complete")</f>
        <v>Complete</v>
      </c>
      <c r="I18909" s="48" t="s">
        <v>23274</v>
      </c>
    </row>
    <row r="18910" spans="2:9" ht="15" customHeight="1" x14ac:dyDescent="0.25">
      <c r="B18910" s="55" t="s">
        <v>282</v>
      </c>
      <c r="C18910" s="46">
        <v>3898</v>
      </c>
      <c r="D18910" s="69" t="s">
        <v>29419</v>
      </c>
      <c r="E18910" s="51"/>
      <c r="F18910" s="114" t="str">
        <f>IF(INDEX(I.Facility.P3IDNumber,3898)="","",INDEX(I.Facility.P3IDNumber,3898))</f>
        <v/>
      </c>
      <c r="G18910" s="51"/>
      <c r="H18910" s="46" t="str">
        <f>IF(AND(I.Developer.P3=TRUE,I.Facility.P3FacilityCount&gt;=3898,F18910=""),"Incomplete","Complete")</f>
        <v>Complete</v>
      </c>
      <c r="I18910" s="48" t="s">
        <v>23275</v>
      </c>
    </row>
    <row r="18911" spans="2:9" ht="15" customHeight="1" x14ac:dyDescent="0.25">
      <c r="B18911" s="55" t="s">
        <v>282</v>
      </c>
      <c r="C18911" s="46">
        <v>3899</v>
      </c>
      <c r="D18911" s="69" t="s">
        <v>29419</v>
      </c>
      <c r="E18911" s="51"/>
      <c r="F18911" s="114" t="str">
        <f>IF(INDEX(I.Facility.P3IDNumber,3899)="","",INDEX(I.Facility.P3IDNumber,3899))</f>
        <v/>
      </c>
      <c r="G18911" s="51"/>
      <c r="H18911" s="46" t="str">
        <f>IF(AND(I.Developer.P3=TRUE,I.Facility.P3FacilityCount&gt;=3899,F18911=""),"Incomplete","Complete")</f>
        <v>Complete</v>
      </c>
      <c r="I18911" s="48" t="s">
        <v>23276</v>
      </c>
    </row>
    <row r="18912" spans="2:9" ht="15" customHeight="1" x14ac:dyDescent="0.25">
      <c r="B18912" s="55" t="s">
        <v>282</v>
      </c>
      <c r="C18912" s="46">
        <v>3900</v>
      </c>
      <c r="D18912" s="69" t="s">
        <v>29419</v>
      </c>
      <c r="E18912" s="51"/>
      <c r="F18912" s="114" t="str">
        <f>IF(INDEX(I.Facility.P3IDNumber,3900)="","",INDEX(I.Facility.P3IDNumber,3900))</f>
        <v/>
      </c>
      <c r="G18912" s="51"/>
      <c r="H18912" s="46" t="str">
        <f>IF(AND(I.Developer.P3=TRUE,I.Facility.P3FacilityCount&gt;=3900,F18912=""),"Incomplete","Complete")</f>
        <v>Complete</v>
      </c>
      <c r="I18912" s="48" t="s">
        <v>23277</v>
      </c>
    </row>
    <row r="18913" spans="2:9" ht="15" customHeight="1" x14ac:dyDescent="0.25">
      <c r="B18913" s="55" t="s">
        <v>282</v>
      </c>
      <c r="C18913" s="46">
        <v>3901</v>
      </c>
      <c r="D18913" s="69" t="s">
        <v>29419</v>
      </c>
      <c r="E18913" s="51"/>
      <c r="F18913" s="114" t="str">
        <f>IF(INDEX(I.Facility.P3IDNumber,3901)="","",INDEX(I.Facility.P3IDNumber,3901))</f>
        <v/>
      </c>
      <c r="G18913" s="51"/>
      <c r="H18913" s="46" t="str">
        <f>IF(AND(I.Developer.P3=TRUE,I.Facility.P3FacilityCount&gt;=3901,F18913=""),"Incomplete","Complete")</f>
        <v>Complete</v>
      </c>
      <c r="I18913" s="48" t="s">
        <v>23278</v>
      </c>
    </row>
    <row r="18914" spans="2:9" ht="15" customHeight="1" x14ac:dyDescent="0.25">
      <c r="B18914" s="55" t="s">
        <v>282</v>
      </c>
      <c r="C18914" s="46">
        <v>3902</v>
      </c>
      <c r="D18914" s="69" t="s">
        <v>29419</v>
      </c>
      <c r="E18914" s="51"/>
      <c r="F18914" s="114" t="str">
        <f>IF(INDEX(I.Facility.P3IDNumber,3902)="","",INDEX(I.Facility.P3IDNumber,3902))</f>
        <v/>
      </c>
      <c r="G18914" s="51"/>
      <c r="H18914" s="46" t="str">
        <f>IF(AND(I.Developer.P3=TRUE,I.Facility.P3FacilityCount&gt;=3902,F18914=""),"Incomplete","Complete")</f>
        <v>Complete</v>
      </c>
      <c r="I18914" s="48" t="s">
        <v>23279</v>
      </c>
    </row>
    <row r="18915" spans="2:9" ht="15" customHeight="1" x14ac:dyDescent="0.25">
      <c r="B18915" s="55" t="s">
        <v>282</v>
      </c>
      <c r="C18915" s="46">
        <v>3903</v>
      </c>
      <c r="D18915" s="69" t="s">
        <v>29419</v>
      </c>
      <c r="E18915" s="51"/>
      <c r="F18915" s="114" t="str">
        <f>IF(INDEX(I.Facility.P3IDNumber,3903)="","",INDEX(I.Facility.P3IDNumber,3903))</f>
        <v/>
      </c>
      <c r="G18915" s="51"/>
      <c r="H18915" s="46" t="str">
        <f>IF(AND(I.Developer.P3=TRUE,I.Facility.P3FacilityCount&gt;=3903,F18915=""),"Incomplete","Complete")</f>
        <v>Complete</v>
      </c>
      <c r="I18915" s="48" t="s">
        <v>23280</v>
      </c>
    </row>
    <row r="18916" spans="2:9" ht="15" customHeight="1" x14ac:dyDescent="0.25">
      <c r="B18916" s="55" t="s">
        <v>282</v>
      </c>
      <c r="C18916" s="46">
        <v>3904</v>
      </c>
      <c r="D18916" s="69" t="s">
        <v>29419</v>
      </c>
      <c r="E18916" s="51"/>
      <c r="F18916" s="114" t="str">
        <f>IF(INDEX(I.Facility.P3IDNumber,3904)="","",INDEX(I.Facility.P3IDNumber,3904))</f>
        <v/>
      </c>
      <c r="G18916" s="51"/>
      <c r="H18916" s="46" t="str">
        <f>IF(AND(I.Developer.P3=TRUE,I.Facility.P3FacilityCount&gt;=3904,F18916=""),"Incomplete","Complete")</f>
        <v>Complete</v>
      </c>
      <c r="I18916" s="48" t="s">
        <v>23281</v>
      </c>
    </row>
    <row r="18917" spans="2:9" ht="15" customHeight="1" x14ac:dyDescent="0.25">
      <c r="B18917" s="55" t="s">
        <v>282</v>
      </c>
      <c r="C18917" s="46">
        <v>3905</v>
      </c>
      <c r="D18917" s="69" t="s">
        <v>29419</v>
      </c>
      <c r="E18917" s="51"/>
      <c r="F18917" s="114" t="str">
        <f>IF(INDEX(I.Facility.P3IDNumber,3905)="","",INDEX(I.Facility.P3IDNumber,3905))</f>
        <v/>
      </c>
      <c r="G18917" s="51"/>
      <c r="H18917" s="46" t="str">
        <f>IF(AND(I.Developer.P3=TRUE,I.Facility.P3FacilityCount&gt;=3905,F18917=""),"Incomplete","Complete")</f>
        <v>Complete</v>
      </c>
      <c r="I18917" s="48" t="s">
        <v>23282</v>
      </c>
    </row>
    <row r="18918" spans="2:9" ht="15" customHeight="1" x14ac:dyDescent="0.25">
      <c r="B18918" s="55" t="s">
        <v>282</v>
      </c>
      <c r="C18918" s="46">
        <v>3906</v>
      </c>
      <c r="D18918" s="69" t="s">
        <v>29419</v>
      </c>
      <c r="E18918" s="51"/>
      <c r="F18918" s="114" t="str">
        <f>IF(INDEX(I.Facility.P3IDNumber,3906)="","",INDEX(I.Facility.P3IDNumber,3906))</f>
        <v/>
      </c>
      <c r="G18918" s="51"/>
      <c r="H18918" s="46" t="str">
        <f>IF(AND(I.Developer.P3=TRUE,I.Facility.P3FacilityCount&gt;=3906,F18918=""),"Incomplete","Complete")</f>
        <v>Complete</v>
      </c>
      <c r="I18918" s="48" t="s">
        <v>23283</v>
      </c>
    </row>
    <row r="18919" spans="2:9" ht="15" customHeight="1" x14ac:dyDescent="0.25">
      <c r="B18919" s="55" t="s">
        <v>282</v>
      </c>
      <c r="C18919" s="46">
        <v>3907</v>
      </c>
      <c r="D18919" s="69" t="s">
        <v>29419</v>
      </c>
      <c r="E18919" s="51"/>
      <c r="F18919" s="114" t="str">
        <f>IF(INDEX(I.Facility.P3IDNumber,3907)="","",INDEX(I.Facility.P3IDNumber,3907))</f>
        <v/>
      </c>
      <c r="G18919" s="51"/>
      <c r="H18919" s="46" t="str">
        <f>IF(AND(I.Developer.P3=TRUE,I.Facility.P3FacilityCount&gt;=3907,F18919=""),"Incomplete","Complete")</f>
        <v>Complete</v>
      </c>
      <c r="I18919" s="48" t="s">
        <v>23284</v>
      </c>
    </row>
    <row r="18920" spans="2:9" ht="15" customHeight="1" x14ac:dyDescent="0.25">
      <c r="B18920" s="55" t="s">
        <v>282</v>
      </c>
      <c r="C18920" s="46">
        <v>3908</v>
      </c>
      <c r="D18920" s="69" t="s">
        <v>29419</v>
      </c>
      <c r="E18920" s="51"/>
      <c r="F18920" s="114" t="str">
        <f>IF(INDEX(I.Facility.P3IDNumber,3908)="","",INDEX(I.Facility.P3IDNumber,3908))</f>
        <v/>
      </c>
      <c r="G18920" s="51"/>
      <c r="H18920" s="46" t="str">
        <f>IF(AND(I.Developer.P3=TRUE,I.Facility.P3FacilityCount&gt;=3908,F18920=""),"Incomplete","Complete")</f>
        <v>Complete</v>
      </c>
      <c r="I18920" s="48" t="s">
        <v>23285</v>
      </c>
    </row>
    <row r="18921" spans="2:9" ht="15" customHeight="1" x14ac:dyDescent="0.25">
      <c r="B18921" s="55" t="s">
        <v>282</v>
      </c>
      <c r="C18921" s="46">
        <v>3909</v>
      </c>
      <c r="D18921" s="69" t="s">
        <v>29419</v>
      </c>
      <c r="E18921" s="51"/>
      <c r="F18921" s="114" t="str">
        <f>IF(INDEX(I.Facility.P3IDNumber,3909)="","",INDEX(I.Facility.P3IDNumber,3909))</f>
        <v/>
      </c>
      <c r="G18921" s="51"/>
      <c r="H18921" s="46" t="str">
        <f>IF(AND(I.Developer.P3=TRUE,I.Facility.P3FacilityCount&gt;=3909,F18921=""),"Incomplete","Complete")</f>
        <v>Complete</v>
      </c>
      <c r="I18921" s="48" t="s">
        <v>23286</v>
      </c>
    </row>
    <row r="18922" spans="2:9" ht="15" customHeight="1" x14ac:dyDescent="0.25">
      <c r="B18922" s="55" t="s">
        <v>282</v>
      </c>
      <c r="C18922" s="46">
        <v>3910</v>
      </c>
      <c r="D18922" s="69" t="s">
        <v>29419</v>
      </c>
      <c r="E18922" s="51"/>
      <c r="F18922" s="114" t="str">
        <f>IF(INDEX(I.Facility.P3IDNumber,3910)="","",INDEX(I.Facility.P3IDNumber,3910))</f>
        <v/>
      </c>
      <c r="G18922" s="51"/>
      <c r="H18922" s="46" t="str">
        <f>IF(AND(I.Developer.P3=TRUE,I.Facility.P3FacilityCount&gt;=3910,F18922=""),"Incomplete","Complete")</f>
        <v>Complete</v>
      </c>
      <c r="I18922" s="48" t="s">
        <v>23287</v>
      </c>
    </row>
    <row r="18923" spans="2:9" ht="15" customHeight="1" x14ac:dyDescent="0.25">
      <c r="B18923" s="55" t="s">
        <v>282</v>
      </c>
      <c r="C18923" s="46">
        <v>3911</v>
      </c>
      <c r="D18923" s="69" t="s">
        <v>29419</v>
      </c>
      <c r="E18923" s="51"/>
      <c r="F18923" s="114" t="str">
        <f>IF(INDEX(I.Facility.P3IDNumber,3911)="","",INDEX(I.Facility.P3IDNumber,3911))</f>
        <v/>
      </c>
      <c r="G18923" s="51"/>
      <c r="H18923" s="46" t="str">
        <f>IF(AND(I.Developer.P3=TRUE,I.Facility.P3FacilityCount&gt;=3911,F18923=""),"Incomplete","Complete")</f>
        <v>Complete</v>
      </c>
      <c r="I18923" s="48" t="s">
        <v>23288</v>
      </c>
    </row>
    <row r="18924" spans="2:9" ht="15" customHeight="1" x14ac:dyDescent="0.25">
      <c r="B18924" s="55" t="s">
        <v>282</v>
      </c>
      <c r="C18924" s="46">
        <v>3912</v>
      </c>
      <c r="D18924" s="69" t="s">
        <v>29419</v>
      </c>
      <c r="E18924" s="51"/>
      <c r="F18924" s="114" t="str">
        <f>IF(INDEX(I.Facility.P3IDNumber,3912)="","",INDEX(I.Facility.P3IDNumber,3912))</f>
        <v/>
      </c>
      <c r="G18924" s="51"/>
      <c r="H18924" s="46" t="str">
        <f>IF(AND(I.Developer.P3=TRUE,I.Facility.P3FacilityCount&gt;=3912,F18924=""),"Incomplete","Complete")</f>
        <v>Complete</v>
      </c>
      <c r="I18924" s="48" t="s">
        <v>23289</v>
      </c>
    </row>
    <row r="18925" spans="2:9" ht="15" customHeight="1" x14ac:dyDescent="0.25">
      <c r="B18925" s="55" t="s">
        <v>282</v>
      </c>
      <c r="C18925" s="46">
        <v>3913</v>
      </c>
      <c r="D18925" s="69" t="s">
        <v>29419</v>
      </c>
      <c r="E18925" s="51"/>
      <c r="F18925" s="114" t="str">
        <f>IF(INDEX(I.Facility.P3IDNumber,3913)="","",INDEX(I.Facility.P3IDNumber,3913))</f>
        <v/>
      </c>
      <c r="G18925" s="51"/>
      <c r="H18925" s="46" t="str">
        <f>IF(AND(I.Developer.P3=TRUE,I.Facility.P3FacilityCount&gt;=3913,F18925=""),"Incomplete","Complete")</f>
        <v>Complete</v>
      </c>
      <c r="I18925" s="48" t="s">
        <v>23290</v>
      </c>
    </row>
    <row r="18926" spans="2:9" ht="15" customHeight="1" x14ac:dyDescent="0.25">
      <c r="B18926" s="55" t="s">
        <v>282</v>
      </c>
      <c r="C18926" s="46">
        <v>3914</v>
      </c>
      <c r="D18926" s="69" t="s">
        <v>29419</v>
      </c>
      <c r="E18926" s="51"/>
      <c r="F18926" s="114" t="str">
        <f>IF(INDEX(I.Facility.P3IDNumber,3914)="","",INDEX(I.Facility.P3IDNumber,3914))</f>
        <v/>
      </c>
      <c r="G18926" s="51"/>
      <c r="H18926" s="46" t="str">
        <f>IF(AND(I.Developer.P3=TRUE,I.Facility.P3FacilityCount&gt;=3914,F18926=""),"Incomplete","Complete")</f>
        <v>Complete</v>
      </c>
      <c r="I18926" s="48" t="s">
        <v>23291</v>
      </c>
    </row>
    <row r="18927" spans="2:9" ht="15" customHeight="1" x14ac:dyDescent="0.25">
      <c r="B18927" s="55" t="s">
        <v>282</v>
      </c>
      <c r="C18927" s="46">
        <v>3915</v>
      </c>
      <c r="D18927" s="69" t="s">
        <v>29419</v>
      </c>
      <c r="E18927" s="51"/>
      <c r="F18927" s="114" t="str">
        <f>IF(INDEX(I.Facility.P3IDNumber,3915)="","",INDEX(I.Facility.P3IDNumber,3915))</f>
        <v/>
      </c>
      <c r="G18927" s="51"/>
      <c r="H18927" s="46" t="str">
        <f>IF(AND(I.Developer.P3=TRUE,I.Facility.P3FacilityCount&gt;=3915,F18927=""),"Incomplete","Complete")</f>
        <v>Complete</v>
      </c>
      <c r="I18927" s="48" t="s">
        <v>23292</v>
      </c>
    </row>
    <row r="18928" spans="2:9" ht="15" customHeight="1" x14ac:dyDescent="0.25">
      <c r="B18928" s="55" t="s">
        <v>282</v>
      </c>
      <c r="C18928" s="46">
        <v>3916</v>
      </c>
      <c r="D18928" s="69" t="s">
        <v>29419</v>
      </c>
      <c r="E18928" s="51"/>
      <c r="F18928" s="114" t="str">
        <f>IF(INDEX(I.Facility.P3IDNumber,3916)="","",INDEX(I.Facility.P3IDNumber,3916))</f>
        <v/>
      </c>
      <c r="G18928" s="51"/>
      <c r="H18928" s="46" t="str">
        <f>IF(AND(I.Developer.P3=TRUE,I.Facility.P3FacilityCount&gt;=3916,F18928=""),"Incomplete","Complete")</f>
        <v>Complete</v>
      </c>
      <c r="I18928" s="48" t="s">
        <v>23293</v>
      </c>
    </row>
    <row r="18929" spans="2:9" ht="15" customHeight="1" x14ac:dyDescent="0.25">
      <c r="B18929" s="55" t="s">
        <v>282</v>
      </c>
      <c r="C18929" s="46">
        <v>3917</v>
      </c>
      <c r="D18929" s="69" t="s">
        <v>29419</v>
      </c>
      <c r="E18929" s="51"/>
      <c r="F18929" s="114" t="str">
        <f>IF(INDEX(I.Facility.P3IDNumber,3917)="","",INDEX(I.Facility.P3IDNumber,3917))</f>
        <v/>
      </c>
      <c r="G18929" s="51"/>
      <c r="H18929" s="46" t="str">
        <f>IF(AND(I.Developer.P3=TRUE,I.Facility.P3FacilityCount&gt;=3917,F18929=""),"Incomplete","Complete")</f>
        <v>Complete</v>
      </c>
      <c r="I18929" s="48" t="s">
        <v>23294</v>
      </c>
    </row>
    <row r="18930" spans="2:9" ht="15" customHeight="1" x14ac:dyDescent="0.25">
      <c r="B18930" s="55" t="s">
        <v>282</v>
      </c>
      <c r="C18930" s="46">
        <v>3918</v>
      </c>
      <c r="D18930" s="69" t="s">
        <v>29419</v>
      </c>
      <c r="E18930" s="51"/>
      <c r="F18930" s="114" t="str">
        <f>IF(INDEX(I.Facility.P3IDNumber,3918)="","",INDEX(I.Facility.P3IDNumber,3918))</f>
        <v/>
      </c>
      <c r="G18930" s="51"/>
      <c r="H18930" s="46" t="str">
        <f>IF(AND(I.Developer.P3=TRUE,I.Facility.P3FacilityCount&gt;=3918,F18930=""),"Incomplete","Complete")</f>
        <v>Complete</v>
      </c>
      <c r="I18930" s="48" t="s">
        <v>23295</v>
      </c>
    </row>
    <row r="18931" spans="2:9" ht="15" customHeight="1" x14ac:dyDescent="0.25">
      <c r="B18931" s="55" t="s">
        <v>282</v>
      </c>
      <c r="C18931" s="46">
        <v>3919</v>
      </c>
      <c r="D18931" s="69" t="s">
        <v>29419</v>
      </c>
      <c r="E18931" s="51"/>
      <c r="F18931" s="114" t="str">
        <f>IF(INDEX(I.Facility.P3IDNumber,3919)="","",INDEX(I.Facility.P3IDNumber,3919))</f>
        <v/>
      </c>
      <c r="G18931" s="51"/>
      <c r="H18931" s="46" t="str">
        <f>IF(AND(I.Developer.P3=TRUE,I.Facility.P3FacilityCount&gt;=3919,F18931=""),"Incomplete","Complete")</f>
        <v>Complete</v>
      </c>
      <c r="I18931" s="48" t="s">
        <v>23296</v>
      </c>
    </row>
    <row r="18932" spans="2:9" ht="15" customHeight="1" x14ac:dyDescent="0.25">
      <c r="B18932" s="55" t="s">
        <v>282</v>
      </c>
      <c r="C18932" s="46">
        <v>3920</v>
      </c>
      <c r="D18932" s="69" t="s">
        <v>29419</v>
      </c>
      <c r="E18932" s="51"/>
      <c r="F18932" s="114" t="str">
        <f>IF(INDEX(I.Facility.P3IDNumber,3920)="","",INDEX(I.Facility.P3IDNumber,3920))</f>
        <v/>
      </c>
      <c r="G18932" s="51"/>
      <c r="H18932" s="46" t="str">
        <f>IF(AND(I.Developer.P3=TRUE,I.Facility.P3FacilityCount&gt;=3920,F18932=""),"Incomplete","Complete")</f>
        <v>Complete</v>
      </c>
      <c r="I18932" s="48" t="s">
        <v>23297</v>
      </c>
    </row>
    <row r="18933" spans="2:9" ht="15" customHeight="1" x14ac:dyDescent="0.25">
      <c r="B18933" s="55" t="s">
        <v>282</v>
      </c>
      <c r="C18933" s="46">
        <v>3921</v>
      </c>
      <c r="D18933" s="69" t="s">
        <v>29419</v>
      </c>
      <c r="E18933" s="51"/>
      <c r="F18933" s="114" t="str">
        <f>IF(INDEX(I.Facility.P3IDNumber,3921)="","",INDEX(I.Facility.P3IDNumber,3921))</f>
        <v/>
      </c>
      <c r="G18933" s="51"/>
      <c r="H18933" s="46" t="str">
        <f>IF(AND(I.Developer.P3=TRUE,I.Facility.P3FacilityCount&gt;=3921,F18933=""),"Incomplete","Complete")</f>
        <v>Complete</v>
      </c>
      <c r="I18933" s="48" t="s">
        <v>23298</v>
      </c>
    </row>
    <row r="18934" spans="2:9" ht="15" customHeight="1" x14ac:dyDescent="0.25">
      <c r="B18934" s="55" t="s">
        <v>282</v>
      </c>
      <c r="C18934" s="46">
        <v>3922</v>
      </c>
      <c r="D18934" s="69" t="s">
        <v>29419</v>
      </c>
      <c r="E18934" s="51"/>
      <c r="F18934" s="114" t="str">
        <f>IF(INDEX(I.Facility.P3IDNumber,3922)="","",INDEX(I.Facility.P3IDNumber,3922))</f>
        <v/>
      </c>
      <c r="G18934" s="51"/>
      <c r="H18934" s="46" t="str">
        <f>IF(AND(I.Developer.P3=TRUE,I.Facility.P3FacilityCount&gt;=3922,F18934=""),"Incomplete","Complete")</f>
        <v>Complete</v>
      </c>
      <c r="I18934" s="48" t="s">
        <v>23299</v>
      </c>
    </row>
    <row r="18935" spans="2:9" ht="15" customHeight="1" x14ac:dyDescent="0.25">
      <c r="B18935" s="55" t="s">
        <v>282</v>
      </c>
      <c r="C18935" s="46">
        <v>3923</v>
      </c>
      <c r="D18935" s="69" t="s">
        <v>29419</v>
      </c>
      <c r="E18935" s="51"/>
      <c r="F18935" s="114" t="str">
        <f>IF(INDEX(I.Facility.P3IDNumber,3923)="","",INDEX(I.Facility.P3IDNumber,3923))</f>
        <v/>
      </c>
      <c r="G18935" s="51"/>
      <c r="H18935" s="46" t="str">
        <f>IF(AND(I.Developer.P3=TRUE,I.Facility.P3FacilityCount&gt;=3923,F18935=""),"Incomplete","Complete")</f>
        <v>Complete</v>
      </c>
      <c r="I18935" s="48" t="s">
        <v>23300</v>
      </c>
    </row>
    <row r="18936" spans="2:9" ht="15" customHeight="1" x14ac:dyDescent="0.25">
      <c r="B18936" s="55" t="s">
        <v>282</v>
      </c>
      <c r="C18936" s="46">
        <v>3924</v>
      </c>
      <c r="D18936" s="69" t="s">
        <v>29419</v>
      </c>
      <c r="E18936" s="51"/>
      <c r="F18936" s="114" t="str">
        <f>IF(INDEX(I.Facility.P3IDNumber,3924)="","",INDEX(I.Facility.P3IDNumber,3924))</f>
        <v/>
      </c>
      <c r="G18936" s="51"/>
      <c r="H18936" s="46" t="str">
        <f>IF(AND(I.Developer.P3=TRUE,I.Facility.P3FacilityCount&gt;=3924,F18936=""),"Incomplete","Complete")</f>
        <v>Complete</v>
      </c>
      <c r="I18936" s="48" t="s">
        <v>23301</v>
      </c>
    </row>
    <row r="18937" spans="2:9" ht="15" customHeight="1" x14ac:dyDescent="0.25">
      <c r="B18937" s="55" t="s">
        <v>282</v>
      </c>
      <c r="C18937" s="46">
        <v>3925</v>
      </c>
      <c r="D18937" s="69" t="s">
        <v>29419</v>
      </c>
      <c r="E18937" s="51"/>
      <c r="F18937" s="114" t="str">
        <f>IF(INDEX(I.Facility.P3IDNumber,3925)="","",INDEX(I.Facility.P3IDNumber,3925))</f>
        <v/>
      </c>
      <c r="G18937" s="51"/>
      <c r="H18937" s="46" t="str">
        <f>IF(AND(I.Developer.P3=TRUE,I.Facility.P3FacilityCount&gt;=3925,F18937=""),"Incomplete","Complete")</f>
        <v>Complete</v>
      </c>
      <c r="I18937" s="48" t="s">
        <v>23302</v>
      </c>
    </row>
    <row r="18938" spans="2:9" ht="15" customHeight="1" x14ac:dyDescent="0.25">
      <c r="B18938" s="55" t="s">
        <v>282</v>
      </c>
      <c r="C18938" s="46">
        <v>3926</v>
      </c>
      <c r="D18938" s="69" t="s">
        <v>29419</v>
      </c>
      <c r="E18938" s="51"/>
      <c r="F18938" s="114" t="str">
        <f>IF(INDEX(I.Facility.P3IDNumber,3926)="","",INDEX(I.Facility.P3IDNumber,3926))</f>
        <v/>
      </c>
      <c r="G18938" s="51"/>
      <c r="H18938" s="46" t="str">
        <f>IF(AND(I.Developer.P3=TRUE,I.Facility.P3FacilityCount&gt;=3926,F18938=""),"Incomplete","Complete")</f>
        <v>Complete</v>
      </c>
      <c r="I18938" s="48" t="s">
        <v>23303</v>
      </c>
    </row>
    <row r="18939" spans="2:9" ht="15" customHeight="1" x14ac:dyDescent="0.25">
      <c r="B18939" s="55" t="s">
        <v>282</v>
      </c>
      <c r="C18939" s="46">
        <v>3927</v>
      </c>
      <c r="D18939" s="69" t="s">
        <v>29419</v>
      </c>
      <c r="E18939" s="51"/>
      <c r="F18939" s="114" t="str">
        <f>IF(INDEX(I.Facility.P3IDNumber,3927)="","",INDEX(I.Facility.P3IDNumber,3927))</f>
        <v/>
      </c>
      <c r="G18939" s="51"/>
      <c r="H18939" s="46" t="str">
        <f>IF(AND(I.Developer.P3=TRUE,I.Facility.P3FacilityCount&gt;=3927,F18939=""),"Incomplete","Complete")</f>
        <v>Complete</v>
      </c>
      <c r="I18939" s="48" t="s">
        <v>23304</v>
      </c>
    </row>
    <row r="18940" spans="2:9" ht="15" customHeight="1" x14ac:dyDescent="0.25">
      <c r="B18940" s="55" t="s">
        <v>282</v>
      </c>
      <c r="C18940" s="46">
        <v>3928</v>
      </c>
      <c r="D18940" s="69" t="s">
        <v>29419</v>
      </c>
      <c r="E18940" s="51"/>
      <c r="F18940" s="114" t="str">
        <f>IF(INDEX(I.Facility.P3IDNumber,3928)="","",INDEX(I.Facility.P3IDNumber,3928))</f>
        <v/>
      </c>
      <c r="G18940" s="51"/>
      <c r="H18940" s="46" t="str">
        <f>IF(AND(I.Developer.P3=TRUE,I.Facility.P3FacilityCount&gt;=3928,F18940=""),"Incomplete","Complete")</f>
        <v>Complete</v>
      </c>
      <c r="I18940" s="48" t="s">
        <v>23305</v>
      </c>
    </row>
    <row r="18941" spans="2:9" ht="15" customHeight="1" x14ac:dyDescent="0.25">
      <c r="B18941" s="55" t="s">
        <v>282</v>
      </c>
      <c r="C18941" s="46">
        <v>3929</v>
      </c>
      <c r="D18941" s="69" t="s">
        <v>29419</v>
      </c>
      <c r="E18941" s="51"/>
      <c r="F18941" s="114" t="str">
        <f>IF(INDEX(I.Facility.P3IDNumber,3929)="","",INDEX(I.Facility.P3IDNumber,3929))</f>
        <v/>
      </c>
      <c r="G18941" s="51"/>
      <c r="H18941" s="46" t="str">
        <f>IF(AND(I.Developer.P3=TRUE,I.Facility.P3FacilityCount&gt;=3929,F18941=""),"Incomplete","Complete")</f>
        <v>Complete</v>
      </c>
      <c r="I18941" s="48" t="s">
        <v>23306</v>
      </c>
    </row>
    <row r="18942" spans="2:9" ht="15" customHeight="1" x14ac:dyDescent="0.25">
      <c r="B18942" s="55" t="s">
        <v>282</v>
      </c>
      <c r="C18942" s="46">
        <v>3930</v>
      </c>
      <c r="D18942" s="69" t="s">
        <v>29419</v>
      </c>
      <c r="E18942" s="51"/>
      <c r="F18942" s="114" t="str">
        <f>IF(INDEX(I.Facility.P3IDNumber,3930)="","",INDEX(I.Facility.P3IDNumber,3930))</f>
        <v/>
      </c>
      <c r="G18942" s="51"/>
      <c r="H18942" s="46" t="str">
        <f>IF(AND(I.Developer.P3=TRUE,I.Facility.P3FacilityCount&gt;=3930,F18942=""),"Incomplete","Complete")</f>
        <v>Complete</v>
      </c>
      <c r="I18942" s="48" t="s">
        <v>23307</v>
      </c>
    </row>
    <row r="18943" spans="2:9" ht="15" customHeight="1" x14ac:dyDescent="0.25">
      <c r="B18943" s="55" t="s">
        <v>282</v>
      </c>
      <c r="C18943" s="46">
        <v>3931</v>
      </c>
      <c r="D18943" s="69" t="s">
        <v>29419</v>
      </c>
      <c r="E18943" s="51"/>
      <c r="F18943" s="114" t="str">
        <f>IF(INDEX(I.Facility.P3IDNumber,3931)="","",INDEX(I.Facility.P3IDNumber,3931))</f>
        <v/>
      </c>
      <c r="G18943" s="51"/>
      <c r="H18943" s="46" t="str">
        <f>IF(AND(I.Developer.P3=TRUE,I.Facility.P3FacilityCount&gt;=3931,F18943=""),"Incomplete","Complete")</f>
        <v>Complete</v>
      </c>
      <c r="I18943" s="48" t="s">
        <v>23308</v>
      </c>
    </row>
    <row r="18944" spans="2:9" ht="15" customHeight="1" x14ac:dyDescent="0.25">
      <c r="B18944" s="55" t="s">
        <v>282</v>
      </c>
      <c r="C18944" s="46">
        <v>3932</v>
      </c>
      <c r="D18944" s="69" t="s">
        <v>29419</v>
      </c>
      <c r="E18944" s="51"/>
      <c r="F18944" s="114" t="str">
        <f>IF(INDEX(I.Facility.P3IDNumber,3932)="","",INDEX(I.Facility.P3IDNumber,3932))</f>
        <v/>
      </c>
      <c r="G18944" s="51"/>
      <c r="H18944" s="46" t="str">
        <f>IF(AND(I.Developer.P3=TRUE,I.Facility.P3FacilityCount&gt;=3932,F18944=""),"Incomplete","Complete")</f>
        <v>Complete</v>
      </c>
      <c r="I18944" s="48" t="s">
        <v>23309</v>
      </c>
    </row>
    <row r="18945" spans="2:9" ht="15" customHeight="1" x14ac:dyDescent="0.25">
      <c r="B18945" s="55" t="s">
        <v>282</v>
      </c>
      <c r="C18945" s="46">
        <v>3933</v>
      </c>
      <c r="D18945" s="69" t="s">
        <v>29419</v>
      </c>
      <c r="E18945" s="51"/>
      <c r="F18945" s="114" t="str">
        <f>IF(INDEX(I.Facility.P3IDNumber,3933)="","",INDEX(I.Facility.P3IDNumber,3933))</f>
        <v/>
      </c>
      <c r="G18945" s="51"/>
      <c r="H18945" s="46" t="str">
        <f>IF(AND(I.Developer.P3=TRUE,I.Facility.P3FacilityCount&gt;=3933,F18945=""),"Incomplete","Complete")</f>
        <v>Complete</v>
      </c>
      <c r="I18945" s="48" t="s">
        <v>23310</v>
      </c>
    </row>
    <row r="18946" spans="2:9" ht="15" customHeight="1" x14ac:dyDescent="0.25">
      <c r="B18946" s="55" t="s">
        <v>282</v>
      </c>
      <c r="C18946" s="46">
        <v>3934</v>
      </c>
      <c r="D18946" s="69" t="s">
        <v>29419</v>
      </c>
      <c r="E18946" s="51"/>
      <c r="F18946" s="114" t="str">
        <f>IF(INDEX(I.Facility.P3IDNumber,3934)="","",INDEX(I.Facility.P3IDNumber,3934))</f>
        <v/>
      </c>
      <c r="G18946" s="51"/>
      <c r="H18946" s="46" t="str">
        <f>IF(AND(I.Developer.P3=TRUE,I.Facility.P3FacilityCount&gt;=3934,F18946=""),"Incomplete","Complete")</f>
        <v>Complete</v>
      </c>
      <c r="I18946" s="48" t="s">
        <v>23311</v>
      </c>
    </row>
    <row r="18947" spans="2:9" ht="15" customHeight="1" x14ac:dyDescent="0.25">
      <c r="B18947" s="55" t="s">
        <v>282</v>
      </c>
      <c r="C18947" s="46">
        <v>3935</v>
      </c>
      <c r="D18947" s="69" t="s">
        <v>29419</v>
      </c>
      <c r="E18947" s="51"/>
      <c r="F18947" s="114" t="str">
        <f>IF(INDEX(I.Facility.P3IDNumber,3935)="","",INDEX(I.Facility.P3IDNumber,3935))</f>
        <v/>
      </c>
      <c r="G18947" s="51"/>
      <c r="H18947" s="46" t="str">
        <f>IF(AND(I.Developer.P3=TRUE,I.Facility.P3FacilityCount&gt;=3935,F18947=""),"Incomplete","Complete")</f>
        <v>Complete</v>
      </c>
      <c r="I18947" s="48" t="s">
        <v>23312</v>
      </c>
    </row>
    <row r="18948" spans="2:9" ht="15" customHeight="1" x14ac:dyDescent="0.25">
      <c r="B18948" s="55" t="s">
        <v>282</v>
      </c>
      <c r="C18948" s="46">
        <v>3936</v>
      </c>
      <c r="D18948" s="69" t="s">
        <v>29419</v>
      </c>
      <c r="E18948" s="51"/>
      <c r="F18948" s="114" t="str">
        <f>IF(INDEX(I.Facility.P3IDNumber,3936)="","",INDEX(I.Facility.P3IDNumber,3936))</f>
        <v/>
      </c>
      <c r="G18948" s="51"/>
      <c r="H18948" s="46" t="str">
        <f>IF(AND(I.Developer.P3=TRUE,I.Facility.P3FacilityCount&gt;=3936,F18948=""),"Incomplete","Complete")</f>
        <v>Complete</v>
      </c>
      <c r="I18948" s="48" t="s">
        <v>23313</v>
      </c>
    </row>
    <row r="18949" spans="2:9" ht="15" customHeight="1" x14ac:dyDescent="0.25">
      <c r="B18949" s="55" t="s">
        <v>282</v>
      </c>
      <c r="C18949" s="46">
        <v>3937</v>
      </c>
      <c r="D18949" s="69" t="s">
        <v>29419</v>
      </c>
      <c r="E18949" s="51"/>
      <c r="F18949" s="114" t="str">
        <f>IF(INDEX(I.Facility.P3IDNumber,3937)="","",INDEX(I.Facility.P3IDNumber,3937))</f>
        <v/>
      </c>
      <c r="G18949" s="51"/>
      <c r="H18949" s="46" t="str">
        <f>IF(AND(I.Developer.P3=TRUE,I.Facility.P3FacilityCount&gt;=3937,F18949=""),"Incomplete","Complete")</f>
        <v>Complete</v>
      </c>
      <c r="I18949" s="48" t="s">
        <v>23314</v>
      </c>
    </row>
    <row r="18950" spans="2:9" ht="15" customHeight="1" x14ac:dyDescent="0.25">
      <c r="B18950" s="55" t="s">
        <v>282</v>
      </c>
      <c r="C18950" s="46">
        <v>3938</v>
      </c>
      <c r="D18950" s="69" t="s">
        <v>29419</v>
      </c>
      <c r="E18950" s="51"/>
      <c r="F18950" s="114" t="str">
        <f>IF(INDEX(I.Facility.P3IDNumber,3938)="","",INDEX(I.Facility.P3IDNumber,3938))</f>
        <v/>
      </c>
      <c r="G18950" s="51"/>
      <c r="H18950" s="46" t="str">
        <f>IF(AND(I.Developer.P3=TRUE,I.Facility.P3FacilityCount&gt;=3938,F18950=""),"Incomplete","Complete")</f>
        <v>Complete</v>
      </c>
      <c r="I18950" s="48" t="s">
        <v>23315</v>
      </c>
    </row>
    <row r="18951" spans="2:9" ht="15" customHeight="1" x14ac:dyDescent="0.25">
      <c r="B18951" s="55" t="s">
        <v>282</v>
      </c>
      <c r="C18951" s="46">
        <v>3939</v>
      </c>
      <c r="D18951" s="69" t="s">
        <v>29419</v>
      </c>
      <c r="E18951" s="51"/>
      <c r="F18951" s="114" t="str">
        <f>IF(INDEX(I.Facility.P3IDNumber,3939)="","",INDEX(I.Facility.P3IDNumber,3939))</f>
        <v/>
      </c>
      <c r="G18951" s="51"/>
      <c r="H18951" s="46" t="str">
        <f>IF(AND(I.Developer.P3=TRUE,I.Facility.P3FacilityCount&gt;=3939,F18951=""),"Incomplete","Complete")</f>
        <v>Complete</v>
      </c>
      <c r="I18951" s="48" t="s">
        <v>23316</v>
      </c>
    </row>
    <row r="18952" spans="2:9" ht="15" customHeight="1" x14ac:dyDescent="0.25">
      <c r="B18952" s="55" t="s">
        <v>282</v>
      </c>
      <c r="C18952" s="46">
        <v>3940</v>
      </c>
      <c r="D18952" s="69" t="s">
        <v>29419</v>
      </c>
      <c r="E18952" s="51"/>
      <c r="F18952" s="114" t="str">
        <f>IF(INDEX(I.Facility.P3IDNumber,3940)="","",INDEX(I.Facility.P3IDNumber,3940))</f>
        <v/>
      </c>
      <c r="G18952" s="51"/>
      <c r="H18952" s="46" t="str">
        <f>IF(AND(I.Developer.P3=TRUE,I.Facility.P3FacilityCount&gt;=3940,F18952=""),"Incomplete","Complete")</f>
        <v>Complete</v>
      </c>
      <c r="I18952" s="48" t="s">
        <v>23317</v>
      </c>
    </row>
    <row r="18953" spans="2:9" ht="15" customHeight="1" x14ac:dyDescent="0.25">
      <c r="B18953" s="55" t="s">
        <v>282</v>
      </c>
      <c r="C18953" s="46">
        <v>3941</v>
      </c>
      <c r="D18953" s="69" t="s">
        <v>29419</v>
      </c>
      <c r="E18953" s="51"/>
      <c r="F18953" s="114" t="str">
        <f>IF(INDEX(I.Facility.P3IDNumber,3941)="","",INDEX(I.Facility.P3IDNumber,3941))</f>
        <v/>
      </c>
      <c r="G18953" s="51"/>
      <c r="H18953" s="46" t="str">
        <f>IF(AND(I.Developer.P3=TRUE,I.Facility.P3FacilityCount&gt;=3941,F18953=""),"Incomplete","Complete")</f>
        <v>Complete</v>
      </c>
      <c r="I18953" s="48" t="s">
        <v>23318</v>
      </c>
    </row>
    <row r="18954" spans="2:9" ht="15" customHeight="1" x14ac:dyDescent="0.25">
      <c r="B18954" s="55" t="s">
        <v>282</v>
      </c>
      <c r="C18954" s="46">
        <v>3942</v>
      </c>
      <c r="D18954" s="69" t="s">
        <v>29419</v>
      </c>
      <c r="E18954" s="51"/>
      <c r="F18954" s="114" t="str">
        <f>IF(INDEX(I.Facility.P3IDNumber,3942)="","",INDEX(I.Facility.P3IDNumber,3942))</f>
        <v/>
      </c>
      <c r="G18954" s="51"/>
      <c r="H18954" s="46" t="str">
        <f>IF(AND(I.Developer.P3=TRUE,I.Facility.P3FacilityCount&gt;=3942,F18954=""),"Incomplete","Complete")</f>
        <v>Complete</v>
      </c>
      <c r="I18954" s="48" t="s">
        <v>23319</v>
      </c>
    </row>
    <row r="18955" spans="2:9" ht="15" customHeight="1" x14ac:dyDescent="0.25">
      <c r="B18955" s="55" t="s">
        <v>282</v>
      </c>
      <c r="C18955" s="46">
        <v>3943</v>
      </c>
      <c r="D18955" s="69" t="s">
        <v>29419</v>
      </c>
      <c r="E18955" s="51"/>
      <c r="F18955" s="114" t="str">
        <f>IF(INDEX(I.Facility.P3IDNumber,3943)="","",INDEX(I.Facility.P3IDNumber,3943))</f>
        <v/>
      </c>
      <c r="G18955" s="51"/>
      <c r="H18955" s="46" t="str">
        <f>IF(AND(I.Developer.P3=TRUE,I.Facility.P3FacilityCount&gt;=3943,F18955=""),"Incomplete","Complete")</f>
        <v>Complete</v>
      </c>
      <c r="I18955" s="48" t="s">
        <v>23320</v>
      </c>
    </row>
    <row r="18956" spans="2:9" ht="15" customHeight="1" x14ac:dyDescent="0.25">
      <c r="B18956" s="55" t="s">
        <v>282</v>
      </c>
      <c r="C18956" s="46">
        <v>3944</v>
      </c>
      <c r="D18956" s="69" t="s">
        <v>29419</v>
      </c>
      <c r="E18956" s="51"/>
      <c r="F18956" s="114" t="str">
        <f>IF(INDEX(I.Facility.P3IDNumber,3944)="","",INDEX(I.Facility.P3IDNumber,3944))</f>
        <v/>
      </c>
      <c r="G18956" s="51"/>
      <c r="H18956" s="46" t="str">
        <f>IF(AND(I.Developer.P3=TRUE,I.Facility.P3FacilityCount&gt;=3944,F18956=""),"Incomplete","Complete")</f>
        <v>Complete</v>
      </c>
      <c r="I18956" s="48" t="s">
        <v>23321</v>
      </c>
    </row>
    <row r="18957" spans="2:9" ht="15" customHeight="1" x14ac:dyDescent="0.25">
      <c r="B18957" s="55" t="s">
        <v>282</v>
      </c>
      <c r="C18957" s="46">
        <v>3945</v>
      </c>
      <c r="D18957" s="69" t="s">
        <v>29419</v>
      </c>
      <c r="E18957" s="51"/>
      <c r="F18957" s="114" t="str">
        <f>IF(INDEX(I.Facility.P3IDNumber,3945)="","",INDEX(I.Facility.P3IDNumber,3945))</f>
        <v/>
      </c>
      <c r="G18957" s="51"/>
      <c r="H18957" s="46" t="str">
        <f>IF(AND(I.Developer.P3=TRUE,I.Facility.P3FacilityCount&gt;=3945,F18957=""),"Incomplete","Complete")</f>
        <v>Complete</v>
      </c>
      <c r="I18957" s="48" t="s">
        <v>23322</v>
      </c>
    </row>
    <row r="18958" spans="2:9" ht="15" customHeight="1" x14ac:dyDescent="0.25">
      <c r="B18958" s="55" t="s">
        <v>282</v>
      </c>
      <c r="C18958" s="46">
        <v>3946</v>
      </c>
      <c r="D18958" s="69" t="s">
        <v>29419</v>
      </c>
      <c r="E18958" s="51"/>
      <c r="F18958" s="114" t="str">
        <f>IF(INDEX(I.Facility.P3IDNumber,3946)="","",INDEX(I.Facility.P3IDNumber,3946))</f>
        <v/>
      </c>
      <c r="G18958" s="51"/>
      <c r="H18958" s="46" t="str">
        <f>IF(AND(I.Developer.P3=TRUE,I.Facility.P3FacilityCount&gt;=3946,F18958=""),"Incomplete","Complete")</f>
        <v>Complete</v>
      </c>
      <c r="I18958" s="48" t="s">
        <v>23323</v>
      </c>
    </row>
    <row r="18959" spans="2:9" ht="15" customHeight="1" x14ac:dyDescent="0.25">
      <c r="B18959" s="55" t="s">
        <v>282</v>
      </c>
      <c r="C18959" s="46">
        <v>3947</v>
      </c>
      <c r="D18959" s="69" t="s">
        <v>29419</v>
      </c>
      <c r="E18959" s="51"/>
      <c r="F18959" s="114" t="str">
        <f>IF(INDEX(I.Facility.P3IDNumber,3947)="","",INDEX(I.Facility.P3IDNumber,3947))</f>
        <v/>
      </c>
      <c r="G18959" s="51"/>
      <c r="H18959" s="46" t="str">
        <f>IF(AND(I.Developer.P3=TRUE,I.Facility.P3FacilityCount&gt;=3947,F18959=""),"Incomplete","Complete")</f>
        <v>Complete</v>
      </c>
      <c r="I18959" s="48" t="s">
        <v>23324</v>
      </c>
    </row>
    <row r="18960" spans="2:9" ht="15" customHeight="1" x14ac:dyDescent="0.25">
      <c r="B18960" s="55" t="s">
        <v>282</v>
      </c>
      <c r="C18960" s="46">
        <v>3948</v>
      </c>
      <c r="D18960" s="69" t="s">
        <v>29419</v>
      </c>
      <c r="E18960" s="51"/>
      <c r="F18960" s="114" t="str">
        <f>IF(INDEX(I.Facility.P3IDNumber,3948)="","",INDEX(I.Facility.P3IDNumber,3948))</f>
        <v/>
      </c>
      <c r="G18960" s="51"/>
      <c r="H18960" s="46" t="str">
        <f>IF(AND(I.Developer.P3=TRUE,I.Facility.P3FacilityCount&gt;=3948,F18960=""),"Incomplete","Complete")</f>
        <v>Complete</v>
      </c>
      <c r="I18960" s="48" t="s">
        <v>23325</v>
      </c>
    </row>
    <row r="18961" spans="2:9" ht="15" customHeight="1" x14ac:dyDescent="0.25">
      <c r="B18961" s="55" t="s">
        <v>282</v>
      </c>
      <c r="C18961" s="46">
        <v>3949</v>
      </c>
      <c r="D18961" s="69" t="s">
        <v>29419</v>
      </c>
      <c r="E18961" s="51"/>
      <c r="F18961" s="114" t="str">
        <f>IF(INDEX(I.Facility.P3IDNumber,3949)="","",INDEX(I.Facility.P3IDNumber,3949))</f>
        <v/>
      </c>
      <c r="G18961" s="51"/>
      <c r="H18961" s="46" t="str">
        <f>IF(AND(I.Developer.P3=TRUE,I.Facility.P3FacilityCount&gt;=3949,F18961=""),"Incomplete","Complete")</f>
        <v>Complete</v>
      </c>
      <c r="I18961" s="48" t="s">
        <v>23326</v>
      </c>
    </row>
    <row r="18962" spans="2:9" ht="15" customHeight="1" x14ac:dyDescent="0.25">
      <c r="B18962" s="55" t="s">
        <v>282</v>
      </c>
      <c r="C18962" s="46">
        <v>3950</v>
      </c>
      <c r="D18962" s="69" t="s">
        <v>29419</v>
      </c>
      <c r="E18962" s="51"/>
      <c r="F18962" s="114" t="str">
        <f>IF(INDEX(I.Facility.P3IDNumber,3950)="","",INDEX(I.Facility.P3IDNumber,3950))</f>
        <v/>
      </c>
      <c r="G18962" s="51"/>
      <c r="H18962" s="46" t="str">
        <f>IF(AND(I.Developer.P3=TRUE,I.Facility.P3FacilityCount&gt;=3950,F18962=""),"Incomplete","Complete")</f>
        <v>Complete</v>
      </c>
      <c r="I18962" s="48" t="s">
        <v>23327</v>
      </c>
    </row>
    <row r="18963" spans="2:9" ht="15" customHeight="1" x14ac:dyDescent="0.25">
      <c r="B18963" s="55" t="s">
        <v>282</v>
      </c>
      <c r="C18963" s="46">
        <v>3951</v>
      </c>
      <c r="D18963" s="69" t="s">
        <v>29419</v>
      </c>
      <c r="E18963" s="51"/>
      <c r="F18963" s="114" t="str">
        <f>IF(INDEX(I.Facility.P3IDNumber,3951)="","",INDEX(I.Facility.P3IDNumber,3951))</f>
        <v/>
      </c>
      <c r="G18963" s="51"/>
      <c r="H18963" s="46" t="str">
        <f>IF(AND(I.Developer.P3=TRUE,I.Facility.P3FacilityCount&gt;=3951,F18963=""),"Incomplete","Complete")</f>
        <v>Complete</v>
      </c>
      <c r="I18963" s="48" t="s">
        <v>23328</v>
      </c>
    </row>
    <row r="18964" spans="2:9" ht="15" customHeight="1" x14ac:dyDescent="0.25">
      <c r="B18964" s="55" t="s">
        <v>282</v>
      </c>
      <c r="C18964" s="46">
        <v>3952</v>
      </c>
      <c r="D18964" s="69" t="s">
        <v>29419</v>
      </c>
      <c r="E18964" s="51"/>
      <c r="F18964" s="114" t="str">
        <f>IF(INDEX(I.Facility.P3IDNumber,3952)="","",INDEX(I.Facility.P3IDNumber,3952))</f>
        <v/>
      </c>
      <c r="G18964" s="51"/>
      <c r="H18964" s="46" t="str">
        <f>IF(AND(I.Developer.P3=TRUE,I.Facility.P3FacilityCount&gt;=3952,F18964=""),"Incomplete","Complete")</f>
        <v>Complete</v>
      </c>
      <c r="I18964" s="48" t="s">
        <v>23329</v>
      </c>
    </row>
    <row r="18965" spans="2:9" ht="15" customHeight="1" x14ac:dyDescent="0.25">
      <c r="B18965" s="55" t="s">
        <v>282</v>
      </c>
      <c r="C18965" s="46">
        <v>3953</v>
      </c>
      <c r="D18965" s="69" t="s">
        <v>29419</v>
      </c>
      <c r="E18965" s="51"/>
      <c r="F18965" s="114" t="str">
        <f>IF(INDEX(I.Facility.P3IDNumber,3953)="","",INDEX(I.Facility.P3IDNumber,3953))</f>
        <v/>
      </c>
      <c r="G18965" s="51"/>
      <c r="H18965" s="46" t="str">
        <f>IF(AND(I.Developer.P3=TRUE,I.Facility.P3FacilityCount&gt;=3953,F18965=""),"Incomplete","Complete")</f>
        <v>Complete</v>
      </c>
      <c r="I18965" s="48" t="s">
        <v>23330</v>
      </c>
    </row>
    <row r="18966" spans="2:9" ht="15" customHeight="1" x14ac:dyDescent="0.25">
      <c r="B18966" s="55" t="s">
        <v>282</v>
      </c>
      <c r="C18966" s="46">
        <v>3954</v>
      </c>
      <c r="D18966" s="69" t="s">
        <v>29419</v>
      </c>
      <c r="E18966" s="51"/>
      <c r="F18966" s="114" t="str">
        <f>IF(INDEX(I.Facility.P3IDNumber,3954)="","",INDEX(I.Facility.P3IDNumber,3954))</f>
        <v/>
      </c>
      <c r="G18966" s="51"/>
      <c r="H18966" s="46" t="str">
        <f>IF(AND(I.Developer.P3=TRUE,I.Facility.P3FacilityCount&gt;=3954,F18966=""),"Incomplete","Complete")</f>
        <v>Complete</v>
      </c>
      <c r="I18966" s="48" t="s">
        <v>23331</v>
      </c>
    </row>
    <row r="18967" spans="2:9" ht="15" customHeight="1" x14ac:dyDescent="0.25">
      <c r="B18967" s="55" t="s">
        <v>282</v>
      </c>
      <c r="C18967" s="46">
        <v>3955</v>
      </c>
      <c r="D18967" s="69" t="s">
        <v>29419</v>
      </c>
      <c r="E18967" s="51"/>
      <c r="F18967" s="114" t="str">
        <f>IF(INDEX(I.Facility.P3IDNumber,3955)="","",INDEX(I.Facility.P3IDNumber,3955))</f>
        <v/>
      </c>
      <c r="G18967" s="51"/>
      <c r="H18967" s="46" t="str">
        <f>IF(AND(I.Developer.P3=TRUE,I.Facility.P3FacilityCount&gt;=3955,F18967=""),"Incomplete","Complete")</f>
        <v>Complete</v>
      </c>
      <c r="I18967" s="48" t="s">
        <v>23332</v>
      </c>
    </row>
    <row r="18968" spans="2:9" ht="15" customHeight="1" x14ac:dyDescent="0.25">
      <c r="B18968" s="55" t="s">
        <v>282</v>
      </c>
      <c r="C18968" s="46">
        <v>3956</v>
      </c>
      <c r="D18968" s="69" t="s">
        <v>29419</v>
      </c>
      <c r="E18968" s="51"/>
      <c r="F18968" s="114" t="str">
        <f>IF(INDEX(I.Facility.P3IDNumber,3956)="","",INDEX(I.Facility.P3IDNumber,3956))</f>
        <v/>
      </c>
      <c r="G18968" s="51"/>
      <c r="H18968" s="46" t="str">
        <f>IF(AND(I.Developer.P3=TRUE,I.Facility.P3FacilityCount&gt;=3956,F18968=""),"Incomplete","Complete")</f>
        <v>Complete</v>
      </c>
      <c r="I18968" s="48" t="s">
        <v>23333</v>
      </c>
    </row>
    <row r="18969" spans="2:9" ht="15" customHeight="1" x14ac:dyDescent="0.25">
      <c r="B18969" s="55" t="s">
        <v>282</v>
      </c>
      <c r="C18969" s="46">
        <v>3957</v>
      </c>
      <c r="D18969" s="69" t="s">
        <v>29419</v>
      </c>
      <c r="E18969" s="51"/>
      <c r="F18969" s="114" t="str">
        <f>IF(INDEX(I.Facility.P3IDNumber,3957)="","",INDEX(I.Facility.P3IDNumber,3957))</f>
        <v/>
      </c>
      <c r="G18969" s="51"/>
      <c r="H18969" s="46" t="str">
        <f>IF(AND(I.Developer.P3=TRUE,I.Facility.P3FacilityCount&gt;=3957,F18969=""),"Incomplete","Complete")</f>
        <v>Complete</v>
      </c>
      <c r="I18969" s="48" t="s">
        <v>23334</v>
      </c>
    </row>
    <row r="18970" spans="2:9" ht="15" customHeight="1" x14ac:dyDescent="0.25">
      <c r="B18970" s="55" t="s">
        <v>282</v>
      </c>
      <c r="C18970" s="46">
        <v>3958</v>
      </c>
      <c r="D18970" s="69" t="s">
        <v>29419</v>
      </c>
      <c r="E18970" s="51"/>
      <c r="F18970" s="114" t="str">
        <f>IF(INDEX(I.Facility.P3IDNumber,3958)="","",INDEX(I.Facility.P3IDNumber,3958))</f>
        <v/>
      </c>
      <c r="G18970" s="51"/>
      <c r="H18970" s="46" t="str">
        <f>IF(AND(I.Developer.P3=TRUE,I.Facility.P3FacilityCount&gt;=3958,F18970=""),"Incomplete","Complete")</f>
        <v>Complete</v>
      </c>
      <c r="I18970" s="48" t="s">
        <v>23335</v>
      </c>
    </row>
    <row r="18971" spans="2:9" ht="15" customHeight="1" x14ac:dyDescent="0.25">
      <c r="B18971" s="55" t="s">
        <v>282</v>
      </c>
      <c r="C18971" s="46">
        <v>3959</v>
      </c>
      <c r="D18971" s="69" t="s">
        <v>29419</v>
      </c>
      <c r="E18971" s="51"/>
      <c r="F18971" s="114" t="str">
        <f>IF(INDEX(I.Facility.P3IDNumber,3959)="","",INDEX(I.Facility.P3IDNumber,3959))</f>
        <v/>
      </c>
      <c r="G18971" s="51"/>
      <c r="H18971" s="46" t="str">
        <f>IF(AND(I.Developer.P3=TRUE,I.Facility.P3FacilityCount&gt;=3959,F18971=""),"Incomplete","Complete")</f>
        <v>Complete</v>
      </c>
      <c r="I18971" s="48" t="s">
        <v>23336</v>
      </c>
    </row>
    <row r="18972" spans="2:9" ht="15" customHeight="1" x14ac:dyDescent="0.25">
      <c r="B18972" s="55" t="s">
        <v>282</v>
      </c>
      <c r="C18972" s="46">
        <v>3960</v>
      </c>
      <c r="D18972" s="69" t="s">
        <v>29419</v>
      </c>
      <c r="E18972" s="51"/>
      <c r="F18972" s="114" t="str">
        <f>IF(INDEX(I.Facility.P3IDNumber,3960)="","",INDEX(I.Facility.P3IDNumber,3960))</f>
        <v/>
      </c>
      <c r="G18972" s="51"/>
      <c r="H18972" s="46" t="str">
        <f>IF(AND(I.Developer.P3=TRUE,I.Facility.P3FacilityCount&gt;=3960,F18972=""),"Incomplete","Complete")</f>
        <v>Complete</v>
      </c>
      <c r="I18972" s="48" t="s">
        <v>23337</v>
      </c>
    </row>
    <row r="18973" spans="2:9" ht="15" customHeight="1" x14ac:dyDescent="0.25">
      <c r="B18973" s="55" t="s">
        <v>282</v>
      </c>
      <c r="C18973" s="46">
        <v>3961</v>
      </c>
      <c r="D18973" s="69" t="s">
        <v>29419</v>
      </c>
      <c r="E18973" s="51"/>
      <c r="F18973" s="114" t="str">
        <f>IF(INDEX(I.Facility.P3IDNumber,3961)="","",INDEX(I.Facility.P3IDNumber,3961))</f>
        <v/>
      </c>
      <c r="G18973" s="51"/>
      <c r="H18973" s="46" t="str">
        <f>IF(AND(I.Developer.P3=TRUE,I.Facility.P3FacilityCount&gt;=3961,F18973=""),"Incomplete","Complete")</f>
        <v>Complete</v>
      </c>
      <c r="I18973" s="48" t="s">
        <v>23338</v>
      </c>
    </row>
    <row r="18974" spans="2:9" ht="15" customHeight="1" x14ac:dyDescent="0.25">
      <c r="B18974" s="55" t="s">
        <v>282</v>
      </c>
      <c r="C18974" s="46">
        <v>3962</v>
      </c>
      <c r="D18974" s="69" t="s">
        <v>29419</v>
      </c>
      <c r="E18974" s="51"/>
      <c r="F18974" s="114" t="str">
        <f>IF(INDEX(I.Facility.P3IDNumber,3962)="","",INDEX(I.Facility.P3IDNumber,3962))</f>
        <v/>
      </c>
      <c r="G18974" s="51"/>
      <c r="H18974" s="46" t="str">
        <f>IF(AND(I.Developer.P3=TRUE,I.Facility.P3FacilityCount&gt;=3962,F18974=""),"Incomplete","Complete")</f>
        <v>Complete</v>
      </c>
      <c r="I18974" s="48" t="s">
        <v>23339</v>
      </c>
    </row>
    <row r="18975" spans="2:9" ht="15" customHeight="1" x14ac:dyDescent="0.25">
      <c r="B18975" s="55" t="s">
        <v>282</v>
      </c>
      <c r="C18975" s="46">
        <v>3963</v>
      </c>
      <c r="D18975" s="69" t="s">
        <v>29419</v>
      </c>
      <c r="E18975" s="51"/>
      <c r="F18975" s="114" t="str">
        <f>IF(INDEX(I.Facility.P3IDNumber,3963)="","",INDEX(I.Facility.P3IDNumber,3963))</f>
        <v/>
      </c>
      <c r="G18975" s="51"/>
      <c r="H18975" s="46" t="str">
        <f>IF(AND(I.Developer.P3=TRUE,I.Facility.P3FacilityCount&gt;=3963,F18975=""),"Incomplete","Complete")</f>
        <v>Complete</v>
      </c>
      <c r="I18975" s="48" t="s">
        <v>23340</v>
      </c>
    </row>
    <row r="18976" spans="2:9" ht="15" customHeight="1" x14ac:dyDescent="0.25">
      <c r="B18976" s="55" t="s">
        <v>282</v>
      </c>
      <c r="C18976" s="46">
        <v>3964</v>
      </c>
      <c r="D18976" s="69" t="s">
        <v>29419</v>
      </c>
      <c r="E18976" s="51"/>
      <c r="F18976" s="114" t="str">
        <f>IF(INDEX(I.Facility.P3IDNumber,3964)="","",INDEX(I.Facility.P3IDNumber,3964))</f>
        <v/>
      </c>
      <c r="G18976" s="51"/>
      <c r="H18976" s="46" t="str">
        <f>IF(AND(I.Developer.P3=TRUE,I.Facility.P3FacilityCount&gt;=3964,F18976=""),"Incomplete","Complete")</f>
        <v>Complete</v>
      </c>
      <c r="I18976" s="48" t="s">
        <v>23341</v>
      </c>
    </row>
    <row r="18977" spans="2:9" ht="15" customHeight="1" x14ac:dyDescent="0.25">
      <c r="B18977" s="55" t="s">
        <v>282</v>
      </c>
      <c r="C18977" s="46">
        <v>3965</v>
      </c>
      <c r="D18977" s="69" t="s">
        <v>29419</v>
      </c>
      <c r="E18977" s="51"/>
      <c r="F18977" s="114" t="str">
        <f>IF(INDEX(I.Facility.P3IDNumber,3965)="","",INDEX(I.Facility.P3IDNumber,3965))</f>
        <v/>
      </c>
      <c r="G18977" s="51"/>
      <c r="H18977" s="46" t="str">
        <f>IF(AND(I.Developer.P3=TRUE,I.Facility.P3FacilityCount&gt;=3965,F18977=""),"Incomplete","Complete")</f>
        <v>Complete</v>
      </c>
      <c r="I18977" s="48" t="s">
        <v>23342</v>
      </c>
    </row>
    <row r="18978" spans="2:9" ht="15" customHeight="1" x14ac:dyDescent="0.25">
      <c r="B18978" s="55" t="s">
        <v>282</v>
      </c>
      <c r="C18978" s="46">
        <v>3966</v>
      </c>
      <c r="D18978" s="69" t="s">
        <v>29419</v>
      </c>
      <c r="E18978" s="51"/>
      <c r="F18978" s="114" t="str">
        <f>IF(INDEX(I.Facility.P3IDNumber,3966)="","",INDEX(I.Facility.P3IDNumber,3966))</f>
        <v/>
      </c>
      <c r="G18978" s="51"/>
      <c r="H18978" s="46" t="str">
        <f>IF(AND(I.Developer.P3=TRUE,I.Facility.P3FacilityCount&gt;=3966,F18978=""),"Incomplete","Complete")</f>
        <v>Complete</v>
      </c>
      <c r="I18978" s="48" t="s">
        <v>23343</v>
      </c>
    </row>
    <row r="18979" spans="2:9" ht="15" customHeight="1" x14ac:dyDescent="0.25">
      <c r="B18979" s="55" t="s">
        <v>282</v>
      </c>
      <c r="C18979" s="46">
        <v>3967</v>
      </c>
      <c r="D18979" s="69" t="s">
        <v>29419</v>
      </c>
      <c r="E18979" s="51"/>
      <c r="F18979" s="114" t="str">
        <f>IF(INDEX(I.Facility.P3IDNumber,3967)="","",INDEX(I.Facility.P3IDNumber,3967))</f>
        <v/>
      </c>
      <c r="G18979" s="51"/>
      <c r="H18979" s="46" t="str">
        <f>IF(AND(I.Developer.P3=TRUE,I.Facility.P3FacilityCount&gt;=3967,F18979=""),"Incomplete","Complete")</f>
        <v>Complete</v>
      </c>
      <c r="I18979" s="48" t="s">
        <v>23344</v>
      </c>
    </row>
    <row r="18980" spans="2:9" ht="15" customHeight="1" x14ac:dyDescent="0.25">
      <c r="B18980" s="55" t="s">
        <v>282</v>
      </c>
      <c r="C18980" s="46">
        <v>3968</v>
      </c>
      <c r="D18980" s="69" t="s">
        <v>29419</v>
      </c>
      <c r="E18980" s="51"/>
      <c r="F18980" s="114" t="str">
        <f>IF(INDEX(I.Facility.P3IDNumber,3968)="","",INDEX(I.Facility.P3IDNumber,3968))</f>
        <v/>
      </c>
      <c r="G18980" s="51"/>
      <c r="H18980" s="46" t="str">
        <f>IF(AND(I.Developer.P3=TRUE,I.Facility.P3FacilityCount&gt;=3968,F18980=""),"Incomplete","Complete")</f>
        <v>Complete</v>
      </c>
      <c r="I18980" s="48" t="s">
        <v>23345</v>
      </c>
    </row>
    <row r="18981" spans="2:9" ht="15" customHeight="1" x14ac:dyDescent="0.25">
      <c r="B18981" s="55" t="s">
        <v>282</v>
      </c>
      <c r="C18981" s="46">
        <v>3969</v>
      </c>
      <c r="D18981" s="69" t="s">
        <v>29419</v>
      </c>
      <c r="E18981" s="51"/>
      <c r="F18981" s="114" t="str">
        <f>IF(INDEX(I.Facility.P3IDNumber,3969)="","",INDEX(I.Facility.P3IDNumber,3969))</f>
        <v/>
      </c>
      <c r="G18981" s="51"/>
      <c r="H18981" s="46" t="str">
        <f>IF(AND(I.Developer.P3=TRUE,I.Facility.P3FacilityCount&gt;=3969,F18981=""),"Incomplete","Complete")</f>
        <v>Complete</v>
      </c>
      <c r="I18981" s="48" t="s">
        <v>23346</v>
      </c>
    </row>
    <row r="18982" spans="2:9" ht="15" customHeight="1" x14ac:dyDescent="0.25">
      <c r="B18982" s="55" t="s">
        <v>282</v>
      </c>
      <c r="C18982" s="46">
        <v>3970</v>
      </c>
      <c r="D18982" s="69" t="s">
        <v>29419</v>
      </c>
      <c r="E18982" s="51"/>
      <c r="F18982" s="114" t="str">
        <f>IF(INDEX(I.Facility.P3IDNumber,3970)="","",INDEX(I.Facility.P3IDNumber,3970))</f>
        <v/>
      </c>
      <c r="G18982" s="51"/>
      <c r="H18982" s="46" t="str">
        <f>IF(AND(I.Developer.P3=TRUE,I.Facility.P3FacilityCount&gt;=3970,F18982=""),"Incomplete","Complete")</f>
        <v>Complete</v>
      </c>
      <c r="I18982" s="48" t="s">
        <v>23347</v>
      </c>
    </row>
    <row r="18983" spans="2:9" ht="15" customHeight="1" x14ac:dyDescent="0.25">
      <c r="B18983" s="55" t="s">
        <v>282</v>
      </c>
      <c r="C18983" s="46">
        <v>3971</v>
      </c>
      <c r="D18983" s="69" t="s">
        <v>29419</v>
      </c>
      <c r="E18983" s="51"/>
      <c r="F18983" s="114" t="str">
        <f>IF(INDEX(I.Facility.P3IDNumber,3971)="","",INDEX(I.Facility.P3IDNumber,3971))</f>
        <v/>
      </c>
      <c r="G18983" s="51"/>
      <c r="H18983" s="46" t="str">
        <f>IF(AND(I.Developer.P3=TRUE,I.Facility.P3FacilityCount&gt;=3971,F18983=""),"Incomplete","Complete")</f>
        <v>Complete</v>
      </c>
      <c r="I18983" s="48" t="s">
        <v>23348</v>
      </c>
    </row>
    <row r="18984" spans="2:9" ht="15" customHeight="1" x14ac:dyDescent="0.25">
      <c r="B18984" s="55" t="s">
        <v>282</v>
      </c>
      <c r="C18984" s="46">
        <v>3972</v>
      </c>
      <c r="D18984" s="69" t="s">
        <v>29419</v>
      </c>
      <c r="E18984" s="51"/>
      <c r="F18984" s="114" t="str">
        <f>IF(INDEX(I.Facility.P3IDNumber,3972)="","",INDEX(I.Facility.P3IDNumber,3972))</f>
        <v/>
      </c>
      <c r="G18984" s="51"/>
      <c r="H18984" s="46" t="str">
        <f>IF(AND(I.Developer.P3=TRUE,I.Facility.P3FacilityCount&gt;=3972,F18984=""),"Incomplete","Complete")</f>
        <v>Complete</v>
      </c>
      <c r="I18984" s="48" t="s">
        <v>23349</v>
      </c>
    </row>
    <row r="18985" spans="2:9" ht="15" customHeight="1" x14ac:dyDescent="0.25">
      <c r="B18985" s="55" t="s">
        <v>282</v>
      </c>
      <c r="C18985" s="46">
        <v>3973</v>
      </c>
      <c r="D18985" s="69" t="s">
        <v>29419</v>
      </c>
      <c r="E18985" s="51"/>
      <c r="F18985" s="114" t="str">
        <f>IF(INDEX(I.Facility.P3IDNumber,3973)="","",INDEX(I.Facility.P3IDNumber,3973))</f>
        <v/>
      </c>
      <c r="G18985" s="51"/>
      <c r="H18985" s="46" t="str">
        <f>IF(AND(I.Developer.P3=TRUE,I.Facility.P3FacilityCount&gt;=3973,F18985=""),"Incomplete","Complete")</f>
        <v>Complete</v>
      </c>
      <c r="I18985" s="48" t="s">
        <v>23350</v>
      </c>
    </row>
    <row r="18986" spans="2:9" ht="15" customHeight="1" x14ac:dyDescent="0.25">
      <c r="B18986" s="55" t="s">
        <v>282</v>
      </c>
      <c r="C18986" s="46">
        <v>3974</v>
      </c>
      <c r="D18986" s="69" t="s">
        <v>29419</v>
      </c>
      <c r="E18986" s="51"/>
      <c r="F18986" s="114" t="str">
        <f>IF(INDEX(I.Facility.P3IDNumber,3974)="","",INDEX(I.Facility.P3IDNumber,3974))</f>
        <v/>
      </c>
      <c r="G18986" s="51"/>
      <c r="H18986" s="46" t="str">
        <f>IF(AND(I.Developer.P3=TRUE,I.Facility.P3FacilityCount&gt;=3974,F18986=""),"Incomplete","Complete")</f>
        <v>Complete</v>
      </c>
      <c r="I18986" s="48" t="s">
        <v>23351</v>
      </c>
    </row>
    <row r="18987" spans="2:9" ht="15" customHeight="1" x14ac:dyDescent="0.25">
      <c r="B18987" s="55" t="s">
        <v>282</v>
      </c>
      <c r="C18987" s="46">
        <v>3975</v>
      </c>
      <c r="D18987" s="69" t="s">
        <v>29419</v>
      </c>
      <c r="E18987" s="51"/>
      <c r="F18987" s="114" t="str">
        <f>IF(INDEX(I.Facility.P3IDNumber,3975)="","",INDEX(I.Facility.P3IDNumber,3975))</f>
        <v/>
      </c>
      <c r="G18987" s="51"/>
      <c r="H18987" s="46" t="str">
        <f>IF(AND(I.Developer.P3=TRUE,I.Facility.P3FacilityCount&gt;=3975,F18987=""),"Incomplete","Complete")</f>
        <v>Complete</v>
      </c>
      <c r="I18987" s="48" t="s">
        <v>23352</v>
      </c>
    </row>
    <row r="18988" spans="2:9" ht="15" customHeight="1" x14ac:dyDescent="0.25">
      <c r="B18988" s="55" t="s">
        <v>282</v>
      </c>
      <c r="C18988" s="46">
        <v>3976</v>
      </c>
      <c r="D18988" s="69" t="s">
        <v>29419</v>
      </c>
      <c r="E18988" s="51"/>
      <c r="F18988" s="114" t="str">
        <f>IF(INDEX(I.Facility.P3IDNumber,3976)="","",INDEX(I.Facility.P3IDNumber,3976))</f>
        <v/>
      </c>
      <c r="G18988" s="51"/>
      <c r="H18988" s="46" t="str">
        <f>IF(AND(I.Developer.P3=TRUE,I.Facility.P3FacilityCount&gt;=3976,F18988=""),"Incomplete","Complete")</f>
        <v>Complete</v>
      </c>
      <c r="I18988" s="48" t="s">
        <v>23353</v>
      </c>
    </row>
    <row r="18989" spans="2:9" ht="15" customHeight="1" x14ac:dyDescent="0.25">
      <c r="B18989" s="55" t="s">
        <v>282</v>
      </c>
      <c r="C18989" s="46">
        <v>3977</v>
      </c>
      <c r="D18989" s="69" t="s">
        <v>29419</v>
      </c>
      <c r="E18989" s="51"/>
      <c r="F18989" s="114" t="str">
        <f>IF(INDEX(I.Facility.P3IDNumber,3977)="","",INDEX(I.Facility.P3IDNumber,3977))</f>
        <v/>
      </c>
      <c r="G18989" s="51"/>
      <c r="H18989" s="46" t="str">
        <f>IF(AND(I.Developer.P3=TRUE,I.Facility.P3FacilityCount&gt;=3977,F18989=""),"Incomplete","Complete")</f>
        <v>Complete</v>
      </c>
      <c r="I18989" s="48" t="s">
        <v>23354</v>
      </c>
    </row>
    <row r="18990" spans="2:9" ht="15" customHeight="1" x14ac:dyDescent="0.25">
      <c r="B18990" s="55" t="s">
        <v>282</v>
      </c>
      <c r="C18990" s="46">
        <v>3978</v>
      </c>
      <c r="D18990" s="69" t="s">
        <v>29419</v>
      </c>
      <c r="E18990" s="51"/>
      <c r="F18990" s="114" t="str">
        <f>IF(INDEX(I.Facility.P3IDNumber,3978)="","",INDEX(I.Facility.P3IDNumber,3978))</f>
        <v/>
      </c>
      <c r="G18990" s="51"/>
      <c r="H18990" s="46" t="str">
        <f>IF(AND(I.Developer.P3=TRUE,I.Facility.P3FacilityCount&gt;=3978,F18990=""),"Incomplete","Complete")</f>
        <v>Complete</v>
      </c>
      <c r="I18990" s="48" t="s">
        <v>23355</v>
      </c>
    </row>
    <row r="18991" spans="2:9" ht="15" customHeight="1" x14ac:dyDescent="0.25">
      <c r="B18991" s="55" t="s">
        <v>282</v>
      </c>
      <c r="C18991" s="46">
        <v>3979</v>
      </c>
      <c r="D18991" s="69" t="s">
        <v>29419</v>
      </c>
      <c r="E18991" s="51"/>
      <c r="F18991" s="114" t="str">
        <f>IF(INDEX(I.Facility.P3IDNumber,3979)="","",INDEX(I.Facility.P3IDNumber,3979))</f>
        <v/>
      </c>
      <c r="G18991" s="51"/>
      <c r="H18991" s="46" t="str">
        <f>IF(AND(I.Developer.P3=TRUE,I.Facility.P3FacilityCount&gt;=3979,F18991=""),"Incomplete","Complete")</f>
        <v>Complete</v>
      </c>
      <c r="I18991" s="48" t="s">
        <v>23356</v>
      </c>
    </row>
    <row r="18992" spans="2:9" ht="15" customHeight="1" x14ac:dyDescent="0.25">
      <c r="B18992" s="55" t="s">
        <v>282</v>
      </c>
      <c r="C18992" s="46">
        <v>3980</v>
      </c>
      <c r="D18992" s="69" t="s">
        <v>29419</v>
      </c>
      <c r="E18992" s="51"/>
      <c r="F18992" s="114" t="str">
        <f>IF(INDEX(I.Facility.P3IDNumber,3980)="","",INDEX(I.Facility.P3IDNumber,3980))</f>
        <v/>
      </c>
      <c r="G18992" s="51"/>
      <c r="H18992" s="46" t="str">
        <f>IF(AND(I.Developer.P3=TRUE,I.Facility.P3FacilityCount&gt;=3980,F18992=""),"Incomplete","Complete")</f>
        <v>Complete</v>
      </c>
      <c r="I18992" s="48" t="s">
        <v>23357</v>
      </c>
    </row>
    <row r="18993" spans="2:9" ht="15" customHeight="1" x14ac:dyDescent="0.25">
      <c r="B18993" s="55" t="s">
        <v>282</v>
      </c>
      <c r="C18993" s="46">
        <v>3981</v>
      </c>
      <c r="D18993" s="69" t="s">
        <v>29419</v>
      </c>
      <c r="E18993" s="51"/>
      <c r="F18993" s="114" t="str">
        <f>IF(INDEX(I.Facility.P3IDNumber,3981)="","",INDEX(I.Facility.P3IDNumber,3981))</f>
        <v/>
      </c>
      <c r="G18993" s="51"/>
      <c r="H18993" s="46" t="str">
        <f>IF(AND(I.Developer.P3=TRUE,I.Facility.P3FacilityCount&gt;=3981,F18993=""),"Incomplete","Complete")</f>
        <v>Complete</v>
      </c>
      <c r="I18993" s="48" t="s">
        <v>23358</v>
      </c>
    </row>
    <row r="18994" spans="2:9" ht="15" customHeight="1" x14ac:dyDescent="0.25">
      <c r="B18994" s="55" t="s">
        <v>282</v>
      </c>
      <c r="C18994" s="46">
        <v>3982</v>
      </c>
      <c r="D18994" s="69" t="s">
        <v>29419</v>
      </c>
      <c r="E18994" s="51"/>
      <c r="F18994" s="114" t="str">
        <f>IF(INDEX(I.Facility.P3IDNumber,3982)="","",INDEX(I.Facility.P3IDNumber,3982))</f>
        <v/>
      </c>
      <c r="G18994" s="51"/>
      <c r="H18994" s="46" t="str">
        <f>IF(AND(I.Developer.P3=TRUE,I.Facility.P3FacilityCount&gt;=3982,F18994=""),"Incomplete","Complete")</f>
        <v>Complete</v>
      </c>
      <c r="I18994" s="48" t="s">
        <v>23359</v>
      </c>
    </row>
    <row r="18995" spans="2:9" ht="15" customHeight="1" x14ac:dyDescent="0.25">
      <c r="B18995" s="55" t="s">
        <v>282</v>
      </c>
      <c r="C18995" s="46">
        <v>3983</v>
      </c>
      <c r="D18995" s="69" t="s">
        <v>29419</v>
      </c>
      <c r="E18995" s="51"/>
      <c r="F18995" s="114" t="str">
        <f>IF(INDEX(I.Facility.P3IDNumber,3983)="","",INDEX(I.Facility.P3IDNumber,3983))</f>
        <v/>
      </c>
      <c r="G18995" s="51"/>
      <c r="H18995" s="46" t="str">
        <f>IF(AND(I.Developer.P3=TRUE,I.Facility.P3FacilityCount&gt;=3983,F18995=""),"Incomplete","Complete")</f>
        <v>Complete</v>
      </c>
      <c r="I18995" s="48" t="s">
        <v>23360</v>
      </c>
    </row>
    <row r="18996" spans="2:9" ht="15" customHeight="1" x14ac:dyDescent="0.25">
      <c r="B18996" s="55" t="s">
        <v>282</v>
      </c>
      <c r="C18996" s="46">
        <v>3984</v>
      </c>
      <c r="D18996" s="69" t="s">
        <v>29419</v>
      </c>
      <c r="E18996" s="51"/>
      <c r="F18996" s="114" t="str">
        <f>IF(INDEX(I.Facility.P3IDNumber,3984)="","",INDEX(I.Facility.P3IDNumber,3984))</f>
        <v/>
      </c>
      <c r="G18996" s="51"/>
      <c r="H18996" s="46" t="str">
        <f>IF(AND(I.Developer.P3=TRUE,I.Facility.P3FacilityCount&gt;=3984,F18996=""),"Incomplete","Complete")</f>
        <v>Complete</v>
      </c>
      <c r="I18996" s="48" t="s">
        <v>23361</v>
      </c>
    </row>
    <row r="18997" spans="2:9" ht="15" customHeight="1" x14ac:dyDescent="0.25">
      <c r="B18997" s="55" t="s">
        <v>282</v>
      </c>
      <c r="C18997" s="46">
        <v>3985</v>
      </c>
      <c r="D18997" s="69" t="s">
        <v>29419</v>
      </c>
      <c r="E18997" s="51"/>
      <c r="F18997" s="114" t="str">
        <f>IF(INDEX(I.Facility.P3IDNumber,3985)="","",INDEX(I.Facility.P3IDNumber,3985))</f>
        <v/>
      </c>
      <c r="G18997" s="51"/>
      <c r="H18997" s="46" t="str">
        <f>IF(AND(I.Developer.P3=TRUE,I.Facility.P3FacilityCount&gt;=3985,F18997=""),"Incomplete","Complete")</f>
        <v>Complete</v>
      </c>
      <c r="I18997" s="48" t="s">
        <v>23362</v>
      </c>
    </row>
    <row r="18998" spans="2:9" ht="15" customHeight="1" x14ac:dyDescent="0.25">
      <c r="B18998" s="55" t="s">
        <v>282</v>
      </c>
      <c r="C18998" s="46">
        <v>3986</v>
      </c>
      <c r="D18998" s="69" t="s">
        <v>29419</v>
      </c>
      <c r="E18998" s="51"/>
      <c r="F18998" s="114" t="str">
        <f>IF(INDEX(I.Facility.P3IDNumber,3986)="","",INDEX(I.Facility.P3IDNumber,3986))</f>
        <v/>
      </c>
      <c r="G18998" s="51"/>
      <c r="H18998" s="46" t="str">
        <f>IF(AND(I.Developer.P3=TRUE,I.Facility.P3FacilityCount&gt;=3986,F18998=""),"Incomplete","Complete")</f>
        <v>Complete</v>
      </c>
      <c r="I18998" s="48" t="s">
        <v>23363</v>
      </c>
    </row>
    <row r="18999" spans="2:9" ht="15" customHeight="1" x14ac:dyDescent="0.25">
      <c r="B18999" s="55" t="s">
        <v>282</v>
      </c>
      <c r="C18999" s="46">
        <v>3987</v>
      </c>
      <c r="D18999" s="69" t="s">
        <v>29419</v>
      </c>
      <c r="E18999" s="51"/>
      <c r="F18999" s="114" t="str">
        <f>IF(INDEX(I.Facility.P3IDNumber,3987)="","",INDEX(I.Facility.P3IDNumber,3987))</f>
        <v/>
      </c>
      <c r="G18999" s="51"/>
      <c r="H18999" s="46" t="str">
        <f>IF(AND(I.Developer.P3=TRUE,I.Facility.P3FacilityCount&gt;=3987,F18999=""),"Incomplete","Complete")</f>
        <v>Complete</v>
      </c>
      <c r="I18999" s="48" t="s">
        <v>23364</v>
      </c>
    </row>
    <row r="19000" spans="2:9" ht="15" customHeight="1" x14ac:dyDescent="0.25">
      <c r="B19000" s="55" t="s">
        <v>282</v>
      </c>
      <c r="C19000" s="46">
        <v>3988</v>
      </c>
      <c r="D19000" s="69" t="s">
        <v>29419</v>
      </c>
      <c r="E19000" s="51"/>
      <c r="F19000" s="114" t="str">
        <f>IF(INDEX(I.Facility.P3IDNumber,3988)="","",INDEX(I.Facility.P3IDNumber,3988))</f>
        <v/>
      </c>
      <c r="G19000" s="51"/>
      <c r="H19000" s="46" t="str">
        <f>IF(AND(I.Developer.P3=TRUE,I.Facility.P3FacilityCount&gt;=3988,F19000=""),"Incomplete","Complete")</f>
        <v>Complete</v>
      </c>
      <c r="I19000" s="48" t="s">
        <v>23365</v>
      </c>
    </row>
    <row r="19001" spans="2:9" ht="15" customHeight="1" x14ac:dyDescent="0.25">
      <c r="B19001" s="55" t="s">
        <v>282</v>
      </c>
      <c r="C19001" s="46">
        <v>3989</v>
      </c>
      <c r="D19001" s="69" t="s">
        <v>29419</v>
      </c>
      <c r="E19001" s="51"/>
      <c r="F19001" s="114" t="str">
        <f>IF(INDEX(I.Facility.P3IDNumber,3989)="","",INDEX(I.Facility.P3IDNumber,3989))</f>
        <v/>
      </c>
      <c r="G19001" s="51"/>
      <c r="H19001" s="46" t="str">
        <f>IF(AND(I.Developer.P3=TRUE,I.Facility.P3FacilityCount&gt;=3989,F19001=""),"Incomplete","Complete")</f>
        <v>Complete</v>
      </c>
      <c r="I19001" s="48" t="s">
        <v>23366</v>
      </c>
    </row>
    <row r="19002" spans="2:9" ht="15" customHeight="1" x14ac:dyDescent="0.25">
      <c r="B19002" s="55" t="s">
        <v>282</v>
      </c>
      <c r="C19002" s="46">
        <v>3990</v>
      </c>
      <c r="D19002" s="69" t="s">
        <v>29419</v>
      </c>
      <c r="E19002" s="51"/>
      <c r="F19002" s="114" t="str">
        <f>IF(INDEX(I.Facility.P3IDNumber,3990)="","",INDEX(I.Facility.P3IDNumber,3990))</f>
        <v/>
      </c>
      <c r="G19002" s="51"/>
      <c r="H19002" s="46" t="str">
        <f>IF(AND(I.Developer.P3=TRUE,I.Facility.P3FacilityCount&gt;=3990,F19002=""),"Incomplete","Complete")</f>
        <v>Complete</v>
      </c>
      <c r="I19002" s="48" t="s">
        <v>23367</v>
      </c>
    </row>
    <row r="19003" spans="2:9" ht="15" customHeight="1" x14ac:dyDescent="0.25">
      <c r="B19003" s="55" t="s">
        <v>282</v>
      </c>
      <c r="C19003" s="46">
        <v>3991</v>
      </c>
      <c r="D19003" s="69" t="s">
        <v>29419</v>
      </c>
      <c r="E19003" s="51"/>
      <c r="F19003" s="114" t="str">
        <f>IF(INDEX(I.Facility.P3IDNumber,3991)="","",INDEX(I.Facility.P3IDNumber,3991))</f>
        <v/>
      </c>
      <c r="G19003" s="51"/>
      <c r="H19003" s="46" t="str">
        <f>IF(AND(I.Developer.P3=TRUE,I.Facility.P3FacilityCount&gt;=3991,F19003=""),"Incomplete","Complete")</f>
        <v>Complete</v>
      </c>
      <c r="I19003" s="48" t="s">
        <v>23368</v>
      </c>
    </row>
    <row r="19004" spans="2:9" ht="15" customHeight="1" x14ac:dyDescent="0.25">
      <c r="B19004" s="55" t="s">
        <v>282</v>
      </c>
      <c r="C19004" s="46">
        <v>3992</v>
      </c>
      <c r="D19004" s="69" t="s">
        <v>29419</v>
      </c>
      <c r="E19004" s="51"/>
      <c r="F19004" s="114" t="str">
        <f>IF(INDEX(I.Facility.P3IDNumber,3992)="","",INDEX(I.Facility.P3IDNumber,3992))</f>
        <v/>
      </c>
      <c r="G19004" s="51"/>
      <c r="H19004" s="46" t="str">
        <f>IF(AND(I.Developer.P3=TRUE,I.Facility.P3FacilityCount&gt;=3992,F19004=""),"Incomplete","Complete")</f>
        <v>Complete</v>
      </c>
      <c r="I19004" s="48" t="s">
        <v>23369</v>
      </c>
    </row>
    <row r="19005" spans="2:9" ht="15" customHeight="1" x14ac:dyDescent="0.25">
      <c r="B19005" s="55" t="s">
        <v>282</v>
      </c>
      <c r="C19005" s="46">
        <v>3993</v>
      </c>
      <c r="D19005" s="69" t="s">
        <v>29419</v>
      </c>
      <c r="E19005" s="51"/>
      <c r="F19005" s="114" t="str">
        <f>IF(INDEX(I.Facility.P3IDNumber,3993)="","",INDEX(I.Facility.P3IDNumber,3993))</f>
        <v/>
      </c>
      <c r="G19005" s="51"/>
      <c r="H19005" s="46" t="str">
        <f>IF(AND(I.Developer.P3=TRUE,I.Facility.P3FacilityCount&gt;=3993,F19005=""),"Incomplete","Complete")</f>
        <v>Complete</v>
      </c>
      <c r="I19005" s="48" t="s">
        <v>23370</v>
      </c>
    </row>
    <row r="19006" spans="2:9" ht="15" customHeight="1" x14ac:dyDescent="0.25">
      <c r="B19006" s="55" t="s">
        <v>282</v>
      </c>
      <c r="C19006" s="46">
        <v>3994</v>
      </c>
      <c r="D19006" s="69" t="s">
        <v>29419</v>
      </c>
      <c r="E19006" s="51"/>
      <c r="F19006" s="114" t="str">
        <f>IF(INDEX(I.Facility.P3IDNumber,3994)="","",INDEX(I.Facility.P3IDNumber,3994))</f>
        <v/>
      </c>
      <c r="G19006" s="51"/>
      <c r="H19006" s="46" t="str">
        <f>IF(AND(I.Developer.P3=TRUE,I.Facility.P3FacilityCount&gt;=3994,F19006=""),"Incomplete","Complete")</f>
        <v>Complete</v>
      </c>
      <c r="I19006" s="48" t="s">
        <v>23371</v>
      </c>
    </row>
    <row r="19007" spans="2:9" ht="15" customHeight="1" x14ac:dyDescent="0.25">
      <c r="B19007" s="55" t="s">
        <v>282</v>
      </c>
      <c r="C19007" s="46">
        <v>3995</v>
      </c>
      <c r="D19007" s="69" t="s">
        <v>29419</v>
      </c>
      <c r="E19007" s="51"/>
      <c r="F19007" s="114" t="str">
        <f>IF(INDEX(I.Facility.P3IDNumber,3995)="","",INDEX(I.Facility.P3IDNumber,3995))</f>
        <v/>
      </c>
      <c r="G19007" s="51"/>
      <c r="H19007" s="46" t="str">
        <f>IF(AND(I.Developer.P3=TRUE,I.Facility.P3FacilityCount&gt;=3995,F19007=""),"Incomplete","Complete")</f>
        <v>Complete</v>
      </c>
      <c r="I19007" s="48" t="s">
        <v>23372</v>
      </c>
    </row>
    <row r="19008" spans="2:9" ht="15" customHeight="1" x14ac:dyDescent="0.25">
      <c r="B19008" s="55" t="s">
        <v>282</v>
      </c>
      <c r="C19008" s="46">
        <v>3996</v>
      </c>
      <c r="D19008" s="69" t="s">
        <v>29419</v>
      </c>
      <c r="E19008" s="51"/>
      <c r="F19008" s="114" t="str">
        <f>IF(INDEX(I.Facility.P3IDNumber,3996)="","",INDEX(I.Facility.P3IDNumber,3996))</f>
        <v/>
      </c>
      <c r="G19008" s="51"/>
      <c r="H19008" s="46" t="str">
        <f>IF(AND(I.Developer.P3=TRUE,I.Facility.P3FacilityCount&gt;=3996,F19008=""),"Incomplete","Complete")</f>
        <v>Complete</v>
      </c>
      <c r="I19008" s="48" t="s">
        <v>23373</v>
      </c>
    </row>
    <row r="19009" spans="2:9" ht="15" customHeight="1" x14ac:dyDescent="0.25">
      <c r="B19009" s="55" t="s">
        <v>282</v>
      </c>
      <c r="C19009" s="46">
        <v>3997</v>
      </c>
      <c r="D19009" s="69" t="s">
        <v>29419</v>
      </c>
      <c r="E19009" s="51"/>
      <c r="F19009" s="114" t="str">
        <f>IF(INDEX(I.Facility.P3IDNumber,3997)="","",INDEX(I.Facility.P3IDNumber,3997))</f>
        <v/>
      </c>
      <c r="G19009" s="51"/>
      <c r="H19009" s="46" t="str">
        <f>IF(AND(I.Developer.P3=TRUE,I.Facility.P3FacilityCount&gt;=3997,F19009=""),"Incomplete","Complete")</f>
        <v>Complete</v>
      </c>
      <c r="I19009" s="48" t="s">
        <v>23374</v>
      </c>
    </row>
    <row r="19010" spans="2:9" ht="15" customHeight="1" x14ac:dyDescent="0.25">
      <c r="B19010" s="55" t="s">
        <v>282</v>
      </c>
      <c r="C19010" s="46">
        <v>3998</v>
      </c>
      <c r="D19010" s="69" t="s">
        <v>29419</v>
      </c>
      <c r="E19010" s="51"/>
      <c r="F19010" s="114" t="str">
        <f>IF(INDEX(I.Facility.P3IDNumber,3998)="","",INDEX(I.Facility.P3IDNumber,3998))</f>
        <v/>
      </c>
      <c r="G19010" s="51"/>
      <c r="H19010" s="46" t="str">
        <f>IF(AND(I.Developer.P3=TRUE,I.Facility.P3FacilityCount&gt;=3998,F19010=""),"Incomplete","Complete")</f>
        <v>Complete</v>
      </c>
      <c r="I19010" s="48" t="s">
        <v>23375</v>
      </c>
    </row>
    <row r="19011" spans="2:9" ht="15" customHeight="1" x14ac:dyDescent="0.25">
      <c r="B19011" s="55" t="s">
        <v>282</v>
      </c>
      <c r="C19011" s="46">
        <v>3999</v>
      </c>
      <c r="D19011" s="69" t="s">
        <v>29419</v>
      </c>
      <c r="E19011" s="51"/>
      <c r="F19011" s="114" t="str">
        <f>IF(INDEX(I.Facility.P3IDNumber,3999)="","",INDEX(I.Facility.P3IDNumber,3999))</f>
        <v/>
      </c>
      <c r="G19011" s="51"/>
      <c r="H19011" s="46" t="str">
        <f>IF(AND(I.Developer.P3=TRUE,I.Facility.P3FacilityCount&gt;=3999,F19011=""),"Incomplete","Complete")</f>
        <v>Complete</v>
      </c>
      <c r="I19011" s="48" t="s">
        <v>23376</v>
      </c>
    </row>
    <row r="19012" spans="2:9" ht="15" customHeight="1" x14ac:dyDescent="0.25">
      <c r="B19012" s="55" t="s">
        <v>282</v>
      </c>
      <c r="C19012" s="46">
        <v>4000</v>
      </c>
      <c r="D19012" s="69" t="s">
        <v>29419</v>
      </c>
      <c r="E19012" s="51"/>
      <c r="F19012" s="114" t="str">
        <f>IF(INDEX(I.Facility.P3IDNumber,4000)="","",INDEX(I.Facility.P3IDNumber,4000))</f>
        <v/>
      </c>
      <c r="G19012" s="51"/>
      <c r="H19012" s="46" t="str">
        <f>IF(AND(I.Developer.P3=TRUE,I.Facility.P3FacilityCount&gt;=4000,F19012=""),"Incomplete","Complete")</f>
        <v>Complete</v>
      </c>
      <c r="I19012" s="48" t="s">
        <v>23377</v>
      </c>
    </row>
    <row r="19013" spans="2:9" ht="15" customHeight="1" x14ac:dyDescent="0.25">
      <c r="B19013" s="55" t="s">
        <v>282</v>
      </c>
      <c r="C19013" s="46">
        <v>4001</v>
      </c>
      <c r="D19013" s="69" t="s">
        <v>29419</v>
      </c>
      <c r="E19013" s="51"/>
      <c r="F19013" s="114" t="str">
        <f>IF(INDEX(I.Facility.P3IDNumber,4001)="","",INDEX(I.Facility.P3IDNumber,4001))</f>
        <v/>
      </c>
      <c r="G19013" s="51"/>
      <c r="H19013" s="46" t="str">
        <f>IF(AND(I.Developer.P3=TRUE,I.Facility.P3FacilityCount&gt;=4001,F19013=""),"Incomplete","Complete")</f>
        <v>Complete</v>
      </c>
      <c r="I19013" s="48" t="s">
        <v>23378</v>
      </c>
    </row>
    <row r="19014" spans="2:9" ht="15" customHeight="1" x14ac:dyDescent="0.25">
      <c r="B19014" s="55" t="s">
        <v>282</v>
      </c>
      <c r="C19014" s="46">
        <v>4002</v>
      </c>
      <c r="D19014" s="69" t="s">
        <v>29419</v>
      </c>
      <c r="E19014" s="51"/>
      <c r="F19014" s="114" t="str">
        <f>IF(INDEX(I.Facility.P3IDNumber,4002)="","",INDEX(I.Facility.P3IDNumber,4002))</f>
        <v/>
      </c>
      <c r="G19014" s="51"/>
      <c r="H19014" s="46" t="str">
        <f>IF(AND(I.Developer.P3=TRUE,I.Facility.P3FacilityCount&gt;=4002,F19014=""),"Incomplete","Complete")</f>
        <v>Complete</v>
      </c>
      <c r="I19014" s="48" t="s">
        <v>23379</v>
      </c>
    </row>
    <row r="19015" spans="2:9" ht="15" customHeight="1" x14ac:dyDescent="0.25">
      <c r="B19015" s="55" t="s">
        <v>282</v>
      </c>
      <c r="C19015" s="46">
        <v>4003</v>
      </c>
      <c r="D19015" s="69" t="s">
        <v>29419</v>
      </c>
      <c r="E19015" s="51"/>
      <c r="F19015" s="114" t="str">
        <f>IF(INDEX(I.Facility.P3IDNumber,4003)="","",INDEX(I.Facility.P3IDNumber,4003))</f>
        <v/>
      </c>
      <c r="G19015" s="51"/>
      <c r="H19015" s="46" t="str">
        <f>IF(AND(I.Developer.P3=TRUE,I.Facility.P3FacilityCount&gt;=4003,F19015=""),"Incomplete","Complete")</f>
        <v>Complete</v>
      </c>
      <c r="I19015" s="48" t="s">
        <v>23380</v>
      </c>
    </row>
    <row r="19016" spans="2:9" ht="15" customHeight="1" x14ac:dyDescent="0.25">
      <c r="B19016" s="55" t="s">
        <v>282</v>
      </c>
      <c r="C19016" s="46">
        <v>4004</v>
      </c>
      <c r="D19016" s="69" t="s">
        <v>29419</v>
      </c>
      <c r="E19016" s="51"/>
      <c r="F19016" s="114" t="str">
        <f>IF(INDEX(I.Facility.P3IDNumber,4004)="","",INDEX(I.Facility.P3IDNumber,4004))</f>
        <v/>
      </c>
      <c r="G19016" s="51"/>
      <c r="H19016" s="46" t="str">
        <f>IF(AND(I.Developer.P3=TRUE,I.Facility.P3FacilityCount&gt;=4004,F19016=""),"Incomplete","Complete")</f>
        <v>Complete</v>
      </c>
      <c r="I19016" s="48" t="s">
        <v>23381</v>
      </c>
    </row>
    <row r="19017" spans="2:9" ht="15" customHeight="1" x14ac:dyDescent="0.25">
      <c r="B19017" s="55" t="s">
        <v>282</v>
      </c>
      <c r="C19017" s="46">
        <v>4005</v>
      </c>
      <c r="D19017" s="69" t="s">
        <v>29419</v>
      </c>
      <c r="E19017" s="51"/>
      <c r="F19017" s="114" t="str">
        <f>IF(INDEX(I.Facility.P3IDNumber,4005)="","",INDEX(I.Facility.P3IDNumber,4005))</f>
        <v/>
      </c>
      <c r="G19017" s="51"/>
      <c r="H19017" s="46" t="str">
        <f>IF(AND(I.Developer.P3=TRUE,I.Facility.P3FacilityCount&gt;=4005,F19017=""),"Incomplete","Complete")</f>
        <v>Complete</v>
      </c>
      <c r="I19017" s="48" t="s">
        <v>23382</v>
      </c>
    </row>
    <row r="19018" spans="2:9" ht="15" customHeight="1" x14ac:dyDescent="0.25">
      <c r="B19018" s="55" t="s">
        <v>282</v>
      </c>
      <c r="C19018" s="46">
        <v>4006</v>
      </c>
      <c r="D19018" s="69" t="s">
        <v>29419</v>
      </c>
      <c r="E19018" s="51"/>
      <c r="F19018" s="114" t="str">
        <f>IF(INDEX(I.Facility.P3IDNumber,4006)="","",INDEX(I.Facility.P3IDNumber,4006))</f>
        <v/>
      </c>
      <c r="G19018" s="51"/>
      <c r="H19018" s="46" t="str">
        <f>IF(AND(I.Developer.P3=TRUE,I.Facility.P3FacilityCount&gt;=4006,F19018=""),"Incomplete","Complete")</f>
        <v>Complete</v>
      </c>
      <c r="I19018" s="48" t="s">
        <v>23383</v>
      </c>
    </row>
    <row r="19019" spans="2:9" ht="15" customHeight="1" x14ac:dyDescent="0.25">
      <c r="B19019" s="55" t="s">
        <v>282</v>
      </c>
      <c r="C19019" s="46">
        <v>4007</v>
      </c>
      <c r="D19019" s="69" t="s">
        <v>29419</v>
      </c>
      <c r="E19019" s="51"/>
      <c r="F19019" s="114" t="str">
        <f>IF(INDEX(I.Facility.P3IDNumber,4007)="","",INDEX(I.Facility.P3IDNumber,4007))</f>
        <v/>
      </c>
      <c r="G19019" s="51"/>
      <c r="H19019" s="46" t="str">
        <f>IF(AND(I.Developer.P3=TRUE,I.Facility.P3FacilityCount&gt;=4007,F19019=""),"Incomplete","Complete")</f>
        <v>Complete</v>
      </c>
      <c r="I19019" s="48" t="s">
        <v>23384</v>
      </c>
    </row>
    <row r="19020" spans="2:9" ht="15" customHeight="1" x14ac:dyDescent="0.25">
      <c r="B19020" s="55" t="s">
        <v>282</v>
      </c>
      <c r="C19020" s="46">
        <v>4008</v>
      </c>
      <c r="D19020" s="69" t="s">
        <v>29419</v>
      </c>
      <c r="E19020" s="51"/>
      <c r="F19020" s="114" t="str">
        <f>IF(INDEX(I.Facility.P3IDNumber,4008)="","",INDEX(I.Facility.P3IDNumber,4008))</f>
        <v/>
      </c>
      <c r="G19020" s="51"/>
      <c r="H19020" s="46" t="str">
        <f>IF(AND(I.Developer.P3=TRUE,I.Facility.P3FacilityCount&gt;=4008,F19020=""),"Incomplete","Complete")</f>
        <v>Complete</v>
      </c>
      <c r="I19020" s="48" t="s">
        <v>23385</v>
      </c>
    </row>
    <row r="19021" spans="2:9" ht="15" customHeight="1" x14ac:dyDescent="0.25">
      <c r="B19021" s="55" t="s">
        <v>282</v>
      </c>
      <c r="C19021" s="46">
        <v>4009</v>
      </c>
      <c r="D19021" s="69" t="s">
        <v>29419</v>
      </c>
      <c r="E19021" s="51"/>
      <c r="F19021" s="114" t="str">
        <f>IF(INDEX(I.Facility.P3IDNumber,4009)="","",INDEX(I.Facility.P3IDNumber,4009))</f>
        <v/>
      </c>
      <c r="G19021" s="51"/>
      <c r="H19021" s="46" t="str">
        <f>IF(AND(I.Developer.P3=TRUE,I.Facility.P3FacilityCount&gt;=4009,F19021=""),"Incomplete","Complete")</f>
        <v>Complete</v>
      </c>
      <c r="I19021" s="48" t="s">
        <v>23386</v>
      </c>
    </row>
    <row r="19022" spans="2:9" ht="15" customHeight="1" x14ac:dyDescent="0.25">
      <c r="B19022" s="55" t="s">
        <v>282</v>
      </c>
      <c r="C19022" s="46">
        <v>4010</v>
      </c>
      <c r="D19022" s="69" t="s">
        <v>29419</v>
      </c>
      <c r="E19022" s="51"/>
      <c r="F19022" s="114" t="str">
        <f>IF(INDEX(I.Facility.P3IDNumber,4010)="","",INDEX(I.Facility.P3IDNumber,4010))</f>
        <v/>
      </c>
      <c r="G19022" s="51"/>
      <c r="H19022" s="46" t="str">
        <f>IF(AND(I.Developer.P3=TRUE,I.Facility.P3FacilityCount&gt;=4010,F19022=""),"Incomplete","Complete")</f>
        <v>Complete</v>
      </c>
      <c r="I19022" s="48" t="s">
        <v>23387</v>
      </c>
    </row>
    <row r="19023" spans="2:9" ht="15" customHeight="1" x14ac:dyDescent="0.25">
      <c r="B19023" s="55" t="s">
        <v>282</v>
      </c>
      <c r="C19023" s="46">
        <v>4011</v>
      </c>
      <c r="D19023" s="69" t="s">
        <v>29419</v>
      </c>
      <c r="E19023" s="51"/>
      <c r="F19023" s="114" t="str">
        <f>IF(INDEX(I.Facility.P3IDNumber,4011)="","",INDEX(I.Facility.P3IDNumber,4011))</f>
        <v/>
      </c>
      <c r="G19023" s="51"/>
      <c r="H19023" s="46" t="str">
        <f>IF(AND(I.Developer.P3=TRUE,I.Facility.P3FacilityCount&gt;=4011,F19023=""),"Incomplete","Complete")</f>
        <v>Complete</v>
      </c>
      <c r="I19023" s="48" t="s">
        <v>23388</v>
      </c>
    </row>
    <row r="19024" spans="2:9" ht="15" customHeight="1" x14ac:dyDescent="0.25">
      <c r="B19024" s="55" t="s">
        <v>282</v>
      </c>
      <c r="C19024" s="46">
        <v>4012</v>
      </c>
      <c r="D19024" s="69" t="s">
        <v>29419</v>
      </c>
      <c r="E19024" s="51"/>
      <c r="F19024" s="114" t="str">
        <f>IF(INDEX(I.Facility.P3IDNumber,4012)="","",INDEX(I.Facility.P3IDNumber,4012))</f>
        <v/>
      </c>
      <c r="G19024" s="51"/>
      <c r="H19024" s="46" t="str">
        <f>IF(AND(I.Developer.P3=TRUE,I.Facility.P3FacilityCount&gt;=4012,F19024=""),"Incomplete","Complete")</f>
        <v>Complete</v>
      </c>
      <c r="I19024" s="48" t="s">
        <v>23389</v>
      </c>
    </row>
    <row r="19025" spans="2:9" ht="15" customHeight="1" x14ac:dyDescent="0.25">
      <c r="B19025" s="55" t="s">
        <v>282</v>
      </c>
      <c r="C19025" s="46">
        <v>4013</v>
      </c>
      <c r="D19025" s="69" t="s">
        <v>29419</v>
      </c>
      <c r="E19025" s="51"/>
      <c r="F19025" s="114" t="str">
        <f>IF(INDEX(I.Facility.P3IDNumber,4013)="","",INDEX(I.Facility.P3IDNumber,4013))</f>
        <v/>
      </c>
      <c r="G19025" s="51"/>
      <c r="H19025" s="46" t="str">
        <f>IF(AND(I.Developer.P3=TRUE,I.Facility.P3FacilityCount&gt;=4013,F19025=""),"Incomplete","Complete")</f>
        <v>Complete</v>
      </c>
      <c r="I19025" s="48" t="s">
        <v>23390</v>
      </c>
    </row>
    <row r="19026" spans="2:9" ht="15" customHeight="1" x14ac:dyDescent="0.25">
      <c r="B19026" s="55" t="s">
        <v>282</v>
      </c>
      <c r="C19026" s="46">
        <v>4014</v>
      </c>
      <c r="D19026" s="69" t="s">
        <v>29419</v>
      </c>
      <c r="E19026" s="51"/>
      <c r="F19026" s="114" t="str">
        <f>IF(INDEX(I.Facility.P3IDNumber,4014)="","",INDEX(I.Facility.P3IDNumber,4014))</f>
        <v/>
      </c>
      <c r="G19026" s="51"/>
      <c r="H19026" s="46" t="str">
        <f>IF(AND(I.Developer.P3=TRUE,I.Facility.P3FacilityCount&gt;=4014,F19026=""),"Incomplete","Complete")</f>
        <v>Complete</v>
      </c>
      <c r="I19026" s="48" t="s">
        <v>23391</v>
      </c>
    </row>
    <row r="19027" spans="2:9" ht="15" customHeight="1" x14ac:dyDescent="0.25">
      <c r="B19027" s="55" t="s">
        <v>282</v>
      </c>
      <c r="C19027" s="46">
        <v>4015</v>
      </c>
      <c r="D19027" s="69" t="s">
        <v>29419</v>
      </c>
      <c r="E19027" s="51"/>
      <c r="F19027" s="114" t="str">
        <f>IF(INDEX(I.Facility.P3IDNumber,4015)="","",INDEX(I.Facility.P3IDNumber,4015))</f>
        <v/>
      </c>
      <c r="G19027" s="51"/>
      <c r="H19027" s="46" t="str">
        <f>IF(AND(I.Developer.P3=TRUE,I.Facility.P3FacilityCount&gt;=4015,F19027=""),"Incomplete","Complete")</f>
        <v>Complete</v>
      </c>
      <c r="I19027" s="48" t="s">
        <v>23392</v>
      </c>
    </row>
    <row r="19028" spans="2:9" ht="15" customHeight="1" x14ac:dyDescent="0.25">
      <c r="B19028" s="55" t="s">
        <v>282</v>
      </c>
      <c r="C19028" s="46">
        <v>4016</v>
      </c>
      <c r="D19028" s="69" t="s">
        <v>29419</v>
      </c>
      <c r="E19028" s="51"/>
      <c r="F19028" s="114" t="str">
        <f>IF(INDEX(I.Facility.P3IDNumber,4016)="","",INDEX(I.Facility.P3IDNumber,4016))</f>
        <v/>
      </c>
      <c r="G19028" s="51"/>
      <c r="H19028" s="46" t="str">
        <f>IF(AND(I.Developer.P3=TRUE,I.Facility.P3FacilityCount&gt;=4016,F19028=""),"Incomplete","Complete")</f>
        <v>Complete</v>
      </c>
      <c r="I19028" s="48" t="s">
        <v>23393</v>
      </c>
    </row>
    <row r="19029" spans="2:9" ht="15" customHeight="1" x14ac:dyDescent="0.25">
      <c r="B19029" s="55" t="s">
        <v>282</v>
      </c>
      <c r="C19029" s="46">
        <v>4017</v>
      </c>
      <c r="D19029" s="69" t="s">
        <v>29419</v>
      </c>
      <c r="E19029" s="51"/>
      <c r="F19029" s="114" t="str">
        <f>IF(INDEX(I.Facility.P3IDNumber,4017)="","",INDEX(I.Facility.P3IDNumber,4017))</f>
        <v/>
      </c>
      <c r="G19029" s="51"/>
      <c r="H19029" s="46" t="str">
        <f>IF(AND(I.Developer.P3=TRUE,I.Facility.P3FacilityCount&gt;=4017,F19029=""),"Incomplete","Complete")</f>
        <v>Complete</v>
      </c>
      <c r="I19029" s="48" t="s">
        <v>23394</v>
      </c>
    </row>
    <row r="19030" spans="2:9" ht="15" customHeight="1" x14ac:dyDescent="0.25">
      <c r="B19030" s="55" t="s">
        <v>282</v>
      </c>
      <c r="C19030" s="46">
        <v>4018</v>
      </c>
      <c r="D19030" s="69" t="s">
        <v>29419</v>
      </c>
      <c r="E19030" s="51"/>
      <c r="F19030" s="114" t="str">
        <f>IF(INDEX(I.Facility.P3IDNumber,4018)="","",INDEX(I.Facility.P3IDNumber,4018))</f>
        <v/>
      </c>
      <c r="G19030" s="51"/>
      <c r="H19030" s="46" t="str">
        <f>IF(AND(I.Developer.P3=TRUE,I.Facility.P3FacilityCount&gt;=4018,F19030=""),"Incomplete","Complete")</f>
        <v>Complete</v>
      </c>
      <c r="I19030" s="48" t="s">
        <v>23395</v>
      </c>
    </row>
    <row r="19031" spans="2:9" ht="15" customHeight="1" x14ac:dyDescent="0.25">
      <c r="B19031" s="55" t="s">
        <v>282</v>
      </c>
      <c r="C19031" s="46">
        <v>4019</v>
      </c>
      <c r="D19031" s="69" t="s">
        <v>29419</v>
      </c>
      <c r="E19031" s="51"/>
      <c r="F19031" s="114" t="str">
        <f>IF(INDEX(I.Facility.P3IDNumber,4019)="","",INDEX(I.Facility.P3IDNumber,4019))</f>
        <v/>
      </c>
      <c r="G19031" s="51"/>
      <c r="H19031" s="46" t="str">
        <f>IF(AND(I.Developer.P3=TRUE,I.Facility.P3FacilityCount&gt;=4019,F19031=""),"Incomplete","Complete")</f>
        <v>Complete</v>
      </c>
      <c r="I19031" s="48" t="s">
        <v>23396</v>
      </c>
    </row>
    <row r="19032" spans="2:9" ht="15" customHeight="1" x14ac:dyDescent="0.25">
      <c r="B19032" s="55" t="s">
        <v>282</v>
      </c>
      <c r="C19032" s="46">
        <v>4020</v>
      </c>
      <c r="D19032" s="69" t="s">
        <v>29419</v>
      </c>
      <c r="E19032" s="51"/>
      <c r="F19032" s="114" t="str">
        <f>IF(INDEX(I.Facility.P3IDNumber,4020)="","",INDEX(I.Facility.P3IDNumber,4020))</f>
        <v/>
      </c>
      <c r="G19032" s="51"/>
      <c r="H19032" s="46" t="str">
        <f>IF(AND(I.Developer.P3=TRUE,I.Facility.P3FacilityCount&gt;=4020,F19032=""),"Incomplete","Complete")</f>
        <v>Complete</v>
      </c>
      <c r="I19032" s="48" t="s">
        <v>23397</v>
      </c>
    </row>
    <row r="19033" spans="2:9" ht="15" customHeight="1" x14ac:dyDescent="0.25">
      <c r="B19033" s="55" t="s">
        <v>282</v>
      </c>
      <c r="C19033" s="46">
        <v>4021</v>
      </c>
      <c r="D19033" s="69" t="s">
        <v>29419</v>
      </c>
      <c r="E19033" s="51"/>
      <c r="F19033" s="114" t="str">
        <f>IF(INDEX(I.Facility.P3IDNumber,4021)="","",INDEX(I.Facility.P3IDNumber,4021))</f>
        <v/>
      </c>
      <c r="G19033" s="51"/>
      <c r="H19033" s="46" t="str">
        <f>IF(AND(I.Developer.P3=TRUE,I.Facility.P3FacilityCount&gt;=4021,F19033=""),"Incomplete","Complete")</f>
        <v>Complete</v>
      </c>
      <c r="I19033" s="48" t="s">
        <v>23398</v>
      </c>
    </row>
    <row r="19034" spans="2:9" ht="15" customHeight="1" x14ac:dyDescent="0.25">
      <c r="B19034" s="55" t="s">
        <v>282</v>
      </c>
      <c r="C19034" s="46">
        <v>4022</v>
      </c>
      <c r="D19034" s="69" t="s">
        <v>29419</v>
      </c>
      <c r="E19034" s="51"/>
      <c r="F19034" s="114" t="str">
        <f>IF(INDEX(I.Facility.P3IDNumber,4022)="","",INDEX(I.Facility.P3IDNumber,4022))</f>
        <v/>
      </c>
      <c r="G19034" s="51"/>
      <c r="H19034" s="46" t="str">
        <f>IF(AND(I.Developer.P3=TRUE,I.Facility.P3FacilityCount&gt;=4022,F19034=""),"Incomplete","Complete")</f>
        <v>Complete</v>
      </c>
      <c r="I19034" s="48" t="s">
        <v>23399</v>
      </c>
    </row>
    <row r="19035" spans="2:9" ht="15" customHeight="1" x14ac:dyDescent="0.25">
      <c r="B19035" s="55" t="s">
        <v>282</v>
      </c>
      <c r="C19035" s="46">
        <v>4023</v>
      </c>
      <c r="D19035" s="69" t="s">
        <v>29419</v>
      </c>
      <c r="E19035" s="51"/>
      <c r="F19035" s="114" t="str">
        <f>IF(INDEX(I.Facility.P3IDNumber,4023)="","",INDEX(I.Facility.P3IDNumber,4023))</f>
        <v/>
      </c>
      <c r="G19035" s="51"/>
      <c r="H19035" s="46" t="str">
        <f>IF(AND(I.Developer.P3=TRUE,I.Facility.P3FacilityCount&gt;=4023,F19035=""),"Incomplete","Complete")</f>
        <v>Complete</v>
      </c>
      <c r="I19035" s="48" t="s">
        <v>23400</v>
      </c>
    </row>
    <row r="19036" spans="2:9" ht="15" customHeight="1" x14ac:dyDescent="0.25">
      <c r="B19036" s="55" t="s">
        <v>282</v>
      </c>
      <c r="C19036" s="46">
        <v>4024</v>
      </c>
      <c r="D19036" s="69" t="s">
        <v>29419</v>
      </c>
      <c r="E19036" s="51"/>
      <c r="F19036" s="114" t="str">
        <f>IF(INDEX(I.Facility.P3IDNumber,4024)="","",INDEX(I.Facility.P3IDNumber,4024))</f>
        <v/>
      </c>
      <c r="G19036" s="51"/>
      <c r="H19036" s="46" t="str">
        <f>IF(AND(I.Developer.P3=TRUE,I.Facility.P3FacilityCount&gt;=4024,F19036=""),"Incomplete","Complete")</f>
        <v>Complete</v>
      </c>
      <c r="I19036" s="48" t="s">
        <v>23401</v>
      </c>
    </row>
    <row r="19037" spans="2:9" ht="15" customHeight="1" x14ac:dyDescent="0.25">
      <c r="B19037" s="55" t="s">
        <v>282</v>
      </c>
      <c r="C19037" s="46">
        <v>4025</v>
      </c>
      <c r="D19037" s="69" t="s">
        <v>29419</v>
      </c>
      <c r="E19037" s="51"/>
      <c r="F19037" s="114" t="str">
        <f>IF(INDEX(I.Facility.P3IDNumber,4025)="","",INDEX(I.Facility.P3IDNumber,4025))</f>
        <v/>
      </c>
      <c r="G19037" s="51"/>
      <c r="H19037" s="46" t="str">
        <f>IF(AND(I.Developer.P3=TRUE,I.Facility.P3FacilityCount&gt;=4025,F19037=""),"Incomplete","Complete")</f>
        <v>Complete</v>
      </c>
      <c r="I19037" s="48" t="s">
        <v>23402</v>
      </c>
    </row>
    <row r="19038" spans="2:9" ht="15" customHeight="1" x14ac:dyDescent="0.25">
      <c r="B19038" s="55" t="s">
        <v>282</v>
      </c>
      <c r="C19038" s="46">
        <v>4026</v>
      </c>
      <c r="D19038" s="69" t="s">
        <v>29419</v>
      </c>
      <c r="E19038" s="51"/>
      <c r="F19038" s="114" t="str">
        <f>IF(INDEX(I.Facility.P3IDNumber,4026)="","",INDEX(I.Facility.P3IDNumber,4026))</f>
        <v/>
      </c>
      <c r="G19038" s="51"/>
      <c r="H19038" s="46" t="str">
        <f>IF(AND(I.Developer.P3=TRUE,I.Facility.P3FacilityCount&gt;=4026,F19038=""),"Incomplete","Complete")</f>
        <v>Complete</v>
      </c>
      <c r="I19038" s="48" t="s">
        <v>23403</v>
      </c>
    </row>
    <row r="19039" spans="2:9" ht="15" customHeight="1" x14ac:dyDescent="0.25">
      <c r="B19039" s="55" t="s">
        <v>282</v>
      </c>
      <c r="C19039" s="46">
        <v>4027</v>
      </c>
      <c r="D19039" s="69" t="s">
        <v>29419</v>
      </c>
      <c r="E19039" s="51"/>
      <c r="F19039" s="114" t="str">
        <f>IF(INDEX(I.Facility.P3IDNumber,4027)="","",INDEX(I.Facility.P3IDNumber,4027))</f>
        <v/>
      </c>
      <c r="G19039" s="51"/>
      <c r="H19039" s="46" t="str">
        <f>IF(AND(I.Developer.P3=TRUE,I.Facility.P3FacilityCount&gt;=4027,F19039=""),"Incomplete","Complete")</f>
        <v>Complete</v>
      </c>
      <c r="I19039" s="48" t="s">
        <v>23404</v>
      </c>
    </row>
    <row r="19040" spans="2:9" ht="15" customHeight="1" x14ac:dyDescent="0.25">
      <c r="B19040" s="55" t="s">
        <v>282</v>
      </c>
      <c r="C19040" s="46">
        <v>4028</v>
      </c>
      <c r="D19040" s="69" t="s">
        <v>29419</v>
      </c>
      <c r="E19040" s="51"/>
      <c r="F19040" s="114" t="str">
        <f>IF(INDEX(I.Facility.P3IDNumber,4028)="","",INDEX(I.Facility.P3IDNumber,4028))</f>
        <v/>
      </c>
      <c r="G19040" s="51"/>
      <c r="H19040" s="46" t="str">
        <f>IF(AND(I.Developer.P3=TRUE,I.Facility.P3FacilityCount&gt;=4028,F19040=""),"Incomplete","Complete")</f>
        <v>Complete</v>
      </c>
      <c r="I19040" s="48" t="s">
        <v>23405</v>
      </c>
    </row>
    <row r="19041" spans="2:9" ht="15" customHeight="1" x14ac:dyDescent="0.25">
      <c r="B19041" s="55" t="s">
        <v>282</v>
      </c>
      <c r="C19041" s="46">
        <v>4029</v>
      </c>
      <c r="D19041" s="69" t="s">
        <v>29419</v>
      </c>
      <c r="E19041" s="51"/>
      <c r="F19041" s="114" t="str">
        <f>IF(INDEX(I.Facility.P3IDNumber,4029)="","",INDEX(I.Facility.P3IDNumber,4029))</f>
        <v/>
      </c>
      <c r="G19041" s="51"/>
      <c r="H19041" s="46" t="str">
        <f>IF(AND(I.Developer.P3=TRUE,I.Facility.P3FacilityCount&gt;=4029,F19041=""),"Incomplete","Complete")</f>
        <v>Complete</v>
      </c>
      <c r="I19041" s="48" t="s">
        <v>23406</v>
      </c>
    </row>
    <row r="19042" spans="2:9" ht="15" customHeight="1" x14ac:dyDescent="0.25">
      <c r="B19042" s="55" t="s">
        <v>282</v>
      </c>
      <c r="C19042" s="46">
        <v>4030</v>
      </c>
      <c r="D19042" s="69" t="s">
        <v>29419</v>
      </c>
      <c r="E19042" s="51"/>
      <c r="F19042" s="114" t="str">
        <f>IF(INDEX(I.Facility.P3IDNumber,4030)="","",INDEX(I.Facility.P3IDNumber,4030))</f>
        <v/>
      </c>
      <c r="G19042" s="51"/>
      <c r="H19042" s="46" t="str">
        <f>IF(AND(I.Developer.P3=TRUE,I.Facility.P3FacilityCount&gt;=4030,F19042=""),"Incomplete","Complete")</f>
        <v>Complete</v>
      </c>
      <c r="I19042" s="48" t="s">
        <v>23407</v>
      </c>
    </row>
    <row r="19043" spans="2:9" ht="15" customHeight="1" x14ac:dyDescent="0.25">
      <c r="B19043" s="55" t="s">
        <v>282</v>
      </c>
      <c r="C19043" s="46">
        <v>4031</v>
      </c>
      <c r="D19043" s="69" t="s">
        <v>29419</v>
      </c>
      <c r="E19043" s="51"/>
      <c r="F19043" s="114" t="str">
        <f>IF(INDEX(I.Facility.P3IDNumber,4031)="","",INDEX(I.Facility.P3IDNumber,4031))</f>
        <v/>
      </c>
      <c r="G19043" s="51"/>
      <c r="H19043" s="46" t="str">
        <f>IF(AND(I.Developer.P3=TRUE,I.Facility.P3FacilityCount&gt;=4031,F19043=""),"Incomplete","Complete")</f>
        <v>Complete</v>
      </c>
      <c r="I19043" s="48" t="s">
        <v>23408</v>
      </c>
    </row>
    <row r="19044" spans="2:9" ht="15" customHeight="1" x14ac:dyDescent="0.25">
      <c r="B19044" s="55" t="s">
        <v>282</v>
      </c>
      <c r="C19044" s="46">
        <v>4032</v>
      </c>
      <c r="D19044" s="69" t="s">
        <v>29419</v>
      </c>
      <c r="E19044" s="51"/>
      <c r="F19044" s="114" t="str">
        <f>IF(INDEX(I.Facility.P3IDNumber,4032)="","",INDEX(I.Facility.P3IDNumber,4032))</f>
        <v/>
      </c>
      <c r="G19044" s="51"/>
      <c r="H19044" s="46" t="str">
        <f>IF(AND(I.Developer.P3=TRUE,I.Facility.P3FacilityCount&gt;=4032,F19044=""),"Incomplete","Complete")</f>
        <v>Complete</v>
      </c>
      <c r="I19044" s="48" t="s">
        <v>23409</v>
      </c>
    </row>
    <row r="19045" spans="2:9" ht="15" customHeight="1" x14ac:dyDescent="0.25">
      <c r="B19045" s="55" t="s">
        <v>282</v>
      </c>
      <c r="C19045" s="46">
        <v>4033</v>
      </c>
      <c r="D19045" s="69" t="s">
        <v>29419</v>
      </c>
      <c r="E19045" s="51"/>
      <c r="F19045" s="114" t="str">
        <f>IF(INDEX(I.Facility.P3IDNumber,4033)="","",INDEX(I.Facility.P3IDNumber,4033))</f>
        <v/>
      </c>
      <c r="G19045" s="51"/>
      <c r="H19045" s="46" t="str">
        <f>IF(AND(I.Developer.P3=TRUE,I.Facility.P3FacilityCount&gt;=4033,F19045=""),"Incomplete","Complete")</f>
        <v>Complete</v>
      </c>
      <c r="I19045" s="48" t="s">
        <v>23410</v>
      </c>
    </row>
    <row r="19046" spans="2:9" ht="15" customHeight="1" x14ac:dyDescent="0.25">
      <c r="B19046" s="55" t="s">
        <v>282</v>
      </c>
      <c r="C19046" s="46">
        <v>4034</v>
      </c>
      <c r="D19046" s="69" t="s">
        <v>29419</v>
      </c>
      <c r="E19046" s="51"/>
      <c r="F19046" s="114" t="str">
        <f>IF(INDEX(I.Facility.P3IDNumber,4034)="","",INDEX(I.Facility.P3IDNumber,4034))</f>
        <v/>
      </c>
      <c r="G19046" s="51"/>
      <c r="H19046" s="46" t="str">
        <f>IF(AND(I.Developer.P3=TRUE,I.Facility.P3FacilityCount&gt;=4034,F19046=""),"Incomplete","Complete")</f>
        <v>Complete</v>
      </c>
      <c r="I19046" s="48" t="s">
        <v>23411</v>
      </c>
    </row>
    <row r="19047" spans="2:9" ht="15" customHeight="1" x14ac:dyDescent="0.25">
      <c r="B19047" s="55" t="s">
        <v>282</v>
      </c>
      <c r="C19047" s="46">
        <v>4035</v>
      </c>
      <c r="D19047" s="69" t="s">
        <v>29419</v>
      </c>
      <c r="E19047" s="51"/>
      <c r="F19047" s="114" t="str">
        <f>IF(INDEX(I.Facility.P3IDNumber,4035)="","",INDEX(I.Facility.P3IDNumber,4035))</f>
        <v/>
      </c>
      <c r="G19047" s="51"/>
      <c r="H19047" s="46" t="str">
        <f>IF(AND(I.Developer.P3=TRUE,I.Facility.P3FacilityCount&gt;=4035,F19047=""),"Incomplete","Complete")</f>
        <v>Complete</v>
      </c>
      <c r="I19047" s="48" t="s">
        <v>23412</v>
      </c>
    </row>
    <row r="19048" spans="2:9" ht="15" customHeight="1" x14ac:dyDescent="0.25">
      <c r="B19048" s="55" t="s">
        <v>282</v>
      </c>
      <c r="C19048" s="46">
        <v>4036</v>
      </c>
      <c r="D19048" s="69" t="s">
        <v>29419</v>
      </c>
      <c r="E19048" s="51"/>
      <c r="F19048" s="114" t="str">
        <f>IF(INDEX(I.Facility.P3IDNumber,4036)="","",INDEX(I.Facility.P3IDNumber,4036))</f>
        <v/>
      </c>
      <c r="G19048" s="51"/>
      <c r="H19048" s="46" t="str">
        <f>IF(AND(I.Developer.P3=TRUE,I.Facility.P3FacilityCount&gt;=4036,F19048=""),"Incomplete","Complete")</f>
        <v>Complete</v>
      </c>
      <c r="I19048" s="48" t="s">
        <v>23413</v>
      </c>
    </row>
    <row r="19049" spans="2:9" ht="15" customHeight="1" x14ac:dyDescent="0.25">
      <c r="B19049" s="55" t="s">
        <v>282</v>
      </c>
      <c r="C19049" s="46">
        <v>4037</v>
      </c>
      <c r="D19049" s="69" t="s">
        <v>29419</v>
      </c>
      <c r="E19049" s="51"/>
      <c r="F19049" s="114" t="str">
        <f>IF(INDEX(I.Facility.P3IDNumber,4037)="","",INDEX(I.Facility.P3IDNumber,4037))</f>
        <v/>
      </c>
      <c r="G19049" s="51"/>
      <c r="H19049" s="46" t="str">
        <f>IF(AND(I.Developer.P3=TRUE,I.Facility.P3FacilityCount&gt;=4037,F19049=""),"Incomplete","Complete")</f>
        <v>Complete</v>
      </c>
      <c r="I19049" s="48" t="s">
        <v>23414</v>
      </c>
    </row>
    <row r="19050" spans="2:9" ht="15" customHeight="1" x14ac:dyDescent="0.25">
      <c r="B19050" s="55" t="s">
        <v>282</v>
      </c>
      <c r="C19050" s="46">
        <v>4038</v>
      </c>
      <c r="D19050" s="69" t="s">
        <v>29419</v>
      </c>
      <c r="E19050" s="51"/>
      <c r="F19050" s="114" t="str">
        <f>IF(INDEX(I.Facility.P3IDNumber,4038)="","",INDEX(I.Facility.P3IDNumber,4038))</f>
        <v/>
      </c>
      <c r="G19050" s="51"/>
      <c r="H19050" s="46" t="str">
        <f>IF(AND(I.Developer.P3=TRUE,I.Facility.P3FacilityCount&gt;=4038,F19050=""),"Incomplete","Complete")</f>
        <v>Complete</v>
      </c>
      <c r="I19050" s="48" t="s">
        <v>23415</v>
      </c>
    </row>
    <row r="19051" spans="2:9" ht="15" customHeight="1" x14ac:dyDescent="0.25">
      <c r="B19051" s="55" t="s">
        <v>282</v>
      </c>
      <c r="C19051" s="46">
        <v>4039</v>
      </c>
      <c r="D19051" s="69" t="s">
        <v>29419</v>
      </c>
      <c r="E19051" s="51"/>
      <c r="F19051" s="114" t="str">
        <f>IF(INDEX(I.Facility.P3IDNumber,4039)="","",INDEX(I.Facility.P3IDNumber,4039))</f>
        <v/>
      </c>
      <c r="G19051" s="51"/>
      <c r="H19051" s="46" t="str">
        <f>IF(AND(I.Developer.P3=TRUE,I.Facility.P3FacilityCount&gt;=4039,F19051=""),"Incomplete","Complete")</f>
        <v>Complete</v>
      </c>
      <c r="I19051" s="48" t="s">
        <v>23416</v>
      </c>
    </row>
    <row r="19052" spans="2:9" ht="15" customHeight="1" x14ac:dyDescent="0.25">
      <c r="B19052" s="55" t="s">
        <v>282</v>
      </c>
      <c r="C19052" s="46">
        <v>4040</v>
      </c>
      <c r="D19052" s="69" t="s">
        <v>29419</v>
      </c>
      <c r="E19052" s="51"/>
      <c r="F19052" s="114" t="str">
        <f>IF(INDEX(I.Facility.P3IDNumber,4040)="","",INDEX(I.Facility.P3IDNumber,4040))</f>
        <v/>
      </c>
      <c r="G19052" s="51"/>
      <c r="H19052" s="46" t="str">
        <f>IF(AND(I.Developer.P3=TRUE,I.Facility.P3FacilityCount&gt;=4040,F19052=""),"Incomplete","Complete")</f>
        <v>Complete</v>
      </c>
      <c r="I19052" s="48" t="s">
        <v>23417</v>
      </c>
    </row>
    <row r="19053" spans="2:9" ht="15" customHeight="1" x14ac:dyDescent="0.25">
      <c r="B19053" s="55" t="s">
        <v>282</v>
      </c>
      <c r="C19053" s="46">
        <v>4041</v>
      </c>
      <c r="D19053" s="69" t="s">
        <v>29419</v>
      </c>
      <c r="E19053" s="51"/>
      <c r="F19053" s="114" t="str">
        <f>IF(INDEX(I.Facility.P3IDNumber,4041)="","",INDEX(I.Facility.P3IDNumber,4041))</f>
        <v/>
      </c>
      <c r="G19053" s="51"/>
      <c r="H19053" s="46" t="str">
        <f>IF(AND(I.Developer.P3=TRUE,I.Facility.P3FacilityCount&gt;=4041,F19053=""),"Incomplete","Complete")</f>
        <v>Complete</v>
      </c>
      <c r="I19053" s="48" t="s">
        <v>23418</v>
      </c>
    </row>
    <row r="19054" spans="2:9" ht="15" customHeight="1" x14ac:dyDescent="0.25">
      <c r="B19054" s="55" t="s">
        <v>282</v>
      </c>
      <c r="C19054" s="46">
        <v>4042</v>
      </c>
      <c r="D19054" s="69" t="s">
        <v>29419</v>
      </c>
      <c r="E19054" s="51"/>
      <c r="F19054" s="114" t="str">
        <f>IF(INDEX(I.Facility.P3IDNumber,4042)="","",INDEX(I.Facility.P3IDNumber,4042))</f>
        <v/>
      </c>
      <c r="G19054" s="51"/>
      <c r="H19054" s="46" t="str">
        <f>IF(AND(I.Developer.P3=TRUE,I.Facility.P3FacilityCount&gt;=4042,F19054=""),"Incomplete","Complete")</f>
        <v>Complete</v>
      </c>
      <c r="I19054" s="48" t="s">
        <v>23419</v>
      </c>
    </row>
    <row r="19055" spans="2:9" ht="15" customHeight="1" x14ac:dyDescent="0.25">
      <c r="B19055" s="55" t="s">
        <v>282</v>
      </c>
      <c r="C19055" s="46">
        <v>4043</v>
      </c>
      <c r="D19055" s="69" t="s">
        <v>29419</v>
      </c>
      <c r="E19055" s="51"/>
      <c r="F19055" s="114" t="str">
        <f>IF(INDEX(I.Facility.P3IDNumber,4043)="","",INDEX(I.Facility.P3IDNumber,4043))</f>
        <v/>
      </c>
      <c r="G19055" s="51"/>
      <c r="H19055" s="46" t="str">
        <f>IF(AND(I.Developer.P3=TRUE,I.Facility.P3FacilityCount&gt;=4043,F19055=""),"Incomplete","Complete")</f>
        <v>Complete</v>
      </c>
      <c r="I19055" s="48" t="s">
        <v>23420</v>
      </c>
    </row>
    <row r="19056" spans="2:9" ht="15" customHeight="1" x14ac:dyDescent="0.25">
      <c r="B19056" s="55" t="s">
        <v>282</v>
      </c>
      <c r="C19056" s="46">
        <v>4044</v>
      </c>
      <c r="D19056" s="69" t="s">
        <v>29419</v>
      </c>
      <c r="E19056" s="51"/>
      <c r="F19056" s="114" t="str">
        <f>IF(INDEX(I.Facility.P3IDNumber,4044)="","",INDEX(I.Facility.P3IDNumber,4044))</f>
        <v/>
      </c>
      <c r="G19056" s="51"/>
      <c r="H19056" s="46" t="str">
        <f>IF(AND(I.Developer.P3=TRUE,I.Facility.P3FacilityCount&gt;=4044,F19056=""),"Incomplete","Complete")</f>
        <v>Complete</v>
      </c>
      <c r="I19056" s="48" t="s">
        <v>23421</v>
      </c>
    </row>
    <row r="19057" spans="2:9" ht="15" customHeight="1" x14ac:dyDescent="0.25">
      <c r="B19057" s="55" t="s">
        <v>282</v>
      </c>
      <c r="C19057" s="46">
        <v>4045</v>
      </c>
      <c r="D19057" s="69" t="s">
        <v>29419</v>
      </c>
      <c r="E19057" s="51"/>
      <c r="F19057" s="114" t="str">
        <f>IF(INDEX(I.Facility.P3IDNumber,4045)="","",INDEX(I.Facility.P3IDNumber,4045))</f>
        <v/>
      </c>
      <c r="G19057" s="51"/>
      <c r="H19057" s="46" t="str">
        <f>IF(AND(I.Developer.P3=TRUE,I.Facility.P3FacilityCount&gt;=4045,F19057=""),"Incomplete","Complete")</f>
        <v>Complete</v>
      </c>
      <c r="I19057" s="48" t="s">
        <v>23422</v>
      </c>
    </row>
    <row r="19058" spans="2:9" ht="15" customHeight="1" x14ac:dyDescent="0.25">
      <c r="B19058" s="55" t="s">
        <v>282</v>
      </c>
      <c r="C19058" s="46">
        <v>4046</v>
      </c>
      <c r="D19058" s="69" t="s">
        <v>29419</v>
      </c>
      <c r="E19058" s="51"/>
      <c r="F19058" s="114" t="str">
        <f>IF(INDEX(I.Facility.P3IDNumber,4046)="","",INDEX(I.Facility.P3IDNumber,4046))</f>
        <v/>
      </c>
      <c r="G19058" s="51"/>
      <c r="H19058" s="46" t="str">
        <f>IF(AND(I.Developer.P3=TRUE,I.Facility.P3FacilityCount&gt;=4046,F19058=""),"Incomplete","Complete")</f>
        <v>Complete</v>
      </c>
      <c r="I19058" s="48" t="s">
        <v>23423</v>
      </c>
    </row>
    <row r="19059" spans="2:9" ht="15" customHeight="1" x14ac:dyDescent="0.25">
      <c r="B19059" s="55" t="s">
        <v>282</v>
      </c>
      <c r="C19059" s="46">
        <v>4047</v>
      </c>
      <c r="D19059" s="69" t="s">
        <v>29419</v>
      </c>
      <c r="E19059" s="51"/>
      <c r="F19059" s="114" t="str">
        <f>IF(INDEX(I.Facility.P3IDNumber,4047)="","",INDEX(I.Facility.P3IDNumber,4047))</f>
        <v/>
      </c>
      <c r="G19059" s="51"/>
      <c r="H19059" s="46" t="str">
        <f>IF(AND(I.Developer.P3=TRUE,I.Facility.P3FacilityCount&gt;=4047,F19059=""),"Incomplete","Complete")</f>
        <v>Complete</v>
      </c>
      <c r="I19059" s="48" t="s">
        <v>23424</v>
      </c>
    </row>
    <row r="19060" spans="2:9" ht="15" customHeight="1" x14ac:dyDescent="0.25">
      <c r="B19060" s="55" t="s">
        <v>282</v>
      </c>
      <c r="C19060" s="46">
        <v>4048</v>
      </c>
      <c r="D19060" s="69" t="s">
        <v>29419</v>
      </c>
      <c r="E19060" s="51"/>
      <c r="F19060" s="114" t="str">
        <f>IF(INDEX(I.Facility.P3IDNumber,4048)="","",INDEX(I.Facility.P3IDNumber,4048))</f>
        <v/>
      </c>
      <c r="G19060" s="51"/>
      <c r="H19060" s="46" t="str">
        <f>IF(AND(I.Developer.P3=TRUE,I.Facility.P3FacilityCount&gt;=4048,F19060=""),"Incomplete","Complete")</f>
        <v>Complete</v>
      </c>
      <c r="I19060" s="48" t="s">
        <v>23425</v>
      </c>
    </row>
    <row r="19061" spans="2:9" ht="15" customHeight="1" x14ac:dyDescent="0.25">
      <c r="B19061" s="55" t="s">
        <v>282</v>
      </c>
      <c r="C19061" s="46">
        <v>4049</v>
      </c>
      <c r="D19061" s="69" t="s">
        <v>29419</v>
      </c>
      <c r="E19061" s="51"/>
      <c r="F19061" s="114" t="str">
        <f>IF(INDEX(I.Facility.P3IDNumber,4049)="","",INDEX(I.Facility.P3IDNumber,4049))</f>
        <v/>
      </c>
      <c r="G19061" s="51"/>
      <c r="H19061" s="46" t="str">
        <f>IF(AND(I.Developer.P3=TRUE,I.Facility.P3FacilityCount&gt;=4049,F19061=""),"Incomplete","Complete")</f>
        <v>Complete</v>
      </c>
      <c r="I19061" s="48" t="s">
        <v>23426</v>
      </c>
    </row>
    <row r="19062" spans="2:9" ht="15" customHeight="1" x14ac:dyDescent="0.25">
      <c r="B19062" s="55" t="s">
        <v>282</v>
      </c>
      <c r="C19062" s="46">
        <v>4050</v>
      </c>
      <c r="D19062" s="69" t="s">
        <v>29419</v>
      </c>
      <c r="E19062" s="51"/>
      <c r="F19062" s="114" t="str">
        <f>IF(INDEX(I.Facility.P3IDNumber,4050)="","",INDEX(I.Facility.P3IDNumber,4050))</f>
        <v/>
      </c>
      <c r="G19062" s="51"/>
      <c r="H19062" s="46" t="str">
        <f>IF(AND(I.Developer.P3=TRUE,I.Facility.P3FacilityCount&gt;=4050,F19062=""),"Incomplete","Complete")</f>
        <v>Complete</v>
      </c>
      <c r="I19062" s="48" t="s">
        <v>23427</v>
      </c>
    </row>
    <row r="19063" spans="2:9" ht="15" customHeight="1" x14ac:dyDescent="0.25">
      <c r="B19063" s="55" t="s">
        <v>282</v>
      </c>
      <c r="C19063" s="46">
        <v>4051</v>
      </c>
      <c r="D19063" s="69" t="s">
        <v>29419</v>
      </c>
      <c r="E19063" s="51"/>
      <c r="F19063" s="114" t="str">
        <f>IF(INDEX(I.Facility.P3IDNumber,4051)="","",INDEX(I.Facility.P3IDNumber,4051))</f>
        <v/>
      </c>
      <c r="G19063" s="51"/>
      <c r="H19063" s="46" t="str">
        <f>IF(AND(I.Developer.P3=TRUE,I.Facility.P3FacilityCount&gt;=4051,F19063=""),"Incomplete","Complete")</f>
        <v>Complete</v>
      </c>
      <c r="I19063" s="48" t="s">
        <v>23428</v>
      </c>
    </row>
    <row r="19064" spans="2:9" ht="15" customHeight="1" x14ac:dyDescent="0.25">
      <c r="B19064" s="55" t="s">
        <v>282</v>
      </c>
      <c r="C19064" s="46">
        <v>4052</v>
      </c>
      <c r="D19064" s="69" t="s">
        <v>29419</v>
      </c>
      <c r="E19064" s="51"/>
      <c r="F19064" s="114" t="str">
        <f>IF(INDEX(I.Facility.P3IDNumber,4052)="","",INDEX(I.Facility.P3IDNumber,4052))</f>
        <v/>
      </c>
      <c r="G19064" s="51"/>
      <c r="H19064" s="46" t="str">
        <f>IF(AND(I.Developer.P3=TRUE,I.Facility.P3FacilityCount&gt;=4052,F19064=""),"Incomplete","Complete")</f>
        <v>Complete</v>
      </c>
      <c r="I19064" s="48" t="s">
        <v>23429</v>
      </c>
    </row>
    <row r="19065" spans="2:9" ht="15" customHeight="1" x14ac:dyDescent="0.25">
      <c r="B19065" s="55" t="s">
        <v>282</v>
      </c>
      <c r="C19065" s="46">
        <v>4053</v>
      </c>
      <c r="D19065" s="69" t="s">
        <v>29419</v>
      </c>
      <c r="E19065" s="51"/>
      <c r="F19065" s="114" t="str">
        <f>IF(INDEX(I.Facility.P3IDNumber,4053)="","",INDEX(I.Facility.P3IDNumber,4053))</f>
        <v/>
      </c>
      <c r="G19065" s="51"/>
      <c r="H19065" s="46" t="str">
        <f>IF(AND(I.Developer.P3=TRUE,I.Facility.P3FacilityCount&gt;=4053,F19065=""),"Incomplete","Complete")</f>
        <v>Complete</v>
      </c>
      <c r="I19065" s="48" t="s">
        <v>23430</v>
      </c>
    </row>
    <row r="19066" spans="2:9" ht="15" customHeight="1" x14ac:dyDescent="0.25">
      <c r="B19066" s="55" t="s">
        <v>282</v>
      </c>
      <c r="C19066" s="46">
        <v>4054</v>
      </c>
      <c r="D19066" s="69" t="s">
        <v>29419</v>
      </c>
      <c r="E19066" s="51"/>
      <c r="F19066" s="114" t="str">
        <f>IF(INDEX(I.Facility.P3IDNumber,4054)="","",INDEX(I.Facility.P3IDNumber,4054))</f>
        <v/>
      </c>
      <c r="G19066" s="51"/>
      <c r="H19066" s="46" t="str">
        <f>IF(AND(I.Developer.P3=TRUE,I.Facility.P3FacilityCount&gt;=4054,F19066=""),"Incomplete","Complete")</f>
        <v>Complete</v>
      </c>
      <c r="I19066" s="48" t="s">
        <v>23431</v>
      </c>
    </row>
    <row r="19067" spans="2:9" ht="15" customHeight="1" x14ac:dyDescent="0.25">
      <c r="B19067" s="55" t="s">
        <v>282</v>
      </c>
      <c r="C19067" s="46">
        <v>4055</v>
      </c>
      <c r="D19067" s="69" t="s">
        <v>29419</v>
      </c>
      <c r="E19067" s="51"/>
      <c r="F19067" s="114" t="str">
        <f>IF(INDEX(I.Facility.P3IDNumber,4055)="","",INDEX(I.Facility.P3IDNumber,4055))</f>
        <v/>
      </c>
      <c r="G19067" s="51"/>
      <c r="H19067" s="46" t="str">
        <f>IF(AND(I.Developer.P3=TRUE,I.Facility.P3FacilityCount&gt;=4055,F19067=""),"Incomplete","Complete")</f>
        <v>Complete</v>
      </c>
      <c r="I19067" s="48" t="s">
        <v>23432</v>
      </c>
    </row>
    <row r="19068" spans="2:9" ht="15" customHeight="1" x14ac:dyDescent="0.25">
      <c r="B19068" s="55" t="s">
        <v>282</v>
      </c>
      <c r="C19068" s="46">
        <v>4056</v>
      </c>
      <c r="D19068" s="69" t="s">
        <v>29419</v>
      </c>
      <c r="E19068" s="51"/>
      <c r="F19068" s="114" t="str">
        <f>IF(INDEX(I.Facility.P3IDNumber,4056)="","",INDEX(I.Facility.P3IDNumber,4056))</f>
        <v/>
      </c>
      <c r="G19068" s="51"/>
      <c r="H19068" s="46" t="str">
        <f>IF(AND(I.Developer.P3=TRUE,I.Facility.P3FacilityCount&gt;=4056,F19068=""),"Incomplete","Complete")</f>
        <v>Complete</v>
      </c>
      <c r="I19068" s="48" t="s">
        <v>23433</v>
      </c>
    </row>
    <row r="19069" spans="2:9" ht="15" customHeight="1" x14ac:dyDescent="0.25">
      <c r="B19069" s="55" t="s">
        <v>282</v>
      </c>
      <c r="C19069" s="46">
        <v>4057</v>
      </c>
      <c r="D19069" s="69" t="s">
        <v>29419</v>
      </c>
      <c r="E19069" s="51"/>
      <c r="F19069" s="114" t="str">
        <f>IF(INDEX(I.Facility.P3IDNumber,4057)="","",INDEX(I.Facility.P3IDNumber,4057))</f>
        <v/>
      </c>
      <c r="G19069" s="51"/>
      <c r="H19069" s="46" t="str">
        <f>IF(AND(I.Developer.P3=TRUE,I.Facility.P3FacilityCount&gt;=4057,F19069=""),"Incomplete","Complete")</f>
        <v>Complete</v>
      </c>
      <c r="I19069" s="48" t="s">
        <v>23434</v>
      </c>
    </row>
    <row r="19070" spans="2:9" ht="15" customHeight="1" x14ac:dyDescent="0.25">
      <c r="B19070" s="55" t="s">
        <v>282</v>
      </c>
      <c r="C19070" s="46">
        <v>4058</v>
      </c>
      <c r="D19070" s="69" t="s">
        <v>29419</v>
      </c>
      <c r="E19070" s="51"/>
      <c r="F19070" s="114" t="str">
        <f>IF(INDEX(I.Facility.P3IDNumber,4058)="","",INDEX(I.Facility.P3IDNumber,4058))</f>
        <v/>
      </c>
      <c r="G19070" s="51"/>
      <c r="H19070" s="46" t="str">
        <f>IF(AND(I.Developer.P3=TRUE,I.Facility.P3FacilityCount&gt;=4058,F19070=""),"Incomplete","Complete")</f>
        <v>Complete</v>
      </c>
      <c r="I19070" s="48" t="s">
        <v>23435</v>
      </c>
    </row>
    <row r="19071" spans="2:9" ht="15" customHeight="1" x14ac:dyDescent="0.25">
      <c r="B19071" s="55" t="s">
        <v>282</v>
      </c>
      <c r="C19071" s="46">
        <v>4059</v>
      </c>
      <c r="D19071" s="69" t="s">
        <v>29419</v>
      </c>
      <c r="E19071" s="51"/>
      <c r="F19071" s="114" t="str">
        <f>IF(INDEX(I.Facility.P3IDNumber,4059)="","",INDEX(I.Facility.P3IDNumber,4059))</f>
        <v/>
      </c>
      <c r="G19071" s="51"/>
      <c r="H19071" s="46" t="str">
        <f>IF(AND(I.Developer.P3=TRUE,I.Facility.P3FacilityCount&gt;=4059,F19071=""),"Incomplete","Complete")</f>
        <v>Complete</v>
      </c>
      <c r="I19071" s="48" t="s">
        <v>23436</v>
      </c>
    </row>
    <row r="19072" spans="2:9" ht="15" customHeight="1" x14ac:dyDescent="0.25">
      <c r="B19072" s="55" t="s">
        <v>282</v>
      </c>
      <c r="C19072" s="46">
        <v>4060</v>
      </c>
      <c r="D19072" s="69" t="s">
        <v>29419</v>
      </c>
      <c r="E19072" s="51"/>
      <c r="F19072" s="114" t="str">
        <f>IF(INDEX(I.Facility.P3IDNumber,4060)="","",INDEX(I.Facility.P3IDNumber,4060))</f>
        <v/>
      </c>
      <c r="G19072" s="51"/>
      <c r="H19072" s="46" t="str">
        <f>IF(AND(I.Developer.P3=TRUE,I.Facility.P3FacilityCount&gt;=4060,F19072=""),"Incomplete","Complete")</f>
        <v>Complete</v>
      </c>
      <c r="I19072" s="48" t="s">
        <v>23437</v>
      </c>
    </row>
    <row r="19073" spans="2:9" ht="15" customHeight="1" x14ac:dyDescent="0.25">
      <c r="B19073" s="55" t="s">
        <v>282</v>
      </c>
      <c r="C19073" s="46">
        <v>4061</v>
      </c>
      <c r="D19073" s="69" t="s">
        <v>29419</v>
      </c>
      <c r="E19073" s="51"/>
      <c r="F19073" s="114" t="str">
        <f>IF(INDEX(I.Facility.P3IDNumber,4061)="","",INDEX(I.Facility.P3IDNumber,4061))</f>
        <v/>
      </c>
      <c r="G19073" s="51"/>
      <c r="H19073" s="46" t="str">
        <f>IF(AND(I.Developer.P3=TRUE,I.Facility.P3FacilityCount&gt;=4061,F19073=""),"Incomplete","Complete")</f>
        <v>Complete</v>
      </c>
      <c r="I19073" s="48" t="s">
        <v>23438</v>
      </c>
    </row>
    <row r="19074" spans="2:9" ht="15" customHeight="1" x14ac:dyDescent="0.25">
      <c r="B19074" s="55" t="s">
        <v>282</v>
      </c>
      <c r="C19074" s="46">
        <v>4062</v>
      </c>
      <c r="D19074" s="69" t="s">
        <v>29419</v>
      </c>
      <c r="E19074" s="51"/>
      <c r="F19074" s="114" t="str">
        <f>IF(INDEX(I.Facility.P3IDNumber,4062)="","",INDEX(I.Facility.P3IDNumber,4062))</f>
        <v/>
      </c>
      <c r="G19074" s="51"/>
      <c r="H19074" s="46" t="str">
        <f>IF(AND(I.Developer.P3=TRUE,I.Facility.P3FacilityCount&gt;=4062,F19074=""),"Incomplete","Complete")</f>
        <v>Complete</v>
      </c>
      <c r="I19074" s="48" t="s">
        <v>23439</v>
      </c>
    </row>
    <row r="19075" spans="2:9" ht="15" customHeight="1" x14ac:dyDescent="0.25">
      <c r="B19075" s="55" t="s">
        <v>282</v>
      </c>
      <c r="C19075" s="46">
        <v>4063</v>
      </c>
      <c r="D19075" s="69" t="s">
        <v>29419</v>
      </c>
      <c r="E19075" s="51"/>
      <c r="F19075" s="114" t="str">
        <f>IF(INDEX(I.Facility.P3IDNumber,4063)="","",INDEX(I.Facility.P3IDNumber,4063))</f>
        <v/>
      </c>
      <c r="G19075" s="51"/>
      <c r="H19075" s="46" t="str">
        <f>IF(AND(I.Developer.P3=TRUE,I.Facility.P3FacilityCount&gt;=4063,F19075=""),"Incomplete","Complete")</f>
        <v>Complete</v>
      </c>
      <c r="I19075" s="48" t="s">
        <v>23440</v>
      </c>
    </row>
    <row r="19076" spans="2:9" ht="15" customHeight="1" x14ac:dyDescent="0.25">
      <c r="B19076" s="55" t="s">
        <v>282</v>
      </c>
      <c r="C19076" s="46">
        <v>4064</v>
      </c>
      <c r="D19076" s="69" t="s">
        <v>29419</v>
      </c>
      <c r="E19076" s="51"/>
      <c r="F19076" s="114" t="str">
        <f>IF(INDEX(I.Facility.P3IDNumber,4064)="","",INDEX(I.Facility.P3IDNumber,4064))</f>
        <v/>
      </c>
      <c r="G19076" s="51"/>
      <c r="H19076" s="46" t="str">
        <f>IF(AND(I.Developer.P3=TRUE,I.Facility.P3FacilityCount&gt;=4064,F19076=""),"Incomplete","Complete")</f>
        <v>Complete</v>
      </c>
      <c r="I19076" s="48" t="s">
        <v>23441</v>
      </c>
    </row>
    <row r="19077" spans="2:9" ht="15" customHeight="1" x14ac:dyDescent="0.25">
      <c r="B19077" s="55" t="s">
        <v>282</v>
      </c>
      <c r="C19077" s="46">
        <v>4065</v>
      </c>
      <c r="D19077" s="69" t="s">
        <v>29419</v>
      </c>
      <c r="E19077" s="51"/>
      <c r="F19077" s="114" t="str">
        <f>IF(INDEX(I.Facility.P3IDNumber,4065)="","",INDEX(I.Facility.P3IDNumber,4065))</f>
        <v/>
      </c>
      <c r="G19077" s="51"/>
      <c r="H19077" s="46" t="str">
        <f>IF(AND(I.Developer.P3=TRUE,I.Facility.P3FacilityCount&gt;=4065,F19077=""),"Incomplete","Complete")</f>
        <v>Complete</v>
      </c>
      <c r="I19077" s="48" t="s">
        <v>23442</v>
      </c>
    </row>
    <row r="19078" spans="2:9" ht="15" customHeight="1" x14ac:dyDescent="0.25">
      <c r="B19078" s="55" t="s">
        <v>282</v>
      </c>
      <c r="C19078" s="46">
        <v>4066</v>
      </c>
      <c r="D19078" s="69" t="s">
        <v>29419</v>
      </c>
      <c r="E19078" s="51"/>
      <c r="F19078" s="114" t="str">
        <f>IF(INDEX(I.Facility.P3IDNumber,4066)="","",INDEX(I.Facility.P3IDNumber,4066))</f>
        <v/>
      </c>
      <c r="G19078" s="51"/>
      <c r="H19078" s="46" t="str">
        <f>IF(AND(I.Developer.P3=TRUE,I.Facility.P3FacilityCount&gt;=4066,F19078=""),"Incomplete","Complete")</f>
        <v>Complete</v>
      </c>
      <c r="I19078" s="48" t="s">
        <v>23443</v>
      </c>
    </row>
    <row r="19079" spans="2:9" ht="15" customHeight="1" x14ac:dyDescent="0.25">
      <c r="B19079" s="55" t="s">
        <v>282</v>
      </c>
      <c r="C19079" s="46">
        <v>4067</v>
      </c>
      <c r="D19079" s="69" t="s">
        <v>29419</v>
      </c>
      <c r="E19079" s="51"/>
      <c r="F19079" s="114" t="str">
        <f>IF(INDEX(I.Facility.P3IDNumber,4067)="","",INDEX(I.Facility.P3IDNumber,4067))</f>
        <v/>
      </c>
      <c r="G19079" s="51"/>
      <c r="H19079" s="46" t="str">
        <f>IF(AND(I.Developer.P3=TRUE,I.Facility.P3FacilityCount&gt;=4067,F19079=""),"Incomplete","Complete")</f>
        <v>Complete</v>
      </c>
      <c r="I19079" s="48" t="s">
        <v>23444</v>
      </c>
    </row>
    <row r="19080" spans="2:9" ht="15" customHeight="1" x14ac:dyDescent="0.25">
      <c r="B19080" s="55" t="s">
        <v>282</v>
      </c>
      <c r="C19080" s="46">
        <v>4068</v>
      </c>
      <c r="D19080" s="69" t="s">
        <v>29419</v>
      </c>
      <c r="E19080" s="51"/>
      <c r="F19080" s="114" t="str">
        <f>IF(INDEX(I.Facility.P3IDNumber,4068)="","",INDEX(I.Facility.P3IDNumber,4068))</f>
        <v/>
      </c>
      <c r="G19080" s="51"/>
      <c r="H19080" s="46" t="str">
        <f>IF(AND(I.Developer.P3=TRUE,I.Facility.P3FacilityCount&gt;=4068,F19080=""),"Incomplete","Complete")</f>
        <v>Complete</v>
      </c>
      <c r="I19080" s="48" t="s">
        <v>23445</v>
      </c>
    </row>
    <row r="19081" spans="2:9" ht="15" customHeight="1" x14ac:dyDescent="0.25">
      <c r="B19081" s="55" t="s">
        <v>282</v>
      </c>
      <c r="C19081" s="46">
        <v>4069</v>
      </c>
      <c r="D19081" s="69" t="s">
        <v>29419</v>
      </c>
      <c r="E19081" s="51"/>
      <c r="F19081" s="114" t="str">
        <f>IF(INDEX(I.Facility.P3IDNumber,4069)="","",INDEX(I.Facility.P3IDNumber,4069))</f>
        <v/>
      </c>
      <c r="G19081" s="51"/>
      <c r="H19081" s="46" t="str">
        <f>IF(AND(I.Developer.P3=TRUE,I.Facility.P3FacilityCount&gt;=4069,F19081=""),"Incomplete","Complete")</f>
        <v>Complete</v>
      </c>
      <c r="I19081" s="48" t="s">
        <v>23446</v>
      </c>
    </row>
    <row r="19082" spans="2:9" ht="15" customHeight="1" x14ac:dyDescent="0.25">
      <c r="B19082" s="55" t="s">
        <v>282</v>
      </c>
      <c r="C19082" s="46">
        <v>4070</v>
      </c>
      <c r="D19082" s="69" t="s">
        <v>29419</v>
      </c>
      <c r="E19082" s="51"/>
      <c r="F19082" s="114" t="str">
        <f>IF(INDEX(I.Facility.P3IDNumber,4070)="","",INDEX(I.Facility.P3IDNumber,4070))</f>
        <v/>
      </c>
      <c r="G19082" s="51"/>
      <c r="H19082" s="46" t="str">
        <f>IF(AND(I.Developer.P3=TRUE,I.Facility.P3FacilityCount&gt;=4070,F19082=""),"Incomplete","Complete")</f>
        <v>Complete</v>
      </c>
      <c r="I19082" s="48" t="s">
        <v>23447</v>
      </c>
    </row>
    <row r="19083" spans="2:9" ht="15" customHeight="1" x14ac:dyDescent="0.25">
      <c r="B19083" s="55" t="s">
        <v>282</v>
      </c>
      <c r="C19083" s="46">
        <v>4071</v>
      </c>
      <c r="D19083" s="69" t="s">
        <v>29419</v>
      </c>
      <c r="E19083" s="51"/>
      <c r="F19083" s="114" t="str">
        <f>IF(INDEX(I.Facility.P3IDNumber,4071)="","",INDEX(I.Facility.P3IDNumber,4071))</f>
        <v/>
      </c>
      <c r="G19083" s="51"/>
      <c r="H19083" s="46" t="str">
        <f>IF(AND(I.Developer.P3=TRUE,I.Facility.P3FacilityCount&gt;=4071,F19083=""),"Incomplete","Complete")</f>
        <v>Complete</v>
      </c>
      <c r="I19083" s="48" t="s">
        <v>23448</v>
      </c>
    </row>
    <row r="19084" spans="2:9" ht="15" customHeight="1" x14ac:dyDescent="0.25">
      <c r="B19084" s="55" t="s">
        <v>282</v>
      </c>
      <c r="C19084" s="46">
        <v>4072</v>
      </c>
      <c r="D19084" s="69" t="s">
        <v>29419</v>
      </c>
      <c r="E19084" s="51"/>
      <c r="F19084" s="114" t="str">
        <f>IF(INDEX(I.Facility.P3IDNumber,4072)="","",INDEX(I.Facility.P3IDNumber,4072))</f>
        <v/>
      </c>
      <c r="G19084" s="51"/>
      <c r="H19084" s="46" t="str">
        <f>IF(AND(I.Developer.P3=TRUE,I.Facility.P3FacilityCount&gt;=4072,F19084=""),"Incomplete","Complete")</f>
        <v>Complete</v>
      </c>
      <c r="I19084" s="48" t="s">
        <v>23449</v>
      </c>
    </row>
    <row r="19085" spans="2:9" ht="15" customHeight="1" x14ac:dyDescent="0.25">
      <c r="B19085" s="55" t="s">
        <v>282</v>
      </c>
      <c r="C19085" s="46">
        <v>4073</v>
      </c>
      <c r="D19085" s="69" t="s">
        <v>29419</v>
      </c>
      <c r="E19085" s="51"/>
      <c r="F19085" s="114" t="str">
        <f>IF(INDEX(I.Facility.P3IDNumber,4073)="","",INDEX(I.Facility.P3IDNumber,4073))</f>
        <v/>
      </c>
      <c r="G19085" s="51"/>
      <c r="H19085" s="46" t="str">
        <f>IF(AND(I.Developer.P3=TRUE,I.Facility.P3FacilityCount&gt;=4073,F19085=""),"Incomplete","Complete")</f>
        <v>Complete</v>
      </c>
      <c r="I19085" s="48" t="s">
        <v>23450</v>
      </c>
    </row>
    <row r="19086" spans="2:9" ht="15" customHeight="1" x14ac:dyDescent="0.25">
      <c r="B19086" s="55" t="s">
        <v>282</v>
      </c>
      <c r="C19086" s="46">
        <v>4074</v>
      </c>
      <c r="D19086" s="69" t="s">
        <v>29419</v>
      </c>
      <c r="E19086" s="51"/>
      <c r="F19086" s="114" t="str">
        <f>IF(INDEX(I.Facility.P3IDNumber,4074)="","",INDEX(I.Facility.P3IDNumber,4074))</f>
        <v/>
      </c>
      <c r="G19086" s="51"/>
      <c r="H19086" s="46" t="str">
        <f>IF(AND(I.Developer.P3=TRUE,I.Facility.P3FacilityCount&gt;=4074,F19086=""),"Incomplete","Complete")</f>
        <v>Complete</v>
      </c>
      <c r="I19086" s="48" t="s">
        <v>23451</v>
      </c>
    </row>
    <row r="19087" spans="2:9" ht="15" customHeight="1" x14ac:dyDescent="0.25">
      <c r="B19087" s="55" t="s">
        <v>282</v>
      </c>
      <c r="C19087" s="46">
        <v>4075</v>
      </c>
      <c r="D19087" s="69" t="s">
        <v>29419</v>
      </c>
      <c r="E19087" s="51"/>
      <c r="F19087" s="114" t="str">
        <f>IF(INDEX(I.Facility.P3IDNumber,4075)="","",INDEX(I.Facility.P3IDNumber,4075))</f>
        <v/>
      </c>
      <c r="G19087" s="51"/>
      <c r="H19087" s="46" t="str">
        <f>IF(AND(I.Developer.P3=TRUE,I.Facility.P3FacilityCount&gt;=4075,F19087=""),"Incomplete","Complete")</f>
        <v>Complete</v>
      </c>
      <c r="I19087" s="48" t="s">
        <v>23452</v>
      </c>
    </row>
    <row r="19088" spans="2:9" ht="15" customHeight="1" x14ac:dyDescent="0.25">
      <c r="B19088" s="55" t="s">
        <v>282</v>
      </c>
      <c r="C19088" s="46">
        <v>4076</v>
      </c>
      <c r="D19088" s="69" t="s">
        <v>29419</v>
      </c>
      <c r="E19088" s="51"/>
      <c r="F19088" s="114" t="str">
        <f>IF(INDEX(I.Facility.P3IDNumber,4076)="","",INDEX(I.Facility.P3IDNumber,4076))</f>
        <v/>
      </c>
      <c r="G19088" s="51"/>
      <c r="H19088" s="46" t="str">
        <f>IF(AND(I.Developer.P3=TRUE,I.Facility.P3FacilityCount&gt;=4076,F19088=""),"Incomplete","Complete")</f>
        <v>Complete</v>
      </c>
      <c r="I19088" s="48" t="s">
        <v>23453</v>
      </c>
    </row>
    <row r="19089" spans="2:9" ht="15" customHeight="1" x14ac:dyDescent="0.25">
      <c r="B19089" s="55" t="s">
        <v>282</v>
      </c>
      <c r="C19089" s="46">
        <v>4077</v>
      </c>
      <c r="D19089" s="69" t="s">
        <v>29419</v>
      </c>
      <c r="E19089" s="51"/>
      <c r="F19089" s="114" t="str">
        <f>IF(INDEX(I.Facility.P3IDNumber,4077)="","",INDEX(I.Facility.P3IDNumber,4077))</f>
        <v/>
      </c>
      <c r="G19089" s="51"/>
      <c r="H19089" s="46" t="str">
        <f>IF(AND(I.Developer.P3=TRUE,I.Facility.P3FacilityCount&gt;=4077,F19089=""),"Incomplete","Complete")</f>
        <v>Complete</v>
      </c>
      <c r="I19089" s="48" t="s">
        <v>23454</v>
      </c>
    </row>
    <row r="19090" spans="2:9" ht="15" customHeight="1" x14ac:dyDescent="0.25">
      <c r="B19090" s="55" t="s">
        <v>282</v>
      </c>
      <c r="C19090" s="46">
        <v>4078</v>
      </c>
      <c r="D19090" s="69" t="s">
        <v>29419</v>
      </c>
      <c r="E19090" s="51"/>
      <c r="F19090" s="114" t="str">
        <f>IF(INDEX(I.Facility.P3IDNumber,4078)="","",INDEX(I.Facility.P3IDNumber,4078))</f>
        <v/>
      </c>
      <c r="G19090" s="51"/>
      <c r="H19090" s="46" t="str">
        <f>IF(AND(I.Developer.P3=TRUE,I.Facility.P3FacilityCount&gt;=4078,F19090=""),"Incomplete","Complete")</f>
        <v>Complete</v>
      </c>
      <c r="I19090" s="48" t="s">
        <v>23455</v>
      </c>
    </row>
    <row r="19091" spans="2:9" ht="15" customHeight="1" x14ac:dyDescent="0.25">
      <c r="B19091" s="55" t="s">
        <v>282</v>
      </c>
      <c r="C19091" s="46">
        <v>4079</v>
      </c>
      <c r="D19091" s="69" t="s">
        <v>29419</v>
      </c>
      <c r="E19091" s="51"/>
      <c r="F19091" s="114" t="str">
        <f>IF(INDEX(I.Facility.P3IDNumber,4079)="","",INDEX(I.Facility.P3IDNumber,4079))</f>
        <v/>
      </c>
      <c r="G19091" s="51"/>
      <c r="H19091" s="46" t="str">
        <f>IF(AND(I.Developer.P3=TRUE,I.Facility.P3FacilityCount&gt;=4079,F19091=""),"Incomplete","Complete")</f>
        <v>Complete</v>
      </c>
      <c r="I19091" s="48" t="s">
        <v>23456</v>
      </c>
    </row>
    <row r="19092" spans="2:9" ht="15" customHeight="1" x14ac:dyDescent="0.25">
      <c r="B19092" s="55" t="s">
        <v>282</v>
      </c>
      <c r="C19092" s="46">
        <v>4080</v>
      </c>
      <c r="D19092" s="69" t="s">
        <v>29419</v>
      </c>
      <c r="E19092" s="51"/>
      <c r="F19092" s="114" t="str">
        <f>IF(INDEX(I.Facility.P3IDNumber,4080)="","",INDEX(I.Facility.P3IDNumber,4080))</f>
        <v/>
      </c>
      <c r="G19092" s="51"/>
      <c r="H19092" s="46" t="str">
        <f>IF(AND(I.Developer.P3=TRUE,I.Facility.P3FacilityCount&gt;=4080,F19092=""),"Incomplete","Complete")</f>
        <v>Complete</v>
      </c>
      <c r="I19092" s="48" t="s">
        <v>23457</v>
      </c>
    </row>
    <row r="19093" spans="2:9" ht="15" customHeight="1" x14ac:dyDescent="0.25">
      <c r="B19093" s="55" t="s">
        <v>282</v>
      </c>
      <c r="C19093" s="46">
        <v>4081</v>
      </c>
      <c r="D19093" s="69" t="s">
        <v>29419</v>
      </c>
      <c r="E19093" s="51"/>
      <c r="F19093" s="114" t="str">
        <f>IF(INDEX(I.Facility.P3IDNumber,4081)="","",INDEX(I.Facility.P3IDNumber,4081))</f>
        <v/>
      </c>
      <c r="G19093" s="51"/>
      <c r="H19093" s="46" t="str">
        <f>IF(AND(I.Developer.P3=TRUE,I.Facility.P3FacilityCount&gt;=4081,F19093=""),"Incomplete","Complete")</f>
        <v>Complete</v>
      </c>
      <c r="I19093" s="48" t="s">
        <v>23458</v>
      </c>
    </row>
    <row r="19094" spans="2:9" ht="15" customHeight="1" x14ac:dyDescent="0.25">
      <c r="B19094" s="55" t="s">
        <v>282</v>
      </c>
      <c r="C19094" s="46">
        <v>4082</v>
      </c>
      <c r="D19094" s="69" t="s">
        <v>29419</v>
      </c>
      <c r="E19094" s="51"/>
      <c r="F19094" s="114" t="str">
        <f>IF(INDEX(I.Facility.P3IDNumber,4082)="","",INDEX(I.Facility.P3IDNumber,4082))</f>
        <v/>
      </c>
      <c r="G19094" s="51"/>
      <c r="H19094" s="46" t="str">
        <f>IF(AND(I.Developer.P3=TRUE,I.Facility.P3FacilityCount&gt;=4082,F19094=""),"Incomplete","Complete")</f>
        <v>Complete</v>
      </c>
      <c r="I19094" s="48" t="s">
        <v>23459</v>
      </c>
    </row>
    <row r="19095" spans="2:9" ht="15" customHeight="1" x14ac:dyDescent="0.25">
      <c r="B19095" s="55" t="s">
        <v>282</v>
      </c>
      <c r="C19095" s="46">
        <v>4083</v>
      </c>
      <c r="D19095" s="69" t="s">
        <v>29419</v>
      </c>
      <c r="E19095" s="51"/>
      <c r="F19095" s="114" t="str">
        <f>IF(INDEX(I.Facility.P3IDNumber,4083)="","",INDEX(I.Facility.P3IDNumber,4083))</f>
        <v/>
      </c>
      <c r="G19095" s="51"/>
      <c r="H19095" s="46" t="str">
        <f>IF(AND(I.Developer.P3=TRUE,I.Facility.P3FacilityCount&gt;=4083,F19095=""),"Incomplete","Complete")</f>
        <v>Complete</v>
      </c>
      <c r="I19095" s="48" t="s">
        <v>23460</v>
      </c>
    </row>
    <row r="19096" spans="2:9" ht="15" customHeight="1" x14ac:dyDescent="0.25">
      <c r="B19096" s="55" t="s">
        <v>282</v>
      </c>
      <c r="C19096" s="46">
        <v>4084</v>
      </c>
      <c r="D19096" s="69" t="s">
        <v>29419</v>
      </c>
      <c r="E19096" s="51"/>
      <c r="F19096" s="114" t="str">
        <f>IF(INDEX(I.Facility.P3IDNumber,4084)="","",INDEX(I.Facility.P3IDNumber,4084))</f>
        <v/>
      </c>
      <c r="G19096" s="51"/>
      <c r="H19096" s="46" t="str">
        <f>IF(AND(I.Developer.P3=TRUE,I.Facility.P3FacilityCount&gt;=4084,F19096=""),"Incomplete","Complete")</f>
        <v>Complete</v>
      </c>
      <c r="I19096" s="48" t="s">
        <v>23461</v>
      </c>
    </row>
    <row r="19097" spans="2:9" ht="15" customHeight="1" x14ac:dyDescent="0.25">
      <c r="B19097" s="55" t="s">
        <v>282</v>
      </c>
      <c r="C19097" s="46">
        <v>4085</v>
      </c>
      <c r="D19097" s="69" t="s">
        <v>29419</v>
      </c>
      <c r="E19097" s="51"/>
      <c r="F19097" s="114" t="str">
        <f>IF(INDEX(I.Facility.P3IDNumber,4085)="","",INDEX(I.Facility.P3IDNumber,4085))</f>
        <v/>
      </c>
      <c r="G19097" s="51"/>
      <c r="H19097" s="46" t="str">
        <f>IF(AND(I.Developer.P3=TRUE,I.Facility.P3FacilityCount&gt;=4085,F19097=""),"Incomplete","Complete")</f>
        <v>Complete</v>
      </c>
      <c r="I19097" s="48" t="s">
        <v>23462</v>
      </c>
    </row>
    <row r="19098" spans="2:9" ht="15" customHeight="1" x14ac:dyDescent="0.25">
      <c r="B19098" s="55" t="s">
        <v>282</v>
      </c>
      <c r="C19098" s="46">
        <v>4086</v>
      </c>
      <c r="D19098" s="69" t="s">
        <v>29419</v>
      </c>
      <c r="E19098" s="51"/>
      <c r="F19098" s="114" t="str">
        <f>IF(INDEX(I.Facility.P3IDNumber,4086)="","",INDEX(I.Facility.P3IDNumber,4086))</f>
        <v/>
      </c>
      <c r="G19098" s="51"/>
      <c r="H19098" s="46" t="str">
        <f>IF(AND(I.Developer.P3=TRUE,I.Facility.P3FacilityCount&gt;=4086,F19098=""),"Incomplete","Complete")</f>
        <v>Complete</v>
      </c>
      <c r="I19098" s="48" t="s">
        <v>23463</v>
      </c>
    </row>
    <row r="19099" spans="2:9" ht="15" customHeight="1" x14ac:dyDescent="0.25">
      <c r="B19099" s="55" t="s">
        <v>282</v>
      </c>
      <c r="C19099" s="46">
        <v>4087</v>
      </c>
      <c r="D19099" s="69" t="s">
        <v>29419</v>
      </c>
      <c r="E19099" s="51"/>
      <c r="F19099" s="114" t="str">
        <f>IF(INDEX(I.Facility.P3IDNumber,4087)="","",INDEX(I.Facility.P3IDNumber,4087))</f>
        <v/>
      </c>
      <c r="G19099" s="51"/>
      <c r="H19099" s="46" t="str">
        <f>IF(AND(I.Developer.P3=TRUE,I.Facility.P3FacilityCount&gt;=4087,F19099=""),"Incomplete","Complete")</f>
        <v>Complete</v>
      </c>
      <c r="I19099" s="48" t="s">
        <v>23464</v>
      </c>
    </row>
    <row r="19100" spans="2:9" ht="15" customHeight="1" x14ac:dyDescent="0.25">
      <c r="B19100" s="55" t="s">
        <v>282</v>
      </c>
      <c r="C19100" s="46">
        <v>4088</v>
      </c>
      <c r="D19100" s="69" t="s">
        <v>29419</v>
      </c>
      <c r="E19100" s="51"/>
      <c r="F19100" s="114" t="str">
        <f>IF(INDEX(I.Facility.P3IDNumber,4088)="","",INDEX(I.Facility.P3IDNumber,4088))</f>
        <v/>
      </c>
      <c r="G19100" s="51"/>
      <c r="H19100" s="46" t="str">
        <f>IF(AND(I.Developer.P3=TRUE,I.Facility.P3FacilityCount&gt;=4088,F19100=""),"Incomplete","Complete")</f>
        <v>Complete</v>
      </c>
      <c r="I19100" s="48" t="s">
        <v>23465</v>
      </c>
    </row>
    <row r="19101" spans="2:9" ht="15" customHeight="1" x14ac:dyDescent="0.25">
      <c r="B19101" s="55" t="s">
        <v>282</v>
      </c>
      <c r="C19101" s="46">
        <v>4089</v>
      </c>
      <c r="D19101" s="69" t="s">
        <v>29419</v>
      </c>
      <c r="E19101" s="51"/>
      <c r="F19101" s="114" t="str">
        <f>IF(INDEX(I.Facility.P3IDNumber,4089)="","",INDEX(I.Facility.P3IDNumber,4089))</f>
        <v/>
      </c>
      <c r="G19101" s="51"/>
      <c r="H19101" s="46" t="str">
        <f>IF(AND(I.Developer.P3=TRUE,I.Facility.P3FacilityCount&gt;=4089,F19101=""),"Incomplete","Complete")</f>
        <v>Complete</v>
      </c>
      <c r="I19101" s="48" t="s">
        <v>23466</v>
      </c>
    </row>
    <row r="19102" spans="2:9" ht="15" customHeight="1" x14ac:dyDescent="0.25">
      <c r="B19102" s="55" t="s">
        <v>282</v>
      </c>
      <c r="C19102" s="46">
        <v>4090</v>
      </c>
      <c r="D19102" s="69" t="s">
        <v>29419</v>
      </c>
      <c r="E19102" s="51"/>
      <c r="F19102" s="114" t="str">
        <f>IF(INDEX(I.Facility.P3IDNumber,4090)="","",INDEX(I.Facility.P3IDNumber,4090))</f>
        <v/>
      </c>
      <c r="G19102" s="51"/>
      <c r="H19102" s="46" t="str">
        <f>IF(AND(I.Developer.P3=TRUE,I.Facility.P3FacilityCount&gt;=4090,F19102=""),"Incomplete","Complete")</f>
        <v>Complete</v>
      </c>
      <c r="I19102" s="48" t="s">
        <v>23467</v>
      </c>
    </row>
    <row r="19103" spans="2:9" ht="15" customHeight="1" x14ac:dyDescent="0.25">
      <c r="B19103" s="55" t="s">
        <v>282</v>
      </c>
      <c r="C19103" s="46">
        <v>4091</v>
      </c>
      <c r="D19103" s="69" t="s">
        <v>29419</v>
      </c>
      <c r="E19103" s="51"/>
      <c r="F19103" s="114" t="str">
        <f>IF(INDEX(I.Facility.P3IDNumber,4091)="","",INDEX(I.Facility.P3IDNumber,4091))</f>
        <v/>
      </c>
      <c r="G19103" s="51"/>
      <c r="H19103" s="46" t="str">
        <f>IF(AND(I.Developer.P3=TRUE,I.Facility.P3FacilityCount&gt;=4091,F19103=""),"Incomplete","Complete")</f>
        <v>Complete</v>
      </c>
      <c r="I19103" s="48" t="s">
        <v>23468</v>
      </c>
    </row>
    <row r="19104" spans="2:9" ht="15" customHeight="1" x14ac:dyDescent="0.25">
      <c r="B19104" s="55" t="s">
        <v>282</v>
      </c>
      <c r="C19104" s="46">
        <v>4092</v>
      </c>
      <c r="D19104" s="69" t="s">
        <v>29419</v>
      </c>
      <c r="E19104" s="51"/>
      <c r="F19104" s="114" t="str">
        <f>IF(INDEX(I.Facility.P3IDNumber,4092)="","",INDEX(I.Facility.P3IDNumber,4092))</f>
        <v/>
      </c>
      <c r="G19104" s="51"/>
      <c r="H19104" s="46" t="str">
        <f>IF(AND(I.Developer.P3=TRUE,I.Facility.P3FacilityCount&gt;=4092,F19104=""),"Incomplete","Complete")</f>
        <v>Complete</v>
      </c>
      <c r="I19104" s="48" t="s">
        <v>23469</v>
      </c>
    </row>
    <row r="19105" spans="2:9" ht="15" customHeight="1" x14ac:dyDescent="0.25">
      <c r="B19105" s="55" t="s">
        <v>282</v>
      </c>
      <c r="C19105" s="46">
        <v>4093</v>
      </c>
      <c r="D19105" s="69" t="s">
        <v>29419</v>
      </c>
      <c r="E19105" s="51"/>
      <c r="F19105" s="114" t="str">
        <f>IF(INDEX(I.Facility.P3IDNumber,4093)="","",INDEX(I.Facility.P3IDNumber,4093))</f>
        <v/>
      </c>
      <c r="G19105" s="51"/>
      <c r="H19105" s="46" t="str">
        <f>IF(AND(I.Developer.P3=TRUE,I.Facility.P3FacilityCount&gt;=4093,F19105=""),"Incomplete","Complete")</f>
        <v>Complete</v>
      </c>
      <c r="I19105" s="48" t="s">
        <v>23470</v>
      </c>
    </row>
    <row r="19106" spans="2:9" ht="15" customHeight="1" x14ac:dyDescent="0.25">
      <c r="B19106" s="55" t="s">
        <v>282</v>
      </c>
      <c r="C19106" s="46">
        <v>4094</v>
      </c>
      <c r="D19106" s="69" t="s">
        <v>29419</v>
      </c>
      <c r="E19106" s="51"/>
      <c r="F19106" s="114" t="str">
        <f>IF(INDEX(I.Facility.P3IDNumber,4094)="","",INDEX(I.Facility.P3IDNumber,4094))</f>
        <v/>
      </c>
      <c r="G19106" s="51"/>
      <c r="H19106" s="46" t="str">
        <f>IF(AND(I.Developer.P3=TRUE,I.Facility.P3FacilityCount&gt;=4094,F19106=""),"Incomplete","Complete")</f>
        <v>Complete</v>
      </c>
      <c r="I19106" s="48" t="s">
        <v>23471</v>
      </c>
    </row>
    <row r="19107" spans="2:9" ht="15" customHeight="1" x14ac:dyDescent="0.25">
      <c r="B19107" s="55" t="s">
        <v>282</v>
      </c>
      <c r="C19107" s="46">
        <v>4095</v>
      </c>
      <c r="D19107" s="69" t="s">
        <v>29419</v>
      </c>
      <c r="E19107" s="51"/>
      <c r="F19107" s="114" t="str">
        <f>IF(INDEX(I.Facility.P3IDNumber,4095)="","",INDEX(I.Facility.P3IDNumber,4095))</f>
        <v/>
      </c>
      <c r="G19107" s="51"/>
      <c r="H19107" s="46" t="str">
        <f>IF(AND(I.Developer.P3=TRUE,I.Facility.P3FacilityCount&gt;=4095,F19107=""),"Incomplete","Complete")</f>
        <v>Complete</v>
      </c>
      <c r="I19107" s="48" t="s">
        <v>23472</v>
      </c>
    </row>
    <row r="19108" spans="2:9" ht="15" customHeight="1" x14ac:dyDescent="0.25">
      <c r="B19108" s="55" t="s">
        <v>282</v>
      </c>
      <c r="C19108" s="46">
        <v>4096</v>
      </c>
      <c r="D19108" s="69" t="s">
        <v>29419</v>
      </c>
      <c r="E19108" s="51"/>
      <c r="F19108" s="114" t="str">
        <f>IF(INDEX(I.Facility.P3IDNumber,4096)="","",INDEX(I.Facility.P3IDNumber,4096))</f>
        <v/>
      </c>
      <c r="G19108" s="51"/>
      <c r="H19108" s="46" t="str">
        <f>IF(AND(I.Developer.P3=TRUE,I.Facility.P3FacilityCount&gt;=4096,F19108=""),"Incomplete","Complete")</f>
        <v>Complete</v>
      </c>
      <c r="I19108" s="48" t="s">
        <v>23473</v>
      </c>
    </row>
    <row r="19109" spans="2:9" ht="15" customHeight="1" x14ac:dyDescent="0.25">
      <c r="B19109" s="55" t="s">
        <v>282</v>
      </c>
      <c r="C19109" s="46">
        <v>4097</v>
      </c>
      <c r="D19109" s="69" t="s">
        <v>29419</v>
      </c>
      <c r="E19109" s="51"/>
      <c r="F19109" s="114" t="str">
        <f>IF(INDEX(I.Facility.P3IDNumber,4097)="","",INDEX(I.Facility.P3IDNumber,4097))</f>
        <v/>
      </c>
      <c r="G19109" s="51"/>
      <c r="H19109" s="46" t="str">
        <f>IF(AND(I.Developer.P3=TRUE,I.Facility.P3FacilityCount&gt;=4097,F19109=""),"Incomplete","Complete")</f>
        <v>Complete</v>
      </c>
      <c r="I19109" s="48" t="s">
        <v>23474</v>
      </c>
    </row>
    <row r="19110" spans="2:9" ht="15" customHeight="1" x14ac:dyDescent="0.25">
      <c r="B19110" s="55" t="s">
        <v>282</v>
      </c>
      <c r="C19110" s="46">
        <v>4098</v>
      </c>
      <c r="D19110" s="69" t="s">
        <v>29419</v>
      </c>
      <c r="E19110" s="51"/>
      <c r="F19110" s="114" t="str">
        <f>IF(INDEX(I.Facility.P3IDNumber,4098)="","",INDEX(I.Facility.P3IDNumber,4098))</f>
        <v/>
      </c>
      <c r="G19110" s="51"/>
      <c r="H19110" s="46" t="str">
        <f>IF(AND(I.Developer.P3=TRUE,I.Facility.P3FacilityCount&gt;=4098,F19110=""),"Incomplete","Complete")</f>
        <v>Complete</v>
      </c>
      <c r="I19110" s="48" t="s">
        <v>23475</v>
      </c>
    </row>
    <row r="19111" spans="2:9" ht="15" customHeight="1" x14ac:dyDescent="0.25">
      <c r="B19111" s="55" t="s">
        <v>282</v>
      </c>
      <c r="C19111" s="46">
        <v>4099</v>
      </c>
      <c r="D19111" s="69" t="s">
        <v>29419</v>
      </c>
      <c r="E19111" s="51"/>
      <c r="F19111" s="114" t="str">
        <f>IF(INDEX(I.Facility.P3IDNumber,4099)="","",INDEX(I.Facility.P3IDNumber,4099))</f>
        <v/>
      </c>
      <c r="G19111" s="51"/>
      <c r="H19111" s="46" t="str">
        <f>IF(AND(I.Developer.P3=TRUE,I.Facility.P3FacilityCount&gt;=4099,F19111=""),"Incomplete","Complete")</f>
        <v>Complete</v>
      </c>
      <c r="I19111" s="48" t="s">
        <v>23476</v>
      </c>
    </row>
    <row r="19112" spans="2:9" ht="15" customHeight="1" x14ac:dyDescent="0.25">
      <c r="B19112" s="55" t="s">
        <v>282</v>
      </c>
      <c r="C19112" s="46">
        <v>4100</v>
      </c>
      <c r="D19112" s="69" t="s">
        <v>29419</v>
      </c>
      <c r="E19112" s="51"/>
      <c r="F19112" s="114" t="str">
        <f>IF(INDEX(I.Facility.P3IDNumber,4100)="","",INDEX(I.Facility.P3IDNumber,4100))</f>
        <v/>
      </c>
      <c r="G19112" s="51"/>
      <c r="H19112" s="46" t="str">
        <f>IF(AND(I.Developer.P3=TRUE,I.Facility.P3FacilityCount&gt;=4100,F19112=""),"Incomplete","Complete")</f>
        <v>Complete</v>
      </c>
      <c r="I19112" s="48" t="s">
        <v>23477</v>
      </c>
    </row>
    <row r="19113" spans="2:9" ht="15" customHeight="1" x14ac:dyDescent="0.25">
      <c r="B19113" s="55" t="s">
        <v>282</v>
      </c>
      <c r="C19113" s="46">
        <v>4101</v>
      </c>
      <c r="D19113" s="69" t="s">
        <v>29419</v>
      </c>
      <c r="E19113" s="51"/>
      <c r="F19113" s="114" t="str">
        <f>IF(INDEX(I.Facility.P3IDNumber,4101)="","",INDEX(I.Facility.P3IDNumber,4101))</f>
        <v/>
      </c>
      <c r="G19113" s="51"/>
      <c r="H19113" s="46" t="str">
        <f>IF(AND(I.Developer.P3=TRUE,I.Facility.P3FacilityCount&gt;=4101,F19113=""),"Incomplete","Complete")</f>
        <v>Complete</v>
      </c>
      <c r="I19113" s="48" t="s">
        <v>23478</v>
      </c>
    </row>
    <row r="19114" spans="2:9" ht="15" customHeight="1" x14ac:dyDescent="0.25">
      <c r="B19114" s="55" t="s">
        <v>282</v>
      </c>
      <c r="C19114" s="46">
        <v>4102</v>
      </c>
      <c r="D19114" s="69" t="s">
        <v>29419</v>
      </c>
      <c r="E19114" s="51"/>
      <c r="F19114" s="114" t="str">
        <f>IF(INDEX(I.Facility.P3IDNumber,4102)="","",INDEX(I.Facility.P3IDNumber,4102))</f>
        <v/>
      </c>
      <c r="G19114" s="51"/>
      <c r="H19114" s="46" t="str">
        <f>IF(AND(I.Developer.P3=TRUE,I.Facility.P3FacilityCount&gt;=4102,F19114=""),"Incomplete","Complete")</f>
        <v>Complete</v>
      </c>
      <c r="I19114" s="48" t="s">
        <v>23479</v>
      </c>
    </row>
    <row r="19115" spans="2:9" ht="15" customHeight="1" x14ac:dyDescent="0.25">
      <c r="B19115" s="55" t="s">
        <v>282</v>
      </c>
      <c r="C19115" s="46">
        <v>4103</v>
      </c>
      <c r="D19115" s="69" t="s">
        <v>29419</v>
      </c>
      <c r="E19115" s="51"/>
      <c r="F19115" s="114" t="str">
        <f>IF(INDEX(I.Facility.P3IDNumber,4103)="","",INDEX(I.Facility.P3IDNumber,4103))</f>
        <v/>
      </c>
      <c r="G19115" s="51"/>
      <c r="H19115" s="46" t="str">
        <f>IF(AND(I.Developer.P3=TRUE,I.Facility.P3FacilityCount&gt;=4103,F19115=""),"Incomplete","Complete")</f>
        <v>Complete</v>
      </c>
      <c r="I19115" s="48" t="s">
        <v>23480</v>
      </c>
    </row>
    <row r="19116" spans="2:9" ht="15" customHeight="1" x14ac:dyDescent="0.25">
      <c r="B19116" s="55" t="s">
        <v>282</v>
      </c>
      <c r="C19116" s="46">
        <v>4104</v>
      </c>
      <c r="D19116" s="69" t="s">
        <v>29419</v>
      </c>
      <c r="E19116" s="51"/>
      <c r="F19116" s="114" t="str">
        <f>IF(INDEX(I.Facility.P3IDNumber,4104)="","",INDEX(I.Facility.P3IDNumber,4104))</f>
        <v/>
      </c>
      <c r="G19116" s="51"/>
      <c r="H19116" s="46" t="str">
        <f>IF(AND(I.Developer.P3=TRUE,I.Facility.P3FacilityCount&gt;=4104,F19116=""),"Incomplete","Complete")</f>
        <v>Complete</v>
      </c>
      <c r="I19116" s="48" t="s">
        <v>23481</v>
      </c>
    </row>
    <row r="19117" spans="2:9" ht="15" customHeight="1" x14ac:dyDescent="0.25">
      <c r="B19117" s="55" t="s">
        <v>282</v>
      </c>
      <c r="C19117" s="46">
        <v>4105</v>
      </c>
      <c r="D19117" s="69" t="s">
        <v>29419</v>
      </c>
      <c r="E19117" s="51"/>
      <c r="F19117" s="114" t="str">
        <f>IF(INDEX(I.Facility.P3IDNumber,4105)="","",INDEX(I.Facility.P3IDNumber,4105))</f>
        <v/>
      </c>
      <c r="G19117" s="51"/>
      <c r="H19117" s="46" t="str">
        <f>IF(AND(I.Developer.P3=TRUE,I.Facility.P3FacilityCount&gt;=4105,F19117=""),"Incomplete","Complete")</f>
        <v>Complete</v>
      </c>
      <c r="I19117" s="48" t="s">
        <v>23482</v>
      </c>
    </row>
    <row r="19118" spans="2:9" ht="15" customHeight="1" x14ac:dyDescent="0.25">
      <c r="B19118" s="55" t="s">
        <v>282</v>
      </c>
      <c r="C19118" s="46">
        <v>4106</v>
      </c>
      <c r="D19118" s="69" t="s">
        <v>29419</v>
      </c>
      <c r="E19118" s="51"/>
      <c r="F19118" s="114" t="str">
        <f>IF(INDEX(I.Facility.P3IDNumber,4106)="","",INDEX(I.Facility.P3IDNumber,4106))</f>
        <v/>
      </c>
      <c r="G19118" s="51"/>
      <c r="H19118" s="46" t="str">
        <f>IF(AND(I.Developer.P3=TRUE,I.Facility.P3FacilityCount&gt;=4106,F19118=""),"Incomplete","Complete")</f>
        <v>Complete</v>
      </c>
      <c r="I19118" s="48" t="s">
        <v>23483</v>
      </c>
    </row>
    <row r="19119" spans="2:9" ht="15" customHeight="1" x14ac:dyDescent="0.25">
      <c r="B19119" s="55" t="s">
        <v>282</v>
      </c>
      <c r="C19119" s="46">
        <v>4107</v>
      </c>
      <c r="D19119" s="69" t="s">
        <v>29419</v>
      </c>
      <c r="E19119" s="51"/>
      <c r="F19119" s="114" t="str">
        <f>IF(INDEX(I.Facility.P3IDNumber,4107)="","",INDEX(I.Facility.P3IDNumber,4107))</f>
        <v/>
      </c>
      <c r="G19119" s="51"/>
      <c r="H19119" s="46" t="str">
        <f>IF(AND(I.Developer.P3=TRUE,I.Facility.P3FacilityCount&gt;=4107,F19119=""),"Incomplete","Complete")</f>
        <v>Complete</v>
      </c>
      <c r="I19119" s="48" t="s">
        <v>23484</v>
      </c>
    </row>
    <row r="19120" spans="2:9" ht="15" customHeight="1" x14ac:dyDescent="0.25">
      <c r="B19120" s="55" t="s">
        <v>282</v>
      </c>
      <c r="C19120" s="46">
        <v>4108</v>
      </c>
      <c r="D19120" s="69" t="s">
        <v>29419</v>
      </c>
      <c r="E19120" s="51"/>
      <c r="F19120" s="114" t="str">
        <f>IF(INDEX(I.Facility.P3IDNumber,4108)="","",INDEX(I.Facility.P3IDNumber,4108))</f>
        <v/>
      </c>
      <c r="G19120" s="51"/>
      <c r="H19120" s="46" t="str">
        <f>IF(AND(I.Developer.P3=TRUE,I.Facility.P3FacilityCount&gt;=4108,F19120=""),"Incomplete","Complete")</f>
        <v>Complete</v>
      </c>
      <c r="I19120" s="48" t="s">
        <v>23485</v>
      </c>
    </row>
    <row r="19121" spans="2:9" ht="15" customHeight="1" x14ac:dyDescent="0.25">
      <c r="B19121" s="55" t="s">
        <v>282</v>
      </c>
      <c r="C19121" s="46">
        <v>4109</v>
      </c>
      <c r="D19121" s="69" t="s">
        <v>29419</v>
      </c>
      <c r="E19121" s="51"/>
      <c r="F19121" s="114" t="str">
        <f>IF(INDEX(I.Facility.P3IDNumber,4109)="","",INDEX(I.Facility.P3IDNumber,4109))</f>
        <v/>
      </c>
      <c r="G19121" s="51"/>
      <c r="H19121" s="46" t="str">
        <f>IF(AND(I.Developer.P3=TRUE,I.Facility.P3FacilityCount&gt;=4109,F19121=""),"Incomplete","Complete")</f>
        <v>Complete</v>
      </c>
      <c r="I19121" s="48" t="s">
        <v>23486</v>
      </c>
    </row>
    <row r="19122" spans="2:9" ht="15" customHeight="1" x14ac:dyDescent="0.25">
      <c r="B19122" s="55" t="s">
        <v>282</v>
      </c>
      <c r="C19122" s="46">
        <v>4110</v>
      </c>
      <c r="D19122" s="69" t="s">
        <v>29419</v>
      </c>
      <c r="E19122" s="51"/>
      <c r="F19122" s="114" t="str">
        <f>IF(INDEX(I.Facility.P3IDNumber,4110)="","",INDEX(I.Facility.P3IDNumber,4110))</f>
        <v/>
      </c>
      <c r="G19122" s="51"/>
      <c r="H19122" s="46" t="str">
        <f>IF(AND(I.Developer.P3=TRUE,I.Facility.P3FacilityCount&gt;=4110,F19122=""),"Incomplete","Complete")</f>
        <v>Complete</v>
      </c>
      <c r="I19122" s="48" t="s">
        <v>23487</v>
      </c>
    </row>
    <row r="19123" spans="2:9" ht="15" customHeight="1" x14ac:dyDescent="0.25">
      <c r="B19123" s="55" t="s">
        <v>282</v>
      </c>
      <c r="C19123" s="46">
        <v>4111</v>
      </c>
      <c r="D19123" s="69" t="s">
        <v>29419</v>
      </c>
      <c r="E19123" s="51"/>
      <c r="F19123" s="114" t="str">
        <f>IF(INDEX(I.Facility.P3IDNumber,4111)="","",INDEX(I.Facility.P3IDNumber,4111))</f>
        <v/>
      </c>
      <c r="G19123" s="51"/>
      <c r="H19123" s="46" t="str">
        <f>IF(AND(I.Developer.P3=TRUE,I.Facility.P3FacilityCount&gt;=4111,F19123=""),"Incomplete","Complete")</f>
        <v>Complete</v>
      </c>
      <c r="I19123" s="48" t="s">
        <v>23488</v>
      </c>
    </row>
    <row r="19124" spans="2:9" ht="15" customHeight="1" x14ac:dyDescent="0.25">
      <c r="B19124" s="55" t="s">
        <v>282</v>
      </c>
      <c r="C19124" s="46">
        <v>4112</v>
      </c>
      <c r="D19124" s="69" t="s">
        <v>29419</v>
      </c>
      <c r="E19124" s="51"/>
      <c r="F19124" s="114" t="str">
        <f>IF(INDEX(I.Facility.P3IDNumber,4112)="","",INDEX(I.Facility.P3IDNumber,4112))</f>
        <v/>
      </c>
      <c r="G19124" s="51"/>
      <c r="H19124" s="46" t="str">
        <f>IF(AND(I.Developer.P3=TRUE,I.Facility.P3FacilityCount&gt;=4112,F19124=""),"Incomplete","Complete")</f>
        <v>Complete</v>
      </c>
      <c r="I19124" s="48" t="s">
        <v>23489</v>
      </c>
    </row>
    <row r="19125" spans="2:9" ht="15" customHeight="1" x14ac:dyDescent="0.25">
      <c r="B19125" s="55" t="s">
        <v>282</v>
      </c>
      <c r="C19125" s="46">
        <v>4113</v>
      </c>
      <c r="D19125" s="69" t="s">
        <v>29419</v>
      </c>
      <c r="E19125" s="51"/>
      <c r="F19125" s="114" t="str">
        <f>IF(INDEX(I.Facility.P3IDNumber,4113)="","",INDEX(I.Facility.P3IDNumber,4113))</f>
        <v/>
      </c>
      <c r="G19125" s="51"/>
      <c r="H19125" s="46" t="str">
        <f>IF(AND(I.Developer.P3=TRUE,I.Facility.P3FacilityCount&gt;=4113,F19125=""),"Incomplete","Complete")</f>
        <v>Complete</v>
      </c>
      <c r="I19125" s="48" t="s">
        <v>23490</v>
      </c>
    </row>
    <row r="19126" spans="2:9" ht="15" customHeight="1" x14ac:dyDescent="0.25">
      <c r="B19126" s="55" t="s">
        <v>282</v>
      </c>
      <c r="C19126" s="46">
        <v>4114</v>
      </c>
      <c r="D19126" s="69" t="s">
        <v>29419</v>
      </c>
      <c r="E19126" s="51"/>
      <c r="F19126" s="114" t="str">
        <f>IF(INDEX(I.Facility.P3IDNumber,4114)="","",INDEX(I.Facility.P3IDNumber,4114))</f>
        <v/>
      </c>
      <c r="G19126" s="51"/>
      <c r="H19126" s="46" t="str">
        <f>IF(AND(I.Developer.P3=TRUE,I.Facility.P3FacilityCount&gt;=4114,F19126=""),"Incomplete","Complete")</f>
        <v>Complete</v>
      </c>
      <c r="I19126" s="48" t="s">
        <v>23491</v>
      </c>
    </row>
    <row r="19127" spans="2:9" ht="15" customHeight="1" x14ac:dyDescent="0.25">
      <c r="B19127" s="55" t="s">
        <v>282</v>
      </c>
      <c r="C19127" s="46">
        <v>4115</v>
      </c>
      <c r="D19127" s="69" t="s">
        <v>29419</v>
      </c>
      <c r="E19127" s="51"/>
      <c r="F19127" s="114" t="str">
        <f>IF(INDEX(I.Facility.P3IDNumber,4115)="","",INDEX(I.Facility.P3IDNumber,4115))</f>
        <v/>
      </c>
      <c r="G19127" s="51"/>
      <c r="H19127" s="46" t="str">
        <f>IF(AND(I.Developer.P3=TRUE,I.Facility.P3FacilityCount&gt;=4115,F19127=""),"Incomplete","Complete")</f>
        <v>Complete</v>
      </c>
      <c r="I19127" s="48" t="s">
        <v>23492</v>
      </c>
    </row>
    <row r="19128" spans="2:9" ht="15" customHeight="1" x14ac:dyDescent="0.25">
      <c r="B19128" s="55" t="s">
        <v>282</v>
      </c>
      <c r="C19128" s="46">
        <v>4116</v>
      </c>
      <c r="D19128" s="69" t="s">
        <v>29419</v>
      </c>
      <c r="E19128" s="51"/>
      <c r="F19128" s="114" t="str">
        <f>IF(INDEX(I.Facility.P3IDNumber,4116)="","",INDEX(I.Facility.P3IDNumber,4116))</f>
        <v/>
      </c>
      <c r="G19128" s="51"/>
      <c r="H19128" s="46" t="str">
        <f>IF(AND(I.Developer.P3=TRUE,I.Facility.P3FacilityCount&gt;=4116,F19128=""),"Incomplete","Complete")</f>
        <v>Complete</v>
      </c>
      <c r="I19128" s="48" t="s">
        <v>23493</v>
      </c>
    </row>
    <row r="19129" spans="2:9" ht="15" customHeight="1" x14ac:dyDescent="0.25">
      <c r="B19129" s="55" t="s">
        <v>282</v>
      </c>
      <c r="C19129" s="46">
        <v>4117</v>
      </c>
      <c r="D19129" s="69" t="s">
        <v>29419</v>
      </c>
      <c r="E19129" s="51"/>
      <c r="F19129" s="114" t="str">
        <f>IF(INDEX(I.Facility.P3IDNumber,4117)="","",INDEX(I.Facility.P3IDNumber,4117))</f>
        <v/>
      </c>
      <c r="G19129" s="51"/>
      <c r="H19129" s="46" t="str">
        <f>IF(AND(I.Developer.P3=TRUE,I.Facility.P3FacilityCount&gt;=4117,F19129=""),"Incomplete","Complete")</f>
        <v>Complete</v>
      </c>
      <c r="I19129" s="48" t="s">
        <v>23494</v>
      </c>
    </row>
    <row r="19130" spans="2:9" ht="15" customHeight="1" x14ac:dyDescent="0.25">
      <c r="B19130" s="55" t="s">
        <v>282</v>
      </c>
      <c r="C19130" s="46">
        <v>4118</v>
      </c>
      <c r="D19130" s="69" t="s">
        <v>29419</v>
      </c>
      <c r="E19130" s="51"/>
      <c r="F19130" s="114" t="str">
        <f>IF(INDEX(I.Facility.P3IDNumber,4118)="","",INDEX(I.Facility.P3IDNumber,4118))</f>
        <v/>
      </c>
      <c r="G19130" s="51"/>
      <c r="H19130" s="46" t="str">
        <f>IF(AND(I.Developer.P3=TRUE,I.Facility.P3FacilityCount&gt;=4118,F19130=""),"Incomplete","Complete")</f>
        <v>Complete</v>
      </c>
      <c r="I19130" s="48" t="s">
        <v>23495</v>
      </c>
    </row>
    <row r="19131" spans="2:9" ht="15" customHeight="1" x14ac:dyDescent="0.25">
      <c r="B19131" s="55" t="s">
        <v>282</v>
      </c>
      <c r="C19131" s="46">
        <v>4119</v>
      </c>
      <c r="D19131" s="69" t="s">
        <v>29419</v>
      </c>
      <c r="E19131" s="51"/>
      <c r="F19131" s="114" t="str">
        <f>IF(INDEX(I.Facility.P3IDNumber,4119)="","",INDEX(I.Facility.P3IDNumber,4119))</f>
        <v/>
      </c>
      <c r="G19131" s="51"/>
      <c r="H19131" s="46" t="str">
        <f>IF(AND(I.Developer.P3=TRUE,I.Facility.P3FacilityCount&gt;=4119,F19131=""),"Incomplete","Complete")</f>
        <v>Complete</v>
      </c>
      <c r="I19131" s="48" t="s">
        <v>23496</v>
      </c>
    </row>
    <row r="19132" spans="2:9" ht="15" customHeight="1" x14ac:dyDescent="0.25">
      <c r="B19132" s="55" t="s">
        <v>282</v>
      </c>
      <c r="C19132" s="46">
        <v>4120</v>
      </c>
      <c r="D19132" s="69" t="s">
        <v>29419</v>
      </c>
      <c r="E19132" s="51"/>
      <c r="F19132" s="114" t="str">
        <f>IF(INDEX(I.Facility.P3IDNumber,4120)="","",INDEX(I.Facility.P3IDNumber,4120))</f>
        <v/>
      </c>
      <c r="G19132" s="51"/>
      <c r="H19132" s="46" t="str">
        <f>IF(AND(I.Developer.P3=TRUE,I.Facility.P3FacilityCount&gt;=4120,F19132=""),"Incomplete","Complete")</f>
        <v>Complete</v>
      </c>
      <c r="I19132" s="48" t="s">
        <v>23497</v>
      </c>
    </row>
    <row r="19133" spans="2:9" ht="15" customHeight="1" x14ac:dyDescent="0.25">
      <c r="B19133" s="55" t="s">
        <v>282</v>
      </c>
      <c r="C19133" s="46">
        <v>4121</v>
      </c>
      <c r="D19133" s="69" t="s">
        <v>29419</v>
      </c>
      <c r="E19133" s="51"/>
      <c r="F19133" s="114" t="str">
        <f>IF(INDEX(I.Facility.P3IDNumber,4121)="","",INDEX(I.Facility.P3IDNumber,4121))</f>
        <v/>
      </c>
      <c r="G19133" s="51"/>
      <c r="H19133" s="46" t="str">
        <f>IF(AND(I.Developer.P3=TRUE,I.Facility.P3FacilityCount&gt;=4121,F19133=""),"Incomplete","Complete")</f>
        <v>Complete</v>
      </c>
      <c r="I19133" s="48" t="s">
        <v>23498</v>
      </c>
    </row>
    <row r="19134" spans="2:9" ht="15" customHeight="1" x14ac:dyDescent="0.25">
      <c r="B19134" s="55" t="s">
        <v>282</v>
      </c>
      <c r="C19134" s="46">
        <v>4122</v>
      </c>
      <c r="D19134" s="69" t="s">
        <v>29419</v>
      </c>
      <c r="E19134" s="51"/>
      <c r="F19134" s="114" t="str">
        <f>IF(INDEX(I.Facility.P3IDNumber,4122)="","",INDEX(I.Facility.P3IDNumber,4122))</f>
        <v/>
      </c>
      <c r="G19134" s="51"/>
      <c r="H19134" s="46" t="str">
        <f>IF(AND(I.Developer.P3=TRUE,I.Facility.P3FacilityCount&gt;=4122,F19134=""),"Incomplete","Complete")</f>
        <v>Complete</v>
      </c>
      <c r="I19134" s="48" t="s">
        <v>23499</v>
      </c>
    </row>
    <row r="19135" spans="2:9" ht="15" customHeight="1" x14ac:dyDescent="0.25">
      <c r="B19135" s="55" t="s">
        <v>282</v>
      </c>
      <c r="C19135" s="46">
        <v>4123</v>
      </c>
      <c r="D19135" s="69" t="s">
        <v>29419</v>
      </c>
      <c r="E19135" s="51"/>
      <c r="F19135" s="114" t="str">
        <f>IF(INDEX(I.Facility.P3IDNumber,4123)="","",INDEX(I.Facility.P3IDNumber,4123))</f>
        <v/>
      </c>
      <c r="G19135" s="51"/>
      <c r="H19135" s="46" t="str">
        <f>IF(AND(I.Developer.P3=TRUE,I.Facility.P3FacilityCount&gt;=4123,F19135=""),"Incomplete","Complete")</f>
        <v>Complete</v>
      </c>
      <c r="I19135" s="48" t="s">
        <v>23500</v>
      </c>
    </row>
    <row r="19136" spans="2:9" ht="15" customHeight="1" x14ac:dyDescent="0.25">
      <c r="B19136" s="55" t="s">
        <v>282</v>
      </c>
      <c r="C19136" s="46">
        <v>4124</v>
      </c>
      <c r="D19136" s="69" t="s">
        <v>29419</v>
      </c>
      <c r="E19136" s="51"/>
      <c r="F19136" s="114" t="str">
        <f>IF(INDEX(I.Facility.P3IDNumber,4124)="","",INDEX(I.Facility.P3IDNumber,4124))</f>
        <v/>
      </c>
      <c r="G19136" s="51"/>
      <c r="H19136" s="46" t="str">
        <f>IF(AND(I.Developer.P3=TRUE,I.Facility.P3FacilityCount&gt;=4124,F19136=""),"Incomplete","Complete")</f>
        <v>Complete</v>
      </c>
      <c r="I19136" s="48" t="s">
        <v>23501</v>
      </c>
    </row>
    <row r="19137" spans="2:9" ht="15" customHeight="1" x14ac:dyDescent="0.25">
      <c r="B19137" s="55" t="s">
        <v>282</v>
      </c>
      <c r="C19137" s="46">
        <v>4125</v>
      </c>
      <c r="D19137" s="69" t="s">
        <v>29419</v>
      </c>
      <c r="E19137" s="51"/>
      <c r="F19137" s="114" t="str">
        <f>IF(INDEX(I.Facility.P3IDNumber,4125)="","",INDEX(I.Facility.P3IDNumber,4125))</f>
        <v/>
      </c>
      <c r="G19137" s="51"/>
      <c r="H19137" s="46" t="str">
        <f>IF(AND(I.Developer.P3=TRUE,I.Facility.P3FacilityCount&gt;=4125,F19137=""),"Incomplete","Complete")</f>
        <v>Complete</v>
      </c>
      <c r="I19137" s="48" t="s">
        <v>23502</v>
      </c>
    </row>
    <row r="19138" spans="2:9" ht="15" customHeight="1" x14ac:dyDescent="0.25">
      <c r="B19138" s="55" t="s">
        <v>282</v>
      </c>
      <c r="C19138" s="46">
        <v>4126</v>
      </c>
      <c r="D19138" s="69" t="s">
        <v>29419</v>
      </c>
      <c r="E19138" s="51"/>
      <c r="F19138" s="114" t="str">
        <f>IF(INDEX(I.Facility.P3IDNumber,4126)="","",INDEX(I.Facility.P3IDNumber,4126))</f>
        <v/>
      </c>
      <c r="G19138" s="51"/>
      <c r="H19138" s="46" t="str">
        <f>IF(AND(I.Developer.P3=TRUE,I.Facility.P3FacilityCount&gt;=4126,F19138=""),"Incomplete","Complete")</f>
        <v>Complete</v>
      </c>
      <c r="I19138" s="48" t="s">
        <v>23503</v>
      </c>
    </row>
    <row r="19139" spans="2:9" ht="15" customHeight="1" x14ac:dyDescent="0.25">
      <c r="B19139" s="55" t="s">
        <v>282</v>
      </c>
      <c r="C19139" s="46">
        <v>4127</v>
      </c>
      <c r="D19139" s="69" t="s">
        <v>29419</v>
      </c>
      <c r="E19139" s="51"/>
      <c r="F19139" s="114" t="str">
        <f>IF(INDEX(I.Facility.P3IDNumber,4127)="","",INDEX(I.Facility.P3IDNumber,4127))</f>
        <v/>
      </c>
      <c r="G19139" s="51"/>
      <c r="H19139" s="46" t="str">
        <f>IF(AND(I.Developer.P3=TRUE,I.Facility.P3FacilityCount&gt;=4127,F19139=""),"Incomplete","Complete")</f>
        <v>Complete</v>
      </c>
      <c r="I19139" s="48" t="s">
        <v>23504</v>
      </c>
    </row>
    <row r="19140" spans="2:9" ht="15" customHeight="1" x14ac:dyDescent="0.25">
      <c r="B19140" s="55" t="s">
        <v>282</v>
      </c>
      <c r="C19140" s="46">
        <v>4128</v>
      </c>
      <c r="D19140" s="69" t="s">
        <v>29419</v>
      </c>
      <c r="E19140" s="51"/>
      <c r="F19140" s="114" t="str">
        <f>IF(INDEX(I.Facility.P3IDNumber,4128)="","",INDEX(I.Facility.P3IDNumber,4128))</f>
        <v/>
      </c>
      <c r="G19140" s="51"/>
      <c r="H19140" s="46" t="str">
        <f>IF(AND(I.Developer.P3=TRUE,I.Facility.P3FacilityCount&gt;=4128,F19140=""),"Incomplete","Complete")</f>
        <v>Complete</v>
      </c>
      <c r="I19140" s="48" t="s">
        <v>23505</v>
      </c>
    </row>
    <row r="19141" spans="2:9" ht="15" customHeight="1" x14ac:dyDescent="0.25">
      <c r="B19141" s="55" t="s">
        <v>282</v>
      </c>
      <c r="C19141" s="46">
        <v>4129</v>
      </c>
      <c r="D19141" s="69" t="s">
        <v>29419</v>
      </c>
      <c r="E19141" s="51"/>
      <c r="F19141" s="114" t="str">
        <f>IF(INDEX(I.Facility.P3IDNumber,4129)="","",INDEX(I.Facility.P3IDNumber,4129))</f>
        <v/>
      </c>
      <c r="G19141" s="51"/>
      <c r="H19141" s="46" t="str">
        <f>IF(AND(I.Developer.P3=TRUE,I.Facility.P3FacilityCount&gt;=4129,F19141=""),"Incomplete","Complete")</f>
        <v>Complete</v>
      </c>
      <c r="I19141" s="48" t="s">
        <v>23506</v>
      </c>
    </row>
    <row r="19142" spans="2:9" ht="15" customHeight="1" x14ac:dyDescent="0.25">
      <c r="B19142" s="55" t="s">
        <v>282</v>
      </c>
      <c r="C19142" s="46">
        <v>4130</v>
      </c>
      <c r="D19142" s="69" t="s">
        <v>29419</v>
      </c>
      <c r="E19142" s="51"/>
      <c r="F19142" s="114" t="str">
        <f>IF(INDEX(I.Facility.P3IDNumber,4130)="","",INDEX(I.Facility.P3IDNumber,4130))</f>
        <v/>
      </c>
      <c r="G19142" s="51"/>
      <c r="H19142" s="46" t="str">
        <f>IF(AND(I.Developer.P3=TRUE,I.Facility.P3FacilityCount&gt;=4130,F19142=""),"Incomplete","Complete")</f>
        <v>Complete</v>
      </c>
      <c r="I19142" s="48" t="s">
        <v>23507</v>
      </c>
    </row>
    <row r="19143" spans="2:9" ht="15" customHeight="1" x14ac:dyDescent="0.25">
      <c r="B19143" s="55" t="s">
        <v>282</v>
      </c>
      <c r="C19143" s="46">
        <v>4131</v>
      </c>
      <c r="D19143" s="69" t="s">
        <v>29419</v>
      </c>
      <c r="E19143" s="51"/>
      <c r="F19143" s="114" t="str">
        <f>IF(INDEX(I.Facility.P3IDNumber,4131)="","",INDEX(I.Facility.P3IDNumber,4131))</f>
        <v/>
      </c>
      <c r="G19143" s="51"/>
      <c r="H19143" s="46" t="str">
        <f>IF(AND(I.Developer.P3=TRUE,I.Facility.P3FacilityCount&gt;=4131,F19143=""),"Incomplete","Complete")</f>
        <v>Complete</v>
      </c>
      <c r="I19143" s="48" t="s">
        <v>23508</v>
      </c>
    </row>
    <row r="19144" spans="2:9" ht="15" customHeight="1" x14ac:dyDescent="0.25">
      <c r="B19144" s="55" t="s">
        <v>282</v>
      </c>
      <c r="C19144" s="46">
        <v>4132</v>
      </c>
      <c r="D19144" s="69" t="s">
        <v>29419</v>
      </c>
      <c r="E19144" s="51"/>
      <c r="F19144" s="114" t="str">
        <f>IF(INDEX(I.Facility.P3IDNumber,4132)="","",INDEX(I.Facility.P3IDNumber,4132))</f>
        <v/>
      </c>
      <c r="G19144" s="51"/>
      <c r="H19144" s="46" t="str">
        <f>IF(AND(I.Developer.P3=TRUE,I.Facility.P3FacilityCount&gt;=4132,F19144=""),"Incomplete","Complete")</f>
        <v>Complete</v>
      </c>
      <c r="I19144" s="48" t="s">
        <v>23509</v>
      </c>
    </row>
    <row r="19145" spans="2:9" ht="15" customHeight="1" x14ac:dyDescent="0.25">
      <c r="B19145" s="55" t="s">
        <v>282</v>
      </c>
      <c r="C19145" s="46">
        <v>4133</v>
      </c>
      <c r="D19145" s="69" t="s">
        <v>29419</v>
      </c>
      <c r="E19145" s="51"/>
      <c r="F19145" s="114" t="str">
        <f>IF(INDEX(I.Facility.P3IDNumber,4133)="","",INDEX(I.Facility.P3IDNumber,4133))</f>
        <v/>
      </c>
      <c r="G19145" s="51"/>
      <c r="H19145" s="46" t="str">
        <f>IF(AND(I.Developer.P3=TRUE,I.Facility.P3FacilityCount&gt;=4133,F19145=""),"Incomplete","Complete")</f>
        <v>Complete</v>
      </c>
      <c r="I19145" s="48" t="s">
        <v>23510</v>
      </c>
    </row>
    <row r="19146" spans="2:9" ht="15" customHeight="1" x14ac:dyDescent="0.25">
      <c r="B19146" s="55" t="s">
        <v>282</v>
      </c>
      <c r="C19146" s="46">
        <v>4134</v>
      </c>
      <c r="D19146" s="69" t="s">
        <v>29419</v>
      </c>
      <c r="E19146" s="51"/>
      <c r="F19146" s="114" t="str">
        <f>IF(INDEX(I.Facility.P3IDNumber,4134)="","",INDEX(I.Facility.P3IDNumber,4134))</f>
        <v/>
      </c>
      <c r="G19146" s="51"/>
      <c r="H19146" s="46" t="str">
        <f>IF(AND(I.Developer.P3=TRUE,I.Facility.P3FacilityCount&gt;=4134,F19146=""),"Incomplete","Complete")</f>
        <v>Complete</v>
      </c>
      <c r="I19146" s="48" t="s">
        <v>23511</v>
      </c>
    </row>
    <row r="19147" spans="2:9" ht="15" customHeight="1" x14ac:dyDescent="0.25">
      <c r="B19147" s="55" t="s">
        <v>282</v>
      </c>
      <c r="C19147" s="46">
        <v>4135</v>
      </c>
      <c r="D19147" s="69" t="s">
        <v>29419</v>
      </c>
      <c r="E19147" s="51"/>
      <c r="F19147" s="114" t="str">
        <f>IF(INDEX(I.Facility.P3IDNumber,4135)="","",INDEX(I.Facility.P3IDNumber,4135))</f>
        <v/>
      </c>
      <c r="G19147" s="51"/>
      <c r="H19147" s="46" t="str">
        <f>IF(AND(I.Developer.P3=TRUE,I.Facility.P3FacilityCount&gt;=4135,F19147=""),"Incomplete","Complete")</f>
        <v>Complete</v>
      </c>
      <c r="I19147" s="48" t="s">
        <v>23512</v>
      </c>
    </row>
    <row r="19148" spans="2:9" ht="15" customHeight="1" x14ac:dyDescent="0.25">
      <c r="B19148" s="55" t="s">
        <v>282</v>
      </c>
      <c r="C19148" s="46">
        <v>4136</v>
      </c>
      <c r="D19148" s="69" t="s">
        <v>29419</v>
      </c>
      <c r="E19148" s="51"/>
      <c r="F19148" s="114" t="str">
        <f>IF(INDEX(I.Facility.P3IDNumber,4136)="","",INDEX(I.Facility.P3IDNumber,4136))</f>
        <v/>
      </c>
      <c r="G19148" s="51"/>
      <c r="H19148" s="46" t="str">
        <f>IF(AND(I.Developer.P3=TRUE,I.Facility.P3FacilityCount&gt;=4136,F19148=""),"Incomplete","Complete")</f>
        <v>Complete</v>
      </c>
      <c r="I19148" s="48" t="s">
        <v>23513</v>
      </c>
    </row>
    <row r="19149" spans="2:9" ht="15" customHeight="1" x14ac:dyDescent="0.25">
      <c r="B19149" s="55" t="s">
        <v>282</v>
      </c>
      <c r="C19149" s="46">
        <v>4137</v>
      </c>
      <c r="D19149" s="69" t="s">
        <v>29419</v>
      </c>
      <c r="E19149" s="51"/>
      <c r="F19149" s="114" t="str">
        <f>IF(INDEX(I.Facility.P3IDNumber,4137)="","",INDEX(I.Facility.P3IDNumber,4137))</f>
        <v/>
      </c>
      <c r="G19149" s="51"/>
      <c r="H19149" s="46" t="str">
        <f>IF(AND(I.Developer.P3=TRUE,I.Facility.P3FacilityCount&gt;=4137,F19149=""),"Incomplete","Complete")</f>
        <v>Complete</v>
      </c>
      <c r="I19149" s="48" t="s">
        <v>23514</v>
      </c>
    </row>
    <row r="19150" spans="2:9" ht="15" customHeight="1" x14ac:dyDescent="0.25">
      <c r="B19150" s="55" t="s">
        <v>282</v>
      </c>
      <c r="C19150" s="46">
        <v>4138</v>
      </c>
      <c r="D19150" s="69" t="s">
        <v>29419</v>
      </c>
      <c r="E19150" s="51"/>
      <c r="F19150" s="114" t="str">
        <f>IF(INDEX(I.Facility.P3IDNumber,4138)="","",INDEX(I.Facility.P3IDNumber,4138))</f>
        <v/>
      </c>
      <c r="G19150" s="51"/>
      <c r="H19150" s="46" t="str">
        <f>IF(AND(I.Developer.P3=TRUE,I.Facility.P3FacilityCount&gt;=4138,F19150=""),"Incomplete","Complete")</f>
        <v>Complete</v>
      </c>
      <c r="I19150" s="48" t="s">
        <v>23515</v>
      </c>
    </row>
    <row r="19151" spans="2:9" ht="15" customHeight="1" x14ac:dyDescent="0.25">
      <c r="B19151" s="55" t="s">
        <v>282</v>
      </c>
      <c r="C19151" s="46">
        <v>4139</v>
      </c>
      <c r="D19151" s="69" t="s">
        <v>29419</v>
      </c>
      <c r="E19151" s="51"/>
      <c r="F19151" s="114" t="str">
        <f>IF(INDEX(I.Facility.P3IDNumber,4139)="","",INDEX(I.Facility.P3IDNumber,4139))</f>
        <v/>
      </c>
      <c r="G19151" s="51"/>
      <c r="H19151" s="46" t="str">
        <f>IF(AND(I.Developer.P3=TRUE,I.Facility.P3FacilityCount&gt;=4139,F19151=""),"Incomplete","Complete")</f>
        <v>Complete</v>
      </c>
      <c r="I19151" s="48" t="s">
        <v>23516</v>
      </c>
    </row>
    <row r="19152" spans="2:9" ht="15" customHeight="1" x14ac:dyDescent="0.25">
      <c r="B19152" s="55" t="s">
        <v>282</v>
      </c>
      <c r="C19152" s="46">
        <v>4140</v>
      </c>
      <c r="D19152" s="69" t="s">
        <v>29419</v>
      </c>
      <c r="E19152" s="51"/>
      <c r="F19152" s="114" t="str">
        <f>IF(INDEX(I.Facility.P3IDNumber,4140)="","",INDEX(I.Facility.P3IDNumber,4140))</f>
        <v/>
      </c>
      <c r="G19152" s="51"/>
      <c r="H19152" s="46" t="str">
        <f>IF(AND(I.Developer.P3=TRUE,I.Facility.P3FacilityCount&gt;=4140,F19152=""),"Incomplete","Complete")</f>
        <v>Complete</v>
      </c>
      <c r="I19152" s="48" t="s">
        <v>23517</v>
      </c>
    </row>
    <row r="19153" spans="2:9" ht="15" customHeight="1" x14ac:dyDescent="0.25">
      <c r="B19153" s="55" t="s">
        <v>282</v>
      </c>
      <c r="C19153" s="46">
        <v>4141</v>
      </c>
      <c r="D19153" s="69" t="s">
        <v>29419</v>
      </c>
      <c r="E19153" s="51"/>
      <c r="F19153" s="114" t="str">
        <f>IF(INDEX(I.Facility.P3IDNumber,4141)="","",INDEX(I.Facility.P3IDNumber,4141))</f>
        <v/>
      </c>
      <c r="G19153" s="51"/>
      <c r="H19153" s="46" t="str">
        <f>IF(AND(I.Developer.P3=TRUE,I.Facility.P3FacilityCount&gt;=4141,F19153=""),"Incomplete","Complete")</f>
        <v>Complete</v>
      </c>
      <c r="I19153" s="48" t="s">
        <v>23518</v>
      </c>
    </row>
    <row r="19154" spans="2:9" ht="15" customHeight="1" x14ac:dyDescent="0.25">
      <c r="B19154" s="55" t="s">
        <v>282</v>
      </c>
      <c r="C19154" s="46">
        <v>4142</v>
      </c>
      <c r="D19154" s="69" t="s">
        <v>29419</v>
      </c>
      <c r="E19154" s="51"/>
      <c r="F19154" s="114" t="str">
        <f>IF(INDEX(I.Facility.P3IDNumber,4142)="","",INDEX(I.Facility.P3IDNumber,4142))</f>
        <v/>
      </c>
      <c r="G19154" s="51"/>
      <c r="H19154" s="46" t="str">
        <f>IF(AND(I.Developer.P3=TRUE,I.Facility.P3FacilityCount&gt;=4142,F19154=""),"Incomplete","Complete")</f>
        <v>Complete</v>
      </c>
      <c r="I19154" s="48" t="s">
        <v>23519</v>
      </c>
    </row>
    <row r="19155" spans="2:9" ht="15" customHeight="1" x14ac:dyDescent="0.25">
      <c r="B19155" s="55" t="s">
        <v>282</v>
      </c>
      <c r="C19155" s="46">
        <v>4143</v>
      </c>
      <c r="D19155" s="69" t="s">
        <v>29419</v>
      </c>
      <c r="E19155" s="51"/>
      <c r="F19155" s="114" t="str">
        <f>IF(INDEX(I.Facility.P3IDNumber,4143)="","",INDEX(I.Facility.P3IDNumber,4143))</f>
        <v/>
      </c>
      <c r="G19155" s="51"/>
      <c r="H19155" s="46" t="str">
        <f>IF(AND(I.Developer.P3=TRUE,I.Facility.P3FacilityCount&gt;=4143,F19155=""),"Incomplete","Complete")</f>
        <v>Complete</v>
      </c>
      <c r="I19155" s="48" t="s">
        <v>23520</v>
      </c>
    </row>
    <row r="19156" spans="2:9" ht="15" customHeight="1" x14ac:dyDescent="0.25">
      <c r="B19156" s="55" t="s">
        <v>282</v>
      </c>
      <c r="C19156" s="46">
        <v>4144</v>
      </c>
      <c r="D19156" s="69" t="s">
        <v>29419</v>
      </c>
      <c r="E19156" s="51"/>
      <c r="F19156" s="114" t="str">
        <f>IF(INDEX(I.Facility.P3IDNumber,4144)="","",INDEX(I.Facility.P3IDNumber,4144))</f>
        <v/>
      </c>
      <c r="G19156" s="51"/>
      <c r="H19156" s="46" t="str">
        <f>IF(AND(I.Developer.P3=TRUE,I.Facility.P3FacilityCount&gt;=4144,F19156=""),"Incomplete","Complete")</f>
        <v>Complete</v>
      </c>
      <c r="I19156" s="48" t="s">
        <v>23521</v>
      </c>
    </row>
    <row r="19157" spans="2:9" ht="15" customHeight="1" x14ac:dyDescent="0.25">
      <c r="B19157" s="55" t="s">
        <v>282</v>
      </c>
      <c r="C19157" s="46">
        <v>4145</v>
      </c>
      <c r="D19157" s="69" t="s">
        <v>29419</v>
      </c>
      <c r="E19157" s="51"/>
      <c r="F19157" s="114" t="str">
        <f>IF(INDEX(I.Facility.P3IDNumber,4145)="","",INDEX(I.Facility.P3IDNumber,4145))</f>
        <v/>
      </c>
      <c r="G19157" s="51"/>
      <c r="H19157" s="46" t="str">
        <f>IF(AND(I.Developer.P3=TRUE,I.Facility.P3FacilityCount&gt;=4145,F19157=""),"Incomplete","Complete")</f>
        <v>Complete</v>
      </c>
      <c r="I19157" s="48" t="s">
        <v>23522</v>
      </c>
    </row>
    <row r="19158" spans="2:9" ht="15" customHeight="1" x14ac:dyDescent="0.25">
      <c r="B19158" s="55" t="s">
        <v>282</v>
      </c>
      <c r="C19158" s="46">
        <v>4146</v>
      </c>
      <c r="D19158" s="69" t="s">
        <v>29419</v>
      </c>
      <c r="E19158" s="51"/>
      <c r="F19158" s="114" t="str">
        <f>IF(INDEX(I.Facility.P3IDNumber,4146)="","",INDEX(I.Facility.P3IDNumber,4146))</f>
        <v/>
      </c>
      <c r="G19158" s="51"/>
      <c r="H19158" s="46" t="str">
        <f>IF(AND(I.Developer.P3=TRUE,I.Facility.P3FacilityCount&gt;=4146,F19158=""),"Incomplete","Complete")</f>
        <v>Complete</v>
      </c>
      <c r="I19158" s="48" t="s">
        <v>23523</v>
      </c>
    </row>
    <row r="19159" spans="2:9" ht="15" customHeight="1" x14ac:dyDescent="0.25">
      <c r="B19159" s="55" t="s">
        <v>282</v>
      </c>
      <c r="C19159" s="46">
        <v>4147</v>
      </c>
      <c r="D19159" s="69" t="s">
        <v>29419</v>
      </c>
      <c r="E19159" s="51"/>
      <c r="F19159" s="114" t="str">
        <f>IF(INDEX(I.Facility.P3IDNumber,4147)="","",INDEX(I.Facility.P3IDNumber,4147))</f>
        <v/>
      </c>
      <c r="G19159" s="51"/>
      <c r="H19159" s="46" t="str">
        <f>IF(AND(I.Developer.P3=TRUE,I.Facility.P3FacilityCount&gt;=4147,F19159=""),"Incomplete","Complete")</f>
        <v>Complete</v>
      </c>
      <c r="I19159" s="48" t="s">
        <v>23524</v>
      </c>
    </row>
    <row r="19160" spans="2:9" ht="15" customHeight="1" x14ac:dyDescent="0.25">
      <c r="B19160" s="55" t="s">
        <v>282</v>
      </c>
      <c r="C19160" s="46">
        <v>4148</v>
      </c>
      <c r="D19160" s="69" t="s">
        <v>29419</v>
      </c>
      <c r="E19160" s="51"/>
      <c r="F19160" s="114" t="str">
        <f>IF(INDEX(I.Facility.P3IDNumber,4148)="","",INDEX(I.Facility.P3IDNumber,4148))</f>
        <v/>
      </c>
      <c r="G19160" s="51"/>
      <c r="H19160" s="46" t="str">
        <f>IF(AND(I.Developer.P3=TRUE,I.Facility.P3FacilityCount&gt;=4148,F19160=""),"Incomplete","Complete")</f>
        <v>Complete</v>
      </c>
      <c r="I19160" s="48" t="s">
        <v>23525</v>
      </c>
    </row>
    <row r="19161" spans="2:9" ht="15" customHeight="1" x14ac:dyDescent="0.25">
      <c r="B19161" s="55" t="s">
        <v>282</v>
      </c>
      <c r="C19161" s="46">
        <v>4149</v>
      </c>
      <c r="D19161" s="69" t="s">
        <v>29419</v>
      </c>
      <c r="E19161" s="51"/>
      <c r="F19161" s="114" t="str">
        <f>IF(INDEX(I.Facility.P3IDNumber,4149)="","",INDEX(I.Facility.P3IDNumber,4149))</f>
        <v/>
      </c>
      <c r="G19161" s="51"/>
      <c r="H19161" s="46" t="str">
        <f>IF(AND(I.Developer.P3=TRUE,I.Facility.P3FacilityCount&gt;=4149,F19161=""),"Incomplete","Complete")</f>
        <v>Complete</v>
      </c>
      <c r="I19161" s="48" t="s">
        <v>23526</v>
      </c>
    </row>
    <row r="19162" spans="2:9" ht="15" customHeight="1" x14ac:dyDescent="0.25">
      <c r="B19162" s="55" t="s">
        <v>282</v>
      </c>
      <c r="C19162" s="46">
        <v>4150</v>
      </c>
      <c r="D19162" s="69" t="s">
        <v>29419</v>
      </c>
      <c r="E19162" s="51"/>
      <c r="F19162" s="114" t="str">
        <f>IF(INDEX(I.Facility.P3IDNumber,4150)="","",INDEX(I.Facility.P3IDNumber,4150))</f>
        <v/>
      </c>
      <c r="G19162" s="51"/>
      <c r="H19162" s="46" t="str">
        <f>IF(AND(I.Developer.P3=TRUE,I.Facility.P3FacilityCount&gt;=4150,F19162=""),"Incomplete","Complete")</f>
        <v>Complete</v>
      </c>
      <c r="I19162" s="48" t="s">
        <v>23527</v>
      </c>
    </row>
    <row r="19163" spans="2:9" ht="15" customHeight="1" x14ac:dyDescent="0.25">
      <c r="B19163" s="55" t="s">
        <v>282</v>
      </c>
      <c r="C19163" s="46">
        <v>4151</v>
      </c>
      <c r="D19163" s="69" t="s">
        <v>29419</v>
      </c>
      <c r="E19163" s="51"/>
      <c r="F19163" s="114" t="str">
        <f>IF(INDEX(I.Facility.P3IDNumber,4151)="","",INDEX(I.Facility.P3IDNumber,4151))</f>
        <v/>
      </c>
      <c r="G19163" s="51"/>
      <c r="H19163" s="46" t="str">
        <f>IF(AND(I.Developer.P3=TRUE,I.Facility.P3FacilityCount&gt;=4151,F19163=""),"Incomplete","Complete")</f>
        <v>Complete</v>
      </c>
      <c r="I19163" s="48" t="s">
        <v>23528</v>
      </c>
    </row>
    <row r="19164" spans="2:9" ht="15" customHeight="1" x14ac:dyDescent="0.25">
      <c r="B19164" s="55" t="s">
        <v>282</v>
      </c>
      <c r="C19164" s="46">
        <v>4152</v>
      </c>
      <c r="D19164" s="69" t="s">
        <v>29419</v>
      </c>
      <c r="E19164" s="51"/>
      <c r="F19164" s="114" t="str">
        <f>IF(INDEX(I.Facility.P3IDNumber,4152)="","",INDEX(I.Facility.P3IDNumber,4152))</f>
        <v/>
      </c>
      <c r="G19164" s="51"/>
      <c r="H19164" s="46" t="str">
        <f>IF(AND(I.Developer.P3=TRUE,I.Facility.P3FacilityCount&gt;=4152,F19164=""),"Incomplete","Complete")</f>
        <v>Complete</v>
      </c>
      <c r="I19164" s="48" t="s">
        <v>23529</v>
      </c>
    </row>
    <row r="19165" spans="2:9" ht="15" customHeight="1" x14ac:dyDescent="0.25">
      <c r="B19165" s="55" t="s">
        <v>282</v>
      </c>
      <c r="C19165" s="46">
        <v>4153</v>
      </c>
      <c r="D19165" s="69" t="s">
        <v>29419</v>
      </c>
      <c r="E19165" s="51"/>
      <c r="F19165" s="114" t="str">
        <f>IF(INDEX(I.Facility.P3IDNumber,4153)="","",INDEX(I.Facility.P3IDNumber,4153))</f>
        <v/>
      </c>
      <c r="G19165" s="51"/>
      <c r="H19165" s="46" t="str">
        <f>IF(AND(I.Developer.P3=TRUE,I.Facility.P3FacilityCount&gt;=4153,F19165=""),"Incomplete","Complete")</f>
        <v>Complete</v>
      </c>
      <c r="I19165" s="48" t="s">
        <v>23530</v>
      </c>
    </row>
    <row r="19166" spans="2:9" ht="15" customHeight="1" x14ac:dyDescent="0.25">
      <c r="B19166" s="55" t="s">
        <v>282</v>
      </c>
      <c r="C19166" s="46">
        <v>4154</v>
      </c>
      <c r="D19166" s="69" t="s">
        <v>29419</v>
      </c>
      <c r="E19166" s="51"/>
      <c r="F19166" s="114" t="str">
        <f>IF(INDEX(I.Facility.P3IDNumber,4154)="","",INDEX(I.Facility.P3IDNumber,4154))</f>
        <v/>
      </c>
      <c r="G19166" s="51"/>
      <c r="H19166" s="46" t="str">
        <f>IF(AND(I.Developer.P3=TRUE,I.Facility.P3FacilityCount&gt;=4154,F19166=""),"Incomplete","Complete")</f>
        <v>Complete</v>
      </c>
      <c r="I19166" s="48" t="s">
        <v>23531</v>
      </c>
    </row>
    <row r="19167" spans="2:9" ht="15" customHeight="1" x14ac:dyDescent="0.25">
      <c r="B19167" s="55" t="s">
        <v>282</v>
      </c>
      <c r="C19167" s="46">
        <v>4155</v>
      </c>
      <c r="D19167" s="69" t="s">
        <v>29419</v>
      </c>
      <c r="E19167" s="51"/>
      <c r="F19167" s="114" t="str">
        <f>IF(INDEX(I.Facility.P3IDNumber,4155)="","",INDEX(I.Facility.P3IDNumber,4155))</f>
        <v/>
      </c>
      <c r="G19167" s="51"/>
      <c r="H19167" s="46" t="str">
        <f>IF(AND(I.Developer.P3=TRUE,I.Facility.P3FacilityCount&gt;=4155,F19167=""),"Incomplete","Complete")</f>
        <v>Complete</v>
      </c>
      <c r="I19167" s="48" t="s">
        <v>23532</v>
      </c>
    </row>
    <row r="19168" spans="2:9" ht="15" customHeight="1" x14ac:dyDescent="0.25">
      <c r="B19168" s="55" t="s">
        <v>282</v>
      </c>
      <c r="C19168" s="46">
        <v>4156</v>
      </c>
      <c r="D19168" s="69" t="s">
        <v>29419</v>
      </c>
      <c r="E19168" s="51"/>
      <c r="F19168" s="114" t="str">
        <f>IF(INDEX(I.Facility.P3IDNumber,4156)="","",INDEX(I.Facility.P3IDNumber,4156))</f>
        <v/>
      </c>
      <c r="G19168" s="51"/>
      <c r="H19168" s="46" t="str">
        <f>IF(AND(I.Developer.P3=TRUE,I.Facility.P3FacilityCount&gt;=4156,F19168=""),"Incomplete","Complete")</f>
        <v>Complete</v>
      </c>
      <c r="I19168" s="48" t="s">
        <v>23533</v>
      </c>
    </row>
    <row r="19169" spans="2:9" ht="15" customHeight="1" x14ac:dyDescent="0.25">
      <c r="B19169" s="55" t="s">
        <v>282</v>
      </c>
      <c r="C19169" s="46">
        <v>4157</v>
      </c>
      <c r="D19169" s="69" t="s">
        <v>29419</v>
      </c>
      <c r="E19169" s="51"/>
      <c r="F19169" s="114" t="str">
        <f>IF(INDEX(I.Facility.P3IDNumber,4157)="","",INDEX(I.Facility.P3IDNumber,4157))</f>
        <v/>
      </c>
      <c r="G19169" s="51"/>
      <c r="H19169" s="46" t="str">
        <f>IF(AND(I.Developer.P3=TRUE,I.Facility.P3FacilityCount&gt;=4157,F19169=""),"Incomplete","Complete")</f>
        <v>Complete</v>
      </c>
      <c r="I19169" s="48" t="s">
        <v>23534</v>
      </c>
    </row>
    <row r="19170" spans="2:9" ht="15" customHeight="1" x14ac:dyDescent="0.25">
      <c r="B19170" s="55" t="s">
        <v>282</v>
      </c>
      <c r="C19170" s="46">
        <v>4158</v>
      </c>
      <c r="D19170" s="69" t="s">
        <v>29419</v>
      </c>
      <c r="E19170" s="51"/>
      <c r="F19170" s="114" t="str">
        <f>IF(INDEX(I.Facility.P3IDNumber,4158)="","",INDEX(I.Facility.P3IDNumber,4158))</f>
        <v/>
      </c>
      <c r="G19170" s="51"/>
      <c r="H19170" s="46" t="str">
        <f>IF(AND(I.Developer.P3=TRUE,I.Facility.P3FacilityCount&gt;=4158,F19170=""),"Incomplete","Complete")</f>
        <v>Complete</v>
      </c>
      <c r="I19170" s="48" t="s">
        <v>23535</v>
      </c>
    </row>
    <row r="19171" spans="2:9" ht="15" customHeight="1" x14ac:dyDescent="0.25">
      <c r="B19171" s="55" t="s">
        <v>282</v>
      </c>
      <c r="C19171" s="46">
        <v>4159</v>
      </c>
      <c r="D19171" s="69" t="s">
        <v>29419</v>
      </c>
      <c r="E19171" s="51"/>
      <c r="F19171" s="114" t="str">
        <f>IF(INDEX(I.Facility.P3IDNumber,4159)="","",INDEX(I.Facility.P3IDNumber,4159))</f>
        <v/>
      </c>
      <c r="G19171" s="51"/>
      <c r="H19171" s="46" t="str">
        <f>IF(AND(I.Developer.P3=TRUE,I.Facility.P3FacilityCount&gt;=4159,F19171=""),"Incomplete","Complete")</f>
        <v>Complete</v>
      </c>
      <c r="I19171" s="48" t="s">
        <v>23536</v>
      </c>
    </row>
    <row r="19172" spans="2:9" ht="15" customHeight="1" x14ac:dyDescent="0.25">
      <c r="B19172" s="55" t="s">
        <v>282</v>
      </c>
      <c r="C19172" s="46">
        <v>4160</v>
      </c>
      <c r="D19172" s="69" t="s">
        <v>29419</v>
      </c>
      <c r="E19172" s="51"/>
      <c r="F19172" s="114" t="str">
        <f>IF(INDEX(I.Facility.P3IDNumber,4160)="","",INDEX(I.Facility.P3IDNumber,4160))</f>
        <v/>
      </c>
      <c r="G19172" s="51"/>
      <c r="H19172" s="46" t="str">
        <f>IF(AND(I.Developer.P3=TRUE,I.Facility.P3FacilityCount&gt;=4160,F19172=""),"Incomplete","Complete")</f>
        <v>Complete</v>
      </c>
      <c r="I19172" s="48" t="s">
        <v>23537</v>
      </c>
    </row>
    <row r="19173" spans="2:9" ht="15" customHeight="1" x14ac:dyDescent="0.25">
      <c r="B19173" s="55" t="s">
        <v>282</v>
      </c>
      <c r="C19173" s="46">
        <v>4161</v>
      </c>
      <c r="D19173" s="69" t="s">
        <v>29419</v>
      </c>
      <c r="E19173" s="51"/>
      <c r="F19173" s="114" t="str">
        <f>IF(INDEX(I.Facility.P3IDNumber,4161)="","",INDEX(I.Facility.P3IDNumber,4161))</f>
        <v/>
      </c>
      <c r="G19173" s="51"/>
      <c r="H19173" s="46" t="str">
        <f>IF(AND(I.Developer.P3=TRUE,I.Facility.P3FacilityCount&gt;=4161,F19173=""),"Incomplete","Complete")</f>
        <v>Complete</v>
      </c>
      <c r="I19173" s="48" t="s">
        <v>23538</v>
      </c>
    </row>
    <row r="19174" spans="2:9" ht="15" customHeight="1" x14ac:dyDescent="0.25">
      <c r="B19174" s="55" t="s">
        <v>282</v>
      </c>
      <c r="C19174" s="46">
        <v>4162</v>
      </c>
      <c r="D19174" s="69" t="s">
        <v>29419</v>
      </c>
      <c r="E19174" s="51"/>
      <c r="F19174" s="114" t="str">
        <f>IF(INDEX(I.Facility.P3IDNumber,4162)="","",INDEX(I.Facility.P3IDNumber,4162))</f>
        <v/>
      </c>
      <c r="G19174" s="51"/>
      <c r="H19174" s="46" t="str">
        <f>IF(AND(I.Developer.P3=TRUE,I.Facility.P3FacilityCount&gt;=4162,F19174=""),"Incomplete","Complete")</f>
        <v>Complete</v>
      </c>
      <c r="I19174" s="48" t="s">
        <v>23539</v>
      </c>
    </row>
    <row r="19175" spans="2:9" ht="15" customHeight="1" x14ac:dyDescent="0.25">
      <c r="B19175" s="55" t="s">
        <v>282</v>
      </c>
      <c r="C19175" s="46">
        <v>4163</v>
      </c>
      <c r="D19175" s="69" t="s">
        <v>29419</v>
      </c>
      <c r="E19175" s="51"/>
      <c r="F19175" s="114" t="str">
        <f>IF(INDEX(I.Facility.P3IDNumber,4163)="","",INDEX(I.Facility.P3IDNumber,4163))</f>
        <v/>
      </c>
      <c r="G19175" s="51"/>
      <c r="H19175" s="46" t="str">
        <f>IF(AND(I.Developer.P3=TRUE,I.Facility.P3FacilityCount&gt;=4163,F19175=""),"Incomplete","Complete")</f>
        <v>Complete</v>
      </c>
      <c r="I19175" s="48" t="s">
        <v>23540</v>
      </c>
    </row>
    <row r="19176" spans="2:9" ht="15" customHeight="1" x14ac:dyDescent="0.25">
      <c r="B19176" s="55" t="s">
        <v>282</v>
      </c>
      <c r="C19176" s="46">
        <v>4164</v>
      </c>
      <c r="D19176" s="69" t="s">
        <v>29419</v>
      </c>
      <c r="E19176" s="51"/>
      <c r="F19176" s="114" t="str">
        <f>IF(INDEX(I.Facility.P3IDNumber,4164)="","",INDEX(I.Facility.P3IDNumber,4164))</f>
        <v/>
      </c>
      <c r="G19176" s="51"/>
      <c r="H19176" s="46" t="str">
        <f>IF(AND(I.Developer.P3=TRUE,I.Facility.P3FacilityCount&gt;=4164,F19176=""),"Incomplete","Complete")</f>
        <v>Complete</v>
      </c>
      <c r="I19176" s="48" t="s">
        <v>23541</v>
      </c>
    </row>
    <row r="19177" spans="2:9" ht="15" customHeight="1" x14ac:dyDescent="0.25">
      <c r="B19177" s="55" t="s">
        <v>282</v>
      </c>
      <c r="C19177" s="46">
        <v>4165</v>
      </c>
      <c r="D19177" s="69" t="s">
        <v>29419</v>
      </c>
      <c r="E19177" s="51"/>
      <c r="F19177" s="114" t="str">
        <f>IF(INDEX(I.Facility.P3IDNumber,4165)="","",INDEX(I.Facility.P3IDNumber,4165))</f>
        <v/>
      </c>
      <c r="G19177" s="51"/>
      <c r="H19177" s="46" t="str">
        <f>IF(AND(I.Developer.P3=TRUE,I.Facility.P3FacilityCount&gt;=4165,F19177=""),"Incomplete","Complete")</f>
        <v>Complete</v>
      </c>
      <c r="I19177" s="48" t="s">
        <v>23542</v>
      </c>
    </row>
    <row r="19178" spans="2:9" ht="15" customHeight="1" x14ac:dyDescent="0.25">
      <c r="B19178" s="55" t="s">
        <v>282</v>
      </c>
      <c r="C19178" s="46">
        <v>4166</v>
      </c>
      <c r="D19178" s="69" t="s">
        <v>29419</v>
      </c>
      <c r="E19178" s="51"/>
      <c r="F19178" s="114" t="str">
        <f>IF(INDEX(I.Facility.P3IDNumber,4166)="","",INDEX(I.Facility.P3IDNumber,4166))</f>
        <v/>
      </c>
      <c r="G19178" s="51"/>
      <c r="H19178" s="46" t="str">
        <f>IF(AND(I.Developer.P3=TRUE,I.Facility.P3FacilityCount&gt;=4166,F19178=""),"Incomplete","Complete")</f>
        <v>Complete</v>
      </c>
      <c r="I19178" s="48" t="s">
        <v>23543</v>
      </c>
    </row>
    <row r="19179" spans="2:9" ht="15" customHeight="1" x14ac:dyDescent="0.25">
      <c r="B19179" s="55" t="s">
        <v>282</v>
      </c>
      <c r="C19179" s="46">
        <v>4167</v>
      </c>
      <c r="D19179" s="69" t="s">
        <v>29419</v>
      </c>
      <c r="E19179" s="51"/>
      <c r="F19179" s="114" t="str">
        <f>IF(INDEX(I.Facility.P3IDNumber,4167)="","",INDEX(I.Facility.P3IDNumber,4167))</f>
        <v/>
      </c>
      <c r="G19179" s="51"/>
      <c r="H19179" s="46" t="str">
        <f>IF(AND(I.Developer.P3=TRUE,I.Facility.P3FacilityCount&gt;=4167,F19179=""),"Incomplete","Complete")</f>
        <v>Complete</v>
      </c>
      <c r="I19179" s="48" t="s">
        <v>23544</v>
      </c>
    </row>
    <row r="19180" spans="2:9" ht="15" customHeight="1" x14ac:dyDescent="0.25">
      <c r="B19180" s="55" t="s">
        <v>282</v>
      </c>
      <c r="C19180" s="46">
        <v>4168</v>
      </c>
      <c r="D19180" s="69" t="s">
        <v>29419</v>
      </c>
      <c r="E19180" s="51"/>
      <c r="F19180" s="114" t="str">
        <f>IF(INDEX(I.Facility.P3IDNumber,4168)="","",INDEX(I.Facility.P3IDNumber,4168))</f>
        <v/>
      </c>
      <c r="G19180" s="51"/>
      <c r="H19180" s="46" t="str">
        <f>IF(AND(I.Developer.P3=TRUE,I.Facility.P3FacilityCount&gt;=4168,F19180=""),"Incomplete","Complete")</f>
        <v>Complete</v>
      </c>
      <c r="I19180" s="48" t="s">
        <v>23545</v>
      </c>
    </row>
    <row r="19181" spans="2:9" ht="15" customHeight="1" x14ac:dyDescent="0.25">
      <c r="B19181" s="55" t="s">
        <v>282</v>
      </c>
      <c r="C19181" s="46">
        <v>4169</v>
      </c>
      <c r="D19181" s="69" t="s">
        <v>29419</v>
      </c>
      <c r="E19181" s="51"/>
      <c r="F19181" s="114" t="str">
        <f>IF(INDEX(I.Facility.P3IDNumber,4169)="","",INDEX(I.Facility.P3IDNumber,4169))</f>
        <v/>
      </c>
      <c r="G19181" s="51"/>
      <c r="H19181" s="46" t="str">
        <f>IF(AND(I.Developer.P3=TRUE,I.Facility.P3FacilityCount&gt;=4169,F19181=""),"Incomplete","Complete")</f>
        <v>Complete</v>
      </c>
      <c r="I19181" s="48" t="s">
        <v>23546</v>
      </c>
    </row>
    <row r="19182" spans="2:9" ht="15" customHeight="1" x14ac:dyDescent="0.25">
      <c r="B19182" s="55" t="s">
        <v>282</v>
      </c>
      <c r="C19182" s="46">
        <v>4170</v>
      </c>
      <c r="D19182" s="69" t="s">
        <v>29419</v>
      </c>
      <c r="E19182" s="51"/>
      <c r="F19182" s="114" t="str">
        <f>IF(INDEX(I.Facility.P3IDNumber,4170)="","",INDEX(I.Facility.P3IDNumber,4170))</f>
        <v/>
      </c>
      <c r="G19182" s="51"/>
      <c r="H19182" s="46" t="str">
        <f>IF(AND(I.Developer.P3=TRUE,I.Facility.P3FacilityCount&gt;=4170,F19182=""),"Incomplete","Complete")</f>
        <v>Complete</v>
      </c>
      <c r="I19182" s="48" t="s">
        <v>23547</v>
      </c>
    </row>
    <row r="19183" spans="2:9" ht="15" customHeight="1" x14ac:dyDescent="0.25">
      <c r="B19183" s="55" t="s">
        <v>282</v>
      </c>
      <c r="C19183" s="46">
        <v>4171</v>
      </c>
      <c r="D19183" s="69" t="s">
        <v>29419</v>
      </c>
      <c r="E19183" s="51"/>
      <c r="F19183" s="114" t="str">
        <f>IF(INDEX(I.Facility.P3IDNumber,4171)="","",INDEX(I.Facility.P3IDNumber,4171))</f>
        <v/>
      </c>
      <c r="G19183" s="51"/>
      <c r="H19183" s="46" t="str">
        <f>IF(AND(I.Developer.P3=TRUE,I.Facility.P3FacilityCount&gt;=4171,F19183=""),"Incomplete","Complete")</f>
        <v>Complete</v>
      </c>
      <c r="I19183" s="48" t="s">
        <v>23548</v>
      </c>
    </row>
    <row r="19184" spans="2:9" ht="15" customHeight="1" x14ac:dyDescent="0.25">
      <c r="B19184" s="55" t="s">
        <v>282</v>
      </c>
      <c r="C19184" s="46">
        <v>4172</v>
      </c>
      <c r="D19184" s="69" t="s">
        <v>29419</v>
      </c>
      <c r="E19184" s="51"/>
      <c r="F19184" s="114" t="str">
        <f>IF(INDEX(I.Facility.P3IDNumber,4172)="","",INDEX(I.Facility.P3IDNumber,4172))</f>
        <v/>
      </c>
      <c r="G19184" s="51"/>
      <c r="H19184" s="46" t="str">
        <f>IF(AND(I.Developer.P3=TRUE,I.Facility.P3FacilityCount&gt;=4172,F19184=""),"Incomplete","Complete")</f>
        <v>Complete</v>
      </c>
      <c r="I19184" s="48" t="s">
        <v>23549</v>
      </c>
    </row>
    <row r="19185" spans="2:9" ht="15" customHeight="1" x14ac:dyDescent="0.25">
      <c r="B19185" s="55" t="s">
        <v>282</v>
      </c>
      <c r="C19185" s="46">
        <v>4173</v>
      </c>
      <c r="D19185" s="69" t="s">
        <v>29419</v>
      </c>
      <c r="E19185" s="51"/>
      <c r="F19185" s="114" t="str">
        <f>IF(INDEX(I.Facility.P3IDNumber,4173)="","",INDEX(I.Facility.P3IDNumber,4173))</f>
        <v/>
      </c>
      <c r="G19185" s="51"/>
      <c r="H19185" s="46" t="str">
        <f>IF(AND(I.Developer.P3=TRUE,I.Facility.P3FacilityCount&gt;=4173,F19185=""),"Incomplete","Complete")</f>
        <v>Complete</v>
      </c>
      <c r="I19185" s="48" t="s">
        <v>23550</v>
      </c>
    </row>
    <row r="19186" spans="2:9" ht="15" customHeight="1" x14ac:dyDescent="0.25">
      <c r="B19186" s="55" t="s">
        <v>282</v>
      </c>
      <c r="C19186" s="46">
        <v>4174</v>
      </c>
      <c r="D19186" s="69" t="s">
        <v>29419</v>
      </c>
      <c r="E19186" s="51"/>
      <c r="F19186" s="114" t="str">
        <f>IF(INDEX(I.Facility.P3IDNumber,4174)="","",INDEX(I.Facility.P3IDNumber,4174))</f>
        <v/>
      </c>
      <c r="G19186" s="51"/>
      <c r="H19186" s="46" t="str">
        <f>IF(AND(I.Developer.P3=TRUE,I.Facility.P3FacilityCount&gt;=4174,F19186=""),"Incomplete","Complete")</f>
        <v>Complete</v>
      </c>
      <c r="I19186" s="48" t="s">
        <v>23551</v>
      </c>
    </row>
    <row r="19187" spans="2:9" ht="15" customHeight="1" x14ac:dyDescent="0.25">
      <c r="B19187" s="55" t="s">
        <v>282</v>
      </c>
      <c r="C19187" s="46">
        <v>4175</v>
      </c>
      <c r="D19187" s="69" t="s">
        <v>29419</v>
      </c>
      <c r="E19187" s="51"/>
      <c r="F19187" s="114" t="str">
        <f>IF(INDEX(I.Facility.P3IDNumber,4175)="","",INDEX(I.Facility.P3IDNumber,4175))</f>
        <v/>
      </c>
      <c r="G19187" s="51"/>
      <c r="H19187" s="46" t="str">
        <f>IF(AND(I.Developer.P3=TRUE,I.Facility.P3FacilityCount&gt;=4175,F19187=""),"Incomplete","Complete")</f>
        <v>Complete</v>
      </c>
      <c r="I19187" s="48" t="s">
        <v>23552</v>
      </c>
    </row>
    <row r="19188" spans="2:9" ht="15" customHeight="1" x14ac:dyDescent="0.25">
      <c r="B19188" s="55" t="s">
        <v>282</v>
      </c>
      <c r="C19188" s="46">
        <v>4176</v>
      </c>
      <c r="D19188" s="69" t="s">
        <v>29419</v>
      </c>
      <c r="E19188" s="51"/>
      <c r="F19188" s="114" t="str">
        <f>IF(INDEX(I.Facility.P3IDNumber,4176)="","",INDEX(I.Facility.P3IDNumber,4176))</f>
        <v/>
      </c>
      <c r="G19188" s="51"/>
      <c r="H19188" s="46" t="str">
        <f>IF(AND(I.Developer.P3=TRUE,I.Facility.P3FacilityCount&gt;=4176,F19188=""),"Incomplete","Complete")</f>
        <v>Complete</v>
      </c>
      <c r="I19188" s="48" t="s">
        <v>23553</v>
      </c>
    </row>
    <row r="19189" spans="2:9" ht="15" customHeight="1" x14ac:dyDescent="0.25">
      <c r="B19189" s="55" t="s">
        <v>282</v>
      </c>
      <c r="C19189" s="46">
        <v>4177</v>
      </c>
      <c r="D19189" s="69" t="s">
        <v>29419</v>
      </c>
      <c r="E19189" s="51"/>
      <c r="F19189" s="114" t="str">
        <f>IF(INDEX(I.Facility.P3IDNumber,4177)="","",INDEX(I.Facility.P3IDNumber,4177))</f>
        <v/>
      </c>
      <c r="G19189" s="51"/>
      <c r="H19189" s="46" t="str">
        <f>IF(AND(I.Developer.P3=TRUE,I.Facility.P3FacilityCount&gt;=4177,F19189=""),"Incomplete","Complete")</f>
        <v>Complete</v>
      </c>
      <c r="I19189" s="48" t="s">
        <v>23554</v>
      </c>
    </row>
    <row r="19190" spans="2:9" ht="15" customHeight="1" x14ac:dyDescent="0.25">
      <c r="B19190" s="55" t="s">
        <v>282</v>
      </c>
      <c r="C19190" s="46">
        <v>4178</v>
      </c>
      <c r="D19190" s="69" t="s">
        <v>29419</v>
      </c>
      <c r="E19190" s="51"/>
      <c r="F19190" s="114" t="str">
        <f>IF(INDEX(I.Facility.P3IDNumber,4178)="","",INDEX(I.Facility.P3IDNumber,4178))</f>
        <v/>
      </c>
      <c r="G19190" s="51"/>
      <c r="H19190" s="46" t="str">
        <f>IF(AND(I.Developer.P3=TRUE,I.Facility.P3FacilityCount&gt;=4178,F19190=""),"Incomplete","Complete")</f>
        <v>Complete</v>
      </c>
      <c r="I19190" s="48" t="s">
        <v>23555</v>
      </c>
    </row>
    <row r="19191" spans="2:9" ht="15" customHeight="1" x14ac:dyDescent="0.25">
      <c r="B19191" s="55" t="s">
        <v>282</v>
      </c>
      <c r="C19191" s="46">
        <v>4179</v>
      </c>
      <c r="D19191" s="69" t="s">
        <v>29419</v>
      </c>
      <c r="E19191" s="51"/>
      <c r="F19191" s="114" t="str">
        <f>IF(INDEX(I.Facility.P3IDNumber,4179)="","",INDEX(I.Facility.P3IDNumber,4179))</f>
        <v/>
      </c>
      <c r="G19191" s="51"/>
      <c r="H19191" s="46" t="str">
        <f>IF(AND(I.Developer.P3=TRUE,I.Facility.P3FacilityCount&gt;=4179,F19191=""),"Incomplete","Complete")</f>
        <v>Complete</v>
      </c>
      <c r="I19191" s="48" t="s">
        <v>23556</v>
      </c>
    </row>
    <row r="19192" spans="2:9" ht="15" customHeight="1" x14ac:dyDescent="0.25">
      <c r="B19192" s="55" t="s">
        <v>282</v>
      </c>
      <c r="C19192" s="46">
        <v>4180</v>
      </c>
      <c r="D19192" s="69" t="s">
        <v>29419</v>
      </c>
      <c r="E19192" s="51"/>
      <c r="F19192" s="114" t="str">
        <f>IF(INDEX(I.Facility.P3IDNumber,4180)="","",INDEX(I.Facility.P3IDNumber,4180))</f>
        <v/>
      </c>
      <c r="G19192" s="51"/>
      <c r="H19192" s="46" t="str">
        <f>IF(AND(I.Developer.P3=TRUE,I.Facility.P3FacilityCount&gt;=4180,F19192=""),"Incomplete","Complete")</f>
        <v>Complete</v>
      </c>
      <c r="I19192" s="48" t="s">
        <v>23557</v>
      </c>
    </row>
    <row r="19193" spans="2:9" ht="15" customHeight="1" x14ac:dyDescent="0.25">
      <c r="B19193" s="55" t="s">
        <v>282</v>
      </c>
      <c r="C19193" s="46">
        <v>4181</v>
      </c>
      <c r="D19193" s="69" t="s">
        <v>29419</v>
      </c>
      <c r="E19193" s="51"/>
      <c r="F19193" s="114" t="str">
        <f>IF(INDEX(I.Facility.P3IDNumber,4181)="","",INDEX(I.Facility.P3IDNumber,4181))</f>
        <v/>
      </c>
      <c r="G19193" s="51"/>
      <c r="H19193" s="46" t="str">
        <f>IF(AND(I.Developer.P3=TRUE,I.Facility.P3FacilityCount&gt;=4181,F19193=""),"Incomplete","Complete")</f>
        <v>Complete</v>
      </c>
      <c r="I19193" s="48" t="s">
        <v>23558</v>
      </c>
    </row>
    <row r="19194" spans="2:9" ht="15" customHeight="1" x14ac:dyDescent="0.25">
      <c r="B19194" s="55" t="s">
        <v>282</v>
      </c>
      <c r="C19194" s="46">
        <v>4182</v>
      </c>
      <c r="D19194" s="69" t="s">
        <v>29419</v>
      </c>
      <c r="E19194" s="51"/>
      <c r="F19194" s="114" t="str">
        <f>IF(INDEX(I.Facility.P3IDNumber,4182)="","",INDEX(I.Facility.P3IDNumber,4182))</f>
        <v/>
      </c>
      <c r="G19194" s="51"/>
      <c r="H19194" s="46" t="str">
        <f>IF(AND(I.Developer.P3=TRUE,I.Facility.P3FacilityCount&gt;=4182,F19194=""),"Incomplete","Complete")</f>
        <v>Complete</v>
      </c>
      <c r="I19194" s="48" t="s">
        <v>23559</v>
      </c>
    </row>
    <row r="19195" spans="2:9" ht="15" customHeight="1" x14ac:dyDescent="0.25">
      <c r="B19195" s="55" t="s">
        <v>282</v>
      </c>
      <c r="C19195" s="46">
        <v>4183</v>
      </c>
      <c r="D19195" s="69" t="s">
        <v>29419</v>
      </c>
      <c r="E19195" s="51"/>
      <c r="F19195" s="114" t="str">
        <f>IF(INDEX(I.Facility.P3IDNumber,4183)="","",INDEX(I.Facility.P3IDNumber,4183))</f>
        <v/>
      </c>
      <c r="G19195" s="51"/>
      <c r="H19195" s="46" t="str">
        <f>IF(AND(I.Developer.P3=TRUE,I.Facility.P3FacilityCount&gt;=4183,F19195=""),"Incomplete","Complete")</f>
        <v>Complete</v>
      </c>
      <c r="I19195" s="48" t="s">
        <v>23560</v>
      </c>
    </row>
    <row r="19196" spans="2:9" ht="15" customHeight="1" x14ac:dyDescent="0.25">
      <c r="B19196" s="55" t="s">
        <v>282</v>
      </c>
      <c r="C19196" s="46">
        <v>4184</v>
      </c>
      <c r="D19196" s="69" t="s">
        <v>29419</v>
      </c>
      <c r="E19196" s="51"/>
      <c r="F19196" s="114" t="str">
        <f>IF(INDEX(I.Facility.P3IDNumber,4184)="","",INDEX(I.Facility.P3IDNumber,4184))</f>
        <v/>
      </c>
      <c r="G19196" s="51"/>
      <c r="H19196" s="46" t="str">
        <f>IF(AND(I.Developer.P3=TRUE,I.Facility.P3FacilityCount&gt;=4184,F19196=""),"Incomplete","Complete")</f>
        <v>Complete</v>
      </c>
      <c r="I19196" s="48" t="s">
        <v>23561</v>
      </c>
    </row>
    <row r="19197" spans="2:9" ht="15" customHeight="1" x14ac:dyDescent="0.25">
      <c r="B19197" s="55" t="s">
        <v>282</v>
      </c>
      <c r="C19197" s="46">
        <v>4185</v>
      </c>
      <c r="D19197" s="69" t="s">
        <v>29419</v>
      </c>
      <c r="E19197" s="51"/>
      <c r="F19197" s="114" t="str">
        <f>IF(INDEX(I.Facility.P3IDNumber,4185)="","",INDEX(I.Facility.P3IDNumber,4185))</f>
        <v/>
      </c>
      <c r="G19197" s="51"/>
      <c r="H19197" s="46" t="str">
        <f>IF(AND(I.Developer.P3=TRUE,I.Facility.P3FacilityCount&gt;=4185,F19197=""),"Incomplete","Complete")</f>
        <v>Complete</v>
      </c>
      <c r="I19197" s="48" t="s">
        <v>23562</v>
      </c>
    </row>
    <row r="19198" spans="2:9" ht="15" customHeight="1" x14ac:dyDescent="0.25">
      <c r="B19198" s="55" t="s">
        <v>282</v>
      </c>
      <c r="C19198" s="46">
        <v>4186</v>
      </c>
      <c r="D19198" s="69" t="s">
        <v>29419</v>
      </c>
      <c r="E19198" s="51"/>
      <c r="F19198" s="114" t="str">
        <f>IF(INDEX(I.Facility.P3IDNumber,4186)="","",INDEX(I.Facility.P3IDNumber,4186))</f>
        <v/>
      </c>
      <c r="G19198" s="51"/>
      <c r="H19198" s="46" t="str">
        <f>IF(AND(I.Developer.P3=TRUE,I.Facility.P3FacilityCount&gt;=4186,F19198=""),"Incomplete","Complete")</f>
        <v>Complete</v>
      </c>
      <c r="I19198" s="48" t="s">
        <v>23563</v>
      </c>
    </row>
    <row r="19199" spans="2:9" ht="15" customHeight="1" x14ac:dyDescent="0.25">
      <c r="B19199" s="55" t="s">
        <v>282</v>
      </c>
      <c r="C19199" s="46">
        <v>4187</v>
      </c>
      <c r="D19199" s="69" t="s">
        <v>29419</v>
      </c>
      <c r="E19199" s="51"/>
      <c r="F19199" s="114" t="str">
        <f>IF(INDEX(I.Facility.P3IDNumber,4187)="","",INDEX(I.Facility.P3IDNumber,4187))</f>
        <v/>
      </c>
      <c r="G19199" s="51"/>
      <c r="H19199" s="46" t="str">
        <f>IF(AND(I.Developer.P3=TRUE,I.Facility.P3FacilityCount&gt;=4187,F19199=""),"Incomplete","Complete")</f>
        <v>Complete</v>
      </c>
      <c r="I19199" s="48" t="s">
        <v>23564</v>
      </c>
    </row>
    <row r="19200" spans="2:9" ht="15" customHeight="1" x14ac:dyDescent="0.25">
      <c r="B19200" s="55" t="s">
        <v>282</v>
      </c>
      <c r="C19200" s="46">
        <v>4188</v>
      </c>
      <c r="D19200" s="69" t="s">
        <v>29419</v>
      </c>
      <c r="E19200" s="51"/>
      <c r="F19200" s="114" t="str">
        <f>IF(INDEX(I.Facility.P3IDNumber,4188)="","",INDEX(I.Facility.P3IDNumber,4188))</f>
        <v/>
      </c>
      <c r="G19200" s="51"/>
      <c r="H19200" s="46" t="str">
        <f>IF(AND(I.Developer.P3=TRUE,I.Facility.P3FacilityCount&gt;=4188,F19200=""),"Incomplete","Complete")</f>
        <v>Complete</v>
      </c>
      <c r="I19200" s="48" t="s">
        <v>23565</v>
      </c>
    </row>
    <row r="19201" spans="2:9" ht="15" customHeight="1" x14ac:dyDescent="0.25">
      <c r="B19201" s="55" t="s">
        <v>282</v>
      </c>
      <c r="C19201" s="46">
        <v>4189</v>
      </c>
      <c r="D19201" s="69" t="s">
        <v>29419</v>
      </c>
      <c r="E19201" s="51"/>
      <c r="F19201" s="114" t="str">
        <f>IF(INDEX(I.Facility.P3IDNumber,4189)="","",INDEX(I.Facility.P3IDNumber,4189))</f>
        <v/>
      </c>
      <c r="G19201" s="51"/>
      <c r="H19201" s="46" t="str">
        <f>IF(AND(I.Developer.P3=TRUE,I.Facility.P3FacilityCount&gt;=4189,F19201=""),"Incomplete","Complete")</f>
        <v>Complete</v>
      </c>
      <c r="I19201" s="48" t="s">
        <v>23566</v>
      </c>
    </row>
    <row r="19202" spans="2:9" ht="15" customHeight="1" x14ac:dyDescent="0.25">
      <c r="B19202" s="55" t="s">
        <v>282</v>
      </c>
      <c r="C19202" s="46">
        <v>4190</v>
      </c>
      <c r="D19202" s="69" t="s">
        <v>29419</v>
      </c>
      <c r="E19202" s="51"/>
      <c r="F19202" s="114" t="str">
        <f>IF(INDEX(I.Facility.P3IDNumber,4190)="","",INDEX(I.Facility.P3IDNumber,4190))</f>
        <v/>
      </c>
      <c r="G19202" s="51"/>
      <c r="H19202" s="46" t="str">
        <f>IF(AND(I.Developer.P3=TRUE,I.Facility.P3FacilityCount&gt;=4190,F19202=""),"Incomplete","Complete")</f>
        <v>Complete</v>
      </c>
      <c r="I19202" s="48" t="s">
        <v>23567</v>
      </c>
    </row>
    <row r="19203" spans="2:9" ht="15" customHeight="1" x14ac:dyDescent="0.25">
      <c r="B19203" s="55" t="s">
        <v>282</v>
      </c>
      <c r="C19203" s="46">
        <v>4191</v>
      </c>
      <c r="D19203" s="69" t="s">
        <v>29419</v>
      </c>
      <c r="E19203" s="51"/>
      <c r="F19203" s="114" t="str">
        <f>IF(INDEX(I.Facility.P3IDNumber,4191)="","",INDEX(I.Facility.P3IDNumber,4191))</f>
        <v/>
      </c>
      <c r="G19203" s="51"/>
      <c r="H19203" s="46" t="str">
        <f>IF(AND(I.Developer.P3=TRUE,I.Facility.P3FacilityCount&gt;=4191,F19203=""),"Incomplete","Complete")</f>
        <v>Complete</v>
      </c>
      <c r="I19203" s="48" t="s">
        <v>23568</v>
      </c>
    </row>
    <row r="19204" spans="2:9" ht="15" customHeight="1" x14ac:dyDescent="0.25">
      <c r="B19204" s="55" t="s">
        <v>282</v>
      </c>
      <c r="C19204" s="46">
        <v>4192</v>
      </c>
      <c r="D19204" s="69" t="s">
        <v>29419</v>
      </c>
      <c r="E19204" s="51"/>
      <c r="F19204" s="114" t="str">
        <f>IF(INDEX(I.Facility.P3IDNumber,4192)="","",INDEX(I.Facility.P3IDNumber,4192))</f>
        <v/>
      </c>
      <c r="G19204" s="51"/>
      <c r="H19204" s="46" t="str">
        <f>IF(AND(I.Developer.P3=TRUE,I.Facility.P3FacilityCount&gt;=4192,F19204=""),"Incomplete","Complete")</f>
        <v>Complete</v>
      </c>
      <c r="I19204" s="48" t="s">
        <v>23569</v>
      </c>
    </row>
    <row r="19205" spans="2:9" ht="15" customHeight="1" x14ac:dyDescent="0.25">
      <c r="B19205" s="55" t="s">
        <v>282</v>
      </c>
      <c r="C19205" s="46">
        <v>4193</v>
      </c>
      <c r="D19205" s="69" t="s">
        <v>29419</v>
      </c>
      <c r="E19205" s="51"/>
      <c r="F19205" s="114" t="str">
        <f>IF(INDEX(I.Facility.P3IDNumber,4193)="","",INDEX(I.Facility.P3IDNumber,4193))</f>
        <v/>
      </c>
      <c r="G19205" s="51"/>
      <c r="H19205" s="46" t="str">
        <f>IF(AND(I.Developer.P3=TRUE,I.Facility.P3FacilityCount&gt;=4193,F19205=""),"Incomplete","Complete")</f>
        <v>Complete</v>
      </c>
      <c r="I19205" s="48" t="s">
        <v>23570</v>
      </c>
    </row>
    <row r="19206" spans="2:9" ht="15" customHeight="1" x14ac:dyDescent="0.25">
      <c r="B19206" s="55" t="s">
        <v>282</v>
      </c>
      <c r="C19206" s="46">
        <v>4194</v>
      </c>
      <c r="D19206" s="69" t="s">
        <v>29419</v>
      </c>
      <c r="E19206" s="51"/>
      <c r="F19206" s="114" t="str">
        <f>IF(INDEX(I.Facility.P3IDNumber,4194)="","",INDEX(I.Facility.P3IDNumber,4194))</f>
        <v/>
      </c>
      <c r="G19206" s="51"/>
      <c r="H19206" s="46" t="str">
        <f>IF(AND(I.Developer.P3=TRUE,I.Facility.P3FacilityCount&gt;=4194,F19206=""),"Incomplete","Complete")</f>
        <v>Complete</v>
      </c>
      <c r="I19206" s="48" t="s">
        <v>23571</v>
      </c>
    </row>
    <row r="19207" spans="2:9" ht="15" customHeight="1" x14ac:dyDescent="0.25">
      <c r="B19207" s="55" t="s">
        <v>282</v>
      </c>
      <c r="C19207" s="46">
        <v>4195</v>
      </c>
      <c r="D19207" s="69" t="s">
        <v>29419</v>
      </c>
      <c r="E19207" s="51"/>
      <c r="F19207" s="114" t="str">
        <f>IF(INDEX(I.Facility.P3IDNumber,4195)="","",INDEX(I.Facility.P3IDNumber,4195))</f>
        <v/>
      </c>
      <c r="G19207" s="51"/>
      <c r="H19207" s="46" t="str">
        <f>IF(AND(I.Developer.P3=TRUE,I.Facility.P3FacilityCount&gt;=4195,F19207=""),"Incomplete","Complete")</f>
        <v>Complete</v>
      </c>
      <c r="I19207" s="48" t="s">
        <v>23572</v>
      </c>
    </row>
    <row r="19208" spans="2:9" ht="15" customHeight="1" x14ac:dyDescent="0.25">
      <c r="B19208" s="55" t="s">
        <v>282</v>
      </c>
      <c r="C19208" s="46">
        <v>4196</v>
      </c>
      <c r="D19208" s="69" t="s">
        <v>29419</v>
      </c>
      <c r="E19208" s="51"/>
      <c r="F19208" s="114" t="str">
        <f>IF(INDEX(I.Facility.P3IDNumber,4196)="","",INDEX(I.Facility.P3IDNumber,4196))</f>
        <v/>
      </c>
      <c r="G19208" s="51"/>
      <c r="H19208" s="46" t="str">
        <f>IF(AND(I.Developer.P3=TRUE,I.Facility.P3FacilityCount&gt;=4196,F19208=""),"Incomplete","Complete")</f>
        <v>Complete</v>
      </c>
      <c r="I19208" s="48" t="s">
        <v>23573</v>
      </c>
    </row>
    <row r="19209" spans="2:9" ht="15" customHeight="1" x14ac:dyDescent="0.25">
      <c r="B19209" s="55" t="s">
        <v>282</v>
      </c>
      <c r="C19209" s="46">
        <v>4197</v>
      </c>
      <c r="D19209" s="69" t="s">
        <v>29419</v>
      </c>
      <c r="E19209" s="51"/>
      <c r="F19209" s="114" t="str">
        <f>IF(INDEX(I.Facility.P3IDNumber,4197)="","",INDEX(I.Facility.P3IDNumber,4197))</f>
        <v/>
      </c>
      <c r="G19209" s="51"/>
      <c r="H19209" s="46" t="str">
        <f>IF(AND(I.Developer.P3=TRUE,I.Facility.P3FacilityCount&gt;=4197,F19209=""),"Incomplete","Complete")</f>
        <v>Complete</v>
      </c>
      <c r="I19209" s="48" t="s">
        <v>23574</v>
      </c>
    </row>
    <row r="19210" spans="2:9" ht="15" customHeight="1" x14ac:dyDescent="0.25">
      <c r="B19210" s="55" t="s">
        <v>282</v>
      </c>
      <c r="C19210" s="46">
        <v>4198</v>
      </c>
      <c r="D19210" s="69" t="s">
        <v>29419</v>
      </c>
      <c r="E19210" s="51"/>
      <c r="F19210" s="114" t="str">
        <f>IF(INDEX(I.Facility.P3IDNumber,4198)="","",INDEX(I.Facility.P3IDNumber,4198))</f>
        <v/>
      </c>
      <c r="G19210" s="51"/>
      <c r="H19210" s="46" t="str">
        <f>IF(AND(I.Developer.P3=TRUE,I.Facility.P3FacilityCount&gt;=4198,F19210=""),"Incomplete","Complete")</f>
        <v>Complete</v>
      </c>
      <c r="I19210" s="48" t="s">
        <v>23575</v>
      </c>
    </row>
    <row r="19211" spans="2:9" ht="15" customHeight="1" x14ac:dyDescent="0.25">
      <c r="B19211" s="55" t="s">
        <v>282</v>
      </c>
      <c r="C19211" s="46">
        <v>4199</v>
      </c>
      <c r="D19211" s="69" t="s">
        <v>29419</v>
      </c>
      <c r="E19211" s="51"/>
      <c r="F19211" s="114" t="str">
        <f>IF(INDEX(I.Facility.P3IDNumber,4199)="","",INDEX(I.Facility.P3IDNumber,4199))</f>
        <v/>
      </c>
      <c r="G19211" s="51"/>
      <c r="H19211" s="46" t="str">
        <f>IF(AND(I.Developer.P3=TRUE,I.Facility.P3FacilityCount&gt;=4199,F19211=""),"Incomplete","Complete")</f>
        <v>Complete</v>
      </c>
      <c r="I19211" s="48" t="s">
        <v>23576</v>
      </c>
    </row>
    <row r="19212" spans="2:9" ht="15" customHeight="1" x14ac:dyDescent="0.25">
      <c r="B19212" s="55" t="s">
        <v>282</v>
      </c>
      <c r="C19212" s="46">
        <v>4200</v>
      </c>
      <c r="D19212" s="69" t="s">
        <v>29419</v>
      </c>
      <c r="E19212" s="51"/>
      <c r="F19212" s="114" t="str">
        <f>IF(INDEX(I.Facility.P3IDNumber,4200)="","",INDEX(I.Facility.P3IDNumber,4200))</f>
        <v/>
      </c>
      <c r="G19212" s="51"/>
      <c r="H19212" s="46" t="str">
        <f>IF(AND(I.Developer.P3=TRUE,I.Facility.P3FacilityCount&gt;=4200,F19212=""),"Incomplete","Complete")</f>
        <v>Complete</v>
      </c>
      <c r="I19212" s="48" t="s">
        <v>23577</v>
      </c>
    </row>
    <row r="19213" spans="2:9" ht="15" customHeight="1" x14ac:dyDescent="0.25">
      <c r="B19213" s="55" t="s">
        <v>282</v>
      </c>
      <c r="C19213" s="46">
        <v>4201</v>
      </c>
      <c r="D19213" s="69" t="s">
        <v>29419</v>
      </c>
      <c r="E19213" s="51"/>
      <c r="F19213" s="114" t="str">
        <f>IF(INDEX(I.Facility.P3IDNumber,4201)="","",INDEX(I.Facility.P3IDNumber,4201))</f>
        <v/>
      </c>
      <c r="G19213" s="51"/>
      <c r="H19213" s="46" t="str">
        <f>IF(AND(I.Developer.P3=TRUE,I.Facility.P3FacilityCount&gt;=4201,F19213=""),"Incomplete","Complete")</f>
        <v>Complete</v>
      </c>
      <c r="I19213" s="48" t="s">
        <v>23578</v>
      </c>
    </row>
    <row r="19214" spans="2:9" ht="15" customHeight="1" x14ac:dyDescent="0.25">
      <c r="B19214" s="55" t="s">
        <v>282</v>
      </c>
      <c r="C19214" s="46">
        <v>4202</v>
      </c>
      <c r="D19214" s="69" t="s">
        <v>29419</v>
      </c>
      <c r="E19214" s="51"/>
      <c r="F19214" s="114" t="str">
        <f>IF(INDEX(I.Facility.P3IDNumber,4202)="","",INDEX(I.Facility.P3IDNumber,4202))</f>
        <v/>
      </c>
      <c r="G19214" s="51"/>
      <c r="H19214" s="46" t="str">
        <f>IF(AND(I.Developer.P3=TRUE,I.Facility.P3FacilityCount&gt;=4202,F19214=""),"Incomplete","Complete")</f>
        <v>Complete</v>
      </c>
      <c r="I19214" s="48" t="s">
        <v>23579</v>
      </c>
    </row>
    <row r="19215" spans="2:9" ht="15" customHeight="1" x14ac:dyDescent="0.25">
      <c r="B19215" s="55" t="s">
        <v>282</v>
      </c>
      <c r="C19215" s="46">
        <v>4203</v>
      </c>
      <c r="D19215" s="69" t="s">
        <v>29419</v>
      </c>
      <c r="E19215" s="51"/>
      <c r="F19215" s="114" t="str">
        <f>IF(INDEX(I.Facility.P3IDNumber,4203)="","",INDEX(I.Facility.P3IDNumber,4203))</f>
        <v/>
      </c>
      <c r="G19215" s="51"/>
      <c r="H19215" s="46" t="str">
        <f>IF(AND(I.Developer.P3=TRUE,I.Facility.P3FacilityCount&gt;=4203,F19215=""),"Incomplete","Complete")</f>
        <v>Complete</v>
      </c>
      <c r="I19215" s="48" t="s">
        <v>23580</v>
      </c>
    </row>
    <row r="19216" spans="2:9" ht="15" customHeight="1" x14ac:dyDescent="0.25">
      <c r="B19216" s="55" t="s">
        <v>282</v>
      </c>
      <c r="C19216" s="46">
        <v>4204</v>
      </c>
      <c r="D19216" s="69" t="s">
        <v>29419</v>
      </c>
      <c r="E19216" s="51"/>
      <c r="F19216" s="114" t="str">
        <f>IF(INDEX(I.Facility.P3IDNumber,4204)="","",INDEX(I.Facility.P3IDNumber,4204))</f>
        <v/>
      </c>
      <c r="G19216" s="51"/>
      <c r="H19216" s="46" t="str">
        <f>IF(AND(I.Developer.P3=TRUE,I.Facility.P3FacilityCount&gt;=4204,F19216=""),"Incomplete","Complete")</f>
        <v>Complete</v>
      </c>
      <c r="I19216" s="48" t="s">
        <v>23581</v>
      </c>
    </row>
    <row r="19217" spans="2:9" ht="15" customHeight="1" x14ac:dyDescent="0.25">
      <c r="B19217" s="55" t="s">
        <v>282</v>
      </c>
      <c r="C19217" s="46">
        <v>4205</v>
      </c>
      <c r="D19217" s="69" t="s">
        <v>29419</v>
      </c>
      <c r="E19217" s="51"/>
      <c r="F19217" s="114" t="str">
        <f>IF(INDEX(I.Facility.P3IDNumber,4205)="","",INDEX(I.Facility.P3IDNumber,4205))</f>
        <v/>
      </c>
      <c r="G19217" s="51"/>
      <c r="H19217" s="46" t="str">
        <f>IF(AND(I.Developer.P3=TRUE,I.Facility.P3FacilityCount&gt;=4205,F19217=""),"Incomplete","Complete")</f>
        <v>Complete</v>
      </c>
      <c r="I19217" s="48" t="s">
        <v>23582</v>
      </c>
    </row>
    <row r="19218" spans="2:9" ht="15" customHeight="1" x14ac:dyDescent="0.25">
      <c r="B19218" s="55" t="s">
        <v>282</v>
      </c>
      <c r="C19218" s="46">
        <v>4206</v>
      </c>
      <c r="D19218" s="69" t="s">
        <v>29419</v>
      </c>
      <c r="E19218" s="51"/>
      <c r="F19218" s="114" t="str">
        <f>IF(INDEX(I.Facility.P3IDNumber,4206)="","",INDEX(I.Facility.P3IDNumber,4206))</f>
        <v/>
      </c>
      <c r="G19218" s="51"/>
      <c r="H19218" s="46" t="str">
        <f>IF(AND(I.Developer.P3=TRUE,I.Facility.P3FacilityCount&gt;=4206,F19218=""),"Incomplete","Complete")</f>
        <v>Complete</v>
      </c>
      <c r="I19218" s="48" t="s">
        <v>23583</v>
      </c>
    </row>
    <row r="19219" spans="2:9" ht="15" customHeight="1" x14ac:dyDescent="0.25">
      <c r="B19219" s="55" t="s">
        <v>282</v>
      </c>
      <c r="C19219" s="46">
        <v>4207</v>
      </c>
      <c r="D19219" s="69" t="s">
        <v>29419</v>
      </c>
      <c r="E19219" s="51"/>
      <c r="F19219" s="114" t="str">
        <f>IF(INDEX(I.Facility.P3IDNumber,4207)="","",INDEX(I.Facility.P3IDNumber,4207))</f>
        <v/>
      </c>
      <c r="G19219" s="51"/>
      <c r="H19219" s="46" t="str">
        <f>IF(AND(I.Developer.P3=TRUE,I.Facility.P3FacilityCount&gt;=4207,F19219=""),"Incomplete","Complete")</f>
        <v>Complete</v>
      </c>
      <c r="I19219" s="48" t="s">
        <v>23584</v>
      </c>
    </row>
    <row r="19220" spans="2:9" ht="15" customHeight="1" x14ac:dyDescent="0.25">
      <c r="B19220" s="55" t="s">
        <v>282</v>
      </c>
      <c r="C19220" s="46">
        <v>4208</v>
      </c>
      <c r="D19220" s="69" t="s">
        <v>29419</v>
      </c>
      <c r="E19220" s="51"/>
      <c r="F19220" s="114" t="str">
        <f>IF(INDEX(I.Facility.P3IDNumber,4208)="","",INDEX(I.Facility.P3IDNumber,4208))</f>
        <v/>
      </c>
      <c r="G19220" s="51"/>
      <c r="H19220" s="46" t="str">
        <f>IF(AND(I.Developer.P3=TRUE,I.Facility.P3FacilityCount&gt;=4208,F19220=""),"Incomplete","Complete")</f>
        <v>Complete</v>
      </c>
      <c r="I19220" s="48" t="s">
        <v>23585</v>
      </c>
    </row>
    <row r="19221" spans="2:9" ht="15" customHeight="1" x14ac:dyDescent="0.25">
      <c r="B19221" s="55" t="s">
        <v>282</v>
      </c>
      <c r="C19221" s="46">
        <v>4209</v>
      </c>
      <c r="D19221" s="69" t="s">
        <v>29419</v>
      </c>
      <c r="E19221" s="51"/>
      <c r="F19221" s="114" t="str">
        <f>IF(INDEX(I.Facility.P3IDNumber,4209)="","",INDEX(I.Facility.P3IDNumber,4209))</f>
        <v/>
      </c>
      <c r="G19221" s="51"/>
      <c r="H19221" s="46" t="str">
        <f>IF(AND(I.Developer.P3=TRUE,I.Facility.P3FacilityCount&gt;=4209,F19221=""),"Incomplete","Complete")</f>
        <v>Complete</v>
      </c>
      <c r="I19221" s="48" t="s">
        <v>23586</v>
      </c>
    </row>
    <row r="19222" spans="2:9" ht="15" customHeight="1" x14ac:dyDescent="0.25">
      <c r="B19222" s="55" t="s">
        <v>282</v>
      </c>
      <c r="C19222" s="46">
        <v>4210</v>
      </c>
      <c r="D19222" s="69" t="s">
        <v>29419</v>
      </c>
      <c r="E19222" s="51"/>
      <c r="F19222" s="114" t="str">
        <f>IF(INDEX(I.Facility.P3IDNumber,4210)="","",INDEX(I.Facility.P3IDNumber,4210))</f>
        <v/>
      </c>
      <c r="G19222" s="51"/>
      <c r="H19222" s="46" t="str">
        <f>IF(AND(I.Developer.P3=TRUE,I.Facility.P3FacilityCount&gt;=4210,F19222=""),"Incomplete","Complete")</f>
        <v>Complete</v>
      </c>
      <c r="I19222" s="48" t="s">
        <v>23587</v>
      </c>
    </row>
    <row r="19223" spans="2:9" ht="15" customHeight="1" x14ac:dyDescent="0.25">
      <c r="B19223" s="55" t="s">
        <v>282</v>
      </c>
      <c r="C19223" s="46">
        <v>4211</v>
      </c>
      <c r="D19223" s="69" t="s">
        <v>29419</v>
      </c>
      <c r="E19223" s="51"/>
      <c r="F19223" s="114" t="str">
        <f>IF(INDEX(I.Facility.P3IDNumber,4211)="","",INDEX(I.Facility.P3IDNumber,4211))</f>
        <v/>
      </c>
      <c r="G19223" s="51"/>
      <c r="H19223" s="46" t="str">
        <f>IF(AND(I.Developer.P3=TRUE,I.Facility.P3FacilityCount&gt;=4211,F19223=""),"Incomplete","Complete")</f>
        <v>Complete</v>
      </c>
      <c r="I19223" s="48" t="s">
        <v>23588</v>
      </c>
    </row>
    <row r="19224" spans="2:9" ht="15" customHeight="1" x14ac:dyDescent="0.25">
      <c r="B19224" s="55" t="s">
        <v>282</v>
      </c>
      <c r="C19224" s="46">
        <v>4212</v>
      </c>
      <c r="D19224" s="69" t="s">
        <v>29419</v>
      </c>
      <c r="E19224" s="51"/>
      <c r="F19224" s="114" t="str">
        <f>IF(INDEX(I.Facility.P3IDNumber,4212)="","",INDEX(I.Facility.P3IDNumber,4212))</f>
        <v/>
      </c>
      <c r="G19224" s="51"/>
      <c r="H19224" s="46" t="str">
        <f>IF(AND(I.Developer.P3=TRUE,I.Facility.P3FacilityCount&gt;=4212,F19224=""),"Incomplete","Complete")</f>
        <v>Complete</v>
      </c>
      <c r="I19224" s="48" t="s">
        <v>23589</v>
      </c>
    </row>
    <row r="19225" spans="2:9" ht="15" customHeight="1" x14ac:dyDescent="0.25">
      <c r="B19225" s="55" t="s">
        <v>282</v>
      </c>
      <c r="C19225" s="46">
        <v>4213</v>
      </c>
      <c r="D19225" s="69" t="s">
        <v>29419</v>
      </c>
      <c r="E19225" s="51"/>
      <c r="F19225" s="114" t="str">
        <f>IF(INDEX(I.Facility.P3IDNumber,4213)="","",INDEX(I.Facility.P3IDNumber,4213))</f>
        <v/>
      </c>
      <c r="G19225" s="51"/>
      <c r="H19225" s="46" t="str">
        <f>IF(AND(I.Developer.P3=TRUE,I.Facility.P3FacilityCount&gt;=4213,F19225=""),"Incomplete","Complete")</f>
        <v>Complete</v>
      </c>
      <c r="I19225" s="48" t="s">
        <v>23590</v>
      </c>
    </row>
    <row r="19226" spans="2:9" ht="15" customHeight="1" x14ac:dyDescent="0.25">
      <c r="B19226" s="55" t="s">
        <v>282</v>
      </c>
      <c r="C19226" s="46">
        <v>4214</v>
      </c>
      <c r="D19226" s="69" t="s">
        <v>29419</v>
      </c>
      <c r="E19226" s="51"/>
      <c r="F19226" s="114" t="str">
        <f>IF(INDEX(I.Facility.P3IDNumber,4214)="","",INDEX(I.Facility.P3IDNumber,4214))</f>
        <v/>
      </c>
      <c r="G19226" s="51"/>
      <c r="H19226" s="46" t="str">
        <f>IF(AND(I.Developer.P3=TRUE,I.Facility.P3FacilityCount&gt;=4214,F19226=""),"Incomplete","Complete")</f>
        <v>Complete</v>
      </c>
      <c r="I19226" s="48" t="s">
        <v>23591</v>
      </c>
    </row>
    <row r="19227" spans="2:9" ht="15" customHeight="1" x14ac:dyDescent="0.25">
      <c r="B19227" s="55" t="s">
        <v>282</v>
      </c>
      <c r="C19227" s="46">
        <v>4215</v>
      </c>
      <c r="D19227" s="69" t="s">
        <v>29419</v>
      </c>
      <c r="E19227" s="51"/>
      <c r="F19227" s="114" t="str">
        <f>IF(INDEX(I.Facility.P3IDNumber,4215)="","",INDEX(I.Facility.P3IDNumber,4215))</f>
        <v/>
      </c>
      <c r="G19227" s="51"/>
      <c r="H19227" s="46" t="str">
        <f>IF(AND(I.Developer.P3=TRUE,I.Facility.P3FacilityCount&gt;=4215,F19227=""),"Incomplete","Complete")</f>
        <v>Complete</v>
      </c>
      <c r="I19227" s="48" t="s">
        <v>23592</v>
      </c>
    </row>
    <row r="19228" spans="2:9" ht="15" customHeight="1" x14ac:dyDescent="0.25">
      <c r="B19228" s="55" t="s">
        <v>282</v>
      </c>
      <c r="C19228" s="46">
        <v>4216</v>
      </c>
      <c r="D19228" s="69" t="s">
        <v>29419</v>
      </c>
      <c r="E19228" s="51"/>
      <c r="F19228" s="114" t="str">
        <f>IF(INDEX(I.Facility.P3IDNumber,4216)="","",INDEX(I.Facility.P3IDNumber,4216))</f>
        <v/>
      </c>
      <c r="G19228" s="51"/>
      <c r="H19228" s="46" t="str">
        <f>IF(AND(I.Developer.P3=TRUE,I.Facility.P3FacilityCount&gt;=4216,F19228=""),"Incomplete","Complete")</f>
        <v>Complete</v>
      </c>
      <c r="I19228" s="48" t="s">
        <v>23593</v>
      </c>
    </row>
    <row r="19229" spans="2:9" ht="15" customHeight="1" x14ac:dyDescent="0.25">
      <c r="B19229" s="55" t="s">
        <v>282</v>
      </c>
      <c r="C19229" s="46">
        <v>4217</v>
      </c>
      <c r="D19229" s="69" t="s">
        <v>29419</v>
      </c>
      <c r="E19229" s="51"/>
      <c r="F19229" s="114" t="str">
        <f>IF(INDEX(I.Facility.P3IDNumber,4217)="","",INDEX(I.Facility.P3IDNumber,4217))</f>
        <v/>
      </c>
      <c r="G19229" s="51"/>
      <c r="H19229" s="46" t="str">
        <f>IF(AND(I.Developer.P3=TRUE,I.Facility.P3FacilityCount&gt;=4217,F19229=""),"Incomplete","Complete")</f>
        <v>Complete</v>
      </c>
      <c r="I19229" s="48" t="s">
        <v>23594</v>
      </c>
    </row>
    <row r="19230" spans="2:9" ht="15" customHeight="1" x14ac:dyDescent="0.25">
      <c r="B19230" s="55" t="s">
        <v>282</v>
      </c>
      <c r="C19230" s="46">
        <v>4218</v>
      </c>
      <c r="D19230" s="69" t="s">
        <v>29419</v>
      </c>
      <c r="E19230" s="51"/>
      <c r="F19230" s="114" t="str">
        <f>IF(INDEX(I.Facility.P3IDNumber,4218)="","",INDEX(I.Facility.P3IDNumber,4218))</f>
        <v/>
      </c>
      <c r="G19230" s="51"/>
      <c r="H19230" s="46" t="str">
        <f>IF(AND(I.Developer.P3=TRUE,I.Facility.P3FacilityCount&gt;=4218,F19230=""),"Incomplete","Complete")</f>
        <v>Complete</v>
      </c>
      <c r="I19230" s="48" t="s">
        <v>23595</v>
      </c>
    </row>
    <row r="19231" spans="2:9" ht="15" customHeight="1" x14ac:dyDescent="0.25">
      <c r="B19231" s="55" t="s">
        <v>282</v>
      </c>
      <c r="C19231" s="46">
        <v>4219</v>
      </c>
      <c r="D19231" s="69" t="s">
        <v>29419</v>
      </c>
      <c r="E19231" s="51"/>
      <c r="F19231" s="114" t="str">
        <f>IF(INDEX(I.Facility.P3IDNumber,4219)="","",INDEX(I.Facility.P3IDNumber,4219))</f>
        <v/>
      </c>
      <c r="G19231" s="51"/>
      <c r="H19231" s="46" t="str">
        <f>IF(AND(I.Developer.P3=TRUE,I.Facility.P3FacilityCount&gt;=4219,F19231=""),"Incomplete","Complete")</f>
        <v>Complete</v>
      </c>
      <c r="I19231" s="48" t="s">
        <v>23596</v>
      </c>
    </row>
    <row r="19232" spans="2:9" ht="15" customHeight="1" x14ac:dyDescent="0.25">
      <c r="B19232" s="55" t="s">
        <v>282</v>
      </c>
      <c r="C19232" s="46">
        <v>4220</v>
      </c>
      <c r="D19232" s="69" t="s">
        <v>29419</v>
      </c>
      <c r="E19232" s="51"/>
      <c r="F19232" s="114" t="str">
        <f>IF(INDEX(I.Facility.P3IDNumber,4220)="","",INDEX(I.Facility.P3IDNumber,4220))</f>
        <v/>
      </c>
      <c r="G19232" s="51"/>
      <c r="H19232" s="46" t="str">
        <f>IF(AND(I.Developer.P3=TRUE,I.Facility.P3FacilityCount&gt;=4220,F19232=""),"Incomplete","Complete")</f>
        <v>Complete</v>
      </c>
      <c r="I19232" s="48" t="s">
        <v>23597</v>
      </c>
    </row>
    <row r="19233" spans="2:9" ht="15" customHeight="1" x14ac:dyDescent="0.25">
      <c r="B19233" s="55" t="s">
        <v>282</v>
      </c>
      <c r="C19233" s="46">
        <v>4221</v>
      </c>
      <c r="D19233" s="69" t="s">
        <v>29419</v>
      </c>
      <c r="E19233" s="51"/>
      <c r="F19233" s="114" t="str">
        <f>IF(INDEX(I.Facility.P3IDNumber,4221)="","",INDEX(I.Facility.P3IDNumber,4221))</f>
        <v/>
      </c>
      <c r="G19233" s="51"/>
      <c r="H19233" s="46" t="str">
        <f>IF(AND(I.Developer.P3=TRUE,I.Facility.P3FacilityCount&gt;=4221,F19233=""),"Incomplete","Complete")</f>
        <v>Complete</v>
      </c>
      <c r="I19233" s="48" t="s">
        <v>23598</v>
      </c>
    </row>
    <row r="19234" spans="2:9" ht="15" customHeight="1" x14ac:dyDescent="0.25">
      <c r="B19234" s="55" t="s">
        <v>282</v>
      </c>
      <c r="C19234" s="46">
        <v>4222</v>
      </c>
      <c r="D19234" s="69" t="s">
        <v>29419</v>
      </c>
      <c r="E19234" s="51"/>
      <c r="F19234" s="114" t="str">
        <f>IF(INDEX(I.Facility.P3IDNumber,4222)="","",INDEX(I.Facility.P3IDNumber,4222))</f>
        <v/>
      </c>
      <c r="G19234" s="51"/>
      <c r="H19234" s="46" t="str">
        <f>IF(AND(I.Developer.P3=TRUE,I.Facility.P3FacilityCount&gt;=4222,F19234=""),"Incomplete","Complete")</f>
        <v>Complete</v>
      </c>
      <c r="I19234" s="48" t="s">
        <v>23599</v>
      </c>
    </row>
    <row r="19235" spans="2:9" ht="15" customHeight="1" x14ac:dyDescent="0.25">
      <c r="B19235" s="55" t="s">
        <v>282</v>
      </c>
      <c r="C19235" s="46">
        <v>4223</v>
      </c>
      <c r="D19235" s="69" t="s">
        <v>29419</v>
      </c>
      <c r="E19235" s="51"/>
      <c r="F19235" s="114" t="str">
        <f>IF(INDEX(I.Facility.P3IDNumber,4223)="","",INDEX(I.Facility.P3IDNumber,4223))</f>
        <v/>
      </c>
      <c r="G19235" s="51"/>
      <c r="H19235" s="46" t="str">
        <f>IF(AND(I.Developer.P3=TRUE,I.Facility.P3FacilityCount&gt;=4223,F19235=""),"Incomplete","Complete")</f>
        <v>Complete</v>
      </c>
      <c r="I19235" s="48" t="s">
        <v>23600</v>
      </c>
    </row>
    <row r="19236" spans="2:9" ht="15" customHeight="1" x14ac:dyDescent="0.25">
      <c r="B19236" s="55" t="s">
        <v>282</v>
      </c>
      <c r="C19236" s="46">
        <v>4224</v>
      </c>
      <c r="D19236" s="69" t="s">
        <v>29419</v>
      </c>
      <c r="E19236" s="51"/>
      <c r="F19236" s="114" t="str">
        <f>IF(INDEX(I.Facility.P3IDNumber,4224)="","",INDEX(I.Facility.P3IDNumber,4224))</f>
        <v/>
      </c>
      <c r="G19236" s="51"/>
      <c r="H19236" s="46" t="str">
        <f>IF(AND(I.Developer.P3=TRUE,I.Facility.P3FacilityCount&gt;=4224,F19236=""),"Incomplete","Complete")</f>
        <v>Complete</v>
      </c>
      <c r="I19236" s="48" t="s">
        <v>23601</v>
      </c>
    </row>
    <row r="19237" spans="2:9" ht="15" customHeight="1" x14ac:dyDescent="0.25">
      <c r="B19237" s="55" t="s">
        <v>282</v>
      </c>
      <c r="C19237" s="46">
        <v>4225</v>
      </c>
      <c r="D19237" s="69" t="s">
        <v>29419</v>
      </c>
      <c r="E19237" s="51"/>
      <c r="F19237" s="114" t="str">
        <f>IF(INDEX(I.Facility.P3IDNumber,4225)="","",INDEX(I.Facility.P3IDNumber,4225))</f>
        <v/>
      </c>
      <c r="G19237" s="51"/>
      <c r="H19237" s="46" t="str">
        <f>IF(AND(I.Developer.P3=TRUE,I.Facility.P3FacilityCount&gt;=4225,F19237=""),"Incomplete","Complete")</f>
        <v>Complete</v>
      </c>
      <c r="I19237" s="48" t="s">
        <v>23602</v>
      </c>
    </row>
    <row r="19238" spans="2:9" ht="15" customHeight="1" x14ac:dyDescent="0.25">
      <c r="B19238" s="55" t="s">
        <v>282</v>
      </c>
      <c r="C19238" s="46">
        <v>4226</v>
      </c>
      <c r="D19238" s="69" t="s">
        <v>29419</v>
      </c>
      <c r="E19238" s="51"/>
      <c r="F19238" s="114" t="str">
        <f>IF(INDEX(I.Facility.P3IDNumber,4226)="","",INDEX(I.Facility.P3IDNumber,4226))</f>
        <v/>
      </c>
      <c r="G19238" s="51"/>
      <c r="H19238" s="46" t="str">
        <f>IF(AND(I.Developer.P3=TRUE,I.Facility.P3FacilityCount&gt;=4226,F19238=""),"Incomplete","Complete")</f>
        <v>Complete</v>
      </c>
      <c r="I19238" s="48" t="s">
        <v>23603</v>
      </c>
    </row>
    <row r="19239" spans="2:9" ht="15" customHeight="1" x14ac:dyDescent="0.25">
      <c r="B19239" s="55" t="s">
        <v>282</v>
      </c>
      <c r="C19239" s="46">
        <v>4227</v>
      </c>
      <c r="D19239" s="69" t="s">
        <v>29419</v>
      </c>
      <c r="E19239" s="51"/>
      <c r="F19239" s="114" t="str">
        <f>IF(INDEX(I.Facility.P3IDNumber,4227)="","",INDEX(I.Facility.P3IDNumber,4227))</f>
        <v/>
      </c>
      <c r="G19239" s="51"/>
      <c r="H19239" s="46" t="str">
        <f>IF(AND(I.Developer.P3=TRUE,I.Facility.P3FacilityCount&gt;=4227,F19239=""),"Incomplete","Complete")</f>
        <v>Complete</v>
      </c>
      <c r="I19239" s="48" t="s">
        <v>23604</v>
      </c>
    </row>
    <row r="19240" spans="2:9" ht="15" customHeight="1" x14ac:dyDescent="0.25">
      <c r="B19240" s="55" t="s">
        <v>282</v>
      </c>
      <c r="C19240" s="46">
        <v>4228</v>
      </c>
      <c r="D19240" s="69" t="s">
        <v>29419</v>
      </c>
      <c r="E19240" s="51"/>
      <c r="F19240" s="114" t="str">
        <f>IF(INDEX(I.Facility.P3IDNumber,4228)="","",INDEX(I.Facility.P3IDNumber,4228))</f>
        <v/>
      </c>
      <c r="G19240" s="51"/>
      <c r="H19240" s="46" t="str">
        <f>IF(AND(I.Developer.P3=TRUE,I.Facility.P3FacilityCount&gt;=4228,F19240=""),"Incomplete","Complete")</f>
        <v>Complete</v>
      </c>
      <c r="I19240" s="48" t="s">
        <v>23605</v>
      </c>
    </row>
    <row r="19241" spans="2:9" ht="15" customHeight="1" x14ac:dyDescent="0.25">
      <c r="B19241" s="55" t="s">
        <v>282</v>
      </c>
      <c r="C19241" s="46">
        <v>4229</v>
      </c>
      <c r="D19241" s="69" t="s">
        <v>29419</v>
      </c>
      <c r="E19241" s="51"/>
      <c r="F19241" s="114" t="str">
        <f>IF(INDEX(I.Facility.P3IDNumber,4229)="","",INDEX(I.Facility.P3IDNumber,4229))</f>
        <v/>
      </c>
      <c r="G19241" s="51"/>
      <c r="H19241" s="46" t="str">
        <f>IF(AND(I.Developer.P3=TRUE,I.Facility.P3FacilityCount&gt;=4229,F19241=""),"Incomplete","Complete")</f>
        <v>Complete</v>
      </c>
      <c r="I19241" s="48" t="s">
        <v>23606</v>
      </c>
    </row>
    <row r="19242" spans="2:9" ht="15" customHeight="1" x14ac:dyDescent="0.25">
      <c r="B19242" s="55" t="s">
        <v>282</v>
      </c>
      <c r="C19242" s="46">
        <v>4230</v>
      </c>
      <c r="D19242" s="69" t="s">
        <v>29419</v>
      </c>
      <c r="E19242" s="51"/>
      <c r="F19242" s="114" t="str">
        <f>IF(INDEX(I.Facility.P3IDNumber,4230)="","",INDEX(I.Facility.P3IDNumber,4230))</f>
        <v/>
      </c>
      <c r="G19242" s="51"/>
      <c r="H19242" s="46" t="str">
        <f>IF(AND(I.Developer.P3=TRUE,I.Facility.P3FacilityCount&gt;=4230,F19242=""),"Incomplete","Complete")</f>
        <v>Complete</v>
      </c>
      <c r="I19242" s="48" t="s">
        <v>23607</v>
      </c>
    </row>
    <row r="19243" spans="2:9" ht="15" customHeight="1" x14ac:dyDescent="0.25">
      <c r="B19243" s="55" t="s">
        <v>282</v>
      </c>
      <c r="C19243" s="46">
        <v>4231</v>
      </c>
      <c r="D19243" s="69" t="s">
        <v>29419</v>
      </c>
      <c r="E19243" s="51"/>
      <c r="F19243" s="114" t="str">
        <f>IF(INDEX(I.Facility.P3IDNumber,4231)="","",INDEX(I.Facility.P3IDNumber,4231))</f>
        <v/>
      </c>
      <c r="G19243" s="51"/>
      <c r="H19243" s="46" t="str">
        <f>IF(AND(I.Developer.P3=TRUE,I.Facility.P3FacilityCount&gt;=4231,F19243=""),"Incomplete","Complete")</f>
        <v>Complete</v>
      </c>
      <c r="I19243" s="48" t="s">
        <v>23608</v>
      </c>
    </row>
    <row r="19244" spans="2:9" ht="15" customHeight="1" x14ac:dyDescent="0.25">
      <c r="B19244" s="55" t="s">
        <v>282</v>
      </c>
      <c r="C19244" s="46">
        <v>4232</v>
      </c>
      <c r="D19244" s="69" t="s">
        <v>29419</v>
      </c>
      <c r="E19244" s="51"/>
      <c r="F19244" s="114" t="str">
        <f>IF(INDEX(I.Facility.P3IDNumber,4232)="","",INDEX(I.Facility.P3IDNumber,4232))</f>
        <v/>
      </c>
      <c r="G19244" s="51"/>
      <c r="H19244" s="46" t="str">
        <f>IF(AND(I.Developer.P3=TRUE,I.Facility.P3FacilityCount&gt;=4232,F19244=""),"Incomplete","Complete")</f>
        <v>Complete</v>
      </c>
      <c r="I19244" s="48" t="s">
        <v>23609</v>
      </c>
    </row>
    <row r="19245" spans="2:9" ht="15" customHeight="1" x14ac:dyDescent="0.25">
      <c r="B19245" s="55" t="s">
        <v>282</v>
      </c>
      <c r="C19245" s="46">
        <v>4233</v>
      </c>
      <c r="D19245" s="69" t="s">
        <v>29419</v>
      </c>
      <c r="E19245" s="51"/>
      <c r="F19245" s="114" t="str">
        <f>IF(INDEX(I.Facility.P3IDNumber,4233)="","",INDEX(I.Facility.P3IDNumber,4233))</f>
        <v/>
      </c>
      <c r="G19245" s="51"/>
      <c r="H19245" s="46" t="str">
        <f>IF(AND(I.Developer.P3=TRUE,I.Facility.P3FacilityCount&gt;=4233,F19245=""),"Incomplete","Complete")</f>
        <v>Complete</v>
      </c>
      <c r="I19245" s="48" t="s">
        <v>23610</v>
      </c>
    </row>
    <row r="19246" spans="2:9" ht="15" customHeight="1" x14ac:dyDescent="0.25">
      <c r="B19246" s="55" t="s">
        <v>282</v>
      </c>
      <c r="C19246" s="46">
        <v>4234</v>
      </c>
      <c r="D19246" s="69" t="s">
        <v>29419</v>
      </c>
      <c r="E19246" s="51"/>
      <c r="F19246" s="114" t="str">
        <f>IF(INDEX(I.Facility.P3IDNumber,4234)="","",INDEX(I.Facility.P3IDNumber,4234))</f>
        <v/>
      </c>
      <c r="G19246" s="51"/>
      <c r="H19246" s="46" t="str">
        <f>IF(AND(I.Developer.P3=TRUE,I.Facility.P3FacilityCount&gt;=4234,F19246=""),"Incomplete","Complete")</f>
        <v>Complete</v>
      </c>
      <c r="I19246" s="48" t="s">
        <v>23611</v>
      </c>
    </row>
    <row r="19247" spans="2:9" ht="15" customHeight="1" x14ac:dyDescent="0.25">
      <c r="B19247" s="55" t="s">
        <v>282</v>
      </c>
      <c r="C19247" s="46">
        <v>4235</v>
      </c>
      <c r="D19247" s="69" t="s">
        <v>29419</v>
      </c>
      <c r="E19247" s="51"/>
      <c r="F19247" s="114" t="str">
        <f>IF(INDEX(I.Facility.P3IDNumber,4235)="","",INDEX(I.Facility.P3IDNumber,4235))</f>
        <v/>
      </c>
      <c r="G19247" s="51"/>
      <c r="H19247" s="46" t="str">
        <f>IF(AND(I.Developer.P3=TRUE,I.Facility.P3FacilityCount&gt;=4235,F19247=""),"Incomplete","Complete")</f>
        <v>Complete</v>
      </c>
      <c r="I19247" s="48" t="s">
        <v>23612</v>
      </c>
    </row>
    <row r="19248" spans="2:9" ht="15" customHeight="1" x14ac:dyDescent="0.25">
      <c r="B19248" s="55" t="s">
        <v>282</v>
      </c>
      <c r="C19248" s="46">
        <v>4236</v>
      </c>
      <c r="D19248" s="69" t="s">
        <v>29419</v>
      </c>
      <c r="E19248" s="51"/>
      <c r="F19248" s="114" t="str">
        <f>IF(INDEX(I.Facility.P3IDNumber,4236)="","",INDEX(I.Facility.P3IDNumber,4236))</f>
        <v/>
      </c>
      <c r="G19248" s="51"/>
      <c r="H19248" s="46" t="str">
        <f>IF(AND(I.Developer.P3=TRUE,I.Facility.P3FacilityCount&gt;=4236,F19248=""),"Incomplete","Complete")</f>
        <v>Complete</v>
      </c>
      <c r="I19248" s="48" t="s">
        <v>23613</v>
      </c>
    </row>
    <row r="19249" spans="2:9" ht="15" customHeight="1" x14ac:dyDescent="0.25">
      <c r="B19249" s="55" t="s">
        <v>282</v>
      </c>
      <c r="C19249" s="46">
        <v>4237</v>
      </c>
      <c r="D19249" s="69" t="s">
        <v>29419</v>
      </c>
      <c r="E19249" s="51"/>
      <c r="F19249" s="114" t="str">
        <f>IF(INDEX(I.Facility.P3IDNumber,4237)="","",INDEX(I.Facility.P3IDNumber,4237))</f>
        <v/>
      </c>
      <c r="G19249" s="51"/>
      <c r="H19249" s="46" t="str">
        <f>IF(AND(I.Developer.P3=TRUE,I.Facility.P3FacilityCount&gt;=4237,F19249=""),"Incomplete","Complete")</f>
        <v>Complete</v>
      </c>
      <c r="I19249" s="48" t="s">
        <v>23614</v>
      </c>
    </row>
    <row r="19250" spans="2:9" ht="15" customHeight="1" x14ac:dyDescent="0.25">
      <c r="B19250" s="55" t="s">
        <v>282</v>
      </c>
      <c r="C19250" s="46">
        <v>4238</v>
      </c>
      <c r="D19250" s="69" t="s">
        <v>29419</v>
      </c>
      <c r="E19250" s="51"/>
      <c r="F19250" s="114" t="str">
        <f>IF(INDEX(I.Facility.P3IDNumber,4238)="","",INDEX(I.Facility.P3IDNumber,4238))</f>
        <v/>
      </c>
      <c r="G19250" s="51"/>
      <c r="H19250" s="46" t="str">
        <f>IF(AND(I.Developer.P3=TRUE,I.Facility.P3FacilityCount&gt;=4238,F19250=""),"Incomplete","Complete")</f>
        <v>Complete</v>
      </c>
      <c r="I19250" s="48" t="s">
        <v>23615</v>
      </c>
    </row>
    <row r="19251" spans="2:9" ht="15" customHeight="1" x14ac:dyDescent="0.25">
      <c r="B19251" s="55" t="s">
        <v>282</v>
      </c>
      <c r="C19251" s="46">
        <v>4239</v>
      </c>
      <c r="D19251" s="69" t="s">
        <v>29419</v>
      </c>
      <c r="E19251" s="51"/>
      <c r="F19251" s="114" t="str">
        <f>IF(INDEX(I.Facility.P3IDNumber,4239)="","",INDEX(I.Facility.P3IDNumber,4239))</f>
        <v/>
      </c>
      <c r="G19251" s="51"/>
      <c r="H19251" s="46" t="str">
        <f>IF(AND(I.Developer.P3=TRUE,I.Facility.P3FacilityCount&gt;=4239,F19251=""),"Incomplete","Complete")</f>
        <v>Complete</v>
      </c>
      <c r="I19251" s="48" t="s">
        <v>23616</v>
      </c>
    </row>
    <row r="19252" spans="2:9" ht="15" customHeight="1" x14ac:dyDescent="0.25">
      <c r="B19252" s="55" t="s">
        <v>282</v>
      </c>
      <c r="C19252" s="46">
        <v>4240</v>
      </c>
      <c r="D19252" s="69" t="s">
        <v>29419</v>
      </c>
      <c r="E19252" s="51"/>
      <c r="F19252" s="114" t="str">
        <f>IF(INDEX(I.Facility.P3IDNumber,4240)="","",INDEX(I.Facility.P3IDNumber,4240))</f>
        <v/>
      </c>
      <c r="G19252" s="51"/>
      <c r="H19252" s="46" t="str">
        <f>IF(AND(I.Developer.P3=TRUE,I.Facility.P3FacilityCount&gt;=4240,F19252=""),"Incomplete","Complete")</f>
        <v>Complete</v>
      </c>
      <c r="I19252" s="48" t="s">
        <v>23617</v>
      </c>
    </row>
    <row r="19253" spans="2:9" ht="15" customHeight="1" x14ac:dyDescent="0.25">
      <c r="B19253" s="55" t="s">
        <v>282</v>
      </c>
      <c r="C19253" s="46">
        <v>4241</v>
      </c>
      <c r="D19253" s="69" t="s">
        <v>29419</v>
      </c>
      <c r="E19253" s="51"/>
      <c r="F19253" s="114" t="str">
        <f>IF(INDEX(I.Facility.P3IDNumber,4241)="","",INDEX(I.Facility.P3IDNumber,4241))</f>
        <v/>
      </c>
      <c r="G19253" s="51"/>
      <c r="H19253" s="46" t="str">
        <f>IF(AND(I.Developer.P3=TRUE,I.Facility.P3FacilityCount&gt;=4241,F19253=""),"Incomplete","Complete")</f>
        <v>Complete</v>
      </c>
      <c r="I19253" s="48" t="s">
        <v>23618</v>
      </c>
    </row>
    <row r="19254" spans="2:9" ht="15" customHeight="1" x14ac:dyDescent="0.25">
      <c r="B19254" s="55" t="s">
        <v>282</v>
      </c>
      <c r="C19254" s="46">
        <v>4242</v>
      </c>
      <c r="D19254" s="69" t="s">
        <v>29419</v>
      </c>
      <c r="E19254" s="51"/>
      <c r="F19254" s="114" t="str">
        <f>IF(INDEX(I.Facility.P3IDNumber,4242)="","",INDEX(I.Facility.P3IDNumber,4242))</f>
        <v/>
      </c>
      <c r="G19254" s="51"/>
      <c r="H19254" s="46" t="str">
        <f>IF(AND(I.Developer.P3=TRUE,I.Facility.P3FacilityCount&gt;=4242,F19254=""),"Incomplete","Complete")</f>
        <v>Complete</v>
      </c>
      <c r="I19254" s="48" t="s">
        <v>23619</v>
      </c>
    </row>
    <row r="19255" spans="2:9" ht="15" customHeight="1" x14ac:dyDescent="0.25">
      <c r="B19255" s="55" t="s">
        <v>282</v>
      </c>
      <c r="C19255" s="46">
        <v>4243</v>
      </c>
      <c r="D19255" s="69" t="s">
        <v>29419</v>
      </c>
      <c r="E19255" s="51"/>
      <c r="F19255" s="114" t="str">
        <f>IF(INDEX(I.Facility.P3IDNumber,4243)="","",INDEX(I.Facility.P3IDNumber,4243))</f>
        <v/>
      </c>
      <c r="G19255" s="51"/>
      <c r="H19255" s="46" t="str">
        <f>IF(AND(I.Developer.P3=TRUE,I.Facility.P3FacilityCount&gt;=4243,F19255=""),"Incomplete","Complete")</f>
        <v>Complete</v>
      </c>
      <c r="I19255" s="48" t="s">
        <v>23620</v>
      </c>
    </row>
    <row r="19256" spans="2:9" ht="15" customHeight="1" x14ac:dyDescent="0.25">
      <c r="B19256" s="55" t="s">
        <v>282</v>
      </c>
      <c r="C19256" s="46">
        <v>4244</v>
      </c>
      <c r="D19256" s="69" t="s">
        <v>29419</v>
      </c>
      <c r="E19256" s="51"/>
      <c r="F19256" s="114" t="str">
        <f>IF(INDEX(I.Facility.P3IDNumber,4244)="","",INDEX(I.Facility.P3IDNumber,4244))</f>
        <v/>
      </c>
      <c r="G19256" s="51"/>
      <c r="H19256" s="46" t="str">
        <f>IF(AND(I.Developer.P3=TRUE,I.Facility.P3FacilityCount&gt;=4244,F19256=""),"Incomplete","Complete")</f>
        <v>Complete</v>
      </c>
      <c r="I19256" s="48" t="s">
        <v>23621</v>
      </c>
    </row>
    <row r="19257" spans="2:9" ht="15" customHeight="1" x14ac:dyDescent="0.25">
      <c r="B19257" s="55" t="s">
        <v>282</v>
      </c>
      <c r="C19257" s="46">
        <v>4245</v>
      </c>
      <c r="D19257" s="69" t="s">
        <v>29419</v>
      </c>
      <c r="E19257" s="51"/>
      <c r="F19257" s="114" t="str">
        <f>IF(INDEX(I.Facility.P3IDNumber,4245)="","",INDEX(I.Facility.P3IDNumber,4245))</f>
        <v/>
      </c>
      <c r="G19257" s="51"/>
      <c r="H19257" s="46" t="str">
        <f>IF(AND(I.Developer.P3=TRUE,I.Facility.P3FacilityCount&gt;=4245,F19257=""),"Incomplete","Complete")</f>
        <v>Complete</v>
      </c>
      <c r="I19257" s="48" t="s">
        <v>23622</v>
      </c>
    </row>
    <row r="19258" spans="2:9" ht="15" customHeight="1" x14ac:dyDescent="0.25">
      <c r="B19258" s="55" t="s">
        <v>282</v>
      </c>
      <c r="C19258" s="46">
        <v>4246</v>
      </c>
      <c r="D19258" s="69" t="s">
        <v>29419</v>
      </c>
      <c r="E19258" s="51"/>
      <c r="F19258" s="114" t="str">
        <f>IF(INDEX(I.Facility.P3IDNumber,4246)="","",INDEX(I.Facility.P3IDNumber,4246))</f>
        <v/>
      </c>
      <c r="G19258" s="51"/>
      <c r="H19258" s="46" t="str">
        <f>IF(AND(I.Developer.P3=TRUE,I.Facility.P3FacilityCount&gt;=4246,F19258=""),"Incomplete","Complete")</f>
        <v>Complete</v>
      </c>
      <c r="I19258" s="48" t="s">
        <v>23623</v>
      </c>
    </row>
    <row r="19259" spans="2:9" ht="15" customHeight="1" x14ac:dyDescent="0.25">
      <c r="B19259" s="55" t="s">
        <v>282</v>
      </c>
      <c r="C19259" s="46">
        <v>4247</v>
      </c>
      <c r="D19259" s="69" t="s">
        <v>29419</v>
      </c>
      <c r="E19259" s="51"/>
      <c r="F19259" s="114" t="str">
        <f>IF(INDEX(I.Facility.P3IDNumber,4247)="","",INDEX(I.Facility.P3IDNumber,4247))</f>
        <v/>
      </c>
      <c r="G19259" s="51"/>
      <c r="H19259" s="46" t="str">
        <f>IF(AND(I.Developer.P3=TRUE,I.Facility.P3FacilityCount&gt;=4247,F19259=""),"Incomplete","Complete")</f>
        <v>Complete</v>
      </c>
      <c r="I19259" s="48" t="s">
        <v>23624</v>
      </c>
    </row>
    <row r="19260" spans="2:9" ht="15" customHeight="1" x14ac:dyDescent="0.25">
      <c r="B19260" s="55" t="s">
        <v>282</v>
      </c>
      <c r="C19260" s="46">
        <v>4248</v>
      </c>
      <c r="D19260" s="69" t="s">
        <v>29419</v>
      </c>
      <c r="E19260" s="51"/>
      <c r="F19260" s="114" t="str">
        <f>IF(INDEX(I.Facility.P3IDNumber,4248)="","",INDEX(I.Facility.P3IDNumber,4248))</f>
        <v/>
      </c>
      <c r="G19260" s="51"/>
      <c r="H19260" s="46" t="str">
        <f>IF(AND(I.Developer.P3=TRUE,I.Facility.P3FacilityCount&gt;=4248,F19260=""),"Incomplete","Complete")</f>
        <v>Complete</v>
      </c>
      <c r="I19260" s="48" t="s">
        <v>23625</v>
      </c>
    </row>
    <row r="19261" spans="2:9" ht="15" customHeight="1" x14ac:dyDescent="0.25">
      <c r="B19261" s="55" t="s">
        <v>282</v>
      </c>
      <c r="C19261" s="46">
        <v>4249</v>
      </c>
      <c r="D19261" s="69" t="s">
        <v>29419</v>
      </c>
      <c r="E19261" s="51"/>
      <c r="F19261" s="114" t="str">
        <f>IF(INDEX(I.Facility.P3IDNumber,4249)="","",INDEX(I.Facility.P3IDNumber,4249))</f>
        <v/>
      </c>
      <c r="G19261" s="51"/>
      <c r="H19261" s="46" t="str">
        <f>IF(AND(I.Developer.P3=TRUE,I.Facility.P3FacilityCount&gt;=4249,F19261=""),"Incomplete","Complete")</f>
        <v>Complete</v>
      </c>
      <c r="I19261" s="48" t="s">
        <v>23626</v>
      </c>
    </row>
    <row r="19262" spans="2:9" ht="15" customHeight="1" x14ac:dyDescent="0.25">
      <c r="B19262" s="55" t="s">
        <v>282</v>
      </c>
      <c r="C19262" s="46">
        <v>4250</v>
      </c>
      <c r="D19262" s="69" t="s">
        <v>29419</v>
      </c>
      <c r="E19262" s="51"/>
      <c r="F19262" s="114" t="str">
        <f>IF(INDEX(I.Facility.P3IDNumber,4250)="","",INDEX(I.Facility.P3IDNumber,4250))</f>
        <v/>
      </c>
      <c r="G19262" s="51"/>
      <c r="H19262" s="46" t="str">
        <f>IF(AND(I.Developer.P3=TRUE,I.Facility.P3FacilityCount&gt;=4250,F19262=""),"Incomplete","Complete")</f>
        <v>Complete</v>
      </c>
      <c r="I19262" s="48" t="s">
        <v>23627</v>
      </c>
    </row>
    <row r="19263" spans="2:9" ht="15" customHeight="1" x14ac:dyDescent="0.25">
      <c r="B19263" s="55" t="s">
        <v>282</v>
      </c>
      <c r="C19263" s="46">
        <v>4251</v>
      </c>
      <c r="D19263" s="69" t="s">
        <v>29419</v>
      </c>
      <c r="E19263" s="51"/>
      <c r="F19263" s="114" t="str">
        <f>IF(INDEX(I.Facility.P3IDNumber,4251)="","",INDEX(I.Facility.P3IDNumber,4251))</f>
        <v/>
      </c>
      <c r="G19263" s="51"/>
      <c r="H19263" s="46" t="str">
        <f>IF(AND(I.Developer.P3=TRUE,I.Facility.P3FacilityCount&gt;=4251,F19263=""),"Incomplete","Complete")</f>
        <v>Complete</v>
      </c>
      <c r="I19263" s="48" t="s">
        <v>23628</v>
      </c>
    </row>
    <row r="19264" spans="2:9" ht="15" customHeight="1" x14ac:dyDescent="0.25">
      <c r="B19264" s="55" t="s">
        <v>282</v>
      </c>
      <c r="C19264" s="46">
        <v>4252</v>
      </c>
      <c r="D19264" s="69" t="s">
        <v>29419</v>
      </c>
      <c r="E19264" s="51"/>
      <c r="F19264" s="114" t="str">
        <f>IF(INDEX(I.Facility.P3IDNumber,4252)="","",INDEX(I.Facility.P3IDNumber,4252))</f>
        <v/>
      </c>
      <c r="G19264" s="51"/>
      <c r="H19264" s="46" t="str">
        <f>IF(AND(I.Developer.P3=TRUE,I.Facility.P3FacilityCount&gt;=4252,F19264=""),"Incomplete","Complete")</f>
        <v>Complete</v>
      </c>
      <c r="I19264" s="48" t="s">
        <v>23629</v>
      </c>
    </row>
    <row r="19265" spans="2:9" ht="15" customHeight="1" x14ac:dyDescent="0.25">
      <c r="B19265" s="55" t="s">
        <v>282</v>
      </c>
      <c r="C19265" s="46">
        <v>4253</v>
      </c>
      <c r="D19265" s="69" t="s">
        <v>29419</v>
      </c>
      <c r="E19265" s="51"/>
      <c r="F19265" s="114" t="str">
        <f>IF(INDEX(I.Facility.P3IDNumber,4253)="","",INDEX(I.Facility.P3IDNumber,4253))</f>
        <v/>
      </c>
      <c r="G19265" s="51"/>
      <c r="H19265" s="46" t="str">
        <f>IF(AND(I.Developer.P3=TRUE,I.Facility.P3FacilityCount&gt;=4253,F19265=""),"Incomplete","Complete")</f>
        <v>Complete</v>
      </c>
      <c r="I19265" s="48" t="s">
        <v>23630</v>
      </c>
    </row>
    <row r="19266" spans="2:9" ht="15" customHeight="1" x14ac:dyDescent="0.25">
      <c r="B19266" s="55" t="s">
        <v>282</v>
      </c>
      <c r="C19266" s="46">
        <v>4254</v>
      </c>
      <c r="D19266" s="69" t="s">
        <v>29419</v>
      </c>
      <c r="E19266" s="51"/>
      <c r="F19266" s="114" t="str">
        <f>IF(INDEX(I.Facility.P3IDNumber,4254)="","",INDEX(I.Facility.P3IDNumber,4254))</f>
        <v/>
      </c>
      <c r="G19266" s="51"/>
      <c r="H19266" s="46" t="str">
        <f>IF(AND(I.Developer.P3=TRUE,I.Facility.P3FacilityCount&gt;=4254,F19266=""),"Incomplete","Complete")</f>
        <v>Complete</v>
      </c>
      <c r="I19266" s="48" t="s">
        <v>23631</v>
      </c>
    </row>
    <row r="19267" spans="2:9" ht="15" customHeight="1" x14ac:dyDescent="0.25">
      <c r="B19267" s="55" t="s">
        <v>282</v>
      </c>
      <c r="C19267" s="46">
        <v>4255</v>
      </c>
      <c r="D19267" s="69" t="s">
        <v>29419</v>
      </c>
      <c r="E19267" s="51"/>
      <c r="F19267" s="114" t="str">
        <f>IF(INDEX(I.Facility.P3IDNumber,4255)="","",INDEX(I.Facility.P3IDNumber,4255))</f>
        <v/>
      </c>
      <c r="G19267" s="51"/>
      <c r="H19267" s="46" t="str">
        <f>IF(AND(I.Developer.P3=TRUE,I.Facility.P3FacilityCount&gt;=4255,F19267=""),"Incomplete","Complete")</f>
        <v>Complete</v>
      </c>
      <c r="I19267" s="48" t="s">
        <v>23632</v>
      </c>
    </row>
    <row r="19268" spans="2:9" ht="15" customHeight="1" x14ac:dyDescent="0.25">
      <c r="B19268" s="55" t="s">
        <v>282</v>
      </c>
      <c r="C19268" s="46">
        <v>4256</v>
      </c>
      <c r="D19268" s="69" t="s">
        <v>29419</v>
      </c>
      <c r="E19268" s="51"/>
      <c r="F19268" s="114" t="str">
        <f>IF(INDEX(I.Facility.P3IDNumber,4256)="","",INDEX(I.Facility.P3IDNumber,4256))</f>
        <v/>
      </c>
      <c r="G19268" s="51"/>
      <c r="H19268" s="46" t="str">
        <f>IF(AND(I.Developer.P3=TRUE,I.Facility.P3FacilityCount&gt;=4256,F19268=""),"Incomplete","Complete")</f>
        <v>Complete</v>
      </c>
      <c r="I19268" s="48" t="s">
        <v>23633</v>
      </c>
    </row>
    <row r="19269" spans="2:9" ht="15" customHeight="1" x14ac:dyDescent="0.25">
      <c r="B19269" s="55" t="s">
        <v>282</v>
      </c>
      <c r="C19269" s="46">
        <v>4257</v>
      </c>
      <c r="D19269" s="69" t="s">
        <v>29419</v>
      </c>
      <c r="E19269" s="51"/>
      <c r="F19269" s="114" t="str">
        <f>IF(INDEX(I.Facility.P3IDNumber,4257)="","",INDEX(I.Facility.P3IDNumber,4257))</f>
        <v/>
      </c>
      <c r="G19269" s="51"/>
      <c r="H19269" s="46" t="str">
        <f>IF(AND(I.Developer.P3=TRUE,I.Facility.P3FacilityCount&gt;=4257,F19269=""),"Incomplete","Complete")</f>
        <v>Complete</v>
      </c>
      <c r="I19269" s="48" t="s">
        <v>23634</v>
      </c>
    </row>
    <row r="19270" spans="2:9" ht="15" customHeight="1" x14ac:dyDescent="0.25">
      <c r="B19270" s="55" t="s">
        <v>282</v>
      </c>
      <c r="C19270" s="46">
        <v>4258</v>
      </c>
      <c r="D19270" s="69" t="s">
        <v>29419</v>
      </c>
      <c r="E19270" s="51"/>
      <c r="F19270" s="114" t="str">
        <f>IF(INDEX(I.Facility.P3IDNumber,4258)="","",INDEX(I.Facility.P3IDNumber,4258))</f>
        <v/>
      </c>
      <c r="G19270" s="51"/>
      <c r="H19270" s="46" t="str">
        <f>IF(AND(I.Developer.P3=TRUE,I.Facility.P3FacilityCount&gt;=4258,F19270=""),"Incomplete","Complete")</f>
        <v>Complete</v>
      </c>
      <c r="I19270" s="48" t="s">
        <v>23635</v>
      </c>
    </row>
    <row r="19271" spans="2:9" ht="15" customHeight="1" x14ac:dyDescent="0.25">
      <c r="B19271" s="55" t="s">
        <v>282</v>
      </c>
      <c r="C19271" s="46">
        <v>4259</v>
      </c>
      <c r="D19271" s="69" t="s">
        <v>29419</v>
      </c>
      <c r="E19271" s="51"/>
      <c r="F19271" s="114" t="str">
        <f>IF(INDEX(I.Facility.P3IDNumber,4259)="","",INDEX(I.Facility.P3IDNumber,4259))</f>
        <v/>
      </c>
      <c r="G19271" s="51"/>
      <c r="H19271" s="46" t="str">
        <f>IF(AND(I.Developer.P3=TRUE,I.Facility.P3FacilityCount&gt;=4259,F19271=""),"Incomplete","Complete")</f>
        <v>Complete</v>
      </c>
      <c r="I19271" s="48" t="s">
        <v>23636</v>
      </c>
    </row>
    <row r="19272" spans="2:9" ht="15" customHeight="1" x14ac:dyDescent="0.25">
      <c r="B19272" s="55" t="s">
        <v>282</v>
      </c>
      <c r="C19272" s="46">
        <v>4260</v>
      </c>
      <c r="D19272" s="69" t="s">
        <v>29419</v>
      </c>
      <c r="E19272" s="51"/>
      <c r="F19272" s="114" t="str">
        <f>IF(INDEX(I.Facility.P3IDNumber,4260)="","",INDEX(I.Facility.P3IDNumber,4260))</f>
        <v/>
      </c>
      <c r="G19272" s="51"/>
      <c r="H19272" s="46" t="str">
        <f>IF(AND(I.Developer.P3=TRUE,I.Facility.P3FacilityCount&gt;=4260,F19272=""),"Incomplete","Complete")</f>
        <v>Complete</v>
      </c>
      <c r="I19272" s="48" t="s">
        <v>23637</v>
      </c>
    </row>
    <row r="19273" spans="2:9" ht="15" customHeight="1" x14ac:dyDescent="0.25">
      <c r="B19273" s="55" t="s">
        <v>282</v>
      </c>
      <c r="C19273" s="46">
        <v>4261</v>
      </c>
      <c r="D19273" s="69" t="s">
        <v>29419</v>
      </c>
      <c r="E19273" s="51"/>
      <c r="F19273" s="114" t="str">
        <f>IF(INDEX(I.Facility.P3IDNumber,4261)="","",INDEX(I.Facility.P3IDNumber,4261))</f>
        <v/>
      </c>
      <c r="G19273" s="51"/>
      <c r="H19273" s="46" t="str">
        <f>IF(AND(I.Developer.P3=TRUE,I.Facility.P3FacilityCount&gt;=4261,F19273=""),"Incomplete","Complete")</f>
        <v>Complete</v>
      </c>
      <c r="I19273" s="48" t="s">
        <v>23638</v>
      </c>
    </row>
    <row r="19274" spans="2:9" ht="15" customHeight="1" x14ac:dyDescent="0.25">
      <c r="B19274" s="55" t="s">
        <v>282</v>
      </c>
      <c r="C19274" s="46">
        <v>4262</v>
      </c>
      <c r="D19274" s="69" t="s">
        <v>29419</v>
      </c>
      <c r="E19274" s="51"/>
      <c r="F19274" s="114" t="str">
        <f>IF(INDEX(I.Facility.P3IDNumber,4262)="","",INDEX(I.Facility.P3IDNumber,4262))</f>
        <v/>
      </c>
      <c r="G19274" s="51"/>
      <c r="H19274" s="46" t="str">
        <f>IF(AND(I.Developer.P3=TRUE,I.Facility.P3FacilityCount&gt;=4262,F19274=""),"Incomplete","Complete")</f>
        <v>Complete</v>
      </c>
      <c r="I19274" s="48" t="s">
        <v>23639</v>
      </c>
    </row>
    <row r="19275" spans="2:9" ht="15" customHeight="1" x14ac:dyDescent="0.25">
      <c r="B19275" s="55" t="s">
        <v>282</v>
      </c>
      <c r="C19275" s="46">
        <v>4263</v>
      </c>
      <c r="D19275" s="69" t="s">
        <v>29419</v>
      </c>
      <c r="E19275" s="51"/>
      <c r="F19275" s="114" t="str">
        <f>IF(INDEX(I.Facility.P3IDNumber,4263)="","",INDEX(I.Facility.P3IDNumber,4263))</f>
        <v/>
      </c>
      <c r="G19275" s="51"/>
      <c r="H19275" s="46" t="str">
        <f>IF(AND(I.Developer.P3=TRUE,I.Facility.P3FacilityCount&gt;=4263,F19275=""),"Incomplete","Complete")</f>
        <v>Complete</v>
      </c>
      <c r="I19275" s="48" t="s">
        <v>23640</v>
      </c>
    </row>
    <row r="19276" spans="2:9" ht="15" customHeight="1" x14ac:dyDescent="0.25">
      <c r="B19276" s="55" t="s">
        <v>282</v>
      </c>
      <c r="C19276" s="46">
        <v>4264</v>
      </c>
      <c r="D19276" s="69" t="s">
        <v>29419</v>
      </c>
      <c r="E19276" s="51"/>
      <c r="F19276" s="114" t="str">
        <f>IF(INDEX(I.Facility.P3IDNumber,4264)="","",INDEX(I.Facility.P3IDNumber,4264))</f>
        <v/>
      </c>
      <c r="G19276" s="51"/>
      <c r="H19276" s="46" t="str">
        <f>IF(AND(I.Developer.P3=TRUE,I.Facility.P3FacilityCount&gt;=4264,F19276=""),"Incomplete","Complete")</f>
        <v>Complete</v>
      </c>
      <c r="I19276" s="48" t="s">
        <v>23641</v>
      </c>
    </row>
    <row r="19277" spans="2:9" ht="15" customHeight="1" x14ac:dyDescent="0.25">
      <c r="B19277" s="55" t="s">
        <v>282</v>
      </c>
      <c r="C19277" s="46">
        <v>4265</v>
      </c>
      <c r="D19277" s="69" t="s">
        <v>29419</v>
      </c>
      <c r="E19277" s="51"/>
      <c r="F19277" s="114" t="str">
        <f>IF(INDEX(I.Facility.P3IDNumber,4265)="","",INDEX(I.Facility.P3IDNumber,4265))</f>
        <v/>
      </c>
      <c r="G19277" s="51"/>
      <c r="H19277" s="46" t="str">
        <f>IF(AND(I.Developer.P3=TRUE,I.Facility.P3FacilityCount&gt;=4265,F19277=""),"Incomplete","Complete")</f>
        <v>Complete</v>
      </c>
      <c r="I19277" s="48" t="s">
        <v>23642</v>
      </c>
    </row>
    <row r="19278" spans="2:9" ht="15" customHeight="1" x14ac:dyDescent="0.25">
      <c r="B19278" s="55" t="s">
        <v>282</v>
      </c>
      <c r="C19278" s="46">
        <v>4266</v>
      </c>
      <c r="D19278" s="69" t="s">
        <v>29419</v>
      </c>
      <c r="E19278" s="51"/>
      <c r="F19278" s="114" t="str">
        <f>IF(INDEX(I.Facility.P3IDNumber,4266)="","",INDEX(I.Facility.P3IDNumber,4266))</f>
        <v/>
      </c>
      <c r="G19278" s="51"/>
      <c r="H19278" s="46" t="str">
        <f>IF(AND(I.Developer.P3=TRUE,I.Facility.P3FacilityCount&gt;=4266,F19278=""),"Incomplete","Complete")</f>
        <v>Complete</v>
      </c>
      <c r="I19278" s="48" t="s">
        <v>23643</v>
      </c>
    </row>
    <row r="19279" spans="2:9" ht="15" customHeight="1" x14ac:dyDescent="0.25">
      <c r="B19279" s="55" t="s">
        <v>282</v>
      </c>
      <c r="C19279" s="46">
        <v>4267</v>
      </c>
      <c r="D19279" s="69" t="s">
        <v>29419</v>
      </c>
      <c r="E19279" s="51"/>
      <c r="F19279" s="114" t="str">
        <f>IF(INDEX(I.Facility.P3IDNumber,4267)="","",INDEX(I.Facility.P3IDNumber,4267))</f>
        <v/>
      </c>
      <c r="G19279" s="51"/>
      <c r="H19279" s="46" t="str">
        <f>IF(AND(I.Developer.P3=TRUE,I.Facility.P3FacilityCount&gt;=4267,F19279=""),"Incomplete","Complete")</f>
        <v>Complete</v>
      </c>
      <c r="I19279" s="48" t="s">
        <v>23644</v>
      </c>
    </row>
    <row r="19280" spans="2:9" ht="15" customHeight="1" x14ac:dyDescent="0.25">
      <c r="B19280" s="55" t="s">
        <v>282</v>
      </c>
      <c r="C19280" s="46">
        <v>4268</v>
      </c>
      <c r="D19280" s="69" t="s">
        <v>29419</v>
      </c>
      <c r="E19280" s="51"/>
      <c r="F19280" s="114" t="str">
        <f>IF(INDEX(I.Facility.P3IDNumber,4268)="","",INDEX(I.Facility.P3IDNumber,4268))</f>
        <v/>
      </c>
      <c r="G19280" s="51"/>
      <c r="H19280" s="46" t="str">
        <f>IF(AND(I.Developer.P3=TRUE,I.Facility.P3FacilityCount&gt;=4268,F19280=""),"Incomplete","Complete")</f>
        <v>Complete</v>
      </c>
      <c r="I19280" s="48" t="s">
        <v>23645</v>
      </c>
    </row>
    <row r="19281" spans="2:9" ht="15" customHeight="1" x14ac:dyDescent="0.25">
      <c r="B19281" s="55" t="s">
        <v>282</v>
      </c>
      <c r="C19281" s="46">
        <v>4269</v>
      </c>
      <c r="D19281" s="69" t="s">
        <v>29419</v>
      </c>
      <c r="E19281" s="51"/>
      <c r="F19281" s="114" t="str">
        <f>IF(INDEX(I.Facility.P3IDNumber,4269)="","",INDEX(I.Facility.P3IDNumber,4269))</f>
        <v/>
      </c>
      <c r="G19281" s="51"/>
      <c r="H19281" s="46" t="str">
        <f>IF(AND(I.Developer.P3=TRUE,I.Facility.P3FacilityCount&gt;=4269,F19281=""),"Incomplete","Complete")</f>
        <v>Complete</v>
      </c>
      <c r="I19281" s="48" t="s">
        <v>23646</v>
      </c>
    </row>
    <row r="19282" spans="2:9" ht="15" customHeight="1" x14ac:dyDescent="0.25">
      <c r="B19282" s="55" t="s">
        <v>282</v>
      </c>
      <c r="C19282" s="46">
        <v>4270</v>
      </c>
      <c r="D19282" s="69" t="s">
        <v>29419</v>
      </c>
      <c r="E19282" s="51"/>
      <c r="F19282" s="114" t="str">
        <f>IF(INDEX(I.Facility.P3IDNumber,4270)="","",INDEX(I.Facility.P3IDNumber,4270))</f>
        <v/>
      </c>
      <c r="G19282" s="51"/>
      <c r="H19282" s="46" t="str">
        <f>IF(AND(I.Developer.P3=TRUE,I.Facility.P3FacilityCount&gt;=4270,F19282=""),"Incomplete","Complete")</f>
        <v>Complete</v>
      </c>
      <c r="I19282" s="48" t="s">
        <v>23647</v>
      </c>
    </row>
    <row r="19283" spans="2:9" ht="15" customHeight="1" x14ac:dyDescent="0.25">
      <c r="B19283" s="55" t="s">
        <v>282</v>
      </c>
      <c r="C19283" s="46">
        <v>4271</v>
      </c>
      <c r="D19283" s="69" t="s">
        <v>29419</v>
      </c>
      <c r="E19283" s="51"/>
      <c r="F19283" s="114" t="str">
        <f>IF(INDEX(I.Facility.P3IDNumber,4271)="","",INDEX(I.Facility.P3IDNumber,4271))</f>
        <v/>
      </c>
      <c r="G19283" s="51"/>
      <c r="H19283" s="46" t="str">
        <f>IF(AND(I.Developer.P3=TRUE,I.Facility.P3FacilityCount&gt;=4271,F19283=""),"Incomplete","Complete")</f>
        <v>Complete</v>
      </c>
      <c r="I19283" s="48" t="s">
        <v>23648</v>
      </c>
    </row>
    <row r="19284" spans="2:9" ht="15" customHeight="1" x14ac:dyDescent="0.25">
      <c r="B19284" s="55" t="s">
        <v>282</v>
      </c>
      <c r="C19284" s="46">
        <v>4272</v>
      </c>
      <c r="D19284" s="69" t="s">
        <v>29419</v>
      </c>
      <c r="E19284" s="51"/>
      <c r="F19284" s="114" t="str">
        <f>IF(INDEX(I.Facility.P3IDNumber,4272)="","",INDEX(I.Facility.P3IDNumber,4272))</f>
        <v/>
      </c>
      <c r="G19284" s="51"/>
      <c r="H19284" s="46" t="str">
        <f>IF(AND(I.Developer.P3=TRUE,I.Facility.P3FacilityCount&gt;=4272,F19284=""),"Incomplete","Complete")</f>
        <v>Complete</v>
      </c>
      <c r="I19284" s="48" t="s">
        <v>23649</v>
      </c>
    </row>
    <row r="19285" spans="2:9" ht="15" customHeight="1" x14ac:dyDescent="0.25">
      <c r="B19285" s="55" t="s">
        <v>282</v>
      </c>
      <c r="C19285" s="46">
        <v>4273</v>
      </c>
      <c r="D19285" s="69" t="s">
        <v>29419</v>
      </c>
      <c r="E19285" s="51"/>
      <c r="F19285" s="114" t="str">
        <f>IF(INDEX(I.Facility.P3IDNumber,4273)="","",INDEX(I.Facility.P3IDNumber,4273))</f>
        <v/>
      </c>
      <c r="G19285" s="51"/>
      <c r="H19285" s="46" t="str">
        <f>IF(AND(I.Developer.P3=TRUE,I.Facility.P3FacilityCount&gt;=4273,F19285=""),"Incomplete","Complete")</f>
        <v>Complete</v>
      </c>
      <c r="I19285" s="48" t="s">
        <v>23650</v>
      </c>
    </row>
    <row r="19286" spans="2:9" ht="15" customHeight="1" x14ac:dyDescent="0.25">
      <c r="B19286" s="55" t="s">
        <v>282</v>
      </c>
      <c r="C19286" s="46">
        <v>4274</v>
      </c>
      <c r="D19286" s="69" t="s">
        <v>29419</v>
      </c>
      <c r="E19286" s="51"/>
      <c r="F19286" s="114" t="str">
        <f>IF(INDEX(I.Facility.P3IDNumber,4274)="","",INDEX(I.Facility.P3IDNumber,4274))</f>
        <v/>
      </c>
      <c r="G19286" s="51"/>
      <c r="H19286" s="46" t="str">
        <f>IF(AND(I.Developer.P3=TRUE,I.Facility.P3FacilityCount&gt;=4274,F19286=""),"Incomplete","Complete")</f>
        <v>Complete</v>
      </c>
      <c r="I19286" s="48" t="s">
        <v>23651</v>
      </c>
    </row>
    <row r="19287" spans="2:9" ht="15" customHeight="1" x14ac:dyDescent="0.25">
      <c r="B19287" s="55" t="s">
        <v>282</v>
      </c>
      <c r="C19287" s="46">
        <v>4275</v>
      </c>
      <c r="D19287" s="69" t="s">
        <v>29419</v>
      </c>
      <c r="E19287" s="51"/>
      <c r="F19287" s="114" t="str">
        <f>IF(INDEX(I.Facility.P3IDNumber,4275)="","",INDEX(I.Facility.P3IDNumber,4275))</f>
        <v/>
      </c>
      <c r="G19287" s="51"/>
      <c r="H19287" s="46" t="str">
        <f>IF(AND(I.Developer.P3=TRUE,I.Facility.P3FacilityCount&gt;=4275,F19287=""),"Incomplete","Complete")</f>
        <v>Complete</v>
      </c>
      <c r="I19287" s="48" t="s">
        <v>23652</v>
      </c>
    </row>
    <row r="19288" spans="2:9" ht="15" customHeight="1" x14ac:dyDescent="0.25">
      <c r="B19288" s="55" t="s">
        <v>282</v>
      </c>
      <c r="C19288" s="46">
        <v>4276</v>
      </c>
      <c r="D19288" s="69" t="s">
        <v>29419</v>
      </c>
      <c r="E19288" s="51"/>
      <c r="F19288" s="114" t="str">
        <f>IF(INDEX(I.Facility.P3IDNumber,4276)="","",INDEX(I.Facility.P3IDNumber,4276))</f>
        <v/>
      </c>
      <c r="G19288" s="51"/>
      <c r="H19288" s="46" t="str">
        <f>IF(AND(I.Developer.P3=TRUE,I.Facility.P3FacilityCount&gt;=4276,F19288=""),"Incomplete","Complete")</f>
        <v>Complete</v>
      </c>
      <c r="I19288" s="48" t="s">
        <v>23653</v>
      </c>
    </row>
    <row r="19289" spans="2:9" ht="15" customHeight="1" x14ac:dyDescent="0.25">
      <c r="B19289" s="55" t="s">
        <v>282</v>
      </c>
      <c r="C19289" s="46">
        <v>4277</v>
      </c>
      <c r="D19289" s="69" t="s">
        <v>29419</v>
      </c>
      <c r="E19289" s="51"/>
      <c r="F19289" s="114" t="str">
        <f>IF(INDEX(I.Facility.P3IDNumber,4277)="","",INDEX(I.Facility.P3IDNumber,4277))</f>
        <v/>
      </c>
      <c r="G19289" s="51"/>
      <c r="H19289" s="46" t="str">
        <f>IF(AND(I.Developer.P3=TRUE,I.Facility.P3FacilityCount&gt;=4277,F19289=""),"Incomplete","Complete")</f>
        <v>Complete</v>
      </c>
      <c r="I19289" s="48" t="s">
        <v>23654</v>
      </c>
    </row>
    <row r="19290" spans="2:9" ht="15" customHeight="1" x14ac:dyDescent="0.25">
      <c r="B19290" s="55" t="s">
        <v>282</v>
      </c>
      <c r="C19290" s="46">
        <v>4278</v>
      </c>
      <c r="D19290" s="69" t="s">
        <v>29419</v>
      </c>
      <c r="E19290" s="51"/>
      <c r="F19290" s="114" t="str">
        <f>IF(INDEX(I.Facility.P3IDNumber,4278)="","",INDEX(I.Facility.P3IDNumber,4278))</f>
        <v/>
      </c>
      <c r="G19290" s="51"/>
      <c r="H19290" s="46" t="str">
        <f>IF(AND(I.Developer.P3=TRUE,I.Facility.P3FacilityCount&gt;=4278,F19290=""),"Incomplete","Complete")</f>
        <v>Complete</v>
      </c>
      <c r="I19290" s="48" t="s">
        <v>23655</v>
      </c>
    </row>
    <row r="19291" spans="2:9" ht="15" customHeight="1" x14ac:dyDescent="0.25">
      <c r="B19291" s="55" t="s">
        <v>282</v>
      </c>
      <c r="C19291" s="46">
        <v>4279</v>
      </c>
      <c r="D19291" s="69" t="s">
        <v>29419</v>
      </c>
      <c r="E19291" s="51"/>
      <c r="F19291" s="114" t="str">
        <f>IF(INDEX(I.Facility.P3IDNumber,4279)="","",INDEX(I.Facility.P3IDNumber,4279))</f>
        <v/>
      </c>
      <c r="G19291" s="51"/>
      <c r="H19291" s="46" t="str">
        <f>IF(AND(I.Developer.P3=TRUE,I.Facility.P3FacilityCount&gt;=4279,F19291=""),"Incomplete","Complete")</f>
        <v>Complete</v>
      </c>
      <c r="I19291" s="48" t="s">
        <v>23656</v>
      </c>
    </row>
    <row r="19292" spans="2:9" ht="15" customHeight="1" x14ac:dyDescent="0.25">
      <c r="B19292" s="55" t="s">
        <v>282</v>
      </c>
      <c r="C19292" s="46">
        <v>4280</v>
      </c>
      <c r="D19292" s="69" t="s">
        <v>29419</v>
      </c>
      <c r="E19292" s="51"/>
      <c r="F19292" s="114" t="str">
        <f>IF(INDEX(I.Facility.P3IDNumber,4280)="","",INDEX(I.Facility.P3IDNumber,4280))</f>
        <v/>
      </c>
      <c r="G19292" s="51"/>
      <c r="H19292" s="46" t="str">
        <f>IF(AND(I.Developer.P3=TRUE,I.Facility.P3FacilityCount&gt;=4280,F19292=""),"Incomplete","Complete")</f>
        <v>Complete</v>
      </c>
      <c r="I19292" s="48" t="s">
        <v>23657</v>
      </c>
    </row>
    <row r="19293" spans="2:9" ht="15" customHeight="1" x14ac:dyDescent="0.25">
      <c r="B19293" s="55" t="s">
        <v>282</v>
      </c>
      <c r="C19293" s="46">
        <v>4281</v>
      </c>
      <c r="D19293" s="69" t="s">
        <v>29419</v>
      </c>
      <c r="E19293" s="51"/>
      <c r="F19293" s="114" t="str">
        <f>IF(INDEX(I.Facility.P3IDNumber,4281)="","",INDEX(I.Facility.P3IDNumber,4281))</f>
        <v/>
      </c>
      <c r="G19293" s="51"/>
      <c r="H19293" s="46" t="str">
        <f>IF(AND(I.Developer.P3=TRUE,I.Facility.P3FacilityCount&gt;=4281,F19293=""),"Incomplete","Complete")</f>
        <v>Complete</v>
      </c>
      <c r="I19293" s="48" t="s">
        <v>23658</v>
      </c>
    </row>
    <row r="19294" spans="2:9" ht="15" customHeight="1" x14ac:dyDescent="0.25">
      <c r="B19294" s="55" t="s">
        <v>282</v>
      </c>
      <c r="C19294" s="46">
        <v>4282</v>
      </c>
      <c r="D19294" s="69" t="s">
        <v>29419</v>
      </c>
      <c r="E19294" s="51"/>
      <c r="F19294" s="114" t="str">
        <f>IF(INDEX(I.Facility.P3IDNumber,4282)="","",INDEX(I.Facility.P3IDNumber,4282))</f>
        <v/>
      </c>
      <c r="G19294" s="51"/>
      <c r="H19294" s="46" t="str">
        <f>IF(AND(I.Developer.P3=TRUE,I.Facility.P3FacilityCount&gt;=4282,F19294=""),"Incomplete","Complete")</f>
        <v>Complete</v>
      </c>
      <c r="I19294" s="48" t="s">
        <v>23659</v>
      </c>
    </row>
    <row r="19295" spans="2:9" ht="15" customHeight="1" x14ac:dyDescent="0.25">
      <c r="B19295" s="55" t="s">
        <v>282</v>
      </c>
      <c r="C19295" s="46">
        <v>4283</v>
      </c>
      <c r="D19295" s="69" t="s">
        <v>29419</v>
      </c>
      <c r="E19295" s="51"/>
      <c r="F19295" s="114" t="str">
        <f>IF(INDEX(I.Facility.P3IDNumber,4283)="","",INDEX(I.Facility.P3IDNumber,4283))</f>
        <v/>
      </c>
      <c r="G19295" s="51"/>
      <c r="H19295" s="46" t="str">
        <f>IF(AND(I.Developer.P3=TRUE,I.Facility.P3FacilityCount&gt;=4283,F19295=""),"Incomplete","Complete")</f>
        <v>Complete</v>
      </c>
      <c r="I19295" s="48" t="s">
        <v>23660</v>
      </c>
    </row>
    <row r="19296" spans="2:9" ht="15" customHeight="1" x14ac:dyDescent="0.25">
      <c r="B19296" s="55" t="s">
        <v>282</v>
      </c>
      <c r="C19296" s="46">
        <v>4284</v>
      </c>
      <c r="D19296" s="69" t="s">
        <v>29419</v>
      </c>
      <c r="E19296" s="51"/>
      <c r="F19296" s="114" t="str">
        <f>IF(INDEX(I.Facility.P3IDNumber,4284)="","",INDEX(I.Facility.P3IDNumber,4284))</f>
        <v/>
      </c>
      <c r="G19296" s="51"/>
      <c r="H19296" s="46" t="str">
        <f>IF(AND(I.Developer.P3=TRUE,I.Facility.P3FacilityCount&gt;=4284,F19296=""),"Incomplete","Complete")</f>
        <v>Complete</v>
      </c>
      <c r="I19296" s="48" t="s">
        <v>23661</v>
      </c>
    </row>
    <row r="19297" spans="2:9" ht="15" customHeight="1" x14ac:dyDescent="0.25">
      <c r="B19297" s="55" t="s">
        <v>282</v>
      </c>
      <c r="C19297" s="46">
        <v>4285</v>
      </c>
      <c r="D19297" s="69" t="s">
        <v>29419</v>
      </c>
      <c r="E19297" s="51"/>
      <c r="F19297" s="114" t="str">
        <f>IF(INDEX(I.Facility.P3IDNumber,4285)="","",INDEX(I.Facility.P3IDNumber,4285))</f>
        <v/>
      </c>
      <c r="G19297" s="51"/>
      <c r="H19297" s="46" t="str">
        <f>IF(AND(I.Developer.P3=TRUE,I.Facility.P3FacilityCount&gt;=4285,F19297=""),"Incomplete","Complete")</f>
        <v>Complete</v>
      </c>
      <c r="I19297" s="48" t="s">
        <v>23662</v>
      </c>
    </row>
    <row r="19298" spans="2:9" ht="15" customHeight="1" x14ac:dyDescent="0.25">
      <c r="B19298" s="55" t="s">
        <v>282</v>
      </c>
      <c r="C19298" s="46">
        <v>4286</v>
      </c>
      <c r="D19298" s="69" t="s">
        <v>29419</v>
      </c>
      <c r="E19298" s="51"/>
      <c r="F19298" s="114" t="str">
        <f>IF(INDEX(I.Facility.P3IDNumber,4286)="","",INDEX(I.Facility.P3IDNumber,4286))</f>
        <v/>
      </c>
      <c r="G19298" s="51"/>
      <c r="H19298" s="46" t="str">
        <f>IF(AND(I.Developer.P3=TRUE,I.Facility.P3FacilityCount&gt;=4286,F19298=""),"Incomplete","Complete")</f>
        <v>Complete</v>
      </c>
      <c r="I19298" s="48" t="s">
        <v>23663</v>
      </c>
    </row>
    <row r="19299" spans="2:9" ht="15" customHeight="1" x14ac:dyDescent="0.25">
      <c r="B19299" s="55" t="s">
        <v>282</v>
      </c>
      <c r="C19299" s="46">
        <v>4287</v>
      </c>
      <c r="D19299" s="69" t="s">
        <v>29419</v>
      </c>
      <c r="E19299" s="51"/>
      <c r="F19299" s="114" t="str">
        <f>IF(INDEX(I.Facility.P3IDNumber,4287)="","",INDEX(I.Facility.P3IDNumber,4287))</f>
        <v/>
      </c>
      <c r="G19299" s="51"/>
      <c r="H19299" s="46" t="str">
        <f>IF(AND(I.Developer.P3=TRUE,I.Facility.P3FacilityCount&gt;=4287,F19299=""),"Incomplete","Complete")</f>
        <v>Complete</v>
      </c>
      <c r="I19299" s="48" t="s">
        <v>23664</v>
      </c>
    </row>
    <row r="19300" spans="2:9" ht="15" customHeight="1" x14ac:dyDescent="0.25">
      <c r="B19300" s="55" t="s">
        <v>282</v>
      </c>
      <c r="C19300" s="46">
        <v>4288</v>
      </c>
      <c r="D19300" s="69" t="s">
        <v>29419</v>
      </c>
      <c r="E19300" s="51"/>
      <c r="F19300" s="114" t="str">
        <f>IF(INDEX(I.Facility.P3IDNumber,4288)="","",INDEX(I.Facility.P3IDNumber,4288))</f>
        <v/>
      </c>
      <c r="G19300" s="51"/>
      <c r="H19300" s="46" t="str">
        <f>IF(AND(I.Developer.P3=TRUE,I.Facility.P3FacilityCount&gt;=4288,F19300=""),"Incomplete","Complete")</f>
        <v>Complete</v>
      </c>
      <c r="I19300" s="48" t="s">
        <v>23665</v>
      </c>
    </row>
    <row r="19301" spans="2:9" ht="15" customHeight="1" x14ac:dyDescent="0.25">
      <c r="B19301" s="55" t="s">
        <v>282</v>
      </c>
      <c r="C19301" s="46">
        <v>4289</v>
      </c>
      <c r="D19301" s="69" t="s">
        <v>29419</v>
      </c>
      <c r="E19301" s="51"/>
      <c r="F19301" s="114" t="str">
        <f>IF(INDEX(I.Facility.P3IDNumber,4289)="","",INDEX(I.Facility.P3IDNumber,4289))</f>
        <v/>
      </c>
      <c r="G19301" s="51"/>
      <c r="H19301" s="46" t="str">
        <f>IF(AND(I.Developer.P3=TRUE,I.Facility.P3FacilityCount&gt;=4289,F19301=""),"Incomplete","Complete")</f>
        <v>Complete</v>
      </c>
      <c r="I19301" s="48" t="s">
        <v>23666</v>
      </c>
    </row>
    <row r="19302" spans="2:9" ht="15" customHeight="1" x14ac:dyDescent="0.25">
      <c r="B19302" s="55" t="s">
        <v>282</v>
      </c>
      <c r="C19302" s="46">
        <v>4290</v>
      </c>
      <c r="D19302" s="69" t="s">
        <v>29419</v>
      </c>
      <c r="E19302" s="51"/>
      <c r="F19302" s="114" t="str">
        <f>IF(INDEX(I.Facility.P3IDNumber,4290)="","",INDEX(I.Facility.P3IDNumber,4290))</f>
        <v/>
      </c>
      <c r="G19302" s="51"/>
      <c r="H19302" s="46" t="str">
        <f>IF(AND(I.Developer.P3=TRUE,I.Facility.P3FacilityCount&gt;=4290,F19302=""),"Incomplete","Complete")</f>
        <v>Complete</v>
      </c>
      <c r="I19302" s="48" t="s">
        <v>23667</v>
      </c>
    </row>
    <row r="19303" spans="2:9" ht="15" customHeight="1" x14ac:dyDescent="0.25">
      <c r="B19303" s="55" t="s">
        <v>282</v>
      </c>
      <c r="C19303" s="46">
        <v>4291</v>
      </c>
      <c r="D19303" s="69" t="s">
        <v>29419</v>
      </c>
      <c r="E19303" s="51"/>
      <c r="F19303" s="114" t="str">
        <f>IF(INDEX(I.Facility.P3IDNumber,4291)="","",INDEX(I.Facility.P3IDNumber,4291))</f>
        <v/>
      </c>
      <c r="G19303" s="51"/>
      <c r="H19303" s="46" t="str">
        <f>IF(AND(I.Developer.P3=TRUE,I.Facility.P3FacilityCount&gt;=4291,F19303=""),"Incomplete","Complete")</f>
        <v>Complete</v>
      </c>
      <c r="I19303" s="48" t="s">
        <v>23668</v>
      </c>
    </row>
    <row r="19304" spans="2:9" ht="15" customHeight="1" x14ac:dyDescent="0.25">
      <c r="B19304" s="55" t="s">
        <v>282</v>
      </c>
      <c r="C19304" s="46">
        <v>4292</v>
      </c>
      <c r="D19304" s="69" t="s">
        <v>29419</v>
      </c>
      <c r="E19304" s="51"/>
      <c r="F19304" s="114" t="str">
        <f>IF(INDEX(I.Facility.P3IDNumber,4292)="","",INDEX(I.Facility.P3IDNumber,4292))</f>
        <v/>
      </c>
      <c r="G19304" s="51"/>
      <c r="H19304" s="46" t="str">
        <f>IF(AND(I.Developer.P3=TRUE,I.Facility.P3FacilityCount&gt;=4292,F19304=""),"Incomplete","Complete")</f>
        <v>Complete</v>
      </c>
      <c r="I19304" s="48" t="s">
        <v>23669</v>
      </c>
    </row>
    <row r="19305" spans="2:9" ht="15" customHeight="1" x14ac:dyDescent="0.25">
      <c r="B19305" s="55" t="s">
        <v>282</v>
      </c>
      <c r="C19305" s="46">
        <v>4293</v>
      </c>
      <c r="D19305" s="69" t="s">
        <v>29419</v>
      </c>
      <c r="E19305" s="51"/>
      <c r="F19305" s="114" t="str">
        <f>IF(INDEX(I.Facility.P3IDNumber,4293)="","",INDEX(I.Facility.P3IDNumber,4293))</f>
        <v/>
      </c>
      <c r="G19305" s="51"/>
      <c r="H19305" s="46" t="str">
        <f>IF(AND(I.Developer.P3=TRUE,I.Facility.P3FacilityCount&gt;=4293,F19305=""),"Incomplete","Complete")</f>
        <v>Complete</v>
      </c>
      <c r="I19305" s="48" t="s">
        <v>23670</v>
      </c>
    </row>
    <row r="19306" spans="2:9" ht="15" customHeight="1" x14ac:dyDescent="0.25">
      <c r="B19306" s="55" t="s">
        <v>282</v>
      </c>
      <c r="C19306" s="46">
        <v>4294</v>
      </c>
      <c r="D19306" s="69" t="s">
        <v>29419</v>
      </c>
      <c r="E19306" s="51"/>
      <c r="F19306" s="114" t="str">
        <f>IF(INDEX(I.Facility.P3IDNumber,4294)="","",INDEX(I.Facility.P3IDNumber,4294))</f>
        <v/>
      </c>
      <c r="G19306" s="51"/>
      <c r="H19306" s="46" t="str">
        <f>IF(AND(I.Developer.P3=TRUE,I.Facility.P3FacilityCount&gt;=4294,F19306=""),"Incomplete","Complete")</f>
        <v>Complete</v>
      </c>
      <c r="I19306" s="48" t="s">
        <v>23671</v>
      </c>
    </row>
    <row r="19307" spans="2:9" ht="15" customHeight="1" x14ac:dyDescent="0.25">
      <c r="B19307" s="55" t="s">
        <v>282</v>
      </c>
      <c r="C19307" s="46">
        <v>4295</v>
      </c>
      <c r="D19307" s="69" t="s">
        <v>29419</v>
      </c>
      <c r="E19307" s="51"/>
      <c r="F19307" s="114" t="str">
        <f>IF(INDEX(I.Facility.P3IDNumber,4295)="","",INDEX(I.Facility.P3IDNumber,4295))</f>
        <v/>
      </c>
      <c r="G19307" s="51"/>
      <c r="H19307" s="46" t="str">
        <f>IF(AND(I.Developer.P3=TRUE,I.Facility.P3FacilityCount&gt;=4295,F19307=""),"Incomplete","Complete")</f>
        <v>Complete</v>
      </c>
      <c r="I19307" s="48" t="s">
        <v>23672</v>
      </c>
    </row>
    <row r="19308" spans="2:9" ht="15" customHeight="1" x14ac:dyDescent="0.25">
      <c r="B19308" s="55" t="s">
        <v>282</v>
      </c>
      <c r="C19308" s="46">
        <v>4296</v>
      </c>
      <c r="D19308" s="69" t="s">
        <v>29419</v>
      </c>
      <c r="E19308" s="51"/>
      <c r="F19308" s="114" t="str">
        <f>IF(INDEX(I.Facility.P3IDNumber,4296)="","",INDEX(I.Facility.P3IDNumber,4296))</f>
        <v/>
      </c>
      <c r="G19308" s="51"/>
      <c r="H19308" s="46" t="str">
        <f>IF(AND(I.Developer.P3=TRUE,I.Facility.P3FacilityCount&gt;=4296,F19308=""),"Incomplete","Complete")</f>
        <v>Complete</v>
      </c>
      <c r="I19308" s="48" t="s">
        <v>23673</v>
      </c>
    </row>
    <row r="19309" spans="2:9" ht="15" customHeight="1" x14ac:dyDescent="0.25">
      <c r="B19309" s="55" t="s">
        <v>282</v>
      </c>
      <c r="C19309" s="46">
        <v>4297</v>
      </c>
      <c r="D19309" s="69" t="s">
        <v>29419</v>
      </c>
      <c r="E19309" s="51"/>
      <c r="F19309" s="114" t="str">
        <f>IF(INDEX(I.Facility.P3IDNumber,4297)="","",INDEX(I.Facility.P3IDNumber,4297))</f>
        <v/>
      </c>
      <c r="G19309" s="51"/>
      <c r="H19309" s="46" t="str">
        <f>IF(AND(I.Developer.P3=TRUE,I.Facility.P3FacilityCount&gt;=4297,F19309=""),"Incomplete","Complete")</f>
        <v>Complete</v>
      </c>
      <c r="I19309" s="48" t="s">
        <v>23674</v>
      </c>
    </row>
    <row r="19310" spans="2:9" ht="15" customHeight="1" x14ac:dyDescent="0.25">
      <c r="B19310" s="55" t="s">
        <v>282</v>
      </c>
      <c r="C19310" s="46">
        <v>4298</v>
      </c>
      <c r="D19310" s="69" t="s">
        <v>29419</v>
      </c>
      <c r="E19310" s="51"/>
      <c r="F19310" s="114" t="str">
        <f>IF(INDEX(I.Facility.P3IDNumber,4298)="","",INDEX(I.Facility.P3IDNumber,4298))</f>
        <v/>
      </c>
      <c r="G19310" s="51"/>
      <c r="H19310" s="46" t="str">
        <f>IF(AND(I.Developer.P3=TRUE,I.Facility.P3FacilityCount&gt;=4298,F19310=""),"Incomplete","Complete")</f>
        <v>Complete</v>
      </c>
      <c r="I19310" s="48" t="s">
        <v>23675</v>
      </c>
    </row>
    <row r="19311" spans="2:9" ht="15" customHeight="1" x14ac:dyDescent="0.25">
      <c r="B19311" s="55" t="s">
        <v>282</v>
      </c>
      <c r="C19311" s="46">
        <v>4299</v>
      </c>
      <c r="D19311" s="69" t="s">
        <v>29419</v>
      </c>
      <c r="E19311" s="51"/>
      <c r="F19311" s="114" t="str">
        <f>IF(INDEX(I.Facility.P3IDNumber,4299)="","",INDEX(I.Facility.P3IDNumber,4299))</f>
        <v/>
      </c>
      <c r="G19311" s="51"/>
      <c r="H19311" s="46" t="str">
        <f>IF(AND(I.Developer.P3=TRUE,I.Facility.P3FacilityCount&gt;=4299,F19311=""),"Incomplete","Complete")</f>
        <v>Complete</v>
      </c>
      <c r="I19311" s="48" t="s">
        <v>23676</v>
      </c>
    </row>
    <row r="19312" spans="2:9" ht="15" customHeight="1" x14ac:dyDescent="0.25">
      <c r="B19312" s="55" t="s">
        <v>282</v>
      </c>
      <c r="C19312" s="46">
        <v>4300</v>
      </c>
      <c r="D19312" s="69" t="s">
        <v>29419</v>
      </c>
      <c r="E19312" s="51"/>
      <c r="F19312" s="114" t="str">
        <f>IF(INDEX(I.Facility.P3IDNumber,4300)="","",INDEX(I.Facility.P3IDNumber,4300))</f>
        <v/>
      </c>
      <c r="G19312" s="51"/>
      <c r="H19312" s="46" t="str">
        <f>IF(AND(I.Developer.P3=TRUE,I.Facility.P3FacilityCount&gt;=4300,F19312=""),"Incomplete","Complete")</f>
        <v>Complete</v>
      </c>
      <c r="I19312" s="48" t="s">
        <v>23677</v>
      </c>
    </row>
    <row r="19313" spans="2:9" ht="15" customHeight="1" x14ac:dyDescent="0.25">
      <c r="B19313" s="55" t="s">
        <v>282</v>
      </c>
      <c r="C19313" s="46">
        <v>4301</v>
      </c>
      <c r="D19313" s="69" t="s">
        <v>29419</v>
      </c>
      <c r="E19313" s="51"/>
      <c r="F19313" s="114" t="str">
        <f>IF(INDEX(I.Facility.P3IDNumber,4301)="","",INDEX(I.Facility.P3IDNumber,4301))</f>
        <v/>
      </c>
      <c r="G19313" s="51"/>
      <c r="H19313" s="46" t="str">
        <f>IF(AND(I.Developer.P3=TRUE,I.Facility.P3FacilityCount&gt;=4301,F19313=""),"Incomplete","Complete")</f>
        <v>Complete</v>
      </c>
      <c r="I19313" s="48" t="s">
        <v>23678</v>
      </c>
    </row>
    <row r="19314" spans="2:9" ht="15" customHeight="1" x14ac:dyDescent="0.25">
      <c r="B19314" s="55" t="s">
        <v>282</v>
      </c>
      <c r="C19314" s="46">
        <v>4302</v>
      </c>
      <c r="D19314" s="69" t="s">
        <v>29419</v>
      </c>
      <c r="E19314" s="51"/>
      <c r="F19314" s="114" t="str">
        <f>IF(INDEX(I.Facility.P3IDNumber,4302)="","",INDEX(I.Facility.P3IDNumber,4302))</f>
        <v/>
      </c>
      <c r="G19314" s="51"/>
      <c r="H19314" s="46" t="str">
        <f>IF(AND(I.Developer.P3=TRUE,I.Facility.P3FacilityCount&gt;=4302,F19314=""),"Incomplete","Complete")</f>
        <v>Complete</v>
      </c>
      <c r="I19314" s="48" t="s">
        <v>23679</v>
      </c>
    </row>
    <row r="19315" spans="2:9" ht="15" customHeight="1" x14ac:dyDescent="0.25">
      <c r="B19315" s="55" t="s">
        <v>282</v>
      </c>
      <c r="C19315" s="46">
        <v>4303</v>
      </c>
      <c r="D19315" s="69" t="s">
        <v>29419</v>
      </c>
      <c r="E19315" s="51"/>
      <c r="F19315" s="114" t="str">
        <f>IF(INDEX(I.Facility.P3IDNumber,4303)="","",INDEX(I.Facility.P3IDNumber,4303))</f>
        <v/>
      </c>
      <c r="G19315" s="51"/>
      <c r="H19315" s="46" t="str">
        <f>IF(AND(I.Developer.P3=TRUE,I.Facility.P3FacilityCount&gt;=4303,F19315=""),"Incomplete","Complete")</f>
        <v>Complete</v>
      </c>
      <c r="I19315" s="48" t="s">
        <v>23680</v>
      </c>
    </row>
    <row r="19316" spans="2:9" ht="15" customHeight="1" x14ac:dyDescent="0.25">
      <c r="B19316" s="55" t="s">
        <v>282</v>
      </c>
      <c r="C19316" s="46">
        <v>4304</v>
      </c>
      <c r="D19316" s="69" t="s">
        <v>29419</v>
      </c>
      <c r="E19316" s="51"/>
      <c r="F19316" s="114" t="str">
        <f>IF(INDEX(I.Facility.P3IDNumber,4304)="","",INDEX(I.Facility.P3IDNumber,4304))</f>
        <v/>
      </c>
      <c r="G19316" s="51"/>
      <c r="H19316" s="46" t="str">
        <f>IF(AND(I.Developer.P3=TRUE,I.Facility.P3FacilityCount&gt;=4304,F19316=""),"Incomplete","Complete")</f>
        <v>Complete</v>
      </c>
      <c r="I19316" s="48" t="s">
        <v>23681</v>
      </c>
    </row>
    <row r="19317" spans="2:9" ht="15" customHeight="1" x14ac:dyDescent="0.25">
      <c r="B19317" s="55" t="s">
        <v>282</v>
      </c>
      <c r="C19317" s="46">
        <v>4305</v>
      </c>
      <c r="D19317" s="69" t="s">
        <v>29419</v>
      </c>
      <c r="E19317" s="51"/>
      <c r="F19317" s="114" t="str">
        <f>IF(INDEX(I.Facility.P3IDNumber,4305)="","",INDEX(I.Facility.P3IDNumber,4305))</f>
        <v/>
      </c>
      <c r="G19317" s="51"/>
      <c r="H19317" s="46" t="str">
        <f>IF(AND(I.Developer.P3=TRUE,I.Facility.P3FacilityCount&gt;=4305,F19317=""),"Incomplete","Complete")</f>
        <v>Complete</v>
      </c>
      <c r="I19317" s="48" t="s">
        <v>23682</v>
      </c>
    </row>
    <row r="19318" spans="2:9" ht="15" customHeight="1" x14ac:dyDescent="0.25">
      <c r="B19318" s="55" t="s">
        <v>282</v>
      </c>
      <c r="C19318" s="46">
        <v>4306</v>
      </c>
      <c r="D19318" s="69" t="s">
        <v>29419</v>
      </c>
      <c r="E19318" s="51"/>
      <c r="F19318" s="114" t="str">
        <f>IF(INDEX(I.Facility.P3IDNumber,4306)="","",INDEX(I.Facility.P3IDNumber,4306))</f>
        <v/>
      </c>
      <c r="G19318" s="51"/>
      <c r="H19318" s="46" t="str">
        <f>IF(AND(I.Developer.P3=TRUE,I.Facility.P3FacilityCount&gt;=4306,F19318=""),"Incomplete","Complete")</f>
        <v>Complete</v>
      </c>
      <c r="I19318" s="48" t="s">
        <v>23683</v>
      </c>
    </row>
    <row r="19319" spans="2:9" ht="15" customHeight="1" x14ac:dyDescent="0.25">
      <c r="B19319" s="55" t="s">
        <v>282</v>
      </c>
      <c r="C19319" s="46">
        <v>4307</v>
      </c>
      <c r="D19319" s="69" t="s">
        <v>29419</v>
      </c>
      <c r="E19319" s="51"/>
      <c r="F19319" s="114" t="str">
        <f>IF(INDEX(I.Facility.P3IDNumber,4307)="","",INDEX(I.Facility.P3IDNumber,4307))</f>
        <v/>
      </c>
      <c r="G19319" s="51"/>
      <c r="H19319" s="46" t="str">
        <f>IF(AND(I.Developer.P3=TRUE,I.Facility.P3FacilityCount&gt;=4307,F19319=""),"Incomplete","Complete")</f>
        <v>Complete</v>
      </c>
      <c r="I19319" s="48" t="s">
        <v>23684</v>
      </c>
    </row>
    <row r="19320" spans="2:9" ht="15" customHeight="1" x14ac:dyDescent="0.25">
      <c r="B19320" s="55" t="s">
        <v>282</v>
      </c>
      <c r="C19320" s="46">
        <v>4308</v>
      </c>
      <c r="D19320" s="69" t="s">
        <v>29419</v>
      </c>
      <c r="E19320" s="51"/>
      <c r="F19320" s="114" t="str">
        <f>IF(INDEX(I.Facility.P3IDNumber,4308)="","",INDEX(I.Facility.P3IDNumber,4308))</f>
        <v/>
      </c>
      <c r="G19320" s="51"/>
      <c r="H19320" s="46" t="str">
        <f>IF(AND(I.Developer.P3=TRUE,I.Facility.P3FacilityCount&gt;=4308,F19320=""),"Incomplete","Complete")</f>
        <v>Complete</v>
      </c>
      <c r="I19320" s="48" t="s">
        <v>23685</v>
      </c>
    </row>
    <row r="19321" spans="2:9" ht="15" customHeight="1" x14ac:dyDescent="0.25">
      <c r="B19321" s="55" t="s">
        <v>282</v>
      </c>
      <c r="C19321" s="46">
        <v>4309</v>
      </c>
      <c r="D19321" s="69" t="s">
        <v>29419</v>
      </c>
      <c r="E19321" s="51"/>
      <c r="F19321" s="114" t="str">
        <f>IF(INDEX(I.Facility.P3IDNumber,4309)="","",INDEX(I.Facility.P3IDNumber,4309))</f>
        <v/>
      </c>
      <c r="G19321" s="51"/>
      <c r="H19321" s="46" t="str">
        <f>IF(AND(I.Developer.P3=TRUE,I.Facility.P3FacilityCount&gt;=4309,F19321=""),"Incomplete","Complete")</f>
        <v>Complete</v>
      </c>
      <c r="I19321" s="48" t="s">
        <v>23686</v>
      </c>
    </row>
    <row r="19322" spans="2:9" ht="15" customHeight="1" x14ac:dyDescent="0.25">
      <c r="B19322" s="55" t="s">
        <v>282</v>
      </c>
      <c r="C19322" s="46">
        <v>4310</v>
      </c>
      <c r="D19322" s="69" t="s">
        <v>29419</v>
      </c>
      <c r="E19322" s="51"/>
      <c r="F19322" s="114" t="str">
        <f>IF(INDEX(I.Facility.P3IDNumber,4310)="","",INDEX(I.Facility.P3IDNumber,4310))</f>
        <v/>
      </c>
      <c r="G19322" s="51"/>
      <c r="H19322" s="46" t="str">
        <f>IF(AND(I.Developer.P3=TRUE,I.Facility.P3FacilityCount&gt;=4310,F19322=""),"Incomplete","Complete")</f>
        <v>Complete</v>
      </c>
      <c r="I19322" s="48" t="s">
        <v>23687</v>
      </c>
    </row>
    <row r="19323" spans="2:9" ht="15" customHeight="1" x14ac:dyDescent="0.25">
      <c r="B19323" s="55" t="s">
        <v>282</v>
      </c>
      <c r="C19323" s="46">
        <v>4311</v>
      </c>
      <c r="D19323" s="69" t="s">
        <v>29419</v>
      </c>
      <c r="E19323" s="51"/>
      <c r="F19323" s="114" t="str">
        <f>IF(INDEX(I.Facility.P3IDNumber,4311)="","",INDEX(I.Facility.P3IDNumber,4311))</f>
        <v/>
      </c>
      <c r="G19323" s="51"/>
      <c r="H19323" s="46" t="str">
        <f>IF(AND(I.Developer.P3=TRUE,I.Facility.P3FacilityCount&gt;=4311,F19323=""),"Incomplete","Complete")</f>
        <v>Complete</v>
      </c>
      <c r="I19323" s="48" t="s">
        <v>23688</v>
      </c>
    </row>
    <row r="19324" spans="2:9" ht="15" customHeight="1" x14ac:dyDescent="0.25">
      <c r="B19324" s="55" t="s">
        <v>282</v>
      </c>
      <c r="C19324" s="46">
        <v>4312</v>
      </c>
      <c r="D19324" s="69" t="s">
        <v>29419</v>
      </c>
      <c r="E19324" s="51"/>
      <c r="F19324" s="114" t="str">
        <f>IF(INDEX(I.Facility.P3IDNumber,4312)="","",INDEX(I.Facility.P3IDNumber,4312))</f>
        <v/>
      </c>
      <c r="G19324" s="51"/>
      <c r="H19324" s="46" t="str">
        <f>IF(AND(I.Developer.P3=TRUE,I.Facility.P3FacilityCount&gt;=4312,F19324=""),"Incomplete","Complete")</f>
        <v>Complete</v>
      </c>
      <c r="I19324" s="48" t="s">
        <v>23689</v>
      </c>
    </row>
    <row r="19325" spans="2:9" ht="15" customHeight="1" x14ac:dyDescent="0.25">
      <c r="B19325" s="55" t="s">
        <v>282</v>
      </c>
      <c r="C19325" s="46">
        <v>4313</v>
      </c>
      <c r="D19325" s="69" t="s">
        <v>29419</v>
      </c>
      <c r="E19325" s="51"/>
      <c r="F19325" s="114" t="str">
        <f>IF(INDEX(I.Facility.P3IDNumber,4313)="","",INDEX(I.Facility.P3IDNumber,4313))</f>
        <v/>
      </c>
      <c r="G19325" s="51"/>
      <c r="H19325" s="46" t="str">
        <f>IF(AND(I.Developer.P3=TRUE,I.Facility.P3FacilityCount&gt;=4313,F19325=""),"Incomplete","Complete")</f>
        <v>Complete</v>
      </c>
      <c r="I19325" s="48" t="s">
        <v>23690</v>
      </c>
    </row>
    <row r="19326" spans="2:9" ht="15" customHeight="1" x14ac:dyDescent="0.25">
      <c r="B19326" s="55" t="s">
        <v>282</v>
      </c>
      <c r="C19326" s="46">
        <v>4314</v>
      </c>
      <c r="D19326" s="69" t="s">
        <v>29419</v>
      </c>
      <c r="E19326" s="51"/>
      <c r="F19326" s="114" t="str">
        <f>IF(INDEX(I.Facility.P3IDNumber,4314)="","",INDEX(I.Facility.P3IDNumber,4314))</f>
        <v/>
      </c>
      <c r="G19326" s="51"/>
      <c r="H19326" s="46" t="str">
        <f>IF(AND(I.Developer.P3=TRUE,I.Facility.P3FacilityCount&gt;=4314,F19326=""),"Incomplete","Complete")</f>
        <v>Complete</v>
      </c>
      <c r="I19326" s="48" t="s">
        <v>23691</v>
      </c>
    </row>
    <row r="19327" spans="2:9" ht="15" customHeight="1" x14ac:dyDescent="0.25">
      <c r="B19327" s="55" t="s">
        <v>282</v>
      </c>
      <c r="C19327" s="46">
        <v>4315</v>
      </c>
      <c r="D19327" s="69" t="s">
        <v>29419</v>
      </c>
      <c r="E19327" s="51"/>
      <c r="F19327" s="114" t="str">
        <f>IF(INDEX(I.Facility.P3IDNumber,4315)="","",INDEX(I.Facility.P3IDNumber,4315))</f>
        <v/>
      </c>
      <c r="G19327" s="51"/>
      <c r="H19327" s="46" t="str">
        <f>IF(AND(I.Developer.P3=TRUE,I.Facility.P3FacilityCount&gt;=4315,F19327=""),"Incomplete","Complete")</f>
        <v>Complete</v>
      </c>
      <c r="I19327" s="48" t="s">
        <v>23692</v>
      </c>
    </row>
    <row r="19328" spans="2:9" ht="15" customHeight="1" x14ac:dyDescent="0.25">
      <c r="B19328" s="55" t="s">
        <v>282</v>
      </c>
      <c r="C19328" s="46">
        <v>4316</v>
      </c>
      <c r="D19328" s="69" t="s">
        <v>29419</v>
      </c>
      <c r="E19328" s="51"/>
      <c r="F19328" s="114" t="str">
        <f>IF(INDEX(I.Facility.P3IDNumber,4316)="","",INDEX(I.Facility.P3IDNumber,4316))</f>
        <v/>
      </c>
      <c r="G19328" s="51"/>
      <c r="H19328" s="46" t="str">
        <f>IF(AND(I.Developer.P3=TRUE,I.Facility.P3FacilityCount&gt;=4316,F19328=""),"Incomplete","Complete")</f>
        <v>Complete</v>
      </c>
      <c r="I19328" s="48" t="s">
        <v>23693</v>
      </c>
    </row>
    <row r="19329" spans="2:9" ht="15" customHeight="1" x14ac:dyDescent="0.25">
      <c r="B19329" s="55" t="s">
        <v>282</v>
      </c>
      <c r="C19329" s="46">
        <v>4317</v>
      </c>
      <c r="D19329" s="69" t="s">
        <v>29419</v>
      </c>
      <c r="E19329" s="51"/>
      <c r="F19329" s="114" t="str">
        <f>IF(INDEX(I.Facility.P3IDNumber,4317)="","",INDEX(I.Facility.P3IDNumber,4317))</f>
        <v/>
      </c>
      <c r="G19329" s="51"/>
      <c r="H19329" s="46" t="str">
        <f>IF(AND(I.Developer.P3=TRUE,I.Facility.P3FacilityCount&gt;=4317,F19329=""),"Incomplete","Complete")</f>
        <v>Complete</v>
      </c>
      <c r="I19329" s="48" t="s">
        <v>23694</v>
      </c>
    </row>
    <row r="19330" spans="2:9" ht="15" customHeight="1" x14ac:dyDescent="0.25">
      <c r="B19330" s="55" t="s">
        <v>282</v>
      </c>
      <c r="C19330" s="46">
        <v>4318</v>
      </c>
      <c r="D19330" s="69" t="s">
        <v>29419</v>
      </c>
      <c r="E19330" s="51"/>
      <c r="F19330" s="114" t="str">
        <f>IF(INDEX(I.Facility.P3IDNumber,4318)="","",INDEX(I.Facility.P3IDNumber,4318))</f>
        <v/>
      </c>
      <c r="G19330" s="51"/>
      <c r="H19330" s="46" t="str">
        <f>IF(AND(I.Developer.P3=TRUE,I.Facility.P3FacilityCount&gt;=4318,F19330=""),"Incomplete","Complete")</f>
        <v>Complete</v>
      </c>
      <c r="I19330" s="48" t="s">
        <v>23695</v>
      </c>
    </row>
    <row r="19331" spans="2:9" ht="15" customHeight="1" x14ac:dyDescent="0.25">
      <c r="B19331" s="55" t="s">
        <v>282</v>
      </c>
      <c r="C19331" s="46">
        <v>4319</v>
      </c>
      <c r="D19331" s="69" t="s">
        <v>29419</v>
      </c>
      <c r="E19331" s="51"/>
      <c r="F19331" s="114" t="str">
        <f>IF(INDEX(I.Facility.P3IDNumber,4319)="","",INDEX(I.Facility.P3IDNumber,4319))</f>
        <v/>
      </c>
      <c r="G19331" s="51"/>
      <c r="H19331" s="46" t="str">
        <f>IF(AND(I.Developer.P3=TRUE,I.Facility.P3FacilityCount&gt;=4319,F19331=""),"Incomplete","Complete")</f>
        <v>Complete</v>
      </c>
      <c r="I19331" s="48" t="s">
        <v>23696</v>
      </c>
    </row>
    <row r="19332" spans="2:9" ht="15" customHeight="1" x14ac:dyDescent="0.25">
      <c r="B19332" s="55" t="s">
        <v>282</v>
      </c>
      <c r="C19332" s="46">
        <v>4320</v>
      </c>
      <c r="D19332" s="69" t="s">
        <v>29419</v>
      </c>
      <c r="E19332" s="51"/>
      <c r="F19332" s="114" t="str">
        <f>IF(INDEX(I.Facility.P3IDNumber,4320)="","",INDEX(I.Facility.P3IDNumber,4320))</f>
        <v/>
      </c>
      <c r="G19332" s="51"/>
      <c r="H19332" s="46" t="str">
        <f>IF(AND(I.Developer.P3=TRUE,I.Facility.P3FacilityCount&gt;=4320,F19332=""),"Incomplete","Complete")</f>
        <v>Complete</v>
      </c>
      <c r="I19332" s="48" t="s">
        <v>23697</v>
      </c>
    </row>
    <row r="19333" spans="2:9" ht="15" customHeight="1" x14ac:dyDescent="0.25">
      <c r="B19333" s="55" t="s">
        <v>282</v>
      </c>
      <c r="C19333" s="46">
        <v>4321</v>
      </c>
      <c r="D19333" s="69" t="s">
        <v>29419</v>
      </c>
      <c r="E19333" s="51"/>
      <c r="F19333" s="114" t="str">
        <f>IF(INDEX(I.Facility.P3IDNumber,4321)="","",INDEX(I.Facility.P3IDNumber,4321))</f>
        <v/>
      </c>
      <c r="G19333" s="51"/>
      <c r="H19333" s="46" t="str">
        <f>IF(AND(I.Developer.P3=TRUE,I.Facility.P3FacilityCount&gt;=4321,F19333=""),"Incomplete","Complete")</f>
        <v>Complete</v>
      </c>
      <c r="I19333" s="48" t="s">
        <v>23698</v>
      </c>
    </row>
    <row r="19334" spans="2:9" ht="15" customHeight="1" x14ac:dyDescent="0.25">
      <c r="B19334" s="55" t="s">
        <v>282</v>
      </c>
      <c r="C19334" s="46">
        <v>4322</v>
      </c>
      <c r="D19334" s="69" t="s">
        <v>29419</v>
      </c>
      <c r="E19334" s="51"/>
      <c r="F19334" s="114" t="str">
        <f>IF(INDEX(I.Facility.P3IDNumber,4322)="","",INDEX(I.Facility.P3IDNumber,4322))</f>
        <v/>
      </c>
      <c r="G19334" s="51"/>
      <c r="H19334" s="46" t="str">
        <f>IF(AND(I.Developer.P3=TRUE,I.Facility.P3FacilityCount&gt;=4322,F19334=""),"Incomplete","Complete")</f>
        <v>Complete</v>
      </c>
      <c r="I19334" s="48" t="s">
        <v>23699</v>
      </c>
    </row>
    <row r="19335" spans="2:9" ht="15" customHeight="1" x14ac:dyDescent="0.25">
      <c r="B19335" s="55" t="s">
        <v>282</v>
      </c>
      <c r="C19335" s="46">
        <v>4323</v>
      </c>
      <c r="D19335" s="69" t="s">
        <v>29419</v>
      </c>
      <c r="E19335" s="51"/>
      <c r="F19335" s="114" t="str">
        <f>IF(INDEX(I.Facility.P3IDNumber,4323)="","",INDEX(I.Facility.P3IDNumber,4323))</f>
        <v/>
      </c>
      <c r="G19335" s="51"/>
      <c r="H19335" s="46" t="str">
        <f>IF(AND(I.Developer.P3=TRUE,I.Facility.P3FacilityCount&gt;=4323,F19335=""),"Incomplete","Complete")</f>
        <v>Complete</v>
      </c>
      <c r="I19335" s="48" t="s">
        <v>23700</v>
      </c>
    </row>
    <row r="19336" spans="2:9" ht="15" customHeight="1" x14ac:dyDescent="0.25">
      <c r="B19336" s="55" t="s">
        <v>282</v>
      </c>
      <c r="C19336" s="46">
        <v>4324</v>
      </c>
      <c r="D19336" s="69" t="s">
        <v>29419</v>
      </c>
      <c r="E19336" s="51"/>
      <c r="F19336" s="114" t="str">
        <f>IF(INDEX(I.Facility.P3IDNumber,4324)="","",INDEX(I.Facility.P3IDNumber,4324))</f>
        <v/>
      </c>
      <c r="G19336" s="51"/>
      <c r="H19336" s="46" t="str">
        <f>IF(AND(I.Developer.P3=TRUE,I.Facility.P3FacilityCount&gt;=4324,F19336=""),"Incomplete","Complete")</f>
        <v>Complete</v>
      </c>
      <c r="I19336" s="48" t="s">
        <v>23701</v>
      </c>
    </row>
    <row r="19337" spans="2:9" ht="15" customHeight="1" x14ac:dyDescent="0.25">
      <c r="B19337" s="55" t="s">
        <v>282</v>
      </c>
      <c r="C19337" s="46">
        <v>4325</v>
      </c>
      <c r="D19337" s="69" t="s">
        <v>29419</v>
      </c>
      <c r="E19337" s="51"/>
      <c r="F19337" s="114" t="str">
        <f>IF(INDEX(I.Facility.P3IDNumber,4325)="","",INDEX(I.Facility.P3IDNumber,4325))</f>
        <v/>
      </c>
      <c r="G19337" s="51"/>
      <c r="H19337" s="46" t="str">
        <f>IF(AND(I.Developer.P3=TRUE,I.Facility.P3FacilityCount&gt;=4325,F19337=""),"Incomplete","Complete")</f>
        <v>Complete</v>
      </c>
      <c r="I19337" s="48" t="s">
        <v>23702</v>
      </c>
    </row>
    <row r="19338" spans="2:9" ht="15" customHeight="1" x14ac:dyDescent="0.25">
      <c r="B19338" s="55" t="s">
        <v>282</v>
      </c>
      <c r="C19338" s="46">
        <v>4326</v>
      </c>
      <c r="D19338" s="69" t="s">
        <v>29419</v>
      </c>
      <c r="E19338" s="51"/>
      <c r="F19338" s="114" t="str">
        <f>IF(INDEX(I.Facility.P3IDNumber,4326)="","",INDEX(I.Facility.P3IDNumber,4326))</f>
        <v/>
      </c>
      <c r="G19338" s="51"/>
      <c r="H19338" s="46" t="str">
        <f>IF(AND(I.Developer.P3=TRUE,I.Facility.P3FacilityCount&gt;=4326,F19338=""),"Incomplete","Complete")</f>
        <v>Complete</v>
      </c>
      <c r="I19338" s="48" t="s">
        <v>23703</v>
      </c>
    </row>
    <row r="19339" spans="2:9" ht="15" customHeight="1" x14ac:dyDescent="0.25">
      <c r="B19339" s="55" t="s">
        <v>282</v>
      </c>
      <c r="C19339" s="46">
        <v>4327</v>
      </c>
      <c r="D19339" s="69" t="s">
        <v>29419</v>
      </c>
      <c r="E19339" s="51"/>
      <c r="F19339" s="114" t="str">
        <f>IF(INDEX(I.Facility.P3IDNumber,4327)="","",INDEX(I.Facility.P3IDNumber,4327))</f>
        <v/>
      </c>
      <c r="G19339" s="51"/>
      <c r="H19339" s="46" t="str">
        <f>IF(AND(I.Developer.P3=TRUE,I.Facility.P3FacilityCount&gt;=4327,F19339=""),"Incomplete","Complete")</f>
        <v>Complete</v>
      </c>
      <c r="I19339" s="48" t="s">
        <v>23704</v>
      </c>
    </row>
    <row r="19340" spans="2:9" ht="15" customHeight="1" x14ac:dyDescent="0.25">
      <c r="B19340" s="55" t="s">
        <v>282</v>
      </c>
      <c r="C19340" s="46">
        <v>4328</v>
      </c>
      <c r="D19340" s="69" t="s">
        <v>29419</v>
      </c>
      <c r="E19340" s="51"/>
      <c r="F19340" s="114" t="str">
        <f>IF(INDEX(I.Facility.P3IDNumber,4328)="","",INDEX(I.Facility.P3IDNumber,4328))</f>
        <v/>
      </c>
      <c r="G19340" s="51"/>
      <c r="H19340" s="46" t="str">
        <f>IF(AND(I.Developer.P3=TRUE,I.Facility.P3FacilityCount&gt;=4328,F19340=""),"Incomplete","Complete")</f>
        <v>Complete</v>
      </c>
      <c r="I19340" s="48" t="s">
        <v>23705</v>
      </c>
    </row>
    <row r="19341" spans="2:9" ht="15" customHeight="1" x14ac:dyDescent="0.25">
      <c r="B19341" s="55" t="s">
        <v>282</v>
      </c>
      <c r="C19341" s="46">
        <v>4329</v>
      </c>
      <c r="D19341" s="69" t="s">
        <v>29419</v>
      </c>
      <c r="E19341" s="51"/>
      <c r="F19341" s="114" t="str">
        <f>IF(INDEX(I.Facility.P3IDNumber,4329)="","",INDEX(I.Facility.P3IDNumber,4329))</f>
        <v/>
      </c>
      <c r="G19341" s="51"/>
      <c r="H19341" s="46" t="str">
        <f>IF(AND(I.Developer.P3=TRUE,I.Facility.P3FacilityCount&gt;=4329,F19341=""),"Incomplete","Complete")</f>
        <v>Complete</v>
      </c>
      <c r="I19341" s="48" t="s">
        <v>23706</v>
      </c>
    </row>
    <row r="19342" spans="2:9" ht="15" customHeight="1" x14ac:dyDescent="0.25">
      <c r="B19342" s="55" t="s">
        <v>282</v>
      </c>
      <c r="C19342" s="46">
        <v>4330</v>
      </c>
      <c r="D19342" s="69" t="s">
        <v>29419</v>
      </c>
      <c r="E19342" s="51"/>
      <c r="F19342" s="114" t="str">
        <f>IF(INDEX(I.Facility.P3IDNumber,4330)="","",INDEX(I.Facility.P3IDNumber,4330))</f>
        <v/>
      </c>
      <c r="G19342" s="51"/>
      <c r="H19342" s="46" t="str">
        <f>IF(AND(I.Developer.P3=TRUE,I.Facility.P3FacilityCount&gt;=4330,F19342=""),"Incomplete","Complete")</f>
        <v>Complete</v>
      </c>
      <c r="I19342" s="48" t="s">
        <v>23707</v>
      </c>
    </row>
    <row r="19343" spans="2:9" ht="15" customHeight="1" x14ac:dyDescent="0.25">
      <c r="B19343" s="55" t="s">
        <v>282</v>
      </c>
      <c r="C19343" s="46">
        <v>4331</v>
      </c>
      <c r="D19343" s="69" t="s">
        <v>29419</v>
      </c>
      <c r="E19343" s="51"/>
      <c r="F19343" s="114" t="str">
        <f>IF(INDEX(I.Facility.P3IDNumber,4331)="","",INDEX(I.Facility.P3IDNumber,4331))</f>
        <v/>
      </c>
      <c r="G19343" s="51"/>
      <c r="H19343" s="46" t="str">
        <f>IF(AND(I.Developer.P3=TRUE,I.Facility.P3FacilityCount&gt;=4331,F19343=""),"Incomplete","Complete")</f>
        <v>Complete</v>
      </c>
      <c r="I19343" s="48" t="s">
        <v>23708</v>
      </c>
    </row>
    <row r="19344" spans="2:9" ht="15" customHeight="1" x14ac:dyDescent="0.25">
      <c r="B19344" s="55" t="s">
        <v>282</v>
      </c>
      <c r="C19344" s="46">
        <v>4332</v>
      </c>
      <c r="D19344" s="69" t="s">
        <v>29419</v>
      </c>
      <c r="E19344" s="51"/>
      <c r="F19344" s="114" t="str">
        <f>IF(INDEX(I.Facility.P3IDNumber,4332)="","",INDEX(I.Facility.P3IDNumber,4332))</f>
        <v/>
      </c>
      <c r="G19344" s="51"/>
      <c r="H19344" s="46" t="str">
        <f>IF(AND(I.Developer.P3=TRUE,I.Facility.P3FacilityCount&gt;=4332,F19344=""),"Incomplete","Complete")</f>
        <v>Complete</v>
      </c>
      <c r="I19344" s="48" t="s">
        <v>23709</v>
      </c>
    </row>
    <row r="19345" spans="2:9" ht="15" customHeight="1" x14ac:dyDescent="0.25">
      <c r="B19345" s="55" t="s">
        <v>282</v>
      </c>
      <c r="C19345" s="46">
        <v>4333</v>
      </c>
      <c r="D19345" s="69" t="s">
        <v>29419</v>
      </c>
      <c r="E19345" s="51"/>
      <c r="F19345" s="114" t="str">
        <f>IF(INDEX(I.Facility.P3IDNumber,4333)="","",INDEX(I.Facility.P3IDNumber,4333))</f>
        <v/>
      </c>
      <c r="G19345" s="51"/>
      <c r="H19345" s="46" t="str">
        <f>IF(AND(I.Developer.P3=TRUE,I.Facility.P3FacilityCount&gt;=4333,F19345=""),"Incomplete","Complete")</f>
        <v>Complete</v>
      </c>
      <c r="I19345" s="48" t="s">
        <v>23710</v>
      </c>
    </row>
    <row r="19346" spans="2:9" ht="15" customHeight="1" x14ac:dyDescent="0.25">
      <c r="B19346" s="55" t="s">
        <v>282</v>
      </c>
      <c r="C19346" s="46">
        <v>4334</v>
      </c>
      <c r="D19346" s="69" t="s">
        <v>29419</v>
      </c>
      <c r="E19346" s="51"/>
      <c r="F19346" s="114" t="str">
        <f>IF(INDEX(I.Facility.P3IDNumber,4334)="","",INDEX(I.Facility.P3IDNumber,4334))</f>
        <v/>
      </c>
      <c r="G19346" s="51"/>
      <c r="H19346" s="46" t="str">
        <f>IF(AND(I.Developer.P3=TRUE,I.Facility.P3FacilityCount&gt;=4334,F19346=""),"Incomplete","Complete")</f>
        <v>Complete</v>
      </c>
      <c r="I19346" s="48" t="s">
        <v>23711</v>
      </c>
    </row>
    <row r="19347" spans="2:9" ht="15" customHeight="1" x14ac:dyDescent="0.25">
      <c r="B19347" s="55" t="s">
        <v>282</v>
      </c>
      <c r="C19347" s="46">
        <v>4335</v>
      </c>
      <c r="D19347" s="69" t="s">
        <v>29419</v>
      </c>
      <c r="E19347" s="51"/>
      <c r="F19347" s="114" t="str">
        <f>IF(INDEX(I.Facility.P3IDNumber,4335)="","",INDEX(I.Facility.P3IDNumber,4335))</f>
        <v/>
      </c>
      <c r="G19347" s="51"/>
      <c r="H19347" s="46" t="str">
        <f>IF(AND(I.Developer.P3=TRUE,I.Facility.P3FacilityCount&gt;=4335,F19347=""),"Incomplete","Complete")</f>
        <v>Complete</v>
      </c>
      <c r="I19347" s="48" t="s">
        <v>23712</v>
      </c>
    </row>
    <row r="19348" spans="2:9" ht="15" customHeight="1" x14ac:dyDescent="0.25">
      <c r="B19348" s="55" t="s">
        <v>282</v>
      </c>
      <c r="C19348" s="46">
        <v>4336</v>
      </c>
      <c r="D19348" s="69" t="s">
        <v>29419</v>
      </c>
      <c r="E19348" s="51"/>
      <c r="F19348" s="114" t="str">
        <f>IF(INDEX(I.Facility.P3IDNumber,4336)="","",INDEX(I.Facility.P3IDNumber,4336))</f>
        <v/>
      </c>
      <c r="G19348" s="51"/>
      <c r="H19348" s="46" t="str">
        <f>IF(AND(I.Developer.P3=TRUE,I.Facility.P3FacilityCount&gt;=4336,F19348=""),"Incomplete","Complete")</f>
        <v>Complete</v>
      </c>
      <c r="I19348" s="48" t="s">
        <v>23713</v>
      </c>
    </row>
    <row r="19349" spans="2:9" ht="15" customHeight="1" x14ac:dyDescent="0.25">
      <c r="B19349" s="55" t="s">
        <v>282</v>
      </c>
      <c r="C19349" s="46">
        <v>4337</v>
      </c>
      <c r="D19349" s="69" t="s">
        <v>29419</v>
      </c>
      <c r="E19349" s="51"/>
      <c r="F19349" s="114" t="str">
        <f>IF(INDEX(I.Facility.P3IDNumber,4337)="","",INDEX(I.Facility.P3IDNumber,4337))</f>
        <v/>
      </c>
      <c r="G19349" s="51"/>
      <c r="H19349" s="46" t="str">
        <f>IF(AND(I.Developer.P3=TRUE,I.Facility.P3FacilityCount&gt;=4337,F19349=""),"Incomplete","Complete")</f>
        <v>Complete</v>
      </c>
      <c r="I19349" s="48" t="s">
        <v>23714</v>
      </c>
    </row>
    <row r="19350" spans="2:9" ht="15" customHeight="1" x14ac:dyDescent="0.25">
      <c r="B19350" s="55" t="s">
        <v>282</v>
      </c>
      <c r="C19350" s="46">
        <v>4338</v>
      </c>
      <c r="D19350" s="69" t="s">
        <v>29419</v>
      </c>
      <c r="E19350" s="51"/>
      <c r="F19350" s="114" t="str">
        <f>IF(INDEX(I.Facility.P3IDNumber,4338)="","",INDEX(I.Facility.P3IDNumber,4338))</f>
        <v/>
      </c>
      <c r="G19350" s="51"/>
      <c r="H19350" s="46" t="str">
        <f>IF(AND(I.Developer.P3=TRUE,I.Facility.P3FacilityCount&gt;=4338,F19350=""),"Incomplete","Complete")</f>
        <v>Complete</v>
      </c>
      <c r="I19350" s="48" t="s">
        <v>23715</v>
      </c>
    </row>
    <row r="19351" spans="2:9" ht="15" customHeight="1" x14ac:dyDescent="0.25">
      <c r="B19351" s="55" t="s">
        <v>282</v>
      </c>
      <c r="C19351" s="46">
        <v>4339</v>
      </c>
      <c r="D19351" s="69" t="s">
        <v>29419</v>
      </c>
      <c r="E19351" s="51"/>
      <c r="F19351" s="114" t="str">
        <f>IF(INDEX(I.Facility.P3IDNumber,4339)="","",INDEX(I.Facility.P3IDNumber,4339))</f>
        <v/>
      </c>
      <c r="G19351" s="51"/>
      <c r="H19351" s="46" t="str">
        <f>IF(AND(I.Developer.P3=TRUE,I.Facility.P3FacilityCount&gt;=4339,F19351=""),"Incomplete","Complete")</f>
        <v>Complete</v>
      </c>
      <c r="I19351" s="48" t="s">
        <v>23716</v>
      </c>
    </row>
    <row r="19352" spans="2:9" ht="15" customHeight="1" x14ac:dyDescent="0.25">
      <c r="B19352" s="55" t="s">
        <v>282</v>
      </c>
      <c r="C19352" s="46">
        <v>4340</v>
      </c>
      <c r="D19352" s="69" t="s">
        <v>29419</v>
      </c>
      <c r="E19352" s="51"/>
      <c r="F19352" s="114" t="str">
        <f>IF(INDEX(I.Facility.P3IDNumber,4340)="","",INDEX(I.Facility.P3IDNumber,4340))</f>
        <v/>
      </c>
      <c r="G19352" s="51"/>
      <c r="H19352" s="46" t="str">
        <f>IF(AND(I.Developer.P3=TRUE,I.Facility.P3FacilityCount&gt;=4340,F19352=""),"Incomplete","Complete")</f>
        <v>Complete</v>
      </c>
      <c r="I19352" s="48" t="s">
        <v>23717</v>
      </c>
    </row>
    <row r="19353" spans="2:9" ht="15" customHeight="1" x14ac:dyDescent="0.25">
      <c r="B19353" s="55" t="s">
        <v>282</v>
      </c>
      <c r="C19353" s="46">
        <v>4341</v>
      </c>
      <c r="D19353" s="69" t="s">
        <v>29419</v>
      </c>
      <c r="E19353" s="51"/>
      <c r="F19353" s="114" t="str">
        <f>IF(INDEX(I.Facility.P3IDNumber,4341)="","",INDEX(I.Facility.P3IDNumber,4341))</f>
        <v/>
      </c>
      <c r="G19353" s="51"/>
      <c r="H19353" s="46" t="str">
        <f>IF(AND(I.Developer.P3=TRUE,I.Facility.P3FacilityCount&gt;=4341,F19353=""),"Incomplete","Complete")</f>
        <v>Complete</v>
      </c>
      <c r="I19353" s="48" t="s">
        <v>23718</v>
      </c>
    </row>
    <row r="19354" spans="2:9" ht="15" customHeight="1" x14ac:dyDescent="0.25">
      <c r="B19354" s="55" t="s">
        <v>282</v>
      </c>
      <c r="C19354" s="46">
        <v>4342</v>
      </c>
      <c r="D19354" s="69" t="s">
        <v>29419</v>
      </c>
      <c r="E19354" s="51"/>
      <c r="F19354" s="114" t="str">
        <f>IF(INDEX(I.Facility.P3IDNumber,4342)="","",INDEX(I.Facility.P3IDNumber,4342))</f>
        <v/>
      </c>
      <c r="G19354" s="51"/>
      <c r="H19354" s="46" t="str">
        <f>IF(AND(I.Developer.P3=TRUE,I.Facility.P3FacilityCount&gt;=4342,F19354=""),"Incomplete","Complete")</f>
        <v>Complete</v>
      </c>
      <c r="I19354" s="48" t="s">
        <v>23719</v>
      </c>
    </row>
    <row r="19355" spans="2:9" ht="15" customHeight="1" x14ac:dyDescent="0.25">
      <c r="B19355" s="55" t="s">
        <v>282</v>
      </c>
      <c r="C19355" s="46">
        <v>4343</v>
      </c>
      <c r="D19355" s="69" t="s">
        <v>29419</v>
      </c>
      <c r="E19355" s="51"/>
      <c r="F19355" s="114" t="str">
        <f>IF(INDEX(I.Facility.P3IDNumber,4343)="","",INDEX(I.Facility.P3IDNumber,4343))</f>
        <v/>
      </c>
      <c r="G19355" s="51"/>
      <c r="H19355" s="46" t="str">
        <f>IF(AND(I.Developer.P3=TRUE,I.Facility.P3FacilityCount&gt;=4343,F19355=""),"Incomplete","Complete")</f>
        <v>Complete</v>
      </c>
      <c r="I19355" s="48" t="s">
        <v>23720</v>
      </c>
    </row>
    <row r="19356" spans="2:9" ht="15" customHeight="1" x14ac:dyDescent="0.25">
      <c r="B19356" s="55" t="s">
        <v>282</v>
      </c>
      <c r="C19356" s="46">
        <v>4344</v>
      </c>
      <c r="D19356" s="69" t="s">
        <v>29419</v>
      </c>
      <c r="E19356" s="51"/>
      <c r="F19356" s="114" t="str">
        <f>IF(INDEX(I.Facility.P3IDNumber,4344)="","",INDEX(I.Facility.P3IDNumber,4344))</f>
        <v/>
      </c>
      <c r="G19356" s="51"/>
      <c r="H19356" s="46" t="str">
        <f>IF(AND(I.Developer.P3=TRUE,I.Facility.P3FacilityCount&gt;=4344,F19356=""),"Incomplete","Complete")</f>
        <v>Complete</v>
      </c>
      <c r="I19356" s="48" t="s">
        <v>23721</v>
      </c>
    </row>
    <row r="19357" spans="2:9" ht="15" customHeight="1" x14ac:dyDescent="0.25">
      <c r="B19357" s="55" t="s">
        <v>282</v>
      </c>
      <c r="C19357" s="46">
        <v>4345</v>
      </c>
      <c r="D19357" s="69" t="s">
        <v>29419</v>
      </c>
      <c r="E19357" s="51"/>
      <c r="F19357" s="114" t="str">
        <f>IF(INDEX(I.Facility.P3IDNumber,4345)="","",INDEX(I.Facility.P3IDNumber,4345))</f>
        <v/>
      </c>
      <c r="G19357" s="51"/>
      <c r="H19357" s="46" t="str">
        <f>IF(AND(I.Developer.P3=TRUE,I.Facility.P3FacilityCount&gt;=4345,F19357=""),"Incomplete","Complete")</f>
        <v>Complete</v>
      </c>
      <c r="I19357" s="48" t="s">
        <v>23722</v>
      </c>
    </row>
    <row r="19358" spans="2:9" ht="15" customHeight="1" x14ac:dyDescent="0.25">
      <c r="B19358" s="55" t="s">
        <v>282</v>
      </c>
      <c r="C19358" s="46">
        <v>4346</v>
      </c>
      <c r="D19358" s="69" t="s">
        <v>29419</v>
      </c>
      <c r="E19358" s="51"/>
      <c r="F19358" s="114" t="str">
        <f>IF(INDEX(I.Facility.P3IDNumber,4346)="","",INDEX(I.Facility.P3IDNumber,4346))</f>
        <v/>
      </c>
      <c r="G19358" s="51"/>
      <c r="H19358" s="46" t="str">
        <f>IF(AND(I.Developer.P3=TRUE,I.Facility.P3FacilityCount&gt;=4346,F19358=""),"Incomplete","Complete")</f>
        <v>Complete</v>
      </c>
      <c r="I19358" s="48" t="s">
        <v>23723</v>
      </c>
    </row>
    <row r="19359" spans="2:9" ht="15" customHeight="1" x14ac:dyDescent="0.25">
      <c r="B19359" s="55" t="s">
        <v>282</v>
      </c>
      <c r="C19359" s="46">
        <v>4347</v>
      </c>
      <c r="D19359" s="69" t="s">
        <v>29419</v>
      </c>
      <c r="E19359" s="51"/>
      <c r="F19359" s="114" t="str">
        <f>IF(INDEX(I.Facility.P3IDNumber,4347)="","",INDEX(I.Facility.P3IDNumber,4347))</f>
        <v/>
      </c>
      <c r="G19359" s="51"/>
      <c r="H19359" s="46" t="str">
        <f>IF(AND(I.Developer.P3=TRUE,I.Facility.P3FacilityCount&gt;=4347,F19359=""),"Incomplete","Complete")</f>
        <v>Complete</v>
      </c>
      <c r="I19359" s="48" t="s">
        <v>23724</v>
      </c>
    </row>
    <row r="19360" spans="2:9" ht="15" customHeight="1" x14ac:dyDescent="0.25">
      <c r="B19360" s="55" t="s">
        <v>282</v>
      </c>
      <c r="C19360" s="46">
        <v>4348</v>
      </c>
      <c r="D19360" s="69" t="s">
        <v>29419</v>
      </c>
      <c r="E19360" s="51"/>
      <c r="F19360" s="114" t="str">
        <f>IF(INDEX(I.Facility.P3IDNumber,4348)="","",INDEX(I.Facility.P3IDNumber,4348))</f>
        <v/>
      </c>
      <c r="G19360" s="51"/>
      <c r="H19360" s="46" t="str">
        <f>IF(AND(I.Developer.P3=TRUE,I.Facility.P3FacilityCount&gt;=4348,F19360=""),"Incomplete","Complete")</f>
        <v>Complete</v>
      </c>
      <c r="I19360" s="48" t="s">
        <v>23725</v>
      </c>
    </row>
    <row r="19361" spans="2:9" ht="15" customHeight="1" x14ac:dyDescent="0.25">
      <c r="B19361" s="55" t="s">
        <v>282</v>
      </c>
      <c r="C19361" s="46">
        <v>4349</v>
      </c>
      <c r="D19361" s="69" t="s">
        <v>29419</v>
      </c>
      <c r="E19361" s="51"/>
      <c r="F19361" s="114" t="str">
        <f>IF(INDEX(I.Facility.P3IDNumber,4349)="","",INDEX(I.Facility.P3IDNumber,4349))</f>
        <v/>
      </c>
      <c r="G19361" s="51"/>
      <c r="H19361" s="46" t="str">
        <f>IF(AND(I.Developer.P3=TRUE,I.Facility.P3FacilityCount&gt;=4349,F19361=""),"Incomplete","Complete")</f>
        <v>Complete</v>
      </c>
      <c r="I19361" s="48" t="s">
        <v>23726</v>
      </c>
    </row>
    <row r="19362" spans="2:9" ht="15" customHeight="1" x14ac:dyDescent="0.25">
      <c r="B19362" s="55" t="s">
        <v>282</v>
      </c>
      <c r="C19362" s="46">
        <v>4350</v>
      </c>
      <c r="D19362" s="69" t="s">
        <v>29419</v>
      </c>
      <c r="E19362" s="51"/>
      <c r="F19362" s="114" t="str">
        <f>IF(INDEX(I.Facility.P3IDNumber,4350)="","",INDEX(I.Facility.P3IDNumber,4350))</f>
        <v/>
      </c>
      <c r="G19362" s="51"/>
      <c r="H19362" s="46" t="str">
        <f>IF(AND(I.Developer.P3=TRUE,I.Facility.P3FacilityCount&gt;=4350,F19362=""),"Incomplete","Complete")</f>
        <v>Complete</v>
      </c>
      <c r="I19362" s="48" t="s">
        <v>23727</v>
      </c>
    </row>
    <row r="19363" spans="2:9" ht="15" customHeight="1" x14ac:dyDescent="0.25">
      <c r="B19363" s="55" t="s">
        <v>282</v>
      </c>
      <c r="C19363" s="46">
        <v>4351</v>
      </c>
      <c r="D19363" s="69" t="s">
        <v>29419</v>
      </c>
      <c r="E19363" s="51"/>
      <c r="F19363" s="114" t="str">
        <f>IF(INDEX(I.Facility.P3IDNumber,4351)="","",INDEX(I.Facility.P3IDNumber,4351))</f>
        <v/>
      </c>
      <c r="G19363" s="51"/>
      <c r="H19363" s="46" t="str">
        <f>IF(AND(I.Developer.P3=TRUE,I.Facility.P3FacilityCount&gt;=4351,F19363=""),"Incomplete","Complete")</f>
        <v>Complete</v>
      </c>
      <c r="I19363" s="48" t="s">
        <v>23728</v>
      </c>
    </row>
    <row r="19364" spans="2:9" ht="15" customHeight="1" x14ac:dyDescent="0.25">
      <c r="B19364" s="55" t="s">
        <v>282</v>
      </c>
      <c r="C19364" s="46">
        <v>4352</v>
      </c>
      <c r="D19364" s="69" t="s">
        <v>29419</v>
      </c>
      <c r="E19364" s="51"/>
      <c r="F19364" s="114" t="str">
        <f>IF(INDEX(I.Facility.P3IDNumber,4352)="","",INDEX(I.Facility.P3IDNumber,4352))</f>
        <v/>
      </c>
      <c r="G19364" s="51"/>
      <c r="H19364" s="46" t="str">
        <f>IF(AND(I.Developer.P3=TRUE,I.Facility.P3FacilityCount&gt;=4352,F19364=""),"Incomplete","Complete")</f>
        <v>Complete</v>
      </c>
      <c r="I19364" s="48" t="s">
        <v>23729</v>
      </c>
    </row>
    <row r="19365" spans="2:9" ht="15" customHeight="1" x14ac:dyDescent="0.25">
      <c r="B19365" s="55" t="s">
        <v>282</v>
      </c>
      <c r="C19365" s="46">
        <v>4353</v>
      </c>
      <c r="D19365" s="69" t="s">
        <v>29419</v>
      </c>
      <c r="E19365" s="51"/>
      <c r="F19365" s="114" t="str">
        <f>IF(INDEX(I.Facility.P3IDNumber,4353)="","",INDEX(I.Facility.P3IDNumber,4353))</f>
        <v/>
      </c>
      <c r="G19365" s="51"/>
      <c r="H19365" s="46" t="str">
        <f>IF(AND(I.Developer.P3=TRUE,I.Facility.P3FacilityCount&gt;=4353,F19365=""),"Incomplete","Complete")</f>
        <v>Complete</v>
      </c>
      <c r="I19365" s="48" t="s">
        <v>23730</v>
      </c>
    </row>
    <row r="19366" spans="2:9" ht="15" customHeight="1" x14ac:dyDescent="0.25">
      <c r="B19366" s="55" t="s">
        <v>282</v>
      </c>
      <c r="C19366" s="46">
        <v>4354</v>
      </c>
      <c r="D19366" s="69" t="s">
        <v>29419</v>
      </c>
      <c r="E19366" s="51"/>
      <c r="F19366" s="114" t="str">
        <f>IF(INDEX(I.Facility.P3IDNumber,4354)="","",INDEX(I.Facility.P3IDNumber,4354))</f>
        <v/>
      </c>
      <c r="G19366" s="51"/>
      <c r="H19366" s="46" t="str">
        <f>IF(AND(I.Developer.P3=TRUE,I.Facility.P3FacilityCount&gt;=4354,F19366=""),"Incomplete","Complete")</f>
        <v>Complete</v>
      </c>
      <c r="I19366" s="48" t="s">
        <v>23731</v>
      </c>
    </row>
    <row r="19367" spans="2:9" ht="15" customHeight="1" x14ac:dyDescent="0.25">
      <c r="B19367" s="55" t="s">
        <v>282</v>
      </c>
      <c r="C19367" s="46">
        <v>4355</v>
      </c>
      <c r="D19367" s="69" t="s">
        <v>29419</v>
      </c>
      <c r="E19367" s="51"/>
      <c r="F19367" s="114" t="str">
        <f>IF(INDEX(I.Facility.P3IDNumber,4355)="","",INDEX(I.Facility.P3IDNumber,4355))</f>
        <v/>
      </c>
      <c r="G19367" s="51"/>
      <c r="H19367" s="46" t="str">
        <f>IF(AND(I.Developer.P3=TRUE,I.Facility.P3FacilityCount&gt;=4355,F19367=""),"Incomplete","Complete")</f>
        <v>Complete</v>
      </c>
      <c r="I19367" s="48" t="s">
        <v>23732</v>
      </c>
    </row>
    <row r="19368" spans="2:9" ht="15" customHeight="1" x14ac:dyDescent="0.25">
      <c r="B19368" s="55" t="s">
        <v>282</v>
      </c>
      <c r="C19368" s="46">
        <v>4356</v>
      </c>
      <c r="D19368" s="69" t="s">
        <v>29419</v>
      </c>
      <c r="E19368" s="51"/>
      <c r="F19368" s="114" t="str">
        <f>IF(INDEX(I.Facility.P3IDNumber,4356)="","",INDEX(I.Facility.P3IDNumber,4356))</f>
        <v/>
      </c>
      <c r="G19368" s="51"/>
      <c r="H19368" s="46" t="str">
        <f>IF(AND(I.Developer.P3=TRUE,I.Facility.P3FacilityCount&gt;=4356,F19368=""),"Incomplete","Complete")</f>
        <v>Complete</v>
      </c>
      <c r="I19368" s="48" t="s">
        <v>23733</v>
      </c>
    </row>
    <row r="19369" spans="2:9" ht="15" customHeight="1" x14ac:dyDescent="0.25">
      <c r="B19369" s="55" t="s">
        <v>282</v>
      </c>
      <c r="C19369" s="46">
        <v>4357</v>
      </c>
      <c r="D19369" s="69" t="s">
        <v>29419</v>
      </c>
      <c r="E19369" s="51"/>
      <c r="F19369" s="114" t="str">
        <f>IF(INDEX(I.Facility.P3IDNumber,4357)="","",INDEX(I.Facility.P3IDNumber,4357))</f>
        <v/>
      </c>
      <c r="G19369" s="51"/>
      <c r="H19369" s="46" t="str">
        <f>IF(AND(I.Developer.P3=TRUE,I.Facility.P3FacilityCount&gt;=4357,F19369=""),"Incomplete","Complete")</f>
        <v>Complete</v>
      </c>
      <c r="I19369" s="48" t="s">
        <v>23734</v>
      </c>
    </row>
    <row r="19370" spans="2:9" ht="15" customHeight="1" x14ac:dyDescent="0.25">
      <c r="B19370" s="55" t="s">
        <v>282</v>
      </c>
      <c r="C19370" s="46">
        <v>4358</v>
      </c>
      <c r="D19370" s="69" t="s">
        <v>29419</v>
      </c>
      <c r="E19370" s="51"/>
      <c r="F19370" s="114" t="str">
        <f>IF(INDEX(I.Facility.P3IDNumber,4358)="","",INDEX(I.Facility.P3IDNumber,4358))</f>
        <v/>
      </c>
      <c r="G19370" s="51"/>
      <c r="H19370" s="46" t="str">
        <f>IF(AND(I.Developer.P3=TRUE,I.Facility.P3FacilityCount&gt;=4358,F19370=""),"Incomplete","Complete")</f>
        <v>Complete</v>
      </c>
      <c r="I19370" s="48" t="s">
        <v>23735</v>
      </c>
    </row>
    <row r="19371" spans="2:9" ht="15" customHeight="1" x14ac:dyDescent="0.25">
      <c r="B19371" s="55" t="s">
        <v>282</v>
      </c>
      <c r="C19371" s="46">
        <v>4359</v>
      </c>
      <c r="D19371" s="69" t="s">
        <v>29419</v>
      </c>
      <c r="E19371" s="51"/>
      <c r="F19371" s="114" t="str">
        <f>IF(INDEX(I.Facility.P3IDNumber,4359)="","",INDEX(I.Facility.P3IDNumber,4359))</f>
        <v/>
      </c>
      <c r="G19371" s="51"/>
      <c r="H19371" s="46" t="str">
        <f>IF(AND(I.Developer.P3=TRUE,I.Facility.P3FacilityCount&gt;=4359,F19371=""),"Incomplete","Complete")</f>
        <v>Complete</v>
      </c>
      <c r="I19371" s="48" t="s">
        <v>23736</v>
      </c>
    </row>
    <row r="19372" spans="2:9" ht="15" customHeight="1" x14ac:dyDescent="0.25">
      <c r="B19372" s="55" t="s">
        <v>282</v>
      </c>
      <c r="C19372" s="46">
        <v>4360</v>
      </c>
      <c r="D19372" s="69" t="s">
        <v>29419</v>
      </c>
      <c r="E19372" s="51"/>
      <c r="F19372" s="114" t="str">
        <f>IF(INDEX(I.Facility.P3IDNumber,4360)="","",INDEX(I.Facility.P3IDNumber,4360))</f>
        <v/>
      </c>
      <c r="G19372" s="51"/>
      <c r="H19372" s="46" t="str">
        <f>IF(AND(I.Developer.P3=TRUE,I.Facility.P3FacilityCount&gt;=4360,F19372=""),"Incomplete","Complete")</f>
        <v>Complete</v>
      </c>
      <c r="I19372" s="48" t="s">
        <v>23737</v>
      </c>
    </row>
    <row r="19373" spans="2:9" ht="15" customHeight="1" x14ac:dyDescent="0.25">
      <c r="B19373" s="55" t="s">
        <v>282</v>
      </c>
      <c r="C19373" s="46">
        <v>4361</v>
      </c>
      <c r="D19373" s="69" t="s">
        <v>29419</v>
      </c>
      <c r="E19373" s="51"/>
      <c r="F19373" s="114" t="str">
        <f>IF(INDEX(I.Facility.P3IDNumber,4361)="","",INDEX(I.Facility.P3IDNumber,4361))</f>
        <v/>
      </c>
      <c r="G19373" s="51"/>
      <c r="H19373" s="46" t="str">
        <f>IF(AND(I.Developer.P3=TRUE,I.Facility.P3FacilityCount&gt;=4361,F19373=""),"Incomplete","Complete")</f>
        <v>Complete</v>
      </c>
      <c r="I19373" s="48" t="s">
        <v>23738</v>
      </c>
    </row>
    <row r="19374" spans="2:9" ht="15" customHeight="1" x14ac:dyDescent="0.25">
      <c r="B19374" s="55" t="s">
        <v>282</v>
      </c>
      <c r="C19374" s="46">
        <v>4362</v>
      </c>
      <c r="D19374" s="69" t="s">
        <v>29419</v>
      </c>
      <c r="E19374" s="51"/>
      <c r="F19374" s="114" t="str">
        <f>IF(INDEX(I.Facility.P3IDNumber,4362)="","",INDEX(I.Facility.P3IDNumber,4362))</f>
        <v/>
      </c>
      <c r="G19374" s="51"/>
      <c r="H19374" s="46" t="str">
        <f>IF(AND(I.Developer.P3=TRUE,I.Facility.P3FacilityCount&gt;=4362,F19374=""),"Incomplete","Complete")</f>
        <v>Complete</v>
      </c>
      <c r="I19374" s="48" t="s">
        <v>23739</v>
      </c>
    </row>
    <row r="19375" spans="2:9" ht="15" customHeight="1" x14ac:dyDescent="0.25">
      <c r="B19375" s="55" t="s">
        <v>282</v>
      </c>
      <c r="C19375" s="46">
        <v>4363</v>
      </c>
      <c r="D19375" s="69" t="s">
        <v>29419</v>
      </c>
      <c r="E19375" s="51"/>
      <c r="F19375" s="114" t="str">
        <f>IF(INDEX(I.Facility.P3IDNumber,4363)="","",INDEX(I.Facility.P3IDNumber,4363))</f>
        <v/>
      </c>
      <c r="G19375" s="51"/>
      <c r="H19375" s="46" t="str">
        <f>IF(AND(I.Developer.P3=TRUE,I.Facility.P3FacilityCount&gt;=4363,F19375=""),"Incomplete","Complete")</f>
        <v>Complete</v>
      </c>
      <c r="I19375" s="48" t="s">
        <v>23740</v>
      </c>
    </row>
    <row r="19376" spans="2:9" ht="15" customHeight="1" x14ac:dyDescent="0.25">
      <c r="B19376" s="55" t="s">
        <v>282</v>
      </c>
      <c r="C19376" s="46">
        <v>4364</v>
      </c>
      <c r="D19376" s="69" t="s">
        <v>29419</v>
      </c>
      <c r="E19376" s="51"/>
      <c r="F19376" s="114" t="str">
        <f>IF(INDEX(I.Facility.P3IDNumber,4364)="","",INDEX(I.Facility.P3IDNumber,4364))</f>
        <v/>
      </c>
      <c r="G19376" s="51"/>
      <c r="H19376" s="46" t="str">
        <f>IF(AND(I.Developer.P3=TRUE,I.Facility.P3FacilityCount&gt;=4364,F19376=""),"Incomplete","Complete")</f>
        <v>Complete</v>
      </c>
      <c r="I19376" s="48" t="s">
        <v>23741</v>
      </c>
    </row>
    <row r="19377" spans="2:9" ht="15" customHeight="1" x14ac:dyDescent="0.25">
      <c r="B19377" s="55" t="s">
        <v>282</v>
      </c>
      <c r="C19377" s="46">
        <v>4365</v>
      </c>
      <c r="D19377" s="69" t="s">
        <v>29419</v>
      </c>
      <c r="E19377" s="51"/>
      <c r="F19377" s="114" t="str">
        <f>IF(INDEX(I.Facility.P3IDNumber,4365)="","",INDEX(I.Facility.P3IDNumber,4365))</f>
        <v/>
      </c>
      <c r="G19377" s="51"/>
      <c r="H19377" s="46" t="str">
        <f>IF(AND(I.Developer.P3=TRUE,I.Facility.P3FacilityCount&gt;=4365,F19377=""),"Incomplete","Complete")</f>
        <v>Complete</v>
      </c>
      <c r="I19377" s="48" t="s">
        <v>23742</v>
      </c>
    </row>
    <row r="19378" spans="2:9" ht="15" customHeight="1" x14ac:dyDescent="0.25">
      <c r="B19378" s="55" t="s">
        <v>282</v>
      </c>
      <c r="C19378" s="46">
        <v>4366</v>
      </c>
      <c r="D19378" s="69" t="s">
        <v>29419</v>
      </c>
      <c r="E19378" s="51"/>
      <c r="F19378" s="114" t="str">
        <f>IF(INDEX(I.Facility.P3IDNumber,4366)="","",INDEX(I.Facility.P3IDNumber,4366))</f>
        <v/>
      </c>
      <c r="G19378" s="51"/>
      <c r="H19378" s="46" t="str">
        <f>IF(AND(I.Developer.P3=TRUE,I.Facility.P3FacilityCount&gt;=4366,F19378=""),"Incomplete","Complete")</f>
        <v>Complete</v>
      </c>
      <c r="I19378" s="48" t="s">
        <v>23743</v>
      </c>
    </row>
    <row r="19379" spans="2:9" ht="15" customHeight="1" x14ac:dyDescent="0.25">
      <c r="B19379" s="55" t="s">
        <v>282</v>
      </c>
      <c r="C19379" s="46">
        <v>4367</v>
      </c>
      <c r="D19379" s="69" t="s">
        <v>29419</v>
      </c>
      <c r="E19379" s="51"/>
      <c r="F19379" s="114" t="str">
        <f>IF(INDEX(I.Facility.P3IDNumber,4367)="","",INDEX(I.Facility.P3IDNumber,4367))</f>
        <v/>
      </c>
      <c r="G19379" s="51"/>
      <c r="H19379" s="46" t="str">
        <f>IF(AND(I.Developer.P3=TRUE,I.Facility.P3FacilityCount&gt;=4367,F19379=""),"Incomplete","Complete")</f>
        <v>Complete</v>
      </c>
      <c r="I19379" s="48" t="s">
        <v>23744</v>
      </c>
    </row>
    <row r="19380" spans="2:9" ht="15" customHeight="1" x14ac:dyDescent="0.25">
      <c r="B19380" s="55" t="s">
        <v>282</v>
      </c>
      <c r="C19380" s="46">
        <v>4368</v>
      </c>
      <c r="D19380" s="69" t="s">
        <v>29419</v>
      </c>
      <c r="E19380" s="51"/>
      <c r="F19380" s="114" t="str">
        <f>IF(INDEX(I.Facility.P3IDNumber,4368)="","",INDEX(I.Facility.P3IDNumber,4368))</f>
        <v/>
      </c>
      <c r="G19380" s="51"/>
      <c r="H19380" s="46" t="str">
        <f>IF(AND(I.Developer.P3=TRUE,I.Facility.P3FacilityCount&gt;=4368,F19380=""),"Incomplete","Complete")</f>
        <v>Complete</v>
      </c>
      <c r="I19380" s="48" t="s">
        <v>23745</v>
      </c>
    </row>
    <row r="19381" spans="2:9" ht="15" customHeight="1" x14ac:dyDescent="0.25">
      <c r="B19381" s="55" t="s">
        <v>282</v>
      </c>
      <c r="C19381" s="46">
        <v>4369</v>
      </c>
      <c r="D19381" s="69" t="s">
        <v>29419</v>
      </c>
      <c r="E19381" s="51"/>
      <c r="F19381" s="114" t="str">
        <f>IF(INDEX(I.Facility.P3IDNumber,4369)="","",INDEX(I.Facility.P3IDNumber,4369))</f>
        <v/>
      </c>
      <c r="G19381" s="51"/>
      <c r="H19381" s="46" t="str">
        <f>IF(AND(I.Developer.P3=TRUE,I.Facility.P3FacilityCount&gt;=4369,F19381=""),"Incomplete","Complete")</f>
        <v>Complete</v>
      </c>
      <c r="I19381" s="48" t="s">
        <v>23746</v>
      </c>
    </row>
    <row r="19382" spans="2:9" ht="15" customHeight="1" x14ac:dyDescent="0.25">
      <c r="B19382" s="55" t="s">
        <v>282</v>
      </c>
      <c r="C19382" s="46">
        <v>4370</v>
      </c>
      <c r="D19382" s="69" t="s">
        <v>29419</v>
      </c>
      <c r="E19382" s="51"/>
      <c r="F19382" s="114" t="str">
        <f>IF(INDEX(I.Facility.P3IDNumber,4370)="","",INDEX(I.Facility.P3IDNumber,4370))</f>
        <v/>
      </c>
      <c r="G19382" s="51"/>
      <c r="H19382" s="46" t="str">
        <f>IF(AND(I.Developer.P3=TRUE,I.Facility.P3FacilityCount&gt;=4370,F19382=""),"Incomplete","Complete")</f>
        <v>Complete</v>
      </c>
      <c r="I19382" s="48" t="s">
        <v>23747</v>
      </c>
    </row>
    <row r="19383" spans="2:9" ht="15" customHeight="1" x14ac:dyDescent="0.25">
      <c r="B19383" s="55" t="s">
        <v>282</v>
      </c>
      <c r="C19383" s="46">
        <v>4371</v>
      </c>
      <c r="D19383" s="69" t="s">
        <v>29419</v>
      </c>
      <c r="E19383" s="51"/>
      <c r="F19383" s="114" t="str">
        <f>IF(INDEX(I.Facility.P3IDNumber,4371)="","",INDEX(I.Facility.P3IDNumber,4371))</f>
        <v/>
      </c>
      <c r="G19383" s="51"/>
      <c r="H19383" s="46" t="str">
        <f>IF(AND(I.Developer.P3=TRUE,I.Facility.P3FacilityCount&gt;=4371,F19383=""),"Incomplete","Complete")</f>
        <v>Complete</v>
      </c>
      <c r="I19383" s="48" t="s">
        <v>23748</v>
      </c>
    </row>
    <row r="19384" spans="2:9" ht="15" customHeight="1" x14ac:dyDescent="0.25">
      <c r="B19384" s="55" t="s">
        <v>282</v>
      </c>
      <c r="C19384" s="46">
        <v>4372</v>
      </c>
      <c r="D19384" s="69" t="s">
        <v>29419</v>
      </c>
      <c r="E19384" s="51"/>
      <c r="F19384" s="114" t="str">
        <f>IF(INDEX(I.Facility.P3IDNumber,4372)="","",INDEX(I.Facility.P3IDNumber,4372))</f>
        <v/>
      </c>
      <c r="G19384" s="51"/>
      <c r="H19384" s="46" t="str">
        <f>IF(AND(I.Developer.P3=TRUE,I.Facility.P3FacilityCount&gt;=4372,F19384=""),"Incomplete","Complete")</f>
        <v>Complete</v>
      </c>
      <c r="I19384" s="48" t="s">
        <v>23749</v>
      </c>
    </row>
    <row r="19385" spans="2:9" ht="15" customHeight="1" x14ac:dyDescent="0.25">
      <c r="B19385" s="55" t="s">
        <v>282</v>
      </c>
      <c r="C19385" s="46">
        <v>4373</v>
      </c>
      <c r="D19385" s="69" t="s">
        <v>29419</v>
      </c>
      <c r="E19385" s="51"/>
      <c r="F19385" s="114" t="str">
        <f>IF(INDEX(I.Facility.P3IDNumber,4373)="","",INDEX(I.Facility.P3IDNumber,4373))</f>
        <v/>
      </c>
      <c r="G19385" s="51"/>
      <c r="H19385" s="46" t="str">
        <f>IF(AND(I.Developer.P3=TRUE,I.Facility.P3FacilityCount&gt;=4373,F19385=""),"Incomplete","Complete")</f>
        <v>Complete</v>
      </c>
      <c r="I19385" s="48" t="s">
        <v>23750</v>
      </c>
    </row>
    <row r="19386" spans="2:9" ht="15" customHeight="1" x14ac:dyDescent="0.25">
      <c r="B19386" s="55" t="s">
        <v>282</v>
      </c>
      <c r="C19386" s="46">
        <v>4374</v>
      </c>
      <c r="D19386" s="69" t="s">
        <v>29419</v>
      </c>
      <c r="E19386" s="51"/>
      <c r="F19386" s="114" t="str">
        <f>IF(INDEX(I.Facility.P3IDNumber,4374)="","",INDEX(I.Facility.P3IDNumber,4374))</f>
        <v/>
      </c>
      <c r="G19386" s="51"/>
      <c r="H19386" s="46" t="str">
        <f>IF(AND(I.Developer.P3=TRUE,I.Facility.P3FacilityCount&gt;=4374,F19386=""),"Incomplete","Complete")</f>
        <v>Complete</v>
      </c>
      <c r="I19386" s="48" t="s">
        <v>23751</v>
      </c>
    </row>
    <row r="19387" spans="2:9" ht="15" customHeight="1" x14ac:dyDescent="0.25">
      <c r="B19387" s="55" t="s">
        <v>282</v>
      </c>
      <c r="C19387" s="46">
        <v>4375</v>
      </c>
      <c r="D19387" s="69" t="s">
        <v>29419</v>
      </c>
      <c r="E19387" s="51"/>
      <c r="F19387" s="114" t="str">
        <f>IF(INDEX(I.Facility.P3IDNumber,4375)="","",INDEX(I.Facility.P3IDNumber,4375))</f>
        <v/>
      </c>
      <c r="G19387" s="51"/>
      <c r="H19387" s="46" t="str">
        <f>IF(AND(I.Developer.P3=TRUE,I.Facility.P3FacilityCount&gt;=4375,F19387=""),"Incomplete","Complete")</f>
        <v>Complete</v>
      </c>
      <c r="I19387" s="48" t="s">
        <v>23752</v>
      </c>
    </row>
    <row r="19388" spans="2:9" ht="15" customHeight="1" x14ac:dyDescent="0.25">
      <c r="B19388" s="55" t="s">
        <v>282</v>
      </c>
      <c r="C19388" s="46">
        <v>4376</v>
      </c>
      <c r="D19388" s="69" t="s">
        <v>29419</v>
      </c>
      <c r="E19388" s="51"/>
      <c r="F19388" s="114" t="str">
        <f>IF(INDEX(I.Facility.P3IDNumber,4376)="","",INDEX(I.Facility.P3IDNumber,4376))</f>
        <v/>
      </c>
      <c r="G19388" s="51"/>
      <c r="H19388" s="46" t="str">
        <f>IF(AND(I.Developer.P3=TRUE,I.Facility.P3FacilityCount&gt;=4376,F19388=""),"Incomplete","Complete")</f>
        <v>Complete</v>
      </c>
      <c r="I19388" s="48" t="s">
        <v>23753</v>
      </c>
    </row>
    <row r="19389" spans="2:9" ht="15" customHeight="1" x14ac:dyDescent="0.25">
      <c r="B19389" s="55" t="s">
        <v>282</v>
      </c>
      <c r="C19389" s="46">
        <v>4377</v>
      </c>
      <c r="D19389" s="69" t="s">
        <v>29419</v>
      </c>
      <c r="E19389" s="51"/>
      <c r="F19389" s="114" t="str">
        <f>IF(INDEX(I.Facility.P3IDNumber,4377)="","",INDEX(I.Facility.P3IDNumber,4377))</f>
        <v/>
      </c>
      <c r="G19389" s="51"/>
      <c r="H19389" s="46" t="str">
        <f>IF(AND(I.Developer.P3=TRUE,I.Facility.P3FacilityCount&gt;=4377,F19389=""),"Incomplete","Complete")</f>
        <v>Complete</v>
      </c>
      <c r="I19389" s="48" t="s">
        <v>23754</v>
      </c>
    </row>
    <row r="19390" spans="2:9" ht="15" customHeight="1" x14ac:dyDescent="0.25">
      <c r="B19390" s="55" t="s">
        <v>282</v>
      </c>
      <c r="C19390" s="46">
        <v>4378</v>
      </c>
      <c r="D19390" s="69" t="s">
        <v>29419</v>
      </c>
      <c r="E19390" s="51"/>
      <c r="F19390" s="114" t="str">
        <f>IF(INDEX(I.Facility.P3IDNumber,4378)="","",INDEX(I.Facility.P3IDNumber,4378))</f>
        <v/>
      </c>
      <c r="G19390" s="51"/>
      <c r="H19390" s="46" t="str">
        <f>IF(AND(I.Developer.P3=TRUE,I.Facility.P3FacilityCount&gt;=4378,F19390=""),"Incomplete","Complete")</f>
        <v>Complete</v>
      </c>
      <c r="I19390" s="48" t="s">
        <v>23755</v>
      </c>
    </row>
    <row r="19391" spans="2:9" ht="15" customHeight="1" x14ac:dyDescent="0.25">
      <c r="B19391" s="55" t="s">
        <v>282</v>
      </c>
      <c r="C19391" s="46">
        <v>4379</v>
      </c>
      <c r="D19391" s="69" t="s">
        <v>29419</v>
      </c>
      <c r="E19391" s="51"/>
      <c r="F19391" s="114" t="str">
        <f>IF(INDEX(I.Facility.P3IDNumber,4379)="","",INDEX(I.Facility.P3IDNumber,4379))</f>
        <v/>
      </c>
      <c r="G19391" s="51"/>
      <c r="H19391" s="46" t="str">
        <f>IF(AND(I.Developer.P3=TRUE,I.Facility.P3FacilityCount&gt;=4379,F19391=""),"Incomplete","Complete")</f>
        <v>Complete</v>
      </c>
      <c r="I19391" s="48" t="s">
        <v>23756</v>
      </c>
    </row>
    <row r="19392" spans="2:9" ht="15" customHeight="1" x14ac:dyDescent="0.25">
      <c r="B19392" s="55" t="s">
        <v>282</v>
      </c>
      <c r="C19392" s="46">
        <v>4380</v>
      </c>
      <c r="D19392" s="69" t="s">
        <v>29419</v>
      </c>
      <c r="E19392" s="51"/>
      <c r="F19392" s="114" t="str">
        <f>IF(INDEX(I.Facility.P3IDNumber,4380)="","",INDEX(I.Facility.P3IDNumber,4380))</f>
        <v/>
      </c>
      <c r="G19392" s="51"/>
      <c r="H19392" s="46" t="str">
        <f>IF(AND(I.Developer.P3=TRUE,I.Facility.P3FacilityCount&gt;=4380,F19392=""),"Incomplete","Complete")</f>
        <v>Complete</v>
      </c>
      <c r="I19392" s="48" t="s">
        <v>23757</v>
      </c>
    </row>
    <row r="19393" spans="2:9" ht="15" customHeight="1" x14ac:dyDescent="0.25">
      <c r="B19393" s="55" t="s">
        <v>282</v>
      </c>
      <c r="C19393" s="46">
        <v>4381</v>
      </c>
      <c r="D19393" s="69" t="s">
        <v>29419</v>
      </c>
      <c r="E19393" s="51"/>
      <c r="F19393" s="114" t="str">
        <f>IF(INDEX(I.Facility.P3IDNumber,4381)="","",INDEX(I.Facility.P3IDNumber,4381))</f>
        <v/>
      </c>
      <c r="G19393" s="51"/>
      <c r="H19393" s="46" t="str">
        <f>IF(AND(I.Developer.P3=TRUE,I.Facility.P3FacilityCount&gt;=4381,F19393=""),"Incomplete","Complete")</f>
        <v>Complete</v>
      </c>
      <c r="I19393" s="48" t="s">
        <v>23758</v>
      </c>
    </row>
    <row r="19394" spans="2:9" ht="15" customHeight="1" x14ac:dyDescent="0.25">
      <c r="B19394" s="55" t="s">
        <v>282</v>
      </c>
      <c r="C19394" s="46">
        <v>4382</v>
      </c>
      <c r="D19394" s="69" t="s">
        <v>29419</v>
      </c>
      <c r="E19394" s="51"/>
      <c r="F19394" s="114" t="str">
        <f>IF(INDEX(I.Facility.P3IDNumber,4382)="","",INDEX(I.Facility.P3IDNumber,4382))</f>
        <v/>
      </c>
      <c r="G19394" s="51"/>
      <c r="H19394" s="46" t="str">
        <f>IF(AND(I.Developer.P3=TRUE,I.Facility.P3FacilityCount&gt;=4382,F19394=""),"Incomplete","Complete")</f>
        <v>Complete</v>
      </c>
      <c r="I19394" s="48" t="s">
        <v>23759</v>
      </c>
    </row>
    <row r="19395" spans="2:9" ht="15" customHeight="1" x14ac:dyDescent="0.25">
      <c r="B19395" s="55" t="s">
        <v>282</v>
      </c>
      <c r="C19395" s="46">
        <v>4383</v>
      </c>
      <c r="D19395" s="69" t="s">
        <v>29419</v>
      </c>
      <c r="E19395" s="51"/>
      <c r="F19395" s="114" t="str">
        <f>IF(INDEX(I.Facility.P3IDNumber,4383)="","",INDEX(I.Facility.P3IDNumber,4383))</f>
        <v/>
      </c>
      <c r="G19395" s="51"/>
      <c r="H19395" s="46" t="str">
        <f>IF(AND(I.Developer.P3=TRUE,I.Facility.P3FacilityCount&gt;=4383,F19395=""),"Incomplete","Complete")</f>
        <v>Complete</v>
      </c>
      <c r="I19395" s="48" t="s">
        <v>23760</v>
      </c>
    </row>
    <row r="19396" spans="2:9" ht="15" customHeight="1" x14ac:dyDescent="0.25">
      <c r="B19396" s="55" t="s">
        <v>282</v>
      </c>
      <c r="C19396" s="46">
        <v>4384</v>
      </c>
      <c r="D19396" s="69" t="s">
        <v>29419</v>
      </c>
      <c r="E19396" s="51"/>
      <c r="F19396" s="114" t="str">
        <f>IF(INDEX(I.Facility.P3IDNumber,4384)="","",INDEX(I.Facility.P3IDNumber,4384))</f>
        <v/>
      </c>
      <c r="G19396" s="51"/>
      <c r="H19396" s="46" t="str">
        <f>IF(AND(I.Developer.P3=TRUE,I.Facility.P3FacilityCount&gt;=4384,F19396=""),"Incomplete","Complete")</f>
        <v>Complete</v>
      </c>
      <c r="I19396" s="48" t="s">
        <v>23761</v>
      </c>
    </row>
    <row r="19397" spans="2:9" ht="15" customHeight="1" x14ac:dyDescent="0.25">
      <c r="B19397" s="55" t="s">
        <v>282</v>
      </c>
      <c r="C19397" s="46">
        <v>4385</v>
      </c>
      <c r="D19397" s="69" t="s">
        <v>29419</v>
      </c>
      <c r="E19397" s="51"/>
      <c r="F19397" s="114" t="str">
        <f>IF(INDEX(I.Facility.P3IDNumber,4385)="","",INDEX(I.Facility.P3IDNumber,4385))</f>
        <v/>
      </c>
      <c r="G19397" s="51"/>
      <c r="H19397" s="46" t="str">
        <f>IF(AND(I.Developer.P3=TRUE,I.Facility.P3FacilityCount&gt;=4385,F19397=""),"Incomplete","Complete")</f>
        <v>Complete</v>
      </c>
      <c r="I19397" s="48" t="s">
        <v>23762</v>
      </c>
    </row>
    <row r="19398" spans="2:9" ht="15" customHeight="1" x14ac:dyDescent="0.25">
      <c r="B19398" s="55" t="s">
        <v>282</v>
      </c>
      <c r="C19398" s="46">
        <v>4386</v>
      </c>
      <c r="D19398" s="69" t="s">
        <v>29419</v>
      </c>
      <c r="E19398" s="51"/>
      <c r="F19398" s="114" t="str">
        <f>IF(INDEX(I.Facility.P3IDNumber,4386)="","",INDEX(I.Facility.P3IDNumber,4386))</f>
        <v/>
      </c>
      <c r="G19398" s="51"/>
      <c r="H19398" s="46" t="str">
        <f>IF(AND(I.Developer.P3=TRUE,I.Facility.P3FacilityCount&gt;=4386,F19398=""),"Incomplete","Complete")</f>
        <v>Complete</v>
      </c>
      <c r="I19398" s="48" t="s">
        <v>23763</v>
      </c>
    </row>
    <row r="19399" spans="2:9" ht="15" customHeight="1" x14ac:dyDescent="0.25">
      <c r="B19399" s="55" t="s">
        <v>282</v>
      </c>
      <c r="C19399" s="46">
        <v>4387</v>
      </c>
      <c r="D19399" s="69" t="s">
        <v>29419</v>
      </c>
      <c r="E19399" s="51"/>
      <c r="F19399" s="114" t="str">
        <f>IF(INDEX(I.Facility.P3IDNumber,4387)="","",INDEX(I.Facility.P3IDNumber,4387))</f>
        <v/>
      </c>
      <c r="G19399" s="51"/>
      <c r="H19399" s="46" t="str">
        <f>IF(AND(I.Developer.P3=TRUE,I.Facility.P3FacilityCount&gt;=4387,F19399=""),"Incomplete","Complete")</f>
        <v>Complete</v>
      </c>
      <c r="I19399" s="48" t="s">
        <v>23764</v>
      </c>
    </row>
    <row r="19400" spans="2:9" ht="15" customHeight="1" x14ac:dyDescent="0.25">
      <c r="B19400" s="55" t="s">
        <v>282</v>
      </c>
      <c r="C19400" s="46">
        <v>4388</v>
      </c>
      <c r="D19400" s="69" t="s">
        <v>29419</v>
      </c>
      <c r="E19400" s="51"/>
      <c r="F19400" s="114" t="str">
        <f>IF(INDEX(I.Facility.P3IDNumber,4388)="","",INDEX(I.Facility.P3IDNumber,4388))</f>
        <v/>
      </c>
      <c r="G19400" s="51"/>
      <c r="H19400" s="46" t="str">
        <f>IF(AND(I.Developer.P3=TRUE,I.Facility.P3FacilityCount&gt;=4388,F19400=""),"Incomplete","Complete")</f>
        <v>Complete</v>
      </c>
      <c r="I19400" s="48" t="s">
        <v>23765</v>
      </c>
    </row>
    <row r="19401" spans="2:9" ht="15" customHeight="1" x14ac:dyDescent="0.25">
      <c r="B19401" s="55" t="s">
        <v>282</v>
      </c>
      <c r="C19401" s="46">
        <v>4389</v>
      </c>
      <c r="D19401" s="69" t="s">
        <v>29419</v>
      </c>
      <c r="E19401" s="51"/>
      <c r="F19401" s="114" t="str">
        <f>IF(INDEX(I.Facility.P3IDNumber,4389)="","",INDEX(I.Facility.P3IDNumber,4389))</f>
        <v/>
      </c>
      <c r="G19401" s="51"/>
      <c r="H19401" s="46" t="str">
        <f>IF(AND(I.Developer.P3=TRUE,I.Facility.P3FacilityCount&gt;=4389,F19401=""),"Incomplete","Complete")</f>
        <v>Complete</v>
      </c>
      <c r="I19401" s="48" t="s">
        <v>23766</v>
      </c>
    </row>
    <row r="19402" spans="2:9" ht="15" customHeight="1" x14ac:dyDescent="0.25">
      <c r="B19402" s="55" t="s">
        <v>282</v>
      </c>
      <c r="C19402" s="46">
        <v>4390</v>
      </c>
      <c r="D19402" s="69" t="s">
        <v>29419</v>
      </c>
      <c r="E19402" s="51"/>
      <c r="F19402" s="114" t="str">
        <f>IF(INDEX(I.Facility.P3IDNumber,4390)="","",INDEX(I.Facility.P3IDNumber,4390))</f>
        <v/>
      </c>
      <c r="G19402" s="51"/>
      <c r="H19402" s="46" t="str">
        <f>IF(AND(I.Developer.P3=TRUE,I.Facility.P3FacilityCount&gt;=4390,F19402=""),"Incomplete","Complete")</f>
        <v>Complete</v>
      </c>
      <c r="I19402" s="48" t="s">
        <v>23767</v>
      </c>
    </row>
    <row r="19403" spans="2:9" ht="15" customHeight="1" x14ac:dyDescent="0.25">
      <c r="B19403" s="55" t="s">
        <v>282</v>
      </c>
      <c r="C19403" s="46">
        <v>4391</v>
      </c>
      <c r="D19403" s="69" t="s">
        <v>29419</v>
      </c>
      <c r="E19403" s="51"/>
      <c r="F19403" s="114" t="str">
        <f>IF(INDEX(I.Facility.P3IDNumber,4391)="","",INDEX(I.Facility.P3IDNumber,4391))</f>
        <v/>
      </c>
      <c r="G19403" s="51"/>
      <c r="H19403" s="46" t="str">
        <f>IF(AND(I.Developer.P3=TRUE,I.Facility.P3FacilityCount&gt;=4391,F19403=""),"Incomplete","Complete")</f>
        <v>Complete</v>
      </c>
      <c r="I19403" s="48" t="s">
        <v>23768</v>
      </c>
    </row>
    <row r="19404" spans="2:9" ht="15" customHeight="1" x14ac:dyDescent="0.25">
      <c r="B19404" s="55" t="s">
        <v>282</v>
      </c>
      <c r="C19404" s="46">
        <v>4392</v>
      </c>
      <c r="D19404" s="69" t="s">
        <v>29419</v>
      </c>
      <c r="E19404" s="51"/>
      <c r="F19404" s="114" t="str">
        <f>IF(INDEX(I.Facility.P3IDNumber,4392)="","",INDEX(I.Facility.P3IDNumber,4392))</f>
        <v/>
      </c>
      <c r="G19404" s="51"/>
      <c r="H19404" s="46" t="str">
        <f>IF(AND(I.Developer.P3=TRUE,I.Facility.P3FacilityCount&gt;=4392,F19404=""),"Incomplete","Complete")</f>
        <v>Complete</v>
      </c>
      <c r="I19404" s="48" t="s">
        <v>23769</v>
      </c>
    </row>
    <row r="19405" spans="2:9" ht="15" customHeight="1" x14ac:dyDescent="0.25">
      <c r="B19405" s="55" t="s">
        <v>282</v>
      </c>
      <c r="C19405" s="46">
        <v>4393</v>
      </c>
      <c r="D19405" s="69" t="s">
        <v>29419</v>
      </c>
      <c r="E19405" s="51"/>
      <c r="F19405" s="114" t="str">
        <f>IF(INDEX(I.Facility.P3IDNumber,4393)="","",INDEX(I.Facility.P3IDNumber,4393))</f>
        <v/>
      </c>
      <c r="G19405" s="51"/>
      <c r="H19405" s="46" t="str">
        <f>IF(AND(I.Developer.P3=TRUE,I.Facility.P3FacilityCount&gt;=4393,F19405=""),"Incomplete","Complete")</f>
        <v>Complete</v>
      </c>
      <c r="I19405" s="48" t="s">
        <v>23770</v>
      </c>
    </row>
    <row r="19406" spans="2:9" ht="15" customHeight="1" x14ac:dyDescent="0.25">
      <c r="B19406" s="55" t="s">
        <v>282</v>
      </c>
      <c r="C19406" s="46">
        <v>4394</v>
      </c>
      <c r="D19406" s="69" t="s">
        <v>29419</v>
      </c>
      <c r="E19406" s="51"/>
      <c r="F19406" s="114" t="str">
        <f>IF(INDEX(I.Facility.P3IDNumber,4394)="","",INDEX(I.Facility.P3IDNumber,4394))</f>
        <v/>
      </c>
      <c r="G19406" s="51"/>
      <c r="H19406" s="46" t="str">
        <f>IF(AND(I.Developer.P3=TRUE,I.Facility.P3FacilityCount&gt;=4394,F19406=""),"Incomplete","Complete")</f>
        <v>Complete</v>
      </c>
      <c r="I19406" s="48" t="s">
        <v>23771</v>
      </c>
    </row>
    <row r="19407" spans="2:9" ht="15" customHeight="1" x14ac:dyDescent="0.25">
      <c r="B19407" s="55" t="s">
        <v>282</v>
      </c>
      <c r="C19407" s="46">
        <v>4395</v>
      </c>
      <c r="D19407" s="69" t="s">
        <v>29419</v>
      </c>
      <c r="E19407" s="51"/>
      <c r="F19407" s="114" t="str">
        <f>IF(INDEX(I.Facility.P3IDNumber,4395)="","",INDEX(I.Facility.P3IDNumber,4395))</f>
        <v/>
      </c>
      <c r="G19407" s="51"/>
      <c r="H19407" s="46" t="str">
        <f>IF(AND(I.Developer.P3=TRUE,I.Facility.P3FacilityCount&gt;=4395,F19407=""),"Incomplete","Complete")</f>
        <v>Complete</v>
      </c>
      <c r="I19407" s="48" t="s">
        <v>23772</v>
      </c>
    </row>
    <row r="19408" spans="2:9" ht="15" customHeight="1" x14ac:dyDescent="0.25">
      <c r="B19408" s="55" t="s">
        <v>282</v>
      </c>
      <c r="C19408" s="46">
        <v>4396</v>
      </c>
      <c r="D19408" s="69" t="s">
        <v>29419</v>
      </c>
      <c r="E19408" s="51"/>
      <c r="F19408" s="114" t="str">
        <f>IF(INDEX(I.Facility.P3IDNumber,4396)="","",INDEX(I.Facility.P3IDNumber,4396))</f>
        <v/>
      </c>
      <c r="G19408" s="51"/>
      <c r="H19408" s="46" t="str">
        <f>IF(AND(I.Developer.P3=TRUE,I.Facility.P3FacilityCount&gt;=4396,F19408=""),"Incomplete","Complete")</f>
        <v>Complete</v>
      </c>
      <c r="I19408" s="48" t="s">
        <v>23773</v>
      </c>
    </row>
    <row r="19409" spans="2:9" ht="15" customHeight="1" x14ac:dyDescent="0.25">
      <c r="B19409" s="55" t="s">
        <v>282</v>
      </c>
      <c r="C19409" s="46">
        <v>4397</v>
      </c>
      <c r="D19409" s="69" t="s">
        <v>29419</v>
      </c>
      <c r="E19409" s="51"/>
      <c r="F19409" s="114" t="str">
        <f>IF(INDEX(I.Facility.P3IDNumber,4397)="","",INDEX(I.Facility.P3IDNumber,4397))</f>
        <v/>
      </c>
      <c r="G19409" s="51"/>
      <c r="H19409" s="46" t="str">
        <f>IF(AND(I.Developer.P3=TRUE,I.Facility.P3FacilityCount&gt;=4397,F19409=""),"Incomplete","Complete")</f>
        <v>Complete</v>
      </c>
      <c r="I19409" s="48" t="s">
        <v>23774</v>
      </c>
    </row>
    <row r="19410" spans="2:9" ht="15" customHeight="1" x14ac:dyDescent="0.25">
      <c r="B19410" s="55" t="s">
        <v>282</v>
      </c>
      <c r="C19410" s="46">
        <v>4398</v>
      </c>
      <c r="D19410" s="69" t="s">
        <v>29419</v>
      </c>
      <c r="E19410" s="51"/>
      <c r="F19410" s="114" t="str">
        <f>IF(INDEX(I.Facility.P3IDNumber,4398)="","",INDEX(I.Facility.P3IDNumber,4398))</f>
        <v/>
      </c>
      <c r="G19410" s="51"/>
      <c r="H19410" s="46" t="str">
        <f>IF(AND(I.Developer.P3=TRUE,I.Facility.P3FacilityCount&gt;=4398,F19410=""),"Incomplete","Complete")</f>
        <v>Complete</v>
      </c>
      <c r="I19410" s="48" t="s">
        <v>23775</v>
      </c>
    </row>
    <row r="19411" spans="2:9" ht="15" customHeight="1" x14ac:dyDescent="0.25">
      <c r="B19411" s="55" t="s">
        <v>282</v>
      </c>
      <c r="C19411" s="46">
        <v>4399</v>
      </c>
      <c r="D19411" s="69" t="s">
        <v>29419</v>
      </c>
      <c r="E19411" s="51"/>
      <c r="F19411" s="114" t="str">
        <f>IF(INDEX(I.Facility.P3IDNumber,4399)="","",INDEX(I.Facility.P3IDNumber,4399))</f>
        <v/>
      </c>
      <c r="G19411" s="51"/>
      <c r="H19411" s="46" t="str">
        <f>IF(AND(I.Developer.P3=TRUE,I.Facility.P3FacilityCount&gt;=4399,F19411=""),"Incomplete","Complete")</f>
        <v>Complete</v>
      </c>
      <c r="I19411" s="48" t="s">
        <v>23776</v>
      </c>
    </row>
    <row r="19412" spans="2:9" ht="15" customHeight="1" x14ac:dyDescent="0.25">
      <c r="B19412" s="55" t="s">
        <v>282</v>
      </c>
      <c r="C19412" s="46">
        <v>4400</v>
      </c>
      <c r="D19412" s="69" t="s">
        <v>29419</v>
      </c>
      <c r="E19412" s="51"/>
      <c r="F19412" s="114" t="str">
        <f>IF(INDEX(I.Facility.P3IDNumber,4400)="","",INDEX(I.Facility.P3IDNumber,4400))</f>
        <v/>
      </c>
      <c r="G19412" s="51"/>
      <c r="H19412" s="46" t="str">
        <f>IF(AND(I.Developer.P3=TRUE,I.Facility.P3FacilityCount&gt;=4400,F19412=""),"Incomplete","Complete")</f>
        <v>Complete</v>
      </c>
      <c r="I19412" s="48" t="s">
        <v>23777</v>
      </c>
    </row>
    <row r="19413" spans="2:9" ht="15" customHeight="1" x14ac:dyDescent="0.25">
      <c r="B19413" s="55" t="s">
        <v>282</v>
      </c>
      <c r="C19413" s="46">
        <v>4401</v>
      </c>
      <c r="D19413" s="69" t="s">
        <v>29419</v>
      </c>
      <c r="E19413" s="51"/>
      <c r="F19413" s="114" t="str">
        <f>IF(INDEX(I.Facility.P3IDNumber,4401)="","",INDEX(I.Facility.P3IDNumber,4401))</f>
        <v/>
      </c>
      <c r="G19413" s="51"/>
      <c r="H19413" s="46" t="str">
        <f>IF(AND(I.Developer.P3=TRUE,I.Facility.P3FacilityCount&gt;=4401,F19413=""),"Incomplete","Complete")</f>
        <v>Complete</v>
      </c>
      <c r="I19413" s="48" t="s">
        <v>23778</v>
      </c>
    </row>
    <row r="19414" spans="2:9" ht="15" customHeight="1" x14ac:dyDescent="0.25">
      <c r="B19414" s="55" t="s">
        <v>282</v>
      </c>
      <c r="C19414" s="46">
        <v>4402</v>
      </c>
      <c r="D19414" s="69" t="s">
        <v>29419</v>
      </c>
      <c r="E19414" s="51"/>
      <c r="F19414" s="114" t="str">
        <f>IF(INDEX(I.Facility.P3IDNumber,4402)="","",INDEX(I.Facility.P3IDNumber,4402))</f>
        <v/>
      </c>
      <c r="G19414" s="51"/>
      <c r="H19414" s="46" t="str">
        <f>IF(AND(I.Developer.P3=TRUE,I.Facility.P3FacilityCount&gt;=4402,F19414=""),"Incomplete","Complete")</f>
        <v>Complete</v>
      </c>
      <c r="I19414" s="48" t="s">
        <v>23779</v>
      </c>
    </row>
    <row r="19415" spans="2:9" ht="15" customHeight="1" x14ac:dyDescent="0.25">
      <c r="B19415" s="55" t="s">
        <v>282</v>
      </c>
      <c r="C19415" s="46">
        <v>4403</v>
      </c>
      <c r="D19415" s="69" t="s">
        <v>29419</v>
      </c>
      <c r="E19415" s="51"/>
      <c r="F19415" s="114" t="str">
        <f>IF(INDEX(I.Facility.P3IDNumber,4403)="","",INDEX(I.Facility.P3IDNumber,4403))</f>
        <v/>
      </c>
      <c r="G19415" s="51"/>
      <c r="H19415" s="46" t="str">
        <f>IF(AND(I.Developer.P3=TRUE,I.Facility.P3FacilityCount&gt;=4403,F19415=""),"Incomplete","Complete")</f>
        <v>Complete</v>
      </c>
      <c r="I19415" s="48" t="s">
        <v>23780</v>
      </c>
    </row>
    <row r="19416" spans="2:9" ht="15" customHeight="1" x14ac:dyDescent="0.25">
      <c r="B19416" s="55" t="s">
        <v>282</v>
      </c>
      <c r="C19416" s="46">
        <v>4404</v>
      </c>
      <c r="D19416" s="69" t="s">
        <v>29419</v>
      </c>
      <c r="E19416" s="51"/>
      <c r="F19416" s="114" t="str">
        <f>IF(INDEX(I.Facility.P3IDNumber,4404)="","",INDEX(I.Facility.P3IDNumber,4404))</f>
        <v/>
      </c>
      <c r="G19416" s="51"/>
      <c r="H19416" s="46" t="str">
        <f>IF(AND(I.Developer.P3=TRUE,I.Facility.P3FacilityCount&gt;=4404,F19416=""),"Incomplete","Complete")</f>
        <v>Complete</v>
      </c>
      <c r="I19416" s="48" t="s">
        <v>23781</v>
      </c>
    </row>
    <row r="19417" spans="2:9" ht="15" customHeight="1" x14ac:dyDescent="0.25">
      <c r="B19417" s="55" t="s">
        <v>282</v>
      </c>
      <c r="C19417" s="46">
        <v>4405</v>
      </c>
      <c r="D19417" s="69" t="s">
        <v>29419</v>
      </c>
      <c r="E19417" s="51"/>
      <c r="F19417" s="114" t="str">
        <f>IF(INDEX(I.Facility.P3IDNumber,4405)="","",INDEX(I.Facility.P3IDNumber,4405))</f>
        <v/>
      </c>
      <c r="G19417" s="51"/>
      <c r="H19417" s="46" t="str">
        <f>IF(AND(I.Developer.P3=TRUE,I.Facility.P3FacilityCount&gt;=4405,F19417=""),"Incomplete","Complete")</f>
        <v>Complete</v>
      </c>
      <c r="I19417" s="48" t="s">
        <v>23782</v>
      </c>
    </row>
    <row r="19418" spans="2:9" ht="15" customHeight="1" x14ac:dyDescent="0.25">
      <c r="B19418" s="55" t="s">
        <v>282</v>
      </c>
      <c r="C19418" s="46">
        <v>4406</v>
      </c>
      <c r="D19418" s="69" t="s">
        <v>29419</v>
      </c>
      <c r="E19418" s="51"/>
      <c r="F19418" s="114" t="str">
        <f>IF(INDEX(I.Facility.P3IDNumber,4406)="","",INDEX(I.Facility.P3IDNumber,4406))</f>
        <v/>
      </c>
      <c r="G19418" s="51"/>
      <c r="H19418" s="46" t="str">
        <f>IF(AND(I.Developer.P3=TRUE,I.Facility.P3FacilityCount&gt;=4406,F19418=""),"Incomplete","Complete")</f>
        <v>Complete</v>
      </c>
      <c r="I19418" s="48" t="s">
        <v>23783</v>
      </c>
    </row>
    <row r="19419" spans="2:9" ht="15" customHeight="1" x14ac:dyDescent="0.25">
      <c r="B19419" s="55" t="s">
        <v>282</v>
      </c>
      <c r="C19419" s="46">
        <v>4407</v>
      </c>
      <c r="D19419" s="69" t="s">
        <v>29419</v>
      </c>
      <c r="E19419" s="51"/>
      <c r="F19419" s="114" t="str">
        <f>IF(INDEX(I.Facility.P3IDNumber,4407)="","",INDEX(I.Facility.P3IDNumber,4407))</f>
        <v/>
      </c>
      <c r="G19419" s="51"/>
      <c r="H19419" s="46" t="str">
        <f>IF(AND(I.Developer.P3=TRUE,I.Facility.P3FacilityCount&gt;=4407,F19419=""),"Incomplete","Complete")</f>
        <v>Complete</v>
      </c>
      <c r="I19419" s="48" t="s">
        <v>23784</v>
      </c>
    </row>
    <row r="19420" spans="2:9" ht="15" customHeight="1" x14ac:dyDescent="0.25">
      <c r="B19420" s="55" t="s">
        <v>282</v>
      </c>
      <c r="C19420" s="46">
        <v>4408</v>
      </c>
      <c r="D19420" s="69" t="s">
        <v>29419</v>
      </c>
      <c r="E19420" s="51"/>
      <c r="F19420" s="114" t="str">
        <f>IF(INDEX(I.Facility.P3IDNumber,4408)="","",INDEX(I.Facility.P3IDNumber,4408))</f>
        <v/>
      </c>
      <c r="G19420" s="51"/>
      <c r="H19420" s="46" t="str">
        <f>IF(AND(I.Developer.P3=TRUE,I.Facility.P3FacilityCount&gt;=4408,F19420=""),"Incomplete","Complete")</f>
        <v>Complete</v>
      </c>
      <c r="I19420" s="48" t="s">
        <v>23785</v>
      </c>
    </row>
    <row r="19421" spans="2:9" ht="15" customHeight="1" x14ac:dyDescent="0.25">
      <c r="B19421" s="55" t="s">
        <v>282</v>
      </c>
      <c r="C19421" s="46">
        <v>4409</v>
      </c>
      <c r="D19421" s="69" t="s">
        <v>29419</v>
      </c>
      <c r="E19421" s="51"/>
      <c r="F19421" s="114" t="str">
        <f>IF(INDEX(I.Facility.P3IDNumber,4409)="","",INDEX(I.Facility.P3IDNumber,4409))</f>
        <v/>
      </c>
      <c r="G19421" s="51"/>
      <c r="H19421" s="46" t="str">
        <f>IF(AND(I.Developer.P3=TRUE,I.Facility.P3FacilityCount&gt;=4409,F19421=""),"Incomplete","Complete")</f>
        <v>Complete</v>
      </c>
      <c r="I19421" s="48" t="s">
        <v>23786</v>
      </c>
    </row>
    <row r="19422" spans="2:9" ht="15" customHeight="1" x14ac:dyDescent="0.25">
      <c r="B19422" s="55" t="s">
        <v>282</v>
      </c>
      <c r="C19422" s="46">
        <v>4410</v>
      </c>
      <c r="D19422" s="69" t="s">
        <v>29419</v>
      </c>
      <c r="E19422" s="51"/>
      <c r="F19422" s="114" t="str">
        <f>IF(INDEX(I.Facility.P3IDNumber,4410)="","",INDEX(I.Facility.P3IDNumber,4410))</f>
        <v/>
      </c>
      <c r="G19422" s="51"/>
      <c r="H19422" s="46" t="str">
        <f>IF(AND(I.Developer.P3=TRUE,I.Facility.P3FacilityCount&gt;=4410,F19422=""),"Incomplete","Complete")</f>
        <v>Complete</v>
      </c>
      <c r="I19422" s="48" t="s">
        <v>23787</v>
      </c>
    </row>
    <row r="19423" spans="2:9" ht="15" customHeight="1" x14ac:dyDescent="0.25">
      <c r="B19423" s="55" t="s">
        <v>282</v>
      </c>
      <c r="C19423" s="46">
        <v>4411</v>
      </c>
      <c r="D19423" s="69" t="s">
        <v>29419</v>
      </c>
      <c r="E19423" s="51"/>
      <c r="F19423" s="114" t="str">
        <f>IF(INDEX(I.Facility.P3IDNumber,4411)="","",INDEX(I.Facility.P3IDNumber,4411))</f>
        <v/>
      </c>
      <c r="G19423" s="51"/>
      <c r="H19423" s="46" t="str">
        <f>IF(AND(I.Developer.P3=TRUE,I.Facility.P3FacilityCount&gt;=4411,F19423=""),"Incomplete","Complete")</f>
        <v>Complete</v>
      </c>
      <c r="I19423" s="48" t="s">
        <v>23788</v>
      </c>
    </row>
    <row r="19424" spans="2:9" ht="15" customHeight="1" x14ac:dyDescent="0.25">
      <c r="B19424" s="55" t="s">
        <v>282</v>
      </c>
      <c r="C19424" s="46">
        <v>4412</v>
      </c>
      <c r="D19424" s="69" t="s">
        <v>29419</v>
      </c>
      <c r="E19424" s="51"/>
      <c r="F19424" s="114" t="str">
        <f>IF(INDEX(I.Facility.P3IDNumber,4412)="","",INDEX(I.Facility.P3IDNumber,4412))</f>
        <v/>
      </c>
      <c r="G19424" s="51"/>
      <c r="H19424" s="46" t="str">
        <f>IF(AND(I.Developer.P3=TRUE,I.Facility.P3FacilityCount&gt;=4412,F19424=""),"Incomplete","Complete")</f>
        <v>Complete</v>
      </c>
      <c r="I19424" s="48" t="s">
        <v>23789</v>
      </c>
    </row>
    <row r="19425" spans="2:9" ht="15" customHeight="1" x14ac:dyDescent="0.25">
      <c r="B19425" s="55" t="s">
        <v>282</v>
      </c>
      <c r="C19425" s="46">
        <v>4413</v>
      </c>
      <c r="D19425" s="69" t="s">
        <v>29419</v>
      </c>
      <c r="E19425" s="51"/>
      <c r="F19425" s="114" t="str">
        <f>IF(INDEX(I.Facility.P3IDNumber,4413)="","",INDEX(I.Facility.P3IDNumber,4413))</f>
        <v/>
      </c>
      <c r="G19425" s="51"/>
      <c r="H19425" s="46" t="str">
        <f>IF(AND(I.Developer.P3=TRUE,I.Facility.P3FacilityCount&gt;=4413,F19425=""),"Incomplete","Complete")</f>
        <v>Complete</v>
      </c>
      <c r="I19425" s="48" t="s">
        <v>23790</v>
      </c>
    </row>
    <row r="19426" spans="2:9" ht="15" customHeight="1" x14ac:dyDescent="0.25">
      <c r="B19426" s="55" t="s">
        <v>282</v>
      </c>
      <c r="C19426" s="46">
        <v>4414</v>
      </c>
      <c r="D19426" s="69" t="s">
        <v>29419</v>
      </c>
      <c r="E19426" s="51"/>
      <c r="F19426" s="114" t="str">
        <f>IF(INDEX(I.Facility.P3IDNumber,4414)="","",INDEX(I.Facility.P3IDNumber,4414))</f>
        <v/>
      </c>
      <c r="G19426" s="51"/>
      <c r="H19426" s="46" t="str">
        <f>IF(AND(I.Developer.P3=TRUE,I.Facility.P3FacilityCount&gt;=4414,F19426=""),"Incomplete","Complete")</f>
        <v>Complete</v>
      </c>
      <c r="I19426" s="48" t="s">
        <v>23791</v>
      </c>
    </row>
    <row r="19427" spans="2:9" ht="15" customHeight="1" x14ac:dyDescent="0.25">
      <c r="B19427" s="55" t="s">
        <v>282</v>
      </c>
      <c r="C19427" s="46">
        <v>4415</v>
      </c>
      <c r="D19427" s="69" t="s">
        <v>29419</v>
      </c>
      <c r="E19427" s="51"/>
      <c r="F19427" s="114" t="str">
        <f>IF(INDEX(I.Facility.P3IDNumber,4415)="","",INDEX(I.Facility.P3IDNumber,4415))</f>
        <v/>
      </c>
      <c r="G19427" s="51"/>
      <c r="H19427" s="46" t="str">
        <f>IF(AND(I.Developer.P3=TRUE,I.Facility.P3FacilityCount&gt;=4415,F19427=""),"Incomplete","Complete")</f>
        <v>Complete</v>
      </c>
      <c r="I19427" s="48" t="s">
        <v>23792</v>
      </c>
    </row>
    <row r="19428" spans="2:9" ht="15" customHeight="1" x14ac:dyDescent="0.25">
      <c r="B19428" s="55" t="s">
        <v>282</v>
      </c>
      <c r="C19428" s="46">
        <v>4416</v>
      </c>
      <c r="D19428" s="69" t="s">
        <v>29419</v>
      </c>
      <c r="E19428" s="51"/>
      <c r="F19428" s="114" t="str">
        <f>IF(INDEX(I.Facility.P3IDNumber,4416)="","",INDEX(I.Facility.P3IDNumber,4416))</f>
        <v/>
      </c>
      <c r="G19428" s="51"/>
      <c r="H19428" s="46" t="str">
        <f>IF(AND(I.Developer.P3=TRUE,I.Facility.P3FacilityCount&gt;=4416,F19428=""),"Incomplete","Complete")</f>
        <v>Complete</v>
      </c>
      <c r="I19428" s="48" t="s">
        <v>23793</v>
      </c>
    </row>
    <row r="19429" spans="2:9" ht="15" customHeight="1" x14ac:dyDescent="0.25">
      <c r="B19429" s="55" t="s">
        <v>282</v>
      </c>
      <c r="C19429" s="46">
        <v>4417</v>
      </c>
      <c r="D19429" s="69" t="s">
        <v>29419</v>
      </c>
      <c r="E19429" s="51"/>
      <c r="F19429" s="114" t="str">
        <f>IF(INDEX(I.Facility.P3IDNumber,4417)="","",INDEX(I.Facility.P3IDNumber,4417))</f>
        <v/>
      </c>
      <c r="G19429" s="51"/>
      <c r="H19429" s="46" t="str">
        <f>IF(AND(I.Developer.P3=TRUE,I.Facility.P3FacilityCount&gt;=4417,F19429=""),"Incomplete","Complete")</f>
        <v>Complete</v>
      </c>
      <c r="I19429" s="48" t="s">
        <v>23794</v>
      </c>
    </row>
    <row r="19430" spans="2:9" ht="15" customHeight="1" x14ac:dyDescent="0.25">
      <c r="B19430" s="55" t="s">
        <v>282</v>
      </c>
      <c r="C19430" s="46">
        <v>4418</v>
      </c>
      <c r="D19430" s="69" t="s">
        <v>29419</v>
      </c>
      <c r="E19430" s="51"/>
      <c r="F19430" s="114" t="str">
        <f>IF(INDEX(I.Facility.P3IDNumber,4418)="","",INDEX(I.Facility.P3IDNumber,4418))</f>
        <v/>
      </c>
      <c r="G19430" s="51"/>
      <c r="H19430" s="46" t="str">
        <f>IF(AND(I.Developer.P3=TRUE,I.Facility.P3FacilityCount&gt;=4418,F19430=""),"Incomplete","Complete")</f>
        <v>Complete</v>
      </c>
      <c r="I19430" s="48" t="s">
        <v>23795</v>
      </c>
    </row>
    <row r="19431" spans="2:9" ht="15" customHeight="1" x14ac:dyDescent="0.25">
      <c r="B19431" s="55" t="s">
        <v>282</v>
      </c>
      <c r="C19431" s="46">
        <v>4419</v>
      </c>
      <c r="D19431" s="69" t="s">
        <v>29419</v>
      </c>
      <c r="E19431" s="51"/>
      <c r="F19431" s="114" t="str">
        <f>IF(INDEX(I.Facility.P3IDNumber,4419)="","",INDEX(I.Facility.P3IDNumber,4419))</f>
        <v/>
      </c>
      <c r="G19431" s="51"/>
      <c r="H19431" s="46" t="str">
        <f>IF(AND(I.Developer.P3=TRUE,I.Facility.P3FacilityCount&gt;=4419,F19431=""),"Incomplete","Complete")</f>
        <v>Complete</v>
      </c>
      <c r="I19431" s="48" t="s">
        <v>23796</v>
      </c>
    </row>
    <row r="19432" spans="2:9" ht="15" customHeight="1" x14ac:dyDescent="0.25">
      <c r="B19432" s="55" t="s">
        <v>282</v>
      </c>
      <c r="C19432" s="46">
        <v>4420</v>
      </c>
      <c r="D19432" s="69" t="s">
        <v>29419</v>
      </c>
      <c r="E19432" s="51"/>
      <c r="F19432" s="114" t="str">
        <f>IF(INDEX(I.Facility.P3IDNumber,4420)="","",INDEX(I.Facility.P3IDNumber,4420))</f>
        <v/>
      </c>
      <c r="G19432" s="51"/>
      <c r="H19432" s="46" t="str">
        <f>IF(AND(I.Developer.P3=TRUE,I.Facility.P3FacilityCount&gt;=4420,F19432=""),"Incomplete","Complete")</f>
        <v>Complete</v>
      </c>
      <c r="I19432" s="48" t="s">
        <v>23797</v>
      </c>
    </row>
    <row r="19433" spans="2:9" ht="15" customHeight="1" x14ac:dyDescent="0.25">
      <c r="B19433" s="55" t="s">
        <v>282</v>
      </c>
      <c r="C19433" s="46">
        <v>4421</v>
      </c>
      <c r="D19433" s="69" t="s">
        <v>29419</v>
      </c>
      <c r="E19433" s="51"/>
      <c r="F19433" s="114" t="str">
        <f>IF(INDEX(I.Facility.P3IDNumber,4421)="","",INDEX(I.Facility.P3IDNumber,4421))</f>
        <v/>
      </c>
      <c r="G19433" s="51"/>
      <c r="H19433" s="46" t="str">
        <f>IF(AND(I.Developer.P3=TRUE,I.Facility.P3FacilityCount&gt;=4421,F19433=""),"Incomplete","Complete")</f>
        <v>Complete</v>
      </c>
      <c r="I19433" s="48" t="s">
        <v>23798</v>
      </c>
    </row>
    <row r="19434" spans="2:9" ht="15" customHeight="1" x14ac:dyDescent="0.25">
      <c r="B19434" s="55" t="s">
        <v>282</v>
      </c>
      <c r="C19434" s="46">
        <v>4422</v>
      </c>
      <c r="D19434" s="69" t="s">
        <v>29419</v>
      </c>
      <c r="E19434" s="51"/>
      <c r="F19434" s="114" t="str">
        <f>IF(INDEX(I.Facility.P3IDNumber,4422)="","",INDEX(I.Facility.P3IDNumber,4422))</f>
        <v/>
      </c>
      <c r="G19434" s="51"/>
      <c r="H19434" s="46" t="str">
        <f>IF(AND(I.Developer.P3=TRUE,I.Facility.P3FacilityCount&gt;=4422,F19434=""),"Incomplete","Complete")</f>
        <v>Complete</v>
      </c>
      <c r="I19434" s="48" t="s">
        <v>23799</v>
      </c>
    </row>
    <row r="19435" spans="2:9" ht="15" customHeight="1" x14ac:dyDescent="0.25">
      <c r="B19435" s="55" t="s">
        <v>282</v>
      </c>
      <c r="C19435" s="46">
        <v>4423</v>
      </c>
      <c r="D19435" s="69" t="s">
        <v>29419</v>
      </c>
      <c r="E19435" s="51"/>
      <c r="F19435" s="114" t="str">
        <f>IF(INDEX(I.Facility.P3IDNumber,4423)="","",INDEX(I.Facility.P3IDNumber,4423))</f>
        <v/>
      </c>
      <c r="G19435" s="51"/>
      <c r="H19435" s="46" t="str">
        <f>IF(AND(I.Developer.P3=TRUE,I.Facility.P3FacilityCount&gt;=4423,F19435=""),"Incomplete","Complete")</f>
        <v>Complete</v>
      </c>
      <c r="I19435" s="48" t="s">
        <v>23800</v>
      </c>
    </row>
    <row r="19436" spans="2:9" ht="15" customHeight="1" x14ac:dyDescent="0.25">
      <c r="B19436" s="55" t="s">
        <v>282</v>
      </c>
      <c r="C19436" s="46">
        <v>4424</v>
      </c>
      <c r="D19436" s="69" t="s">
        <v>29419</v>
      </c>
      <c r="E19436" s="51"/>
      <c r="F19436" s="114" t="str">
        <f>IF(INDEX(I.Facility.P3IDNumber,4424)="","",INDEX(I.Facility.P3IDNumber,4424))</f>
        <v/>
      </c>
      <c r="G19436" s="51"/>
      <c r="H19436" s="46" t="str">
        <f>IF(AND(I.Developer.P3=TRUE,I.Facility.P3FacilityCount&gt;=4424,F19436=""),"Incomplete","Complete")</f>
        <v>Complete</v>
      </c>
      <c r="I19436" s="48" t="s">
        <v>23801</v>
      </c>
    </row>
    <row r="19437" spans="2:9" ht="15" customHeight="1" x14ac:dyDescent="0.25">
      <c r="B19437" s="55" t="s">
        <v>282</v>
      </c>
      <c r="C19437" s="46">
        <v>4425</v>
      </c>
      <c r="D19437" s="69" t="s">
        <v>29419</v>
      </c>
      <c r="E19437" s="51"/>
      <c r="F19437" s="114" t="str">
        <f>IF(INDEX(I.Facility.P3IDNumber,4425)="","",INDEX(I.Facility.P3IDNumber,4425))</f>
        <v/>
      </c>
      <c r="G19437" s="51"/>
      <c r="H19437" s="46" t="str">
        <f>IF(AND(I.Developer.P3=TRUE,I.Facility.P3FacilityCount&gt;=4425,F19437=""),"Incomplete","Complete")</f>
        <v>Complete</v>
      </c>
      <c r="I19437" s="48" t="s">
        <v>23802</v>
      </c>
    </row>
    <row r="19438" spans="2:9" ht="15" customHeight="1" x14ac:dyDescent="0.25">
      <c r="B19438" s="55" t="s">
        <v>282</v>
      </c>
      <c r="C19438" s="46">
        <v>4426</v>
      </c>
      <c r="D19438" s="69" t="s">
        <v>29419</v>
      </c>
      <c r="E19438" s="51"/>
      <c r="F19438" s="114" t="str">
        <f>IF(INDEX(I.Facility.P3IDNumber,4426)="","",INDEX(I.Facility.P3IDNumber,4426))</f>
        <v/>
      </c>
      <c r="G19438" s="51"/>
      <c r="H19438" s="46" t="str">
        <f>IF(AND(I.Developer.P3=TRUE,I.Facility.P3FacilityCount&gt;=4426,F19438=""),"Incomplete","Complete")</f>
        <v>Complete</v>
      </c>
      <c r="I19438" s="48" t="s">
        <v>23803</v>
      </c>
    </row>
    <row r="19439" spans="2:9" ht="15" customHeight="1" x14ac:dyDescent="0.25">
      <c r="B19439" s="55" t="s">
        <v>282</v>
      </c>
      <c r="C19439" s="46">
        <v>4427</v>
      </c>
      <c r="D19439" s="69" t="s">
        <v>29419</v>
      </c>
      <c r="E19439" s="51"/>
      <c r="F19439" s="114" t="str">
        <f>IF(INDEX(I.Facility.P3IDNumber,4427)="","",INDEX(I.Facility.P3IDNumber,4427))</f>
        <v/>
      </c>
      <c r="G19439" s="51"/>
      <c r="H19439" s="46" t="str">
        <f>IF(AND(I.Developer.P3=TRUE,I.Facility.P3FacilityCount&gt;=4427,F19439=""),"Incomplete","Complete")</f>
        <v>Complete</v>
      </c>
      <c r="I19439" s="48" t="s">
        <v>23804</v>
      </c>
    </row>
    <row r="19440" spans="2:9" ht="15" customHeight="1" x14ac:dyDescent="0.25">
      <c r="B19440" s="55" t="s">
        <v>282</v>
      </c>
      <c r="C19440" s="46">
        <v>4428</v>
      </c>
      <c r="D19440" s="69" t="s">
        <v>29419</v>
      </c>
      <c r="E19440" s="51"/>
      <c r="F19440" s="114" t="str">
        <f>IF(INDEX(I.Facility.P3IDNumber,4428)="","",INDEX(I.Facility.P3IDNumber,4428))</f>
        <v/>
      </c>
      <c r="G19440" s="51"/>
      <c r="H19440" s="46" t="str">
        <f>IF(AND(I.Developer.P3=TRUE,I.Facility.P3FacilityCount&gt;=4428,F19440=""),"Incomplete","Complete")</f>
        <v>Complete</v>
      </c>
      <c r="I19440" s="48" t="s">
        <v>23805</v>
      </c>
    </row>
    <row r="19441" spans="2:9" ht="15" customHeight="1" x14ac:dyDescent="0.25">
      <c r="B19441" s="55" t="s">
        <v>282</v>
      </c>
      <c r="C19441" s="46">
        <v>4429</v>
      </c>
      <c r="D19441" s="69" t="s">
        <v>29419</v>
      </c>
      <c r="E19441" s="51"/>
      <c r="F19441" s="114" t="str">
        <f>IF(INDEX(I.Facility.P3IDNumber,4429)="","",INDEX(I.Facility.P3IDNumber,4429))</f>
        <v/>
      </c>
      <c r="G19441" s="51"/>
      <c r="H19441" s="46" t="str">
        <f>IF(AND(I.Developer.P3=TRUE,I.Facility.P3FacilityCount&gt;=4429,F19441=""),"Incomplete","Complete")</f>
        <v>Complete</v>
      </c>
      <c r="I19441" s="48" t="s">
        <v>23806</v>
      </c>
    </row>
    <row r="19442" spans="2:9" ht="15" customHeight="1" x14ac:dyDescent="0.25">
      <c r="B19442" s="55" t="s">
        <v>282</v>
      </c>
      <c r="C19442" s="46">
        <v>4430</v>
      </c>
      <c r="D19442" s="69" t="s">
        <v>29419</v>
      </c>
      <c r="E19442" s="51"/>
      <c r="F19442" s="114" t="str">
        <f>IF(INDEX(I.Facility.P3IDNumber,4430)="","",INDEX(I.Facility.P3IDNumber,4430))</f>
        <v/>
      </c>
      <c r="G19442" s="51"/>
      <c r="H19442" s="46" t="str">
        <f>IF(AND(I.Developer.P3=TRUE,I.Facility.P3FacilityCount&gt;=4430,F19442=""),"Incomplete","Complete")</f>
        <v>Complete</v>
      </c>
      <c r="I19442" s="48" t="s">
        <v>23807</v>
      </c>
    </row>
    <row r="19443" spans="2:9" ht="15" customHeight="1" x14ac:dyDescent="0.25">
      <c r="B19443" s="55" t="s">
        <v>282</v>
      </c>
      <c r="C19443" s="46">
        <v>4431</v>
      </c>
      <c r="D19443" s="69" t="s">
        <v>29419</v>
      </c>
      <c r="E19443" s="51"/>
      <c r="F19443" s="114" t="str">
        <f>IF(INDEX(I.Facility.P3IDNumber,4431)="","",INDEX(I.Facility.P3IDNumber,4431))</f>
        <v/>
      </c>
      <c r="G19443" s="51"/>
      <c r="H19443" s="46" t="str">
        <f>IF(AND(I.Developer.P3=TRUE,I.Facility.P3FacilityCount&gt;=4431,F19443=""),"Incomplete","Complete")</f>
        <v>Complete</v>
      </c>
      <c r="I19443" s="48" t="s">
        <v>23808</v>
      </c>
    </row>
    <row r="19444" spans="2:9" ht="15" customHeight="1" x14ac:dyDescent="0.25">
      <c r="B19444" s="55" t="s">
        <v>282</v>
      </c>
      <c r="C19444" s="46">
        <v>4432</v>
      </c>
      <c r="D19444" s="69" t="s">
        <v>29419</v>
      </c>
      <c r="E19444" s="51"/>
      <c r="F19444" s="114" t="str">
        <f>IF(INDEX(I.Facility.P3IDNumber,4432)="","",INDEX(I.Facility.P3IDNumber,4432))</f>
        <v/>
      </c>
      <c r="G19444" s="51"/>
      <c r="H19444" s="46" t="str">
        <f>IF(AND(I.Developer.P3=TRUE,I.Facility.P3FacilityCount&gt;=4432,F19444=""),"Incomplete","Complete")</f>
        <v>Complete</v>
      </c>
      <c r="I19444" s="48" t="s">
        <v>23809</v>
      </c>
    </row>
    <row r="19445" spans="2:9" ht="15" customHeight="1" x14ac:dyDescent="0.25">
      <c r="B19445" s="55" t="s">
        <v>282</v>
      </c>
      <c r="C19445" s="46">
        <v>4433</v>
      </c>
      <c r="D19445" s="69" t="s">
        <v>29419</v>
      </c>
      <c r="E19445" s="51"/>
      <c r="F19445" s="114" t="str">
        <f>IF(INDEX(I.Facility.P3IDNumber,4433)="","",INDEX(I.Facility.P3IDNumber,4433))</f>
        <v/>
      </c>
      <c r="G19445" s="51"/>
      <c r="H19445" s="46" t="str">
        <f>IF(AND(I.Developer.P3=TRUE,I.Facility.P3FacilityCount&gt;=4433,F19445=""),"Incomplete","Complete")</f>
        <v>Complete</v>
      </c>
      <c r="I19445" s="48" t="s">
        <v>23810</v>
      </c>
    </row>
    <row r="19446" spans="2:9" ht="15" customHeight="1" x14ac:dyDescent="0.25">
      <c r="B19446" s="55" t="s">
        <v>282</v>
      </c>
      <c r="C19446" s="46">
        <v>4434</v>
      </c>
      <c r="D19446" s="69" t="s">
        <v>29419</v>
      </c>
      <c r="E19446" s="51"/>
      <c r="F19446" s="114" t="str">
        <f>IF(INDEX(I.Facility.P3IDNumber,4434)="","",INDEX(I.Facility.P3IDNumber,4434))</f>
        <v/>
      </c>
      <c r="G19446" s="51"/>
      <c r="H19446" s="46" t="str">
        <f>IF(AND(I.Developer.P3=TRUE,I.Facility.P3FacilityCount&gt;=4434,F19446=""),"Incomplete","Complete")</f>
        <v>Complete</v>
      </c>
      <c r="I19446" s="48" t="s">
        <v>23811</v>
      </c>
    </row>
    <row r="19447" spans="2:9" ht="15" customHeight="1" x14ac:dyDescent="0.25">
      <c r="B19447" s="55" t="s">
        <v>282</v>
      </c>
      <c r="C19447" s="46">
        <v>4435</v>
      </c>
      <c r="D19447" s="69" t="s">
        <v>29419</v>
      </c>
      <c r="E19447" s="51"/>
      <c r="F19447" s="114" t="str">
        <f>IF(INDEX(I.Facility.P3IDNumber,4435)="","",INDEX(I.Facility.P3IDNumber,4435))</f>
        <v/>
      </c>
      <c r="G19447" s="51"/>
      <c r="H19447" s="46" t="str">
        <f>IF(AND(I.Developer.P3=TRUE,I.Facility.P3FacilityCount&gt;=4435,F19447=""),"Incomplete","Complete")</f>
        <v>Complete</v>
      </c>
      <c r="I19447" s="48" t="s">
        <v>23812</v>
      </c>
    </row>
    <row r="19448" spans="2:9" ht="15" customHeight="1" x14ac:dyDescent="0.25">
      <c r="B19448" s="55" t="s">
        <v>282</v>
      </c>
      <c r="C19448" s="46">
        <v>4436</v>
      </c>
      <c r="D19448" s="69" t="s">
        <v>29419</v>
      </c>
      <c r="E19448" s="51"/>
      <c r="F19448" s="114" t="str">
        <f>IF(INDEX(I.Facility.P3IDNumber,4436)="","",INDEX(I.Facility.P3IDNumber,4436))</f>
        <v/>
      </c>
      <c r="G19448" s="51"/>
      <c r="H19448" s="46" t="str">
        <f>IF(AND(I.Developer.P3=TRUE,I.Facility.P3FacilityCount&gt;=4436,F19448=""),"Incomplete","Complete")</f>
        <v>Complete</v>
      </c>
      <c r="I19448" s="48" t="s">
        <v>23813</v>
      </c>
    </row>
    <row r="19449" spans="2:9" ht="15" customHeight="1" x14ac:dyDescent="0.25">
      <c r="B19449" s="55" t="s">
        <v>282</v>
      </c>
      <c r="C19449" s="46">
        <v>4437</v>
      </c>
      <c r="D19449" s="69" t="s">
        <v>29419</v>
      </c>
      <c r="E19449" s="51"/>
      <c r="F19449" s="114" t="str">
        <f>IF(INDEX(I.Facility.P3IDNumber,4437)="","",INDEX(I.Facility.P3IDNumber,4437))</f>
        <v/>
      </c>
      <c r="G19449" s="51"/>
      <c r="H19449" s="46" t="str">
        <f>IF(AND(I.Developer.P3=TRUE,I.Facility.P3FacilityCount&gt;=4437,F19449=""),"Incomplete","Complete")</f>
        <v>Complete</v>
      </c>
      <c r="I19449" s="48" t="s">
        <v>23814</v>
      </c>
    </row>
    <row r="19450" spans="2:9" ht="15" customHeight="1" x14ac:dyDescent="0.25">
      <c r="B19450" s="55" t="s">
        <v>282</v>
      </c>
      <c r="C19450" s="46">
        <v>4438</v>
      </c>
      <c r="D19450" s="69" t="s">
        <v>29419</v>
      </c>
      <c r="E19450" s="51"/>
      <c r="F19450" s="114" t="str">
        <f>IF(INDEX(I.Facility.P3IDNumber,4438)="","",INDEX(I.Facility.P3IDNumber,4438))</f>
        <v/>
      </c>
      <c r="G19450" s="51"/>
      <c r="H19450" s="46" t="str">
        <f>IF(AND(I.Developer.P3=TRUE,I.Facility.P3FacilityCount&gt;=4438,F19450=""),"Incomplete","Complete")</f>
        <v>Complete</v>
      </c>
      <c r="I19450" s="48" t="s">
        <v>23815</v>
      </c>
    </row>
    <row r="19451" spans="2:9" ht="15" customHeight="1" x14ac:dyDescent="0.25">
      <c r="B19451" s="55" t="s">
        <v>282</v>
      </c>
      <c r="C19451" s="46">
        <v>4439</v>
      </c>
      <c r="D19451" s="69" t="s">
        <v>29419</v>
      </c>
      <c r="E19451" s="51"/>
      <c r="F19451" s="114" t="str">
        <f>IF(INDEX(I.Facility.P3IDNumber,4439)="","",INDEX(I.Facility.P3IDNumber,4439))</f>
        <v/>
      </c>
      <c r="G19451" s="51"/>
      <c r="H19451" s="46" t="str">
        <f>IF(AND(I.Developer.P3=TRUE,I.Facility.P3FacilityCount&gt;=4439,F19451=""),"Incomplete","Complete")</f>
        <v>Complete</v>
      </c>
      <c r="I19451" s="48" t="s">
        <v>23816</v>
      </c>
    </row>
    <row r="19452" spans="2:9" ht="15" customHeight="1" x14ac:dyDescent="0.25">
      <c r="B19452" s="55" t="s">
        <v>282</v>
      </c>
      <c r="C19452" s="46">
        <v>4440</v>
      </c>
      <c r="D19452" s="69" t="s">
        <v>29419</v>
      </c>
      <c r="E19452" s="51"/>
      <c r="F19452" s="114" t="str">
        <f>IF(INDEX(I.Facility.P3IDNumber,4440)="","",INDEX(I.Facility.P3IDNumber,4440))</f>
        <v/>
      </c>
      <c r="G19452" s="51"/>
      <c r="H19452" s="46" t="str">
        <f>IF(AND(I.Developer.P3=TRUE,I.Facility.P3FacilityCount&gt;=4440,F19452=""),"Incomplete","Complete")</f>
        <v>Complete</v>
      </c>
      <c r="I19452" s="48" t="s">
        <v>23817</v>
      </c>
    </row>
    <row r="19453" spans="2:9" ht="15" customHeight="1" x14ac:dyDescent="0.25">
      <c r="B19453" s="55" t="s">
        <v>282</v>
      </c>
      <c r="C19453" s="46">
        <v>4441</v>
      </c>
      <c r="D19453" s="69" t="s">
        <v>29419</v>
      </c>
      <c r="E19453" s="51"/>
      <c r="F19453" s="114" t="str">
        <f>IF(INDEX(I.Facility.P3IDNumber,4441)="","",INDEX(I.Facility.P3IDNumber,4441))</f>
        <v/>
      </c>
      <c r="G19453" s="51"/>
      <c r="H19453" s="46" t="str">
        <f>IF(AND(I.Developer.P3=TRUE,I.Facility.P3FacilityCount&gt;=4441,F19453=""),"Incomplete","Complete")</f>
        <v>Complete</v>
      </c>
      <c r="I19453" s="48" t="s">
        <v>23818</v>
      </c>
    </row>
    <row r="19454" spans="2:9" ht="15" customHeight="1" x14ac:dyDescent="0.25">
      <c r="B19454" s="55" t="s">
        <v>282</v>
      </c>
      <c r="C19454" s="46">
        <v>4442</v>
      </c>
      <c r="D19454" s="69" t="s">
        <v>29419</v>
      </c>
      <c r="E19454" s="51"/>
      <c r="F19454" s="114" t="str">
        <f>IF(INDEX(I.Facility.P3IDNumber,4442)="","",INDEX(I.Facility.P3IDNumber,4442))</f>
        <v/>
      </c>
      <c r="G19454" s="51"/>
      <c r="H19454" s="46" t="str">
        <f>IF(AND(I.Developer.P3=TRUE,I.Facility.P3FacilityCount&gt;=4442,F19454=""),"Incomplete","Complete")</f>
        <v>Complete</v>
      </c>
      <c r="I19454" s="48" t="s">
        <v>23819</v>
      </c>
    </row>
    <row r="19455" spans="2:9" ht="15" customHeight="1" x14ac:dyDescent="0.25">
      <c r="B19455" s="55" t="s">
        <v>282</v>
      </c>
      <c r="C19455" s="46">
        <v>4443</v>
      </c>
      <c r="D19455" s="69" t="s">
        <v>29419</v>
      </c>
      <c r="E19455" s="51"/>
      <c r="F19455" s="114" t="str">
        <f>IF(INDEX(I.Facility.P3IDNumber,4443)="","",INDEX(I.Facility.P3IDNumber,4443))</f>
        <v/>
      </c>
      <c r="G19455" s="51"/>
      <c r="H19455" s="46" t="str">
        <f>IF(AND(I.Developer.P3=TRUE,I.Facility.P3FacilityCount&gt;=4443,F19455=""),"Incomplete","Complete")</f>
        <v>Complete</v>
      </c>
      <c r="I19455" s="48" t="s">
        <v>23820</v>
      </c>
    </row>
    <row r="19456" spans="2:9" ht="15" customHeight="1" x14ac:dyDescent="0.25">
      <c r="B19456" s="55" t="s">
        <v>282</v>
      </c>
      <c r="C19456" s="46">
        <v>4444</v>
      </c>
      <c r="D19456" s="69" t="s">
        <v>29419</v>
      </c>
      <c r="E19456" s="51"/>
      <c r="F19456" s="114" t="str">
        <f>IF(INDEX(I.Facility.P3IDNumber,4444)="","",INDEX(I.Facility.P3IDNumber,4444))</f>
        <v/>
      </c>
      <c r="G19456" s="51"/>
      <c r="H19456" s="46" t="str">
        <f>IF(AND(I.Developer.P3=TRUE,I.Facility.P3FacilityCount&gt;=4444,F19456=""),"Incomplete","Complete")</f>
        <v>Complete</v>
      </c>
      <c r="I19456" s="48" t="s">
        <v>23821</v>
      </c>
    </row>
    <row r="19457" spans="2:9" ht="15" customHeight="1" x14ac:dyDescent="0.25">
      <c r="B19457" s="55" t="s">
        <v>282</v>
      </c>
      <c r="C19457" s="46">
        <v>4445</v>
      </c>
      <c r="D19457" s="69" t="s">
        <v>29419</v>
      </c>
      <c r="E19457" s="51"/>
      <c r="F19457" s="114" t="str">
        <f>IF(INDEX(I.Facility.P3IDNumber,4445)="","",INDEX(I.Facility.P3IDNumber,4445))</f>
        <v/>
      </c>
      <c r="G19457" s="51"/>
      <c r="H19457" s="46" t="str">
        <f>IF(AND(I.Developer.P3=TRUE,I.Facility.P3FacilityCount&gt;=4445,F19457=""),"Incomplete","Complete")</f>
        <v>Complete</v>
      </c>
      <c r="I19457" s="48" t="s">
        <v>23822</v>
      </c>
    </row>
    <row r="19458" spans="2:9" ht="15" customHeight="1" x14ac:dyDescent="0.25">
      <c r="B19458" s="55" t="s">
        <v>282</v>
      </c>
      <c r="C19458" s="46">
        <v>4446</v>
      </c>
      <c r="D19458" s="69" t="s">
        <v>29419</v>
      </c>
      <c r="E19458" s="51"/>
      <c r="F19458" s="114" t="str">
        <f>IF(INDEX(I.Facility.P3IDNumber,4446)="","",INDEX(I.Facility.P3IDNumber,4446))</f>
        <v/>
      </c>
      <c r="G19458" s="51"/>
      <c r="H19458" s="46" t="str">
        <f>IF(AND(I.Developer.P3=TRUE,I.Facility.P3FacilityCount&gt;=4446,F19458=""),"Incomplete","Complete")</f>
        <v>Complete</v>
      </c>
      <c r="I19458" s="48" t="s">
        <v>23823</v>
      </c>
    </row>
    <row r="19459" spans="2:9" ht="15" customHeight="1" x14ac:dyDescent="0.25">
      <c r="B19459" s="55" t="s">
        <v>282</v>
      </c>
      <c r="C19459" s="46">
        <v>4447</v>
      </c>
      <c r="D19459" s="69" t="s">
        <v>29419</v>
      </c>
      <c r="E19459" s="51"/>
      <c r="F19459" s="114" t="str">
        <f>IF(INDEX(I.Facility.P3IDNumber,4447)="","",INDEX(I.Facility.P3IDNumber,4447))</f>
        <v/>
      </c>
      <c r="G19459" s="51"/>
      <c r="H19459" s="46" t="str">
        <f>IF(AND(I.Developer.P3=TRUE,I.Facility.P3FacilityCount&gt;=4447,F19459=""),"Incomplete","Complete")</f>
        <v>Complete</v>
      </c>
      <c r="I19459" s="48" t="s">
        <v>23824</v>
      </c>
    </row>
    <row r="19460" spans="2:9" ht="15" customHeight="1" x14ac:dyDescent="0.25">
      <c r="B19460" s="55" t="s">
        <v>282</v>
      </c>
      <c r="C19460" s="46">
        <v>4448</v>
      </c>
      <c r="D19460" s="69" t="s">
        <v>29419</v>
      </c>
      <c r="E19460" s="51"/>
      <c r="F19460" s="114" t="str">
        <f>IF(INDEX(I.Facility.P3IDNumber,4448)="","",INDEX(I.Facility.P3IDNumber,4448))</f>
        <v/>
      </c>
      <c r="G19460" s="51"/>
      <c r="H19460" s="46" t="str">
        <f>IF(AND(I.Developer.P3=TRUE,I.Facility.P3FacilityCount&gt;=4448,F19460=""),"Incomplete","Complete")</f>
        <v>Complete</v>
      </c>
      <c r="I19460" s="48" t="s">
        <v>23825</v>
      </c>
    </row>
    <row r="19461" spans="2:9" ht="15" customHeight="1" x14ac:dyDescent="0.25">
      <c r="B19461" s="55" t="s">
        <v>282</v>
      </c>
      <c r="C19461" s="46">
        <v>4449</v>
      </c>
      <c r="D19461" s="69" t="s">
        <v>29419</v>
      </c>
      <c r="E19461" s="51"/>
      <c r="F19461" s="114" t="str">
        <f>IF(INDEX(I.Facility.P3IDNumber,4449)="","",INDEX(I.Facility.P3IDNumber,4449))</f>
        <v/>
      </c>
      <c r="G19461" s="51"/>
      <c r="H19461" s="46" t="str">
        <f>IF(AND(I.Developer.P3=TRUE,I.Facility.P3FacilityCount&gt;=4449,F19461=""),"Incomplete","Complete")</f>
        <v>Complete</v>
      </c>
      <c r="I19461" s="48" t="s">
        <v>23826</v>
      </c>
    </row>
    <row r="19462" spans="2:9" ht="15" customHeight="1" x14ac:dyDescent="0.25">
      <c r="B19462" s="55" t="s">
        <v>282</v>
      </c>
      <c r="C19462" s="46">
        <v>4450</v>
      </c>
      <c r="D19462" s="69" t="s">
        <v>29419</v>
      </c>
      <c r="E19462" s="51"/>
      <c r="F19462" s="114" t="str">
        <f>IF(INDEX(I.Facility.P3IDNumber,4450)="","",INDEX(I.Facility.P3IDNumber,4450))</f>
        <v/>
      </c>
      <c r="G19462" s="51"/>
      <c r="H19462" s="46" t="str">
        <f>IF(AND(I.Developer.P3=TRUE,I.Facility.P3FacilityCount&gt;=4450,F19462=""),"Incomplete","Complete")</f>
        <v>Complete</v>
      </c>
      <c r="I19462" s="48" t="s">
        <v>23827</v>
      </c>
    </row>
    <row r="19463" spans="2:9" ht="15" customHeight="1" x14ac:dyDescent="0.25">
      <c r="B19463" s="55" t="s">
        <v>282</v>
      </c>
      <c r="C19463" s="46">
        <v>4451</v>
      </c>
      <c r="D19463" s="69" t="s">
        <v>29419</v>
      </c>
      <c r="E19463" s="51"/>
      <c r="F19463" s="114" t="str">
        <f>IF(INDEX(I.Facility.P3IDNumber,4451)="","",INDEX(I.Facility.P3IDNumber,4451))</f>
        <v/>
      </c>
      <c r="G19463" s="51"/>
      <c r="H19463" s="46" t="str">
        <f>IF(AND(I.Developer.P3=TRUE,I.Facility.P3FacilityCount&gt;=4451,F19463=""),"Incomplete","Complete")</f>
        <v>Complete</v>
      </c>
      <c r="I19463" s="48" t="s">
        <v>23828</v>
      </c>
    </row>
    <row r="19464" spans="2:9" ht="15" customHeight="1" x14ac:dyDescent="0.25">
      <c r="B19464" s="55" t="s">
        <v>282</v>
      </c>
      <c r="C19464" s="46">
        <v>4452</v>
      </c>
      <c r="D19464" s="69" t="s">
        <v>29419</v>
      </c>
      <c r="E19464" s="51"/>
      <c r="F19464" s="114" t="str">
        <f>IF(INDEX(I.Facility.P3IDNumber,4452)="","",INDEX(I.Facility.P3IDNumber,4452))</f>
        <v/>
      </c>
      <c r="G19464" s="51"/>
      <c r="H19464" s="46" t="str">
        <f>IF(AND(I.Developer.P3=TRUE,I.Facility.P3FacilityCount&gt;=4452,F19464=""),"Incomplete","Complete")</f>
        <v>Complete</v>
      </c>
      <c r="I19464" s="48" t="s">
        <v>23829</v>
      </c>
    </row>
    <row r="19465" spans="2:9" ht="15" customHeight="1" x14ac:dyDescent="0.25">
      <c r="B19465" s="55" t="s">
        <v>282</v>
      </c>
      <c r="C19465" s="46">
        <v>4453</v>
      </c>
      <c r="D19465" s="69" t="s">
        <v>29419</v>
      </c>
      <c r="E19465" s="51"/>
      <c r="F19465" s="114" t="str">
        <f>IF(INDEX(I.Facility.P3IDNumber,4453)="","",INDEX(I.Facility.P3IDNumber,4453))</f>
        <v/>
      </c>
      <c r="G19465" s="51"/>
      <c r="H19465" s="46" t="str">
        <f>IF(AND(I.Developer.P3=TRUE,I.Facility.P3FacilityCount&gt;=4453,F19465=""),"Incomplete","Complete")</f>
        <v>Complete</v>
      </c>
      <c r="I19465" s="48" t="s">
        <v>23830</v>
      </c>
    </row>
    <row r="19466" spans="2:9" ht="15" customHeight="1" x14ac:dyDescent="0.25">
      <c r="B19466" s="55" t="s">
        <v>282</v>
      </c>
      <c r="C19466" s="46">
        <v>4454</v>
      </c>
      <c r="D19466" s="69" t="s">
        <v>29419</v>
      </c>
      <c r="E19466" s="51"/>
      <c r="F19466" s="114" t="str">
        <f>IF(INDEX(I.Facility.P3IDNumber,4454)="","",INDEX(I.Facility.P3IDNumber,4454))</f>
        <v/>
      </c>
      <c r="G19466" s="51"/>
      <c r="H19466" s="46" t="str">
        <f>IF(AND(I.Developer.P3=TRUE,I.Facility.P3FacilityCount&gt;=4454,F19466=""),"Incomplete","Complete")</f>
        <v>Complete</v>
      </c>
      <c r="I19466" s="48" t="s">
        <v>23831</v>
      </c>
    </row>
    <row r="19467" spans="2:9" ht="15" customHeight="1" x14ac:dyDescent="0.25">
      <c r="B19467" s="55" t="s">
        <v>282</v>
      </c>
      <c r="C19467" s="46">
        <v>4455</v>
      </c>
      <c r="D19467" s="69" t="s">
        <v>29419</v>
      </c>
      <c r="E19467" s="51"/>
      <c r="F19467" s="114" t="str">
        <f>IF(INDEX(I.Facility.P3IDNumber,4455)="","",INDEX(I.Facility.P3IDNumber,4455))</f>
        <v/>
      </c>
      <c r="G19467" s="51"/>
      <c r="H19467" s="46" t="str">
        <f>IF(AND(I.Developer.P3=TRUE,I.Facility.P3FacilityCount&gt;=4455,F19467=""),"Incomplete","Complete")</f>
        <v>Complete</v>
      </c>
      <c r="I19467" s="48" t="s">
        <v>23832</v>
      </c>
    </row>
    <row r="19468" spans="2:9" ht="15" customHeight="1" x14ac:dyDescent="0.25">
      <c r="B19468" s="55" t="s">
        <v>282</v>
      </c>
      <c r="C19468" s="46">
        <v>4456</v>
      </c>
      <c r="D19468" s="69" t="s">
        <v>29419</v>
      </c>
      <c r="E19468" s="51"/>
      <c r="F19468" s="114" t="str">
        <f>IF(INDEX(I.Facility.P3IDNumber,4456)="","",INDEX(I.Facility.P3IDNumber,4456))</f>
        <v/>
      </c>
      <c r="G19468" s="51"/>
      <c r="H19468" s="46" t="str">
        <f>IF(AND(I.Developer.P3=TRUE,I.Facility.P3FacilityCount&gt;=4456,F19468=""),"Incomplete","Complete")</f>
        <v>Complete</v>
      </c>
      <c r="I19468" s="48" t="s">
        <v>23833</v>
      </c>
    </row>
    <row r="19469" spans="2:9" ht="15" customHeight="1" x14ac:dyDescent="0.25">
      <c r="B19469" s="55" t="s">
        <v>282</v>
      </c>
      <c r="C19469" s="46">
        <v>4457</v>
      </c>
      <c r="D19469" s="69" t="s">
        <v>29419</v>
      </c>
      <c r="E19469" s="51"/>
      <c r="F19469" s="114" t="str">
        <f>IF(INDEX(I.Facility.P3IDNumber,4457)="","",INDEX(I.Facility.P3IDNumber,4457))</f>
        <v/>
      </c>
      <c r="G19469" s="51"/>
      <c r="H19469" s="46" t="str">
        <f>IF(AND(I.Developer.P3=TRUE,I.Facility.P3FacilityCount&gt;=4457,F19469=""),"Incomplete","Complete")</f>
        <v>Complete</v>
      </c>
      <c r="I19469" s="48" t="s">
        <v>23834</v>
      </c>
    </row>
    <row r="19470" spans="2:9" ht="15" customHeight="1" x14ac:dyDescent="0.25">
      <c r="B19470" s="55" t="s">
        <v>282</v>
      </c>
      <c r="C19470" s="46">
        <v>4458</v>
      </c>
      <c r="D19470" s="69" t="s">
        <v>29419</v>
      </c>
      <c r="E19470" s="51"/>
      <c r="F19470" s="114" t="str">
        <f>IF(INDEX(I.Facility.P3IDNumber,4458)="","",INDEX(I.Facility.P3IDNumber,4458))</f>
        <v/>
      </c>
      <c r="G19470" s="51"/>
      <c r="H19470" s="46" t="str">
        <f>IF(AND(I.Developer.P3=TRUE,I.Facility.P3FacilityCount&gt;=4458,F19470=""),"Incomplete","Complete")</f>
        <v>Complete</v>
      </c>
      <c r="I19470" s="48" t="s">
        <v>23835</v>
      </c>
    </row>
    <row r="19471" spans="2:9" ht="15" customHeight="1" x14ac:dyDescent="0.25">
      <c r="B19471" s="55" t="s">
        <v>282</v>
      </c>
      <c r="C19471" s="46">
        <v>4459</v>
      </c>
      <c r="D19471" s="69" t="s">
        <v>29419</v>
      </c>
      <c r="E19471" s="51"/>
      <c r="F19471" s="114" t="str">
        <f>IF(INDEX(I.Facility.P3IDNumber,4459)="","",INDEX(I.Facility.P3IDNumber,4459))</f>
        <v/>
      </c>
      <c r="G19471" s="51"/>
      <c r="H19471" s="46" t="str">
        <f>IF(AND(I.Developer.P3=TRUE,I.Facility.P3FacilityCount&gt;=4459,F19471=""),"Incomplete","Complete")</f>
        <v>Complete</v>
      </c>
      <c r="I19471" s="48" t="s">
        <v>23836</v>
      </c>
    </row>
    <row r="19472" spans="2:9" ht="15" customHeight="1" x14ac:dyDescent="0.25">
      <c r="B19472" s="55" t="s">
        <v>282</v>
      </c>
      <c r="C19472" s="46">
        <v>4460</v>
      </c>
      <c r="D19472" s="69" t="s">
        <v>29419</v>
      </c>
      <c r="E19472" s="51"/>
      <c r="F19472" s="114" t="str">
        <f>IF(INDEX(I.Facility.P3IDNumber,4460)="","",INDEX(I.Facility.P3IDNumber,4460))</f>
        <v/>
      </c>
      <c r="G19472" s="51"/>
      <c r="H19472" s="46" t="str">
        <f>IF(AND(I.Developer.P3=TRUE,I.Facility.P3FacilityCount&gt;=4460,F19472=""),"Incomplete","Complete")</f>
        <v>Complete</v>
      </c>
      <c r="I19472" s="48" t="s">
        <v>23837</v>
      </c>
    </row>
    <row r="19473" spans="2:9" ht="15" customHeight="1" x14ac:dyDescent="0.25">
      <c r="B19473" s="55" t="s">
        <v>282</v>
      </c>
      <c r="C19473" s="46">
        <v>4461</v>
      </c>
      <c r="D19473" s="69" t="s">
        <v>29419</v>
      </c>
      <c r="E19473" s="51"/>
      <c r="F19473" s="114" t="str">
        <f>IF(INDEX(I.Facility.P3IDNumber,4461)="","",INDEX(I.Facility.P3IDNumber,4461))</f>
        <v/>
      </c>
      <c r="G19473" s="51"/>
      <c r="H19473" s="46" t="str">
        <f>IF(AND(I.Developer.P3=TRUE,I.Facility.P3FacilityCount&gt;=4461,F19473=""),"Incomplete","Complete")</f>
        <v>Complete</v>
      </c>
      <c r="I19473" s="48" t="s">
        <v>23838</v>
      </c>
    </row>
    <row r="19474" spans="2:9" ht="15" customHeight="1" x14ac:dyDescent="0.25">
      <c r="B19474" s="55" t="s">
        <v>282</v>
      </c>
      <c r="C19474" s="46">
        <v>4462</v>
      </c>
      <c r="D19474" s="69" t="s">
        <v>29419</v>
      </c>
      <c r="E19474" s="51"/>
      <c r="F19474" s="114" t="str">
        <f>IF(INDEX(I.Facility.P3IDNumber,4462)="","",INDEX(I.Facility.P3IDNumber,4462))</f>
        <v/>
      </c>
      <c r="G19474" s="51"/>
      <c r="H19474" s="46" t="str">
        <f>IF(AND(I.Developer.P3=TRUE,I.Facility.P3FacilityCount&gt;=4462,F19474=""),"Incomplete","Complete")</f>
        <v>Complete</v>
      </c>
      <c r="I19474" s="48" t="s">
        <v>23839</v>
      </c>
    </row>
    <row r="19475" spans="2:9" ht="15" customHeight="1" x14ac:dyDescent="0.25">
      <c r="B19475" s="55" t="s">
        <v>282</v>
      </c>
      <c r="C19475" s="46">
        <v>4463</v>
      </c>
      <c r="D19475" s="69" t="s">
        <v>29419</v>
      </c>
      <c r="E19475" s="51"/>
      <c r="F19475" s="114" t="str">
        <f>IF(INDEX(I.Facility.P3IDNumber,4463)="","",INDEX(I.Facility.P3IDNumber,4463))</f>
        <v/>
      </c>
      <c r="G19475" s="51"/>
      <c r="H19475" s="46" t="str">
        <f>IF(AND(I.Developer.P3=TRUE,I.Facility.P3FacilityCount&gt;=4463,F19475=""),"Incomplete","Complete")</f>
        <v>Complete</v>
      </c>
      <c r="I19475" s="48" t="s">
        <v>23840</v>
      </c>
    </row>
    <row r="19476" spans="2:9" ht="15" customHeight="1" x14ac:dyDescent="0.25">
      <c r="B19476" s="55" t="s">
        <v>282</v>
      </c>
      <c r="C19476" s="46">
        <v>4464</v>
      </c>
      <c r="D19476" s="69" t="s">
        <v>29419</v>
      </c>
      <c r="E19476" s="51"/>
      <c r="F19476" s="114" t="str">
        <f>IF(INDEX(I.Facility.P3IDNumber,4464)="","",INDEX(I.Facility.P3IDNumber,4464))</f>
        <v/>
      </c>
      <c r="G19476" s="51"/>
      <c r="H19476" s="46" t="str">
        <f>IF(AND(I.Developer.P3=TRUE,I.Facility.P3FacilityCount&gt;=4464,F19476=""),"Incomplete","Complete")</f>
        <v>Complete</v>
      </c>
      <c r="I19476" s="48" t="s">
        <v>23841</v>
      </c>
    </row>
    <row r="19477" spans="2:9" ht="15" customHeight="1" x14ac:dyDescent="0.25">
      <c r="B19477" s="55" t="s">
        <v>282</v>
      </c>
      <c r="C19477" s="46">
        <v>4465</v>
      </c>
      <c r="D19477" s="69" t="s">
        <v>29419</v>
      </c>
      <c r="E19477" s="51"/>
      <c r="F19477" s="114" t="str">
        <f>IF(INDEX(I.Facility.P3IDNumber,4465)="","",INDEX(I.Facility.P3IDNumber,4465))</f>
        <v/>
      </c>
      <c r="G19477" s="51"/>
      <c r="H19477" s="46" t="str">
        <f>IF(AND(I.Developer.P3=TRUE,I.Facility.P3FacilityCount&gt;=4465,F19477=""),"Incomplete","Complete")</f>
        <v>Complete</v>
      </c>
      <c r="I19477" s="48" t="s">
        <v>23842</v>
      </c>
    </row>
    <row r="19478" spans="2:9" ht="15" customHeight="1" x14ac:dyDescent="0.25">
      <c r="B19478" s="55" t="s">
        <v>282</v>
      </c>
      <c r="C19478" s="46">
        <v>4466</v>
      </c>
      <c r="D19478" s="69" t="s">
        <v>29419</v>
      </c>
      <c r="E19478" s="51"/>
      <c r="F19478" s="114" t="str">
        <f>IF(INDEX(I.Facility.P3IDNumber,4466)="","",INDEX(I.Facility.P3IDNumber,4466))</f>
        <v/>
      </c>
      <c r="G19478" s="51"/>
      <c r="H19478" s="46" t="str">
        <f>IF(AND(I.Developer.P3=TRUE,I.Facility.P3FacilityCount&gt;=4466,F19478=""),"Incomplete","Complete")</f>
        <v>Complete</v>
      </c>
      <c r="I19478" s="48" t="s">
        <v>23843</v>
      </c>
    </row>
    <row r="19479" spans="2:9" ht="15" customHeight="1" x14ac:dyDescent="0.25">
      <c r="B19479" s="55" t="s">
        <v>282</v>
      </c>
      <c r="C19479" s="46">
        <v>4467</v>
      </c>
      <c r="D19479" s="69" t="s">
        <v>29419</v>
      </c>
      <c r="E19479" s="51"/>
      <c r="F19479" s="114" t="str">
        <f>IF(INDEX(I.Facility.P3IDNumber,4467)="","",INDEX(I.Facility.P3IDNumber,4467))</f>
        <v/>
      </c>
      <c r="G19479" s="51"/>
      <c r="H19479" s="46" t="str">
        <f>IF(AND(I.Developer.P3=TRUE,I.Facility.P3FacilityCount&gt;=4467,F19479=""),"Incomplete","Complete")</f>
        <v>Complete</v>
      </c>
      <c r="I19479" s="48" t="s">
        <v>23844</v>
      </c>
    </row>
    <row r="19480" spans="2:9" ht="15" customHeight="1" x14ac:dyDescent="0.25">
      <c r="B19480" s="55" t="s">
        <v>282</v>
      </c>
      <c r="C19480" s="46">
        <v>4468</v>
      </c>
      <c r="D19480" s="69" t="s">
        <v>29419</v>
      </c>
      <c r="E19480" s="51"/>
      <c r="F19480" s="114" t="str">
        <f>IF(INDEX(I.Facility.P3IDNumber,4468)="","",INDEX(I.Facility.P3IDNumber,4468))</f>
        <v/>
      </c>
      <c r="G19480" s="51"/>
      <c r="H19480" s="46" t="str">
        <f>IF(AND(I.Developer.P3=TRUE,I.Facility.P3FacilityCount&gt;=4468,F19480=""),"Incomplete","Complete")</f>
        <v>Complete</v>
      </c>
      <c r="I19480" s="48" t="s">
        <v>23845</v>
      </c>
    </row>
    <row r="19481" spans="2:9" ht="15" customHeight="1" x14ac:dyDescent="0.25">
      <c r="B19481" s="55" t="s">
        <v>282</v>
      </c>
      <c r="C19481" s="46">
        <v>4469</v>
      </c>
      <c r="D19481" s="69" t="s">
        <v>29419</v>
      </c>
      <c r="E19481" s="51"/>
      <c r="F19481" s="114" t="str">
        <f>IF(INDEX(I.Facility.P3IDNumber,4469)="","",INDEX(I.Facility.P3IDNumber,4469))</f>
        <v/>
      </c>
      <c r="G19481" s="51"/>
      <c r="H19481" s="46" t="str">
        <f>IF(AND(I.Developer.P3=TRUE,I.Facility.P3FacilityCount&gt;=4469,F19481=""),"Incomplete","Complete")</f>
        <v>Complete</v>
      </c>
      <c r="I19481" s="48" t="s">
        <v>23846</v>
      </c>
    </row>
    <row r="19482" spans="2:9" ht="15" customHeight="1" x14ac:dyDescent="0.25">
      <c r="B19482" s="55" t="s">
        <v>282</v>
      </c>
      <c r="C19482" s="46">
        <v>4470</v>
      </c>
      <c r="D19482" s="69" t="s">
        <v>29419</v>
      </c>
      <c r="E19482" s="51"/>
      <c r="F19482" s="114" t="str">
        <f>IF(INDEX(I.Facility.P3IDNumber,4470)="","",INDEX(I.Facility.P3IDNumber,4470))</f>
        <v/>
      </c>
      <c r="G19482" s="51"/>
      <c r="H19482" s="46" t="str">
        <f>IF(AND(I.Developer.P3=TRUE,I.Facility.P3FacilityCount&gt;=4470,F19482=""),"Incomplete","Complete")</f>
        <v>Complete</v>
      </c>
      <c r="I19482" s="48" t="s">
        <v>23847</v>
      </c>
    </row>
    <row r="19483" spans="2:9" ht="15" customHeight="1" x14ac:dyDescent="0.25">
      <c r="B19483" s="55" t="s">
        <v>282</v>
      </c>
      <c r="C19483" s="46">
        <v>4471</v>
      </c>
      <c r="D19483" s="69" t="s">
        <v>29419</v>
      </c>
      <c r="E19483" s="51"/>
      <c r="F19483" s="114" t="str">
        <f>IF(INDEX(I.Facility.P3IDNumber,4471)="","",INDEX(I.Facility.P3IDNumber,4471))</f>
        <v/>
      </c>
      <c r="G19483" s="51"/>
      <c r="H19483" s="46" t="str">
        <f>IF(AND(I.Developer.P3=TRUE,I.Facility.P3FacilityCount&gt;=4471,F19483=""),"Incomplete","Complete")</f>
        <v>Complete</v>
      </c>
      <c r="I19483" s="48" t="s">
        <v>23848</v>
      </c>
    </row>
    <row r="19484" spans="2:9" ht="15" customHeight="1" x14ac:dyDescent="0.25">
      <c r="B19484" s="55" t="s">
        <v>282</v>
      </c>
      <c r="C19484" s="46">
        <v>4472</v>
      </c>
      <c r="D19484" s="69" t="s">
        <v>29419</v>
      </c>
      <c r="E19484" s="51"/>
      <c r="F19484" s="114" t="str">
        <f>IF(INDEX(I.Facility.P3IDNumber,4472)="","",INDEX(I.Facility.P3IDNumber,4472))</f>
        <v/>
      </c>
      <c r="G19484" s="51"/>
      <c r="H19484" s="46" t="str">
        <f>IF(AND(I.Developer.P3=TRUE,I.Facility.P3FacilityCount&gt;=4472,F19484=""),"Incomplete","Complete")</f>
        <v>Complete</v>
      </c>
      <c r="I19484" s="48" t="s">
        <v>23849</v>
      </c>
    </row>
    <row r="19485" spans="2:9" ht="15" customHeight="1" x14ac:dyDescent="0.25">
      <c r="B19485" s="55" t="s">
        <v>282</v>
      </c>
      <c r="C19485" s="46">
        <v>4473</v>
      </c>
      <c r="D19485" s="69" t="s">
        <v>29419</v>
      </c>
      <c r="E19485" s="51"/>
      <c r="F19485" s="114" t="str">
        <f>IF(INDEX(I.Facility.P3IDNumber,4473)="","",INDEX(I.Facility.P3IDNumber,4473))</f>
        <v/>
      </c>
      <c r="G19485" s="51"/>
      <c r="H19485" s="46" t="str">
        <f>IF(AND(I.Developer.P3=TRUE,I.Facility.P3FacilityCount&gt;=4473,F19485=""),"Incomplete","Complete")</f>
        <v>Complete</v>
      </c>
      <c r="I19485" s="48" t="s">
        <v>23850</v>
      </c>
    </row>
    <row r="19486" spans="2:9" ht="15" customHeight="1" x14ac:dyDescent="0.25">
      <c r="B19486" s="55" t="s">
        <v>282</v>
      </c>
      <c r="C19486" s="46">
        <v>4474</v>
      </c>
      <c r="D19486" s="69" t="s">
        <v>29419</v>
      </c>
      <c r="E19486" s="51"/>
      <c r="F19486" s="114" t="str">
        <f>IF(INDEX(I.Facility.P3IDNumber,4474)="","",INDEX(I.Facility.P3IDNumber,4474))</f>
        <v/>
      </c>
      <c r="G19486" s="51"/>
      <c r="H19486" s="46" t="str">
        <f>IF(AND(I.Developer.P3=TRUE,I.Facility.P3FacilityCount&gt;=4474,F19486=""),"Incomplete","Complete")</f>
        <v>Complete</v>
      </c>
      <c r="I19486" s="48" t="s">
        <v>23851</v>
      </c>
    </row>
    <row r="19487" spans="2:9" ht="15" customHeight="1" x14ac:dyDescent="0.25">
      <c r="B19487" s="55" t="s">
        <v>282</v>
      </c>
      <c r="C19487" s="46">
        <v>4475</v>
      </c>
      <c r="D19487" s="69" t="s">
        <v>29419</v>
      </c>
      <c r="E19487" s="51"/>
      <c r="F19487" s="114" t="str">
        <f>IF(INDEX(I.Facility.P3IDNumber,4475)="","",INDEX(I.Facility.P3IDNumber,4475))</f>
        <v/>
      </c>
      <c r="G19487" s="51"/>
      <c r="H19487" s="46" t="str">
        <f>IF(AND(I.Developer.P3=TRUE,I.Facility.P3FacilityCount&gt;=4475,F19487=""),"Incomplete","Complete")</f>
        <v>Complete</v>
      </c>
      <c r="I19487" s="48" t="s">
        <v>23852</v>
      </c>
    </row>
    <row r="19488" spans="2:9" ht="15" customHeight="1" x14ac:dyDescent="0.25">
      <c r="B19488" s="55" t="s">
        <v>282</v>
      </c>
      <c r="C19488" s="46">
        <v>4476</v>
      </c>
      <c r="D19488" s="69" t="s">
        <v>29419</v>
      </c>
      <c r="E19488" s="51"/>
      <c r="F19488" s="114" t="str">
        <f>IF(INDEX(I.Facility.P3IDNumber,4476)="","",INDEX(I.Facility.P3IDNumber,4476))</f>
        <v/>
      </c>
      <c r="G19488" s="51"/>
      <c r="H19488" s="46" t="str">
        <f>IF(AND(I.Developer.P3=TRUE,I.Facility.P3FacilityCount&gt;=4476,F19488=""),"Incomplete","Complete")</f>
        <v>Complete</v>
      </c>
      <c r="I19488" s="48" t="s">
        <v>23853</v>
      </c>
    </row>
    <row r="19489" spans="2:9" ht="15" customHeight="1" x14ac:dyDescent="0.25">
      <c r="B19489" s="55" t="s">
        <v>282</v>
      </c>
      <c r="C19489" s="46">
        <v>4477</v>
      </c>
      <c r="D19489" s="69" t="s">
        <v>29419</v>
      </c>
      <c r="E19489" s="51"/>
      <c r="F19489" s="114" t="str">
        <f>IF(INDEX(I.Facility.P3IDNumber,4477)="","",INDEX(I.Facility.P3IDNumber,4477))</f>
        <v/>
      </c>
      <c r="G19489" s="51"/>
      <c r="H19489" s="46" t="str">
        <f>IF(AND(I.Developer.P3=TRUE,I.Facility.P3FacilityCount&gt;=4477,F19489=""),"Incomplete","Complete")</f>
        <v>Complete</v>
      </c>
      <c r="I19489" s="48" t="s">
        <v>23854</v>
      </c>
    </row>
    <row r="19490" spans="2:9" ht="15" customHeight="1" x14ac:dyDescent="0.25">
      <c r="B19490" s="55" t="s">
        <v>282</v>
      </c>
      <c r="C19490" s="46">
        <v>4478</v>
      </c>
      <c r="D19490" s="69" t="s">
        <v>29419</v>
      </c>
      <c r="E19490" s="51"/>
      <c r="F19490" s="114" t="str">
        <f>IF(INDEX(I.Facility.P3IDNumber,4478)="","",INDEX(I.Facility.P3IDNumber,4478))</f>
        <v/>
      </c>
      <c r="G19490" s="51"/>
      <c r="H19490" s="46" t="str">
        <f>IF(AND(I.Developer.P3=TRUE,I.Facility.P3FacilityCount&gt;=4478,F19490=""),"Incomplete","Complete")</f>
        <v>Complete</v>
      </c>
      <c r="I19490" s="48" t="s">
        <v>23855</v>
      </c>
    </row>
    <row r="19491" spans="2:9" ht="15" customHeight="1" x14ac:dyDescent="0.25">
      <c r="B19491" s="55" t="s">
        <v>282</v>
      </c>
      <c r="C19491" s="46">
        <v>4479</v>
      </c>
      <c r="D19491" s="69" t="s">
        <v>29419</v>
      </c>
      <c r="E19491" s="51"/>
      <c r="F19491" s="114" t="str">
        <f>IF(INDEX(I.Facility.P3IDNumber,4479)="","",INDEX(I.Facility.P3IDNumber,4479))</f>
        <v/>
      </c>
      <c r="G19491" s="51"/>
      <c r="H19491" s="46" t="str">
        <f>IF(AND(I.Developer.P3=TRUE,I.Facility.P3FacilityCount&gt;=4479,F19491=""),"Incomplete","Complete")</f>
        <v>Complete</v>
      </c>
      <c r="I19491" s="48" t="s">
        <v>23856</v>
      </c>
    </row>
    <row r="19492" spans="2:9" ht="15" customHeight="1" x14ac:dyDescent="0.25">
      <c r="B19492" s="55" t="s">
        <v>282</v>
      </c>
      <c r="C19492" s="46">
        <v>4480</v>
      </c>
      <c r="D19492" s="69" t="s">
        <v>29419</v>
      </c>
      <c r="E19492" s="51"/>
      <c r="F19492" s="114" t="str">
        <f>IF(INDEX(I.Facility.P3IDNumber,4480)="","",INDEX(I.Facility.P3IDNumber,4480))</f>
        <v/>
      </c>
      <c r="G19492" s="51"/>
      <c r="H19492" s="46" t="str">
        <f>IF(AND(I.Developer.P3=TRUE,I.Facility.P3FacilityCount&gt;=4480,F19492=""),"Incomplete","Complete")</f>
        <v>Complete</v>
      </c>
      <c r="I19492" s="48" t="s">
        <v>23857</v>
      </c>
    </row>
    <row r="19493" spans="2:9" ht="15" customHeight="1" x14ac:dyDescent="0.25">
      <c r="B19493" s="55" t="s">
        <v>282</v>
      </c>
      <c r="C19493" s="46">
        <v>4481</v>
      </c>
      <c r="D19493" s="69" t="s">
        <v>29419</v>
      </c>
      <c r="E19493" s="51"/>
      <c r="F19493" s="114" t="str">
        <f>IF(INDEX(I.Facility.P3IDNumber,4481)="","",INDEX(I.Facility.P3IDNumber,4481))</f>
        <v/>
      </c>
      <c r="G19493" s="51"/>
      <c r="H19493" s="46" t="str">
        <f>IF(AND(I.Developer.P3=TRUE,I.Facility.P3FacilityCount&gt;=4481,F19493=""),"Incomplete","Complete")</f>
        <v>Complete</v>
      </c>
      <c r="I19493" s="48" t="s">
        <v>23858</v>
      </c>
    </row>
    <row r="19494" spans="2:9" ht="15" customHeight="1" x14ac:dyDescent="0.25">
      <c r="B19494" s="55" t="s">
        <v>282</v>
      </c>
      <c r="C19494" s="46">
        <v>4482</v>
      </c>
      <c r="D19494" s="69" t="s">
        <v>29419</v>
      </c>
      <c r="E19494" s="51"/>
      <c r="F19494" s="114" t="str">
        <f>IF(INDEX(I.Facility.P3IDNumber,4482)="","",INDEX(I.Facility.P3IDNumber,4482))</f>
        <v/>
      </c>
      <c r="G19494" s="51"/>
      <c r="H19494" s="46" t="str">
        <f>IF(AND(I.Developer.P3=TRUE,I.Facility.P3FacilityCount&gt;=4482,F19494=""),"Incomplete","Complete")</f>
        <v>Complete</v>
      </c>
      <c r="I19494" s="48" t="s">
        <v>23859</v>
      </c>
    </row>
    <row r="19495" spans="2:9" ht="15" customHeight="1" x14ac:dyDescent="0.25">
      <c r="B19495" s="55" t="s">
        <v>282</v>
      </c>
      <c r="C19495" s="46">
        <v>4483</v>
      </c>
      <c r="D19495" s="69" t="s">
        <v>29419</v>
      </c>
      <c r="E19495" s="51"/>
      <c r="F19495" s="114" t="str">
        <f>IF(INDEX(I.Facility.P3IDNumber,4483)="","",INDEX(I.Facility.P3IDNumber,4483))</f>
        <v/>
      </c>
      <c r="G19495" s="51"/>
      <c r="H19495" s="46" t="str">
        <f>IF(AND(I.Developer.P3=TRUE,I.Facility.P3FacilityCount&gt;=4483,F19495=""),"Incomplete","Complete")</f>
        <v>Complete</v>
      </c>
      <c r="I19495" s="48" t="s">
        <v>23860</v>
      </c>
    </row>
    <row r="19496" spans="2:9" ht="15" customHeight="1" x14ac:dyDescent="0.25">
      <c r="B19496" s="55" t="s">
        <v>282</v>
      </c>
      <c r="C19496" s="46">
        <v>4484</v>
      </c>
      <c r="D19496" s="69" t="s">
        <v>29419</v>
      </c>
      <c r="E19496" s="51"/>
      <c r="F19496" s="114" t="str">
        <f>IF(INDEX(I.Facility.P3IDNumber,4484)="","",INDEX(I.Facility.P3IDNumber,4484))</f>
        <v/>
      </c>
      <c r="G19496" s="51"/>
      <c r="H19496" s="46" t="str">
        <f>IF(AND(I.Developer.P3=TRUE,I.Facility.P3FacilityCount&gt;=4484,F19496=""),"Incomplete","Complete")</f>
        <v>Complete</v>
      </c>
      <c r="I19496" s="48" t="s">
        <v>23861</v>
      </c>
    </row>
    <row r="19497" spans="2:9" ht="15" customHeight="1" x14ac:dyDescent="0.25">
      <c r="B19497" s="55" t="s">
        <v>282</v>
      </c>
      <c r="C19497" s="46">
        <v>4485</v>
      </c>
      <c r="D19497" s="69" t="s">
        <v>29419</v>
      </c>
      <c r="E19497" s="51"/>
      <c r="F19497" s="114" t="str">
        <f>IF(INDEX(I.Facility.P3IDNumber,4485)="","",INDEX(I.Facility.P3IDNumber,4485))</f>
        <v/>
      </c>
      <c r="G19497" s="51"/>
      <c r="H19497" s="46" t="str">
        <f>IF(AND(I.Developer.P3=TRUE,I.Facility.P3FacilityCount&gt;=4485,F19497=""),"Incomplete","Complete")</f>
        <v>Complete</v>
      </c>
      <c r="I19497" s="48" t="s">
        <v>23862</v>
      </c>
    </row>
    <row r="19498" spans="2:9" ht="15" customHeight="1" x14ac:dyDescent="0.25">
      <c r="B19498" s="55" t="s">
        <v>282</v>
      </c>
      <c r="C19498" s="46">
        <v>4486</v>
      </c>
      <c r="D19498" s="69" t="s">
        <v>29419</v>
      </c>
      <c r="E19498" s="51"/>
      <c r="F19498" s="114" t="str">
        <f>IF(INDEX(I.Facility.P3IDNumber,4486)="","",INDEX(I.Facility.P3IDNumber,4486))</f>
        <v/>
      </c>
      <c r="G19498" s="51"/>
      <c r="H19498" s="46" t="str">
        <f>IF(AND(I.Developer.P3=TRUE,I.Facility.P3FacilityCount&gt;=4486,F19498=""),"Incomplete","Complete")</f>
        <v>Complete</v>
      </c>
      <c r="I19498" s="48" t="s">
        <v>23863</v>
      </c>
    </row>
    <row r="19499" spans="2:9" ht="15" customHeight="1" x14ac:dyDescent="0.25">
      <c r="B19499" s="55" t="s">
        <v>282</v>
      </c>
      <c r="C19499" s="46">
        <v>4487</v>
      </c>
      <c r="D19499" s="69" t="s">
        <v>29419</v>
      </c>
      <c r="E19499" s="51"/>
      <c r="F19499" s="114" t="str">
        <f>IF(INDEX(I.Facility.P3IDNumber,4487)="","",INDEX(I.Facility.P3IDNumber,4487))</f>
        <v/>
      </c>
      <c r="G19499" s="51"/>
      <c r="H19499" s="46" t="str">
        <f>IF(AND(I.Developer.P3=TRUE,I.Facility.P3FacilityCount&gt;=4487,F19499=""),"Incomplete","Complete")</f>
        <v>Complete</v>
      </c>
      <c r="I19499" s="48" t="s">
        <v>23864</v>
      </c>
    </row>
    <row r="19500" spans="2:9" ht="15" customHeight="1" x14ac:dyDescent="0.25">
      <c r="B19500" s="55" t="s">
        <v>282</v>
      </c>
      <c r="C19500" s="46">
        <v>4488</v>
      </c>
      <c r="D19500" s="69" t="s">
        <v>29419</v>
      </c>
      <c r="E19500" s="51"/>
      <c r="F19500" s="114" t="str">
        <f>IF(INDEX(I.Facility.P3IDNumber,4488)="","",INDEX(I.Facility.P3IDNumber,4488))</f>
        <v/>
      </c>
      <c r="G19500" s="51"/>
      <c r="H19500" s="46" t="str">
        <f>IF(AND(I.Developer.P3=TRUE,I.Facility.P3FacilityCount&gt;=4488,F19500=""),"Incomplete","Complete")</f>
        <v>Complete</v>
      </c>
      <c r="I19500" s="48" t="s">
        <v>23865</v>
      </c>
    </row>
    <row r="19501" spans="2:9" ht="15" customHeight="1" x14ac:dyDescent="0.25">
      <c r="B19501" s="55" t="s">
        <v>282</v>
      </c>
      <c r="C19501" s="46">
        <v>4489</v>
      </c>
      <c r="D19501" s="69" t="s">
        <v>29419</v>
      </c>
      <c r="E19501" s="51"/>
      <c r="F19501" s="114" t="str">
        <f>IF(INDEX(I.Facility.P3IDNumber,4489)="","",INDEX(I.Facility.P3IDNumber,4489))</f>
        <v/>
      </c>
      <c r="G19501" s="51"/>
      <c r="H19501" s="46" t="str">
        <f>IF(AND(I.Developer.P3=TRUE,I.Facility.P3FacilityCount&gt;=4489,F19501=""),"Incomplete","Complete")</f>
        <v>Complete</v>
      </c>
      <c r="I19501" s="48" t="s">
        <v>23866</v>
      </c>
    </row>
    <row r="19502" spans="2:9" ht="15" customHeight="1" x14ac:dyDescent="0.25">
      <c r="B19502" s="55" t="s">
        <v>282</v>
      </c>
      <c r="C19502" s="46">
        <v>4490</v>
      </c>
      <c r="D19502" s="69" t="s">
        <v>29419</v>
      </c>
      <c r="E19502" s="51"/>
      <c r="F19502" s="114" t="str">
        <f>IF(INDEX(I.Facility.P3IDNumber,4490)="","",INDEX(I.Facility.P3IDNumber,4490))</f>
        <v/>
      </c>
      <c r="G19502" s="51"/>
      <c r="H19502" s="46" t="str">
        <f>IF(AND(I.Developer.P3=TRUE,I.Facility.P3FacilityCount&gt;=4490,F19502=""),"Incomplete","Complete")</f>
        <v>Complete</v>
      </c>
      <c r="I19502" s="48" t="s">
        <v>23867</v>
      </c>
    </row>
    <row r="19503" spans="2:9" ht="15" customHeight="1" x14ac:dyDescent="0.25">
      <c r="B19503" s="55" t="s">
        <v>282</v>
      </c>
      <c r="C19503" s="46">
        <v>4491</v>
      </c>
      <c r="D19503" s="69" t="s">
        <v>29419</v>
      </c>
      <c r="E19503" s="51"/>
      <c r="F19503" s="114" t="str">
        <f>IF(INDEX(I.Facility.P3IDNumber,4491)="","",INDEX(I.Facility.P3IDNumber,4491))</f>
        <v/>
      </c>
      <c r="G19503" s="51"/>
      <c r="H19503" s="46" t="str">
        <f>IF(AND(I.Developer.P3=TRUE,I.Facility.P3FacilityCount&gt;=4491,F19503=""),"Incomplete","Complete")</f>
        <v>Complete</v>
      </c>
      <c r="I19503" s="48" t="s">
        <v>23868</v>
      </c>
    </row>
    <row r="19504" spans="2:9" ht="15" customHeight="1" x14ac:dyDescent="0.25">
      <c r="B19504" s="55" t="s">
        <v>282</v>
      </c>
      <c r="C19504" s="46">
        <v>4492</v>
      </c>
      <c r="D19504" s="69" t="s">
        <v>29419</v>
      </c>
      <c r="E19504" s="51"/>
      <c r="F19504" s="114" t="str">
        <f>IF(INDEX(I.Facility.P3IDNumber,4492)="","",INDEX(I.Facility.P3IDNumber,4492))</f>
        <v/>
      </c>
      <c r="G19504" s="51"/>
      <c r="H19504" s="46" t="str">
        <f>IF(AND(I.Developer.P3=TRUE,I.Facility.P3FacilityCount&gt;=4492,F19504=""),"Incomplete","Complete")</f>
        <v>Complete</v>
      </c>
      <c r="I19504" s="48" t="s">
        <v>23869</v>
      </c>
    </row>
    <row r="19505" spans="2:9" ht="15" customHeight="1" x14ac:dyDescent="0.25">
      <c r="B19505" s="55" t="s">
        <v>282</v>
      </c>
      <c r="C19505" s="46">
        <v>4493</v>
      </c>
      <c r="D19505" s="69" t="s">
        <v>29419</v>
      </c>
      <c r="E19505" s="51"/>
      <c r="F19505" s="114" t="str">
        <f>IF(INDEX(I.Facility.P3IDNumber,4493)="","",INDEX(I.Facility.P3IDNumber,4493))</f>
        <v/>
      </c>
      <c r="G19505" s="51"/>
      <c r="H19505" s="46" t="str">
        <f>IF(AND(I.Developer.P3=TRUE,I.Facility.P3FacilityCount&gt;=4493,F19505=""),"Incomplete","Complete")</f>
        <v>Complete</v>
      </c>
      <c r="I19505" s="48" t="s">
        <v>23870</v>
      </c>
    </row>
    <row r="19506" spans="2:9" ht="15" customHeight="1" x14ac:dyDescent="0.25">
      <c r="B19506" s="55" t="s">
        <v>282</v>
      </c>
      <c r="C19506" s="46">
        <v>4494</v>
      </c>
      <c r="D19506" s="69" t="s">
        <v>29419</v>
      </c>
      <c r="E19506" s="51"/>
      <c r="F19506" s="114" t="str">
        <f>IF(INDEX(I.Facility.P3IDNumber,4494)="","",INDEX(I.Facility.P3IDNumber,4494))</f>
        <v/>
      </c>
      <c r="G19506" s="51"/>
      <c r="H19506" s="46" t="str">
        <f>IF(AND(I.Developer.P3=TRUE,I.Facility.P3FacilityCount&gt;=4494,F19506=""),"Incomplete","Complete")</f>
        <v>Complete</v>
      </c>
      <c r="I19506" s="48" t="s">
        <v>23871</v>
      </c>
    </row>
    <row r="19507" spans="2:9" ht="15" customHeight="1" x14ac:dyDescent="0.25">
      <c r="B19507" s="55" t="s">
        <v>282</v>
      </c>
      <c r="C19507" s="46">
        <v>4495</v>
      </c>
      <c r="D19507" s="69" t="s">
        <v>29419</v>
      </c>
      <c r="E19507" s="51"/>
      <c r="F19507" s="114" t="str">
        <f>IF(INDEX(I.Facility.P3IDNumber,4495)="","",INDEX(I.Facility.P3IDNumber,4495))</f>
        <v/>
      </c>
      <c r="G19507" s="51"/>
      <c r="H19507" s="46" t="str">
        <f>IF(AND(I.Developer.P3=TRUE,I.Facility.P3FacilityCount&gt;=4495,F19507=""),"Incomplete","Complete")</f>
        <v>Complete</v>
      </c>
      <c r="I19507" s="48" t="s">
        <v>23872</v>
      </c>
    </row>
    <row r="19508" spans="2:9" ht="15" customHeight="1" x14ac:dyDescent="0.25">
      <c r="B19508" s="55" t="s">
        <v>282</v>
      </c>
      <c r="C19508" s="46">
        <v>4496</v>
      </c>
      <c r="D19508" s="69" t="s">
        <v>29419</v>
      </c>
      <c r="E19508" s="51"/>
      <c r="F19508" s="114" t="str">
        <f>IF(INDEX(I.Facility.P3IDNumber,4496)="","",INDEX(I.Facility.P3IDNumber,4496))</f>
        <v/>
      </c>
      <c r="G19508" s="51"/>
      <c r="H19508" s="46" t="str">
        <f>IF(AND(I.Developer.P3=TRUE,I.Facility.P3FacilityCount&gt;=4496,F19508=""),"Incomplete","Complete")</f>
        <v>Complete</v>
      </c>
      <c r="I19508" s="48" t="s">
        <v>23873</v>
      </c>
    </row>
    <row r="19509" spans="2:9" ht="15" customHeight="1" x14ac:dyDescent="0.25">
      <c r="B19509" s="55" t="s">
        <v>282</v>
      </c>
      <c r="C19509" s="46">
        <v>4497</v>
      </c>
      <c r="D19509" s="69" t="s">
        <v>29419</v>
      </c>
      <c r="E19509" s="51"/>
      <c r="F19509" s="114" t="str">
        <f>IF(INDEX(I.Facility.P3IDNumber,4497)="","",INDEX(I.Facility.P3IDNumber,4497))</f>
        <v/>
      </c>
      <c r="G19509" s="51"/>
      <c r="H19509" s="46" t="str">
        <f>IF(AND(I.Developer.P3=TRUE,I.Facility.P3FacilityCount&gt;=4497,F19509=""),"Incomplete","Complete")</f>
        <v>Complete</v>
      </c>
      <c r="I19509" s="48" t="s">
        <v>23874</v>
      </c>
    </row>
    <row r="19510" spans="2:9" ht="15" customHeight="1" x14ac:dyDescent="0.25">
      <c r="B19510" s="55" t="s">
        <v>282</v>
      </c>
      <c r="C19510" s="46">
        <v>4498</v>
      </c>
      <c r="D19510" s="69" t="s">
        <v>29419</v>
      </c>
      <c r="E19510" s="51"/>
      <c r="F19510" s="114" t="str">
        <f>IF(INDEX(I.Facility.P3IDNumber,4498)="","",INDEX(I.Facility.P3IDNumber,4498))</f>
        <v/>
      </c>
      <c r="G19510" s="51"/>
      <c r="H19510" s="46" t="str">
        <f>IF(AND(I.Developer.P3=TRUE,I.Facility.P3FacilityCount&gt;=4498,F19510=""),"Incomplete","Complete")</f>
        <v>Complete</v>
      </c>
      <c r="I19510" s="48" t="s">
        <v>23875</v>
      </c>
    </row>
    <row r="19511" spans="2:9" ht="15" customHeight="1" x14ac:dyDescent="0.25">
      <c r="B19511" s="55" t="s">
        <v>282</v>
      </c>
      <c r="C19511" s="46">
        <v>4499</v>
      </c>
      <c r="D19511" s="69" t="s">
        <v>29419</v>
      </c>
      <c r="E19511" s="51"/>
      <c r="F19511" s="114" t="str">
        <f>IF(INDEX(I.Facility.P3IDNumber,4499)="","",INDEX(I.Facility.P3IDNumber,4499))</f>
        <v/>
      </c>
      <c r="G19511" s="51"/>
      <c r="H19511" s="46" t="str">
        <f>IF(AND(I.Developer.P3=TRUE,I.Facility.P3FacilityCount&gt;=4499,F19511=""),"Incomplete","Complete")</f>
        <v>Complete</v>
      </c>
      <c r="I19511" s="48" t="s">
        <v>23876</v>
      </c>
    </row>
    <row r="19512" spans="2:9" ht="15" customHeight="1" x14ac:dyDescent="0.25">
      <c r="B19512" s="55" t="s">
        <v>282</v>
      </c>
      <c r="C19512" s="46">
        <v>4500</v>
      </c>
      <c r="D19512" s="69" t="s">
        <v>29419</v>
      </c>
      <c r="E19512" s="51"/>
      <c r="F19512" s="114" t="str">
        <f>IF(INDEX(I.Facility.P3IDNumber,4500)="","",INDEX(I.Facility.P3IDNumber,4500))</f>
        <v/>
      </c>
      <c r="G19512" s="51"/>
      <c r="H19512" s="46" t="str">
        <f>IF(AND(I.Developer.P3=TRUE,I.Facility.P3FacilityCount&gt;=4500,F19512=""),"Incomplete","Complete")</f>
        <v>Complete</v>
      </c>
      <c r="I19512" s="48" t="s">
        <v>23877</v>
      </c>
    </row>
    <row r="19513" spans="2:9" ht="15" customHeight="1" x14ac:dyDescent="0.25">
      <c r="B19513" s="55" t="s">
        <v>282</v>
      </c>
      <c r="C19513" s="46">
        <v>4501</v>
      </c>
      <c r="D19513" s="69" t="s">
        <v>29419</v>
      </c>
      <c r="E19513" s="51"/>
      <c r="F19513" s="114" t="str">
        <f>IF(INDEX(I.Facility.P3IDNumber,4501)="","",INDEX(I.Facility.P3IDNumber,4501))</f>
        <v/>
      </c>
      <c r="G19513" s="51"/>
      <c r="H19513" s="46" t="str">
        <f>IF(AND(I.Developer.P3=TRUE,I.Facility.P3FacilityCount&gt;=4501,F19513=""),"Incomplete","Complete")</f>
        <v>Complete</v>
      </c>
      <c r="I19513" s="48" t="s">
        <v>23878</v>
      </c>
    </row>
    <row r="19514" spans="2:9" ht="15" customHeight="1" x14ac:dyDescent="0.25">
      <c r="B19514" s="55" t="s">
        <v>282</v>
      </c>
      <c r="C19514" s="46">
        <v>4502</v>
      </c>
      <c r="D19514" s="69" t="s">
        <v>29419</v>
      </c>
      <c r="E19514" s="51"/>
      <c r="F19514" s="114" t="str">
        <f>IF(INDEX(I.Facility.P3IDNumber,4502)="","",INDEX(I.Facility.P3IDNumber,4502))</f>
        <v/>
      </c>
      <c r="G19514" s="51"/>
      <c r="H19514" s="46" t="str">
        <f>IF(AND(I.Developer.P3=TRUE,I.Facility.P3FacilityCount&gt;=4502,F19514=""),"Incomplete","Complete")</f>
        <v>Complete</v>
      </c>
      <c r="I19514" s="48" t="s">
        <v>23879</v>
      </c>
    </row>
    <row r="19515" spans="2:9" ht="15" customHeight="1" x14ac:dyDescent="0.25">
      <c r="B19515" s="55" t="s">
        <v>282</v>
      </c>
      <c r="C19515" s="46">
        <v>4503</v>
      </c>
      <c r="D19515" s="69" t="s">
        <v>29419</v>
      </c>
      <c r="E19515" s="51"/>
      <c r="F19515" s="114" t="str">
        <f>IF(INDEX(I.Facility.P3IDNumber,4503)="","",INDEX(I.Facility.P3IDNumber,4503))</f>
        <v/>
      </c>
      <c r="G19515" s="51"/>
      <c r="H19515" s="46" t="str">
        <f>IF(AND(I.Developer.P3=TRUE,I.Facility.P3FacilityCount&gt;=4503,F19515=""),"Incomplete","Complete")</f>
        <v>Complete</v>
      </c>
      <c r="I19515" s="48" t="s">
        <v>23880</v>
      </c>
    </row>
    <row r="19516" spans="2:9" ht="15" customHeight="1" x14ac:dyDescent="0.25">
      <c r="B19516" s="55" t="s">
        <v>282</v>
      </c>
      <c r="C19516" s="46">
        <v>4504</v>
      </c>
      <c r="D19516" s="69" t="s">
        <v>29419</v>
      </c>
      <c r="E19516" s="51"/>
      <c r="F19516" s="114" t="str">
        <f>IF(INDEX(I.Facility.P3IDNumber,4504)="","",INDEX(I.Facility.P3IDNumber,4504))</f>
        <v/>
      </c>
      <c r="G19516" s="51"/>
      <c r="H19516" s="46" t="str">
        <f>IF(AND(I.Developer.P3=TRUE,I.Facility.P3FacilityCount&gt;=4504,F19516=""),"Incomplete","Complete")</f>
        <v>Complete</v>
      </c>
      <c r="I19516" s="48" t="s">
        <v>23881</v>
      </c>
    </row>
    <row r="19517" spans="2:9" ht="15" customHeight="1" x14ac:dyDescent="0.25">
      <c r="B19517" s="55" t="s">
        <v>282</v>
      </c>
      <c r="C19517" s="46">
        <v>4505</v>
      </c>
      <c r="D19517" s="69" t="s">
        <v>29419</v>
      </c>
      <c r="E19517" s="51"/>
      <c r="F19517" s="114" t="str">
        <f>IF(INDEX(I.Facility.P3IDNumber,4505)="","",INDEX(I.Facility.P3IDNumber,4505))</f>
        <v/>
      </c>
      <c r="G19517" s="51"/>
      <c r="H19517" s="46" t="str">
        <f>IF(AND(I.Developer.P3=TRUE,I.Facility.P3FacilityCount&gt;=4505,F19517=""),"Incomplete","Complete")</f>
        <v>Complete</v>
      </c>
      <c r="I19517" s="48" t="s">
        <v>23882</v>
      </c>
    </row>
    <row r="19518" spans="2:9" ht="15" customHeight="1" x14ac:dyDescent="0.25">
      <c r="B19518" s="55" t="s">
        <v>282</v>
      </c>
      <c r="C19518" s="46">
        <v>4506</v>
      </c>
      <c r="D19518" s="69" t="s">
        <v>29419</v>
      </c>
      <c r="E19518" s="51"/>
      <c r="F19518" s="114" t="str">
        <f>IF(INDEX(I.Facility.P3IDNumber,4506)="","",INDEX(I.Facility.P3IDNumber,4506))</f>
        <v/>
      </c>
      <c r="G19518" s="51"/>
      <c r="H19518" s="46" t="str">
        <f>IF(AND(I.Developer.P3=TRUE,I.Facility.P3FacilityCount&gt;=4506,F19518=""),"Incomplete","Complete")</f>
        <v>Complete</v>
      </c>
      <c r="I19518" s="48" t="s">
        <v>23883</v>
      </c>
    </row>
    <row r="19519" spans="2:9" ht="15" customHeight="1" x14ac:dyDescent="0.25">
      <c r="B19519" s="55" t="s">
        <v>282</v>
      </c>
      <c r="C19519" s="46">
        <v>4507</v>
      </c>
      <c r="D19519" s="69" t="s">
        <v>29419</v>
      </c>
      <c r="E19519" s="51"/>
      <c r="F19519" s="114" t="str">
        <f>IF(INDEX(I.Facility.P3IDNumber,4507)="","",INDEX(I.Facility.P3IDNumber,4507))</f>
        <v/>
      </c>
      <c r="G19519" s="51"/>
      <c r="H19519" s="46" t="str">
        <f>IF(AND(I.Developer.P3=TRUE,I.Facility.P3FacilityCount&gt;=4507,F19519=""),"Incomplete","Complete")</f>
        <v>Complete</v>
      </c>
      <c r="I19519" s="48" t="s">
        <v>23884</v>
      </c>
    </row>
    <row r="19520" spans="2:9" ht="15" customHeight="1" x14ac:dyDescent="0.25">
      <c r="B19520" s="55" t="s">
        <v>282</v>
      </c>
      <c r="C19520" s="46">
        <v>4508</v>
      </c>
      <c r="D19520" s="69" t="s">
        <v>29419</v>
      </c>
      <c r="E19520" s="51"/>
      <c r="F19520" s="114" t="str">
        <f>IF(INDEX(I.Facility.P3IDNumber,4508)="","",INDEX(I.Facility.P3IDNumber,4508))</f>
        <v/>
      </c>
      <c r="G19520" s="51"/>
      <c r="H19520" s="46" t="str">
        <f>IF(AND(I.Developer.P3=TRUE,I.Facility.P3FacilityCount&gt;=4508,F19520=""),"Incomplete","Complete")</f>
        <v>Complete</v>
      </c>
      <c r="I19520" s="48" t="s">
        <v>23885</v>
      </c>
    </row>
    <row r="19521" spans="2:9" ht="15" customHeight="1" x14ac:dyDescent="0.25">
      <c r="B19521" s="55" t="s">
        <v>282</v>
      </c>
      <c r="C19521" s="46">
        <v>4509</v>
      </c>
      <c r="D19521" s="69" t="s">
        <v>29419</v>
      </c>
      <c r="E19521" s="51"/>
      <c r="F19521" s="114" t="str">
        <f>IF(INDEX(I.Facility.P3IDNumber,4509)="","",INDEX(I.Facility.P3IDNumber,4509))</f>
        <v/>
      </c>
      <c r="G19521" s="51"/>
      <c r="H19521" s="46" t="str">
        <f>IF(AND(I.Developer.P3=TRUE,I.Facility.P3FacilityCount&gt;=4509,F19521=""),"Incomplete","Complete")</f>
        <v>Complete</v>
      </c>
      <c r="I19521" s="48" t="s">
        <v>23886</v>
      </c>
    </row>
    <row r="19522" spans="2:9" ht="15" customHeight="1" x14ac:dyDescent="0.25">
      <c r="B19522" s="55" t="s">
        <v>282</v>
      </c>
      <c r="C19522" s="46">
        <v>4510</v>
      </c>
      <c r="D19522" s="69" t="s">
        <v>29419</v>
      </c>
      <c r="E19522" s="51"/>
      <c r="F19522" s="114" t="str">
        <f>IF(INDEX(I.Facility.P3IDNumber,4510)="","",INDEX(I.Facility.P3IDNumber,4510))</f>
        <v/>
      </c>
      <c r="G19522" s="51"/>
      <c r="H19522" s="46" t="str">
        <f>IF(AND(I.Developer.P3=TRUE,I.Facility.P3FacilityCount&gt;=4510,F19522=""),"Incomplete","Complete")</f>
        <v>Complete</v>
      </c>
      <c r="I19522" s="48" t="s">
        <v>23887</v>
      </c>
    </row>
    <row r="19523" spans="2:9" ht="15" customHeight="1" x14ac:dyDescent="0.25">
      <c r="B19523" s="55" t="s">
        <v>282</v>
      </c>
      <c r="C19523" s="46">
        <v>4511</v>
      </c>
      <c r="D19523" s="69" t="s">
        <v>29419</v>
      </c>
      <c r="E19523" s="51"/>
      <c r="F19523" s="114" t="str">
        <f>IF(INDEX(I.Facility.P3IDNumber,4511)="","",INDEX(I.Facility.P3IDNumber,4511))</f>
        <v/>
      </c>
      <c r="G19523" s="51"/>
      <c r="H19523" s="46" t="str">
        <f>IF(AND(I.Developer.P3=TRUE,I.Facility.P3FacilityCount&gt;=4511,F19523=""),"Incomplete","Complete")</f>
        <v>Complete</v>
      </c>
      <c r="I19523" s="48" t="s">
        <v>23888</v>
      </c>
    </row>
    <row r="19524" spans="2:9" ht="15" customHeight="1" x14ac:dyDescent="0.25">
      <c r="B19524" s="55" t="s">
        <v>282</v>
      </c>
      <c r="C19524" s="46">
        <v>4512</v>
      </c>
      <c r="D19524" s="69" t="s">
        <v>29419</v>
      </c>
      <c r="E19524" s="51"/>
      <c r="F19524" s="114" t="str">
        <f>IF(INDEX(I.Facility.P3IDNumber,4512)="","",INDEX(I.Facility.P3IDNumber,4512))</f>
        <v/>
      </c>
      <c r="G19524" s="51"/>
      <c r="H19524" s="46" t="str">
        <f>IF(AND(I.Developer.P3=TRUE,I.Facility.P3FacilityCount&gt;=4512,F19524=""),"Incomplete","Complete")</f>
        <v>Complete</v>
      </c>
      <c r="I19524" s="48" t="s">
        <v>23889</v>
      </c>
    </row>
    <row r="19525" spans="2:9" ht="15" customHeight="1" x14ac:dyDescent="0.25">
      <c r="B19525" s="55" t="s">
        <v>282</v>
      </c>
      <c r="C19525" s="46">
        <v>4513</v>
      </c>
      <c r="D19525" s="69" t="s">
        <v>29419</v>
      </c>
      <c r="E19525" s="51"/>
      <c r="F19525" s="114" t="str">
        <f>IF(INDEX(I.Facility.P3IDNumber,4513)="","",INDEX(I.Facility.P3IDNumber,4513))</f>
        <v/>
      </c>
      <c r="G19525" s="51"/>
      <c r="H19525" s="46" t="str">
        <f>IF(AND(I.Developer.P3=TRUE,I.Facility.P3FacilityCount&gt;=4513,F19525=""),"Incomplete","Complete")</f>
        <v>Complete</v>
      </c>
      <c r="I19525" s="48" t="s">
        <v>23890</v>
      </c>
    </row>
    <row r="19526" spans="2:9" ht="15" customHeight="1" x14ac:dyDescent="0.25">
      <c r="B19526" s="55" t="s">
        <v>282</v>
      </c>
      <c r="C19526" s="46">
        <v>4514</v>
      </c>
      <c r="D19526" s="69" t="s">
        <v>29419</v>
      </c>
      <c r="E19526" s="51"/>
      <c r="F19526" s="114" t="str">
        <f>IF(INDEX(I.Facility.P3IDNumber,4514)="","",INDEX(I.Facility.P3IDNumber,4514))</f>
        <v/>
      </c>
      <c r="G19526" s="51"/>
      <c r="H19526" s="46" t="str">
        <f>IF(AND(I.Developer.P3=TRUE,I.Facility.P3FacilityCount&gt;=4514,F19526=""),"Incomplete","Complete")</f>
        <v>Complete</v>
      </c>
      <c r="I19526" s="48" t="s">
        <v>23891</v>
      </c>
    </row>
    <row r="19527" spans="2:9" ht="15" customHeight="1" x14ac:dyDescent="0.25">
      <c r="B19527" s="55" t="s">
        <v>282</v>
      </c>
      <c r="C19527" s="46">
        <v>4515</v>
      </c>
      <c r="D19527" s="69" t="s">
        <v>29419</v>
      </c>
      <c r="E19527" s="51"/>
      <c r="F19527" s="114" t="str">
        <f>IF(INDEX(I.Facility.P3IDNumber,4515)="","",INDEX(I.Facility.P3IDNumber,4515))</f>
        <v/>
      </c>
      <c r="G19527" s="51"/>
      <c r="H19527" s="46" t="str">
        <f>IF(AND(I.Developer.P3=TRUE,I.Facility.P3FacilityCount&gt;=4515,F19527=""),"Incomplete","Complete")</f>
        <v>Complete</v>
      </c>
      <c r="I19527" s="48" t="s">
        <v>23892</v>
      </c>
    </row>
    <row r="19528" spans="2:9" ht="15" customHeight="1" x14ac:dyDescent="0.25">
      <c r="B19528" s="55" t="s">
        <v>282</v>
      </c>
      <c r="C19528" s="46">
        <v>4516</v>
      </c>
      <c r="D19528" s="69" t="s">
        <v>29419</v>
      </c>
      <c r="E19528" s="51"/>
      <c r="F19528" s="114" t="str">
        <f>IF(INDEX(I.Facility.P3IDNumber,4516)="","",INDEX(I.Facility.P3IDNumber,4516))</f>
        <v/>
      </c>
      <c r="G19528" s="51"/>
      <c r="H19528" s="46" t="str">
        <f>IF(AND(I.Developer.P3=TRUE,I.Facility.P3FacilityCount&gt;=4516,F19528=""),"Incomplete","Complete")</f>
        <v>Complete</v>
      </c>
      <c r="I19528" s="48" t="s">
        <v>23893</v>
      </c>
    </row>
    <row r="19529" spans="2:9" ht="15" customHeight="1" x14ac:dyDescent="0.25">
      <c r="B19529" s="55" t="s">
        <v>282</v>
      </c>
      <c r="C19529" s="46">
        <v>4517</v>
      </c>
      <c r="D19529" s="69" t="s">
        <v>29419</v>
      </c>
      <c r="E19529" s="51"/>
      <c r="F19529" s="114" t="str">
        <f>IF(INDEX(I.Facility.P3IDNumber,4517)="","",INDEX(I.Facility.P3IDNumber,4517))</f>
        <v/>
      </c>
      <c r="G19529" s="51"/>
      <c r="H19529" s="46" t="str">
        <f>IF(AND(I.Developer.P3=TRUE,I.Facility.P3FacilityCount&gt;=4517,F19529=""),"Incomplete","Complete")</f>
        <v>Complete</v>
      </c>
      <c r="I19529" s="48" t="s">
        <v>23894</v>
      </c>
    </row>
    <row r="19530" spans="2:9" ht="15" customHeight="1" x14ac:dyDescent="0.25">
      <c r="B19530" s="55" t="s">
        <v>282</v>
      </c>
      <c r="C19530" s="46">
        <v>4518</v>
      </c>
      <c r="D19530" s="69" t="s">
        <v>29419</v>
      </c>
      <c r="E19530" s="51"/>
      <c r="F19530" s="114" t="str">
        <f>IF(INDEX(I.Facility.P3IDNumber,4518)="","",INDEX(I.Facility.P3IDNumber,4518))</f>
        <v/>
      </c>
      <c r="G19530" s="51"/>
      <c r="H19530" s="46" t="str">
        <f>IF(AND(I.Developer.P3=TRUE,I.Facility.P3FacilityCount&gt;=4518,F19530=""),"Incomplete","Complete")</f>
        <v>Complete</v>
      </c>
      <c r="I19530" s="48" t="s">
        <v>23895</v>
      </c>
    </row>
    <row r="19531" spans="2:9" ht="15" customHeight="1" x14ac:dyDescent="0.25">
      <c r="B19531" s="55" t="s">
        <v>282</v>
      </c>
      <c r="C19531" s="46">
        <v>4519</v>
      </c>
      <c r="D19531" s="69" t="s">
        <v>29419</v>
      </c>
      <c r="E19531" s="51"/>
      <c r="F19531" s="114" t="str">
        <f>IF(INDEX(I.Facility.P3IDNumber,4519)="","",INDEX(I.Facility.P3IDNumber,4519))</f>
        <v/>
      </c>
      <c r="G19531" s="51"/>
      <c r="H19531" s="46" t="str">
        <f>IF(AND(I.Developer.P3=TRUE,I.Facility.P3FacilityCount&gt;=4519,F19531=""),"Incomplete","Complete")</f>
        <v>Complete</v>
      </c>
      <c r="I19531" s="48" t="s">
        <v>23896</v>
      </c>
    </row>
    <row r="19532" spans="2:9" ht="15" customHeight="1" x14ac:dyDescent="0.25">
      <c r="B19532" s="55" t="s">
        <v>282</v>
      </c>
      <c r="C19532" s="46">
        <v>4520</v>
      </c>
      <c r="D19532" s="69" t="s">
        <v>29419</v>
      </c>
      <c r="E19532" s="51"/>
      <c r="F19532" s="114" t="str">
        <f>IF(INDEX(I.Facility.P3IDNumber,4520)="","",INDEX(I.Facility.P3IDNumber,4520))</f>
        <v/>
      </c>
      <c r="G19532" s="51"/>
      <c r="H19532" s="46" t="str">
        <f>IF(AND(I.Developer.P3=TRUE,I.Facility.P3FacilityCount&gt;=4520,F19532=""),"Incomplete","Complete")</f>
        <v>Complete</v>
      </c>
      <c r="I19532" s="48" t="s">
        <v>23897</v>
      </c>
    </row>
    <row r="19533" spans="2:9" ht="15" customHeight="1" x14ac:dyDescent="0.25">
      <c r="B19533" s="55" t="s">
        <v>282</v>
      </c>
      <c r="C19533" s="46">
        <v>4521</v>
      </c>
      <c r="D19533" s="69" t="s">
        <v>29419</v>
      </c>
      <c r="E19533" s="51"/>
      <c r="F19533" s="114" t="str">
        <f>IF(INDEX(I.Facility.P3IDNumber,4521)="","",INDEX(I.Facility.P3IDNumber,4521))</f>
        <v/>
      </c>
      <c r="G19533" s="51"/>
      <c r="H19533" s="46" t="str">
        <f>IF(AND(I.Developer.P3=TRUE,I.Facility.P3FacilityCount&gt;=4521,F19533=""),"Incomplete","Complete")</f>
        <v>Complete</v>
      </c>
      <c r="I19533" s="48" t="s">
        <v>23898</v>
      </c>
    </row>
    <row r="19534" spans="2:9" ht="15" customHeight="1" x14ac:dyDescent="0.25">
      <c r="B19534" s="55" t="s">
        <v>282</v>
      </c>
      <c r="C19534" s="46">
        <v>4522</v>
      </c>
      <c r="D19534" s="69" t="s">
        <v>29419</v>
      </c>
      <c r="E19534" s="51"/>
      <c r="F19534" s="114" t="str">
        <f>IF(INDEX(I.Facility.P3IDNumber,4522)="","",INDEX(I.Facility.P3IDNumber,4522))</f>
        <v/>
      </c>
      <c r="G19534" s="51"/>
      <c r="H19534" s="46" t="str">
        <f>IF(AND(I.Developer.P3=TRUE,I.Facility.P3FacilityCount&gt;=4522,F19534=""),"Incomplete","Complete")</f>
        <v>Complete</v>
      </c>
      <c r="I19534" s="48" t="s">
        <v>23899</v>
      </c>
    </row>
    <row r="19535" spans="2:9" ht="15" customHeight="1" x14ac:dyDescent="0.25">
      <c r="B19535" s="55" t="s">
        <v>282</v>
      </c>
      <c r="C19535" s="46">
        <v>4523</v>
      </c>
      <c r="D19535" s="69" t="s">
        <v>29419</v>
      </c>
      <c r="E19535" s="51"/>
      <c r="F19535" s="114" t="str">
        <f>IF(INDEX(I.Facility.P3IDNumber,4523)="","",INDEX(I.Facility.P3IDNumber,4523))</f>
        <v/>
      </c>
      <c r="G19535" s="51"/>
      <c r="H19535" s="46" t="str">
        <f>IF(AND(I.Developer.P3=TRUE,I.Facility.P3FacilityCount&gt;=4523,F19535=""),"Incomplete","Complete")</f>
        <v>Complete</v>
      </c>
      <c r="I19535" s="48" t="s">
        <v>23900</v>
      </c>
    </row>
    <row r="19536" spans="2:9" ht="15" customHeight="1" x14ac:dyDescent="0.25">
      <c r="B19536" s="55" t="s">
        <v>282</v>
      </c>
      <c r="C19536" s="46">
        <v>4524</v>
      </c>
      <c r="D19536" s="69" t="s">
        <v>29419</v>
      </c>
      <c r="E19536" s="51"/>
      <c r="F19536" s="114" t="str">
        <f>IF(INDEX(I.Facility.P3IDNumber,4524)="","",INDEX(I.Facility.P3IDNumber,4524))</f>
        <v/>
      </c>
      <c r="G19536" s="51"/>
      <c r="H19536" s="46" t="str">
        <f>IF(AND(I.Developer.P3=TRUE,I.Facility.P3FacilityCount&gt;=4524,F19536=""),"Incomplete","Complete")</f>
        <v>Complete</v>
      </c>
      <c r="I19536" s="48" t="s">
        <v>23901</v>
      </c>
    </row>
    <row r="19537" spans="2:9" ht="15" customHeight="1" x14ac:dyDescent="0.25">
      <c r="B19537" s="55" t="s">
        <v>282</v>
      </c>
      <c r="C19537" s="46">
        <v>4525</v>
      </c>
      <c r="D19537" s="69" t="s">
        <v>29419</v>
      </c>
      <c r="E19537" s="51"/>
      <c r="F19537" s="114" t="str">
        <f>IF(INDEX(I.Facility.P3IDNumber,4525)="","",INDEX(I.Facility.P3IDNumber,4525))</f>
        <v/>
      </c>
      <c r="G19537" s="51"/>
      <c r="H19537" s="46" t="str">
        <f>IF(AND(I.Developer.P3=TRUE,I.Facility.P3FacilityCount&gt;=4525,F19537=""),"Incomplete","Complete")</f>
        <v>Complete</v>
      </c>
      <c r="I19537" s="48" t="s">
        <v>23902</v>
      </c>
    </row>
    <row r="19538" spans="2:9" ht="15" customHeight="1" x14ac:dyDescent="0.25">
      <c r="B19538" s="55" t="s">
        <v>282</v>
      </c>
      <c r="C19538" s="46">
        <v>4526</v>
      </c>
      <c r="D19538" s="69" t="s">
        <v>29419</v>
      </c>
      <c r="E19538" s="51"/>
      <c r="F19538" s="114" t="str">
        <f>IF(INDEX(I.Facility.P3IDNumber,4526)="","",INDEX(I.Facility.P3IDNumber,4526))</f>
        <v/>
      </c>
      <c r="G19538" s="51"/>
      <c r="H19538" s="46" t="str">
        <f>IF(AND(I.Developer.P3=TRUE,I.Facility.P3FacilityCount&gt;=4526,F19538=""),"Incomplete","Complete")</f>
        <v>Complete</v>
      </c>
      <c r="I19538" s="48" t="s">
        <v>23903</v>
      </c>
    </row>
    <row r="19539" spans="2:9" ht="15" customHeight="1" x14ac:dyDescent="0.25">
      <c r="B19539" s="55" t="s">
        <v>282</v>
      </c>
      <c r="C19539" s="46">
        <v>4527</v>
      </c>
      <c r="D19539" s="69" t="s">
        <v>29419</v>
      </c>
      <c r="E19539" s="51"/>
      <c r="F19539" s="114" t="str">
        <f>IF(INDEX(I.Facility.P3IDNumber,4527)="","",INDEX(I.Facility.P3IDNumber,4527))</f>
        <v/>
      </c>
      <c r="G19539" s="51"/>
      <c r="H19539" s="46" t="str">
        <f>IF(AND(I.Developer.P3=TRUE,I.Facility.P3FacilityCount&gt;=4527,F19539=""),"Incomplete","Complete")</f>
        <v>Complete</v>
      </c>
      <c r="I19539" s="48" t="s">
        <v>23904</v>
      </c>
    </row>
    <row r="19540" spans="2:9" ht="15" customHeight="1" x14ac:dyDescent="0.25">
      <c r="B19540" s="55" t="s">
        <v>282</v>
      </c>
      <c r="C19540" s="46">
        <v>4528</v>
      </c>
      <c r="D19540" s="69" t="s">
        <v>29419</v>
      </c>
      <c r="E19540" s="51"/>
      <c r="F19540" s="114" t="str">
        <f>IF(INDEX(I.Facility.P3IDNumber,4528)="","",INDEX(I.Facility.P3IDNumber,4528))</f>
        <v/>
      </c>
      <c r="G19540" s="51"/>
      <c r="H19540" s="46" t="str">
        <f>IF(AND(I.Developer.P3=TRUE,I.Facility.P3FacilityCount&gt;=4528,F19540=""),"Incomplete","Complete")</f>
        <v>Complete</v>
      </c>
      <c r="I19540" s="48" t="s">
        <v>23905</v>
      </c>
    </row>
    <row r="19541" spans="2:9" ht="15" customHeight="1" x14ac:dyDescent="0.25">
      <c r="B19541" s="55" t="s">
        <v>282</v>
      </c>
      <c r="C19541" s="46">
        <v>4529</v>
      </c>
      <c r="D19541" s="69" t="s">
        <v>29419</v>
      </c>
      <c r="E19541" s="51"/>
      <c r="F19541" s="114" t="str">
        <f>IF(INDEX(I.Facility.P3IDNumber,4529)="","",INDEX(I.Facility.P3IDNumber,4529))</f>
        <v/>
      </c>
      <c r="G19541" s="51"/>
      <c r="H19541" s="46" t="str">
        <f>IF(AND(I.Developer.P3=TRUE,I.Facility.P3FacilityCount&gt;=4529,F19541=""),"Incomplete","Complete")</f>
        <v>Complete</v>
      </c>
      <c r="I19541" s="48" t="s">
        <v>23906</v>
      </c>
    </row>
    <row r="19542" spans="2:9" ht="15" customHeight="1" x14ac:dyDescent="0.25">
      <c r="B19542" s="55" t="s">
        <v>282</v>
      </c>
      <c r="C19542" s="46">
        <v>4530</v>
      </c>
      <c r="D19542" s="69" t="s">
        <v>29419</v>
      </c>
      <c r="E19542" s="51"/>
      <c r="F19542" s="114" t="str">
        <f>IF(INDEX(I.Facility.P3IDNumber,4530)="","",INDEX(I.Facility.P3IDNumber,4530))</f>
        <v/>
      </c>
      <c r="G19542" s="51"/>
      <c r="H19542" s="46" t="str">
        <f>IF(AND(I.Developer.P3=TRUE,I.Facility.P3FacilityCount&gt;=4530,F19542=""),"Incomplete","Complete")</f>
        <v>Complete</v>
      </c>
      <c r="I19542" s="48" t="s">
        <v>23907</v>
      </c>
    </row>
    <row r="19543" spans="2:9" ht="15" customHeight="1" x14ac:dyDescent="0.25">
      <c r="B19543" s="55" t="s">
        <v>282</v>
      </c>
      <c r="C19543" s="46">
        <v>4531</v>
      </c>
      <c r="D19543" s="69" t="s">
        <v>29419</v>
      </c>
      <c r="E19543" s="51"/>
      <c r="F19543" s="114" t="str">
        <f>IF(INDEX(I.Facility.P3IDNumber,4531)="","",INDEX(I.Facility.P3IDNumber,4531))</f>
        <v/>
      </c>
      <c r="G19543" s="51"/>
      <c r="H19543" s="46" t="str">
        <f>IF(AND(I.Developer.P3=TRUE,I.Facility.P3FacilityCount&gt;=4531,F19543=""),"Incomplete","Complete")</f>
        <v>Complete</v>
      </c>
      <c r="I19543" s="48" t="s">
        <v>23908</v>
      </c>
    </row>
    <row r="19544" spans="2:9" ht="15" customHeight="1" x14ac:dyDescent="0.25">
      <c r="B19544" s="55" t="s">
        <v>282</v>
      </c>
      <c r="C19544" s="46">
        <v>4532</v>
      </c>
      <c r="D19544" s="69" t="s">
        <v>29419</v>
      </c>
      <c r="E19544" s="51"/>
      <c r="F19544" s="114" t="str">
        <f>IF(INDEX(I.Facility.P3IDNumber,4532)="","",INDEX(I.Facility.P3IDNumber,4532))</f>
        <v/>
      </c>
      <c r="G19544" s="51"/>
      <c r="H19544" s="46" t="str">
        <f>IF(AND(I.Developer.P3=TRUE,I.Facility.P3FacilityCount&gt;=4532,F19544=""),"Incomplete","Complete")</f>
        <v>Complete</v>
      </c>
      <c r="I19544" s="48" t="s">
        <v>23909</v>
      </c>
    </row>
    <row r="19545" spans="2:9" ht="15" customHeight="1" x14ac:dyDescent="0.25">
      <c r="B19545" s="55" t="s">
        <v>282</v>
      </c>
      <c r="C19545" s="46">
        <v>4533</v>
      </c>
      <c r="D19545" s="69" t="s">
        <v>29419</v>
      </c>
      <c r="E19545" s="51"/>
      <c r="F19545" s="114" t="str">
        <f>IF(INDEX(I.Facility.P3IDNumber,4533)="","",INDEX(I.Facility.P3IDNumber,4533))</f>
        <v/>
      </c>
      <c r="G19545" s="51"/>
      <c r="H19545" s="46" t="str">
        <f>IF(AND(I.Developer.P3=TRUE,I.Facility.P3FacilityCount&gt;=4533,F19545=""),"Incomplete","Complete")</f>
        <v>Complete</v>
      </c>
      <c r="I19545" s="48" t="s">
        <v>23910</v>
      </c>
    </row>
    <row r="19546" spans="2:9" ht="15" customHeight="1" x14ac:dyDescent="0.25">
      <c r="B19546" s="55" t="s">
        <v>282</v>
      </c>
      <c r="C19546" s="46">
        <v>4534</v>
      </c>
      <c r="D19546" s="69" t="s">
        <v>29419</v>
      </c>
      <c r="E19546" s="51"/>
      <c r="F19546" s="114" t="str">
        <f>IF(INDEX(I.Facility.P3IDNumber,4534)="","",INDEX(I.Facility.P3IDNumber,4534))</f>
        <v/>
      </c>
      <c r="G19546" s="51"/>
      <c r="H19546" s="46" t="str">
        <f>IF(AND(I.Developer.P3=TRUE,I.Facility.P3FacilityCount&gt;=4534,F19546=""),"Incomplete","Complete")</f>
        <v>Complete</v>
      </c>
      <c r="I19546" s="48" t="s">
        <v>23911</v>
      </c>
    </row>
    <row r="19547" spans="2:9" ht="15" customHeight="1" x14ac:dyDescent="0.25">
      <c r="B19547" s="55" t="s">
        <v>282</v>
      </c>
      <c r="C19547" s="46">
        <v>4535</v>
      </c>
      <c r="D19547" s="69" t="s">
        <v>29419</v>
      </c>
      <c r="E19547" s="51"/>
      <c r="F19547" s="114" t="str">
        <f>IF(INDEX(I.Facility.P3IDNumber,4535)="","",INDEX(I.Facility.P3IDNumber,4535))</f>
        <v/>
      </c>
      <c r="G19547" s="51"/>
      <c r="H19547" s="46" t="str">
        <f>IF(AND(I.Developer.P3=TRUE,I.Facility.P3FacilityCount&gt;=4535,F19547=""),"Incomplete","Complete")</f>
        <v>Complete</v>
      </c>
      <c r="I19547" s="48" t="s">
        <v>23912</v>
      </c>
    </row>
    <row r="19548" spans="2:9" ht="15" customHeight="1" x14ac:dyDescent="0.25">
      <c r="B19548" s="55" t="s">
        <v>282</v>
      </c>
      <c r="C19548" s="46">
        <v>4536</v>
      </c>
      <c r="D19548" s="69" t="s">
        <v>29419</v>
      </c>
      <c r="E19548" s="51"/>
      <c r="F19548" s="114" t="str">
        <f>IF(INDEX(I.Facility.P3IDNumber,4536)="","",INDEX(I.Facility.P3IDNumber,4536))</f>
        <v/>
      </c>
      <c r="G19548" s="51"/>
      <c r="H19548" s="46" t="str">
        <f>IF(AND(I.Developer.P3=TRUE,I.Facility.P3FacilityCount&gt;=4536,F19548=""),"Incomplete","Complete")</f>
        <v>Complete</v>
      </c>
      <c r="I19548" s="48" t="s">
        <v>23913</v>
      </c>
    </row>
    <row r="19549" spans="2:9" ht="15" customHeight="1" x14ac:dyDescent="0.25">
      <c r="B19549" s="55" t="s">
        <v>282</v>
      </c>
      <c r="C19549" s="46">
        <v>4537</v>
      </c>
      <c r="D19549" s="69" t="s">
        <v>29419</v>
      </c>
      <c r="E19549" s="51"/>
      <c r="F19549" s="114" t="str">
        <f>IF(INDEX(I.Facility.P3IDNumber,4537)="","",INDEX(I.Facility.P3IDNumber,4537))</f>
        <v/>
      </c>
      <c r="G19549" s="51"/>
      <c r="H19549" s="46" t="str">
        <f>IF(AND(I.Developer.P3=TRUE,I.Facility.P3FacilityCount&gt;=4537,F19549=""),"Incomplete","Complete")</f>
        <v>Complete</v>
      </c>
      <c r="I19549" s="48" t="s">
        <v>23914</v>
      </c>
    </row>
    <row r="19550" spans="2:9" ht="15" customHeight="1" x14ac:dyDescent="0.25">
      <c r="B19550" s="55" t="s">
        <v>282</v>
      </c>
      <c r="C19550" s="46">
        <v>4538</v>
      </c>
      <c r="D19550" s="69" t="s">
        <v>29419</v>
      </c>
      <c r="E19550" s="51"/>
      <c r="F19550" s="114" t="str">
        <f>IF(INDEX(I.Facility.P3IDNumber,4538)="","",INDEX(I.Facility.P3IDNumber,4538))</f>
        <v/>
      </c>
      <c r="G19550" s="51"/>
      <c r="H19550" s="46" t="str">
        <f>IF(AND(I.Developer.P3=TRUE,I.Facility.P3FacilityCount&gt;=4538,F19550=""),"Incomplete","Complete")</f>
        <v>Complete</v>
      </c>
      <c r="I19550" s="48" t="s">
        <v>23915</v>
      </c>
    </row>
    <row r="19551" spans="2:9" ht="15" customHeight="1" x14ac:dyDescent="0.25">
      <c r="B19551" s="55" t="s">
        <v>282</v>
      </c>
      <c r="C19551" s="46">
        <v>4539</v>
      </c>
      <c r="D19551" s="69" t="s">
        <v>29419</v>
      </c>
      <c r="E19551" s="51"/>
      <c r="F19551" s="114" t="str">
        <f>IF(INDEX(I.Facility.P3IDNumber,4539)="","",INDEX(I.Facility.P3IDNumber,4539))</f>
        <v/>
      </c>
      <c r="G19551" s="51"/>
      <c r="H19551" s="46" t="str">
        <f>IF(AND(I.Developer.P3=TRUE,I.Facility.P3FacilityCount&gt;=4539,F19551=""),"Incomplete","Complete")</f>
        <v>Complete</v>
      </c>
      <c r="I19551" s="48" t="s">
        <v>23916</v>
      </c>
    </row>
    <row r="19552" spans="2:9" ht="15" customHeight="1" x14ac:dyDescent="0.25">
      <c r="B19552" s="55" t="s">
        <v>282</v>
      </c>
      <c r="C19552" s="46">
        <v>4540</v>
      </c>
      <c r="D19552" s="69" t="s">
        <v>29419</v>
      </c>
      <c r="E19552" s="51"/>
      <c r="F19552" s="114" t="str">
        <f>IF(INDEX(I.Facility.P3IDNumber,4540)="","",INDEX(I.Facility.P3IDNumber,4540))</f>
        <v/>
      </c>
      <c r="G19552" s="51"/>
      <c r="H19552" s="46" t="str">
        <f>IF(AND(I.Developer.P3=TRUE,I.Facility.P3FacilityCount&gt;=4540,F19552=""),"Incomplete","Complete")</f>
        <v>Complete</v>
      </c>
      <c r="I19552" s="48" t="s">
        <v>23917</v>
      </c>
    </row>
    <row r="19553" spans="2:9" ht="15" customHeight="1" x14ac:dyDescent="0.25">
      <c r="B19553" s="55" t="s">
        <v>282</v>
      </c>
      <c r="C19553" s="46">
        <v>4541</v>
      </c>
      <c r="D19553" s="69" t="s">
        <v>29419</v>
      </c>
      <c r="E19553" s="51"/>
      <c r="F19553" s="114" t="str">
        <f>IF(INDEX(I.Facility.P3IDNumber,4541)="","",INDEX(I.Facility.P3IDNumber,4541))</f>
        <v/>
      </c>
      <c r="G19553" s="51"/>
      <c r="H19553" s="46" t="str">
        <f>IF(AND(I.Developer.P3=TRUE,I.Facility.P3FacilityCount&gt;=4541,F19553=""),"Incomplete","Complete")</f>
        <v>Complete</v>
      </c>
      <c r="I19553" s="48" t="s">
        <v>23918</v>
      </c>
    </row>
    <row r="19554" spans="2:9" ht="15" customHeight="1" x14ac:dyDescent="0.25">
      <c r="B19554" s="55" t="s">
        <v>282</v>
      </c>
      <c r="C19554" s="46">
        <v>4542</v>
      </c>
      <c r="D19554" s="69" t="s">
        <v>29419</v>
      </c>
      <c r="E19554" s="51"/>
      <c r="F19554" s="114" t="str">
        <f>IF(INDEX(I.Facility.P3IDNumber,4542)="","",INDEX(I.Facility.P3IDNumber,4542))</f>
        <v/>
      </c>
      <c r="G19554" s="51"/>
      <c r="H19554" s="46" t="str">
        <f>IF(AND(I.Developer.P3=TRUE,I.Facility.P3FacilityCount&gt;=4542,F19554=""),"Incomplete","Complete")</f>
        <v>Complete</v>
      </c>
      <c r="I19554" s="48" t="s">
        <v>23919</v>
      </c>
    </row>
    <row r="19555" spans="2:9" ht="15" customHeight="1" x14ac:dyDescent="0.25">
      <c r="B19555" s="55" t="s">
        <v>282</v>
      </c>
      <c r="C19555" s="46">
        <v>4543</v>
      </c>
      <c r="D19555" s="69" t="s">
        <v>29419</v>
      </c>
      <c r="E19555" s="51"/>
      <c r="F19555" s="114" t="str">
        <f>IF(INDEX(I.Facility.P3IDNumber,4543)="","",INDEX(I.Facility.P3IDNumber,4543))</f>
        <v/>
      </c>
      <c r="G19555" s="51"/>
      <c r="H19555" s="46" t="str">
        <f>IF(AND(I.Developer.P3=TRUE,I.Facility.P3FacilityCount&gt;=4543,F19555=""),"Incomplete","Complete")</f>
        <v>Complete</v>
      </c>
      <c r="I19555" s="48" t="s">
        <v>23920</v>
      </c>
    </row>
    <row r="19556" spans="2:9" ht="15" customHeight="1" x14ac:dyDescent="0.25">
      <c r="B19556" s="55" t="s">
        <v>282</v>
      </c>
      <c r="C19556" s="46">
        <v>4544</v>
      </c>
      <c r="D19556" s="69" t="s">
        <v>29419</v>
      </c>
      <c r="E19556" s="51"/>
      <c r="F19556" s="114" t="str">
        <f>IF(INDEX(I.Facility.P3IDNumber,4544)="","",INDEX(I.Facility.P3IDNumber,4544))</f>
        <v/>
      </c>
      <c r="G19556" s="51"/>
      <c r="H19556" s="46" t="str">
        <f>IF(AND(I.Developer.P3=TRUE,I.Facility.P3FacilityCount&gt;=4544,F19556=""),"Incomplete","Complete")</f>
        <v>Complete</v>
      </c>
      <c r="I19556" s="48" t="s">
        <v>23921</v>
      </c>
    </row>
    <row r="19557" spans="2:9" ht="15" customHeight="1" x14ac:dyDescent="0.25">
      <c r="B19557" s="55" t="s">
        <v>282</v>
      </c>
      <c r="C19557" s="46">
        <v>4545</v>
      </c>
      <c r="D19557" s="69" t="s">
        <v>29419</v>
      </c>
      <c r="E19557" s="51"/>
      <c r="F19557" s="114" t="str">
        <f>IF(INDEX(I.Facility.P3IDNumber,4545)="","",INDEX(I.Facility.P3IDNumber,4545))</f>
        <v/>
      </c>
      <c r="G19557" s="51"/>
      <c r="H19557" s="46" t="str">
        <f>IF(AND(I.Developer.P3=TRUE,I.Facility.P3FacilityCount&gt;=4545,F19557=""),"Incomplete","Complete")</f>
        <v>Complete</v>
      </c>
      <c r="I19557" s="48" t="s">
        <v>23922</v>
      </c>
    </row>
    <row r="19558" spans="2:9" ht="15" customHeight="1" x14ac:dyDescent="0.25">
      <c r="B19558" s="55" t="s">
        <v>282</v>
      </c>
      <c r="C19558" s="46">
        <v>4546</v>
      </c>
      <c r="D19558" s="69" t="s">
        <v>29419</v>
      </c>
      <c r="E19558" s="51"/>
      <c r="F19558" s="114" t="str">
        <f>IF(INDEX(I.Facility.P3IDNumber,4546)="","",INDEX(I.Facility.P3IDNumber,4546))</f>
        <v/>
      </c>
      <c r="G19558" s="51"/>
      <c r="H19558" s="46" t="str">
        <f>IF(AND(I.Developer.P3=TRUE,I.Facility.P3FacilityCount&gt;=4546,F19558=""),"Incomplete","Complete")</f>
        <v>Complete</v>
      </c>
      <c r="I19558" s="48" t="s">
        <v>23923</v>
      </c>
    </row>
    <row r="19559" spans="2:9" ht="15" customHeight="1" x14ac:dyDescent="0.25">
      <c r="B19559" s="55" t="s">
        <v>282</v>
      </c>
      <c r="C19559" s="46">
        <v>4547</v>
      </c>
      <c r="D19559" s="69" t="s">
        <v>29419</v>
      </c>
      <c r="E19559" s="51"/>
      <c r="F19559" s="114" t="str">
        <f>IF(INDEX(I.Facility.P3IDNumber,4547)="","",INDEX(I.Facility.P3IDNumber,4547))</f>
        <v/>
      </c>
      <c r="G19559" s="51"/>
      <c r="H19559" s="46" t="str">
        <f>IF(AND(I.Developer.P3=TRUE,I.Facility.P3FacilityCount&gt;=4547,F19559=""),"Incomplete","Complete")</f>
        <v>Complete</v>
      </c>
      <c r="I19559" s="48" t="s">
        <v>23924</v>
      </c>
    </row>
    <row r="19560" spans="2:9" ht="15" customHeight="1" x14ac:dyDescent="0.25">
      <c r="B19560" s="55" t="s">
        <v>282</v>
      </c>
      <c r="C19560" s="46">
        <v>4548</v>
      </c>
      <c r="D19560" s="69" t="s">
        <v>29419</v>
      </c>
      <c r="E19560" s="51"/>
      <c r="F19560" s="114" t="str">
        <f>IF(INDEX(I.Facility.P3IDNumber,4548)="","",INDEX(I.Facility.P3IDNumber,4548))</f>
        <v/>
      </c>
      <c r="G19560" s="51"/>
      <c r="H19560" s="46" t="str">
        <f>IF(AND(I.Developer.P3=TRUE,I.Facility.P3FacilityCount&gt;=4548,F19560=""),"Incomplete","Complete")</f>
        <v>Complete</v>
      </c>
      <c r="I19560" s="48" t="s">
        <v>23925</v>
      </c>
    </row>
    <row r="19561" spans="2:9" ht="15" customHeight="1" x14ac:dyDescent="0.25">
      <c r="B19561" s="55" t="s">
        <v>282</v>
      </c>
      <c r="C19561" s="46">
        <v>4549</v>
      </c>
      <c r="D19561" s="69" t="s">
        <v>29419</v>
      </c>
      <c r="E19561" s="51"/>
      <c r="F19561" s="114" t="str">
        <f>IF(INDEX(I.Facility.P3IDNumber,4549)="","",INDEX(I.Facility.P3IDNumber,4549))</f>
        <v/>
      </c>
      <c r="G19561" s="51"/>
      <c r="H19561" s="46" t="str">
        <f>IF(AND(I.Developer.P3=TRUE,I.Facility.P3FacilityCount&gt;=4549,F19561=""),"Incomplete","Complete")</f>
        <v>Complete</v>
      </c>
      <c r="I19561" s="48" t="s">
        <v>23926</v>
      </c>
    </row>
    <row r="19562" spans="2:9" ht="15" customHeight="1" x14ac:dyDescent="0.25">
      <c r="B19562" s="55" t="s">
        <v>282</v>
      </c>
      <c r="C19562" s="46">
        <v>4550</v>
      </c>
      <c r="D19562" s="69" t="s">
        <v>29419</v>
      </c>
      <c r="E19562" s="51"/>
      <c r="F19562" s="114" t="str">
        <f>IF(INDEX(I.Facility.P3IDNumber,4550)="","",INDEX(I.Facility.P3IDNumber,4550))</f>
        <v/>
      </c>
      <c r="G19562" s="51"/>
      <c r="H19562" s="46" t="str">
        <f>IF(AND(I.Developer.P3=TRUE,I.Facility.P3FacilityCount&gt;=4550,F19562=""),"Incomplete","Complete")</f>
        <v>Complete</v>
      </c>
      <c r="I19562" s="48" t="s">
        <v>23927</v>
      </c>
    </row>
    <row r="19563" spans="2:9" ht="15" customHeight="1" x14ac:dyDescent="0.25">
      <c r="B19563" s="55" t="s">
        <v>282</v>
      </c>
      <c r="C19563" s="46">
        <v>4551</v>
      </c>
      <c r="D19563" s="69" t="s">
        <v>29419</v>
      </c>
      <c r="E19563" s="51"/>
      <c r="F19563" s="114" t="str">
        <f>IF(INDEX(I.Facility.P3IDNumber,4551)="","",INDEX(I.Facility.P3IDNumber,4551))</f>
        <v/>
      </c>
      <c r="G19563" s="51"/>
      <c r="H19563" s="46" t="str">
        <f>IF(AND(I.Developer.P3=TRUE,I.Facility.P3FacilityCount&gt;=4551,F19563=""),"Incomplete","Complete")</f>
        <v>Complete</v>
      </c>
      <c r="I19563" s="48" t="s">
        <v>23928</v>
      </c>
    </row>
    <row r="19564" spans="2:9" ht="15" customHeight="1" x14ac:dyDescent="0.25">
      <c r="B19564" s="55" t="s">
        <v>282</v>
      </c>
      <c r="C19564" s="46">
        <v>4552</v>
      </c>
      <c r="D19564" s="69" t="s">
        <v>29419</v>
      </c>
      <c r="E19564" s="51"/>
      <c r="F19564" s="114" t="str">
        <f>IF(INDEX(I.Facility.P3IDNumber,4552)="","",INDEX(I.Facility.P3IDNumber,4552))</f>
        <v/>
      </c>
      <c r="G19564" s="51"/>
      <c r="H19564" s="46" t="str">
        <f>IF(AND(I.Developer.P3=TRUE,I.Facility.P3FacilityCount&gt;=4552,F19564=""),"Incomplete","Complete")</f>
        <v>Complete</v>
      </c>
      <c r="I19564" s="48" t="s">
        <v>23929</v>
      </c>
    </row>
    <row r="19565" spans="2:9" ht="15" customHeight="1" x14ac:dyDescent="0.25">
      <c r="B19565" s="55" t="s">
        <v>282</v>
      </c>
      <c r="C19565" s="46">
        <v>4553</v>
      </c>
      <c r="D19565" s="69" t="s">
        <v>29419</v>
      </c>
      <c r="E19565" s="51"/>
      <c r="F19565" s="114" t="str">
        <f>IF(INDEX(I.Facility.P3IDNumber,4553)="","",INDEX(I.Facility.P3IDNumber,4553))</f>
        <v/>
      </c>
      <c r="G19565" s="51"/>
      <c r="H19565" s="46" t="str">
        <f>IF(AND(I.Developer.P3=TRUE,I.Facility.P3FacilityCount&gt;=4553,F19565=""),"Incomplete","Complete")</f>
        <v>Complete</v>
      </c>
      <c r="I19565" s="48" t="s">
        <v>23930</v>
      </c>
    </row>
    <row r="19566" spans="2:9" ht="15" customHeight="1" x14ac:dyDescent="0.25">
      <c r="B19566" s="55" t="s">
        <v>282</v>
      </c>
      <c r="C19566" s="46">
        <v>4554</v>
      </c>
      <c r="D19566" s="69" t="s">
        <v>29419</v>
      </c>
      <c r="E19566" s="51"/>
      <c r="F19566" s="114" t="str">
        <f>IF(INDEX(I.Facility.P3IDNumber,4554)="","",INDEX(I.Facility.P3IDNumber,4554))</f>
        <v/>
      </c>
      <c r="G19566" s="51"/>
      <c r="H19566" s="46" t="str">
        <f>IF(AND(I.Developer.P3=TRUE,I.Facility.P3FacilityCount&gt;=4554,F19566=""),"Incomplete","Complete")</f>
        <v>Complete</v>
      </c>
      <c r="I19566" s="48" t="s">
        <v>23931</v>
      </c>
    </row>
    <row r="19567" spans="2:9" ht="15" customHeight="1" x14ac:dyDescent="0.25">
      <c r="B19567" s="55" t="s">
        <v>282</v>
      </c>
      <c r="C19567" s="46">
        <v>4555</v>
      </c>
      <c r="D19567" s="69" t="s">
        <v>29419</v>
      </c>
      <c r="E19567" s="51"/>
      <c r="F19567" s="114" t="str">
        <f>IF(INDEX(I.Facility.P3IDNumber,4555)="","",INDEX(I.Facility.P3IDNumber,4555))</f>
        <v/>
      </c>
      <c r="G19567" s="51"/>
      <c r="H19567" s="46" t="str">
        <f>IF(AND(I.Developer.P3=TRUE,I.Facility.P3FacilityCount&gt;=4555,F19567=""),"Incomplete","Complete")</f>
        <v>Complete</v>
      </c>
      <c r="I19567" s="48" t="s">
        <v>23932</v>
      </c>
    </row>
    <row r="19568" spans="2:9" ht="15" customHeight="1" x14ac:dyDescent="0.25">
      <c r="B19568" s="55" t="s">
        <v>282</v>
      </c>
      <c r="C19568" s="46">
        <v>4556</v>
      </c>
      <c r="D19568" s="69" t="s">
        <v>29419</v>
      </c>
      <c r="E19568" s="51"/>
      <c r="F19568" s="114" t="str">
        <f>IF(INDEX(I.Facility.P3IDNumber,4556)="","",INDEX(I.Facility.P3IDNumber,4556))</f>
        <v/>
      </c>
      <c r="G19568" s="51"/>
      <c r="H19568" s="46" t="str">
        <f>IF(AND(I.Developer.P3=TRUE,I.Facility.P3FacilityCount&gt;=4556,F19568=""),"Incomplete","Complete")</f>
        <v>Complete</v>
      </c>
      <c r="I19568" s="48" t="s">
        <v>23933</v>
      </c>
    </row>
    <row r="19569" spans="2:9" ht="15" customHeight="1" x14ac:dyDescent="0.25">
      <c r="B19569" s="55" t="s">
        <v>282</v>
      </c>
      <c r="C19569" s="46">
        <v>4557</v>
      </c>
      <c r="D19569" s="69" t="s">
        <v>29419</v>
      </c>
      <c r="E19569" s="51"/>
      <c r="F19569" s="114" t="str">
        <f>IF(INDEX(I.Facility.P3IDNumber,4557)="","",INDEX(I.Facility.P3IDNumber,4557))</f>
        <v/>
      </c>
      <c r="G19569" s="51"/>
      <c r="H19569" s="46" t="str">
        <f>IF(AND(I.Developer.P3=TRUE,I.Facility.P3FacilityCount&gt;=4557,F19569=""),"Incomplete","Complete")</f>
        <v>Complete</v>
      </c>
      <c r="I19569" s="48" t="s">
        <v>23934</v>
      </c>
    </row>
    <row r="19570" spans="2:9" ht="15" customHeight="1" x14ac:dyDescent="0.25">
      <c r="B19570" s="55" t="s">
        <v>282</v>
      </c>
      <c r="C19570" s="46">
        <v>4558</v>
      </c>
      <c r="D19570" s="69" t="s">
        <v>29419</v>
      </c>
      <c r="E19570" s="51"/>
      <c r="F19570" s="114" t="str">
        <f>IF(INDEX(I.Facility.P3IDNumber,4558)="","",INDEX(I.Facility.P3IDNumber,4558))</f>
        <v/>
      </c>
      <c r="G19570" s="51"/>
      <c r="H19570" s="46" t="str">
        <f>IF(AND(I.Developer.P3=TRUE,I.Facility.P3FacilityCount&gt;=4558,F19570=""),"Incomplete","Complete")</f>
        <v>Complete</v>
      </c>
      <c r="I19570" s="48" t="s">
        <v>23935</v>
      </c>
    </row>
    <row r="19571" spans="2:9" ht="15" customHeight="1" x14ac:dyDescent="0.25">
      <c r="B19571" s="55" t="s">
        <v>282</v>
      </c>
      <c r="C19571" s="46">
        <v>4559</v>
      </c>
      <c r="D19571" s="69" t="s">
        <v>29419</v>
      </c>
      <c r="E19571" s="51"/>
      <c r="F19571" s="114" t="str">
        <f>IF(INDEX(I.Facility.P3IDNumber,4559)="","",INDEX(I.Facility.P3IDNumber,4559))</f>
        <v/>
      </c>
      <c r="G19571" s="51"/>
      <c r="H19571" s="46" t="str">
        <f>IF(AND(I.Developer.P3=TRUE,I.Facility.P3FacilityCount&gt;=4559,F19571=""),"Incomplete","Complete")</f>
        <v>Complete</v>
      </c>
      <c r="I19571" s="48" t="s">
        <v>23936</v>
      </c>
    </row>
    <row r="19572" spans="2:9" ht="15" customHeight="1" x14ac:dyDescent="0.25">
      <c r="B19572" s="55" t="s">
        <v>282</v>
      </c>
      <c r="C19572" s="46">
        <v>4560</v>
      </c>
      <c r="D19572" s="69" t="s">
        <v>29419</v>
      </c>
      <c r="E19572" s="51"/>
      <c r="F19572" s="114" t="str">
        <f>IF(INDEX(I.Facility.P3IDNumber,4560)="","",INDEX(I.Facility.P3IDNumber,4560))</f>
        <v/>
      </c>
      <c r="G19572" s="51"/>
      <c r="H19572" s="46" t="str">
        <f>IF(AND(I.Developer.P3=TRUE,I.Facility.P3FacilityCount&gt;=4560,F19572=""),"Incomplete","Complete")</f>
        <v>Complete</v>
      </c>
      <c r="I19572" s="48" t="s">
        <v>23937</v>
      </c>
    </row>
    <row r="19573" spans="2:9" ht="15" customHeight="1" x14ac:dyDescent="0.25">
      <c r="B19573" s="55" t="s">
        <v>282</v>
      </c>
      <c r="C19573" s="46">
        <v>4561</v>
      </c>
      <c r="D19573" s="69" t="s">
        <v>29419</v>
      </c>
      <c r="E19573" s="51"/>
      <c r="F19573" s="114" t="str">
        <f>IF(INDEX(I.Facility.P3IDNumber,4561)="","",INDEX(I.Facility.P3IDNumber,4561))</f>
        <v/>
      </c>
      <c r="G19573" s="51"/>
      <c r="H19573" s="46" t="str">
        <f>IF(AND(I.Developer.P3=TRUE,I.Facility.P3FacilityCount&gt;=4561,F19573=""),"Incomplete","Complete")</f>
        <v>Complete</v>
      </c>
      <c r="I19573" s="48" t="s">
        <v>23938</v>
      </c>
    </row>
    <row r="19574" spans="2:9" ht="15" customHeight="1" x14ac:dyDescent="0.25">
      <c r="B19574" s="55" t="s">
        <v>282</v>
      </c>
      <c r="C19574" s="46">
        <v>4562</v>
      </c>
      <c r="D19574" s="69" t="s">
        <v>29419</v>
      </c>
      <c r="E19574" s="51"/>
      <c r="F19574" s="114" t="str">
        <f>IF(INDEX(I.Facility.P3IDNumber,4562)="","",INDEX(I.Facility.P3IDNumber,4562))</f>
        <v/>
      </c>
      <c r="G19574" s="51"/>
      <c r="H19574" s="46" t="str">
        <f>IF(AND(I.Developer.P3=TRUE,I.Facility.P3FacilityCount&gt;=4562,F19574=""),"Incomplete","Complete")</f>
        <v>Complete</v>
      </c>
      <c r="I19574" s="48" t="s">
        <v>23939</v>
      </c>
    </row>
    <row r="19575" spans="2:9" ht="15" customHeight="1" x14ac:dyDescent="0.25">
      <c r="B19575" s="55" t="s">
        <v>282</v>
      </c>
      <c r="C19575" s="46">
        <v>4563</v>
      </c>
      <c r="D19575" s="69" t="s">
        <v>29419</v>
      </c>
      <c r="E19575" s="51"/>
      <c r="F19575" s="114" t="str">
        <f>IF(INDEX(I.Facility.P3IDNumber,4563)="","",INDEX(I.Facility.P3IDNumber,4563))</f>
        <v/>
      </c>
      <c r="G19575" s="51"/>
      <c r="H19575" s="46" t="str">
        <f>IF(AND(I.Developer.P3=TRUE,I.Facility.P3FacilityCount&gt;=4563,F19575=""),"Incomplete","Complete")</f>
        <v>Complete</v>
      </c>
      <c r="I19575" s="48" t="s">
        <v>23940</v>
      </c>
    </row>
    <row r="19576" spans="2:9" ht="15" customHeight="1" x14ac:dyDescent="0.25">
      <c r="B19576" s="55" t="s">
        <v>282</v>
      </c>
      <c r="C19576" s="46">
        <v>4564</v>
      </c>
      <c r="D19576" s="69" t="s">
        <v>29419</v>
      </c>
      <c r="E19576" s="51"/>
      <c r="F19576" s="114" t="str">
        <f>IF(INDEX(I.Facility.P3IDNumber,4564)="","",INDEX(I.Facility.P3IDNumber,4564))</f>
        <v/>
      </c>
      <c r="G19576" s="51"/>
      <c r="H19576" s="46" t="str">
        <f>IF(AND(I.Developer.P3=TRUE,I.Facility.P3FacilityCount&gt;=4564,F19576=""),"Incomplete","Complete")</f>
        <v>Complete</v>
      </c>
      <c r="I19576" s="48" t="s">
        <v>23941</v>
      </c>
    </row>
    <row r="19577" spans="2:9" ht="15" customHeight="1" x14ac:dyDescent="0.25">
      <c r="B19577" s="55" t="s">
        <v>282</v>
      </c>
      <c r="C19577" s="46">
        <v>4565</v>
      </c>
      <c r="D19577" s="69" t="s">
        <v>29419</v>
      </c>
      <c r="E19577" s="51"/>
      <c r="F19577" s="114" t="str">
        <f>IF(INDEX(I.Facility.P3IDNumber,4565)="","",INDEX(I.Facility.P3IDNumber,4565))</f>
        <v/>
      </c>
      <c r="G19577" s="51"/>
      <c r="H19577" s="46" t="str">
        <f>IF(AND(I.Developer.P3=TRUE,I.Facility.P3FacilityCount&gt;=4565,F19577=""),"Incomplete","Complete")</f>
        <v>Complete</v>
      </c>
      <c r="I19577" s="48" t="s">
        <v>23942</v>
      </c>
    </row>
    <row r="19578" spans="2:9" ht="15" customHeight="1" x14ac:dyDescent="0.25">
      <c r="B19578" s="55" t="s">
        <v>282</v>
      </c>
      <c r="C19578" s="46">
        <v>4566</v>
      </c>
      <c r="D19578" s="69" t="s">
        <v>29419</v>
      </c>
      <c r="E19578" s="51"/>
      <c r="F19578" s="114" t="str">
        <f>IF(INDEX(I.Facility.P3IDNumber,4566)="","",INDEX(I.Facility.P3IDNumber,4566))</f>
        <v/>
      </c>
      <c r="G19578" s="51"/>
      <c r="H19578" s="46" t="str">
        <f>IF(AND(I.Developer.P3=TRUE,I.Facility.P3FacilityCount&gt;=4566,F19578=""),"Incomplete","Complete")</f>
        <v>Complete</v>
      </c>
      <c r="I19578" s="48" t="s">
        <v>23943</v>
      </c>
    </row>
    <row r="19579" spans="2:9" ht="15" customHeight="1" x14ac:dyDescent="0.25">
      <c r="B19579" s="55" t="s">
        <v>282</v>
      </c>
      <c r="C19579" s="46">
        <v>4567</v>
      </c>
      <c r="D19579" s="69" t="s">
        <v>29419</v>
      </c>
      <c r="E19579" s="51"/>
      <c r="F19579" s="114" t="str">
        <f>IF(INDEX(I.Facility.P3IDNumber,4567)="","",INDEX(I.Facility.P3IDNumber,4567))</f>
        <v/>
      </c>
      <c r="G19579" s="51"/>
      <c r="H19579" s="46" t="str">
        <f>IF(AND(I.Developer.P3=TRUE,I.Facility.P3FacilityCount&gt;=4567,F19579=""),"Incomplete","Complete")</f>
        <v>Complete</v>
      </c>
      <c r="I19579" s="48" t="s">
        <v>23944</v>
      </c>
    </row>
    <row r="19580" spans="2:9" ht="15" customHeight="1" x14ac:dyDescent="0.25">
      <c r="B19580" s="55" t="s">
        <v>282</v>
      </c>
      <c r="C19580" s="46">
        <v>4568</v>
      </c>
      <c r="D19580" s="69" t="s">
        <v>29419</v>
      </c>
      <c r="E19580" s="51"/>
      <c r="F19580" s="114" t="str">
        <f>IF(INDEX(I.Facility.P3IDNumber,4568)="","",INDEX(I.Facility.P3IDNumber,4568))</f>
        <v/>
      </c>
      <c r="G19580" s="51"/>
      <c r="H19580" s="46" t="str">
        <f>IF(AND(I.Developer.P3=TRUE,I.Facility.P3FacilityCount&gt;=4568,F19580=""),"Incomplete","Complete")</f>
        <v>Complete</v>
      </c>
      <c r="I19580" s="48" t="s">
        <v>23945</v>
      </c>
    </row>
    <row r="19581" spans="2:9" ht="15" customHeight="1" x14ac:dyDescent="0.25">
      <c r="B19581" s="55" t="s">
        <v>282</v>
      </c>
      <c r="C19581" s="46">
        <v>4569</v>
      </c>
      <c r="D19581" s="69" t="s">
        <v>29419</v>
      </c>
      <c r="E19581" s="51"/>
      <c r="F19581" s="114" t="str">
        <f>IF(INDEX(I.Facility.P3IDNumber,4569)="","",INDEX(I.Facility.P3IDNumber,4569))</f>
        <v/>
      </c>
      <c r="G19581" s="51"/>
      <c r="H19581" s="46" t="str">
        <f>IF(AND(I.Developer.P3=TRUE,I.Facility.P3FacilityCount&gt;=4569,F19581=""),"Incomplete","Complete")</f>
        <v>Complete</v>
      </c>
      <c r="I19581" s="48" t="s">
        <v>23946</v>
      </c>
    </row>
    <row r="19582" spans="2:9" ht="15" customHeight="1" x14ac:dyDescent="0.25">
      <c r="B19582" s="55" t="s">
        <v>282</v>
      </c>
      <c r="C19582" s="46">
        <v>4570</v>
      </c>
      <c r="D19582" s="69" t="s">
        <v>29419</v>
      </c>
      <c r="E19582" s="51"/>
      <c r="F19582" s="114" t="str">
        <f>IF(INDEX(I.Facility.P3IDNumber,4570)="","",INDEX(I.Facility.P3IDNumber,4570))</f>
        <v/>
      </c>
      <c r="G19582" s="51"/>
      <c r="H19582" s="46" t="str">
        <f>IF(AND(I.Developer.P3=TRUE,I.Facility.P3FacilityCount&gt;=4570,F19582=""),"Incomplete","Complete")</f>
        <v>Complete</v>
      </c>
      <c r="I19582" s="48" t="s">
        <v>23947</v>
      </c>
    </row>
    <row r="19583" spans="2:9" ht="15" customHeight="1" x14ac:dyDescent="0.25">
      <c r="B19583" s="55" t="s">
        <v>282</v>
      </c>
      <c r="C19583" s="46">
        <v>4571</v>
      </c>
      <c r="D19583" s="69" t="s">
        <v>29419</v>
      </c>
      <c r="E19583" s="51"/>
      <c r="F19583" s="114" t="str">
        <f>IF(INDEX(I.Facility.P3IDNumber,4571)="","",INDEX(I.Facility.P3IDNumber,4571))</f>
        <v/>
      </c>
      <c r="G19583" s="51"/>
      <c r="H19583" s="46" t="str">
        <f>IF(AND(I.Developer.P3=TRUE,I.Facility.P3FacilityCount&gt;=4571,F19583=""),"Incomplete","Complete")</f>
        <v>Complete</v>
      </c>
      <c r="I19583" s="48" t="s">
        <v>23948</v>
      </c>
    </row>
    <row r="19584" spans="2:9" ht="15" customHeight="1" x14ac:dyDescent="0.25">
      <c r="B19584" s="55" t="s">
        <v>282</v>
      </c>
      <c r="C19584" s="46">
        <v>4572</v>
      </c>
      <c r="D19584" s="69" t="s">
        <v>29419</v>
      </c>
      <c r="E19584" s="51"/>
      <c r="F19584" s="114" t="str">
        <f>IF(INDEX(I.Facility.P3IDNumber,4572)="","",INDEX(I.Facility.P3IDNumber,4572))</f>
        <v/>
      </c>
      <c r="G19584" s="51"/>
      <c r="H19584" s="46" t="str">
        <f>IF(AND(I.Developer.P3=TRUE,I.Facility.P3FacilityCount&gt;=4572,F19584=""),"Incomplete","Complete")</f>
        <v>Complete</v>
      </c>
      <c r="I19584" s="48" t="s">
        <v>23949</v>
      </c>
    </row>
    <row r="19585" spans="2:9" ht="15" customHeight="1" x14ac:dyDescent="0.25">
      <c r="B19585" s="55" t="s">
        <v>282</v>
      </c>
      <c r="C19585" s="46">
        <v>4573</v>
      </c>
      <c r="D19585" s="69" t="s">
        <v>29419</v>
      </c>
      <c r="E19585" s="51"/>
      <c r="F19585" s="114" t="str">
        <f>IF(INDEX(I.Facility.P3IDNumber,4573)="","",INDEX(I.Facility.P3IDNumber,4573))</f>
        <v/>
      </c>
      <c r="G19585" s="51"/>
      <c r="H19585" s="46" t="str">
        <f>IF(AND(I.Developer.P3=TRUE,I.Facility.P3FacilityCount&gt;=4573,F19585=""),"Incomplete","Complete")</f>
        <v>Complete</v>
      </c>
      <c r="I19585" s="48" t="s">
        <v>23950</v>
      </c>
    </row>
    <row r="19586" spans="2:9" ht="15" customHeight="1" x14ac:dyDescent="0.25">
      <c r="B19586" s="55" t="s">
        <v>282</v>
      </c>
      <c r="C19586" s="46">
        <v>4574</v>
      </c>
      <c r="D19586" s="69" t="s">
        <v>29419</v>
      </c>
      <c r="E19586" s="51"/>
      <c r="F19586" s="114" t="str">
        <f>IF(INDEX(I.Facility.P3IDNumber,4574)="","",INDEX(I.Facility.P3IDNumber,4574))</f>
        <v/>
      </c>
      <c r="G19586" s="51"/>
      <c r="H19586" s="46" t="str">
        <f>IF(AND(I.Developer.P3=TRUE,I.Facility.P3FacilityCount&gt;=4574,F19586=""),"Incomplete","Complete")</f>
        <v>Complete</v>
      </c>
      <c r="I19586" s="48" t="s">
        <v>23951</v>
      </c>
    </row>
    <row r="19587" spans="2:9" ht="15" customHeight="1" x14ac:dyDescent="0.25">
      <c r="B19587" s="55" t="s">
        <v>282</v>
      </c>
      <c r="C19587" s="46">
        <v>4575</v>
      </c>
      <c r="D19587" s="69" t="s">
        <v>29419</v>
      </c>
      <c r="E19587" s="51"/>
      <c r="F19587" s="114" t="str">
        <f>IF(INDEX(I.Facility.P3IDNumber,4575)="","",INDEX(I.Facility.P3IDNumber,4575))</f>
        <v/>
      </c>
      <c r="G19587" s="51"/>
      <c r="H19587" s="46" t="str">
        <f>IF(AND(I.Developer.P3=TRUE,I.Facility.P3FacilityCount&gt;=4575,F19587=""),"Incomplete","Complete")</f>
        <v>Complete</v>
      </c>
      <c r="I19587" s="48" t="s">
        <v>23952</v>
      </c>
    </row>
    <row r="19588" spans="2:9" ht="15" customHeight="1" x14ac:dyDescent="0.25">
      <c r="B19588" s="55" t="s">
        <v>282</v>
      </c>
      <c r="C19588" s="46">
        <v>4576</v>
      </c>
      <c r="D19588" s="69" t="s">
        <v>29419</v>
      </c>
      <c r="E19588" s="51"/>
      <c r="F19588" s="114" t="str">
        <f>IF(INDEX(I.Facility.P3IDNumber,4576)="","",INDEX(I.Facility.P3IDNumber,4576))</f>
        <v/>
      </c>
      <c r="G19588" s="51"/>
      <c r="H19588" s="46" t="str">
        <f>IF(AND(I.Developer.P3=TRUE,I.Facility.P3FacilityCount&gt;=4576,F19588=""),"Incomplete","Complete")</f>
        <v>Complete</v>
      </c>
      <c r="I19588" s="48" t="s">
        <v>23953</v>
      </c>
    </row>
    <row r="19589" spans="2:9" ht="15" customHeight="1" x14ac:dyDescent="0.25">
      <c r="B19589" s="55" t="s">
        <v>282</v>
      </c>
      <c r="C19589" s="46">
        <v>4577</v>
      </c>
      <c r="D19589" s="69" t="s">
        <v>29419</v>
      </c>
      <c r="E19589" s="51"/>
      <c r="F19589" s="114" t="str">
        <f>IF(INDEX(I.Facility.P3IDNumber,4577)="","",INDEX(I.Facility.P3IDNumber,4577))</f>
        <v/>
      </c>
      <c r="G19589" s="51"/>
      <c r="H19589" s="46" t="str">
        <f>IF(AND(I.Developer.P3=TRUE,I.Facility.P3FacilityCount&gt;=4577,F19589=""),"Incomplete","Complete")</f>
        <v>Complete</v>
      </c>
      <c r="I19589" s="48" t="s">
        <v>23954</v>
      </c>
    </row>
    <row r="19590" spans="2:9" ht="15" customHeight="1" x14ac:dyDescent="0.25">
      <c r="B19590" s="55" t="s">
        <v>282</v>
      </c>
      <c r="C19590" s="46">
        <v>4578</v>
      </c>
      <c r="D19590" s="69" t="s">
        <v>29419</v>
      </c>
      <c r="E19590" s="51"/>
      <c r="F19590" s="114" t="str">
        <f>IF(INDEX(I.Facility.P3IDNumber,4578)="","",INDEX(I.Facility.P3IDNumber,4578))</f>
        <v/>
      </c>
      <c r="G19590" s="51"/>
      <c r="H19590" s="46" t="str">
        <f>IF(AND(I.Developer.P3=TRUE,I.Facility.P3FacilityCount&gt;=4578,F19590=""),"Incomplete","Complete")</f>
        <v>Complete</v>
      </c>
      <c r="I19590" s="48" t="s">
        <v>23955</v>
      </c>
    </row>
    <row r="19591" spans="2:9" ht="15" customHeight="1" x14ac:dyDescent="0.25">
      <c r="B19591" s="55" t="s">
        <v>282</v>
      </c>
      <c r="C19591" s="46">
        <v>4579</v>
      </c>
      <c r="D19591" s="69" t="s">
        <v>29419</v>
      </c>
      <c r="E19591" s="51"/>
      <c r="F19591" s="114" t="str">
        <f>IF(INDEX(I.Facility.P3IDNumber,4579)="","",INDEX(I.Facility.P3IDNumber,4579))</f>
        <v/>
      </c>
      <c r="G19591" s="51"/>
      <c r="H19591" s="46" t="str">
        <f>IF(AND(I.Developer.P3=TRUE,I.Facility.P3FacilityCount&gt;=4579,F19591=""),"Incomplete","Complete")</f>
        <v>Complete</v>
      </c>
      <c r="I19591" s="48" t="s">
        <v>23956</v>
      </c>
    </row>
    <row r="19592" spans="2:9" ht="15" customHeight="1" x14ac:dyDescent="0.25">
      <c r="B19592" s="55" t="s">
        <v>282</v>
      </c>
      <c r="C19592" s="46">
        <v>4580</v>
      </c>
      <c r="D19592" s="69" t="s">
        <v>29419</v>
      </c>
      <c r="E19592" s="51"/>
      <c r="F19592" s="114" t="str">
        <f>IF(INDEX(I.Facility.P3IDNumber,4580)="","",INDEX(I.Facility.P3IDNumber,4580))</f>
        <v/>
      </c>
      <c r="G19592" s="51"/>
      <c r="H19592" s="46" t="str">
        <f>IF(AND(I.Developer.P3=TRUE,I.Facility.P3FacilityCount&gt;=4580,F19592=""),"Incomplete","Complete")</f>
        <v>Complete</v>
      </c>
      <c r="I19592" s="48" t="s">
        <v>23957</v>
      </c>
    </row>
    <row r="19593" spans="2:9" ht="15" customHeight="1" x14ac:dyDescent="0.25">
      <c r="B19593" s="55" t="s">
        <v>282</v>
      </c>
      <c r="C19593" s="46">
        <v>4581</v>
      </c>
      <c r="D19593" s="69" t="s">
        <v>29419</v>
      </c>
      <c r="E19593" s="51"/>
      <c r="F19593" s="114" t="str">
        <f>IF(INDEX(I.Facility.P3IDNumber,4581)="","",INDEX(I.Facility.P3IDNumber,4581))</f>
        <v/>
      </c>
      <c r="G19593" s="51"/>
      <c r="H19593" s="46" t="str">
        <f>IF(AND(I.Developer.P3=TRUE,I.Facility.P3FacilityCount&gt;=4581,F19593=""),"Incomplete","Complete")</f>
        <v>Complete</v>
      </c>
      <c r="I19593" s="48" t="s">
        <v>23958</v>
      </c>
    </row>
    <row r="19594" spans="2:9" ht="15" customHeight="1" x14ac:dyDescent="0.25">
      <c r="B19594" s="55" t="s">
        <v>282</v>
      </c>
      <c r="C19594" s="46">
        <v>4582</v>
      </c>
      <c r="D19594" s="69" t="s">
        <v>29419</v>
      </c>
      <c r="E19594" s="51"/>
      <c r="F19594" s="114" t="str">
        <f>IF(INDEX(I.Facility.P3IDNumber,4582)="","",INDEX(I.Facility.P3IDNumber,4582))</f>
        <v/>
      </c>
      <c r="G19594" s="51"/>
      <c r="H19594" s="46" t="str">
        <f>IF(AND(I.Developer.P3=TRUE,I.Facility.P3FacilityCount&gt;=4582,F19594=""),"Incomplete","Complete")</f>
        <v>Complete</v>
      </c>
      <c r="I19594" s="48" t="s">
        <v>23959</v>
      </c>
    </row>
    <row r="19595" spans="2:9" ht="15" customHeight="1" x14ac:dyDescent="0.25">
      <c r="B19595" s="55" t="s">
        <v>282</v>
      </c>
      <c r="C19595" s="46">
        <v>4583</v>
      </c>
      <c r="D19595" s="69" t="s">
        <v>29419</v>
      </c>
      <c r="E19595" s="51"/>
      <c r="F19595" s="114" t="str">
        <f>IF(INDEX(I.Facility.P3IDNumber,4583)="","",INDEX(I.Facility.P3IDNumber,4583))</f>
        <v/>
      </c>
      <c r="G19595" s="51"/>
      <c r="H19595" s="46" t="str">
        <f>IF(AND(I.Developer.P3=TRUE,I.Facility.P3FacilityCount&gt;=4583,F19595=""),"Incomplete","Complete")</f>
        <v>Complete</v>
      </c>
      <c r="I19595" s="48" t="s">
        <v>23960</v>
      </c>
    </row>
    <row r="19596" spans="2:9" ht="15" customHeight="1" x14ac:dyDescent="0.25">
      <c r="B19596" s="55" t="s">
        <v>282</v>
      </c>
      <c r="C19596" s="46">
        <v>4584</v>
      </c>
      <c r="D19596" s="69" t="s">
        <v>29419</v>
      </c>
      <c r="E19596" s="51"/>
      <c r="F19596" s="114" t="str">
        <f>IF(INDEX(I.Facility.P3IDNumber,4584)="","",INDEX(I.Facility.P3IDNumber,4584))</f>
        <v/>
      </c>
      <c r="G19596" s="51"/>
      <c r="H19596" s="46" t="str">
        <f>IF(AND(I.Developer.P3=TRUE,I.Facility.P3FacilityCount&gt;=4584,F19596=""),"Incomplete","Complete")</f>
        <v>Complete</v>
      </c>
      <c r="I19596" s="48" t="s">
        <v>23961</v>
      </c>
    </row>
    <row r="19597" spans="2:9" ht="15" customHeight="1" x14ac:dyDescent="0.25">
      <c r="B19597" s="55" t="s">
        <v>282</v>
      </c>
      <c r="C19597" s="46">
        <v>4585</v>
      </c>
      <c r="D19597" s="69" t="s">
        <v>29419</v>
      </c>
      <c r="E19597" s="51"/>
      <c r="F19597" s="114" t="str">
        <f>IF(INDEX(I.Facility.P3IDNumber,4585)="","",INDEX(I.Facility.P3IDNumber,4585))</f>
        <v/>
      </c>
      <c r="G19597" s="51"/>
      <c r="H19597" s="46" t="str">
        <f>IF(AND(I.Developer.P3=TRUE,I.Facility.P3FacilityCount&gt;=4585,F19597=""),"Incomplete","Complete")</f>
        <v>Complete</v>
      </c>
      <c r="I19597" s="48" t="s">
        <v>23962</v>
      </c>
    </row>
    <row r="19598" spans="2:9" ht="15" customHeight="1" x14ac:dyDescent="0.25">
      <c r="B19598" s="55" t="s">
        <v>282</v>
      </c>
      <c r="C19598" s="46">
        <v>4586</v>
      </c>
      <c r="D19598" s="69" t="s">
        <v>29419</v>
      </c>
      <c r="E19598" s="51"/>
      <c r="F19598" s="114" t="str">
        <f>IF(INDEX(I.Facility.P3IDNumber,4586)="","",INDEX(I.Facility.P3IDNumber,4586))</f>
        <v/>
      </c>
      <c r="G19598" s="51"/>
      <c r="H19598" s="46" t="str">
        <f>IF(AND(I.Developer.P3=TRUE,I.Facility.P3FacilityCount&gt;=4586,F19598=""),"Incomplete","Complete")</f>
        <v>Complete</v>
      </c>
      <c r="I19598" s="48" t="s">
        <v>23963</v>
      </c>
    </row>
    <row r="19599" spans="2:9" ht="15" customHeight="1" x14ac:dyDescent="0.25">
      <c r="B19599" s="55" t="s">
        <v>282</v>
      </c>
      <c r="C19599" s="46">
        <v>4587</v>
      </c>
      <c r="D19599" s="69" t="s">
        <v>29419</v>
      </c>
      <c r="E19599" s="51"/>
      <c r="F19599" s="114" t="str">
        <f>IF(INDEX(I.Facility.P3IDNumber,4587)="","",INDEX(I.Facility.P3IDNumber,4587))</f>
        <v/>
      </c>
      <c r="G19599" s="51"/>
      <c r="H19599" s="46" t="str">
        <f>IF(AND(I.Developer.P3=TRUE,I.Facility.P3FacilityCount&gt;=4587,F19599=""),"Incomplete","Complete")</f>
        <v>Complete</v>
      </c>
      <c r="I19599" s="48" t="s">
        <v>23964</v>
      </c>
    </row>
    <row r="19600" spans="2:9" ht="15" customHeight="1" x14ac:dyDescent="0.25">
      <c r="B19600" s="55" t="s">
        <v>282</v>
      </c>
      <c r="C19600" s="46">
        <v>4588</v>
      </c>
      <c r="D19600" s="69" t="s">
        <v>29419</v>
      </c>
      <c r="E19600" s="51"/>
      <c r="F19600" s="114" t="str">
        <f>IF(INDEX(I.Facility.P3IDNumber,4588)="","",INDEX(I.Facility.P3IDNumber,4588))</f>
        <v/>
      </c>
      <c r="G19600" s="51"/>
      <c r="H19600" s="46" t="str">
        <f>IF(AND(I.Developer.P3=TRUE,I.Facility.P3FacilityCount&gt;=4588,F19600=""),"Incomplete","Complete")</f>
        <v>Complete</v>
      </c>
      <c r="I19600" s="48" t="s">
        <v>23965</v>
      </c>
    </row>
    <row r="19601" spans="2:9" ht="15" customHeight="1" x14ac:dyDescent="0.25">
      <c r="B19601" s="55" t="s">
        <v>282</v>
      </c>
      <c r="C19601" s="46">
        <v>4589</v>
      </c>
      <c r="D19601" s="69" t="s">
        <v>29419</v>
      </c>
      <c r="E19601" s="51"/>
      <c r="F19601" s="114" t="str">
        <f>IF(INDEX(I.Facility.P3IDNumber,4589)="","",INDEX(I.Facility.P3IDNumber,4589))</f>
        <v/>
      </c>
      <c r="G19601" s="51"/>
      <c r="H19601" s="46" t="str">
        <f>IF(AND(I.Developer.P3=TRUE,I.Facility.P3FacilityCount&gt;=4589,F19601=""),"Incomplete","Complete")</f>
        <v>Complete</v>
      </c>
      <c r="I19601" s="48" t="s">
        <v>23966</v>
      </c>
    </row>
    <row r="19602" spans="2:9" ht="15" customHeight="1" x14ac:dyDescent="0.25">
      <c r="B19602" s="55" t="s">
        <v>282</v>
      </c>
      <c r="C19602" s="46">
        <v>4590</v>
      </c>
      <c r="D19602" s="69" t="s">
        <v>29419</v>
      </c>
      <c r="E19602" s="51"/>
      <c r="F19602" s="114" t="str">
        <f>IF(INDEX(I.Facility.P3IDNumber,4590)="","",INDEX(I.Facility.P3IDNumber,4590))</f>
        <v/>
      </c>
      <c r="G19602" s="51"/>
      <c r="H19602" s="46" t="str">
        <f>IF(AND(I.Developer.P3=TRUE,I.Facility.P3FacilityCount&gt;=4590,F19602=""),"Incomplete","Complete")</f>
        <v>Complete</v>
      </c>
      <c r="I19602" s="48" t="s">
        <v>23967</v>
      </c>
    </row>
    <row r="19603" spans="2:9" ht="15" customHeight="1" x14ac:dyDescent="0.25">
      <c r="B19603" s="55" t="s">
        <v>282</v>
      </c>
      <c r="C19603" s="46">
        <v>4591</v>
      </c>
      <c r="D19603" s="69" t="s">
        <v>29419</v>
      </c>
      <c r="E19603" s="51"/>
      <c r="F19603" s="114" t="str">
        <f>IF(INDEX(I.Facility.P3IDNumber,4591)="","",INDEX(I.Facility.P3IDNumber,4591))</f>
        <v/>
      </c>
      <c r="G19603" s="51"/>
      <c r="H19603" s="46" t="str">
        <f>IF(AND(I.Developer.P3=TRUE,I.Facility.P3FacilityCount&gt;=4591,F19603=""),"Incomplete","Complete")</f>
        <v>Complete</v>
      </c>
      <c r="I19603" s="48" t="s">
        <v>23968</v>
      </c>
    </row>
    <row r="19604" spans="2:9" ht="15" customHeight="1" x14ac:dyDescent="0.25">
      <c r="B19604" s="55" t="s">
        <v>282</v>
      </c>
      <c r="C19604" s="46">
        <v>4592</v>
      </c>
      <c r="D19604" s="69" t="s">
        <v>29419</v>
      </c>
      <c r="E19604" s="51"/>
      <c r="F19604" s="114" t="str">
        <f>IF(INDEX(I.Facility.P3IDNumber,4592)="","",INDEX(I.Facility.P3IDNumber,4592))</f>
        <v/>
      </c>
      <c r="G19604" s="51"/>
      <c r="H19604" s="46" t="str">
        <f>IF(AND(I.Developer.P3=TRUE,I.Facility.P3FacilityCount&gt;=4592,F19604=""),"Incomplete","Complete")</f>
        <v>Complete</v>
      </c>
      <c r="I19604" s="48" t="s">
        <v>23969</v>
      </c>
    </row>
    <row r="19605" spans="2:9" ht="15" customHeight="1" x14ac:dyDescent="0.25">
      <c r="B19605" s="55" t="s">
        <v>282</v>
      </c>
      <c r="C19605" s="46">
        <v>4593</v>
      </c>
      <c r="D19605" s="69" t="s">
        <v>29419</v>
      </c>
      <c r="E19605" s="51"/>
      <c r="F19605" s="114" t="str">
        <f>IF(INDEX(I.Facility.P3IDNumber,4593)="","",INDEX(I.Facility.P3IDNumber,4593))</f>
        <v/>
      </c>
      <c r="G19605" s="51"/>
      <c r="H19605" s="46" t="str">
        <f>IF(AND(I.Developer.P3=TRUE,I.Facility.P3FacilityCount&gt;=4593,F19605=""),"Incomplete","Complete")</f>
        <v>Complete</v>
      </c>
      <c r="I19605" s="48" t="s">
        <v>23970</v>
      </c>
    </row>
    <row r="19606" spans="2:9" ht="15" customHeight="1" x14ac:dyDescent="0.25">
      <c r="B19606" s="55" t="s">
        <v>282</v>
      </c>
      <c r="C19606" s="46">
        <v>4594</v>
      </c>
      <c r="D19606" s="69" t="s">
        <v>29419</v>
      </c>
      <c r="E19606" s="51"/>
      <c r="F19606" s="114" t="str">
        <f>IF(INDEX(I.Facility.P3IDNumber,4594)="","",INDEX(I.Facility.P3IDNumber,4594))</f>
        <v/>
      </c>
      <c r="G19606" s="51"/>
      <c r="H19606" s="46" t="str">
        <f>IF(AND(I.Developer.P3=TRUE,I.Facility.P3FacilityCount&gt;=4594,F19606=""),"Incomplete","Complete")</f>
        <v>Complete</v>
      </c>
      <c r="I19606" s="48" t="s">
        <v>23971</v>
      </c>
    </row>
    <row r="19607" spans="2:9" ht="15" customHeight="1" x14ac:dyDescent="0.25">
      <c r="B19607" s="55" t="s">
        <v>282</v>
      </c>
      <c r="C19607" s="46">
        <v>4595</v>
      </c>
      <c r="D19607" s="69" t="s">
        <v>29419</v>
      </c>
      <c r="E19607" s="51"/>
      <c r="F19607" s="114" t="str">
        <f>IF(INDEX(I.Facility.P3IDNumber,4595)="","",INDEX(I.Facility.P3IDNumber,4595))</f>
        <v/>
      </c>
      <c r="G19607" s="51"/>
      <c r="H19607" s="46" t="str">
        <f>IF(AND(I.Developer.P3=TRUE,I.Facility.P3FacilityCount&gt;=4595,F19607=""),"Incomplete","Complete")</f>
        <v>Complete</v>
      </c>
      <c r="I19607" s="48" t="s">
        <v>23972</v>
      </c>
    </row>
    <row r="19608" spans="2:9" ht="15" customHeight="1" x14ac:dyDescent="0.25">
      <c r="B19608" s="55" t="s">
        <v>282</v>
      </c>
      <c r="C19608" s="46">
        <v>4596</v>
      </c>
      <c r="D19608" s="69" t="s">
        <v>29419</v>
      </c>
      <c r="E19608" s="51"/>
      <c r="F19608" s="114" t="str">
        <f>IF(INDEX(I.Facility.P3IDNumber,4596)="","",INDEX(I.Facility.P3IDNumber,4596))</f>
        <v/>
      </c>
      <c r="G19608" s="51"/>
      <c r="H19608" s="46" t="str">
        <f>IF(AND(I.Developer.P3=TRUE,I.Facility.P3FacilityCount&gt;=4596,F19608=""),"Incomplete","Complete")</f>
        <v>Complete</v>
      </c>
      <c r="I19608" s="48" t="s">
        <v>23973</v>
      </c>
    </row>
    <row r="19609" spans="2:9" ht="15" customHeight="1" x14ac:dyDescent="0.25">
      <c r="B19609" s="55" t="s">
        <v>282</v>
      </c>
      <c r="C19609" s="46">
        <v>4597</v>
      </c>
      <c r="D19609" s="69" t="s">
        <v>29419</v>
      </c>
      <c r="E19609" s="51"/>
      <c r="F19609" s="114" t="str">
        <f>IF(INDEX(I.Facility.P3IDNumber,4597)="","",INDEX(I.Facility.P3IDNumber,4597))</f>
        <v/>
      </c>
      <c r="G19609" s="51"/>
      <c r="H19609" s="46" t="str">
        <f>IF(AND(I.Developer.P3=TRUE,I.Facility.P3FacilityCount&gt;=4597,F19609=""),"Incomplete","Complete")</f>
        <v>Complete</v>
      </c>
      <c r="I19609" s="48" t="s">
        <v>23974</v>
      </c>
    </row>
    <row r="19610" spans="2:9" ht="15" customHeight="1" x14ac:dyDescent="0.25">
      <c r="B19610" s="55" t="s">
        <v>282</v>
      </c>
      <c r="C19610" s="46">
        <v>4598</v>
      </c>
      <c r="D19610" s="69" t="s">
        <v>29419</v>
      </c>
      <c r="E19610" s="51"/>
      <c r="F19610" s="114" t="str">
        <f>IF(INDEX(I.Facility.P3IDNumber,4598)="","",INDEX(I.Facility.P3IDNumber,4598))</f>
        <v/>
      </c>
      <c r="G19610" s="51"/>
      <c r="H19610" s="46" t="str">
        <f>IF(AND(I.Developer.P3=TRUE,I.Facility.P3FacilityCount&gt;=4598,F19610=""),"Incomplete","Complete")</f>
        <v>Complete</v>
      </c>
      <c r="I19610" s="48" t="s">
        <v>23975</v>
      </c>
    </row>
    <row r="19611" spans="2:9" ht="15" customHeight="1" x14ac:dyDescent="0.25">
      <c r="B19611" s="55" t="s">
        <v>282</v>
      </c>
      <c r="C19611" s="46">
        <v>4599</v>
      </c>
      <c r="D19611" s="69" t="s">
        <v>29419</v>
      </c>
      <c r="E19611" s="51"/>
      <c r="F19611" s="114" t="str">
        <f>IF(INDEX(I.Facility.P3IDNumber,4599)="","",INDEX(I.Facility.P3IDNumber,4599))</f>
        <v/>
      </c>
      <c r="G19611" s="51"/>
      <c r="H19611" s="46" t="str">
        <f>IF(AND(I.Developer.P3=TRUE,I.Facility.P3FacilityCount&gt;=4599,F19611=""),"Incomplete","Complete")</f>
        <v>Complete</v>
      </c>
      <c r="I19611" s="48" t="s">
        <v>23976</v>
      </c>
    </row>
    <row r="19612" spans="2:9" ht="15" customHeight="1" x14ac:dyDescent="0.25">
      <c r="B19612" s="55" t="s">
        <v>282</v>
      </c>
      <c r="C19612" s="46">
        <v>4600</v>
      </c>
      <c r="D19612" s="69" t="s">
        <v>29419</v>
      </c>
      <c r="E19612" s="51"/>
      <c r="F19612" s="114" t="str">
        <f>IF(INDEX(I.Facility.P3IDNumber,4600)="","",INDEX(I.Facility.P3IDNumber,4600))</f>
        <v/>
      </c>
      <c r="G19612" s="51"/>
      <c r="H19612" s="46" t="str">
        <f>IF(AND(I.Developer.P3=TRUE,I.Facility.P3FacilityCount&gt;=4600,F19612=""),"Incomplete","Complete")</f>
        <v>Complete</v>
      </c>
      <c r="I19612" s="48" t="s">
        <v>23977</v>
      </c>
    </row>
    <row r="19613" spans="2:9" ht="15" customHeight="1" x14ac:dyDescent="0.25">
      <c r="B19613" s="55" t="s">
        <v>282</v>
      </c>
      <c r="C19613" s="46">
        <v>4601</v>
      </c>
      <c r="D19613" s="69" t="s">
        <v>29419</v>
      </c>
      <c r="E19613" s="51"/>
      <c r="F19613" s="114" t="str">
        <f>IF(INDEX(I.Facility.P3IDNumber,4601)="","",INDEX(I.Facility.P3IDNumber,4601))</f>
        <v/>
      </c>
      <c r="G19613" s="51"/>
      <c r="H19613" s="46" t="str">
        <f>IF(AND(I.Developer.P3=TRUE,I.Facility.P3FacilityCount&gt;=4601,F19613=""),"Incomplete","Complete")</f>
        <v>Complete</v>
      </c>
      <c r="I19613" s="48" t="s">
        <v>23978</v>
      </c>
    </row>
    <row r="19614" spans="2:9" ht="15" customHeight="1" x14ac:dyDescent="0.25">
      <c r="B19614" s="55" t="s">
        <v>282</v>
      </c>
      <c r="C19614" s="46">
        <v>4602</v>
      </c>
      <c r="D19614" s="69" t="s">
        <v>29419</v>
      </c>
      <c r="E19614" s="51"/>
      <c r="F19614" s="114" t="str">
        <f>IF(INDEX(I.Facility.P3IDNumber,4602)="","",INDEX(I.Facility.P3IDNumber,4602))</f>
        <v/>
      </c>
      <c r="G19614" s="51"/>
      <c r="H19614" s="46" t="str">
        <f>IF(AND(I.Developer.P3=TRUE,I.Facility.P3FacilityCount&gt;=4602,F19614=""),"Incomplete","Complete")</f>
        <v>Complete</v>
      </c>
      <c r="I19614" s="48" t="s">
        <v>23979</v>
      </c>
    </row>
    <row r="19615" spans="2:9" ht="15" customHeight="1" x14ac:dyDescent="0.25">
      <c r="B19615" s="55" t="s">
        <v>282</v>
      </c>
      <c r="C19615" s="46">
        <v>4603</v>
      </c>
      <c r="D19615" s="69" t="s">
        <v>29419</v>
      </c>
      <c r="E19615" s="51"/>
      <c r="F19615" s="114" t="str">
        <f>IF(INDEX(I.Facility.P3IDNumber,4603)="","",INDEX(I.Facility.P3IDNumber,4603))</f>
        <v/>
      </c>
      <c r="G19615" s="51"/>
      <c r="H19615" s="46" t="str">
        <f>IF(AND(I.Developer.P3=TRUE,I.Facility.P3FacilityCount&gt;=4603,F19615=""),"Incomplete","Complete")</f>
        <v>Complete</v>
      </c>
      <c r="I19615" s="48" t="s">
        <v>23980</v>
      </c>
    </row>
    <row r="19616" spans="2:9" ht="15" customHeight="1" x14ac:dyDescent="0.25">
      <c r="B19616" s="55" t="s">
        <v>282</v>
      </c>
      <c r="C19616" s="46">
        <v>4604</v>
      </c>
      <c r="D19616" s="69" t="s">
        <v>29419</v>
      </c>
      <c r="E19616" s="51"/>
      <c r="F19616" s="114" t="str">
        <f>IF(INDEX(I.Facility.P3IDNumber,4604)="","",INDEX(I.Facility.P3IDNumber,4604))</f>
        <v/>
      </c>
      <c r="G19616" s="51"/>
      <c r="H19616" s="46" t="str">
        <f>IF(AND(I.Developer.P3=TRUE,I.Facility.P3FacilityCount&gt;=4604,F19616=""),"Incomplete","Complete")</f>
        <v>Complete</v>
      </c>
      <c r="I19616" s="48" t="s">
        <v>23981</v>
      </c>
    </row>
    <row r="19617" spans="2:9" ht="15" customHeight="1" x14ac:dyDescent="0.25">
      <c r="B19617" s="55" t="s">
        <v>282</v>
      </c>
      <c r="C19617" s="46">
        <v>4605</v>
      </c>
      <c r="D19617" s="69" t="s">
        <v>29419</v>
      </c>
      <c r="E19617" s="51"/>
      <c r="F19617" s="114" t="str">
        <f>IF(INDEX(I.Facility.P3IDNumber,4605)="","",INDEX(I.Facility.P3IDNumber,4605))</f>
        <v/>
      </c>
      <c r="G19617" s="51"/>
      <c r="H19617" s="46" t="str">
        <f>IF(AND(I.Developer.P3=TRUE,I.Facility.P3FacilityCount&gt;=4605,F19617=""),"Incomplete","Complete")</f>
        <v>Complete</v>
      </c>
      <c r="I19617" s="48" t="s">
        <v>23982</v>
      </c>
    </row>
    <row r="19618" spans="2:9" ht="15" customHeight="1" x14ac:dyDescent="0.25">
      <c r="B19618" s="55" t="s">
        <v>282</v>
      </c>
      <c r="C19618" s="46">
        <v>4606</v>
      </c>
      <c r="D19618" s="69" t="s">
        <v>29419</v>
      </c>
      <c r="E19618" s="51"/>
      <c r="F19618" s="114" t="str">
        <f>IF(INDEX(I.Facility.P3IDNumber,4606)="","",INDEX(I.Facility.P3IDNumber,4606))</f>
        <v/>
      </c>
      <c r="G19618" s="51"/>
      <c r="H19618" s="46" t="str">
        <f>IF(AND(I.Developer.P3=TRUE,I.Facility.P3FacilityCount&gt;=4606,F19618=""),"Incomplete","Complete")</f>
        <v>Complete</v>
      </c>
      <c r="I19618" s="48" t="s">
        <v>23983</v>
      </c>
    </row>
    <row r="19619" spans="2:9" ht="15" customHeight="1" x14ac:dyDescent="0.25">
      <c r="B19619" s="55" t="s">
        <v>282</v>
      </c>
      <c r="C19619" s="46">
        <v>4607</v>
      </c>
      <c r="D19619" s="69" t="s">
        <v>29419</v>
      </c>
      <c r="E19619" s="51"/>
      <c r="F19619" s="114" t="str">
        <f>IF(INDEX(I.Facility.P3IDNumber,4607)="","",INDEX(I.Facility.P3IDNumber,4607))</f>
        <v/>
      </c>
      <c r="G19619" s="51"/>
      <c r="H19619" s="46" t="str">
        <f>IF(AND(I.Developer.P3=TRUE,I.Facility.P3FacilityCount&gt;=4607,F19619=""),"Incomplete","Complete")</f>
        <v>Complete</v>
      </c>
      <c r="I19619" s="48" t="s">
        <v>23984</v>
      </c>
    </row>
    <row r="19620" spans="2:9" ht="15" customHeight="1" x14ac:dyDescent="0.25">
      <c r="B19620" s="55" t="s">
        <v>282</v>
      </c>
      <c r="C19620" s="46">
        <v>4608</v>
      </c>
      <c r="D19620" s="69" t="s">
        <v>29419</v>
      </c>
      <c r="E19620" s="51"/>
      <c r="F19620" s="114" t="str">
        <f>IF(INDEX(I.Facility.P3IDNumber,4608)="","",INDEX(I.Facility.P3IDNumber,4608))</f>
        <v/>
      </c>
      <c r="G19620" s="51"/>
      <c r="H19620" s="46" t="str">
        <f>IF(AND(I.Developer.P3=TRUE,I.Facility.P3FacilityCount&gt;=4608,F19620=""),"Incomplete","Complete")</f>
        <v>Complete</v>
      </c>
      <c r="I19620" s="48" t="s">
        <v>23985</v>
      </c>
    </row>
    <row r="19621" spans="2:9" ht="15" customHeight="1" x14ac:dyDescent="0.25">
      <c r="B19621" s="55" t="s">
        <v>282</v>
      </c>
      <c r="C19621" s="46">
        <v>4609</v>
      </c>
      <c r="D19621" s="69" t="s">
        <v>29419</v>
      </c>
      <c r="E19621" s="51"/>
      <c r="F19621" s="114" t="str">
        <f>IF(INDEX(I.Facility.P3IDNumber,4609)="","",INDEX(I.Facility.P3IDNumber,4609))</f>
        <v/>
      </c>
      <c r="G19621" s="51"/>
      <c r="H19621" s="46" t="str">
        <f>IF(AND(I.Developer.P3=TRUE,I.Facility.P3FacilityCount&gt;=4609,F19621=""),"Incomplete","Complete")</f>
        <v>Complete</v>
      </c>
      <c r="I19621" s="48" t="s">
        <v>23986</v>
      </c>
    </row>
    <row r="19622" spans="2:9" ht="15" customHeight="1" x14ac:dyDescent="0.25">
      <c r="B19622" s="55" t="s">
        <v>282</v>
      </c>
      <c r="C19622" s="46">
        <v>4610</v>
      </c>
      <c r="D19622" s="69" t="s">
        <v>29419</v>
      </c>
      <c r="E19622" s="51"/>
      <c r="F19622" s="114" t="str">
        <f>IF(INDEX(I.Facility.P3IDNumber,4610)="","",INDEX(I.Facility.P3IDNumber,4610))</f>
        <v/>
      </c>
      <c r="G19622" s="51"/>
      <c r="H19622" s="46" t="str">
        <f>IF(AND(I.Developer.P3=TRUE,I.Facility.P3FacilityCount&gt;=4610,F19622=""),"Incomplete","Complete")</f>
        <v>Complete</v>
      </c>
      <c r="I19622" s="48" t="s">
        <v>23987</v>
      </c>
    </row>
    <row r="19623" spans="2:9" ht="15" customHeight="1" x14ac:dyDescent="0.25">
      <c r="B19623" s="55" t="s">
        <v>282</v>
      </c>
      <c r="C19623" s="46">
        <v>4611</v>
      </c>
      <c r="D19623" s="69" t="s">
        <v>29419</v>
      </c>
      <c r="E19623" s="51"/>
      <c r="F19623" s="114" t="str">
        <f>IF(INDEX(I.Facility.P3IDNumber,4611)="","",INDEX(I.Facility.P3IDNumber,4611))</f>
        <v/>
      </c>
      <c r="G19623" s="51"/>
      <c r="H19623" s="46" t="str">
        <f>IF(AND(I.Developer.P3=TRUE,I.Facility.P3FacilityCount&gt;=4611,F19623=""),"Incomplete","Complete")</f>
        <v>Complete</v>
      </c>
      <c r="I19623" s="48" t="s">
        <v>23988</v>
      </c>
    </row>
    <row r="19624" spans="2:9" ht="15" customHeight="1" x14ac:dyDescent="0.25">
      <c r="B19624" s="55" t="s">
        <v>282</v>
      </c>
      <c r="C19624" s="46">
        <v>4612</v>
      </c>
      <c r="D19624" s="69" t="s">
        <v>29419</v>
      </c>
      <c r="E19624" s="51"/>
      <c r="F19624" s="114" t="str">
        <f>IF(INDEX(I.Facility.P3IDNumber,4612)="","",INDEX(I.Facility.P3IDNumber,4612))</f>
        <v/>
      </c>
      <c r="G19624" s="51"/>
      <c r="H19624" s="46" t="str">
        <f>IF(AND(I.Developer.P3=TRUE,I.Facility.P3FacilityCount&gt;=4612,F19624=""),"Incomplete","Complete")</f>
        <v>Complete</v>
      </c>
      <c r="I19624" s="48" t="s">
        <v>23989</v>
      </c>
    </row>
    <row r="19625" spans="2:9" ht="15" customHeight="1" x14ac:dyDescent="0.25">
      <c r="B19625" s="55" t="s">
        <v>282</v>
      </c>
      <c r="C19625" s="46">
        <v>4613</v>
      </c>
      <c r="D19625" s="69" t="s">
        <v>29419</v>
      </c>
      <c r="E19625" s="51"/>
      <c r="F19625" s="114" t="str">
        <f>IF(INDEX(I.Facility.P3IDNumber,4613)="","",INDEX(I.Facility.P3IDNumber,4613))</f>
        <v/>
      </c>
      <c r="G19625" s="51"/>
      <c r="H19625" s="46" t="str">
        <f>IF(AND(I.Developer.P3=TRUE,I.Facility.P3FacilityCount&gt;=4613,F19625=""),"Incomplete","Complete")</f>
        <v>Complete</v>
      </c>
      <c r="I19625" s="48" t="s">
        <v>23990</v>
      </c>
    </row>
    <row r="19626" spans="2:9" ht="15" customHeight="1" x14ac:dyDescent="0.25">
      <c r="B19626" s="55" t="s">
        <v>282</v>
      </c>
      <c r="C19626" s="46">
        <v>4614</v>
      </c>
      <c r="D19626" s="69" t="s">
        <v>29419</v>
      </c>
      <c r="E19626" s="51"/>
      <c r="F19626" s="114" t="str">
        <f>IF(INDEX(I.Facility.P3IDNumber,4614)="","",INDEX(I.Facility.P3IDNumber,4614))</f>
        <v/>
      </c>
      <c r="G19626" s="51"/>
      <c r="H19626" s="46" t="str">
        <f>IF(AND(I.Developer.P3=TRUE,I.Facility.P3FacilityCount&gt;=4614,F19626=""),"Incomplete","Complete")</f>
        <v>Complete</v>
      </c>
      <c r="I19626" s="48" t="s">
        <v>23991</v>
      </c>
    </row>
    <row r="19627" spans="2:9" ht="15" customHeight="1" x14ac:dyDescent="0.25">
      <c r="B19627" s="55" t="s">
        <v>282</v>
      </c>
      <c r="C19627" s="46">
        <v>4615</v>
      </c>
      <c r="D19627" s="69" t="s">
        <v>29419</v>
      </c>
      <c r="E19627" s="51"/>
      <c r="F19627" s="114" t="str">
        <f>IF(INDEX(I.Facility.P3IDNumber,4615)="","",INDEX(I.Facility.P3IDNumber,4615))</f>
        <v/>
      </c>
      <c r="G19627" s="51"/>
      <c r="H19627" s="46" t="str">
        <f>IF(AND(I.Developer.P3=TRUE,I.Facility.P3FacilityCount&gt;=4615,F19627=""),"Incomplete","Complete")</f>
        <v>Complete</v>
      </c>
      <c r="I19627" s="48" t="s">
        <v>23992</v>
      </c>
    </row>
    <row r="19628" spans="2:9" ht="15" customHeight="1" x14ac:dyDescent="0.25">
      <c r="B19628" s="55" t="s">
        <v>282</v>
      </c>
      <c r="C19628" s="46">
        <v>4616</v>
      </c>
      <c r="D19628" s="69" t="s">
        <v>29419</v>
      </c>
      <c r="E19628" s="51"/>
      <c r="F19628" s="114" t="str">
        <f>IF(INDEX(I.Facility.P3IDNumber,4616)="","",INDEX(I.Facility.P3IDNumber,4616))</f>
        <v/>
      </c>
      <c r="G19628" s="51"/>
      <c r="H19628" s="46" t="str">
        <f>IF(AND(I.Developer.P3=TRUE,I.Facility.P3FacilityCount&gt;=4616,F19628=""),"Incomplete","Complete")</f>
        <v>Complete</v>
      </c>
      <c r="I19628" s="48" t="s">
        <v>23993</v>
      </c>
    </row>
    <row r="19629" spans="2:9" ht="15" customHeight="1" x14ac:dyDescent="0.25">
      <c r="B19629" s="55" t="s">
        <v>282</v>
      </c>
      <c r="C19629" s="46">
        <v>4617</v>
      </c>
      <c r="D19629" s="69" t="s">
        <v>29419</v>
      </c>
      <c r="E19629" s="51"/>
      <c r="F19629" s="114" t="str">
        <f>IF(INDEX(I.Facility.P3IDNumber,4617)="","",INDEX(I.Facility.P3IDNumber,4617))</f>
        <v/>
      </c>
      <c r="G19629" s="51"/>
      <c r="H19629" s="46" t="str">
        <f>IF(AND(I.Developer.P3=TRUE,I.Facility.P3FacilityCount&gt;=4617,F19629=""),"Incomplete","Complete")</f>
        <v>Complete</v>
      </c>
      <c r="I19629" s="48" t="s">
        <v>23994</v>
      </c>
    </row>
    <row r="19630" spans="2:9" ht="15" customHeight="1" x14ac:dyDescent="0.25">
      <c r="B19630" s="55" t="s">
        <v>282</v>
      </c>
      <c r="C19630" s="46">
        <v>4618</v>
      </c>
      <c r="D19630" s="69" t="s">
        <v>29419</v>
      </c>
      <c r="E19630" s="51"/>
      <c r="F19630" s="114" t="str">
        <f>IF(INDEX(I.Facility.P3IDNumber,4618)="","",INDEX(I.Facility.P3IDNumber,4618))</f>
        <v/>
      </c>
      <c r="G19630" s="51"/>
      <c r="H19630" s="46" t="str">
        <f>IF(AND(I.Developer.P3=TRUE,I.Facility.P3FacilityCount&gt;=4618,F19630=""),"Incomplete","Complete")</f>
        <v>Complete</v>
      </c>
      <c r="I19630" s="48" t="s">
        <v>23995</v>
      </c>
    </row>
    <row r="19631" spans="2:9" ht="15" customHeight="1" x14ac:dyDescent="0.25">
      <c r="B19631" s="55" t="s">
        <v>282</v>
      </c>
      <c r="C19631" s="46">
        <v>4619</v>
      </c>
      <c r="D19631" s="69" t="s">
        <v>29419</v>
      </c>
      <c r="E19631" s="51"/>
      <c r="F19631" s="114" t="str">
        <f>IF(INDEX(I.Facility.P3IDNumber,4619)="","",INDEX(I.Facility.P3IDNumber,4619))</f>
        <v/>
      </c>
      <c r="G19631" s="51"/>
      <c r="H19631" s="46" t="str">
        <f>IF(AND(I.Developer.P3=TRUE,I.Facility.P3FacilityCount&gt;=4619,F19631=""),"Incomplete","Complete")</f>
        <v>Complete</v>
      </c>
      <c r="I19631" s="48" t="s">
        <v>23996</v>
      </c>
    </row>
    <row r="19632" spans="2:9" ht="15" customHeight="1" x14ac:dyDescent="0.25">
      <c r="B19632" s="55" t="s">
        <v>282</v>
      </c>
      <c r="C19632" s="46">
        <v>4620</v>
      </c>
      <c r="D19632" s="69" t="s">
        <v>29419</v>
      </c>
      <c r="E19632" s="51"/>
      <c r="F19632" s="114" t="str">
        <f>IF(INDEX(I.Facility.P3IDNumber,4620)="","",INDEX(I.Facility.P3IDNumber,4620))</f>
        <v/>
      </c>
      <c r="G19632" s="51"/>
      <c r="H19632" s="46" t="str">
        <f>IF(AND(I.Developer.P3=TRUE,I.Facility.P3FacilityCount&gt;=4620,F19632=""),"Incomplete","Complete")</f>
        <v>Complete</v>
      </c>
      <c r="I19632" s="48" t="s">
        <v>23997</v>
      </c>
    </row>
    <row r="19633" spans="2:9" ht="15" customHeight="1" x14ac:dyDescent="0.25">
      <c r="B19633" s="55" t="s">
        <v>282</v>
      </c>
      <c r="C19633" s="46">
        <v>4621</v>
      </c>
      <c r="D19633" s="69" t="s">
        <v>29419</v>
      </c>
      <c r="E19633" s="51"/>
      <c r="F19633" s="114" t="str">
        <f>IF(INDEX(I.Facility.P3IDNumber,4621)="","",INDEX(I.Facility.P3IDNumber,4621))</f>
        <v/>
      </c>
      <c r="G19633" s="51"/>
      <c r="H19633" s="46" t="str">
        <f>IF(AND(I.Developer.P3=TRUE,I.Facility.P3FacilityCount&gt;=4621,F19633=""),"Incomplete","Complete")</f>
        <v>Complete</v>
      </c>
      <c r="I19633" s="48" t="s">
        <v>23998</v>
      </c>
    </row>
    <row r="19634" spans="2:9" ht="15" customHeight="1" x14ac:dyDescent="0.25">
      <c r="B19634" s="55" t="s">
        <v>282</v>
      </c>
      <c r="C19634" s="46">
        <v>4622</v>
      </c>
      <c r="D19634" s="69" t="s">
        <v>29419</v>
      </c>
      <c r="E19634" s="51"/>
      <c r="F19634" s="114" t="str">
        <f>IF(INDEX(I.Facility.P3IDNumber,4622)="","",INDEX(I.Facility.P3IDNumber,4622))</f>
        <v/>
      </c>
      <c r="G19634" s="51"/>
      <c r="H19634" s="46" t="str">
        <f>IF(AND(I.Developer.P3=TRUE,I.Facility.P3FacilityCount&gt;=4622,F19634=""),"Incomplete","Complete")</f>
        <v>Complete</v>
      </c>
      <c r="I19634" s="48" t="s">
        <v>23999</v>
      </c>
    </row>
    <row r="19635" spans="2:9" ht="15" customHeight="1" x14ac:dyDescent="0.25">
      <c r="B19635" s="55" t="s">
        <v>282</v>
      </c>
      <c r="C19635" s="46">
        <v>4623</v>
      </c>
      <c r="D19635" s="69" t="s">
        <v>29419</v>
      </c>
      <c r="E19635" s="51"/>
      <c r="F19635" s="114" t="str">
        <f>IF(INDEX(I.Facility.P3IDNumber,4623)="","",INDEX(I.Facility.P3IDNumber,4623))</f>
        <v/>
      </c>
      <c r="G19635" s="51"/>
      <c r="H19635" s="46" t="str">
        <f>IF(AND(I.Developer.P3=TRUE,I.Facility.P3FacilityCount&gt;=4623,F19635=""),"Incomplete","Complete")</f>
        <v>Complete</v>
      </c>
      <c r="I19635" s="48" t="s">
        <v>24000</v>
      </c>
    </row>
    <row r="19636" spans="2:9" ht="15" customHeight="1" x14ac:dyDescent="0.25">
      <c r="B19636" s="55" t="s">
        <v>282</v>
      </c>
      <c r="C19636" s="46">
        <v>4624</v>
      </c>
      <c r="D19636" s="69" t="s">
        <v>29419</v>
      </c>
      <c r="E19636" s="51"/>
      <c r="F19636" s="114" t="str">
        <f>IF(INDEX(I.Facility.P3IDNumber,4624)="","",INDEX(I.Facility.P3IDNumber,4624))</f>
        <v/>
      </c>
      <c r="G19636" s="51"/>
      <c r="H19636" s="46" t="str">
        <f>IF(AND(I.Developer.P3=TRUE,I.Facility.P3FacilityCount&gt;=4624,F19636=""),"Incomplete","Complete")</f>
        <v>Complete</v>
      </c>
      <c r="I19636" s="48" t="s">
        <v>24001</v>
      </c>
    </row>
    <row r="19637" spans="2:9" ht="15" customHeight="1" x14ac:dyDescent="0.25">
      <c r="B19637" s="55" t="s">
        <v>282</v>
      </c>
      <c r="C19637" s="46">
        <v>4625</v>
      </c>
      <c r="D19637" s="69" t="s">
        <v>29419</v>
      </c>
      <c r="E19637" s="51"/>
      <c r="F19637" s="114" t="str">
        <f>IF(INDEX(I.Facility.P3IDNumber,4625)="","",INDEX(I.Facility.P3IDNumber,4625))</f>
        <v/>
      </c>
      <c r="G19637" s="51"/>
      <c r="H19637" s="46" t="str">
        <f>IF(AND(I.Developer.P3=TRUE,I.Facility.P3FacilityCount&gt;=4625,F19637=""),"Incomplete","Complete")</f>
        <v>Complete</v>
      </c>
      <c r="I19637" s="48" t="s">
        <v>24002</v>
      </c>
    </row>
    <row r="19638" spans="2:9" ht="15" customHeight="1" x14ac:dyDescent="0.25">
      <c r="B19638" s="55" t="s">
        <v>282</v>
      </c>
      <c r="C19638" s="46">
        <v>4626</v>
      </c>
      <c r="D19638" s="69" t="s">
        <v>29419</v>
      </c>
      <c r="E19638" s="51"/>
      <c r="F19638" s="114" t="str">
        <f>IF(INDEX(I.Facility.P3IDNumber,4626)="","",INDEX(I.Facility.P3IDNumber,4626))</f>
        <v/>
      </c>
      <c r="G19638" s="51"/>
      <c r="H19638" s="46" t="str">
        <f>IF(AND(I.Developer.P3=TRUE,I.Facility.P3FacilityCount&gt;=4626,F19638=""),"Incomplete","Complete")</f>
        <v>Complete</v>
      </c>
      <c r="I19638" s="48" t="s">
        <v>24003</v>
      </c>
    </row>
    <row r="19639" spans="2:9" ht="15" customHeight="1" x14ac:dyDescent="0.25">
      <c r="B19639" s="55" t="s">
        <v>282</v>
      </c>
      <c r="C19639" s="46">
        <v>4627</v>
      </c>
      <c r="D19639" s="69" t="s">
        <v>29419</v>
      </c>
      <c r="E19639" s="51"/>
      <c r="F19639" s="114" t="str">
        <f>IF(INDEX(I.Facility.P3IDNumber,4627)="","",INDEX(I.Facility.P3IDNumber,4627))</f>
        <v/>
      </c>
      <c r="G19639" s="51"/>
      <c r="H19639" s="46" t="str">
        <f>IF(AND(I.Developer.P3=TRUE,I.Facility.P3FacilityCount&gt;=4627,F19639=""),"Incomplete","Complete")</f>
        <v>Complete</v>
      </c>
      <c r="I19639" s="48" t="s">
        <v>24004</v>
      </c>
    </row>
    <row r="19640" spans="2:9" ht="15" customHeight="1" x14ac:dyDescent="0.25">
      <c r="B19640" s="55" t="s">
        <v>282</v>
      </c>
      <c r="C19640" s="46">
        <v>4628</v>
      </c>
      <c r="D19640" s="69" t="s">
        <v>29419</v>
      </c>
      <c r="E19640" s="51"/>
      <c r="F19640" s="114" t="str">
        <f>IF(INDEX(I.Facility.P3IDNumber,4628)="","",INDEX(I.Facility.P3IDNumber,4628))</f>
        <v/>
      </c>
      <c r="G19640" s="51"/>
      <c r="H19640" s="46" t="str">
        <f>IF(AND(I.Developer.P3=TRUE,I.Facility.P3FacilityCount&gt;=4628,F19640=""),"Incomplete","Complete")</f>
        <v>Complete</v>
      </c>
      <c r="I19640" s="48" t="s">
        <v>24005</v>
      </c>
    </row>
    <row r="19641" spans="2:9" ht="15" customHeight="1" x14ac:dyDescent="0.25">
      <c r="B19641" s="55" t="s">
        <v>282</v>
      </c>
      <c r="C19641" s="46">
        <v>4629</v>
      </c>
      <c r="D19641" s="69" t="s">
        <v>29419</v>
      </c>
      <c r="E19641" s="51"/>
      <c r="F19641" s="114" t="str">
        <f>IF(INDEX(I.Facility.P3IDNumber,4629)="","",INDEX(I.Facility.P3IDNumber,4629))</f>
        <v/>
      </c>
      <c r="G19641" s="51"/>
      <c r="H19641" s="46" t="str">
        <f>IF(AND(I.Developer.P3=TRUE,I.Facility.P3FacilityCount&gt;=4629,F19641=""),"Incomplete","Complete")</f>
        <v>Complete</v>
      </c>
      <c r="I19641" s="48" t="s">
        <v>24006</v>
      </c>
    </row>
    <row r="19642" spans="2:9" ht="15" customHeight="1" x14ac:dyDescent="0.25">
      <c r="B19642" s="55" t="s">
        <v>282</v>
      </c>
      <c r="C19642" s="46">
        <v>4630</v>
      </c>
      <c r="D19642" s="69" t="s">
        <v>29419</v>
      </c>
      <c r="E19642" s="51"/>
      <c r="F19642" s="114" t="str">
        <f>IF(INDEX(I.Facility.P3IDNumber,4630)="","",INDEX(I.Facility.P3IDNumber,4630))</f>
        <v/>
      </c>
      <c r="G19642" s="51"/>
      <c r="H19642" s="46" t="str">
        <f>IF(AND(I.Developer.P3=TRUE,I.Facility.P3FacilityCount&gt;=4630,F19642=""),"Incomplete","Complete")</f>
        <v>Complete</v>
      </c>
      <c r="I19642" s="48" t="s">
        <v>24007</v>
      </c>
    </row>
    <row r="19643" spans="2:9" ht="15" customHeight="1" x14ac:dyDescent="0.25">
      <c r="B19643" s="55" t="s">
        <v>282</v>
      </c>
      <c r="C19643" s="46">
        <v>4631</v>
      </c>
      <c r="D19643" s="69" t="s">
        <v>29419</v>
      </c>
      <c r="E19643" s="51"/>
      <c r="F19643" s="114" t="str">
        <f>IF(INDEX(I.Facility.P3IDNumber,4631)="","",INDEX(I.Facility.P3IDNumber,4631))</f>
        <v/>
      </c>
      <c r="G19643" s="51"/>
      <c r="H19643" s="46" t="str">
        <f>IF(AND(I.Developer.P3=TRUE,I.Facility.P3FacilityCount&gt;=4631,F19643=""),"Incomplete","Complete")</f>
        <v>Complete</v>
      </c>
      <c r="I19643" s="48" t="s">
        <v>24008</v>
      </c>
    </row>
    <row r="19644" spans="2:9" ht="15" customHeight="1" x14ac:dyDescent="0.25">
      <c r="B19644" s="55" t="s">
        <v>282</v>
      </c>
      <c r="C19644" s="46">
        <v>4632</v>
      </c>
      <c r="D19644" s="69" t="s">
        <v>29419</v>
      </c>
      <c r="E19644" s="51"/>
      <c r="F19644" s="114" t="str">
        <f>IF(INDEX(I.Facility.P3IDNumber,4632)="","",INDEX(I.Facility.P3IDNumber,4632))</f>
        <v/>
      </c>
      <c r="G19644" s="51"/>
      <c r="H19644" s="46" t="str">
        <f>IF(AND(I.Developer.P3=TRUE,I.Facility.P3FacilityCount&gt;=4632,F19644=""),"Incomplete","Complete")</f>
        <v>Complete</v>
      </c>
      <c r="I19644" s="48" t="s">
        <v>24009</v>
      </c>
    </row>
    <row r="19645" spans="2:9" ht="15" customHeight="1" x14ac:dyDescent="0.25">
      <c r="B19645" s="55" t="s">
        <v>282</v>
      </c>
      <c r="C19645" s="46">
        <v>4633</v>
      </c>
      <c r="D19645" s="69" t="s">
        <v>29419</v>
      </c>
      <c r="E19645" s="51"/>
      <c r="F19645" s="114" t="str">
        <f>IF(INDEX(I.Facility.P3IDNumber,4633)="","",INDEX(I.Facility.P3IDNumber,4633))</f>
        <v/>
      </c>
      <c r="G19645" s="51"/>
      <c r="H19645" s="46" t="str">
        <f>IF(AND(I.Developer.P3=TRUE,I.Facility.P3FacilityCount&gt;=4633,F19645=""),"Incomplete","Complete")</f>
        <v>Complete</v>
      </c>
      <c r="I19645" s="48" t="s">
        <v>24010</v>
      </c>
    </row>
    <row r="19646" spans="2:9" ht="15" customHeight="1" x14ac:dyDescent="0.25">
      <c r="B19646" s="55" t="s">
        <v>282</v>
      </c>
      <c r="C19646" s="46">
        <v>4634</v>
      </c>
      <c r="D19646" s="69" t="s">
        <v>29419</v>
      </c>
      <c r="E19646" s="51"/>
      <c r="F19646" s="114" t="str">
        <f>IF(INDEX(I.Facility.P3IDNumber,4634)="","",INDEX(I.Facility.P3IDNumber,4634))</f>
        <v/>
      </c>
      <c r="G19646" s="51"/>
      <c r="H19646" s="46" t="str">
        <f>IF(AND(I.Developer.P3=TRUE,I.Facility.P3FacilityCount&gt;=4634,F19646=""),"Incomplete","Complete")</f>
        <v>Complete</v>
      </c>
      <c r="I19646" s="48" t="s">
        <v>24011</v>
      </c>
    </row>
    <row r="19647" spans="2:9" ht="15" customHeight="1" x14ac:dyDescent="0.25">
      <c r="B19647" s="55" t="s">
        <v>282</v>
      </c>
      <c r="C19647" s="46">
        <v>4635</v>
      </c>
      <c r="D19647" s="69" t="s">
        <v>29419</v>
      </c>
      <c r="E19647" s="51"/>
      <c r="F19647" s="114" t="str">
        <f>IF(INDEX(I.Facility.P3IDNumber,4635)="","",INDEX(I.Facility.P3IDNumber,4635))</f>
        <v/>
      </c>
      <c r="G19647" s="51"/>
      <c r="H19647" s="46" t="str">
        <f>IF(AND(I.Developer.P3=TRUE,I.Facility.P3FacilityCount&gt;=4635,F19647=""),"Incomplete","Complete")</f>
        <v>Complete</v>
      </c>
      <c r="I19647" s="48" t="s">
        <v>24012</v>
      </c>
    </row>
    <row r="19648" spans="2:9" ht="15" customHeight="1" x14ac:dyDescent="0.25">
      <c r="B19648" s="55" t="s">
        <v>282</v>
      </c>
      <c r="C19648" s="46">
        <v>4636</v>
      </c>
      <c r="D19648" s="69" t="s">
        <v>29419</v>
      </c>
      <c r="E19648" s="51"/>
      <c r="F19648" s="114" t="str">
        <f>IF(INDEX(I.Facility.P3IDNumber,4636)="","",INDEX(I.Facility.P3IDNumber,4636))</f>
        <v/>
      </c>
      <c r="G19648" s="51"/>
      <c r="H19648" s="46" t="str">
        <f>IF(AND(I.Developer.P3=TRUE,I.Facility.P3FacilityCount&gt;=4636,F19648=""),"Incomplete","Complete")</f>
        <v>Complete</v>
      </c>
      <c r="I19648" s="48" t="s">
        <v>24013</v>
      </c>
    </row>
    <row r="19649" spans="2:9" ht="15" customHeight="1" x14ac:dyDescent="0.25">
      <c r="B19649" s="55" t="s">
        <v>282</v>
      </c>
      <c r="C19649" s="46">
        <v>4637</v>
      </c>
      <c r="D19649" s="69" t="s">
        <v>29419</v>
      </c>
      <c r="E19649" s="51"/>
      <c r="F19649" s="114" t="str">
        <f>IF(INDEX(I.Facility.P3IDNumber,4637)="","",INDEX(I.Facility.P3IDNumber,4637))</f>
        <v/>
      </c>
      <c r="G19649" s="51"/>
      <c r="H19649" s="46" t="str">
        <f>IF(AND(I.Developer.P3=TRUE,I.Facility.P3FacilityCount&gt;=4637,F19649=""),"Incomplete","Complete")</f>
        <v>Complete</v>
      </c>
      <c r="I19649" s="48" t="s">
        <v>24014</v>
      </c>
    </row>
    <row r="19650" spans="2:9" ht="15" customHeight="1" x14ac:dyDescent="0.25">
      <c r="B19650" s="55" t="s">
        <v>282</v>
      </c>
      <c r="C19650" s="46">
        <v>4638</v>
      </c>
      <c r="D19650" s="69" t="s">
        <v>29419</v>
      </c>
      <c r="E19650" s="51"/>
      <c r="F19650" s="114" t="str">
        <f>IF(INDEX(I.Facility.P3IDNumber,4638)="","",INDEX(I.Facility.P3IDNumber,4638))</f>
        <v/>
      </c>
      <c r="G19650" s="51"/>
      <c r="H19650" s="46" t="str">
        <f>IF(AND(I.Developer.P3=TRUE,I.Facility.P3FacilityCount&gt;=4638,F19650=""),"Incomplete","Complete")</f>
        <v>Complete</v>
      </c>
      <c r="I19650" s="48" t="s">
        <v>24015</v>
      </c>
    </row>
    <row r="19651" spans="2:9" ht="15" customHeight="1" x14ac:dyDescent="0.25">
      <c r="B19651" s="55" t="s">
        <v>282</v>
      </c>
      <c r="C19651" s="46">
        <v>4639</v>
      </c>
      <c r="D19651" s="69" t="s">
        <v>29419</v>
      </c>
      <c r="E19651" s="51"/>
      <c r="F19651" s="114" t="str">
        <f>IF(INDEX(I.Facility.P3IDNumber,4639)="","",INDEX(I.Facility.P3IDNumber,4639))</f>
        <v/>
      </c>
      <c r="G19651" s="51"/>
      <c r="H19651" s="46" t="str">
        <f>IF(AND(I.Developer.P3=TRUE,I.Facility.P3FacilityCount&gt;=4639,F19651=""),"Incomplete","Complete")</f>
        <v>Complete</v>
      </c>
      <c r="I19651" s="48" t="s">
        <v>24016</v>
      </c>
    </row>
    <row r="19652" spans="2:9" ht="15" customHeight="1" x14ac:dyDescent="0.25">
      <c r="B19652" s="55" t="s">
        <v>282</v>
      </c>
      <c r="C19652" s="46">
        <v>4640</v>
      </c>
      <c r="D19652" s="69" t="s">
        <v>29419</v>
      </c>
      <c r="E19652" s="51"/>
      <c r="F19652" s="114" t="str">
        <f>IF(INDEX(I.Facility.P3IDNumber,4640)="","",INDEX(I.Facility.P3IDNumber,4640))</f>
        <v/>
      </c>
      <c r="G19652" s="51"/>
      <c r="H19652" s="46" t="str">
        <f>IF(AND(I.Developer.P3=TRUE,I.Facility.P3FacilityCount&gt;=4640,F19652=""),"Incomplete","Complete")</f>
        <v>Complete</v>
      </c>
      <c r="I19652" s="48" t="s">
        <v>24017</v>
      </c>
    </row>
    <row r="19653" spans="2:9" ht="15" customHeight="1" x14ac:dyDescent="0.25">
      <c r="B19653" s="55" t="s">
        <v>282</v>
      </c>
      <c r="C19653" s="46">
        <v>4641</v>
      </c>
      <c r="D19653" s="69" t="s">
        <v>29419</v>
      </c>
      <c r="E19653" s="51"/>
      <c r="F19653" s="114" t="str">
        <f>IF(INDEX(I.Facility.P3IDNumber,4641)="","",INDEX(I.Facility.P3IDNumber,4641))</f>
        <v/>
      </c>
      <c r="G19653" s="51"/>
      <c r="H19653" s="46" t="str">
        <f>IF(AND(I.Developer.P3=TRUE,I.Facility.P3FacilityCount&gt;=4641,F19653=""),"Incomplete","Complete")</f>
        <v>Complete</v>
      </c>
      <c r="I19653" s="48" t="s">
        <v>24018</v>
      </c>
    </row>
    <row r="19654" spans="2:9" ht="15" customHeight="1" x14ac:dyDescent="0.25">
      <c r="B19654" s="55" t="s">
        <v>282</v>
      </c>
      <c r="C19654" s="46">
        <v>4642</v>
      </c>
      <c r="D19654" s="69" t="s">
        <v>29419</v>
      </c>
      <c r="E19654" s="51"/>
      <c r="F19654" s="114" t="str">
        <f>IF(INDEX(I.Facility.P3IDNumber,4642)="","",INDEX(I.Facility.P3IDNumber,4642))</f>
        <v/>
      </c>
      <c r="G19654" s="51"/>
      <c r="H19654" s="46" t="str">
        <f>IF(AND(I.Developer.P3=TRUE,I.Facility.P3FacilityCount&gt;=4642,F19654=""),"Incomplete","Complete")</f>
        <v>Complete</v>
      </c>
      <c r="I19654" s="48" t="s">
        <v>24019</v>
      </c>
    </row>
    <row r="19655" spans="2:9" ht="15" customHeight="1" x14ac:dyDescent="0.25">
      <c r="B19655" s="55" t="s">
        <v>282</v>
      </c>
      <c r="C19655" s="46">
        <v>4643</v>
      </c>
      <c r="D19655" s="69" t="s">
        <v>29419</v>
      </c>
      <c r="E19655" s="51"/>
      <c r="F19655" s="114" t="str">
        <f>IF(INDEX(I.Facility.P3IDNumber,4643)="","",INDEX(I.Facility.P3IDNumber,4643))</f>
        <v/>
      </c>
      <c r="G19655" s="51"/>
      <c r="H19655" s="46" t="str">
        <f>IF(AND(I.Developer.P3=TRUE,I.Facility.P3FacilityCount&gt;=4643,F19655=""),"Incomplete","Complete")</f>
        <v>Complete</v>
      </c>
      <c r="I19655" s="48" t="s">
        <v>24020</v>
      </c>
    </row>
    <row r="19656" spans="2:9" ht="15" customHeight="1" x14ac:dyDescent="0.25">
      <c r="B19656" s="55" t="s">
        <v>282</v>
      </c>
      <c r="C19656" s="46">
        <v>4644</v>
      </c>
      <c r="D19656" s="69" t="s">
        <v>29419</v>
      </c>
      <c r="E19656" s="51"/>
      <c r="F19656" s="114" t="str">
        <f>IF(INDEX(I.Facility.P3IDNumber,4644)="","",INDEX(I.Facility.P3IDNumber,4644))</f>
        <v/>
      </c>
      <c r="G19656" s="51"/>
      <c r="H19656" s="46" t="str">
        <f>IF(AND(I.Developer.P3=TRUE,I.Facility.P3FacilityCount&gt;=4644,F19656=""),"Incomplete","Complete")</f>
        <v>Complete</v>
      </c>
      <c r="I19656" s="48" t="s">
        <v>24021</v>
      </c>
    </row>
    <row r="19657" spans="2:9" ht="15" customHeight="1" x14ac:dyDescent="0.25">
      <c r="B19657" s="55" t="s">
        <v>282</v>
      </c>
      <c r="C19657" s="46">
        <v>4645</v>
      </c>
      <c r="D19657" s="69" t="s">
        <v>29419</v>
      </c>
      <c r="E19657" s="51"/>
      <c r="F19657" s="114" t="str">
        <f>IF(INDEX(I.Facility.P3IDNumber,4645)="","",INDEX(I.Facility.P3IDNumber,4645))</f>
        <v/>
      </c>
      <c r="G19657" s="51"/>
      <c r="H19657" s="46" t="str">
        <f>IF(AND(I.Developer.P3=TRUE,I.Facility.P3FacilityCount&gt;=4645,F19657=""),"Incomplete","Complete")</f>
        <v>Complete</v>
      </c>
      <c r="I19657" s="48" t="s">
        <v>24022</v>
      </c>
    </row>
    <row r="19658" spans="2:9" ht="15" customHeight="1" x14ac:dyDescent="0.25">
      <c r="B19658" s="55" t="s">
        <v>282</v>
      </c>
      <c r="C19658" s="46">
        <v>4646</v>
      </c>
      <c r="D19658" s="69" t="s">
        <v>29419</v>
      </c>
      <c r="E19658" s="51"/>
      <c r="F19658" s="114" t="str">
        <f>IF(INDEX(I.Facility.P3IDNumber,4646)="","",INDEX(I.Facility.P3IDNumber,4646))</f>
        <v/>
      </c>
      <c r="G19658" s="51"/>
      <c r="H19658" s="46" t="str">
        <f>IF(AND(I.Developer.P3=TRUE,I.Facility.P3FacilityCount&gt;=4646,F19658=""),"Incomplete","Complete")</f>
        <v>Complete</v>
      </c>
      <c r="I19658" s="48" t="s">
        <v>24023</v>
      </c>
    </row>
    <row r="19659" spans="2:9" ht="15" customHeight="1" x14ac:dyDescent="0.25">
      <c r="B19659" s="55" t="s">
        <v>282</v>
      </c>
      <c r="C19659" s="46">
        <v>4647</v>
      </c>
      <c r="D19659" s="69" t="s">
        <v>29419</v>
      </c>
      <c r="E19659" s="51"/>
      <c r="F19659" s="114" t="str">
        <f>IF(INDEX(I.Facility.P3IDNumber,4647)="","",INDEX(I.Facility.P3IDNumber,4647))</f>
        <v/>
      </c>
      <c r="G19659" s="51"/>
      <c r="H19659" s="46" t="str">
        <f>IF(AND(I.Developer.P3=TRUE,I.Facility.P3FacilityCount&gt;=4647,F19659=""),"Incomplete","Complete")</f>
        <v>Complete</v>
      </c>
      <c r="I19659" s="48" t="s">
        <v>24024</v>
      </c>
    </row>
    <row r="19660" spans="2:9" ht="15" customHeight="1" x14ac:dyDescent="0.25">
      <c r="B19660" s="55" t="s">
        <v>282</v>
      </c>
      <c r="C19660" s="46">
        <v>4648</v>
      </c>
      <c r="D19660" s="69" t="s">
        <v>29419</v>
      </c>
      <c r="E19660" s="51"/>
      <c r="F19660" s="114" t="str">
        <f>IF(INDEX(I.Facility.P3IDNumber,4648)="","",INDEX(I.Facility.P3IDNumber,4648))</f>
        <v/>
      </c>
      <c r="G19660" s="51"/>
      <c r="H19660" s="46" t="str">
        <f>IF(AND(I.Developer.P3=TRUE,I.Facility.P3FacilityCount&gt;=4648,F19660=""),"Incomplete","Complete")</f>
        <v>Complete</v>
      </c>
      <c r="I19660" s="48" t="s">
        <v>24025</v>
      </c>
    </row>
    <row r="19661" spans="2:9" ht="15" customHeight="1" x14ac:dyDescent="0.25">
      <c r="B19661" s="55" t="s">
        <v>282</v>
      </c>
      <c r="C19661" s="46">
        <v>4649</v>
      </c>
      <c r="D19661" s="69" t="s">
        <v>29419</v>
      </c>
      <c r="E19661" s="51"/>
      <c r="F19661" s="114" t="str">
        <f>IF(INDEX(I.Facility.P3IDNumber,4649)="","",INDEX(I.Facility.P3IDNumber,4649))</f>
        <v/>
      </c>
      <c r="G19661" s="51"/>
      <c r="H19661" s="46" t="str">
        <f>IF(AND(I.Developer.P3=TRUE,I.Facility.P3FacilityCount&gt;=4649,F19661=""),"Incomplete","Complete")</f>
        <v>Complete</v>
      </c>
      <c r="I19661" s="48" t="s">
        <v>24026</v>
      </c>
    </row>
    <row r="19662" spans="2:9" ht="15" customHeight="1" x14ac:dyDescent="0.25">
      <c r="B19662" s="55" t="s">
        <v>282</v>
      </c>
      <c r="C19662" s="46">
        <v>4650</v>
      </c>
      <c r="D19662" s="69" t="s">
        <v>29419</v>
      </c>
      <c r="E19662" s="51"/>
      <c r="F19662" s="114" t="str">
        <f>IF(INDEX(I.Facility.P3IDNumber,4650)="","",INDEX(I.Facility.P3IDNumber,4650))</f>
        <v/>
      </c>
      <c r="G19662" s="51"/>
      <c r="H19662" s="46" t="str">
        <f>IF(AND(I.Developer.P3=TRUE,I.Facility.P3FacilityCount&gt;=4650,F19662=""),"Incomplete","Complete")</f>
        <v>Complete</v>
      </c>
      <c r="I19662" s="48" t="s">
        <v>24027</v>
      </c>
    </row>
    <row r="19663" spans="2:9" ht="15" customHeight="1" x14ac:dyDescent="0.25">
      <c r="B19663" s="55" t="s">
        <v>282</v>
      </c>
      <c r="C19663" s="46">
        <v>4651</v>
      </c>
      <c r="D19663" s="69" t="s">
        <v>29419</v>
      </c>
      <c r="E19663" s="51"/>
      <c r="F19663" s="114" t="str">
        <f>IF(INDEX(I.Facility.P3IDNumber,4651)="","",INDEX(I.Facility.P3IDNumber,4651))</f>
        <v/>
      </c>
      <c r="G19663" s="51"/>
      <c r="H19663" s="46" t="str">
        <f>IF(AND(I.Developer.P3=TRUE,I.Facility.P3FacilityCount&gt;=4651,F19663=""),"Incomplete","Complete")</f>
        <v>Complete</v>
      </c>
      <c r="I19663" s="48" t="s">
        <v>24028</v>
      </c>
    </row>
    <row r="19664" spans="2:9" ht="15" customHeight="1" x14ac:dyDescent="0.25">
      <c r="B19664" s="55" t="s">
        <v>282</v>
      </c>
      <c r="C19664" s="46">
        <v>4652</v>
      </c>
      <c r="D19664" s="69" t="s">
        <v>29419</v>
      </c>
      <c r="E19664" s="51"/>
      <c r="F19664" s="114" t="str">
        <f>IF(INDEX(I.Facility.P3IDNumber,4652)="","",INDEX(I.Facility.P3IDNumber,4652))</f>
        <v/>
      </c>
      <c r="G19664" s="51"/>
      <c r="H19664" s="46" t="str">
        <f>IF(AND(I.Developer.P3=TRUE,I.Facility.P3FacilityCount&gt;=4652,F19664=""),"Incomplete","Complete")</f>
        <v>Complete</v>
      </c>
      <c r="I19664" s="48" t="s">
        <v>24029</v>
      </c>
    </row>
    <row r="19665" spans="2:9" ht="15" customHeight="1" x14ac:dyDescent="0.25">
      <c r="B19665" s="55" t="s">
        <v>282</v>
      </c>
      <c r="C19665" s="46">
        <v>4653</v>
      </c>
      <c r="D19665" s="69" t="s">
        <v>29419</v>
      </c>
      <c r="E19665" s="51"/>
      <c r="F19665" s="114" t="str">
        <f>IF(INDEX(I.Facility.P3IDNumber,4653)="","",INDEX(I.Facility.P3IDNumber,4653))</f>
        <v/>
      </c>
      <c r="G19665" s="51"/>
      <c r="H19665" s="46" t="str">
        <f>IF(AND(I.Developer.P3=TRUE,I.Facility.P3FacilityCount&gt;=4653,F19665=""),"Incomplete","Complete")</f>
        <v>Complete</v>
      </c>
      <c r="I19665" s="48" t="s">
        <v>24030</v>
      </c>
    </row>
    <row r="19666" spans="2:9" ht="15" customHeight="1" x14ac:dyDescent="0.25">
      <c r="B19666" s="55" t="s">
        <v>282</v>
      </c>
      <c r="C19666" s="46">
        <v>4654</v>
      </c>
      <c r="D19666" s="69" t="s">
        <v>29419</v>
      </c>
      <c r="E19666" s="51"/>
      <c r="F19666" s="114" t="str">
        <f>IF(INDEX(I.Facility.P3IDNumber,4654)="","",INDEX(I.Facility.P3IDNumber,4654))</f>
        <v/>
      </c>
      <c r="G19666" s="51"/>
      <c r="H19666" s="46" t="str">
        <f>IF(AND(I.Developer.P3=TRUE,I.Facility.P3FacilityCount&gt;=4654,F19666=""),"Incomplete","Complete")</f>
        <v>Complete</v>
      </c>
      <c r="I19666" s="48" t="s">
        <v>24031</v>
      </c>
    </row>
    <row r="19667" spans="2:9" ht="15" customHeight="1" x14ac:dyDescent="0.25">
      <c r="B19667" s="55" t="s">
        <v>282</v>
      </c>
      <c r="C19667" s="46">
        <v>4655</v>
      </c>
      <c r="D19667" s="69" t="s">
        <v>29419</v>
      </c>
      <c r="E19667" s="51"/>
      <c r="F19667" s="114" t="str">
        <f>IF(INDEX(I.Facility.P3IDNumber,4655)="","",INDEX(I.Facility.P3IDNumber,4655))</f>
        <v/>
      </c>
      <c r="G19667" s="51"/>
      <c r="H19667" s="46" t="str">
        <f>IF(AND(I.Developer.P3=TRUE,I.Facility.P3FacilityCount&gt;=4655,F19667=""),"Incomplete","Complete")</f>
        <v>Complete</v>
      </c>
      <c r="I19667" s="48" t="s">
        <v>24032</v>
      </c>
    </row>
    <row r="19668" spans="2:9" ht="15" customHeight="1" x14ac:dyDescent="0.25">
      <c r="B19668" s="55" t="s">
        <v>282</v>
      </c>
      <c r="C19668" s="46">
        <v>4656</v>
      </c>
      <c r="D19668" s="69" t="s">
        <v>29419</v>
      </c>
      <c r="E19668" s="51"/>
      <c r="F19668" s="114" t="str">
        <f>IF(INDEX(I.Facility.P3IDNumber,4656)="","",INDEX(I.Facility.P3IDNumber,4656))</f>
        <v/>
      </c>
      <c r="G19668" s="51"/>
      <c r="H19668" s="46" t="str">
        <f>IF(AND(I.Developer.P3=TRUE,I.Facility.P3FacilityCount&gt;=4656,F19668=""),"Incomplete","Complete")</f>
        <v>Complete</v>
      </c>
      <c r="I19668" s="48" t="s">
        <v>24033</v>
      </c>
    </row>
    <row r="19669" spans="2:9" ht="15" customHeight="1" x14ac:dyDescent="0.25">
      <c r="B19669" s="55" t="s">
        <v>282</v>
      </c>
      <c r="C19669" s="46">
        <v>4657</v>
      </c>
      <c r="D19669" s="69" t="s">
        <v>29419</v>
      </c>
      <c r="E19669" s="51"/>
      <c r="F19669" s="114" t="str">
        <f>IF(INDEX(I.Facility.P3IDNumber,4657)="","",INDEX(I.Facility.P3IDNumber,4657))</f>
        <v/>
      </c>
      <c r="G19669" s="51"/>
      <c r="H19669" s="46" t="str">
        <f>IF(AND(I.Developer.P3=TRUE,I.Facility.P3FacilityCount&gt;=4657,F19669=""),"Incomplete","Complete")</f>
        <v>Complete</v>
      </c>
      <c r="I19669" s="48" t="s">
        <v>24034</v>
      </c>
    </row>
    <row r="19670" spans="2:9" ht="15" customHeight="1" x14ac:dyDescent="0.25">
      <c r="B19670" s="55" t="s">
        <v>282</v>
      </c>
      <c r="C19670" s="46">
        <v>4658</v>
      </c>
      <c r="D19670" s="69" t="s">
        <v>29419</v>
      </c>
      <c r="E19670" s="51"/>
      <c r="F19670" s="114" t="str">
        <f>IF(INDEX(I.Facility.P3IDNumber,4658)="","",INDEX(I.Facility.P3IDNumber,4658))</f>
        <v/>
      </c>
      <c r="G19670" s="51"/>
      <c r="H19670" s="46" t="str">
        <f>IF(AND(I.Developer.P3=TRUE,I.Facility.P3FacilityCount&gt;=4658,F19670=""),"Incomplete","Complete")</f>
        <v>Complete</v>
      </c>
      <c r="I19670" s="48" t="s">
        <v>24035</v>
      </c>
    </row>
    <row r="19671" spans="2:9" ht="15" customHeight="1" x14ac:dyDescent="0.25">
      <c r="B19671" s="55" t="s">
        <v>282</v>
      </c>
      <c r="C19671" s="46">
        <v>4659</v>
      </c>
      <c r="D19671" s="69" t="s">
        <v>29419</v>
      </c>
      <c r="E19671" s="51"/>
      <c r="F19671" s="114" t="str">
        <f>IF(INDEX(I.Facility.P3IDNumber,4659)="","",INDEX(I.Facility.P3IDNumber,4659))</f>
        <v/>
      </c>
      <c r="G19671" s="51"/>
      <c r="H19671" s="46" t="str">
        <f>IF(AND(I.Developer.P3=TRUE,I.Facility.P3FacilityCount&gt;=4659,F19671=""),"Incomplete","Complete")</f>
        <v>Complete</v>
      </c>
      <c r="I19671" s="48" t="s">
        <v>24036</v>
      </c>
    </row>
    <row r="19672" spans="2:9" ht="15" customHeight="1" x14ac:dyDescent="0.25">
      <c r="B19672" s="55" t="s">
        <v>282</v>
      </c>
      <c r="C19672" s="46">
        <v>4660</v>
      </c>
      <c r="D19672" s="69" t="s">
        <v>29419</v>
      </c>
      <c r="E19672" s="51"/>
      <c r="F19672" s="114" t="str">
        <f>IF(INDEX(I.Facility.P3IDNumber,4660)="","",INDEX(I.Facility.P3IDNumber,4660))</f>
        <v/>
      </c>
      <c r="G19672" s="51"/>
      <c r="H19672" s="46" t="str">
        <f>IF(AND(I.Developer.P3=TRUE,I.Facility.P3FacilityCount&gt;=4660,F19672=""),"Incomplete","Complete")</f>
        <v>Complete</v>
      </c>
      <c r="I19672" s="48" t="s">
        <v>24037</v>
      </c>
    </row>
    <row r="19673" spans="2:9" ht="15" customHeight="1" x14ac:dyDescent="0.25">
      <c r="B19673" s="55" t="s">
        <v>282</v>
      </c>
      <c r="C19673" s="46">
        <v>4661</v>
      </c>
      <c r="D19673" s="69" t="s">
        <v>29419</v>
      </c>
      <c r="E19673" s="51"/>
      <c r="F19673" s="114" t="str">
        <f>IF(INDEX(I.Facility.P3IDNumber,4661)="","",INDEX(I.Facility.P3IDNumber,4661))</f>
        <v/>
      </c>
      <c r="G19673" s="51"/>
      <c r="H19673" s="46" t="str">
        <f>IF(AND(I.Developer.P3=TRUE,I.Facility.P3FacilityCount&gt;=4661,F19673=""),"Incomplete","Complete")</f>
        <v>Complete</v>
      </c>
      <c r="I19673" s="48" t="s">
        <v>24038</v>
      </c>
    </row>
    <row r="19674" spans="2:9" ht="15" customHeight="1" x14ac:dyDescent="0.25">
      <c r="B19674" s="55" t="s">
        <v>282</v>
      </c>
      <c r="C19674" s="46">
        <v>4662</v>
      </c>
      <c r="D19674" s="69" t="s">
        <v>29419</v>
      </c>
      <c r="E19674" s="51"/>
      <c r="F19674" s="114" t="str">
        <f>IF(INDEX(I.Facility.P3IDNumber,4662)="","",INDEX(I.Facility.P3IDNumber,4662))</f>
        <v/>
      </c>
      <c r="G19674" s="51"/>
      <c r="H19674" s="46" t="str">
        <f>IF(AND(I.Developer.P3=TRUE,I.Facility.P3FacilityCount&gt;=4662,F19674=""),"Incomplete","Complete")</f>
        <v>Complete</v>
      </c>
      <c r="I19674" s="48" t="s">
        <v>24039</v>
      </c>
    </row>
    <row r="19675" spans="2:9" ht="15" customHeight="1" x14ac:dyDescent="0.25">
      <c r="B19675" s="55" t="s">
        <v>282</v>
      </c>
      <c r="C19675" s="46">
        <v>4663</v>
      </c>
      <c r="D19675" s="69" t="s">
        <v>29419</v>
      </c>
      <c r="E19675" s="51"/>
      <c r="F19675" s="114" t="str">
        <f>IF(INDEX(I.Facility.P3IDNumber,4663)="","",INDEX(I.Facility.P3IDNumber,4663))</f>
        <v/>
      </c>
      <c r="G19675" s="51"/>
      <c r="H19675" s="46" t="str">
        <f>IF(AND(I.Developer.P3=TRUE,I.Facility.P3FacilityCount&gt;=4663,F19675=""),"Incomplete","Complete")</f>
        <v>Complete</v>
      </c>
      <c r="I19675" s="48" t="s">
        <v>24040</v>
      </c>
    </row>
    <row r="19676" spans="2:9" ht="15" customHeight="1" x14ac:dyDescent="0.25">
      <c r="B19676" s="55" t="s">
        <v>282</v>
      </c>
      <c r="C19676" s="46">
        <v>4664</v>
      </c>
      <c r="D19676" s="69" t="s">
        <v>29419</v>
      </c>
      <c r="E19676" s="51"/>
      <c r="F19676" s="114" t="str">
        <f>IF(INDEX(I.Facility.P3IDNumber,4664)="","",INDEX(I.Facility.P3IDNumber,4664))</f>
        <v/>
      </c>
      <c r="G19676" s="51"/>
      <c r="H19676" s="46" t="str">
        <f>IF(AND(I.Developer.P3=TRUE,I.Facility.P3FacilityCount&gt;=4664,F19676=""),"Incomplete","Complete")</f>
        <v>Complete</v>
      </c>
      <c r="I19676" s="48" t="s">
        <v>24041</v>
      </c>
    </row>
    <row r="19677" spans="2:9" ht="15" customHeight="1" x14ac:dyDescent="0.25">
      <c r="B19677" s="55" t="s">
        <v>282</v>
      </c>
      <c r="C19677" s="46">
        <v>4665</v>
      </c>
      <c r="D19677" s="69" t="s">
        <v>29419</v>
      </c>
      <c r="E19677" s="51"/>
      <c r="F19677" s="114" t="str">
        <f>IF(INDEX(I.Facility.P3IDNumber,4665)="","",INDEX(I.Facility.P3IDNumber,4665))</f>
        <v/>
      </c>
      <c r="G19677" s="51"/>
      <c r="H19677" s="46" t="str">
        <f>IF(AND(I.Developer.P3=TRUE,I.Facility.P3FacilityCount&gt;=4665,F19677=""),"Incomplete","Complete")</f>
        <v>Complete</v>
      </c>
      <c r="I19677" s="48" t="s">
        <v>24042</v>
      </c>
    </row>
    <row r="19678" spans="2:9" ht="15" customHeight="1" x14ac:dyDescent="0.25">
      <c r="B19678" s="55" t="s">
        <v>282</v>
      </c>
      <c r="C19678" s="46">
        <v>4666</v>
      </c>
      <c r="D19678" s="69" t="s">
        <v>29419</v>
      </c>
      <c r="E19678" s="51"/>
      <c r="F19678" s="114" t="str">
        <f>IF(INDEX(I.Facility.P3IDNumber,4666)="","",INDEX(I.Facility.P3IDNumber,4666))</f>
        <v/>
      </c>
      <c r="G19678" s="51"/>
      <c r="H19678" s="46" t="str">
        <f>IF(AND(I.Developer.P3=TRUE,I.Facility.P3FacilityCount&gt;=4666,F19678=""),"Incomplete","Complete")</f>
        <v>Complete</v>
      </c>
      <c r="I19678" s="48" t="s">
        <v>24043</v>
      </c>
    </row>
    <row r="19679" spans="2:9" ht="15" customHeight="1" x14ac:dyDescent="0.25">
      <c r="B19679" s="55" t="s">
        <v>282</v>
      </c>
      <c r="C19679" s="46">
        <v>4667</v>
      </c>
      <c r="D19679" s="69" t="s">
        <v>29419</v>
      </c>
      <c r="E19679" s="51"/>
      <c r="F19679" s="114" t="str">
        <f>IF(INDEX(I.Facility.P3IDNumber,4667)="","",INDEX(I.Facility.P3IDNumber,4667))</f>
        <v/>
      </c>
      <c r="G19679" s="51"/>
      <c r="H19679" s="46" t="str">
        <f>IF(AND(I.Developer.P3=TRUE,I.Facility.P3FacilityCount&gt;=4667,F19679=""),"Incomplete","Complete")</f>
        <v>Complete</v>
      </c>
      <c r="I19679" s="48" t="s">
        <v>24044</v>
      </c>
    </row>
    <row r="19680" spans="2:9" ht="15" customHeight="1" x14ac:dyDescent="0.25">
      <c r="B19680" s="55" t="s">
        <v>282</v>
      </c>
      <c r="C19680" s="46">
        <v>4668</v>
      </c>
      <c r="D19680" s="69" t="s">
        <v>29419</v>
      </c>
      <c r="E19680" s="51"/>
      <c r="F19680" s="114" t="str">
        <f>IF(INDEX(I.Facility.P3IDNumber,4668)="","",INDEX(I.Facility.P3IDNumber,4668))</f>
        <v/>
      </c>
      <c r="G19680" s="51"/>
      <c r="H19680" s="46" t="str">
        <f>IF(AND(I.Developer.P3=TRUE,I.Facility.P3FacilityCount&gt;=4668,F19680=""),"Incomplete","Complete")</f>
        <v>Complete</v>
      </c>
      <c r="I19680" s="48" t="s">
        <v>24045</v>
      </c>
    </row>
    <row r="19681" spans="2:9" ht="15" customHeight="1" x14ac:dyDescent="0.25">
      <c r="B19681" s="55" t="s">
        <v>282</v>
      </c>
      <c r="C19681" s="46">
        <v>4669</v>
      </c>
      <c r="D19681" s="69" t="s">
        <v>29419</v>
      </c>
      <c r="E19681" s="51"/>
      <c r="F19681" s="114" t="str">
        <f>IF(INDEX(I.Facility.P3IDNumber,4669)="","",INDEX(I.Facility.P3IDNumber,4669))</f>
        <v/>
      </c>
      <c r="G19681" s="51"/>
      <c r="H19681" s="46" t="str">
        <f>IF(AND(I.Developer.P3=TRUE,I.Facility.P3FacilityCount&gt;=4669,F19681=""),"Incomplete","Complete")</f>
        <v>Complete</v>
      </c>
      <c r="I19681" s="48" t="s">
        <v>24046</v>
      </c>
    </row>
    <row r="19682" spans="2:9" ht="15" customHeight="1" x14ac:dyDescent="0.25">
      <c r="B19682" s="55" t="s">
        <v>282</v>
      </c>
      <c r="C19682" s="46">
        <v>4670</v>
      </c>
      <c r="D19682" s="69" t="s">
        <v>29419</v>
      </c>
      <c r="E19682" s="51"/>
      <c r="F19682" s="114" t="str">
        <f>IF(INDEX(I.Facility.P3IDNumber,4670)="","",INDEX(I.Facility.P3IDNumber,4670))</f>
        <v/>
      </c>
      <c r="G19682" s="51"/>
      <c r="H19682" s="46" t="str">
        <f>IF(AND(I.Developer.P3=TRUE,I.Facility.P3FacilityCount&gt;=4670,F19682=""),"Incomplete","Complete")</f>
        <v>Complete</v>
      </c>
      <c r="I19682" s="48" t="s">
        <v>24047</v>
      </c>
    </row>
    <row r="19683" spans="2:9" ht="15" customHeight="1" x14ac:dyDescent="0.25">
      <c r="B19683" s="55" t="s">
        <v>282</v>
      </c>
      <c r="C19683" s="46">
        <v>4671</v>
      </c>
      <c r="D19683" s="69" t="s">
        <v>29419</v>
      </c>
      <c r="E19683" s="51"/>
      <c r="F19683" s="114" t="str">
        <f>IF(INDEX(I.Facility.P3IDNumber,4671)="","",INDEX(I.Facility.P3IDNumber,4671))</f>
        <v/>
      </c>
      <c r="G19683" s="51"/>
      <c r="H19683" s="46" t="str">
        <f>IF(AND(I.Developer.P3=TRUE,I.Facility.P3FacilityCount&gt;=4671,F19683=""),"Incomplete","Complete")</f>
        <v>Complete</v>
      </c>
      <c r="I19683" s="48" t="s">
        <v>24048</v>
      </c>
    </row>
    <row r="19684" spans="2:9" ht="15" customHeight="1" x14ac:dyDescent="0.25">
      <c r="B19684" s="55" t="s">
        <v>282</v>
      </c>
      <c r="C19684" s="46">
        <v>4672</v>
      </c>
      <c r="D19684" s="69" t="s">
        <v>29419</v>
      </c>
      <c r="E19684" s="51"/>
      <c r="F19684" s="114" t="str">
        <f>IF(INDEX(I.Facility.P3IDNumber,4672)="","",INDEX(I.Facility.P3IDNumber,4672))</f>
        <v/>
      </c>
      <c r="G19684" s="51"/>
      <c r="H19684" s="46" t="str">
        <f>IF(AND(I.Developer.P3=TRUE,I.Facility.P3FacilityCount&gt;=4672,F19684=""),"Incomplete","Complete")</f>
        <v>Complete</v>
      </c>
      <c r="I19684" s="48" t="s">
        <v>24049</v>
      </c>
    </row>
    <row r="19685" spans="2:9" ht="15" customHeight="1" x14ac:dyDescent="0.25">
      <c r="B19685" s="55" t="s">
        <v>282</v>
      </c>
      <c r="C19685" s="46">
        <v>4673</v>
      </c>
      <c r="D19685" s="69" t="s">
        <v>29419</v>
      </c>
      <c r="E19685" s="51"/>
      <c r="F19685" s="114" t="str">
        <f>IF(INDEX(I.Facility.P3IDNumber,4673)="","",INDEX(I.Facility.P3IDNumber,4673))</f>
        <v/>
      </c>
      <c r="G19685" s="51"/>
      <c r="H19685" s="46" t="str">
        <f>IF(AND(I.Developer.P3=TRUE,I.Facility.P3FacilityCount&gt;=4673,F19685=""),"Incomplete","Complete")</f>
        <v>Complete</v>
      </c>
      <c r="I19685" s="48" t="s">
        <v>24050</v>
      </c>
    </row>
    <row r="19686" spans="2:9" ht="15" customHeight="1" x14ac:dyDescent="0.25">
      <c r="B19686" s="55" t="s">
        <v>282</v>
      </c>
      <c r="C19686" s="46">
        <v>4674</v>
      </c>
      <c r="D19686" s="69" t="s">
        <v>29419</v>
      </c>
      <c r="E19686" s="51"/>
      <c r="F19686" s="114" t="str">
        <f>IF(INDEX(I.Facility.P3IDNumber,4674)="","",INDEX(I.Facility.P3IDNumber,4674))</f>
        <v/>
      </c>
      <c r="G19686" s="51"/>
      <c r="H19686" s="46" t="str">
        <f>IF(AND(I.Developer.P3=TRUE,I.Facility.P3FacilityCount&gt;=4674,F19686=""),"Incomplete","Complete")</f>
        <v>Complete</v>
      </c>
      <c r="I19686" s="48" t="s">
        <v>24051</v>
      </c>
    </row>
    <row r="19687" spans="2:9" ht="15" customHeight="1" x14ac:dyDescent="0.25">
      <c r="B19687" s="55" t="s">
        <v>282</v>
      </c>
      <c r="C19687" s="46">
        <v>4675</v>
      </c>
      <c r="D19687" s="69" t="s">
        <v>29419</v>
      </c>
      <c r="E19687" s="51"/>
      <c r="F19687" s="114" t="str">
        <f>IF(INDEX(I.Facility.P3IDNumber,4675)="","",INDEX(I.Facility.P3IDNumber,4675))</f>
        <v/>
      </c>
      <c r="G19687" s="51"/>
      <c r="H19687" s="46" t="str">
        <f>IF(AND(I.Developer.P3=TRUE,I.Facility.P3FacilityCount&gt;=4675,F19687=""),"Incomplete","Complete")</f>
        <v>Complete</v>
      </c>
      <c r="I19687" s="48" t="s">
        <v>24052</v>
      </c>
    </row>
    <row r="19688" spans="2:9" ht="15" customHeight="1" x14ac:dyDescent="0.25">
      <c r="B19688" s="55" t="s">
        <v>282</v>
      </c>
      <c r="C19688" s="46">
        <v>4676</v>
      </c>
      <c r="D19688" s="69" t="s">
        <v>29419</v>
      </c>
      <c r="E19688" s="51"/>
      <c r="F19688" s="114" t="str">
        <f>IF(INDEX(I.Facility.P3IDNumber,4676)="","",INDEX(I.Facility.P3IDNumber,4676))</f>
        <v/>
      </c>
      <c r="G19688" s="51"/>
      <c r="H19688" s="46" t="str">
        <f>IF(AND(I.Developer.P3=TRUE,I.Facility.P3FacilityCount&gt;=4676,F19688=""),"Incomplete","Complete")</f>
        <v>Complete</v>
      </c>
      <c r="I19688" s="48" t="s">
        <v>24053</v>
      </c>
    </row>
    <row r="19689" spans="2:9" ht="15" customHeight="1" x14ac:dyDescent="0.25">
      <c r="B19689" s="55" t="s">
        <v>282</v>
      </c>
      <c r="C19689" s="46">
        <v>4677</v>
      </c>
      <c r="D19689" s="69" t="s">
        <v>29419</v>
      </c>
      <c r="E19689" s="51"/>
      <c r="F19689" s="114" t="str">
        <f>IF(INDEX(I.Facility.P3IDNumber,4677)="","",INDEX(I.Facility.P3IDNumber,4677))</f>
        <v/>
      </c>
      <c r="G19689" s="51"/>
      <c r="H19689" s="46" t="str">
        <f>IF(AND(I.Developer.P3=TRUE,I.Facility.P3FacilityCount&gt;=4677,F19689=""),"Incomplete","Complete")</f>
        <v>Complete</v>
      </c>
      <c r="I19689" s="48" t="s">
        <v>24054</v>
      </c>
    </row>
    <row r="19690" spans="2:9" ht="15" customHeight="1" x14ac:dyDescent="0.25">
      <c r="B19690" s="55" t="s">
        <v>282</v>
      </c>
      <c r="C19690" s="46">
        <v>4678</v>
      </c>
      <c r="D19690" s="69" t="s">
        <v>29419</v>
      </c>
      <c r="E19690" s="51"/>
      <c r="F19690" s="114" t="str">
        <f>IF(INDEX(I.Facility.P3IDNumber,4678)="","",INDEX(I.Facility.P3IDNumber,4678))</f>
        <v/>
      </c>
      <c r="G19690" s="51"/>
      <c r="H19690" s="46" t="str">
        <f>IF(AND(I.Developer.P3=TRUE,I.Facility.P3FacilityCount&gt;=4678,F19690=""),"Incomplete","Complete")</f>
        <v>Complete</v>
      </c>
      <c r="I19690" s="48" t="s">
        <v>24055</v>
      </c>
    </row>
    <row r="19691" spans="2:9" ht="15" customHeight="1" x14ac:dyDescent="0.25">
      <c r="B19691" s="55" t="s">
        <v>282</v>
      </c>
      <c r="C19691" s="46">
        <v>4679</v>
      </c>
      <c r="D19691" s="69" t="s">
        <v>29419</v>
      </c>
      <c r="E19691" s="51"/>
      <c r="F19691" s="114" t="str">
        <f>IF(INDEX(I.Facility.P3IDNumber,4679)="","",INDEX(I.Facility.P3IDNumber,4679))</f>
        <v/>
      </c>
      <c r="G19691" s="51"/>
      <c r="H19691" s="46" t="str">
        <f>IF(AND(I.Developer.P3=TRUE,I.Facility.P3FacilityCount&gt;=4679,F19691=""),"Incomplete","Complete")</f>
        <v>Complete</v>
      </c>
      <c r="I19691" s="48" t="s">
        <v>24056</v>
      </c>
    </row>
    <row r="19692" spans="2:9" ht="15" customHeight="1" x14ac:dyDescent="0.25">
      <c r="B19692" s="55" t="s">
        <v>282</v>
      </c>
      <c r="C19692" s="46">
        <v>4680</v>
      </c>
      <c r="D19692" s="69" t="s">
        <v>29419</v>
      </c>
      <c r="E19692" s="51"/>
      <c r="F19692" s="114" t="str">
        <f>IF(INDEX(I.Facility.P3IDNumber,4680)="","",INDEX(I.Facility.P3IDNumber,4680))</f>
        <v/>
      </c>
      <c r="G19692" s="51"/>
      <c r="H19692" s="46" t="str">
        <f>IF(AND(I.Developer.P3=TRUE,I.Facility.P3FacilityCount&gt;=4680,F19692=""),"Incomplete","Complete")</f>
        <v>Complete</v>
      </c>
      <c r="I19692" s="48" t="s">
        <v>24057</v>
      </c>
    </row>
    <row r="19693" spans="2:9" ht="15" customHeight="1" x14ac:dyDescent="0.25">
      <c r="B19693" s="55" t="s">
        <v>282</v>
      </c>
      <c r="C19693" s="46">
        <v>4681</v>
      </c>
      <c r="D19693" s="69" t="s">
        <v>29419</v>
      </c>
      <c r="E19693" s="51"/>
      <c r="F19693" s="114" t="str">
        <f>IF(INDEX(I.Facility.P3IDNumber,4681)="","",INDEX(I.Facility.P3IDNumber,4681))</f>
        <v/>
      </c>
      <c r="G19693" s="51"/>
      <c r="H19693" s="46" t="str">
        <f>IF(AND(I.Developer.P3=TRUE,I.Facility.P3FacilityCount&gt;=4681,F19693=""),"Incomplete","Complete")</f>
        <v>Complete</v>
      </c>
      <c r="I19693" s="48" t="s">
        <v>24058</v>
      </c>
    </row>
    <row r="19694" spans="2:9" ht="15" customHeight="1" x14ac:dyDescent="0.25">
      <c r="B19694" s="55" t="s">
        <v>282</v>
      </c>
      <c r="C19694" s="46">
        <v>4682</v>
      </c>
      <c r="D19694" s="69" t="s">
        <v>29419</v>
      </c>
      <c r="E19694" s="51"/>
      <c r="F19694" s="114" t="str">
        <f>IF(INDEX(I.Facility.P3IDNumber,4682)="","",INDEX(I.Facility.P3IDNumber,4682))</f>
        <v/>
      </c>
      <c r="G19694" s="51"/>
      <c r="H19694" s="46" t="str">
        <f>IF(AND(I.Developer.P3=TRUE,I.Facility.P3FacilityCount&gt;=4682,F19694=""),"Incomplete","Complete")</f>
        <v>Complete</v>
      </c>
      <c r="I19694" s="48" t="s">
        <v>24059</v>
      </c>
    </row>
    <row r="19695" spans="2:9" ht="15" customHeight="1" x14ac:dyDescent="0.25">
      <c r="B19695" s="55" t="s">
        <v>282</v>
      </c>
      <c r="C19695" s="46">
        <v>4683</v>
      </c>
      <c r="D19695" s="69" t="s">
        <v>29419</v>
      </c>
      <c r="E19695" s="51"/>
      <c r="F19695" s="114" t="str">
        <f>IF(INDEX(I.Facility.P3IDNumber,4683)="","",INDEX(I.Facility.P3IDNumber,4683))</f>
        <v/>
      </c>
      <c r="G19695" s="51"/>
      <c r="H19695" s="46" t="str">
        <f>IF(AND(I.Developer.P3=TRUE,I.Facility.P3FacilityCount&gt;=4683,F19695=""),"Incomplete","Complete")</f>
        <v>Complete</v>
      </c>
      <c r="I19695" s="48" t="s">
        <v>24060</v>
      </c>
    </row>
    <row r="19696" spans="2:9" ht="15" customHeight="1" x14ac:dyDescent="0.25">
      <c r="B19696" s="55" t="s">
        <v>282</v>
      </c>
      <c r="C19696" s="46">
        <v>4684</v>
      </c>
      <c r="D19696" s="69" t="s">
        <v>29419</v>
      </c>
      <c r="E19696" s="51"/>
      <c r="F19696" s="114" t="str">
        <f>IF(INDEX(I.Facility.P3IDNumber,4684)="","",INDEX(I.Facility.P3IDNumber,4684))</f>
        <v/>
      </c>
      <c r="G19696" s="51"/>
      <c r="H19696" s="46" t="str">
        <f>IF(AND(I.Developer.P3=TRUE,I.Facility.P3FacilityCount&gt;=4684,F19696=""),"Incomplete","Complete")</f>
        <v>Complete</v>
      </c>
      <c r="I19696" s="48" t="s">
        <v>24061</v>
      </c>
    </row>
    <row r="19697" spans="2:9" ht="15" customHeight="1" x14ac:dyDescent="0.25">
      <c r="B19697" s="55" t="s">
        <v>282</v>
      </c>
      <c r="C19697" s="46">
        <v>4685</v>
      </c>
      <c r="D19697" s="69" t="s">
        <v>29419</v>
      </c>
      <c r="E19697" s="51"/>
      <c r="F19697" s="114" t="str">
        <f>IF(INDEX(I.Facility.P3IDNumber,4685)="","",INDEX(I.Facility.P3IDNumber,4685))</f>
        <v/>
      </c>
      <c r="G19697" s="51"/>
      <c r="H19697" s="46" t="str">
        <f>IF(AND(I.Developer.P3=TRUE,I.Facility.P3FacilityCount&gt;=4685,F19697=""),"Incomplete","Complete")</f>
        <v>Complete</v>
      </c>
      <c r="I19697" s="48" t="s">
        <v>24062</v>
      </c>
    </row>
    <row r="19698" spans="2:9" ht="15" customHeight="1" x14ac:dyDescent="0.25">
      <c r="B19698" s="55" t="s">
        <v>282</v>
      </c>
      <c r="C19698" s="46">
        <v>4686</v>
      </c>
      <c r="D19698" s="69" t="s">
        <v>29419</v>
      </c>
      <c r="E19698" s="51"/>
      <c r="F19698" s="114" t="str">
        <f>IF(INDEX(I.Facility.P3IDNumber,4686)="","",INDEX(I.Facility.P3IDNumber,4686))</f>
        <v/>
      </c>
      <c r="G19698" s="51"/>
      <c r="H19698" s="46" t="str">
        <f>IF(AND(I.Developer.P3=TRUE,I.Facility.P3FacilityCount&gt;=4686,F19698=""),"Incomplete","Complete")</f>
        <v>Complete</v>
      </c>
      <c r="I19698" s="48" t="s">
        <v>24063</v>
      </c>
    </row>
    <row r="19699" spans="2:9" ht="15" customHeight="1" x14ac:dyDescent="0.25">
      <c r="B19699" s="55" t="s">
        <v>282</v>
      </c>
      <c r="C19699" s="46">
        <v>4687</v>
      </c>
      <c r="D19699" s="69" t="s">
        <v>29419</v>
      </c>
      <c r="E19699" s="51"/>
      <c r="F19699" s="114" t="str">
        <f>IF(INDEX(I.Facility.P3IDNumber,4687)="","",INDEX(I.Facility.P3IDNumber,4687))</f>
        <v/>
      </c>
      <c r="G19699" s="51"/>
      <c r="H19699" s="46" t="str">
        <f>IF(AND(I.Developer.P3=TRUE,I.Facility.P3FacilityCount&gt;=4687,F19699=""),"Incomplete","Complete")</f>
        <v>Complete</v>
      </c>
      <c r="I19699" s="48" t="s">
        <v>24064</v>
      </c>
    </row>
    <row r="19700" spans="2:9" ht="15" customHeight="1" x14ac:dyDescent="0.25">
      <c r="B19700" s="55" t="s">
        <v>282</v>
      </c>
      <c r="C19700" s="46">
        <v>4688</v>
      </c>
      <c r="D19700" s="69" t="s">
        <v>29419</v>
      </c>
      <c r="E19700" s="51"/>
      <c r="F19700" s="114" t="str">
        <f>IF(INDEX(I.Facility.P3IDNumber,4688)="","",INDEX(I.Facility.P3IDNumber,4688))</f>
        <v/>
      </c>
      <c r="G19700" s="51"/>
      <c r="H19700" s="46" t="str">
        <f>IF(AND(I.Developer.P3=TRUE,I.Facility.P3FacilityCount&gt;=4688,F19700=""),"Incomplete","Complete")</f>
        <v>Complete</v>
      </c>
      <c r="I19700" s="48" t="s">
        <v>24065</v>
      </c>
    </row>
    <row r="19701" spans="2:9" ht="15" customHeight="1" x14ac:dyDescent="0.25">
      <c r="B19701" s="55" t="s">
        <v>282</v>
      </c>
      <c r="C19701" s="46">
        <v>4689</v>
      </c>
      <c r="D19701" s="69" t="s">
        <v>29419</v>
      </c>
      <c r="E19701" s="51"/>
      <c r="F19701" s="114" t="str">
        <f>IF(INDEX(I.Facility.P3IDNumber,4689)="","",INDEX(I.Facility.P3IDNumber,4689))</f>
        <v/>
      </c>
      <c r="G19701" s="51"/>
      <c r="H19701" s="46" t="str">
        <f>IF(AND(I.Developer.P3=TRUE,I.Facility.P3FacilityCount&gt;=4689,F19701=""),"Incomplete","Complete")</f>
        <v>Complete</v>
      </c>
      <c r="I19701" s="48" t="s">
        <v>24066</v>
      </c>
    </row>
    <row r="19702" spans="2:9" ht="15" customHeight="1" x14ac:dyDescent="0.25">
      <c r="B19702" s="55" t="s">
        <v>282</v>
      </c>
      <c r="C19702" s="46">
        <v>4690</v>
      </c>
      <c r="D19702" s="69" t="s">
        <v>29419</v>
      </c>
      <c r="E19702" s="51"/>
      <c r="F19702" s="114" t="str">
        <f>IF(INDEX(I.Facility.P3IDNumber,4690)="","",INDEX(I.Facility.P3IDNumber,4690))</f>
        <v/>
      </c>
      <c r="G19702" s="51"/>
      <c r="H19702" s="46" t="str">
        <f>IF(AND(I.Developer.P3=TRUE,I.Facility.P3FacilityCount&gt;=4690,F19702=""),"Incomplete","Complete")</f>
        <v>Complete</v>
      </c>
      <c r="I19702" s="48" t="s">
        <v>24067</v>
      </c>
    </row>
    <row r="19703" spans="2:9" ht="15" customHeight="1" x14ac:dyDescent="0.25">
      <c r="B19703" s="55" t="s">
        <v>282</v>
      </c>
      <c r="C19703" s="46">
        <v>4691</v>
      </c>
      <c r="D19703" s="69" t="s">
        <v>29419</v>
      </c>
      <c r="E19703" s="51"/>
      <c r="F19703" s="114" t="str">
        <f>IF(INDEX(I.Facility.P3IDNumber,4691)="","",INDEX(I.Facility.P3IDNumber,4691))</f>
        <v/>
      </c>
      <c r="G19703" s="51"/>
      <c r="H19703" s="46" t="str">
        <f>IF(AND(I.Developer.P3=TRUE,I.Facility.P3FacilityCount&gt;=4691,F19703=""),"Incomplete","Complete")</f>
        <v>Complete</v>
      </c>
      <c r="I19703" s="48" t="s">
        <v>24068</v>
      </c>
    </row>
    <row r="19704" spans="2:9" ht="15" customHeight="1" x14ac:dyDescent="0.25">
      <c r="B19704" s="55" t="s">
        <v>282</v>
      </c>
      <c r="C19704" s="46">
        <v>4692</v>
      </c>
      <c r="D19704" s="69" t="s">
        <v>29419</v>
      </c>
      <c r="E19704" s="51"/>
      <c r="F19704" s="114" t="str">
        <f>IF(INDEX(I.Facility.P3IDNumber,4692)="","",INDEX(I.Facility.P3IDNumber,4692))</f>
        <v/>
      </c>
      <c r="G19704" s="51"/>
      <c r="H19704" s="46" t="str">
        <f>IF(AND(I.Developer.P3=TRUE,I.Facility.P3FacilityCount&gt;=4692,F19704=""),"Incomplete","Complete")</f>
        <v>Complete</v>
      </c>
      <c r="I19704" s="48" t="s">
        <v>24069</v>
      </c>
    </row>
    <row r="19705" spans="2:9" ht="15" customHeight="1" x14ac:dyDescent="0.25">
      <c r="B19705" s="55" t="s">
        <v>282</v>
      </c>
      <c r="C19705" s="46">
        <v>4693</v>
      </c>
      <c r="D19705" s="69" t="s">
        <v>29419</v>
      </c>
      <c r="E19705" s="51"/>
      <c r="F19705" s="114" t="str">
        <f>IF(INDEX(I.Facility.P3IDNumber,4693)="","",INDEX(I.Facility.P3IDNumber,4693))</f>
        <v/>
      </c>
      <c r="G19705" s="51"/>
      <c r="H19705" s="46" t="str">
        <f>IF(AND(I.Developer.P3=TRUE,I.Facility.P3FacilityCount&gt;=4693,F19705=""),"Incomplete","Complete")</f>
        <v>Complete</v>
      </c>
      <c r="I19705" s="48" t="s">
        <v>24070</v>
      </c>
    </row>
    <row r="19706" spans="2:9" ht="15" customHeight="1" x14ac:dyDescent="0.25">
      <c r="B19706" s="55" t="s">
        <v>282</v>
      </c>
      <c r="C19706" s="46">
        <v>4694</v>
      </c>
      <c r="D19706" s="69" t="s">
        <v>29419</v>
      </c>
      <c r="E19706" s="51"/>
      <c r="F19706" s="114" t="str">
        <f>IF(INDEX(I.Facility.P3IDNumber,4694)="","",INDEX(I.Facility.P3IDNumber,4694))</f>
        <v/>
      </c>
      <c r="G19706" s="51"/>
      <c r="H19706" s="46" t="str">
        <f>IF(AND(I.Developer.P3=TRUE,I.Facility.P3FacilityCount&gt;=4694,F19706=""),"Incomplete","Complete")</f>
        <v>Complete</v>
      </c>
      <c r="I19706" s="48" t="s">
        <v>24071</v>
      </c>
    </row>
    <row r="19707" spans="2:9" ht="15" customHeight="1" x14ac:dyDescent="0.25">
      <c r="B19707" s="55" t="s">
        <v>282</v>
      </c>
      <c r="C19707" s="46">
        <v>4695</v>
      </c>
      <c r="D19707" s="69" t="s">
        <v>29419</v>
      </c>
      <c r="E19707" s="51"/>
      <c r="F19707" s="114" t="str">
        <f>IF(INDEX(I.Facility.P3IDNumber,4695)="","",INDEX(I.Facility.P3IDNumber,4695))</f>
        <v/>
      </c>
      <c r="G19707" s="51"/>
      <c r="H19707" s="46" t="str">
        <f>IF(AND(I.Developer.P3=TRUE,I.Facility.P3FacilityCount&gt;=4695,F19707=""),"Incomplete","Complete")</f>
        <v>Complete</v>
      </c>
      <c r="I19707" s="48" t="s">
        <v>24072</v>
      </c>
    </row>
    <row r="19708" spans="2:9" ht="15" customHeight="1" x14ac:dyDescent="0.25">
      <c r="B19708" s="55" t="s">
        <v>282</v>
      </c>
      <c r="C19708" s="46">
        <v>4696</v>
      </c>
      <c r="D19708" s="69" t="s">
        <v>29419</v>
      </c>
      <c r="E19708" s="51"/>
      <c r="F19708" s="114" t="str">
        <f>IF(INDEX(I.Facility.P3IDNumber,4696)="","",INDEX(I.Facility.P3IDNumber,4696))</f>
        <v/>
      </c>
      <c r="G19708" s="51"/>
      <c r="H19708" s="46" t="str">
        <f>IF(AND(I.Developer.P3=TRUE,I.Facility.P3FacilityCount&gt;=4696,F19708=""),"Incomplete","Complete")</f>
        <v>Complete</v>
      </c>
      <c r="I19708" s="48" t="s">
        <v>24073</v>
      </c>
    </row>
    <row r="19709" spans="2:9" ht="15" customHeight="1" x14ac:dyDescent="0.25">
      <c r="B19709" s="55" t="s">
        <v>282</v>
      </c>
      <c r="C19709" s="46">
        <v>4697</v>
      </c>
      <c r="D19709" s="69" t="s">
        <v>29419</v>
      </c>
      <c r="E19709" s="51"/>
      <c r="F19709" s="114" t="str">
        <f>IF(INDEX(I.Facility.P3IDNumber,4697)="","",INDEX(I.Facility.P3IDNumber,4697))</f>
        <v/>
      </c>
      <c r="G19709" s="51"/>
      <c r="H19709" s="46" t="str">
        <f>IF(AND(I.Developer.P3=TRUE,I.Facility.P3FacilityCount&gt;=4697,F19709=""),"Incomplete","Complete")</f>
        <v>Complete</v>
      </c>
      <c r="I19709" s="48" t="s">
        <v>24074</v>
      </c>
    </row>
    <row r="19710" spans="2:9" ht="15" customHeight="1" x14ac:dyDescent="0.25">
      <c r="B19710" s="55" t="s">
        <v>282</v>
      </c>
      <c r="C19710" s="46">
        <v>4698</v>
      </c>
      <c r="D19710" s="69" t="s">
        <v>29419</v>
      </c>
      <c r="E19710" s="51"/>
      <c r="F19710" s="114" t="str">
        <f>IF(INDEX(I.Facility.P3IDNumber,4698)="","",INDEX(I.Facility.P3IDNumber,4698))</f>
        <v/>
      </c>
      <c r="G19710" s="51"/>
      <c r="H19710" s="46" t="str">
        <f>IF(AND(I.Developer.P3=TRUE,I.Facility.P3FacilityCount&gt;=4698,F19710=""),"Incomplete","Complete")</f>
        <v>Complete</v>
      </c>
      <c r="I19710" s="48" t="s">
        <v>24075</v>
      </c>
    </row>
    <row r="19711" spans="2:9" ht="15" customHeight="1" x14ac:dyDescent="0.25">
      <c r="B19711" s="55" t="s">
        <v>282</v>
      </c>
      <c r="C19711" s="46">
        <v>4699</v>
      </c>
      <c r="D19711" s="69" t="s">
        <v>29419</v>
      </c>
      <c r="E19711" s="51"/>
      <c r="F19711" s="114" t="str">
        <f>IF(INDEX(I.Facility.P3IDNumber,4699)="","",INDEX(I.Facility.P3IDNumber,4699))</f>
        <v/>
      </c>
      <c r="G19711" s="51"/>
      <c r="H19711" s="46" t="str">
        <f>IF(AND(I.Developer.P3=TRUE,I.Facility.P3FacilityCount&gt;=4699,F19711=""),"Incomplete","Complete")</f>
        <v>Complete</v>
      </c>
      <c r="I19711" s="48" t="s">
        <v>24076</v>
      </c>
    </row>
    <row r="19712" spans="2:9" ht="15" customHeight="1" x14ac:dyDescent="0.25">
      <c r="B19712" s="55" t="s">
        <v>282</v>
      </c>
      <c r="C19712" s="46">
        <v>4700</v>
      </c>
      <c r="D19712" s="69" t="s">
        <v>29419</v>
      </c>
      <c r="E19712" s="51"/>
      <c r="F19712" s="114" t="str">
        <f>IF(INDEX(I.Facility.P3IDNumber,4700)="","",INDEX(I.Facility.P3IDNumber,4700))</f>
        <v/>
      </c>
      <c r="G19712" s="51"/>
      <c r="H19712" s="46" t="str">
        <f>IF(AND(I.Developer.P3=TRUE,I.Facility.P3FacilityCount&gt;=4700,F19712=""),"Incomplete","Complete")</f>
        <v>Complete</v>
      </c>
      <c r="I19712" s="48" t="s">
        <v>24077</v>
      </c>
    </row>
    <row r="19713" spans="2:9" ht="15" customHeight="1" x14ac:dyDescent="0.25">
      <c r="B19713" s="55" t="s">
        <v>282</v>
      </c>
      <c r="C19713" s="46">
        <v>4701</v>
      </c>
      <c r="D19713" s="69" t="s">
        <v>29419</v>
      </c>
      <c r="E19713" s="51"/>
      <c r="F19713" s="114" t="str">
        <f>IF(INDEX(I.Facility.P3IDNumber,4701)="","",INDEX(I.Facility.P3IDNumber,4701))</f>
        <v/>
      </c>
      <c r="G19713" s="51"/>
      <c r="H19713" s="46" t="str">
        <f>IF(AND(I.Developer.P3=TRUE,I.Facility.P3FacilityCount&gt;=4701,F19713=""),"Incomplete","Complete")</f>
        <v>Complete</v>
      </c>
      <c r="I19713" s="48" t="s">
        <v>24078</v>
      </c>
    </row>
    <row r="19714" spans="2:9" ht="15" customHeight="1" x14ac:dyDescent="0.25">
      <c r="B19714" s="55" t="s">
        <v>282</v>
      </c>
      <c r="C19714" s="46">
        <v>4702</v>
      </c>
      <c r="D19714" s="69" t="s">
        <v>29419</v>
      </c>
      <c r="E19714" s="51"/>
      <c r="F19714" s="114" t="str">
        <f>IF(INDEX(I.Facility.P3IDNumber,4702)="","",INDEX(I.Facility.P3IDNumber,4702))</f>
        <v/>
      </c>
      <c r="G19714" s="51"/>
      <c r="H19714" s="46" t="str">
        <f>IF(AND(I.Developer.P3=TRUE,I.Facility.P3FacilityCount&gt;=4702,F19714=""),"Incomplete","Complete")</f>
        <v>Complete</v>
      </c>
      <c r="I19714" s="48" t="s">
        <v>24079</v>
      </c>
    </row>
    <row r="19715" spans="2:9" ht="15" customHeight="1" x14ac:dyDescent="0.25">
      <c r="B19715" s="55" t="s">
        <v>282</v>
      </c>
      <c r="C19715" s="46">
        <v>4703</v>
      </c>
      <c r="D19715" s="69" t="s">
        <v>29419</v>
      </c>
      <c r="E19715" s="51"/>
      <c r="F19715" s="114" t="str">
        <f>IF(INDEX(I.Facility.P3IDNumber,4703)="","",INDEX(I.Facility.P3IDNumber,4703))</f>
        <v/>
      </c>
      <c r="G19715" s="51"/>
      <c r="H19715" s="46" t="str">
        <f>IF(AND(I.Developer.P3=TRUE,I.Facility.P3FacilityCount&gt;=4703,F19715=""),"Incomplete","Complete")</f>
        <v>Complete</v>
      </c>
      <c r="I19715" s="48" t="s">
        <v>24080</v>
      </c>
    </row>
    <row r="19716" spans="2:9" ht="15" customHeight="1" x14ac:dyDescent="0.25">
      <c r="B19716" s="55" t="s">
        <v>282</v>
      </c>
      <c r="C19716" s="46">
        <v>4704</v>
      </c>
      <c r="D19716" s="69" t="s">
        <v>29419</v>
      </c>
      <c r="E19716" s="51"/>
      <c r="F19716" s="114" t="str">
        <f>IF(INDEX(I.Facility.P3IDNumber,4704)="","",INDEX(I.Facility.P3IDNumber,4704))</f>
        <v/>
      </c>
      <c r="G19716" s="51"/>
      <c r="H19716" s="46" t="str">
        <f>IF(AND(I.Developer.P3=TRUE,I.Facility.P3FacilityCount&gt;=4704,F19716=""),"Incomplete","Complete")</f>
        <v>Complete</v>
      </c>
      <c r="I19716" s="48" t="s">
        <v>24081</v>
      </c>
    </row>
    <row r="19717" spans="2:9" ht="15" customHeight="1" x14ac:dyDescent="0.25">
      <c r="B19717" s="55" t="s">
        <v>282</v>
      </c>
      <c r="C19717" s="46">
        <v>4705</v>
      </c>
      <c r="D19717" s="69" t="s">
        <v>29419</v>
      </c>
      <c r="E19717" s="51"/>
      <c r="F19717" s="114" t="str">
        <f>IF(INDEX(I.Facility.P3IDNumber,4705)="","",INDEX(I.Facility.P3IDNumber,4705))</f>
        <v/>
      </c>
      <c r="G19717" s="51"/>
      <c r="H19717" s="46" t="str">
        <f>IF(AND(I.Developer.P3=TRUE,I.Facility.P3FacilityCount&gt;=4705,F19717=""),"Incomplete","Complete")</f>
        <v>Complete</v>
      </c>
      <c r="I19717" s="48" t="s">
        <v>24082</v>
      </c>
    </row>
    <row r="19718" spans="2:9" ht="15" customHeight="1" x14ac:dyDescent="0.25">
      <c r="B19718" s="55" t="s">
        <v>282</v>
      </c>
      <c r="C19718" s="46">
        <v>4706</v>
      </c>
      <c r="D19718" s="69" t="s">
        <v>29419</v>
      </c>
      <c r="E19718" s="51"/>
      <c r="F19718" s="114" t="str">
        <f>IF(INDEX(I.Facility.P3IDNumber,4706)="","",INDEX(I.Facility.P3IDNumber,4706))</f>
        <v/>
      </c>
      <c r="G19718" s="51"/>
      <c r="H19718" s="46" t="str">
        <f>IF(AND(I.Developer.P3=TRUE,I.Facility.P3FacilityCount&gt;=4706,F19718=""),"Incomplete","Complete")</f>
        <v>Complete</v>
      </c>
      <c r="I19718" s="48" t="s">
        <v>24083</v>
      </c>
    </row>
    <row r="19719" spans="2:9" ht="15" customHeight="1" x14ac:dyDescent="0.25">
      <c r="B19719" s="55" t="s">
        <v>282</v>
      </c>
      <c r="C19719" s="46">
        <v>4707</v>
      </c>
      <c r="D19719" s="69" t="s">
        <v>29419</v>
      </c>
      <c r="E19719" s="51"/>
      <c r="F19719" s="114" t="str">
        <f>IF(INDEX(I.Facility.P3IDNumber,4707)="","",INDEX(I.Facility.P3IDNumber,4707))</f>
        <v/>
      </c>
      <c r="G19719" s="51"/>
      <c r="H19719" s="46" t="str">
        <f>IF(AND(I.Developer.P3=TRUE,I.Facility.P3FacilityCount&gt;=4707,F19719=""),"Incomplete","Complete")</f>
        <v>Complete</v>
      </c>
      <c r="I19719" s="48" t="s">
        <v>24084</v>
      </c>
    </row>
    <row r="19720" spans="2:9" ht="15" customHeight="1" x14ac:dyDescent="0.25">
      <c r="B19720" s="55" t="s">
        <v>282</v>
      </c>
      <c r="C19720" s="46">
        <v>4708</v>
      </c>
      <c r="D19720" s="69" t="s">
        <v>29419</v>
      </c>
      <c r="E19720" s="51"/>
      <c r="F19720" s="114" t="str">
        <f>IF(INDEX(I.Facility.P3IDNumber,4708)="","",INDEX(I.Facility.P3IDNumber,4708))</f>
        <v/>
      </c>
      <c r="G19720" s="51"/>
      <c r="H19720" s="46" t="str">
        <f>IF(AND(I.Developer.P3=TRUE,I.Facility.P3FacilityCount&gt;=4708,F19720=""),"Incomplete","Complete")</f>
        <v>Complete</v>
      </c>
      <c r="I19720" s="48" t="s">
        <v>24085</v>
      </c>
    </row>
    <row r="19721" spans="2:9" ht="15" customHeight="1" x14ac:dyDescent="0.25">
      <c r="B19721" s="55" t="s">
        <v>282</v>
      </c>
      <c r="C19721" s="46">
        <v>4709</v>
      </c>
      <c r="D19721" s="69" t="s">
        <v>29419</v>
      </c>
      <c r="E19721" s="51"/>
      <c r="F19721" s="114" t="str">
        <f>IF(INDEX(I.Facility.P3IDNumber,4709)="","",INDEX(I.Facility.P3IDNumber,4709))</f>
        <v/>
      </c>
      <c r="G19721" s="51"/>
      <c r="H19721" s="46" t="str">
        <f>IF(AND(I.Developer.P3=TRUE,I.Facility.P3FacilityCount&gt;=4709,F19721=""),"Incomplete","Complete")</f>
        <v>Complete</v>
      </c>
      <c r="I19721" s="48" t="s">
        <v>24086</v>
      </c>
    </row>
    <row r="19722" spans="2:9" ht="15" customHeight="1" x14ac:dyDescent="0.25">
      <c r="B19722" s="55" t="s">
        <v>282</v>
      </c>
      <c r="C19722" s="46">
        <v>4710</v>
      </c>
      <c r="D19722" s="69" t="s">
        <v>29419</v>
      </c>
      <c r="E19722" s="51"/>
      <c r="F19722" s="114" t="str">
        <f>IF(INDEX(I.Facility.P3IDNumber,4710)="","",INDEX(I.Facility.P3IDNumber,4710))</f>
        <v/>
      </c>
      <c r="G19722" s="51"/>
      <c r="H19722" s="46" t="str">
        <f>IF(AND(I.Developer.P3=TRUE,I.Facility.P3FacilityCount&gt;=4710,F19722=""),"Incomplete","Complete")</f>
        <v>Complete</v>
      </c>
      <c r="I19722" s="48" t="s">
        <v>24087</v>
      </c>
    </row>
    <row r="19723" spans="2:9" ht="15" customHeight="1" x14ac:dyDescent="0.25">
      <c r="B19723" s="55" t="s">
        <v>282</v>
      </c>
      <c r="C19723" s="46">
        <v>4711</v>
      </c>
      <c r="D19723" s="69" t="s">
        <v>29419</v>
      </c>
      <c r="E19723" s="51"/>
      <c r="F19723" s="114" t="str">
        <f>IF(INDEX(I.Facility.P3IDNumber,4711)="","",INDEX(I.Facility.P3IDNumber,4711))</f>
        <v/>
      </c>
      <c r="G19723" s="51"/>
      <c r="H19723" s="46" t="str">
        <f>IF(AND(I.Developer.P3=TRUE,I.Facility.P3FacilityCount&gt;=4711,F19723=""),"Incomplete","Complete")</f>
        <v>Complete</v>
      </c>
      <c r="I19723" s="48" t="s">
        <v>24088</v>
      </c>
    </row>
    <row r="19724" spans="2:9" ht="15" customHeight="1" x14ac:dyDescent="0.25">
      <c r="B19724" s="55" t="s">
        <v>282</v>
      </c>
      <c r="C19724" s="46">
        <v>4712</v>
      </c>
      <c r="D19724" s="69" t="s">
        <v>29419</v>
      </c>
      <c r="E19724" s="51"/>
      <c r="F19724" s="114" t="str">
        <f>IF(INDEX(I.Facility.P3IDNumber,4712)="","",INDEX(I.Facility.P3IDNumber,4712))</f>
        <v/>
      </c>
      <c r="G19724" s="51"/>
      <c r="H19724" s="46" t="str">
        <f>IF(AND(I.Developer.P3=TRUE,I.Facility.P3FacilityCount&gt;=4712,F19724=""),"Incomplete","Complete")</f>
        <v>Complete</v>
      </c>
      <c r="I19724" s="48" t="s">
        <v>24089</v>
      </c>
    </row>
    <row r="19725" spans="2:9" ht="15" customHeight="1" x14ac:dyDescent="0.25">
      <c r="B19725" s="55" t="s">
        <v>282</v>
      </c>
      <c r="C19725" s="46">
        <v>4713</v>
      </c>
      <c r="D19725" s="69" t="s">
        <v>29419</v>
      </c>
      <c r="E19725" s="51"/>
      <c r="F19725" s="114" t="str">
        <f>IF(INDEX(I.Facility.P3IDNumber,4713)="","",INDEX(I.Facility.P3IDNumber,4713))</f>
        <v/>
      </c>
      <c r="G19725" s="51"/>
      <c r="H19725" s="46" t="str">
        <f>IF(AND(I.Developer.P3=TRUE,I.Facility.P3FacilityCount&gt;=4713,F19725=""),"Incomplete","Complete")</f>
        <v>Complete</v>
      </c>
      <c r="I19725" s="48" t="s">
        <v>24090</v>
      </c>
    </row>
    <row r="19726" spans="2:9" ht="15" customHeight="1" x14ac:dyDescent="0.25">
      <c r="B19726" s="55" t="s">
        <v>282</v>
      </c>
      <c r="C19726" s="46">
        <v>4714</v>
      </c>
      <c r="D19726" s="69" t="s">
        <v>29419</v>
      </c>
      <c r="E19726" s="51"/>
      <c r="F19726" s="114" t="str">
        <f>IF(INDEX(I.Facility.P3IDNumber,4714)="","",INDEX(I.Facility.P3IDNumber,4714))</f>
        <v/>
      </c>
      <c r="G19726" s="51"/>
      <c r="H19726" s="46" t="str">
        <f>IF(AND(I.Developer.P3=TRUE,I.Facility.P3FacilityCount&gt;=4714,F19726=""),"Incomplete","Complete")</f>
        <v>Complete</v>
      </c>
      <c r="I19726" s="48" t="s">
        <v>24091</v>
      </c>
    </row>
    <row r="19727" spans="2:9" ht="15" customHeight="1" x14ac:dyDescent="0.25">
      <c r="B19727" s="55" t="s">
        <v>282</v>
      </c>
      <c r="C19727" s="46">
        <v>4715</v>
      </c>
      <c r="D19727" s="69" t="s">
        <v>29419</v>
      </c>
      <c r="E19727" s="51"/>
      <c r="F19727" s="114" t="str">
        <f>IF(INDEX(I.Facility.P3IDNumber,4715)="","",INDEX(I.Facility.P3IDNumber,4715))</f>
        <v/>
      </c>
      <c r="G19727" s="51"/>
      <c r="H19727" s="46" t="str">
        <f>IF(AND(I.Developer.P3=TRUE,I.Facility.P3FacilityCount&gt;=4715,F19727=""),"Incomplete","Complete")</f>
        <v>Complete</v>
      </c>
      <c r="I19727" s="48" t="s">
        <v>24092</v>
      </c>
    </row>
    <row r="19728" spans="2:9" ht="15" customHeight="1" x14ac:dyDescent="0.25">
      <c r="B19728" s="55" t="s">
        <v>282</v>
      </c>
      <c r="C19728" s="46">
        <v>4716</v>
      </c>
      <c r="D19728" s="69" t="s">
        <v>29419</v>
      </c>
      <c r="E19728" s="51"/>
      <c r="F19728" s="114" t="str">
        <f>IF(INDEX(I.Facility.P3IDNumber,4716)="","",INDEX(I.Facility.P3IDNumber,4716))</f>
        <v/>
      </c>
      <c r="G19728" s="51"/>
      <c r="H19728" s="46" t="str">
        <f>IF(AND(I.Developer.P3=TRUE,I.Facility.P3FacilityCount&gt;=4716,F19728=""),"Incomplete","Complete")</f>
        <v>Complete</v>
      </c>
      <c r="I19728" s="48" t="s">
        <v>24093</v>
      </c>
    </row>
    <row r="19729" spans="2:9" ht="15" customHeight="1" x14ac:dyDescent="0.25">
      <c r="B19729" s="55" t="s">
        <v>282</v>
      </c>
      <c r="C19729" s="46">
        <v>4717</v>
      </c>
      <c r="D19729" s="69" t="s">
        <v>29419</v>
      </c>
      <c r="E19729" s="51"/>
      <c r="F19729" s="114" t="str">
        <f>IF(INDEX(I.Facility.P3IDNumber,4717)="","",INDEX(I.Facility.P3IDNumber,4717))</f>
        <v/>
      </c>
      <c r="G19729" s="51"/>
      <c r="H19729" s="46" t="str">
        <f>IF(AND(I.Developer.P3=TRUE,I.Facility.P3FacilityCount&gt;=4717,F19729=""),"Incomplete","Complete")</f>
        <v>Complete</v>
      </c>
      <c r="I19729" s="48" t="s">
        <v>24094</v>
      </c>
    </row>
    <row r="19730" spans="2:9" ht="15" customHeight="1" x14ac:dyDescent="0.25">
      <c r="B19730" s="55" t="s">
        <v>282</v>
      </c>
      <c r="C19730" s="46">
        <v>4718</v>
      </c>
      <c r="D19730" s="69" t="s">
        <v>29419</v>
      </c>
      <c r="E19730" s="51"/>
      <c r="F19730" s="114" t="str">
        <f>IF(INDEX(I.Facility.P3IDNumber,4718)="","",INDEX(I.Facility.P3IDNumber,4718))</f>
        <v/>
      </c>
      <c r="G19730" s="51"/>
      <c r="H19730" s="46" t="str">
        <f>IF(AND(I.Developer.P3=TRUE,I.Facility.P3FacilityCount&gt;=4718,F19730=""),"Incomplete","Complete")</f>
        <v>Complete</v>
      </c>
      <c r="I19730" s="48" t="s">
        <v>24095</v>
      </c>
    </row>
    <row r="19731" spans="2:9" ht="15" customHeight="1" x14ac:dyDescent="0.25">
      <c r="B19731" s="55" t="s">
        <v>282</v>
      </c>
      <c r="C19731" s="46">
        <v>4719</v>
      </c>
      <c r="D19731" s="69" t="s">
        <v>29419</v>
      </c>
      <c r="E19731" s="51"/>
      <c r="F19731" s="114" t="str">
        <f>IF(INDEX(I.Facility.P3IDNumber,4719)="","",INDEX(I.Facility.P3IDNumber,4719))</f>
        <v/>
      </c>
      <c r="G19731" s="51"/>
      <c r="H19731" s="46" t="str">
        <f>IF(AND(I.Developer.P3=TRUE,I.Facility.P3FacilityCount&gt;=4719,F19731=""),"Incomplete","Complete")</f>
        <v>Complete</v>
      </c>
      <c r="I19731" s="48" t="s">
        <v>24096</v>
      </c>
    </row>
    <row r="19732" spans="2:9" ht="15" customHeight="1" x14ac:dyDescent="0.25">
      <c r="B19732" s="55" t="s">
        <v>282</v>
      </c>
      <c r="C19732" s="46">
        <v>4720</v>
      </c>
      <c r="D19732" s="69" t="s">
        <v>29419</v>
      </c>
      <c r="E19732" s="51"/>
      <c r="F19732" s="114" t="str">
        <f>IF(INDEX(I.Facility.P3IDNumber,4720)="","",INDEX(I.Facility.P3IDNumber,4720))</f>
        <v/>
      </c>
      <c r="G19732" s="51"/>
      <c r="H19732" s="46" t="str">
        <f>IF(AND(I.Developer.P3=TRUE,I.Facility.P3FacilityCount&gt;=4720,F19732=""),"Incomplete","Complete")</f>
        <v>Complete</v>
      </c>
      <c r="I19732" s="48" t="s">
        <v>24097</v>
      </c>
    </row>
    <row r="19733" spans="2:9" ht="15" customHeight="1" x14ac:dyDescent="0.25">
      <c r="B19733" s="55" t="s">
        <v>282</v>
      </c>
      <c r="C19733" s="46">
        <v>4721</v>
      </c>
      <c r="D19733" s="69" t="s">
        <v>29419</v>
      </c>
      <c r="E19733" s="51"/>
      <c r="F19733" s="114" t="str">
        <f>IF(INDEX(I.Facility.P3IDNumber,4721)="","",INDEX(I.Facility.P3IDNumber,4721))</f>
        <v/>
      </c>
      <c r="G19733" s="51"/>
      <c r="H19733" s="46" t="str">
        <f>IF(AND(I.Developer.P3=TRUE,I.Facility.P3FacilityCount&gt;=4721,F19733=""),"Incomplete","Complete")</f>
        <v>Complete</v>
      </c>
      <c r="I19733" s="48" t="s">
        <v>24098</v>
      </c>
    </row>
    <row r="19734" spans="2:9" ht="15" customHeight="1" x14ac:dyDescent="0.25">
      <c r="B19734" s="55" t="s">
        <v>282</v>
      </c>
      <c r="C19734" s="46">
        <v>4722</v>
      </c>
      <c r="D19734" s="69" t="s">
        <v>29419</v>
      </c>
      <c r="E19734" s="51"/>
      <c r="F19734" s="114" t="str">
        <f>IF(INDEX(I.Facility.P3IDNumber,4722)="","",INDEX(I.Facility.P3IDNumber,4722))</f>
        <v/>
      </c>
      <c r="G19734" s="51"/>
      <c r="H19734" s="46" t="str">
        <f>IF(AND(I.Developer.P3=TRUE,I.Facility.P3FacilityCount&gt;=4722,F19734=""),"Incomplete","Complete")</f>
        <v>Complete</v>
      </c>
      <c r="I19734" s="48" t="s">
        <v>24099</v>
      </c>
    </row>
    <row r="19735" spans="2:9" ht="15" customHeight="1" x14ac:dyDescent="0.25">
      <c r="B19735" s="55" t="s">
        <v>282</v>
      </c>
      <c r="C19735" s="46">
        <v>4723</v>
      </c>
      <c r="D19735" s="69" t="s">
        <v>29419</v>
      </c>
      <c r="E19735" s="51"/>
      <c r="F19735" s="114" t="str">
        <f>IF(INDEX(I.Facility.P3IDNumber,4723)="","",INDEX(I.Facility.P3IDNumber,4723))</f>
        <v/>
      </c>
      <c r="G19735" s="51"/>
      <c r="H19735" s="46" t="str">
        <f>IF(AND(I.Developer.P3=TRUE,I.Facility.P3FacilityCount&gt;=4723,F19735=""),"Incomplete","Complete")</f>
        <v>Complete</v>
      </c>
      <c r="I19735" s="48" t="s">
        <v>24100</v>
      </c>
    </row>
    <row r="19736" spans="2:9" ht="15" customHeight="1" x14ac:dyDescent="0.25">
      <c r="B19736" s="55" t="s">
        <v>282</v>
      </c>
      <c r="C19736" s="46">
        <v>4724</v>
      </c>
      <c r="D19736" s="69" t="s">
        <v>29419</v>
      </c>
      <c r="E19736" s="51"/>
      <c r="F19736" s="114" t="str">
        <f>IF(INDEX(I.Facility.P3IDNumber,4724)="","",INDEX(I.Facility.P3IDNumber,4724))</f>
        <v/>
      </c>
      <c r="G19736" s="51"/>
      <c r="H19736" s="46" t="str">
        <f>IF(AND(I.Developer.P3=TRUE,I.Facility.P3FacilityCount&gt;=4724,F19736=""),"Incomplete","Complete")</f>
        <v>Complete</v>
      </c>
      <c r="I19736" s="48" t="s">
        <v>24101</v>
      </c>
    </row>
    <row r="19737" spans="2:9" ht="15" customHeight="1" x14ac:dyDescent="0.25">
      <c r="B19737" s="55" t="s">
        <v>282</v>
      </c>
      <c r="C19737" s="46">
        <v>4725</v>
      </c>
      <c r="D19737" s="69" t="s">
        <v>29419</v>
      </c>
      <c r="E19737" s="51"/>
      <c r="F19737" s="114" t="str">
        <f>IF(INDEX(I.Facility.P3IDNumber,4725)="","",INDEX(I.Facility.P3IDNumber,4725))</f>
        <v/>
      </c>
      <c r="G19737" s="51"/>
      <c r="H19737" s="46" t="str">
        <f>IF(AND(I.Developer.P3=TRUE,I.Facility.P3FacilityCount&gt;=4725,F19737=""),"Incomplete","Complete")</f>
        <v>Complete</v>
      </c>
      <c r="I19737" s="48" t="s">
        <v>24102</v>
      </c>
    </row>
    <row r="19738" spans="2:9" ht="15" customHeight="1" x14ac:dyDescent="0.25">
      <c r="B19738" s="55" t="s">
        <v>282</v>
      </c>
      <c r="C19738" s="46">
        <v>4726</v>
      </c>
      <c r="D19738" s="69" t="s">
        <v>29419</v>
      </c>
      <c r="E19738" s="51"/>
      <c r="F19738" s="114" t="str">
        <f>IF(INDEX(I.Facility.P3IDNumber,4726)="","",INDEX(I.Facility.P3IDNumber,4726))</f>
        <v/>
      </c>
      <c r="G19738" s="51"/>
      <c r="H19738" s="46" t="str">
        <f>IF(AND(I.Developer.P3=TRUE,I.Facility.P3FacilityCount&gt;=4726,F19738=""),"Incomplete","Complete")</f>
        <v>Complete</v>
      </c>
      <c r="I19738" s="48" t="s">
        <v>24103</v>
      </c>
    </row>
    <row r="19739" spans="2:9" ht="15" customHeight="1" x14ac:dyDescent="0.25">
      <c r="B19739" s="55" t="s">
        <v>282</v>
      </c>
      <c r="C19739" s="46">
        <v>4727</v>
      </c>
      <c r="D19739" s="69" t="s">
        <v>29419</v>
      </c>
      <c r="E19739" s="51"/>
      <c r="F19739" s="114" t="str">
        <f>IF(INDEX(I.Facility.P3IDNumber,4727)="","",INDEX(I.Facility.P3IDNumber,4727))</f>
        <v/>
      </c>
      <c r="G19739" s="51"/>
      <c r="H19739" s="46" t="str">
        <f>IF(AND(I.Developer.P3=TRUE,I.Facility.P3FacilityCount&gt;=4727,F19739=""),"Incomplete","Complete")</f>
        <v>Complete</v>
      </c>
      <c r="I19739" s="48" t="s">
        <v>24104</v>
      </c>
    </row>
    <row r="19740" spans="2:9" ht="15" customHeight="1" x14ac:dyDescent="0.25">
      <c r="B19740" s="55" t="s">
        <v>282</v>
      </c>
      <c r="C19740" s="46">
        <v>4728</v>
      </c>
      <c r="D19740" s="69" t="s">
        <v>29419</v>
      </c>
      <c r="E19740" s="51"/>
      <c r="F19740" s="114" t="str">
        <f>IF(INDEX(I.Facility.P3IDNumber,4728)="","",INDEX(I.Facility.P3IDNumber,4728))</f>
        <v/>
      </c>
      <c r="G19740" s="51"/>
      <c r="H19740" s="46" t="str">
        <f>IF(AND(I.Developer.P3=TRUE,I.Facility.P3FacilityCount&gt;=4728,F19740=""),"Incomplete","Complete")</f>
        <v>Complete</v>
      </c>
      <c r="I19740" s="48" t="s">
        <v>24105</v>
      </c>
    </row>
    <row r="19741" spans="2:9" ht="15" customHeight="1" x14ac:dyDescent="0.25">
      <c r="B19741" s="55" t="s">
        <v>282</v>
      </c>
      <c r="C19741" s="46">
        <v>4729</v>
      </c>
      <c r="D19741" s="69" t="s">
        <v>29419</v>
      </c>
      <c r="E19741" s="51"/>
      <c r="F19741" s="114" t="str">
        <f>IF(INDEX(I.Facility.P3IDNumber,4729)="","",INDEX(I.Facility.P3IDNumber,4729))</f>
        <v/>
      </c>
      <c r="G19741" s="51"/>
      <c r="H19741" s="46" t="str">
        <f>IF(AND(I.Developer.P3=TRUE,I.Facility.P3FacilityCount&gt;=4729,F19741=""),"Incomplete","Complete")</f>
        <v>Complete</v>
      </c>
      <c r="I19741" s="48" t="s">
        <v>24106</v>
      </c>
    </row>
    <row r="19742" spans="2:9" ht="15" customHeight="1" x14ac:dyDescent="0.25">
      <c r="B19742" s="55" t="s">
        <v>282</v>
      </c>
      <c r="C19742" s="46">
        <v>4730</v>
      </c>
      <c r="D19742" s="69" t="s">
        <v>29419</v>
      </c>
      <c r="E19742" s="51"/>
      <c r="F19742" s="114" t="str">
        <f>IF(INDEX(I.Facility.P3IDNumber,4730)="","",INDEX(I.Facility.P3IDNumber,4730))</f>
        <v/>
      </c>
      <c r="G19742" s="51"/>
      <c r="H19742" s="46" t="str">
        <f>IF(AND(I.Developer.P3=TRUE,I.Facility.P3FacilityCount&gt;=4730,F19742=""),"Incomplete","Complete")</f>
        <v>Complete</v>
      </c>
      <c r="I19742" s="48" t="s">
        <v>24107</v>
      </c>
    </row>
    <row r="19743" spans="2:9" ht="15" customHeight="1" x14ac:dyDescent="0.25">
      <c r="B19743" s="55" t="s">
        <v>282</v>
      </c>
      <c r="C19743" s="46">
        <v>4731</v>
      </c>
      <c r="D19743" s="69" t="s">
        <v>29419</v>
      </c>
      <c r="E19743" s="51"/>
      <c r="F19743" s="114" t="str">
        <f>IF(INDEX(I.Facility.P3IDNumber,4731)="","",INDEX(I.Facility.P3IDNumber,4731))</f>
        <v/>
      </c>
      <c r="G19743" s="51"/>
      <c r="H19743" s="46" t="str">
        <f>IF(AND(I.Developer.P3=TRUE,I.Facility.P3FacilityCount&gt;=4731,F19743=""),"Incomplete","Complete")</f>
        <v>Complete</v>
      </c>
      <c r="I19743" s="48" t="s">
        <v>24108</v>
      </c>
    </row>
    <row r="19744" spans="2:9" ht="15" customHeight="1" x14ac:dyDescent="0.25">
      <c r="B19744" s="55" t="s">
        <v>282</v>
      </c>
      <c r="C19744" s="46">
        <v>4732</v>
      </c>
      <c r="D19744" s="69" t="s">
        <v>29419</v>
      </c>
      <c r="E19744" s="51"/>
      <c r="F19744" s="114" t="str">
        <f>IF(INDEX(I.Facility.P3IDNumber,4732)="","",INDEX(I.Facility.P3IDNumber,4732))</f>
        <v/>
      </c>
      <c r="G19744" s="51"/>
      <c r="H19744" s="46" t="str">
        <f>IF(AND(I.Developer.P3=TRUE,I.Facility.P3FacilityCount&gt;=4732,F19744=""),"Incomplete","Complete")</f>
        <v>Complete</v>
      </c>
      <c r="I19744" s="48" t="s">
        <v>24109</v>
      </c>
    </row>
    <row r="19745" spans="2:9" ht="15" customHeight="1" x14ac:dyDescent="0.25">
      <c r="B19745" s="55" t="s">
        <v>282</v>
      </c>
      <c r="C19745" s="46">
        <v>4733</v>
      </c>
      <c r="D19745" s="69" t="s">
        <v>29419</v>
      </c>
      <c r="E19745" s="51"/>
      <c r="F19745" s="114" t="str">
        <f>IF(INDEX(I.Facility.P3IDNumber,4733)="","",INDEX(I.Facility.P3IDNumber,4733))</f>
        <v/>
      </c>
      <c r="G19745" s="51"/>
      <c r="H19745" s="46" t="str">
        <f>IF(AND(I.Developer.P3=TRUE,I.Facility.P3FacilityCount&gt;=4733,F19745=""),"Incomplete","Complete")</f>
        <v>Complete</v>
      </c>
      <c r="I19745" s="48" t="s">
        <v>24110</v>
      </c>
    </row>
    <row r="19746" spans="2:9" ht="15" customHeight="1" x14ac:dyDescent="0.25">
      <c r="B19746" s="55" t="s">
        <v>282</v>
      </c>
      <c r="C19746" s="46">
        <v>4734</v>
      </c>
      <c r="D19746" s="69" t="s">
        <v>29419</v>
      </c>
      <c r="E19746" s="51"/>
      <c r="F19746" s="114" t="str">
        <f>IF(INDEX(I.Facility.P3IDNumber,4734)="","",INDEX(I.Facility.P3IDNumber,4734))</f>
        <v/>
      </c>
      <c r="G19746" s="51"/>
      <c r="H19746" s="46" t="str">
        <f>IF(AND(I.Developer.P3=TRUE,I.Facility.P3FacilityCount&gt;=4734,F19746=""),"Incomplete","Complete")</f>
        <v>Complete</v>
      </c>
      <c r="I19746" s="48" t="s">
        <v>24111</v>
      </c>
    </row>
    <row r="19747" spans="2:9" ht="15" customHeight="1" x14ac:dyDescent="0.25">
      <c r="B19747" s="55" t="s">
        <v>282</v>
      </c>
      <c r="C19747" s="46">
        <v>4735</v>
      </c>
      <c r="D19747" s="69" t="s">
        <v>29419</v>
      </c>
      <c r="E19747" s="51"/>
      <c r="F19747" s="114" t="str">
        <f>IF(INDEX(I.Facility.P3IDNumber,4735)="","",INDEX(I.Facility.P3IDNumber,4735))</f>
        <v/>
      </c>
      <c r="G19747" s="51"/>
      <c r="H19747" s="46" t="str">
        <f>IF(AND(I.Developer.P3=TRUE,I.Facility.P3FacilityCount&gt;=4735,F19747=""),"Incomplete","Complete")</f>
        <v>Complete</v>
      </c>
      <c r="I19747" s="48" t="s">
        <v>24112</v>
      </c>
    </row>
    <row r="19748" spans="2:9" ht="15" customHeight="1" x14ac:dyDescent="0.25">
      <c r="B19748" s="55" t="s">
        <v>282</v>
      </c>
      <c r="C19748" s="46">
        <v>4736</v>
      </c>
      <c r="D19748" s="69" t="s">
        <v>29419</v>
      </c>
      <c r="E19748" s="51"/>
      <c r="F19748" s="114" t="str">
        <f>IF(INDEX(I.Facility.P3IDNumber,4736)="","",INDEX(I.Facility.P3IDNumber,4736))</f>
        <v/>
      </c>
      <c r="G19748" s="51"/>
      <c r="H19748" s="46" t="str">
        <f>IF(AND(I.Developer.P3=TRUE,I.Facility.P3FacilityCount&gt;=4736,F19748=""),"Incomplete","Complete")</f>
        <v>Complete</v>
      </c>
      <c r="I19748" s="48" t="s">
        <v>24113</v>
      </c>
    </row>
    <row r="19749" spans="2:9" ht="15" customHeight="1" x14ac:dyDescent="0.25">
      <c r="B19749" s="55" t="s">
        <v>282</v>
      </c>
      <c r="C19749" s="46">
        <v>4737</v>
      </c>
      <c r="D19749" s="69" t="s">
        <v>29419</v>
      </c>
      <c r="E19749" s="51"/>
      <c r="F19749" s="114" t="str">
        <f>IF(INDEX(I.Facility.P3IDNumber,4737)="","",INDEX(I.Facility.P3IDNumber,4737))</f>
        <v/>
      </c>
      <c r="G19749" s="51"/>
      <c r="H19749" s="46" t="str">
        <f>IF(AND(I.Developer.P3=TRUE,I.Facility.P3FacilityCount&gt;=4737,F19749=""),"Incomplete","Complete")</f>
        <v>Complete</v>
      </c>
      <c r="I19749" s="48" t="s">
        <v>24114</v>
      </c>
    </row>
    <row r="19750" spans="2:9" ht="15" customHeight="1" x14ac:dyDescent="0.25">
      <c r="B19750" s="55" t="s">
        <v>282</v>
      </c>
      <c r="C19750" s="46">
        <v>4738</v>
      </c>
      <c r="D19750" s="69" t="s">
        <v>29419</v>
      </c>
      <c r="E19750" s="51"/>
      <c r="F19750" s="114" t="str">
        <f>IF(INDEX(I.Facility.P3IDNumber,4738)="","",INDEX(I.Facility.P3IDNumber,4738))</f>
        <v/>
      </c>
      <c r="G19750" s="51"/>
      <c r="H19750" s="46" t="str">
        <f>IF(AND(I.Developer.P3=TRUE,I.Facility.P3FacilityCount&gt;=4738,F19750=""),"Incomplete","Complete")</f>
        <v>Complete</v>
      </c>
      <c r="I19750" s="48" t="s">
        <v>24115</v>
      </c>
    </row>
    <row r="19751" spans="2:9" ht="15" customHeight="1" x14ac:dyDescent="0.25">
      <c r="B19751" s="55" t="s">
        <v>282</v>
      </c>
      <c r="C19751" s="46">
        <v>4739</v>
      </c>
      <c r="D19751" s="69" t="s">
        <v>29419</v>
      </c>
      <c r="E19751" s="51"/>
      <c r="F19751" s="114" t="str">
        <f>IF(INDEX(I.Facility.P3IDNumber,4739)="","",INDEX(I.Facility.P3IDNumber,4739))</f>
        <v/>
      </c>
      <c r="G19751" s="51"/>
      <c r="H19751" s="46" t="str">
        <f>IF(AND(I.Developer.P3=TRUE,I.Facility.P3FacilityCount&gt;=4739,F19751=""),"Incomplete","Complete")</f>
        <v>Complete</v>
      </c>
      <c r="I19751" s="48" t="s">
        <v>24116</v>
      </c>
    </row>
    <row r="19752" spans="2:9" ht="15" customHeight="1" x14ac:dyDescent="0.25">
      <c r="B19752" s="55" t="s">
        <v>282</v>
      </c>
      <c r="C19752" s="46">
        <v>4740</v>
      </c>
      <c r="D19752" s="69" t="s">
        <v>29419</v>
      </c>
      <c r="E19752" s="51"/>
      <c r="F19752" s="114" t="str">
        <f>IF(INDEX(I.Facility.P3IDNumber,4740)="","",INDEX(I.Facility.P3IDNumber,4740))</f>
        <v/>
      </c>
      <c r="G19752" s="51"/>
      <c r="H19752" s="46" t="str">
        <f>IF(AND(I.Developer.P3=TRUE,I.Facility.P3FacilityCount&gt;=4740,F19752=""),"Incomplete","Complete")</f>
        <v>Complete</v>
      </c>
      <c r="I19752" s="48" t="s">
        <v>24117</v>
      </c>
    </row>
    <row r="19753" spans="2:9" ht="15" customHeight="1" x14ac:dyDescent="0.25">
      <c r="B19753" s="55" t="s">
        <v>282</v>
      </c>
      <c r="C19753" s="46">
        <v>4741</v>
      </c>
      <c r="D19753" s="69" t="s">
        <v>29419</v>
      </c>
      <c r="E19753" s="51"/>
      <c r="F19753" s="114" t="str">
        <f>IF(INDEX(I.Facility.P3IDNumber,4741)="","",INDEX(I.Facility.P3IDNumber,4741))</f>
        <v/>
      </c>
      <c r="G19753" s="51"/>
      <c r="H19753" s="46" t="str">
        <f>IF(AND(I.Developer.P3=TRUE,I.Facility.P3FacilityCount&gt;=4741,F19753=""),"Incomplete","Complete")</f>
        <v>Complete</v>
      </c>
      <c r="I19753" s="48" t="s">
        <v>24118</v>
      </c>
    </row>
    <row r="19754" spans="2:9" ht="15" customHeight="1" x14ac:dyDescent="0.25">
      <c r="B19754" s="55" t="s">
        <v>282</v>
      </c>
      <c r="C19754" s="46">
        <v>4742</v>
      </c>
      <c r="D19754" s="69" t="s">
        <v>29419</v>
      </c>
      <c r="E19754" s="51"/>
      <c r="F19754" s="114" t="str">
        <f>IF(INDEX(I.Facility.P3IDNumber,4742)="","",INDEX(I.Facility.P3IDNumber,4742))</f>
        <v/>
      </c>
      <c r="G19754" s="51"/>
      <c r="H19754" s="46" t="str">
        <f>IF(AND(I.Developer.P3=TRUE,I.Facility.P3FacilityCount&gt;=4742,F19754=""),"Incomplete","Complete")</f>
        <v>Complete</v>
      </c>
      <c r="I19754" s="48" t="s">
        <v>24119</v>
      </c>
    </row>
    <row r="19755" spans="2:9" ht="15" customHeight="1" x14ac:dyDescent="0.25">
      <c r="B19755" s="55" t="s">
        <v>282</v>
      </c>
      <c r="C19755" s="46">
        <v>4743</v>
      </c>
      <c r="D19755" s="69" t="s">
        <v>29419</v>
      </c>
      <c r="E19755" s="51"/>
      <c r="F19755" s="114" t="str">
        <f>IF(INDEX(I.Facility.P3IDNumber,4743)="","",INDEX(I.Facility.P3IDNumber,4743))</f>
        <v/>
      </c>
      <c r="G19755" s="51"/>
      <c r="H19755" s="46" t="str">
        <f>IF(AND(I.Developer.P3=TRUE,I.Facility.P3FacilityCount&gt;=4743,F19755=""),"Incomplete","Complete")</f>
        <v>Complete</v>
      </c>
      <c r="I19755" s="48" t="s">
        <v>24120</v>
      </c>
    </row>
    <row r="19756" spans="2:9" ht="15" customHeight="1" x14ac:dyDescent="0.25">
      <c r="B19756" s="55" t="s">
        <v>282</v>
      </c>
      <c r="C19756" s="46">
        <v>4744</v>
      </c>
      <c r="D19756" s="69" t="s">
        <v>29419</v>
      </c>
      <c r="E19756" s="51"/>
      <c r="F19756" s="114" t="str">
        <f>IF(INDEX(I.Facility.P3IDNumber,4744)="","",INDEX(I.Facility.P3IDNumber,4744))</f>
        <v/>
      </c>
      <c r="G19756" s="51"/>
      <c r="H19756" s="46" t="str">
        <f>IF(AND(I.Developer.P3=TRUE,I.Facility.P3FacilityCount&gt;=4744,F19756=""),"Incomplete","Complete")</f>
        <v>Complete</v>
      </c>
      <c r="I19756" s="48" t="s">
        <v>24121</v>
      </c>
    </row>
    <row r="19757" spans="2:9" ht="15" customHeight="1" x14ac:dyDescent="0.25">
      <c r="B19757" s="55" t="s">
        <v>282</v>
      </c>
      <c r="C19757" s="46">
        <v>4745</v>
      </c>
      <c r="D19757" s="69" t="s">
        <v>29419</v>
      </c>
      <c r="E19757" s="51"/>
      <c r="F19757" s="114" t="str">
        <f>IF(INDEX(I.Facility.P3IDNumber,4745)="","",INDEX(I.Facility.P3IDNumber,4745))</f>
        <v/>
      </c>
      <c r="G19757" s="51"/>
      <c r="H19757" s="46" t="str">
        <f>IF(AND(I.Developer.P3=TRUE,I.Facility.P3FacilityCount&gt;=4745,F19757=""),"Incomplete","Complete")</f>
        <v>Complete</v>
      </c>
      <c r="I19757" s="48" t="s">
        <v>24122</v>
      </c>
    </row>
    <row r="19758" spans="2:9" ht="15" customHeight="1" x14ac:dyDescent="0.25">
      <c r="B19758" s="55" t="s">
        <v>282</v>
      </c>
      <c r="C19758" s="46">
        <v>4746</v>
      </c>
      <c r="D19758" s="69" t="s">
        <v>29419</v>
      </c>
      <c r="E19758" s="51"/>
      <c r="F19758" s="114" t="str">
        <f>IF(INDEX(I.Facility.P3IDNumber,4746)="","",INDEX(I.Facility.P3IDNumber,4746))</f>
        <v/>
      </c>
      <c r="G19758" s="51"/>
      <c r="H19758" s="46" t="str">
        <f>IF(AND(I.Developer.P3=TRUE,I.Facility.P3FacilityCount&gt;=4746,F19758=""),"Incomplete","Complete")</f>
        <v>Complete</v>
      </c>
      <c r="I19758" s="48" t="s">
        <v>24123</v>
      </c>
    </row>
    <row r="19759" spans="2:9" ht="15" customHeight="1" x14ac:dyDescent="0.25">
      <c r="B19759" s="55" t="s">
        <v>282</v>
      </c>
      <c r="C19759" s="46">
        <v>4747</v>
      </c>
      <c r="D19759" s="69" t="s">
        <v>29419</v>
      </c>
      <c r="E19759" s="51"/>
      <c r="F19759" s="114" t="str">
        <f>IF(INDEX(I.Facility.P3IDNumber,4747)="","",INDEX(I.Facility.P3IDNumber,4747))</f>
        <v/>
      </c>
      <c r="G19759" s="51"/>
      <c r="H19759" s="46" t="str">
        <f>IF(AND(I.Developer.P3=TRUE,I.Facility.P3FacilityCount&gt;=4747,F19759=""),"Incomplete","Complete")</f>
        <v>Complete</v>
      </c>
      <c r="I19759" s="48" t="s">
        <v>24124</v>
      </c>
    </row>
    <row r="19760" spans="2:9" ht="15" customHeight="1" x14ac:dyDescent="0.25">
      <c r="B19760" s="55" t="s">
        <v>282</v>
      </c>
      <c r="C19760" s="46">
        <v>4748</v>
      </c>
      <c r="D19760" s="69" t="s">
        <v>29419</v>
      </c>
      <c r="E19760" s="51"/>
      <c r="F19760" s="114" t="str">
        <f>IF(INDEX(I.Facility.P3IDNumber,4748)="","",INDEX(I.Facility.P3IDNumber,4748))</f>
        <v/>
      </c>
      <c r="G19760" s="51"/>
      <c r="H19760" s="46" t="str">
        <f>IF(AND(I.Developer.P3=TRUE,I.Facility.P3FacilityCount&gt;=4748,F19760=""),"Incomplete","Complete")</f>
        <v>Complete</v>
      </c>
      <c r="I19760" s="48" t="s">
        <v>24125</v>
      </c>
    </row>
    <row r="19761" spans="2:9" ht="15" customHeight="1" x14ac:dyDescent="0.25">
      <c r="B19761" s="55" t="s">
        <v>282</v>
      </c>
      <c r="C19761" s="46">
        <v>4749</v>
      </c>
      <c r="D19761" s="69" t="s">
        <v>29419</v>
      </c>
      <c r="E19761" s="51"/>
      <c r="F19761" s="114" t="str">
        <f>IF(INDEX(I.Facility.P3IDNumber,4749)="","",INDEX(I.Facility.P3IDNumber,4749))</f>
        <v/>
      </c>
      <c r="G19761" s="51"/>
      <c r="H19761" s="46" t="str">
        <f>IF(AND(I.Developer.P3=TRUE,I.Facility.P3FacilityCount&gt;=4749,F19761=""),"Incomplete","Complete")</f>
        <v>Complete</v>
      </c>
      <c r="I19761" s="48" t="s">
        <v>24126</v>
      </c>
    </row>
    <row r="19762" spans="2:9" ht="15" customHeight="1" x14ac:dyDescent="0.25">
      <c r="B19762" s="55" t="s">
        <v>282</v>
      </c>
      <c r="C19762" s="46">
        <v>4750</v>
      </c>
      <c r="D19762" s="69" t="s">
        <v>29419</v>
      </c>
      <c r="E19762" s="51"/>
      <c r="F19762" s="114" t="str">
        <f>IF(INDEX(I.Facility.P3IDNumber,4750)="","",INDEX(I.Facility.P3IDNumber,4750))</f>
        <v/>
      </c>
      <c r="G19762" s="51"/>
      <c r="H19762" s="46" t="str">
        <f>IF(AND(I.Developer.P3=TRUE,I.Facility.P3FacilityCount&gt;=4750,F19762=""),"Incomplete","Complete")</f>
        <v>Complete</v>
      </c>
      <c r="I19762" s="48" t="s">
        <v>24127</v>
      </c>
    </row>
    <row r="19763" spans="2:9" ht="15" customHeight="1" x14ac:dyDescent="0.25">
      <c r="B19763" s="55" t="s">
        <v>282</v>
      </c>
      <c r="C19763" s="46">
        <v>4751</v>
      </c>
      <c r="D19763" s="69" t="s">
        <v>29419</v>
      </c>
      <c r="E19763" s="51"/>
      <c r="F19763" s="114" t="str">
        <f>IF(INDEX(I.Facility.P3IDNumber,4751)="","",INDEX(I.Facility.P3IDNumber,4751))</f>
        <v/>
      </c>
      <c r="G19763" s="51"/>
      <c r="H19763" s="46" t="str">
        <f>IF(AND(I.Developer.P3=TRUE,I.Facility.P3FacilityCount&gt;=4751,F19763=""),"Incomplete","Complete")</f>
        <v>Complete</v>
      </c>
      <c r="I19763" s="48" t="s">
        <v>24128</v>
      </c>
    </row>
    <row r="19764" spans="2:9" ht="15" customHeight="1" x14ac:dyDescent="0.25">
      <c r="B19764" s="55" t="s">
        <v>282</v>
      </c>
      <c r="C19764" s="46">
        <v>4752</v>
      </c>
      <c r="D19764" s="69" t="s">
        <v>29419</v>
      </c>
      <c r="E19764" s="51"/>
      <c r="F19764" s="114" t="str">
        <f>IF(INDEX(I.Facility.P3IDNumber,4752)="","",INDEX(I.Facility.P3IDNumber,4752))</f>
        <v/>
      </c>
      <c r="G19764" s="51"/>
      <c r="H19764" s="46" t="str">
        <f>IF(AND(I.Developer.P3=TRUE,I.Facility.P3FacilityCount&gt;=4752,F19764=""),"Incomplete","Complete")</f>
        <v>Complete</v>
      </c>
      <c r="I19764" s="48" t="s">
        <v>24129</v>
      </c>
    </row>
    <row r="19765" spans="2:9" ht="15" customHeight="1" x14ac:dyDescent="0.25">
      <c r="B19765" s="55" t="s">
        <v>282</v>
      </c>
      <c r="C19765" s="46">
        <v>4753</v>
      </c>
      <c r="D19765" s="69" t="s">
        <v>29419</v>
      </c>
      <c r="E19765" s="51"/>
      <c r="F19765" s="114" t="str">
        <f>IF(INDEX(I.Facility.P3IDNumber,4753)="","",INDEX(I.Facility.P3IDNumber,4753))</f>
        <v/>
      </c>
      <c r="G19765" s="51"/>
      <c r="H19765" s="46" t="str">
        <f>IF(AND(I.Developer.P3=TRUE,I.Facility.P3FacilityCount&gt;=4753,F19765=""),"Incomplete","Complete")</f>
        <v>Complete</v>
      </c>
      <c r="I19765" s="48" t="s">
        <v>24130</v>
      </c>
    </row>
    <row r="19766" spans="2:9" ht="15" customHeight="1" x14ac:dyDescent="0.25">
      <c r="B19766" s="55" t="s">
        <v>282</v>
      </c>
      <c r="C19766" s="46">
        <v>4754</v>
      </c>
      <c r="D19766" s="69" t="s">
        <v>29419</v>
      </c>
      <c r="E19766" s="51"/>
      <c r="F19766" s="114" t="str">
        <f>IF(INDEX(I.Facility.P3IDNumber,4754)="","",INDEX(I.Facility.P3IDNumber,4754))</f>
        <v/>
      </c>
      <c r="G19766" s="51"/>
      <c r="H19766" s="46" t="str">
        <f>IF(AND(I.Developer.P3=TRUE,I.Facility.P3FacilityCount&gt;=4754,F19766=""),"Incomplete","Complete")</f>
        <v>Complete</v>
      </c>
      <c r="I19766" s="48" t="s">
        <v>24131</v>
      </c>
    </row>
    <row r="19767" spans="2:9" ht="15" customHeight="1" x14ac:dyDescent="0.25">
      <c r="B19767" s="55" t="s">
        <v>282</v>
      </c>
      <c r="C19767" s="46">
        <v>4755</v>
      </c>
      <c r="D19767" s="69" t="s">
        <v>29419</v>
      </c>
      <c r="E19767" s="51"/>
      <c r="F19767" s="114" t="str">
        <f>IF(INDEX(I.Facility.P3IDNumber,4755)="","",INDEX(I.Facility.P3IDNumber,4755))</f>
        <v/>
      </c>
      <c r="G19767" s="51"/>
      <c r="H19767" s="46" t="str">
        <f>IF(AND(I.Developer.P3=TRUE,I.Facility.P3FacilityCount&gt;=4755,F19767=""),"Incomplete","Complete")</f>
        <v>Complete</v>
      </c>
      <c r="I19767" s="48" t="s">
        <v>24132</v>
      </c>
    </row>
    <row r="19768" spans="2:9" ht="15" customHeight="1" x14ac:dyDescent="0.25">
      <c r="B19768" s="55" t="s">
        <v>282</v>
      </c>
      <c r="C19768" s="46">
        <v>4756</v>
      </c>
      <c r="D19768" s="69" t="s">
        <v>29419</v>
      </c>
      <c r="E19768" s="51"/>
      <c r="F19768" s="114" t="str">
        <f>IF(INDEX(I.Facility.P3IDNumber,4756)="","",INDEX(I.Facility.P3IDNumber,4756))</f>
        <v/>
      </c>
      <c r="G19768" s="51"/>
      <c r="H19768" s="46" t="str">
        <f>IF(AND(I.Developer.P3=TRUE,I.Facility.P3FacilityCount&gt;=4756,F19768=""),"Incomplete","Complete")</f>
        <v>Complete</v>
      </c>
      <c r="I19768" s="48" t="s">
        <v>24133</v>
      </c>
    </row>
    <row r="19769" spans="2:9" ht="15" customHeight="1" x14ac:dyDescent="0.25">
      <c r="B19769" s="55" t="s">
        <v>282</v>
      </c>
      <c r="C19769" s="46">
        <v>4757</v>
      </c>
      <c r="D19769" s="69" t="s">
        <v>29419</v>
      </c>
      <c r="E19769" s="51"/>
      <c r="F19769" s="114" t="str">
        <f>IF(INDEX(I.Facility.P3IDNumber,4757)="","",INDEX(I.Facility.P3IDNumber,4757))</f>
        <v/>
      </c>
      <c r="G19769" s="51"/>
      <c r="H19769" s="46" t="str">
        <f>IF(AND(I.Developer.P3=TRUE,I.Facility.P3FacilityCount&gt;=4757,F19769=""),"Incomplete","Complete")</f>
        <v>Complete</v>
      </c>
      <c r="I19769" s="48" t="s">
        <v>24134</v>
      </c>
    </row>
    <row r="19770" spans="2:9" ht="15" customHeight="1" x14ac:dyDescent="0.25">
      <c r="B19770" s="55" t="s">
        <v>282</v>
      </c>
      <c r="C19770" s="46">
        <v>4758</v>
      </c>
      <c r="D19770" s="69" t="s">
        <v>29419</v>
      </c>
      <c r="E19770" s="51"/>
      <c r="F19770" s="114" t="str">
        <f>IF(INDEX(I.Facility.P3IDNumber,4758)="","",INDEX(I.Facility.P3IDNumber,4758))</f>
        <v/>
      </c>
      <c r="G19770" s="51"/>
      <c r="H19770" s="46" t="str">
        <f>IF(AND(I.Developer.P3=TRUE,I.Facility.P3FacilityCount&gt;=4758,F19770=""),"Incomplete","Complete")</f>
        <v>Complete</v>
      </c>
      <c r="I19770" s="48" t="s">
        <v>24135</v>
      </c>
    </row>
    <row r="19771" spans="2:9" ht="15" customHeight="1" x14ac:dyDescent="0.25">
      <c r="B19771" s="55" t="s">
        <v>282</v>
      </c>
      <c r="C19771" s="46">
        <v>4759</v>
      </c>
      <c r="D19771" s="69" t="s">
        <v>29419</v>
      </c>
      <c r="E19771" s="51"/>
      <c r="F19771" s="114" t="str">
        <f>IF(INDEX(I.Facility.P3IDNumber,4759)="","",INDEX(I.Facility.P3IDNumber,4759))</f>
        <v/>
      </c>
      <c r="G19771" s="51"/>
      <c r="H19771" s="46" t="str">
        <f>IF(AND(I.Developer.P3=TRUE,I.Facility.P3FacilityCount&gt;=4759,F19771=""),"Incomplete","Complete")</f>
        <v>Complete</v>
      </c>
      <c r="I19771" s="48" t="s">
        <v>24136</v>
      </c>
    </row>
    <row r="19772" spans="2:9" ht="15" customHeight="1" x14ac:dyDescent="0.25">
      <c r="B19772" s="55" t="s">
        <v>282</v>
      </c>
      <c r="C19772" s="46">
        <v>4760</v>
      </c>
      <c r="D19772" s="69" t="s">
        <v>29419</v>
      </c>
      <c r="E19772" s="51"/>
      <c r="F19772" s="114" t="str">
        <f>IF(INDEX(I.Facility.P3IDNumber,4760)="","",INDEX(I.Facility.P3IDNumber,4760))</f>
        <v/>
      </c>
      <c r="G19772" s="51"/>
      <c r="H19772" s="46" t="str">
        <f>IF(AND(I.Developer.P3=TRUE,I.Facility.P3FacilityCount&gt;=4760,F19772=""),"Incomplete","Complete")</f>
        <v>Complete</v>
      </c>
      <c r="I19772" s="48" t="s">
        <v>24137</v>
      </c>
    </row>
    <row r="19773" spans="2:9" ht="15" customHeight="1" x14ac:dyDescent="0.25">
      <c r="B19773" s="55" t="s">
        <v>282</v>
      </c>
      <c r="C19773" s="46">
        <v>4761</v>
      </c>
      <c r="D19773" s="69" t="s">
        <v>29419</v>
      </c>
      <c r="E19773" s="51"/>
      <c r="F19773" s="114" t="str">
        <f>IF(INDEX(I.Facility.P3IDNumber,4761)="","",INDEX(I.Facility.P3IDNumber,4761))</f>
        <v/>
      </c>
      <c r="G19773" s="51"/>
      <c r="H19773" s="46" t="str">
        <f>IF(AND(I.Developer.P3=TRUE,I.Facility.P3FacilityCount&gt;=4761,F19773=""),"Incomplete","Complete")</f>
        <v>Complete</v>
      </c>
      <c r="I19773" s="48" t="s">
        <v>24138</v>
      </c>
    </row>
    <row r="19774" spans="2:9" ht="15" customHeight="1" x14ac:dyDescent="0.25">
      <c r="B19774" s="55" t="s">
        <v>282</v>
      </c>
      <c r="C19774" s="46">
        <v>4762</v>
      </c>
      <c r="D19774" s="69" t="s">
        <v>29419</v>
      </c>
      <c r="E19774" s="51"/>
      <c r="F19774" s="114" t="str">
        <f>IF(INDEX(I.Facility.P3IDNumber,4762)="","",INDEX(I.Facility.P3IDNumber,4762))</f>
        <v/>
      </c>
      <c r="G19774" s="51"/>
      <c r="H19774" s="46" t="str">
        <f>IF(AND(I.Developer.P3=TRUE,I.Facility.P3FacilityCount&gt;=4762,F19774=""),"Incomplete","Complete")</f>
        <v>Complete</v>
      </c>
      <c r="I19774" s="48" t="s">
        <v>24139</v>
      </c>
    </row>
    <row r="19775" spans="2:9" ht="15" customHeight="1" x14ac:dyDescent="0.25">
      <c r="B19775" s="55" t="s">
        <v>282</v>
      </c>
      <c r="C19775" s="46">
        <v>4763</v>
      </c>
      <c r="D19775" s="69" t="s">
        <v>29419</v>
      </c>
      <c r="E19775" s="51"/>
      <c r="F19775" s="114" t="str">
        <f>IF(INDEX(I.Facility.P3IDNumber,4763)="","",INDEX(I.Facility.P3IDNumber,4763))</f>
        <v/>
      </c>
      <c r="G19775" s="51"/>
      <c r="H19775" s="46" t="str">
        <f>IF(AND(I.Developer.P3=TRUE,I.Facility.P3FacilityCount&gt;=4763,F19775=""),"Incomplete","Complete")</f>
        <v>Complete</v>
      </c>
      <c r="I19775" s="48" t="s">
        <v>24140</v>
      </c>
    </row>
    <row r="19776" spans="2:9" ht="15" customHeight="1" x14ac:dyDescent="0.25">
      <c r="B19776" s="55" t="s">
        <v>282</v>
      </c>
      <c r="C19776" s="46">
        <v>4764</v>
      </c>
      <c r="D19776" s="69" t="s">
        <v>29419</v>
      </c>
      <c r="E19776" s="51"/>
      <c r="F19776" s="114" t="str">
        <f>IF(INDEX(I.Facility.P3IDNumber,4764)="","",INDEX(I.Facility.P3IDNumber,4764))</f>
        <v/>
      </c>
      <c r="G19776" s="51"/>
      <c r="H19776" s="46" t="str">
        <f>IF(AND(I.Developer.P3=TRUE,I.Facility.P3FacilityCount&gt;=4764,F19776=""),"Incomplete","Complete")</f>
        <v>Complete</v>
      </c>
      <c r="I19776" s="48" t="s">
        <v>24141</v>
      </c>
    </row>
    <row r="19777" spans="2:9" ht="15" customHeight="1" x14ac:dyDescent="0.25">
      <c r="B19777" s="55" t="s">
        <v>282</v>
      </c>
      <c r="C19777" s="46">
        <v>4765</v>
      </c>
      <c r="D19777" s="69" t="s">
        <v>29419</v>
      </c>
      <c r="E19777" s="51"/>
      <c r="F19777" s="114" t="str">
        <f>IF(INDEX(I.Facility.P3IDNumber,4765)="","",INDEX(I.Facility.P3IDNumber,4765))</f>
        <v/>
      </c>
      <c r="G19777" s="51"/>
      <c r="H19777" s="46" t="str">
        <f>IF(AND(I.Developer.P3=TRUE,I.Facility.P3FacilityCount&gt;=4765,F19777=""),"Incomplete","Complete")</f>
        <v>Complete</v>
      </c>
      <c r="I19777" s="48" t="s">
        <v>24142</v>
      </c>
    </row>
    <row r="19778" spans="2:9" ht="15" customHeight="1" x14ac:dyDescent="0.25">
      <c r="B19778" s="55" t="s">
        <v>282</v>
      </c>
      <c r="C19778" s="46">
        <v>4766</v>
      </c>
      <c r="D19778" s="69" t="s">
        <v>29419</v>
      </c>
      <c r="E19778" s="51"/>
      <c r="F19778" s="114" t="str">
        <f>IF(INDEX(I.Facility.P3IDNumber,4766)="","",INDEX(I.Facility.P3IDNumber,4766))</f>
        <v/>
      </c>
      <c r="G19778" s="51"/>
      <c r="H19778" s="46" t="str">
        <f>IF(AND(I.Developer.P3=TRUE,I.Facility.P3FacilityCount&gt;=4766,F19778=""),"Incomplete","Complete")</f>
        <v>Complete</v>
      </c>
      <c r="I19778" s="48" t="s">
        <v>24143</v>
      </c>
    </row>
    <row r="19779" spans="2:9" ht="15" customHeight="1" x14ac:dyDescent="0.25">
      <c r="B19779" s="55" t="s">
        <v>282</v>
      </c>
      <c r="C19779" s="46">
        <v>4767</v>
      </c>
      <c r="D19779" s="69" t="s">
        <v>29419</v>
      </c>
      <c r="E19779" s="51"/>
      <c r="F19779" s="114" t="str">
        <f>IF(INDEX(I.Facility.P3IDNumber,4767)="","",INDEX(I.Facility.P3IDNumber,4767))</f>
        <v/>
      </c>
      <c r="G19779" s="51"/>
      <c r="H19779" s="46" t="str">
        <f>IF(AND(I.Developer.P3=TRUE,I.Facility.P3FacilityCount&gt;=4767,F19779=""),"Incomplete","Complete")</f>
        <v>Complete</v>
      </c>
      <c r="I19779" s="48" t="s">
        <v>24144</v>
      </c>
    </row>
    <row r="19780" spans="2:9" ht="15" customHeight="1" x14ac:dyDescent="0.25">
      <c r="B19780" s="55" t="s">
        <v>282</v>
      </c>
      <c r="C19780" s="46">
        <v>4768</v>
      </c>
      <c r="D19780" s="69" t="s">
        <v>29419</v>
      </c>
      <c r="E19780" s="51"/>
      <c r="F19780" s="114" t="str">
        <f>IF(INDEX(I.Facility.P3IDNumber,4768)="","",INDEX(I.Facility.P3IDNumber,4768))</f>
        <v/>
      </c>
      <c r="G19780" s="51"/>
      <c r="H19780" s="46" t="str">
        <f>IF(AND(I.Developer.P3=TRUE,I.Facility.P3FacilityCount&gt;=4768,F19780=""),"Incomplete","Complete")</f>
        <v>Complete</v>
      </c>
      <c r="I19780" s="48" t="s">
        <v>24145</v>
      </c>
    </row>
    <row r="19781" spans="2:9" ht="15" customHeight="1" x14ac:dyDescent="0.25">
      <c r="B19781" s="55" t="s">
        <v>282</v>
      </c>
      <c r="C19781" s="46">
        <v>4769</v>
      </c>
      <c r="D19781" s="69" t="s">
        <v>29419</v>
      </c>
      <c r="E19781" s="51"/>
      <c r="F19781" s="114" t="str">
        <f>IF(INDEX(I.Facility.P3IDNumber,4769)="","",INDEX(I.Facility.P3IDNumber,4769))</f>
        <v/>
      </c>
      <c r="G19781" s="51"/>
      <c r="H19781" s="46" t="str">
        <f>IF(AND(I.Developer.P3=TRUE,I.Facility.P3FacilityCount&gt;=4769,F19781=""),"Incomplete","Complete")</f>
        <v>Complete</v>
      </c>
      <c r="I19781" s="48" t="s">
        <v>24146</v>
      </c>
    </row>
    <row r="19782" spans="2:9" ht="15" customHeight="1" x14ac:dyDescent="0.25">
      <c r="B19782" s="55" t="s">
        <v>282</v>
      </c>
      <c r="C19782" s="46">
        <v>4770</v>
      </c>
      <c r="D19782" s="69" t="s">
        <v>29419</v>
      </c>
      <c r="E19782" s="51"/>
      <c r="F19782" s="114" t="str">
        <f>IF(INDEX(I.Facility.P3IDNumber,4770)="","",INDEX(I.Facility.P3IDNumber,4770))</f>
        <v/>
      </c>
      <c r="G19782" s="51"/>
      <c r="H19782" s="46" t="str">
        <f>IF(AND(I.Developer.P3=TRUE,I.Facility.P3FacilityCount&gt;=4770,F19782=""),"Incomplete","Complete")</f>
        <v>Complete</v>
      </c>
      <c r="I19782" s="48" t="s">
        <v>24147</v>
      </c>
    </row>
    <row r="19783" spans="2:9" ht="15" customHeight="1" x14ac:dyDescent="0.25">
      <c r="B19783" s="55" t="s">
        <v>282</v>
      </c>
      <c r="C19783" s="46">
        <v>4771</v>
      </c>
      <c r="D19783" s="69" t="s">
        <v>29419</v>
      </c>
      <c r="E19783" s="51"/>
      <c r="F19783" s="114" t="str">
        <f>IF(INDEX(I.Facility.P3IDNumber,4771)="","",INDEX(I.Facility.P3IDNumber,4771))</f>
        <v/>
      </c>
      <c r="G19783" s="51"/>
      <c r="H19783" s="46" t="str">
        <f>IF(AND(I.Developer.P3=TRUE,I.Facility.P3FacilityCount&gt;=4771,F19783=""),"Incomplete","Complete")</f>
        <v>Complete</v>
      </c>
      <c r="I19783" s="48" t="s">
        <v>24148</v>
      </c>
    </row>
    <row r="19784" spans="2:9" ht="15" customHeight="1" x14ac:dyDescent="0.25">
      <c r="B19784" s="55" t="s">
        <v>282</v>
      </c>
      <c r="C19784" s="46">
        <v>4772</v>
      </c>
      <c r="D19784" s="69" t="s">
        <v>29419</v>
      </c>
      <c r="E19784" s="51"/>
      <c r="F19784" s="114" t="str">
        <f>IF(INDEX(I.Facility.P3IDNumber,4772)="","",INDEX(I.Facility.P3IDNumber,4772))</f>
        <v/>
      </c>
      <c r="G19784" s="51"/>
      <c r="H19784" s="46" t="str">
        <f>IF(AND(I.Developer.P3=TRUE,I.Facility.P3FacilityCount&gt;=4772,F19784=""),"Incomplete","Complete")</f>
        <v>Complete</v>
      </c>
      <c r="I19784" s="48" t="s">
        <v>24149</v>
      </c>
    </row>
    <row r="19785" spans="2:9" ht="15" customHeight="1" x14ac:dyDescent="0.25">
      <c r="B19785" s="55" t="s">
        <v>282</v>
      </c>
      <c r="C19785" s="46">
        <v>4773</v>
      </c>
      <c r="D19785" s="69" t="s">
        <v>29419</v>
      </c>
      <c r="E19785" s="51"/>
      <c r="F19785" s="114" t="str">
        <f>IF(INDEX(I.Facility.P3IDNumber,4773)="","",INDEX(I.Facility.P3IDNumber,4773))</f>
        <v/>
      </c>
      <c r="G19785" s="51"/>
      <c r="H19785" s="46" t="str">
        <f>IF(AND(I.Developer.P3=TRUE,I.Facility.P3FacilityCount&gt;=4773,F19785=""),"Incomplete","Complete")</f>
        <v>Complete</v>
      </c>
      <c r="I19785" s="48" t="s">
        <v>24150</v>
      </c>
    </row>
    <row r="19786" spans="2:9" ht="15" customHeight="1" x14ac:dyDescent="0.25">
      <c r="B19786" s="55" t="s">
        <v>282</v>
      </c>
      <c r="C19786" s="46">
        <v>4774</v>
      </c>
      <c r="D19786" s="69" t="s">
        <v>29419</v>
      </c>
      <c r="E19786" s="51"/>
      <c r="F19786" s="114" t="str">
        <f>IF(INDEX(I.Facility.P3IDNumber,4774)="","",INDEX(I.Facility.P3IDNumber,4774))</f>
        <v/>
      </c>
      <c r="G19786" s="51"/>
      <c r="H19786" s="46" t="str">
        <f>IF(AND(I.Developer.P3=TRUE,I.Facility.P3FacilityCount&gt;=4774,F19786=""),"Incomplete","Complete")</f>
        <v>Complete</v>
      </c>
      <c r="I19786" s="48" t="s">
        <v>24151</v>
      </c>
    </row>
    <row r="19787" spans="2:9" ht="15" customHeight="1" x14ac:dyDescent="0.25">
      <c r="B19787" s="55" t="s">
        <v>282</v>
      </c>
      <c r="C19787" s="46">
        <v>4775</v>
      </c>
      <c r="D19787" s="69" t="s">
        <v>29419</v>
      </c>
      <c r="E19787" s="51"/>
      <c r="F19787" s="114" t="str">
        <f>IF(INDEX(I.Facility.P3IDNumber,4775)="","",INDEX(I.Facility.P3IDNumber,4775))</f>
        <v/>
      </c>
      <c r="G19787" s="51"/>
      <c r="H19787" s="46" t="str">
        <f>IF(AND(I.Developer.P3=TRUE,I.Facility.P3FacilityCount&gt;=4775,F19787=""),"Incomplete","Complete")</f>
        <v>Complete</v>
      </c>
      <c r="I19787" s="48" t="s">
        <v>24152</v>
      </c>
    </row>
    <row r="19788" spans="2:9" ht="15" customHeight="1" x14ac:dyDescent="0.25">
      <c r="B19788" s="55" t="s">
        <v>282</v>
      </c>
      <c r="C19788" s="46">
        <v>4776</v>
      </c>
      <c r="D19788" s="69" t="s">
        <v>29419</v>
      </c>
      <c r="E19788" s="51"/>
      <c r="F19788" s="114" t="str">
        <f>IF(INDEX(I.Facility.P3IDNumber,4776)="","",INDEX(I.Facility.P3IDNumber,4776))</f>
        <v/>
      </c>
      <c r="G19788" s="51"/>
      <c r="H19788" s="46" t="str">
        <f>IF(AND(I.Developer.P3=TRUE,I.Facility.P3FacilityCount&gt;=4776,F19788=""),"Incomplete","Complete")</f>
        <v>Complete</v>
      </c>
      <c r="I19788" s="48" t="s">
        <v>24153</v>
      </c>
    </row>
    <row r="19789" spans="2:9" ht="15" customHeight="1" x14ac:dyDescent="0.25">
      <c r="B19789" s="55" t="s">
        <v>282</v>
      </c>
      <c r="C19789" s="46">
        <v>4777</v>
      </c>
      <c r="D19789" s="69" t="s">
        <v>29419</v>
      </c>
      <c r="E19789" s="51"/>
      <c r="F19789" s="114" t="str">
        <f>IF(INDEX(I.Facility.P3IDNumber,4777)="","",INDEX(I.Facility.P3IDNumber,4777))</f>
        <v/>
      </c>
      <c r="G19789" s="51"/>
      <c r="H19789" s="46" t="str">
        <f>IF(AND(I.Developer.P3=TRUE,I.Facility.P3FacilityCount&gt;=4777,F19789=""),"Incomplete","Complete")</f>
        <v>Complete</v>
      </c>
      <c r="I19789" s="48" t="s">
        <v>24154</v>
      </c>
    </row>
    <row r="19790" spans="2:9" ht="15" customHeight="1" x14ac:dyDescent="0.25">
      <c r="B19790" s="55" t="s">
        <v>282</v>
      </c>
      <c r="C19790" s="46">
        <v>4778</v>
      </c>
      <c r="D19790" s="69" t="s">
        <v>29419</v>
      </c>
      <c r="E19790" s="51"/>
      <c r="F19790" s="114" t="str">
        <f>IF(INDEX(I.Facility.P3IDNumber,4778)="","",INDEX(I.Facility.P3IDNumber,4778))</f>
        <v/>
      </c>
      <c r="G19790" s="51"/>
      <c r="H19790" s="46" t="str">
        <f>IF(AND(I.Developer.P3=TRUE,I.Facility.P3FacilityCount&gt;=4778,F19790=""),"Incomplete","Complete")</f>
        <v>Complete</v>
      </c>
      <c r="I19790" s="48" t="s">
        <v>24155</v>
      </c>
    </row>
    <row r="19791" spans="2:9" ht="15" customHeight="1" x14ac:dyDescent="0.25">
      <c r="B19791" s="55" t="s">
        <v>282</v>
      </c>
      <c r="C19791" s="46">
        <v>4779</v>
      </c>
      <c r="D19791" s="69" t="s">
        <v>29419</v>
      </c>
      <c r="E19791" s="51"/>
      <c r="F19791" s="114" t="str">
        <f>IF(INDEX(I.Facility.P3IDNumber,4779)="","",INDEX(I.Facility.P3IDNumber,4779))</f>
        <v/>
      </c>
      <c r="G19791" s="51"/>
      <c r="H19791" s="46" t="str">
        <f>IF(AND(I.Developer.P3=TRUE,I.Facility.P3FacilityCount&gt;=4779,F19791=""),"Incomplete","Complete")</f>
        <v>Complete</v>
      </c>
      <c r="I19791" s="48" t="s">
        <v>24156</v>
      </c>
    </row>
    <row r="19792" spans="2:9" ht="15" customHeight="1" x14ac:dyDescent="0.25">
      <c r="B19792" s="55" t="s">
        <v>282</v>
      </c>
      <c r="C19792" s="46">
        <v>4780</v>
      </c>
      <c r="D19792" s="69" t="s">
        <v>29419</v>
      </c>
      <c r="E19792" s="51"/>
      <c r="F19792" s="114" t="str">
        <f>IF(INDEX(I.Facility.P3IDNumber,4780)="","",INDEX(I.Facility.P3IDNumber,4780))</f>
        <v/>
      </c>
      <c r="G19792" s="51"/>
      <c r="H19792" s="46" t="str">
        <f>IF(AND(I.Developer.P3=TRUE,I.Facility.P3FacilityCount&gt;=4780,F19792=""),"Incomplete","Complete")</f>
        <v>Complete</v>
      </c>
      <c r="I19792" s="48" t="s">
        <v>24157</v>
      </c>
    </row>
    <row r="19793" spans="2:9" ht="15" customHeight="1" x14ac:dyDescent="0.25">
      <c r="B19793" s="55" t="s">
        <v>282</v>
      </c>
      <c r="C19793" s="46">
        <v>4781</v>
      </c>
      <c r="D19793" s="69" t="s">
        <v>29419</v>
      </c>
      <c r="E19793" s="51"/>
      <c r="F19793" s="114" t="str">
        <f>IF(INDEX(I.Facility.P3IDNumber,4781)="","",INDEX(I.Facility.P3IDNumber,4781))</f>
        <v/>
      </c>
      <c r="G19793" s="51"/>
      <c r="H19793" s="46" t="str">
        <f>IF(AND(I.Developer.P3=TRUE,I.Facility.P3FacilityCount&gt;=4781,F19793=""),"Incomplete","Complete")</f>
        <v>Complete</v>
      </c>
      <c r="I19793" s="48" t="s">
        <v>24158</v>
      </c>
    </row>
    <row r="19794" spans="2:9" ht="15" customHeight="1" x14ac:dyDescent="0.25">
      <c r="B19794" s="55" t="s">
        <v>282</v>
      </c>
      <c r="C19794" s="46">
        <v>4782</v>
      </c>
      <c r="D19794" s="69" t="s">
        <v>29419</v>
      </c>
      <c r="E19794" s="51"/>
      <c r="F19794" s="114" t="str">
        <f>IF(INDEX(I.Facility.P3IDNumber,4782)="","",INDEX(I.Facility.P3IDNumber,4782))</f>
        <v/>
      </c>
      <c r="G19794" s="51"/>
      <c r="H19794" s="46" t="str">
        <f>IF(AND(I.Developer.P3=TRUE,I.Facility.P3FacilityCount&gt;=4782,F19794=""),"Incomplete","Complete")</f>
        <v>Complete</v>
      </c>
      <c r="I19794" s="48" t="s">
        <v>24159</v>
      </c>
    </row>
    <row r="19795" spans="2:9" ht="15" customHeight="1" x14ac:dyDescent="0.25">
      <c r="B19795" s="55" t="s">
        <v>282</v>
      </c>
      <c r="C19795" s="46">
        <v>4783</v>
      </c>
      <c r="D19795" s="69" t="s">
        <v>29419</v>
      </c>
      <c r="E19795" s="51"/>
      <c r="F19795" s="114" t="str">
        <f>IF(INDEX(I.Facility.P3IDNumber,4783)="","",INDEX(I.Facility.P3IDNumber,4783))</f>
        <v/>
      </c>
      <c r="G19795" s="51"/>
      <c r="H19795" s="46" t="str">
        <f>IF(AND(I.Developer.P3=TRUE,I.Facility.P3FacilityCount&gt;=4783,F19795=""),"Incomplete","Complete")</f>
        <v>Complete</v>
      </c>
      <c r="I19795" s="48" t="s">
        <v>24160</v>
      </c>
    </row>
    <row r="19796" spans="2:9" ht="15" customHeight="1" x14ac:dyDescent="0.25">
      <c r="B19796" s="55" t="s">
        <v>282</v>
      </c>
      <c r="C19796" s="46">
        <v>4784</v>
      </c>
      <c r="D19796" s="69" t="s">
        <v>29419</v>
      </c>
      <c r="E19796" s="51"/>
      <c r="F19796" s="114" t="str">
        <f>IF(INDEX(I.Facility.P3IDNumber,4784)="","",INDEX(I.Facility.P3IDNumber,4784))</f>
        <v/>
      </c>
      <c r="G19796" s="51"/>
      <c r="H19796" s="46" t="str">
        <f>IF(AND(I.Developer.P3=TRUE,I.Facility.P3FacilityCount&gt;=4784,F19796=""),"Incomplete","Complete")</f>
        <v>Complete</v>
      </c>
      <c r="I19796" s="48" t="s">
        <v>24161</v>
      </c>
    </row>
    <row r="19797" spans="2:9" ht="15" customHeight="1" x14ac:dyDescent="0.25">
      <c r="B19797" s="55" t="s">
        <v>282</v>
      </c>
      <c r="C19797" s="46">
        <v>4785</v>
      </c>
      <c r="D19797" s="69" t="s">
        <v>29419</v>
      </c>
      <c r="E19797" s="51"/>
      <c r="F19797" s="114" t="str">
        <f>IF(INDEX(I.Facility.P3IDNumber,4785)="","",INDEX(I.Facility.P3IDNumber,4785))</f>
        <v/>
      </c>
      <c r="G19797" s="51"/>
      <c r="H19797" s="46" t="str">
        <f>IF(AND(I.Developer.P3=TRUE,I.Facility.P3FacilityCount&gt;=4785,F19797=""),"Incomplete","Complete")</f>
        <v>Complete</v>
      </c>
      <c r="I19797" s="48" t="s">
        <v>24162</v>
      </c>
    </row>
    <row r="19798" spans="2:9" ht="15" customHeight="1" x14ac:dyDescent="0.25">
      <c r="B19798" s="55" t="s">
        <v>282</v>
      </c>
      <c r="C19798" s="46">
        <v>4786</v>
      </c>
      <c r="D19798" s="69" t="s">
        <v>29419</v>
      </c>
      <c r="E19798" s="51"/>
      <c r="F19798" s="114" t="str">
        <f>IF(INDEX(I.Facility.P3IDNumber,4786)="","",INDEX(I.Facility.P3IDNumber,4786))</f>
        <v/>
      </c>
      <c r="G19798" s="51"/>
      <c r="H19798" s="46" t="str">
        <f>IF(AND(I.Developer.P3=TRUE,I.Facility.P3FacilityCount&gt;=4786,F19798=""),"Incomplete","Complete")</f>
        <v>Complete</v>
      </c>
      <c r="I19798" s="48" t="s">
        <v>24163</v>
      </c>
    </row>
    <row r="19799" spans="2:9" ht="15" customHeight="1" x14ac:dyDescent="0.25">
      <c r="B19799" s="55" t="s">
        <v>282</v>
      </c>
      <c r="C19799" s="46">
        <v>4787</v>
      </c>
      <c r="D19799" s="69" t="s">
        <v>29419</v>
      </c>
      <c r="E19799" s="51"/>
      <c r="F19799" s="114" t="str">
        <f>IF(INDEX(I.Facility.P3IDNumber,4787)="","",INDEX(I.Facility.P3IDNumber,4787))</f>
        <v/>
      </c>
      <c r="G19799" s="51"/>
      <c r="H19799" s="46" t="str">
        <f>IF(AND(I.Developer.P3=TRUE,I.Facility.P3FacilityCount&gt;=4787,F19799=""),"Incomplete","Complete")</f>
        <v>Complete</v>
      </c>
      <c r="I19799" s="48" t="s">
        <v>24164</v>
      </c>
    </row>
    <row r="19800" spans="2:9" ht="15" customHeight="1" x14ac:dyDescent="0.25">
      <c r="B19800" s="55" t="s">
        <v>282</v>
      </c>
      <c r="C19800" s="46">
        <v>4788</v>
      </c>
      <c r="D19800" s="69" t="s">
        <v>29419</v>
      </c>
      <c r="E19800" s="51"/>
      <c r="F19800" s="114" t="str">
        <f>IF(INDEX(I.Facility.P3IDNumber,4788)="","",INDEX(I.Facility.P3IDNumber,4788))</f>
        <v/>
      </c>
      <c r="G19800" s="51"/>
      <c r="H19800" s="46" t="str">
        <f>IF(AND(I.Developer.P3=TRUE,I.Facility.P3FacilityCount&gt;=4788,F19800=""),"Incomplete","Complete")</f>
        <v>Complete</v>
      </c>
      <c r="I19800" s="48" t="s">
        <v>24165</v>
      </c>
    </row>
    <row r="19801" spans="2:9" ht="15" customHeight="1" x14ac:dyDescent="0.25">
      <c r="B19801" s="55" t="s">
        <v>282</v>
      </c>
      <c r="C19801" s="46">
        <v>4789</v>
      </c>
      <c r="D19801" s="69" t="s">
        <v>29419</v>
      </c>
      <c r="E19801" s="51"/>
      <c r="F19801" s="114" t="str">
        <f>IF(INDEX(I.Facility.P3IDNumber,4789)="","",INDEX(I.Facility.P3IDNumber,4789))</f>
        <v/>
      </c>
      <c r="G19801" s="51"/>
      <c r="H19801" s="46" t="str">
        <f>IF(AND(I.Developer.P3=TRUE,I.Facility.P3FacilityCount&gt;=4789,F19801=""),"Incomplete","Complete")</f>
        <v>Complete</v>
      </c>
      <c r="I19801" s="48" t="s">
        <v>24166</v>
      </c>
    </row>
    <row r="19802" spans="2:9" ht="15" customHeight="1" x14ac:dyDescent="0.25">
      <c r="B19802" s="55" t="s">
        <v>282</v>
      </c>
      <c r="C19802" s="46">
        <v>4790</v>
      </c>
      <c r="D19802" s="69" t="s">
        <v>29419</v>
      </c>
      <c r="E19802" s="51"/>
      <c r="F19802" s="114" t="str">
        <f>IF(INDEX(I.Facility.P3IDNumber,4790)="","",INDEX(I.Facility.P3IDNumber,4790))</f>
        <v/>
      </c>
      <c r="G19802" s="51"/>
      <c r="H19802" s="46" t="str">
        <f>IF(AND(I.Developer.P3=TRUE,I.Facility.P3FacilityCount&gt;=4790,F19802=""),"Incomplete","Complete")</f>
        <v>Complete</v>
      </c>
      <c r="I19802" s="48" t="s">
        <v>24167</v>
      </c>
    </row>
    <row r="19803" spans="2:9" ht="15" customHeight="1" x14ac:dyDescent="0.25">
      <c r="B19803" s="55" t="s">
        <v>282</v>
      </c>
      <c r="C19803" s="46">
        <v>4791</v>
      </c>
      <c r="D19803" s="69" t="s">
        <v>29419</v>
      </c>
      <c r="E19803" s="51"/>
      <c r="F19803" s="114" t="str">
        <f>IF(INDEX(I.Facility.P3IDNumber,4791)="","",INDEX(I.Facility.P3IDNumber,4791))</f>
        <v/>
      </c>
      <c r="G19803" s="51"/>
      <c r="H19803" s="46" t="str">
        <f>IF(AND(I.Developer.P3=TRUE,I.Facility.P3FacilityCount&gt;=4791,F19803=""),"Incomplete","Complete")</f>
        <v>Complete</v>
      </c>
      <c r="I19803" s="48" t="s">
        <v>24168</v>
      </c>
    </row>
    <row r="19804" spans="2:9" ht="15" customHeight="1" x14ac:dyDescent="0.25">
      <c r="B19804" s="55" t="s">
        <v>282</v>
      </c>
      <c r="C19804" s="46">
        <v>4792</v>
      </c>
      <c r="D19804" s="69" t="s">
        <v>29419</v>
      </c>
      <c r="E19804" s="51"/>
      <c r="F19804" s="114" t="str">
        <f>IF(INDEX(I.Facility.P3IDNumber,4792)="","",INDEX(I.Facility.P3IDNumber,4792))</f>
        <v/>
      </c>
      <c r="G19804" s="51"/>
      <c r="H19804" s="46" t="str">
        <f>IF(AND(I.Developer.P3=TRUE,I.Facility.P3FacilityCount&gt;=4792,F19804=""),"Incomplete","Complete")</f>
        <v>Complete</v>
      </c>
      <c r="I19804" s="48" t="s">
        <v>24169</v>
      </c>
    </row>
    <row r="19805" spans="2:9" ht="15" customHeight="1" x14ac:dyDescent="0.25">
      <c r="B19805" s="55" t="s">
        <v>282</v>
      </c>
      <c r="C19805" s="46">
        <v>4793</v>
      </c>
      <c r="D19805" s="69" t="s">
        <v>29419</v>
      </c>
      <c r="E19805" s="51"/>
      <c r="F19805" s="114" t="str">
        <f>IF(INDEX(I.Facility.P3IDNumber,4793)="","",INDEX(I.Facility.P3IDNumber,4793))</f>
        <v/>
      </c>
      <c r="G19805" s="51"/>
      <c r="H19805" s="46" t="str">
        <f>IF(AND(I.Developer.P3=TRUE,I.Facility.P3FacilityCount&gt;=4793,F19805=""),"Incomplete","Complete")</f>
        <v>Complete</v>
      </c>
      <c r="I19805" s="48" t="s">
        <v>24170</v>
      </c>
    </row>
    <row r="19806" spans="2:9" ht="15" customHeight="1" x14ac:dyDescent="0.25">
      <c r="B19806" s="55" t="s">
        <v>282</v>
      </c>
      <c r="C19806" s="46">
        <v>4794</v>
      </c>
      <c r="D19806" s="69" t="s">
        <v>29419</v>
      </c>
      <c r="E19806" s="51"/>
      <c r="F19806" s="114" t="str">
        <f>IF(INDEX(I.Facility.P3IDNumber,4794)="","",INDEX(I.Facility.P3IDNumber,4794))</f>
        <v/>
      </c>
      <c r="G19806" s="51"/>
      <c r="H19806" s="46" t="str">
        <f>IF(AND(I.Developer.P3=TRUE,I.Facility.P3FacilityCount&gt;=4794,F19806=""),"Incomplete","Complete")</f>
        <v>Complete</v>
      </c>
      <c r="I19806" s="48" t="s">
        <v>24171</v>
      </c>
    </row>
    <row r="19807" spans="2:9" ht="15" customHeight="1" x14ac:dyDescent="0.25">
      <c r="B19807" s="55" t="s">
        <v>282</v>
      </c>
      <c r="C19807" s="46">
        <v>4795</v>
      </c>
      <c r="D19807" s="69" t="s">
        <v>29419</v>
      </c>
      <c r="E19807" s="51"/>
      <c r="F19807" s="114" t="str">
        <f>IF(INDEX(I.Facility.P3IDNumber,4795)="","",INDEX(I.Facility.P3IDNumber,4795))</f>
        <v/>
      </c>
      <c r="G19807" s="51"/>
      <c r="H19807" s="46" t="str">
        <f>IF(AND(I.Developer.P3=TRUE,I.Facility.P3FacilityCount&gt;=4795,F19807=""),"Incomplete","Complete")</f>
        <v>Complete</v>
      </c>
      <c r="I19807" s="48" t="s">
        <v>24172</v>
      </c>
    </row>
    <row r="19808" spans="2:9" ht="15" customHeight="1" x14ac:dyDescent="0.25">
      <c r="B19808" s="55" t="s">
        <v>282</v>
      </c>
      <c r="C19808" s="46">
        <v>4796</v>
      </c>
      <c r="D19808" s="69" t="s">
        <v>29419</v>
      </c>
      <c r="E19808" s="51"/>
      <c r="F19808" s="114" t="str">
        <f>IF(INDEX(I.Facility.P3IDNumber,4796)="","",INDEX(I.Facility.P3IDNumber,4796))</f>
        <v/>
      </c>
      <c r="G19808" s="51"/>
      <c r="H19808" s="46" t="str">
        <f>IF(AND(I.Developer.P3=TRUE,I.Facility.P3FacilityCount&gt;=4796,F19808=""),"Incomplete","Complete")</f>
        <v>Complete</v>
      </c>
      <c r="I19808" s="48" t="s">
        <v>24173</v>
      </c>
    </row>
    <row r="19809" spans="2:9" ht="15" customHeight="1" x14ac:dyDescent="0.25">
      <c r="B19809" s="55" t="s">
        <v>282</v>
      </c>
      <c r="C19809" s="46">
        <v>4797</v>
      </c>
      <c r="D19809" s="69" t="s">
        <v>29419</v>
      </c>
      <c r="E19809" s="51"/>
      <c r="F19809" s="114" t="str">
        <f>IF(INDEX(I.Facility.P3IDNumber,4797)="","",INDEX(I.Facility.P3IDNumber,4797))</f>
        <v/>
      </c>
      <c r="G19809" s="51"/>
      <c r="H19809" s="46" t="str">
        <f>IF(AND(I.Developer.P3=TRUE,I.Facility.P3FacilityCount&gt;=4797,F19809=""),"Incomplete","Complete")</f>
        <v>Complete</v>
      </c>
      <c r="I19809" s="48" t="s">
        <v>24174</v>
      </c>
    </row>
    <row r="19810" spans="2:9" ht="15" customHeight="1" x14ac:dyDescent="0.25">
      <c r="B19810" s="55" t="s">
        <v>282</v>
      </c>
      <c r="C19810" s="46">
        <v>4798</v>
      </c>
      <c r="D19810" s="69" t="s">
        <v>29419</v>
      </c>
      <c r="E19810" s="51"/>
      <c r="F19810" s="114" t="str">
        <f>IF(INDEX(I.Facility.P3IDNumber,4798)="","",INDEX(I.Facility.P3IDNumber,4798))</f>
        <v/>
      </c>
      <c r="G19810" s="51"/>
      <c r="H19810" s="46" t="str">
        <f>IF(AND(I.Developer.P3=TRUE,I.Facility.P3FacilityCount&gt;=4798,F19810=""),"Incomplete","Complete")</f>
        <v>Complete</v>
      </c>
      <c r="I19810" s="48" t="s">
        <v>24175</v>
      </c>
    </row>
    <row r="19811" spans="2:9" ht="15" customHeight="1" x14ac:dyDescent="0.25">
      <c r="B19811" s="55" t="s">
        <v>282</v>
      </c>
      <c r="C19811" s="46">
        <v>4799</v>
      </c>
      <c r="D19811" s="69" t="s">
        <v>29419</v>
      </c>
      <c r="E19811" s="51"/>
      <c r="F19811" s="114" t="str">
        <f>IF(INDEX(I.Facility.P3IDNumber,4799)="","",INDEX(I.Facility.P3IDNumber,4799))</f>
        <v/>
      </c>
      <c r="G19811" s="51"/>
      <c r="H19811" s="46" t="str">
        <f>IF(AND(I.Developer.P3=TRUE,I.Facility.P3FacilityCount&gt;=4799,F19811=""),"Incomplete","Complete")</f>
        <v>Complete</v>
      </c>
      <c r="I19811" s="48" t="s">
        <v>24176</v>
      </c>
    </row>
    <row r="19812" spans="2:9" ht="15" customHeight="1" x14ac:dyDescent="0.25">
      <c r="B19812" s="55" t="s">
        <v>282</v>
      </c>
      <c r="C19812" s="46">
        <v>4800</v>
      </c>
      <c r="D19812" s="69" t="s">
        <v>29419</v>
      </c>
      <c r="E19812" s="51"/>
      <c r="F19812" s="114" t="str">
        <f>IF(INDEX(I.Facility.P3IDNumber,4800)="","",INDEX(I.Facility.P3IDNumber,4800))</f>
        <v/>
      </c>
      <c r="G19812" s="51"/>
      <c r="H19812" s="46" t="str">
        <f>IF(AND(I.Developer.P3=TRUE,I.Facility.P3FacilityCount&gt;=4800,F19812=""),"Incomplete","Complete")</f>
        <v>Complete</v>
      </c>
      <c r="I19812" s="48" t="s">
        <v>24177</v>
      </c>
    </row>
    <row r="19813" spans="2:9" ht="15" customHeight="1" x14ac:dyDescent="0.25">
      <c r="B19813" s="55" t="s">
        <v>282</v>
      </c>
      <c r="C19813" s="46">
        <v>4801</v>
      </c>
      <c r="D19813" s="69" t="s">
        <v>29419</v>
      </c>
      <c r="E19813" s="51"/>
      <c r="F19813" s="114" t="str">
        <f>IF(INDEX(I.Facility.P3IDNumber,4801)="","",INDEX(I.Facility.P3IDNumber,4801))</f>
        <v/>
      </c>
      <c r="G19813" s="51"/>
      <c r="H19813" s="46" t="str">
        <f>IF(AND(I.Developer.P3=TRUE,I.Facility.P3FacilityCount&gt;=4801,F19813=""),"Incomplete","Complete")</f>
        <v>Complete</v>
      </c>
      <c r="I19813" s="48" t="s">
        <v>24178</v>
      </c>
    </row>
    <row r="19814" spans="2:9" ht="15" customHeight="1" x14ac:dyDescent="0.25">
      <c r="B19814" s="55" t="s">
        <v>282</v>
      </c>
      <c r="C19814" s="46">
        <v>4802</v>
      </c>
      <c r="D19814" s="69" t="s">
        <v>29419</v>
      </c>
      <c r="E19814" s="51"/>
      <c r="F19814" s="114" t="str">
        <f>IF(INDEX(I.Facility.P3IDNumber,4802)="","",INDEX(I.Facility.P3IDNumber,4802))</f>
        <v/>
      </c>
      <c r="G19814" s="51"/>
      <c r="H19814" s="46" t="str">
        <f>IF(AND(I.Developer.P3=TRUE,I.Facility.P3FacilityCount&gt;=4802,F19814=""),"Incomplete","Complete")</f>
        <v>Complete</v>
      </c>
      <c r="I19814" s="48" t="s">
        <v>24179</v>
      </c>
    </row>
    <row r="19815" spans="2:9" ht="15" customHeight="1" x14ac:dyDescent="0.25">
      <c r="B19815" s="55" t="s">
        <v>282</v>
      </c>
      <c r="C19815" s="46">
        <v>4803</v>
      </c>
      <c r="D19815" s="69" t="s">
        <v>29419</v>
      </c>
      <c r="E19815" s="51"/>
      <c r="F19815" s="114" t="str">
        <f>IF(INDEX(I.Facility.P3IDNumber,4803)="","",INDEX(I.Facility.P3IDNumber,4803))</f>
        <v/>
      </c>
      <c r="G19815" s="51"/>
      <c r="H19815" s="46" t="str">
        <f>IF(AND(I.Developer.P3=TRUE,I.Facility.P3FacilityCount&gt;=4803,F19815=""),"Incomplete","Complete")</f>
        <v>Complete</v>
      </c>
      <c r="I19815" s="48" t="s">
        <v>24180</v>
      </c>
    </row>
    <row r="19816" spans="2:9" ht="15" customHeight="1" x14ac:dyDescent="0.25">
      <c r="B19816" s="55" t="s">
        <v>282</v>
      </c>
      <c r="C19816" s="46">
        <v>4804</v>
      </c>
      <c r="D19816" s="69" t="s">
        <v>29419</v>
      </c>
      <c r="E19816" s="51"/>
      <c r="F19816" s="114" t="str">
        <f>IF(INDEX(I.Facility.P3IDNumber,4804)="","",INDEX(I.Facility.P3IDNumber,4804))</f>
        <v/>
      </c>
      <c r="G19816" s="51"/>
      <c r="H19816" s="46" t="str">
        <f>IF(AND(I.Developer.P3=TRUE,I.Facility.P3FacilityCount&gt;=4804,F19816=""),"Incomplete","Complete")</f>
        <v>Complete</v>
      </c>
      <c r="I19816" s="48" t="s">
        <v>24181</v>
      </c>
    </row>
    <row r="19817" spans="2:9" ht="15" customHeight="1" x14ac:dyDescent="0.25">
      <c r="B19817" s="55" t="s">
        <v>282</v>
      </c>
      <c r="C19817" s="46">
        <v>4805</v>
      </c>
      <c r="D19817" s="69" t="s">
        <v>29419</v>
      </c>
      <c r="E19817" s="51"/>
      <c r="F19817" s="114" t="str">
        <f>IF(INDEX(I.Facility.P3IDNumber,4805)="","",INDEX(I.Facility.P3IDNumber,4805))</f>
        <v/>
      </c>
      <c r="G19817" s="51"/>
      <c r="H19817" s="46" t="str">
        <f>IF(AND(I.Developer.P3=TRUE,I.Facility.P3FacilityCount&gt;=4805,F19817=""),"Incomplete","Complete")</f>
        <v>Complete</v>
      </c>
      <c r="I19817" s="48" t="s">
        <v>24182</v>
      </c>
    </row>
    <row r="19818" spans="2:9" ht="15" customHeight="1" x14ac:dyDescent="0.25">
      <c r="B19818" s="55" t="s">
        <v>282</v>
      </c>
      <c r="C19818" s="46">
        <v>4806</v>
      </c>
      <c r="D19818" s="69" t="s">
        <v>29419</v>
      </c>
      <c r="E19818" s="51"/>
      <c r="F19818" s="114" t="str">
        <f>IF(INDEX(I.Facility.P3IDNumber,4806)="","",INDEX(I.Facility.P3IDNumber,4806))</f>
        <v/>
      </c>
      <c r="G19818" s="51"/>
      <c r="H19818" s="46" t="str">
        <f>IF(AND(I.Developer.P3=TRUE,I.Facility.P3FacilityCount&gt;=4806,F19818=""),"Incomplete","Complete")</f>
        <v>Complete</v>
      </c>
      <c r="I19818" s="48" t="s">
        <v>24183</v>
      </c>
    </row>
    <row r="19819" spans="2:9" ht="15" customHeight="1" x14ac:dyDescent="0.25">
      <c r="B19819" s="55" t="s">
        <v>282</v>
      </c>
      <c r="C19819" s="46">
        <v>4807</v>
      </c>
      <c r="D19819" s="69" t="s">
        <v>29419</v>
      </c>
      <c r="E19819" s="51"/>
      <c r="F19819" s="114" t="str">
        <f>IF(INDEX(I.Facility.P3IDNumber,4807)="","",INDEX(I.Facility.P3IDNumber,4807))</f>
        <v/>
      </c>
      <c r="G19819" s="51"/>
      <c r="H19819" s="46" t="str">
        <f>IF(AND(I.Developer.P3=TRUE,I.Facility.P3FacilityCount&gt;=4807,F19819=""),"Incomplete","Complete")</f>
        <v>Complete</v>
      </c>
      <c r="I19819" s="48" t="s">
        <v>24184</v>
      </c>
    </row>
    <row r="19820" spans="2:9" ht="15" customHeight="1" x14ac:dyDescent="0.25">
      <c r="B19820" s="55" t="s">
        <v>282</v>
      </c>
      <c r="C19820" s="46">
        <v>4808</v>
      </c>
      <c r="D19820" s="69" t="s">
        <v>29419</v>
      </c>
      <c r="E19820" s="51"/>
      <c r="F19820" s="114" t="str">
        <f>IF(INDEX(I.Facility.P3IDNumber,4808)="","",INDEX(I.Facility.P3IDNumber,4808))</f>
        <v/>
      </c>
      <c r="G19820" s="51"/>
      <c r="H19820" s="46" t="str">
        <f>IF(AND(I.Developer.P3=TRUE,I.Facility.P3FacilityCount&gt;=4808,F19820=""),"Incomplete","Complete")</f>
        <v>Complete</v>
      </c>
      <c r="I19820" s="48" t="s">
        <v>24185</v>
      </c>
    </row>
    <row r="19821" spans="2:9" ht="15" customHeight="1" x14ac:dyDescent="0.25">
      <c r="B19821" s="55" t="s">
        <v>282</v>
      </c>
      <c r="C19821" s="46">
        <v>4809</v>
      </c>
      <c r="D19821" s="69" t="s">
        <v>29419</v>
      </c>
      <c r="E19821" s="51"/>
      <c r="F19821" s="114" t="str">
        <f>IF(INDEX(I.Facility.P3IDNumber,4809)="","",INDEX(I.Facility.P3IDNumber,4809))</f>
        <v/>
      </c>
      <c r="G19821" s="51"/>
      <c r="H19821" s="46" t="str">
        <f>IF(AND(I.Developer.P3=TRUE,I.Facility.P3FacilityCount&gt;=4809,F19821=""),"Incomplete","Complete")</f>
        <v>Complete</v>
      </c>
      <c r="I19821" s="48" t="s">
        <v>24186</v>
      </c>
    </row>
    <row r="19822" spans="2:9" ht="15" customHeight="1" x14ac:dyDescent="0.25">
      <c r="B19822" s="55" t="s">
        <v>282</v>
      </c>
      <c r="C19822" s="46">
        <v>4810</v>
      </c>
      <c r="D19822" s="69" t="s">
        <v>29419</v>
      </c>
      <c r="E19822" s="51"/>
      <c r="F19822" s="114" t="str">
        <f>IF(INDEX(I.Facility.P3IDNumber,4810)="","",INDEX(I.Facility.P3IDNumber,4810))</f>
        <v/>
      </c>
      <c r="G19822" s="51"/>
      <c r="H19822" s="46" t="str">
        <f>IF(AND(I.Developer.P3=TRUE,I.Facility.P3FacilityCount&gt;=4810,F19822=""),"Incomplete","Complete")</f>
        <v>Complete</v>
      </c>
      <c r="I19822" s="48" t="s">
        <v>24187</v>
      </c>
    </row>
    <row r="19823" spans="2:9" ht="15" customHeight="1" x14ac:dyDescent="0.25">
      <c r="B19823" s="55" t="s">
        <v>282</v>
      </c>
      <c r="C19823" s="46">
        <v>4811</v>
      </c>
      <c r="D19823" s="69" t="s">
        <v>29419</v>
      </c>
      <c r="E19823" s="51"/>
      <c r="F19823" s="114" t="str">
        <f>IF(INDEX(I.Facility.P3IDNumber,4811)="","",INDEX(I.Facility.P3IDNumber,4811))</f>
        <v/>
      </c>
      <c r="G19823" s="51"/>
      <c r="H19823" s="46" t="str">
        <f>IF(AND(I.Developer.P3=TRUE,I.Facility.P3FacilityCount&gt;=4811,F19823=""),"Incomplete","Complete")</f>
        <v>Complete</v>
      </c>
      <c r="I19823" s="48" t="s">
        <v>24188</v>
      </c>
    </row>
    <row r="19824" spans="2:9" ht="15" customHeight="1" x14ac:dyDescent="0.25">
      <c r="B19824" s="55" t="s">
        <v>282</v>
      </c>
      <c r="C19824" s="46">
        <v>4812</v>
      </c>
      <c r="D19824" s="69" t="s">
        <v>29419</v>
      </c>
      <c r="E19824" s="51"/>
      <c r="F19824" s="114" t="str">
        <f>IF(INDEX(I.Facility.P3IDNumber,4812)="","",INDEX(I.Facility.P3IDNumber,4812))</f>
        <v/>
      </c>
      <c r="G19824" s="51"/>
      <c r="H19824" s="46" t="str">
        <f>IF(AND(I.Developer.P3=TRUE,I.Facility.P3FacilityCount&gt;=4812,F19824=""),"Incomplete","Complete")</f>
        <v>Complete</v>
      </c>
      <c r="I19824" s="48" t="s">
        <v>24189</v>
      </c>
    </row>
    <row r="19825" spans="2:9" ht="15" customHeight="1" x14ac:dyDescent="0.25">
      <c r="B19825" s="55" t="s">
        <v>282</v>
      </c>
      <c r="C19825" s="46">
        <v>4813</v>
      </c>
      <c r="D19825" s="69" t="s">
        <v>29419</v>
      </c>
      <c r="E19825" s="51"/>
      <c r="F19825" s="114" t="str">
        <f>IF(INDEX(I.Facility.P3IDNumber,4813)="","",INDEX(I.Facility.P3IDNumber,4813))</f>
        <v/>
      </c>
      <c r="G19825" s="51"/>
      <c r="H19825" s="46" t="str">
        <f>IF(AND(I.Developer.P3=TRUE,I.Facility.P3FacilityCount&gt;=4813,F19825=""),"Incomplete","Complete")</f>
        <v>Complete</v>
      </c>
      <c r="I19825" s="48" t="s">
        <v>24190</v>
      </c>
    </row>
    <row r="19826" spans="2:9" ht="15" customHeight="1" x14ac:dyDescent="0.25">
      <c r="B19826" s="55" t="s">
        <v>282</v>
      </c>
      <c r="C19826" s="46">
        <v>4814</v>
      </c>
      <c r="D19826" s="69" t="s">
        <v>29419</v>
      </c>
      <c r="E19826" s="51"/>
      <c r="F19826" s="114" t="str">
        <f>IF(INDEX(I.Facility.P3IDNumber,4814)="","",INDEX(I.Facility.P3IDNumber,4814))</f>
        <v/>
      </c>
      <c r="G19826" s="51"/>
      <c r="H19826" s="46" t="str">
        <f>IF(AND(I.Developer.P3=TRUE,I.Facility.P3FacilityCount&gt;=4814,F19826=""),"Incomplete","Complete")</f>
        <v>Complete</v>
      </c>
      <c r="I19826" s="48" t="s">
        <v>24191</v>
      </c>
    </row>
    <row r="19827" spans="2:9" ht="15" customHeight="1" x14ac:dyDescent="0.25">
      <c r="B19827" s="55" t="s">
        <v>282</v>
      </c>
      <c r="C19827" s="46">
        <v>4815</v>
      </c>
      <c r="D19827" s="69" t="s">
        <v>29419</v>
      </c>
      <c r="E19827" s="51"/>
      <c r="F19827" s="114" t="str">
        <f>IF(INDEX(I.Facility.P3IDNumber,4815)="","",INDEX(I.Facility.P3IDNumber,4815))</f>
        <v/>
      </c>
      <c r="G19827" s="51"/>
      <c r="H19827" s="46" t="str">
        <f>IF(AND(I.Developer.P3=TRUE,I.Facility.P3FacilityCount&gt;=4815,F19827=""),"Incomplete","Complete")</f>
        <v>Complete</v>
      </c>
      <c r="I19827" s="48" t="s">
        <v>24192</v>
      </c>
    </row>
    <row r="19828" spans="2:9" ht="15" customHeight="1" x14ac:dyDescent="0.25">
      <c r="B19828" s="55" t="s">
        <v>282</v>
      </c>
      <c r="C19828" s="46">
        <v>4816</v>
      </c>
      <c r="D19828" s="69" t="s">
        <v>29419</v>
      </c>
      <c r="E19828" s="51"/>
      <c r="F19828" s="114" t="str">
        <f>IF(INDEX(I.Facility.P3IDNumber,4816)="","",INDEX(I.Facility.P3IDNumber,4816))</f>
        <v/>
      </c>
      <c r="G19828" s="51"/>
      <c r="H19828" s="46" t="str">
        <f>IF(AND(I.Developer.P3=TRUE,I.Facility.P3FacilityCount&gt;=4816,F19828=""),"Incomplete","Complete")</f>
        <v>Complete</v>
      </c>
      <c r="I19828" s="48" t="s">
        <v>24193</v>
      </c>
    </row>
    <row r="19829" spans="2:9" ht="15" customHeight="1" x14ac:dyDescent="0.25">
      <c r="B19829" s="55" t="s">
        <v>282</v>
      </c>
      <c r="C19829" s="46">
        <v>4817</v>
      </c>
      <c r="D19829" s="69" t="s">
        <v>29419</v>
      </c>
      <c r="E19829" s="51"/>
      <c r="F19829" s="114" t="str">
        <f>IF(INDEX(I.Facility.P3IDNumber,4817)="","",INDEX(I.Facility.P3IDNumber,4817))</f>
        <v/>
      </c>
      <c r="G19829" s="51"/>
      <c r="H19829" s="46" t="str">
        <f>IF(AND(I.Developer.P3=TRUE,I.Facility.P3FacilityCount&gt;=4817,F19829=""),"Incomplete","Complete")</f>
        <v>Complete</v>
      </c>
      <c r="I19829" s="48" t="s">
        <v>24194</v>
      </c>
    </row>
    <row r="19830" spans="2:9" ht="15" customHeight="1" x14ac:dyDescent="0.25">
      <c r="B19830" s="55" t="s">
        <v>282</v>
      </c>
      <c r="C19830" s="46">
        <v>4818</v>
      </c>
      <c r="D19830" s="69" t="s">
        <v>29419</v>
      </c>
      <c r="E19830" s="51"/>
      <c r="F19830" s="114" t="str">
        <f>IF(INDEX(I.Facility.P3IDNumber,4818)="","",INDEX(I.Facility.P3IDNumber,4818))</f>
        <v/>
      </c>
      <c r="G19830" s="51"/>
      <c r="H19830" s="46" t="str">
        <f>IF(AND(I.Developer.P3=TRUE,I.Facility.P3FacilityCount&gt;=4818,F19830=""),"Incomplete","Complete")</f>
        <v>Complete</v>
      </c>
      <c r="I19830" s="48" t="s">
        <v>24195</v>
      </c>
    </row>
    <row r="19831" spans="2:9" ht="15" customHeight="1" x14ac:dyDescent="0.25">
      <c r="B19831" s="55" t="s">
        <v>282</v>
      </c>
      <c r="C19831" s="46">
        <v>4819</v>
      </c>
      <c r="D19831" s="69" t="s">
        <v>29419</v>
      </c>
      <c r="E19831" s="51"/>
      <c r="F19831" s="114" t="str">
        <f>IF(INDEX(I.Facility.P3IDNumber,4819)="","",INDEX(I.Facility.P3IDNumber,4819))</f>
        <v/>
      </c>
      <c r="G19831" s="51"/>
      <c r="H19831" s="46" t="str">
        <f>IF(AND(I.Developer.P3=TRUE,I.Facility.P3FacilityCount&gt;=4819,F19831=""),"Incomplete","Complete")</f>
        <v>Complete</v>
      </c>
      <c r="I19831" s="48" t="s">
        <v>24196</v>
      </c>
    </row>
    <row r="19832" spans="2:9" ht="15" customHeight="1" x14ac:dyDescent="0.25">
      <c r="B19832" s="55" t="s">
        <v>282</v>
      </c>
      <c r="C19832" s="46">
        <v>4820</v>
      </c>
      <c r="D19832" s="69" t="s">
        <v>29419</v>
      </c>
      <c r="E19832" s="51"/>
      <c r="F19832" s="114" t="str">
        <f>IF(INDEX(I.Facility.P3IDNumber,4820)="","",INDEX(I.Facility.P3IDNumber,4820))</f>
        <v/>
      </c>
      <c r="G19832" s="51"/>
      <c r="H19832" s="46" t="str">
        <f>IF(AND(I.Developer.P3=TRUE,I.Facility.P3FacilityCount&gt;=4820,F19832=""),"Incomplete","Complete")</f>
        <v>Complete</v>
      </c>
      <c r="I19832" s="48" t="s">
        <v>24197</v>
      </c>
    </row>
    <row r="19833" spans="2:9" ht="15" customHeight="1" x14ac:dyDescent="0.25">
      <c r="B19833" s="55" t="s">
        <v>282</v>
      </c>
      <c r="C19833" s="46">
        <v>4821</v>
      </c>
      <c r="D19833" s="69" t="s">
        <v>29419</v>
      </c>
      <c r="E19833" s="51"/>
      <c r="F19833" s="114" t="str">
        <f>IF(INDEX(I.Facility.P3IDNumber,4821)="","",INDEX(I.Facility.P3IDNumber,4821))</f>
        <v/>
      </c>
      <c r="G19833" s="51"/>
      <c r="H19833" s="46" t="str">
        <f>IF(AND(I.Developer.P3=TRUE,I.Facility.P3FacilityCount&gt;=4821,F19833=""),"Incomplete","Complete")</f>
        <v>Complete</v>
      </c>
      <c r="I19833" s="48" t="s">
        <v>24198</v>
      </c>
    </row>
    <row r="19834" spans="2:9" ht="15" customHeight="1" x14ac:dyDescent="0.25">
      <c r="B19834" s="55" t="s">
        <v>282</v>
      </c>
      <c r="C19834" s="46">
        <v>4822</v>
      </c>
      <c r="D19834" s="69" t="s">
        <v>29419</v>
      </c>
      <c r="E19834" s="51"/>
      <c r="F19834" s="114" t="str">
        <f>IF(INDEX(I.Facility.P3IDNumber,4822)="","",INDEX(I.Facility.P3IDNumber,4822))</f>
        <v/>
      </c>
      <c r="G19834" s="51"/>
      <c r="H19834" s="46" t="str">
        <f>IF(AND(I.Developer.P3=TRUE,I.Facility.P3FacilityCount&gt;=4822,F19834=""),"Incomplete","Complete")</f>
        <v>Complete</v>
      </c>
      <c r="I19834" s="48" t="s">
        <v>24199</v>
      </c>
    </row>
    <row r="19835" spans="2:9" ht="15" customHeight="1" x14ac:dyDescent="0.25">
      <c r="B19835" s="55" t="s">
        <v>282</v>
      </c>
      <c r="C19835" s="46">
        <v>4823</v>
      </c>
      <c r="D19835" s="69" t="s">
        <v>29419</v>
      </c>
      <c r="E19835" s="51"/>
      <c r="F19835" s="114" t="str">
        <f>IF(INDEX(I.Facility.P3IDNumber,4823)="","",INDEX(I.Facility.P3IDNumber,4823))</f>
        <v/>
      </c>
      <c r="G19835" s="51"/>
      <c r="H19835" s="46" t="str">
        <f>IF(AND(I.Developer.P3=TRUE,I.Facility.P3FacilityCount&gt;=4823,F19835=""),"Incomplete","Complete")</f>
        <v>Complete</v>
      </c>
      <c r="I19835" s="48" t="s">
        <v>24200</v>
      </c>
    </row>
    <row r="19836" spans="2:9" ht="15" customHeight="1" x14ac:dyDescent="0.25">
      <c r="B19836" s="55" t="s">
        <v>282</v>
      </c>
      <c r="C19836" s="46">
        <v>4824</v>
      </c>
      <c r="D19836" s="69" t="s">
        <v>29419</v>
      </c>
      <c r="E19836" s="51"/>
      <c r="F19836" s="114" t="str">
        <f>IF(INDEX(I.Facility.P3IDNumber,4824)="","",INDEX(I.Facility.P3IDNumber,4824))</f>
        <v/>
      </c>
      <c r="G19836" s="51"/>
      <c r="H19836" s="46" t="str">
        <f>IF(AND(I.Developer.P3=TRUE,I.Facility.P3FacilityCount&gt;=4824,F19836=""),"Incomplete","Complete")</f>
        <v>Complete</v>
      </c>
      <c r="I19836" s="48" t="s">
        <v>24201</v>
      </c>
    </row>
    <row r="19837" spans="2:9" ht="15" customHeight="1" x14ac:dyDescent="0.25">
      <c r="B19837" s="55" t="s">
        <v>282</v>
      </c>
      <c r="C19837" s="46">
        <v>4825</v>
      </c>
      <c r="D19837" s="69" t="s">
        <v>29419</v>
      </c>
      <c r="E19837" s="51"/>
      <c r="F19837" s="114" t="str">
        <f>IF(INDEX(I.Facility.P3IDNumber,4825)="","",INDEX(I.Facility.P3IDNumber,4825))</f>
        <v/>
      </c>
      <c r="G19837" s="51"/>
      <c r="H19837" s="46" t="str">
        <f>IF(AND(I.Developer.P3=TRUE,I.Facility.P3FacilityCount&gt;=4825,F19837=""),"Incomplete","Complete")</f>
        <v>Complete</v>
      </c>
      <c r="I19837" s="48" t="s">
        <v>24202</v>
      </c>
    </row>
    <row r="19838" spans="2:9" ht="15" customHeight="1" x14ac:dyDescent="0.25">
      <c r="B19838" s="55" t="s">
        <v>282</v>
      </c>
      <c r="C19838" s="46">
        <v>4826</v>
      </c>
      <c r="D19838" s="69" t="s">
        <v>29419</v>
      </c>
      <c r="E19838" s="51"/>
      <c r="F19838" s="114" t="str">
        <f>IF(INDEX(I.Facility.P3IDNumber,4826)="","",INDEX(I.Facility.P3IDNumber,4826))</f>
        <v/>
      </c>
      <c r="G19838" s="51"/>
      <c r="H19838" s="46" t="str">
        <f>IF(AND(I.Developer.P3=TRUE,I.Facility.P3FacilityCount&gt;=4826,F19838=""),"Incomplete","Complete")</f>
        <v>Complete</v>
      </c>
      <c r="I19838" s="48" t="s">
        <v>24203</v>
      </c>
    </row>
    <row r="19839" spans="2:9" ht="15" customHeight="1" x14ac:dyDescent="0.25">
      <c r="B19839" s="55" t="s">
        <v>282</v>
      </c>
      <c r="C19839" s="46">
        <v>4827</v>
      </c>
      <c r="D19839" s="69" t="s">
        <v>29419</v>
      </c>
      <c r="E19839" s="51"/>
      <c r="F19839" s="114" t="str">
        <f>IF(INDEX(I.Facility.P3IDNumber,4827)="","",INDEX(I.Facility.P3IDNumber,4827))</f>
        <v/>
      </c>
      <c r="G19839" s="51"/>
      <c r="H19839" s="46" t="str">
        <f>IF(AND(I.Developer.P3=TRUE,I.Facility.P3FacilityCount&gt;=4827,F19839=""),"Incomplete","Complete")</f>
        <v>Complete</v>
      </c>
      <c r="I19839" s="48" t="s">
        <v>24204</v>
      </c>
    </row>
    <row r="19840" spans="2:9" ht="15" customHeight="1" x14ac:dyDescent="0.25">
      <c r="B19840" s="55" t="s">
        <v>282</v>
      </c>
      <c r="C19840" s="46">
        <v>4828</v>
      </c>
      <c r="D19840" s="69" t="s">
        <v>29419</v>
      </c>
      <c r="E19840" s="51"/>
      <c r="F19840" s="114" t="str">
        <f>IF(INDEX(I.Facility.P3IDNumber,4828)="","",INDEX(I.Facility.P3IDNumber,4828))</f>
        <v/>
      </c>
      <c r="G19840" s="51"/>
      <c r="H19840" s="46" t="str">
        <f>IF(AND(I.Developer.P3=TRUE,I.Facility.P3FacilityCount&gt;=4828,F19840=""),"Incomplete","Complete")</f>
        <v>Complete</v>
      </c>
      <c r="I19840" s="48" t="s">
        <v>24205</v>
      </c>
    </row>
    <row r="19841" spans="2:9" ht="15" customHeight="1" x14ac:dyDescent="0.25">
      <c r="B19841" s="55" t="s">
        <v>282</v>
      </c>
      <c r="C19841" s="46">
        <v>4829</v>
      </c>
      <c r="D19841" s="69" t="s">
        <v>29419</v>
      </c>
      <c r="E19841" s="51"/>
      <c r="F19841" s="114" t="str">
        <f>IF(INDEX(I.Facility.P3IDNumber,4829)="","",INDEX(I.Facility.P3IDNumber,4829))</f>
        <v/>
      </c>
      <c r="G19841" s="51"/>
      <c r="H19841" s="46" t="str">
        <f>IF(AND(I.Developer.P3=TRUE,I.Facility.P3FacilityCount&gt;=4829,F19841=""),"Incomplete","Complete")</f>
        <v>Complete</v>
      </c>
      <c r="I19841" s="48" t="s">
        <v>24206</v>
      </c>
    </row>
    <row r="19842" spans="2:9" ht="15" customHeight="1" x14ac:dyDescent="0.25">
      <c r="B19842" s="55" t="s">
        <v>282</v>
      </c>
      <c r="C19842" s="46">
        <v>4830</v>
      </c>
      <c r="D19842" s="69" t="s">
        <v>29419</v>
      </c>
      <c r="E19842" s="51"/>
      <c r="F19842" s="114" t="str">
        <f>IF(INDEX(I.Facility.P3IDNumber,4830)="","",INDEX(I.Facility.P3IDNumber,4830))</f>
        <v/>
      </c>
      <c r="G19842" s="51"/>
      <c r="H19842" s="46" t="str">
        <f>IF(AND(I.Developer.P3=TRUE,I.Facility.P3FacilityCount&gt;=4830,F19842=""),"Incomplete","Complete")</f>
        <v>Complete</v>
      </c>
      <c r="I19842" s="48" t="s">
        <v>24207</v>
      </c>
    </row>
    <row r="19843" spans="2:9" ht="15" customHeight="1" x14ac:dyDescent="0.25">
      <c r="B19843" s="55" t="s">
        <v>282</v>
      </c>
      <c r="C19843" s="46">
        <v>4831</v>
      </c>
      <c r="D19843" s="69" t="s">
        <v>29419</v>
      </c>
      <c r="E19843" s="51"/>
      <c r="F19843" s="114" t="str">
        <f>IF(INDEX(I.Facility.P3IDNumber,4831)="","",INDEX(I.Facility.P3IDNumber,4831))</f>
        <v/>
      </c>
      <c r="G19843" s="51"/>
      <c r="H19843" s="46" t="str">
        <f>IF(AND(I.Developer.P3=TRUE,I.Facility.P3FacilityCount&gt;=4831,F19843=""),"Incomplete","Complete")</f>
        <v>Complete</v>
      </c>
      <c r="I19843" s="48" t="s">
        <v>24208</v>
      </c>
    </row>
    <row r="19844" spans="2:9" ht="15" customHeight="1" x14ac:dyDescent="0.25">
      <c r="B19844" s="55" t="s">
        <v>282</v>
      </c>
      <c r="C19844" s="46">
        <v>4832</v>
      </c>
      <c r="D19844" s="69" t="s">
        <v>29419</v>
      </c>
      <c r="E19844" s="51"/>
      <c r="F19844" s="114" t="str">
        <f>IF(INDEX(I.Facility.P3IDNumber,4832)="","",INDEX(I.Facility.P3IDNumber,4832))</f>
        <v/>
      </c>
      <c r="G19844" s="51"/>
      <c r="H19844" s="46" t="str">
        <f>IF(AND(I.Developer.P3=TRUE,I.Facility.P3FacilityCount&gt;=4832,F19844=""),"Incomplete","Complete")</f>
        <v>Complete</v>
      </c>
      <c r="I19844" s="48" t="s">
        <v>24209</v>
      </c>
    </row>
    <row r="19845" spans="2:9" ht="15" customHeight="1" x14ac:dyDescent="0.25">
      <c r="B19845" s="55" t="s">
        <v>282</v>
      </c>
      <c r="C19845" s="46">
        <v>4833</v>
      </c>
      <c r="D19845" s="69" t="s">
        <v>29419</v>
      </c>
      <c r="E19845" s="51"/>
      <c r="F19845" s="114" t="str">
        <f>IF(INDEX(I.Facility.P3IDNumber,4833)="","",INDEX(I.Facility.P3IDNumber,4833))</f>
        <v/>
      </c>
      <c r="G19845" s="51"/>
      <c r="H19845" s="46" t="str">
        <f>IF(AND(I.Developer.P3=TRUE,I.Facility.P3FacilityCount&gt;=4833,F19845=""),"Incomplete","Complete")</f>
        <v>Complete</v>
      </c>
      <c r="I19845" s="48" t="s">
        <v>24210</v>
      </c>
    </row>
    <row r="19846" spans="2:9" ht="15" customHeight="1" x14ac:dyDescent="0.25">
      <c r="B19846" s="55" t="s">
        <v>282</v>
      </c>
      <c r="C19846" s="46">
        <v>4834</v>
      </c>
      <c r="D19846" s="69" t="s">
        <v>29419</v>
      </c>
      <c r="E19846" s="51"/>
      <c r="F19846" s="114" t="str">
        <f>IF(INDEX(I.Facility.P3IDNumber,4834)="","",INDEX(I.Facility.P3IDNumber,4834))</f>
        <v/>
      </c>
      <c r="G19846" s="51"/>
      <c r="H19846" s="46" t="str">
        <f>IF(AND(I.Developer.P3=TRUE,I.Facility.P3FacilityCount&gt;=4834,F19846=""),"Incomplete","Complete")</f>
        <v>Complete</v>
      </c>
      <c r="I19846" s="48" t="s">
        <v>24211</v>
      </c>
    </row>
    <row r="19847" spans="2:9" ht="15" customHeight="1" x14ac:dyDescent="0.25">
      <c r="B19847" s="55" t="s">
        <v>282</v>
      </c>
      <c r="C19847" s="46">
        <v>4835</v>
      </c>
      <c r="D19847" s="69" t="s">
        <v>29419</v>
      </c>
      <c r="E19847" s="51"/>
      <c r="F19847" s="114" t="str">
        <f>IF(INDEX(I.Facility.P3IDNumber,4835)="","",INDEX(I.Facility.P3IDNumber,4835))</f>
        <v/>
      </c>
      <c r="G19847" s="51"/>
      <c r="H19847" s="46" t="str">
        <f>IF(AND(I.Developer.P3=TRUE,I.Facility.P3FacilityCount&gt;=4835,F19847=""),"Incomplete","Complete")</f>
        <v>Complete</v>
      </c>
      <c r="I19847" s="48" t="s">
        <v>24212</v>
      </c>
    </row>
    <row r="19848" spans="2:9" ht="15" customHeight="1" x14ac:dyDescent="0.25">
      <c r="B19848" s="55" t="s">
        <v>282</v>
      </c>
      <c r="C19848" s="46">
        <v>4836</v>
      </c>
      <c r="D19848" s="69" t="s">
        <v>29419</v>
      </c>
      <c r="E19848" s="51"/>
      <c r="F19848" s="114" t="str">
        <f>IF(INDEX(I.Facility.P3IDNumber,4836)="","",INDEX(I.Facility.P3IDNumber,4836))</f>
        <v/>
      </c>
      <c r="G19848" s="51"/>
      <c r="H19848" s="46" t="str">
        <f>IF(AND(I.Developer.P3=TRUE,I.Facility.P3FacilityCount&gt;=4836,F19848=""),"Incomplete","Complete")</f>
        <v>Complete</v>
      </c>
      <c r="I19848" s="48" t="s">
        <v>24213</v>
      </c>
    </row>
    <row r="19849" spans="2:9" ht="15" customHeight="1" x14ac:dyDescent="0.25">
      <c r="B19849" s="55" t="s">
        <v>282</v>
      </c>
      <c r="C19849" s="46">
        <v>4837</v>
      </c>
      <c r="D19849" s="69" t="s">
        <v>29419</v>
      </c>
      <c r="E19849" s="51"/>
      <c r="F19849" s="114" t="str">
        <f>IF(INDEX(I.Facility.P3IDNumber,4837)="","",INDEX(I.Facility.P3IDNumber,4837))</f>
        <v/>
      </c>
      <c r="G19849" s="51"/>
      <c r="H19849" s="46" t="str">
        <f>IF(AND(I.Developer.P3=TRUE,I.Facility.P3FacilityCount&gt;=4837,F19849=""),"Incomplete","Complete")</f>
        <v>Complete</v>
      </c>
      <c r="I19849" s="48" t="s">
        <v>24214</v>
      </c>
    </row>
    <row r="19850" spans="2:9" ht="15" customHeight="1" x14ac:dyDescent="0.25">
      <c r="B19850" s="55" t="s">
        <v>282</v>
      </c>
      <c r="C19850" s="46">
        <v>4838</v>
      </c>
      <c r="D19850" s="69" t="s">
        <v>29419</v>
      </c>
      <c r="E19850" s="51"/>
      <c r="F19850" s="114" t="str">
        <f>IF(INDEX(I.Facility.P3IDNumber,4838)="","",INDEX(I.Facility.P3IDNumber,4838))</f>
        <v/>
      </c>
      <c r="G19850" s="51"/>
      <c r="H19850" s="46" t="str">
        <f>IF(AND(I.Developer.P3=TRUE,I.Facility.P3FacilityCount&gt;=4838,F19850=""),"Incomplete","Complete")</f>
        <v>Complete</v>
      </c>
      <c r="I19850" s="48" t="s">
        <v>24215</v>
      </c>
    </row>
    <row r="19851" spans="2:9" ht="15" customHeight="1" x14ac:dyDescent="0.25">
      <c r="B19851" s="55" t="s">
        <v>282</v>
      </c>
      <c r="C19851" s="46">
        <v>4839</v>
      </c>
      <c r="D19851" s="69" t="s">
        <v>29419</v>
      </c>
      <c r="E19851" s="51"/>
      <c r="F19851" s="114" t="str">
        <f>IF(INDEX(I.Facility.P3IDNumber,4839)="","",INDEX(I.Facility.P3IDNumber,4839))</f>
        <v/>
      </c>
      <c r="G19851" s="51"/>
      <c r="H19851" s="46" t="str">
        <f>IF(AND(I.Developer.P3=TRUE,I.Facility.P3FacilityCount&gt;=4839,F19851=""),"Incomplete","Complete")</f>
        <v>Complete</v>
      </c>
      <c r="I19851" s="48" t="s">
        <v>24216</v>
      </c>
    </row>
    <row r="19852" spans="2:9" ht="15" customHeight="1" x14ac:dyDescent="0.25">
      <c r="B19852" s="55" t="s">
        <v>282</v>
      </c>
      <c r="C19852" s="46">
        <v>4840</v>
      </c>
      <c r="D19852" s="69" t="s">
        <v>29419</v>
      </c>
      <c r="E19852" s="51"/>
      <c r="F19852" s="114" t="str">
        <f>IF(INDEX(I.Facility.P3IDNumber,4840)="","",INDEX(I.Facility.P3IDNumber,4840))</f>
        <v/>
      </c>
      <c r="G19852" s="51"/>
      <c r="H19852" s="46" t="str">
        <f>IF(AND(I.Developer.P3=TRUE,I.Facility.P3FacilityCount&gt;=4840,F19852=""),"Incomplete","Complete")</f>
        <v>Complete</v>
      </c>
      <c r="I19852" s="48" t="s">
        <v>24217</v>
      </c>
    </row>
    <row r="19853" spans="2:9" ht="15" customHeight="1" x14ac:dyDescent="0.25">
      <c r="B19853" s="55" t="s">
        <v>282</v>
      </c>
      <c r="C19853" s="46">
        <v>4841</v>
      </c>
      <c r="D19853" s="69" t="s">
        <v>29419</v>
      </c>
      <c r="E19853" s="51"/>
      <c r="F19853" s="114" t="str">
        <f>IF(INDEX(I.Facility.P3IDNumber,4841)="","",INDEX(I.Facility.P3IDNumber,4841))</f>
        <v/>
      </c>
      <c r="G19853" s="51"/>
      <c r="H19853" s="46" t="str">
        <f>IF(AND(I.Developer.P3=TRUE,I.Facility.P3FacilityCount&gt;=4841,F19853=""),"Incomplete","Complete")</f>
        <v>Complete</v>
      </c>
      <c r="I19853" s="48" t="s">
        <v>24218</v>
      </c>
    </row>
    <row r="19854" spans="2:9" ht="15" customHeight="1" x14ac:dyDescent="0.25">
      <c r="B19854" s="55" t="s">
        <v>282</v>
      </c>
      <c r="C19854" s="46">
        <v>4842</v>
      </c>
      <c r="D19854" s="69" t="s">
        <v>29419</v>
      </c>
      <c r="E19854" s="51"/>
      <c r="F19854" s="114" t="str">
        <f>IF(INDEX(I.Facility.P3IDNumber,4842)="","",INDEX(I.Facility.P3IDNumber,4842))</f>
        <v/>
      </c>
      <c r="G19854" s="51"/>
      <c r="H19854" s="46" t="str">
        <f>IF(AND(I.Developer.P3=TRUE,I.Facility.P3FacilityCount&gt;=4842,F19854=""),"Incomplete","Complete")</f>
        <v>Complete</v>
      </c>
      <c r="I19854" s="48" t="s">
        <v>24219</v>
      </c>
    </row>
    <row r="19855" spans="2:9" ht="15" customHeight="1" x14ac:dyDescent="0.25">
      <c r="B19855" s="55" t="s">
        <v>282</v>
      </c>
      <c r="C19855" s="46">
        <v>4843</v>
      </c>
      <c r="D19855" s="69" t="s">
        <v>29419</v>
      </c>
      <c r="E19855" s="51"/>
      <c r="F19855" s="114" t="str">
        <f>IF(INDEX(I.Facility.P3IDNumber,4843)="","",INDEX(I.Facility.P3IDNumber,4843))</f>
        <v/>
      </c>
      <c r="G19855" s="51"/>
      <c r="H19855" s="46" t="str">
        <f>IF(AND(I.Developer.P3=TRUE,I.Facility.P3FacilityCount&gt;=4843,F19855=""),"Incomplete","Complete")</f>
        <v>Complete</v>
      </c>
      <c r="I19855" s="48" t="s">
        <v>24220</v>
      </c>
    </row>
    <row r="19856" spans="2:9" ht="15" customHeight="1" x14ac:dyDescent="0.25">
      <c r="B19856" s="55" t="s">
        <v>282</v>
      </c>
      <c r="C19856" s="46">
        <v>4844</v>
      </c>
      <c r="D19856" s="69" t="s">
        <v>29419</v>
      </c>
      <c r="E19856" s="51"/>
      <c r="F19856" s="114" t="str">
        <f>IF(INDEX(I.Facility.P3IDNumber,4844)="","",INDEX(I.Facility.P3IDNumber,4844))</f>
        <v/>
      </c>
      <c r="G19856" s="51"/>
      <c r="H19856" s="46" t="str">
        <f>IF(AND(I.Developer.P3=TRUE,I.Facility.P3FacilityCount&gt;=4844,F19856=""),"Incomplete","Complete")</f>
        <v>Complete</v>
      </c>
      <c r="I19856" s="48" t="s">
        <v>24221</v>
      </c>
    </row>
    <row r="19857" spans="2:9" ht="15" customHeight="1" x14ac:dyDescent="0.25">
      <c r="B19857" s="55" t="s">
        <v>282</v>
      </c>
      <c r="C19857" s="46">
        <v>4845</v>
      </c>
      <c r="D19857" s="69" t="s">
        <v>29419</v>
      </c>
      <c r="E19857" s="51"/>
      <c r="F19857" s="114" t="str">
        <f>IF(INDEX(I.Facility.P3IDNumber,4845)="","",INDEX(I.Facility.P3IDNumber,4845))</f>
        <v/>
      </c>
      <c r="G19857" s="51"/>
      <c r="H19857" s="46" t="str">
        <f>IF(AND(I.Developer.P3=TRUE,I.Facility.P3FacilityCount&gt;=4845,F19857=""),"Incomplete","Complete")</f>
        <v>Complete</v>
      </c>
      <c r="I19857" s="48" t="s">
        <v>24222</v>
      </c>
    </row>
    <row r="19858" spans="2:9" ht="15" customHeight="1" x14ac:dyDescent="0.25">
      <c r="B19858" s="55" t="s">
        <v>282</v>
      </c>
      <c r="C19858" s="46">
        <v>4846</v>
      </c>
      <c r="D19858" s="69" t="s">
        <v>29419</v>
      </c>
      <c r="E19858" s="51"/>
      <c r="F19858" s="114" t="str">
        <f>IF(INDEX(I.Facility.P3IDNumber,4846)="","",INDEX(I.Facility.P3IDNumber,4846))</f>
        <v/>
      </c>
      <c r="G19858" s="51"/>
      <c r="H19858" s="46" t="str">
        <f>IF(AND(I.Developer.P3=TRUE,I.Facility.P3FacilityCount&gt;=4846,F19858=""),"Incomplete","Complete")</f>
        <v>Complete</v>
      </c>
      <c r="I19858" s="48" t="s">
        <v>24223</v>
      </c>
    </row>
    <row r="19859" spans="2:9" ht="15" customHeight="1" x14ac:dyDescent="0.25">
      <c r="B19859" s="55" t="s">
        <v>282</v>
      </c>
      <c r="C19859" s="46">
        <v>4847</v>
      </c>
      <c r="D19859" s="69" t="s">
        <v>29419</v>
      </c>
      <c r="E19859" s="51"/>
      <c r="F19859" s="114" t="str">
        <f>IF(INDEX(I.Facility.P3IDNumber,4847)="","",INDEX(I.Facility.P3IDNumber,4847))</f>
        <v/>
      </c>
      <c r="G19859" s="51"/>
      <c r="H19859" s="46" t="str">
        <f>IF(AND(I.Developer.P3=TRUE,I.Facility.P3FacilityCount&gt;=4847,F19859=""),"Incomplete","Complete")</f>
        <v>Complete</v>
      </c>
      <c r="I19859" s="48" t="s">
        <v>24224</v>
      </c>
    </row>
    <row r="19860" spans="2:9" ht="15" customHeight="1" x14ac:dyDescent="0.25">
      <c r="B19860" s="55" t="s">
        <v>282</v>
      </c>
      <c r="C19860" s="46">
        <v>4848</v>
      </c>
      <c r="D19860" s="69" t="s">
        <v>29419</v>
      </c>
      <c r="E19860" s="51"/>
      <c r="F19860" s="114" t="str">
        <f>IF(INDEX(I.Facility.P3IDNumber,4848)="","",INDEX(I.Facility.P3IDNumber,4848))</f>
        <v/>
      </c>
      <c r="G19860" s="51"/>
      <c r="H19860" s="46" t="str">
        <f>IF(AND(I.Developer.P3=TRUE,I.Facility.P3FacilityCount&gt;=4848,F19860=""),"Incomplete","Complete")</f>
        <v>Complete</v>
      </c>
      <c r="I19860" s="48" t="s">
        <v>24225</v>
      </c>
    </row>
    <row r="19861" spans="2:9" ht="15" customHeight="1" x14ac:dyDescent="0.25">
      <c r="B19861" s="55" t="s">
        <v>282</v>
      </c>
      <c r="C19861" s="46">
        <v>4849</v>
      </c>
      <c r="D19861" s="69" t="s">
        <v>29419</v>
      </c>
      <c r="E19861" s="51"/>
      <c r="F19861" s="114" t="str">
        <f>IF(INDEX(I.Facility.P3IDNumber,4849)="","",INDEX(I.Facility.P3IDNumber,4849))</f>
        <v/>
      </c>
      <c r="G19861" s="51"/>
      <c r="H19861" s="46" t="str">
        <f>IF(AND(I.Developer.P3=TRUE,I.Facility.P3FacilityCount&gt;=4849,F19861=""),"Incomplete","Complete")</f>
        <v>Complete</v>
      </c>
      <c r="I19861" s="48" t="s">
        <v>24226</v>
      </c>
    </row>
    <row r="19862" spans="2:9" ht="15" customHeight="1" x14ac:dyDescent="0.25">
      <c r="B19862" s="55" t="s">
        <v>282</v>
      </c>
      <c r="C19862" s="46">
        <v>4850</v>
      </c>
      <c r="D19862" s="69" t="s">
        <v>29419</v>
      </c>
      <c r="E19862" s="51"/>
      <c r="F19862" s="114" t="str">
        <f>IF(INDEX(I.Facility.P3IDNumber,4850)="","",INDEX(I.Facility.P3IDNumber,4850))</f>
        <v/>
      </c>
      <c r="G19862" s="51"/>
      <c r="H19862" s="46" t="str">
        <f>IF(AND(I.Developer.P3=TRUE,I.Facility.P3FacilityCount&gt;=4850,F19862=""),"Incomplete","Complete")</f>
        <v>Complete</v>
      </c>
      <c r="I19862" s="48" t="s">
        <v>24227</v>
      </c>
    </row>
    <row r="19863" spans="2:9" ht="15" customHeight="1" x14ac:dyDescent="0.25">
      <c r="B19863" s="55" t="s">
        <v>282</v>
      </c>
      <c r="C19863" s="46">
        <v>4851</v>
      </c>
      <c r="D19863" s="69" t="s">
        <v>29419</v>
      </c>
      <c r="E19863" s="51"/>
      <c r="F19863" s="114" t="str">
        <f>IF(INDEX(I.Facility.P3IDNumber,4851)="","",INDEX(I.Facility.P3IDNumber,4851))</f>
        <v/>
      </c>
      <c r="G19863" s="51"/>
      <c r="H19863" s="46" t="str">
        <f>IF(AND(I.Developer.P3=TRUE,I.Facility.P3FacilityCount&gt;=4851,F19863=""),"Incomplete","Complete")</f>
        <v>Complete</v>
      </c>
      <c r="I19863" s="48" t="s">
        <v>24228</v>
      </c>
    </row>
    <row r="19864" spans="2:9" ht="15" customHeight="1" x14ac:dyDescent="0.25">
      <c r="B19864" s="55" t="s">
        <v>282</v>
      </c>
      <c r="C19864" s="46">
        <v>4852</v>
      </c>
      <c r="D19864" s="69" t="s">
        <v>29419</v>
      </c>
      <c r="E19864" s="51"/>
      <c r="F19864" s="114" t="str">
        <f>IF(INDEX(I.Facility.P3IDNumber,4852)="","",INDEX(I.Facility.P3IDNumber,4852))</f>
        <v/>
      </c>
      <c r="G19864" s="51"/>
      <c r="H19864" s="46" t="str">
        <f>IF(AND(I.Developer.P3=TRUE,I.Facility.P3FacilityCount&gt;=4852,F19864=""),"Incomplete","Complete")</f>
        <v>Complete</v>
      </c>
      <c r="I19864" s="48" t="s">
        <v>24229</v>
      </c>
    </row>
    <row r="19865" spans="2:9" ht="15" customHeight="1" x14ac:dyDescent="0.25">
      <c r="B19865" s="55" t="s">
        <v>282</v>
      </c>
      <c r="C19865" s="46">
        <v>4853</v>
      </c>
      <c r="D19865" s="69" t="s">
        <v>29419</v>
      </c>
      <c r="E19865" s="51"/>
      <c r="F19865" s="114" t="str">
        <f>IF(INDEX(I.Facility.P3IDNumber,4853)="","",INDEX(I.Facility.P3IDNumber,4853))</f>
        <v/>
      </c>
      <c r="G19865" s="51"/>
      <c r="H19865" s="46" t="str">
        <f>IF(AND(I.Developer.P3=TRUE,I.Facility.P3FacilityCount&gt;=4853,F19865=""),"Incomplete","Complete")</f>
        <v>Complete</v>
      </c>
      <c r="I19865" s="48" t="s">
        <v>24230</v>
      </c>
    </row>
    <row r="19866" spans="2:9" ht="15" customHeight="1" x14ac:dyDescent="0.25">
      <c r="B19866" s="55" t="s">
        <v>282</v>
      </c>
      <c r="C19866" s="46">
        <v>4854</v>
      </c>
      <c r="D19866" s="69" t="s">
        <v>29419</v>
      </c>
      <c r="E19866" s="51"/>
      <c r="F19866" s="114" t="str">
        <f>IF(INDEX(I.Facility.P3IDNumber,4854)="","",INDEX(I.Facility.P3IDNumber,4854))</f>
        <v/>
      </c>
      <c r="G19866" s="51"/>
      <c r="H19866" s="46" t="str">
        <f>IF(AND(I.Developer.P3=TRUE,I.Facility.P3FacilityCount&gt;=4854,F19866=""),"Incomplete","Complete")</f>
        <v>Complete</v>
      </c>
      <c r="I19866" s="48" t="s">
        <v>24231</v>
      </c>
    </row>
    <row r="19867" spans="2:9" ht="15" customHeight="1" x14ac:dyDescent="0.25">
      <c r="B19867" s="55" t="s">
        <v>282</v>
      </c>
      <c r="C19867" s="46">
        <v>4855</v>
      </c>
      <c r="D19867" s="69" t="s">
        <v>29419</v>
      </c>
      <c r="E19867" s="51"/>
      <c r="F19867" s="114" t="str">
        <f>IF(INDEX(I.Facility.P3IDNumber,4855)="","",INDEX(I.Facility.P3IDNumber,4855))</f>
        <v/>
      </c>
      <c r="G19867" s="51"/>
      <c r="H19867" s="46" t="str">
        <f>IF(AND(I.Developer.P3=TRUE,I.Facility.P3FacilityCount&gt;=4855,F19867=""),"Incomplete","Complete")</f>
        <v>Complete</v>
      </c>
      <c r="I19867" s="48" t="s">
        <v>24232</v>
      </c>
    </row>
    <row r="19868" spans="2:9" ht="15" customHeight="1" x14ac:dyDescent="0.25">
      <c r="B19868" s="55" t="s">
        <v>282</v>
      </c>
      <c r="C19868" s="46">
        <v>4856</v>
      </c>
      <c r="D19868" s="69" t="s">
        <v>29419</v>
      </c>
      <c r="E19868" s="51"/>
      <c r="F19868" s="114" t="str">
        <f>IF(INDEX(I.Facility.P3IDNumber,4856)="","",INDEX(I.Facility.P3IDNumber,4856))</f>
        <v/>
      </c>
      <c r="G19868" s="51"/>
      <c r="H19868" s="46" t="str">
        <f>IF(AND(I.Developer.P3=TRUE,I.Facility.P3FacilityCount&gt;=4856,F19868=""),"Incomplete","Complete")</f>
        <v>Complete</v>
      </c>
      <c r="I19868" s="48" t="s">
        <v>24233</v>
      </c>
    </row>
    <row r="19869" spans="2:9" ht="15" customHeight="1" x14ac:dyDescent="0.25">
      <c r="B19869" s="55" t="s">
        <v>282</v>
      </c>
      <c r="C19869" s="46">
        <v>4857</v>
      </c>
      <c r="D19869" s="69" t="s">
        <v>29419</v>
      </c>
      <c r="E19869" s="51"/>
      <c r="F19869" s="114" t="str">
        <f>IF(INDEX(I.Facility.P3IDNumber,4857)="","",INDEX(I.Facility.P3IDNumber,4857))</f>
        <v/>
      </c>
      <c r="G19869" s="51"/>
      <c r="H19869" s="46" t="str">
        <f>IF(AND(I.Developer.P3=TRUE,I.Facility.P3FacilityCount&gt;=4857,F19869=""),"Incomplete","Complete")</f>
        <v>Complete</v>
      </c>
      <c r="I19869" s="48" t="s">
        <v>24234</v>
      </c>
    </row>
    <row r="19870" spans="2:9" ht="15" customHeight="1" x14ac:dyDescent="0.25">
      <c r="B19870" s="55" t="s">
        <v>282</v>
      </c>
      <c r="C19870" s="46">
        <v>4858</v>
      </c>
      <c r="D19870" s="69" t="s">
        <v>29419</v>
      </c>
      <c r="E19870" s="51"/>
      <c r="F19870" s="114" t="str">
        <f>IF(INDEX(I.Facility.P3IDNumber,4858)="","",INDEX(I.Facility.P3IDNumber,4858))</f>
        <v/>
      </c>
      <c r="G19870" s="51"/>
      <c r="H19870" s="46" t="str">
        <f>IF(AND(I.Developer.P3=TRUE,I.Facility.P3FacilityCount&gt;=4858,F19870=""),"Incomplete","Complete")</f>
        <v>Complete</v>
      </c>
      <c r="I19870" s="48" t="s">
        <v>24235</v>
      </c>
    </row>
    <row r="19871" spans="2:9" ht="15" customHeight="1" x14ac:dyDescent="0.25">
      <c r="B19871" s="55" t="s">
        <v>282</v>
      </c>
      <c r="C19871" s="46">
        <v>4859</v>
      </c>
      <c r="D19871" s="69" t="s">
        <v>29419</v>
      </c>
      <c r="E19871" s="51"/>
      <c r="F19871" s="114" t="str">
        <f>IF(INDEX(I.Facility.P3IDNumber,4859)="","",INDEX(I.Facility.P3IDNumber,4859))</f>
        <v/>
      </c>
      <c r="G19871" s="51"/>
      <c r="H19871" s="46" t="str">
        <f>IF(AND(I.Developer.P3=TRUE,I.Facility.P3FacilityCount&gt;=4859,F19871=""),"Incomplete","Complete")</f>
        <v>Complete</v>
      </c>
      <c r="I19871" s="48" t="s">
        <v>24236</v>
      </c>
    </row>
    <row r="19872" spans="2:9" ht="15" customHeight="1" x14ac:dyDescent="0.25">
      <c r="B19872" s="55" t="s">
        <v>282</v>
      </c>
      <c r="C19872" s="46">
        <v>4860</v>
      </c>
      <c r="D19872" s="69" t="s">
        <v>29419</v>
      </c>
      <c r="E19872" s="51"/>
      <c r="F19872" s="114" t="str">
        <f>IF(INDEX(I.Facility.P3IDNumber,4860)="","",INDEX(I.Facility.P3IDNumber,4860))</f>
        <v/>
      </c>
      <c r="G19872" s="51"/>
      <c r="H19872" s="46" t="str">
        <f>IF(AND(I.Developer.P3=TRUE,I.Facility.P3FacilityCount&gt;=4860,F19872=""),"Incomplete","Complete")</f>
        <v>Complete</v>
      </c>
      <c r="I19872" s="48" t="s">
        <v>24237</v>
      </c>
    </row>
    <row r="19873" spans="2:9" ht="15" customHeight="1" x14ac:dyDescent="0.25">
      <c r="B19873" s="55" t="s">
        <v>282</v>
      </c>
      <c r="C19873" s="46">
        <v>4861</v>
      </c>
      <c r="D19873" s="69" t="s">
        <v>29419</v>
      </c>
      <c r="E19873" s="51"/>
      <c r="F19873" s="114" t="str">
        <f>IF(INDEX(I.Facility.P3IDNumber,4861)="","",INDEX(I.Facility.P3IDNumber,4861))</f>
        <v/>
      </c>
      <c r="G19873" s="51"/>
      <c r="H19873" s="46" t="str">
        <f>IF(AND(I.Developer.P3=TRUE,I.Facility.P3FacilityCount&gt;=4861,F19873=""),"Incomplete","Complete")</f>
        <v>Complete</v>
      </c>
      <c r="I19873" s="48" t="s">
        <v>24238</v>
      </c>
    </row>
    <row r="19874" spans="2:9" ht="15" customHeight="1" x14ac:dyDescent="0.25">
      <c r="B19874" s="55" t="s">
        <v>282</v>
      </c>
      <c r="C19874" s="46">
        <v>4862</v>
      </c>
      <c r="D19874" s="69" t="s">
        <v>29419</v>
      </c>
      <c r="E19874" s="51"/>
      <c r="F19874" s="114" t="str">
        <f>IF(INDEX(I.Facility.P3IDNumber,4862)="","",INDEX(I.Facility.P3IDNumber,4862))</f>
        <v/>
      </c>
      <c r="G19874" s="51"/>
      <c r="H19874" s="46" t="str">
        <f>IF(AND(I.Developer.P3=TRUE,I.Facility.P3FacilityCount&gt;=4862,F19874=""),"Incomplete","Complete")</f>
        <v>Complete</v>
      </c>
      <c r="I19874" s="48" t="s">
        <v>24239</v>
      </c>
    </row>
    <row r="19875" spans="2:9" ht="15" customHeight="1" x14ac:dyDescent="0.25">
      <c r="B19875" s="55" t="s">
        <v>282</v>
      </c>
      <c r="C19875" s="46">
        <v>4863</v>
      </c>
      <c r="D19875" s="69" t="s">
        <v>29419</v>
      </c>
      <c r="E19875" s="51"/>
      <c r="F19875" s="114" t="str">
        <f>IF(INDEX(I.Facility.P3IDNumber,4863)="","",INDEX(I.Facility.P3IDNumber,4863))</f>
        <v/>
      </c>
      <c r="G19875" s="51"/>
      <c r="H19875" s="46" t="str">
        <f>IF(AND(I.Developer.P3=TRUE,I.Facility.P3FacilityCount&gt;=4863,F19875=""),"Incomplete","Complete")</f>
        <v>Complete</v>
      </c>
      <c r="I19875" s="48" t="s">
        <v>24240</v>
      </c>
    </row>
    <row r="19876" spans="2:9" ht="15" customHeight="1" x14ac:dyDescent="0.25">
      <c r="B19876" s="55" t="s">
        <v>282</v>
      </c>
      <c r="C19876" s="46">
        <v>4864</v>
      </c>
      <c r="D19876" s="69" t="s">
        <v>29419</v>
      </c>
      <c r="E19876" s="51"/>
      <c r="F19876" s="114" t="str">
        <f>IF(INDEX(I.Facility.P3IDNumber,4864)="","",INDEX(I.Facility.P3IDNumber,4864))</f>
        <v/>
      </c>
      <c r="G19876" s="51"/>
      <c r="H19876" s="46" t="str">
        <f>IF(AND(I.Developer.P3=TRUE,I.Facility.P3FacilityCount&gt;=4864,F19876=""),"Incomplete","Complete")</f>
        <v>Complete</v>
      </c>
      <c r="I19876" s="48" t="s">
        <v>24241</v>
      </c>
    </row>
    <row r="19877" spans="2:9" ht="15" customHeight="1" x14ac:dyDescent="0.25">
      <c r="B19877" s="55" t="s">
        <v>282</v>
      </c>
      <c r="C19877" s="46">
        <v>4865</v>
      </c>
      <c r="D19877" s="69" t="s">
        <v>29419</v>
      </c>
      <c r="E19877" s="51"/>
      <c r="F19877" s="114" t="str">
        <f>IF(INDEX(I.Facility.P3IDNumber,4865)="","",INDEX(I.Facility.P3IDNumber,4865))</f>
        <v/>
      </c>
      <c r="G19877" s="51"/>
      <c r="H19877" s="46" t="str">
        <f>IF(AND(I.Developer.P3=TRUE,I.Facility.P3FacilityCount&gt;=4865,F19877=""),"Incomplete","Complete")</f>
        <v>Complete</v>
      </c>
      <c r="I19877" s="48" t="s">
        <v>24242</v>
      </c>
    </row>
    <row r="19878" spans="2:9" ht="15" customHeight="1" x14ac:dyDescent="0.25">
      <c r="B19878" s="55" t="s">
        <v>282</v>
      </c>
      <c r="C19878" s="46">
        <v>4866</v>
      </c>
      <c r="D19878" s="69" t="s">
        <v>29419</v>
      </c>
      <c r="E19878" s="51"/>
      <c r="F19878" s="114" t="str">
        <f>IF(INDEX(I.Facility.P3IDNumber,4866)="","",INDEX(I.Facility.P3IDNumber,4866))</f>
        <v/>
      </c>
      <c r="G19878" s="51"/>
      <c r="H19878" s="46" t="str">
        <f>IF(AND(I.Developer.P3=TRUE,I.Facility.P3FacilityCount&gt;=4866,F19878=""),"Incomplete","Complete")</f>
        <v>Complete</v>
      </c>
      <c r="I19878" s="48" t="s">
        <v>24243</v>
      </c>
    </row>
    <row r="19879" spans="2:9" ht="15" customHeight="1" x14ac:dyDescent="0.25">
      <c r="B19879" s="55" t="s">
        <v>282</v>
      </c>
      <c r="C19879" s="46">
        <v>4867</v>
      </c>
      <c r="D19879" s="69" t="s">
        <v>29419</v>
      </c>
      <c r="E19879" s="51"/>
      <c r="F19879" s="114" t="str">
        <f>IF(INDEX(I.Facility.P3IDNumber,4867)="","",INDEX(I.Facility.P3IDNumber,4867))</f>
        <v/>
      </c>
      <c r="G19879" s="51"/>
      <c r="H19879" s="46" t="str">
        <f>IF(AND(I.Developer.P3=TRUE,I.Facility.P3FacilityCount&gt;=4867,F19879=""),"Incomplete","Complete")</f>
        <v>Complete</v>
      </c>
      <c r="I19879" s="48" t="s">
        <v>24244</v>
      </c>
    </row>
    <row r="19880" spans="2:9" ht="15" customHeight="1" x14ac:dyDescent="0.25">
      <c r="B19880" s="55" t="s">
        <v>282</v>
      </c>
      <c r="C19880" s="46">
        <v>4868</v>
      </c>
      <c r="D19880" s="69" t="s">
        <v>29419</v>
      </c>
      <c r="E19880" s="51"/>
      <c r="F19880" s="114" t="str">
        <f>IF(INDEX(I.Facility.P3IDNumber,4868)="","",INDEX(I.Facility.P3IDNumber,4868))</f>
        <v/>
      </c>
      <c r="G19880" s="51"/>
      <c r="H19880" s="46" t="str">
        <f>IF(AND(I.Developer.P3=TRUE,I.Facility.P3FacilityCount&gt;=4868,F19880=""),"Incomplete","Complete")</f>
        <v>Complete</v>
      </c>
      <c r="I19880" s="48" t="s">
        <v>24245</v>
      </c>
    </row>
    <row r="19881" spans="2:9" ht="15" customHeight="1" x14ac:dyDescent="0.25">
      <c r="B19881" s="55" t="s">
        <v>282</v>
      </c>
      <c r="C19881" s="46">
        <v>4869</v>
      </c>
      <c r="D19881" s="69" t="s">
        <v>29419</v>
      </c>
      <c r="E19881" s="51"/>
      <c r="F19881" s="114" t="str">
        <f>IF(INDEX(I.Facility.P3IDNumber,4869)="","",INDEX(I.Facility.P3IDNumber,4869))</f>
        <v/>
      </c>
      <c r="G19881" s="51"/>
      <c r="H19881" s="46" t="str">
        <f>IF(AND(I.Developer.P3=TRUE,I.Facility.P3FacilityCount&gt;=4869,F19881=""),"Incomplete","Complete")</f>
        <v>Complete</v>
      </c>
      <c r="I19881" s="48" t="s">
        <v>24246</v>
      </c>
    </row>
    <row r="19882" spans="2:9" ht="15" customHeight="1" x14ac:dyDescent="0.25">
      <c r="B19882" s="55" t="s">
        <v>282</v>
      </c>
      <c r="C19882" s="46">
        <v>4870</v>
      </c>
      <c r="D19882" s="69" t="s">
        <v>29419</v>
      </c>
      <c r="E19882" s="51"/>
      <c r="F19882" s="114" t="str">
        <f>IF(INDEX(I.Facility.P3IDNumber,4870)="","",INDEX(I.Facility.P3IDNumber,4870))</f>
        <v/>
      </c>
      <c r="G19882" s="51"/>
      <c r="H19882" s="46" t="str">
        <f>IF(AND(I.Developer.P3=TRUE,I.Facility.P3FacilityCount&gt;=4870,F19882=""),"Incomplete","Complete")</f>
        <v>Complete</v>
      </c>
      <c r="I19882" s="48" t="s">
        <v>24247</v>
      </c>
    </row>
    <row r="19883" spans="2:9" ht="15" customHeight="1" x14ac:dyDescent="0.25">
      <c r="B19883" s="55" t="s">
        <v>282</v>
      </c>
      <c r="C19883" s="46">
        <v>4871</v>
      </c>
      <c r="D19883" s="69" t="s">
        <v>29419</v>
      </c>
      <c r="E19883" s="51"/>
      <c r="F19883" s="114" t="str">
        <f>IF(INDEX(I.Facility.P3IDNumber,4871)="","",INDEX(I.Facility.P3IDNumber,4871))</f>
        <v/>
      </c>
      <c r="G19883" s="51"/>
      <c r="H19883" s="46" t="str">
        <f>IF(AND(I.Developer.P3=TRUE,I.Facility.P3FacilityCount&gt;=4871,F19883=""),"Incomplete","Complete")</f>
        <v>Complete</v>
      </c>
      <c r="I19883" s="48" t="s">
        <v>24248</v>
      </c>
    </row>
    <row r="19884" spans="2:9" ht="15" customHeight="1" x14ac:dyDescent="0.25">
      <c r="B19884" s="55" t="s">
        <v>282</v>
      </c>
      <c r="C19884" s="46">
        <v>4872</v>
      </c>
      <c r="D19884" s="69" t="s">
        <v>29419</v>
      </c>
      <c r="E19884" s="51"/>
      <c r="F19884" s="114" t="str">
        <f>IF(INDEX(I.Facility.P3IDNumber,4872)="","",INDEX(I.Facility.P3IDNumber,4872))</f>
        <v/>
      </c>
      <c r="G19884" s="51"/>
      <c r="H19884" s="46" t="str">
        <f>IF(AND(I.Developer.P3=TRUE,I.Facility.P3FacilityCount&gt;=4872,F19884=""),"Incomplete","Complete")</f>
        <v>Complete</v>
      </c>
      <c r="I19884" s="48" t="s">
        <v>24249</v>
      </c>
    </row>
    <row r="19885" spans="2:9" ht="15" customHeight="1" x14ac:dyDescent="0.25">
      <c r="B19885" s="55" t="s">
        <v>282</v>
      </c>
      <c r="C19885" s="46">
        <v>4873</v>
      </c>
      <c r="D19885" s="69" t="s">
        <v>29419</v>
      </c>
      <c r="E19885" s="51"/>
      <c r="F19885" s="114" t="str">
        <f>IF(INDEX(I.Facility.P3IDNumber,4873)="","",INDEX(I.Facility.P3IDNumber,4873))</f>
        <v/>
      </c>
      <c r="G19885" s="51"/>
      <c r="H19885" s="46" t="str">
        <f>IF(AND(I.Developer.P3=TRUE,I.Facility.P3FacilityCount&gt;=4873,F19885=""),"Incomplete","Complete")</f>
        <v>Complete</v>
      </c>
      <c r="I19885" s="48" t="s">
        <v>24250</v>
      </c>
    </row>
    <row r="19886" spans="2:9" ht="15" customHeight="1" x14ac:dyDescent="0.25">
      <c r="B19886" s="55" t="s">
        <v>282</v>
      </c>
      <c r="C19886" s="46">
        <v>4874</v>
      </c>
      <c r="D19886" s="69" t="s">
        <v>29419</v>
      </c>
      <c r="E19886" s="51"/>
      <c r="F19886" s="114" t="str">
        <f>IF(INDEX(I.Facility.P3IDNumber,4874)="","",INDEX(I.Facility.P3IDNumber,4874))</f>
        <v/>
      </c>
      <c r="G19886" s="51"/>
      <c r="H19886" s="46" t="str">
        <f>IF(AND(I.Developer.P3=TRUE,I.Facility.P3FacilityCount&gt;=4874,F19886=""),"Incomplete","Complete")</f>
        <v>Complete</v>
      </c>
      <c r="I19886" s="48" t="s">
        <v>24251</v>
      </c>
    </row>
    <row r="19887" spans="2:9" ht="15" customHeight="1" x14ac:dyDescent="0.25">
      <c r="B19887" s="55" t="s">
        <v>282</v>
      </c>
      <c r="C19887" s="46">
        <v>4875</v>
      </c>
      <c r="D19887" s="69" t="s">
        <v>29419</v>
      </c>
      <c r="E19887" s="51"/>
      <c r="F19887" s="114" t="str">
        <f>IF(INDEX(I.Facility.P3IDNumber,4875)="","",INDEX(I.Facility.P3IDNumber,4875))</f>
        <v/>
      </c>
      <c r="G19887" s="51"/>
      <c r="H19887" s="46" t="str">
        <f>IF(AND(I.Developer.P3=TRUE,I.Facility.P3FacilityCount&gt;=4875,F19887=""),"Incomplete","Complete")</f>
        <v>Complete</v>
      </c>
      <c r="I19887" s="48" t="s">
        <v>24252</v>
      </c>
    </row>
    <row r="19888" spans="2:9" ht="15" customHeight="1" x14ac:dyDescent="0.25">
      <c r="B19888" s="55" t="s">
        <v>282</v>
      </c>
      <c r="C19888" s="46">
        <v>4876</v>
      </c>
      <c r="D19888" s="69" t="s">
        <v>29419</v>
      </c>
      <c r="E19888" s="51"/>
      <c r="F19888" s="114" t="str">
        <f>IF(INDEX(I.Facility.P3IDNumber,4876)="","",INDEX(I.Facility.P3IDNumber,4876))</f>
        <v/>
      </c>
      <c r="G19888" s="51"/>
      <c r="H19888" s="46" t="str">
        <f>IF(AND(I.Developer.P3=TRUE,I.Facility.P3FacilityCount&gt;=4876,F19888=""),"Incomplete","Complete")</f>
        <v>Complete</v>
      </c>
      <c r="I19888" s="48" t="s">
        <v>24253</v>
      </c>
    </row>
    <row r="19889" spans="2:9" ht="15" customHeight="1" x14ac:dyDescent="0.25">
      <c r="B19889" s="55" t="s">
        <v>282</v>
      </c>
      <c r="C19889" s="46">
        <v>4877</v>
      </c>
      <c r="D19889" s="69" t="s">
        <v>29419</v>
      </c>
      <c r="E19889" s="51"/>
      <c r="F19889" s="114" t="str">
        <f>IF(INDEX(I.Facility.P3IDNumber,4877)="","",INDEX(I.Facility.P3IDNumber,4877))</f>
        <v/>
      </c>
      <c r="G19889" s="51"/>
      <c r="H19889" s="46" t="str">
        <f>IF(AND(I.Developer.P3=TRUE,I.Facility.P3FacilityCount&gt;=4877,F19889=""),"Incomplete","Complete")</f>
        <v>Complete</v>
      </c>
      <c r="I19889" s="48" t="s">
        <v>24254</v>
      </c>
    </row>
    <row r="19890" spans="2:9" ht="15" customHeight="1" x14ac:dyDescent="0.25">
      <c r="B19890" s="55" t="s">
        <v>282</v>
      </c>
      <c r="C19890" s="46">
        <v>4878</v>
      </c>
      <c r="D19890" s="69" t="s">
        <v>29419</v>
      </c>
      <c r="E19890" s="51"/>
      <c r="F19890" s="114" t="str">
        <f>IF(INDEX(I.Facility.P3IDNumber,4878)="","",INDEX(I.Facility.P3IDNumber,4878))</f>
        <v/>
      </c>
      <c r="G19890" s="51"/>
      <c r="H19890" s="46" t="str">
        <f>IF(AND(I.Developer.P3=TRUE,I.Facility.P3FacilityCount&gt;=4878,F19890=""),"Incomplete","Complete")</f>
        <v>Complete</v>
      </c>
      <c r="I19890" s="48" t="s">
        <v>24255</v>
      </c>
    </row>
    <row r="19891" spans="2:9" ht="15" customHeight="1" x14ac:dyDescent="0.25">
      <c r="B19891" s="55" t="s">
        <v>282</v>
      </c>
      <c r="C19891" s="46">
        <v>4879</v>
      </c>
      <c r="D19891" s="69" t="s">
        <v>29419</v>
      </c>
      <c r="E19891" s="51"/>
      <c r="F19891" s="114" t="str">
        <f>IF(INDEX(I.Facility.P3IDNumber,4879)="","",INDEX(I.Facility.P3IDNumber,4879))</f>
        <v/>
      </c>
      <c r="G19891" s="51"/>
      <c r="H19891" s="46" t="str">
        <f>IF(AND(I.Developer.P3=TRUE,I.Facility.P3FacilityCount&gt;=4879,F19891=""),"Incomplete","Complete")</f>
        <v>Complete</v>
      </c>
      <c r="I19891" s="48" t="s">
        <v>24256</v>
      </c>
    </row>
    <row r="19892" spans="2:9" ht="15" customHeight="1" x14ac:dyDescent="0.25">
      <c r="B19892" s="55" t="s">
        <v>282</v>
      </c>
      <c r="C19892" s="46">
        <v>4880</v>
      </c>
      <c r="D19892" s="69" t="s">
        <v>29419</v>
      </c>
      <c r="E19892" s="51"/>
      <c r="F19892" s="114" t="str">
        <f>IF(INDEX(I.Facility.P3IDNumber,4880)="","",INDEX(I.Facility.P3IDNumber,4880))</f>
        <v/>
      </c>
      <c r="G19892" s="51"/>
      <c r="H19892" s="46" t="str">
        <f>IF(AND(I.Developer.P3=TRUE,I.Facility.P3FacilityCount&gt;=4880,F19892=""),"Incomplete","Complete")</f>
        <v>Complete</v>
      </c>
      <c r="I19892" s="48" t="s">
        <v>24257</v>
      </c>
    </row>
    <row r="19893" spans="2:9" ht="15" customHeight="1" x14ac:dyDescent="0.25">
      <c r="B19893" s="55" t="s">
        <v>282</v>
      </c>
      <c r="C19893" s="46">
        <v>4881</v>
      </c>
      <c r="D19893" s="69" t="s">
        <v>29419</v>
      </c>
      <c r="E19893" s="51"/>
      <c r="F19893" s="114" t="str">
        <f>IF(INDEX(I.Facility.P3IDNumber,4881)="","",INDEX(I.Facility.P3IDNumber,4881))</f>
        <v/>
      </c>
      <c r="G19893" s="51"/>
      <c r="H19893" s="46" t="str">
        <f>IF(AND(I.Developer.P3=TRUE,I.Facility.P3FacilityCount&gt;=4881,F19893=""),"Incomplete","Complete")</f>
        <v>Complete</v>
      </c>
      <c r="I19893" s="48" t="s">
        <v>24258</v>
      </c>
    </row>
    <row r="19894" spans="2:9" ht="15" customHeight="1" x14ac:dyDescent="0.25">
      <c r="B19894" s="55" t="s">
        <v>282</v>
      </c>
      <c r="C19894" s="46">
        <v>4882</v>
      </c>
      <c r="D19894" s="69" t="s">
        <v>29419</v>
      </c>
      <c r="E19894" s="51"/>
      <c r="F19894" s="114" t="str">
        <f>IF(INDEX(I.Facility.P3IDNumber,4882)="","",INDEX(I.Facility.P3IDNumber,4882))</f>
        <v/>
      </c>
      <c r="G19894" s="51"/>
      <c r="H19894" s="46" t="str">
        <f>IF(AND(I.Developer.P3=TRUE,I.Facility.P3FacilityCount&gt;=4882,F19894=""),"Incomplete","Complete")</f>
        <v>Complete</v>
      </c>
      <c r="I19894" s="48" t="s">
        <v>24259</v>
      </c>
    </row>
    <row r="19895" spans="2:9" ht="15" customHeight="1" x14ac:dyDescent="0.25">
      <c r="B19895" s="55" t="s">
        <v>282</v>
      </c>
      <c r="C19895" s="46">
        <v>4883</v>
      </c>
      <c r="D19895" s="69" t="s">
        <v>29419</v>
      </c>
      <c r="E19895" s="51"/>
      <c r="F19895" s="114" t="str">
        <f>IF(INDEX(I.Facility.P3IDNumber,4883)="","",INDEX(I.Facility.P3IDNumber,4883))</f>
        <v/>
      </c>
      <c r="G19895" s="51"/>
      <c r="H19895" s="46" t="str">
        <f>IF(AND(I.Developer.P3=TRUE,I.Facility.P3FacilityCount&gt;=4883,F19895=""),"Incomplete","Complete")</f>
        <v>Complete</v>
      </c>
      <c r="I19895" s="48" t="s">
        <v>24260</v>
      </c>
    </row>
    <row r="19896" spans="2:9" ht="15" customHeight="1" x14ac:dyDescent="0.25">
      <c r="B19896" s="55" t="s">
        <v>282</v>
      </c>
      <c r="C19896" s="46">
        <v>4884</v>
      </c>
      <c r="D19896" s="69" t="s">
        <v>29419</v>
      </c>
      <c r="E19896" s="51"/>
      <c r="F19896" s="114" t="str">
        <f>IF(INDEX(I.Facility.P3IDNumber,4884)="","",INDEX(I.Facility.P3IDNumber,4884))</f>
        <v/>
      </c>
      <c r="G19896" s="51"/>
      <c r="H19896" s="46" t="str">
        <f>IF(AND(I.Developer.P3=TRUE,I.Facility.P3FacilityCount&gt;=4884,F19896=""),"Incomplete","Complete")</f>
        <v>Complete</v>
      </c>
      <c r="I19896" s="48" t="s">
        <v>24261</v>
      </c>
    </row>
    <row r="19897" spans="2:9" ht="15" customHeight="1" x14ac:dyDescent="0.25">
      <c r="B19897" s="55" t="s">
        <v>282</v>
      </c>
      <c r="C19897" s="46">
        <v>4885</v>
      </c>
      <c r="D19897" s="69" t="s">
        <v>29419</v>
      </c>
      <c r="E19897" s="51"/>
      <c r="F19897" s="114" t="str">
        <f>IF(INDEX(I.Facility.P3IDNumber,4885)="","",INDEX(I.Facility.P3IDNumber,4885))</f>
        <v/>
      </c>
      <c r="G19897" s="51"/>
      <c r="H19897" s="46" t="str">
        <f>IF(AND(I.Developer.P3=TRUE,I.Facility.P3FacilityCount&gt;=4885,F19897=""),"Incomplete","Complete")</f>
        <v>Complete</v>
      </c>
      <c r="I19897" s="48" t="s">
        <v>24262</v>
      </c>
    </row>
    <row r="19898" spans="2:9" ht="15" customHeight="1" x14ac:dyDescent="0.25">
      <c r="B19898" s="55" t="s">
        <v>282</v>
      </c>
      <c r="C19898" s="46">
        <v>4886</v>
      </c>
      <c r="D19898" s="69" t="s">
        <v>29419</v>
      </c>
      <c r="E19898" s="51"/>
      <c r="F19898" s="114" t="str">
        <f>IF(INDEX(I.Facility.P3IDNumber,4886)="","",INDEX(I.Facility.P3IDNumber,4886))</f>
        <v/>
      </c>
      <c r="G19898" s="51"/>
      <c r="H19898" s="46" t="str">
        <f>IF(AND(I.Developer.P3=TRUE,I.Facility.P3FacilityCount&gt;=4886,F19898=""),"Incomplete","Complete")</f>
        <v>Complete</v>
      </c>
      <c r="I19898" s="48" t="s">
        <v>24263</v>
      </c>
    </row>
    <row r="19899" spans="2:9" ht="15" customHeight="1" x14ac:dyDescent="0.25">
      <c r="B19899" s="55" t="s">
        <v>282</v>
      </c>
      <c r="C19899" s="46">
        <v>4887</v>
      </c>
      <c r="D19899" s="69" t="s">
        <v>29419</v>
      </c>
      <c r="E19899" s="51"/>
      <c r="F19899" s="114" t="str">
        <f>IF(INDEX(I.Facility.P3IDNumber,4887)="","",INDEX(I.Facility.P3IDNumber,4887))</f>
        <v/>
      </c>
      <c r="G19899" s="51"/>
      <c r="H19899" s="46" t="str">
        <f>IF(AND(I.Developer.P3=TRUE,I.Facility.P3FacilityCount&gt;=4887,F19899=""),"Incomplete","Complete")</f>
        <v>Complete</v>
      </c>
      <c r="I19899" s="48" t="s">
        <v>24264</v>
      </c>
    </row>
    <row r="19900" spans="2:9" ht="15" customHeight="1" x14ac:dyDescent="0.25">
      <c r="B19900" s="55" t="s">
        <v>282</v>
      </c>
      <c r="C19900" s="46">
        <v>4888</v>
      </c>
      <c r="D19900" s="69" t="s">
        <v>29419</v>
      </c>
      <c r="E19900" s="51"/>
      <c r="F19900" s="114" t="str">
        <f>IF(INDEX(I.Facility.P3IDNumber,4888)="","",INDEX(I.Facility.P3IDNumber,4888))</f>
        <v/>
      </c>
      <c r="G19900" s="51"/>
      <c r="H19900" s="46" t="str">
        <f>IF(AND(I.Developer.P3=TRUE,I.Facility.P3FacilityCount&gt;=4888,F19900=""),"Incomplete","Complete")</f>
        <v>Complete</v>
      </c>
      <c r="I19900" s="48" t="s">
        <v>24265</v>
      </c>
    </row>
    <row r="19901" spans="2:9" ht="15" customHeight="1" x14ac:dyDescent="0.25">
      <c r="B19901" s="55" t="s">
        <v>282</v>
      </c>
      <c r="C19901" s="46">
        <v>4889</v>
      </c>
      <c r="D19901" s="69" t="s">
        <v>29419</v>
      </c>
      <c r="E19901" s="51"/>
      <c r="F19901" s="114" t="str">
        <f>IF(INDEX(I.Facility.P3IDNumber,4889)="","",INDEX(I.Facility.P3IDNumber,4889))</f>
        <v/>
      </c>
      <c r="G19901" s="51"/>
      <c r="H19901" s="46" t="str">
        <f>IF(AND(I.Developer.P3=TRUE,I.Facility.P3FacilityCount&gt;=4889,F19901=""),"Incomplete","Complete")</f>
        <v>Complete</v>
      </c>
      <c r="I19901" s="48" t="s">
        <v>24266</v>
      </c>
    </row>
    <row r="19902" spans="2:9" ht="15" customHeight="1" x14ac:dyDescent="0.25">
      <c r="B19902" s="55" t="s">
        <v>282</v>
      </c>
      <c r="C19902" s="46">
        <v>4890</v>
      </c>
      <c r="D19902" s="69" t="s">
        <v>29419</v>
      </c>
      <c r="E19902" s="51"/>
      <c r="F19902" s="114" t="str">
        <f>IF(INDEX(I.Facility.P3IDNumber,4890)="","",INDEX(I.Facility.P3IDNumber,4890))</f>
        <v/>
      </c>
      <c r="G19902" s="51"/>
      <c r="H19902" s="46" t="str">
        <f>IF(AND(I.Developer.P3=TRUE,I.Facility.P3FacilityCount&gt;=4890,F19902=""),"Incomplete","Complete")</f>
        <v>Complete</v>
      </c>
      <c r="I19902" s="48" t="s">
        <v>24267</v>
      </c>
    </row>
    <row r="19903" spans="2:9" ht="15" customHeight="1" x14ac:dyDescent="0.25">
      <c r="B19903" s="55" t="s">
        <v>282</v>
      </c>
      <c r="C19903" s="46">
        <v>4891</v>
      </c>
      <c r="D19903" s="69" t="s">
        <v>29419</v>
      </c>
      <c r="E19903" s="51"/>
      <c r="F19903" s="114" t="str">
        <f>IF(INDEX(I.Facility.P3IDNumber,4891)="","",INDEX(I.Facility.P3IDNumber,4891))</f>
        <v/>
      </c>
      <c r="G19903" s="51"/>
      <c r="H19903" s="46" t="str">
        <f>IF(AND(I.Developer.P3=TRUE,I.Facility.P3FacilityCount&gt;=4891,F19903=""),"Incomplete","Complete")</f>
        <v>Complete</v>
      </c>
      <c r="I19903" s="48" t="s">
        <v>24268</v>
      </c>
    </row>
    <row r="19904" spans="2:9" ht="15" customHeight="1" x14ac:dyDescent="0.25">
      <c r="B19904" s="55" t="s">
        <v>282</v>
      </c>
      <c r="C19904" s="46">
        <v>4892</v>
      </c>
      <c r="D19904" s="69" t="s">
        <v>29419</v>
      </c>
      <c r="E19904" s="51"/>
      <c r="F19904" s="114" t="str">
        <f>IF(INDEX(I.Facility.P3IDNumber,4892)="","",INDEX(I.Facility.P3IDNumber,4892))</f>
        <v/>
      </c>
      <c r="G19904" s="51"/>
      <c r="H19904" s="46" t="str">
        <f>IF(AND(I.Developer.P3=TRUE,I.Facility.P3FacilityCount&gt;=4892,F19904=""),"Incomplete","Complete")</f>
        <v>Complete</v>
      </c>
      <c r="I19904" s="48" t="s">
        <v>24269</v>
      </c>
    </row>
    <row r="19905" spans="2:9" ht="15" customHeight="1" x14ac:dyDescent="0.25">
      <c r="B19905" s="55" t="s">
        <v>282</v>
      </c>
      <c r="C19905" s="46">
        <v>4893</v>
      </c>
      <c r="D19905" s="69" t="s">
        <v>29419</v>
      </c>
      <c r="E19905" s="51"/>
      <c r="F19905" s="114" t="str">
        <f>IF(INDEX(I.Facility.P3IDNumber,4893)="","",INDEX(I.Facility.P3IDNumber,4893))</f>
        <v/>
      </c>
      <c r="G19905" s="51"/>
      <c r="H19905" s="46" t="str">
        <f>IF(AND(I.Developer.P3=TRUE,I.Facility.P3FacilityCount&gt;=4893,F19905=""),"Incomplete","Complete")</f>
        <v>Complete</v>
      </c>
      <c r="I19905" s="48" t="s">
        <v>24270</v>
      </c>
    </row>
    <row r="19906" spans="2:9" ht="15" customHeight="1" x14ac:dyDescent="0.25">
      <c r="B19906" s="55" t="s">
        <v>282</v>
      </c>
      <c r="C19906" s="46">
        <v>4894</v>
      </c>
      <c r="D19906" s="69" t="s">
        <v>29419</v>
      </c>
      <c r="E19906" s="51"/>
      <c r="F19906" s="114" t="str">
        <f>IF(INDEX(I.Facility.P3IDNumber,4894)="","",INDEX(I.Facility.P3IDNumber,4894))</f>
        <v/>
      </c>
      <c r="G19906" s="51"/>
      <c r="H19906" s="46" t="str">
        <f>IF(AND(I.Developer.P3=TRUE,I.Facility.P3FacilityCount&gt;=4894,F19906=""),"Incomplete","Complete")</f>
        <v>Complete</v>
      </c>
      <c r="I19906" s="48" t="s">
        <v>24271</v>
      </c>
    </row>
    <row r="19907" spans="2:9" ht="15" customHeight="1" x14ac:dyDescent="0.25">
      <c r="B19907" s="55" t="s">
        <v>282</v>
      </c>
      <c r="C19907" s="46">
        <v>4895</v>
      </c>
      <c r="D19907" s="69" t="s">
        <v>29419</v>
      </c>
      <c r="E19907" s="51"/>
      <c r="F19907" s="114" t="str">
        <f>IF(INDEX(I.Facility.P3IDNumber,4895)="","",INDEX(I.Facility.P3IDNumber,4895))</f>
        <v/>
      </c>
      <c r="G19907" s="51"/>
      <c r="H19907" s="46" t="str">
        <f>IF(AND(I.Developer.P3=TRUE,I.Facility.P3FacilityCount&gt;=4895,F19907=""),"Incomplete","Complete")</f>
        <v>Complete</v>
      </c>
      <c r="I19907" s="48" t="s">
        <v>24272</v>
      </c>
    </row>
    <row r="19908" spans="2:9" ht="15" customHeight="1" x14ac:dyDescent="0.25">
      <c r="B19908" s="55" t="s">
        <v>282</v>
      </c>
      <c r="C19908" s="46">
        <v>4896</v>
      </c>
      <c r="D19908" s="69" t="s">
        <v>29419</v>
      </c>
      <c r="E19908" s="51"/>
      <c r="F19908" s="114" t="str">
        <f>IF(INDEX(I.Facility.P3IDNumber,4896)="","",INDEX(I.Facility.P3IDNumber,4896))</f>
        <v/>
      </c>
      <c r="G19908" s="51"/>
      <c r="H19908" s="46" t="str">
        <f>IF(AND(I.Developer.P3=TRUE,I.Facility.P3FacilityCount&gt;=4896,F19908=""),"Incomplete","Complete")</f>
        <v>Complete</v>
      </c>
      <c r="I19908" s="48" t="s">
        <v>24273</v>
      </c>
    </row>
    <row r="19909" spans="2:9" ht="15" customHeight="1" x14ac:dyDescent="0.25">
      <c r="B19909" s="55" t="s">
        <v>282</v>
      </c>
      <c r="C19909" s="46">
        <v>4897</v>
      </c>
      <c r="D19909" s="69" t="s">
        <v>29419</v>
      </c>
      <c r="E19909" s="51"/>
      <c r="F19909" s="114" t="str">
        <f>IF(INDEX(I.Facility.P3IDNumber,4897)="","",INDEX(I.Facility.P3IDNumber,4897))</f>
        <v/>
      </c>
      <c r="G19909" s="51"/>
      <c r="H19909" s="46" t="str">
        <f>IF(AND(I.Developer.P3=TRUE,I.Facility.P3FacilityCount&gt;=4897,F19909=""),"Incomplete","Complete")</f>
        <v>Complete</v>
      </c>
      <c r="I19909" s="48" t="s">
        <v>24274</v>
      </c>
    </row>
    <row r="19910" spans="2:9" ht="15" customHeight="1" x14ac:dyDescent="0.25">
      <c r="B19910" s="55" t="s">
        <v>282</v>
      </c>
      <c r="C19910" s="46">
        <v>4898</v>
      </c>
      <c r="D19910" s="69" t="s">
        <v>29419</v>
      </c>
      <c r="E19910" s="51"/>
      <c r="F19910" s="114" t="str">
        <f>IF(INDEX(I.Facility.P3IDNumber,4898)="","",INDEX(I.Facility.P3IDNumber,4898))</f>
        <v/>
      </c>
      <c r="G19910" s="51"/>
      <c r="H19910" s="46" t="str">
        <f>IF(AND(I.Developer.P3=TRUE,I.Facility.P3FacilityCount&gt;=4898,F19910=""),"Incomplete","Complete")</f>
        <v>Complete</v>
      </c>
      <c r="I19910" s="48" t="s">
        <v>24275</v>
      </c>
    </row>
    <row r="19911" spans="2:9" ht="15" customHeight="1" x14ac:dyDescent="0.25">
      <c r="B19911" s="55" t="s">
        <v>282</v>
      </c>
      <c r="C19911" s="46">
        <v>4899</v>
      </c>
      <c r="D19911" s="69" t="s">
        <v>29419</v>
      </c>
      <c r="E19911" s="51"/>
      <c r="F19911" s="114" t="str">
        <f>IF(INDEX(I.Facility.P3IDNumber,4899)="","",INDEX(I.Facility.P3IDNumber,4899))</f>
        <v/>
      </c>
      <c r="G19911" s="51"/>
      <c r="H19911" s="46" t="str">
        <f>IF(AND(I.Developer.P3=TRUE,I.Facility.P3FacilityCount&gt;=4899,F19911=""),"Incomplete","Complete")</f>
        <v>Complete</v>
      </c>
      <c r="I19911" s="48" t="s">
        <v>24276</v>
      </c>
    </row>
    <row r="19912" spans="2:9" ht="15" customHeight="1" x14ac:dyDescent="0.25">
      <c r="B19912" s="55" t="s">
        <v>282</v>
      </c>
      <c r="C19912" s="46">
        <v>4900</v>
      </c>
      <c r="D19912" s="69" t="s">
        <v>29419</v>
      </c>
      <c r="E19912" s="51"/>
      <c r="F19912" s="114" t="str">
        <f>IF(INDEX(I.Facility.P3IDNumber,4900)="","",INDEX(I.Facility.P3IDNumber,4900))</f>
        <v/>
      </c>
      <c r="G19912" s="51"/>
      <c r="H19912" s="46" t="str">
        <f>IF(AND(I.Developer.P3=TRUE,I.Facility.P3FacilityCount&gt;=4900,F19912=""),"Incomplete","Complete")</f>
        <v>Complete</v>
      </c>
      <c r="I19912" s="48" t="s">
        <v>24277</v>
      </c>
    </row>
    <row r="19913" spans="2:9" ht="15" customHeight="1" x14ac:dyDescent="0.25">
      <c r="B19913" s="55" t="s">
        <v>282</v>
      </c>
      <c r="C19913" s="46">
        <v>4901</v>
      </c>
      <c r="D19913" s="69" t="s">
        <v>29419</v>
      </c>
      <c r="E19913" s="51"/>
      <c r="F19913" s="114" t="str">
        <f>IF(INDEX(I.Facility.P3IDNumber,4901)="","",INDEX(I.Facility.P3IDNumber,4901))</f>
        <v/>
      </c>
      <c r="G19913" s="51"/>
      <c r="H19913" s="46" t="str">
        <f>IF(AND(I.Developer.P3=TRUE,I.Facility.P3FacilityCount&gt;=4901,F19913=""),"Incomplete","Complete")</f>
        <v>Complete</v>
      </c>
      <c r="I19913" s="48" t="s">
        <v>24278</v>
      </c>
    </row>
    <row r="19914" spans="2:9" ht="15" customHeight="1" x14ac:dyDescent="0.25">
      <c r="B19914" s="55" t="s">
        <v>282</v>
      </c>
      <c r="C19914" s="46">
        <v>4902</v>
      </c>
      <c r="D19914" s="69" t="s">
        <v>29419</v>
      </c>
      <c r="E19914" s="51"/>
      <c r="F19914" s="114" t="str">
        <f>IF(INDEX(I.Facility.P3IDNumber,4902)="","",INDEX(I.Facility.P3IDNumber,4902))</f>
        <v/>
      </c>
      <c r="G19914" s="51"/>
      <c r="H19914" s="46" t="str">
        <f>IF(AND(I.Developer.P3=TRUE,I.Facility.P3FacilityCount&gt;=4902,F19914=""),"Incomplete","Complete")</f>
        <v>Complete</v>
      </c>
      <c r="I19914" s="48" t="s">
        <v>24279</v>
      </c>
    </row>
    <row r="19915" spans="2:9" ht="15" customHeight="1" x14ac:dyDescent="0.25">
      <c r="B19915" s="55" t="s">
        <v>282</v>
      </c>
      <c r="C19915" s="46">
        <v>4903</v>
      </c>
      <c r="D19915" s="69" t="s">
        <v>29419</v>
      </c>
      <c r="E19915" s="51"/>
      <c r="F19915" s="114" t="str">
        <f>IF(INDEX(I.Facility.P3IDNumber,4903)="","",INDEX(I.Facility.P3IDNumber,4903))</f>
        <v/>
      </c>
      <c r="G19915" s="51"/>
      <c r="H19915" s="46" t="str">
        <f>IF(AND(I.Developer.P3=TRUE,I.Facility.P3FacilityCount&gt;=4903,F19915=""),"Incomplete","Complete")</f>
        <v>Complete</v>
      </c>
      <c r="I19915" s="48" t="s">
        <v>24280</v>
      </c>
    </row>
    <row r="19916" spans="2:9" ht="15" customHeight="1" x14ac:dyDescent="0.25">
      <c r="B19916" s="55" t="s">
        <v>282</v>
      </c>
      <c r="C19916" s="46">
        <v>4904</v>
      </c>
      <c r="D19916" s="69" t="s">
        <v>29419</v>
      </c>
      <c r="E19916" s="51"/>
      <c r="F19916" s="114" t="str">
        <f>IF(INDEX(I.Facility.P3IDNumber,4904)="","",INDEX(I.Facility.P3IDNumber,4904))</f>
        <v/>
      </c>
      <c r="G19916" s="51"/>
      <c r="H19916" s="46" t="str">
        <f>IF(AND(I.Developer.P3=TRUE,I.Facility.P3FacilityCount&gt;=4904,F19916=""),"Incomplete","Complete")</f>
        <v>Complete</v>
      </c>
      <c r="I19916" s="48" t="s">
        <v>24281</v>
      </c>
    </row>
    <row r="19917" spans="2:9" ht="15" customHeight="1" x14ac:dyDescent="0.25">
      <c r="B19917" s="55" t="s">
        <v>282</v>
      </c>
      <c r="C19917" s="46">
        <v>4905</v>
      </c>
      <c r="D19917" s="69" t="s">
        <v>29419</v>
      </c>
      <c r="E19917" s="51"/>
      <c r="F19917" s="114" t="str">
        <f>IF(INDEX(I.Facility.P3IDNumber,4905)="","",INDEX(I.Facility.P3IDNumber,4905))</f>
        <v/>
      </c>
      <c r="G19917" s="51"/>
      <c r="H19917" s="46" t="str">
        <f>IF(AND(I.Developer.P3=TRUE,I.Facility.P3FacilityCount&gt;=4905,F19917=""),"Incomplete","Complete")</f>
        <v>Complete</v>
      </c>
      <c r="I19917" s="48" t="s">
        <v>24282</v>
      </c>
    </row>
    <row r="19918" spans="2:9" ht="15" customHeight="1" x14ac:dyDescent="0.25">
      <c r="B19918" s="55" t="s">
        <v>282</v>
      </c>
      <c r="C19918" s="46">
        <v>4906</v>
      </c>
      <c r="D19918" s="69" t="s">
        <v>29419</v>
      </c>
      <c r="E19918" s="51"/>
      <c r="F19918" s="114" t="str">
        <f>IF(INDEX(I.Facility.P3IDNumber,4906)="","",INDEX(I.Facility.P3IDNumber,4906))</f>
        <v/>
      </c>
      <c r="G19918" s="51"/>
      <c r="H19918" s="46" t="str">
        <f>IF(AND(I.Developer.P3=TRUE,I.Facility.P3FacilityCount&gt;=4906,F19918=""),"Incomplete","Complete")</f>
        <v>Complete</v>
      </c>
      <c r="I19918" s="48" t="s">
        <v>24283</v>
      </c>
    </row>
    <row r="19919" spans="2:9" ht="15" customHeight="1" x14ac:dyDescent="0.25">
      <c r="B19919" s="55" t="s">
        <v>282</v>
      </c>
      <c r="C19919" s="46">
        <v>4907</v>
      </c>
      <c r="D19919" s="69" t="s">
        <v>29419</v>
      </c>
      <c r="E19919" s="51"/>
      <c r="F19919" s="114" t="str">
        <f>IF(INDEX(I.Facility.P3IDNumber,4907)="","",INDEX(I.Facility.P3IDNumber,4907))</f>
        <v/>
      </c>
      <c r="G19919" s="51"/>
      <c r="H19919" s="46" t="str">
        <f>IF(AND(I.Developer.P3=TRUE,I.Facility.P3FacilityCount&gt;=4907,F19919=""),"Incomplete","Complete")</f>
        <v>Complete</v>
      </c>
      <c r="I19919" s="48" t="s">
        <v>24284</v>
      </c>
    </row>
    <row r="19920" spans="2:9" ht="15" customHeight="1" x14ac:dyDescent="0.25">
      <c r="B19920" s="55" t="s">
        <v>282</v>
      </c>
      <c r="C19920" s="46">
        <v>4908</v>
      </c>
      <c r="D19920" s="69" t="s">
        <v>29419</v>
      </c>
      <c r="E19920" s="51"/>
      <c r="F19920" s="114" t="str">
        <f>IF(INDEX(I.Facility.P3IDNumber,4908)="","",INDEX(I.Facility.P3IDNumber,4908))</f>
        <v/>
      </c>
      <c r="G19920" s="51"/>
      <c r="H19920" s="46" t="str">
        <f>IF(AND(I.Developer.P3=TRUE,I.Facility.P3FacilityCount&gt;=4908,F19920=""),"Incomplete","Complete")</f>
        <v>Complete</v>
      </c>
      <c r="I19920" s="48" t="s">
        <v>24285</v>
      </c>
    </row>
    <row r="19921" spans="2:9" ht="15" customHeight="1" x14ac:dyDescent="0.25">
      <c r="B19921" s="55" t="s">
        <v>282</v>
      </c>
      <c r="C19921" s="46">
        <v>4909</v>
      </c>
      <c r="D19921" s="69" t="s">
        <v>29419</v>
      </c>
      <c r="E19921" s="51"/>
      <c r="F19921" s="114" t="str">
        <f>IF(INDEX(I.Facility.P3IDNumber,4909)="","",INDEX(I.Facility.P3IDNumber,4909))</f>
        <v/>
      </c>
      <c r="G19921" s="51"/>
      <c r="H19921" s="46" t="str">
        <f>IF(AND(I.Developer.P3=TRUE,I.Facility.P3FacilityCount&gt;=4909,F19921=""),"Incomplete","Complete")</f>
        <v>Complete</v>
      </c>
      <c r="I19921" s="48" t="s">
        <v>24286</v>
      </c>
    </row>
    <row r="19922" spans="2:9" ht="15" customHeight="1" x14ac:dyDescent="0.25">
      <c r="B19922" s="55" t="s">
        <v>282</v>
      </c>
      <c r="C19922" s="46">
        <v>4910</v>
      </c>
      <c r="D19922" s="69" t="s">
        <v>29419</v>
      </c>
      <c r="E19922" s="51"/>
      <c r="F19922" s="114" t="str">
        <f>IF(INDEX(I.Facility.P3IDNumber,4910)="","",INDEX(I.Facility.P3IDNumber,4910))</f>
        <v/>
      </c>
      <c r="G19922" s="51"/>
      <c r="H19922" s="46" t="str">
        <f>IF(AND(I.Developer.P3=TRUE,I.Facility.P3FacilityCount&gt;=4910,F19922=""),"Incomplete","Complete")</f>
        <v>Complete</v>
      </c>
      <c r="I19922" s="48" t="s">
        <v>24287</v>
      </c>
    </row>
    <row r="19923" spans="2:9" ht="15" customHeight="1" x14ac:dyDescent="0.25">
      <c r="B19923" s="55" t="s">
        <v>282</v>
      </c>
      <c r="C19923" s="46">
        <v>4911</v>
      </c>
      <c r="D19923" s="69" t="s">
        <v>29419</v>
      </c>
      <c r="E19923" s="51"/>
      <c r="F19923" s="114" t="str">
        <f>IF(INDEX(I.Facility.P3IDNumber,4911)="","",INDEX(I.Facility.P3IDNumber,4911))</f>
        <v/>
      </c>
      <c r="G19923" s="51"/>
      <c r="H19923" s="46" t="str">
        <f>IF(AND(I.Developer.P3=TRUE,I.Facility.P3FacilityCount&gt;=4911,F19923=""),"Incomplete","Complete")</f>
        <v>Complete</v>
      </c>
      <c r="I19923" s="48" t="s">
        <v>24288</v>
      </c>
    </row>
    <row r="19924" spans="2:9" ht="15" customHeight="1" x14ac:dyDescent="0.25">
      <c r="B19924" s="55" t="s">
        <v>282</v>
      </c>
      <c r="C19924" s="46">
        <v>4912</v>
      </c>
      <c r="D19924" s="69" t="s">
        <v>29419</v>
      </c>
      <c r="E19924" s="51"/>
      <c r="F19924" s="114" t="str">
        <f>IF(INDEX(I.Facility.P3IDNumber,4912)="","",INDEX(I.Facility.P3IDNumber,4912))</f>
        <v/>
      </c>
      <c r="G19924" s="51"/>
      <c r="H19924" s="46" t="str">
        <f>IF(AND(I.Developer.P3=TRUE,I.Facility.P3FacilityCount&gt;=4912,F19924=""),"Incomplete","Complete")</f>
        <v>Complete</v>
      </c>
      <c r="I19924" s="48" t="s">
        <v>24289</v>
      </c>
    </row>
    <row r="19925" spans="2:9" ht="15" customHeight="1" x14ac:dyDescent="0.25">
      <c r="B19925" s="55" t="s">
        <v>282</v>
      </c>
      <c r="C19925" s="46">
        <v>4913</v>
      </c>
      <c r="D19925" s="69" t="s">
        <v>29419</v>
      </c>
      <c r="E19925" s="51"/>
      <c r="F19925" s="114" t="str">
        <f>IF(INDEX(I.Facility.P3IDNumber,4913)="","",INDEX(I.Facility.P3IDNumber,4913))</f>
        <v/>
      </c>
      <c r="G19925" s="51"/>
      <c r="H19925" s="46" t="str">
        <f>IF(AND(I.Developer.P3=TRUE,I.Facility.P3FacilityCount&gt;=4913,F19925=""),"Incomplete","Complete")</f>
        <v>Complete</v>
      </c>
      <c r="I19925" s="48" t="s">
        <v>24290</v>
      </c>
    </row>
    <row r="19926" spans="2:9" ht="15" customHeight="1" x14ac:dyDescent="0.25">
      <c r="B19926" s="55" t="s">
        <v>282</v>
      </c>
      <c r="C19926" s="46">
        <v>4914</v>
      </c>
      <c r="D19926" s="69" t="s">
        <v>29419</v>
      </c>
      <c r="E19926" s="51"/>
      <c r="F19926" s="114" t="str">
        <f>IF(INDEX(I.Facility.P3IDNumber,4914)="","",INDEX(I.Facility.P3IDNumber,4914))</f>
        <v/>
      </c>
      <c r="G19926" s="51"/>
      <c r="H19926" s="46" t="str">
        <f>IF(AND(I.Developer.P3=TRUE,I.Facility.P3FacilityCount&gt;=4914,F19926=""),"Incomplete","Complete")</f>
        <v>Complete</v>
      </c>
      <c r="I19926" s="48" t="s">
        <v>24291</v>
      </c>
    </row>
    <row r="19927" spans="2:9" ht="15" customHeight="1" x14ac:dyDescent="0.25">
      <c r="B19927" s="55" t="s">
        <v>282</v>
      </c>
      <c r="C19927" s="46">
        <v>4915</v>
      </c>
      <c r="D19927" s="69" t="s">
        <v>29419</v>
      </c>
      <c r="E19927" s="51"/>
      <c r="F19927" s="114" t="str">
        <f>IF(INDEX(I.Facility.P3IDNumber,4915)="","",INDEX(I.Facility.P3IDNumber,4915))</f>
        <v/>
      </c>
      <c r="G19927" s="51"/>
      <c r="H19927" s="46" t="str">
        <f>IF(AND(I.Developer.P3=TRUE,I.Facility.P3FacilityCount&gt;=4915,F19927=""),"Incomplete","Complete")</f>
        <v>Complete</v>
      </c>
      <c r="I19927" s="48" t="s">
        <v>24292</v>
      </c>
    </row>
    <row r="19928" spans="2:9" ht="15" customHeight="1" x14ac:dyDescent="0.25">
      <c r="B19928" s="55" t="s">
        <v>282</v>
      </c>
      <c r="C19928" s="46">
        <v>4916</v>
      </c>
      <c r="D19928" s="69" t="s">
        <v>29419</v>
      </c>
      <c r="E19928" s="51"/>
      <c r="F19928" s="114" t="str">
        <f>IF(INDEX(I.Facility.P3IDNumber,4916)="","",INDEX(I.Facility.P3IDNumber,4916))</f>
        <v/>
      </c>
      <c r="G19928" s="51"/>
      <c r="H19928" s="46" t="str">
        <f>IF(AND(I.Developer.P3=TRUE,I.Facility.P3FacilityCount&gt;=4916,F19928=""),"Incomplete","Complete")</f>
        <v>Complete</v>
      </c>
      <c r="I19928" s="48" t="s">
        <v>24293</v>
      </c>
    </row>
    <row r="19929" spans="2:9" ht="15" customHeight="1" x14ac:dyDescent="0.25">
      <c r="B19929" s="55" t="s">
        <v>282</v>
      </c>
      <c r="C19929" s="46">
        <v>4917</v>
      </c>
      <c r="D19929" s="69" t="s">
        <v>29419</v>
      </c>
      <c r="E19929" s="51"/>
      <c r="F19929" s="114" t="str">
        <f>IF(INDEX(I.Facility.P3IDNumber,4917)="","",INDEX(I.Facility.P3IDNumber,4917))</f>
        <v/>
      </c>
      <c r="G19929" s="51"/>
      <c r="H19929" s="46" t="str">
        <f>IF(AND(I.Developer.P3=TRUE,I.Facility.P3FacilityCount&gt;=4917,F19929=""),"Incomplete","Complete")</f>
        <v>Complete</v>
      </c>
      <c r="I19929" s="48" t="s">
        <v>24294</v>
      </c>
    </row>
    <row r="19930" spans="2:9" ht="15" customHeight="1" x14ac:dyDescent="0.25">
      <c r="B19930" s="55" t="s">
        <v>282</v>
      </c>
      <c r="C19930" s="46">
        <v>4918</v>
      </c>
      <c r="D19930" s="69" t="s">
        <v>29419</v>
      </c>
      <c r="E19930" s="51"/>
      <c r="F19930" s="114" t="str">
        <f>IF(INDEX(I.Facility.P3IDNumber,4918)="","",INDEX(I.Facility.P3IDNumber,4918))</f>
        <v/>
      </c>
      <c r="G19930" s="51"/>
      <c r="H19930" s="46" t="str">
        <f>IF(AND(I.Developer.P3=TRUE,I.Facility.P3FacilityCount&gt;=4918,F19930=""),"Incomplete","Complete")</f>
        <v>Complete</v>
      </c>
      <c r="I19930" s="48" t="s">
        <v>24295</v>
      </c>
    </row>
    <row r="19931" spans="2:9" ht="15" customHeight="1" x14ac:dyDescent="0.25">
      <c r="B19931" s="55" t="s">
        <v>282</v>
      </c>
      <c r="C19931" s="46">
        <v>4919</v>
      </c>
      <c r="D19931" s="69" t="s">
        <v>29419</v>
      </c>
      <c r="E19931" s="51"/>
      <c r="F19931" s="114" t="str">
        <f>IF(INDEX(I.Facility.P3IDNumber,4919)="","",INDEX(I.Facility.P3IDNumber,4919))</f>
        <v/>
      </c>
      <c r="G19931" s="51"/>
      <c r="H19931" s="46" t="str">
        <f>IF(AND(I.Developer.P3=TRUE,I.Facility.P3FacilityCount&gt;=4919,F19931=""),"Incomplete","Complete")</f>
        <v>Complete</v>
      </c>
      <c r="I19931" s="48" t="s">
        <v>24296</v>
      </c>
    </row>
    <row r="19932" spans="2:9" ht="15" customHeight="1" x14ac:dyDescent="0.25">
      <c r="B19932" s="55" t="s">
        <v>282</v>
      </c>
      <c r="C19932" s="46">
        <v>4920</v>
      </c>
      <c r="D19932" s="69" t="s">
        <v>29419</v>
      </c>
      <c r="E19932" s="51"/>
      <c r="F19932" s="114" t="str">
        <f>IF(INDEX(I.Facility.P3IDNumber,4920)="","",INDEX(I.Facility.P3IDNumber,4920))</f>
        <v/>
      </c>
      <c r="G19932" s="51"/>
      <c r="H19932" s="46" t="str">
        <f>IF(AND(I.Developer.P3=TRUE,I.Facility.P3FacilityCount&gt;=4920,F19932=""),"Incomplete","Complete")</f>
        <v>Complete</v>
      </c>
      <c r="I19932" s="48" t="s">
        <v>24297</v>
      </c>
    </row>
    <row r="19933" spans="2:9" ht="15" customHeight="1" x14ac:dyDescent="0.25">
      <c r="B19933" s="55" t="s">
        <v>282</v>
      </c>
      <c r="C19933" s="46">
        <v>4921</v>
      </c>
      <c r="D19933" s="69" t="s">
        <v>29419</v>
      </c>
      <c r="E19933" s="51"/>
      <c r="F19933" s="114" t="str">
        <f>IF(INDEX(I.Facility.P3IDNumber,4921)="","",INDEX(I.Facility.P3IDNumber,4921))</f>
        <v/>
      </c>
      <c r="G19933" s="51"/>
      <c r="H19933" s="46" t="str">
        <f>IF(AND(I.Developer.P3=TRUE,I.Facility.P3FacilityCount&gt;=4921,F19933=""),"Incomplete","Complete")</f>
        <v>Complete</v>
      </c>
      <c r="I19933" s="48" t="s">
        <v>24298</v>
      </c>
    </row>
    <row r="19934" spans="2:9" ht="15" customHeight="1" x14ac:dyDescent="0.25">
      <c r="B19934" s="55" t="s">
        <v>282</v>
      </c>
      <c r="C19934" s="46">
        <v>4922</v>
      </c>
      <c r="D19934" s="69" t="s">
        <v>29419</v>
      </c>
      <c r="E19934" s="51"/>
      <c r="F19934" s="114" t="str">
        <f>IF(INDEX(I.Facility.P3IDNumber,4922)="","",INDEX(I.Facility.P3IDNumber,4922))</f>
        <v/>
      </c>
      <c r="G19934" s="51"/>
      <c r="H19934" s="46" t="str">
        <f>IF(AND(I.Developer.P3=TRUE,I.Facility.P3FacilityCount&gt;=4922,F19934=""),"Incomplete","Complete")</f>
        <v>Complete</v>
      </c>
      <c r="I19934" s="48" t="s">
        <v>24299</v>
      </c>
    </row>
    <row r="19935" spans="2:9" ht="15" customHeight="1" x14ac:dyDescent="0.25">
      <c r="B19935" s="55" t="s">
        <v>282</v>
      </c>
      <c r="C19935" s="46">
        <v>4923</v>
      </c>
      <c r="D19935" s="69" t="s">
        <v>29419</v>
      </c>
      <c r="E19935" s="51"/>
      <c r="F19935" s="114" t="str">
        <f>IF(INDEX(I.Facility.P3IDNumber,4923)="","",INDEX(I.Facility.P3IDNumber,4923))</f>
        <v/>
      </c>
      <c r="G19935" s="51"/>
      <c r="H19935" s="46" t="str">
        <f>IF(AND(I.Developer.P3=TRUE,I.Facility.P3FacilityCount&gt;=4923,F19935=""),"Incomplete","Complete")</f>
        <v>Complete</v>
      </c>
      <c r="I19935" s="48" t="s">
        <v>24300</v>
      </c>
    </row>
    <row r="19936" spans="2:9" ht="15" customHeight="1" x14ac:dyDescent="0.25">
      <c r="B19936" s="55" t="s">
        <v>282</v>
      </c>
      <c r="C19936" s="46">
        <v>4924</v>
      </c>
      <c r="D19936" s="69" t="s">
        <v>29419</v>
      </c>
      <c r="E19936" s="51"/>
      <c r="F19936" s="114" t="str">
        <f>IF(INDEX(I.Facility.P3IDNumber,4924)="","",INDEX(I.Facility.P3IDNumber,4924))</f>
        <v/>
      </c>
      <c r="G19936" s="51"/>
      <c r="H19936" s="46" t="str">
        <f>IF(AND(I.Developer.P3=TRUE,I.Facility.P3FacilityCount&gt;=4924,F19936=""),"Incomplete","Complete")</f>
        <v>Complete</v>
      </c>
      <c r="I19936" s="48" t="s">
        <v>24301</v>
      </c>
    </row>
    <row r="19937" spans="2:9" ht="15" customHeight="1" x14ac:dyDescent="0.25">
      <c r="B19937" s="55" t="s">
        <v>282</v>
      </c>
      <c r="C19937" s="46">
        <v>4925</v>
      </c>
      <c r="D19937" s="69" t="s">
        <v>29419</v>
      </c>
      <c r="E19937" s="51"/>
      <c r="F19937" s="114" t="str">
        <f>IF(INDEX(I.Facility.P3IDNumber,4925)="","",INDEX(I.Facility.P3IDNumber,4925))</f>
        <v/>
      </c>
      <c r="G19937" s="51"/>
      <c r="H19937" s="46" t="str">
        <f>IF(AND(I.Developer.P3=TRUE,I.Facility.P3FacilityCount&gt;=4925,F19937=""),"Incomplete","Complete")</f>
        <v>Complete</v>
      </c>
      <c r="I19937" s="48" t="s">
        <v>24302</v>
      </c>
    </row>
    <row r="19938" spans="2:9" ht="15" customHeight="1" x14ac:dyDescent="0.25">
      <c r="B19938" s="55" t="s">
        <v>282</v>
      </c>
      <c r="C19938" s="46">
        <v>4926</v>
      </c>
      <c r="D19938" s="69" t="s">
        <v>29419</v>
      </c>
      <c r="E19938" s="51"/>
      <c r="F19938" s="114" t="str">
        <f>IF(INDEX(I.Facility.P3IDNumber,4926)="","",INDEX(I.Facility.P3IDNumber,4926))</f>
        <v/>
      </c>
      <c r="G19938" s="51"/>
      <c r="H19938" s="46" t="str">
        <f>IF(AND(I.Developer.P3=TRUE,I.Facility.P3FacilityCount&gt;=4926,F19938=""),"Incomplete","Complete")</f>
        <v>Complete</v>
      </c>
      <c r="I19938" s="48" t="s">
        <v>24303</v>
      </c>
    </row>
    <row r="19939" spans="2:9" ht="15" customHeight="1" x14ac:dyDescent="0.25">
      <c r="B19939" s="55" t="s">
        <v>282</v>
      </c>
      <c r="C19939" s="46">
        <v>4927</v>
      </c>
      <c r="D19939" s="69" t="s">
        <v>29419</v>
      </c>
      <c r="E19939" s="51"/>
      <c r="F19939" s="114" t="str">
        <f>IF(INDEX(I.Facility.P3IDNumber,4927)="","",INDEX(I.Facility.P3IDNumber,4927))</f>
        <v/>
      </c>
      <c r="G19939" s="51"/>
      <c r="H19939" s="46" t="str">
        <f>IF(AND(I.Developer.P3=TRUE,I.Facility.P3FacilityCount&gt;=4927,F19939=""),"Incomplete","Complete")</f>
        <v>Complete</v>
      </c>
      <c r="I19939" s="48" t="s">
        <v>24304</v>
      </c>
    </row>
    <row r="19940" spans="2:9" ht="15" customHeight="1" x14ac:dyDescent="0.25">
      <c r="B19940" s="55" t="s">
        <v>282</v>
      </c>
      <c r="C19940" s="46">
        <v>4928</v>
      </c>
      <c r="D19940" s="69" t="s">
        <v>29419</v>
      </c>
      <c r="E19940" s="51"/>
      <c r="F19940" s="114" t="str">
        <f>IF(INDEX(I.Facility.P3IDNumber,4928)="","",INDEX(I.Facility.P3IDNumber,4928))</f>
        <v/>
      </c>
      <c r="G19940" s="51"/>
      <c r="H19940" s="46" t="str">
        <f>IF(AND(I.Developer.P3=TRUE,I.Facility.P3FacilityCount&gt;=4928,F19940=""),"Incomplete","Complete")</f>
        <v>Complete</v>
      </c>
      <c r="I19940" s="48" t="s">
        <v>24305</v>
      </c>
    </row>
    <row r="19941" spans="2:9" ht="15" customHeight="1" x14ac:dyDescent="0.25">
      <c r="B19941" s="55" t="s">
        <v>282</v>
      </c>
      <c r="C19941" s="46">
        <v>4929</v>
      </c>
      <c r="D19941" s="69" t="s">
        <v>29419</v>
      </c>
      <c r="E19941" s="51"/>
      <c r="F19941" s="114" t="str">
        <f>IF(INDEX(I.Facility.P3IDNumber,4929)="","",INDEX(I.Facility.P3IDNumber,4929))</f>
        <v/>
      </c>
      <c r="G19941" s="51"/>
      <c r="H19941" s="46" t="str">
        <f>IF(AND(I.Developer.P3=TRUE,I.Facility.P3FacilityCount&gt;=4929,F19941=""),"Incomplete","Complete")</f>
        <v>Complete</v>
      </c>
      <c r="I19941" s="48" t="s">
        <v>24306</v>
      </c>
    </row>
    <row r="19942" spans="2:9" ht="15" customHeight="1" x14ac:dyDescent="0.25">
      <c r="B19942" s="55" t="s">
        <v>282</v>
      </c>
      <c r="C19942" s="46">
        <v>4930</v>
      </c>
      <c r="D19942" s="69" t="s">
        <v>29419</v>
      </c>
      <c r="E19942" s="51"/>
      <c r="F19942" s="114" t="str">
        <f>IF(INDEX(I.Facility.P3IDNumber,4930)="","",INDEX(I.Facility.P3IDNumber,4930))</f>
        <v/>
      </c>
      <c r="G19942" s="51"/>
      <c r="H19942" s="46" t="str">
        <f>IF(AND(I.Developer.P3=TRUE,I.Facility.P3FacilityCount&gt;=4930,F19942=""),"Incomplete","Complete")</f>
        <v>Complete</v>
      </c>
      <c r="I19942" s="48" t="s">
        <v>24307</v>
      </c>
    </row>
    <row r="19943" spans="2:9" ht="15" customHeight="1" x14ac:dyDescent="0.25">
      <c r="B19943" s="55" t="s">
        <v>282</v>
      </c>
      <c r="C19943" s="46">
        <v>4931</v>
      </c>
      <c r="D19943" s="69" t="s">
        <v>29419</v>
      </c>
      <c r="E19943" s="51"/>
      <c r="F19943" s="114" t="str">
        <f>IF(INDEX(I.Facility.P3IDNumber,4931)="","",INDEX(I.Facility.P3IDNumber,4931))</f>
        <v/>
      </c>
      <c r="G19943" s="51"/>
      <c r="H19943" s="46" t="str">
        <f>IF(AND(I.Developer.P3=TRUE,I.Facility.P3FacilityCount&gt;=4931,F19943=""),"Incomplete","Complete")</f>
        <v>Complete</v>
      </c>
      <c r="I19943" s="48" t="s">
        <v>24308</v>
      </c>
    </row>
    <row r="19944" spans="2:9" ht="15" customHeight="1" x14ac:dyDescent="0.25">
      <c r="B19944" s="55" t="s">
        <v>282</v>
      </c>
      <c r="C19944" s="46">
        <v>4932</v>
      </c>
      <c r="D19944" s="69" t="s">
        <v>29419</v>
      </c>
      <c r="E19944" s="51"/>
      <c r="F19944" s="114" t="str">
        <f>IF(INDEX(I.Facility.P3IDNumber,4932)="","",INDEX(I.Facility.P3IDNumber,4932))</f>
        <v/>
      </c>
      <c r="G19944" s="51"/>
      <c r="H19944" s="46" t="str">
        <f>IF(AND(I.Developer.P3=TRUE,I.Facility.P3FacilityCount&gt;=4932,F19944=""),"Incomplete","Complete")</f>
        <v>Complete</v>
      </c>
      <c r="I19944" s="48" t="s">
        <v>24309</v>
      </c>
    </row>
    <row r="19945" spans="2:9" ht="15" customHeight="1" x14ac:dyDescent="0.25">
      <c r="B19945" s="55" t="s">
        <v>282</v>
      </c>
      <c r="C19945" s="46">
        <v>4933</v>
      </c>
      <c r="D19945" s="69" t="s">
        <v>29419</v>
      </c>
      <c r="E19945" s="51"/>
      <c r="F19945" s="114" t="str">
        <f>IF(INDEX(I.Facility.P3IDNumber,4933)="","",INDEX(I.Facility.P3IDNumber,4933))</f>
        <v/>
      </c>
      <c r="G19945" s="51"/>
      <c r="H19945" s="46" t="str">
        <f>IF(AND(I.Developer.P3=TRUE,I.Facility.P3FacilityCount&gt;=4933,F19945=""),"Incomplete","Complete")</f>
        <v>Complete</v>
      </c>
      <c r="I19945" s="48" t="s">
        <v>24310</v>
      </c>
    </row>
    <row r="19946" spans="2:9" ht="15" customHeight="1" x14ac:dyDescent="0.25">
      <c r="B19946" s="55" t="s">
        <v>282</v>
      </c>
      <c r="C19946" s="46">
        <v>4934</v>
      </c>
      <c r="D19946" s="69" t="s">
        <v>29419</v>
      </c>
      <c r="E19946" s="51"/>
      <c r="F19946" s="114" t="str">
        <f>IF(INDEX(I.Facility.P3IDNumber,4934)="","",INDEX(I.Facility.P3IDNumber,4934))</f>
        <v/>
      </c>
      <c r="G19946" s="51"/>
      <c r="H19946" s="46" t="str">
        <f>IF(AND(I.Developer.P3=TRUE,I.Facility.P3FacilityCount&gt;=4934,F19946=""),"Incomplete","Complete")</f>
        <v>Complete</v>
      </c>
      <c r="I19946" s="48" t="s">
        <v>24311</v>
      </c>
    </row>
    <row r="19947" spans="2:9" ht="15" customHeight="1" x14ac:dyDescent="0.25">
      <c r="B19947" s="55" t="s">
        <v>282</v>
      </c>
      <c r="C19947" s="46">
        <v>4935</v>
      </c>
      <c r="D19947" s="69" t="s">
        <v>29419</v>
      </c>
      <c r="E19947" s="51"/>
      <c r="F19947" s="114" t="str">
        <f>IF(INDEX(I.Facility.P3IDNumber,4935)="","",INDEX(I.Facility.P3IDNumber,4935))</f>
        <v/>
      </c>
      <c r="G19947" s="51"/>
      <c r="H19947" s="46" t="str">
        <f>IF(AND(I.Developer.P3=TRUE,I.Facility.P3FacilityCount&gt;=4935,F19947=""),"Incomplete","Complete")</f>
        <v>Complete</v>
      </c>
      <c r="I19947" s="48" t="s">
        <v>24312</v>
      </c>
    </row>
    <row r="19948" spans="2:9" ht="15" customHeight="1" x14ac:dyDescent="0.25">
      <c r="B19948" s="55" t="s">
        <v>282</v>
      </c>
      <c r="C19948" s="46">
        <v>4936</v>
      </c>
      <c r="D19948" s="69" t="s">
        <v>29419</v>
      </c>
      <c r="E19948" s="51"/>
      <c r="F19948" s="114" t="str">
        <f>IF(INDEX(I.Facility.P3IDNumber,4936)="","",INDEX(I.Facility.P3IDNumber,4936))</f>
        <v/>
      </c>
      <c r="G19948" s="51"/>
      <c r="H19948" s="46" t="str">
        <f>IF(AND(I.Developer.P3=TRUE,I.Facility.P3FacilityCount&gt;=4936,F19948=""),"Incomplete","Complete")</f>
        <v>Complete</v>
      </c>
      <c r="I19948" s="48" t="s">
        <v>24313</v>
      </c>
    </row>
    <row r="19949" spans="2:9" ht="15" customHeight="1" x14ac:dyDescent="0.25">
      <c r="B19949" s="55" t="s">
        <v>282</v>
      </c>
      <c r="C19949" s="46">
        <v>4937</v>
      </c>
      <c r="D19949" s="69" t="s">
        <v>29419</v>
      </c>
      <c r="E19949" s="51"/>
      <c r="F19949" s="114" t="str">
        <f>IF(INDEX(I.Facility.P3IDNumber,4937)="","",INDEX(I.Facility.P3IDNumber,4937))</f>
        <v/>
      </c>
      <c r="G19949" s="51"/>
      <c r="H19949" s="46" t="str">
        <f>IF(AND(I.Developer.P3=TRUE,I.Facility.P3FacilityCount&gt;=4937,F19949=""),"Incomplete","Complete")</f>
        <v>Complete</v>
      </c>
      <c r="I19949" s="48" t="s">
        <v>24314</v>
      </c>
    </row>
    <row r="19950" spans="2:9" ht="15" customHeight="1" x14ac:dyDescent="0.25">
      <c r="B19950" s="55" t="s">
        <v>282</v>
      </c>
      <c r="C19950" s="46">
        <v>4938</v>
      </c>
      <c r="D19950" s="69" t="s">
        <v>29419</v>
      </c>
      <c r="E19950" s="51"/>
      <c r="F19950" s="114" t="str">
        <f>IF(INDEX(I.Facility.P3IDNumber,4938)="","",INDEX(I.Facility.P3IDNumber,4938))</f>
        <v/>
      </c>
      <c r="G19950" s="51"/>
      <c r="H19950" s="46" t="str">
        <f>IF(AND(I.Developer.P3=TRUE,I.Facility.P3FacilityCount&gt;=4938,F19950=""),"Incomplete","Complete")</f>
        <v>Complete</v>
      </c>
      <c r="I19950" s="48" t="s">
        <v>24315</v>
      </c>
    </row>
    <row r="19951" spans="2:9" ht="15" customHeight="1" x14ac:dyDescent="0.25">
      <c r="B19951" s="55" t="s">
        <v>282</v>
      </c>
      <c r="C19951" s="46">
        <v>4939</v>
      </c>
      <c r="D19951" s="69" t="s">
        <v>29419</v>
      </c>
      <c r="E19951" s="51"/>
      <c r="F19951" s="114" t="str">
        <f>IF(INDEX(I.Facility.P3IDNumber,4939)="","",INDEX(I.Facility.P3IDNumber,4939))</f>
        <v/>
      </c>
      <c r="G19951" s="51"/>
      <c r="H19951" s="46" t="str">
        <f>IF(AND(I.Developer.P3=TRUE,I.Facility.P3FacilityCount&gt;=4939,F19951=""),"Incomplete","Complete")</f>
        <v>Complete</v>
      </c>
      <c r="I19951" s="48" t="s">
        <v>24316</v>
      </c>
    </row>
    <row r="19952" spans="2:9" ht="15" customHeight="1" x14ac:dyDescent="0.25">
      <c r="B19952" s="55" t="s">
        <v>282</v>
      </c>
      <c r="C19952" s="46">
        <v>4940</v>
      </c>
      <c r="D19952" s="69" t="s">
        <v>29419</v>
      </c>
      <c r="E19952" s="51"/>
      <c r="F19952" s="114" t="str">
        <f>IF(INDEX(I.Facility.P3IDNumber,4940)="","",INDEX(I.Facility.P3IDNumber,4940))</f>
        <v/>
      </c>
      <c r="G19952" s="51"/>
      <c r="H19952" s="46" t="str">
        <f>IF(AND(I.Developer.P3=TRUE,I.Facility.P3FacilityCount&gt;=4940,F19952=""),"Incomplete","Complete")</f>
        <v>Complete</v>
      </c>
      <c r="I19952" s="48" t="s">
        <v>24317</v>
      </c>
    </row>
    <row r="19953" spans="2:9" ht="15" customHeight="1" x14ac:dyDescent="0.25">
      <c r="B19953" s="55" t="s">
        <v>282</v>
      </c>
      <c r="C19953" s="46">
        <v>4941</v>
      </c>
      <c r="D19953" s="69" t="s">
        <v>29419</v>
      </c>
      <c r="E19953" s="51"/>
      <c r="F19953" s="114" t="str">
        <f>IF(INDEX(I.Facility.P3IDNumber,4941)="","",INDEX(I.Facility.P3IDNumber,4941))</f>
        <v/>
      </c>
      <c r="G19953" s="51"/>
      <c r="H19953" s="46" t="str">
        <f>IF(AND(I.Developer.P3=TRUE,I.Facility.P3FacilityCount&gt;=4941,F19953=""),"Incomplete","Complete")</f>
        <v>Complete</v>
      </c>
      <c r="I19953" s="48" t="s">
        <v>24318</v>
      </c>
    </row>
    <row r="19954" spans="2:9" ht="15" customHeight="1" x14ac:dyDescent="0.25">
      <c r="B19954" s="55" t="s">
        <v>282</v>
      </c>
      <c r="C19954" s="46">
        <v>4942</v>
      </c>
      <c r="D19954" s="69" t="s">
        <v>29419</v>
      </c>
      <c r="E19954" s="51"/>
      <c r="F19954" s="114" t="str">
        <f>IF(INDEX(I.Facility.P3IDNumber,4942)="","",INDEX(I.Facility.P3IDNumber,4942))</f>
        <v/>
      </c>
      <c r="G19954" s="51"/>
      <c r="H19954" s="46" t="str">
        <f>IF(AND(I.Developer.P3=TRUE,I.Facility.P3FacilityCount&gt;=4942,F19954=""),"Incomplete","Complete")</f>
        <v>Complete</v>
      </c>
      <c r="I19954" s="48" t="s">
        <v>24319</v>
      </c>
    </row>
    <row r="19955" spans="2:9" ht="15" customHeight="1" x14ac:dyDescent="0.25">
      <c r="B19955" s="55" t="s">
        <v>282</v>
      </c>
      <c r="C19955" s="46">
        <v>4943</v>
      </c>
      <c r="D19955" s="69" t="s">
        <v>29419</v>
      </c>
      <c r="E19955" s="51"/>
      <c r="F19955" s="114" t="str">
        <f>IF(INDEX(I.Facility.P3IDNumber,4943)="","",INDEX(I.Facility.P3IDNumber,4943))</f>
        <v/>
      </c>
      <c r="G19955" s="51"/>
      <c r="H19955" s="46" t="str">
        <f>IF(AND(I.Developer.P3=TRUE,I.Facility.P3FacilityCount&gt;=4943,F19955=""),"Incomplete","Complete")</f>
        <v>Complete</v>
      </c>
      <c r="I19955" s="48" t="s">
        <v>24320</v>
      </c>
    </row>
    <row r="19956" spans="2:9" ht="15" customHeight="1" x14ac:dyDescent="0.25">
      <c r="B19956" s="55" t="s">
        <v>282</v>
      </c>
      <c r="C19956" s="46">
        <v>4944</v>
      </c>
      <c r="D19956" s="69" t="s">
        <v>29419</v>
      </c>
      <c r="E19956" s="51"/>
      <c r="F19956" s="114" t="str">
        <f>IF(INDEX(I.Facility.P3IDNumber,4944)="","",INDEX(I.Facility.P3IDNumber,4944))</f>
        <v/>
      </c>
      <c r="G19956" s="51"/>
      <c r="H19956" s="46" t="str">
        <f>IF(AND(I.Developer.P3=TRUE,I.Facility.P3FacilityCount&gt;=4944,F19956=""),"Incomplete","Complete")</f>
        <v>Complete</v>
      </c>
      <c r="I19956" s="48" t="s">
        <v>24321</v>
      </c>
    </row>
    <row r="19957" spans="2:9" ht="15" customHeight="1" x14ac:dyDescent="0.25">
      <c r="B19957" s="55" t="s">
        <v>282</v>
      </c>
      <c r="C19957" s="46">
        <v>4945</v>
      </c>
      <c r="D19957" s="69" t="s">
        <v>29419</v>
      </c>
      <c r="E19957" s="51"/>
      <c r="F19957" s="114" t="str">
        <f>IF(INDEX(I.Facility.P3IDNumber,4945)="","",INDEX(I.Facility.P3IDNumber,4945))</f>
        <v/>
      </c>
      <c r="G19957" s="51"/>
      <c r="H19957" s="46" t="str">
        <f>IF(AND(I.Developer.P3=TRUE,I.Facility.P3FacilityCount&gt;=4945,F19957=""),"Incomplete","Complete")</f>
        <v>Complete</v>
      </c>
      <c r="I19957" s="48" t="s">
        <v>24322</v>
      </c>
    </row>
    <row r="19958" spans="2:9" ht="15" customHeight="1" x14ac:dyDescent="0.25">
      <c r="B19958" s="55" t="s">
        <v>282</v>
      </c>
      <c r="C19958" s="46">
        <v>4946</v>
      </c>
      <c r="D19958" s="69" t="s">
        <v>29419</v>
      </c>
      <c r="E19958" s="51"/>
      <c r="F19958" s="114" t="str">
        <f>IF(INDEX(I.Facility.P3IDNumber,4946)="","",INDEX(I.Facility.P3IDNumber,4946))</f>
        <v/>
      </c>
      <c r="G19958" s="51"/>
      <c r="H19958" s="46" t="str">
        <f>IF(AND(I.Developer.P3=TRUE,I.Facility.P3FacilityCount&gt;=4946,F19958=""),"Incomplete","Complete")</f>
        <v>Complete</v>
      </c>
      <c r="I19958" s="48" t="s">
        <v>24323</v>
      </c>
    </row>
    <row r="19959" spans="2:9" ht="15" customHeight="1" x14ac:dyDescent="0.25">
      <c r="B19959" s="55" t="s">
        <v>282</v>
      </c>
      <c r="C19959" s="46">
        <v>4947</v>
      </c>
      <c r="D19959" s="69" t="s">
        <v>29419</v>
      </c>
      <c r="E19959" s="51"/>
      <c r="F19959" s="114" t="str">
        <f>IF(INDEX(I.Facility.P3IDNumber,4947)="","",INDEX(I.Facility.P3IDNumber,4947))</f>
        <v/>
      </c>
      <c r="G19959" s="51"/>
      <c r="H19959" s="46" t="str">
        <f>IF(AND(I.Developer.P3=TRUE,I.Facility.P3FacilityCount&gt;=4947,F19959=""),"Incomplete","Complete")</f>
        <v>Complete</v>
      </c>
      <c r="I19959" s="48" t="s">
        <v>24324</v>
      </c>
    </row>
    <row r="19960" spans="2:9" ht="15" customHeight="1" x14ac:dyDescent="0.25">
      <c r="B19960" s="55" t="s">
        <v>282</v>
      </c>
      <c r="C19960" s="46">
        <v>4948</v>
      </c>
      <c r="D19960" s="69" t="s">
        <v>29419</v>
      </c>
      <c r="E19960" s="51"/>
      <c r="F19960" s="114" t="str">
        <f>IF(INDEX(I.Facility.P3IDNumber,4948)="","",INDEX(I.Facility.P3IDNumber,4948))</f>
        <v/>
      </c>
      <c r="G19960" s="51"/>
      <c r="H19960" s="46" t="str">
        <f>IF(AND(I.Developer.P3=TRUE,I.Facility.P3FacilityCount&gt;=4948,F19960=""),"Incomplete","Complete")</f>
        <v>Complete</v>
      </c>
      <c r="I19960" s="48" t="s">
        <v>24325</v>
      </c>
    </row>
    <row r="19961" spans="2:9" ht="15" customHeight="1" x14ac:dyDescent="0.25">
      <c r="B19961" s="55" t="s">
        <v>282</v>
      </c>
      <c r="C19961" s="46">
        <v>4949</v>
      </c>
      <c r="D19961" s="69" t="s">
        <v>29419</v>
      </c>
      <c r="E19961" s="51"/>
      <c r="F19961" s="114" t="str">
        <f>IF(INDEX(I.Facility.P3IDNumber,4949)="","",INDEX(I.Facility.P3IDNumber,4949))</f>
        <v/>
      </c>
      <c r="G19961" s="51"/>
      <c r="H19961" s="46" t="str">
        <f>IF(AND(I.Developer.P3=TRUE,I.Facility.P3FacilityCount&gt;=4949,F19961=""),"Incomplete","Complete")</f>
        <v>Complete</v>
      </c>
      <c r="I19961" s="48" t="s">
        <v>24326</v>
      </c>
    </row>
    <row r="19962" spans="2:9" ht="15" customHeight="1" x14ac:dyDescent="0.25">
      <c r="B19962" s="55" t="s">
        <v>282</v>
      </c>
      <c r="C19962" s="46">
        <v>4950</v>
      </c>
      <c r="D19962" s="69" t="s">
        <v>29419</v>
      </c>
      <c r="E19962" s="51"/>
      <c r="F19962" s="114" t="str">
        <f>IF(INDEX(I.Facility.P3IDNumber,4950)="","",INDEX(I.Facility.P3IDNumber,4950))</f>
        <v/>
      </c>
      <c r="G19962" s="51"/>
      <c r="H19962" s="46" t="str">
        <f>IF(AND(I.Developer.P3=TRUE,I.Facility.P3FacilityCount&gt;=4950,F19962=""),"Incomplete","Complete")</f>
        <v>Complete</v>
      </c>
      <c r="I19962" s="48" t="s">
        <v>24327</v>
      </c>
    </row>
    <row r="19963" spans="2:9" ht="15" customHeight="1" x14ac:dyDescent="0.25">
      <c r="B19963" s="55" t="s">
        <v>282</v>
      </c>
      <c r="C19963" s="46">
        <v>4951</v>
      </c>
      <c r="D19963" s="69" t="s">
        <v>29419</v>
      </c>
      <c r="E19963" s="51"/>
      <c r="F19963" s="114" t="str">
        <f>IF(INDEX(I.Facility.P3IDNumber,4951)="","",INDEX(I.Facility.P3IDNumber,4951))</f>
        <v/>
      </c>
      <c r="G19963" s="51"/>
      <c r="H19963" s="46" t="str">
        <f>IF(AND(I.Developer.P3=TRUE,I.Facility.P3FacilityCount&gt;=4951,F19963=""),"Incomplete","Complete")</f>
        <v>Complete</v>
      </c>
      <c r="I19963" s="48" t="s">
        <v>24328</v>
      </c>
    </row>
    <row r="19964" spans="2:9" ht="15" customHeight="1" x14ac:dyDescent="0.25">
      <c r="B19964" s="55" t="s">
        <v>282</v>
      </c>
      <c r="C19964" s="46">
        <v>4952</v>
      </c>
      <c r="D19964" s="69" t="s">
        <v>29419</v>
      </c>
      <c r="E19964" s="51"/>
      <c r="F19964" s="114" t="str">
        <f>IF(INDEX(I.Facility.P3IDNumber,4952)="","",INDEX(I.Facility.P3IDNumber,4952))</f>
        <v/>
      </c>
      <c r="G19964" s="51"/>
      <c r="H19964" s="46" t="str">
        <f>IF(AND(I.Developer.P3=TRUE,I.Facility.P3FacilityCount&gt;=4952,F19964=""),"Incomplete","Complete")</f>
        <v>Complete</v>
      </c>
      <c r="I19964" s="48" t="s">
        <v>24329</v>
      </c>
    </row>
    <row r="19965" spans="2:9" ht="15" customHeight="1" x14ac:dyDescent="0.25">
      <c r="B19965" s="55" t="s">
        <v>282</v>
      </c>
      <c r="C19965" s="46">
        <v>4953</v>
      </c>
      <c r="D19965" s="69" t="s">
        <v>29419</v>
      </c>
      <c r="E19965" s="51"/>
      <c r="F19965" s="114" t="str">
        <f>IF(INDEX(I.Facility.P3IDNumber,4953)="","",INDEX(I.Facility.P3IDNumber,4953))</f>
        <v/>
      </c>
      <c r="G19965" s="51"/>
      <c r="H19965" s="46" t="str">
        <f>IF(AND(I.Developer.P3=TRUE,I.Facility.P3FacilityCount&gt;=4953,F19965=""),"Incomplete","Complete")</f>
        <v>Complete</v>
      </c>
      <c r="I19965" s="48" t="s">
        <v>24330</v>
      </c>
    </row>
    <row r="19966" spans="2:9" ht="15" customHeight="1" x14ac:dyDescent="0.25">
      <c r="B19966" s="55" t="s">
        <v>282</v>
      </c>
      <c r="C19966" s="46">
        <v>4954</v>
      </c>
      <c r="D19966" s="69" t="s">
        <v>29419</v>
      </c>
      <c r="E19966" s="51"/>
      <c r="F19966" s="114" t="str">
        <f>IF(INDEX(I.Facility.P3IDNumber,4954)="","",INDEX(I.Facility.P3IDNumber,4954))</f>
        <v/>
      </c>
      <c r="G19966" s="51"/>
      <c r="H19966" s="46" t="str">
        <f>IF(AND(I.Developer.P3=TRUE,I.Facility.P3FacilityCount&gt;=4954,F19966=""),"Incomplete","Complete")</f>
        <v>Complete</v>
      </c>
      <c r="I19966" s="48" t="s">
        <v>24331</v>
      </c>
    </row>
    <row r="19967" spans="2:9" ht="15" customHeight="1" x14ac:dyDescent="0.25">
      <c r="B19967" s="55" t="s">
        <v>282</v>
      </c>
      <c r="C19967" s="46">
        <v>4955</v>
      </c>
      <c r="D19967" s="69" t="s">
        <v>29419</v>
      </c>
      <c r="E19967" s="51"/>
      <c r="F19967" s="114" t="str">
        <f>IF(INDEX(I.Facility.P3IDNumber,4955)="","",INDEX(I.Facility.P3IDNumber,4955))</f>
        <v/>
      </c>
      <c r="G19967" s="51"/>
      <c r="H19967" s="46" t="str">
        <f>IF(AND(I.Developer.P3=TRUE,I.Facility.P3FacilityCount&gt;=4955,F19967=""),"Incomplete","Complete")</f>
        <v>Complete</v>
      </c>
      <c r="I19967" s="48" t="s">
        <v>24332</v>
      </c>
    </row>
    <row r="19968" spans="2:9" ht="15" customHeight="1" x14ac:dyDescent="0.25">
      <c r="B19968" s="55" t="s">
        <v>282</v>
      </c>
      <c r="C19968" s="46">
        <v>4956</v>
      </c>
      <c r="D19968" s="69" t="s">
        <v>29419</v>
      </c>
      <c r="E19968" s="51"/>
      <c r="F19968" s="114" t="str">
        <f>IF(INDEX(I.Facility.P3IDNumber,4956)="","",INDEX(I.Facility.P3IDNumber,4956))</f>
        <v/>
      </c>
      <c r="G19968" s="51"/>
      <c r="H19968" s="46" t="str">
        <f>IF(AND(I.Developer.P3=TRUE,I.Facility.P3FacilityCount&gt;=4956,F19968=""),"Incomplete","Complete")</f>
        <v>Complete</v>
      </c>
      <c r="I19968" s="48" t="s">
        <v>24333</v>
      </c>
    </row>
    <row r="19969" spans="2:9" ht="15" customHeight="1" x14ac:dyDescent="0.25">
      <c r="B19969" s="55" t="s">
        <v>282</v>
      </c>
      <c r="C19969" s="46">
        <v>4957</v>
      </c>
      <c r="D19969" s="69" t="s">
        <v>29419</v>
      </c>
      <c r="E19969" s="51"/>
      <c r="F19969" s="114" t="str">
        <f>IF(INDEX(I.Facility.P3IDNumber,4957)="","",INDEX(I.Facility.P3IDNumber,4957))</f>
        <v/>
      </c>
      <c r="G19969" s="51"/>
      <c r="H19969" s="46" t="str">
        <f>IF(AND(I.Developer.P3=TRUE,I.Facility.P3FacilityCount&gt;=4957,F19969=""),"Incomplete","Complete")</f>
        <v>Complete</v>
      </c>
      <c r="I19969" s="48" t="s">
        <v>24334</v>
      </c>
    </row>
    <row r="19970" spans="2:9" ht="15" customHeight="1" x14ac:dyDescent="0.25">
      <c r="B19970" s="55" t="s">
        <v>282</v>
      </c>
      <c r="C19970" s="46">
        <v>4958</v>
      </c>
      <c r="D19970" s="69" t="s">
        <v>29419</v>
      </c>
      <c r="E19970" s="51"/>
      <c r="F19970" s="114" t="str">
        <f>IF(INDEX(I.Facility.P3IDNumber,4958)="","",INDEX(I.Facility.P3IDNumber,4958))</f>
        <v/>
      </c>
      <c r="G19970" s="51"/>
      <c r="H19970" s="46" t="str">
        <f>IF(AND(I.Developer.P3=TRUE,I.Facility.P3FacilityCount&gt;=4958,F19970=""),"Incomplete","Complete")</f>
        <v>Complete</v>
      </c>
      <c r="I19970" s="48" t="s">
        <v>24335</v>
      </c>
    </row>
    <row r="19971" spans="2:9" ht="15" customHeight="1" x14ac:dyDescent="0.25">
      <c r="B19971" s="55" t="s">
        <v>282</v>
      </c>
      <c r="C19971" s="46">
        <v>4959</v>
      </c>
      <c r="D19971" s="69" t="s">
        <v>29419</v>
      </c>
      <c r="E19971" s="51"/>
      <c r="F19971" s="114" t="str">
        <f>IF(INDEX(I.Facility.P3IDNumber,4959)="","",INDEX(I.Facility.P3IDNumber,4959))</f>
        <v/>
      </c>
      <c r="G19971" s="51"/>
      <c r="H19971" s="46" t="str">
        <f>IF(AND(I.Developer.P3=TRUE,I.Facility.P3FacilityCount&gt;=4959,F19971=""),"Incomplete","Complete")</f>
        <v>Complete</v>
      </c>
      <c r="I19971" s="48" t="s">
        <v>24336</v>
      </c>
    </row>
    <row r="19972" spans="2:9" ht="15" customHeight="1" x14ac:dyDescent="0.25">
      <c r="B19972" s="55" t="s">
        <v>282</v>
      </c>
      <c r="C19972" s="46">
        <v>4960</v>
      </c>
      <c r="D19972" s="69" t="s">
        <v>29419</v>
      </c>
      <c r="E19972" s="51"/>
      <c r="F19972" s="114" t="str">
        <f>IF(INDEX(I.Facility.P3IDNumber,4960)="","",INDEX(I.Facility.P3IDNumber,4960))</f>
        <v/>
      </c>
      <c r="G19972" s="51"/>
      <c r="H19972" s="46" t="str">
        <f>IF(AND(I.Developer.P3=TRUE,I.Facility.P3FacilityCount&gt;=4960,F19972=""),"Incomplete","Complete")</f>
        <v>Complete</v>
      </c>
      <c r="I19972" s="48" t="s">
        <v>24337</v>
      </c>
    </row>
    <row r="19973" spans="2:9" ht="15" customHeight="1" x14ac:dyDescent="0.25">
      <c r="B19973" s="55" t="s">
        <v>282</v>
      </c>
      <c r="C19973" s="46">
        <v>4961</v>
      </c>
      <c r="D19973" s="69" t="s">
        <v>29419</v>
      </c>
      <c r="E19973" s="51"/>
      <c r="F19973" s="114" t="str">
        <f>IF(INDEX(I.Facility.P3IDNumber,4961)="","",INDEX(I.Facility.P3IDNumber,4961))</f>
        <v/>
      </c>
      <c r="G19973" s="51"/>
      <c r="H19973" s="46" t="str">
        <f>IF(AND(I.Developer.P3=TRUE,I.Facility.P3FacilityCount&gt;=4961,F19973=""),"Incomplete","Complete")</f>
        <v>Complete</v>
      </c>
      <c r="I19973" s="48" t="s">
        <v>24338</v>
      </c>
    </row>
    <row r="19974" spans="2:9" ht="15" customHeight="1" x14ac:dyDescent="0.25">
      <c r="B19974" s="55" t="s">
        <v>282</v>
      </c>
      <c r="C19974" s="46">
        <v>4962</v>
      </c>
      <c r="D19974" s="69" t="s">
        <v>29419</v>
      </c>
      <c r="E19974" s="51"/>
      <c r="F19974" s="114" t="str">
        <f>IF(INDEX(I.Facility.P3IDNumber,4962)="","",INDEX(I.Facility.P3IDNumber,4962))</f>
        <v/>
      </c>
      <c r="G19974" s="51"/>
      <c r="H19974" s="46" t="str">
        <f>IF(AND(I.Developer.P3=TRUE,I.Facility.P3FacilityCount&gt;=4962,F19974=""),"Incomplete","Complete")</f>
        <v>Complete</v>
      </c>
      <c r="I19974" s="48" t="s">
        <v>24339</v>
      </c>
    </row>
    <row r="19975" spans="2:9" ht="15" customHeight="1" x14ac:dyDescent="0.25">
      <c r="B19975" s="55" t="s">
        <v>282</v>
      </c>
      <c r="C19975" s="46">
        <v>4963</v>
      </c>
      <c r="D19975" s="69" t="s">
        <v>29419</v>
      </c>
      <c r="E19975" s="51"/>
      <c r="F19975" s="114" t="str">
        <f>IF(INDEX(I.Facility.P3IDNumber,4963)="","",INDEX(I.Facility.P3IDNumber,4963))</f>
        <v/>
      </c>
      <c r="G19975" s="51"/>
      <c r="H19975" s="46" t="str">
        <f>IF(AND(I.Developer.P3=TRUE,I.Facility.P3FacilityCount&gt;=4963,F19975=""),"Incomplete","Complete")</f>
        <v>Complete</v>
      </c>
      <c r="I19975" s="48" t="s">
        <v>24340</v>
      </c>
    </row>
    <row r="19976" spans="2:9" ht="15" customHeight="1" x14ac:dyDescent="0.25">
      <c r="B19976" s="55" t="s">
        <v>282</v>
      </c>
      <c r="C19976" s="46">
        <v>4964</v>
      </c>
      <c r="D19976" s="69" t="s">
        <v>29419</v>
      </c>
      <c r="E19976" s="51"/>
      <c r="F19976" s="114" t="str">
        <f>IF(INDEX(I.Facility.P3IDNumber,4964)="","",INDEX(I.Facility.P3IDNumber,4964))</f>
        <v/>
      </c>
      <c r="G19976" s="51"/>
      <c r="H19976" s="46" t="str">
        <f>IF(AND(I.Developer.P3=TRUE,I.Facility.P3FacilityCount&gt;=4964,F19976=""),"Incomplete","Complete")</f>
        <v>Complete</v>
      </c>
      <c r="I19976" s="48" t="s">
        <v>24341</v>
      </c>
    </row>
    <row r="19977" spans="2:9" ht="15" customHeight="1" x14ac:dyDescent="0.25">
      <c r="B19977" s="55" t="s">
        <v>282</v>
      </c>
      <c r="C19977" s="46">
        <v>4965</v>
      </c>
      <c r="D19977" s="69" t="s">
        <v>29419</v>
      </c>
      <c r="E19977" s="51"/>
      <c r="F19977" s="114" t="str">
        <f>IF(INDEX(I.Facility.P3IDNumber,4965)="","",INDEX(I.Facility.P3IDNumber,4965))</f>
        <v/>
      </c>
      <c r="G19977" s="51"/>
      <c r="H19977" s="46" t="str">
        <f>IF(AND(I.Developer.P3=TRUE,I.Facility.P3FacilityCount&gt;=4965,F19977=""),"Incomplete","Complete")</f>
        <v>Complete</v>
      </c>
      <c r="I19977" s="48" t="s">
        <v>24342</v>
      </c>
    </row>
    <row r="19978" spans="2:9" ht="15" customHeight="1" x14ac:dyDescent="0.25">
      <c r="B19978" s="55" t="s">
        <v>282</v>
      </c>
      <c r="C19978" s="46">
        <v>4966</v>
      </c>
      <c r="D19978" s="69" t="s">
        <v>29419</v>
      </c>
      <c r="E19978" s="51"/>
      <c r="F19978" s="114" t="str">
        <f>IF(INDEX(I.Facility.P3IDNumber,4966)="","",INDEX(I.Facility.P3IDNumber,4966))</f>
        <v/>
      </c>
      <c r="G19978" s="51"/>
      <c r="H19978" s="46" t="str">
        <f>IF(AND(I.Developer.P3=TRUE,I.Facility.P3FacilityCount&gt;=4966,F19978=""),"Incomplete","Complete")</f>
        <v>Complete</v>
      </c>
      <c r="I19978" s="48" t="s">
        <v>24343</v>
      </c>
    </row>
    <row r="19979" spans="2:9" ht="15" customHeight="1" x14ac:dyDescent="0.25">
      <c r="B19979" s="55" t="s">
        <v>282</v>
      </c>
      <c r="C19979" s="46">
        <v>4967</v>
      </c>
      <c r="D19979" s="69" t="s">
        <v>29419</v>
      </c>
      <c r="E19979" s="51"/>
      <c r="F19979" s="114" t="str">
        <f>IF(INDEX(I.Facility.P3IDNumber,4967)="","",INDEX(I.Facility.P3IDNumber,4967))</f>
        <v/>
      </c>
      <c r="G19979" s="51"/>
      <c r="H19979" s="46" t="str">
        <f>IF(AND(I.Developer.P3=TRUE,I.Facility.P3FacilityCount&gt;=4967,F19979=""),"Incomplete","Complete")</f>
        <v>Complete</v>
      </c>
      <c r="I19979" s="48" t="s">
        <v>24344</v>
      </c>
    </row>
    <row r="19980" spans="2:9" ht="15" customHeight="1" x14ac:dyDescent="0.25">
      <c r="B19980" s="55" t="s">
        <v>282</v>
      </c>
      <c r="C19980" s="46">
        <v>4968</v>
      </c>
      <c r="D19980" s="69" t="s">
        <v>29419</v>
      </c>
      <c r="E19980" s="51"/>
      <c r="F19980" s="114" t="str">
        <f>IF(INDEX(I.Facility.P3IDNumber,4968)="","",INDEX(I.Facility.P3IDNumber,4968))</f>
        <v/>
      </c>
      <c r="G19980" s="51"/>
      <c r="H19980" s="46" t="str">
        <f>IF(AND(I.Developer.P3=TRUE,I.Facility.P3FacilityCount&gt;=4968,F19980=""),"Incomplete","Complete")</f>
        <v>Complete</v>
      </c>
      <c r="I19980" s="48" t="s">
        <v>24345</v>
      </c>
    </row>
    <row r="19981" spans="2:9" ht="15" customHeight="1" x14ac:dyDescent="0.25">
      <c r="B19981" s="55" t="s">
        <v>282</v>
      </c>
      <c r="C19981" s="46">
        <v>4969</v>
      </c>
      <c r="D19981" s="69" t="s">
        <v>29419</v>
      </c>
      <c r="E19981" s="51"/>
      <c r="F19981" s="114" t="str">
        <f>IF(INDEX(I.Facility.P3IDNumber,4969)="","",INDEX(I.Facility.P3IDNumber,4969))</f>
        <v/>
      </c>
      <c r="G19981" s="51"/>
      <c r="H19981" s="46" t="str">
        <f>IF(AND(I.Developer.P3=TRUE,I.Facility.P3FacilityCount&gt;=4969,F19981=""),"Incomplete","Complete")</f>
        <v>Complete</v>
      </c>
      <c r="I19981" s="48" t="s">
        <v>24346</v>
      </c>
    </row>
    <row r="19982" spans="2:9" ht="15" customHeight="1" x14ac:dyDescent="0.25">
      <c r="B19982" s="55" t="s">
        <v>282</v>
      </c>
      <c r="C19982" s="46">
        <v>4970</v>
      </c>
      <c r="D19982" s="69" t="s">
        <v>29419</v>
      </c>
      <c r="E19982" s="51"/>
      <c r="F19982" s="114" t="str">
        <f>IF(INDEX(I.Facility.P3IDNumber,4970)="","",INDEX(I.Facility.P3IDNumber,4970))</f>
        <v/>
      </c>
      <c r="G19982" s="51"/>
      <c r="H19982" s="46" t="str">
        <f>IF(AND(I.Developer.P3=TRUE,I.Facility.P3FacilityCount&gt;=4970,F19982=""),"Incomplete","Complete")</f>
        <v>Complete</v>
      </c>
      <c r="I19982" s="48" t="s">
        <v>24347</v>
      </c>
    </row>
    <row r="19983" spans="2:9" ht="15" customHeight="1" x14ac:dyDescent="0.25">
      <c r="B19983" s="55" t="s">
        <v>282</v>
      </c>
      <c r="C19983" s="46">
        <v>4971</v>
      </c>
      <c r="D19983" s="69" t="s">
        <v>29419</v>
      </c>
      <c r="E19983" s="51"/>
      <c r="F19983" s="114" t="str">
        <f>IF(INDEX(I.Facility.P3IDNumber,4971)="","",INDEX(I.Facility.P3IDNumber,4971))</f>
        <v/>
      </c>
      <c r="G19983" s="51"/>
      <c r="H19983" s="46" t="str">
        <f>IF(AND(I.Developer.P3=TRUE,I.Facility.P3FacilityCount&gt;=4971,F19983=""),"Incomplete","Complete")</f>
        <v>Complete</v>
      </c>
      <c r="I19983" s="48" t="s">
        <v>24348</v>
      </c>
    </row>
    <row r="19984" spans="2:9" ht="15" customHeight="1" x14ac:dyDescent="0.25">
      <c r="B19984" s="55" t="s">
        <v>282</v>
      </c>
      <c r="C19984" s="46">
        <v>4972</v>
      </c>
      <c r="D19984" s="69" t="s">
        <v>29419</v>
      </c>
      <c r="E19984" s="51"/>
      <c r="F19984" s="114" t="str">
        <f>IF(INDEX(I.Facility.P3IDNumber,4972)="","",INDEX(I.Facility.P3IDNumber,4972))</f>
        <v/>
      </c>
      <c r="G19984" s="51"/>
      <c r="H19984" s="46" t="str">
        <f>IF(AND(I.Developer.P3=TRUE,I.Facility.P3FacilityCount&gt;=4972,F19984=""),"Incomplete","Complete")</f>
        <v>Complete</v>
      </c>
      <c r="I19984" s="48" t="s">
        <v>24349</v>
      </c>
    </row>
    <row r="19985" spans="2:9" ht="15" customHeight="1" x14ac:dyDescent="0.25">
      <c r="B19985" s="55" t="s">
        <v>282</v>
      </c>
      <c r="C19985" s="46">
        <v>4973</v>
      </c>
      <c r="D19985" s="69" t="s">
        <v>29419</v>
      </c>
      <c r="E19985" s="51"/>
      <c r="F19985" s="114" t="str">
        <f>IF(INDEX(I.Facility.P3IDNumber,4973)="","",INDEX(I.Facility.P3IDNumber,4973))</f>
        <v/>
      </c>
      <c r="G19985" s="51"/>
      <c r="H19985" s="46" t="str">
        <f>IF(AND(I.Developer.P3=TRUE,I.Facility.P3FacilityCount&gt;=4973,F19985=""),"Incomplete","Complete")</f>
        <v>Complete</v>
      </c>
      <c r="I19985" s="48" t="s">
        <v>24350</v>
      </c>
    </row>
    <row r="19986" spans="2:9" ht="15" customHeight="1" x14ac:dyDescent="0.25">
      <c r="B19986" s="55" t="s">
        <v>282</v>
      </c>
      <c r="C19986" s="46">
        <v>4974</v>
      </c>
      <c r="D19986" s="69" t="s">
        <v>29419</v>
      </c>
      <c r="E19986" s="51"/>
      <c r="F19986" s="114" t="str">
        <f>IF(INDEX(I.Facility.P3IDNumber,4974)="","",INDEX(I.Facility.P3IDNumber,4974))</f>
        <v/>
      </c>
      <c r="G19986" s="51"/>
      <c r="H19986" s="46" t="str">
        <f>IF(AND(I.Developer.P3=TRUE,I.Facility.P3FacilityCount&gt;=4974,F19986=""),"Incomplete","Complete")</f>
        <v>Complete</v>
      </c>
      <c r="I19986" s="48" t="s">
        <v>24351</v>
      </c>
    </row>
    <row r="19987" spans="2:9" ht="15" customHeight="1" x14ac:dyDescent="0.25">
      <c r="B19987" s="55" t="s">
        <v>282</v>
      </c>
      <c r="C19987" s="46">
        <v>4975</v>
      </c>
      <c r="D19987" s="69" t="s">
        <v>29419</v>
      </c>
      <c r="E19987" s="51"/>
      <c r="F19987" s="114" t="str">
        <f>IF(INDEX(I.Facility.P3IDNumber,4975)="","",INDEX(I.Facility.P3IDNumber,4975))</f>
        <v/>
      </c>
      <c r="G19987" s="51"/>
      <c r="H19987" s="46" t="str">
        <f>IF(AND(I.Developer.P3=TRUE,I.Facility.P3FacilityCount&gt;=4975,F19987=""),"Incomplete","Complete")</f>
        <v>Complete</v>
      </c>
      <c r="I19987" s="48" t="s">
        <v>24352</v>
      </c>
    </row>
    <row r="19988" spans="2:9" ht="15" customHeight="1" x14ac:dyDescent="0.25">
      <c r="B19988" s="55" t="s">
        <v>282</v>
      </c>
      <c r="C19988" s="46">
        <v>4976</v>
      </c>
      <c r="D19988" s="69" t="s">
        <v>29419</v>
      </c>
      <c r="E19988" s="51"/>
      <c r="F19988" s="114" t="str">
        <f>IF(INDEX(I.Facility.P3IDNumber,4976)="","",INDEX(I.Facility.P3IDNumber,4976))</f>
        <v/>
      </c>
      <c r="G19988" s="51"/>
      <c r="H19988" s="46" t="str">
        <f>IF(AND(I.Developer.P3=TRUE,I.Facility.P3FacilityCount&gt;=4976,F19988=""),"Incomplete","Complete")</f>
        <v>Complete</v>
      </c>
      <c r="I19988" s="48" t="s">
        <v>24353</v>
      </c>
    </row>
    <row r="19989" spans="2:9" ht="15" customHeight="1" x14ac:dyDescent="0.25">
      <c r="B19989" s="55" t="s">
        <v>282</v>
      </c>
      <c r="C19989" s="46">
        <v>4977</v>
      </c>
      <c r="D19989" s="69" t="s">
        <v>29419</v>
      </c>
      <c r="E19989" s="51"/>
      <c r="F19989" s="114" t="str">
        <f>IF(INDEX(I.Facility.P3IDNumber,4977)="","",INDEX(I.Facility.P3IDNumber,4977))</f>
        <v/>
      </c>
      <c r="G19989" s="51"/>
      <c r="H19989" s="46" t="str">
        <f>IF(AND(I.Developer.P3=TRUE,I.Facility.P3FacilityCount&gt;=4977,F19989=""),"Incomplete","Complete")</f>
        <v>Complete</v>
      </c>
      <c r="I19989" s="48" t="s">
        <v>24354</v>
      </c>
    </row>
    <row r="19990" spans="2:9" ht="15" customHeight="1" x14ac:dyDescent="0.25">
      <c r="B19990" s="55" t="s">
        <v>282</v>
      </c>
      <c r="C19990" s="46">
        <v>4978</v>
      </c>
      <c r="D19990" s="69" t="s">
        <v>29419</v>
      </c>
      <c r="E19990" s="51"/>
      <c r="F19990" s="114" t="str">
        <f>IF(INDEX(I.Facility.P3IDNumber,4978)="","",INDEX(I.Facility.P3IDNumber,4978))</f>
        <v/>
      </c>
      <c r="G19990" s="51"/>
      <c r="H19990" s="46" t="str">
        <f>IF(AND(I.Developer.P3=TRUE,I.Facility.P3FacilityCount&gt;=4978,F19990=""),"Incomplete","Complete")</f>
        <v>Complete</v>
      </c>
      <c r="I19990" s="48" t="s">
        <v>24355</v>
      </c>
    </row>
    <row r="19991" spans="2:9" ht="15" customHeight="1" x14ac:dyDescent="0.25">
      <c r="B19991" s="55" t="s">
        <v>282</v>
      </c>
      <c r="C19991" s="46">
        <v>4979</v>
      </c>
      <c r="D19991" s="69" t="s">
        <v>29419</v>
      </c>
      <c r="E19991" s="51"/>
      <c r="F19991" s="114" t="str">
        <f>IF(INDEX(I.Facility.P3IDNumber,4979)="","",INDEX(I.Facility.P3IDNumber,4979))</f>
        <v/>
      </c>
      <c r="G19991" s="51"/>
      <c r="H19991" s="46" t="str">
        <f>IF(AND(I.Developer.P3=TRUE,I.Facility.P3FacilityCount&gt;=4979,F19991=""),"Incomplete","Complete")</f>
        <v>Complete</v>
      </c>
      <c r="I19991" s="48" t="s">
        <v>24356</v>
      </c>
    </row>
    <row r="19992" spans="2:9" ht="15" customHeight="1" x14ac:dyDescent="0.25">
      <c r="B19992" s="55" t="s">
        <v>282</v>
      </c>
      <c r="C19992" s="46">
        <v>4980</v>
      </c>
      <c r="D19992" s="69" t="s">
        <v>29419</v>
      </c>
      <c r="E19992" s="51"/>
      <c r="F19992" s="114" t="str">
        <f>IF(INDEX(I.Facility.P3IDNumber,4980)="","",INDEX(I.Facility.P3IDNumber,4980))</f>
        <v/>
      </c>
      <c r="G19992" s="51"/>
      <c r="H19992" s="46" t="str">
        <f>IF(AND(I.Developer.P3=TRUE,I.Facility.P3FacilityCount&gt;=4980,F19992=""),"Incomplete","Complete")</f>
        <v>Complete</v>
      </c>
      <c r="I19992" s="48" t="s">
        <v>24357</v>
      </c>
    </row>
    <row r="19993" spans="2:9" ht="15" customHeight="1" x14ac:dyDescent="0.25">
      <c r="B19993" s="55" t="s">
        <v>282</v>
      </c>
      <c r="C19993" s="46">
        <v>4981</v>
      </c>
      <c r="D19993" s="69" t="s">
        <v>29419</v>
      </c>
      <c r="E19993" s="51"/>
      <c r="F19993" s="114" t="str">
        <f>IF(INDEX(I.Facility.P3IDNumber,4981)="","",INDEX(I.Facility.P3IDNumber,4981))</f>
        <v/>
      </c>
      <c r="G19993" s="51"/>
      <c r="H19993" s="46" t="str">
        <f>IF(AND(I.Developer.P3=TRUE,I.Facility.P3FacilityCount&gt;=4981,F19993=""),"Incomplete","Complete")</f>
        <v>Complete</v>
      </c>
      <c r="I19993" s="48" t="s">
        <v>24358</v>
      </c>
    </row>
    <row r="19994" spans="2:9" ht="15" customHeight="1" x14ac:dyDescent="0.25">
      <c r="B19994" s="55" t="s">
        <v>282</v>
      </c>
      <c r="C19994" s="46">
        <v>4982</v>
      </c>
      <c r="D19994" s="69" t="s">
        <v>29419</v>
      </c>
      <c r="E19994" s="51"/>
      <c r="F19994" s="114" t="str">
        <f>IF(INDEX(I.Facility.P3IDNumber,4982)="","",INDEX(I.Facility.P3IDNumber,4982))</f>
        <v/>
      </c>
      <c r="G19994" s="51"/>
      <c r="H19994" s="46" t="str">
        <f>IF(AND(I.Developer.P3=TRUE,I.Facility.P3FacilityCount&gt;=4982,F19994=""),"Incomplete","Complete")</f>
        <v>Complete</v>
      </c>
      <c r="I19994" s="48" t="s">
        <v>24359</v>
      </c>
    </row>
    <row r="19995" spans="2:9" ht="15" customHeight="1" x14ac:dyDescent="0.25">
      <c r="B19995" s="55" t="s">
        <v>282</v>
      </c>
      <c r="C19995" s="46">
        <v>4983</v>
      </c>
      <c r="D19995" s="69" t="s">
        <v>29419</v>
      </c>
      <c r="E19995" s="51"/>
      <c r="F19995" s="114" t="str">
        <f>IF(INDEX(I.Facility.P3IDNumber,4983)="","",INDEX(I.Facility.P3IDNumber,4983))</f>
        <v/>
      </c>
      <c r="G19995" s="51"/>
      <c r="H19995" s="46" t="str">
        <f>IF(AND(I.Developer.P3=TRUE,I.Facility.P3FacilityCount&gt;=4983,F19995=""),"Incomplete","Complete")</f>
        <v>Complete</v>
      </c>
      <c r="I19995" s="48" t="s">
        <v>24360</v>
      </c>
    </row>
    <row r="19996" spans="2:9" ht="15" customHeight="1" x14ac:dyDescent="0.25">
      <c r="B19996" s="55" t="s">
        <v>282</v>
      </c>
      <c r="C19996" s="46">
        <v>4984</v>
      </c>
      <c r="D19996" s="69" t="s">
        <v>29419</v>
      </c>
      <c r="E19996" s="51"/>
      <c r="F19996" s="114" t="str">
        <f>IF(INDEX(I.Facility.P3IDNumber,4984)="","",INDEX(I.Facility.P3IDNumber,4984))</f>
        <v/>
      </c>
      <c r="G19996" s="51"/>
      <c r="H19996" s="46" t="str">
        <f>IF(AND(I.Developer.P3=TRUE,I.Facility.P3FacilityCount&gt;=4984,F19996=""),"Incomplete","Complete")</f>
        <v>Complete</v>
      </c>
      <c r="I19996" s="48" t="s">
        <v>24361</v>
      </c>
    </row>
    <row r="19997" spans="2:9" ht="15" customHeight="1" x14ac:dyDescent="0.25">
      <c r="B19997" s="55" t="s">
        <v>282</v>
      </c>
      <c r="C19997" s="46">
        <v>4985</v>
      </c>
      <c r="D19997" s="69" t="s">
        <v>29419</v>
      </c>
      <c r="E19997" s="51"/>
      <c r="F19997" s="114" t="str">
        <f>IF(INDEX(I.Facility.P3IDNumber,4985)="","",INDEX(I.Facility.P3IDNumber,4985))</f>
        <v/>
      </c>
      <c r="G19997" s="51"/>
      <c r="H19997" s="46" t="str">
        <f>IF(AND(I.Developer.P3=TRUE,I.Facility.P3FacilityCount&gt;=4985,F19997=""),"Incomplete","Complete")</f>
        <v>Complete</v>
      </c>
      <c r="I19997" s="48" t="s">
        <v>24362</v>
      </c>
    </row>
    <row r="19998" spans="2:9" ht="15" customHeight="1" x14ac:dyDescent="0.25">
      <c r="B19998" s="55" t="s">
        <v>282</v>
      </c>
      <c r="C19998" s="46">
        <v>4986</v>
      </c>
      <c r="D19998" s="69" t="s">
        <v>29419</v>
      </c>
      <c r="E19998" s="51"/>
      <c r="F19998" s="114" t="str">
        <f>IF(INDEX(I.Facility.P3IDNumber,4986)="","",INDEX(I.Facility.P3IDNumber,4986))</f>
        <v/>
      </c>
      <c r="G19998" s="51"/>
      <c r="H19998" s="46" t="str">
        <f>IF(AND(I.Developer.P3=TRUE,I.Facility.P3FacilityCount&gt;=4986,F19998=""),"Incomplete","Complete")</f>
        <v>Complete</v>
      </c>
      <c r="I19998" s="48" t="s">
        <v>24363</v>
      </c>
    </row>
    <row r="19999" spans="2:9" ht="15" customHeight="1" x14ac:dyDescent="0.25">
      <c r="B19999" s="55" t="s">
        <v>282</v>
      </c>
      <c r="C19999" s="46">
        <v>4987</v>
      </c>
      <c r="D19999" s="69" t="s">
        <v>29419</v>
      </c>
      <c r="E19999" s="51"/>
      <c r="F19999" s="114" t="str">
        <f>IF(INDEX(I.Facility.P3IDNumber,4987)="","",INDEX(I.Facility.P3IDNumber,4987))</f>
        <v/>
      </c>
      <c r="G19999" s="51"/>
      <c r="H19999" s="46" t="str">
        <f>IF(AND(I.Developer.P3=TRUE,I.Facility.P3FacilityCount&gt;=4987,F19999=""),"Incomplete","Complete")</f>
        <v>Complete</v>
      </c>
      <c r="I19999" s="48" t="s">
        <v>24364</v>
      </c>
    </row>
    <row r="20000" spans="2:9" ht="15" customHeight="1" x14ac:dyDescent="0.25">
      <c r="B20000" s="55" t="s">
        <v>282</v>
      </c>
      <c r="C20000" s="46">
        <v>4988</v>
      </c>
      <c r="D20000" s="69" t="s">
        <v>29419</v>
      </c>
      <c r="E20000" s="51"/>
      <c r="F20000" s="114" t="str">
        <f>IF(INDEX(I.Facility.P3IDNumber,4988)="","",INDEX(I.Facility.P3IDNumber,4988))</f>
        <v/>
      </c>
      <c r="G20000" s="51"/>
      <c r="H20000" s="46" t="str">
        <f>IF(AND(I.Developer.P3=TRUE,I.Facility.P3FacilityCount&gt;=4988,F20000=""),"Incomplete","Complete")</f>
        <v>Complete</v>
      </c>
      <c r="I20000" s="48" t="s">
        <v>24365</v>
      </c>
    </row>
    <row r="20001" spans="2:9" ht="15" customHeight="1" x14ac:dyDescent="0.25">
      <c r="B20001" s="55" t="s">
        <v>282</v>
      </c>
      <c r="C20001" s="46">
        <v>4989</v>
      </c>
      <c r="D20001" s="69" t="s">
        <v>29419</v>
      </c>
      <c r="E20001" s="51"/>
      <c r="F20001" s="114" t="str">
        <f>IF(INDEX(I.Facility.P3IDNumber,4989)="","",INDEX(I.Facility.P3IDNumber,4989))</f>
        <v/>
      </c>
      <c r="G20001" s="51"/>
      <c r="H20001" s="46" t="str">
        <f>IF(AND(I.Developer.P3=TRUE,I.Facility.P3FacilityCount&gt;=4989,F20001=""),"Incomplete","Complete")</f>
        <v>Complete</v>
      </c>
      <c r="I20001" s="48" t="s">
        <v>24366</v>
      </c>
    </row>
    <row r="20002" spans="2:9" ht="15" customHeight="1" x14ac:dyDescent="0.25">
      <c r="B20002" s="55" t="s">
        <v>282</v>
      </c>
      <c r="C20002" s="46">
        <v>4990</v>
      </c>
      <c r="D20002" s="69" t="s">
        <v>29419</v>
      </c>
      <c r="E20002" s="51"/>
      <c r="F20002" s="114" t="str">
        <f>IF(INDEX(I.Facility.P3IDNumber,4990)="","",INDEX(I.Facility.P3IDNumber,4990))</f>
        <v/>
      </c>
      <c r="G20002" s="51"/>
      <c r="H20002" s="46" t="str">
        <f>IF(AND(I.Developer.P3=TRUE,I.Facility.P3FacilityCount&gt;=4990,F20002=""),"Incomplete","Complete")</f>
        <v>Complete</v>
      </c>
      <c r="I20002" s="48" t="s">
        <v>24367</v>
      </c>
    </row>
    <row r="20003" spans="2:9" ht="15" customHeight="1" x14ac:dyDescent="0.25">
      <c r="B20003" s="55" t="s">
        <v>282</v>
      </c>
      <c r="C20003" s="46">
        <v>4991</v>
      </c>
      <c r="D20003" s="69" t="s">
        <v>29419</v>
      </c>
      <c r="E20003" s="51"/>
      <c r="F20003" s="114" t="str">
        <f>IF(INDEX(I.Facility.P3IDNumber,4991)="","",INDEX(I.Facility.P3IDNumber,4991))</f>
        <v/>
      </c>
      <c r="G20003" s="51"/>
      <c r="H20003" s="46" t="str">
        <f>IF(AND(I.Developer.P3=TRUE,I.Facility.P3FacilityCount&gt;=4991,F20003=""),"Incomplete","Complete")</f>
        <v>Complete</v>
      </c>
      <c r="I20003" s="48" t="s">
        <v>24368</v>
      </c>
    </row>
    <row r="20004" spans="2:9" ht="15" customHeight="1" x14ac:dyDescent="0.25">
      <c r="B20004" s="55" t="s">
        <v>282</v>
      </c>
      <c r="C20004" s="46">
        <v>4992</v>
      </c>
      <c r="D20004" s="69" t="s">
        <v>29419</v>
      </c>
      <c r="E20004" s="51"/>
      <c r="F20004" s="114" t="str">
        <f>IF(INDEX(I.Facility.P3IDNumber,4992)="","",INDEX(I.Facility.P3IDNumber,4992))</f>
        <v/>
      </c>
      <c r="G20004" s="51"/>
      <c r="H20004" s="46" t="str">
        <f>IF(AND(I.Developer.P3=TRUE,I.Facility.P3FacilityCount&gt;=4992,F20004=""),"Incomplete","Complete")</f>
        <v>Complete</v>
      </c>
      <c r="I20004" s="48" t="s">
        <v>24369</v>
      </c>
    </row>
    <row r="20005" spans="2:9" ht="15" customHeight="1" x14ac:dyDescent="0.25">
      <c r="B20005" s="55" t="s">
        <v>282</v>
      </c>
      <c r="C20005" s="46">
        <v>4993</v>
      </c>
      <c r="D20005" s="69" t="s">
        <v>29419</v>
      </c>
      <c r="E20005" s="51"/>
      <c r="F20005" s="114" t="str">
        <f>IF(INDEX(I.Facility.P3IDNumber,4993)="","",INDEX(I.Facility.P3IDNumber,4993))</f>
        <v/>
      </c>
      <c r="G20005" s="51"/>
      <c r="H20005" s="46" t="str">
        <f>IF(AND(I.Developer.P3=TRUE,I.Facility.P3FacilityCount&gt;=4993,F20005=""),"Incomplete","Complete")</f>
        <v>Complete</v>
      </c>
      <c r="I20005" s="48" t="s">
        <v>24370</v>
      </c>
    </row>
    <row r="20006" spans="2:9" ht="15" customHeight="1" x14ac:dyDescent="0.25">
      <c r="B20006" s="55" t="s">
        <v>282</v>
      </c>
      <c r="C20006" s="46">
        <v>4994</v>
      </c>
      <c r="D20006" s="69" t="s">
        <v>29419</v>
      </c>
      <c r="E20006" s="51"/>
      <c r="F20006" s="114" t="str">
        <f>IF(INDEX(I.Facility.P3IDNumber,4994)="","",INDEX(I.Facility.P3IDNumber,4994))</f>
        <v/>
      </c>
      <c r="G20006" s="51"/>
      <c r="H20006" s="46" t="str">
        <f>IF(AND(I.Developer.P3=TRUE,I.Facility.P3FacilityCount&gt;=4994,F20006=""),"Incomplete","Complete")</f>
        <v>Complete</v>
      </c>
      <c r="I20006" s="48" t="s">
        <v>24371</v>
      </c>
    </row>
    <row r="20007" spans="2:9" ht="15" customHeight="1" x14ac:dyDescent="0.25">
      <c r="B20007" s="55" t="s">
        <v>282</v>
      </c>
      <c r="C20007" s="46">
        <v>4995</v>
      </c>
      <c r="D20007" s="69" t="s">
        <v>29419</v>
      </c>
      <c r="E20007" s="51"/>
      <c r="F20007" s="114" t="str">
        <f>IF(INDEX(I.Facility.P3IDNumber,4995)="","",INDEX(I.Facility.P3IDNumber,4995))</f>
        <v/>
      </c>
      <c r="G20007" s="51"/>
      <c r="H20007" s="46" t="str">
        <f>IF(AND(I.Developer.P3=TRUE,I.Facility.P3FacilityCount&gt;=4995,F20007=""),"Incomplete","Complete")</f>
        <v>Complete</v>
      </c>
      <c r="I20007" s="48" t="s">
        <v>24372</v>
      </c>
    </row>
    <row r="20008" spans="2:9" ht="15" customHeight="1" x14ac:dyDescent="0.25">
      <c r="B20008" s="55" t="s">
        <v>282</v>
      </c>
      <c r="C20008" s="46">
        <v>4996</v>
      </c>
      <c r="D20008" s="69" t="s">
        <v>29419</v>
      </c>
      <c r="E20008" s="51"/>
      <c r="F20008" s="114" t="str">
        <f>IF(INDEX(I.Facility.P3IDNumber,4996)="","",INDEX(I.Facility.P3IDNumber,4996))</f>
        <v/>
      </c>
      <c r="G20008" s="51"/>
      <c r="H20008" s="46" t="str">
        <f>IF(AND(I.Developer.P3=TRUE,I.Facility.P3FacilityCount&gt;=4996,F20008=""),"Incomplete","Complete")</f>
        <v>Complete</v>
      </c>
      <c r="I20008" s="48" t="s">
        <v>24373</v>
      </c>
    </row>
    <row r="20009" spans="2:9" ht="15" customHeight="1" x14ac:dyDescent="0.25">
      <c r="B20009" s="55" t="s">
        <v>282</v>
      </c>
      <c r="C20009" s="46">
        <v>4997</v>
      </c>
      <c r="D20009" s="69" t="s">
        <v>29419</v>
      </c>
      <c r="E20009" s="51"/>
      <c r="F20009" s="114" t="str">
        <f>IF(INDEX(I.Facility.P3IDNumber,4997)="","",INDEX(I.Facility.P3IDNumber,4997))</f>
        <v/>
      </c>
      <c r="G20009" s="51"/>
      <c r="H20009" s="46" t="str">
        <f>IF(AND(I.Developer.P3=TRUE,I.Facility.P3FacilityCount&gt;=4997,F20009=""),"Incomplete","Complete")</f>
        <v>Complete</v>
      </c>
      <c r="I20009" s="48" t="s">
        <v>24374</v>
      </c>
    </row>
    <row r="20010" spans="2:9" ht="15" customHeight="1" x14ac:dyDescent="0.25">
      <c r="B20010" s="55" t="s">
        <v>282</v>
      </c>
      <c r="C20010" s="46">
        <v>4998</v>
      </c>
      <c r="D20010" s="69" t="s">
        <v>29419</v>
      </c>
      <c r="E20010" s="51"/>
      <c r="F20010" s="114" t="str">
        <f>IF(INDEX(I.Facility.P3IDNumber,4998)="","",INDEX(I.Facility.P3IDNumber,4998))</f>
        <v/>
      </c>
      <c r="G20010" s="51"/>
      <c r="H20010" s="46" t="str">
        <f>IF(AND(I.Developer.P3=TRUE,I.Facility.P3FacilityCount&gt;=4998,F20010=""),"Incomplete","Complete")</f>
        <v>Complete</v>
      </c>
      <c r="I20010" s="48" t="s">
        <v>24375</v>
      </c>
    </row>
    <row r="20011" spans="2:9" ht="15" customHeight="1" x14ac:dyDescent="0.25">
      <c r="B20011" s="55" t="s">
        <v>282</v>
      </c>
      <c r="C20011" s="46">
        <v>4999</v>
      </c>
      <c r="D20011" s="69" t="s">
        <v>29419</v>
      </c>
      <c r="E20011" s="51"/>
      <c r="F20011" s="114" t="str">
        <f>IF(INDEX(I.Facility.P3IDNumber,4999)="","",INDEX(I.Facility.P3IDNumber,4999))</f>
        <v/>
      </c>
      <c r="G20011" s="51"/>
      <c r="H20011" s="46" t="str">
        <f>IF(AND(I.Developer.P3=TRUE,I.Facility.P3FacilityCount&gt;=4999,F20011=""),"Incomplete","Complete")</f>
        <v>Complete</v>
      </c>
      <c r="I20011" s="48" t="s">
        <v>24376</v>
      </c>
    </row>
    <row r="20012" spans="2:9" ht="15" customHeight="1" x14ac:dyDescent="0.25">
      <c r="B20012" s="56" t="s">
        <v>282</v>
      </c>
      <c r="C20012" s="57">
        <v>5000</v>
      </c>
      <c r="D20012" s="71" t="s">
        <v>29419</v>
      </c>
      <c r="E20012" s="58"/>
      <c r="F20012" s="115" t="str">
        <f>IF(INDEX(I.Facility.P3IDNumber,5000)="","",INDEX(I.Facility.P3IDNumber,5000))</f>
        <v/>
      </c>
      <c r="G20012" s="58"/>
      <c r="H20012" s="57" t="str">
        <f>IF(AND(I.Developer.P3=TRUE,I.Facility.P3FacilityCount&gt;=5000,F20012=""),"Incomplete","Complete")</f>
        <v>Complete</v>
      </c>
      <c r="I20012" s="49" t="s">
        <v>24377</v>
      </c>
    </row>
    <row r="20013" spans="2:9" ht="15" customHeight="1" x14ac:dyDescent="0.25">
      <c r="B20013" s="55" t="s">
        <v>283</v>
      </c>
      <c r="C20013" s="46">
        <v>1</v>
      </c>
      <c r="D20013" s="69" t="s">
        <v>29420</v>
      </c>
      <c r="E20013" s="51"/>
      <c r="F20013" s="114" t="str">
        <f>IF(INDEX(I.Facility.P4IDNumber,1)="","",INDEX(I.Facility.P4IDNumber,1))</f>
        <v/>
      </c>
      <c r="G20013" s="51"/>
      <c r="H20013" s="46" t="str">
        <f>IF(AND(I.Developer.P4=TRUE,I.Facility.P4FacilityCount&gt;=1,F20013=""),"Incomplete","Complete")</f>
        <v>Complete</v>
      </c>
      <c r="I20013" s="48" t="s">
        <v>24378</v>
      </c>
    </row>
    <row r="20014" spans="2:9" ht="15" customHeight="1" x14ac:dyDescent="0.25">
      <c r="B20014" s="55" t="s">
        <v>283</v>
      </c>
      <c r="C20014" s="46">
        <v>2</v>
      </c>
      <c r="D20014" s="69" t="s">
        <v>29420</v>
      </c>
      <c r="E20014" s="51"/>
      <c r="F20014" s="114" t="str">
        <f>IF(INDEX(I.Facility.P4IDNumber,2)="","",INDEX(I.Facility.P4IDNumber,2))</f>
        <v/>
      </c>
      <c r="G20014" s="51"/>
      <c r="H20014" s="46" t="str">
        <f>IF(AND(I.Developer.P4=TRUE,I.Facility.P4FacilityCount&gt;=2,F20014=""),"Incomplete","Complete")</f>
        <v>Complete</v>
      </c>
      <c r="I20014" s="48" t="s">
        <v>24379</v>
      </c>
    </row>
    <row r="20015" spans="2:9" ht="15" customHeight="1" x14ac:dyDescent="0.25">
      <c r="B20015" s="55" t="s">
        <v>283</v>
      </c>
      <c r="C20015" s="46">
        <v>3</v>
      </c>
      <c r="D20015" s="69" t="s">
        <v>29420</v>
      </c>
      <c r="E20015" s="51"/>
      <c r="F20015" s="114" t="str">
        <f>IF(INDEX(I.Facility.P4IDNumber,3)="","",INDEX(I.Facility.P4IDNumber,3))</f>
        <v/>
      </c>
      <c r="G20015" s="51"/>
      <c r="H20015" s="46" t="str">
        <f>IF(AND(I.Developer.P4=TRUE,I.Facility.P4FacilityCount&gt;=3,F20015=""),"Incomplete","Complete")</f>
        <v>Complete</v>
      </c>
      <c r="I20015" s="48" t="s">
        <v>24380</v>
      </c>
    </row>
    <row r="20016" spans="2:9" ht="15" customHeight="1" x14ac:dyDescent="0.25">
      <c r="B20016" s="55" t="s">
        <v>283</v>
      </c>
      <c r="C20016" s="46">
        <v>4</v>
      </c>
      <c r="D20016" s="69" t="s">
        <v>29420</v>
      </c>
      <c r="E20016" s="51"/>
      <c r="F20016" s="114" t="str">
        <f>IF(INDEX(I.Facility.P4IDNumber,4)="","",INDEX(I.Facility.P4IDNumber,4))</f>
        <v/>
      </c>
      <c r="G20016" s="51"/>
      <c r="H20016" s="46" t="str">
        <f>IF(AND(I.Developer.P4=TRUE,I.Facility.P4FacilityCount&gt;=4,F20016=""),"Incomplete","Complete")</f>
        <v>Complete</v>
      </c>
      <c r="I20016" s="48" t="s">
        <v>24381</v>
      </c>
    </row>
    <row r="20017" spans="2:9" ht="15" customHeight="1" x14ac:dyDescent="0.25">
      <c r="B20017" s="55" t="s">
        <v>283</v>
      </c>
      <c r="C20017" s="46">
        <v>5</v>
      </c>
      <c r="D20017" s="69" t="s">
        <v>29420</v>
      </c>
      <c r="E20017" s="51"/>
      <c r="F20017" s="114" t="str">
        <f>IF(INDEX(I.Facility.P4IDNumber,5)="","",INDEX(I.Facility.P4IDNumber,5))</f>
        <v/>
      </c>
      <c r="G20017" s="51"/>
      <c r="H20017" s="46" t="str">
        <f>IF(AND(I.Developer.P4=TRUE,I.Facility.P4FacilityCount&gt;=5,F20017=""),"Incomplete","Complete")</f>
        <v>Complete</v>
      </c>
      <c r="I20017" s="48" t="s">
        <v>24382</v>
      </c>
    </row>
    <row r="20018" spans="2:9" ht="15" customHeight="1" x14ac:dyDescent="0.25">
      <c r="B20018" s="55" t="s">
        <v>283</v>
      </c>
      <c r="C20018" s="46">
        <v>6</v>
      </c>
      <c r="D20018" s="69" t="s">
        <v>29420</v>
      </c>
      <c r="E20018" s="51"/>
      <c r="F20018" s="114" t="str">
        <f>IF(INDEX(I.Facility.P4IDNumber,6)="","",INDEX(I.Facility.P4IDNumber,6))</f>
        <v/>
      </c>
      <c r="G20018" s="51"/>
      <c r="H20018" s="46" t="str">
        <f>IF(AND(I.Developer.P4=TRUE,I.Facility.P4FacilityCount&gt;=6,F20018=""),"Incomplete","Complete")</f>
        <v>Complete</v>
      </c>
      <c r="I20018" s="48" t="s">
        <v>24383</v>
      </c>
    </row>
    <row r="20019" spans="2:9" ht="15" customHeight="1" x14ac:dyDescent="0.25">
      <c r="B20019" s="55" t="s">
        <v>283</v>
      </c>
      <c r="C20019" s="46">
        <v>7</v>
      </c>
      <c r="D20019" s="69" t="s">
        <v>29420</v>
      </c>
      <c r="E20019" s="51"/>
      <c r="F20019" s="114" t="str">
        <f>IF(INDEX(I.Facility.P4IDNumber,7)="","",INDEX(I.Facility.P4IDNumber,7))</f>
        <v/>
      </c>
      <c r="G20019" s="51"/>
      <c r="H20019" s="46" t="str">
        <f>IF(AND(I.Developer.P4=TRUE,I.Facility.P4FacilityCount&gt;=7,F20019=""),"Incomplete","Complete")</f>
        <v>Complete</v>
      </c>
      <c r="I20019" s="48" t="s">
        <v>24384</v>
      </c>
    </row>
    <row r="20020" spans="2:9" ht="15" customHeight="1" x14ac:dyDescent="0.25">
      <c r="B20020" s="55" t="s">
        <v>283</v>
      </c>
      <c r="C20020" s="46">
        <v>8</v>
      </c>
      <c r="D20020" s="69" t="s">
        <v>29420</v>
      </c>
      <c r="E20020" s="51"/>
      <c r="F20020" s="114" t="str">
        <f>IF(INDEX(I.Facility.P4IDNumber,8)="","",INDEX(I.Facility.P4IDNumber,8))</f>
        <v/>
      </c>
      <c r="G20020" s="51"/>
      <c r="H20020" s="46" t="str">
        <f>IF(AND(I.Developer.P4=TRUE,I.Facility.P4FacilityCount&gt;=8,F20020=""),"Incomplete","Complete")</f>
        <v>Complete</v>
      </c>
      <c r="I20020" s="48" t="s">
        <v>24385</v>
      </c>
    </row>
    <row r="20021" spans="2:9" ht="15" customHeight="1" x14ac:dyDescent="0.25">
      <c r="B20021" s="55" t="s">
        <v>283</v>
      </c>
      <c r="C20021" s="46">
        <v>9</v>
      </c>
      <c r="D20021" s="69" t="s">
        <v>29420</v>
      </c>
      <c r="E20021" s="51"/>
      <c r="F20021" s="114" t="str">
        <f>IF(INDEX(I.Facility.P4IDNumber,9)="","",INDEX(I.Facility.P4IDNumber,9))</f>
        <v/>
      </c>
      <c r="G20021" s="51"/>
      <c r="H20021" s="46" t="str">
        <f>IF(AND(I.Developer.P4=TRUE,I.Facility.P4FacilityCount&gt;=9,F20021=""),"Incomplete","Complete")</f>
        <v>Complete</v>
      </c>
      <c r="I20021" s="48" t="s">
        <v>24386</v>
      </c>
    </row>
    <row r="20022" spans="2:9" ht="15" customHeight="1" x14ac:dyDescent="0.25">
      <c r="B20022" s="55" t="s">
        <v>283</v>
      </c>
      <c r="C20022" s="46">
        <v>10</v>
      </c>
      <c r="D20022" s="69" t="s">
        <v>29420</v>
      </c>
      <c r="E20022" s="51"/>
      <c r="F20022" s="114" t="str">
        <f>IF(INDEX(I.Facility.P4IDNumber,10)="","",INDEX(I.Facility.P4IDNumber,10))</f>
        <v/>
      </c>
      <c r="G20022" s="51"/>
      <c r="H20022" s="46" t="str">
        <f>IF(AND(I.Developer.P4=TRUE,I.Facility.P4FacilityCount&gt;=10,F20022=""),"Incomplete","Complete")</f>
        <v>Complete</v>
      </c>
      <c r="I20022" s="48" t="s">
        <v>24387</v>
      </c>
    </row>
    <row r="20023" spans="2:9" ht="15" customHeight="1" x14ac:dyDescent="0.25">
      <c r="B20023" s="55" t="s">
        <v>283</v>
      </c>
      <c r="C20023" s="46">
        <v>11</v>
      </c>
      <c r="D20023" s="69" t="s">
        <v>29420</v>
      </c>
      <c r="E20023" s="51"/>
      <c r="F20023" s="114" t="str">
        <f>IF(INDEX(I.Facility.P4IDNumber,11)="","",INDEX(I.Facility.P4IDNumber,11))</f>
        <v/>
      </c>
      <c r="G20023" s="51"/>
      <c r="H20023" s="46" t="str">
        <f>IF(AND(I.Developer.P4=TRUE,I.Facility.P4FacilityCount&gt;=11,F20023=""),"Incomplete","Complete")</f>
        <v>Complete</v>
      </c>
      <c r="I20023" s="48" t="s">
        <v>24388</v>
      </c>
    </row>
    <row r="20024" spans="2:9" ht="15" customHeight="1" x14ac:dyDescent="0.25">
      <c r="B20024" s="55" t="s">
        <v>283</v>
      </c>
      <c r="C20024" s="46">
        <v>12</v>
      </c>
      <c r="D20024" s="69" t="s">
        <v>29420</v>
      </c>
      <c r="E20024" s="51"/>
      <c r="F20024" s="114" t="str">
        <f>IF(INDEX(I.Facility.P4IDNumber,12)="","",INDEX(I.Facility.P4IDNumber,12))</f>
        <v/>
      </c>
      <c r="G20024" s="51"/>
      <c r="H20024" s="46" t="str">
        <f>IF(AND(I.Developer.P4=TRUE,I.Facility.P4FacilityCount&gt;=12,F20024=""),"Incomplete","Complete")</f>
        <v>Complete</v>
      </c>
      <c r="I20024" s="48" t="s">
        <v>24389</v>
      </c>
    </row>
    <row r="20025" spans="2:9" ht="15" customHeight="1" x14ac:dyDescent="0.25">
      <c r="B20025" s="55" t="s">
        <v>283</v>
      </c>
      <c r="C20025" s="46">
        <v>13</v>
      </c>
      <c r="D20025" s="69" t="s">
        <v>29420</v>
      </c>
      <c r="E20025" s="51"/>
      <c r="F20025" s="114" t="str">
        <f>IF(INDEX(I.Facility.P4IDNumber,13)="","",INDEX(I.Facility.P4IDNumber,13))</f>
        <v/>
      </c>
      <c r="G20025" s="51"/>
      <c r="H20025" s="46" t="str">
        <f>IF(AND(I.Developer.P4=TRUE,I.Facility.P4FacilityCount&gt;=13,F20025=""),"Incomplete","Complete")</f>
        <v>Complete</v>
      </c>
      <c r="I20025" s="48" t="s">
        <v>24390</v>
      </c>
    </row>
    <row r="20026" spans="2:9" ht="15" customHeight="1" x14ac:dyDescent="0.25">
      <c r="B20026" s="55" t="s">
        <v>283</v>
      </c>
      <c r="C20026" s="46">
        <v>14</v>
      </c>
      <c r="D20026" s="69" t="s">
        <v>29420</v>
      </c>
      <c r="E20026" s="51"/>
      <c r="F20026" s="114" t="str">
        <f>IF(INDEX(I.Facility.P4IDNumber,14)="","",INDEX(I.Facility.P4IDNumber,14))</f>
        <v/>
      </c>
      <c r="G20026" s="51"/>
      <c r="H20026" s="46" t="str">
        <f>IF(AND(I.Developer.P4=TRUE,I.Facility.P4FacilityCount&gt;=14,F20026=""),"Incomplete","Complete")</f>
        <v>Complete</v>
      </c>
      <c r="I20026" s="48" t="s">
        <v>24391</v>
      </c>
    </row>
    <row r="20027" spans="2:9" ht="15" customHeight="1" x14ac:dyDescent="0.25">
      <c r="B20027" s="55" t="s">
        <v>283</v>
      </c>
      <c r="C20027" s="46">
        <v>15</v>
      </c>
      <c r="D20027" s="69" t="s">
        <v>29420</v>
      </c>
      <c r="E20027" s="51"/>
      <c r="F20027" s="114" t="str">
        <f>IF(INDEX(I.Facility.P4IDNumber,15)="","",INDEX(I.Facility.P4IDNumber,15))</f>
        <v/>
      </c>
      <c r="G20027" s="51"/>
      <c r="H20027" s="46" t="str">
        <f>IF(AND(I.Developer.P4=TRUE,I.Facility.P4FacilityCount&gt;=15,F20027=""),"Incomplete","Complete")</f>
        <v>Complete</v>
      </c>
      <c r="I20027" s="48" t="s">
        <v>24392</v>
      </c>
    </row>
    <row r="20028" spans="2:9" ht="15" customHeight="1" x14ac:dyDescent="0.25">
      <c r="B20028" s="55" t="s">
        <v>283</v>
      </c>
      <c r="C20028" s="46">
        <v>16</v>
      </c>
      <c r="D20028" s="69" t="s">
        <v>29420</v>
      </c>
      <c r="E20028" s="51"/>
      <c r="F20028" s="114" t="str">
        <f>IF(INDEX(I.Facility.P4IDNumber,16)="","",INDEX(I.Facility.P4IDNumber,16))</f>
        <v/>
      </c>
      <c r="G20028" s="51"/>
      <c r="H20028" s="46" t="str">
        <f>IF(AND(I.Developer.P4=TRUE,I.Facility.P4FacilityCount&gt;=16,F20028=""),"Incomplete","Complete")</f>
        <v>Complete</v>
      </c>
      <c r="I20028" s="48" t="s">
        <v>24393</v>
      </c>
    </row>
    <row r="20029" spans="2:9" ht="15" customHeight="1" x14ac:dyDescent="0.25">
      <c r="B20029" s="55" t="s">
        <v>283</v>
      </c>
      <c r="C20029" s="46">
        <v>17</v>
      </c>
      <c r="D20029" s="69" t="s">
        <v>29420</v>
      </c>
      <c r="E20029" s="51"/>
      <c r="F20029" s="114" t="str">
        <f>IF(INDEX(I.Facility.P4IDNumber,17)="","",INDEX(I.Facility.P4IDNumber,17))</f>
        <v/>
      </c>
      <c r="G20029" s="51"/>
      <c r="H20029" s="46" t="str">
        <f>IF(AND(I.Developer.P4=TRUE,I.Facility.P4FacilityCount&gt;=17,F20029=""),"Incomplete","Complete")</f>
        <v>Complete</v>
      </c>
      <c r="I20029" s="48" t="s">
        <v>24394</v>
      </c>
    </row>
    <row r="20030" spans="2:9" ht="15" customHeight="1" x14ac:dyDescent="0.25">
      <c r="B20030" s="55" t="s">
        <v>283</v>
      </c>
      <c r="C20030" s="46">
        <v>18</v>
      </c>
      <c r="D20030" s="69" t="s">
        <v>29420</v>
      </c>
      <c r="E20030" s="51"/>
      <c r="F20030" s="114" t="str">
        <f>IF(INDEX(I.Facility.P4IDNumber,18)="","",INDEX(I.Facility.P4IDNumber,18))</f>
        <v/>
      </c>
      <c r="G20030" s="51"/>
      <c r="H20030" s="46" t="str">
        <f>IF(AND(I.Developer.P4=TRUE,I.Facility.P4FacilityCount&gt;=18,F20030=""),"Incomplete","Complete")</f>
        <v>Complete</v>
      </c>
      <c r="I20030" s="48" t="s">
        <v>24395</v>
      </c>
    </row>
    <row r="20031" spans="2:9" ht="15" customHeight="1" x14ac:dyDescent="0.25">
      <c r="B20031" s="55" t="s">
        <v>283</v>
      </c>
      <c r="C20031" s="46">
        <v>19</v>
      </c>
      <c r="D20031" s="69" t="s">
        <v>29420</v>
      </c>
      <c r="E20031" s="51"/>
      <c r="F20031" s="114" t="str">
        <f>IF(INDEX(I.Facility.P4IDNumber,19)="","",INDEX(I.Facility.P4IDNumber,19))</f>
        <v/>
      </c>
      <c r="G20031" s="51"/>
      <c r="H20031" s="46" t="str">
        <f>IF(AND(I.Developer.P4=TRUE,I.Facility.P4FacilityCount&gt;=19,F20031=""),"Incomplete","Complete")</f>
        <v>Complete</v>
      </c>
      <c r="I20031" s="48" t="s">
        <v>24396</v>
      </c>
    </row>
    <row r="20032" spans="2:9" ht="15" customHeight="1" x14ac:dyDescent="0.25">
      <c r="B20032" s="55" t="s">
        <v>283</v>
      </c>
      <c r="C20032" s="46">
        <v>20</v>
      </c>
      <c r="D20032" s="69" t="s">
        <v>29420</v>
      </c>
      <c r="E20032" s="51"/>
      <c r="F20032" s="114" t="str">
        <f>IF(INDEX(I.Facility.P4IDNumber,20)="","",INDEX(I.Facility.P4IDNumber,20))</f>
        <v/>
      </c>
      <c r="G20032" s="51"/>
      <c r="H20032" s="46" t="str">
        <f>IF(AND(I.Developer.P4=TRUE,I.Facility.P4FacilityCount&gt;=20,F20032=""),"Incomplete","Complete")</f>
        <v>Complete</v>
      </c>
      <c r="I20032" s="48" t="s">
        <v>24397</v>
      </c>
    </row>
    <row r="20033" spans="2:9" ht="15" customHeight="1" x14ac:dyDescent="0.25">
      <c r="B20033" s="55" t="s">
        <v>283</v>
      </c>
      <c r="C20033" s="46">
        <v>21</v>
      </c>
      <c r="D20033" s="69" t="s">
        <v>29420</v>
      </c>
      <c r="E20033" s="51"/>
      <c r="F20033" s="114" t="str">
        <f>IF(INDEX(I.Facility.P4IDNumber,21)="","",INDEX(I.Facility.P4IDNumber,21))</f>
        <v/>
      </c>
      <c r="G20033" s="51"/>
      <c r="H20033" s="46" t="str">
        <f>IF(AND(I.Developer.P4=TRUE,I.Facility.P4FacilityCount&gt;=21,F20033=""),"Incomplete","Complete")</f>
        <v>Complete</v>
      </c>
      <c r="I20033" s="48" t="s">
        <v>24398</v>
      </c>
    </row>
    <row r="20034" spans="2:9" ht="15" customHeight="1" x14ac:dyDescent="0.25">
      <c r="B20034" s="55" t="s">
        <v>283</v>
      </c>
      <c r="C20034" s="46">
        <v>22</v>
      </c>
      <c r="D20034" s="69" t="s">
        <v>29420</v>
      </c>
      <c r="E20034" s="51"/>
      <c r="F20034" s="114" t="str">
        <f>IF(INDEX(I.Facility.P4IDNumber,22)="","",INDEX(I.Facility.P4IDNumber,22))</f>
        <v/>
      </c>
      <c r="G20034" s="51"/>
      <c r="H20034" s="46" t="str">
        <f>IF(AND(I.Developer.P4=TRUE,I.Facility.P4FacilityCount&gt;=22,F20034=""),"Incomplete","Complete")</f>
        <v>Complete</v>
      </c>
      <c r="I20034" s="48" t="s">
        <v>24399</v>
      </c>
    </row>
    <row r="20035" spans="2:9" ht="15" customHeight="1" x14ac:dyDescent="0.25">
      <c r="B20035" s="55" t="s">
        <v>283</v>
      </c>
      <c r="C20035" s="46">
        <v>23</v>
      </c>
      <c r="D20035" s="69" t="s">
        <v>29420</v>
      </c>
      <c r="E20035" s="51"/>
      <c r="F20035" s="114" t="str">
        <f>IF(INDEX(I.Facility.P4IDNumber,23)="","",INDEX(I.Facility.P4IDNumber,23))</f>
        <v/>
      </c>
      <c r="G20035" s="51"/>
      <c r="H20035" s="46" t="str">
        <f>IF(AND(I.Developer.P4=TRUE,I.Facility.P4FacilityCount&gt;=23,F20035=""),"Incomplete","Complete")</f>
        <v>Complete</v>
      </c>
      <c r="I20035" s="48" t="s">
        <v>24400</v>
      </c>
    </row>
    <row r="20036" spans="2:9" ht="15" customHeight="1" x14ac:dyDescent="0.25">
      <c r="B20036" s="55" t="s">
        <v>283</v>
      </c>
      <c r="C20036" s="46">
        <v>24</v>
      </c>
      <c r="D20036" s="69" t="s">
        <v>29420</v>
      </c>
      <c r="E20036" s="51"/>
      <c r="F20036" s="114" t="str">
        <f>IF(INDEX(I.Facility.P4IDNumber,24)="","",INDEX(I.Facility.P4IDNumber,24))</f>
        <v/>
      </c>
      <c r="G20036" s="51"/>
      <c r="H20036" s="46" t="str">
        <f>IF(AND(I.Developer.P4=TRUE,I.Facility.P4FacilityCount&gt;=24,F20036=""),"Incomplete","Complete")</f>
        <v>Complete</v>
      </c>
      <c r="I20036" s="48" t="s">
        <v>24401</v>
      </c>
    </row>
    <row r="20037" spans="2:9" ht="15" customHeight="1" x14ac:dyDescent="0.25">
      <c r="B20037" s="55" t="s">
        <v>283</v>
      </c>
      <c r="C20037" s="46">
        <v>25</v>
      </c>
      <c r="D20037" s="69" t="s">
        <v>29420</v>
      </c>
      <c r="E20037" s="51"/>
      <c r="F20037" s="114" t="str">
        <f>IF(INDEX(I.Facility.P4IDNumber,25)="","",INDEX(I.Facility.P4IDNumber,25))</f>
        <v/>
      </c>
      <c r="G20037" s="51"/>
      <c r="H20037" s="46" t="str">
        <f>IF(AND(I.Developer.P4=TRUE,I.Facility.P4FacilityCount&gt;=25,F20037=""),"Incomplete","Complete")</f>
        <v>Complete</v>
      </c>
      <c r="I20037" s="48" t="s">
        <v>24402</v>
      </c>
    </row>
    <row r="20038" spans="2:9" ht="15" customHeight="1" x14ac:dyDescent="0.25">
      <c r="B20038" s="55" t="s">
        <v>283</v>
      </c>
      <c r="C20038" s="46">
        <v>26</v>
      </c>
      <c r="D20038" s="69" t="s">
        <v>29420</v>
      </c>
      <c r="E20038" s="51"/>
      <c r="F20038" s="114" t="str">
        <f>IF(INDEX(I.Facility.P4IDNumber,26)="","",INDEX(I.Facility.P4IDNumber,26))</f>
        <v/>
      </c>
      <c r="G20038" s="51"/>
      <c r="H20038" s="46" t="str">
        <f>IF(AND(I.Developer.P4=TRUE,I.Facility.P4FacilityCount&gt;=26,F20038=""),"Incomplete","Complete")</f>
        <v>Complete</v>
      </c>
      <c r="I20038" s="48" t="s">
        <v>24403</v>
      </c>
    </row>
    <row r="20039" spans="2:9" ht="15" customHeight="1" x14ac:dyDescent="0.25">
      <c r="B20039" s="55" t="s">
        <v>283</v>
      </c>
      <c r="C20039" s="46">
        <v>27</v>
      </c>
      <c r="D20039" s="69" t="s">
        <v>29420</v>
      </c>
      <c r="E20039" s="51"/>
      <c r="F20039" s="114" t="str">
        <f>IF(INDEX(I.Facility.P4IDNumber,27)="","",INDEX(I.Facility.P4IDNumber,27))</f>
        <v/>
      </c>
      <c r="G20039" s="51"/>
      <c r="H20039" s="46" t="str">
        <f>IF(AND(I.Developer.P4=TRUE,I.Facility.P4FacilityCount&gt;=27,F20039=""),"Incomplete","Complete")</f>
        <v>Complete</v>
      </c>
      <c r="I20039" s="48" t="s">
        <v>24404</v>
      </c>
    </row>
    <row r="20040" spans="2:9" ht="15" customHeight="1" x14ac:dyDescent="0.25">
      <c r="B20040" s="55" t="s">
        <v>283</v>
      </c>
      <c r="C20040" s="46">
        <v>28</v>
      </c>
      <c r="D20040" s="69" t="s">
        <v>29420</v>
      </c>
      <c r="E20040" s="51"/>
      <c r="F20040" s="114" t="str">
        <f>IF(INDEX(I.Facility.P4IDNumber,28)="","",INDEX(I.Facility.P4IDNumber,28))</f>
        <v/>
      </c>
      <c r="G20040" s="51"/>
      <c r="H20040" s="46" t="str">
        <f>IF(AND(I.Developer.P4=TRUE,I.Facility.P4FacilityCount&gt;=28,F20040=""),"Incomplete","Complete")</f>
        <v>Complete</v>
      </c>
      <c r="I20040" s="48" t="s">
        <v>24405</v>
      </c>
    </row>
    <row r="20041" spans="2:9" ht="15" customHeight="1" x14ac:dyDescent="0.25">
      <c r="B20041" s="55" t="s">
        <v>283</v>
      </c>
      <c r="C20041" s="46">
        <v>29</v>
      </c>
      <c r="D20041" s="69" t="s">
        <v>29420</v>
      </c>
      <c r="E20041" s="51"/>
      <c r="F20041" s="114" t="str">
        <f>IF(INDEX(I.Facility.P4IDNumber,29)="","",INDEX(I.Facility.P4IDNumber,29))</f>
        <v/>
      </c>
      <c r="G20041" s="51"/>
      <c r="H20041" s="46" t="str">
        <f>IF(AND(I.Developer.P4=TRUE,I.Facility.P4FacilityCount&gt;=29,F20041=""),"Incomplete","Complete")</f>
        <v>Complete</v>
      </c>
      <c r="I20041" s="48" t="s">
        <v>24406</v>
      </c>
    </row>
    <row r="20042" spans="2:9" ht="15" customHeight="1" x14ac:dyDescent="0.25">
      <c r="B20042" s="55" t="s">
        <v>283</v>
      </c>
      <c r="C20042" s="46">
        <v>30</v>
      </c>
      <c r="D20042" s="69" t="s">
        <v>29420</v>
      </c>
      <c r="E20042" s="51"/>
      <c r="F20042" s="114" t="str">
        <f>IF(INDEX(I.Facility.P4IDNumber,30)="","",INDEX(I.Facility.P4IDNumber,30))</f>
        <v/>
      </c>
      <c r="G20042" s="51"/>
      <c r="H20042" s="46" t="str">
        <f>IF(AND(I.Developer.P4=TRUE,I.Facility.P4FacilityCount&gt;=30,F20042=""),"Incomplete","Complete")</f>
        <v>Complete</v>
      </c>
      <c r="I20042" s="48" t="s">
        <v>24407</v>
      </c>
    </row>
    <row r="20043" spans="2:9" ht="15" customHeight="1" x14ac:dyDescent="0.25">
      <c r="B20043" s="55" t="s">
        <v>283</v>
      </c>
      <c r="C20043" s="46">
        <v>31</v>
      </c>
      <c r="D20043" s="69" t="s">
        <v>29420</v>
      </c>
      <c r="E20043" s="51"/>
      <c r="F20043" s="114" t="str">
        <f>IF(INDEX(I.Facility.P4IDNumber,31)="","",INDEX(I.Facility.P4IDNumber,31))</f>
        <v/>
      </c>
      <c r="G20043" s="51"/>
      <c r="H20043" s="46" t="str">
        <f>IF(AND(I.Developer.P4=TRUE,I.Facility.P4FacilityCount&gt;=31,F20043=""),"Incomplete","Complete")</f>
        <v>Complete</v>
      </c>
      <c r="I20043" s="48" t="s">
        <v>24408</v>
      </c>
    </row>
    <row r="20044" spans="2:9" ht="15" customHeight="1" x14ac:dyDescent="0.25">
      <c r="B20044" s="55" t="s">
        <v>283</v>
      </c>
      <c r="C20044" s="46">
        <v>32</v>
      </c>
      <c r="D20044" s="69" t="s">
        <v>29420</v>
      </c>
      <c r="E20044" s="51"/>
      <c r="F20044" s="114" t="str">
        <f>IF(INDEX(I.Facility.P4IDNumber,32)="","",INDEX(I.Facility.P4IDNumber,32))</f>
        <v/>
      </c>
      <c r="G20044" s="51"/>
      <c r="H20044" s="46" t="str">
        <f>IF(AND(I.Developer.P4=TRUE,I.Facility.P4FacilityCount&gt;=32,F20044=""),"Incomplete","Complete")</f>
        <v>Complete</v>
      </c>
      <c r="I20044" s="48" t="s">
        <v>24409</v>
      </c>
    </row>
    <row r="20045" spans="2:9" ht="15" customHeight="1" x14ac:dyDescent="0.25">
      <c r="B20045" s="55" t="s">
        <v>283</v>
      </c>
      <c r="C20045" s="46">
        <v>33</v>
      </c>
      <c r="D20045" s="69" t="s">
        <v>29420</v>
      </c>
      <c r="E20045" s="51"/>
      <c r="F20045" s="114" t="str">
        <f>IF(INDEX(I.Facility.P4IDNumber,33)="","",INDEX(I.Facility.P4IDNumber,33))</f>
        <v/>
      </c>
      <c r="G20045" s="51"/>
      <c r="H20045" s="46" t="str">
        <f>IF(AND(I.Developer.P4=TRUE,I.Facility.P4FacilityCount&gt;=33,F20045=""),"Incomplete","Complete")</f>
        <v>Complete</v>
      </c>
      <c r="I20045" s="48" t="s">
        <v>24410</v>
      </c>
    </row>
    <row r="20046" spans="2:9" ht="15" customHeight="1" x14ac:dyDescent="0.25">
      <c r="B20046" s="55" t="s">
        <v>283</v>
      </c>
      <c r="C20046" s="46">
        <v>34</v>
      </c>
      <c r="D20046" s="69" t="s">
        <v>29420</v>
      </c>
      <c r="E20046" s="51"/>
      <c r="F20046" s="114" t="str">
        <f>IF(INDEX(I.Facility.P4IDNumber,34)="","",INDEX(I.Facility.P4IDNumber,34))</f>
        <v/>
      </c>
      <c r="G20046" s="51"/>
      <c r="H20046" s="46" t="str">
        <f>IF(AND(I.Developer.P4=TRUE,I.Facility.P4FacilityCount&gt;=34,F20046=""),"Incomplete","Complete")</f>
        <v>Complete</v>
      </c>
      <c r="I20046" s="48" t="s">
        <v>24411</v>
      </c>
    </row>
    <row r="20047" spans="2:9" ht="15" customHeight="1" x14ac:dyDescent="0.25">
      <c r="B20047" s="55" t="s">
        <v>283</v>
      </c>
      <c r="C20047" s="46">
        <v>35</v>
      </c>
      <c r="D20047" s="69" t="s">
        <v>29420</v>
      </c>
      <c r="E20047" s="51"/>
      <c r="F20047" s="114" t="str">
        <f>IF(INDEX(I.Facility.P4IDNumber,35)="","",INDEX(I.Facility.P4IDNumber,35))</f>
        <v/>
      </c>
      <c r="G20047" s="51"/>
      <c r="H20047" s="46" t="str">
        <f>IF(AND(I.Developer.P4=TRUE,I.Facility.P4FacilityCount&gt;=35,F20047=""),"Incomplete","Complete")</f>
        <v>Complete</v>
      </c>
      <c r="I20047" s="48" t="s">
        <v>24412</v>
      </c>
    </row>
    <row r="20048" spans="2:9" ht="15" customHeight="1" x14ac:dyDescent="0.25">
      <c r="B20048" s="55" t="s">
        <v>283</v>
      </c>
      <c r="C20048" s="46">
        <v>36</v>
      </c>
      <c r="D20048" s="69" t="s">
        <v>29420</v>
      </c>
      <c r="E20048" s="51"/>
      <c r="F20048" s="114" t="str">
        <f>IF(INDEX(I.Facility.P4IDNumber,36)="","",INDEX(I.Facility.P4IDNumber,36))</f>
        <v/>
      </c>
      <c r="G20048" s="51"/>
      <c r="H20048" s="46" t="str">
        <f>IF(AND(I.Developer.P4=TRUE,I.Facility.P4FacilityCount&gt;=36,F20048=""),"Incomplete","Complete")</f>
        <v>Complete</v>
      </c>
      <c r="I20048" s="48" t="s">
        <v>24413</v>
      </c>
    </row>
    <row r="20049" spans="2:9" ht="15" customHeight="1" x14ac:dyDescent="0.25">
      <c r="B20049" s="55" t="s">
        <v>283</v>
      </c>
      <c r="C20049" s="46">
        <v>37</v>
      </c>
      <c r="D20049" s="69" t="s">
        <v>29420</v>
      </c>
      <c r="E20049" s="51"/>
      <c r="F20049" s="114" t="str">
        <f>IF(INDEX(I.Facility.P4IDNumber,37)="","",INDEX(I.Facility.P4IDNumber,37))</f>
        <v/>
      </c>
      <c r="G20049" s="51"/>
      <c r="H20049" s="46" t="str">
        <f>IF(AND(I.Developer.P4=TRUE,I.Facility.P4FacilityCount&gt;=37,F20049=""),"Incomplete","Complete")</f>
        <v>Complete</v>
      </c>
      <c r="I20049" s="48" t="s">
        <v>24414</v>
      </c>
    </row>
    <row r="20050" spans="2:9" ht="15" customHeight="1" x14ac:dyDescent="0.25">
      <c r="B20050" s="55" t="s">
        <v>283</v>
      </c>
      <c r="C20050" s="46">
        <v>38</v>
      </c>
      <c r="D20050" s="69" t="s">
        <v>29420</v>
      </c>
      <c r="E20050" s="51"/>
      <c r="F20050" s="114" t="str">
        <f>IF(INDEX(I.Facility.P4IDNumber,38)="","",INDEX(I.Facility.P4IDNumber,38))</f>
        <v/>
      </c>
      <c r="G20050" s="51"/>
      <c r="H20050" s="46" t="str">
        <f>IF(AND(I.Developer.P4=TRUE,I.Facility.P4FacilityCount&gt;=38,F20050=""),"Incomplete","Complete")</f>
        <v>Complete</v>
      </c>
      <c r="I20050" s="48" t="s">
        <v>24415</v>
      </c>
    </row>
    <row r="20051" spans="2:9" ht="15" customHeight="1" x14ac:dyDescent="0.25">
      <c r="B20051" s="55" t="s">
        <v>283</v>
      </c>
      <c r="C20051" s="46">
        <v>39</v>
      </c>
      <c r="D20051" s="69" t="s">
        <v>29420</v>
      </c>
      <c r="E20051" s="51"/>
      <c r="F20051" s="114" t="str">
        <f>IF(INDEX(I.Facility.P4IDNumber,39)="","",INDEX(I.Facility.P4IDNumber,39))</f>
        <v/>
      </c>
      <c r="G20051" s="51"/>
      <c r="H20051" s="46" t="str">
        <f>IF(AND(I.Developer.P4=TRUE,I.Facility.P4FacilityCount&gt;=39,F20051=""),"Incomplete","Complete")</f>
        <v>Complete</v>
      </c>
      <c r="I20051" s="48" t="s">
        <v>24416</v>
      </c>
    </row>
    <row r="20052" spans="2:9" ht="15" customHeight="1" x14ac:dyDescent="0.25">
      <c r="B20052" s="55" t="s">
        <v>283</v>
      </c>
      <c r="C20052" s="46">
        <v>40</v>
      </c>
      <c r="D20052" s="69" t="s">
        <v>29420</v>
      </c>
      <c r="E20052" s="51"/>
      <c r="F20052" s="114" t="str">
        <f>IF(INDEX(I.Facility.P4IDNumber,40)="","",INDEX(I.Facility.P4IDNumber,40))</f>
        <v/>
      </c>
      <c r="G20052" s="51"/>
      <c r="H20052" s="46" t="str">
        <f>IF(AND(I.Developer.P4=TRUE,I.Facility.P4FacilityCount&gt;=40,F20052=""),"Incomplete","Complete")</f>
        <v>Complete</v>
      </c>
      <c r="I20052" s="48" t="s">
        <v>24417</v>
      </c>
    </row>
    <row r="20053" spans="2:9" ht="15" customHeight="1" x14ac:dyDescent="0.25">
      <c r="B20053" s="55" t="s">
        <v>283</v>
      </c>
      <c r="C20053" s="46">
        <v>41</v>
      </c>
      <c r="D20053" s="69" t="s">
        <v>29420</v>
      </c>
      <c r="E20053" s="51"/>
      <c r="F20053" s="114" t="str">
        <f>IF(INDEX(I.Facility.P4IDNumber,41)="","",INDEX(I.Facility.P4IDNumber,41))</f>
        <v/>
      </c>
      <c r="G20053" s="51"/>
      <c r="H20053" s="46" t="str">
        <f>IF(AND(I.Developer.P4=TRUE,I.Facility.P4FacilityCount&gt;=41,F20053=""),"Incomplete","Complete")</f>
        <v>Complete</v>
      </c>
      <c r="I20053" s="48" t="s">
        <v>24418</v>
      </c>
    </row>
    <row r="20054" spans="2:9" ht="15" customHeight="1" x14ac:dyDescent="0.25">
      <c r="B20054" s="55" t="s">
        <v>283</v>
      </c>
      <c r="C20054" s="46">
        <v>42</v>
      </c>
      <c r="D20054" s="69" t="s">
        <v>29420</v>
      </c>
      <c r="E20054" s="51"/>
      <c r="F20054" s="114" t="str">
        <f>IF(INDEX(I.Facility.P4IDNumber,42)="","",INDEX(I.Facility.P4IDNumber,42))</f>
        <v/>
      </c>
      <c r="G20054" s="51"/>
      <c r="H20054" s="46" t="str">
        <f>IF(AND(I.Developer.P4=TRUE,I.Facility.P4FacilityCount&gt;=42,F20054=""),"Incomplete","Complete")</f>
        <v>Complete</v>
      </c>
      <c r="I20054" s="48" t="s">
        <v>24419</v>
      </c>
    </row>
    <row r="20055" spans="2:9" ht="15" customHeight="1" x14ac:dyDescent="0.25">
      <c r="B20055" s="55" t="s">
        <v>283</v>
      </c>
      <c r="C20055" s="46">
        <v>43</v>
      </c>
      <c r="D20055" s="69" t="s">
        <v>29420</v>
      </c>
      <c r="E20055" s="51"/>
      <c r="F20055" s="114" t="str">
        <f>IF(INDEX(I.Facility.P4IDNumber,43)="","",INDEX(I.Facility.P4IDNumber,43))</f>
        <v/>
      </c>
      <c r="G20055" s="51"/>
      <c r="H20055" s="46" t="str">
        <f>IF(AND(I.Developer.P4=TRUE,I.Facility.P4FacilityCount&gt;=43,F20055=""),"Incomplete","Complete")</f>
        <v>Complete</v>
      </c>
      <c r="I20055" s="48" t="s">
        <v>24420</v>
      </c>
    </row>
    <row r="20056" spans="2:9" ht="15" customHeight="1" x14ac:dyDescent="0.25">
      <c r="B20056" s="55" t="s">
        <v>283</v>
      </c>
      <c r="C20056" s="46">
        <v>44</v>
      </c>
      <c r="D20056" s="69" t="s">
        <v>29420</v>
      </c>
      <c r="E20056" s="51"/>
      <c r="F20056" s="114" t="str">
        <f>IF(INDEX(I.Facility.P4IDNumber,44)="","",INDEX(I.Facility.P4IDNumber,44))</f>
        <v/>
      </c>
      <c r="G20056" s="51"/>
      <c r="H20056" s="46" t="str">
        <f>IF(AND(I.Developer.P4=TRUE,I.Facility.P4FacilityCount&gt;=44,F20056=""),"Incomplete","Complete")</f>
        <v>Complete</v>
      </c>
      <c r="I20056" s="48" t="s">
        <v>24421</v>
      </c>
    </row>
    <row r="20057" spans="2:9" ht="15" customHeight="1" x14ac:dyDescent="0.25">
      <c r="B20057" s="55" t="s">
        <v>283</v>
      </c>
      <c r="C20057" s="46">
        <v>45</v>
      </c>
      <c r="D20057" s="69" t="s">
        <v>29420</v>
      </c>
      <c r="E20057" s="51"/>
      <c r="F20057" s="114" t="str">
        <f>IF(INDEX(I.Facility.P4IDNumber,45)="","",INDEX(I.Facility.P4IDNumber,45))</f>
        <v/>
      </c>
      <c r="G20057" s="51"/>
      <c r="H20057" s="46" t="str">
        <f>IF(AND(I.Developer.P4=TRUE,I.Facility.P4FacilityCount&gt;=45,F20057=""),"Incomplete","Complete")</f>
        <v>Complete</v>
      </c>
      <c r="I20057" s="48" t="s">
        <v>24422</v>
      </c>
    </row>
    <row r="20058" spans="2:9" ht="15" customHeight="1" x14ac:dyDescent="0.25">
      <c r="B20058" s="55" t="s">
        <v>283</v>
      </c>
      <c r="C20058" s="46">
        <v>46</v>
      </c>
      <c r="D20058" s="69" t="s">
        <v>29420</v>
      </c>
      <c r="E20058" s="51"/>
      <c r="F20058" s="114" t="str">
        <f>IF(INDEX(I.Facility.P4IDNumber,46)="","",INDEX(I.Facility.P4IDNumber,46))</f>
        <v/>
      </c>
      <c r="G20058" s="51"/>
      <c r="H20058" s="46" t="str">
        <f>IF(AND(I.Developer.P4=TRUE,I.Facility.P4FacilityCount&gt;=46,F20058=""),"Incomplete","Complete")</f>
        <v>Complete</v>
      </c>
      <c r="I20058" s="48" t="s">
        <v>24423</v>
      </c>
    </row>
    <row r="20059" spans="2:9" ht="15" customHeight="1" x14ac:dyDescent="0.25">
      <c r="B20059" s="55" t="s">
        <v>283</v>
      </c>
      <c r="C20059" s="46">
        <v>47</v>
      </c>
      <c r="D20059" s="69" t="s">
        <v>29420</v>
      </c>
      <c r="E20059" s="51"/>
      <c r="F20059" s="114" t="str">
        <f>IF(INDEX(I.Facility.P4IDNumber,47)="","",INDEX(I.Facility.P4IDNumber,47))</f>
        <v/>
      </c>
      <c r="G20059" s="51"/>
      <c r="H20059" s="46" t="str">
        <f>IF(AND(I.Developer.P4=TRUE,I.Facility.P4FacilityCount&gt;=47,F20059=""),"Incomplete","Complete")</f>
        <v>Complete</v>
      </c>
      <c r="I20059" s="48" t="s">
        <v>24424</v>
      </c>
    </row>
    <row r="20060" spans="2:9" ht="15" customHeight="1" x14ac:dyDescent="0.25">
      <c r="B20060" s="55" t="s">
        <v>283</v>
      </c>
      <c r="C20060" s="46">
        <v>48</v>
      </c>
      <c r="D20060" s="69" t="s">
        <v>29420</v>
      </c>
      <c r="E20060" s="51"/>
      <c r="F20060" s="114" t="str">
        <f>IF(INDEX(I.Facility.P4IDNumber,48)="","",INDEX(I.Facility.P4IDNumber,48))</f>
        <v/>
      </c>
      <c r="G20060" s="51"/>
      <c r="H20060" s="46" t="str">
        <f>IF(AND(I.Developer.P4=TRUE,I.Facility.P4FacilityCount&gt;=48,F20060=""),"Incomplete","Complete")</f>
        <v>Complete</v>
      </c>
      <c r="I20060" s="48" t="s">
        <v>24425</v>
      </c>
    </row>
    <row r="20061" spans="2:9" ht="15" customHeight="1" x14ac:dyDescent="0.25">
      <c r="B20061" s="55" t="s">
        <v>283</v>
      </c>
      <c r="C20061" s="46">
        <v>49</v>
      </c>
      <c r="D20061" s="69" t="s">
        <v>29420</v>
      </c>
      <c r="E20061" s="51"/>
      <c r="F20061" s="114" t="str">
        <f>IF(INDEX(I.Facility.P4IDNumber,49)="","",INDEX(I.Facility.P4IDNumber,49))</f>
        <v/>
      </c>
      <c r="G20061" s="51"/>
      <c r="H20061" s="46" t="str">
        <f>IF(AND(I.Developer.P4=TRUE,I.Facility.P4FacilityCount&gt;=49,F20061=""),"Incomplete","Complete")</f>
        <v>Complete</v>
      </c>
      <c r="I20061" s="48" t="s">
        <v>24426</v>
      </c>
    </row>
    <row r="20062" spans="2:9" ht="15" customHeight="1" x14ac:dyDescent="0.25">
      <c r="B20062" s="55" t="s">
        <v>283</v>
      </c>
      <c r="C20062" s="46">
        <v>50</v>
      </c>
      <c r="D20062" s="69" t="s">
        <v>29420</v>
      </c>
      <c r="E20062" s="51"/>
      <c r="F20062" s="114" t="str">
        <f>IF(INDEX(I.Facility.P4IDNumber,50)="","",INDEX(I.Facility.P4IDNumber,50))</f>
        <v/>
      </c>
      <c r="G20062" s="51"/>
      <c r="H20062" s="46" t="str">
        <f>IF(AND(I.Developer.P4=TRUE,I.Facility.P4FacilityCount&gt;=50,F20062=""),"Incomplete","Complete")</f>
        <v>Complete</v>
      </c>
      <c r="I20062" s="48" t="s">
        <v>24427</v>
      </c>
    </row>
    <row r="20063" spans="2:9" ht="15" customHeight="1" x14ac:dyDescent="0.25">
      <c r="B20063" s="55" t="s">
        <v>283</v>
      </c>
      <c r="C20063" s="46">
        <v>51</v>
      </c>
      <c r="D20063" s="69" t="s">
        <v>29420</v>
      </c>
      <c r="E20063" s="51"/>
      <c r="F20063" s="114" t="str">
        <f>IF(INDEX(I.Facility.P4IDNumber,51)="","",INDEX(I.Facility.P4IDNumber,51))</f>
        <v/>
      </c>
      <c r="G20063" s="51"/>
      <c r="H20063" s="46" t="str">
        <f>IF(AND(I.Developer.P4=TRUE,I.Facility.P4FacilityCount&gt;=51,F20063=""),"Incomplete","Complete")</f>
        <v>Complete</v>
      </c>
      <c r="I20063" s="48" t="s">
        <v>24428</v>
      </c>
    </row>
    <row r="20064" spans="2:9" ht="15" customHeight="1" x14ac:dyDescent="0.25">
      <c r="B20064" s="55" t="s">
        <v>283</v>
      </c>
      <c r="C20064" s="46">
        <v>52</v>
      </c>
      <c r="D20064" s="69" t="s">
        <v>29420</v>
      </c>
      <c r="E20064" s="51"/>
      <c r="F20064" s="114" t="str">
        <f>IF(INDEX(I.Facility.P4IDNumber,52)="","",INDEX(I.Facility.P4IDNumber,52))</f>
        <v/>
      </c>
      <c r="G20064" s="51"/>
      <c r="H20064" s="46" t="str">
        <f>IF(AND(I.Developer.P4=TRUE,I.Facility.P4FacilityCount&gt;=52,F20064=""),"Incomplete","Complete")</f>
        <v>Complete</v>
      </c>
      <c r="I20064" s="48" t="s">
        <v>24429</v>
      </c>
    </row>
    <row r="20065" spans="2:9" ht="15" customHeight="1" x14ac:dyDescent="0.25">
      <c r="B20065" s="55" t="s">
        <v>283</v>
      </c>
      <c r="C20065" s="46">
        <v>53</v>
      </c>
      <c r="D20065" s="69" t="s">
        <v>29420</v>
      </c>
      <c r="E20065" s="51"/>
      <c r="F20065" s="114" t="str">
        <f>IF(INDEX(I.Facility.P4IDNumber,53)="","",INDEX(I.Facility.P4IDNumber,53))</f>
        <v/>
      </c>
      <c r="G20065" s="51"/>
      <c r="H20065" s="46" t="str">
        <f>IF(AND(I.Developer.P4=TRUE,I.Facility.P4FacilityCount&gt;=53,F20065=""),"Incomplete","Complete")</f>
        <v>Complete</v>
      </c>
      <c r="I20065" s="48" t="s">
        <v>24430</v>
      </c>
    </row>
    <row r="20066" spans="2:9" ht="15" customHeight="1" x14ac:dyDescent="0.25">
      <c r="B20066" s="55" t="s">
        <v>283</v>
      </c>
      <c r="C20066" s="46">
        <v>54</v>
      </c>
      <c r="D20066" s="69" t="s">
        <v>29420</v>
      </c>
      <c r="E20066" s="51"/>
      <c r="F20066" s="114" t="str">
        <f>IF(INDEX(I.Facility.P4IDNumber,54)="","",INDEX(I.Facility.P4IDNumber,54))</f>
        <v/>
      </c>
      <c r="G20066" s="51"/>
      <c r="H20066" s="46" t="str">
        <f>IF(AND(I.Developer.P4=TRUE,I.Facility.P4FacilityCount&gt;=54,F20066=""),"Incomplete","Complete")</f>
        <v>Complete</v>
      </c>
      <c r="I20066" s="48" t="s">
        <v>24431</v>
      </c>
    </row>
    <row r="20067" spans="2:9" ht="15" customHeight="1" x14ac:dyDescent="0.25">
      <c r="B20067" s="55" t="s">
        <v>283</v>
      </c>
      <c r="C20067" s="46">
        <v>55</v>
      </c>
      <c r="D20067" s="69" t="s">
        <v>29420</v>
      </c>
      <c r="E20067" s="51"/>
      <c r="F20067" s="114" t="str">
        <f>IF(INDEX(I.Facility.P4IDNumber,55)="","",INDEX(I.Facility.P4IDNumber,55))</f>
        <v/>
      </c>
      <c r="G20067" s="51"/>
      <c r="H20067" s="46" t="str">
        <f>IF(AND(I.Developer.P4=TRUE,I.Facility.P4FacilityCount&gt;=55,F20067=""),"Incomplete","Complete")</f>
        <v>Complete</v>
      </c>
      <c r="I20067" s="48" t="s">
        <v>24432</v>
      </c>
    </row>
    <row r="20068" spans="2:9" ht="15" customHeight="1" x14ac:dyDescent="0.25">
      <c r="B20068" s="55" t="s">
        <v>283</v>
      </c>
      <c r="C20068" s="46">
        <v>56</v>
      </c>
      <c r="D20068" s="69" t="s">
        <v>29420</v>
      </c>
      <c r="E20068" s="51"/>
      <c r="F20068" s="114" t="str">
        <f>IF(INDEX(I.Facility.P4IDNumber,56)="","",INDEX(I.Facility.P4IDNumber,56))</f>
        <v/>
      </c>
      <c r="G20068" s="51"/>
      <c r="H20068" s="46" t="str">
        <f>IF(AND(I.Developer.P4=TRUE,I.Facility.P4FacilityCount&gt;=56,F20068=""),"Incomplete","Complete")</f>
        <v>Complete</v>
      </c>
      <c r="I20068" s="48" t="s">
        <v>24433</v>
      </c>
    </row>
    <row r="20069" spans="2:9" ht="15" customHeight="1" x14ac:dyDescent="0.25">
      <c r="B20069" s="55" t="s">
        <v>283</v>
      </c>
      <c r="C20069" s="46">
        <v>57</v>
      </c>
      <c r="D20069" s="69" t="s">
        <v>29420</v>
      </c>
      <c r="E20069" s="51"/>
      <c r="F20069" s="114" t="str">
        <f>IF(INDEX(I.Facility.P4IDNumber,57)="","",INDEX(I.Facility.P4IDNumber,57))</f>
        <v/>
      </c>
      <c r="G20069" s="51"/>
      <c r="H20069" s="46" t="str">
        <f>IF(AND(I.Developer.P4=TRUE,I.Facility.P4FacilityCount&gt;=57,F20069=""),"Incomplete","Complete")</f>
        <v>Complete</v>
      </c>
      <c r="I20069" s="48" t="s">
        <v>24434</v>
      </c>
    </row>
    <row r="20070" spans="2:9" ht="15" customHeight="1" x14ac:dyDescent="0.25">
      <c r="B20070" s="55" t="s">
        <v>283</v>
      </c>
      <c r="C20070" s="46">
        <v>58</v>
      </c>
      <c r="D20070" s="69" t="s">
        <v>29420</v>
      </c>
      <c r="E20070" s="51"/>
      <c r="F20070" s="114" t="str">
        <f>IF(INDEX(I.Facility.P4IDNumber,58)="","",INDEX(I.Facility.P4IDNumber,58))</f>
        <v/>
      </c>
      <c r="G20070" s="51"/>
      <c r="H20070" s="46" t="str">
        <f>IF(AND(I.Developer.P4=TRUE,I.Facility.P4FacilityCount&gt;=58,F20070=""),"Incomplete","Complete")</f>
        <v>Complete</v>
      </c>
      <c r="I20070" s="48" t="s">
        <v>24435</v>
      </c>
    </row>
    <row r="20071" spans="2:9" ht="15" customHeight="1" x14ac:dyDescent="0.25">
      <c r="B20071" s="55" t="s">
        <v>283</v>
      </c>
      <c r="C20071" s="46">
        <v>59</v>
      </c>
      <c r="D20071" s="69" t="s">
        <v>29420</v>
      </c>
      <c r="E20071" s="51"/>
      <c r="F20071" s="114" t="str">
        <f>IF(INDEX(I.Facility.P4IDNumber,59)="","",INDEX(I.Facility.P4IDNumber,59))</f>
        <v/>
      </c>
      <c r="G20071" s="51"/>
      <c r="H20071" s="46" t="str">
        <f>IF(AND(I.Developer.P4=TRUE,I.Facility.P4FacilityCount&gt;=59,F20071=""),"Incomplete","Complete")</f>
        <v>Complete</v>
      </c>
      <c r="I20071" s="48" t="s">
        <v>24436</v>
      </c>
    </row>
    <row r="20072" spans="2:9" ht="15" customHeight="1" x14ac:dyDescent="0.25">
      <c r="B20072" s="55" t="s">
        <v>283</v>
      </c>
      <c r="C20072" s="46">
        <v>60</v>
      </c>
      <c r="D20072" s="69" t="s">
        <v>29420</v>
      </c>
      <c r="E20072" s="51"/>
      <c r="F20072" s="114" t="str">
        <f>IF(INDEX(I.Facility.P4IDNumber,60)="","",INDEX(I.Facility.P4IDNumber,60))</f>
        <v/>
      </c>
      <c r="G20072" s="51"/>
      <c r="H20072" s="46" t="str">
        <f>IF(AND(I.Developer.P4=TRUE,I.Facility.P4FacilityCount&gt;=60,F20072=""),"Incomplete","Complete")</f>
        <v>Complete</v>
      </c>
      <c r="I20072" s="48" t="s">
        <v>24437</v>
      </c>
    </row>
    <row r="20073" spans="2:9" ht="15" customHeight="1" x14ac:dyDescent="0.25">
      <c r="B20073" s="55" t="s">
        <v>283</v>
      </c>
      <c r="C20073" s="46">
        <v>61</v>
      </c>
      <c r="D20073" s="69" t="s">
        <v>29420</v>
      </c>
      <c r="E20073" s="51"/>
      <c r="F20073" s="114" t="str">
        <f>IF(INDEX(I.Facility.P4IDNumber,61)="","",INDEX(I.Facility.P4IDNumber,61))</f>
        <v/>
      </c>
      <c r="G20073" s="51"/>
      <c r="H20073" s="46" t="str">
        <f>IF(AND(I.Developer.P4=TRUE,I.Facility.P4FacilityCount&gt;=61,F20073=""),"Incomplete","Complete")</f>
        <v>Complete</v>
      </c>
      <c r="I20073" s="48" t="s">
        <v>24438</v>
      </c>
    </row>
    <row r="20074" spans="2:9" ht="15" customHeight="1" x14ac:dyDescent="0.25">
      <c r="B20074" s="55" t="s">
        <v>283</v>
      </c>
      <c r="C20074" s="46">
        <v>62</v>
      </c>
      <c r="D20074" s="69" t="s">
        <v>29420</v>
      </c>
      <c r="E20074" s="51"/>
      <c r="F20074" s="114" t="str">
        <f>IF(INDEX(I.Facility.P4IDNumber,62)="","",INDEX(I.Facility.P4IDNumber,62))</f>
        <v/>
      </c>
      <c r="G20074" s="51"/>
      <c r="H20074" s="46" t="str">
        <f>IF(AND(I.Developer.P4=TRUE,I.Facility.P4FacilityCount&gt;=62,F20074=""),"Incomplete","Complete")</f>
        <v>Complete</v>
      </c>
      <c r="I20074" s="48" t="s">
        <v>24439</v>
      </c>
    </row>
    <row r="20075" spans="2:9" ht="15" customHeight="1" x14ac:dyDescent="0.25">
      <c r="B20075" s="55" t="s">
        <v>283</v>
      </c>
      <c r="C20075" s="46">
        <v>63</v>
      </c>
      <c r="D20075" s="69" t="s">
        <v>29420</v>
      </c>
      <c r="E20075" s="51"/>
      <c r="F20075" s="114" t="str">
        <f>IF(INDEX(I.Facility.P4IDNumber,63)="","",INDEX(I.Facility.P4IDNumber,63))</f>
        <v/>
      </c>
      <c r="G20075" s="51"/>
      <c r="H20075" s="46" t="str">
        <f>IF(AND(I.Developer.P4=TRUE,I.Facility.P4FacilityCount&gt;=63,F20075=""),"Incomplete","Complete")</f>
        <v>Complete</v>
      </c>
      <c r="I20075" s="48" t="s">
        <v>24440</v>
      </c>
    </row>
    <row r="20076" spans="2:9" ht="15" customHeight="1" x14ac:dyDescent="0.25">
      <c r="B20076" s="55" t="s">
        <v>283</v>
      </c>
      <c r="C20076" s="46">
        <v>64</v>
      </c>
      <c r="D20076" s="69" t="s">
        <v>29420</v>
      </c>
      <c r="E20076" s="51"/>
      <c r="F20076" s="114" t="str">
        <f>IF(INDEX(I.Facility.P4IDNumber,64)="","",INDEX(I.Facility.P4IDNumber,64))</f>
        <v/>
      </c>
      <c r="G20076" s="51"/>
      <c r="H20076" s="46" t="str">
        <f>IF(AND(I.Developer.P4=TRUE,I.Facility.P4FacilityCount&gt;=64,F20076=""),"Incomplete","Complete")</f>
        <v>Complete</v>
      </c>
      <c r="I20076" s="48" t="s">
        <v>24441</v>
      </c>
    </row>
    <row r="20077" spans="2:9" ht="15" customHeight="1" x14ac:dyDescent="0.25">
      <c r="B20077" s="55" t="s">
        <v>283</v>
      </c>
      <c r="C20077" s="46">
        <v>65</v>
      </c>
      <c r="D20077" s="69" t="s">
        <v>29420</v>
      </c>
      <c r="E20077" s="51"/>
      <c r="F20077" s="114" t="str">
        <f>IF(INDEX(I.Facility.P4IDNumber,65)="","",INDEX(I.Facility.P4IDNumber,65))</f>
        <v/>
      </c>
      <c r="G20077" s="51"/>
      <c r="H20077" s="46" t="str">
        <f>IF(AND(I.Developer.P4=TRUE,I.Facility.P4FacilityCount&gt;=65,F20077=""),"Incomplete","Complete")</f>
        <v>Complete</v>
      </c>
      <c r="I20077" s="48" t="s">
        <v>24442</v>
      </c>
    </row>
    <row r="20078" spans="2:9" ht="15" customHeight="1" x14ac:dyDescent="0.25">
      <c r="B20078" s="55" t="s">
        <v>283</v>
      </c>
      <c r="C20078" s="46">
        <v>66</v>
      </c>
      <c r="D20078" s="69" t="s">
        <v>29420</v>
      </c>
      <c r="E20078" s="51"/>
      <c r="F20078" s="114" t="str">
        <f>IF(INDEX(I.Facility.P4IDNumber,66)="","",INDEX(I.Facility.P4IDNumber,66))</f>
        <v/>
      </c>
      <c r="G20078" s="51"/>
      <c r="H20078" s="46" t="str">
        <f>IF(AND(I.Developer.P4=TRUE,I.Facility.P4FacilityCount&gt;=66,F20078=""),"Incomplete","Complete")</f>
        <v>Complete</v>
      </c>
      <c r="I20078" s="48" t="s">
        <v>24443</v>
      </c>
    </row>
    <row r="20079" spans="2:9" ht="15" customHeight="1" x14ac:dyDescent="0.25">
      <c r="B20079" s="55" t="s">
        <v>283</v>
      </c>
      <c r="C20079" s="46">
        <v>67</v>
      </c>
      <c r="D20079" s="69" t="s">
        <v>29420</v>
      </c>
      <c r="E20079" s="51"/>
      <c r="F20079" s="114" t="str">
        <f>IF(INDEX(I.Facility.P4IDNumber,67)="","",INDEX(I.Facility.P4IDNumber,67))</f>
        <v/>
      </c>
      <c r="G20079" s="51"/>
      <c r="H20079" s="46" t="str">
        <f>IF(AND(I.Developer.P4=TRUE,I.Facility.P4FacilityCount&gt;=67,F20079=""),"Incomplete","Complete")</f>
        <v>Complete</v>
      </c>
      <c r="I20079" s="48" t="s">
        <v>24444</v>
      </c>
    </row>
    <row r="20080" spans="2:9" ht="15" customHeight="1" x14ac:dyDescent="0.25">
      <c r="B20080" s="55" t="s">
        <v>283</v>
      </c>
      <c r="C20080" s="46">
        <v>68</v>
      </c>
      <c r="D20080" s="69" t="s">
        <v>29420</v>
      </c>
      <c r="E20080" s="51"/>
      <c r="F20080" s="114" t="str">
        <f>IF(INDEX(I.Facility.P4IDNumber,68)="","",INDEX(I.Facility.P4IDNumber,68))</f>
        <v/>
      </c>
      <c r="G20080" s="51"/>
      <c r="H20080" s="46" t="str">
        <f>IF(AND(I.Developer.P4=TRUE,I.Facility.P4FacilityCount&gt;=68,F20080=""),"Incomplete","Complete")</f>
        <v>Complete</v>
      </c>
      <c r="I20080" s="48" t="s">
        <v>24445</v>
      </c>
    </row>
    <row r="20081" spans="2:9" ht="15" customHeight="1" x14ac:dyDescent="0.25">
      <c r="B20081" s="55" t="s">
        <v>283</v>
      </c>
      <c r="C20081" s="46">
        <v>69</v>
      </c>
      <c r="D20081" s="69" t="s">
        <v>29420</v>
      </c>
      <c r="E20081" s="51"/>
      <c r="F20081" s="114" t="str">
        <f>IF(INDEX(I.Facility.P4IDNumber,69)="","",INDEX(I.Facility.P4IDNumber,69))</f>
        <v/>
      </c>
      <c r="G20081" s="51"/>
      <c r="H20081" s="46" t="str">
        <f>IF(AND(I.Developer.P4=TRUE,I.Facility.P4FacilityCount&gt;=69,F20081=""),"Incomplete","Complete")</f>
        <v>Complete</v>
      </c>
      <c r="I20081" s="48" t="s">
        <v>24446</v>
      </c>
    </row>
    <row r="20082" spans="2:9" ht="15" customHeight="1" x14ac:dyDescent="0.25">
      <c r="B20082" s="55" t="s">
        <v>283</v>
      </c>
      <c r="C20082" s="46">
        <v>70</v>
      </c>
      <c r="D20082" s="69" t="s">
        <v>29420</v>
      </c>
      <c r="E20082" s="51"/>
      <c r="F20082" s="114" t="str">
        <f>IF(INDEX(I.Facility.P4IDNumber,70)="","",INDEX(I.Facility.P4IDNumber,70))</f>
        <v/>
      </c>
      <c r="G20082" s="51"/>
      <c r="H20082" s="46" t="str">
        <f>IF(AND(I.Developer.P4=TRUE,I.Facility.P4FacilityCount&gt;=70,F20082=""),"Incomplete","Complete")</f>
        <v>Complete</v>
      </c>
      <c r="I20082" s="48" t="s">
        <v>24447</v>
      </c>
    </row>
    <row r="20083" spans="2:9" ht="15" customHeight="1" x14ac:dyDescent="0.25">
      <c r="B20083" s="55" t="s">
        <v>283</v>
      </c>
      <c r="C20083" s="46">
        <v>71</v>
      </c>
      <c r="D20083" s="69" t="s">
        <v>29420</v>
      </c>
      <c r="E20083" s="51"/>
      <c r="F20083" s="114" t="str">
        <f>IF(INDEX(I.Facility.P4IDNumber,71)="","",INDEX(I.Facility.P4IDNumber,71))</f>
        <v/>
      </c>
      <c r="G20083" s="51"/>
      <c r="H20083" s="46" t="str">
        <f>IF(AND(I.Developer.P4=TRUE,I.Facility.P4FacilityCount&gt;=71,F20083=""),"Incomplete","Complete")</f>
        <v>Complete</v>
      </c>
      <c r="I20083" s="48" t="s">
        <v>24448</v>
      </c>
    </row>
    <row r="20084" spans="2:9" ht="15" customHeight="1" x14ac:dyDescent="0.25">
      <c r="B20084" s="55" t="s">
        <v>283</v>
      </c>
      <c r="C20084" s="46">
        <v>72</v>
      </c>
      <c r="D20084" s="69" t="s">
        <v>29420</v>
      </c>
      <c r="E20084" s="51"/>
      <c r="F20084" s="114" t="str">
        <f>IF(INDEX(I.Facility.P4IDNumber,72)="","",INDEX(I.Facility.P4IDNumber,72))</f>
        <v/>
      </c>
      <c r="G20084" s="51"/>
      <c r="H20084" s="46" t="str">
        <f>IF(AND(I.Developer.P4=TRUE,I.Facility.P4FacilityCount&gt;=72,F20084=""),"Incomplete","Complete")</f>
        <v>Complete</v>
      </c>
      <c r="I20084" s="48" t="s">
        <v>24449</v>
      </c>
    </row>
    <row r="20085" spans="2:9" ht="15" customHeight="1" x14ac:dyDescent="0.25">
      <c r="B20085" s="55" t="s">
        <v>283</v>
      </c>
      <c r="C20085" s="46">
        <v>73</v>
      </c>
      <c r="D20085" s="69" t="s">
        <v>29420</v>
      </c>
      <c r="E20085" s="51"/>
      <c r="F20085" s="114" t="str">
        <f>IF(INDEX(I.Facility.P4IDNumber,73)="","",INDEX(I.Facility.P4IDNumber,73))</f>
        <v/>
      </c>
      <c r="G20085" s="51"/>
      <c r="H20085" s="46" t="str">
        <f>IF(AND(I.Developer.P4=TRUE,I.Facility.P4FacilityCount&gt;=73,F20085=""),"Incomplete","Complete")</f>
        <v>Complete</v>
      </c>
      <c r="I20085" s="48" t="s">
        <v>24450</v>
      </c>
    </row>
    <row r="20086" spans="2:9" ht="15" customHeight="1" x14ac:dyDescent="0.25">
      <c r="B20086" s="55" t="s">
        <v>283</v>
      </c>
      <c r="C20086" s="46">
        <v>74</v>
      </c>
      <c r="D20086" s="69" t="s">
        <v>29420</v>
      </c>
      <c r="E20086" s="51"/>
      <c r="F20086" s="114" t="str">
        <f>IF(INDEX(I.Facility.P4IDNumber,74)="","",INDEX(I.Facility.P4IDNumber,74))</f>
        <v/>
      </c>
      <c r="G20086" s="51"/>
      <c r="H20086" s="46" t="str">
        <f>IF(AND(I.Developer.P4=TRUE,I.Facility.P4FacilityCount&gt;=74,F20086=""),"Incomplete","Complete")</f>
        <v>Complete</v>
      </c>
      <c r="I20086" s="48" t="s">
        <v>24451</v>
      </c>
    </row>
    <row r="20087" spans="2:9" ht="15" customHeight="1" x14ac:dyDescent="0.25">
      <c r="B20087" s="55" t="s">
        <v>283</v>
      </c>
      <c r="C20087" s="46">
        <v>75</v>
      </c>
      <c r="D20087" s="69" t="s">
        <v>29420</v>
      </c>
      <c r="E20087" s="51"/>
      <c r="F20087" s="114" t="str">
        <f>IF(INDEX(I.Facility.P4IDNumber,75)="","",INDEX(I.Facility.P4IDNumber,75))</f>
        <v/>
      </c>
      <c r="G20087" s="51"/>
      <c r="H20087" s="46" t="str">
        <f>IF(AND(I.Developer.P4=TRUE,I.Facility.P4FacilityCount&gt;=75,F20087=""),"Incomplete","Complete")</f>
        <v>Complete</v>
      </c>
      <c r="I20087" s="48" t="s">
        <v>24452</v>
      </c>
    </row>
    <row r="20088" spans="2:9" ht="15" customHeight="1" x14ac:dyDescent="0.25">
      <c r="B20088" s="55" t="s">
        <v>283</v>
      </c>
      <c r="C20088" s="46">
        <v>76</v>
      </c>
      <c r="D20088" s="69" t="s">
        <v>29420</v>
      </c>
      <c r="E20088" s="51"/>
      <c r="F20088" s="114" t="str">
        <f>IF(INDEX(I.Facility.P4IDNumber,76)="","",INDEX(I.Facility.P4IDNumber,76))</f>
        <v/>
      </c>
      <c r="G20088" s="51"/>
      <c r="H20088" s="46" t="str">
        <f>IF(AND(I.Developer.P4=TRUE,I.Facility.P4FacilityCount&gt;=76,F20088=""),"Incomplete","Complete")</f>
        <v>Complete</v>
      </c>
      <c r="I20088" s="48" t="s">
        <v>24453</v>
      </c>
    </row>
    <row r="20089" spans="2:9" ht="15" customHeight="1" x14ac:dyDescent="0.25">
      <c r="B20089" s="55" t="s">
        <v>283</v>
      </c>
      <c r="C20089" s="46">
        <v>77</v>
      </c>
      <c r="D20089" s="69" t="s">
        <v>29420</v>
      </c>
      <c r="E20089" s="51"/>
      <c r="F20089" s="114" t="str">
        <f>IF(INDEX(I.Facility.P4IDNumber,77)="","",INDEX(I.Facility.P4IDNumber,77))</f>
        <v/>
      </c>
      <c r="G20089" s="51"/>
      <c r="H20089" s="46" t="str">
        <f>IF(AND(I.Developer.P4=TRUE,I.Facility.P4FacilityCount&gt;=77,F20089=""),"Incomplete","Complete")</f>
        <v>Complete</v>
      </c>
      <c r="I20089" s="48" t="s">
        <v>24454</v>
      </c>
    </row>
    <row r="20090" spans="2:9" ht="15" customHeight="1" x14ac:dyDescent="0.25">
      <c r="B20090" s="55" t="s">
        <v>283</v>
      </c>
      <c r="C20090" s="46">
        <v>78</v>
      </c>
      <c r="D20090" s="69" t="s">
        <v>29420</v>
      </c>
      <c r="E20090" s="51"/>
      <c r="F20090" s="114" t="str">
        <f>IF(INDEX(I.Facility.P4IDNumber,78)="","",INDEX(I.Facility.P4IDNumber,78))</f>
        <v/>
      </c>
      <c r="G20090" s="51"/>
      <c r="H20090" s="46" t="str">
        <f>IF(AND(I.Developer.P4=TRUE,I.Facility.P4FacilityCount&gt;=78,F20090=""),"Incomplete","Complete")</f>
        <v>Complete</v>
      </c>
      <c r="I20090" s="48" t="s">
        <v>24455</v>
      </c>
    </row>
    <row r="20091" spans="2:9" ht="15" customHeight="1" x14ac:dyDescent="0.25">
      <c r="B20091" s="55" t="s">
        <v>283</v>
      </c>
      <c r="C20091" s="46">
        <v>79</v>
      </c>
      <c r="D20091" s="69" t="s">
        <v>29420</v>
      </c>
      <c r="E20091" s="51"/>
      <c r="F20091" s="114" t="str">
        <f>IF(INDEX(I.Facility.P4IDNumber,79)="","",INDEX(I.Facility.P4IDNumber,79))</f>
        <v/>
      </c>
      <c r="G20091" s="51"/>
      <c r="H20091" s="46" t="str">
        <f>IF(AND(I.Developer.P4=TRUE,I.Facility.P4FacilityCount&gt;=79,F20091=""),"Incomplete","Complete")</f>
        <v>Complete</v>
      </c>
      <c r="I20091" s="48" t="s">
        <v>24456</v>
      </c>
    </row>
    <row r="20092" spans="2:9" ht="15" customHeight="1" x14ac:dyDescent="0.25">
      <c r="B20092" s="55" t="s">
        <v>283</v>
      </c>
      <c r="C20092" s="46">
        <v>80</v>
      </c>
      <c r="D20092" s="69" t="s">
        <v>29420</v>
      </c>
      <c r="E20092" s="51"/>
      <c r="F20092" s="114" t="str">
        <f>IF(INDEX(I.Facility.P4IDNumber,80)="","",INDEX(I.Facility.P4IDNumber,80))</f>
        <v/>
      </c>
      <c r="G20092" s="51"/>
      <c r="H20092" s="46" t="str">
        <f>IF(AND(I.Developer.P4=TRUE,I.Facility.P4FacilityCount&gt;=80,F20092=""),"Incomplete","Complete")</f>
        <v>Complete</v>
      </c>
      <c r="I20092" s="48" t="s">
        <v>24457</v>
      </c>
    </row>
    <row r="20093" spans="2:9" ht="15" customHeight="1" x14ac:dyDescent="0.25">
      <c r="B20093" s="55" t="s">
        <v>283</v>
      </c>
      <c r="C20093" s="46">
        <v>81</v>
      </c>
      <c r="D20093" s="69" t="s">
        <v>29420</v>
      </c>
      <c r="E20093" s="51"/>
      <c r="F20093" s="114" t="str">
        <f>IF(INDEX(I.Facility.P4IDNumber,81)="","",INDEX(I.Facility.P4IDNumber,81))</f>
        <v/>
      </c>
      <c r="G20093" s="51"/>
      <c r="H20093" s="46" t="str">
        <f>IF(AND(I.Developer.P4=TRUE,I.Facility.P4FacilityCount&gt;=81,F20093=""),"Incomplete","Complete")</f>
        <v>Complete</v>
      </c>
      <c r="I20093" s="48" t="s">
        <v>24458</v>
      </c>
    </row>
    <row r="20094" spans="2:9" ht="15" customHeight="1" x14ac:dyDescent="0.25">
      <c r="B20094" s="55" t="s">
        <v>283</v>
      </c>
      <c r="C20094" s="46">
        <v>82</v>
      </c>
      <c r="D20094" s="69" t="s">
        <v>29420</v>
      </c>
      <c r="E20094" s="51"/>
      <c r="F20094" s="114" t="str">
        <f>IF(INDEX(I.Facility.P4IDNumber,82)="","",INDEX(I.Facility.P4IDNumber,82))</f>
        <v/>
      </c>
      <c r="G20094" s="51"/>
      <c r="H20094" s="46" t="str">
        <f>IF(AND(I.Developer.P4=TRUE,I.Facility.P4FacilityCount&gt;=82,F20094=""),"Incomplete","Complete")</f>
        <v>Complete</v>
      </c>
      <c r="I20094" s="48" t="s">
        <v>24459</v>
      </c>
    </row>
    <row r="20095" spans="2:9" ht="15" customHeight="1" x14ac:dyDescent="0.25">
      <c r="B20095" s="55" t="s">
        <v>283</v>
      </c>
      <c r="C20095" s="46">
        <v>83</v>
      </c>
      <c r="D20095" s="69" t="s">
        <v>29420</v>
      </c>
      <c r="E20095" s="51"/>
      <c r="F20095" s="114" t="str">
        <f>IF(INDEX(I.Facility.P4IDNumber,83)="","",INDEX(I.Facility.P4IDNumber,83))</f>
        <v/>
      </c>
      <c r="G20095" s="51"/>
      <c r="H20095" s="46" t="str">
        <f>IF(AND(I.Developer.P4=TRUE,I.Facility.P4FacilityCount&gt;=83,F20095=""),"Incomplete","Complete")</f>
        <v>Complete</v>
      </c>
      <c r="I20095" s="48" t="s">
        <v>24460</v>
      </c>
    </row>
    <row r="20096" spans="2:9" ht="15" customHeight="1" x14ac:dyDescent="0.25">
      <c r="B20096" s="55" t="s">
        <v>283</v>
      </c>
      <c r="C20096" s="46">
        <v>84</v>
      </c>
      <c r="D20096" s="69" t="s">
        <v>29420</v>
      </c>
      <c r="E20096" s="51"/>
      <c r="F20096" s="114" t="str">
        <f>IF(INDEX(I.Facility.P4IDNumber,84)="","",INDEX(I.Facility.P4IDNumber,84))</f>
        <v/>
      </c>
      <c r="G20096" s="51"/>
      <c r="H20096" s="46" t="str">
        <f>IF(AND(I.Developer.P4=TRUE,I.Facility.P4FacilityCount&gt;=84,F20096=""),"Incomplete","Complete")</f>
        <v>Complete</v>
      </c>
      <c r="I20096" s="48" t="s">
        <v>24461</v>
      </c>
    </row>
    <row r="20097" spans="2:9" ht="15" customHeight="1" x14ac:dyDescent="0.25">
      <c r="B20097" s="55" t="s">
        <v>283</v>
      </c>
      <c r="C20097" s="46">
        <v>85</v>
      </c>
      <c r="D20097" s="69" t="s">
        <v>29420</v>
      </c>
      <c r="E20097" s="51"/>
      <c r="F20097" s="114" t="str">
        <f>IF(INDEX(I.Facility.P4IDNumber,85)="","",INDEX(I.Facility.P4IDNumber,85))</f>
        <v/>
      </c>
      <c r="G20097" s="51"/>
      <c r="H20097" s="46" t="str">
        <f>IF(AND(I.Developer.P4=TRUE,I.Facility.P4FacilityCount&gt;=85,F20097=""),"Incomplete","Complete")</f>
        <v>Complete</v>
      </c>
      <c r="I20097" s="48" t="s">
        <v>24462</v>
      </c>
    </row>
    <row r="20098" spans="2:9" ht="15" customHeight="1" x14ac:dyDescent="0.25">
      <c r="B20098" s="55" t="s">
        <v>283</v>
      </c>
      <c r="C20098" s="46">
        <v>86</v>
      </c>
      <c r="D20098" s="69" t="s">
        <v>29420</v>
      </c>
      <c r="E20098" s="51"/>
      <c r="F20098" s="114" t="str">
        <f>IF(INDEX(I.Facility.P4IDNumber,86)="","",INDEX(I.Facility.P4IDNumber,86))</f>
        <v/>
      </c>
      <c r="G20098" s="51"/>
      <c r="H20098" s="46" t="str">
        <f>IF(AND(I.Developer.P4=TRUE,I.Facility.P4FacilityCount&gt;=86,F20098=""),"Incomplete","Complete")</f>
        <v>Complete</v>
      </c>
      <c r="I20098" s="48" t="s">
        <v>24463</v>
      </c>
    </row>
    <row r="20099" spans="2:9" ht="15" customHeight="1" x14ac:dyDescent="0.25">
      <c r="B20099" s="55" t="s">
        <v>283</v>
      </c>
      <c r="C20099" s="46">
        <v>87</v>
      </c>
      <c r="D20099" s="69" t="s">
        <v>29420</v>
      </c>
      <c r="E20099" s="51"/>
      <c r="F20099" s="114" t="str">
        <f>IF(INDEX(I.Facility.P4IDNumber,87)="","",INDEX(I.Facility.P4IDNumber,87))</f>
        <v/>
      </c>
      <c r="G20099" s="51"/>
      <c r="H20099" s="46" t="str">
        <f>IF(AND(I.Developer.P4=TRUE,I.Facility.P4FacilityCount&gt;=87,F20099=""),"Incomplete","Complete")</f>
        <v>Complete</v>
      </c>
      <c r="I20099" s="48" t="s">
        <v>24464</v>
      </c>
    </row>
    <row r="20100" spans="2:9" ht="15" customHeight="1" x14ac:dyDescent="0.25">
      <c r="B20100" s="55" t="s">
        <v>283</v>
      </c>
      <c r="C20100" s="46">
        <v>88</v>
      </c>
      <c r="D20100" s="69" t="s">
        <v>29420</v>
      </c>
      <c r="E20100" s="51"/>
      <c r="F20100" s="114" t="str">
        <f>IF(INDEX(I.Facility.P4IDNumber,88)="","",INDEX(I.Facility.P4IDNumber,88))</f>
        <v/>
      </c>
      <c r="G20100" s="51"/>
      <c r="H20100" s="46" t="str">
        <f>IF(AND(I.Developer.P4=TRUE,I.Facility.P4FacilityCount&gt;=88,F20100=""),"Incomplete","Complete")</f>
        <v>Complete</v>
      </c>
      <c r="I20100" s="48" t="s">
        <v>24465</v>
      </c>
    </row>
    <row r="20101" spans="2:9" ht="15" customHeight="1" x14ac:dyDescent="0.25">
      <c r="B20101" s="55" t="s">
        <v>283</v>
      </c>
      <c r="C20101" s="46">
        <v>89</v>
      </c>
      <c r="D20101" s="69" t="s">
        <v>29420</v>
      </c>
      <c r="E20101" s="51"/>
      <c r="F20101" s="114" t="str">
        <f>IF(INDEX(I.Facility.P4IDNumber,89)="","",INDEX(I.Facility.P4IDNumber,89))</f>
        <v/>
      </c>
      <c r="G20101" s="51"/>
      <c r="H20101" s="46" t="str">
        <f>IF(AND(I.Developer.P4=TRUE,I.Facility.P4FacilityCount&gt;=89,F20101=""),"Incomplete","Complete")</f>
        <v>Complete</v>
      </c>
      <c r="I20101" s="48" t="s">
        <v>24466</v>
      </c>
    </row>
    <row r="20102" spans="2:9" ht="15" customHeight="1" x14ac:dyDescent="0.25">
      <c r="B20102" s="55" t="s">
        <v>283</v>
      </c>
      <c r="C20102" s="46">
        <v>90</v>
      </c>
      <c r="D20102" s="69" t="s">
        <v>29420</v>
      </c>
      <c r="E20102" s="51"/>
      <c r="F20102" s="114" t="str">
        <f>IF(INDEX(I.Facility.P4IDNumber,90)="","",INDEX(I.Facility.P4IDNumber,90))</f>
        <v/>
      </c>
      <c r="G20102" s="51"/>
      <c r="H20102" s="46" t="str">
        <f>IF(AND(I.Developer.P4=TRUE,I.Facility.P4FacilityCount&gt;=90,F20102=""),"Incomplete","Complete")</f>
        <v>Complete</v>
      </c>
      <c r="I20102" s="48" t="s">
        <v>24467</v>
      </c>
    </row>
    <row r="20103" spans="2:9" ht="15" customHeight="1" x14ac:dyDescent="0.25">
      <c r="B20103" s="55" t="s">
        <v>283</v>
      </c>
      <c r="C20103" s="46">
        <v>91</v>
      </c>
      <c r="D20103" s="69" t="s">
        <v>29420</v>
      </c>
      <c r="E20103" s="51"/>
      <c r="F20103" s="114" t="str">
        <f>IF(INDEX(I.Facility.P4IDNumber,91)="","",INDEX(I.Facility.P4IDNumber,91))</f>
        <v/>
      </c>
      <c r="G20103" s="51"/>
      <c r="H20103" s="46" t="str">
        <f>IF(AND(I.Developer.P4=TRUE,I.Facility.P4FacilityCount&gt;=91,F20103=""),"Incomplete","Complete")</f>
        <v>Complete</v>
      </c>
      <c r="I20103" s="48" t="s">
        <v>24468</v>
      </c>
    </row>
    <row r="20104" spans="2:9" ht="15" customHeight="1" x14ac:dyDescent="0.25">
      <c r="B20104" s="55" t="s">
        <v>283</v>
      </c>
      <c r="C20104" s="46">
        <v>92</v>
      </c>
      <c r="D20104" s="69" t="s">
        <v>29420</v>
      </c>
      <c r="E20104" s="51"/>
      <c r="F20104" s="114" t="str">
        <f>IF(INDEX(I.Facility.P4IDNumber,92)="","",INDEX(I.Facility.P4IDNumber,92))</f>
        <v/>
      </c>
      <c r="G20104" s="51"/>
      <c r="H20104" s="46" t="str">
        <f>IF(AND(I.Developer.P4=TRUE,I.Facility.P4FacilityCount&gt;=92,F20104=""),"Incomplete","Complete")</f>
        <v>Complete</v>
      </c>
      <c r="I20104" s="48" t="s">
        <v>24469</v>
      </c>
    </row>
    <row r="20105" spans="2:9" ht="15" customHeight="1" x14ac:dyDescent="0.25">
      <c r="B20105" s="55" t="s">
        <v>283</v>
      </c>
      <c r="C20105" s="46">
        <v>93</v>
      </c>
      <c r="D20105" s="69" t="s">
        <v>29420</v>
      </c>
      <c r="E20105" s="51"/>
      <c r="F20105" s="114" t="str">
        <f>IF(INDEX(I.Facility.P4IDNumber,93)="","",INDEX(I.Facility.P4IDNumber,93))</f>
        <v/>
      </c>
      <c r="G20105" s="51"/>
      <c r="H20105" s="46" t="str">
        <f>IF(AND(I.Developer.P4=TRUE,I.Facility.P4FacilityCount&gt;=93,F20105=""),"Incomplete","Complete")</f>
        <v>Complete</v>
      </c>
      <c r="I20105" s="48" t="s">
        <v>24470</v>
      </c>
    </row>
    <row r="20106" spans="2:9" ht="15" customHeight="1" x14ac:dyDescent="0.25">
      <c r="B20106" s="55" t="s">
        <v>283</v>
      </c>
      <c r="C20106" s="46">
        <v>94</v>
      </c>
      <c r="D20106" s="69" t="s">
        <v>29420</v>
      </c>
      <c r="E20106" s="51"/>
      <c r="F20106" s="114" t="str">
        <f>IF(INDEX(I.Facility.P4IDNumber,94)="","",INDEX(I.Facility.P4IDNumber,94))</f>
        <v/>
      </c>
      <c r="G20106" s="51"/>
      <c r="H20106" s="46" t="str">
        <f>IF(AND(I.Developer.P4=TRUE,I.Facility.P4FacilityCount&gt;=94,F20106=""),"Incomplete","Complete")</f>
        <v>Complete</v>
      </c>
      <c r="I20106" s="48" t="s">
        <v>24471</v>
      </c>
    </row>
    <row r="20107" spans="2:9" ht="15" customHeight="1" x14ac:dyDescent="0.25">
      <c r="B20107" s="55" t="s">
        <v>283</v>
      </c>
      <c r="C20107" s="46">
        <v>95</v>
      </c>
      <c r="D20107" s="69" t="s">
        <v>29420</v>
      </c>
      <c r="E20107" s="51"/>
      <c r="F20107" s="114" t="str">
        <f>IF(INDEX(I.Facility.P4IDNumber,95)="","",INDEX(I.Facility.P4IDNumber,95))</f>
        <v/>
      </c>
      <c r="G20107" s="51"/>
      <c r="H20107" s="46" t="str">
        <f>IF(AND(I.Developer.P4=TRUE,I.Facility.P4FacilityCount&gt;=95,F20107=""),"Incomplete","Complete")</f>
        <v>Complete</v>
      </c>
      <c r="I20107" s="48" t="s">
        <v>24472</v>
      </c>
    </row>
    <row r="20108" spans="2:9" ht="15" customHeight="1" x14ac:dyDescent="0.25">
      <c r="B20108" s="55" t="s">
        <v>283</v>
      </c>
      <c r="C20108" s="46">
        <v>96</v>
      </c>
      <c r="D20108" s="69" t="s">
        <v>29420</v>
      </c>
      <c r="E20108" s="51"/>
      <c r="F20108" s="114" t="str">
        <f>IF(INDEX(I.Facility.P4IDNumber,96)="","",INDEX(I.Facility.P4IDNumber,96))</f>
        <v/>
      </c>
      <c r="G20108" s="51"/>
      <c r="H20108" s="46" t="str">
        <f>IF(AND(I.Developer.P4=TRUE,I.Facility.P4FacilityCount&gt;=96,F20108=""),"Incomplete","Complete")</f>
        <v>Complete</v>
      </c>
      <c r="I20108" s="48" t="s">
        <v>24473</v>
      </c>
    </row>
    <row r="20109" spans="2:9" ht="15" customHeight="1" x14ac:dyDescent="0.25">
      <c r="B20109" s="55" t="s">
        <v>283</v>
      </c>
      <c r="C20109" s="46">
        <v>97</v>
      </c>
      <c r="D20109" s="69" t="s">
        <v>29420</v>
      </c>
      <c r="E20109" s="51"/>
      <c r="F20109" s="114" t="str">
        <f>IF(INDEX(I.Facility.P4IDNumber,97)="","",INDEX(I.Facility.P4IDNumber,97))</f>
        <v/>
      </c>
      <c r="G20109" s="51"/>
      <c r="H20109" s="46" t="str">
        <f>IF(AND(I.Developer.P4=TRUE,I.Facility.P4FacilityCount&gt;=97,F20109=""),"Incomplete","Complete")</f>
        <v>Complete</v>
      </c>
      <c r="I20109" s="48" t="s">
        <v>24474</v>
      </c>
    </row>
    <row r="20110" spans="2:9" ht="15" customHeight="1" x14ac:dyDescent="0.25">
      <c r="B20110" s="55" t="s">
        <v>283</v>
      </c>
      <c r="C20110" s="46">
        <v>98</v>
      </c>
      <c r="D20110" s="69" t="s">
        <v>29420</v>
      </c>
      <c r="E20110" s="51"/>
      <c r="F20110" s="114" t="str">
        <f>IF(INDEX(I.Facility.P4IDNumber,98)="","",INDEX(I.Facility.P4IDNumber,98))</f>
        <v/>
      </c>
      <c r="G20110" s="51"/>
      <c r="H20110" s="46" t="str">
        <f>IF(AND(I.Developer.P4=TRUE,I.Facility.P4FacilityCount&gt;=98,F20110=""),"Incomplete","Complete")</f>
        <v>Complete</v>
      </c>
      <c r="I20110" s="48" t="s">
        <v>24475</v>
      </c>
    </row>
    <row r="20111" spans="2:9" ht="15" customHeight="1" x14ac:dyDescent="0.25">
      <c r="B20111" s="55" t="s">
        <v>283</v>
      </c>
      <c r="C20111" s="46">
        <v>99</v>
      </c>
      <c r="D20111" s="69" t="s">
        <v>29420</v>
      </c>
      <c r="E20111" s="51"/>
      <c r="F20111" s="114" t="str">
        <f>IF(INDEX(I.Facility.P4IDNumber,99)="","",INDEX(I.Facility.P4IDNumber,99))</f>
        <v/>
      </c>
      <c r="G20111" s="51"/>
      <c r="H20111" s="46" t="str">
        <f>IF(AND(I.Developer.P4=TRUE,I.Facility.P4FacilityCount&gt;=99,F20111=""),"Incomplete","Complete")</f>
        <v>Complete</v>
      </c>
      <c r="I20111" s="48" t="s">
        <v>24476</v>
      </c>
    </row>
    <row r="20112" spans="2:9" ht="15" customHeight="1" x14ac:dyDescent="0.25">
      <c r="B20112" s="55" t="s">
        <v>283</v>
      </c>
      <c r="C20112" s="46">
        <v>100</v>
      </c>
      <c r="D20112" s="69" t="s">
        <v>29420</v>
      </c>
      <c r="E20112" s="51"/>
      <c r="F20112" s="114" t="str">
        <f>IF(INDEX(I.Facility.P4IDNumber,100)="","",INDEX(I.Facility.P4IDNumber,100))</f>
        <v/>
      </c>
      <c r="G20112" s="51"/>
      <c r="H20112" s="46" t="str">
        <f>IF(AND(I.Developer.P4=TRUE,I.Facility.P4FacilityCount&gt;=100,F20112=""),"Incomplete","Complete")</f>
        <v>Complete</v>
      </c>
      <c r="I20112" s="48" t="s">
        <v>24477</v>
      </c>
    </row>
    <row r="20113" spans="2:9" ht="15" customHeight="1" x14ac:dyDescent="0.25">
      <c r="B20113" s="55" t="s">
        <v>283</v>
      </c>
      <c r="C20113" s="46">
        <v>101</v>
      </c>
      <c r="D20113" s="69" t="s">
        <v>29420</v>
      </c>
      <c r="E20113" s="51"/>
      <c r="F20113" s="114" t="str">
        <f>IF(INDEX(I.Facility.P4IDNumber,101)="","",INDEX(I.Facility.P4IDNumber,101))</f>
        <v/>
      </c>
      <c r="G20113" s="51"/>
      <c r="H20113" s="46" t="str">
        <f>IF(AND(I.Developer.P4=TRUE,I.Facility.P4FacilityCount&gt;=101,F20113=""),"Incomplete","Complete")</f>
        <v>Complete</v>
      </c>
      <c r="I20113" s="48" t="s">
        <v>24478</v>
      </c>
    </row>
    <row r="20114" spans="2:9" ht="15" customHeight="1" x14ac:dyDescent="0.25">
      <c r="B20114" s="55" t="s">
        <v>283</v>
      </c>
      <c r="C20114" s="46">
        <v>102</v>
      </c>
      <c r="D20114" s="69" t="s">
        <v>29420</v>
      </c>
      <c r="E20114" s="51"/>
      <c r="F20114" s="114" t="str">
        <f>IF(INDEX(I.Facility.P4IDNumber,102)="","",INDEX(I.Facility.P4IDNumber,102))</f>
        <v/>
      </c>
      <c r="G20114" s="51"/>
      <c r="H20114" s="46" t="str">
        <f>IF(AND(I.Developer.P4=TRUE,I.Facility.P4FacilityCount&gt;=102,F20114=""),"Incomplete","Complete")</f>
        <v>Complete</v>
      </c>
      <c r="I20114" s="48" t="s">
        <v>24479</v>
      </c>
    </row>
    <row r="20115" spans="2:9" ht="15" customHeight="1" x14ac:dyDescent="0.25">
      <c r="B20115" s="55" t="s">
        <v>283</v>
      </c>
      <c r="C20115" s="46">
        <v>103</v>
      </c>
      <c r="D20115" s="69" t="s">
        <v>29420</v>
      </c>
      <c r="E20115" s="51"/>
      <c r="F20115" s="114" t="str">
        <f>IF(INDEX(I.Facility.P4IDNumber,103)="","",INDEX(I.Facility.P4IDNumber,103))</f>
        <v/>
      </c>
      <c r="G20115" s="51"/>
      <c r="H20115" s="46" t="str">
        <f>IF(AND(I.Developer.P4=TRUE,I.Facility.P4FacilityCount&gt;=103,F20115=""),"Incomplete","Complete")</f>
        <v>Complete</v>
      </c>
      <c r="I20115" s="48" t="s">
        <v>24480</v>
      </c>
    </row>
    <row r="20116" spans="2:9" ht="15" customHeight="1" x14ac:dyDescent="0.25">
      <c r="B20116" s="55" t="s">
        <v>283</v>
      </c>
      <c r="C20116" s="46">
        <v>104</v>
      </c>
      <c r="D20116" s="69" t="s">
        <v>29420</v>
      </c>
      <c r="E20116" s="51"/>
      <c r="F20116" s="114" t="str">
        <f>IF(INDEX(I.Facility.P4IDNumber,104)="","",INDEX(I.Facility.P4IDNumber,104))</f>
        <v/>
      </c>
      <c r="G20116" s="51"/>
      <c r="H20116" s="46" t="str">
        <f>IF(AND(I.Developer.P4=TRUE,I.Facility.P4FacilityCount&gt;=104,F20116=""),"Incomplete","Complete")</f>
        <v>Complete</v>
      </c>
      <c r="I20116" s="48" t="s">
        <v>24481</v>
      </c>
    </row>
    <row r="20117" spans="2:9" ht="15" customHeight="1" x14ac:dyDescent="0.25">
      <c r="B20117" s="55" t="s">
        <v>283</v>
      </c>
      <c r="C20117" s="46">
        <v>105</v>
      </c>
      <c r="D20117" s="69" t="s">
        <v>29420</v>
      </c>
      <c r="E20117" s="51"/>
      <c r="F20117" s="114" t="str">
        <f>IF(INDEX(I.Facility.P4IDNumber,105)="","",INDEX(I.Facility.P4IDNumber,105))</f>
        <v/>
      </c>
      <c r="G20117" s="51"/>
      <c r="H20117" s="46" t="str">
        <f>IF(AND(I.Developer.P4=TRUE,I.Facility.P4FacilityCount&gt;=105,F20117=""),"Incomplete","Complete")</f>
        <v>Complete</v>
      </c>
      <c r="I20117" s="48" t="s">
        <v>24482</v>
      </c>
    </row>
    <row r="20118" spans="2:9" ht="15" customHeight="1" x14ac:dyDescent="0.25">
      <c r="B20118" s="55" t="s">
        <v>283</v>
      </c>
      <c r="C20118" s="46">
        <v>106</v>
      </c>
      <c r="D20118" s="69" t="s">
        <v>29420</v>
      </c>
      <c r="E20118" s="51"/>
      <c r="F20118" s="114" t="str">
        <f>IF(INDEX(I.Facility.P4IDNumber,106)="","",INDEX(I.Facility.P4IDNumber,106))</f>
        <v/>
      </c>
      <c r="G20118" s="51"/>
      <c r="H20118" s="46" t="str">
        <f>IF(AND(I.Developer.P4=TRUE,I.Facility.P4FacilityCount&gt;=106,F20118=""),"Incomplete","Complete")</f>
        <v>Complete</v>
      </c>
      <c r="I20118" s="48" t="s">
        <v>24483</v>
      </c>
    </row>
    <row r="20119" spans="2:9" ht="15" customHeight="1" x14ac:dyDescent="0.25">
      <c r="B20119" s="55" t="s">
        <v>283</v>
      </c>
      <c r="C20119" s="46">
        <v>107</v>
      </c>
      <c r="D20119" s="69" t="s">
        <v>29420</v>
      </c>
      <c r="E20119" s="51"/>
      <c r="F20119" s="114" t="str">
        <f>IF(INDEX(I.Facility.P4IDNumber,107)="","",INDEX(I.Facility.P4IDNumber,107))</f>
        <v/>
      </c>
      <c r="G20119" s="51"/>
      <c r="H20119" s="46" t="str">
        <f>IF(AND(I.Developer.P4=TRUE,I.Facility.P4FacilityCount&gt;=107,F20119=""),"Incomplete","Complete")</f>
        <v>Complete</v>
      </c>
      <c r="I20119" s="48" t="s">
        <v>24484</v>
      </c>
    </row>
    <row r="20120" spans="2:9" ht="15" customHeight="1" x14ac:dyDescent="0.25">
      <c r="B20120" s="55" t="s">
        <v>283</v>
      </c>
      <c r="C20120" s="46">
        <v>108</v>
      </c>
      <c r="D20120" s="69" t="s">
        <v>29420</v>
      </c>
      <c r="E20120" s="51"/>
      <c r="F20120" s="114" t="str">
        <f>IF(INDEX(I.Facility.P4IDNumber,108)="","",INDEX(I.Facility.P4IDNumber,108))</f>
        <v/>
      </c>
      <c r="G20120" s="51"/>
      <c r="H20120" s="46" t="str">
        <f>IF(AND(I.Developer.P4=TRUE,I.Facility.P4FacilityCount&gt;=108,F20120=""),"Incomplete","Complete")</f>
        <v>Complete</v>
      </c>
      <c r="I20120" s="48" t="s">
        <v>24485</v>
      </c>
    </row>
    <row r="20121" spans="2:9" ht="15" customHeight="1" x14ac:dyDescent="0.25">
      <c r="B20121" s="55" t="s">
        <v>283</v>
      </c>
      <c r="C20121" s="46">
        <v>109</v>
      </c>
      <c r="D20121" s="69" t="s">
        <v>29420</v>
      </c>
      <c r="E20121" s="51"/>
      <c r="F20121" s="114" t="str">
        <f>IF(INDEX(I.Facility.P4IDNumber,109)="","",INDEX(I.Facility.P4IDNumber,109))</f>
        <v/>
      </c>
      <c r="G20121" s="51"/>
      <c r="H20121" s="46" t="str">
        <f>IF(AND(I.Developer.P4=TRUE,I.Facility.P4FacilityCount&gt;=109,F20121=""),"Incomplete","Complete")</f>
        <v>Complete</v>
      </c>
      <c r="I20121" s="48" t="s">
        <v>24486</v>
      </c>
    </row>
    <row r="20122" spans="2:9" ht="15" customHeight="1" x14ac:dyDescent="0.25">
      <c r="B20122" s="55" t="s">
        <v>283</v>
      </c>
      <c r="C20122" s="46">
        <v>110</v>
      </c>
      <c r="D20122" s="69" t="s">
        <v>29420</v>
      </c>
      <c r="E20122" s="51"/>
      <c r="F20122" s="114" t="str">
        <f>IF(INDEX(I.Facility.P4IDNumber,110)="","",INDEX(I.Facility.P4IDNumber,110))</f>
        <v/>
      </c>
      <c r="G20122" s="51"/>
      <c r="H20122" s="46" t="str">
        <f>IF(AND(I.Developer.P4=TRUE,I.Facility.P4FacilityCount&gt;=110,F20122=""),"Incomplete","Complete")</f>
        <v>Complete</v>
      </c>
      <c r="I20122" s="48" t="s">
        <v>24487</v>
      </c>
    </row>
    <row r="20123" spans="2:9" ht="15" customHeight="1" x14ac:dyDescent="0.25">
      <c r="B20123" s="55" t="s">
        <v>283</v>
      </c>
      <c r="C20123" s="46">
        <v>111</v>
      </c>
      <c r="D20123" s="69" t="s">
        <v>29420</v>
      </c>
      <c r="E20123" s="51"/>
      <c r="F20123" s="114" t="str">
        <f>IF(INDEX(I.Facility.P4IDNumber,111)="","",INDEX(I.Facility.P4IDNumber,111))</f>
        <v/>
      </c>
      <c r="G20123" s="51"/>
      <c r="H20123" s="46" t="str">
        <f>IF(AND(I.Developer.P4=TRUE,I.Facility.P4FacilityCount&gt;=111,F20123=""),"Incomplete","Complete")</f>
        <v>Complete</v>
      </c>
      <c r="I20123" s="48" t="s">
        <v>24488</v>
      </c>
    </row>
    <row r="20124" spans="2:9" ht="15" customHeight="1" x14ac:dyDescent="0.25">
      <c r="B20124" s="55" t="s">
        <v>283</v>
      </c>
      <c r="C20124" s="46">
        <v>112</v>
      </c>
      <c r="D20124" s="69" t="s">
        <v>29420</v>
      </c>
      <c r="E20124" s="51"/>
      <c r="F20124" s="114" t="str">
        <f>IF(INDEX(I.Facility.P4IDNumber,112)="","",INDEX(I.Facility.P4IDNumber,112))</f>
        <v/>
      </c>
      <c r="G20124" s="51"/>
      <c r="H20124" s="46" t="str">
        <f>IF(AND(I.Developer.P4=TRUE,I.Facility.P4FacilityCount&gt;=112,F20124=""),"Incomplete","Complete")</f>
        <v>Complete</v>
      </c>
      <c r="I20124" s="48" t="s">
        <v>24489</v>
      </c>
    </row>
    <row r="20125" spans="2:9" ht="15" customHeight="1" x14ac:dyDescent="0.25">
      <c r="B20125" s="55" t="s">
        <v>283</v>
      </c>
      <c r="C20125" s="46">
        <v>113</v>
      </c>
      <c r="D20125" s="69" t="s">
        <v>29420</v>
      </c>
      <c r="E20125" s="51"/>
      <c r="F20125" s="114" t="str">
        <f>IF(INDEX(I.Facility.P4IDNumber,113)="","",INDEX(I.Facility.P4IDNumber,113))</f>
        <v/>
      </c>
      <c r="G20125" s="51"/>
      <c r="H20125" s="46" t="str">
        <f>IF(AND(I.Developer.P4=TRUE,I.Facility.P4FacilityCount&gt;=113,F20125=""),"Incomplete","Complete")</f>
        <v>Complete</v>
      </c>
      <c r="I20125" s="48" t="s">
        <v>24490</v>
      </c>
    </row>
    <row r="20126" spans="2:9" ht="15" customHeight="1" x14ac:dyDescent="0.25">
      <c r="B20126" s="55" t="s">
        <v>283</v>
      </c>
      <c r="C20126" s="46">
        <v>114</v>
      </c>
      <c r="D20126" s="69" t="s">
        <v>29420</v>
      </c>
      <c r="E20126" s="51"/>
      <c r="F20126" s="114" t="str">
        <f>IF(INDEX(I.Facility.P4IDNumber,114)="","",INDEX(I.Facility.P4IDNumber,114))</f>
        <v/>
      </c>
      <c r="G20126" s="51"/>
      <c r="H20126" s="46" t="str">
        <f>IF(AND(I.Developer.P4=TRUE,I.Facility.P4FacilityCount&gt;=114,F20126=""),"Incomplete","Complete")</f>
        <v>Complete</v>
      </c>
      <c r="I20126" s="48" t="s">
        <v>24491</v>
      </c>
    </row>
    <row r="20127" spans="2:9" ht="15" customHeight="1" x14ac:dyDescent="0.25">
      <c r="B20127" s="55" t="s">
        <v>283</v>
      </c>
      <c r="C20127" s="46">
        <v>115</v>
      </c>
      <c r="D20127" s="69" t="s">
        <v>29420</v>
      </c>
      <c r="E20127" s="51"/>
      <c r="F20127" s="114" t="str">
        <f>IF(INDEX(I.Facility.P4IDNumber,115)="","",INDEX(I.Facility.P4IDNumber,115))</f>
        <v/>
      </c>
      <c r="G20127" s="51"/>
      <c r="H20127" s="46" t="str">
        <f>IF(AND(I.Developer.P4=TRUE,I.Facility.P4FacilityCount&gt;=115,F20127=""),"Incomplete","Complete")</f>
        <v>Complete</v>
      </c>
      <c r="I20127" s="48" t="s">
        <v>24492</v>
      </c>
    </row>
    <row r="20128" spans="2:9" ht="15" customHeight="1" x14ac:dyDescent="0.25">
      <c r="B20128" s="55" t="s">
        <v>283</v>
      </c>
      <c r="C20128" s="46">
        <v>116</v>
      </c>
      <c r="D20128" s="69" t="s">
        <v>29420</v>
      </c>
      <c r="E20128" s="51"/>
      <c r="F20128" s="114" t="str">
        <f>IF(INDEX(I.Facility.P4IDNumber,116)="","",INDEX(I.Facility.P4IDNumber,116))</f>
        <v/>
      </c>
      <c r="G20128" s="51"/>
      <c r="H20128" s="46" t="str">
        <f>IF(AND(I.Developer.P4=TRUE,I.Facility.P4FacilityCount&gt;=116,F20128=""),"Incomplete","Complete")</f>
        <v>Complete</v>
      </c>
      <c r="I20128" s="48" t="s">
        <v>24493</v>
      </c>
    </row>
    <row r="20129" spans="2:9" ht="15" customHeight="1" x14ac:dyDescent="0.25">
      <c r="B20129" s="55" t="s">
        <v>283</v>
      </c>
      <c r="C20129" s="46">
        <v>117</v>
      </c>
      <c r="D20129" s="69" t="s">
        <v>29420</v>
      </c>
      <c r="E20129" s="51"/>
      <c r="F20129" s="114" t="str">
        <f>IF(INDEX(I.Facility.P4IDNumber,117)="","",INDEX(I.Facility.P4IDNumber,117))</f>
        <v/>
      </c>
      <c r="G20129" s="51"/>
      <c r="H20129" s="46" t="str">
        <f>IF(AND(I.Developer.P4=TRUE,I.Facility.P4FacilityCount&gt;=117,F20129=""),"Incomplete","Complete")</f>
        <v>Complete</v>
      </c>
      <c r="I20129" s="48" t="s">
        <v>24494</v>
      </c>
    </row>
    <row r="20130" spans="2:9" ht="15" customHeight="1" x14ac:dyDescent="0.25">
      <c r="B20130" s="55" t="s">
        <v>283</v>
      </c>
      <c r="C20130" s="46">
        <v>118</v>
      </c>
      <c r="D20130" s="69" t="s">
        <v>29420</v>
      </c>
      <c r="E20130" s="51"/>
      <c r="F20130" s="114" t="str">
        <f>IF(INDEX(I.Facility.P4IDNumber,118)="","",INDEX(I.Facility.P4IDNumber,118))</f>
        <v/>
      </c>
      <c r="G20130" s="51"/>
      <c r="H20130" s="46" t="str">
        <f>IF(AND(I.Developer.P4=TRUE,I.Facility.P4FacilityCount&gt;=118,F20130=""),"Incomplete","Complete")</f>
        <v>Complete</v>
      </c>
      <c r="I20130" s="48" t="s">
        <v>24495</v>
      </c>
    </row>
    <row r="20131" spans="2:9" ht="15" customHeight="1" x14ac:dyDescent="0.25">
      <c r="B20131" s="55" t="s">
        <v>283</v>
      </c>
      <c r="C20131" s="46">
        <v>119</v>
      </c>
      <c r="D20131" s="69" t="s">
        <v>29420</v>
      </c>
      <c r="E20131" s="51"/>
      <c r="F20131" s="114" t="str">
        <f>IF(INDEX(I.Facility.P4IDNumber,119)="","",INDEX(I.Facility.P4IDNumber,119))</f>
        <v/>
      </c>
      <c r="G20131" s="51"/>
      <c r="H20131" s="46" t="str">
        <f>IF(AND(I.Developer.P4=TRUE,I.Facility.P4FacilityCount&gt;=119,F20131=""),"Incomplete","Complete")</f>
        <v>Complete</v>
      </c>
      <c r="I20131" s="48" t="s">
        <v>24496</v>
      </c>
    </row>
    <row r="20132" spans="2:9" ht="15" customHeight="1" x14ac:dyDescent="0.25">
      <c r="B20132" s="55" t="s">
        <v>283</v>
      </c>
      <c r="C20132" s="46">
        <v>120</v>
      </c>
      <c r="D20132" s="69" t="s">
        <v>29420</v>
      </c>
      <c r="E20132" s="51"/>
      <c r="F20132" s="114" t="str">
        <f>IF(INDEX(I.Facility.P4IDNumber,120)="","",INDEX(I.Facility.P4IDNumber,120))</f>
        <v/>
      </c>
      <c r="G20132" s="51"/>
      <c r="H20132" s="46" t="str">
        <f>IF(AND(I.Developer.P4=TRUE,I.Facility.P4FacilityCount&gt;=120,F20132=""),"Incomplete","Complete")</f>
        <v>Complete</v>
      </c>
      <c r="I20132" s="48" t="s">
        <v>24497</v>
      </c>
    </row>
    <row r="20133" spans="2:9" ht="15" customHeight="1" x14ac:dyDescent="0.25">
      <c r="B20133" s="55" t="s">
        <v>283</v>
      </c>
      <c r="C20133" s="46">
        <v>121</v>
      </c>
      <c r="D20133" s="69" t="s">
        <v>29420</v>
      </c>
      <c r="E20133" s="51"/>
      <c r="F20133" s="114" t="str">
        <f>IF(INDEX(I.Facility.P4IDNumber,121)="","",INDEX(I.Facility.P4IDNumber,121))</f>
        <v/>
      </c>
      <c r="G20133" s="51"/>
      <c r="H20133" s="46" t="str">
        <f>IF(AND(I.Developer.P4=TRUE,I.Facility.P4FacilityCount&gt;=121,F20133=""),"Incomplete","Complete")</f>
        <v>Complete</v>
      </c>
      <c r="I20133" s="48" t="s">
        <v>24498</v>
      </c>
    </row>
    <row r="20134" spans="2:9" ht="15" customHeight="1" x14ac:dyDescent="0.25">
      <c r="B20134" s="55" t="s">
        <v>283</v>
      </c>
      <c r="C20134" s="46">
        <v>122</v>
      </c>
      <c r="D20134" s="69" t="s">
        <v>29420</v>
      </c>
      <c r="E20134" s="51"/>
      <c r="F20134" s="114" t="str">
        <f>IF(INDEX(I.Facility.P4IDNumber,122)="","",INDEX(I.Facility.P4IDNumber,122))</f>
        <v/>
      </c>
      <c r="G20134" s="51"/>
      <c r="H20134" s="46" t="str">
        <f>IF(AND(I.Developer.P4=TRUE,I.Facility.P4FacilityCount&gt;=122,F20134=""),"Incomplete","Complete")</f>
        <v>Complete</v>
      </c>
      <c r="I20134" s="48" t="s">
        <v>24499</v>
      </c>
    </row>
    <row r="20135" spans="2:9" ht="15" customHeight="1" x14ac:dyDescent="0.25">
      <c r="B20135" s="55" t="s">
        <v>283</v>
      </c>
      <c r="C20135" s="46">
        <v>123</v>
      </c>
      <c r="D20135" s="69" t="s">
        <v>29420</v>
      </c>
      <c r="E20135" s="51"/>
      <c r="F20135" s="114" t="str">
        <f>IF(INDEX(I.Facility.P4IDNumber,123)="","",INDEX(I.Facility.P4IDNumber,123))</f>
        <v/>
      </c>
      <c r="G20135" s="51"/>
      <c r="H20135" s="46" t="str">
        <f>IF(AND(I.Developer.P4=TRUE,I.Facility.P4FacilityCount&gt;=123,F20135=""),"Incomplete","Complete")</f>
        <v>Complete</v>
      </c>
      <c r="I20135" s="48" t="s">
        <v>24500</v>
      </c>
    </row>
    <row r="20136" spans="2:9" ht="15" customHeight="1" x14ac:dyDescent="0.25">
      <c r="B20136" s="55" t="s">
        <v>283</v>
      </c>
      <c r="C20136" s="46">
        <v>124</v>
      </c>
      <c r="D20136" s="69" t="s">
        <v>29420</v>
      </c>
      <c r="E20136" s="51"/>
      <c r="F20136" s="114" t="str">
        <f>IF(INDEX(I.Facility.P4IDNumber,124)="","",INDEX(I.Facility.P4IDNumber,124))</f>
        <v/>
      </c>
      <c r="G20136" s="51"/>
      <c r="H20136" s="46" t="str">
        <f>IF(AND(I.Developer.P4=TRUE,I.Facility.P4FacilityCount&gt;=124,F20136=""),"Incomplete","Complete")</f>
        <v>Complete</v>
      </c>
      <c r="I20136" s="48" t="s">
        <v>24501</v>
      </c>
    </row>
    <row r="20137" spans="2:9" ht="15" customHeight="1" x14ac:dyDescent="0.25">
      <c r="B20137" s="55" t="s">
        <v>283</v>
      </c>
      <c r="C20137" s="46">
        <v>125</v>
      </c>
      <c r="D20137" s="69" t="s">
        <v>29420</v>
      </c>
      <c r="E20137" s="51"/>
      <c r="F20137" s="114" t="str">
        <f>IF(INDEX(I.Facility.P4IDNumber,125)="","",INDEX(I.Facility.P4IDNumber,125))</f>
        <v/>
      </c>
      <c r="G20137" s="51"/>
      <c r="H20137" s="46" t="str">
        <f>IF(AND(I.Developer.P4=TRUE,I.Facility.P4FacilityCount&gt;=125,F20137=""),"Incomplete","Complete")</f>
        <v>Complete</v>
      </c>
      <c r="I20137" s="48" t="s">
        <v>24502</v>
      </c>
    </row>
    <row r="20138" spans="2:9" ht="15" customHeight="1" x14ac:dyDescent="0.25">
      <c r="B20138" s="55" t="s">
        <v>283</v>
      </c>
      <c r="C20138" s="46">
        <v>126</v>
      </c>
      <c r="D20138" s="69" t="s">
        <v>29420</v>
      </c>
      <c r="E20138" s="51"/>
      <c r="F20138" s="114" t="str">
        <f>IF(INDEX(I.Facility.P4IDNumber,126)="","",INDEX(I.Facility.P4IDNumber,126))</f>
        <v/>
      </c>
      <c r="G20138" s="51"/>
      <c r="H20138" s="46" t="str">
        <f>IF(AND(I.Developer.P4=TRUE,I.Facility.P4FacilityCount&gt;=126,F20138=""),"Incomplete","Complete")</f>
        <v>Complete</v>
      </c>
      <c r="I20138" s="48" t="s">
        <v>24503</v>
      </c>
    </row>
    <row r="20139" spans="2:9" ht="15" customHeight="1" x14ac:dyDescent="0.25">
      <c r="B20139" s="55" t="s">
        <v>283</v>
      </c>
      <c r="C20139" s="46">
        <v>127</v>
      </c>
      <c r="D20139" s="69" t="s">
        <v>29420</v>
      </c>
      <c r="E20139" s="51"/>
      <c r="F20139" s="114" t="str">
        <f>IF(INDEX(I.Facility.P4IDNumber,127)="","",INDEX(I.Facility.P4IDNumber,127))</f>
        <v/>
      </c>
      <c r="G20139" s="51"/>
      <c r="H20139" s="46" t="str">
        <f>IF(AND(I.Developer.P4=TRUE,I.Facility.P4FacilityCount&gt;=127,F20139=""),"Incomplete","Complete")</f>
        <v>Complete</v>
      </c>
      <c r="I20139" s="48" t="s">
        <v>24504</v>
      </c>
    </row>
    <row r="20140" spans="2:9" ht="15" customHeight="1" x14ac:dyDescent="0.25">
      <c r="B20140" s="55" t="s">
        <v>283</v>
      </c>
      <c r="C20140" s="46">
        <v>128</v>
      </c>
      <c r="D20140" s="69" t="s">
        <v>29420</v>
      </c>
      <c r="E20140" s="51"/>
      <c r="F20140" s="114" t="str">
        <f>IF(INDEX(I.Facility.P4IDNumber,128)="","",INDEX(I.Facility.P4IDNumber,128))</f>
        <v/>
      </c>
      <c r="G20140" s="51"/>
      <c r="H20140" s="46" t="str">
        <f>IF(AND(I.Developer.P4=TRUE,I.Facility.P4FacilityCount&gt;=128,F20140=""),"Incomplete","Complete")</f>
        <v>Complete</v>
      </c>
      <c r="I20140" s="48" t="s">
        <v>24505</v>
      </c>
    </row>
    <row r="20141" spans="2:9" ht="15" customHeight="1" x14ac:dyDescent="0.25">
      <c r="B20141" s="55" t="s">
        <v>283</v>
      </c>
      <c r="C20141" s="46">
        <v>129</v>
      </c>
      <c r="D20141" s="69" t="s">
        <v>29420</v>
      </c>
      <c r="E20141" s="51"/>
      <c r="F20141" s="114" t="str">
        <f>IF(INDEX(I.Facility.P4IDNumber,129)="","",INDEX(I.Facility.P4IDNumber,129))</f>
        <v/>
      </c>
      <c r="G20141" s="51"/>
      <c r="H20141" s="46" t="str">
        <f>IF(AND(I.Developer.P4=TRUE,I.Facility.P4FacilityCount&gt;=129,F20141=""),"Incomplete","Complete")</f>
        <v>Complete</v>
      </c>
      <c r="I20141" s="48" t="s">
        <v>24506</v>
      </c>
    </row>
    <row r="20142" spans="2:9" ht="15" customHeight="1" x14ac:dyDescent="0.25">
      <c r="B20142" s="55" t="s">
        <v>283</v>
      </c>
      <c r="C20142" s="46">
        <v>130</v>
      </c>
      <c r="D20142" s="69" t="s">
        <v>29420</v>
      </c>
      <c r="E20142" s="51"/>
      <c r="F20142" s="114" t="str">
        <f>IF(INDEX(I.Facility.P4IDNumber,130)="","",INDEX(I.Facility.P4IDNumber,130))</f>
        <v/>
      </c>
      <c r="G20142" s="51"/>
      <c r="H20142" s="46" t="str">
        <f>IF(AND(I.Developer.P4=TRUE,I.Facility.P4FacilityCount&gt;=130,F20142=""),"Incomplete","Complete")</f>
        <v>Complete</v>
      </c>
      <c r="I20142" s="48" t="s">
        <v>24507</v>
      </c>
    </row>
    <row r="20143" spans="2:9" ht="15" customHeight="1" x14ac:dyDescent="0.25">
      <c r="B20143" s="55" t="s">
        <v>283</v>
      </c>
      <c r="C20143" s="46">
        <v>131</v>
      </c>
      <c r="D20143" s="69" t="s">
        <v>29420</v>
      </c>
      <c r="E20143" s="51"/>
      <c r="F20143" s="114" t="str">
        <f>IF(INDEX(I.Facility.P4IDNumber,131)="","",INDEX(I.Facility.P4IDNumber,131))</f>
        <v/>
      </c>
      <c r="G20143" s="51"/>
      <c r="H20143" s="46" t="str">
        <f>IF(AND(I.Developer.P4=TRUE,I.Facility.P4FacilityCount&gt;=131,F20143=""),"Incomplete","Complete")</f>
        <v>Complete</v>
      </c>
      <c r="I20143" s="48" t="s">
        <v>24508</v>
      </c>
    </row>
    <row r="20144" spans="2:9" ht="15" customHeight="1" x14ac:dyDescent="0.25">
      <c r="B20144" s="55" t="s">
        <v>283</v>
      </c>
      <c r="C20144" s="46">
        <v>132</v>
      </c>
      <c r="D20144" s="69" t="s">
        <v>29420</v>
      </c>
      <c r="E20144" s="51"/>
      <c r="F20144" s="114" t="str">
        <f>IF(INDEX(I.Facility.P4IDNumber,132)="","",INDEX(I.Facility.P4IDNumber,132))</f>
        <v/>
      </c>
      <c r="G20144" s="51"/>
      <c r="H20144" s="46" t="str">
        <f>IF(AND(I.Developer.P4=TRUE,I.Facility.P4FacilityCount&gt;=132,F20144=""),"Incomplete","Complete")</f>
        <v>Complete</v>
      </c>
      <c r="I20144" s="48" t="s">
        <v>24509</v>
      </c>
    </row>
    <row r="20145" spans="2:9" ht="15" customHeight="1" x14ac:dyDescent="0.25">
      <c r="B20145" s="55" t="s">
        <v>283</v>
      </c>
      <c r="C20145" s="46">
        <v>133</v>
      </c>
      <c r="D20145" s="69" t="s">
        <v>29420</v>
      </c>
      <c r="E20145" s="51"/>
      <c r="F20145" s="114" t="str">
        <f>IF(INDEX(I.Facility.P4IDNumber,133)="","",INDEX(I.Facility.P4IDNumber,133))</f>
        <v/>
      </c>
      <c r="G20145" s="51"/>
      <c r="H20145" s="46" t="str">
        <f>IF(AND(I.Developer.P4=TRUE,I.Facility.P4FacilityCount&gt;=133,F20145=""),"Incomplete","Complete")</f>
        <v>Complete</v>
      </c>
      <c r="I20145" s="48" t="s">
        <v>24510</v>
      </c>
    </row>
    <row r="20146" spans="2:9" ht="15" customHeight="1" x14ac:dyDescent="0.25">
      <c r="B20146" s="55" t="s">
        <v>283</v>
      </c>
      <c r="C20146" s="46">
        <v>134</v>
      </c>
      <c r="D20146" s="69" t="s">
        <v>29420</v>
      </c>
      <c r="E20146" s="51"/>
      <c r="F20146" s="114" t="str">
        <f>IF(INDEX(I.Facility.P4IDNumber,134)="","",INDEX(I.Facility.P4IDNumber,134))</f>
        <v/>
      </c>
      <c r="G20146" s="51"/>
      <c r="H20146" s="46" t="str">
        <f>IF(AND(I.Developer.P4=TRUE,I.Facility.P4FacilityCount&gt;=134,F20146=""),"Incomplete","Complete")</f>
        <v>Complete</v>
      </c>
      <c r="I20146" s="48" t="s">
        <v>24511</v>
      </c>
    </row>
    <row r="20147" spans="2:9" ht="15" customHeight="1" x14ac:dyDescent="0.25">
      <c r="B20147" s="55" t="s">
        <v>283</v>
      </c>
      <c r="C20147" s="46">
        <v>135</v>
      </c>
      <c r="D20147" s="69" t="s">
        <v>29420</v>
      </c>
      <c r="E20147" s="51"/>
      <c r="F20147" s="114" t="str">
        <f>IF(INDEX(I.Facility.P4IDNumber,135)="","",INDEX(I.Facility.P4IDNumber,135))</f>
        <v/>
      </c>
      <c r="G20147" s="51"/>
      <c r="H20147" s="46" t="str">
        <f>IF(AND(I.Developer.P4=TRUE,I.Facility.P4FacilityCount&gt;=135,F20147=""),"Incomplete","Complete")</f>
        <v>Complete</v>
      </c>
      <c r="I20147" s="48" t="s">
        <v>24512</v>
      </c>
    </row>
    <row r="20148" spans="2:9" ht="15" customHeight="1" x14ac:dyDescent="0.25">
      <c r="B20148" s="55" t="s">
        <v>283</v>
      </c>
      <c r="C20148" s="46">
        <v>136</v>
      </c>
      <c r="D20148" s="69" t="s">
        <v>29420</v>
      </c>
      <c r="E20148" s="51"/>
      <c r="F20148" s="114" t="str">
        <f>IF(INDEX(I.Facility.P4IDNumber,136)="","",INDEX(I.Facility.P4IDNumber,136))</f>
        <v/>
      </c>
      <c r="G20148" s="51"/>
      <c r="H20148" s="46" t="str">
        <f>IF(AND(I.Developer.P4=TRUE,I.Facility.P4FacilityCount&gt;=136,F20148=""),"Incomplete","Complete")</f>
        <v>Complete</v>
      </c>
      <c r="I20148" s="48" t="s">
        <v>24513</v>
      </c>
    </row>
    <row r="20149" spans="2:9" ht="15" customHeight="1" x14ac:dyDescent="0.25">
      <c r="B20149" s="55" t="s">
        <v>283</v>
      </c>
      <c r="C20149" s="46">
        <v>137</v>
      </c>
      <c r="D20149" s="69" t="s">
        <v>29420</v>
      </c>
      <c r="E20149" s="51"/>
      <c r="F20149" s="114" t="str">
        <f>IF(INDEX(I.Facility.P4IDNumber,137)="","",INDEX(I.Facility.P4IDNumber,137))</f>
        <v/>
      </c>
      <c r="G20149" s="51"/>
      <c r="H20149" s="46" t="str">
        <f>IF(AND(I.Developer.P4=TRUE,I.Facility.P4FacilityCount&gt;=137,F20149=""),"Incomplete","Complete")</f>
        <v>Complete</v>
      </c>
      <c r="I20149" s="48" t="s">
        <v>24514</v>
      </c>
    </row>
    <row r="20150" spans="2:9" ht="15" customHeight="1" x14ac:dyDescent="0.25">
      <c r="B20150" s="55" t="s">
        <v>283</v>
      </c>
      <c r="C20150" s="46">
        <v>138</v>
      </c>
      <c r="D20150" s="69" t="s">
        <v>29420</v>
      </c>
      <c r="E20150" s="51"/>
      <c r="F20150" s="114" t="str">
        <f>IF(INDEX(I.Facility.P4IDNumber,138)="","",INDEX(I.Facility.P4IDNumber,138))</f>
        <v/>
      </c>
      <c r="G20150" s="51"/>
      <c r="H20150" s="46" t="str">
        <f>IF(AND(I.Developer.P4=TRUE,I.Facility.P4FacilityCount&gt;=138,F20150=""),"Incomplete","Complete")</f>
        <v>Complete</v>
      </c>
      <c r="I20150" s="48" t="s">
        <v>24515</v>
      </c>
    </row>
    <row r="20151" spans="2:9" ht="15" customHeight="1" x14ac:dyDescent="0.25">
      <c r="B20151" s="55" t="s">
        <v>283</v>
      </c>
      <c r="C20151" s="46">
        <v>139</v>
      </c>
      <c r="D20151" s="69" t="s">
        <v>29420</v>
      </c>
      <c r="E20151" s="51"/>
      <c r="F20151" s="114" t="str">
        <f>IF(INDEX(I.Facility.P4IDNumber,139)="","",INDEX(I.Facility.P4IDNumber,139))</f>
        <v/>
      </c>
      <c r="G20151" s="51"/>
      <c r="H20151" s="46" t="str">
        <f>IF(AND(I.Developer.P4=TRUE,I.Facility.P4FacilityCount&gt;=139,F20151=""),"Incomplete","Complete")</f>
        <v>Complete</v>
      </c>
      <c r="I20151" s="48" t="s">
        <v>24516</v>
      </c>
    </row>
    <row r="20152" spans="2:9" ht="15" customHeight="1" x14ac:dyDescent="0.25">
      <c r="B20152" s="55" t="s">
        <v>283</v>
      </c>
      <c r="C20152" s="46">
        <v>140</v>
      </c>
      <c r="D20152" s="69" t="s">
        <v>29420</v>
      </c>
      <c r="E20152" s="51"/>
      <c r="F20152" s="114" t="str">
        <f>IF(INDEX(I.Facility.P4IDNumber,140)="","",INDEX(I.Facility.P4IDNumber,140))</f>
        <v/>
      </c>
      <c r="G20152" s="51"/>
      <c r="H20152" s="46" t="str">
        <f>IF(AND(I.Developer.P4=TRUE,I.Facility.P4FacilityCount&gt;=140,F20152=""),"Incomplete","Complete")</f>
        <v>Complete</v>
      </c>
      <c r="I20152" s="48" t="s">
        <v>24517</v>
      </c>
    </row>
    <row r="20153" spans="2:9" ht="15" customHeight="1" x14ac:dyDescent="0.25">
      <c r="B20153" s="55" t="s">
        <v>283</v>
      </c>
      <c r="C20153" s="46">
        <v>141</v>
      </c>
      <c r="D20153" s="69" t="s">
        <v>29420</v>
      </c>
      <c r="E20153" s="51"/>
      <c r="F20153" s="114" t="str">
        <f>IF(INDEX(I.Facility.P4IDNumber,141)="","",INDEX(I.Facility.P4IDNumber,141))</f>
        <v/>
      </c>
      <c r="G20153" s="51"/>
      <c r="H20153" s="46" t="str">
        <f>IF(AND(I.Developer.P4=TRUE,I.Facility.P4FacilityCount&gt;=141,F20153=""),"Incomplete","Complete")</f>
        <v>Complete</v>
      </c>
      <c r="I20153" s="48" t="s">
        <v>24518</v>
      </c>
    </row>
    <row r="20154" spans="2:9" ht="15" customHeight="1" x14ac:dyDescent="0.25">
      <c r="B20154" s="55" t="s">
        <v>283</v>
      </c>
      <c r="C20154" s="46">
        <v>142</v>
      </c>
      <c r="D20154" s="69" t="s">
        <v>29420</v>
      </c>
      <c r="E20154" s="51"/>
      <c r="F20154" s="114" t="str">
        <f>IF(INDEX(I.Facility.P4IDNumber,142)="","",INDEX(I.Facility.P4IDNumber,142))</f>
        <v/>
      </c>
      <c r="G20154" s="51"/>
      <c r="H20154" s="46" t="str">
        <f>IF(AND(I.Developer.P4=TRUE,I.Facility.P4FacilityCount&gt;=142,F20154=""),"Incomplete","Complete")</f>
        <v>Complete</v>
      </c>
      <c r="I20154" s="48" t="s">
        <v>24519</v>
      </c>
    </row>
    <row r="20155" spans="2:9" ht="15" customHeight="1" x14ac:dyDescent="0.25">
      <c r="B20155" s="55" t="s">
        <v>283</v>
      </c>
      <c r="C20155" s="46">
        <v>143</v>
      </c>
      <c r="D20155" s="69" t="s">
        <v>29420</v>
      </c>
      <c r="E20155" s="51"/>
      <c r="F20155" s="114" t="str">
        <f>IF(INDEX(I.Facility.P4IDNumber,143)="","",INDEX(I.Facility.P4IDNumber,143))</f>
        <v/>
      </c>
      <c r="G20155" s="51"/>
      <c r="H20155" s="46" t="str">
        <f>IF(AND(I.Developer.P4=TRUE,I.Facility.P4FacilityCount&gt;=143,F20155=""),"Incomplete","Complete")</f>
        <v>Complete</v>
      </c>
      <c r="I20155" s="48" t="s">
        <v>24520</v>
      </c>
    </row>
    <row r="20156" spans="2:9" ht="15" customHeight="1" x14ac:dyDescent="0.25">
      <c r="B20156" s="55" t="s">
        <v>283</v>
      </c>
      <c r="C20156" s="46">
        <v>144</v>
      </c>
      <c r="D20156" s="69" t="s">
        <v>29420</v>
      </c>
      <c r="E20156" s="51"/>
      <c r="F20156" s="114" t="str">
        <f>IF(INDEX(I.Facility.P4IDNumber,144)="","",INDEX(I.Facility.P4IDNumber,144))</f>
        <v/>
      </c>
      <c r="G20156" s="51"/>
      <c r="H20156" s="46" t="str">
        <f>IF(AND(I.Developer.P4=TRUE,I.Facility.P4FacilityCount&gt;=144,F20156=""),"Incomplete","Complete")</f>
        <v>Complete</v>
      </c>
      <c r="I20156" s="48" t="s">
        <v>24521</v>
      </c>
    </row>
    <row r="20157" spans="2:9" ht="15" customHeight="1" x14ac:dyDescent="0.25">
      <c r="B20157" s="55" t="s">
        <v>283</v>
      </c>
      <c r="C20157" s="46">
        <v>145</v>
      </c>
      <c r="D20157" s="69" t="s">
        <v>29420</v>
      </c>
      <c r="E20157" s="51"/>
      <c r="F20157" s="114" t="str">
        <f>IF(INDEX(I.Facility.P4IDNumber,145)="","",INDEX(I.Facility.P4IDNumber,145))</f>
        <v/>
      </c>
      <c r="G20157" s="51"/>
      <c r="H20157" s="46" t="str">
        <f>IF(AND(I.Developer.P4=TRUE,I.Facility.P4FacilityCount&gt;=145,F20157=""),"Incomplete","Complete")</f>
        <v>Complete</v>
      </c>
      <c r="I20157" s="48" t="s">
        <v>24522</v>
      </c>
    </row>
    <row r="20158" spans="2:9" ht="15" customHeight="1" x14ac:dyDescent="0.25">
      <c r="B20158" s="55" t="s">
        <v>283</v>
      </c>
      <c r="C20158" s="46">
        <v>146</v>
      </c>
      <c r="D20158" s="69" t="s">
        <v>29420</v>
      </c>
      <c r="E20158" s="51"/>
      <c r="F20158" s="114" t="str">
        <f>IF(INDEX(I.Facility.P4IDNumber,146)="","",INDEX(I.Facility.P4IDNumber,146))</f>
        <v/>
      </c>
      <c r="G20158" s="51"/>
      <c r="H20158" s="46" t="str">
        <f>IF(AND(I.Developer.P4=TRUE,I.Facility.P4FacilityCount&gt;=146,F20158=""),"Incomplete","Complete")</f>
        <v>Complete</v>
      </c>
      <c r="I20158" s="48" t="s">
        <v>24523</v>
      </c>
    </row>
    <row r="20159" spans="2:9" ht="15" customHeight="1" x14ac:dyDescent="0.25">
      <c r="B20159" s="55" t="s">
        <v>283</v>
      </c>
      <c r="C20159" s="46">
        <v>147</v>
      </c>
      <c r="D20159" s="69" t="s">
        <v>29420</v>
      </c>
      <c r="E20159" s="51"/>
      <c r="F20159" s="114" t="str">
        <f>IF(INDEX(I.Facility.P4IDNumber,147)="","",INDEX(I.Facility.P4IDNumber,147))</f>
        <v/>
      </c>
      <c r="G20159" s="51"/>
      <c r="H20159" s="46" t="str">
        <f>IF(AND(I.Developer.P4=TRUE,I.Facility.P4FacilityCount&gt;=147,F20159=""),"Incomplete","Complete")</f>
        <v>Complete</v>
      </c>
      <c r="I20159" s="48" t="s">
        <v>24524</v>
      </c>
    </row>
    <row r="20160" spans="2:9" ht="15" customHeight="1" x14ac:dyDescent="0.25">
      <c r="B20160" s="55" t="s">
        <v>283</v>
      </c>
      <c r="C20160" s="46">
        <v>148</v>
      </c>
      <c r="D20160" s="69" t="s">
        <v>29420</v>
      </c>
      <c r="E20160" s="51"/>
      <c r="F20160" s="114" t="str">
        <f>IF(INDEX(I.Facility.P4IDNumber,148)="","",INDEX(I.Facility.P4IDNumber,148))</f>
        <v/>
      </c>
      <c r="G20160" s="51"/>
      <c r="H20160" s="46" t="str">
        <f>IF(AND(I.Developer.P4=TRUE,I.Facility.P4FacilityCount&gt;=148,F20160=""),"Incomplete","Complete")</f>
        <v>Complete</v>
      </c>
      <c r="I20160" s="48" t="s">
        <v>24525</v>
      </c>
    </row>
    <row r="20161" spans="2:9" ht="15" customHeight="1" x14ac:dyDescent="0.25">
      <c r="B20161" s="55" t="s">
        <v>283</v>
      </c>
      <c r="C20161" s="46">
        <v>149</v>
      </c>
      <c r="D20161" s="69" t="s">
        <v>29420</v>
      </c>
      <c r="E20161" s="51"/>
      <c r="F20161" s="114" t="str">
        <f>IF(INDEX(I.Facility.P4IDNumber,149)="","",INDEX(I.Facility.P4IDNumber,149))</f>
        <v/>
      </c>
      <c r="G20161" s="51"/>
      <c r="H20161" s="46" t="str">
        <f>IF(AND(I.Developer.P4=TRUE,I.Facility.P4FacilityCount&gt;=149,F20161=""),"Incomplete","Complete")</f>
        <v>Complete</v>
      </c>
      <c r="I20161" s="48" t="s">
        <v>24526</v>
      </c>
    </row>
    <row r="20162" spans="2:9" ht="15" customHeight="1" x14ac:dyDescent="0.25">
      <c r="B20162" s="55" t="s">
        <v>283</v>
      </c>
      <c r="C20162" s="46">
        <v>150</v>
      </c>
      <c r="D20162" s="69" t="s">
        <v>29420</v>
      </c>
      <c r="E20162" s="51"/>
      <c r="F20162" s="114" t="str">
        <f>IF(INDEX(I.Facility.P4IDNumber,150)="","",INDEX(I.Facility.P4IDNumber,150))</f>
        <v/>
      </c>
      <c r="G20162" s="51"/>
      <c r="H20162" s="46" t="str">
        <f>IF(AND(I.Developer.P4=TRUE,I.Facility.P4FacilityCount&gt;=150,F20162=""),"Incomplete","Complete")</f>
        <v>Complete</v>
      </c>
      <c r="I20162" s="48" t="s">
        <v>24527</v>
      </c>
    </row>
    <row r="20163" spans="2:9" ht="15" customHeight="1" x14ac:dyDescent="0.25">
      <c r="B20163" s="55" t="s">
        <v>283</v>
      </c>
      <c r="C20163" s="46">
        <v>151</v>
      </c>
      <c r="D20163" s="69" t="s">
        <v>29420</v>
      </c>
      <c r="E20163" s="51"/>
      <c r="F20163" s="114" t="str">
        <f>IF(INDEX(I.Facility.P4IDNumber,151)="","",INDEX(I.Facility.P4IDNumber,151))</f>
        <v/>
      </c>
      <c r="G20163" s="51"/>
      <c r="H20163" s="46" t="str">
        <f>IF(AND(I.Developer.P4=TRUE,I.Facility.P4FacilityCount&gt;=151,F20163=""),"Incomplete","Complete")</f>
        <v>Complete</v>
      </c>
      <c r="I20163" s="48" t="s">
        <v>24528</v>
      </c>
    </row>
    <row r="20164" spans="2:9" ht="15" customHeight="1" x14ac:dyDescent="0.25">
      <c r="B20164" s="55" t="s">
        <v>283</v>
      </c>
      <c r="C20164" s="46">
        <v>152</v>
      </c>
      <c r="D20164" s="69" t="s">
        <v>29420</v>
      </c>
      <c r="E20164" s="51"/>
      <c r="F20164" s="114" t="str">
        <f>IF(INDEX(I.Facility.P4IDNumber,152)="","",INDEX(I.Facility.P4IDNumber,152))</f>
        <v/>
      </c>
      <c r="G20164" s="51"/>
      <c r="H20164" s="46" t="str">
        <f>IF(AND(I.Developer.P4=TRUE,I.Facility.P4FacilityCount&gt;=152,F20164=""),"Incomplete","Complete")</f>
        <v>Complete</v>
      </c>
      <c r="I20164" s="48" t="s">
        <v>24529</v>
      </c>
    </row>
    <row r="20165" spans="2:9" ht="15" customHeight="1" x14ac:dyDescent="0.25">
      <c r="B20165" s="55" t="s">
        <v>283</v>
      </c>
      <c r="C20165" s="46">
        <v>153</v>
      </c>
      <c r="D20165" s="69" t="s">
        <v>29420</v>
      </c>
      <c r="E20165" s="51"/>
      <c r="F20165" s="114" t="str">
        <f>IF(INDEX(I.Facility.P4IDNumber,153)="","",INDEX(I.Facility.P4IDNumber,153))</f>
        <v/>
      </c>
      <c r="G20165" s="51"/>
      <c r="H20165" s="46" t="str">
        <f>IF(AND(I.Developer.P4=TRUE,I.Facility.P4FacilityCount&gt;=153,F20165=""),"Incomplete","Complete")</f>
        <v>Complete</v>
      </c>
      <c r="I20165" s="48" t="s">
        <v>24530</v>
      </c>
    </row>
    <row r="20166" spans="2:9" ht="15" customHeight="1" x14ac:dyDescent="0.25">
      <c r="B20166" s="55" t="s">
        <v>283</v>
      </c>
      <c r="C20166" s="46">
        <v>154</v>
      </c>
      <c r="D20166" s="69" t="s">
        <v>29420</v>
      </c>
      <c r="E20166" s="51"/>
      <c r="F20166" s="114" t="str">
        <f>IF(INDEX(I.Facility.P4IDNumber,154)="","",INDEX(I.Facility.P4IDNumber,154))</f>
        <v/>
      </c>
      <c r="G20166" s="51"/>
      <c r="H20166" s="46" t="str">
        <f>IF(AND(I.Developer.P4=TRUE,I.Facility.P4FacilityCount&gt;=154,F20166=""),"Incomplete","Complete")</f>
        <v>Complete</v>
      </c>
      <c r="I20166" s="48" t="s">
        <v>24531</v>
      </c>
    </row>
    <row r="20167" spans="2:9" ht="15" customHeight="1" x14ac:dyDescent="0.25">
      <c r="B20167" s="55" t="s">
        <v>283</v>
      </c>
      <c r="C20167" s="46">
        <v>155</v>
      </c>
      <c r="D20167" s="69" t="s">
        <v>29420</v>
      </c>
      <c r="E20167" s="51"/>
      <c r="F20167" s="114" t="str">
        <f>IF(INDEX(I.Facility.P4IDNumber,155)="","",INDEX(I.Facility.P4IDNumber,155))</f>
        <v/>
      </c>
      <c r="G20167" s="51"/>
      <c r="H20167" s="46" t="str">
        <f>IF(AND(I.Developer.P4=TRUE,I.Facility.P4FacilityCount&gt;=155,F20167=""),"Incomplete","Complete")</f>
        <v>Complete</v>
      </c>
      <c r="I20167" s="48" t="s">
        <v>24532</v>
      </c>
    </row>
    <row r="20168" spans="2:9" ht="15" customHeight="1" x14ac:dyDescent="0.25">
      <c r="B20168" s="55" t="s">
        <v>283</v>
      </c>
      <c r="C20168" s="46">
        <v>156</v>
      </c>
      <c r="D20168" s="69" t="s">
        <v>29420</v>
      </c>
      <c r="E20168" s="51"/>
      <c r="F20168" s="114" t="str">
        <f>IF(INDEX(I.Facility.P4IDNumber,156)="","",INDEX(I.Facility.P4IDNumber,156))</f>
        <v/>
      </c>
      <c r="G20168" s="51"/>
      <c r="H20168" s="46" t="str">
        <f>IF(AND(I.Developer.P4=TRUE,I.Facility.P4FacilityCount&gt;=156,F20168=""),"Incomplete","Complete")</f>
        <v>Complete</v>
      </c>
      <c r="I20168" s="48" t="s">
        <v>24533</v>
      </c>
    </row>
    <row r="20169" spans="2:9" ht="15" customHeight="1" x14ac:dyDescent="0.25">
      <c r="B20169" s="55" t="s">
        <v>283</v>
      </c>
      <c r="C20169" s="46">
        <v>157</v>
      </c>
      <c r="D20169" s="69" t="s">
        <v>29420</v>
      </c>
      <c r="E20169" s="51"/>
      <c r="F20169" s="114" t="str">
        <f>IF(INDEX(I.Facility.P4IDNumber,157)="","",INDEX(I.Facility.P4IDNumber,157))</f>
        <v/>
      </c>
      <c r="G20169" s="51"/>
      <c r="H20169" s="46" t="str">
        <f>IF(AND(I.Developer.P4=TRUE,I.Facility.P4FacilityCount&gt;=157,F20169=""),"Incomplete","Complete")</f>
        <v>Complete</v>
      </c>
      <c r="I20169" s="48" t="s">
        <v>24534</v>
      </c>
    </row>
    <row r="20170" spans="2:9" ht="15" customHeight="1" x14ac:dyDescent="0.25">
      <c r="B20170" s="55" t="s">
        <v>283</v>
      </c>
      <c r="C20170" s="46">
        <v>158</v>
      </c>
      <c r="D20170" s="69" t="s">
        <v>29420</v>
      </c>
      <c r="E20170" s="51"/>
      <c r="F20170" s="114" t="str">
        <f>IF(INDEX(I.Facility.P4IDNumber,158)="","",INDEX(I.Facility.P4IDNumber,158))</f>
        <v/>
      </c>
      <c r="G20170" s="51"/>
      <c r="H20170" s="46" t="str">
        <f>IF(AND(I.Developer.P4=TRUE,I.Facility.P4FacilityCount&gt;=158,F20170=""),"Incomplete","Complete")</f>
        <v>Complete</v>
      </c>
      <c r="I20170" s="48" t="s">
        <v>24535</v>
      </c>
    </row>
    <row r="20171" spans="2:9" ht="15" customHeight="1" x14ac:dyDescent="0.25">
      <c r="B20171" s="55" t="s">
        <v>283</v>
      </c>
      <c r="C20171" s="46">
        <v>159</v>
      </c>
      <c r="D20171" s="69" t="s">
        <v>29420</v>
      </c>
      <c r="E20171" s="51"/>
      <c r="F20171" s="114" t="str">
        <f>IF(INDEX(I.Facility.P4IDNumber,159)="","",INDEX(I.Facility.P4IDNumber,159))</f>
        <v/>
      </c>
      <c r="G20171" s="51"/>
      <c r="H20171" s="46" t="str">
        <f>IF(AND(I.Developer.P4=TRUE,I.Facility.P4FacilityCount&gt;=159,F20171=""),"Incomplete","Complete")</f>
        <v>Complete</v>
      </c>
      <c r="I20171" s="48" t="s">
        <v>24536</v>
      </c>
    </row>
    <row r="20172" spans="2:9" ht="15" customHeight="1" x14ac:dyDescent="0.25">
      <c r="B20172" s="55" t="s">
        <v>283</v>
      </c>
      <c r="C20172" s="46">
        <v>160</v>
      </c>
      <c r="D20172" s="69" t="s">
        <v>29420</v>
      </c>
      <c r="E20172" s="51"/>
      <c r="F20172" s="114" t="str">
        <f>IF(INDEX(I.Facility.P4IDNumber,160)="","",INDEX(I.Facility.P4IDNumber,160))</f>
        <v/>
      </c>
      <c r="G20172" s="51"/>
      <c r="H20172" s="46" t="str">
        <f>IF(AND(I.Developer.P4=TRUE,I.Facility.P4FacilityCount&gt;=160,F20172=""),"Incomplete","Complete")</f>
        <v>Complete</v>
      </c>
      <c r="I20172" s="48" t="s">
        <v>24537</v>
      </c>
    </row>
    <row r="20173" spans="2:9" ht="15" customHeight="1" x14ac:dyDescent="0.25">
      <c r="B20173" s="55" t="s">
        <v>283</v>
      </c>
      <c r="C20173" s="46">
        <v>161</v>
      </c>
      <c r="D20173" s="69" t="s">
        <v>29420</v>
      </c>
      <c r="E20173" s="51"/>
      <c r="F20173" s="114" t="str">
        <f>IF(INDEX(I.Facility.P4IDNumber,161)="","",INDEX(I.Facility.P4IDNumber,161))</f>
        <v/>
      </c>
      <c r="G20173" s="51"/>
      <c r="H20173" s="46" t="str">
        <f>IF(AND(I.Developer.P4=TRUE,I.Facility.P4FacilityCount&gt;=161,F20173=""),"Incomplete","Complete")</f>
        <v>Complete</v>
      </c>
      <c r="I20173" s="48" t="s">
        <v>24538</v>
      </c>
    </row>
    <row r="20174" spans="2:9" ht="15" customHeight="1" x14ac:dyDescent="0.25">
      <c r="B20174" s="55" t="s">
        <v>283</v>
      </c>
      <c r="C20174" s="46">
        <v>162</v>
      </c>
      <c r="D20174" s="69" t="s">
        <v>29420</v>
      </c>
      <c r="E20174" s="51"/>
      <c r="F20174" s="114" t="str">
        <f>IF(INDEX(I.Facility.P4IDNumber,162)="","",INDEX(I.Facility.P4IDNumber,162))</f>
        <v/>
      </c>
      <c r="G20174" s="51"/>
      <c r="H20174" s="46" t="str">
        <f>IF(AND(I.Developer.P4=TRUE,I.Facility.P4FacilityCount&gt;=162,F20174=""),"Incomplete","Complete")</f>
        <v>Complete</v>
      </c>
      <c r="I20174" s="48" t="s">
        <v>24539</v>
      </c>
    </row>
    <row r="20175" spans="2:9" ht="15" customHeight="1" x14ac:dyDescent="0.25">
      <c r="B20175" s="55" t="s">
        <v>283</v>
      </c>
      <c r="C20175" s="46">
        <v>163</v>
      </c>
      <c r="D20175" s="69" t="s">
        <v>29420</v>
      </c>
      <c r="E20175" s="51"/>
      <c r="F20175" s="114" t="str">
        <f>IF(INDEX(I.Facility.P4IDNumber,163)="","",INDEX(I.Facility.P4IDNumber,163))</f>
        <v/>
      </c>
      <c r="G20175" s="51"/>
      <c r="H20175" s="46" t="str">
        <f>IF(AND(I.Developer.P4=TRUE,I.Facility.P4FacilityCount&gt;=163,F20175=""),"Incomplete","Complete")</f>
        <v>Complete</v>
      </c>
      <c r="I20175" s="48" t="s">
        <v>24540</v>
      </c>
    </row>
    <row r="20176" spans="2:9" ht="15" customHeight="1" x14ac:dyDescent="0.25">
      <c r="B20176" s="55" t="s">
        <v>283</v>
      </c>
      <c r="C20176" s="46">
        <v>164</v>
      </c>
      <c r="D20176" s="69" t="s">
        <v>29420</v>
      </c>
      <c r="E20176" s="51"/>
      <c r="F20176" s="114" t="str">
        <f>IF(INDEX(I.Facility.P4IDNumber,164)="","",INDEX(I.Facility.P4IDNumber,164))</f>
        <v/>
      </c>
      <c r="G20176" s="51"/>
      <c r="H20176" s="46" t="str">
        <f>IF(AND(I.Developer.P4=TRUE,I.Facility.P4FacilityCount&gt;=164,F20176=""),"Incomplete","Complete")</f>
        <v>Complete</v>
      </c>
      <c r="I20176" s="48" t="s">
        <v>24541</v>
      </c>
    </row>
    <row r="20177" spans="2:9" ht="15" customHeight="1" x14ac:dyDescent="0.25">
      <c r="B20177" s="55" t="s">
        <v>283</v>
      </c>
      <c r="C20177" s="46">
        <v>165</v>
      </c>
      <c r="D20177" s="69" t="s">
        <v>29420</v>
      </c>
      <c r="E20177" s="51"/>
      <c r="F20177" s="114" t="str">
        <f>IF(INDEX(I.Facility.P4IDNumber,165)="","",INDEX(I.Facility.P4IDNumber,165))</f>
        <v/>
      </c>
      <c r="G20177" s="51"/>
      <c r="H20177" s="46" t="str">
        <f>IF(AND(I.Developer.P4=TRUE,I.Facility.P4FacilityCount&gt;=165,F20177=""),"Incomplete","Complete")</f>
        <v>Complete</v>
      </c>
      <c r="I20177" s="48" t="s">
        <v>24542</v>
      </c>
    </row>
    <row r="20178" spans="2:9" ht="15" customHeight="1" x14ac:dyDescent="0.25">
      <c r="B20178" s="55" t="s">
        <v>283</v>
      </c>
      <c r="C20178" s="46">
        <v>166</v>
      </c>
      <c r="D20178" s="69" t="s">
        <v>29420</v>
      </c>
      <c r="E20178" s="51"/>
      <c r="F20178" s="114" t="str">
        <f>IF(INDEX(I.Facility.P4IDNumber,166)="","",INDEX(I.Facility.P4IDNumber,166))</f>
        <v/>
      </c>
      <c r="G20178" s="51"/>
      <c r="H20178" s="46" t="str">
        <f>IF(AND(I.Developer.P4=TRUE,I.Facility.P4FacilityCount&gt;=166,F20178=""),"Incomplete","Complete")</f>
        <v>Complete</v>
      </c>
      <c r="I20178" s="48" t="s">
        <v>24543</v>
      </c>
    </row>
    <row r="20179" spans="2:9" ht="15" customHeight="1" x14ac:dyDescent="0.25">
      <c r="B20179" s="55" t="s">
        <v>283</v>
      </c>
      <c r="C20179" s="46">
        <v>167</v>
      </c>
      <c r="D20179" s="69" t="s">
        <v>29420</v>
      </c>
      <c r="E20179" s="51"/>
      <c r="F20179" s="114" t="str">
        <f>IF(INDEX(I.Facility.P4IDNumber,167)="","",INDEX(I.Facility.P4IDNumber,167))</f>
        <v/>
      </c>
      <c r="G20179" s="51"/>
      <c r="H20179" s="46" t="str">
        <f>IF(AND(I.Developer.P4=TRUE,I.Facility.P4FacilityCount&gt;=167,F20179=""),"Incomplete","Complete")</f>
        <v>Complete</v>
      </c>
      <c r="I20179" s="48" t="s">
        <v>24544</v>
      </c>
    </row>
    <row r="20180" spans="2:9" ht="15" customHeight="1" x14ac:dyDescent="0.25">
      <c r="B20180" s="55" t="s">
        <v>283</v>
      </c>
      <c r="C20180" s="46">
        <v>168</v>
      </c>
      <c r="D20180" s="69" t="s">
        <v>29420</v>
      </c>
      <c r="E20180" s="51"/>
      <c r="F20180" s="114" t="str">
        <f>IF(INDEX(I.Facility.P4IDNumber,168)="","",INDEX(I.Facility.P4IDNumber,168))</f>
        <v/>
      </c>
      <c r="G20180" s="51"/>
      <c r="H20180" s="46" t="str">
        <f>IF(AND(I.Developer.P4=TRUE,I.Facility.P4FacilityCount&gt;=168,F20180=""),"Incomplete","Complete")</f>
        <v>Complete</v>
      </c>
      <c r="I20180" s="48" t="s">
        <v>24545</v>
      </c>
    </row>
    <row r="20181" spans="2:9" ht="15" customHeight="1" x14ac:dyDescent="0.25">
      <c r="B20181" s="55" t="s">
        <v>283</v>
      </c>
      <c r="C20181" s="46">
        <v>169</v>
      </c>
      <c r="D20181" s="69" t="s">
        <v>29420</v>
      </c>
      <c r="E20181" s="51"/>
      <c r="F20181" s="114" t="str">
        <f>IF(INDEX(I.Facility.P4IDNumber,169)="","",INDEX(I.Facility.P4IDNumber,169))</f>
        <v/>
      </c>
      <c r="G20181" s="51"/>
      <c r="H20181" s="46" t="str">
        <f>IF(AND(I.Developer.P4=TRUE,I.Facility.P4FacilityCount&gt;=169,F20181=""),"Incomplete","Complete")</f>
        <v>Complete</v>
      </c>
      <c r="I20181" s="48" t="s">
        <v>24546</v>
      </c>
    </row>
    <row r="20182" spans="2:9" ht="15" customHeight="1" x14ac:dyDescent="0.25">
      <c r="B20182" s="55" t="s">
        <v>283</v>
      </c>
      <c r="C20182" s="46">
        <v>170</v>
      </c>
      <c r="D20182" s="69" t="s">
        <v>29420</v>
      </c>
      <c r="E20182" s="51"/>
      <c r="F20182" s="114" t="str">
        <f>IF(INDEX(I.Facility.P4IDNumber,170)="","",INDEX(I.Facility.P4IDNumber,170))</f>
        <v/>
      </c>
      <c r="G20182" s="51"/>
      <c r="H20182" s="46" t="str">
        <f>IF(AND(I.Developer.P4=TRUE,I.Facility.P4FacilityCount&gt;=170,F20182=""),"Incomplete","Complete")</f>
        <v>Complete</v>
      </c>
      <c r="I20182" s="48" t="s">
        <v>24547</v>
      </c>
    </row>
    <row r="20183" spans="2:9" ht="15" customHeight="1" x14ac:dyDescent="0.25">
      <c r="B20183" s="55" t="s">
        <v>283</v>
      </c>
      <c r="C20183" s="46">
        <v>171</v>
      </c>
      <c r="D20183" s="69" t="s">
        <v>29420</v>
      </c>
      <c r="E20183" s="51"/>
      <c r="F20183" s="114" t="str">
        <f>IF(INDEX(I.Facility.P4IDNumber,171)="","",INDEX(I.Facility.P4IDNumber,171))</f>
        <v/>
      </c>
      <c r="G20183" s="51"/>
      <c r="H20183" s="46" t="str">
        <f>IF(AND(I.Developer.P4=TRUE,I.Facility.P4FacilityCount&gt;=171,F20183=""),"Incomplete","Complete")</f>
        <v>Complete</v>
      </c>
      <c r="I20183" s="48" t="s">
        <v>24548</v>
      </c>
    </row>
    <row r="20184" spans="2:9" ht="15" customHeight="1" x14ac:dyDescent="0.25">
      <c r="B20184" s="55" t="s">
        <v>283</v>
      </c>
      <c r="C20184" s="46">
        <v>172</v>
      </c>
      <c r="D20184" s="69" t="s">
        <v>29420</v>
      </c>
      <c r="E20184" s="51"/>
      <c r="F20184" s="114" t="str">
        <f>IF(INDEX(I.Facility.P4IDNumber,172)="","",INDEX(I.Facility.P4IDNumber,172))</f>
        <v/>
      </c>
      <c r="G20184" s="51"/>
      <c r="H20184" s="46" t="str">
        <f>IF(AND(I.Developer.P4=TRUE,I.Facility.P4FacilityCount&gt;=172,F20184=""),"Incomplete","Complete")</f>
        <v>Complete</v>
      </c>
      <c r="I20184" s="48" t="s">
        <v>24549</v>
      </c>
    </row>
    <row r="20185" spans="2:9" ht="15" customHeight="1" x14ac:dyDescent="0.25">
      <c r="B20185" s="55" t="s">
        <v>283</v>
      </c>
      <c r="C20185" s="46">
        <v>173</v>
      </c>
      <c r="D20185" s="69" t="s">
        <v>29420</v>
      </c>
      <c r="E20185" s="51"/>
      <c r="F20185" s="114" t="str">
        <f>IF(INDEX(I.Facility.P4IDNumber,173)="","",INDEX(I.Facility.P4IDNumber,173))</f>
        <v/>
      </c>
      <c r="G20185" s="51"/>
      <c r="H20185" s="46" t="str">
        <f>IF(AND(I.Developer.P4=TRUE,I.Facility.P4FacilityCount&gt;=173,F20185=""),"Incomplete","Complete")</f>
        <v>Complete</v>
      </c>
      <c r="I20185" s="48" t="s">
        <v>24550</v>
      </c>
    </row>
    <row r="20186" spans="2:9" ht="15" customHeight="1" x14ac:dyDescent="0.25">
      <c r="B20186" s="55" t="s">
        <v>283</v>
      </c>
      <c r="C20186" s="46">
        <v>174</v>
      </c>
      <c r="D20186" s="69" t="s">
        <v>29420</v>
      </c>
      <c r="E20186" s="51"/>
      <c r="F20186" s="114" t="str">
        <f>IF(INDEX(I.Facility.P4IDNumber,174)="","",INDEX(I.Facility.P4IDNumber,174))</f>
        <v/>
      </c>
      <c r="G20186" s="51"/>
      <c r="H20186" s="46" t="str">
        <f>IF(AND(I.Developer.P4=TRUE,I.Facility.P4FacilityCount&gt;=174,F20186=""),"Incomplete","Complete")</f>
        <v>Complete</v>
      </c>
      <c r="I20186" s="48" t="s">
        <v>24551</v>
      </c>
    </row>
    <row r="20187" spans="2:9" ht="15" customHeight="1" x14ac:dyDescent="0.25">
      <c r="B20187" s="55" t="s">
        <v>283</v>
      </c>
      <c r="C20187" s="46">
        <v>175</v>
      </c>
      <c r="D20187" s="69" t="s">
        <v>29420</v>
      </c>
      <c r="E20187" s="51"/>
      <c r="F20187" s="114" t="str">
        <f>IF(INDEX(I.Facility.P4IDNumber,175)="","",INDEX(I.Facility.P4IDNumber,175))</f>
        <v/>
      </c>
      <c r="G20187" s="51"/>
      <c r="H20187" s="46" t="str">
        <f>IF(AND(I.Developer.P4=TRUE,I.Facility.P4FacilityCount&gt;=175,F20187=""),"Incomplete","Complete")</f>
        <v>Complete</v>
      </c>
      <c r="I20187" s="48" t="s">
        <v>24552</v>
      </c>
    </row>
    <row r="20188" spans="2:9" ht="15" customHeight="1" x14ac:dyDescent="0.25">
      <c r="B20188" s="55" t="s">
        <v>283</v>
      </c>
      <c r="C20188" s="46">
        <v>176</v>
      </c>
      <c r="D20188" s="69" t="s">
        <v>29420</v>
      </c>
      <c r="E20188" s="51"/>
      <c r="F20188" s="114" t="str">
        <f>IF(INDEX(I.Facility.P4IDNumber,176)="","",INDEX(I.Facility.P4IDNumber,176))</f>
        <v/>
      </c>
      <c r="G20188" s="51"/>
      <c r="H20188" s="46" t="str">
        <f>IF(AND(I.Developer.P4=TRUE,I.Facility.P4FacilityCount&gt;=176,F20188=""),"Incomplete","Complete")</f>
        <v>Complete</v>
      </c>
      <c r="I20188" s="48" t="s">
        <v>24553</v>
      </c>
    </row>
    <row r="20189" spans="2:9" ht="15" customHeight="1" x14ac:dyDescent="0.25">
      <c r="B20189" s="55" t="s">
        <v>283</v>
      </c>
      <c r="C20189" s="46">
        <v>177</v>
      </c>
      <c r="D20189" s="69" t="s">
        <v>29420</v>
      </c>
      <c r="E20189" s="51"/>
      <c r="F20189" s="114" t="str">
        <f>IF(INDEX(I.Facility.P4IDNumber,177)="","",INDEX(I.Facility.P4IDNumber,177))</f>
        <v/>
      </c>
      <c r="G20189" s="51"/>
      <c r="H20189" s="46" t="str">
        <f>IF(AND(I.Developer.P4=TRUE,I.Facility.P4FacilityCount&gt;=177,F20189=""),"Incomplete","Complete")</f>
        <v>Complete</v>
      </c>
      <c r="I20189" s="48" t="s">
        <v>24554</v>
      </c>
    </row>
    <row r="20190" spans="2:9" ht="15" customHeight="1" x14ac:dyDescent="0.25">
      <c r="B20190" s="55" t="s">
        <v>283</v>
      </c>
      <c r="C20190" s="46">
        <v>178</v>
      </c>
      <c r="D20190" s="69" t="s">
        <v>29420</v>
      </c>
      <c r="E20190" s="51"/>
      <c r="F20190" s="114" t="str">
        <f>IF(INDEX(I.Facility.P4IDNumber,178)="","",INDEX(I.Facility.P4IDNumber,178))</f>
        <v/>
      </c>
      <c r="G20190" s="51"/>
      <c r="H20190" s="46" t="str">
        <f>IF(AND(I.Developer.P4=TRUE,I.Facility.P4FacilityCount&gt;=178,F20190=""),"Incomplete","Complete")</f>
        <v>Complete</v>
      </c>
      <c r="I20190" s="48" t="s">
        <v>24555</v>
      </c>
    </row>
    <row r="20191" spans="2:9" ht="15" customHeight="1" x14ac:dyDescent="0.25">
      <c r="B20191" s="55" t="s">
        <v>283</v>
      </c>
      <c r="C20191" s="46">
        <v>179</v>
      </c>
      <c r="D20191" s="69" t="s">
        <v>29420</v>
      </c>
      <c r="E20191" s="51"/>
      <c r="F20191" s="114" t="str">
        <f>IF(INDEX(I.Facility.P4IDNumber,179)="","",INDEX(I.Facility.P4IDNumber,179))</f>
        <v/>
      </c>
      <c r="G20191" s="51"/>
      <c r="H20191" s="46" t="str">
        <f>IF(AND(I.Developer.P4=TRUE,I.Facility.P4FacilityCount&gt;=179,F20191=""),"Incomplete","Complete")</f>
        <v>Complete</v>
      </c>
      <c r="I20191" s="48" t="s">
        <v>24556</v>
      </c>
    </row>
    <row r="20192" spans="2:9" ht="15" customHeight="1" x14ac:dyDescent="0.25">
      <c r="B20192" s="55" t="s">
        <v>283</v>
      </c>
      <c r="C20192" s="46">
        <v>180</v>
      </c>
      <c r="D20192" s="69" t="s">
        <v>29420</v>
      </c>
      <c r="E20192" s="51"/>
      <c r="F20192" s="114" t="str">
        <f>IF(INDEX(I.Facility.P4IDNumber,180)="","",INDEX(I.Facility.P4IDNumber,180))</f>
        <v/>
      </c>
      <c r="G20192" s="51"/>
      <c r="H20192" s="46" t="str">
        <f>IF(AND(I.Developer.P4=TRUE,I.Facility.P4FacilityCount&gt;=180,F20192=""),"Incomplete","Complete")</f>
        <v>Complete</v>
      </c>
      <c r="I20192" s="48" t="s">
        <v>24557</v>
      </c>
    </row>
    <row r="20193" spans="2:9" ht="15" customHeight="1" x14ac:dyDescent="0.25">
      <c r="B20193" s="55" t="s">
        <v>283</v>
      </c>
      <c r="C20193" s="46">
        <v>181</v>
      </c>
      <c r="D20193" s="69" t="s">
        <v>29420</v>
      </c>
      <c r="E20193" s="51"/>
      <c r="F20193" s="114" t="str">
        <f>IF(INDEX(I.Facility.P4IDNumber,181)="","",INDEX(I.Facility.P4IDNumber,181))</f>
        <v/>
      </c>
      <c r="G20193" s="51"/>
      <c r="H20193" s="46" t="str">
        <f>IF(AND(I.Developer.P4=TRUE,I.Facility.P4FacilityCount&gt;=181,F20193=""),"Incomplete","Complete")</f>
        <v>Complete</v>
      </c>
      <c r="I20193" s="48" t="s">
        <v>24558</v>
      </c>
    </row>
    <row r="20194" spans="2:9" ht="15" customHeight="1" x14ac:dyDescent="0.25">
      <c r="B20194" s="55" t="s">
        <v>283</v>
      </c>
      <c r="C20194" s="46">
        <v>182</v>
      </c>
      <c r="D20194" s="69" t="s">
        <v>29420</v>
      </c>
      <c r="E20194" s="51"/>
      <c r="F20194" s="114" t="str">
        <f>IF(INDEX(I.Facility.P4IDNumber,182)="","",INDEX(I.Facility.P4IDNumber,182))</f>
        <v/>
      </c>
      <c r="G20194" s="51"/>
      <c r="H20194" s="46" t="str">
        <f>IF(AND(I.Developer.P4=TRUE,I.Facility.P4FacilityCount&gt;=182,F20194=""),"Incomplete","Complete")</f>
        <v>Complete</v>
      </c>
      <c r="I20194" s="48" t="s">
        <v>24559</v>
      </c>
    </row>
    <row r="20195" spans="2:9" ht="15" customHeight="1" x14ac:dyDescent="0.25">
      <c r="B20195" s="55" t="s">
        <v>283</v>
      </c>
      <c r="C20195" s="46">
        <v>183</v>
      </c>
      <c r="D20195" s="69" t="s">
        <v>29420</v>
      </c>
      <c r="E20195" s="51"/>
      <c r="F20195" s="114" t="str">
        <f>IF(INDEX(I.Facility.P4IDNumber,183)="","",INDEX(I.Facility.P4IDNumber,183))</f>
        <v/>
      </c>
      <c r="G20195" s="51"/>
      <c r="H20195" s="46" t="str">
        <f>IF(AND(I.Developer.P4=TRUE,I.Facility.P4FacilityCount&gt;=183,F20195=""),"Incomplete","Complete")</f>
        <v>Complete</v>
      </c>
      <c r="I20195" s="48" t="s">
        <v>24560</v>
      </c>
    </row>
    <row r="20196" spans="2:9" ht="15" customHeight="1" x14ac:dyDescent="0.25">
      <c r="B20196" s="55" t="s">
        <v>283</v>
      </c>
      <c r="C20196" s="46">
        <v>184</v>
      </c>
      <c r="D20196" s="69" t="s">
        <v>29420</v>
      </c>
      <c r="E20196" s="51"/>
      <c r="F20196" s="114" t="str">
        <f>IF(INDEX(I.Facility.P4IDNumber,184)="","",INDEX(I.Facility.P4IDNumber,184))</f>
        <v/>
      </c>
      <c r="G20196" s="51"/>
      <c r="H20196" s="46" t="str">
        <f>IF(AND(I.Developer.P4=TRUE,I.Facility.P4FacilityCount&gt;=184,F20196=""),"Incomplete","Complete")</f>
        <v>Complete</v>
      </c>
      <c r="I20196" s="48" t="s">
        <v>24561</v>
      </c>
    </row>
    <row r="20197" spans="2:9" ht="15" customHeight="1" x14ac:dyDescent="0.25">
      <c r="B20197" s="55" t="s">
        <v>283</v>
      </c>
      <c r="C20197" s="46">
        <v>185</v>
      </c>
      <c r="D20197" s="69" t="s">
        <v>29420</v>
      </c>
      <c r="E20197" s="51"/>
      <c r="F20197" s="114" t="str">
        <f>IF(INDEX(I.Facility.P4IDNumber,185)="","",INDEX(I.Facility.P4IDNumber,185))</f>
        <v/>
      </c>
      <c r="G20197" s="51"/>
      <c r="H20197" s="46" t="str">
        <f>IF(AND(I.Developer.P4=TRUE,I.Facility.P4FacilityCount&gt;=185,F20197=""),"Incomplete","Complete")</f>
        <v>Complete</v>
      </c>
      <c r="I20197" s="48" t="s">
        <v>24562</v>
      </c>
    </row>
    <row r="20198" spans="2:9" ht="15" customHeight="1" x14ac:dyDescent="0.25">
      <c r="B20198" s="55" t="s">
        <v>283</v>
      </c>
      <c r="C20198" s="46">
        <v>186</v>
      </c>
      <c r="D20198" s="69" t="s">
        <v>29420</v>
      </c>
      <c r="E20198" s="51"/>
      <c r="F20198" s="114" t="str">
        <f>IF(INDEX(I.Facility.P4IDNumber,186)="","",INDEX(I.Facility.P4IDNumber,186))</f>
        <v/>
      </c>
      <c r="G20198" s="51"/>
      <c r="H20198" s="46" t="str">
        <f>IF(AND(I.Developer.P4=TRUE,I.Facility.P4FacilityCount&gt;=186,F20198=""),"Incomplete","Complete")</f>
        <v>Complete</v>
      </c>
      <c r="I20198" s="48" t="s">
        <v>24563</v>
      </c>
    </row>
    <row r="20199" spans="2:9" ht="15" customHeight="1" x14ac:dyDescent="0.25">
      <c r="B20199" s="55" t="s">
        <v>283</v>
      </c>
      <c r="C20199" s="46">
        <v>187</v>
      </c>
      <c r="D20199" s="69" t="s">
        <v>29420</v>
      </c>
      <c r="E20199" s="51"/>
      <c r="F20199" s="114" t="str">
        <f>IF(INDEX(I.Facility.P4IDNumber,187)="","",INDEX(I.Facility.P4IDNumber,187))</f>
        <v/>
      </c>
      <c r="G20199" s="51"/>
      <c r="H20199" s="46" t="str">
        <f>IF(AND(I.Developer.P4=TRUE,I.Facility.P4FacilityCount&gt;=187,F20199=""),"Incomplete","Complete")</f>
        <v>Complete</v>
      </c>
      <c r="I20199" s="48" t="s">
        <v>24564</v>
      </c>
    </row>
    <row r="20200" spans="2:9" ht="15" customHeight="1" x14ac:dyDescent="0.25">
      <c r="B20200" s="55" t="s">
        <v>283</v>
      </c>
      <c r="C20200" s="46">
        <v>188</v>
      </c>
      <c r="D20200" s="69" t="s">
        <v>29420</v>
      </c>
      <c r="E20200" s="51"/>
      <c r="F20200" s="114" t="str">
        <f>IF(INDEX(I.Facility.P4IDNumber,188)="","",INDEX(I.Facility.P4IDNumber,188))</f>
        <v/>
      </c>
      <c r="G20200" s="51"/>
      <c r="H20200" s="46" t="str">
        <f>IF(AND(I.Developer.P4=TRUE,I.Facility.P4FacilityCount&gt;=188,F20200=""),"Incomplete","Complete")</f>
        <v>Complete</v>
      </c>
      <c r="I20200" s="48" t="s">
        <v>24565</v>
      </c>
    </row>
    <row r="20201" spans="2:9" ht="15" customHeight="1" x14ac:dyDescent="0.25">
      <c r="B20201" s="55" t="s">
        <v>283</v>
      </c>
      <c r="C20201" s="46">
        <v>189</v>
      </c>
      <c r="D20201" s="69" t="s">
        <v>29420</v>
      </c>
      <c r="E20201" s="51"/>
      <c r="F20201" s="114" t="str">
        <f>IF(INDEX(I.Facility.P4IDNumber,189)="","",INDEX(I.Facility.P4IDNumber,189))</f>
        <v/>
      </c>
      <c r="G20201" s="51"/>
      <c r="H20201" s="46" t="str">
        <f>IF(AND(I.Developer.P4=TRUE,I.Facility.P4FacilityCount&gt;=189,F20201=""),"Incomplete","Complete")</f>
        <v>Complete</v>
      </c>
      <c r="I20201" s="48" t="s">
        <v>24566</v>
      </c>
    </row>
    <row r="20202" spans="2:9" ht="15" customHeight="1" x14ac:dyDescent="0.25">
      <c r="B20202" s="55" t="s">
        <v>283</v>
      </c>
      <c r="C20202" s="46">
        <v>190</v>
      </c>
      <c r="D20202" s="69" t="s">
        <v>29420</v>
      </c>
      <c r="E20202" s="51"/>
      <c r="F20202" s="114" t="str">
        <f>IF(INDEX(I.Facility.P4IDNumber,190)="","",INDEX(I.Facility.P4IDNumber,190))</f>
        <v/>
      </c>
      <c r="G20202" s="51"/>
      <c r="H20202" s="46" t="str">
        <f>IF(AND(I.Developer.P4=TRUE,I.Facility.P4FacilityCount&gt;=190,F20202=""),"Incomplete","Complete")</f>
        <v>Complete</v>
      </c>
      <c r="I20202" s="48" t="s">
        <v>24567</v>
      </c>
    </row>
    <row r="20203" spans="2:9" ht="15" customHeight="1" x14ac:dyDescent="0.25">
      <c r="B20203" s="55" t="s">
        <v>283</v>
      </c>
      <c r="C20203" s="46">
        <v>191</v>
      </c>
      <c r="D20203" s="69" t="s">
        <v>29420</v>
      </c>
      <c r="E20203" s="51"/>
      <c r="F20203" s="114" t="str">
        <f>IF(INDEX(I.Facility.P4IDNumber,191)="","",INDEX(I.Facility.P4IDNumber,191))</f>
        <v/>
      </c>
      <c r="G20203" s="51"/>
      <c r="H20203" s="46" t="str">
        <f>IF(AND(I.Developer.P4=TRUE,I.Facility.P4FacilityCount&gt;=191,F20203=""),"Incomplete","Complete")</f>
        <v>Complete</v>
      </c>
      <c r="I20203" s="48" t="s">
        <v>24568</v>
      </c>
    </row>
    <row r="20204" spans="2:9" ht="15" customHeight="1" x14ac:dyDescent="0.25">
      <c r="B20204" s="55" t="s">
        <v>283</v>
      </c>
      <c r="C20204" s="46">
        <v>192</v>
      </c>
      <c r="D20204" s="69" t="s">
        <v>29420</v>
      </c>
      <c r="E20204" s="51"/>
      <c r="F20204" s="114" t="str">
        <f>IF(INDEX(I.Facility.P4IDNumber,192)="","",INDEX(I.Facility.P4IDNumber,192))</f>
        <v/>
      </c>
      <c r="G20204" s="51"/>
      <c r="H20204" s="46" t="str">
        <f>IF(AND(I.Developer.P4=TRUE,I.Facility.P4FacilityCount&gt;=192,F20204=""),"Incomplete","Complete")</f>
        <v>Complete</v>
      </c>
      <c r="I20204" s="48" t="s">
        <v>24569</v>
      </c>
    </row>
    <row r="20205" spans="2:9" ht="15" customHeight="1" x14ac:dyDescent="0.25">
      <c r="B20205" s="55" t="s">
        <v>283</v>
      </c>
      <c r="C20205" s="46">
        <v>193</v>
      </c>
      <c r="D20205" s="69" t="s">
        <v>29420</v>
      </c>
      <c r="E20205" s="51"/>
      <c r="F20205" s="114" t="str">
        <f>IF(INDEX(I.Facility.P4IDNumber,193)="","",INDEX(I.Facility.P4IDNumber,193))</f>
        <v/>
      </c>
      <c r="G20205" s="51"/>
      <c r="H20205" s="46" t="str">
        <f>IF(AND(I.Developer.P4=TRUE,I.Facility.P4FacilityCount&gt;=193,F20205=""),"Incomplete","Complete")</f>
        <v>Complete</v>
      </c>
      <c r="I20205" s="48" t="s">
        <v>24570</v>
      </c>
    </row>
    <row r="20206" spans="2:9" ht="15" customHeight="1" x14ac:dyDescent="0.25">
      <c r="B20206" s="55" t="s">
        <v>283</v>
      </c>
      <c r="C20206" s="46">
        <v>194</v>
      </c>
      <c r="D20206" s="69" t="s">
        <v>29420</v>
      </c>
      <c r="E20206" s="51"/>
      <c r="F20206" s="114" t="str">
        <f>IF(INDEX(I.Facility.P4IDNumber,194)="","",INDEX(I.Facility.P4IDNumber,194))</f>
        <v/>
      </c>
      <c r="G20206" s="51"/>
      <c r="H20206" s="46" t="str">
        <f>IF(AND(I.Developer.P4=TRUE,I.Facility.P4FacilityCount&gt;=194,F20206=""),"Incomplete","Complete")</f>
        <v>Complete</v>
      </c>
      <c r="I20206" s="48" t="s">
        <v>24571</v>
      </c>
    </row>
    <row r="20207" spans="2:9" ht="15" customHeight="1" x14ac:dyDescent="0.25">
      <c r="B20207" s="55" t="s">
        <v>283</v>
      </c>
      <c r="C20207" s="46">
        <v>195</v>
      </c>
      <c r="D20207" s="69" t="s">
        <v>29420</v>
      </c>
      <c r="E20207" s="51"/>
      <c r="F20207" s="114" t="str">
        <f>IF(INDEX(I.Facility.P4IDNumber,195)="","",INDEX(I.Facility.P4IDNumber,195))</f>
        <v/>
      </c>
      <c r="G20207" s="51"/>
      <c r="H20207" s="46" t="str">
        <f>IF(AND(I.Developer.P4=TRUE,I.Facility.P4FacilityCount&gt;=195,F20207=""),"Incomplete","Complete")</f>
        <v>Complete</v>
      </c>
      <c r="I20207" s="48" t="s">
        <v>24572</v>
      </c>
    </row>
    <row r="20208" spans="2:9" ht="15" customHeight="1" x14ac:dyDescent="0.25">
      <c r="B20208" s="55" t="s">
        <v>283</v>
      </c>
      <c r="C20208" s="46">
        <v>196</v>
      </c>
      <c r="D20208" s="69" t="s">
        <v>29420</v>
      </c>
      <c r="E20208" s="51"/>
      <c r="F20208" s="114" t="str">
        <f>IF(INDEX(I.Facility.P4IDNumber,196)="","",INDEX(I.Facility.P4IDNumber,196))</f>
        <v/>
      </c>
      <c r="G20208" s="51"/>
      <c r="H20208" s="46" t="str">
        <f>IF(AND(I.Developer.P4=TRUE,I.Facility.P4FacilityCount&gt;=196,F20208=""),"Incomplete","Complete")</f>
        <v>Complete</v>
      </c>
      <c r="I20208" s="48" t="s">
        <v>24573</v>
      </c>
    </row>
    <row r="20209" spans="2:9" ht="15" customHeight="1" x14ac:dyDescent="0.25">
      <c r="B20209" s="55" t="s">
        <v>283</v>
      </c>
      <c r="C20209" s="46">
        <v>197</v>
      </c>
      <c r="D20209" s="69" t="s">
        <v>29420</v>
      </c>
      <c r="E20209" s="51"/>
      <c r="F20209" s="114" t="str">
        <f>IF(INDEX(I.Facility.P4IDNumber,197)="","",INDEX(I.Facility.P4IDNumber,197))</f>
        <v/>
      </c>
      <c r="G20209" s="51"/>
      <c r="H20209" s="46" t="str">
        <f>IF(AND(I.Developer.P4=TRUE,I.Facility.P4FacilityCount&gt;=197,F20209=""),"Incomplete","Complete")</f>
        <v>Complete</v>
      </c>
      <c r="I20209" s="48" t="s">
        <v>24574</v>
      </c>
    </row>
    <row r="20210" spans="2:9" ht="15" customHeight="1" x14ac:dyDescent="0.25">
      <c r="B20210" s="55" t="s">
        <v>283</v>
      </c>
      <c r="C20210" s="46">
        <v>198</v>
      </c>
      <c r="D20210" s="69" t="s">
        <v>29420</v>
      </c>
      <c r="E20210" s="51"/>
      <c r="F20210" s="114" t="str">
        <f>IF(INDEX(I.Facility.P4IDNumber,198)="","",INDEX(I.Facility.P4IDNumber,198))</f>
        <v/>
      </c>
      <c r="G20210" s="51"/>
      <c r="H20210" s="46" t="str">
        <f>IF(AND(I.Developer.P4=TRUE,I.Facility.P4FacilityCount&gt;=198,F20210=""),"Incomplete","Complete")</f>
        <v>Complete</v>
      </c>
      <c r="I20210" s="48" t="s">
        <v>24575</v>
      </c>
    </row>
    <row r="20211" spans="2:9" ht="15" customHeight="1" x14ac:dyDescent="0.25">
      <c r="B20211" s="55" t="s">
        <v>283</v>
      </c>
      <c r="C20211" s="46">
        <v>199</v>
      </c>
      <c r="D20211" s="69" t="s">
        <v>29420</v>
      </c>
      <c r="E20211" s="51"/>
      <c r="F20211" s="114" t="str">
        <f>IF(INDEX(I.Facility.P4IDNumber,199)="","",INDEX(I.Facility.P4IDNumber,199))</f>
        <v/>
      </c>
      <c r="G20211" s="51"/>
      <c r="H20211" s="46" t="str">
        <f>IF(AND(I.Developer.P4=TRUE,I.Facility.P4FacilityCount&gt;=199,F20211=""),"Incomplete","Complete")</f>
        <v>Complete</v>
      </c>
      <c r="I20211" s="48" t="s">
        <v>24576</v>
      </c>
    </row>
    <row r="20212" spans="2:9" ht="15" customHeight="1" x14ac:dyDescent="0.25">
      <c r="B20212" s="55" t="s">
        <v>283</v>
      </c>
      <c r="C20212" s="46">
        <v>200</v>
      </c>
      <c r="D20212" s="69" t="s">
        <v>29420</v>
      </c>
      <c r="E20212" s="51"/>
      <c r="F20212" s="114" t="str">
        <f>IF(INDEX(I.Facility.P4IDNumber,200)="","",INDEX(I.Facility.P4IDNumber,200))</f>
        <v/>
      </c>
      <c r="G20212" s="51"/>
      <c r="H20212" s="46" t="str">
        <f>IF(AND(I.Developer.P4=TRUE,I.Facility.P4FacilityCount&gt;=200,F20212=""),"Incomplete","Complete")</f>
        <v>Complete</v>
      </c>
      <c r="I20212" s="48" t="s">
        <v>24577</v>
      </c>
    </row>
    <row r="20213" spans="2:9" ht="15" customHeight="1" x14ac:dyDescent="0.25">
      <c r="B20213" s="55" t="s">
        <v>283</v>
      </c>
      <c r="C20213" s="46">
        <v>201</v>
      </c>
      <c r="D20213" s="69" t="s">
        <v>29420</v>
      </c>
      <c r="E20213" s="51"/>
      <c r="F20213" s="114" t="str">
        <f>IF(INDEX(I.Facility.P4IDNumber,201)="","",INDEX(I.Facility.P4IDNumber,201))</f>
        <v/>
      </c>
      <c r="G20213" s="51"/>
      <c r="H20213" s="46" t="str">
        <f>IF(AND(I.Developer.P4=TRUE,I.Facility.P4FacilityCount&gt;=201,F20213=""),"Incomplete","Complete")</f>
        <v>Complete</v>
      </c>
      <c r="I20213" s="48" t="s">
        <v>24578</v>
      </c>
    </row>
    <row r="20214" spans="2:9" ht="15" customHeight="1" x14ac:dyDescent="0.25">
      <c r="B20214" s="55" t="s">
        <v>283</v>
      </c>
      <c r="C20214" s="46">
        <v>202</v>
      </c>
      <c r="D20214" s="69" t="s">
        <v>29420</v>
      </c>
      <c r="E20214" s="51"/>
      <c r="F20214" s="114" t="str">
        <f>IF(INDEX(I.Facility.P4IDNumber,202)="","",INDEX(I.Facility.P4IDNumber,202))</f>
        <v/>
      </c>
      <c r="G20214" s="51"/>
      <c r="H20214" s="46" t="str">
        <f>IF(AND(I.Developer.P4=TRUE,I.Facility.P4FacilityCount&gt;=202,F20214=""),"Incomplete","Complete")</f>
        <v>Complete</v>
      </c>
      <c r="I20214" s="48" t="s">
        <v>24579</v>
      </c>
    </row>
    <row r="20215" spans="2:9" ht="15" customHeight="1" x14ac:dyDescent="0.25">
      <c r="B20215" s="55" t="s">
        <v>283</v>
      </c>
      <c r="C20215" s="46">
        <v>203</v>
      </c>
      <c r="D20215" s="69" t="s">
        <v>29420</v>
      </c>
      <c r="E20215" s="51"/>
      <c r="F20215" s="114" t="str">
        <f>IF(INDEX(I.Facility.P4IDNumber,203)="","",INDEX(I.Facility.P4IDNumber,203))</f>
        <v/>
      </c>
      <c r="G20215" s="51"/>
      <c r="H20215" s="46" t="str">
        <f>IF(AND(I.Developer.P4=TRUE,I.Facility.P4FacilityCount&gt;=203,F20215=""),"Incomplete","Complete")</f>
        <v>Complete</v>
      </c>
      <c r="I20215" s="48" t="s">
        <v>24580</v>
      </c>
    </row>
    <row r="20216" spans="2:9" ht="15" customHeight="1" x14ac:dyDescent="0.25">
      <c r="B20216" s="55" t="s">
        <v>283</v>
      </c>
      <c r="C20216" s="46">
        <v>204</v>
      </c>
      <c r="D20216" s="69" t="s">
        <v>29420</v>
      </c>
      <c r="E20216" s="51"/>
      <c r="F20216" s="114" t="str">
        <f>IF(INDEX(I.Facility.P4IDNumber,204)="","",INDEX(I.Facility.P4IDNumber,204))</f>
        <v/>
      </c>
      <c r="G20216" s="51"/>
      <c r="H20216" s="46" t="str">
        <f>IF(AND(I.Developer.P4=TRUE,I.Facility.P4FacilityCount&gt;=204,F20216=""),"Incomplete","Complete")</f>
        <v>Complete</v>
      </c>
      <c r="I20216" s="48" t="s">
        <v>24581</v>
      </c>
    </row>
    <row r="20217" spans="2:9" ht="15" customHeight="1" x14ac:dyDescent="0.25">
      <c r="B20217" s="55" t="s">
        <v>283</v>
      </c>
      <c r="C20217" s="46">
        <v>205</v>
      </c>
      <c r="D20217" s="69" t="s">
        <v>29420</v>
      </c>
      <c r="E20217" s="51"/>
      <c r="F20217" s="114" t="str">
        <f>IF(INDEX(I.Facility.P4IDNumber,205)="","",INDEX(I.Facility.P4IDNumber,205))</f>
        <v/>
      </c>
      <c r="G20217" s="51"/>
      <c r="H20217" s="46" t="str">
        <f>IF(AND(I.Developer.P4=TRUE,I.Facility.P4FacilityCount&gt;=205,F20217=""),"Incomplete","Complete")</f>
        <v>Complete</v>
      </c>
      <c r="I20217" s="48" t="s">
        <v>24582</v>
      </c>
    </row>
    <row r="20218" spans="2:9" ht="15" customHeight="1" x14ac:dyDescent="0.25">
      <c r="B20218" s="55" t="s">
        <v>283</v>
      </c>
      <c r="C20218" s="46">
        <v>206</v>
      </c>
      <c r="D20218" s="69" t="s">
        <v>29420</v>
      </c>
      <c r="E20218" s="51"/>
      <c r="F20218" s="114" t="str">
        <f>IF(INDEX(I.Facility.P4IDNumber,206)="","",INDEX(I.Facility.P4IDNumber,206))</f>
        <v/>
      </c>
      <c r="G20218" s="51"/>
      <c r="H20218" s="46" t="str">
        <f>IF(AND(I.Developer.P4=TRUE,I.Facility.P4FacilityCount&gt;=206,F20218=""),"Incomplete","Complete")</f>
        <v>Complete</v>
      </c>
      <c r="I20218" s="48" t="s">
        <v>24583</v>
      </c>
    </row>
    <row r="20219" spans="2:9" ht="15" customHeight="1" x14ac:dyDescent="0.25">
      <c r="B20219" s="55" t="s">
        <v>283</v>
      </c>
      <c r="C20219" s="46">
        <v>207</v>
      </c>
      <c r="D20219" s="69" t="s">
        <v>29420</v>
      </c>
      <c r="E20219" s="51"/>
      <c r="F20219" s="114" t="str">
        <f>IF(INDEX(I.Facility.P4IDNumber,207)="","",INDEX(I.Facility.P4IDNumber,207))</f>
        <v/>
      </c>
      <c r="G20219" s="51"/>
      <c r="H20219" s="46" t="str">
        <f>IF(AND(I.Developer.P4=TRUE,I.Facility.P4FacilityCount&gt;=207,F20219=""),"Incomplete","Complete")</f>
        <v>Complete</v>
      </c>
      <c r="I20219" s="48" t="s">
        <v>24584</v>
      </c>
    </row>
    <row r="20220" spans="2:9" ht="15" customHeight="1" x14ac:dyDescent="0.25">
      <c r="B20220" s="55" t="s">
        <v>283</v>
      </c>
      <c r="C20220" s="46">
        <v>208</v>
      </c>
      <c r="D20220" s="69" t="s">
        <v>29420</v>
      </c>
      <c r="E20220" s="51"/>
      <c r="F20220" s="114" t="str">
        <f>IF(INDEX(I.Facility.P4IDNumber,208)="","",INDEX(I.Facility.P4IDNumber,208))</f>
        <v/>
      </c>
      <c r="G20220" s="51"/>
      <c r="H20220" s="46" t="str">
        <f>IF(AND(I.Developer.P4=TRUE,I.Facility.P4FacilityCount&gt;=208,F20220=""),"Incomplete","Complete")</f>
        <v>Complete</v>
      </c>
      <c r="I20220" s="48" t="s">
        <v>24585</v>
      </c>
    </row>
    <row r="20221" spans="2:9" ht="15" customHeight="1" x14ac:dyDescent="0.25">
      <c r="B20221" s="55" t="s">
        <v>283</v>
      </c>
      <c r="C20221" s="46">
        <v>209</v>
      </c>
      <c r="D20221" s="69" t="s">
        <v>29420</v>
      </c>
      <c r="E20221" s="51"/>
      <c r="F20221" s="114" t="str">
        <f>IF(INDEX(I.Facility.P4IDNumber,209)="","",INDEX(I.Facility.P4IDNumber,209))</f>
        <v/>
      </c>
      <c r="G20221" s="51"/>
      <c r="H20221" s="46" t="str">
        <f>IF(AND(I.Developer.P4=TRUE,I.Facility.P4FacilityCount&gt;=209,F20221=""),"Incomplete","Complete")</f>
        <v>Complete</v>
      </c>
      <c r="I20221" s="48" t="s">
        <v>24586</v>
      </c>
    </row>
    <row r="20222" spans="2:9" ht="15" customHeight="1" x14ac:dyDescent="0.25">
      <c r="B20222" s="55" t="s">
        <v>283</v>
      </c>
      <c r="C20222" s="46">
        <v>210</v>
      </c>
      <c r="D20222" s="69" t="s">
        <v>29420</v>
      </c>
      <c r="E20222" s="51"/>
      <c r="F20222" s="114" t="str">
        <f>IF(INDEX(I.Facility.P4IDNumber,210)="","",INDEX(I.Facility.P4IDNumber,210))</f>
        <v/>
      </c>
      <c r="G20222" s="51"/>
      <c r="H20222" s="46" t="str">
        <f>IF(AND(I.Developer.P4=TRUE,I.Facility.P4FacilityCount&gt;=210,F20222=""),"Incomplete","Complete")</f>
        <v>Complete</v>
      </c>
      <c r="I20222" s="48" t="s">
        <v>24587</v>
      </c>
    </row>
    <row r="20223" spans="2:9" ht="15" customHeight="1" x14ac:dyDescent="0.25">
      <c r="B20223" s="55" t="s">
        <v>283</v>
      </c>
      <c r="C20223" s="46">
        <v>211</v>
      </c>
      <c r="D20223" s="69" t="s">
        <v>29420</v>
      </c>
      <c r="E20223" s="51"/>
      <c r="F20223" s="114" t="str">
        <f>IF(INDEX(I.Facility.P4IDNumber,211)="","",INDEX(I.Facility.P4IDNumber,211))</f>
        <v/>
      </c>
      <c r="G20223" s="51"/>
      <c r="H20223" s="46" t="str">
        <f>IF(AND(I.Developer.P4=TRUE,I.Facility.P4FacilityCount&gt;=211,F20223=""),"Incomplete","Complete")</f>
        <v>Complete</v>
      </c>
      <c r="I20223" s="48" t="s">
        <v>24588</v>
      </c>
    </row>
    <row r="20224" spans="2:9" ht="15" customHeight="1" x14ac:dyDescent="0.25">
      <c r="B20224" s="55" t="s">
        <v>283</v>
      </c>
      <c r="C20224" s="46">
        <v>212</v>
      </c>
      <c r="D20224" s="69" t="s">
        <v>29420</v>
      </c>
      <c r="E20224" s="51"/>
      <c r="F20224" s="114" t="str">
        <f>IF(INDEX(I.Facility.P4IDNumber,212)="","",INDEX(I.Facility.P4IDNumber,212))</f>
        <v/>
      </c>
      <c r="G20224" s="51"/>
      <c r="H20224" s="46" t="str">
        <f>IF(AND(I.Developer.P4=TRUE,I.Facility.P4FacilityCount&gt;=212,F20224=""),"Incomplete","Complete")</f>
        <v>Complete</v>
      </c>
      <c r="I20224" s="48" t="s">
        <v>24589</v>
      </c>
    </row>
    <row r="20225" spans="2:9" ht="15" customHeight="1" x14ac:dyDescent="0.25">
      <c r="B20225" s="55" t="s">
        <v>283</v>
      </c>
      <c r="C20225" s="46">
        <v>213</v>
      </c>
      <c r="D20225" s="69" t="s">
        <v>29420</v>
      </c>
      <c r="E20225" s="51"/>
      <c r="F20225" s="114" t="str">
        <f>IF(INDEX(I.Facility.P4IDNumber,213)="","",INDEX(I.Facility.P4IDNumber,213))</f>
        <v/>
      </c>
      <c r="G20225" s="51"/>
      <c r="H20225" s="46" t="str">
        <f>IF(AND(I.Developer.P4=TRUE,I.Facility.P4FacilityCount&gt;=213,F20225=""),"Incomplete","Complete")</f>
        <v>Complete</v>
      </c>
      <c r="I20225" s="48" t="s">
        <v>24590</v>
      </c>
    </row>
    <row r="20226" spans="2:9" ht="15" customHeight="1" x14ac:dyDescent="0.25">
      <c r="B20226" s="55" t="s">
        <v>283</v>
      </c>
      <c r="C20226" s="46">
        <v>214</v>
      </c>
      <c r="D20226" s="69" t="s">
        <v>29420</v>
      </c>
      <c r="E20226" s="51"/>
      <c r="F20226" s="114" t="str">
        <f>IF(INDEX(I.Facility.P4IDNumber,214)="","",INDEX(I.Facility.P4IDNumber,214))</f>
        <v/>
      </c>
      <c r="G20226" s="51"/>
      <c r="H20226" s="46" t="str">
        <f>IF(AND(I.Developer.P4=TRUE,I.Facility.P4FacilityCount&gt;=214,F20226=""),"Incomplete","Complete")</f>
        <v>Complete</v>
      </c>
      <c r="I20226" s="48" t="s">
        <v>24591</v>
      </c>
    </row>
    <row r="20227" spans="2:9" ht="15" customHeight="1" x14ac:dyDescent="0.25">
      <c r="B20227" s="55" t="s">
        <v>283</v>
      </c>
      <c r="C20227" s="46">
        <v>215</v>
      </c>
      <c r="D20227" s="69" t="s">
        <v>29420</v>
      </c>
      <c r="E20227" s="51"/>
      <c r="F20227" s="114" t="str">
        <f>IF(INDEX(I.Facility.P4IDNumber,215)="","",INDEX(I.Facility.P4IDNumber,215))</f>
        <v/>
      </c>
      <c r="G20227" s="51"/>
      <c r="H20227" s="46" t="str">
        <f>IF(AND(I.Developer.P4=TRUE,I.Facility.P4FacilityCount&gt;=215,F20227=""),"Incomplete","Complete")</f>
        <v>Complete</v>
      </c>
      <c r="I20227" s="48" t="s">
        <v>24592</v>
      </c>
    </row>
    <row r="20228" spans="2:9" ht="15" customHeight="1" x14ac:dyDescent="0.25">
      <c r="B20228" s="55" t="s">
        <v>283</v>
      </c>
      <c r="C20228" s="46">
        <v>216</v>
      </c>
      <c r="D20228" s="69" t="s">
        <v>29420</v>
      </c>
      <c r="E20228" s="51"/>
      <c r="F20228" s="114" t="str">
        <f>IF(INDEX(I.Facility.P4IDNumber,216)="","",INDEX(I.Facility.P4IDNumber,216))</f>
        <v/>
      </c>
      <c r="G20228" s="51"/>
      <c r="H20228" s="46" t="str">
        <f>IF(AND(I.Developer.P4=TRUE,I.Facility.P4FacilityCount&gt;=216,F20228=""),"Incomplete","Complete")</f>
        <v>Complete</v>
      </c>
      <c r="I20228" s="48" t="s">
        <v>24593</v>
      </c>
    </row>
    <row r="20229" spans="2:9" ht="15" customHeight="1" x14ac:dyDescent="0.25">
      <c r="B20229" s="55" t="s">
        <v>283</v>
      </c>
      <c r="C20229" s="46">
        <v>217</v>
      </c>
      <c r="D20229" s="69" t="s">
        <v>29420</v>
      </c>
      <c r="E20229" s="51"/>
      <c r="F20229" s="114" t="str">
        <f>IF(INDEX(I.Facility.P4IDNumber,217)="","",INDEX(I.Facility.P4IDNumber,217))</f>
        <v/>
      </c>
      <c r="G20229" s="51"/>
      <c r="H20229" s="46" t="str">
        <f>IF(AND(I.Developer.P4=TRUE,I.Facility.P4FacilityCount&gt;=217,F20229=""),"Incomplete","Complete")</f>
        <v>Complete</v>
      </c>
      <c r="I20229" s="48" t="s">
        <v>24594</v>
      </c>
    </row>
    <row r="20230" spans="2:9" ht="15" customHeight="1" x14ac:dyDescent="0.25">
      <c r="B20230" s="55" t="s">
        <v>283</v>
      </c>
      <c r="C20230" s="46">
        <v>218</v>
      </c>
      <c r="D20230" s="69" t="s">
        <v>29420</v>
      </c>
      <c r="E20230" s="51"/>
      <c r="F20230" s="114" t="str">
        <f>IF(INDEX(I.Facility.P4IDNumber,218)="","",INDEX(I.Facility.P4IDNumber,218))</f>
        <v/>
      </c>
      <c r="G20230" s="51"/>
      <c r="H20230" s="46" t="str">
        <f>IF(AND(I.Developer.P4=TRUE,I.Facility.P4FacilityCount&gt;=218,F20230=""),"Incomplete","Complete")</f>
        <v>Complete</v>
      </c>
      <c r="I20230" s="48" t="s">
        <v>24595</v>
      </c>
    </row>
    <row r="20231" spans="2:9" ht="15" customHeight="1" x14ac:dyDescent="0.25">
      <c r="B20231" s="55" t="s">
        <v>283</v>
      </c>
      <c r="C20231" s="46">
        <v>219</v>
      </c>
      <c r="D20231" s="69" t="s">
        <v>29420</v>
      </c>
      <c r="E20231" s="51"/>
      <c r="F20231" s="114" t="str">
        <f>IF(INDEX(I.Facility.P4IDNumber,219)="","",INDEX(I.Facility.P4IDNumber,219))</f>
        <v/>
      </c>
      <c r="G20231" s="51"/>
      <c r="H20231" s="46" t="str">
        <f>IF(AND(I.Developer.P4=TRUE,I.Facility.P4FacilityCount&gt;=219,F20231=""),"Incomplete","Complete")</f>
        <v>Complete</v>
      </c>
      <c r="I20231" s="48" t="s">
        <v>24596</v>
      </c>
    </row>
    <row r="20232" spans="2:9" ht="15" customHeight="1" x14ac:dyDescent="0.25">
      <c r="B20232" s="55" t="s">
        <v>283</v>
      </c>
      <c r="C20232" s="46">
        <v>220</v>
      </c>
      <c r="D20232" s="69" t="s">
        <v>29420</v>
      </c>
      <c r="E20232" s="51"/>
      <c r="F20232" s="114" t="str">
        <f>IF(INDEX(I.Facility.P4IDNumber,220)="","",INDEX(I.Facility.P4IDNumber,220))</f>
        <v/>
      </c>
      <c r="G20232" s="51"/>
      <c r="H20232" s="46" t="str">
        <f>IF(AND(I.Developer.P4=TRUE,I.Facility.P4FacilityCount&gt;=220,F20232=""),"Incomplete","Complete")</f>
        <v>Complete</v>
      </c>
      <c r="I20232" s="48" t="s">
        <v>24597</v>
      </c>
    </row>
    <row r="20233" spans="2:9" ht="15" customHeight="1" x14ac:dyDescent="0.25">
      <c r="B20233" s="55" t="s">
        <v>283</v>
      </c>
      <c r="C20233" s="46">
        <v>221</v>
      </c>
      <c r="D20233" s="69" t="s">
        <v>29420</v>
      </c>
      <c r="E20233" s="51"/>
      <c r="F20233" s="114" t="str">
        <f>IF(INDEX(I.Facility.P4IDNumber,221)="","",INDEX(I.Facility.P4IDNumber,221))</f>
        <v/>
      </c>
      <c r="G20233" s="51"/>
      <c r="H20233" s="46" t="str">
        <f>IF(AND(I.Developer.P4=TRUE,I.Facility.P4FacilityCount&gt;=221,F20233=""),"Incomplete","Complete")</f>
        <v>Complete</v>
      </c>
      <c r="I20233" s="48" t="s">
        <v>24598</v>
      </c>
    </row>
    <row r="20234" spans="2:9" ht="15" customHeight="1" x14ac:dyDescent="0.25">
      <c r="B20234" s="55" t="s">
        <v>283</v>
      </c>
      <c r="C20234" s="46">
        <v>222</v>
      </c>
      <c r="D20234" s="69" t="s">
        <v>29420</v>
      </c>
      <c r="E20234" s="51"/>
      <c r="F20234" s="114" t="str">
        <f>IF(INDEX(I.Facility.P4IDNumber,222)="","",INDEX(I.Facility.P4IDNumber,222))</f>
        <v/>
      </c>
      <c r="G20234" s="51"/>
      <c r="H20234" s="46" t="str">
        <f>IF(AND(I.Developer.P4=TRUE,I.Facility.P4FacilityCount&gt;=222,F20234=""),"Incomplete","Complete")</f>
        <v>Complete</v>
      </c>
      <c r="I20234" s="48" t="s">
        <v>24599</v>
      </c>
    </row>
    <row r="20235" spans="2:9" ht="15" customHeight="1" x14ac:dyDescent="0.25">
      <c r="B20235" s="55" t="s">
        <v>283</v>
      </c>
      <c r="C20235" s="46">
        <v>223</v>
      </c>
      <c r="D20235" s="69" t="s">
        <v>29420</v>
      </c>
      <c r="E20235" s="51"/>
      <c r="F20235" s="114" t="str">
        <f>IF(INDEX(I.Facility.P4IDNumber,223)="","",INDEX(I.Facility.P4IDNumber,223))</f>
        <v/>
      </c>
      <c r="G20235" s="51"/>
      <c r="H20235" s="46" t="str">
        <f>IF(AND(I.Developer.P4=TRUE,I.Facility.P4FacilityCount&gt;=223,F20235=""),"Incomplete","Complete")</f>
        <v>Complete</v>
      </c>
      <c r="I20235" s="48" t="s">
        <v>24600</v>
      </c>
    </row>
    <row r="20236" spans="2:9" ht="15" customHeight="1" x14ac:dyDescent="0.25">
      <c r="B20236" s="55" t="s">
        <v>283</v>
      </c>
      <c r="C20236" s="46">
        <v>224</v>
      </c>
      <c r="D20236" s="69" t="s">
        <v>29420</v>
      </c>
      <c r="E20236" s="51"/>
      <c r="F20236" s="114" t="str">
        <f>IF(INDEX(I.Facility.P4IDNumber,224)="","",INDEX(I.Facility.P4IDNumber,224))</f>
        <v/>
      </c>
      <c r="G20236" s="51"/>
      <c r="H20236" s="46" t="str">
        <f>IF(AND(I.Developer.P4=TRUE,I.Facility.P4FacilityCount&gt;=224,F20236=""),"Incomplete","Complete")</f>
        <v>Complete</v>
      </c>
      <c r="I20236" s="48" t="s">
        <v>24601</v>
      </c>
    </row>
    <row r="20237" spans="2:9" ht="15" customHeight="1" x14ac:dyDescent="0.25">
      <c r="B20237" s="55" t="s">
        <v>283</v>
      </c>
      <c r="C20237" s="46">
        <v>225</v>
      </c>
      <c r="D20237" s="69" t="s">
        <v>29420</v>
      </c>
      <c r="E20237" s="51"/>
      <c r="F20237" s="114" t="str">
        <f>IF(INDEX(I.Facility.P4IDNumber,225)="","",INDEX(I.Facility.P4IDNumber,225))</f>
        <v/>
      </c>
      <c r="G20237" s="51"/>
      <c r="H20237" s="46" t="str">
        <f>IF(AND(I.Developer.P4=TRUE,I.Facility.P4FacilityCount&gt;=225,F20237=""),"Incomplete","Complete")</f>
        <v>Complete</v>
      </c>
      <c r="I20237" s="48" t="s">
        <v>24602</v>
      </c>
    </row>
    <row r="20238" spans="2:9" ht="15" customHeight="1" x14ac:dyDescent="0.25">
      <c r="B20238" s="55" t="s">
        <v>283</v>
      </c>
      <c r="C20238" s="46">
        <v>226</v>
      </c>
      <c r="D20238" s="69" t="s">
        <v>29420</v>
      </c>
      <c r="E20238" s="51"/>
      <c r="F20238" s="114" t="str">
        <f>IF(INDEX(I.Facility.P4IDNumber,226)="","",INDEX(I.Facility.P4IDNumber,226))</f>
        <v/>
      </c>
      <c r="G20238" s="51"/>
      <c r="H20238" s="46" t="str">
        <f>IF(AND(I.Developer.P4=TRUE,I.Facility.P4FacilityCount&gt;=226,F20238=""),"Incomplete","Complete")</f>
        <v>Complete</v>
      </c>
      <c r="I20238" s="48" t="s">
        <v>24603</v>
      </c>
    </row>
    <row r="20239" spans="2:9" ht="15" customHeight="1" x14ac:dyDescent="0.25">
      <c r="B20239" s="55" t="s">
        <v>283</v>
      </c>
      <c r="C20239" s="46">
        <v>227</v>
      </c>
      <c r="D20239" s="69" t="s">
        <v>29420</v>
      </c>
      <c r="E20239" s="51"/>
      <c r="F20239" s="114" t="str">
        <f>IF(INDEX(I.Facility.P4IDNumber,227)="","",INDEX(I.Facility.P4IDNumber,227))</f>
        <v/>
      </c>
      <c r="G20239" s="51"/>
      <c r="H20239" s="46" t="str">
        <f>IF(AND(I.Developer.P4=TRUE,I.Facility.P4FacilityCount&gt;=227,F20239=""),"Incomplete","Complete")</f>
        <v>Complete</v>
      </c>
      <c r="I20239" s="48" t="s">
        <v>24604</v>
      </c>
    </row>
    <row r="20240" spans="2:9" ht="15" customHeight="1" x14ac:dyDescent="0.25">
      <c r="B20240" s="55" t="s">
        <v>283</v>
      </c>
      <c r="C20240" s="46">
        <v>228</v>
      </c>
      <c r="D20240" s="69" t="s">
        <v>29420</v>
      </c>
      <c r="E20240" s="51"/>
      <c r="F20240" s="114" t="str">
        <f>IF(INDEX(I.Facility.P4IDNumber,228)="","",INDEX(I.Facility.P4IDNumber,228))</f>
        <v/>
      </c>
      <c r="G20240" s="51"/>
      <c r="H20240" s="46" t="str">
        <f>IF(AND(I.Developer.P4=TRUE,I.Facility.P4FacilityCount&gt;=228,F20240=""),"Incomplete","Complete")</f>
        <v>Complete</v>
      </c>
      <c r="I20240" s="48" t="s">
        <v>24605</v>
      </c>
    </row>
    <row r="20241" spans="2:9" ht="15" customHeight="1" x14ac:dyDescent="0.25">
      <c r="B20241" s="55" t="s">
        <v>283</v>
      </c>
      <c r="C20241" s="46">
        <v>229</v>
      </c>
      <c r="D20241" s="69" t="s">
        <v>29420</v>
      </c>
      <c r="E20241" s="51"/>
      <c r="F20241" s="114" t="str">
        <f>IF(INDEX(I.Facility.P4IDNumber,229)="","",INDEX(I.Facility.P4IDNumber,229))</f>
        <v/>
      </c>
      <c r="G20241" s="51"/>
      <c r="H20241" s="46" t="str">
        <f>IF(AND(I.Developer.P4=TRUE,I.Facility.P4FacilityCount&gt;=229,F20241=""),"Incomplete","Complete")</f>
        <v>Complete</v>
      </c>
      <c r="I20241" s="48" t="s">
        <v>24606</v>
      </c>
    </row>
    <row r="20242" spans="2:9" ht="15" customHeight="1" x14ac:dyDescent="0.25">
      <c r="B20242" s="55" t="s">
        <v>283</v>
      </c>
      <c r="C20242" s="46">
        <v>230</v>
      </c>
      <c r="D20242" s="69" t="s">
        <v>29420</v>
      </c>
      <c r="E20242" s="51"/>
      <c r="F20242" s="114" t="str">
        <f>IF(INDEX(I.Facility.P4IDNumber,230)="","",INDEX(I.Facility.P4IDNumber,230))</f>
        <v/>
      </c>
      <c r="G20242" s="51"/>
      <c r="H20242" s="46" t="str">
        <f>IF(AND(I.Developer.P4=TRUE,I.Facility.P4FacilityCount&gt;=230,F20242=""),"Incomplete","Complete")</f>
        <v>Complete</v>
      </c>
      <c r="I20242" s="48" t="s">
        <v>24607</v>
      </c>
    </row>
    <row r="20243" spans="2:9" ht="15" customHeight="1" x14ac:dyDescent="0.25">
      <c r="B20243" s="55" t="s">
        <v>283</v>
      </c>
      <c r="C20243" s="46">
        <v>231</v>
      </c>
      <c r="D20243" s="69" t="s">
        <v>29420</v>
      </c>
      <c r="E20243" s="51"/>
      <c r="F20243" s="114" t="str">
        <f>IF(INDEX(I.Facility.P4IDNumber,231)="","",INDEX(I.Facility.P4IDNumber,231))</f>
        <v/>
      </c>
      <c r="G20243" s="51"/>
      <c r="H20243" s="46" t="str">
        <f>IF(AND(I.Developer.P4=TRUE,I.Facility.P4FacilityCount&gt;=231,F20243=""),"Incomplete","Complete")</f>
        <v>Complete</v>
      </c>
      <c r="I20243" s="48" t="s">
        <v>24608</v>
      </c>
    </row>
    <row r="20244" spans="2:9" ht="15" customHeight="1" x14ac:dyDescent="0.25">
      <c r="B20244" s="55" t="s">
        <v>283</v>
      </c>
      <c r="C20244" s="46">
        <v>232</v>
      </c>
      <c r="D20244" s="69" t="s">
        <v>29420</v>
      </c>
      <c r="E20244" s="51"/>
      <c r="F20244" s="114" t="str">
        <f>IF(INDEX(I.Facility.P4IDNumber,232)="","",INDEX(I.Facility.P4IDNumber,232))</f>
        <v/>
      </c>
      <c r="G20244" s="51"/>
      <c r="H20244" s="46" t="str">
        <f>IF(AND(I.Developer.P4=TRUE,I.Facility.P4FacilityCount&gt;=232,F20244=""),"Incomplete","Complete")</f>
        <v>Complete</v>
      </c>
      <c r="I20244" s="48" t="s">
        <v>24609</v>
      </c>
    </row>
    <row r="20245" spans="2:9" ht="15" customHeight="1" x14ac:dyDescent="0.25">
      <c r="B20245" s="55" t="s">
        <v>283</v>
      </c>
      <c r="C20245" s="46">
        <v>233</v>
      </c>
      <c r="D20245" s="69" t="s">
        <v>29420</v>
      </c>
      <c r="E20245" s="51"/>
      <c r="F20245" s="114" t="str">
        <f>IF(INDEX(I.Facility.P4IDNumber,233)="","",INDEX(I.Facility.P4IDNumber,233))</f>
        <v/>
      </c>
      <c r="G20245" s="51"/>
      <c r="H20245" s="46" t="str">
        <f>IF(AND(I.Developer.P4=TRUE,I.Facility.P4FacilityCount&gt;=233,F20245=""),"Incomplete","Complete")</f>
        <v>Complete</v>
      </c>
      <c r="I20245" s="48" t="s">
        <v>24610</v>
      </c>
    </row>
    <row r="20246" spans="2:9" ht="15" customHeight="1" x14ac:dyDescent="0.25">
      <c r="B20246" s="55" t="s">
        <v>283</v>
      </c>
      <c r="C20246" s="46">
        <v>234</v>
      </c>
      <c r="D20246" s="69" t="s">
        <v>29420</v>
      </c>
      <c r="E20246" s="51"/>
      <c r="F20246" s="114" t="str">
        <f>IF(INDEX(I.Facility.P4IDNumber,234)="","",INDEX(I.Facility.P4IDNumber,234))</f>
        <v/>
      </c>
      <c r="G20246" s="51"/>
      <c r="H20246" s="46" t="str">
        <f>IF(AND(I.Developer.P4=TRUE,I.Facility.P4FacilityCount&gt;=234,F20246=""),"Incomplete","Complete")</f>
        <v>Complete</v>
      </c>
      <c r="I20246" s="48" t="s">
        <v>24611</v>
      </c>
    </row>
    <row r="20247" spans="2:9" ht="15" customHeight="1" x14ac:dyDescent="0.25">
      <c r="B20247" s="55" t="s">
        <v>283</v>
      </c>
      <c r="C20247" s="46">
        <v>235</v>
      </c>
      <c r="D20247" s="69" t="s">
        <v>29420</v>
      </c>
      <c r="E20247" s="51"/>
      <c r="F20247" s="114" t="str">
        <f>IF(INDEX(I.Facility.P4IDNumber,235)="","",INDEX(I.Facility.P4IDNumber,235))</f>
        <v/>
      </c>
      <c r="G20247" s="51"/>
      <c r="H20247" s="46" t="str">
        <f>IF(AND(I.Developer.P4=TRUE,I.Facility.P4FacilityCount&gt;=235,F20247=""),"Incomplete","Complete")</f>
        <v>Complete</v>
      </c>
      <c r="I20247" s="48" t="s">
        <v>24612</v>
      </c>
    </row>
    <row r="20248" spans="2:9" ht="15" customHeight="1" x14ac:dyDescent="0.25">
      <c r="B20248" s="55" t="s">
        <v>283</v>
      </c>
      <c r="C20248" s="46">
        <v>236</v>
      </c>
      <c r="D20248" s="69" t="s">
        <v>29420</v>
      </c>
      <c r="E20248" s="51"/>
      <c r="F20248" s="114" t="str">
        <f>IF(INDEX(I.Facility.P4IDNumber,236)="","",INDEX(I.Facility.P4IDNumber,236))</f>
        <v/>
      </c>
      <c r="G20248" s="51"/>
      <c r="H20248" s="46" t="str">
        <f>IF(AND(I.Developer.P4=TRUE,I.Facility.P4FacilityCount&gt;=236,F20248=""),"Incomplete","Complete")</f>
        <v>Complete</v>
      </c>
      <c r="I20248" s="48" t="s">
        <v>24613</v>
      </c>
    </row>
    <row r="20249" spans="2:9" ht="15" customHeight="1" x14ac:dyDescent="0.25">
      <c r="B20249" s="55" t="s">
        <v>283</v>
      </c>
      <c r="C20249" s="46">
        <v>237</v>
      </c>
      <c r="D20249" s="69" t="s">
        <v>29420</v>
      </c>
      <c r="E20249" s="51"/>
      <c r="F20249" s="114" t="str">
        <f>IF(INDEX(I.Facility.P4IDNumber,237)="","",INDEX(I.Facility.P4IDNumber,237))</f>
        <v/>
      </c>
      <c r="G20249" s="51"/>
      <c r="H20249" s="46" t="str">
        <f>IF(AND(I.Developer.P4=TRUE,I.Facility.P4FacilityCount&gt;=237,F20249=""),"Incomplete","Complete")</f>
        <v>Complete</v>
      </c>
      <c r="I20249" s="48" t="s">
        <v>24614</v>
      </c>
    </row>
    <row r="20250" spans="2:9" ht="15" customHeight="1" x14ac:dyDescent="0.25">
      <c r="B20250" s="55" t="s">
        <v>283</v>
      </c>
      <c r="C20250" s="46">
        <v>238</v>
      </c>
      <c r="D20250" s="69" t="s">
        <v>29420</v>
      </c>
      <c r="E20250" s="51"/>
      <c r="F20250" s="114" t="str">
        <f>IF(INDEX(I.Facility.P4IDNumber,238)="","",INDEX(I.Facility.P4IDNumber,238))</f>
        <v/>
      </c>
      <c r="G20250" s="51"/>
      <c r="H20250" s="46" t="str">
        <f>IF(AND(I.Developer.P4=TRUE,I.Facility.P4FacilityCount&gt;=238,F20250=""),"Incomplete","Complete")</f>
        <v>Complete</v>
      </c>
      <c r="I20250" s="48" t="s">
        <v>24615</v>
      </c>
    </row>
    <row r="20251" spans="2:9" ht="15" customHeight="1" x14ac:dyDescent="0.25">
      <c r="B20251" s="55" t="s">
        <v>283</v>
      </c>
      <c r="C20251" s="46">
        <v>239</v>
      </c>
      <c r="D20251" s="69" t="s">
        <v>29420</v>
      </c>
      <c r="E20251" s="51"/>
      <c r="F20251" s="114" t="str">
        <f>IF(INDEX(I.Facility.P4IDNumber,239)="","",INDEX(I.Facility.P4IDNumber,239))</f>
        <v/>
      </c>
      <c r="G20251" s="51"/>
      <c r="H20251" s="46" t="str">
        <f>IF(AND(I.Developer.P4=TRUE,I.Facility.P4FacilityCount&gt;=239,F20251=""),"Incomplete","Complete")</f>
        <v>Complete</v>
      </c>
      <c r="I20251" s="48" t="s">
        <v>24616</v>
      </c>
    </row>
    <row r="20252" spans="2:9" ht="15" customHeight="1" x14ac:dyDescent="0.25">
      <c r="B20252" s="55" t="s">
        <v>283</v>
      </c>
      <c r="C20252" s="46">
        <v>240</v>
      </c>
      <c r="D20252" s="69" t="s">
        <v>29420</v>
      </c>
      <c r="E20252" s="51"/>
      <c r="F20252" s="114" t="str">
        <f>IF(INDEX(I.Facility.P4IDNumber,240)="","",INDEX(I.Facility.P4IDNumber,240))</f>
        <v/>
      </c>
      <c r="G20252" s="51"/>
      <c r="H20252" s="46" t="str">
        <f>IF(AND(I.Developer.P4=TRUE,I.Facility.P4FacilityCount&gt;=240,F20252=""),"Incomplete","Complete")</f>
        <v>Complete</v>
      </c>
      <c r="I20252" s="48" t="s">
        <v>24617</v>
      </c>
    </row>
    <row r="20253" spans="2:9" ht="15" customHeight="1" x14ac:dyDescent="0.25">
      <c r="B20253" s="55" t="s">
        <v>283</v>
      </c>
      <c r="C20253" s="46">
        <v>241</v>
      </c>
      <c r="D20253" s="69" t="s">
        <v>29420</v>
      </c>
      <c r="E20253" s="51"/>
      <c r="F20253" s="114" t="str">
        <f>IF(INDEX(I.Facility.P4IDNumber,241)="","",INDEX(I.Facility.P4IDNumber,241))</f>
        <v/>
      </c>
      <c r="G20253" s="51"/>
      <c r="H20253" s="46" t="str">
        <f>IF(AND(I.Developer.P4=TRUE,I.Facility.P4FacilityCount&gt;=241,F20253=""),"Incomplete","Complete")</f>
        <v>Complete</v>
      </c>
      <c r="I20253" s="48" t="s">
        <v>24618</v>
      </c>
    </row>
    <row r="20254" spans="2:9" ht="15" customHeight="1" x14ac:dyDescent="0.25">
      <c r="B20254" s="55" t="s">
        <v>283</v>
      </c>
      <c r="C20254" s="46">
        <v>242</v>
      </c>
      <c r="D20254" s="69" t="s">
        <v>29420</v>
      </c>
      <c r="E20254" s="51"/>
      <c r="F20254" s="114" t="str">
        <f>IF(INDEX(I.Facility.P4IDNumber,242)="","",INDEX(I.Facility.P4IDNumber,242))</f>
        <v/>
      </c>
      <c r="G20254" s="51"/>
      <c r="H20254" s="46" t="str">
        <f>IF(AND(I.Developer.P4=TRUE,I.Facility.P4FacilityCount&gt;=242,F20254=""),"Incomplete","Complete")</f>
        <v>Complete</v>
      </c>
      <c r="I20254" s="48" t="s">
        <v>24619</v>
      </c>
    </row>
    <row r="20255" spans="2:9" ht="15" customHeight="1" x14ac:dyDescent="0.25">
      <c r="B20255" s="55" t="s">
        <v>283</v>
      </c>
      <c r="C20255" s="46">
        <v>243</v>
      </c>
      <c r="D20255" s="69" t="s">
        <v>29420</v>
      </c>
      <c r="E20255" s="51"/>
      <c r="F20255" s="114" t="str">
        <f>IF(INDEX(I.Facility.P4IDNumber,243)="","",INDEX(I.Facility.P4IDNumber,243))</f>
        <v/>
      </c>
      <c r="G20255" s="51"/>
      <c r="H20255" s="46" t="str">
        <f>IF(AND(I.Developer.P4=TRUE,I.Facility.P4FacilityCount&gt;=243,F20255=""),"Incomplete","Complete")</f>
        <v>Complete</v>
      </c>
      <c r="I20255" s="48" t="s">
        <v>24620</v>
      </c>
    </row>
    <row r="20256" spans="2:9" ht="15" customHeight="1" x14ac:dyDescent="0.25">
      <c r="B20256" s="55" t="s">
        <v>283</v>
      </c>
      <c r="C20256" s="46">
        <v>244</v>
      </c>
      <c r="D20256" s="69" t="s">
        <v>29420</v>
      </c>
      <c r="E20256" s="51"/>
      <c r="F20256" s="114" t="str">
        <f>IF(INDEX(I.Facility.P4IDNumber,244)="","",INDEX(I.Facility.P4IDNumber,244))</f>
        <v/>
      </c>
      <c r="G20256" s="51"/>
      <c r="H20256" s="46" t="str">
        <f>IF(AND(I.Developer.P4=TRUE,I.Facility.P4FacilityCount&gt;=244,F20256=""),"Incomplete","Complete")</f>
        <v>Complete</v>
      </c>
      <c r="I20256" s="48" t="s">
        <v>24621</v>
      </c>
    </row>
    <row r="20257" spans="2:9" ht="15" customHeight="1" x14ac:dyDescent="0.25">
      <c r="B20257" s="55" t="s">
        <v>283</v>
      </c>
      <c r="C20257" s="46">
        <v>245</v>
      </c>
      <c r="D20257" s="69" t="s">
        <v>29420</v>
      </c>
      <c r="E20257" s="51"/>
      <c r="F20257" s="114" t="str">
        <f>IF(INDEX(I.Facility.P4IDNumber,245)="","",INDEX(I.Facility.P4IDNumber,245))</f>
        <v/>
      </c>
      <c r="G20257" s="51"/>
      <c r="H20257" s="46" t="str">
        <f>IF(AND(I.Developer.P4=TRUE,I.Facility.P4FacilityCount&gt;=245,F20257=""),"Incomplete","Complete")</f>
        <v>Complete</v>
      </c>
      <c r="I20257" s="48" t="s">
        <v>24622</v>
      </c>
    </row>
    <row r="20258" spans="2:9" ht="15" customHeight="1" x14ac:dyDescent="0.25">
      <c r="B20258" s="55" t="s">
        <v>283</v>
      </c>
      <c r="C20258" s="46">
        <v>246</v>
      </c>
      <c r="D20258" s="69" t="s">
        <v>29420</v>
      </c>
      <c r="E20258" s="51"/>
      <c r="F20258" s="114" t="str">
        <f>IF(INDEX(I.Facility.P4IDNumber,246)="","",INDEX(I.Facility.P4IDNumber,246))</f>
        <v/>
      </c>
      <c r="G20258" s="51"/>
      <c r="H20258" s="46" t="str">
        <f>IF(AND(I.Developer.P4=TRUE,I.Facility.P4FacilityCount&gt;=246,F20258=""),"Incomplete","Complete")</f>
        <v>Complete</v>
      </c>
      <c r="I20258" s="48" t="s">
        <v>24623</v>
      </c>
    </row>
    <row r="20259" spans="2:9" ht="15" customHeight="1" x14ac:dyDescent="0.25">
      <c r="B20259" s="55" t="s">
        <v>283</v>
      </c>
      <c r="C20259" s="46">
        <v>247</v>
      </c>
      <c r="D20259" s="69" t="s">
        <v>29420</v>
      </c>
      <c r="E20259" s="51"/>
      <c r="F20259" s="114" t="str">
        <f>IF(INDEX(I.Facility.P4IDNumber,247)="","",INDEX(I.Facility.P4IDNumber,247))</f>
        <v/>
      </c>
      <c r="G20259" s="51"/>
      <c r="H20259" s="46" t="str">
        <f>IF(AND(I.Developer.P4=TRUE,I.Facility.P4FacilityCount&gt;=247,F20259=""),"Incomplete","Complete")</f>
        <v>Complete</v>
      </c>
      <c r="I20259" s="48" t="s">
        <v>24624</v>
      </c>
    </row>
    <row r="20260" spans="2:9" ht="15" customHeight="1" x14ac:dyDescent="0.25">
      <c r="B20260" s="55" t="s">
        <v>283</v>
      </c>
      <c r="C20260" s="46">
        <v>248</v>
      </c>
      <c r="D20260" s="69" t="s">
        <v>29420</v>
      </c>
      <c r="E20260" s="51"/>
      <c r="F20260" s="114" t="str">
        <f>IF(INDEX(I.Facility.P4IDNumber,248)="","",INDEX(I.Facility.P4IDNumber,248))</f>
        <v/>
      </c>
      <c r="G20260" s="51"/>
      <c r="H20260" s="46" t="str">
        <f>IF(AND(I.Developer.P4=TRUE,I.Facility.P4FacilityCount&gt;=248,F20260=""),"Incomplete","Complete")</f>
        <v>Complete</v>
      </c>
      <c r="I20260" s="48" t="s">
        <v>24625</v>
      </c>
    </row>
    <row r="20261" spans="2:9" ht="15" customHeight="1" x14ac:dyDescent="0.25">
      <c r="B20261" s="55" t="s">
        <v>283</v>
      </c>
      <c r="C20261" s="46">
        <v>249</v>
      </c>
      <c r="D20261" s="69" t="s">
        <v>29420</v>
      </c>
      <c r="E20261" s="51"/>
      <c r="F20261" s="114" t="str">
        <f>IF(INDEX(I.Facility.P4IDNumber,249)="","",INDEX(I.Facility.P4IDNumber,249))</f>
        <v/>
      </c>
      <c r="G20261" s="51"/>
      <c r="H20261" s="46" t="str">
        <f>IF(AND(I.Developer.P4=TRUE,I.Facility.P4FacilityCount&gt;=249,F20261=""),"Incomplete","Complete")</f>
        <v>Complete</v>
      </c>
      <c r="I20261" s="48" t="s">
        <v>24626</v>
      </c>
    </row>
    <row r="20262" spans="2:9" ht="15" customHeight="1" x14ac:dyDescent="0.25">
      <c r="B20262" s="55" t="s">
        <v>283</v>
      </c>
      <c r="C20262" s="46">
        <v>250</v>
      </c>
      <c r="D20262" s="69" t="s">
        <v>29420</v>
      </c>
      <c r="E20262" s="51"/>
      <c r="F20262" s="114" t="str">
        <f>IF(INDEX(I.Facility.P4IDNumber,250)="","",INDEX(I.Facility.P4IDNumber,250))</f>
        <v/>
      </c>
      <c r="G20262" s="51"/>
      <c r="H20262" s="46" t="str">
        <f>IF(AND(I.Developer.P4=TRUE,I.Facility.P4FacilityCount&gt;=250,F20262=""),"Incomplete","Complete")</f>
        <v>Complete</v>
      </c>
      <c r="I20262" s="48" t="s">
        <v>24627</v>
      </c>
    </row>
    <row r="20263" spans="2:9" ht="15" customHeight="1" x14ac:dyDescent="0.25">
      <c r="B20263" s="55" t="s">
        <v>283</v>
      </c>
      <c r="C20263" s="46">
        <v>251</v>
      </c>
      <c r="D20263" s="69" t="s">
        <v>29420</v>
      </c>
      <c r="E20263" s="51"/>
      <c r="F20263" s="114" t="str">
        <f>IF(INDEX(I.Facility.P4IDNumber,251)="","",INDEX(I.Facility.P4IDNumber,251))</f>
        <v/>
      </c>
      <c r="G20263" s="51"/>
      <c r="H20263" s="46" t="str">
        <f>IF(AND(I.Developer.P4=TRUE,I.Facility.P4FacilityCount&gt;=251,F20263=""),"Incomplete","Complete")</f>
        <v>Complete</v>
      </c>
      <c r="I20263" s="48" t="s">
        <v>24628</v>
      </c>
    </row>
    <row r="20264" spans="2:9" ht="15" customHeight="1" x14ac:dyDescent="0.25">
      <c r="B20264" s="55" t="s">
        <v>283</v>
      </c>
      <c r="C20264" s="46">
        <v>252</v>
      </c>
      <c r="D20264" s="69" t="s">
        <v>29420</v>
      </c>
      <c r="E20264" s="51"/>
      <c r="F20264" s="114" t="str">
        <f>IF(INDEX(I.Facility.P4IDNumber,252)="","",INDEX(I.Facility.P4IDNumber,252))</f>
        <v/>
      </c>
      <c r="G20264" s="51"/>
      <c r="H20264" s="46" t="str">
        <f>IF(AND(I.Developer.P4=TRUE,I.Facility.P4FacilityCount&gt;=252,F20264=""),"Incomplete","Complete")</f>
        <v>Complete</v>
      </c>
      <c r="I20264" s="48" t="s">
        <v>24629</v>
      </c>
    </row>
    <row r="20265" spans="2:9" ht="15" customHeight="1" x14ac:dyDescent="0.25">
      <c r="B20265" s="55" t="s">
        <v>283</v>
      </c>
      <c r="C20265" s="46">
        <v>253</v>
      </c>
      <c r="D20265" s="69" t="s">
        <v>29420</v>
      </c>
      <c r="E20265" s="51"/>
      <c r="F20265" s="114" t="str">
        <f>IF(INDEX(I.Facility.P4IDNumber,253)="","",INDEX(I.Facility.P4IDNumber,253))</f>
        <v/>
      </c>
      <c r="G20265" s="51"/>
      <c r="H20265" s="46" t="str">
        <f>IF(AND(I.Developer.P4=TRUE,I.Facility.P4FacilityCount&gt;=253,F20265=""),"Incomplete","Complete")</f>
        <v>Complete</v>
      </c>
      <c r="I20265" s="48" t="s">
        <v>24630</v>
      </c>
    </row>
    <row r="20266" spans="2:9" ht="15" customHeight="1" x14ac:dyDescent="0.25">
      <c r="B20266" s="55" t="s">
        <v>283</v>
      </c>
      <c r="C20266" s="46">
        <v>254</v>
      </c>
      <c r="D20266" s="69" t="s">
        <v>29420</v>
      </c>
      <c r="E20266" s="51"/>
      <c r="F20266" s="114" t="str">
        <f>IF(INDEX(I.Facility.P4IDNumber,254)="","",INDEX(I.Facility.P4IDNumber,254))</f>
        <v/>
      </c>
      <c r="G20266" s="51"/>
      <c r="H20266" s="46" t="str">
        <f>IF(AND(I.Developer.P4=TRUE,I.Facility.P4FacilityCount&gt;=254,F20266=""),"Incomplete","Complete")</f>
        <v>Complete</v>
      </c>
      <c r="I20266" s="48" t="s">
        <v>24631</v>
      </c>
    </row>
    <row r="20267" spans="2:9" ht="15" customHeight="1" x14ac:dyDescent="0.25">
      <c r="B20267" s="55" t="s">
        <v>283</v>
      </c>
      <c r="C20267" s="46">
        <v>255</v>
      </c>
      <c r="D20267" s="69" t="s">
        <v>29420</v>
      </c>
      <c r="E20267" s="51"/>
      <c r="F20267" s="114" t="str">
        <f>IF(INDEX(I.Facility.P4IDNumber,255)="","",INDEX(I.Facility.P4IDNumber,255))</f>
        <v/>
      </c>
      <c r="G20267" s="51"/>
      <c r="H20267" s="46" t="str">
        <f>IF(AND(I.Developer.P4=TRUE,I.Facility.P4FacilityCount&gt;=255,F20267=""),"Incomplete","Complete")</f>
        <v>Complete</v>
      </c>
      <c r="I20267" s="48" t="s">
        <v>24632</v>
      </c>
    </row>
    <row r="20268" spans="2:9" ht="15" customHeight="1" x14ac:dyDescent="0.25">
      <c r="B20268" s="55" t="s">
        <v>283</v>
      </c>
      <c r="C20268" s="46">
        <v>256</v>
      </c>
      <c r="D20268" s="69" t="s">
        <v>29420</v>
      </c>
      <c r="E20268" s="51"/>
      <c r="F20268" s="114" t="str">
        <f>IF(INDEX(I.Facility.P4IDNumber,256)="","",INDEX(I.Facility.P4IDNumber,256))</f>
        <v/>
      </c>
      <c r="G20268" s="51"/>
      <c r="H20268" s="46" t="str">
        <f>IF(AND(I.Developer.P4=TRUE,I.Facility.P4FacilityCount&gt;=256,F20268=""),"Incomplete","Complete")</f>
        <v>Complete</v>
      </c>
      <c r="I20268" s="48" t="s">
        <v>24633</v>
      </c>
    </row>
    <row r="20269" spans="2:9" ht="15" customHeight="1" x14ac:dyDescent="0.25">
      <c r="B20269" s="55" t="s">
        <v>283</v>
      </c>
      <c r="C20269" s="46">
        <v>257</v>
      </c>
      <c r="D20269" s="69" t="s">
        <v>29420</v>
      </c>
      <c r="E20269" s="51"/>
      <c r="F20269" s="114" t="str">
        <f>IF(INDEX(I.Facility.P4IDNumber,257)="","",INDEX(I.Facility.P4IDNumber,257))</f>
        <v/>
      </c>
      <c r="G20269" s="51"/>
      <c r="H20269" s="46" t="str">
        <f>IF(AND(I.Developer.P4=TRUE,I.Facility.P4FacilityCount&gt;=257,F20269=""),"Incomplete","Complete")</f>
        <v>Complete</v>
      </c>
      <c r="I20269" s="48" t="s">
        <v>24634</v>
      </c>
    </row>
    <row r="20270" spans="2:9" ht="15" customHeight="1" x14ac:dyDescent="0.25">
      <c r="B20270" s="55" t="s">
        <v>283</v>
      </c>
      <c r="C20270" s="46">
        <v>258</v>
      </c>
      <c r="D20270" s="69" t="s">
        <v>29420</v>
      </c>
      <c r="E20270" s="51"/>
      <c r="F20270" s="114" t="str">
        <f>IF(INDEX(I.Facility.P4IDNumber,258)="","",INDEX(I.Facility.P4IDNumber,258))</f>
        <v/>
      </c>
      <c r="G20270" s="51"/>
      <c r="H20270" s="46" t="str">
        <f>IF(AND(I.Developer.P4=TRUE,I.Facility.P4FacilityCount&gt;=258,F20270=""),"Incomplete","Complete")</f>
        <v>Complete</v>
      </c>
      <c r="I20270" s="48" t="s">
        <v>24635</v>
      </c>
    </row>
    <row r="20271" spans="2:9" ht="15" customHeight="1" x14ac:dyDescent="0.25">
      <c r="B20271" s="55" t="s">
        <v>283</v>
      </c>
      <c r="C20271" s="46">
        <v>259</v>
      </c>
      <c r="D20271" s="69" t="s">
        <v>29420</v>
      </c>
      <c r="E20271" s="51"/>
      <c r="F20271" s="114" t="str">
        <f>IF(INDEX(I.Facility.P4IDNumber,259)="","",INDEX(I.Facility.P4IDNumber,259))</f>
        <v/>
      </c>
      <c r="G20271" s="51"/>
      <c r="H20271" s="46" t="str">
        <f>IF(AND(I.Developer.P4=TRUE,I.Facility.P4FacilityCount&gt;=259,F20271=""),"Incomplete","Complete")</f>
        <v>Complete</v>
      </c>
      <c r="I20271" s="48" t="s">
        <v>24636</v>
      </c>
    </row>
    <row r="20272" spans="2:9" ht="15" customHeight="1" x14ac:dyDescent="0.25">
      <c r="B20272" s="55" t="s">
        <v>283</v>
      </c>
      <c r="C20272" s="46">
        <v>260</v>
      </c>
      <c r="D20272" s="69" t="s">
        <v>29420</v>
      </c>
      <c r="E20272" s="51"/>
      <c r="F20272" s="114" t="str">
        <f>IF(INDEX(I.Facility.P4IDNumber,260)="","",INDEX(I.Facility.P4IDNumber,260))</f>
        <v/>
      </c>
      <c r="G20272" s="51"/>
      <c r="H20272" s="46" t="str">
        <f>IF(AND(I.Developer.P4=TRUE,I.Facility.P4FacilityCount&gt;=260,F20272=""),"Incomplete","Complete")</f>
        <v>Complete</v>
      </c>
      <c r="I20272" s="48" t="s">
        <v>24637</v>
      </c>
    </row>
    <row r="20273" spans="2:9" ht="15" customHeight="1" x14ac:dyDescent="0.25">
      <c r="B20273" s="55" t="s">
        <v>283</v>
      </c>
      <c r="C20273" s="46">
        <v>261</v>
      </c>
      <c r="D20273" s="69" t="s">
        <v>29420</v>
      </c>
      <c r="E20273" s="51"/>
      <c r="F20273" s="114" t="str">
        <f>IF(INDEX(I.Facility.P4IDNumber,261)="","",INDEX(I.Facility.P4IDNumber,261))</f>
        <v/>
      </c>
      <c r="G20273" s="51"/>
      <c r="H20273" s="46" t="str">
        <f>IF(AND(I.Developer.P4=TRUE,I.Facility.P4FacilityCount&gt;=261,F20273=""),"Incomplete","Complete")</f>
        <v>Complete</v>
      </c>
      <c r="I20273" s="48" t="s">
        <v>24638</v>
      </c>
    </row>
    <row r="20274" spans="2:9" ht="15" customHeight="1" x14ac:dyDescent="0.25">
      <c r="B20274" s="55" t="s">
        <v>283</v>
      </c>
      <c r="C20274" s="46">
        <v>262</v>
      </c>
      <c r="D20274" s="69" t="s">
        <v>29420</v>
      </c>
      <c r="E20274" s="51"/>
      <c r="F20274" s="114" t="str">
        <f>IF(INDEX(I.Facility.P4IDNumber,262)="","",INDEX(I.Facility.P4IDNumber,262))</f>
        <v/>
      </c>
      <c r="G20274" s="51"/>
      <c r="H20274" s="46" t="str">
        <f>IF(AND(I.Developer.P4=TRUE,I.Facility.P4FacilityCount&gt;=262,F20274=""),"Incomplete","Complete")</f>
        <v>Complete</v>
      </c>
      <c r="I20274" s="48" t="s">
        <v>24639</v>
      </c>
    </row>
    <row r="20275" spans="2:9" ht="15" customHeight="1" x14ac:dyDescent="0.25">
      <c r="B20275" s="55" t="s">
        <v>283</v>
      </c>
      <c r="C20275" s="46">
        <v>263</v>
      </c>
      <c r="D20275" s="69" t="s">
        <v>29420</v>
      </c>
      <c r="E20275" s="51"/>
      <c r="F20275" s="114" t="str">
        <f>IF(INDEX(I.Facility.P4IDNumber,263)="","",INDEX(I.Facility.P4IDNumber,263))</f>
        <v/>
      </c>
      <c r="G20275" s="51"/>
      <c r="H20275" s="46" t="str">
        <f>IF(AND(I.Developer.P4=TRUE,I.Facility.P4FacilityCount&gt;=263,F20275=""),"Incomplete","Complete")</f>
        <v>Complete</v>
      </c>
      <c r="I20275" s="48" t="s">
        <v>24640</v>
      </c>
    </row>
    <row r="20276" spans="2:9" ht="15" customHeight="1" x14ac:dyDescent="0.25">
      <c r="B20276" s="55" t="s">
        <v>283</v>
      </c>
      <c r="C20276" s="46">
        <v>264</v>
      </c>
      <c r="D20276" s="69" t="s">
        <v>29420</v>
      </c>
      <c r="E20276" s="51"/>
      <c r="F20276" s="114" t="str">
        <f>IF(INDEX(I.Facility.P4IDNumber,264)="","",INDEX(I.Facility.P4IDNumber,264))</f>
        <v/>
      </c>
      <c r="G20276" s="51"/>
      <c r="H20276" s="46" t="str">
        <f>IF(AND(I.Developer.P4=TRUE,I.Facility.P4FacilityCount&gt;=264,F20276=""),"Incomplete","Complete")</f>
        <v>Complete</v>
      </c>
      <c r="I20276" s="48" t="s">
        <v>24641</v>
      </c>
    </row>
    <row r="20277" spans="2:9" ht="15" customHeight="1" x14ac:dyDescent="0.25">
      <c r="B20277" s="55" t="s">
        <v>283</v>
      </c>
      <c r="C20277" s="46">
        <v>265</v>
      </c>
      <c r="D20277" s="69" t="s">
        <v>29420</v>
      </c>
      <c r="E20277" s="51"/>
      <c r="F20277" s="114" t="str">
        <f>IF(INDEX(I.Facility.P4IDNumber,265)="","",INDEX(I.Facility.P4IDNumber,265))</f>
        <v/>
      </c>
      <c r="G20277" s="51"/>
      <c r="H20277" s="46" t="str">
        <f>IF(AND(I.Developer.P4=TRUE,I.Facility.P4FacilityCount&gt;=265,F20277=""),"Incomplete","Complete")</f>
        <v>Complete</v>
      </c>
      <c r="I20277" s="48" t="s">
        <v>24642</v>
      </c>
    </row>
    <row r="20278" spans="2:9" ht="15" customHeight="1" x14ac:dyDescent="0.25">
      <c r="B20278" s="55" t="s">
        <v>283</v>
      </c>
      <c r="C20278" s="46">
        <v>266</v>
      </c>
      <c r="D20278" s="69" t="s">
        <v>29420</v>
      </c>
      <c r="E20278" s="51"/>
      <c r="F20278" s="114" t="str">
        <f>IF(INDEX(I.Facility.P4IDNumber,266)="","",INDEX(I.Facility.P4IDNumber,266))</f>
        <v/>
      </c>
      <c r="G20278" s="51"/>
      <c r="H20278" s="46" t="str">
        <f>IF(AND(I.Developer.P4=TRUE,I.Facility.P4FacilityCount&gt;=266,F20278=""),"Incomplete","Complete")</f>
        <v>Complete</v>
      </c>
      <c r="I20278" s="48" t="s">
        <v>24643</v>
      </c>
    </row>
    <row r="20279" spans="2:9" ht="15" customHeight="1" x14ac:dyDescent="0.25">
      <c r="B20279" s="55" t="s">
        <v>283</v>
      </c>
      <c r="C20279" s="46">
        <v>267</v>
      </c>
      <c r="D20279" s="69" t="s">
        <v>29420</v>
      </c>
      <c r="E20279" s="51"/>
      <c r="F20279" s="114" t="str">
        <f>IF(INDEX(I.Facility.P4IDNumber,267)="","",INDEX(I.Facility.P4IDNumber,267))</f>
        <v/>
      </c>
      <c r="G20279" s="51"/>
      <c r="H20279" s="46" t="str">
        <f>IF(AND(I.Developer.P4=TRUE,I.Facility.P4FacilityCount&gt;=267,F20279=""),"Incomplete","Complete")</f>
        <v>Complete</v>
      </c>
      <c r="I20279" s="48" t="s">
        <v>24644</v>
      </c>
    </row>
    <row r="20280" spans="2:9" ht="15" customHeight="1" x14ac:dyDescent="0.25">
      <c r="B20280" s="55" t="s">
        <v>283</v>
      </c>
      <c r="C20280" s="46">
        <v>268</v>
      </c>
      <c r="D20280" s="69" t="s">
        <v>29420</v>
      </c>
      <c r="E20280" s="51"/>
      <c r="F20280" s="114" t="str">
        <f>IF(INDEX(I.Facility.P4IDNumber,268)="","",INDEX(I.Facility.P4IDNumber,268))</f>
        <v/>
      </c>
      <c r="G20280" s="51"/>
      <c r="H20280" s="46" t="str">
        <f>IF(AND(I.Developer.P4=TRUE,I.Facility.P4FacilityCount&gt;=268,F20280=""),"Incomplete","Complete")</f>
        <v>Complete</v>
      </c>
      <c r="I20280" s="48" t="s">
        <v>24645</v>
      </c>
    </row>
    <row r="20281" spans="2:9" ht="15" customHeight="1" x14ac:dyDescent="0.25">
      <c r="B20281" s="55" t="s">
        <v>283</v>
      </c>
      <c r="C20281" s="46">
        <v>269</v>
      </c>
      <c r="D20281" s="69" t="s">
        <v>29420</v>
      </c>
      <c r="E20281" s="51"/>
      <c r="F20281" s="114" t="str">
        <f>IF(INDEX(I.Facility.P4IDNumber,269)="","",INDEX(I.Facility.P4IDNumber,269))</f>
        <v/>
      </c>
      <c r="G20281" s="51"/>
      <c r="H20281" s="46" t="str">
        <f>IF(AND(I.Developer.P4=TRUE,I.Facility.P4FacilityCount&gt;=269,F20281=""),"Incomplete","Complete")</f>
        <v>Complete</v>
      </c>
      <c r="I20281" s="48" t="s">
        <v>24646</v>
      </c>
    </row>
    <row r="20282" spans="2:9" ht="15" customHeight="1" x14ac:dyDescent="0.25">
      <c r="B20282" s="55" t="s">
        <v>283</v>
      </c>
      <c r="C20282" s="46">
        <v>270</v>
      </c>
      <c r="D20282" s="69" t="s">
        <v>29420</v>
      </c>
      <c r="E20282" s="51"/>
      <c r="F20282" s="114" t="str">
        <f>IF(INDEX(I.Facility.P4IDNumber,270)="","",INDEX(I.Facility.P4IDNumber,270))</f>
        <v/>
      </c>
      <c r="G20282" s="51"/>
      <c r="H20282" s="46" t="str">
        <f>IF(AND(I.Developer.P4=TRUE,I.Facility.P4FacilityCount&gt;=270,F20282=""),"Incomplete","Complete")</f>
        <v>Complete</v>
      </c>
      <c r="I20282" s="48" t="s">
        <v>24647</v>
      </c>
    </row>
    <row r="20283" spans="2:9" ht="15" customHeight="1" x14ac:dyDescent="0.25">
      <c r="B20283" s="55" t="s">
        <v>283</v>
      </c>
      <c r="C20283" s="46">
        <v>271</v>
      </c>
      <c r="D20283" s="69" t="s">
        <v>29420</v>
      </c>
      <c r="E20283" s="51"/>
      <c r="F20283" s="114" t="str">
        <f>IF(INDEX(I.Facility.P4IDNumber,271)="","",INDEX(I.Facility.P4IDNumber,271))</f>
        <v/>
      </c>
      <c r="G20283" s="51"/>
      <c r="H20283" s="46" t="str">
        <f>IF(AND(I.Developer.P4=TRUE,I.Facility.P4FacilityCount&gt;=271,F20283=""),"Incomplete","Complete")</f>
        <v>Complete</v>
      </c>
      <c r="I20283" s="48" t="s">
        <v>24648</v>
      </c>
    </row>
    <row r="20284" spans="2:9" ht="15" customHeight="1" x14ac:dyDescent="0.25">
      <c r="B20284" s="55" t="s">
        <v>283</v>
      </c>
      <c r="C20284" s="46">
        <v>272</v>
      </c>
      <c r="D20284" s="69" t="s">
        <v>29420</v>
      </c>
      <c r="E20284" s="51"/>
      <c r="F20284" s="114" t="str">
        <f>IF(INDEX(I.Facility.P4IDNumber,272)="","",INDEX(I.Facility.P4IDNumber,272))</f>
        <v/>
      </c>
      <c r="G20284" s="51"/>
      <c r="H20284" s="46" t="str">
        <f>IF(AND(I.Developer.P4=TRUE,I.Facility.P4FacilityCount&gt;=272,F20284=""),"Incomplete","Complete")</f>
        <v>Complete</v>
      </c>
      <c r="I20284" s="48" t="s">
        <v>24649</v>
      </c>
    </row>
    <row r="20285" spans="2:9" ht="15" customHeight="1" x14ac:dyDescent="0.25">
      <c r="B20285" s="55" t="s">
        <v>283</v>
      </c>
      <c r="C20285" s="46">
        <v>273</v>
      </c>
      <c r="D20285" s="69" t="s">
        <v>29420</v>
      </c>
      <c r="E20285" s="51"/>
      <c r="F20285" s="114" t="str">
        <f>IF(INDEX(I.Facility.P4IDNumber,273)="","",INDEX(I.Facility.P4IDNumber,273))</f>
        <v/>
      </c>
      <c r="G20285" s="51"/>
      <c r="H20285" s="46" t="str">
        <f>IF(AND(I.Developer.P4=TRUE,I.Facility.P4FacilityCount&gt;=273,F20285=""),"Incomplete","Complete")</f>
        <v>Complete</v>
      </c>
      <c r="I20285" s="48" t="s">
        <v>24650</v>
      </c>
    </row>
    <row r="20286" spans="2:9" ht="15" customHeight="1" x14ac:dyDescent="0.25">
      <c r="B20286" s="55" t="s">
        <v>283</v>
      </c>
      <c r="C20286" s="46">
        <v>274</v>
      </c>
      <c r="D20286" s="69" t="s">
        <v>29420</v>
      </c>
      <c r="E20286" s="51"/>
      <c r="F20286" s="114" t="str">
        <f>IF(INDEX(I.Facility.P4IDNumber,274)="","",INDEX(I.Facility.P4IDNumber,274))</f>
        <v/>
      </c>
      <c r="G20286" s="51"/>
      <c r="H20286" s="46" t="str">
        <f>IF(AND(I.Developer.P4=TRUE,I.Facility.P4FacilityCount&gt;=274,F20286=""),"Incomplete","Complete")</f>
        <v>Complete</v>
      </c>
      <c r="I20286" s="48" t="s">
        <v>24651</v>
      </c>
    </row>
    <row r="20287" spans="2:9" ht="15" customHeight="1" x14ac:dyDescent="0.25">
      <c r="B20287" s="55" t="s">
        <v>283</v>
      </c>
      <c r="C20287" s="46">
        <v>275</v>
      </c>
      <c r="D20287" s="69" t="s">
        <v>29420</v>
      </c>
      <c r="E20287" s="51"/>
      <c r="F20287" s="114" t="str">
        <f>IF(INDEX(I.Facility.P4IDNumber,275)="","",INDEX(I.Facility.P4IDNumber,275))</f>
        <v/>
      </c>
      <c r="G20287" s="51"/>
      <c r="H20287" s="46" t="str">
        <f>IF(AND(I.Developer.P4=TRUE,I.Facility.P4FacilityCount&gt;=275,F20287=""),"Incomplete","Complete")</f>
        <v>Complete</v>
      </c>
      <c r="I20287" s="48" t="s">
        <v>24652</v>
      </c>
    </row>
    <row r="20288" spans="2:9" ht="15" customHeight="1" x14ac:dyDescent="0.25">
      <c r="B20288" s="55" t="s">
        <v>283</v>
      </c>
      <c r="C20288" s="46">
        <v>276</v>
      </c>
      <c r="D20288" s="69" t="s">
        <v>29420</v>
      </c>
      <c r="E20288" s="51"/>
      <c r="F20288" s="114" t="str">
        <f>IF(INDEX(I.Facility.P4IDNumber,276)="","",INDEX(I.Facility.P4IDNumber,276))</f>
        <v/>
      </c>
      <c r="G20288" s="51"/>
      <c r="H20288" s="46" t="str">
        <f>IF(AND(I.Developer.P4=TRUE,I.Facility.P4FacilityCount&gt;=276,F20288=""),"Incomplete","Complete")</f>
        <v>Complete</v>
      </c>
      <c r="I20288" s="48" t="s">
        <v>24653</v>
      </c>
    </row>
    <row r="20289" spans="2:9" ht="15" customHeight="1" x14ac:dyDescent="0.25">
      <c r="B20289" s="55" t="s">
        <v>283</v>
      </c>
      <c r="C20289" s="46">
        <v>277</v>
      </c>
      <c r="D20289" s="69" t="s">
        <v>29420</v>
      </c>
      <c r="E20289" s="51"/>
      <c r="F20289" s="114" t="str">
        <f>IF(INDEX(I.Facility.P4IDNumber,277)="","",INDEX(I.Facility.P4IDNumber,277))</f>
        <v/>
      </c>
      <c r="G20289" s="51"/>
      <c r="H20289" s="46" t="str">
        <f>IF(AND(I.Developer.P4=TRUE,I.Facility.P4FacilityCount&gt;=277,F20289=""),"Incomplete","Complete")</f>
        <v>Complete</v>
      </c>
      <c r="I20289" s="48" t="s">
        <v>24654</v>
      </c>
    </row>
    <row r="20290" spans="2:9" ht="15" customHeight="1" x14ac:dyDescent="0.25">
      <c r="B20290" s="55" t="s">
        <v>283</v>
      </c>
      <c r="C20290" s="46">
        <v>278</v>
      </c>
      <c r="D20290" s="69" t="s">
        <v>29420</v>
      </c>
      <c r="E20290" s="51"/>
      <c r="F20290" s="114" t="str">
        <f>IF(INDEX(I.Facility.P4IDNumber,278)="","",INDEX(I.Facility.P4IDNumber,278))</f>
        <v/>
      </c>
      <c r="G20290" s="51"/>
      <c r="H20290" s="46" t="str">
        <f>IF(AND(I.Developer.P4=TRUE,I.Facility.P4FacilityCount&gt;=278,F20290=""),"Incomplete","Complete")</f>
        <v>Complete</v>
      </c>
      <c r="I20290" s="48" t="s">
        <v>24655</v>
      </c>
    </row>
    <row r="20291" spans="2:9" ht="15" customHeight="1" x14ac:dyDescent="0.25">
      <c r="B20291" s="55" t="s">
        <v>283</v>
      </c>
      <c r="C20291" s="46">
        <v>279</v>
      </c>
      <c r="D20291" s="69" t="s">
        <v>29420</v>
      </c>
      <c r="E20291" s="51"/>
      <c r="F20291" s="114" t="str">
        <f>IF(INDEX(I.Facility.P4IDNumber,279)="","",INDEX(I.Facility.P4IDNumber,279))</f>
        <v/>
      </c>
      <c r="G20291" s="51"/>
      <c r="H20291" s="46" t="str">
        <f>IF(AND(I.Developer.P4=TRUE,I.Facility.P4FacilityCount&gt;=279,F20291=""),"Incomplete","Complete")</f>
        <v>Complete</v>
      </c>
      <c r="I20291" s="48" t="s">
        <v>24656</v>
      </c>
    </row>
    <row r="20292" spans="2:9" ht="15" customHeight="1" x14ac:dyDescent="0.25">
      <c r="B20292" s="55" t="s">
        <v>283</v>
      </c>
      <c r="C20292" s="46">
        <v>280</v>
      </c>
      <c r="D20292" s="69" t="s">
        <v>29420</v>
      </c>
      <c r="E20292" s="51"/>
      <c r="F20292" s="114" t="str">
        <f>IF(INDEX(I.Facility.P4IDNumber,280)="","",INDEX(I.Facility.P4IDNumber,280))</f>
        <v/>
      </c>
      <c r="G20292" s="51"/>
      <c r="H20292" s="46" t="str">
        <f>IF(AND(I.Developer.P4=TRUE,I.Facility.P4FacilityCount&gt;=280,F20292=""),"Incomplete","Complete")</f>
        <v>Complete</v>
      </c>
      <c r="I20292" s="48" t="s">
        <v>24657</v>
      </c>
    </row>
    <row r="20293" spans="2:9" ht="15" customHeight="1" x14ac:dyDescent="0.25">
      <c r="B20293" s="55" t="s">
        <v>283</v>
      </c>
      <c r="C20293" s="46">
        <v>281</v>
      </c>
      <c r="D20293" s="69" t="s">
        <v>29420</v>
      </c>
      <c r="E20293" s="51"/>
      <c r="F20293" s="114" t="str">
        <f>IF(INDEX(I.Facility.P4IDNumber,281)="","",INDEX(I.Facility.P4IDNumber,281))</f>
        <v/>
      </c>
      <c r="G20293" s="51"/>
      <c r="H20293" s="46" t="str">
        <f>IF(AND(I.Developer.P4=TRUE,I.Facility.P4FacilityCount&gt;=281,F20293=""),"Incomplete","Complete")</f>
        <v>Complete</v>
      </c>
      <c r="I20293" s="48" t="s">
        <v>24658</v>
      </c>
    </row>
    <row r="20294" spans="2:9" ht="15" customHeight="1" x14ac:dyDescent="0.25">
      <c r="B20294" s="55" t="s">
        <v>283</v>
      </c>
      <c r="C20294" s="46">
        <v>282</v>
      </c>
      <c r="D20294" s="69" t="s">
        <v>29420</v>
      </c>
      <c r="E20294" s="51"/>
      <c r="F20294" s="114" t="str">
        <f>IF(INDEX(I.Facility.P4IDNumber,282)="","",INDEX(I.Facility.P4IDNumber,282))</f>
        <v/>
      </c>
      <c r="G20294" s="51"/>
      <c r="H20294" s="46" t="str">
        <f>IF(AND(I.Developer.P4=TRUE,I.Facility.P4FacilityCount&gt;=282,F20294=""),"Incomplete","Complete")</f>
        <v>Complete</v>
      </c>
      <c r="I20294" s="48" t="s">
        <v>24659</v>
      </c>
    </row>
    <row r="20295" spans="2:9" ht="15" customHeight="1" x14ac:dyDescent="0.25">
      <c r="B20295" s="55" t="s">
        <v>283</v>
      </c>
      <c r="C20295" s="46">
        <v>283</v>
      </c>
      <c r="D20295" s="69" t="s">
        <v>29420</v>
      </c>
      <c r="E20295" s="51"/>
      <c r="F20295" s="114" t="str">
        <f>IF(INDEX(I.Facility.P4IDNumber,283)="","",INDEX(I.Facility.P4IDNumber,283))</f>
        <v/>
      </c>
      <c r="G20295" s="51"/>
      <c r="H20295" s="46" t="str">
        <f>IF(AND(I.Developer.P4=TRUE,I.Facility.P4FacilityCount&gt;=283,F20295=""),"Incomplete","Complete")</f>
        <v>Complete</v>
      </c>
      <c r="I20295" s="48" t="s">
        <v>24660</v>
      </c>
    </row>
    <row r="20296" spans="2:9" ht="15" customHeight="1" x14ac:dyDescent="0.25">
      <c r="B20296" s="55" t="s">
        <v>283</v>
      </c>
      <c r="C20296" s="46">
        <v>284</v>
      </c>
      <c r="D20296" s="69" t="s">
        <v>29420</v>
      </c>
      <c r="E20296" s="51"/>
      <c r="F20296" s="114" t="str">
        <f>IF(INDEX(I.Facility.P4IDNumber,284)="","",INDEX(I.Facility.P4IDNumber,284))</f>
        <v/>
      </c>
      <c r="G20296" s="51"/>
      <c r="H20296" s="46" t="str">
        <f>IF(AND(I.Developer.P4=TRUE,I.Facility.P4FacilityCount&gt;=284,F20296=""),"Incomplete","Complete")</f>
        <v>Complete</v>
      </c>
      <c r="I20296" s="48" t="s">
        <v>24661</v>
      </c>
    </row>
    <row r="20297" spans="2:9" ht="15" customHeight="1" x14ac:dyDescent="0.25">
      <c r="B20297" s="55" t="s">
        <v>283</v>
      </c>
      <c r="C20297" s="46">
        <v>285</v>
      </c>
      <c r="D20297" s="69" t="s">
        <v>29420</v>
      </c>
      <c r="E20297" s="51"/>
      <c r="F20297" s="114" t="str">
        <f>IF(INDEX(I.Facility.P4IDNumber,285)="","",INDEX(I.Facility.P4IDNumber,285))</f>
        <v/>
      </c>
      <c r="G20297" s="51"/>
      <c r="H20297" s="46" t="str">
        <f>IF(AND(I.Developer.P4=TRUE,I.Facility.P4FacilityCount&gt;=285,F20297=""),"Incomplete","Complete")</f>
        <v>Complete</v>
      </c>
      <c r="I20297" s="48" t="s">
        <v>24662</v>
      </c>
    </row>
    <row r="20298" spans="2:9" ht="15" customHeight="1" x14ac:dyDescent="0.25">
      <c r="B20298" s="55" t="s">
        <v>283</v>
      </c>
      <c r="C20298" s="46">
        <v>286</v>
      </c>
      <c r="D20298" s="69" t="s">
        <v>29420</v>
      </c>
      <c r="E20298" s="51"/>
      <c r="F20298" s="114" t="str">
        <f>IF(INDEX(I.Facility.P4IDNumber,286)="","",INDEX(I.Facility.P4IDNumber,286))</f>
        <v/>
      </c>
      <c r="G20298" s="51"/>
      <c r="H20298" s="46" t="str">
        <f>IF(AND(I.Developer.P4=TRUE,I.Facility.P4FacilityCount&gt;=286,F20298=""),"Incomplete","Complete")</f>
        <v>Complete</v>
      </c>
      <c r="I20298" s="48" t="s">
        <v>24663</v>
      </c>
    </row>
    <row r="20299" spans="2:9" ht="15" customHeight="1" x14ac:dyDescent="0.25">
      <c r="B20299" s="55" t="s">
        <v>283</v>
      </c>
      <c r="C20299" s="46">
        <v>287</v>
      </c>
      <c r="D20299" s="69" t="s">
        <v>29420</v>
      </c>
      <c r="E20299" s="51"/>
      <c r="F20299" s="114" t="str">
        <f>IF(INDEX(I.Facility.P4IDNumber,287)="","",INDEX(I.Facility.P4IDNumber,287))</f>
        <v/>
      </c>
      <c r="G20299" s="51"/>
      <c r="H20299" s="46" t="str">
        <f>IF(AND(I.Developer.P4=TRUE,I.Facility.P4FacilityCount&gt;=287,F20299=""),"Incomplete","Complete")</f>
        <v>Complete</v>
      </c>
      <c r="I20299" s="48" t="s">
        <v>24664</v>
      </c>
    </row>
    <row r="20300" spans="2:9" ht="15" customHeight="1" x14ac:dyDescent="0.25">
      <c r="B20300" s="55" t="s">
        <v>283</v>
      </c>
      <c r="C20300" s="46">
        <v>288</v>
      </c>
      <c r="D20300" s="69" t="s">
        <v>29420</v>
      </c>
      <c r="E20300" s="51"/>
      <c r="F20300" s="114" t="str">
        <f>IF(INDEX(I.Facility.P4IDNumber,288)="","",INDEX(I.Facility.P4IDNumber,288))</f>
        <v/>
      </c>
      <c r="G20300" s="51"/>
      <c r="H20300" s="46" t="str">
        <f>IF(AND(I.Developer.P4=TRUE,I.Facility.P4FacilityCount&gt;=288,F20300=""),"Incomplete","Complete")</f>
        <v>Complete</v>
      </c>
      <c r="I20300" s="48" t="s">
        <v>24665</v>
      </c>
    </row>
    <row r="20301" spans="2:9" ht="15" customHeight="1" x14ac:dyDescent="0.25">
      <c r="B20301" s="55" t="s">
        <v>283</v>
      </c>
      <c r="C20301" s="46">
        <v>289</v>
      </c>
      <c r="D20301" s="69" t="s">
        <v>29420</v>
      </c>
      <c r="E20301" s="51"/>
      <c r="F20301" s="114" t="str">
        <f>IF(INDEX(I.Facility.P4IDNumber,289)="","",INDEX(I.Facility.P4IDNumber,289))</f>
        <v/>
      </c>
      <c r="G20301" s="51"/>
      <c r="H20301" s="46" t="str">
        <f>IF(AND(I.Developer.P4=TRUE,I.Facility.P4FacilityCount&gt;=289,F20301=""),"Incomplete","Complete")</f>
        <v>Complete</v>
      </c>
      <c r="I20301" s="48" t="s">
        <v>24666</v>
      </c>
    </row>
    <row r="20302" spans="2:9" ht="15" customHeight="1" x14ac:dyDescent="0.25">
      <c r="B20302" s="55" t="s">
        <v>283</v>
      </c>
      <c r="C20302" s="46">
        <v>290</v>
      </c>
      <c r="D20302" s="69" t="s">
        <v>29420</v>
      </c>
      <c r="E20302" s="51"/>
      <c r="F20302" s="114" t="str">
        <f>IF(INDEX(I.Facility.P4IDNumber,290)="","",INDEX(I.Facility.P4IDNumber,290))</f>
        <v/>
      </c>
      <c r="G20302" s="51"/>
      <c r="H20302" s="46" t="str">
        <f>IF(AND(I.Developer.P4=TRUE,I.Facility.P4FacilityCount&gt;=290,F20302=""),"Incomplete","Complete")</f>
        <v>Complete</v>
      </c>
      <c r="I20302" s="48" t="s">
        <v>24667</v>
      </c>
    </row>
    <row r="20303" spans="2:9" ht="15" customHeight="1" x14ac:dyDescent="0.25">
      <c r="B20303" s="55" t="s">
        <v>283</v>
      </c>
      <c r="C20303" s="46">
        <v>291</v>
      </c>
      <c r="D20303" s="69" t="s">
        <v>29420</v>
      </c>
      <c r="E20303" s="51"/>
      <c r="F20303" s="114" t="str">
        <f>IF(INDEX(I.Facility.P4IDNumber,291)="","",INDEX(I.Facility.P4IDNumber,291))</f>
        <v/>
      </c>
      <c r="G20303" s="51"/>
      <c r="H20303" s="46" t="str">
        <f>IF(AND(I.Developer.P4=TRUE,I.Facility.P4FacilityCount&gt;=291,F20303=""),"Incomplete","Complete")</f>
        <v>Complete</v>
      </c>
      <c r="I20303" s="48" t="s">
        <v>24668</v>
      </c>
    </row>
    <row r="20304" spans="2:9" ht="15" customHeight="1" x14ac:dyDescent="0.25">
      <c r="B20304" s="55" t="s">
        <v>283</v>
      </c>
      <c r="C20304" s="46">
        <v>292</v>
      </c>
      <c r="D20304" s="69" t="s">
        <v>29420</v>
      </c>
      <c r="E20304" s="51"/>
      <c r="F20304" s="114" t="str">
        <f>IF(INDEX(I.Facility.P4IDNumber,292)="","",INDEX(I.Facility.P4IDNumber,292))</f>
        <v/>
      </c>
      <c r="G20304" s="51"/>
      <c r="H20304" s="46" t="str">
        <f>IF(AND(I.Developer.P4=TRUE,I.Facility.P4FacilityCount&gt;=292,F20304=""),"Incomplete","Complete")</f>
        <v>Complete</v>
      </c>
      <c r="I20304" s="48" t="s">
        <v>24669</v>
      </c>
    </row>
    <row r="20305" spans="2:9" ht="15" customHeight="1" x14ac:dyDescent="0.25">
      <c r="B20305" s="55" t="s">
        <v>283</v>
      </c>
      <c r="C20305" s="46">
        <v>293</v>
      </c>
      <c r="D20305" s="69" t="s">
        <v>29420</v>
      </c>
      <c r="E20305" s="51"/>
      <c r="F20305" s="114" t="str">
        <f>IF(INDEX(I.Facility.P4IDNumber,293)="","",INDEX(I.Facility.P4IDNumber,293))</f>
        <v/>
      </c>
      <c r="G20305" s="51"/>
      <c r="H20305" s="46" t="str">
        <f>IF(AND(I.Developer.P4=TRUE,I.Facility.P4FacilityCount&gt;=293,F20305=""),"Incomplete","Complete")</f>
        <v>Complete</v>
      </c>
      <c r="I20305" s="48" t="s">
        <v>24670</v>
      </c>
    </row>
    <row r="20306" spans="2:9" ht="15" customHeight="1" x14ac:dyDescent="0.25">
      <c r="B20306" s="55" t="s">
        <v>283</v>
      </c>
      <c r="C20306" s="46">
        <v>294</v>
      </c>
      <c r="D20306" s="69" t="s">
        <v>29420</v>
      </c>
      <c r="E20306" s="51"/>
      <c r="F20306" s="114" t="str">
        <f>IF(INDEX(I.Facility.P4IDNumber,294)="","",INDEX(I.Facility.P4IDNumber,294))</f>
        <v/>
      </c>
      <c r="G20306" s="51"/>
      <c r="H20306" s="46" t="str">
        <f>IF(AND(I.Developer.P4=TRUE,I.Facility.P4FacilityCount&gt;=294,F20306=""),"Incomplete","Complete")</f>
        <v>Complete</v>
      </c>
      <c r="I20306" s="48" t="s">
        <v>24671</v>
      </c>
    </row>
    <row r="20307" spans="2:9" ht="15" customHeight="1" x14ac:dyDescent="0.25">
      <c r="B20307" s="55" t="s">
        <v>283</v>
      </c>
      <c r="C20307" s="46">
        <v>295</v>
      </c>
      <c r="D20307" s="69" t="s">
        <v>29420</v>
      </c>
      <c r="E20307" s="51"/>
      <c r="F20307" s="114" t="str">
        <f>IF(INDEX(I.Facility.P4IDNumber,295)="","",INDEX(I.Facility.P4IDNumber,295))</f>
        <v/>
      </c>
      <c r="G20307" s="51"/>
      <c r="H20307" s="46" t="str">
        <f>IF(AND(I.Developer.P4=TRUE,I.Facility.P4FacilityCount&gt;=295,F20307=""),"Incomplete","Complete")</f>
        <v>Complete</v>
      </c>
      <c r="I20307" s="48" t="s">
        <v>24672</v>
      </c>
    </row>
    <row r="20308" spans="2:9" ht="15" customHeight="1" x14ac:dyDescent="0.25">
      <c r="B20308" s="55" t="s">
        <v>283</v>
      </c>
      <c r="C20308" s="46">
        <v>296</v>
      </c>
      <c r="D20308" s="69" t="s">
        <v>29420</v>
      </c>
      <c r="E20308" s="51"/>
      <c r="F20308" s="114" t="str">
        <f>IF(INDEX(I.Facility.P4IDNumber,296)="","",INDEX(I.Facility.P4IDNumber,296))</f>
        <v/>
      </c>
      <c r="G20308" s="51"/>
      <c r="H20308" s="46" t="str">
        <f>IF(AND(I.Developer.P4=TRUE,I.Facility.P4FacilityCount&gt;=296,F20308=""),"Incomplete","Complete")</f>
        <v>Complete</v>
      </c>
      <c r="I20308" s="48" t="s">
        <v>24673</v>
      </c>
    </row>
    <row r="20309" spans="2:9" ht="15" customHeight="1" x14ac:dyDescent="0.25">
      <c r="B20309" s="55" t="s">
        <v>283</v>
      </c>
      <c r="C20309" s="46">
        <v>297</v>
      </c>
      <c r="D20309" s="69" t="s">
        <v>29420</v>
      </c>
      <c r="E20309" s="51"/>
      <c r="F20309" s="114" t="str">
        <f>IF(INDEX(I.Facility.P4IDNumber,297)="","",INDEX(I.Facility.P4IDNumber,297))</f>
        <v/>
      </c>
      <c r="G20309" s="51"/>
      <c r="H20309" s="46" t="str">
        <f>IF(AND(I.Developer.P4=TRUE,I.Facility.P4FacilityCount&gt;=297,F20309=""),"Incomplete","Complete")</f>
        <v>Complete</v>
      </c>
      <c r="I20309" s="48" t="s">
        <v>24674</v>
      </c>
    </row>
    <row r="20310" spans="2:9" ht="15" customHeight="1" x14ac:dyDescent="0.25">
      <c r="B20310" s="55" t="s">
        <v>283</v>
      </c>
      <c r="C20310" s="46">
        <v>298</v>
      </c>
      <c r="D20310" s="69" t="s">
        <v>29420</v>
      </c>
      <c r="E20310" s="51"/>
      <c r="F20310" s="114" t="str">
        <f>IF(INDEX(I.Facility.P4IDNumber,298)="","",INDEX(I.Facility.P4IDNumber,298))</f>
        <v/>
      </c>
      <c r="G20310" s="51"/>
      <c r="H20310" s="46" t="str">
        <f>IF(AND(I.Developer.P4=TRUE,I.Facility.P4FacilityCount&gt;=298,F20310=""),"Incomplete","Complete")</f>
        <v>Complete</v>
      </c>
      <c r="I20310" s="48" t="s">
        <v>24675</v>
      </c>
    </row>
    <row r="20311" spans="2:9" ht="15" customHeight="1" x14ac:dyDescent="0.25">
      <c r="B20311" s="55" t="s">
        <v>283</v>
      </c>
      <c r="C20311" s="46">
        <v>299</v>
      </c>
      <c r="D20311" s="69" t="s">
        <v>29420</v>
      </c>
      <c r="E20311" s="51"/>
      <c r="F20311" s="114" t="str">
        <f>IF(INDEX(I.Facility.P4IDNumber,299)="","",INDEX(I.Facility.P4IDNumber,299))</f>
        <v/>
      </c>
      <c r="G20311" s="51"/>
      <c r="H20311" s="46" t="str">
        <f>IF(AND(I.Developer.P4=TRUE,I.Facility.P4FacilityCount&gt;=299,F20311=""),"Incomplete","Complete")</f>
        <v>Complete</v>
      </c>
      <c r="I20311" s="48" t="s">
        <v>24676</v>
      </c>
    </row>
    <row r="20312" spans="2:9" ht="15" customHeight="1" x14ac:dyDescent="0.25">
      <c r="B20312" s="55" t="s">
        <v>283</v>
      </c>
      <c r="C20312" s="46">
        <v>300</v>
      </c>
      <c r="D20312" s="69" t="s">
        <v>29420</v>
      </c>
      <c r="E20312" s="51"/>
      <c r="F20312" s="114" t="str">
        <f>IF(INDEX(I.Facility.P4IDNumber,300)="","",INDEX(I.Facility.P4IDNumber,300))</f>
        <v/>
      </c>
      <c r="G20312" s="51"/>
      <c r="H20312" s="46" t="str">
        <f>IF(AND(I.Developer.P4=TRUE,I.Facility.P4FacilityCount&gt;=300,F20312=""),"Incomplete","Complete")</f>
        <v>Complete</v>
      </c>
      <c r="I20312" s="48" t="s">
        <v>24677</v>
      </c>
    </row>
    <row r="20313" spans="2:9" ht="15" customHeight="1" x14ac:dyDescent="0.25">
      <c r="B20313" s="55" t="s">
        <v>283</v>
      </c>
      <c r="C20313" s="46">
        <v>301</v>
      </c>
      <c r="D20313" s="69" t="s">
        <v>29420</v>
      </c>
      <c r="E20313" s="51"/>
      <c r="F20313" s="114" t="str">
        <f>IF(INDEX(I.Facility.P4IDNumber,301)="","",INDEX(I.Facility.P4IDNumber,301))</f>
        <v/>
      </c>
      <c r="G20313" s="51"/>
      <c r="H20313" s="46" t="str">
        <f>IF(AND(I.Developer.P4=TRUE,I.Facility.P4FacilityCount&gt;=301,F20313=""),"Incomplete","Complete")</f>
        <v>Complete</v>
      </c>
      <c r="I20313" s="48" t="s">
        <v>24678</v>
      </c>
    </row>
    <row r="20314" spans="2:9" ht="15" customHeight="1" x14ac:dyDescent="0.25">
      <c r="B20314" s="55" t="s">
        <v>283</v>
      </c>
      <c r="C20314" s="46">
        <v>302</v>
      </c>
      <c r="D20314" s="69" t="s">
        <v>29420</v>
      </c>
      <c r="E20314" s="51"/>
      <c r="F20314" s="114" t="str">
        <f>IF(INDEX(I.Facility.P4IDNumber,302)="","",INDEX(I.Facility.P4IDNumber,302))</f>
        <v/>
      </c>
      <c r="G20314" s="51"/>
      <c r="H20314" s="46" t="str">
        <f>IF(AND(I.Developer.P4=TRUE,I.Facility.P4FacilityCount&gt;=302,F20314=""),"Incomplete","Complete")</f>
        <v>Complete</v>
      </c>
      <c r="I20314" s="48" t="s">
        <v>24679</v>
      </c>
    </row>
    <row r="20315" spans="2:9" ht="15" customHeight="1" x14ac:dyDescent="0.25">
      <c r="B20315" s="55" t="s">
        <v>283</v>
      </c>
      <c r="C20315" s="46">
        <v>303</v>
      </c>
      <c r="D20315" s="69" t="s">
        <v>29420</v>
      </c>
      <c r="E20315" s="51"/>
      <c r="F20315" s="114" t="str">
        <f>IF(INDEX(I.Facility.P4IDNumber,303)="","",INDEX(I.Facility.P4IDNumber,303))</f>
        <v/>
      </c>
      <c r="G20315" s="51"/>
      <c r="H20315" s="46" t="str">
        <f>IF(AND(I.Developer.P4=TRUE,I.Facility.P4FacilityCount&gt;=303,F20315=""),"Incomplete","Complete")</f>
        <v>Complete</v>
      </c>
      <c r="I20315" s="48" t="s">
        <v>24680</v>
      </c>
    </row>
    <row r="20316" spans="2:9" ht="15" customHeight="1" x14ac:dyDescent="0.25">
      <c r="B20316" s="55" t="s">
        <v>283</v>
      </c>
      <c r="C20316" s="46">
        <v>304</v>
      </c>
      <c r="D20316" s="69" t="s">
        <v>29420</v>
      </c>
      <c r="E20316" s="51"/>
      <c r="F20316" s="114" t="str">
        <f>IF(INDEX(I.Facility.P4IDNumber,304)="","",INDEX(I.Facility.P4IDNumber,304))</f>
        <v/>
      </c>
      <c r="G20316" s="51"/>
      <c r="H20316" s="46" t="str">
        <f>IF(AND(I.Developer.P4=TRUE,I.Facility.P4FacilityCount&gt;=304,F20316=""),"Incomplete","Complete")</f>
        <v>Complete</v>
      </c>
      <c r="I20316" s="48" t="s">
        <v>24681</v>
      </c>
    </row>
    <row r="20317" spans="2:9" ht="15" customHeight="1" x14ac:dyDescent="0.25">
      <c r="B20317" s="55" t="s">
        <v>283</v>
      </c>
      <c r="C20317" s="46">
        <v>305</v>
      </c>
      <c r="D20317" s="69" t="s">
        <v>29420</v>
      </c>
      <c r="E20317" s="51"/>
      <c r="F20317" s="114" t="str">
        <f>IF(INDEX(I.Facility.P4IDNumber,305)="","",INDEX(I.Facility.P4IDNumber,305))</f>
        <v/>
      </c>
      <c r="G20317" s="51"/>
      <c r="H20317" s="46" t="str">
        <f>IF(AND(I.Developer.P4=TRUE,I.Facility.P4FacilityCount&gt;=305,F20317=""),"Incomplete","Complete")</f>
        <v>Complete</v>
      </c>
      <c r="I20317" s="48" t="s">
        <v>24682</v>
      </c>
    </row>
    <row r="20318" spans="2:9" ht="15" customHeight="1" x14ac:dyDescent="0.25">
      <c r="B20318" s="55" t="s">
        <v>283</v>
      </c>
      <c r="C20318" s="46">
        <v>306</v>
      </c>
      <c r="D20318" s="69" t="s">
        <v>29420</v>
      </c>
      <c r="E20318" s="51"/>
      <c r="F20318" s="114" t="str">
        <f>IF(INDEX(I.Facility.P4IDNumber,306)="","",INDEX(I.Facility.P4IDNumber,306))</f>
        <v/>
      </c>
      <c r="G20318" s="51"/>
      <c r="H20318" s="46" t="str">
        <f>IF(AND(I.Developer.P4=TRUE,I.Facility.P4FacilityCount&gt;=306,F20318=""),"Incomplete","Complete")</f>
        <v>Complete</v>
      </c>
      <c r="I20318" s="48" t="s">
        <v>24683</v>
      </c>
    </row>
    <row r="20319" spans="2:9" ht="15" customHeight="1" x14ac:dyDescent="0.25">
      <c r="B20319" s="55" t="s">
        <v>283</v>
      </c>
      <c r="C20319" s="46">
        <v>307</v>
      </c>
      <c r="D20319" s="69" t="s">
        <v>29420</v>
      </c>
      <c r="E20319" s="51"/>
      <c r="F20319" s="114" t="str">
        <f>IF(INDEX(I.Facility.P4IDNumber,307)="","",INDEX(I.Facility.P4IDNumber,307))</f>
        <v/>
      </c>
      <c r="G20319" s="51"/>
      <c r="H20319" s="46" t="str">
        <f>IF(AND(I.Developer.P4=TRUE,I.Facility.P4FacilityCount&gt;=307,F20319=""),"Incomplete","Complete")</f>
        <v>Complete</v>
      </c>
      <c r="I20319" s="48" t="s">
        <v>24684</v>
      </c>
    </row>
    <row r="20320" spans="2:9" ht="15" customHeight="1" x14ac:dyDescent="0.25">
      <c r="B20320" s="55" t="s">
        <v>283</v>
      </c>
      <c r="C20320" s="46">
        <v>308</v>
      </c>
      <c r="D20320" s="69" t="s">
        <v>29420</v>
      </c>
      <c r="E20320" s="51"/>
      <c r="F20320" s="114" t="str">
        <f>IF(INDEX(I.Facility.P4IDNumber,308)="","",INDEX(I.Facility.P4IDNumber,308))</f>
        <v/>
      </c>
      <c r="G20320" s="51"/>
      <c r="H20320" s="46" t="str">
        <f>IF(AND(I.Developer.P4=TRUE,I.Facility.P4FacilityCount&gt;=308,F20320=""),"Incomplete","Complete")</f>
        <v>Complete</v>
      </c>
      <c r="I20320" s="48" t="s">
        <v>24685</v>
      </c>
    </row>
    <row r="20321" spans="2:9" ht="15" customHeight="1" x14ac:dyDescent="0.25">
      <c r="B20321" s="55" t="s">
        <v>283</v>
      </c>
      <c r="C20321" s="46">
        <v>309</v>
      </c>
      <c r="D20321" s="69" t="s">
        <v>29420</v>
      </c>
      <c r="E20321" s="51"/>
      <c r="F20321" s="114" t="str">
        <f>IF(INDEX(I.Facility.P4IDNumber,309)="","",INDEX(I.Facility.P4IDNumber,309))</f>
        <v/>
      </c>
      <c r="G20321" s="51"/>
      <c r="H20321" s="46" t="str">
        <f>IF(AND(I.Developer.P4=TRUE,I.Facility.P4FacilityCount&gt;=309,F20321=""),"Incomplete","Complete")</f>
        <v>Complete</v>
      </c>
      <c r="I20321" s="48" t="s">
        <v>24686</v>
      </c>
    </row>
    <row r="20322" spans="2:9" ht="15" customHeight="1" x14ac:dyDescent="0.25">
      <c r="B20322" s="55" t="s">
        <v>283</v>
      </c>
      <c r="C20322" s="46">
        <v>310</v>
      </c>
      <c r="D20322" s="69" t="s">
        <v>29420</v>
      </c>
      <c r="E20322" s="51"/>
      <c r="F20322" s="114" t="str">
        <f>IF(INDEX(I.Facility.P4IDNumber,310)="","",INDEX(I.Facility.P4IDNumber,310))</f>
        <v/>
      </c>
      <c r="G20322" s="51"/>
      <c r="H20322" s="46" t="str">
        <f>IF(AND(I.Developer.P4=TRUE,I.Facility.P4FacilityCount&gt;=310,F20322=""),"Incomplete","Complete")</f>
        <v>Complete</v>
      </c>
      <c r="I20322" s="48" t="s">
        <v>24687</v>
      </c>
    </row>
    <row r="20323" spans="2:9" ht="15" customHeight="1" x14ac:dyDescent="0.25">
      <c r="B20323" s="55" t="s">
        <v>283</v>
      </c>
      <c r="C20323" s="46">
        <v>311</v>
      </c>
      <c r="D20323" s="69" t="s">
        <v>29420</v>
      </c>
      <c r="E20323" s="51"/>
      <c r="F20323" s="114" t="str">
        <f>IF(INDEX(I.Facility.P4IDNumber,311)="","",INDEX(I.Facility.P4IDNumber,311))</f>
        <v/>
      </c>
      <c r="G20323" s="51"/>
      <c r="H20323" s="46" t="str">
        <f>IF(AND(I.Developer.P4=TRUE,I.Facility.P4FacilityCount&gt;=311,F20323=""),"Incomplete","Complete")</f>
        <v>Complete</v>
      </c>
      <c r="I20323" s="48" t="s">
        <v>24688</v>
      </c>
    </row>
    <row r="20324" spans="2:9" ht="15" customHeight="1" x14ac:dyDescent="0.25">
      <c r="B20324" s="55" t="s">
        <v>283</v>
      </c>
      <c r="C20324" s="46">
        <v>312</v>
      </c>
      <c r="D20324" s="69" t="s">
        <v>29420</v>
      </c>
      <c r="E20324" s="51"/>
      <c r="F20324" s="114" t="str">
        <f>IF(INDEX(I.Facility.P4IDNumber,312)="","",INDEX(I.Facility.P4IDNumber,312))</f>
        <v/>
      </c>
      <c r="G20324" s="51"/>
      <c r="H20324" s="46" t="str">
        <f>IF(AND(I.Developer.P4=TRUE,I.Facility.P4FacilityCount&gt;=312,F20324=""),"Incomplete","Complete")</f>
        <v>Complete</v>
      </c>
      <c r="I20324" s="48" t="s">
        <v>24689</v>
      </c>
    </row>
    <row r="20325" spans="2:9" ht="15" customHeight="1" x14ac:dyDescent="0.25">
      <c r="B20325" s="55" t="s">
        <v>283</v>
      </c>
      <c r="C20325" s="46">
        <v>313</v>
      </c>
      <c r="D20325" s="69" t="s">
        <v>29420</v>
      </c>
      <c r="E20325" s="51"/>
      <c r="F20325" s="114" t="str">
        <f>IF(INDEX(I.Facility.P4IDNumber,313)="","",INDEX(I.Facility.P4IDNumber,313))</f>
        <v/>
      </c>
      <c r="G20325" s="51"/>
      <c r="H20325" s="46" t="str">
        <f>IF(AND(I.Developer.P4=TRUE,I.Facility.P4FacilityCount&gt;=313,F20325=""),"Incomplete","Complete")</f>
        <v>Complete</v>
      </c>
      <c r="I20325" s="48" t="s">
        <v>24690</v>
      </c>
    </row>
    <row r="20326" spans="2:9" ht="15" customHeight="1" x14ac:dyDescent="0.25">
      <c r="B20326" s="55" t="s">
        <v>283</v>
      </c>
      <c r="C20326" s="46">
        <v>314</v>
      </c>
      <c r="D20326" s="69" t="s">
        <v>29420</v>
      </c>
      <c r="E20326" s="51"/>
      <c r="F20326" s="114" t="str">
        <f>IF(INDEX(I.Facility.P4IDNumber,314)="","",INDEX(I.Facility.P4IDNumber,314))</f>
        <v/>
      </c>
      <c r="G20326" s="51"/>
      <c r="H20326" s="46" t="str">
        <f>IF(AND(I.Developer.P4=TRUE,I.Facility.P4FacilityCount&gt;=314,F20326=""),"Incomplete","Complete")</f>
        <v>Complete</v>
      </c>
      <c r="I20326" s="48" t="s">
        <v>24691</v>
      </c>
    </row>
    <row r="20327" spans="2:9" ht="15" customHeight="1" x14ac:dyDescent="0.25">
      <c r="B20327" s="55" t="s">
        <v>283</v>
      </c>
      <c r="C20327" s="46">
        <v>315</v>
      </c>
      <c r="D20327" s="69" t="s">
        <v>29420</v>
      </c>
      <c r="E20327" s="51"/>
      <c r="F20327" s="114" t="str">
        <f>IF(INDEX(I.Facility.P4IDNumber,315)="","",INDEX(I.Facility.P4IDNumber,315))</f>
        <v/>
      </c>
      <c r="G20327" s="51"/>
      <c r="H20327" s="46" t="str">
        <f>IF(AND(I.Developer.P4=TRUE,I.Facility.P4FacilityCount&gt;=315,F20327=""),"Incomplete","Complete")</f>
        <v>Complete</v>
      </c>
      <c r="I20327" s="48" t="s">
        <v>24692</v>
      </c>
    </row>
    <row r="20328" spans="2:9" ht="15" customHeight="1" x14ac:dyDescent="0.25">
      <c r="B20328" s="55" t="s">
        <v>283</v>
      </c>
      <c r="C20328" s="46">
        <v>316</v>
      </c>
      <c r="D20328" s="69" t="s">
        <v>29420</v>
      </c>
      <c r="E20328" s="51"/>
      <c r="F20328" s="114" t="str">
        <f>IF(INDEX(I.Facility.P4IDNumber,316)="","",INDEX(I.Facility.P4IDNumber,316))</f>
        <v/>
      </c>
      <c r="G20328" s="51"/>
      <c r="H20328" s="46" t="str">
        <f>IF(AND(I.Developer.P4=TRUE,I.Facility.P4FacilityCount&gt;=316,F20328=""),"Incomplete","Complete")</f>
        <v>Complete</v>
      </c>
      <c r="I20328" s="48" t="s">
        <v>24693</v>
      </c>
    </row>
    <row r="20329" spans="2:9" ht="15" customHeight="1" x14ac:dyDescent="0.25">
      <c r="B20329" s="55" t="s">
        <v>283</v>
      </c>
      <c r="C20329" s="46">
        <v>317</v>
      </c>
      <c r="D20329" s="69" t="s">
        <v>29420</v>
      </c>
      <c r="E20329" s="51"/>
      <c r="F20329" s="114" t="str">
        <f>IF(INDEX(I.Facility.P4IDNumber,317)="","",INDEX(I.Facility.P4IDNumber,317))</f>
        <v/>
      </c>
      <c r="G20329" s="51"/>
      <c r="H20329" s="46" t="str">
        <f>IF(AND(I.Developer.P4=TRUE,I.Facility.P4FacilityCount&gt;=317,F20329=""),"Incomplete","Complete")</f>
        <v>Complete</v>
      </c>
      <c r="I20329" s="48" t="s">
        <v>24694</v>
      </c>
    </row>
    <row r="20330" spans="2:9" ht="15" customHeight="1" x14ac:dyDescent="0.25">
      <c r="B20330" s="55" t="s">
        <v>283</v>
      </c>
      <c r="C20330" s="46">
        <v>318</v>
      </c>
      <c r="D20330" s="69" t="s">
        <v>29420</v>
      </c>
      <c r="E20330" s="51"/>
      <c r="F20330" s="114" t="str">
        <f>IF(INDEX(I.Facility.P4IDNumber,318)="","",INDEX(I.Facility.P4IDNumber,318))</f>
        <v/>
      </c>
      <c r="G20330" s="51"/>
      <c r="H20330" s="46" t="str">
        <f>IF(AND(I.Developer.P4=TRUE,I.Facility.P4FacilityCount&gt;=318,F20330=""),"Incomplete","Complete")</f>
        <v>Complete</v>
      </c>
      <c r="I20330" s="48" t="s">
        <v>24695</v>
      </c>
    </row>
    <row r="20331" spans="2:9" ht="15" customHeight="1" x14ac:dyDescent="0.25">
      <c r="B20331" s="55" t="s">
        <v>283</v>
      </c>
      <c r="C20331" s="46">
        <v>319</v>
      </c>
      <c r="D20331" s="69" t="s">
        <v>29420</v>
      </c>
      <c r="E20331" s="51"/>
      <c r="F20331" s="114" t="str">
        <f>IF(INDEX(I.Facility.P4IDNumber,319)="","",INDEX(I.Facility.P4IDNumber,319))</f>
        <v/>
      </c>
      <c r="G20331" s="51"/>
      <c r="H20331" s="46" t="str">
        <f>IF(AND(I.Developer.P4=TRUE,I.Facility.P4FacilityCount&gt;=319,F20331=""),"Incomplete","Complete")</f>
        <v>Complete</v>
      </c>
      <c r="I20331" s="48" t="s">
        <v>24696</v>
      </c>
    </row>
    <row r="20332" spans="2:9" ht="15" customHeight="1" x14ac:dyDescent="0.25">
      <c r="B20332" s="55" t="s">
        <v>283</v>
      </c>
      <c r="C20332" s="46">
        <v>320</v>
      </c>
      <c r="D20332" s="69" t="s">
        <v>29420</v>
      </c>
      <c r="E20332" s="51"/>
      <c r="F20332" s="114" t="str">
        <f>IF(INDEX(I.Facility.P4IDNumber,320)="","",INDEX(I.Facility.P4IDNumber,320))</f>
        <v/>
      </c>
      <c r="G20332" s="51"/>
      <c r="H20332" s="46" t="str">
        <f>IF(AND(I.Developer.P4=TRUE,I.Facility.P4FacilityCount&gt;=320,F20332=""),"Incomplete","Complete")</f>
        <v>Complete</v>
      </c>
      <c r="I20332" s="48" t="s">
        <v>24697</v>
      </c>
    </row>
    <row r="20333" spans="2:9" ht="15" customHeight="1" x14ac:dyDescent="0.25">
      <c r="B20333" s="55" t="s">
        <v>283</v>
      </c>
      <c r="C20333" s="46">
        <v>321</v>
      </c>
      <c r="D20333" s="69" t="s">
        <v>29420</v>
      </c>
      <c r="E20333" s="51"/>
      <c r="F20333" s="114" t="str">
        <f>IF(INDEX(I.Facility.P4IDNumber,321)="","",INDEX(I.Facility.P4IDNumber,321))</f>
        <v/>
      </c>
      <c r="G20333" s="51"/>
      <c r="H20333" s="46" t="str">
        <f>IF(AND(I.Developer.P4=TRUE,I.Facility.P4FacilityCount&gt;=321,F20333=""),"Incomplete","Complete")</f>
        <v>Complete</v>
      </c>
      <c r="I20333" s="48" t="s">
        <v>24698</v>
      </c>
    </row>
    <row r="20334" spans="2:9" ht="15" customHeight="1" x14ac:dyDescent="0.25">
      <c r="B20334" s="55" t="s">
        <v>283</v>
      </c>
      <c r="C20334" s="46">
        <v>322</v>
      </c>
      <c r="D20334" s="69" t="s">
        <v>29420</v>
      </c>
      <c r="E20334" s="51"/>
      <c r="F20334" s="114" t="str">
        <f>IF(INDEX(I.Facility.P4IDNumber,322)="","",INDEX(I.Facility.P4IDNumber,322))</f>
        <v/>
      </c>
      <c r="G20334" s="51"/>
      <c r="H20334" s="46" t="str">
        <f>IF(AND(I.Developer.P4=TRUE,I.Facility.P4FacilityCount&gt;=322,F20334=""),"Incomplete","Complete")</f>
        <v>Complete</v>
      </c>
      <c r="I20334" s="48" t="s">
        <v>24699</v>
      </c>
    </row>
    <row r="20335" spans="2:9" ht="15" customHeight="1" x14ac:dyDescent="0.25">
      <c r="B20335" s="55" t="s">
        <v>283</v>
      </c>
      <c r="C20335" s="46">
        <v>323</v>
      </c>
      <c r="D20335" s="69" t="s">
        <v>29420</v>
      </c>
      <c r="E20335" s="51"/>
      <c r="F20335" s="114" t="str">
        <f>IF(INDEX(I.Facility.P4IDNumber,323)="","",INDEX(I.Facility.P4IDNumber,323))</f>
        <v/>
      </c>
      <c r="G20335" s="51"/>
      <c r="H20335" s="46" t="str">
        <f>IF(AND(I.Developer.P4=TRUE,I.Facility.P4FacilityCount&gt;=323,F20335=""),"Incomplete","Complete")</f>
        <v>Complete</v>
      </c>
      <c r="I20335" s="48" t="s">
        <v>24700</v>
      </c>
    </row>
    <row r="20336" spans="2:9" ht="15" customHeight="1" x14ac:dyDescent="0.25">
      <c r="B20336" s="55" t="s">
        <v>283</v>
      </c>
      <c r="C20336" s="46">
        <v>324</v>
      </c>
      <c r="D20336" s="69" t="s">
        <v>29420</v>
      </c>
      <c r="E20336" s="51"/>
      <c r="F20336" s="114" t="str">
        <f>IF(INDEX(I.Facility.P4IDNumber,324)="","",INDEX(I.Facility.P4IDNumber,324))</f>
        <v/>
      </c>
      <c r="G20336" s="51"/>
      <c r="H20336" s="46" t="str">
        <f>IF(AND(I.Developer.P4=TRUE,I.Facility.P4FacilityCount&gt;=324,F20336=""),"Incomplete","Complete")</f>
        <v>Complete</v>
      </c>
      <c r="I20336" s="48" t="s">
        <v>24701</v>
      </c>
    </row>
    <row r="20337" spans="2:9" ht="15" customHeight="1" x14ac:dyDescent="0.25">
      <c r="B20337" s="55" t="s">
        <v>283</v>
      </c>
      <c r="C20337" s="46">
        <v>325</v>
      </c>
      <c r="D20337" s="69" t="s">
        <v>29420</v>
      </c>
      <c r="E20337" s="51"/>
      <c r="F20337" s="114" t="str">
        <f>IF(INDEX(I.Facility.P4IDNumber,325)="","",INDEX(I.Facility.P4IDNumber,325))</f>
        <v/>
      </c>
      <c r="G20337" s="51"/>
      <c r="H20337" s="46" t="str">
        <f>IF(AND(I.Developer.P4=TRUE,I.Facility.P4FacilityCount&gt;=325,F20337=""),"Incomplete","Complete")</f>
        <v>Complete</v>
      </c>
      <c r="I20337" s="48" t="s">
        <v>24702</v>
      </c>
    </row>
    <row r="20338" spans="2:9" ht="15" customHeight="1" x14ac:dyDescent="0.25">
      <c r="B20338" s="55" t="s">
        <v>283</v>
      </c>
      <c r="C20338" s="46">
        <v>326</v>
      </c>
      <c r="D20338" s="69" t="s">
        <v>29420</v>
      </c>
      <c r="E20338" s="51"/>
      <c r="F20338" s="114" t="str">
        <f>IF(INDEX(I.Facility.P4IDNumber,326)="","",INDEX(I.Facility.P4IDNumber,326))</f>
        <v/>
      </c>
      <c r="G20338" s="51"/>
      <c r="H20338" s="46" t="str">
        <f>IF(AND(I.Developer.P4=TRUE,I.Facility.P4FacilityCount&gt;=326,F20338=""),"Incomplete","Complete")</f>
        <v>Complete</v>
      </c>
      <c r="I20338" s="48" t="s">
        <v>24703</v>
      </c>
    </row>
    <row r="20339" spans="2:9" ht="15" customHeight="1" x14ac:dyDescent="0.25">
      <c r="B20339" s="55" t="s">
        <v>283</v>
      </c>
      <c r="C20339" s="46">
        <v>327</v>
      </c>
      <c r="D20339" s="69" t="s">
        <v>29420</v>
      </c>
      <c r="E20339" s="51"/>
      <c r="F20339" s="114" t="str">
        <f>IF(INDEX(I.Facility.P4IDNumber,327)="","",INDEX(I.Facility.P4IDNumber,327))</f>
        <v/>
      </c>
      <c r="G20339" s="51"/>
      <c r="H20339" s="46" t="str">
        <f>IF(AND(I.Developer.P4=TRUE,I.Facility.P4FacilityCount&gt;=327,F20339=""),"Incomplete","Complete")</f>
        <v>Complete</v>
      </c>
      <c r="I20339" s="48" t="s">
        <v>24704</v>
      </c>
    </row>
    <row r="20340" spans="2:9" ht="15" customHeight="1" x14ac:dyDescent="0.25">
      <c r="B20340" s="55" t="s">
        <v>283</v>
      </c>
      <c r="C20340" s="46">
        <v>328</v>
      </c>
      <c r="D20340" s="69" t="s">
        <v>29420</v>
      </c>
      <c r="E20340" s="51"/>
      <c r="F20340" s="114" t="str">
        <f>IF(INDEX(I.Facility.P4IDNumber,328)="","",INDEX(I.Facility.P4IDNumber,328))</f>
        <v/>
      </c>
      <c r="G20340" s="51"/>
      <c r="H20340" s="46" t="str">
        <f>IF(AND(I.Developer.P4=TRUE,I.Facility.P4FacilityCount&gt;=328,F20340=""),"Incomplete","Complete")</f>
        <v>Complete</v>
      </c>
      <c r="I20340" s="48" t="s">
        <v>24705</v>
      </c>
    </row>
    <row r="20341" spans="2:9" ht="15" customHeight="1" x14ac:dyDescent="0.25">
      <c r="B20341" s="55" t="s">
        <v>283</v>
      </c>
      <c r="C20341" s="46">
        <v>329</v>
      </c>
      <c r="D20341" s="69" t="s">
        <v>29420</v>
      </c>
      <c r="E20341" s="51"/>
      <c r="F20341" s="114" t="str">
        <f>IF(INDEX(I.Facility.P4IDNumber,329)="","",INDEX(I.Facility.P4IDNumber,329))</f>
        <v/>
      </c>
      <c r="G20341" s="51"/>
      <c r="H20341" s="46" t="str">
        <f>IF(AND(I.Developer.P4=TRUE,I.Facility.P4FacilityCount&gt;=329,F20341=""),"Incomplete","Complete")</f>
        <v>Complete</v>
      </c>
      <c r="I20341" s="48" t="s">
        <v>24706</v>
      </c>
    </row>
    <row r="20342" spans="2:9" ht="15" customHeight="1" x14ac:dyDescent="0.25">
      <c r="B20342" s="55" t="s">
        <v>283</v>
      </c>
      <c r="C20342" s="46">
        <v>330</v>
      </c>
      <c r="D20342" s="69" t="s">
        <v>29420</v>
      </c>
      <c r="E20342" s="51"/>
      <c r="F20342" s="114" t="str">
        <f>IF(INDEX(I.Facility.P4IDNumber,330)="","",INDEX(I.Facility.P4IDNumber,330))</f>
        <v/>
      </c>
      <c r="G20342" s="51"/>
      <c r="H20342" s="46" t="str">
        <f>IF(AND(I.Developer.P4=TRUE,I.Facility.P4FacilityCount&gt;=330,F20342=""),"Incomplete","Complete")</f>
        <v>Complete</v>
      </c>
      <c r="I20342" s="48" t="s">
        <v>24707</v>
      </c>
    </row>
    <row r="20343" spans="2:9" ht="15" customHeight="1" x14ac:dyDescent="0.25">
      <c r="B20343" s="55" t="s">
        <v>283</v>
      </c>
      <c r="C20343" s="46">
        <v>331</v>
      </c>
      <c r="D20343" s="69" t="s">
        <v>29420</v>
      </c>
      <c r="E20343" s="51"/>
      <c r="F20343" s="114" t="str">
        <f>IF(INDEX(I.Facility.P4IDNumber,331)="","",INDEX(I.Facility.P4IDNumber,331))</f>
        <v/>
      </c>
      <c r="G20343" s="51"/>
      <c r="H20343" s="46" t="str">
        <f>IF(AND(I.Developer.P4=TRUE,I.Facility.P4FacilityCount&gt;=331,F20343=""),"Incomplete","Complete")</f>
        <v>Complete</v>
      </c>
      <c r="I20343" s="48" t="s">
        <v>24708</v>
      </c>
    </row>
    <row r="20344" spans="2:9" ht="15" customHeight="1" x14ac:dyDescent="0.25">
      <c r="B20344" s="55" t="s">
        <v>283</v>
      </c>
      <c r="C20344" s="46">
        <v>332</v>
      </c>
      <c r="D20344" s="69" t="s">
        <v>29420</v>
      </c>
      <c r="E20344" s="51"/>
      <c r="F20344" s="114" t="str">
        <f>IF(INDEX(I.Facility.P4IDNumber,332)="","",INDEX(I.Facility.P4IDNumber,332))</f>
        <v/>
      </c>
      <c r="G20344" s="51"/>
      <c r="H20344" s="46" t="str">
        <f>IF(AND(I.Developer.P4=TRUE,I.Facility.P4FacilityCount&gt;=332,F20344=""),"Incomplete","Complete")</f>
        <v>Complete</v>
      </c>
      <c r="I20344" s="48" t="s">
        <v>24709</v>
      </c>
    </row>
    <row r="20345" spans="2:9" ht="15" customHeight="1" x14ac:dyDescent="0.25">
      <c r="B20345" s="55" t="s">
        <v>283</v>
      </c>
      <c r="C20345" s="46">
        <v>333</v>
      </c>
      <c r="D20345" s="69" t="s">
        <v>29420</v>
      </c>
      <c r="E20345" s="51"/>
      <c r="F20345" s="114" t="str">
        <f>IF(INDEX(I.Facility.P4IDNumber,333)="","",INDEX(I.Facility.P4IDNumber,333))</f>
        <v/>
      </c>
      <c r="G20345" s="51"/>
      <c r="H20345" s="46" t="str">
        <f>IF(AND(I.Developer.P4=TRUE,I.Facility.P4FacilityCount&gt;=333,F20345=""),"Incomplete","Complete")</f>
        <v>Complete</v>
      </c>
      <c r="I20345" s="48" t="s">
        <v>24710</v>
      </c>
    </row>
    <row r="20346" spans="2:9" ht="15" customHeight="1" x14ac:dyDescent="0.25">
      <c r="B20346" s="55" t="s">
        <v>283</v>
      </c>
      <c r="C20346" s="46">
        <v>334</v>
      </c>
      <c r="D20346" s="69" t="s">
        <v>29420</v>
      </c>
      <c r="E20346" s="51"/>
      <c r="F20346" s="114" t="str">
        <f>IF(INDEX(I.Facility.P4IDNumber,334)="","",INDEX(I.Facility.P4IDNumber,334))</f>
        <v/>
      </c>
      <c r="G20346" s="51"/>
      <c r="H20346" s="46" t="str">
        <f>IF(AND(I.Developer.P4=TRUE,I.Facility.P4FacilityCount&gt;=334,F20346=""),"Incomplete","Complete")</f>
        <v>Complete</v>
      </c>
      <c r="I20346" s="48" t="s">
        <v>24711</v>
      </c>
    </row>
    <row r="20347" spans="2:9" ht="15" customHeight="1" x14ac:dyDescent="0.25">
      <c r="B20347" s="55" t="s">
        <v>283</v>
      </c>
      <c r="C20347" s="46">
        <v>335</v>
      </c>
      <c r="D20347" s="69" t="s">
        <v>29420</v>
      </c>
      <c r="E20347" s="51"/>
      <c r="F20347" s="114" t="str">
        <f>IF(INDEX(I.Facility.P4IDNumber,335)="","",INDEX(I.Facility.P4IDNumber,335))</f>
        <v/>
      </c>
      <c r="G20347" s="51"/>
      <c r="H20347" s="46" t="str">
        <f>IF(AND(I.Developer.P4=TRUE,I.Facility.P4FacilityCount&gt;=335,F20347=""),"Incomplete","Complete")</f>
        <v>Complete</v>
      </c>
      <c r="I20347" s="48" t="s">
        <v>24712</v>
      </c>
    </row>
    <row r="20348" spans="2:9" ht="15" customHeight="1" x14ac:dyDescent="0.25">
      <c r="B20348" s="55" t="s">
        <v>283</v>
      </c>
      <c r="C20348" s="46">
        <v>336</v>
      </c>
      <c r="D20348" s="69" t="s">
        <v>29420</v>
      </c>
      <c r="E20348" s="51"/>
      <c r="F20348" s="114" t="str">
        <f>IF(INDEX(I.Facility.P4IDNumber,336)="","",INDEX(I.Facility.P4IDNumber,336))</f>
        <v/>
      </c>
      <c r="G20348" s="51"/>
      <c r="H20348" s="46" t="str">
        <f>IF(AND(I.Developer.P4=TRUE,I.Facility.P4FacilityCount&gt;=336,F20348=""),"Incomplete","Complete")</f>
        <v>Complete</v>
      </c>
      <c r="I20348" s="48" t="s">
        <v>24713</v>
      </c>
    </row>
    <row r="20349" spans="2:9" ht="15" customHeight="1" x14ac:dyDescent="0.25">
      <c r="B20349" s="55" t="s">
        <v>283</v>
      </c>
      <c r="C20349" s="46">
        <v>337</v>
      </c>
      <c r="D20349" s="69" t="s">
        <v>29420</v>
      </c>
      <c r="E20349" s="51"/>
      <c r="F20349" s="114" t="str">
        <f>IF(INDEX(I.Facility.P4IDNumber,337)="","",INDEX(I.Facility.P4IDNumber,337))</f>
        <v/>
      </c>
      <c r="G20349" s="51"/>
      <c r="H20349" s="46" t="str">
        <f>IF(AND(I.Developer.P4=TRUE,I.Facility.P4FacilityCount&gt;=337,F20349=""),"Incomplete","Complete")</f>
        <v>Complete</v>
      </c>
      <c r="I20349" s="48" t="s">
        <v>24714</v>
      </c>
    </row>
    <row r="20350" spans="2:9" ht="15" customHeight="1" x14ac:dyDescent="0.25">
      <c r="B20350" s="55" t="s">
        <v>283</v>
      </c>
      <c r="C20350" s="46">
        <v>338</v>
      </c>
      <c r="D20350" s="69" t="s">
        <v>29420</v>
      </c>
      <c r="E20350" s="51"/>
      <c r="F20350" s="114" t="str">
        <f>IF(INDEX(I.Facility.P4IDNumber,338)="","",INDEX(I.Facility.P4IDNumber,338))</f>
        <v/>
      </c>
      <c r="G20350" s="51"/>
      <c r="H20350" s="46" t="str">
        <f>IF(AND(I.Developer.P4=TRUE,I.Facility.P4FacilityCount&gt;=338,F20350=""),"Incomplete","Complete")</f>
        <v>Complete</v>
      </c>
      <c r="I20350" s="48" t="s">
        <v>24715</v>
      </c>
    </row>
    <row r="20351" spans="2:9" ht="15" customHeight="1" x14ac:dyDescent="0.25">
      <c r="B20351" s="55" t="s">
        <v>283</v>
      </c>
      <c r="C20351" s="46">
        <v>339</v>
      </c>
      <c r="D20351" s="69" t="s">
        <v>29420</v>
      </c>
      <c r="E20351" s="51"/>
      <c r="F20351" s="114" t="str">
        <f>IF(INDEX(I.Facility.P4IDNumber,339)="","",INDEX(I.Facility.P4IDNumber,339))</f>
        <v/>
      </c>
      <c r="G20351" s="51"/>
      <c r="H20351" s="46" t="str">
        <f>IF(AND(I.Developer.P4=TRUE,I.Facility.P4FacilityCount&gt;=339,F20351=""),"Incomplete","Complete")</f>
        <v>Complete</v>
      </c>
      <c r="I20351" s="48" t="s">
        <v>24716</v>
      </c>
    </row>
    <row r="20352" spans="2:9" ht="15" customHeight="1" x14ac:dyDescent="0.25">
      <c r="B20352" s="55" t="s">
        <v>283</v>
      </c>
      <c r="C20352" s="46">
        <v>340</v>
      </c>
      <c r="D20352" s="69" t="s">
        <v>29420</v>
      </c>
      <c r="E20352" s="51"/>
      <c r="F20352" s="114" t="str">
        <f>IF(INDEX(I.Facility.P4IDNumber,340)="","",INDEX(I.Facility.P4IDNumber,340))</f>
        <v/>
      </c>
      <c r="G20352" s="51"/>
      <c r="H20352" s="46" t="str">
        <f>IF(AND(I.Developer.P4=TRUE,I.Facility.P4FacilityCount&gt;=340,F20352=""),"Incomplete","Complete")</f>
        <v>Complete</v>
      </c>
      <c r="I20352" s="48" t="s">
        <v>24717</v>
      </c>
    </row>
    <row r="20353" spans="2:9" ht="15" customHeight="1" x14ac:dyDescent="0.25">
      <c r="B20353" s="55" t="s">
        <v>283</v>
      </c>
      <c r="C20353" s="46">
        <v>341</v>
      </c>
      <c r="D20353" s="69" t="s">
        <v>29420</v>
      </c>
      <c r="E20353" s="51"/>
      <c r="F20353" s="114" t="str">
        <f>IF(INDEX(I.Facility.P4IDNumber,341)="","",INDEX(I.Facility.P4IDNumber,341))</f>
        <v/>
      </c>
      <c r="G20353" s="51"/>
      <c r="H20353" s="46" t="str">
        <f>IF(AND(I.Developer.P4=TRUE,I.Facility.P4FacilityCount&gt;=341,F20353=""),"Incomplete","Complete")</f>
        <v>Complete</v>
      </c>
      <c r="I20353" s="48" t="s">
        <v>24718</v>
      </c>
    </row>
    <row r="20354" spans="2:9" ht="15" customHeight="1" x14ac:dyDescent="0.25">
      <c r="B20354" s="55" t="s">
        <v>283</v>
      </c>
      <c r="C20354" s="46">
        <v>342</v>
      </c>
      <c r="D20354" s="69" t="s">
        <v>29420</v>
      </c>
      <c r="E20354" s="51"/>
      <c r="F20354" s="114" t="str">
        <f>IF(INDEX(I.Facility.P4IDNumber,342)="","",INDEX(I.Facility.P4IDNumber,342))</f>
        <v/>
      </c>
      <c r="G20354" s="51"/>
      <c r="H20354" s="46" t="str">
        <f>IF(AND(I.Developer.P4=TRUE,I.Facility.P4FacilityCount&gt;=342,F20354=""),"Incomplete","Complete")</f>
        <v>Complete</v>
      </c>
      <c r="I20354" s="48" t="s">
        <v>24719</v>
      </c>
    </row>
    <row r="20355" spans="2:9" ht="15" customHeight="1" x14ac:dyDescent="0.25">
      <c r="B20355" s="55" t="s">
        <v>283</v>
      </c>
      <c r="C20355" s="46">
        <v>343</v>
      </c>
      <c r="D20355" s="69" t="s">
        <v>29420</v>
      </c>
      <c r="E20355" s="51"/>
      <c r="F20355" s="114" t="str">
        <f>IF(INDEX(I.Facility.P4IDNumber,343)="","",INDEX(I.Facility.P4IDNumber,343))</f>
        <v/>
      </c>
      <c r="G20355" s="51"/>
      <c r="H20355" s="46" t="str">
        <f>IF(AND(I.Developer.P4=TRUE,I.Facility.P4FacilityCount&gt;=343,F20355=""),"Incomplete","Complete")</f>
        <v>Complete</v>
      </c>
      <c r="I20355" s="48" t="s">
        <v>24720</v>
      </c>
    </row>
    <row r="20356" spans="2:9" ht="15" customHeight="1" x14ac:dyDescent="0.25">
      <c r="B20356" s="55" t="s">
        <v>283</v>
      </c>
      <c r="C20356" s="46">
        <v>344</v>
      </c>
      <c r="D20356" s="69" t="s">
        <v>29420</v>
      </c>
      <c r="E20356" s="51"/>
      <c r="F20356" s="114" t="str">
        <f>IF(INDEX(I.Facility.P4IDNumber,344)="","",INDEX(I.Facility.P4IDNumber,344))</f>
        <v/>
      </c>
      <c r="G20356" s="51"/>
      <c r="H20356" s="46" t="str">
        <f>IF(AND(I.Developer.P4=TRUE,I.Facility.P4FacilityCount&gt;=344,F20356=""),"Incomplete","Complete")</f>
        <v>Complete</v>
      </c>
      <c r="I20356" s="48" t="s">
        <v>24721</v>
      </c>
    </row>
    <row r="20357" spans="2:9" ht="15" customHeight="1" x14ac:dyDescent="0.25">
      <c r="B20357" s="55" t="s">
        <v>283</v>
      </c>
      <c r="C20357" s="46">
        <v>345</v>
      </c>
      <c r="D20357" s="69" t="s">
        <v>29420</v>
      </c>
      <c r="E20357" s="51"/>
      <c r="F20357" s="114" t="str">
        <f>IF(INDEX(I.Facility.P4IDNumber,345)="","",INDEX(I.Facility.P4IDNumber,345))</f>
        <v/>
      </c>
      <c r="G20357" s="51"/>
      <c r="H20357" s="46" t="str">
        <f>IF(AND(I.Developer.P4=TRUE,I.Facility.P4FacilityCount&gt;=345,F20357=""),"Incomplete","Complete")</f>
        <v>Complete</v>
      </c>
      <c r="I20357" s="48" t="s">
        <v>24722</v>
      </c>
    </row>
    <row r="20358" spans="2:9" ht="15" customHeight="1" x14ac:dyDescent="0.25">
      <c r="B20358" s="55" t="s">
        <v>283</v>
      </c>
      <c r="C20358" s="46">
        <v>346</v>
      </c>
      <c r="D20358" s="69" t="s">
        <v>29420</v>
      </c>
      <c r="E20358" s="51"/>
      <c r="F20358" s="114" t="str">
        <f>IF(INDEX(I.Facility.P4IDNumber,346)="","",INDEX(I.Facility.P4IDNumber,346))</f>
        <v/>
      </c>
      <c r="G20358" s="51"/>
      <c r="H20358" s="46" t="str">
        <f>IF(AND(I.Developer.P4=TRUE,I.Facility.P4FacilityCount&gt;=346,F20358=""),"Incomplete","Complete")</f>
        <v>Complete</v>
      </c>
      <c r="I20358" s="48" t="s">
        <v>24723</v>
      </c>
    </row>
    <row r="20359" spans="2:9" ht="15" customHeight="1" x14ac:dyDescent="0.25">
      <c r="B20359" s="55" t="s">
        <v>283</v>
      </c>
      <c r="C20359" s="46">
        <v>347</v>
      </c>
      <c r="D20359" s="69" t="s">
        <v>29420</v>
      </c>
      <c r="E20359" s="51"/>
      <c r="F20359" s="114" t="str">
        <f>IF(INDEX(I.Facility.P4IDNumber,347)="","",INDEX(I.Facility.P4IDNumber,347))</f>
        <v/>
      </c>
      <c r="G20359" s="51"/>
      <c r="H20359" s="46" t="str">
        <f>IF(AND(I.Developer.P4=TRUE,I.Facility.P4FacilityCount&gt;=347,F20359=""),"Incomplete","Complete")</f>
        <v>Complete</v>
      </c>
      <c r="I20359" s="48" t="s">
        <v>24724</v>
      </c>
    </row>
    <row r="20360" spans="2:9" ht="15" customHeight="1" x14ac:dyDescent="0.25">
      <c r="B20360" s="55" t="s">
        <v>283</v>
      </c>
      <c r="C20360" s="46">
        <v>348</v>
      </c>
      <c r="D20360" s="69" t="s">
        <v>29420</v>
      </c>
      <c r="E20360" s="51"/>
      <c r="F20360" s="114" t="str">
        <f>IF(INDEX(I.Facility.P4IDNumber,348)="","",INDEX(I.Facility.P4IDNumber,348))</f>
        <v/>
      </c>
      <c r="G20360" s="51"/>
      <c r="H20360" s="46" t="str">
        <f>IF(AND(I.Developer.P4=TRUE,I.Facility.P4FacilityCount&gt;=348,F20360=""),"Incomplete","Complete")</f>
        <v>Complete</v>
      </c>
      <c r="I20360" s="48" t="s">
        <v>24725</v>
      </c>
    </row>
    <row r="20361" spans="2:9" ht="15" customHeight="1" x14ac:dyDescent="0.25">
      <c r="B20361" s="55" t="s">
        <v>283</v>
      </c>
      <c r="C20361" s="46">
        <v>349</v>
      </c>
      <c r="D20361" s="69" t="s">
        <v>29420</v>
      </c>
      <c r="E20361" s="51"/>
      <c r="F20361" s="114" t="str">
        <f>IF(INDEX(I.Facility.P4IDNumber,349)="","",INDEX(I.Facility.P4IDNumber,349))</f>
        <v/>
      </c>
      <c r="G20361" s="51"/>
      <c r="H20361" s="46" t="str">
        <f>IF(AND(I.Developer.P4=TRUE,I.Facility.P4FacilityCount&gt;=349,F20361=""),"Incomplete","Complete")</f>
        <v>Complete</v>
      </c>
      <c r="I20361" s="48" t="s">
        <v>24726</v>
      </c>
    </row>
    <row r="20362" spans="2:9" ht="15" customHeight="1" x14ac:dyDescent="0.25">
      <c r="B20362" s="55" t="s">
        <v>283</v>
      </c>
      <c r="C20362" s="46">
        <v>350</v>
      </c>
      <c r="D20362" s="69" t="s">
        <v>29420</v>
      </c>
      <c r="E20362" s="51"/>
      <c r="F20362" s="114" t="str">
        <f>IF(INDEX(I.Facility.P4IDNumber,350)="","",INDEX(I.Facility.P4IDNumber,350))</f>
        <v/>
      </c>
      <c r="G20362" s="51"/>
      <c r="H20362" s="46" t="str">
        <f>IF(AND(I.Developer.P4=TRUE,I.Facility.P4FacilityCount&gt;=350,F20362=""),"Incomplete","Complete")</f>
        <v>Complete</v>
      </c>
      <c r="I20362" s="48" t="s">
        <v>24727</v>
      </c>
    </row>
    <row r="20363" spans="2:9" ht="15" customHeight="1" x14ac:dyDescent="0.25">
      <c r="B20363" s="55" t="s">
        <v>283</v>
      </c>
      <c r="C20363" s="46">
        <v>351</v>
      </c>
      <c r="D20363" s="69" t="s">
        <v>29420</v>
      </c>
      <c r="E20363" s="51"/>
      <c r="F20363" s="114" t="str">
        <f>IF(INDEX(I.Facility.P4IDNumber,351)="","",INDEX(I.Facility.P4IDNumber,351))</f>
        <v/>
      </c>
      <c r="G20363" s="51"/>
      <c r="H20363" s="46" t="str">
        <f>IF(AND(I.Developer.P4=TRUE,I.Facility.P4FacilityCount&gt;=351,F20363=""),"Incomplete","Complete")</f>
        <v>Complete</v>
      </c>
      <c r="I20363" s="48" t="s">
        <v>24728</v>
      </c>
    </row>
    <row r="20364" spans="2:9" ht="15" customHeight="1" x14ac:dyDescent="0.25">
      <c r="B20364" s="55" t="s">
        <v>283</v>
      </c>
      <c r="C20364" s="46">
        <v>352</v>
      </c>
      <c r="D20364" s="69" t="s">
        <v>29420</v>
      </c>
      <c r="E20364" s="51"/>
      <c r="F20364" s="114" t="str">
        <f>IF(INDEX(I.Facility.P4IDNumber,352)="","",INDEX(I.Facility.P4IDNumber,352))</f>
        <v/>
      </c>
      <c r="G20364" s="51"/>
      <c r="H20364" s="46" t="str">
        <f>IF(AND(I.Developer.P4=TRUE,I.Facility.P4FacilityCount&gt;=352,F20364=""),"Incomplete","Complete")</f>
        <v>Complete</v>
      </c>
      <c r="I20364" s="48" t="s">
        <v>24729</v>
      </c>
    </row>
    <row r="20365" spans="2:9" ht="15" customHeight="1" x14ac:dyDescent="0.25">
      <c r="B20365" s="55" t="s">
        <v>283</v>
      </c>
      <c r="C20365" s="46">
        <v>353</v>
      </c>
      <c r="D20365" s="69" t="s">
        <v>29420</v>
      </c>
      <c r="E20365" s="51"/>
      <c r="F20365" s="114" t="str">
        <f>IF(INDEX(I.Facility.P4IDNumber,353)="","",INDEX(I.Facility.P4IDNumber,353))</f>
        <v/>
      </c>
      <c r="G20365" s="51"/>
      <c r="H20365" s="46" t="str">
        <f>IF(AND(I.Developer.P4=TRUE,I.Facility.P4FacilityCount&gt;=353,F20365=""),"Incomplete","Complete")</f>
        <v>Complete</v>
      </c>
      <c r="I20365" s="48" t="s">
        <v>24730</v>
      </c>
    </row>
    <row r="20366" spans="2:9" ht="15" customHeight="1" x14ac:dyDescent="0.25">
      <c r="B20366" s="55" t="s">
        <v>283</v>
      </c>
      <c r="C20366" s="46">
        <v>354</v>
      </c>
      <c r="D20366" s="69" t="s">
        <v>29420</v>
      </c>
      <c r="E20366" s="51"/>
      <c r="F20366" s="114" t="str">
        <f>IF(INDEX(I.Facility.P4IDNumber,354)="","",INDEX(I.Facility.P4IDNumber,354))</f>
        <v/>
      </c>
      <c r="G20366" s="51"/>
      <c r="H20366" s="46" t="str">
        <f>IF(AND(I.Developer.P4=TRUE,I.Facility.P4FacilityCount&gt;=354,F20366=""),"Incomplete","Complete")</f>
        <v>Complete</v>
      </c>
      <c r="I20366" s="48" t="s">
        <v>24731</v>
      </c>
    </row>
    <row r="20367" spans="2:9" ht="15" customHeight="1" x14ac:dyDescent="0.25">
      <c r="B20367" s="55" t="s">
        <v>283</v>
      </c>
      <c r="C20367" s="46">
        <v>355</v>
      </c>
      <c r="D20367" s="69" t="s">
        <v>29420</v>
      </c>
      <c r="E20367" s="51"/>
      <c r="F20367" s="114" t="str">
        <f>IF(INDEX(I.Facility.P4IDNumber,355)="","",INDEX(I.Facility.P4IDNumber,355))</f>
        <v/>
      </c>
      <c r="G20367" s="51"/>
      <c r="H20367" s="46" t="str">
        <f>IF(AND(I.Developer.P4=TRUE,I.Facility.P4FacilityCount&gt;=355,F20367=""),"Incomplete","Complete")</f>
        <v>Complete</v>
      </c>
      <c r="I20367" s="48" t="s">
        <v>24732</v>
      </c>
    </row>
    <row r="20368" spans="2:9" ht="15" customHeight="1" x14ac:dyDescent="0.25">
      <c r="B20368" s="55" t="s">
        <v>283</v>
      </c>
      <c r="C20368" s="46">
        <v>356</v>
      </c>
      <c r="D20368" s="69" t="s">
        <v>29420</v>
      </c>
      <c r="E20368" s="51"/>
      <c r="F20368" s="114" t="str">
        <f>IF(INDEX(I.Facility.P4IDNumber,356)="","",INDEX(I.Facility.P4IDNumber,356))</f>
        <v/>
      </c>
      <c r="G20368" s="51"/>
      <c r="H20368" s="46" t="str">
        <f>IF(AND(I.Developer.P4=TRUE,I.Facility.P4FacilityCount&gt;=356,F20368=""),"Incomplete","Complete")</f>
        <v>Complete</v>
      </c>
      <c r="I20368" s="48" t="s">
        <v>24733</v>
      </c>
    </row>
    <row r="20369" spans="2:9" ht="15" customHeight="1" x14ac:dyDescent="0.25">
      <c r="B20369" s="55" t="s">
        <v>283</v>
      </c>
      <c r="C20369" s="46">
        <v>357</v>
      </c>
      <c r="D20369" s="69" t="s">
        <v>29420</v>
      </c>
      <c r="E20369" s="51"/>
      <c r="F20369" s="114" t="str">
        <f>IF(INDEX(I.Facility.P4IDNumber,357)="","",INDEX(I.Facility.P4IDNumber,357))</f>
        <v/>
      </c>
      <c r="G20369" s="51"/>
      <c r="H20369" s="46" t="str">
        <f>IF(AND(I.Developer.P4=TRUE,I.Facility.P4FacilityCount&gt;=357,F20369=""),"Incomplete","Complete")</f>
        <v>Complete</v>
      </c>
      <c r="I20369" s="48" t="s">
        <v>24734</v>
      </c>
    </row>
    <row r="20370" spans="2:9" ht="15" customHeight="1" x14ac:dyDescent="0.25">
      <c r="B20370" s="55" t="s">
        <v>283</v>
      </c>
      <c r="C20370" s="46">
        <v>358</v>
      </c>
      <c r="D20370" s="69" t="s">
        <v>29420</v>
      </c>
      <c r="E20370" s="51"/>
      <c r="F20370" s="114" t="str">
        <f>IF(INDEX(I.Facility.P4IDNumber,358)="","",INDEX(I.Facility.P4IDNumber,358))</f>
        <v/>
      </c>
      <c r="G20370" s="51"/>
      <c r="H20370" s="46" t="str">
        <f>IF(AND(I.Developer.P4=TRUE,I.Facility.P4FacilityCount&gt;=358,F20370=""),"Incomplete","Complete")</f>
        <v>Complete</v>
      </c>
      <c r="I20370" s="48" t="s">
        <v>24735</v>
      </c>
    </row>
    <row r="20371" spans="2:9" ht="15" customHeight="1" x14ac:dyDescent="0.25">
      <c r="B20371" s="55" t="s">
        <v>283</v>
      </c>
      <c r="C20371" s="46">
        <v>359</v>
      </c>
      <c r="D20371" s="69" t="s">
        <v>29420</v>
      </c>
      <c r="E20371" s="51"/>
      <c r="F20371" s="114" t="str">
        <f>IF(INDEX(I.Facility.P4IDNumber,359)="","",INDEX(I.Facility.P4IDNumber,359))</f>
        <v/>
      </c>
      <c r="G20371" s="51"/>
      <c r="H20371" s="46" t="str">
        <f>IF(AND(I.Developer.P4=TRUE,I.Facility.P4FacilityCount&gt;=359,F20371=""),"Incomplete","Complete")</f>
        <v>Complete</v>
      </c>
      <c r="I20371" s="48" t="s">
        <v>24736</v>
      </c>
    </row>
    <row r="20372" spans="2:9" ht="15" customHeight="1" x14ac:dyDescent="0.25">
      <c r="B20372" s="55" t="s">
        <v>283</v>
      </c>
      <c r="C20372" s="46">
        <v>360</v>
      </c>
      <c r="D20372" s="69" t="s">
        <v>29420</v>
      </c>
      <c r="E20372" s="51"/>
      <c r="F20372" s="114" t="str">
        <f>IF(INDEX(I.Facility.P4IDNumber,360)="","",INDEX(I.Facility.P4IDNumber,360))</f>
        <v/>
      </c>
      <c r="G20372" s="51"/>
      <c r="H20372" s="46" t="str">
        <f>IF(AND(I.Developer.P4=TRUE,I.Facility.P4FacilityCount&gt;=360,F20372=""),"Incomplete","Complete")</f>
        <v>Complete</v>
      </c>
      <c r="I20372" s="48" t="s">
        <v>24737</v>
      </c>
    </row>
    <row r="20373" spans="2:9" ht="15" customHeight="1" x14ac:dyDescent="0.25">
      <c r="B20373" s="55" t="s">
        <v>283</v>
      </c>
      <c r="C20373" s="46">
        <v>361</v>
      </c>
      <c r="D20373" s="69" t="s">
        <v>29420</v>
      </c>
      <c r="E20373" s="51"/>
      <c r="F20373" s="114" t="str">
        <f>IF(INDEX(I.Facility.P4IDNumber,361)="","",INDEX(I.Facility.P4IDNumber,361))</f>
        <v/>
      </c>
      <c r="G20373" s="51"/>
      <c r="H20373" s="46" t="str">
        <f>IF(AND(I.Developer.P4=TRUE,I.Facility.P4FacilityCount&gt;=361,F20373=""),"Incomplete","Complete")</f>
        <v>Complete</v>
      </c>
      <c r="I20373" s="48" t="s">
        <v>24738</v>
      </c>
    </row>
    <row r="20374" spans="2:9" ht="15" customHeight="1" x14ac:dyDescent="0.25">
      <c r="B20374" s="55" t="s">
        <v>283</v>
      </c>
      <c r="C20374" s="46">
        <v>362</v>
      </c>
      <c r="D20374" s="69" t="s">
        <v>29420</v>
      </c>
      <c r="E20374" s="51"/>
      <c r="F20374" s="114" t="str">
        <f>IF(INDEX(I.Facility.P4IDNumber,362)="","",INDEX(I.Facility.P4IDNumber,362))</f>
        <v/>
      </c>
      <c r="G20374" s="51"/>
      <c r="H20374" s="46" t="str">
        <f>IF(AND(I.Developer.P4=TRUE,I.Facility.P4FacilityCount&gt;=362,F20374=""),"Incomplete","Complete")</f>
        <v>Complete</v>
      </c>
      <c r="I20374" s="48" t="s">
        <v>24739</v>
      </c>
    </row>
    <row r="20375" spans="2:9" ht="15" customHeight="1" x14ac:dyDescent="0.25">
      <c r="B20375" s="55" t="s">
        <v>283</v>
      </c>
      <c r="C20375" s="46">
        <v>363</v>
      </c>
      <c r="D20375" s="69" t="s">
        <v>29420</v>
      </c>
      <c r="E20375" s="51"/>
      <c r="F20375" s="114" t="str">
        <f>IF(INDEX(I.Facility.P4IDNumber,363)="","",INDEX(I.Facility.P4IDNumber,363))</f>
        <v/>
      </c>
      <c r="G20375" s="51"/>
      <c r="H20375" s="46" t="str">
        <f>IF(AND(I.Developer.P4=TRUE,I.Facility.P4FacilityCount&gt;=363,F20375=""),"Incomplete","Complete")</f>
        <v>Complete</v>
      </c>
      <c r="I20375" s="48" t="s">
        <v>24740</v>
      </c>
    </row>
    <row r="20376" spans="2:9" ht="15" customHeight="1" x14ac:dyDescent="0.25">
      <c r="B20376" s="55" t="s">
        <v>283</v>
      </c>
      <c r="C20376" s="46">
        <v>364</v>
      </c>
      <c r="D20376" s="69" t="s">
        <v>29420</v>
      </c>
      <c r="E20376" s="51"/>
      <c r="F20376" s="114" t="str">
        <f>IF(INDEX(I.Facility.P4IDNumber,364)="","",INDEX(I.Facility.P4IDNumber,364))</f>
        <v/>
      </c>
      <c r="G20376" s="51"/>
      <c r="H20376" s="46" t="str">
        <f>IF(AND(I.Developer.P4=TRUE,I.Facility.P4FacilityCount&gt;=364,F20376=""),"Incomplete","Complete")</f>
        <v>Complete</v>
      </c>
      <c r="I20376" s="48" t="s">
        <v>24741</v>
      </c>
    </row>
    <row r="20377" spans="2:9" ht="15" customHeight="1" x14ac:dyDescent="0.25">
      <c r="B20377" s="55" t="s">
        <v>283</v>
      </c>
      <c r="C20377" s="46">
        <v>365</v>
      </c>
      <c r="D20377" s="69" t="s">
        <v>29420</v>
      </c>
      <c r="E20377" s="51"/>
      <c r="F20377" s="114" t="str">
        <f>IF(INDEX(I.Facility.P4IDNumber,365)="","",INDEX(I.Facility.P4IDNumber,365))</f>
        <v/>
      </c>
      <c r="G20377" s="51"/>
      <c r="H20377" s="46" t="str">
        <f>IF(AND(I.Developer.P4=TRUE,I.Facility.P4FacilityCount&gt;=365,F20377=""),"Incomplete","Complete")</f>
        <v>Complete</v>
      </c>
      <c r="I20377" s="48" t="s">
        <v>24742</v>
      </c>
    </row>
    <row r="20378" spans="2:9" ht="15" customHeight="1" x14ac:dyDescent="0.25">
      <c r="B20378" s="55" t="s">
        <v>283</v>
      </c>
      <c r="C20378" s="46">
        <v>366</v>
      </c>
      <c r="D20378" s="69" t="s">
        <v>29420</v>
      </c>
      <c r="E20378" s="51"/>
      <c r="F20378" s="114" t="str">
        <f>IF(INDEX(I.Facility.P4IDNumber,366)="","",INDEX(I.Facility.P4IDNumber,366))</f>
        <v/>
      </c>
      <c r="G20378" s="51"/>
      <c r="H20378" s="46" t="str">
        <f>IF(AND(I.Developer.P4=TRUE,I.Facility.P4FacilityCount&gt;=366,F20378=""),"Incomplete","Complete")</f>
        <v>Complete</v>
      </c>
      <c r="I20378" s="48" t="s">
        <v>24743</v>
      </c>
    </row>
    <row r="20379" spans="2:9" ht="15" customHeight="1" x14ac:dyDescent="0.25">
      <c r="B20379" s="55" t="s">
        <v>283</v>
      </c>
      <c r="C20379" s="46">
        <v>367</v>
      </c>
      <c r="D20379" s="69" t="s">
        <v>29420</v>
      </c>
      <c r="E20379" s="51"/>
      <c r="F20379" s="114" t="str">
        <f>IF(INDEX(I.Facility.P4IDNumber,367)="","",INDEX(I.Facility.P4IDNumber,367))</f>
        <v/>
      </c>
      <c r="G20379" s="51"/>
      <c r="H20379" s="46" t="str">
        <f>IF(AND(I.Developer.P4=TRUE,I.Facility.P4FacilityCount&gt;=367,F20379=""),"Incomplete","Complete")</f>
        <v>Complete</v>
      </c>
      <c r="I20379" s="48" t="s">
        <v>24744</v>
      </c>
    </row>
    <row r="20380" spans="2:9" ht="15" customHeight="1" x14ac:dyDescent="0.25">
      <c r="B20380" s="55" t="s">
        <v>283</v>
      </c>
      <c r="C20380" s="46">
        <v>368</v>
      </c>
      <c r="D20380" s="69" t="s">
        <v>29420</v>
      </c>
      <c r="E20380" s="51"/>
      <c r="F20380" s="114" t="str">
        <f>IF(INDEX(I.Facility.P4IDNumber,368)="","",INDEX(I.Facility.P4IDNumber,368))</f>
        <v/>
      </c>
      <c r="G20380" s="51"/>
      <c r="H20380" s="46" t="str">
        <f>IF(AND(I.Developer.P4=TRUE,I.Facility.P4FacilityCount&gt;=368,F20380=""),"Incomplete","Complete")</f>
        <v>Complete</v>
      </c>
      <c r="I20380" s="48" t="s">
        <v>24745</v>
      </c>
    </row>
    <row r="20381" spans="2:9" ht="15" customHeight="1" x14ac:dyDescent="0.25">
      <c r="B20381" s="55" t="s">
        <v>283</v>
      </c>
      <c r="C20381" s="46">
        <v>369</v>
      </c>
      <c r="D20381" s="69" t="s">
        <v>29420</v>
      </c>
      <c r="E20381" s="51"/>
      <c r="F20381" s="114" t="str">
        <f>IF(INDEX(I.Facility.P4IDNumber,369)="","",INDEX(I.Facility.P4IDNumber,369))</f>
        <v/>
      </c>
      <c r="G20381" s="51"/>
      <c r="H20381" s="46" t="str">
        <f>IF(AND(I.Developer.P4=TRUE,I.Facility.P4FacilityCount&gt;=369,F20381=""),"Incomplete","Complete")</f>
        <v>Complete</v>
      </c>
      <c r="I20381" s="48" t="s">
        <v>24746</v>
      </c>
    </row>
    <row r="20382" spans="2:9" ht="15" customHeight="1" x14ac:dyDescent="0.25">
      <c r="B20382" s="55" t="s">
        <v>283</v>
      </c>
      <c r="C20382" s="46">
        <v>370</v>
      </c>
      <c r="D20382" s="69" t="s">
        <v>29420</v>
      </c>
      <c r="E20382" s="51"/>
      <c r="F20382" s="114" t="str">
        <f>IF(INDEX(I.Facility.P4IDNumber,370)="","",INDEX(I.Facility.P4IDNumber,370))</f>
        <v/>
      </c>
      <c r="G20382" s="51"/>
      <c r="H20382" s="46" t="str">
        <f>IF(AND(I.Developer.P4=TRUE,I.Facility.P4FacilityCount&gt;=370,F20382=""),"Incomplete","Complete")</f>
        <v>Complete</v>
      </c>
      <c r="I20382" s="48" t="s">
        <v>24747</v>
      </c>
    </row>
    <row r="20383" spans="2:9" ht="15" customHeight="1" x14ac:dyDescent="0.25">
      <c r="B20383" s="55" t="s">
        <v>283</v>
      </c>
      <c r="C20383" s="46">
        <v>371</v>
      </c>
      <c r="D20383" s="69" t="s">
        <v>29420</v>
      </c>
      <c r="E20383" s="51"/>
      <c r="F20383" s="114" t="str">
        <f>IF(INDEX(I.Facility.P4IDNumber,371)="","",INDEX(I.Facility.P4IDNumber,371))</f>
        <v/>
      </c>
      <c r="G20383" s="51"/>
      <c r="H20383" s="46" t="str">
        <f>IF(AND(I.Developer.P4=TRUE,I.Facility.P4FacilityCount&gt;=371,F20383=""),"Incomplete","Complete")</f>
        <v>Complete</v>
      </c>
      <c r="I20383" s="48" t="s">
        <v>24748</v>
      </c>
    </row>
    <row r="20384" spans="2:9" ht="15" customHeight="1" x14ac:dyDescent="0.25">
      <c r="B20384" s="55" t="s">
        <v>283</v>
      </c>
      <c r="C20384" s="46">
        <v>372</v>
      </c>
      <c r="D20384" s="69" t="s">
        <v>29420</v>
      </c>
      <c r="E20384" s="51"/>
      <c r="F20384" s="114" t="str">
        <f>IF(INDEX(I.Facility.P4IDNumber,372)="","",INDEX(I.Facility.P4IDNumber,372))</f>
        <v/>
      </c>
      <c r="G20384" s="51"/>
      <c r="H20384" s="46" t="str">
        <f>IF(AND(I.Developer.P4=TRUE,I.Facility.P4FacilityCount&gt;=372,F20384=""),"Incomplete","Complete")</f>
        <v>Complete</v>
      </c>
      <c r="I20384" s="48" t="s">
        <v>24749</v>
      </c>
    </row>
    <row r="20385" spans="2:9" ht="15" customHeight="1" x14ac:dyDescent="0.25">
      <c r="B20385" s="55" t="s">
        <v>283</v>
      </c>
      <c r="C20385" s="46">
        <v>373</v>
      </c>
      <c r="D20385" s="69" t="s">
        <v>29420</v>
      </c>
      <c r="E20385" s="51"/>
      <c r="F20385" s="114" t="str">
        <f>IF(INDEX(I.Facility.P4IDNumber,373)="","",INDEX(I.Facility.P4IDNumber,373))</f>
        <v/>
      </c>
      <c r="G20385" s="51"/>
      <c r="H20385" s="46" t="str">
        <f>IF(AND(I.Developer.P4=TRUE,I.Facility.P4FacilityCount&gt;=373,F20385=""),"Incomplete","Complete")</f>
        <v>Complete</v>
      </c>
      <c r="I20385" s="48" t="s">
        <v>24750</v>
      </c>
    </row>
    <row r="20386" spans="2:9" ht="15" customHeight="1" x14ac:dyDescent="0.25">
      <c r="B20386" s="55" t="s">
        <v>283</v>
      </c>
      <c r="C20386" s="46">
        <v>374</v>
      </c>
      <c r="D20386" s="69" t="s">
        <v>29420</v>
      </c>
      <c r="E20386" s="51"/>
      <c r="F20386" s="114" t="str">
        <f>IF(INDEX(I.Facility.P4IDNumber,374)="","",INDEX(I.Facility.P4IDNumber,374))</f>
        <v/>
      </c>
      <c r="G20386" s="51"/>
      <c r="H20386" s="46" t="str">
        <f>IF(AND(I.Developer.P4=TRUE,I.Facility.P4FacilityCount&gt;=374,F20386=""),"Incomplete","Complete")</f>
        <v>Complete</v>
      </c>
      <c r="I20386" s="48" t="s">
        <v>24751</v>
      </c>
    </row>
    <row r="20387" spans="2:9" ht="15" customHeight="1" x14ac:dyDescent="0.25">
      <c r="B20387" s="55" t="s">
        <v>283</v>
      </c>
      <c r="C20387" s="46">
        <v>375</v>
      </c>
      <c r="D20387" s="69" t="s">
        <v>29420</v>
      </c>
      <c r="E20387" s="51"/>
      <c r="F20387" s="114" t="str">
        <f>IF(INDEX(I.Facility.P4IDNumber,375)="","",INDEX(I.Facility.P4IDNumber,375))</f>
        <v/>
      </c>
      <c r="G20387" s="51"/>
      <c r="H20387" s="46" t="str">
        <f>IF(AND(I.Developer.P4=TRUE,I.Facility.P4FacilityCount&gt;=375,F20387=""),"Incomplete","Complete")</f>
        <v>Complete</v>
      </c>
      <c r="I20387" s="48" t="s">
        <v>24752</v>
      </c>
    </row>
    <row r="20388" spans="2:9" ht="15" customHeight="1" x14ac:dyDescent="0.25">
      <c r="B20388" s="55" t="s">
        <v>283</v>
      </c>
      <c r="C20388" s="46">
        <v>376</v>
      </c>
      <c r="D20388" s="69" t="s">
        <v>29420</v>
      </c>
      <c r="E20388" s="51"/>
      <c r="F20388" s="114" t="str">
        <f>IF(INDEX(I.Facility.P4IDNumber,376)="","",INDEX(I.Facility.P4IDNumber,376))</f>
        <v/>
      </c>
      <c r="G20388" s="51"/>
      <c r="H20388" s="46" t="str">
        <f>IF(AND(I.Developer.P4=TRUE,I.Facility.P4FacilityCount&gt;=376,F20388=""),"Incomplete","Complete")</f>
        <v>Complete</v>
      </c>
      <c r="I20388" s="48" t="s">
        <v>24753</v>
      </c>
    </row>
    <row r="20389" spans="2:9" ht="15" customHeight="1" x14ac:dyDescent="0.25">
      <c r="B20389" s="55" t="s">
        <v>283</v>
      </c>
      <c r="C20389" s="46">
        <v>377</v>
      </c>
      <c r="D20389" s="69" t="s">
        <v>29420</v>
      </c>
      <c r="E20389" s="51"/>
      <c r="F20389" s="114" t="str">
        <f>IF(INDEX(I.Facility.P4IDNumber,377)="","",INDEX(I.Facility.P4IDNumber,377))</f>
        <v/>
      </c>
      <c r="G20389" s="51"/>
      <c r="H20389" s="46" t="str">
        <f>IF(AND(I.Developer.P4=TRUE,I.Facility.P4FacilityCount&gt;=377,F20389=""),"Incomplete","Complete")</f>
        <v>Complete</v>
      </c>
      <c r="I20389" s="48" t="s">
        <v>24754</v>
      </c>
    </row>
    <row r="20390" spans="2:9" ht="15" customHeight="1" x14ac:dyDescent="0.25">
      <c r="B20390" s="55" t="s">
        <v>283</v>
      </c>
      <c r="C20390" s="46">
        <v>378</v>
      </c>
      <c r="D20390" s="69" t="s">
        <v>29420</v>
      </c>
      <c r="E20390" s="51"/>
      <c r="F20390" s="114" t="str">
        <f>IF(INDEX(I.Facility.P4IDNumber,378)="","",INDEX(I.Facility.P4IDNumber,378))</f>
        <v/>
      </c>
      <c r="G20390" s="51"/>
      <c r="H20390" s="46" t="str">
        <f>IF(AND(I.Developer.P4=TRUE,I.Facility.P4FacilityCount&gt;=378,F20390=""),"Incomplete","Complete")</f>
        <v>Complete</v>
      </c>
      <c r="I20390" s="48" t="s">
        <v>24755</v>
      </c>
    </row>
    <row r="20391" spans="2:9" ht="15" customHeight="1" x14ac:dyDescent="0.25">
      <c r="B20391" s="55" t="s">
        <v>283</v>
      </c>
      <c r="C20391" s="46">
        <v>379</v>
      </c>
      <c r="D20391" s="69" t="s">
        <v>29420</v>
      </c>
      <c r="E20391" s="51"/>
      <c r="F20391" s="114" t="str">
        <f>IF(INDEX(I.Facility.P4IDNumber,379)="","",INDEX(I.Facility.P4IDNumber,379))</f>
        <v/>
      </c>
      <c r="G20391" s="51"/>
      <c r="H20391" s="46" t="str">
        <f>IF(AND(I.Developer.P4=TRUE,I.Facility.P4FacilityCount&gt;=379,F20391=""),"Incomplete","Complete")</f>
        <v>Complete</v>
      </c>
      <c r="I20391" s="48" t="s">
        <v>24756</v>
      </c>
    </row>
    <row r="20392" spans="2:9" ht="15" customHeight="1" x14ac:dyDescent="0.25">
      <c r="B20392" s="55" t="s">
        <v>283</v>
      </c>
      <c r="C20392" s="46">
        <v>380</v>
      </c>
      <c r="D20392" s="69" t="s">
        <v>29420</v>
      </c>
      <c r="E20392" s="51"/>
      <c r="F20392" s="114" t="str">
        <f>IF(INDEX(I.Facility.P4IDNumber,380)="","",INDEX(I.Facility.P4IDNumber,380))</f>
        <v/>
      </c>
      <c r="G20392" s="51"/>
      <c r="H20392" s="46" t="str">
        <f>IF(AND(I.Developer.P4=TRUE,I.Facility.P4FacilityCount&gt;=380,F20392=""),"Incomplete","Complete")</f>
        <v>Complete</v>
      </c>
      <c r="I20392" s="48" t="s">
        <v>24757</v>
      </c>
    </row>
    <row r="20393" spans="2:9" ht="15" customHeight="1" x14ac:dyDescent="0.25">
      <c r="B20393" s="55" t="s">
        <v>283</v>
      </c>
      <c r="C20393" s="46">
        <v>381</v>
      </c>
      <c r="D20393" s="69" t="s">
        <v>29420</v>
      </c>
      <c r="E20393" s="51"/>
      <c r="F20393" s="114" t="str">
        <f>IF(INDEX(I.Facility.P4IDNumber,381)="","",INDEX(I.Facility.P4IDNumber,381))</f>
        <v/>
      </c>
      <c r="G20393" s="51"/>
      <c r="H20393" s="46" t="str">
        <f>IF(AND(I.Developer.P4=TRUE,I.Facility.P4FacilityCount&gt;=381,F20393=""),"Incomplete","Complete")</f>
        <v>Complete</v>
      </c>
      <c r="I20393" s="48" t="s">
        <v>24758</v>
      </c>
    </row>
    <row r="20394" spans="2:9" ht="15" customHeight="1" x14ac:dyDescent="0.25">
      <c r="B20394" s="55" t="s">
        <v>283</v>
      </c>
      <c r="C20394" s="46">
        <v>382</v>
      </c>
      <c r="D20394" s="69" t="s">
        <v>29420</v>
      </c>
      <c r="E20394" s="51"/>
      <c r="F20394" s="114" t="str">
        <f>IF(INDEX(I.Facility.P4IDNumber,382)="","",INDEX(I.Facility.P4IDNumber,382))</f>
        <v/>
      </c>
      <c r="G20394" s="51"/>
      <c r="H20394" s="46" t="str">
        <f>IF(AND(I.Developer.P4=TRUE,I.Facility.P4FacilityCount&gt;=382,F20394=""),"Incomplete","Complete")</f>
        <v>Complete</v>
      </c>
      <c r="I20394" s="48" t="s">
        <v>24759</v>
      </c>
    </row>
    <row r="20395" spans="2:9" ht="15" customHeight="1" x14ac:dyDescent="0.25">
      <c r="B20395" s="55" t="s">
        <v>283</v>
      </c>
      <c r="C20395" s="46">
        <v>383</v>
      </c>
      <c r="D20395" s="69" t="s">
        <v>29420</v>
      </c>
      <c r="E20395" s="51"/>
      <c r="F20395" s="114" t="str">
        <f>IF(INDEX(I.Facility.P4IDNumber,383)="","",INDEX(I.Facility.P4IDNumber,383))</f>
        <v/>
      </c>
      <c r="G20395" s="51"/>
      <c r="H20395" s="46" t="str">
        <f>IF(AND(I.Developer.P4=TRUE,I.Facility.P4FacilityCount&gt;=383,F20395=""),"Incomplete","Complete")</f>
        <v>Complete</v>
      </c>
      <c r="I20395" s="48" t="s">
        <v>24760</v>
      </c>
    </row>
    <row r="20396" spans="2:9" ht="15" customHeight="1" x14ac:dyDescent="0.25">
      <c r="B20396" s="55" t="s">
        <v>283</v>
      </c>
      <c r="C20396" s="46">
        <v>384</v>
      </c>
      <c r="D20396" s="69" t="s">
        <v>29420</v>
      </c>
      <c r="E20396" s="51"/>
      <c r="F20396" s="114" t="str">
        <f>IF(INDEX(I.Facility.P4IDNumber,384)="","",INDEX(I.Facility.P4IDNumber,384))</f>
        <v/>
      </c>
      <c r="G20396" s="51"/>
      <c r="H20396" s="46" t="str">
        <f>IF(AND(I.Developer.P4=TRUE,I.Facility.P4FacilityCount&gt;=384,F20396=""),"Incomplete","Complete")</f>
        <v>Complete</v>
      </c>
      <c r="I20396" s="48" t="s">
        <v>24761</v>
      </c>
    </row>
    <row r="20397" spans="2:9" ht="15" customHeight="1" x14ac:dyDescent="0.25">
      <c r="B20397" s="55" t="s">
        <v>283</v>
      </c>
      <c r="C20397" s="46">
        <v>385</v>
      </c>
      <c r="D20397" s="69" t="s">
        <v>29420</v>
      </c>
      <c r="E20397" s="51"/>
      <c r="F20397" s="114" t="str">
        <f>IF(INDEX(I.Facility.P4IDNumber,385)="","",INDEX(I.Facility.P4IDNumber,385))</f>
        <v/>
      </c>
      <c r="G20397" s="51"/>
      <c r="H20397" s="46" t="str">
        <f>IF(AND(I.Developer.P4=TRUE,I.Facility.P4FacilityCount&gt;=385,F20397=""),"Incomplete","Complete")</f>
        <v>Complete</v>
      </c>
      <c r="I20397" s="48" t="s">
        <v>24762</v>
      </c>
    </row>
    <row r="20398" spans="2:9" ht="15" customHeight="1" x14ac:dyDescent="0.25">
      <c r="B20398" s="55" t="s">
        <v>283</v>
      </c>
      <c r="C20398" s="46">
        <v>386</v>
      </c>
      <c r="D20398" s="69" t="s">
        <v>29420</v>
      </c>
      <c r="E20398" s="51"/>
      <c r="F20398" s="114" t="str">
        <f>IF(INDEX(I.Facility.P4IDNumber,386)="","",INDEX(I.Facility.P4IDNumber,386))</f>
        <v/>
      </c>
      <c r="G20398" s="51"/>
      <c r="H20398" s="46" t="str">
        <f>IF(AND(I.Developer.P4=TRUE,I.Facility.P4FacilityCount&gt;=386,F20398=""),"Incomplete","Complete")</f>
        <v>Complete</v>
      </c>
      <c r="I20398" s="48" t="s">
        <v>24763</v>
      </c>
    </row>
    <row r="20399" spans="2:9" ht="15" customHeight="1" x14ac:dyDescent="0.25">
      <c r="B20399" s="55" t="s">
        <v>283</v>
      </c>
      <c r="C20399" s="46">
        <v>387</v>
      </c>
      <c r="D20399" s="69" t="s">
        <v>29420</v>
      </c>
      <c r="E20399" s="51"/>
      <c r="F20399" s="114" t="str">
        <f>IF(INDEX(I.Facility.P4IDNumber,387)="","",INDEX(I.Facility.P4IDNumber,387))</f>
        <v/>
      </c>
      <c r="G20399" s="51"/>
      <c r="H20399" s="46" t="str">
        <f>IF(AND(I.Developer.P4=TRUE,I.Facility.P4FacilityCount&gt;=387,F20399=""),"Incomplete","Complete")</f>
        <v>Complete</v>
      </c>
      <c r="I20399" s="48" t="s">
        <v>24764</v>
      </c>
    </row>
    <row r="20400" spans="2:9" ht="15" customHeight="1" x14ac:dyDescent="0.25">
      <c r="B20400" s="55" t="s">
        <v>283</v>
      </c>
      <c r="C20400" s="46">
        <v>388</v>
      </c>
      <c r="D20400" s="69" t="s">
        <v>29420</v>
      </c>
      <c r="E20400" s="51"/>
      <c r="F20400" s="114" t="str">
        <f>IF(INDEX(I.Facility.P4IDNumber,388)="","",INDEX(I.Facility.P4IDNumber,388))</f>
        <v/>
      </c>
      <c r="G20400" s="51"/>
      <c r="H20400" s="46" t="str">
        <f>IF(AND(I.Developer.P4=TRUE,I.Facility.P4FacilityCount&gt;=388,F20400=""),"Incomplete","Complete")</f>
        <v>Complete</v>
      </c>
      <c r="I20400" s="48" t="s">
        <v>24765</v>
      </c>
    </row>
    <row r="20401" spans="2:9" ht="15" customHeight="1" x14ac:dyDescent="0.25">
      <c r="B20401" s="55" t="s">
        <v>283</v>
      </c>
      <c r="C20401" s="46">
        <v>389</v>
      </c>
      <c r="D20401" s="69" t="s">
        <v>29420</v>
      </c>
      <c r="E20401" s="51"/>
      <c r="F20401" s="114" t="str">
        <f>IF(INDEX(I.Facility.P4IDNumber,389)="","",INDEX(I.Facility.P4IDNumber,389))</f>
        <v/>
      </c>
      <c r="G20401" s="51"/>
      <c r="H20401" s="46" t="str">
        <f>IF(AND(I.Developer.P4=TRUE,I.Facility.P4FacilityCount&gt;=389,F20401=""),"Incomplete","Complete")</f>
        <v>Complete</v>
      </c>
      <c r="I20401" s="48" t="s">
        <v>24766</v>
      </c>
    </row>
    <row r="20402" spans="2:9" ht="15" customHeight="1" x14ac:dyDescent="0.25">
      <c r="B20402" s="55" t="s">
        <v>283</v>
      </c>
      <c r="C20402" s="46">
        <v>390</v>
      </c>
      <c r="D20402" s="69" t="s">
        <v>29420</v>
      </c>
      <c r="E20402" s="51"/>
      <c r="F20402" s="114" t="str">
        <f>IF(INDEX(I.Facility.P4IDNumber,390)="","",INDEX(I.Facility.P4IDNumber,390))</f>
        <v/>
      </c>
      <c r="G20402" s="51"/>
      <c r="H20402" s="46" t="str">
        <f>IF(AND(I.Developer.P4=TRUE,I.Facility.P4FacilityCount&gt;=390,F20402=""),"Incomplete","Complete")</f>
        <v>Complete</v>
      </c>
      <c r="I20402" s="48" t="s">
        <v>24767</v>
      </c>
    </row>
    <row r="20403" spans="2:9" ht="15" customHeight="1" x14ac:dyDescent="0.25">
      <c r="B20403" s="55" t="s">
        <v>283</v>
      </c>
      <c r="C20403" s="46">
        <v>391</v>
      </c>
      <c r="D20403" s="69" t="s">
        <v>29420</v>
      </c>
      <c r="E20403" s="51"/>
      <c r="F20403" s="114" t="str">
        <f>IF(INDEX(I.Facility.P4IDNumber,391)="","",INDEX(I.Facility.P4IDNumber,391))</f>
        <v/>
      </c>
      <c r="G20403" s="51"/>
      <c r="H20403" s="46" t="str">
        <f>IF(AND(I.Developer.P4=TRUE,I.Facility.P4FacilityCount&gt;=391,F20403=""),"Incomplete","Complete")</f>
        <v>Complete</v>
      </c>
      <c r="I20403" s="48" t="s">
        <v>24768</v>
      </c>
    </row>
    <row r="20404" spans="2:9" ht="15" customHeight="1" x14ac:dyDescent="0.25">
      <c r="B20404" s="55" t="s">
        <v>283</v>
      </c>
      <c r="C20404" s="46">
        <v>392</v>
      </c>
      <c r="D20404" s="69" t="s">
        <v>29420</v>
      </c>
      <c r="E20404" s="51"/>
      <c r="F20404" s="114" t="str">
        <f>IF(INDEX(I.Facility.P4IDNumber,392)="","",INDEX(I.Facility.P4IDNumber,392))</f>
        <v/>
      </c>
      <c r="G20404" s="51"/>
      <c r="H20404" s="46" t="str">
        <f>IF(AND(I.Developer.P4=TRUE,I.Facility.P4FacilityCount&gt;=392,F20404=""),"Incomplete","Complete")</f>
        <v>Complete</v>
      </c>
      <c r="I20404" s="48" t="s">
        <v>24769</v>
      </c>
    </row>
    <row r="20405" spans="2:9" ht="15" customHeight="1" x14ac:dyDescent="0.25">
      <c r="B20405" s="55" t="s">
        <v>283</v>
      </c>
      <c r="C20405" s="46">
        <v>393</v>
      </c>
      <c r="D20405" s="69" t="s">
        <v>29420</v>
      </c>
      <c r="E20405" s="51"/>
      <c r="F20405" s="114" t="str">
        <f>IF(INDEX(I.Facility.P4IDNumber,393)="","",INDEX(I.Facility.P4IDNumber,393))</f>
        <v/>
      </c>
      <c r="G20405" s="51"/>
      <c r="H20405" s="46" t="str">
        <f>IF(AND(I.Developer.P4=TRUE,I.Facility.P4FacilityCount&gt;=393,F20405=""),"Incomplete","Complete")</f>
        <v>Complete</v>
      </c>
      <c r="I20405" s="48" t="s">
        <v>24770</v>
      </c>
    </row>
    <row r="20406" spans="2:9" ht="15" customHeight="1" x14ac:dyDescent="0.25">
      <c r="B20406" s="55" t="s">
        <v>283</v>
      </c>
      <c r="C20406" s="46">
        <v>394</v>
      </c>
      <c r="D20406" s="69" t="s">
        <v>29420</v>
      </c>
      <c r="E20406" s="51"/>
      <c r="F20406" s="114" t="str">
        <f>IF(INDEX(I.Facility.P4IDNumber,394)="","",INDEX(I.Facility.P4IDNumber,394))</f>
        <v/>
      </c>
      <c r="G20406" s="51"/>
      <c r="H20406" s="46" t="str">
        <f>IF(AND(I.Developer.P4=TRUE,I.Facility.P4FacilityCount&gt;=394,F20406=""),"Incomplete","Complete")</f>
        <v>Complete</v>
      </c>
      <c r="I20406" s="48" t="s">
        <v>24771</v>
      </c>
    </row>
    <row r="20407" spans="2:9" ht="15" customHeight="1" x14ac:dyDescent="0.25">
      <c r="B20407" s="55" t="s">
        <v>283</v>
      </c>
      <c r="C20407" s="46">
        <v>395</v>
      </c>
      <c r="D20407" s="69" t="s">
        <v>29420</v>
      </c>
      <c r="E20407" s="51"/>
      <c r="F20407" s="114" t="str">
        <f>IF(INDEX(I.Facility.P4IDNumber,395)="","",INDEX(I.Facility.P4IDNumber,395))</f>
        <v/>
      </c>
      <c r="G20407" s="51"/>
      <c r="H20407" s="46" t="str">
        <f>IF(AND(I.Developer.P4=TRUE,I.Facility.P4FacilityCount&gt;=395,F20407=""),"Incomplete","Complete")</f>
        <v>Complete</v>
      </c>
      <c r="I20407" s="48" t="s">
        <v>24772</v>
      </c>
    </row>
    <row r="20408" spans="2:9" ht="15" customHeight="1" x14ac:dyDescent="0.25">
      <c r="B20408" s="55" t="s">
        <v>283</v>
      </c>
      <c r="C20408" s="46">
        <v>396</v>
      </c>
      <c r="D20408" s="69" t="s">
        <v>29420</v>
      </c>
      <c r="E20408" s="51"/>
      <c r="F20408" s="114" t="str">
        <f>IF(INDEX(I.Facility.P4IDNumber,396)="","",INDEX(I.Facility.P4IDNumber,396))</f>
        <v/>
      </c>
      <c r="G20408" s="51"/>
      <c r="H20408" s="46" t="str">
        <f>IF(AND(I.Developer.P4=TRUE,I.Facility.P4FacilityCount&gt;=396,F20408=""),"Incomplete","Complete")</f>
        <v>Complete</v>
      </c>
      <c r="I20408" s="48" t="s">
        <v>24773</v>
      </c>
    </row>
    <row r="20409" spans="2:9" ht="15" customHeight="1" x14ac:dyDescent="0.25">
      <c r="B20409" s="55" t="s">
        <v>283</v>
      </c>
      <c r="C20409" s="46">
        <v>397</v>
      </c>
      <c r="D20409" s="69" t="s">
        <v>29420</v>
      </c>
      <c r="E20409" s="51"/>
      <c r="F20409" s="114" t="str">
        <f>IF(INDEX(I.Facility.P4IDNumber,397)="","",INDEX(I.Facility.P4IDNumber,397))</f>
        <v/>
      </c>
      <c r="G20409" s="51"/>
      <c r="H20409" s="46" t="str">
        <f>IF(AND(I.Developer.P4=TRUE,I.Facility.P4FacilityCount&gt;=397,F20409=""),"Incomplete","Complete")</f>
        <v>Complete</v>
      </c>
      <c r="I20409" s="48" t="s">
        <v>24774</v>
      </c>
    </row>
    <row r="20410" spans="2:9" ht="15" customHeight="1" x14ac:dyDescent="0.25">
      <c r="B20410" s="55" t="s">
        <v>283</v>
      </c>
      <c r="C20410" s="46">
        <v>398</v>
      </c>
      <c r="D20410" s="69" t="s">
        <v>29420</v>
      </c>
      <c r="E20410" s="51"/>
      <c r="F20410" s="114" t="str">
        <f>IF(INDEX(I.Facility.P4IDNumber,398)="","",INDEX(I.Facility.P4IDNumber,398))</f>
        <v/>
      </c>
      <c r="G20410" s="51"/>
      <c r="H20410" s="46" t="str">
        <f>IF(AND(I.Developer.P4=TRUE,I.Facility.P4FacilityCount&gt;=398,F20410=""),"Incomplete","Complete")</f>
        <v>Complete</v>
      </c>
      <c r="I20410" s="48" t="s">
        <v>24775</v>
      </c>
    </row>
    <row r="20411" spans="2:9" ht="15" customHeight="1" x14ac:dyDescent="0.25">
      <c r="B20411" s="55" t="s">
        <v>283</v>
      </c>
      <c r="C20411" s="46">
        <v>399</v>
      </c>
      <c r="D20411" s="69" t="s">
        <v>29420</v>
      </c>
      <c r="E20411" s="51"/>
      <c r="F20411" s="114" t="str">
        <f>IF(INDEX(I.Facility.P4IDNumber,399)="","",INDEX(I.Facility.P4IDNumber,399))</f>
        <v/>
      </c>
      <c r="G20411" s="51"/>
      <c r="H20411" s="46" t="str">
        <f>IF(AND(I.Developer.P4=TRUE,I.Facility.P4FacilityCount&gt;=399,F20411=""),"Incomplete","Complete")</f>
        <v>Complete</v>
      </c>
      <c r="I20411" s="48" t="s">
        <v>24776</v>
      </c>
    </row>
    <row r="20412" spans="2:9" ht="15" customHeight="1" x14ac:dyDescent="0.25">
      <c r="B20412" s="55" t="s">
        <v>283</v>
      </c>
      <c r="C20412" s="46">
        <v>400</v>
      </c>
      <c r="D20412" s="69" t="s">
        <v>29420</v>
      </c>
      <c r="E20412" s="51"/>
      <c r="F20412" s="114" t="str">
        <f>IF(INDEX(I.Facility.P4IDNumber,400)="","",INDEX(I.Facility.P4IDNumber,400))</f>
        <v/>
      </c>
      <c r="G20412" s="51"/>
      <c r="H20412" s="46" t="str">
        <f>IF(AND(I.Developer.P4=TRUE,I.Facility.P4FacilityCount&gt;=400,F20412=""),"Incomplete","Complete")</f>
        <v>Complete</v>
      </c>
      <c r="I20412" s="48" t="s">
        <v>24777</v>
      </c>
    </row>
    <row r="20413" spans="2:9" ht="15" customHeight="1" x14ac:dyDescent="0.25">
      <c r="B20413" s="55" t="s">
        <v>283</v>
      </c>
      <c r="C20413" s="46">
        <v>401</v>
      </c>
      <c r="D20413" s="69" t="s">
        <v>29420</v>
      </c>
      <c r="E20413" s="51"/>
      <c r="F20413" s="114" t="str">
        <f>IF(INDEX(I.Facility.P4IDNumber,401)="","",INDEX(I.Facility.P4IDNumber,401))</f>
        <v/>
      </c>
      <c r="G20413" s="51"/>
      <c r="H20413" s="46" t="str">
        <f>IF(AND(I.Developer.P4=TRUE,I.Facility.P4FacilityCount&gt;=401,F20413=""),"Incomplete","Complete")</f>
        <v>Complete</v>
      </c>
      <c r="I20413" s="48" t="s">
        <v>24778</v>
      </c>
    </row>
    <row r="20414" spans="2:9" ht="15" customHeight="1" x14ac:dyDescent="0.25">
      <c r="B20414" s="55" t="s">
        <v>283</v>
      </c>
      <c r="C20414" s="46">
        <v>402</v>
      </c>
      <c r="D20414" s="69" t="s">
        <v>29420</v>
      </c>
      <c r="E20414" s="51"/>
      <c r="F20414" s="114" t="str">
        <f>IF(INDEX(I.Facility.P4IDNumber,402)="","",INDEX(I.Facility.P4IDNumber,402))</f>
        <v/>
      </c>
      <c r="G20414" s="51"/>
      <c r="H20414" s="46" t="str">
        <f>IF(AND(I.Developer.P4=TRUE,I.Facility.P4FacilityCount&gt;=402,F20414=""),"Incomplete","Complete")</f>
        <v>Complete</v>
      </c>
      <c r="I20414" s="48" t="s">
        <v>24779</v>
      </c>
    </row>
    <row r="20415" spans="2:9" ht="15" customHeight="1" x14ac:dyDescent="0.25">
      <c r="B20415" s="55" t="s">
        <v>283</v>
      </c>
      <c r="C20415" s="46">
        <v>403</v>
      </c>
      <c r="D20415" s="69" t="s">
        <v>29420</v>
      </c>
      <c r="E20415" s="51"/>
      <c r="F20415" s="114" t="str">
        <f>IF(INDEX(I.Facility.P4IDNumber,403)="","",INDEX(I.Facility.P4IDNumber,403))</f>
        <v/>
      </c>
      <c r="G20415" s="51"/>
      <c r="H20415" s="46" t="str">
        <f>IF(AND(I.Developer.P4=TRUE,I.Facility.P4FacilityCount&gt;=403,F20415=""),"Incomplete","Complete")</f>
        <v>Complete</v>
      </c>
      <c r="I20415" s="48" t="s">
        <v>24780</v>
      </c>
    </row>
    <row r="20416" spans="2:9" ht="15" customHeight="1" x14ac:dyDescent="0.25">
      <c r="B20416" s="55" t="s">
        <v>283</v>
      </c>
      <c r="C20416" s="46">
        <v>404</v>
      </c>
      <c r="D20416" s="69" t="s">
        <v>29420</v>
      </c>
      <c r="E20416" s="51"/>
      <c r="F20416" s="114" t="str">
        <f>IF(INDEX(I.Facility.P4IDNumber,404)="","",INDEX(I.Facility.P4IDNumber,404))</f>
        <v/>
      </c>
      <c r="G20416" s="51"/>
      <c r="H20416" s="46" t="str">
        <f>IF(AND(I.Developer.P4=TRUE,I.Facility.P4FacilityCount&gt;=404,F20416=""),"Incomplete","Complete")</f>
        <v>Complete</v>
      </c>
      <c r="I20416" s="48" t="s">
        <v>24781</v>
      </c>
    </row>
    <row r="20417" spans="2:9" ht="15" customHeight="1" x14ac:dyDescent="0.25">
      <c r="B20417" s="55" t="s">
        <v>283</v>
      </c>
      <c r="C20417" s="46">
        <v>405</v>
      </c>
      <c r="D20417" s="69" t="s">
        <v>29420</v>
      </c>
      <c r="E20417" s="51"/>
      <c r="F20417" s="114" t="str">
        <f>IF(INDEX(I.Facility.P4IDNumber,405)="","",INDEX(I.Facility.P4IDNumber,405))</f>
        <v/>
      </c>
      <c r="G20417" s="51"/>
      <c r="H20417" s="46" t="str">
        <f>IF(AND(I.Developer.P4=TRUE,I.Facility.P4FacilityCount&gt;=405,F20417=""),"Incomplete","Complete")</f>
        <v>Complete</v>
      </c>
      <c r="I20417" s="48" t="s">
        <v>24782</v>
      </c>
    </row>
    <row r="20418" spans="2:9" ht="15" customHeight="1" x14ac:dyDescent="0.25">
      <c r="B20418" s="55" t="s">
        <v>283</v>
      </c>
      <c r="C20418" s="46">
        <v>406</v>
      </c>
      <c r="D20418" s="69" t="s">
        <v>29420</v>
      </c>
      <c r="E20418" s="51"/>
      <c r="F20418" s="114" t="str">
        <f>IF(INDEX(I.Facility.P4IDNumber,406)="","",INDEX(I.Facility.P4IDNumber,406))</f>
        <v/>
      </c>
      <c r="G20418" s="51"/>
      <c r="H20418" s="46" t="str">
        <f>IF(AND(I.Developer.P4=TRUE,I.Facility.P4FacilityCount&gt;=406,F20418=""),"Incomplete","Complete")</f>
        <v>Complete</v>
      </c>
      <c r="I20418" s="48" t="s">
        <v>24783</v>
      </c>
    </row>
    <row r="20419" spans="2:9" ht="15" customHeight="1" x14ac:dyDescent="0.25">
      <c r="B20419" s="55" t="s">
        <v>283</v>
      </c>
      <c r="C20419" s="46">
        <v>407</v>
      </c>
      <c r="D20419" s="69" t="s">
        <v>29420</v>
      </c>
      <c r="E20419" s="51"/>
      <c r="F20419" s="114" t="str">
        <f>IF(INDEX(I.Facility.P4IDNumber,407)="","",INDEX(I.Facility.P4IDNumber,407))</f>
        <v/>
      </c>
      <c r="G20419" s="51"/>
      <c r="H20419" s="46" t="str">
        <f>IF(AND(I.Developer.P4=TRUE,I.Facility.P4FacilityCount&gt;=407,F20419=""),"Incomplete","Complete")</f>
        <v>Complete</v>
      </c>
      <c r="I20419" s="48" t="s">
        <v>24784</v>
      </c>
    </row>
    <row r="20420" spans="2:9" ht="15" customHeight="1" x14ac:dyDescent="0.25">
      <c r="B20420" s="55" t="s">
        <v>283</v>
      </c>
      <c r="C20420" s="46">
        <v>408</v>
      </c>
      <c r="D20420" s="69" t="s">
        <v>29420</v>
      </c>
      <c r="E20420" s="51"/>
      <c r="F20420" s="114" t="str">
        <f>IF(INDEX(I.Facility.P4IDNumber,408)="","",INDEX(I.Facility.P4IDNumber,408))</f>
        <v/>
      </c>
      <c r="G20420" s="51"/>
      <c r="H20420" s="46" t="str">
        <f>IF(AND(I.Developer.P4=TRUE,I.Facility.P4FacilityCount&gt;=408,F20420=""),"Incomplete","Complete")</f>
        <v>Complete</v>
      </c>
      <c r="I20420" s="48" t="s">
        <v>24785</v>
      </c>
    </row>
    <row r="20421" spans="2:9" ht="15" customHeight="1" x14ac:dyDescent="0.25">
      <c r="B20421" s="55" t="s">
        <v>283</v>
      </c>
      <c r="C20421" s="46">
        <v>409</v>
      </c>
      <c r="D20421" s="69" t="s">
        <v>29420</v>
      </c>
      <c r="E20421" s="51"/>
      <c r="F20421" s="114" t="str">
        <f>IF(INDEX(I.Facility.P4IDNumber,409)="","",INDEX(I.Facility.P4IDNumber,409))</f>
        <v/>
      </c>
      <c r="G20421" s="51"/>
      <c r="H20421" s="46" t="str">
        <f>IF(AND(I.Developer.P4=TRUE,I.Facility.P4FacilityCount&gt;=409,F20421=""),"Incomplete","Complete")</f>
        <v>Complete</v>
      </c>
      <c r="I20421" s="48" t="s">
        <v>24786</v>
      </c>
    </row>
    <row r="20422" spans="2:9" ht="15" customHeight="1" x14ac:dyDescent="0.25">
      <c r="B20422" s="55" t="s">
        <v>283</v>
      </c>
      <c r="C20422" s="46">
        <v>410</v>
      </c>
      <c r="D20422" s="69" t="s">
        <v>29420</v>
      </c>
      <c r="E20422" s="51"/>
      <c r="F20422" s="114" t="str">
        <f>IF(INDEX(I.Facility.P4IDNumber,410)="","",INDEX(I.Facility.P4IDNumber,410))</f>
        <v/>
      </c>
      <c r="G20422" s="51"/>
      <c r="H20422" s="46" t="str">
        <f>IF(AND(I.Developer.P4=TRUE,I.Facility.P4FacilityCount&gt;=410,F20422=""),"Incomplete","Complete")</f>
        <v>Complete</v>
      </c>
      <c r="I20422" s="48" t="s">
        <v>24787</v>
      </c>
    </row>
    <row r="20423" spans="2:9" ht="15" customHeight="1" x14ac:dyDescent="0.25">
      <c r="B20423" s="55" t="s">
        <v>283</v>
      </c>
      <c r="C20423" s="46">
        <v>411</v>
      </c>
      <c r="D20423" s="69" t="s">
        <v>29420</v>
      </c>
      <c r="E20423" s="51"/>
      <c r="F20423" s="114" t="str">
        <f>IF(INDEX(I.Facility.P4IDNumber,411)="","",INDEX(I.Facility.P4IDNumber,411))</f>
        <v/>
      </c>
      <c r="G20423" s="51"/>
      <c r="H20423" s="46" t="str">
        <f>IF(AND(I.Developer.P4=TRUE,I.Facility.P4FacilityCount&gt;=411,F20423=""),"Incomplete","Complete")</f>
        <v>Complete</v>
      </c>
      <c r="I20423" s="48" t="s">
        <v>24788</v>
      </c>
    </row>
    <row r="20424" spans="2:9" ht="15" customHeight="1" x14ac:dyDescent="0.25">
      <c r="B20424" s="55" t="s">
        <v>283</v>
      </c>
      <c r="C20424" s="46">
        <v>412</v>
      </c>
      <c r="D20424" s="69" t="s">
        <v>29420</v>
      </c>
      <c r="E20424" s="51"/>
      <c r="F20424" s="114" t="str">
        <f>IF(INDEX(I.Facility.P4IDNumber,412)="","",INDEX(I.Facility.P4IDNumber,412))</f>
        <v/>
      </c>
      <c r="G20424" s="51"/>
      <c r="H20424" s="46" t="str">
        <f>IF(AND(I.Developer.P4=TRUE,I.Facility.P4FacilityCount&gt;=412,F20424=""),"Incomplete","Complete")</f>
        <v>Complete</v>
      </c>
      <c r="I20424" s="48" t="s">
        <v>24789</v>
      </c>
    </row>
    <row r="20425" spans="2:9" ht="15" customHeight="1" x14ac:dyDescent="0.25">
      <c r="B20425" s="55" t="s">
        <v>283</v>
      </c>
      <c r="C20425" s="46">
        <v>413</v>
      </c>
      <c r="D20425" s="69" t="s">
        <v>29420</v>
      </c>
      <c r="E20425" s="51"/>
      <c r="F20425" s="114" t="str">
        <f>IF(INDEX(I.Facility.P4IDNumber,413)="","",INDEX(I.Facility.P4IDNumber,413))</f>
        <v/>
      </c>
      <c r="G20425" s="51"/>
      <c r="H20425" s="46" t="str">
        <f>IF(AND(I.Developer.P4=TRUE,I.Facility.P4FacilityCount&gt;=413,F20425=""),"Incomplete","Complete")</f>
        <v>Complete</v>
      </c>
      <c r="I20425" s="48" t="s">
        <v>24790</v>
      </c>
    </row>
    <row r="20426" spans="2:9" ht="15" customHeight="1" x14ac:dyDescent="0.25">
      <c r="B20426" s="55" t="s">
        <v>283</v>
      </c>
      <c r="C20426" s="46">
        <v>414</v>
      </c>
      <c r="D20426" s="69" t="s">
        <v>29420</v>
      </c>
      <c r="E20426" s="51"/>
      <c r="F20426" s="114" t="str">
        <f>IF(INDEX(I.Facility.P4IDNumber,414)="","",INDEX(I.Facility.P4IDNumber,414))</f>
        <v/>
      </c>
      <c r="G20426" s="51"/>
      <c r="H20426" s="46" t="str">
        <f>IF(AND(I.Developer.P4=TRUE,I.Facility.P4FacilityCount&gt;=414,F20426=""),"Incomplete","Complete")</f>
        <v>Complete</v>
      </c>
      <c r="I20426" s="48" t="s">
        <v>24791</v>
      </c>
    </row>
    <row r="20427" spans="2:9" ht="15" customHeight="1" x14ac:dyDescent="0.25">
      <c r="B20427" s="55" t="s">
        <v>283</v>
      </c>
      <c r="C20427" s="46">
        <v>415</v>
      </c>
      <c r="D20427" s="69" t="s">
        <v>29420</v>
      </c>
      <c r="E20427" s="51"/>
      <c r="F20427" s="114" t="str">
        <f>IF(INDEX(I.Facility.P4IDNumber,415)="","",INDEX(I.Facility.P4IDNumber,415))</f>
        <v/>
      </c>
      <c r="G20427" s="51"/>
      <c r="H20427" s="46" t="str">
        <f>IF(AND(I.Developer.P4=TRUE,I.Facility.P4FacilityCount&gt;=415,F20427=""),"Incomplete","Complete")</f>
        <v>Complete</v>
      </c>
      <c r="I20427" s="48" t="s">
        <v>24792</v>
      </c>
    </row>
    <row r="20428" spans="2:9" ht="15" customHeight="1" x14ac:dyDescent="0.25">
      <c r="B20428" s="55" t="s">
        <v>283</v>
      </c>
      <c r="C20428" s="46">
        <v>416</v>
      </c>
      <c r="D20428" s="69" t="s">
        <v>29420</v>
      </c>
      <c r="E20428" s="51"/>
      <c r="F20428" s="114" t="str">
        <f>IF(INDEX(I.Facility.P4IDNumber,416)="","",INDEX(I.Facility.P4IDNumber,416))</f>
        <v/>
      </c>
      <c r="G20428" s="51"/>
      <c r="H20428" s="46" t="str">
        <f>IF(AND(I.Developer.P4=TRUE,I.Facility.P4FacilityCount&gt;=416,F20428=""),"Incomplete","Complete")</f>
        <v>Complete</v>
      </c>
      <c r="I20428" s="48" t="s">
        <v>24793</v>
      </c>
    </row>
    <row r="20429" spans="2:9" ht="15" customHeight="1" x14ac:dyDescent="0.25">
      <c r="B20429" s="55" t="s">
        <v>283</v>
      </c>
      <c r="C20429" s="46">
        <v>417</v>
      </c>
      <c r="D20429" s="69" t="s">
        <v>29420</v>
      </c>
      <c r="E20429" s="51"/>
      <c r="F20429" s="114" t="str">
        <f>IF(INDEX(I.Facility.P4IDNumber,417)="","",INDEX(I.Facility.P4IDNumber,417))</f>
        <v/>
      </c>
      <c r="G20429" s="51"/>
      <c r="H20429" s="46" t="str">
        <f>IF(AND(I.Developer.P4=TRUE,I.Facility.P4FacilityCount&gt;=417,F20429=""),"Incomplete","Complete")</f>
        <v>Complete</v>
      </c>
      <c r="I20429" s="48" t="s">
        <v>24794</v>
      </c>
    </row>
    <row r="20430" spans="2:9" ht="15" customHeight="1" x14ac:dyDescent="0.25">
      <c r="B20430" s="55" t="s">
        <v>283</v>
      </c>
      <c r="C20430" s="46">
        <v>418</v>
      </c>
      <c r="D20430" s="69" t="s">
        <v>29420</v>
      </c>
      <c r="E20430" s="51"/>
      <c r="F20430" s="114" t="str">
        <f>IF(INDEX(I.Facility.P4IDNumber,418)="","",INDEX(I.Facility.P4IDNumber,418))</f>
        <v/>
      </c>
      <c r="G20430" s="51"/>
      <c r="H20430" s="46" t="str">
        <f>IF(AND(I.Developer.P4=TRUE,I.Facility.P4FacilityCount&gt;=418,F20430=""),"Incomplete","Complete")</f>
        <v>Complete</v>
      </c>
      <c r="I20430" s="48" t="s">
        <v>24795</v>
      </c>
    </row>
    <row r="20431" spans="2:9" ht="15" customHeight="1" x14ac:dyDescent="0.25">
      <c r="B20431" s="55" t="s">
        <v>283</v>
      </c>
      <c r="C20431" s="46">
        <v>419</v>
      </c>
      <c r="D20431" s="69" t="s">
        <v>29420</v>
      </c>
      <c r="E20431" s="51"/>
      <c r="F20431" s="114" t="str">
        <f>IF(INDEX(I.Facility.P4IDNumber,419)="","",INDEX(I.Facility.P4IDNumber,419))</f>
        <v/>
      </c>
      <c r="G20431" s="51"/>
      <c r="H20431" s="46" t="str">
        <f>IF(AND(I.Developer.P4=TRUE,I.Facility.P4FacilityCount&gt;=419,F20431=""),"Incomplete","Complete")</f>
        <v>Complete</v>
      </c>
      <c r="I20431" s="48" t="s">
        <v>24796</v>
      </c>
    </row>
    <row r="20432" spans="2:9" ht="15" customHeight="1" x14ac:dyDescent="0.25">
      <c r="B20432" s="55" t="s">
        <v>283</v>
      </c>
      <c r="C20432" s="46">
        <v>420</v>
      </c>
      <c r="D20432" s="69" t="s">
        <v>29420</v>
      </c>
      <c r="E20432" s="51"/>
      <c r="F20432" s="114" t="str">
        <f>IF(INDEX(I.Facility.P4IDNumber,420)="","",INDEX(I.Facility.P4IDNumber,420))</f>
        <v/>
      </c>
      <c r="G20432" s="51"/>
      <c r="H20432" s="46" t="str">
        <f>IF(AND(I.Developer.P4=TRUE,I.Facility.P4FacilityCount&gt;=420,F20432=""),"Incomplete","Complete")</f>
        <v>Complete</v>
      </c>
      <c r="I20432" s="48" t="s">
        <v>24797</v>
      </c>
    </row>
    <row r="20433" spans="2:9" ht="15" customHeight="1" x14ac:dyDescent="0.25">
      <c r="B20433" s="55" t="s">
        <v>283</v>
      </c>
      <c r="C20433" s="46">
        <v>421</v>
      </c>
      <c r="D20433" s="69" t="s">
        <v>29420</v>
      </c>
      <c r="E20433" s="51"/>
      <c r="F20433" s="114" t="str">
        <f>IF(INDEX(I.Facility.P4IDNumber,421)="","",INDEX(I.Facility.P4IDNumber,421))</f>
        <v/>
      </c>
      <c r="G20433" s="51"/>
      <c r="H20433" s="46" t="str">
        <f>IF(AND(I.Developer.P4=TRUE,I.Facility.P4FacilityCount&gt;=421,F20433=""),"Incomplete","Complete")</f>
        <v>Complete</v>
      </c>
      <c r="I20433" s="48" t="s">
        <v>24798</v>
      </c>
    </row>
    <row r="20434" spans="2:9" ht="15" customHeight="1" x14ac:dyDescent="0.25">
      <c r="B20434" s="55" t="s">
        <v>283</v>
      </c>
      <c r="C20434" s="46">
        <v>422</v>
      </c>
      <c r="D20434" s="69" t="s">
        <v>29420</v>
      </c>
      <c r="E20434" s="51"/>
      <c r="F20434" s="114" t="str">
        <f>IF(INDEX(I.Facility.P4IDNumber,422)="","",INDEX(I.Facility.P4IDNumber,422))</f>
        <v/>
      </c>
      <c r="G20434" s="51"/>
      <c r="H20434" s="46" t="str">
        <f>IF(AND(I.Developer.P4=TRUE,I.Facility.P4FacilityCount&gt;=422,F20434=""),"Incomplete","Complete")</f>
        <v>Complete</v>
      </c>
      <c r="I20434" s="48" t="s">
        <v>24799</v>
      </c>
    </row>
    <row r="20435" spans="2:9" ht="15" customHeight="1" x14ac:dyDescent="0.25">
      <c r="B20435" s="55" t="s">
        <v>283</v>
      </c>
      <c r="C20435" s="46">
        <v>423</v>
      </c>
      <c r="D20435" s="69" t="s">
        <v>29420</v>
      </c>
      <c r="E20435" s="51"/>
      <c r="F20435" s="114" t="str">
        <f>IF(INDEX(I.Facility.P4IDNumber,423)="","",INDEX(I.Facility.P4IDNumber,423))</f>
        <v/>
      </c>
      <c r="G20435" s="51"/>
      <c r="H20435" s="46" t="str">
        <f>IF(AND(I.Developer.P4=TRUE,I.Facility.P4FacilityCount&gt;=423,F20435=""),"Incomplete","Complete")</f>
        <v>Complete</v>
      </c>
      <c r="I20435" s="48" t="s">
        <v>24800</v>
      </c>
    </row>
    <row r="20436" spans="2:9" ht="15" customHeight="1" x14ac:dyDescent="0.25">
      <c r="B20436" s="55" t="s">
        <v>283</v>
      </c>
      <c r="C20436" s="46">
        <v>424</v>
      </c>
      <c r="D20436" s="69" t="s">
        <v>29420</v>
      </c>
      <c r="E20436" s="51"/>
      <c r="F20436" s="114" t="str">
        <f>IF(INDEX(I.Facility.P4IDNumber,424)="","",INDEX(I.Facility.P4IDNumber,424))</f>
        <v/>
      </c>
      <c r="G20436" s="51"/>
      <c r="H20436" s="46" t="str">
        <f>IF(AND(I.Developer.P4=TRUE,I.Facility.P4FacilityCount&gt;=424,F20436=""),"Incomplete","Complete")</f>
        <v>Complete</v>
      </c>
      <c r="I20436" s="48" t="s">
        <v>24801</v>
      </c>
    </row>
    <row r="20437" spans="2:9" ht="15" customHeight="1" x14ac:dyDescent="0.25">
      <c r="B20437" s="55" t="s">
        <v>283</v>
      </c>
      <c r="C20437" s="46">
        <v>425</v>
      </c>
      <c r="D20437" s="69" t="s">
        <v>29420</v>
      </c>
      <c r="E20437" s="51"/>
      <c r="F20437" s="114" t="str">
        <f>IF(INDEX(I.Facility.P4IDNumber,425)="","",INDEX(I.Facility.P4IDNumber,425))</f>
        <v/>
      </c>
      <c r="G20437" s="51"/>
      <c r="H20437" s="46" t="str">
        <f>IF(AND(I.Developer.P4=TRUE,I.Facility.P4FacilityCount&gt;=425,F20437=""),"Incomplete","Complete")</f>
        <v>Complete</v>
      </c>
      <c r="I20437" s="48" t="s">
        <v>24802</v>
      </c>
    </row>
    <row r="20438" spans="2:9" ht="15" customHeight="1" x14ac:dyDescent="0.25">
      <c r="B20438" s="55" t="s">
        <v>283</v>
      </c>
      <c r="C20438" s="46">
        <v>426</v>
      </c>
      <c r="D20438" s="69" t="s">
        <v>29420</v>
      </c>
      <c r="E20438" s="51"/>
      <c r="F20438" s="114" t="str">
        <f>IF(INDEX(I.Facility.P4IDNumber,426)="","",INDEX(I.Facility.P4IDNumber,426))</f>
        <v/>
      </c>
      <c r="G20438" s="51"/>
      <c r="H20438" s="46" t="str">
        <f>IF(AND(I.Developer.P4=TRUE,I.Facility.P4FacilityCount&gt;=426,F20438=""),"Incomplete","Complete")</f>
        <v>Complete</v>
      </c>
      <c r="I20438" s="48" t="s">
        <v>24803</v>
      </c>
    </row>
    <row r="20439" spans="2:9" ht="15" customHeight="1" x14ac:dyDescent="0.25">
      <c r="B20439" s="55" t="s">
        <v>283</v>
      </c>
      <c r="C20439" s="46">
        <v>427</v>
      </c>
      <c r="D20439" s="69" t="s">
        <v>29420</v>
      </c>
      <c r="E20439" s="51"/>
      <c r="F20439" s="114" t="str">
        <f>IF(INDEX(I.Facility.P4IDNumber,427)="","",INDEX(I.Facility.P4IDNumber,427))</f>
        <v/>
      </c>
      <c r="G20439" s="51"/>
      <c r="H20439" s="46" t="str">
        <f>IF(AND(I.Developer.P4=TRUE,I.Facility.P4FacilityCount&gt;=427,F20439=""),"Incomplete","Complete")</f>
        <v>Complete</v>
      </c>
      <c r="I20439" s="48" t="s">
        <v>24804</v>
      </c>
    </row>
    <row r="20440" spans="2:9" ht="15" customHeight="1" x14ac:dyDescent="0.25">
      <c r="B20440" s="55" t="s">
        <v>283</v>
      </c>
      <c r="C20440" s="46">
        <v>428</v>
      </c>
      <c r="D20440" s="69" t="s">
        <v>29420</v>
      </c>
      <c r="E20440" s="51"/>
      <c r="F20440" s="114" t="str">
        <f>IF(INDEX(I.Facility.P4IDNumber,428)="","",INDEX(I.Facility.P4IDNumber,428))</f>
        <v/>
      </c>
      <c r="G20440" s="51"/>
      <c r="H20440" s="46" t="str">
        <f>IF(AND(I.Developer.P4=TRUE,I.Facility.P4FacilityCount&gt;=428,F20440=""),"Incomplete","Complete")</f>
        <v>Complete</v>
      </c>
      <c r="I20440" s="48" t="s">
        <v>24805</v>
      </c>
    </row>
    <row r="20441" spans="2:9" ht="15" customHeight="1" x14ac:dyDescent="0.25">
      <c r="B20441" s="55" t="s">
        <v>283</v>
      </c>
      <c r="C20441" s="46">
        <v>429</v>
      </c>
      <c r="D20441" s="69" t="s">
        <v>29420</v>
      </c>
      <c r="E20441" s="51"/>
      <c r="F20441" s="114" t="str">
        <f>IF(INDEX(I.Facility.P4IDNumber,429)="","",INDEX(I.Facility.P4IDNumber,429))</f>
        <v/>
      </c>
      <c r="G20441" s="51"/>
      <c r="H20441" s="46" t="str">
        <f>IF(AND(I.Developer.P4=TRUE,I.Facility.P4FacilityCount&gt;=429,F20441=""),"Incomplete","Complete")</f>
        <v>Complete</v>
      </c>
      <c r="I20441" s="48" t="s">
        <v>24806</v>
      </c>
    </row>
    <row r="20442" spans="2:9" ht="15" customHeight="1" x14ac:dyDescent="0.25">
      <c r="B20442" s="55" t="s">
        <v>283</v>
      </c>
      <c r="C20442" s="46">
        <v>430</v>
      </c>
      <c r="D20442" s="69" t="s">
        <v>29420</v>
      </c>
      <c r="E20442" s="51"/>
      <c r="F20442" s="114" t="str">
        <f>IF(INDEX(I.Facility.P4IDNumber,430)="","",INDEX(I.Facility.P4IDNumber,430))</f>
        <v/>
      </c>
      <c r="G20442" s="51"/>
      <c r="H20442" s="46" t="str">
        <f>IF(AND(I.Developer.P4=TRUE,I.Facility.P4FacilityCount&gt;=430,F20442=""),"Incomplete","Complete")</f>
        <v>Complete</v>
      </c>
      <c r="I20442" s="48" t="s">
        <v>24807</v>
      </c>
    </row>
    <row r="20443" spans="2:9" ht="15" customHeight="1" x14ac:dyDescent="0.25">
      <c r="B20443" s="55" t="s">
        <v>283</v>
      </c>
      <c r="C20443" s="46">
        <v>431</v>
      </c>
      <c r="D20443" s="69" t="s">
        <v>29420</v>
      </c>
      <c r="E20443" s="51"/>
      <c r="F20443" s="114" t="str">
        <f>IF(INDEX(I.Facility.P4IDNumber,431)="","",INDEX(I.Facility.P4IDNumber,431))</f>
        <v/>
      </c>
      <c r="G20443" s="51"/>
      <c r="H20443" s="46" t="str">
        <f>IF(AND(I.Developer.P4=TRUE,I.Facility.P4FacilityCount&gt;=431,F20443=""),"Incomplete","Complete")</f>
        <v>Complete</v>
      </c>
      <c r="I20443" s="48" t="s">
        <v>24808</v>
      </c>
    </row>
    <row r="20444" spans="2:9" ht="15" customHeight="1" x14ac:dyDescent="0.25">
      <c r="B20444" s="55" t="s">
        <v>283</v>
      </c>
      <c r="C20444" s="46">
        <v>432</v>
      </c>
      <c r="D20444" s="69" t="s">
        <v>29420</v>
      </c>
      <c r="E20444" s="51"/>
      <c r="F20444" s="114" t="str">
        <f>IF(INDEX(I.Facility.P4IDNumber,432)="","",INDEX(I.Facility.P4IDNumber,432))</f>
        <v/>
      </c>
      <c r="G20444" s="51"/>
      <c r="H20444" s="46" t="str">
        <f>IF(AND(I.Developer.P4=TRUE,I.Facility.P4FacilityCount&gt;=432,F20444=""),"Incomplete","Complete")</f>
        <v>Complete</v>
      </c>
      <c r="I20444" s="48" t="s">
        <v>24809</v>
      </c>
    </row>
    <row r="20445" spans="2:9" ht="15" customHeight="1" x14ac:dyDescent="0.25">
      <c r="B20445" s="55" t="s">
        <v>283</v>
      </c>
      <c r="C20445" s="46">
        <v>433</v>
      </c>
      <c r="D20445" s="69" t="s">
        <v>29420</v>
      </c>
      <c r="E20445" s="51"/>
      <c r="F20445" s="114" t="str">
        <f>IF(INDEX(I.Facility.P4IDNumber,433)="","",INDEX(I.Facility.P4IDNumber,433))</f>
        <v/>
      </c>
      <c r="G20445" s="51"/>
      <c r="H20445" s="46" t="str">
        <f>IF(AND(I.Developer.P4=TRUE,I.Facility.P4FacilityCount&gt;=433,F20445=""),"Incomplete","Complete")</f>
        <v>Complete</v>
      </c>
      <c r="I20445" s="48" t="s">
        <v>24810</v>
      </c>
    </row>
    <row r="20446" spans="2:9" ht="15" customHeight="1" x14ac:dyDescent="0.25">
      <c r="B20446" s="55" t="s">
        <v>283</v>
      </c>
      <c r="C20446" s="46">
        <v>434</v>
      </c>
      <c r="D20446" s="69" t="s">
        <v>29420</v>
      </c>
      <c r="E20446" s="51"/>
      <c r="F20446" s="114" t="str">
        <f>IF(INDEX(I.Facility.P4IDNumber,434)="","",INDEX(I.Facility.P4IDNumber,434))</f>
        <v/>
      </c>
      <c r="G20446" s="51"/>
      <c r="H20446" s="46" t="str">
        <f>IF(AND(I.Developer.P4=TRUE,I.Facility.P4FacilityCount&gt;=434,F20446=""),"Incomplete","Complete")</f>
        <v>Complete</v>
      </c>
      <c r="I20446" s="48" t="s">
        <v>24811</v>
      </c>
    </row>
    <row r="20447" spans="2:9" ht="15" customHeight="1" x14ac:dyDescent="0.25">
      <c r="B20447" s="55" t="s">
        <v>283</v>
      </c>
      <c r="C20447" s="46">
        <v>435</v>
      </c>
      <c r="D20447" s="69" t="s">
        <v>29420</v>
      </c>
      <c r="E20447" s="51"/>
      <c r="F20447" s="114" t="str">
        <f>IF(INDEX(I.Facility.P4IDNumber,435)="","",INDEX(I.Facility.P4IDNumber,435))</f>
        <v/>
      </c>
      <c r="G20447" s="51"/>
      <c r="H20447" s="46" t="str">
        <f>IF(AND(I.Developer.P4=TRUE,I.Facility.P4FacilityCount&gt;=435,F20447=""),"Incomplete","Complete")</f>
        <v>Complete</v>
      </c>
      <c r="I20447" s="48" t="s">
        <v>24812</v>
      </c>
    </row>
    <row r="20448" spans="2:9" ht="15" customHeight="1" x14ac:dyDescent="0.25">
      <c r="B20448" s="55" t="s">
        <v>283</v>
      </c>
      <c r="C20448" s="46">
        <v>436</v>
      </c>
      <c r="D20448" s="69" t="s">
        <v>29420</v>
      </c>
      <c r="E20448" s="51"/>
      <c r="F20448" s="114" t="str">
        <f>IF(INDEX(I.Facility.P4IDNumber,436)="","",INDEX(I.Facility.P4IDNumber,436))</f>
        <v/>
      </c>
      <c r="G20448" s="51"/>
      <c r="H20448" s="46" t="str">
        <f>IF(AND(I.Developer.P4=TRUE,I.Facility.P4FacilityCount&gt;=436,F20448=""),"Incomplete","Complete")</f>
        <v>Complete</v>
      </c>
      <c r="I20448" s="48" t="s">
        <v>24813</v>
      </c>
    </row>
    <row r="20449" spans="2:9" ht="15" customHeight="1" x14ac:dyDescent="0.25">
      <c r="B20449" s="55" t="s">
        <v>283</v>
      </c>
      <c r="C20449" s="46">
        <v>437</v>
      </c>
      <c r="D20449" s="69" t="s">
        <v>29420</v>
      </c>
      <c r="E20449" s="51"/>
      <c r="F20449" s="114" t="str">
        <f>IF(INDEX(I.Facility.P4IDNumber,437)="","",INDEX(I.Facility.P4IDNumber,437))</f>
        <v/>
      </c>
      <c r="G20449" s="51"/>
      <c r="H20449" s="46" t="str">
        <f>IF(AND(I.Developer.P4=TRUE,I.Facility.P4FacilityCount&gt;=437,F20449=""),"Incomplete","Complete")</f>
        <v>Complete</v>
      </c>
      <c r="I20449" s="48" t="s">
        <v>24814</v>
      </c>
    </row>
    <row r="20450" spans="2:9" ht="15" customHeight="1" x14ac:dyDescent="0.25">
      <c r="B20450" s="55" t="s">
        <v>283</v>
      </c>
      <c r="C20450" s="46">
        <v>438</v>
      </c>
      <c r="D20450" s="69" t="s">
        <v>29420</v>
      </c>
      <c r="E20450" s="51"/>
      <c r="F20450" s="114" t="str">
        <f>IF(INDEX(I.Facility.P4IDNumber,438)="","",INDEX(I.Facility.P4IDNumber,438))</f>
        <v/>
      </c>
      <c r="G20450" s="51"/>
      <c r="H20450" s="46" t="str">
        <f>IF(AND(I.Developer.P4=TRUE,I.Facility.P4FacilityCount&gt;=438,F20450=""),"Incomplete","Complete")</f>
        <v>Complete</v>
      </c>
      <c r="I20450" s="48" t="s">
        <v>24815</v>
      </c>
    </row>
    <row r="20451" spans="2:9" ht="15" customHeight="1" x14ac:dyDescent="0.25">
      <c r="B20451" s="55" t="s">
        <v>283</v>
      </c>
      <c r="C20451" s="46">
        <v>439</v>
      </c>
      <c r="D20451" s="69" t="s">
        <v>29420</v>
      </c>
      <c r="E20451" s="51"/>
      <c r="F20451" s="114" t="str">
        <f>IF(INDEX(I.Facility.P4IDNumber,439)="","",INDEX(I.Facility.P4IDNumber,439))</f>
        <v/>
      </c>
      <c r="G20451" s="51"/>
      <c r="H20451" s="46" t="str">
        <f>IF(AND(I.Developer.P4=TRUE,I.Facility.P4FacilityCount&gt;=439,F20451=""),"Incomplete","Complete")</f>
        <v>Complete</v>
      </c>
      <c r="I20451" s="48" t="s">
        <v>24816</v>
      </c>
    </row>
    <row r="20452" spans="2:9" ht="15" customHeight="1" x14ac:dyDescent="0.25">
      <c r="B20452" s="55" t="s">
        <v>283</v>
      </c>
      <c r="C20452" s="46">
        <v>440</v>
      </c>
      <c r="D20452" s="69" t="s">
        <v>29420</v>
      </c>
      <c r="E20452" s="51"/>
      <c r="F20452" s="114" t="str">
        <f>IF(INDEX(I.Facility.P4IDNumber,440)="","",INDEX(I.Facility.P4IDNumber,440))</f>
        <v/>
      </c>
      <c r="G20452" s="51"/>
      <c r="H20452" s="46" t="str">
        <f>IF(AND(I.Developer.P4=TRUE,I.Facility.P4FacilityCount&gt;=440,F20452=""),"Incomplete","Complete")</f>
        <v>Complete</v>
      </c>
      <c r="I20452" s="48" t="s">
        <v>24817</v>
      </c>
    </row>
    <row r="20453" spans="2:9" ht="15" customHeight="1" x14ac:dyDescent="0.25">
      <c r="B20453" s="55" t="s">
        <v>283</v>
      </c>
      <c r="C20453" s="46">
        <v>441</v>
      </c>
      <c r="D20453" s="69" t="s">
        <v>29420</v>
      </c>
      <c r="E20453" s="51"/>
      <c r="F20453" s="114" t="str">
        <f>IF(INDEX(I.Facility.P4IDNumber,441)="","",INDEX(I.Facility.P4IDNumber,441))</f>
        <v/>
      </c>
      <c r="G20453" s="51"/>
      <c r="H20453" s="46" t="str">
        <f>IF(AND(I.Developer.P4=TRUE,I.Facility.P4FacilityCount&gt;=441,F20453=""),"Incomplete","Complete")</f>
        <v>Complete</v>
      </c>
      <c r="I20453" s="48" t="s">
        <v>24818</v>
      </c>
    </row>
    <row r="20454" spans="2:9" ht="15" customHeight="1" x14ac:dyDescent="0.25">
      <c r="B20454" s="55" t="s">
        <v>283</v>
      </c>
      <c r="C20454" s="46">
        <v>442</v>
      </c>
      <c r="D20454" s="69" t="s">
        <v>29420</v>
      </c>
      <c r="E20454" s="51"/>
      <c r="F20454" s="114" t="str">
        <f>IF(INDEX(I.Facility.P4IDNumber,442)="","",INDEX(I.Facility.P4IDNumber,442))</f>
        <v/>
      </c>
      <c r="G20454" s="51"/>
      <c r="H20454" s="46" t="str">
        <f>IF(AND(I.Developer.P4=TRUE,I.Facility.P4FacilityCount&gt;=442,F20454=""),"Incomplete","Complete")</f>
        <v>Complete</v>
      </c>
      <c r="I20454" s="48" t="s">
        <v>24819</v>
      </c>
    </row>
    <row r="20455" spans="2:9" ht="15" customHeight="1" x14ac:dyDescent="0.25">
      <c r="B20455" s="55" t="s">
        <v>283</v>
      </c>
      <c r="C20455" s="46">
        <v>443</v>
      </c>
      <c r="D20455" s="69" t="s">
        <v>29420</v>
      </c>
      <c r="E20455" s="51"/>
      <c r="F20455" s="114" t="str">
        <f>IF(INDEX(I.Facility.P4IDNumber,443)="","",INDEX(I.Facility.P4IDNumber,443))</f>
        <v/>
      </c>
      <c r="G20455" s="51"/>
      <c r="H20455" s="46" t="str">
        <f>IF(AND(I.Developer.P4=TRUE,I.Facility.P4FacilityCount&gt;=443,F20455=""),"Incomplete","Complete")</f>
        <v>Complete</v>
      </c>
      <c r="I20455" s="48" t="s">
        <v>24820</v>
      </c>
    </row>
    <row r="20456" spans="2:9" ht="15" customHeight="1" x14ac:dyDescent="0.25">
      <c r="B20456" s="55" t="s">
        <v>283</v>
      </c>
      <c r="C20456" s="46">
        <v>444</v>
      </c>
      <c r="D20456" s="69" t="s">
        <v>29420</v>
      </c>
      <c r="E20456" s="51"/>
      <c r="F20456" s="114" t="str">
        <f>IF(INDEX(I.Facility.P4IDNumber,444)="","",INDEX(I.Facility.P4IDNumber,444))</f>
        <v/>
      </c>
      <c r="G20456" s="51"/>
      <c r="H20456" s="46" t="str">
        <f>IF(AND(I.Developer.P4=TRUE,I.Facility.P4FacilityCount&gt;=444,F20456=""),"Incomplete","Complete")</f>
        <v>Complete</v>
      </c>
      <c r="I20456" s="48" t="s">
        <v>24821</v>
      </c>
    </row>
    <row r="20457" spans="2:9" ht="15" customHeight="1" x14ac:dyDescent="0.25">
      <c r="B20457" s="55" t="s">
        <v>283</v>
      </c>
      <c r="C20457" s="46">
        <v>445</v>
      </c>
      <c r="D20457" s="69" t="s">
        <v>29420</v>
      </c>
      <c r="E20457" s="51"/>
      <c r="F20457" s="114" t="str">
        <f>IF(INDEX(I.Facility.P4IDNumber,445)="","",INDEX(I.Facility.P4IDNumber,445))</f>
        <v/>
      </c>
      <c r="G20457" s="51"/>
      <c r="H20457" s="46" t="str">
        <f>IF(AND(I.Developer.P4=TRUE,I.Facility.P4FacilityCount&gt;=445,F20457=""),"Incomplete","Complete")</f>
        <v>Complete</v>
      </c>
      <c r="I20457" s="48" t="s">
        <v>24822</v>
      </c>
    </row>
    <row r="20458" spans="2:9" ht="15" customHeight="1" x14ac:dyDescent="0.25">
      <c r="B20458" s="55" t="s">
        <v>283</v>
      </c>
      <c r="C20458" s="46">
        <v>446</v>
      </c>
      <c r="D20458" s="69" t="s">
        <v>29420</v>
      </c>
      <c r="E20458" s="51"/>
      <c r="F20458" s="114" t="str">
        <f>IF(INDEX(I.Facility.P4IDNumber,446)="","",INDEX(I.Facility.P4IDNumber,446))</f>
        <v/>
      </c>
      <c r="G20458" s="51"/>
      <c r="H20458" s="46" t="str">
        <f>IF(AND(I.Developer.P4=TRUE,I.Facility.P4FacilityCount&gt;=446,F20458=""),"Incomplete","Complete")</f>
        <v>Complete</v>
      </c>
      <c r="I20458" s="48" t="s">
        <v>24823</v>
      </c>
    </row>
    <row r="20459" spans="2:9" ht="15" customHeight="1" x14ac:dyDescent="0.25">
      <c r="B20459" s="55" t="s">
        <v>283</v>
      </c>
      <c r="C20459" s="46">
        <v>447</v>
      </c>
      <c r="D20459" s="69" t="s">
        <v>29420</v>
      </c>
      <c r="E20459" s="51"/>
      <c r="F20459" s="114" t="str">
        <f>IF(INDEX(I.Facility.P4IDNumber,447)="","",INDEX(I.Facility.P4IDNumber,447))</f>
        <v/>
      </c>
      <c r="G20459" s="51"/>
      <c r="H20459" s="46" t="str">
        <f>IF(AND(I.Developer.P4=TRUE,I.Facility.P4FacilityCount&gt;=447,F20459=""),"Incomplete","Complete")</f>
        <v>Complete</v>
      </c>
      <c r="I20459" s="48" t="s">
        <v>24824</v>
      </c>
    </row>
    <row r="20460" spans="2:9" ht="15" customHeight="1" x14ac:dyDescent="0.25">
      <c r="B20460" s="55" t="s">
        <v>283</v>
      </c>
      <c r="C20460" s="46">
        <v>448</v>
      </c>
      <c r="D20460" s="69" t="s">
        <v>29420</v>
      </c>
      <c r="E20460" s="51"/>
      <c r="F20460" s="114" t="str">
        <f>IF(INDEX(I.Facility.P4IDNumber,448)="","",INDEX(I.Facility.P4IDNumber,448))</f>
        <v/>
      </c>
      <c r="G20460" s="51"/>
      <c r="H20460" s="46" t="str">
        <f>IF(AND(I.Developer.P4=TRUE,I.Facility.P4FacilityCount&gt;=448,F20460=""),"Incomplete","Complete")</f>
        <v>Complete</v>
      </c>
      <c r="I20460" s="48" t="s">
        <v>24825</v>
      </c>
    </row>
    <row r="20461" spans="2:9" ht="15" customHeight="1" x14ac:dyDescent="0.25">
      <c r="B20461" s="55" t="s">
        <v>283</v>
      </c>
      <c r="C20461" s="46">
        <v>449</v>
      </c>
      <c r="D20461" s="69" t="s">
        <v>29420</v>
      </c>
      <c r="E20461" s="51"/>
      <c r="F20461" s="114" t="str">
        <f>IF(INDEX(I.Facility.P4IDNumber,449)="","",INDEX(I.Facility.P4IDNumber,449))</f>
        <v/>
      </c>
      <c r="G20461" s="51"/>
      <c r="H20461" s="46" t="str">
        <f>IF(AND(I.Developer.P4=TRUE,I.Facility.P4FacilityCount&gt;=449,F20461=""),"Incomplete","Complete")</f>
        <v>Complete</v>
      </c>
      <c r="I20461" s="48" t="s">
        <v>24826</v>
      </c>
    </row>
    <row r="20462" spans="2:9" ht="15" customHeight="1" x14ac:dyDescent="0.25">
      <c r="B20462" s="55" t="s">
        <v>283</v>
      </c>
      <c r="C20462" s="46">
        <v>450</v>
      </c>
      <c r="D20462" s="69" t="s">
        <v>29420</v>
      </c>
      <c r="E20462" s="51"/>
      <c r="F20462" s="114" t="str">
        <f>IF(INDEX(I.Facility.P4IDNumber,450)="","",INDEX(I.Facility.P4IDNumber,450))</f>
        <v/>
      </c>
      <c r="G20462" s="51"/>
      <c r="H20462" s="46" t="str">
        <f>IF(AND(I.Developer.P4=TRUE,I.Facility.P4FacilityCount&gt;=450,F20462=""),"Incomplete","Complete")</f>
        <v>Complete</v>
      </c>
      <c r="I20462" s="48" t="s">
        <v>24827</v>
      </c>
    </row>
    <row r="20463" spans="2:9" ht="15" customHeight="1" x14ac:dyDescent="0.25">
      <c r="B20463" s="55" t="s">
        <v>283</v>
      </c>
      <c r="C20463" s="46">
        <v>451</v>
      </c>
      <c r="D20463" s="69" t="s">
        <v>29420</v>
      </c>
      <c r="E20463" s="51"/>
      <c r="F20463" s="114" t="str">
        <f>IF(INDEX(I.Facility.P4IDNumber,451)="","",INDEX(I.Facility.P4IDNumber,451))</f>
        <v/>
      </c>
      <c r="G20463" s="51"/>
      <c r="H20463" s="46" t="str">
        <f>IF(AND(I.Developer.P4=TRUE,I.Facility.P4FacilityCount&gt;=451,F20463=""),"Incomplete","Complete")</f>
        <v>Complete</v>
      </c>
      <c r="I20463" s="48" t="s">
        <v>24828</v>
      </c>
    </row>
    <row r="20464" spans="2:9" ht="15" customHeight="1" x14ac:dyDescent="0.25">
      <c r="B20464" s="55" t="s">
        <v>283</v>
      </c>
      <c r="C20464" s="46">
        <v>452</v>
      </c>
      <c r="D20464" s="69" t="s">
        <v>29420</v>
      </c>
      <c r="E20464" s="51"/>
      <c r="F20464" s="114" t="str">
        <f>IF(INDEX(I.Facility.P4IDNumber,452)="","",INDEX(I.Facility.P4IDNumber,452))</f>
        <v/>
      </c>
      <c r="G20464" s="51"/>
      <c r="H20464" s="46" t="str">
        <f>IF(AND(I.Developer.P4=TRUE,I.Facility.P4FacilityCount&gt;=452,F20464=""),"Incomplete","Complete")</f>
        <v>Complete</v>
      </c>
      <c r="I20464" s="48" t="s">
        <v>24829</v>
      </c>
    </row>
    <row r="20465" spans="2:9" ht="15" customHeight="1" x14ac:dyDescent="0.25">
      <c r="B20465" s="55" t="s">
        <v>283</v>
      </c>
      <c r="C20465" s="46">
        <v>453</v>
      </c>
      <c r="D20465" s="69" t="s">
        <v>29420</v>
      </c>
      <c r="E20465" s="51"/>
      <c r="F20465" s="114" t="str">
        <f>IF(INDEX(I.Facility.P4IDNumber,453)="","",INDEX(I.Facility.P4IDNumber,453))</f>
        <v/>
      </c>
      <c r="G20465" s="51"/>
      <c r="H20465" s="46" t="str">
        <f>IF(AND(I.Developer.P4=TRUE,I.Facility.P4FacilityCount&gt;=453,F20465=""),"Incomplete","Complete")</f>
        <v>Complete</v>
      </c>
      <c r="I20465" s="48" t="s">
        <v>24830</v>
      </c>
    </row>
    <row r="20466" spans="2:9" ht="15" customHeight="1" x14ac:dyDescent="0.25">
      <c r="B20466" s="55" t="s">
        <v>283</v>
      </c>
      <c r="C20466" s="46">
        <v>454</v>
      </c>
      <c r="D20466" s="69" t="s">
        <v>29420</v>
      </c>
      <c r="E20466" s="51"/>
      <c r="F20466" s="114" t="str">
        <f>IF(INDEX(I.Facility.P4IDNumber,454)="","",INDEX(I.Facility.P4IDNumber,454))</f>
        <v/>
      </c>
      <c r="G20466" s="51"/>
      <c r="H20466" s="46" t="str">
        <f>IF(AND(I.Developer.P4=TRUE,I.Facility.P4FacilityCount&gt;=454,F20466=""),"Incomplete","Complete")</f>
        <v>Complete</v>
      </c>
      <c r="I20466" s="48" t="s">
        <v>24831</v>
      </c>
    </row>
    <row r="20467" spans="2:9" ht="15" customHeight="1" x14ac:dyDescent="0.25">
      <c r="B20467" s="55" t="s">
        <v>283</v>
      </c>
      <c r="C20467" s="46">
        <v>455</v>
      </c>
      <c r="D20467" s="69" t="s">
        <v>29420</v>
      </c>
      <c r="E20467" s="51"/>
      <c r="F20467" s="114" t="str">
        <f>IF(INDEX(I.Facility.P4IDNumber,455)="","",INDEX(I.Facility.P4IDNumber,455))</f>
        <v/>
      </c>
      <c r="G20467" s="51"/>
      <c r="H20467" s="46" t="str">
        <f>IF(AND(I.Developer.P4=TRUE,I.Facility.P4FacilityCount&gt;=455,F20467=""),"Incomplete","Complete")</f>
        <v>Complete</v>
      </c>
      <c r="I20467" s="48" t="s">
        <v>24832</v>
      </c>
    </row>
    <row r="20468" spans="2:9" ht="15" customHeight="1" x14ac:dyDescent="0.25">
      <c r="B20468" s="55" t="s">
        <v>283</v>
      </c>
      <c r="C20468" s="46">
        <v>456</v>
      </c>
      <c r="D20468" s="69" t="s">
        <v>29420</v>
      </c>
      <c r="E20468" s="51"/>
      <c r="F20468" s="114" t="str">
        <f>IF(INDEX(I.Facility.P4IDNumber,456)="","",INDEX(I.Facility.P4IDNumber,456))</f>
        <v/>
      </c>
      <c r="G20468" s="51"/>
      <c r="H20468" s="46" t="str">
        <f>IF(AND(I.Developer.P4=TRUE,I.Facility.P4FacilityCount&gt;=456,F20468=""),"Incomplete","Complete")</f>
        <v>Complete</v>
      </c>
      <c r="I20468" s="48" t="s">
        <v>24833</v>
      </c>
    </row>
    <row r="20469" spans="2:9" ht="15" customHeight="1" x14ac:dyDescent="0.25">
      <c r="B20469" s="55" t="s">
        <v>283</v>
      </c>
      <c r="C20469" s="46">
        <v>457</v>
      </c>
      <c r="D20469" s="69" t="s">
        <v>29420</v>
      </c>
      <c r="E20469" s="51"/>
      <c r="F20469" s="114" t="str">
        <f>IF(INDEX(I.Facility.P4IDNumber,457)="","",INDEX(I.Facility.P4IDNumber,457))</f>
        <v/>
      </c>
      <c r="G20469" s="51"/>
      <c r="H20469" s="46" t="str">
        <f>IF(AND(I.Developer.P4=TRUE,I.Facility.P4FacilityCount&gt;=457,F20469=""),"Incomplete","Complete")</f>
        <v>Complete</v>
      </c>
      <c r="I20469" s="48" t="s">
        <v>24834</v>
      </c>
    </row>
    <row r="20470" spans="2:9" ht="15" customHeight="1" x14ac:dyDescent="0.25">
      <c r="B20470" s="55" t="s">
        <v>283</v>
      </c>
      <c r="C20470" s="46">
        <v>458</v>
      </c>
      <c r="D20470" s="69" t="s">
        <v>29420</v>
      </c>
      <c r="E20470" s="51"/>
      <c r="F20470" s="114" t="str">
        <f>IF(INDEX(I.Facility.P4IDNumber,458)="","",INDEX(I.Facility.P4IDNumber,458))</f>
        <v/>
      </c>
      <c r="G20470" s="51"/>
      <c r="H20470" s="46" t="str">
        <f>IF(AND(I.Developer.P4=TRUE,I.Facility.P4FacilityCount&gt;=458,F20470=""),"Incomplete","Complete")</f>
        <v>Complete</v>
      </c>
      <c r="I20470" s="48" t="s">
        <v>24835</v>
      </c>
    </row>
    <row r="20471" spans="2:9" ht="15" customHeight="1" x14ac:dyDescent="0.25">
      <c r="B20471" s="55" t="s">
        <v>283</v>
      </c>
      <c r="C20471" s="46">
        <v>459</v>
      </c>
      <c r="D20471" s="69" t="s">
        <v>29420</v>
      </c>
      <c r="E20471" s="51"/>
      <c r="F20471" s="114" t="str">
        <f>IF(INDEX(I.Facility.P4IDNumber,459)="","",INDEX(I.Facility.P4IDNumber,459))</f>
        <v/>
      </c>
      <c r="G20471" s="51"/>
      <c r="H20471" s="46" t="str">
        <f>IF(AND(I.Developer.P4=TRUE,I.Facility.P4FacilityCount&gt;=459,F20471=""),"Incomplete","Complete")</f>
        <v>Complete</v>
      </c>
      <c r="I20471" s="48" t="s">
        <v>24836</v>
      </c>
    </row>
    <row r="20472" spans="2:9" ht="15" customHeight="1" x14ac:dyDescent="0.25">
      <c r="B20472" s="55" t="s">
        <v>283</v>
      </c>
      <c r="C20472" s="46">
        <v>460</v>
      </c>
      <c r="D20472" s="69" t="s">
        <v>29420</v>
      </c>
      <c r="E20472" s="51"/>
      <c r="F20472" s="114" t="str">
        <f>IF(INDEX(I.Facility.P4IDNumber,460)="","",INDEX(I.Facility.P4IDNumber,460))</f>
        <v/>
      </c>
      <c r="G20472" s="51"/>
      <c r="H20472" s="46" t="str">
        <f>IF(AND(I.Developer.P4=TRUE,I.Facility.P4FacilityCount&gt;=460,F20472=""),"Incomplete","Complete")</f>
        <v>Complete</v>
      </c>
      <c r="I20472" s="48" t="s">
        <v>24837</v>
      </c>
    </row>
    <row r="20473" spans="2:9" ht="15" customHeight="1" x14ac:dyDescent="0.25">
      <c r="B20473" s="55" t="s">
        <v>283</v>
      </c>
      <c r="C20473" s="46">
        <v>461</v>
      </c>
      <c r="D20473" s="69" t="s">
        <v>29420</v>
      </c>
      <c r="E20473" s="51"/>
      <c r="F20473" s="114" t="str">
        <f>IF(INDEX(I.Facility.P4IDNumber,461)="","",INDEX(I.Facility.P4IDNumber,461))</f>
        <v/>
      </c>
      <c r="G20473" s="51"/>
      <c r="H20473" s="46" t="str">
        <f>IF(AND(I.Developer.P4=TRUE,I.Facility.P4FacilityCount&gt;=461,F20473=""),"Incomplete","Complete")</f>
        <v>Complete</v>
      </c>
      <c r="I20473" s="48" t="s">
        <v>24838</v>
      </c>
    </row>
    <row r="20474" spans="2:9" ht="15" customHeight="1" x14ac:dyDescent="0.25">
      <c r="B20474" s="55" t="s">
        <v>283</v>
      </c>
      <c r="C20474" s="46">
        <v>462</v>
      </c>
      <c r="D20474" s="69" t="s">
        <v>29420</v>
      </c>
      <c r="E20474" s="51"/>
      <c r="F20474" s="114" t="str">
        <f>IF(INDEX(I.Facility.P4IDNumber,462)="","",INDEX(I.Facility.P4IDNumber,462))</f>
        <v/>
      </c>
      <c r="G20474" s="51"/>
      <c r="H20474" s="46" t="str">
        <f>IF(AND(I.Developer.P4=TRUE,I.Facility.P4FacilityCount&gt;=462,F20474=""),"Incomplete","Complete")</f>
        <v>Complete</v>
      </c>
      <c r="I20474" s="48" t="s">
        <v>24839</v>
      </c>
    </row>
    <row r="20475" spans="2:9" ht="15" customHeight="1" x14ac:dyDescent="0.25">
      <c r="B20475" s="55" t="s">
        <v>283</v>
      </c>
      <c r="C20475" s="46">
        <v>463</v>
      </c>
      <c r="D20475" s="69" t="s">
        <v>29420</v>
      </c>
      <c r="E20475" s="51"/>
      <c r="F20475" s="114" t="str">
        <f>IF(INDEX(I.Facility.P4IDNumber,463)="","",INDEX(I.Facility.P4IDNumber,463))</f>
        <v/>
      </c>
      <c r="G20475" s="51"/>
      <c r="H20475" s="46" t="str">
        <f>IF(AND(I.Developer.P4=TRUE,I.Facility.P4FacilityCount&gt;=463,F20475=""),"Incomplete","Complete")</f>
        <v>Complete</v>
      </c>
      <c r="I20475" s="48" t="s">
        <v>24840</v>
      </c>
    </row>
    <row r="20476" spans="2:9" ht="15" customHeight="1" x14ac:dyDescent="0.25">
      <c r="B20476" s="55" t="s">
        <v>283</v>
      </c>
      <c r="C20476" s="46">
        <v>464</v>
      </c>
      <c r="D20476" s="69" t="s">
        <v>29420</v>
      </c>
      <c r="E20476" s="51"/>
      <c r="F20476" s="114" t="str">
        <f>IF(INDEX(I.Facility.P4IDNumber,464)="","",INDEX(I.Facility.P4IDNumber,464))</f>
        <v/>
      </c>
      <c r="G20476" s="51"/>
      <c r="H20476" s="46" t="str">
        <f>IF(AND(I.Developer.P4=TRUE,I.Facility.P4FacilityCount&gt;=464,F20476=""),"Incomplete","Complete")</f>
        <v>Complete</v>
      </c>
      <c r="I20476" s="48" t="s">
        <v>24841</v>
      </c>
    </row>
    <row r="20477" spans="2:9" ht="15" customHeight="1" x14ac:dyDescent="0.25">
      <c r="B20477" s="55" t="s">
        <v>283</v>
      </c>
      <c r="C20477" s="46">
        <v>465</v>
      </c>
      <c r="D20477" s="69" t="s">
        <v>29420</v>
      </c>
      <c r="E20477" s="51"/>
      <c r="F20477" s="114" t="str">
        <f>IF(INDEX(I.Facility.P4IDNumber,465)="","",INDEX(I.Facility.P4IDNumber,465))</f>
        <v/>
      </c>
      <c r="G20477" s="51"/>
      <c r="H20477" s="46" t="str">
        <f>IF(AND(I.Developer.P4=TRUE,I.Facility.P4FacilityCount&gt;=465,F20477=""),"Incomplete","Complete")</f>
        <v>Complete</v>
      </c>
      <c r="I20477" s="48" t="s">
        <v>24842</v>
      </c>
    </row>
    <row r="20478" spans="2:9" ht="15" customHeight="1" x14ac:dyDescent="0.25">
      <c r="B20478" s="55" t="s">
        <v>283</v>
      </c>
      <c r="C20478" s="46">
        <v>466</v>
      </c>
      <c r="D20478" s="69" t="s">
        <v>29420</v>
      </c>
      <c r="E20478" s="51"/>
      <c r="F20478" s="114" t="str">
        <f>IF(INDEX(I.Facility.P4IDNumber,466)="","",INDEX(I.Facility.P4IDNumber,466))</f>
        <v/>
      </c>
      <c r="G20478" s="51"/>
      <c r="H20478" s="46" t="str">
        <f>IF(AND(I.Developer.P4=TRUE,I.Facility.P4FacilityCount&gt;=466,F20478=""),"Incomplete","Complete")</f>
        <v>Complete</v>
      </c>
      <c r="I20478" s="48" t="s">
        <v>24843</v>
      </c>
    </row>
    <row r="20479" spans="2:9" ht="15" customHeight="1" x14ac:dyDescent="0.25">
      <c r="B20479" s="55" t="s">
        <v>283</v>
      </c>
      <c r="C20479" s="46">
        <v>467</v>
      </c>
      <c r="D20479" s="69" t="s">
        <v>29420</v>
      </c>
      <c r="E20479" s="51"/>
      <c r="F20479" s="114" t="str">
        <f>IF(INDEX(I.Facility.P4IDNumber,467)="","",INDEX(I.Facility.P4IDNumber,467))</f>
        <v/>
      </c>
      <c r="G20479" s="51"/>
      <c r="H20479" s="46" t="str">
        <f>IF(AND(I.Developer.P4=TRUE,I.Facility.P4FacilityCount&gt;=467,F20479=""),"Incomplete","Complete")</f>
        <v>Complete</v>
      </c>
      <c r="I20479" s="48" t="s">
        <v>24844</v>
      </c>
    </row>
    <row r="20480" spans="2:9" ht="15" customHeight="1" x14ac:dyDescent="0.25">
      <c r="B20480" s="55" t="s">
        <v>283</v>
      </c>
      <c r="C20480" s="46">
        <v>468</v>
      </c>
      <c r="D20480" s="69" t="s">
        <v>29420</v>
      </c>
      <c r="E20480" s="51"/>
      <c r="F20480" s="114" t="str">
        <f>IF(INDEX(I.Facility.P4IDNumber,468)="","",INDEX(I.Facility.P4IDNumber,468))</f>
        <v/>
      </c>
      <c r="G20480" s="51"/>
      <c r="H20480" s="46" t="str">
        <f>IF(AND(I.Developer.P4=TRUE,I.Facility.P4FacilityCount&gt;=468,F20480=""),"Incomplete","Complete")</f>
        <v>Complete</v>
      </c>
      <c r="I20480" s="48" t="s">
        <v>24845</v>
      </c>
    </row>
    <row r="20481" spans="2:9" ht="15" customHeight="1" x14ac:dyDescent="0.25">
      <c r="B20481" s="55" t="s">
        <v>283</v>
      </c>
      <c r="C20481" s="46">
        <v>469</v>
      </c>
      <c r="D20481" s="69" t="s">
        <v>29420</v>
      </c>
      <c r="E20481" s="51"/>
      <c r="F20481" s="114" t="str">
        <f>IF(INDEX(I.Facility.P4IDNumber,469)="","",INDEX(I.Facility.P4IDNumber,469))</f>
        <v/>
      </c>
      <c r="G20481" s="51"/>
      <c r="H20481" s="46" t="str">
        <f>IF(AND(I.Developer.P4=TRUE,I.Facility.P4FacilityCount&gt;=469,F20481=""),"Incomplete","Complete")</f>
        <v>Complete</v>
      </c>
      <c r="I20481" s="48" t="s">
        <v>24846</v>
      </c>
    </row>
    <row r="20482" spans="2:9" ht="15" customHeight="1" x14ac:dyDescent="0.25">
      <c r="B20482" s="55" t="s">
        <v>283</v>
      </c>
      <c r="C20482" s="46">
        <v>470</v>
      </c>
      <c r="D20482" s="69" t="s">
        <v>29420</v>
      </c>
      <c r="E20482" s="51"/>
      <c r="F20482" s="114" t="str">
        <f>IF(INDEX(I.Facility.P4IDNumber,470)="","",INDEX(I.Facility.P4IDNumber,470))</f>
        <v/>
      </c>
      <c r="G20482" s="51"/>
      <c r="H20482" s="46" t="str">
        <f>IF(AND(I.Developer.P4=TRUE,I.Facility.P4FacilityCount&gt;=470,F20482=""),"Incomplete","Complete")</f>
        <v>Complete</v>
      </c>
      <c r="I20482" s="48" t="s">
        <v>24847</v>
      </c>
    </row>
    <row r="20483" spans="2:9" ht="15" customHeight="1" x14ac:dyDescent="0.25">
      <c r="B20483" s="55" t="s">
        <v>283</v>
      </c>
      <c r="C20483" s="46">
        <v>471</v>
      </c>
      <c r="D20483" s="69" t="s">
        <v>29420</v>
      </c>
      <c r="E20483" s="51"/>
      <c r="F20483" s="114" t="str">
        <f>IF(INDEX(I.Facility.P4IDNumber,471)="","",INDEX(I.Facility.P4IDNumber,471))</f>
        <v/>
      </c>
      <c r="G20483" s="51"/>
      <c r="H20483" s="46" t="str">
        <f>IF(AND(I.Developer.P4=TRUE,I.Facility.P4FacilityCount&gt;=471,F20483=""),"Incomplete","Complete")</f>
        <v>Complete</v>
      </c>
      <c r="I20483" s="48" t="s">
        <v>24848</v>
      </c>
    </row>
    <row r="20484" spans="2:9" ht="15" customHeight="1" x14ac:dyDescent="0.25">
      <c r="B20484" s="55" t="s">
        <v>283</v>
      </c>
      <c r="C20484" s="46">
        <v>472</v>
      </c>
      <c r="D20484" s="69" t="s">
        <v>29420</v>
      </c>
      <c r="E20484" s="51"/>
      <c r="F20484" s="114" t="str">
        <f>IF(INDEX(I.Facility.P4IDNumber,472)="","",INDEX(I.Facility.P4IDNumber,472))</f>
        <v/>
      </c>
      <c r="G20484" s="51"/>
      <c r="H20484" s="46" t="str">
        <f>IF(AND(I.Developer.P4=TRUE,I.Facility.P4FacilityCount&gt;=472,F20484=""),"Incomplete","Complete")</f>
        <v>Complete</v>
      </c>
      <c r="I20484" s="48" t="s">
        <v>24849</v>
      </c>
    </row>
    <row r="20485" spans="2:9" ht="15" customHeight="1" x14ac:dyDescent="0.25">
      <c r="B20485" s="55" t="s">
        <v>283</v>
      </c>
      <c r="C20485" s="46">
        <v>473</v>
      </c>
      <c r="D20485" s="69" t="s">
        <v>29420</v>
      </c>
      <c r="E20485" s="51"/>
      <c r="F20485" s="114" t="str">
        <f>IF(INDEX(I.Facility.P4IDNumber,473)="","",INDEX(I.Facility.P4IDNumber,473))</f>
        <v/>
      </c>
      <c r="G20485" s="51"/>
      <c r="H20485" s="46" t="str">
        <f>IF(AND(I.Developer.P4=TRUE,I.Facility.P4FacilityCount&gt;=473,F20485=""),"Incomplete","Complete")</f>
        <v>Complete</v>
      </c>
      <c r="I20485" s="48" t="s">
        <v>24850</v>
      </c>
    </row>
    <row r="20486" spans="2:9" ht="15" customHeight="1" x14ac:dyDescent="0.25">
      <c r="B20486" s="55" t="s">
        <v>283</v>
      </c>
      <c r="C20486" s="46">
        <v>474</v>
      </c>
      <c r="D20486" s="69" t="s">
        <v>29420</v>
      </c>
      <c r="E20486" s="51"/>
      <c r="F20486" s="114" t="str">
        <f>IF(INDEX(I.Facility.P4IDNumber,474)="","",INDEX(I.Facility.P4IDNumber,474))</f>
        <v/>
      </c>
      <c r="G20486" s="51"/>
      <c r="H20486" s="46" t="str">
        <f>IF(AND(I.Developer.P4=TRUE,I.Facility.P4FacilityCount&gt;=474,F20486=""),"Incomplete","Complete")</f>
        <v>Complete</v>
      </c>
      <c r="I20486" s="48" t="s">
        <v>24851</v>
      </c>
    </row>
    <row r="20487" spans="2:9" ht="15" customHeight="1" x14ac:dyDescent="0.25">
      <c r="B20487" s="55" t="s">
        <v>283</v>
      </c>
      <c r="C20487" s="46">
        <v>475</v>
      </c>
      <c r="D20487" s="69" t="s">
        <v>29420</v>
      </c>
      <c r="E20487" s="51"/>
      <c r="F20487" s="114" t="str">
        <f>IF(INDEX(I.Facility.P4IDNumber,475)="","",INDEX(I.Facility.P4IDNumber,475))</f>
        <v/>
      </c>
      <c r="G20487" s="51"/>
      <c r="H20487" s="46" t="str">
        <f>IF(AND(I.Developer.P4=TRUE,I.Facility.P4FacilityCount&gt;=475,F20487=""),"Incomplete","Complete")</f>
        <v>Complete</v>
      </c>
      <c r="I20487" s="48" t="s">
        <v>24852</v>
      </c>
    </row>
    <row r="20488" spans="2:9" ht="15" customHeight="1" x14ac:dyDescent="0.25">
      <c r="B20488" s="55" t="s">
        <v>283</v>
      </c>
      <c r="C20488" s="46">
        <v>476</v>
      </c>
      <c r="D20488" s="69" t="s">
        <v>29420</v>
      </c>
      <c r="E20488" s="51"/>
      <c r="F20488" s="114" t="str">
        <f>IF(INDEX(I.Facility.P4IDNumber,476)="","",INDEX(I.Facility.P4IDNumber,476))</f>
        <v/>
      </c>
      <c r="G20488" s="51"/>
      <c r="H20488" s="46" t="str">
        <f>IF(AND(I.Developer.P4=TRUE,I.Facility.P4FacilityCount&gt;=476,F20488=""),"Incomplete","Complete")</f>
        <v>Complete</v>
      </c>
      <c r="I20488" s="48" t="s">
        <v>24853</v>
      </c>
    </row>
    <row r="20489" spans="2:9" ht="15" customHeight="1" x14ac:dyDescent="0.25">
      <c r="B20489" s="55" t="s">
        <v>283</v>
      </c>
      <c r="C20489" s="46">
        <v>477</v>
      </c>
      <c r="D20489" s="69" t="s">
        <v>29420</v>
      </c>
      <c r="E20489" s="51"/>
      <c r="F20489" s="114" t="str">
        <f>IF(INDEX(I.Facility.P4IDNumber,477)="","",INDEX(I.Facility.P4IDNumber,477))</f>
        <v/>
      </c>
      <c r="G20489" s="51"/>
      <c r="H20489" s="46" t="str">
        <f>IF(AND(I.Developer.P4=TRUE,I.Facility.P4FacilityCount&gt;=477,F20489=""),"Incomplete","Complete")</f>
        <v>Complete</v>
      </c>
      <c r="I20489" s="48" t="s">
        <v>24854</v>
      </c>
    </row>
    <row r="20490" spans="2:9" ht="15" customHeight="1" x14ac:dyDescent="0.25">
      <c r="B20490" s="55" t="s">
        <v>283</v>
      </c>
      <c r="C20490" s="46">
        <v>478</v>
      </c>
      <c r="D20490" s="69" t="s">
        <v>29420</v>
      </c>
      <c r="E20490" s="51"/>
      <c r="F20490" s="114" t="str">
        <f>IF(INDEX(I.Facility.P4IDNumber,478)="","",INDEX(I.Facility.P4IDNumber,478))</f>
        <v/>
      </c>
      <c r="G20490" s="51"/>
      <c r="H20490" s="46" t="str">
        <f>IF(AND(I.Developer.P4=TRUE,I.Facility.P4FacilityCount&gt;=478,F20490=""),"Incomplete","Complete")</f>
        <v>Complete</v>
      </c>
      <c r="I20490" s="48" t="s">
        <v>24855</v>
      </c>
    </row>
    <row r="20491" spans="2:9" ht="15" customHeight="1" x14ac:dyDescent="0.25">
      <c r="B20491" s="55" t="s">
        <v>283</v>
      </c>
      <c r="C20491" s="46">
        <v>479</v>
      </c>
      <c r="D20491" s="69" t="s">
        <v>29420</v>
      </c>
      <c r="E20491" s="51"/>
      <c r="F20491" s="114" t="str">
        <f>IF(INDEX(I.Facility.P4IDNumber,479)="","",INDEX(I.Facility.P4IDNumber,479))</f>
        <v/>
      </c>
      <c r="G20491" s="51"/>
      <c r="H20491" s="46" t="str">
        <f>IF(AND(I.Developer.P4=TRUE,I.Facility.P4FacilityCount&gt;=479,F20491=""),"Incomplete","Complete")</f>
        <v>Complete</v>
      </c>
      <c r="I20491" s="48" t="s">
        <v>24856</v>
      </c>
    </row>
    <row r="20492" spans="2:9" ht="15" customHeight="1" x14ac:dyDescent="0.25">
      <c r="B20492" s="55" t="s">
        <v>283</v>
      </c>
      <c r="C20492" s="46">
        <v>480</v>
      </c>
      <c r="D20492" s="69" t="s">
        <v>29420</v>
      </c>
      <c r="E20492" s="51"/>
      <c r="F20492" s="114" t="str">
        <f>IF(INDEX(I.Facility.P4IDNumber,480)="","",INDEX(I.Facility.P4IDNumber,480))</f>
        <v/>
      </c>
      <c r="G20492" s="51"/>
      <c r="H20492" s="46" t="str">
        <f>IF(AND(I.Developer.P4=TRUE,I.Facility.P4FacilityCount&gt;=480,F20492=""),"Incomplete","Complete")</f>
        <v>Complete</v>
      </c>
      <c r="I20492" s="48" t="s">
        <v>24857</v>
      </c>
    </row>
    <row r="20493" spans="2:9" ht="15" customHeight="1" x14ac:dyDescent="0.25">
      <c r="B20493" s="55" t="s">
        <v>283</v>
      </c>
      <c r="C20493" s="46">
        <v>481</v>
      </c>
      <c r="D20493" s="69" t="s">
        <v>29420</v>
      </c>
      <c r="E20493" s="51"/>
      <c r="F20493" s="114" t="str">
        <f>IF(INDEX(I.Facility.P4IDNumber,481)="","",INDEX(I.Facility.P4IDNumber,481))</f>
        <v/>
      </c>
      <c r="G20493" s="51"/>
      <c r="H20493" s="46" t="str">
        <f>IF(AND(I.Developer.P4=TRUE,I.Facility.P4FacilityCount&gt;=481,F20493=""),"Incomplete","Complete")</f>
        <v>Complete</v>
      </c>
      <c r="I20493" s="48" t="s">
        <v>24858</v>
      </c>
    </row>
    <row r="20494" spans="2:9" ht="15" customHeight="1" x14ac:dyDescent="0.25">
      <c r="B20494" s="55" t="s">
        <v>283</v>
      </c>
      <c r="C20494" s="46">
        <v>482</v>
      </c>
      <c r="D20494" s="69" t="s">
        <v>29420</v>
      </c>
      <c r="E20494" s="51"/>
      <c r="F20494" s="114" t="str">
        <f>IF(INDEX(I.Facility.P4IDNumber,482)="","",INDEX(I.Facility.P4IDNumber,482))</f>
        <v/>
      </c>
      <c r="G20494" s="51"/>
      <c r="H20494" s="46" t="str">
        <f>IF(AND(I.Developer.P4=TRUE,I.Facility.P4FacilityCount&gt;=482,F20494=""),"Incomplete","Complete")</f>
        <v>Complete</v>
      </c>
      <c r="I20494" s="48" t="s">
        <v>24859</v>
      </c>
    </row>
    <row r="20495" spans="2:9" ht="15" customHeight="1" x14ac:dyDescent="0.25">
      <c r="B20495" s="55" t="s">
        <v>283</v>
      </c>
      <c r="C20495" s="46">
        <v>483</v>
      </c>
      <c r="D20495" s="69" t="s">
        <v>29420</v>
      </c>
      <c r="E20495" s="51"/>
      <c r="F20495" s="114" t="str">
        <f>IF(INDEX(I.Facility.P4IDNumber,483)="","",INDEX(I.Facility.P4IDNumber,483))</f>
        <v/>
      </c>
      <c r="G20495" s="51"/>
      <c r="H20495" s="46" t="str">
        <f>IF(AND(I.Developer.P4=TRUE,I.Facility.P4FacilityCount&gt;=483,F20495=""),"Incomplete","Complete")</f>
        <v>Complete</v>
      </c>
      <c r="I20495" s="48" t="s">
        <v>24860</v>
      </c>
    </row>
    <row r="20496" spans="2:9" ht="15" customHeight="1" x14ac:dyDescent="0.25">
      <c r="B20496" s="55" t="s">
        <v>283</v>
      </c>
      <c r="C20496" s="46">
        <v>484</v>
      </c>
      <c r="D20496" s="69" t="s">
        <v>29420</v>
      </c>
      <c r="E20496" s="51"/>
      <c r="F20496" s="114" t="str">
        <f>IF(INDEX(I.Facility.P4IDNumber,484)="","",INDEX(I.Facility.P4IDNumber,484))</f>
        <v/>
      </c>
      <c r="G20496" s="51"/>
      <c r="H20496" s="46" t="str">
        <f>IF(AND(I.Developer.P4=TRUE,I.Facility.P4FacilityCount&gt;=484,F20496=""),"Incomplete","Complete")</f>
        <v>Complete</v>
      </c>
      <c r="I20496" s="48" t="s">
        <v>24861</v>
      </c>
    </row>
    <row r="20497" spans="2:9" ht="15" customHeight="1" x14ac:dyDescent="0.25">
      <c r="B20497" s="55" t="s">
        <v>283</v>
      </c>
      <c r="C20497" s="46">
        <v>485</v>
      </c>
      <c r="D20497" s="69" t="s">
        <v>29420</v>
      </c>
      <c r="E20497" s="51"/>
      <c r="F20497" s="114" t="str">
        <f>IF(INDEX(I.Facility.P4IDNumber,485)="","",INDEX(I.Facility.P4IDNumber,485))</f>
        <v/>
      </c>
      <c r="G20497" s="51"/>
      <c r="H20497" s="46" t="str">
        <f>IF(AND(I.Developer.P4=TRUE,I.Facility.P4FacilityCount&gt;=485,F20497=""),"Incomplete","Complete")</f>
        <v>Complete</v>
      </c>
      <c r="I20497" s="48" t="s">
        <v>24862</v>
      </c>
    </row>
    <row r="20498" spans="2:9" ht="15" customHeight="1" x14ac:dyDescent="0.25">
      <c r="B20498" s="55" t="s">
        <v>283</v>
      </c>
      <c r="C20498" s="46">
        <v>486</v>
      </c>
      <c r="D20498" s="69" t="s">
        <v>29420</v>
      </c>
      <c r="E20498" s="51"/>
      <c r="F20498" s="114" t="str">
        <f>IF(INDEX(I.Facility.P4IDNumber,486)="","",INDEX(I.Facility.P4IDNumber,486))</f>
        <v/>
      </c>
      <c r="G20498" s="51"/>
      <c r="H20498" s="46" t="str">
        <f>IF(AND(I.Developer.P4=TRUE,I.Facility.P4FacilityCount&gt;=486,F20498=""),"Incomplete","Complete")</f>
        <v>Complete</v>
      </c>
      <c r="I20498" s="48" t="s">
        <v>24863</v>
      </c>
    </row>
    <row r="20499" spans="2:9" ht="15" customHeight="1" x14ac:dyDescent="0.25">
      <c r="B20499" s="55" t="s">
        <v>283</v>
      </c>
      <c r="C20499" s="46">
        <v>487</v>
      </c>
      <c r="D20499" s="69" t="s">
        <v>29420</v>
      </c>
      <c r="E20499" s="51"/>
      <c r="F20499" s="114" t="str">
        <f>IF(INDEX(I.Facility.P4IDNumber,487)="","",INDEX(I.Facility.P4IDNumber,487))</f>
        <v/>
      </c>
      <c r="G20499" s="51"/>
      <c r="H20499" s="46" t="str">
        <f>IF(AND(I.Developer.P4=TRUE,I.Facility.P4FacilityCount&gt;=487,F20499=""),"Incomplete","Complete")</f>
        <v>Complete</v>
      </c>
      <c r="I20499" s="48" t="s">
        <v>24864</v>
      </c>
    </row>
    <row r="20500" spans="2:9" ht="15" customHeight="1" x14ac:dyDescent="0.25">
      <c r="B20500" s="55" t="s">
        <v>283</v>
      </c>
      <c r="C20500" s="46">
        <v>488</v>
      </c>
      <c r="D20500" s="69" t="s">
        <v>29420</v>
      </c>
      <c r="E20500" s="51"/>
      <c r="F20500" s="114" t="str">
        <f>IF(INDEX(I.Facility.P4IDNumber,488)="","",INDEX(I.Facility.P4IDNumber,488))</f>
        <v/>
      </c>
      <c r="G20500" s="51"/>
      <c r="H20500" s="46" t="str">
        <f>IF(AND(I.Developer.P4=TRUE,I.Facility.P4FacilityCount&gt;=488,F20500=""),"Incomplete","Complete")</f>
        <v>Complete</v>
      </c>
      <c r="I20500" s="48" t="s">
        <v>24865</v>
      </c>
    </row>
    <row r="20501" spans="2:9" ht="15" customHeight="1" x14ac:dyDescent="0.25">
      <c r="B20501" s="55" t="s">
        <v>283</v>
      </c>
      <c r="C20501" s="46">
        <v>489</v>
      </c>
      <c r="D20501" s="69" t="s">
        <v>29420</v>
      </c>
      <c r="E20501" s="51"/>
      <c r="F20501" s="114" t="str">
        <f>IF(INDEX(I.Facility.P4IDNumber,489)="","",INDEX(I.Facility.P4IDNumber,489))</f>
        <v/>
      </c>
      <c r="G20501" s="51"/>
      <c r="H20501" s="46" t="str">
        <f>IF(AND(I.Developer.P4=TRUE,I.Facility.P4FacilityCount&gt;=489,F20501=""),"Incomplete","Complete")</f>
        <v>Complete</v>
      </c>
      <c r="I20501" s="48" t="s">
        <v>24866</v>
      </c>
    </row>
    <row r="20502" spans="2:9" ht="15" customHeight="1" x14ac:dyDescent="0.25">
      <c r="B20502" s="55" t="s">
        <v>283</v>
      </c>
      <c r="C20502" s="46">
        <v>490</v>
      </c>
      <c r="D20502" s="69" t="s">
        <v>29420</v>
      </c>
      <c r="E20502" s="51"/>
      <c r="F20502" s="114" t="str">
        <f>IF(INDEX(I.Facility.P4IDNumber,490)="","",INDEX(I.Facility.P4IDNumber,490))</f>
        <v/>
      </c>
      <c r="G20502" s="51"/>
      <c r="H20502" s="46" t="str">
        <f>IF(AND(I.Developer.P4=TRUE,I.Facility.P4FacilityCount&gt;=490,F20502=""),"Incomplete","Complete")</f>
        <v>Complete</v>
      </c>
      <c r="I20502" s="48" t="s">
        <v>24867</v>
      </c>
    </row>
    <row r="20503" spans="2:9" ht="15" customHeight="1" x14ac:dyDescent="0.25">
      <c r="B20503" s="55" t="s">
        <v>283</v>
      </c>
      <c r="C20503" s="46">
        <v>491</v>
      </c>
      <c r="D20503" s="69" t="s">
        <v>29420</v>
      </c>
      <c r="E20503" s="51"/>
      <c r="F20503" s="114" t="str">
        <f>IF(INDEX(I.Facility.P4IDNumber,491)="","",INDEX(I.Facility.P4IDNumber,491))</f>
        <v/>
      </c>
      <c r="G20503" s="51"/>
      <c r="H20503" s="46" t="str">
        <f>IF(AND(I.Developer.P4=TRUE,I.Facility.P4FacilityCount&gt;=491,F20503=""),"Incomplete","Complete")</f>
        <v>Complete</v>
      </c>
      <c r="I20503" s="48" t="s">
        <v>24868</v>
      </c>
    </row>
    <row r="20504" spans="2:9" ht="15" customHeight="1" x14ac:dyDescent="0.25">
      <c r="B20504" s="55" t="s">
        <v>283</v>
      </c>
      <c r="C20504" s="46">
        <v>492</v>
      </c>
      <c r="D20504" s="69" t="s">
        <v>29420</v>
      </c>
      <c r="E20504" s="51"/>
      <c r="F20504" s="114" t="str">
        <f>IF(INDEX(I.Facility.P4IDNumber,492)="","",INDEX(I.Facility.P4IDNumber,492))</f>
        <v/>
      </c>
      <c r="G20504" s="51"/>
      <c r="H20504" s="46" t="str">
        <f>IF(AND(I.Developer.P4=TRUE,I.Facility.P4FacilityCount&gt;=492,F20504=""),"Incomplete","Complete")</f>
        <v>Complete</v>
      </c>
      <c r="I20504" s="48" t="s">
        <v>24869</v>
      </c>
    </row>
    <row r="20505" spans="2:9" ht="15" customHeight="1" x14ac:dyDescent="0.25">
      <c r="B20505" s="55" t="s">
        <v>283</v>
      </c>
      <c r="C20505" s="46">
        <v>493</v>
      </c>
      <c r="D20505" s="69" t="s">
        <v>29420</v>
      </c>
      <c r="E20505" s="51"/>
      <c r="F20505" s="114" t="str">
        <f>IF(INDEX(I.Facility.P4IDNumber,493)="","",INDEX(I.Facility.P4IDNumber,493))</f>
        <v/>
      </c>
      <c r="G20505" s="51"/>
      <c r="H20505" s="46" t="str">
        <f>IF(AND(I.Developer.P4=TRUE,I.Facility.P4FacilityCount&gt;=493,F20505=""),"Incomplete","Complete")</f>
        <v>Complete</v>
      </c>
      <c r="I20505" s="48" t="s">
        <v>24870</v>
      </c>
    </row>
    <row r="20506" spans="2:9" ht="15" customHeight="1" x14ac:dyDescent="0.25">
      <c r="B20506" s="55" t="s">
        <v>283</v>
      </c>
      <c r="C20506" s="46">
        <v>494</v>
      </c>
      <c r="D20506" s="69" t="s">
        <v>29420</v>
      </c>
      <c r="E20506" s="51"/>
      <c r="F20506" s="114" t="str">
        <f>IF(INDEX(I.Facility.P4IDNumber,494)="","",INDEX(I.Facility.P4IDNumber,494))</f>
        <v/>
      </c>
      <c r="G20506" s="51"/>
      <c r="H20506" s="46" t="str">
        <f>IF(AND(I.Developer.P4=TRUE,I.Facility.P4FacilityCount&gt;=494,F20506=""),"Incomplete","Complete")</f>
        <v>Complete</v>
      </c>
      <c r="I20506" s="48" t="s">
        <v>24871</v>
      </c>
    </row>
    <row r="20507" spans="2:9" ht="15" customHeight="1" x14ac:dyDescent="0.25">
      <c r="B20507" s="55" t="s">
        <v>283</v>
      </c>
      <c r="C20507" s="46">
        <v>495</v>
      </c>
      <c r="D20507" s="69" t="s">
        <v>29420</v>
      </c>
      <c r="E20507" s="51"/>
      <c r="F20507" s="114" t="str">
        <f>IF(INDEX(I.Facility.P4IDNumber,495)="","",INDEX(I.Facility.P4IDNumber,495))</f>
        <v/>
      </c>
      <c r="G20507" s="51"/>
      <c r="H20507" s="46" t="str">
        <f>IF(AND(I.Developer.P4=TRUE,I.Facility.P4FacilityCount&gt;=495,F20507=""),"Incomplete","Complete")</f>
        <v>Complete</v>
      </c>
      <c r="I20507" s="48" t="s">
        <v>24872</v>
      </c>
    </row>
    <row r="20508" spans="2:9" ht="15" customHeight="1" x14ac:dyDescent="0.25">
      <c r="B20508" s="55" t="s">
        <v>283</v>
      </c>
      <c r="C20508" s="46">
        <v>496</v>
      </c>
      <c r="D20508" s="69" t="s">
        <v>29420</v>
      </c>
      <c r="E20508" s="51"/>
      <c r="F20508" s="114" t="str">
        <f>IF(INDEX(I.Facility.P4IDNumber,496)="","",INDEX(I.Facility.P4IDNumber,496))</f>
        <v/>
      </c>
      <c r="G20508" s="51"/>
      <c r="H20508" s="46" t="str">
        <f>IF(AND(I.Developer.P4=TRUE,I.Facility.P4FacilityCount&gt;=496,F20508=""),"Incomplete","Complete")</f>
        <v>Complete</v>
      </c>
      <c r="I20508" s="48" t="s">
        <v>24873</v>
      </c>
    </row>
    <row r="20509" spans="2:9" ht="15" customHeight="1" x14ac:dyDescent="0.25">
      <c r="B20509" s="55" t="s">
        <v>283</v>
      </c>
      <c r="C20509" s="46">
        <v>497</v>
      </c>
      <c r="D20509" s="69" t="s">
        <v>29420</v>
      </c>
      <c r="E20509" s="51"/>
      <c r="F20509" s="114" t="str">
        <f>IF(INDEX(I.Facility.P4IDNumber,497)="","",INDEX(I.Facility.P4IDNumber,497))</f>
        <v/>
      </c>
      <c r="G20509" s="51"/>
      <c r="H20509" s="46" t="str">
        <f>IF(AND(I.Developer.P4=TRUE,I.Facility.P4FacilityCount&gt;=497,F20509=""),"Incomplete","Complete")</f>
        <v>Complete</v>
      </c>
      <c r="I20509" s="48" t="s">
        <v>24874</v>
      </c>
    </row>
    <row r="20510" spans="2:9" ht="15" customHeight="1" x14ac:dyDescent="0.25">
      <c r="B20510" s="55" t="s">
        <v>283</v>
      </c>
      <c r="C20510" s="46">
        <v>498</v>
      </c>
      <c r="D20510" s="69" t="s">
        <v>29420</v>
      </c>
      <c r="E20510" s="51"/>
      <c r="F20510" s="114" t="str">
        <f>IF(INDEX(I.Facility.P4IDNumber,498)="","",INDEX(I.Facility.P4IDNumber,498))</f>
        <v/>
      </c>
      <c r="G20510" s="51"/>
      <c r="H20510" s="46" t="str">
        <f>IF(AND(I.Developer.P4=TRUE,I.Facility.P4FacilityCount&gt;=498,F20510=""),"Incomplete","Complete")</f>
        <v>Complete</v>
      </c>
      <c r="I20510" s="48" t="s">
        <v>24875</v>
      </c>
    </row>
    <row r="20511" spans="2:9" ht="15" customHeight="1" x14ac:dyDescent="0.25">
      <c r="B20511" s="55" t="s">
        <v>283</v>
      </c>
      <c r="C20511" s="46">
        <v>499</v>
      </c>
      <c r="D20511" s="69" t="s">
        <v>29420</v>
      </c>
      <c r="E20511" s="51"/>
      <c r="F20511" s="114" t="str">
        <f>IF(INDEX(I.Facility.P4IDNumber,499)="","",INDEX(I.Facility.P4IDNumber,499))</f>
        <v/>
      </c>
      <c r="G20511" s="51"/>
      <c r="H20511" s="46" t="str">
        <f>IF(AND(I.Developer.P4=TRUE,I.Facility.P4FacilityCount&gt;=499,F20511=""),"Incomplete","Complete")</f>
        <v>Complete</v>
      </c>
      <c r="I20511" s="48" t="s">
        <v>24876</v>
      </c>
    </row>
    <row r="20512" spans="2:9" ht="15" customHeight="1" x14ac:dyDescent="0.25">
      <c r="B20512" s="55" t="s">
        <v>283</v>
      </c>
      <c r="C20512" s="46">
        <v>500</v>
      </c>
      <c r="D20512" s="69" t="s">
        <v>29420</v>
      </c>
      <c r="E20512" s="51"/>
      <c r="F20512" s="114" t="str">
        <f>IF(INDEX(I.Facility.P4IDNumber,500)="","",INDEX(I.Facility.P4IDNumber,500))</f>
        <v/>
      </c>
      <c r="G20512" s="51"/>
      <c r="H20512" s="46" t="str">
        <f>IF(AND(I.Developer.P4=TRUE,I.Facility.P4FacilityCount&gt;=500,F20512=""),"Incomplete","Complete")</f>
        <v>Complete</v>
      </c>
      <c r="I20512" s="48" t="s">
        <v>24877</v>
      </c>
    </row>
    <row r="20513" spans="2:9" ht="15" customHeight="1" x14ac:dyDescent="0.25">
      <c r="B20513" s="55" t="s">
        <v>283</v>
      </c>
      <c r="C20513" s="46">
        <v>501</v>
      </c>
      <c r="D20513" s="69" t="s">
        <v>29420</v>
      </c>
      <c r="E20513" s="51"/>
      <c r="F20513" s="114" t="str">
        <f>IF(INDEX(I.Facility.P4IDNumber,501)="","",INDEX(I.Facility.P4IDNumber,501))</f>
        <v/>
      </c>
      <c r="G20513" s="51"/>
      <c r="H20513" s="46" t="str">
        <f>IF(AND(I.Developer.P4=TRUE,I.Facility.P4FacilityCount&gt;=501,F20513=""),"Incomplete","Complete")</f>
        <v>Complete</v>
      </c>
      <c r="I20513" s="48" t="s">
        <v>24878</v>
      </c>
    </row>
    <row r="20514" spans="2:9" ht="15" customHeight="1" x14ac:dyDescent="0.25">
      <c r="B20514" s="55" t="s">
        <v>283</v>
      </c>
      <c r="C20514" s="46">
        <v>502</v>
      </c>
      <c r="D20514" s="69" t="s">
        <v>29420</v>
      </c>
      <c r="E20514" s="51"/>
      <c r="F20514" s="114" t="str">
        <f>IF(INDEX(I.Facility.P4IDNumber,502)="","",INDEX(I.Facility.P4IDNumber,502))</f>
        <v/>
      </c>
      <c r="G20514" s="51"/>
      <c r="H20514" s="46" t="str">
        <f>IF(AND(I.Developer.P4=TRUE,I.Facility.P4FacilityCount&gt;=502,F20514=""),"Incomplete","Complete")</f>
        <v>Complete</v>
      </c>
      <c r="I20514" s="48" t="s">
        <v>24879</v>
      </c>
    </row>
    <row r="20515" spans="2:9" ht="15" customHeight="1" x14ac:dyDescent="0.25">
      <c r="B20515" s="55" t="s">
        <v>283</v>
      </c>
      <c r="C20515" s="46">
        <v>503</v>
      </c>
      <c r="D20515" s="69" t="s">
        <v>29420</v>
      </c>
      <c r="E20515" s="51"/>
      <c r="F20515" s="114" t="str">
        <f>IF(INDEX(I.Facility.P4IDNumber,503)="","",INDEX(I.Facility.P4IDNumber,503))</f>
        <v/>
      </c>
      <c r="G20515" s="51"/>
      <c r="H20515" s="46" t="str">
        <f>IF(AND(I.Developer.P4=TRUE,I.Facility.P4FacilityCount&gt;=503,F20515=""),"Incomplete","Complete")</f>
        <v>Complete</v>
      </c>
      <c r="I20515" s="48" t="s">
        <v>24880</v>
      </c>
    </row>
    <row r="20516" spans="2:9" ht="15" customHeight="1" x14ac:dyDescent="0.25">
      <c r="B20516" s="55" t="s">
        <v>283</v>
      </c>
      <c r="C20516" s="46">
        <v>504</v>
      </c>
      <c r="D20516" s="69" t="s">
        <v>29420</v>
      </c>
      <c r="E20516" s="51"/>
      <c r="F20516" s="114" t="str">
        <f>IF(INDEX(I.Facility.P4IDNumber,504)="","",INDEX(I.Facility.P4IDNumber,504))</f>
        <v/>
      </c>
      <c r="G20516" s="51"/>
      <c r="H20516" s="46" t="str">
        <f>IF(AND(I.Developer.P4=TRUE,I.Facility.P4FacilityCount&gt;=504,F20516=""),"Incomplete","Complete")</f>
        <v>Complete</v>
      </c>
      <c r="I20516" s="48" t="s">
        <v>24881</v>
      </c>
    </row>
    <row r="20517" spans="2:9" ht="15" customHeight="1" x14ac:dyDescent="0.25">
      <c r="B20517" s="55" t="s">
        <v>283</v>
      </c>
      <c r="C20517" s="46">
        <v>505</v>
      </c>
      <c r="D20517" s="69" t="s">
        <v>29420</v>
      </c>
      <c r="E20517" s="51"/>
      <c r="F20517" s="114" t="str">
        <f>IF(INDEX(I.Facility.P4IDNumber,505)="","",INDEX(I.Facility.P4IDNumber,505))</f>
        <v/>
      </c>
      <c r="G20517" s="51"/>
      <c r="H20517" s="46" t="str">
        <f>IF(AND(I.Developer.P4=TRUE,I.Facility.P4FacilityCount&gt;=505,F20517=""),"Incomplete","Complete")</f>
        <v>Complete</v>
      </c>
      <c r="I20517" s="48" t="s">
        <v>24882</v>
      </c>
    </row>
    <row r="20518" spans="2:9" ht="15" customHeight="1" x14ac:dyDescent="0.25">
      <c r="B20518" s="55" t="s">
        <v>283</v>
      </c>
      <c r="C20518" s="46">
        <v>506</v>
      </c>
      <c r="D20518" s="69" t="s">
        <v>29420</v>
      </c>
      <c r="E20518" s="51"/>
      <c r="F20518" s="114" t="str">
        <f>IF(INDEX(I.Facility.P4IDNumber,506)="","",INDEX(I.Facility.P4IDNumber,506))</f>
        <v/>
      </c>
      <c r="G20518" s="51"/>
      <c r="H20518" s="46" t="str">
        <f>IF(AND(I.Developer.P4=TRUE,I.Facility.P4FacilityCount&gt;=506,F20518=""),"Incomplete","Complete")</f>
        <v>Complete</v>
      </c>
      <c r="I20518" s="48" t="s">
        <v>24883</v>
      </c>
    </row>
    <row r="20519" spans="2:9" ht="15" customHeight="1" x14ac:dyDescent="0.25">
      <c r="B20519" s="55" t="s">
        <v>283</v>
      </c>
      <c r="C20519" s="46">
        <v>507</v>
      </c>
      <c r="D20519" s="69" t="s">
        <v>29420</v>
      </c>
      <c r="E20519" s="51"/>
      <c r="F20519" s="114" t="str">
        <f>IF(INDEX(I.Facility.P4IDNumber,507)="","",INDEX(I.Facility.P4IDNumber,507))</f>
        <v/>
      </c>
      <c r="G20519" s="51"/>
      <c r="H20519" s="46" t="str">
        <f>IF(AND(I.Developer.P4=TRUE,I.Facility.P4FacilityCount&gt;=507,F20519=""),"Incomplete","Complete")</f>
        <v>Complete</v>
      </c>
      <c r="I20519" s="48" t="s">
        <v>24884</v>
      </c>
    </row>
    <row r="20520" spans="2:9" ht="15" customHeight="1" x14ac:dyDescent="0.25">
      <c r="B20520" s="55" t="s">
        <v>283</v>
      </c>
      <c r="C20520" s="46">
        <v>508</v>
      </c>
      <c r="D20520" s="69" t="s">
        <v>29420</v>
      </c>
      <c r="E20520" s="51"/>
      <c r="F20520" s="114" t="str">
        <f>IF(INDEX(I.Facility.P4IDNumber,508)="","",INDEX(I.Facility.P4IDNumber,508))</f>
        <v/>
      </c>
      <c r="G20520" s="51"/>
      <c r="H20520" s="46" t="str">
        <f>IF(AND(I.Developer.P4=TRUE,I.Facility.P4FacilityCount&gt;=508,F20520=""),"Incomplete","Complete")</f>
        <v>Complete</v>
      </c>
      <c r="I20520" s="48" t="s">
        <v>24885</v>
      </c>
    </row>
    <row r="20521" spans="2:9" ht="15" customHeight="1" x14ac:dyDescent="0.25">
      <c r="B20521" s="55" t="s">
        <v>283</v>
      </c>
      <c r="C20521" s="46">
        <v>509</v>
      </c>
      <c r="D20521" s="69" t="s">
        <v>29420</v>
      </c>
      <c r="E20521" s="51"/>
      <c r="F20521" s="114" t="str">
        <f>IF(INDEX(I.Facility.P4IDNumber,509)="","",INDEX(I.Facility.P4IDNumber,509))</f>
        <v/>
      </c>
      <c r="G20521" s="51"/>
      <c r="H20521" s="46" t="str">
        <f>IF(AND(I.Developer.P4=TRUE,I.Facility.P4FacilityCount&gt;=509,F20521=""),"Incomplete","Complete")</f>
        <v>Complete</v>
      </c>
      <c r="I20521" s="48" t="s">
        <v>24886</v>
      </c>
    </row>
    <row r="20522" spans="2:9" ht="15" customHeight="1" x14ac:dyDescent="0.25">
      <c r="B20522" s="55" t="s">
        <v>283</v>
      </c>
      <c r="C20522" s="46">
        <v>510</v>
      </c>
      <c r="D20522" s="69" t="s">
        <v>29420</v>
      </c>
      <c r="E20522" s="51"/>
      <c r="F20522" s="114" t="str">
        <f>IF(INDEX(I.Facility.P4IDNumber,510)="","",INDEX(I.Facility.P4IDNumber,510))</f>
        <v/>
      </c>
      <c r="G20522" s="51"/>
      <c r="H20522" s="46" t="str">
        <f>IF(AND(I.Developer.P4=TRUE,I.Facility.P4FacilityCount&gt;=510,F20522=""),"Incomplete","Complete")</f>
        <v>Complete</v>
      </c>
      <c r="I20522" s="48" t="s">
        <v>24887</v>
      </c>
    </row>
    <row r="20523" spans="2:9" ht="15" customHeight="1" x14ac:dyDescent="0.25">
      <c r="B20523" s="55" t="s">
        <v>283</v>
      </c>
      <c r="C20523" s="46">
        <v>511</v>
      </c>
      <c r="D20523" s="69" t="s">
        <v>29420</v>
      </c>
      <c r="E20523" s="51"/>
      <c r="F20523" s="114" t="str">
        <f>IF(INDEX(I.Facility.P4IDNumber,511)="","",INDEX(I.Facility.P4IDNumber,511))</f>
        <v/>
      </c>
      <c r="G20523" s="51"/>
      <c r="H20523" s="46" t="str">
        <f>IF(AND(I.Developer.P4=TRUE,I.Facility.P4FacilityCount&gt;=511,F20523=""),"Incomplete","Complete")</f>
        <v>Complete</v>
      </c>
      <c r="I20523" s="48" t="s">
        <v>24888</v>
      </c>
    </row>
    <row r="20524" spans="2:9" ht="15" customHeight="1" x14ac:dyDescent="0.25">
      <c r="B20524" s="55" t="s">
        <v>283</v>
      </c>
      <c r="C20524" s="46">
        <v>512</v>
      </c>
      <c r="D20524" s="69" t="s">
        <v>29420</v>
      </c>
      <c r="E20524" s="51"/>
      <c r="F20524" s="114" t="str">
        <f>IF(INDEX(I.Facility.P4IDNumber,512)="","",INDEX(I.Facility.P4IDNumber,512))</f>
        <v/>
      </c>
      <c r="G20524" s="51"/>
      <c r="H20524" s="46" t="str">
        <f>IF(AND(I.Developer.P4=TRUE,I.Facility.P4FacilityCount&gt;=512,F20524=""),"Incomplete","Complete")</f>
        <v>Complete</v>
      </c>
      <c r="I20524" s="48" t="s">
        <v>24889</v>
      </c>
    </row>
    <row r="20525" spans="2:9" ht="15" customHeight="1" x14ac:dyDescent="0.25">
      <c r="B20525" s="55" t="s">
        <v>283</v>
      </c>
      <c r="C20525" s="46">
        <v>513</v>
      </c>
      <c r="D20525" s="69" t="s">
        <v>29420</v>
      </c>
      <c r="E20525" s="51"/>
      <c r="F20525" s="114" t="str">
        <f>IF(INDEX(I.Facility.P4IDNumber,513)="","",INDEX(I.Facility.P4IDNumber,513))</f>
        <v/>
      </c>
      <c r="G20525" s="51"/>
      <c r="H20525" s="46" t="str">
        <f>IF(AND(I.Developer.P4=TRUE,I.Facility.P4FacilityCount&gt;=513,F20525=""),"Incomplete","Complete")</f>
        <v>Complete</v>
      </c>
      <c r="I20525" s="48" t="s">
        <v>24890</v>
      </c>
    </row>
    <row r="20526" spans="2:9" ht="15" customHeight="1" x14ac:dyDescent="0.25">
      <c r="B20526" s="55" t="s">
        <v>283</v>
      </c>
      <c r="C20526" s="46">
        <v>514</v>
      </c>
      <c r="D20526" s="69" t="s">
        <v>29420</v>
      </c>
      <c r="E20526" s="51"/>
      <c r="F20526" s="114" t="str">
        <f>IF(INDEX(I.Facility.P4IDNumber,514)="","",INDEX(I.Facility.P4IDNumber,514))</f>
        <v/>
      </c>
      <c r="G20526" s="51"/>
      <c r="H20526" s="46" t="str">
        <f>IF(AND(I.Developer.P4=TRUE,I.Facility.P4FacilityCount&gt;=514,F20526=""),"Incomplete","Complete")</f>
        <v>Complete</v>
      </c>
      <c r="I20526" s="48" t="s">
        <v>24891</v>
      </c>
    </row>
    <row r="20527" spans="2:9" ht="15" customHeight="1" x14ac:dyDescent="0.25">
      <c r="B20527" s="55" t="s">
        <v>283</v>
      </c>
      <c r="C20527" s="46">
        <v>515</v>
      </c>
      <c r="D20527" s="69" t="s">
        <v>29420</v>
      </c>
      <c r="E20527" s="51"/>
      <c r="F20527" s="114" t="str">
        <f>IF(INDEX(I.Facility.P4IDNumber,515)="","",INDEX(I.Facility.P4IDNumber,515))</f>
        <v/>
      </c>
      <c r="G20527" s="51"/>
      <c r="H20527" s="46" t="str">
        <f>IF(AND(I.Developer.P4=TRUE,I.Facility.P4FacilityCount&gt;=515,F20527=""),"Incomplete","Complete")</f>
        <v>Complete</v>
      </c>
      <c r="I20527" s="48" t="s">
        <v>24892</v>
      </c>
    </row>
    <row r="20528" spans="2:9" ht="15" customHeight="1" x14ac:dyDescent="0.25">
      <c r="B20528" s="55" t="s">
        <v>283</v>
      </c>
      <c r="C20528" s="46">
        <v>516</v>
      </c>
      <c r="D20528" s="69" t="s">
        <v>29420</v>
      </c>
      <c r="E20528" s="51"/>
      <c r="F20528" s="114" t="str">
        <f>IF(INDEX(I.Facility.P4IDNumber,516)="","",INDEX(I.Facility.P4IDNumber,516))</f>
        <v/>
      </c>
      <c r="G20528" s="51"/>
      <c r="H20528" s="46" t="str">
        <f>IF(AND(I.Developer.P4=TRUE,I.Facility.P4FacilityCount&gt;=516,F20528=""),"Incomplete","Complete")</f>
        <v>Complete</v>
      </c>
      <c r="I20528" s="48" t="s">
        <v>24893</v>
      </c>
    </row>
    <row r="20529" spans="2:9" ht="15" customHeight="1" x14ac:dyDescent="0.25">
      <c r="B20529" s="55" t="s">
        <v>283</v>
      </c>
      <c r="C20529" s="46">
        <v>517</v>
      </c>
      <c r="D20529" s="69" t="s">
        <v>29420</v>
      </c>
      <c r="E20529" s="51"/>
      <c r="F20529" s="114" t="str">
        <f>IF(INDEX(I.Facility.P4IDNumber,517)="","",INDEX(I.Facility.P4IDNumber,517))</f>
        <v/>
      </c>
      <c r="G20529" s="51"/>
      <c r="H20529" s="46" t="str">
        <f>IF(AND(I.Developer.P4=TRUE,I.Facility.P4FacilityCount&gt;=517,F20529=""),"Incomplete","Complete")</f>
        <v>Complete</v>
      </c>
      <c r="I20529" s="48" t="s">
        <v>24894</v>
      </c>
    </row>
    <row r="20530" spans="2:9" ht="15" customHeight="1" x14ac:dyDescent="0.25">
      <c r="B20530" s="55" t="s">
        <v>283</v>
      </c>
      <c r="C20530" s="46">
        <v>518</v>
      </c>
      <c r="D20530" s="69" t="s">
        <v>29420</v>
      </c>
      <c r="E20530" s="51"/>
      <c r="F20530" s="114" t="str">
        <f>IF(INDEX(I.Facility.P4IDNumber,518)="","",INDEX(I.Facility.P4IDNumber,518))</f>
        <v/>
      </c>
      <c r="G20530" s="51"/>
      <c r="H20530" s="46" t="str">
        <f>IF(AND(I.Developer.P4=TRUE,I.Facility.P4FacilityCount&gt;=518,F20530=""),"Incomplete","Complete")</f>
        <v>Complete</v>
      </c>
      <c r="I20530" s="48" t="s">
        <v>24895</v>
      </c>
    </row>
    <row r="20531" spans="2:9" ht="15" customHeight="1" x14ac:dyDescent="0.25">
      <c r="B20531" s="55" t="s">
        <v>283</v>
      </c>
      <c r="C20531" s="46">
        <v>519</v>
      </c>
      <c r="D20531" s="69" t="s">
        <v>29420</v>
      </c>
      <c r="E20531" s="51"/>
      <c r="F20531" s="114" t="str">
        <f>IF(INDEX(I.Facility.P4IDNumber,519)="","",INDEX(I.Facility.P4IDNumber,519))</f>
        <v/>
      </c>
      <c r="G20531" s="51"/>
      <c r="H20531" s="46" t="str">
        <f>IF(AND(I.Developer.P4=TRUE,I.Facility.P4FacilityCount&gt;=519,F20531=""),"Incomplete","Complete")</f>
        <v>Complete</v>
      </c>
      <c r="I20531" s="48" t="s">
        <v>24896</v>
      </c>
    </row>
    <row r="20532" spans="2:9" ht="15" customHeight="1" x14ac:dyDescent="0.25">
      <c r="B20532" s="55" t="s">
        <v>283</v>
      </c>
      <c r="C20532" s="46">
        <v>520</v>
      </c>
      <c r="D20532" s="69" t="s">
        <v>29420</v>
      </c>
      <c r="E20532" s="51"/>
      <c r="F20532" s="114" t="str">
        <f>IF(INDEX(I.Facility.P4IDNumber,520)="","",INDEX(I.Facility.P4IDNumber,520))</f>
        <v/>
      </c>
      <c r="G20532" s="51"/>
      <c r="H20532" s="46" t="str">
        <f>IF(AND(I.Developer.P4=TRUE,I.Facility.P4FacilityCount&gt;=520,F20532=""),"Incomplete","Complete")</f>
        <v>Complete</v>
      </c>
      <c r="I20532" s="48" t="s">
        <v>24897</v>
      </c>
    </row>
    <row r="20533" spans="2:9" ht="15" customHeight="1" x14ac:dyDescent="0.25">
      <c r="B20533" s="55" t="s">
        <v>283</v>
      </c>
      <c r="C20533" s="46">
        <v>521</v>
      </c>
      <c r="D20533" s="69" t="s">
        <v>29420</v>
      </c>
      <c r="E20533" s="51"/>
      <c r="F20533" s="114" t="str">
        <f>IF(INDEX(I.Facility.P4IDNumber,521)="","",INDEX(I.Facility.P4IDNumber,521))</f>
        <v/>
      </c>
      <c r="G20533" s="51"/>
      <c r="H20533" s="46" t="str">
        <f>IF(AND(I.Developer.P4=TRUE,I.Facility.P4FacilityCount&gt;=521,F20533=""),"Incomplete","Complete")</f>
        <v>Complete</v>
      </c>
      <c r="I20533" s="48" t="s">
        <v>24898</v>
      </c>
    </row>
    <row r="20534" spans="2:9" ht="15" customHeight="1" x14ac:dyDescent="0.25">
      <c r="B20534" s="55" t="s">
        <v>283</v>
      </c>
      <c r="C20534" s="46">
        <v>522</v>
      </c>
      <c r="D20534" s="69" t="s">
        <v>29420</v>
      </c>
      <c r="E20534" s="51"/>
      <c r="F20534" s="114" t="str">
        <f>IF(INDEX(I.Facility.P4IDNumber,522)="","",INDEX(I.Facility.P4IDNumber,522))</f>
        <v/>
      </c>
      <c r="G20534" s="51"/>
      <c r="H20534" s="46" t="str">
        <f>IF(AND(I.Developer.P4=TRUE,I.Facility.P4FacilityCount&gt;=522,F20534=""),"Incomplete","Complete")</f>
        <v>Complete</v>
      </c>
      <c r="I20534" s="48" t="s">
        <v>24899</v>
      </c>
    </row>
    <row r="20535" spans="2:9" ht="15" customHeight="1" x14ac:dyDescent="0.25">
      <c r="B20535" s="55" t="s">
        <v>283</v>
      </c>
      <c r="C20535" s="46">
        <v>523</v>
      </c>
      <c r="D20535" s="69" t="s">
        <v>29420</v>
      </c>
      <c r="E20535" s="51"/>
      <c r="F20535" s="114" t="str">
        <f>IF(INDEX(I.Facility.P4IDNumber,523)="","",INDEX(I.Facility.P4IDNumber,523))</f>
        <v/>
      </c>
      <c r="G20535" s="51"/>
      <c r="H20535" s="46" t="str">
        <f>IF(AND(I.Developer.P4=TRUE,I.Facility.P4FacilityCount&gt;=523,F20535=""),"Incomplete","Complete")</f>
        <v>Complete</v>
      </c>
      <c r="I20535" s="48" t="s">
        <v>24900</v>
      </c>
    </row>
    <row r="20536" spans="2:9" ht="15" customHeight="1" x14ac:dyDescent="0.25">
      <c r="B20536" s="55" t="s">
        <v>283</v>
      </c>
      <c r="C20536" s="46">
        <v>524</v>
      </c>
      <c r="D20536" s="69" t="s">
        <v>29420</v>
      </c>
      <c r="E20536" s="51"/>
      <c r="F20536" s="114" t="str">
        <f>IF(INDEX(I.Facility.P4IDNumber,524)="","",INDEX(I.Facility.P4IDNumber,524))</f>
        <v/>
      </c>
      <c r="G20536" s="51"/>
      <c r="H20536" s="46" t="str">
        <f>IF(AND(I.Developer.P4=TRUE,I.Facility.P4FacilityCount&gt;=524,F20536=""),"Incomplete","Complete")</f>
        <v>Complete</v>
      </c>
      <c r="I20536" s="48" t="s">
        <v>24901</v>
      </c>
    </row>
    <row r="20537" spans="2:9" ht="15" customHeight="1" x14ac:dyDescent="0.25">
      <c r="B20537" s="55" t="s">
        <v>283</v>
      </c>
      <c r="C20537" s="46">
        <v>525</v>
      </c>
      <c r="D20537" s="69" t="s">
        <v>29420</v>
      </c>
      <c r="E20537" s="51"/>
      <c r="F20537" s="114" t="str">
        <f>IF(INDEX(I.Facility.P4IDNumber,525)="","",INDEX(I.Facility.P4IDNumber,525))</f>
        <v/>
      </c>
      <c r="G20537" s="51"/>
      <c r="H20537" s="46" t="str">
        <f>IF(AND(I.Developer.P4=TRUE,I.Facility.P4FacilityCount&gt;=525,F20537=""),"Incomplete","Complete")</f>
        <v>Complete</v>
      </c>
      <c r="I20537" s="48" t="s">
        <v>24902</v>
      </c>
    </row>
    <row r="20538" spans="2:9" ht="15" customHeight="1" x14ac:dyDescent="0.25">
      <c r="B20538" s="55" t="s">
        <v>283</v>
      </c>
      <c r="C20538" s="46">
        <v>526</v>
      </c>
      <c r="D20538" s="69" t="s">
        <v>29420</v>
      </c>
      <c r="E20538" s="51"/>
      <c r="F20538" s="114" t="str">
        <f>IF(INDEX(I.Facility.P4IDNumber,526)="","",INDEX(I.Facility.P4IDNumber,526))</f>
        <v/>
      </c>
      <c r="G20538" s="51"/>
      <c r="H20538" s="46" t="str">
        <f>IF(AND(I.Developer.P4=TRUE,I.Facility.P4FacilityCount&gt;=526,F20538=""),"Incomplete","Complete")</f>
        <v>Complete</v>
      </c>
      <c r="I20538" s="48" t="s">
        <v>24903</v>
      </c>
    </row>
    <row r="20539" spans="2:9" ht="15" customHeight="1" x14ac:dyDescent="0.25">
      <c r="B20539" s="55" t="s">
        <v>283</v>
      </c>
      <c r="C20539" s="46">
        <v>527</v>
      </c>
      <c r="D20539" s="69" t="s">
        <v>29420</v>
      </c>
      <c r="E20539" s="51"/>
      <c r="F20539" s="114" t="str">
        <f>IF(INDEX(I.Facility.P4IDNumber,527)="","",INDEX(I.Facility.P4IDNumber,527))</f>
        <v/>
      </c>
      <c r="G20539" s="51"/>
      <c r="H20539" s="46" t="str">
        <f>IF(AND(I.Developer.P4=TRUE,I.Facility.P4FacilityCount&gt;=527,F20539=""),"Incomplete","Complete")</f>
        <v>Complete</v>
      </c>
      <c r="I20539" s="48" t="s">
        <v>24904</v>
      </c>
    </row>
    <row r="20540" spans="2:9" ht="15" customHeight="1" x14ac:dyDescent="0.25">
      <c r="B20540" s="55" t="s">
        <v>283</v>
      </c>
      <c r="C20540" s="46">
        <v>528</v>
      </c>
      <c r="D20540" s="69" t="s">
        <v>29420</v>
      </c>
      <c r="E20540" s="51"/>
      <c r="F20540" s="114" t="str">
        <f>IF(INDEX(I.Facility.P4IDNumber,528)="","",INDEX(I.Facility.P4IDNumber,528))</f>
        <v/>
      </c>
      <c r="G20540" s="51"/>
      <c r="H20540" s="46" t="str">
        <f>IF(AND(I.Developer.P4=TRUE,I.Facility.P4FacilityCount&gt;=528,F20540=""),"Incomplete","Complete")</f>
        <v>Complete</v>
      </c>
      <c r="I20540" s="48" t="s">
        <v>24905</v>
      </c>
    </row>
    <row r="20541" spans="2:9" ht="15" customHeight="1" x14ac:dyDescent="0.25">
      <c r="B20541" s="55" t="s">
        <v>283</v>
      </c>
      <c r="C20541" s="46">
        <v>529</v>
      </c>
      <c r="D20541" s="69" t="s">
        <v>29420</v>
      </c>
      <c r="E20541" s="51"/>
      <c r="F20541" s="114" t="str">
        <f>IF(INDEX(I.Facility.P4IDNumber,529)="","",INDEX(I.Facility.P4IDNumber,529))</f>
        <v/>
      </c>
      <c r="G20541" s="51"/>
      <c r="H20541" s="46" t="str">
        <f>IF(AND(I.Developer.P4=TRUE,I.Facility.P4FacilityCount&gt;=529,F20541=""),"Incomplete","Complete")</f>
        <v>Complete</v>
      </c>
      <c r="I20541" s="48" t="s">
        <v>24906</v>
      </c>
    </row>
    <row r="20542" spans="2:9" ht="15" customHeight="1" x14ac:dyDescent="0.25">
      <c r="B20542" s="55" t="s">
        <v>283</v>
      </c>
      <c r="C20542" s="46">
        <v>530</v>
      </c>
      <c r="D20542" s="69" t="s">
        <v>29420</v>
      </c>
      <c r="E20542" s="51"/>
      <c r="F20542" s="114" t="str">
        <f>IF(INDEX(I.Facility.P4IDNumber,530)="","",INDEX(I.Facility.P4IDNumber,530))</f>
        <v/>
      </c>
      <c r="G20542" s="51"/>
      <c r="H20542" s="46" t="str">
        <f>IF(AND(I.Developer.P4=TRUE,I.Facility.P4FacilityCount&gt;=530,F20542=""),"Incomplete","Complete")</f>
        <v>Complete</v>
      </c>
      <c r="I20542" s="48" t="s">
        <v>24907</v>
      </c>
    </row>
    <row r="20543" spans="2:9" ht="15" customHeight="1" x14ac:dyDescent="0.25">
      <c r="B20543" s="55" t="s">
        <v>283</v>
      </c>
      <c r="C20543" s="46">
        <v>531</v>
      </c>
      <c r="D20543" s="69" t="s">
        <v>29420</v>
      </c>
      <c r="E20543" s="51"/>
      <c r="F20543" s="114" t="str">
        <f>IF(INDEX(I.Facility.P4IDNumber,531)="","",INDEX(I.Facility.P4IDNumber,531))</f>
        <v/>
      </c>
      <c r="G20543" s="51"/>
      <c r="H20543" s="46" t="str">
        <f>IF(AND(I.Developer.P4=TRUE,I.Facility.P4FacilityCount&gt;=531,F20543=""),"Incomplete","Complete")</f>
        <v>Complete</v>
      </c>
      <c r="I20543" s="48" t="s">
        <v>24908</v>
      </c>
    </row>
    <row r="20544" spans="2:9" ht="15" customHeight="1" x14ac:dyDescent="0.25">
      <c r="B20544" s="55" t="s">
        <v>283</v>
      </c>
      <c r="C20544" s="46">
        <v>532</v>
      </c>
      <c r="D20544" s="69" t="s">
        <v>29420</v>
      </c>
      <c r="E20544" s="51"/>
      <c r="F20544" s="114" t="str">
        <f>IF(INDEX(I.Facility.P4IDNumber,532)="","",INDEX(I.Facility.P4IDNumber,532))</f>
        <v/>
      </c>
      <c r="G20544" s="51"/>
      <c r="H20544" s="46" t="str">
        <f>IF(AND(I.Developer.P4=TRUE,I.Facility.P4FacilityCount&gt;=532,F20544=""),"Incomplete","Complete")</f>
        <v>Complete</v>
      </c>
      <c r="I20544" s="48" t="s">
        <v>24909</v>
      </c>
    </row>
    <row r="20545" spans="2:9" ht="15" customHeight="1" x14ac:dyDescent="0.25">
      <c r="B20545" s="55" t="s">
        <v>283</v>
      </c>
      <c r="C20545" s="46">
        <v>533</v>
      </c>
      <c r="D20545" s="69" t="s">
        <v>29420</v>
      </c>
      <c r="E20545" s="51"/>
      <c r="F20545" s="114" t="str">
        <f>IF(INDEX(I.Facility.P4IDNumber,533)="","",INDEX(I.Facility.P4IDNumber,533))</f>
        <v/>
      </c>
      <c r="G20545" s="51"/>
      <c r="H20545" s="46" t="str">
        <f>IF(AND(I.Developer.P4=TRUE,I.Facility.P4FacilityCount&gt;=533,F20545=""),"Incomplete","Complete")</f>
        <v>Complete</v>
      </c>
      <c r="I20545" s="48" t="s">
        <v>24910</v>
      </c>
    </row>
    <row r="20546" spans="2:9" ht="15" customHeight="1" x14ac:dyDescent="0.25">
      <c r="B20546" s="55" t="s">
        <v>283</v>
      </c>
      <c r="C20546" s="46">
        <v>534</v>
      </c>
      <c r="D20546" s="69" t="s">
        <v>29420</v>
      </c>
      <c r="E20546" s="51"/>
      <c r="F20546" s="114" t="str">
        <f>IF(INDEX(I.Facility.P4IDNumber,534)="","",INDEX(I.Facility.P4IDNumber,534))</f>
        <v/>
      </c>
      <c r="G20546" s="51"/>
      <c r="H20546" s="46" t="str">
        <f>IF(AND(I.Developer.P4=TRUE,I.Facility.P4FacilityCount&gt;=534,F20546=""),"Incomplete","Complete")</f>
        <v>Complete</v>
      </c>
      <c r="I20546" s="48" t="s">
        <v>24911</v>
      </c>
    </row>
    <row r="20547" spans="2:9" ht="15" customHeight="1" x14ac:dyDescent="0.25">
      <c r="B20547" s="55" t="s">
        <v>283</v>
      </c>
      <c r="C20547" s="46">
        <v>535</v>
      </c>
      <c r="D20547" s="69" t="s">
        <v>29420</v>
      </c>
      <c r="E20547" s="51"/>
      <c r="F20547" s="114" t="str">
        <f>IF(INDEX(I.Facility.P4IDNumber,535)="","",INDEX(I.Facility.P4IDNumber,535))</f>
        <v/>
      </c>
      <c r="G20547" s="51"/>
      <c r="H20547" s="46" t="str">
        <f>IF(AND(I.Developer.P4=TRUE,I.Facility.P4FacilityCount&gt;=535,F20547=""),"Incomplete","Complete")</f>
        <v>Complete</v>
      </c>
      <c r="I20547" s="48" t="s">
        <v>24912</v>
      </c>
    </row>
    <row r="20548" spans="2:9" ht="15" customHeight="1" x14ac:dyDescent="0.25">
      <c r="B20548" s="55" t="s">
        <v>283</v>
      </c>
      <c r="C20548" s="46">
        <v>536</v>
      </c>
      <c r="D20548" s="69" t="s">
        <v>29420</v>
      </c>
      <c r="E20548" s="51"/>
      <c r="F20548" s="114" t="str">
        <f>IF(INDEX(I.Facility.P4IDNumber,536)="","",INDEX(I.Facility.P4IDNumber,536))</f>
        <v/>
      </c>
      <c r="G20548" s="51"/>
      <c r="H20548" s="46" t="str">
        <f>IF(AND(I.Developer.P4=TRUE,I.Facility.P4FacilityCount&gt;=536,F20548=""),"Incomplete","Complete")</f>
        <v>Complete</v>
      </c>
      <c r="I20548" s="48" t="s">
        <v>24913</v>
      </c>
    </row>
    <row r="20549" spans="2:9" ht="15" customHeight="1" x14ac:dyDescent="0.25">
      <c r="B20549" s="55" t="s">
        <v>283</v>
      </c>
      <c r="C20549" s="46">
        <v>537</v>
      </c>
      <c r="D20549" s="69" t="s">
        <v>29420</v>
      </c>
      <c r="E20549" s="51"/>
      <c r="F20549" s="114" t="str">
        <f>IF(INDEX(I.Facility.P4IDNumber,537)="","",INDEX(I.Facility.P4IDNumber,537))</f>
        <v/>
      </c>
      <c r="G20549" s="51"/>
      <c r="H20549" s="46" t="str">
        <f>IF(AND(I.Developer.P4=TRUE,I.Facility.P4FacilityCount&gt;=537,F20549=""),"Incomplete","Complete")</f>
        <v>Complete</v>
      </c>
      <c r="I20549" s="48" t="s">
        <v>24914</v>
      </c>
    </row>
    <row r="20550" spans="2:9" ht="15" customHeight="1" x14ac:dyDescent="0.25">
      <c r="B20550" s="55" t="s">
        <v>283</v>
      </c>
      <c r="C20550" s="46">
        <v>538</v>
      </c>
      <c r="D20550" s="69" t="s">
        <v>29420</v>
      </c>
      <c r="E20550" s="51"/>
      <c r="F20550" s="114" t="str">
        <f>IF(INDEX(I.Facility.P4IDNumber,538)="","",INDEX(I.Facility.P4IDNumber,538))</f>
        <v/>
      </c>
      <c r="G20550" s="51"/>
      <c r="H20550" s="46" t="str">
        <f>IF(AND(I.Developer.P4=TRUE,I.Facility.P4FacilityCount&gt;=538,F20550=""),"Incomplete","Complete")</f>
        <v>Complete</v>
      </c>
      <c r="I20550" s="48" t="s">
        <v>24915</v>
      </c>
    </row>
    <row r="20551" spans="2:9" ht="15" customHeight="1" x14ac:dyDescent="0.25">
      <c r="B20551" s="55" t="s">
        <v>283</v>
      </c>
      <c r="C20551" s="46">
        <v>539</v>
      </c>
      <c r="D20551" s="69" t="s">
        <v>29420</v>
      </c>
      <c r="E20551" s="51"/>
      <c r="F20551" s="114" t="str">
        <f>IF(INDEX(I.Facility.P4IDNumber,539)="","",INDEX(I.Facility.P4IDNumber,539))</f>
        <v/>
      </c>
      <c r="G20551" s="51"/>
      <c r="H20551" s="46" t="str">
        <f>IF(AND(I.Developer.P4=TRUE,I.Facility.P4FacilityCount&gt;=539,F20551=""),"Incomplete","Complete")</f>
        <v>Complete</v>
      </c>
      <c r="I20551" s="48" t="s">
        <v>24916</v>
      </c>
    </row>
    <row r="20552" spans="2:9" ht="15" customHeight="1" x14ac:dyDescent="0.25">
      <c r="B20552" s="55" t="s">
        <v>283</v>
      </c>
      <c r="C20552" s="46">
        <v>540</v>
      </c>
      <c r="D20552" s="69" t="s">
        <v>29420</v>
      </c>
      <c r="E20552" s="51"/>
      <c r="F20552" s="114" t="str">
        <f>IF(INDEX(I.Facility.P4IDNumber,540)="","",INDEX(I.Facility.P4IDNumber,540))</f>
        <v/>
      </c>
      <c r="G20552" s="51"/>
      <c r="H20552" s="46" t="str">
        <f>IF(AND(I.Developer.P4=TRUE,I.Facility.P4FacilityCount&gt;=540,F20552=""),"Incomplete","Complete")</f>
        <v>Complete</v>
      </c>
      <c r="I20552" s="48" t="s">
        <v>24917</v>
      </c>
    </row>
    <row r="20553" spans="2:9" ht="15" customHeight="1" x14ac:dyDescent="0.25">
      <c r="B20553" s="55" t="s">
        <v>283</v>
      </c>
      <c r="C20553" s="46">
        <v>541</v>
      </c>
      <c r="D20553" s="69" t="s">
        <v>29420</v>
      </c>
      <c r="E20553" s="51"/>
      <c r="F20553" s="114" t="str">
        <f>IF(INDEX(I.Facility.P4IDNumber,541)="","",INDEX(I.Facility.P4IDNumber,541))</f>
        <v/>
      </c>
      <c r="G20553" s="51"/>
      <c r="H20553" s="46" t="str">
        <f>IF(AND(I.Developer.P4=TRUE,I.Facility.P4FacilityCount&gt;=541,F20553=""),"Incomplete","Complete")</f>
        <v>Complete</v>
      </c>
      <c r="I20553" s="48" t="s">
        <v>24918</v>
      </c>
    </row>
    <row r="20554" spans="2:9" ht="15" customHeight="1" x14ac:dyDescent="0.25">
      <c r="B20554" s="55" t="s">
        <v>283</v>
      </c>
      <c r="C20554" s="46">
        <v>542</v>
      </c>
      <c r="D20554" s="69" t="s">
        <v>29420</v>
      </c>
      <c r="E20554" s="51"/>
      <c r="F20554" s="114" t="str">
        <f>IF(INDEX(I.Facility.P4IDNumber,542)="","",INDEX(I.Facility.P4IDNumber,542))</f>
        <v/>
      </c>
      <c r="G20554" s="51"/>
      <c r="H20554" s="46" t="str">
        <f>IF(AND(I.Developer.P4=TRUE,I.Facility.P4FacilityCount&gt;=542,F20554=""),"Incomplete","Complete")</f>
        <v>Complete</v>
      </c>
      <c r="I20554" s="48" t="s">
        <v>24919</v>
      </c>
    </row>
    <row r="20555" spans="2:9" ht="15" customHeight="1" x14ac:dyDescent="0.25">
      <c r="B20555" s="55" t="s">
        <v>283</v>
      </c>
      <c r="C20555" s="46">
        <v>543</v>
      </c>
      <c r="D20555" s="69" t="s">
        <v>29420</v>
      </c>
      <c r="E20555" s="51"/>
      <c r="F20555" s="114" t="str">
        <f>IF(INDEX(I.Facility.P4IDNumber,543)="","",INDEX(I.Facility.P4IDNumber,543))</f>
        <v/>
      </c>
      <c r="G20555" s="51"/>
      <c r="H20555" s="46" t="str">
        <f>IF(AND(I.Developer.P4=TRUE,I.Facility.P4FacilityCount&gt;=543,F20555=""),"Incomplete","Complete")</f>
        <v>Complete</v>
      </c>
      <c r="I20555" s="48" t="s">
        <v>24920</v>
      </c>
    </row>
    <row r="20556" spans="2:9" ht="15" customHeight="1" x14ac:dyDescent="0.25">
      <c r="B20556" s="55" t="s">
        <v>283</v>
      </c>
      <c r="C20556" s="46">
        <v>544</v>
      </c>
      <c r="D20556" s="69" t="s">
        <v>29420</v>
      </c>
      <c r="E20556" s="51"/>
      <c r="F20556" s="114" t="str">
        <f>IF(INDEX(I.Facility.P4IDNumber,544)="","",INDEX(I.Facility.P4IDNumber,544))</f>
        <v/>
      </c>
      <c r="G20556" s="51"/>
      <c r="H20556" s="46" t="str">
        <f>IF(AND(I.Developer.P4=TRUE,I.Facility.P4FacilityCount&gt;=544,F20556=""),"Incomplete","Complete")</f>
        <v>Complete</v>
      </c>
      <c r="I20556" s="48" t="s">
        <v>24921</v>
      </c>
    </row>
    <row r="20557" spans="2:9" ht="15" customHeight="1" x14ac:dyDescent="0.25">
      <c r="B20557" s="55" t="s">
        <v>283</v>
      </c>
      <c r="C20557" s="46">
        <v>545</v>
      </c>
      <c r="D20557" s="69" t="s">
        <v>29420</v>
      </c>
      <c r="E20557" s="51"/>
      <c r="F20557" s="114" t="str">
        <f>IF(INDEX(I.Facility.P4IDNumber,545)="","",INDEX(I.Facility.P4IDNumber,545))</f>
        <v/>
      </c>
      <c r="G20557" s="51"/>
      <c r="H20557" s="46" t="str">
        <f>IF(AND(I.Developer.P4=TRUE,I.Facility.P4FacilityCount&gt;=545,F20557=""),"Incomplete","Complete")</f>
        <v>Complete</v>
      </c>
      <c r="I20557" s="48" t="s">
        <v>24922</v>
      </c>
    </row>
    <row r="20558" spans="2:9" ht="15" customHeight="1" x14ac:dyDescent="0.25">
      <c r="B20558" s="55" t="s">
        <v>283</v>
      </c>
      <c r="C20558" s="46">
        <v>546</v>
      </c>
      <c r="D20558" s="69" t="s">
        <v>29420</v>
      </c>
      <c r="E20558" s="51"/>
      <c r="F20558" s="114" t="str">
        <f>IF(INDEX(I.Facility.P4IDNumber,546)="","",INDEX(I.Facility.P4IDNumber,546))</f>
        <v/>
      </c>
      <c r="G20558" s="51"/>
      <c r="H20558" s="46" t="str">
        <f>IF(AND(I.Developer.P4=TRUE,I.Facility.P4FacilityCount&gt;=546,F20558=""),"Incomplete","Complete")</f>
        <v>Complete</v>
      </c>
      <c r="I20558" s="48" t="s">
        <v>24923</v>
      </c>
    </row>
    <row r="20559" spans="2:9" ht="15" customHeight="1" x14ac:dyDescent="0.25">
      <c r="B20559" s="55" t="s">
        <v>283</v>
      </c>
      <c r="C20559" s="46">
        <v>547</v>
      </c>
      <c r="D20559" s="69" t="s">
        <v>29420</v>
      </c>
      <c r="E20559" s="51"/>
      <c r="F20559" s="114" t="str">
        <f>IF(INDEX(I.Facility.P4IDNumber,547)="","",INDEX(I.Facility.P4IDNumber,547))</f>
        <v/>
      </c>
      <c r="G20559" s="51"/>
      <c r="H20559" s="46" t="str">
        <f>IF(AND(I.Developer.P4=TRUE,I.Facility.P4FacilityCount&gt;=547,F20559=""),"Incomplete","Complete")</f>
        <v>Complete</v>
      </c>
      <c r="I20559" s="48" t="s">
        <v>24924</v>
      </c>
    </row>
    <row r="20560" spans="2:9" ht="15" customHeight="1" x14ac:dyDescent="0.25">
      <c r="B20560" s="55" t="s">
        <v>283</v>
      </c>
      <c r="C20560" s="46">
        <v>548</v>
      </c>
      <c r="D20560" s="69" t="s">
        <v>29420</v>
      </c>
      <c r="E20560" s="51"/>
      <c r="F20560" s="114" t="str">
        <f>IF(INDEX(I.Facility.P4IDNumber,548)="","",INDEX(I.Facility.P4IDNumber,548))</f>
        <v/>
      </c>
      <c r="G20560" s="51"/>
      <c r="H20560" s="46" t="str">
        <f>IF(AND(I.Developer.P4=TRUE,I.Facility.P4FacilityCount&gt;=548,F20560=""),"Incomplete","Complete")</f>
        <v>Complete</v>
      </c>
      <c r="I20560" s="48" t="s">
        <v>24925</v>
      </c>
    </row>
    <row r="20561" spans="2:9" ht="15" customHeight="1" x14ac:dyDescent="0.25">
      <c r="B20561" s="55" t="s">
        <v>283</v>
      </c>
      <c r="C20561" s="46">
        <v>549</v>
      </c>
      <c r="D20561" s="69" t="s">
        <v>29420</v>
      </c>
      <c r="E20561" s="51"/>
      <c r="F20561" s="114" t="str">
        <f>IF(INDEX(I.Facility.P4IDNumber,549)="","",INDEX(I.Facility.P4IDNumber,549))</f>
        <v/>
      </c>
      <c r="G20561" s="51"/>
      <c r="H20561" s="46" t="str">
        <f>IF(AND(I.Developer.P4=TRUE,I.Facility.P4FacilityCount&gt;=549,F20561=""),"Incomplete","Complete")</f>
        <v>Complete</v>
      </c>
      <c r="I20561" s="48" t="s">
        <v>24926</v>
      </c>
    </row>
    <row r="20562" spans="2:9" ht="15" customHeight="1" x14ac:dyDescent="0.25">
      <c r="B20562" s="55" t="s">
        <v>283</v>
      </c>
      <c r="C20562" s="46">
        <v>550</v>
      </c>
      <c r="D20562" s="69" t="s">
        <v>29420</v>
      </c>
      <c r="E20562" s="51"/>
      <c r="F20562" s="114" t="str">
        <f>IF(INDEX(I.Facility.P4IDNumber,550)="","",INDEX(I.Facility.P4IDNumber,550))</f>
        <v/>
      </c>
      <c r="G20562" s="51"/>
      <c r="H20562" s="46" t="str">
        <f>IF(AND(I.Developer.P4=TRUE,I.Facility.P4FacilityCount&gt;=550,F20562=""),"Incomplete","Complete")</f>
        <v>Complete</v>
      </c>
      <c r="I20562" s="48" t="s">
        <v>24927</v>
      </c>
    </row>
    <row r="20563" spans="2:9" ht="15" customHeight="1" x14ac:dyDescent="0.25">
      <c r="B20563" s="55" t="s">
        <v>283</v>
      </c>
      <c r="C20563" s="46">
        <v>551</v>
      </c>
      <c r="D20563" s="69" t="s">
        <v>29420</v>
      </c>
      <c r="E20563" s="51"/>
      <c r="F20563" s="114" t="str">
        <f>IF(INDEX(I.Facility.P4IDNumber,551)="","",INDEX(I.Facility.P4IDNumber,551))</f>
        <v/>
      </c>
      <c r="G20563" s="51"/>
      <c r="H20563" s="46" t="str">
        <f>IF(AND(I.Developer.P4=TRUE,I.Facility.P4FacilityCount&gt;=551,F20563=""),"Incomplete","Complete")</f>
        <v>Complete</v>
      </c>
      <c r="I20563" s="48" t="s">
        <v>24928</v>
      </c>
    </row>
    <row r="20564" spans="2:9" ht="15" customHeight="1" x14ac:dyDescent="0.25">
      <c r="B20564" s="55" t="s">
        <v>283</v>
      </c>
      <c r="C20564" s="46">
        <v>552</v>
      </c>
      <c r="D20564" s="69" t="s">
        <v>29420</v>
      </c>
      <c r="E20564" s="51"/>
      <c r="F20564" s="114" t="str">
        <f>IF(INDEX(I.Facility.P4IDNumber,552)="","",INDEX(I.Facility.P4IDNumber,552))</f>
        <v/>
      </c>
      <c r="G20564" s="51"/>
      <c r="H20564" s="46" t="str">
        <f>IF(AND(I.Developer.P4=TRUE,I.Facility.P4FacilityCount&gt;=552,F20564=""),"Incomplete","Complete")</f>
        <v>Complete</v>
      </c>
      <c r="I20564" s="48" t="s">
        <v>24929</v>
      </c>
    </row>
    <row r="20565" spans="2:9" ht="15" customHeight="1" x14ac:dyDescent="0.25">
      <c r="B20565" s="55" t="s">
        <v>283</v>
      </c>
      <c r="C20565" s="46">
        <v>553</v>
      </c>
      <c r="D20565" s="69" t="s">
        <v>29420</v>
      </c>
      <c r="E20565" s="51"/>
      <c r="F20565" s="114" t="str">
        <f>IF(INDEX(I.Facility.P4IDNumber,553)="","",INDEX(I.Facility.P4IDNumber,553))</f>
        <v/>
      </c>
      <c r="G20565" s="51"/>
      <c r="H20565" s="46" t="str">
        <f>IF(AND(I.Developer.P4=TRUE,I.Facility.P4FacilityCount&gt;=553,F20565=""),"Incomplete","Complete")</f>
        <v>Complete</v>
      </c>
      <c r="I20565" s="48" t="s">
        <v>24930</v>
      </c>
    </row>
    <row r="20566" spans="2:9" ht="15" customHeight="1" x14ac:dyDescent="0.25">
      <c r="B20566" s="55" t="s">
        <v>283</v>
      </c>
      <c r="C20566" s="46">
        <v>554</v>
      </c>
      <c r="D20566" s="69" t="s">
        <v>29420</v>
      </c>
      <c r="E20566" s="51"/>
      <c r="F20566" s="114" t="str">
        <f>IF(INDEX(I.Facility.P4IDNumber,554)="","",INDEX(I.Facility.P4IDNumber,554))</f>
        <v/>
      </c>
      <c r="G20566" s="51"/>
      <c r="H20566" s="46" t="str">
        <f>IF(AND(I.Developer.P4=TRUE,I.Facility.P4FacilityCount&gt;=554,F20566=""),"Incomplete","Complete")</f>
        <v>Complete</v>
      </c>
      <c r="I20566" s="48" t="s">
        <v>24931</v>
      </c>
    </row>
    <row r="20567" spans="2:9" ht="15" customHeight="1" x14ac:dyDescent="0.25">
      <c r="B20567" s="55" t="s">
        <v>283</v>
      </c>
      <c r="C20567" s="46">
        <v>555</v>
      </c>
      <c r="D20567" s="69" t="s">
        <v>29420</v>
      </c>
      <c r="E20567" s="51"/>
      <c r="F20567" s="114" t="str">
        <f>IF(INDEX(I.Facility.P4IDNumber,555)="","",INDEX(I.Facility.P4IDNumber,555))</f>
        <v/>
      </c>
      <c r="G20567" s="51"/>
      <c r="H20567" s="46" t="str">
        <f>IF(AND(I.Developer.P4=TRUE,I.Facility.P4FacilityCount&gt;=555,F20567=""),"Incomplete","Complete")</f>
        <v>Complete</v>
      </c>
      <c r="I20567" s="48" t="s">
        <v>24932</v>
      </c>
    </row>
    <row r="20568" spans="2:9" ht="15" customHeight="1" x14ac:dyDescent="0.25">
      <c r="B20568" s="55" t="s">
        <v>283</v>
      </c>
      <c r="C20568" s="46">
        <v>556</v>
      </c>
      <c r="D20568" s="69" t="s">
        <v>29420</v>
      </c>
      <c r="E20568" s="51"/>
      <c r="F20568" s="114" t="str">
        <f>IF(INDEX(I.Facility.P4IDNumber,556)="","",INDEX(I.Facility.P4IDNumber,556))</f>
        <v/>
      </c>
      <c r="G20568" s="51"/>
      <c r="H20568" s="46" t="str">
        <f>IF(AND(I.Developer.P4=TRUE,I.Facility.P4FacilityCount&gt;=556,F20568=""),"Incomplete","Complete")</f>
        <v>Complete</v>
      </c>
      <c r="I20568" s="48" t="s">
        <v>24933</v>
      </c>
    </row>
    <row r="20569" spans="2:9" ht="15" customHeight="1" x14ac:dyDescent="0.25">
      <c r="B20569" s="55" t="s">
        <v>283</v>
      </c>
      <c r="C20569" s="46">
        <v>557</v>
      </c>
      <c r="D20569" s="69" t="s">
        <v>29420</v>
      </c>
      <c r="E20569" s="51"/>
      <c r="F20569" s="114" t="str">
        <f>IF(INDEX(I.Facility.P4IDNumber,557)="","",INDEX(I.Facility.P4IDNumber,557))</f>
        <v/>
      </c>
      <c r="G20569" s="51"/>
      <c r="H20569" s="46" t="str">
        <f>IF(AND(I.Developer.P4=TRUE,I.Facility.P4FacilityCount&gt;=557,F20569=""),"Incomplete","Complete")</f>
        <v>Complete</v>
      </c>
      <c r="I20569" s="48" t="s">
        <v>24934</v>
      </c>
    </row>
    <row r="20570" spans="2:9" ht="15" customHeight="1" x14ac:dyDescent="0.25">
      <c r="B20570" s="55" t="s">
        <v>283</v>
      </c>
      <c r="C20570" s="46">
        <v>558</v>
      </c>
      <c r="D20570" s="69" t="s">
        <v>29420</v>
      </c>
      <c r="E20570" s="51"/>
      <c r="F20570" s="114" t="str">
        <f>IF(INDEX(I.Facility.P4IDNumber,558)="","",INDEX(I.Facility.P4IDNumber,558))</f>
        <v/>
      </c>
      <c r="G20570" s="51"/>
      <c r="H20570" s="46" t="str">
        <f>IF(AND(I.Developer.P4=TRUE,I.Facility.P4FacilityCount&gt;=558,F20570=""),"Incomplete","Complete")</f>
        <v>Complete</v>
      </c>
      <c r="I20570" s="48" t="s">
        <v>24935</v>
      </c>
    </row>
    <row r="20571" spans="2:9" ht="15" customHeight="1" x14ac:dyDescent="0.25">
      <c r="B20571" s="55" t="s">
        <v>283</v>
      </c>
      <c r="C20571" s="46">
        <v>559</v>
      </c>
      <c r="D20571" s="69" t="s">
        <v>29420</v>
      </c>
      <c r="E20571" s="51"/>
      <c r="F20571" s="114" t="str">
        <f>IF(INDEX(I.Facility.P4IDNumber,559)="","",INDEX(I.Facility.P4IDNumber,559))</f>
        <v/>
      </c>
      <c r="G20571" s="51"/>
      <c r="H20571" s="46" t="str">
        <f>IF(AND(I.Developer.P4=TRUE,I.Facility.P4FacilityCount&gt;=559,F20571=""),"Incomplete","Complete")</f>
        <v>Complete</v>
      </c>
      <c r="I20571" s="48" t="s">
        <v>24936</v>
      </c>
    </row>
    <row r="20572" spans="2:9" ht="15" customHeight="1" x14ac:dyDescent="0.25">
      <c r="B20572" s="55" t="s">
        <v>283</v>
      </c>
      <c r="C20572" s="46">
        <v>560</v>
      </c>
      <c r="D20572" s="69" t="s">
        <v>29420</v>
      </c>
      <c r="E20572" s="51"/>
      <c r="F20572" s="114" t="str">
        <f>IF(INDEX(I.Facility.P4IDNumber,560)="","",INDEX(I.Facility.P4IDNumber,560))</f>
        <v/>
      </c>
      <c r="G20572" s="51"/>
      <c r="H20572" s="46" t="str">
        <f>IF(AND(I.Developer.P4=TRUE,I.Facility.P4FacilityCount&gt;=560,F20572=""),"Incomplete","Complete")</f>
        <v>Complete</v>
      </c>
      <c r="I20572" s="48" t="s">
        <v>24937</v>
      </c>
    </row>
    <row r="20573" spans="2:9" ht="15" customHeight="1" x14ac:dyDescent="0.25">
      <c r="B20573" s="55" t="s">
        <v>283</v>
      </c>
      <c r="C20573" s="46">
        <v>561</v>
      </c>
      <c r="D20573" s="69" t="s">
        <v>29420</v>
      </c>
      <c r="E20573" s="51"/>
      <c r="F20573" s="114" t="str">
        <f>IF(INDEX(I.Facility.P4IDNumber,561)="","",INDEX(I.Facility.P4IDNumber,561))</f>
        <v/>
      </c>
      <c r="G20573" s="51"/>
      <c r="H20573" s="46" t="str">
        <f>IF(AND(I.Developer.P4=TRUE,I.Facility.P4FacilityCount&gt;=561,F20573=""),"Incomplete","Complete")</f>
        <v>Complete</v>
      </c>
      <c r="I20573" s="48" t="s">
        <v>24938</v>
      </c>
    </row>
    <row r="20574" spans="2:9" ht="15" customHeight="1" x14ac:dyDescent="0.25">
      <c r="B20574" s="55" t="s">
        <v>283</v>
      </c>
      <c r="C20574" s="46">
        <v>562</v>
      </c>
      <c r="D20574" s="69" t="s">
        <v>29420</v>
      </c>
      <c r="E20574" s="51"/>
      <c r="F20574" s="114" t="str">
        <f>IF(INDEX(I.Facility.P4IDNumber,562)="","",INDEX(I.Facility.P4IDNumber,562))</f>
        <v/>
      </c>
      <c r="G20574" s="51"/>
      <c r="H20574" s="46" t="str">
        <f>IF(AND(I.Developer.P4=TRUE,I.Facility.P4FacilityCount&gt;=562,F20574=""),"Incomplete","Complete")</f>
        <v>Complete</v>
      </c>
      <c r="I20574" s="48" t="s">
        <v>24939</v>
      </c>
    </row>
    <row r="20575" spans="2:9" ht="15" customHeight="1" x14ac:dyDescent="0.25">
      <c r="B20575" s="55" t="s">
        <v>283</v>
      </c>
      <c r="C20575" s="46">
        <v>563</v>
      </c>
      <c r="D20575" s="69" t="s">
        <v>29420</v>
      </c>
      <c r="E20575" s="51"/>
      <c r="F20575" s="114" t="str">
        <f>IF(INDEX(I.Facility.P4IDNumber,563)="","",INDEX(I.Facility.P4IDNumber,563))</f>
        <v/>
      </c>
      <c r="G20575" s="51"/>
      <c r="H20575" s="46" t="str">
        <f>IF(AND(I.Developer.P4=TRUE,I.Facility.P4FacilityCount&gt;=563,F20575=""),"Incomplete","Complete")</f>
        <v>Complete</v>
      </c>
      <c r="I20575" s="48" t="s">
        <v>24940</v>
      </c>
    </row>
    <row r="20576" spans="2:9" ht="15" customHeight="1" x14ac:dyDescent="0.25">
      <c r="B20576" s="55" t="s">
        <v>283</v>
      </c>
      <c r="C20576" s="46">
        <v>564</v>
      </c>
      <c r="D20576" s="69" t="s">
        <v>29420</v>
      </c>
      <c r="E20576" s="51"/>
      <c r="F20576" s="114" t="str">
        <f>IF(INDEX(I.Facility.P4IDNumber,564)="","",INDEX(I.Facility.P4IDNumber,564))</f>
        <v/>
      </c>
      <c r="G20576" s="51"/>
      <c r="H20576" s="46" t="str">
        <f>IF(AND(I.Developer.P4=TRUE,I.Facility.P4FacilityCount&gt;=564,F20576=""),"Incomplete","Complete")</f>
        <v>Complete</v>
      </c>
      <c r="I20576" s="48" t="s">
        <v>24941</v>
      </c>
    </row>
    <row r="20577" spans="2:9" ht="15" customHeight="1" x14ac:dyDescent="0.25">
      <c r="B20577" s="55" t="s">
        <v>283</v>
      </c>
      <c r="C20577" s="46">
        <v>565</v>
      </c>
      <c r="D20577" s="69" t="s">
        <v>29420</v>
      </c>
      <c r="E20577" s="51"/>
      <c r="F20577" s="114" t="str">
        <f>IF(INDEX(I.Facility.P4IDNumber,565)="","",INDEX(I.Facility.P4IDNumber,565))</f>
        <v/>
      </c>
      <c r="G20577" s="51"/>
      <c r="H20577" s="46" t="str">
        <f>IF(AND(I.Developer.P4=TRUE,I.Facility.P4FacilityCount&gt;=565,F20577=""),"Incomplete","Complete")</f>
        <v>Complete</v>
      </c>
      <c r="I20577" s="48" t="s">
        <v>24942</v>
      </c>
    </row>
    <row r="20578" spans="2:9" ht="15" customHeight="1" x14ac:dyDescent="0.25">
      <c r="B20578" s="55" t="s">
        <v>283</v>
      </c>
      <c r="C20578" s="46">
        <v>566</v>
      </c>
      <c r="D20578" s="69" t="s">
        <v>29420</v>
      </c>
      <c r="E20578" s="51"/>
      <c r="F20578" s="114" t="str">
        <f>IF(INDEX(I.Facility.P4IDNumber,566)="","",INDEX(I.Facility.P4IDNumber,566))</f>
        <v/>
      </c>
      <c r="G20578" s="51"/>
      <c r="H20578" s="46" t="str">
        <f>IF(AND(I.Developer.P4=TRUE,I.Facility.P4FacilityCount&gt;=566,F20578=""),"Incomplete","Complete")</f>
        <v>Complete</v>
      </c>
      <c r="I20578" s="48" t="s">
        <v>24943</v>
      </c>
    </row>
    <row r="20579" spans="2:9" ht="15" customHeight="1" x14ac:dyDescent="0.25">
      <c r="B20579" s="55" t="s">
        <v>283</v>
      </c>
      <c r="C20579" s="46">
        <v>567</v>
      </c>
      <c r="D20579" s="69" t="s">
        <v>29420</v>
      </c>
      <c r="E20579" s="51"/>
      <c r="F20579" s="114" t="str">
        <f>IF(INDEX(I.Facility.P4IDNumber,567)="","",INDEX(I.Facility.P4IDNumber,567))</f>
        <v/>
      </c>
      <c r="G20579" s="51"/>
      <c r="H20579" s="46" t="str">
        <f>IF(AND(I.Developer.P4=TRUE,I.Facility.P4FacilityCount&gt;=567,F20579=""),"Incomplete","Complete")</f>
        <v>Complete</v>
      </c>
      <c r="I20579" s="48" t="s">
        <v>24944</v>
      </c>
    </row>
    <row r="20580" spans="2:9" ht="15" customHeight="1" x14ac:dyDescent="0.25">
      <c r="B20580" s="55" t="s">
        <v>283</v>
      </c>
      <c r="C20580" s="46">
        <v>568</v>
      </c>
      <c r="D20580" s="69" t="s">
        <v>29420</v>
      </c>
      <c r="E20580" s="51"/>
      <c r="F20580" s="114" t="str">
        <f>IF(INDEX(I.Facility.P4IDNumber,568)="","",INDEX(I.Facility.P4IDNumber,568))</f>
        <v/>
      </c>
      <c r="G20580" s="51"/>
      <c r="H20580" s="46" t="str">
        <f>IF(AND(I.Developer.P4=TRUE,I.Facility.P4FacilityCount&gt;=568,F20580=""),"Incomplete","Complete")</f>
        <v>Complete</v>
      </c>
      <c r="I20580" s="48" t="s">
        <v>24945</v>
      </c>
    </row>
    <row r="20581" spans="2:9" ht="15" customHeight="1" x14ac:dyDescent="0.25">
      <c r="B20581" s="55" t="s">
        <v>283</v>
      </c>
      <c r="C20581" s="46">
        <v>569</v>
      </c>
      <c r="D20581" s="69" t="s">
        <v>29420</v>
      </c>
      <c r="E20581" s="51"/>
      <c r="F20581" s="114" t="str">
        <f>IF(INDEX(I.Facility.P4IDNumber,569)="","",INDEX(I.Facility.P4IDNumber,569))</f>
        <v/>
      </c>
      <c r="G20581" s="51"/>
      <c r="H20581" s="46" t="str">
        <f>IF(AND(I.Developer.P4=TRUE,I.Facility.P4FacilityCount&gt;=569,F20581=""),"Incomplete","Complete")</f>
        <v>Complete</v>
      </c>
      <c r="I20581" s="48" t="s">
        <v>24946</v>
      </c>
    </row>
    <row r="20582" spans="2:9" ht="15" customHeight="1" x14ac:dyDescent="0.25">
      <c r="B20582" s="55" t="s">
        <v>283</v>
      </c>
      <c r="C20582" s="46">
        <v>570</v>
      </c>
      <c r="D20582" s="69" t="s">
        <v>29420</v>
      </c>
      <c r="E20582" s="51"/>
      <c r="F20582" s="114" t="str">
        <f>IF(INDEX(I.Facility.P4IDNumber,570)="","",INDEX(I.Facility.P4IDNumber,570))</f>
        <v/>
      </c>
      <c r="G20582" s="51"/>
      <c r="H20582" s="46" t="str">
        <f>IF(AND(I.Developer.P4=TRUE,I.Facility.P4FacilityCount&gt;=570,F20582=""),"Incomplete","Complete")</f>
        <v>Complete</v>
      </c>
      <c r="I20582" s="48" t="s">
        <v>24947</v>
      </c>
    </row>
    <row r="20583" spans="2:9" ht="15" customHeight="1" x14ac:dyDescent="0.25">
      <c r="B20583" s="55" t="s">
        <v>283</v>
      </c>
      <c r="C20583" s="46">
        <v>571</v>
      </c>
      <c r="D20583" s="69" t="s">
        <v>29420</v>
      </c>
      <c r="E20583" s="51"/>
      <c r="F20583" s="114" t="str">
        <f>IF(INDEX(I.Facility.P4IDNumber,571)="","",INDEX(I.Facility.P4IDNumber,571))</f>
        <v/>
      </c>
      <c r="G20583" s="51"/>
      <c r="H20583" s="46" t="str">
        <f>IF(AND(I.Developer.P4=TRUE,I.Facility.P4FacilityCount&gt;=571,F20583=""),"Incomplete","Complete")</f>
        <v>Complete</v>
      </c>
      <c r="I20583" s="48" t="s">
        <v>24948</v>
      </c>
    </row>
    <row r="20584" spans="2:9" ht="15" customHeight="1" x14ac:dyDescent="0.25">
      <c r="B20584" s="55" t="s">
        <v>283</v>
      </c>
      <c r="C20584" s="46">
        <v>572</v>
      </c>
      <c r="D20584" s="69" t="s">
        <v>29420</v>
      </c>
      <c r="E20584" s="51"/>
      <c r="F20584" s="114" t="str">
        <f>IF(INDEX(I.Facility.P4IDNumber,572)="","",INDEX(I.Facility.P4IDNumber,572))</f>
        <v/>
      </c>
      <c r="G20584" s="51"/>
      <c r="H20584" s="46" t="str">
        <f>IF(AND(I.Developer.P4=TRUE,I.Facility.P4FacilityCount&gt;=572,F20584=""),"Incomplete","Complete")</f>
        <v>Complete</v>
      </c>
      <c r="I20584" s="48" t="s">
        <v>24949</v>
      </c>
    </row>
    <row r="20585" spans="2:9" ht="15" customHeight="1" x14ac:dyDescent="0.25">
      <c r="B20585" s="55" t="s">
        <v>283</v>
      </c>
      <c r="C20585" s="46">
        <v>573</v>
      </c>
      <c r="D20585" s="69" t="s">
        <v>29420</v>
      </c>
      <c r="E20585" s="51"/>
      <c r="F20585" s="114" t="str">
        <f>IF(INDEX(I.Facility.P4IDNumber,573)="","",INDEX(I.Facility.P4IDNumber,573))</f>
        <v/>
      </c>
      <c r="G20585" s="51"/>
      <c r="H20585" s="46" t="str">
        <f>IF(AND(I.Developer.P4=TRUE,I.Facility.P4FacilityCount&gt;=573,F20585=""),"Incomplete","Complete")</f>
        <v>Complete</v>
      </c>
      <c r="I20585" s="48" t="s">
        <v>24950</v>
      </c>
    </row>
    <row r="20586" spans="2:9" ht="15" customHeight="1" x14ac:dyDescent="0.25">
      <c r="B20586" s="55" t="s">
        <v>283</v>
      </c>
      <c r="C20586" s="46">
        <v>574</v>
      </c>
      <c r="D20586" s="69" t="s">
        <v>29420</v>
      </c>
      <c r="E20586" s="51"/>
      <c r="F20586" s="114" t="str">
        <f>IF(INDEX(I.Facility.P4IDNumber,574)="","",INDEX(I.Facility.P4IDNumber,574))</f>
        <v/>
      </c>
      <c r="G20586" s="51"/>
      <c r="H20586" s="46" t="str">
        <f>IF(AND(I.Developer.P4=TRUE,I.Facility.P4FacilityCount&gt;=574,F20586=""),"Incomplete","Complete")</f>
        <v>Complete</v>
      </c>
      <c r="I20586" s="48" t="s">
        <v>24951</v>
      </c>
    </row>
    <row r="20587" spans="2:9" ht="15" customHeight="1" x14ac:dyDescent="0.25">
      <c r="B20587" s="55" t="s">
        <v>283</v>
      </c>
      <c r="C20587" s="46">
        <v>575</v>
      </c>
      <c r="D20587" s="69" t="s">
        <v>29420</v>
      </c>
      <c r="E20587" s="51"/>
      <c r="F20587" s="114" t="str">
        <f>IF(INDEX(I.Facility.P4IDNumber,575)="","",INDEX(I.Facility.P4IDNumber,575))</f>
        <v/>
      </c>
      <c r="G20587" s="51"/>
      <c r="H20587" s="46" t="str">
        <f>IF(AND(I.Developer.P4=TRUE,I.Facility.P4FacilityCount&gt;=575,F20587=""),"Incomplete","Complete")</f>
        <v>Complete</v>
      </c>
      <c r="I20587" s="48" t="s">
        <v>24952</v>
      </c>
    </row>
    <row r="20588" spans="2:9" ht="15" customHeight="1" x14ac:dyDescent="0.25">
      <c r="B20588" s="55" t="s">
        <v>283</v>
      </c>
      <c r="C20588" s="46">
        <v>576</v>
      </c>
      <c r="D20588" s="69" t="s">
        <v>29420</v>
      </c>
      <c r="E20588" s="51"/>
      <c r="F20588" s="114" t="str">
        <f>IF(INDEX(I.Facility.P4IDNumber,576)="","",INDEX(I.Facility.P4IDNumber,576))</f>
        <v/>
      </c>
      <c r="G20588" s="51"/>
      <c r="H20588" s="46" t="str">
        <f>IF(AND(I.Developer.P4=TRUE,I.Facility.P4FacilityCount&gt;=576,F20588=""),"Incomplete","Complete")</f>
        <v>Complete</v>
      </c>
      <c r="I20588" s="48" t="s">
        <v>24953</v>
      </c>
    </row>
    <row r="20589" spans="2:9" ht="15" customHeight="1" x14ac:dyDescent="0.25">
      <c r="B20589" s="55" t="s">
        <v>283</v>
      </c>
      <c r="C20589" s="46">
        <v>577</v>
      </c>
      <c r="D20589" s="69" t="s">
        <v>29420</v>
      </c>
      <c r="E20589" s="51"/>
      <c r="F20589" s="114" t="str">
        <f>IF(INDEX(I.Facility.P4IDNumber,577)="","",INDEX(I.Facility.P4IDNumber,577))</f>
        <v/>
      </c>
      <c r="G20589" s="51"/>
      <c r="H20589" s="46" t="str">
        <f>IF(AND(I.Developer.P4=TRUE,I.Facility.P4FacilityCount&gt;=577,F20589=""),"Incomplete","Complete")</f>
        <v>Complete</v>
      </c>
      <c r="I20589" s="48" t="s">
        <v>24954</v>
      </c>
    </row>
    <row r="20590" spans="2:9" ht="15" customHeight="1" x14ac:dyDescent="0.25">
      <c r="B20590" s="55" t="s">
        <v>283</v>
      </c>
      <c r="C20590" s="46">
        <v>578</v>
      </c>
      <c r="D20590" s="69" t="s">
        <v>29420</v>
      </c>
      <c r="E20590" s="51"/>
      <c r="F20590" s="114" t="str">
        <f>IF(INDEX(I.Facility.P4IDNumber,578)="","",INDEX(I.Facility.P4IDNumber,578))</f>
        <v/>
      </c>
      <c r="G20590" s="51"/>
      <c r="H20590" s="46" t="str">
        <f>IF(AND(I.Developer.P4=TRUE,I.Facility.P4FacilityCount&gt;=578,F20590=""),"Incomplete","Complete")</f>
        <v>Complete</v>
      </c>
      <c r="I20590" s="48" t="s">
        <v>24955</v>
      </c>
    </row>
    <row r="20591" spans="2:9" ht="15" customHeight="1" x14ac:dyDescent="0.25">
      <c r="B20591" s="55" t="s">
        <v>283</v>
      </c>
      <c r="C20591" s="46">
        <v>579</v>
      </c>
      <c r="D20591" s="69" t="s">
        <v>29420</v>
      </c>
      <c r="E20591" s="51"/>
      <c r="F20591" s="114" t="str">
        <f>IF(INDEX(I.Facility.P4IDNumber,579)="","",INDEX(I.Facility.P4IDNumber,579))</f>
        <v/>
      </c>
      <c r="G20591" s="51"/>
      <c r="H20591" s="46" t="str">
        <f>IF(AND(I.Developer.P4=TRUE,I.Facility.P4FacilityCount&gt;=579,F20591=""),"Incomplete","Complete")</f>
        <v>Complete</v>
      </c>
      <c r="I20591" s="48" t="s">
        <v>24956</v>
      </c>
    </row>
    <row r="20592" spans="2:9" ht="15" customHeight="1" x14ac:dyDescent="0.25">
      <c r="B20592" s="55" t="s">
        <v>283</v>
      </c>
      <c r="C20592" s="46">
        <v>580</v>
      </c>
      <c r="D20592" s="69" t="s">
        <v>29420</v>
      </c>
      <c r="E20592" s="51"/>
      <c r="F20592" s="114" t="str">
        <f>IF(INDEX(I.Facility.P4IDNumber,580)="","",INDEX(I.Facility.P4IDNumber,580))</f>
        <v/>
      </c>
      <c r="G20592" s="51"/>
      <c r="H20592" s="46" t="str">
        <f>IF(AND(I.Developer.P4=TRUE,I.Facility.P4FacilityCount&gt;=580,F20592=""),"Incomplete","Complete")</f>
        <v>Complete</v>
      </c>
      <c r="I20592" s="48" t="s">
        <v>24957</v>
      </c>
    </row>
    <row r="20593" spans="2:9" ht="15" customHeight="1" x14ac:dyDescent="0.25">
      <c r="B20593" s="55" t="s">
        <v>283</v>
      </c>
      <c r="C20593" s="46">
        <v>581</v>
      </c>
      <c r="D20593" s="69" t="s">
        <v>29420</v>
      </c>
      <c r="E20593" s="51"/>
      <c r="F20593" s="114" t="str">
        <f>IF(INDEX(I.Facility.P4IDNumber,581)="","",INDEX(I.Facility.P4IDNumber,581))</f>
        <v/>
      </c>
      <c r="G20593" s="51"/>
      <c r="H20593" s="46" t="str">
        <f>IF(AND(I.Developer.P4=TRUE,I.Facility.P4FacilityCount&gt;=581,F20593=""),"Incomplete","Complete")</f>
        <v>Complete</v>
      </c>
      <c r="I20593" s="48" t="s">
        <v>24958</v>
      </c>
    </row>
    <row r="20594" spans="2:9" ht="15" customHeight="1" x14ac:dyDescent="0.25">
      <c r="B20594" s="55" t="s">
        <v>283</v>
      </c>
      <c r="C20594" s="46">
        <v>582</v>
      </c>
      <c r="D20594" s="69" t="s">
        <v>29420</v>
      </c>
      <c r="E20594" s="51"/>
      <c r="F20594" s="114" t="str">
        <f>IF(INDEX(I.Facility.P4IDNumber,582)="","",INDEX(I.Facility.P4IDNumber,582))</f>
        <v/>
      </c>
      <c r="G20594" s="51"/>
      <c r="H20594" s="46" t="str">
        <f>IF(AND(I.Developer.P4=TRUE,I.Facility.P4FacilityCount&gt;=582,F20594=""),"Incomplete","Complete")</f>
        <v>Complete</v>
      </c>
      <c r="I20594" s="48" t="s">
        <v>24959</v>
      </c>
    </row>
    <row r="20595" spans="2:9" ht="15" customHeight="1" x14ac:dyDescent="0.25">
      <c r="B20595" s="55" t="s">
        <v>283</v>
      </c>
      <c r="C20595" s="46">
        <v>583</v>
      </c>
      <c r="D20595" s="69" t="s">
        <v>29420</v>
      </c>
      <c r="E20595" s="51"/>
      <c r="F20595" s="114" t="str">
        <f>IF(INDEX(I.Facility.P4IDNumber,583)="","",INDEX(I.Facility.P4IDNumber,583))</f>
        <v/>
      </c>
      <c r="G20595" s="51"/>
      <c r="H20595" s="46" t="str">
        <f>IF(AND(I.Developer.P4=TRUE,I.Facility.P4FacilityCount&gt;=583,F20595=""),"Incomplete","Complete")</f>
        <v>Complete</v>
      </c>
      <c r="I20595" s="48" t="s">
        <v>24960</v>
      </c>
    </row>
    <row r="20596" spans="2:9" ht="15" customHeight="1" x14ac:dyDescent="0.25">
      <c r="B20596" s="55" t="s">
        <v>283</v>
      </c>
      <c r="C20596" s="46">
        <v>584</v>
      </c>
      <c r="D20596" s="69" t="s">
        <v>29420</v>
      </c>
      <c r="E20596" s="51"/>
      <c r="F20596" s="114" t="str">
        <f>IF(INDEX(I.Facility.P4IDNumber,584)="","",INDEX(I.Facility.P4IDNumber,584))</f>
        <v/>
      </c>
      <c r="G20596" s="51"/>
      <c r="H20596" s="46" t="str">
        <f>IF(AND(I.Developer.P4=TRUE,I.Facility.P4FacilityCount&gt;=584,F20596=""),"Incomplete","Complete")</f>
        <v>Complete</v>
      </c>
      <c r="I20596" s="48" t="s">
        <v>24961</v>
      </c>
    </row>
    <row r="20597" spans="2:9" ht="15" customHeight="1" x14ac:dyDescent="0.25">
      <c r="B20597" s="55" t="s">
        <v>283</v>
      </c>
      <c r="C20597" s="46">
        <v>585</v>
      </c>
      <c r="D20597" s="69" t="s">
        <v>29420</v>
      </c>
      <c r="E20597" s="51"/>
      <c r="F20597" s="114" t="str">
        <f>IF(INDEX(I.Facility.P4IDNumber,585)="","",INDEX(I.Facility.P4IDNumber,585))</f>
        <v/>
      </c>
      <c r="G20597" s="51"/>
      <c r="H20597" s="46" t="str">
        <f>IF(AND(I.Developer.P4=TRUE,I.Facility.P4FacilityCount&gt;=585,F20597=""),"Incomplete","Complete")</f>
        <v>Complete</v>
      </c>
      <c r="I20597" s="48" t="s">
        <v>24962</v>
      </c>
    </row>
    <row r="20598" spans="2:9" ht="15" customHeight="1" x14ac:dyDescent="0.25">
      <c r="B20598" s="55" t="s">
        <v>283</v>
      </c>
      <c r="C20598" s="46">
        <v>586</v>
      </c>
      <c r="D20598" s="69" t="s">
        <v>29420</v>
      </c>
      <c r="E20598" s="51"/>
      <c r="F20598" s="114" t="str">
        <f>IF(INDEX(I.Facility.P4IDNumber,586)="","",INDEX(I.Facility.P4IDNumber,586))</f>
        <v/>
      </c>
      <c r="G20598" s="51"/>
      <c r="H20598" s="46" t="str">
        <f>IF(AND(I.Developer.P4=TRUE,I.Facility.P4FacilityCount&gt;=586,F20598=""),"Incomplete","Complete")</f>
        <v>Complete</v>
      </c>
      <c r="I20598" s="48" t="s">
        <v>24963</v>
      </c>
    </row>
    <row r="20599" spans="2:9" ht="15" customHeight="1" x14ac:dyDescent="0.25">
      <c r="B20599" s="55" t="s">
        <v>283</v>
      </c>
      <c r="C20599" s="46">
        <v>587</v>
      </c>
      <c r="D20599" s="69" t="s">
        <v>29420</v>
      </c>
      <c r="E20599" s="51"/>
      <c r="F20599" s="114" t="str">
        <f>IF(INDEX(I.Facility.P4IDNumber,587)="","",INDEX(I.Facility.P4IDNumber,587))</f>
        <v/>
      </c>
      <c r="G20599" s="51"/>
      <c r="H20599" s="46" t="str">
        <f>IF(AND(I.Developer.P4=TRUE,I.Facility.P4FacilityCount&gt;=587,F20599=""),"Incomplete","Complete")</f>
        <v>Complete</v>
      </c>
      <c r="I20599" s="48" t="s">
        <v>24964</v>
      </c>
    </row>
    <row r="20600" spans="2:9" ht="15" customHeight="1" x14ac:dyDescent="0.25">
      <c r="B20600" s="55" t="s">
        <v>283</v>
      </c>
      <c r="C20600" s="46">
        <v>588</v>
      </c>
      <c r="D20600" s="69" t="s">
        <v>29420</v>
      </c>
      <c r="E20600" s="51"/>
      <c r="F20600" s="114" t="str">
        <f>IF(INDEX(I.Facility.P4IDNumber,588)="","",INDEX(I.Facility.P4IDNumber,588))</f>
        <v/>
      </c>
      <c r="G20600" s="51"/>
      <c r="H20600" s="46" t="str">
        <f>IF(AND(I.Developer.P4=TRUE,I.Facility.P4FacilityCount&gt;=588,F20600=""),"Incomplete","Complete")</f>
        <v>Complete</v>
      </c>
      <c r="I20600" s="48" t="s">
        <v>24965</v>
      </c>
    </row>
    <row r="20601" spans="2:9" ht="15" customHeight="1" x14ac:dyDescent="0.25">
      <c r="B20601" s="55" t="s">
        <v>283</v>
      </c>
      <c r="C20601" s="46">
        <v>589</v>
      </c>
      <c r="D20601" s="69" t="s">
        <v>29420</v>
      </c>
      <c r="E20601" s="51"/>
      <c r="F20601" s="114" t="str">
        <f>IF(INDEX(I.Facility.P4IDNumber,589)="","",INDEX(I.Facility.P4IDNumber,589))</f>
        <v/>
      </c>
      <c r="G20601" s="51"/>
      <c r="H20601" s="46" t="str">
        <f>IF(AND(I.Developer.P4=TRUE,I.Facility.P4FacilityCount&gt;=589,F20601=""),"Incomplete","Complete")</f>
        <v>Complete</v>
      </c>
      <c r="I20601" s="48" t="s">
        <v>24966</v>
      </c>
    </row>
    <row r="20602" spans="2:9" ht="15" customHeight="1" x14ac:dyDescent="0.25">
      <c r="B20602" s="55" t="s">
        <v>283</v>
      </c>
      <c r="C20602" s="46">
        <v>590</v>
      </c>
      <c r="D20602" s="69" t="s">
        <v>29420</v>
      </c>
      <c r="E20602" s="51"/>
      <c r="F20602" s="114" t="str">
        <f>IF(INDEX(I.Facility.P4IDNumber,590)="","",INDEX(I.Facility.P4IDNumber,590))</f>
        <v/>
      </c>
      <c r="G20602" s="51"/>
      <c r="H20602" s="46" t="str">
        <f>IF(AND(I.Developer.P4=TRUE,I.Facility.P4FacilityCount&gt;=590,F20602=""),"Incomplete","Complete")</f>
        <v>Complete</v>
      </c>
      <c r="I20602" s="48" t="s">
        <v>24967</v>
      </c>
    </row>
    <row r="20603" spans="2:9" ht="15" customHeight="1" x14ac:dyDescent="0.25">
      <c r="B20603" s="55" t="s">
        <v>283</v>
      </c>
      <c r="C20603" s="46">
        <v>591</v>
      </c>
      <c r="D20603" s="69" t="s">
        <v>29420</v>
      </c>
      <c r="E20603" s="51"/>
      <c r="F20603" s="114" t="str">
        <f>IF(INDEX(I.Facility.P4IDNumber,591)="","",INDEX(I.Facility.P4IDNumber,591))</f>
        <v/>
      </c>
      <c r="G20603" s="51"/>
      <c r="H20603" s="46" t="str">
        <f>IF(AND(I.Developer.P4=TRUE,I.Facility.P4FacilityCount&gt;=591,F20603=""),"Incomplete","Complete")</f>
        <v>Complete</v>
      </c>
      <c r="I20603" s="48" t="s">
        <v>24968</v>
      </c>
    </row>
    <row r="20604" spans="2:9" ht="15" customHeight="1" x14ac:dyDescent="0.25">
      <c r="B20604" s="55" t="s">
        <v>283</v>
      </c>
      <c r="C20604" s="46">
        <v>592</v>
      </c>
      <c r="D20604" s="69" t="s">
        <v>29420</v>
      </c>
      <c r="E20604" s="51"/>
      <c r="F20604" s="114" t="str">
        <f>IF(INDEX(I.Facility.P4IDNumber,592)="","",INDEX(I.Facility.P4IDNumber,592))</f>
        <v/>
      </c>
      <c r="G20604" s="51"/>
      <c r="H20604" s="46" t="str">
        <f>IF(AND(I.Developer.P4=TRUE,I.Facility.P4FacilityCount&gt;=592,F20604=""),"Incomplete","Complete")</f>
        <v>Complete</v>
      </c>
      <c r="I20604" s="48" t="s">
        <v>24969</v>
      </c>
    </row>
    <row r="20605" spans="2:9" ht="15" customHeight="1" x14ac:dyDescent="0.25">
      <c r="B20605" s="55" t="s">
        <v>283</v>
      </c>
      <c r="C20605" s="46">
        <v>593</v>
      </c>
      <c r="D20605" s="69" t="s">
        <v>29420</v>
      </c>
      <c r="E20605" s="51"/>
      <c r="F20605" s="114" t="str">
        <f>IF(INDEX(I.Facility.P4IDNumber,593)="","",INDEX(I.Facility.P4IDNumber,593))</f>
        <v/>
      </c>
      <c r="G20605" s="51"/>
      <c r="H20605" s="46" t="str">
        <f>IF(AND(I.Developer.P4=TRUE,I.Facility.P4FacilityCount&gt;=593,F20605=""),"Incomplete","Complete")</f>
        <v>Complete</v>
      </c>
      <c r="I20605" s="48" t="s">
        <v>24970</v>
      </c>
    </row>
    <row r="20606" spans="2:9" ht="15" customHeight="1" x14ac:dyDescent="0.25">
      <c r="B20606" s="55" t="s">
        <v>283</v>
      </c>
      <c r="C20606" s="46">
        <v>594</v>
      </c>
      <c r="D20606" s="69" t="s">
        <v>29420</v>
      </c>
      <c r="E20606" s="51"/>
      <c r="F20606" s="114" t="str">
        <f>IF(INDEX(I.Facility.P4IDNumber,594)="","",INDEX(I.Facility.P4IDNumber,594))</f>
        <v/>
      </c>
      <c r="G20606" s="51"/>
      <c r="H20606" s="46" t="str">
        <f>IF(AND(I.Developer.P4=TRUE,I.Facility.P4FacilityCount&gt;=594,F20606=""),"Incomplete","Complete")</f>
        <v>Complete</v>
      </c>
      <c r="I20606" s="48" t="s">
        <v>24971</v>
      </c>
    </row>
    <row r="20607" spans="2:9" ht="15" customHeight="1" x14ac:dyDescent="0.25">
      <c r="B20607" s="55" t="s">
        <v>283</v>
      </c>
      <c r="C20607" s="46">
        <v>595</v>
      </c>
      <c r="D20607" s="69" t="s">
        <v>29420</v>
      </c>
      <c r="E20607" s="51"/>
      <c r="F20607" s="114" t="str">
        <f>IF(INDEX(I.Facility.P4IDNumber,595)="","",INDEX(I.Facility.P4IDNumber,595))</f>
        <v/>
      </c>
      <c r="G20607" s="51"/>
      <c r="H20607" s="46" t="str">
        <f>IF(AND(I.Developer.P4=TRUE,I.Facility.P4FacilityCount&gt;=595,F20607=""),"Incomplete","Complete")</f>
        <v>Complete</v>
      </c>
      <c r="I20607" s="48" t="s">
        <v>24972</v>
      </c>
    </row>
    <row r="20608" spans="2:9" ht="15" customHeight="1" x14ac:dyDescent="0.25">
      <c r="B20608" s="55" t="s">
        <v>283</v>
      </c>
      <c r="C20608" s="46">
        <v>596</v>
      </c>
      <c r="D20608" s="69" t="s">
        <v>29420</v>
      </c>
      <c r="E20608" s="51"/>
      <c r="F20608" s="114" t="str">
        <f>IF(INDEX(I.Facility.P4IDNumber,596)="","",INDEX(I.Facility.P4IDNumber,596))</f>
        <v/>
      </c>
      <c r="G20608" s="51"/>
      <c r="H20608" s="46" t="str">
        <f>IF(AND(I.Developer.P4=TRUE,I.Facility.P4FacilityCount&gt;=596,F20608=""),"Incomplete","Complete")</f>
        <v>Complete</v>
      </c>
      <c r="I20608" s="48" t="s">
        <v>24973</v>
      </c>
    </row>
    <row r="20609" spans="2:9" ht="15" customHeight="1" x14ac:dyDescent="0.25">
      <c r="B20609" s="55" t="s">
        <v>283</v>
      </c>
      <c r="C20609" s="46">
        <v>597</v>
      </c>
      <c r="D20609" s="69" t="s">
        <v>29420</v>
      </c>
      <c r="E20609" s="51"/>
      <c r="F20609" s="114" t="str">
        <f>IF(INDEX(I.Facility.P4IDNumber,597)="","",INDEX(I.Facility.P4IDNumber,597))</f>
        <v/>
      </c>
      <c r="G20609" s="51"/>
      <c r="H20609" s="46" t="str">
        <f>IF(AND(I.Developer.P4=TRUE,I.Facility.P4FacilityCount&gt;=597,F20609=""),"Incomplete","Complete")</f>
        <v>Complete</v>
      </c>
      <c r="I20609" s="48" t="s">
        <v>24974</v>
      </c>
    </row>
    <row r="20610" spans="2:9" ht="15" customHeight="1" x14ac:dyDescent="0.25">
      <c r="B20610" s="55" t="s">
        <v>283</v>
      </c>
      <c r="C20610" s="46">
        <v>598</v>
      </c>
      <c r="D20610" s="69" t="s">
        <v>29420</v>
      </c>
      <c r="E20610" s="51"/>
      <c r="F20610" s="114" t="str">
        <f>IF(INDEX(I.Facility.P4IDNumber,598)="","",INDEX(I.Facility.P4IDNumber,598))</f>
        <v/>
      </c>
      <c r="G20610" s="51"/>
      <c r="H20610" s="46" t="str">
        <f>IF(AND(I.Developer.P4=TRUE,I.Facility.P4FacilityCount&gt;=598,F20610=""),"Incomplete","Complete")</f>
        <v>Complete</v>
      </c>
      <c r="I20610" s="48" t="s">
        <v>24975</v>
      </c>
    </row>
    <row r="20611" spans="2:9" ht="15" customHeight="1" x14ac:dyDescent="0.25">
      <c r="B20611" s="55" t="s">
        <v>283</v>
      </c>
      <c r="C20611" s="46">
        <v>599</v>
      </c>
      <c r="D20611" s="69" t="s">
        <v>29420</v>
      </c>
      <c r="E20611" s="51"/>
      <c r="F20611" s="114" t="str">
        <f>IF(INDEX(I.Facility.P4IDNumber,599)="","",INDEX(I.Facility.P4IDNumber,599))</f>
        <v/>
      </c>
      <c r="G20611" s="51"/>
      <c r="H20611" s="46" t="str">
        <f>IF(AND(I.Developer.P4=TRUE,I.Facility.P4FacilityCount&gt;=599,F20611=""),"Incomplete","Complete")</f>
        <v>Complete</v>
      </c>
      <c r="I20611" s="48" t="s">
        <v>24976</v>
      </c>
    </row>
    <row r="20612" spans="2:9" ht="15" customHeight="1" x14ac:dyDescent="0.25">
      <c r="B20612" s="55" t="s">
        <v>283</v>
      </c>
      <c r="C20612" s="46">
        <v>600</v>
      </c>
      <c r="D20612" s="69" t="s">
        <v>29420</v>
      </c>
      <c r="E20612" s="51"/>
      <c r="F20612" s="114" t="str">
        <f>IF(INDEX(I.Facility.P4IDNumber,600)="","",INDEX(I.Facility.P4IDNumber,600))</f>
        <v/>
      </c>
      <c r="G20612" s="51"/>
      <c r="H20612" s="46" t="str">
        <f>IF(AND(I.Developer.P4=TRUE,I.Facility.P4FacilityCount&gt;=600,F20612=""),"Incomplete","Complete")</f>
        <v>Complete</v>
      </c>
      <c r="I20612" s="48" t="s">
        <v>24977</v>
      </c>
    </row>
    <row r="20613" spans="2:9" ht="15" customHeight="1" x14ac:dyDescent="0.25">
      <c r="B20613" s="55" t="s">
        <v>283</v>
      </c>
      <c r="C20613" s="46">
        <v>601</v>
      </c>
      <c r="D20613" s="69" t="s">
        <v>29420</v>
      </c>
      <c r="E20613" s="51"/>
      <c r="F20613" s="114" t="str">
        <f>IF(INDEX(I.Facility.P4IDNumber,601)="","",INDEX(I.Facility.P4IDNumber,601))</f>
        <v/>
      </c>
      <c r="G20613" s="51"/>
      <c r="H20613" s="46" t="str">
        <f>IF(AND(I.Developer.P4=TRUE,I.Facility.P4FacilityCount&gt;=601,F20613=""),"Incomplete","Complete")</f>
        <v>Complete</v>
      </c>
      <c r="I20613" s="48" t="s">
        <v>24978</v>
      </c>
    </row>
    <row r="20614" spans="2:9" ht="15" customHeight="1" x14ac:dyDescent="0.25">
      <c r="B20614" s="55" t="s">
        <v>283</v>
      </c>
      <c r="C20614" s="46">
        <v>602</v>
      </c>
      <c r="D20614" s="69" t="s">
        <v>29420</v>
      </c>
      <c r="E20614" s="51"/>
      <c r="F20614" s="114" t="str">
        <f>IF(INDEX(I.Facility.P4IDNumber,602)="","",INDEX(I.Facility.P4IDNumber,602))</f>
        <v/>
      </c>
      <c r="G20614" s="51"/>
      <c r="H20614" s="46" t="str">
        <f>IF(AND(I.Developer.P4=TRUE,I.Facility.P4FacilityCount&gt;=602,F20614=""),"Incomplete","Complete")</f>
        <v>Complete</v>
      </c>
      <c r="I20614" s="48" t="s">
        <v>24979</v>
      </c>
    </row>
    <row r="20615" spans="2:9" ht="15" customHeight="1" x14ac:dyDescent="0.25">
      <c r="B20615" s="55" t="s">
        <v>283</v>
      </c>
      <c r="C20615" s="46">
        <v>603</v>
      </c>
      <c r="D20615" s="69" t="s">
        <v>29420</v>
      </c>
      <c r="E20615" s="51"/>
      <c r="F20615" s="114" t="str">
        <f>IF(INDEX(I.Facility.P4IDNumber,603)="","",INDEX(I.Facility.P4IDNumber,603))</f>
        <v/>
      </c>
      <c r="G20615" s="51"/>
      <c r="H20615" s="46" t="str">
        <f>IF(AND(I.Developer.P4=TRUE,I.Facility.P4FacilityCount&gt;=603,F20615=""),"Incomplete","Complete")</f>
        <v>Complete</v>
      </c>
      <c r="I20615" s="48" t="s">
        <v>24980</v>
      </c>
    </row>
    <row r="20616" spans="2:9" ht="15" customHeight="1" x14ac:dyDescent="0.25">
      <c r="B20616" s="55" t="s">
        <v>283</v>
      </c>
      <c r="C20616" s="46">
        <v>604</v>
      </c>
      <c r="D20616" s="69" t="s">
        <v>29420</v>
      </c>
      <c r="E20616" s="51"/>
      <c r="F20616" s="114" t="str">
        <f>IF(INDEX(I.Facility.P4IDNumber,604)="","",INDEX(I.Facility.P4IDNumber,604))</f>
        <v/>
      </c>
      <c r="G20616" s="51"/>
      <c r="H20616" s="46" t="str">
        <f>IF(AND(I.Developer.P4=TRUE,I.Facility.P4FacilityCount&gt;=604,F20616=""),"Incomplete","Complete")</f>
        <v>Complete</v>
      </c>
      <c r="I20616" s="48" t="s">
        <v>24981</v>
      </c>
    </row>
    <row r="20617" spans="2:9" ht="15" customHeight="1" x14ac:dyDescent="0.25">
      <c r="B20617" s="55" t="s">
        <v>283</v>
      </c>
      <c r="C20617" s="46">
        <v>605</v>
      </c>
      <c r="D20617" s="69" t="s">
        <v>29420</v>
      </c>
      <c r="E20617" s="51"/>
      <c r="F20617" s="114" t="str">
        <f>IF(INDEX(I.Facility.P4IDNumber,605)="","",INDEX(I.Facility.P4IDNumber,605))</f>
        <v/>
      </c>
      <c r="G20617" s="51"/>
      <c r="H20617" s="46" t="str">
        <f>IF(AND(I.Developer.P4=TRUE,I.Facility.P4FacilityCount&gt;=605,F20617=""),"Incomplete","Complete")</f>
        <v>Complete</v>
      </c>
      <c r="I20617" s="48" t="s">
        <v>24982</v>
      </c>
    </row>
    <row r="20618" spans="2:9" ht="15" customHeight="1" x14ac:dyDescent="0.25">
      <c r="B20618" s="55" t="s">
        <v>283</v>
      </c>
      <c r="C20618" s="46">
        <v>606</v>
      </c>
      <c r="D20618" s="69" t="s">
        <v>29420</v>
      </c>
      <c r="E20618" s="51"/>
      <c r="F20618" s="114" t="str">
        <f>IF(INDEX(I.Facility.P4IDNumber,606)="","",INDEX(I.Facility.P4IDNumber,606))</f>
        <v/>
      </c>
      <c r="G20618" s="51"/>
      <c r="H20618" s="46" t="str">
        <f>IF(AND(I.Developer.P4=TRUE,I.Facility.P4FacilityCount&gt;=606,F20618=""),"Incomplete","Complete")</f>
        <v>Complete</v>
      </c>
      <c r="I20618" s="48" t="s">
        <v>24983</v>
      </c>
    </row>
    <row r="20619" spans="2:9" ht="15" customHeight="1" x14ac:dyDescent="0.25">
      <c r="B20619" s="55" t="s">
        <v>283</v>
      </c>
      <c r="C20619" s="46">
        <v>607</v>
      </c>
      <c r="D20619" s="69" t="s">
        <v>29420</v>
      </c>
      <c r="E20619" s="51"/>
      <c r="F20619" s="114" t="str">
        <f>IF(INDEX(I.Facility.P4IDNumber,607)="","",INDEX(I.Facility.P4IDNumber,607))</f>
        <v/>
      </c>
      <c r="G20619" s="51"/>
      <c r="H20619" s="46" t="str">
        <f>IF(AND(I.Developer.P4=TRUE,I.Facility.P4FacilityCount&gt;=607,F20619=""),"Incomplete","Complete")</f>
        <v>Complete</v>
      </c>
      <c r="I20619" s="48" t="s">
        <v>24984</v>
      </c>
    </row>
    <row r="20620" spans="2:9" ht="15" customHeight="1" x14ac:dyDescent="0.25">
      <c r="B20620" s="55" t="s">
        <v>283</v>
      </c>
      <c r="C20620" s="46">
        <v>608</v>
      </c>
      <c r="D20620" s="69" t="s">
        <v>29420</v>
      </c>
      <c r="E20620" s="51"/>
      <c r="F20620" s="114" t="str">
        <f>IF(INDEX(I.Facility.P4IDNumber,608)="","",INDEX(I.Facility.P4IDNumber,608))</f>
        <v/>
      </c>
      <c r="G20620" s="51"/>
      <c r="H20620" s="46" t="str">
        <f>IF(AND(I.Developer.P4=TRUE,I.Facility.P4FacilityCount&gt;=608,F20620=""),"Incomplete","Complete")</f>
        <v>Complete</v>
      </c>
      <c r="I20620" s="48" t="s">
        <v>24985</v>
      </c>
    </row>
    <row r="20621" spans="2:9" ht="15" customHeight="1" x14ac:dyDescent="0.25">
      <c r="B20621" s="55" t="s">
        <v>283</v>
      </c>
      <c r="C20621" s="46">
        <v>609</v>
      </c>
      <c r="D20621" s="69" t="s">
        <v>29420</v>
      </c>
      <c r="E20621" s="51"/>
      <c r="F20621" s="114" t="str">
        <f>IF(INDEX(I.Facility.P4IDNumber,609)="","",INDEX(I.Facility.P4IDNumber,609))</f>
        <v/>
      </c>
      <c r="G20621" s="51"/>
      <c r="H20621" s="46" t="str">
        <f>IF(AND(I.Developer.P4=TRUE,I.Facility.P4FacilityCount&gt;=609,F20621=""),"Incomplete","Complete")</f>
        <v>Complete</v>
      </c>
      <c r="I20621" s="48" t="s">
        <v>24986</v>
      </c>
    </row>
    <row r="20622" spans="2:9" ht="15" customHeight="1" x14ac:dyDescent="0.25">
      <c r="B20622" s="55" t="s">
        <v>283</v>
      </c>
      <c r="C20622" s="46">
        <v>610</v>
      </c>
      <c r="D20622" s="69" t="s">
        <v>29420</v>
      </c>
      <c r="E20622" s="51"/>
      <c r="F20622" s="114" t="str">
        <f>IF(INDEX(I.Facility.P4IDNumber,610)="","",INDEX(I.Facility.P4IDNumber,610))</f>
        <v/>
      </c>
      <c r="G20622" s="51"/>
      <c r="H20622" s="46" t="str">
        <f>IF(AND(I.Developer.P4=TRUE,I.Facility.P4FacilityCount&gt;=610,F20622=""),"Incomplete","Complete")</f>
        <v>Complete</v>
      </c>
      <c r="I20622" s="48" t="s">
        <v>24987</v>
      </c>
    </row>
    <row r="20623" spans="2:9" ht="15" customHeight="1" x14ac:dyDescent="0.25">
      <c r="B20623" s="55" t="s">
        <v>283</v>
      </c>
      <c r="C20623" s="46">
        <v>611</v>
      </c>
      <c r="D20623" s="69" t="s">
        <v>29420</v>
      </c>
      <c r="E20623" s="51"/>
      <c r="F20623" s="114" t="str">
        <f>IF(INDEX(I.Facility.P4IDNumber,611)="","",INDEX(I.Facility.P4IDNumber,611))</f>
        <v/>
      </c>
      <c r="G20623" s="51"/>
      <c r="H20623" s="46" t="str">
        <f>IF(AND(I.Developer.P4=TRUE,I.Facility.P4FacilityCount&gt;=611,F20623=""),"Incomplete","Complete")</f>
        <v>Complete</v>
      </c>
      <c r="I20623" s="48" t="s">
        <v>24988</v>
      </c>
    </row>
    <row r="20624" spans="2:9" ht="15" customHeight="1" x14ac:dyDescent="0.25">
      <c r="B20624" s="55" t="s">
        <v>283</v>
      </c>
      <c r="C20624" s="46">
        <v>612</v>
      </c>
      <c r="D20624" s="69" t="s">
        <v>29420</v>
      </c>
      <c r="E20624" s="51"/>
      <c r="F20624" s="114" t="str">
        <f>IF(INDEX(I.Facility.P4IDNumber,612)="","",INDEX(I.Facility.P4IDNumber,612))</f>
        <v/>
      </c>
      <c r="G20624" s="51"/>
      <c r="H20624" s="46" t="str">
        <f>IF(AND(I.Developer.P4=TRUE,I.Facility.P4FacilityCount&gt;=612,F20624=""),"Incomplete","Complete")</f>
        <v>Complete</v>
      </c>
      <c r="I20624" s="48" t="s">
        <v>24989</v>
      </c>
    </row>
    <row r="20625" spans="2:9" ht="15" customHeight="1" x14ac:dyDescent="0.25">
      <c r="B20625" s="55" t="s">
        <v>283</v>
      </c>
      <c r="C20625" s="46">
        <v>613</v>
      </c>
      <c r="D20625" s="69" t="s">
        <v>29420</v>
      </c>
      <c r="E20625" s="51"/>
      <c r="F20625" s="114" t="str">
        <f>IF(INDEX(I.Facility.P4IDNumber,613)="","",INDEX(I.Facility.P4IDNumber,613))</f>
        <v/>
      </c>
      <c r="G20625" s="51"/>
      <c r="H20625" s="46" t="str">
        <f>IF(AND(I.Developer.P4=TRUE,I.Facility.P4FacilityCount&gt;=613,F20625=""),"Incomplete","Complete")</f>
        <v>Complete</v>
      </c>
      <c r="I20625" s="48" t="s">
        <v>24990</v>
      </c>
    </row>
    <row r="20626" spans="2:9" ht="15" customHeight="1" x14ac:dyDescent="0.25">
      <c r="B20626" s="55" t="s">
        <v>283</v>
      </c>
      <c r="C20626" s="46">
        <v>614</v>
      </c>
      <c r="D20626" s="69" t="s">
        <v>29420</v>
      </c>
      <c r="E20626" s="51"/>
      <c r="F20626" s="114" t="str">
        <f>IF(INDEX(I.Facility.P4IDNumber,614)="","",INDEX(I.Facility.P4IDNumber,614))</f>
        <v/>
      </c>
      <c r="G20626" s="51"/>
      <c r="H20626" s="46" t="str">
        <f>IF(AND(I.Developer.P4=TRUE,I.Facility.P4FacilityCount&gt;=614,F20626=""),"Incomplete","Complete")</f>
        <v>Complete</v>
      </c>
      <c r="I20626" s="48" t="s">
        <v>24991</v>
      </c>
    </row>
    <row r="20627" spans="2:9" ht="15" customHeight="1" x14ac:dyDescent="0.25">
      <c r="B20627" s="55" t="s">
        <v>283</v>
      </c>
      <c r="C20627" s="46">
        <v>615</v>
      </c>
      <c r="D20627" s="69" t="s">
        <v>29420</v>
      </c>
      <c r="E20627" s="51"/>
      <c r="F20627" s="114" t="str">
        <f>IF(INDEX(I.Facility.P4IDNumber,615)="","",INDEX(I.Facility.P4IDNumber,615))</f>
        <v/>
      </c>
      <c r="G20627" s="51"/>
      <c r="H20627" s="46" t="str">
        <f>IF(AND(I.Developer.P4=TRUE,I.Facility.P4FacilityCount&gt;=615,F20627=""),"Incomplete","Complete")</f>
        <v>Complete</v>
      </c>
      <c r="I20627" s="48" t="s">
        <v>24992</v>
      </c>
    </row>
    <row r="20628" spans="2:9" ht="15" customHeight="1" x14ac:dyDescent="0.25">
      <c r="B20628" s="55" t="s">
        <v>283</v>
      </c>
      <c r="C20628" s="46">
        <v>616</v>
      </c>
      <c r="D20628" s="69" t="s">
        <v>29420</v>
      </c>
      <c r="E20628" s="51"/>
      <c r="F20628" s="114" t="str">
        <f>IF(INDEX(I.Facility.P4IDNumber,616)="","",INDEX(I.Facility.P4IDNumber,616))</f>
        <v/>
      </c>
      <c r="G20628" s="51"/>
      <c r="H20628" s="46" t="str">
        <f>IF(AND(I.Developer.P4=TRUE,I.Facility.P4FacilityCount&gt;=616,F20628=""),"Incomplete","Complete")</f>
        <v>Complete</v>
      </c>
      <c r="I20628" s="48" t="s">
        <v>24993</v>
      </c>
    </row>
    <row r="20629" spans="2:9" ht="15" customHeight="1" x14ac:dyDescent="0.25">
      <c r="B20629" s="55" t="s">
        <v>283</v>
      </c>
      <c r="C20629" s="46">
        <v>617</v>
      </c>
      <c r="D20629" s="69" t="s">
        <v>29420</v>
      </c>
      <c r="E20629" s="51"/>
      <c r="F20629" s="114" t="str">
        <f>IF(INDEX(I.Facility.P4IDNumber,617)="","",INDEX(I.Facility.P4IDNumber,617))</f>
        <v/>
      </c>
      <c r="G20629" s="51"/>
      <c r="H20629" s="46" t="str">
        <f>IF(AND(I.Developer.P4=TRUE,I.Facility.P4FacilityCount&gt;=617,F20629=""),"Incomplete","Complete")</f>
        <v>Complete</v>
      </c>
      <c r="I20629" s="48" t="s">
        <v>24994</v>
      </c>
    </row>
    <row r="20630" spans="2:9" ht="15" customHeight="1" x14ac:dyDescent="0.25">
      <c r="B20630" s="55" t="s">
        <v>283</v>
      </c>
      <c r="C20630" s="46">
        <v>618</v>
      </c>
      <c r="D20630" s="69" t="s">
        <v>29420</v>
      </c>
      <c r="E20630" s="51"/>
      <c r="F20630" s="114" t="str">
        <f>IF(INDEX(I.Facility.P4IDNumber,618)="","",INDEX(I.Facility.P4IDNumber,618))</f>
        <v/>
      </c>
      <c r="G20630" s="51"/>
      <c r="H20630" s="46" t="str">
        <f>IF(AND(I.Developer.P4=TRUE,I.Facility.P4FacilityCount&gt;=618,F20630=""),"Incomplete","Complete")</f>
        <v>Complete</v>
      </c>
      <c r="I20630" s="48" t="s">
        <v>24995</v>
      </c>
    </row>
    <row r="20631" spans="2:9" ht="15" customHeight="1" x14ac:dyDescent="0.25">
      <c r="B20631" s="55" t="s">
        <v>283</v>
      </c>
      <c r="C20631" s="46">
        <v>619</v>
      </c>
      <c r="D20631" s="69" t="s">
        <v>29420</v>
      </c>
      <c r="E20631" s="51"/>
      <c r="F20631" s="114" t="str">
        <f>IF(INDEX(I.Facility.P4IDNumber,619)="","",INDEX(I.Facility.P4IDNumber,619))</f>
        <v/>
      </c>
      <c r="G20631" s="51"/>
      <c r="H20631" s="46" t="str">
        <f>IF(AND(I.Developer.P4=TRUE,I.Facility.P4FacilityCount&gt;=619,F20631=""),"Incomplete","Complete")</f>
        <v>Complete</v>
      </c>
      <c r="I20631" s="48" t="s">
        <v>24996</v>
      </c>
    </row>
    <row r="20632" spans="2:9" ht="15" customHeight="1" x14ac:dyDescent="0.25">
      <c r="B20632" s="55" t="s">
        <v>283</v>
      </c>
      <c r="C20632" s="46">
        <v>620</v>
      </c>
      <c r="D20632" s="69" t="s">
        <v>29420</v>
      </c>
      <c r="E20632" s="51"/>
      <c r="F20632" s="114" t="str">
        <f>IF(INDEX(I.Facility.P4IDNumber,620)="","",INDEX(I.Facility.P4IDNumber,620))</f>
        <v/>
      </c>
      <c r="G20632" s="51"/>
      <c r="H20632" s="46" t="str">
        <f>IF(AND(I.Developer.P4=TRUE,I.Facility.P4FacilityCount&gt;=620,F20632=""),"Incomplete","Complete")</f>
        <v>Complete</v>
      </c>
      <c r="I20632" s="48" t="s">
        <v>24997</v>
      </c>
    </row>
    <row r="20633" spans="2:9" ht="15" customHeight="1" x14ac:dyDescent="0.25">
      <c r="B20633" s="55" t="s">
        <v>283</v>
      </c>
      <c r="C20633" s="46">
        <v>621</v>
      </c>
      <c r="D20633" s="69" t="s">
        <v>29420</v>
      </c>
      <c r="E20633" s="51"/>
      <c r="F20633" s="114" t="str">
        <f>IF(INDEX(I.Facility.P4IDNumber,621)="","",INDEX(I.Facility.P4IDNumber,621))</f>
        <v/>
      </c>
      <c r="G20633" s="51"/>
      <c r="H20633" s="46" t="str">
        <f>IF(AND(I.Developer.P4=TRUE,I.Facility.P4FacilityCount&gt;=621,F20633=""),"Incomplete","Complete")</f>
        <v>Complete</v>
      </c>
      <c r="I20633" s="48" t="s">
        <v>24998</v>
      </c>
    </row>
    <row r="20634" spans="2:9" ht="15" customHeight="1" x14ac:dyDescent="0.25">
      <c r="B20634" s="55" t="s">
        <v>283</v>
      </c>
      <c r="C20634" s="46">
        <v>622</v>
      </c>
      <c r="D20634" s="69" t="s">
        <v>29420</v>
      </c>
      <c r="E20634" s="51"/>
      <c r="F20634" s="114" t="str">
        <f>IF(INDEX(I.Facility.P4IDNumber,622)="","",INDEX(I.Facility.P4IDNumber,622))</f>
        <v/>
      </c>
      <c r="G20634" s="51"/>
      <c r="H20634" s="46" t="str">
        <f>IF(AND(I.Developer.P4=TRUE,I.Facility.P4FacilityCount&gt;=622,F20634=""),"Incomplete","Complete")</f>
        <v>Complete</v>
      </c>
      <c r="I20634" s="48" t="s">
        <v>24999</v>
      </c>
    </row>
    <row r="20635" spans="2:9" ht="15" customHeight="1" x14ac:dyDescent="0.25">
      <c r="B20635" s="55" t="s">
        <v>283</v>
      </c>
      <c r="C20635" s="46">
        <v>623</v>
      </c>
      <c r="D20635" s="69" t="s">
        <v>29420</v>
      </c>
      <c r="E20635" s="51"/>
      <c r="F20635" s="114" t="str">
        <f>IF(INDEX(I.Facility.P4IDNumber,623)="","",INDEX(I.Facility.P4IDNumber,623))</f>
        <v/>
      </c>
      <c r="G20635" s="51"/>
      <c r="H20635" s="46" t="str">
        <f>IF(AND(I.Developer.P4=TRUE,I.Facility.P4FacilityCount&gt;=623,F20635=""),"Incomplete","Complete")</f>
        <v>Complete</v>
      </c>
      <c r="I20635" s="48" t="s">
        <v>25000</v>
      </c>
    </row>
    <row r="20636" spans="2:9" ht="15" customHeight="1" x14ac:dyDescent="0.25">
      <c r="B20636" s="55" t="s">
        <v>283</v>
      </c>
      <c r="C20636" s="46">
        <v>624</v>
      </c>
      <c r="D20636" s="69" t="s">
        <v>29420</v>
      </c>
      <c r="E20636" s="51"/>
      <c r="F20636" s="114" t="str">
        <f>IF(INDEX(I.Facility.P4IDNumber,624)="","",INDEX(I.Facility.P4IDNumber,624))</f>
        <v/>
      </c>
      <c r="G20636" s="51"/>
      <c r="H20636" s="46" t="str">
        <f>IF(AND(I.Developer.P4=TRUE,I.Facility.P4FacilityCount&gt;=624,F20636=""),"Incomplete","Complete")</f>
        <v>Complete</v>
      </c>
      <c r="I20636" s="48" t="s">
        <v>25001</v>
      </c>
    </row>
    <row r="20637" spans="2:9" ht="15" customHeight="1" x14ac:dyDescent="0.25">
      <c r="B20637" s="55" t="s">
        <v>283</v>
      </c>
      <c r="C20637" s="46">
        <v>625</v>
      </c>
      <c r="D20637" s="69" t="s">
        <v>29420</v>
      </c>
      <c r="E20637" s="51"/>
      <c r="F20637" s="114" t="str">
        <f>IF(INDEX(I.Facility.P4IDNumber,625)="","",INDEX(I.Facility.P4IDNumber,625))</f>
        <v/>
      </c>
      <c r="G20637" s="51"/>
      <c r="H20637" s="46" t="str">
        <f>IF(AND(I.Developer.P4=TRUE,I.Facility.P4FacilityCount&gt;=625,F20637=""),"Incomplete","Complete")</f>
        <v>Complete</v>
      </c>
      <c r="I20637" s="48" t="s">
        <v>25002</v>
      </c>
    </row>
    <row r="20638" spans="2:9" ht="15" customHeight="1" x14ac:dyDescent="0.25">
      <c r="B20638" s="55" t="s">
        <v>283</v>
      </c>
      <c r="C20638" s="46">
        <v>626</v>
      </c>
      <c r="D20638" s="69" t="s">
        <v>29420</v>
      </c>
      <c r="E20638" s="51"/>
      <c r="F20638" s="114" t="str">
        <f>IF(INDEX(I.Facility.P4IDNumber,626)="","",INDEX(I.Facility.P4IDNumber,626))</f>
        <v/>
      </c>
      <c r="G20638" s="51"/>
      <c r="H20638" s="46" t="str">
        <f>IF(AND(I.Developer.P4=TRUE,I.Facility.P4FacilityCount&gt;=626,F20638=""),"Incomplete","Complete")</f>
        <v>Complete</v>
      </c>
      <c r="I20638" s="48" t="s">
        <v>25003</v>
      </c>
    </row>
    <row r="20639" spans="2:9" ht="15" customHeight="1" x14ac:dyDescent="0.25">
      <c r="B20639" s="55" t="s">
        <v>283</v>
      </c>
      <c r="C20639" s="46">
        <v>627</v>
      </c>
      <c r="D20639" s="69" t="s">
        <v>29420</v>
      </c>
      <c r="E20639" s="51"/>
      <c r="F20639" s="114" t="str">
        <f>IF(INDEX(I.Facility.P4IDNumber,627)="","",INDEX(I.Facility.P4IDNumber,627))</f>
        <v/>
      </c>
      <c r="G20639" s="51"/>
      <c r="H20639" s="46" t="str">
        <f>IF(AND(I.Developer.P4=TRUE,I.Facility.P4FacilityCount&gt;=627,F20639=""),"Incomplete","Complete")</f>
        <v>Complete</v>
      </c>
      <c r="I20639" s="48" t="s">
        <v>25004</v>
      </c>
    </row>
    <row r="20640" spans="2:9" ht="15" customHeight="1" x14ac:dyDescent="0.25">
      <c r="B20640" s="55" t="s">
        <v>283</v>
      </c>
      <c r="C20640" s="46">
        <v>628</v>
      </c>
      <c r="D20640" s="69" t="s">
        <v>29420</v>
      </c>
      <c r="E20640" s="51"/>
      <c r="F20640" s="114" t="str">
        <f>IF(INDEX(I.Facility.P4IDNumber,628)="","",INDEX(I.Facility.P4IDNumber,628))</f>
        <v/>
      </c>
      <c r="G20640" s="51"/>
      <c r="H20640" s="46" t="str">
        <f>IF(AND(I.Developer.P4=TRUE,I.Facility.P4FacilityCount&gt;=628,F20640=""),"Incomplete","Complete")</f>
        <v>Complete</v>
      </c>
      <c r="I20640" s="48" t="s">
        <v>25005</v>
      </c>
    </row>
    <row r="20641" spans="2:9" ht="15" customHeight="1" x14ac:dyDescent="0.25">
      <c r="B20641" s="55" t="s">
        <v>283</v>
      </c>
      <c r="C20641" s="46">
        <v>629</v>
      </c>
      <c r="D20641" s="69" t="s">
        <v>29420</v>
      </c>
      <c r="E20641" s="51"/>
      <c r="F20641" s="114" t="str">
        <f>IF(INDEX(I.Facility.P4IDNumber,629)="","",INDEX(I.Facility.P4IDNumber,629))</f>
        <v/>
      </c>
      <c r="G20641" s="51"/>
      <c r="H20641" s="46" t="str">
        <f>IF(AND(I.Developer.P4=TRUE,I.Facility.P4FacilityCount&gt;=629,F20641=""),"Incomplete","Complete")</f>
        <v>Complete</v>
      </c>
      <c r="I20641" s="48" t="s">
        <v>25006</v>
      </c>
    </row>
    <row r="20642" spans="2:9" ht="15" customHeight="1" x14ac:dyDescent="0.25">
      <c r="B20642" s="55" t="s">
        <v>283</v>
      </c>
      <c r="C20642" s="46">
        <v>630</v>
      </c>
      <c r="D20642" s="69" t="s">
        <v>29420</v>
      </c>
      <c r="E20642" s="51"/>
      <c r="F20642" s="114" t="str">
        <f>IF(INDEX(I.Facility.P4IDNumber,630)="","",INDEX(I.Facility.P4IDNumber,630))</f>
        <v/>
      </c>
      <c r="G20642" s="51"/>
      <c r="H20642" s="46" t="str">
        <f>IF(AND(I.Developer.P4=TRUE,I.Facility.P4FacilityCount&gt;=630,F20642=""),"Incomplete","Complete")</f>
        <v>Complete</v>
      </c>
      <c r="I20642" s="48" t="s">
        <v>25007</v>
      </c>
    </row>
    <row r="20643" spans="2:9" ht="15" customHeight="1" x14ac:dyDescent="0.25">
      <c r="B20643" s="55" t="s">
        <v>283</v>
      </c>
      <c r="C20643" s="46">
        <v>631</v>
      </c>
      <c r="D20643" s="69" t="s">
        <v>29420</v>
      </c>
      <c r="E20643" s="51"/>
      <c r="F20643" s="114" t="str">
        <f>IF(INDEX(I.Facility.P4IDNumber,631)="","",INDEX(I.Facility.P4IDNumber,631))</f>
        <v/>
      </c>
      <c r="G20643" s="51"/>
      <c r="H20643" s="46" t="str">
        <f>IF(AND(I.Developer.P4=TRUE,I.Facility.P4FacilityCount&gt;=631,F20643=""),"Incomplete","Complete")</f>
        <v>Complete</v>
      </c>
      <c r="I20643" s="48" t="s">
        <v>25008</v>
      </c>
    </row>
    <row r="20644" spans="2:9" ht="15" customHeight="1" x14ac:dyDescent="0.25">
      <c r="B20644" s="55" t="s">
        <v>283</v>
      </c>
      <c r="C20644" s="46">
        <v>632</v>
      </c>
      <c r="D20644" s="69" t="s">
        <v>29420</v>
      </c>
      <c r="E20644" s="51"/>
      <c r="F20644" s="114" t="str">
        <f>IF(INDEX(I.Facility.P4IDNumber,632)="","",INDEX(I.Facility.P4IDNumber,632))</f>
        <v/>
      </c>
      <c r="G20644" s="51"/>
      <c r="H20644" s="46" t="str">
        <f>IF(AND(I.Developer.P4=TRUE,I.Facility.P4FacilityCount&gt;=632,F20644=""),"Incomplete","Complete")</f>
        <v>Complete</v>
      </c>
      <c r="I20644" s="48" t="s">
        <v>25009</v>
      </c>
    </row>
    <row r="20645" spans="2:9" ht="15" customHeight="1" x14ac:dyDescent="0.25">
      <c r="B20645" s="55" t="s">
        <v>283</v>
      </c>
      <c r="C20645" s="46">
        <v>633</v>
      </c>
      <c r="D20645" s="69" t="s">
        <v>29420</v>
      </c>
      <c r="E20645" s="51"/>
      <c r="F20645" s="114" t="str">
        <f>IF(INDEX(I.Facility.P4IDNumber,633)="","",INDEX(I.Facility.P4IDNumber,633))</f>
        <v/>
      </c>
      <c r="G20645" s="51"/>
      <c r="H20645" s="46" t="str">
        <f>IF(AND(I.Developer.P4=TRUE,I.Facility.P4FacilityCount&gt;=633,F20645=""),"Incomplete","Complete")</f>
        <v>Complete</v>
      </c>
      <c r="I20645" s="48" t="s">
        <v>25010</v>
      </c>
    </row>
    <row r="20646" spans="2:9" ht="15" customHeight="1" x14ac:dyDescent="0.25">
      <c r="B20646" s="55" t="s">
        <v>283</v>
      </c>
      <c r="C20646" s="46">
        <v>634</v>
      </c>
      <c r="D20646" s="69" t="s">
        <v>29420</v>
      </c>
      <c r="E20646" s="51"/>
      <c r="F20646" s="114" t="str">
        <f>IF(INDEX(I.Facility.P4IDNumber,634)="","",INDEX(I.Facility.P4IDNumber,634))</f>
        <v/>
      </c>
      <c r="G20646" s="51"/>
      <c r="H20646" s="46" t="str">
        <f>IF(AND(I.Developer.P4=TRUE,I.Facility.P4FacilityCount&gt;=634,F20646=""),"Incomplete","Complete")</f>
        <v>Complete</v>
      </c>
      <c r="I20646" s="48" t="s">
        <v>25011</v>
      </c>
    </row>
    <row r="20647" spans="2:9" ht="15" customHeight="1" x14ac:dyDescent="0.25">
      <c r="B20647" s="55" t="s">
        <v>283</v>
      </c>
      <c r="C20647" s="46">
        <v>635</v>
      </c>
      <c r="D20647" s="69" t="s">
        <v>29420</v>
      </c>
      <c r="E20647" s="51"/>
      <c r="F20647" s="114" t="str">
        <f>IF(INDEX(I.Facility.P4IDNumber,635)="","",INDEX(I.Facility.P4IDNumber,635))</f>
        <v/>
      </c>
      <c r="G20647" s="51"/>
      <c r="H20647" s="46" t="str">
        <f>IF(AND(I.Developer.P4=TRUE,I.Facility.P4FacilityCount&gt;=635,F20647=""),"Incomplete","Complete")</f>
        <v>Complete</v>
      </c>
      <c r="I20647" s="48" t="s">
        <v>25012</v>
      </c>
    </row>
    <row r="20648" spans="2:9" ht="15" customHeight="1" x14ac:dyDescent="0.25">
      <c r="B20648" s="55" t="s">
        <v>283</v>
      </c>
      <c r="C20648" s="46">
        <v>636</v>
      </c>
      <c r="D20648" s="69" t="s">
        <v>29420</v>
      </c>
      <c r="E20648" s="51"/>
      <c r="F20648" s="114" t="str">
        <f>IF(INDEX(I.Facility.P4IDNumber,636)="","",INDEX(I.Facility.P4IDNumber,636))</f>
        <v/>
      </c>
      <c r="G20648" s="51"/>
      <c r="H20648" s="46" t="str">
        <f>IF(AND(I.Developer.P4=TRUE,I.Facility.P4FacilityCount&gt;=636,F20648=""),"Incomplete","Complete")</f>
        <v>Complete</v>
      </c>
      <c r="I20648" s="48" t="s">
        <v>25013</v>
      </c>
    </row>
    <row r="20649" spans="2:9" ht="15" customHeight="1" x14ac:dyDescent="0.25">
      <c r="B20649" s="55" t="s">
        <v>283</v>
      </c>
      <c r="C20649" s="46">
        <v>637</v>
      </c>
      <c r="D20649" s="69" t="s">
        <v>29420</v>
      </c>
      <c r="E20649" s="51"/>
      <c r="F20649" s="114" t="str">
        <f>IF(INDEX(I.Facility.P4IDNumber,637)="","",INDEX(I.Facility.P4IDNumber,637))</f>
        <v/>
      </c>
      <c r="G20649" s="51"/>
      <c r="H20649" s="46" t="str">
        <f>IF(AND(I.Developer.P4=TRUE,I.Facility.P4FacilityCount&gt;=637,F20649=""),"Incomplete","Complete")</f>
        <v>Complete</v>
      </c>
      <c r="I20649" s="48" t="s">
        <v>25014</v>
      </c>
    </row>
    <row r="20650" spans="2:9" ht="15" customHeight="1" x14ac:dyDescent="0.25">
      <c r="B20650" s="55" t="s">
        <v>283</v>
      </c>
      <c r="C20650" s="46">
        <v>638</v>
      </c>
      <c r="D20650" s="69" t="s">
        <v>29420</v>
      </c>
      <c r="E20650" s="51"/>
      <c r="F20650" s="114" t="str">
        <f>IF(INDEX(I.Facility.P4IDNumber,638)="","",INDEX(I.Facility.P4IDNumber,638))</f>
        <v/>
      </c>
      <c r="G20650" s="51"/>
      <c r="H20650" s="46" t="str">
        <f>IF(AND(I.Developer.P4=TRUE,I.Facility.P4FacilityCount&gt;=638,F20650=""),"Incomplete","Complete")</f>
        <v>Complete</v>
      </c>
      <c r="I20650" s="48" t="s">
        <v>25015</v>
      </c>
    </row>
    <row r="20651" spans="2:9" ht="15" customHeight="1" x14ac:dyDescent="0.25">
      <c r="B20651" s="55" t="s">
        <v>283</v>
      </c>
      <c r="C20651" s="46">
        <v>639</v>
      </c>
      <c r="D20651" s="69" t="s">
        <v>29420</v>
      </c>
      <c r="E20651" s="51"/>
      <c r="F20651" s="114" t="str">
        <f>IF(INDEX(I.Facility.P4IDNumber,639)="","",INDEX(I.Facility.P4IDNumber,639))</f>
        <v/>
      </c>
      <c r="G20651" s="51"/>
      <c r="H20651" s="46" t="str">
        <f>IF(AND(I.Developer.P4=TRUE,I.Facility.P4FacilityCount&gt;=639,F20651=""),"Incomplete","Complete")</f>
        <v>Complete</v>
      </c>
      <c r="I20651" s="48" t="s">
        <v>25016</v>
      </c>
    </row>
    <row r="20652" spans="2:9" ht="15" customHeight="1" x14ac:dyDescent="0.25">
      <c r="B20652" s="55" t="s">
        <v>283</v>
      </c>
      <c r="C20652" s="46">
        <v>640</v>
      </c>
      <c r="D20652" s="69" t="s">
        <v>29420</v>
      </c>
      <c r="E20652" s="51"/>
      <c r="F20652" s="114" t="str">
        <f>IF(INDEX(I.Facility.P4IDNumber,640)="","",INDEX(I.Facility.P4IDNumber,640))</f>
        <v/>
      </c>
      <c r="G20652" s="51"/>
      <c r="H20652" s="46" t="str">
        <f>IF(AND(I.Developer.P4=TRUE,I.Facility.P4FacilityCount&gt;=640,F20652=""),"Incomplete","Complete")</f>
        <v>Complete</v>
      </c>
      <c r="I20652" s="48" t="s">
        <v>25017</v>
      </c>
    </row>
    <row r="20653" spans="2:9" ht="15" customHeight="1" x14ac:dyDescent="0.25">
      <c r="B20653" s="55" t="s">
        <v>283</v>
      </c>
      <c r="C20653" s="46">
        <v>641</v>
      </c>
      <c r="D20653" s="69" t="s">
        <v>29420</v>
      </c>
      <c r="E20653" s="51"/>
      <c r="F20653" s="114" t="str">
        <f>IF(INDEX(I.Facility.P4IDNumber,641)="","",INDEX(I.Facility.P4IDNumber,641))</f>
        <v/>
      </c>
      <c r="G20653" s="51"/>
      <c r="H20653" s="46" t="str">
        <f>IF(AND(I.Developer.P4=TRUE,I.Facility.P4FacilityCount&gt;=641,F20653=""),"Incomplete","Complete")</f>
        <v>Complete</v>
      </c>
      <c r="I20653" s="48" t="s">
        <v>25018</v>
      </c>
    </row>
    <row r="20654" spans="2:9" ht="15" customHeight="1" x14ac:dyDescent="0.25">
      <c r="B20654" s="55" t="s">
        <v>283</v>
      </c>
      <c r="C20654" s="46">
        <v>642</v>
      </c>
      <c r="D20654" s="69" t="s">
        <v>29420</v>
      </c>
      <c r="E20654" s="51"/>
      <c r="F20654" s="114" t="str">
        <f>IF(INDEX(I.Facility.P4IDNumber,642)="","",INDEX(I.Facility.P4IDNumber,642))</f>
        <v/>
      </c>
      <c r="G20654" s="51"/>
      <c r="H20654" s="46" t="str">
        <f>IF(AND(I.Developer.P4=TRUE,I.Facility.P4FacilityCount&gt;=642,F20654=""),"Incomplete","Complete")</f>
        <v>Complete</v>
      </c>
      <c r="I20654" s="48" t="s">
        <v>25019</v>
      </c>
    </row>
    <row r="20655" spans="2:9" ht="15" customHeight="1" x14ac:dyDescent="0.25">
      <c r="B20655" s="55" t="s">
        <v>283</v>
      </c>
      <c r="C20655" s="46">
        <v>643</v>
      </c>
      <c r="D20655" s="69" t="s">
        <v>29420</v>
      </c>
      <c r="E20655" s="51"/>
      <c r="F20655" s="114" t="str">
        <f>IF(INDEX(I.Facility.P4IDNumber,643)="","",INDEX(I.Facility.P4IDNumber,643))</f>
        <v/>
      </c>
      <c r="G20655" s="51"/>
      <c r="H20655" s="46" t="str">
        <f>IF(AND(I.Developer.P4=TRUE,I.Facility.P4FacilityCount&gt;=643,F20655=""),"Incomplete","Complete")</f>
        <v>Complete</v>
      </c>
      <c r="I20655" s="48" t="s">
        <v>25020</v>
      </c>
    </row>
    <row r="20656" spans="2:9" ht="15" customHeight="1" x14ac:dyDescent="0.25">
      <c r="B20656" s="55" t="s">
        <v>283</v>
      </c>
      <c r="C20656" s="46">
        <v>644</v>
      </c>
      <c r="D20656" s="69" t="s">
        <v>29420</v>
      </c>
      <c r="E20656" s="51"/>
      <c r="F20656" s="114" t="str">
        <f>IF(INDEX(I.Facility.P4IDNumber,644)="","",INDEX(I.Facility.P4IDNumber,644))</f>
        <v/>
      </c>
      <c r="G20656" s="51"/>
      <c r="H20656" s="46" t="str">
        <f>IF(AND(I.Developer.P4=TRUE,I.Facility.P4FacilityCount&gt;=644,F20656=""),"Incomplete","Complete")</f>
        <v>Complete</v>
      </c>
      <c r="I20656" s="48" t="s">
        <v>25021</v>
      </c>
    </row>
    <row r="20657" spans="2:9" ht="15" customHeight="1" x14ac:dyDescent="0.25">
      <c r="B20657" s="55" t="s">
        <v>283</v>
      </c>
      <c r="C20657" s="46">
        <v>645</v>
      </c>
      <c r="D20657" s="69" t="s">
        <v>29420</v>
      </c>
      <c r="E20657" s="51"/>
      <c r="F20657" s="114" t="str">
        <f>IF(INDEX(I.Facility.P4IDNumber,645)="","",INDEX(I.Facility.P4IDNumber,645))</f>
        <v/>
      </c>
      <c r="G20657" s="51"/>
      <c r="H20657" s="46" t="str">
        <f>IF(AND(I.Developer.P4=TRUE,I.Facility.P4FacilityCount&gt;=645,F20657=""),"Incomplete","Complete")</f>
        <v>Complete</v>
      </c>
      <c r="I20657" s="48" t="s">
        <v>25022</v>
      </c>
    </row>
    <row r="20658" spans="2:9" ht="15" customHeight="1" x14ac:dyDescent="0.25">
      <c r="B20658" s="55" t="s">
        <v>283</v>
      </c>
      <c r="C20658" s="46">
        <v>646</v>
      </c>
      <c r="D20658" s="69" t="s">
        <v>29420</v>
      </c>
      <c r="E20658" s="51"/>
      <c r="F20658" s="114" t="str">
        <f>IF(INDEX(I.Facility.P4IDNumber,646)="","",INDEX(I.Facility.P4IDNumber,646))</f>
        <v/>
      </c>
      <c r="G20658" s="51"/>
      <c r="H20658" s="46" t="str">
        <f>IF(AND(I.Developer.P4=TRUE,I.Facility.P4FacilityCount&gt;=646,F20658=""),"Incomplete","Complete")</f>
        <v>Complete</v>
      </c>
      <c r="I20658" s="48" t="s">
        <v>25023</v>
      </c>
    </row>
    <row r="20659" spans="2:9" ht="15" customHeight="1" x14ac:dyDescent="0.25">
      <c r="B20659" s="55" t="s">
        <v>283</v>
      </c>
      <c r="C20659" s="46">
        <v>647</v>
      </c>
      <c r="D20659" s="69" t="s">
        <v>29420</v>
      </c>
      <c r="E20659" s="51"/>
      <c r="F20659" s="114" t="str">
        <f>IF(INDEX(I.Facility.P4IDNumber,647)="","",INDEX(I.Facility.P4IDNumber,647))</f>
        <v/>
      </c>
      <c r="G20659" s="51"/>
      <c r="H20659" s="46" t="str">
        <f>IF(AND(I.Developer.P4=TRUE,I.Facility.P4FacilityCount&gt;=647,F20659=""),"Incomplete","Complete")</f>
        <v>Complete</v>
      </c>
      <c r="I20659" s="48" t="s">
        <v>25024</v>
      </c>
    </row>
    <row r="20660" spans="2:9" ht="15" customHeight="1" x14ac:dyDescent="0.25">
      <c r="B20660" s="55" t="s">
        <v>283</v>
      </c>
      <c r="C20660" s="46">
        <v>648</v>
      </c>
      <c r="D20660" s="69" t="s">
        <v>29420</v>
      </c>
      <c r="E20660" s="51"/>
      <c r="F20660" s="114" t="str">
        <f>IF(INDEX(I.Facility.P4IDNumber,648)="","",INDEX(I.Facility.P4IDNumber,648))</f>
        <v/>
      </c>
      <c r="G20660" s="51"/>
      <c r="H20660" s="46" t="str">
        <f>IF(AND(I.Developer.P4=TRUE,I.Facility.P4FacilityCount&gt;=648,F20660=""),"Incomplete","Complete")</f>
        <v>Complete</v>
      </c>
      <c r="I20660" s="48" t="s">
        <v>25025</v>
      </c>
    </row>
    <row r="20661" spans="2:9" ht="15" customHeight="1" x14ac:dyDescent="0.25">
      <c r="B20661" s="55" t="s">
        <v>283</v>
      </c>
      <c r="C20661" s="46">
        <v>649</v>
      </c>
      <c r="D20661" s="69" t="s">
        <v>29420</v>
      </c>
      <c r="E20661" s="51"/>
      <c r="F20661" s="114" t="str">
        <f>IF(INDEX(I.Facility.P4IDNumber,649)="","",INDEX(I.Facility.P4IDNumber,649))</f>
        <v/>
      </c>
      <c r="G20661" s="51"/>
      <c r="H20661" s="46" t="str">
        <f>IF(AND(I.Developer.P4=TRUE,I.Facility.P4FacilityCount&gt;=649,F20661=""),"Incomplete","Complete")</f>
        <v>Complete</v>
      </c>
      <c r="I20661" s="48" t="s">
        <v>25026</v>
      </c>
    </row>
    <row r="20662" spans="2:9" ht="15" customHeight="1" x14ac:dyDescent="0.25">
      <c r="B20662" s="55" t="s">
        <v>283</v>
      </c>
      <c r="C20662" s="46">
        <v>650</v>
      </c>
      <c r="D20662" s="69" t="s">
        <v>29420</v>
      </c>
      <c r="E20662" s="51"/>
      <c r="F20662" s="114" t="str">
        <f>IF(INDEX(I.Facility.P4IDNumber,650)="","",INDEX(I.Facility.P4IDNumber,650))</f>
        <v/>
      </c>
      <c r="G20662" s="51"/>
      <c r="H20662" s="46" t="str">
        <f>IF(AND(I.Developer.P4=TRUE,I.Facility.P4FacilityCount&gt;=650,F20662=""),"Incomplete","Complete")</f>
        <v>Complete</v>
      </c>
      <c r="I20662" s="48" t="s">
        <v>25027</v>
      </c>
    </row>
    <row r="20663" spans="2:9" ht="15" customHeight="1" x14ac:dyDescent="0.25">
      <c r="B20663" s="55" t="s">
        <v>283</v>
      </c>
      <c r="C20663" s="46">
        <v>651</v>
      </c>
      <c r="D20663" s="69" t="s">
        <v>29420</v>
      </c>
      <c r="E20663" s="51"/>
      <c r="F20663" s="114" t="str">
        <f>IF(INDEX(I.Facility.P4IDNumber,651)="","",INDEX(I.Facility.P4IDNumber,651))</f>
        <v/>
      </c>
      <c r="G20663" s="51"/>
      <c r="H20663" s="46" t="str">
        <f>IF(AND(I.Developer.P4=TRUE,I.Facility.P4FacilityCount&gt;=651,F20663=""),"Incomplete","Complete")</f>
        <v>Complete</v>
      </c>
      <c r="I20663" s="48" t="s">
        <v>25028</v>
      </c>
    </row>
    <row r="20664" spans="2:9" ht="15" customHeight="1" x14ac:dyDescent="0.25">
      <c r="B20664" s="55" t="s">
        <v>283</v>
      </c>
      <c r="C20664" s="46">
        <v>652</v>
      </c>
      <c r="D20664" s="69" t="s">
        <v>29420</v>
      </c>
      <c r="E20664" s="51"/>
      <c r="F20664" s="114" t="str">
        <f>IF(INDEX(I.Facility.P4IDNumber,652)="","",INDEX(I.Facility.P4IDNumber,652))</f>
        <v/>
      </c>
      <c r="G20664" s="51"/>
      <c r="H20664" s="46" t="str">
        <f>IF(AND(I.Developer.P4=TRUE,I.Facility.P4FacilityCount&gt;=652,F20664=""),"Incomplete","Complete")</f>
        <v>Complete</v>
      </c>
      <c r="I20664" s="48" t="s">
        <v>25029</v>
      </c>
    </row>
    <row r="20665" spans="2:9" ht="15" customHeight="1" x14ac:dyDescent="0.25">
      <c r="B20665" s="55" t="s">
        <v>283</v>
      </c>
      <c r="C20665" s="46">
        <v>653</v>
      </c>
      <c r="D20665" s="69" t="s">
        <v>29420</v>
      </c>
      <c r="E20665" s="51"/>
      <c r="F20665" s="114" t="str">
        <f>IF(INDEX(I.Facility.P4IDNumber,653)="","",INDEX(I.Facility.P4IDNumber,653))</f>
        <v/>
      </c>
      <c r="G20665" s="51"/>
      <c r="H20665" s="46" t="str">
        <f>IF(AND(I.Developer.P4=TRUE,I.Facility.P4FacilityCount&gt;=653,F20665=""),"Incomplete","Complete")</f>
        <v>Complete</v>
      </c>
      <c r="I20665" s="48" t="s">
        <v>25030</v>
      </c>
    </row>
    <row r="20666" spans="2:9" ht="15" customHeight="1" x14ac:dyDescent="0.25">
      <c r="B20666" s="55" t="s">
        <v>283</v>
      </c>
      <c r="C20666" s="46">
        <v>654</v>
      </c>
      <c r="D20666" s="69" t="s">
        <v>29420</v>
      </c>
      <c r="E20666" s="51"/>
      <c r="F20666" s="114" t="str">
        <f>IF(INDEX(I.Facility.P4IDNumber,654)="","",INDEX(I.Facility.P4IDNumber,654))</f>
        <v/>
      </c>
      <c r="G20666" s="51"/>
      <c r="H20666" s="46" t="str">
        <f>IF(AND(I.Developer.P4=TRUE,I.Facility.P4FacilityCount&gt;=654,F20666=""),"Incomplete","Complete")</f>
        <v>Complete</v>
      </c>
      <c r="I20666" s="48" t="s">
        <v>25031</v>
      </c>
    </row>
    <row r="20667" spans="2:9" ht="15" customHeight="1" x14ac:dyDescent="0.25">
      <c r="B20667" s="55" t="s">
        <v>283</v>
      </c>
      <c r="C20667" s="46">
        <v>655</v>
      </c>
      <c r="D20667" s="69" t="s">
        <v>29420</v>
      </c>
      <c r="E20667" s="51"/>
      <c r="F20667" s="114" t="str">
        <f>IF(INDEX(I.Facility.P4IDNumber,655)="","",INDEX(I.Facility.P4IDNumber,655))</f>
        <v/>
      </c>
      <c r="G20667" s="51"/>
      <c r="H20667" s="46" t="str">
        <f>IF(AND(I.Developer.P4=TRUE,I.Facility.P4FacilityCount&gt;=655,F20667=""),"Incomplete","Complete")</f>
        <v>Complete</v>
      </c>
      <c r="I20667" s="48" t="s">
        <v>25032</v>
      </c>
    </row>
    <row r="20668" spans="2:9" ht="15" customHeight="1" x14ac:dyDescent="0.25">
      <c r="B20668" s="55" t="s">
        <v>283</v>
      </c>
      <c r="C20668" s="46">
        <v>656</v>
      </c>
      <c r="D20668" s="69" t="s">
        <v>29420</v>
      </c>
      <c r="E20668" s="51"/>
      <c r="F20668" s="114" t="str">
        <f>IF(INDEX(I.Facility.P4IDNumber,656)="","",INDEX(I.Facility.P4IDNumber,656))</f>
        <v/>
      </c>
      <c r="G20668" s="51"/>
      <c r="H20668" s="46" t="str">
        <f>IF(AND(I.Developer.P4=TRUE,I.Facility.P4FacilityCount&gt;=656,F20668=""),"Incomplete","Complete")</f>
        <v>Complete</v>
      </c>
      <c r="I20668" s="48" t="s">
        <v>25033</v>
      </c>
    </row>
    <row r="20669" spans="2:9" ht="15" customHeight="1" x14ac:dyDescent="0.25">
      <c r="B20669" s="55" t="s">
        <v>283</v>
      </c>
      <c r="C20669" s="46">
        <v>657</v>
      </c>
      <c r="D20669" s="69" t="s">
        <v>29420</v>
      </c>
      <c r="E20669" s="51"/>
      <c r="F20669" s="114" t="str">
        <f>IF(INDEX(I.Facility.P4IDNumber,657)="","",INDEX(I.Facility.P4IDNumber,657))</f>
        <v/>
      </c>
      <c r="G20669" s="51"/>
      <c r="H20669" s="46" t="str">
        <f>IF(AND(I.Developer.P4=TRUE,I.Facility.P4FacilityCount&gt;=657,F20669=""),"Incomplete","Complete")</f>
        <v>Complete</v>
      </c>
      <c r="I20669" s="48" t="s">
        <v>25034</v>
      </c>
    </row>
    <row r="20670" spans="2:9" ht="15" customHeight="1" x14ac:dyDescent="0.25">
      <c r="B20670" s="55" t="s">
        <v>283</v>
      </c>
      <c r="C20670" s="46">
        <v>658</v>
      </c>
      <c r="D20670" s="69" t="s">
        <v>29420</v>
      </c>
      <c r="E20670" s="51"/>
      <c r="F20670" s="114" t="str">
        <f>IF(INDEX(I.Facility.P4IDNumber,658)="","",INDEX(I.Facility.P4IDNumber,658))</f>
        <v/>
      </c>
      <c r="G20670" s="51"/>
      <c r="H20670" s="46" t="str">
        <f>IF(AND(I.Developer.P4=TRUE,I.Facility.P4FacilityCount&gt;=658,F20670=""),"Incomplete","Complete")</f>
        <v>Complete</v>
      </c>
      <c r="I20670" s="48" t="s">
        <v>25035</v>
      </c>
    </row>
    <row r="20671" spans="2:9" ht="15" customHeight="1" x14ac:dyDescent="0.25">
      <c r="B20671" s="55" t="s">
        <v>283</v>
      </c>
      <c r="C20671" s="46">
        <v>659</v>
      </c>
      <c r="D20671" s="69" t="s">
        <v>29420</v>
      </c>
      <c r="E20671" s="51"/>
      <c r="F20671" s="114" t="str">
        <f>IF(INDEX(I.Facility.P4IDNumber,659)="","",INDEX(I.Facility.P4IDNumber,659))</f>
        <v/>
      </c>
      <c r="G20671" s="51"/>
      <c r="H20671" s="46" t="str">
        <f>IF(AND(I.Developer.P4=TRUE,I.Facility.P4FacilityCount&gt;=659,F20671=""),"Incomplete","Complete")</f>
        <v>Complete</v>
      </c>
      <c r="I20671" s="48" t="s">
        <v>25036</v>
      </c>
    </row>
    <row r="20672" spans="2:9" ht="15" customHeight="1" x14ac:dyDescent="0.25">
      <c r="B20672" s="55" t="s">
        <v>283</v>
      </c>
      <c r="C20672" s="46">
        <v>660</v>
      </c>
      <c r="D20672" s="69" t="s">
        <v>29420</v>
      </c>
      <c r="E20672" s="51"/>
      <c r="F20672" s="114" t="str">
        <f>IF(INDEX(I.Facility.P4IDNumber,660)="","",INDEX(I.Facility.P4IDNumber,660))</f>
        <v/>
      </c>
      <c r="G20672" s="51"/>
      <c r="H20672" s="46" t="str">
        <f>IF(AND(I.Developer.P4=TRUE,I.Facility.P4FacilityCount&gt;=660,F20672=""),"Incomplete","Complete")</f>
        <v>Complete</v>
      </c>
      <c r="I20672" s="48" t="s">
        <v>25037</v>
      </c>
    </row>
    <row r="20673" spans="2:9" ht="15" customHeight="1" x14ac:dyDescent="0.25">
      <c r="B20673" s="55" t="s">
        <v>283</v>
      </c>
      <c r="C20673" s="46">
        <v>661</v>
      </c>
      <c r="D20673" s="69" t="s">
        <v>29420</v>
      </c>
      <c r="E20673" s="51"/>
      <c r="F20673" s="114" t="str">
        <f>IF(INDEX(I.Facility.P4IDNumber,661)="","",INDEX(I.Facility.P4IDNumber,661))</f>
        <v/>
      </c>
      <c r="G20673" s="51"/>
      <c r="H20673" s="46" t="str">
        <f>IF(AND(I.Developer.P4=TRUE,I.Facility.P4FacilityCount&gt;=661,F20673=""),"Incomplete","Complete")</f>
        <v>Complete</v>
      </c>
      <c r="I20673" s="48" t="s">
        <v>25038</v>
      </c>
    </row>
    <row r="20674" spans="2:9" ht="15" customHeight="1" x14ac:dyDescent="0.25">
      <c r="B20674" s="55" t="s">
        <v>283</v>
      </c>
      <c r="C20674" s="46">
        <v>662</v>
      </c>
      <c r="D20674" s="69" t="s">
        <v>29420</v>
      </c>
      <c r="E20674" s="51"/>
      <c r="F20674" s="114" t="str">
        <f>IF(INDEX(I.Facility.P4IDNumber,662)="","",INDEX(I.Facility.P4IDNumber,662))</f>
        <v/>
      </c>
      <c r="G20674" s="51"/>
      <c r="H20674" s="46" t="str">
        <f>IF(AND(I.Developer.P4=TRUE,I.Facility.P4FacilityCount&gt;=662,F20674=""),"Incomplete","Complete")</f>
        <v>Complete</v>
      </c>
      <c r="I20674" s="48" t="s">
        <v>25039</v>
      </c>
    </row>
    <row r="20675" spans="2:9" ht="15" customHeight="1" x14ac:dyDescent="0.25">
      <c r="B20675" s="55" t="s">
        <v>283</v>
      </c>
      <c r="C20675" s="46">
        <v>663</v>
      </c>
      <c r="D20675" s="69" t="s">
        <v>29420</v>
      </c>
      <c r="E20675" s="51"/>
      <c r="F20675" s="114" t="str">
        <f>IF(INDEX(I.Facility.P4IDNumber,663)="","",INDEX(I.Facility.P4IDNumber,663))</f>
        <v/>
      </c>
      <c r="G20675" s="51"/>
      <c r="H20675" s="46" t="str">
        <f>IF(AND(I.Developer.P4=TRUE,I.Facility.P4FacilityCount&gt;=663,F20675=""),"Incomplete","Complete")</f>
        <v>Complete</v>
      </c>
      <c r="I20675" s="48" t="s">
        <v>25040</v>
      </c>
    </row>
    <row r="20676" spans="2:9" ht="15" customHeight="1" x14ac:dyDescent="0.25">
      <c r="B20676" s="55" t="s">
        <v>283</v>
      </c>
      <c r="C20676" s="46">
        <v>664</v>
      </c>
      <c r="D20676" s="69" t="s">
        <v>29420</v>
      </c>
      <c r="E20676" s="51"/>
      <c r="F20676" s="114" t="str">
        <f>IF(INDEX(I.Facility.P4IDNumber,664)="","",INDEX(I.Facility.P4IDNumber,664))</f>
        <v/>
      </c>
      <c r="G20676" s="51"/>
      <c r="H20676" s="46" t="str">
        <f>IF(AND(I.Developer.P4=TRUE,I.Facility.P4FacilityCount&gt;=664,F20676=""),"Incomplete","Complete")</f>
        <v>Complete</v>
      </c>
      <c r="I20676" s="48" t="s">
        <v>25041</v>
      </c>
    </row>
    <row r="20677" spans="2:9" ht="15" customHeight="1" x14ac:dyDescent="0.25">
      <c r="B20677" s="55" t="s">
        <v>283</v>
      </c>
      <c r="C20677" s="46">
        <v>665</v>
      </c>
      <c r="D20677" s="69" t="s">
        <v>29420</v>
      </c>
      <c r="E20677" s="51"/>
      <c r="F20677" s="114" t="str">
        <f>IF(INDEX(I.Facility.P4IDNumber,665)="","",INDEX(I.Facility.P4IDNumber,665))</f>
        <v/>
      </c>
      <c r="G20677" s="51"/>
      <c r="H20677" s="46" t="str">
        <f>IF(AND(I.Developer.P4=TRUE,I.Facility.P4FacilityCount&gt;=665,F20677=""),"Incomplete","Complete")</f>
        <v>Complete</v>
      </c>
      <c r="I20677" s="48" t="s">
        <v>25042</v>
      </c>
    </row>
    <row r="20678" spans="2:9" ht="15" customHeight="1" x14ac:dyDescent="0.25">
      <c r="B20678" s="55" t="s">
        <v>283</v>
      </c>
      <c r="C20678" s="46">
        <v>666</v>
      </c>
      <c r="D20678" s="69" t="s">
        <v>29420</v>
      </c>
      <c r="E20678" s="51"/>
      <c r="F20678" s="114" t="str">
        <f>IF(INDEX(I.Facility.P4IDNumber,666)="","",INDEX(I.Facility.P4IDNumber,666))</f>
        <v/>
      </c>
      <c r="G20678" s="51"/>
      <c r="H20678" s="46" t="str">
        <f>IF(AND(I.Developer.P4=TRUE,I.Facility.P4FacilityCount&gt;=666,F20678=""),"Incomplete","Complete")</f>
        <v>Complete</v>
      </c>
      <c r="I20678" s="48" t="s">
        <v>25043</v>
      </c>
    </row>
    <row r="20679" spans="2:9" ht="15" customHeight="1" x14ac:dyDescent="0.25">
      <c r="B20679" s="55" t="s">
        <v>283</v>
      </c>
      <c r="C20679" s="46">
        <v>667</v>
      </c>
      <c r="D20679" s="69" t="s">
        <v>29420</v>
      </c>
      <c r="E20679" s="51"/>
      <c r="F20679" s="114" t="str">
        <f>IF(INDEX(I.Facility.P4IDNumber,667)="","",INDEX(I.Facility.P4IDNumber,667))</f>
        <v/>
      </c>
      <c r="G20679" s="51"/>
      <c r="H20679" s="46" t="str">
        <f>IF(AND(I.Developer.P4=TRUE,I.Facility.P4FacilityCount&gt;=667,F20679=""),"Incomplete","Complete")</f>
        <v>Complete</v>
      </c>
      <c r="I20679" s="48" t="s">
        <v>25044</v>
      </c>
    </row>
    <row r="20680" spans="2:9" ht="15" customHeight="1" x14ac:dyDescent="0.25">
      <c r="B20680" s="55" t="s">
        <v>283</v>
      </c>
      <c r="C20680" s="46">
        <v>668</v>
      </c>
      <c r="D20680" s="69" t="s">
        <v>29420</v>
      </c>
      <c r="E20680" s="51"/>
      <c r="F20680" s="114" t="str">
        <f>IF(INDEX(I.Facility.P4IDNumber,668)="","",INDEX(I.Facility.P4IDNumber,668))</f>
        <v/>
      </c>
      <c r="G20680" s="51"/>
      <c r="H20680" s="46" t="str">
        <f>IF(AND(I.Developer.P4=TRUE,I.Facility.P4FacilityCount&gt;=668,F20680=""),"Incomplete","Complete")</f>
        <v>Complete</v>
      </c>
      <c r="I20680" s="48" t="s">
        <v>25045</v>
      </c>
    </row>
    <row r="20681" spans="2:9" ht="15" customHeight="1" x14ac:dyDescent="0.25">
      <c r="B20681" s="55" t="s">
        <v>283</v>
      </c>
      <c r="C20681" s="46">
        <v>669</v>
      </c>
      <c r="D20681" s="69" t="s">
        <v>29420</v>
      </c>
      <c r="E20681" s="51"/>
      <c r="F20681" s="114" t="str">
        <f>IF(INDEX(I.Facility.P4IDNumber,669)="","",INDEX(I.Facility.P4IDNumber,669))</f>
        <v/>
      </c>
      <c r="G20681" s="51"/>
      <c r="H20681" s="46" t="str">
        <f>IF(AND(I.Developer.P4=TRUE,I.Facility.P4FacilityCount&gt;=669,F20681=""),"Incomplete","Complete")</f>
        <v>Complete</v>
      </c>
      <c r="I20681" s="48" t="s">
        <v>25046</v>
      </c>
    </row>
    <row r="20682" spans="2:9" ht="15" customHeight="1" x14ac:dyDescent="0.25">
      <c r="B20682" s="55" t="s">
        <v>283</v>
      </c>
      <c r="C20682" s="46">
        <v>670</v>
      </c>
      <c r="D20682" s="69" t="s">
        <v>29420</v>
      </c>
      <c r="E20682" s="51"/>
      <c r="F20682" s="114" t="str">
        <f>IF(INDEX(I.Facility.P4IDNumber,670)="","",INDEX(I.Facility.P4IDNumber,670))</f>
        <v/>
      </c>
      <c r="G20682" s="51"/>
      <c r="H20682" s="46" t="str">
        <f>IF(AND(I.Developer.P4=TRUE,I.Facility.P4FacilityCount&gt;=670,F20682=""),"Incomplete","Complete")</f>
        <v>Complete</v>
      </c>
      <c r="I20682" s="48" t="s">
        <v>25047</v>
      </c>
    </row>
    <row r="20683" spans="2:9" ht="15" customHeight="1" x14ac:dyDescent="0.25">
      <c r="B20683" s="55" t="s">
        <v>283</v>
      </c>
      <c r="C20683" s="46">
        <v>671</v>
      </c>
      <c r="D20683" s="69" t="s">
        <v>29420</v>
      </c>
      <c r="E20683" s="51"/>
      <c r="F20683" s="114" t="str">
        <f>IF(INDEX(I.Facility.P4IDNumber,671)="","",INDEX(I.Facility.P4IDNumber,671))</f>
        <v/>
      </c>
      <c r="G20683" s="51"/>
      <c r="H20683" s="46" t="str">
        <f>IF(AND(I.Developer.P4=TRUE,I.Facility.P4FacilityCount&gt;=671,F20683=""),"Incomplete","Complete")</f>
        <v>Complete</v>
      </c>
      <c r="I20683" s="48" t="s">
        <v>25048</v>
      </c>
    </row>
    <row r="20684" spans="2:9" ht="15" customHeight="1" x14ac:dyDescent="0.25">
      <c r="B20684" s="55" t="s">
        <v>283</v>
      </c>
      <c r="C20684" s="46">
        <v>672</v>
      </c>
      <c r="D20684" s="69" t="s">
        <v>29420</v>
      </c>
      <c r="E20684" s="51"/>
      <c r="F20684" s="114" t="str">
        <f>IF(INDEX(I.Facility.P4IDNumber,672)="","",INDEX(I.Facility.P4IDNumber,672))</f>
        <v/>
      </c>
      <c r="G20684" s="51"/>
      <c r="H20684" s="46" t="str">
        <f>IF(AND(I.Developer.P4=TRUE,I.Facility.P4FacilityCount&gt;=672,F20684=""),"Incomplete","Complete")</f>
        <v>Complete</v>
      </c>
      <c r="I20684" s="48" t="s">
        <v>25049</v>
      </c>
    </row>
    <row r="20685" spans="2:9" ht="15" customHeight="1" x14ac:dyDescent="0.25">
      <c r="B20685" s="55" t="s">
        <v>283</v>
      </c>
      <c r="C20685" s="46">
        <v>673</v>
      </c>
      <c r="D20685" s="69" t="s">
        <v>29420</v>
      </c>
      <c r="E20685" s="51"/>
      <c r="F20685" s="114" t="str">
        <f>IF(INDEX(I.Facility.P4IDNumber,673)="","",INDEX(I.Facility.P4IDNumber,673))</f>
        <v/>
      </c>
      <c r="G20685" s="51"/>
      <c r="H20685" s="46" t="str">
        <f>IF(AND(I.Developer.P4=TRUE,I.Facility.P4FacilityCount&gt;=673,F20685=""),"Incomplete","Complete")</f>
        <v>Complete</v>
      </c>
      <c r="I20685" s="48" t="s">
        <v>25050</v>
      </c>
    </row>
    <row r="20686" spans="2:9" ht="15" customHeight="1" x14ac:dyDescent="0.25">
      <c r="B20686" s="55" t="s">
        <v>283</v>
      </c>
      <c r="C20686" s="46">
        <v>674</v>
      </c>
      <c r="D20686" s="69" t="s">
        <v>29420</v>
      </c>
      <c r="E20686" s="51"/>
      <c r="F20686" s="114" t="str">
        <f>IF(INDEX(I.Facility.P4IDNumber,674)="","",INDEX(I.Facility.P4IDNumber,674))</f>
        <v/>
      </c>
      <c r="G20686" s="51"/>
      <c r="H20686" s="46" t="str">
        <f>IF(AND(I.Developer.P4=TRUE,I.Facility.P4FacilityCount&gt;=674,F20686=""),"Incomplete","Complete")</f>
        <v>Complete</v>
      </c>
      <c r="I20686" s="48" t="s">
        <v>25051</v>
      </c>
    </row>
    <row r="20687" spans="2:9" ht="15" customHeight="1" x14ac:dyDescent="0.25">
      <c r="B20687" s="55" t="s">
        <v>283</v>
      </c>
      <c r="C20687" s="46">
        <v>675</v>
      </c>
      <c r="D20687" s="69" t="s">
        <v>29420</v>
      </c>
      <c r="E20687" s="51"/>
      <c r="F20687" s="114" t="str">
        <f>IF(INDEX(I.Facility.P4IDNumber,675)="","",INDEX(I.Facility.P4IDNumber,675))</f>
        <v/>
      </c>
      <c r="G20687" s="51"/>
      <c r="H20687" s="46" t="str">
        <f>IF(AND(I.Developer.P4=TRUE,I.Facility.P4FacilityCount&gt;=675,F20687=""),"Incomplete","Complete")</f>
        <v>Complete</v>
      </c>
      <c r="I20687" s="48" t="s">
        <v>25052</v>
      </c>
    </row>
    <row r="20688" spans="2:9" ht="15" customHeight="1" x14ac:dyDescent="0.25">
      <c r="B20688" s="55" t="s">
        <v>283</v>
      </c>
      <c r="C20688" s="46">
        <v>676</v>
      </c>
      <c r="D20688" s="69" t="s">
        <v>29420</v>
      </c>
      <c r="E20688" s="51"/>
      <c r="F20688" s="114" t="str">
        <f>IF(INDEX(I.Facility.P4IDNumber,676)="","",INDEX(I.Facility.P4IDNumber,676))</f>
        <v/>
      </c>
      <c r="G20688" s="51"/>
      <c r="H20688" s="46" t="str">
        <f>IF(AND(I.Developer.P4=TRUE,I.Facility.P4FacilityCount&gt;=676,F20688=""),"Incomplete","Complete")</f>
        <v>Complete</v>
      </c>
      <c r="I20688" s="48" t="s">
        <v>25053</v>
      </c>
    </row>
    <row r="20689" spans="2:9" ht="15" customHeight="1" x14ac:dyDescent="0.25">
      <c r="B20689" s="55" t="s">
        <v>283</v>
      </c>
      <c r="C20689" s="46">
        <v>677</v>
      </c>
      <c r="D20689" s="69" t="s">
        <v>29420</v>
      </c>
      <c r="E20689" s="51"/>
      <c r="F20689" s="114" t="str">
        <f>IF(INDEX(I.Facility.P4IDNumber,677)="","",INDEX(I.Facility.P4IDNumber,677))</f>
        <v/>
      </c>
      <c r="G20689" s="51"/>
      <c r="H20689" s="46" t="str">
        <f>IF(AND(I.Developer.P4=TRUE,I.Facility.P4FacilityCount&gt;=677,F20689=""),"Incomplete","Complete")</f>
        <v>Complete</v>
      </c>
      <c r="I20689" s="48" t="s">
        <v>25054</v>
      </c>
    </row>
    <row r="20690" spans="2:9" ht="15" customHeight="1" x14ac:dyDescent="0.25">
      <c r="B20690" s="55" t="s">
        <v>283</v>
      </c>
      <c r="C20690" s="46">
        <v>678</v>
      </c>
      <c r="D20690" s="69" t="s">
        <v>29420</v>
      </c>
      <c r="E20690" s="51"/>
      <c r="F20690" s="114" t="str">
        <f>IF(INDEX(I.Facility.P4IDNumber,678)="","",INDEX(I.Facility.P4IDNumber,678))</f>
        <v/>
      </c>
      <c r="G20690" s="51"/>
      <c r="H20690" s="46" t="str">
        <f>IF(AND(I.Developer.P4=TRUE,I.Facility.P4FacilityCount&gt;=678,F20690=""),"Incomplete","Complete")</f>
        <v>Complete</v>
      </c>
      <c r="I20690" s="48" t="s">
        <v>25055</v>
      </c>
    </row>
    <row r="20691" spans="2:9" ht="15" customHeight="1" x14ac:dyDescent="0.25">
      <c r="B20691" s="55" t="s">
        <v>283</v>
      </c>
      <c r="C20691" s="46">
        <v>679</v>
      </c>
      <c r="D20691" s="69" t="s">
        <v>29420</v>
      </c>
      <c r="E20691" s="51"/>
      <c r="F20691" s="114" t="str">
        <f>IF(INDEX(I.Facility.P4IDNumber,679)="","",INDEX(I.Facility.P4IDNumber,679))</f>
        <v/>
      </c>
      <c r="G20691" s="51"/>
      <c r="H20691" s="46" t="str">
        <f>IF(AND(I.Developer.P4=TRUE,I.Facility.P4FacilityCount&gt;=679,F20691=""),"Incomplete","Complete")</f>
        <v>Complete</v>
      </c>
      <c r="I20691" s="48" t="s">
        <v>25056</v>
      </c>
    </row>
    <row r="20692" spans="2:9" ht="15" customHeight="1" x14ac:dyDescent="0.25">
      <c r="B20692" s="55" t="s">
        <v>283</v>
      </c>
      <c r="C20692" s="46">
        <v>680</v>
      </c>
      <c r="D20692" s="69" t="s">
        <v>29420</v>
      </c>
      <c r="E20692" s="51"/>
      <c r="F20692" s="114" t="str">
        <f>IF(INDEX(I.Facility.P4IDNumber,680)="","",INDEX(I.Facility.P4IDNumber,680))</f>
        <v/>
      </c>
      <c r="G20692" s="51"/>
      <c r="H20692" s="46" t="str">
        <f>IF(AND(I.Developer.P4=TRUE,I.Facility.P4FacilityCount&gt;=680,F20692=""),"Incomplete","Complete")</f>
        <v>Complete</v>
      </c>
      <c r="I20692" s="48" t="s">
        <v>25057</v>
      </c>
    </row>
    <row r="20693" spans="2:9" ht="15" customHeight="1" x14ac:dyDescent="0.25">
      <c r="B20693" s="55" t="s">
        <v>283</v>
      </c>
      <c r="C20693" s="46">
        <v>681</v>
      </c>
      <c r="D20693" s="69" t="s">
        <v>29420</v>
      </c>
      <c r="E20693" s="51"/>
      <c r="F20693" s="114" t="str">
        <f>IF(INDEX(I.Facility.P4IDNumber,681)="","",INDEX(I.Facility.P4IDNumber,681))</f>
        <v/>
      </c>
      <c r="G20693" s="51"/>
      <c r="H20693" s="46" t="str">
        <f>IF(AND(I.Developer.P4=TRUE,I.Facility.P4FacilityCount&gt;=681,F20693=""),"Incomplete","Complete")</f>
        <v>Complete</v>
      </c>
      <c r="I20693" s="48" t="s">
        <v>25058</v>
      </c>
    </row>
    <row r="20694" spans="2:9" ht="15" customHeight="1" x14ac:dyDescent="0.25">
      <c r="B20694" s="55" t="s">
        <v>283</v>
      </c>
      <c r="C20694" s="46">
        <v>682</v>
      </c>
      <c r="D20694" s="69" t="s">
        <v>29420</v>
      </c>
      <c r="E20694" s="51"/>
      <c r="F20694" s="114" t="str">
        <f>IF(INDEX(I.Facility.P4IDNumber,682)="","",INDEX(I.Facility.P4IDNumber,682))</f>
        <v/>
      </c>
      <c r="G20694" s="51"/>
      <c r="H20694" s="46" t="str">
        <f>IF(AND(I.Developer.P4=TRUE,I.Facility.P4FacilityCount&gt;=682,F20694=""),"Incomplete","Complete")</f>
        <v>Complete</v>
      </c>
      <c r="I20694" s="48" t="s">
        <v>25059</v>
      </c>
    </row>
    <row r="20695" spans="2:9" ht="15" customHeight="1" x14ac:dyDescent="0.25">
      <c r="B20695" s="55" t="s">
        <v>283</v>
      </c>
      <c r="C20695" s="46">
        <v>683</v>
      </c>
      <c r="D20695" s="69" t="s">
        <v>29420</v>
      </c>
      <c r="E20695" s="51"/>
      <c r="F20695" s="114" t="str">
        <f>IF(INDEX(I.Facility.P4IDNumber,683)="","",INDEX(I.Facility.P4IDNumber,683))</f>
        <v/>
      </c>
      <c r="G20695" s="51"/>
      <c r="H20695" s="46" t="str">
        <f>IF(AND(I.Developer.P4=TRUE,I.Facility.P4FacilityCount&gt;=683,F20695=""),"Incomplete","Complete")</f>
        <v>Complete</v>
      </c>
      <c r="I20695" s="48" t="s">
        <v>25060</v>
      </c>
    </row>
    <row r="20696" spans="2:9" ht="15" customHeight="1" x14ac:dyDescent="0.25">
      <c r="B20696" s="55" t="s">
        <v>283</v>
      </c>
      <c r="C20696" s="46">
        <v>684</v>
      </c>
      <c r="D20696" s="69" t="s">
        <v>29420</v>
      </c>
      <c r="E20696" s="51"/>
      <c r="F20696" s="114" t="str">
        <f>IF(INDEX(I.Facility.P4IDNumber,684)="","",INDEX(I.Facility.P4IDNumber,684))</f>
        <v/>
      </c>
      <c r="G20696" s="51"/>
      <c r="H20696" s="46" t="str">
        <f>IF(AND(I.Developer.P4=TRUE,I.Facility.P4FacilityCount&gt;=684,F20696=""),"Incomplete","Complete")</f>
        <v>Complete</v>
      </c>
      <c r="I20696" s="48" t="s">
        <v>25061</v>
      </c>
    </row>
    <row r="20697" spans="2:9" ht="15" customHeight="1" x14ac:dyDescent="0.25">
      <c r="B20697" s="55" t="s">
        <v>283</v>
      </c>
      <c r="C20697" s="46">
        <v>685</v>
      </c>
      <c r="D20697" s="69" t="s">
        <v>29420</v>
      </c>
      <c r="E20697" s="51"/>
      <c r="F20697" s="114" t="str">
        <f>IF(INDEX(I.Facility.P4IDNumber,685)="","",INDEX(I.Facility.P4IDNumber,685))</f>
        <v/>
      </c>
      <c r="G20697" s="51"/>
      <c r="H20697" s="46" t="str">
        <f>IF(AND(I.Developer.P4=TRUE,I.Facility.P4FacilityCount&gt;=685,F20697=""),"Incomplete","Complete")</f>
        <v>Complete</v>
      </c>
      <c r="I20697" s="48" t="s">
        <v>25062</v>
      </c>
    </row>
    <row r="20698" spans="2:9" ht="15" customHeight="1" x14ac:dyDescent="0.25">
      <c r="B20698" s="55" t="s">
        <v>283</v>
      </c>
      <c r="C20698" s="46">
        <v>686</v>
      </c>
      <c r="D20698" s="69" t="s">
        <v>29420</v>
      </c>
      <c r="E20698" s="51"/>
      <c r="F20698" s="114" t="str">
        <f>IF(INDEX(I.Facility.P4IDNumber,686)="","",INDEX(I.Facility.P4IDNumber,686))</f>
        <v/>
      </c>
      <c r="G20698" s="51"/>
      <c r="H20698" s="46" t="str">
        <f>IF(AND(I.Developer.P4=TRUE,I.Facility.P4FacilityCount&gt;=686,F20698=""),"Incomplete","Complete")</f>
        <v>Complete</v>
      </c>
      <c r="I20698" s="48" t="s">
        <v>25063</v>
      </c>
    </row>
    <row r="20699" spans="2:9" ht="15" customHeight="1" x14ac:dyDescent="0.25">
      <c r="B20699" s="55" t="s">
        <v>283</v>
      </c>
      <c r="C20699" s="46">
        <v>687</v>
      </c>
      <c r="D20699" s="69" t="s">
        <v>29420</v>
      </c>
      <c r="E20699" s="51"/>
      <c r="F20699" s="114" t="str">
        <f>IF(INDEX(I.Facility.P4IDNumber,687)="","",INDEX(I.Facility.P4IDNumber,687))</f>
        <v/>
      </c>
      <c r="G20699" s="51"/>
      <c r="H20699" s="46" t="str">
        <f>IF(AND(I.Developer.P4=TRUE,I.Facility.P4FacilityCount&gt;=687,F20699=""),"Incomplete","Complete")</f>
        <v>Complete</v>
      </c>
      <c r="I20699" s="48" t="s">
        <v>25064</v>
      </c>
    </row>
    <row r="20700" spans="2:9" ht="15" customHeight="1" x14ac:dyDescent="0.25">
      <c r="B20700" s="55" t="s">
        <v>283</v>
      </c>
      <c r="C20700" s="46">
        <v>688</v>
      </c>
      <c r="D20700" s="69" t="s">
        <v>29420</v>
      </c>
      <c r="E20700" s="51"/>
      <c r="F20700" s="114" t="str">
        <f>IF(INDEX(I.Facility.P4IDNumber,688)="","",INDEX(I.Facility.P4IDNumber,688))</f>
        <v/>
      </c>
      <c r="G20700" s="51"/>
      <c r="H20700" s="46" t="str">
        <f>IF(AND(I.Developer.P4=TRUE,I.Facility.P4FacilityCount&gt;=688,F20700=""),"Incomplete","Complete")</f>
        <v>Complete</v>
      </c>
      <c r="I20700" s="48" t="s">
        <v>25065</v>
      </c>
    </row>
    <row r="20701" spans="2:9" ht="15" customHeight="1" x14ac:dyDescent="0.25">
      <c r="B20701" s="55" t="s">
        <v>283</v>
      </c>
      <c r="C20701" s="46">
        <v>689</v>
      </c>
      <c r="D20701" s="69" t="s">
        <v>29420</v>
      </c>
      <c r="E20701" s="51"/>
      <c r="F20701" s="114" t="str">
        <f>IF(INDEX(I.Facility.P4IDNumber,689)="","",INDEX(I.Facility.P4IDNumber,689))</f>
        <v/>
      </c>
      <c r="G20701" s="51"/>
      <c r="H20701" s="46" t="str">
        <f>IF(AND(I.Developer.P4=TRUE,I.Facility.P4FacilityCount&gt;=689,F20701=""),"Incomplete","Complete")</f>
        <v>Complete</v>
      </c>
      <c r="I20701" s="48" t="s">
        <v>25066</v>
      </c>
    </row>
    <row r="20702" spans="2:9" ht="15" customHeight="1" x14ac:dyDescent="0.25">
      <c r="B20702" s="55" t="s">
        <v>283</v>
      </c>
      <c r="C20702" s="46">
        <v>690</v>
      </c>
      <c r="D20702" s="69" t="s">
        <v>29420</v>
      </c>
      <c r="E20702" s="51"/>
      <c r="F20702" s="114" t="str">
        <f>IF(INDEX(I.Facility.P4IDNumber,690)="","",INDEX(I.Facility.P4IDNumber,690))</f>
        <v/>
      </c>
      <c r="G20702" s="51"/>
      <c r="H20702" s="46" t="str">
        <f>IF(AND(I.Developer.P4=TRUE,I.Facility.P4FacilityCount&gt;=690,F20702=""),"Incomplete","Complete")</f>
        <v>Complete</v>
      </c>
      <c r="I20702" s="48" t="s">
        <v>25067</v>
      </c>
    </row>
    <row r="20703" spans="2:9" ht="15" customHeight="1" x14ac:dyDescent="0.25">
      <c r="B20703" s="55" t="s">
        <v>283</v>
      </c>
      <c r="C20703" s="46">
        <v>691</v>
      </c>
      <c r="D20703" s="69" t="s">
        <v>29420</v>
      </c>
      <c r="E20703" s="51"/>
      <c r="F20703" s="114" t="str">
        <f>IF(INDEX(I.Facility.P4IDNumber,691)="","",INDEX(I.Facility.P4IDNumber,691))</f>
        <v/>
      </c>
      <c r="G20703" s="51"/>
      <c r="H20703" s="46" t="str">
        <f>IF(AND(I.Developer.P4=TRUE,I.Facility.P4FacilityCount&gt;=691,F20703=""),"Incomplete","Complete")</f>
        <v>Complete</v>
      </c>
      <c r="I20703" s="48" t="s">
        <v>25068</v>
      </c>
    </row>
    <row r="20704" spans="2:9" ht="15" customHeight="1" x14ac:dyDescent="0.25">
      <c r="B20704" s="55" t="s">
        <v>283</v>
      </c>
      <c r="C20704" s="46">
        <v>692</v>
      </c>
      <c r="D20704" s="69" t="s">
        <v>29420</v>
      </c>
      <c r="E20704" s="51"/>
      <c r="F20704" s="114" t="str">
        <f>IF(INDEX(I.Facility.P4IDNumber,692)="","",INDEX(I.Facility.P4IDNumber,692))</f>
        <v/>
      </c>
      <c r="G20704" s="51"/>
      <c r="H20704" s="46" t="str">
        <f>IF(AND(I.Developer.P4=TRUE,I.Facility.P4FacilityCount&gt;=692,F20704=""),"Incomplete","Complete")</f>
        <v>Complete</v>
      </c>
      <c r="I20704" s="48" t="s">
        <v>25069</v>
      </c>
    </row>
    <row r="20705" spans="2:9" ht="15" customHeight="1" x14ac:dyDescent="0.25">
      <c r="B20705" s="55" t="s">
        <v>283</v>
      </c>
      <c r="C20705" s="46">
        <v>693</v>
      </c>
      <c r="D20705" s="69" t="s">
        <v>29420</v>
      </c>
      <c r="E20705" s="51"/>
      <c r="F20705" s="114" t="str">
        <f>IF(INDEX(I.Facility.P4IDNumber,693)="","",INDEX(I.Facility.P4IDNumber,693))</f>
        <v/>
      </c>
      <c r="G20705" s="51"/>
      <c r="H20705" s="46" t="str">
        <f>IF(AND(I.Developer.P4=TRUE,I.Facility.P4FacilityCount&gt;=693,F20705=""),"Incomplete","Complete")</f>
        <v>Complete</v>
      </c>
      <c r="I20705" s="48" t="s">
        <v>25070</v>
      </c>
    </row>
    <row r="20706" spans="2:9" ht="15" customHeight="1" x14ac:dyDescent="0.25">
      <c r="B20706" s="55" t="s">
        <v>283</v>
      </c>
      <c r="C20706" s="46">
        <v>694</v>
      </c>
      <c r="D20706" s="69" t="s">
        <v>29420</v>
      </c>
      <c r="E20706" s="51"/>
      <c r="F20706" s="114" t="str">
        <f>IF(INDEX(I.Facility.P4IDNumber,694)="","",INDEX(I.Facility.P4IDNumber,694))</f>
        <v/>
      </c>
      <c r="G20706" s="51"/>
      <c r="H20706" s="46" t="str">
        <f>IF(AND(I.Developer.P4=TRUE,I.Facility.P4FacilityCount&gt;=694,F20706=""),"Incomplete","Complete")</f>
        <v>Complete</v>
      </c>
      <c r="I20706" s="48" t="s">
        <v>25071</v>
      </c>
    </row>
    <row r="20707" spans="2:9" ht="15" customHeight="1" x14ac:dyDescent="0.25">
      <c r="B20707" s="55" t="s">
        <v>283</v>
      </c>
      <c r="C20707" s="46">
        <v>695</v>
      </c>
      <c r="D20707" s="69" t="s">
        <v>29420</v>
      </c>
      <c r="E20707" s="51"/>
      <c r="F20707" s="114" t="str">
        <f>IF(INDEX(I.Facility.P4IDNumber,695)="","",INDEX(I.Facility.P4IDNumber,695))</f>
        <v/>
      </c>
      <c r="G20707" s="51"/>
      <c r="H20707" s="46" t="str">
        <f>IF(AND(I.Developer.P4=TRUE,I.Facility.P4FacilityCount&gt;=695,F20707=""),"Incomplete","Complete")</f>
        <v>Complete</v>
      </c>
      <c r="I20707" s="48" t="s">
        <v>25072</v>
      </c>
    </row>
    <row r="20708" spans="2:9" ht="15" customHeight="1" x14ac:dyDescent="0.25">
      <c r="B20708" s="55" t="s">
        <v>283</v>
      </c>
      <c r="C20708" s="46">
        <v>696</v>
      </c>
      <c r="D20708" s="69" t="s">
        <v>29420</v>
      </c>
      <c r="E20708" s="51"/>
      <c r="F20708" s="114" t="str">
        <f>IF(INDEX(I.Facility.P4IDNumber,696)="","",INDEX(I.Facility.P4IDNumber,696))</f>
        <v/>
      </c>
      <c r="G20708" s="51"/>
      <c r="H20708" s="46" t="str">
        <f>IF(AND(I.Developer.P4=TRUE,I.Facility.P4FacilityCount&gt;=696,F20708=""),"Incomplete","Complete")</f>
        <v>Complete</v>
      </c>
      <c r="I20708" s="48" t="s">
        <v>25073</v>
      </c>
    </row>
    <row r="20709" spans="2:9" ht="15" customHeight="1" x14ac:dyDescent="0.25">
      <c r="B20709" s="55" t="s">
        <v>283</v>
      </c>
      <c r="C20709" s="46">
        <v>697</v>
      </c>
      <c r="D20709" s="69" t="s">
        <v>29420</v>
      </c>
      <c r="E20709" s="51"/>
      <c r="F20709" s="114" t="str">
        <f>IF(INDEX(I.Facility.P4IDNumber,697)="","",INDEX(I.Facility.P4IDNumber,697))</f>
        <v/>
      </c>
      <c r="G20709" s="51"/>
      <c r="H20709" s="46" t="str">
        <f>IF(AND(I.Developer.P4=TRUE,I.Facility.P4FacilityCount&gt;=697,F20709=""),"Incomplete","Complete")</f>
        <v>Complete</v>
      </c>
      <c r="I20709" s="48" t="s">
        <v>25074</v>
      </c>
    </row>
    <row r="20710" spans="2:9" ht="15" customHeight="1" x14ac:dyDescent="0.25">
      <c r="B20710" s="55" t="s">
        <v>283</v>
      </c>
      <c r="C20710" s="46">
        <v>698</v>
      </c>
      <c r="D20710" s="69" t="s">
        <v>29420</v>
      </c>
      <c r="E20710" s="51"/>
      <c r="F20710" s="114" t="str">
        <f>IF(INDEX(I.Facility.P4IDNumber,698)="","",INDEX(I.Facility.P4IDNumber,698))</f>
        <v/>
      </c>
      <c r="G20710" s="51"/>
      <c r="H20710" s="46" t="str">
        <f>IF(AND(I.Developer.P4=TRUE,I.Facility.P4FacilityCount&gt;=698,F20710=""),"Incomplete","Complete")</f>
        <v>Complete</v>
      </c>
      <c r="I20710" s="48" t="s">
        <v>25075</v>
      </c>
    </row>
    <row r="20711" spans="2:9" ht="15" customHeight="1" x14ac:dyDescent="0.25">
      <c r="B20711" s="55" t="s">
        <v>283</v>
      </c>
      <c r="C20711" s="46">
        <v>699</v>
      </c>
      <c r="D20711" s="69" t="s">
        <v>29420</v>
      </c>
      <c r="E20711" s="51"/>
      <c r="F20711" s="114" t="str">
        <f>IF(INDEX(I.Facility.P4IDNumber,699)="","",INDEX(I.Facility.P4IDNumber,699))</f>
        <v/>
      </c>
      <c r="G20711" s="51"/>
      <c r="H20711" s="46" t="str">
        <f>IF(AND(I.Developer.P4=TRUE,I.Facility.P4FacilityCount&gt;=699,F20711=""),"Incomplete","Complete")</f>
        <v>Complete</v>
      </c>
      <c r="I20711" s="48" t="s">
        <v>25076</v>
      </c>
    </row>
    <row r="20712" spans="2:9" ht="15" customHeight="1" x14ac:dyDescent="0.25">
      <c r="B20712" s="55" t="s">
        <v>283</v>
      </c>
      <c r="C20712" s="46">
        <v>700</v>
      </c>
      <c r="D20712" s="69" t="s">
        <v>29420</v>
      </c>
      <c r="E20712" s="51"/>
      <c r="F20712" s="114" t="str">
        <f>IF(INDEX(I.Facility.P4IDNumber,700)="","",INDEX(I.Facility.P4IDNumber,700))</f>
        <v/>
      </c>
      <c r="G20712" s="51"/>
      <c r="H20712" s="46" t="str">
        <f>IF(AND(I.Developer.P4=TRUE,I.Facility.P4FacilityCount&gt;=700,F20712=""),"Incomplete","Complete")</f>
        <v>Complete</v>
      </c>
      <c r="I20712" s="48" t="s">
        <v>25077</v>
      </c>
    </row>
    <row r="20713" spans="2:9" ht="15" customHeight="1" x14ac:dyDescent="0.25">
      <c r="B20713" s="55" t="s">
        <v>283</v>
      </c>
      <c r="C20713" s="46">
        <v>701</v>
      </c>
      <c r="D20713" s="69" t="s">
        <v>29420</v>
      </c>
      <c r="E20713" s="51"/>
      <c r="F20713" s="114" t="str">
        <f>IF(INDEX(I.Facility.P4IDNumber,701)="","",INDEX(I.Facility.P4IDNumber,701))</f>
        <v/>
      </c>
      <c r="G20713" s="51"/>
      <c r="H20713" s="46" t="str">
        <f>IF(AND(I.Developer.P4=TRUE,I.Facility.P4FacilityCount&gt;=701,F20713=""),"Incomplete","Complete")</f>
        <v>Complete</v>
      </c>
      <c r="I20713" s="48" t="s">
        <v>25078</v>
      </c>
    </row>
    <row r="20714" spans="2:9" ht="15" customHeight="1" x14ac:dyDescent="0.25">
      <c r="B20714" s="55" t="s">
        <v>283</v>
      </c>
      <c r="C20714" s="46">
        <v>702</v>
      </c>
      <c r="D20714" s="69" t="s">
        <v>29420</v>
      </c>
      <c r="E20714" s="51"/>
      <c r="F20714" s="114" t="str">
        <f>IF(INDEX(I.Facility.P4IDNumber,702)="","",INDEX(I.Facility.P4IDNumber,702))</f>
        <v/>
      </c>
      <c r="G20714" s="51"/>
      <c r="H20714" s="46" t="str">
        <f>IF(AND(I.Developer.P4=TRUE,I.Facility.P4FacilityCount&gt;=702,F20714=""),"Incomplete","Complete")</f>
        <v>Complete</v>
      </c>
      <c r="I20714" s="48" t="s">
        <v>25079</v>
      </c>
    </row>
    <row r="20715" spans="2:9" ht="15" customHeight="1" x14ac:dyDescent="0.25">
      <c r="B20715" s="55" t="s">
        <v>283</v>
      </c>
      <c r="C20715" s="46">
        <v>703</v>
      </c>
      <c r="D20715" s="69" t="s">
        <v>29420</v>
      </c>
      <c r="E20715" s="51"/>
      <c r="F20715" s="114" t="str">
        <f>IF(INDEX(I.Facility.P4IDNumber,703)="","",INDEX(I.Facility.P4IDNumber,703))</f>
        <v/>
      </c>
      <c r="G20715" s="51"/>
      <c r="H20715" s="46" t="str">
        <f>IF(AND(I.Developer.P4=TRUE,I.Facility.P4FacilityCount&gt;=703,F20715=""),"Incomplete","Complete")</f>
        <v>Complete</v>
      </c>
      <c r="I20715" s="48" t="s">
        <v>25080</v>
      </c>
    </row>
    <row r="20716" spans="2:9" ht="15" customHeight="1" x14ac:dyDescent="0.25">
      <c r="B20716" s="55" t="s">
        <v>283</v>
      </c>
      <c r="C20716" s="46">
        <v>704</v>
      </c>
      <c r="D20716" s="69" t="s">
        <v>29420</v>
      </c>
      <c r="E20716" s="51"/>
      <c r="F20716" s="114" t="str">
        <f>IF(INDEX(I.Facility.P4IDNumber,704)="","",INDEX(I.Facility.P4IDNumber,704))</f>
        <v/>
      </c>
      <c r="G20716" s="51"/>
      <c r="H20716" s="46" t="str">
        <f>IF(AND(I.Developer.P4=TRUE,I.Facility.P4FacilityCount&gt;=704,F20716=""),"Incomplete","Complete")</f>
        <v>Complete</v>
      </c>
      <c r="I20716" s="48" t="s">
        <v>25081</v>
      </c>
    </row>
    <row r="20717" spans="2:9" ht="15" customHeight="1" x14ac:dyDescent="0.25">
      <c r="B20717" s="55" t="s">
        <v>283</v>
      </c>
      <c r="C20717" s="46">
        <v>705</v>
      </c>
      <c r="D20717" s="69" t="s">
        <v>29420</v>
      </c>
      <c r="E20717" s="51"/>
      <c r="F20717" s="114" t="str">
        <f>IF(INDEX(I.Facility.P4IDNumber,705)="","",INDEX(I.Facility.P4IDNumber,705))</f>
        <v/>
      </c>
      <c r="G20717" s="51"/>
      <c r="H20717" s="46" t="str">
        <f>IF(AND(I.Developer.P4=TRUE,I.Facility.P4FacilityCount&gt;=705,F20717=""),"Incomplete","Complete")</f>
        <v>Complete</v>
      </c>
      <c r="I20717" s="48" t="s">
        <v>25082</v>
      </c>
    </row>
    <row r="20718" spans="2:9" ht="15" customHeight="1" x14ac:dyDescent="0.25">
      <c r="B20718" s="55" t="s">
        <v>283</v>
      </c>
      <c r="C20718" s="46">
        <v>706</v>
      </c>
      <c r="D20718" s="69" t="s">
        <v>29420</v>
      </c>
      <c r="E20718" s="51"/>
      <c r="F20718" s="114" t="str">
        <f>IF(INDEX(I.Facility.P4IDNumber,706)="","",INDEX(I.Facility.P4IDNumber,706))</f>
        <v/>
      </c>
      <c r="G20718" s="51"/>
      <c r="H20718" s="46" t="str">
        <f>IF(AND(I.Developer.P4=TRUE,I.Facility.P4FacilityCount&gt;=706,F20718=""),"Incomplete","Complete")</f>
        <v>Complete</v>
      </c>
      <c r="I20718" s="48" t="s">
        <v>25083</v>
      </c>
    </row>
    <row r="20719" spans="2:9" ht="15" customHeight="1" x14ac:dyDescent="0.25">
      <c r="B20719" s="55" t="s">
        <v>283</v>
      </c>
      <c r="C20719" s="46">
        <v>707</v>
      </c>
      <c r="D20719" s="69" t="s">
        <v>29420</v>
      </c>
      <c r="E20719" s="51"/>
      <c r="F20719" s="114" t="str">
        <f>IF(INDEX(I.Facility.P4IDNumber,707)="","",INDEX(I.Facility.P4IDNumber,707))</f>
        <v/>
      </c>
      <c r="G20719" s="51"/>
      <c r="H20719" s="46" t="str">
        <f>IF(AND(I.Developer.P4=TRUE,I.Facility.P4FacilityCount&gt;=707,F20719=""),"Incomplete","Complete")</f>
        <v>Complete</v>
      </c>
      <c r="I20719" s="48" t="s">
        <v>25084</v>
      </c>
    </row>
    <row r="20720" spans="2:9" ht="15" customHeight="1" x14ac:dyDescent="0.25">
      <c r="B20720" s="55" t="s">
        <v>283</v>
      </c>
      <c r="C20720" s="46">
        <v>708</v>
      </c>
      <c r="D20720" s="69" t="s">
        <v>29420</v>
      </c>
      <c r="E20720" s="51"/>
      <c r="F20720" s="114" t="str">
        <f>IF(INDEX(I.Facility.P4IDNumber,708)="","",INDEX(I.Facility.P4IDNumber,708))</f>
        <v/>
      </c>
      <c r="G20720" s="51"/>
      <c r="H20720" s="46" t="str">
        <f>IF(AND(I.Developer.P4=TRUE,I.Facility.P4FacilityCount&gt;=708,F20720=""),"Incomplete","Complete")</f>
        <v>Complete</v>
      </c>
      <c r="I20720" s="48" t="s">
        <v>25085</v>
      </c>
    </row>
    <row r="20721" spans="2:9" ht="15" customHeight="1" x14ac:dyDescent="0.25">
      <c r="B20721" s="55" t="s">
        <v>283</v>
      </c>
      <c r="C20721" s="46">
        <v>709</v>
      </c>
      <c r="D20721" s="69" t="s">
        <v>29420</v>
      </c>
      <c r="E20721" s="51"/>
      <c r="F20721" s="114" t="str">
        <f>IF(INDEX(I.Facility.P4IDNumber,709)="","",INDEX(I.Facility.P4IDNumber,709))</f>
        <v/>
      </c>
      <c r="G20721" s="51"/>
      <c r="H20721" s="46" t="str">
        <f>IF(AND(I.Developer.P4=TRUE,I.Facility.P4FacilityCount&gt;=709,F20721=""),"Incomplete","Complete")</f>
        <v>Complete</v>
      </c>
      <c r="I20721" s="48" t="s">
        <v>25086</v>
      </c>
    </row>
    <row r="20722" spans="2:9" ht="15" customHeight="1" x14ac:dyDescent="0.25">
      <c r="B20722" s="55" t="s">
        <v>283</v>
      </c>
      <c r="C20722" s="46">
        <v>710</v>
      </c>
      <c r="D20722" s="69" t="s">
        <v>29420</v>
      </c>
      <c r="E20722" s="51"/>
      <c r="F20722" s="114" t="str">
        <f>IF(INDEX(I.Facility.P4IDNumber,710)="","",INDEX(I.Facility.P4IDNumber,710))</f>
        <v/>
      </c>
      <c r="G20722" s="51"/>
      <c r="H20722" s="46" t="str">
        <f>IF(AND(I.Developer.P4=TRUE,I.Facility.P4FacilityCount&gt;=710,F20722=""),"Incomplete","Complete")</f>
        <v>Complete</v>
      </c>
      <c r="I20722" s="48" t="s">
        <v>25087</v>
      </c>
    </row>
    <row r="20723" spans="2:9" ht="15" customHeight="1" x14ac:dyDescent="0.25">
      <c r="B20723" s="55" t="s">
        <v>283</v>
      </c>
      <c r="C20723" s="46">
        <v>711</v>
      </c>
      <c r="D20723" s="69" t="s">
        <v>29420</v>
      </c>
      <c r="E20723" s="51"/>
      <c r="F20723" s="114" t="str">
        <f>IF(INDEX(I.Facility.P4IDNumber,711)="","",INDEX(I.Facility.P4IDNumber,711))</f>
        <v/>
      </c>
      <c r="G20723" s="51"/>
      <c r="H20723" s="46" t="str">
        <f>IF(AND(I.Developer.P4=TRUE,I.Facility.P4FacilityCount&gt;=711,F20723=""),"Incomplete","Complete")</f>
        <v>Complete</v>
      </c>
      <c r="I20723" s="48" t="s">
        <v>25088</v>
      </c>
    </row>
    <row r="20724" spans="2:9" ht="15" customHeight="1" x14ac:dyDescent="0.25">
      <c r="B20724" s="55" t="s">
        <v>283</v>
      </c>
      <c r="C20724" s="46">
        <v>712</v>
      </c>
      <c r="D20724" s="69" t="s">
        <v>29420</v>
      </c>
      <c r="E20724" s="51"/>
      <c r="F20724" s="114" t="str">
        <f>IF(INDEX(I.Facility.P4IDNumber,712)="","",INDEX(I.Facility.P4IDNumber,712))</f>
        <v/>
      </c>
      <c r="G20724" s="51"/>
      <c r="H20724" s="46" t="str">
        <f>IF(AND(I.Developer.P4=TRUE,I.Facility.P4FacilityCount&gt;=712,F20724=""),"Incomplete","Complete")</f>
        <v>Complete</v>
      </c>
      <c r="I20724" s="48" t="s">
        <v>25089</v>
      </c>
    </row>
    <row r="20725" spans="2:9" ht="15" customHeight="1" x14ac:dyDescent="0.25">
      <c r="B20725" s="55" t="s">
        <v>283</v>
      </c>
      <c r="C20725" s="46">
        <v>713</v>
      </c>
      <c r="D20725" s="69" t="s">
        <v>29420</v>
      </c>
      <c r="E20725" s="51"/>
      <c r="F20725" s="114" t="str">
        <f>IF(INDEX(I.Facility.P4IDNumber,713)="","",INDEX(I.Facility.P4IDNumber,713))</f>
        <v/>
      </c>
      <c r="G20725" s="51"/>
      <c r="H20725" s="46" t="str">
        <f>IF(AND(I.Developer.P4=TRUE,I.Facility.P4FacilityCount&gt;=713,F20725=""),"Incomplete","Complete")</f>
        <v>Complete</v>
      </c>
      <c r="I20725" s="48" t="s">
        <v>25090</v>
      </c>
    </row>
    <row r="20726" spans="2:9" ht="15" customHeight="1" x14ac:dyDescent="0.25">
      <c r="B20726" s="55" t="s">
        <v>283</v>
      </c>
      <c r="C20726" s="46">
        <v>714</v>
      </c>
      <c r="D20726" s="69" t="s">
        <v>29420</v>
      </c>
      <c r="E20726" s="51"/>
      <c r="F20726" s="114" t="str">
        <f>IF(INDEX(I.Facility.P4IDNumber,714)="","",INDEX(I.Facility.P4IDNumber,714))</f>
        <v/>
      </c>
      <c r="G20726" s="51"/>
      <c r="H20726" s="46" t="str">
        <f>IF(AND(I.Developer.P4=TRUE,I.Facility.P4FacilityCount&gt;=714,F20726=""),"Incomplete","Complete")</f>
        <v>Complete</v>
      </c>
      <c r="I20726" s="48" t="s">
        <v>25091</v>
      </c>
    </row>
    <row r="20727" spans="2:9" ht="15" customHeight="1" x14ac:dyDescent="0.25">
      <c r="B20727" s="55" t="s">
        <v>283</v>
      </c>
      <c r="C20727" s="46">
        <v>715</v>
      </c>
      <c r="D20727" s="69" t="s">
        <v>29420</v>
      </c>
      <c r="E20727" s="51"/>
      <c r="F20727" s="114" t="str">
        <f>IF(INDEX(I.Facility.P4IDNumber,715)="","",INDEX(I.Facility.P4IDNumber,715))</f>
        <v/>
      </c>
      <c r="G20727" s="51"/>
      <c r="H20727" s="46" t="str">
        <f>IF(AND(I.Developer.P4=TRUE,I.Facility.P4FacilityCount&gt;=715,F20727=""),"Incomplete","Complete")</f>
        <v>Complete</v>
      </c>
      <c r="I20727" s="48" t="s">
        <v>25092</v>
      </c>
    </row>
    <row r="20728" spans="2:9" ht="15" customHeight="1" x14ac:dyDescent="0.25">
      <c r="B20728" s="55" t="s">
        <v>283</v>
      </c>
      <c r="C20728" s="46">
        <v>716</v>
      </c>
      <c r="D20728" s="69" t="s">
        <v>29420</v>
      </c>
      <c r="E20728" s="51"/>
      <c r="F20728" s="114" t="str">
        <f>IF(INDEX(I.Facility.P4IDNumber,716)="","",INDEX(I.Facility.P4IDNumber,716))</f>
        <v/>
      </c>
      <c r="G20728" s="51"/>
      <c r="H20728" s="46" t="str">
        <f>IF(AND(I.Developer.P4=TRUE,I.Facility.P4FacilityCount&gt;=716,F20728=""),"Incomplete","Complete")</f>
        <v>Complete</v>
      </c>
      <c r="I20728" s="48" t="s">
        <v>25093</v>
      </c>
    </row>
    <row r="20729" spans="2:9" ht="15" customHeight="1" x14ac:dyDescent="0.25">
      <c r="B20729" s="55" t="s">
        <v>283</v>
      </c>
      <c r="C20729" s="46">
        <v>717</v>
      </c>
      <c r="D20729" s="69" t="s">
        <v>29420</v>
      </c>
      <c r="E20729" s="51"/>
      <c r="F20729" s="114" t="str">
        <f>IF(INDEX(I.Facility.P4IDNumber,717)="","",INDEX(I.Facility.P4IDNumber,717))</f>
        <v/>
      </c>
      <c r="G20729" s="51"/>
      <c r="H20729" s="46" t="str">
        <f>IF(AND(I.Developer.P4=TRUE,I.Facility.P4FacilityCount&gt;=717,F20729=""),"Incomplete","Complete")</f>
        <v>Complete</v>
      </c>
      <c r="I20729" s="48" t="s">
        <v>25094</v>
      </c>
    </row>
    <row r="20730" spans="2:9" ht="15" customHeight="1" x14ac:dyDescent="0.25">
      <c r="B20730" s="55" t="s">
        <v>283</v>
      </c>
      <c r="C20730" s="46">
        <v>718</v>
      </c>
      <c r="D20730" s="69" t="s">
        <v>29420</v>
      </c>
      <c r="E20730" s="51"/>
      <c r="F20730" s="114" t="str">
        <f>IF(INDEX(I.Facility.P4IDNumber,718)="","",INDEX(I.Facility.P4IDNumber,718))</f>
        <v/>
      </c>
      <c r="G20730" s="51"/>
      <c r="H20730" s="46" t="str">
        <f>IF(AND(I.Developer.P4=TRUE,I.Facility.P4FacilityCount&gt;=718,F20730=""),"Incomplete","Complete")</f>
        <v>Complete</v>
      </c>
      <c r="I20730" s="48" t="s">
        <v>25095</v>
      </c>
    </row>
    <row r="20731" spans="2:9" ht="15" customHeight="1" x14ac:dyDescent="0.25">
      <c r="B20731" s="55" t="s">
        <v>283</v>
      </c>
      <c r="C20731" s="46">
        <v>719</v>
      </c>
      <c r="D20731" s="69" t="s">
        <v>29420</v>
      </c>
      <c r="E20731" s="51"/>
      <c r="F20731" s="114" t="str">
        <f>IF(INDEX(I.Facility.P4IDNumber,719)="","",INDEX(I.Facility.P4IDNumber,719))</f>
        <v/>
      </c>
      <c r="G20731" s="51"/>
      <c r="H20731" s="46" t="str">
        <f>IF(AND(I.Developer.P4=TRUE,I.Facility.P4FacilityCount&gt;=719,F20731=""),"Incomplete","Complete")</f>
        <v>Complete</v>
      </c>
      <c r="I20731" s="48" t="s">
        <v>25096</v>
      </c>
    </row>
    <row r="20732" spans="2:9" ht="15" customHeight="1" x14ac:dyDescent="0.25">
      <c r="B20732" s="55" t="s">
        <v>283</v>
      </c>
      <c r="C20732" s="46">
        <v>720</v>
      </c>
      <c r="D20732" s="69" t="s">
        <v>29420</v>
      </c>
      <c r="E20732" s="51"/>
      <c r="F20732" s="114" t="str">
        <f>IF(INDEX(I.Facility.P4IDNumber,720)="","",INDEX(I.Facility.P4IDNumber,720))</f>
        <v/>
      </c>
      <c r="G20732" s="51"/>
      <c r="H20732" s="46" t="str">
        <f>IF(AND(I.Developer.P4=TRUE,I.Facility.P4FacilityCount&gt;=720,F20732=""),"Incomplete","Complete")</f>
        <v>Complete</v>
      </c>
      <c r="I20732" s="48" t="s">
        <v>25097</v>
      </c>
    </row>
    <row r="20733" spans="2:9" ht="15" customHeight="1" x14ac:dyDescent="0.25">
      <c r="B20733" s="55" t="s">
        <v>283</v>
      </c>
      <c r="C20733" s="46">
        <v>721</v>
      </c>
      <c r="D20733" s="69" t="s">
        <v>29420</v>
      </c>
      <c r="E20733" s="51"/>
      <c r="F20733" s="114" t="str">
        <f>IF(INDEX(I.Facility.P4IDNumber,721)="","",INDEX(I.Facility.P4IDNumber,721))</f>
        <v/>
      </c>
      <c r="G20733" s="51"/>
      <c r="H20733" s="46" t="str">
        <f>IF(AND(I.Developer.P4=TRUE,I.Facility.P4FacilityCount&gt;=721,F20733=""),"Incomplete","Complete")</f>
        <v>Complete</v>
      </c>
      <c r="I20733" s="48" t="s">
        <v>25098</v>
      </c>
    </row>
    <row r="20734" spans="2:9" ht="15" customHeight="1" x14ac:dyDescent="0.25">
      <c r="B20734" s="55" t="s">
        <v>283</v>
      </c>
      <c r="C20734" s="46">
        <v>722</v>
      </c>
      <c r="D20734" s="69" t="s">
        <v>29420</v>
      </c>
      <c r="E20734" s="51"/>
      <c r="F20734" s="114" t="str">
        <f>IF(INDEX(I.Facility.P4IDNumber,722)="","",INDEX(I.Facility.P4IDNumber,722))</f>
        <v/>
      </c>
      <c r="G20734" s="51"/>
      <c r="H20734" s="46" t="str">
        <f>IF(AND(I.Developer.P4=TRUE,I.Facility.P4FacilityCount&gt;=722,F20734=""),"Incomplete","Complete")</f>
        <v>Complete</v>
      </c>
      <c r="I20734" s="48" t="s">
        <v>25099</v>
      </c>
    </row>
    <row r="20735" spans="2:9" ht="15" customHeight="1" x14ac:dyDescent="0.25">
      <c r="B20735" s="55" t="s">
        <v>283</v>
      </c>
      <c r="C20735" s="46">
        <v>723</v>
      </c>
      <c r="D20735" s="69" t="s">
        <v>29420</v>
      </c>
      <c r="E20735" s="51"/>
      <c r="F20735" s="114" t="str">
        <f>IF(INDEX(I.Facility.P4IDNumber,723)="","",INDEX(I.Facility.P4IDNumber,723))</f>
        <v/>
      </c>
      <c r="G20735" s="51"/>
      <c r="H20735" s="46" t="str">
        <f>IF(AND(I.Developer.P4=TRUE,I.Facility.P4FacilityCount&gt;=723,F20735=""),"Incomplete","Complete")</f>
        <v>Complete</v>
      </c>
      <c r="I20735" s="48" t="s">
        <v>25100</v>
      </c>
    </row>
    <row r="20736" spans="2:9" ht="15" customHeight="1" x14ac:dyDescent="0.25">
      <c r="B20736" s="55" t="s">
        <v>283</v>
      </c>
      <c r="C20736" s="46">
        <v>724</v>
      </c>
      <c r="D20736" s="69" t="s">
        <v>29420</v>
      </c>
      <c r="E20736" s="51"/>
      <c r="F20736" s="114" t="str">
        <f>IF(INDEX(I.Facility.P4IDNumber,724)="","",INDEX(I.Facility.P4IDNumber,724))</f>
        <v/>
      </c>
      <c r="G20736" s="51"/>
      <c r="H20736" s="46" t="str">
        <f>IF(AND(I.Developer.P4=TRUE,I.Facility.P4FacilityCount&gt;=724,F20736=""),"Incomplete","Complete")</f>
        <v>Complete</v>
      </c>
      <c r="I20736" s="48" t="s">
        <v>25101</v>
      </c>
    </row>
    <row r="20737" spans="2:9" ht="15" customHeight="1" x14ac:dyDescent="0.25">
      <c r="B20737" s="55" t="s">
        <v>283</v>
      </c>
      <c r="C20737" s="46">
        <v>725</v>
      </c>
      <c r="D20737" s="69" t="s">
        <v>29420</v>
      </c>
      <c r="E20737" s="51"/>
      <c r="F20737" s="114" t="str">
        <f>IF(INDEX(I.Facility.P4IDNumber,725)="","",INDEX(I.Facility.P4IDNumber,725))</f>
        <v/>
      </c>
      <c r="G20737" s="51"/>
      <c r="H20737" s="46" t="str">
        <f>IF(AND(I.Developer.P4=TRUE,I.Facility.P4FacilityCount&gt;=725,F20737=""),"Incomplete","Complete")</f>
        <v>Complete</v>
      </c>
      <c r="I20737" s="48" t="s">
        <v>25102</v>
      </c>
    </row>
    <row r="20738" spans="2:9" ht="15" customHeight="1" x14ac:dyDescent="0.25">
      <c r="B20738" s="55" t="s">
        <v>283</v>
      </c>
      <c r="C20738" s="46">
        <v>726</v>
      </c>
      <c r="D20738" s="69" t="s">
        <v>29420</v>
      </c>
      <c r="E20738" s="51"/>
      <c r="F20738" s="114" t="str">
        <f>IF(INDEX(I.Facility.P4IDNumber,726)="","",INDEX(I.Facility.P4IDNumber,726))</f>
        <v/>
      </c>
      <c r="G20738" s="51"/>
      <c r="H20738" s="46" t="str">
        <f>IF(AND(I.Developer.P4=TRUE,I.Facility.P4FacilityCount&gt;=726,F20738=""),"Incomplete","Complete")</f>
        <v>Complete</v>
      </c>
      <c r="I20738" s="48" t="s">
        <v>25103</v>
      </c>
    </row>
    <row r="20739" spans="2:9" ht="15" customHeight="1" x14ac:dyDescent="0.25">
      <c r="B20739" s="55" t="s">
        <v>283</v>
      </c>
      <c r="C20739" s="46">
        <v>727</v>
      </c>
      <c r="D20739" s="69" t="s">
        <v>29420</v>
      </c>
      <c r="E20739" s="51"/>
      <c r="F20739" s="114" t="str">
        <f>IF(INDEX(I.Facility.P4IDNumber,727)="","",INDEX(I.Facility.P4IDNumber,727))</f>
        <v/>
      </c>
      <c r="G20739" s="51"/>
      <c r="H20739" s="46" t="str">
        <f>IF(AND(I.Developer.P4=TRUE,I.Facility.P4FacilityCount&gt;=727,F20739=""),"Incomplete","Complete")</f>
        <v>Complete</v>
      </c>
      <c r="I20739" s="48" t="s">
        <v>25104</v>
      </c>
    </row>
    <row r="20740" spans="2:9" ht="15" customHeight="1" x14ac:dyDescent="0.25">
      <c r="B20740" s="55" t="s">
        <v>283</v>
      </c>
      <c r="C20740" s="46">
        <v>728</v>
      </c>
      <c r="D20740" s="69" t="s">
        <v>29420</v>
      </c>
      <c r="E20740" s="51"/>
      <c r="F20740" s="114" t="str">
        <f>IF(INDEX(I.Facility.P4IDNumber,728)="","",INDEX(I.Facility.P4IDNumber,728))</f>
        <v/>
      </c>
      <c r="G20740" s="51"/>
      <c r="H20740" s="46" t="str">
        <f>IF(AND(I.Developer.P4=TRUE,I.Facility.P4FacilityCount&gt;=728,F20740=""),"Incomplete","Complete")</f>
        <v>Complete</v>
      </c>
      <c r="I20740" s="48" t="s">
        <v>25105</v>
      </c>
    </row>
    <row r="20741" spans="2:9" ht="15" customHeight="1" x14ac:dyDescent="0.25">
      <c r="B20741" s="55" t="s">
        <v>283</v>
      </c>
      <c r="C20741" s="46">
        <v>729</v>
      </c>
      <c r="D20741" s="69" t="s">
        <v>29420</v>
      </c>
      <c r="E20741" s="51"/>
      <c r="F20741" s="114" t="str">
        <f>IF(INDEX(I.Facility.P4IDNumber,729)="","",INDEX(I.Facility.P4IDNumber,729))</f>
        <v/>
      </c>
      <c r="G20741" s="51"/>
      <c r="H20741" s="46" t="str">
        <f>IF(AND(I.Developer.P4=TRUE,I.Facility.P4FacilityCount&gt;=729,F20741=""),"Incomplete","Complete")</f>
        <v>Complete</v>
      </c>
      <c r="I20741" s="48" t="s">
        <v>25106</v>
      </c>
    </row>
    <row r="20742" spans="2:9" ht="15" customHeight="1" x14ac:dyDescent="0.25">
      <c r="B20742" s="55" t="s">
        <v>283</v>
      </c>
      <c r="C20742" s="46">
        <v>730</v>
      </c>
      <c r="D20742" s="69" t="s">
        <v>29420</v>
      </c>
      <c r="E20742" s="51"/>
      <c r="F20742" s="114" t="str">
        <f>IF(INDEX(I.Facility.P4IDNumber,730)="","",INDEX(I.Facility.P4IDNumber,730))</f>
        <v/>
      </c>
      <c r="G20742" s="51"/>
      <c r="H20742" s="46" t="str">
        <f>IF(AND(I.Developer.P4=TRUE,I.Facility.P4FacilityCount&gt;=730,F20742=""),"Incomplete","Complete")</f>
        <v>Complete</v>
      </c>
      <c r="I20742" s="48" t="s">
        <v>25107</v>
      </c>
    </row>
    <row r="20743" spans="2:9" ht="15" customHeight="1" x14ac:dyDescent="0.25">
      <c r="B20743" s="55" t="s">
        <v>283</v>
      </c>
      <c r="C20743" s="46">
        <v>731</v>
      </c>
      <c r="D20743" s="69" t="s">
        <v>29420</v>
      </c>
      <c r="E20743" s="51"/>
      <c r="F20743" s="114" t="str">
        <f>IF(INDEX(I.Facility.P4IDNumber,731)="","",INDEX(I.Facility.P4IDNumber,731))</f>
        <v/>
      </c>
      <c r="G20743" s="51"/>
      <c r="H20743" s="46" t="str">
        <f>IF(AND(I.Developer.P4=TRUE,I.Facility.P4FacilityCount&gt;=731,F20743=""),"Incomplete","Complete")</f>
        <v>Complete</v>
      </c>
      <c r="I20743" s="48" t="s">
        <v>25108</v>
      </c>
    </row>
    <row r="20744" spans="2:9" ht="15" customHeight="1" x14ac:dyDescent="0.25">
      <c r="B20744" s="55" t="s">
        <v>283</v>
      </c>
      <c r="C20744" s="46">
        <v>732</v>
      </c>
      <c r="D20744" s="69" t="s">
        <v>29420</v>
      </c>
      <c r="E20744" s="51"/>
      <c r="F20744" s="114" t="str">
        <f>IF(INDEX(I.Facility.P4IDNumber,732)="","",INDEX(I.Facility.P4IDNumber,732))</f>
        <v/>
      </c>
      <c r="G20744" s="51"/>
      <c r="H20744" s="46" t="str">
        <f>IF(AND(I.Developer.P4=TRUE,I.Facility.P4FacilityCount&gt;=732,F20744=""),"Incomplete","Complete")</f>
        <v>Complete</v>
      </c>
      <c r="I20744" s="48" t="s">
        <v>25109</v>
      </c>
    </row>
    <row r="20745" spans="2:9" ht="15" customHeight="1" x14ac:dyDescent="0.25">
      <c r="B20745" s="55" t="s">
        <v>283</v>
      </c>
      <c r="C20745" s="46">
        <v>733</v>
      </c>
      <c r="D20745" s="69" t="s">
        <v>29420</v>
      </c>
      <c r="E20745" s="51"/>
      <c r="F20745" s="114" t="str">
        <f>IF(INDEX(I.Facility.P4IDNumber,733)="","",INDEX(I.Facility.P4IDNumber,733))</f>
        <v/>
      </c>
      <c r="G20745" s="51"/>
      <c r="H20745" s="46" t="str">
        <f>IF(AND(I.Developer.P4=TRUE,I.Facility.P4FacilityCount&gt;=733,F20745=""),"Incomplete","Complete")</f>
        <v>Complete</v>
      </c>
      <c r="I20745" s="48" t="s">
        <v>25110</v>
      </c>
    </row>
    <row r="20746" spans="2:9" ht="15" customHeight="1" x14ac:dyDescent="0.25">
      <c r="B20746" s="55" t="s">
        <v>283</v>
      </c>
      <c r="C20746" s="46">
        <v>734</v>
      </c>
      <c r="D20746" s="69" t="s">
        <v>29420</v>
      </c>
      <c r="E20746" s="51"/>
      <c r="F20746" s="114" t="str">
        <f>IF(INDEX(I.Facility.P4IDNumber,734)="","",INDEX(I.Facility.P4IDNumber,734))</f>
        <v/>
      </c>
      <c r="G20746" s="51"/>
      <c r="H20746" s="46" t="str">
        <f>IF(AND(I.Developer.P4=TRUE,I.Facility.P4FacilityCount&gt;=734,F20746=""),"Incomplete","Complete")</f>
        <v>Complete</v>
      </c>
      <c r="I20746" s="48" t="s">
        <v>25111</v>
      </c>
    </row>
    <row r="20747" spans="2:9" ht="15" customHeight="1" x14ac:dyDescent="0.25">
      <c r="B20747" s="55" t="s">
        <v>283</v>
      </c>
      <c r="C20747" s="46">
        <v>735</v>
      </c>
      <c r="D20747" s="69" t="s">
        <v>29420</v>
      </c>
      <c r="E20747" s="51"/>
      <c r="F20747" s="114" t="str">
        <f>IF(INDEX(I.Facility.P4IDNumber,735)="","",INDEX(I.Facility.P4IDNumber,735))</f>
        <v/>
      </c>
      <c r="G20747" s="51"/>
      <c r="H20747" s="46" t="str">
        <f>IF(AND(I.Developer.P4=TRUE,I.Facility.P4FacilityCount&gt;=735,F20747=""),"Incomplete","Complete")</f>
        <v>Complete</v>
      </c>
      <c r="I20747" s="48" t="s">
        <v>25112</v>
      </c>
    </row>
    <row r="20748" spans="2:9" ht="15" customHeight="1" x14ac:dyDescent="0.25">
      <c r="B20748" s="55" t="s">
        <v>283</v>
      </c>
      <c r="C20748" s="46">
        <v>736</v>
      </c>
      <c r="D20748" s="69" t="s">
        <v>29420</v>
      </c>
      <c r="E20748" s="51"/>
      <c r="F20748" s="114" t="str">
        <f>IF(INDEX(I.Facility.P4IDNumber,736)="","",INDEX(I.Facility.P4IDNumber,736))</f>
        <v/>
      </c>
      <c r="G20748" s="51"/>
      <c r="H20748" s="46" t="str">
        <f>IF(AND(I.Developer.P4=TRUE,I.Facility.P4FacilityCount&gt;=736,F20748=""),"Incomplete","Complete")</f>
        <v>Complete</v>
      </c>
      <c r="I20748" s="48" t="s">
        <v>25113</v>
      </c>
    </row>
    <row r="20749" spans="2:9" ht="15" customHeight="1" x14ac:dyDescent="0.25">
      <c r="B20749" s="55" t="s">
        <v>283</v>
      </c>
      <c r="C20749" s="46">
        <v>737</v>
      </c>
      <c r="D20749" s="69" t="s">
        <v>29420</v>
      </c>
      <c r="E20749" s="51"/>
      <c r="F20749" s="114" t="str">
        <f>IF(INDEX(I.Facility.P4IDNumber,737)="","",INDEX(I.Facility.P4IDNumber,737))</f>
        <v/>
      </c>
      <c r="G20749" s="51"/>
      <c r="H20749" s="46" t="str">
        <f>IF(AND(I.Developer.P4=TRUE,I.Facility.P4FacilityCount&gt;=737,F20749=""),"Incomplete","Complete")</f>
        <v>Complete</v>
      </c>
      <c r="I20749" s="48" t="s">
        <v>25114</v>
      </c>
    </row>
    <row r="20750" spans="2:9" ht="15" customHeight="1" x14ac:dyDescent="0.25">
      <c r="B20750" s="55" t="s">
        <v>283</v>
      </c>
      <c r="C20750" s="46">
        <v>738</v>
      </c>
      <c r="D20750" s="69" t="s">
        <v>29420</v>
      </c>
      <c r="E20750" s="51"/>
      <c r="F20750" s="114" t="str">
        <f>IF(INDEX(I.Facility.P4IDNumber,738)="","",INDEX(I.Facility.P4IDNumber,738))</f>
        <v/>
      </c>
      <c r="G20750" s="51"/>
      <c r="H20750" s="46" t="str">
        <f>IF(AND(I.Developer.P4=TRUE,I.Facility.P4FacilityCount&gt;=738,F20750=""),"Incomplete","Complete")</f>
        <v>Complete</v>
      </c>
      <c r="I20750" s="48" t="s">
        <v>25115</v>
      </c>
    </row>
    <row r="20751" spans="2:9" ht="15" customHeight="1" x14ac:dyDescent="0.25">
      <c r="B20751" s="55" t="s">
        <v>283</v>
      </c>
      <c r="C20751" s="46">
        <v>739</v>
      </c>
      <c r="D20751" s="69" t="s">
        <v>29420</v>
      </c>
      <c r="E20751" s="51"/>
      <c r="F20751" s="114" t="str">
        <f>IF(INDEX(I.Facility.P4IDNumber,739)="","",INDEX(I.Facility.P4IDNumber,739))</f>
        <v/>
      </c>
      <c r="G20751" s="51"/>
      <c r="H20751" s="46" t="str">
        <f>IF(AND(I.Developer.P4=TRUE,I.Facility.P4FacilityCount&gt;=739,F20751=""),"Incomplete","Complete")</f>
        <v>Complete</v>
      </c>
      <c r="I20751" s="48" t="s">
        <v>25116</v>
      </c>
    </row>
    <row r="20752" spans="2:9" ht="15" customHeight="1" x14ac:dyDescent="0.25">
      <c r="B20752" s="55" t="s">
        <v>283</v>
      </c>
      <c r="C20752" s="46">
        <v>740</v>
      </c>
      <c r="D20752" s="69" t="s">
        <v>29420</v>
      </c>
      <c r="E20752" s="51"/>
      <c r="F20752" s="114" t="str">
        <f>IF(INDEX(I.Facility.P4IDNumber,740)="","",INDEX(I.Facility.P4IDNumber,740))</f>
        <v/>
      </c>
      <c r="G20752" s="51"/>
      <c r="H20752" s="46" t="str">
        <f>IF(AND(I.Developer.P4=TRUE,I.Facility.P4FacilityCount&gt;=740,F20752=""),"Incomplete","Complete")</f>
        <v>Complete</v>
      </c>
      <c r="I20752" s="48" t="s">
        <v>25117</v>
      </c>
    </row>
    <row r="20753" spans="2:9" ht="15" customHeight="1" x14ac:dyDescent="0.25">
      <c r="B20753" s="55" t="s">
        <v>283</v>
      </c>
      <c r="C20753" s="46">
        <v>741</v>
      </c>
      <c r="D20753" s="69" t="s">
        <v>29420</v>
      </c>
      <c r="E20753" s="51"/>
      <c r="F20753" s="114" t="str">
        <f>IF(INDEX(I.Facility.P4IDNumber,741)="","",INDEX(I.Facility.P4IDNumber,741))</f>
        <v/>
      </c>
      <c r="G20753" s="51"/>
      <c r="H20753" s="46" t="str">
        <f>IF(AND(I.Developer.P4=TRUE,I.Facility.P4FacilityCount&gt;=741,F20753=""),"Incomplete","Complete")</f>
        <v>Complete</v>
      </c>
      <c r="I20753" s="48" t="s">
        <v>25118</v>
      </c>
    </row>
    <row r="20754" spans="2:9" ht="15" customHeight="1" x14ac:dyDescent="0.25">
      <c r="B20754" s="55" t="s">
        <v>283</v>
      </c>
      <c r="C20754" s="46">
        <v>742</v>
      </c>
      <c r="D20754" s="69" t="s">
        <v>29420</v>
      </c>
      <c r="E20754" s="51"/>
      <c r="F20754" s="114" t="str">
        <f>IF(INDEX(I.Facility.P4IDNumber,742)="","",INDEX(I.Facility.P4IDNumber,742))</f>
        <v/>
      </c>
      <c r="G20754" s="51"/>
      <c r="H20754" s="46" t="str">
        <f>IF(AND(I.Developer.P4=TRUE,I.Facility.P4FacilityCount&gt;=742,F20754=""),"Incomplete","Complete")</f>
        <v>Complete</v>
      </c>
      <c r="I20754" s="48" t="s">
        <v>25119</v>
      </c>
    </row>
    <row r="20755" spans="2:9" ht="15" customHeight="1" x14ac:dyDescent="0.25">
      <c r="B20755" s="55" t="s">
        <v>283</v>
      </c>
      <c r="C20755" s="46">
        <v>743</v>
      </c>
      <c r="D20755" s="69" t="s">
        <v>29420</v>
      </c>
      <c r="E20755" s="51"/>
      <c r="F20755" s="114" t="str">
        <f>IF(INDEX(I.Facility.P4IDNumber,743)="","",INDEX(I.Facility.P4IDNumber,743))</f>
        <v/>
      </c>
      <c r="G20755" s="51"/>
      <c r="H20755" s="46" t="str">
        <f>IF(AND(I.Developer.P4=TRUE,I.Facility.P4FacilityCount&gt;=743,F20755=""),"Incomplete","Complete")</f>
        <v>Complete</v>
      </c>
      <c r="I20755" s="48" t="s">
        <v>25120</v>
      </c>
    </row>
    <row r="20756" spans="2:9" ht="15" customHeight="1" x14ac:dyDescent="0.25">
      <c r="B20756" s="55" t="s">
        <v>283</v>
      </c>
      <c r="C20756" s="46">
        <v>744</v>
      </c>
      <c r="D20756" s="69" t="s">
        <v>29420</v>
      </c>
      <c r="E20756" s="51"/>
      <c r="F20756" s="114" t="str">
        <f>IF(INDEX(I.Facility.P4IDNumber,744)="","",INDEX(I.Facility.P4IDNumber,744))</f>
        <v/>
      </c>
      <c r="G20756" s="51"/>
      <c r="H20756" s="46" t="str">
        <f>IF(AND(I.Developer.P4=TRUE,I.Facility.P4FacilityCount&gt;=744,F20756=""),"Incomplete","Complete")</f>
        <v>Complete</v>
      </c>
      <c r="I20756" s="48" t="s">
        <v>25121</v>
      </c>
    </row>
    <row r="20757" spans="2:9" ht="15" customHeight="1" x14ac:dyDescent="0.25">
      <c r="B20757" s="55" t="s">
        <v>283</v>
      </c>
      <c r="C20757" s="46">
        <v>745</v>
      </c>
      <c r="D20757" s="69" t="s">
        <v>29420</v>
      </c>
      <c r="E20757" s="51"/>
      <c r="F20757" s="114" t="str">
        <f>IF(INDEX(I.Facility.P4IDNumber,745)="","",INDEX(I.Facility.P4IDNumber,745))</f>
        <v/>
      </c>
      <c r="G20757" s="51"/>
      <c r="H20757" s="46" t="str">
        <f>IF(AND(I.Developer.P4=TRUE,I.Facility.P4FacilityCount&gt;=745,F20757=""),"Incomplete","Complete")</f>
        <v>Complete</v>
      </c>
      <c r="I20757" s="48" t="s">
        <v>25122</v>
      </c>
    </row>
    <row r="20758" spans="2:9" ht="15" customHeight="1" x14ac:dyDescent="0.25">
      <c r="B20758" s="55" t="s">
        <v>283</v>
      </c>
      <c r="C20758" s="46">
        <v>746</v>
      </c>
      <c r="D20758" s="69" t="s">
        <v>29420</v>
      </c>
      <c r="E20758" s="51"/>
      <c r="F20758" s="114" t="str">
        <f>IF(INDEX(I.Facility.P4IDNumber,746)="","",INDEX(I.Facility.P4IDNumber,746))</f>
        <v/>
      </c>
      <c r="G20758" s="51"/>
      <c r="H20758" s="46" t="str">
        <f>IF(AND(I.Developer.P4=TRUE,I.Facility.P4FacilityCount&gt;=746,F20758=""),"Incomplete","Complete")</f>
        <v>Complete</v>
      </c>
      <c r="I20758" s="48" t="s">
        <v>25123</v>
      </c>
    </row>
    <row r="20759" spans="2:9" ht="15" customHeight="1" x14ac:dyDescent="0.25">
      <c r="B20759" s="55" t="s">
        <v>283</v>
      </c>
      <c r="C20759" s="46">
        <v>747</v>
      </c>
      <c r="D20759" s="69" t="s">
        <v>29420</v>
      </c>
      <c r="E20759" s="51"/>
      <c r="F20759" s="114" t="str">
        <f>IF(INDEX(I.Facility.P4IDNumber,747)="","",INDEX(I.Facility.P4IDNumber,747))</f>
        <v/>
      </c>
      <c r="G20759" s="51"/>
      <c r="H20759" s="46" t="str">
        <f>IF(AND(I.Developer.P4=TRUE,I.Facility.P4FacilityCount&gt;=747,F20759=""),"Incomplete","Complete")</f>
        <v>Complete</v>
      </c>
      <c r="I20759" s="48" t="s">
        <v>25124</v>
      </c>
    </row>
    <row r="20760" spans="2:9" ht="15" customHeight="1" x14ac:dyDescent="0.25">
      <c r="B20760" s="55" t="s">
        <v>283</v>
      </c>
      <c r="C20760" s="46">
        <v>748</v>
      </c>
      <c r="D20760" s="69" t="s">
        <v>29420</v>
      </c>
      <c r="E20760" s="51"/>
      <c r="F20760" s="114" t="str">
        <f>IF(INDEX(I.Facility.P4IDNumber,748)="","",INDEX(I.Facility.P4IDNumber,748))</f>
        <v/>
      </c>
      <c r="G20760" s="51"/>
      <c r="H20760" s="46" t="str">
        <f>IF(AND(I.Developer.P4=TRUE,I.Facility.P4FacilityCount&gt;=748,F20760=""),"Incomplete","Complete")</f>
        <v>Complete</v>
      </c>
      <c r="I20760" s="48" t="s">
        <v>25125</v>
      </c>
    </row>
    <row r="20761" spans="2:9" ht="15" customHeight="1" x14ac:dyDescent="0.25">
      <c r="B20761" s="55" t="s">
        <v>283</v>
      </c>
      <c r="C20761" s="46">
        <v>749</v>
      </c>
      <c r="D20761" s="69" t="s">
        <v>29420</v>
      </c>
      <c r="E20761" s="51"/>
      <c r="F20761" s="114" t="str">
        <f>IF(INDEX(I.Facility.P4IDNumber,749)="","",INDEX(I.Facility.P4IDNumber,749))</f>
        <v/>
      </c>
      <c r="G20761" s="51"/>
      <c r="H20761" s="46" t="str">
        <f>IF(AND(I.Developer.P4=TRUE,I.Facility.P4FacilityCount&gt;=749,F20761=""),"Incomplete","Complete")</f>
        <v>Complete</v>
      </c>
      <c r="I20761" s="48" t="s">
        <v>25126</v>
      </c>
    </row>
    <row r="20762" spans="2:9" ht="15" customHeight="1" x14ac:dyDescent="0.25">
      <c r="B20762" s="55" t="s">
        <v>283</v>
      </c>
      <c r="C20762" s="46">
        <v>750</v>
      </c>
      <c r="D20762" s="69" t="s">
        <v>29420</v>
      </c>
      <c r="E20762" s="51"/>
      <c r="F20762" s="114" t="str">
        <f>IF(INDEX(I.Facility.P4IDNumber,750)="","",INDEX(I.Facility.P4IDNumber,750))</f>
        <v/>
      </c>
      <c r="G20762" s="51"/>
      <c r="H20762" s="46" t="str">
        <f>IF(AND(I.Developer.P4=TRUE,I.Facility.P4FacilityCount&gt;=750,F20762=""),"Incomplete","Complete")</f>
        <v>Complete</v>
      </c>
      <c r="I20762" s="48" t="s">
        <v>25127</v>
      </c>
    </row>
    <row r="20763" spans="2:9" ht="15" customHeight="1" x14ac:dyDescent="0.25">
      <c r="B20763" s="55" t="s">
        <v>283</v>
      </c>
      <c r="C20763" s="46">
        <v>751</v>
      </c>
      <c r="D20763" s="69" t="s">
        <v>29420</v>
      </c>
      <c r="E20763" s="51"/>
      <c r="F20763" s="114" t="str">
        <f>IF(INDEX(I.Facility.P4IDNumber,751)="","",INDEX(I.Facility.P4IDNumber,751))</f>
        <v/>
      </c>
      <c r="G20763" s="51"/>
      <c r="H20763" s="46" t="str">
        <f>IF(AND(I.Developer.P4=TRUE,I.Facility.P4FacilityCount&gt;=751,F20763=""),"Incomplete","Complete")</f>
        <v>Complete</v>
      </c>
      <c r="I20763" s="48" t="s">
        <v>25128</v>
      </c>
    </row>
    <row r="20764" spans="2:9" ht="15" customHeight="1" x14ac:dyDescent="0.25">
      <c r="B20764" s="55" t="s">
        <v>283</v>
      </c>
      <c r="C20764" s="46">
        <v>752</v>
      </c>
      <c r="D20764" s="69" t="s">
        <v>29420</v>
      </c>
      <c r="E20764" s="51"/>
      <c r="F20764" s="114" t="str">
        <f>IF(INDEX(I.Facility.P4IDNumber,752)="","",INDEX(I.Facility.P4IDNumber,752))</f>
        <v/>
      </c>
      <c r="G20764" s="51"/>
      <c r="H20764" s="46" t="str">
        <f>IF(AND(I.Developer.P4=TRUE,I.Facility.P4FacilityCount&gt;=752,F20764=""),"Incomplete","Complete")</f>
        <v>Complete</v>
      </c>
      <c r="I20764" s="48" t="s">
        <v>25129</v>
      </c>
    </row>
    <row r="20765" spans="2:9" ht="15" customHeight="1" x14ac:dyDescent="0.25">
      <c r="B20765" s="55" t="s">
        <v>283</v>
      </c>
      <c r="C20765" s="46">
        <v>753</v>
      </c>
      <c r="D20765" s="69" t="s">
        <v>29420</v>
      </c>
      <c r="E20765" s="51"/>
      <c r="F20765" s="114" t="str">
        <f>IF(INDEX(I.Facility.P4IDNumber,753)="","",INDEX(I.Facility.P4IDNumber,753))</f>
        <v/>
      </c>
      <c r="G20765" s="51"/>
      <c r="H20765" s="46" t="str">
        <f>IF(AND(I.Developer.P4=TRUE,I.Facility.P4FacilityCount&gt;=753,F20765=""),"Incomplete","Complete")</f>
        <v>Complete</v>
      </c>
      <c r="I20765" s="48" t="s">
        <v>25130</v>
      </c>
    </row>
    <row r="20766" spans="2:9" ht="15" customHeight="1" x14ac:dyDescent="0.25">
      <c r="B20766" s="55" t="s">
        <v>283</v>
      </c>
      <c r="C20766" s="46">
        <v>754</v>
      </c>
      <c r="D20766" s="69" t="s">
        <v>29420</v>
      </c>
      <c r="E20766" s="51"/>
      <c r="F20766" s="114" t="str">
        <f>IF(INDEX(I.Facility.P4IDNumber,754)="","",INDEX(I.Facility.P4IDNumber,754))</f>
        <v/>
      </c>
      <c r="G20766" s="51"/>
      <c r="H20766" s="46" t="str">
        <f>IF(AND(I.Developer.P4=TRUE,I.Facility.P4FacilityCount&gt;=754,F20766=""),"Incomplete","Complete")</f>
        <v>Complete</v>
      </c>
      <c r="I20766" s="48" t="s">
        <v>25131</v>
      </c>
    </row>
    <row r="20767" spans="2:9" ht="15" customHeight="1" x14ac:dyDescent="0.25">
      <c r="B20767" s="55" t="s">
        <v>283</v>
      </c>
      <c r="C20767" s="46">
        <v>755</v>
      </c>
      <c r="D20767" s="69" t="s">
        <v>29420</v>
      </c>
      <c r="E20767" s="51"/>
      <c r="F20767" s="114" t="str">
        <f>IF(INDEX(I.Facility.P4IDNumber,755)="","",INDEX(I.Facility.P4IDNumber,755))</f>
        <v/>
      </c>
      <c r="G20767" s="51"/>
      <c r="H20767" s="46" t="str">
        <f>IF(AND(I.Developer.P4=TRUE,I.Facility.P4FacilityCount&gt;=755,F20767=""),"Incomplete","Complete")</f>
        <v>Complete</v>
      </c>
      <c r="I20767" s="48" t="s">
        <v>25132</v>
      </c>
    </row>
    <row r="20768" spans="2:9" ht="15" customHeight="1" x14ac:dyDescent="0.25">
      <c r="B20768" s="55" t="s">
        <v>283</v>
      </c>
      <c r="C20768" s="46">
        <v>756</v>
      </c>
      <c r="D20768" s="69" t="s">
        <v>29420</v>
      </c>
      <c r="E20768" s="51"/>
      <c r="F20768" s="114" t="str">
        <f>IF(INDEX(I.Facility.P4IDNumber,756)="","",INDEX(I.Facility.P4IDNumber,756))</f>
        <v/>
      </c>
      <c r="G20768" s="51"/>
      <c r="H20768" s="46" t="str">
        <f>IF(AND(I.Developer.P4=TRUE,I.Facility.P4FacilityCount&gt;=756,F20768=""),"Incomplete","Complete")</f>
        <v>Complete</v>
      </c>
      <c r="I20768" s="48" t="s">
        <v>25133</v>
      </c>
    </row>
    <row r="20769" spans="2:9" ht="15" customHeight="1" x14ac:dyDescent="0.25">
      <c r="B20769" s="55" t="s">
        <v>283</v>
      </c>
      <c r="C20769" s="46">
        <v>757</v>
      </c>
      <c r="D20769" s="69" t="s">
        <v>29420</v>
      </c>
      <c r="E20769" s="51"/>
      <c r="F20769" s="114" t="str">
        <f>IF(INDEX(I.Facility.P4IDNumber,757)="","",INDEX(I.Facility.P4IDNumber,757))</f>
        <v/>
      </c>
      <c r="G20769" s="51"/>
      <c r="H20769" s="46" t="str">
        <f>IF(AND(I.Developer.P4=TRUE,I.Facility.P4FacilityCount&gt;=757,F20769=""),"Incomplete","Complete")</f>
        <v>Complete</v>
      </c>
      <c r="I20769" s="48" t="s">
        <v>25134</v>
      </c>
    </row>
    <row r="20770" spans="2:9" ht="15" customHeight="1" x14ac:dyDescent="0.25">
      <c r="B20770" s="55" t="s">
        <v>283</v>
      </c>
      <c r="C20770" s="46">
        <v>758</v>
      </c>
      <c r="D20770" s="69" t="s">
        <v>29420</v>
      </c>
      <c r="E20770" s="51"/>
      <c r="F20770" s="114" t="str">
        <f>IF(INDEX(I.Facility.P4IDNumber,758)="","",INDEX(I.Facility.P4IDNumber,758))</f>
        <v/>
      </c>
      <c r="G20770" s="51"/>
      <c r="H20770" s="46" t="str">
        <f>IF(AND(I.Developer.P4=TRUE,I.Facility.P4FacilityCount&gt;=758,F20770=""),"Incomplete","Complete")</f>
        <v>Complete</v>
      </c>
      <c r="I20770" s="48" t="s">
        <v>25135</v>
      </c>
    </row>
    <row r="20771" spans="2:9" ht="15" customHeight="1" x14ac:dyDescent="0.25">
      <c r="B20771" s="55" t="s">
        <v>283</v>
      </c>
      <c r="C20771" s="46">
        <v>759</v>
      </c>
      <c r="D20771" s="69" t="s">
        <v>29420</v>
      </c>
      <c r="E20771" s="51"/>
      <c r="F20771" s="114" t="str">
        <f>IF(INDEX(I.Facility.P4IDNumber,759)="","",INDEX(I.Facility.P4IDNumber,759))</f>
        <v/>
      </c>
      <c r="G20771" s="51"/>
      <c r="H20771" s="46" t="str">
        <f>IF(AND(I.Developer.P4=TRUE,I.Facility.P4FacilityCount&gt;=759,F20771=""),"Incomplete","Complete")</f>
        <v>Complete</v>
      </c>
      <c r="I20771" s="48" t="s">
        <v>25136</v>
      </c>
    </row>
    <row r="20772" spans="2:9" ht="15" customHeight="1" x14ac:dyDescent="0.25">
      <c r="B20772" s="55" t="s">
        <v>283</v>
      </c>
      <c r="C20772" s="46">
        <v>760</v>
      </c>
      <c r="D20772" s="69" t="s">
        <v>29420</v>
      </c>
      <c r="E20772" s="51"/>
      <c r="F20772" s="114" t="str">
        <f>IF(INDEX(I.Facility.P4IDNumber,760)="","",INDEX(I.Facility.P4IDNumber,760))</f>
        <v/>
      </c>
      <c r="G20772" s="51"/>
      <c r="H20772" s="46" t="str">
        <f>IF(AND(I.Developer.P4=TRUE,I.Facility.P4FacilityCount&gt;=760,F20772=""),"Incomplete","Complete")</f>
        <v>Complete</v>
      </c>
      <c r="I20772" s="48" t="s">
        <v>25137</v>
      </c>
    </row>
    <row r="20773" spans="2:9" ht="15" customHeight="1" x14ac:dyDescent="0.25">
      <c r="B20773" s="55" t="s">
        <v>283</v>
      </c>
      <c r="C20773" s="46">
        <v>761</v>
      </c>
      <c r="D20773" s="69" t="s">
        <v>29420</v>
      </c>
      <c r="E20773" s="51"/>
      <c r="F20773" s="114" t="str">
        <f>IF(INDEX(I.Facility.P4IDNumber,761)="","",INDEX(I.Facility.P4IDNumber,761))</f>
        <v/>
      </c>
      <c r="G20773" s="51"/>
      <c r="H20773" s="46" t="str">
        <f>IF(AND(I.Developer.P4=TRUE,I.Facility.P4FacilityCount&gt;=761,F20773=""),"Incomplete","Complete")</f>
        <v>Complete</v>
      </c>
      <c r="I20773" s="48" t="s">
        <v>25138</v>
      </c>
    </row>
    <row r="20774" spans="2:9" ht="15" customHeight="1" x14ac:dyDescent="0.25">
      <c r="B20774" s="55" t="s">
        <v>283</v>
      </c>
      <c r="C20774" s="46">
        <v>762</v>
      </c>
      <c r="D20774" s="69" t="s">
        <v>29420</v>
      </c>
      <c r="E20774" s="51"/>
      <c r="F20774" s="114" t="str">
        <f>IF(INDEX(I.Facility.P4IDNumber,762)="","",INDEX(I.Facility.P4IDNumber,762))</f>
        <v/>
      </c>
      <c r="G20774" s="51"/>
      <c r="H20774" s="46" t="str">
        <f>IF(AND(I.Developer.P4=TRUE,I.Facility.P4FacilityCount&gt;=762,F20774=""),"Incomplete","Complete")</f>
        <v>Complete</v>
      </c>
      <c r="I20774" s="48" t="s">
        <v>25139</v>
      </c>
    </row>
    <row r="20775" spans="2:9" ht="15" customHeight="1" x14ac:dyDescent="0.25">
      <c r="B20775" s="55" t="s">
        <v>283</v>
      </c>
      <c r="C20775" s="46">
        <v>763</v>
      </c>
      <c r="D20775" s="69" t="s">
        <v>29420</v>
      </c>
      <c r="E20775" s="51"/>
      <c r="F20775" s="114" t="str">
        <f>IF(INDEX(I.Facility.P4IDNumber,763)="","",INDEX(I.Facility.P4IDNumber,763))</f>
        <v/>
      </c>
      <c r="G20775" s="51"/>
      <c r="H20775" s="46" t="str">
        <f>IF(AND(I.Developer.P4=TRUE,I.Facility.P4FacilityCount&gt;=763,F20775=""),"Incomplete","Complete")</f>
        <v>Complete</v>
      </c>
      <c r="I20775" s="48" t="s">
        <v>25140</v>
      </c>
    </row>
    <row r="20776" spans="2:9" ht="15" customHeight="1" x14ac:dyDescent="0.25">
      <c r="B20776" s="55" t="s">
        <v>283</v>
      </c>
      <c r="C20776" s="46">
        <v>764</v>
      </c>
      <c r="D20776" s="69" t="s">
        <v>29420</v>
      </c>
      <c r="E20776" s="51"/>
      <c r="F20776" s="114" t="str">
        <f>IF(INDEX(I.Facility.P4IDNumber,764)="","",INDEX(I.Facility.P4IDNumber,764))</f>
        <v/>
      </c>
      <c r="G20776" s="51"/>
      <c r="H20776" s="46" t="str">
        <f>IF(AND(I.Developer.P4=TRUE,I.Facility.P4FacilityCount&gt;=764,F20776=""),"Incomplete","Complete")</f>
        <v>Complete</v>
      </c>
      <c r="I20776" s="48" t="s">
        <v>25141</v>
      </c>
    </row>
    <row r="20777" spans="2:9" ht="15" customHeight="1" x14ac:dyDescent="0.25">
      <c r="B20777" s="55" t="s">
        <v>283</v>
      </c>
      <c r="C20777" s="46">
        <v>765</v>
      </c>
      <c r="D20777" s="69" t="s">
        <v>29420</v>
      </c>
      <c r="E20777" s="51"/>
      <c r="F20777" s="114" t="str">
        <f>IF(INDEX(I.Facility.P4IDNumber,765)="","",INDEX(I.Facility.P4IDNumber,765))</f>
        <v/>
      </c>
      <c r="G20777" s="51"/>
      <c r="H20777" s="46" t="str">
        <f>IF(AND(I.Developer.P4=TRUE,I.Facility.P4FacilityCount&gt;=765,F20777=""),"Incomplete","Complete")</f>
        <v>Complete</v>
      </c>
      <c r="I20777" s="48" t="s">
        <v>25142</v>
      </c>
    </row>
    <row r="20778" spans="2:9" ht="15" customHeight="1" x14ac:dyDescent="0.25">
      <c r="B20778" s="55" t="s">
        <v>283</v>
      </c>
      <c r="C20778" s="46">
        <v>766</v>
      </c>
      <c r="D20778" s="69" t="s">
        <v>29420</v>
      </c>
      <c r="E20778" s="51"/>
      <c r="F20778" s="114" t="str">
        <f>IF(INDEX(I.Facility.P4IDNumber,766)="","",INDEX(I.Facility.P4IDNumber,766))</f>
        <v/>
      </c>
      <c r="G20778" s="51"/>
      <c r="H20778" s="46" t="str">
        <f>IF(AND(I.Developer.P4=TRUE,I.Facility.P4FacilityCount&gt;=766,F20778=""),"Incomplete","Complete")</f>
        <v>Complete</v>
      </c>
      <c r="I20778" s="48" t="s">
        <v>25143</v>
      </c>
    </row>
    <row r="20779" spans="2:9" ht="15" customHeight="1" x14ac:dyDescent="0.25">
      <c r="B20779" s="55" t="s">
        <v>283</v>
      </c>
      <c r="C20779" s="46">
        <v>767</v>
      </c>
      <c r="D20779" s="69" t="s">
        <v>29420</v>
      </c>
      <c r="E20779" s="51"/>
      <c r="F20779" s="114" t="str">
        <f>IF(INDEX(I.Facility.P4IDNumber,767)="","",INDEX(I.Facility.P4IDNumber,767))</f>
        <v/>
      </c>
      <c r="G20779" s="51"/>
      <c r="H20779" s="46" t="str">
        <f>IF(AND(I.Developer.P4=TRUE,I.Facility.P4FacilityCount&gt;=767,F20779=""),"Incomplete","Complete")</f>
        <v>Complete</v>
      </c>
      <c r="I20779" s="48" t="s">
        <v>25144</v>
      </c>
    </row>
    <row r="20780" spans="2:9" ht="15" customHeight="1" x14ac:dyDescent="0.25">
      <c r="B20780" s="55" t="s">
        <v>283</v>
      </c>
      <c r="C20780" s="46">
        <v>768</v>
      </c>
      <c r="D20780" s="69" t="s">
        <v>29420</v>
      </c>
      <c r="E20780" s="51"/>
      <c r="F20780" s="114" t="str">
        <f>IF(INDEX(I.Facility.P4IDNumber,768)="","",INDEX(I.Facility.P4IDNumber,768))</f>
        <v/>
      </c>
      <c r="G20780" s="51"/>
      <c r="H20780" s="46" t="str">
        <f>IF(AND(I.Developer.P4=TRUE,I.Facility.P4FacilityCount&gt;=768,F20780=""),"Incomplete","Complete")</f>
        <v>Complete</v>
      </c>
      <c r="I20780" s="48" t="s">
        <v>25145</v>
      </c>
    </row>
    <row r="20781" spans="2:9" ht="15" customHeight="1" x14ac:dyDescent="0.25">
      <c r="B20781" s="55" t="s">
        <v>283</v>
      </c>
      <c r="C20781" s="46">
        <v>769</v>
      </c>
      <c r="D20781" s="69" t="s">
        <v>29420</v>
      </c>
      <c r="E20781" s="51"/>
      <c r="F20781" s="114" t="str">
        <f>IF(INDEX(I.Facility.P4IDNumber,769)="","",INDEX(I.Facility.P4IDNumber,769))</f>
        <v/>
      </c>
      <c r="G20781" s="51"/>
      <c r="H20781" s="46" t="str">
        <f>IF(AND(I.Developer.P4=TRUE,I.Facility.P4FacilityCount&gt;=769,F20781=""),"Incomplete","Complete")</f>
        <v>Complete</v>
      </c>
      <c r="I20781" s="48" t="s">
        <v>25146</v>
      </c>
    </row>
    <row r="20782" spans="2:9" ht="15" customHeight="1" x14ac:dyDescent="0.25">
      <c r="B20782" s="55" t="s">
        <v>283</v>
      </c>
      <c r="C20782" s="46">
        <v>770</v>
      </c>
      <c r="D20782" s="69" t="s">
        <v>29420</v>
      </c>
      <c r="E20782" s="51"/>
      <c r="F20782" s="114" t="str">
        <f>IF(INDEX(I.Facility.P4IDNumber,770)="","",INDEX(I.Facility.P4IDNumber,770))</f>
        <v/>
      </c>
      <c r="G20782" s="51"/>
      <c r="H20782" s="46" t="str">
        <f>IF(AND(I.Developer.P4=TRUE,I.Facility.P4FacilityCount&gt;=770,F20782=""),"Incomplete","Complete")</f>
        <v>Complete</v>
      </c>
      <c r="I20782" s="48" t="s">
        <v>25147</v>
      </c>
    </row>
    <row r="20783" spans="2:9" ht="15" customHeight="1" x14ac:dyDescent="0.25">
      <c r="B20783" s="55" t="s">
        <v>283</v>
      </c>
      <c r="C20783" s="46">
        <v>771</v>
      </c>
      <c r="D20783" s="69" t="s">
        <v>29420</v>
      </c>
      <c r="E20783" s="51"/>
      <c r="F20783" s="114" t="str">
        <f>IF(INDEX(I.Facility.P4IDNumber,771)="","",INDEX(I.Facility.P4IDNumber,771))</f>
        <v/>
      </c>
      <c r="G20783" s="51"/>
      <c r="H20783" s="46" t="str">
        <f>IF(AND(I.Developer.P4=TRUE,I.Facility.P4FacilityCount&gt;=771,F20783=""),"Incomplete","Complete")</f>
        <v>Complete</v>
      </c>
      <c r="I20783" s="48" t="s">
        <v>25148</v>
      </c>
    </row>
    <row r="20784" spans="2:9" ht="15" customHeight="1" x14ac:dyDescent="0.25">
      <c r="B20784" s="55" t="s">
        <v>283</v>
      </c>
      <c r="C20784" s="46">
        <v>772</v>
      </c>
      <c r="D20784" s="69" t="s">
        <v>29420</v>
      </c>
      <c r="E20784" s="51"/>
      <c r="F20784" s="114" t="str">
        <f>IF(INDEX(I.Facility.P4IDNumber,772)="","",INDEX(I.Facility.P4IDNumber,772))</f>
        <v/>
      </c>
      <c r="G20784" s="51"/>
      <c r="H20784" s="46" t="str">
        <f>IF(AND(I.Developer.P4=TRUE,I.Facility.P4FacilityCount&gt;=772,F20784=""),"Incomplete","Complete")</f>
        <v>Complete</v>
      </c>
      <c r="I20784" s="48" t="s">
        <v>25149</v>
      </c>
    </row>
    <row r="20785" spans="2:9" ht="15" customHeight="1" x14ac:dyDescent="0.25">
      <c r="B20785" s="55" t="s">
        <v>283</v>
      </c>
      <c r="C20785" s="46">
        <v>773</v>
      </c>
      <c r="D20785" s="69" t="s">
        <v>29420</v>
      </c>
      <c r="E20785" s="51"/>
      <c r="F20785" s="114" t="str">
        <f>IF(INDEX(I.Facility.P4IDNumber,773)="","",INDEX(I.Facility.P4IDNumber,773))</f>
        <v/>
      </c>
      <c r="G20785" s="51"/>
      <c r="H20785" s="46" t="str">
        <f>IF(AND(I.Developer.P4=TRUE,I.Facility.P4FacilityCount&gt;=773,F20785=""),"Incomplete","Complete")</f>
        <v>Complete</v>
      </c>
      <c r="I20785" s="48" t="s">
        <v>25150</v>
      </c>
    </row>
    <row r="20786" spans="2:9" ht="15" customHeight="1" x14ac:dyDescent="0.25">
      <c r="B20786" s="55" t="s">
        <v>283</v>
      </c>
      <c r="C20786" s="46">
        <v>774</v>
      </c>
      <c r="D20786" s="69" t="s">
        <v>29420</v>
      </c>
      <c r="E20786" s="51"/>
      <c r="F20786" s="114" t="str">
        <f>IF(INDEX(I.Facility.P4IDNumber,774)="","",INDEX(I.Facility.P4IDNumber,774))</f>
        <v/>
      </c>
      <c r="G20786" s="51"/>
      <c r="H20786" s="46" t="str">
        <f>IF(AND(I.Developer.P4=TRUE,I.Facility.P4FacilityCount&gt;=774,F20786=""),"Incomplete","Complete")</f>
        <v>Complete</v>
      </c>
      <c r="I20786" s="48" t="s">
        <v>25151</v>
      </c>
    </row>
    <row r="20787" spans="2:9" ht="15" customHeight="1" x14ac:dyDescent="0.25">
      <c r="B20787" s="55" t="s">
        <v>283</v>
      </c>
      <c r="C20787" s="46">
        <v>775</v>
      </c>
      <c r="D20787" s="69" t="s">
        <v>29420</v>
      </c>
      <c r="E20787" s="51"/>
      <c r="F20787" s="114" t="str">
        <f>IF(INDEX(I.Facility.P4IDNumber,775)="","",INDEX(I.Facility.P4IDNumber,775))</f>
        <v/>
      </c>
      <c r="G20787" s="51"/>
      <c r="H20787" s="46" t="str">
        <f>IF(AND(I.Developer.P4=TRUE,I.Facility.P4FacilityCount&gt;=775,F20787=""),"Incomplete","Complete")</f>
        <v>Complete</v>
      </c>
      <c r="I20787" s="48" t="s">
        <v>25152</v>
      </c>
    </row>
    <row r="20788" spans="2:9" ht="15" customHeight="1" x14ac:dyDescent="0.25">
      <c r="B20788" s="55" t="s">
        <v>283</v>
      </c>
      <c r="C20788" s="46">
        <v>776</v>
      </c>
      <c r="D20788" s="69" t="s">
        <v>29420</v>
      </c>
      <c r="E20788" s="51"/>
      <c r="F20788" s="114" t="str">
        <f>IF(INDEX(I.Facility.P4IDNumber,776)="","",INDEX(I.Facility.P4IDNumber,776))</f>
        <v/>
      </c>
      <c r="G20788" s="51"/>
      <c r="H20788" s="46" t="str">
        <f>IF(AND(I.Developer.P4=TRUE,I.Facility.P4FacilityCount&gt;=776,F20788=""),"Incomplete","Complete")</f>
        <v>Complete</v>
      </c>
      <c r="I20788" s="48" t="s">
        <v>25153</v>
      </c>
    </row>
    <row r="20789" spans="2:9" ht="15" customHeight="1" x14ac:dyDescent="0.25">
      <c r="B20789" s="55" t="s">
        <v>283</v>
      </c>
      <c r="C20789" s="46">
        <v>777</v>
      </c>
      <c r="D20789" s="69" t="s">
        <v>29420</v>
      </c>
      <c r="E20789" s="51"/>
      <c r="F20789" s="114" t="str">
        <f>IF(INDEX(I.Facility.P4IDNumber,777)="","",INDEX(I.Facility.P4IDNumber,777))</f>
        <v/>
      </c>
      <c r="G20789" s="51"/>
      <c r="H20789" s="46" t="str">
        <f>IF(AND(I.Developer.P4=TRUE,I.Facility.P4FacilityCount&gt;=777,F20789=""),"Incomplete","Complete")</f>
        <v>Complete</v>
      </c>
      <c r="I20789" s="48" t="s">
        <v>25154</v>
      </c>
    </row>
    <row r="20790" spans="2:9" ht="15" customHeight="1" x14ac:dyDescent="0.25">
      <c r="B20790" s="55" t="s">
        <v>283</v>
      </c>
      <c r="C20790" s="46">
        <v>778</v>
      </c>
      <c r="D20790" s="69" t="s">
        <v>29420</v>
      </c>
      <c r="E20790" s="51"/>
      <c r="F20790" s="114" t="str">
        <f>IF(INDEX(I.Facility.P4IDNumber,778)="","",INDEX(I.Facility.P4IDNumber,778))</f>
        <v/>
      </c>
      <c r="G20790" s="51"/>
      <c r="H20790" s="46" t="str">
        <f>IF(AND(I.Developer.P4=TRUE,I.Facility.P4FacilityCount&gt;=778,F20790=""),"Incomplete","Complete")</f>
        <v>Complete</v>
      </c>
      <c r="I20790" s="48" t="s">
        <v>25155</v>
      </c>
    </row>
    <row r="20791" spans="2:9" ht="15" customHeight="1" x14ac:dyDescent="0.25">
      <c r="B20791" s="55" t="s">
        <v>283</v>
      </c>
      <c r="C20791" s="46">
        <v>779</v>
      </c>
      <c r="D20791" s="69" t="s">
        <v>29420</v>
      </c>
      <c r="E20791" s="51"/>
      <c r="F20791" s="114" t="str">
        <f>IF(INDEX(I.Facility.P4IDNumber,779)="","",INDEX(I.Facility.P4IDNumber,779))</f>
        <v/>
      </c>
      <c r="G20791" s="51"/>
      <c r="H20791" s="46" t="str">
        <f>IF(AND(I.Developer.P4=TRUE,I.Facility.P4FacilityCount&gt;=779,F20791=""),"Incomplete","Complete")</f>
        <v>Complete</v>
      </c>
      <c r="I20791" s="48" t="s">
        <v>25156</v>
      </c>
    </row>
    <row r="20792" spans="2:9" ht="15" customHeight="1" x14ac:dyDescent="0.25">
      <c r="B20792" s="55" t="s">
        <v>283</v>
      </c>
      <c r="C20792" s="46">
        <v>780</v>
      </c>
      <c r="D20792" s="69" t="s">
        <v>29420</v>
      </c>
      <c r="E20792" s="51"/>
      <c r="F20792" s="114" t="str">
        <f>IF(INDEX(I.Facility.P4IDNumber,780)="","",INDEX(I.Facility.P4IDNumber,780))</f>
        <v/>
      </c>
      <c r="G20792" s="51"/>
      <c r="H20792" s="46" t="str">
        <f>IF(AND(I.Developer.P4=TRUE,I.Facility.P4FacilityCount&gt;=780,F20792=""),"Incomplete","Complete")</f>
        <v>Complete</v>
      </c>
      <c r="I20792" s="48" t="s">
        <v>25157</v>
      </c>
    </row>
    <row r="20793" spans="2:9" ht="15" customHeight="1" x14ac:dyDescent="0.25">
      <c r="B20793" s="55" t="s">
        <v>283</v>
      </c>
      <c r="C20793" s="46">
        <v>781</v>
      </c>
      <c r="D20793" s="69" t="s">
        <v>29420</v>
      </c>
      <c r="E20793" s="51"/>
      <c r="F20793" s="114" t="str">
        <f>IF(INDEX(I.Facility.P4IDNumber,781)="","",INDEX(I.Facility.P4IDNumber,781))</f>
        <v/>
      </c>
      <c r="G20793" s="51"/>
      <c r="H20793" s="46" t="str">
        <f>IF(AND(I.Developer.P4=TRUE,I.Facility.P4FacilityCount&gt;=781,F20793=""),"Incomplete","Complete")</f>
        <v>Complete</v>
      </c>
      <c r="I20793" s="48" t="s">
        <v>25158</v>
      </c>
    </row>
    <row r="20794" spans="2:9" ht="15" customHeight="1" x14ac:dyDescent="0.25">
      <c r="B20794" s="55" t="s">
        <v>283</v>
      </c>
      <c r="C20794" s="46">
        <v>782</v>
      </c>
      <c r="D20794" s="69" t="s">
        <v>29420</v>
      </c>
      <c r="E20794" s="51"/>
      <c r="F20794" s="114" t="str">
        <f>IF(INDEX(I.Facility.P4IDNumber,782)="","",INDEX(I.Facility.P4IDNumber,782))</f>
        <v/>
      </c>
      <c r="G20794" s="51"/>
      <c r="H20794" s="46" t="str">
        <f>IF(AND(I.Developer.P4=TRUE,I.Facility.P4FacilityCount&gt;=782,F20794=""),"Incomplete","Complete")</f>
        <v>Complete</v>
      </c>
      <c r="I20794" s="48" t="s">
        <v>25159</v>
      </c>
    </row>
    <row r="20795" spans="2:9" ht="15" customHeight="1" x14ac:dyDescent="0.25">
      <c r="B20795" s="55" t="s">
        <v>283</v>
      </c>
      <c r="C20795" s="46">
        <v>783</v>
      </c>
      <c r="D20795" s="69" t="s">
        <v>29420</v>
      </c>
      <c r="E20795" s="51"/>
      <c r="F20795" s="114" t="str">
        <f>IF(INDEX(I.Facility.P4IDNumber,783)="","",INDEX(I.Facility.P4IDNumber,783))</f>
        <v/>
      </c>
      <c r="G20795" s="51"/>
      <c r="H20795" s="46" t="str">
        <f>IF(AND(I.Developer.P4=TRUE,I.Facility.P4FacilityCount&gt;=783,F20795=""),"Incomplete","Complete")</f>
        <v>Complete</v>
      </c>
      <c r="I20795" s="48" t="s">
        <v>25160</v>
      </c>
    </row>
    <row r="20796" spans="2:9" ht="15" customHeight="1" x14ac:dyDescent="0.25">
      <c r="B20796" s="55" t="s">
        <v>283</v>
      </c>
      <c r="C20796" s="46">
        <v>784</v>
      </c>
      <c r="D20796" s="69" t="s">
        <v>29420</v>
      </c>
      <c r="E20796" s="51"/>
      <c r="F20796" s="114" t="str">
        <f>IF(INDEX(I.Facility.P4IDNumber,784)="","",INDEX(I.Facility.P4IDNumber,784))</f>
        <v/>
      </c>
      <c r="G20796" s="51"/>
      <c r="H20796" s="46" t="str">
        <f>IF(AND(I.Developer.P4=TRUE,I.Facility.P4FacilityCount&gt;=784,F20796=""),"Incomplete","Complete")</f>
        <v>Complete</v>
      </c>
      <c r="I20796" s="48" t="s">
        <v>25161</v>
      </c>
    </row>
    <row r="20797" spans="2:9" ht="15" customHeight="1" x14ac:dyDescent="0.25">
      <c r="B20797" s="55" t="s">
        <v>283</v>
      </c>
      <c r="C20797" s="46">
        <v>785</v>
      </c>
      <c r="D20797" s="69" t="s">
        <v>29420</v>
      </c>
      <c r="E20797" s="51"/>
      <c r="F20797" s="114" t="str">
        <f>IF(INDEX(I.Facility.P4IDNumber,785)="","",INDEX(I.Facility.P4IDNumber,785))</f>
        <v/>
      </c>
      <c r="G20797" s="51"/>
      <c r="H20797" s="46" t="str">
        <f>IF(AND(I.Developer.P4=TRUE,I.Facility.P4FacilityCount&gt;=785,F20797=""),"Incomplete","Complete")</f>
        <v>Complete</v>
      </c>
      <c r="I20797" s="48" t="s">
        <v>25162</v>
      </c>
    </row>
    <row r="20798" spans="2:9" ht="15" customHeight="1" x14ac:dyDescent="0.25">
      <c r="B20798" s="55" t="s">
        <v>283</v>
      </c>
      <c r="C20798" s="46">
        <v>786</v>
      </c>
      <c r="D20798" s="69" t="s">
        <v>29420</v>
      </c>
      <c r="E20798" s="51"/>
      <c r="F20798" s="114" t="str">
        <f>IF(INDEX(I.Facility.P4IDNumber,786)="","",INDEX(I.Facility.P4IDNumber,786))</f>
        <v/>
      </c>
      <c r="G20798" s="51"/>
      <c r="H20798" s="46" t="str">
        <f>IF(AND(I.Developer.P4=TRUE,I.Facility.P4FacilityCount&gt;=786,F20798=""),"Incomplete","Complete")</f>
        <v>Complete</v>
      </c>
      <c r="I20798" s="48" t="s">
        <v>25163</v>
      </c>
    </row>
    <row r="20799" spans="2:9" ht="15" customHeight="1" x14ac:dyDescent="0.25">
      <c r="B20799" s="55" t="s">
        <v>283</v>
      </c>
      <c r="C20799" s="46">
        <v>787</v>
      </c>
      <c r="D20799" s="69" t="s">
        <v>29420</v>
      </c>
      <c r="E20799" s="51"/>
      <c r="F20799" s="114" t="str">
        <f>IF(INDEX(I.Facility.P4IDNumber,787)="","",INDEX(I.Facility.P4IDNumber,787))</f>
        <v/>
      </c>
      <c r="G20799" s="51"/>
      <c r="H20799" s="46" t="str">
        <f>IF(AND(I.Developer.P4=TRUE,I.Facility.P4FacilityCount&gt;=787,F20799=""),"Incomplete","Complete")</f>
        <v>Complete</v>
      </c>
      <c r="I20799" s="48" t="s">
        <v>25164</v>
      </c>
    </row>
    <row r="20800" spans="2:9" ht="15" customHeight="1" x14ac:dyDescent="0.25">
      <c r="B20800" s="55" t="s">
        <v>283</v>
      </c>
      <c r="C20800" s="46">
        <v>788</v>
      </c>
      <c r="D20800" s="69" t="s">
        <v>29420</v>
      </c>
      <c r="E20800" s="51"/>
      <c r="F20800" s="114" t="str">
        <f>IF(INDEX(I.Facility.P4IDNumber,788)="","",INDEX(I.Facility.P4IDNumber,788))</f>
        <v/>
      </c>
      <c r="G20800" s="51"/>
      <c r="H20800" s="46" t="str">
        <f>IF(AND(I.Developer.P4=TRUE,I.Facility.P4FacilityCount&gt;=788,F20800=""),"Incomplete","Complete")</f>
        <v>Complete</v>
      </c>
      <c r="I20800" s="48" t="s">
        <v>25165</v>
      </c>
    </row>
    <row r="20801" spans="2:9" ht="15" customHeight="1" x14ac:dyDescent="0.25">
      <c r="B20801" s="55" t="s">
        <v>283</v>
      </c>
      <c r="C20801" s="46">
        <v>789</v>
      </c>
      <c r="D20801" s="69" t="s">
        <v>29420</v>
      </c>
      <c r="E20801" s="51"/>
      <c r="F20801" s="114" t="str">
        <f>IF(INDEX(I.Facility.P4IDNumber,789)="","",INDEX(I.Facility.P4IDNumber,789))</f>
        <v/>
      </c>
      <c r="G20801" s="51"/>
      <c r="H20801" s="46" t="str">
        <f>IF(AND(I.Developer.P4=TRUE,I.Facility.P4FacilityCount&gt;=789,F20801=""),"Incomplete","Complete")</f>
        <v>Complete</v>
      </c>
      <c r="I20801" s="48" t="s">
        <v>25166</v>
      </c>
    </row>
    <row r="20802" spans="2:9" ht="15" customHeight="1" x14ac:dyDescent="0.25">
      <c r="B20802" s="55" t="s">
        <v>283</v>
      </c>
      <c r="C20802" s="46">
        <v>790</v>
      </c>
      <c r="D20802" s="69" t="s">
        <v>29420</v>
      </c>
      <c r="E20802" s="51"/>
      <c r="F20802" s="114" t="str">
        <f>IF(INDEX(I.Facility.P4IDNumber,790)="","",INDEX(I.Facility.P4IDNumber,790))</f>
        <v/>
      </c>
      <c r="G20802" s="51"/>
      <c r="H20802" s="46" t="str">
        <f>IF(AND(I.Developer.P4=TRUE,I.Facility.P4FacilityCount&gt;=790,F20802=""),"Incomplete","Complete")</f>
        <v>Complete</v>
      </c>
      <c r="I20802" s="48" t="s">
        <v>25167</v>
      </c>
    </row>
    <row r="20803" spans="2:9" ht="15" customHeight="1" x14ac:dyDescent="0.25">
      <c r="B20803" s="55" t="s">
        <v>283</v>
      </c>
      <c r="C20803" s="46">
        <v>791</v>
      </c>
      <c r="D20803" s="69" t="s">
        <v>29420</v>
      </c>
      <c r="E20803" s="51"/>
      <c r="F20803" s="114" t="str">
        <f>IF(INDEX(I.Facility.P4IDNumber,791)="","",INDEX(I.Facility.P4IDNumber,791))</f>
        <v/>
      </c>
      <c r="G20803" s="51"/>
      <c r="H20803" s="46" t="str">
        <f>IF(AND(I.Developer.P4=TRUE,I.Facility.P4FacilityCount&gt;=791,F20803=""),"Incomplete","Complete")</f>
        <v>Complete</v>
      </c>
      <c r="I20803" s="48" t="s">
        <v>25168</v>
      </c>
    </row>
    <row r="20804" spans="2:9" ht="15" customHeight="1" x14ac:dyDescent="0.25">
      <c r="B20804" s="55" t="s">
        <v>283</v>
      </c>
      <c r="C20804" s="46">
        <v>792</v>
      </c>
      <c r="D20804" s="69" t="s">
        <v>29420</v>
      </c>
      <c r="E20804" s="51"/>
      <c r="F20804" s="114" t="str">
        <f>IF(INDEX(I.Facility.P4IDNumber,792)="","",INDEX(I.Facility.P4IDNumber,792))</f>
        <v/>
      </c>
      <c r="G20804" s="51"/>
      <c r="H20804" s="46" t="str">
        <f>IF(AND(I.Developer.P4=TRUE,I.Facility.P4FacilityCount&gt;=792,F20804=""),"Incomplete","Complete")</f>
        <v>Complete</v>
      </c>
      <c r="I20804" s="48" t="s">
        <v>25169</v>
      </c>
    </row>
    <row r="20805" spans="2:9" ht="15" customHeight="1" x14ac:dyDescent="0.25">
      <c r="B20805" s="55" t="s">
        <v>283</v>
      </c>
      <c r="C20805" s="46">
        <v>793</v>
      </c>
      <c r="D20805" s="69" t="s">
        <v>29420</v>
      </c>
      <c r="E20805" s="51"/>
      <c r="F20805" s="114" t="str">
        <f>IF(INDEX(I.Facility.P4IDNumber,793)="","",INDEX(I.Facility.P4IDNumber,793))</f>
        <v/>
      </c>
      <c r="G20805" s="51"/>
      <c r="H20805" s="46" t="str">
        <f>IF(AND(I.Developer.P4=TRUE,I.Facility.P4FacilityCount&gt;=793,F20805=""),"Incomplete","Complete")</f>
        <v>Complete</v>
      </c>
      <c r="I20805" s="48" t="s">
        <v>25170</v>
      </c>
    </row>
    <row r="20806" spans="2:9" ht="15" customHeight="1" x14ac:dyDescent="0.25">
      <c r="B20806" s="55" t="s">
        <v>283</v>
      </c>
      <c r="C20806" s="46">
        <v>794</v>
      </c>
      <c r="D20806" s="69" t="s">
        <v>29420</v>
      </c>
      <c r="E20806" s="51"/>
      <c r="F20806" s="114" t="str">
        <f>IF(INDEX(I.Facility.P4IDNumber,794)="","",INDEX(I.Facility.P4IDNumber,794))</f>
        <v/>
      </c>
      <c r="G20806" s="51"/>
      <c r="H20806" s="46" t="str">
        <f>IF(AND(I.Developer.P4=TRUE,I.Facility.P4FacilityCount&gt;=794,F20806=""),"Incomplete","Complete")</f>
        <v>Complete</v>
      </c>
      <c r="I20806" s="48" t="s">
        <v>25171</v>
      </c>
    </row>
    <row r="20807" spans="2:9" ht="15" customHeight="1" x14ac:dyDescent="0.25">
      <c r="B20807" s="55" t="s">
        <v>283</v>
      </c>
      <c r="C20807" s="46">
        <v>795</v>
      </c>
      <c r="D20807" s="69" t="s">
        <v>29420</v>
      </c>
      <c r="E20807" s="51"/>
      <c r="F20807" s="114" t="str">
        <f>IF(INDEX(I.Facility.P4IDNumber,795)="","",INDEX(I.Facility.P4IDNumber,795))</f>
        <v/>
      </c>
      <c r="G20807" s="51"/>
      <c r="H20807" s="46" t="str">
        <f>IF(AND(I.Developer.P4=TRUE,I.Facility.P4FacilityCount&gt;=795,F20807=""),"Incomplete","Complete")</f>
        <v>Complete</v>
      </c>
      <c r="I20807" s="48" t="s">
        <v>25172</v>
      </c>
    </row>
    <row r="20808" spans="2:9" ht="15" customHeight="1" x14ac:dyDescent="0.25">
      <c r="B20808" s="55" t="s">
        <v>283</v>
      </c>
      <c r="C20808" s="46">
        <v>796</v>
      </c>
      <c r="D20808" s="69" t="s">
        <v>29420</v>
      </c>
      <c r="E20808" s="51"/>
      <c r="F20808" s="114" t="str">
        <f>IF(INDEX(I.Facility.P4IDNumber,796)="","",INDEX(I.Facility.P4IDNumber,796))</f>
        <v/>
      </c>
      <c r="G20808" s="51"/>
      <c r="H20808" s="46" t="str">
        <f>IF(AND(I.Developer.P4=TRUE,I.Facility.P4FacilityCount&gt;=796,F20808=""),"Incomplete","Complete")</f>
        <v>Complete</v>
      </c>
      <c r="I20808" s="48" t="s">
        <v>25173</v>
      </c>
    </row>
    <row r="20809" spans="2:9" ht="15" customHeight="1" x14ac:dyDescent="0.25">
      <c r="B20809" s="55" t="s">
        <v>283</v>
      </c>
      <c r="C20809" s="46">
        <v>797</v>
      </c>
      <c r="D20809" s="69" t="s">
        <v>29420</v>
      </c>
      <c r="E20809" s="51"/>
      <c r="F20809" s="114" t="str">
        <f>IF(INDEX(I.Facility.P4IDNumber,797)="","",INDEX(I.Facility.P4IDNumber,797))</f>
        <v/>
      </c>
      <c r="G20809" s="51"/>
      <c r="H20809" s="46" t="str">
        <f>IF(AND(I.Developer.P4=TRUE,I.Facility.P4FacilityCount&gt;=797,F20809=""),"Incomplete","Complete")</f>
        <v>Complete</v>
      </c>
      <c r="I20809" s="48" t="s">
        <v>25174</v>
      </c>
    </row>
    <row r="20810" spans="2:9" ht="15" customHeight="1" x14ac:dyDescent="0.25">
      <c r="B20810" s="55" t="s">
        <v>283</v>
      </c>
      <c r="C20810" s="46">
        <v>798</v>
      </c>
      <c r="D20810" s="69" t="s">
        <v>29420</v>
      </c>
      <c r="E20810" s="51"/>
      <c r="F20810" s="114" t="str">
        <f>IF(INDEX(I.Facility.P4IDNumber,798)="","",INDEX(I.Facility.P4IDNumber,798))</f>
        <v/>
      </c>
      <c r="G20810" s="51"/>
      <c r="H20810" s="46" t="str">
        <f>IF(AND(I.Developer.P4=TRUE,I.Facility.P4FacilityCount&gt;=798,F20810=""),"Incomplete","Complete")</f>
        <v>Complete</v>
      </c>
      <c r="I20810" s="48" t="s">
        <v>25175</v>
      </c>
    </row>
    <row r="20811" spans="2:9" ht="15" customHeight="1" x14ac:dyDescent="0.25">
      <c r="B20811" s="55" t="s">
        <v>283</v>
      </c>
      <c r="C20811" s="46">
        <v>799</v>
      </c>
      <c r="D20811" s="69" t="s">
        <v>29420</v>
      </c>
      <c r="E20811" s="51"/>
      <c r="F20811" s="114" t="str">
        <f>IF(INDEX(I.Facility.P4IDNumber,799)="","",INDEX(I.Facility.P4IDNumber,799))</f>
        <v/>
      </c>
      <c r="G20811" s="51"/>
      <c r="H20811" s="46" t="str">
        <f>IF(AND(I.Developer.P4=TRUE,I.Facility.P4FacilityCount&gt;=799,F20811=""),"Incomplete","Complete")</f>
        <v>Complete</v>
      </c>
      <c r="I20811" s="48" t="s">
        <v>25176</v>
      </c>
    </row>
    <row r="20812" spans="2:9" ht="15" customHeight="1" x14ac:dyDescent="0.25">
      <c r="B20812" s="55" t="s">
        <v>283</v>
      </c>
      <c r="C20812" s="46">
        <v>800</v>
      </c>
      <c r="D20812" s="69" t="s">
        <v>29420</v>
      </c>
      <c r="E20812" s="51"/>
      <c r="F20812" s="114" t="str">
        <f>IF(INDEX(I.Facility.P4IDNumber,800)="","",INDEX(I.Facility.P4IDNumber,800))</f>
        <v/>
      </c>
      <c r="G20812" s="51"/>
      <c r="H20812" s="46" t="str">
        <f>IF(AND(I.Developer.P4=TRUE,I.Facility.P4FacilityCount&gt;=800,F20812=""),"Incomplete","Complete")</f>
        <v>Complete</v>
      </c>
      <c r="I20812" s="48" t="s">
        <v>25177</v>
      </c>
    </row>
    <row r="20813" spans="2:9" ht="15" customHeight="1" x14ac:dyDescent="0.25">
      <c r="B20813" s="55" t="s">
        <v>283</v>
      </c>
      <c r="C20813" s="46">
        <v>801</v>
      </c>
      <c r="D20813" s="69" t="s">
        <v>29420</v>
      </c>
      <c r="E20813" s="51"/>
      <c r="F20813" s="114" t="str">
        <f>IF(INDEX(I.Facility.P4IDNumber,801)="","",INDEX(I.Facility.P4IDNumber,801))</f>
        <v/>
      </c>
      <c r="G20813" s="51"/>
      <c r="H20813" s="46" t="str">
        <f>IF(AND(I.Developer.P4=TRUE,I.Facility.P4FacilityCount&gt;=801,F20813=""),"Incomplete","Complete")</f>
        <v>Complete</v>
      </c>
      <c r="I20813" s="48" t="s">
        <v>25178</v>
      </c>
    </row>
    <row r="20814" spans="2:9" ht="15" customHeight="1" x14ac:dyDescent="0.25">
      <c r="B20814" s="55" t="s">
        <v>283</v>
      </c>
      <c r="C20814" s="46">
        <v>802</v>
      </c>
      <c r="D20814" s="69" t="s">
        <v>29420</v>
      </c>
      <c r="E20814" s="51"/>
      <c r="F20814" s="114" t="str">
        <f>IF(INDEX(I.Facility.P4IDNumber,802)="","",INDEX(I.Facility.P4IDNumber,802))</f>
        <v/>
      </c>
      <c r="G20814" s="51"/>
      <c r="H20814" s="46" t="str">
        <f>IF(AND(I.Developer.P4=TRUE,I.Facility.P4FacilityCount&gt;=802,F20814=""),"Incomplete","Complete")</f>
        <v>Complete</v>
      </c>
      <c r="I20814" s="48" t="s">
        <v>25179</v>
      </c>
    </row>
    <row r="20815" spans="2:9" ht="15" customHeight="1" x14ac:dyDescent="0.25">
      <c r="B20815" s="55" t="s">
        <v>283</v>
      </c>
      <c r="C20815" s="46">
        <v>803</v>
      </c>
      <c r="D20815" s="69" t="s">
        <v>29420</v>
      </c>
      <c r="E20815" s="51"/>
      <c r="F20815" s="114" t="str">
        <f>IF(INDEX(I.Facility.P4IDNumber,803)="","",INDEX(I.Facility.P4IDNumber,803))</f>
        <v/>
      </c>
      <c r="G20815" s="51"/>
      <c r="H20815" s="46" t="str">
        <f>IF(AND(I.Developer.P4=TRUE,I.Facility.P4FacilityCount&gt;=803,F20815=""),"Incomplete","Complete")</f>
        <v>Complete</v>
      </c>
      <c r="I20815" s="48" t="s">
        <v>25180</v>
      </c>
    </row>
    <row r="20816" spans="2:9" ht="15" customHeight="1" x14ac:dyDescent="0.25">
      <c r="B20816" s="55" t="s">
        <v>283</v>
      </c>
      <c r="C20816" s="46">
        <v>804</v>
      </c>
      <c r="D20816" s="69" t="s">
        <v>29420</v>
      </c>
      <c r="E20816" s="51"/>
      <c r="F20816" s="114" t="str">
        <f>IF(INDEX(I.Facility.P4IDNumber,804)="","",INDEX(I.Facility.P4IDNumber,804))</f>
        <v/>
      </c>
      <c r="G20816" s="51"/>
      <c r="H20816" s="46" t="str">
        <f>IF(AND(I.Developer.P4=TRUE,I.Facility.P4FacilityCount&gt;=804,F20816=""),"Incomplete","Complete")</f>
        <v>Complete</v>
      </c>
      <c r="I20816" s="48" t="s">
        <v>25181</v>
      </c>
    </row>
    <row r="20817" spans="2:9" ht="15" customHeight="1" x14ac:dyDescent="0.25">
      <c r="B20817" s="55" t="s">
        <v>283</v>
      </c>
      <c r="C20817" s="46">
        <v>805</v>
      </c>
      <c r="D20817" s="69" t="s">
        <v>29420</v>
      </c>
      <c r="E20817" s="51"/>
      <c r="F20817" s="114" t="str">
        <f>IF(INDEX(I.Facility.P4IDNumber,805)="","",INDEX(I.Facility.P4IDNumber,805))</f>
        <v/>
      </c>
      <c r="G20817" s="51"/>
      <c r="H20817" s="46" t="str">
        <f>IF(AND(I.Developer.P4=TRUE,I.Facility.P4FacilityCount&gt;=805,F20817=""),"Incomplete","Complete")</f>
        <v>Complete</v>
      </c>
      <c r="I20817" s="48" t="s">
        <v>25182</v>
      </c>
    </row>
    <row r="20818" spans="2:9" ht="15" customHeight="1" x14ac:dyDescent="0.25">
      <c r="B20818" s="55" t="s">
        <v>283</v>
      </c>
      <c r="C20818" s="46">
        <v>806</v>
      </c>
      <c r="D20818" s="69" t="s">
        <v>29420</v>
      </c>
      <c r="E20818" s="51"/>
      <c r="F20818" s="114" t="str">
        <f>IF(INDEX(I.Facility.P4IDNumber,806)="","",INDEX(I.Facility.P4IDNumber,806))</f>
        <v/>
      </c>
      <c r="G20818" s="51"/>
      <c r="H20818" s="46" t="str">
        <f>IF(AND(I.Developer.P4=TRUE,I.Facility.P4FacilityCount&gt;=806,F20818=""),"Incomplete","Complete")</f>
        <v>Complete</v>
      </c>
      <c r="I20818" s="48" t="s">
        <v>25183</v>
      </c>
    </row>
    <row r="20819" spans="2:9" ht="15" customHeight="1" x14ac:dyDescent="0.25">
      <c r="B20819" s="55" t="s">
        <v>283</v>
      </c>
      <c r="C20819" s="46">
        <v>807</v>
      </c>
      <c r="D20819" s="69" t="s">
        <v>29420</v>
      </c>
      <c r="E20819" s="51"/>
      <c r="F20819" s="114" t="str">
        <f>IF(INDEX(I.Facility.P4IDNumber,807)="","",INDEX(I.Facility.P4IDNumber,807))</f>
        <v/>
      </c>
      <c r="G20819" s="51"/>
      <c r="H20819" s="46" t="str">
        <f>IF(AND(I.Developer.P4=TRUE,I.Facility.P4FacilityCount&gt;=807,F20819=""),"Incomplete","Complete")</f>
        <v>Complete</v>
      </c>
      <c r="I20819" s="48" t="s">
        <v>25184</v>
      </c>
    </row>
    <row r="20820" spans="2:9" ht="15" customHeight="1" x14ac:dyDescent="0.25">
      <c r="B20820" s="55" t="s">
        <v>283</v>
      </c>
      <c r="C20820" s="46">
        <v>808</v>
      </c>
      <c r="D20820" s="69" t="s">
        <v>29420</v>
      </c>
      <c r="E20820" s="51"/>
      <c r="F20820" s="114" t="str">
        <f>IF(INDEX(I.Facility.P4IDNumber,808)="","",INDEX(I.Facility.P4IDNumber,808))</f>
        <v/>
      </c>
      <c r="G20820" s="51"/>
      <c r="H20820" s="46" t="str">
        <f>IF(AND(I.Developer.P4=TRUE,I.Facility.P4FacilityCount&gt;=808,F20820=""),"Incomplete","Complete")</f>
        <v>Complete</v>
      </c>
      <c r="I20820" s="48" t="s">
        <v>25185</v>
      </c>
    </row>
    <row r="20821" spans="2:9" ht="15" customHeight="1" x14ac:dyDescent="0.25">
      <c r="B20821" s="55" t="s">
        <v>283</v>
      </c>
      <c r="C20821" s="46">
        <v>809</v>
      </c>
      <c r="D20821" s="69" t="s">
        <v>29420</v>
      </c>
      <c r="E20821" s="51"/>
      <c r="F20821" s="114" t="str">
        <f>IF(INDEX(I.Facility.P4IDNumber,809)="","",INDEX(I.Facility.P4IDNumber,809))</f>
        <v/>
      </c>
      <c r="G20821" s="51"/>
      <c r="H20821" s="46" t="str">
        <f>IF(AND(I.Developer.P4=TRUE,I.Facility.P4FacilityCount&gt;=809,F20821=""),"Incomplete","Complete")</f>
        <v>Complete</v>
      </c>
      <c r="I20821" s="48" t="s">
        <v>25186</v>
      </c>
    </row>
    <row r="20822" spans="2:9" ht="15" customHeight="1" x14ac:dyDescent="0.25">
      <c r="B20822" s="55" t="s">
        <v>283</v>
      </c>
      <c r="C20822" s="46">
        <v>810</v>
      </c>
      <c r="D20822" s="69" t="s">
        <v>29420</v>
      </c>
      <c r="E20822" s="51"/>
      <c r="F20822" s="114" t="str">
        <f>IF(INDEX(I.Facility.P4IDNumber,810)="","",INDEX(I.Facility.P4IDNumber,810))</f>
        <v/>
      </c>
      <c r="G20822" s="51"/>
      <c r="H20822" s="46" t="str">
        <f>IF(AND(I.Developer.P4=TRUE,I.Facility.P4FacilityCount&gt;=810,F20822=""),"Incomplete","Complete")</f>
        <v>Complete</v>
      </c>
      <c r="I20822" s="48" t="s">
        <v>25187</v>
      </c>
    </row>
    <row r="20823" spans="2:9" ht="15" customHeight="1" x14ac:dyDescent="0.25">
      <c r="B20823" s="55" t="s">
        <v>283</v>
      </c>
      <c r="C20823" s="46">
        <v>811</v>
      </c>
      <c r="D20823" s="69" t="s">
        <v>29420</v>
      </c>
      <c r="E20823" s="51"/>
      <c r="F20823" s="114" t="str">
        <f>IF(INDEX(I.Facility.P4IDNumber,811)="","",INDEX(I.Facility.P4IDNumber,811))</f>
        <v/>
      </c>
      <c r="G20823" s="51"/>
      <c r="H20823" s="46" t="str">
        <f>IF(AND(I.Developer.P4=TRUE,I.Facility.P4FacilityCount&gt;=811,F20823=""),"Incomplete","Complete")</f>
        <v>Complete</v>
      </c>
      <c r="I20823" s="48" t="s">
        <v>25188</v>
      </c>
    </row>
    <row r="20824" spans="2:9" ht="15" customHeight="1" x14ac:dyDescent="0.25">
      <c r="B20824" s="55" t="s">
        <v>283</v>
      </c>
      <c r="C20824" s="46">
        <v>812</v>
      </c>
      <c r="D20824" s="69" t="s">
        <v>29420</v>
      </c>
      <c r="E20824" s="51"/>
      <c r="F20824" s="114" t="str">
        <f>IF(INDEX(I.Facility.P4IDNumber,812)="","",INDEX(I.Facility.P4IDNumber,812))</f>
        <v/>
      </c>
      <c r="G20824" s="51"/>
      <c r="H20824" s="46" t="str">
        <f>IF(AND(I.Developer.P4=TRUE,I.Facility.P4FacilityCount&gt;=812,F20824=""),"Incomplete","Complete")</f>
        <v>Complete</v>
      </c>
      <c r="I20824" s="48" t="s">
        <v>25189</v>
      </c>
    </row>
    <row r="20825" spans="2:9" ht="15" customHeight="1" x14ac:dyDescent="0.25">
      <c r="B20825" s="55" t="s">
        <v>283</v>
      </c>
      <c r="C20825" s="46">
        <v>813</v>
      </c>
      <c r="D20825" s="69" t="s">
        <v>29420</v>
      </c>
      <c r="E20825" s="51"/>
      <c r="F20825" s="114" t="str">
        <f>IF(INDEX(I.Facility.P4IDNumber,813)="","",INDEX(I.Facility.P4IDNumber,813))</f>
        <v/>
      </c>
      <c r="G20825" s="51"/>
      <c r="H20825" s="46" t="str">
        <f>IF(AND(I.Developer.P4=TRUE,I.Facility.P4FacilityCount&gt;=813,F20825=""),"Incomplete","Complete")</f>
        <v>Complete</v>
      </c>
      <c r="I20825" s="48" t="s">
        <v>25190</v>
      </c>
    </row>
    <row r="20826" spans="2:9" ht="15" customHeight="1" x14ac:dyDescent="0.25">
      <c r="B20826" s="55" t="s">
        <v>283</v>
      </c>
      <c r="C20826" s="46">
        <v>814</v>
      </c>
      <c r="D20826" s="69" t="s">
        <v>29420</v>
      </c>
      <c r="E20826" s="51"/>
      <c r="F20826" s="114" t="str">
        <f>IF(INDEX(I.Facility.P4IDNumber,814)="","",INDEX(I.Facility.P4IDNumber,814))</f>
        <v/>
      </c>
      <c r="G20826" s="51"/>
      <c r="H20826" s="46" t="str">
        <f>IF(AND(I.Developer.P4=TRUE,I.Facility.P4FacilityCount&gt;=814,F20826=""),"Incomplete","Complete")</f>
        <v>Complete</v>
      </c>
      <c r="I20826" s="48" t="s">
        <v>25191</v>
      </c>
    </row>
    <row r="20827" spans="2:9" ht="15" customHeight="1" x14ac:dyDescent="0.25">
      <c r="B20827" s="55" t="s">
        <v>283</v>
      </c>
      <c r="C20827" s="46">
        <v>815</v>
      </c>
      <c r="D20827" s="69" t="s">
        <v>29420</v>
      </c>
      <c r="E20827" s="51"/>
      <c r="F20827" s="114" t="str">
        <f>IF(INDEX(I.Facility.P4IDNumber,815)="","",INDEX(I.Facility.P4IDNumber,815))</f>
        <v/>
      </c>
      <c r="G20827" s="51"/>
      <c r="H20827" s="46" t="str">
        <f>IF(AND(I.Developer.P4=TRUE,I.Facility.P4FacilityCount&gt;=815,F20827=""),"Incomplete","Complete")</f>
        <v>Complete</v>
      </c>
      <c r="I20827" s="48" t="s">
        <v>25192</v>
      </c>
    </row>
    <row r="20828" spans="2:9" ht="15" customHeight="1" x14ac:dyDescent="0.25">
      <c r="B20828" s="55" t="s">
        <v>283</v>
      </c>
      <c r="C20828" s="46">
        <v>816</v>
      </c>
      <c r="D20828" s="69" t="s">
        <v>29420</v>
      </c>
      <c r="E20828" s="51"/>
      <c r="F20828" s="114" t="str">
        <f>IF(INDEX(I.Facility.P4IDNumber,816)="","",INDEX(I.Facility.P4IDNumber,816))</f>
        <v/>
      </c>
      <c r="G20828" s="51"/>
      <c r="H20828" s="46" t="str">
        <f>IF(AND(I.Developer.P4=TRUE,I.Facility.P4FacilityCount&gt;=816,F20828=""),"Incomplete","Complete")</f>
        <v>Complete</v>
      </c>
      <c r="I20828" s="48" t="s">
        <v>25193</v>
      </c>
    </row>
    <row r="20829" spans="2:9" ht="15" customHeight="1" x14ac:dyDescent="0.25">
      <c r="B20829" s="55" t="s">
        <v>283</v>
      </c>
      <c r="C20829" s="46">
        <v>817</v>
      </c>
      <c r="D20829" s="69" t="s">
        <v>29420</v>
      </c>
      <c r="E20829" s="51"/>
      <c r="F20829" s="114" t="str">
        <f>IF(INDEX(I.Facility.P4IDNumber,817)="","",INDEX(I.Facility.P4IDNumber,817))</f>
        <v/>
      </c>
      <c r="G20829" s="51"/>
      <c r="H20829" s="46" t="str">
        <f>IF(AND(I.Developer.P4=TRUE,I.Facility.P4FacilityCount&gt;=817,F20829=""),"Incomplete","Complete")</f>
        <v>Complete</v>
      </c>
      <c r="I20829" s="48" t="s">
        <v>25194</v>
      </c>
    </row>
    <row r="20830" spans="2:9" ht="15" customHeight="1" x14ac:dyDescent="0.25">
      <c r="B20830" s="55" t="s">
        <v>283</v>
      </c>
      <c r="C20830" s="46">
        <v>818</v>
      </c>
      <c r="D20830" s="69" t="s">
        <v>29420</v>
      </c>
      <c r="E20830" s="51"/>
      <c r="F20830" s="114" t="str">
        <f>IF(INDEX(I.Facility.P4IDNumber,818)="","",INDEX(I.Facility.P4IDNumber,818))</f>
        <v/>
      </c>
      <c r="G20830" s="51"/>
      <c r="H20830" s="46" t="str">
        <f>IF(AND(I.Developer.P4=TRUE,I.Facility.P4FacilityCount&gt;=818,F20830=""),"Incomplete","Complete")</f>
        <v>Complete</v>
      </c>
      <c r="I20830" s="48" t="s">
        <v>25195</v>
      </c>
    </row>
    <row r="20831" spans="2:9" ht="15" customHeight="1" x14ac:dyDescent="0.25">
      <c r="B20831" s="55" t="s">
        <v>283</v>
      </c>
      <c r="C20831" s="46">
        <v>819</v>
      </c>
      <c r="D20831" s="69" t="s">
        <v>29420</v>
      </c>
      <c r="E20831" s="51"/>
      <c r="F20831" s="114" t="str">
        <f>IF(INDEX(I.Facility.P4IDNumber,819)="","",INDEX(I.Facility.P4IDNumber,819))</f>
        <v/>
      </c>
      <c r="G20831" s="51"/>
      <c r="H20831" s="46" t="str">
        <f>IF(AND(I.Developer.P4=TRUE,I.Facility.P4FacilityCount&gt;=819,F20831=""),"Incomplete","Complete")</f>
        <v>Complete</v>
      </c>
      <c r="I20831" s="48" t="s">
        <v>25196</v>
      </c>
    </row>
    <row r="20832" spans="2:9" ht="15" customHeight="1" x14ac:dyDescent="0.25">
      <c r="B20832" s="55" t="s">
        <v>283</v>
      </c>
      <c r="C20832" s="46">
        <v>820</v>
      </c>
      <c r="D20832" s="69" t="s">
        <v>29420</v>
      </c>
      <c r="E20832" s="51"/>
      <c r="F20832" s="114" t="str">
        <f>IF(INDEX(I.Facility.P4IDNumber,820)="","",INDEX(I.Facility.P4IDNumber,820))</f>
        <v/>
      </c>
      <c r="G20832" s="51"/>
      <c r="H20832" s="46" t="str">
        <f>IF(AND(I.Developer.P4=TRUE,I.Facility.P4FacilityCount&gt;=820,F20832=""),"Incomplete","Complete")</f>
        <v>Complete</v>
      </c>
      <c r="I20832" s="48" t="s">
        <v>25197</v>
      </c>
    </row>
    <row r="20833" spans="2:9" ht="15" customHeight="1" x14ac:dyDescent="0.25">
      <c r="B20833" s="55" t="s">
        <v>283</v>
      </c>
      <c r="C20833" s="46">
        <v>821</v>
      </c>
      <c r="D20833" s="69" t="s">
        <v>29420</v>
      </c>
      <c r="E20833" s="51"/>
      <c r="F20833" s="114" t="str">
        <f>IF(INDEX(I.Facility.P4IDNumber,821)="","",INDEX(I.Facility.P4IDNumber,821))</f>
        <v/>
      </c>
      <c r="G20833" s="51"/>
      <c r="H20833" s="46" t="str">
        <f>IF(AND(I.Developer.P4=TRUE,I.Facility.P4FacilityCount&gt;=821,F20833=""),"Incomplete","Complete")</f>
        <v>Complete</v>
      </c>
      <c r="I20833" s="48" t="s">
        <v>25198</v>
      </c>
    </row>
    <row r="20834" spans="2:9" ht="15" customHeight="1" x14ac:dyDescent="0.25">
      <c r="B20834" s="55" t="s">
        <v>283</v>
      </c>
      <c r="C20834" s="46">
        <v>822</v>
      </c>
      <c r="D20834" s="69" t="s">
        <v>29420</v>
      </c>
      <c r="E20834" s="51"/>
      <c r="F20834" s="114" t="str">
        <f>IF(INDEX(I.Facility.P4IDNumber,822)="","",INDEX(I.Facility.P4IDNumber,822))</f>
        <v/>
      </c>
      <c r="G20834" s="51"/>
      <c r="H20834" s="46" t="str">
        <f>IF(AND(I.Developer.P4=TRUE,I.Facility.P4FacilityCount&gt;=822,F20834=""),"Incomplete","Complete")</f>
        <v>Complete</v>
      </c>
      <c r="I20834" s="48" t="s">
        <v>25199</v>
      </c>
    </row>
    <row r="20835" spans="2:9" ht="15" customHeight="1" x14ac:dyDescent="0.25">
      <c r="B20835" s="55" t="s">
        <v>283</v>
      </c>
      <c r="C20835" s="46">
        <v>823</v>
      </c>
      <c r="D20835" s="69" t="s">
        <v>29420</v>
      </c>
      <c r="E20835" s="51"/>
      <c r="F20835" s="114" t="str">
        <f>IF(INDEX(I.Facility.P4IDNumber,823)="","",INDEX(I.Facility.P4IDNumber,823))</f>
        <v/>
      </c>
      <c r="G20835" s="51"/>
      <c r="H20835" s="46" t="str">
        <f>IF(AND(I.Developer.P4=TRUE,I.Facility.P4FacilityCount&gt;=823,F20835=""),"Incomplete","Complete")</f>
        <v>Complete</v>
      </c>
      <c r="I20835" s="48" t="s">
        <v>25200</v>
      </c>
    </row>
    <row r="20836" spans="2:9" ht="15" customHeight="1" x14ac:dyDescent="0.25">
      <c r="B20836" s="55" t="s">
        <v>283</v>
      </c>
      <c r="C20836" s="46">
        <v>824</v>
      </c>
      <c r="D20836" s="69" t="s">
        <v>29420</v>
      </c>
      <c r="E20836" s="51"/>
      <c r="F20836" s="114" t="str">
        <f>IF(INDEX(I.Facility.P4IDNumber,824)="","",INDEX(I.Facility.P4IDNumber,824))</f>
        <v/>
      </c>
      <c r="G20836" s="51"/>
      <c r="H20836" s="46" t="str">
        <f>IF(AND(I.Developer.P4=TRUE,I.Facility.P4FacilityCount&gt;=824,F20836=""),"Incomplete","Complete")</f>
        <v>Complete</v>
      </c>
      <c r="I20836" s="48" t="s">
        <v>25201</v>
      </c>
    </row>
    <row r="20837" spans="2:9" ht="15" customHeight="1" x14ac:dyDescent="0.25">
      <c r="B20837" s="55" t="s">
        <v>283</v>
      </c>
      <c r="C20837" s="46">
        <v>825</v>
      </c>
      <c r="D20837" s="69" t="s">
        <v>29420</v>
      </c>
      <c r="E20837" s="51"/>
      <c r="F20837" s="114" t="str">
        <f>IF(INDEX(I.Facility.P4IDNumber,825)="","",INDEX(I.Facility.P4IDNumber,825))</f>
        <v/>
      </c>
      <c r="G20837" s="51"/>
      <c r="H20837" s="46" t="str">
        <f>IF(AND(I.Developer.P4=TRUE,I.Facility.P4FacilityCount&gt;=825,F20837=""),"Incomplete","Complete")</f>
        <v>Complete</v>
      </c>
      <c r="I20837" s="48" t="s">
        <v>25202</v>
      </c>
    </row>
    <row r="20838" spans="2:9" ht="15" customHeight="1" x14ac:dyDescent="0.25">
      <c r="B20838" s="55" t="s">
        <v>283</v>
      </c>
      <c r="C20838" s="46">
        <v>826</v>
      </c>
      <c r="D20838" s="69" t="s">
        <v>29420</v>
      </c>
      <c r="E20838" s="51"/>
      <c r="F20838" s="114" t="str">
        <f>IF(INDEX(I.Facility.P4IDNumber,826)="","",INDEX(I.Facility.P4IDNumber,826))</f>
        <v/>
      </c>
      <c r="G20838" s="51"/>
      <c r="H20838" s="46" t="str">
        <f>IF(AND(I.Developer.P4=TRUE,I.Facility.P4FacilityCount&gt;=826,F20838=""),"Incomplete","Complete")</f>
        <v>Complete</v>
      </c>
      <c r="I20838" s="48" t="s">
        <v>25203</v>
      </c>
    </row>
    <row r="20839" spans="2:9" ht="15" customHeight="1" x14ac:dyDescent="0.25">
      <c r="B20839" s="55" t="s">
        <v>283</v>
      </c>
      <c r="C20839" s="46">
        <v>827</v>
      </c>
      <c r="D20839" s="69" t="s">
        <v>29420</v>
      </c>
      <c r="E20839" s="51"/>
      <c r="F20839" s="114" t="str">
        <f>IF(INDEX(I.Facility.P4IDNumber,827)="","",INDEX(I.Facility.P4IDNumber,827))</f>
        <v/>
      </c>
      <c r="G20839" s="51"/>
      <c r="H20839" s="46" t="str">
        <f>IF(AND(I.Developer.P4=TRUE,I.Facility.P4FacilityCount&gt;=827,F20839=""),"Incomplete","Complete")</f>
        <v>Complete</v>
      </c>
      <c r="I20839" s="48" t="s">
        <v>25204</v>
      </c>
    </row>
    <row r="20840" spans="2:9" ht="15" customHeight="1" x14ac:dyDescent="0.25">
      <c r="B20840" s="55" t="s">
        <v>283</v>
      </c>
      <c r="C20840" s="46">
        <v>828</v>
      </c>
      <c r="D20840" s="69" t="s">
        <v>29420</v>
      </c>
      <c r="E20840" s="51"/>
      <c r="F20840" s="114" t="str">
        <f>IF(INDEX(I.Facility.P4IDNumber,828)="","",INDEX(I.Facility.P4IDNumber,828))</f>
        <v/>
      </c>
      <c r="G20840" s="51"/>
      <c r="H20840" s="46" t="str">
        <f>IF(AND(I.Developer.P4=TRUE,I.Facility.P4FacilityCount&gt;=828,F20840=""),"Incomplete","Complete")</f>
        <v>Complete</v>
      </c>
      <c r="I20840" s="48" t="s">
        <v>25205</v>
      </c>
    </row>
    <row r="20841" spans="2:9" ht="15" customHeight="1" x14ac:dyDescent="0.25">
      <c r="B20841" s="55" t="s">
        <v>283</v>
      </c>
      <c r="C20841" s="46">
        <v>829</v>
      </c>
      <c r="D20841" s="69" t="s">
        <v>29420</v>
      </c>
      <c r="E20841" s="51"/>
      <c r="F20841" s="114" t="str">
        <f>IF(INDEX(I.Facility.P4IDNumber,829)="","",INDEX(I.Facility.P4IDNumber,829))</f>
        <v/>
      </c>
      <c r="G20841" s="51"/>
      <c r="H20841" s="46" t="str">
        <f>IF(AND(I.Developer.P4=TRUE,I.Facility.P4FacilityCount&gt;=829,F20841=""),"Incomplete","Complete")</f>
        <v>Complete</v>
      </c>
      <c r="I20841" s="48" t="s">
        <v>25206</v>
      </c>
    </row>
    <row r="20842" spans="2:9" ht="15" customHeight="1" x14ac:dyDescent="0.25">
      <c r="B20842" s="55" t="s">
        <v>283</v>
      </c>
      <c r="C20842" s="46">
        <v>830</v>
      </c>
      <c r="D20842" s="69" t="s">
        <v>29420</v>
      </c>
      <c r="E20842" s="51"/>
      <c r="F20842" s="114" t="str">
        <f>IF(INDEX(I.Facility.P4IDNumber,830)="","",INDEX(I.Facility.P4IDNumber,830))</f>
        <v/>
      </c>
      <c r="G20842" s="51"/>
      <c r="H20842" s="46" t="str">
        <f>IF(AND(I.Developer.P4=TRUE,I.Facility.P4FacilityCount&gt;=830,F20842=""),"Incomplete","Complete")</f>
        <v>Complete</v>
      </c>
      <c r="I20842" s="48" t="s">
        <v>25207</v>
      </c>
    </row>
    <row r="20843" spans="2:9" ht="15" customHeight="1" x14ac:dyDescent="0.25">
      <c r="B20843" s="55" t="s">
        <v>283</v>
      </c>
      <c r="C20843" s="46">
        <v>831</v>
      </c>
      <c r="D20843" s="69" t="s">
        <v>29420</v>
      </c>
      <c r="E20843" s="51"/>
      <c r="F20843" s="114" t="str">
        <f>IF(INDEX(I.Facility.P4IDNumber,831)="","",INDEX(I.Facility.P4IDNumber,831))</f>
        <v/>
      </c>
      <c r="G20843" s="51"/>
      <c r="H20843" s="46" t="str">
        <f>IF(AND(I.Developer.P4=TRUE,I.Facility.P4FacilityCount&gt;=831,F20843=""),"Incomplete","Complete")</f>
        <v>Complete</v>
      </c>
      <c r="I20843" s="48" t="s">
        <v>25208</v>
      </c>
    </row>
    <row r="20844" spans="2:9" ht="15" customHeight="1" x14ac:dyDescent="0.25">
      <c r="B20844" s="55" t="s">
        <v>283</v>
      </c>
      <c r="C20844" s="46">
        <v>832</v>
      </c>
      <c r="D20844" s="69" t="s">
        <v>29420</v>
      </c>
      <c r="E20844" s="51"/>
      <c r="F20844" s="114" t="str">
        <f>IF(INDEX(I.Facility.P4IDNumber,832)="","",INDEX(I.Facility.P4IDNumber,832))</f>
        <v/>
      </c>
      <c r="G20844" s="51"/>
      <c r="H20844" s="46" t="str">
        <f>IF(AND(I.Developer.P4=TRUE,I.Facility.P4FacilityCount&gt;=832,F20844=""),"Incomplete","Complete")</f>
        <v>Complete</v>
      </c>
      <c r="I20844" s="48" t="s">
        <v>25209</v>
      </c>
    </row>
    <row r="20845" spans="2:9" ht="15" customHeight="1" x14ac:dyDescent="0.25">
      <c r="B20845" s="55" t="s">
        <v>283</v>
      </c>
      <c r="C20845" s="46">
        <v>833</v>
      </c>
      <c r="D20845" s="69" t="s">
        <v>29420</v>
      </c>
      <c r="E20845" s="51"/>
      <c r="F20845" s="114" t="str">
        <f>IF(INDEX(I.Facility.P4IDNumber,833)="","",INDEX(I.Facility.P4IDNumber,833))</f>
        <v/>
      </c>
      <c r="G20845" s="51"/>
      <c r="H20845" s="46" t="str">
        <f>IF(AND(I.Developer.P4=TRUE,I.Facility.P4FacilityCount&gt;=833,F20845=""),"Incomplete","Complete")</f>
        <v>Complete</v>
      </c>
      <c r="I20845" s="48" t="s">
        <v>25210</v>
      </c>
    </row>
    <row r="20846" spans="2:9" ht="15" customHeight="1" x14ac:dyDescent="0.25">
      <c r="B20846" s="55" t="s">
        <v>283</v>
      </c>
      <c r="C20846" s="46">
        <v>834</v>
      </c>
      <c r="D20846" s="69" t="s">
        <v>29420</v>
      </c>
      <c r="E20846" s="51"/>
      <c r="F20846" s="114" t="str">
        <f>IF(INDEX(I.Facility.P4IDNumber,834)="","",INDEX(I.Facility.P4IDNumber,834))</f>
        <v/>
      </c>
      <c r="G20846" s="51"/>
      <c r="H20846" s="46" t="str">
        <f>IF(AND(I.Developer.P4=TRUE,I.Facility.P4FacilityCount&gt;=834,F20846=""),"Incomplete","Complete")</f>
        <v>Complete</v>
      </c>
      <c r="I20846" s="48" t="s">
        <v>25211</v>
      </c>
    </row>
    <row r="20847" spans="2:9" ht="15" customHeight="1" x14ac:dyDescent="0.25">
      <c r="B20847" s="55" t="s">
        <v>283</v>
      </c>
      <c r="C20847" s="46">
        <v>835</v>
      </c>
      <c r="D20847" s="69" t="s">
        <v>29420</v>
      </c>
      <c r="E20847" s="51"/>
      <c r="F20847" s="114" t="str">
        <f>IF(INDEX(I.Facility.P4IDNumber,835)="","",INDEX(I.Facility.P4IDNumber,835))</f>
        <v/>
      </c>
      <c r="G20847" s="51"/>
      <c r="H20847" s="46" t="str">
        <f>IF(AND(I.Developer.P4=TRUE,I.Facility.P4FacilityCount&gt;=835,F20847=""),"Incomplete","Complete")</f>
        <v>Complete</v>
      </c>
      <c r="I20847" s="48" t="s">
        <v>25212</v>
      </c>
    </row>
    <row r="20848" spans="2:9" ht="15" customHeight="1" x14ac:dyDescent="0.25">
      <c r="B20848" s="55" t="s">
        <v>283</v>
      </c>
      <c r="C20848" s="46">
        <v>836</v>
      </c>
      <c r="D20848" s="69" t="s">
        <v>29420</v>
      </c>
      <c r="E20848" s="51"/>
      <c r="F20848" s="114" t="str">
        <f>IF(INDEX(I.Facility.P4IDNumber,836)="","",INDEX(I.Facility.P4IDNumber,836))</f>
        <v/>
      </c>
      <c r="G20848" s="51"/>
      <c r="H20848" s="46" t="str">
        <f>IF(AND(I.Developer.P4=TRUE,I.Facility.P4FacilityCount&gt;=836,F20848=""),"Incomplete","Complete")</f>
        <v>Complete</v>
      </c>
      <c r="I20848" s="48" t="s">
        <v>25213</v>
      </c>
    </row>
    <row r="20849" spans="2:9" ht="15" customHeight="1" x14ac:dyDescent="0.25">
      <c r="B20849" s="55" t="s">
        <v>283</v>
      </c>
      <c r="C20849" s="46">
        <v>837</v>
      </c>
      <c r="D20849" s="69" t="s">
        <v>29420</v>
      </c>
      <c r="E20849" s="51"/>
      <c r="F20849" s="114" t="str">
        <f>IF(INDEX(I.Facility.P4IDNumber,837)="","",INDEX(I.Facility.P4IDNumber,837))</f>
        <v/>
      </c>
      <c r="G20849" s="51"/>
      <c r="H20849" s="46" t="str">
        <f>IF(AND(I.Developer.P4=TRUE,I.Facility.P4FacilityCount&gt;=837,F20849=""),"Incomplete","Complete")</f>
        <v>Complete</v>
      </c>
      <c r="I20849" s="48" t="s">
        <v>25214</v>
      </c>
    </row>
    <row r="20850" spans="2:9" ht="15" customHeight="1" x14ac:dyDescent="0.25">
      <c r="B20850" s="55" t="s">
        <v>283</v>
      </c>
      <c r="C20850" s="46">
        <v>838</v>
      </c>
      <c r="D20850" s="69" t="s">
        <v>29420</v>
      </c>
      <c r="E20850" s="51"/>
      <c r="F20850" s="114" t="str">
        <f>IF(INDEX(I.Facility.P4IDNumber,838)="","",INDEX(I.Facility.P4IDNumber,838))</f>
        <v/>
      </c>
      <c r="G20850" s="51"/>
      <c r="H20850" s="46" t="str">
        <f>IF(AND(I.Developer.P4=TRUE,I.Facility.P4FacilityCount&gt;=838,F20850=""),"Incomplete","Complete")</f>
        <v>Complete</v>
      </c>
      <c r="I20850" s="48" t="s">
        <v>25215</v>
      </c>
    </row>
    <row r="20851" spans="2:9" ht="15" customHeight="1" x14ac:dyDescent="0.25">
      <c r="B20851" s="55" t="s">
        <v>283</v>
      </c>
      <c r="C20851" s="46">
        <v>839</v>
      </c>
      <c r="D20851" s="69" t="s">
        <v>29420</v>
      </c>
      <c r="E20851" s="51"/>
      <c r="F20851" s="114" t="str">
        <f>IF(INDEX(I.Facility.P4IDNumber,839)="","",INDEX(I.Facility.P4IDNumber,839))</f>
        <v/>
      </c>
      <c r="G20851" s="51"/>
      <c r="H20851" s="46" t="str">
        <f>IF(AND(I.Developer.P4=TRUE,I.Facility.P4FacilityCount&gt;=839,F20851=""),"Incomplete","Complete")</f>
        <v>Complete</v>
      </c>
      <c r="I20851" s="48" t="s">
        <v>25216</v>
      </c>
    </row>
    <row r="20852" spans="2:9" ht="15" customHeight="1" x14ac:dyDescent="0.25">
      <c r="B20852" s="55" t="s">
        <v>283</v>
      </c>
      <c r="C20852" s="46">
        <v>840</v>
      </c>
      <c r="D20852" s="69" t="s">
        <v>29420</v>
      </c>
      <c r="E20852" s="51"/>
      <c r="F20852" s="114" t="str">
        <f>IF(INDEX(I.Facility.P4IDNumber,840)="","",INDEX(I.Facility.P4IDNumber,840))</f>
        <v/>
      </c>
      <c r="G20852" s="51"/>
      <c r="H20852" s="46" t="str">
        <f>IF(AND(I.Developer.P4=TRUE,I.Facility.P4FacilityCount&gt;=840,F20852=""),"Incomplete","Complete")</f>
        <v>Complete</v>
      </c>
      <c r="I20852" s="48" t="s">
        <v>25217</v>
      </c>
    </row>
    <row r="20853" spans="2:9" ht="15" customHeight="1" x14ac:dyDescent="0.25">
      <c r="B20853" s="55" t="s">
        <v>283</v>
      </c>
      <c r="C20853" s="46">
        <v>841</v>
      </c>
      <c r="D20853" s="69" t="s">
        <v>29420</v>
      </c>
      <c r="E20853" s="51"/>
      <c r="F20853" s="114" t="str">
        <f>IF(INDEX(I.Facility.P4IDNumber,841)="","",INDEX(I.Facility.P4IDNumber,841))</f>
        <v/>
      </c>
      <c r="G20853" s="51"/>
      <c r="H20853" s="46" t="str">
        <f>IF(AND(I.Developer.P4=TRUE,I.Facility.P4FacilityCount&gt;=841,F20853=""),"Incomplete","Complete")</f>
        <v>Complete</v>
      </c>
      <c r="I20853" s="48" t="s">
        <v>25218</v>
      </c>
    </row>
    <row r="20854" spans="2:9" ht="15" customHeight="1" x14ac:dyDescent="0.25">
      <c r="B20854" s="55" t="s">
        <v>283</v>
      </c>
      <c r="C20854" s="46">
        <v>842</v>
      </c>
      <c r="D20854" s="69" t="s">
        <v>29420</v>
      </c>
      <c r="E20854" s="51"/>
      <c r="F20854" s="114" t="str">
        <f>IF(INDEX(I.Facility.P4IDNumber,842)="","",INDEX(I.Facility.P4IDNumber,842))</f>
        <v/>
      </c>
      <c r="G20854" s="51"/>
      <c r="H20854" s="46" t="str">
        <f>IF(AND(I.Developer.P4=TRUE,I.Facility.P4FacilityCount&gt;=842,F20854=""),"Incomplete","Complete")</f>
        <v>Complete</v>
      </c>
      <c r="I20854" s="48" t="s">
        <v>25219</v>
      </c>
    </row>
    <row r="20855" spans="2:9" ht="15" customHeight="1" x14ac:dyDescent="0.25">
      <c r="B20855" s="55" t="s">
        <v>283</v>
      </c>
      <c r="C20855" s="46">
        <v>843</v>
      </c>
      <c r="D20855" s="69" t="s">
        <v>29420</v>
      </c>
      <c r="E20855" s="51"/>
      <c r="F20855" s="114" t="str">
        <f>IF(INDEX(I.Facility.P4IDNumber,843)="","",INDEX(I.Facility.P4IDNumber,843))</f>
        <v/>
      </c>
      <c r="G20855" s="51"/>
      <c r="H20855" s="46" t="str">
        <f>IF(AND(I.Developer.P4=TRUE,I.Facility.P4FacilityCount&gt;=843,F20855=""),"Incomplete","Complete")</f>
        <v>Complete</v>
      </c>
      <c r="I20855" s="48" t="s">
        <v>25220</v>
      </c>
    </row>
    <row r="20856" spans="2:9" ht="15" customHeight="1" x14ac:dyDescent="0.25">
      <c r="B20856" s="55" t="s">
        <v>283</v>
      </c>
      <c r="C20856" s="46">
        <v>844</v>
      </c>
      <c r="D20856" s="69" t="s">
        <v>29420</v>
      </c>
      <c r="E20856" s="51"/>
      <c r="F20856" s="114" t="str">
        <f>IF(INDEX(I.Facility.P4IDNumber,844)="","",INDEX(I.Facility.P4IDNumber,844))</f>
        <v/>
      </c>
      <c r="G20856" s="51"/>
      <c r="H20856" s="46" t="str">
        <f>IF(AND(I.Developer.P4=TRUE,I.Facility.P4FacilityCount&gt;=844,F20856=""),"Incomplete","Complete")</f>
        <v>Complete</v>
      </c>
      <c r="I20856" s="48" t="s">
        <v>25221</v>
      </c>
    </row>
    <row r="20857" spans="2:9" ht="15" customHeight="1" x14ac:dyDescent="0.25">
      <c r="B20857" s="55" t="s">
        <v>283</v>
      </c>
      <c r="C20857" s="46">
        <v>845</v>
      </c>
      <c r="D20857" s="69" t="s">
        <v>29420</v>
      </c>
      <c r="E20857" s="51"/>
      <c r="F20857" s="114" t="str">
        <f>IF(INDEX(I.Facility.P4IDNumber,845)="","",INDEX(I.Facility.P4IDNumber,845))</f>
        <v/>
      </c>
      <c r="G20857" s="51"/>
      <c r="H20857" s="46" t="str">
        <f>IF(AND(I.Developer.P4=TRUE,I.Facility.P4FacilityCount&gt;=845,F20857=""),"Incomplete","Complete")</f>
        <v>Complete</v>
      </c>
      <c r="I20857" s="48" t="s">
        <v>25222</v>
      </c>
    </row>
    <row r="20858" spans="2:9" ht="15" customHeight="1" x14ac:dyDescent="0.25">
      <c r="B20858" s="55" t="s">
        <v>283</v>
      </c>
      <c r="C20858" s="46">
        <v>846</v>
      </c>
      <c r="D20858" s="69" t="s">
        <v>29420</v>
      </c>
      <c r="E20858" s="51"/>
      <c r="F20858" s="114" t="str">
        <f>IF(INDEX(I.Facility.P4IDNumber,846)="","",INDEX(I.Facility.P4IDNumber,846))</f>
        <v/>
      </c>
      <c r="G20858" s="51"/>
      <c r="H20858" s="46" t="str">
        <f>IF(AND(I.Developer.P4=TRUE,I.Facility.P4FacilityCount&gt;=846,F20858=""),"Incomplete","Complete")</f>
        <v>Complete</v>
      </c>
      <c r="I20858" s="48" t="s">
        <v>25223</v>
      </c>
    </row>
    <row r="20859" spans="2:9" ht="15" customHeight="1" x14ac:dyDescent="0.25">
      <c r="B20859" s="55" t="s">
        <v>283</v>
      </c>
      <c r="C20859" s="46">
        <v>847</v>
      </c>
      <c r="D20859" s="69" t="s">
        <v>29420</v>
      </c>
      <c r="E20859" s="51"/>
      <c r="F20859" s="114" t="str">
        <f>IF(INDEX(I.Facility.P4IDNumber,847)="","",INDEX(I.Facility.P4IDNumber,847))</f>
        <v/>
      </c>
      <c r="G20859" s="51"/>
      <c r="H20859" s="46" t="str">
        <f>IF(AND(I.Developer.P4=TRUE,I.Facility.P4FacilityCount&gt;=847,F20859=""),"Incomplete","Complete")</f>
        <v>Complete</v>
      </c>
      <c r="I20859" s="48" t="s">
        <v>25224</v>
      </c>
    </row>
    <row r="20860" spans="2:9" ht="15" customHeight="1" x14ac:dyDescent="0.25">
      <c r="B20860" s="55" t="s">
        <v>283</v>
      </c>
      <c r="C20860" s="46">
        <v>848</v>
      </c>
      <c r="D20860" s="69" t="s">
        <v>29420</v>
      </c>
      <c r="E20860" s="51"/>
      <c r="F20860" s="114" t="str">
        <f>IF(INDEX(I.Facility.P4IDNumber,848)="","",INDEX(I.Facility.P4IDNumber,848))</f>
        <v/>
      </c>
      <c r="G20860" s="51"/>
      <c r="H20860" s="46" t="str">
        <f>IF(AND(I.Developer.P4=TRUE,I.Facility.P4FacilityCount&gt;=848,F20860=""),"Incomplete","Complete")</f>
        <v>Complete</v>
      </c>
      <c r="I20860" s="48" t="s">
        <v>25225</v>
      </c>
    </row>
    <row r="20861" spans="2:9" ht="15" customHeight="1" x14ac:dyDescent="0.25">
      <c r="B20861" s="55" t="s">
        <v>283</v>
      </c>
      <c r="C20861" s="46">
        <v>849</v>
      </c>
      <c r="D20861" s="69" t="s">
        <v>29420</v>
      </c>
      <c r="E20861" s="51"/>
      <c r="F20861" s="114" t="str">
        <f>IF(INDEX(I.Facility.P4IDNumber,849)="","",INDEX(I.Facility.P4IDNumber,849))</f>
        <v/>
      </c>
      <c r="G20861" s="51"/>
      <c r="H20861" s="46" t="str">
        <f>IF(AND(I.Developer.P4=TRUE,I.Facility.P4FacilityCount&gt;=849,F20861=""),"Incomplete","Complete")</f>
        <v>Complete</v>
      </c>
      <c r="I20861" s="48" t="s">
        <v>25226</v>
      </c>
    </row>
    <row r="20862" spans="2:9" ht="15" customHeight="1" x14ac:dyDescent="0.25">
      <c r="B20862" s="55" t="s">
        <v>283</v>
      </c>
      <c r="C20862" s="46">
        <v>850</v>
      </c>
      <c r="D20862" s="69" t="s">
        <v>29420</v>
      </c>
      <c r="E20862" s="51"/>
      <c r="F20862" s="114" t="str">
        <f>IF(INDEX(I.Facility.P4IDNumber,850)="","",INDEX(I.Facility.P4IDNumber,850))</f>
        <v/>
      </c>
      <c r="G20862" s="51"/>
      <c r="H20862" s="46" t="str">
        <f>IF(AND(I.Developer.P4=TRUE,I.Facility.P4FacilityCount&gt;=850,F20862=""),"Incomplete","Complete")</f>
        <v>Complete</v>
      </c>
      <c r="I20862" s="48" t="s">
        <v>25227</v>
      </c>
    </row>
    <row r="20863" spans="2:9" ht="15" customHeight="1" x14ac:dyDescent="0.25">
      <c r="B20863" s="55" t="s">
        <v>283</v>
      </c>
      <c r="C20863" s="46">
        <v>851</v>
      </c>
      <c r="D20863" s="69" t="s">
        <v>29420</v>
      </c>
      <c r="E20863" s="51"/>
      <c r="F20863" s="114" t="str">
        <f>IF(INDEX(I.Facility.P4IDNumber,851)="","",INDEX(I.Facility.P4IDNumber,851))</f>
        <v/>
      </c>
      <c r="G20863" s="51"/>
      <c r="H20863" s="46" t="str">
        <f>IF(AND(I.Developer.P4=TRUE,I.Facility.P4FacilityCount&gt;=851,F20863=""),"Incomplete","Complete")</f>
        <v>Complete</v>
      </c>
      <c r="I20863" s="48" t="s">
        <v>25228</v>
      </c>
    </row>
    <row r="20864" spans="2:9" ht="15" customHeight="1" x14ac:dyDescent="0.25">
      <c r="B20864" s="55" t="s">
        <v>283</v>
      </c>
      <c r="C20864" s="46">
        <v>852</v>
      </c>
      <c r="D20864" s="69" t="s">
        <v>29420</v>
      </c>
      <c r="E20864" s="51"/>
      <c r="F20864" s="114" t="str">
        <f>IF(INDEX(I.Facility.P4IDNumber,852)="","",INDEX(I.Facility.P4IDNumber,852))</f>
        <v/>
      </c>
      <c r="G20864" s="51"/>
      <c r="H20864" s="46" t="str">
        <f>IF(AND(I.Developer.P4=TRUE,I.Facility.P4FacilityCount&gt;=852,F20864=""),"Incomplete","Complete")</f>
        <v>Complete</v>
      </c>
      <c r="I20864" s="48" t="s">
        <v>25229</v>
      </c>
    </row>
    <row r="20865" spans="2:9" ht="15" customHeight="1" x14ac:dyDescent="0.25">
      <c r="B20865" s="55" t="s">
        <v>283</v>
      </c>
      <c r="C20865" s="46">
        <v>853</v>
      </c>
      <c r="D20865" s="69" t="s">
        <v>29420</v>
      </c>
      <c r="E20865" s="51"/>
      <c r="F20865" s="114" t="str">
        <f>IF(INDEX(I.Facility.P4IDNumber,853)="","",INDEX(I.Facility.P4IDNumber,853))</f>
        <v/>
      </c>
      <c r="G20865" s="51"/>
      <c r="H20865" s="46" t="str">
        <f>IF(AND(I.Developer.P4=TRUE,I.Facility.P4FacilityCount&gt;=853,F20865=""),"Incomplete","Complete")</f>
        <v>Complete</v>
      </c>
      <c r="I20865" s="48" t="s">
        <v>25230</v>
      </c>
    </row>
    <row r="20866" spans="2:9" ht="15" customHeight="1" x14ac:dyDescent="0.25">
      <c r="B20866" s="55" t="s">
        <v>283</v>
      </c>
      <c r="C20866" s="46">
        <v>854</v>
      </c>
      <c r="D20866" s="69" t="s">
        <v>29420</v>
      </c>
      <c r="E20866" s="51"/>
      <c r="F20866" s="114" t="str">
        <f>IF(INDEX(I.Facility.P4IDNumber,854)="","",INDEX(I.Facility.P4IDNumber,854))</f>
        <v/>
      </c>
      <c r="G20866" s="51"/>
      <c r="H20866" s="46" t="str">
        <f>IF(AND(I.Developer.P4=TRUE,I.Facility.P4FacilityCount&gt;=854,F20866=""),"Incomplete","Complete")</f>
        <v>Complete</v>
      </c>
      <c r="I20866" s="48" t="s">
        <v>25231</v>
      </c>
    </row>
    <row r="20867" spans="2:9" ht="15" customHeight="1" x14ac:dyDescent="0.25">
      <c r="B20867" s="55" t="s">
        <v>283</v>
      </c>
      <c r="C20867" s="46">
        <v>855</v>
      </c>
      <c r="D20867" s="69" t="s">
        <v>29420</v>
      </c>
      <c r="E20867" s="51"/>
      <c r="F20867" s="114" t="str">
        <f>IF(INDEX(I.Facility.P4IDNumber,855)="","",INDEX(I.Facility.P4IDNumber,855))</f>
        <v/>
      </c>
      <c r="G20867" s="51"/>
      <c r="H20867" s="46" t="str">
        <f>IF(AND(I.Developer.P4=TRUE,I.Facility.P4FacilityCount&gt;=855,F20867=""),"Incomplete","Complete")</f>
        <v>Complete</v>
      </c>
      <c r="I20867" s="48" t="s">
        <v>25232</v>
      </c>
    </row>
    <row r="20868" spans="2:9" ht="15" customHeight="1" x14ac:dyDescent="0.25">
      <c r="B20868" s="55" t="s">
        <v>283</v>
      </c>
      <c r="C20868" s="46">
        <v>856</v>
      </c>
      <c r="D20868" s="69" t="s">
        <v>29420</v>
      </c>
      <c r="E20868" s="51"/>
      <c r="F20868" s="114" t="str">
        <f>IF(INDEX(I.Facility.P4IDNumber,856)="","",INDEX(I.Facility.P4IDNumber,856))</f>
        <v/>
      </c>
      <c r="G20868" s="51"/>
      <c r="H20868" s="46" t="str">
        <f>IF(AND(I.Developer.P4=TRUE,I.Facility.P4FacilityCount&gt;=856,F20868=""),"Incomplete","Complete")</f>
        <v>Complete</v>
      </c>
      <c r="I20868" s="48" t="s">
        <v>25233</v>
      </c>
    </row>
    <row r="20869" spans="2:9" ht="15" customHeight="1" x14ac:dyDescent="0.25">
      <c r="B20869" s="55" t="s">
        <v>283</v>
      </c>
      <c r="C20869" s="46">
        <v>857</v>
      </c>
      <c r="D20869" s="69" t="s">
        <v>29420</v>
      </c>
      <c r="E20869" s="51"/>
      <c r="F20869" s="114" t="str">
        <f>IF(INDEX(I.Facility.P4IDNumber,857)="","",INDEX(I.Facility.P4IDNumber,857))</f>
        <v/>
      </c>
      <c r="G20869" s="51"/>
      <c r="H20869" s="46" t="str">
        <f>IF(AND(I.Developer.P4=TRUE,I.Facility.P4FacilityCount&gt;=857,F20869=""),"Incomplete","Complete")</f>
        <v>Complete</v>
      </c>
      <c r="I20869" s="48" t="s">
        <v>25234</v>
      </c>
    </row>
    <row r="20870" spans="2:9" ht="15" customHeight="1" x14ac:dyDescent="0.25">
      <c r="B20870" s="55" t="s">
        <v>283</v>
      </c>
      <c r="C20870" s="46">
        <v>858</v>
      </c>
      <c r="D20870" s="69" t="s">
        <v>29420</v>
      </c>
      <c r="E20870" s="51"/>
      <c r="F20870" s="114" t="str">
        <f>IF(INDEX(I.Facility.P4IDNumber,858)="","",INDEX(I.Facility.P4IDNumber,858))</f>
        <v/>
      </c>
      <c r="G20870" s="51"/>
      <c r="H20870" s="46" t="str">
        <f>IF(AND(I.Developer.P4=TRUE,I.Facility.P4FacilityCount&gt;=858,F20870=""),"Incomplete","Complete")</f>
        <v>Complete</v>
      </c>
      <c r="I20870" s="48" t="s">
        <v>25235</v>
      </c>
    </row>
    <row r="20871" spans="2:9" ht="15" customHeight="1" x14ac:dyDescent="0.25">
      <c r="B20871" s="55" t="s">
        <v>283</v>
      </c>
      <c r="C20871" s="46">
        <v>859</v>
      </c>
      <c r="D20871" s="69" t="s">
        <v>29420</v>
      </c>
      <c r="E20871" s="51"/>
      <c r="F20871" s="114" t="str">
        <f>IF(INDEX(I.Facility.P4IDNumber,859)="","",INDEX(I.Facility.P4IDNumber,859))</f>
        <v/>
      </c>
      <c r="G20871" s="51"/>
      <c r="H20871" s="46" t="str">
        <f>IF(AND(I.Developer.P4=TRUE,I.Facility.P4FacilityCount&gt;=859,F20871=""),"Incomplete","Complete")</f>
        <v>Complete</v>
      </c>
      <c r="I20871" s="48" t="s">
        <v>25236</v>
      </c>
    </row>
    <row r="20872" spans="2:9" ht="15" customHeight="1" x14ac:dyDescent="0.25">
      <c r="B20872" s="55" t="s">
        <v>283</v>
      </c>
      <c r="C20872" s="46">
        <v>860</v>
      </c>
      <c r="D20872" s="69" t="s">
        <v>29420</v>
      </c>
      <c r="E20872" s="51"/>
      <c r="F20872" s="114" t="str">
        <f>IF(INDEX(I.Facility.P4IDNumber,860)="","",INDEX(I.Facility.P4IDNumber,860))</f>
        <v/>
      </c>
      <c r="G20872" s="51"/>
      <c r="H20872" s="46" t="str">
        <f>IF(AND(I.Developer.P4=TRUE,I.Facility.P4FacilityCount&gt;=860,F20872=""),"Incomplete","Complete")</f>
        <v>Complete</v>
      </c>
      <c r="I20872" s="48" t="s">
        <v>25237</v>
      </c>
    </row>
    <row r="20873" spans="2:9" ht="15" customHeight="1" x14ac:dyDescent="0.25">
      <c r="B20873" s="55" t="s">
        <v>283</v>
      </c>
      <c r="C20873" s="46">
        <v>861</v>
      </c>
      <c r="D20873" s="69" t="s">
        <v>29420</v>
      </c>
      <c r="E20873" s="51"/>
      <c r="F20873" s="114" t="str">
        <f>IF(INDEX(I.Facility.P4IDNumber,861)="","",INDEX(I.Facility.P4IDNumber,861))</f>
        <v/>
      </c>
      <c r="G20873" s="51"/>
      <c r="H20873" s="46" t="str">
        <f>IF(AND(I.Developer.P4=TRUE,I.Facility.P4FacilityCount&gt;=861,F20873=""),"Incomplete","Complete")</f>
        <v>Complete</v>
      </c>
      <c r="I20873" s="48" t="s">
        <v>25238</v>
      </c>
    </row>
    <row r="20874" spans="2:9" ht="15" customHeight="1" x14ac:dyDescent="0.25">
      <c r="B20874" s="55" t="s">
        <v>283</v>
      </c>
      <c r="C20874" s="46">
        <v>862</v>
      </c>
      <c r="D20874" s="69" t="s">
        <v>29420</v>
      </c>
      <c r="E20874" s="51"/>
      <c r="F20874" s="114" t="str">
        <f>IF(INDEX(I.Facility.P4IDNumber,862)="","",INDEX(I.Facility.P4IDNumber,862))</f>
        <v/>
      </c>
      <c r="G20874" s="51"/>
      <c r="H20874" s="46" t="str">
        <f>IF(AND(I.Developer.P4=TRUE,I.Facility.P4FacilityCount&gt;=862,F20874=""),"Incomplete","Complete")</f>
        <v>Complete</v>
      </c>
      <c r="I20874" s="48" t="s">
        <v>25239</v>
      </c>
    </row>
    <row r="20875" spans="2:9" ht="15" customHeight="1" x14ac:dyDescent="0.25">
      <c r="B20875" s="55" t="s">
        <v>283</v>
      </c>
      <c r="C20875" s="46">
        <v>863</v>
      </c>
      <c r="D20875" s="69" t="s">
        <v>29420</v>
      </c>
      <c r="E20875" s="51"/>
      <c r="F20875" s="114" t="str">
        <f>IF(INDEX(I.Facility.P4IDNumber,863)="","",INDEX(I.Facility.P4IDNumber,863))</f>
        <v/>
      </c>
      <c r="G20875" s="51"/>
      <c r="H20875" s="46" t="str">
        <f>IF(AND(I.Developer.P4=TRUE,I.Facility.P4FacilityCount&gt;=863,F20875=""),"Incomplete","Complete")</f>
        <v>Complete</v>
      </c>
      <c r="I20875" s="48" t="s">
        <v>25240</v>
      </c>
    </row>
    <row r="20876" spans="2:9" ht="15" customHeight="1" x14ac:dyDescent="0.25">
      <c r="B20876" s="55" t="s">
        <v>283</v>
      </c>
      <c r="C20876" s="46">
        <v>864</v>
      </c>
      <c r="D20876" s="69" t="s">
        <v>29420</v>
      </c>
      <c r="E20876" s="51"/>
      <c r="F20876" s="114" t="str">
        <f>IF(INDEX(I.Facility.P4IDNumber,864)="","",INDEX(I.Facility.P4IDNumber,864))</f>
        <v/>
      </c>
      <c r="G20876" s="51"/>
      <c r="H20876" s="46" t="str">
        <f>IF(AND(I.Developer.P4=TRUE,I.Facility.P4FacilityCount&gt;=864,F20876=""),"Incomplete","Complete")</f>
        <v>Complete</v>
      </c>
      <c r="I20876" s="48" t="s">
        <v>25241</v>
      </c>
    </row>
    <row r="20877" spans="2:9" ht="15" customHeight="1" x14ac:dyDescent="0.25">
      <c r="B20877" s="55" t="s">
        <v>283</v>
      </c>
      <c r="C20877" s="46">
        <v>865</v>
      </c>
      <c r="D20877" s="69" t="s">
        <v>29420</v>
      </c>
      <c r="E20877" s="51"/>
      <c r="F20877" s="114" t="str">
        <f>IF(INDEX(I.Facility.P4IDNumber,865)="","",INDEX(I.Facility.P4IDNumber,865))</f>
        <v/>
      </c>
      <c r="G20877" s="51"/>
      <c r="H20877" s="46" t="str">
        <f>IF(AND(I.Developer.P4=TRUE,I.Facility.P4FacilityCount&gt;=865,F20877=""),"Incomplete","Complete")</f>
        <v>Complete</v>
      </c>
      <c r="I20877" s="48" t="s">
        <v>25242</v>
      </c>
    </row>
    <row r="20878" spans="2:9" ht="15" customHeight="1" x14ac:dyDescent="0.25">
      <c r="B20878" s="55" t="s">
        <v>283</v>
      </c>
      <c r="C20878" s="46">
        <v>866</v>
      </c>
      <c r="D20878" s="69" t="s">
        <v>29420</v>
      </c>
      <c r="E20878" s="51"/>
      <c r="F20878" s="114" t="str">
        <f>IF(INDEX(I.Facility.P4IDNumber,866)="","",INDEX(I.Facility.P4IDNumber,866))</f>
        <v/>
      </c>
      <c r="G20878" s="51"/>
      <c r="H20878" s="46" t="str">
        <f>IF(AND(I.Developer.P4=TRUE,I.Facility.P4FacilityCount&gt;=866,F20878=""),"Incomplete","Complete")</f>
        <v>Complete</v>
      </c>
      <c r="I20878" s="48" t="s">
        <v>25243</v>
      </c>
    </row>
    <row r="20879" spans="2:9" ht="15" customHeight="1" x14ac:dyDescent="0.25">
      <c r="B20879" s="55" t="s">
        <v>283</v>
      </c>
      <c r="C20879" s="46">
        <v>867</v>
      </c>
      <c r="D20879" s="69" t="s">
        <v>29420</v>
      </c>
      <c r="E20879" s="51"/>
      <c r="F20879" s="114" t="str">
        <f>IF(INDEX(I.Facility.P4IDNumber,867)="","",INDEX(I.Facility.P4IDNumber,867))</f>
        <v/>
      </c>
      <c r="G20879" s="51"/>
      <c r="H20879" s="46" t="str">
        <f>IF(AND(I.Developer.P4=TRUE,I.Facility.P4FacilityCount&gt;=867,F20879=""),"Incomplete","Complete")</f>
        <v>Complete</v>
      </c>
      <c r="I20879" s="48" t="s">
        <v>25244</v>
      </c>
    </row>
    <row r="20880" spans="2:9" ht="15" customHeight="1" x14ac:dyDescent="0.25">
      <c r="B20880" s="55" t="s">
        <v>283</v>
      </c>
      <c r="C20880" s="46">
        <v>868</v>
      </c>
      <c r="D20880" s="69" t="s">
        <v>29420</v>
      </c>
      <c r="E20880" s="51"/>
      <c r="F20880" s="114" t="str">
        <f>IF(INDEX(I.Facility.P4IDNumber,868)="","",INDEX(I.Facility.P4IDNumber,868))</f>
        <v/>
      </c>
      <c r="G20880" s="51"/>
      <c r="H20880" s="46" t="str">
        <f>IF(AND(I.Developer.P4=TRUE,I.Facility.P4FacilityCount&gt;=868,F20880=""),"Incomplete","Complete")</f>
        <v>Complete</v>
      </c>
      <c r="I20880" s="48" t="s">
        <v>25245</v>
      </c>
    </row>
    <row r="20881" spans="2:9" ht="15" customHeight="1" x14ac:dyDescent="0.25">
      <c r="B20881" s="55" t="s">
        <v>283</v>
      </c>
      <c r="C20881" s="46">
        <v>869</v>
      </c>
      <c r="D20881" s="69" t="s">
        <v>29420</v>
      </c>
      <c r="E20881" s="51"/>
      <c r="F20881" s="114" t="str">
        <f>IF(INDEX(I.Facility.P4IDNumber,869)="","",INDEX(I.Facility.P4IDNumber,869))</f>
        <v/>
      </c>
      <c r="G20881" s="51"/>
      <c r="H20881" s="46" t="str">
        <f>IF(AND(I.Developer.P4=TRUE,I.Facility.P4FacilityCount&gt;=869,F20881=""),"Incomplete","Complete")</f>
        <v>Complete</v>
      </c>
      <c r="I20881" s="48" t="s">
        <v>25246</v>
      </c>
    </row>
    <row r="20882" spans="2:9" ht="15" customHeight="1" x14ac:dyDescent="0.25">
      <c r="B20882" s="55" t="s">
        <v>283</v>
      </c>
      <c r="C20882" s="46">
        <v>870</v>
      </c>
      <c r="D20882" s="69" t="s">
        <v>29420</v>
      </c>
      <c r="E20882" s="51"/>
      <c r="F20882" s="114" t="str">
        <f>IF(INDEX(I.Facility.P4IDNumber,870)="","",INDEX(I.Facility.P4IDNumber,870))</f>
        <v/>
      </c>
      <c r="G20882" s="51"/>
      <c r="H20882" s="46" t="str">
        <f>IF(AND(I.Developer.P4=TRUE,I.Facility.P4FacilityCount&gt;=870,F20882=""),"Incomplete","Complete")</f>
        <v>Complete</v>
      </c>
      <c r="I20882" s="48" t="s">
        <v>25247</v>
      </c>
    </row>
    <row r="20883" spans="2:9" ht="15" customHeight="1" x14ac:dyDescent="0.25">
      <c r="B20883" s="55" t="s">
        <v>283</v>
      </c>
      <c r="C20883" s="46">
        <v>871</v>
      </c>
      <c r="D20883" s="69" t="s">
        <v>29420</v>
      </c>
      <c r="E20883" s="51"/>
      <c r="F20883" s="114" t="str">
        <f>IF(INDEX(I.Facility.P4IDNumber,871)="","",INDEX(I.Facility.P4IDNumber,871))</f>
        <v/>
      </c>
      <c r="G20883" s="51"/>
      <c r="H20883" s="46" t="str">
        <f>IF(AND(I.Developer.P4=TRUE,I.Facility.P4FacilityCount&gt;=871,F20883=""),"Incomplete","Complete")</f>
        <v>Complete</v>
      </c>
      <c r="I20883" s="48" t="s">
        <v>25248</v>
      </c>
    </row>
    <row r="20884" spans="2:9" ht="15" customHeight="1" x14ac:dyDescent="0.25">
      <c r="B20884" s="55" t="s">
        <v>283</v>
      </c>
      <c r="C20884" s="46">
        <v>872</v>
      </c>
      <c r="D20884" s="69" t="s">
        <v>29420</v>
      </c>
      <c r="E20884" s="51"/>
      <c r="F20884" s="114" t="str">
        <f>IF(INDEX(I.Facility.P4IDNumber,872)="","",INDEX(I.Facility.P4IDNumber,872))</f>
        <v/>
      </c>
      <c r="G20884" s="51"/>
      <c r="H20884" s="46" t="str">
        <f>IF(AND(I.Developer.P4=TRUE,I.Facility.P4FacilityCount&gt;=872,F20884=""),"Incomplete","Complete")</f>
        <v>Complete</v>
      </c>
      <c r="I20884" s="48" t="s">
        <v>25249</v>
      </c>
    </row>
    <row r="20885" spans="2:9" ht="15" customHeight="1" x14ac:dyDescent="0.25">
      <c r="B20885" s="55" t="s">
        <v>283</v>
      </c>
      <c r="C20885" s="46">
        <v>873</v>
      </c>
      <c r="D20885" s="69" t="s">
        <v>29420</v>
      </c>
      <c r="E20885" s="51"/>
      <c r="F20885" s="114" t="str">
        <f>IF(INDEX(I.Facility.P4IDNumber,873)="","",INDEX(I.Facility.P4IDNumber,873))</f>
        <v/>
      </c>
      <c r="G20885" s="51"/>
      <c r="H20885" s="46" t="str">
        <f>IF(AND(I.Developer.P4=TRUE,I.Facility.P4FacilityCount&gt;=873,F20885=""),"Incomplete","Complete")</f>
        <v>Complete</v>
      </c>
      <c r="I20885" s="48" t="s">
        <v>25250</v>
      </c>
    </row>
    <row r="20886" spans="2:9" ht="15" customHeight="1" x14ac:dyDescent="0.25">
      <c r="B20886" s="55" t="s">
        <v>283</v>
      </c>
      <c r="C20886" s="46">
        <v>874</v>
      </c>
      <c r="D20886" s="69" t="s">
        <v>29420</v>
      </c>
      <c r="E20886" s="51"/>
      <c r="F20886" s="114" t="str">
        <f>IF(INDEX(I.Facility.P4IDNumber,874)="","",INDEX(I.Facility.P4IDNumber,874))</f>
        <v/>
      </c>
      <c r="G20886" s="51"/>
      <c r="H20886" s="46" t="str">
        <f>IF(AND(I.Developer.P4=TRUE,I.Facility.P4FacilityCount&gt;=874,F20886=""),"Incomplete","Complete")</f>
        <v>Complete</v>
      </c>
      <c r="I20886" s="48" t="s">
        <v>25251</v>
      </c>
    </row>
    <row r="20887" spans="2:9" ht="15" customHeight="1" x14ac:dyDescent="0.25">
      <c r="B20887" s="55" t="s">
        <v>283</v>
      </c>
      <c r="C20887" s="46">
        <v>875</v>
      </c>
      <c r="D20887" s="69" t="s">
        <v>29420</v>
      </c>
      <c r="E20887" s="51"/>
      <c r="F20887" s="114" t="str">
        <f>IF(INDEX(I.Facility.P4IDNumber,875)="","",INDEX(I.Facility.P4IDNumber,875))</f>
        <v/>
      </c>
      <c r="G20887" s="51"/>
      <c r="H20887" s="46" t="str">
        <f>IF(AND(I.Developer.P4=TRUE,I.Facility.P4FacilityCount&gt;=875,F20887=""),"Incomplete","Complete")</f>
        <v>Complete</v>
      </c>
      <c r="I20887" s="48" t="s">
        <v>25252</v>
      </c>
    </row>
    <row r="20888" spans="2:9" ht="15" customHeight="1" x14ac:dyDescent="0.25">
      <c r="B20888" s="55" t="s">
        <v>283</v>
      </c>
      <c r="C20888" s="46">
        <v>876</v>
      </c>
      <c r="D20888" s="69" t="s">
        <v>29420</v>
      </c>
      <c r="E20888" s="51"/>
      <c r="F20888" s="114" t="str">
        <f>IF(INDEX(I.Facility.P4IDNumber,876)="","",INDEX(I.Facility.P4IDNumber,876))</f>
        <v/>
      </c>
      <c r="G20888" s="51"/>
      <c r="H20888" s="46" t="str">
        <f>IF(AND(I.Developer.P4=TRUE,I.Facility.P4FacilityCount&gt;=876,F20888=""),"Incomplete","Complete")</f>
        <v>Complete</v>
      </c>
      <c r="I20888" s="48" t="s">
        <v>25253</v>
      </c>
    </row>
    <row r="20889" spans="2:9" ht="15" customHeight="1" x14ac:dyDescent="0.25">
      <c r="B20889" s="55" t="s">
        <v>283</v>
      </c>
      <c r="C20889" s="46">
        <v>877</v>
      </c>
      <c r="D20889" s="69" t="s">
        <v>29420</v>
      </c>
      <c r="E20889" s="51"/>
      <c r="F20889" s="114" t="str">
        <f>IF(INDEX(I.Facility.P4IDNumber,877)="","",INDEX(I.Facility.P4IDNumber,877))</f>
        <v/>
      </c>
      <c r="G20889" s="51"/>
      <c r="H20889" s="46" t="str">
        <f>IF(AND(I.Developer.P4=TRUE,I.Facility.P4FacilityCount&gt;=877,F20889=""),"Incomplete","Complete")</f>
        <v>Complete</v>
      </c>
      <c r="I20889" s="48" t="s">
        <v>25254</v>
      </c>
    </row>
    <row r="20890" spans="2:9" ht="15" customHeight="1" x14ac:dyDescent="0.25">
      <c r="B20890" s="55" t="s">
        <v>283</v>
      </c>
      <c r="C20890" s="46">
        <v>878</v>
      </c>
      <c r="D20890" s="69" t="s">
        <v>29420</v>
      </c>
      <c r="E20890" s="51"/>
      <c r="F20890" s="114" t="str">
        <f>IF(INDEX(I.Facility.P4IDNumber,878)="","",INDEX(I.Facility.P4IDNumber,878))</f>
        <v/>
      </c>
      <c r="G20890" s="51"/>
      <c r="H20890" s="46" t="str">
        <f>IF(AND(I.Developer.P4=TRUE,I.Facility.P4FacilityCount&gt;=878,F20890=""),"Incomplete","Complete")</f>
        <v>Complete</v>
      </c>
      <c r="I20890" s="48" t="s">
        <v>25255</v>
      </c>
    </row>
    <row r="20891" spans="2:9" ht="15" customHeight="1" x14ac:dyDescent="0.25">
      <c r="B20891" s="55" t="s">
        <v>283</v>
      </c>
      <c r="C20891" s="46">
        <v>879</v>
      </c>
      <c r="D20891" s="69" t="s">
        <v>29420</v>
      </c>
      <c r="E20891" s="51"/>
      <c r="F20891" s="114" t="str">
        <f>IF(INDEX(I.Facility.P4IDNumber,879)="","",INDEX(I.Facility.P4IDNumber,879))</f>
        <v/>
      </c>
      <c r="G20891" s="51"/>
      <c r="H20891" s="46" t="str">
        <f>IF(AND(I.Developer.P4=TRUE,I.Facility.P4FacilityCount&gt;=879,F20891=""),"Incomplete","Complete")</f>
        <v>Complete</v>
      </c>
      <c r="I20891" s="48" t="s">
        <v>25256</v>
      </c>
    </row>
    <row r="20892" spans="2:9" ht="15" customHeight="1" x14ac:dyDescent="0.25">
      <c r="B20892" s="55" t="s">
        <v>283</v>
      </c>
      <c r="C20892" s="46">
        <v>880</v>
      </c>
      <c r="D20892" s="69" t="s">
        <v>29420</v>
      </c>
      <c r="E20892" s="51"/>
      <c r="F20892" s="114" t="str">
        <f>IF(INDEX(I.Facility.P4IDNumber,880)="","",INDEX(I.Facility.P4IDNumber,880))</f>
        <v/>
      </c>
      <c r="G20892" s="51"/>
      <c r="H20892" s="46" t="str">
        <f>IF(AND(I.Developer.P4=TRUE,I.Facility.P4FacilityCount&gt;=880,F20892=""),"Incomplete","Complete")</f>
        <v>Complete</v>
      </c>
      <c r="I20892" s="48" t="s">
        <v>25257</v>
      </c>
    </row>
    <row r="20893" spans="2:9" ht="15" customHeight="1" x14ac:dyDescent="0.25">
      <c r="B20893" s="55" t="s">
        <v>283</v>
      </c>
      <c r="C20893" s="46">
        <v>881</v>
      </c>
      <c r="D20893" s="69" t="s">
        <v>29420</v>
      </c>
      <c r="E20893" s="51"/>
      <c r="F20893" s="114" t="str">
        <f>IF(INDEX(I.Facility.P4IDNumber,881)="","",INDEX(I.Facility.P4IDNumber,881))</f>
        <v/>
      </c>
      <c r="G20893" s="51"/>
      <c r="H20893" s="46" t="str">
        <f>IF(AND(I.Developer.P4=TRUE,I.Facility.P4FacilityCount&gt;=881,F20893=""),"Incomplete","Complete")</f>
        <v>Complete</v>
      </c>
      <c r="I20893" s="48" t="s">
        <v>25258</v>
      </c>
    </row>
    <row r="20894" spans="2:9" ht="15" customHeight="1" x14ac:dyDescent="0.25">
      <c r="B20894" s="55" t="s">
        <v>283</v>
      </c>
      <c r="C20894" s="46">
        <v>882</v>
      </c>
      <c r="D20894" s="69" t="s">
        <v>29420</v>
      </c>
      <c r="E20894" s="51"/>
      <c r="F20894" s="114" t="str">
        <f>IF(INDEX(I.Facility.P4IDNumber,882)="","",INDEX(I.Facility.P4IDNumber,882))</f>
        <v/>
      </c>
      <c r="G20894" s="51"/>
      <c r="H20894" s="46" t="str">
        <f>IF(AND(I.Developer.P4=TRUE,I.Facility.P4FacilityCount&gt;=882,F20894=""),"Incomplete","Complete")</f>
        <v>Complete</v>
      </c>
      <c r="I20894" s="48" t="s">
        <v>25259</v>
      </c>
    </row>
    <row r="20895" spans="2:9" ht="15" customHeight="1" x14ac:dyDescent="0.25">
      <c r="B20895" s="55" t="s">
        <v>283</v>
      </c>
      <c r="C20895" s="46">
        <v>883</v>
      </c>
      <c r="D20895" s="69" t="s">
        <v>29420</v>
      </c>
      <c r="E20895" s="51"/>
      <c r="F20895" s="114" t="str">
        <f>IF(INDEX(I.Facility.P4IDNumber,883)="","",INDEX(I.Facility.P4IDNumber,883))</f>
        <v/>
      </c>
      <c r="G20895" s="51"/>
      <c r="H20895" s="46" t="str">
        <f>IF(AND(I.Developer.P4=TRUE,I.Facility.P4FacilityCount&gt;=883,F20895=""),"Incomplete","Complete")</f>
        <v>Complete</v>
      </c>
      <c r="I20895" s="48" t="s">
        <v>25260</v>
      </c>
    </row>
    <row r="20896" spans="2:9" ht="15" customHeight="1" x14ac:dyDescent="0.25">
      <c r="B20896" s="55" t="s">
        <v>283</v>
      </c>
      <c r="C20896" s="46">
        <v>884</v>
      </c>
      <c r="D20896" s="69" t="s">
        <v>29420</v>
      </c>
      <c r="E20896" s="51"/>
      <c r="F20896" s="114" t="str">
        <f>IF(INDEX(I.Facility.P4IDNumber,884)="","",INDEX(I.Facility.P4IDNumber,884))</f>
        <v/>
      </c>
      <c r="G20896" s="51"/>
      <c r="H20896" s="46" t="str">
        <f>IF(AND(I.Developer.P4=TRUE,I.Facility.P4FacilityCount&gt;=884,F20896=""),"Incomplete","Complete")</f>
        <v>Complete</v>
      </c>
      <c r="I20896" s="48" t="s">
        <v>25261</v>
      </c>
    </row>
    <row r="20897" spans="2:9" ht="15" customHeight="1" x14ac:dyDescent="0.25">
      <c r="B20897" s="55" t="s">
        <v>283</v>
      </c>
      <c r="C20897" s="46">
        <v>885</v>
      </c>
      <c r="D20897" s="69" t="s">
        <v>29420</v>
      </c>
      <c r="E20897" s="51"/>
      <c r="F20897" s="114" t="str">
        <f>IF(INDEX(I.Facility.P4IDNumber,885)="","",INDEX(I.Facility.P4IDNumber,885))</f>
        <v/>
      </c>
      <c r="G20897" s="51"/>
      <c r="H20897" s="46" t="str">
        <f>IF(AND(I.Developer.P4=TRUE,I.Facility.P4FacilityCount&gt;=885,F20897=""),"Incomplete","Complete")</f>
        <v>Complete</v>
      </c>
      <c r="I20897" s="48" t="s">
        <v>25262</v>
      </c>
    </row>
    <row r="20898" spans="2:9" ht="15" customHeight="1" x14ac:dyDescent="0.25">
      <c r="B20898" s="55" t="s">
        <v>283</v>
      </c>
      <c r="C20898" s="46">
        <v>886</v>
      </c>
      <c r="D20898" s="69" t="s">
        <v>29420</v>
      </c>
      <c r="E20898" s="51"/>
      <c r="F20898" s="114" t="str">
        <f>IF(INDEX(I.Facility.P4IDNumber,886)="","",INDEX(I.Facility.P4IDNumber,886))</f>
        <v/>
      </c>
      <c r="G20898" s="51"/>
      <c r="H20898" s="46" t="str">
        <f>IF(AND(I.Developer.P4=TRUE,I.Facility.P4FacilityCount&gt;=886,F20898=""),"Incomplete","Complete")</f>
        <v>Complete</v>
      </c>
      <c r="I20898" s="48" t="s">
        <v>25263</v>
      </c>
    </row>
    <row r="20899" spans="2:9" ht="15" customHeight="1" x14ac:dyDescent="0.25">
      <c r="B20899" s="55" t="s">
        <v>283</v>
      </c>
      <c r="C20899" s="46">
        <v>887</v>
      </c>
      <c r="D20899" s="69" t="s">
        <v>29420</v>
      </c>
      <c r="E20899" s="51"/>
      <c r="F20899" s="114" t="str">
        <f>IF(INDEX(I.Facility.P4IDNumber,887)="","",INDEX(I.Facility.P4IDNumber,887))</f>
        <v/>
      </c>
      <c r="G20899" s="51"/>
      <c r="H20899" s="46" t="str">
        <f>IF(AND(I.Developer.P4=TRUE,I.Facility.P4FacilityCount&gt;=887,F20899=""),"Incomplete","Complete")</f>
        <v>Complete</v>
      </c>
      <c r="I20899" s="48" t="s">
        <v>25264</v>
      </c>
    </row>
    <row r="20900" spans="2:9" ht="15" customHeight="1" x14ac:dyDescent="0.25">
      <c r="B20900" s="55" t="s">
        <v>283</v>
      </c>
      <c r="C20900" s="46">
        <v>888</v>
      </c>
      <c r="D20900" s="69" t="s">
        <v>29420</v>
      </c>
      <c r="E20900" s="51"/>
      <c r="F20900" s="114" t="str">
        <f>IF(INDEX(I.Facility.P4IDNumber,888)="","",INDEX(I.Facility.P4IDNumber,888))</f>
        <v/>
      </c>
      <c r="G20900" s="51"/>
      <c r="H20900" s="46" t="str">
        <f>IF(AND(I.Developer.P4=TRUE,I.Facility.P4FacilityCount&gt;=888,F20900=""),"Incomplete","Complete")</f>
        <v>Complete</v>
      </c>
      <c r="I20900" s="48" t="s">
        <v>25265</v>
      </c>
    </row>
    <row r="20901" spans="2:9" ht="15" customHeight="1" x14ac:dyDescent="0.25">
      <c r="B20901" s="55" t="s">
        <v>283</v>
      </c>
      <c r="C20901" s="46">
        <v>889</v>
      </c>
      <c r="D20901" s="69" t="s">
        <v>29420</v>
      </c>
      <c r="E20901" s="51"/>
      <c r="F20901" s="114" t="str">
        <f>IF(INDEX(I.Facility.P4IDNumber,889)="","",INDEX(I.Facility.P4IDNumber,889))</f>
        <v/>
      </c>
      <c r="G20901" s="51"/>
      <c r="H20901" s="46" t="str">
        <f>IF(AND(I.Developer.P4=TRUE,I.Facility.P4FacilityCount&gt;=889,F20901=""),"Incomplete","Complete")</f>
        <v>Complete</v>
      </c>
      <c r="I20901" s="48" t="s">
        <v>25266</v>
      </c>
    </row>
    <row r="20902" spans="2:9" ht="15" customHeight="1" x14ac:dyDescent="0.25">
      <c r="B20902" s="55" t="s">
        <v>283</v>
      </c>
      <c r="C20902" s="46">
        <v>890</v>
      </c>
      <c r="D20902" s="69" t="s">
        <v>29420</v>
      </c>
      <c r="E20902" s="51"/>
      <c r="F20902" s="114" t="str">
        <f>IF(INDEX(I.Facility.P4IDNumber,890)="","",INDEX(I.Facility.P4IDNumber,890))</f>
        <v/>
      </c>
      <c r="G20902" s="51"/>
      <c r="H20902" s="46" t="str">
        <f>IF(AND(I.Developer.P4=TRUE,I.Facility.P4FacilityCount&gt;=890,F20902=""),"Incomplete","Complete")</f>
        <v>Complete</v>
      </c>
      <c r="I20902" s="48" t="s">
        <v>25267</v>
      </c>
    </row>
    <row r="20903" spans="2:9" ht="15" customHeight="1" x14ac:dyDescent="0.25">
      <c r="B20903" s="55" t="s">
        <v>283</v>
      </c>
      <c r="C20903" s="46">
        <v>891</v>
      </c>
      <c r="D20903" s="69" t="s">
        <v>29420</v>
      </c>
      <c r="E20903" s="51"/>
      <c r="F20903" s="114" t="str">
        <f>IF(INDEX(I.Facility.P4IDNumber,891)="","",INDEX(I.Facility.P4IDNumber,891))</f>
        <v/>
      </c>
      <c r="G20903" s="51"/>
      <c r="H20903" s="46" t="str">
        <f>IF(AND(I.Developer.P4=TRUE,I.Facility.P4FacilityCount&gt;=891,F20903=""),"Incomplete","Complete")</f>
        <v>Complete</v>
      </c>
      <c r="I20903" s="48" t="s">
        <v>25268</v>
      </c>
    </row>
    <row r="20904" spans="2:9" ht="15" customHeight="1" x14ac:dyDescent="0.25">
      <c r="B20904" s="55" t="s">
        <v>283</v>
      </c>
      <c r="C20904" s="46">
        <v>892</v>
      </c>
      <c r="D20904" s="69" t="s">
        <v>29420</v>
      </c>
      <c r="E20904" s="51"/>
      <c r="F20904" s="114" t="str">
        <f>IF(INDEX(I.Facility.P4IDNumber,892)="","",INDEX(I.Facility.P4IDNumber,892))</f>
        <v/>
      </c>
      <c r="G20904" s="51"/>
      <c r="H20904" s="46" t="str">
        <f>IF(AND(I.Developer.P4=TRUE,I.Facility.P4FacilityCount&gt;=892,F20904=""),"Incomplete","Complete")</f>
        <v>Complete</v>
      </c>
      <c r="I20904" s="48" t="s">
        <v>25269</v>
      </c>
    </row>
    <row r="20905" spans="2:9" ht="15" customHeight="1" x14ac:dyDescent="0.25">
      <c r="B20905" s="55" t="s">
        <v>283</v>
      </c>
      <c r="C20905" s="46">
        <v>893</v>
      </c>
      <c r="D20905" s="69" t="s">
        <v>29420</v>
      </c>
      <c r="E20905" s="51"/>
      <c r="F20905" s="114" t="str">
        <f>IF(INDEX(I.Facility.P4IDNumber,893)="","",INDEX(I.Facility.P4IDNumber,893))</f>
        <v/>
      </c>
      <c r="G20905" s="51"/>
      <c r="H20905" s="46" t="str">
        <f>IF(AND(I.Developer.P4=TRUE,I.Facility.P4FacilityCount&gt;=893,F20905=""),"Incomplete","Complete")</f>
        <v>Complete</v>
      </c>
      <c r="I20905" s="48" t="s">
        <v>25270</v>
      </c>
    </row>
    <row r="20906" spans="2:9" ht="15" customHeight="1" x14ac:dyDescent="0.25">
      <c r="B20906" s="55" t="s">
        <v>283</v>
      </c>
      <c r="C20906" s="46">
        <v>894</v>
      </c>
      <c r="D20906" s="69" t="s">
        <v>29420</v>
      </c>
      <c r="E20906" s="51"/>
      <c r="F20906" s="114" t="str">
        <f>IF(INDEX(I.Facility.P4IDNumber,894)="","",INDEX(I.Facility.P4IDNumber,894))</f>
        <v/>
      </c>
      <c r="G20906" s="51"/>
      <c r="H20906" s="46" t="str">
        <f>IF(AND(I.Developer.P4=TRUE,I.Facility.P4FacilityCount&gt;=894,F20906=""),"Incomplete","Complete")</f>
        <v>Complete</v>
      </c>
      <c r="I20906" s="48" t="s">
        <v>25271</v>
      </c>
    </row>
    <row r="20907" spans="2:9" ht="15" customHeight="1" x14ac:dyDescent="0.25">
      <c r="B20907" s="55" t="s">
        <v>283</v>
      </c>
      <c r="C20907" s="46">
        <v>895</v>
      </c>
      <c r="D20907" s="69" t="s">
        <v>29420</v>
      </c>
      <c r="E20907" s="51"/>
      <c r="F20907" s="114" t="str">
        <f>IF(INDEX(I.Facility.P4IDNumber,895)="","",INDEX(I.Facility.P4IDNumber,895))</f>
        <v/>
      </c>
      <c r="G20907" s="51"/>
      <c r="H20907" s="46" t="str">
        <f>IF(AND(I.Developer.P4=TRUE,I.Facility.P4FacilityCount&gt;=895,F20907=""),"Incomplete","Complete")</f>
        <v>Complete</v>
      </c>
      <c r="I20907" s="48" t="s">
        <v>25272</v>
      </c>
    </row>
    <row r="20908" spans="2:9" ht="15" customHeight="1" x14ac:dyDescent="0.25">
      <c r="B20908" s="55" t="s">
        <v>283</v>
      </c>
      <c r="C20908" s="46">
        <v>896</v>
      </c>
      <c r="D20908" s="69" t="s">
        <v>29420</v>
      </c>
      <c r="E20908" s="51"/>
      <c r="F20908" s="114" t="str">
        <f>IF(INDEX(I.Facility.P4IDNumber,896)="","",INDEX(I.Facility.P4IDNumber,896))</f>
        <v/>
      </c>
      <c r="G20908" s="51"/>
      <c r="H20908" s="46" t="str">
        <f>IF(AND(I.Developer.P4=TRUE,I.Facility.P4FacilityCount&gt;=896,F20908=""),"Incomplete","Complete")</f>
        <v>Complete</v>
      </c>
      <c r="I20908" s="48" t="s">
        <v>25273</v>
      </c>
    </row>
    <row r="20909" spans="2:9" ht="15" customHeight="1" x14ac:dyDescent="0.25">
      <c r="B20909" s="55" t="s">
        <v>283</v>
      </c>
      <c r="C20909" s="46">
        <v>897</v>
      </c>
      <c r="D20909" s="69" t="s">
        <v>29420</v>
      </c>
      <c r="E20909" s="51"/>
      <c r="F20909" s="114" t="str">
        <f>IF(INDEX(I.Facility.P4IDNumber,897)="","",INDEX(I.Facility.P4IDNumber,897))</f>
        <v/>
      </c>
      <c r="G20909" s="51"/>
      <c r="H20909" s="46" t="str">
        <f>IF(AND(I.Developer.P4=TRUE,I.Facility.P4FacilityCount&gt;=897,F20909=""),"Incomplete","Complete")</f>
        <v>Complete</v>
      </c>
      <c r="I20909" s="48" t="s">
        <v>25274</v>
      </c>
    </row>
    <row r="20910" spans="2:9" ht="15" customHeight="1" x14ac:dyDescent="0.25">
      <c r="B20910" s="55" t="s">
        <v>283</v>
      </c>
      <c r="C20910" s="46">
        <v>898</v>
      </c>
      <c r="D20910" s="69" t="s">
        <v>29420</v>
      </c>
      <c r="E20910" s="51"/>
      <c r="F20910" s="114" t="str">
        <f>IF(INDEX(I.Facility.P4IDNumber,898)="","",INDEX(I.Facility.P4IDNumber,898))</f>
        <v/>
      </c>
      <c r="G20910" s="51"/>
      <c r="H20910" s="46" t="str">
        <f>IF(AND(I.Developer.P4=TRUE,I.Facility.P4FacilityCount&gt;=898,F20910=""),"Incomplete","Complete")</f>
        <v>Complete</v>
      </c>
      <c r="I20910" s="48" t="s">
        <v>25275</v>
      </c>
    </row>
    <row r="20911" spans="2:9" ht="15" customHeight="1" x14ac:dyDescent="0.25">
      <c r="B20911" s="55" t="s">
        <v>283</v>
      </c>
      <c r="C20911" s="46">
        <v>899</v>
      </c>
      <c r="D20911" s="69" t="s">
        <v>29420</v>
      </c>
      <c r="E20911" s="51"/>
      <c r="F20911" s="114" t="str">
        <f>IF(INDEX(I.Facility.P4IDNumber,899)="","",INDEX(I.Facility.P4IDNumber,899))</f>
        <v/>
      </c>
      <c r="G20911" s="51"/>
      <c r="H20911" s="46" t="str">
        <f>IF(AND(I.Developer.P4=TRUE,I.Facility.P4FacilityCount&gt;=899,F20911=""),"Incomplete","Complete")</f>
        <v>Complete</v>
      </c>
      <c r="I20911" s="48" t="s">
        <v>25276</v>
      </c>
    </row>
    <row r="20912" spans="2:9" ht="15" customHeight="1" x14ac:dyDescent="0.25">
      <c r="B20912" s="55" t="s">
        <v>283</v>
      </c>
      <c r="C20912" s="46">
        <v>900</v>
      </c>
      <c r="D20912" s="69" t="s">
        <v>29420</v>
      </c>
      <c r="E20912" s="51"/>
      <c r="F20912" s="114" t="str">
        <f>IF(INDEX(I.Facility.P4IDNumber,900)="","",INDEX(I.Facility.P4IDNumber,900))</f>
        <v/>
      </c>
      <c r="G20912" s="51"/>
      <c r="H20912" s="46" t="str">
        <f>IF(AND(I.Developer.P4=TRUE,I.Facility.P4FacilityCount&gt;=900,F20912=""),"Incomplete","Complete")</f>
        <v>Complete</v>
      </c>
      <c r="I20912" s="48" t="s">
        <v>25277</v>
      </c>
    </row>
    <row r="20913" spans="2:9" ht="15" customHeight="1" x14ac:dyDescent="0.25">
      <c r="B20913" s="55" t="s">
        <v>283</v>
      </c>
      <c r="C20913" s="46">
        <v>901</v>
      </c>
      <c r="D20913" s="69" t="s">
        <v>29420</v>
      </c>
      <c r="E20913" s="51"/>
      <c r="F20913" s="114" t="str">
        <f>IF(INDEX(I.Facility.P4IDNumber,901)="","",INDEX(I.Facility.P4IDNumber,901))</f>
        <v/>
      </c>
      <c r="G20913" s="51"/>
      <c r="H20913" s="46" t="str">
        <f>IF(AND(I.Developer.P4=TRUE,I.Facility.P4FacilityCount&gt;=901,F20913=""),"Incomplete","Complete")</f>
        <v>Complete</v>
      </c>
      <c r="I20913" s="48" t="s">
        <v>25278</v>
      </c>
    </row>
    <row r="20914" spans="2:9" ht="15" customHeight="1" x14ac:dyDescent="0.25">
      <c r="B20914" s="55" t="s">
        <v>283</v>
      </c>
      <c r="C20914" s="46">
        <v>902</v>
      </c>
      <c r="D20914" s="69" t="s">
        <v>29420</v>
      </c>
      <c r="E20914" s="51"/>
      <c r="F20914" s="114" t="str">
        <f>IF(INDEX(I.Facility.P4IDNumber,902)="","",INDEX(I.Facility.P4IDNumber,902))</f>
        <v/>
      </c>
      <c r="G20914" s="51"/>
      <c r="H20914" s="46" t="str">
        <f>IF(AND(I.Developer.P4=TRUE,I.Facility.P4FacilityCount&gt;=902,F20914=""),"Incomplete","Complete")</f>
        <v>Complete</v>
      </c>
      <c r="I20914" s="48" t="s">
        <v>25279</v>
      </c>
    </row>
    <row r="20915" spans="2:9" ht="15" customHeight="1" x14ac:dyDescent="0.25">
      <c r="B20915" s="55" t="s">
        <v>283</v>
      </c>
      <c r="C20915" s="46">
        <v>903</v>
      </c>
      <c r="D20915" s="69" t="s">
        <v>29420</v>
      </c>
      <c r="E20915" s="51"/>
      <c r="F20915" s="114" t="str">
        <f>IF(INDEX(I.Facility.P4IDNumber,903)="","",INDEX(I.Facility.P4IDNumber,903))</f>
        <v/>
      </c>
      <c r="G20915" s="51"/>
      <c r="H20915" s="46" t="str">
        <f>IF(AND(I.Developer.P4=TRUE,I.Facility.P4FacilityCount&gt;=903,F20915=""),"Incomplete","Complete")</f>
        <v>Complete</v>
      </c>
      <c r="I20915" s="48" t="s">
        <v>25280</v>
      </c>
    </row>
    <row r="20916" spans="2:9" ht="15" customHeight="1" x14ac:dyDescent="0.25">
      <c r="B20916" s="55" t="s">
        <v>283</v>
      </c>
      <c r="C20916" s="46">
        <v>904</v>
      </c>
      <c r="D20916" s="69" t="s">
        <v>29420</v>
      </c>
      <c r="E20916" s="51"/>
      <c r="F20916" s="114" t="str">
        <f>IF(INDEX(I.Facility.P4IDNumber,904)="","",INDEX(I.Facility.P4IDNumber,904))</f>
        <v/>
      </c>
      <c r="G20916" s="51"/>
      <c r="H20916" s="46" t="str">
        <f>IF(AND(I.Developer.P4=TRUE,I.Facility.P4FacilityCount&gt;=904,F20916=""),"Incomplete","Complete")</f>
        <v>Complete</v>
      </c>
      <c r="I20916" s="48" t="s">
        <v>25281</v>
      </c>
    </row>
    <row r="20917" spans="2:9" ht="15" customHeight="1" x14ac:dyDescent="0.25">
      <c r="B20917" s="55" t="s">
        <v>283</v>
      </c>
      <c r="C20917" s="46">
        <v>905</v>
      </c>
      <c r="D20917" s="69" t="s">
        <v>29420</v>
      </c>
      <c r="E20917" s="51"/>
      <c r="F20917" s="114" t="str">
        <f>IF(INDEX(I.Facility.P4IDNumber,905)="","",INDEX(I.Facility.P4IDNumber,905))</f>
        <v/>
      </c>
      <c r="G20917" s="51"/>
      <c r="H20917" s="46" t="str">
        <f>IF(AND(I.Developer.P4=TRUE,I.Facility.P4FacilityCount&gt;=905,F20917=""),"Incomplete","Complete")</f>
        <v>Complete</v>
      </c>
      <c r="I20917" s="48" t="s">
        <v>25282</v>
      </c>
    </row>
    <row r="20918" spans="2:9" ht="15" customHeight="1" x14ac:dyDescent="0.25">
      <c r="B20918" s="55" t="s">
        <v>283</v>
      </c>
      <c r="C20918" s="46">
        <v>906</v>
      </c>
      <c r="D20918" s="69" t="s">
        <v>29420</v>
      </c>
      <c r="E20918" s="51"/>
      <c r="F20918" s="114" t="str">
        <f>IF(INDEX(I.Facility.P4IDNumber,906)="","",INDEX(I.Facility.P4IDNumber,906))</f>
        <v/>
      </c>
      <c r="G20918" s="51"/>
      <c r="H20918" s="46" t="str">
        <f>IF(AND(I.Developer.P4=TRUE,I.Facility.P4FacilityCount&gt;=906,F20918=""),"Incomplete","Complete")</f>
        <v>Complete</v>
      </c>
      <c r="I20918" s="48" t="s">
        <v>25283</v>
      </c>
    </row>
    <row r="20919" spans="2:9" ht="15" customHeight="1" x14ac:dyDescent="0.25">
      <c r="B20919" s="55" t="s">
        <v>283</v>
      </c>
      <c r="C20919" s="46">
        <v>907</v>
      </c>
      <c r="D20919" s="69" t="s">
        <v>29420</v>
      </c>
      <c r="E20919" s="51"/>
      <c r="F20919" s="114" t="str">
        <f>IF(INDEX(I.Facility.P4IDNumber,907)="","",INDEX(I.Facility.P4IDNumber,907))</f>
        <v/>
      </c>
      <c r="G20919" s="51"/>
      <c r="H20919" s="46" t="str">
        <f>IF(AND(I.Developer.P4=TRUE,I.Facility.P4FacilityCount&gt;=907,F20919=""),"Incomplete","Complete")</f>
        <v>Complete</v>
      </c>
      <c r="I20919" s="48" t="s">
        <v>25284</v>
      </c>
    </row>
    <row r="20920" spans="2:9" ht="15" customHeight="1" x14ac:dyDescent="0.25">
      <c r="B20920" s="55" t="s">
        <v>283</v>
      </c>
      <c r="C20920" s="46">
        <v>908</v>
      </c>
      <c r="D20920" s="69" t="s">
        <v>29420</v>
      </c>
      <c r="E20920" s="51"/>
      <c r="F20920" s="114" t="str">
        <f>IF(INDEX(I.Facility.P4IDNumber,908)="","",INDEX(I.Facility.P4IDNumber,908))</f>
        <v/>
      </c>
      <c r="G20920" s="51"/>
      <c r="H20920" s="46" t="str">
        <f>IF(AND(I.Developer.P4=TRUE,I.Facility.P4FacilityCount&gt;=908,F20920=""),"Incomplete","Complete")</f>
        <v>Complete</v>
      </c>
      <c r="I20920" s="48" t="s">
        <v>25285</v>
      </c>
    </row>
    <row r="20921" spans="2:9" ht="15" customHeight="1" x14ac:dyDescent="0.25">
      <c r="B20921" s="55" t="s">
        <v>283</v>
      </c>
      <c r="C20921" s="46">
        <v>909</v>
      </c>
      <c r="D20921" s="69" t="s">
        <v>29420</v>
      </c>
      <c r="E20921" s="51"/>
      <c r="F20921" s="114" t="str">
        <f>IF(INDEX(I.Facility.P4IDNumber,909)="","",INDEX(I.Facility.P4IDNumber,909))</f>
        <v/>
      </c>
      <c r="G20921" s="51"/>
      <c r="H20921" s="46" t="str">
        <f>IF(AND(I.Developer.P4=TRUE,I.Facility.P4FacilityCount&gt;=909,F20921=""),"Incomplete","Complete")</f>
        <v>Complete</v>
      </c>
      <c r="I20921" s="48" t="s">
        <v>25286</v>
      </c>
    </row>
    <row r="20922" spans="2:9" ht="15" customHeight="1" x14ac:dyDescent="0.25">
      <c r="B20922" s="55" t="s">
        <v>283</v>
      </c>
      <c r="C20922" s="46">
        <v>910</v>
      </c>
      <c r="D20922" s="69" t="s">
        <v>29420</v>
      </c>
      <c r="E20922" s="51"/>
      <c r="F20922" s="114" t="str">
        <f>IF(INDEX(I.Facility.P4IDNumber,910)="","",INDEX(I.Facility.P4IDNumber,910))</f>
        <v/>
      </c>
      <c r="G20922" s="51"/>
      <c r="H20922" s="46" t="str">
        <f>IF(AND(I.Developer.P4=TRUE,I.Facility.P4FacilityCount&gt;=910,F20922=""),"Incomplete","Complete")</f>
        <v>Complete</v>
      </c>
      <c r="I20922" s="48" t="s">
        <v>25287</v>
      </c>
    </row>
    <row r="20923" spans="2:9" ht="15" customHeight="1" x14ac:dyDescent="0.25">
      <c r="B20923" s="55" t="s">
        <v>283</v>
      </c>
      <c r="C20923" s="46">
        <v>911</v>
      </c>
      <c r="D20923" s="69" t="s">
        <v>29420</v>
      </c>
      <c r="E20923" s="51"/>
      <c r="F20923" s="114" t="str">
        <f>IF(INDEX(I.Facility.P4IDNumber,911)="","",INDEX(I.Facility.P4IDNumber,911))</f>
        <v/>
      </c>
      <c r="G20923" s="51"/>
      <c r="H20923" s="46" t="str">
        <f>IF(AND(I.Developer.P4=TRUE,I.Facility.P4FacilityCount&gt;=911,F20923=""),"Incomplete","Complete")</f>
        <v>Complete</v>
      </c>
      <c r="I20923" s="48" t="s">
        <v>25288</v>
      </c>
    </row>
    <row r="20924" spans="2:9" ht="15" customHeight="1" x14ac:dyDescent="0.25">
      <c r="B20924" s="55" t="s">
        <v>283</v>
      </c>
      <c r="C20924" s="46">
        <v>912</v>
      </c>
      <c r="D20924" s="69" t="s">
        <v>29420</v>
      </c>
      <c r="E20924" s="51"/>
      <c r="F20924" s="114" t="str">
        <f>IF(INDEX(I.Facility.P4IDNumber,912)="","",INDEX(I.Facility.P4IDNumber,912))</f>
        <v/>
      </c>
      <c r="G20924" s="51"/>
      <c r="H20924" s="46" t="str">
        <f>IF(AND(I.Developer.P4=TRUE,I.Facility.P4FacilityCount&gt;=912,F20924=""),"Incomplete","Complete")</f>
        <v>Complete</v>
      </c>
      <c r="I20924" s="48" t="s">
        <v>25289</v>
      </c>
    </row>
    <row r="20925" spans="2:9" ht="15" customHeight="1" x14ac:dyDescent="0.25">
      <c r="B20925" s="55" t="s">
        <v>283</v>
      </c>
      <c r="C20925" s="46">
        <v>913</v>
      </c>
      <c r="D20925" s="69" t="s">
        <v>29420</v>
      </c>
      <c r="E20925" s="51"/>
      <c r="F20925" s="114" t="str">
        <f>IF(INDEX(I.Facility.P4IDNumber,913)="","",INDEX(I.Facility.P4IDNumber,913))</f>
        <v/>
      </c>
      <c r="G20925" s="51"/>
      <c r="H20925" s="46" t="str">
        <f>IF(AND(I.Developer.P4=TRUE,I.Facility.P4FacilityCount&gt;=913,F20925=""),"Incomplete","Complete")</f>
        <v>Complete</v>
      </c>
      <c r="I20925" s="48" t="s">
        <v>25290</v>
      </c>
    </row>
    <row r="20926" spans="2:9" ht="15" customHeight="1" x14ac:dyDescent="0.25">
      <c r="B20926" s="55" t="s">
        <v>283</v>
      </c>
      <c r="C20926" s="46">
        <v>914</v>
      </c>
      <c r="D20926" s="69" t="s">
        <v>29420</v>
      </c>
      <c r="E20926" s="51"/>
      <c r="F20926" s="114" t="str">
        <f>IF(INDEX(I.Facility.P4IDNumber,914)="","",INDEX(I.Facility.P4IDNumber,914))</f>
        <v/>
      </c>
      <c r="G20926" s="51"/>
      <c r="H20926" s="46" t="str">
        <f>IF(AND(I.Developer.P4=TRUE,I.Facility.P4FacilityCount&gt;=914,F20926=""),"Incomplete","Complete")</f>
        <v>Complete</v>
      </c>
      <c r="I20926" s="48" t="s">
        <v>25291</v>
      </c>
    </row>
    <row r="20927" spans="2:9" ht="15" customHeight="1" x14ac:dyDescent="0.25">
      <c r="B20927" s="55" t="s">
        <v>283</v>
      </c>
      <c r="C20927" s="46">
        <v>915</v>
      </c>
      <c r="D20927" s="69" t="s">
        <v>29420</v>
      </c>
      <c r="E20927" s="51"/>
      <c r="F20927" s="114" t="str">
        <f>IF(INDEX(I.Facility.P4IDNumber,915)="","",INDEX(I.Facility.P4IDNumber,915))</f>
        <v/>
      </c>
      <c r="G20927" s="51"/>
      <c r="H20927" s="46" t="str">
        <f>IF(AND(I.Developer.P4=TRUE,I.Facility.P4FacilityCount&gt;=915,F20927=""),"Incomplete","Complete")</f>
        <v>Complete</v>
      </c>
      <c r="I20927" s="48" t="s">
        <v>25292</v>
      </c>
    </row>
    <row r="20928" spans="2:9" ht="15" customHeight="1" x14ac:dyDescent="0.25">
      <c r="B20928" s="55" t="s">
        <v>283</v>
      </c>
      <c r="C20928" s="46">
        <v>916</v>
      </c>
      <c r="D20928" s="69" t="s">
        <v>29420</v>
      </c>
      <c r="E20928" s="51"/>
      <c r="F20928" s="114" t="str">
        <f>IF(INDEX(I.Facility.P4IDNumber,916)="","",INDEX(I.Facility.P4IDNumber,916))</f>
        <v/>
      </c>
      <c r="G20928" s="51"/>
      <c r="H20928" s="46" t="str">
        <f>IF(AND(I.Developer.P4=TRUE,I.Facility.P4FacilityCount&gt;=916,F20928=""),"Incomplete","Complete")</f>
        <v>Complete</v>
      </c>
      <c r="I20928" s="48" t="s">
        <v>25293</v>
      </c>
    </row>
    <row r="20929" spans="2:9" ht="15" customHeight="1" x14ac:dyDescent="0.25">
      <c r="B20929" s="55" t="s">
        <v>283</v>
      </c>
      <c r="C20929" s="46">
        <v>917</v>
      </c>
      <c r="D20929" s="69" t="s">
        <v>29420</v>
      </c>
      <c r="E20929" s="51"/>
      <c r="F20929" s="114" t="str">
        <f>IF(INDEX(I.Facility.P4IDNumber,917)="","",INDEX(I.Facility.P4IDNumber,917))</f>
        <v/>
      </c>
      <c r="G20929" s="51"/>
      <c r="H20929" s="46" t="str">
        <f>IF(AND(I.Developer.P4=TRUE,I.Facility.P4FacilityCount&gt;=917,F20929=""),"Incomplete","Complete")</f>
        <v>Complete</v>
      </c>
      <c r="I20929" s="48" t="s">
        <v>25294</v>
      </c>
    </row>
    <row r="20930" spans="2:9" ht="15" customHeight="1" x14ac:dyDescent="0.25">
      <c r="B20930" s="55" t="s">
        <v>283</v>
      </c>
      <c r="C20930" s="46">
        <v>918</v>
      </c>
      <c r="D20930" s="69" t="s">
        <v>29420</v>
      </c>
      <c r="E20930" s="51"/>
      <c r="F20930" s="114" t="str">
        <f>IF(INDEX(I.Facility.P4IDNumber,918)="","",INDEX(I.Facility.P4IDNumber,918))</f>
        <v/>
      </c>
      <c r="G20930" s="51"/>
      <c r="H20930" s="46" t="str">
        <f>IF(AND(I.Developer.P4=TRUE,I.Facility.P4FacilityCount&gt;=918,F20930=""),"Incomplete","Complete")</f>
        <v>Complete</v>
      </c>
      <c r="I20930" s="48" t="s">
        <v>25295</v>
      </c>
    </row>
    <row r="20931" spans="2:9" ht="15" customHeight="1" x14ac:dyDescent="0.25">
      <c r="B20931" s="55" t="s">
        <v>283</v>
      </c>
      <c r="C20931" s="46">
        <v>919</v>
      </c>
      <c r="D20931" s="69" t="s">
        <v>29420</v>
      </c>
      <c r="E20931" s="51"/>
      <c r="F20931" s="114" t="str">
        <f>IF(INDEX(I.Facility.P4IDNumber,919)="","",INDEX(I.Facility.P4IDNumber,919))</f>
        <v/>
      </c>
      <c r="G20931" s="51"/>
      <c r="H20931" s="46" t="str">
        <f>IF(AND(I.Developer.P4=TRUE,I.Facility.P4FacilityCount&gt;=919,F20931=""),"Incomplete","Complete")</f>
        <v>Complete</v>
      </c>
      <c r="I20931" s="48" t="s">
        <v>25296</v>
      </c>
    </row>
    <row r="20932" spans="2:9" ht="15" customHeight="1" x14ac:dyDescent="0.25">
      <c r="B20932" s="55" t="s">
        <v>283</v>
      </c>
      <c r="C20932" s="46">
        <v>920</v>
      </c>
      <c r="D20932" s="69" t="s">
        <v>29420</v>
      </c>
      <c r="E20932" s="51"/>
      <c r="F20932" s="114" t="str">
        <f>IF(INDEX(I.Facility.P4IDNumber,920)="","",INDEX(I.Facility.P4IDNumber,920))</f>
        <v/>
      </c>
      <c r="G20932" s="51"/>
      <c r="H20932" s="46" t="str">
        <f>IF(AND(I.Developer.P4=TRUE,I.Facility.P4FacilityCount&gt;=920,F20932=""),"Incomplete","Complete")</f>
        <v>Complete</v>
      </c>
      <c r="I20932" s="48" t="s">
        <v>25297</v>
      </c>
    </row>
    <row r="20933" spans="2:9" ht="15" customHeight="1" x14ac:dyDescent="0.25">
      <c r="B20933" s="55" t="s">
        <v>283</v>
      </c>
      <c r="C20933" s="46">
        <v>921</v>
      </c>
      <c r="D20933" s="69" t="s">
        <v>29420</v>
      </c>
      <c r="E20933" s="51"/>
      <c r="F20933" s="114" t="str">
        <f>IF(INDEX(I.Facility.P4IDNumber,921)="","",INDEX(I.Facility.P4IDNumber,921))</f>
        <v/>
      </c>
      <c r="G20933" s="51"/>
      <c r="H20933" s="46" t="str">
        <f>IF(AND(I.Developer.P4=TRUE,I.Facility.P4FacilityCount&gt;=921,F20933=""),"Incomplete","Complete")</f>
        <v>Complete</v>
      </c>
      <c r="I20933" s="48" t="s">
        <v>25298</v>
      </c>
    </row>
    <row r="20934" spans="2:9" ht="15" customHeight="1" x14ac:dyDescent="0.25">
      <c r="B20934" s="55" t="s">
        <v>283</v>
      </c>
      <c r="C20934" s="46">
        <v>922</v>
      </c>
      <c r="D20934" s="69" t="s">
        <v>29420</v>
      </c>
      <c r="E20934" s="51"/>
      <c r="F20934" s="114" t="str">
        <f>IF(INDEX(I.Facility.P4IDNumber,922)="","",INDEX(I.Facility.P4IDNumber,922))</f>
        <v/>
      </c>
      <c r="G20934" s="51"/>
      <c r="H20934" s="46" t="str">
        <f>IF(AND(I.Developer.P4=TRUE,I.Facility.P4FacilityCount&gt;=922,F20934=""),"Incomplete","Complete")</f>
        <v>Complete</v>
      </c>
      <c r="I20934" s="48" t="s">
        <v>25299</v>
      </c>
    </row>
    <row r="20935" spans="2:9" ht="15" customHeight="1" x14ac:dyDescent="0.25">
      <c r="B20935" s="55" t="s">
        <v>283</v>
      </c>
      <c r="C20935" s="46">
        <v>923</v>
      </c>
      <c r="D20935" s="69" t="s">
        <v>29420</v>
      </c>
      <c r="E20935" s="51"/>
      <c r="F20935" s="114" t="str">
        <f>IF(INDEX(I.Facility.P4IDNumber,923)="","",INDEX(I.Facility.P4IDNumber,923))</f>
        <v/>
      </c>
      <c r="G20935" s="51"/>
      <c r="H20935" s="46" t="str">
        <f>IF(AND(I.Developer.P4=TRUE,I.Facility.P4FacilityCount&gt;=923,F20935=""),"Incomplete","Complete")</f>
        <v>Complete</v>
      </c>
      <c r="I20935" s="48" t="s">
        <v>25300</v>
      </c>
    </row>
    <row r="20936" spans="2:9" ht="15" customHeight="1" x14ac:dyDescent="0.25">
      <c r="B20936" s="55" t="s">
        <v>283</v>
      </c>
      <c r="C20936" s="46">
        <v>924</v>
      </c>
      <c r="D20936" s="69" t="s">
        <v>29420</v>
      </c>
      <c r="E20936" s="51"/>
      <c r="F20936" s="114" t="str">
        <f>IF(INDEX(I.Facility.P4IDNumber,924)="","",INDEX(I.Facility.P4IDNumber,924))</f>
        <v/>
      </c>
      <c r="G20936" s="51"/>
      <c r="H20936" s="46" t="str">
        <f>IF(AND(I.Developer.P4=TRUE,I.Facility.P4FacilityCount&gt;=924,F20936=""),"Incomplete","Complete")</f>
        <v>Complete</v>
      </c>
      <c r="I20936" s="48" t="s">
        <v>25301</v>
      </c>
    </row>
    <row r="20937" spans="2:9" ht="15" customHeight="1" x14ac:dyDescent="0.25">
      <c r="B20937" s="55" t="s">
        <v>283</v>
      </c>
      <c r="C20937" s="46">
        <v>925</v>
      </c>
      <c r="D20937" s="69" t="s">
        <v>29420</v>
      </c>
      <c r="E20937" s="51"/>
      <c r="F20937" s="114" t="str">
        <f>IF(INDEX(I.Facility.P4IDNumber,925)="","",INDEX(I.Facility.P4IDNumber,925))</f>
        <v/>
      </c>
      <c r="G20937" s="51"/>
      <c r="H20937" s="46" t="str">
        <f>IF(AND(I.Developer.P4=TRUE,I.Facility.P4FacilityCount&gt;=925,F20937=""),"Incomplete","Complete")</f>
        <v>Complete</v>
      </c>
      <c r="I20937" s="48" t="s">
        <v>25302</v>
      </c>
    </row>
    <row r="20938" spans="2:9" ht="15" customHeight="1" x14ac:dyDescent="0.25">
      <c r="B20938" s="55" t="s">
        <v>283</v>
      </c>
      <c r="C20938" s="46">
        <v>926</v>
      </c>
      <c r="D20938" s="69" t="s">
        <v>29420</v>
      </c>
      <c r="E20938" s="51"/>
      <c r="F20938" s="114" t="str">
        <f>IF(INDEX(I.Facility.P4IDNumber,926)="","",INDEX(I.Facility.P4IDNumber,926))</f>
        <v/>
      </c>
      <c r="G20938" s="51"/>
      <c r="H20938" s="46" t="str">
        <f>IF(AND(I.Developer.P4=TRUE,I.Facility.P4FacilityCount&gt;=926,F20938=""),"Incomplete","Complete")</f>
        <v>Complete</v>
      </c>
      <c r="I20938" s="48" t="s">
        <v>25303</v>
      </c>
    </row>
    <row r="20939" spans="2:9" ht="15" customHeight="1" x14ac:dyDescent="0.25">
      <c r="B20939" s="55" t="s">
        <v>283</v>
      </c>
      <c r="C20939" s="46">
        <v>927</v>
      </c>
      <c r="D20939" s="69" t="s">
        <v>29420</v>
      </c>
      <c r="E20939" s="51"/>
      <c r="F20939" s="114" t="str">
        <f>IF(INDEX(I.Facility.P4IDNumber,927)="","",INDEX(I.Facility.P4IDNumber,927))</f>
        <v/>
      </c>
      <c r="G20939" s="51"/>
      <c r="H20939" s="46" t="str">
        <f>IF(AND(I.Developer.P4=TRUE,I.Facility.P4FacilityCount&gt;=927,F20939=""),"Incomplete","Complete")</f>
        <v>Complete</v>
      </c>
      <c r="I20939" s="48" t="s">
        <v>25304</v>
      </c>
    </row>
    <row r="20940" spans="2:9" ht="15" customHeight="1" x14ac:dyDescent="0.25">
      <c r="B20940" s="55" t="s">
        <v>283</v>
      </c>
      <c r="C20940" s="46">
        <v>928</v>
      </c>
      <c r="D20940" s="69" t="s">
        <v>29420</v>
      </c>
      <c r="E20940" s="51"/>
      <c r="F20940" s="114" t="str">
        <f>IF(INDEX(I.Facility.P4IDNumber,928)="","",INDEX(I.Facility.P4IDNumber,928))</f>
        <v/>
      </c>
      <c r="G20940" s="51"/>
      <c r="H20940" s="46" t="str">
        <f>IF(AND(I.Developer.P4=TRUE,I.Facility.P4FacilityCount&gt;=928,F20940=""),"Incomplete","Complete")</f>
        <v>Complete</v>
      </c>
      <c r="I20940" s="48" t="s">
        <v>25305</v>
      </c>
    </row>
    <row r="20941" spans="2:9" ht="15" customHeight="1" x14ac:dyDescent="0.25">
      <c r="B20941" s="55" t="s">
        <v>283</v>
      </c>
      <c r="C20941" s="46">
        <v>929</v>
      </c>
      <c r="D20941" s="69" t="s">
        <v>29420</v>
      </c>
      <c r="E20941" s="51"/>
      <c r="F20941" s="114" t="str">
        <f>IF(INDEX(I.Facility.P4IDNumber,929)="","",INDEX(I.Facility.P4IDNumber,929))</f>
        <v/>
      </c>
      <c r="G20941" s="51"/>
      <c r="H20941" s="46" t="str">
        <f>IF(AND(I.Developer.P4=TRUE,I.Facility.P4FacilityCount&gt;=929,F20941=""),"Incomplete","Complete")</f>
        <v>Complete</v>
      </c>
      <c r="I20941" s="48" t="s">
        <v>25306</v>
      </c>
    </row>
    <row r="20942" spans="2:9" ht="15" customHeight="1" x14ac:dyDescent="0.25">
      <c r="B20942" s="55" t="s">
        <v>283</v>
      </c>
      <c r="C20942" s="46">
        <v>930</v>
      </c>
      <c r="D20942" s="69" t="s">
        <v>29420</v>
      </c>
      <c r="E20942" s="51"/>
      <c r="F20942" s="114" t="str">
        <f>IF(INDEX(I.Facility.P4IDNumber,930)="","",INDEX(I.Facility.P4IDNumber,930))</f>
        <v/>
      </c>
      <c r="G20942" s="51"/>
      <c r="H20942" s="46" t="str">
        <f>IF(AND(I.Developer.P4=TRUE,I.Facility.P4FacilityCount&gt;=930,F20942=""),"Incomplete","Complete")</f>
        <v>Complete</v>
      </c>
      <c r="I20942" s="48" t="s">
        <v>25307</v>
      </c>
    </row>
    <row r="20943" spans="2:9" ht="15" customHeight="1" x14ac:dyDescent="0.25">
      <c r="B20943" s="55" t="s">
        <v>283</v>
      </c>
      <c r="C20943" s="46">
        <v>931</v>
      </c>
      <c r="D20943" s="69" t="s">
        <v>29420</v>
      </c>
      <c r="E20943" s="51"/>
      <c r="F20943" s="114" t="str">
        <f>IF(INDEX(I.Facility.P4IDNumber,931)="","",INDEX(I.Facility.P4IDNumber,931))</f>
        <v/>
      </c>
      <c r="G20943" s="51"/>
      <c r="H20943" s="46" t="str">
        <f>IF(AND(I.Developer.P4=TRUE,I.Facility.P4FacilityCount&gt;=931,F20943=""),"Incomplete","Complete")</f>
        <v>Complete</v>
      </c>
      <c r="I20943" s="48" t="s">
        <v>25308</v>
      </c>
    </row>
    <row r="20944" spans="2:9" ht="15" customHeight="1" x14ac:dyDescent="0.25">
      <c r="B20944" s="55" t="s">
        <v>283</v>
      </c>
      <c r="C20944" s="46">
        <v>932</v>
      </c>
      <c r="D20944" s="69" t="s">
        <v>29420</v>
      </c>
      <c r="E20944" s="51"/>
      <c r="F20944" s="114" t="str">
        <f>IF(INDEX(I.Facility.P4IDNumber,932)="","",INDEX(I.Facility.P4IDNumber,932))</f>
        <v/>
      </c>
      <c r="G20944" s="51"/>
      <c r="H20944" s="46" t="str">
        <f>IF(AND(I.Developer.P4=TRUE,I.Facility.P4FacilityCount&gt;=932,F20944=""),"Incomplete","Complete")</f>
        <v>Complete</v>
      </c>
      <c r="I20944" s="48" t="s">
        <v>25309</v>
      </c>
    </row>
    <row r="20945" spans="2:9" ht="15" customHeight="1" x14ac:dyDescent="0.25">
      <c r="B20945" s="55" t="s">
        <v>283</v>
      </c>
      <c r="C20945" s="46">
        <v>933</v>
      </c>
      <c r="D20945" s="69" t="s">
        <v>29420</v>
      </c>
      <c r="E20945" s="51"/>
      <c r="F20945" s="114" t="str">
        <f>IF(INDEX(I.Facility.P4IDNumber,933)="","",INDEX(I.Facility.P4IDNumber,933))</f>
        <v/>
      </c>
      <c r="G20945" s="51"/>
      <c r="H20945" s="46" t="str">
        <f>IF(AND(I.Developer.P4=TRUE,I.Facility.P4FacilityCount&gt;=933,F20945=""),"Incomplete","Complete")</f>
        <v>Complete</v>
      </c>
      <c r="I20945" s="48" t="s">
        <v>25310</v>
      </c>
    </row>
    <row r="20946" spans="2:9" ht="15" customHeight="1" x14ac:dyDescent="0.25">
      <c r="B20946" s="55" t="s">
        <v>283</v>
      </c>
      <c r="C20946" s="46">
        <v>934</v>
      </c>
      <c r="D20946" s="69" t="s">
        <v>29420</v>
      </c>
      <c r="E20946" s="51"/>
      <c r="F20946" s="114" t="str">
        <f>IF(INDEX(I.Facility.P4IDNumber,934)="","",INDEX(I.Facility.P4IDNumber,934))</f>
        <v/>
      </c>
      <c r="G20946" s="51"/>
      <c r="H20946" s="46" t="str">
        <f>IF(AND(I.Developer.P4=TRUE,I.Facility.P4FacilityCount&gt;=934,F20946=""),"Incomplete","Complete")</f>
        <v>Complete</v>
      </c>
      <c r="I20946" s="48" t="s">
        <v>25311</v>
      </c>
    </row>
    <row r="20947" spans="2:9" ht="15" customHeight="1" x14ac:dyDescent="0.25">
      <c r="B20947" s="55" t="s">
        <v>283</v>
      </c>
      <c r="C20947" s="46">
        <v>935</v>
      </c>
      <c r="D20947" s="69" t="s">
        <v>29420</v>
      </c>
      <c r="E20947" s="51"/>
      <c r="F20947" s="114" t="str">
        <f>IF(INDEX(I.Facility.P4IDNumber,935)="","",INDEX(I.Facility.P4IDNumber,935))</f>
        <v/>
      </c>
      <c r="G20947" s="51"/>
      <c r="H20947" s="46" t="str">
        <f>IF(AND(I.Developer.P4=TRUE,I.Facility.P4FacilityCount&gt;=935,F20947=""),"Incomplete","Complete")</f>
        <v>Complete</v>
      </c>
      <c r="I20947" s="48" t="s">
        <v>25312</v>
      </c>
    </row>
    <row r="20948" spans="2:9" ht="15" customHeight="1" x14ac:dyDescent="0.25">
      <c r="B20948" s="55" t="s">
        <v>283</v>
      </c>
      <c r="C20948" s="46">
        <v>936</v>
      </c>
      <c r="D20948" s="69" t="s">
        <v>29420</v>
      </c>
      <c r="E20948" s="51"/>
      <c r="F20948" s="114" t="str">
        <f>IF(INDEX(I.Facility.P4IDNumber,936)="","",INDEX(I.Facility.P4IDNumber,936))</f>
        <v/>
      </c>
      <c r="G20948" s="51"/>
      <c r="H20948" s="46" t="str">
        <f>IF(AND(I.Developer.P4=TRUE,I.Facility.P4FacilityCount&gt;=936,F20948=""),"Incomplete","Complete")</f>
        <v>Complete</v>
      </c>
      <c r="I20948" s="48" t="s">
        <v>25313</v>
      </c>
    </row>
    <row r="20949" spans="2:9" ht="15" customHeight="1" x14ac:dyDescent="0.25">
      <c r="B20949" s="55" t="s">
        <v>283</v>
      </c>
      <c r="C20949" s="46">
        <v>937</v>
      </c>
      <c r="D20949" s="69" t="s">
        <v>29420</v>
      </c>
      <c r="E20949" s="51"/>
      <c r="F20949" s="114" t="str">
        <f>IF(INDEX(I.Facility.P4IDNumber,937)="","",INDEX(I.Facility.P4IDNumber,937))</f>
        <v/>
      </c>
      <c r="G20949" s="51"/>
      <c r="H20949" s="46" t="str">
        <f>IF(AND(I.Developer.P4=TRUE,I.Facility.P4FacilityCount&gt;=937,F20949=""),"Incomplete","Complete")</f>
        <v>Complete</v>
      </c>
      <c r="I20949" s="48" t="s">
        <v>25314</v>
      </c>
    </row>
    <row r="20950" spans="2:9" ht="15" customHeight="1" x14ac:dyDescent="0.25">
      <c r="B20950" s="55" t="s">
        <v>283</v>
      </c>
      <c r="C20950" s="46">
        <v>938</v>
      </c>
      <c r="D20950" s="69" t="s">
        <v>29420</v>
      </c>
      <c r="E20950" s="51"/>
      <c r="F20950" s="114" t="str">
        <f>IF(INDEX(I.Facility.P4IDNumber,938)="","",INDEX(I.Facility.P4IDNumber,938))</f>
        <v/>
      </c>
      <c r="G20950" s="51"/>
      <c r="H20950" s="46" t="str">
        <f>IF(AND(I.Developer.P4=TRUE,I.Facility.P4FacilityCount&gt;=938,F20950=""),"Incomplete","Complete")</f>
        <v>Complete</v>
      </c>
      <c r="I20950" s="48" t="s">
        <v>25315</v>
      </c>
    </row>
    <row r="20951" spans="2:9" ht="15" customHeight="1" x14ac:dyDescent="0.25">
      <c r="B20951" s="55" t="s">
        <v>283</v>
      </c>
      <c r="C20951" s="46">
        <v>939</v>
      </c>
      <c r="D20951" s="69" t="s">
        <v>29420</v>
      </c>
      <c r="E20951" s="51"/>
      <c r="F20951" s="114" t="str">
        <f>IF(INDEX(I.Facility.P4IDNumber,939)="","",INDEX(I.Facility.P4IDNumber,939))</f>
        <v/>
      </c>
      <c r="G20951" s="51"/>
      <c r="H20951" s="46" t="str">
        <f>IF(AND(I.Developer.P4=TRUE,I.Facility.P4FacilityCount&gt;=939,F20951=""),"Incomplete","Complete")</f>
        <v>Complete</v>
      </c>
      <c r="I20951" s="48" t="s">
        <v>25316</v>
      </c>
    </row>
    <row r="20952" spans="2:9" ht="15" customHeight="1" x14ac:dyDescent="0.25">
      <c r="B20952" s="55" t="s">
        <v>283</v>
      </c>
      <c r="C20952" s="46">
        <v>940</v>
      </c>
      <c r="D20952" s="69" t="s">
        <v>29420</v>
      </c>
      <c r="E20952" s="51"/>
      <c r="F20952" s="114" t="str">
        <f>IF(INDEX(I.Facility.P4IDNumber,940)="","",INDEX(I.Facility.P4IDNumber,940))</f>
        <v/>
      </c>
      <c r="G20952" s="51"/>
      <c r="H20952" s="46" t="str">
        <f>IF(AND(I.Developer.P4=TRUE,I.Facility.P4FacilityCount&gt;=940,F20952=""),"Incomplete","Complete")</f>
        <v>Complete</v>
      </c>
      <c r="I20952" s="48" t="s">
        <v>25317</v>
      </c>
    </row>
    <row r="20953" spans="2:9" ht="15" customHeight="1" x14ac:dyDescent="0.25">
      <c r="B20953" s="55" t="s">
        <v>283</v>
      </c>
      <c r="C20953" s="46">
        <v>941</v>
      </c>
      <c r="D20953" s="69" t="s">
        <v>29420</v>
      </c>
      <c r="E20953" s="51"/>
      <c r="F20953" s="114" t="str">
        <f>IF(INDEX(I.Facility.P4IDNumber,941)="","",INDEX(I.Facility.P4IDNumber,941))</f>
        <v/>
      </c>
      <c r="G20953" s="51"/>
      <c r="H20953" s="46" t="str">
        <f>IF(AND(I.Developer.P4=TRUE,I.Facility.P4FacilityCount&gt;=941,F20953=""),"Incomplete","Complete")</f>
        <v>Complete</v>
      </c>
      <c r="I20953" s="48" t="s">
        <v>25318</v>
      </c>
    </row>
    <row r="20954" spans="2:9" ht="15" customHeight="1" x14ac:dyDescent="0.25">
      <c r="B20954" s="55" t="s">
        <v>283</v>
      </c>
      <c r="C20954" s="46">
        <v>942</v>
      </c>
      <c r="D20954" s="69" t="s">
        <v>29420</v>
      </c>
      <c r="E20954" s="51"/>
      <c r="F20954" s="114" t="str">
        <f>IF(INDEX(I.Facility.P4IDNumber,942)="","",INDEX(I.Facility.P4IDNumber,942))</f>
        <v/>
      </c>
      <c r="G20954" s="51"/>
      <c r="H20954" s="46" t="str">
        <f>IF(AND(I.Developer.P4=TRUE,I.Facility.P4FacilityCount&gt;=942,F20954=""),"Incomplete","Complete")</f>
        <v>Complete</v>
      </c>
      <c r="I20954" s="48" t="s">
        <v>25319</v>
      </c>
    </row>
    <row r="20955" spans="2:9" ht="15" customHeight="1" x14ac:dyDescent="0.25">
      <c r="B20955" s="55" t="s">
        <v>283</v>
      </c>
      <c r="C20955" s="46">
        <v>943</v>
      </c>
      <c r="D20955" s="69" t="s">
        <v>29420</v>
      </c>
      <c r="E20955" s="51"/>
      <c r="F20955" s="114" t="str">
        <f>IF(INDEX(I.Facility.P4IDNumber,943)="","",INDEX(I.Facility.P4IDNumber,943))</f>
        <v/>
      </c>
      <c r="G20955" s="51"/>
      <c r="H20955" s="46" t="str">
        <f>IF(AND(I.Developer.P4=TRUE,I.Facility.P4FacilityCount&gt;=943,F20955=""),"Incomplete","Complete")</f>
        <v>Complete</v>
      </c>
      <c r="I20955" s="48" t="s">
        <v>25320</v>
      </c>
    </row>
    <row r="20956" spans="2:9" ht="15" customHeight="1" x14ac:dyDescent="0.25">
      <c r="B20956" s="55" t="s">
        <v>283</v>
      </c>
      <c r="C20956" s="46">
        <v>944</v>
      </c>
      <c r="D20956" s="69" t="s">
        <v>29420</v>
      </c>
      <c r="E20956" s="51"/>
      <c r="F20956" s="114" t="str">
        <f>IF(INDEX(I.Facility.P4IDNumber,944)="","",INDEX(I.Facility.P4IDNumber,944))</f>
        <v/>
      </c>
      <c r="G20956" s="51"/>
      <c r="H20956" s="46" t="str">
        <f>IF(AND(I.Developer.P4=TRUE,I.Facility.P4FacilityCount&gt;=944,F20956=""),"Incomplete","Complete")</f>
        <v>Complete</v>
      </c>
      <c r="I20956" s="48" t="s">
        <v>25321</v>
      </c>
    </row>
    <row r="20957" spans="2:9" ht="15" customHeight="1" x14ac:dyDescent="0.25">
      <c r="B20957" s="55" t="s">
        <v>283</v>
      </c>
      <c r="C20957" s="46">
        <v>945</v>
      </c>
      <c r="D20957" s="69" t="s">
        <v>29420</v>
      </c>
      <c r="E20957" s="51"/>
      <c r="F20957" s="114" t="str">
        <f>IF(INDEX(I.Facility.P4IDNumber,945)="","",INDEX(I.Facility.P4IDNumber,945))</f>
        <v/>
      </c>
      <c r="G20957" s="51"/>
      <c r="H20957" s="46" t="str">
        <f>IF(AND(I.Developer.P4=TRUE,I.Facility.P4FacilityCount&gt;=945,F20957=""),"Incomplete","Complete")</f>
        <v>Complete</v>
      </c>
      <c r="I20957" s="48" t="s">
        <v>25322</v>
      </c>
    </row>
    <row r="20958" spans="2:9" ht="15" customHeight="1" x14ac:dyDescent="0.25">
      <c r="B20958" s="55" t="s">
        <v>283</v>
      </c>
      <c r="C20958" s="46">
        <v>946</v>
      </c>
      <c r="D20958" s="69" t="s">
        <v>29420</v>
      </c>
      <c r="E20958" s="51"/>
      <c r="F20958" s="114" t="str">
        <f>IF(INDEX(I.Facility.P4IDNumber,946)="","",INDEX(I.Facility.P4IDNumber,946))</f>
        <v/>
      </c>
      <c r="G20958" s="51"/>
      <c r="H20958" s="46" t="str">
        <f>IF(AND(I.Developer.P4=TRUE,I.Facility.P4FacilityCount&gt;=946,F20958=""),"Incomplete","Complete")</f>
        <v>Complete</v>
      </c>
      <c r="I20958" s="48" t="s">
        <v>25323</v>
      </c>
    </row>
    <row r="20959" spans="2:9" ht="15" customHeight="1" x14ac:dyDescent="0.25">
      <c r="B20959" s="55" t="s">
        <v>283</v>
      </c>
      <c r="C20959" s="46">
        <v>947</v>
      </c>
      <c r="D20959" s="69" t="s">
        <v>29420</v>
      </c>
      <c r="E20959" s="51"/>
      <c r="F20959" s="114" t="str">
        <f>IF(INDEX(I.Facility.P4IDNumber,947)="","",INDEX(I.Facility.P4IDNumber,947))</f>
        <v/>
      </c>
      <c r="G20959" s="51"/>
      <c r="H20959" s="46" t="str">
        <f>IF(AND(I.Developer.P4=TRUE,I.Facility.P4FacilityCount&gt;=947,F20959=""),"Incomplete","Complete")</f>
        <v>Complete</v>
      </c>
      <c r="I20959" s="48" t="s">
        <v>25324</v>
      </c>
    </row>
    <row r="20960" spans="2:9" ht="15" customHeight="1" x14ac:dyDescent="0.25">
      <c r="B20960" s="55" t="s">
        <v>283</v>
      </c>
      <c r="C20960" s="46">
        <v>948</v>
      </c>
      <c r="D20960" s="69" t="s">
        <v>29420</v>
      </c>
      <c r="E20960" s="51"/>
      <c r="F20960" s="114" t="str">
        <f>IF(INDEX(I.Facility.P4IDNumber,948)="","",INDEX(I.Facility.P4IDNumber,948))</f>
        <v/>
      </c>
      <c r="G20960" s="51"/>
      <c r="H20960" s="46" t="str">
        <f>IF(AND(I.Developer.P4=TRUE,I.Facility.P4FacilityCount&gt;=948,F20960=""),"Incomplete","Complete")</f>
        <v>Complete</v>
      </c>
      <c r="I20960" s="48" t="s">
        <v>25325</v>
      </c>
    </row>
    <row r="20961" spans="2:9" ht="15" customHeight="1" x14ac:dyDescent="0.25">
      <c r="B20961" s="55" t="s">
        <v>283</v>
      </c>
      <c r="C20961" s="46">
        <v>949</v>
      </c>
      <c r="D20961" s="69" t="s">
        <v>29420</v>
      </c>
      <c r="E20961" s="51"/>
      <c r="F20961" s="114" t="str">
        <f>IF(INDEX(I.Facility.P4IDNumber,949)="","",INDEX(I.Facility.P4IDNumber,949))</f>
        <v/>
      </c>
      <c r="G20961" s="51"/>
      <c r="H20961" s="46" t="str">
        <f>IF(AND(I.Developer.P4=TRUE,I.Facility.P4FacilityCount&gt;=949,F20961=""),"Incomplete","Complete")</f>
        <v>Complete</v>
      </c>
      <c r="I20961" s="48" t="s">
        <v>25326</v>
      </c>
    </row>
    <row r="20962" spans="2:9" ht="15" customHeight="1" x14ac:dyDescent="0.25">
      <c r="B20962" s="55" t="s">
        <v>283</v>
      </c>
      <c r="C20962" s="46">
        <v>950</v>
      </c>
      <c r="D20962" s="69" t="s">
        <v>29420</v>
      </c>
      <c r="E20962" s="51"/>
      <c r="F20962" s="114" t="str">
        <f>IF(INDEX(I.Facility.P4IDNumber,950)="","",INDEX(I.Facility.P4IDNumber,950))</f>
        <v/>
      </c>
      <c r="G20962" s="51"/>
      <c r="H20962" s="46" t="str">
        <f>IF(AND(I.Developer.P4=TRUE,I.Facility.P4FacilityCount&gt;=950,F20962=""),"Incomplete","Complete")</f>
        <v>Complete</v>
      </c>
      <c r="I20962" s="48" t="s">
        <v>25327</v>
      </c>
    </row>
    <row r="20963" spans="2:9" ht="15" customHeight="1" x14ac:dyDescent="0.25">
      <c r="B20963" s="55" t="s">
        <v>283</v>
      </c>
      <c r="C20963" s="46">
        <v>951</v>
      </c>
      <c r="D20963" s="69" t="s">
        <v>29420</v>
      </c>
      <c r="E20963" s="51"/>
      <c r="F20963" s="114" t="str">
        <f>IF(INDEX(I.Facility.P4IDNumber,951)="","",INDEX(I.Facility.P4IDNumber,951))</f>
        <v/>
      </c>
      <c r="G20963" s="51"/>
      <c r="H20963" s="46" t="str">
        <f>IF(AND(I.Developer.P4=TRUE,I.Facility.P4FacilityCount&gt;=951,F20963=""),"Incomplete","Complete")</f>
        <v>Complete</v>
      </c>
      <c r="I20963" s="48" t="s">
        <v>25328</v>
      </c>
    </row>
    <row r="20964" spans="2:9" ht="15" customHeight="1" x14ac:dyDescent="0.25">
      <c r="B20964" s="55" t="s">
        <v>283</v>
      </c>
      <c r="C20964" s="46">
        <v>952</v>
      </c>
      <c r="D20964" s="69" t="s">
        <v>29420</v>
      </c>
      <c r="E20964" s="51"/>
      <c r="F20964" s="114" t="str">
        <f>IF(INDEX(I.Facility.P4IDNumber,952)="","",INDEX(I.Facility.P4IDNumber,952))</f>
        <v/>
      </c>
      <c r="G20964" s="51"/>
      <c r="H20964" s="46" t="str">
        <f>IF(AND(I.Developer.P4=TRUE,I.Facility.P4FacilityCount&gt;=952,F20964=""),"Incomplete","Complete")</f>
        <v>Complete</v>
      </c>
      <c r="I20964" s="48" t="s">
        <v>25329</v>
      </c>
    </row>
    <row r="20965" spans="2:9" ht="15" customHeight="1" x14ac:dyDescent="0.25">
      <c r="B20965" s="55" t="s">
        <v>283</v>
      </c>
      <c r="C20965" s="46">
        <v>953</v>
      </c>
      <c r="D20965" s="69" t="s">
        <v>29420</v>
      </c>
      <c r="E20965" s="51"/>
      <c r="F20965" s="114" t="str">
        <f>IF(INDEX(I.Facility.P4IDNumber,953)="","",INDEX(I.Facility.P4IDNumber,953))</f>
        <v/>
      </c>
      <c r="G20965" s="51"/>
      <c r="H20965" s="46" t="str">
        <f>IF(AND(I.Developer.P4=TRUE,I.Facility.P4FacilityCount&gt;=953,F20965=""),"Incomplete","Complete")</f>
        <v>Complete</v>
      </c>
      <c r="I20965" s="48" t="s">
        <v>25330</v>
      </c>
    </row>
    <row r="20966" spans="2:9" ht="15" customHeight="1" x14ac:dyDescent="0.25">
      <c r="B20966" s="55" t="s">
        <v>283</v>
      </c>
      <c r="C20966" s="46">
        <v>954</v>
      </c>
      <c r="D20966" s="69" t="s">
        <v>29420</v>
      </c>
      <c r="E20966" s="51"/>
      <c r="F20966" s="114" t="str">
        <f>IF(INDEX(I.Facility.P4IDNumber,954)="","",INDEX(I.Facility.P4IDNumber,954))</f>
        <v/>
      </c>
      <c r="G20966" s="51"/>
      <c r="H20966" s="46" t="str">
        <f>IF(AND(I.Developer.P4=TRUE,I.Facility.P4FacilityCount&gt;=954,F20966=""),"Incomplete","Complete")</f>
        <v>Complete</v>
      </c>
      <c r="I20966" s="48" t="s">
        <v>25331</v>
      </c>
    </row>
    <row r="20967" spans="2:9" ht="15" customHeight="1" x14ac:dyDescent="0.25">
      <c r="B20967" s="55" t="s">
        <v>283</v>
      </c>
      <c r="C20967" s="46">
        <v>955</v>
      </c>
      <c r="D20967" s="69" t="s">
        <v>29420</v>
      </c>
      <c r="E20967" s="51"/>
      <c r="F20967" s="114" t="str">
        <f>IF(INDEX(I.Facility.P4IDNumber,955)="","",INDEX(I.Facility.P4IDNumber,955))</f>
        <v/>
      </c>
      <c r="G20967" s="51"/>
      <c r="H20967" s="46" t="str">
        <f>IF(AND(I.Developer.P4=TRUE,I.Facility.P4FacilityCount&gt;=955,F20967=""),"Incomplete","Complete")</f>
        <v>Complete</v>
      </c>
      <c r="I20967" s="48" t="s">
        <v>25332</v>
      </c>
    </row>
    <row r="20968" spans="2:9" ht="15" customHeight="1" x14ac:dyDescent="0.25">
      <c r="B20968" s="55" t="s">
        <v>283</v>
      </c>
      <c r="C20968" s="46">
        <v>956</v>
      </c>
      <c r="D20968" s="69" t="s">
        <v>29420</v>
      </c>
      <c r="E20968" s="51"/>
      <c r="F20968" s="114" t="str">
        <f>IF(INDEX(I.Facility.P4IDNumber,956)="","",INDEX(I.Facility.P4IDNumber,956))</f>
        <v/>
      </c>
      <c r="G20968" s="51"/>
      <c r="H20968" s="46" t="str">
        <f>IF(AND(I.Developer.P4=TRUE,I.Facility.P4FacilityCount&gt;=956,F20968=""),"Incomplete","Complete")</f>
        <v>Complete</v>
      </c>
      <c r="I20968" s="48" t="s">
        <v>25333</v>
      </c>
    </row>
    <row r="20969" spans="2:9" ht="15" customHeight="1" x14ac:dyDescent="0.25">
      <c r="B20969" s="55" t="s">
        <v>283</v>
      </c>
      <c r="C20969" s="46">
        <v>957</v>
      </c>
      <c r="D20969" s="69" t="s">
        <v>29420</v>
      </c>
      <c r="E20969" s="51"/>
      <c r="F20969" s="114" t="str">
        <f>IF(INDEX(I.Facility.P4IDNumber,957)="","",INDEX(I.Facility.P4IDNumber,957))</f>
        <v/>
      </c>
      <c r="G20969" s="51"/>
      <c r="H20969" s="46" t="str">
        <f>IF(AND(I.Developer.P4=TRUE,I.Facility.P4FacilityCount&gt;=957,F20969=""),"Incomplete","Complete")</f>
        <v>Complete</v>
      </c>
      <c r="I20969" s="48" t="s">
        <v>25334</v>
      </c>
    </row>
    <row r="20970" spans="2:9" ht="15" customHeight="1" x14ac:dyDescent="0.25">
      <c r="B20970" s="55" t="s">
        <v>283</v>
      </c>
      <c r="C20970" s="46">
        <v>958</v>
      </c>
      <c r="D20970" s="69" t="s">
        <v>29420</v>
      </c>
      <c r="E20970" s="51"/>
      <c r="F20970" s="114" t="str">
        <f>IF(INDEX(I.Facility.P4IDNumber,958)="","",INDEX(I.Facility.P4IDNumber,958))</f>
        <v/>
      </c>
      <c r="G20970" s="51"/>
      <c r="H20970" s="46" t="str">
        <f>IF(AND(I.Developer.P4=TRUE,I.Facility.P4FacilityCount&gt;=958,F20970=""),"Incomplete","Complete")</f>
        <v>Complete</v>
      </c>
      <c r="I20970" s="48" t="s">
        <v>25335</v>
      </c>
    </row>
    <row r="20971" spans="2:9" ht="15" customHeight="1" x14ac:dyDescent="0.25">
      <c r="B20971" s="55" t="s">
        <v>283</v>
      </c>
      <c r="C20971" s="46">
        <v>959</v>
      </c>
      <c r="D20971" s="69" t="s">
        <v>29420</v>
      </c>
      <c r="E20971" s="51"/>
      <c r="F20971" s="114" t="str">
        <f>IF(INDEX(I.Facility.P4IDNumber,959)="","",INDEX(I.Facility.P4IDNumber,959))</f>
        <v/>
      </c>
      <c r="G20971" s="51"/>
      <c r="H20971" s="46" t="str">
        <f>IF(AND(I.Developer.P4=TRUE,I.Facility.P4FacilityCount&gt;=959,F20971=""),"Incomplete","Complete")</f>
        <v>Complete</v>
      </c>
      <c r="I20971" s="48" t="s">
        <v>25336</v>
      </c>
    </row>
    <row r="20972" spans="2:9" ht="15" customHeight="1" x14ac:dyDescent="0.25">
      <c r="B20972" s="55" t="s">
        <v>283</v>
      </c>
      <c r="C20972" s="46">
        <v>960</v>
      </c>
      <c r="D20972" s="69" t="s">
        <v>29420</v>
      </c>
      <c r="E20972" s="51"/>
      <c r="F20972" s="114" t="str">
        <f>IF(INDEX(I.Facility.P4IDNumber,960)="","",INDEX(I.Facility.P4IDNumber,960))</f>
        <v/>
      </c>
      <c r="G20972" s="51"/>
      <c r="H20972" s="46" t="str">
        <f>IF(AND(I.Developer.P4=TRUE,I.Facility.P4FacilityCount&gt;=960,F20972=""),"Incomplete","Complete")</f>
        <v>Complete</v>
      </c>
      <c r="I20972" s="48" t="s">
        <v>25337</v>
      </c>
    </row>
    <row r="20973" spans="2:9" ht="15" customHeight="1" x14ac:dyDescent="0.25">
      <c r="B20973" s="55" t="s">
        <v>283</v>
      </c>
      <c r="C20973" s="46">
        <v>961</v>
      </c>
      <c r="D20973" s="69" t="s">
        <v>29420</v>
      </c>
      <c r="E20973" s="51"/>
      <c r="F20973" s="114" t="str">
        <f>IF(INDEX(I.Facility.P4IDNumber,961)="","",INDEX(I.Facility.P4IDNumber,961))</f>
        <v/>
      </c>
      <c r="G20973" s="51"/>
      <c r="H20973" s="46" t="str">
        <f>IF(AND(I.Developer.P4=TRUE,I.Facility.P4FacilityCount&gt;=961,F20973=""),"Incomplete","Complete")</f>
        <v>Complete</v>
      </c>
      <c r="I20973" s="48" t="s">
        <v>25338</v>
      </c>
    </row>
    <row r="20974" spans="2:9" ht="15" customHeight="1" x14ac:dyDescent="0.25">
      <c r="B20974" s="55" t="s">
        <v>283</v>
      </c>
      <c r="C20974" s="46">
        <v>962</v>
      </c>
      <c r="D20974" s="69" t="s">
        <v>29420</v>
      </c>
      <c r="E20974" s="51"/>
      <c r="F20974" s="114" t="str">
        <f>IF(INDEX(I.Facility.P4IDNumber,962)="","",INDEX(I.Facility.P4IDNumber,962))</f>
        <v/>
      </c>
      <c r="G20974" s="51"/>
      <c r="H20974" s="46" t="str">
        <f>IF(AND(I.Developer.P4=TRUE,I.Facility.P4FacilityCount&gt;=962,F20974=""),"Incomplete","Complete")</f>
        <v>Complete</v>
      </c>
      <c r="I20974" s="48" t="s">
        <v>25339</v>
      </c>
    </row>
    <row r="20975" spans="2:9" ht="15" customHeight="1" x14ac:dyDescent="0.25">
      <c r="B20975" s="55" t="s">
        <v>283</v>
      </c>
      <c r="C20975" s="46">
        <v>963</v>
      </c>
      <c r="D20975" s="69" t="s">
        <v>29420</v>
      </c>
      <c r="E20975" s="51"/>
      <c r="F20975" s="114" t="str">
        <f>IF(INDEX(I.Facility.P4IDNumber,963)="","",INDEX(I.Facility.P4IDNumber,963))</f>
        <v/>
      </c>
      <c r="G20975" s="51"/>
      <c r="H20975" s="46" t="str">
        <f>IF(AND(I.Developer.P4=TRUE,I.Facility.P4FacilityCount&gt;=963,F20975=""),"Incomplete","Complete")</f>
        <v>Complete</v>
      </c>
      <c r="I20975" s="48" t="s">
        <v>25340</v>
      </c>
    </row>
    <row r="20976" spans="2:9" ht="15" customHeight="1" x14ac:dyDescent="0.25">
      <c r="B20976" s="55" t="s">
        <v>283</v>
      </c>
      <c r="C20976" s="46">
        <v>964</v>
      </c>
      <c r="D20976" s="69" t="s">
        <v>29420</v>
      </c>
      <c r="E20976" s="51"/>
      <c r="F20976" s="114" t="str">
        <f>IF(INDEX(I.Facility.P4IDNumber,964)="","",INDEX(I.Facility.P4IDNumber,964))</f>
        <v/>
      </c>
      <c r="G20976" s="51"/>
      <c r="H20976" s="46" t="str">
        <f>IF(AND(I.Developer.P4=TRUE,I.Facility.P4FacilityCount&gt;=964,F20976=""),"Incomplete","Complete")</f>
        <v>Complete</v>
      </c>
      <c r="I20976" s="48" t="s">
        <v>25341</v>
      </c>
    </row>
    <row r="20977" spans="2:9" ht="15" customHeight="1" x14ac:dyDescent="0.25">
      <c r="B20977" s="55" t="s">
        <v>283</v>
      </c>
      <c r="C20977" s="46">
        <v>965</v>
      </c>
      <c r="D20977" s="69" t="s">
        <v>29420</v>
      </c>
      <c r="E20977" s="51"/>
      <c r="F20977" s="114" t="str">
        <f>IF(INDEX(I.Facility.P4IDNumber,965)="","",INDEX(I.Facility.P4IDNumber,965))</f>
        <v/>
      </c>
      <c r="G20977" s="51"/>
      <c r="H20977" s="46" t="str">
        <f>IF(AND(I.Developer.P4=TRUE,I.Facility.P4FacilityCount&gt;=965,F20977=""),"Incomplete","Complete")</f>
        <v>Complete</v>
      </c>
      <c r="I20977" s="48" t="s">
        <v>25342</v>
      </c>
    </row>
    <row r="20978" spans="2:9" ht="15" customHeight="1" x14ac:dyDescent="0.25">
      <c r="B20978" s="55" t="s">
        <v>283</v>
      </c>
      <c r="C20978" s="46">
        <v>966</v>
      </c>
      <c r="D20978" s="69" t="s">
        <v>29420</v>
      </c>
      <c r="E20978" s="51"/>
      <c r="F20978" s="114" t="str">
        <f>IF(INDEX(I.Facility.P4IDNumber,966)="","",INDEX(I.Facility.P4IDNumber,966))</f>
        <v/>
      </c>
      <c r="G20978" s="51"/>
      <c r="H20978" s="46" t="str">
        <f>IF(AND(I.Developer.P4=TRUE,I.Facility.P4FacilityCount&gt;=966,F20978=""),"Incomplete","Complete")</f>
        <v>Complete</v>
      </c>
      <c r="I20978" s="48" t="s">
        <v>25343</v>
      </c>
    </row>
    <row r="20979" spans="2:9" ht="15" customHeight="1" x14ac:dyDescent="0.25">
      <c r="B20979" s="55" t="s">
        <v>283</v>
      </c>
      <c r="C20979" s="46">
        <v>967</v>
      </c>
      <c r="D20979" s="69" t="s">
        <v>29420</v>
      </c>
      <c r="E20979" s="51"/>
      <c r="F20979" s="114" t="str">
        <f>IF(INDEX(I.Facility.P4IDNumber,967)="","",INDEX(I.Facility.P4IDNumber,967))</f>
        <v/>
      </c>
      <c r="G20979" s="51"/>
      <c r="H20979" s="46" t="str">
        <f>IF(AND(I.Developer.P4=TRUE,I.Facility.P4FacilityCount&gt;=967,F20979=""),"Incomplete","Complete")</f>
        <v>Complete</v>
      </c>
      <c r="I20979" s="48" t="s">
        <v>25344</v>
      </c>
    </row>
    <row r="20980" spans="2:9" ht="15" customHeight="1" x14ac:dyDescent="0.25">
      <c r="B20980" s="55" t="s">
        <v>283</v>
      </c>
      <c r="C20980" s="46">
        <v>968</v>
      </c>
      <c r="D20980" s="69" t="s">
        <v>29420</v>
      </c>
      <c r="E20980" s="51"/>
      <c r="F20980" s="114" t="str">
        <f>IF(INDEX(I.Facility.P4IDNumber,968)="","",INDEX(I.Facility.P4IDNumber,968))</f>
        <v/>
      </c>
      <c r="G20980" s="51"/>
      <c r="H20980" s="46" t="str">
        <f>IF(AND(I.Developer.P4=TRUE,I.Facility.P4FacilityCount&gt;=968,F20980=""),"Incomplete","Complete")</f>
        <v>Complete</v>
      </c>
      <c r="I20980" s="48" t="s">
        <v>25345</v>
      </c>
    </row>
    <row r="20981" spans="2:9" ht="15" customHeight="1" x14ac:dyDescent="0.25">
      <c r="B20981" s="55" t="s">
        <v>283</v>
      </c>
      <c r="C20981" s="46">
        <v>969</v>
      </c>
      <c r="D20981" s="69" t="s">
        <v>29420</v>
      </c>
      <c r="E20981" s="51"/>
      <c r="F20981" s="114" t="str">
        <f>IF(INDEX(I.Facility.P4IDNumber,969)="","",INDEX(I.Facility.P4IDNumber,969))</f>
        <v/>
      </c>
      <c r="G20981" s="51"/>
      <c r="H20981" s="46" t="str">
        <f>IF(AND(I.Developer.P4=TRUE,I.Facility.P4FacilityCount&gt;=969,F20981=""),"Incomplete","Complete")</f>
        <v>Complete</v>
      </c>
      <c r="I20981" s="48" t="s">
        <v>25346</v>
      </c>
    </row>
    <row r="20982" spans="2:9" ht="15" customHeight="1" x14ac:dyDescent="0.25">
      <c r="B20982" s="55" t="s">
        <v>283</v>
      </c>
      <c r="C20982" s="46">
        <v>970</v>
      </c>
      <c r="D20982" s="69" t="s">
        <v>29420</v>
      </c>
      <c r="E20982" s="51"/>
      <c r="F20982" s="114" t="str">
        <f>IF(INDEX(I.Facility.P4IDNumber,970)="","",INDEX(I.Facility.P4IDNumber,970))</f>
        <v/>
      </c>
      <c r="G20982" s="51"/>
      <c r="H20982" s="46" t="str">
        <f>IF(AND(I.Developer.P4=TRUE,I.Facility.P4FacilityCount&gt;=970,F20982=""),"Incomplete","Complete")</f>
        <v>Complete</v>
      </c>
      <c r="I20982" s="48" t="s">
        <v>25347</v>
      </c>
    </row>
    <row r="20983" spans="2:9" ht="15" customHeight="1" x14ac:dyDescent="0.25">
      <c r="B20983" s="55" t="s">
        <v>283</v>
      </c>
      <c r="C20983" s="46">
        <v>971</v>
      </c>
      <c r="D20983" s="69" t="s">
        <v>29420</v>
      </c>
      <c r="E20983" s="51"/>
      <c r="F20983" s="114" t="str">
        <f>IF(INDEX(I.Facility.P4IDNumber,971)="","",INDEX(I.Facility.P4IDNumber,971))</f>
        <v/>
      </c>
      <c r="G20983" s="51"/>
      <c r="H20983" s="46" t="str">
        <f>IF(AND(I.Developer.P4=TRUE,I.Facility.P4FacilityCount&gt;=971,F20983=""),"Incomplete","Complete")</f>
        <v>Complete</v>
      </c>
      <c r="I20983" s="48" t="s">
        <v>25348</v>
      </c>
    </row>
    <row r="20984" spans="2:9" ht="15" customHeight="1" x14ac:dyDescent="0.25">
      <c r="B20984" s="55" t="s">
        <v>283</v>
      </c>
      <c r="C20984" s="46">
        <v>972</v>
      </c>
      <c r="D20984" s="69" t="s">
        <v>29420</v>
      </c>
      <c r="E20984" s="51"/>
      <c r="F20984" s="114" t="str">
        <f>IF(INDEX(I.Facility.P4IDNumber,972)="","",INDEX(I.Facility.P4IDNumber,972))</f>
        <v/>
      </c>
      <c r="G20984" s="51"/>
      <c r="H20984" s="46" t="str">
        <f>IF(AND(I.Developer.P4=TRUE,I.Facility.P4FacilityCount&gt;=972,F20984=""),"Incomplete","Complete")</f>
        <v>Complete</v>
      </c>
      <c r="I20984" s="48" t="s">
        <v>25349</v>
      </c>
    </row>
    <row r="20985" spans="2:9" ht="15" customHeight="1" x14ac:dyDescent="0.25">
      <c r="B20985" s="55" t="s">
        <v>283</v>
      </c>
      <c r="C20985" s="46">
        <v>973</v>
      </c>
      <c r="D20985" s="69" t="s">
        <v>29420</v>
      </c>
      <c r="E20985" s="51"/>
      <c r="F20985" s="114" t="str">
        <f>IF(INDEX(I.Facility.P4IDNumber,973)="","",INDEX(I.Facility.P4IDNumber,973))</f>
        <v/>
      </c>
      <c r="G20985" s="51"/>
      <c r="H20985" s="46" t="str">
        <f>IF(AND(I.Developer.P4=TRUE,I.Facility.P4FacilityCount&gt;=973,F20985=""),"Incomplete","Complete")</f>
        <v>Complete</v>
      </c>
      <c r="I20985" s="48" t="s">
        <v>25350</v>
      </c>
    </row>
    <row r="20986" spans="2:9" ht="15" customHeight="1" x14ac:dyDescent="0.25">
      <c r="B20986" s="55" t="s">
        <v>283</v>
      </c>
      <c r="C20986" s="46">
        <v>974</v>
      </c>
      <c r="D20986" s="69" t="s">
        <v>29420</v>
      </c>
      <c r="E20986" s="51"/>
      <c r="F20986" s="114" t="str">
        <f>IF(INDEX(I.Facility.P4IDNumber,974)="","",INDEX(I.Facility.P4IDNumber,974))</f>
        <v/>
      </c>
      <c r="G20986" s="51"/>
      <c r="H20986" s="46" t="str">
        <f>IF(AND(I.Developer.P4=TRUE,I.Facility.P4FacilityCount&gt;=974,F20986=""),"Incomplete","Complete")</f>
        <v>Complete</v>
      </c>
      <c r="I20986" s="48" t="s">
        <v>25351</v>
      </c>
    </row>
    <row r="20987" spans="2:9" ht="15" customHeight="1" x14ac:dyDescent="0.25">
      <c r="B20987" s="55" t="s">
        <v>283</v>
      </c>
      <c r="C20987" s="46">
        <v>975</v>
      </c>
      <c r="D20987" s="69" t="s">
        <v>29420</v>
      </c>
      <c r="E20987" s="51"/>
      <c r="F20987" s="114" t="str">
        <f>IF(INDEX(I.Facility.P4IDNumber,975)="","",INDEX(I.Facility.P4IDNumber,975))</f>
        <v/>
      </c>
      <c r="G20987" s="51"/>
      <c r="H20987" s="46" t="str">
        <f>IF(AND(I.Developer.P4=TRUE,I.Facility.P4FacilityCount&gt;=975,F20987=""),"Incomplete","Complete")</f>
        <v>Complete</v>
      </c>
      <c r="I20987" s="48" t="s">
        <v>25352</v>
      </c>
    </row>
    <row r="20988" spans="2:9" ht="15" customHeight="1" x14ac:dyDescent="0.25">
      <c r="B20988" s="55" t="s">
        <v>283</v>
      </c>
      <c r="C20988" s="46">
        <v>976</v>
      </c>
      <c r="D20988" s="69" t="s">
        <v>29420</v>
      </c>
      <c r="E20988" s="51"/>
      <c r="F20988" s="114" t="str">
        <f>IF(INDEX(I.Facility.P4IDNumber,976)="","",INDEX(I.Facility.P4IDNumber,976))</f>
        <v/>
      </c>
      <c r="G20988" s="51"/>
      <c r="H20988" s="46" t="str">
        <f>IF(AND(I.Developer.P4=TRUE,I.Facility.P4FacilityCount&gt;=976,F20988=""),"Incomplete","Complete")</f>
        <v>Complete</v>
      </c>
      <c r="I20988" s="48" t="s">
        <v>25353</v>
      </c>
    </row>
    <row r="20989" spans="2:9" ht="15" customHeight="1" x14ac:dyDescent="0.25">
      <c r="B20989" s="55" t="s">
        <v>283</v>
      </c>
      <c r="C20989" s="46">
        <v>977</v>
      </c>
      <c r="D20989" s="69" t="s">
        <v>29420</v>
      </c>
      <c r="E20989" s="51"/>
      <c r="F20989" s="114" t="str">
        <f>IF(INDEX(I.Facility.P4IDNumber,977)="","",INDEX(I.Facility.P4IDNumber,977))</f>
        <v/>
      </c>
      <c r="G20989" s="51"/>
      <c r="H20989" s="46" t="str">
        <f>IF(AND(I.Developer.P4=TRUE,I.Facility.P4FacilityCount&gt;=977,F20989=""),"Incomplete","Complete")</f>
        <v>Complete</v>
      </c>
      <c r="I20989" s="48" t="s">
        <v>25354</v>
      </c>
    </row>
    <row r="20990" spans="2:9" ht="15" customHeight="1" x14ac:dyDescent="0.25">
      <c r="B20990" s="55" t="s">
        <v>283</v>
      </c>
      <c r="C20990" s="46">
        <v>978</v>
      </c>
      <c r="D20990" s="69" t="s">
        <v>29420</v>
      </c>
      <c r="E20990" s="51"/>
      <c r="F20990" s="114" t="str">
        <f>IF(INDEX(I.Facility.P4IDNumber,978)="","",INDEX(I.Facility.P4IDNumber,978))</f>
        <v/>
      </c>
      <c r="G20990" s="51"/>
      <c r="H20990" s="46" t="str">
        <f>IF(AND(I.Developer.P4=TRUE,I.Facility.P4FacilityCount&gt;=978,F20990=""),"Incomplete","Complete")</f>
        <v>Complete</v>
      </c>
      <c r="I20990" s="48" t="s">
        <v>25355</v>
      </c>
    </row>
    <row r="20991" spans="2:9" ht="15" customHeight="1" x14ac:dyDescent="0.25">
      <c r="B20991" s="55" t="s">
        <v>283</v>
      </c>
      <c r="C20991" s="46">
        <v>979</v>
      </c>
      <c r="D20991" s="69" t="s">
        <v>29420</v>
      </c>
      <c r="E20991" s="51"/>
      <c r="F20991" s="114" t="str">
        <f>IF(INDEX(I.Facility.P4IDNumber,979)="","",INDEX(I.Facility.P4IDNumber,979))</f>
        <v/>
      </c>
      <c r="G20991" s="51"/>
      <c r="H20991" s="46" t="str">
        <f>IF(AND(I.Developer.P4=TRUE,I.Facility.P4FacilityCount&gt;=979,F20991=""),"Incomplete","Complete")</f>
        <v>Complete</v>
      </c>
      <c r="I20991" s="48" t="s">
        <v>25356</v>
      </c>
    </row>
    <row r="20992" spans="2:9" ht="15" customHeight="1" x14ac:dyDescent="0.25">
      <c r="B20992" s="55" t="s">
        <v>283</v>
      </c>
      <c r="C20992" s="46">
        <v>980</v>
      </c>
      <c r="D20992" s="69" t="s">
        <v>29420</v>
      </c>
      <c r="E20992" s="51"/>
      <c r="F20992" s="114" t="str">
        <f>IF(INDEX(I.Facility.P4IDNumber,980)="","",INDEX(I.Facility.P4IDNumber,980))</f>
        <v/>
      </c>
      <c r="G20992" s="51"/>
      <c r="H20992" s="46" t="str">
        <f>IF(AND(I.Developer.P4=TRUE,I.Facility.P4FacilityCount&gt;=980,F20992=""),"Incomplete","Complete")</f>
        <v>Complete</v>
      </c>
      <c r="I20992" s="48" t="s">
        <v>25357</v>
      </c>
    </row>
    <row r="20993" spans="2:9" ht="15" customHeight="1" x14ac:dyDescent="0.25">
      <c r="B20993" s="55" t="s">
        <v>283</v>
      </c>
      <c r="C20993" s="46">
        <v>981</v>
      </c>
      <c r="D20993" s="69" t="s">
        <v>29420</v>
      </c>
      <c r="E20993" s="51"/>
      <c r="F20993" s="114" t="str">
        <f>IF(INDEX(I.Facility.P4IDNumber,981)="","",INDEX(I.Facility.P4IDNumber,981))</f>
        <v/>
      </c>
      <c r="G20993" s="51"/>
      <c r="H20993" s="46" t="str">
        <f>IF(AND(I.Developer.P4=TRUE,I.Facility.P4FacilityCount&gt;=981,F20993=""),"Incomplete","Complete")</f>
        <v>Complete</v>
      </c>
      <c r="I20993" s="48" t="s">
        <v>25358</v>
      </c>
    </row>
    <row r="20994" spans="2:9" ht="15" customHeight="1" x14ac:dyDescent="0.25">
      <c r="B20994" s="55" t="s">
        <v>283</v>
      </c>
      <c r="C20994" s="46">
        <v>982</v>
      </c>
      <c r="D20994" s="69" t="s">
        <v>29420</v>
      </c>
      <c r="E20994" s="51"/>
      <c r="F20994" s="114" t="str">
        <f>IF(INDEX(I.Facility.P4IDNumber,982)="","",INDEX(I.Facility.P4IDNumber,982))</f>
        <v/>
      </c>
      <c r="G20994" s="51"/>
      <c r="H20994" s="46" t="str">
        <f>IF(AND(I.Developer.P4=TRUE,I.Facility.P4FacilityCount&gt;=982,F20994=""),"Incomplete","Complete")</f>
        <v>Complete</v>
      </c>
      <c r="I20994" s="48" t="s">
        <v>25359</v>
      </c>
    </row>
    <row r="20995" spans="2:9" ht="15" customHeight="1" x14ac:dyDescent="0.25">
      <c r="B20995" s="55" t="s">
        <v>283</v>
      </c>
      <c r="C20995" s="46">
        <v>983</v>
      </c>
      <c r="D20995" s="69" t="s">
        <v>29420</v>
      </c>
      <c r="E20995" s="51"/>
      <c r="F20995" s="114" t="str">
        <f>IF(INDEX(I.Facility.P4IDNumber,983)="","",INDEX(I.Facility.P4IDNumber,983))</f>
        <v/>
      </c>
      <c r="G20995" s="51"/>
      <c r="H20995" s="46" t="str">
        <f>IF(AND(I.Developer.P4=TRUE,I.Facility.P4FacilityCount&gt;=983,F20995=""),"Incomplete","Complete")</f>
        <v>Complete</v>
      </c>
      <c r="I20995" s="48" t="s">
        <v>25360</v>
      </c>
    </row>
    <row r="20996" spans="2:9" ht="15" customHeight="1" x14ac:dyDescent="0.25">
      <c r="B20996" s="55" t="s">
        <v>283</v>
      </c>
      <c r="C20996" s="46">
        <v>984</v>
      </c>
      <c r="D20996" s="69" t="s">
        <v>29420</v>
      </c>
      <c r="E20996" s="51"/>
      <c r="F20996" s="114" t="str">
        <f>IF(INDEX(I.Facility.P4IDNumber,984)="","",INDEX(I.Facility.P4IDNumber,984))</f>
        <v/>
      </c>
      <c r="G20996" s="51"/>
      <c r="H20996" s="46" t="str">
        <f>IF(AND(I.Developer.P4=TRUE,I.Facility.P4FacilityCount&gt;=984,F20996=""),"Incomplete","Complete")</f>
        <v>Complete</v>
      </c>
      <c r="I20996" s="48" t="s">
        <v>25361</v>
      </c>
    </row>
    <row r="20997" spans="2:9" ht="15" customHeight="1" x14ac:dyDescent="0.25">
      <c r="B20997" s="55" t="s">
        <v>283</v>
      </c>
      <c r="C20997" s="46">
        <v>985</v>
      </c>
      <c r="D20997" s="69" t="s">
        <v>29420</v>
      </c>
      <c r="E20997" s="51"/>
      <c r="F20997" s="114" t="str">
        <f>IF(INDEX(I.Facility.P4IDNumber,985)="","",INDEX(I.Facility.P4IDNumber,985))</f>
        <v/>
      </c>
      <c r="G20997" s="51"/>
      <c r="H20997" s="46" t="str">
        <f>IF(AND(I.Developer.P4=TRUE,I.Facility.P4FacilityCount&gt;=985,F20997=""),"Incomplete","Complete")</f>
        <v>Complete</v>
      </c>
      <c r="I20997" s="48" t="s">
        <v>25362</v>
      </c>
    </row>
    <row r="20998" spans="2:9" ht="15" customHeight="1" x14ac:dyDescent="0.25">
      <c r="B20998" s="55" t="s">
        <v>283</v>
      </c>
      <c r="C20998" s="46">
        <v>986</v>
      </c>
      <c r="D20998" s="69" t="s">
        <v>29420</v>
      </c>
      <c r="E20998" s="51"/>
      <c r="F20998" s="114" t="str">
        <f>IF(INDEX(I.Facility.P4IDNumber,986)="","",INDEX(I.Facility.P4IDNumber,986))</f>
        <v/>
      </c>
      <c r="G20998" s="51"/>
      <c r="H20998" s="46" t="str">
        <f>IF(AND(I.Developer.P4=TRUE,I.Facility.P4FacilityCount&gt;=986,F20998=""),"Incomplete","Complete")</f>
        <v>Complete</v>
      </c>
      <c r="I20998" s="48" t="s">
        <v>25363</v>
      </c>
    </row>
    <row r="20999" spans="2:9" ht="15" customHeight="1" x14ac:dyDescent="0.25">
      <c r="B20999" s="55" t="s">
        <v>283</v>
      </c>
      <c r="C20999" s="46">
        <v>987</v>
      </c>
      <c r="D20999" s="69" t="s">
        <v>29420</v>
      </c>
      <c r="E20999" s="51"/>
      <c r="F20999" s="114" t="str">
        <f>IF(INDEX(I.Facility.P4IDNumber,987)="","",INDEX(I.Facility.P4IDNumber,987))</f>
        <v/>
      </c>
      <c r="G20999" s="51"/>
      <c r="H20999" s="46" t="str">
        <f>IF(AND(I.Developer.P4=TRUE,I.Facility.P4FacilityCount&gt;=987,F20999=""),"Incomplete","Complete")</f>
        <v>Complete</v>
      </c>
      <c r="I20999" s="48" t="s">
        <v>25364</v>
      </c>
    </row>
    <row r="21000" spans="2:9" ht="15" customHeight="1" x14ac:dyDescent="0.25">
      <c r="B21000" s="55" t="s">
        <v>283</v>
      </c>
      <c r="C21000" s="46">
        <v>988</v>
      </c>
      <c r="D21000" s="69" t="s">
        <v>29420</v>
      </c>
      <c r="E21000" s="51"/>
      <c r="F21000" s="114" t="str">
        <f>IF(INDEX(I.Facility.P4IDNumber,988)="","",INDEX(I.Facility.P4IDNumber,988))</f>
        <v/>
      </c>
      <c r="G21000" s="51"/>
      <c r="H21000" s="46" t="str">
        <f>IF(AND(I.Developer.P4=TRUE,I.Facility.P4FacilityCount&gt;=988,F21000=""),"Incomplete","Complete")</f>
        <v>Complete</v>
      </c>
      <c r="I21000" s="48" t="s">
        <v>25365</v>
      </c>
    </row>
    <row r="21001" spans="2:9" ht="15" customHeight="1" x14ac:dyDescent="0.25">
      <c r="B21001" s="55" t="s">
        <v>283</v>
      </c>
      <c r="C21001" s="46">
        <v>989</v>
      </c>
      <c r="D21001" s="69" t="s">
        <v>29420</v>
      </c>
      <c r="E21001" s="51"/>
      <c r="F21001" s="114" t="str">
        <f>IF(INDEX(I.Facility.P4IDNumber,989)="","",INDEX(I.Facility.P4IDNumber,989))</f>
        <v/>
      </c>
      <c r="G21001" s="51"/>
      <c r="H21001" s="46" t="str">
        <f>IF(AND(I.Developer.P4=TRUE,I.Facility.P4FacilityCount&gt;=989,F21001=""),"Incomplete","Complete")</f>
        <v>Complete</v>
      </c>
      <c r="I21001" s="48" t="s">
        <v>25366</v>
      </c>
    </row>
    <row r="21002" spans="2:9" ht="15" customHeight="1" x14ac:dyDescent="0.25">
      <c r="B21002" s="55" t="s">
        <v>283</v>
      </c>
      <c r="C21002" s="46">
        <v>990</v>
      </c>
      <c r="D21002" s="69" t="s">
        <v>29420</v>
      </c>
      <c r="E21002" s="51"/>
      <c r="F21002" s="114" t="str">
        <f>IF(INDEX(I.Facility.P4IDNumber,990)="","",INDEX(I.Facility.P4IDNumber,990))</f>
        <v/>
      </c>
      <c r="G21002" s="51"/>
      <c r="H21002" s="46" t="str">
        <f>IF(AND(I.Developer.P4=TRUE,I.Facility.P4FacilityCount&gt;=990,F21002=""),"Incomplete","Complete")</f>
        <v>Complete</v>
      </c>
      <c r="I21002" s="48" t="s">
        <v>25367</v>
      </c>
    </row>
    <row r="21003" spans="2:9" ht="15" customHeight="1" x14ac:dyDescent="0.25">
      <c r="B21003" s="55" t="s">
        <v>283</v>
      </c>
      <c r="C21003" s="46">
        <v>991</v>
      </c>
      <c r="D21003" s="69" t="s">
        <v>29420</v>
      </c>
      <c r="E21003" s="51"/>
      <c r="F21003" s="114" t="str">
        <f>IF(INDEX(I.Facility.P4IDNumber,991)="","",INDEX(I.Facility.P4IDNumber,991))</f>
        <v/>
      </c>
      <c r="G21003" s="51"/>
      <c r="H21003" s="46" t="str">
        <f>IF(AND(I.Developer.P4=TRUE,I.Facility.P4FacilityCount&gt;=991,F21003=""),"Incomplete","Complete")</f>
        <v>Complete</v>
      </c>
      <c r="I21003" s="48" t="s">
        <v>25368</v>
      </c>
    </row>
    <row r="21004" spans="2:9" ht="15" customHeight="1" x14ac:dyDescent="0.25">
      <c r="B21004" s="55" t="s">
        <v>283</v>
      </c>
      <c r="C21004" s="46">
        <v>992</v>
      </c>
      <c r="D21004" s="69" t="s">
        <v>29420</v>
      </c>
      <c r="E21004" s="51"/>
      <c r="F21004" s="114" t="str">
        <f>IF(INDEX(I.Facility.P4IDNumber,992)="","",INDEX(I.Facility.P4IDNumber,992))</f>
        <v/>
      </c>
      <c r="G21004" s="51"/>
      <c r="H21004" s="46" t="str">
        <f>IF(AND(I.Developer.P4=TRUE,I.Facility.P4FacilityCount&gt;=992,F21004=""),"Incomplete","Complete")</f>
        <v>Complete</v>
      </c>
      <c r="I21004" s="48" t="s">
        <v>25369</v>
      </c>
    </row>
    <row r="21005" spans="2:9" ht="15" customHeight="1" x14ac:dyDescent="0.25">
      <c r="B21005" s="55" t="s">
        <v>283</v>
      </c>
      <c r="C21005" s="46">
        <v>993</v>
      </c>
      <c r="D21005" s="69" t="s">
        <v>29420</v>
      </c>
      <c r="E21005" s="51"/>
      <c r="F21005" s="114" t="str">
        <f>IF(INDEX(I.Facility.P4IDNumber,993)="","",INDEX(I.Facility.P4IDNumber,993))</f>
        <v/>
      </c>
      <c r="G21005" s="51"/>
      <c r="H21005" s="46" t="str">
        <f>IF(AND(I.Developer.P4=TRUE,I.Facility.P4FacilityCount&gt;=993,F21005=""),"Incomplete","Complete")</f>
        <v>Complete</v>
      </c>
      <c r="I21005" s="48" t="s">
        <v>25370</v>
      </c>
    </row>
    <row r="21006" spans="2:9" ht="15" customHeight="1" x14ac:dyDescent="0.25">
      <c r="B21006" s="55" t="s">
        <v>283</v>
      </c>
      <c r="C21006" s="46">
        <v>994</v>
      </c>
      <c r="D21006" s="69" t="s">
        <v>29420</v>
      </c>
      <c r="E21006" s="51"/>
      <c r="F21006" s="114" t="str">
        <f>IF(INDEX(I.Facility.P4IDNumber,994)="","",INDEX(I.Facility.P4IDNumber,994))</f>
        <v/>
      </c>
      <c r="G21006" s="51"/>
      <c r="H21006" s="46" t="str">
        <f>IF(AND(I.Developer.P4=TRUE,I.Facility.P4FacilityCount&gt;=994,F21006=""),"Incomplete","Complete")</f>
        <v>Complete</v>
      </c>
      <c r="I21006" s="48" t="s">
        <v>25371</v>
      </c>
    </row>
    <row r="21007" spans="2:9" ht="15" customHeight="1" x14ac:dyDescent="0.25">
      <c r="B21007" s="55" t="s">
        <v>283</v>
      </c>
      <c r="C21007" s="46">
        <v>995</v>
      </c>
      <c r="D21007" s="69" t="s">
        <v>29420</v>
      </c>
      <c r="E21007" s="51"/>
      <c r="F21007" s="114" t="str">
        <f>IF(INDEX(I.Facility.P4IDNumber,995)="","",INDEX(I.Facility.P4IDNumber,995))</f>
        <v/>
      </c>
      <c r="G21007" s="51"/>
      <c r="H21007" s="46" t="str">
        <f>IF(AND(I.Developer.P4=TRUE,I.Facility.P4FacilityCount&gt;=995,F21007=""),"Incomplete","Complete")</f>
        <v>Complete</v>
      </c>
      <c r="I21007" s="48" t="s">
        <v>25372</v>
      </c>
    </row>
    <row r="21008" spans="2:9" ht="15" customHeight="1" x14ac:dyDescent="0.25">
      <c r="B21008" s="55" t="s">
        <v>283</v>
      </c>
      <c r="C21008" s="46">
        <v>996</v>
      </c>
      <c r="D21008" s="69" t="s">
        <v>29420</v>
      </c>
      <c r="E21008" s="51"/>
      <c r="F21008" s="114" t="str">
        <f>IF(INDEX(I.Facility.P4IDNumber,996)="","",INDEX(I.Facility.P4IDNumber,996))</f>
        <v/>
      </c>
      <c r="G21008" s="51"/>
      <c r="H21008" s="46" t="str">
        <f>IF(AND(I.Developer.P4=TRUE,I.Facility.P4FacilityCount&gt;=996,F21008=""),"Incomplete","Complete")</f>
        <v>Complete</v>
      </c>
      <c r="I21008" s="48" t="s">
        <v>25373</v>
      </c>
    </row>
    <row r="21009" spans="2:9" ht="15" customHeight="1" x14ac:dyDescent="0.25">
      <c r="B21009" s="55" t="s">
        <v>283</v>
      </c>
      <c r="C21009" s="46">
        <v>997</v>
      </c>
      <c r="D21009" s="69" t="s">
        <v>29420</v>
      </c>
      <c r="E21009" s="51"/>
      <c r="F21009" s="114" t="str">
        <f>IF(INDEX(I.Facility.P4IDNumber,997)="","",INDEX(I.Facility.P4IDNumber,997))</f>
        <v/>
      </c>
      <c r="G21009" s="51"/>
      <c r="H21009" s="46" t="str">
        <f>IF(AND(I.Developer.P4=TRUE,I.Facility.P4FacilityCount&gt;=997,F21009=""),"Incomplete","Complete")</f>
        <v>Complete</v>
      </c>
      <c r="I21009" s="48" t="s">
        <v>25374</v>
      </c>
    </row>
    <row r="21010" spans="2:9" ht="15" customHeight="1" x14ac:dyDescent="0.25">
      <c r="B21010" s="55" t="s">
        <v>283</v>
      </c>
      <c r="C21010" s="46">
        <v>998</v>
      </c>
      <c r="D21010" s="69" t="s">
        <v>29420</v>
      </c>
      <c r="E21010" s="51"/>
      <c r="F21010" s="114" t="str">
        <f>IF(INDEX(I.Facility.P4IDNumber,998)="","",INDEX(I.Facility.P4IDNumber,998))</f>
        <v/>
      </c>
      <c r="G21010" s="51"/>
      <c r="H21010" s="46" t="str">
        <f>IF(AND(I.Developer.P4=TRUE,I.Facility.P4FacilityCount&gt;=998,F21010=""),"Incomplete","Complete")</f>
        <v>Complete</v>
      </c>
      <c r="I21010" s="48" t="s">
        <v>25375</v>
      </c>
    </row>
    <row r="21011" spans="2:9" ht="15" customHeight="1" x14ac:dyDescent="0.25">
      <c r="B21011" s="55" t="s">
        <v>283</v>
      </c>
      <c r="C21011" s="46">
        <v>999</v>
      </c>
      <c r="D21011" s="69" t="s">
        <v>29420</v>
      </c>
      <c r="E21011" s="51"/>
      <c r="F21011" s="114" t="str">
        <f>IF(INDEX(I.Facility.P4IDNumber,999)="","",INDEX(I.Facility.P4IDNumber,999))</f>
        <v/>
      </c>
      <c r="G21011" s="51"/>
      <c r="H21011" s="46" t="str">
        <f>IF(AND(I.Developer.P4=TRUE,I.Facility.P4FacilityCount&gt;=999,F21011=""),"Incomplete","Complete")</f>
        <v>Complete</v>
      </c>
      <c r="I21011" s="48" t="s">
        <v>25376</v>
      </c>
    </row>
    <row r="21012" spans="2:9" ht="15" customHeight="1" x14ac:dyDescent="0.25">
      <c r="B21012" s="55" t="s">
        <v>283</v>
      </c>
      <c r="C21012" s="46">
        <v>1000</v>
      </c>
      <c r="D21012" s="69" t="s">
        <v>29420</v>
      </c>
      <c r="E21012" s="51"/>
      <c r="F21012" s="114" t="str">
        <f>IF(INDEX(I.Facility.P4IDNumber,1000)="","",INDEX(I.Facility.P4IDNumber,1000))</f>
        <v/>
      </c>
      <c r="G21012" s="51"/>
      <c r="H21012" s="46" t="str">
        <f>IF(AND(I.Developer.P4=TRUE,I.Facility.P4FacilityCount&gt;=1000,F21012=""),"Incomplete","Complete")</f>
        <v>Complete</v>
      </c>
      <c r="I21012" s="48" t="s">
        <v>25377</v>
      </c>
    </row>
    <row r="21013" spans="2:9" ht="15" customHeight="1" x14ac:dyDescent="0.25">
      <c r="B21013" s="55" t="s">
        <v>283</v>
      </c>
      <c r="C21013" s="46">
        <v>1001</v>
      </c>
      <c r="D21013" s="69" t="s">
        <v>29420</v>
      </c>
      <c r="E21013" s="51"/>
      <c r="F21013" s="114" t="str">
        <f>IF(INDEX(I.Facility.P4IDNumber,1001)="","",INDEX(I.Facility.P4IDNumber,1001))</f>
        <v/>
      </c>
      <c r="G21013" s="51"/>
      <c r="H21013" s="46" t="str">
        <f>IF(AND(I.Developer.P4=TRUE,I.Facility.P4FacilityCount&gt;=1001,F21013=""),"Incomplete","Complete")</f>
        <v>Complete</v>
      </c>
      <c r="I21013" s="48" t="s">
        <v>25378</v>
      </c>
    </row>
    <row r="21014" spans="2:9" ht="15" customHeight="1" x14ac:dyDescent="0.25">
      <c r="B21014" s="55" t="s">
        <v>283</v>
      </c>
      <c r="C21014" s="46">
        <v>1002</v>
      </c>
      <c r="D21014" s="69" t="s">
        <v>29420</v>
      </c>
      <c r="E21014" s="51"/>
      <c r="F21014" s="114" t="str">
        <f>IF(INDEX(I.Facility.P4IDNumber,1002)="","",INDEX(I.Facility.P4IDNumber,1002))</f>
        <v/>
      </c>
      <c r="G21014" s="51"/>
      <c r="H21014" s="46" t="str">
        <f>IF(AND(I.Developer.P4=TRUE,I.Facility.P4FacilityCount&gt;=1002,F21014=""),"Incomplete","Complete")</f>
        <v>Complete</v>
      </c>
      <c r="I21014" s="48" t="s">
        <v>25379</v>
      </c>
    </row>
    <row r="21015" spans="2:9" ht="15" customHeight="1" x14ac:dyDescent="0.25">
      <c r="B21015" s="55" t="s">
        <v>283</v>
      </c>
      <c r="C21015" s="46">
        <v>1003</v>
      </c>
      <c r="D21015" s="69" t="s">
        <v>29420</v>
      </c>
      <c r="E21015" s="51"/>
      <c r="F21015" s="114" t="str">
        <f>IF(INDEX(I.Facility.P4IDNumber,1003)="","",INDEX(I.Facility.P4IDNumber,1003))</f>
        <v/>
      </c>
      <c r="G21015" s="51"/>
      <c r="H21015" s="46" t="str">
        <f>IF(AND(I.Developer.P4=TRUE,I.Facility.P4FacilityCount&gt;=1003,F21015=""),"Incomplete","Complete")</f>
        <v>Complete</v>
      </c>
      <c r="I21015" s="48" t="s">
        <v>25380</v>
      </c>
    </row>
    <row r="21016" spans="2:9" ht="15" customHeight="1" x14ac:dyDescent="0.25">
      <c r="B21016" s="55" t="s">
        <v>283</v>
      </c>
      <c r="C21016" s="46">
        <v>1004</v>
      </c>
      <c r="D21016" s="69" t="s">
        <v>29420</v>
      </c>
      <c r="E21016" s="51"/>
      <c r="F21016" s="114" t="str">
        <f>IF(INDEX(I.Facility.P4IDNumber,1004)="","",INDEX(I.Facility.P4IDNumber,1004))</f>
        <v/>
      </c>
      <c r="G21016" s="51"/>
      <c r="H21016" s="46" t="str">
        <f>IF(AND(I.Developer.P4=TRUE,I.Facility.P4FacilityCount&gt;=1004,F21016=""),"Incomplete","Complete")</f>
        <v>Complete</v>
      </c>
      <c r="I21016" s="48" t="s">
        <v>25381</v>
      </c>
    </row>
    <row r="21017" spans="2:9" ht="15" customHeight="1" x14ac:dyDescent="0.25">
      <c r="B21017" s="55" t="s">
        <v>283</v>
      </c>
      <c r="C21017" s="46">
        <v>1005</v>
      </c>
      <c r="D21017" s="69" t="s">
        <v>29420</v>
      </c>
      <c r="E21017" s="51"/>
      <c r="F21017" s="114" t="str">
        <f>IF(INDEX(I.Facility.P4IDNumber,1005)="","",INDEX(I.Facility.P4IDNumber,1005))</f>
        <v/>
      </c>
      <c r="G21017" s="51"/>
      <c r="H21017" s="46" t="str">
        <f>IF(AND(I.Developer.P4=TRUE,I.Facility.P4FacilityCount&gt;=1005,F21017=""),"Incomplete","Complete")</f>
        <v>Complete</v>
      </c>
      <c r="I21017" s="48" t="s">
        <v>25382</v>
      </c>
    </row>
    <row r="21018" spans="2:9" ht="15" customHeight="1" x14ac:dyDescent="0.25">
      <c r="B21018" s="55" t="s">
        <v>283</v>
      </c>
      <c r="C21018" s="46">
        <v>1006</v>
      </c>
      <c r="D21018" s="69" t="s">
        <v>29420</v>
      </c>
      <c r="E21018" s="51"/>
      <c r="F21018" s="114" t="str">
        <f>IF(INDEX(I.Facility.P4IDNumber,1006)="","",INDEX(I.Facility.P4IDNumber,1006))</f>
        <v/>
      </c>
      <c r="G21018" s="51"/>
      <c r="H21018" s="46" t="str">
        <f>IF(AND(I.Developer.P4=TRUE,I.Facility.P4FacilityCount&gt;=1006,F21018=""),"Incomplete","Complete")</f>
        <v>Complete</v>
      </c>
      <c r="I21018" s="48" t="s">
        <v>25383</v>
      </c>
    </row>
    <row r="21019" spans="2:9" ht="15" customHeight="1" x14ac:dyDescent="0.25">
      <c r="B21019" s="55" t="s">
        <v>283</v>
      </c>
      <c r="C21019" s="46">
        <v>1007</v>
      </c>
      <c r="D21019" s="69" t="s">
        <v>29420</v>
      </c>
      <c r="E21019" s="51"/>
      <c r="F21019" s="114" t="str">
        <f>IF(INDEX(I.Facility.P4IDNumber,1007)="","",INDEX(I.Facility.P4IDNumber,1007))</f>
        <v/>
      </c>
      <c r="G21019" s="51"/>
      <c r="H21019" s="46" t="str">
        <f>IF(AND(I.Developer.P4=TRUE,I.Facility.P4FacilityCount&gt;=1007,F21019=""),"Incomplete","Complete")</f>
        <v>Complete</v>
      </c>
      <c r="I21019" s="48" t="s">
        <v>25384</v>
      </c>
    </row>
    <row r="21020" spans="2:9" ht="15" customHeight="1" x14ac:dyDescent="0.25">
      <c r="B21020" s="55" t="s">
        <v>283</v>
      </c>
      <c r="C21020" s="46">
        <v>1008</v>
      </c>
      <c r="D21020" s="69" t="s">
        <v>29420</v>
      </c>
      <c r="E21020" s="51"/>
      <c r="F21020" s="114" t="str">
        <f>IF(INDEX(I.Facility.P4IDNumber,1008)="","",INDEX(I.Facility.P4IDNumber,1008))</f>
        <v/>
      </c>
      <c r="G21020" s="51"/>
      <c r="H21020" s="46" t="str">
        <f>IF(AND(I.Developer.P4=TRUE,I.Facility.P4FacilityCount&gt;=1008,F21020=""),"Incomplete","Complete")</f>
        <v>Complete</v>
      </c>
      <c r="I21020" s="48" t="s">
        <v>25385</v>
      </c>
    </row>
    <row r="21021" spans="2:9" ht="15" customHeight="1" x14ac:dyDescent="0.25">
      <c r="B21021" s="55" t="s">
        <v>283</v>
      </c>
      <c r="C21021" s="46">
        <v>1009</v>
      </c>
      <c r="D21021" s="69" t="s">
        <v>29420</v>
      </c>
      <c r="E21021" s="51"/>
      <c r="F21021" s="114" t="str">
        <f>IF(INDEX(I.Facility.P4IDNumber,1009)="","",INDEX(I.Facility.P4IDNumber,1009))</f>
        <v/>
      </c>
      <c r="G21021" s="51"/>
      <c r="H21021" s="46" t="str">
        <f>IF(AND(I.Developer.P4=TRUE,I.Facility.P4FacilityCount&gt;=1009,F21021=""),"Incomplete","Complete")</f>
        <v>Complete</v>
      </c>
      <c r="I21021" s="48" t="s">
        <v>25386</v>
      </c>
    </row>
    <row r="21022" spans="2:9" ht="15" customHeight="1" x14ac:dyDescent="0.25">
      <c r="B21022" s="55" t="s">
        <v>283</v>
      </c>
      <c r="C21022" s="46">
        <v>1010</v>
      </c>
      <c r="D21022" s="69" t="s">
        <v>29420</v>
      </c>
      <c r="E21022" s="51"/>
      <c r="F21022" s="114" t="str">
        <f>IF(INDEX(I.Facility.P4IDNumber,1010)="","",INDEX(I.Facility.P4IDNumber,1010))</f>
        <v/>
      </c>
      <c r="G21022" s="51"/>
      <c r="H21022" s="46" t="str">
        <f>IF(AND(I.Developer.P4=TRUE,I.Facility.P4FacilityCount&gt;=1010,F21022=""),"Incomplete","Complete")</f>
        <v>Complete</v>
      </c>
      <c r="I21022" s="48" t="s">
        <v>25387</v>
      </c>
    </row>
    <row r="21023" spans="2:9" ht="15" customHeight="1" x14ac:dyDescent="0.25">
      <c r="B21023" s="55" t="s">
        <v>283</v>
      </c>
      <c r="C21023" s="46">
        <v>1011</v>
      </c>
      <c r="D21023" s="69" t="s">
        <v>29420</v>
      </c>
      <c r="E21023" s="51"/>
      <c r="F21023" s="114" t="str">
        <f>IF(INDEX(I.Facility.P4IDNumber,1011)="","",INDEX(I.Facility.P4IDNumber,1011))</f>
        <v/>
      </c>
      <c r="G21023" s="51"/>
      <c r="H21023" s="46" t="str">
        <f>IF(AND(I.Developer.P4=TRUE,I.Facility.P4FacilityCount&gt;=1011,F21023=""),"Incomplete","Complete")</f>
        <v>Complete</v>
      </c>
      <c r="I21023" s="48" t="s">
        <v>25388</v>
      </c>
    </row>
    <row r="21024" spans="2:9" ht="15" customHeight="1" x14ac:dyDescent="0.25">
      <c r="B21024" s="55" t="s">
        <v>283</v>
      </c>
      <c r="C21024" s="46">
        <v>1012</v>
      </c>
      <c r="D21024" s="69" t="s">
        <v>29420</v>
      </c>
      <c r="E21024" s="51"/>
      <c r="F21024" s="114" t="str">
        <f>IF(INDEX(I.Facility.P4IDNumber,1012)="","",INDEX(I.Facility.P4IDNumber,1012))</f>
        <v/>
      </c>
      <c r="G21024" s="51"/>
      <c r="H21024" s="46" t="str">
        <f>IF(AND(I.Developer.P4=TRUE,I.Facility.P4FacilityCount&gt;=1012,F21024=""),"Incomplete","Complete")</f>
        <v>Complete</v>
      </c>
      <c r="I21024" s="48" t="s">
        <v>25389</v>
      </c>
    </row>
    <row r="21025" spans="2:9" ht="15" customHeight="1" x14ac:dyDescent="0.25">
      <c r="B21025" s="55" t="s">
        <v>283</v>
      </c>
      <c r="C21025" s="46">
        <v>1013</v>
      </c>
      <c r="D21025" s="69" t="s">
        <v>29420</v>
      </c>
      <c r="E21025" s="51"/>
      <c r="F21025" s="114" t="str">
        <f>IF(INDEX(I.Facility.P4IDNumber,1013)="","",INDEX(I.Facility.P4IDNumber,1013))</f>
        <v/>
      </c>
      <c r="G21025" s="51"/>
      <c r="H21025" s="46" t="str">
        <f>IF(AND(I.Developer.P4=TRUE,I.Facility.P4FacilityCount&gt;=1013,F21025=""),"Incomplete","Complete")</f>
        <v>Complete</v>
      </c>
      <c r="I21025" s="48" t="s">
        <v>25390</v>
      </c>
    </row>
    <row r="21026" spans="2:9" ht="15" customHeight="1" x14ac:dyDescent="0.25">
      <c r="B21026" s="55" t="s">
        <v>283</v>
      </c>
      <c r="C21026" s="46">
        <v>1014</v>
      </c>
      <c r="D21026" s="69" t="s">
        <v>29420</v>
      </c>
      <c r="E21026" s="51"/>
      <c r="F21026" s="114" t="str">
        <f>IF(INDEX(I.Facility.P4IDNumber,1014)="","",INDEX(I.Facility.P4IDNumber,1014))</f>
        <v/>
      </c>
      <c r="G21026" s="51"/>
      <c r="H21026" s="46" t="str">
        <f>IF(AND(I.Developer.P4=TRUE,I.Facility.P4FacilityCount&gt;=1014,F21026=""),"Incomplete","Complete")</f>
        <v>Complete</v>
      </c>
      <c r="I21026" s="48" t="s">
        <v>25391</v>
      </c>
    </row>
    <row r="21027" spans="2:9" ht="15" customHeight="1" x14ac:dyDescent="0.25">
      <c r="B21027" s="55" t="s">
        <v>283</v>
      </c>
      <c r="C21027" s="46">
        <v>1015</v>
      </c>
      <c r="D21027" s="69" t="s">
        <v>29420</v>
      </c>
      <c r="E21027" s="51"/>
      <c r="F21027" s="114" t="str">
        <f>IF(INDEX(I.Facility.P4IDNumber,1015)="","",INDEX(I.Facility.P4IDNumber,1015))</f>
        <v/>
      </c>
      <c r="G21027" s="51"/>
      <c r="H21027" s="46" t="str">
        <f>IF(AND(I.Developer.P4=TRUE,I.Facility.P4FacilityCount&gt;=1015,F21027=""),"Incomplete","Complete")</f>
        <v>Complete</v>
      </c>
      <c r="I21027" s="48" t="s">
        <v>25392</v>
      </c>
    </row>
    <row r="21028" spans="2:9" ht="15" customHeight="1" x14ac:dyDescent="0.25">
      <c r="B21028" s="55" t="s">
        <v>283</v>
      </c>
      <c r="C21028" s="46">
        <v>1016</v>
      </c>
      <c r="D21028" s="69" t="s">
        <v>29420</v>
      </c>
      <c r="E21028" s="51"/>
      <c r="F21028" s="114" t="str">
        <f>IF(INDEX(I.Facility.P4IDNumber,1016)="","",INDEX(I.Facility.P4IDNumber,1016))</f>
        <v/>
      </c>
      <c r="G21028" s="51"/>
      <c r="H21028" s="46" t="str">
        <f>IF(AND(I.Developer.P4=TRUE,I.Facility.P4FacilityCount&gt;=1016,F21028=""),"Incomplete","Complete")</f>
        <v>Complete</v>
      </c>
      <c r="I21028" s="48" t="s">
        <v>25393</v>
      </c>
    </row>
    <row r="21029" spans="2:9" ht="15" customHeight="1" x14ac:dyDescent="0.25">
      <c r="B21029" s="55" t="s">
        <v>283</v>
      </c>
      <c r="C21029" s="46">
        <v>1017</v>
      </c>
      <c r="D21029" s="69" t="s">
        <v>29420</v>
      </c>
      <c r="E21029" s="51"/>
      <c r="F21029" s="114" t="str">
        <f>IF(INDEX(I.Facility.P4IDNumber,1017)="","",INDEX(I.Facility.P4IDNumber,1017))</f>
        <v/>
      </c>
      <c r="G21029" s="51"/>
      <c r="H21029" s="46" t="str">
        <f>IF(AND(I.Developer.P4=TRUE,I.Facility.P4FacilityCount&gt;=1017,F21029=""),"Incomplete","Complete")</f>
        <v>Complete</v>
      </c>
      <c r="I21029" s="48" t="s">
        <v>25394</v>
      </c>
    </row>
    <row r="21030" spans="2:9" ht="15" customHeight="1" x14ac:dyDescent="0.25">
      <c r="B21030" s="55" t="s">
        <v>283</v>
      </c>
      <c r="C21030" s="46">
        <v>1018</v>
      </c>
      <c r="D21030" s="69" t="s">
        <v>29420</v>
      </c>
      <c r="E21030" s="51"/>
      <c r="F21030" s="114" t="str">
        <f>IF(INDEX(I.Facility.P4IDNumber,1018)="","",INDEX(I.Facility.P4IDNumber,1018))</f>
        <v/>
      </c>
      <c r="G21030" s="51"/>
      <c r="H21030" s="46" t="str">
        <f>IF(AND(I.Developer.P4=TRUE,I.Facility.P4FacilityCount&gt;=1018,F21030=""),"Incomplete","Complete")</f>
        <v>Complete</v>
      </c>
      <c r="I21030" s="48" t="s">
        <v>25395</v>
      </c>
    </row>
    <row r="21031" spans="2:9" ht="15" customHeight="1" x14ac:dyDescent="0.25">
      <c r="B21031" s="55" t="s">
        <v>283</v>
      </c>
      <c r="C21031" s="46">
        <v>1019</v>
      </c>
      <c r="D21031" s="69" t="s">
        <v>29420</v>
      </c>
      <c r="E21031" s="51"/>
      <c r="F21031" s="114" t="str">
        <f>IF(INDEX(I.Facility.P4IDNumber,1019)="","",INDEX(I.Facility.P4IDNumber,1019))</f>
        <v/>
      </c>
      <c r="G21031" s="51"/>
      <c r="H21031" s="46" t="str">
        <f>IF(AND(I.Developer.P4=TRUE,I.Facility.P4FacilityCount&gt;=1019,F21031=""),"Incomplete","Complete")</f>
        <v>Complete</v>
      </c>
      <c r="I21031" s="48" t="s">
        <v>25396</v>
      </c>
    </row>
    <row r="21032" spans="2:9" ht="15" customHeight="1" x14ac:dyDescent="0.25">
      <c r="B21032" s="55" t="s">
        <v>283</v>
      </c>
      <c r="C21032" s="46">
        <v>1020</v>
      </c>
      <c r="D21032" s="69" t="s">
        <v>29420</v>
      </c>
      <c r="E21032" s="51"/>
      <c r="F21032" s="114" t="str">
        <f>IF(INDEX(I.Facility.P4IDNumber,1020)="","",INDEX(I.Facility.P4IDNumber,1020))</f>
        <v/>
      </c>
      <c r="G21032" s="51"/>
      <c r="H21032" s="46" t="str">
        <f>IF(AND(I.Developer.P4=TRUE,I.Facility.P4FacilityCount&gt;=1020,F21032=""),"Incomplete","Complete")</f>
        <v>Complete</v>
      </c>
      <c r="I21032" s="48" t="s">
        <v>25397</v>
      </c>
    </row>
    <row r="21033" spans="2:9" ht="15" customHeight="1" x14ac:dyDescent="0.25">
      <c r="B21033" s="55" t="s">
        <v>283</v>
      </c>
      <c r="C21033" s="46">
        <v>1021</v>
      </c>
      <c r="D21033" s="69" t="s">
        <v>29420</v>
      </c>
      <c r="E21033" s="51"/>
      <c r="F21033" s="114" t="str">
        <f>IF(INDEX(I.Facility.P4IDNumber,1021)="","",INDEX(I.Facility.P4IDNumber,1021))</f>
        <v/>
      </c>
      <c r="G21033" s="51"/>
      <c r="H21033" s="46" t="str">
        <f>IF(AND(I.Developer.P4=TRUE,I.Facility.P4FacilityCount&gt;=1021,F21033=""),"Incomplete","Complete")</f>
        <v>Complete</v>
      </c>
      <c r="I21033" s="48" t="s">
        <v>25398</v>
      </c>
    </row>
    <row r="21034" spans="2:9" ht="15" customHeight="1" x14ac:dyDescent="0.25">
      <c r="B21034" s="55" t="s">
        <v>283</v>
      </c>
      <c r="C21034" s="46">
        <v>1022</v>
      </c>
      <c r="D21034" s="69" t="s">
        <v>29420</v>
      </c>
      <c r="E21034" s="51"/>
      <c r="F21034" s="114" t="str">
        <f>IF(INDEX(I.Facility.P4IDNumber,1022)="","",INDEX(I.Facility.P4IDNumber,1022))</f>
        <v/>
      </c>
      <c r="G21034" s="51"/>
      <c r="H21034" s="46" t="str">
        <f>IF(AND(I.Developer.P4=TRUE,I.Facility.P4FacilityCount&gt;=1022,F21034=""),"Incomplete","Complete")</f>
        <v>Complete</v>
      </c>
      <c r="I21034" s="48" t="s">
        <v>25399</v>
      </c>
    </row>
    <row r="21035" spans="2:9" ht="15" customHeight="1" x14ac:dyDescent="0.25">
      <c r="B21035" s="55" t="s">
        <v>283</v>
      </c>
      <c r="C21035" s="46">
        <v>1023</v>
      </c>
      <c r="D21035" s="69" t="s">
        <v>29420</v>
      </c>
      <c r="E21035" s="51"/>
      <c r="F21035" s="114" t="str">
        <f>IF(INDEX(I.Facility.P4IDNumber,1023)="","",INDEX(I.Facility.P4IDNumber,1023))</f>
        <v/>
      </c>
      <c r="G21035" s="51"/>
      <c r="H21035" s="46" t="str">
        <f>IF(AND(I.Developer.P4=TRUE,I.Facility.P4FacilityCount&gt;=1023,F21035=""),"Incomplete","Complete")</f>
        <v>Complete</v>
      </c>
      <c r="I21035" s="48" t="s">
        <v>25400</v>
      </c>
    </row>
    <row r="21036" spans="2:9" ht="15" customHeight="1" x14ac:dyDescent="0.25">
      <c r="B21036" s="55" t="s">
        <v>283</v>
      </c>
      <c r="C21036" s="46">
        <v>1024</v>
      </c>
      <c r="D21036" s="69" t="s">
        <v>29420</v>
      </c>
      <c r="E21036" s="51"/>
      <c r="F21036" s="114" t="str">
        <f>IF(INDEX(I.Facility.P4IDNumber,1024)="","",INDEX(I.Facility.P4IDNumber,1024))</f>
        <v/>
      </c>
      <c r="G21036" s="51"/>
      <c r="H21036" s="46" t="str">
        <f>IF(AND(I.Developer.P4=TRUE,I.Facility.P4FacilityCount&gt;=1024,F21036=""),"Incomplete","Complete")</f>
        <v>Complete</v>
      </c>
      <c r="I21036" s="48" t="s">
        <v>25401</v>
      </c>
    </row>
    <row r="21037" spans="2:9" ht="15" customHeight="1" x14ac:dyDescent="0.25">
      <c r="B21037" s="55" t="s">
        <v>283</v>
      </c>
      <c r="C21037" s="46">
        <v>1025</v>
      </c>
      <c r="D21037" s="69" t="s">
        <v>29420</v>
      </c>
      <c r="E21037" s="51"/>
      <c r="F21037" s="114" t="str">
        <f>IF(INDEX(I.Facility.P4IDNumber,1025)="","",INDEX(I.Facility.P4IDNumber,1025))</f>
        <v/>
      </c>
      <c r="G21037" s="51"/>
      <c r="H21037" s="46" t="str">
        <f>IF(AND(I.Developer.P4=TRUE,I.Facility.P4FacilityCount&gt;=1025,F21037=""),"Incomplete","Complete")</f>
        <v>Complete</v>
      </c>
      <c r="I21037" s="48" t="s">
        <v>25402</v>
      </c>
    </row>
    <row r="21038" spans="2:9" ht="15" customHeight="1" x14ac:dyDescent="0.25">
      <c r="B21038" s="55" t="s">
        <v>283</v>
      </c>
      <c r="C21038" s="46">
        <v>1026</v>
      </c>
      <c r="D21038" s="69" t="s">
        <v>29420</v>
      </c>
      <c r="E21038" s="51"/>
      <c r="F21038" s="114" t="str">
        <f>IF(INDEX(I.Facility.P4IDNumber,1026)="","",INDEX(I.Facility.P4IDNumber,1026))</f>
        <v/>
      </c>
      <c r="G21038" s="51"/>
      <c r="H21038" s="46" t="str">
        <f>IF(AND(I.Developer.P4=TRUE,I.Facility.P4FacilityCount&gt;=1026,F21038=""),"Incomplete","Complete")</f>
        <v>Complete</v>
      </c>
      <c r="I21038" s="48" t="s">
        <v>25403</v>
      </c>
    </row>
    <row r="21039" spans="2:9" ht="15" customHeight="1" x14ac:dyDescent="0.25">
      <c r="B21039" s="55" t="s">
        <v>283</v>
      </c>
      <c r="C21039" s="46">
        <v>1027</v>
      </c>
      <c r="D21039" s="69" t="s">
        <v>29420</v>
      </c>
      <c r="E21039" s="51"/>
      <c r="F21039" s="114" t="str">
        <f>IF(INDEX(I.Facility.P4IDNumber,1027)="","",INDEX(I.Facility.P4IDNumber,1027))</f>
        <v/>
      </c>
      <c r="G21039" s="51"/>
      <c r="H21039" s="46" t="str">
        <f>IF(AND(I.Developer.P4=TRUE,I.Facility.P4FacilityCount&gt;=1027,F21039=""),"Incomplete","Complete")</f>
        <v>Complete</v>
      </c>
      <c r="I21039" s="48" t="s">
        <v>25404</v>
      </c>
    </row>
    <row r="21040" spans="2:9" ht="15" customHeight="1" x14ac:dyDescent="0.25">
      <c r="B21040" s="55" t="s">
        <v>283</v>
      </c>
      <c r="C21040" s="46">
        <v>1028</v>
      </c>
      <c r="D21040" s="69" t="s">
        <v>29420</v>
      </c>
      <c r="E21040" s="51"/>
      <c r="F21040" s="114" t="str">
        <f>IF(INDEX(I.Facility.P4IDNumber,1028)="","",INDEX(I.Facility.P4IDNumber,1028))</f>
        <v/>
      </c>
      <c r="G21040" s="51"/>
      <c r="H21040" s="46" t="str">
        <f>IF(AND(I.Developer.P4=TRUE,I.Facility.P4FacilityCount&gt;=1028,F21040=""),"Incomplete","Complete")</f>
        <v>Complete</v>
      </c>
      <c r="I21040" s="48" t="s">
        <v>25405</v>
      </c>
    </row>
    <row r="21041" spans="2:9" ht="15" customHeight="1" x14ac:dyDescent="0.25">
      <c r="B21041" s="55" t="s">
        <v>283</v>
      </c>
      <c r="C21041" s="46">
        <v>1029</v>
      </c>
      <c r="D21041" s="69" t="s">
        <v>29420</v>
      </c>
      <c r="E21041" s="51"/>
      <c r="F21041" s="114" t="str">
        <f>IF(INDEX(I.Facility.P4IDNumber,1029)="","",INDEX(I.Facility.P4IDNumber,1029))</f>
        <v/>
      </c>
      <c r="G21041" s="51"/>
      <c r="H21041" s="46" t="str">
        <f>IF(AND(I.Developer.P4=TRUE,I.Facility.P4FacilityCount&gt;=1029,F21041=""),"Incomplete","Complete")</f>
        <v>Complete</v>
      </c>
      <c r="I21041" s="48" t="s">
        <v>25406</v>
      </c>
    </row>
    <row r="21042" spans="2:9" ht="15" customHeight="1" x14ac:dyDescent="0.25">
      <c r="B21042" s="55" t="s">
        <v>283</v>
      </c>
      <c r="C21042" s="46">
        <v>1030</v>
      </c>
      <c r="D21042" s="69" t="s">
        <v>29420</v>
      </c>
      <c r="E21042" s="51"/>
      <c r="F21042" s="114" t="str">
        <f>IF(INDEX(I.Facility.P4IDNumber,1030)="","",INDEX(I.Facility.P4IDNumber,1030))</f>
        <v/>
      </c>
      <c r="G21042" s="51"/>
      <c r="H21042" s="46" t="str">
        <f>IF(AND(I.Developer.P4=TRUE,I.Facility.P4FacilityCount&gt;=1030,F21042=""),"Incomplete","Complete")</f>
        <v>Complete</v>
      </c>
      <c r="I21042" s="48" t="s">
        <v>25407</v>
      </c>
    </row>
    <row r="21043" spans="2:9" ht="15" customHeight="1" x14ac:dyDescent="0.25">
      <c r="B21043" s="55" t="s">
        <v>283</v>
      </c>
      <c r="C21043" s="46">
        <v>1031</v>
      </c>
      <c r="D21043" s="69" t="s">
        <v>29420</v>
      </c>
      <c r="E21043" s="51"/>
      <c r="F21043" s="114" t="str">
        <f>IF(INDEX(I.Facility.P4IDNumber,1031)="","",INDEX(I.Facility.P4IDNumber,1031))</f>
        <v/>
      </c>
      <c r="G21043" s="51"/>
      <c r="H21043" s="46" t="str">
        <f>IF(AND(I.Developer.P4=TRUE,I.Facility.P4FacilityCount&gt;=1031,F21043=""),"Incomplete","Complete")</f>
        <v>Complete</v>
      </c>
      <c r="I21043" s="48" t="s">
        <v>25408</v>
      </c>
    </row>
    <row r="21044" spans="2:9" ht="15" customHeight="1" x14ac:dyDescent="0.25">
      <c r="B21044" s="55" t="s">
        <v>283</v>
      </c>
      <c r="C21044" s="46">
        <v>1032</v>
      </c>
      <c r="D21044" s="69" t="s">
        <v>29420</v>
      </c>
      <c r="E21044" s="51"/>
      <c r="F21044" s="114" t="str">
        <f>IF(INDEX(I.Facility.P4IDNumber,1032)="","",INDEX(I.Facility.P4IDNumber,1032))</f>
        <v/>
      </c>
      <c r="G21044" s="51"/>
      <c r="H21044" s="46" t="str">
        <f>IF(AND(I.Developer.P4=TRUE,I.Facility.P4FacilityCount&gt;=1032,F21044=""),"Incomplete","Complete")</f>
        <v>Complete</v>
      </c>
      <c r="I21044" s="48" t="s">
        <v>25409</v>
      </c>
    </row>
    <row r="21045" spans="2:9" ht="15" customHeight="1" x14ac:dyDescent="0.25">
      <c r="B21045" s="55" t="s">
        <v>283</v>
      </c>
      <c r="C21045" s="46">
        <v>1033</v>
      </c>
      <c r="D21045" s="69" t="s">
        <v>29420</v>
      </c>
      <c r="E21045" s="51"/>
      <c r="F21045" s="114" t="str">
        <f>IF(INDEX(I.Facility.P4IDNumber,1033)="","",INDEX(I.Facility.P4IDNumber,1033))</f>
        <v/>
      </c>
      <c r="G21045" s="51"/>
      <c r="H21045" s="46" t="str">
        <f>IF(AND(I.Developer.P4=TRUE,I.Facility.P4FacilityCount&gt;=1033,F21045=""),"Incomplete","Complete")</f>
        <v>Complete</v>
      </c>
      <c r="I21045" s="48" t="s">
        <v>25410</v>
      </c>
    </row>
    <row r="21046" spans="2:9" ht="15" customHeight="1" x14ac:dyDescent="0.25">
      <c r="B21046" s="55" t="s">
        <v>283</v>
      </c>
      <c r="C21046" s="46">
        <v>1034</v>
      </c>
      <c r="D21046" s="69" t="s">
        <v>29420</v>
      </c>
      <c r="E21046" s="51"/>
      <c r="F21046" s="114" t="str">
        <f>IF(INDEX(I.Facility.P4IDNumber,1034)="","",INDEX(I.Facility.P4IDNumber,1034))</f>
        <v/>
      </c>
      <c r="G21046" s="51"/>
      <c r="H21046" s="46" t="str">
        <f>IF(AND(I.Developer.P4=TRUE,I.Facility.P4FacilityCount&gt;=1034,F21046=""),"Incomplete","Complete")</f>
        <v>Complete</v>
      </c>
      <c r="I21046" s="48" t="s">
        <v>25411</v>
      </c>
    </row>
    <row r="21047" spans="2:9" ht="15" customHeight="1" x14ac:dyDescent="0.25">
      <c r="B21047" s="55" t="s">
        <v>283</v>
      </c>
      <c r="C21047" s="46">
        <v>1035</v>
      </c>
      <c r="D21047" s="69" t="s">
        <v>29420</v>
      </c>
      <c r="E21047" s="51"/>
      <c r="F21047" s="114" t="str">
        <f>IF(INDEX(I.Facility.P4IDNumber,1035)="","",INDEX(I.Facility.P4IDNumber,1035))</f>
        <v/>
      </c>
      <c r="G21047" s="51"/>
      <c r="H21047" s="46" t="str">
        <f>IF(AND(I.Developer.P4=TRUE,I.Facility.P4FacilityCount&gt;=1035,F21047=""),"Incomplete","Complete")</f>
        <v>Complete</v>
      </c>
      <c r="I21047" s="48" t="s">
        <v>25412</v>
      </c>
    </row>
    <row r="21048" spans="2:9" ht="15" customHeight="1" x14ac:dyDescent="0.25">
      <c r="B21048" s="55" t="s">
        <v>283</v>
      </c>
      <c r="C21048" s="46">
        <v>1036</v>
      </c>
      <c r="D21048" s="69" t="s">
        <v>29420</v>
      </c>
      <c r="E21048" s="51"/>
      <c r="F21048" s="114" t="str">
        <f>IF(INDEX(I.Facility.P4IDNumber,1036)="","",INDEX(I.Facility.P4IDNumber,1036))</f>
        <v/>
      </c>
      <c r="G21048" s="51"/>
      <c r="H21048" s="46" t="str">
        <f>IF(AND(I.Developer.P4=TRUE,I.Facility.P4FacilityCount&gt;=1036,F21048=""),"Incomplete","Complete")</f>
        <v>Complete</v>
      </c>
      <c r="I21048" s="48" t="s">
        <v>25413</v>
      </c>
    </row>
    <row r="21049" spans="2:9" ht="15" customHeight="1" x14ac:dyDescent="0.25">
      <c r="B21049" s="55" t="s">
        <v>283</v>
      </c>
      <c r="C21049" s="46">
        <v>1037</v>
      </c>
      <c r="D21049" s="69" t="s">
        <v>29420</v>
      </c>
      <c r="E21049" s="51"/>
      <c r="F21049" s="114" t="str">
        <f>IF(INDEX(I.Facility.P4IDNumber,1037)="","",INDEX(I.Facility.P4IDNumber,1037))</f>
        <v/>
      </c>
      <c r="G21049" s="51"/>
      <c r="H21049" s="46" t="str">
        <f>IF(AND(I.Developer.P4=TRUE,I.Facility.P4FacilityCount&gt;=1037,F21049=""),"Incomplete","Complete")</f>
        <v>Complete</v>
      </c>
      <c r="I21049" s="48" t="s">
        <v>25414</v>
      </c>
    </row>
    <row r="21050" spans="2:9" ht="15" customHeight="1" x14ac:dyDescent="0.25">
      <c r="B21050" s="55" t="s">
        <v>283</v>
      </c>
      <c r="C21050" s="46">
        <v>1038</v>
      </c>
      <c r="D21050" s="69" t="s">
        <v>29420</v>
      </c>
      <c r="E21050" s="51"/>
      <c r="F21050" s="114" t="str">
        <f>IF(INDEX(I.Facility.P4IDNumber,1038)="","",INDEX(I.Facility.P4IDNumber,1038))</f>
        <v/>
      </c>
      <c r="G21050" s="51"/>
      <c r="H21050" s="46" t="str">
        <f>IF(AND(I.Developer.P4=TRUE,I.Facility.P4FacilityCount&gt;=1038,F21050=""),"Incomplete","Complete")</f>
        <v>Complete</v>
      </c>
      <c r="I21050" s="48" t="s">
        <v>25415</v>
      </c>
    </row>
    <row r="21051" spans="2:9" ht="15" customHeight="1" x14ac:dyDescent="0.25">
      <c r="B21051" s="55" t="s">
        <v>283</v>
      </c>
      <c r="C21051" s="46">
        <v>1039</v>
      </c>
      <c r="D21051" s="69" t="s">
        <v>29420</v>
      </c>
      <c r="E21051" s="51"/>
      <c r="F21051" s="114" t="str">
        <f>IF(INDEX(I.Facility.P4IDNumber,1039)="","",INDEX(I.Facility.P4IDNumber,1039))</f>
        <v/>
      </c>
      <c r="G21051" s="51"/>
      <c r="H21051" s="46" t="str">
        <f>IF(AND(I.Developer.P4=TRUE,I.Facility.P4FacilityCount&gt;=1039,F21051=""),"Incomplete","Complete")</f>
        <v>Complete</v>
      </c>
      <c r="I21051" s="48" t="s">
        <v>25416</v>
      </c>
    </row>
    <row r="21052" spans="2:9" ht="15" customHeight="1" x14ac:dyDescent="0.25">
      <c r="B21052" s="55" t="s">
        <v>283</v>
      </c>
      <c r="C21052" s="46">
        <v>1040</v>
      </c>
      <c r="D21052" s="69" t="s">
        <v>29420</v>
      </c>
      <c r="E21052" s="51"/>
      <c r="F21052" s="114" t="str">
        <f>IF(INDEX(I.Facility.P4IDNumber,1040)="","",INDEX(I.Facility.P4IDNumber,1040))</f>
        <v/>
      </c>
      <c r="G21052" s="51"/>
      <c r="H21052" s="46" t="str">
        <f>IF(AND(I.Developer.P4=TRUE,I.Facility.P4FacilityCount&gt;=1040,F21052=""),"Incomplete","Complete")</f>
        <v>Complete</v>
      </c>
      <c r="I21052" s="48" t="s">
        <v>25417</v>
      </c>
    </row>
    <row r="21053" spans="2:9" ht="15" customHeight="1" x14ac:dyDescent="0.25">
      <c r="B21053" s="55" t="s">
        <v>283</v>
      </c>
      <c r="C21053" s="46">
        <v>1041</v>
      </c>
      <c r="D21053" s="69" t="s">
        <v>29420</v>
      </c>
      <c r="E21053" s="51"/>
      <c r="F21053" s="114" t="str">
        <f>IF(INDEX(I.Facility.P4IDNumber,1041)="","",INDEX(I.Facility.P4IDNumber,1041))</f>
        <v/>
      </c>
      <c r="G21053" s="51"/>
      <c r="H21053" s="46" t="str">
        <f>IF(AND(I.Developer.P4=TRUE,I.Facility.P4FacilityCount&gt;=1041,F21053=""),"Incomplete","Complete")</f>
        <v>Complete</v>
      </c>
      <c r="I21053" s="48" t="s">
        <v>25418</v>
      </c>
    </row>
    <row r="21054" spans="2:9" ht="15" customHeight="1" x14ac:dyDescent="0.25">
      <c r="B21054" s="55" t="s">
        <v>283</v>
      </c>
      <c r="C21054" s="46">
        <v>1042</v>
      </c>
      <c r="D21054" s="69" t="s">
        <v>29420</v>
      </c>
      <c r="E21054" s="51"/>
      <c r="F21054" s="114" t="str">
        <f>IF(INDEX(I.Facility.P4IDNumber,1042)="","",INDEX(I.Facility.P4IDNumber,1042))</f>
        <v/>
      </c>
      <c r="G21054" s="51"/>
      <c r="H21054" s="46" t="str">
        <f>IF(AND(I.Developer.P4=TRUE,I.Facility.P4FacilityCount&gt;=1042,F21054=""),"Incomplete","Complete")</f>
        <v>Complete</v>
      </c>
      <c r="I21054" s="48" t="s">
        <v>25419</v>
      </c>
    </row>
    <row r="21055" spans="2:9" ht="15" customHeight="1" x14ac:dyDescent="0.25">
      <c r="B21055" s="55" t="s">
        <v>283</v>
      </c>
      <c r="C21055" s="46">
        <v>1043</v>
      </c>
      <c r="D21055" s="69" t="s">
        <v>29420</v>
      </c>
      <c r="E21055" s="51"/>
      <c r="F21055" s="114" t="str">
        <f>IF(INDEX(I.Facility.P4IDNumber,1043)="","",INDEX(I.Facility.P4IDNumber,1043))</f>
        <v/>
      </c>
      <c r="G21055" s="51"/>
      <c r="H21055" s="46" t="str">
        <f>IF(AND(I.Developer.P4=TRUE,I.Facility.P4FacilityCount&gt;=1043,F21055=""),"Incomplete","Complete")</f>
        <v>Complete</v>
      </c>
      <c r="I21055" s="48" t="s">
        <v>25420</v>
      </c>
    </row>
    <row r="21056" spans="2:9" ht="15" customHeight="1" x14ac:dyDescent="0.25">
      <c r="B21056" s="55" t="s">
        <v>283</v>
      </c>
      <c r="C21056" s="46">
        <v>1044</v>
      </c>
      <c r="D21056" s="69" t="s">
        <v>29420</v>
      </c>
      <c r="E21056" s="51"/>
      <c r="F21056" s="114" t="str">
        <f>IF(INDEX(I.Facility.P4IDNumber,1044)="","",INDEX(I.Facility.P4IDNumber,1044))</f>
        <v/>
      </c>
      <c r="G21056" s="51"/>
      <c r="H21056" s="46" t="str">
        <f>IF(AND(I.Developer.P4=TRUE,I.Facility.P4FacilityCount&gt;=1044,F21056=""),"Incomplete","Complete")</f>
        <v>Complete</v>
      </c>
      <c r="I21056" s="48" t="s">
        <v>25421</v>
      </c>
    </row>
    <row r="21057" spans="2:9" ht="15" customHeight="1" x14ac:dyDescent="0.25">
      <c r="B21057" s="55" t="s">
        <v>283</v>
      </c>
      <c r="C21057" s="46">
        <v>1045</v>
      </c>
      <c r="D21057" s="69" t="s">
        <v>29420</v>
      </c>
      <c r="E21057" s="51"/>
      <c r="F21057" s="114" t="str">
        <f>IF(INDEX(I.Facility.P4IDNumber,1045)="","",INDEX(I.Facility.P4IDNumber,1045))</f>
        <v/>
      </c>
      <c r="G21057" s="51"/>
      <c r="H21057" s="46" t="str">
        <f>IF(AND(I.Developer.P4=TRUE,I.Facility.P4FacilityCount&gt;=1045,F21057=""),"Incomplete","Complete")</f>
        <v>Complete</v>
      </c>
      <c r="I21057" s="48" t="s">
        <v>25422</v>
      </c>
    </row>
    <row r="21058" spans="2:9" ht="15" customHeight="1" x14ac:dyDescent="0.25">
      <c r="B21058" s="55" t="s">
        <v>283</v>
      </c>
      <c r="C21058" s="46">
        <v>1046</v>
      </c>
      <c r="D21058" s="69" t="s">
        <v>29420</v>
      </c>
      <c r="E21058" s="51"/>
      <c r="F21058" s="114" t="str">
        <f>IF(INDEX(I.Facility.P4IDNumber,1046)="","",INDEX(I.Facility.P4IDNumber,1046))</f>
        <v/>
      </c>
      <c r="G21058" s="51"/>
      <c r="H21058" s="46" t="str">
        <f>IF(AND(I.Developer.P4=TRUE,I.Facility.P4FacilityCount&gt;=1046,F21058=""),"Incomplete","Complete")</f>
        <v>Complete</v>
      </c>
      <c r="I21058" s="48" t="s">
        <v>25423</v>
      </c>
    </row>
    <row r="21059" spans="2:9" ht="15" customHeight="1" x14ac:dyDescent="0.25">
      <c r="B21059" s="55" t="s">
        <v>283</v>
      </c>
      <c r="C21059" s="46">
        <v>1047</v>
      </c>
      <c r="D21059" s="69" t="s">
        <v>29420</v>
      </c>
      <c r="E21059" s="51"/>
      <c r="F21059" s="114" t="str">
        <f>IF(INDEX(I.Facility.P4IDNumber,1047)="","",INDEX(I.Facility.P4IDNumber,1047))</f>
        <v/>
      </c>
      <c r="G21059" s="51"/>
      <c r="H21059" s="46" t="str">
        <f>IF(AND(I.Developer.P4=TRUE,I.Facility.P4FacilityCount&gt;=1047,F21059=""),"Incomplete","Complete")</f>
        <v>Complete</v>
      </c>
      <c r="I21059" s="48" t="s">
        <v>25424</v>
      </c>
    </row>
    <row r="21060" spans="2:9" ht="15" customHeight="1" x14ac:dyDescent="0.25">
      <c r="B21060" s="55" t="s">
        <v>283</v>
      </c>
      <c r="C21060" s="46">
        <v>1048</v>
      </c>
      <c r="D21060" s="69" t="s">
        <v>29420</v>
      </c>
      <c r="E21060" s="51"/>
      <c r="F21060" s="114" t="str">
        <f>IF(INDEX(I.Facility.P4IDNumber,1048)="","",INDEX(I.Facility.P4IDNumber,1048))</f>
        <v/>
      </c>
      <c r="G21060" s="51"/>
      <c r="H21060" s="46" t="str">
        <f>IF(AND(I.Developer.P4=TRUE,I.Facility.P4FacilityCount&gt;=1048,F21060=""),"Incomplete","Complete")</f>
        <v>Complete</v>
      </c>
      <c r="I21060" s="48" t="s">
        <v>25425</v>
      </c>
    </row>
    <row r="21061" spans="2:9" ht="15" customHeight="1" x14ac:dyDescent="0.25">
      <c r="B21061" s="55" t="s">
        <v>283</v>
      </c>
      <c r="C21061" s="46">
        <v>1049</v>
      </c>
      <c r="D21061" s="69" t="s">
        <v>29420</v>
      </c>
      <c r="E21061" s="51"/>
      <c r="F21061" s="114" t="str">
        <f>IF(INDEX(I.Facility.P4IDNumber,1049)="","",INDEX(I.Facility.P4IDNumber,1049))</f>
        <v/>
      </c>
      <c r="G21061" s="51"/>
      <c r="H21061" s="46" t="str">
        <f>IF(AND(I.Developer.P4=TRUE,I.Facility.P4FacilityCount&gt;=1049,F21061=""),"Incomplete","Complete")</f>
        <v>Complete</v>
      </c>
      <c r="I21061" s="48" t="s">
        <v>25426</v>
      </c>
    </row>
    <row r="21062" spans="2:9" ht="15" customHeight="1" x14ac:dyDescent="0.25">
      <c r="B21062" s="55" t="s">
        <v>283</v>
      </c>
      <c r="C21062" s="46">
        <v>1050</v>
      </c>
      <c r="D21062" s="69" t="s">
        <v>29420</v>
      </c>
      <c r="E21062" s="51"/>
      <c r="F21062" s="114" t="str">
        <f>IF(INDEX(I.Facility.P4IDNumber,1050)="","",INDEX(I.Facility.P4IDNumber,1050))</f>
        <v/>
      </c>
      <c r="G21062" s="51"/>
      <c r="H21062" s="46" t="str">
        <f>IF(AND(I.Developer.P4=TRUE,I.Facility.P4FacilityCount&gt;=1050,F21062=""),"Incomplete","Complete")</f>
        <v>Complete</v>
      </c>
      <c r="I21062" s="48" t="s">
        <v>25427</v>
      </c>
    </row>
    <row r="21063" spans="2:9" ht="15" customHeight="1" x14ac:dyDescent="0.25">
      <c r="B21063" s="55" t="s">
        <v>283</v>
      </c>
      <c r="C21063" s="46">
        <v>1051</v>
      </c>
      <c r="D21063" s="69" t="s">
        <v>29420</v>
      </c>
      <c r="E21063" s="51"/>
      <c r="F21063" s="114" t="str">
        <f>IF(INDEX(I.Facility.P4IDNumber,1051)="","",INDEX(I.Facility.P4IDNumber,1051))</f>
        <v/>
      </c>
      <c r="G21063" s="51"/>
      <c r="H21063" s="46" t="str">
        <f>IF(AND(I.Developer.P4=TRUE,I.Facility.P4FacilityCount&gt;=1051,F21063=""),"Incomplete","Complete")</f>
        <v>Complete</v>
      </c>
      <c r="I21063" s="48" t="s">
        <v>25428</v>
      </c>
    </row>
    <row r="21064" spans="2:9" ht="15" customHeight="1" x14ac:dyDescent="0.25">
      <c r="B21064" s="55" t="s">
        <v>283</v>
      </c>
      <c r="C21064" s="46">
        <v>1052</v>
      </c>
      <c r="D21064" s="69" t="s">
        <v>29420</v>
      </c>
      <c r="E21064" s="51"/>
      <c r="F21064" s="114" t="str">
        <f>IF(INDEX(I.Facility.P4IDNumber,1052)="","",INDEX(I.Facility.P4IDNumber,1052))</f>
        <v/>
      </c>
      <c r="G21064" s="51"/>
      <c r="H21064" s="46" t="str">
        <f>IF(AND(I.Developer.P4=TRUE,I.Facility.P4FacilityCount&gt;=1052,F21064=""),"Incomplete","Complete")</f>
        <v>Complete</v>
      </c>
      <c r="I21064" s="48" t="s">
        <v>25429</v>
      </c>
    </row>
    <row r="21065" spans="2:9" ht="15" customHeight="1" x14ac:dyDescent="0.25">
      <c r="B21065" s="55" t="s">
        <v>283</v>
      </c>
      <c r="C21065" s="46">
        <v>1053</v>
      </c>
      <c r="D21065" s="69" t="s">
        <v>29420</v>
      </c>
      <c r="E21065" s="51"/>
      <c r="F21065" s="114" t="str">
        <f>IF(INDEX(I.Facility.P4IDNumber,1053)="","",INDEX(I.Facility.P4IDNumber,1053))</f>
        <v/>
      </c>
      <c r="G21065" s="51"/>
      <c r="H21065" s="46" t="str">
        <f>IF(AND(I.Developer.P4=TRUE,I.Facility.P4FacilityCount&gt;=1053,F21065=""),"Incomplete","Complete")</f>
        <v>Complete</v>
      </c>
      <c r="I21065" s="48" t="s">
        <v>25430</v>
      </c>
    </row>
    <row r="21066" spans="2:9" ht="15" customHeight="1" x14ac:dyDescent="0.25">
      <c r="B21066" s="55" t="s">
        <v>283</v>
      </c>
      <c r="C21066" s="46">
        <v>1054</v>
      </c>
      <c r="D21066" s="69" t="s">
        <v>29420</v>
      </c>
      <c r="E21066" s="51"/>
      <c r="F21066" s="114" t="str">
        <f>IF(INDEX(I.Facility.P4IDNumber,1054)="","",INDEX(I.Facility.P4IDNumber,1054))</f>
        <v/>
      </c>
      <c r="G21066" s="51"/>
      <c r="H21066" s="46" t="str">
        <f>IF(AND(I.Developer.P4=TRUE,I.Facility.P4FacilityCount&gt;=1054,F21066=""),"Incomplete","Complete")</f>
        <v>Complete</v>
      </c>
      <c r="I21066" s="48" t="s">
        <v>25431</v>
      </c>
    </row>
    <row r="21067" spans="2:9" ht="15" customHeight="1" x14ac:dyDescent="0.25">
      <c r="B21067" s="55" t="s">
        <v>283</v>
      </c>
      <c r="C21067" s="46">
        <v>1055</v>
      </c>
      <c r="D21067" s="69" t="s">
        <v>29420</v>
      </c>
      <c r="E21067" s="51"/>
      <c r="F21067" s="114" t="str">
        <f>IF(INDEX(I.Facility.P4IDNumber,1055)="","",INDEX(I.Facility.P4IDNumber,1055))</f>
        <v/>
      </c>
      <c r="G21067" s="51"/>
      <c r="H21067" s="46" t="str">
        <f>IF(AND(I.Developer.P4=TRUE,I.Facility.P4FacilityCount&gt;=1055,F21067=""),"Incomplete","Complete")</f>
        <v>Complete</v>
      </c>
      <c r="I21067" s="48" t="s">
        <v>25432</v>
      </c>
    </row>
    <row r="21068" spans="2:9" ht="15" customHeight="1" x14ac:dyDescent="0.25">
      <c r="B21068" s="55" t="s">
        <v>283</v>
      </c>
      <c r="C21068" s="46">
        <v>1056</v>
      </c>
      <c r="D21068" s="69" t="s">
        <v>29420</v>
      </c>
      <c r="E21068" s="51"/>
      <c r="F21068" s="114" t="str">
        <f>IF(INDEX(I.Facility.P4IDNumber,1056)="","",INDEX(I.Facility.P4IDNumber,1056))</f>
        <v/>
      </c>
      <c r="G21068" s="51"/>
      <c r="H21068" s="46" t="str">
        <f>IF(AND(I.Developer.P4=TRUE,I.Facility.P4FacilityCount&gt;=1056,F21068=""),"Incomplete","Complete")</f>
        <v>Complete</v>
      </c>
      <c r="I21068" s="48" t="s">
        <v>25433</v>
      </c>
    </row>
    <row r="21069" spans="2:9" ht="15" customHeight="1" x14ac:dyDescent="0.25">
      <c r="B21069" s="55" t="s">
        <v>283</v>
      </c>
      <c r="C21069" s="46">
        <v>1057</v>
      </c>
      <c r="D21069" s="69" t="s">
        <v>29420</v>
      </c>
      <c r="E21069" s="51"/>
      <c r="F21069" s="114" t="str">
        <f>IF(INDEX(I.Facility.P4IDNumber,1057)="","",INDEX(I.Facility.P4IDNumber,1057))</f>
        <v/>
      </c>
      <c r="G21069" s="51"/>
      <c r="H21069" s="46" t="str">
        <f>IF(AND(I.Developer.P4=TRUE,I.Facility.P4FacilityCount&gt;=1057,F21069=""),"Incomplete","Complete")</f>
        <v>Complete</v>
      </c>
      <c r="I21069" s="48" t="s">
        <v>25434</v>
      </c>
    </row>
    <row r="21070" spans="2:9" ht="15" customHeight="1" x14ac:dyDescent="0.25">
      <c r="B21070" s="55" t="s">
        <v>283</v>
      </c>
      <c r="C21070" s="46">
        <v>1058</v>
      </c>
      <c r="D21070" s="69" t="s">
        <v>29420</v>
      </c>
      <c r="E21070" s="51"/>
      <c r="F21070" s="114" t="str">
        <f>IF(INDEX(I.Facility.P4IDNumber,1058)="","",INDEX(I.Facility.P4IDNumber,1058))</f>
        <v/>
      </c>
      <c r="G21070" s="51"/>
      <c r="H21070" s="46" t="str">
        <f>IF(AND(I.Developer.P4=TRUE,I.Facility.P4FacilityCount&gt;=1058,F21070=""),"Incomplete","Complete")</f>
        <v>Complete</v>
      </c>
      <c r="I21070" s="48" t="s">
        <v>25435</v>
      </c>
    </row>
    <row r="21071" spans="2:9" ht="15" customHeight="1" x14ac:dyDescent="0.25">
      <c r="B21071" s="55" t="s">
        <v>283</v>
      </c>
      <c r="C21071" s="46">
        <v>1059</v>
      </c>
      <c r="D21071" s="69" t="s">
        <v>29420</v>
      </c>
      <c r="E21071" s="51"/>
      <c r="F21071" s="114" t="str">
        <f>IF(INDEX(I.Facility.P4IDNumber,1059)="","",INDEX(I.Facility.P4IDNumber,1059))</f>
        <v/>
      </c>
      <c r="G21071" s="51"/>
      <c r="H21071" s="46" t="str">
        <f>IF(AND(I.Developer.P4=TRUE,I.Facility.P4FacilityCount&gt;=1059,F21071=""),"Incomplete","Complete")</f>
        <v>Complete</v>
      </c>
      <c r="I21071" s="48" t="s">
        <v>25436</v>
      </c>
    </row>
    <row r="21072" spans="2:9" ht="15" customHeight="1" x14ac:dyDescent="0.25">
      <c r="B21072" s="55" t="s">
        <v>283</v>
      </c>
      <c r="C21072" s="46">
        <v>1060</v>
      </c>
      <c r="D21072" s="69" t="s">
        <v>29420</v>
      </c>
      <c r="E21072" s="51"/>
      <c r="F21072" s="114" t="str">
        <f>IF(INDEX(I.Facility.P4IDNumber,1060)="","",INDEX(I.Facility.P4IDNumber,1060))</f>
        <v/>
      </c>
      <c r="G21072" s="51"/>
      <c r="H21072" s="46" t="str">
        <f>IF(AND(I.Developer.P4=TRUE,I.Facility.P4FacilityCount&gt;=1060,F21072=""),"Incomplete","Complete")</f>
        <v>Complete</v>
      </c>
      <c r="I21072" s="48" t="s">
        <v>25437</v>
      </c>
    </row>
    <row r="21073" spans="2:9" ht="15" customHeight="1" x14ac:dyDescent="0.25">
      <c r="B21073" s="55" t="s">
        <v>283</v>
      </c>
      <c r="C21073" s="46">
        <v>1061</v>
      </c>
      <c r="D21073" s="69" t="s">
        <v>29420</v>
      </c>
      <c r="E21073" s="51"/>
      <c r="F21073" s="114" t="str">
        <f>IF(INDEX(I.Facility.P4IDNumber,1061)="","",INDEX(I.Facility.P4IDNumber,1061))</f>
        <v/>
      </c>
      <c r="G21073" s="51"/>
      <c r="H21073" s="46" t="str">
        <f>IF(AND(I.Developer.P4=TRUE,I.Facility.P4FacilityCount&gt;=1061,F21073=""),"Incomplete","Complete")</f>
        <v>Complete</v>
      </c>
      <c r="I21073" s="48" t="s">
        <v>25438</v>
      </c>
    </row>
    <row r="21074" spans="2:9" ht="15" customHeight="1" x14ac:dyDescent="0.25">
      <c r="B21074" s="55" t="s">
        <v>283</v>
      </c>
      <c r="C21074" s="46">
        <v>1062</v>
      </c>
      <c r="D21074" s="69" t="s">
        <v>29420</v>
      </c>
      <c r="E21074" s="51"/>
      <c r="F21074" s="114" t="str">
        <f>IF(INDEX(I.Facility.P4IDNumber,1062)="","",INDEX(I.Facility.P4IDNumber,1062))</f>
        <v/>
      </c>
      <c r="G21074" s="51"/>
      <c r="H21074" s="46" t="str">
        <f>IF(AND(I.Developer.P4=TRUE,I.Facility.P4FacilityCount&gt;=1062,F21074=""),"Incomplete","Complete")</f>
        <v>Complete</v>
      </c>
      <c r="I21074" s="48" t="s">
        <v>25439</v>
      </c>
    </row>
    <row r="21075" spans="2:9" ht="15" customHeight="1" x14ac:dyDescent="0.25">
      <c r="B21075" s="55" t="s">
        <v>283</v>
      </c>
      <c r="C21075" s="46">
        <v>1063</v>
      </c>
      <c r="D21075" s="69" t="s">
        <v>29420</v>
      </c>
      <c r="E21075" s="51"/>
      <c r="F21075" s="114" t="str">
        <f>IF(INDEX(I.Facility.P4IDNumber,1063)="","",INDEX(I.Facility.P4IDNumber,1063))</f>
        <v/>
      </c>
      <c r="G21075" s="51"/>
      <c r="H21075" s="46" t="str">
        <f>IF(AND(I.Developer.P4=TRUE,I.Facility.P4FacilityCount&gt;=1063,F21075=""),"Incomplete","Complete")</f>
        <v>Complete</v>
      </c>
      <c r="I21075" s="48" t="s">
        <v>25440</v>
      </c>
    </row>
    <row r="21076" spans="2:9" ht="15" customHeight="1" x14ac:dyDescent="0.25">
      <c r="B21076" s="55" t="s">
        <v>283</v>
      </c>
      <c r="C21076" s="46">
        <v>1064</v>
      </c>
      <c r="D21076" s="69" t="s">
        <v>29420</v>
      </c>
      <c r="E21076" s="51"/>
      <c r="F21076" s="114" t="str">
        <f>IF(INDEX(I.Facility.P4IDNumber,1064)="","",INDEX(I.Facility.P4IDNumber,1064))</f>
        <v/>
      </c>
      <c r="G21076" s="51"/>
      <c r="H21076" s="46" t="str">
        <f>IF(AND(I.Developer.P4=TRUE,I.Facility.P4FacilityCount&gt;=1064,F21076=""),"Incomplete","Complete")</f>
        <v>Complete</v>
      </c>
      <c r="I21076" s="48" t="s">
        <v>25441</v>
      </c>
    </row>
    <row r="21077" spans="2:9" ht="15" customHeight="1" x14ac:dyDescent="0.25">
      <c r="B21077" s="55" t="s">
        <v>283</v>
      </c>
      <c r="C21077" s="46">
        <v>1065</v>
      </c>
      <c r="D21077" s="69" t="s">
        <v>29420</v>
      </c>
      <c r="E21077" s="51"/>
      <c r="F21077" s="114" t="str">
        <f>IF(INDEX(I.Facility.P4IDNumber,1065)="","",INDEX(I.Facility.P4IDNumber,1065))</f>
        <v/>
      </c>
      <c r="G21077" s="51"/>
      <c r="H21077" s="46" t="str">
        <f>IF(AND(I.Developer.P4=TRUE,I.Facility.P4FacilityCount&gt;=1065,F21077=""),"Incomplete","Complete")</f>
        <v>Complete</v>
      </c>
      <c r="I21077" s="48" t="s">
        <v>25442</v>
      </c>
    </row>
    <row r="21078" spans="2:9" ht="15" customHeight="1" x14ac:dyDescent="0.25">
      <c r="B21078" s="55" t="s">
        <v>283</v>
      </c>
      <c r="C21078" s="46">
        <v>1066</v>
      </c>
      <c r="D21078" s="69" t="s">
        <v>29420</v>
      </c>
      <c r="E21078" s="51"/>
      <c r="F21078" s="114" t="str">
        <f>IF(INDEX(I.Facility.P4IDNumber,1066)="","",INDEX(I.Facility.P4IDNumber,1066))</f>
        <v/>
      </c>
      <c r="G21078" s="51"/>
      <c r="H21078" s="46" t="str">
        <f>IF(AND(I.Developer.P4=TRUE,I.Facility.P4FacilityCount&gt;=1066,F21078=""),"Incomplete","Complete")</f>
        <v>Complete</v>
      </c>
      <c r="I21078" s="48" t="s">
        <v>25443</v>
      </c>
    </row>
    <row r="21079" spans="2:9" ht="15" customHeight="1" x14ac:dyDescent="0.25">
      <c r="B21079" s="55" t="s">
        <v>283</v>
      </c>
      <c r="C21079" s="46">
        <v>1067</v>
      </c>
      <c r="D21079" s="69" t="s">
        <v>29420</v>
      </c>
      <c r="E21079" s="51"/>
      <c r="F21079" s="114" t="str">
        <f>IF(INDEX(I.Facility.P4IDNumber,1067)="","",INDEX(I.Facility.P4IDNumber,1067))</f>
        <v/>
      </c>
      <c r="G21079" s="51"/>
      <c r="H21079" s="46" t="str">
        <f>IF(AND(I.Developer.P4=TRUE,I.Facility.P4FacilityCount&gt;=1067,F21079=""),"Incomplete","Complete")</f>
        <v>Complete</v>
      </c>
      <c r="I21079" s="48" t="s">
        <v>25444</v>
      </c>
    </row>
    <row r="21080" spans="2:9" ht="15" customHeight="1" x14ac:dyDescent="0.25">
      <c r="B21080" s="55" t="s">
        <v>283</v>
      </c>
      <c r="C21080" s="46">
        <v>1068</v>
      </c>
      <c r="D21080" s="69" t="s">
        <v>29420</v>
      </c>
      <c r="E21080" s="51"/>
      <c r="F21080" s="114" t="str">
        <f>IF(INDEX(I.Facility.P4IDNumber,1068)="","",INDEX(I.Facility.P4IDNumber,1068))</f>
        <v/>
      </c>
      <c r="G21080" s="51"/>
      <c r="H21080" s="46" t="str">
        <f>IF(AND(I.Developer.P4=TRUE,I.Facility.P4FacilityCount&gt;=1068,F21080=""),"Incomplete","Complete")</f>
        <v>Complete</v>
      </c>
      <c r="I21080" s="48" t="s">
        <v>25445</v>
      </c>
    </row>
    <row r="21081" spans="2:9" ht="15" customHeight="1" x14ac:dyDescent="0.25">
      <c r="B21081" s="55" t="s">
        <v>283</v>
      </c>
      <c r="C21081" s="46">
        <v>1069</v>
      </c>
      <c r="D21081" s="69" t="s">
        <v>29420</v>
      </c>
      <c r="E21081" s="51"/>
      <c r="F21081" s="114" t="str">
        <f>IF(INDEX(I.Facility.P4IDNumber,1069)="","",INDEX(I.Facility.P4IDNumber,1069))</f>
        <v/>
      </c>
      <c r="G21081" s="51"/>
      <c r="H21081" s="46" t="str">
        <f>IF(AND(I.Developer.P4=TRUE,I.Facility.P4FacilityCount&gt;=1069,F21081=""),"Incomplete","Complete")</f>
        <v>Complete</v>
      </c>
      <c r="I21081" s="48" t="s">
        <v>25446</v>
      </c>
    </row>
    <row r="21082" spans="2:9" ht="15" customHeight="1" x14ac:dyDescent="0.25">
      <c r="B21082" s="55" t="s">
        <v>283</v>
      </c>
      <c r="C21082" s="46">
        <v>1070</v>
      </c>
      <c r="D21082" s="69" t="s">
        <v>29420</v>
      </c>
      <c r="E21082" s="51"/>
      <c r="F21082" s="114" t="str">
        <f>IF(INDEX(I.Facility.P4IDNumber,1070)="","",INDEX(I.Facility.P4IDNumber,1070))</f>
        <v/>
      </c>
      <c r="G21082" s="51"/>
      <c r="H21082" s="46" t="str">
        <f>IF(AND(I.Developer.P4=TRUE,I.Facility.P4FacilityCount&gt;=1070,F21082=""),"Incomplete","Complete")</f>
        <v>Complete</v>
      </c>
      <c r="I21082" s="48" t="s">
        <v>25447</v>
      </c>
    </row>
    <row r="21083" spans="2:9" ht="15" customHeight="1" x14ac:dyDescent="0.25">
      <c r="B21083" s="55" t="s">
        <v>283</v>
      </c>
      <c r="C21083" s="46">
        <v>1071</v>
      </c>
      <c r="D21083" s="69" t="s">
        <v>29420</v>
      </c>
      <c r="E21083" s="51"/>
      <c r="F21083" s="114" t="str">
        <f>IF(INDEX(I.Facility.P4IDNumber,1071)="","",INDEX(I.Facility.P4IDNumber,1071))</f>
        <v/>
      </c>
      <c r="G21083" s="51"/>
      <c r="H21083" s="46" t="str">
        <f>IF(AND(I.Developer.P4=TRUE,I.Facility.P4FacilityCount&gt;=1071,F21083=""),"Incomplete","Complete")</f>
        <v>Complete</v>
      </c>
      <c r="I21083" s="48" t="s">
        <v>25448</v>
      </c>
    </row>
    <row r="21084" spans="2:9" ht="15" customHeight="1" x14ac:dyDescent="0.25">
      <c r="B21084" s="55" t="s">
        <v>283</v>
      </c>
      <c r="C21084" s="46">
        <v>1072</v>
      </c>
      <c r="D21084" s="69" t="s">
        <v>29420</v>
      </c>
      <c r="E21084" s="51"/>
      <c r="F21084" s="114" t="str">
        <f>IF(INDEX(I.Facility.P4IDNumber,1072)="","",INDEX(I.Facility.P4IDNumber,1072))</f>
        <v/>
      </c>
      <c r="G21084" s="51"/>
      <c r="H21084" s="46" t="str">
        <f>IF(AND(I.Developer.P4=TRUE,I.Facility.P4FacilityCount&gt;=1072,F21084=""),"Incomplete","Complete")</f>
        <v>Complete</v>
      </c>
      <c r="I21084" s="48" t="s">
        <v>25449</v>
      </c>
    </row>
    <row r="21085" spans="2:9" ht="15" customHeight="1" x14ac:dyDescent="0.25">
      <c r="B21085" s="55" t="s">
        <v>283</v>
      </c>
      <c r="C21085" s="46">
        <v>1073</v>
      </c>
      <c r="D21085" s="69" t="s">
        <v>29420</v>
      </c>
      <c r="E21085" s="51"/>
      <c r="F21085" s="114" t="str">
        <f>IF(INDEX(I.Facility.P4IDNumber,1073)="","",INDEX(I.Facility.P4IDNumber,1073))</f>
        <v/>
      </c>
      <c r="G21085" s="51"/>
      <c r="H21085" s="46" t="str">
        <f>IF(AND(I.Developer.P4=TRUE,I.Facility.P4FacilityCount&gt;=1073,F21085=""),"Incomplete","Complete")</f>
        <v>Complete</v>
      </c>
      <c r="I21085" s="48" t="s">
        <v>25450</v>
      </c>
    </row>
    <row r="21086" spans="2:9" ht="15" customHeight="1" x14ac:dyDescent="0.25">
      <c r="B21086" s="55" t="s">
        <v>283</v>
      </c>
      <c r="C21086" s="46">
        <v>1074</v>
      </c>
      <c r="D21086" s="69" t="s">
        <v>29420</v>
      </c>
      <c r="E21086" s="51"/>
      <c r="F21086" s="114" t="str">
        <f>IF(INDEX(I.Facility.P4IDNumber,1074)="","",INDEX(I.Facility.P4IDNumber,1074))</f>
        <v/>
      </c>
      <c r="G21086" s="51"/>
      <c r="H21086" s="46" t="str">
        <f>IF(AND(I.Developer.P4=TRUE,I.Facility.P4FacilityCount&gt;=1074,F21086=""),"Incomplete","Complete")</f>
        <v>Complete</v>
      </c>
      <c r="I21086" s="48" t="s">
        <v>25451</v>
      </c>
    </row>
    <row r="21087" spans="2:9" ht="15" customHeight="1" x14ac:dyDescent="0.25">
      <c r="B21087" s="55" t="s">
        <v>283</v>
      </c>
      <c r="C21087" s="46">
        <v>1075</v>
      </c>
      <c r="D21087" s="69" t="s">
        <v>29420</v>
      </c>
      <c r="E21087" s="51"/>
      <c r="F21087" s="114" t="str">
        <f>IF(INDEX(I.Facility.P4IDNumber,1075)="","",INDEX(I.Facility.P4IDNumber,1075))</f>
        <v/>
      </c>
      <c r="G21087" s="51"/>
      <c r="H21087" s="46" t="str">
        <f>IF(AND(I.Developer.P4=TRUE,I.Facility.P4FacilityCount&gt;=1075,F21087=""),"Incomplete","Complete")</f>
        <v>Complete</v>
      </c>
      <c r="I21087" s="48" t="s">
        <v>25452</v>
      </c>
    </row>
    <row r="21088" spans="2:9" ht="15" customHeight="1" x14ac:dyDescent="0.25">
      <c r="B21088" s="55" t="s">
        <v>283</v>
      </c>
      <c r="C21088" s="46">
        <v>1076</v>
      </c>
      <c r="D21088" s="69" t="s">
        <v>29420</v>
      </c>
      <c r="E21088" s="51"/>
      <c r="F21088" s="114" t="str">
        <f>IF(INDEX(I.Facility.P4IDNumber,1076)="","",INDEX(I.Facility.P4IDNumber,1076))</f>
        <v/>
      </c>
      <c r="G21088" s="51"/>
      <c r="H21088" s="46" t="str">
        <f>IF(AND(I.Developer.P4=TRUE,I.Facility.P4FacilityCount&gt;=1076,F21088=""),"Incomplete","Complete")</f>
        <v>Complete</v>
      </c>
      <c r="I21088" s="48" t="s">
        <v>25453</v>
      </c>
    </row>
    <row r="21089" spans="2:9" ht="15" customHeight="1" x14ac:dyDescent="0.25">
      <c r="B21089" s="55" t="s">
        <v>283</v>
      </c>
      <c r="C21089" s="46">
        <v>1077</v>
      </c>
      <c r="D21089" s="69" t="s">
        <v>29420</v>
      </c>
      <c r="E21089" s="51"/>
      <c r="F21089" s="114" t="str">
        <f>IF(INDEX(I.Facility.P4IDNumber,1077)="","",INDEX(I.Facility.P4IDNumber,1077))</f>
        <v/>
      </c>
      <c r="G21089" s="51"/>
      <c r="H21089" s="46" t="str">
        <f>IF(AND(I.Developer.P4=TRUE,I.Facility.P4FacilityCount&gt;=1077,F21089=""),"Incomplete","Complete")</f>
        <v>Complete</v>
      </c>
      <c r="I21089" s="48" t="s">
        <v>25454</v>
      </c>
    </row>
    <row r="21090" spans="2:9" ht="15" customHeight="1" x14ac:dyDescent="0.25">
      <c r="B21090" s="55" t="s">
        <v>283</v>
      </c>
      <c r="C21090" s="46">
        <v>1078</v>
      </c>
      <c r="D21090" s="69" t="s">
        <v>29420</v>
      </c>
      <c r="E21090" s="51"/>
      <c r="F21090" s="114" t="str">
        <f>IF(INDEX(I.Facility.P4IDNumber,1078)="","",INDEX(I.Facility.P4IDNumber,1078))</f>
        <v/>
      </c>
      <c r="G21090" s="51"/>
      <c r="H21090" s="46" t="str">
        <f>IF(AND(I.Developer.P4=TRUE,I.Facility.P4FacilityCount&gt;=1078,F21090=""),"Incomplete","Complete")</f>
        <v>Complete</v>
      </c>
      <c r="I21090" s="48" t="s">
        <v>25455</v>
      </c>
    </row>
    <row r="21091" spans="2:9" ht="15" customHeight="1" x14ac:dyDescent="0.25">
      <c r="B21091" s="55" t="s">
        <v>283</v>
      </c>
      <c r="C21091" s="46">
        <v>1079</v>
      </c>
      <c r="D21091" s="69" t="s">
        <v>29420</v>
      </c>
      <c r="E21091" s="51"/>
      <c r="F21091" s="114" t="str">
        <f>IF(INDEX(I.Facility.P4IDNumber,1079)="","",INDEX(I.Facility.P4IDNumber,1079))</f>
        <v/>
      </c>
      <c r="G21091" s="51"/>
      <c r="H21091" s="46" t="str">
        <f>IF(AND(I.Developer.P4=TRUE,I.Facility.P4FacilityCount&gt;=1079,F21091=""),"Incomplete","Complete")</f>
        <v>Complete</v>
      </c>
      <c r="I21091" s="48" t="s">
        <v>25456</v>
      </c>
    </row>
    <row r="21092" spans="2:9" ht="15" customHeight="1" x14ac:dyDescent="0.25">
      <c r="B21092" s="55" t="s">
        <v>283</v>
      </c>
      <c r="C21092" s="46">
        <v>1080</v>
      </c>
      <c r="D21092" s="69" t="s">
        <v>29420</v>
      </c>
      <c r="E21092" s="51"/>
      <c r="F21092" s="114" t="str">
        <f>IF(INDEX(I.Facility.P4IDNumber,1080)="","",INDEX(I.Facility.P4IDNumber,1080))</f>
        <v/>
      </c>
      <c r="G21092" s="51"/>
      <c r="H21092" s="46" t="str">
        <f>IF(AND(I.Developer.P4=TRUE,I.Facility.P4FacilityCount&gt;=1080,F21092=""),"Incomplete","Complete")</f>
        <v>Complete</v>
      </c>
      <c r="I21092" s="48" t="s">
        <v>25457</v>
      </c>
    </row>
    <row r="21093" spans="2:9" ht="15" customHeight="1" x14ac:dyDescent="0.25">
      <c r="B21093" s="55" t="s">
        <v>283</v>
      </c>
      <c r="C21093" s="46">
        <v>1081</v>
      </c>
      <c r="D21093" s="69" t="s">
        <v>29420</v>
      </c>
      <c r="E21093" s="51"/>
      <c r="F21093" s="114" t="str">
        <f>IF(INDEX(I.Facility.P4IDNumber,1081)="","",INDEX(I.Facility.P4IDNumber,1081))</f>
        <v/>
      </c>
      <c r="G21093" s="51"/>
      <c r="H21093" s="46" t="str">
        <f>IF(AND(I.Developer.P4=TRUE,I.Facility.P4FacilityCount&gt;=1081,F21093=""),"Incomplete","Complete")</f>
        <v>Complete</v>
      </c>
      <c r="I21093" s="48" t="s">
        <v>25458</v>
      </c>
    </row>
    <row r="21094" spans="2:9" ht="15" customHeight="1" x14ac:dyDescent="0.25">
      <c r="B21094" s="55" t="s">
        <v>283</v>
      </c>
      <c r="C21094" s="46">
        <v>1082</v>
      </c>
      <c r="D21094" s="69" t="s">
        <v>29420</v>
      </c>
      <c r="E21094" s="51"/>
      <c r="F21094" s="114" t="str">
        <f>IF(INDEX(I.Facility.P4IDNumber,1082)="","",INDEX(I.Facility.P4IDNumber,1082))</f>
        <v/>
      </c>
      <c r="G21094" s="51"/>
      <c r="H21094" s="46" t="str">
        <f>IF(AND(I.Developer.P4=TRUE,I.Facility.P4FacilityCount&gt;=1082,F21094=""),"Incomplete","Complete")</f>
        <v>Complete</v>
      </c>
      <c r="I21094" s="48" t="s">
        <v>25459</v>
      </c>
    </row>
    <row r="21095" spans="2:9" ht="15" customHeight="1" x14ac:dyDescent="0.25">
      <c r="B21095" s="55" t="s">
        <v>283</v>
      </c>
      <c r="C21095" s="46">
        <v>1083</v>
      </c>
      <c r="D21095" s="69" t="s">
        <v>29420</v>
      </c>
      <c r="E21095" s="51"/>
      <c r="F21095" s="114" t="str">
        <f>IF(INDEX(I.Facility.P4IDNumber,1083)="","",INDEX(I.Facility.P4IDNumber,1083))</f>
        <v/>
      </c>
      <c r="G21095" s="51"/>
      <c r="H21095" s="46" t="str">
        <f>IF(AND(I.Developer.P4=TRUE,I.Facility.P4FacilityCount&gt;=1083,F21095=""),"Incomplete","Complete")</f>
        <v>Complete</v>
      </c>
      <c r="I21095" s="48" t="s">
        <v>25460</v>
      </c>
    </row>
    <row r="21096" spans="2:9" ht="15" customHeight="1" x14ac:dyDescent="0.25">
      <c r="B21096" s="55" t="s">
        <v>283</v>
      </c>
      <c r="C21096" s="46">
        <v>1084</v>
      </c>
      <c r="D21096" s="69" t="s">
        <v>29420</v>
      </c>
      <c r="E21096" s="51"/>
      <c r="F21096" s="114" t="str">
        <f>IF(INDEX(I.Facility.P4IDNumber,1084)="","",INDEX(I.Facility.P4IDNumber,1084))</f>
        <v/>
      </c>
      <c r="G21096" s="51"/>
      <c r="H21096" s="46" t="str">
        <f>IF(AND(I.Developer.P4=TRUE,I.Facility.P4FacilityCount&gt;=1084,F21096=""),"Incomplete","Complete")</f>
        <v>Complete</v>
      </c>
      <c r="I21096" s="48" t="s">
        <v>25461</v>
      </c>
    </row>
    <row r="21097" spans="2:9" ht="15" customHeight="1" x14ac:dyDescent="0.25">
      <c r="B21097" s="55" t="s">
        <v>283</v>
      </c>
      <c r="C21097" s="46">
        <v>1085</v>
      </c>
      <c r="D21097" s="69" t="s">
        <v>29420</v>
      </c>
      <c r="E21097" s="51"/>
      <c r="F21097" s="114" t="str">
        <f>IF(INDEX(I.Facility.P4IDNumber,1085)="","",INDEX(I.Facility.P4IDNumber,1085))</f>
        <v/>
      </c>
      <c r="G21097" s="51"/>
      <c r="H21097" s="46" t="str">
        <f>IF(AND(I.Developer.P4=TRUE,I.Facility.P4FacilityCount&gt;=1085,F21097=""),"Incomplete","Complete")</f>
        <v>Complete</v>
      </c>
      <c r="I21097" s="48" t="s">
        <v>25462</v>
      </c>
    </row>
    <row r="21098" spans="2:9" ht="15" customHeight="1" x14ac:dyDescent="0.25">
      <c r="B21098" s="55" t="s">
        <v>283</v>
      </c>
      <c r="C21098" s="46">
        <v>1086</v>
      </c>
      <c r="D21098" s="69" t="s">
        <v>29420</v>
      </c>
      <c r="E21098" s="51"/>
      <c r="F21098" s="114" t="str">
        <f>IF(INDEX(I.Facility.P4IDNumber,1086)="","",INDEX(I.Facility.P4IDNumber,1086))</f>
        <v/>
      </c>
      <c r="G21098" s="51"/>
      <c r="H21098" s="46" t="str">
        <f>IF(AND(I.Developer.P4=TRUE,I.Facility.P4FacilityCount&gt;=1086,F21098=""),"Incomplete","Complete")</f>
        <v>Complete</v>
      </c>
      <c r="I21098" s="48" t="s">
        <v>25463</v>
      </c>
    </row>
    <row r="21099" spans="2:9" ht="15" customHeight="1" x14ac:dyDescent="0.25">
      <c r="B21099" s="55" t="s">
        <v>283</v>
      </c>
      <c r="C21099" s="46">
        <v>1087</v>
      </c>
      <c r="D21099" s="69" t="s">
        <v>29420</v>
      </c>
      <c r="E21099" s="51"/>
      <c r="F21099" s="114" t="str">
        <f>IF(INDEX(I.Facility.P4IDNumber,1087)="","",INDEX(I.Facility.P4IDNumber,1087))</f>
        <v/>
      </c>
      <c r="G21099" s="51"/>
      <c r="H21099" s="46" t="str">
        <f>IF(AND(I.Developer.P4=TRUE,I.Facility.P4FacilityCount&gt;=1087,F21099=""),"Incomplete","Complete")</f>
        <v>Complete</v>
      </c>
      <c r="I21099" s="48" t="s">
        <v>25464</v>
      </c>
    </row>
    <row r="21100" spans="2:9" ht="15" customHeight="1" x14ac:dyDescent="0.25">
      <c r="B21100" s="55" t="s">
        <v>283</v>
      </c>
      <c r="C21100" s="46">
        <v>1088</v>
      </c>
      <c r="D21100" s="69" t="s">
        <v>29420</v>
      </c>
      <c r="E21100" s="51"/>
      <c r="F21100" s="114" t="str">
        <f>IF(INDEX(I.Facility.P4IDNumber,1088)="","",INDEX(I.Facility.P4IDNumber,1088))</f>
        <v/>
      </c>
      <c r="G21100" s="51"/>
      <c r="H21100" s="46" t="str">
        <f>IF(AND(I.Developer.P4=TRUE,I.Facility.P4FacilityCount&gt;=1088,F21100=""),"Incomplete","Complete")</f>
        <v>Complete</v>
      </c>
      <c r="I21100" s="48" t="s">
        <v>25465</v>
      </c>
    </row>
    <row r="21101" spans="2:9" ht="15" customHeight="1" x14ac:dyDescent="0.25">
      <c r="B21101" s="55" t="s">
        <v>283</v>
      </c>
      <c r="C21101" s="46">
        <v>1089</v>
      </c>
      <c r="D21101" s="69" t="s">
        <v>29420</v>
      </c>
      <c r="E21101" s="51"/>
      <c r="F21101" s="114" t="str">
        <f>IF(INDEX(I.Facility.P4IDNumber,1089)="","",INDEX(I.Facility.P4IDNumber,1089))</f>
        <v/>
      </c>
      <c r="G21101" s="51"/>
      <c r="H21101" s="46" t="str">
        <f>IF(AND(I.Developer.P4=TRUE,I.Facility.P4FacilityCount&gt;=1089,F21101=""),"Incomplete","Complete")</f>
        <v>Complete</v>
      </c>
      <c r="I21101" s="48" t="s">
        <v>25466</v>
      </c>
    </row>
    <row r="21102" spans="2:9" ht="15" customHeight="1" x14ac:dyDescent="0.25">
      <c r="B21102" s="55" t="s">
        <v>283</v>
      </c>
      <c r="C21102" s="46">
        <v>1090</v>
      </c>
      <c r="D21102" s="69" t="s">
        <v>29420</v>
      </c>
      <c r="E21102" s="51"/>
      <c r="F21102" s="114" t="str">
        <f>IF(INDEX(I.Facility.P4IDNumber,1090)="","",INDEX(I.Facility.P4IDNumber,1090))</f>
        <v/>
      </c>
      <c r="G21102" s="51"/>
      <c r="H21102" s="46" t="str">
        <f>IF(AND(I.Developer.P4=TRUE,I.Facility.P4FacilityCount&gt;=1090,F21102=""),"Incomplete","Complete")</f>
        <v>Complete</v>
      </c>
      <c r="I21102" s="48" t="s">
        <v>25467</v>
      </c>
    </row>
    <row r="21103" spans="2:9" ht="15" customHeight="1" x14ac:dyDescent="0.25">
      <c r="B21103" s="55" t="s">
        <v>283</v>
      </c>
      <c r="C21103" s="46">
        <v>1091</v>
      </c>
      <c r="D21103" s="69" t="s">
        <v>29420</v>
      </c>
      <c r="E21103" s="51"/>
      <c r="F21103" s="114" t="str">
        <f>IF(INDEX(I.Facility.P4IDNumber,1091)="","",INDEX(I.Facility.P4IDNumber,1091))</f>
        <v/>
      </c>
      <c r="G21103" s="51"/>
      <c r="H21103" s="46" t="str">
        <f>IF(AND(I.Developer.P4=TRUE,I.Facility.P4FacilityCount&gt;=1091,F21103=""),"Incomplete","Complete")</f>
        <v>Complete</v>
      </c>
      <c r="I21103" s="48" t="s">
        <v>25468</v>
      </c>
    </row>
    <row r="21104" spans="2:9" ht="15" customHeight="1" x14ac:dyDescent="0.25">
      <c r="B21104" s="55" t="s">
        <v>283</v>
      </c>
      <c r="C21104" s="46">
        <v>1092</v>
      </c>
      <c r="D21104" s="69" t="s">
        <v>29420</v>
      </c>
      <c r="E21104" s="51"/>
      <c r="F21104" s="114" t="str">
        <f>IF(INDEX(I.Facility.P4IDNumber,1092)="","",INDEX(I.Facility.P4IDNumber,1092))</f>
        <v/>
      </c>
      <c r="G21104" s="51"/>
      <c r="H21104" s="46" t="str">
        <f>IF(AND(I.Developer.P4=TRUE,I.Facility.P4FacilityCount&gt;=1092,F21104=""),"Incomplete","Complete")</f>
        <v>Complete</v>
      </c>
      <c r="I21104" s="48" t="s">
        <v>25469</v>
      </c>
    </row>
    <row r="21105" spans="2:9" ht="15" customHeight="1" x14ac:dyDescent="0.25">
      <c r="B21105" s="55" t="s">
        <v>283</v>
      </c>
      <c r="C21105" s="46">
        <v>1093</v>
      </c>
      <c r="D21105" s="69" t="s">
        <v>29420</v>
      </c>
      <c r="E21105" s="51"/>
      <c r="F21105" s="114" t="str">
        <f>IF(INDEX(I.Facility.P4IDNumber,1093)="","",INDEX(I.Facility.P4IDNumber,1093))</f>
        <v/>
      </c>
      <c r="G21105" s="51"/>
      <c r="H21105" s="46" t="str">
        <f>IF(AND(I.Developer.P4=TRUE,I.Facility.P4FacilityCount&gt;=1093,F21105=""),"Incomplete","Complete")</f>
        <v>Complete</v>
      </c>
      <c r="I21105" s="48" t="s">
        <v>25470</v>
      </c>
    </row>
    <row r="21106" spans="2:9" ht="15" customHeight="1" x14ac:dyDescent="0.25">
      <c r="B21106" s="55" t="s">
        <v>283</v>
      </c>
      <c r="C21106" s="46">
        <v>1094</v>
      </c>
      <c r="D21106" s="69" t="s">
        <v>29420</v>
      </c>
      <c r="E21106" s="51"/>
      <c r="F21106" s="114" t="str">
        <f>IF(INDEX(I.Facility.P4IDNumber,1094)="","",INDEX(I.Facility.P4IDNumber,1094))</f>
        <v/>
      </c>
      <c r="G21106" s="51"/>
      <c r="H21106" s="46" t="str">
        <f>IF(AND(I.Developer.P4=TRUE,I.Facility.P4FacilityCount&gt;=1094,F21106=""),"Incomplete","Complete")</f>
        <v>Complete</v>
      </c>
      <c r="I21106" s="48" t="s">
        <v>25471</v>
      </c>
    </row>
    <row r="21107" spans="2:9" ht="15" customHeight="1" x14ac:dyDescent="0.25">
      <c r="B21107" s="55" t="s">
        <v>283</v>
      </c>
      <c r="C21107" s="46">
        <v>1095</v>
      </c>
      <c r="D21107" s="69" t="s">
        <v>29420</v>
      </c>
      <c r="E21107" s="51"/>
      <c r="F21107" s="114" t="str">
        <f>IF(INDEX(I.Facility.P4IDNumber,1095)="","",INDEX(I.Facility.P4IDNumber,1095))</f>
        <v/>
      </c>
      <c r="G21107" s="51"/>
      <c r="H21107" s="46" t="str">
        <f>IF(AND(I.Developer.P4=TRUE,I.Facility.P4FacilityCount&gt;=1095,F21107=""),"Incomplete","Complete")</f>
        <v>Complete</v>
      </c>
      <c r="I21107" s="48" t="s">
        <v>25472</v>
      </c>
    </row>
    <row r="21108" spans="2:9" ht="15" customHeight="1" x14ac:dyDescent="0.25">
      <c r="B21108" s="55" t="s">
        <v>283</v>
      </c>
      <c r="C21108" s="46">
        <v>1096</v>
      </c>
      <c r="D21108" s="69" t="s">
        <v>29420</v>
      </c>
      <c r="E21108" s="51"/>
      <c r="F21108" s="114" t="str">
        <f>IF(INDEX(I.Facility.P4IDNumber,1096)="","",INDEX(I.Facility.P4IDNumber,1096))</f>
        <v/>
      </c>
      <c r="G21108" s="51"/>
      <c r="H21108" s="46" t="str">
        <f>IF(AND(I.Developer.P4=TRUE,I.Facility.P4FacilityCount&gt;=1096,F21108=""),"Incomplete","Complete")</f>
        <v>Complete</v>
      </c>
      <c r="I21108" s="48" t="s">
        <v>25473</v>
      </c>
    </row>
    <row r="21109" spans="2:9" ht="15" customHeight="1" x14ac:dyDescent="0.25">
      <c r="B21109" s="55" t="s">
        <v>283</v>
      </c>
      <c r="C21109" s="46">
        <v>1097</v>
      </c>
      <c r="D21109" s="69" t="s">
        <v>29420</v>
      </c>
      <c r="E21109" s="51"/>
      <c r="F21109" s="114" t="str">
        <f>IF(INDEX(I.Facility.P4IDNumber,1097)="","",INDEX(I.Facility.P4IDNumber,1097))</f>
        <v/>
      </c>
      <c r="G21109" s="51"/>
      <c r="H21109" s="46" t="str">
        <f>IF(AND(I.Developer.P4=TRUE,I.Facility.P4FacilityCount&gt;=1097,F21109=""),"Incomplete","Complete")</f>
        <v>Complete</v>
      </c>
      <c r="I21109" s="48" t="s">
        <v>25474</v>
      </c>
    </row>
    <row r="21110" spans="2:9" ht="15" customHeight="1" x14ac:dyDescent="0.25">
      <c r="B21110" s="55" t="s">
        <v>283</v>
      </c>
      <c r="C21110" s="46">
        <v>1098</v>
      </c>
      <c r="D21110" s="69" t="s">
        <v>29420</v>
      </c>
      <c r="E21110" s="51"/>
      <c r="F21110" s="114" t="str">
        <f>IF(INDEX(I.Facility.P4IDNumber,1098)="","",INDEX(I.Facility.P4IDNumber,1098))</f>
        <v/>
      </c>
      <c r="G21110" s="51"/>
      <c r="H21110" s="46" t="str">
        <f>IF(AND(I.Developer.P4=TRUE,I.Facility.P4FacilityCount&gt;=1098,F21110=""),"Incomplete","Complete")</f>
        <v>Complete</v>
      </c>
      <c r="I21110" s="48" t="s">
        <v>25475</v>
      </c>
    </row>
    <row r="21111" spans="2:9" ht="15" customHeight="1" x14ac:dyDescent="0.25">
      <c r="B21111" s="55" t="s">
        <v>283</v>
      </c>
      <c r="C21111" s="46">
        <v>1099</v>
      </c>
      <c r="D21111" s="69" t="s">
        <v>29420</v>
      </c>
      <c r="E21111" s="51"/>
      <c r="F21111" s="114" t="str">
        <f>IF(INDEX(I.Facility.P4IDNumber,1099)="","",INDEX(I.Facility.P4IDNumber,1099))</f>
        <v/>
      </c>
      <c r="G21111" s="51"/>
      <c r="H21111" s="46" t="str">
        <f>IF(AND(I.Developer.P4=TRUE,I.Facility.P4FacilityCount&gt;=1099,F21111=""),"Incomplete","Complete")</f>
        <v>Complete</v>
      </c>
      <c r="I21111" s="48" t="s">
        <v>25476</v>
      </c>
    </row>
    <row r="21112" spans="2:9" ht="15" customHeight="1" x14ac:dyDescent="0.25">
      <c r="B21112" s="55" t="s">
        <v>283</v>
      </c>
      <c r="C21112" s="46">
        <v>1100</v>
      </c>
      <c r="D21112" s="69" t="s">
        <v>29420</v>
      </c>
      <c r="E21112" s="51"/>
      <c r="F21112" s="114" t="str">
        <f>IF(INDEX(I.Facility.P4IDNumber,1100)="","",INDEX(I.Facility.P4IDNumber,1100))</f>
        <v/>
      </c>
      <c r="G21112" s="51"/>
      <c r="H21112" s="46" t="str">
        <f>IF(AND(I.Developer.P4=TRUE,I.Facility.P4FacilityCount&gt;=1100,F21112=""),"Incomplete","Complete")</f>
        <v>Complete</v>
      </c>
      <c r="I21112" s="48" t="s">
        <v>25477</v>
      </c>
    </row>
    <row r="21113" spans="2:9" ht="15" customHeight="1" x14ac:dyDescent="0.25">
      <c r="B21113" s="55" t="s">
        <v>283</v>
      </c>
      <c r="C21113" s="46">
        <v>1101</v>
      </c>
      <c r="D21113" s="69" t="s">
        <v>29420</v>
      </c>
      <c r="E21113" s="51"/>
      <c r="F21113" s="114" t="str">
        <f>IF(INDEX(I.Facility.P4IDNumber,1101)="","",INDEX(I.Facility.P4IDNumber,1101))</f>
        <v/>
      </c>
      <c r="G21113" s="51"/>
      <c r="H21113" s="46" t="str">
        <f>IF(AND(I.Developer.P4=TRUE,I.Facility.P4FacilityCount&gt;=1101,F21113=""),"Incomplete","Complete")</f>
        <v>Complete</v>
      </c>
      <c r="I21113" s="48" t="s">
        <v>25478</v>
      </c>
    </row>
    <row r="21114" spans="2:9" ht="15" customHeight="1" x14ac:dyDescent="0.25">
      <c r="B21114" s="55" t="s">
        <v>283</v>
      </c>
      <c r="C21114" s="46">
        <v>1102</v>
      </c>
      <c r="D21114" s="69" t="s">
        <v>29420</v>
      </c>
      <c r="E21114" s="51"/>
      <c r="F21114" s="114" t="str">
        <f>IF(INDEX(I.Facility.P4IDNumber,1102)="","",INDEX(I.Facility.P4IDNumber,1102))</f>
        <v/>
      </c>
      <c r="G21114" s="51"/>
      <c r="H21114" s="46" t="str">
        <f>IF(AND(I.Developer.P4=TRUE,I.Facility.P4FacilityCount&gt;=1102,F21114=""),"Incomplete","Complete")</f>
        <v>Complete</v>
      </c>
      <c r="I21114" s="48" t="s">
        <v>25479</v>
      </c>
    </row>
    <row r="21115" spans="2:9" ht="15" customHeight="1" x14ac:dyDescent="0.25">
      <c r="B21115" s="55" t="s">
        <v>283</v>
      </c>
      <c r="C21115" s="46">
        <v>1103</v>
      </c>
      <c r="D21115" s="69" t="s">
        <v>29420</v>
      </c>
      <c r="E21115" s="51"/>
      <c r="F21115" s="114" t="str">
        <f>IF(INDEX(I.Facility.P4IDNumber,1103)="","",INDEX(I.Facility.P4IDNumber,1103))</f>
        <v/>
      </c>
      <c r="G21115" s="51"/>
      <c r="H21115" s="46" t="str">
        <f>IF(AND(I.Developer.P4=TRUE,I.Facility.P4FacilityCount&gt;=1103,F21115=""),"Incomplete","Complete")</f>
        <v>Complete</v>
      </c>
      <c r="I21115" s="48" t="s">
        <v>25480</v>
      </c>
    </row>
    <row r="21116" spans="2:9" ht="15" customHeight="1" x14ac:dyDescent="0.25">
      <c r="B21116" s="55" t="s">
        <v>283</v>
      </c>
      <c r="C21116" s="46">
        <v>1104</v>
      </c>
      <c r="D21116" s="69" t="s">
        <v>29420</v>
      </c>
      <c r="E21116" s="51"/>
      <c r="F21116" s="114" t="str">
        <f>IF(INDEX(I.Facility.P4IDNumber,1104)="","",INDEX(I.Facility.P4IDNumber,1104))</f>
        <v/>
      </c>
      <c r="G21116" s="51"/>
      <c r="H21116" s="46" t="str">
        <f>IF(AND(I.Developer.P4=TRUE,I.Facility.P4FacilityCount&gt;=1104,F21116=""),"Incomplete","Complete")</f>
        <v>Complete</v>
      </c>
      <c r="I21116" s="48" t="s">
        <v>25481</v>
      </c>
    </row>
    <row r="21117" spans="2:9" ht="15" customHeight="1" x14ac:dyDescent="0.25">
      <c r="B21117" s="55" t="s">
        <v>283</v>
      </c>
      <c r="C21117" s="46">
        <v>1105</v>
      </c>
      <c r="D21117" s="69" t="s">
        <v>29420</v>
      </c>
      <c r="E21117" s="51"/>
      <c r="F21117" s="114" t="str">
        <f>IF(INDEX(I.Facility.P4IDNumber,1105)="","",INDEX(I.Facility.P4IDNumber,1105))</f>
        <v/>
      </c>
      <c r="G21117" s="51"/>
      <c r="H21117" s="46" t="str">
        <f>IF(AND(I.Developer.P4=TRUE,I.Facility.P4FacilityCount&gt;=1105,F21117=""),"Incomplete","Complete")</f>
        <v>Complete</v>
      </c>
      <c r="I21117" s="48" t="s">
        <v>25482</v>
      </c>
    </row>
    <row r="21118" spans="2:9" ht="15" customHeight="1" x14ac:dyDescent="0.25">
      <c r="B21118" s="55" t="s">
        <v>283</v>
      </c>
      <c r="C21118" s="46">
        <v>1106</v>
      </c>
      <c r="D21118" s="69" t="s">
        <v>29420</v>
      </c>
      <c r="E21118" s="51"/>
      <c r="F21118" s="114" t="str">
        <f>IF(INDEX(I.Facility.P4IDNumber,1106)="","",INDEX(I.Facility.P4IDNumber,1106))</f>
        <v/>
      </c>
      <c r="G21118" s="51"/>
      <c r="H21118" s="46" t="str">
        <f>IF(AND(I.Developer.P4=TRUE,I.Facility.P4FacilityCount&gt;=1106,F21118=""),"Incomplete","Complete")</f>
        <v>Complete</v>
      </c>
      <c r="I21118" s="48" t="s">
        <v>25483</v>
      </c>
    </row>
    <row r="21119" spans="2:9" ht="15" customHeight="1" x14ac:dyDescent="0.25">
      <c r="B21119" s="55" t="s">
        <v>283</v>
      </c>
      <c r="C21119" s="46">
        <v>1107</v>
      </c>
      <c r="D21119" s="69" t="s">
        <v>29420</v>
      </c>
      <c r="E21119" s="51"/>
      <c r="F21119" s="114" t="str">
        <f>IF(INDEX(I.Facility.P4IDNumber,1107)="","",INDEX(I.Facility.P4IDNumber,1107))</f>
        <v/>
      </c>
      <c r="G21119" s="51"/>
      <c r="H21119" s="46" t="str">
        <f>IF(AND(I.Developer.P4=TRUE,I.Facility.P4FacilityCount&gt;=1107,F21119=""),"Incomplete","Complete")</f>
        <v>Complete</v>
      </c>
      <c r="I21119" s="48" t="s">
        <v>25484</v>
      </c>
    </row>
    <row r="21120" spans="2:9" ht="15" customHeight="1" x14ac:dyDescent="0.25">
      <c r="B21120" s="55" t="s">
        <v>283</v>
      </c>
      <c r="C21120" s="46">
        <v>1108</v>
      </c>
      <c r="D21120" s="69" t="s">
        <v>29420</v>
      </c>
      <c r="E21120" s="51"/>
      <c r="F21120" s="114" t="str">
        <f>IF(INDEX(I.Facility.P4IDNumber,1108)="","",INDEX(I.Facility.P4IDNumber,1108))</f>
        <v/>
      </c>
      <c r="G21120" s="51"/>
      <c r="H21120" s="46" t="str">
        <f>IF(AND(I.Developer.P4=TRUE,I.Facility.P4FacilityCount&gt;=1108,F21120=""),"Incomplete","Complete")</f>
        <v>Complete</v>
      </c>
      <c r="I21120" s="48" t="s">
        <v>25485</v>
      </c>
    </row>
    <row r="21121" spans="2:9" ht="15" customHeight="1" x14ac:dyDescent="0.25">
      <c r="B21121" s="55" t="s">
        <v>283</v>
      </c>
      <c r="C21121" s="46">
        <v>1109</v>
      </c>
      <c r="D21121" s="69" t="s">
        <v>29420</v>
      </c>
      <c r="E21121" s="51"/>
      <c r="F21121" s="114" t="str">
        <f>IF(INDEX(I.Facility.P4IDNumber,1109)="","",INDEX(I.Facility.P4IDNumber,1109))</f>
        <v/>
      </c>
      <c r="G21121" s="51"/>
      <c r="H21121" s="46" t="str">
        <f>IF(AND(I.Developer.P4=TRUE,I.Facility.P4FacilityCount&gt;=1109,F21121=""),"Incomplete","Complete")</f>
        <v>Complete</v>
      </c>
      <c r="I21121" s="48" t="s">
        <v>25486</v>
      </c>
    </row>
    <row r="21122" spans="2:9" ht="15" customHeight="1" x14ac:dyDescent="0.25">
      <c r="B21122" s="55" t="s">
        <v>283</v>
      </c>
      <c r="C21122" s="46">
        <v>1110</v>
      </c>
      <c r="D21122" s="69" t="s">
        <v>29420</v>
      </c>
      <c r="E21122" s="51"/>
      <c r="F21122" s="114" t="str">
        <f>IF(INDEX(I.Facility.P4IDNumber,1110)="","",INDEX(I.Facility.P4IDNumber,1110))</f>
        <v/>
      </c>
      <c r="G21122" s="51"/>
      <c r="H21122" s="46" t="str">
        <f>IF(AND(I.Developer.P4=TRUE,I.Facility.P4FacilityCount&gt;=1110,F21122=""),"Incomplete","Complete")</f>
        <v>Complete</v>
      </c>
      <c r="I21122" s="48" t="s">
        <v>25487</v>
      </c>
    </row>
    <row r="21123" spans="2:9" ht="15" customHeight="1" x14ac:dyDescent="0.25">
      <c r="B21123" s="55" t="s">
        <v>283</v>
      </c>
      <c r="C21123" s="46">
        <v>1111</v>
      </c>
      <c r="D21123" s="69" t="s">
        <v>29420</v>
      </c>
      <c r="E21123" s="51"/>
      <c r="F21123" s="114" t="str">
        <f>IF(INDEX(I.Facility.P4IDNumber,1111)="","",INDEX(I.Facility.P4IDNumber,1111))</f>
        <v/>
      </c>
      <c r="G21123" s="51"/>
      <c r="H21123" s="46" t="str">
        <f>IF(AND(I.Developer.P4=TRUE,I.Facility.P4FacilityCount&gt;=1111,F21123=""),"Incomplete","Complete")</f>
        <v>Complete</v>
      </c>
      <c r="I21123" s="48" t="s">
        <v>25488</v>
      </c>
    </row>
    <row r="21124" spans="2:9" ht="15" customHeight="1" x14ac:dyDescent="0.25">
      <c r="B21124" s="55" t="s">
        <v>283</v>
      </c>
      <c r="C21124" s="46">
        <v>1112</v>
      </c>
      <c r="D21124" s="69" t="s">
        <v>29420</v>
      </c>
      <c r="E21124" s="51"/>
      <c r="F21124" s="114" t="str">
        <f>IF(INDEX(I.Facility.P4IDNumber,1112)="","",INDEX(I.Facility.P4IDNumber,1112))</f>
        <v/>
      </c>
      <c r="G21124" s="51"/>
      <c r="H21124" s="46" t="str">
        <f>IF(AND(I.Developer.P4=TRUE,I.Facility.P4FacilityCount&gt;=1112,F21124=""),"Incomplete","Complete")</f>
        <v>Complete</v>
      </c>
      <c r="I21124" s="48" t="s">
        <v>25489</v>
      </c>
    </row>
    <row r="21125" spans="2:9" ht="15" customHeight="1" x14ac:dyDescent="0.25">
      <c r="B21125" s="55" t="s">
        <v>283</v>
      </c>
      <c r="C21125" s="46">
        <v>1113</v>
      </c>
      <c r="D21125" s="69" t="s">
        <v>29420</v>
      </c>
      <c r="E21125" s="51"/>
      <c r="F21125" s="114" t="str">
        <f>IF(INDEX(I.Facility.P4IDNumber,1113)="","",INDEX(I.Facility.P4IDNumber,1113))</f>
        <v/>
      </c>
      <c r="G21125" s="51"/>
      <c r="H21125" s="46" t="str">
        <f>IF(AND(I.Developer.P4=TRUE,I.Facility.P4FacilityCount&gt;=1113,F21125=""),"Incomplete","Complete")</f>
        <v>Complete</v>
      </c>
      <c r="I21125" s="48" t="s">
        <v>25490</v>
      </c>
    </row>
    <row r="21126" spans="2:9" ht="15" customHeight="1" x14ac:dyDescent="0.25">
      <c r="B21126" s="55" t="s">
        <v>283</v>
      </c>
      <c r="C21126" s="46">
        <v>1114</v>
      </c>
      <c r="D21126" s="69" t="s">
        <v>29420</v>
      </c>
      <c r="E21126" s="51"/>
      <c r="F21126" s="114" t="str">
        <f>IF(INDEX(I.Facility.P4IDNumber,1114)="","",INDEX(I.Facility.P4IDNumber,1114))</f>
        <v/>
      </c>
      <c r="G21126" s="51"/>
      <c r="H21126" s="46" t="str">
        <f>IF(AND(I.Developer.P4=TRUE,I.Facility.P4FacilityCount&gt;=1114,F21126=""),"Incomplete","Complete")</f>
        <v>Complete</v>
      </c>
      <c r="I21126" s="48" t="s">
        <v>25491</v>
      </c>
    </row>
    <row r="21127" spans="2:9" ht="15" customHeight="1" x14ac:dyDescent="0.25">
      <c r="B21127" s="55" t="s">
        <v>283</v>
      </c>
      <c r="C21127" s="46">
        <v>1115</v>
      </c>
      <c r="D21127" s="69" t="s">
        <v>29420</v>
      </c>
      <c r="E21127" s="51"/>
      <c r="F21127" s="114" t="str">
        <f>IF(INDEX(I.Facility.P4IDNumber,1115)="","",INDEX(I.Facility.P4IDNumber,1115))</f>
        <v/>
      </c>
      <c r="G21127" s="51"/>
      <c r="H21127" s="46" t="str">
        <f>IF(AND(I.Developer.P4=TRUE,I.Facility.P4FacilityCount&gt;=1115,F21127=""),"Incomplete","Complete")</f>
        <v>Complete</v>
      </c>
      <c r="I21127" s="48" t="s">
        <v>25492</v>
      </c>
    </row>
    <row r="21128" spans="2:9" ht="15" customHeight="1" x14ac:dyDescent="0.25">
      <c r="B21128" s="55" t="s">
        <v>283</v>
      </c>
      <c r="C21128" s="46">
        <v>1116</v>
      </c>
      <c r="D21128" s="69" t="s">
        <v>29420</v>
      </c>
      <c r="E21128" s="51"/>
      <c r="F21128" s="114" t="str">
        <f>IF(INDEX(I.Facility.P4IDNumber,1116)="","",INDEX(I.Facility.P4IDNumber,1116))</f>
        <v/>
      </c>
      <c r="G21128" s="51"/>
      <c r="H21128" s="46" t="str">
        <f>IF(AND(I.Developer.P4=TRUE,I.Facility.P4FacilityCount&gt;=1116,F21128=""),"Incomplete","Complete")</f>
        <v>Complete</v>
      </c>
      <c r="I21128" s="48" t="s">
        <v>25493</v>
      </c>
    </row>
    <row r="21129" spans="2:9" ht="15" customHeight="1" x14ac:dyDescent="0.25">
      <c r="B21129" s="55" t="s">
        <v>283</v>
      </c>
      <c r="C21129" s="46">
        <v>1117</v>
      </c>
      <c r="D21129" s="69" t="s">
        <v>29420</v>
      </c>
      <c r="E21129" s="51"/>
      <c r="F21129" s="114" t="str">
        <f>IF(INDEX(I.Facility.P4IDNumber,1117)="","",INDEX(I.Facility.P4IDNumber,1117))</f>
        <v/>
      </c>
      <c r="G21129" s="51"/>
      <c r="H21129" s="46" t="str">
        <f>IF(AND(I.Developer.P4=TRUE,I.Facility.P4FacilityCount&gt;=1117,F21129=""),"Incomplete","Complete")</f>
        <v>Complete</v>
      </c>
      <c r="I21129" s="48" t="s">
        <v>25494</v>
      </c>
    </row>
    <row r="21130" spans="2:9" ht="15" customHeight="1" x14ac:dyDescent="0.25">
      <c r="B21130" s="55" t="s">
        <v>283</v>
      </c>
      <c r="C21130" s="46">
        <v>1118</v>
      </c>
      <c r="D21130" s="69" t="s">
        <v>29420</v>
      </c>
      <c r="E21130" s="51"/>
      <c r="F21130" s="114" t="str">
        <f>IF(INDEX(I.Facility.P4IDNumber,1118)="","",INDEX(I.Facility.P4IDNumber,1118))</f>
        <v/>
      </c>
      <c r="G21130" s="51"/>
      <c r="H21130" s="46" t="str">
        <f>IF(AND(I.Developer.P4=TRUE,I.Facility.P4FacilityCount&gt;=1118,F21130=""),"Incomplete","Complete")</f>
        <v>Complete</v>
      </c>
      <c r="I21130" s="48" t="s">
        <v>25495</v>
      </c>
    </row>
    <row r="21131" spans="2:9" ht="15" customHeight="1" x14ac:dyDescent="0.25">
      <c r="B21131" s="55" t="s">
        <v>283</v>
      </c>
      <c r="C21131" s="46">
        <v>1119</v>
      </c>
      <c r="D21131" s="69" t="s">
        <v>29420</v>
      </c>
      <c r="E21131" s="51"/>
      <c r="F21131" s="114" t="str">
        <f>IF(INDEX(I.Facility.P4IDNumber,1119)="","",INDEX(I.Facility.P4IDNumber,1119))</f>
        <v/>
      </c>
      <c r="G21131" s="51"/>
      <c r="H21131" s="46" t="str">
        <f>IF(AND(I.Developer.P4=TRUE,I.Facility.P4FacilityCount&gt;=1119,F21131=""),"Incomplete","Complete")</f>
        <v>Complete</v>
      </c>
      <c r="I21131" s="48" t="s">
        <v>25496</v>
      </c>
    </row>
    <row r="21132" spans="2:9" ht="15" customHeight="1" x14ac:dyDescent="0.25">
      <c r="B21132" s="55" t="s">
        <v>283</v>
      </c>
      <c r="C21132" s="46">
        <v>1120</v>
      </c>
      <c r="D21132" s="69" t="s">
        <v>29420</v>
      </c>
      <c r="E21132" s="51"/>
      <c r="F21132" s="114" t="str">
        <f>IF(INDEX(I.Facility.P4IDNumber,1120)="","",INDEX(I.Facility.P4IDNumber,1120))</f>
        <v/>
      </c>
      <c r="G21132" s="51"/>
      <c r="H21132" s="46" t="str">
        <f>IF(AND(I.Developer.P4=TRUE,I.Facility.P4FacilityCount&gt;=1120,F21132=""),"Incomplete","Complete")</f>
        <v>Complete</v>
      </c>
      <c r="I21132" s="48" t="s">
        <v>25497</v>
      </c>
    </row>
    <row r="21133" spans="2:9" ht="15" customHeight="1" x14ac:dyDescent="0.25">
      <c r="B21133" s="55" t="s">
        <v>283</v>
      </c>
      <c r="C21133" s="46">
        <v>1121</v>
      </c>
      <c r="D21133" s="69" t="s">
        <v>29420</v>
      </c>
      <c r="E21133" s="51"/>
      <c r="F21133" s="114" t="str">
        <f>IF(INDEX(I.Facility.P4IDNumber,1121)="","",INDEX(I.Facility.P4IDNumber,1121))</f>
        <v/>
      </c>
      <c r="G21133" s="51"/>
      <c r="H21133" s="46" t="str">
        <f>IF(AND(I.Developer.P4=TRUE,I.Facility.P4FacilityCount&gt;=1121,F21133=""),"Incomplete","Complete")</f>
        <v>Complete</v>
      </c>
      <c r="I21133" s="48" t="s">
        <v>25498</v>
      </c>
    </row>
    <row r="21134" spans="2:9" ht="15" customHeight="1" x14ac:dyDescent="0.25">
      <c r="B21134" s="55" t="s">
        <v>283</v>
      </c>
      <c r="C21134" s="46">
        <v>1122</v>
      </c>
      <c r="D21134" s="69" t="s">
        <v>29420</v>
      </c>
      <c r="E21134" s="51"/>
      <c r="F21134" s="114" t="str">
        <f>IF(INDEX(I.Facility.P4IDNumber,1122)="","",INDEX(I.Facility.P4IDNumber,1122))</f>
        <v/>
      </c>
      <c r="G21134" s="51"/>
      <c r="H21134" s="46" t="str">
        <f>IF(AND(I.Developer.P4=TRUE,I.Facility.P4FacilityCount&gt;=1122,F21134=""),"Incomplete","Complete")</f>
        <v>Complete</v>
      </c>
      <c r="I21134" s="48" t="s">
        <v>25499</v>
      </c>
    </row>
    <row r="21135" spans="2:9" ht="15" customHeight="1" x14ac:dyDescent="0.25">
      <c r="B21135" s="55" t="s">
        <v>283</v>
      </c>
      <c r="C21135" s="46">
        <v>1123</v>
      </c>
      <c r="D21135" s="69" t="s">
        <v>29420</v>
      </c>
      <c r="E21135" s="51"/>
      <c r="F21135" s="114" t="str">
        <f>IF(INDEX(I.Facility.P4IDNumber,1123)="","",INDEX(I.Facility.P4IDNumber,1123))</f>
        <v/>
      </c>
      <c r="G21135" s="51"/>
      <c r="H21135" s="46" t="str">
        <f>IF(AND(I.Developer.P4=TRUE,I.Facility.P4FacilityCount&gt;=1123,F21135=""),"Incomplete","Complete")</f>
        <v>Complete</v>
      </c>
      <c r="I21135" s="48" t="s">
        <v>25500</v>
      </c>
    </row>
    <row r="21136" spans="2:9" ht="15" customHeight="1" x14ac:dyDescent="0.25">
      <c r="B21136" s="55" t="s">
        <v>283</v>
      </c>
      <c r="C21136" s="46">
        <v>1124</v>
      </c>
      <c r="D21136" s="69" t="s">
        <v>29420</v>
      </c>
      <c r="E21136" s="51"/>
      <c r="F21136" s="114" t="str">
        <f>IF(INDEX(I.Facility.P4IDNumber,1124)="","",INDEX(I.Facility.P4IDNumber,1124))</f>
        <v/>
      </c>
      <c r="G21136" s="51"/>
      <c r="H21136" s="46" t="str">
        <f>IF(AND(I.Developer.P4=TRUE,I.Facility.P4FacilityCount&gt;=1124,F21136=""),"Incomplete","Complete")</f>
        <v>Complete</v>
      </c>
      <c r="I21136" s="48" t="s">
        <v>25501</v>
      </c>
    </row>
    <row r="21137" spans="2:9" ht="15" customHeight="1" x14ac:dyDescent="0.25">
      <c r="B21137" s="55" t="s">
        <v>283</v>
      </c>
      <c r="C21137" s="46">
        <v>1125</v>
      </c>
      <c r="D21137" s="69" t="s">
        <v>29420</v>
      </c>
      <c r="E21137" s="51"/>
      <c r="F21137" s="114" t="str">
        <f>IF(INDEX(I.Facility.P4IDNumber,1125)="","",INDEX(I.Facility.P4IDNumber,1125))</f>
        <v/>
      </c>
      <c r="G21137" s="51"/>
      <c r="H21137" s="46" t="str">
        <f>IF(AND(I.Developer.P4=TRUE,I.Facility.P4FacilityCount&gt;=1125,F21137=""),"Incomplete","Complete")</f>
        <v>Complete</v>
      </c>
      <c r="I21137" s="48" t="s">
        <v>25502</v>
      </c>
    </row>
    <row r="21138" spans="2:9" ht="15" customHeight="1" x14ac:dyDescent="0.25">
      <c r="B21138" s="55" t="s">
        <v>283</v>
      </c>
      <c r="C21138" s="46">
        <v>1126</v>
      </c>
      <c r="D21138" s="69" t="s">
        <v>29420</v>
      </c>
      <c r="E21138" s="51"/>
      <c r="F21138" s="114" t="str">
        <f>IF(INDEX(I.Facility.P4IDNumber,1126)="","",INDEX(I.Facility.P4IDNumber,1126))</f>
        <v/>
      </c>
      <c r="G21138" s="51"/>
      <c r="H21138" s="46" t="str">
        <f>IF(AND(I.Developer.P4=TRUE,I.Facility.P4FacilityCount&gt;=1126,F21138=""),"Incomplete","Complete")</f>
        <v>Complete</v>
      </c>
      <c r="I21138" s="48" t="s">
        <v>25503</v>
      </c>
    </row>
    <row r="21139" spans="2:9" ht="15" customHeight="1" x14ac:dyDescent="0.25">
      <c r="B21139" s="55" t="s">
        <v>283</v>
      </c>
      <c r="C21139" s="46">
        <v>1127</v>
      </c>
      <c r="D21139" s="69" t="s">
        <v>29420</v>
      </c>
      <c r="E21139" s="51"/>
      <c r="F21139" s="114" t="str">
        <f>IF(INDEX(I.Facility.P4IDNumber,1127)="","",INDEX(I.Facility.P4IDNumber,1127))</f>
        <v/>
      </c>
      <c r="G21139" s="51"/>
      <c r="H21139" s="46" t="str">
        <f>IF(AND(I.Developer.P4=TRUE,I.Facility.P4FacilityCount&gt;=1127,F21139=""),"Incomplete","Complete")</f>
        <v>Complete</v>
      </c>
      <c r="I21139" s="48" t="s">
        <v>25504</v>
      </c>
    </row>
    <row r="21140" spans="2:9" ht="15" customHeight="1" x14ac:dyDescent="0.25">
      <c r="B21140" s="55" t="s">
        <v>283</v>
      </c>
      <c r="C21140" s="46">
        <v>1128</v>
      </c>
      <c r="D21140" s="69" t="s">
        <v>29420</v>
      </c>
      <c r="E21140" s="51"/>
      <c r="F21140" s="114" t="str">
        <f>IF(INDEX(I.Facility.P4IDNumber,1128)="","",INDEX(I.Facility.P4IDNumber,1128))</f>
        <v/>
      </c>
      <c r="G21140" s="51"/>
      <c r="H21140" s="46" t="str">
        <f>IF(AND(I.Developer.P4=TRUE,I.Facility.P4FacilityCount&gt;=1128,F21140=""),"Incomplete","Complete")</f>
        <v>Complete</v>
      </c>
      <c r="I21140" s="48" t="s">
        <v>25505</v>
      </c>
    </row>
    <row r="21141" spans="2:9" ht="15" customHeight="1" x14ac:dyDescent="0.25">
      <c r="B21141" s="55" t="s">
        <v>283</v>
      </c>
      <c r="C21141" s="46">
        <v>1129</v>
      </c>
      <c r="D21141" s="69" t="s">
        <v>29420</v>
      </c>
      <c r="E21141" s="51"/>
      <c r="F21141" s="114" t="str">
        <f>IF(INDEX(I.Facility.P4IDNumber,1129)="","",INDEX(I.Facility.P4IDNumber,1129))</f>
        <v/>
      </c>
      <c r="G21141" s="51"/>
      <c r="H21141" s="46" t="str">
        <f>IF(AND(I.Developer.P4=TRUE,I.Facility.P4FacilityCount&gt;=1129,F21141=""),"Incomplete","Complete")</f>
        <v>Complete</v>
      </c>
      <c r="I21141" s="48" t="s">
        <v>25506</v>
      </c>
    </row>
    <row r="21142" spans="2:9" ht="15" customHeight="1" x14ac:dyDescent="0.25">
      <c r="B21142" s="55" t="s">
        <v>283</v>
      </c>
      <c r="C21142" s="46">
        <v>1130</v>
      </c>
      <c r="D21142" s="69" t="s">
        <v>29420</v>
      </c>
      <c r="E21142" s="51"/>
      <c r="F21142" s="114" t="str">
        <f>IF(INDEX(I.Facility.P4IDNumber,1130)="","",INDEX(I.Facility.P4IDNumber,1130))</f>
        <v/>
      </c>
      <c r="G21142" s="51"/>
      <c r="H21142" s="46" t="str">
        <f>IF(AND(I.Developer.P4=TRUE,I.Facility.P4FacilityCount&gt;=1130,F21142=""),"Incomplete","Complete")</f>
        <v>Complete</v>
      </c>
      <c r="I21142" s="48" t="s">
        <v>25507</v>
      </c>
    </row>
    <row r="21143" spans="2:9" ht="15" customHeight="1" x14ac:dyDescent="0.25">
      <c r="B21143" s="55" t="s">
        <v>283</v>
      </c>
      <c r="C21143" s="46">
        <v>1131</v>
      </c>
      <c r="D21143" s="69" t="s">
        <v>29420</v>
      </c>
      <c r="E21143" s="51"/>
      <c r="F21143" s="114" t="str">
        <f>IF(INDEX(I.Facility.P4IDNumber,1131)="","",INDEX(I.Facility.P4IDNumber,1131))</f>
        <v/>
      </c>
      <c r="G21143" s="51"/>
      <c r="H21143" s="46" t="str">
        <f>IF(AND(I.Developer.P4=TRUE,I.Facility.P4FacilityCount&gt;=1131,F21143=""),"Incomplete","Complete")</f>
        <v>Complete</v>
      </c>
      <c r="I21143" s="48" t="s">
        <v>25508</v>
      </c>
    </row>
    <row r="21144" spans="2:9" ht="15" customHeight="1" x14ac:dyDescent="0.25">
      <c r="B21144" s="55" t="s">
        <v>283</v>
      </c>
      <c r="C21144" s="46">
        <v>1132</v>
      </c>
      <c r="D21144" s="69" t="s">
        <v>29420</v>
      </c>
      <c r="E21144" s="51"/>
      <c r="F21144" s="114" t="str">
        <f>IF(INDEX(I.Facility.P4IDNumber,1132)="","",INDEX(I.Facility.P4IDNumber,1132))</f>
        <v/>
      </c>
      <c r="G21144" s="51"/>
      <c r="H21144" s="46" t="str">
        <f>IF(AND(I.Developer.P4=TRUE,I.Facility.P4FacilityCount&gt;=1132,F21144=""),"Incomplete","Complete")</f>
        <v>Complete</v>
      </c>
      <c r="I21144" s="48" t="s">
        <v>25509</v>
      </c>
    </row>
    <row r="21145" spans="2:9" ht="15" customHeight="1" x14ac:dyDescent="0.25">
      <c r="B21145" s="55" t="s">
        <v>283</v>
      </c>
      <c r="C21145" s="46">
        <v>1133</v>
      </c>
      <c r="D21145" s="69" t="s">
        <v>29420</v>
      </c>
      <c r="E21145" s="51"/>
      <c r="F21145" s="114" t="str">
        <f>IF(INDEX(I.Facility.P4IDNumber,1133)="","",INDEX(I.Facility.P4IDNumber,1133))</f>
        <v/>
      </c>
      <c r="G21145" s="51"/>
      <c r="H21145" s="46" t="str">
        <f>IF(AND(I.Developer.P4=TRUE,I.Facility.P4FacilityCount&gt;=1133,F21145=""),"Incomplete","Complete")</f>
        <v>Complete</v>
      </c>
      <c r="I21145" s="48" t="s">
        <v>25510</v>
      </c>
    </row>
    <row r="21146" spans="2:9" ht="15" customHeight="1" x14ac:dyDescent="0.25">
      <c r="B21146" s="55" t="s">
        <v>283</v>
      </c>
      <c r="C21146" s="46">
        <v>1134</v>
      </c>
      <c r="D21146" s="69" t="s">
        <v>29420</v>
      </c>
      <c r="E21146" s="51"/>
      <c r="F21146" s="114" t="str">
        <f>IF(INDEX(I.Facility.P4IDNumber,1134)="","",INDEX(I.Facility.P4IDNumber,1134))</f>
        <v/>
      </c>
      <c r="G21146" s="51"/>
      <c r="H21146" s="46" t="str">
        <f>IF(AND(I.Developer.P4=TRUE,I.Facility.P4FacilityCount&gt;=1134,F21146=""),"Incomplete","Complete")</f>
        <v>Complete</v>
      </c>
      <c r="I21146" s="48" t="s">
        <v>25511</v>
      </c>
    </row>
    <row r="21147" spans="2:9" ht="15" customHeight="1" x14ac:dyDescent="0.25">
      <c r="B21147" s="55" t="s">
        <v>283</v>
      </c>
      <c r="C21147" s="46">
        <v>1135</v>
      </c>
      <c r="D21147" s="69" t="s">
        <v>29420</v>
      </c>
      <c r="E21147" s="51"/>
      <c r="F21147" s="114" t="str">
        <f>IF(INDEX(I.Facility.P4IDNumber,1135)="","",INDEX(I.Facility.P4IDNumber,1135))</f>
        <v/>
      </c>
      <c r="G21147" s="51"/>
      <c r="H21147" s="46" t="str">
        <f>IF(AND(I.Developer.P4=TRUE,I.Facility.P4FacilityCount&gt;=1135,F21147=""),"Incomplete","Complete")</f>
        <v>Complete</v>
      </c>
      <c r="I21147" s="48" t="s">
        <v>25512</v>
      </c>
    </row>
    <row r="21148" spans="2:9" ht="15" customHeight="1" x14ac:dyDescent="0.25">
      <c r="B21148" s="55" t="s">
        <v>283</v>
      </c>
      <c r="C21148" s="46">
        <v>1136</v>
      </c>
      <c r="D21148" s="69" t="s">
        <v>29420</v>
      </c>
      <c r="E21148" s="51"/>
      <c r="F21148" s="114" t="str">
        <f>IF(INDEX(I.Facility.P4IDNumber,1136)="","",INDEX(I.Facility.P4IDNumber,1136))</f>
        <v/>
      </c>
      <c r="G21148" s="51"/>
      <c r="H21148" s="46" t="str">
        <f>IF(AND(I.Developer.P4=TRUE,I.Facility.P4FacilityCount&gt;=1136,F21148=""),"Incomplete","Complete")</f>
        <v>Complete</v>
      </c>
      <c r="I21148" s="48" t="s">
        <v>25513</v>
      </c>
    </row>
    <row r="21149" spans="2:9" ht="15" customHeight="1" x14ac:dyDescent="0.25">
      <c r="B21149" s="55" t="s">
        <v>283</v>
      </c>
      <c r="C21149" s="46">
        <v>1137</v>
      </c>
      <c r="D21149" s="69" t="s">
        <v>29420</v>
      </c>
      <c r="E21149" s="51"/>
      <c r="F21149" s="114" t="str">
        <f>IF(INDEX(I.Facility.P4IDNumber,1137)="","",INDEX(I.Facility.P4IDNumber,1137))</f>
        <v/>
      </c>
      <c r="G21149" s="51"/>
      <c r="H21149" s="46" t="str">
        <f>IF(AND(I.Developer.P4=TRUE,I.Facility.P4FacilityCount&gt;=1137,F21149=""),"Incomplete","Complete")</f>
        <v>Complete</v>
      </c>
      <c r="I21149" s="48" t="s">
        <v>25514</v>
      </c>
    </row>
    <row r="21150" spans="2:9" ht="15" customHeight="1" x14ac:dyDescent="0.25">
      <c r="B21150" s="55" t="s">
        <v>283</v>
      </c>
      <c r="C21150" s="46">
        <v>1138</v>
      </c>
      <c r="D21150" s="69" t="s">
        <v>29420</v>
      </c>
      <c r="E21150" s="51"/>
      <c r="F21150" s="114" t="str">
        <f>IF(INDEX(I.Facility.P4IDNumber,1138)="","",INDEX(I.Facility.P4IDNumber,1138))</f>
        <v/>
      </c>
      <c r="G21150" s="51"/>
      <c r="H21150" s="46" t="str">
        <f>IF(AND(I.Developer.P4=TRUE,I.Facility.P4FacilityCount&gt;=1138,F21150=""),"Incomplete","Complete")</f>
        <v>Complete</v>
      </c>
      <c r="I21150" s="48" t="s">
        <v>25515</v>
      </c>
    </row>
    <row r="21151" spans="2:9" ht="15" customHeight="1" x14ac:dyDescent="0.25">
      <c r="B21151" s="55" t="s">
        <v>283</v>
      </c>
      <c r="C21151" s="46">
        <v>1139</v>
      </c>
      <c r="D21151" s="69" t="s">
        <v>29420</v>
      </c>
      <c r="E21151" s="51"/>
      <c r="F21151" s="114" t="str">
        <f>IF(INDEX(I.Facility.P4IDNumber,1139)="","",INDEX(I.Facility.P4IDNumber,1139))</f>
        <v/>
      </c>
      <c r="G21151" s="51"/>
      <c r="H21151" s="46" t="str">
        <f>IF(AND(I.Developer.P4=TRUE,I.Facility.P4FacilityCount&gt;=1139,F21151=""),"Incomplete","Complete")</f>
        <v>Complete</v>
      </c>
      <c r="I21151" s="48" t="s">
        <v>25516</v>
      </c>
    </row>
    <row r="21152" spans="2:9" ht="15" customHeight="1" x14ac:dyDescent="0.25">
      <c r="B21152" s="55" t="s">
        <v>283</v>
      </c>
      <c r="C21152" s="46">
        <v>1140</v>
      </c>
      <c r="D21152" s="69" t="s">
        <v>29420</v>
      </c>
      <c r="E21152" s="51"/>
      <c r="F21152" s="114" t="str">
        <f>IF(INDEX(I.Facility.P4IDNumber,1140)="","",INDEX(I.Facility.P4IDNumber,1140))</f>
        <v/>
      </c>
      <c r="G21152" s="51"/>
      <c r="H21152" s="46" t="str">
        <f>IF(AND(I.Developer.P4=TRUE,I.Facility.P4FacilityCount&gt;=1140,F21152=""),"Incomplete","Complete")</f>
        <v>Complete</v>
      </c>
      <c r="I21152" s="48" t="s">
        <v>25517</v>
      </c>
    </row>
    <row r="21153" spans="2:9" ht="15" customHeight="1" x14ac:dyDescent="0.25">
      <c r="B21153" s="55" t="s">
        <v>283</v>
      </c>
      <c r="C21153" s="46">
        <v>1141</v>
      </c>
      <c r="D21153" s="69" t="s">
        <v>29420</v>
      </c>
      <c r="E21153" s="51"/>
      <c r="F21153" s="114" t="str">
        <f>IF(INDEX(I.Facility.P4IDNumber,1141)="","",INDEX(I.Facility.P4IDNumber,1141))</f>
        <v/>
      </c>
      <c r="G21153" s="51"/>
      <c r="H21153" s="46" t="str">
        <f>IF(AND(I.Developer.P4=TRUE,I.Facility.P4FacilityCount&gt;=1141,F21153=""),"Incomplete","Complete")</f>
        <v>Complete</v>
      </c>
      <c r="I21153" s="48" t="s">
        <v>25518</v>
      </c>
    </row>
    <row r="21154" spans="2:9" ht="15" customHeight="1" x14ac:dyDescent="0.25">
      <c r="B21154" s="55" t="s">
        <v>283</v>
      </c>
      <c r="C21154" s="46">
        <v>1142</v>
      </c>
      <c r="D21154" s="69" t="s">
        <v>29420</v>
      </c>
      <c r="E21154" s="51"/>
      <c r="F21154" s="114" t="str">
        <f>IF(INDEX(I.Facility.P4IDNumber,1142)="","",INDEX(I.Facility.P4IDNumber,1142))</f>
        <v/>
      </c>
      <c r="G21154" s="51"/>
      <c r="H21154" s="46" t="str">
        <f>IF(AND(I.Developer.P4=TRUE,I.Facility.P4FacilityCount&gt;=1142,F21154=""),"Incomplete","Complete")</f>
        <v>Complete</v>
      </c>
      <c r="I21154" s="48" t="s">
        <v>25519</v>
      </c>
    </row>
    <row r="21155" spans="2:9" ht="15" customHeight="1" x14ac:dyDescent="0.25">
      <c r="B21155" s="55" t="s">
        <v>283</v>
      </c>
      <c r="C21155" s="46">
        <v>1143</v>
      </c>
      <c r="D21155" s="69" t="s">
        <v>29420</v>
      </c>
      <c r="E21155" s="51"/>
      <c r="F21155" s="114" t="str">
        <f>IF(INDEX(I.Facility.P4IDNumber,1143)="","",INDEX(I.Facility.P4IDNumber,1143))</f>
        <v/>
      </c>
      <c r="G21155" s="51"/>
      <c r="H21155" s="46" t="str">
        <f>IF(AND(I.Developer.P4=TRUE,I.Facility.P4FacilityCount&gt;=1143,F21155=""),"Incomplete","Complete")</f>
        <v>Complete</v>
      </c>
      <c r="I21155" s="48" t="s">
        <v>25520</v>
      </c>
    </row>
    <row r="21156" spans="2:9" ht="15" customHeight="1" x14ac:dyDescent="0.25">
      <c r="B21156" s="55" t="s">
        <v>283</v>
      </c>
      <c r="C21156" s="46">
        <v>1144</v>
      </c>
      <c r="D21156" s="69" t="s">
        <v>29420</v>
      </c>
      <c r="E21156" s="51"/>
      <c r="F21156" s="114" t="str">
        <f>IF(INDEX(I.Facility.P4IDNumber,1144)="","",INDEX(I.Facility.P4IDNumber,1144))</f>
        <v/>
      </c>
      <c r="G21156" s="51"/>
      <c r="H21156" s="46" t="str">
        <f>IF(AND(I.Developer.P4=TRUE,I.Facility.P4FacilityCount&gt;=1144,F21156=""),"Incomplete","Complete")</f>
        <v>Complete</v>
      </c>
      <c r="I21156" s="48" t="s">
        <v>25521</v>
      </c>
    </row>
    <row r="21157" spans="2:9" ht="15" customHeight="1" x14ac:dyDescent="0.25">
      <c r="B21157" s="55" t="s">
        <v>283</v>
      </c>
      <c r="C21157" s="46">
        <v>1145</v>
      </c>
      <c r="D21157" s="69" t="s">
        <v>29420</v>
      </c>
      <c r="E21157" s="51"/>
      <c r="F21157" s="114" t="str">
        <f>IF(INDEX(I.Facility.P4IDNumber,1145)="","",INDEX(I.Facility.P4IDNumber,1145))</f>
        <v/>
      </c>
      <c r="G21157" s="51"/>
      <c r="H21157" s="46" t="str">
        <f>IF(AND(I.Developer.P4=TRUE,I.Facility.P4FacilityCount&gt;=1145,F21157=""),"Incomplete","Complete")</f>
        <v>Complete</v>
      </c>
      <c r="I21157" s="48" t="s">
        <v>25522</v>
      </c>
    </row>
    <row r="21158" spans="2:9" ht="15" customHeight="1" x14ac:dyDescent="0.25">
      <c r="B21158" s="55" t="s">
        <v>283</v>
      </c>
      <c r="C21158" s="46">
        <v>1146</v>
      </c>
      <c r="D21158" s="69" t="s">
        <v>29420</v>
      </c>
      <c r="E21158" s="51"/>
      <c r="F21158" s="114" t="str">
        <f>IF(INDEX(I.Facility.P4IDNumber,1146)="","",INDEX(I.Facility.P4IDNumber,1146))</f>
        <v/>
      </c>
      <c r="G21158" s="51"/>
      <c r="H21158" s="46" t="str">
        <f>IF(AND(I.Developer.P4=TRUE,I.Facility.P4FacilityCount&gt;=1146,F21158=""),"Incomplete","Complete")</f>
        <v>Complete</v>
      </c>
      <c r="I21158" s="48" t="s">
        <v>25523</v>
      </c>
    </row>
    <row r="21159" spans="2:9" ht="15" customHeight="1" x14ac:dyDescent="0.25">
      <c r="B21159" s="55" t="s">
        <v>283</v>
      </c>
      <c r="C21159" s="46">
        <v>1147</v>
      </c>
      <c r="D21159" s="69" t="s">
        <v>29420</v>
      </c>
      <c r="E21159" s="51"/>
      <c r="F21159" s="114" t="str">
        <f>IF(INDEX(I.Facility.P4IDNumber,1147)="","",INDEX(I.Facility.P4IDNumber,1147))</f>
        <v/>
      </c>
      <c r="G21159" s="51"/>
      <c r="H21159" s="46" t="str">
        <f>IF(AND(I.Developer.P4=TRUE,I.Facility.P4FacilityCount&gt;=1147,F21159=""),"Incomplete","Complete")</f>
        <v>Complete</v>
      </c>
      <c r="I21159" s="48" t="s">
        <v>25524</v>
      </c>
    </row>
    <row r="21160" spans="2:9" ht="15" customHeight="1" x14ac:dyDescent="0.25">
      <c r="B21160" s="55" t="s">
        <v>283</v>
      </c>
      <c r="C21160" s="46">
        <v>1148</v>
      </c>
      <c r="D21160" s="69" t="s">
        <v>29420</v>
      </c>
      <c r="E21160" s="51"/>
      <c r="F21160" s="114" t="str">
        <f>IF(INDEX(I.Facility.P4IDNumber,1148)="","",INDEX(I.Facility.P4IDNumber,1148))</f>
        <v/>
      </c>
      <c r="G21160" s="51"/>
      <c r="H21160" s="46" t="str">
        <f>IF(AND(I.Developer.P4=TRUE,I.Facility.P4FacilityCount&gt;=1148,F21160=""),"Incomplete","Complete")</f>
        <v>Complete</v>
      </c>
      <c r="I21160" s="48" t="s">
        <v>25525</v>
      </c>
    </row>
    <row r="21161" spans="2:9" ht="15" customHeight="1" x14ac:dyDescent="0.25">
      <c r="B21161" s="55" t="s">
        <v>283</v>
      </c>
      <c r="C21161" s="46">
        <v>1149</v>
      </c>
      <c r="D21161" s="69" t="s">
        <v>29420</v>
      </c>
      <c r="E21161" s="51"/>
      <c r="F21161" s="114" t="str">
        <f>IF(INDEX(I.Facility.P4IDNumber,1149)="","",INDEX(I.Facility.P4IDNumber,1149))</f>
        <v/>
      </c>
      <c r="G21161" s="51"/>
      <c r="H21161" s="46" t="str">
        <f>IF(AND(I.Developer.P4=TRUE,I.Facility.P4FacilityCount&gt;=1149,F21161=""),"Incomplete","Complete")</f>
        <v>Complete</v>
      </c>
      <c r="I21161" s="48" t="s">
        <v>25526</v>
      </c>
    </row>
    <row r="21162" spans="2:9" ht="15" customHeight="1" x14ac:dyDescent="0.25">
      <c r="B21162" s="55" t="s">
        <v>283</v>
      </c>
      <c r="C21162" s="46">
        <v>1150</v>
      </c>
      <c r="D21162" s="69" t="s">
        <v>29420</v>
      </c>
      <c r="E21162" s="51"/>
      <c r="F21162" s="114" t="str">
        <f>IF(INDEX(I.Facility.P4IDNumber,1150)="","",INDEX(I.Facility.P4IDNumber,1150))</f>
        <v/>
      </c>
      <c r="G21162" s="51"/>
      <c r="H21162" s="46" t="str">
        <f>IF(AND(I.Developer.P4=TRUE,I.Facility.P4FacilityCount&gt;=1150,F21162=""),"Incomplete","Complete")</f>
        <v>Complete</v>
      </c>
      <c r="I21162" s="48" t="s">
        <v>25527</v>
      </c>
    </row>
    <row r="21163" spans="2:9" ht="15" customHeight="1" x14ac:dyDescent="0.25">
      <c r="B21163" s="55" t="s">
        <v>283</v>
      </c>
      <c r="C21163" s="46">
        <v>1151</v>
      </c>
      <c r="D21163" s="69" t="s">
        <v>29420</v>
      </c>
      <c r="E21163" s="51"/>
      <c r="F21163" s="114" t="str">
        <f>IF(INDEX(I.Facility.P4IDNumber,1151)="","",INDEX(I.Facility.P4IDNumber,1151))</f>
        <v/>
      </c>
      <c r="G21163" s="51"/>
      <c r="H21163" s="46" t="str">
        <f>IF(AND(I.Developer.P4=TRUE,I.Facility.P4FacilityCount&gt;=1151,F21163=""),"Incomplete","Complete")</f>
        <v>Complete</v>
      </c>
      <c r="I21163" s="48" t="s">
        <v>25528</v>
      </c>
    </row>
    <row r="21164" spans="2:9" ht="15" customHeight="1" x14ac:dyDescent="0.25">
      <c r="B21164" s="55" t="s">
        <v>283</v>
      </c>
      <c r="C21164" s="46">
        <v>1152</v>
      </c>
      <c r="D21164" s="69" t="s">
        <v>29420</v>
      </c>
      <c r="E21164" s="51"/>
      <c r="F21164" s="114" t="str">
        <f>IF(INDEX(I.Facility.P4IDNumber,1152)="","",INDEX(I.Facility.P4IDNumber,1152))</f>
        <v/>
      </c>
      <c r="G21164" s="51"/>
      <c r="H21164" s="46" t="str">
        <f>IF(AND(I.Developer.P4=TRUE,I.Facility.P4FacilityCount&gt;=1152,F21164=""),"Incomplete","Complete")</f>
        <v>Complete</v>
      </c>
      <c r="I21164" s="48" t="s">
        <v>25529</v>
      </c>
    </row>
    <row r="21165" spans="2:9" ht="15" customHeight="1" x14ac:dyDescent="0.25">
      <c r="B21165" s="55" t="s">
        <v>283</v>
      </c>
      <c r="C21165" s="46">
        <v>1153</v>
      </c>
      <c r="D21165" s="69" t="s">
        <v>29420</v>
      </c>
      <c r="E21165" s="51"/>
      <c r="F21165" s="114" t="str">
        <f>IF(INDEX(I.Facility.P4IDNumber,1153)="","",INDEX(I.Facility.P4IDNumber,1153))</f>
        <v/>
      </c>
      <c r="G21165" s="51"/>
      <c r="H21165" s="46" t="str">
        <f>IF(AND(I.Developer.P4=TRUE,I.Facility.P4FacilityCount&gt;=1153,F21165=""),"Incomplete","Complete")</f>
        <v>Complete</v>
      </c>
      <c r="I21165" s="48" t="s">
        <v>25530</v>
      </c>
    </row>
    <row r="21166" spans="2:9" ht="15" customHeight="1" x14ac:dyDescent="0.25">
      <c r="B21166" s="55" t="s">
        <v>283</v>
      </c>
      <c r="C21166" s="46">
        <v>1154</v>
      </c>
      <c r="D21166" s="69" t="s">
        <v>29420</v>
      </c>
      <c r="E21166" s="51"/>
      <c r="F21166" s="114" t="str">
        <f>IF(INDEX(I.Facility.P4IDNumber,1154)="","",INDEX(I.Facility.P4IDNumber,1154))</f>
        <v/>
      </c>
      <c r="G21166" s="51"/>
      <c r="H21166" s="46" t="str">
        <f>IF(AND(I.Developer.P4=TRUE,I.Facility.P4FacilityCount&gt;=1154,F21166=""),"Incomplete","Complete")</f>
        <v>Complete</v>
      </c>
      <c r="I21166" s="48" t="s">
        <v>25531</v>
      </c>
    </row>
    <row r="21167" spans="2:9" ht="15" customHeight="1" x14ac:dyDescent="0.25">
      <c r="B21167" s="55" t="s">
        <v>283</v>
      </c>
      <c r="C21167" s="46">
        <v>1155</v>
      </c>
      <c r="D21167" s="69" t="s">
        <v>29420</v>
      </c>
      <c r="E21167" s="51"/>
      <c r="F21167" s="114" t="str">
        <f>IF(INDEX(I.Facility.P4IDNumber,1155)="","",INDEX(I.Facility.P4IDNumber,1155))</f>
        <v/>
      </c>
      <c r="G21167" s="51"/>
      <c r="H21167" s="46" t="str">
        <f>IF(AND(I.Developer.P4=TRUE,I.Facility.P4FacilityCount&gt;=1155,F21167=""),"Incomplete","Complete")</f>
        <v>Complete</v>
      </c>
      <c r="I21167" s="48" t="s">
        <v>25532</v>
      </c>
    </row>
    <row r="21168" spans="2:9" ht="15" customHeight="1" x14ac:dyDescent="0.25">
      <c r="B21168" s="55" t="s">
        <v>283</v>
      </c>
      <c r="C21168" s="46">
        <v>1156</v>
      </c>
      <c r="D21168" s="69" t="s">
        <v>29420</v>
      </c>
      <c r="E21168" s="51"/>
      <c r="F21168" s="114" t="str">
        <f>IF(INDEX(I.Facility.P4IDNumber,1156)="","",INDEX(I.Facility.P4IDNumber,1156))</f>
        <v/>
      </c>
      <c r="G21168" s="51"/>
      <c r="H21168" s="46" t="str">
        <f>IF(AND(I.Developer.P4=TRUE,I.Facility.P4FacilityCount&gt;=1156,F21168=""),"Incomplete","Complete")</f>
        <v>Complete</v>
      </c>
      <c r="I21168" s="48" t="s">
        <v>25533</v>
      </c>
    </row>
    <row r="21169" spans="2:9" ht="15" customHeight="1" x14ac:dyDescent="0.25">
      <c r="B21169" s="55" t="s">
        <v>283</v>
      </c>
      <c r="C21169" s="46">
        <v>1157</v>
      </c>
      <c r="D21169" s="69" t="s">
        <v>29420</v>
      </c>
      <c r="E21169" s="51"/>
      <c r="F21169" s="114" t="str">
        <f>IF(INDEX(I.Facility.P4IDNumber,1157)="","",INDEX(I.Facility.P4IDNumber,1157))</f>
        <v/>
      </c>
      <c r="G21169" s="51"/>
      <c r="H21169" s="46" t="str">
        <f>IF(AND(I.Developer.P4=TRUE,I.Facility.P4FacilityCount&gt;=1157,F21169=""),"Incomplete","Complete")</f>
        <v>Complete</v>
      </c>
      <c r="I21169" s="48" t="s">
        <v>25534</v>
      </c>
    </row>
    <row r="21170" spans="2:9" ht="15" customHeight="1" x14ac:dyDescent="0.25">
      <c r="B21170" s="55" t="s">
        <v>283</v>
      </c>
      <c r="C21170" s="46">
        <v>1158</v>
      </c>
      <c r="D21170" s="69" t="s">
        <v>29420</v>
      </c>
      <c r="E21170" s="51"/>
      <c r="F21170" s="114" t="str">
        <f>IF(INDEX(I.Facility.P4IDNumber,1158)="","",INDEX(I.Facility.P4IDNumber,1158))</f>
        <v/>
      </c>
      <c r="G21170" s="51"/>
      <c r="H21170" s="46" t="str">
        <f>IF(AND(I.Developer.P4=TRUE,I.Facility.P4FacilityCount&gt;=1158,F21170=""),"Incomplete","Complete")</f>
        <v>Complete</v>
      </c>
      <c r="I21170" s="48" t="s">
        <v>25535</v>
      </c>
    </row>
    <row r="21171" spans="2:9" ht="15" customHeight="1" x14ac:dyDescent="0.25">
      <c r="B21171" s="55" t="s">
        <v>283</v>
      </c>
      <c r="C21171" s="46">
        <v>1159</v>
      </c>
      <c r="D21171" s="69" t="s">
        <v>29420</v>
      </c>
      <c r="E21171" s="51"/>
      <c r="F21171" s="114" t="str">
        <f>IF(INDEX(I.Facility.P4IDNumber,1159)="","",INDEX(I.Facility.P4IDNumber,1159))</f>
        <v/>
      </c>
      <c r="G21171" s="51"/>
      <c r="H21171" s="46" t="str">
        <f>IF(AND(I.Developer.P4=TRUE,I.Facility.P4FacilityCount&gt;=1159,F21171=""),"Incomplete","Complete")</f>
        <v>Complete</v>
      </c>
      <c r="I21171" s="48" t="s">
        <v>25536</v>
      </c>
    </row>
    <row r="21172" spans="2:9" ht="15" customHeight="1" x14ac:dyDescent="0.25">
      <c r="B21172" s="55" t="s">
        <v>283</v>
      </c>
      <c r="C21172" s="46">
        <v>1160</v>
      </c>
      <c r="D21172" s="69" t="s">
        <v>29420</v>
      </c>
      <c r="E21172" s="51"/>
      <c r="F21172" s="114" t="str">
        <f>IF(INDEX(I.Facility.P4IDNumber,1160)="","",INDEX(I.Facility.P4IDNumber,1160))</f>
        <v/>
      </c>
      <c r="G21172" s="51"/>
      <c r="H21172" s="46" t="str">
        <f>IF(AND(I.Developer.P4=TRUE,I.Facility.P4FacilityCount&gt;=1160,F21172=""),"Incomplete","Complete")</f>
        <v>Complete</v>
      </c>
      <c r="I21172" s="48" t="s">
        <v>25537</v>
      </c>
    </row>
    <row r="21173" spans="2:9" ht="15" customHeight="1" x14ac:dyDescent="0.25">
      <c r="B21173" s="55" t="s">
        <v>283</v>
      </c>
      <c r="C21173" s="46">
        <v>1161</v>
      </c>
      <c r="D21173" s="69" t="s">
        <v>29420</v>
      </c>
      <c r="E21173" s="51"/>
      <c r="F21173" s="114" t="str">
        <f>IF(INDEX(I.Facility.P4IDNumber,1161)="","",INDEX(I.Facility.P4IDNumber,1161))</f>
        <v/>
      </c>
      <c r="G21173" s="51"/>
      <c r="H21173" s="46" t="str">
        <f>IF(AND(I.Developer.P4=TRUE,I.Facility.P4FacilityCount&gt;=1161,F21173=""),"Incomplete","Complete")</f>
        <v>Complete</v>
      </c>
      <c r="I21173" s="48" t="s">
        <v>25538</v>
      </c>
    </row>
    <row r="21174" spans="2:9" ht="15" customHeight="1" x14ac:dyDescent="0.25">
      <c r="B21174" s="55" t="s">
        <v>283</v>
      </c>
      <c r="C21174" s="46">
        <v>1162</v>
      </c>
      <c r="D21174" s="69" t="s">
        <v>29420</v>
      </c>
      <c r="E21174" s="51"/>
      <c r="F21174" s="114" t="str">
        <f>IF(INDEX(I.Facility.P4IDNumber,1162)="","",INDEX(I.Facility.P4IDNumber,1162))</f>
        <v/>
      </c>
      <c r="G21174" s="51"/>
      <c r="H21174" s="46" t="str">
        <f>IF(AND(I.Developer.P4=TRUE,I.Facility.P4FacilityCount&gt;=1162,F21174=""),"Incomplete","Complete")</f>
        <v>Complete</v>
      </c>
      <c r="I21174" s="48" t="s">
        <v>25539</v>
      </c>
    </row>
    <row r="21175" spans="2:9" ht="15" customHeight="1" x14ac:dyDescent="0.25">
      <c r="B21175" s="55" t="s">
        <v>283</v>
      </c>
      <c r="C21175" s="46">
        <v>1163</v>
      </c>
      <c r="D21175" s="69" t="s">
        <v>29420</v>
      </c>
      <c r="E21175" s="51"/>
      <c r="F21175" s="114" t="str">
        <f>IF(INDEX(I.Facility.P4IDNumber,1163)="","",INDEX(I.Facility.P4IDNumber,1163))</f>
        <v/>
      </c>
      <c r="G21175" s="51"/>
      <c r="H21175" s="46" t="str">
        <f>IF(AND(I.Developer.P4=TRUE,I.Facility.P4FacilityCount&gt;=1163,F21175=""),"Incomplete","Complete")</f>
        <v>Complete</v>
      </c>
      <c r="I21175" s="48" t="s">
        <v>25540</v>
      </c>
    </row>
    <row r="21176" spans="2:9" ht="15" customHeight="1" x14ac:dyDescent="0.25">
      <c r="B21176" s="55" t="s">
        <v>283</v>
      </c>
      <c r="C21176" s="46">
        <v>1164</v>
      </c>
      <c r="D21176" s="69" t="s">
        <v>29420</v>
      </c>
      <c r="E21176" s="51"/>
      <c r="F21176" s="114" t="str">
        <f>IF(INDEX(I.Facility.P4IDNumber,1164)="","",INDEX(I.Facility.P4IDNumber,1164))</f>
        <v/>
      </c>
      <c r="G21176" s="51"/>
      <c r="H21176" s="46" t="str">
        <f>IF(AND(I.Developer.P4=TRUE,I.Facility.P4FacilityCount&gt;=1164,F21176=""),"Incomplete","Complete")</f>
        <v>Complete</v>
      </c>
      <c r="I21176" s="48" t="s">
        <v>25541</v>
      </c>
    </row>
    <row r="21177" spans="2:9" ht="15" customHeight="1" x14ac:dyDescent="0.25">
      <c r="B21177" s="55" t="s">
        <v>283</v>
      </c>
      <c r="C21177" s="46">
        <v>1165</v>
      </c>
      <c r="D21177" s="69" t="s">
        <v>29420</v>
      </c>
      <c r="E21177" s="51"/>
      <c r="F21177" s="114" t="str">
        <f>IF(INDEX(I.Facility.P4IDNumber,1165)="","",INDEX(I.Facility.P4IDNumber,1165))</f>
        <v/>
      </c>
      <c r="G21177" s="51"/>
      <c r="H21177" s="46" t="str">
        <f>IF(AND(I.Developer.P4=TRUE,I.Facility.P4FacilityCount&gt;=1165,F21177=""),"Incomplete","Complete")</f>
        <v>Complete</v>
      </c>
      <c r="I21177" s="48" t="s">
        <v>25542</v>
      </c>
    </row>
    <row r="21178" spans="2:9" ht="15" customHeight="1" x14ac:dyDescent="0.25">
      <c r="B21178" s="55" t="s">
        <v>283</v>
      </c>
      <c r="C21178" s="46">
        <v>1166</v>
      </c>
      <c r="D21178" s="69" t="s">
        <v>29420</v>
      </c>
      <c r="E21178" s="51"/>
      <c r="F21178" s="114" t="str">
        <f>IF(INDEX(I.Facility.P4IDNumber,1166)="","",INDEX(I.Facility.P4IDNumber,1166))</f>
        <v/>
      </c>
      <c r="G21178" s="51"/>
      <c r="H21178" s="46" t="str">
        <f>IF(AND(I.Developer.P4=TRUE,I.Facility.P4FacilityCount&gt;=1166,F21178=""),"Incomplete","Complete")</f>
        <v>Complete</v>
      </c>
      <c r="I21178" s="48" t="s">
        <v>25543</v>
      </c>
    </row>
    <row r="21179" spans="2:9" ht="15" customHeight="1" x14ac:dyDescent="0.25">
      <c r="B21179" s="55" t="s">
        <v>283</v>
      </c>
      <c r="C21179" s="46">
        <v>1167</v>
      </c>
      <c r="D21179" s="69" t="s">
        <v>29420</v>
      </c>
      <c r="E21179" s="51"/>
      <c r="F21179" s="114" t="str">
        <f>IF(INDEX(I.Facility.P4IDNumber,1167)="","",INDEX(I.Facility.P4IDNumber,1167))</f>
        <v/>
      </c>
      <c r="G21179" s="51"/>
      <c r="H21179" s="46" t="str">
        <f>IF(AND(I.Developer.P4=TRUE,I.Facility.P4FacilityCount&gt;=1167,F21179=""),"Incomplete","Complete")</f>
        <v>Complete</v>
      </c>
      <c r="I21179" s="48" t="s">
        <v>25544</v>
      </c>
    </row>
    <row r="21180" spans="2:9" ht="15" customHeight="1" x14ac:dyDescent="0.25">
      <c r="B21180" s="55" t="s">
        <v>283</v>
      </c>
      <c r="C21180" s="46">
        <v>1168</v>
      </c>
      <c r="D21180" s="69" t="s">
        <v>29420</v>
      </c>
      <c r="E21180" s="51"/>
      <c r="F21180" s="114" t="str">
        <f>IF(INDEX(I.Facility.P4IDNumber,1168)="","",INDEX(I.Facility.P4IDNumber,1168))</f>
        <v/>
      </c>
      <c r="G21180" s="51"/>
      <c r="H21180" s="46" t="str">
        <f>IF(AND(I.Developer.P4=TRUE,I.Facility.P4FacilityCount&gt;=1168,F21180=""),"Incomplete","Complete")</f>
        <v>Complete</v>
      </c>
      <c r="I21180" s="48" t="s">
        <v>25545</v>
      </c>
    </row>
    <row r="21181" spans="2:9" ht="15" customHeight="1" x14ac:dyDescent="0.25">
      <c r="B21181" s="55" t="s">
        <v>283</v>
      </c>
      <c r="C21181" s="46">
        <v>1169</v>
      </c>
      <c r="D21181" s="69" t="s">
        <v>29420</v>
      </c>
      <c r="E21181" s="51"/>
      <c r="F21181" s="114" t="str">
        <f>IF(INDEX(I.Facility.P4IDNumber,1169)="","",INDEX(I.Facility.P4IDNumber,1169))</f>
        <v/>
      </c>
      <c r="G21181" s="51"/>
      <c r="H21181" s="46" t="str">
        <f>IF(AND(I.Developer.P4=TRUE,I.Facility.P4FacilityCount&gt;=1169,F21181=""),"Incomplete","Complete")</f>
        <v>Complete</v>
      </c>
      <c r="I21181" s="48" t="s">
        <v>25546</v>
      </c>
    </row>
    <row r="21182" spans="2:9" ht="15" customHeight="1" x14ac:dyDescent="0.25">
      <c r="B21182" s="55" t="s">
        <v>283</v>
      </c>
      <c r="C21182" s="46">
        <v>1170</v>
      </c>
      <c r="D21182" s="69" t="s">
        <v>29420</v>
      </c>
      <c r="E21182" s="51"/>
      <c r="F21182" s="114" t="str">
        <f>IF(INDEX(I.Facility.P4IDNumber,1170)="","",INDEX(I.Facility.P4IDNumber,1170))</f>
        <v/>
      </c>
      <c r="G21182" s="51"/>
      <c r="H21182" s="46" t="str">
        <f>IF(AND(I.Developer.P4=TRUE,I.Facility.P4FacilityCount&gt;=1170,F21182=""),"Incomplete","Complete")</f>
        <v>Complete</v>
      </c>
      <c r="I21182" s="48" t="s">
        <v>25547</v>
      </c>
    </row>
    <row r="21183" spans="2:9" ht="15" customHeight="1" x14ac:dyDescent="0.25">
      <c r="B21183" s="55" t="s">
        <v>283</v>
      </c>
      <c r="C21183" s="46">
        <v>1171</v>
      </c>
      <c r="D21183" s="69" t="s">
        <v>29420</v>
      </c>
      <c r="E21183" s="51"/>
      <c r="F21183" s="114" t="str">
        <f>IF(INDEX(I.Facility.P4IDNumber,1171)="","",INDEX(I.Facility.P4IDNumber,1171))</f>
        <v/>
      </c>
      <c r="G21183" s="51"/>
      <c r="H21183" s="46" t="str">
        <f>IF(AND(I.Developer.P4=TRUE,I.Facility.P4FacilityCount&gt;=1171,F21183=""),"Incomplete","Complete")</f>
        <v>Complete</v>
      </c>
      <c r="I21183" s="48" t="s">
        <v>25548</v>
      </c>
    </row>
    <row r="21184" spans="2:9" ht="15" customHeight="1" x14ac:dyDescent="0.25">
      <c r="B21184" s="55" t="s">
        <v>283</v>
      </c>
      <c r="C21184" s="46">
        <v>1172</v>
      </c>
      <c r="D21184" s="69" t="s">
        <v>29420</v>
      </c>
      <c r="E21184" s="51"/>
      <c r="F21184" s="114" t="str">
        <f>IF(INDEX(I.Facility.P4IDNumber,1172)="","",INDEX(I.Facility.P4IDNumber,1172))</f>
        <v/>
      </c>
      <c r="G21184" s="51"/>
      <c r="H21184" s="46" t="str">
        <f>IF(AND(I.Developer.P4=TRUE,I.Facility.P4FacilityCount&gt;=1172,F21184=""),"Incomplete","Complete")</f>
        <v>Complete</v>
      </c>
      <c r="I21184" s="48" t="s">
        <v>25549</v>
      </c>
    </row>
    <row r="21185" spans="2:9" ht="15" customHeight="1" x14ac:dyDescent="0.25">
      <c r="B21185" s="55" t="s">
        <v>283</v>
      </c>
      <c r="C21185" s="46">
        <v>1173</v>
      </c>
      <c r="D21185" s="69" t="s">
        <v>29420</v>
      </c>
      <c r="E21185" s="51"/>
      <c r="F21185" s="114" t="str">
        <f>IF(INDEX(I.Facility.P4IDNumber,1173)="","",INDEX(I.Facility.P4IDNumber,1173))</f>
        <v/>
      </c>
      <c r="G21185" s="51"/>
      <c r="H21185" s="46" t="str">
        <f>IF(AND(I.Developer.P4=TRUE,I.Facility.P4FacilityCount&gt;=1173,F21185=""),"Incomplete","Complete")</f>
        <v>Complete</v>
      </c>
      <c r="I21185" s="48" t="s">
        <v>25550</v>
      </c>
    </row>
    <row r="21186" spans="2:9" ht="15" customHeight="1" x14ac:dyDescent="0.25">
      <c r="B21186" s="55" t="s">
        <v>283</v>
      </c>
      <c r="C21186" s="46">
        <v>1174</v>
      </c>
      <c r="D21186" s="69" t="s">
        <v>29420</v>
      </c>
      <c r="E21186" s="51"/>
      <c r="F21186" s="114" t="str">
        <f>IF(INDEX(I.Facility.P4IDNumber,1174)="","",INDEX(I.Facility.P4IDNumber,1174))</f>
        <v/>
      </c>
      <c r="G21186" s="51"/>
      <c r="H21186" s="46" t="str">
        <f>IF(AND(I.Developer.P4=TRUE,I.Facility.P4FacilityCount&gt;=1174,F21186=""),"Incomplete","Complete")</f>
        <v>Complete</v>
      </c>
      <c r="I21186" s="48" t="s">
        <v>25551</v>
      </c>
    </row>
    <row r="21187" spans="2:9" ht="15" customHeight="1" x14ac:dyDescent="0.25">
      <c r="B21187" s="55" t="s">
        <v>283</v>
      </c>
      <c r="C21187" s="46">
        <v>1175</v>
      </c>
      <c r="D21187" s="69" t="s">
        <v>29420</v>
      </c>
      <c r="E21187" s="51"/>
      <c r="F21187" s="114" t="str">
        <f>IF(INDEX(I.Facility.P4IDNumber,1175)="","",INDEX(I.Facility.P4IDNumber,1175))</f>
        <v/>
      </c>
      <c r="G21187" s="51"/>
      <c r="H21187" s="46" t="str">
        <f>IF(AND(I.Developer.P4=TRUE,I.Facility.P4FacilityCount&gt;=1175,F21187=""),"Incomplete","Complete")</f>
        <v>Complete</v>
      </c>
      <c r="I21187" s="48" t="s">
        <v>25552</v>
      </c>
    </row>
    <row r="21188" spans="2:9" ht="15" customHeight="1" x14ac:dyDescent="0.25">
      <c r="B21188" s="55" t="s">
        <v>283</v>
      </c>
      <c r="C21188" s="46">
        <v>1176</v>
      </c>
      <c r="D21188" s="69" t="s">
        <v>29420</v>
      </c>
      <c r="E21188" s="51"/>
      <c r="F21188" s="114" t="str">
        <f>IF(INDEX(I.Facility.P4IDNumber,1176)="","",INDEX(I.Facility.P4IDNumber,1176))</f>
        <v/>
      </c>
      <c r="G21188" s="51"/>
      <c r="H21188" s="46" t="str">
        <f>IF(AND(I.Developer.P4=TRUE,I.Facility.P4FacilityCount&gt;=1176,F21188=""),"Incomplete","Complete")</f>
        <v>Complete</v>
      </c>
      <c r="I21188" s="48" t="s">
        <v>25553</v>
      </c>
    </row>
    <row r="21189" spans="2:9" ht="15" customHeight="1" x14ac:dyDescent="0.25">
      <c r="B21189" s="55" t="s">
        <v>283</v>
      </c>
      <c r="C21189" s="46">
        <v>1177</v>
      </c>
      <c r="D21189" s="69" t="s">
        <v>29420</v>
      </c>
      <c r="E21189" s="51"/>
      <c r="F21189" s="114" t="str">
        <f>IF(INDEX(I.Facility.P4IDNumber,1177)="","",INDEX(I.Facility.P4IDNumber,1177))</f>
        <v/>
      </c>
      <c r="G21189" s="51"/>
      <c r="H21189" s="46" t="str">
        <f>IF(AND(I.Developer.P4=TRUE,I.Facility.P4FacilityCount&gt;=1177,F21189=""),"Incomplete","Complete")</f>
        <v>Complete</v>
      </c>
      <c r="I21189" s="48" t="s">
        <v>25554</v>
      </c>
    </row>
    <row r="21190" spans="2:9" ht="15" customHeight="1" x14ac:dyDescent="0.25">
      <c r="B21190" s="55" t="s">
        <v>283</v>
      </c>
      <c r="C21190" s="46">
        <v>1178</v>
      </c>
      <c r="D21190" s="69" t="s">
        <v>29420</v>
      </c>
      <c r="E21190" s="51"/>
      <c r="F21190" s="114" t="str">
        <f>IF(INDEX(I.Facility.P4IDNumber,1178)="","",INDEX(I.Facility.P4IDNumber,1178))</f>
        <v/>
      </c>
      <c r="G21190" s="51"/>
      <c r="H21190" s="46" t="str">
        <f>IF(AND(I.Developer.P4=TRUE,I.Facility.P4FacilityCount&gt;=1178,F21190=""),"Incomplete","Complete")</f>
        <v>Complete</v>
      </c>
      <c r="I21190" s="48" t="s">
        <v>25555</v>
      </c>
    </row>
    <row r="21191" spans="2:9" ht="15" customHeight="1" x14ac:dyDescent="0.25">
      <c r="B21191" s="55" t="s">
        <v>283</v>
      </c>
      <c r="C21191" s="46">
        <v>1179</v>
      </c>
      <c r="D21191" s="69" t="s">
        <v>29420</v>
      </c>
      <c r="E21191" s="51"/>
      <c r="F21191" s="114" t="str">
        <f>IF(INDEX(I.Facility.P4IDNumber,1179)="","",INDEX(I.Facility.P4IDNumber,1179))</f>
        <v/>
      </c>
      <c r="G21191" s="51"/>
      <c r="H21191" s="46" t="str">
        <f>IF(AND(I.Developer.P4=TRUE,I.Facility.P4FacilityCount&gt;=1179,F21191=""),"Incomplete","Complete")</f>
        <v>Complete</v>
      </c>
      <c r="I21191" s="48" t="s">
        <v>25556</v>
      </c>
    </row>
    <row r="21192" spans="2:9" ht="15" customHeight="1" x14ac:dyDescent="0.25">
      <c r="B21192" s="55" t="s">
        <v>283</v>
      </c>
      <c r="C21192" s="46">
        <v>1180</v>
      </c>
      <c r="D21192" s="69" t="s">
        <v>29420</v>
      </c>
      <c r="E21192" s="51"/>
      <c r="F21192" s="114" t="str">
        <f>IF(INDEX(I.Facility.P4IDNumber,1180)="","",INDEX(I.Facility.P4IDNumber,1180))</f>
        <v/>
      </c>
      <c r="G21192" s="51"/>
      <c r="H21192" s="46" t="str">
        <f>IF(AND(I.Developer.P4=TRUE,I.Facility.P4FacilityCount&gt;=1180,F21192=""),"Incomplete","Complete")</f>
        <v>Complete</v>
      </c>
      <c r="I21192" s="48" t="s">
        <v>25557</v>
      </c>
    </row>
    <row r="21193" spans="2:9" ht="15" customHeight="1" x14ac:dyDescent="0.25">
      <c r="B21193" s="55" t="s">
        <v>283</v>
      </c>
      <c r="C21193" s="46">
        <v>1181</v>
      </c>
      <c r="D21193" s="69" t="s">
        <v>29420</v>
      </c>
      <c r="E21193" s="51"/>
      <c r="F21193" s="114" t="str">
        <f>IF(INDEX(I.Facility.P4IDNumber,1181)="","",INDEX(I.Facility.P4IDNumber,1181))</f>
        <v/>
      </c>
      <c r="G21193" s="51"/>
      <c r="H21193" s="46" t="str">
        <f>IF(AND(I.Developer.P4=TRUE,I.Facility.P4FacilityCount&gt;=1181,F21193=""),"Incomplete","Complete")</f>
        <v>Complete</v>
      </c>
      <c r="I21193" s="48" t="s">
        <v>25558</v>
      </c>
    </row>
    <row r="21194" spans="2:9" ht="15" customHeight="1" x14ac:dyDescent="0.25">
      <c r="B21194" s="55" t="s">
        <v>283</v>
      </c>
      <c r="C21194" s="46">
        <v>1182</v>
      </c>
      <c r="D21194" s="69" t="s">
        <v>29420</v>
      </c>
      <c r="E21194" s="51"/>
      <c r="F21194" s="114" t="str">
        <f>IF(INDEX(I.Facility.P4IDNumber,1182)="","",INDEX(I.Facility.P4IDNumber,1182))</f>
        <v/>
      </c>
      <c r="G21194" s="51"/>
      <c r="H21194" s="46" t="str">
        <f>IF(AND(I.Developer.P4=TRUE,I.Facility.P4FacilityCount&gt;=1182,F21194=""),"Incomplete","Complete")</f>
        <v>Complete</v>
      </c>
      <c r="I21194" s="48" t="s">
        <v>25559</v>
      </c>
    </row>
    <row r="21195" spans="2:9" ht="15" customHeight="1" x14ac:dyDescent="0.25">
      <c r="B21195" s="55" t="s">
        <v>283</v>
      </c>
      <c r="C21195" s="46">
        <v>1183</v>
      </c>
      <c r="D21195" s="69" t="s">
        <v>29420</v>
      </c>
      <c r="E21195" s="51"/>
      <c r="F21195" s="114" t="str">
        <f>IF(INDEX(I.Facility.P4IDNumber,1183)="","",INDEX(I.Facility.P4IDNumber,1183))</f>
        <v/>
      </c>
      <c r="G21195" s="51"/>
      <c r="H21195" s="46" t="str">
        <f>IF(AND(I.Developer.P4=TRUE,I.Facility.P4FacilityCount&gt;=1183,F21195=""),"Incomplete","Complete")</f>
        <v>Complete</v>
      </c>
      <c r="I21195" s="48" t="s">
        <v>25560</v>
      </c>
    </row>
    <row r="21196" spans="2:9" ht="15" customHeight="1" x14ac:dyDescent="0.25">
      <c r="B21196" s="55" t="s">
        <v>283</v>
      </c>
      <c r="C21196" s="46">
        <v>1184</v>
      </c>
      <c r="D21196" s="69" t="s">
        <v>29420</v>
      </c>
      <c r="E21196" s="51"/>
      <c r="F21196" s="114" t="str">
        <f>IF(INDEX(I.Facility.P4IDNumber,1184)="","",INDEX(I.Facility.P4IDNumber,1184))</f>
        <v/>
      </c>
      <c r="G21196" s="51"/>
      <c r="H21196" s="46" t="str">
        <f>IF(AND(I.Developer.P4=TRUE,I.Facility.P4FacilityCount&gt;=1184,F21196=""),"Incomplete","Complete")</f>
        <v>Complete</v>
      </c>
      <c r="I21196" s="48" t="s">
        <v>25561</v>
      </c>
    </row>
    <row r="21197" spans="2:9" ht="15" customHeight="1" x14ac:dyDescent="0.25">
      <c r="B21197" s="55" t="s">
        <v>283</v>
      </c>
      <c r="C21197" s="46">
        <v>1185</v>
      </c>
      <c r="D21197" s="69" t="s">
        <v>29420</v>
      </c>
      <c r="E21197" s="51"/>
      <c r="F21197" s="114" t="str">
        <f>IF(INDEX(I.Facility.P4IDNumber,1185)="","",INDEX(I.Facility.P4IDNumber,1185))</f>
        <v/>
      </c>
      <c r="G21197" s="51"/>
      <c r="H21197" s="46" t="str">
        <f>IF(AND(I.Developer.P4=TRUE,I.Facility.P4FacilityCount&gt;=1185,F21197=""),"Incomplete","Complete")</f>
        <v>Complete</v>
      </c>
      <c r="I21197" s="48" t="s">
        <v>25562</v>
      </c>
    </row>
    <row r="21198" spans="2:9" ht="15" customHeight="1" x14ac:dyDescent="0.25">
      <c r="B21198" s="55" t="s">
        <v>283</v>
      </c>
      <c r="C21198" s="46">
        <v>1186</v>
      </c>
      <c r="D21198" s="69" t="s">
        <v>29420</v>
      </c>
      <c r="E21198" s="51"/>
      <c r="F21198" s="114" t="str">
        <f>IF(INDEX(I.Facility.P4IDNumber,1186)="","",INDEX(I.Facility.P4IDNumber,1186))</f>
        <v/>
      </c>
      <c r="G21198" s="51"/>
      <c r="H21198" s="46" t="str">
        <f>IF(AND(I.Developer.P4=TRUE,I.Facility.P4FacilityCount&gt;=1186,F21198=""),"Incomplete","Complete")</f>
        <v>Complete</v>
      </c>
      <c r="I21198" s="48" t="s">
        <v>25563</v>
      </c>
    </row>
    <row r="21199" spans="2:9" ht="15" customHeight="1" x14ac:dyDescent="0.25">
      <c r="B21199" s="55" t="s">
        <v>283</v>
      </c>
      <c r="C21199" s="46">
        <v>1187</v>
      </c>
      <c r="D21199" s="69" t="s">
        <v>29420</v>
      </c>
      <c r="E21199" s="51"/>
      <c r="F21199" s="114" t="str">
        <f>IF(INDEX(I.Facility.P4IDNumber,1187)="","",INDEX(I.Facility.P4IDNumber,1187))</f>
        <v/>
      </c>
      <c r="G21199" s="51"/>
      <c r="H21199" s="46" t="str">
        <f>IF(AND(I.Developer.P4=TRUE,I.Facility.P4FacilityCount&gt;=1187,F21199=""),"Incomplete","Complete")</f>
        <v>Complete</v>
      </c>
      <c r="I21199" s="48" t="s">
        <v>25564</v>
      </c>
    </row>
    <row r="21200" spans="2:9" ht="15" customHeight="1" x14ac:dyDescent="0.25">
      <c r="B21200" s="55" t="s">
        <v>283</v>
      </c>
      <c r="C21200" s="46">
        <v>1188</v>
      </c>
      <c r="D21200" s="69" t="s">
        <v>29420</v>
      </c>
      <c r="E21200" s="51"/>
      <c r="F21200" s="114" t="str">
        <f>IF(INDEX(I.Facility.P4IDNumber,1188)="","",INDEX(I.Facility.P4IDNumber,1188))</f>
        <v/>
      </c>
      <c r="G21200" s="51"/>
      <c r="H21200" s="46" t="str">
        <f>IF(AND(I.Developer.P4=TRUE,I.Facility.P4FacilityCount&gt;=1188,F21200=""),"Incomplete","Complete")</f>
        <v>Complete</v>
      </c>
      <c r="I21200" s="48" t="s">
        <v>25565</v>
      </c>
    </row>
    <row r="21201" spans="2:9" ht="15" customHeight="1" x14ac:dyDescent="0.25">
      <c r="B21201" s="55" t="s">
        <v>283</v>
      </c>
      <c r="C21201" s="46">
        <v>1189</v>
      </c>
      <c r="D21201" s="69" t="s">
        <v>29420</v>
      </c>
      <c r="E21201" s="51"/>
      <c r="F21201" s="114" t="str">
        <f>IF(INDEX(I.Facility.P4IDNumber,1189)="","",INDEX(I.Facility.P4IDNumber,1189))</f>
        <v/>
      </c>
      <c r="G21201" s="51"/>
      <c r="H21201" s="46" t="str">
        <f>IF(AND(I.Developer.P4=TRUE,I.Facility.P4FacilityCount&gt;=1189,F21201=""),"Incomplete","Complete")</f>
        <v>Complete</v>
      </c>
      <c r="I21201" s="48" t="s">
        <v>25566</v>
      </c>
    </row>
    <row r="21202" spans="2:9" ht="15" customHeight="1" x14ac:dyDescent="0.25">
      <c r="B21202" s="55" t="s">
        <v>283</v>
      </c>
      <c r="C21202" s="46">
        <v>1190</v>
      </c>
      <c r="D21202" s="69" t="s">
        <v>29420</v>
      </c>
      <c r="E21202" s="51"/>
      <c r="F21202" s="114" t="str">
        <f>IF(INDEX(I.Facility.P4IDNumber,1190)="","",INDEX(I.Facility.P4IDNumber,1190))</f>
        <v/>
      </c>
      <c r="G21202" s="51"/>
      <c r="H21202" s="46" t="str">
        <f>IF(AND(I.Developer.P4=TRUE,I.Facility.P4FacilityCount&gt;=1190,F21202=""),"Incomplete","Complete")</f>
        <v>Complete</v>
      </c>
      <c r="I21202" s="48" t="s">
        <v>25567</v>
      </c>
    </row>
    <row r="21203" spans="2:9" ht="15" customHeight="1" x14ac:dyDescent="0.25">
      <c r="B21203" s="55" t="s">
        <v>283</v>
      </c>
      <c r="C21203" s="46">
        <v>1191</v>
      </c>
      <c r="D21203" s="69" t="s">
        <v>29420</v>
      </c>
      <c r="E21203" s="51"/>
      <c r="F21203" s="114" t="str">
        <f>IF(INDEX(I.Facility.P4IDNumber,1191)="","",INDEX(I.Facility.P4IDNumber,1191))</f>
        <v/>
      </c>
      <c r="G21203" s="51"/>
      <c r="H21203" s="46" t="str">
        <f>IF(AND(I.Developer.P4=TRUE,I.Facility.P4FacilityCount&gt;=1191,F21203=""),"Incomplete","Complete")</f>
        <v>Complete</v>
      </c>
      <c r="I21203" s="48" t="s">
        <v>25568</v>
      </c>
    </row>
    <row r="21204" spans="2:9" ht="15" customHeight="1" x14ac:dyDescent="0.25">
      <c r="B21204" s="55" t="s">
        <v>283</v>
      </c>
      <c r="C21204" s="46">
        <v>1192</v>
      </c>
      <c r="D21204" s="69" t="s">
        <v>29420</v>
      </c>
      <c r="E21204" s="51"/>
      <c r="F21204" s="114" t="str">
        <f>IF(INDEX(I.Facility.P4IDNumber,1192)="","",INDEX(I.Facility.P4IDNumber,1192))</f>
        <v/>
      </c>
      <c r="G21204" s="51"/>
      <c r="H21204" s="46" t="str">
        <f>IF(AND(I.Developer.P4=TRUE,I.Facility.P4FacilityCount&gt;=1192,F21204=""),"Incomplete","Complete")</f>
        <v>Complete</v>
      </c>
      <c r="I21204" s="48" t="s">
        <v>25569</v>
      </c>
    </row>
    <row r="21205" spans="2:9" ht="15" customHeight="1" x14ac:dyDescent="0.25">
      <c r="B21205" s="55" t="s">
        <v>283</v>
      </c>
      <c r="C21205" s="46">
        <v>1193</v>
      </c>
      <c r="D21205" s="69" t="s">
        <v>29420</v>
      </c>
      <c r="E21205" s="51"/>
      <c r="F21205" s="114" t="str">
        <f>IF(INDEX(I.Facility.P4IDNumber,1193)="","",INDEX(I.Facility.P4IDNumber,1193))</f>
        <v/>
      </c>
      <c r="G21205" s="51"/>
      <c r="H21205" s="46" t="str">
        <f>IF(AND(I.Developer.P4=TRUE,I.Facility.P4FacilityCount&gt;=1193,F21205=""),"Incomplete","Complete")</f>
        <v>Complete</v>
      </c>
      <c r="I21205" s="48" t="s">
        <v>25570</v>
      </c>
    </row>
    <row r="21206" spans="2:9" ht="15" customHeight="1" x14ac:dyDescent="0.25">
      <c r="B21206" s="55" t="s">
        <v>283</v>
      </c>
      <c r="C21206" s="46">
        <v>1194</v>
      </c>
      <c r="D21206" s="69" t="s">
        <v>29420</v>
      </c>
      <c r="E21206" s="51"/>
      <c r="F21206" s="114" t="str">
        <f>IF(INDEX(I.Facility.P4IDNumber,1194)="","",INDEX(I.Facility.P4IDNumber,1194))</f>
        <v/>
      </c>
      <c r="G21206" s="51"/>
      <c r="H21206" s="46" t="str">
        <f>IF(AND(I.Developer.P4=TRUE,I.Facility.P4FacilityCount&gt;=1194,F21206=""),"Incomplete","Complete")</f>
        <v>Complete</v>
      </c>
      <c r="I21206" s="48" t="s">
        <v>25571</v>
      </c>
    </row>
    <row r="21207" spans="2:9" ht="15" customHeight="1" x14ac:dyDescent="0.25">
      <c r="B21207" s="55" t="s">
        <v>283</v>
      </c>
      <c r="C21207" s="46">
        <v>1195</v>
      </c>
      <c r="D21207" s="69" t="s">
        <v>29420</v>
      </c>
      <c r="E21207" s="51"/>
      <c r="F21207" s="114" t="str">
        <f>IF(INDEX(I.Facility.P4IDNumber,1195)="","",INDEX(I.Facility.P4IDNumber,1195))</f>
        <v/>
      </c>
      <c r="G21207" s="51"/>
      <c r="H21207" s="46" t="str">
        <f>IF(AND(I.Developer.P4=TRUE,I.Facility.P4FacilityCount&gt;=1195,F21207=""),"Incomplete","Complete")</f>
        <v>Complete</v>
      </c>
      <c r="I21207" s="48" t="s">
        <v>25572</v>
      </c>
    </row>
    <row r="21208" spans="2:9" ht="15" customHeight="1" x14ac:dyDescent="0.25">
      <c r="B21208" s="55" t="s">
        <v>283</v>
      </c>
      <c r="C21208" s="46">
        <v>1196</v>
      </c>
      <c r="D21208" s="69" t="s">
        <v>29420</v>
      </c>
      <c r="E21208" s="51"/>
      <c r="F21208" s="114" t="str">
        <f>IF(INDEX(I.Facility.P4IDNumber,1196)="","",INDEX(I.Facility.P4IDNumber,1196))</f>
        <v/>
      </c>
      <c r="G21208" s="51"/>
      <c r="H21208" s="46" t="str">
        <f>IF(AND(I.Developer.P4=TRUE,I.Facility.P4FacilityCount&gt;=1196,F21208=""),"Incomplete","Complete")</f>
        <v>Complete</v>
      </c>
      <c r="I21208" s="48" t="s">
        <v>25573</v>
      </c>
    </row>
    <row r="21209" spans="2:9" ht="15" customHeight="1" x14ac:dyDescent="0.25">
      <c r="B21209" s="55" t="s">
        <v>283</v>
      </c>
      <c r="C21209" s="46">
        <v>1197</v>
      </c>
      <c r="D21209" s="69" t="s">
        <v>29420</v>
      </c>
      <c r="E21209" s="51"/>
      <c r="F21209" s="114" t="str">
        <f>IF(INDEX(I.Facility.P4IDNumber,1197)="","",INDEX(I.Facility.P4IDNumber,1197))</f>
        <v/>
      </c>
      <c r="G21209" s="51"/>
      <c r="H21209" s="46" t="str">
        <f>IF(AND(I.Developer.P4=TRUE,I.Facility.P4FacilityCount&gt;=1197,F21209=""),"Incomplete","Complete")</f>
        <v>Complete</v>
      </c>
      <c r="I21209" s="48" t="s">
        <v>25574</v>
      </c>
    </row>
    <row r="21210" spans="2:9" ht="15" customHeight="1" x14ac:dyDescent="0.25">
      <c r="B21210" s="55" t="s">
        <v>283</v>
      </c>
      <c r="C21210" s="46">
        <v>1198</v>
      </c>
      <c r="D21210" s="69" t="s">
        <v>29420</v>
      </c>
      <c r="E21210" s="51"/>
      <c r="F21210" s="114" t="str">
        <f>IF(INDEX(I.Facility.P4IDNumber,1198)="","",INDEX(I.Facility.P4IDNumber,1198))</f>
        <v/>
      </c>
      <c r="G21210" s="51"/>
      <c r="H21210" s="46" t="str">
        <f>IF(AND(I.Developer.P4=TRUE,I.Facility.P4FacilityCount&gt;=1198,F21210=""),"Incomplete","Complete")</f>
        <v>Complete</v>
      </c>
      <c r="I21210" s="48" t="s">
        <v>25575</v>
      </c>
    </row>
    <row r="21211" spans="2:9" ht="15" customHeight="1" x14ac:dyDescent="0.25">
      <c r="B21211" s="55" t="s">
        <v>283</v>
      </c>
      <c r="C21211" s="46">
        <v>1199</v>
      </c>
      <c r="D21211" s="69" t="s">
        <v>29420</v>
      </c>
      <c r="E21211" s="51"/>
      <c r="F21211" s="114" t="str">
        <f>IF(INDEX(I.Facility.P4IDNumber,1199)="","",INDEX(I.Facility.P4IDNumber,1199))</f>
        <v/>
      </c>
      <c r="G21211" s="51"/>
      <c r="H21211" s="46" t="str">
        <f>IF(AND(I.Developer.P4=TRUE,I.Facility.P4FacilityCount&gt;=1199,F21211=""),"Incomplete","Complete")</f>
        <v>Complete</v>
      </c>
      <c r="I21211" s="48" t="s">
        <v>25576</v>
      </c>
    </row>
    <row r="21212" spans="2:9" ht="15" customHeight="1" x14ac:dyDescent="0.25">
      <c r="B21212" s="55" t="s">
        <v>283</v>
      </c>
      <c r="C21212" s="46">
        <v>1200</v>
      </c>
      <c r="D21212" s="69" t="s">
        <v>29420</v>
      </c>
      <c r="E21212" s="51"/>
      <c r="F21212" s="114" t="str">
        <f>IF(INDEX(I.Facility.P4IDNumber,1200)="","",INDEX(I.Facility.P4IDNumber,1200))</f>
        <v/>
      </c>
      <c r="G21212" s="51"/>
      <c r="H21212" s="46" t="str">
        <f>IF(AND(I.Developer.P4=TRUE,I.Facility.P4FacilityCount&gt;=1200,F21212=""),"Incomplete","Complete")</f>
        <v>Complete</v>
      </c>
      <c r="I21212" s="48" t="s">
        <v>25577</v>
      </c>
    </row>
    <row r="21213" spans="2:9" ht="15" customHeight="1" x14ac:dyDescent="0.25">
      <c r="B21213" s="55" t="s">
        <v>283</v>
      </c>
      <c r="C21213" s="46">
        <v>1201</v>
      </c>
      <c r="D21213" s="69" t="s">
        <v>29420</v>
      </c>
      <c r="E21213" s="51"/>
      <c r="F21213" s="114" t="str">
        <f>IF(INDEX(I.Facility.P4IDNumber,1201)="","",INDEX(I.Facility.P4IDNumber,1201))</f>
        <v/>
      </c>
      <c r="G21213" s="51"/>
      <c r="H21213" s="46" t="str">
        <f>IF(AND(I.Developer.P4=TRUE,I.Facility.P4FacilityCount&gt;=1201,F21213=""),"Incomplete","Complete")</f>
        <v>Complete</v>
      </c>
      <c r="I21213" s="48" t="s">
        <v>25578</v>
      </c>
    </row>
    <row r="21214" spans="2:9" ht="15" customHeight="1" x14ac:dyDescent="0.25">
      <c r="B21214" s="55" t="s">
        <v>283</v>
      </c>
      <c r="C21214" s="46">
        <v>1202</v>
      </c>
      <c r="D21214" s="69" t="s">
        <v>29420</v>
      </c>
      <c r="E21214" s="51"/>
      <c r="F21214" s="114" t="str">
        <f>IF(INDEX(I.Facility.P4IDNumber,1202)="","",INDEX(I.Facility.P4IDNumber,1202))</f>
        <v/>
      </c>
      <c r="G21214" s="51"/>
      <c r="H21214" s="46" t="str">
        <f>IF(AND(I.Developer.P4=TRUE,I.Facility.P4FacilityCount&gt;=1202,F21214=""),"Incomplete","Complete")</f>
        <v>Complete</v>
      </c>
      <c r="I21214" s="48" t="s">
        <v>25579</v>
      </c>
    </row>
    <row r="21215" spans="2:9" ht="15" customHeight="1" x14ac:dyDescent="0.25">
      <c r="B21215" s="55" t="s">
        <v>283</v>
      </c>
      <c r="C21215" s="46">
        <v>1203</v>
      </c>
      <c r="D21215" s="69" t="s">
        <v>29420</v>
      </c>
      <c r="E21215" s="51"/>
      <c r="F21215" s="114" t="str">
        <f>IF(INDEX(I.Facility.P4IDNumber,1203)="","",INDEX(I.Facility.P4IDNumber,1203))</f>
        <v/>
      </c>
      <c r="G21215" s="51"/>
      <c r="H21215" s="46" t="str">
        <f>IF(AND(I.Developer.P4=TRUE,I.Facility.P4FacilityCount&gt;=1203,F21215=""),"Incomplete","Complete")</f>
        <v>Complete</v>
      </c>
      <c r="I21215" s="48" t="s">
        <v>25580</v>
      </c>
    </row>
    <row r="21216" spans="2:9" ht="15" customHeight="1" x14ac:dyDescent="0.25">
      <c r="B21216" s="55" t="s">
        <v>283</v>
      </c>
      <c r="C21216" s="46">
        <v>1204</v>
      </c>
      <c r="D21216" s="69" t="s">
        <v>29420</v>
      </c>
      <c r="E21216" s="51"/>
      <c r="F21216" s="114" t="str">
        <f>IF(INDEX(I.Facility.P4IDNumber,1204)="","",INDEX(I.Facility.P4IDNumber,1204))</f>
        <v/>
      </c>
      <c r="G21216" s="51"/>
      <c r="H21216" s="46" t="str">
        <f>IF(AND(I.Developer.P4=TRUE,I.Facility.P4FacilityCount&gt;=1204,F21216=""),"Incomplete","Complete")</f>
        <v>Complete</v>
      </c>
      <c r="I21216" s="48" t="s">
        <v>25581</v>
      </c>
    </row>
    <row r="21217" spans="2:9" ht="15" customHeight="1" x14ac:dyDescent="0.25">
      <c r="B21217" s="55" t="s">
        <v>283</v>
      </c>
      <c r="C21217" s="46">
        <v>1205</v>
      </c>
      <c r="D21217" s="69" t="s">
        <v>29420</v>
      </c>
      <c r="E21217" s="51"/>
      <c r="F21217" s="114" t="str">
        <f>IF(INDEX(I.Facility.P4IDNumber,1205)="","",INDEX(I.Facility.P4IDNumber,1205))</f>
        <v/>
      </c>
      <c r="G21217" s="51"/>
      <c r="H21217" s="46" t="str">
        <f>IF(AND(I.Developer.P4=TRUE,I.Facility.P4FacilityCount&gt;=1205,F21217=""),"Incomplete","Complete")</f>
        <v>Complete</v>
      </c>
      <c r="I21217" s="48" t="s">
        <v>25582</v>
      </c>
    </row>
    <row r="21218" spans="2:9" ht="15" customHeight="1" x14ac:dyDescent="0.25">
      <c r="B21218" s="55" t="s">
        <v>283</v>
      </c>
      <c r="C21218" s="46">
        <v>1206</v>
      </c>
      <c r="D21218" s="69" t="s">
        <v>29420</v>
      </c>
      <c r="E21218" s="51"/>
      <c r="F21218" s="114" t="str">
        <f>IF(INDEX(I.Facility.P4IDNumber,1206)="","",INDEX(I.Facility.P4IDNumber,1206))</f>
        <v/>
      </c>
      <c r="G21218" s="51"/>
      <c r="H21218" s="46" t="str">
        <f>IF(AND(I.Developer.P4=TRUE,I.Facility.P4FacilityCount&gt;=1206,F21218=""),"Incomplete","Complete")</f>
        <v>Complete</v>
      </c>
      <c r="I21218" s="48" t="s">
        <v>25583</v>
      </c>
    </row>
    <row r="21219" spans="2:9" ht="15" customHeight="1" x14ac:dyDescent="0.25">
      <c r="B21219" s="55" t="s">
        <v>283</v>
      </c>
      <c r="C21219" s="46">
        <v>1207</v>
      </c>
      <c r="D21219" s="69" t="s">
        <v>29420</v>
      </c>
      <c r="E21219" s="51"/>
      <c r="F21219" s="114" t="str">
        <f>IF(INDEX(I.Facility.P4IDNumber,1207)="","",INDEX(I.Facility.P4IDNumber,1207))</f>
        <v/>
      </c>
      <c r="G21219" s="51"/>
      <c r="H21219" s="46" t="str">
        <f>IF(AND(I.Developer.P4=TRUE,I.Facility.P4FacilityCount&gt;=1207,F21219=""),"Incomplete","Complete")</f>
        <v>Complete</v>
      </c>
      <c r="I21219" s="48" t="s">
        <v>25584</v>
      </c>
    </row>
    <row r="21220" spans="2:9" ht="15" customHeight="1" x14ac:dyDescent="0.25">
      <c r="B21220" s="55" t="s">
        <v>283</v>
      </c>
      <c r="C21220" s="46">
        <v>1208</v>
      </c>
      <c r="D21220" s="69" t="s">
        <v>29420</v>
      </c>
      <c r="E21220" s="51"/>
      <c r="F21220" s="114" t="str">
        <f>IF(INDEX(I.Facility.P4IDNumber,1208)="","",INDEX(I.Facility.P4IDNumber,1208))</f>
        <v/>
      </c>
      <c r="G21220" s="51"/>
      <c r="H21220" s="46" t="str">
        <f>IF(AND(I.Developer.P4=TRUE,I.Facility.P4FacilityCount&gt;=1208,F21220=""),"Incomplete","Complete")</f>
        <v>Complete</v>
      </c>
      <c r="I21220" s="48" t="s">
        <v>25585</v>
      </c>
    </row>
    <row r="21221" spans="2:9" ht="15" customHeight="1" x14ac:dyDescent="0.25">
      <c r="B21221" s="55" t="s">
        <v>283</v>
      </c>
      <c r="C21221" s="46">
        <v>1209</v>
      </c>
      <c r="D21221" s="69" t="s">
        <v>29420</v>
      </c>
      <c r="E21221" s="51"/>
      <c r="F21221" s="114" t="str">
        <f>IF(INDEX(I.Facility.P4IDNumber,1209)="","",INDEX(I.Facility.P4IDNumber,1209))</f>
        <v/>
      </c>
      <c r="G21221" s="51"/>
      <c r="H21221" s="46" t="str">
        <f>IF(AND(I.Developer.P4=TRUE,I.Facility.P4FacilityCount&gt;=1209,F21221=""),"Incomplete","Complete")</f>
        <v>Complete</v>
      </c>
      <c r="I21221" s="48" t="s">
        <v>25586</v>
      </c>
    </row>
    <row r="21222" spans="2:9" ht="15" customHeight="1" x14ac:dyDescent="0.25">
      <c r="B21222" s="55" t="s">
        <v>283</v>
      </c>
      <c r="C21222" s="46">
        <v>1210</v>
      </c>
      <c r="D21222" s="69" t="s">
        <v>29420</v>
      </c>
      <c r="E21222" s="51"/>
      <c r="F21222" s="114" t="str">
        <f>IF(INDEX(I.Facility.P4IDNumber,1210)="","",INDEX(I.Facility.P4IDNumber,1210))</f>
        <v/>
      </c>
      <c r="G21222" s="51"/>
      <c r="H21222" s="46" t="str">
        <f>IF(AND(I.Developer.P4=TRUE,I.Facility.P4FacilityCount&gt;=1210,F21222=""),"Incomplete","Complete")</f>
        <v>Complete</v>
      </c>
      <c r="I21222" s="48" t="s">
        <v>25587</v>
      </c>
    </row>
    <row r="21223" spans="2:9" ht="15" customHeight="1" x14ac:dyDescent="0.25">
      <c r="B21223" s="55" t="s">
        <v>283</v>
      </c>
      <c r="C21223" s="46">
        <v>1211</v>
      </c>
      <c r="D21223" s="69" t="s">
        <v>29420</v>
      </c>
      <c r="E21223" s="51"/>
      <c r="F21223" s="114" t="str">
        <f>IF(INDEX(I.Facility.P4IDNumber,1211)="","",INDEX(I.Facility.P4IDNumber,1211))</f>
        <v/>
      </c>
      <c r="G21223" s="51"/>
      <c r="H21223" s="46" t="str">
        <f>IF(AND(I.Developer.P4=TRUE,I.Facility.P4FacilityCount&gt;=1211,F21223=""),"Incomplete","Complete")</f>
        <v>Complete</v>
      </c>
      <c r="I21223" s="48" t="s">
        <v>25588</v>
      </c>
    </row>
    <row r="21224" spans="2:9" ht="15" customHeight="1" x14ac:dyDescent="0.25">
      <c r="B21224" s="55" t="s">
        <v>283</v>
      </c>
      <c r="C21224" s="46">
        <v>1212</v>
      </c>
      <c r="D21224" s="69" t="s">
        <v>29420</v>
      </c>
      <c r="E21224" s="51"/>
      <c r="F21224" s="114" t="str">
        <f>IF(INDEX(I.Facility.P4IDNumber,1212)="","",INDEX(I.Facility.P4IDNumber,1212))</f>
        <v/>
      </c>
      <c r="G21224" s="51"/>
      <c r="H21224" s="46" t="str">
        <f>IF(AND(I.Developer.P4=TRUE,I.Facility.P4FacilityCount&gt;=1212,F21224=""),"Incomplete","Complete")</f>
        <v>Complete</v>
      </c>
      <c r="I21224" s="48" t="s">
        <v>25589</v>
      </c>
    </row>
    <row r="21225" spans="2:9" ht="15" customHeight="1" x14ac:dyDescent="0.25">
      <c r="B21225" s="55" t="s">
        <v>283</v>
      </c>
      <c r="C21225" s="46">
        <v>1213</v>
      </c>
      <c r="D21225" s="69" t="s">
        <v>29420</v>
      </c>
      <c r="E21225" s="51"/>
      <c r="F21225" s="114" t="str">
        <f>IF(INDEX(I.Facility.P4IDNumber,1213)="","",INDEX(I.Facility.P4IDNumber,1213))</f>
        <v/>
      </c>
      <c r="G21225" s="51"/>
      <c r="H21225" s="46" t="str">
        <f>IF(AND(I.Developer.P4=TRUE,I.Facility.P4FacilityCount&gt;=1213,F21225=""),"Incomplete","Complete")</f>
        <v>Complete</v>
      </c>
      <c r="I21225" s="48" t="s">
        <v>25590</v>
      </c>
    </row>
    <row r="21226" spans="2:9" ht="15" customHeight="1" x14ac:dyDescent="0.25">
      <c r="B21226" s="55" t="s">
        <v>283</v>
      </c>
      <c r="C21226" s="46">
        <v>1214</v>
      </c>
      <c r="D21226" s="69" t="s">
        <v>29420</v>
      </c>
      <c r="E21226" s="51"/>
      <c r="F21226" s="114" t="str">
        <f>IF(INDEX(I.Facility.P4IDNumber,1214)="","",INDEX(I.Facility.P4IDNumber,1214))</f>
        <v/>
      </c>
      <c r="G21226" s="51"/>
      <c r="H21226" s="46" t="str">
        <f>IF(AND(I.Developer.P4=TRUE,I.Facility.P4FacilityCount&gt;=1214,F21226=""),"Incomplete","Complete")</f>
        <v>Complete</v>
      </c>
      <c r="I21226" s="48" t="s">
        <v>25591</v>
      </c>
    </row>
    <row r="21227" spans="2:9" ht="15" customHeight="1" x14ac:dyDescent="0.25">
      <c r="B21227" s="55" t="s">
        <v>283</v>
      </c>
      <c r="C21227" s="46">
        <v>1215</v>
      </c>
      <c r="D21227" s="69" t="s">
        <v>29420</v>
      </c>
      <c r="E21227" s="51"/>
      <c r="F21227" s="114" t="str">
        <f>IF(INDEX(I.Facility.P4IDNumber,1215)="","",INDEX(I.Facility.P4IDNumber,1215))</f>
        <v/>
      </c>
      <c r="G21227" s="51"/>
      <c r="H21227" s="46" t="str">
        <f>IF(AND(I.Developer.P4=TRUE,I.Facility.P4FacilityCount&gt;=1215,F21227=""),"Incomplete","Complete")</f>
        <v>Complete</v>
      </c>
      <c r="I21227" s="48" t="s">
        <v>25592</v>
      </c>
    </row>
    <row r="21228" spans="2:9" ht="15" customHeight="1" x14ac:dyDescent="0.25">
      <c r="B21228" s="55" t="s">
        <v>283</v>
      </c>
      <c r="C21228" s="46">
        <v>1216</v>
      </c>
      <c r="D21228" s="69" t="s">
        <v>29420</v>
      </c>
      <c r="E21228" s="51"/>
      <c r="F21228" s="114" t="str">
        <f>IF(INDEX(I.Facility.P4IDNumber,1216)="","",INDEX(I.Facility.P4IDNumber,1216))</f>
        <v/>
      </c>
      <c r="G21228" s="51"/>
      <c r="H21228" s="46" t="str">
        <f>IF(AND(I.Developer.P4=TRUE,I.Facility.P4FacilityCount&gt;=1216,F21228=""),"Incomplete","Complete")</f>
        <v>Complete</v>
      </c>
      <c r="I21228" s="48" t="s">
        <v>25593</v>
      </c>
    </row>
    <row r="21229" spans="2:9" ht="15" customHeight="1" x14ac:dyDescent="0.25">
      <c r="B21229" s="55" t="s">
        <v>283</v>
      </c>
      <c r="C21229" s="46">
        <v>1217</v>
      </c>
      <c r="D21229" s="69" t="s">
        <v>29420</v>
      </c>
      <c r="E21229" s="51"/>
      <c r="F21229" s="114" t="str">
        <f>IF(INDEX(I.Facility.P4IDNumber,1217)="","",INDEX(I.Facility.P4IDNumber,1217))</f>
        <v/>
      </c>
      <c r="G21229" s="51"/>
      <c r="H21229" s="46" t="str">
        <f>IF(AND(I.Developer.P4=TRUE,I.Facility.P4FacilityCount&gt;=1217,F21229=""),"Incomplete","Complete")</f>
        <v>Complete</v>
      </c>
      <c r="I21229" s="48" t="s">
        <v>25594</v>
      </c>
    </row>
    <row r="21230" spans="2:9" ht="15" customHeight="1" x14ac:dyDescent="0.25">
      <c r="B21230" s="55" t="s">
        <v>283</v>
      </c>
      <c r="C21230" s="46">
        <v>1218</v>
      </c>
      <c r="D21230" s="69" t="s">
        <v>29420</v>
      </c>
      <c r="E21230" s="51"/>
      <c r="F21230" s="114" t="str">
        <f>IF(INDEX(I.Facility.P4IDNumber,1218)="","",INDEX(I.Facility.P4IDNumber,1218))</f>
        <v/>
      </c>
      <c r="G21230" s="51"/>
      <c r="H21230" s="46" t="str">
        <f>IF(AND(I.Developer.P4=TRUE,I.Facility.P4FacilityCount&gt;=1218,F21230=""),"Incomplete","Complete")</f>
        <v>Complete</v>
      </c>
      <c r="I21230" s="48" t="s">
        <v>25595</v>
      </c>
    </row>
    <row r="21231" spans="2:9" ht="15" customHeight="1" x14ac:dyDescent="0.25">
      <c r="B21231" s="55" t="s">
        <v>283</v>
      </c>
      <c r="C21231" s="46">
        <v>1219</v>
      </c>
      <c r="D21231" s="69" t="s">
        <v>29420</v>
      </c>
      <c r="E21231" s="51"/>
      <c r="F21231" s="114" t="str">
        <f>IF(INDEX(I.Facility.P4IDNumber,1219)="","",INDEX(I.Facility.P4IDNumber,1219))</f>
        <v/>
      </c>
      <c r="G21231" s="51"/>
      <c r="H21231" s="46" t="str">
        <f>IF(AND(I.Developer.P4=TRUE,I.Facility.P4FacilityCount&gt;=1219,F21231=""),"Incomplete","Complete")</f>
        <v>Complete</v>
      </c>
      <c r="I21231" s="48" t="s">
        <v>25596</v>
      </c>
    </row>
    <row r="21232" spans="2:9" ht="15" customHeight="1" x14ac:dyDescent="0.25">
      <c r="B21232" s="55" t="s">
        <v>283</v>
      </c>
      <c r="C21232" s="46">
        <v>1220</v>
      </c>
      <c r="D21232" s="69" t="s">
        <v>29420</v>
      </c>
      <c r="E21232" s="51"/>
      <c r="F21232" s="114" t="str">
        <f>IF(INDEX(I.Facility.P4IDNumber,1220)="","",INDEX(I.Facility.P4IDNumber,1220))</f>
        <v/>
      </c>
      <c r="G21232" s="51"/>
      <c r="H21232" s="46" t="str">
        <f>IF(AND(I.Developer.P4=TRUE,I.Facility.P4FacilityCount&gt;=1220,F21232=""),"Incomplete","Complete")</f>
        <v>Complete</v>
      </c>
      <c r="I21232" s="48" t="s">
        <v>25597</v>
      </c>
    </row>
    <row r="21233" spans="2:9" ht="15" customHeight="1" x14ac:dyDescent="0.25">
      <c r="B21233" s="55" t="s">
        <v>283</v>
      </c>
      <c r="C21233" s="46">
        <v>1221</v>
      </c>
      <c r="D21233" s="69" t="s">
        <v>29420</v>
      </c>
      <c r="E21233" s="51"/>
      <c r="F21233" s="114" t="str">
        <f>IF(INDEX(I.Facility.P4IDNumber,1221)="","",INDEX(I.Facility.P4IDNumber,1221))</f>
        <v/>
      </c>
      <c r="G21233" s="51"/>
      <c r="H21233" s="46" t="str">
        <f>IF(AND(I.Developer.P4=TRUE,I.Facility.P4FacilityCount&gt;=1221,F21233=""),"Incomplete","Complete")</f>
        <v>Complete</v>
      </c>
      <c r="I21233" s="48" t="s">
        <v>25598</v>
      </c>
    </row>
    <row r="21234" spans="2:9" ht="15" customHeight="1" x14ac:dyDescent="0.25">
      <c r="B21234" s="55" t="s">
        <v>283</v>
      </c>
      <c r="C21234" s="46">
        <v>1222</v>
      </c>
      <c r="D21234" s="69" t="s">
        <v>29420</v>
      </c>
      <c r="E21234" s="51"/>
      <c r="F21234" s="114" t="str">
        <f>IF(INDEX(I.Facility.P4IDNumber,1222)="","",INDEX(I.Facility.P4IDNumber,1222))</f>
        <v/>
      </c>
      <c r="G21234" s="51"/>
      <c r="H21234" s="46" t="str">
        <f>IF(AND(I.Developer.P4=TRUE,I.Facility.P4FacilityCount&gt;=1222,F21234=""),"Incomplete","Complete")</f>
        <v>Complete</v>
      </c>
      <c r="I21234" s="48" t="s">
        <v>25599</v>
      </c>
    </row>
    <row r="21235" spans="2:9" ht="15" customHeight="1" x14ac:dyDescent="0.25">
      <c r="B21235" s="55" t="s">
        <v>283</v>
      </c>
      <c r="C21235" s="46">
        <v>1223</v>
      </c>
      <c r="D21235" s="69" t="s">
        <v>29420</v>
      </c>
      <c r="E21235" s="51"/>
      <c r="F21235" s="114" t="str">
        <f>IF(INDEX(I.Facility.P4IDNumber,1223)="","",INDEX(I.Facility.P4IDNumber,1223))</f>
        <v/>
      </c>
      <c r="G21235" s="51"/>
      <c r="H21235" s="46" t="str">
        <f>IF(AND(I.Developer.P4=TRUE,I.Facility.P4FacilityCount&gt;=1223,F21235=""),"Incomplete","Complete")</f>
        <v>Complete</v>
      </c>
      <c r="I21235" s="48" t="s">
        <v>25600</v>
      </c>
    </row>
    <row r="21236" spans="2:9" ht="15" customHeight="1" x14ac:dyDescent="0.25">
      <c r="B21236" s="55" t="s">
        <v>283</v>
      </c>
      <c r="C21236" s="46">
        <v>1224</v>
      </c>
      <c r="D21236" s="69" t="s">
        <v>29420</v>
      </c>
      <c r="E21236" s="51"/>
      <c r="F21236" s="114" t="str">
        <f>IF(INDEX(I.Facility.P4IDNumber,1224)="","",INDEX(I.Facility.P4IDNumber,1224))</f>
        <v/>
      </c>
      <c r="G21236" s="51"/>
      <c r="H21236" s="46" t="str">
        <f>IF(AND(I.Developer.P4=TRUE,I.Facility.P4FacilityCount&gt;=1224,F21236=""),"Incomplete","Complete")</f>
        <v>Complete</v>
      </c>
      <c r="I21236" s="48" t="s">
        <v>25601</v>
      </c>
    </row>
    <row r="21237" spans="2:9" ht="15" customHeight="1" x14ac:dyDescent="0.25">
      <c r="B21237" s="55" t="s">
        <v>283</v>
      </c>
      <c r="C21237" s="46">
        <v>1225</v>
      </c>
      <c r="D21237" s="69" t="s">
        <v>29420</v>
      </c>
      <c r="E21237" s="51"/>
      <c r="F21237" s="114" t="str">
        <f>IF(INDEX(I.Facility.P4IDNumber,1225)="","",INDEX(I.Facility.P4IDNumber,1225))</f>
        <v/>
      </c>
      <c r="G21237" s="51"/>
      <c r="H21237" s="46" t="str">
        <f>IF(AND(I.Developer.P4=TRUE,I.Facility.P4FacilityCount&gt;=1225,F21237=""),"Incomplete","Complete")</f>
        <v>Complete</v>
      </c>
      <c r="I21237" s="48" t="s">
        <v>25602</v>
      </c>
    </row>
    <row r="21238" spans="2:9" ht="15" customHeight="1" x14ac:dyDescent="0.25">
      <c r="B21238" s="55" t="s">
        <v>283</v>
      </c>
      <c r="C21238" s="46">
        <v>1226</v>
      </c>
      <c r="D21238" s="69" t="s">
        <v>29420</v>
      </c>
      <c r="E21238" s="51"/>
      <c r="F21238" s="114" t="str">
        <f>IF(INDEX(I.Facility.P4IDNumber,1226)="","",INDEX(I.Facility.P4IDNumber,1226))</f>
        <v/>
      </c>
      <c r="G21238" s="51"/>
      <c r="H21238" s="46" t="str">
        <f>IF(AND(I.Developer.P4=TRUE,I.Facility.P4FacilityCount&gt;=1226,F21238=""),"Incomplete","Complete")</f>
        <v>Complete</v>
      </c>
      <c r="I21238" s="48" t="s">
        <v>25603</v>
      </c>
    </row>
    <row r="21239" spans="2:9" ht="15" customHeight="1" x14ac:dyDescent="0.25">
      <c r="B21239" s="55" t="s">
        <v>283</v>
      </c>
      <c r="C21239" s="46">
        <v>1227</v>
      </c>
      <c r="D21239" s="69" t="s">
        <v>29420</v>
      </c>
      <c r="E21239" s="51"/>
      <c r="F21239" s="114" t="str">
        <f>IF(INDEX(I.Facility.P4IDNumber,1227)="","",INDEX(I.Facility.P4IDNumber,1227))</f>
        <v/>
      </c>
      <c r="G21239" s="51"/>
      <c r="H21239" s="46" t="str">
        <f>IF(AND(I.Developer.P4=TRUE,I.Facility.P4FacilityCount&gt;=1227,F21239=""),"Incomplete","Complete")</f>
        <v>Complete</v>
      </c>
      <c r="I21239" s="48" t="s">
        <v>25604</v>
      </c>
    </row>
    <row r="21240" spans="2:9" ht="15" customHeight="1" x14ac:dyDescent="0.25">
      <c r="B21240" s="55" t="s">
        <v>283</v>
      </c>
      <c r="C21240" s="46">
        <v>1228</v>
      </c>
      <c r="D21240" s="69" t="s">
        <v>29420</v>
      </c>
      <c r="E21240" s="51"/>
      <c r="F21240" s="114" t="str">
        <f>IF(INDEX(I.Facility.P4IDNumber,1228)="","",INDEX(I.Facility.P4IDNumber,1228))</f>
        <v/>
      </c>
      <c r="G21240" s="51"/>
      <c r="H21240" s="46" t="str">
        <f>IF(AND(I.Developer.P4=TRUE,I.Facility.P4FacilityCount&gt;=1228,F21240=""),"Incomplete","Complete")</f>
        <v>Complete</v>
      </c>
      <c r="I21240" s="48" t="s">
        <v>25605</v>
      </c>
    </row>
    <row r="21241" spans="2:9" ht="15" customHeight="1" x14ac:dyDescent="0.25">
      <c r="B21241" s="55" t="s">
        <v>283</v>
      </c>
      <c r="C21241" s="46">
        <v>1229</v>
      </c>
      <c r="D21241" s="69" t="s">
        <v>29420</v>
      </c>
      <c r="E21241" s="51"/>
      <c r="F21241" s="114" t="str">
        <f>IF(INDEX(I.Facility.P4IDNumber,1229)="","",INDEX(I.Facility.P4IDNumber,1229))</f>
        <v/>
      </c>
      <c r="G21241" s="51"/>
      <c r="H21241" s="46" t="str">
        <f>IF(AND(I.Developer.P4=TRUE,I.Facility.P4FacilityCount&gt;=1229,F21241=""),"Incomplete","Complete")</f>
        <v>Complete</v>
      </c>
      <c r="I21241" s="48" t="s">
        <v>25606</v>
      </c>
    </row>
    <row r="21242" spans="2:9" ht="15" customHeight="1" x14ac:dyDescent="0.25">
      <c r="B21242" s="55" t="s">
        <v>283</v>
      </c>
      <c r="C21242" s="46">
        <v>1230</v>
      </c>
      <c r="D21242" s="69" t="s">
        <v>29420</v>
      </c>
      <c r="E21242" s="51"/>
      <c r="F21242" s="114" t="str">
        <f>IF(INDEX(I.Facility.P4IDNumber,1230)="","",INDEX(I.Facility.P4IDNumber,1230))</f>
        <v/>
      </c>
      <c r="G21242" s="51"/>
      <c r="H21242" s="46" t="str">
        <f>IF(AND(I.Developer.P4=TRUE,I.Facility.P4FacilityCount&gt;=1230,F21242=""),"Incomplete","Complete")</f>
        <v>Complete</v>
      </c>
      <c r="I21242" s="48" t="s">
        <v>25607</v>
      </c>
    </row>
    <row r="21243" spans="2:9" ht="15" customHeight="1" x14ac:dyDescent="0.25">
      <c r="B21243" s="55" t="s">
        <v>283</v>
      </c>
      <c r="C21243" s="46">
        <v>1231</v>
      </c>
      <c r="D21243" s="69" t="s">
        <v>29420</v>
      </c>
      <c r="E21243" s="51"/>
      <c r="F21243" s="114" t="str">
        <f>IF(INDEX(I.Facility.P4IDNumber,1231)="","",INDEX(I.Facility.P4IDNumber,1231))</f>
        <v/>
      </c>
      <c r="G21243" s="51"/>
      <c r="H21243" s="46" t="str">
        <f>IF(AND(I.Developer.P4=TRUE,I.Facility.P4FacilityCount&gt;=1231,F21243=""),"Incomplete","Complete")</f>
        <v>Complete</v>
      </c>
      <c r="I21243" s="48" t="s">
        <v>25608</v>
      </c>
    </row>
    <row r="21244" spans="2:9" ht="15" customHeight="1" x14ac:dyDescent="0.25">
      <c r="B21244" s="55" t="s">
        <v>283</v>
      </c>
      <c r="C21244" s="46">
        <v>1232</v>
      </c>
      <c r="D21244" s="69" t="s">
        <v>29420</v>
      </c>
      <c r="E21244" s="51"/>
      <c r="F21244" s="114" t="str">
        <f>IF(INDEX(I.Facility.P4IDNumber,1232)="","",INDEX(I.Facility.P4IDNumber,1232))</f>
        <v/>
      </c>
      <c r="G21244" s="51"/>
      <c r="H21244" s="46" t="str">
        <f>IF(AND(I.Developer.P4=TRUE,I.Facility.P4FacilityCount&gt;=1232,F21244=""),"Incomplete","Complete")</f>
        <v>Complete</v>
      </c>
      <c r="I21244" s="48" t="s">
        <v>25609</v>
      </c>
    </row>
    <row r="21245" spans="2:9" ht="15" customHeight="1" x14ac:dyDescent="0.25">
      <c r="B21245" s="55" t="s">
        <v>283</v>
      </c>
      <c r="C21245" s="46">
        <v>1233</v>
      </c>
      <c r="D21245" s="69" t="s">
        <v>29420</v>
      </c>
      <c r="E21245" s="51"/>
      <c r="F21245" s="114" t="str">
        <f>IF(INDEX(I.Facility.P4IDNumber,1233)="","",INDEX(I.Facility.P4IDNumber,1233))</f>
        <v/>
      </c>
      <c r="G21245" s="51"/>
      <c r="H21245" s="46" t="str">
        <f>IF(AND(I.Developer.P4=TRUE,I.Facility.P4FacilityCount&gt;=1233,F21245=""),"Incomplete","Complete")</f>
        <v>Complete</v>
      </c>
      <c r="I21245" s="48" t="s">
        <v>25610</v>
      </c>
    </row>
    <row r="21246" spans="2:9" ht="15" customHeight="1" x14ac:dyDescent="0.25">
      <c r="B21246" s="55" t="s">
        <v>283</v>
      </c>
      <c r="C21246" s="46">
        <v>1234</v>
      </c>
      <c r="D21246" s="69" t="s">
        <v>29420</v>
      </c>
      <c r="E21246" s="51"/>
      <c r="F21246" s="114" t="str">
        <f>IF(INDEX(I.Facility.P4IDNumber,1234)="","",INDEX(I.Facility.P4IDNumber,1234))</f>
        <v/>
      </c>
      <c r="G21246" s="51"/>
      <c r="H21246" s="46" t="str">
        <f>IF(AND(I.Developer.P4=TRUE,I.Facility.P4FacilityCount&gt;=1234,F21246=""),"Incomplete","Complete")</f>
        <v>Complete</v>
      </c>
      <c r="I21246" s="48" t="s">
        <v>25611</v>
      </c>
    </row>
    <row r="21247" spans="2:9" ht="15" customHeight="1" x14ac:dyDescent="0.25">
      <c r="B21247" s="55" t="s">
        <v>283</v>
      </c>
      <c r="C21247" s="46">
        <v>1235</v>
      </c>
      <c r="D21247" s="69" t="s">
        <v>29420</v>
      </c>
      <c r="E21247" s="51"/>
      <c r="F21247" s="114" t="str">
        <f>IF(INDEX(I.Facility.P4IDNumber,1235)="","",INDEX(I.Facility.P4IDNumber,1235))</f>
        <v/>
      </c>
      <c r="G21247" s="51"/>
      <c r="H21247" s="46" t="str">
        <f>IF(AND(I.Developer.P4=TRUE,I.Facility.P4FacilityCount&gt;=1235,F21247=""),"Incomplete","Complete")</f>
        <v>Complete</v>
      </c>
      <c r="I21247" s="48" t="s">
        <v>25612</v>
      </c>
    </row>
    <row r="21248" spans="2:9" ht="15" customHeight="1" x14ac:dyDescent="0.25">
      <c r="B21248" s="55" t="s">
        <v>283</v>
      </c>
      <c r="C21248" s="46">
        <v>1236</v>
      </c>
      <c r="D21248" s="69" t="s">
        <v>29420</v>
      </c>
      <c r="E21248" s="51"/>
      <c r="F21248" s="114" t="str">
        <f>IF(INDEX(I.Facility.P4IDNumber,1236)="","",INDEX(I.Facility.P4IDNumber,1236))</f>
        <v/>
      </c>
      <c r="G21248" s="51"/>
      <c r="H21248" s="46" t="str">
        <f>IF(AND(I.Developer.P4=TRUE,I.Facility.P4FacilityCount&gt;=1236,F21248=""),"Incomplete","Complete")</f>
        <v>Complete</v>
      </c>
      <c r="I21248" s="48" t="s">
        <v>25613</v>
      </c>
    </row>
    <row r="21249" spans="2:9" ht="15" customHeight="1" x14ac:dyDescent="0.25">
      <c r="B21249" s="55" t="s">
        <v>283</v>
      </c>
      <c r="C21249" s="46">
        <v>1237</v>
      </c>
      <c r="D21249" s="69" t="s">
        <v>29420</v>
      </c>
      <c r="E21249" s="51"/>
      <c r="F21249" s="114" t="str">
        <f>IF(INDEX(I.Facility.P4IDNumber,1237)="","",INDEX(I.Facility.P4IDNumber,1237))</f>
        <v/>
      </c>
      <c r="G21249" s="51"/>
      <c r="H21249" s="46" t="str">
        <f>IF(AND(I.Developer.P4=TRUE,I.Facility.P4FacilityCount&gt;=1237,F21249=""),"Incomplete","Complete")</f>
        <v>Complete</v>
      </c>
      <c r="I21249" s="48" t="s">
        <v>25614</v>
      </c>
    </row>
    <row r="21250" spans="2:9" ht="15" customHeight="1" x14ac:dyDescent="0.25">
      <c r="B21250" s="55" t="s">
        <v>283</v>
      </c>
      <c r="C21250" s="46">
        <v>1238</v>
      </c>
      <c r="D21250" s="69" t="s">
        <v>29420</v>
      </c>
      <c r="E21250" s="51"/>
      <c r="F21250" s="114" t="str">
        <f>IF(INDEX(I.Facility.P4IDNumber,1238)="","",INDEX(I.Facility.P4IDNumber,1238))</f>
        <v/>
      </c>
      <c r="G21250" s="51"/>
      <c r="H21250" s="46" t="str">
        <f>IF(AND(I.Developer.P4=TRUE,I.Facility.P4FacilityCount&gt;=1238,F21250=""),"Incomplete","Complete")</f>
        <v>Complete</v>
      </c>
      <c r="I21250" s="48" t="s">
        <v>25615</v>
      </c>
    </row>
    <row r="21251" spans="2:9" ht="15" customHeight="1" x14ac:dyDescent="0.25">
      <c r="B21251" s="55" t="s">
        <v>283</v>
      </c>
      <c r="C21251" s="46">
        <v>1239</v>
      </c>
      <c r="D21251" s="69" t="s">
        <v>29420</v>
      </c>
      <c r="E21251" s="51"/>
      <c r="F21251" s="114" t="str">
        <f>IF(INDEX(I.Facility.P4IDNumber,1239)="","",INDEX(I.Facility.P4IDNumber,1239))</f>
        <v/>
      </c>
      <c r="G21251" s="51"/>
      <c r="H21251" s="46" t="str">
        <f>IF(AND(I.Developer.P4=TRUE,I.Facility.P4FacilityCount&gt;=1239,F21251=""),"Incomplete","Complete")</f>
        <v>Complete</v>
      </c>
      <c r="I21251" s="48" t="s">
        <v>25616</v>
      </c>
    </row>
    <row r="21252" spans="2:9" ht="15" customHeight="1" x14ac:dyDescent="0.25">
      <c r="B21252" s="55" t="s">
        <v>283</v>
      </c>
      <c r="C21252" s="46">
        <v>1240</v>
      </c>
      <c r="D21252" s="69" t="s">
        <v>29420</v>
      </c>
      <c r="E21252" s="51"/>
      <c r="F21252" s="114" t="str">
        <f>IF(INDEX(I.Facility.P4IDNumber,1240)="","",INDEX(I.Facility.P4IDNumber,1240))</f>
        <v/>
      </c>
      <c r="G21252" s="51"/>
      <c r="H21252" s="46" t="str">
        <f>IF(AND(I.Developer.P4=TRUE,I.Facility.P4FacilityCount&gt;=1240,F21252=""),"Incomplete","Complete")</f>
        <v>Complete</v>
      </c>
      <c r="I21252" s="48" t="s">
        <v>25617</v>
      </c>
    </row>
    <row r="21253" spans="2:9" ht="15" customHeight="1" x14ac:dyDescent="0.25">
      <c r="B21253" s="55" t="s">
        <v>283</v>
      </c>
      <c r="C21253" s="46">
        <v>1241</v>
      </c>
      <c r="D21253" s="69" t="s">
        <v>29420</v>
      </c>
      <c r="E21253" s="51"/>
      <c r="F21253" s="114" t="str">
        <f>IF(INDEX(I.Facility.P4IDNumber,1241)="","",INDEX(I.Facility.P4IDNumber,1241))</f>
        <v/>
      </c>
      <c r="G21253" s="51"/>
      <c r="H21253" s="46" t="str">
        <f>IF(AND(I.Developer.P4=TRUE,I.Facility.P4FacilityCount&gt;=1241,F21253=""),"Incomplete","Complete")</f>
        <v>Complete</v>
      </c>
      <c r="I21253" s="48" t="s">
        <v>25618</v>
      </c>
    </row>
    <row r="21254" spans="2:9" ht="15" customHeight="1" x14ac:dyDescent="0.25">
      <c r="B21254" s="55" t="s">
        <v>283</v>
      </c>
      <c r="C21254" s="46">
        <v>1242</v>
      </c>
      <c r="D21254" s="69" t="s">
        <v>29420</v>
      </c>
      <c r="E21254" s="51"/>
      <c r="F21254" s="114" t="str">
        <f>IF(INDEX(I.Facility.P4IDNumber,1242)="","",INDEX(I.Facility.P4IDNumber,1242))</f>
        <v/>
      </c>
      <c r="G21254" s="51"/>
      <c r="H21254" s="46" t="str">
        <f>IF(AND(I.Developer.P4=TRUE,I.Facility.P4FacilityCount&gt;=1242,F21254=""),"Incomplete","Complete")</f>
        <v>Complete</v>
      </c>
      <c r="I21254" s="48" t="s">
        <v>25619</v>
      </c>
    </row>
    <row r="21255" spans="2:9" ht="15" customHeight="1" x14ac:dyDescent="0.25">
      <c r="B21255" s="55" t="s">
        <v>283</v>
      </c>
      <c r="C21255" s="46">
        <v>1243</v>
      </c>
      <c r="D21255" s="69" t="s">
        <v>29420</v>
      </c>
      <c r="E21255" s="51"/>
      <c r="F21255" s="114" t="str">
        <f>IF(INDEX(I.Facility.P4IDNumber,1243)="","",INDEX(I.Facility.P4IDNumber,1243))</f>
        <v/>
      </c>
      <c r="G21255" s="51"/>
      <c r="H21255" s="46" t="str">
        <f>IF(AND(I.Developer.P4=TRUE,I.Facility.P4FacilityCount&gt;=1243,F21255=""),"Incomplete","Complete")</f>
        <v>Complete</v>
      </c>
      <c r="I21255" s="48" t="s">
        <v>25620</v>
      </c>
    </row>
    <row r="21256" spans="2:9" ht="15" customHeight="1" x14ac:dyDescent="0.25">
      <c r="B21256" s="55" t="s">
        <v>283</v>
      </c>
      <c r="C21256" s="46">
        <v>1244</v>
      </c>
      <c r="D21256" s="69" t="s">
        <v>29420</v>
      </c>
      <c r="E21256" s="51"/>
      <c r="F21256" s="114" t="str">
        <f>IF(INDEX(I.Facility.P4IDNumber,1244)="","",INDEX(I.Facility.P4IDNumber,1244))</f>
        <v/>
      </c>
      <c r="G21256" s="51"/>
      <c r="H21256" s="46" t="str">
        <f>IF(AND(I.Developer.P4=TRUE,I.Facility.P4FacilityCount&gt;=1244,F21256=""),"Incomplete","Complete")</f>
        <v>Complete</v>
      </c>
      <c r="I21256" s="48" t="s">
        <v>25621</v>
      </c>
    </row>
    <row r="21257" spans="2:9" ht="15" customHeight="1" x14ac:dyDescent="0.25">
      <c r="B21257" s="55" t="s">
        <v>283</v>
      </c>
      <c r="C21257" s="46">
        <v>1245</v>
      </c>
      <c r="D21257" s="69" t="s">
        <v>29420</v>
      </c>
      <c r="E21257" s="51"/>
      <c r="F21257" s="114" t="str">
        <f>IF(INDEX(I.Facility.P4IDNumber,1245)="","",INDEX(I.Facility.P4IDNumber,1245))</f>
        <v/>
      </c>
      <c r="G21257" s="51"/>
      <c r="H21257" s="46" t="str">
        <f>IF(AND(I.Developer.P4=TRUE,I.Facility.P4FacilityCount&gt;=1245,F21257=""),"Incomplete","Complete")</f>
        <v>Complete</v>
      </c>
      <c r="I21257" s="48" t="s">
        <v>25622</v>
      </c>
    </row>
    <row r="21258" spans="2:9" ht="15" customHeight="1" x14ac:dyDescent="0.25">
      <c r="B21258" s="55" t="s">
        <v>283</v>
      </c>
      <c r="C21258" s="46">
        <v>1246</v>
      </c>
      <c r="D21258" s="69" t="s">
        <v>29420</v>
      </c>
      <c r="E21258" s="51"/>
      <c r="F21258" s="114" t="str">
        <f>IF(INDEX(I.Facility.P4IDNumber,1246)="","",INDEX(I.Facility.P4IDNumber,1246))</f>
        <v/>
      </c>
      <c r="G21258" s="51"/>
      <c r="H21258" s="46" t="str">
        <f>IF(AND(I.Developer.P4=TRUE,I.Facility.P4FacilityCount&gt;=1246,F21258=""),"Incomplete","Complete")</f>
        <v>Complete</v>
      </c>
      <c r="I21258" s="48" t="s">
        <v>25623</v>
      </c>
    </row>
    <row r="21259" spans="2:9" ht="15" customHeight="1" x14ac:dyDescent="0.25">
      <c r="B21259" s="55" t="s">
        <v>283</v>
      </c>
      <c r="C21259" s="46">
        <v>1247</v>
      </c>
      <c r="D21259" s="69" t="s">
        <v>29420</v>
      </c>
      <c r="E21259" s="51"/>
      <c r="F21259" s="114" t="str">
        <f>IF(INDEX(I.Facility.P4IDNumber,1247)="","",INDEX(I.Facility.P4IDNumber,1247))</f>
        <v/>
      </c>
      <c r="G21259" s="51"/>
      <c r="H21259" s="46" t="str">
        <f>IF(AND(I.Developer.P4=TRUE,I.Facility.P4FacilityCount&gt;=1247,F21259=""),"Incomplete","Complete")</f>
        <v>Complete</v>
      </c>
      <c r="I21259" s="48" t="s">
        <v>25624</v>
      </c>
    </row>
    <row r="21260" spans="2:9" ht="15" customHeight="1" x14ac:dyDescent="0.25">
      <c r="B21260" s="55" t="s">
        <v>283</v>
      </c>
      <c r="C21260" s="46">
        <v>1248</v>
      </c>
      <c r="D21260" s="69" t="s">
        <v>29420</v>
      </c>
      <c r="E21260" s="51"/>
      <c r="F21260" s="114" t="str">
        <f>IF(INDEX(I.Facility.P4IDNumber,1248)="","",INDEX(I.Facility.P4IDNumber,1248))</f>
        <v/>
      </c>
      <c r="G21260" s="51"/>
      <c r="H21260" s="46" t="str">
        <f>IF(AND(I.Developer.P4=TRUE,I.Facility.P4FacilityCount&gt;=1248,F21260=""),"Incomplete","Complete")</f>
        <v>Complete</v>
      </c>
      <c r="I21260" s="48" t="s">
        <v>25625</v>
      </c>
    </row>
    <row r="21261" spans="2:9" ht="15" customHeight="1" x14ac:dyDescent="0.25">
      <c r="B21261" s="55" t="s">
        <v>283</v>
      </c>
      <c r="C21261" s="46">
        <v>1249</v>
      </c>
      <c r="D21261" s="69" t="s">
        <v>29420</v>
      </c>
      <c r="E21261" s="51"/>
      <c r="F21261" s="114" t="str">
        <f>IF(INDEX(I.Facility.P4IDNumber,1249)="","",INDEX(I.Facility.P4IDNumber,1249))</f>
        <v/>
      </c>
      <c r="G21261" s="51"/>
      <c r="H21261" s="46" t="str">
        <f>IF(AND(I.Developer.P4=TRUE,I.Facility.P4FacilityCount&gt;=1249,F21261=""),"Incomplete","Complete")</f>
        <v>Complete</v>
      </c>
      <c r="I21261" s="48" t="s">
        <v>25626</v>
      </c>
    </row>
    <row r="21262" spans="2:9" ht="15" customHeight="1" x14ac:dyDescent="0.25">
      <c r="B21262" s="55" t="s">
        <v>283</v>
      </c>
      <c r="C21262" s="46">
        <v>1250</v>
      </c>
      <c r="D21262" s="69" t="s">
        <v>29420</v>
      </c>
      <c r="E21262" s="51"/>
      <c r="F21262" s="114" t="str">
        <f>IF(INDEX(I.Facility.P4IDNumber,1250)="","",INDEX(I.Facility.P4IDNumber,1250))</f>
        <v/>
      </c>
      <c r="G21262" s="51"/>
      <c r="H21262" s="46" t="str">
        <f>IF(AND(I.Developer.P4=TRUE,I.Facility.P4FacilityCount&gt;=1250,F21262=""),"Incomplete","Complete")</f>
        <v>Complete</v>
      </c>
      <c r="I21262" s="48" t="s">
        <v>25627</v>
      </c>
    </row>
    <row r="21263" spans="2:9" ht="15" customHeight="1" x14ac:dyDescent="0.25">
      <c r="B21263" s="55" t="s">
        <v>283</v>
      </c>
      <c r="C21263" s="46">
        <v>1251</v>
      </c>
      <c r="D21263" s="69" t="s">
        <v>29420</v>
      </c>
      <c r="E21263" s="51"/>
      <c r="F21263" s="114" t="str">
        <f>IF(INDEX(I.Facility.P4IDNumber,1251)="","",INDEX(I.Facility.P4IDNumber,1251))</f>
        <v/>
      </c>
      <c r="G21263" s="51"/>
      <c r="H21263" s="46" t="str">
        <f>IF(AND(I.Developer.P4=TRUE,I.Facility.P4FacilityCount&gt;=1251,F21263=""),"Incomplete","Complete")</f>
        <v>Complete</v>
      </c>
      <c r="I21263" s="48" t="s">
        <v>25628</v>
      </c>
    </row>
    <row r="21264" spans="2:9" ht="15" customHeight="1" x14ac:dyDescent="0.25">
      <c r="B21264" s="55" t="s">
        <v>283</v>
      </c>
      <c r="C21264" s="46">
        <v>1252</v>
      </c>
      <c r="D21264" s="69" t="s">
        <v>29420</v>
      </c>
      <c r="E21264" s="51"/>
      <c r="F21264" s="114" t="str">
        <f>IF(INDEX(I.Facility.P4IDNumber,1252)="","",INDEX(I.Facility.P4IDNumber,1252))</f>
        <v/>
      </c>
      <c r="G21264" s="51"/>
      <c r="H21264" s="46" t="str">
        <f>IF(AND(I.Developer.P4=TRUE,I.Facility.P4FacilityCount&gt;=1252,F21264=""),"Incomplete","Complete")</f>
        <v>Complete</v>
      </c>
      <c r="I21264" s="48" t="s">
        <v>25629</v>
      </c>
    </row>
    <row r="21265" spans="2:9" ht="15" customHeight="1" x14ac:dyDescent="0.25">
      <c r="B21265" s="55" t="s">
        <v>283</v>
      </c>
      <c r="C21265" s="46">
        <v>1253</v>
      </c>
      <c r="D21265" s="69" t="s">
        <v>29420</v>
      </c>
      <c r="E21265" s="51"/>
      <c r="F21265" s="114" t="str">
        <f>IF(INDEX(I.Facility.P4IDNumber,1253)="","",INDEX(I.Facility.P4IDNumber,1253))</f>
        <v/>
      </c>
      <c r="G21265" s="51"/>
      <c r="H21265" s="46" t="str">
        <f>IF(AND(I.Developer.P4=TRUE,I.Facility.P4FacilityCount&gt;=1253,F21265=""),"Incomplete","Complete")</f>
        <v>Complete</v>
      </c>
      <c r="I21265" s="48" t="s">
        <v>25630</v>
      </c>
    </row>
    <row r="21266" spans="2:9" ht="15" customHeight="1" x14ac:dyDescent="0.25">
      <c r="B21266" s="55" t="s">
        <v>283</v>
      </c>
      <c r="C21266" s="46">
        <v>1254</v>
      </c>
      <c r="D21266" s="69" t="s">
        <v>29420</v>
      </c>
      <c r="E21266" s="51"/>
      <c r="F21266" s="114" t="str">
        <f>IF(INDEX(I.Facility.P4IDNumber,1254)="","",INDEX(I.Facility.P4IDNumber,1254))</f>
        <v/>
      </c>
      <c r="G21266" s="51"/>
      <c r="H21266" s="46" t="str">
        <f>IF(AND(I.Developer.P4=TRUE,I.Facility.P4FacilityCount&gt;=1254,F21266=""),"Incomplete","Complete")</f>
        <v>Complete</v>
      </c>
      <c r="I21266" s="48" t="s">
        <v>25631</v>
      </c>
    </row>
    <row r="21267" spans="2:9" ht="15" customHeight="1" x14ac:dyDescent="0.25">
      <c r="B21267" s="55" t="s">
        <v>283</v>
      </c>
      <c r="C21267" s="46">
        <v>1255</v>
      </c>
      <c r="D21267" s="69" t="s">
        <v>29420</v>
      </c>
      <c r="E21267" s="51"/>
      <c r="F21267" s="114" t="str">
        <f>IF(INDEX(I.Facility.P4IDNumber,1255)="","",INDEX(I.Facility.P4IDNumber,1255))</f>
        <v/>
      </c>
      <c r="G21267" s="51"/>
      <c r="H21267" s="46" t="str">
        <f>IF(AND(I.Developer.P4=TRUE,I.Facility.P4FacilityCount&gt;=1255,F21267=""),"Incomplete","Complete")</f>
        <v>Complete</v>
      </c>
      <c r="I21267" s="48" t="s">
        <v>25632</v>
      </c>
    </row>
    <row r="21268" spans="2:9" ht="15" customHeight="1" x14ac:dyDescent="0.25">
      <c r="B21268" s="55" t="s">
        <v>283</v>
      </c>
      <c r="C21268" s="46">
        <v>1256</v>
      </c>
      <c r="D21268" s="69" t="s">
        <v>29420</v>
      </c>
      <c r="E21268" s="51"/>
      <c r="F21268" s="114" t="str">
        <f>IF(INDEX(I.Facility.P4IDNumber,1256)="","",INDEX(I.Facility.P4IDNumber,1256))</f>
        <v/>
      </c>
      <c r="G21268" s="51"/>
      <c r="H21268" s="46" t="str">
        <f>IF(AND(I.Developer.P4=TRUE,I.Facility.P4FacilityCount&gt;=1256,F21268=""),"Incomplete","Complete")</f>
        <v>Complete</v>
      </c>
      <c r="I21268" s="48" t="s">
        <v>25633</v>
      </c>
    </row>
    <row r="21269" spans="2:9" ht="15" customHeight="1" x14ac:dyDescent="0.25">
      <c r="B21269" s="55" t="s">
        <v>283</v>
      </c>
      <c r="C21269" s="46">
        <v>1257</v>
      </c>
      <c r="D21269" s="69" t="s">
        <v>29420</v>
      </c>
      <c r="E21269" s="51"/>
      <c r="F21269" s="114" t="str">
        <f>IF(INDEX(I.Facility.P4IDNumber,1257)="","",INDEX(I.Facility.P4IDNumber,1257))</f>
        <v/>
      </c>
      <c r="G21269" s="51"/>
      <c r="H21269" s="46" t="str">
        <f>IF(AND(I.Developer.P4=TRUE,I.Facility.P4FacilityCount&gt;=1257,F21269=""),"Incomplete","Complete")</f>
        <v>Complete</v>
      </c>
      <c r="I21269" s="48" t="s">
        <v>25634</v>
      </c>
    </row>
    <row r="21270" spans="2:9" ht="15" customHeight="1" x14ac:dyDescent="0.25">
      <c r="B21270" s="55" t="s">
        <v>283</v>
      </c>
      <c r="C21270" s="46">
        <v>1258</v>
      </c>
      <c r="D21270" s="69" t="s">
        <v>29420</v>
      </c>
      <c r="E21270" s="51"/>
      <c r="F21270" s="114" t="str">
        <f>IF(INDEX(I.Facility.P4IDNumber,1258)="","",INDEX(I.Facility.P4IDNumber,1258))</f>
        <v/>
      </c>
      <c r="G21270" s="51"/>
      <c r="H21270" s="46" t="str">
        <f>IF(AND(I.Developer.P4=TRUE,I.Facility.P4FacilityCount&gt;=1258,F21270=""),"Incomplete","Complete")</f>
        <v>Complete</v>
      </c>
      <c r="I21270" s="48" t="s">
        <v>25635</v>
      </c>
    </row>
    <row r="21271" spans="2:9" ht="15" customHeight="1" x14ac:dyDescent="0.25">
      <c r="B21271" s="55" t="s">
        <v>283</v>
      </c>
      <c r="C21271" s="46">
        <v>1259</v>
      </c>
      <c r="D21271" s="69" t="s">
        <v>29420</v>
      </c>
      <c r="E21271" s="51"/>
      <c r="F21271" s="114" t="str">
        <f>IF(INDEX(I.Facility.P4IDNumber,1259)="","",INDEX(I.Facility.P4IDNumber,1259))</f>
        <v/>
      </c>
      <c r="G21271" s="51"/>
      <c r="H21271" s="46" t="str">
        <f>IF(AND(I.Developer.P4=TRUE,I.Facility.P4FacilityCount&gt;=1259,F21271=""),"Incomplete","Complete")</f>
        <v>Complete</v>
      </c>
      <c r="I21271" s="48" t="s">
        <v>25636</v>
      </c>
    </row>
    <row r="21272" spans="2:9" ht="15" customHeight="1" x14ac:dyDescent="0.25">
      <c r="B21272" s="55" t="s">
        <v>283</v>
      </c>
      <c r="C21272" s="46">
        <v>1260</v>
      </c>
      <c r="D21272" s="69" t="s">
        <v>29420</v>
      </c>
      <c r="E21272" s="51"/>
      <c r="F21272" s="114" t="str">
        <f>IF(INDEX(I.Facility.P4IDNumber,1260)="","",INDEX(I.Facility.P4IDNumber,1260))</f>
        <v/>
      </c>
      <c r="G21272" s="51"/>
      <c r="H21272" s="46" t="str">
        <f>IF(AND(I.Developer.P4=TRUE,I.Facility.P4FacilityCount&gt;=1260,F21272=""),"Incomplete","Complete")</f>
        <v>Complete</v>
      </c>
      <c r="I21272" s="48" t="s">
        <v>25637</v>
      </c>
    </row>
    <row r="21273" spans="2:9" ht="15" customHeight="1" x14ac:dyDescent="0.25">
      <c r="B21273" s="55" t="s">
        <v>283</v>
      </c>
      <c r="C21273" s="46">
        <v>1261</v>
      </c>
      <c r="D21273" s="69" t="s">
        <v>29420</v>
      </c>
      <c r="E21273" s="51"/>
      <c r="F21273" s="114" t="str">
        <f>IF(INDEX(I.Facility.P4IDNumber,1261)="","",INDEX(I.Facility.P4IDNumber,1261))</f>
        <v/>
      </c>
      <c r="G21273" s="51"/>
      <c r="H21273" s="46" t="str">
        <f>IF(AND(I.Developer.P4=TRUE,I.Facility.P4FacilityCount&gt;=1261,F21273=""),"Incomplete","Complete")</f>
        <v>Complete</v>
      </c>
      <c r="I21273" s="48" t="s">
        <v>25638</v>
      </c>
    </row>
    <row r="21274" spans="2:9" ht="15" customHeight="1" x14ac:dyDescent="0.25">
      <c r="B21274" s="55" t="s">
        <v>283</v>
      </c>
      <c r="C21274" s="46">
        <v>1262</v>
      </c>
      <c r="D21274" s="69" t="s">
        <v>29420</v>
      </c>
      <c r="E21274" s="51"/>
      <c r="F21274" s="114" t="str">
        <f>IF(INDEX(I.Facility.P4IDNumber,1262)="","",INDEX(I.Facility.P4IDNumber,1262))</f>
        <v/>
      </c>
      <c r="G21274" s="51"/>
      <c r="H21274" s="46" t="str">
        <f>IF(AND(I.Developer.P4=TRUE,I.Facility.P4FacilityCount&gt;=1262,F21274=""),"Incomplete","Complete")</f>
        <v>Complete</v>
      </c>
      <c r="I21274" s="48" t="s">
        <v>25639</v>
      </c>
    </row>
    <row r="21275" spans="2:9" ht="15" customHeight="1" x14ac:dyDescent="0.25">
      <c r="B21275" s="55" t="s">
        <v>283</v>
      </c>
      <c r="C21275" s="46">
        <v>1263</v>
      </c>
      <c r="D21275" s="69" t="s">
        <v>29420</v>
      </c>
      <c r="E21275" s="51"/>
      <c r="F21275" s="114" t="str">
        <f>IF(INDEX(I.Facility.P4IDNumber,1263)="","",INDEX(I.Facility.P4IDNumber,1263))</f>
        <v/>
      </c>
      <c r="G21275" s="51"/>
      <c r="H21275" s="46" t="str">
        <f>IF(AND(I.Developer.P4=TRUE,I.Facility.P4FacilityCount&gt;=1263,F21275=""),"Incomplete","Complete")</f>
        <v>Complete</v>
      </c>
      <c r="I21275" s="48" t="s">
        <v>25640</v>
      </c>
    </row>
    <row r="21276" spans="2:9" ht="15" customHeight="1" x14ac:dyDescent="0.25">
      <c r="B21276" s="55" t="s">
        <v>283</v>
      </c>
      <c r="C21276" s="46">
        <v>1264</v>
      </c>
      <c r="D21276" s="69" t="s">
        <v>29420</v>
      </c>
      <c r="E21276" s="51"/>
      <c r="F21276" s="114" t="str">
        <f>IF(INDEX(I.Facility.P4IDNumber,1264)="","",INDEX(I.Facility.P4IDNumber,1264))</f>
        <v/>
      </c>
      <c r="G21276" s="51"/>
      <c r="H21276" s="46" t="str">
        <f>IF(AND(I.Developer.P4=TRUE,I.Facility.P4FacilityCount&gt;=1264,F21276=""),"Incomplete","Complete")</f>
        <v>Complete</v>
      </c>
      <c r="I21276" s="48" t="s">
        <v>25641</v>
      </c>
    </row>
    <row r="21277" spans="2:9" ht="15" customHeight="1" x14ac:dyDescent="0.25">
      <c r="B21277" s="55" t="s">
        <v>283</v>
      </c>
      <c r="C21277" s="46">
        <v>1265</v>
      </c>
      <c r="D21277" s="69" t="s">
        <v>29420</v>
      </c>
      <c r="E21277" s="51"/>
      <c r="F21277" s="114" t="str">
        <f>IF(INDEX(I.Facility.P4IDNumber,1265)="","",INDEX(I.Facility.P4IDNumber,1265))</f>
        <v/>
      </c>
      <c r="G21277" s="51"/>
      <c r="H21277" s="46" t="str">
        <f>IF(AND(I.Developer.P4=TRUE,I.Facility.P4FacilityCount&gt;=1265,F21277=""),"Incomplete","Complete")</f>
        <v>Complete</v>
      </c>
      <c r="I21277" s="48" t="s">
        <v>25642</v>
      </c>
    </row>
    <row r="21278" spans="2:9" ht="15" customHeight="1" x14ac:dyDescent="0.25">
      <c r="B21278" s="55" t="s">
        <v>283</v>
      </c>
      <c r="C21278" s="46">
        <v>1266</v>
      </c>
      <c r="D21278" s="69" t="s">
        <v>29420</v>
      </c>
      <c r="E21278" s="51"/>
      <c r="F21278" s="114" t="str">
        <f>IF(INDEX(I.Facility.P4IDNumber,1266)="","",INDEX(I.Facility.P4IDNumber,1266))</f>
        <v/>
      </c>
      <c r="G21278" s="51"/>
      <c r="H21278" s="46" t="str">
        <f>IF(AND(I.Developer.P4=TRUE,I.Facility.P4FacilityCount&gt;=1266,F21278=""),"Incomplete","Complete")</f>
        <v>Complete</v>
      </c>
      <c r="I21278" s="48" t="s">
        <v>25643</v>
      </c>
    </row>
    <row r="21279" spans="2:9" ht="15" customHeight="1" x14ac:dyDescent="0.25">
      <c r="B21279" s="55" t="s">
        <v>283</v>
      </c>
      <c r="C21279" s="46">
        <v>1267</v>
      </c>
      <c r="D21279" s="69" t="s">
        <v>29420</v>
      </c>
      <c r="E21279" s="51"/>
      <c r="F21279" s="114" t="str">
        <f>IF(INDEX(I.Facility.P4IDNumber,1267)="","",INDEX(I.Facility.P4IDNumber,1267))</f>
        <v/>
      </c>
      <c r="G21279" s="51"/>
      <c r="H21279" s="46" t="str">
        <f>IF(AND(I.Developer.P4=TRUE,I.Facility.P4FacilityCount&gt;=1267,F21279=""),"Incomplete","Complete")</f>
        <v>Complete</v>
      </c>
      <c r="I21279" s="48" t="s">
        <v>25644</v>
      </c>
    </row>
    <row r="21280" spans="2:9" ht="15" customHeight="1" x14ac:dyDescent="0.25">
      <c r="B21280" s="55" t="s">
        <v>283</v>
      </c>
      <c r="C21280" s="46">
        <v>1268</v>
      </c>
      <c r="D21280" s="69" t="s">
        <v>29420</v>
      </c>
      <c r="E21280" s="51"/>
      <c r="F21280" s="114" t="str">
        <f>IF(INDEX(I.Facility.P4IDNumber,1268)="","",INDEX(I.Facility.P4IDNumber,1268))</f>
        <v/>
      </c>
      <c r="G21280" s="51"/>
      <c r="H21280" s="46" t="str">
        <f>IF(AND(I.Developer.P4=TRUE,I.Facility.P4FacilityCount&gt;=1268,F21280=""),"Incomplete","Complete")</f>
        <v>Complete</v>
      </c>
      <c r="I21280" s="48" t="s">
        <v>25645</v>
      </c>
    </row>
    <row r="21281" spans="2:9" ht="15" customHeight="1" x14ac:dyDescent="0.25">
      <c r="B21281" s="55" t="s">
        <v>283</v>
      </c>
      <c r="C21281" s="46">
        <v>1269</v>
      </c>
      <c r="D21281" s="69" t="s">
        <v>29420</v>
      </c>
      <c r="E21281" s="51"/>
      <c r="F21281" s="114" t="str">
        <f>IF(INDEX(I.Facility.P4IDNumber,1269)="","",INDEX(I.Facility.P4IDNumber,1269))</f>
        <v/>
      </c>
      <c r="G21281" s="51"/>
      <c r="H21281" s="46" t="str">
        <f>IF(AND(I.Developer.P4=TRUE,I.Facility.P4FacilityCount&gt;=1269,F21281=""),"Incomplete","Complete")</f>
        <v>Complete</v>
      </c>
      <c r="I21281" s="48" t="s">
        <v>25646</v>
      </c>
    </row>
    <row r="21282" spans="2:9" ht="15" customHeight="1" x14ac:dyDescent="0.25">
      <c r="B21282" s="55" t="s">
        <v>283</v>
      </c>
      <c r="C21282" s="46">
        <v>1270</v>
      </c>
      <c r="D21282" s="69" t="s">
        <v>29420</v>
      </c>
      <c r="E21282" s="51"/>
      <c r="F21282" s="114" t="str">
        <f>IF(INDEX(I.Facility.P4IDNumber,1270)="","",INDEX(I.Facility.P4IDNumber,1270))</f>
        <v/>
      </c>
      <c r="G21282" s="51"/>
      <c r="H21282" s="46" t="str">
        <f>IF(AND(I.Developer.P4=TRUE,I.Facility.P4FacilityCount&gt;=1270,F21282=""),"Incomplete","Complete")</f>
        <v>Complete</v>
      </c>
      <c r="I21282" s="48" t="s">
        <v>25647</v>
      </c>
    </row>
    <row r="21283" spans="2:9" ht="15" customHeight="1" x14ac:dyDescent="0.25">
      <c r="B21283" s="55" t="s">
        <v>283</v>
      </c>
      <c r="C21283" s="46">
        <v>1271</v>
      </c>
      <c r="D21283" s="69" t="s">
        <v>29420</v>
      </c>
      <c r="E21283" s="51"/>
      <c r="F21283" s="114" t="str">
        <f>IF(INDEX(I.Facility.P4IDNumber,1271)="","",INDEX(I.Facility.P4IDNumber,1271))</f>
        <v/>
      </c>
      <c r="G21283" s="51"/>
      <c r="H21283" s="46" t="str">
        <f>IF(AND(I.Developer.P4=TRUE,I.Facility.P4FacilityCount&gt;=1271,F21283=""),"Incomplete","Complete")</f>
        <v>Complete</v>
      </c>
      <c r="I21283" s="48" t="s">
        <v>25648</v>
      </c>
    </row>
    <row r="21284" spans="2:9" ht="15" customHeight="1" x14ac:dyDescent="0.25">
      <c r="B21284" s="55" t="s">
        <v>283</v>
      </c>
      <c r="C21284" s="46">
        <v>1272</v>
      </c>
      <c r="D21284" s="69" t="s">
        <v>29420</v>
      </c>
      <c r="E21284" s="51"/>
      <c r="F21284" s="114" t="str">
        <f>IF(INDEX(I.Facility.P4IDNumber,1272)="","",INDEX(I.Facility.P4IDNumber,1272))</f>
        <v/>
      </c>
      <c r="G21284" s="51"/>
      <c r="H21284" s="46" t="str">
        <f>IF(AND(I.Developer.P4=TRUE,I.Facility.P4FacilityCount&gt;=1272,F21284=""),"Incomplete","Complete")</f>
        <v>Complete</v>
      </c>
      <c r="I21284" s="48" t="s">
        <v>25649</v>
      </c>
    </row>
    <row r="21285" spans="2:9" ht="15" customHeight="1" x14ac:dyDescent="0.25">
      <c r="B21285" s="55" t="s">
        <v>283</v>
      </c>
      <c r="C21285" s="46">
        <v>1273</v>
      </c>
      <c r="D21285" s="69" t="s">
        <v>29420</v>
      </c>
      <c r="E21285" s="51"/>
      <c r="F21285" s="114" t="str">
        <f>IF(INDEX(I.Facility.P4IDNumber,1273)="","",INDEX(I.Facility.P4IDNumber,1273))</f>
        <v/>
      </c>
      <c r="G21285" s="51"/>
      <c r="H21285" s="46" t="str">
        <f>IF(AND(I.Developer.P4=TRUE,I.Facility.P4FacilityCount&gt;=1273,F21285=""),"Incomplete","Complete")</f>
        <v>Complete</v>
      </c>
      <c r="I21285" s="48" t="s">
        <v>25650</v>
      </c>
    </row>
    <row r="21286" spans="2:9" ht="15" customHeight="1" x14ac:dyDescent="0.25">
      <c r="B21286" s="55" t="s">
        <v>283</v>
      </c>
      <c r="C21286" s="46">
        <v>1274</v>
      </c>
      <c r="D21286" s="69" t="s">
        <v>29420</v>
      </c>
      <c r="E21286" s="51"/>
      <c r="F21286" s="114" t="str">
        <f>IF(INDEX(I.Facility.P4IDNumber,1274)="","",INDEX(I.Facility.P4IDNumber,1274))</f>
        <v/>
      </c>
      <c r="G21286" s="51"/>
      <c r="H21286" s="46" t="str">
        <f>IF(AND(I.Developer.P4=TRUE,I.Facility.P4FacilityCount&gt;=1274,F21286=""),"Incomplete","Complete")</f>
        <v>Complete</v>
      </c>
      <c r="I21286" s="48" t="s">
        <v>25651</v>
      </c>
    </row>
    <row r="21287" spans="2:9" ht="15" customHeight="1" x14ac:dyDescent="0.25">
      <c r="B21287" s="55" t="s">
        <v>283</v>
      </c>
      <c r="C21287" s="46">
        <v>1275</v>
      </c>
      <c r="D21287" s="69" t="s">
        <v>29420</v>
      </c>
      <c r="E21287" s="51"/>
      <c r="F21287" s="114" t="str">
        <f>IF(INDEX(I.Facility.P4IDNumber,1275)="","",INDEX(I.Facility.P4IDNumber,1275))</f>
        <v/>
      </c>
      <c r="G21287" s="51"/>
      <c r="H21287" s="46" t="str">
        <f>IF(AND(I.Developer.P4=TRUE,I.Facility.P4FacilityCount&gt;=1275,F21287=""),"Incomplete","Complete")</f>
        <v>Complete</v>
      </c>
      <c r="I21287" s="48" t="s">
        <v>25652</v>
      </c>
    </row>
    <row r="21288" spans="2:9" ht="15" customHeight="1" x14ac:dyDescent="0.25">
      <c r="B21288" s="55" t="s">
        <v>283</v>
      </c>
      <c r="C21288" s="46">
        <v>1276</v>
      </c>
      <c r="D21288" s="69" t="s">
        <v>29420</v>
      </c>
      <c r="E21288" s="51"/>
      <c r="F21288" s="114" t="str">
        <f>IF(INDEX(I.Facility.P4IDNumber,1276)="","",INDEX(I.Facility.P4IDNumber,1276))</f>
        <v/>
      </c>
      <c r="G21288" s="51"/>
      <c r="H21288" s="46" t="str">
        <f>IF(AND(I.Developer.P4=TRUE,I.Facility.P4FacilityCount&gt;=1276,F21288=""),"Incomplete","Complete")</f>
        <v>Complete</v>
      </c>
      <c r="I21288" s="48" t="s">
        <v>25653</v>
      </c>
    </row>
    <row r="21289" spans="2:9" ht="15" customHeight="1" x14ac:dyDescent="0.25">
      <c r="B21289" s="55" t="s">
        <v>283</v>
      </c>
      <c r="C21289" s="46">
        <v>1277</v>
      </c>
      <c r="D21289" s="69" t="s">
        <v>29420</v>
      </c>
      <c r="E21289" s="51"/>
      <c r="F21289" s="114" t="str">
        <f>IF(INDEX(I.Facility.P4IDNumber,1277)="","",INDEX(I.Facility.P4IDNumber,1277))</f>
        <v/>
      </c>
      <c r="G21289" s="51"/>
      <c r="H21289" s="46" t="str">
        <f>IF(AND(I.Developer.P4=TRUE,I.Facility.P4FacilityCount&gt;=1277,F21289=""),"Incomplete","Complete")</f>
        <v>Complete</v>
      </c>
      <c r="I21289" s="48" t="s">
        <v>25654</v>
      </c>
    </row>
    <row r="21290" spans="2:9" ht="15" customHeight="1" x14ac:dyDescent="0.25">
      <c r="B21290" s="55" t="s">
        <v>283</v>
      </c>
      <c r="C21290" s="46">
        <v>1278</v>
      </c>
      <c r="D21290" s="69" t="s">
        <v>29420</v>
      </c>
      <c r="E21290" s="51"/>
      <c r="F21290" s="114" t="str">
        <f>IF(INDEX(I.Facility.P4IDNumber,1278)="","",INDEX(I.Facility.P4IDNumber,1278))</f>
        <v/>
      </c>
      <c r="G21290" s="51"/>
      <c r="H21290" s="46" t="str">
        <f>IF(AND(I.Developer.P4=TRUE,I.Facility.P4FacilityCount&gt;=1278,F21290=""),"Incomplete","Complete")</f>
        <v>Complete</v>
      </c>
      <c r="I21290" s="48" t="s">
        <v>25655</v>
      </c>
    </row>
    <row r="21291" spans="2:9" ht="15" customHeight="1" x14ac:dyDescent="0.25">
      <c r="B21291" s="55" t="s">
        <v>283</v>
      </c>
      <c r="C21291" s="46">
        <v>1279</v>
      </c>
      <c r="D21291" s="69" t="s">
        <v>29420</v>
      </c>
      <c r="E21291" s="51"/>
      <c r="F21291" s="114" t="str">
        <f>IF(INDEX(I.Facility.P4IDNumber,1279)="","",INDEX(I.Facility.P4IDNumber,1279))</f>
        <v/>
      </c>
      <c r="G21291" s="51"/>
      <c r="H21291" s="46" t="str">
        <f>IF(AND(I.Developer.P4=TRUE,I.Facility.P4FacilityCount&gt;=1279,F21291=""),"Incomplete","Complete")</f>
        <v>Complete</v>
      </c>
      <c r="I21291" s="48" t="s">
        <v>25656</v>
      </c>
    </row>
    <row r="21292" spans="2:9" ht="15" customHeight="1" x14ac:dyDescent="0.25">
      <c r="B21292" s="55" t="s">
        <v>283</v>
      </c>
      <c r="C21292" s="46">
        <v>1280</v>
      </c>
      <c r="D21292" s="69" t="s">
        <v>29420</v>
      </c>
      <c r="E21292" s="51"/>
      <c r="F21292" s="114" t="str">
        <f>IF(INDEX(I.Facility.P4IDNumber,1280)="","",INDEX(I.Facility.P4IDNumber,1280))</f>
        <v/>
      </c>
      <c r="G21292" s="51"/>
      <c r="H21292" s="46" t="str">
        <f>IF(AND(I.Developer.P4=TRUE,I.Facility.P4FacilityCount&gt;=1280,F21292=""),"Incomplete","Complete")</f>
        <v>Complete</v>
      </c>
      <c r="I21292" s="48" t="s">
        <v>25657</v>
      </c>
    </row>
    <row r="21293" spans="2:9" ht="15" customHeight="1" x14ac:dyDescent="0.25">
      <c r="B21293" s="55" t="s">
        <v>283</v>
      </c>
      <c r="C21293" s="46">
        <v>1281</v>
      </c>
      <c r="D21293" s="69" t="s">
        <v>29420</v>
      </c>
      <c r="E21293" s="51"/>
      <c r="F21293" s="114" t="str">
        <f>IF(INDEX(I.Facility.P4IDNumber,1281)="","",INDEX(I.Facility.P4IDNumber,1281))</f>
        <v/>
      </c>
      <c r="G21293" s="51"/>
      <c r="H21293" s="46" t="str">
        <f>IF(AND(I.Developer.P4=TRUE,I.Facility.P4FacilityCount&gt;=1281,F21293=""),"Incomplete","Complete")</f>
        <v>Complete</v>
      </c>
      <c r="I21293" s="48" t="s">
        <v>25658</v>
      </c>
    </row>
    <row r="21294" spans="2:9" ht="15" customHeight="1" x14ac:dyDescent="0.25">
      <c r="B21294" s="55" t="s">
        <v>283</v>
      </c>
      <c r="C21294" s="46">
        <v>1282</v>
      </c>
      <c r="D21294" s="69" t="s">
        <v>29420</v>
      </c>
      <c r="E21294" s="51"/>
      <c r="F21294" s="114" t="str">
        <f>IF(INDEX(I.Facility.P4IDNumber,1282)="","",INDEX(I.Facility.P4IDNumber,1282))</f>
        <v/>
      </c>
      <c r="G21294" s="51"/>
      <c r="H21294" s="46" t="str">
        <f>IF(AND(I.Developer.P4=TRUE,I.Facility.P4FacilityCount&gt;=1282,F21294=""),"Incomplete","Complete")</f>
        <v>Complete</v>
      </c>
      <c r="I21294" s="48" t="s">
        <v>25659</v>
      </c>
    </row>
    <row r="21295" spans="2:9" ht="15" customHeight="1" x14ac:dyDescent="0.25">
      <c r="B21295" s="55" t="s">
        <v>283</v>
      </c>
      <c r="C21295" s="46">
        <v>1283</v>
      </c>
      <c r="D21295" s="69" t="s">
        <v>29420</v>
      </c>
      <c r="E21295" s="51"/>
      <c r="F21295" s="114" t="str">
        <f>IF(INDEX(I.Facility.P4IDNumber,1283)="","",INDEX(I.Facility.P4IDNumber,1283))</f>
        <v/>
      </c>
      <c r="G21295" s="51"/>
      <c r="H21295" s="46" t="str">
        <f>IF(AND(I.Developer.P4=TRUE,I.Facility.P4FacilityCount&gt;=1283,F21295=""),"Incomplete","Complete")</f>
        <v>Complete</v>
      </c>
      <c r="I21295" s="48" t="s">
        <v>25660</v>
      </c>
    </row>
    <row r="21296" spans="2:9" ht="15" customHeight="1" x14ac:dyDescent="0.25">
      <c r="B21296" s="55" t="s">
        <v>283</v>
      </c>
      <c r="C21296" s="46">
        <v>1284</v>
      </c>
      <c r="D21296" s="69" t="s">
        <v>29420</v>
      </c>
      <c r="E21296" s="51"/>
      <c r="F21296" s="114" t="str">
        <f>IF(INDEX(I.Facility.P4IDNumber,1284)="","",INDEX(I.Facility.P4IDNumber,1284))</f>
        <v/>
      </c>
      <c r="G21296" s="51"/>
      <c r="H21296" s="46" t="str">
        <f>IF(AND(I.Developer.P4=TRUE,I.Facility.P4FacilityCount&gt;=1284,F21296=""),"Incomplete","Complete")</f>
        <v>Complete</v>
      </c>
      <c r="I21296" s="48" t="s">
        <v>25661</v>
      </c>
    </row>
    <row r="21297" spans="2:9" ht="15" customHeight="1" x14ac:dyDescent="0.25">
      <c r="B21297" s="55" t="s">
        <v>283</v>
      </c>
      <c r="C21297" s="46">
        <v>1285</v>
      </c>
      <c r="D21297" s="69" t="s">
        <v>29420</v>
      </c>
      <c r="E21297" s="51"/>
      <c r="F21297" s="114" t="str">
        <f>IF(INDEX(I.Facility.P4IDNumber,1285)="","",INDEX(I.Facility.P4IDNumber,1285))</f>
        <v/>
      </c>
      <c r="G21297" s="51"/>
      <c r="H21297" s="46" t="str">
        <f>IF(AND(I.Developer.P4=TRUE,I.Facility.P4FacilityCount&gt;=1285,F21297=""),"Incomplete","Complete")</f>
        <v>Complete</v>
      </c>
      <c r="I21297" s="48" t="s">
        <v>25662</v>
      </c>
    </row>
    <row r="21298" spans="2:9" ht="15" customHeight="1" x14ac:dyDescent="0.25">
      <c r="B21298" s="55" t="s">
        <v>283</v>
      </c>
      <c r="C21298" s="46">
        <v>1286</v>
      </c>
      <c r="D21298" s="69" t="s">
        <v>29420</v>
      </c>
      <c r="E21298" s="51"/>
      <c r="F21298" s="114" t="str">
        <f>IF(INDEX(I.Facility.P4IDNumber,1286)="","",INDEX(I.Facility.P4IDNumber,1286))</f>
        <v/>
      </c>
      <c r="G21298" s="51"/>
      <c r="H21298" s="46" t="str">
        <f>IF(AND(I.Developer.P4=TRUE,I.Facility.P4FacilityCount&gt;=1286,F21298=""),"Incomplete","Complete")</f>
        <v>Complete</v>
      </c>
      <c r="I21298" s="48" t="s">
        <v>25663</v>
      </c>
    </row>
    <row r="21299" spans="2:9" ht="15" customHeight="1" x14ac:dyDescent="0.25">
      <c r="B21299" s="55" t="s">
        <v>283</v>
      </c>
      <c r="C21299" s="46">
        <v>1287</v>
      </c>
      <c r="D21299" s="69" t="s">
        <v>29420</v>
      </c>
      <c r="E21299" s="51"/>
      <c r="F21299" s="114" t="str">
        <f>IF(INDEX(I.Facility.P4IDNumber,1287)="","",INDEX(I.Facility.P4IDNumber,1287))</f>
        <v/>
      </c>
      <c r="G21299" s="51"/>
      <c r="H21299" s="46" t="str">
        <f>IF(AND(I.Developer.P4=TRUE,I.Facility.P4FacilityCount&gt;=1287,F21299=""),"Incomplete","Complete")</f>
        <v>Complete</v>
      </c>
      <c r="I21299" s="48" t="s">
        <v>25664</v>
      </c>
    </row>
    <row r="21300" spans="2:9" ht="15" customHeight="1" x14ac:dyDescent="0.25">
      <c r="B21300" s="55" t="s">
        <v>283</v>
      </c>
      <c r="C21300" s="46">
        <v>1288</v>
      </c>
      <c r="D21300" s="69" t="s">
        <v>29420</v>
      </c>
      <c r="E21300" s="51"/>
      <c r="F21300" s="114" t="str">
        <f>IF(INDEX(I.Facility.P4IDNumber,1288)="","",INDEX(I.Facility.P4IDNumber,1288))</f>
        <v/>
      </c>
      <c r="G21300" s="51"/>
      <c r="H21300" s="46" t="str">
        <f>IF(AND(I.Developer.P4=TRUE,I.Facility.P4FacilityCount&gt;=1288,F21300=""),"Incomplete","Complete")</f>
        <v>Complete</v>
      </c>
      <c r="I21300" s="48" t="s">
        <v>25665</v>
      </c>
    </row>
    <row r="21301" spans="2:9" ht="15" customHeight="1" x14ac:dyDescent="0.25">
      <c r="B21301" s="55" t="s">
        <v>283</v>
      </c>
      <c r="C21301" s="46">
        <v>1289</v>
      </c>
      <c r="D21301" s="69" t="s">
        <v>29420</v>
      </c>
      <c r="E21301" s="51"/>
      <c r="F21301" s="114" t="str">
        <f>IF(INDEX(I.Facility.P4IDNumber,1289)="","",INDEX(I.Facility.P4IDNumber,1289))</f>
        <v/>
      </c>
      <c r="G21301" s="51"/>
      <c r="H21301" s="46" t="str">
        <f>IF(AND(I.Developer.P4=TRUE,I.Facility.P4FacilityCount&gt;=1289,F21301=""),"Incomplete","Complete")</f>
        <v>Complete</v>
      </c>
      <c r="I21301" s="48" t="s">
        <v>25666</v>
      </c>
    </row>
    <row r="21302" spans="2:9" ht="15" customHeight="1" x14ac:dyDescent="0.25">
      <c r="B21302" s="55" t="s">
        <v>283</v>
      </c>
      <c r="C21302" s="46">
        <v>1290</v>
      </c>
      <c r="D21302" s="69" t="s">
        <v>29420</v>
      </c>
      <c r="E21302" s="51"/>
      <c r="F21302" s="114" t="str">
        <f>IF(INDEX(I.Facility.P4IDNumber,1290)="","",INDEX(I.Facility.P4IDNumber,1290))</f>
        <v/>
      </c>
      <c r="G21302" s="51"/>
      <c r="H21302" s="46" t="str">
        <f>IF(AND(I.Developer.P4=TRUE,I.Facility.P4FacilityCount&gt;=1290,F21302=""),"Incomplete","Complete")</f>
        <v>Complete</v>
      </c>
      <c r="I21302" s="48" t="s">
        <v>25667</v>
      </c>
    </row>
    <row r="21303" spans="2:9" ht="15" customHeight="1" x14ac:dyDescent="0.25">
      <c r="B21303" s="55" t="s">
        <v>283</v>
      </c>
      <c r="C21303" s="46">
        <v>1291</v>
      </c>
      <c r="D21303" s="69" t="s">
        <v>29420</v>
      </c>
      <c r="E21303" s="51"/>
      <c r="F21303" s="114" t="str">
        <f>IF(INDEX(I.Facility.P4IDNumber,1291)="","",INDEX(I.Facility.P4IDNumber,1291))</f>
        <v/>
      </c>
      <c r="G21303" s="51"/>
      <c r="H21303" s="46" t="str">
        <f>IF(AND(I.Developer.P4=TRUE,I.Facility.P4FacilityCount&gt;=1291,F21303=""),"Incomplete","Complete")</f>
        <v>Complete</v>
      </c>
      <c r="I21303" s="48" t="s">
        <v>25668</v>
      </c>
    </row>
    <row r="21304" spans="2:9" ht="15" customHeight="1" x14ac:dyDescent="0.25">
      <c r="B21304" s="55" t="s">
        <v>283</v>
      </c>
      <c r="C21304" s="46">
        <v>1292</v>
      </c>
      <c r="D21304" s="69" t="s">
        <v>29420</v>
      </c>
      <c r="E21304" s="51"/>
      <c r="F21304" s="114" t="str">
        <f>IF(INDEX(I.Facility.P4IDNumber,1292)="","",INDEX(I.Facility.P4IDNumber,1292))</f>
        <v/>
      </c>
      <c r="G21304" s="51"/>
      <c r="H21304" s="46" t="str">
        <f>IF(AND(I.Developer.P4=TRUE,I.Facility.P4FacilityCount&gt;=1292,F21304=""),"Incomplete","Complete")</f>
        <v>Complete</v>
      </c>
      <c r="I21304" s="48" t="s">
        <v>25669</v>
      </c>
    </row>
    <row r="21305" spans="2:9" ht="15" customHeight="1" x14ac:dyDescent="0.25">
      <c r="B21305" s="55" t="s">
        <v>283</v>
      </c>
      <c r="C21305" s="46">
        <v>1293</v>
      </c>
      <c r="D21305" s="69" t="s">
        <v>29420</v>
      </c>
      <c r="E21305" s="51"/>
      <c r="F21305" s="114" t="str">
        <f>IF(INDEX(I.Facility.P4IDNumber,1293)="","",INDEX(I.Facility.P4IDNumber,1293))</f>
        <v/>
      </c>
      <c r="G21305" s="51"/>
      <c r="H21305" s="46" t="str">
        <f>IF(AND(I.Developer.P4=TRUE,I.Facility.P4FacilityCount&gt;=1293,F21305=""),"Incomplete","Complete")</f>
        <v>Complete</v>
      </c>
      <c r="I21305" s="48" t="s">
        <v>25670</v>
      </c>
    </row>
    <row r="21306" spans="2:9" ht="15" customHeight="1" x14ac:dyDescent="0.25">
      <c r="B21306" s="55" t="s">
        <v>283</v>
      </c>
      <c r="C21306" s="46">
        <v>1294</v>
      </c>
      <c r="D21306" s="69" t="s">
        <v>29420</v>
      </c>
      <c r="E21306" s="51"/>
      <c r="F21306" s="114" t="str">
        <f>IF(INDEX(I.Facility.P4IDNumber,1294)="","",INDEX(I.Facility.P4IDNumber,1294))</f>
        <v/>
      </c>
      <c r="G21306" s="51"/>
      <c r="H21306" s="46" t="str">
        <f>IF(AND(I.Developer.P4=TRUE,I.Facility.P4FacilityCount&gt;=1294,F21306=""),"Incomplete","Complete")</f>
        <v>Complete</v>
      </c>
      <c r="I21306" s="48" t="s">
        <v>25671</v>
      </c>
    </row>
    <row r="21307" spans="2:9" ht="15" customHeight="1" x14ac:dyDescent="0.25">
      <c r="B21307" s="55" t="s">
        <v>283</v>
      </c>
      <c r="C21307" s="46">
        <v>1295</v>
      </c>
      <c r="D21307" s="69" t="s">
        <v>29420</v>
      </c>
      <c r="E21307" s="51"/>
      <c r="F21307" s="114" t="str">
        <f>IF(INDEX(I.Facility.P4IDNumber,1295)="","",INDEX(I.Facility.P4IDNumber,1295))</f>
        <v/>
      </c>
      <c r="G21307" s="51"/>
      <c r="H21307" s="46" t="str">
        <f>IF(AND(I.Developer.P4=TRUE,I.Facility.P4FacilityCount&gt;=1295,F21307=""),"Incomplete","Complete")</f>
        <v>Complete</v>
      </c>
      <c r="I21307" s="48" t="s">
        <v>25672</v>
      </c>
    </row>
    <row r="21308" spans="2:9" ht="15" customHeight="1" x14ac:dyDescent="0.25">
      <c r="B21308" s="55" t="s">
        <v>283</v>
      </c>
      <c r="C21308" s="46">
        <v>1296</v>
      </c>
      <c r="D21308" s="69" t="s">
        <v>29420</v>
      </c>
      <c r="E21308" s="51"/>
      <c r="F21308" s="114" t="str">
        <f>IF(INDEX(I.Facility.P4IDNumber,1296)="","",INDEX(I.Facility.P4IDNumber,1296))</f>
        <v/>
      </c>
      <c r="G21308" s="51"/>
      <c r="H21308" s="46" t="str">
        <f>IF(AND(I.Developer.P4=TRUE,I.Facility.P4FacilityCount&gt;=1296,F21308=""),"Incomplete","Complete")</f>
        <v>Complete</v>
      </c>
      <c r="I21308" s="48" t="s">
        <v>25673</v>
      </c>
    </row>
    <row r="21309" spans="2:9" ht="15" customHeight="1" x14ac:dyDescent="0.25">
      <c r="B21309" s="55" t="s">
        <v>283</v>
      </c>
      <c r="C21309" s="46">
        <v>1297</v>
      </c>
      <c r="D21309" s="69" t="s">
        <v>29420</v>
      </c>
      <c r="E21309" s="51"/>
      <c r="F21309" s="114" t="str">
        <f>IF(INDEX(I.Facility.P4IDNumber,1297)="","",INDEX(I.Facility.P4IDNumber,1297))</f>
        <v/>
      </c>
      <c r="G21309" s="51"/>
      <c r="H21309" s="46" t="str">
        <f>IF(AND(I.Developer.P4=TRUE,I.Facility.P4FacilityCount&gt;=1297,F21309=""),"Incomplete","Complete")</f>
        <v>Complete</v>
      </c>
      <c r="I21309" s="48" t="s">
        <v>25674</v>
      </c>
    </row>
    <row r="21310" spans="2:9" ht="15" customHeight="1" x14ac:dyDescent="0.25">
      <c r="B21310" s="55" t="s">
        <v>283</v>
      </c>
      <c r="C21310" s="46">
        <v>1298</v>
      </c>
      <c r="D21310" s="69" t="s">
        <v>29420</v>
      </c>
      <c r="E21310" s="51"/>
      <c r="F21310" s="114" t="str">
        <f>IF(INDEX(I.Facility.P4IDNumber,1298)="","",INDEX(I.Facility.P4IDNumber,1298))</f>
        <v/>
      </c>
      <c r="G21310" s="51"/>
      <c r="H21310" s="46" t="str">
        <f>IF(AND(I.Developer.P4=TRUE,I.Facility.P4FacilityCount&gt;=1298,F21310=""),"Incomplete","Complete")</f>
        <v>Complete</v>
      </c>
      <c r="I21310" s="48" t="s">
        <v>25675</v>
      </c>
    </row>
    <row r="21311" spans="2:9" ht="15" customHeight="1" x14ac:dyDescent="0.25">
      <c r="B21311" s="55" t="s">
        <v>283</v>
      </c>
      <c r="C21311" s="46">
        <v>1299</v>
      </c>
      <c r="D21311" s="69" t="s">
        <v>29420</v>
      </c>
      <c r="E21311" s="51"/>
      <c r="F21311" s="114" t="str">
        <f>IF(INDEX(I.Facility.P4IDNumber,1299)="","",INDEX(I.Facility.P4IDNumber,1299))</f>
        <v/>
      </c>
      <c r="G21311" s="51"/>
      <c r="H21311" s="46" t="str">
        <f>IF(AND(I.Developer.P4=TRUE,I.Facility.P4FacilityCount&gt;=1299,F21311=""),"Incomplete","Complete")</f>
        <v>Complete</v>
      </c>
      <c r="I21311" s="48" t="s">
        <v>25676</v>
      </c>
    </row>
    <row r="21312" spans="2:9" ht="15" customHeight="1" x14ac:dyDescent="0.25">
      <c r="B21312" s="55" t="s">
        <v>283</v>
      </c>
      <c r="C21312" s="46">
        <v>1300</v>
      </c>
      <c r="D21312" s="69" t="s">
        <v>29420</v>
      </c>
      <c r="E21312" s="51"/>
      <c r="F21312" s="114" t="str">
        <f>IF(INDEX(I.Facility.P4IDNumber,1300)="","",INDEX(I.Facility.P4IDNumber,1300))</f>
        <v/>
      </c>
      <c r="G21312" s="51"/>
      <c r="H21312" s="46" t="str">
        <f>IF(AND(I.Developer.P4=TRUE,I.Facility.P4FacilityCount&gt;=1300,F21312=""),"Incomplete","Complete")</f>
        <v>Complete</v>
      </c>
      <c r="I21312" s="48" t="s">
        <v>25677</v>
      </c>
    </row>
    <row r="21313" spans="2:9" ht="15" customHeight="1" x14ac:dyDescent="0.25">
      <c r="B21313" s="55" t="s">
        <v>283</v>
      </c>
      <c r="C21313" s="46">
        <v>1301</v>
      </c>
      <c r="D21313" s="69" t="s">
        <v>29420</v>
      </c>
      <c r="E21313" s="51"/>
      <c r="F21313" s="114" t="str">
        <f>IF(INDEX(I.Facility.P4IDNumber,1301)="","",INDEX(I.Facility.P4IDNumber,1301))</f>
        <v/>
      </c>
      <c r="G21313" s="51"/>
      <c r="H21313" s="46" t="str">
        <f>IF(AND(I.Developer.P4=TRUE,I.Facility.P4FacilityCount&gt;=1301,F21313=""),"Incomplete","Complete")</f>
        <v>Complete</v>
      </c>
      <c r="I21313" s="48" t="s">
        <v>25678</v>
      </c>
    </row>
    <row r="21314" spans="2:9" ht="15" customHeight="1" x14ac:dyDescent="0.25">
      <c r="B21314" s="55" t="s">
        <v>283</v>
      </c>
      <c r="C21314" s="46">
        <v>1302</v>
      </c>
      <c r="D21314" s="69" t="s">
        <v>29420</v>
      </c>
      <c r="E21314" s="51"/>
      <c r="F21314" s="114" t="str">
        <f>IF(INDEX(I.Facility.P4IDNumber,1302)="","",INDEX(I.Facility.P4IDNumber,1302))</f>
        <v/>
      </c>
      <c r="G21314" s="51"/>
      <c r="H21314" s="46" t="str">
        <f>IF(AND(I.Developer.P4=TRUE,I.Facility.P4FacilityCount&gt;=1302,F21314=""),"Incomplete","Complete")</f>
        <v>Complete</v>
      </c>
      <c r="I21314" s="48" t="s">
        <v>25679</v>
      </c>
    </row>
    <row r="21315" spans="2:9" ht="15" customHeight="1" x14ac:dyDescent="0.25">
      <c r="B21315" s="55" t="s">
        <v>283</v>
      </c>
      <c r="C21315" s="46">
        <v>1303</v>
      </c>
      <c r="D21315" s="69" t="s">
        <v>29420</v>
      </c>
      <c r="E21315" s="51"/>
      <c r="F21315" s="114" t="str">
        <f>IF(INDEX(I.Facility.P4IDNumber,1303)="","",INDEX(I.Facility.P4IDNumber,1303))</f>
        <v/>
      </c>
      <c r="G21315" s="51"/>
      <c r="H21315" s="46" t="str">
        <f>IF(AND(I.Developer.P4=TRUE,I.Facility.P4FacilityCount&gt;=1303,F21315=""),"Incomplete","Complete")</f>
        <v>Complete</v>
      </c>
      <c r="I21315" s="48" t="s">
        <v>25680</v>
      </c>
    </row>
    <row r="21316" spans="2:9" ht="15" customHeight="1" x14ac:dyDescent="0.25">
      <c r="B21316" s="55" t="s">
        <v>283</v>
      </c>
      <c r="C21316" s="46">
        <v>1304</v>
      </c>
      <c r="D21316" s="69" t="s">
        <v>29420</v>
      </c>
      <c r="E21316" s="51"/>
      <c r="F21316" s="114" t="str">
        <f>IF(INDEX(I.Facility.P4IDNumber,1304)="","",INDEX(I.Facility.P4IDNumber,1304))</f>
        <v/>
      </c>
      <c r="G21316" s="51"/>
      <c r="H21316" s="46" t="str">
        <f>IF(AND(I.Developer.P4=TRUE,I.Facility.P4FacilityCount&gt;=1304,F21316=""),"Incomplete","Complete")</f>
        <v>Complete</v>
      </c>
      <c r="I21316" s="48" t="s">
        <v>25681</v>
      </c>
    </row>
    <row r="21317" spans="2:9" ht="15" customHeight="1" x14ac:dyDescent="0.25">
      <c r="B21317" s="55" t="s">
        <v>283</v>
      </c>
      <c r="C21317" s="46">
        <v>1305</v>
      </c>
      <c r="D21317" s="69" t="s">
        <v>29420</v>
      </c>
      <c r="E21317" s="51"/>
      <c r="F21317" s="114" t="str">
        <f>IF(INDEX(I.Facility.P4IDNumber,1305)="","",INDEX(I.Facility.P4IDNumber,1305))</f>
        <v/>
      </c>
      <c r="G21317" s="51"/>
      <c r="H21317" s="46" t="str">
        <f>IF(AND(I.Developer.P4=TRUE,I.Facility.P4FacilityCount&gt;=1305,F21317=""),"Incomplete","Complete")</f>
        <v>Complete</v>
      </c>
      <c r="I21317" s="48" t="s">
        <v>25682</v>
      </c>
    </row>
    <row r="21318" spans="2:9" ht="15" customHeight="1" x14ac:dyDescent="0.25">
      <c r="B21318" s="55" t="s">
        <v>283</v>
      </c>
      <c r="C21318" s="46">
        <v>1306</v>
      </c>
      <c r="D21318" s="69" t="s">
        <v>29420</v>
      </c>
      <c r="E21318" s="51"/>
      <c r="F21318" s="114" t="str">
        <f>IF(INDEX(I.Facility.P4IDNumber,1306)="","",INDEX(I.Facility.P4IDNumber,1306))</f>
        <v/>
      </c>
      <c r="G21318" s="51"/>
      <c r="H21318" s="46" t="str">
        <f>IF(AND(I.Developer.P4=TRUE,I.Facility.P4FacilityCount&gt;=1306,F21318=""),"Incomplete","Complete")</f>
        <v>Complete</v>
      </c>
      <c r="I21318" s="48" t="s">
        <v>25683</v>
      </c>
    </row>
    <row r="21319" spans="2:9" ht="15" customHeight="1" x14ac:dyDescent="0.25">
      <c r="B21319" s="55" t="s">
        <v>283</v>
      </c>
      <c r="C21319" s="46">
        <v>1307</v>
      </c>
      <c r="D21319" s="69" t="s">
        <v>29420</v>
      </c>
      <c r="E21319" s="51"/>
      <c r="F21319" s="114" t="str">
        <f>IF(INDEX(I.Facility.P4IDNumber,1307)="","",INDEX(I.Facility.P4IDNumber,1307))</f>
        <v/>
      </c>
      <c r="G21319" s="51"/>
      <c r="H21319" s="46" t="str">
        <f>IF(AND(I.Developer.P4=TRUE,I.Facility.P4FacilityCount&gt;=1307,F21319=""),"Incomplete","Complete")</f>
        <v>Complete</v>
      </c>
      <c r="I21319" s="48" t="s">
        <v>25684</v>
      </c>
    </row>
    <row r="21320" spans="2:9" ht="15" customHeight="1" x14ac:dyDescent="0.25">
      <c r="B21320" s="55" t="s">
        <v>283</v>
      </c>
      <c r="C21320" s="46">
        <v>1308</v>
      </c>
      <c r="D21320" s="69" t="s">
        <v>29420</v>
      </c>
      <c r="E21320" s="51"/>
      <c r="F21320" s="114" t="str">
        <f>IF(INDEX(I.Facility.P4IDNumber,1308)="","",INDEX(I.Facility.P4IDNumber,1308))</f>
        <v/>
      </c>
      <c r="G21320" s="51"/>
      <c r="H21320" s="46" t="str">
        <f>IF(AND(I.Developer.P4=TRUE,I.Facility.P4FacilityCount&gt;=1308,F21320=""),"Incomplete","Complete")</f>
        <v>Complete</v>
      </c>
      <c r="I21320" s="48" t="s">
        <v>25685</v>
      </c>
    </row>
    <row r="21321" spans="2:9" ht="15" customHeight="1" x14ac:dyDescent="0.25">
      <c r="B21321" s="55" t="s">
        <v>283</v>
      </c>
      <c r="C21321" s="46">
        <v>1309</v>
      </c>
      <c r="D21321" s="69" t="s">
        <v>29420</v>
      </c>
      <c r="E21321" s="51"/>
      <c r="F21321" s="114" t="str">
        <f>IF(INDEX(I.Facility.P4IDNumber,1309)="","",INDEX(I.Facility.P4IDNumber,1309))</f>
        <v/>
      </c>
      <c r="G21321" s="51"/>
      <c r="H21321" s="46" t="str">
        <f>IF(AND(I.Developer.P4=TRUE,I.Facility.P4FacilityCount&gt;=1309,F21321=""),"Incomplete","Complete")</f>
        <v>Complete</v>
      </c>
      <c r="I21321" s="48" t="s">
        <v>25686</v>
      </c>
    </row>
    <row r="21322" spans="2:9" ht="15" customHeight="1" x14ac:dyDescent="0.25">
      <c r="B21322" s="55" t="s">
        <v>283</v>
      </c>
      <c r="C21322" s="46">
        <v>1310</v>
      </c>
      <c r="D21322" s="69" t="s">
        <v>29420</v>
      </c>
      <c r="E21322" s="51"/>
      <c r="F21322" s="114" t="str">
        <f>IF(INDEX(I.Facility.P4IDNumber,1310)="","",INDEX(I.Facility.P4IDNumber,1310))</f>
        <v/>
      </c>
      <c r="G21322" s="51"/>
      <c r="H21322" s="46" t="str">
        <f>IF(AND(I.Developer.P4=TRUE,I.Facility.P4FacilityCount&gt;=1310,F21322=""),"Incomplete","Complete")</f>
        <v>Complete</v>
      </c>
      <c r="I21322" s="48" t="s">
        <v>25687</v>
      </c>
    </row>
    <row r="21323" spans="2:9" ht="15" customHeight="1" x14ac:dyDescent="0.25">
      <c r="B21323" s="55" t="s">
        <v>283</v>
      </c>
      <c r="C21323" s="46">
        <v>1311</v>
      </c>
      <c r="D21323" s="69" t="s">
        <v>29420</v>
      </c>
      <c r="E21323" s="51"/>
      <c r="F21323" s="114" t="str">
        <f>IF(INDEX(I.Facility.P4IDNumber,1311)="","",INDEX(I.Facility.P4IDNumber,1311))</f>
        <v/>
      </c>
      <c r="G21323" s="51"/>
      <c r="H21323" s="46" t="str">
        <f>IF(AND(I.Developer.P4=TRUE,I.Facility.P4FacilityCount&gt;=1311,F21323=""),"Incomplete","Complete")</f>
        <v>Complete</v>
      </c>
      <c r="I21323" s="48" t="s">
        <v>25688</v>
      </c>
    </row>
    <row r="21324" spans="2:9" ht="15" customHeight="1" x14ac:dyDescent="0.25">
      <c r="B21324" s="55" t="s">
        <v>283</v>
      </c>
      <c r="C21324" s="46">
        <v>1312</v>
      </c>
      <c r="D21324" s="69" t="s">
        <v>29420</v>
      </c>
      <c r="E21324" s="51"/>
      <c r="F21324" s="114" t="str">
        <f>IF(INDEX(I.Facility.P4IDNumber,1312)="","",INDEX(I.Facility.P4IDNumber,1312))</f>
        <v/>
      </c>
      <c r="G21324" s="51"/>
      <c r="H21324" s="46" t="str">
        <f>IF(AND(I.Developer.P4=TRUE,I.Facility.P4FacilityCount&gt;=1312,F21324=""),"Incomplete","Complete")</f>
        <v>Complete</v>
      </c>
      <c r="I21324" s="48" t="s">
        <v>25689</v>
      </c>
    </row>
    <row r="21325" spans="2:9" ht="15" customHeight="1" x14ac:dyDescent="0.25">
      <c r="B21325" s="55" t="s">
        <v>283</v>
      </c>
      <c r="C21325" s="46">
        <v>1313</v>
      </c>
      <c r="D21325" s="69" t="s">
        <v>29420</v>
      </c>
      <c r="E21325" s="51"/>
      <c r="F21325" s="114" t="str">
        <f>IF(INDEX(I.Facility.P4IDNumber,1313)="","",INDEX(I.Facility.P4IDNumber,1313))</f>
        <v/>
      </c>
      <c r="G21325" s="51"/>
      <c r="H21325" s="46" t="str">
        <f>IF(AND(I.Developer.P4=TRUE,I.Facility.P4FacilityCount&gt;=1313,F21325=""),"Incomplete","Complete")</f>
        <v>Complete</v>
      </c>
      <c r="I21325" s="48" t="s">
        <v>25690</v>
      </c>
    </row>
    <row r="21326" spans="2:9" ht="15" customHeight="1" x14ac:dyDescent="0.25">
      <c r="B21326" s="55" t="s">
        <v>283</v>
      </c>
      <c r="C21326" s="46">
        <v>1314</v>
      </c>
      <c r="D21326" s="69" t="s">
        <v>29420</v>
      </c>
      <c r="E21326" s="51"/>
      <c r="F21326" s="114" t="str">
        <f>IF(INDEX(I.Facility.P4IDNumber,1314)="","",INDEX(I.Facility.P4IDNumber,1314))</f>
        <v/>
      </c>
      <c r="G21326" s="51"/>
      <c r="H21326" s="46" t="str">
        <f>IF(AND(I.Developer.P4=TRUE,I.Facility.P4FacilityCount&gt;=1314,F21326=""),"Incomplete","Complete")</f>
        <v>Complete</v>
      </c>
      <c r="I21326" s="48" t="s">
        <v>25691</v>
      </c>
    </row>
    <row r="21327" spans="2:9" ht="15" customHeight="1" x14ac:dyDescent="0.25">
      <c r="B21327" s="55" t="s">
        <v>283</v>
      </c>
      <c r="C21327" s="46">
        <v>1315</v>
      </c>
      <c r="D21327" s="69" t="s">
        <v>29420</v>
      </c>
      <c r="E21327" s="51"/>
      <c r="F21327" s="114" t="str">
        <f>IF(INDEX(I.Facility.P4IDNumber,1315)="","",INDEX(I.Facility.P4IDNumber,1315))</f>
        <v/>
      </c>
      <c r="G21327" s="51"/>
      <c r="H21327" s="46" t="str">
        <f>IF(AND(I.Developer.P4=TRUE,I.Facility.P4FacilityCount&gt;=1315,F21327=""),"Incomplete","Complete")</f>
        <v>Complete</v>
      </c>
      <c r="I21327" s="48" t="s">
        <v>25692</v>
      </c>
    </row>
    <row r="21328" spans="2:9" ht="15" customHeight="1" x14ac:dyDescent="0.25">
      <c r="B21328" s="55" t="s">
        <v>283</v>
      </c>
      <c r="C21328" s="46">
        <v>1316</v>
      </c>
      <c r="D21328" s="69" t="s">
        <v>29420</v>
      </c>
      <c r="E21328" s="51"/>
      <c r="F21328" s="114" t="str">
        <f>IF(INDEX(I.Facility.P4IDNumber,1316)="","",INDEX(I.Facility.P4IDNumber,1316))</f>
        <v/>
      </c>
      <c r="G21328" s="51"/>
      <c r="H21328" s="46" t="str">
        <f>IF(AND(I.Developer.P4=TRUE,I.Facility.P4FacilityCount&gt;=1316,F21328=""),"Incomplete","Complete")</f>
        <v>Complete</v>
      </c>
      <c r="I21328" s="48" t="s">
        <v>25693</v>
      </c>
    </row>
    <row r="21329" spans="2:9" ht="15" customHeight="1" x14ac:dyDescent="0.25">
      <c r="B21329" s="55" t="s">
        <v>283</v>
      </c>
      <c r="C21329" s="46">
        <v>1317</v>
      </c>
      <c r="D21329" s="69" t="s">
        <v>29420</v>
      </c>
      <c r="E21329" s="51"/>
      <c r="F21329" s="114" t="str">
        <f>IF(INDEX(I.Facility.P4IDNumber,1317)="","",INDEX(I.Facility.P4IDNumber,1317))</f>
        <v/>
      </c>
      <c r="G21329" s="51"/>
      <c r="H21329" s="46" t="str">
        <f>IF(AND(I.Developer.P4=TRUE,I.Facility.P4FacilityCount&gt;=1317,F21329=""),"Incomplete","Complete")</f>
        <v>Complete</v>
      </c>
      <c r="I21329" s="48" t="s">
        <v>25694</v>
      </c>
    </row>
    <row r="21330" spans="2:9" ht="15" customHeight="1" x14ac:dyDescent="0.25">
      <c r="B21330" s="55" t="s">
        <v>283</v>
      </c>
      <c r="C21330" s="46">
        <v>1318</v>
      </c>
      <c r="D21330" s="69" t="s">
        <v>29420</v>
      </c>
      <c r="E21330" s="51"/>
      <c r="F21330" s="114" t="str">
        <f>IF(INDEX(I.Facility.P4IDNumber,1318)="","",INDEX(I.Facility.P4IDNumber,1318))</f>
        <v/>
      </c>
      <c r="G21330" s="51"/>
      <c r="H21330" s="46" t="str">
        <f>IF(AND(I.Developer.P4=TRUE,I.Facility.P4FacilityCount&gt;=1318,F21330=""),"Incomplete","Complete")</f>
        <v>Complete</v>
      </c>
      <c r="I21330" s="48" t="s">
        <v>25695</v>
      </c>
    </row>
    <row r="21331" spans="2:9" ht="15" customHeight="1" x14ac:dyDescent="0.25">
      <c r="B21331" s="55" t="s">
        <v>283</v>
      </c>
      <c r="C21331" s="46">
        <v>1319</v>
      </c>
      <c r="D21331" s="69" t="s">
        <v>29420</v>
      </c>
      <c r="E21331" s="51"/>
      <c r="F21331" s="114" t="str">
        <f>IF(INDEX(I.Facility.P4IDNumber,1319)="","",INDEX(I.Facility.P4IDNumber,1319))</f>
        <v/>
      </c>
      <c r="G21331" s="51"/>
      <c r="H21331" s="46" t="str">
        <f>IF(AND(I.Developer.P4=TRUE,I.Facility.P4FacilityCount&gt;=1319,F21331=""),"Incomplete","Complete")</f>
        <v>Complete</v>
      </c>
      <c r="I21331" s="48" t="s">
        <v>25696</v>
      </c>
    </row>
    <row r="21332" spans="2:9" ht="15" customHeight="1" x14ac:dyDescent="0.25">
      <c r="B21332" s="55" t="s">
        <v>283</v>
      </c>
      <c r="C21332" s="46">
        <v>1320</v>
      </c>
      <c r="D21332" s="69" t="s">
        <v>29420</v>
      </c>
      <c r="E21332" s="51"/>
      <c r="F21332" s="114" t="str">
        <f>IF(INDEX(I.Facility.P4IDNumber,1320)="","",INDEX(I.Facility.P4IDNumber,1320))</f>
        <v/>
      </c>
      <c r="G21332" s="51"/>
      <c r="H21332" s="46" t="str">
        <f>IF(AND(I.Developer.P4=TRUE,I.Facility.P4FacilityCount&gt;=1320,F21332=""),"Incomplete","Complete")</f>
        <v>Complete</v>
      </c>
      <c r="I21332" s="48" t="s">
        <v>25697</v>
      </c>
    </row>
    <row r="21333" spans="2:9" ht="15" customHeight="1" x14ac:dyDescent="0.25">
      <c r="B21333" s="55" t="s">
        <v>283</v>
      </c>
      <c r="C21333" s="46">
        <v>1321</v>
      </c>
      <c r="D21333" s="69" t="s">
        <v>29420</v>
      </c>
      <c r="E21333" s="51"/>
      <c r="F21333" s="114" t="str">
        <f>IF(INDEX(I.Facility.P4IDNumber,1321)="","",INDEX(I.Facility.P4IDNumber,1321))</f>
        <v/>
      </c>
      <c r="G21333" s="51"/>
      <c r="H21333" s="46" t="str">
        <f>IF(AND(I.Developer.P4=TRUE,I.Facility.P4FacilityCount&gt;=1321,F21333=""),"Incomplete","Complete")</f>
        <v>Complete</v>
      </c>
      <c r="I21333" s="48" t="s">
        <v>25698</v>
      </c>
    </row>
    <row r="21334" spans="2:9" ht="15" customHeight="1" x14ac:dyDescent="0.25">
      <c r="B21334" s="55" t="s">
        <v>283</v>
      </c>
      <c r="C21334" s="46">
        <v>1322</v>
      </c>
      <c r="D21334" s="69" t="s">
        <v>29420</v>
      </c>
      <c r="E21334" s="51"/>
      <c r="F21334" s="114" t="str">
        <f>IF(INDEX(I.Facility.P4IDNumber,1322)="","",INDEX(I.Facility.P4IDNumber,1322))</f>
        <v/>
      </c>
      <c r="G21334" s="51"/>
      <c r="H21334" s="46" t="str">
        <f>IF(AND(I.Developer.P4=TRUE,I.Facility.P4FacilityCount&gt;=1322,F21334=""),"Incomplete","Complete")</f>
        <v>Complete</v>
      </c>
      <c r="I21334" s="48" t="s">
        <v>25699</v>
      </c>
    </row>
    <row r="21335" spans="2:9" ht="15" customHeight="1" x14ac:dyDescent="0.25">
      <c r="B21335" s="55" t="s">
        <v>283</v>
      </c>
      <c r="C21335" s="46">
        <v>1323</v>
      </c>
      <c r="D21335" s="69" t="s">
        <v>29420</v>
      </c>
      <c r="E21335" s="51"/>
      <c r="F21335" s="114" t="str">
        <f>IF(INDEX(I.Facility.P4IDNumber,1323)="","",INDEX(I.Facility.P4IDNumber,1323))</f>
        <v/>
      </c>
      <c r="G21335" s="51"/>
      <c r="H21335" s="46" t="str">
        <f>IF(AND(I.Developer.P4=TRUE,I.Facility.P4FacilityCount&gt;=1323,F21335=""),"Incomplete","Complete")</f>
        <v>Complete</v>
      </c>
      <c r="I21335" s="48" t="s">
        <v>25700</v>
      </c>
    </row>
    <row r="21336" spans="2:9" ht="15" customHeight="1" x14ac:dyDescent="0.25">
      <c r="B21336" s="55" t="s">
        <v>283</v>
      </c>
      <c r="C21336" s="46">
        <v>1324</v>
      </c>
      <c r="D21336" s="69" t="s">
        <v>29420</v>
      </c>
      <c r="E21336" s="51"/>
      <c r="F21336" s="114" t="str">
        <f>IF(INDEX(I.Facility.P4IDNumber,1324)="","",INDEX(I.Facility.P4IDNumber,1324))</f>
        <v/>
      </c>
      <c r="G21336" s="51"/>
      <c r="H21336" s="46" t="str">
        <f>IF(AND(I.Developer.P4=TRUE,I.Facility.P4FacilityCount&gt;=1324,F21336=""),"Incomplete","Complete")</f>
        <v>Complete</v>
      </c>
      <c r="I21336" s="48" t="s">
        <v>25701</v>
      </c>
    </row>
    <row r="21337" spans="2:9" ht="15" customHeight="1" x14ac:dyDescent="0.25">
      <c r="B21337" s="55" t="s">
        <v>283</v>
      </c>
      <c r="C21337" s="46">
        <v>1325</v>
      </c>
      <c r="D21337" s="69" t="s">
        <v>29420</v>
      </c>
      <c r="E21337" s="51"/>
      <c r="F21337" s="114" t="str">
        <f>IF(INDEX(I.Facility.P4IDNumber,1325)="","",INDEX(I.Facility.P4IDNumber,1325))</f>
        <v/>
      </c>
      <c r="G21337" s="51"/>
      <c r="H21337" s="46" t="str">
        <f>IF(AND(I.Developer.P4=TRUE,I.Facility.P4FacilityCount&gt;=1325,F21337=""),"Incomplete","Complete")</f>
        <v>Complete</v>
      </c>
      <c r="I21337" s="48" t="s">
        <v>25702</v>
      </c>
    </row>
    <row r="21338" spans="2:9" ht="15" customHeight="1" x14ac:dyDescent="0.25">
      <c r="B21338" s="55" t="s">
        <v>283</v>
      </c>
      <c r="C21338" s="46">
        <v>1326</v>
      </c>
      <c r="D21338" s="69" t="s">
        <v>29420</v>
      </c>
      <c r="E21338" s="51"/>
      <c r="F21338" s="114" t="str">
        <f>IF(INDEX(I.Facility.P4IDNumber,1326)="","",INDEX(I.Facility.P4IDNumber,1326))</f>
        <v/>
      </c>
      <c r="G21338" s="51"/>
      <c r="H21338" s="46" t="str">
        <f>IF(AND(I.Developer.P4=TRUE,I.Facility.P4FacilityCount&gt;=1326,F21338=""),"Incomplete","Complete")</f>
        <v>Complete</v>
      </c>
      <c r="I21338" s="48" t="s">
        <v>25703</v>
      </c>
    </row>
    <row r="21339" spans="2:9" ht="15" customHeight="1" x14ac:dyDescent="0.25">
      <c r="B21339" s="55" t="s">
        <v>283</v>
      </c>
      <c r="C21339" s="46">
        <v>1327</v>
      </c>
      <c r="D21339" s="69" t="s">
        <v>29420</v>
      </c>
      <c r="E21339" s="51"/>
      <c r="F21339" s="114" t="str">
        <f>IF(INDEX(I.Facility.P4IDNumber,1327)="","",INDEX(I.Facility.P4IDNumber,1327))</f>
        <v/>
      </c>
      <c r="G21339" s="51"/>
      <c r="H21339" s="46" t="str">
        <f>IF(AND(I.Developer.P4=TRUE,I.Facility.P4FacilityCount&gt;=1327,F21339=""),"Incomplete","Complete")</f>
        <v>Complete</v>
      </c>
      <c r="I21339" s="48" t="s">
        <v>25704</v>
      </c>
    </row>
    <row r="21340" spans="2:9" ht="15" customHeight="1" x14ac:dyDescent="0.25">
      <c r="B21340" s="55" t="s">
        <v>283</v>
      </c>
      <c r="C21340" s="46">
        <v>1328</v>
      </c>
      <c r="D21340" s="69" t="s">
        <v>29420</v>
      </c>
      <c r="E21340" s="51"/>
      <c r="F21340" s="114" t="str">
        <f>IF(INDEX(I.Facility.P4IDNumber,1328)="","",INDEX(I.Facility.P4IDNumber,1328))</f>
        <v/>
      </c>
      <c r="G21340" s="51"/>
      <c r="H21340" s="46" t="str">
        <f>IF(AND(I.Developer.P4=TRUE,I.Facility.P4FacilityCount&gt;=1328,F21340=""),"Incomplete","Complete")</f>
        <v>Complete</v>
      </c>
      <c r="I21340" s="48" t="s">
        <v>25705</v>
      </c>
    </row>
    <row r="21341" spans="2:9" ht="15" customHeight="1" x14ac:dyDescent="0.25">
      <c r="B21341" s="55" t="s">
        <v>283</v>
      </c>
      <c r="C21341" s="46">
        <v>1329</v>
      </c>
      <c r="D21341" s="69" t="s">
        <v>29420</v>
      </c>
      <c r="E21341" s="51"/>
      <c r="F21341" s="114" t="str">
        <f>IF(INDEX(I.Facility.P4IDNumber,1329)="","",INDEX(I.Facility.P4IDNumber,1329))</f>
        <v/>
      </c>
      <c r="G21341" s="51"/>
      <c r="H21341" s="46" t="str">
        <f>IF(AND(I.Developer.P4=TRUE,I.Facility.P4FacilityCount&gt;=1329,F21341=""),"Incomplete","Complete")</f>
        <v>Complete</v>
      </c>
      <c r="I21341" s="48" t="s">
        <v>25706</v>
      </c>
    </row>
    <row r="21342" spans="2:9" ht="15" customHeight="1" x14ac:dyDescent="0.25">
      <c r="B21342" s="55" t="s">
        <v>283</v>
      </c>
      <c r="C21342" s="46">
        <v>1330</v>
      </c>
      <c r="D21342" s="69" t="s">
        <v>29420</v>
      </c>
      <c r="E21342" s="51"/>
      <c r="F21342" s="114" t="str">
        <f>IF(INDEX(I.Facility.P4IDNumber,1330)="","",INDEX(I.Facility.P4IDNumber,1330))</f>
        <v/>
      </c>
      <c r="G21342" s="51"/>
      <c r="H21342" s="46" t="str">
        <f>IF(AND(I.Developer.P4=TRUE,I.Facility.P4FacilityCount&gt;=1330,F21342=""),"Incomplete","Complete")</f>
        <v>Complete</v>
      </c>
      <c r="I21342" s="48" t="s">
        <v>25707</v>
      </c>
    </row>
    <row r="21343" spans="2:9" ht="15" customHeight="1" x14ac:dyDescent="0.25">
      <c r="B21343" s="55" t="s">
        <v>283</v>
      </c>
      <c r="C21343" s="46">
        <v>1331</v>
      </c>
      <c r="D21343" s="69" t="s">
        <v>29420</v>
      </c>
      <c r="E21343" s="51"/>
      <c r="F21343" s="114" t="str">
        <f>IF(INDEX(I.Facility.P4IDNumber,1331)="","",INDEX(I.Facility.P4IDNumber,1331))</f>
        <v/>
      </c>
      <c r="G21343" s="51"/>
      <c r="H21343" s="46" t="str">
        <f>IF(AND(I.Developer.P4=TRUE,I.Facility.P4FacilityCount&gt;=1331,F21343=""),"Incomplete","Complete")</f>
        <v>Complete</v>
      </c>
      <c r="I21343" s="48" t="s">
        <v>25708</v>
      </c>
    </row>
    <row r="21344" spans="2:9" ht="15" customHeight="1" x14ac:dyDescent="0.25">
      <c r="B21344" s="55" t="s">
        <v>283</v>
      </c>
      <c r="C21344" s="46">
        <v>1332</v>
      </c>
      <c r="D21344" s="69" t="s">
        <v>29420</v>
      </c>
      <c r="E21344" s="51"/>
      <c r="F21344" s="114" t="str">
        <f>IF(INDEX(I.Facility.P4IDNumber,1332)="","",INDEX(I.Facility.P4IDNumber,1332))</f>
        <v/>
      </c>
      <c r="G21344" s="51"/>
      <c r="H21344" s="46" t="str">
        <f>IF(AND(I.Developer.P4=TRUE,I.Facility.P4FacilityCount&gt;=1332,F21344=""),"Incomplete","Complete")</f>
        <v>Complete</v>
      </c>
      <c r="I21344" s="48" t="s">
        <v>25709</v>
      </c>
    </row>
    <row r="21345" spans="2:9" ht="15" customHeight="1" x14ac:dyDescent="0.25">
      <c r="B21345" s="55" t="s">
        <v>283</v>
      </c>
      <c r="C21345" s="46">
        <v>1333</v>
      </c>
      <c r="D21345" s="69" t="s">
        <v>29420</v>
      </c>
      <c r="E21345" s="51"/>
      <c r="F21345" s="114" t="str">
        <f>IF(INDEX(I.Facility.P4IDNumber,1333)="","",INDEX(I.Facility.P4IDNumber,1333))</f>
        <v/>
      </c>
      <c r="G21345" s="51"/>
      <c r="H21345" s="46" t="str">
        <f>IF(AND(I.Developer.P4=TRUE,I.Facility.P4FacilityCount&gt;=1333,F21345=""),"Incomplete","Complete")</f>
        <v>Complete</v>
      </c>
      <c r="I21345" s="48" t="s">
        <v>25710</v>
      </c>
    </row>
    <row r="21346" spans="2:9" ht="15" customHeight="1" x14ac:dyDescent="0.25">
      <c r="B21346" s="55" t="s">
        <v>283</v>
      </c>
      <c r="C21346" s="46">
        <v>1334</v>
      </c>
      <c r="D21346" s="69" t="s">
        <v>29420</v>
      </c>
      <c r="E21346" s="51"/>
      <c r="F21346" s="114" t="str">
        <f>IF(INDEX(I.Facility.P4IDNumber,1334)="","",INDEX(I.Facility.P4IDNumber,1334))</f>
        <v/>
      </c>
      <c r="G21346" s="51"/>
      <c r="H21346" s="46" t="str">
        <f>IF(AND(I.Developer.P4=TRUE,I.Facility.P4FacilityCount&gt;=1334,F21346=""),"Incomplete","Complete")</f>
        <v>Complete</v>
      </c>
      <c r="I21346" s="48" t="s">
        <v>25711</v>
      </c>
    </row>
    <row r="21347" spans="2:9" ht="15" customHeight="1" x14ac:dyDescent="0.25">
      <c r="B21347" s="55" t="s">
        <v>283</v>
      </c>
      <c r="C21347" s="46">
        <v>1335</v>
      </c>
      <c r="D21347" s="69" t="s">
        <v>29420</v>
      </c>
      <c r="E21347" s="51"/>
      <c r="F21347" s="114" t="str">
        <f>IF(INDEX(I.Facility.P4IDNumber,1335)="","",INDEX(I.Facility.P4IDNumber,1335))</f>
        <v/>
      </c>
      <c r="G21347" s="51"/>
      <c r="H21347" s="46" t="str">
        <f>IF(AND(I.Developer.P4=TRUE,I.Facility.P4FacilityCount&gt;=1335,F21347=""),"Incomplete","Complete")</f>
        <v>Complete</v>
      </c>
      <c r="I21347" s="48" t="s">
        <v>25712</v>
      </c>
    </row>
    <row r="21348" spans="2:9" ht="15" customHeight="1" x14ac:dyDescent="0.25">
      <c r="B21348" s="55" t="s">
        <v>283</v>
      </c>
      <c r="C21348" s="46">
        <v>1336</v>
      </c>
      <c r="D21348" s="69" t="s">
        <v>29420</v>
      </c>
      <c r="E21348" s="51"/>
      <c r="F21348" s="114" t="str">
        <f>IF(INDEX(I.Facility.P4IDNumber,1336)="","",INDEX(I.Facility.P4IDNumber,1336))</f>
        <v/>
      </c>
      <c r="G21348" s="51"/>
      <c r="H21348" s="46" t="str">
        <f>IF(AND(I.Developer.P4=TRUE,I.Facility.P4FacilityCount&gt;=1336,F21348=""),"Incomplete","Complete")</f>
        <v>Complete</v>
      </c>
      <c r="I21348" s="48" t="s">
        <v>25713</v>
      </c>
    </row>
    <row r="21349" spans="2:9" ht="15" customHeight="1" x14ac:dyDescent="0.25">
      <c r="B21349" s="55" t="s">
        <v>283</v>
      </c>
      <c r="C21349" s="46">
        <v>1337</v>
      </c>
      <c r="D21349" s="69" t="s">
        <v>29420</v>
      </c>
      <c r="E21349" s="51"/>
      <c r="F21349" s="114" t="str">
        <f>IF(INDEX(I.Facility.P4IDNumber,1337)="","",INDEX(I.Facility.P4IDNumber,1337))</f>
        <v/>
      </c>
      <c r="G21349" s="51"/>
      <c r="H21349" s="46" t="str">
        <f>IF(AND(I.Developer.P4=TRUE,I.Facility.P4FacilityCount&gt;=1337,F21349=""),"Incomplete","Complete")</f>
        <v>Complete</v>
      </c>
      <c r="I21349" s="48" t="s">
        <v>25714</v>
      </c>
    </row>
    <row r="21350" spans="2:9" ht="15" customHeight="1" x14ac:dyDescent="0.25">
      <c r="B21350" s="55" t="s">
        <v>283</v>
      </c>
      <c r="C21350" s="46">
        <v>1338</v>
      </c>
      <c r="D21350" s="69" t="s">
        <v>29420</v>
      </c>
      <c r="E21350" s="51"/>
      <c r="F21350" s="114" t="str">
        <f>IF(INDEX(I.Facility.P4IDNumber,1338)="","",INDEX(I.Facility.P4IDNumber,1338))</f>
        <v/>
      </c>
      <c r="G21350" s="51"/>
      <c r="H21350" s="46" t="str">
        <f>IF(AND(I.Developer.P4=TRUE,I.Facility.P4FacilityCount&gt;=1338,F21350=""),"Incomplete","Complete")</f>
        <v>Complete</v>
      </c>
      <c r="I21350" s="48" t="s">
        <v>25715</v>
      </c>
    </row>
    <row r="21351" spans="2:9" ht="15" customHeight="1" x14ac:dyDescent="0.25">
      <c r="B21351" s="55" t="s">
        <v>283</v>
      </c>
      <c r="C21351" s="46">
        <v>1339</v>
      </c>
      <c r="D21351" s="69" t="s">
        <v>29420</v>
      </c>
      <c r="E21351" s="51"/>
      <c r="F21351" s="114" t="str">
        <f>IF(INDEX(I.Facility.P4IDNumber,1339)="","",INDEX(I.Facility.P4IDNumber,1339))</f>
        <v/>
      </c>
      <c r="G21351" s="51"/>
      <c r="H21351" s="46" t="str">
        <f>IF(AND(I.Developer.P4=TRUE,I.Facility.P4FacilityCount&gt;=1339,F21351=""),"Incomplete","Complete")</f>
        <v>Complete</v>
      </c>
      <c r="I21351" s="48" t="s">
        <v>25716</v>
      </c>
    </row>
    <row r="21352" spans="2:9" ht="15" customHeight="1" x14ac:dyDescent="0.25">
      <c r="B21352" s="55" t="s">
        <v>283</v>
      </c>
      <c r="C21352" s="46">
        <v>1340</v>
      </c>
      <c r="D21352" s="69" t="s">
        <v>29420</v>
      </c>
      <c r="E21352" s="51"/>
      <c r="F21352" s="114" t="str">
        <f>IF(INDEX(I.Facility.P4IDNumber,1340)="","",INDEX(I.Facility.P4IDNumber,1340))</f>
        <v/>
      </c>
      <c r="G21352" s="51"/>
      <c r="H21352" s="46" t="str">
        <f>IF(AND(I.Developer.P4=TRUE,I.Facility.P4FacilityCount&gt;=1340,F21352=""),"Incomplete","Complete")</f>
        <v>Complete</v>
      </c>
      <c r="I21352" s="48" t="s">
        <v>25717</v>
      </c>
    </row>
    <row r="21353" spans="2:9" ht="15" customHeight="1" x14ac:dyDescent="0.25">
      <c r="B21353" s="55" t="s">
        <v>283</v>
      </c>
      <c r="C21353" s="46">
        <v>1341</v>
      </c>
      <c r="D21353" s="69" t="s">
        <v>29420</v>
      </c>
      <c r="E21353" s="51"/>
      <c r="F21353" s="114" t="str">
        <f>IF(INDEX(I.Facility.P4IDNumber,1341)="","",INDEX(I.Facility.P4IDNumber,1341))</f>
        <v/>
      </c>
      <c r="G21353" s="51"/>
      <c r="H21353" s="46" t="str">
        <f>IF(AND(I.Developer.P4=TRUE,I.Facility.P4FacilityCount&gt;=1341,F21353=""),"Incomplete","Complete")</f>
        <v>Complete</v>
      </c>
      <c r="I21353" s="48" t="s">
        <v>25718</v>
      </c>
    </row>
    <row r="21354" spans="2:9" ht="15" customHeight="1" x14ac:dyDescent="0.25">
      <c r="B21354" s="55" t="s">
        <v>283</v>
      </c>
      <c r="C21354" s="46">
        <v>1342</v>
      </c>
      <c r="D21354" s="69" t="s">
        <v>29420</v>
      </c>
      <c r="E21354" s="51"/>
      <c r="F21354" s="114" t="str">
        <f>IF(INDEX(I.Facility.P4IDNumber,1342)="","",INDEX(I.Facility.P4IDNumber,1342))</f>
        <v/>
      </c>
      <c r="G21354" s="51"/>
      <c r="H21354" s="46" t="str">
        <f>IF(AND(I.Developer.P4=TRUE,I.Facility.P4FacilityCount&gt;=1342,F21354=""),"Incomplete","Complete")</f>
        <v>Complete</v>
      </c>
      <c r="I21354" s="48" t="s">
        <v>25719</v>
      </c>
    </row>
    <row r="21355" spans="2:9" ht="15" customHeight="1" x14ac:dyDescent="0.25">
      <c r="B21355" s="55" t="s">
        <v>283</v>
      </c>
      <c r="C21355" s="46">
        <v>1343</v>
      </c>
      <c r="D21355" s="69" t="s">
        <v>29420</v>
      </c>
      <c r="E21355" s="51"/>
      <c r="F21355" s="114" t="str">
        <f>IF(INDEX(I.Facility.P4IDNumber,1343)="","",INDEX(I.Facility.P4IDNumber,1343))</f>
        <v/>
      </c>
      <c r="G21355" s="51"/>
      <c r="H21355" s="46" t="str">
        <f>IF(AND(I.Developer.P4=TRUE,I.Facility.P4FacilityCount&gt;=1343,F21355=""),"Incomplete","Complete")</f>
        <v>Complete</v>
      </c>
      <c r="I21355" s="48" t="s">
        <v>25720</v>
      </c>
    </row>
    <row r="21356" spans="2:9" ht="15" customHeight="1" x14ac:dyDescent="0.25">
      <c r="B21356" s="55" t="s">
        <v>283</v>
      </c>
      <c r="C21356" s="46">
        <v>1344</v>
      </c>
      <c r="D21356" s="69" t="s">
        <v>29420</v>
      </c>
      <c r="E21356" s="51"/>
      <c r="F21356" s="114" t="str">
        <f>IF(INDEX(I.Facility.P4IDNumber,1344)="","",INDEX(I.Facility.P4IDNumber,1344))</f>
        <v/>
      </c>
      <c r="G21356" s="51"/>
      <c r="H21356" s="46" t="str">
        <f>IF(AND(I.Developer.P4=TRUE,I.Facility.P4FacilityCount&gt;=1344,F21356=""),"Incomplete","Complete")</f>
        <v>Complete</v>
      </c>
      <c r="I21356" s="48" t="s">
        <v>25721</v>
      </c>
    </row>
    <row r="21357" spans="2:9" ht="15" customHeight="1" x14ac:dyDescent="0.25">
      <c r="B21357" s="55" t="s">
        <v>283</v>
      </c>
      <c r="C21357" s="46">
        <v>1345</v>
      </c>
      <c r="D21357" s="69" t="s">
        <v>29420</v>
      </c>
      <c r="E21357" s="51"/>
      <c r="F21357" s="114" t="str">
        <f>IF(INDEX(I.Facility.P4IDNumber,1345)="","",INDEX(I.Facility.P4IDNumber,1345))</f>
        <v/>
      </c>
      <c r="G21357" s="51"/>
      <c r="H21357" s="46" t="str">
        <f>IF(AND(I.Developer.P4=TRUE,I.Facility.P4FacilityCount&gt;=1345,F21357=""),"Incomplete","Complete")</f>
        <v>Complete</v>
      </c>
      <c r="I21357" s="48" t="s">
        <v>25722</v>
      </c>
    </row>
    <row r="21358" spans="2:9" ht="15" customHeight="1" x14ac:dyDescent="0.25">
      <c r="B21358" s="55" t="s">
        <v>283</v>
      </c>
      <c r="C21358" s="46">
        <v>1346</v>
      </c>
      <c r="D21358" s="69" t="s">
        <v>29420</v>
      </c>
      <c r="E21358" s="51"/>
      <c r="F21358" s="114" t="str">
        <f>IF(INDEX(I.Facility.P4IDNumber,1346)="","",INDEX(I.Facility.P4IDNumber,1346))</f>
        <v/>
      </c>
      <c r="G21358" s="51"/>
      <c r="H21358" s="46" t="str">
        <f>IF(AND(I.Developer.P4=TRUE,I.Facility.P4FacilityCount&gt;=1346,F21358=""),"Incomplete","Complete")</f>
        <v>Complete</v>
      </c>
      <c r="I21358" s="48" t="s">
        <v>25723</v>
      </c>
    </row>
    <row r="21359" spans="2:9" ht="15" customHeight="1" x14ac:dyDescent="0.25">
      <c r="B21359" s="55" t="s">
        <v>283</v>
      </c>
      <c r="C21359" s="46">
        <v>1347</v>
      </c>
      <c r="D21359" s="69" t="s">
        <v>29420</v>
      </c>
      <c r="E21359" s="51"/>
      <c r="F21359" s="114" t="str">
        <f>IF(INDEX(I.Facility.P4IDNumber,1347)="","",INDEX(I.Facility.P4IDNumber,1347))</f>
        <v/>
      </c>
      <c r="G21359" s="51"/>
      <c r="H21359" s="46" t="str">
        <f>IF(AND(I.Developer.P4=TRUE,I.Facility.P4FacilityCount&gt;=1347,F21359=""),"Incomplete","Complete")</f>
        <v>Complete</v>
      </c>
      <c r="I21359" s="48" t="s">
        <v>25724</v>
      </c>
    </row>
    <row r="21360" spans="2:9" ht="15" customHeight="1" x14ac:dyDescent="0.25">
      <c r="B21360" s="55" t="s">
        <v>283</v>
      </c>
      <c r="C21360" s="46">
        <v>1348</v>
      </c>
      <c r="D21360" s="69" t="s">
        <v>29420</v>
      </c>
      <c r="E21360" s="51"/>
      <c r="F21360" s="114" t="str">
        <f>IF(INDEX(I.Facility.P4IDNumber,1348)="","",INDEX(I.Facility.P4IDNumber,1348))</f>
        <v/>
      </c>
      <c r="G21360" s="51"/>
      <c r="H21360" s="46" t="str">
        <f>IF(AND(I.Developer.P4=TRUE,I.Facility.P4FacilityCount&gt;=1348,F21360=""),"Incomplete","Complete")</f>
        <v>Complete</v>
      </c>
      <c r="I21360" s="48" t="s">
        <v>25725</v>
      </c>
    </row>
    <row r="21361" spans="2:9" ht="15" customHeight="1" x14ac:dyDescent="0.25">
      <c r="B21361" s="55" t="s">
        <v>283</v>
      </c>
      <c r="C21361" s="46">
        <v>1349</v>
      </c>
      <c r="D21361" s="69" t="s">
        <v>29420</v>
      </c>
      <c r="E21361" s="51"/>
      <c r="F21361" s="114" t="str">
        <f>IF(INDEX(I.Facility.P4IDNumber,1349)="","",INDEX(I.Facility.P4IDNumber,1349))</f>
        <v/>
      </c>
      <c r="G21361" s="51"/>
      <c r="H21361" s="46" t="str">
        <f>IF(AND(I.Developer.P4=TRUE,I.Facility.P4FacilityCount&gt;=1349,F21361=""),"Incomplete","Complete")</f>
        <v>Complete</v>
      </c>
      <c r="I21361" s="48" t="s">
        <v>25726</v>
      </c>
    </row>
    <row r="21362" spans="2:9" ht="15" customHeight="1" x14ac:dyDescent="0.25">
      <c r="B21362" s="55" t="s">
        <v>283</v>
      </c>
      <c r="C21362" s="46">
        <v>1350</v>
      </c>
      <c r="D21362" s="69" t="s">
        <v>29420</v>
      </c>
      <c r="E21362" s="51"/>
      <c r="F21362" s="114" t="str">
        <f>IF(INDEX(I.Facility.P4IDNumber,1350)="","",INDEX(I.Facility.P4IDNumber,1350))</f>
        <v/>
      </c>
      <c r="G21362" s="51"/>
      <c r="H21362" s="46" t="str">
        <f>IF(AND(I.Developer.P4=TRUE,I.Facility.P4FacilityCount&gt;=1350,F21362=""),"Incomplete","Complete")</f>
        <v>Complete</v>
      </c>
      <c r="I21362" s="48" t="s">
        <v>25727</v>
      </c>
    </row>
    <row r="21363" spans="2:9" ht="15" customHeight="1" x14ac:dyDescent="0.25">
      <c r="B21363" s="55" t="s">
        <v>283</v>
      </c>
      <c r="C21363" s="46">
        <v>1351</v>
      </c>
      <c r="D21363" s="69" t="s">
        <v>29420</v>
      </c>
      <c r="E21363" s="51"/>
      <c r="F21363" s="114" t="str">
        <f>IF(INDEX(I.Facility.P4IDNumber,1351)="","",INDEX(I.Facility.P4IDNumber,1351))</f>
        <v/>
      </c>
      <c r="G21363" s="51"/>
      <c r="H21363" s="46" t="str">
        <f>IF(AND(I.Developer.P4=TRUE,I.Facility.P4FacilityCount&gt;=1351,F21363=""),"Incomplete","Complete")</f>
        <v>Complete</v>
      </c>
      <c r="I21363" s="48" t="s">
        <v>25728</v>
      </c>
    </row>
    <row r="21364" spans="2:9" ht="15" customHeight="1" x14ac:dyDescent="0.25">
      <c r="B21364" s="55" t="s">
        <v>283</v>
      </c>
      <c r="C21364" s="46">
        <v>1352</v>
      </c>
      <c r="D21364" s="69" t="s">
        <v>29420</v>
      </c>
      <c r="E21364" s="51"/>
      <c r="F21364" s="114" t="str">
        <f>IF(INDEX(I.Facility.P4IDNumber,1352)="","",INDEX(I.Facility.P4IDNumber,1352))</f>
        <v/>
      </c>
      <c r="G21364" s="51"/>
      <c r="H21364" s="46" t="str">
        <f>IF(AND(I.Developer.P4=TRUE,I.Facility.P4FacilityCount&gt;=1352,F21364=""),"Incomplete","Complete")</f>
        <v>Complete</v>
      </c>
      <c r="I21364" s="48" t="s">
        <v>25729</v>
      </c>
    </row>
    <row r="21365" spans="2:9" ht="15" customHeight="1" x14ac:dyDescent="0.25">
      <c r="B21365" s="55" t="s">
        <v>283</v>
      </c>
      <c r="C21365" s="46">
        <v>1353</v>
      </c>
      <c r="D21365" s="69" t="s">
        <v>29420</v>
      </c>
      <c r="E21365" s="51"/>
      <c r="F21365" s="114" t="str">
        <f>IF(INDEX(I.Facility.P4IDNumber,1353)="","",INDEX(I.Facility.P4IDNumber,1353))</f>
        <v/>
      </c>
      <c r="G21365" s="51"/>
      <c r="H21365" s="46" t="str">
        <f>IF(AND(I.Developer.P4=TRUE,I.Facility.P4FacilityCount&gt;=1353,F21365=""),"Incomplete","Complete")</f>
        <v>Complete</v>
      </c>
      <c r="I21365" s="48" t="s">
        <v>25730</v>
      </c>
    </row>
    <row r="21366" spans="2:9" ht="15" customHeight="1" x14ac:dyDescent="0.25">
      <c r="B21366" s="55" t="s">
        <v>283</v>
      </c>
      <c r="C21366" s="46">
        <v>1354</v>
      </c>
      <c r="D21366" s="69" t="s">
        <v>29420</v>
      </c>
      <c r="E21366" s="51"/>
      <c r="F21366" s="114" t="str">
        <f>IF(INDEX(I.Facility.P4IDNumber,1354)="","",INDEX(I.Facility.P4IDNumber,1354))</f>
        <v/>
      </c>
      <c r="G21366" s="51"/>
      <c r="H21366" s="46" t="str">
        <f>IF(AND(I.Developer.P4=TRUE,I.Facility.P4FacilityCount&gt;=1354,F21366=""),"Incomplete","Complete")</f>
        <v>Complete</v>
      </c>
      <c r="I21366" s="48" t="s">
        <v>25731</v>
      </c>
    </row>
    <row r="21367" spans="2:9" ht="15" customHeight="1" x14ac:dyDescent="0.25">
      <c r="B21367" s="55" t="s">
        <v>283</v>
      </c>
      <c r="C21367" s="46">
        <v>1355</v>
      </c>
      <c r="D21367" s="69" t="s">
        <v>29420</v>
      </c>
      <c r="E21367" s="51"/>
      <c r="F21367" s="114" t="str">
        <f>IF(INDEX(I.Facility.P4IDNumber,1355)="","",INDEX(I.Facility.P4IDNumber,1355))</f>
        <v/>
      </c>
      <c r="G21367" s="51"/>
      <c r="H21367" s="46" t="str">
        <f>IF(AND(I.Developer.P4=TRUE,I.Facility.P4FacilityCount&gt;=1355,F21367=""),"Incomplete","Complete")</f>
        <v>Complete</v>
      </c>
      <c r="I21367" s="48" t="s">
        <v>25732</v>
      </c>
    </row>
    <row r="21368" spans="2:9" ht="15" customHeight="1" x14ac:dyDescent="0.25">
      <c r="B21368" s="55" t="s">
        <v>283</v>
      </c>
      <c r="C21368" s="46">
        <v>1356</v>
      </c>
      <c r="D21368" s="69" t="s">
        <v>29420</v>
      </c>
      <c r="E21368" s="51"/>
      <c r="F21368" s="114" t="str">
        <f>IF(INDEX(I.Facility.P4IDNumber,1356)="","",INDEX(I.Facility.P4IDNumber,1356))</f>
        <v/>
      </c>
      <c r="G21368" s="51"/>
      <c r="H21368" s="46" t="str">
        <f>IF(AND(I.Developer.P4=TRUE,I.Facility.P4FacilityCount&gt;=1356,F21368=""),"Incomplete","Complete")</f>
        <v>Complete</v>
      </c>
      <c r="I21368" s="48" t="s">
        <v>25733</v>
      </c>
    </row>
    <row r="21369" spans="2:9" ht="15" customHeight="1" x14ac:dyDescent="0.25">
      <c r="B21369" s="55" t="s">
        <v>283</v>
      </c>
      <c r="C21369" s="46">
        <v>1357</v>
      </c>
      <c r="D21369" s="69" t="s">
        <v>29420</v>
      </c>
      <c r="E21369" s="51"/>
      <c r="F21369" s="114" t="str">
        <f>IF(INDEX(I.Facility.P4IDNumber,1357)="","",INDEX(I.Facility.P4IDNumber,1357))</f>
        <v/>
      </c>
      <c r="G21369" s="51"/>
      <c r="H21369" s="46" t="str">
        <f>IF(AND(I.Developer.P4=TRUE,I.Facility.P4FacilityCount&gt;=1357,F21369=""),"Incomplete","Complete")</f>
        <v>Complete</v>
      </c>
      <c r="I21369" s="48" t="s">
        <v>25734</v>
      </c>
    </row>
    <row r="21370" spans="2:9" ht="15" customHeight="1" x14ac:dyDescent="0.25">
      <c r="B21370" s="55" t="s">
        <v>283</v>
      </c>
      <c r="C21370" s="46">
        <v>1358</v>
      </c>
      <c r="D21370" s="69" t="s">
        <v>29420</v>
      </c>
      <c r="E21370" s="51"/>
      <c r="F21370" s="114" t="str">
        <f>IF(INDEX(I.Facility.P4IDNumber,1358)="","",INDEX(I.Facility.P4IDNumber,1358))</f>
        <v/>
      </c>
      <c r="G21370" s="51"/>
      <c r="H21370" s="46" t="str">
        <f>IF(AND(I.Developer.P4=TRUE,I.Facility.P4FacilityCount&gt;=1358,F21370=""),"Incomplete","Complete")</f>
        <v>Complete</v>
      </c>
      <c r="I21370" s="48" t="s">
        <v>25735</v>
      </c>
    </row>
    <row r="21371" spans="2:9" ht="15" customHeight="1" x14ac:dyDescent="0.25">
      <c r="B21371" s="55" t="s">
        <v>283</v>
      </c>
      <c r="C21371" s="46">
        <v>1359</v>
      </c>
      <c r="D21371" s="69" t="s">
        <v>29420</v>
      </c>
      <c r="E21371" s="51"/>
      <c r="F21371" s="114" t="str">
        <f>IF(INDEX(I.Facility.P4IDNumber,1359)="","",INDEX(I.Facility.P4IDNumber,1359))</f>
        <v/>
      </c>
      <c r="G21371" s="51"/>
      <c r="H21371" s="46" t="str">
        <f>IF(AND(I.Developer.P4=TRUE,I.Facility.P4FacilityCount&gt;=1359,F21371=""),"Incomplete","Complete")</f>
        <v>Complete</v>
      </c>
      <c r="I21371" s="48" t="s">
        <v>25736</v>
      </c>
    </row>
    <row r="21372" spans="2:9" ht="15" customHeight="1" x14ac:dyDescent="0.25">
      <c r="B21372" s="55" t="s">
        <v>283</v>
      </c>
      <c r="C21372" s="46">
        <v>1360</v>
      </c>
      <c r="D21372" s="69" t="s">
        <v>29420</v>
      </c>
      <c r="E21372" s="51"/>
      <c r="F21372" s="114" t="str">
        <f>IF(INDEX(I.Facility.P4IDNumber,1360)="","",INDEX(I.Facility.P4IDNumber,1360))</f>
        <v/>
      </c>
      <c r="G21372" s="51"/>
      <c r="H21372" s="46" t="str">
        <f>IF(AND(I.Developer.P4=TRUE,I.Facility.P4FacilityCount&gt;=1360,F21372=""),"Incomplete","Complete")</f>
        <v>Complete</v>
      </c>
      <c r="I21372" s="48" t="s">
        <v>25737</v>
      </c>
    </row>
    <row r="21373" spans="2:9" ht="15" customHeight="1" x14ac:dyDescent="0.25">
      <c r="B21373" s="55" t="s">
        <v>283</v>
      </c>
      <c r="C21373" s="46">
        <v>1361</v>
      </c>
      <c r="D21373" s="69" t="s">
        <v>29420</v>
      </c>
      <c r="E21373" s="51"/>
      <c r="F21373" s="114" t="str">
        <f>IF(INDEX(I.Facility.P4IDNumber,1361)="","",INDEX(I.Facility.P4IDNumber,1361))</f>
        <v/>
      </c>
      <c r="G21373" s="51"/>
      <c r="H21373" s="46" t="str">
        <f>IF(AND(I.Developer.P4=TRUE,I.Facility.P4FacilityCount&gt;=1361,F21373=""),"Incomplete","Complete")</f>
        <v>Complete</v>
      </c>
      <c r="I21373" s="48" t="s">
        <v>25738</v>
      </c>
    </row>
    <row r="21374" spans="2:9" ht="15" customHeight="1" x14ac:dyDescent="0.25">
      <c r="B21374" s="55" t="s">
        <v>283</v>
      </c>
      <c r="C21374" s="46">
        <v>1362</v>
      </c>
      <c r="D21374" s="69" t="s">
        <v>29420</v>
      </c>
      <c r="E21374" s="51"/>
      <c r="F21374" s="114" t="str">
        <f>IF(INDEX(I.Facility.P4IDNumber,1362)="","",INDEX(I.Facility.P4IDNumber,1362))</f>
        <v/>
      </c>
      <c r="G21374" s="51"/>
      <c r="H21374" s="46" t="str">
        <f>IF(AND(I.Developer.P4=TRUE,I.Facility.P4FacilityCount&gt;=1362,F21374=""),"Incomplete","Complete")</f>
        <v>Complete</v>
      </c>
      <c r="I21374" s="48" t="s">
        <v>25739</v>
      </c>
    </row>
    <row r="21375" spans="2:9" ht="15" customHeight="1" x14ac:dyDescent="0.25">
      <c r="B21375" s="55" t="s">
        <v>283</v>
      </c>
      <c r="C21375" s="46">
        <v>1363</v>
      </c>
      <c r="D21375" s="69" t="s">
        <v>29420</v>
      </c>
      <c r="E21375" s="51"/>
      <c r="F21375" s="114" t="str">
        <f>IF(INDEX(I.Facility.P4IDNumber,1363)="","",INDEX(I.Facility.P4IDNumber,1363))</f>
        <v/>
      </c>
      <c r="G21375" s="51"/>
      <c r="H21375" s="46" t="str">
        <f>IF(AND(I.Developer.P4=TRUE,I.Facility.P4FacilityCount&gt;=1363,F21375=""),"Incomplete","Complete")</f>
        <v>Complete</v>
      </c>
      <c r="I21375" s="48" t="s">
        <v>25740</v>
      </c>
    </row>
    <row r="21376" spans="2:9" ht="15" customHeight="1" x14ac:dyDescent="0.25">
      <c r="B21376" s="55" t="s">
        <v>283</v>
      </c>
      <c r="C21376" s="46">
        <v>1364</v>
      </c>
      <c r="D21376" s="69" t="s">
        <v>29420</v>
      </c>
      <c r="E21376" s="51"/>
      <c r="F21376" s="114" t="str">
        <f>IF(INDEX(I.Facility.P4IDNumber,1364)="","",INDEX(I.Facility.P4IDNumber,1364))</f>
        <v/>
      </c>
      <c r="G21376" s="51"/>
      <c r="H21376" s="46" t="str">
        <f>IF(AND(I.Developer.P4=TRUE,I.Facility.P4FacilityCount&gt;=1364,F21376=""),"Incomplete","Complete")</f>
        <v>Complete</v>
      </c>
      <c r="I21376" s="48" t="s">
        <v>25741</v>
      </c>
    </row>
    <row r="21377" spans="2:9" ht="15" customHeight="1" x14ac:dyDescent="0.25">
      <c r="B21377" s="55" t="s">
        <v>283</v>
      </c>
      <c r="C21377" s="46">
        <v>1365</v>
      </c>
      <c r="D21377" s="69" t="s">
        <v>29420</v>
      </c>
      <c r="E21377" s="51"/>
      <c r="F21377" s="114" t="str">
        <f>IF(INDEX(I.Facility.P4IDNumber,1365)="","",INDEX(I.Facility.P4IDNumber,1365))</f>
        <v/>
      </c>
      <c r="G21377" s="51"/>
      <c r="H21377" s="46" t="str">
        <f>IF(AND(I.Developer.P4=TRUE,I.Facility.P4FacilityCount&gt;=1365,F21377=""),"Incomplete","Complete")</f>
        <v>Complete</v>
      </c>
      <c r="I21377" s="48" t="s">
        <v>25742</v>
      </c>
    </row>
    <row r="21378" spans="2:9" ht="15" customHeight="1" x14ac:dyDescent="0.25">
      <c r="B21378" s="55" t="s">
        <v>283</v>
      </c>
      <c r="C21378" s="46">
        <v>1366</v>
      </c>
      <c r="D21378" s="69" t="s">
        <v>29420</v>
      </c>
      <c r="E21378" s="51"/>
      <c r="F21378" s="114" t="str">
        <f>IF(INDEX(I.Facility.P4IDNumber,1366)="","",INDEX(I.Facility.P4IDNumber,1366))</f>
        <v/>
      </c>
      <c r="G21378" s="51"/>
      <c r="H21378" s="46" t="str">
        <f>IF(AND(I.Developer.P4=TRUE,I.Facility.P4FacilityCount&gt;=1366,F21378=""),"Incomplete","Complete")</f>
        <v>Complete</v>
      </c>
      <c r="I21378" s="48" t="s">
        <v>25743</v>
      </c>
    </row>
    <row r="21379" spans="2:9" ht="15" customHeight="1" x14ac:dyDescent="0.25">
      <c r="B21379" s="55" t="s">
        <v>283</v>
      </c>
      <c r="C21379" s="46">
        <v>1367</v>
      </c>
      <c r="D21379" s="69" t="s">
        <v>29420</v>
      </c>
      <c r="E21379" s="51"/>
      <c r="F21379" s="114" t="str">
        <f>IF(INDEX(I.Facility.P4IDNumber,1367)="","",INDEX(I.Facility.P4IDNumber,1367))</f>
        <v/>
      </c>
      <c r="G21379" s="51"/>
      <c r="H21379" s="46" t="str">
        <f>IF(AND(I.Developer.P4=TRUE,I.Facility.P4FacilityCount&gt;=1367,F21379=""),"Incomplete","Complete")</f>
        <v>Complete</v>
      </c>
      <c r="I21379" s="48" t="s">
        <v>25744</v>
      </c>
    </row>
    <row r="21380" spans="2:9" ht="15" customHeight="1" x14ac:dyDescent="0.25">
      <c r="B21380" s="55" t="s">
        <v>283</v>
      </c>
      <c r="C21380" s="46">
        <v>1368</v>
      </c>
      <c r="D21380" s="69" t="s">
        <v>29420</v>
      </c>
      <c r="E21380" s="51"/>
      <c r="F21380" s="114" t="str">
        <f>IF(INDEX(I.Facility.P4IDNumber,1368)="","",INDEX(I.Facility.P4IDNumber,1368))</f>
        <v/>
      </c>
      <c r="G21380" s="51"/>
      <c r="H21380" s="46" t="str">
        <f>IF(AND(I.Developer.P4=TRUE,I.Facility.P4FacilityCount&gt;=1368,F21380=""),"Incomplete","Complete")</f>
        <v>Complete</v>
      </c>
      <c r="I21380" s="48" t="s">
        <v>25745</v>
      </c>
    </row>
    <row r="21381" spans="2:9" ht="15" customHeight="1" x14ac:dyDescent="0.25">
      <c r="B21381" s="55" t="s">
        <v>283</v>
      </c>
      <c r="C21381" s="46">
        <v>1369</v>
      </c>
      <c r="D21381" s="69" t="s">
        <v>29420</v>
      </c>
      <c r="E21381" s="51"/>
      <c r="F21381" s="114" t="str">
        <f>IF(INDEX(I.Facility.P4IDNumber,1369)="","",INDEX(I.Facility.P4IDNumber,1369))</f>
        <v/>
      </c>
      <c r="G21381" s="51"/>
      <c r="H21381" s="46" t="str">
        <f>IF(AND(I.Developer.P4=TRUE,I.Facility.P4FacilityCount&gt;=1369,F21381=""),"Incomplete","Complete")</f>
        <v>Complete</v>
      </c>
      <c r="I21381" s="48" t="s">
        <v>25746</v>
      </c>
    </row>
    <row r="21382" spans="2:9" ht="15" customHeight="1" x14ac:dyDescent="0.25">
      <c r="B21382" s="55" t="s">
        <v>283</v>
      </c>
      <c r="C21382" s="46">
        <v>1370</v>
      </c>
      <c r="D21382" s="69" t="s">
        <v>29420</v>
      </c>
      <c r="E21382" s="51"/>
      <c r="F21382" s="114" t="str">
        <f>IF(INDEX(I.Facility.P4IDNumber,1370)="","",INDEX(I.Facility.P4IDNumber,1370))</f>
        <v/>
      </c>
      <c r="G21382" s="51"/>
      <c r="H21382" s="46" t="str">
        <f>IF(AND(I.Developer.P4=TRUE,I.Facility.P4FacilityCount&gt;=1370,F21382=""),"Incomplete","Complete")</f>
        <v>Complete</v>
      </c>
      <c r="I21382" s="48" t="s">
        <v>25747</v>
      </c>
    </row>
    <row r="21383" spans="2:9" ht="15" customHeight="1" x14ac:dyDescent="0.25">
      <c r="B21383" s="55" t="s">
        <v>283</v>
      </c>
      <c r="C21383" s="46">
        <v>1371</v>
      </c>
      <c r="D21383" s="69" t="s">
        <v>29420</v>
      </c>
      <c r="E21383" s="51"/>
      <c r="F21383" s="114" t="str">
        <f>IF(INDEX(I.Facility.P4IDNumber,1371)="","",INDEX(I.Facility.P4IDNumber,1371))</f>
        <v/>
      </c>
      <c r="G21383" s="51"/>
      <c r="H21383" s="46" t="str">
        <f>IF(AND(I.Developer.P4=TRUE,I.Facility.P4FacilityCount&gt;=1371,F21383=""),"Incomplete","Complete")</f>
        <v>Complete</v>
      </c>
      <c r="I21383" s="48" t="s">
        <v>25748</v>
      </c>
    </row>
    <row r="21384" spans="2:9" ht="15" customHeight="1" x14ac:dyDescent="0.25">
      <c r="B21384" s="55" t="s">
        <v>283</v>
      </c>
      <c r="C21384" s="46">
        <v>1372</v>
      </c>
      <c r="D21384" s="69" t="s">
        <v>29420</v>
      </c>
      <c r="E21384" s="51"/>
      <c r="F21384" s="114" t="str">
        <f>IF(INDEX(I.Facility.P4IDNumber,1372)="","",INDEX(I.Facility.P4IDNumber,1372))</f>
        <v/>
      </c>
      <c r="G21384" s="51"/>
      <c r="H21384" s="46" t="str">
        <f>IF(AND(I.Developer.P4=TRUE,I.Facility.P4FacilityCount&gt;=1372,F21384=""),"Incomplete","Complete")</f>
        <v>Complete</v>
      </c>
      <c r="I21384" s="48" t="s">
        <v>25749</v>
      </c>
    </row>
    <row r="21385" spans="2:9" ht="15" customHeight="1" x14ac:dyDescent="0.25">
      <c r="B21385" s="55" t="s">
        <v>283</v>
      </c>
      <c r="C21385" s="46">
        <v>1373</v>
      </c>
      <c r="D21385" s="69" t="s">
        <v>29420</v>
      </c>
      <c r="E21385" s="51"/>
      <c r="F21385" s="114" t="str">
        <f>IF(INDEX(I.Facility.P4IDNumber,1373)="","",INDEX(I.Facility.P4IDNumber,1373))</f>
        <v/>
      </c>
      <c r="G21385" s="51"/>
      <c r="H21385" s="46" t="str">
        <f>IF(AND(I.Developer.P4=TRUE,I.Facility.P4FacilityCount&gt;=1373,F21385=""),"Incomplete","Complete")</f>
        <v>Complete</v>
      </c>
      <c r="I21385" s="48" t="s">
        <v>25750</v>
      </c>
    </row>
    <row r="21386" spans="2:9" ht="15" customHeight="1" x14ac:dyDescent="0.25">
      <c r="B21386" s="55" t="s">
        <v>283</v>
      </c>
      <c r="C21386" s="46">
        <v>1374</v>
      </c>
      <c r="D21386" s="69" t="s">
        <v>29420</v>
      </c>
      <c r="E21386" s="51"/>
      <c r="F21386" s="114" t="str">
        <f>IF(INDEX(I.Facility.P4IDNumber,1374)="","",INDEX(I.Facility.P4IDNumber,1374))</f>
        <v/>
      </c>
      <c r="G21386" s="51"/>
      <c r="H21386" s="46" t="str">
        <f>IF(AND(I.Developer.P4=TRUE,I.Facility.P4FacilityCount&gt;=1374,F21386=""),"Incomplete","Complete")</f>
        <v>Complete</v>
      </c>
      <c r="I21386" s="48" t="s">
        <v>25751</v>
      </c>
    </row>
    <row r="21387" spans="2:9" ht="15" customHeight="1" x14ac:dyDescent="0.25">
      <c r="B21387" s="55" t="s">
        <v>283</v>
      </c>
      <c r="C21387" s="46">
        <v>1375</v>
      </c>
      <c r="D21387" s="69" t="s">
        <v>29420</v>
      </c>
      <c r="E21387" s="51"/>
      <c r="F21387" s="114" t="str">
        <f>IF(INDEX(I.Facility.P4IDNumber,1375)="","",INDEX(I.Facility.P4IDNumber,1375))</f>
        <v/>
      </c>
      <c r="G21387" s="51"/>
      <c r="H21387" s="46" t="str">
        <f>IF(AND(I.Developer.P4=TRUE,I.Facility.P4FacilityCount&gt;=1375,F21387=""),"Incomplete","Complete")</f>
        <v>Complete</v>
      </c>
      <c r="I21387" s="48" t="s">
        <v>25752</v>
      </c>
    </row>
    <row r="21388" spans="2:9" ht="15" customHeight="1" x14ac:dyDescent="0.25">
      <c r="B21388" s="55" t="s">
        <v>283</v>
      </c>
      <c r="C21388" s="46">
        <v>1376</v>
      </c>
      <c r="D21388" s="69" t="s">
        <v>29420</v>
      </c>
      <c r="E21388" s="51"/>
      <c r="F21388" s="114" t="str">
        <f>IF(INDEX(I.Facility.P4IDNumber,1376)="","",INDEX(I.Facility.P4IDNumber,1376))</f>
        <v/>
      </c>
      <c r="G21388" s="51"/>
      <c r="H21388" s="46" t="str">
        <f>IF(AND(I.Developer.P4=TRUE,I.Facility.P4FacilityCount&gt;=1376,F21388=""),"Incomplete","Complete")</f>
        <v>Complete</v>
      </c>
      <c r="I21388" s="48" t="s">
        <v>25753</v>
      </c>
    </row>
    <row r="21389" spans="2:9" ht="15" customHeight="1" x14ac:dyDescent="0.25">
      <c r="B21389" s="55" t="s">
        <v>283</v>
      </c>
      <c r="C21389" s="46">
        <v>1377</v>
      </c>
      <c r="D21389" s="69" t="s">
        <v>29420</v>
      </c>
      <c r="E21389" s="51"/>
      <c r="F21389" s="114" t="str">
        <f>IF(INDEX(I.Facility.P4IDNumber,1377)="","",INDEX(I.Facility.P4IDNumber,1377))</f>
        <v/>
      </c>
      <c r="G21389" s="51"/>
      <c r="H21389" s="46" t="str">
        <f>IF(AND(I.Developer.P4=TRUE,I.Facility.P4FacilityCount&gt;=1377,F21389=""),"Incomplete","Complete")</f>
        <v>Complete</v>
      </c>
      <c r="I21389" s="48" t="s">
        <v>25754</v>
      </c>
    </row>
    <row r="21390" spans="2:9" ht="15" customHeight="1" x14ac:dyDescent="0.25">
      <c r="B21390" s="55" t="s">
        <v>283</v>
      </c>
      <c r="C21390" s="46">
        <v>1378</v>
      </c>
      <c r="D21390" s="69" t="s">
        <v>29420</v>
      </c>
      <c r="E21390" s="51"/>
      <c r="F21390" s="114" t="str">
        <f>IF(INDEX(I.Facility.P4IDNumber,1378)="","",INDEX(I.Facility.P4IDNumber,1378))</f>
        <v/>
      </c>
      <c r="G21390" s="51"/>
      <c r="H21390" s="46" t="str">
        <f>IF(AND(I.Developer.P4=TRUE,I.Facility.P4FacilityCount&gt;=1378,F21390=""),"Incomplete","Complete")</f>
        <v>Complete</v>
      </c>
      <c r="I21390" s="48" t="s">
        <v>25755</v>
      </c>
    </row>
    <row r="21391" spans="2:9" ht="15" customHeight="1" x14ac:dyDescent="0.25">
      <c r="B21391" s="55" t="s">
        <v>283</v>
      </c>
      <c r="C21391" s="46">
        <v>1379</v>
      </c>
      <c r="D21391" s="69" t="s">
        <v>29420</v>
      </c>
      <c r="E21391" s="51"/>
      <c r="F21391" s="114" t="str">
        <f>IF(INDEX(I.Facility.P4IDNumber,1379)="","",INDEX(I.Facility.P4IDNumber,1379))</f>
        <v/>
      </c>
      <c r="G21391" s="51"/>
      <c r="H21391" s="46" t="str">
        <f>IF(AND(I.Developer.P4=TRUE,I.Facility.P4FacilityCount&gt;=1379,F21391=""),"Incomplete","Complete")</f>
        <v>Complete</v>
      </c>
      <c r="I21391" s="48" t="s">
        <v>25756</v>
      </c>
    </row>
    <row r="21392" spans="2:9" ht="15" customHeight="1" x14ac:dyDescent="0.25">
      <c r="B21392" s="55" t="s">
        <v>283</v>
      </c>
      <c r="C21392" s="46">
        <v>1380</v>
      </c>
      <c r="D21392" s="69" t="s">
        <v>29420</v>
      </c>
      <c r="E21392" s="51"/>
      <c r="F21392" s="114" t="str">
        <f>IF(INDEX(I.Facility.P4IDNumber,1380)="","",INDEX(I.Facility.P4IDNumber,1380))</f>
        <v/>
      </c>
      <c r="G21392" s="51"/>
      <c r="H21392" s="46" t="str">
        <f>IF(AND(I.Developer.P4=TRUE,I.Facility.P4FacilityCount&gt;=1380,F21392=""),"Incomplete","Complete")</f>
        <v>Complete</v>
      </c>
      <c r="I21392" s="48" t="s">
        <v>25757</v>
      </c>
    </row>
    <row r="21393" spans="2:9" ht="15" customHeight="1" x14ac:dyDescent="0.25">
      <c r="B21393" s="55" t="s">
        <v>283</v>
      </c>
      <c r="C21393" s="46">
        <v>1381</v>
      </c>
      <c r="D21393" s="69" t="s">
        <v>29420</v>
      </c>
      <c r="E21393" s="51"/>
      <c r="F21393" s="114" t="str">
        <f>IF(INDEX(I.Facility.P4IDNumber,1381)="","",INDEX(I.Facility.P4IDNumber,1381))</f>
        <v/>
      </c>
      <c r="G21393" s="51"/>
      <c r="H21393" s="46" t="str">
        <f>IF(AND(I.Developer.P4=TRUE,I.Facility.P4FacilityCount&gt;=1381,F21393=""),"Incomplete","Complete")</f>
        <v>Complete</v>
      </c>
      <c r="I21393" s="48" t="s">
        <v>25758</v>
      </c>
    </row>
    <row r="21394" spans="2:9" ht="15" customHeight="1" x14ac:dyDescent="0.25">
      <c r="B21394" s="55" t="s">
        <v>283</v>
      </c>
      <c r="C21394" s="46">
        <v>1382</v>
      </c>
      <c r="D21394" s="69" t="s">
        <v>29420</v>
      </c>
      <c r="E21394" s="51"/>
      <c r="F21394" s="114" t="str">
        <f>IF(INDEX(I.Facility.P4IDNumber,1382)="","",INDEX(I.Facility.P4IDNumber,1382))</f>
        <v/>
      </c>
      <c r="G21394" s="51"/>
      <c r="H21394" s="46" t="str">
        <f>IF(AND(I.Developer.P4=TRUE,I.Facility.P4FacilityCount&gt;=1382,F21394=""),"Incomplete","Complete")</f>
        <v>Complete</v>
      </c>
      <c r="I21394" s="48" t="s">
        <v>25759</v>
      </c>
    </row>
    <row r="21395" spans="2:9" ht="15" customHeight="1" x14ac:dyDescent="0.25">
      <c r="B21395" s="55" t="s">
        <v>283</v>
      </c>
      <c r="C21395" s="46">
        <v>1383</v>
      </c>
      <c r="D21395" s="69" t="s">
        <v>29420</v>
      </c>
      <c r="E21395" s="51"/>
      <c r="F21395" s="114" t="str">
        <f>IF(INDEX(I.Facility.P4IDNumber,1383)="","",INDEX(I.Facility.P4IDNumber,1383))</f>
        <v/>
      </c>
      <c r="G21395" s="51"/>
      <c r="H21395" s="46" t="str">
        <f>IF(AND(I.Developer.P4=TRUE,I.Facility.P4FacilityCount&gt;=1383,F21395=""),"Incomplete","Complete")</f>
        <v>Complete</v>
      </c>
      <c r="I21395" s="48" t="s">
        <v>25760</v>
      </c>
    </row>
    <row r="21396" spans="2:9" ht="15" customHeight="1" x14ac:dyDescent="0.25">
      <c r="B21396" s="55" t="s">
        <v>283</v>
      </c>
      <c r="C21396" s="46">
        <v>1384</v>
      </c>
      <c r="D21396" s="69" t="s">
        <v>29420</v>
      </c>
      <c r="E21396" s="51"/>
      <c r="F21396" s="114" t="str">
        <f>IF(INDEX(I.Facility.P4IDNumber,1384)="","",INDEX(I.Facility.P4IDNumber,1384))</f>
        <v/>
      </c>
      <c r="G21396" s="51"/>
      <c r="H21396" s="46" t="str">
        <f>IF(AND(I.Developer.P4=TRUE,I.Facility.P4FacilityCount&gt;=1384,F21396=""),"Incomplete","Complete")</f>
        <v>Complete</v>
      </c>
      <c r="I21396" s="48" t="s">
        <v>25761</v>
      </c>
    </row>
    <row r="21397" spans="2:9" ht="15" customHeight="1" x14ac:dyDescent="0.25">
      <c r="B21397" s="55" t="s">
        <v>283</v>
      </c>
      <c r="C21397" s="46">
        <v>1385</v>
      </c>
      <c r="D21397" s="69" t="s">
        <v>29420</v>
      </c>
      <c r="E21397" s="51"/>
      <c r="F21397" s="114" t="str">
        <f>IF(INDEX(I.Facility.P4IDNumber,1385)="","",INDEX(I.Facility.P4IDNumber,1385))</f>
        <v/>
      </c>
      <c r="G21397" s="51"/>
      <c r="H21397" s="46" t="str">
        <f>IF(AND(I.Developer.P4=TRUE,I.Facility.P4FacilityCount&gt;=1385,F21397=""),"Incomplete","Complete")</f>
        <v>Complete</v>
      </c>
      <c r="I21397" s="48" t="s">
        <v>25762</v>
      </c>
    </row>
    <row r="21398" spans="2:9" ht="15" customHeight="1" x14ac:dyDescent="0.25">
      <c r="B21398" s="55" t="s">
        <v>283</v>
      </c>
      <c r="C21398" s="46">
        <v>1386</v>
      </c>
      <c r="D21398" s="69" t="s">
        <v>29420</v>
      </c>
      <c r="E21398" s="51"/>
      <c r="F21398" s="114" t="str">
        <f>IF(INDEX(I.Facility.P4IDNumber,1386)="","",INDEX(I.Facility.P4IDNumber,1386))</f>
        <v/>
      </c>
      <c r="G21398" s="51"/>
      <c r="H21398" s="46" t="str">
        <f>IF(AND(I.Developer.P4=TRUE,I.Facility.P4FacilityCount&gt;=1386,F21398=""),"Incomplete","Complete")</f>
        <v>Complete</v>
      </c>
      <c r="I21398" s="48" t="s">
        <v>25763</v>
      </c>
    </row>
    <row r="21399" spans="2:9" ht="15" customHeight="1" x14ac:dyDescent="0.25">
      <c r="B21399" s="55" t="s">
        <v>283</v>
      </c>
      <c r="C21399" s="46">
        <v>1387</v>
      </c>
      <c r="D21399" s="69" t="s">
        <v>29420</v>
      </c>
      <c r="E21399" s="51"/>
      <c r="F21399" s="114" t="str">
        <f>IF(INDEX(I.Facility.P4IDNumber,1387)="","",INDEX(I.Facility.P4IDNumber,1387))</f>
        <v/>
      </c>
      <c r="G21399" s="51"/>
      <c r="H21399" s="46" t="str">
        <f>IF(AND(I.Developer.P4=TRUE,I.Facility.P4FacilityCount&gt;=1387,F21399=""),"Incomplete","Complete")</f>
        <v>Complete</v>
      </c>
      <c r="I21399" s="48" t="s">
        <v>25764</v>
      </c>
    </row>
    <row r="21400" spans="2:9" ht="15" customHeight="1" x14ac:dyDescent="0.25">
      <c r="B21400" s="55" t="s">
        <v>283</v>
      </c>
      <c r="C21400" s="46">
        <v>1388</v>
      </c>
      <c r="D21400" s="69" t="s">
        <v>29420</v>
      </c>
      <c r="E21400" s="51"/>
      <c r="F21400" s="114" t="str">
        <f>IF(INDEX(I.Facility.P4IDNumber,1388)="","",INDEX(I.Facility.P4IDNumber,1388))</f>
        <v/>
      </c>
      <c r="G21400" s="51"/>
      <c r="H21400" s="46" t="str">
        <f>IF(AND(I.Developer.P4=TRUE,I.Facility.P4FacilityCount&gt;=1388,F21400=""),"Incomplete","Complete")</f>
        <v>Complete</v>
      </c>
      <c r="I21400" s="48" t="s">
        <v>25765</v>
      </c>
    </row>
    <row r="21401" spans="2:9" ht="15" customHeight="1" x14ac:dyDescent="0.25">
      <c r="B21401" s="55" t="s">
        <v>283</v>
      </c>
      <c r="C21401" s="46">
        <v>1389</v>
      </c>
      <c r="D21401" s="69" t="s">
        <v>29420</v>
      </c>
      <c r="E21401" s="51"/>
      <c r="F21401" s="114" t="str">
        <f>IF(INDEX(I.Facility.P4IDNumber,1389)="","",INDEX(I.Facility.P4IDNumber,1389))</f>
        <v/>
      </c>
      <c r="G21401" s="51"/>
      <c r="H21401" s="46" t="str">
        <f>IF(AND(I.Developer.P4=TRUE,I.Facility.P4FacilityCount&gt;=1389,F21401=""),"Incomplete","Complete")</f>
        <v>Complete</v>
      </c>
      <c r="I21401" s="48" t="s">
        <v>25766</v>
      </c>
    </row>
    <row r="21402" spans="2:9" ht="15" customHeight="1" x14ac:dyDescent="0.25">
      <c r="B21402" s="55" t="s">
        <v>283</v>
      </c>
      <c r="C21402" s="46">
        <v>1390</v>
      </c>
      <c r="D21402" s="69" t="s">
        <v>29420</v>
      </c>
      <c r="E21402" s="51"/>
      <c r="F21402" s="114" t="str">
        <f>IF(INDEX(I.Facility.P4IDNumber,1390)="","",INDEX(I.Facility.P4IDNumber,1390))</f>
        <v/>
      </c>
      <c r="G21402" s="51"/>
      <c r="H21402" s="46" t="str">
        <f>IF(AND(I.Developer.P4=TRUE,I.Facility.P4FacilityCount&gt;=1390,F21402=""),"Incomplete","Complete")</f>
        <v>Complete</v>
      </c>
      <c r="I21402" s="48" t="s">
        <v>25767</v>
      </c>
    </row>
    <row r="21403" spans="2:9" ht="15" customHeight="1" x14ac:dyDescent="0.25">
      <c r="B21403" s="55" t="s">
        <v>283</v>
      </c>
      <c r="C21403" s="46">
        <v>1391</v>
      </c>
      <c r="D21403" s="69" t="s">
        <v>29420</v>
      </c>
      <c r="E21403" s="51"/>
      <c r="F21403" s="114" t="str">
        <f>IF(INDEX(I.Facility.P4IDNumber,1391)="","",INDEX(I.Facility.P4IDNumber,1391))</f>
        <v/>
      </c>
      <c r="G21403" s="51"/>
      <c r="H21403" s="46" t="str">
        <f>IF(AND(I.Developer.P4=TRUE,I.Facility.P4FacilityCount&gt;=1391,F21403=""),"Incomplete","Complete")</f>
        <v>Complete</v>
      </c>
      <c r="I21403" s="48" t="s">
        <v>25768</v>
      </c>
    </row>
    <row r="21404" spans="2:9" ht="15" customHeight="1" x14ac:dyDescent="0.25">
      <c r="B21404" s="55" t="s">
        <v>283</v>
      </c>
      <c r="C21404" s="46">
        <v>1392</v>
      </c>
      <c r="D21404" s="69" t="s">
        <v>29420</v>
      </c>
      <c r="E21404" s="51"/>
      <c r="F21404" s="114" t="str">
        <f>IF(INDEX(I.Facility.P4IDNumber,1392)="","",INDEX(I.Facility.P4IDNumber,1392))</f>
        <v/>
      </c>
      <c r="G21404" s="51"/>
      <c r="H21404" s="46" t="str">
        <f>IF(AND(I.Developer.P4=TRUE,I.Facility.P4FacilityCount&gt;=1392,F21404=""),"Incomplete","Complete")</f>
        <v>Complete</v>
      </c>
      <c r="I21404" s="48" t="s">
        <v>25769</v>
      </c>
    </row>
    <row r="21405" spans="2:9" ht="15" customHeight="1" x14ac:dyDescent="0.25">
      <c r="B21405" s="55" t="s">
        <v>283</v>
      </c>
      <c r="C21405" s="46">
        <v>1393</v>
      </c>
      <c r="D21405" s="69" t="s">
        <v>29420</v>
      </c>
      <c r="E21405" s="51"/>
      <c r="F21405" s="114" t="str">
        <f>IF(INDEX(I.Facility.P4IDNumber,1393)="","",INDEX(I.Facility.P4IDNumber,1393))</f>
        <v/>
      </c>
      <c r="G21405" s="51"/>
      <c r="H21405" s="46" t="str">
        <f>IF(AND(I.Developer.P4=TRUE,I.Facility.P4FacilityCount&gt;=1393,F21405=""),"Incomplete","Complete")</f>
        <v>Complete</v>
      </c>
      <c r="I21405" s="48" t="s">
        <v>25770</v>
      </c>
    </row>
    <row r="21406" spans="2:9" ht="15" customHeight="1" x14ac:dyDescent="0.25">
      <c r="B21406" s="55" t="s">
        <v>283</v>
      </c>
      <c r="C21406" s="46">
        <v>1394</v>
      </c>
      <c r="D21406" s="69" t="s">
        <v>29420</v>
      </c>
      <c r="E21406" s="51"/>
      <c r="F21406" s="114" t="str">
        <f>IF(INDEX(I.Facility.P4IDNumber,1394)="","",INDEX(I.Facility.P4IDNumber,1394))</f>
        <v/>
      </c>
      <c r="G21406" s="51"/>
      <c r="H21406" s="46" t="str">
        <f>IF(AND(I.Developer.P4=TRUE,I.Facility.P4FacilityCount&gt;=1394,F21406=""),"Incomplete","Complete")</f>
        <v>Complete</v>
      </c>
      <c r="I21406" s="48" t="s">
        <v>25771</v>
      </c>
    </row>
    <row r="21407" spans="2:9" ht="15" customHeight="1" x14ac:dyDescent="0.25">
      <c r="B21407" s="55" t="s">
        <v>283</v>
      </c>
      <c r="C21407" s="46">
        <v>1395</v>
      </c>
      <c r="D21407" s="69" t="s">
        <v>29420</v>
      </c>
      <c r="E21407" s="51"/>
      <c r="F21407" s="114" t="str">
        <f>IF(INDEX(I.Facility.P4IDNumber,1395)="","",INDEX(I.Facility.P4IDNumber,1395))</f>
        <v/>
      </c>
      <c r="G21407" s="51"/>
      <c r="H21407" s="46" t="str">
        <f>IF(AND(I.Developer.P4=TRUE,I.Facility.P4FacilityCount&gt;=1395,F21407=""),"Incomplete","Complete")</f>
        <v>Complete</v>
      </c>
      <c r="I21407" s="48" t="s">
        <v>25772</v>
      </c>
    </row>
    <row r="21408" spans="2:9" ht="15" customHeight="1" x14ac:dyDescent="0.25">
      <c r="B21408" s="55" t="s">
        <v>283</v>
      </c>
      <c r="C21408" s="46">
        <v>1396</v>
      </c>
      <c r="D21408" s="69" t="s">
        <v>29420</v>
      </c>
      <c r="E21408" s="51"/>
      <c r="F21408" s="114" t="str">
        <f>IF(INDEX(I.Facility.P4IDNumber,1396)="","",INDEX(I.Facility.P4IDNumber,1396))</f>
        <v/>
      </c>
      <c r="G21408" s="51"/>
      <c r="H21408" s="46" t="str">
        <f>IF(AND(I.Developer.P4=TRUE,I.Facility.P4FacilityCount&gt;=1396,F21408=""),"Incomplete","Complete")</f>
        <v>Complete</v>
      </c>
      <c r="I21408" s="48" t="s">
        <v>25773</v>
      </c>
    </row>
    <row r="21409" spans="2:9" ht="15" customHeight="1" x14ac:dyDescent="0.25">
      <c r="B21409" s="55" t="s">
        <v>283</v>
      </c>
      <c r="C21409" s="46">
        <v>1397</v>
      </c>
      <c r="D21409" s="69" t="s">
        <v>29420</v>
      </c>
      <c r="E21409" s="51"/>
      <c r="F21409" s="114" t="str">
        <f>IF(INDEX(I.Facility.P4IDNumber,1397)="","",INDEX(I.Facility.P4IDNumber,1397))</f>
        <v/>
      </c>
      <c r="G21409" s="51"/>
      <c r="H21409" s="46" t="str">
        <f>IF(AND(I.Developer.P4=TRUE,I.Facility.P4FacilityCount&gt;=1397,F21409=""),"Incomplete","Complete")</f>
        <v>Complete</v>
      </c>
      <c r="I21409" s="48" t="s">
        <v>25774</v>
      </c>
    </row>
    <row r="21410" spans="2:9" ht="15" customHeight="1" x14ac:dyDescent="0.25">
      <c r="B21410" s="55" t="s">
        <v>283</v>
      </c>
      <c r="C21410" s="46">
        <v>1398</v>
      </c>
      <c r="D21410" s="69" t="s">
        <v>29420</v>
      </c>
      <c r="E21410" s="51"/>
      <c r="F21410" s="114" t="str">
        <f>IF(INDEX(I.Facility.P4IDNumber,1398)="","",INDEX(I.Facility.P4IDNumber,1398))</f>
        <v/>
      </c>
      <c r="G21410" s="51"/>
      <c r="H21410" s="46" t="str">
        <f>IF(AND(I.Developer.P4=TRUE,I.Facility.P4FacilityCount&gt;=1398,F21410=""),"Incomplete","Complete")</f>
        <v>Complete</v>
      </c>
      <c r="I21410" s="48" t="s">
        <v>25775</v>
      </c>
    </row>
    <row r="21411" spans="2:9" ht="15" customHeight="1" x14ac:dyDescent="0.25">
      <c r="B21411" s="55" t="s">
        <v>283</v>
      </c>
      <c r="C21411" s="46">
        <v>1399</v>
      </c>
      <c r="D21411" s="69" t="s">
        <v>29420</v>
      </c>
      <c r="E21411" s="51"/>
      <c r="F21411" s="114" t="str">
        <f>IF(INDEX(I.Facility.P4IDNumber,1399)="","",INDEX(I.Facility.P4IDNumber,1399))</f>
        <v/>
      </c>
      <c r="G21411" s="51"/>
      <c r="H21411" s="46" t="str">
        <f>IF(AND(I.Developer.P4=TRUE,I.Facility.P4FacilityCount&gt;=1399,F21411=""),"Incomplete","Complete")</f>
        <v>Complete</v>
      </c>
      <c r="I21411" s="48" t="s">
        <v>25776</v>
      </c>
    </row>
    <row r="21412" spans="2:9" ht="15" customHeight="1" x14ac:dyDescent="0.25">
      <c r="B21412" s="55" t="s">
        <v>283</v>
      </c>
      <c r="C21412" s="46">
        <v>1400</v>
      </c>
      <c r="D21412" s="69" t="s">
        <v>29420</v>
      </c>
      <c r="E21412" s="51"/>
      <c r="F21412" s="114" t="str">
        <f>IF(INDEX(I.Facility.P4IDNumber,1400)="","",INDEX(I.Facility.P4IDNumber,1400))</f>
        <v/>
      </c>
      <c r="G21412" s="51"/>
      <c r="H21412" s="46" t="str">
        <f>IF(AND(I.Developer.P4=TRUE,I.Facility.P4FacilityCount&gt;=1400,F21412=""),"Incomplete","Complete")</f>
        <v>Complete</v>
      </c>
      <c r="I21412" s="48" t="s">
        <v>25777</v>
      </c>
    </row>
    <row r="21413" spans="2:9" ht="15" customHeight="1" x14ac:dyDescent="0.25">
      <c r="B21413" s="55" t="s">
        <v>283</v>
      </c>
      <c r="C21413" s="46">
        <v>1401</v>
      </c>
      <c r="D21413" s="69" t="s">
        <v>29420</v>
      </c>
      <c r="E21413" s="51"/>
      <c r="F21413" s="114" t="str">
        <f>IF(INDEX(I.Facility.P4IDNumber,1401)="","",INDEX(I.Facility.P4IDNumber,1401))</f>
        <v/>
      </c>
      <c r="G21413" s="51"/>
      <c r="H21413" s="46" t="str">
        <f>IF(AND(I.Developer.P4=TRUE,I.Facility.P4FacilityCount&gt;=1401,F21413=""),"Incomplete","Complete")</f>
        <v>Complete</v>
      </c>
      <c r="I21413" s="48" t="s">
        <v>25778</v>
      </c>
    </row>
    <row r="21414" spans="2:9" ht="15" customHeight="1" x14ac:dyDescent="0.25">
      <c r="B21414" s="55" t="s">
        <v>283</v>
      </c>
      <c r="C21414" s="46">
        <v>1402</v>
      </c>
      <c r="D21414" s="69" t="s">
        <v>29420</v>
      </c>
      <c r="E21414" s="51"/>
      <c r="F21414" s="114" t="str">
        <f>IF(INDEX(I.Facility.P4IDNumber,1402)="","",INDEX(I.Facility.P4IDNumber,1402))</f>
        <v/>
      </c>
      <c r="G21414" s="51"/>
      <c r="H21414" s="46" t="str">
        <f>IF(AND(I.Developer.P4=TRUE,I.Facility.P4FacilityCount&gt;=1402,F21414=""),"Incomplete","Complete")</f>
        <v>Complete</v>
      </c>
      <c r="I21414" s="48" t="s">
        <v>25779</v>
      </c>
    </row>
    <row r="21415" spans="2:9" ht="15" customHeight="1" x14ac:dyDescent="0.25">
      <c r="B21415" s="55" t="s">
        <v>283</v>
      </c>
      <c r="C21415" s="46">
        <v>1403</v>
      </c>
      <c r="D21415" s="69" t="s">
        <v>29420</v>
      </c>
      <c r="E21415" s="51"/>
      <c r="F21415" s="114" t="str">
        <f>IF(INDEX(I.Facility.P4IDNumber,1403)="","",INDEX(I.Facility.P4IDNumber,1403))</f>
        <v/>
      </c>
      <c r="G21415" s="51"/>
      <c r="H21415" s="46" t="str">
        <f>IF(AND(I.Developer.P4=TRUE,I.Facility.P4FacilityCount&gt;=1403,F21415=""),"Incomplete","Complete")</f>
        <v>Complete</v>
      </c>
      <c r="I21415" s="48" t="s">
        <v>25780</v>
      </c>
    </row>
    <row r="21416" spans="2:9" ht="15" customHeight="1" x14ac:dyDescent="0.25">
      <c r="B21416" s="55" t="s">
        <v>283</v>
      </c>
      <c r="C21416" s="46">
        <v>1404</v>
      </c>
      <c r="D21416" s="69" t="s">
        <v>29420</v>
      </c>
      <c r="E21416" s="51"/>
      <c r="F21416" s="114" t="str">
        <f>IF(INDEX(I.Facility.P4IDNumber,1404)="","",INDEX(I.Facility.P4IDNumber,1404))</f>
        <v/>
      </c>
      <c r="G21416" s="51"/>
      <c r="H21416" s="46" t="str">
        <f>IF(AND(I.Developer.P4=TRUE,I.Facility.P4FacilityCount&gt;=1404,F21416=""),"Incomplete","Complete")</f>
        <v>Complete</v>
      </c>
      <c r="I21416" s="48" t="s">
        <v>25781</v>
      </c>
    </row>
    <row r="21417" spans="2:9" ht="15" customHeight="1" x14ac:dyDescent="0.25">
      <c r="B21417" s="55" t="s">
        <v>283</v>
      </c>
      <c r="C21417" s="46">
        <v>1405</v>
      </c>
      <c r="D21417" s="69" t="s">
        <v>29420</v>
      </c>
      <c r="E21417" s="51"/>
      <c r="F21417" s="114" t="str">
        <f>IF(INDEX(I.Facility.P4IDNumber,1405)="","",INDEX(I.Facility.P4IDNumber,1405))</f>
        <v/>
      </c>
      <c r="G21417" s="51"/>
      <c r="H21417" s="46" t="str">
        <f>IF(AND(I.Developer.P4=TRUE,I.Facility.P4FacilityCount&gt;=1405,F21417=""),"Incomplete","Complete")</f>
        <v>Complete</v>
      </c>
      <c r="I21417" s="48" t="s">
        <v>25782</v>
      </c>
    </row>
    <row r="21418" spans="2:9" ht="15" customHeight="1" x14ac:dyDescent="0.25">
      <c r="B21418" s="55" t="s">
        <v>283</v>
      </c>
      <c r="C21418" s="46">
        <v>1406</v>
      </c>
      <c r="D21418" s="69" t="s">
        <v>29420</v>
      </c>
      <c r="E21418" s="51"/>
      <c r="F21418" s="114" t="str">
        <f>IF(INDEX(I.Facility.P4IDNumber,1406)="","",INDEX(I.Facility.P4IDNumber,1406))</f>
        <v/>
      </c>
      <c r="G21418" s="51"/>
      <c r="H21418" s="46" t="str">
        <f>IF(AND(I.Developer.P4=TRUE,I.Facility.P4FacilityCount&gt;=1406,F21418=""),"Incomplete","Complete")</f>
        <v>Complete</v>
      </c>
      <c r="I21418" s="48" t="s">
        <v>25783</v>
      </c>
    </row>
    <row r="21419" spans="2:9" ht="15" customHeight="1" x14ac:dyDescent="0.25">
      <c r="B21419" s="55" t="s">
        <v>283</v>
      </c>
      <c r="C21419" s="46">
        <v>1407</v>
      </c>
      <c r="D21419" s="69" t="s">
        <v>29420</v>
      </c>
      <c r="E21419" s="51"/>
      <c r="F21419" s="114" t="str">
        <f>IF(INDEX(I.Facility.P4IDNumber,1407)="","",INDEX(I.Facility.P4IDNumber,1407))</f>
        <v/>
      </c>
      <c r="G21419" s="51"/>
      <c r="H21419" s="46" t="str">
        <f>IF(AND(I.Developer.P4=TRUE,I.Facility.P4FacilityCount&gt;=1407,F21419=""),"Incomplete","Complete")</f>
        <v>Complete</v>
      </c>
      <c r="I21419" s="48" t="s">
        <v>25784</v>
      </c>
    </row>
    <row r="21420" spans="2:9" ht="15" customHeight="1" x14ac:dyDescent="0.25">
      <c r="B21420" s="55" t="s">
        <v>283</v>
      </c>
      <c r="C21420" s="46">
        <v>1408</v>
      </c>
      <c r="D21420" s="69" t="s">
        <v>29420</v>
      </c>
      <c r="E21420" s="51"/>
      <c r="F21420" s="114" t="str">
        <f>IF(INDEX(I.Facility.P4IDNumber,1408)="","",INDEX(I.Facility.P4IDNumber,1408))</f>
        <v/>
      </c>
      <c r="G21420" s="51"/>
      <c r="H21420" s="46" t="str">
        <f>IF(AND(I.Developer.P4=TRUE,I.Facility.P4FacilityCount&gt;=1408,F21420=""),"Incomplete","Complete")</f>
        <v>Complete</v>
      </c>
      <c r="I21420" s="48" t="s">
        <v>25785</v>
      </c>
    </row>
    <row r="21421" spans="2:9" ht="15" customHeight="1" x14ac:dyDescent="0.25">
      <c r="B21421" s="55" t="s">
        <v>283</v>
      </c>
      <c r="C21421" s="46">
        <v>1409</v>
      </c>
      <c r="D21421" s="69" t="s">
        <v>29420</v>
      </c>
      <c r="E21421" s="51"/>
      <c r="F21421" s="114" t="str">
        <f>IF(INDEX(I.Facility.P4IDNumber,1409)="","",INDEX(I.Facility.P4IDNumber,1409))</f>
        <v/>
      </c>
      <c r="G21421" s="51"/>
      <c r="H21421" s="46" t="str">
        <f>IF(AND(I.Developer.P4=TRUE,I.Facility.P4FacilityCount&gt;=1409,F21421=""),"Incomplete","Complete")</f>
        <v>Complete</v>
      </c>
      <c r="I21421" s="48" t="s">
        <v>25786</v>
      </c>
    </row>
    <row r="21422" spans="2:9" ht="15" customHeight="1" x14ac:dyDescent="0.25">
      <c r="B21422" s="55" t="s">
        <v>283</v>
      </c>
      <c r="C21422" s="46">
        <v>1410</v>
      </c>
      <c r="D21422" s="69" t="s">
        <v>29420</v>
      </c>
      <c r="E21422" s="51"/>
      <c r="F21422" s="114" t="str">
        <f>IF(INDEX(I.Facility.P4IDNumber,1410)="","",INDEX(I.Facility.P4IDNumber,1410))</f>
        <v/>
      </c>
      <c r="G21422" s="51"/>
      <c r="H21422" s="46" t="str">
        <f>IF(AND(I.Developer.P4=TRUE,I.Facility.P4FacilityCount&gt;=1410,F21422=""),"Incomplete","Complete")</f>
        <v>Complete</v>
      </c>
      <c r="I21422" s="48" t="s">
        <v>25787</v>
      </c>
    </row>
    <row r="21423" spans="2:9" ht="15" customHeight="1" x14ac:dyDescent="0.25">
      <c r="B21423" s="55" t="s">
        <v>283</v>
      </c>
      <c r="C21423" s="46">
        <v>1411</v>
      </c>
      <c r="D21423" s="69" t="s">
        <v>29420</v>
      </c>
      <c r="E21423" s="51"/>
      <c r="F21423" s="114" t="str">
        <f>IF(INDEX(I.Facility.P4IDNumber,1411)="","",INDEX(I.Facility.P4IDNumber,1411))</f>
        <v/>
      </c>
      <c r="G21423" s="51"/>
      <c r="H21423" s="46" t="str">
        <f>IF(AND(I.Developer.P4=TRUE,I.Facility.P4FacilityCount&gt;=1411,F21423=""),"Incomplete","Complete")</f>
        <v>Complete</v>
      </c>
      <c r="I21423" s="48" t="s">
        <v>25788</v>
      </c>
    </row>
    <row r="21424" spans="2:9" ht="15" customHeight="1" x14ac:dyDescent="0.25">
      <c r="B21424" s="55" t="s">
        <v>283</v>
      </c>
      <c r="C21424" s="46">
        <v>1412</v>
      </c>
      <c r="D21424" s="69" t="s">
        <v>29420</v>
      </c>
      <c r="E21424" s="51"/>
      <c r="F21424" s="114" t="str">
        <f>IF(INDEX(I.Facility.P4IDNumber,1412)="","",INDEX(I.Facility.P4IDNumber,1412))</f>
        <v/>
      </c>
      <c r="G21424" s="51"/>
      <c r="H21424" s="46" t="str">
        <f>IF(AND(I.Developer.P4=TRUE,I.Facility.P4FacilityCount&gt;=1412,F21424=""),"Incomplete","Complete")</f>
        <v>Complete</v>
      </c>
      <c r="I21424" s="48" t="s">
        <v>25789</v>
      </c>
    </row>
    <row r="21425" spans="2:9" ht="15" customHeight="1" x14ac:dyDescent="0.25">
      <c r="B21425" s="55" t="s">
        <v>283</v>
      </c>
      <c r="C21425" s="46">
        <v>1413</v>
      </c>
      <c r="D21425" s="69" t="s">
        <v>29420</v>
      </c>
      <c r="E21425" s="51"/>
      <c r="F21425" s="114" t="str">
        <f>IF(INDEX(I.Facility.P4IDNumber,1413)="","",INDEX(I.Facility.P4IDNumber,1413))</f>
        <v/>
      </c>
      <c r="G21425" s="51"/>
      <c r="H21425" s="46" t="str">
        <f>IF(AND(I.Developer.P4=TRUE,I.Facility.P4FacilityCount&gt;=1413,F21425=""),"Incomplete","Complete")</f>
        <v>Complete</v>
      </c>
      <c r="I21425" s="48" t="s">
        <v>25790</v>
      </c>
    </row>
    <row r="21426" spans="2:9" ht="15" customHeight="1" x14ac:dyDescent="0.25">
      <c r="B21426" s="55" t="s">
        <v>283</v>
      </c>
      <c r="C21426" s="46">
        <v>1414</v>
      </c>
      <c r="D21426" s="69" t="s">
        <v>29420</v>
      </c>
      <c r="E21426" s="51"/>
      <c r="F21426" s="114" t="str">
        <f>IF(INDEX(I.Facility.P4IDNumber,1414)="","",INDEX(I.Facility.P4IDNumber,1414))</f>
        <v/>
      </c>
      <c r="G21426" s="51"/>
      <c r="H21426" s="46" t="str">
        <f>IF(AND(I.Developer.P4=TRUE,I.Facility.P4FacilityCount&gt;=1414,F21426=""),"Incomplete","Complete")</f>
        <v>Complete</v>
      </c>
      <c r="I21426" s="48" t="s">
        <v>25791</v>
      </c>
    </row>
    <row r="21427" spans="2:9" ht="15" customHeight="1" x14ac:dyDescent="0.25">
      <c r="B21427" s="55" t="s">
        <v>283</v>
      </c>
      <c r="C21427" s="46">
        <v>1415</v>
      </c>
      <c r="D21427" s="69" t="s">
        <v>29420</v>
      </c>
      <c r="E21427" s="51"/>
      <c r="F21427" s="114" t="str">
        <f>IF(INDEX(I.Facility.P4IDNumber,1415)="","",INDEX(I.Facility.P4IDNumber,1415))</f>
        <v/>
      </c>
      <c r="G21427" s="51"/>
      <c r="H21427" s="46" t="str">
        <f>IF(AND(I.Developer.P4=TRUE,I.Facility.P4FacilityCount&gt;=1415,F21427=""),"Incomplete","Complete")</f>
        <v>Complete</v>
      </c>
      <c r="I21427" s="48" t="s">
        <v>25792</v>
      </c>
    </row>
    <row r="21428" spans="2:9" ht="15" customHeight="1" x14ac:dyDescent="0.25">
      <c r="B21428" s="55" t="s">
        <v>283</v>
      </c>
      <c r="C21428" s="46">
        <v>1416</v>
      </c>
      <c r="D21428" s="69" t="s">
        <v>29420</v>
      </c>
      <c r="E21428" s="51"/>
      <c r="F21428" s="114" t="str">
        <f>IF(INDEX(I.Facility.P4IDNumber,1416)="","",INDEX(I.Facility.P4IDNumber,1416))</f>
        <v/>
      </c>
      <c r="G21428" s="51"/>
      <c r="H21428" s="46" t="str">
        <f>IF(AND(I.Developer.P4=TRUE,I.Facility.P4FacilityCount&gt;=1416,F21428=""),"Incomplete","Complete")</f>
        <v>Complete</v>
      </c>
      <c r="I21428" s="48" t="s">
        <v>25793</v>
      </c>
    </row>
    <row r="21429" spans="2:9" ht="15" customHeight="1" x14ac:dyDescent="0.25">
      <c r="B21429" s="55" t="s">
        <v>283</v>
      </c>
      <c r="C21429" s="46">
        <v>1417</v>
      </c>
      <c r="D21429" s="69" t="s">
        <v>29420</v>
      </c>
      <c r="E21429" s="51"/>
      <c r="F21429" s="114" t="str">
        <f>IF(INDEX(I.Facility.P4IDNumber,1417)="","",INDEX(I.Facility.P4IDNumber,1417))</f>
        <v/>
      </c>
      <c r="G21429" s="51"/>
      <c r="H21429" s="46" t="str">
        <f>IF(AND(I.Developer.P4=TRUE,I.Facility.P4FacilityCount&gt;=1417,F21429=""),"Incomplete","Complete")</f>
        <v>Complete</v>
      </c>
      <c r="I21429" s="48" t="s">
        <v>25794</v>
      </c>
    </row>
    <row r="21430" spans="2:9" ht="15" customHeight="1" x14ac:dyDescent="0.25">
      <c r="B21430" s="55" t="s">
        <v>283</v>
      </c>
      <c r="C21430" s="46">
        <v>1418</v>
      </c>
      <c r="D21430" s="69" t="s">
        <v>29420</v>
      </c>
      <c r="E21430" s="51"/>
      <c r="F21430" s="114" t="str">
        <f>IF(INDEX(I.Facility.P4IDNumber,1418)="","",INDEX(I.Facility.P4IDNumber,1418))</f>
        <v/>
      </c>
      <c r="G21430" s="51"/>
      <c r="H21430" s="46" t="str">
        <f>IF(AND(I.Developer.P4=TRUE,I.Facility.P4FacilityCount&gt;=1418,F21430=""),"Incomplete","Complete")</f>
        <v>Complete</v>
      </c>
      <c r="I21430" s="48" t="s">
        <v>25795</v>
      </c>
    </row>
    <row r="21431" spans="2:9" ht="15" customHeight="1" x14ac:dyDescent="0.25">
      <c r="B21431" s="55" t="s">
        <v>283</v>
      </c>
      <c r="C21431" s="46">
        <v>1419</v>
      </c>
      <c r="D21431" s="69" t="s">
        <v>29420</v>
      </c>
      <c r="E21431" s="51"/>
      <c r="F21431" s="114" t="str">
        <f>IF(INDEX(I.Facility.P4IDNumber,1419)="","",INDEX(I.Facility.P4IDNumber,1419))</f>
        <v/>
      </c>
      <c r="G21431" s="51"/>
      <c r="H21431" s="46" t="str">
        <f>IF(AND(I.Developer.P4=TRUE,I.Facility.P4FacilityCount&gt;=1419,F21431=""),"Incomplete","Complete")</f>
        <v>Complete</v>
      </c>
      <c r="I21431" s="48" t="s">
        <v>25796</v>
      </c>
    </row>
    <row r="21432" spans="2:9" ht="15" customHeight="1" x14ac:dyDescent="0.25">
      <c r="B21432" s="55" t="s">
        <v>283</v>
      </c>
      <c r="C21432" s="46">
        <v>1420</v>
      </c>
      <c r="D21432" s="69" t="s">
        <v>29420</v>
      </c>
      <c r="E21432" s="51"/>
      <c r="F21432" s="114" t="str">
        <f>IF(INDEX(I.Facility.P4IDNumber,1420)="","",INDEX(I.Facility.P4IDNumber,1420))</f>
        <v/>
      </c>
      <c r="G21432" s="51"/>
      <c r="H21432" s="46" t="str">
        <f>IF(AND(I.Developer.P4=TRUE,I.Facility.P4FacilityCount&gt;=1420,F21432=""),"Incomplete","Complete")</f>
        <v>Complete</v>
      </c>
      <c r="I21432" s="48" t="s">
        <v>25797</v>
      </c>
    </row>
    <row r="21433" spans="2:9" ht="15" customHeight="1" x14ac:dyDescent="0.25">
      <c r="B21433" s="55" t="s">
        <v>283</v>
      </c>
      <c r="C21433" s="46">
        <v>1421</v>
      </c>
      <c r="D21433" s="69" t="s">
        <v>29420</v>
      </c>
      <c r="E21433" s="51"/>
      <c r="F21433" s="114" t="str">
        <f>IF(INDEX(I.Facility.P4IDNumber,1421)="","",INDEX(I.Facility.P4IDNumber,1421))</f>
        <v/>
      </c>
      <c r="G21433" s="51"/>
      <c r="H21433" s="46" t="str">
        <f>IF(AND(I.Developer.P4=TRUE,I.Facility.P4FacilityCount&gt;=1421,F21433=""),"Incomplete","Complete")</f>
        <v>Complete</v>
      </c>
      <c r="I21433" s="48" t="s">
        <v>25798</v>
      </c>
    </row>
    <row r="21434" spans="2:9" ht="15" customHeight="1" x14ac:dyDescent="0.25">
      <c r="B21434" s="55" t="s">
        <v>283</v>
      </c>
      <c r="C21434" s="46">
        <v>1422</v>
      </c>
      <c r="D21434" s="69" t="s">
        <v>29420</v>
      </c>
      <c r="E21434" s="51"/>
      <c r="F21434" s="114" t="str">
        <f>IF(INDEX(I.Facility.P4IDNumber,1422)="","",INDEX(I.Facility.P4IDNumber,1422))</f>
        <v/>
      </c>
      <c r="G21434" s="51"/>
      <c r="H21434" s="46" t="str">
        <f>IF(AND(I.Developer.P4=TRUE,I.Facility.P4FacilityCount&gt;=1422,F21434=""),"Incomplete","Complete")</f>
        <v>Complete</v>
      </c>
      <c r="I21434" s="48" t="s">
        <v>25799</v>
      </c>
    </row>
    <row r="21435" spans="2:9" ht="15" customHeight="1" x14ac:dyDescent="0.25">
      <c r="B21435" s="55" t="s">
        <v>283</v>
      </c>
      <c r="C21435" s="46">
        <v>1423</v>
      </c>
      <c r="D21435" s="69" t="s">
        <v>29420</v>
      </c>
      <c r="E21435" s="51"/>
      <c r="F21435" s="114" t="str">
        <f>IF(INDEX(I.Facility.P4IDNumber,1423)="","",INDEX(I.Facility.P4IDNumber,1423))</f>
        <v/>
      </c>
      <c r="G21435" s="51"/>
      <c r="H21435" s="46" t="str">
        <f>IF(AND(I.Developer.P4=TRUE,I.Facility.P4FacilityCount&gt;=1423,F21435=""),"Incomplete","Complete")</f>
        <v>Complete</v>
      </c>
      <c r="I21435" s="48" t="s">
        <v>25800</v>
      </c>
    </row>
    <row r="21436" spans="2:9" ht="15" customHeight="1" x14ac:dyDescent="0.25">
      <c r="B21436" s="55" t="s">
        <v>283</v>
      </c>
      <c r="C21436" s="46">
        <v>1424</v>
      </c>
      <c r="D21436" s="69" t="s">
        <v>29420</v>
      </c>
      <c r="E21436" s="51"/>
      <c r="F21436" s="114" t="str">
        <f>IF(INDEX(I.Facility.P4IDNumber,1424)="","",INDEX(I.Facility.P4IDNumber,1424))</f>
        <v/>
      </c>
      <c r="G21436" s="51"/>
      <c r="H21436" s="46" t="str">
        <f>IF(AND(I.Developer.P4=TRUE,I.Facility.P4FacilityCount&gt;=1424,F21436=""),"Incomplete","Complete")</f>
        <v>Complete</v>
      </c>
      <c r="I21436" s="48" t="s">
        <v>25801</v>
      </c>
    </row>
    <row r="21437" spans="2:9" ht="15" customHeight="1" x14ac:dyDescent="0.25">
      <c r="B21437" s="55" t="s">
        <v>283</v>
      </c>
      <c r="C21437" s="46">
        <v>1425</v>
      </c>
      <c r="D21437" s="69" t="s">
        <v>29420</v>
      </c>
      <c r="E21437" s="51"/>
      <c r="F21437" s="114" t="str">
        <f>IF(INDEX(I.Facility.P4IDNumber,1425)="","",INDEX(I.Facility.P4IDNumber,1425))</f>
        <v/>
      </c>
      <c r="G21437" s="51"/>
      <c r="H21437" s="46" t="str">
        <f>IF(AND(I.Developer.P4=TRUE,I.Facility.P4FacilityCount&gt;=1425,F21437=""),"Incomplete","Complete")</f>
        <v>Complete</v>
      </c>
      <c r="I21437" s="48" t="s">
        <v>25802</v>
      </c>
    </row>
    <row r="21438" spans="2:9" ht="15" customHeight="1" x14ac:dyDescent="0.25">
      <c r="B21438" s="55" t="s">
        <v>283</v>
      </c>
      <c r="C21438" s="46">
        <v>1426</v>
      </c>
      <c r="D21438" s="69" t="s">
        <v>29420</v>
      </c>
      <c r="E21438" s="51"/>
      <c r="F21438" s="114" t="str">
        <f>IF(INDEX(I.Facility.P4IDNumber,1426)="","",INDEX(I.Facility.P4IDNumber,1426))</f>
        <v/>
      </c>
      <c r="G21438" s="51"/>
      <c r="H21438" s="46" t="str">
        <f>IF(AND(I.Developer.P4=TRUE,I.Facility.P4FacilityCount&gt;=1426,F21438=""),"Incomplete","Complete")</f>
        <v>Complete</v>
      </c>
      <c r="I21438" s="48" t="s">
        <v>25803</v>
      </c>
    </row>
    <row r="21439" spans="2:9" ht="15" customHeight="1" x14ac:dyDescent="0.25">
      <c r="B21439" s="55" t="s">
        <v>283</v>
      </c>
      <c r="C21439" s="46">
        <v>1427</v>
      </c>
      <c r="D21439" s="69" t="s">
        <v>29420</v>
      </c>
      <c r="E21439" s="51"/>
      <c r="F21439" s="114" t="str">
        <f>IF(INDEX(I.Facility.P4IDNumber,1427)="","",INDEX(I.Facility.P4IDNumber,1427))</f>
        <v/>
      </c>
      <c r="G21439" s="51"/>
      <c r="H21439" s="46" t="str">
        <f>IF(AND(I.Developer.P4=TRUE,I.Facility.P4FacilityCount&gt;=1427,F21439=""),"Incomplete","Complete")</f>
        <v>Complete</v>
      </c>
      <c r="I21439" s="48" t="s">
        <v>25804</v>
      </c>
    </row>
    <row r="21440" spans="2:9" ht="15" customHeight="1" x14ac:dyDescent="0.25">
      <c r="B21440" s="55" t="s">
        <v>283</v>
      </c>
      <c r="C21440" s="46">
        <v>1428</v>
      </c>
      <c r="D21440" s="69" t="s">
        <v>29420</v>
      </c>
      <c r="E21440" s="51"/>
      <c r="F21440" s="114" t="str">
        <f>IF(INDEX(I.Facility.P4IDNumber,1428)="","",INDEX(I.Facility.P4IDNumber,1428))</f>
        <v/>
      </c>
      <c r="G21440" s="51"/>
      <c r="H21440" s="46" t="str">
        <f>IF(AND(I.Developer.P4=TRUE,I.Facility.P4FacilityCount&gt;=1428,F21440=""),"Incomplete","Complete")</f>
        <v>Complete</v>
      </c>
      <c r="I21440" s="48" t="s">
        <v>25805</v>
      </c>
    </row>
    <row r="21441" spans="2:9" ht="15" customHeight="1" x14ac:dyDescent="0.25">
      <c r="B21441" s="55" t="s">
        <v>283</v>
      </c>
      <c r="C21441" s="46">
        <v>1429</v>
      </c>
      <c r="D21441" s="69" t="s">
        <v>29420</v>
      </c>
      <c r="E21441" s="51"/>
      <c r="F21441" s="114" t="str">
        <f>IF(INDEX(I.Facility.P4IDNumber,1429)="","",INDEX(I.Facility.P4IDNumber,1429))</f>
        <v/>
      </c>
      <c r="G21441" s="51"/>
      <c r="H21441" s="46" t="str">
        <f>IF(AND(I.Developer.P4=TRUE,I.Facility.P4FacilityCount&gt;=1429,F21441=""),"Incomplete","Complete")</f>
        <v>Complete</v>
      </c>
      <c r="I21441" s="48" t="s">
        <v>25806</v>
      </c>
    </row>
    <row r="21442" spans="2:9" ht="15" customHeight="1" x14ac:dyDescent="0.25">
      <c r="B21442" s="55" t="s">
        <v>283</v>
      </c>
      <c r="C21442" s="46">
        <v>1430</v>
      </c>
      <c r="D21442" s="69" t="s">
        <v>29420</v>
      </c>
      <c r="E21442" s="51"/>
      <c r="F21442" s="114" t="str">
        <f>IF(INDEX(I.Facility.P4IDNumber,1430)="","",INDEX(I.Facility.P4IDNumber,1430))</f>
        <v/>
      </c>
      <c r="G21442" s="51"/>
      <c r="H21442" s="46" t="str">
        <f>IF(AND(I.Developer.P4=TRUE,I.Facility.P4FacilityCount&gt;=1430,F21442=""),"Incomplete","Complete")</f>
        <v>Complete</v>
      </c>
      <c r="I21442" s="48" t="s">
        <v>25807</v>
      </c>
    </row>
    <row r="21443" spans="2:9" ht="15" customHeight="1" x14ac:dyDescent="0.25">
      <c r="B21443" s="55" t="s">
        <v>283</v>
      </c>
      <c r="C21443" s="46">
        <v>1431</v>
      </c>
      <c r="D21443" s="69" t="s">
        <v>29420</v>
      </c>
      <c r="E21443" s="51"/>
      <c r="F21443" s="114" t="str">
        <f>IF(INDEX(I.Facility.P4IDNumber,1431)="","",INDEX(I.Facility.P4IDNumber,1431))</f>
        <v/>
      </c>
      <c r="G21443" s="51"/>
      <c r="H21443" s="46" t="str">
        <f>IF(AND(I.Developer.P4=TRUE,I.Facility.P4FacilityCount&gt;=1431,F21443=""),"Incomplete","Complete")</f>
        <v>Complete</v>
      </c>
      <c r="I21443" s="48" t="s">
        <v>25808</v>
      </c>
    </row>
    <row r="21444" spans="2:9" ht="15" customHeight="1" x14ac:dyDescent="0.25">
      <c r="B21444" s="55" t="s">
        <v>283</v>
      </c>
      <c r="C21444" s="46">
        <v>1432</v>
      </c>
      <c r="D21444" s="69" t="s">
        <v>29420</v>
      </c>
      <c r="E21444" s="51"/>
      <c r="F21444" s="114" t="str">
        <f>IF(INDEX(I.Facility.P4IDNumber,1432)="","",INDEX(I.Facility.P4IDNumber,1432))</f>
        <v/>
      </c>
      <c r="G21444" s="51"/>
      <c r="H21444" s="46" t="str">
        <f>IF(AND(I.Developer.P4=TRUE,I.Facility.P4FacilityCount&gt;=1432,F21444=""),"Incomplete","Complete")</f>
        <v>Complete</v>
      </c>
      <c r="I21444" s="48" t="s">
        <v>25809</v>
      </c>
    </row>
    <row r="21445" spans="2:9" ht="15" customHeight="1" x14ac:dyDescent="0.25">
      <c r="B21445" s="55" t="s">
        <v>283</v>
      </c>
      <c r="C21445" s="46">
        <v>1433</v>
      </c>
      <c r="D21445" s="69" t="s">
        <v>29420</v>
      </c>
      <c r="E21445" s="51"/>
      <c r="F21445" s="114" t="str">
        <f>IF(INDEX(I.Facility.P4IDNumber,1433)="","",INDEX(I.Facility.P4IDNumber,1433))</f>
        <v/>
      </c>
      <c r="G21445" s="51"/>
      <c r="H21445" s="46" t="str">
        <f>IF(AND(I.Developer.P4=TRUE,I.Facility.P4FacilityCount&gt;=1433,F21445=""),"Incomplete","Complete")</f>
        <v>Complete</v>
      </c>
      <c r="I21445" s="48" t="s">
        <v>25810</v>
      </c>
    </row>
    <row r="21446" spans="2:9" ht="15" customHeight="1" x14ac:dyDescent="0.25">
      <c r="B21446" s="55" t="s">
        <v>283</v>
      </c>
      <c r="C21446" s="46">
        <v>1434</v>
      </c>
      <c r="D21446" s="69" t="s">
        <v>29420</v>
      </c>
      <c r="E21446" s="51"/>
      <c r="F21446" s="114" t="str">
        <f>IF(INDEX(I.Facility.P4IDNumber,1434)="","",INDEX(I.Facility.P4IDNumber,1434))</f>
        <v/>
      </c>
      <c r="G21446" s="51"/>
      <c r="H21446" s="46" t="str">
        <f>IF(AND(I.Developer.P4=TRUE,I.Facility.P4FacilityCount&gt;=1434,F21446=""),"Incomplete","Complete")</f>
        <v>Complete</v>
      </c>
      <c r="I21446" s="48" t="s">
        <v>25811</v>
      </c>
    </row>
    <row r="21447" spans="2:9" ht="15" customHeight="1" x14ac:dyDescent="0.25">
      <c r="B21447" s="55" t="s">
        <v>283</v>
      </c>
      <c r="C21447" s="46">
        <v>1435</v>
      </c>
      <c r="D21447" s="69" t="s">
        <v>29420</v>
      </c>
      <c r="E21447" s="51"/>
      <c r="F21447" s="114" t="str">
        <f>IF(INDEX(I.Facility.P4IDNumber,1435)="","",INDEX(I.Facility.P4IDNumber,1435))</f>
        <v/>
      </c>
      <c r="G21447" s="51"/>
      <c r="H21447" s="46" t="str">
        <f>IF(AND(I.Developer.P4=TRUE,I.Facility.P4FacilityCount&gt;=1435,F21447=""),"Incomplete","Complete")</f>
        <v>Complete</v>
      </c>
      <c r="I21447" s="48" t="s">
        <v>25812</v>
      </c>
    </row>
    <row r="21448" spans="2:9" ht="15" customHeight="1" x14ac:dyDescent="0.25">
      <c r="B21448" s="55" t="s">
        <v>283</v>
      </c>
      <c r="C21448" s="46">
        <v>1436</v>
      </c>
      <c r="D21448" s="69" t="s">
        <v>29420</v>
      </c>
      <c r="E21448" s="51"/>
      <c r="F21448" s="114" t="str">
        <f>IF(INDEX(I.Facility.P4IDNumber,1436)="","",INDEX(I.Facility.P4IDNumber,1436))</f>
        <v/>
      </c>
      <c r="G21448" s="51"/>
      <c r="H21448" s="46" t="str">
        <f>IF(AND(I.Developer.P4=TRUE,I.Facility.P4FacilityCount&gt;=1436,F21448=""),"Incomplete","Complete")</f>
        <v>Complete</v>
      </c>
      <c r="I21448" s="48" t="s">
        <v>25813</v>
      </c>
    </row>
    <row r="21449" spans="2:9" ht="15" customHeight="1" x14ac:dyDescent="0.25">
      <c r="B21449" s="55" t="s">
        <v>283</v>
      </c>
      <c r="C21449" s="46">
        <v>1437</v>
      </c>
      <c r="D21449" s="69" t="s">
        <v>29420</v>
      </c>
      <c r="E21449" s="51"/>
      <c r="F21449" s="114" t="str">
        <f>IF(INDEX(I.Facility.P4IDNumber,1437)="","",INDEX(I.Facility.P4IDNumber,1437))</f>
        <v/>
      </c>
      <c r="G21449" s="51"/>
      <c r="H21449" s="46" t="str">
        <f>IF(AND(I.Developer.P4=TRUE,I.Facility.P4FacilityCount&gt;=1437,F21449=""),"Incomplete","Complete")</f>
        <v>Complete</v>
      </c>
      <c r="I21449" s="48" t="s">
        <v>25814</v>
      </c>
    </row>
    <row r="21450" spans="2:9" ht="15" customHeight="1" x14ac:dyDescent="0.25">
      <c r="B21450" s="55" t="s">
        <v>283</v>
      </c>
      <c r="C21450" s="46">
        <v>1438</v>
      </c>
      <c r="D21450" s="69" t="s">
        <v>29420</v>
      </c>
      <c r="E21450" s="51"/>
      <c r="F21450" s="114" t="str">
        <f>IF(INDEX(I.Facility.P4IDNumber,1438)="","",INDEX(I.Facility.P4IDNumber,1438))</f>
        <v/>
      </c>
      <c r="G21450" s="51"/>
      <c r="H21450" s="46" t="str">
        <f>IF(AND(I.Developer.P4=TRUE,I.Facility.P4FacilityCount&gt;=1438,F21450=""),"Incomplete","Complete")</f>
        <v>Complete</v>
      </c>
      <c r="I21450" s="48" t="s">
        <v>25815</v>
      </c>
    </row>
    <row r="21451" spans="2:9" ht="15" customHeight="1" x14ac:dyDescent="0.25">
      <c r="B21451" s="55" t="s">
        <v>283</v>
      </c>
      <c r="C21451" s="46">
        <v>1439</v>
      </c>
      <c r="D21451" s="69" t="s">
        <v>29420</v>
      </c>
      <c r="E21451" s="51"/>
      <c r="F21451" s="114" t="str">
        <f>IF(INDEX(I.Facility.P4IDNumber,1439)="","",INDEX(I.Facility.P4IDNumber,1439))</f>
        <v/>
      </c>
      <c r="G21451" s="51"/>
      <c r="H21451" s="46" t="str">
        <f>IF(AND(I.Developer.P4=TRUE,I.Facility.P4FacilityCount&gt;=1439,F21451=""),"Incomplete","Complete")</f>
        <v>Complete</v>
      </c>
      <c r="I21451" s="48" t="s">
        <v>25816</v>
      </c>
    </row>
    <row r="21452" spans="2:9" ht="15" customHeight="1" x14ac:dyDescent="0.25">
      <c r="B21452" s="55" t="s">
        <v>283</v>
      </c>
      <c r="C21452" s="46">
        <v>1440</v>
      </c>
      <c r="D21452" s="69" t="s">
        <v>29420</v>
      </c>
      <c r="E21452" s="51"/>
      <c r="F21452" s="114" t="str">
        <f>IF(INDEX(I.Facility.P4IDNumber,1440)="","",INDEX(I.Facility.P4IDNumber,1440))</f>
        <v/>
      </c>
      <c r="G21452" s="51"/>
      <c r="H21452" s="46" t="str">
        <f>IF(AND(I.Developer.P4=TRUE,I.Facility.P4FacilityCount&gt;=1440,F21452=""),"Incomplete","Complete")</f>
        <v>Complete</v>
      </c>
      <c r="I21452" s="48" t="s">
        <v>25817</v>
      </c>
    </row>
    <row r="21453" spans="2:9" ht="15" customHeight="1" x14ac:dyDescent="0.25">
      <c r="B21453" s="55" t="s">
        <v>283</v>
      </c>
      <c r="C21453" s="46">
        <v>1441</v>
      </c>
      <c r="D21453" s="69" t="s">
        <v>29420</v>
      </c>
      <c r="E21453" s="51"/>
      <c r="F21453" s="114" t="str">
        <f>IF(INDEX(I.Facility.P4IDNumber,1441)="","",INDEX(I.Facility.P4IDNumber,1441))</f>
        <v/>
      </c>
      <c r="G21453" s="51"/>
      <c r="H21453" s="46" t="str">
        <f>IF(AND(I.Developer.P4=TRUE,I.Facility.P4FacilityCount&gt;=1441,F21453=""),"Incomplete","Complete")</f>
        <v>Complete</v>
      </c>
      <c r="I21453" s="48" t="s">
        <v>25818</v>
      </c>
    </row>
    <row r="21454" spans="2:9" ht="15" customHeight="1" x14ac:dyDescent="0.25">
      <c r="B21454" s="55" t="s">
        <v>283</v>
      </c>
      <c r="C21454" s="46">
        <v>1442</v>
      </c>
      <c r="D21454" s="69" t="s">
        <v>29420</v>
      </c>
      <c r="E21454" s="51"/>
      <c r="F21454" s="114" t="str">
        <f>IF(INDEX(I.Facility.P4IDNumber,1442)="","",INDEX(I.Facility.P4IDNumber,1442))</f>
        <v/>
      </c>
      <c r="G21454" s="51"/>
      <c r="H21454" s="46" t="str">
        <f>IF(AND(I.Developer.P4=TRUE,I.Facility.P4FacilityCount&gt;=1442,F21454=""),"Incomplete","Complete")</f>
        <v>Complete</v>
      </c>
      <c r="I21454" s="48" t="s">
        <v>25819</v>
      </c>
    </row>
    <row r="21455" spans="2:9" ht="15" customHeight="1" x14ac:dyDescent="0.25">
      <c r="B21455" s="55" t="s">
        <v>283</v>
      </c>
      <c r="C21455" s="46">
        <v>1443</v>
      </c>
      <c r="D21455" s="69" t="s">
        <v>29420</v>
      </c>
      <c r="E21455" s="51"/>
      <c r="F21455" s="114" t="str">
        <f>IF(INDEX(I.Facility.P4IDNumber,1443)="","",INDEX(I.Facility.P4IDNumber,1443))</f>
        <v/>
      </c>
      <c r="G21455" s="51"/>
      <c r="H21455" s="46" t="str">
        <f>IF(AND(I.Developer.P4=TRUE,I.Facility.P4FacilityCount&gt;=1443,F21455=""),"Incomplete","Complete")</f>
        <v>Complete</v>
      </c>
      <c r="I21455" s="48" t="s">
        <v>25820</v>
      </c>
    </row>
    <row r="21456" spans="2:9" ht="15" customHeight="1" x14ac:dyDescent="0.25">
      <c r="B21456" s="55" t="s">
        <v>283</v>
      </c>
      <c r="C21456" s="46">
        <v>1444</v>
      </c>
      <c r="D21456" s="69" t="s">
        <v>29420</v>
      </c>
      <c r="E21456" s="51"/>
      <c r="F21456" s="114" t="str">
        <f>IF(INDEX(I.Facility.P4IDNumber,1444)="","",INDEX(I.Facility.P4IDNumber,1444))</f>
        <v/>
      </c>
      <c r="G21456" s="51"/>
      <c r="H21456" s="46" t="str">
        <f>IF(AND(I.Developer.P4=TRUE,I.Facility.P4FacilityCount&gt;=1444,F21456=""),"Incomplete","Complete")</f>
        <v>Complete</v>
      </c>
      <c r="I21456" s="48" t="s">
        <v>25821</v>
      </c>
    </row>
    <row r="21457" spans="2:9" ht="15" customHeight="1" x14ac:dyDescent="0.25">
      <c r="B21457" s="55" t="s">
        <v>283</v>
      </c>
      <c r="C21457" s="46">
        <v>1445</v>
      </c>
      <c r="D21457" s="69" t="s">
        <v>29420</v>
      </c>
      <c r="E21457" s="51"/>
      <c r="F21457" s="114" t="str">
        <f>IF(INDEX(I.Facility.P4IDNumber,1445)="","",INDEX(I.Facility.P4IDNumber,1445))</f>
        <v/>
      </c>
      <c r="G21457" s="51"/>
      <c r="H21457" s="46" t="str">
        <f>IF(AND(I.Developer.P4=TRUE,I.Facility.P4FacilityCount&gt;=1445,F21457=""),"Incomplete","Complete")</f>
        <v>Complete</v>
      </c>
      <c r="I21457" s="48" t="s">
        <v>25822</v>
      </c>
    </row>
    <row r="21458" spans="2:9" ht="15" customHeight="1" x14ac:dyDescent="0.25">
      <c r="B21458" s="55" t="s">
        <v>283</v>
      </c>
      <c r="C21458" s="46">
        <v>1446</v>
      </c>
      <c r="D21458" s="69" t="s">
        <v>29420</v>
      </c>
      <c r="E21458" s="51"/>
      <c r="F21458" s="114" t="str">
        <f>IF(INDEX(I.Facility.P4IDNumber,1446)="","",INDEX(I.Facility.P4IDNumber,1446))</f>
        <v/>
      </c>
      <c r="G21458" s="51"/>
      <c r="H21458" s="46" t="str">
        <f>IF(AND(I.Developer.P4=TRUE,I.Facility.P4FacilityCount&gt;=1446,F21458=""),"Incomplete","Complete")</f>
        <v>Complete</v>
      </c>
      <c r="I21458" s="48" t="s">
        <v>25823</v>
      </c>
    </row>
    <row r="21459" spans="2:9" ht="15" customHeight="1" x14ac:dyDescent="0.25">
      <c r="B21459" s="55" t="s">
        <v>283</v>
      </c>
      <c r="C21459" s="46">
        <v>1447</v>
      </c>
      <c r="D21459" s="69" t="s">
        <v>29420</v>
      </c>
      <c r="E21459" s="51"/>
      <c r="F21459" s="114" t="str">
        <f>IF(INDEX(I.Facility.P4IDNumber,1447)="","",INDEX(I.Facility.P4IDNumber,1447))</f>
        <v/>
      </c>
      <c r="G21459" s="51"/>
      <c r="H21459" s="46" t="str">
        <f>IF(AND(I.Developer.P4=TRUE,I.Facility.P4FacilityCount&gt;=1447,F21459=""),"Incomplete","Complete")</f>
        <v>Complete</v>
      </c>
      <c r="I21459" s="48" t="s">
        <v>25824</v>
      </c>
    </row>
    <row r="21460" spans="2:9" ht="15" customHeight="1" x14ac:dyDescent="0.25">
      <c r="B21460" s="55" t="s">
        <v>283</v>
      </c>
      <c r="C21460" s="46">
        <v>1448</v>
      </c>
      <c r="D21460" s="69" t="s">
        <v>29420</v>
      </c>
      <c r="E21460" s="51"/>
      <c r="F21460" s="114" t="str">
        <f>IF(INDEX(I.Facility.P4IDNumber,1448)="","",INDEX(I.Facility.P4IDNumber,1448))</f>
        <v/>
      </c>
      <c r="G21460" s="51"/>
      <c r="H21460" s="46" t="str">
        <f>IF(AND(I.Developer.P4=TRUE,I.Facility.P4FacilityCount&gt;=1448,F21460=""),"Incomplete","Complete")</f>
        <v>Complete</v>
      </c>
      <c r="I21460" s="48" t="s">
        <v>25825</v>
      </c>
    </row>
    <row r="21461" spans="2:9" ht="15" customHeight="1" x14ac:dyDescent="0.25">
      <c r="B21461" s="55" t="s">
        <v>283</v>
      </c>
      <c r="C21461" s="46">
        <v>1449</v>
      </c>
      <c r="D21461" s="69" t="s">
        <v>29420</v>
      </c>
      <c r="E21461" s="51"/>
      <c r="F21461" s="114" t="str">
        <f>IF(INDEX(I.Facility.P4IDNumber,1449)="","",INDEX(I.Facility.P4IDNumber,1449))</f>
        <v/>
      </c>
      <c r="G21461" s="51"/>
      <c r="H21461" s="46" t="str">
        <f>IF(AND(I.Developer.P4=TRUE,I.Facility.P4FacilityCount&gt;=1449,F21461=""),"Incomplete","Complete")</f>
        <v>Complete</v>
      </c>
      <c r="I21461" s="48" t="s">
        <v>25826</v>
      </c>
    </row>
    <row r="21462" spans="2:9" ht="15" customHeight="1" x14ac:dyDescent="0.25">
      <c r="B21462" s="55" t="s">
        <v>283</v>
      </c>
      <c r="C21462" s="46">
        <v>1450</v>
      </c>
      <c r="D21462" s="69" t="s">
        <v>29420</v>
      </c>
      <c r="E21462" s="51"/>
      <c r="F21462" s="114" t="str">
        <f>IF(INDEX(I.Facility.P4IDNumber,1450)="","",INDEX(I.Facility.P4IDNumber,1450))</f>
        <v/>
      </c>
      <c r="G21462" s="51"/>
      <c r="H21462" s="46" t="str">
        <f>IF(AND(I.Developer.P4=TRUE,I.Facility.P4FacilityCount&gt;=1450,F21462=""),"Incomplete","Complete")</f>
        <v>Complete</v>
      </c>
      <c r="I21462" s="48" t="s">
        <v>25827</v>
      </c>
    </row>
    <row r="21463" spans="2:9" ht="15" customHeight="1" x14ac:dyDescent="0.25">
      <c r="B21463" s="55" t="s">
        <v>283</v>
      </c>
      <c r="C21463" s="46">
        <v>1451</v>
      </c>
      <c r="D21463" s="69" t="s">
        <v>29420</v>
      </c>
      <c r="E21463" s="51"/>
      <c r="F21463" s="114" t="str">
        <f>IF(INDEX(I.Facility.P4IDNumber,1451)="","",INDEX(I.Facility.P4IDNumber,1451))</f>
        <v/>
      </c>
      <c r="G21463" s="51"/>
      <c r="H21463" s="46" t="str">
        <f>IF(AND(I.Developer.P4=TRUE,I.Facility.P4FacilityCount&gt;=1451,F21463=""),"Incomplete","Complete")</f>
        <v>Complete</v>
      </c>
      <c r="I21463" s="48" t="s">
        <v>25828</v>
      </c>
    </row>
    <row r="21464" spans="2:9" ht="15" customHeight="1" x14ac:dyDescent="0.25">
      <c r="B21464" s="55" t="s">
        <v>283</v>
      </c>
      <c r="C21464" s="46">
        <v>1452</v>
      </c>
      <c r="D21464" s="69" t="s">
        <v>29420</v>
      </c>
      <c r="E21464" s="51"/>
      <c r="F21464" s="114" t="str">
        <f>IF(INDEX(I.Facility.P4IDNumber,1452)="","",INDEX(I.Facility.P4IDNumber,1452))</f>
        <v/>
      </c>
      <c r="G21464" s="51"/>
      <c r="H21464" s="46" t="str">
        <f>IF(AND(I.Developer.P4=TRUE,I.Facility.P4FacilityCount&gt;=1452,F21464=""),"Incomplete","Complete")</f>
        <v>Complete</v>
      </c>
      <c r="I21464" s="48" t="s">
        <v>25829</v>
      </c>
    </row>
    <row r="21465" spans="2:9" ht="15" customHeight="1" x14ac:dyDescent="0.25">
      <c r="B21465" s="55" t="s">
        <v>283</v>
      </c>
      <c r="C21465" s="46">
        <v>1453</v>
      </c>
      <c r="D21465" s="69" t="s">
        <v>29420</v>
      </c>
      <c r="E21465" s="51"/>
      <c r="F21465" s="114" t="str">
        <f>IF(INDEX(I.Facility.P4IDNumber,1453)="","",INDEX(I.Facility.P4IDNumber,1453))</f>
        <v/>
      </c>
      <c r="G21465" s="51"/>
      <c r="H21465" s="46" t="str">
        <f>IF(AND(I.Developer.P4=TRUE,I.Facility.P4FacilityCount&gt;=1453,F21465=""),"Incomplete","Complete")</f>
        <v>Complete</v>
      </c>
      <c r="I21465" s="48" t="s">
        <v>25830</v>
      </c>
    </row>
    <row r="21466" spans="2:9" ht="15" customHeight="1" x14ac:dyDescent="0.25">
      <c r="B21466" s="55" t="s">
        <v>283</v>
      </c>
      <c r="C21466" s="46">
        <v>1454</v>
      </c>
      <c r="D21466" s="69" t="s">
        <v>29420</v>
      </c>
      <c r="E21466" s="51"/>
      <c r="F21466" s="114" t="str">
        <f>IF(INDEX(I.Facility.P4IDNumber,1454)="","",INDEX(I.Facility.P4IDNumber,1454))</f>
        <v/>
      </c>
      <c r="G21466" s="51"/>
      <c r="H21466" s="46" t="str">
        <f>IF(AND(I.Developer.P4=TRUE,I.Facility.P4FacilityCount&gt;=1454,F21466=""),"Incomplete","Complete")</f>
        <v>Complete</v>
      </c>
      <c r="I21466" s="48" t="s">
        <v>25831</v>
      </c>
    </row>
    <row r="21467" spans="2:9" ht="15" customHeight="1" x14ac:dyDescent="0.25">
      <c r="B21467" s="55" t="s">
        <v>283</v>
      </c>
      <c r="C21467" s="46">
        <v>1455</v>
      </c>
      <c r="D21467" s="69" t="s">
        <v>29420</v>
      </c>
      <c r="E21467" s="51"/>
      <c r="F21467" s="114" t="str">
        <f>IF(INDEX(I.Facility.P4IDNumber,1455)="","",INDEX(I.Facility.P4IDNumber,1455))</f>
        <v/>
      </c>
      <c r="G21467" s="51"/>
      <c r="H21467" s="46" t="str">
        <f>IF(AND(I.Developer.P4=TRUE,I.Facility.P4FacilityCount&gt;=1455,F21467=""),"Incomplete","Complete")</f>
        <v>Complete</v>
      </c>
      <c r="I21467" s="48" t="s">
        <v>25832</v>
      </c>
    </row>
    <row r="21468" spans="2:9" ht="15" customHeight="1" x14ac:dyDescent="0.25">
      <c r="B21468" s="55" t="s">
        <v>283</v>
      </c>
      <c r="C21468" s="46">
        <v>1456</v>
      </c>
      <c r="D21468" s="69" t="s">
        <v>29420</v>
      </c>
      <c r="E21468" s="51"/>
      <c r="F21468" s="114" t="str">
        <f>IF(INDEX(I.Facility.P4IDNumber,1456)="","",INDEX(I.Facility.P4IDNumber,1456))</f>
        <v/>
      </c>
      <c r="G21468" s="51"/>
      <c r="H21468" s="46" t="str">
        <f>IF(AND(I.Developer.P4=TRUE,I.Facility.P4FacilityCount&gt;=1456,F21468=""),"Incomplete","Complete")</f>
        <v>Complete</v>
      </c>
      <c r="I21468" s="48" t="s">
        <v>25833</v>
      </c>
    </row>
    <row r="21469" spans="2:9" ht="15" customHeight="1" x14ac:dyDescent="0.25">
      <c r="B21469" s="55" t="s">
        <v>283</v>
      </c>
      <c r="C21469" s="46">
        <v>1457</v>
      </c>
      <c r="D21469" s="69" t="s">
        <v>29420</v>
      </c>
      <c r="E21469" s="51"/>
      <c r="F21469" s="114" t="str">
        <f>IF(INDEX(I.Facility.P4IDNumber,1457)="","",INDEX(I.Facility.P4IDNumber,1457))</f>
        <v/>
      </c>
      <c r="G21469" s="51"/>
      <c r="H21469" s="46" t="str">
        <f>IF(AND(I.Developer.P4=TRUE,I.Facility.P4FacilityCount&gt;=1457,F21469=""),"Incomplete","Complete")</f>
        <v>Complete</v>
      </c>
      <c r="I21469" s="48" t="s">
        <v>25834</v>
      </c>
    </row>
    <row r="21470" spans="2:9" ht="15" customHeight="1" x14ac:dyDescent="0.25">
      <c r="B21470" s="55" t="s">
        <v>283</v>
      </c>
      <c r="C21470" s="46">
        <v>1458</v>
      </c>
      <c r="D21470" s="69" t="s">
        <v>29420</v>
      </c>
      <c r="E21470" s="51"/>
      <c r="F21470" s="114" t="str">
        <f>IF(INDEX(I.Facility.P4IDNumber,1458)="","",INDEX(I.Facility.P4IDNumber,1458))</f>
        <v/>
      </c>
      <c r="G21470" s="51"/>
      <c r="H21470" s="46" t="str">
        <f>IF(AND(I.Developer.P4=TRUE,I.Facility.P4FacilityCount&gt;=1458,F21470=""),"Incomplete","Complete")</f>
        <v>Complete</v>
      </c>
      <c r="I21470" s="48" t="s">
        <v>25835</v>
      </c>
    </row>
    <row r="21471" spans="2:9" ht="15" customHeight="1" x14ac:dyDescent="0.25">
      <c r="B21471" s="55" t="s">
        <v>283</v>
      </c>
      <c r="C21471" s="46">
        <v>1459</v>
      </c>
      <c r="D21471" s="69" t="s">
        <v>29420</v>
      </c>
      <c r="E21471" s="51"/>
      <c r="F21471" s="114" t="str">
        <f>IF(INDEX(I.Facility.P4IDNumber,1459)="","",INDEX(I.Facility.P4IDNumber,1459))</f>
        <v/>
      </c>
      <c r="G21471" s="51"/>
      <c r="H21471" s="46" t="str">
        <f>IF(AND(I.Developer.P4=TRUE,I.Facility.P4FacilityCount&gt;=1459,F21471=""),"Incomplete","Complete")</f>
        <v>Complete</v>
      </c>
      <c r="I21471" s="48" t="s">
        <v>25836</v>
      </c>
    </row>
    <row r="21472" spans="2:9" ht="15" customHeight="1" x14ac:dyDescent="0.25">
      <c r="B21472" s="55" t="s">
        <v>283</v>
      </c>
      <c r="C21472" s="46">
        <v>1460</v>
      </c>
      <c r="D21472" s="69" t="s">
        <v>29420</v>
      </c>
      <c r="E21472" s="51"/>
      <c r="F21472" s="114" t="str">
        <f>IF(INDEX(I.Facility.P4IDNumber,1460)="","",INDEX(I.Facility.P4IDNumber,1460))</f>
        <v/>
      </c>
      <c r="G21472" s="51"/>
      <c r="H21472" s="46" t="str">
        <f>IF(AND(I.Developer.P4=TRUE,I.Facility.P4FacilityCount&gt;=1460,F21472=""),"Incomplete","Complete")</f>
        <v>Complete</v>
      </c>
      <c r="I21472" s="48" t="s">
        <v>25837</v>
      </c>
    </row>
    <row r="21473" spans="2:9" ht="15" customHeight="1" x14ac:dyDescent="0.25">
      <c r="B21473" s="55" t="s">
        <v>283</v>
      </c>
      <c r="C21473" s="46">
        <v>1461</v>
      </c>
      <c r="D21473" s="69" t="s">
        <v>29420</v>
      </c>
      <c r="E21473" s="51"/>
      <c r="F21473" s="114" t="str">
        <f>IF(INDEX(I.Facility.P4IDNumber,1461)="","",INDEX(I.Facility.P4IDNumber,1461))</f>
        <v/>
      </c>
      <c r="G21473" s="51"/>
      <c r="H21473" s="46" t="str">
        <f>IF(AND(I.Developer.P4=TRUE,I.Facility.P4FacilityCount&gt;=1461,F21473=""),"Incomplete","Complete")</f>
        <v>Complete</v>
      </c>
      <c r="I21473" s="48" t="s">
        <v>25838</v>
      </c>
    </row>
    <row r="21474" spans="2:9" ht="15" customHeight="1" x14ac:dyDescent="0.25">
      <c r="B21474" s="55" t="s">
        <v>283</v>
      </c>
      <c r="C21474" s="46">
        <v>1462</v>
      </c>
      <c r="D21474" s="69" t="s">
        <v>29420</v>
      </c>
      <c r="E21474" s="51"/>
      <c r="F21474" s="114" t="str">
        <f>IF(INDEX(I.Facility.P4IDNumber,1462)="","",INDEX(I.Facility.P4IDNumber,1462))</f>
        <v/>
      </c>
      <c r="G21474" s="51"/>
      <c r="H21474" s="46" t="str">
        <f>IF(AND(I.Developer.P4=TRUE,I.Facility.P4FacilityCount&gt;=1462,F21474=""),"Incomplete","Complete")</f>
        <v>Complete</v>
      </c>
      <c r="I21474" s="48" t="s">
        <v>25839</v>
      </c>
    </row>
    <row r="21475" spans="2:9" ht="15" customHeight="1" x14ac:dyDescent="0.25">
      <c r="B21475" s="55" t="s">
        <v>283</v>
      </c>
      <c r="C21475" s="46">
        <v>1463</v>
      </c>
      <c r="D21475" s="69" t="s">
        <v>29420</v>
      </c>
      <c r="E21475" s="51"/>
      <c r="F21475" s="114" t="str">
        <f>IF(INDEX(I.Facility.P4IDNumber,1463)="","",INDEX(I.Facility.P4IDNumber,1463))</f>
        <v/>
      </c>
      <c r="G21475" s="51"/>
      <c r="H21475" s="46" t="str">
        <f>IF(AND(I.Developer.P4=TRUE,I.Facility.P4FacilityCount&gt;=1463,F21475=""),"Incomplete","Complete")</f>
        <v>Complete</v>
      </c>
      <c r="I21475" s="48" t="s">
        <v>25840</v>
      </c>
    </row>
    <row r="21476" spans="2:9" ht="15" customHeight="1" x14ac:dyDescent="0.25">
      <c r="B21476" s="55" t="s">
        <v>283</v>
      </c>
      <c r="C21476" s="46">
        <v>1464</v>
      </c>
      <c r="D21476" s="69" t="s">
        <v>29420</v>
      </c>
      <c r="E21476" s="51"/>
      <c r="F21476" s="114" t="str">
        <f>IF(INDEX(I.Facility.P4IDNumber,1464)="","",INDEX(I.Facility.P4IDNumber,1464))</f>
        <v/>
      </c>
      <c r="G21476" s="51"/>
      <c r="H21476" s="46" t="str">
        <f>IF(AND(I.Developer.P4=TRUE,I.Facility.P4FacilityCount&gt;=1464,F21476=""),"Incomplete","Complete")</f>
        <v>Complete</v>
      </c>
      <c r="I21476" s="48" t="s">
        <v>25841</v>
      </c>
    </row>
    <row r="21477" spans="2:9" ht="15" customHeight="1" x14ac:dyDescent="0.25">
      <c r="B21477" s="55" t="s">
        <v>283</v>
      </c>
      <c r="C21477" s="46">
        <v>1465</v>
      </c>
      <c r="D21477" s="69" t="s">
        <v>29420</v>
      </c>
      <c r="E21477" s="51"/>
      <c r="F21477" s="114" t="str">
        <f>IF(INDEX(I.Facility.P4IDNumber,1465)="","",INDEX(I.Facility.P4IDNumber,1465))</f>
        <v/>
      </c>
      <c r="G21477" s="51"/>
      <c r="H21477" s="46" t="str">
        <f>IF(AND(I.Developer.P4=TRUE,I.Facility.P4FacilityCount&gt;=1465,F21477=""),"Incomplete","Complete")</f>
        <v>Complete</v>
      </c>
      <c r="I21477" s="48" t="s">
        <v>25842</v>
      </c>
    </row>
    <row r="21478" spans="2:9" ht="15" customHeight="1" x14ac:dyDescent="0.25">
      <c r="B21478" s="55" t="s">
        <v>283</v>
      </c>
      <c r="C21478" s="46">
        <v>1466</v>
      </c>
      <c r="D21478" s="69" t="s">
        <v>29420</v>
      </c>
      <c r="E21478" s="51"/>
      <c r="F21478" s="114" t="str">
        <f>IF(INDEX(I.Facility.P4IDNumber,1466)="","",INDEX(I.Facility.P4IDNumber,1466))</f>
        <v/>
      </c>
      <c r="G21478" s="51"/>
      <c r="H21478" s="46" t="str">
        <f>IF(AND(I.Developer.P4=TRUE,I.Facility.P4FacilityCount&gt;=1466,F21478=""),"Incomplete","Complete")</f>
        <v>Complete</v>
      </c>
      <c r="I21478" s="48" t="s">
        <v>25843</v>
      </c>
    </row>
    <row r="21479" spans="2:9" ht="15" customHeight="1" x14ac:dyDescent="0.25">
      <c r="B21479" s="55" t="s">
        <v>283</v>
      </c>
      <c r="C21479" s="46">
        <v>1467</v>
      </c>
      <c r="D21479" s="69" t="s">
        <v>29420</v>
      </c>
      <c r="E21479" s="51"/>
      <c r="F21479" s="114" t="str">
        <f>IF(INDEX(I.Facility.P4IDNumber,1467)="","",INDEX(I.Facility.P4IDNumber,1467))</f>
        <v/>
      </c>
      <c r="G21479" s="51"/>
      <c r="H21479" s="46" t="str">
        <f>IF(AND(I.Developer.P4=TRUE,I.Facility.P4FacilityCount&gt;=1467,F21479=""),"Incomplete","Complete")</f>
        <v>Complete</v>
      </c>
      <c r="I21479" s="48" t="s">
        <v>25844</v>
      </c>
    </row>
    <row r="21480" spans="2:9" ht="15" customHeight="1" x14ac:dyDescent="0.25">
      <c r="B21480" s="55" t="s">
        <v>283</v>
      </c>
      <c r="C21480" s="46">
        <v>1468</v>
      </c>
      <c r="D21480" s="69" t="s">
        <v>29420</v>
      </c>
      <c r="E21480" s="51"/>
      <c r="F21480" s="114" t="str">
        <f>IF(INDEX(I.Facility.P4IDNumber,1468)="","",INDEX(I.Facility.P4IDNumber,1468))</f>
        <v/>
      </c>
      <c r="G21480" s="51"/>
      <c r="H21480" s="46" t="str">
        <f>IF(AND(I.Developer.P4=TRUE,I.Facility.P4FacilityCount&gt;=1468,F21480=""),"Incomplete","Complete")</f>
        <v>Complete</v>
      </c>
      <c r="I21480" s="48" t="s">
        <v>25845</v>
      </c>
    </row>
    <row r="21481" spans="2:9" ht="15" customHeight="1" x14ac:dyDescent="0.25">
      <c r="B21481" s="55" t="s">
        <v>283</v>
      </c>
      <c r="C21481" s="46">
        <v>1469</v>
      </c>
      <c r="D21481" s="69" t="s">
        <v>29420</v>
      </c>
      <c r="E21481" s="51"/>
      <c r="F21481" s="114" t="str">
        <f>IF(INDEX(I.Facility.P4IDNumber,1469)="","",INDEX(I.Facility.P4IDNumber,1469))</f>
        <v/>
      </c>
      <c r="G21481" s="51"/>
      <c r="H21481" s="46" t="str">
        <f>IF(AND(I.Developer.P4=TRUE,I.Facility.P4FacilityCount&gt;=1469,F21481=""),"Incomplete","Complete")</f>
        <v>Complete</v>
      </c>
      <c r="I21481" s="48" t="s">
        <v>25846</v>
      </c>
    </row>
    <row r="21482" spans="2:9" ht="15" customHeight="1" x14ac:dyDescent="0.25">
      <c r="B21482" s="55" t="s">
        <v>283</v>
      </c>
      <c r="C21482" s="46">
        <v>1470</v>
      </c>
      <c r="D21482" s="69" t="s">
        <v>29420</v>
      </c>
      <c r="E21482" s="51"/>
      <c r="F21482" s="114" t="str">
        <f>IF(INDEX(I.Facility.P4IDNumber,1470)="","",INDEX(I.Facility.P4IDNumber,1470))</f>
        <v/>
      </c>
      <c r="G21482" s="51"/>
      <c r="H21482" s="46" t="str">
        <f>IF(AND(I.Developer.P4=TRUE,I.Facility.P4FacilityCount&gt;=1470,F21482=""),"Incomplete","Complete")</f>
        <v>Complete</v>
      </c>
      <c r="I21482" s="48" t="s">
        <v>25847</v>
      </c>
    </row>
    <row r="21483" spans="2:9" ht="15" customHeight="1" x14ac:dyDescent="0.25">
      <c r="B21483" s="55" t="s">
        <v>283</v>
      </c>
      <c r="C21483" s="46">
        <v>1471</v>
      </c>
      <c r="D21483" s="69" t="s">
        <v>29420</v>
      </c>
      <c r="E21483" s="51"/>
      <c r="F21483" s="114" t="str">
        <f>IF(INDEX(I.Facility.P4IDNumber,1471)="","",INDEX(I.Facility.P4IDNumber,1471))</f>
        <v/>
      </c>
      <c r="G21483" s="51"/>
      <c r="H21483" s="46" t="str">
        <f>IF(AND(I.Developer.P4=TRUE,I.Facility.P4FacilityCount&gt;=1471,F21483=""),"Incomplete","Complete")</f>
        <v>Complete</v>
      </c>
      <c r="I21483" s="48" t="s">
        <v>25848</v>
      </c>
    </row>
    <row r="21484" spans="2:9" ht="15" customHeight="1" x14ac:dyDescent="0.25">
      <c r="B21484" s="55" t="s">
        <v>283</v>
      </c>
      <c r="C21484" s="46">
        <v>1472</v>
      </c>
      <c r="D21484" s="69" t="s">
        <v>29420</v>
      </c>
      <c r="E21484" s="51"/>
      <c r="F21484" s="114" t="str">
        <f>IF(INDEX(I.Facility.P4IDNumber,1472)="","",INDEX(I.Facility.P4IDNumber,1472))</f>
        <v/>
      </c>
      <c r="G21484" s="51"/>
      <c r="H21484" s="46" t="str">
        <f>IF(AND(I.Developer.P4=TRUE,I.Facility.P4FacilityCount&gt;=1472,F21484=""),"Incomplete","Complete")</f>
        <v>Complete</v>
      </c>
      <c r="I21484" s="48" t="s">
        <v>25849</v>
      </c>
    </row>
    <row r="21485" spans="2:9" ht="15" customHeight="1" x14ac:dyDescent="0.25">
      <c r="B21485" s="55" t="s">
        <v>283</v>
      </c>
      <c r="C21485" s="46">
        <v>1473</v>
      </c>
      <c r="D21485" s="69" t="s">
        <v>29420</v>
      </c>
      <c r="E21485" s="51"/>
      <c r="F21485" s="114" t="str">
        <f>IF(INDEX(I.Facility.P4IDNumber,1473)="","",INDEX(I.Facility.P4IDNumber,1473))</f>
        <v/>
      </c>
      <c r="G21485" s="51"/>
      <c r="H21485" s="46" t="str">
        <f>IF(AND(I.Developer.P4=TRUE,I.Facility.P4FacilityCount&gt;=1473,F21485=""),"Incomplete","Complete")</f>
        <v>Complete</v>
      </c>
      <c r="I21485" s="48" t="s">
        <v>25850</v>
      </c>
    </row>
    <row r="21486" spans="2:9" ht="15" customHeight="1" x14ac:dyDescent="0.25">
      <c r="B21486" s="55" t="s">
        <v>283</v>
      </c>
      <c r="C21486" s="46">
        <v>1474</v>
      </c>
      <c r="D21486" s="69" t="s">
        <v>29420</v>
      </c>
      <c r="E21486" s="51"/>
      <c r="F21486" s="114" t="str">
        <f>IF(INDEX(I.Facility.P4IDNumber,1474)="","",INDEX(I.Facility.P4IDNumber,1474))</f>
        <v/>
      </c>
      <c r="G21486" s="51"/>
      <c r="H21486" s="46" t="str">
        <f>IF(AND(I.Developer.P4=TRUE,I.Facility.P4FacilityCount&gt;=1474,F21486=""),"Incomplete","Complete")</f>
        <v>Complete</v>
      </c>
      <c r="I21486" s="48" t="s">
        <v>25851</v>
      </c>
    </row>
    <row r="21487" spans="2:9" ht="15" customHeight="1" x14ac:dyDescent="0.25">
      <c r="B21487" s="55" t="s">
        <v>283</v>
      </c>
      <c r="C21487" s="46">
        <v>1475</v>
      </c>
      <c r="D21487" s="69" t="s">
        <v>29420</v>
      </c>
      <c r="E21487" s="51"/>
      <c r="F21487" s="114" t="str">
        <f>IF(INDEX(I.Facility.P4IDNumber,1475)="","",INDEX(I.Facility.P4IDNumber,1475))</f>
        <v/>
      </c>
      <c r="G21487" s="51"/>
      <c r="H21487" s="46" t="str">
        <f>IF(AND(I.Developer.P4=TRUE,I.Facility.P4FacilityCount&gt;=1475,F21487=""),"Incomplete","Complete")</f>
        <v>Complete</v>
      </c>
      <c r="I21487" s="48" t="s">
        <v>25852</v>
      </c>
    </row>
    <row r="21488" spans="2:9" ht="15" customHeight="1" x14ac:dyDescent="0.25">
      <c r="B21488" s="55" t="s">
        <v>283</v>
      </c>
      <c r="C21488" s="46">
        <v>1476</v>
      </c>
      <c r="D21488" s="69" t="s">
        <v>29420</v>
      </c>
      <c r="E21488" s="51"/>
      <c r="F21488" s="114" t="str">
        <f>IF(INDEX(I.Facility.P4IDNumber,1476)="","",INDEX(I.Facility.P4IDNumber,1476))</f>
        <v/>
      </c>
      <c r="G21488" s="51"/>
      <c r="H21488" s="46" t="str">
        <f>IF(AND(I.Developer.P4=TRUE,I.Facility.P4FacilityCount&gt;=1476,F21488=""),"Incomplete","Complete")</f>
        <v>Complete</v>
      </c>
      <c r="I21488" s="48" t="s">
        <v>25853</v>
      </c>
    </row>
    <row r="21489" spans="2:9" ht="15" customHeight="1" x14ac:dyDescent="0.25">
      <c r="B21489" s="55" t="s">
        <v>283</v>
      </c>
      <c r="C21489" s="46">
        <v>1477</v>
      </c>
      <c r="D21489" s="69" t="s">
        <v>29420</v>
      </c>
      <c r="E21489" s="51"/>
      <c r="F21489" s="114" t="str">
        <f>IF(INDEX(I.Facility.P4IDNumber,1477)="","",INDEX(I.Facility.P4IDNumber,1477))</f>
        <v/>
      </c>
      <c r="G21489" s="51"/>
      <c r="H21489" s="46" t="str">
        <f>IF(AND(I.Developer.P4=TRUE,I.Facility.P4FacilityCount&gt;=1477,F21489=""),"Incomplete","Complete")</f>
        <v>Complete</v>
      </c>
      <c r="I21489" s="48" t="s">
        <v>25854</v>
      </c>
    </row>
    <row r="21490" spans="2:9" ht="15" customHeight="1" x14ac:dyDescent="0.25">
      <c r="B21490" s="55" t="s">
        <v>283</v>
      </c>
      <c r="C21490" s="46">
        <v>1478</v>
      </c>
      <c r="D21490" s="69" t="s">
        <v>29420</v>
      </c>
      <c r="E21490" s="51"/>
      <c r="F21490" s="114" t="str">
        <f>IF(INDEX(I.Facility.P4IDNumber,1478)="","",INDEX(I.Facility.P4IDNumber,1478))</f>
        <v/>
      </c>
      <c r="G21490" s="51"/>
      <c r="H21490" s="46" t="str">
        <f>IF(AND(I.Developer.P4=TRUE,I.Facility.P4FacilityCount&gt;=1478,F21490=""),"Incomplete","Complete")</f>
        <v>Complete</v>
      </c>
      <c r="I21490" s="48" t="s">
        <v>25855</v>
      </c>
    </row>
    <row r="21491" spans="2:9" ht="15" customHeight="1" x14ac:dyDescent="0.25">
      <c r="B21491" s="55" t="s">
        <v>283</v>
      </c>
      <c r="C21491" s="46">
        <v>1479</v>
      </c>
      <c r="D21491" s="69" t="s">
        <v>29420</v>
      </c>
      <c r="E21491" s="51"/>
      <c r="F21491" s="114" t="str">
        <f>IF(INDEX(I.Facility.P4IDNumber,1479)="","",INDEX(I.Facility.P4IDNumber,1479))</f>
        <v/>
      </c>
      <c r="G21491" s="51"/>
      <c r="H21491" s="46" t="str">
        <f>IF(AND(I.Developer.P4=TRUE,I.Facility.P4FacilityCount&gt;=1479,F21491=""),"Incomplete","Complete")</f>
        <v>Complete</v>
      </c>
      <c r="I21491" s="48" t="s">
        <v>25856</v>
      </c>
    </row>
    <row r="21492" spans="2:9" ht="15" customHeight="1" x14ac:dyDescent="0.25">
      <c r="B21492" s="55" t="s">
        <v>283</v>
      </c>
      <c r="C21492" s="46">
        <v>1480</v>
      </c>
      <c r="D21492" s="69" t="s">
        <v>29420</v>
      </c>
      <c r="E21492" s="51"/>
      <c r="F21492" s="114" t="str">
        <f>IF(INDEX(I.Facility.P4IDNumber,1480)="","",INDEX(I.Facility.P4IDNumber,1480))</f>
        <v/>
      </c>
      <c r="G21492" s="51"/>
      <c r="H21492" s="46" t="str">
        <f>IF(AND(I.Developer.P4=TRUE,I.Facility.P4FacilityCount&gt;=1480,F21492=""),"Incomplete","Complete")</f>
        <v>Complete</v>
      </c>
      <c r="I21492" s="48" t="s">
        <v>25857</v>
      </c>
    </row>
    <row r="21493" spans="2:9" ht="15" customHeight="1" x14ac:dyDescent="0.25">
      <c r="B21493" s="55" t="s">
        <v>283</v>
      </c>
      <c r="C21493" s="46">
        <v>1481</v>
      </c>
      <c r="D21493" s="69" t="s">
        <v>29420</v>
      </c>
      <c r="E21493" s="51"/>
      <c r="F21493" s="114" t="str">
        <f>IF(INDEX(I.Facility.P4IDNumber,1481)="","",INDEX(I.Facility.P4IDNumber,1481))</f>
        <v/>
      </c>
      <c r="G21493" s="51"/>
      <c r="H21493" s="46" t="str">
        <f>IF(AND(I.Developer.P4=TRUE,I.Facility.P4FacilityCount&gt;=1481,F21493=""),"Incomplete","Complete")</f>
        <v>Complete</v>
      </c>
      <c r="I21493" s="48" t="s">
        <v>25858</v>
      </c>
    </row>
    <row r="21494" spans="2:9" ht="15" customHeight="1" x14ac:dyDescent="0.25">
      <c r="B21494" s="55" t="s">
        <v>283</v>
      </c>
      <c r="C21494" s="46">
        <v>1482</v>
      </c>
      <c r="D21494" s="69" t="s">
        <v>29420</v>
      </c>
      <c r="E21494" s="51"/>
      <c r="F21494" s="114" t="str">
        <f>IF(INDEX(I.Facility.P4IDNumber,1482)="","",INDEX(I.Facility.P4IDNumber,1482))</f>
        <v/>
      </c>
      <c r="G21494" s="51"/>
      <c r="H21494" s="46" t="str">
        <f>IF(AND(I.Developer.P4=TRUE,I.Facility.P4FacilityCount&gt;=1482,F21494=""),"Incomplete","Complete")</f>
        <v>Complete</v>
      </c>
      <c r="I21494" s="48" t="s">
        <v>25859</v>
      </c>
    </row>
    <row r="21495" spans="2:9" ht="15" customHeight="1" x14ac:dyDescent="0.25">
      <c r="B21495" s="55" t="s">
        <v>283</v>
      </c>
      <c r="C21495" s="46">
        <v>1483</v>
      </c>
      <c r="D21495" s="69" t="s">
        <v>29420</v>
      </c>
      <c r="E21495" s="51"/>
      <c r="F21495" s="114" t="str">
        <f>IF(INDEX(I.Facility.P4IDNumber,1483)="","",INDEX(I.Facility.P4IDNumber,1483))</f>
        <v/>
      </c>
      <c r="G21495" s="51"/>
      <c r="H21495" s="46" t="str">
        <f>IF(AND(I.Developer.P4=TRUE,I.Facility.P4FacilityCount&gt;=1483,F21495=""),"Incomplete","Complete")</f>
        <v>Complete</v>
      </c>
      <c r="I21495" s="48" t="s">
        <v>25860</v>
      </c>
    </row>
    <row r="21496" spans="2:9" ht="15" customHeight="1" x14ac:dyDescent="0.25">
      <c r="B21496" s="55" t="s">
        <v>283</v>
      </c>
      <c r="C21496" s="46">
        <v>1484</v>
      </c>
      <c r="D21496" s="69" t="s">
        <v>29420</v>
      </c>
      <c r="E21496" s="51"/>
      <c r="F21496" s="114" t="str">
        <f>IF(INDEX(I.Facility.P4IDNumber,1484)="","",INDEX(I.Facility.P4IDNumber,1484))</f>
        <v/>
      </c>
      <c r="G21496" s="51"/>
      <c r="H21496" s="46" t="str">
        <f>IF(AND(I.Developer.P4=TRUE,I.Facility.P4FacilityCount&gt;=1484,F21496=""),"Incomplete","Complete")</f>
        <v>Complete</v>
      </c>
      <c r="I21496" s="48" t="s">
        <v>25861</v>
      </c>
    </row>
    <row r="21497" spans="2:9" ht="15" customHeight="1" x14ac:dyDescent="0.25">
      <c r="B21497" s="55" t="s">
        <v>283</v>
      </c>
      <c r="C21497" s="46">
        <v>1485</v>
      </c>
      <c r="D21497" s="69" t="s">
        <v>29420</v>
      </c>
      <c r="E21497" s="51"/>
      <c r="F21497" s="114" t="str">
        <f>IF(INDEX(I.Facility.P4IDNumber,1485)="","",INDEX(I.Facility.P4IDNumber,1485))</f>
        <v/>
      </c>
      <c r="G21497" s="51"/>
      <c r="H21497" s="46" t="str">
        <f>IF(AND(I.Developer.P4=TRUE,I.Facility.P4FacilityCount&gt;=1485,F21497=""),"Incomplete","Complete")</f>
        <v>Complete</v>
      </c>
      <c r="I21497" s="48" t="s">
        <v>25862</v>
      </c>
    </row>
    <row r="21498" spans="2:9" ht="15" customHeight="1" x14ac:dyDescent="0.25">
      <c r="B21498" s="55" t="s">
        <v>283</v>
      </c>
      <c r="C21498" s="46">
        <v>1486</v>
      </c>
      <c r="D21498" s="69" t="s">
        <v>29420</v>
      </c>
      <c r="E21498" s="51"/>
      <c r="F21498" s="114" t="str">
        <f>IF(INDEX(I.Facility.P4IDNumber,1486)="","",INDEX(I.Facility.P4IDNumber,1486))</f>
        <v/>
      </c>
      <c r="G21498" s="51"/>
      <c r="H21498" s="46" t="str">
        <f>IF(AND(I.Developer.P4=TRUE,I.Facility.P4FacilityCount&gt;=1486,F21498=""),"Incomplete","Complete")</f>
        <v>Complete</v>
      </c>
      <c r="I21498" s="48" t="s">
        <v>25863</v>
      </c>
    </row>
    <row r="21499" spans="2:9" ht="15" customHeight="1" x14ac:dyDescent="0.25">
      <c r="B21499" s="55" t="s">
        <v>283</v>
      </c>
      <c r="C21499" s="46">
        <v>1487</v>
      </c>
      <c r="D21499" s="69" t="s">
        <v>29420</v>
      </c>
      <c r="E21499" s="51"/>
      <c r="F21499" s="114" t="str">
        <f>IF(INDEX(I.Facility.P4IDNumber,1487)="","",INDEX(I.Facility.P4IDNumber,1487))</f>
        <v/>
      </c>
      <c r="G21499" s="51"/>
      <c r="H21499" s="46" t="str">
        <f>IF(AND(I.Developer.P4=TRUE,I.Facility.P4FacilityCount&gt;=1487,F21499=""),"Incomplete","Complete")</f>
        <v>Complete</v>
      </c>
      <c r="I21499" s="48" t="s">
        <v>25864</v>
      </c>
    </row>
    <row r="21500" spans="2:9" ht="15" customHeight="1" x14ac:dyDescent="0.25">
      <c r="B21500" s="55" t="s">
        <v>283</v>
      </c>
      <c r="C21500" s="46">
        <v>1488</v>
      </c>
      <c r="D21500" s="69" t="s">
        <v>29420</v>
      </c>
      <c r="E21500" s="51"/>
      <c r="F21500" s="114" t="str">
        <f>IF(INDEX(I.Facility.P4IDNumber,1488)="","",INDEX(I.Facility.P4IDNumber,1488))</f>
        <v/>
      </c>
      <c r="G21500" s="51"/>
      <c r="H21500" s="46" t="str">
        <f>IF(AND(I.Developer.P4=TRUE,I.Facility.P4FacilityCount&gt;=1488,F21500=""),"Incomplete","Complete")</f>
        <v>Complete</v>
      </c>
      <c r="I21500" s="48" t="s">
        <v>25865</v>
      </c>
    </row>
    <row r="21501" spans="2:9" ht="15" customHeight="1" x14ac:dyDescent="0.25">
      <c r="B21501" s="55" t="s">
        <v>283</v>
      </c>
      <c r="C21501" s="46">
        <v>1489</v>
      </c>
      <c r="D21501" s="69" t="s">
        <v>29420</v>
      </c>
      <c r="E21501" s="51"/>
      <c r="F21501" s="114" t="str">
        <f>IF(INDEX(I.Facility.P4IDNumber,1489)="","",INDEX(I.Facility.P4IDNumber,1489))</f>
        <v/>
      </c>
      <c r="G21501" s="51"/>
      <c r="H21501" s="46" t="str">
        <f>IF(AND(I.Developer.P4=TRUE,I.Facility.P4FacilityCount&gt;=1489,F21501=""),"Incomplete","Complete")</f>
        <v>Complete</v>
      </c>
      <c r="I21501" s="48" t="s">
        <v>25866</v>
      </c>
    </row>
    <row r="21502" spans="2:9" ht="15" customHeight="1" x14ac:dyDescent="0.25">
      <c r="B21502" s="55" t="s">
        <v>283</v>
      </c>
      <c r="C21502" s="46">
        <v>1490</v>
      </c>
      <c r="D21502" s="69" t="s">
        <v>29420</v>
      </c>
      <c r="E21502" s="51"/>
      <c r="F21502" s="114" t="str">
        <f>IF(INDEX(I.Facility.P4IDNumber,1490)="","",INDEX(I.Facility.P4IDNumber,1490))</f>
        <v/>
      </c>
      <c r="G21502" s="51"/>
      <c r="H21502" s="46" t="str">
        <f>IF(AND(I.Developer.P4=TRUE,I.Facility.P4FacilityCount&gt;=1490,F21502=""),"Incomplete","Complete")</f>
        <v>Complete</v>
      </c>
      <c r="I21502" s="48" t="s">
        <v>25867</v>
      </c>
    </row>
    <row r="21503" spans="2:9" ht="15" customHeight="1" x14ac:dyDescent="0.25">
      <c r="B21503" s="55" t="s">
        <v>283</v>
      </c>
      <c r="C21503" s="46">
        <v>1491</v>
      </c>
      <c r="D21503" s="69" t="s">
        <v>29420</v>
      </c>
      <c r="E21503" s="51"/>
      <c r="F21503" s="114" t="str">
        <f>IF(INDEX(I.Facility.P4IDNumber,1491)="","",INDEX(I.Facility.P4IDNumber,1491))</f>
        <v/>
      </c>
      <c r="G21503" s="51"/>
      <c r="H21503" s="46" t="str">
        <f>IF(AND(I.Developer.P4=TRUE,I.Facility.P4FacilityCount&gt;=1491,F21503=""),"Incomplete","Complete")</f>
        <v>Complete</v>
      </c>
      <c r="I21503" s="48" t="s">
        <v>25868</v>
      </c>
    </row>
    <row r="21504" spans="2:9" ht="15" customHeight="1" x14ac:dyDescent="0.25">
      <c r="B21504" s="55" t="s">
        <v>283</v>
      </c>
      <c r="C21504" s="46">
        <v>1492</v>
      </c>
      <c r="D21504" s="69" t="s">
        <v>29420</v>
      </c>
      <c r="E21504" s="51"/>
      <c r="F21504" s="114" t="str">
        <f>IF(INDEX(I.Facility.P4IDNumber,1492)="","",INDEX(I.Facility.P4IDNumber,1492))</f>
        <v/>
      </c>
      <c r="G21504" s="51"/>
      <c r="H21504" s="46" t="str">
        <f>IF(AND(I.Developer.P4=TRUE,I.Facility.P4FacilityCount&gt;=1492,F21504=""),"Incomplete","Complete")</f>
        <v>Complete</v>
      </c>
      <c r="I21504" s="48" t="s">
        <v>25869</v>
      </c>
    </row>
    <row r="21505" spans="2:9" ht="15" customHeight="1" x14ac:dyDescent="0.25">
      <c r="B21505" s="55" t="s">
        <v>283</v>
      </c>
      <c r="C21505" s="46">
        <v>1493</v>
      </c>
      <c r="D21505" s="69" t="s">
        <v>29420</v>
      </c>
      <c r="E21505" s="51"/>
      <c r="F21505" s="114" t="str">
        <f>IF(INDEX(I.Facility.P4IDNumber,1493)="","",INDEX(I.Facility.P4IDNumber,1493))</f>
        <v/>
      </c>
      <c r="G21505" s="51"/>
      <c r="H21505" s="46" t="str">
        <f>IF(AND(I.Developer.P4=TRUE,I.Facility.P4FacilityCount&gt;=1493,F21505=""),"Incomplete","Complete")</f>
        <v>Complete</v>
      </c>
      <c r="I21505" s="48" t="s">
        <v>25870</v>
      </c>
    </row>
    <row r="21506" spans="2:9" ht="15" customHeight="1" x14ac:dyDescent="0.25">
      <c r="B21506" s="55" t="s">
        <v>283</v>
      </c>
      <c r="C21506" s="46">
        <v>1494</v>
      </c>
      <c r="D21506" s="69" t="s">
        <v>29420</v>
      </c>
      <c r="E21506" s="51"/>
      <c r="F21506" s="114" t="str">
        <f>IF(INDEX(I.Facility.P4IDNumber,1494)="","",INDEX(I.Facility.P4IDNumber,1494))</f>
        <v/>
      </c>
      <c r="G21506" s="51"/>
      <c r="H21506" s="46" t="str">
        <f>IF(AND(I.Developer.P4=TRUE,I.Facility.P4FacilityCount&gt;=1494,F21506=""),"Incomplete","Complete")</f>
        <v>Complete</v>
      </c>
      <c r="I21506" s="48" t="s">
        <v>25871</v>
      </c>
    </row>
    <row r="21507" spans="2:9" ht="15" customHeight="1" x14ac:dyDescent="0.25">
      <c r="B21507" s="55" t="s">
        <v>283</v>
      </c>
      <c r="C21507" s="46">
        <v>1495</v>
      </c>
      <c r="D21507" s="69" t="s">
        <v>29420</v>
      </c>
      <c r="E21507" s="51"/>
      <c r="F21507" s="114" t="str">
        <f>IF(INDEX(I.Facility.P4IDNumber,1495)="","",INDEX(I.Facility.P4IDNumber,1495))</f>
        <v/>
      </c>
      <c r="G21507" s="51"/>
      <c r="H21507" s="46" t="str">
        <f>IF(AND(I.Developer.P4=TRUE,I.Facility.P4FacilityCount&gt;=1495,F21507=""),"Incomplete","Complete")</f>
        <v>Complete</v>
      </c>
      <c r="I21507" s="48" t="s">
        <v>25872</v>
      </c>
    </row>
    <row r="21508" spans="2:9" ht="15" customHeight="1" x14ac:dyDescent="0.25">
      <c r="B21508" s="55" t="s">
        <v>283</v>
      </c>
      <c r="C21508" s="46">
        <v>1496</v>
      </c>
      <c r="D21508" s="69" t="s">
        <v>29420</v>
      </c>
      <c r="E21508" s="51"/>
      <c r="F21508" s="114" t="str">
        <f>IF(INDEX(I.Facility.P4IDNumber,1496)="","",INDEX(I.Facility.P4IDNumber,1496))</f>
        <v/>
      </c>
      <c r="G21508" s="51"/>
      <c r="H21508" s="46" t="str">
        <f>IF(AND(I.Developer.P4=TRUE,I.Facility.P4FacilityCount&gt;=1496,F21508=""),"Incomplete","Complete")</f>
        <v>Complete</v>
      </c>
      <c r="I21508" s="48" t="s">
        <v>25873</v>
      </c>
    </row>
    <row r="21509" spans="2:9" ht="15" customHeight="1" x14ac:dyDescent="0.25">
      <c r="B21509" s="55" t="s">
        <v>283</v>
      </c>
      <c r="C21509" s="46">
        <v>1497</v>
      </c>
      <c r="D21509" s="69" t="s">
        <v>29420</v>
      </c>
      <c r="E21509" s="51"/>
      <c r="F21509" s="114" t="str">
        <f>IF(INDEX(I.Facility.P4IDNumber,1497)="","",INDEX(I.Facility.P4IDNumber,1497))</f>
        <v/>
      </c>
      <c r="G21509" s="51"/>
      <c r="H21509" s="46" t="str">
        <f>IF(AND(I.Developer.P4=TRUE,I.Facility.P4FacilityCount&gt;=1497,F21509=""),"Incomplete","Complete")</f>
        <v>Complete</v>
      </c>
      <c r="I21509" s="48" t="s">
        <v>25874</v>
      </c>
    </row>
    <row r="21510" spans="2:9" ht="15" customHeight="1" x14ac:dyDescent="0.25">
      <c r="B21510" s="55" t="s">
        <v>283</v>
      </c>
      <c r="C21510" s="46">
        <v>1498</v>
      </c>
      <c r="D21510" s="69" t="s">
        <v>29420</v>
      </c>
      <c r="E21510" s="51"/>
      <c r="F21510" s="114" t="str">
        <f>IF(INDEX(I.Facility.P4IDNumber,1498)="","",INDEX(I.Facility.P4IDNumber,1498))</f>
        <v/>
      </c>
      <c r="G21510" s="51"/>
      <c r="H21510" s="46" t="str">
        <f>IF(AND(I.Developer.P4=TRUE,I.Facility.P4FacilityCount&gt;=1498,F21510=""),"Incomplete","Complete")</f>
        <v>Complete</v>
      </c>
      <c r="I21510" s="48" t="s">
        <v>25875</v>
      </c>
    </row>
    <row r="21511" spans="2:9" ht="15" customHeight="1" x14ac:dyDescent="0.25">
      <c r="B21511" s="55" t="s">
        <v>283</v>
      </c>
      <c r="C21511" s="46">
        <v>1499</v>
      </c>
      <c r="D21511" s="69" t="s">
        <v>29420</v>
      </c>
      <c r="E21511" s="51"/>
      <c r="F21511" s="114" t="str">
        <f>IF(INDEX(I.Facility.P4IDNumber,1499)="","",INDEX(I.Facility.P4IDNumber,1499))</f>
        <v/>
      </c>
      <c r="G21511" s="51"/>
      <c r="H21511" s="46" t="str">
        <f>IF(AND(I.Developer.P4=TRUE,I.Facility.P4FacilityCount&gt;=1499,F21511=""),"Incomplete","Complete")</f>
        <v>Complete</v>
      </c>
      <c r="I21511" s="48" t="s">
        <v>25876</v>
      </c>
    </row>
    <row r="21512" spans="2:9" ht="15" customHeight="1" x14ac:dyDescent="0.25">
      <c r="B21512" s="55" t="s">
        <v>283</v>
      </c>
      <c r="C21512" s="46">
        <v>1500</v>
      </c>
      <c r="D21512" s="69" t="s">
        <v>29420</v>
      </c>
      <c r="E21512" s="51"/>
      <c r="F21512" s="114" t="str">
        <f>IF(INDEX(I.Facility.P4IDNumber,1500)="","",INDEX(I.Facility.P4IDNumber,1500))</f>
        <v/>
      </c>
      <c r="G21512" s="51"/>
      <c r="H21512" s="46" t="str">
        <f>IF(AND(I.Developer.P4=TRUE,I.Facility.P4FacilityCount&gt;=1500,F21512=""),"Incomplete","Complete")</f>
        <v>Complete</v>
      </c>
      <c r="I21512" s="48" t="s">
        <v>25877</v>
      </c>
    </row>
    <row r="21513" spans="2:9" ht="15" customHeight="1" x14ac:dyDescent="0.25">
      <c r="B21513" s="55" t="s">
        <v>283</v>
      </c>
      <c r="C21513" s="46">
        <v>1501</v>
      </c>
      <c r="D21513" s="69" t="s">
        <v>29420</v>
      </c>
      <c r="E21513" s="51"/>
      <c r="F21513" s="114" t="str">
        <f>IF(INDEX(I.Facility.P4IDNumber,1501)="","",INDEX(I.Facility.P4IDNumber,1501))</f>
        <v/>
      </c>
      <c r="G21513" s="51"/>
      <c r="H21513" s="46" t="str">
        <f>IF(AND(I.Developer.P4=TRUE,I.Facility.P4FacilityCount&gt;=1501,F21513=""),"Incomplete","Complete")</f>
        <v>Complete</v>
      </c>
      <c r="I21513" s="48" t="s">
        <v>25878</v>
      </c>
    </row>
    <row r="21514" spans="2:9" ht="15" customHeight="1" x14ac:dyDescent="0.25">
      <c r="B21514" s="55" t="s">
        <v>283</v>
      </c>
      <c r="C21514" s="46">
        <v>1502</v>
      </c>
      <c r="D21514" s="69" t="s">
        <v>29420</v>
      </c>
      <c r="E21514" s="51"/>
      <c r="F21514" s="114" t="str">
        <f>IF(INDEX(I.Facility.P4IDNumber,1502)="","",INDEX(I.Facility.P4IDNumber,1502))</f>
        <v/>
      </c>
      <c r="G21514" s="51"/>
      <c r="H21514" s="46" t="str">
        <f>IF(AND(I.Developer.P4=TRUE,I.Facility.P4FacilityCount&gt;=1502,F21514=""),"Incomplete","Complete")</f>
        <v>Complete</v>
      </c>
      <c r="I21514" s="48" t="s">
        <v>25879</v>
      </c>
    </row>
    <row r="21515" spans="2:9" ht="15" customHeight="1" x14ac:dyDescent="0.25">
      <c r="B21515" s="55" t="s">
        <v>283</v>
      </c>
      <c r="C21515" s="46">
        <v>1503</v>
      </c>
      <c r="D21515" s="69" t="s">
        <v>29420</v>
      </c>
      <c r="E21515" s="51"/>
      <c r="F21515" s="114" t="str">
        <f>IF(INDEX(I.Facility.P4IDNumber,1503)="","",INDEX(I.Facility.P4IDNumber,1503))</f>
        <v/>
      </c>
      <c r="G21515" s="51"/>
      <c r="H21515" s="46" t="str">
        <f>IF(AND(I.Developer.P4=TRUE,I.Facility.P4FacilityCount&gt;=1503,F21515=""),"Incomplete","Complete")</f>
        <v>Complete</v>
      </c>
      <c r="I21515" s="48" t="s">
        <v>25880</v>
      </c>
    </row>
    <row r="21516" spans="2:9" ht="15" customHeight="1" x14ac:dyDescent="0.25">
      <c r="B21516" s="55" t="s">
        <v>283</v>
      </c>
      <c r="C21516" s="46">
        <v>1504</v>
      </c>
      <c r="D21516" s="69" t="s">
        <v>29420</v>
      </c>
      <c r="E21516" s="51"/>
      <c r="F21516" s="114" t="str">
        <f>IF(INDEX(I.Facility.P4IDNumber,1504)="","",INDEX(I.Facility.P4IDNumber,1504))</f>
        <v/>
      </c>
      <c r="G21516" s="51"/>
      <c r="H21516" s="46" t="str">
        <f>IF(AND(I.Developer.P4=TRUE,I.Facility.P4FacilityCount&gt;=1504,F21516=""),"Incomplete","Complete")</f>
        <v>Complete</v>
      </c>
      <c r="I21516" s="48" t="s">
        <v>25881</v>
      </c>
    </row>
    <row r="21517" spans="2:9" ht="15" customHeight="1" x14ac:dyDescent="0.25">
      <c r="B21517" s="55" t="s">
        <v>283</v>
      </c>
      <c r="C21517" s="46">
        <v>1505</v>
      </c>
      <c r="D21517" s="69" t="s">
        <v>29420</v>
      </c>
      <c r="E21517" s="51"/>
      <c r="F21517" s="114" t="str">
        <f>IF(INDEX(I.Facility.P4IDNumber,1505)="","",INDEX(I.Facility.P4IDNumber,1505))</f>
        <v/>
      </c>
      <c r="G21517" s="51"/>
      <c r="H21517" s="46" t="str">
        <f>IF(AND(I.Developer.P4=TRUE,I.Facility.P4FacilityCount&gt;=1505,F21517=""),"Incomplete","Complete")</f>
        <v>Complete</v>
      </c>
      <c r="I21517" s="48" t="s">
        <v>25882</v>
      </c>
    </row>
    <row r="21518" spans="2:9" ht="15" customHeight="1" x14ac:dyDescent="0.25">
      <c r="B21518" s="55" t="s">
        <v>283</v>
      </c>
      <c r="C21518" s="46">
        <v>1506</v>
      </c>
      <c r="D21518" s="69" t="s">
        <v>29420</v>
      </c>
      <c r="E21518" s="51"/>
      <c r="F21518" s="114" t="str">
        <f>IF(INDEX(I.Facility.P4IDNumber,1506)="","",INDEX(I.Facility.P4IDNumber,1506))</f>
        <v/>
      </c>
      <c r="G21518" s="51"/>
      <c r="H21518" s="46" t="str">
        <f>IF(AND(I.Developer.P4=TRUE,I.Facility.P4FacilityCount&gt;=1506,F21518=""),"Incomplete","Complete")</f>
        <v>Complete</v>
      </c>
      <c r="I21518" s="48" t="s">
        <v>25883</v>
      </c>
    </row>
    <row r="21519" spans="2:9" ht="15" customHeight="1" x14ac:dyDescent="0.25">
      <c r="B21519" s="55" t="s">
        <v>283</v>
      </c>
      <c r="C21519" s="46">
        <v>1507</v>
      </c>
      <c r="D21519" s="69" t="s">
        <v>29420</v>
      </c>
      <c r="E21519" s="51"/>
      <c r="F21519" s="114" t="str">
        <f>IF(INDEX(I.Facility.P4IDNumber,1507)="","",INDEX(I.Facility.P4IDNumber,1507))</f>
        <v/>
      </c>
      <c r="G21519" s="51"/>
      <c r="H21519" s="46" t="str">
        <f>IF(AND(I.Developer.P4=TRUE,I.Facility.P4FacilityCount&gt;=1507,F21519=""),"Incomplete","Complete")</f>
        <v>Complete</v>
      </c>
      <c r="I21519" s="48" t="s">
        <v>25884</v>
      </c>
    </row>
    <row r="21520" spans="2:9" ht="15" customHeight="1" x14ac:dyDescent="0.25">
      <c r="B21520" s="55" t="s">
        <v>283</v>
      </c>
      <c r="C21520" s="46">
        <v>1508</v>
      </c>
      <c r="D21520" s="69" t="s">
        <v>29420</v>
      </c>
      <c r="E21520" s="51"/>
      <c r="F21520" s="114" t="str">
        <f>IF(INDEX(I.Facility.P4IDNumber,1508)="","",INDEX(I.Facility.P4IDNumber,1508))</f>
        <v/>
      </c>
      <c r="G21520" s="51"/>
      <c r="H21520" s="46" t="str">
        <f>IF(AND(I.Developer.P4=TRUE,I.Facility.P4FacilityCount&gt;=1508,F21520=""),"Incomplete","Complete")</f>
        <v>Complete</v>
      </c>
      <c r="I21520" s="48" t="s">
        <v>25885</v>
      </c>
    </row>
    <row r="21521" spans="2:9" ht="15" customHeight="1" x14ac:dyDescent="0.25">
      <c r="B21521" s="55" t="s">
        <v>283</v>
      </c>
      <c r="C21521" s="46">
        <v>1509</v>
      </c>
      <c r="D21521" s="69" t="s">
        <v>29420</v>
      </c>
      <c r="E21521" s="51"/>
      <c r="F21521" s="114" t="str">
        <f>IF(INDEX(I.Facility.P4IDNumber,1509)="","",INDEX(I.Facility.P4IDNumber,1509))</f>
        <v/>
      </c>
      <c r="G21521" s="51"/>
      <c r="H21521" s="46" t="str">
        <f>IF(AND(I.Developer.P4=TRUE,I.Facility.P4FacilityCount&gt;=1509,F21521=""),"Incomplete","Complete")</f>
        <v>Complete</v>
      </c>
      <c r="I21521" s="48" t="s">
        <v>25886</v>
      </c>
    </row>
    <row r="21522" spans="2:9" ht="15" customHeight="1" x14ac:dyDescent="0.25">
      <c r="B21522" s="55" t="s">
        <v>283</v>
      </c>
      <c r="C21522" s="46">
        <v>1510</v>
      </c>
      <c r="D21522" s="69" t="s">
        <v>29420</v>
      </c>
      <c r="E21522" s="51"/>
      <c r="F21522" s="114" t="str">
        <f>IF(INDEX(I.Facility.P4IDNumber,1510)="","",INDEX(I.Facility.P4IDNumber,1510))</f>
        <v/>
      </c>
      <c r="G21522" s="51"/>
      <c r="H21522" s="46" t="str">
        <f>IF(AND(I.Developer.P4=TRUE,I.Facility.P4FacilityCount&gt;=1510,F21522=""),"Incomplete","Complete")</f>
        <v>Complete</v>
      </c>
      <c r="I21522" s="48" t="s">
        <v>25887</v>
      </c>
    </row>
    <row r="21523" spans="2:9" ht="15" customHeight="1" x14ac:dyDescent="0.25">
      <c r="B21523" s="55" t="s">
        <v>283</v>
      </c>
      <c r="C21523" s="46">
        <v>1511</v>
      </c>
      <c r="D21523" s="69" t="s">
        <v>29420</v>
      </c>
      <c r="E21523" s="51"/>
      <c r="F21523" s="114" t="str">
        <f>IF(INDEX(I.Facility.P4IDNumber,1511)="","",INDEX(I.Facility.P4IDNumber,1511))</f>
        <v/>
      </c>
      <c r="G21523" s="51"/>
      <c r="H21523" s="46" t="str">
        <f>IF(AND(I.Developer.P4=TRUE,I.Facility.P4FacilityCount&gt;=1511,F21523=""),"Incomplete","Complete")</f>
        <v>Complete</v>
      </c>
      <c r="I21523" s="48" t="s">
        <v>25888</v>
      </c>
    </row>
    <row r="21524" spans="2:9" ht="15" customHeight="1" x14ac:dyDescent="0.25">
      <c r="B21524" s="55" t="s">
        <v>283</v>
      </c>
      <c r="C21524" s="46">
        <v>1512</v>
      </c>
      <c r="D21524" s="69" t="s">
        <v>29420</v>
      </c>
      <c r="E21524" s="51"/>
      <c r="F21524" s="114" t="str">
        <f>IF(INDEX(I.Facility.P4IDNumber,1512)="","",INDEX(I.Facility.P4IDNumber,1512))</f>
        <v/>
      </c>
      <c r="G21524" s="51"/>
      <c r="H21524" s="46" t="str">
        <f>IF(AND(I.Developer.P4=TRUE,I.Facility.P4FacilityCount&gt;=1512,F21524=""),"Incomplete","Complete")</f>
        <v>Complete</v>
      </c>
      <c r="I21524" s="48" t="s">
        <v>25889</v>
      </c>
    </row>
    <row r="21525" spans="2:9" ht="15" customHeight="1" x14ac:dyDescent="0.25">
      <c r="B21525" s="55" t="s">
        <v>283</v>
      </c>
      <c r="C21525" s="46">
        <v>1513</v>
      </c>
      <c r="D21525" s="69" t="s">
        <v>29420</v>
      </c>
      <c r="E21525" s="51"/>
      <c r="F21525" s="114" t="str">
        <f>IF(INDEX(I.Facility.P4IDNumber,1513)="","",INDEX(I.Facility.P4IDNumber,1513))</f>
        <v/>
      </c>
      <c r="G21525" s="51"/>
      <c r="H21525" s="46" t="str">
        <f>IF(AND(I.Developer.P4=TRUE,I.Facility.P4FacilityCount&gt;=1513,F21525=""),"Incomplete","Complete")</f>
        <v>Complete</v>
      </c>
      <c r="I21525" s="48" t="s">
        <v>25890</v>
      </c>
    </row>
    <row r="21526" spans="2:9" ht="15" customHeight="1" x14ac:dyDescent="0.25">
      <c r="B21526" s="55" t="s">
        <v>283</v>
      </c>
      <c r="C21526" s="46">
        <v>1514</v>
      </c>
      <c r="D21526" s="69" t="s">
        <v>29420</v>
      </c>
      <c r="E21526" s="51"/>
      <c r="F21526" s="114" t="str">
        <f>IF(INDEX(I.Facility.P4IDNumber,1514)="","",INDEX(I.Facility.P4IDNumber,1514))</f>
        <v/>
      </c>
      <c r="G21526" s="51"/>
      <c r="H21526" s="46" t="str">
        <f>IF(AND(I.Developer.P4=TRUE,I.Facility.P4FacilityCount&gt;=1514,F21526=""),"Incomplete","Complete")</f>
        <v>Complete</v>
      </c>
      <c r="I21526" s="48" t="s">
        <v>25891</v>
      </c>
    </row>
    <row r="21527" spans="2:9" ht="15" customHeight="1" x14ac:dyDescent="0.25">
      <c r="B21527" s="55" t="s">
        <v>283</v>
      </c>
      <c r="C21527" s="46">
        <v>1515</v>
      </c>
      <c r="D21527" s="69" t="s">
        <v>29420</v>
      </c>
      <c r="E21527" s="51"/>
      <c r="F21527" s="114" t="str">
        <f>IF(INDEX(I.Facility.P4IDNumber,1515)="","",INDEX(I.Facility.P4IDNumber,1515))</f>
        <v/>
      </c>
      <c r="G21527" s="51"/>
      <c r="H21527" s="46" t="str">
        <f>IF(AND(I.Developer.P4=TRUE,I.Facility.P4FacilityCount&gt;=1515,F21527=""),"Incomplete","Complete")</f>
        <v>Complete</v>
      </c>
      <c r="I21527" s="48" t="s">
        <v>25892</v>
      </c>
    </row>
    <row r="21528" spans="2:9" ht="15" customHeight="1" x14ac:dyDescent="0.25">
      <c r="B21528" s="55" t="s">
        <v>283</v>
      </c>
      <c r="C21528" s="46">
        <v>1516</v>
      </c>
      <c r="D21528" s="69" t="s">
        <v>29420</v>
      </c>
      <c r="E21528" s="51"/>
      <c r="F21528" s="114" t="str">
        <f>IF(INDEX(I.Facility.P4IDNumber,1516)="","",INDEX(I.Facility.P4IDNumber,1516))</f>
        <v/>
      </c>
      <c r="G21528" s="51"/>
      <c r="H21528" s="46" t="str">
        <f>IF(AND(I.Developer.P4=TRUE,I.Facility.P4FacilityCount&gt;=1516,F21528=""),"Incomplete","Complete")</f>
        <v>Complete</v>
      </c>
      <c r="I21528" s="48" t="s">
        <v>25893</v>
      </c>
    </row>
    <row r="21529" spans="2:9" ht="15" customHeight="1" x14ac:dyDescent="0.25">
      <c r="B21529" s="55" t="s">
        <v>283</v>
      </c>
      <c r="C21529" s="46">
        <v>1517</v>
      </c>
      <c r="D21529" s="69" t="s">
        <v>29420</v>
      </c>
      <c r="E21529" s="51"/>
      <c r="F21529" s="114" t="str">
        <f>IF(INDEX(I.Facility.P4IDNumber,1517)="","",INDEX(I.Facility.P4IDNumber,1517))</f>
        <v/>
      </c>
      <c r="G21529" s="51"/>
      <c r="H21529" s="46" t="str">
        <f>IF(AND(I.Developer.P4=TRUE,I.Facility.P4FacilityCount&gt;=1517,F21529=""),"Incomplete","Complete")</f>
        <v>Complete</v>
      </c>
      <c r="I21529" s="48" t="s">
        <v>25894</v>
      </c>
    </row>
    <row r="21530" spans="2:9" ht="15" customHeight="1" x14ac:dyDescent="0.25">
      <c r="B21530" s="55" t="s">
        <v>283</v>
      </c>
      <c r="C21530" s="46">
        <v>1518</v>
      </c>
      <c r="D21530" s="69" t="s">
        <v>29420</v>
      </c>
      <c r="E21530" s="51"/>
      <c r="F21530" s="114" t="str">
        <f>IF(INDEX(I.Facility.P4IDNumber,1518)="","",INDEX(I.Facility.P4IDNumber,1518))</f>
        <v/>
      </c>
      <c r="G21530" s="51"/>
      <c r="H21530" s="46" t="str">
        <f>IF(AND(I.Developer.P4=TRUE,I.Facility.P4FacilityCount&gt;=1518,F21530=""),"Incomplete","Complete")</f>
        <v>Complete</v>
      </c>
      <c r="I21530" s="48" t="s">
        <v>25895</v>
      </c>
    </row>
    <row r="21531" spans="2:9" ht="15" customHeight="1" x14ac:dyDescent="0.25">
      <c r="B21531" s="55" t="s">
        <v>283</v>
      </c>
      <c r="C21531" s="46">
        <v>1519</v>
      </c>
      <c r="D21531" s="69" t="s">
        <v>29420</v>
      </c>
      <c r="E21531" s="51"/>
      <c r="F21531" s="114" t="str">
        <f>IF(INDEX(I.Facility.P4IDNumber,1519)="","",INDEX(I.Facility.P4IDNumber,1519))</f>
        <v/>
      </c>
      <c r="G21531" s="51"/>
      <c r="H21531" s="46" t="str">
        <f>IF(AND(I.Developer.P4=TRUE,I.Facility.P4FacilityCount&gt;=1519,F21531=""),"Incomplete","Complete")</f>
        <v>Complete</v>
      </c>
      <c r="I21531" s="48" t="s">
        <v>25896</v>
      </c>
    </row>
    <row r="21532" spans="2:9" ht="15" customHeight="1" x14ac:dyDescent="0.25">
      <c r="B21532" s="55" t="s">
        <v>283</v>
      </c>
      <c r="C21532" s="46">
        <v>1520</v>
      </c>
      <c r="D21532" s="69" t="s">
        <v>29420</v>
      </c>
      <c r="E21532" s="51"/>
      <c r="F21532" s="114" t="str">
        <f>IF(INDEX(I.Facility.P4IDNumber,1520)="","",INDEX(I.Facility.P4IDNumber,1520))</f>
        <v/>
      </c>
      <c r="G21532" s="51"/>
      <c r="H21532" s="46" t="str">
        <f>IF(AND(I.Developer.P4=TRUE,I.Facility.P4FacilityCount&gt;=1520,F21532=""),"Incomplete","Complete")</f>
        <v>Complete</v>
      </c>
      <c r="I21532" s="48" t="s">
        <v>25897</v>
      </c>
    </row>
    <row r="21533" spans="2:9" ht="15" customHeight="1" x14ac:dyDescent="0.25">
      <c r="B21533" s="55" t="s">
        <v>283</v>
      </c>
      <c r="C21533" s="46">
        <v>1521</v>
      </c>
      <c r="D21533" s="69" t="s">
        <v>29420</v>
      </c>
      <c r="E21533" s="51"/>
      <c r="F21533" s="114" t="str">
        <f>IF(INDEX(I.Facility.P4IDNumber,1521)="","",INDEX(I.Facility.P4IDNumber,1521))</f>
        <v/>
      </c>
      <c r="G21533" s="51"/>
      <c r="H21533" s="46" t="str">
        <f>IF(AND(I.Developer.P4=TRUE,I.Facility.P4FacilityCount&gt;=1521,F21533=""),"Incomplete","Complete")</f>
        <v>Complete</v>
      </c>
      <c r="I21533" s="48" t="s">
        <v>25898</v>
      </c>
    </row>
    <row r="21534" spans="2:9" ht="15" customHeight="1" x14ac:dyDescent="0.25">
      <c r="B21534" s="55" t="s">
        <v>283</v>
      </c>
      <c r="C21534" s="46">
        <v>1522</v>
      </c>
      <c r="D21534" s="69" t="s">
        <v>29420</v>
      </c>
      <c r="E21534" s="51"/>
      <c r="F21534" s="114" t="str">
        <f>IF(INDEX(I.Facility.P4IDNumber,1522)="","",INDEX(I.Facility.P4IDNumber,1522))</f>
        <v/>
      </c>
      <c r="G21534" s="51"/>
      <c r="H21534" s="46" t="str">
        <f>IF(AND(I.Developer.P4=TRUE,I.Facility.P4FacilityCount&gt;=1522,F21534=""),"Incomplete","Complete")</f>
        <v>Complete</v>
      </c>
      <c r="I21534" s="48" t="s">
        <v>25899</v>
      </c>
    </row>
    <row r="21535" spans="2:9" ht="15" customHeight="1" x14ac:dyDescent="0.25">
      <c r="B21535" s="55" t="s">
        <v>283</v>
      </c>
      <c r="C21535" s="46">
        <v>1523</v>
      </c>
      <c r="D21535" s="69" t="s">
        <v>29420</v>
      </c>
      <c r="E21535" s="51"/>
      <c r="F21535" s="114" t="str">
        <f>IF(INDEX(I.Facility.P4IDNumber,1523)="","",INDEX(I.Facility.P4IDNumber,1523))</f>
        <v/>
      </c>
      <c r="G21535" s="51"/>
      <c r="H21535" s="46" t="str">
        <f>IF(AND(I.Developer.P4=TRUE,I.Facility.P4FacilityCount&gt;=1523,F21535=""),"Incomplete","Complete")</f>
        <v>Complete</v>
      </c>
      <c r="I21535" s="48" t="s">
        <v>25900</v>
      </c>
    </row>
    <row r="21536" spans="2:9" ht="15" customHeight="1" x14ac:dyDescent="0.25">
      <c r="B21536" s="55" t="s">
        <v>283</v>
      </c>
      <c r="C21536" s="46">
        <v>1524</v>
      </c>
      <c r="D21536" s="69" t="s">
        <v>29420</v>
      </c>
      <c r="E21536" s="51"/>
      <c r="F21536" s="114" t="str">
        <f>IF(INDEX(I.Facility.P4IDNumber,1524)="","",INDEX(I.Facility.P4IDNumber,1524))</f>
        <v/>
      </c>
      <c r="G21536" s="51"/>
      <c r="H21536" s="46" t="str">
        <f>IF(AND(I.Developer.P4=TRUE,I.Facility.P4FacilityCount&gt;=1524,F21536=""),"Incomplete","Complete")</f>
        <v>Complete</v>
      </c>
      <c r="I21536" s="48" t="s">
        <v>25901</v>
      </c>
    </row>
    <row r="21537" spans="2:9" ht="15" customHeight="1" x14ac:dyDescent="0.25">
      <c r="B21537" s="55" t="s">
        <v>283</v>
      </c>
      <c r="C21537" s="46">
        <v>1525</v>
      </c>
      <c r="D21537" s="69" t="s">
        <v>29420</v>
      </c>
      <c r="E21537" s="51"/>
      <c r="F21537" s="114" t="str">
        <f>IF(INDEX(I.Facility.P4IDNumber,1525)="","",INDEX(I.Facility.P4IDNumber,1525))</f>
        <v/>
      </c>
      <c r="G21537" s="51"/>
      <c r="H21537" s="46" t="str">
        <f>IF(AND(I.Developer.P4=TRUE,I.Facility.P4FacilityCount&gt;=1525,F21537=""),"Incomplete","Complete")</f>
        <v>Complete</v>
      </c>
      <c r="I21537" s="48" t="s">
        <v>25902</v>
      </c>
    </row>
    <row r="21538" spans="2:9" ht="15" customHeight="1" x14ac:dyDescent="0.25">
      <c r="B21538" s="55" t="s">
        <v>283</v>
      </c>
      <c r="C21538" s="46">
        <v>1526</v>
      </c>
      <c r="D21538" s="69" t="s">
        <v>29420</v>
      </c>
      <c r="E21538" s="51"/>
      <c r="F21538" s="114" t="str">
        <f>IF(INDEX(I.Facility.P4IDNumber,1526)="","",INDEX(I.Facility.P4IDNumber,1526))</f>
        <v/>
      </c>
      <c r="G21538" s="51"/>
      <c r="H21538" s="46" t="str">
        <f>IF(AND(I.Developer.P4=TRUE,I.Facility.P4FacilityCount&gt;=1526,F21538=""),"Incomplete","Complete")</f>
        <v>Complete</v>
      </c>
      <c r="I21538" s="48" t="s">
        <v>25903</v>
      </c>
    </row>
    <row r="21539" spans="2:9" ht="15" customHeight="1" x14ac:dyDescent="0.25">
      <c r="B21539" s="55" t="s">
        <v>283</v>
      </c>
      <c r="C21539" s="46">
        <v>1527</v>
      </c>
      <c r="D21539" s="69" t="s">
        <v>29420</v>
      </c>
      <c r="E21539" s="51"/>
      <c r="F21539" s="114" t="str">
        <f>IF(INDEX(I.Facility.P4IDNumber,1527)="","",INDEX(I.Facility.P4IDNumber,1527))</f>
        <v/>
      </c>
      <c r="G21539" s="51"/>
      <c r="H21539" s="46" t="str">
        <f>IF(AND(I.Developer.P4=TRUE,I.Facility.P4FacilityCount&gt;=1527,F21539=""),"Incomplete","Complete")</f>
        <v>Complete</v>
      </c>
      <c r="I21539" s="48" t="s">
        <v>25904</v>
      </c>
    </row>
    <row r="21540" spans="2:9" ht="15" customHeight="1" x14ac:dyDescent="0.25">
      <c r="B21540" s="55" t="s">
        <v>283</v>
      </c>
      <c r="C21540" s="46">
        <v>1528</v>
      </c>
      <c r="D21540" s="69" t="s">
        <v>29420</v>
      </c>
      <c r="E21540" s="51"/>
      <c r="F21540" s="114" t="str">
        <f>IF(INDEX(I.Facility.P4IDNumber,1528)="","",INDEX(I.Facility.P4IDNumber,1528))</f>
        <v/>
      </c>
      <c r="G21540" s="51"/>
      <c r="H21540" s="46" t="str">
        <f>IF(AND(I.Developer.P4=TRUE,I.Facility.P4FacilityCount&gt;=1528,F21540=""),"Incomplete","Complete")</f>
        <v>Complete</v>
      </c>
      <c r="I21540" s="48" t="s">
        <v>25905</v>
      </c>
    </row>
    <row r="21541" spans="2:9" ht="15" customHeight="1" x14ac:dyDescent="0.25">
      <c r="B21541" s="55" t="s">
        <v>283</v>
      </c>
      <c r="C21541" s="46">
        <v>1529</v>
      </c>
      <c r="D21541" s="69" t="s">
        <v>29420</v>
      </c>
      <c r="E21541" s="51"/>
      <c r="F21541" s="114" t="str">
        <f>IF(INDEX(I.Facility.P4IDNumber,1529)="","",INDEX(I.Facility.P4IDNumber,1529))</f>
        <v/>
      </c>
      <c r="G21541" s="51"/>
      <c r="H21541" s="46" t="str">
        <f>IF(AND(I.Developer.P4=TRUE,I.Facility.P4FacilityCount&gt;=1529,F21541=""),"Incomplete","Complete")</f>
        <v>Complete</v>
      </c>
      <c r="I21541" s="48" t="s">
        <v>25906</v>
      </c>
    </row>
    <row r="21542" spans="2:9" ht="15" customHeight="1" x14ac:dyDescent="0.25">
      <c r="B21542" s="55" t="s">
        <v>283</v>
      </c>
      <c r="C21542" s="46">
        <v>1530</v>
      </c>
      <c r="D21542" s="69" t="s">
        <v>29420</v>
      </c>
      <c r="E21542" s="51"/>
      <c r="F21542" s="114" t="str">
        <f>IF(INDEX(I.Facility.P4IDNumber,1530)="","",INDEX(I.Facility.P4IDNumber,1530))</f>
        <v/>
      </c>
      <c r="G21542" s="51"/>
      <c r="H21542" s="46" t="str">
        <f>IF(AND(I.Developer.P4=TRUE,I.Facility.P4FacilityCount&gt;=1530,F21542=""),"Incomplete","Complete")</f>
        <v>Complete</v>
      </c>
      <c r="I21542" s="48" t="s">
        <v>25907</v>
      </c>
    </row>
    <row r="21543" spans="2:9" ht="15" customHeight="1" x14ac:dyDescent="0.25">
      <c r="B21543" s="55" t="s">
        <v>283</v>
      </c>
      <c r="C21543" s="46">
        <v>1531</v>
      </c>
      <c r="D21543" s="69" t="s">
        <v>29420</v>
      </c>
      <c r="E21543" s="51"/>
      <c r="F21543" s="114" t="str">
        <f>IF(INDEX(I.Facility.P4IDNumber,1531)="","",INDEX(I.Facility.P4IDNumber,1531))</f>
        <v/>
      </c>
      <c r="G21543" s="51"/>
      <c r="H21543" s="46" t="str">
        <f>IF(AND(I.Developer.P4=TRUE,I.Facility.P4FacilityCount&gt;=1531,F21543=""),"Incomplete","Complete")</f>
        <v>Complete</v>
      </c>
      <c r="I21543" s="48" t="s">
        <v>25908</v>
      </c>
    </row>
    <row r="21544" spans="2:9" ht="15" customHeight="1" x14ac:dyDescent="0.25">
      <c r="B21544" s="55" t="s">
        <v>283</v>
      </c>
      <c r="C21544" s="46">
        <v>1532</v>
      </c>
      <c r="D21544" s="69" t="s">
        <v>29420</v>
      </c>
      <c r="E21544" s="51"/>
      <c r="F21544" s="114" t="str">
        <f>IF(INDEX(I.Facility.P4IDNumber,1532)="","",INDEX(I.Facility.P4IDNumber,1532))</f>
        <v/>
      </c>
      <c r="G21544" s="51"/>
      <c r="H21544" s="46" t="str">
        <f>IF(AND(I.Developer.P4=TRUE,I.Facility.P4FacilityCount&gt;=1532,F21544=""),"Incomplete","Complete")</f>
        <v>Complete</v>
      </c>
      <c r="I21544" s="48" t="s">
        <v>25909</v>
      </c>
    </row>
    <row r="21545" spans="2:9" ht="15" customHeight="1" x14ac:dyDescent="0.25">
      <c r="B21545" s="55" t="s">
        <v>283</v>
      </c>
      <c r="C21545" s="46">
        <v>1533</v>
      </c>
      <c r="D21545" s="69" t="s">
        <v>29420</v>
      </c>
      <c r="E21545" s="51"/>
      <c r="F21545" s="114" t="str">
        <f>IF(INDEX(I.Facility.P4IDNumber,1533)="","",INDEX(I.Facility.P4IDNumber,1533))</f>
        <v/>
      </c>
      <c r="G21545" s="51"/>
      <c r="H21545" s="46" t="str">
        <f>IF(AND(I.Developer.P4=TRUE,I.Facility.P4FacilityCount&gt;=1533,F21545=""),"Incomplete","Complete")</f>
        <v>Complete</v>
      </c>
      <c r="I21545" s="48" t="s">
        <v>25910</v>
      </c>
    </row>
    <row r="21546" spans="2:9" ht="15" customHeight="1" x14ac:dyDescent="0.25">
      <c r="B21546" s="55" t="s">
        <v>283</v>
      </c>
      <c r="C21546" s="46">
        <v>1534</v>
      </c>
      <c r="D21546" s="69" t="s">
        <v>29420</v>
      </c>
      <c r="E21546" s="51"/>
      <c r="F21546" s="114" t="str">
        <f>IF(INDEX(I.Facility.P4IDNumber,1534)="","",INDEX(I.Facility.P4IDNumber,1534))</f>
        <v/>
      </c>
      <c r="G21546" s="51"/>
      <c r="H21546" s="46" t="str">
        <f>IF(AND(I.Developer.P4=TRUE,I.Facility.P4FacilityCount&gt;=1534,F21546=""),"Incomplete","Complete")</f>
        <v>Complete</v>
      </c>
      <c r="I21546" s="48" t="s">
        <v>25911</v>
      </c>
    </row>
    <row r="21547" spans="2:9" ht="15" customHeight="1" x14ac:dyDescent="0.25">
      <c r="B21547" s="55" t="s">
        <v>283</v>
      </c>
      <c r="C21547" s="46">
        <v>1535</v>
      </c>
      <c r="D21547" s="69" t="s">
        <v>29420</v>
      </c>
      <c r="E21547" s="51"/>
      <c r="F21547" s="114" t="str">
        <f>IF(INDEX(I.Facility.P4IDNumber,1535)="","",INDEX(I.Facility.P4IDNumber,1535))</f>
        <v/>
      </c>
      <c r="G21547" s="51"/>
      <c r="H21547" s="46" t="str">
        <f>IF(AND(I.Developer.P4=TRUE,I.Facility.P4FacilityCount&gt;=1535,F21547=""),"Incomplete","Complete")</f>
        <v>Complete</v>
      </c>
      <c r="I21547" s="48" t="s">
        <v>25912</v>
      </c>
    </row>
    <row r="21548" spans="2:9" ht="15" customHeight="1" x14ac:dyDescent="0.25">
      <c r="B21548" s="55" t="s">
        <v>283</v>
      </c>
      <c r="C21548" s="46">
        <v>1536</v>
      </c>
      <c r="D21548" s="69" t="s">
        <v>29420</v>
      </c>
      <c r="E21548" s="51"/>
      <c r="F21548" s="114" t="str">
        <f>IF(INDEX(I.Facility.P4IDNumber,1536)="","",INDEX(I.Facility.P4IDNumber,1536))</f>
        <v/>
      </c>
      <c r="G21548" s="51"/>
      <c r="H21548" s="46" t="str">
        <f>IF(AND(I.Developer.P4=TRUE,I.Facility.P4FacilityCount&gt;=1536,F21548=""),"Incomplete","Complete")</f>
        <v>Complete</v>
      </c>
      <c r="I21548" s="48" t="s">
        <v>25913</v>
      </c>
    </row>
    <row r="21549" spans="2:9" ht="15" customHeight="1" x14ac:dyDescent="0.25">
      <c r="B21549" s="55" t="s">
        <v>283</v>
      </c>
      <c r="C21549" s="46">
        <v>1537</v>
      </c>
      <c r="D21549" s="69" t="s">
        <v>29420</v>
      </c>
      <c r="E21549" s="51"/>
      <c r="F21549" s="114" t="str">
        <f>IF(INDEX(I.Facility.P4IDNumber,1537)="","",INDEX(I.Facility.P4IDNumber,1537))</f>
        <v/>
      </c>
      <c r="G21549" s="51"/>
      <c r="H21549" s="46" t="str">
        <f>IF(AND(I.Developer.P4=TRUE,I.Facility.P4FacilityCount&gt;=1537,F21549=""),"Incomplete","Complete")</f>
        <v>Complete</v>
      </c>
      <c r="I21549" s="48" t="s">
        <v>25914</v>
      </c>
    </row>
    <row r="21550" spans="2:9" ht="15" customHeight="1" x14ac:dyDescent="0.25">
      <c r="B21550" s="55" t="s">
        <v>283</v>
      </c>
      <c r="C21550" s="46">
        <v>1538</v>
      </c>
      <c r="D21550" s="69" t="s">
        <v>29420</v>
      </c>
      <c r="E21550" s="51"/>
      <c r="F21550" s="114" t="str">
        <f>IF(INDEX(I.Facility.P4IDNumber,1538)="","",INDEX(I.Facility.P4IDNumber,1538))</f>
        <v/>
      </c>
      <c r="G21550" s="51"/>
      <c r="H21550" s="46" t="str">
        <f>IF(AND(I.Developer.P4=TRUE,I.Facility.P4FacilityCount&gt;=1538,F21550=""),"Incomplete","Complete")</f>
        <v>Complete</v>
      </c>
      <c r="I21550" s="48" t="s">
        <v>25915</v>
      </c>
    </row>
    <row r="21551" spans="2:9" ht="15" customHeight="1" x14ac:dyDescent="0.25">
      <c r="B21551" s="55" t="s">
        <v>283</v>
      </c>
      <c r="C21551" s="46">
        <v>1539</v>
      </c>
      <c r="D21551" s="69" t="s">
        <v>29420</v>
      </c>
      <c r="E21551" s="51"/>
      <c r="F21551" s="114" t="str">
        <f>IF(INDEX(I.Facility.P4IDNumber,1539)="","",INDEX(I.Facility.P4IDNumber,1539))</f>
        <v/>
      </c>
      <c r="G21551" s="51"/>
      <c r="H21551" s="46" t="str">
        <f>IF(AND(I.Developer.P4=TRUE,I.Facility.P4FacilityCount&gt;=1539,F21551=""),"Incomplete","Complete")</f>
        <v>Complete</v>
      </c>
      <c r="I21551" s="48" t="s">
        <v>25916</v>
      </c>
    </row>
    <row r="21552" spans="2:9" ht="15" customHeight="1" x14ac:dyDescent="0.25">
      <c r="B21552" s="55" t="s">
        <v>283</v>
      </c>
      <c r="C21552" s="46">
        <v>1540</v>
      </c>
      <c r="D21552" s="69" t="s">
        <v>29420</v>
      </c>
      <c r="E21552" s="51"/>
      <c r="F21552" s="114" t="str">
        <f>IF(INDEX(I.Facility.P4IDNumber,1540)="","",INDEX(I.Facility.P4IDNumber,1540))</f>
        <v/>
      </c>
      <c r="G21552" s="51"/>
      <c r="H21552" s="46" t="str">
        <f>IF(AND(I.Developer.P4=TRUE,I.Facility.P4FacilityCount&gt;=1540,F21552=""),"Incomplete","Complete")</f>
        <v>Complete</v>
      </c>
      <c r="I21552" s="48" t="s">
        <v>25917</v>
      </c>
    </row>
    <row r="21553" spans="2:9" ht="15" customHeight="1" x14ac:dyDescent="0.25">
      <c r="B21553" s="55" t="s">
        <v>283</v>
      </c>
      <c r="C21553" s="46">
        <v>1541</v>
      </c>
      <c r="D21553" s="69" t="s">
        <v>29420</v>
      </c>
      <c r="E21553" s="51"/>
      <c r="F21553" s="114" t="str">
        <f>IF(INDEX(I.Facility.P4IDNumber,1541)="","",INDEX(I.Facility.P4IDNumber,1541))</f>
        <v/>
      </c>
      <c r="G21553" s="51"/>
      <c r="H21553" s="46" t="str">
        <f>IF(AND(I.Developer.P4=TRUE,I.Facility.P4FacilityCount&gt;=1541,F21553=""),"Incomplete","Complete")</f>
        <v>Complete</v>
      </c>
      <c r="I21553" s="48" t="s">
        <v>25918</v>
      </c>
    </row>
    <row r="21554" spans="2:9" ht="15" customHeight="1" x14ac:dyDescent="0.25">
      <c r="B21554" s="55" t="s">
        <v>283</v>
      </c>
      <c r="C21554" s="46">
        <v>1542</v>
      </c>
      <c r="D21554" s="69" t="s">
        <v>29420</v>
      </c>
      <c r="E21554" s="51"/>
      <c r="F21554" s="114" t="str">
        <f>IF(INDEX(I.Facility.P4IDNumber,1542)="","",INDEX(I.Facility.P4IDNumber,1542))</f>
        <v/>
      </c>
      <c r="G21554" s="51"/>
      <c r="H21554" s="46" t="str">
        <f>IF(AND(I.Developer.P4=TRUE,I.Facility.P4FacilityCount&gt;=1542,F21554=""),"Incomplete","Complete")</f>
        <v>Complete</v>
      </c>
      <c r="I21554" s="48" t="s">
        <v>25919</v>
      </c>
    </row>
    <row r="21555" spans="2:9" ht="15" customHeight="1" x14ac:dyDescent="0.25">
      <c r="B21555" s="55" t="s">
        <v>283</v>
      </c>
      <c r="C21555" s="46">
        <v>1543</v>
      </c>
      <c r="D21555" s="69" t="s">
        <v>29420</v>
      </c>
      <c r="E21555" s="51"/>
      <c r="F21555" s="114" t="str">
        <f>IF(INDEX(I.Facility.P4IDNumber,1543)="","",INDEX(I.Facility.P4IDNumber,1543))</f>
        <v/>
      </c>
      <c r="G21555" s="51"/>
      <c r="H21555" s="46" t="str">
        <f>IF(AND(I.Developer.P4=TRUE,I.Facility.P4FacilityCount&gt;=1543,F21555=""),"Incomplete","Complete")</f>
        <v>Complete</v>
      </c>
      <c r="I21555" s="48" t="s">
        <v>25920</v>
      </c>
    </row>
    <row r="21556" spans="2:9" ht="15" customHeight="1" x14ac:dyDescent="0.25">
      <c r="B21556" s="55" t="s">
        <v>283</v>
      </c>
      <c r="C21556" s="46">
        <v>1544</v>
      </c>
      <c r="D21556" s="69" t="s">
        <v>29420</v>
      </c>
      <c r="E21556" s="51"/>
      <c r="F21556" s="114" t="str">
        <f>IF(INDEX(I.Facility.P4IDNumber,1544)="","",INDEX(I.Facility.P4IDNumber,1544))</f>
        <v/>
      </c>
      <c r="G21556" s="51"/>
      <c r="H21556" s="46" t="str">
        <f>IF(AND(I.Developer.P4=TRUE,I.Facility.P4FacilityCount&gt;=1544,F21556=""),"Incomplete","Complete")</f>
        <v>Complete</v>
      </c>
      <c r="I21556" s="48" t="s">
        <v>25921</v>
      </c>
    </row>
    <row r="21557" spans="2:9" ht="15" customHeight="1" x14ac:dyDescent="0.25">
      <c r="B21557" s="55" t="s">
        <v>283</v>
      </c>
      <c r="C21557" s="46">
        <v>1545</v>
      </c>
      <c r="D21557" s="69" t="s">
        <v>29420</v>
      </c>
      <c r="E21557" s="51"/>
      <c r="F21557" s="114" t="str">
        <f>IF(INDEX(I.Facility.P4IDNumber,1545)="","",INDEX(I.Facility.P4IDNumber,1545))</f>
        <v/>
      </c>
      <c r="G21557" s="51"/>
      <c r="H21557" s="46" t="str">
        <f>IF(AND(I.Developer.P4=TRUE,I.Facility.P4FacilityCount&gt;=1545,F21557=""),"Incomplete","Complete")</f>
        <v>Complete</v>
      </c>
      <c r="I21557" s="48" t="s">
        <v>25922</v>
      </c>
    </row>
    <row r="21558" spans="2:9" ht="15" customHeight="1" x14ac:dyDescent="0.25">
      <c r="B21558" s="55" t="s">
        <v>283</v>
      </c>
      <c r="C21558" s="46">
        <v>1546</v>
      </c>
      <c r="D21558" s="69" t="s">
        <v>29420</v>
      </c>
      <c r="E21558" s="51"/>
      <c r="F21558" s="114" t="str">
        <f>IF(INDEX(I.Facility.P4IDNumber,1546)="","",INDEX(I.Facility.P4IDNumber,1546))</f>
        <v/>
      </c>
      <c r="G21558" s="51"/>
      <c r="H21558" s="46" t="str">
        <f>IF(AND(I.Developer.P4=TRUE,I.Facility.P4FacilityCount&gt;=1546,F21558=""),"Incomplete","Complete")</f>
        <v>Complete</v>
      </c>
      <c r="I21558" s="48" t="s">
        <v>25923</v>
      </c>
    </row>
    <row r="21559" spans="2:9" ht="15" customHeight="1" x14ac:dyDescent="0.25">
      <c r="B21559" s="55" t="s">
        <v>283</v>
      </c>
      <c r="C21559" s="46">
        <v>1547</v>
      </c>
      <c r="D21559" s="69" t="s">
        <v>29420</v>
      </c>
      <c r="E21559" s="51"/>
      <c r="F21559" s="114" t="str">
        <f>IF(INDEX(I.Facility.P4IDNumber,1547)="","",INDEX(I.Facility.P4IDNumber,1547))</f>
        <v/>
      </c>
      <c r="G21559" s="51"/>
      <c r="H21559" s="46" t="str">
        <f>IF(AND(I.Developer.P4=TRUE,I.Facility.P4FacilityCount&gt;=1547,F21559=""),"Incomplete","Complete")</f>
        <v>Complete</v>
      </c>
      <c r="I21559" s="48" t="s">
        <v>25924</v>
      </c>
    </row>
    <row r="21560" spans="2:9" ht="15" customHeight="1" x14ac:dyDescent="0.25">
      <c r="B21560" s="55" t="s">
        <v>283</v>
      </c>
      <c r="C21560" s="46">
        <v>1548</v>
      </c>
      <c r="D21560" s="69" t="s">
        <v>29420</v>
      </c>
      <c r="E21560" s="51"/>
      <c r="F21560" s="114" t="str">
        <f>IF(INDEX(I.Facility.P4IDNumber,1548)="","",INDEX(I.Facility.P4IDNumber,1548))</f>
        <v/>
      </c>
      <c r="G21560" s="51"/>
      <c r="H21560" s="46" t="str">
        <f>IF(AND(I.Developer.P4=TRUE,I.Facility.P4FacilityCount&gt;=1548,F21560=""),"Incomplete","Complete")</f>
        <v>Complete</v>
      </c>
      <c r="I21560" s="48" t="s">
        <v>25925</v>
      </c>
    </row>
    <row r="21561" spans="2:9" ht="15" customHeight="1" x14ac:dyDescent="0.25">
      <c r="B21561" s="55" t="s">
        <v>283</v>
      </c>
      <c r="C21561" s="46">
        <v>1549</v>
      </c>
      <c r="D21561" s="69" t="s">
        <v>29420</v>
      </c>
      <c r="E21561" s="51"/>
      <c r="F21561" s="114" t="str">
        <f>IF(INDEX(I.Facility.P4IDNumber,1549)="","",INDEX(I.Facility.P4IDNumber,1549))</f>
        <v/>
      </c>
      <c r="G21561" s="51"/>
      <c r="H21561" s="46" t="str">
        <f>IF(AND(I.Developer.P4=TRUE,I.Facility.P4FacilityCount&gt;=1549,F21561=""),"Incomplete","Complete")</f>
        <v>Complete</v>
      </c>
      <c r="I21561" s="48" t="s">
        <v>25926</v>
      </c>
    </row>
    <row r="21562" spans="2:9" ht="15" customHeight="1" x14ac:dyDescent="0.25">
      <c r="B21562" s="55" t="s">
        <v>283</v>
      </c>
      <c r="C21562" s="46">
        <v>1550</v>
      </c>
      <c r="D21562" s="69" t="s">
        <v>29420</v>
      </c>
      <c r="E21562" s="51"/>
      <c r="F21562" s="114" t="str">
        <f>IF(INDEX(I.Facility.P4IDNumber,1550)="","",INDEX(I.Facility.P4IDNumber,1550))</f>
        <v/>
      </c>
      <c r="G21562" s="51"/>
      <c r="H21562" s="46" t="str">
        <f>IF(AND(I.Developer.P4=TRUE,I.Facility.P4FacilityCount&gt;=1550,F21562=""),"Incomplete","Complete")</f>
        <v>Complete</v>
      </c>
      <c r="I21562" s="48" t="s">
        <v>25927</v>
      </c>
    </row>
    <row r="21563" spans="2:9" ht="15" customHeight="1" x14ac:dyDescent="0.25">
      <c r="B21563" s="55" t="s">
        <v>283</v>
      </c>
      <c r="C21563" s="46">
        <v>1551</v>
      </c>
      <c r="D21563" s="69" t="s">
        <v>29420</v>
      </c>
      <c r="E21563" s="51"/>
      <c r="F21563" s="114" t="str">
        <f>IF(INDEX(I.Facility.P4IDNumber,1551)="","",INDEX(I.Facility.P4IDNumber,1551))</f>
        <v/>
      </c>
      <c r="G21563" s="51"/>
      <c r="H21563" s="46" t="str">
        <f>IF(AND(I.Developer.P4=TRUE,I.Facility.P4FacilityCount&gt;=1551,F21563=""),"Incomplete","Complete")</f>
        <v>Complete</v>
      </c>
      <c r="I21563" s="48" t="s">
        <v>25928</v>
      </c>
    </row>
    <row r="21564" spans="2:9" ht="15" customHeight="1" x14ac:dyDescent="0.25">
      <c r="B21564" s="55" t="s">
        <v>283</v>
      </c>
      <c r="C21564" s="46">
        <v>1552</v>
      </c>
      <c r="D21564" s="69" t="s">
        <v>29420</v>
      </c>
      <c r="E21564" s="51"/>
      <c r="F21564" s="114" t="str">
        <f>IF(INDEX(I.Facility.P4IDNumber,1552)="","",INDEX(I.Facility.P4IDNumber,1552))</f>
        <v/>
      </c>
      <c r="G21564" s="51"/>
      <c r="H21564" s="46" t="str">
        <f>IF(AND(I.Developer.P4=TRUE,I.Facility.P4FacilityCount&gt;=1552,F21564=""),"Incomplete","Complete")</f>
        <v>Complete</v>
      </c>
      <c r="I21564" s="48" t="s">
        <v>25929</v>
      </c>
    </row>
    <row r="21565" spans="2:9" ht="15" customHeight="1" x14ac:dyDescent="0.25">
      <c r="B21565" s="55" t="s">
        <v>283</v>
      </c>
      <c r="C21565" s="46">
        <v>1553</v>
      </c>
      <c r="D21565" s="69" t="s">
        <v>29420</v>
      </c>
      <c r="E21565" s="51"/>
      <c r="F21565" s="114" t="str">
        <f>IF(INDEX(I.Facility.P4IDNumber,1553)="","",INDEX(I.Facility.P4IDNumber,1553))</f>
        <v/>
      </c>
      <c r="G21565" s="51"/>
      <c r="H21565" s="46" t="str">
        <f>IF(AND(I.Developer.P4=TRUE,I.Facility.P4FacilityCount&gt;=1553,F21565=""),"Incomplete","Complete")</f>
        <v>Complete</v>
      </c>
      <c r="I21565" s="48" t="s">
        <v>25930</v>
      </c>
    </row>
    <row r="21566" spans="2:9" ht="15" customHeight="1" x14ac:dyDescent="0.25">
      <c r="B21566" s="55" t="s">
        <v>283</v>
      </c>
      <c r="C21566" s="46">
        <v>1554</v>
      </c>
      <c r="D21566" s="69" t="s">
        <v>29420</v>
      </c>
      <c r="E21566" s="51"/>
      <c r="F21566" s="114" t="str">
        <f>IF(INDEX(I.Facility.P4IDNumber,1554)="","",INDEX(I.Facility.P4IDNumber,1554))</f>
        <v/>
      </c>
      <c r="G21566" s="51"/>
      <c r="H21566" s="46" t="str">
        <f>IF(AND(I.Developer.P4=TRUE,I.Facility.P4FacilityCount&gt;=1554,F21566=""),"Incomplete","Complete")</f>
        <v>Complete</v>
      </c>
      <c r="I21566" s="48" t="s">
        <v>25931</v>
      </c>
    </row>
    <row r="21567" spans="2:9" ht="15" customHeight="1" x14ac:dyDescent="0.25">
      <c r="B21567" s="55" t="s">
        <v>283</v>
      </c>
      <c r="C21567" s="46">
        <v>1555</v>
      </c>
      <c r="D21567" s="69" t="s">
        <v>29420</v>
      </c>
      <c r="E21567" s="51"/>
      <c r="F21567" s="114" t="str">
        <f>IF(INDEX(I.Facility.P4IDNumber,1555)="","",INDEX(I.Facility.P4IDNumber,1555))</f>
        <v/>
      </c>
      <c r="G21567" s="51"/>
      <c r="H21567" s="46" t="str">
        <f>IF(AND(I.Developer.P4=TRUE,I.Facility.P4FacilityCount&gt;=1555,F21567=""),"Incomplete","Complete")</f>
        <v>Complete</v>
      </c>
      <c r="I21567" s="48" t="s">
        <v>25932</v>
      </c>
    </row>
    <row r="21568" spans="2:9" ht="15" customHeight="1" x14ac:dyDescent="0.25">
      <c r="B21568" s="55" t="s">
        <v>283</v>
      </c>
      <c r="C21568" s="46">
        <v>1556</v>
      </c>
      <c r="D21568" s="69" t="s">
        <v>29420</v>
      </c>
      <c r="E21568" s="51"/>
      <c r="F21568" s="114" t="str">
        <f>IF(INDEX(I.Facility.P4IDNumber,1556)="","",INDEX(I.Facility.P4IDNumber,1556))</f>
        <v/>
      </c>
      <c r="G21568" s="51"/>
      <c r="H21568" s="46" t="str">
        <f>IF(AND(I.Developer.P4=TRUE,I.Facility.P4FacilityCount&gt;=1556,F21568=""),"Incomplete","Complete")</f>
        <v>Complete</v>
      </c>
      <c r="I21568" s="48" t="s">
        <v>25933</v>
      </c>
    </row>
    <row r="21569" spans="2:9" ht="15" customHeight="1" x14ac:dyDescent="0.25">
      <c r="B21569" s="55" t="s">
        <v>283</v>
      </c>
      <c r="C21569" s="46">
        <v>1557</v>
      </c>
      <c r="D21569" s="69" t="s">
        <v>29420</v>
      </c>
      <c r="E21569" s="51"/>
      <c r="F21569" s="114" t="str">
        <f>IF(INDEX(I.Facility.P4IDNumber,1557)="","",INDEX(I.Facility.P4IDNumber,1557))</f>
        <v/>
      </c>
      <c r="G21569" s="51"/>
      <c r="H21569" s="46" t="str">
        <f>IF(AND(I.Developer.P4=TRUE,I.Facility.P4FacilityCount&gt;=1557,F21569=""),"Incomplete","Complete")</f>
        <v>Complete</v>
      </c>
      <c r="I21569" s="48" t="s">
        <v>25934</v>
      </c>
    </row>
    <row r="21570" spans="2:9" ht="15" customHeight="1" x14ac:dyDescent="0.25">
      <c r="B21570" s="55" t="s">
        <v>283</v>
      </c>
      <c r="C21570" s="46">
        <v>1558</v>
      </c>
      <c r="D21570" s="69" t="s">
        <v>29420</v>
      </c>
      <c r="E21570" s="51"/>
      <c r="F21570" s="114" t="str">
        <f>IF(INDEX(I.Facility.P4IDNumber,1558)="","",INDEX(I.Facility.P4IDNumber,1558))</f>
        <v/>
      </c>
      <c r="G21570" s="51"/>
      <c r="H21570" s="46" t="str">
        <f>IF(AND(I.Developer.P4=TRUE,I.Facility.P4FacilityCount&gt;=1558,F21570=""),"Incomplete","Complete")</f>
        <v>Complete</v>
      </c>
      <c r="I21570" s="48" t="s">
        <v>25935</v>
      </c>
    </row>
    <row r="21571" spans="2:9" ht="15" customHeight="1" x14ac:dyDescent="0.25">
      <c r="B21571" s="55" t="s">
        <v>283</v>
      </c>
      <c r="C21571" s="46">
        <v>1559</v>
      </c>
      <c r="D21571" s="69" t="s">
        <v>29420</v>
      </c>
      <c r="E21571" s="51"/>
      <c r="F21571" s="114" t="str">
        <f>IF(INDEX(I.Facility.P4IDNumber,1559)="","",INDEX(I.Facility.P4IDNumber,1559))</f>
        <v/>
      </c>
      <c r="G21571" s="51"/>
      <c r="H21571" s="46" t="str">
        <f>IF(AND(I.Developer.P4=TRUE,I.Facility.P4FacilityCount&gt;=1559,F21571=""),"Incomplete","Complete")</f>
        <v>Complete</v>
      </c>
      <c r="I21571" s="48" t="s">
        <v>25936</v>
      </c>
    </row>
    <row r="21572" spans="2:9" ht="15" customHeight="1" x14ac:dyDescent="0.25">
      <c r="B21572" s="55" t="s">
        <v>283</v>
      </c>
      <c r="C21572" s="46">
        <v>1560</v>
      </c>
      <c r="D21572" s="69" t="s">
        <v>29420</v>
      </c>
      <c r="E21572" s="51"/>
      <c r="F21572" s="114" t="str">
        <f>IF(INDEX(I.Facility.P4IDNumber,1560)="","",INDEX(I.Facility.P4IDNumber,1560))</f>
        <v/>
      </c>
      <c r="G21572" s="51"/>
      <c r="H21572" s="46" t="str">
        <f>IF(AND(I.Developer.P4=TRUE,I.Facility.P4FacilityCount&gt;=1560,F21572=""),"Incomplete","Complete")</f>
        <v>Complete</v>
      </c>
      <c r="I21572" s="48" t="s">
        <v>25937</v>
      </c>
    </row>
    <row r="21573" spans="2:9" ht="15" customHeight="1" x14ac:dyDescent="0.25">
      <c r="B21573" s="55" t="s">
        <v>283</v>
      </c>
      <c r="C21573" s="46">
        <v>1561</v>
      </c>
      <c r="D21573" s="69" t="s">
        <v>29420</v>
      </c>
      <c r="E21573" s="51"/>
      <c r="F21573" s="114" t="str">
        <f>IF(INDEX(I.Facility.P4IDNumber,1561)="","",INDEX(I.Facility.P4IDNumber,1561))</f>
        <v/>
      </c>
      <c r="G21573" s="51"/>
      <c r="H21573" s="46" t="str">
        <f>IF(AND(I.Developer.P4=TRUE,I.Facility.P4FacilityCount&gt;=1561,F21573=""),"Incomplete","Complete")</f>
        <v>Complete</v>
      </c>
      <c r="I21573" s="48" t="s">
        <v>25938</v>
      </c>
    </row>
    <row r="21574" spans="2:9" ht="15" customHeight="1" x14ac:dyDescent="0.25">
      <c r="B21574" s="55" t="s">
        <v>283</v>
      </c>
      <c r="C21574" s="46">
        <v>1562</v>
      </c>
      <c r="D21574" s="69" t="s">
        <v>29420</v>
      </c>
      <c r="E21574" s="51"/>
      <c r="F21574" s="114" t="str">
        <f>IF(INDEX(I.Facility.P4IDNumber,1562)="","",INDEX(I.Facility.P4IDNumber,1562))</f>
        <v/>
      </c>
      <c r="G21574" s="51"/>
      <c r="H21574" s="46" t="str">
        <f>IF(AND(I.Developer.P4=TRUE,I.Facility.P4FacilityCount&gt;=1562,F21574=""),"Incomplete","Complete")</f>
        <v>Complete</v>
      </c>
      <c r="I21574" s="48" t="s">
        <v>25939</v>
      </c>
    </row>
    <row r="21575" spans="2:9" ht="15" customHeight="1" x14ac:dyDescent="0.25">
      <c r="B21575" s="55" t="s">
        <v>283</v>
      </c>
      <c r="C21575" s="46">
        <v>1563</v>
      </c>
      <c r="D21575" s="69" t="s">
        <v>29420</v>
      </c>
      <c r="E21575" s="51"/>
      <c r="F21575" s="114" t="str">
        <f>IF(INDEX(I.Facility.P4IDNumber,1563)="","",INDEX(I.Facility.P4IDNumber,1563))</f>
        <v/>
      </c>
      <c r="G21575" s="51"/>
      <c r="H21575" s="46" t="str">
        <f>IF(AND(I.Developer.P4=TRUE,I.Facility.P4FacilityCount&gt;=1563,F21575=""),"Incomplete","Complete")</f>
        <v>Complete</v>
      </c>
      <c r="I21575" s="48" t="s">
        <v>25940</v>
      </c>
    </row>
    <row r="21576" spans="2:9" ht="15" customHeight="1" x14ac:dyDescent="0.25">
      <c r="B21576" s="55" t="s">
        <v>283</v>
      </c>
      <c r="C21576" s="46">
        <v>1564</v>
      </c>
      <c r="D21576" s="69" t="s">
        <v>29420</v>
      </c>
      <c r="E21576" s="51"/>
      <c r="F21576" s="114" t="str">
        <f>IF(INDEX(I.Facility.P4IDNumber,1564)="","",INDEX(I.Facility.P4IDNumber,1564))</f>
        <v/>
      </c>
      <c r="G21576" s="51"/>
      <c r="H21576" s="46" t="str">
        <f>IF(AND(I.Developer.P4=TRUE,I.Facility.P4FacilityCount&gt;=1564,F21576=""),"Incomplete","Complete")</f>
        <v>Complete</v>
      </c>
      <c r="I21576" s="48" t="s">
        <v>25941</v>
      </c>
    </row>
    <row r="21577" spans="2:9" ht="15" customHeight="1" x14ac:dyDescent="0.25">
      <c r="B21577" s="55" t="s">
        <v>283</v>
      </c>
      <c r="C21577" s="46">
        <v>1565</v>
      </c>
      <c r="D21577" s="69" t="s">
        <v>29420</v>
      </c>
      <c r="E21577" s="51"/>
      <c r="F21577" s="114" t="str">
        <f>IF(INDEX(I.Facility.P4IDNumber,1565)="","",INDEX(I.Facility.P4IDNumber,1565))</f>
        <v/>
      </c>
      <c r="G21577" s="51"/>
      <c r="H21577" s="46" t="str">
        <f>IF(AND(I.Developer.P4=TRUE,I.Facility.P4FacilityCount&gt;=1565,F21577=""),"Incomplete","Complete")</f>
        <v>Complete</v>
      </c>
      <c r="I21577" s="48" t="s">
        <v>25942</v>
      </c>
    </row>
    <row r="21578" spans="2:9" ht="15" customHeight="1" x14ac:dyDescent="0.25">
      <c r="B21578" s="55" t="s">
        <v>283</v>
      </c>
      <c r="C21578" s="46">
        <v>1566</v>
      </c>
      <c r="D21578" s="69" t="s">
        <v>29420</v>
      </c>
      <c r="E21578" s="51"/>
      <c r="F21578" s="114" t="str">
        <f>IF(INDEX(I.Facility.P4IDNumber,1566)="","",INDEX(I.Facility.P4IDNumber,1566))</f>
        <v/>
      </c>
      <c r="G21578" s="51"/>
      <c r="H21578" s="46" t="str">
        <f>IF(AND(I.Developer.P4=TRUE,I.Facility.P4FacilityCount&gt;=1566,F21578=""),"Incomplete","Complete")</f>
        <v>Complete</v>
      </c>
      <c r="I21578" s="48" t="s">
        <v>25943</v>
      </c>
    </row>
    <row r="21579" spans="2:9" ht="15" customHeight="1" x14ac:dyDescent="0.25">
      <c r="B21579" s="55" t="s">
        <v>283</v>
      </c>
      <c r="C21579" s="46">
        <v>1567</v>
      </c>
      <c r="D21579" s="69" t="s">
        <v>29420</v>
      </c>
      <c r="E21579" s="51"/>
      <c r="F21579" s="114" t="str">
        <f>IF(INDEX(I.Facility.P4IDNumber,1567)="","",INDEX(I.Facility.P4IDNumber,1567))</f>
        <v/>
      </c>
      <c r="G21579" s="51"/>
      <c r="H21579" s="46" t="str">
        <f>IF(AND(I.Developer.P4=TRUE,I.Facility.P4FacilityCount&gt;=1567,F21579=""),"Incomplete","Complete")</f>
        <v>Complete</v>
      </c>
      <c r="I21579" s="48" t="s">
        <v>25944</v>
      </c>
    </row>
    <row r="21580" spans="2:9" ht="15" customHeight="1" x14ac:dyDescent="0.25">
      <c r="B21580" s="55" t="s">
        <v>283</v>
      </c>
      <c r="C21580" s="46">
        <v>1568</v>
      </c>
      <c r="D21580" s="69" t="s">
        <v>29420</v>
      </c>
      <c r="E21580" s="51"/>
      <c r="F21580" s="114" t="str">
        <f>IF(INDEX(I.Facility.P4IDNumber,1568)="","",INDEX(I.Facility.P4IDNumber,1568))</f>
        <v/>
      </c>
      <c r="G21580" s="51"/>
      <c r="H21580" s="46" t="str">
        <f>IF(AND(I.Developer.P4=TRUE,I.Facility.P4FacilityCount&gt;=1568,F21580=""),"Incomplete","Complete")</f>
        <v>Complete</v>
      </c>
      <c r="I21580" s="48" t="s">
        <v>25945</v>
      </c>
    </row>
    <row r="21581" spans="2:9" ht="15" customHeight="1" x14ac:dyDescent="0.25">
      <c r="B21581" s="55" t="s">
        <v>283</v>
      </c>
      <c r="C21581" s="46">
        <v>1569</v>
      </c>
      <c r="D21581" s="69" t="s">
        <v>29420</v>
      </c>
      <c r="E21581" s="51"/>
      <c r="F21581" s="114" t="str">
        <f>IF(INDEX(I.Facility.P4IDNumber,1569)="","",INDEX(I.Facility.P4IDNumber,1569))</f>
        <v/>
      </c>
      <c r="G21581" s="51"/>
      <c r="H21581" s="46" t="str">
        <f>IF(AND(I.Developer.P4=TRUE,I.Facility.P4FacilityCount&gt;=1569,F21581=""),"Incomplete","Complete")</f>
        <v>Complete</v>
      </c>
      <c r="I21581" s="48" t="s">
        <v>25946</v>
      </c>
    </row>
    <row r="21582" spans="2:9" ht="15" customHeight="1" x14ac:dyDescent="0.25">
      <c r="B21582" s="55" t="s">
        <v>283</v>
      </c>
      <c r="C21582" s="46">
        <v>1570</v>
      </c>
      <c r="D21582" s="69" t="s">
        <v>29420</v>
      </c>
      <c r="E21582" s="51"/>
      <c r="F21582" s="114" t="str">
        <f>IF(INDEX(I.Facility.P4IDNumber,1570)="","",INDEX(I.Facility.P4IDNumber,1570))</f>
        <v/>
      </c>
      <c r="G21582" s="51"/>
      <c r="H21582" s="46" t="str">
        <f>IF(AND(I.Developer.P4=TRUE,I.Facility.P4FacilityCount&gt;=1570,F21582=""),"Incomplete","Complete")</f>
        <v>Complete</v>
      </c>
      <c r="I21582" s="48" t="s">
        <v>25947</v>
      </c>
    </row>
    <row r="21583" spans="2:9" ht="15" customHeight="1" x14ac:dyDescent="0.25">
      <c r="B21583" s="55" t="s">
        <v>283</v>
      </c>
      <c r="C21583" s="46">
        <v>1571</v>
      </c>
      <c r="D21583" s="69" t="s">
        <v>29420</v>
      </c>
      <c r="E21583" s="51"/>
      <c r="F21583" s="114" t="str">
        <f>IF(INDEX(I.Facility.P4IDNumber,1571)="","",INDEX(I.Facility.P4IDNumber,1571))</f>
        <v/>
      </c>
      <c r="G21583" s="51"/>
      <c r="H21583" s="46" t="str">
        <f>IF(AND(I.Developer.P4=TRUE,I.Facility.P4FacilityCount&gt;=1571,F21583=""),"Incomplete","Complete")</f>
        <v>Complete</v>
      </c>
      <c r="I21583" s="48" t="s">
        <v>25948</v>
      </c>
    </row>
    <row r="21584" spans="2:9" ht="15" customHeight="1" x14ac:dyDescent="0.25">
      <c r="B21584" s="55" t="s">
        <v>283</v>
      </c>
      <c r="C21584" s="46">
        <v>1572</v>
      </c>
      <c r="D21584" s="69" t="s">
        <v>29420</v>
      </c>
      <c r="E21584" s="51"/>
      <c r="F21584" s="114" t="str">
        <f>IF(INDEX(I.Facility.P4IDNumber,1572)="","",INDEX(I.Facility.P4IDNumber,1572))</f>
        <v/>
      </c>
      <c r="G21584" s="51"/>
      <c r="H21584" s="46" t="str">
        <f>IF(AND(I.Developer.P4=TRUE,I.Facility.P4FacilityCount&gt;=1572,F21584=""),"Incomplete","Complete")</f>
        <v>Complete</v>
      </c>
      <c r="I21584" s="48" t="s">
        <v>25949</v>
      </c>
    </row>
    <row r="21585" spans="2:9" ht="15" customHeight="1" x14ac:dyDescent="0.25">
      <c r="B21585" s="55" t="s">
        <v>283</v>
      </c>
      <c r="C21585" s="46">
        <v>1573</v>
      </c>
      <c r="D21585" s="69" t="s">
        <v>29420</v>
      </c>
      <c r="E21585" s="51"/>
      <c r="F21585" s="114" t="str">
        <f>IF(INDEX(I.Facility.P4IDNumber,1573)="","",INDEX(I.Facility.P4IDNumber,1573))</f>
        <v/>
      </c>
      <c r="G21585" s="51"/>
      <c r="H21585" s="46" t="str">
        <f>IF(AND(I.Developer.P4=TRUE,I.Facility.P4FacilityCount&gt;=1573,F21585=""),"Incomplete","Complete")</f>
        <v>Complete</v>
      </c>
      <c r="I21585" s="48" t="s">
        <v>25950</v>
      </c>
    </row>
    <row r="21586" spans="2:9" ht="15" customHeight="1" x14ac:dyDescent="0.25">
      <c r="B21586" s="55" t="s">
        <v>283</v>
      </c>
      <c r="C21586" s="46">
        <v>1574</v>
      </c>
      <c r="D21586" s="69" t="s">
        <v>29420</v>
      </c>
      <c r="E21586" s="51"/>
      <c r="F21586" s="114" t="str">
        <f>IF(INDEX(I.Facility.P4IDNumber,1574)="","",INDEX(I.Facility.P4IDNumber,1574))</f>
        <v/>
      </c>
      <c r="G21586" s="51"/>
      <c r="H21586" s="46" t="str">
        <f>IF(AND(I.Developer.P4=TRUE,I.Facility.P4FacilityCount&gt;=1574,F21586=""),"Incomplete","Complete")</f>
        <v>Complete</v>
      </c>
      <c r="I21586" s="48" t="s">
        <v>25951</v>
      </c>
    </row>
    <row r="21587" spans="2:9" ht="15" customHeight="1" x14ac:dyDescent="0.25">
      <c r="B21587" s="55" t="s">
        <v>283</v>
      </c>
      <c r="C21587" s="46">
        <v>1575</v>
      </c>
      <c r="D21587" s="69" t="s">
        <v>29420</v>
      </c>
      <c r="E21587" s="51"/>
      <c r="F21587" s="114" t="str">
        <f>IF(INDEX(I.Facility.P4IDNumber,1575)="","",INDEX(I.Facility.P4IDNumber,1575))</f>
        <v/>
      </c>
      <c r="G21587" s="51"/>
      <c r="H21587" s="46" t="str">
        <f>IF(AND(I.Developer.P4=TRUE,I.Facility.P4FacilityCount&gt;=1575,F21587=""),"Incomplete","Complete")</f>
        <v>Complete</v>
      </c>
      <c r="I21587" s="48" t="s">
        <v>25952</v>
      </c>
    </row>
    <row r="21588" spans="2:9" ht="15" customHeight="1" x14ac:dyDescent="0.25">
      <c r="B21588" s="55" t="s">
        <v>283</v>
      </c>
      <c r="C21588" s="46">
        <v>1576</v>
      </c>
      <c r="D21588" s="69" t="s">
        <v>29420</v>
      </c>
      <c r="E21588" s="51"/>
      <c r="F21588" s="114" t="str">
        <f>IF(INDEX(I.Facility.P4IDNumber,1576)="","",INDEX(I.Facility.P4IDNumber,1576))</f>
        <v/>
      </c>
      <c r="G21588" s="51"/>
      <c r="H21588" s="46" t="str">
        <f>IF(AND(I.Developer.P4=TRUE,I.Facility.P4FacilityCount&gt;=1576,F21588=""),"Incomplete","Complete")</f>
        <v>Complete</v>
      </c>
      <c r="I21588" s="48" t="s">
        <v>25953</v>
      </c>
    </row>
    <row r="21589" spans="2:9" ht="15" customHeight="1" x14ac:dyDescent="0.25">
      <c r="B21589" s="55" t="s">
        <v>283</v>
      </c>
      <c r="C21589" s="46">
        <v>1577</v>
      </c>
      <c r="D21589" s="69" t="s">
        <v>29420</v>
      </c>
      <c r="E21589" s="51"/>
      <c r="F21589" s="114" t="str">
        <f>IF(INDEX(I.Facility.P4IDNumber,1577)="","",INDEX(I.Facility.P4IDNumber,1577))</f>
        <v/>
      </c>
      <c r="G21589" s="51"/>
      <c r="H21589" s="46" t="str">
        <f>IF(AND(I.Developer.P4=TRUE,I.Facility.P4FacilityCount&gt;=1577,F21589=""),"Incomplete","Complete")</f>
        <v>Complete</v>
      </c>
      <c r="I21589" s="48" t="s">
        <v>25954</v>
      </c>
    </row>
    <row r="21590" spans="2:9" ht="15" customHeight="1" x14ac:dyDescent="0.25">
      <c r="B21590" s="55" t="s">
        <v>283</v>
      </c>
      <c r="C21590" s="46">
        <v>1578</v>
      </c>
      <c r="D21590" s="69" t="s">
        <v>29420</v>
      </c>
      <c r="E21590" s="51"/>
      <c r="F21590" s="114" t="str">
        <f>IF(INDEX(I.Facility.P4IDNumber,1578)="","",INDEX(I.Facility.P4IDNumber,1578))</f>
        <v/>
      </c>
      <c r="G21590" s="51"/>
      <c r="H21590" s="46" t="str">
        <f>IF(AND(I.Developer.P4=TRUE,I.Facility.P4FacilityCount&gt;=1578,F21590=""),"Incomplete","Complete")</f>
        <v>Complete</v>
      </c>
      <c r="I21590" s="48" t="s">
        <v>25955</v>
      </c>
    </row>
    <row r="21591" spans="2:9" ht="15" customHeight="1" x14ac:dyDescent="0.25">
      <c r="B21591" s="55" t="s">
        <v>283</v>
      </c>
      <c r="C21591" s="46">
        <v>1579</v>
      </c>
      <c r="D21591" s="69" t="s">
        <v>29420</v>
      </c>
      <c r="E21591" s="51"/>
      <c r="F21591" s="114" t="str">
        <f>IF(INDEX(I.Facility.P4IDNumber,1579)="","",INDEX(I.Facility.P4IDNumber,1579))</f>
        <v/>
      </c>
      <c r="G21591" s="51"/>
      <c r="H21591" s="46" t="str">
        <f>IF(AND(I.Developer.P4=TRUE,I.Facility.P4FacilityCount&gt;=1579,F21591=""),"Incomplete","Complete")</f>
        <v>Complete</v>
      </c>
      <c r="I21591" s="48" t="s">
        <v>25956</v>
      </c>
    </row>
    <row r="21592" spans="2:9" ht="15" customHeight="1" x14ac:dyDescent="0.25">
      <c r="B21592" s="55" t="s">
        <v>283</v>
      </c>
      <c r="C21592" s="46">
        <v>1580</v>
      </c>
      <c r="D21592" s="69" t="s">
        <v>29420</v>
      </c>
      <c r="E21592" s="51"/>
      <c r="F21592" s="114" t="str">
        <f>IF(INDEX(I.Facility.P4IDNumber,1580)="","",INDEX(I.Facility.P4IDNumber,1580))</f>
        <v/>
      </c>
      <c r="G21592" s="51"/>
      <c r="H21592" s="46" t="str">
        <f>IF(AND(I.Developer.P4=TRUE,I.Facility.P4FacilityCount&gt;=1580,F21592=""),"Incomplete","Complete")</f>
        <v>Complete</v>
      </c>
      <c r="I21592" s="48" t="s">
        <v>25957</v>
      </c>
    </row>
    <row r="21593" spans="2:9" ht="15" customHeight="1" x14ac:dyDescent="0.25">
      <c r="B21593" s="55" t="s">
        <v>283</v>
      </c>
      <c r="C21593" s="46">
        <v>1581</v>
      </c>
      <c r="D21593" s="69" t="s">
        <v>29420</v>
      </c>
      <c r="E21593" s="51"/>
      <c r="F21593" s="114" t="str">
        <f>IF(INDEX(I.Facility.P4IDNumber,1581)="","",INDEX(I.Facility.P4IDNumber,1581))</f>
        <v/>
      </c>
      <c r="G21593" s="51"/>
      <c r="H21593" s="46" t="str">
        <f>IF(AND(I.Developer.P4=TRUE,I.Facility.P4FacilityCount&gt;=1581,F21593=""),"Incomplete","Complete")</f>
        <v>Complete</v>
      </c>
      <c r="I21593" s="48" t="s">
        <v>25958</v>
      </c>
    </row>
    <row r="21594" spans="2:9" ht="15" customHeight="1" x14ac:dyDescent="0.25">
      <c r="B21594" s="55" t="s">
        <v>283</v>
      </c>
      <c r="C21594" s="46">
        <v>1582</v>
      </c>
      <c r="D21594" s="69" t="s">
        <v>29420</v>
      </c>
      <c r="E21594" s="51"/>
      <c r="F21594" s="114" t="str">
        <f>IF(INDEX(I.Facility.P4IDNumber,1582)="","",INDEX(I.Facility.P4IDNumber,1582))</f>
        <v/>
      </c>
      <c r="G21594" s="51"/>
      <c r="H21594" s="46" t="str">
        <f>IF(AND(I.Developer.P4=TRUE,I.Facility.P4FacilityCount&gt;=1582,F21594=""),"Incomplete","Complete")</f>
        <v>Complete</v>
      </c>
      <c r="I21594" s="48" t="s">
        <v>25959</v>
      </c>
    </row>
    <row r="21595" spans="2:9" ht="15" customHeight="1" x14ac:dyDescent="0.25">
      <c r="B21595" s="55" t="s">
        <v>283</v>
      </c>
      <c r="C21595" s="46">
        <v>1583</v>
      </c>
      <c r="D21595" s="69" t="s">
        <v>29420</v>
      </c>
      <c r="E21595" s="51"/>
      <c r="F21595" s="114" t="str">
        <f>IF(INDEX(I.Facility.P4IDNumber,1583)="","",INDEX(I.Facility.P4IDNumber,1583))</f>
        <v/>
      </c>
      <c r="G21595" s="51"/>
      <c r="H21595" s="46" t="str">
        <f>IF(AND(I.Developer.P4=TRUE,I.Facility.P4FacilityCount&gt;=1583,F21595=""),"Incomplete","Complete")</f>
        <v>Complete</v>
      </c>
      <c r="I21595" s="48" t="s">
        <v>25960</v>
      </c>
    </row>
    <row r="21596" spans="2:9" ht="15" customHeight="1" x14ac:dyDescent="0.25">
      <c r="B21596" s="55" t="s">
        <v>283</v>
      </c>
      <c r="C21596" s="46">
        <v>1584</v>
      </c>
      <c r="D21596" s="69" t="s">
        <v>29420</v>
      </c>
      <c r="E21596" s="51"/>
      <c r="F21596" s="114" t="str">
        <f>IF(INDEX(I.Facility.P4IDNumber,1584)="","",INDEX(I.Facility.P4IDNumber,1584))</f>
        <v/>
      </c>
      <c r="G21596" s="51"/>
      <c r="H21596" s="46" t="str">
        <f>IF(AND(I.Developer.P4=TRUE,I.Facility.P4FacilityCount&gt;=1584,F21596=""),"Incomplete","Complete")</f>
        <v>Complete</v>
      </c>
      <c r="I21596" s="48" t="s">
        <v>25961</v>
      </c>
    </row>
    <row r="21597" spans="2:9" ht="15" customHeight="1" x14ac:dyDescent="0.25">
      <c r="B21597" s="55" t="s">
        <v>283</v>
      </c>
      <c r="C21597" s="46">
        <v>1585</v>
      </c>
      <c r="D21597" s="69" t="s">
        <v>29420</v>
      </c>
      <c r="E21597" s="51"/>
      <c r="F21597" s="114" t="str">
        <f>IF(INDEX(I.Facility.P4IDNumber,1585)="","",INDEX(I.Facility.P4IDNumber,1585))</f>
        <v/>
      </c>
      <c r="G21597" s="51"/>
      <c r="H21597" s="46" t="str">
        <f>IF(AND(I.Developer.P4=TRUE,I.Facility.P4FacilityCount&gt;=1585,F21597=""),"Incomplete","Complete")</f>
        <v>Complete</v>
      </c>
      <c r="I21597" s="48" t="s">
        <v>25962</v>
      </c>
    </row>
    <row r="21598" spans="2:9" ht="15" customHeight="1" x14ac:dyDescent="0.25">
      <c r="B21598" s="55" t="s">
        <v>283</v>
      </c>
      <c r="C21598" s="46">
        <v>1586</v>
      </c>
      <c r="D21598" s="69" t="s">
        <v>29420</v>
      </c>
      <c r="E21598" s="51"/>
      <c r="F21598" s="114" t="str">
        <f>IF(INDEX(I.Facility.P4IDNumber,1586)="","",INDEX(I.Facility.P4IDNumber,1586))</f>
        <v/>
      </c>
      <c r="G21598" s="51"/>
      <c r="H21598" s="46" t="str">
        <f>IF(AND(I.Developer.P4=TRUE,I.Facility.P4FacilityCount&gt;=1586,F21598=""),"Incomplete","Complete")</f>
        <v>Complete</v>
      </c>
      <c r="I21598" s="48" t="s">
        <v>25963</v>
      </c>
    </row>
    <row r="21599" spans="2:9" ht="15" customHeight="1" x14ac:dyDescent="0.25">
      <c r="B21599" s="55" t="s">
        <v>283</v>
      </c>
      <c r="C21599" s="46">
        <v>1587</v>
      </c>
      <c r="D21599" s="69" t="s">
        <v>29420</v>
      </c>
      <c r="E21599" s="51"/>
      <c r="F21599" s="114" t="str">
        <f>IF(INDEX(I.Facility.P4IDNumber,1587)="","",INDEX(I.Facility.P4IDNumber,1587))</f>
        <v/>
      </c>
      <c r="G21599" s="51"/>
      <c r="H21599" s="46" t="str">
        <f>IF(AND(I.Developer.P4=TRUE,I.Facility.P4FacilityCount&gt;=1587,F21599=""),"Incomplete","Complete")</f>
        <v>Complete</v>
      </c>
      <c r="I21599" s="48" t="s">
        <v>25964</v>
      </c>
    </row>
    <row r="21600" spans="2:9" ht="15" customHeight="1" x14ac:dyDescent="0.25">
      <c r="B21600" s="55" t="s">
        <v>283</v>
      </c>
      <c r="C21600" s="46">
        <v>1588</v>
      </c>
      <c r="D21600" s="69" t="s">
        <v>29420</v>
      </c>
      <c r="E21600" s="51"/>
      <c r="F21600" s="114" t="str">
        <f>IF(INDEX(I.Facility.P4IDNumber,1588)="","",INDEX(I.Facility.P4IDNumber,1588))</f>
        <v/>
      </c>
      <c r="G21600" s="51"/>
      <c r="H21600" s="46" t="str">
        <f>IF(AND(I.Developer.P4=TRUE,I.Facility.P4FacilityCount&gt;=1588,F21600=""),"Incomplete","Complete")</f>
        <v>Complete</v>
      </c>
      <c r="I21600" s="48" t="s">
        <v>25965</v>
      </c>
    </row>
    <row r="21601" spans="2:9" ht="15" customHeight="1" x14ac:dyDescent="0.25">
      <c r="B21601" s="55" t="s">
        <v>283</v>
      </c>
      <c r="C21601" s="46">
        <v>1589</v>
      </c>
      <c r="D21601" s="69" t="s">
        <v>29420</v>
      </c>
      <c r="E21601" s="51"/>
      <c r="F21601" s="114" t="str">
        <f>IF(INDEX(I.Facility.P4IDNumber,1589)="","",INDEX(I.Facility.P4IDNumber,1589))</f>
        <v/>
      </c>
      <c r="G21601" s="51"/>
      <c r="H21601" s="46" t="str">
        <f>IF(AND(I.Developer.P4=TRUE,I.Facility.P4FacilityCount&gt;=1589,F21601=""),"Incomplete","Complete")</f>
        <v>Complete</v>
      </c>
      <c r="I21601" s="48" t="s">
        <v>25966</v>
      </c>
    </row>
    <row r="21602" spans="2:9" ht="15" customHeight="1" x14ac:dyDescent="0.25">
      <c r="B21602" s="55" t="s">
        <v>283</v>
      </c>
      <c r="C21602" s="46">
        <v>1590</v>
      </c>
      <c r="D21602" s="69" t="s">
        <v>29420</v>
      </c>
      <c r="E21602" s="51"/>
      <c r="F21602" s="114" t="str">
        <f>IF(INDEX(I.Facility.P4IDNumber,1590)="","",INDEX(I.Facility.P4IDNumber,1590))</f>
        <v/>
      </c>
      <c r="G21602" s="51"/>
      <c r="H21602" s="46" t="str">
        <f>IF(AND(I.Developer.P4=TRUE,I.Facility.P4FacilityCount&gt;=1590,F21602=""),"Incomplete","Complete")</f>
        <v>Complete</v>
      </c>
      <c r="I21602" s="48" t="s">
        <v>25967</v>
      </c>
    </row>
    <row r="21603" spans="2:9" ht="15" customHeight="1" x14ac:dyDescent="0.25">
      <c r="B21603" s="55" t="s">
        <v>283</v>
      </c>
      <c r="C21603" s="46">
        <v>1591</v>
      </c>
      <c r="D21603" s="69" t="s">
        <v>29420</v>
      </c>
      <c r="E21603" s="51"/>
      <c r="F21603" s="114" t="str">
        <f>IF(INDEX(I.Facility.P4IDNumber,1591)="","",INDEX(I.Facility.P4IDNumber,1591))</f>
        <v/>
      </c>
      <c r="G21603" s="51"/>
      <c r="H21603" s="46" t="str">
        <f>IF(AND(I.Developer.P4=TRUE,I.Facility.P4FacilityCount&gt;=1591,F21603=""),"Incomplete","Complete")</f>
        <v>Complete</v>
      </c>
      <c r="I21603" s="48" t="s">
        <v>25968</v>
      </c>
    </row>
    <row r="21604" spans="2:9" ht="15" customHeight="1" x14ac:dyDescent="0.25">
      <c r="B21604" s="55" t="s">
        <v>283</v>
      </c>
      <c r="C21604" s="46">
        <v>1592</v>
      </c>
      <c r="D21604" s="69" t="s">
        <v>29420</v>
      </c>
      <c r="E21604" s="51"/>
      <c r="F21604" s="114" t="str">
        <f>IF(INDEX(I.Facility.P4IDNumber,1592)="","",INDEX(I.Facility.P4IDNumber,1592))</f>
        <v/>
      </c>
      <c r="G21604" s="51"/>
      <c r="H21604" s="46" t="str">
        <f>IF(AND(I.Developer.P4=TRUE,I.Facility.P4FacilityCount&gt;=1592,F21604=""),"Incomplete","Complete")</f>
        <v>Complete</v>
      </c>
      <c r="I21604" s="48" t="s">
        <v>25969</v>
      </c>
    </row>
    <row r="21605" spans="2:9" ht="15" customHeight="1" x14ac:dyDescent="0.25">
      <c r="B21605" s="55" t="s">
        <v>283</v>
      </c>
      <c r="C21605" s="46">
        <v>1593</v>
      </c>
      <c r="D21605" s="69" t="s">
        <v>29420</v>
      </c>
      <c r="E21605" s="51"/>
      <c r="F21605" s="114" t="str">
        <f>IF(INDEX(I.Facility.P4IDNumber,1593)="","",INDEX(I.Facility.P4IDNumber,1593))</f>
        <v/>
      </c>
      <c r="G21605" s="51"/>
      <c r="H21605" s="46" t="str">
        <f>IF(AND(I.Developer.P4=TRUE,I.Facility.P4FacilityCount&gt;=1593,F21605=""),"Incomplete","Complete")</f>
        <v>Complete</v>
      </c>
      <c r="I21605" s="48" t="s">
        <v>25970</v>
      </c>
    </row>
    <row r="21606" spans="2:9" ht="15" customHeight="1" x14ac:dyDescent="0.25">
      <c r="B21606" s="55" t="s">
        <v>283</v>
      </c>
      <c r="C21606" s="46">
        <v>1594</v>
      </c>
      <c r="D21606" s="69" t="s">
        <v>29420</v>
      </c>
      <c r="E21606" s="51"/>
      <c r="F21606" s="114" t="str">
        <f>IF(INDEX(I.Facility.P4IDNumber,1594)="","",INDEX(I.Facility.P4IDNumber,1594))</f>
        <v/>
      </c>
      <c r="G21606" s="51"/>
      <c r="H21606" s="46" t="str">
        <f>IF(AND(I.Developer.P4=TRUE,I.Facility.P4FacilityCount&gt;=1594,F21606=""),"Incomplete","Complete")</f>
        <v>Complete</v>
      </c>
      <c r="I21606" s="48" t="s">
        <v>25971</v>
      </c>
    </row>
    <row r="21607" spans="2:9" ht="15" customHeight="1" x14ac:dyDescent="0.25">
      <c r="B21607" s="55" t="s">
        <v>283</v>
      </c>
      <c r="C21607" s="46">
        <v>1595</v>
      </c>
      <c r="D21607" s="69" t="s">
        <v>29420</v>
      </c>
      <c r="E21607" s="51"/>
      <c r="F21607" s="114" t="str">
        <f>IF(INDEX(I.Facility.P4IDNumber,1595)="","",INDEX(I.Facility.P4IDNumber,1595))</f>
        <v/>
      </c>
      <c r="G21607" s="51"/>
      <c r="H21607" s="46" t="str">
        <f>IF(AND(I.Developer.P4=TRUE,I.Facility.P4FacilityCount&gt;=1595,F21607=""),"Incomplete","Complete")</f>
        <v>Complete</v>
      </c>
      <c r="I21607" s="48" t="s">
        <v>25972</v>
      </c>
    </row>
    <row r="21608" spans="2:9" ht="15" customHeight="1" x14ac:dyDescent="0.25">
      <c r="B21608" s="55" t="s">
        <v>283</v>
      </c>
      <c r="C21608" s="46">
        <v>1596</v>
      </c>
      <c r="D21608" s="69" t="s">
        <v>29420</v>
      </c>
      <c r="E21608" s="51"/>
      <c r="F21608" s="114" t="str">
        <f>IF(INDEX(I.Facility.P4IDNumber,1596)="","",INDEX(I.Facility.P4IDNumber,1596))</f>
        <v/>
      </c>
      <c r="G21608" s="51"/>
      <c r="H21608" s="46" t="str">
        <f>IF(AND(I.Developer.P4=TRUE,I.Facility.P4FacilityCount&gt;=1596,F21608=""),"Incomplete","Complete")</f>
        <v>Complete</v>
      </c>
      <c r="I21608" s="48" t="s">
        <v>25973</v>
      </c>
    </row>
    <row r="21609" spans="2:9" ht="15" customHeight="1" x14ac:dyDescent="0.25">
      <c r="B21609" s="55" t="s">
        <v>283</v>
      </c>
      <c r="C21609" s="46">
        <v>1597</v>
      </c>
      <c r="D21609" s="69" t="s">
        <v>29420</v>
      </c>
      <c r="E21609" s="51"/>
      <c r="F21609" s="114" t="str">
        <f>IF(INDEX(I.Facility.P4IDNumber,1597)="","",INDEX(I.Facility.P4IDNumber,1597))</f>
        <v/>
      </c>
      <c r="G21609" s="51"/>
      <c r="H21609" s="46" t="str">
        <f>IF(AND(I.Developer.P4=TRUE,I.Facility.P4FacilityCount&gt;=1597,F21609=""),"Incomplete","Complete")</f>
        <v>Complete</v>
      </c>
      <c r="I21609" s="48" t="s">
        <v>25974</v>
      </c>
    </row>
    <row r="21610" spans="2:9" ht="15" customHeight="1" x14ac:dyDescent="0.25">
      <c r="B21610" s="55" t="s">
        <v>283</v>
      </c>
      <c r="C21610" s="46">
        <v>1598</v>
      </c>
      <c r="D21610" s="69" t="s">
        <v>29420</v>
      </c>
      <c r="E21610" s="51"/>
      <c r="F21610" s="114" t="str">
        <f>IF(INDEX(I.Facility.P4IDNumber,1598)="","",INDEX(I.Facility.P4IDNumber,1598))</f>
        <v/>
      </c>
      <c r="G21610" s="51"/>
      <c r="H21610" s="46" t="str">
        <f>IF(AND(I.Developer.P4=TRUE,I.Facility.P4FacilityCount&gt;=1598,F21610=""),"Incomplete","Complete")</f>
        <v>Complete</v>
      </c>
      <c r="I21610" s="48" t="s">
        <v>25975</v>
      </c>
    </row>
    <row r="21611" spans="2:9" ht="15" customHeight="1" x14ac:dyDescent="0.25">
      <c r="B21611" s="55" t="s">
        <v>283</v>
      </c>
      <c r="C21611" s="46">
        <v>1599</v>
      </c>
      <c r="D21611" s="69" t="s">
        <v>29420</v>
      </c>
      <c r="E21611" s="51"/>
      <c r="F21611" s="114" t="str">
        <f>IF(INDEX(I.Facility.P4IDNumber,1599)="","",INDEX(I.Facility.P4IDNumber,1599))</f>
        <v/>
      </c>
      <c r="G21611" s="51"/>
      <c r="H21611" s="46" t="str">
        <f>IF(AND(I.Developer.P4=TRUE,I.Facility.P4FacilityCount&gt;=1599,F21611=""),"Incomplete","Complete")</f>
        <v>Complete</v>
      </c>
      <c r="I21611" s="48" t="s">
        <v>25976</v>
      </c>
    </row>
    <row r="21612" spans="2:9" ht="15" customHeight="1" x14ac:dyDescent="0.25">
      <c r="B21612" s="55" t="s">
        <v>283</v>
      </c>
      <c r="C21612" s="46">
        <v>1600</v>
      </c>
      <c r="D21612" s="69" t="s">
        <v>29420</v>
      </c>
      <c r="E21612" s="51"/>
      <c r="F21612" s="114" t="str">
        <f>IF(INDEX(I.Facility.P4IDNumber,1600)="","",INDEX(I.Facility.P4IDNumber,1600))</f>
        <v/>
      </c>
      <c r="G21612" s="51"/>
      <c r="H21612" s="46" t="str">
        <f>IF(AND(I.Developer.P4=TRUE,I.Facility.P4FacilityCount&gt;=1600,F21612=""),"Incomplete","Complete")</f>
        <v>Complete</v>
      </c>
      <c r="I21612" s="48" t="s">
        <v>25977</v>
      </c>
    </row>
    <row r="21613" spans="2:9" ht="15" customHeight="1" x14ac:dyDescent="0.25">
      <c r="B21613" s="55" t="s">
        <v>283</v>
      </c>
      <c r="C21613" s="46">
        <v>1601</v>
      </c>
      <c r="D21613" s="69" t="s">
        <v>29420</v>
      </c>
      <c r="E21613" s="51"/>
      <c r="F21613" s="114" t="str">
        <f>IF(INDEX(I.Facility.P4IDNumber,1601)="","",INDEX(I.Facility.P4IDNumber,1601))</f>
        <v/>
      </c>
      <c r="G21613" s="51"/>
      <c r="H21613" s="46" t="str">
        <f>IF(AND(I.Developer.P4=TRUE,I.Facility.P4FacilityCount&gt;=1601,F21613=""),"Incomplete","Complete")</f>
        <v>Complete</v>
      </c>
      <c r="I21613" s="48" t="s">
        <v>25978</v>
      </c>
    </row>
    <row r="21614" spans="2:9" ht="15" customHeight="1" x14ac:dyDescent="0.25">
      <c r="B21614" s="55" t="s">
        <v>283</v>
      </c>
      <c r="C21614" s="46">
        <v>1602</v>
      </c>
      <c r="D21614" s="69" t="s">
        <v>29420</v>
      </c>
      <c r="E21614" s="51"/>
      <c r="F21614" s="114" t="str">
        <f>IF(INDEX(I.Facility.P4IDNumber,1602)="","",INDEX(I.Facility.P4IDNumber,1602))</f>
        <v/>
      </c>
      <c r="G21614" s="51"/>
      <c r="H21614" s="46" t="str">
        <f>IF(AND(I.Developer.P4=TRUE,I.Facility.P4FacilityCount&gt;=1602,F21614=""),"Incomplete","Complete")</f>
        <v>Complete</v>
      </c>
      <c r="I21614" s="48" t="s">
        <v>25979</v>
      </c>
    </row>
    <row r="21615" spans="2:9" ht="15" customHeight="1" x14ac:dyDescent="0.25">
      <c r="B21615" s="55" t="s">
        <v>283</v>
      </c>
      <c r="C21615" s="46">
        <v>1603</v>
      </c>
      <c r="D21615" s="69" t="s">
        <v>29420</v>
      </c>
      <c r="E21615" s="51"/>
      <c r="F21615" s="114" t="str">
        <f>IF(INDEX(I.Facility.P4IDNumber,1603)="","",INDEX(I.Facility.P4IDNumber,1603))</f>
        <v/>
      </c>
      <c r="G21615" s="51"/>
      <c r="H21615" s="46" t="str">
        <f>IF(AND(I.Developer.P4=TRUE,I.Facility.P4FacilityCount&gt;=1603,F21615=""),"Incomplete","Complete")</f>
        <v>Complete</v>
      </c>
      <c r="I21615" s="48" t="s">
        <v>25980</v>
      </c>
    </row>
    <row r="21616" spans="2:9" ht="15" customHeight="1" x14ac:dyDescent="0.25">
      <c r="B21616" s="55" t="s">
        <v>283</v>
      </c>
      <c r="C21616" s="46">
        <v>1604</v>
      </c>
      <c r="D21616" s="69" t="s">
        <v>29420</v>
      </c>
      <c r="E21616" s="51"/>
      <c r="F21616" s="114" t="str">
        <f>IF(INDEX(I.Facility.P4IDNumber,1604)="","",INDEX(I.Facility.P4IDNumber,1604))</f>
        <v/>
      </c>
      <c r="G21616" s="51"/>
      <c r="H21616" s="46" t="str">
        <f>IF(AND(I.Developer.P4=TRUE,I.Facility.P4FacilityCount&gt;=1604,F21616=""),"Incomplete","Complete")</f>
        <v>Complete</v>
      </c>
      <c r="I21616" s="48" t="s">
        <v>25981</v>
      </c>
    </row>
    <row r="21617" spans="2:9" ht="15" customHeight="1" x14ac:dyDescent="0.25">
      <c r="B21617" s="55" t="s">
        <v>283</v>
      </c>
      <c r="C21617" s="46">
        <v>1605</v>
      </c>
      <c r="D21617" s="69" t="s">
        <v>29420</v>
      </c>
      <c r="E21617" s="51"/>
      <c r="F21617" s="114" t="str">
        <f>IF(INDEX(I.Facility.P4IDNumber,1605)="","",INDEX(I.Facility.P4IDNumber,1605))</f>
        <v/>
      </c>
      <c r="G21617" s="51"/>
      <c r="H21617" s="46" t="str">
        <f>IF(AND(I.Developer.P4=TRUE,I.Facility.P4FacilityCount&gt;=1605,F21617=""),"Incomplete","Complete")</f>
        <v>Complete</v>
      </c>
      <c r="I21617" s="48" t="s">
        <v>25982</v>
      </c>
    </row>
    <row r="21618" spans="2:9" ht="15" customHeight="1" x14ac:dyDescent="0.25">
      <c r="B21618" s="55" t="s">
        <v>283</v>
      </c>
      <c r="C21618" s="46">
        <v>1606</v>
      </c>
      <c r="D21618" s="69" t="s">
        <v>29420</v>
      </c>
      <c r="E21618" s="51"/>
      <c r="F21618" s="114" t="str">
        <f>IF(INDEX(I.Facility.P4IDNumber,1606)="","",INDEX(I.Facility.P4IDNumber,1606))</f>
        <v/>
      </c>
      <c r="G21618" s="51"/>
      <c r="H21618" s="46" t="str">
        <f>IF(AND(I.Developer.P4=TRUE,I.Facility.P4FacilityCount&gt;=1606,F21618=""),"Incomplete","Complete")</f>
        <v>Complete</v>
      </c>
      <c r="I21618" s="48" t="s">
        <v>25983</v>
      </c>
    </row>
    <row r="21619" spans="2:9" ht="15" customHeight="1" x14ac:dyDescent="0.25">
      <c r="B21619" s="55" t="s">
        <v>283</v>
      </c>
      <c r="C21619" s="46">
        <v>1607</v>
      </c>
      <c r="D21619" s="69" t="s">
        <v>29420</v>
      </c>
      <c r="E21619" s="51"/>
      <c r="F21619" s="114" t="str">
        <f>IF(INDEX(I.Facility.P4IDNumber,1607)="","",INDEX(I.Facility.P4IDNumber,1607))</f>
        <v/>
      </c>
      <c r="G21619" s="51"/>
      <c r="H21619" s="46" t="str">
        <f>IF(AND(I.Developer.P4=TRUE,I.Facility.P4FacilityCount&gt;=1607,F21619=""),"Incomplete","Complete")</f>
        <v>Complete</v>
      </c>
      <c r="I21619" s="48" t="s">
        <v>25984</v>
      </c>
    </row>
    <row r="21620" spans="2:9" ht="15" customHeight="1" x14ac:dyDescent="0.25">
      <c r="B21620" s="55" t="s">
        <v>283</v>
      </c>
      <c r="C21620" s="46">
        <v>1608</v>
      </c>
      <c r="D21620" s="69" t="s">
        <v>29420</v>
      </c>
      <c r="E21620" s="51"/>
      <c r="F21620" s="114" t="str">
        <f>IF(INDEX(I.Facility.P4IDNumber,1608)="","",INDEX(I.Facility.P4IDNumber,1608))</f>
        <v/>
      </c>
      <c r="G21620" s="51"/>
      <c r="H21620" s="46" t="str">
        <f>IF(AND(I.Developer.P4=TRUE,I.Facility.P4FacilityCount&gt;=1608,F21620=""),"Incomplete","Complete")</f>
        <v>Complete</v>
      </c>
      <c r="I21620" s="48" t="s">
        <v>25985</v>
      </c>
    </row>
    <row r="21621" spans="2:9" ht="15" customHeight="1" x14ac:dyDescent="0.25">
      <c r="B21621" s="55" t="s">
        <v>283</v>
      </c>
      <c r="C21621" s="46">
        <v>1609</v>
      </c>
      <c r="D21621" s="69" t="s">
        <v>29420</v>
      </c>
      <c r="E21621" s="51"/>
      <c r="F21621" s="114" t="str">
        <f>IF(INDEX(I.Facility.P4IDNumber,1609)="","",INDEX(I.Facility.P4IDNumber,1609))</f>
        <v/>
      </c>
      <c r="G21621" s="51"/>
      <c r="H21621" s="46" t="str">
        <f>IF(AND(I.Developer.P4=TRUE,I.Facility.P4FacilityCount&gt;=1609,F21621=""),"Incomplete","Complete")</f>
        <v>Complete</v>
      </c>
      <c r="I21621" s="48" t="s">
        <v>25986</v>
      </c>
    </row>
    <row r="21622" spans="2:9" ht="15" customHeight="1" x14ac:dyDescent="0.25">
      <c r="B21622" s="55" t="s">
        <v>283</v>
      </c>
      <c r="C21622" s="46">
        <v>1610</v>
      </c>
      <c r="D21622" s="69" t="s">
        <v>29420</v>
      </c>
      <c r="E21622" s="51"/>
      <c r="F21622" s="114" t="str">
        <f>IF(INDEX(I.Facility.P4IDNumber,1610)="","",INDEX(I.Facility.P4IDNumber,1610))</f>
        <v/>
      </c>
      <c r="G21622" s="51"/>
      <c r="H21622" s="46" t="str">
        <f>IF(AND(I.Developer.P4=TRUE,I.Facility.P4FacilityCount&gt;=1610,F21622=""),"Incomplete","Complete")</f>
        <v>Complete</v>
      </c>
      <c r="I21622" s="48" t="s">
        <v>25987</v>
      </c>
    </row>
    <row r="21623" spans="2:9" ht="15" customHeight="1" x14ac:dyDescent="0.25">
      <c r="B21623" s="55" t="s">
        <v>283</v>
      </c>
      <c r="C21623" s="46">
        <v>1611</v>
      </c>
      <c r="D21623" s="69" t="s">
        <v>29420</v>
      </c>
      <c r="E21623" s="51"/>
      <c r="F21623" s="114" t="str">
        <f>IF(INDEX(I.Facility.P4IDNumber,1611)="","",INDEX(I.Facility.P4IDNumber,1611))</f>
        <v/>
      </c>
      <c r="G21623" s="51"/>
      <c r="H21623" s="46" t="str">
        <f>IF(AND(I.Developer.P4=TRUE,I.Facility.P4FacilityCount&gt;=1611,F21623=""),"Incomplete","Complete")</f>
        <v>Complete</v>
      </c>
      <c r="I21623" s="48" t="s">
        <v>25988</v>
      </c>
    </row>
    <row r="21624" spans="2:9" ht="15" customHeight="1" x14ac:dyDescent="0.25">
      <c r="B21624" s="55" t="s">
        <v>283</v>
      </c>
      <c r="C21624" s="46">
        <v>1612</v>
      </c>
      <c r="D21624" s="69" t="s">
        <v>29420</v>
      </c>
      <c r="E21624" s="51"/>
      <c r="F21624" s="114" t="str">
        <f>IF(INDEX(I.Facility.P4IDNumber,1612)="","",INDEX(I.Facility.P4IDNumber,1612))</f>
        <v/>
      </c>
      <c r="G21624" s="51"/>
      <c r="H21624" s="46" t="str">
        <f>IF(AND(I.Developer.P4=TRUE,I.Facility.P4FacilityCount&gt;=1612,F21624=""),"Incomplete","Complete")</f>
        <v>Complete</v>
      </c>
      <c r="I21624" s="48" t="s">
        <v>25989</v>
      </c>
    </row>
    <row r="21625" spans="2:9" ht="15" customHeight="1" x14ac:dyDescent="0.25">
      <c r="B21625" s="55" t="s">
        <v>283</v>
      </c>
      <c r="C21625" s="46">
        <v>1613</v>
      </c>
      <c r="D21625" s="69" t="s">
        <v>29420</v>
      </c>
      <c r="E21625" s="51"/>
      <c r="F21625" s="114" t="str">
        <f>IF(INDEX(I.Facility.P4IDNumber,1613)="","",INDEX(I.Facility.P4IDNumber,1613))</f>
        <v/>
      </c>
      <c r="G21625" s="51"/>
      <c r="H21625" s="46" t="str">
        <f>IF(AND(I.Developer.P4=TRUE,I.Facility.P4FacilityCount&gt;=1613,F21625=""),"Incomplete","Complete")</f>
        <v>Complete</v>
      </c>
      <c r="I21625" s="48" t="s">
        <v>25990</v>
      </c>
    </row>
    <row r="21626" spans="2:9" ht="15" customHeight="1" x14ac:dyDescent="0.25">
      <c r="B21626" s="55" t="s">
        <v>283</v>
      </c>
      <c r="C21626" s="46">
        <v>1614</v>
      </c>
      <c r="D21626" s="69" t="s">
        <v>29420</v>
      </c>
      <c r="E21626" s="51"/>
      <c r="F21626" s="114" t="str">
        <f>IF(INDEX(I.Facility.P4IDNumber,1614)="","",INDEX(I.Facility.P4IDNumber,1614))</f>
        <v/>
      </c>
      <c r="G21626" s="51"/>
      <c r="H21626" s="46" t="str">
        <f>IF(AND(I.Developer.P4=TRUE,I.Facility.P4FacilityCount&gt;=1614,F21626=""),"Incomplete","Complete")</f>
        <v>Complete</v>
      </c>
      <c r="I21626" s="48" t="s">
        <v>25991</v>
      </c>
    </row>
    <row r="21627" spans="2:9" ht="15" customHeight="1" x14ac:dyDescent="0.25">
      <c r="B21627" s="55" t="s">
        <v>283</v>
      </c>
      <c r="C21627" s="46">
        <v>1615</v>
      </c>
      <c r="D21627" s="69" t="s">
        <v>29420</v>
      </c>
      <c r="E21627" s="51"/>
      <c r="F21627" s="114" t="str">
        <f>IF(INDEX(I.Facility.P4IDNumber,1615)="","",INDEX(I.Facility.P4IDNumber,1615))</f>
        <v/>
      </c>
      <c r="G21627" s="51"/>
      <c r="H21627" s="46" t="str">
        <f>IF(AND(I.Developer.P4=TRUE,I.Facility.P4FacilityCount&gt;=1615,F21627=""),"Incomplete","Complete")</f>
        <v>Complete</v>
      </c>
      <c r="I21627" s="48" t="s">
        <v>25992</v>
      </c>
    </row>
    <row r="21628" spans="2:9" ht="15" customHeight="1" x14ac:dyDescent="0.25">
      <c r="B21628" s="55" t="s">
        <v>283</v>
      </c>
      <c r="C21628" s="46">
        <v>1616</v>
      </c>
      <c r="D21628" s="69" t="s">
        <v>29420</v>
      </c>
      <c r="E21628" s="51"/>
      <c r="F21628" s="114" t="str">
        <f>IF(INDEX(I.Facility.P4IDNumber,1616)="","",INDEX(I.Facility.P4IDNumber,1616))</f>
        <v/>
      </c>
      <c r="G21628" s="51"/>
      <c r="H21628" s="46" t="str">
        <f>IF(AND(I.Developer.P4=TRUE,I.Facility.P4FacilityCount&gt;=1616,F21628=""),"Incomplete","Complete")</f>
        <v>Complete</v>
      </c>
      <c r="I21628" s="48" t="s">
        <v>25993</v>
      </c>
    </row>
    <row r="21629" spans="2:9" ht="15" customHeight="1" x14ac:dyDescent="0.25">
      <c r="B21629" s="55" t="s">
        <v>283</v>
      </c>
      <c r="C21629" s="46">
        <v>1617</v>
      </c>
      <c r="D21629" s="69" t="s">
        <v>29420</v>
      </c>
      <c r="E21629" s="51"/>
      <c r="F21629" s="114" t="str">
        <f>IF(INDEX(I.Facility.P4IDNumber,1617)="","",INDEX(I.Facility.P4IDNumber,1617))</f>
        <v/>
      </c>
      <c r="G21629" s="51"/>
      <c r="H21629" s="46" t="str">
        <f>IF(AND(I.Developer.P4=TRUE,I.Facility.P4FacilityCount&gt;=1617,F21629=""),"Incomplete","Complete")</f>
        <v>Complete</v>
      </c>
      <c r="I21629" s="48" t="s">
        <v>25994</v>
      </c>
    </row>
    <row r="21630" spans="2:9" ht="15" customHeight="1" x14ac:dyDescent="0.25">
      <c r="B21630" s="55" t="s">
        <v>283</v>
      </c>
      <c r="C21630" s="46">
        <v>1618</v>
      </c>
      <c r="D21630" s="69" t="s">
        <v>29420</v>
      </c>
      <c r="E21630" s="51"/>
      <c r="F21630" s="114" t="str">
        <f>IF(INDEX(I.Facility.P4IDNumber,1618)="","",INDEX(I.Facility.P4IDNumber,1618))</f>
        <v/>
      </c>
      <c r="G21630" s="51"/>
      <c r="H21630" s="46" t="str">
        <f>IF(AND(I.Developer.P4=TRUE,I.Facility.P4FacilityCount&gt;=1618,F21630=""),"Incomplete","Complete")</f>
        <v>Complete</v>
      </c>
      <c r="I21630" s="48" t="s">
        <v>25995</v>
      </c>
    </row>
    <row r="21631" spans="2:9" ht="15" customHeight="1" x14ac:dyDescent="0.25">
      <c r="B21631" s="55" t="s">
        <v>283</v>
      </c>
      <c r="C21631" s="46">
        <v>1619</v>
      </c>
      <c r="D21631" s="69" t="s">
        <v>29420</v>
      </c>
      <c r="E21631" s="51"/>
      <c r="F21631" s="114" t="str">
        <f>IF(INDEX(I.Facility.P4IDNumber,1619)="","",INDEX(I.Facility.P4IDNumber,1619))</f>
        <v/>
      </c>
      <c r="G21631" s="51"/>
      <c r="H21631" s="46" t="str">
        <f>IF(AND(I.Developer.P4=TRUE,I.Facility.P4FacilityCount&gt;=1619,F21631=""),"Incomplete","Complete")</f>
        <v>Complete</v>
      </c>
      <c r="I21631" s="48" t="s">
        <v>25996</v>
      </c>
    </row>
    <row r="21632" spans="2:9" ht="15" customHeight="1" x14ac:dyDescent="0.25">
      <c r="B21632" s="55" t="s">
        <v>283</v>
      </c>
      <c r="C21632" s="46">
        <v>1620</v>
      </c>
      <c r="D21632" s="69" t="s">
        <v>29420</v>
      </c>
      <c r="E21632" s="51"/>
      <c r="F21632" s="114" t="str">
        <f>IF(INDEX(I.Facility.P4IDNumber,1620)="","",INDEX(I.Facility.P4IDNumber,1620))</f>
        <v/>
      </c>
      <c r="G21632" s="51"/>
      <c r="H21632" s="46" t="str">
        <f>IF(AND(I.Developer.P4=TRUE,I.Facility.P4FacilityCount&gt;=1620,F21632=""),"Incomplete","Complete")</f>
        <v>Complete</v>
      </c>
      <c r="I21632" s="48" t="s">
        <v>25997</v>
      </c>
    </row>
    <row r="21633" spans="2:9" ht="15" customHeight="1" x14ac:dyDescent="0.25">
      <c r="B21633" s="55" t="s">
        <v>283</v>
      </c>
      <c r="C21633" s="46">
        <v>1621</v>
      </c>
      <c r="D21633" s="69" t="s">
        <v>29420</v>
      </c>
      <c r="E21633" s="51"/>
      <c r="F21633" s="114" t="str">
        <f>IF(INDEX(I.Facility.P4IDNumber,1621)="","",INDEX(I.Facility.P4IDNumber,1621))</f>
        <v/>
      </c>
      <c r="G21633" s="51"/>
      <c r="H21633" s="46" t="str">
        <f>IF(AND(I.Developer.P4=TRUE,I.Facility.P4FacilityCount&gt;=1621,F21633=""),"Incomplete","Complete")</f>
        <v>Complete</v>
      </c>
      <c r="I21633" s="48" t="s">
        <v>25998</v>
      </c>
    </row>
    <row r="21634" spans="2:9" ht="15" customHeight="1" x14ac:dyDescent="0.25">
      <c r="B21634" s="55" t="s">
        <v>283</v>
      </c>
      <c r="C21634" s="46">
        <v>1622</v>
      </c>
      <c r="D21634" s="69" t="s">
        <v>29420</v>
      </c>
      <c r="E21634" s="51"/>
      <c r="F21634" s="114" t="str">
        <f>IF(INDEX(I.Facility.P4IDNumber,1622)="","",INDEX(I.Facility.P4IDNumber,1622))</f>
        <v/>
      </c>
      <c r="G21634" s="51"/>
      <c r="H21634" s="46" t="str">
        <f>IF(AND(I.Developer.P4=TRUE,I.Facility.P4FacilityCount&gt;=1622,F21634=""),"Incomplete","Complete")</f>
        <v>Complete</v>
      </c>
      <c r="I21634" s="48" t="s">
        <v>25999</v>
      </c>
    </row>
    <row r="21635" spans="2:9" ht="15" customHeight="1" x14ac:dyDescent="0.25">
      <c r="B21635" s="55" t="s">
        <v>283</v>
      </c>
      <c r="C21635" s="46">
        <v>1623</v>
      </c>
      <c r="D21635" s="69" t="s">
        <v>29420</v>
      </c>
      <c r="E21635" s="51"/>
      <c r="F21635" s="114" t="str">
        <f>IF(INDEX(I.Facility.P4IDNumber,1623)="","",INDEX(I.Facility.P4IDNumber,1623))</f>
        <v/>
      </c>
      <c r="G21635" s="51"/>
      <c r="H21635" s="46" t="str">
        <f>IF(AND(I.Developer.P4=TRUE,I.Facility.P4FacilityCount&gt;=1623,F21635=""),"Incomplete","Complete")</f>
        <v>Complete</v>
      </c>
      <c r="I21635" s="48" t="s">
        <v>26000</v>
      </c>
    </row>
    <row r="21636" spans="2:9" ht="15" customHeight="1" x14ac:dyDescent="0.25">
      <c r="B21636" s="55" t="s">
        <v>283</v>
      </c>
      <c r="C21636" s="46">
        <v>1624</v>
      </c>
      <c r="D21636" s="69" t="s">
        <v>29420</v>
      </c>
      <c r="E21636" s="51"/>
      <c r="F21636" s="114" t="str">
        <f>IF(INDEX(I.Facility.P4IDNumber,1624)="","",INDEX(I.Facility.P4IDNumber,1624))</f>
        <v/>
      </c>
      <c r="G21636" s="51"/>
      <c r="H21636" s="46" t="str">
        <f>IF(AND(I.Developer.P4=TRUE,I.Facility.P4FacilityCount&gt;=1624,F21636=""),"Incomplete","Complete")</f>
        <v>Complete</v>
      </c>
      <c r="I21636" s="48" t="s">
        <v>26001</v>
      </c>
    </row>
    <row r="21637" spans="2:9" ht="15" customHeight="1" x14ac:dyDescent="0.25">
      <c r="B21637" s="55" t="s">
        <v>283</v>
      </c>
      <c r="C21637" s="46">
        <v>1625</v>
      </c>
      <c r="D21637" s="69" t="s">
        <v>29420</v>
      </c>
      <c r="E21637" s="51"/>
      <c r="F21637" s="114" t="str">
        <f>IF(INDEX(I.Facility.P4IDNumber,1625)="","",INDEX(I.Facility.P4IDNumber,1625))</f>
        <v/>
      </c>
      <c r="G21637" s="51"/>
      <c r="H21637" s="46" t="str">
        <f>IF(AND(I.Developer.P4=TRUE,I.Facility.P4FacilityCount&gt;=1625,F21637=""),"Incomplete","Complete")</f>
        <v>Complete</v>
      </c>
      <c r="I21637" s="48" t="s">
        <v>26002</v>
      </c>
    </row>
    <row r="21638" spans="2:9" ht="15" customHeight="1" x14ac:dyDescent="0.25">
      <c r="B21638" s="55" t="s">
        <v>283</v>
      </c>
      <c r="C21638" s="46">
        <v>1626</v>
      </c>
      <c r="D21638" s="69" t="s">
        <v>29420</v>
      </c>
      <c r="E21638" s="51"/>
      <c r="F21638" s="114" t="str">
        <f>IF(INDEX(I.Facility.P4IDNumber,1626)="","",INDEX(I.Facility.P4IDNumber,1626))</f>
        <v/>
      </c>
      <c r="G21638" s="51"/>
      <c r="H21638" s="46" t="str">
        <f>IF(AND(I.Developer.P4=TRUE,I.Facility.P4FacilityCount&gt;=1626,F21638=""),"Incomplete","Complete")</f>
        <v>Complete</v>
      </c>
      <c r="I21638" s="48" t="s">
        <v>26003</v>
      </c>
    </row>
    <row r="21639" spans="2:9" ht="15" customHeight="1" x14ac:dyDescent="0.25">
      <c r="B21639" s="55" t="s">
        <v>283</v>
      </c>
      <c r="C21639" s="46">
        <v>1627</v>
      </c>
      <c r="D21639" s="69" t="s">
        <v>29420</v>
      </c>
      <c r="E21639" s="51"/>
      <c r="F21639" s="114" t="str">
        <f>IF(INDEX(I.Facility.P4IDNumber,1627)="","",INDEX(I.Facility.P4IDNumber,1627))</f>
        <v/>
      </c>
      <c r="G21639" s="51"/>
      <c r="H21639" s="46" t="str">
        <f>IF(AND(I.Developer.P4=TRUE,I.Facility.P4FacilityCount&gt;=1627,F21639=""),"Incomplete","Complete")</f>
        <v>Complete</v>
      </c>
      <c r="I21639" s="48" t="s">
        <v>26004</v>
      </c>
    </row>
    <row r="21640" spans="2:9" ht="15" customHeight="1" x14ac:dyDescent="0.25">
      <c r="B21640" s="55" t="s">
        <v>283</v>
      </c>
      <c r="C21640" s="46">
        <v>1628</v>
      </c>
      <c r="D21640" s="69" t="s">
        <v>29420</v>
      </c>
      <c r="E21640" s="51"/>
      <c r="F21640" s="114" t="str">
        <f>IF(INDEX(I.Facility.P4IDNumber,1628)="","",INDEX(I.Facility.P4IDNumber,1628))</f>
        <v/>
      </c>
      <c r="G21640" s="51"/>
      <c r="H21640" s="46" t="str">
        <f>IF(AND(I.Developer.P4=TRUE,I.Facility.P4FacilityCount&gt;=1628,F21640=""),"Incomplete","Complete")</f>
        <v>Complete</v>
      </c>
      <c r="I21640" s="48" t="s">
        <v>26005</v>
      </c>
    </row>
    <row r="21641" spans="2:9" ht="15" customHeight="1" x14ac:dyDescent="0.25">
      <c r="B21641" s="55" t="s">
        <v>283</v>
      </c>
      <c r="C21641" s="46">
        <v>1629</v>
      </c>
      <c r="D21641" s="69" t="s">
        <v>29420</v>
      </c>
      <c r="E21641" s="51"/>
      <c r="F21641" s="114" t="str">
        <f>IF(INDEX(I.Facility.P4IDNumber,1629)="","",INDEX(I.Facility.P4IDNumber,1629))</f>
        <v/>
      </c>
      <c r="G21641" s="51"/>
      <c r="H21641" s="46" t="str">
        <f>IF(AND(I.Developer.P4=TRUE,I.Facility.P4FacilityCount&gt;=1629,F21641=""),"Incomplete","Complete")</f>
        <v>Complete</v>
      </c>
      <c r="I21641" s="48" t="s">
        <v>26006</v>
      </c>
    </row>
    <row r="21642" spans="2:9" ht="15" customHeight="1" x14ac:dyDescent="0.25">
      <c r="B21642" s="55" t="s">
        <v>283</v>
      </c>
      <c r="C21642" s="46">
        <v>1630</v>
      </c>
      <c r="D21642" s="69" t="s">
        <v>29420</v>
      </c>
      <c r="E21642" s="51"/>
      <c r="F21642" s="114" t="str">
        <f>IF(INDEX(I.Facility.P4IDNumber,1630)="","",INDEX(I.Facility.P4IDNumber,1630))</f>
        <v/>
      </c>
      <c r="G21642" s="51"/>
      <c r="H21642" s="46" t="str">
        <f>IF(AND(I.Developer.P4=TRUE,I.Facility.P4FacilityCount&gt;=1630,F21642=""),"Incomplete","Complete")</f>
        <v>Complete</v>
      </c>
      <c r="I21642" s="48" t="s">
        <v>26007</v>
      </c>
    </row>
    <row r="21643" spans="2:9" ht="15" customHeight="1" x14ac:dyDescent="0.25">
      <c r="B21643" s="55" t="s">
        <v>283</v>
      </c>
      <c r="C21643" s="46">
        <v>1631</v>
      </c>
      <c r="D21643" s="69" t="s">
        <v>29420</v>
      </c>
      <c r="E21643" s="51"/>
      <c r="F21643" s="114" t="str">
        <f>IF(INDEX(I.Facility.P4IDNumber,1631)="","",INDEX(I.Facility.P4IDNumber,1631))</f>
        <v/>
      </c>
      <c r="G21643" s="51"/>
      <c r="H21643" s="46" t="str">
        <f>IF(AND(I.Developer.P4=TRUE,I.Facility.P4FacilityCount&gt;=1631,F21643=""),"Incomplete","Complete")</f>
        <v>Complete</v>
      </c>
      <c r="I21643" s="48" t="s">
        <v>26008</v>
      </c>
    </row>
    <row r="21644" spans="2:9" ht="15" customHeight="1" x14ac:dyDescent="0.25">
      <c r="B21644" s="55" t="s">
        <v>283</v>
      </c>
      <c r="C21644" s="46">
        <v>1632</v>
      </c>
      <c r="D21644" s="69" t="s">
        <v>29420</v>
      </c>
      <c r="E21644" s="51"/>
      <c r="F21644" s="114" t="str">
        <f>IF(INDEX(I.Facility.P4IDNumber,1632)="","",INDEX(I.Facility.P4IDNumber,1632))</f>
        <v/>
      </c>
      <c r="G21644" s="51"/>
      <c r="H21644" s="46" t="str">
        <f>IF(AND(I.Developer.P4=TRUE,I.Facility.P4FacilityCount&gt;=1632,F21644=""),"Incomplete","Complete")</f>
        <v>Complete</v>
      </c>
      <c r="I21644" s="48" t="s">
        <v>26009</v>
      </c>
    </row>
    <row r="21645" spans="2:9" ht="15" customHeight="1" x14ac:dyDescent="0.25">
      <c r="B21645" s="55" t="s">
        <v>283</v>
      </c>
      <c r="C21645" s="46">
        <v>1633</v>
      </c>
      <c r="D21645" s="69" t="s">
        <v>29420</v>
      </c>
      <c r="E21645" s="51"/>
      <c r="F21645" s="114" t="str">
        <f>IF(INDEX(I.Facility.P4IDNumber,1633)="","",INDEX(I.Facility.P4IDNumber,1633))</f>
        <v/>
      </c>
      <c r="G21645" s="51"/>
      <c r="H21645" s="46" t="str">
        <f>IF(AND(I.Developer.P4=TRUE,I.Facility.P4FacilityCount&gt;=1633,F21645=""),"Incomplete","Complete")</f>
        <v>Complete</v>
      </c>
      <c r="I21645" s="48" t="s">
        <v>26010</v>
      </c>
    </row>
    <row r="21646" spans="2:9" ht="15" customHeight="1" x14ac:dyDescent="0.25">
      <c r="B21646" s="55" t="s">
        <v>283</v>
      </c>
      <c r="C21646" s="46">
        <v>1634</v>
      </c>
      <c r="D21646" s="69" t="s">
        <v>29420</v>
      </c>
      <c r="E21646" s="51"/>
      <c r="F21646" s="114" t="str">
        <f>IF(INDEX(I.Facility.P4IDNumber,1634)="","",INDEX(I.Facility.P4IDNumber,1634))</f>
        <v/>
      </c>
      <c r="G21646" s="51"/>
      <c r="H21646" s="46" t="str">
        <f>IF(AND(I.Developer.P4=TRUE,I.Facility.P4FacilityCount&gt;=1634,F21646=""),"Incomplete","Complete")</f>
        <v>Complete</v>
      </c>
      <c r="I21646" s="48" t="s">
        <v>26011</v>
      </c>
    </row>
    <row r="21647" spans="2:9" ht="15" customHeight="1" x14ac:dyDescent="0.25">
      <c r="B21647" s="55" t="s">
        <v>283</v>
      </c>
      <c r="C21647" s="46">
        <v>1635</v>
      </c>
      <c r="D21647" s="69" t="s">
        <v>29420</v>
      </c>
      <c r="E21647" s="51"/>
      <c r="F21647" s="114" t="str">
        <f>IF(INDEX(I.Facility.P4IDNumber,1635)="","",INDEX(I.Facility.P4IDNumber,1635))</f>
        <v/>
      </c>
      <c r="G21647" s="51"/>
      <c r="H21647" s="46" t="str">
        <f>IF(AND(I.Developer.P4=TRUE,I.Facility.P4FacilityCount&gt;=1635,F21647=""),"Incomplete","Complete")</f>
        <v>Complete</v>
      </c>
      <c r="I21647" s="48" t="s">
        <v>26012</v>
      </c>
    </row>
    <row r="21648" spans="2:9" ht="15" customHeight="1" x14ac:dyDescent="0.25">
      <c r="B21648" s="55" t="s">
        <v>283</v>
      </c>
      <c r="C21648" s="46">
        <v>1636</v>
      </c>
      <c r="D21648" s="69" t="s">
        <v>29420</v>
      </c>
      <c r="E21648" s="51"/>
      <c r="F21648" s="114" t="str">
        <f>IF(INDEX(I.Facility.P4IDNumber,1636)="","",INDEX(I.Facility.P4IDNumber,1636))</f>
        <v/>
      </c>
      <c r="G21648" s="51"/>
      <c r="H21648" s="46" t="str">
        <f>IF(AND(I.Developer.P4=TRUE,I.Facility.P4FacilityCount&gt;=1636,F21648=""),"Incomplete","Complete")</f>
        <v>Complete</v>
      </c>
      <c r="I21648" s="48" t="s">
        <v>26013</v>
      </c>
    </row>
    <row r="21649" spans="2:9" ht="15" customHeight="1" x14ac:dyDescent="0.25">
      <c r="B21649" s="55" t="s">
        <v>283</v>
      </c>
      <c r="C21649" s="46">
        <v>1637</v>
      </c>
      <c r="D21649" s="69" t="s">
        <v>29420</v>
      </c>
      <c r="E21649" s="51"/>
      <c r="F21649" s="114" t="str">
        <f>IF(INDEX(I.Facility.P4IDNumber,1637)="","",INDEX(I.Facility.P4IDNumber,1637))</f>
        <v/>
      </c>
      <c r="G21649" s="51"/>
      <c r="H21649" s="46" t="str">
        <f>IF(AND(I.Developer.P4=TRUE,I.Facility.P4FacilityCount&gt;=1637,F21649=""),"Incomplete","Complete")</f>
        <v>Complete</v>
      </c>
      <c r="I21649" s="48" t="s">
        <v>26014</v>
      </c>
    </row>
    <row r="21650" spans="2:9" ht="15" customHeight="1" x14ac:dyDescent="0.25">
      <c r="B21650" s="55" t="s">
        <v>283</v>
      </c>
      <c r="C21650" s="46">
        <v>1638</v>
      </c>
      <c r="D21650" s="69" t="s">
        <v>29420</v>
      </c>
      <c r="E21650" s="51"/>
      <c r="F21650" s="114" t="str">
        <f>IF(INDEX(I.Facility.P4IDNumber,1638)="","",INDEX(I.Facility.P4IDNumber,1638))</f>
        <v/>
      </c>
      <c r="G21650" s="51"/>
      <c r="H21650" s="46" t="str">
        <f>IF(AND(I.Developer.P4=TRUE,I.Facility.P4FacilityCount&gt;=1638,F21650=""),"Incomplete","Complete")</f>
        <v>Complete</v>
      </c>
      <c r="I21650" s="48" t="s">
        <v>26015</v>
      </c>
    </row>
    <row r="21651" spans="2:9" ht="15" customHeight="1" x14ac:dyDescent="0.25">
      <c r="B21651" s="55" t="s">
        <v>283</v>
      </c>
      <c r="C21651" s="46">
        <v>1639</v>
      </c>
      <c r="D21651" s="69" t="s">
        <v>29420</v>
      </c>
      <c r="E21651" s="51"/>
      <c r="F21651" s="114" t="str">
        <f>IF(INDEX(I.Facility.P4IDNumber,1639)="","",INDEX(I.Facility.P4IDNumber,1639))</f>
        <v/>
      </c>
      <c r="G21651" s="51"/>
      <c r="H21651" s="46" t="str">
        <f>IF(AND(I.Developer.P4=TRUE,I.Facility.P4FacilityCount&gt;=1639,F21651=""),"Incomplete","Complete")</f>
        <v>Complete</v>
      </c>
      <c r="I21651" s="48" t="s">
        <v>26016</v>
      </c>
    </row>
    <row r="21652" spans="2:9" ht="15" customHeight="1" x14ac:dyDescent="0.25">
      <c r="B21652" s="55" t="s">
        <v>283</v>
      </c>
      <c r="C21652" s="46">
        <v>1640</v>
      </c>
      <c r="D21652" s="69" t="s">
        <v>29420</v>
      </c>
      <c r="E21652" s="51"/>
      <c r="F21652" s="114" t="str">
        <f>IF(INDEX(I.Facility.P4IDNumber,1640)="","",INDEX(I.Facility.P4IDNumber,1640))</f>
        <v/>
      </c>
      <c r="G21652" s="51"/>
      <c r="H21652" s="46" t="str">
        <f>IF(AND(I.Developer.P4=TRUE,I.Facility.P4FacilityCount&gt;=1640,F21652=""),"Incomplete","Complete")</f>
        <v>Complete</v>
      </c>
      <c r="I21652" s="48" t="s">
        <v>26017</v>
      </c>
    </row>
    <row r="21653" spans="2:9" ht="15" customHeight="1" x14ac:dyDescent="0.25">
      <c r="B21653" s="55" t="s">
        <v>283</v>
      </c>
      <c r="C21653" s="46">
        <v>1641</v>
      </c>
      <c r="D21653" s="69" t="s">
        <v>29420</v>
      </c>
      <c r="E21653" s="51"/>
      <c r="F21653" s="114" t="str">
        <f>IF(INDEX(I.Facility.P4IDNumber,1641)="","",INDEX(I.Facility.P4IDNumber,1641))</f>
        <v/>
      </c>
      <c r="G21653" s="51"/>
      <c r="H21653" s="46" t="str">
        <f>IF(AND(I.Developer.P4=TRUE,I.Facility.P4FacilityCount&gt;=1641,F21653=""),"Incomplete","Complete")</f>
        <v>Complete</v>
      </c>
      <c r="I21653" s="48" t="s">
        <v>26018</v>
      </c>
    </row>
    <row r="21654" spans="2:9" ht="15" customHeight="1" x14ac:dyDescent="0.25">
      <c r="B21654" s="55" t="s">
        <v>283</v>
      </c>
      <c r="C21654" s="46">
        <v>1642</v>
      </c>
      <c r="D21654" s="69" t="s">
        <v>29420</v>
      </c>
      <c r="E21654" s="51"/>
      <c r="F21654" s="114" t="str">
        <f>IF(INDEX(I.Facility.P4IDNumber,1642)="","",INDEX(I.Facility.P4IDNumber,1642))</f>
        <v/>
      </c>
      <c r="G21654" s="51"/>
      <c r="H21654" s="46" t="str">
        <f>IF(AND(I.Developer.P4=TRUE,I.Facility.P4FacilityCount&gt;=1642,F21654=""),"Incomplete","Complete")</f>
        <v>Complete</v>
      </c>
      <c r="I21654" s="48" t="s">
        <v>26019</v>
      </c>
    </row>
    <row r="21655" spans="2:9" ht="15" customHeight="1" x14ac:dyDescent="0.25">
      <c r="B21655" s="55" t="s">
        <v>283</v>
      </c>
      <c r="C21655" s="46">
        <v>1643</v>
      </c>
      <c r="D21655" s="69" t="s">
        <v>29420</v>
      </c>
      <c r="E21655" s="51"/>
      <c r="F21655" s="114" t="str">
        <f>IF(INDEX(I.Facility.P4IDNumber,1643)="","",INDEX(I.Facility.P4IDNumber,1643))</f>
        <v/>
      </c>
      <c r="G21655" s="51"/>
      <c r="H21655" s="46" t="str">
        <f>IF(AND(I.Developer.P4=TRUE,I.Facility.P4FacilityCount&gt;=1643,F21655=""),"Incomplete","Complete")</f>
        <v>Complete</v>
      </c>
      <c r="I21655" s="48" t="s">
        <v>26020</v>
      </c>
    </row>
    <row r="21656" spans="2:9" ht="15" customHeight="1" x14ac:dyDescent="0.25">
      <c r="B21656" s="55" t="s">
        <v>283</v>
      </c>
      <c r="C21656" s="46">
        <v>1644</v>
      </c>
      <c r="D21656" s="69" t="s">
        <v>29420</v>
      </c>
      <c r="E21656" s="51"/>
      <c r="F21656" s="114" t="str">
        <f>IF(INDEX(I.Facility.P4IDNumber,1644)="","",INDEX(I.Facility.P4IDNumber,1644))</f>
        <v/>
      </c>
      <c r="G21656" s="51"/>
      <c r="H21656" s="46" t="str">
        <f>IF(AND(I.Developer.P4=TRUE,I.Facility.P4FacilityCount&gt;=1644,F21656=""),"Incomplete","Complete")</f>
        <v>Complete</v>
      </c>
      <c r="I21656" s="48" t="s">
        <v>26021</v>
      </c>
    </row>
    <row r="21657" spans="2:9" ht="15" customHeight="1" x14ac:dyDescent="0.25">
      <c r="B21657" s="55" t="s">
        <v>283</v>
      </c>
      <c r="C21657" s="46">
        <v>1645</v>
      </c>
      <c r="D21657" s="69" t="s">
        <v>29420</v>
      </c>
      <c r="E21657" s="51"/>
      <c r="F21657" s="114" t="str">
        <f>IF(INDEX(I.Facility.P4IDNumber,1645)="","",INDEX(I.Facility.P4IDNumber,1645))</f>
        <v/>
      </c>
      <c r="G21657" s="51"/>
      <c r="H21657" s="46" t="str">
        <f>IF(AND(I.Developer.P4=TRUE,I.Facility.P4FacilityCount&gt;=1645,F21657=""),"Incomplete","Complete")</f>
        <v>Complete</v>
      </c>
      <c r="I21657" s="48" t="s">
        <v>26022</v>
      </c>
    </row>
    <row r="21658" spans="2:9" ht="15" customHeight="1" x14ac:dyDescent="0.25">
      <c r="B21658" s="55" t="s">
        <v>283</v>
      </c>
      <c r="C21658" s="46">
        <v>1646</v>
      </c>
      <c r="D21658" s="69" t="s">
        <v>29420</v>
      </c>
      <c r="E21658" s="51"/>
      <c r="F21658" s="114" t="str">
        <f>IF(INDEX(I.Facility.P4IDNumber,1646)="","",INDEX(I.Facility.P4IDNumber,1646))</f>
        <v/>
      </c>
      <c r="G21658" s="51"/>
      <c r="H21658" s="46" t="str">
        <f>IF(AND(I.Developer.P4=TRUE,I.Facility.P4FacilityCount&gt;=1646,F21658=""),"Incomplete","Complete")</f>
        <v>Complete</v>
      </c>
      <c r="I21658" s="48" t="s">
        <v>26023</v>
      </c>
    </row>
    <row r="21659" spans="2:9" ht="15" customHeight="1" x14ac:dyDescent="0.25">
      <c r="B21659" s="55" t="s">
        <v>283</v>
      </c>
      <c r="C21659" s="46">
        <v>1647</v>
      </c>
      <c r="D21659" s="69" t="s">
        <v>29420</v>
      </c>
      <c r="E21659" s="51"/>
      <c r="F21659" s="114" t="str">
        <f>IF(INDEX(I.Facility.P4IDNumber,1647)="","",INDEX(I.Facility.P4IDNumber,1647))</f>
        <v/>
      </c>
      <c r="G21659" s="51"/>
      <c r="H21659" s="46" t="str">
        <f>IF(AND(I.Developer.P4=TRUE,I.Facility.P4FacilityCount&gt;=1647,F21659=""),"Incomplete","Complete")</f>
        <v>Complete</v>
      </c>
      <c r="I21659" s="48" t="s">
        <v>26024</v>
      </c>
    </row>
    <row r="21660" spans="2:9" ht="15" customHeight="1" x14ac:dyDescent="0.25">
      <c r="B21660" s="55" t="s">
        <v>283</v>
      </c>
      <c r="C21660" s="46">
        <v>1648</v>
      </c>
      <c r="D21660" s="69" t="s">
        <v>29420</v>
      </c>
      <c r="E21660" s="51"/>
      <c r="F21660" s="114" t="str">
        <f>IF(INDEX(I.Facility.P4IDNumber,1648)="","",INDEX(I.Facility.P4IDNumber,1648))</f>
        <v/>
      </c>
      <c r="G21660" s="51"/>
      <c r="H21660" s="46" t="str">
        <f>IF(AND(I.Developer.P4=TRUE,I.Facility.P4FacilityCount&gt;=1648,F21660=""),"Incomplete","Complete")</f>
        <v>Complete</v>
      </c>
      <c r="I21660" s="48" t="s">
        <v>26025</v>
      </c>
    </row>
    <row r="21661" spans="2:9" ht="15" customHeight="1" x14ac:dyDescent="0.25">
      <c r="B21661" s="55" t="s">
        <v>283</v>
      </c>
      <c r="C21661" s="46">
        <v>1649</v>
      </c>
      <c r="D21661" s="69" t="s">
        <v>29420</v>
      </c>
      <c r="E21661" s="51"/>
      <c r="F21661" s="114" t="str">
        <f>IF(INDEX(I.Facility.P4IDNumber,1649)="","",INDEX(I.Facility.P4IDNumber,1649))</f>
        <v/>
      </c>
      <c r="G21661" s="51"/>
      <c r="H21661" s="46" t="str">
        <f>IF(AND(I.Developer.P4=TRUE,I.Facility.P4FacilityCount&gt;=1649,F21661=""),"Incomplete","Complete")</f>
        <v>Complete</v>
      </c>
      <c r="I21661" s="48" t="s">
        <v>26026</v>
      </c>
    </row>
    <row r="21662" spans="2:9" ht="15" customHeight="1" x14ac:dyDescent="0.25">
      <c r="B21662" s="55" t="s">
        <v>283</v>
      </c>
      <c r="C21662" s="46">
        <v>1650</v>
      </c>
      <c r="D21662" s="69" t="s">
        <v>29420</v>
      </c>
      <c r="E21662" s="51"/>
      <c r="F21662" s="114" t="str">
        <f>IF(INDEX(I.Facility.P4IDNumber,1650)="","",INDEX(I.Facility.P4IDNumber,1650))</f>
        <v/>
      </c>
      <c r="G21662" s="51"/>
      <c r="H21662" s="46" t="str">
        <f>IF(AND(I.Developer.P4=TRUE,I.Facility.P4FacilityCount&gt;=1650,F21662=""),"Incomplete","Complete")</f>
        <v>Complete</v>
      </c>
      <c r="I21662" s="48" t="s">
        <v>26027</v>
      </c>
    </row>
    <row r="21663" spans="2:9" ht="15" customHeight="1" x14ac:dyDescent="0.25">
      <c r="B21663" s="55" t="s">
        <v>283</v>
      </c>
      <c r="C21663" s="46">
        <v>1651</v>
      </c>
      <c r="D21663" s="69" t="s">
        <v>29420</v>
      </c>
      <c r="E21663" s="51"/>
      <c r="F21663" s="114" t="str">
        <f>IF(INDEX(I.Facility.P4IDNumber,1651)="","",INDEX(I.Facility.P4IDNumber,1651))</f>
        <v/>
      </c>
      <c r="G21663" s="51"/>
      <c r="H21663" s="46" t="str">
        <f>IF(AND(I.Developer.P4=TRUE,I.Facility.P4FacilityCount&gt;=1651,F21663=""),"Incomplete","Complete")</f>
        <v>Complete</v>
      </c>
      <c r="I21663" s="48" t="s">
        <v>26028</v>
      </c>
    </row>
    <row r="21664" spans="2:9" ht="15" customHeight="1" x14ac:dyDescent="0.25">
      <c r="B21664" s="55" t="s">
        <v>283</v>
      </c>
      <c r="C21664" s="46">
        <v>1652</v>
      </c>
      <c r="D21664" s="69" t="s">
        <v>29420</v>
      </c>
      <c r="E21664" s="51"/>
      <c r="F21664" s="114" t="str">
        <f>IF(INDEX(I.Facility.P4IDNumber,1652)="","",INDEX(I.Facility.P4IDNumber,1652))</f>
        <v/>
      </c>
      <c r="G21664" s="51"/>
      <c r="H21664" s="46" t="str">
        <f>IF(AND(I.Developer.P4=TRUE,I.Facility.P4FacilityCount&gt;=1652,F21664=""),"Incomplete","Complete")</f>
        <v>Complete</v>
      </c>
      <c r="I21664" s="48" t="s">
        <v>26029</v>
      </c>
    </row>
    <row r="21665" spans="2:9" ht="15" customHeight="1" x14ac:dyDescent="0.25">
      <c r="B21665" s="55" t="s">
        <v>283</v>
      </c>
      <c r="C21665" s="46">
        <v>1653</v>
      </c>
      <c r="D21665" s="69" t="s">
        <v>29420</v>
      </c>
      <c r="E21665" s="51"/>
      <c r="F21665" s="114" t="str">
        <f>IF(INDEX(I.Facility.P4IDNumber,1653)="","",INDEX(I.Facility.P4IDNumber,1653))</f>
        <v/>
      </c>
      <c r="G21665" s="51"/>
      <c r="H21665" s="46" t="str">
        <f>IF(AND(I.Developer.P4=TRUE,I.Facility.P4FacilityCount&gt;=1653,F21665=""),"Incomplete","Complete")</f>
        <v>Complete</v>
      </c>
      <c r="I21665" s="48" t="s">
        <v>26030</v>
      </c>
    </row>
    <row r="21666" spans="2:9" ht="15" customHeight="1" x14ac:dyDescent="0.25">
      <c r="B21666" s="55" t="s">
        <v>283</v>
      </c>
      <c r="C21666" s="46">
        <v>1654</v>
      </c>
      <c r="D21666" s="69" t="s">
        <v>29420</v>
      </c>
      <c r="E21666" s="51"/>
      <c r="F21666" s="114" t="str">
        <f>IF(INDEX(I.Facility.P4IDNumber,1654)="","",INDEX(I.Facility.P4IDNumber,1654))</f>
        <v/>
      </c>
      <c r="G21666" s="51"/>
      <c r="H21666" s="46" t="str">
        <f>IF(AND(I.Developer.P4=TRUE,I.Facility.P4FacilityCount&gt;=1654,F21666=""),"Incomplete","Complete")</f>
        <v>Complete</v>
      </c>
      <c r="I21666" s="48" t="s">
        <v>26031</v>
      </c>
    </row>
    <row r="21667" spans="2:9" ht="15" customHeight="1" x14ac:dyDescent="0.25">
      <c r="B21667" s="55" t="s">
        <v>283</v>
      </c>
      <c r="C21667" s="46">
        <v>1655</v>
      </c>
      <c r="D21667" s="69" t="s">
        <v>29420</v>
      </c>
      <c r="E21667" s="51"/>
      <c r="F21667" s="114" t="str">
        <f>IF(INDEX(I.Facility.P4IDNumber,1655)="","",INDEX(I.Facility.P4IDNumber,1655))</f>
        <v/>
      </c>
      <c r="G21667" s="51"/>
      <c r="H21667" s="46" t="str">
        <f>IF(AND(I.Developer.P4=TRUE,I.Facility.P4FacilityCount&gt;=1655,F21667=""),"Incomplete","Complete")</f>
        <v>Complete</v>
      </c>
      <c r="I21667" s="48" t="s">
        <v>26032</v>
      </c>
    </row>
    <row r="21668" spans="2:9" ht="15" customHeight="1" x14ac:dyDescent="0.25">
      <c r="B21668" s="55" t="s">
        <v>283</v>
      </c>
      <c r="C21668" s="46">
        <v>1656</v>
      </c>
      <c r="D21668" s="69" t="s">
        <v>29420</v>
      </c>
      <c r="E21668" s="51"/>
      <c r="F21668" s="114" t="str">
        <f>IF(INDEX(I.Facility.P4IDNumber,1656)="","",INDEX(I.Facility.P4IDNumber,1656))</f>
        <v/>
      </c>
      <c r="G21668" s="51"/>
      <c r="H21668" s="46" t="str">
        <f>IF(AND(I.Developer.P4=TRUE,I.Facility.P4FacilityCount&gt;=1656,F21668=""),"Incomplete","Complete")</f>
        <v>Complete</v>
      </c>
      <c r="I21668" s="48" t="s">
        <v>26033</v>
      </c>
    </row>
    <row r="21669" spans="2:9" ht="15" customHeight="1" x14ac:dyDescent="0.25">
      <c r="B21669" s="55" t="s">
        <v>283</v>
      </c>
      <c r="C21669" s="46">
        <v>1657</v>
      </c>
      <c r="D21669" s="69" t="s">
        <v>29420</v>
      </c>
      <c r="E21669" s="51"/>
      <c r="F21669" s="114" t="str">
        <f>IF(INDEX(I.Facility.P4IDNumber,1657)="","",INDEX(I.Facility.P4IDNumber,1657))</f>
        <v/>
      </c>
      <c r="G21669" s="51"/>
      <c r="H21669" s="46" t="str">
        <f>IF(AND(I.Developer.P4=TRUE,I.Facility.P4FacilityCount&gt;=1657,F21669=""),"Incomplete","Complete")</f>
        <v>Complete</v>
      </c>
      <c r="I21669" s="48" t="s">
        <v>26034</v>
      </c>
    </row>
    <row r="21670" spans="2:9" ht="15" customHeight="1" x14ac:dyDescent="0.25">
      <c r="B21670" s="55" t="s">
        <v>283</v>
      </c>
      <c r="C21670" s="46">
        <v>1658</v>
      </c>
      <c r="D21670" s="69" t="s">
        <v>29420</v>
      </c>
      <c r="E21670" s="51"/>
      <c r="F21670" s="114" t="str">
        <f>IF(INDEX(I.Facility.P4IDNumber,1658)="","",INDEX(I.Facility.P4IDNumber,1658))</f>
        <v/>
      </c>
      <c r="G21670" s="51"/>
      <c r="H21670" s="46" t="str">
        <f>IF(AND(I.Developer.P4=TRUE,I.Facility.P4FacilityCount&gt;=1658,F21670=""),"Incomplete","Complete")</f>
        <v>Complete</v>
      </c>
      <c r="I21670" s="48" t="s">
        <v>26035</v>
      </c>
    </row>
    <row r="21671" spans="2:9" ht="15" customHeight="1" x14ac:dyDescent="0.25">
      <c r="B21671" s="55" t="s">
        <v>283</v>
      </c>
      <c r="C21671" s="46">
        <v>1659</v>
      </c>
      <c r="D21671" s="69" t="s">
        <v>29420</v>
      </c>
      <c r="E21671" s="51"/>
      <c r="F21671" s="114" t="str">
        <f>IF(INDEX(I.Facility.P4IDNumber,1659)="","",INDEX(I.Facility.P4IDNumber,1659))</f>
        <v/>
      </c>
      <c r="G21671" s="51"/>
      <c r="H21671" s="46" t="str">
        <f>IF(AND(I.Developer.P4=TRUE,I.Facility.P4FacilityCount&gt;=1659,F21671=""),"Incomplete","Complete")</f>
        <v>Complete</v>
      </c>
      <c r="I21671" s="48" t="s">
        <v>26036</v>
      </c>
    </row>
    <row r="21672" spans="2:9" ht="15" customHeight="1" x14ac:dyDescent="0.25">
      <c r="B21672" s="55" t="s">
        <v>283</v>
      </c>
      <c r="C21672" s="46">
        <v>1660</v>
      </c>
      <c r="D21672" s="69" t="s">
        <v>29420</v>
      </c>
      <c r="E21672" s="51"/>
      <c r="F21672" s="114" t="str">
        <f>IF(INDEX(I.Facility.P4IDNumber,1660)="","",INDEX(I.Facility.P4IDNumber,1660))</f>
        <v/>
      </c>
      <c r="G21672" s="51"/>
      <c r="H21672" s="46" t="str">
        <f>IF(AND(I.Developer.P4=TRUE,I.Facility.P4FacilityCount&gt;=1660,F21672=""),"Incomplete","Complete")</f>
        <v>Complete</v>
      </c>
      <c r="I21672" s="48" t="s">
        <v>26037</v>
      </c>
    </row>
    <row r="21673" spans="2:9" ht="15" customHeight="1" x14ac:dyDescent="0.25">
      <c r="B21673" s="55" t="s">
        <v>283</v>
      </c>
      <c r="C21673" s="46">
        <v>1661</v>
      </c>
      <c r="D21673" s="69" t="s">
        <v>29420</v>
      </c>
      <c r="E21673" s="51"/>
      <c r="F21673" s="114" t="str">
        <f>IF(INDEX(I.Facility.P4IDNumber,1661)="","",INDEX(I.Facility.P4IDNumber,1661))</f>
        <v/>
      </c>
      <c r="G21673" s="51"/>
      <c r="H21673" s="46" t="str">
        <f>IF(AND(I.Developer.P4=TRUE,I.Facility.P4FacilityCount&gt;=1661,F21673=""),"Incomplete","Complete")</f>
        <v>Complete</v>
      </c>
      <c r="I21673" s="48" t="s">
        <v>26038</v>
      </c>
    </row>
    <row r="21674" spans="2:9" ht="15" customHeight="1" x14ac:dyDescent="0.25">
      <c r="B21674" s="55" t="s">
        <v>283</v>
      </c>
      <c r="C21674" s="46">
        <v>1662</v>
      </c>
      <c r="D21674" s="69" t="s">
        <v>29420</v>
      </c>
      <c r="E21674" s="51"/>
      <c r="F21674" s="114" t="str">
        <f>IF(INDEX(I.Facility.P4IDNumber,1662)="","",INDEX(I.Facility.P4IDNumber,1662))</f>
        <v/>
      </c>
      <c r="G21674" s="51"/>
      <c r="H21674" s="46" t="str">
        <f>IF(AND(I.Developer.P4=TRUE,I.Facility.P4FacilityCount&gt;=1662,F21674=""),"Incomplete","Complete")</f>
        <v>Complete</v>
      </c>
      <c r="I21674" s="48" t="s">
        <v>26039</v>
      </c>
    </row>
    <row r="21675" spans="2:9" ht="15" customHeight="1" x14ac:dyDescent="0.25">
      <c r="B21675" s="55" t="s">
        <v>283</v>
      </c>
      <c r="C21675" s="46">
        <v>1663</v>
      </c>
      <c r="D21675" s="69" t="s">
        <v>29420</v>
      </c>
      <c r="E21675" s="51"/>
      <c r="F21675" s="114" t="str">
        <f>IF(INDEX(I.Facility.P4IDNumber,1663)="","",INDEX(I.Facility.P4IDNumber,1663))</f>
        <v/>
      </c>
      <c r="G21675" s="51"/>
      <c r="H21675" s="46" t="str">
        <f>IF(AND(I.Developer.P4=TRUE,I.Facility.P4FacilityCount&gt;=1663,F21675=""),"Incomplete","Complete")</f>
        <v>Complete</v>
      </c>
      <c r="I21675" s="48" t="s">
        <v>26040</v>
      </c>
    </row>
    <row r="21676" spans="2:9" ht="15" customHeight="1" x14ac:dyDescent="0.25">
      <c r="B21676" s="55" t="s">
        <v>283</v>
      </c>
      <c r="C21676" s="46">
        <v>1664</v>
      </c>
      <c r="D21676" s="69" t="s">
        <v>29420</v>
      </c>
      <c r="E21676" s="51"/>
      <c r="F21676" s="114" t="str">
        <f>IF(INDEX(I.Facility.P4IDNumber,1664)="","",INDEX(I.Facility.P4IDNumber,1664))</f>
        <v/>
      </c>
      <c r="G21676" s="51"/>
      <c r="H21676" s="46" t="str">
        <f>IF(AND(I.Developer.P4=TRUE,I.Facility.P4FacilityCount&gt;=1664,F21676=""),"Incomplete","Complete")</f>
        <v>Complete</v>
      </c>
      <c r="I21676" s="48" t="s">
        <v>26041</v>
      </c>
    </row>
    <row r="21677" spans="2:9" ht="15" customHeight="1" x14ac:dyDescent="0.25">
      <c r="B21677" s="55" t="s">
        <v>283</v>
      </c>
      <c r="C21677" s="46">
        <v>1665</v>
      </c>
      <c r="D21677" s="69" t="s">
        <v>29420</v>
      </c>
      <c r="E21677" s="51"/>
      <c r="F21677" s="114" t="str">
        <f>IF(INDEX(I.Facility.P4IDNumber,1665)="","",INDEX(I.Facility.P4IDNumber,1665))</f>
        <v/>
      </c>
      <c r="G21677" s="51"/>
      <c r="H21677" s="46" t="str">
        <f>IF(AND(I.Developer.P4=TRUE,I.Facility.P4FacilityCount&gt;=1665,F21677=""),"Incomplete","Complete")</f>
        <v>Complete</v>
      </c>
      <c r="I21677" s="48" t="s">
        <v>26042</v>
      </c>
    </row>
    <row r="21678" spans="2:9" ht="15" customHeight="1" x14ac:dyDescent="0.25">
      <c r="B21678" s="55" t="s">
        <v>283</v>
      </c>
      <c r="C21678" s="46">
        <v>1666</v>
      </c>
      <c r="D21678" s="69" t="s">
        <v>29420</v>
      </c>
      <c r="E21678" s="51"/>
      <c r="F21678" s="114" t="str">
        <f>IF(INDEX(I.Facility.P4IDNumber,1666)="","",INDEX(I.Facility.P4IDNumber,1666))</f>
        <v/>
      </c>
      <c r="G21678" s="51"/>
      <c r="H21678" s="46" t="str">
        <f>IF(AND(I.Developer.P4=TRUE,I.Facility.P4FacilityCount&gt;=1666,F21678=""),"Incomplete","Complete")</f>
        <v>Complete</v>
      </c>
      <c r="I21678" s="48" t="s">
        <v>26043</v>
      </c>
    </row>
    <row r="21679" spans="2:9" ht="15" customHeight="1" x14ac:dyDescent="0.25">
      <c r="B21679" s="55" t="s">
        <v>283</v>
      </c>
      <c r="C21679" s="46">
        <v>1667</v>
      </c>
      <c r="D21679" s="69" t="s">
        <v>29420</v>
      </c>
      <c r="E21679" s="51"/>
      <c r="F21679" s="114" t="str">
        <f>IF(INDEX(I.Facility.P4IDNumber,1667)="","",INDEX(I.Facility.P4IDNumber,1667))</f>
        <v/>
      </c>
      <c r="G21679" s="51"/>
      <c r="H21679" s="46" t="str">
        <f>IF(AND(I.Developer.P4=TRUE,I.Facility.P4FacilityCount&gt;=1667,F21679=""),"Incomplete","Complete")</f>
        <v>Complete</v>
      </c>
      <c r="I21679" s="48" t="s">
        <v>26044</v>
      </c>
    </row>
    <row r="21680" spans="2:9" ht="15" customHeight="1" x14ac:dyDescent="0.25">
      <c r="B21680" s="55" t="s">
        <v>283</v>
      </c>
      <c r="C21680" s="46">
        <v>1668</v>
      </c>
      <c r="D21680" s="69" t="s">
        <v>29420</v>
      </c>
      <c r="E21680" s="51"/>
      <c r="F21680" s="114" t="str">
        <f>IF(INDEX(I.Facility.P4IDNumber,1668)="","",INDEX(I.Facility.P4IDNumber,1668))</f>
        <v/>
      </c>
      <c r="G21680" s="51"/>
      <c r="H21680" s="46" t="str">
        <f>IF(AND(I.Developer.P4=TRUE,I.Facility.P4FacilityCount&gt;=1668,F21680=""),"Incomplete","Complete")</f>
        <v>Complete</v>
      </c>
      <c r="I21680" s="48" t="s">
        <v>26045</v>
      </c>
    </row>
    <row r="21681" spans="2:9" ht="15" customHeight="1" x14ac:dyDescent="0.25">
      <c r="B21681" s="55" t="s">
        <v>283</v>
      </c>
      <c r="C21681" s="46">
        <v>1669</v>
      </c>
      <c r="D21681" s="69" t="s">
        <v>29420</v>
      </c>
      <c r="E21681" s="51"/>
      <c r="F21681" s="114" t="str">
        <f>IF(INDEX(I.Facility.P4IDNumber,1669)="","",INDEX(I.Facility.P4IDNumber,1669))</f>
        <v/>
      </c>
      <c r="G21681" s="51"/>
      <c r="H21681" s="46" t="str">
        <f>IF(AND(I.Developer.P4=TRUE,I.Facility.P4FacilityCount&gt;=1669,F21681=""),"Incomplete","Complete")</f>
        <v>Complete</v>
      </c>
      <c r="I21681" s="48" t="s">
        <v>26046</v>
      </c>
    </row>
    <row r="21682" spans="2:9" ht="15" customHeight="1" x14ac:dyDescent="0.25">
      <c r="B21682" s="55" t="s">
        <v>283</v>
      </c>
      <c r="C21682" s="46">
        <v>1670</v>
      </c>
      <c r="D21682" s="69" t="s">
        <v>29420</v>
      </c>
      <c r="E21682" s="51"/>
      <c r="F21682" s="114" t="str">
        <f>IF(INDEX(I.Facility.P4IDNumber,1670)="","",INDEX(I.Facility.P4IDNumber,1670))</f>
        <v/>
      </c>
      <c r="G21682" s="51"/>
      <c r="H21682" s="46" t="str">
        <f>IF(AND(I.Developer.P4=TRUE,I.Facility.P4FacilityCount&gt;=1670,F21682=""),"Incomplete","Complete")</f>
        <v>Complete</v>
      </c>
      <c r="I21682" s="48" t="s">
        <v>26047</v>
      </c>
    </row>
    <row r="21683" spans="2:9" ht="15" customHeight="1" x14ac:dyDescent="0.25">
      <c r="B21683" s="55" t="s">
        <v>283</v>
      </c>
      <c r="C21683" s="46">
        <v>1671</v>
      </c>
      <c r="D21683" s="69" t="s">
        <v>29420</v>
      </c>
      <c r="E21683" s="51"/>
      <c r="F21683" s="114" t="str">
        <f>IF(INDEX(I.Facility.P4IDNumber,1671)="","",INDEX(I.Facility.P4IDNumber,1671))</f>
        <v/>
      </c>
      <c r="G21683" s="51"/>
      <c r="H21683" s="46" t="str">
        <f>IF(AND(I.Developer.P4=TRUE,I.Facility.P4FacilityCount&gt;=1671,F21683=""),"Incomplete","Complete")</f>
        <v>Complete</v>
      </c>
      <c r="I21683" s="48" t="s">
        <v>26048</v>
      </c>
    </row>
    <row r="21684" spans="2:9" ht="15" customHeight="1" x14ac:dyDescent="0.25">
      <c r="B21684" s="55" t="s">
        <v>283</v>
      </c>
      <c r="C21684" s="46">
        <v>1672</v>
      </c>
      <c r="D21684" s="69" t="s">
        <v>29420</v>
      </c>
      <c r="E21684" s="51"/>
      <c r="F21684" s="114" t="str">
        <f>IF(INDEX(I.Facility.P4IDNumber,1672)="","",INDEX(I.Facility.P4IDNumber,1672))</f>
        <v/>
      </c>
      <c r="G21684" s="51"/>
      <c r="H21684" s="46" t="str">
        <f>IF(AND(I.Developer.P4=TRUE,I.Facility.P4FacilityCount&gt;=1672,F21684=""),"Incomplete","Complete")</f>
        <v>Complete</v>
      </c>
      <c r="I21684" s="48" t="s">
        <v>26049</v>
      </c>
    </row>
    <row r="21685" spans="2:9" ht="15" customHeight="1" x14ac:dyDescent="0.25">
      <c r="B21685" s="55" t="s">
        <v>283</v>
      </c>
      <c r="C21685" s="46">
        <v>1673</v>
      </c>
      <c r="D21685" s="69" t="s">
        <v>29420</v>
      </c>
      <c r="E21685" s="51"/>
      <c r="F21685" s="114" t="str">
        <f>IF(INDEX(I.Facility.P4IDNumber,1673)="","",INDEX(I.Facility.P4IDNumber,1673))</f>
        <v/>
      </c>
      <c r="G21685" s="51"/>
      <c r="H21685" s="46" t="str">
        <f>IF(AND(I.Developer.P4=TRUE,I.Facility.P4FacilityCount&gt;=1673,F21685=""),"Incomplete","Complete")</f>
        <v>Complete</v>
      </c>
      <c r="I21685" s="48" t="s">
        <v>26050</v>
      </c>
    </row>
    <row r="21686" spans="2:9" ht="15" customHeight="1" x14ac:dyDescent="0.25">
      <c r="B21686" s="55" t="s">
        <v>283</v>
      </c>
      <c r="C21686" s="46">
        <v>1674</v>
      </c>
      <c r="D21686" s="69" t="s">
        <v>29420</v>
      </c>
      <c r="E21686" s="51"/>
      <c r="F21686" s="114" t="str">
        <f>IF(INDEX(I.Facility.P4IDNumber,1674)="","",INDEX(I.Facility.P4IDNumber,1674))</f>
        <v/>
      </c>
      <c r="G21686" s="51"/>
      <c r="H21686" s="46" t="str">
        <f>IF(AND(I.Developer.P4=TRUE,I.Facility.P4FacilityCount&gt;=1674,F21686=""),"Incomplete","Complete")</f>
        <v>Complete</v>
      </c>
      <c r="I21686" s="48" t="s">
        <v>26051</v>
      </c>
    </row>
    <row r="21687" spans="2:9" ht="15" customHeight="1" x14ac:dyDescent="0.25">
      <c r="B21687" s="55" t="s">
        <v>283</v>
      </c>
      <c r="C21687" s="46">
        <v>1675</v>
      </c>
      <c r="D21687" s="69" t="s">
        <v>29420</v>
      </c>
      <c r="E21687" s="51"/>
      <c r="F21687" s="114" t="str">
        <f>IF(INDEX(I.Facility.P4IDNumber,1675)="","",INDEX(I.Facility.P4IDNumber,1675))</f>
        <v/>
      </c>
      <c r="G21687" s="51"/>
      <c r="H21687" s="46" t="str">
        <f>IF(AND(I.Developer.P4=TRUE,I.Facility.P4FacilityCount&gt;=1675,F21687=""),"Incomplete","Complete")</f>
        <v>Complete</v>
      </c>
      <c r="I21687" s="48" t="s">
        <v>26052</v>
      </c>
    </row>
    <row r="21688" spans="2:9" ht="15" customHeight="1" x14ac:dyDescent="0.25">
      <c r="B21688" s="55" t="s">
        <v>283</v>
      </c>
      <c r="C21688" s="46">
        <v>1676</v>
      </c>
      <c r="D21688" s="69" t="s">
        <v>29420</v>
      </c>
      <c r="E21688" s="51"/>
      <c r="F21688" s="114" t="str">
        <f>IF(INDEX(I.Facility.P4IDNumber,1676)="","",INDEX(I.Facility.P4IDNumber,1676))</f>
        <v/>
      </c>
      <c r="G21688" s="51"/>
      <c r="H21688" s="46" t="str">
        <f>IF(AND(I.Developer.P4=TRUE,I.Facility.P4FacilityCount&gt;=1676,F21688=""),"Incomplete","Complete")</f>
        <v>Complete</v>
      </c>
      <c r="I21688" s="48" t="s">
        <v>26053</v>
      </c>
    </row>
    <row r="21689" spans="2:9" ht="15" customHeight="1" x14ac:dyDescent="0.25">
      <c r="B21689" s="55" t="s">
        <v>283</v>
      </c>
      <c r="C21689" s="46">
        <v>1677</v>
      </c>
      <c r="D21689" s="69" t="s">
        <v>29420</v>
      </c>
      <c r="E21689" s="51"/>
      <c r="F21689" s="114" t="str">
        <f>IF(INDEX(I.Facility.P4IDNumber,1677)="","",INDEX(I.Facility.P4IDNumber,1677))</f>
        <v/>
      </c>
      <c r="G21689" s="51"/>
      <c r="H21689" s="46" t="str">
        <f>IF(AND(I.Developer.P4=TRUE,I.Facility.P4FacilityCount&gt;=1677,F21689=""),"Incomplete","Complete")</f>
        <v>Complete</v>
      </c>
      <c r="I21689" s="48" t="s">
        <v>26054</v>
      </c>
    </row>
    <row r="21690" spans="2:9" ht="15" customHeight="1" x14ac:dyDescent="0.25">
      <c r="B21690" s="55" t="s">
        <v>283</v>
      </c>
      <c r="C21690" s="46">
        <v>1678</v>
      </c>
      <c r="D21690" s="69" t="s">
        <v>29420</v>
      </c>
      <c r="E21690" s="51"/>
      <c r="F21690" s="114" t="str">
        <f>IF(INDEX(I.Facility.P4IDNumber,1678)="","",INDEX(I.Facility.P4IDNumber,1678))</f>
        <v/>
      </c>
      <c r="G21690" s="51"/>
      <c r="H21690" s="46" t="str">
        <f>IF(AND(I.Developer.P4=TRUE,I.Facility.P4FacilityCount&gt;=1678,F21690=""),"Incomplete","Complete")</f>
        <v>Complete</v>
      </c>
      <c r="I21690" s="48" t="s">
        <v>26055</v>
      </c>
    </row>
    <row r="21691" spans="2:9" ht="15" customHeight="1" x14ac:dyDescent="0.25">
      <c r="B21691" s="55" t="s">
        <v>283</v>
      </c>
      <c r="C21691" s="46">
        <v>1679</v>
      </c>
      <c r="D21691" s="69" t="s">
        <v>29420</v>
      </c>
      <c r="E21691" s="51"/>
      <c r="F21691" s="114" t="str">
        <f>IF(INDEX(I.Facility.P4IDNumber,1679)="","",INDEX(I.Facility.P4IDNumber,1679))</f>
        <v/>
      </c>
      <c r="G21691" s="51"/>
      <c r="H21691" s="46" t="str">
        <f>IF(AND(I.Developer.P4=TRUE,I.Facility.P4FacilityCount&gt;=1679,F21691=""),"Incomplete","Complete")</f>
        <v>Complete</v>
      </c>
      <c r="I21691" s="48" t="s">
        <v>26056</v>
      </c>
    </row>
    <row r="21692" spans="2:9" ht="15" customHeight="1" x14ac:dyDescent="0.25">
      <c r="B21692" s="55" t="s">
        <v>283</v>
      </c>
      <c r="C21692" s="46">
        <v>1680</v>
      </c>
      <c r="D21692" s="69" t="s">
        <v>29420</v>
      </c>
      <c r="E21692" s="51"/>
      <c r="F21692" s="114" t="str">
        <f>IF(INDEX(I.Facility.P4IDNumber,1680)="","",INDEX(I.Facility.P4IDNumber,1680))</f>
        <v/>
      </c>
      <c r="G21692" s="51"/>
      <c r="H21692" s="46" t="str">
        <f>IF(AND(I.Developer.P4=TRUE,I.Facility.P4FacilityCount&gt;=1680,F21692=""),"Incomplete","Complete")</f>
        <v>Complete</v>
      </c>
      <c r="I21692" s="48" t="s">
        <v>26057</v>
      </c>
    </row>
    <row r="21693" spans="2:9" ht="15" customHeight="1" x14ac:dyDescent="0.25">
      <c r="B21693" s="55" t="s">
        <v>283</v>
      </c>
      <c r="C21693" s="46">
        <v>1681</v>
      </c>
      <c r="D21693" s="69" t="s">
        <v>29420</v>
      </c>
      <c r="E21693" s="51"/>
      <c r="F21693" s="114" t="str">
        <f>IF(INDEX(I.Facility.P4IDNumber,1681)="","",INDEX(I.Facility.P4IDNumber,1681))</f>
        <v/>
      </c>
      <c r="G21693" s="51"/>
      <c r="H21693" s="46" t="str">
        <f>IF(AND(I.Developer.P4=TRUE,I.Facility.P4FacilityCount&gt;=1681,F21693=""),"Incomplete","Complete")</f>
        <v>Complete</v>
      </c>
      <c r="I21693" s="48" t="s">
        <v>26058</v>
      </c>
    </row>
    <row r="21694" spans="2:9" ht="15" customHeight="1" x14ac:dyDescent="0.25">
      <c r="B21694" s="55" t="s">
        <v>283</v>
      </c>
      <c r="C21694" s="46">
        <v>1682</v>
      </c>
      <c r="D21694" s="69" t="s">
        <v>29420</v>
      </c>
      <c r="E21694" s="51"/>
      <c r="F21694" s="114" t="str">
        <f>IF(INDEX(I.Facility.P4IDNumber,1682)="","",INDEX(I.Facility.P4IDNumber,1682))</f>
        <v/>
      </c>
      <c r="G21694" s="51"/>
      <c r="H21694" s="46" t="str">
        <f>IF(AND(I.Developer.P4=TRUE,I.Facility.P4FacilityCount&gt;=1682,F21694=""),"Incomplete","Complete")</f>
        <v>Complete</v>
      </c>
      <c r="I21694" s="48" t="s">
        <v>26059</v>
      </c>
    </row>
    <row r="21695" spans="2:9" ht="15" customHeight="1" x14ac:dyDescent="0.25">
      <c r="B21695" s="55" t="s">
        <v>283</v>
      </c>
      <c r="C21695" s="46">
        <v>1683</v>
      </c>
      <c r="D21695" s="69" t="s">
        <v>29420</v>
      </c>
      <c r="E21695" s="51"/>
      <c r="F21695" s="114" t="str">
        <f>IF(INDEX(I.Facility.P4IDNumber,1683)="","",INDEX(I.Facility.P4IDNumber,1683))</f>
        <v/>
      </c>
      <c r="G21695" s="51"/>
      <c r="H21695" s="46" t="str">
        <f>IF(AND(I.Developer.P4=TRUE,I.Facility.P4FacilityCount&gt;=1683,F21695=""),"Incomplete","Complete")</f>
        <v>Complete</v>
      </c>
      <c r="I21695" s="48" t="s">
        <v>26060</v>
      </c>
    </row>
    <row r="21696" spans="2:9" ht="15" customHeight="1" x14ac:dyDescent="0.25">
      <c r="B21696" s="55" t="s">
        <v>283</v>
      </c>
      <c r="C21696" s="46">
        <v>1684</v>
      </c>
      <c r="D21696" s="69" t="s">
        <v>29420</v>
      </c>
      <c r="E21696" s="51"/>
      <c r="F21696" s="114" t="str">
        <f>IF(INDEX(I.Facility.P4IDNumber,1684)="","",INDEX(I.Facility.P4IDNumber,1684))</f>
        <v/>
      </c>
      <c r="G21696" s="51"/>
      <c r="H21696" s="46" t="str">
        <f>IF(AND(I.Developer.P4=TRUE,I.Facility.P4FacilityCount&gt;=1684,F21696=""),"Incomplete","Complete")</f>
        <v>Complete</v>
      </c>
      <c r="I21696" s="48" t="s">
        <v>26061</v>
      </c>
    </row>
    <row r="21697" spans="2:9" ht="15" customHeight="1" x14ac:dyDescent="0.25">
      <c r="B21697" s="55" t="s">
        <v>283</v>
      </c>
      <c r="C21697" s="46">
        <v>1685</v>
      </c>
      <c r="D21697" s="69" t="s">
        <v>29420</v>
      </c>
      <c r="E21697" s="51"/>
      <c r="F21697" s="114" t="str">
        <f>IF(INDEX(I.Facility.P4IDNumber,1685)="","",INDEX(I.Facility.P4IDNumber,1685))</f>
        <v/>
      </c>
      <c r="G21697" s="51"/>
      <c r="H21697" s="46" t="str">
        <f>IF(AND(I.Developer.P4=TRUE,I.Facility.P4FacilityCount&gt;=1685,F21697=""),"Incomplete","Complete")</f>
        <v>Complete</v>
      </c>
      <c r="I21697" s="48" t="s">
        <v>26062</v>
      </c>
    </row>
    <row r="21698" spans="2:9" ht="15" customHeight="1" x14ac:dyDescent="0.25">
      <c r="B21698" s="55" t="s">
        <v>283</v>
      </c>
      <c r="C21698" s="46">
        <v>1686</v>
      </c>
      <c r="D21698" s="69" t="s">
        <v>29420</v>
      </c>
      <c r="E21698" s="51"/>
      <c r="F21698" s="114" t="str">
        <f>IF(INDEX(I.Facility.P4IDNumber,1686)="","",INDEX(I.Facility.P4IDNumber,1686))</f>
        <v/>
      </c>
      <c r="G21698" s="51"/>
      <c r="H21698" s="46" t="str">
        <f>IF(AND(I.Developer.P4=TRUE,I.Facility.P4FacilityCount&gt;=1686,F21698=""),"Incomplete","Complete")</f>
        <v>Complete</v>
      </c>
      <c r="I21698" s="48" t="s">
        <v>26063</v>
      </c>
    </row>
    <row r="21699" spans="2:9" ht="15" customHeight="1" x14ac:dyDescent="0.25">
      <c r="B21699" s="55" t="s">
        <v>283</v>
      </c>
      <c r="C21699" s="46">
        <v>1687</v>
      </c>
      <c r="D21699" s="69" t="s">
        <v>29420</v>
      </c>
      <c r="E21699" s="51"/>
      <c r="F21699" s="114" t="str">
        <f>IF(INDEX(I.Facility.P4IDNumber,1687)="","",INDEX(I.Facility.P4IDNumber,1687))</f>
        <v/>
      </c>
      <c r="G21699" s="51"/>
      <c r="H21699" s="46" t="str">
        <f>IF(AND(I.Developer.P4=TRUE,I.Facility.P4FacilityCount&gt;=1687,F21699=""),"Incomplete","Complete")</f>
        <v>Complete</v>
      </c>
      <c r="I21699" s="48" t="s">
        <v>26064</v>
      </c>
    </row>
    <row r="21700" spans="2:9" ht="15" customHeight="1" x14ac:dyDescent="0.25">
      <c r="B21700" s="55" t="s">
        <v>283</v>
      </c>
      <c r="C21700" s="46">
        <v>1688</v>
      </c>
      <c r="D21700" s="69" t="s">
        <v>29420</v>
      </c>
      <c r="E21700" s="51"/>
      <c r="F21700" s="114" t="str">
        <f>IF(INDEX(I.Facility.P4IDNumber,1688)="","",INDEX(I.Facility.P4IDNumber,1688))</f>
        <v/>
      </c>
      <c r="G21700" s="51"/>
      <c r="H21700" s="46" t="str">
        <f>IF(AND(I.Developer.P4=TRUE,I.Facility.P4FacilityCount&gt;=1688,F21700=""),"Incomplete","Complete")</f>
        <v>Complete</v>
      </c>
      <c r="I21700" s="48" t="s">
        <v>26065</v>
      </c>
    </row>
    <row r="21701" spans="2:9" ht="15" customHeight="1" x14ac:dyDescent="0.25">
      <c r="B21701" s="55" t="s">
        <v>283</v>
      </c>
      <c r="C21701" s="46">
        <v>1689</v>
      </c>
      <c r="D21701" s="69" t="s">
        <v>29420</v>
      </c>
      <c r="E21701" s="51"/>
      <c r="F21701" s="114" t="str">
        <f>IF(INDEX(I.Facility.P4IDNumber,1689)="","",INDEX(I.Facility.P4IDNumber,1689))</f>
        <v/>
      </c>
      <c r="G21701" s="51"/>
      <c r="H21701" s="46" t="str">
        <f>IF(AND(I.Developer.P4=TRUE,I.Facility.P4FacilityCount&gt;=1689,F21701=""),"Incomplete","Complete")</f>
        <v>Complete</v>
      </c>
      <c r="I21701" s="48" t="s">
        <v>26066</v>
      </c>
    </row>
    <row r="21702" spans="2:9" ht="15" customHeight="1" x14ac:dyDescent="0.25">
      <c r="B21702" s="55" t="s">
        <v>283</v>
      </c>
      <c r="C21702" s="46">
        <v>1690</v>
      </c>
      <c r="D21702" s="69" t="s">
        <v>29420</v>
      </c>
      <c r="E21702" s="51"/>
      <c r="F21702" s="114" t="str">
        <f>IF(INDEX(I.Facility.P4IDNumber,1690)="","",INDEX(I.Facility.P4IDNumber,1690))</f>
        <v/>
      </c>
      <c r="G21702" s="51"/>
      <c r="H21702" s="46" t="str">
        <f>IF(AND(I.Developer.P4=TRUE,I.Facility.P4FacilityCount&gt;=1690,F21702=""),"Incomplete","Complete")</f>
        <v>Complete</v>
      </c>
      <c r="I21702" s="48" t="s">
        <v>26067</v>
      </c>
    </row>
    <row r="21703" spans="2:9" ht="15" customHeight="1" x14ac:dyDescent="0.25">
      <c r="B21703" s="55" t="s">
        <v>283</v>
      </c>
      <c r="C21703" s="46">
        <v>1691</v>
      </c>
      <c r="D21703" s="69" t="s">
        <v>29420</v>
      </c>
      <c r="E21703" s="51"/>
      <c r="F21703" s="114" t="str">
        <f>IF(INDEX(I.Facility.P4IDNumber,1691)="","",INDEX(I.Facility.P4IDNumber,1691))</f>
        <v/>
      </c>
      <c r="G21703" s="51"/>
      <c r="H21703" s="46" t="str">
        <f>IF(AND(I.Developer.P4=TRUE,I.Facility.P4FacilityCount&gt;=1691,F21703=""),"Incomplete","Complete")</f>
        <v>Complete</v>
      </c>
      <c r="I21703" s="48" t="s">
        <v>26068</v>
      </c>
    </row>
    <row r="21704" spans="2:9" ht="15" customHeight="1" x14ac:dyDescent="0.25">
      <c r="B21704" s="55" t="s">
        <v>283</v>
      </c>
      <c r="C21704" s="46">
        <v>1692</v>
      </c>
      <c r="D21704" s="69" t="s">
        <v>29420</v>
      </c>
      <c r="E21704" s="51"/>
      <c r="F21704" s="114" t="str">
        <f>IF(INDEX(I.Facility.P4IDNumber,1692)="","",INDEX(I.Facility.P4IDNumber,1692))</f>
        <v/>
      </c>
      <c r="G21704" s="51"/>
      <c r="H21704" s="46" t="str">
        <f>IF(AND(I.Developer.P4=TRUE,I.Facility.P4FacilityCount&gt;=1692,F21704=""),"Incomplete","Complete")</f>
        <v>Complete</v>
      </c>
      <c r="I21704" s="48" t="s">
        <v>26069</v>
      </c>
    </row>
    <row r="21705" spans="2:9" ht="15" customHeight="1" x14ac:dyDescent="0.25">
      <c r="B21705" s="55" t="s">
        <v>283</v>
      </c>
      <c r="C21705" s="46">
        <v>1693</v>
      </c>
      <c r="D21705" s="69" t="s">
        <v>29420</v>
      </c>
      <c r="E21705" s="51"/>
      <c r="F21705" s="114" t="str">
        <f>IF(INDEX(I.Facility.P4IDNumber,1693)="","",INDEX(I.Facility.P4IDNumber,1693))</f>
        <v/>
      </c>
      <c r="G21705" s="51"/>
      <c r="H21705" s="46" t="str">
        <f>IF(AND(I.Developer.P4=TRUE,I.Facility.P4FacilityCount&gt;=1693,F21705=""),"Incomplete","Complete")</f>
        <v>Complete</v>
      </c>
      <c r="I21705" s="48" t="s">
        <v>26070</v>
      </c>
    </row>
    <row r="21706" spans="2:9" ht="15" customHeight="1" x14ac:dyDescent="0.25">
      <c r="B21706" s="55" t="s">
        <v>283</v>
      </c>
      <c r="C21706" s="46">
        <v>1694</v>
      </c>
      <c r="D21706" s="69" t="s">
        <v>29420</v>
      </c>
      <c r="E21706" s="51"/>
      <c r="F21706" s="114" t="str">
        <f>IF(INDEX(I.Facility.P4IDNumber,1694)="","",INDEX(I.Facility.P4IDNumber,1694))</f>
        <v/>
      </c>
      <c r="G21706" s="51"/>
      <c r="H21706" s="46" t="str">
        <f>IF(AND(I.Developer.P4=TRUE,I.Facility.P4FacilityCount&gt;=1694,F21706=""),"Incomplete","Complete")</f>
        <v>Complete</v>
      </c>
      <c r="I21706" s="48" t="s">
        <v>26071</v>
      </c>
    </row>
    <row r="21707" spans="2:9" ht="15" customHeight="1" x14ac:dyDescent="0.25">
      <c r="B21707" s="55" t="s">
        <v>283</v>
      </c>
      <c r="C21707" s="46">
        <v>1695</v>
      </c>
      <c r="D21707" s="69" t="s">
        <v>29420</v>
      </c>
      <c r="E21707" s="51"/>
      <c r="F21707" s="114" t="str">
        <f>IF(INDEX(I.Facility.P4IDNumber,1695)="","",INDEX(I.Facility.P4IDNumber,1695))</f>
        <v/>
      </c>
      <c r="G21707" s="51"/>
      <c r="H21707" s="46" t="str">
        <f>IF(AND(I.Developer.P4=TRUE,I.Facility.P4FacilityCount&gt;=1695,F21707=""),"Incomplete","Complete")</f>
        <v>Complete</v>
      </c>
      <c r="I21707" s="48" t="s">
        <v>26072</v>
      </c>
    </row>
    <row r="21708" spans="2:9" ht="15" customHeight="1" x14ac:dyDescent="0.25">
      <c r="B21708" s="55" t="s">
        <v>283</v>
      </c>
      <c r="C21708" s="46">
        <v>1696</v>
      </c>
      <c r="D21708" s="69" t="s">
        <v>29420</v>
      </c>
      <c r="E21708" s="51"/>
      <c r="F21708" s="114" t="str">
        <f>IF(INDEX(I.Facility.P4IDNumber,1696)="","",INDEX(I.Facility.P4IDNumber,1696))</f>
        <v/>
      </c>
      <c r="G21708" s="51"/>
      <c r="H21708" s="46" t="str">
        <f>IF(AND(I.Developer.P4=TRUE,I.Facility.P4FacilityCount&gt;=1696,F21708=""),"Incomplete","Complete")</f>
        <v>Complete</v>
      </c>
      <c r="I21708" s="48" t="s">
        <v>26073</v>
      </c>
    </row>
    <row r="21709" spans="2:9" ht="15" customHeight="1" x14ac:dyDescent="0.25">
      <c r="B21709" s="55" t="s">
        <v>283</v>
      </c>
      <c r="C21709" s="46">
        <v>1697</v>
      </c>
      <c r="D21709" s="69" t="s">
        <v>29420</v>
      </c>
      <c r="E21709" s="51"/>
      <c r="F21709" s="114" t="str">
        <f>IF(INDEX(I.Facility.P4IDNumber,1697)="","",INDEX(I.Facility.P4IDNumber,1697))</f>
        <v/>
      </c>
      <c r="G21709" s="51"/>
      <c r="H21709" s="46" t="str">
        <f>IF(AND(I.Developer.P4=TRUE,I.Facility.P4FacilityCount&gt;=1697,F21709=""),"Incomplete","Complete")</f>
        <v>Complete</v>
      </c>
      <c r="I21709" s="48" t="s">
        <v>26074</v>
      </c>
    </row>
    <row r="21710" spans="2:9" ht="15" customHeight="1" x14ac:dyDescent="0.25">
      <c r="B21710" s="55" t="s">
        <v>283</v>
      </c>
      <c r="C21710" s="46">
        <v>1698</v>
      </c>
      <c r="D21710" s="69" t="s">
        <v>29420</v>
      </c>
      <c r="E21710" s="51"/>
      <c r="F21710" s="114" t="str">
        <f>IF(INDEX(I.Facility.P4IDNumber,1698)="","",INDEX(I.Facility.P4IDNumber,1698))</f>
        <v/>
      </c>
      <c r="G21710" s="51"/>
      <c r="H21710" s="46" t="str">
        <f>IF(AND(I.Developer.P4=TRUE,I.Facility.P4FacilityCount&gt;=1698,F21710=""),"Incomplete","Complete")</f>
        <v>Complete</v>
      </c>
      <c r="I21710" s="48" t="s">
        <v>26075</v>
      </c>
    </row>
    <row r="21711" spans="2:9" ht="15" customHeight="1" x14ac:dyDescent="0.25">
      <c r="B21711" s="55" t="s">
        <v>283</v>
      </c>
      <c r="C21711" s="46">
        <v>1699</v>
      </c>
      <c r="D21711" s="69" t="s">
        <v>29420</v>
      </c>
      <c r="E21711" s="51"/>
      <c r="F21711" s="114" t="str">
        <f>IF(INDEX(I.Facility.P4IDNumber,1699)="","",INDEX(I.Facility.P4IDNumber,1699))</f>
        <v/>
      </c>
      <c r="G21711" s="51"/>
      <c r="H21711" s="46" t="str">
        <f>IF(AND(I.Developer.P4=TRUE,I.Facility.P4FacilityCount&gt;=1699,F21711=""),"Incomplete","Complete")</f>
        <v>Complete</v>
      </c>
      <c r="I21711" s="48" t="s">
        <v>26076</v>
      </c>
    </row>
    <row r="21712" spans="2:9" ht="15" customHeight="1" x14ac:dyDescent="0.25">
      <c r="B21712" s="55" t="s">
        <v>283</v>
      </c>
      <c r="C21712" s="46">
        <v>1700</v>
      </c>
      <c r="D21712" s="69" t="s">
        <v>29420</v>
      </c>
      <c r="E21712" s="51"/>
      <c r="F21712" s="114" t="str">
        <f>IF(INDEX(I.Facility.P4IDNumber,1700)="","",INDEX(I.Facility.P4IDNumber,1700))</f>
        <v/>
      </c>
      <c r="G21712" s="51"/>
      <c r="H21712" s="46" t="str">
        <f>IF(AND(I.Developer.P4=TRUE,I.Facility.P4FacilityCount&gt;=1700,F21712=""),"Incomplete","Complete")</f>
        <v>Complete</v>
      </c>
      <c r="I21712" s="48" t="s">
        <v>26077</v>
      </c>
    </row>
    <row r="21713" spans="2:9" ht="15" customHeight="1" x14ac:dyDescent="0.25">
      <c r="B21713" s="55" t="s">
        <v>283</v>
      </c>
      <c r="C21713" s="46">
        <v>1701</v>
      </c>
      <c r="D21713" s="69" t="s">
        <v>29420</v>
      </c>
      <c r="E21713" s="51"/>
      <c r="F21713" s="114" t="str">
        <f>IF(INDEX(I.Facility.P4IDNumber,1701)="","",INDEX(I.Facility.P4IDNumber,1701))</f>
        <v/>
      </c>
      <c r="G21713" s="51"/>
      <c r="H21713" s="46" t="str">
        <f>IF(AND(I.Developer.P4=TRUE,I.Facility.P4FacilityCount&gt;=1701,F21713=""),"Incomplete","Complete")</f>
        <v>Complete</v>
      </c>
      <c r="I21713" s="48" t="s">
        <v>26078</v>
      </c>
    </row>
    <row r="21714" spans="2:9" ht="15" customHeight="1" x14ac:dyDescent="0.25">
      <c r="B21714" s="55" t="s">
        <v>283</v>
      </c>
      <c r="C21714" s="46">
        <v>1702</v>
      </c>
      <c r="D21714" s="69" t="s">
        <v>29420</v>
      </c>
      <c r="E21714" s="51"/>
      <c r="F21714" s="114" t="str">
        <f>IF(INDEX(I.Facility.P4IDNumber,1702)="","",INDEX(I.Facility.P4IDNumber,1702))</f>
        <v/>
      </c>
      <c r="G21714" s="51"/>
      <c r="H21714" s="46" t="str">
        <f>IF(AND(I.Developer.P4=TRUE,I.Facility.P4FacilityCount&gt;=1702,F21714=""),"Incomplete","Complete")</f>
        <v>Complete</v>
      </c>
      <c r="I21714" s="48" t="s">
        <v>26079</v>
      </c>
    </row>
    <row r="21715" spans="2:9" ht="15" customHeight="1" x14ac:dyDescent="0.25">
      <c r="B21715" s="55" t="s">
        <v>283</v>
      </c>
      <c r="C21715" s="46">
        <v>1703</v>
      </c>
      <c r="D21715" s="69" t="s">
        <v>29420</v>
      </c>
      <c r="E21715" s="51"/>
      <c r="F21715" s="114" t="str">
        <f>IF(INDEX(I.Facility.P4IDNumber,1703)="","",INDEX(I.Facility.P4IDNumber,1703))</f>
        <v/>
      </c>
      <c r="G21715" s="51"/>
      <c r="H21715" s="46" t="str">
        <f>IF(AND(I.Developer.P4=TRUE,I.Facility.P4FacilityCount&gt;=1703,F21715=""),"Incomplete","Complete")</f>
        <v>Complete</v>
      </c>
      <c r="I21715" s="48" t="s">
        <v>26080</v>
      </c>
    </row>
    <row r="21716" spans="2:9" ht="15" customHeight="1" x14ac:dyDescent="0.25">
      <c r="B21716" s="55" t="s">
        <v>283</v>
      </c>
      <c r="C21716" s="46">
        <v>1704</v>
      </c>
      <c r="D21716" s="69" t="s">
        <v>29420</v>
      </c>
      <c r="E21716" s="51"/>
      <c r="F21716" s="114" t="str">
        <f>IF(INDEX(I.Facility.P4IDNumber,1704)="","",INDEX(I.Facility.P4IDNumber,1704))</f>
        <v/>
      </c>
      <c r="G21716" s="51"/>
      <c r="H21716" s="46" t="str">
        <f>IF(AND(I.Developer.P4=TRUE,I.Facility.P4FacilityCount&gt;=1704,F21716=""),"Incomplete","Complete")</f>
        <v>Complete</v>
      </c>
      <c r="I21716" s="48" t="s">
        <v>26081</v>
      </c>
    </row>
    <row r="21717" spans="2:9" ht="15" customHeight="1" x14ac:dyDescent="0.25">
      <c r="B21717" s="55" t="s">
        <v>283</v>
      </c>
      <c r="C21717" s="46">
        <v>1705</v>
      </c>
      <c r="D21717" s="69" t="s">
        <v>29420</v>
      </c>
      <c r="E21717" s="51"/>
      <c r="F21717" s="114" t="str">
        <f>IF(INDEX(I.Facility.P4IDNumber,1705)="","",INDEX(I.Facility.P4IDNumber,1705))</f>
        <v/>
      </c>
      <c r="G21717" s="51"/>
      <c r="H21717" s="46" t="str">
        <f>IF(AND(I.Developer.P4=TRUE,I.Facility.P4FacilityCount&gt;=1705,F21717=""),"Incomplete","Complete")</f>
        <v>Complete</v>
      </c>
      <c r="I21717" s="48" t="s">
        <v>26082</v>
      </c>
    </row>
    <row r="21718" spans="2:9" ht="15" customHeight="1" x14ac:dyDescent="0.25">
      <c r="B21718" s="55" t="s">
        <v>283</v>
      </c>
      <c r="C21718" s="46">
        <v>1706</v>
      </c>
      <c r="D21718" s="69" t="s">
        <v>29420</v>
      </c>
      <c r="E21718" s="51"/>
      <c r="F21718" s="114" t="str">
        <f>IF(INDEX(I.Facility.P4IDNumber,1706)="","",INDEX(I.Facility.P4IDNumber,1706))</f>
        <v/>
      </c>
      <c r="G21718" s="51"/>
      <c r="H21718" s="46" t="str">
        <f>IF(AND(I.Developer.P4=TRUE,I.Facility.P4FacilityCount&gt;=1706,F21718=""),"Incomplete","Complete")</f>
        <v>Complete</v>
      </c>
      <c r="I21718" s="48" t="s">
        <v>26083</v>
      </c>
    </row>
    <row r="21719" spans="2:9" ht="15" customHeight="1" x14ac:dyDescent="0.25">
      <c r="B21719" s="55" t="s">
        <v>283</v>
      </c>
      <c r="C21719" s="46">
        <v>1707</v>
      </c>
      <c r="D21719" s="69" t="s">
        <v>29420</v>
      </c>
      <c r="E21719" s="51"/>
      <c r="F21719" s="114" t="str">
        <f>IF(INDEX(I.Facility.P4IDNumber,1707)="","",INDEX(I.Facility.P4IDNumber,1707))</f>
        <v/>
      </c>
      <c r="G21719" s="51"/>
      <c r="H21719" s="46" t="str">
        <f>IF(AND(I.Developer.P4=TRUE,I.Facility.P4FacilityCount&gt;=1707,F21719=""),"Incomplete","Complete")</f>
        <v>Complete</v>
      </c>
      <c r="I21719" s="48" t="s">
        <v>26084</v>
      </c>
    </row>
    <row r="21720" spans="2:9" ht="15" customHeight="1" x14ac:dyDescent="0.25">
      <c r="B21720" s="55" t="s">
        <v>283</v>
      </c>
      <c r="C21720" s="46">
        <v>1708</v>
      </c>
      <c r="D21720" s="69" t="s">
        <v>29420</v>
      </c>
      <c r="E21720" s="51"/>
      <c r="F21720" s="114" t="str">
        <f>IF(INDEX(I.Facility.P4IDNumber,1708)="","",INDEX(I.Facility.P4IDNumber,1708))</f>
        <v/>
      </c>
      <c r="G21720" s="51"/>
      <c r="H21720" s="46" t="str">
        <f>IF(AND(I.Developer.P4=TRUE,I.Facility.P4FacilityCount&gt;=1708,F21720=""),"Incomplete","Complete")</f>
        <v>Complete</v>
      </c>
      <c r="I21720" s="48" t="s">
        <v>26085</v>
      </c>
    </row>
    <row r="21721" spans="2:9" ht="15" customHeight="1" x14ac:dyDescent="0.25">
      <c r="B21721" s="55" t="s">
        <v>283</v>
      </c>
      <c r="C21721" s="46">
        <v>1709</v>
      </c>
      <c r="D21721" s="69" t="s">
        <v>29420</v>
      </c>
      <c r="E21721" s="51"/>
      <c r="F21721" s="114" t="str">
        <f>IF(INDEX(I.Facility.P4IDNumber,1709)="","",INDEX(I.Facility.P4IDNumber,1709))</f>
        <v/>
      </c>
      <c r="G21721" s="51"/>
      <c r="H21721" s="46" t="str">
        <f>IF(AND(I.Developer.P4=TRUE,I.Facility.P4FacilityCount&gt;=1709,F21721=""),"Incomplete","Complete")</f>
        <v>Complete</v>
      </c>
      <c r="I21721" s="48" t="s">
        <v>26086</v>
      </c>
    </row>
    <row r="21722" spans="2:9" ht="15" customHeight="1" x14ac:dyDescent="0.25">
      <c r="B21722" s="55" t="s">
        <v>283</v>
      </c>
      <c r="C21722" s="46">
        <v>1710</v>
      </c>
      <c r="D21722" s="69" t="s">
        <v>29420</v>
      </c>
      <c r="E21722" s="51"/>
      <c r="F21722" s="114" t="str">
        <f>IF(INDEX(I.Facility.P4IDNumber,1710)="","",INDEX(I.Facility.P4IDNumber,1710))</f>
        <v/>
      </c>
      <c r="G21722" s="51"/>
      <c r="H21722" s="46" t="str">
        <f>IF(AND(I.Developer.P4=TRUE,I.Facility.P4FacilityCount&gt;=1710,F21722=""),"Incomplete","Complete")</f>
        <v>Complete</v>
      </c>
      <c r="I21722" s="48" t="s">
        <v>26087</v>
      </c>
    </row>
    <row r="21723" spans="2:9" ht="15" customHeight="1" x14ac:dyDescent="0.25">
      <c r="B21723" s="55" t="s">
        <v>283</v>
      </c>
      <c r="C21723" s="46">
        <v>1711</v>
      </c>
      <c r="D21723" s="69" t="s">
        <v>29420</v>
      </c>
      <c r="E21723" s="51"/>
      <c r="F21723" s="114" t="str">
        <f>IF(INDEX(I.Facility.P4IDNumber,1711)="","",INDEX(I.Facility.P4IDNumber,1711))</f>
        <v/>
      </c>
      <c r="G21723" s="51"/>
      <c r="H21723" s="46" t="str">
        <f>IF(AND(I.Developer.P4=TRUE,I.Facility.P4FacilityCount&gt;=1711,F21723=""),"Incomplete","Complete")</f>
        <v>Complete</v>
      </c>
      <c r="I21723" s="48" t="s">
        <v>26088</v>
      </c>
    </row>
    <row r="21724" spans="2:9" ht="15" customHeight="1" x14ac:dyDescent="0.25">
      <c r="B21724" s="55" t="s">
        <v>283</v>
      </c>
      <c r="C21724" s="46">
        <v>1712</v>
      </c>
      <c r="D21724" s="69" t="s">
        <v>29420</v>
      </c>
      <c r="E21724" s="51"/>
      <c r="F21724" s="114" t="str">
        <f>IF(INDEX(I.Facility.P4IDNumber,1712)="","",INDEX(I.Facility.P4IDNumber,1712))</f>
        <v/>
      </c>
      <c r="G21724" s="51"/>
      <c r="H21724" s="46" t="str">
        <f>IF(AND(I.Developer.P4=TRUE,I.Facility.P4FacilityCount&gt;=1712,F21724=""),"Incomplete","Complete")</f>
        <v>Complete</v>
      </c>
      <c r="I21724" s="48" t="s">
        <v>26089</v>
      </c>
    </row>
    <row r="21725" spans="2:9" ht="15" customHeight="1" x14ac:dyDescent="0.25">
      <c r="B21725" s="55" t="s">
        <v>283</v>
      </c>
      <c r="C21725" s="46">
        <v>1713</v>
      </c>
      <c r="D21725" s="69" t="s">
        <v>29420</v>
      </c>
      <c r="E21725" s="51"/>
      <c r="F21725" s="114" t="str">
        <f>IF(INDEX(I.Facility.P4IDNumber,1713)="","",INDEX(I.Facility.P4IDNumber,1713))</f>
        <v/>
      </c>
      <c r="G21725" s="51"/>
      <c r="H21725" s="46" t="str">
        <f>IF(AND(I.Developer.P4=TRUE,I.Facility.P4FacilityCount&gt;=1713,F21725=""),"Incomplete","Complete")</f>
        <v>Complete</v>
      </c>
      <c r="I21725" s="48" t="s">
        <v>26090</v>
      </c>
    </row>
    <row r="21726" spans="2:9" ht="15" customHeight="1" x14ac:dyDescent="0.25">
      <c r="B21726" s="55" t="s">
        <v>283</v>
      </c>
      <c r="C21726" s="46">
        <v>1714</v>
      </c>
      <c r="D21726" s="69" t="s">
        <v>29420</v>
      </c>
      <c r="E21726" s="51"/>
      <c r="F21726" s="114" t="str">
        <f>IF(INDEX(I.Facility.P4IDNumber,1714)="","",INDEX(I.Facility.P4IDNumber,1714))</f>
        <v/>
      </c>
      <c r="G21726" s="51"/>
      <c r="H21726" s="46" t="str">
        <f>IF(AND(I.Developer.P4=TRUE,I.Facility.P4FacilityCount&gt;=1714,F21726=""),"Incomplete","Complete")</f>
        <v>Complete</v>
      </c>
      <c r="I21726" s="48" t="s">
        <v>26091</v>
      </c>
    </row>
    <row r="21727" spans="2:9" ht="15" customHeight="1" x14ac:dyDescent="0.25">
      <c r="B21727" s="55" t="s">
        <v>283</v>
      </c>
      <c r="C21727" s="46">
        <v>1715</v>
      </c>
      <c r="D21727" s="69" t="s">
        <v>29420</v>
      </c>
      <c r="E21727" s="51"/>
      <c r="F21727" s="114" t="str">
        <f>IF(INDEX(I.Facility.P4IDNumber,1715)="","",INDEX(I.Facility.P4IDNumber,1715))</f>
        <v/>
      </c>
      <c r="G21727" s="51"/>
      <c r="H21727" s="46" t="str">
        <f>IF(AND(I.Developer.P4=TRUE,I.Facility.P4FacilityCount&gt;=1715,F21727=""),"Incomplete","Complete")</f>
        <v>Complete</v>
      </c>
      <c r="I21727" s="48" t="s">
        <v>26092</v>
      </c>
    </row>
    <row r="21728" spans="2:9" ht="15" customHeight="1" x14ac:dyDescent="0.25">
      <c r="B21728" s="55" t="s">
        <v>283</v>
      </c>
      <c r="C21728" s="46">
        <v>1716</v>
      </c>
      <c r="D21728" s="69" t="s">
        <v>29420</v>
      </c>
      <c r="E21728" s="51"/>
      <c r="F21728" s="114" t="str">
        <f>IF(INDEX(I.Facility.P4IDNumber,1716)="","",INDEX(I.Facility.P4IDNumber,1716))</f>
        <v/>
      </c>
      <c r="G21728" s="51"/>
      <c r="H21728" s="46" t="str">
        <f>IF(AND(I.Developer.P4=TRUE,I.Facility.P4FacilityCount&gt;=1716,F21728=""),"Incomplete","Complete")</f>
        <v>Complete</v>
      </c>
      <c r="I21728" s="48" t="s">
        <v>26093</v>
      </c>
    </row>
    <row r="21729" spans="2:9" ht="15" customHeight="1" x14ac:dyDescent="0.25">
      <c r="B21729" s="55" t="s">
        <v>283</v>
      </c>
      <c r="C21729" s="46">
        <v>1717</v>
      </c>
      <c r="D21729" s="69" t="s">
        <v>29420</v>
      </c>
      <c r="E21729" s="51"/>
      <c r="F21729" s="114" t="str">
        <f>IF(INDEX(I.Facility.P4IDNumber,1717)="","",INDEX(I.Facility.P4IDNumber,1717))</f>
        <v/>
      </c>
      <c r="G21729" s="51"/>
      <c r="H21729" s="46" t="str">
        <f>IF(AND(I.Developer.P4=TRUE,I.Facility.P4FacilityCount&gt;=1717,F21729=""),"Incomplete","Complete")</f>
        <v>Complete</v>
      </c>
      <c r="I21729" s="48" t="s">
        <v>26094</v>
      </c>
    </row>
    <row r="21730" spans="2:9" ht="15" customHeight="1" x14ac:dyDescent="0.25">
      <c r="B21730" s="55" t="s">
        <v>283</v>
      </c>
      <c r="C21730" s="46">
        <v>1718</v>
      </c>
      <c r="D21730" s="69" t="s">
        <v>29420</v>
      </c>
      <c r="E21730" s="51"/>
      <c r="F21730" s="114" t="str">
        <f>IF(INDEX(I.Facility.P4IDNumber,1718)="","",INDEX(I.Facility.P4IDNumber,1718))</f>
        <v/>
      </c>
      <c r="G21730" s="51"/>
      <c r="H21730" s="46" t="str">
        <f>IF(AND(I.Developer.P4=TRUE,I.Facility.P4FacilityCount&gt;=1718,F21730=""),"Incomplete","Complete")</f>
        <v>Complete</v>
      </c>
      <c r="I21730" s="48" t="s">
        <v>26095</v>
      </c>
    </row>
    <row r="21731" spans="2:9" ht="15" customHeight="1" x14ac:dyDescent="0.25">
      <c r="B21731" s="55" t="s">
        <v>283</v>
      </c>
      <c r="C21731" s="46">
        <v>1719</v>
      </c>
      <c r="D21731" s="69" t="s">
        <v>29420</v>
      </c>
      <c r="E21731" s="51"/>
      <c r="F21731" s="114" t="str">
        <f>IF(INDEX(I.Facility.P4IDNumber,1719)="","",INDEX(I.Facility.P4IDNumber,1719))</f>
        <v/>
      </c>
      <c r="G21731" s="51"/>
      <c r="H21731" s="46" t="str">
        <f>IF(AND(I.Developer.P4=TRUE,I.Facility.P4FacilityCount&gt;=1719,F21731=""),"Incomplete","Complete")</f>
        <v>Complete</v>
      </c>
      <c r="I21731" s="48" t="s">
        <v>26096</v>
      </c>
    </row>
    <row r="21732" spans="2:9" ht="15" customHeight="1" x14ac:dyDescent="0.25">
      <c r="B21732" s="55" t="s">
        <v>283</v>
      </c>
      <c r="C21732" s="46">
        <v>1720</v>
      </c>
      <c r="D21732" s="69" t="s">
        <v>29420</v>
      </c>
      <c r="E21732" s="51"/>
      <c r="F21732" s="114" t="str">
        <f>IF(INDEX(I.Facility.P4IDNumber,1720)="","",INDEX(I.Facility.P4IDNumber,1720))</f>
        <v/>
      </c>
      <c r="G21732" s="51"/>
      <c r="H21732" s="46" t="str">
        <f>IF(AND(I.Developer.P4=TRUE,I.Facility.P4FacilityCount&gt;=1720,F21732=""),"Incomplete","Complete")</f>
        <v>Complete</v>
      </c>
      <c r="I21732" s="48" t="s">
        <v>26097</v>
      </c>
    </row>
    <row r="21733" spans="2:9" ht="15" customHeight="1" x14ac:dyDescent="0.25">
      <c r="B21733" s="55" t="s">
        <v>283</v>
      </c>
      <c r="C21733" s="46">
        <v>1721</v>
      </c>
      <c r="D21733" s="69" t="s">
        <v>29420</v>
      </c>
      <c r="E21733" s="51"/>
      <c r="F21733" s="114" t="str">
        <f>IF(INDEX(I.Facility.P4IDNumber,1721)="","",INDEX(I.Facility.P4IDNumber,1721))</f>
        <v/>
      </c>
      <c r="G21733" s="51"/>
      <c r="H21733" s="46" t="str">
        <f>IF(AND(I.Developer.P4=TRUE,I.Facility.P4FacilityCount&gt;=1721,F21733=""),"Incomplete","Complete")</f>
        <v>Complete</v>
      </c>
      <c r="I21733" s="48" t="s">
        <v>26098</v>
      </c>
    </row>
    <row r="21734" spans="2:9" ht="15" customHeight="1" x14ac:dyDescent="0.25">
      <c r="B21734" s="55" t="s">
        <v>283</v>
      </c>
      <c r="C21734" s="46">
        <v>1722</v>
      </c>
      <c r="D21734" s="69" t="s">
        <v>29420</v>
      </c>
      <c r="E21734" s="51"/>
      <c r="F21734" s="114" t="str">
        <f>IF(INDEX(I.Facility.P4IDNumber,1722)="","",INDEX(I.Facility.P4IDNumber,1722))</f>
        <v/>
      </c>
      <c r="G21734" s="51"/>
      <c r="H21734" s="46" t="str">
        <f>IF(AND(I.Developer.P4=TRUE,I.Facility.P4FacilityCount&gt;=1722,F21734=""),"Incomplete","Complete")</f>
        <v>Complete</v>
      </c>
      <c r="I21734" s="48" t="s">
        <v>26099</v>
      </c>
    </row>
    <row r="21735" spans="2:9" ht="15" customHeight="1" x14ac:dyDescent="0.25">
      <c r="B21735" s="55" t="s">
        <v>283</v>
      </c>
      <c r="C21735" s="46">
        <v>1723</v>
      </c>
      <c r="D21735" s="69" t="s">
        <v>29420</v>
      </c>
      <c r="E21735" s="51"/>
      <c r="F21735" s="114" t="str">
        <f>IF(INDEX(I.Facility.P4IDNumber,1723)="","",INDEX(I.Facility.P4IDNumber,1723))</f>
        <v/>
      </c>
      <c r="G21735" s="51"/>
      <c r="H21735" s="46" t="str">
        <f>IF(AND(I.Developer.P4=TRUE,I.Facility.P4FacilityCount&gt;=1723,F21735=""),"Incomplete","Complete")</f>
        <v>Complete</v>
      </c>
      <c r="I21735" s="48" t="s">
        <v>26100</v>
      </c>
    </row>
    <row r="21736" spans="2:9" ht="15" customHeight="1" x14ac:dyDescent="0.25">
      <c r="B21736" s="55" t="s">
        <v>283</v>
      </c>
      <c r="C21736" s="46">
        <v>1724</v>
      </c>
      <c r="D21736" s="69" t="s">
        <v>29420</v>
      </c>
      <c r="E21736" s="51"/>
      <c r="F21736" s="114" t="str">
        <f>IF(INDEX(I.Facility.P4IDNumber,1724)="","",INDEX(I.Facility.P4IDNumber,1724))</f>
        <v/>
      </c>
      <c r="G21736" s="51"/>
      <c r="H21736" s="46" t="str">
        <f>IF(AND(I.Developer.P4=TRUE,I.Facility.P4FacilityCount&gt;=1724,F21736=""),"Incomplete","Complete")</f>
        <v>Complete</v>
      </c>
      <c r="I21736" s="48" t="s">
        <v>26101</v>
      </c>
    </row>
    <row r="21737" spans="2:9" ht="15" customHeight="1" x14ac:dyDescent="0.25">
      <c r="B21737" s="55" t="s">
        <v>283</v>
      </c>
      <c r="C21737" s="46">
        <v>1725</v>
      </c>
      <c r="D21737" s="69" t="s">
        <v>29420</v>
      </c>
      <c r="E21737" s="51"/>
      <c r="F21737" s="114" t="str">
        <f>IF(INDEX(I.Facility.P4IDNumber,1725)="","",INDEX(I.Facility.P4IDNumber,1725))</f>
        <v/>
      </c>
      <c r="G21737" s="51"/>
      <c r="H21737" s="46" t="str">
        <f>IF(AND(I.Developer.P4=TRUE,I.Facility.P4FacilityCount&gt;=1725,F21737=""),"Incomplete","Complete")</f>
        <v>Complete</v>
      </c>
      <c r="I21737" s="48" t="s">
        <v>26102</v>
      </c>
    </row>
    <row r="21738" spans="2:9" ht="15" customHeight="1" x14ac:dyDescent="0.25">
      <c r="B21738" s="55" t="s">
        <v>283</v>
      </c>
      <c r="C21738" s="46">
        <v>1726</v>
      </c>
      <c r="D21738" s="69" t="s">
        <v>29420</v>
      </c>
      <c r="E21738" s="51"/>
      <c r="F21738" s="114" t="str">
        <f>IF(INDEX(I.Facility.P4IDNumber,1726)="","",INDEX(I.Facility.P4IDNumber,1726))</f>
        <v/>
      </c>
      <c r="G21738" s="51"/>
      <c r="H21738" s="46" t="str">
        <f>IF(AND(I.Developer.P4=TRUE,I.Facility.P4FacilityCount&gt;=1726,F21738=""),"Incomplete","Complete")</f>
        <v>Complete</v>
      </c>
      <c r="I21738" s="48" t="s">
        <v>26103</v>
      </c>
    </row>
    <row r="21739" spans="2:9" ht="15" customHeight="1" x14ac:dyDescent="0.25">
      <c r="B21739" s="55" t="s">
        <v>283</v>
      </c>
      <c r="C21739" s="46">
        <v>1727</v>
      </c>
      <c r="D21739" s="69" t="s">
        <v>29420</v>
      </c>
      <c r="E21739" s="51"/>
      <c r="F21739" s="114" t="str">
        <f>IF(INDEX(I.Facility.P4IDNumber,1727)="","",INDEX(I.Facility.P4IDNumber,1727))</f>
        <v/>
      </c>
      <c r="G21739" s="51"/>
      <c r="H21739" s="46" t="str">
        <f>IF(AND(I.Developer.P4=TRUE,I.Facility.P4FacilityCount&gt;=1727,F21739=""),"Incomplete","Complete")</f>
        <v>Complete</v>
      </c>
      <c r="I21739" s="48" t="s">
        <v>26104</v>
      </c>
    </row>
    <row r="21740" spans="2:9" ht="15" customHeight="1" x14ac:dyDescent="0.25">
      <c r="B21740" s="55" t="s">
        <v>283</v>
      </c>
      <c r="C21740" s="46">
        <v>1728</v>
      </c>
      <c r="D21740" s="69" t="s">
        <v>29420</v>
      </c>
      <c r="E21740" s="51"/>
      <c r="F21740" s="114" t="str">
        <f>IF(INDEX(I.Facility.P4IDNumber,1728)="","",INDEX(I.Facility.P4IDNumber,1728))</f>
        <v/>
      </c>
      <c r="G21740" s="51"/>
      <c r="H21740" s="46" t="str">
        <f>IF(AND(I.Developer.P4=TRUE,I.Facility.P4FacilityCount&gt;=1728,F21740=""),"Incomplete","Complete")</f>
        <v>Complete</v>
      </c>
      <c r="I21740" s="48" t="s">
        <v>26105</v>
      </c>
    </row>
    <row r="21741" spans="2:9" ht="15" customHeight="1" x14ac:dyDescent="0.25">
      <c r="B21741" s="55" t="s">
        <v>283</v>
      </c>
      <c r="C21741" s="46">
        <v>1729</v>
      </c>
      <c r="D21741" s="69" t="s">
        <v>29420</v>
      </c>
      <c r="E21741" s="51"/>
      <c r="F21741" s="114" t="str">
        <f>IF(INDEX(I.Facility.P4IDNumber,1729)="","",INDEX(I.Facility.P4IDNumber,1729))</f>
        <v/>
      </c>
      <c r="G21741" s="51"/>
      <c r="H21741" s="46" t="str">
        <f>IF(AND(I.Developer.P4=TRUE,I.Facility.P4FacilityCount&gt;=1729,F21741=""),"Incomplete","Complete")</f>
        <v>Complete</v>
      </c>
      <c r="I21741" s="48" t="s">
        <v>26106</v>
      </c>
    </row>
    <row r="21742" spans="2:9" ht="15" customHeight="1" x14ac:dyDescent="0.25">
      <c r="B21742" s="55" t="s">
        <v>283</v>
      </c>
      <c r="C21742" s="46">
        <v>1730</v>
      </c>
      <c r="D21742" s="69" t="s">
        <v>29420</v>
      </c>
      <c r="E21742" s="51"/>
      <c r="F21742" s="114" t="str">
        <f>IF(INDEX(I.Facility.P4IDNumber,1730)="","",INDEX(I.Facility.P4IDNumber,1730))</f>
        <v/>
      </c>
      <c r="G21742" s="51"/>
      <c r="H21742" s="46" t="str">
        <f>IF(AND(I.Developer.P4=TRUE,I.Facility.P4FacilityCount&gt;=1730,F21742=""),"Incomplete","Complete")</f>
        <v>Complete</v>
      </c>
      <c r="I21742" s="48" t="s">
        <v>26107</v>
      </c>
    </row>
    <row r="21743" spans="2:9" ht="15" customHeight="1" x14ac:dyDescent="0.25">
      <c r="B21743" s="55" t="s">
        <v>283</v>
      </c>
      <c r="C21743" s="46">
        <v>1731</v>
      </c>
      <c r="D21743" s="69" t="s">
        <v>29420</v>
      </c>
      <c r="E21743" s="51"/>
      <c r="F21743" s="114" t="str">
        <f>IF(INDEX(I.Facility.P4IDNumber,1731)="","",INDEX(I.Facility.P4IDNumber,1731))</f>
        <v/>
      </c>
      <c r="G21743" s="51"/>
      <c r="H21743" s="46" t="str">
        <f>IF(AND(I.Developer.P4=TRUE,I.Facility.P4FacilityCount&gt;=1731,F21743=""),"Incomplete","Complete")</f>
        <v>Complete</v>
      </c>
      <c r="I21743" s="48" t="s">
        <v>26108</v>
      </c>
    </row>
    <row r="21744" spans="2:9" ht="15" customHeight="1" x14ac:dyDescent="0.25">
      <c r="B21744" s="55" t="s">
        <v>283</v>
      </c>
      <c r="C21744" s="46">
        <v>1732</v>
      </c>
      <c r="D21744" s="69" t="s">
        <v>29420</v>
      </c>
      <c r="E21744" s="51"/>
      <c r="F21744" s="114" t="str">
        <f>IF(INDEX(I.Facility.P4IDNumber,1732)="","",INDEX(I.Facility.P4IDNumber,1732))</f>
        <v/>
      </c>
      <c r="G21744" s="51"/>
      <c r="H21744" s="46" t="str">
        <f>IF(AND(I.Developer.P4=TRUE,I.Facility.P4FacilityCount&gt;=1732,F21744=""),"Incomplete","Complete")</f>
        <v>Complete</v>
      </c>
      <c r="I21744" s="48" t="s">
        <v>26109</v>
      </c>
    </row>
    <row r="21745" spans="2:9" ht="15" customHeight="1" x14ac:dyDescent="0.25">
      <c r="B21745" s="55" t="s">
        <v>283</v>
      </c>
      <c r="C21745" s="46">
        <v>1733</v>
      </c>
      <c r="D21745" s="69" t="s">
        <v>29420</v>
      </c>
      <c r="E21745" s="51"/>
      <c r="F21745" s="114" t="str">
        <f>IF(INDEX(I.Facility.P4IDNumber,1733)="","",INDEX(I.Facility.P4IDNumber,1733))</f>
        <v/>
      </c>
      <c r="G21745" s="51"/>
      <c r="H21745" s="46" t="str">
        <f>IF(AND(I.Developer.P4=TRUE,I.Facility.P4FacilityCount&gt;=1733,F21745=""),"Incomplete","Complete")</f>
        <v>Complete</v>
      </c>
      <c r="I21745" s="48" t="s">
        <v>26110</v>
      </c>
    </row>
    <row r="21746" spans="2:9" ht="15" customHeight="1" x14ac:dyDescent="0.25">
      <c r="B21746" s="55" t="s">
        <v>283</v>
      </c>
      <c r="C21746" s="46">
        <v>1734</v>
      </c>
      <c r="D21746" s="69" t="s">
        <v>29420</v>
      </c>
      <c r="E21746" s="51"/>
      <c r="F21746" s="114" t="str">
        <f>IF(INDEX(I.Facility.P4IDNumber,1734)="","",INDEX(I.Facility.P4IDNumber,1734))</f>
        <v/>
      </c>
      <c r="G21746" s="51"/>
      <c r="H21746" s="46" t="str">
        <f>IF(AND(I.Developer.P4=TRUE,I.Facility.P4FacilityCount&gt;=1734,F21746=""),"Incomplete","Complete")</f>
        <v>Complete</v>
      </c>
      <c r="I21746" s="48" t="s">
        <v>26111</v>
      </c>
    </row>
    <row r="21747" spans="2:9" ht="15" customHeight="1" x14ac:dyDescent="0.25">
      <c r="B21747" s="55" t="s">
        <v>283</v>
      </c>
      <c r="C21747" s="46">
        <v>1735</v>
      </c>
      <c r="D21747" s="69" t="s">
        <v>29420</v>
      </c>
      <c r="E21747" s="51"/>
      <c r="F21747" s="114" t="str">
        <f>IF(INDEX(I.Facility.P4IDNumber,1735)="","",INDEX(I.Facility.P4IDNumber,1735))</f>
        <v/>
      </c>
      <c r="G21747" s="51"/>
      <c r="H21747" s="46" t="str">
        <f>IF(AND(I.Developer.P4=TRUE,I.Facility.P4FacilityCount&gt;=1735,F21747=""),"Incomplete","Complete")</f>
        <v>Complete</v>
      </c>
      <c r="I21747" s="48" t="s">
        <v>26112</v>
      </c>
    </row>
    <row r="21748" spans="2:9" ht="15" customHeight="1" x14ac:dyDescent="0.25">
      <c r="B21748" s="55" t="s">
        <v>283</v>
      </c>
      <c r="C21748" s="46">
        <v>1736</v>
      </c>
      <c r="D21748" s="69" t="s">
        <v>29420</v>
      </c>
      <c r="E21748" s="51"/>
      <c r="F21748" s="114" t="str">
        <f>IF(INDEX(I.Facility.P4IDNumber,1736)="","",INDEX(I.Facility.P4IDNumber,1736))</f>
        <v/>
      </c>
      <c r="G21748" s="51"/>
      <c r="H21748" s="46" t="str">
        <f>IF(AND(I.Developer.P4=TRUE,I.Facility.P4FacilityCount&gt;=1736,F21748=""),"Incomplete","Complete")</f>
        <v>Complete</v>
      </c>
      <c r="I21748" s="48" t="s">
        <v>26113</v>
      </c>
    </row>
    <row r="21749" spans="2:9" ht="15" customHeight="1" x14ac:dyDescent="0.25">
      <c r="B21749" s="55" t="s">
        <v>283</v>
      </c>
      <c r="C21749" s="46">
        <v>1737</v>
      </c>
      <c r="D21749" s="69" t="s">
        <v>29420</v>
      </c>
      <c r="E21749" s="51"/>
      <c r="F21749" s="114" t="str">
        <f>IF(INDEX(I.Facility.P4IDNumber,1737)="","",INDEX(I.Facility.P4IDNumber,1737))</f>
        <v/>
      </c>
      <c r="G21749" s="51"/>
      <c r="H21749" s="46" t="str">
        <f>IF(AND(I.Developer.P4=TRUE,I.Facility.P4FacilityCount&gt;=1737,F21749=""),"Incomplete","Complete")</f>
        <v>Complete</v>
      </c>
      <c r="I21749" s="48" t="s">
        <v>26114</v>
      </c>
    </row>
    <row r="21750" spans="2:9" ht="15" customHeight="1" x14ac:dyDescent="0.25">
      <c r="B21750" s="55" t="s">
        <v>283</v>
      </c>
      <c r="C21750" s="46">
        <v>1738</v>
      </c>
      <c r="D21750" s="69" t="s">
        <v>29420</v>
      </c>
      <c r="E21750" s="51"/>
      <c r="F21750" s="114" t="str">
        <f>IF(INDEX(I.Facility.P4IDNumber,1738)="","",INDEX(I.Facility.P4IDNumber,1738))</f>
        <v/>
      </c>
      <c r="G21750" s="51"/>
      <c r="H21750" s="46" t="str">
        <f>IF(AND(I.Developer.P4=TRUE,I.Facility.P4FacilityCount&gt;=1738,F21750=""),"Incomplete","Complete")</f>
        <v>Complete</v>
      </c>
      <c r="I21750" s="48" t="s">
        <v>26115</v>
      </c>
    </row>
    <row r="21751" spans="2:9" ht="15" customHeight="1" x14ac:dyDescent="0.25">
      <c r="B21751" s="55" t="s">
        <v>283</v>
      </c>
      <c r="C21751" s="46">
        <v>1739</v>
      </c>
      <c r="D21751" s="69" t="s">
        <v>29420</v>
      </c>
      <c r="E21751" s="51"/>
      <c r="F21751" s="114" t="str">
        <f>IF(INDEX(I.Facility.P4IDNumber,1739)="","",INDEX(I.Facility.P4IDNumber,1739))</f>
        <v/>
      </c>
      <c r="G21751" s="51"/>
      <c r="H21751" s="46" t="str">
        <f>IF(AND(I.Developer.P4=TRUE,I.Facility.P4FacilityCount&gt;=1739,F21751=""),"Incomplete","Complete")</f>
        <v>Complete</v>
      </c>
      <c r="I21751" s="48" t="s">
        <v>26116</v>
      </c>
    </row>
    <row r="21752" spans="2:9" ht="15" customHeight="1" x14ac:dyDescent="0.25">
      <c r="B21752" s="55" t="s">
        <v>283</v>
      </c>
      <c r="C21752" s="46">
        <v>1740</v>
      </c>
      <c r="D21752" s="69" t="s">
        <v>29420</v>
      </c>
      <c r="E21752" s="51"/>
      <c r="F21752" s="114" t="str">
        <f>IF(INDEX(I.Facility.P4IDNumber,1740)="","",INDEX(I.Facility.P4IDNumber,1740))</f>
        <v/>
      </c>
      <c r="G21752" s="51"/>
      <c r="H21752" s="46" t="str">
        <f>IF(AND(I.Developer.P4=TRUE,I.Facility.P4FacilityCount&gt;=1740,F21752=""),"Incomplete","Complete")</f>
        <v>Complete</v>
      </c>
      <c r="I21752" s="48" t="s">
        <v>26117</v>
      </c>
    </row>
    <row r="21753" spans="2:9" ht="15" customHeight="1" x14ac:dyDescent="0.25">
      <c r="B21753" s="55" t="s">
        <v>283</v>
      </c>
      <c r="C21753" s="46">
        <v>1741</v>
      </c>
      <c r="D21753" s="69" t="s">
        <v>29420</v>
      </c>
      <c r="E21753" s="51"/>
      <c r="F21753" s="114" t="str">
        <f>IF(INDEX(I.Facility.P4IDNumber,1741)="","",INDEX(I.Facility.P4IDNumber,1741))</f>
        <v/>
      </c>
      <c r="G21753" s="51"/>
      <c r="H21753" s="46" t="str">
        <f>IF(AND(I.Developer.P4=TRUE,I.Facility.P4FacilityCount&gt;=1741,F21753=""),"Incomplete","Complete")</f>
        <v>Complete</v>
      </c>
      <c r="I21753" s="48" t="s">
        <v>26118</v>
      </c>
    </row>
    <row r="21754" spans="2:9" ht="15" customHeight="1" x14ac:dyDescent="0.25">
      <c r="B21754" s="55" t="s">
        <v>283</v>
      </c>
      <c r="C21754" s="46">
        <v>1742</v>
      </c>
      <c r="D21754" s="69" t="s">
        <v>29420</v>
      </c>
      <c r="E21754" s="51"/>
      <c r="F21754" s="114" t="str">
        <f>IF(INDEX(I.Facility.P4IDNumber,1742)="","",INDEX(I.Facility.P4IDNumber,1742))</f>
        <v/>
      </c>
      <c r="G21754" s="51"/>
      <c r="H21754" s="46" t="str">
        <f>IF(AND(I.Developer.P4=TRUE,I.Facility.P4FacilityCount&gt;=1742,F21754=""),"Incomplete","Complete")</f>
        <v>Complete</v>
      </c>
      <c r="I21754" s="48" t="s">
        <v>26119</v>
      </c>
    </row>
    <row r="21755" spans="2:9" ht="15" customHeight="1" x14ac:dyDescent="0.25">
      <c r="B21755" s="55" t="s">
        <v>283</v>
      </c>
      <c r="C21755" s="46">
        <v>1743</v>
      </c>
      <c r="D21755" s="69" t="s">
        <v>29420</v>
      </c>
      <c r="E21755" s="51"/>
      <c r="F21755" s="114" t="str">
        <f>IF(INDEX(I.Facility.P4IDNumber,1743)="","",INDEX(I.Facility.P4IDNumber,1743))</f>
        <v/>
      </c>
      <c r="G21755" s="51"/>
      <c r="H21755" s="46" t="str">
        <f>IF(AND(I.Developer.P4=TRUE,I.Facility.P4FacilityCount&gt;=1743,F21755=""),"Incomplete","Complete")</f>
        <v>Complete</v>
      </c>
      <c r="I21755" s="48" t="s">
        <v>26120</v>
      </c>
    </row>
    <row r="21756" spans="2:9" ht="15" customHeight="1" x14ac:dyDescent="0.25">
      <c r="B21756" s="55" t="s">
        <v>283</v>
      </c>
      <c r="C21756" s="46">
        <v>1744</v>
      </c>
      <c r="D21756" s="69" t="s">
        <v>29420</v>
      </c>
      <c r="E21756" s="51"/>
      <c r="F21756" s="114" t="str">
        <f>IF(INDEX(I.Facility.P4IDNumber,1744)="","",INDEX(I.Facility.P4IDNumber,1744))</f>
        <v/>
      </c>
      <c r="G21756" s="51"/>
      <c r="H21756" s="46" t="str">
        <f>IF(AND(I.Developer.P4=TRUE,I.Facility.P4FacilityCount&gt;=1744,F21756=""),"Incomplete","Complete")</f>
        <v>Complete</v>
      </c>
      <c r="I21756" s="48" t="s">
        <v>26121</v>
      </c>
    </row>
    <row r="21757" spans="2:9" ht="15" customHeight="1" x14ac:dyDescent="0.25">
      <c r="B21757" s="55" t="s">
        <v>283</v>
      </c>
      <c r="C21757" s="46">
        <v>1745</v>
      </c>
      <c r="D21757" s="69" t="s">
        <v>29420</v>
      </c>
      <c r="E21757" s="51"/>
      <c r="F21757" s="114" t="str">
        <f>IF(INDEX(I.Facility.P4IDNumber,1745)="","",INDEX(I.Facility.P4IDNumber,1745))</f>
        <v/>
      </c>
      <c r="G21757" s="51"/>
      <c r="H21757" s="46" t="str">
        <f>IF(AND(I.Developer.P4=TRUE,I.Facility.P4FacilityCount&gt;=1745,F21757=""),"Incomplete","Complete")</f>
        <v>Complete</v>
      </c>
      <c r="I21757" s="48" t="s">
        <v>26122</v>
      </c>
    </row>
    <row r="21758" spans="2:9" ht="15" customHeight="1" x14ac:dyDescent="0.25">
      <c r="B21758" s="55" t="s">
        <v>283</v>
      </c>
      <c r="C21758" s="46">
        <v>1746</v>
      </c>
      <c r="D21758" s="69" t="s">
        <v>29420</v>
      </c>
      <c r="E21758" s="51"/>
      <c r="F21758" s="114" t="str">
        <f>IF(INDEX(I.Facility.P4IDNumber,1746)="","",INDEX(I.Facility.P4IDNumber,1746))</f>
        <v/>
      </c>
      <c r="G21758" s="51"/>
      <c r="H21758" s="46" t="str">
        <f>IF(AND(I.Developer.P4=TRUE,I.Facility.P4FacilityCount&gt;=1746,F21758=""),"Incomplete","Complete")</f>
        <v>Complete</v>
      </c>
      <c r="I21758" s="48" t="s">
        <v>26123</v>
      </c>
    </row>
    <row r="21759" spans="2:9" ht="15" customHeight="1" x14ac:dyDescent="0.25">
      <c r="B21759" s="55" t="s">
        <v>283</v>
      </c>
      <c r="C21759" s="46">
        <v>1747</v>
      </c>
      <c r="D21759" s="69" t="s">
        <v>29420</v>
      </c>
      <c r="E21759" s="51"/>
      <c r="F21759" s="114" t="str">
        <f>IF(INDEX(I.Facility.P4IDNumber,1747)="","",INDEX(I.Facility.P4IDNumber,1747))</f>
        <v/>
      </c>
      <c r="G21759" s="51"/>
      <c r="H21759" s="46" t="str">
        <f>IF(AND(I.Developer.P4=TRUE,I.Facility.P4FacilityCount&gt;=1747,F21759=""),"Incomplete","Complete")</f>
        <v>Complete</v>
      </c>
      <c r="I21759" s="48" t="s">
        <v>26124</v>
      </c>
    </row>
    <row r="21760" spans="2:9" ht="15" customHeight="1" x14ac:dyDescent="0.25">
      <c r="B21760" s="55" t="s">
        <v>283</v>
      </c>
      <c r="C21760" s="46">
        <v>1748</v>
      </c>
      <c r="D21760" s="69" t="s">
        <v>29420</v>
      </c>
      <c r="E21760" s="51"/>
      <c r="F21760" s="114" t="str">
        <f>IF(INDEX(I.Facility.P4IDNumber,1748)="","",INDEX(I.Facility.P4IDNumber,1748))</f>
        <v/>
      </c>
      <c r="G21760" s="51"/>
      <c r="H21760" s="46" t="str">
        <f>IF(AND(I.Developer.P4=TRUE,I.Facility.P4FacilityCount&gt;=1748,F21760=""),"Incomplete","Complete")</f>
        <v>Complete</v>
      </c>
      <c r="I21760" s="48" t="s">
        <v>26125</v>
      </c>
    </row>
    <row r="21761" spans="2:9" ht="15" customHeight="1" x14ac:dyDescent="0.25">
      <c r="B21761" s="55" t="s">
        <v>283</v>
      </c>
      <c r="C21761" s="46">
        <v>1749</v>
      </c>
      <c r="D21761" s="69" t="s">
        <v>29420</v>
      </c>
      <c r="E21761" s="51"/>
      <c r="F21761" s="114" t="str">
        <f>IF(INDEX(I.Facility.P4IDNumber,1749)="","",INDEX(I.Facility.P4IDNumber,1749))</f>
        <v/>
      </c>
      <c r="G21761" s="51"/>
      <c r="H21761" s="46" t="str">
        <f>IF(AND(I.Developer.P4=TRUE,I.Facility.P4FacilityCount&gt;=1749,F21761=""),"Incomplete","Complete")</f>
        <v>Complete</v>
      </c>
      <c r="I21761" s="48" t="s">
        <v>26126</v>
      </c>
    </row>
    <row r="21762" spans="2:9" ht="15" customHeight="1" x14ac:dyDescent="0.25">
      <c r="B21762" s="55" t="s">
        <v>283</v>
      </c>
      <c r="C21762" s="46">
        <v>1750</v>
      </c>
      <c r="D21762" s="69" t="s">
        <v>29420</v>
      </c>
      <c r="E21762" s="51"/>
      <c r="F21762" s="114" t="str">
        <f>IF(INDEX(I.Facility.P4IDNumber,1750)="","",INDEX(I.Facility.P4IDNumber,1750))</f>
        <v/>
      </c>
      <c r="G21762" s="51"/>
      <c r="H21762" s="46" t="str">
        <f>IF(AND(I.Developer.P4=TRUE,I.Facility.P4FacilityCount&gt;=1750,F21762=""),"Incomplete","Complete")</f>
        <v>Complete</v>
      </c>
      <c r="I21762" s="48" t="s">
        <v>26127</v>
      </c>
    </row>
    <row r="21763" spans="2:9" ht="15" customHeight="1" x14ac:dyDescent="0.25">
      <c r="B21763" s="55" t="s">
        <v>283</v>
      </c>
      <c r="C21763" s="46">
        <v>1751</v>
      </c>
      <c r="D21763" s="69" t="s">
        <v>29420</v>
      </c>
      <c r="E21763" s="51"/>
      <c r="F21763" s="114" t="str">
        <f>IF(INDEX(I.Facility.P4IDNumber,1751)="","",INDEX(I.Facility.P4IDNumber,1751))</f>
        <v/>
      </c>
      <c r="G21763" s="51"/>
      <c r="H21763" s="46" t="str">
        <f>IF(AND(I.Developer.P4=TRUE,I.Facility.P4FacilityCount&gt;=1751,F21763=""),"Incomplete","Complete")</f>
        <v>Complete</v>
      </c>
      <c r="I21763" s="48" t="s">
        <v>26128</v>
      </c>
    </row>
    <row r="21764" spans="2:9" ht="15" customHeight="1" x14ac:dyDescent="0.25">
      <c r="B21764" s="55" t="s">
        <v>283</v>
      </c>
      <c r="C21764" s="46">
        <v>1752</v>
      </c>
      <c r="D21764" s="69" t="s">
        <v>29420</v>
      </c>
      <c r="E21764" s="51"/>
      <c r="F21764" s="114" t="str">
        <f>IF(INDEX(I.Facility.P4IDNumber,1752)="","",INDEX(I.Facility.P4IDNumber,1752))</f>
        <v/>
      </c>
      <c r="G21764" s="51"/>
      <c r="H21764" s="46" t="str">
        <f>IF(AND(I.Developer.P4=TRUE,I.Facility.P4FacilityCount&gt;=1752,F21764=""),"Incomplete","Complete")</f>
        <v>Complete</v>
      </c>
      <c r="I21764" s="48" t="s">
        <v>26129</v>
      </c>
    </row>
    <row r="21765" spans="2:9" ht="15" customHeight="1" x14ac:dyDescent="0.25">
      <c r="B21765" s="55" t="s">
        <v>283</v>
      </c>
      <c r="C21765" s="46">
        <v>1753</v>
      </c>
      <c r="D21765" s="69" t="s">
        <v>29420</v>
      </c>
      <c r="E21765" s="51"/>
      <c r="F21765" s="114" t="str">
        <f>IF(INDEX(I.Facility.P4IDNumber,1753)="","",INDEX(I.Facility.P4IDNumber,1753))</f>
        <v/>
      </c>
      <c r="G21765" s="51"/>
      <c r="H21765" s="46" t="str">
        <f>IF(AND(I.Developer.P4=TRUE,I.Facility.P4FacilityCount&gt;=1753,F21765=""),"Incomplete","Complete")</f>
        <v>Complete</v>
      </c>
      <c r="I21765" s="48" t="s">
        <v>26130</v>
      </c>
    </row>
    <row r="21766" spans="2:9" ht="15" customHeight="1" x14ac:dyDescent="0.25">
      <c r="B21766" s="55" t="s">
        <v>283</v>
      </c>
      <c r="C21766" s="46">
        <v>1754</v>
      </c>
      <c r="D21766" s="69" t="s">
        <v>29420</v>
      </c>
      <c r="E21766" s="51"/>
      <c r="F21766" s="114" t="str">
        <f>IF(INDEX(I.Facility.P4IDNumber,1754)="","",INDEX(I.Facility.P4IDNumber,1754))</f>
        <v/>
      </c>
      <c r="G21766" s="51"/>
      <c r="H21766" s="46" t="str">
        <f>IF(AND(I.Developer.P4=TRUE,I.Facility.P4FacilityCount&gt;=1754,F21766=""),"Incomplete","Complete")</f>
        <v>Complete</v>
      </c>
      <c r="I21766" s="48" t="s">
        <v>26131</v>
      </c>
    </row>
    <row r="21767" spans="2:9" ht="15" customHeight="1" x14ac:dyDescent="0.25">
      <c r="B21767" s="55" t="s">
        <v>283</v>
      </c>
      <c r="C21767" s="46">
        <v>1755</v>
      </c>
      <c r="D21767" s="69" t="s">
        <v>29420</v>
      </c>
      <c r="E21767" s="51"/>
      <c r="F21767" s="114" t="str">
        <f>IF(INDEX(I.Facility.P4IDNumber,1755)="","",INDEX(I.Facility.P4IDNumber,1755))</f>
        <v/>
      </c>
      <c r="G21767" s="51"/>
      <c r="H21767" s="46" t="str">
        <f>IF(AND(I.Developer.P4=TRUE,I.Facility.P4FacilityCount&gt;=1755,F21767=""),"Incomplete","Complete")</f>
        <v>Complete</v>
      </c>
      <c r="I21767" s="48" t="s">
        <v>26132</v>
      </c>
    </row>
    <row r="21768" spans="2:9" ht="15" customHeight="1" x14ac:dyDescent="0.25">
      <c r="B21768" s="55" t="s">
        <v>283</v>
      </c>
      <c r="C21768" s="46">
        <v>1756</v>
      </c>
      <c r="D21768" s="69" t="s">
        <v>29420</v>
      </c>
      <c r="E21768" s="51"/>
      <c r="F21768" s="114" t="str">
        <f>IF(INDEX(I.Facility.P4IDNumber,1756)="","",INDEX(I.Facility.P4IDNumber,1756))</f>
        <v/>
      </c>
      <c r="G21768" s="51"/>
      <c r="H21768" s="46" t="str">
        <f>IF(AND(I.Developer.P4=TRUE,I.Facility.P4FacilityCount&gt;=1756,F21768=""),"Incomplete","Complete")</f>
        <v>Complete</v>
      </c>
      <c r="I21768" s="48" t="s">
        <v>26133</v>
      </c>
    </row>
    <row r="21769" spans="2:9" ht="15" customHeight="1" x14ac:dyDescent="0.25">
      <c r="B21769" s="55" t="s">
        <v>283</v>
      </c>
      <c r="C21769" s="46">
        <v>1757</v>
      </c>
      <c r="D21769" s="69" t="s">
        <v>29420</v>
      </c>
      <c r="E21769" s="51"/>
      <c r="F21769" s="114" t="str">
        <f>IF(INDEX(I.Facility.P4IDNumber,1757)="","",INDEX(I.Facility.P4IDNumber,1757))</f>
        <v/>
      </c>
      <c r="G21769" s="51"/>
      <c r="H21769" s="46" t="str">
        <f>IF(AND(I.Developer.P4=TRUE,I.Facility.P4FacilityCount&gt;=1757,F21769=""),"Incomplete","Complete")</f>
        <v>Complete</v>
      </c>
      <c r="I21769" s="48" t="s">
        <v>26134</v>
      </c>
    </row>
    <row r="21770" spans="2:9" ht="15" customHeight="1" x14ac:dyDescent="0.25">
      <c r="B21770" s="55" t="s">
        <v>283</v>
      </c>
      <c r="C21770" s="46">
        <v>1758</v>
      </c>
      <c r="D21770" s="69" t="s">
        <v>29420</v>
      </c>
      <c r="E21770" s="51"/>
      <c r="F21770" s="114" t="str">
        <f>IF(INDEX(I.Facility.P4IDNumber,1758)="","",INDEX(I.Facility.P4IDNumber,1758))</f>
        <v/>
      </c>
      <c r="G21770" s="51"/>
      <c r="H21770" s="46" t="str">
        <f>IF(AND(I.Developer.P4=TRUE,I.Facility.P4FacilityCount&gt;=1758,F21770=""),"Incomplete","Complete")</f>
        <v>Complete</v>
      </c>
      <c r="I21770" s="48" t="s">
        <v>26135</v>
      </c>
    </row>
    <row r="21771" spans="2:9" ht="15" customHeight="1" x14ac:dyDescent="0.25">
      <c r="B21771" s="55" t="s">
        <v>283</v>
      </c>
      <c r="C21771" s="46">
        <v>1759</v>
      </c>
      <c r="D21771" s="69" t="s">
        <v>29420</v>
      </c>
      <c r="E21771" s="51"/>
      <c r="F21771" s="114" t="str">
        <f>IF(INDEX(I.Facility.P4IDNumber,1759)="","",INDEX(I.Facility.P4IDNumber,1759))</f>
        <v/>
      </c>
      <c r="G21771" s="51"/>
      <c r="H21771" s="46" t="str">
        <f>IF(AND(I.Developer.P4=TRUE,I.Facility.P4FacilityCount&gt;=1759,F21771=""),"Incomplete","Complete")</f>
        <v>Complete</v>
      </c>
      <c r="I21771" s="48" t="s">
        <v>26136</v>
      </c>
    </row>
    <row r="21772" spans="2:9" ht="15" customHeight="1" x14ac:dyDescent="0.25">
      <c r="B21772" s="55" t="s">
        <v>283</v>
      </c>
      <c r="C21772" s="46">
        <v>1760</v>
      </c>
      <c r="D21772" s="69" t="s">
        <v>29420</v>
      </c>
      <c r="E21772" s="51"/>
      <c r="F21772" s="114" t="str">
        <f>IF(INDEX(I.Facility.P4IDNumber,1760)="","",INDEX(I.Facility.P4IDNumber,1760))</f>
        <v/>
      </c>
      <c r="G21772" s="51"/>
      <c r="H21772" s="46" t="str">
        <f>IF(AND(I.Developer.P4=TRUE,I.Facility.P4FacilityCount&gt;=1760,F21772=""),"Incomplete","Complete")</f>
        <v>Complete</v>
      </c>
      <c r="I21772" s="48" t="s">
        <v>26137</v>
      </c>
    </row>
    <row r="21773" spans="2:9" ht="15" customHeight="1" x14ac:dyDescent="0.25">
      <c r="B21773" s="55" t="s">
        <v>283</v>
      </c>
      <c r="C21773" s="46">
        <v>1761</v>
      </c>
      <c r="D21773" s="69" t="s">
        <v>29420</v>
      </c>
      <c r="E21773" s="51"/>
      <c r="F21773" s="114" t="str">
        <f>IF(INDEX(I.Facility.P4IDNumber,1761)="","",INDEX(I.Facility.P4IDNumber,1761))</f>
        <v/>
      </c>
      <c r="G21773" s="51"/>
      <c r="H21773" s="46" t="str">
        <f>IF(AND(I.Developer.P4=TRUE,I.Facility.P4FacilityCount&gt;=1761,F21773=""),"Incomplete","Complete")</f>
        <v>Complete</v>
      </c>
      <c r="I21773" s="48" t="s">
        <v>26138</v>
      </c>
    </row>
    <row r="21774" spans="2:9" ht="15" customHeight="1" x14ac:dyDescent="0.25">
      <c r="B21774" s="55" t="s">
        <v>283</v>
      </c>
      <c r="C21774" s="46">
        <v>1762</v>
      </c>
      <c r="D21774" s="69" t="s">
        <v>29420</v>
      </c>
      <c r="E21774" s="51"/>
      <c r="F21774" s="114" t="str">
        <f>IF(INDEX(I.Facility.P4IDNumber,1762)="","",INDEX(I.Facility.P4IDNumber,1762))</f>
        <v/>
      </c>
      <c r="G21774" s="51"/>
      <c r="H21774" s="46" t="str">
        <f>IF(AND(I.Developer.P4=TRUE,I.Facility.P4FacilityCount&gt;=1762,F21774=""),"Incomplete","Complete")</f>
        <v>Complete</v>
      </c>
      <c r="I21774" s="48" t="s">
        <v>26139</v>
      </c>
    </row>
    <row r="21775" spans="2:9" ht="15" customHeight="1" x14ac:dyDescent="0.25">
      <c r="B21775" s="55" t="s">
        <v>283</v>
      </c>
      <c r="C21775" s="46">
        <v>1763</v>
      </c>
      <c r="D21775" s="69" t="s">
        <v>29420</v>
      </c>
      <c r="E21775" s="51"/>
      <c r="F21775" s="114" t="str">
        <f>IF(INDEX(I.Facility.P4IDNumber,1763)="","",INDEX(I.Facility.P4IDNumber,1763))</f>
        <v/>
      </c>
      <c r="G21775" s="51"/>
      <c r="H21775" s="46" t="str">
        <f>IF(AND(I.Developer.P4=TRUE,I.Facility.P4FacilityCount&gt;=1763,F21775=""),"Incomplete","Complete")</f>
        <v>Complete</v>
      </c>
      <c r="I21775" s="48" t="s">
        <v>26140</v>
      </c>
    </row>
    <row r="21776" spans="2:9" ht="15" customHeight="1" x14ac:dyDescent="0.25">
      <c r="B21776" s="55" t="s">
        <v>283</v>
      </c>
      <c r="C21776" s="46">
        <v>1764</v>
      </c>
      <c r="D21776" s="69" t="s">
        <v>29420</v>
      </c>
      <c r="E21776" s="51"/>
      <c r="F21776" s="114" t="str">
        <f>IF(INDEX(I.Facility.P4IDNumber,1764)="","",INDEX(I.Facility.P4IDNumber,1764))</f>
        <v/>
      </c>
      <c r="G21776" s="51"/>
      <c r="H21776" s="46" t="str">
        <f>IF(AND(I.Developer.P4=TRUE,I.Facility.P4FacilityCount&gt;=1764,F21776=""),"Incomplete","Complete")</f>
        <v>Complete</v>
      </c>
      <c r="I21776" s="48" t="s">
        <v>26141</v>
      </c>
    </row>
    <row r="21777" spans="2:9" ht="15" customHeight="1" x14ac:dyDescent="0.25">
      <c r="B21777" s="55" t="s">
        <v>283</v>
      </c>
      <c r="C21777" s="46">
        <v>1765</v>
      </c>
      <c r="D21777" s="69" t="s">
        <v>29420</v>
      </c>
      <c r="E21777" s="51"/>
      <c r="F21777" s="114" t="str">
        <f>IF(INDEX(I.Facility.P4IDNumber,1765)="","",INDEX(I.Facility.P4IDNumber,1765))</f>
        <v/>
      </c>
      <c r="G21777" s="51"/>
      <c r="H21777" s="46" t="str">
        <f>IF(AND(I.Developer.P4=TRUE,I.Facility.P4FacilityCount&gt;=1765,F21777=""),"Incomplete","Complete")</f>
        <v>Complete</v>
      </c>
      <c r="I21777" s="48" t="s">
        <v>26142</v>
      </c>
    </row>
    <row r="21778" spans="2:9" ht="15" customHeight="1" x14ac:dyDescent="0.25">
      <c r="B21778" s="55" t="s">
        <v>283</v>
      </c>
      <c r="C21778" s="46">
        <v>1766</v>
      </c>
      <c r="D21778" s="69" t="s">
        <v>29420</v>
      </c>
      <c r="E21778" s="51"/>
      <c r="F21778" s="114" t="str">
        <f>IF(INDEX(I.Facility.P4IDNumber,1766)="","",INDEX(I.Facility.P4IDNumber,1766))</f>
        <v/>
      </c>
      <c r="G21778" s="51"/>
      <c r="H21778" s="46" t="str">
        <f>IF(AND(I.Developer.P4=TRUE,I.Facility.P4FacilityCount&gt;=1766,F21778=""),"Incomplete","Complete")</f>
        <v>Complete</v>
      </c>
      <c r="I21778" s="48" t="s">
        <v>26143</v>
      </c>
    </row>
    <row r="21779" spans="2:9" ht="15" customHeight="1" x14ac:dyDescent="0.25">
      <c r="B21779" s="55" t="s">
        <v>283</v>
      </c>
      <c r="C21779" s="46">
        <v>1767</v>
      </c>
      <c r="D21779" s="69" t="s">
        <v>29420</v>
      </c>
      <c r="E21779" s="51"/>
      <c r="F21779" s="114" t="str">
        <f>IF(INDEX(I.Facility.P4IDNumber,1767)="","",INDEX(I.Facility.P4IDNumber,1767))</f>
        <v/>
      </c>
      <c r="G21779" s="51"/>
      <c r="H21779" s="46" t="str">
        <f>IF(AND(I.Developer.P4=TRUE,I.Facility.P4FacilityCount&gt;=1767,F21779=""),"Incomplete","Complete")</f>
        <v>Complete</v>
      </c>
      <c r="I21779" s="48" t="s">
        <v>26144</v>
      </c>
    </row>
    <row r="21780" spans="2:9" ht="15" customHeight="1" x14ac:dyDescent="0.25">
      <c r="B21780" s="55" t="s">
        <v>283</v>
      </c>
      <c r="C21780" s="46">
        <v>1768</v>
      </c>
      <c r="D21780" s="69" t="s">
        <v>29420</v>
      </c>
      <c r="E21780" s="51"/>
      <c r="F21780" s="114" t="str">
        <f>IF(INDEX(I.Facility.P4IDNumber,1768)="","",INDEX(I.Facility.P4IDNumber,1768))</f>
        <v/>
      </c>
      <c r="G21780" s="51"/>
      <c r="H21780" s="46" t="str">
        <f>IF(AND(I.Developer.P4=TRUE,I.Facility.P4FacilityCount&gt;=1768,F21780=""),"Incomplete","Complete")</f>
        <v>Complete</v>
      </c>
      <c r="I21780" s="48" t="s">
        <v>26145</v>
      </c>
    </row>
    <row r="21781" spans="2:9" ht="15" customHeight="1" x14ac:dyDescent="0.25">
      <c r="B21781" s="55" t="s">
        <v>283</v>
      </c>
      <c r="C21781" s="46">
        <v>1769</v>
      </c>
      <c r="D21781" s="69" t="s">
        <v>29420</v>
      </c>
      <c r="E21781" s="51"/>
      <c r="F21781" s="114" t="str">
        <f>IF(INDEX(I.Facility.P4IDNumber,1769)="","",INDEX(I.Facility.P4IDNumber,1769))</f>
        <v/>
      </c>
      <c r="G21781" s="51"/>
      <c r="H21781" s="46" t="str">
        <f>IF(AND(I.Developer.P4=TRUE,I.Facility.P4FacilityCount&gt;=1769,F21781=""),"Incomplete","Complete")</f>
        <v>Complete</v>
      </c>
      <c r="I21781" s="48" t="s">
        <v>26146</v>
      </c>
    </row>
    <row r="21782" spans="2:9" ht="15" customHeight="1" x14ac:dyDescent="0.25">
      <c r="B21782" s="55" t="s">
        <v>283</v>
      </c>
      <c r="C21782" s="46">
        <v>1770</v>
      </c>
      <c r="D21782" s="69" t="s">
        <v>29420</v>
      </c>
      <c r="E21782" s="51"/>
      <c r="F21782" s="114" t="str">
        <f>IF(INDEX(I.Facility.P4IDNumber,1770)="","",INDEX(I.Facility.P4IDNumber,1770))</f>
        <v/>
      </c>
      <c r="G21782" s="51"/>
      <c r="H21782" s="46" t="str">
        <f>IF(AND(I.Developer.P4=TRUE,I.Facility.P4FacilityCount&gt;=1770,F21782=""),"Incomplete","Complete")</f>
        <v>Complete</v>
      </c>
      <c r="I21782" s="48" t="s">
        <v>26147</v>
      </c>
    </row>
    <row r="21783" spans="2:9" ht="15" customHeight="1" x14ac:dyDescent="0.25">
      <c r="B21783" s="55" t="s">
        <v>283</v>
      </c>
      <c r="C21783" s="46">
        <v>1771</v>
      </c>
      <c r="D21783" s="69" t="s">
        <v>29420</v>
      </c>
      <c r="E21783" s="51"/>
      <c r="F21783" s="114" t="str">
        <f>IF(INDEX(I.Facility.P4IDNumber,1771)="","",INDEX(I.Facility.P4IDNumber,1771))</f>
        <v/>
      </c>
      <c r="G21783" s="51"/>
      <c r="H21783" s="46" t="str">
        <f>IF(AND(I.Developer.P4=TRUE,I.Facility.P4FacilityCount&gt;=1771,F21783=""),"Incomplete","Complete")</f>
        <v>Complete</v>
      </c>
      <c r="I21783" s="48" t="s">
        <v>26148</v>
      </c>
    </row>
    <row r="21784" spans="2:9" ht="15" customHeight="1" x14ac:dyDescent="0.25">
      <c r="B21784" s="55" t="s">
        <v>283</v>
      </c>
      <c r="C21784" s="46">
        <v>1772</v>
      </c>
      <c r="D21784" s="69" t="s">
        <v>29420</v>
      </c>
      <c r="E21784" s="51"/>
      <c r="F21784" s="114" t="str">
        <f>IF(INDEX(I.Facility.P4IDNumber,1772)="","",INDEX(I.Facility.P4IDNumber,1772))</f>
        <v/>
      </c>
      <c r="G21784" s="51"/>
      <c r="H21784" s="46" t="str">
        <f>IF(AND(I.Developer.P4=TRUE,I.Facility.P4FacilityCount&gt;=1772,F21784=""),"Incomplete","Complete")</f>
        <v>Complete</v>
      </c>
      <c r="I21784" s="48" t="s">
        <v>26149</v>
      </c>
    </row>
    <row r="21785" spans="2:9" ht="15" customHeight="1" x14ac:dyDescent="0.25">
      <c r="B21785" s="55" t="s">
        <v>283</v>
      </c>
      <c r="C21785" s="46">
        <v>1773</v>
      </c>
      <c r="D21785" s="69" t="s">
        <v>29420</v>
      </c>
      <c r="E21785" s="51"/>
      <c r="F21785" s="114" t="str">
        <f>IF(INDEX(I.Facility.P4IDNumber,1773)="","",INDEX(I.Facility.P4IDNumber,1773))</f>
        <v/>
      </c>
      <c r="G21785" s="51"/>
      <c r="H21785" s="46" t="str">
        <f>IF(AND(I.Developer.P4=TRUE,I.Facility.P4FacilityCount&gt;=1773,F21785=""),"Incomplete","Complete")</f>
        <v>Complete</v>
      </c>
      <c r="I21785" s="48" t="s">
        <v>26150</v>
      </c>
    </row>
    <row r="21786" spans="2:9" ht="15" customHeight="1" x14ac:dyDescent="0.25">
      <c r="B21786" s="55" t="s">
        <v>283</v>
      </c>
      <c r="C21786" s="46">
        <v>1774</v>
      </c>
      <c r="D21786" s="69" t="s">
        <v>29420</v>
      </c>
      <c r="E21786" s="51"/>
      <c r="F21786" s="114" t="str">
        <f>IF(INDEX(I.Facility.P4IDNumber,1774)="","",INDEX(I.Facility.P4IDNumber,1774))</f>
        <v/>
      </c>
      <c r="G21786" s="51"/>
      <c r="H21786" s="46" t="str">
        <f>IF(AND(I.Developer.P4=TRUE,I.Facility.P4FacilityCount&gt;=1774,F21786=""),"Incomplete","Complete")</f>
        <v>Complete</v>
      </c>
      <c r="I21786" s="48" t="s">
        <v>26151</v>
      </c>
    </row>
    <row r="21787" spans="2:9" ht="15" customHeight="1" x14ac:dyDescent="0.25">
      <c r="B21787" s="55" t="s">
        <v>283</v>
      </c>
      <c r="C21787" s="46">
        <v>1775</v>
      </c>
      <c r="D21787" s="69" t="s">
        <v>29420</v>
      </c>
      <c r="E21787" s="51"/>
      <c r="F21787" s="114" t="str">
        <f>IF(INDEX(I.Facility.P4IDNumber,1775)="","",INDEX(I.Facility.P4IDNumber,1775))</f>
        <v/>
      </c>
      <c r="G21787" s="51"/>
      <c r="H21787" s="46" t="str">
        <f>IF(AND(I.Developer.P4=TRUE,I.Facility.P4FacilityCount&gt;=1775,F21787=""),"Incomplete","Complete")</f>
        <v>Complete</v>
      </c>
      <c r="I21787" s="48" t="s">
        <v>26152</v>
      </c>
    </row>
    <row r="21788" spans="2:9" ht="15" customHeight="1" x14ac:dyDescent="0.25">
      <c r="B21788" s="55" t="s">
        <v>283</v>
      </c>
      <c r="C21788" s="46">
        <v>1776</v>
      </c>
      <c r="D21788" s="69" t="s">
        <v>29420</v>
      </c>
      <c r="E21788" s="51"/>
      <c r="F21788" s="114" t="str">
        <f>IF(INDEX(I.Facility.P4IDNumber,1776)="","",INDEX(I.Facility.P4IDNumber,1776))</f>
        <v/>
      </c>
      <c r="G21788" s="51"/>
      <c r="H21788" s="46" t="str">
        <f>IF(AND(I.Developer.P4=TRUE,I.Facility.P4FacilityCount&gt;=1776,F21788=""),"Incomplete","Complete")</f>
        <v>Complete</v>
      </c>
      <c r="I21788" s="48" t="s">
        <v>26153</v>
      </c>
    </row>
    <row r="21789" spans="2:9" ht="15" customHeight="1" x14ac:dyDescent="0.25">
      <c r="B21789" s="55" t="s">
        <v>283</v>
      </c>
      <c r="C21789" s="46">
        <v>1777</v>
      </c>
      <c r="D21789" s="69" t="s">
        <v>29420</v>
      </c>
      <c r="E21789" s="51"/>
      <c r="F21789" s="114" t="str">
        <f>IF(INDEX(I.Facility.P4IDNumber,1777)="","",INDEX(I.Facility.P4IDNumber,1777))</f>
        <v/>
      </c>
      <c r="G21789" s="51"/>
      <c r="H21789" s="46" t="str">
        <f>IF(AND(I.Developer.P4=TRUE,I.Facility.P4FacilityCount&gt;=1777,F21789=""),"Incomplete","Complete")</f>
        <v>Complete</v>
      </c>
      <c r="I21789" s="48" t="s">
        <v>26154</v>
      </c>
    </row>
    <row r="21790" spans="2:9" ht="15" customHeight="1" x14ac:dyDescent="0.25">
      <c r="B21790" s="55" t="s">
        <v>283</v>
      </c>
      <c r="C21790" s="46">
        <v>1778</v>
      </c>
      <c r="D21790" s="69" t="s">
        <v>29420</v>
      </c>
      <c r="E21790" s="51"/>
      <c r="F21790" s="114" t="str">
        <f>IF(INDEX(I.Facility.P4IDNumber,1778)="","",INDEX(I.Facility.P4IDNumber,1778))</f>
        <v/>
      </c>
      <c r="G21790" s="51"/>
      <c r="H21790" s="46" t="str">
        <f>IF(AND(I.Developer.P4=TRUE,I.Facility.P4FacilityCount&gt;=1778,F21790=""),"Incomplete","Complete")</f>
        <v>Complete</v>
      </c>
      <c r="I21790" s="48" t="s">
        <v>26155</v>
      </c>
    </row>
    <row r="21791" spans="2:9" ht="15" customHeight="1" x14ac:dyDescent="0.25">
      <c r="B21791" s="55" t="s">
        <v>283</v>
      </c>
      <c r="C21791" s="46">
        <v>1779</v>
      </c>
      <c r="D21791" s="69" t="s">
        <v>29420</v>
      </c>
      <c r="E21791" s="51"/>
      <c r="F21791" s="114" t="str">
        <f>IF(INDEX(I.Facility.P4IDNumber,1779)="","",INDEX(I.Facility.P4IDNumber,1779))</f>
        <v/>
      </c>
      <c r="G21791" s="51"/>
      <c r="H21791" s="46" t="str">
        <f>IF(AND(I.Developer.P4=TRUE,I.Facility.P4FacilityCount&gt;=1779,F21791=""),"Incomplete","Complete")</f>
        <v>Complete</v>
      </c>
      <c r="I21791" s="48" t="s">
        <v>26156</v>
      </c>
    </row>
    <row r="21792" spans="2:9" ht="15" customHeight="1" x14ac:dyDescent="0.25">
      <c r="B21792" s="55" t="s">
        <v>283</v>
      </c>
      <c r="C21792" s="46">
        <v>1780</v>
      </c>
      <c r="D21792" s="69" t="s">
        <v>29420</v>
      </c>
      <c r="E21792" s="51"/>
      <c r="F21792" s="114" t="str">
        <f>IF(INDEX(I.Facility.P4IDNumber,1780)="","",INDEX(I.Facility.P4IDNumber,1780))</f>
        <v/>
      </c>
      <c r="G21792" s="51"/>
      <c r="H21792" s="46" t="str">
        <f>IF(AND(I.Developer.P4=TRUE,I.Facility.P4FacilityCount&gt;=1780,F21792=""),"Incomplete","Complete")</f>
        <v>Complete</v>
      </c>
      <c r="I21792" s="48" t="s">
        <v>26157</v>
      </c>
    </row>
    <row r="21793" spans="2:9" ht="15" customHeight="1" x14ac:dyDescent="0.25">
      <c r="B21793" s="55" t="s">
        <v>283</v>
      </c>
      <c r="C21793" s="46">
        <v>1781</v>
      </c>
      <c r="D21793" s="69" t="s">
        <v>29420</v>
      </c>
      <c r="E21793" s="51"/>
      <c r="F21793" s="114" t="str">
        <f>IF(INDEX(I.Facility.P4IDNumber,1781)="","",INDEX(I.Facility.P4IDNumber,1781))</f>
        <v/>
      </c>
      <c r="G21793" s="51"/>
      <c r="H21793" s="46" t="str">
        <f>IF(AND(I.Developer.P4=TRUE,I.Facility.P4FacilityCount&gt;=1781,F21793=""),"Incomplete","Complete")</f>
        <v>Complete</v>
      </c>
      <c r="I21793" s="48" t="s">
        <v>26158</v>
      </c>
    </row>
    <row r="21794" spans="2:9" ht="15" customHeight="1" x14ac:dyDescent="0.25">
      <c r="B21794" s="55" t="s">
        <v>283</v>
      </c>
      <c r="C21794" s="46">
        <v>1782</v>
      </c>
      <c r="D21794" s="69" t="s">
        <v>29420</v>
      </c>
      <c r="E21794" s="51"/>
      <c r="F21794" s="114" t="str">
        <f>IF(INDEX(I.Facility.P4IDNumber,1782)="","",INDEX(I.Facility.P4IDNumber,1782))</f>
        <v/>
      </c>
      <c r="G21794" s="51"/>
      <c r="H21794" s="46" t="str">
        <f>IF(AND(I.Developer.P4=TRUE,I.Facility.P4FacilityCount&gt;=1782,F21794=""),"Incomplete","Complete")</f>
        <v>Complete</v>
      </c>
      <c r="I21794" s="48" t="s">
        <v>26159</v>
      </c>
    </row>
    <row r="21795" spans="2:9" ht="15" customHeight="1" x14ac:dyDescent="0.25">
      <c r="B21795" s="55" t="s">
        <v>283</v>
      </c>
      <c r="C21795" s="46">
        <v>1783</v>
      </c>
      <c r="D21795" s="69" t="s">
        <v>29420</v>
      </c>
      <c r="E21795" s="51"/>
      <c r="F21795" s="114" t="str">
        <f>IF(INDEX(I.Facility.P4IDNumber,1783)="","",INDEX(I.Facility.P4IDNumber,1783))</f>
        <v/>
      </c>
      <c r="G21795" s="51"/>
      <c r="H21795" s="46" t="str">
        <f>IF(AND(I.Developer.P4=TRUE,I.Facility.P4FacilityCount&gt;=1783,F21795=""),"Incomplete","Complete")</f>
        <v>Complete</v>
      </c>
      <c r="I21795" s="48" t="s">
        <v>26160</v>
      </c>
    </row>
    <row r="21796" spans="2:9" ht="15" customHeight="1" x14ac:dyDescent="0.25">
      <c r="B21796" s="55" t="s">
        <v>283</v>
      </c>
      <c r="C21796" s="46">
        <v>1784</v>
      </c>
      <c r="D21796" s="69" t="s">
        <v>29420</v>
      </c>
      <c r="E21796" s="51"/>
      <c r="F21796" s="114" t="str">
        <f>IF(INDEX(I.Facility.P4IDNumber,1784)="","",INDEX(I.Facility.P4IDNumber,1784))</f>
        <v/>
      </c>
      <c r="G21796" s="51"/>
      <c r="H21796" s="46" t="str">
        <f>IF(AND(I.Developer.P4=TRUE,I.Facility.P4FacilityCount&gt;=1784,F21796=""),"Incomplete","Complete")</f>
        <v>Complete</v>
      </c>
      <c r="I21796" s="48" t="s">
        <v>26161</v>
      </c>
    </row>
    <row r="21797" spans="2:9" ht="15" customHeight="1" x14ac:dyDescent="0.25">
      <c r="B21797" s="55" t="s">
        <v>283</v>
      </c>
      <c r="C21797" s="46">
        <v>1785</v>
      </c>
      <c r="D21797" s="69" t="s">
        <v>29420</v>
      </c>
      <c r="E21797" s="51"/>
      <c r="F21797" s="114" t="str">
        <f>IF(INDEX(I.Facility.P4IDNumber,1785)="","",INDEX(I.Facility.P4IDNumber,1785))</f>
        <v/>
      </c>
      <c r="G21797" s="51"/>
      <c r="H21797" s="46" t="str">
        <f>IF(AND(I.Developer.P4=TRUE,I.Facility.P4FacilityCount&gt;=1785,F21797=""),"Incomplete","Complete")</f>
        <v>Complete</v>
      </c>
      <c r="I21797" s="48" t="s">
        <v>26162</v>
      </c>
    </row>
    <row r="21798" spans="2:9" ht="15" customHeight="1" x14ac:dyDescent="0.25">
      <c r="B21798" s="55" t="s">
        <v>283</v>
      </c>
      <c r="C21798" s="46">
        <v>1786</v>
      </c>
      <c r="D21798" s="69" t="s">
        <v>29420</v>
      </c>
      <c r="E21798" s="51"/>
      <c r="F21798" s="114" t="str">
        <f>IF(INDEX(I.Facility.P4IDNumber,1786)="","",INDEX(I.Facility.P4IDNumber,1786))</f>
        <v/>
      </c>
      <c r="G21798" s="51"/>
      <c r="H21798" s="46" t="str">
        <f>IF(AND(I.Developer.P4=TRUE,I.Facility.P4FacilityCount&gt;=1786,F21798=""),"Incomplete","Complete")</f>
        <v>Complete</v>
      </c>
      <c r="I21798" s="48" t="s">
        <v>26163</v>
      </c>
    </row>
    <row r="21799" spans="2:9" ht="15" customHeight="1" x14ac:dyDescent="0.25">
      <c r="B21799" s="55" t="s">
        <v>283</v>
      </c>
      <c r="C21799" s="46">
        <v>1787</v>
      </c>
      <c r="D21799" s="69" t="s">
        <v>29420</v>
      </c>
      <c r="E21799" s="51"/>
      <c r="F21799" s="114" t="str">
        <f>IF(INDEX(I.Facility.P4IDNumber,1787)="","",INDEX(I.Facility.P4IDNumber,1787))</f>
        <v/>
      </c>
      <c r="G21799" s="51"/>
      <c r="H21799" s="46" t="str">
        <f>IF(AND(I.Developer.P4=TRUE,I.Facility.P4FacilityCount&gt;=1787,F21799=""),"Incomplete","Complete")</f>
        <v>Complete</v>
      </c>
      <c r="I21799" s="48" t="s">
        <v>26164</v>
      </c>
    </row>
    <row r="21800" spans="2:9" ht="15" customHeight="1" x14ac:dyDescent="0.25">
      <c r="B21800" s="55" t="s">
        <v>283</v>
      </c>
      <c r="C21800" s="46">
        <v>1788</v>
      </c>
      <c r="D21800" s="69" t="s">
        <v>29420</v>
      </c>
      <c r="E21800" s="51"/>
      <c r="F21800" s="114" t="str">
        <f>IF(INDEX(I.Facility.P4IDNumber,1788)="","",INDEX(I.Facility.P4IDNumber,1788))</f>
        <v/>
      </c>
      <c r="G21800" s="51"/>
      <c r="H21800" s="46" t="str">
        <f>IF(AND(I.Developer.P4=TRUE,I.Facility.P4FacilityCount&gt;=1788,F21800=""),"Incomplete","Complete")</f>
        <v>Complete</v>
      </c>
      <c r="I21800" s="48" t="s">
        <v>26165</v>
      </c>
    </row>
    <row r="21801" spans="2:9" ht="15" customHeight="1" x14ac:dyDescent="0.25">
      <c r="B21801" s="55" t="s">
        <v>283</v>
      </c>
      <c r="C21801" s="46">
        <v>1789</v>
      </c>
      <c r="D21801" s="69" t="s">
        <v>29420</v>
      </c>
      <c r="E21801" s="51"/>
      <c r="F21801" s="114" t="str">
        <f>IF(INDEX(I.Facility.P4IDNumber,1789)="","",INDEX(I.Facility.P4IDNumber,1789))</f>
        <v/>
      </c>
      <c r="G21801" s="51"/>
      <c r="H21801" s="46" t="str">
        <f>IF(AND(I.Developer.P4=TRUE,I.Facility.P4FacilityCount&gt;=1789,F21801=""),"Incomplete","Complete")</f>
        <v>Complete</v>
      </c>
      <c r="I21801" s="48" t="s">
        <v>26166</v>
      </c>
    </row>
    <row r="21802" spans="2:9" ht="15" customHeight="1" x14ac:dyDescent="0.25">
      <c r="B21802" s="55" t="s">
        <v>283</v>
      </c>
      <c r="C21802" s="46">
        <v>1790</v>
      </c>
      <c r="D21802" s="69" t="s">
        <v>29420</v>
      </c>
      <c r="E21802" s="51"/>
      <c r="F21802" s="114" t="str">
        <f>IF(INDEX(I.Facility.P4IDNumber,1790)="","",INDEX(I.Facility.P4IDNumber,1790))</f>
        <v/>
      </c>
      <c r="G21802" s="51"/>
      <c r="H21802" s="46" t="str">
        <f>IF(AND(I.Developer.P4=TRUE,I.Facility.P4FacilityCount&gt;=1790,F21802=""),"Incomplete","Complete")</f>
        <v>Complete</v>
      </c>
      <c r="I21802" s="48" t="s">
        <v>26167</v>
      </c>
    </row>
    <row r="21803" spans="2:9" ht="15" customHeight="1" x14ac:dyDescent="0.25">
      <c r="B21803" s="55" t="s">
        <v>283</v>
      </c>
      <c r="C21803" s="46">
        <v>1791</v>
      </c>
      <c r="D21803" s="69" t="s">
        <v>29420</v>
      </c>
      <c r="E21803" s="51"/>
      <c r="F21803" s="114" t="str">
        <f>IF(INDEX(I.Facility.P4IDNumber,1791)="","",INDEX(I.Facility.P4IDNumber,1791))</f>
        <v/>
      </c>
      <c r="G21803" s="51"/>
      <c r="H21803" s="46" t="str">
        <f>IF(AND(I.Developer.P4=TRUE,I.Facility.P4FacilityCount&gt;=1791,F21803=""),"Incomplete","Complete")</f>
        <v>Complete</v>
      </c>
      <c r="I21803" s="48" t="s">
        <v>26168</v>
      </c>
    </row>
    <row r="21804" spans="2:9" ht="15" customHeight="1" x14ac:dyDescent="0.25">
      <c r="B21804" s="55" t="s">
        <v>283</v>
      </c>
      <c r="C21804" s="46">
        <v>1792</v>
      </c>
      <c r="D21804" s="69" t="s">
        <v>29420</v>
      </c>
      <c r="E21804" s="51"/>
      <c r="F21804" s="114" t="str">
        <f>IF(INDEX(I.Facility.P4IDNumber,1792)="","",INDEX(I.Facility.P4IDNumber,1792))</f>
        <v/>
      </c>
      <c r="G21804" s="51"/>
      <c r="H21804" s="46" t="str">
        <f>IF(AND(I.Developer.P4=TRUE,I.Facility.P4FacilityCount&gt;=1792,F21804=""),"Incomplete","Complete")</f>
        <v>Complete</v>
      </c>
      <c r="I21804" s="48" t="s">
        <v>26169</v>
      </c>
    </row>
    <row r="21805" spans="2:9" ht="15" customHeight="1" x14ac:dyDescent="0.25">
      <c r="B21805" s="55" t="s">
        <v>283</v>
      </c>
      <c r="C21805" s="46">
        <v>1793</v>
      </c>
      <c r="D21805" s="69" t="s">
        <v>29420</v>
      </c>
      <c r="E21805" s="51"/>
      <c r="F21805" s="114" t="str">
        <f>IF(INDEX(I.Facility.P4IDNumber,1793)="","",INDEX(I.Facility.P4IDNumber,1793))</f>
        <v/>
      </c>
      <c r="G21805" s="51"/>
      <c r="H21805" s="46" t="str">
        <f>IF(AND(I.Developer.P4=TRUE,I.Facility.P4FacilityCount&gt;=1793,F21805=""),"Incomplete","Complete")</f>
        <v>Complete</v>
      </c>
      <c r="I21805" s="48" t="s">
        <v>26170</v>
      </c>
    </row>
    <row r="21806" spans="2:9" ht="15" customHeight="1" x14ac:dyDescent="0.25">
      <c r="B21806" s="55" t="s">
        <v>283</v>
      </c>
      <c r="C21806" s="46">
        <v>1794</v>
      </c>
      <c r="D21806" s="69" t="s">
        <v>29420</v>
      </c>
      <c r="E21806" s="51"/>
      <c r="F21806" s="114" t="str">
        <f>IF(INDEX(I.Facility.P4IDNumber,1794)="","",INDEX(I.Facility.P4IDNumber,1794))</f>
        <v/>
      </c>
      <c r="G21806" s="51"/>
      <c r="H21806" s="46" t="str">
        <f>IF(AND(I.Developer.P4=TRUE,I.Facility.P4FacilityCount&gt;=1794,F21806=""),"Incomplete","Complete")</f>
        <v>Complete</v>
      </c>
      <c r="I21806" s="48" t="s">
        <v>26171</v>
      </c>
    </row>
    <row r="21807" spans="2:9" ht="15" customHeight="1" x14ac:dyDescent="0.25">
      <c r="B21807" s="55" t="s">
        <v>283</v>
      </c>
      <c r="C21807" s="46">
        <v>1795</v>
      </c>
      <c r="D21807" s="69" t="s">
        <v>29420</v>
      </c>
      <c r="E21807" s="51"/>
      <c r="F21807" s="114" t="str">
        <f>IF(INDEX(I.Facility.P4IDNumber,1795)="","",INDEX(I.Facility.P4IDNumber,1795))</f>
        <v/>
      </c>
      <c r="G21807" s="51"/>
      <c r="H21807" s="46" t="str">
        <f>IF(AND(I.Developer.P4=TRUE,I.Facility.P4FacilityCount&gt;=1795,F21807=""),"Incomplete","Complete")</f>
        <v>Complete</v>
      </c>
      <c r="I21807" s="48" t="s">
        <v>26172</v>
      </c>
    </row>
    <row r="21808" spans="2:9" ht="15" customHeight="1" x14ac:dyDescent="0.25">
      <c r="B21808" s="55" t="s">
        <v>283</v>
      </c>
      <c r="C21808" s="46">
        <v>1796</v>
      </c>
      <c r="D21808" s="69" t="s">
        <v>29420</v>
      </c>
      <c r="E21808" s="51"/>
      <c r="F21808" s="114" t="str">
        <f>IF(INDEX(I.Facility.P4IDNumber,1796)="","",INDEX(I.Facility.P4IDNumber,1796))</f>
        <v/>
      </c>
      <c r="G21808" s="51"/>
      <c r="H21808" s="46" t="str">
        <f>IF(AND(I.Developer.P4=TRUE,I.Facility.P4FacilityCount&gt;=1796,F21808=""),"Incomplete","Complete")</f>
        <v>Complete</v>
      </c>
      <c r="I21808" s="48" t="s">
        <v>26173</v>
      </c>
    </row>
    <row r="21809" spans="2:9" ht="15" customHeight="1" x14ac:dyDescent="0.25">
      <c r="B21809" s="55" t="s">
        <v>283</v>
      </c>
      <c r="C21809" s="46">
        <v>1797</v>
      </c>
      <c r="D21809" s="69" t="s">
        <v>29420</v>
      </c>
      <c r="E21809" s="51"/>
      <c r="F21809" s="114" t="str">
        <f>IF(INDEX(I.Facility.P4IDNumber,1797)="","",INDEX(I.Facility.P4IDNumber,1797))</f>
        <v/>
      </c>
      <c r="G21809" s="51"/>
      <c r="H21809" s="46" t="str">
        <f>IF(AND(I.Developer.P4=TRUE,I.Facility.P4FacilityCount&gt;=1797,F21809=""),"Incomplete","Complete")</f>
        <v>Complete</v>
      </c>
      <c r="I21809" s="48" t="s">
        <v>26174</v>
      </c>
    </row>
    <row r="21810" spans="2:9" ht="15" customHeight="1" x14ac:dyDescent="0.25">
      <c r="B21810" s="55" t="s">
        <v>283</v>
      </c>
      <c r="C21810" s="46">
        <v>1798</v>
      </c>
      <c r="D21810" s="69" t="s">
        <v>29420</v>
      </c>
      <c r="E21810" s="51"/>
      <c r="F21810" s="114" t="str">
        <f>IF(INDEX(I.Facility.P4IDNumber,1798)="","",INDEX(I.Facility.P4IDNumber,1798))</f>
        <v/>
      </c>
      <c r="G21810" s="51"/>
      <c r="H21810" s="46" t="str">
        <f>IF(AND(I.Developer.P4=TRUE,I.Facility.P4FacilityCount&gt;=1798,F21810=""),"Incomplete","Complete")</f>
        <v>Complete</v>
      </c>
      <c r="I21810" s="48" t="s">
        <v>26175</v>
      </c>
    </row>
    <row r="21811" spans="2:9" ht="15" customHeight="1" x14ac:dyDescent="0.25">
      <c r="B21811" s="55" t="s">
        <v>283</v>
      </c>
      <c r="C21811" s="46">
        <v>1799</v>
      </c>
      <c r="D21811" s="69" t="s">
        <v>29420</v>
      </c>
      <c r="E21811" s="51"/>
      <c r="F21811" s="114" t="str">
        <f>IF(INDEX(I.Facility.P4IDNumber,1799)="","",INDEX(I.Facility.P4IDNumber,1799))</f>
        <v/>
      </c>
      <c r="G21811" s="51"/>
      <c r="H21811" s="46" t="str">
        <f>IF(AND(I.Developer.P4=TRUE,I.Facility.P4FacilityCount&gt;=1799,F21811=""),"Incomplete","Complete")</f>
        <v>Complete</v>
      </c>
      <c r="I21811" s="48" t="s">
        <v>26176</v>
      </c>
    </row>
    <row r="21812" spans="2:9" ht="15" customHeight="1" x14ac:dyDescent="0.25">
      <c r="B21812" s="55" t="s">
        <v>283</v>
      </c>
      <c r="C21812" s="46">
        <v>1800</v>
      </c>
      <c r="D21812" s="69" t="s">
        <v>29420</v>
      </c>
      <c r="E21812" s="51"/>
      <c r="F21812" s="114" t="str">
        <f>IF(INDEX(I.Facility.P4IDNumber,1800)="","",INDEX(I.Facility.P4IDNumber,1800))</f>
        <v/>
      </c>
      <c r="G21812" s="51"/>
      <c r="H21812" s="46" t="str">
        <f>IF(AND(I.Developer.P4=TRUE,I.Facility.P4FacilityCount&gt;=1800,F21812=""),"Incomplete","Complete")</f>
        <v>Complete</v>
      </c>
      <c r="I21812" s="48" t="s">
        <v>26177</v>
      </c>
    </row>
    <row r="21813" spans="2:9" ht="15" customHeight="1" x14ac:dyDescent="0.25">
      <c r="B21813" s="55" t="s">
        <v>283</v>
      </c>
      <c r="C21813" s="46">
        <v>1801</v>
      </c>
      <c r="D21813" s="69" t="s">
        <v>29420</v>
      </c>
      <c r="E21813" s="51"/>
      <c r="F21813" s="114" t="str">
        <f>IF(INDEX(I.Facility.P4IDNumber,1801)="","",INDEX(I.Facility.P4IDNumber,1801))</f>
        <v/>
      </c>
      <c r="G21813" s="51"/>
      <c r="H21813" s="46" t="str">
        <f>IF(AND(I.Developer.P4=TRUE,I.Facility.P4FacilityCount&gt;=1801,F21813=""),"Incomplete","Complete")</f>
        <v>Complete</v>
      </c>
      <c r="I21813" s="48" t="s">
        <v>26178</v>
      </c>
    </row>
    <row r="21814" spans="2:9" ht="15" customHeight="1" x14ac:dyDescent="0.25">
      <c r="B21814" s="55" t="s">
        <v>283</v>
      </c>
      <c r="C21814" s="46">
        <v>1802</v>
      </c>
      <c r="D21814" s="69" t="s">
        <v>29420</v>
      </c>
      <c r="E21814" s="51"/>
      <c r="F21814" s="114" t="str">
        <f>IF(INDEX(I.Facility.P4IDNumber,1802)="","",INDEX(I.Facility.P4IDNumber,1802))</f>
        <v/>
      </c>
      <c r="G21814" s="51"/>
      <c r="H21814" s="46" t="str">
        <f>IF(AND(I.Developer.P4=TRUE,I.Facility.P4FacilityCount&gt;=1802,F21814=""),"Incomplete","Complete")</f>
        <v>Complete</v>
      </c>
      <c r="I21814" s="48" t="s">
        <v>26179</v>
      </c>
    </row>
    <row r="21815" spans="2:9" ht="15" customHeight="1" x14ac:dyDescent="0.25">
      <c r="B21815" s="55" t="s">
        <v>283</v>
      </c>
      <c r="C21815" s="46">
        <v>1803</v>
      </c>
      <c r="D21815" s="69" t="s">
        <v>29420</v>
      </c>
      <c r="E21815" s="51"/>
      <c r="F21815" s="114" t="str">
        <f>IF(INDEX(I.Facility.P4IDNumber,1803)="","",INDEX(I.Facility.P4IDNumber,1803))</f>
        <v/>
      </c>
      <c r="G21815" s="51"/>
      <c r="H21815" s="46" t="str">
        <f>IF(AND(I.Developer.P4=TRUE,I.Facility.P4FacilityCount&gt;=1803,F21815=""),"Incomplete","Complete")</f>
        <v>Complete</v>
      </c>
      <c r="I21815" s="48" t="s">
        <v>26180</v>
      </c>
    </row>
    <row r="21816" spans="2:9" ht="15" customHeight="1" x14ac:dyDescent="0.25">
      <c r="B21816" s="55" t="s">
        <v>283</v>
      </c>
      <c r="C21816" s="46">
        <v>1804</v>
      </c>
      <c r="D21816" s="69" t="s">
        <v>29420</v>
      </c>
      <c r="E21816" s="51"/>
      <c r="F21816" s="114" t="str">
        <f>IF(INDEX(I.Facility.P4IDNumber,1804)="","",INDEX(I.Facility.P4IDNumber,1804))</f>
        <v/>
      </c>
      <c r="G21816" s="51"/>
      <c r="H21816" s="46" t="str">
        <f>IF(AND(I.Developer.P4=TRUE,I.Facility.P4FacilityCount&gt;=1804,F21816=""),"Incomplete","Complete")</f>
        <v>Complete</v>
      </c>
      <c r="I21816" s="48" t="s">
        <v>26181</v>
      </c>
    </row>
    <row r="21817" spans="2:9" ht="15" customHeight="1" x14ac:dyDescent="0.25">
      <c r="B21817" s="55" t="s">
        <v>283</v>
      </c>
      <c r="C21817" s="46">
        <v>1805</v>
      </c>
      <c r="D21817" s="69" t="s">
        <v>29420</v>
      </c>
      <c r="E21817" s="51"/>
      <c r="F21817" s="114" t="str">
        <f>IF(INDEX(I.Facility.P4IDNumber,1805)="","",INDEX(I.Facility.P4IDNumber,1805))</f>
        <v/>
      </c>
      <c r="G21817" s="51"/>
      <c r="H21817" s="46" t="str">
        <f>IF(AND(I.Developer.P4=TRUE,I.Facility.P4FacilityCount&gt;=1805,F21817=""),"Incomplete","Complete")</f>
        <v>Complete</v>
      </c>
      <c r="I21817" s="48" t="s">
        <v>26182</v>
      </c>
    </row>
    <row r="21818" spans="2:9" ht="15" customHeight="1" x14ac:dyDescent="0.25">
      <c r="B21818" s="55" t="s">
        <v>283</v>
      </c>
      <c r="C21818" s="46">
        <v>1806</v>
      </c>
      <c r="D21818" s="69" t="s">
        <v>29420</v>
      </c>
      <c r="E21818" s="51"/>
      <c r="F21818" s="114" t="str">
        <f>IF(INDEX(I.Facility.P4IDNumber,1806)="","",INDEX(I.Facility.P4IDNumber,1806))</f>
        <v/>
      </c>
      <c r="G21818" s="51"/>
      <c r="H21818" s="46" t="str">
        <f>IF(AND(I.Developer.P4=TRUE,I.Facility.P4FacilityCount&gt;=1806,F21818=""),"Incomplete","Complete")</f>
        <v>Complete</v>
      </c>
      <c r="I21818" s="48" t="s">
        <v>26183</v>
      </c>
    </row>
    <row r="21819" spans="2:9" ht="15" customHeight="1" x14ac:dyDescent="0.25">
      <c r="B21819" s="55" t="s">
        <v>283</v>
      </c>
      <c r="C21819" s="46">
        <v>1807</v>
      </c>
      <c r="D21819" s="69" t="s">
        <v>29420</v>
      </c>
      <c r="E21819" s="51"/>
      <c r="F21819" s="114" t="str">
        <f>IF(INDEX(I.Facility.P4IDNumber,1807)="","",INDEX(I.Facility.P4IDNumber,1807))</f>
        <v/>
      </c>
      <c r="G21819" s="51"/>
      <c r="H21819" s="46" t="str">
        <f>IF(AND(I.Developer.P4=TRUE,I.Facility.P4FacilityCount&gt;=1807,F21819=""),"Incomplete","Complete")</f>
        <v>Complete</v>
      </c>
      <c r="I21819" s="48" t="s">
        <v>26184</v>
      </c>
    </row>
    <row r="21820" spans="2:9" ht="15" customHeight="1" x14ac:dyDescent="0.25">
      <c r="B21820" s="55" t="s">
        <v>283</v>
      </c>
      <c r="C21820" s="46">
        <v>1808</v>
      </c>
      <c r="D21820" s="69" t="s">
        <v>29420</v>
      </c>
      <c r="E21820" s="51"/>
      <c r="F21820" s="114" t="str">
        <f>IF(INDEX(I.Facility.P4IDNumber,1808)="","",INDEX(I.Facility.P4IDNumber,1808))</f>
        <v/>
      </c>
      <c r="G21820" s="51"/>
      <c r="H21820" s="46" t="str">
        <f>IF(AND(I.Developer.P4=TRUE,I.Facility.P4FacilityCount&gt;=1808,F21820=""),"Incomplete","Complete")</f>
        <v>Complete</v>
      </c>
      <c r="I21820" s="48" t="s">
        <v>26185</v>
      </c>
    </row>
    <row r="21821" spans="2:9" ht="15" customHeight="1" x14ac:dyDescent="0.25">
      <c r="B21821" s="55" t="s">
        <v>283</v>
      </c>
      <c r="C21821" s="46">
        <v>1809</v>
      </c>
      <c r="D21821" s="69" t="s">
        <v>29420</v>
      </c>
      <c r="E21821" s="51"/>
      <c r="F21821" s="114" t="str">
        <f>IF(INDEX(I.Facility.P4IDNumber,1809)="","",INDEX(I.Facility.P4IDNumber,1809))</f>
        <v/>
      </c>
      <c r="G21821" s="51"/>
      <c r="H21821" s="46" t="str">
        <f>IF(AND(I.Developer.P4=TRUE,I.Facility.P4FacilityCount&gt;=1809,F21821=""),"Incomplete","Complete")</f>
        <v>Complete</v>
      </c>
      <c r="I21821" s="48" t="s">
        <v>26186</v>
      </c>
    </row>
    <row r="21822" spans="2:9" ht="15" customHeight="1" x14ac:dyDescent="0.25">
      <c r="B21822" s="55" t="s">
        <v>283</v>
      </c>
      <c r="C21822" s="46">
        <v>1810</v>
      </c>
      <c r="D21822" s="69" t="s">
        <v>29420</v>
      </c>
      <c r="E21822" s="51"/>
      <c r="F21822" s="114" t="str">
        <f>IF(INDEX(I.Facility.P4IDNumber,1810)="","",INDEX(I.Facility.P4IDNumber,1810))</f>
        <v/>
      </c>
      <c r="G21822" s="51"/>
      <c r="H21822" s="46" t="str">
        <f>IF(AND(I.Developer.P4=TRUE,I.Facility.P4FacilityCount&gt;=1810,F21822=""),"Incomplete","Complete")</f>
        <v>Complete</v>
      </c>
      <c r="I21822" s="48" t="s">
        <v>26187</v>
      </c>
    </row>
    <row r="21823" spans="2:9" ht="15" customHeight="1" x14ac:dyDescent="0.25">
      <c r="B21823" s="55" t="s">
        <v>283</v>
      </c>
      <c r="C21823" s="46">
        <v>1811</v>
      </c>
      <c r="D21823" s="69" t="s">
        <v>29420</v>
      </c>
      <c r="E21823" s="51"/>
      <c r="F21823" s="114" t="str">
        <f>IF(INDEX(I.Facility.P4IDNumber,1811)="","",INDEX(I.Facility.P4IDNumber,1811))</f>
        <v/>
      </c>
      <c r="G21823" s="51"/>
      <c r="H21823" s="46" t="str">
        <f>IF(AND(I.Developer.P4=TRUE,I.Facility.P4FacilityCount&gt;=1811,F21823=""),"Incomplete","Complete")</f>
        <v>Complete</v>
      </c>
      <c r="I21823" s="48" t="s">
        <v>26188</v>
      </c>
    </row>
    <row r="21824" spans="2:9" ht="15" customHeight="1" x14ac:dyDescent="0.25">
      <c r="B21824" s="55" t="s">
        <v>283</v>
      </c>
      <c r="C21824" s="46">
        <v>1812</v>
      </c>
      <c r="D21824" s="69" t="s">
        <v>29420</v>
      </c>
      <c r="E21824" s="51"/>
      <c r="F21824" s="114" t="str">
        <f>IF(INDEX(I.Facility.P4IDNumber,1812)="","",INDEX(I.Facility.P4IDNumber,1812))</f>
        <v/>
      </c>
      <c r="G21824" s="51"/>
      <c r="H21824" s="46" t="str">
        <f>IF(AND(I.Developer.P4=TRUE,I.Facility.P4FacilityCount&gt;=1812,F21824=""),"Incomplete","Complete")</f>
        <v>Complete</v>
      </c>
      <c r="I21824" s="48" t="s">
        <v>26189</v>
      </c>
    </row>
    <row r="21825" spans="2:9" ht="15" customHeight="1" x14ac:dyDescent="0.25">
      <c r="B21825" s="55" t="s">
        <v>283</v>
      </c>
      <c r="C21825" s="46">
        <v>1813</v>
      </c>
      <c r="D21825" s="69" t="s">
        <v>29420</v>
      </c>
      <c r="E21825" s="51"/>
      <c r="F21825" s="114" t="str">
        <f>IF(INDEX(I.Facility.P4IDNumber,1813)="","",INDEX(I.Facility.P4IDNumber,1813))</f>
        <v/>
      </c>
      <c r="G21825" s="51"/>
      <c r="H21825" s="46" t="str">
        <f>IF(AND(I.Developer.P4=TRUE,I.Facility.P4FacilityCount&gt;=1813,F21825=""),"Incomplete","Complete")</f>
        <v>Complete</v>
      </c>
      <c r="I21825" s="48" t="s">
        <v>26190</v>
      </c>
    </row>
    <row r="21826" spans="2:9" ht="15" customHeight="1" x14ac:dyDescent="0.25">
      <c r="B21826" s="55" t="s">
        <v>283</v>
      </c>
      <c r="C21826" s="46">
        <v>1814</v>
      </c>
      <c r="D21826" s="69" t="s">
        <v>29420</v>
      </c>
      <c r="E21826" s="51"/>
      <c r="F21826" s="114" t="str">
        <f>IF(INDEX(I.Facility.P4IDNumber,1814)="","",INDEX(I.Facility.P4IDNumber,1814))</f>
        <v/>
      </c>
      <c r="G21826" s="51"/>
      <c r="H21826" s="46" t="str">
        <f>IF(AND(I.Developer.P4=TRUE,I.Facility.P4FacilityCount&gt;=1814,F21826=""),"Incomplete","Complete")</f>
        <v>Complete</v>
      </c>
      <c r="I21826" s="48" t="s">
        <v>26191</v>
      </c>
    </row>
    <row r="21827" spans="2:9" ht="15" customHeight="1" x14ac:dyDescent="0.25">
      <c r="B21827" s="55" t="s">
        <v>283</v>
      </c>
      <c r="C21827" s="46">
        <v>1815</v>
      </c>
      <c r="D21827" s="69" t="s">
        <v>29420</v>
      </c>
      <c r="E21827" s="51"/>
      <c r="F21827" s="114" t="str">
        <f>IF(INDEX(I.Facility.P4IDNumber,1815)="","",INDEX(I.Facility.P4IDNumber,1815))</f>
        <v/>
      </c>
      <c r="G21827" s="51"/>
      <c r="H21827" s="46" t="str">
        <f>IF(AND(I.Developer.P4=TRUE,I.Facility.P4FacilityCount&gt;=1815,F21827=""),"Incomplete","Complete")</f>
        <v>Complete</v>
      </c>
      <c r="I21827" s="48" t="s">
        <v>26192</v>
      </c>
    </row>
    <row r="21828" spans="2:9" ht="15" customHeight="1" x14ac:dyDescent="0.25">
      <c r="B21828" s="55" t="s">
        <v>283</v>
      </c>
      <c r="C21828" s="46">
        <v>1816</v>
      </c>
      <c r="D21828" s="69" t="s">
        <v>29420</v>
      </c>
      <c r="E21828" s="51"/>
      <c r="F21828" s="114" t="str">
        <f>IF(INDEX(I.Facility.P4IDNumber,1816)="","",INDEX(I.Facility.P4IDNumber,1816))</f>
        <v/>
      </c>
      <c r="G21828" s="51"/>
      <c r="H21828" s="46" t="str">
        <f>IF(AND(I.Developer.P4=TRUE,I.Facility.P4FacilityCount&gt;=1816,F21828=""),"Incomplete","Complete")</f>
        <v>Complete</v>
      </c>
      <c r="I21828" s="48" t="s">
        <v>26193</v>
      </c>
    </row>
    <row r="21829" spans="2:9" ht="15" customHeight="1" x14ac:dyDescent="0.25">
      <c r="B21829" s="55" t="s">
        <v>283</v>
      </c>
      <c r="C21829" s="46">
        <v>1817</v>
      </c>
      <c r="D21829" s="69" t="s">
        <v>29420</v>
      </c>
      <c r="E21829" s="51"/>
      <c r="F21829" s="114" t="str">
        <f>IF(INDEX(I.Facility.P4IDNumber,1817)="","",INDEX(I.Facility.P4IDNumber,1817))</f>
        <v/>
      </c>
      <c r="G21829" s="51"/>
      <c r="H21829" s="46" t="str">
        <f>IF(AND(I.Developer.P4=TRUE,I.Facility.P4FacilityCount&gt;=1817,F21829=""),"Incomplete","Complete")</f>
        <v>Complete</v>
      </c>
      <c r="I21829" s="48" t="s">
        <v>26194</v>
      </c>
    </row>
    <row r="21830" spans="2:9" ht="15" customHeight="1" x14ac:dyDescent="0.25">
      <c r="B21830" s="55" t="s">
        <v>283</v>
      </c>
      <c r="C21830" s="46">
        <v>1818</v>
      </c>
      <c r="D21830" s="69" t="s">
        <v>29420</v>
      </c>
      <c r="E21830" s="51"/>
      <c r="F21830" s="114" t="str">
        <f>IF(INDEX(I.Facility.P4IDNumber,1818)="","",INDEX(I.Facility.P4IDNumber,1818))</f>
        <v/>
      </c>
      <c r="G21830" s="51"/>
      <c r="H21830" s="46" t="str">
        <f>IF(AND(I.Developer.P4=TRUE,I.Facility.P4FacilityCount&gt;=1818,F21830=""),"Incomplete","Complete")</f>
        <v>Complete</v>
      </c>
      <c r="I21830" s="48" t="s">
        <v>26195</v>
      </c>
    </row>
    <row r="21831" spans="2:9" ht="15" customHeight="1" x14ac:dyDescent="0.25">
      <c r="B21831" s="55" t="s">
        <v>283</v>
      </c>
      <c r="C21831" s="46">
        <v>1819</v>
      </c>
      <c r="D21831" s="69" t="s">
        <v>29420</v>
      </c>
      <c r="E21831" s="51"/>
      <c r="F21831" s="114" t="str">
        <f>IF(INDEX(I.Facility.P4IDNumber,1819)="","",INDEX(I.Facility.P4IDNumber,1819))</f>
        <v/>
      </c>
      <c r="G21831" s="51"/>
      <c r="H21831" s="46" t="str">
        <f>IF(AND(I.Developer.P4=TRUE,I.Facility.P4FacilityCount&gt;=1819,F21831=""),"Incomplete","Complete")</f>
        <v>Complete</v>
      </c>
      <c r="I21831" s="48" t="s">
        <v>26196</v>
      </c>
    </row>
    <row r="21832" spans="2:9" ht="15" customHeight="1" x14ac:dyDescent="0.25">
      <c r="B21832" s="55" t="s">
        <v>283</v>
      </c>
      <c r="C21832" s="46">
        <v>1820</v>
      </c>
      <c r="D21832" s="69" t="s">
        <v>29420</v>
      </c>
      <c r="E21832" s="51"/>
      <c r="F21832" s="114" t="str">
        <f>IF(INDEX(I.Facility.P4IDNumber,1820)="","",INDEX(I.Facility.P4IDNumber,1820))</f>
        <v/>
      </c>
      <c r="G21832" s="51"/>
      <c r="H21832" s="46" t="str">
        <f>IF(AND(I.Developer.P4=TRUE,I.Facility.P4FacilityCount&gt;=1820,F21832=""),"Incomplete","Complete")</f>
        <v>Complete</v>
      </c>
      <c r="I21832" s="48" t="s">
        <v>26197</v>
      </c>
    </row>
    <row r="21833" spans="2:9" ht="15" customHeight="1" x14ac:dyDescent="0.25">
      <c r="B21833" s="55" t="s">
        <v>283</v>
      </c>
      <c r="C21833" s="46">
        <v>1821</v>
      </c>
      <c r="D21833" s="69" t="s">
        <v>29420</v>
      </c>
      <c r="E21833" s="51"/>
      <c r="F21833" s="114" t="str">
        <f>IF(INDEX(I.Facility.P4IDNumber,1821)="","",INDEX(I.Facility.P4IDNumber,1821))</f>
        <v/>
      </c>
      <c r="G21833" s="51"/>
      <c r="H21833" s="46" t="str">
        <f>IF(AND(I.Developer.P4=TRUE,I.Facility.P4FacilityCount&gt;=1821,F21833=""),"Incomplete","Complete")</f>
        <v>Complete</v>
      </c>
      <c r="I21833" s="48" t="s">
        <v>26198</v>
      </c>
    </row>
    <row r="21834" spans="2:9" ht="15" customHeight="1" x14ac:dyDescent="0.25">
      <c r="B21834" s="55" t="s">
        <v>283</v>
      </c>
      <c r="C21834" s="46">
        <v>1822</v>
      </c>
      <c r="D21834" s="69" t="s">
        <v>29420</v>
      </c>
      <c r="E21834" s="51"/>
      <c r="F21834" s="114" t="str">
        <f>IF(INDEX(I.Facility.P4IDNumber,1822)="","",INDEX(I.Facility.P4IDNumber,1822))</f>
        <v/>
      </c>
      <c r="G21834" s="51"/>
      <c r="H21834" s="46" t="str">
        <f>IF(AND(I.Developer.P4=TRUE,I.Facility.P4FacilityCount&gt;=1822,F21834=""),"Incomplete","Complete")</f>
        <v>Complete</v>
      </c>
      <c r="I21834" s="48" t="s">
        <v>26199</v>
      </c>
    </row>
    <row r="21835" spans="2:9" ht="15" customHeight="1" x14ac:dyDescent="0.25">
      <c r="B21835" s="55" t="s">
        <v>283</v>
      </c>
      <c r="C21835" s="46">
        <v>1823</v>
      </c>
      <c r="D21835" s="69" t="s">
        <v>29420</v>
      </c>
      <c r="E21835" s="51"/>
      <c r="F21835" s="114" t="str">
        <f>IF(INDEX(I.Facility.P4IDNumber,1823)="","",INDEX(I.Facility.P4IDNumber,1823))</f>
        <v/>
      </c>
      <c r="G21835" s="51"/>
      <c r="H21835" s="46" t="str">
        <f>IF(AND(I.Developer.P4=TRUE,I.Facility.P4FacilityCount&gt;=1823,F21835=""),"Incomplete","Complete")</f>
        <v>Complete</v>
      </c>
      <c r="I21835" s="48" t="s">
        <v>26200</v>
      </c>
    </row>
    <row r="21836" spans="2:9" ht="15" customHeight="1" x14ac:dyDescent="0.25">
      <c r="B21836" s="55" t="s">
        <v>283</v>
      </c>
      <c r="C21836" s="46">
        <v>1824</v>
      </c>
      <c r="D21836" s="69" t="s">
        <v>29420</v>
      </c>
      <c r="E21836" s="51"/>
      <c r="F21836" s="114" t="str">
        <f>IF(INDEX(I.Facility.P4IDNumber,1824)="","",INDEX(I.Facility.P4IDNumber,1824))</f>
        <v/>
      </c>
      <c r="G21836" s="51"/>
      <c r="H21836" s="46" t="str">
        <f>IF(AND(I.Developer.P4=TRUE,I.Facility.P4FacilityCount&gt;=1824,F21836=""),"Incomplete","Complete")</f>
        <v>Complete</v>
      </c>
      <c r="I21836" s="48" t="s">
        <v>26201</v>
      </c>
    </row>
    <row r="21837" spans="2:9" ht="15" customHeight="1" x14ac:dyDescent="0.25">
      <c r="B21837" s="55" t="s">
        <v>283</v>
      </c>
      <c r="C21837" s="46">
        <v>1825</v>
      </c>
      <c r="D21837" s="69" t="s">
        <v>29420</v>
      </c>
      <c r="E21837" s="51"/>
      <c r="F21837" s="114" t="str">
        <f>IF(INDEX(I.Facility.P4IDNumber,1825)="","",INDEX(I.Facility.P4IDNumber,1825))</f>
        <v/>
      </c>
      <c r="G21837" s="51"/>
      <c r="H21837" s="46" t="str">
        <f>IF(AND(I.Developer.P4=TRUE,I.Facility.P4FacilityCount&gt;=1825,F21837=""),"Incomplete","Complete")</f>
        <v>Complete</v>
      </c>
      <c r="I21837" s="48" t="s">
        <v>26202</v>
      </c>
    </row>
    <row r="21838" spans="2:9" ht="15" customHeight="1" x14ac:dyDescent="0.25">
      <c r="B21838" s="55" t="s">
        <v>283</v>
      </c>
      <c r="C21838" s="46">
        <v>1826</v>
      </c>
      <c r="D21838" s="69" t="s">
        <v>29420</v>
      </c>
      <c r="E21838" s="51"/>
      <c r="F21838" s="114" t="str">
        <f>IF(INDEX(I.Facility.P4IDNumber,1826)="","",INDEX(I.Facility.P4IDNumber,1826))</f>
        <v/>
      </c>
      <c r="G21838" s="51"/>
      <c r="H21838" s="46" t="str">
        <f>IF(AND(I.Developer.P4=TRUE,I.Facility.P4FacilityCount&gt;=1826,F21838=""),"Incomplete","Complete")</f>
        <v>Complete</v>
      </c>
      <c r="I21838" s="48" t="s">
        <v>26203</v>
      </c>
    </row>
    <row r="21839" spans="2:9" ht="15" customHeight="1" x14ac:dyDescent="0.25">
      <c r="B21839" s="55" t="s">
        <v>283</v>
      </c>
      <c r="C21839" s="46">
        <v>1827</v>
      </c>
      <c r="D21839" s="69" t="s">
        <v>29420</v>
      </c>
      <c r="E21839" s="51"/>
      <c r="F21839" s="114" t="str">
        <f>IF(INDEX(I.Facility.P4IDNumber,1827)="","",INDEX(I.Facility.P4IDNumber,1827))</f>
        <v/>
      </c>
      <c r="G21839" s="51"/>
      <c r="H21839" s="46" t="str">
        <f>IF(AND(I.Developer.P4=TRUE,I.Facility.P4FacilityCount&gt;=1827,F21839=""),"Incomplete","Complete")</f>
        <v>Complete</v>
      </c>
      <c r="I21839" s="48" t="s">
        <v>26204</v>
      </c>
    </row>
    <row r="21840" spans="2:9" ht="15" customHeight="1" x14ac:dyDescent="0.25">
      <c r="B21840" s="55" t="s">
        <v>283</v>
      </c>
      <c r="C21840" s="46">
        <v>1828</v>
      </c>
      <c r="D21840" s="69" t="s">
        <v>29420</v>
      </c>
      <c r="E21840" s="51"/>
      <c r="F21840" s="114" t="str">
        <f>IF(INDEX(I.Facility.P4IDNumber,1828)="","",INDEX(I.Facility.P4IDNumber,1828))</f>
        <v/>
      </c>
      <c r="G21840" s="51"/>
      <c r="H21840" s="46" t="str">
        <f>IF(AND(I.Developer.P4=TRUE,I.Facility.P4FacilityCount&gt;=1828,F21840=""),"Incomplete","Complete")</f>
        <v>Complete</v>
      </c>
      <c r="I21840" s="48" t="s">
        <v>26205</v>
      </c>
    </row>
    <row r="21841" spans="2:9" ht="15" customHeight="1" x14ac:dyDescent="0.25">
      <c r="B21841" s="55" t="s">
        <v>283</v>
      </c>
      <c r="C21841" s="46">
        <v>1829</v>
      </c>
      <c r="D21841" s="69" t="s">
        <v>29420</v>
      </c>
      <c r="E21841" s="51"/>
      <c r="F21841" s="114" t="str">
        <f>IF(INDEX(I.Facility.P4IDNumber,1829)="","",INDEX(I.Facility.P4IDNumber,1829))</f>
        <v/>
      </c>
      <c r="G21841" s="51"/>
      <c r="H21841" s="46" t="str">
        <f>IF(AND(I.Developer.P4=TRUE,I.Facility.P4FacilityCount&gt;=1829,F21841=""),"Incomplete","Complete")</f>
        <v>Complete</v>
      </c>
      <c r="I21841" s="48" t="s">
        <v>26206</v>
      </c>
    </row>
    <row r="21842" spans="2:9" ht="15" customHeight="1" x14ac:dyDescent="0.25">
      <c r="B21842" s="55" t="s">
        <v>283</v>
      </c>
      <c r="C21842" s="46">
        <v>1830</v>
      </c>
      <c r="D21842" s="69" t="s">
        <v>29420</v>
      </c>
      <c r="E21842" s="51"/>
      <c r="F21842" s="114" t="str">
        <f>IF(INDEX(I.Facility.P4IDNumber,1830)="","",INDEX(I.Facility.P4IDNumber,1830))</f>
        <v/>
      </c>
      <c r="G21842" s="51"/>
      <c r="H21842" s="46" t="str">
        <f>IF(AND(I.Developer.P4=TRUE,I.Facility.P4FacilityCount&gt;=1830,F21842=""),"Incomplete","Complete")</f>
        <v>Complete</v>
      </c>
      <c r="I21842" s="48" t="s">
        <v>26207</v>
      </c>
    </row>
    <row r="21843" spans="2:9" ht="15" customHeight="1" x14ac:dyDescent="0.25">
      <c r="B21843" s="55" t="s">
        <v>283</v>
      </c>
      <c r="C21843" s="46">
        <v>1831</v>
      </c>
      <c r="D21843" s="69" t="s">
        <v>29420</v>
      </c>
      <c r="E21843" s="51"/>
      <c r="F21843" s="114" t="str">
        <f>IF(INDEX(I.Facility.P4IDNumber,1831)="","",INDEX(I.Facility.P4IDNumber,1831))</f>
        <v/>
      </c>
      <c r="G21843" s="51"/>
      <c r="H21843" s="46" t="str">
        <f>IF(AND(I.Developer.P4=TRUE,I.Facility.P4FacilityCount&gt;=1831,F21843=""),"Incomplete","Complete")</f>
        <v>Complete</v>
      </c>
      <c r="I21843" s="48" t="s">
        <v>26208</v>
      </c>
    </row>
    <row r="21844" spans="2:9" ht="15" customHeight="1" x14ac:dyDescent="0.25">
      <c r="B21844" s="55" t="s">
        <v>283</v>
      </c>
      <c r="C21844" s="46">
        <v>1832</v>
      </c>
      <c r="D21844" s="69" t="s">
        <v>29420</v>
      </c>
      <c r="E21844" s="51"/>
      <c r="F21844" s="114" t="str">
        <f>IF(INDEX(I.Facility.P4IDNumber,1832)="","",INDEX(I.Facility.P4IDNumber,1832))</f>
        <v/>
      </c>
      <c r="G21844" s="51"/>
      <c r="H21844" s="46" t="str">
        <f>IF(AND(I.Developer.P4=TRUE,I.Facility.P4FacilityCount&gt;=1832,F21844=""),"Incomplete","Complete")</f>
        <v>Complete</v>
      </c>
      <c r="I21844" s="48" t="s">
        <v>26209</v>
      </c>
    </row>
    <row r="21845" spans="2:9" ht="15" customHeight="1" x14ac:dyDescent="0.25">
      <c r="B21845" s="55" t="s">
        <v>283</v>
      </c>
      <c r="C21845" s="46">
        <v>1833</v>
      </c>
      <c r="D21845" s="69" t="s">
        <v>29420</v>
      </c>
      <c r="E21845" s="51"/>
      <c r="F21845" s="114" t="str">
        <f>IF(INDEX(I.Facility.P4IDNumber,1833)="","",INDEX(I.Facility.P4IDNumber,1833))</f>
        <v/>
      </c>
      <c r="G21845" s="51"/>
      <c r="H21845" s="46" t="str">
        <f>IF(AND(I.Developer.P4=TRUE,I.Facility.P4FacilityCount&gt;=1833,F21845=""),"Incomplete","Complete")</f>
        <v>Complete</v>
      </c>
      <c r="I21845" s="48" t="s">
        <v>26210</v>
      </c>
    </row>
    <row r="21846" spans="2:9" ht="15" customHeight="1" x14ac:dyDescent="0.25">
      <c r="B21846" s="55" t="s">
        <v>283</v>
      </c>
      <c r="C21846" s="46">
        <v>1834</v>
      </c>
      <c r="D21846" s="69" t="s">
        <v>29420</v>
      </c>
      <c r="E21846" s="51"/>
      <c r="F21846" s="114" t="str">
        <f>IF(INDEX(I.Facility.P4IDNumber,1834)="","",INDEX(I.Facility.P4IDNumber,1834))</f>
        <v/>
      </c>
      <c r="G21846" s="51"/>
      <c r="H21846" s="46" t="str">
        <f>IF(AND(I.Developer.P4=TRUE,I.Facility.P4FacilityCount&gt;=1834,F21846=""),"Incomplete","Complete")</f>
        <v>Complete</v>
      </c>
      <c r="I21846" s="48" t="s">
        <v>26211</v>
      </c>
    </row>
    <row r="21847" spans="2:9" ht="15" customHeight="1" x14ac:dyDescent="0.25">
      <c r="B21847" s="55" t="s">
        <v>283</v>
      </c>
      <c r="C21847" s="46">
        <v>1835</v>
      </c>
      <c r="D21847" s="69" t="s">
        <v>29420</v>
      </c>
      <c r="E21847" s="51"/>
      <c r="F21847" s="114" t="str">
        <f>IF(INDEX(I.Facility.P4IDNumber,1835)="","",INDEX(I.Facility.P4IDNumber,1835))</f>
        <v/>
      </c>
      <c r="G21847" s="51"/>
      <c r="H21847" s="46" t="str">
        <f>IF(AND(I.Developer.P4=TRUE,I.Facility.P4FacilityCount&gt;=1835,F21847=""),"Incomplete","Complete")</f>
        <v>Complete</v>
      </c>
      <c r="I21847" s="48" t="s">
        <v>26212</v>
      </c>
    </row>
    <row r="21848" spans="2:9" ht="15" customHeight="1" x14ac:dyDescent="0.25">
      <c r="B21848" s="55" t="s">
        <v>283</v>
      </c>
      <c r="C21848" s="46">
        <v>1836</v>
      </c>
      <c r="D21848" s="69" t="s">
        <v>29420</v>
      </c>
      <c r="E21848" s="51"/>
      <c r="F21848" s="114" t="str">
        <f>IF(INDEX(I.Facility.P4IDNumber,1836)="","",INDEX(I.Facility.P4IDNumber,1836))</f>
        <v/>
      </c>
      <c r="G21848" s="51"/>
      <c r="H21848" s="46" t="str">
        <f>IF(AND(I.Developer.P4=TRUE,I.Facility.P4FacilityCount&gt;=1836,F21848=""),"Incomplete","Complete")</f>
        <v>Complete</v>
      </c>
      <c r="I21848" s="48" t="s">
        <v>26213</v>
      </c>
    </row>
    <row r="21849" spans="2:9" ht="15" customHeight="1" x14ac:dyDescent="0.25">
      <c r="B21849" s="55" t="s">
        <v>283</v>
      </c>
      <c r="C21849" s="46">
        <v>1837</v>
      </c>
      <c r="D21849" s="69" t="s">
        <v>29420</v>
      </c>
      <c r="E21849" s="51"/>
      <c r="F21849" s="114" t="str">
        <f>IF(INDEX(I.Facility.P4IDNumber,1837)="","",INDEX(I.Facility.P4IDNumber,1837))</f>
        <v/>
      </c>
      <c r="G21849" s="51"/>
      <c r="H21849" s="46" t="str">
        <f>IF(AND(I.Developer.P4=TRUE,I.Facility.P4FacilityCount&gt;=1837,F21849=""),"Incomplete","Complete")</f>
        <v>Complete</v>
      </c>
      <c r="I21849" s="48" t="s">
        <v>26214</v>
      </c>
    </row>
    <row r="21850" spans="2:9" ht="15" customHeight="1" x14ac:dyDescent="0.25">
      <c r="B21850" s="55" t="s">
        <v>283</v>
      </c>
      <c r="C21850" s="46">
        <v>1838</v>
      </c>
      <c r="D21850" s="69" t="s">
        <v>29420</v>
      </c>
      <c r="E21850" s="51"/>
      <c r="F21850" s="114" t="str">
        <f>IF(INDEX(I.Facility.P4IDNumber,1838)="","",INDEX(I.Facility.P4IDNumber,1838))</f>
        <v/>
      </c>
      <c r="G21850" s="51"/>
      <c r="H21850" s="46" t="str">
        <f>IF(AND(I.Developer.P4=TRUE,I.Facility.P4FacilityCount&gt;=1838,F21850=""),"Incomplete","Complete")</f>
        <v>Complete</v>
      </c>
      <c r="I21850" s="48" t="s">
        <v>26215</v>
      </c>
    </row>
    <row r="21851" spans="2:9" ht="15" customHeight="1" x14ac:dyDescent="0.25">
      <c r="B21851" s="55" t="s">
        <v>283</v>
      </c>
      <c r="C21851" s="46">
        <v>1839</v>
      </c>
      <c r="D21851" s="69" t="s">
        <v>29420</v>
      </c>
      <c r="E21851" s="51"/>
      <c r="F21851" s="114" t="str">
        <f>IF(INDEX(I.Facility.P4IDNumber,1839)="","",INDEX(I.Facility.P4IDNumber,1839))</f>
        <v/>
      </c>
      <c r="G21851" s="51"/>
      <c r="H21851" s="46" t="str">
        <f>IF(AND(I.Developer.P4=TRUE,I.Facility.P4FacilityCount&gt;=1839,F21851=""),"Incomplete","Complete")</f>
        <v>Complete</v>
      </c>
      <c r="I21851" s="48" t="s">
        <v>26216</v>
      </c>
    </row>
    <row r="21852" spans="2:9" ht="15" customHeight="1" x14ac:dyDescent="0.25">
      <c r="B21852" s="55" t="s">
        <v>283</v>
      </c>
      <c r="C21852" s="46">
        <v>1840</v>
      </c>
      <c r="D21852" s="69" t="s">
        <v>29420</v>
      </c>
      <c r="E21852" s="51"/>
      <c r="F21852" s="114" t="str">
        <f>IF(INDEX(I.Facility.P4IDNumber,1840)="","",INDEX(I.Facility.P4IDNumber,1840))</f>
        <v/>
      </c>
      <c r="G21852" s="51"/>
      <c r="H21852" s="46" t="str">
        <f>IF(AND(I.Developer.P4=TRUE,I.Facility.P4FacilityCount&gt;=1840,F21852=""),"Incomplete","Complete")</f>
        <v>Complete</v>
      </c>
      <c r="I21852" s="48" t="s">
        <v>26217</v>
      </c>
    </row>
    <row r="21853" spans="2:9" ht="15" customHeight="1" x14ac:dyDescent="0.25">
      <c r="B21853" s="55" t="s">
        <v>283</v>
      </c>
      <c r="C21853" s="46">
        <v>1841</v>
      </c>
      <c r="D21853" s="69" t="s">
        <v>29420</v>
      </c>
      <c r="E21853" s="51"/>
      <c r="F21853" s="114" t="str">
        <f>IF(INDEX(I.Facility.P4IDNumber,1841)="","",INDEX(I.Facility.P4IDNumber,1841))</f>
        <v/>
      </c>
      <c r="G21853" s="51"/>
      <c r="H21853" s="46" t="str">
        <f>IF(AND(I.Developer.P4=TRUE,I.Facility.P4FacilityCount&gt;=1841,F21853=""),"Incomplete","Complete")</f>
        <v>Complete</v>
      </c>
      <c r="I21853" s="48" t="s">
        <v>26218</v>
      </c>
    </row>
    <row r="21854" spans="2:9" ht="15" customHeight="1" x14ac:dyDescent="0.25">
      <c r="B21854" s="55" t="s">
        <v>283</v>
      </c>
      <c r="C21854" s="46">
        <v>1842</v>
      </c>
      <c r="D21854" s="69" t="s">
        <v>29420</v>
      </c>
      <c r="E21854" s="51"/>
      <c r="F21854" s="114" t="str">
        <f>IF(INDEX(I.Facility.P4IDNumber,1842)="","",INDEX(I.Facility.P4IDNumber,1842))</f>
        <v/>
      </c>
      <c r="G21854" s="51"/>
      <c r="H21854" s="46" t="str">
        <f>IF(AND(I.Developer.P4=TRUE,I.Facility.P4FacilityCount&gt;=1842,F21854=""),"Incomplete","Complete")</f>
        <v>Complete</v>
      </c>
      <c r="I21854" s="48" t="s">
        <v>26219</v>
      </c>
    </row>
    <row r="21855" spans="2:9" ht="15" customHeight="1" x14ac:dyDescent="0.25">
      <c r="B21855" s="55" t="s">
        <v>283</v>
      </c>
      <c r="C21855" s="46">
        <v>1843</v>
      </c>
      <c r="D21855" s="69" t="s">
        <v>29420</v>
      </c>
      <c r="E21855" s="51"/>
      <c r="F21855" s="114" t="str">
        <f>IF(INDEX(I.Facility.P4IDNumber,1843)="","",INDEX(I.Facility.P4IDNumber,1843))</f>
        <v/>
      </c>
      <c r="G21855" s="51"/>
      <c r="H21855" s="46" t="str">
        <f>IF(AND(I.Developer.P4=TRUE,I.Facility.P4FacilityCount&gt;=1843,F21855=""),"Incomplete","Complete")</f>
        <v>Complete</v>
      </c>
      <c r="I21855" s="48" t="s">
        <v>26220</v>
      </c>
    </row>
    <row r="21856" spans="2:9" ht="15" customHeight="1" x14ac:dyDescent="0.25">
      <c r="B21856" s="55" t="s">
        <v>283</v>
      </c>
      <c r="C21856" s="46">
        <v>1844</v>
      </c>
      <c r="D21856" s="69" t="s">
        <v>29420</v>
      </c>
      <c r="E21856" s="51"/>
      <c r="F21856" s="114" t="str">
        <f>IF(INDEX(I.Facility.P4IDNumber,1844)="","",INDEX(I.Facility.P4IDNumber,1844))</f>
        <v/>
      </c>
      <c r="G21856" s="51"/>
      <c r="H21856" s="46" t="str">
        <f>IF(AND(I.Developer.P4=TRUE,I.Facility.P4FacilityCount&gt;=1844,F21856=""),"Incomplete","Complete")</f>
        <v>Complete</v>
      </c>
      <c r="I21856" s="48" t="s">
        <v>26221</v>
      </c>
    </row>
    <row r="21857" spans="2:9" ht="15" customHeight="1" x14ac:dyDescent="0.25">
      <c r="B21857" s="55" t="s">
        <v>283</v>
      </c>
      <c r="C21857" s="46">
        <v>1845</v>
      </c>
      <c r="D21857" s="69" t="s">
        <v>29420</v>
      </c>
      <c r="E21857" s="51"/>
      <c r="F21857" s="114" t="str">
        <f>IF(INDEX(I.Facility.P4IDNumber,1845)="","",INDEX(I.Facility.P4IDNumber,1845))</f>
        <v/>
      </c>
      <c r="G21857" s="51"/>
      <c r="H21857" s="46" t="str">
        <f>IF(AND(I.Developer.P4=TRUE,I.Facility.P4FacilityCount&gt;=1845,F21857=""),"Incomplete","Complete")</f>
        <v>Complete</v>
      </c>
      <c r="I21857" s="48" t="s">
        <v>26222</v>
      </c>
    </row>
    <row r="21858" spans="2:9" ht="15" customHeight="1" x14ac:dyDescent="0.25">
      <c r="B21858" s="55" t="s">
        <v>283</v>
      </c>
      <c r="C21858" s="46">
        <v>1846</v>
      </c>
      <c r="D21858" s="69" t="s">
        <v>29420</v>
      </c>
      <c r="E21858" s="51"/>
      <c r="F21858" s="114" t="str">
        <f>IF(INDEX(I.Facility.P4IDNumber,1846)="","",INDEX(I.Facility.P4IDNumber,1846))</f>
        <v/>
      </c>
      <c r="G21858" s="51"/>
      <c r="H21858" s="46" t="str">
        <f>IF(AND(I.Developer.P4=TRUE,I.Facility.P4FacilityCount&gt;=1846,F21858=""),"Incomplete","Complete")</f>
        <v>Complete</v>
      </c>
      <c r="I21858" s="48" t="s">
        <v>26223</v>
      </c>
    </row>
    <row r="21859" spans="2:9" ht="15" customHeight="1" x14ac:dyDescent="0.25">
      <c r="B21859" s="55" t="s">
        <v>283</v>
      </c>
      <c r="C21859" s="46">
        <v>1847</v>
      </c>
      <c r="D21859" s="69" t="s">
        <v>29420</v>
      </c>
      <c r="E21859" s="51"/>
      <c r="F21859" s="114" t="str">
        <f>IF(INDEX(I.Facility.P4IDNumber,1847)="","",INDEX(I.Facility.P4IDNumber,1847))</f>
        <v/>
      </c>
      <c r="G21859" s="51"/>
      <c r="H21859" s="46" t="str">
        <f>IF(AND(I.Developer.P4=TRUE,I.Facility.P4FacilityCount&gt;=1847,F21859=""),"Incomplete","Complete")</f>
        <v>Complete</v>
      </c>
      <c r="I21859" s="48" t="s">
        <v>26224</v>
      </c>
    </row>
    <row r="21860" spans="2:9" ht="15" customHeight="1" x14ac:dyDescent="0.25">
      <c r="B21860" s="55" t="s">
        <v>283</v>
      </c>
      <c r="C21860" s="46">
        <v>1848</v>
      </c>
      <c r="D21860" s="69" t="s">
        <v>29420</v>
      </c>
      <c r="E21860" s="51"/>
      <c r="F21860" s="114" t="str">
        <f>IF(INDEX(I.Facility.P4IDNumber,1848)="","",INDEX(I.Facility.P4IDNumber,1848))</f>
        <v/>
      </c>
      <c r="G21860" s="51"/>
      <c r="H21860" s="46" t="str">
        <f>IF(AND(I.Developer.P4=TRUE,I.Facility.P4FacilityCount&gt;=1848,F21860=""),"Incomplete","Complete")</f>
        <v>Complete</v>
      </c>
      <c r="I21860" s="48" t="s">
        <v>26225</v>
      </c>
    </row>
    <row r="21861" spans="2:9" ht="15" customHeight="1" x14ac:dyDescent="0.25">
      <c r="B21861" s="55" t="s">
        <v>283</v>
      </c>
      <c r="C21861" s="46">
        <v>1849</v>
      </c>
      <c r="D21861" s="69" t="s">
        <v>29420</v>
      </c>
      <c r="E21861" s="51"/>
      <c r="F21861" s="114" t="str">
        <f>IF(INDEX(I.Facility.P4IDNumber,1849)="","",INDEX(I.Facility.P4IDNumber,1849))</f>
        <v/>
      </c>
      <c r="G21861" s="51"/>
      <c r="H21861" s="46" t="str">
        <f>IF(AND(I.Developer.P4=TRUE,I.Facility.P4FacilityCount&gt;=1849,F21861=""),"Incomplete","Complete")</f>
        <v>Complete</v>
      </c>
      <c r="I21861" s="48" t="s">
        <v>26226</v>
      </c>
    </row>
    <row r="21862" spans="2:9" ht="15" customHeight="1" x14ac:dyDescent="0.25">
      <c r="B21862" s="55" t="s">
        <v>283</v>
      </c>
      <c r="C21862" s="46">
        <v>1850</v>
      </c>
      <c r="D21862" s="69" t="s">
        <v>29420</v>
      </c>
      <c r="E21862" s="51"/>
      <c r="F21862" s="114" t="str">
        <f>IF(INDEX(I.Facility.P4IDNumber,1850)="","",INDEX(I.Facility.P4IDNumber,1850))</f>
        <v/>
      </c>
      <c r="G21862" s="51"/>
      <c r="H21862" s="46" t="str">
        <f>IF(AND(I.Developer.P4=TRUE,I.Facility.P4FacilityCount&gt;=1850,F21862=""),"Incomplete","Complete")</f>
        <v>Complete</v>
      </c>
      <c r="I21862" s="48" t="s">
        <v>26227</v>
      </c>
    </row>
    <row r="21863" spans="2:9" ht="15" customHeight="1" x14ac:dyDescent="0.25">
      <c r="B21863" s="55" t="s">
        <v>283</v>
      </c>
      <c r="C21863" s="46">
        <v>1851</v>
      </c>
      <c r="D21863" s="69" t="s">
        <v>29420</v>
      </c>
      <c r="E21863" s="51"/>
      <c r="F21863" s="114" t="str">
        <f>IF(INDEX(I.Facility.P4IDNumber,1851)="","",INDEX(I.Facility.P4IDNumber,1851))</f>
        <v/>
      </c>
      <c r="G21863" s="51"/>
      <c r="H21863" s="46" t="str">
        <f>IF(AND(I.Developer.P4=TRUE,I.Facility.P4FacilityCount&gt;=1851,F21863=""),"Incomplete","Complete")</f>
        <v>Complete</v>
      </c>
      <c r="I21863" s="48" t="s">
        <v>26228</v>
      </c>
    </row>
    <row r="21864" spans="2:9" ht="15" customHeight="1" x14ac:dyDescent="0.25">
      <c r="B21864" s="55" t="s">
        <v>283</v>
      </c>
      <c r="C21864" s="46">
        <v>1852</v>
      </c>
      <c r="D21864" s="69" t="s">
        <v>29420</v>
      </c>
      <c r="E21864" s="51"/>
      <c r="F21864" s="114" t="str">
        <f>IF(INDEX(I.Facility.P4IDNumber,1852)="","",INDEX(I.Facility.P4IDNumber,1852))</f>
        <v/>
      </c>
      <c r="G21864" s="51"/>
      <c r="H21864" s="46" t="str">
        <f>IF(AND(I.Developer.P4=TRUE,I.Facility.P4FacilityCount&gt;=1852,F21864=""),"Incomplete","Complete")</f>
        <v>Complete</v>
      </c>
      <c r="I21864" s="48" t="s">
        <v>26229</v>
      </c>
    </row>
    <row r="21865" spans="2:9" ht="15" customHeight="1" x14ac:dyDescent="0.25">
      <c r="B21865" s="55" t="s">
        <v>283</v>
      </c>
      <c r="C21865" s="46">
        <v>1853</v>
      </c>
      <c r="D21865" s="69" t="s">
        <v>29420</v>
      </c>
      <c r="E21865" s="51"/>
      <c r="F21865" s="114" t="str">
        <f>IF(INDEX(I.Facility.P4IDNumber,1853)="","",INDEX(I.Facility.P4IDNumber,1853))</f>
        <v/>
      </c>
      <c r="G21865" s="51"/>
      <c r="H21865" s="46" t="str">
        <f>IF(AND(I.Developer.P4=TRUE,I.Facility.P4FacilityCount&gt;=1853,F21865=""),"Incomplete","Complete")</f>
        <v>Complete</v>
      </c>
      <c r="I21865" s="48" t="s">
        <v>26230</v>
      </c>
    </row>
    <row r="21866" spans="2:9" ht="15" customHeight="1" x14ac:dyDescent="0.25">
      <c r="B21866" s="55" t="s">
        <v>283</v>
      </c>
      <c r="C21866" s="46">
        <v>1854</v>
      </c>
      <c r="D21866" s="69" t="s">
        <v>29420</v>
      </c>
      <c r="E21866" s="51"/>
      <c r="F21866" s="114" t="str">
        <f>IF(INDEX(I.Facility.P4IDNumber,1854)="","",INDEX(I.Facility.P4IDNumber,1854))</f>
        <v/>
      </c>
      <c r="G21866" s="51"/>
      <c r="H21866" s="46" t="str">
        <f>IF(AND(I.Developer.P4=TRUE,I.Facility.P4FacilityCount&gt;=1854,F21866=""),"Incomplete","Complete")</f>
        <v>Complete</v>
      </c>
      <c r="I21866" s="48" t="s">
        <v>26231</v>
      </c>
    </row>
    <row r="21867" spans="2:9" ht="15" customHeight="1" x14ac:dyDescent="0.25">
      <c r="B21867" s="55" t="s">
        <v>283</v>
      </c>
      <c r="C21867" s="46">
        <v>1855</v>
      </c>
      <c r="D21867" s="69" t="s">
        <v>29420</v>
      </c>
      <c r="E21867" s="51"/>
      <c r="F21867" s="114" t="str">
        <f>IF(INDEX(I.Facility.P4IDNumber,1855)="","",INDEX(I.Facility.P4IDNumber,1855))</f>
        <v/>
      </c>
      <c r="G21867" s="51"/>
      <c r="H21867" s="46" t="str">
        <f>IF(AND(I.Developer.P4=TRUE,I.Facility.P4FacilityCount&gt;=1855,F21867=""),"Incomplete","Complete")</f>
        <v>Complete</v>
      </c>
      <c r="I21867" s="48" t="s">
        <v>26232</v>
      </c>
    </row>
    <row r="21868" spans="2:9" ht="15" customHeight="1" x14ac:dyDescent="0.25">
      <c r="B21868" s="55" t="s">
        <v>283</v>
      </c>
      <c r="C21868" s="46">
        <v>1856</v>
      </c>
      <c r="D21868" s="69" t="s">
        <v>29420</v>
      </c>
      <c r="E21868" s="51"/>
      <c r="F21868" s="114" t="str">
        <f>IF(INDEX(I.Facility.P4IDNumber,1856)="","",INDEX(I.Facility.P4IDNumber,1856))</f>
        <v/>
      </c>
      <c r="G21868" s="51"/>
      <c r="H21868" s="46" t="str">
        <f>IF(AND(I.Developer.P4=TRUE,I.Facility.P4FacilityCount&gt;=1856,F21868=""),"Incomplete","Complete")</f>
        <v>Complete</v>
      </c>
      <c r="I21868" s="48" t="s">
        <v>26233</v>
      </c>
    </row>
    <row r="21869" spans="2:9" ht="15" customHeight="1" x14ac:dyDescent="0.25">
      <c r="B21869" s="55" t="s">
        <v>283</v>
      </c>
      <c r="C21869" s="46">
        <v>1857</v>
      </c>
      <c r="D21869" s="69" t="s">
        <v>29420</v>
      </c>
      <c r="E21869" s="51"/>
      <c r="F21869" s="114" t="str">
        <f>IF(INDEX(I.Facility.P4IDNumber,1857)="","",INDEX(I.Facility.P4IDNumber,1857))</f>
        <v/>
      </c>
      <c r="G21869" s="51"/>
      <c r="H21869" s="46" t="str">
        <f>IF(AND(I.Developer.P4=TRUE,I.Facility.P4FacilityCount&gt;=1857,F21869=""),"Incomplete","Complete")</f>
        <v>Complete</v>
      </c>
      <c r="I21869" s="48" t="s">
        <v>26234</v>
      </c>
    </row>
    <row r="21870" spans="2:9" ht="15" customHeight="1" x14ac:dyDescent="0.25">
      <c r="B21870" s="55" t="s">
        <v>283</v>
      </c>
      <c r="C21870" s="46">
        <v>1858</v>
      </c>
      <c r="D21870" s="69" t="s">
        <v>29420</v>
      </c>
      <c r="E21870" s="51"/>
      <c r="F21870" s="114" t="str">
        <f>IF(INDEX(I.Facility.P4IDNumber,1858)="","",INDEX(I.Facility.P4IDNumber,1858))</f>
        <v/>
      </c>
      <c r="G21870" s="51"/>
      <c r="H21870" s="46" t="str">
        <f>IF(AND(I.Developer.P4=TRUE,I.Facility.P4FacilityCount&gt;=1858,F21870=""),"Incomplete","Complete")</f>
        <v>Complete</v>
      </c>
      <c r="I21870" s="48" t="s">
        <v>26235</v>
      </c>
    </row>
    <row r="21871" spans="2:9" ht="15" customHeight="1" x14ac:dyDescent="0.25">
      <c r="B21871" s="55" t="s">
        <v>283</v>
      </c>
      <c r="C21871" s="46">
        <v>1859</v>
      </c>
      <c r="D21871" s="69" t="s">
        <v>29420</v>
      </c>
      <c r="E21871" s="51"/>
      <c r="F21871" s="114" t="str">
        <f>IF(INDEX(I.Facility.P4IDNumber,1859)="","",INDEX(I.Facility.P4IDNumber,1859))</f>
        <v/>
      </c>
      <c r="G21871" s="51"/>
      <c r="H21871" s="46" t="str">
        <f>IF(AND(I.Developer.P4=TRUE,I.Facility.P4FacilityCount&gt;=1859,F21871=""),"Incomplete","Complete")</f>
        <v>Complete</v>
      </c>
      <c r="I21871" s="48" t="s">
        <v>26236</v>
      </c>
    </row>
    <row r="21872" spans="2:9" ht="15" customHeight="1" x14ac:dyDescent="0.25">
      <c r="B21872" s="55" t="s">
        <v>283</v>
      </c>
      <c r="C21872" s="46">
        <v>1860</v>
      </c>
      <c r="D21872" s="69" t="s">
        <v>29420</v>
      </c>
      <c r="E21872" s="51"/>
      <c r="F21872" s="114" t="str">
        <f>IF(INDEX(I.Facility.P4IDNumber,1860)="","",INDEX(I.Facility.P4IDNumber,1860))</f>
        <v/>
      </c>
      <c r="G21872" s="51"/>
      <c r="H21872" s="46" t="str">
        <f>IF(AND(I.Developer.P4=TRUE,I.Facility.P4FacilityCount&gt;=1860,F21872=""),"Incomplete","Complete")</f>
        <v>Complete</v>
      </c>
      <c r="I21872" s="48" t="s">
        <v>26237</v>
      </c>
    </row>
    <row r="21873" spans="2:9" ht="15" customHeight="1" x14ac:dyDescent="0.25">
      <c r="B21873" s="55" t="s">
        <v>283</v>
      </c>
      <c r="C21873" s="46">
        <v>1861</v>
      </c>
      <c r="D21873" s="69" t="s">
        <v>29420</v>
      </c>
      <c r="E21873" s="51"/>
      <c r="F21873" s="114" t="str">
        <f>IF(INDEX(I.Facility.P4IDNumber,1861)="","",INDEX(I.Facility.P4IDNumber,1861))</f>
        <v/>
      </c>
      <c r="G21873" s="51"/>
      <c r="H21873" s="46" t="str">
        <f>IF(AND(I.Developer.P4=TRUE,I.Facility.P4FacilityCount&gt;=1861,F21873=""),"Incomplete","Complete")</f>
        <v>Complete</v>
      </c>
      <c r="I21873" s="48" t="s">
        <v>26238</v>
      </c>
    </row>
    <row r="21874" spans="2:9" ht="15" customHeight="1" x14ac:dyDescent="0.25">
      <c r="B21874" s="55" t="s">
        <v>283</v>
      </c>
      <c r="C21874" s="46">
        <v>1862</v>
      </c>
      <c r="D21874" s="69" t="s">
        <v>29420</v>
      </c>
      <c r="E21874" s="51"/>
      <c r="F21874" s="114" t="str">
        <f>IF(INDEX(I.Facility.P4IDNumber,1862)="","",INDEX(I.Facility.P4IDNumber,1862))</f>
        <v/>
      </c>
      <c r="G21874" s="51"/>
      <c r="H21874" s="46" t="str">
        <f>IF(AND(I.Developer.P4=TRUE,I.Facility.P4FacilityCount&gt;=1862,F21874=""),"Incomplete","Complete")</f>
        <v>Complete</v>
      </c>
      <c r="I21874" s="48" t="s">
        <v>26239</v>
      </c>
    </row>
    <row r="21875" spans="2:9" ht="15" customHeight="1" x14ac:dyDescent="0.25">
      <c r="B21875" s="55" t="s">
        <v>283</v>
      </c>
      <c r="C21875" s="46">
        <v>1863</v>
      </c>
      <c r="D21875" s="69" t="s">
        <v>29420</v>
      </c>
      <c r="E21875" s="51"/>
      <c r="F21875" s="114" t="str">
        <f>IF(INDEX(I.Facility.P4IDNumber,1863)="","",INDEX(I.Facility.P4IDNumber,1863))</f>
        <v/>
      </c>
      <c r="G21875" s="51"/>
      <c r="H21875" s="46" t="str">
        <f>IF(AND(I.Developer.P4=TRUE,I.Facility.P4FacilityCount&gt;=1863,F21875=""),"Incomplete","Complete")</f>
        <v>Complete</v>
      </c>
      <c r="I21875" s="48" t="s">
        <v>26240</v>
      </c>
    </row>
    <row r="21876" spans="2:9" ht="15" customHeight="1" x14ac:dyDescent="0.25">
      <c r="B21876" s="55" t="s">
        <v>283</v>
      </c>
      <c r="C21876" s="46">
        <v>1864</v>
      </c>
      <c r="D21876" s="69" t="s">
        <v>29420</v>
      </c>
      <c r="E21876" s="51"/>
      <c r="F21876" s="114" t="str">
        <f>IF(INDEX(I.Facility.P4IDNumber,1864)="","",INDEX(I.Facility.P4IDNumber,1864))</f>
        <v/>
      </c>
      <c r="G21876" s="51"/>
      <c r="H21876" s="46" t="str">
        <f>IF(AND(I.Developer.P4=TRUE,I.Facility.P4FacilityCount&gt;=1864,F21876=""),"Incomplete","Complete")</f>
        <v>Complete</v>
      </c>
      <c r="I21876" s="48" t="s">
        <v>26241</v>
      </c>
    </row>
    <row r="21877" spans="2:9" ht="15" customHeight="1" x14ac:dyDescent="0.25">
      <c r="B21877" s="55" t="s">
        <v>283</v>
      </c>
      <c r="C21877" s="46">
        <v>1865</v>
      </c>
      <c r="D21877" s="69" t="s">
        <v>29420</v>
      </c>
      <c r="E21877" s="51"/>
      <c r="F21877" s="114" t="str">
        <f>IF(INDEX(I.Facility.P4IDNumber,1865)="","",INDEX(I.Facility.P4IDNumber,1865))</f>
        <v/>
      </c>
      <c r="G21877" s="51"/>
      <c r="H21877" s="46" t="str">
        <f>IF(AND(I.Developer.P4=TRUE,I.Facility.P4FacilityCount&gt;=1865,F21877=""),"Incomplete","Complete")</f>
        <v>Complete</v>
      </c>
      <c r="I21877" s="48" t="s">
        <v>26242</v>
      </c>
    </row>
    <row r="21878" spans="2:9" ht="15" customHeight="1" x14ac:dyDescent="0.25">
      <c r="B21878" s="55" t="s">
        <v>283</v>
      </c>
      <c r="C21878" s="46">
        <v>1866</v>
      </c>
      <c r="D21878" s="69" t="s">
        <v>29420</v>
      </c>
      <c r="E21878" s="51"/>
      <c r="F21878" s="114" t="str">
        <f>IF(INDEX(I.Facility.P4IDNumber,1866)="","",INDEX(I.Facility.P4IDNumber,1866))</f>
        <v/>
      </c>
      <c r="G21878" s="51"/>
      <c r="H21878" s="46" t="str">
        <f>IF(AND(I.Developer.P4=TRUE,I.Facility.P4FacilityCount&gt;=1866,F21878=""),"Incomplete","Complete")</f>
        <v>Complete</v>
      </c>
      <c r="I21878" s="48" t="s">
        <v>26243</v>
      </c>
    </row>
    <row r="21879" spans="2:9" ht="15" customHeight="1" x14ac:dyDescent="0.25">
      <c r="B21879" s="55" t="s">
        <v>283</v>
      </c>
      <c r="C21879" s="46">
        <v>1867</v>
      </c>
      <c r="D21879" s="69" t="s">
        <v>29420</v>
      </c>
      <c r="E21879" s="51"/>
      <c r="F21879" s="114" t="str">
        <f>IF(INDEX(I.Facility.P4IDNumber,1867)="","",INDEX(I.Facility.P4IDNumber,1867))</f>
        <v/>
      </c>
      <c r="G21879" s="51"/>
      <c r="H21879" s="46" t="str">
        <f>IF(AND(I.Developer.P4=TRUE,I.Facility.P4FacilityCount&gt;=1867,F21879=""),"Incomplete","Complete")</f>
        <v>Complete</v>
      </c>
      <c r="I21879" s="48" t="s">
        <v>26244</v>
      </c>
    </row>
    <row r="21880" spans="2:9" ht="15" customHeight="1" x14ac:dyDescent="0.25">
      <c r="B21880" s="55" t="s">
        <v>283</v>
      </c>
      <c r="C21880" s="46">
        <v>1868</v>
      </c>
      <c r="D21880" s="69" t="s">
        <v>29420</v>
      </c>
      <c r="E21880" s="51"/>
      <c r="F21880" s="114" t="str">
        <f>IF(INDEX(I.Facility.P4IDNumber,1868)="","",INDEX(I.Facility.P4IDNumber,1868))</f>
        <v/>
      </c>
      <c r="G21880" s="51"/>
      <c r="H21880" s="46" t="str">
        <f>IF(AND(I.Developer.P4=TRUE,I.Facility.P4FacilityCount&gt;=1868,F21880=""),"Incomplete","Complete")</f>
        <v>Complete</v>
      </c>
      <c r="I21880" s="48" t="s">
        <v>26245</v>
      </c>
    </row>
    <row r="21881" spans="2:9" ht="15" customHeight="1" x14ac:dyDescent="0.25">
      <c r="B21881" s="55" t="s">
        <v>283</v>
      </c>
      <c r="C21881" s="46">
        <v>1869</v>
      </c>
      <c r="D21881" s="69" t="s">
        <v>29420</v>
      </c>
      <c r="E21881" s="51"/>
      <c r="F21881" s="114" t="str">
        <f>IF(INDEX(I.Facility.P4IDNumber,1869)="","",INDEX(I.Facility.P4IDNumber,1869))</f>
        <v/>
      </c>
      <c r="G21881" s="51"/>
      <c r="H21881" s="46" t="str">
        <f>IF(AND(I.Developer.P4=TRUE,I.Facility.P4FacilityCount&gt;=1869,F21881=""),"Incomplete","Complete")</f>
        <v>Complete</v>
      </c>
      <c r="I21881" s="48" t="s">
        <v>26246</v>
      </c>
    </row>
    <row r="21882" spans="2:9" ht="15" customHeight="1" x14ac:dyDescent="0.25">
      <c r="B21882" s="55" t="s">
        <v>283</v>
      </c>
      <c r="C21882" s="46">
        <v>1870</v>
      </c>
      <c r="D21882" s="69" t="s">
        <v>29420</v>
      </c>
      <c r="E21882" s="51"/>
      <c r="F21882" s="114" t="str">
        <f>IF(INDEX(I.Facility.P4IDNumber,1870)="","",INDEX(I.Facility.P4IDNumber,1870))</f>
        <v/>
      </c>
      <c r="G21882" s="51"/>
      <c r="H21882" s="46" t="str">
        <f>IF(AND(I.Developer.P4=TRUE,I.Facility.P4FacilityCount&gt;=1870,F21882=""),"Incomplete","Complete")</f>
        <v>Complete</v>
      </c>
      <c r="I21882" s="48" t="s">
        <v>26247</v>
      </c>
    </row>
    <row r="21883" spans="2:9" ht="15" customHeight="1" x14ac:dyDescent="0.25">
      <c r="B21883" s="55" t="s">
        <v>283</v>
      </c>
      <c r="C21883" s="46">
        <v>1871</v>
      </c>
      <c r="D21883" s="69" t="s">
        <v>29420</v>
      </c>
      <c r="E21883" s="51"/>
      <c r="F21883" s="114" t="str">
        <f>IF(INDEX(I.Facility.P4IDNumber,1871)="","",INDEX(I.Facility.P4IDNumber,1871))</f>
        <v/>
      </c>
      <c r="G21883" s="51"/>
      <c r="H21883" s="46" t="str">
        <f>IF(AND(I.Developer.P4=TRUE,I.Facility.P4FacilityCount&gt;=1871,F21883=""),"Incomplete","Complete")</f>
        <v>Complete</v>
      </c>
      <c r="I21883" s="48" t="s">
        <v>26248</v>
      </c>
    </row>
    <row r="21884" spans="2:9" ht="15" customHeight="1" x14ac:dyDescent="0.25">
      <c r="B21884" s="55" t="s">
        <v>283</v>
      </c>
      <c r="C21884" s="46">
        <v>1872</v>
      </c>
      <c r="D21884" s="69" t="s">
        <v>29420</v>
      </c>
      <c r="E21884" s="51"/>
      <c r="F21884" s="114" t="str">
        <f>IF(INDEX(I.Facility.P4IDNumber,1872)="","",INDEX(I.Facility.P4IDNumber,1872))</f>
        <v/>
      </c>
      <c r="G21884" s="51"/>
      <c r="H21884" s="46" t="str">
        <f>IF(AND(I.Developer.P4=TRUE,I.Facility.P4FacilityCount&gt;=1872,F21884=""),"Incomplete","Complete")</f>
        <v>Complete</v>
      </c>
      <c r="I21884" s="48" t="s">
        <v>26249</v>
      </c>
    </row>
    <row r="21885" spans="2:9" ht="15" customHeight="1" x14ac:dyDescent="0.25">
      <c r="B21885" s="55" t="s">
        <v>283</v>
      </c>
      <c r="C21885" s="46">
        <v>1873</v>
      </c>
      <c r="D21885" s="69" t="s">
        <v>29420</v>
      </c>
      <c r="E21885" s="51"/>
      <c r="F21885" s="114" t="str">
        <f>IF(INDEX(I.Facility.P4IDNumber,1873)="","",INDEX(I.Facility.P4IDNumber,1873))</f>
        <v/>
      </c>
      <c r="G21885" s="51"/>
      <c r="H21885" s="46" t="str">
        <f>IF(AND(I.Developer.P4=TRUE,I.Facility.P4FacilityCount&gt;=1873,F21885=""),"Incomplete","Complete")</f>
        <v>Complete</v>
      </c>
      <c r="I21885" s="48" t="s">
        <v>26250</v>
      </c>
    </row>
    <row r="21886" spans="2:9" ht="15" customHeight="1" x14ac:dyDescent="0.25">
      <c r="B21886" s="55" t="s">
        <v>283</v>
      </c>
      <c r="C21886" s="46">
        <v>1874</v>
      </c>
      <c r="D21886" s="69" t="s">
        <v>29420</v>
      </c>
      <c r="E21886" s="51"/>
      <c r="F21886" s="114" t="str">
        <f>IF(INDEX(I.Facility.P4IDNumber,1874)="","",INDEX(I.Facility.P4IDNumber,1874))</f>
        <v/>
      </c>
      <c r="G21886" s="51"/>
      <c r="H21886" s="46" t="str">
        <f>IF(AND(I.Developer.P4=TRUE,I.Facility.P4FacilityCount&gt;=1874,F21886=""),"Incomplete","Complete")</f>
        <v>Complete</v>
      </c>
      <c r="I21886" s="48" t="s">
        <v>26251</v>
      </c>
    </row>
    <row r="21887" spans="2:9" ht="15" customHeight="1" x14ac:dyDescent="0.25">
      <c r="B21887" s="55" t="s">
        <v>283</v>
      </c>
      <c r="C21887" s="46">
        <v>1875</v>
      </c>
      <c r="D21887" s="69" t="s">
        <v>29420</v>
      </c>
      <c r="E21887" s="51"/>
      <c r="F21887" s="114" t="str">
        <f>IF(INDEX(I.Facility.P4IDNumber,1875)="","",INDEX(I.Facility.P4IDNumber,1875))</f>
        <v/>
      </c>
      <c r="G21887" s="51"/>
      <c r="H21887" s="46" t="str">
        <f>IF(AND(I.Developer.P4=TRUE,I.Facility.P4FacilityCount&gt;=1875,F21887=""),"Incomplete","Complete")</f>
        <v>Complete</v>
      </c>
      <c r="I21887" s="48" t="s">
        <v>26252</v>
      </c>
    </row>
    <row r="21888" spans="2:9" ht="15" customHeight="1" x14ac:dyDescent="0.25">
      <c r="B21888" s="55" t="s">
        <v>283</v>
      </c>
      <c r="C21888" s="46">
        <v>1876</v>
      </c>
      <c r="D21888" s="69" t="s">
        <v>29420</v>
      </c>
      <c r="E21888" s="51"/>
      <c r="F21888" s="114" t="str">
        <f>IF(INDEX(I.Facility.P4IDNumber,1876)="","",INDEX(I.Facility.P4IDNumber,1876))</f>
        <v/>
      </c>
      <c r="G21888" s="51"/>
      <c r="H21888" s="46" t="str">
        <f>IF(AND(I.Developer.P4=TRUE,I.Facility.P4FacilityCount&gt;=1876,F21888=""),"Incomplete","Complete")</f>
        <v>Complete</v>
      </c>
      <c r="I21888" s="48" t="s">
        <v>26253</v>
      </c>
    </row>
    <row r="21889" spans="2:9" ht="15" customHeight="1" x14ac:dyDescent="0.25">
      <c r="B21889" s="55" t="s">
        <v>283</v>
      </c>
      <c r="C21889" s="46">
        <v>1877</v>
      </c>
      <c r="D21889" s="69" t="s">
        <v>29420</v>
      </c>
      <c r="E21889" s="51"/>
      <c r="F21889" s="114" t="str">
        <f>IF(INDEX(I.Facility.P4IDNumber,1877)="","",INDEX(I.Facility.P4IDNumber,1877))</f>
        <v/>
      </c>
      <c r="G21889" s="51"/>
      <c r="H21889" s="46" t="str">
        <f>IF(AND(I.Developer.P4=TRUE,I.Facility.P4FacilityCount&gt;=1877,F21889=""),"Incomplete","Complete")</f>
        <v>Complete</v>
      </c>
      <c r="I21889" s="48" t="s">
        <v>26254</v>
      </c>
    </row>
    <row r="21890" spans="2:9" ht="15" customHeight="1" x14ac:dyDescent="0.25">
      <c r="B21890" s="55" t="s">
        <v>283</v>
      </c>
      <c r="C21890" s="46">
        <v>1878</v>
      </c>
      <c r="D21890" s="69" t="s">
        <v>29420</v>
      </c>
      <c r="E21890" s="51"/>
      <c r="F21890" s="114" t="str">
        <f>IF(INDEX(I.Facility.P4IDNumber,1878)="","",INDEX(I.Facility.P4IDNumber,1878))</f>
        <v/>
      </c>
      <c r="G21890" s="51"/>
      <c r="H21890" s="46" t="str">
        <f>IF(AND(I.Developer.P4=TRUE,I.Facility.P4FacilityCount&gt;=1878,F21890=""),"Incomplete","Complete")</f>
        <v>Complete</v>
      </c>
      <c r="I21890" s="48" t="s">
        <v>26255</v>
      </c>
    </row>
    <row r="21891" spans="2:9" ht="15" customHeight="1" x14ac:dyDescent="0.25">
      <c r="B21891" s="55" t="s">
        <v>283</v>
      </c>
      <c r="C21891" s="46">
        <v>1879</v>
      </c>
      <c r="D21891" s="69" t="s">
        <v>29420</v>
      </c>
      <c r="E21891" s="51"/>
      <c r="F21891" s="114" t="str">
        <f>IF(INDEX(I.Facility.P4IDNumber,1879)="","",INDEX(I.Facility.P4IDNumber,1879))</f>
        <v/>
      </c>
      <c r="G21891" s="51"/>
      <c r="H21891" s="46" t="str">
        <f>IF(AND(I.Developer.P4=TRUE,I.Facility.P4FacilityCount&gt;=1879,F21891=""),"Incomplete","Complete")</f>
        <v>Complete</v>
      </c>
      <c r="I21891" s="48" t="s">
        <v>26256</v>
      </c>
    </row>
    <row r="21892" spans="2:9" ht="15" customHeight="1" x14ac:dyDescent="0.25">
      <c r="B21892" s="55" t="s">
        <v>283</v>
      </c>
      <c r="C21892" s="46">
        <v>1880</v>
      </c>
      <c r="D21892" s="69" t="s">
        <v>29420</v>
      </c>
      <c r="E21892" s="51"/>
      <c r="F21892" s="114" t="str">
        <f>IF(INDEX(I.Facility.P4IDNumber,1880)="","",INDEX(I.Facility.P4IDNumber,1880))</f>
        <v/>
      </c>
      <c r="G21892" s="51"/>
      <c r="H21892" s="46" t="str">
        <f>IF(AND(I.Developer.P4=TRUE,I.Facility.P4FacilityCount&gt;=1880,F21892=""),"Incomplete","Complete")</f>
        <v>Complete</v>
      </c>
      <c r="I21892" s="48" t="s">
        <v>26257</v>
      </c>
    </row>
    <row r="21893" spans="2:9" ht="15" customHeight="1" x14ac:dyDescent="0.25">
      <c r="B21893" s="55" t="s">
        <v>283</v>
      </c>
      <c r="C21893" s="46">
        <v>1881</v>
      </c>
      <c r="D21893" s="69" t="s">
        <v>29420</v>
      </c>
      <c r="E21893" s="51"/>
      <c r="F21893" s="114" t="str">
        <f>IF(INDEX(I.Facility.P4IDNumber,1881)="","",INDEX(I.Facility.P4IDNumber,1881))</f>
        <v/>
      </c>
      <c r="G21893" s="51"/>
      <c r="H21893" s="46" t="str">
        <f>IF(AND(I.Developer.P4=TRUE,I.Facility.P4FacilityCount&gt;=1881,F21893=""),"Incomplete","Complete")</f>
        <v>Complete</v>
      </c>
      <c r="I21893" s="48" t="s">
        <v>26258</v>
      </c>
    </row>
    <row r="21894" spans="2:9" ht="15" customHeight="1" x14ac:dyDescent="0.25">
      <c r="B21894" s="55" t="s">
        <v>283</v>
      </c>
      <c r="C21894" s="46">
        <v>1882</v>
      </c>
      <c r="D21894" s="69" t="s">
        <v>29420</v>
      </c>
      <c r="E21894" s="51"/>
      <c r="F21894" s="114" t="str">
        <f>IF(INDEX(I.Facility.P4IDNumber,1882)="","",INDEX(I.Facility.P4IDNumber,1882))</f>
        <v/>
      </c>
      <c r="G21894" s="51"/>
      <c r="H21894" s="46" t="str">
        <f>IF(AND(I.Developer.P4=TRUE,I.Facility.P4FacilityCount&gt;=1882,F21894=""),"Incomplete","Complete")</f>
        <v>Complete</v>
      </c>
      <c r="I21894" s="48" t="s">
        <v>26259</v>
      </c>
    </row>
    <row r="21895" spans="2:9" ht="15" customHeight="1" x14ac:dyDescent="0.25">
      <c r="B21895" s="55" t="s">
        <v>283</v>
      </c>
      <c r="C21895" s="46">
        <v>1883</v>
      </c>
      <c r="D21895" s="69" t="s">
        <v>29420</v>
      </c>
      <c r="E21895" s="51"/>
      <c r="F21895" s="114" t="str">
        <f>IF(INDEX(I.Facility.P4IDNumber,1883)="","",INDEX(I.Facility.P4IDNumber,1883))</f>
        <v/>
      </c>
      <c r="G21895" s="51"/>
      <c r="H21895" s="46" t="str">
        <f>IF(AND(I.Developer.P4=TRUE,I.Facility.P4FacilityCount&gt;=1883,F21895=""),"Incomplete","Complete")</f>
        <v>Complete</v>
      </c>
      <c r="I21895" s="48" t="s">
        <v>26260</v>
      </c>
    </row>
    <row r="21896" spans="2:9" ht="15" customHeight="1" x14ac:dyDescent="0.25">
      <c r="B21896" s="55" t="s">
        <v>283</v>
      </c>
      <c r="C21896" s="46">
        <v>1884</v>
      </c>
      <c r="D21896" s="69" t="s">
        <v>29420</v>
      </c>
      <c r="E21896" s="51"/>
      <c r="F21896" s="114" t="str">
        <f>IF(INDEX(I.Facility.P4IDNumber,1884)="","",INDEX(I.Facility.P4IDNumber,1884))</f>
        <v/>
      </c>
      <c r="G21896" s="51"/>
      <c r="H21896" s="46" t="str">
        <f>IF(AND(I.Developer.P4=TRUE,I.Facility.P4FacilityCount&gt;=1884,F21896=""),"Incomplete","Complete")</f>
        <v>Complete</v>
      </c>
      <c r="I21896" s="48" t="s">
        <v>26261</v>
      </c>
    </row>
    <row r="21897" spans="2:9" ht="15" customHeight="1" x14ac:dyDescent="0.25">
      <c r="B21897" s="55" t="s">
        <v>283</v>
      </c>
      <c r="C21897" s="46">
        <v>1885</v>
      </c>
      <c r="D21897" s="69" t="s">
        <v>29420</v>
      </c>
      <c r="E21897" s="51"/>
      <c r="F21897" s="114" t="str">
        <f>IF(INDEX(I.Facility.P4IDNumber,1885)="","",INDEX(I.Facility.P4IDNumber,1885))</f>
        <v/>
      </c>
      <c r="G21897" s="51"/>
      <c r="H21897" s="46" t="str">
        <f>IF(AND(I.Developer.P4=TRUE,I.Facility.P4FacilityCount&gt;=1885,F21897=""),"Incomplete","Complete")</f>
        <v>Complete</v>
      </c>
      <c r="I21897" s="48" t="s">
        <v>26262</v>
      </c>
    </row>
    <row r="21898" spans="2:9" ht="15" customHeight="1" x14ac:dyDescent="0.25">
      <c r="B21898" s="55" t="s">
        <v>283</v>
      </c>
      <c r="C21898" s="46">
        <v>1886</v>
      </c>
      <c r="D21898" s="69" t="s">
        <v>29420</v>
      </c>
      <c r="E21898" s="51"/>
      <c r="F21898" s="114" t="str">
        <f>IF(INDEX(I.Facility.P4IDNumber,1886)="","",INDEX(I.Facility.P4IDNumber,1886))</f>
        <v/>
      </c>
      <c r="G21898" s="51"/>
      <c r="H21898" s="46" t="str">
        <f>IF(AND(I.Developer.P4=TRUE,I.Facility.P4FacilityCount&gt;=1886,F21898=""),"Incomplete","Complete")</f>
        <v>Complete</v>
      </c>
      <c r="I21898" s="48" t="s">
        <v>26263</v>
      </c>
    </row>
    <row r="21899" spans="2:9" ht="15" customHeight="1" x14ac:dyDescent="0.25">
      <c r="B21899" s="55" t="s">
        <v>283</v>
      </c>
      <c r="C21899" s="46">
        <v>1887</v>
      </c>
      <c r="D21899" s="69" t="s">
        <v>29420</v>
      </c>
      <c r="E21899" s="51"/>
      <c r="F21899" s="114" t="str">
        <f>IF(INDEX(I.Facility.P4IDNumber,1887)="","",INDEX(I.Facility.P4IDNumber,1887))</f>
        <v/>
      </c>
      <c r="G21899" s="51"/>
      <c r="H21899" s="46" t="str">
        <f>IF(AND(I.Developer.P4=TRUE,I.Facility.P4FacilityCount&gt;=1887,F21899=""),"Incomplete","Complete")</f>
        <v>Complete</v>
      </c>
      <c r="I21899" s="48" t="s">
        <v>26264</v>
      </c>
    </row>
    <row r="21900" spans="2:9" ht="15" customHeight="1" x14ac:dyDescent="0.25">
      <c r="B21900" s="55" t="s">
        <v>283</v>
      </c>
      <c r="C21900" s="46">
        <v>1888</v>
      </c>
      <c r="D21900" s="69" t="s">
        <v>29420</v>
      </c>
      <c r="E21900" s="51"/>
      <c r="F21900" s="114" t="str">
        <f>IF(INDEX(I.Facility.P4IDNumber,1888)="","",INDEX(I.Facility.P4IDNumber,1888))</f>
        <v/>
      </c>
      <c r="G21900" s="51"/>
      <c r="H21900" s="46" t="str">
        <f>IF(AND(I.Developer.P4=TRUE,I.Facility.P4FacilityCount&gt;=1888,F21900=""),"Incomplete","Complete")</f>
        <v>Complete</v>
      </c>
      <c r="I21900" s="48" t="s">
        <v>26265</v>
      </c>
    </row>
    <row r="21901" spans="2:9" ht="15" customHeight="1" x14ac:dyDescent="0.25">
      <c r="B21901" s="55" t="s">
        <v>283</v>
      </c>
      <c r="C21901" s="46">
        <v>1889</v>
      </c>
      <c r="D21901" s="69" t="s">
        <v>29420</v>
      </c>
      <c r="E21901" s="51"/>
      <c r="F21901" s="114" t="str">
        <f>IF(INDEX(I.Facility.P4IDNumber,1889)="","",INDEX(I.Facility.P4IDNumber,1889))</f>
        <v/>
      </c>
      <c r="G21901" s="51"/>
      <c r="H21901" s="46" t="str">
        <f>IF(AND(I.Developer.P4=TRUE,I.Facility.P4FacilityCount&gt;=1889,F21901=""),"Incomplete","Complete")</f>
        <v>Complete</v>
      </c>
      <c r="I21901" s="48" t="s">
        <v>26266</v>
      </c>
    </row>
    <row r="21902" spans="2:9" ht="15" customHeight="1" x14ac:dyDescent="0.25">
      <c r="B21902" s="55" t="s">
        <v>283</v>
      </c>
      <c r="C21902" s="46">
        <v>1890</v>
      </c>
      <c r="D21902" s="69" t="s">
        <v>29420</v>
      </c>
      <c r="E21902" s="51"/>
      <c r="F21902" s="114" t="str">
        <f>IF(INDEX(I.Facility.P4IDNumber,1890)="","",INDEX(I.Facility.P4IDNumber,1890))</f>
        <v/>
      </c>
      <c r="G21902" s="51"/>
      <c r="H21902" s="46" t="str">
        <f>IF(AND(I.Developer.P4=TRUE,I.Facility.P4FacilityCount&gt;=1890,F21902=""),"Incomplete","Complete")</f>
        <v>Complete</v>
      </c>
      <c r="I21902" s="48" t="s">
        <v>26267</v>
      </c>
    </row>
    <row r="21903" spans="2:9" ht="15" customHeight="1" x14ac:dyDescent="0.25">
      <c r="B21903" s="55" t="s">
        <v>283</v>
      </c>
      <c r="C21903" s="46">
        <v>1891</v>
      </c>
      <c r="D21903" s="69" t="s">
        <v>29420</v>
      </c>
      <c r="E21903" s="51"/>
      <c r="F21903" s="114" t="str">
        <f>IF(INDEX(I.Facility.P4IDNumber,1891)="","",INDEX(I.Facility.P4IDNumber,1891))</f>
        <v/>
      </c>
      <c r="G21903" s="51"/>
      <c r="H21903" s="46" t="str">
        <f>IF(AND(I.Developer.P4=TRUE,I.Facility.P4FacilityCount&gt;=1891,F21903=""),"Incomplete","Complete")</f>
        <v>Complete</v>
      </c>
      <c r="I21903" s="48" t="s">
        <v>26268</v>
      </c>
    </row>
    <row r="21904" spans="2:9" ht="15" customHeight="1" x14ac:dyDescent="0.25">
      <c r="B21904" s="55" t="s">
        <v>283</v>
      </c>
      <c r="C21904" s="46">
        <v>1892</v>
      </c>
      <c r="D21904" s="69" t="s">
        <v>29420</v>
      </c>
      <c r="E21904" s="51"/>
      <c r="F21904" s="114" t="str">
        <f>IF(INDEX(I.Facility.P4IDNumber,1892)="","",INDEX(I.Facility.P4IDNumber,1892))</f>
        <v/>
      </c>
      <c r="G21904" s="51"/>
      <c r="H21904" s="46" t="str">
        <f>IF(AND(I.Developer.P4=TRUE,I.Facility.P4FacilityCount&gt;=1892,F21904=""),"Incomplete","Complete")</f>
        <v>Complete</v>
      </c>
      <c r="I21904" s="48" t="s">
        <v>26269</v>
      </c>
    </row>
    <row r="21905" spans="2:9" ht="15" customHeight="1" x14ac:dyDescent="0.25">
      <c r="B21905" s="55" t="s">
        <v>283</v>
      </c>
      <c r="C21905" s="46">
        <v>1893</v>
      </c>
      <c r="D21905" s="69" t="s">
        <v>29420</v>
      </c>
      <c r="E21905" s="51"/>
      <c r="F21905" s="114" t="str">
        <f>IF(INDEX(I.Facility.P4IDNumber,1893)="","",INDEX(I.Facility.P4IDNumber,1893))</f>
        <v/>
      </c>
      <c r="G21905" s="51"/>
      <c r="H21905" s="46" t="str">
        <f>IF(AND(I.Developer.P4=TRUE,I.Facility.P4FacilityCount&gt;=1893,F21905=""),"Incomplete","Complete")</f>
        <v>Complete</v>
      </c>
      <c r="I21905" s="48" t="s">
        <v>26270</v>
      </c>
    </row>
    <row r="21906" spans="2:9" ht="15" customHeight="1" x14ac:dyDescent="0.25">
      <c r="B21906" s="55" t="s">
        <v>283</v>
      </c>
      <c r="C21906" s="46">
        <v>1894</v>
      </c>
      <c r="D21906" s="69" t="s">
        <v>29420</v>
      </c>
      <c r="E21906" s="51"/>
      <c r="F21906" s="114" t="str">
        <f>IF(INDEX(I.Facility.P4IDNumber,1894)="","",INDEX(I.Facility.P4IDNumber,1894))</f>
        <v/>
      </c>
      <c r="G21906" s="51"/>
      <c r="H21906" s="46" t="str">
        <f>IF(AND(I.Developer.P4=TRUE,I.Facility.P4FacilityCount&gt;=1894,F21906=""),"Incomplete","Complete")</f>
        <v>Complete</v>
      </c>
      <c r="I21906" s="48" t="s">
        <v>26271</v>
      </c>
    </row>
    <row r="21907" spans="2:9" ht="15" customHeight="1" x14ac:dyDescent="0.25">
      <c r="B21907" s="55" t="s">
        <v>283</v>
      </c>
      <c r="C21907" s="46">
        <v>1895</v>
      </c>
      <c r="D21907" s="69" t="s">
        <v>29420</v>
      </c>
      <c r="E21907" s="51"/>
      <c r="F21907" s="114" t="str">
        <f>IF(INDEX(I.Facility.P4IDNumber,1895)="","",INDEX(I.Facility.P4IDNumber,1895))</f>
        <v/>
      </c>
      <c r="G21907" s="51"/>
      <c r="H21907" s="46" t="str">
        <f>IF(AND(I.Developer.P4=TRUE,I.Facility.P4FacilityCount&gt;=1895,F21907=""),"Incomplete","Complete")</f>
        <v>Complete</v>
      </c>
      <c r="I21907" s="48" t="s">
        <v>26272</v>
      </c>
    </row>
    <row r="21908" spans="2:9" ht="15" customHeight="1" x14ac:dyDescent="0.25">
      <c r="B21908" s="55" t="s">
        <v>283</v>
      </c>
      <c r="C21908" s="46">
        <v>1896</v>
      </c>
      <c r="D21908" s="69" t="s">
        <v>29420</v>
      </c>
      <c r="E21908" s="51"/>
      <c r="F21908" s="114" t="str">
        <f>IF(INDEX(I.Facility.P4IDNumber,1896)="","",INDEX(I.Facility.P4IDNumber,1896))</f>
        <v/>
      </c>
      <c r="G21908" s="51"/>
      <c r="H21908" s="46" t="str">
        <f>IF(AND(I.Developer.P4=TRUE,I.Facility.P4FacilityCount&gt;=1896,F21908=""),"Incomplete","Complete")</f>
        <v>Complete</v>
      </c>
      <c r="I21908" s="48" t="s">
        <v>26273</v>
      </c>
    </row>
    <row r="21909" spans="2:9" ht="15" customHeight="1" x14ac:dyDescent="0.25">
      <c r="B21909" s="55" t="s">
        <v>283</v>
      </c>
      <c r="C21909" s="46">
        <v>1897</v>
      </c>
      <c r="D21909" s="69" t="s">
        <v>29420</v>
      </c>
      <c r="E21909" s="51"/>
      <c r="F21909" s="114" t="str">
        <f>IF(INDEX(I.Facility.P4IDNumber,1897)="","",INDEX(I.Facility.P4IDNumber,1897))</f>
        <v/>
      </c>
      <c r="G21909" s="51"/>
      <c r="H21909" s="46" t="str">
        <f>IF(AND(I.Developer.P4=TRUE,I.Facility.P4FacilityCount&gt;=1897,F21909=""),"Incomplete","Complete")</f>
        <v>Complete</v>
      </c>
      <c r="I21909" s="48" t="s">
        <v>26274</v>
      </c>
    </row>
    <row r="21910" spans="2:9" ht="15" customHeight="1" x14ac:dyDescent="0.25">
      <c r="B21910" s="55" t="s">
        <v>283</v>
      </c>
      <c r="C21910" s="46">
        <v>1898</v>
      </c>
      <c r="D21910" s="69" t="s">
        <v>29420</v>
      </c>
      <c r="E21910" s="51"/>
      <c r="F21910" s="114" t="str">
        <f>IF(INDEX(I.Facility.P4IDNumber,1898)="","",INDEX(I.Facility.P4IDNumber,1898))</f>
        <v/>
      </c>
      <c r="G21910" s="51"/>
      <c r="H21910" s="46" t="str">
        <f>IF(AND(I.Developer.P4=TRUE,I.Facility.P4FacilityCount&gt;=1898,F21910=""),"Incomplete","Complete")</f>
        <v>Complete</v>
      </c>
      <c r="I21910" s="48" t="s">
        <v>26275</v>
      </c>
    </row>
    <row r="21911" spans="2:9" ht="15" customHeight="1" x14ac:dyDescent="0.25">
      <c r="B21911" s="55" t="s">
        <v>283</v>
      </c>
      <c r="C21911" s="46">
        <v>1899</v>
      </c>
      <c r="D21911" s="69" t="s">
        <v>29420</v>
      </c>
      <c r="E21911" s="51"/>
      <c r="F21911" s="114" t="str">
        <f>IF(INDEX(I.Facility.P4IDNumber,1899)="","",INDEX(I.Facility.P4IDNumber,1899))</f>
        <v/>
      </c>
      <c r="G21911" s="51"/>
      <c r="H21911" s="46" t="str">
        <f>IF(AND(I.Developer.P4=TRUE,I.Facility.P4FacilityCount&gt;=1899,F21911=""),"Incomplete","Complete")</f>
        <v>Complete</v>
      </c>
      <c r="I21911" s="48" t="s">
        <v>26276</v>
      </c>
    </row>
    <row r="21912" spans="2:9" ht="15" customHeight="1" x14ac:dyDescent="0.25">
      <c r="B21912" s="55" t="s">
        <v>283</v>
      </c>
      <c r="C21912" s="46">
        <v>1900</v>
      </c>
      <c r="D21912" s="69" t="s">
        <v>29420</v>
      </c>
      <c r="E21912" s="51"/>
      <c r="F21912" s="114" t="str">
        <f>IF(INDEX(I.Facility.P4IDNumber,1900)="","",INDEX(I.Facility.P4IDNumber,1900))</f>
        <v/>
      </c>
      <c r="G21912" s="51"/>
      <c r="H21912" s="46" t="str">
        <f>IF(AND(I.Developer.P4=TRUE,I.Facility.P4FacilityCount&gt;=1900,F21912=""),"Incomplete","Complete")</f>
        <v>Complete</v>
      </c>
      <c r="I21912" s="48" t="s">
        <v>26277</v>
      </c>
    </row>
    <row r="21913" spans="2:9" ht="15" customHeight="1" x14ac:dyDescent="0.25">
      <c r="B21913" s="55" t="s">
        <v>283</v>
      </c>
      <c r="C21913" s="46">
        <v>1901</v>
      </c>
      <c r="D21913" s="69" t="s">
        <v>29420</v>
      </c>
      <c r="E21913" s="51"/>
      <c r="F21913" s="114" t="str">
        <f>IF(INDEX(I.Facility.P4IDNumber,1901)="","",INDEX(I.Facility.P4IDNumber,1901))</f>
        <v/>
      </c>
      <c r="G21913" s="51"/>
      <c r="H21913" s="46" t="str">
        <f>IF(AND(I.Developer.P4=TRUE,I.Facility.P4FacilityCount&gt;=1901,F21913=""),"Incomplete","Complete")</f>
        <v>Complete</v>
      </c>
      <c r="I21913" s="48" t="s">
        <v>26278</v>
      </c>
    </row>
    <row r="21914" spans="2:9" ht="15" customHeight="1" x14ac:dyDescent="0.25">
      <c r="B21914" s="55" t="s">
        <v>283</v>
      </c>
      <c r="C21914" s="46">
        <v>1902</v>
      </c>
      <c r="D21914" s="69" t="s">
        <v>29420</v>
      </c>
      <c r="E21914" s="51"/>
      <c r="F21914" s="114" t="str">
        <f>IF(INDEX(I.Facility.P4IDNumber,1902)="","",INDEX(I.Facility.P4IDNumber,1902))</f>
        <v/>
      </c>
      <c r="G21914" s="51"/>
      <c r="H21914" s="46" t="str">
        <f>IF(AND(I.Developer.P4=TRUE,I.Facility.P4FacilityCount&gt;=1902,F21914=""),"Incomplete","Complete")</f>
        <v>Complete</v>
      </c>
      <c r="I21914" s="48" t="s">
        <v>26279</v>
      </c>
    </row>
    <row r="21915" spans="2:9" ht="15" customHeight="1" x14ac:dyDescent="0.25">
      <c r="B21915" s="55" t="s">
        <v>283</v>
      </c>
      <c r="C21915" s="46">
        <v>1903</v>
      </c>
      <c r="D21915" s="69" t="s">
        <v>29420</v>
      </c>
      <c r="E21915" s="51"/>
      <c r="F21915" s="114" t="str">
        <f>IF(INDEX(I.Facility.P4IDNumber,1903)="","",INDEX(I.Facility.P4IDNumber,1903))</f>
        <v/>
      </c>
      <c r="G21915" s="51"/>
      <c r="H21915" s="46" t="str">
        <f>IF(AND(I.Developer.P4=TRUE,I.Facility.P4FacilityCount&gt;=1903,F21915=""),"Incomplete","Complete")</f>
        <v>Complete</v>
      </c>
      <c r="I21915" s="48" t="s">
        <v>26280</v>
      </c>
    </row>
    <row r="21916" spans="2:9" ht="15" customHeight="1" x14ac:dyDescent="0.25">
      <c r="B21916" s="55" t="s">
        <v>283</v>
      </c>
      <c r="C21916" s="46">
        <v>1904</v>
      </c>
      <c r="D21916" s="69" t="s">
        <v>29420</v>
      </c>
      <c r="E21916" s="51"/>
      <c r="F21916" s="114" t="str">
        <f>IF(INDEX(I.Facility.P4IDNumber,1904)="","",INDEX(I.Facility.P4IDNumber,1904))</f>
        <v/>
      </c>
      <c r="G21916" s="51"/>
      <c r="H21916" s="46" t="str">
        <f>IF(AND(I.Developer.P4=TRUE,I.Facility.P4FacilityCount&gt;=1904,F21916=""),"Incomplete","Complete")</f>
        <v>Complete</v>
      </c>
      <c r="I21916" s="48" t="s">
        <v>26281</v>
      </c>
    </row>
    <row r="21917" spans="2:9" ht="15" customHeight="1" x14ac:dyDescent="0.25">
      <c r="B21917" s="55" t="s">
        <v>283</v>
      </c>
      <c r="C21917" s="46">
        <v>1905</v>
      </c>
      <c r="D21917" s="69" t="s">
        <v>29420</v>
      </c>
      <c r="E21917" s="51"/>
      <c r="F21917" s="114" t="str">
        <f>IF(INDEX(I.Facility.P4IDNumber,1905)="","",INDEX(I.Facility.P4IDNumber,1905))</f>
        <v/>
      </c>
      <c r="G21917" s="51"/>
      <c r="H21917" s="46" t="str">
        <f>IF(AND(I.Developer.P4=TRUE,I.Facility.P4FacilityCount&gt;=1905,F21917=""),"Incomplete","Complete")</f>
        <v>Complete</v>
      </c>
      <c r="I21917" s="48" t="s">
        <v>26282</v>
      </c>
    </row>
    <row r="21918" spans="2:9" ht="15" customHeight="1" x14ac:dyDescent="0.25">
      <c r="B21918" s="55" t="s">
        <v>283</v>
      </c>
      <c r="C21918" s="46">
        <v>1906</v>
      </c>
      <c r="D21918" s="69" t="s">
        <v>29420</v>
      </c>
      <c r="E21918" s="51"/>
      <c r="F21918" s="114" t="str">
        <f>IF(INDEX(I.Facility.P4IDNumber,1906)="","",INDEX(I.Facility.P4IDNumber,1906))</f>
        <v/>
      </c>
      <c r="G21918" s="51"/>
      <c r="H21918" s="46" t="str">
        <f>IF(AND(I.Developer.P4=TRUE,I.Facility.P4FacilityCount&gt;=1906,F21918=""),"Incomplete","Complete")</f>
        <v>Complete</v>
      </c>
      <c r="I21918" s="48" t="s">
        <v>26283</v>
      </c>
    </row>
    <row r="21919" spans="2:9" ht="15" customHeight="1" x14ac:dyDescent="0.25">
      <c r="B21919" s="55" t="s">
        <v>283</v>
      </c>
      <c r="C21919" s="46">
        <v>1907</v>
      </c>
      <c r="D21919" s="69" t="s">
        <v>29420</v>
      </c>
      <c r="E21919" s="51"/>
      <c r="F21919" s="114" t="str">
        <f>IF(INDEX(I.Facility.P4IDNumber,1907)="","",INDEX(I.Facility.P4IDNumber,1907))</f>
        <v/>
      </c>
      <c r="G21919" s="51"/>
      <c r="H21919" s="46" t="str">
        <f>IF(AND(I.Developer.P4=TRUE,I.Facility.P4FacilityCount&gt;=1907,F21919=""),"Incomplete","Complete")</f>
        <v>Complete</v>
      </c>
      <c r="I21919" s="48" t="s">
        <v>26284</v>
      </c>
    </row>
    <row r="21920" spans="2:9" ht="15" customHeight="1" x14ac:dyDescent="0.25">
      <c r="B21920" s="55" t="s">
        <v>283</v>
      </c>
      <c r="C21920" s="46">
        <v>1908</v>
      </c>
      <c r="D21920" s="69" t="s">
        <v>29420</v>
      </c>
      <c r="E21920" s="51"/>
      <c r="F21920" s="114" t="str">
        <f>IF(INDEX(I.Facility.P4IDNumber,1908)="","",INDEX(I.Facility.P4IDNumber,1908))</f>
        <v/>
      </c>
      <c r="G21920" s="51"/>
      <c r="H21920" s="46" t="str">
        <f>IF(AND(I.Developer.P4=TRUE,I.Facility.P4FacilityCount&gt;=1908,F21920=""),"Incomplete","Complete")</f>
        <v>Complete</v>
      </c>
      <c r="I21920" s="48" t="s">
        <v>26285</v>
      </c>
    </row>
    <row r="21921" spans="2:9" ht="15" customHeight="1" x14ac:dyDescent="0.25">
      <c r="B21921" s="55" t="s">
        <v>283</v>
      </c>
      <c r="C21921" s="46">
        <v>1909</v>
      </c>
      <c r="D21921" s="69" t="s">
        <v>29420</v>
      </c>
      <c r="E21921" s="51"/>
      <c r="F21921" s="114" t="str">
        <f>IF(INDEX(I.Facility.P4IDNumber,1909)="","",INDEX(I.Facility.P4IDNumber,1909))</f>
        <v/>
      </c>
      <c r="G21921" s="51"/>
      <c r="H21921" s="46" t="str">
        <f>IF(AND(I.Developer.P4=TRUE,I.Facility.P4FacilityCount&gt;=1909,F21921=""),"Incomplete","Complete")</f>
        <v>Complete</v>
      </c>
      <c r="I21921" s="48" t="s">
        <v>26286</v>
      </c>
    </row>
    <row r="21922" spans="2:9" ht="15" customHeight="1" x14ac:dyDescent="0.25">
      <c r="B21922" s="55" t="s">
        <v>283</v>
      </c>
      <c r="C21922" s="46">
        <v>1910</v>
      </c>
      <c r="D21922" s="69" t="s">
        <v>29420</v>
      </c>
      <c r="E21922" s="51"/>
      <c r="F21922" s="114" t="str">
        <f>IF(INDEX(I.Facility.P4IDNumber,1910)="","",INDEX(I.Facility.P4IDNumber,1910))</f>
        <v/>
      </c>
      <c r="G21922" s="51"/>
      <c r="H21922" s="46" t="str">
        <f>IF(AND(I.Developer.P4=TRUE,I.Facility.P4FacilityCount&gt;=1910,F21922=""),"Incomplete","Complete")</f>
        <v>Complete</v>
      </c>
      <c r="I21922" s="48" t="s">
        <v>26287</v>
      </c>
    </row>
    <row r="21923" spans="2:9" ht="15" customHeight="1" x14ac:dyDescent="0.25">
      <c r="B21923" s="55" t="s">
        <v>283</v>
      </c>
      <c r="C21923" s="46">
        <v>1911</v>
      </c>
      <c r="D21923" s="69" t="s">
        <v>29420</v>
      </c>
      <c r="E21923" s="51"/>
      <c r="F21923" s="114" t="str">
        <f>IF(INDEX(I.Facility.P4IDNumber,1911)="","",INDEX(I.Facility.P4IDNumber,1911))</f>
        <v/>
      </c>
      <c r="G21923" s="51"/>
      <c r="H21923" s="46" t="str">
        <f>IF(AND(I.Developer.P4=TRUE,I.Facility.P4FacilityCount&gt;=1911,F21923=""),"Incomplete","Complete")</f>
        <v>Complete</v>
      </c>
      <c r="I21923" s="48" t="s">
        <v>26288</v>
      </c>
    </row>
    <row r="21924" spans="2:9" ht="15" customHeight="1" x14ac:dyDescent="0.25">
      <c r="B21924" s="55" t="s">
        <v>283</v>
      </c>
      <c r="C21924" s="46">
        <v>1912</v>
      </c>
      <c r="D21924" s="69" t="s">
        <v>29420</v>
      </c>
      <c r="E21924" s="51"/>
      <c r="F21924" s="114" t="str">
        <f>IF(INDEX(I.Facility.P4IDNumber,1912)="","",INDEX(I.Facility.P4IDNumber,1912))</f>
        <v/>
      </c>
      <c r="G21924" s="51"/>
      <c r="H21924" s="46" t="str">
        <f>IF(AND(I.Developer.P4=TRUE,I.Facility.P4FacilityCount&gt;=1912,F21924=""),"Incomplete","Complete")</f>
        <v>Complete</v>
      </c>
      <c r="I21924" s="48" t="s">
        <v>26289</v>
      </c>
    </row>
    <row r="21925" spans="2:9" ht="15" customHeight="1" x14ac:dyDescent="0.25">
      <c r="B21925" s="55" t="s">
        <v>283</v>
      </c>
      <c r="C21925" s="46">
        <v>1913</v>
      </c>
      <c r="D21925" s="69" t="s">
        <v>29420</v>
      </c>
      <c r="E21925" s="51"/>
      <c r="F21925" s="114" t="str">
        <f>IF(INDEX(I.Facility.P4IDNumber,1913)="","",INDEX(I.Facility.P4IDNumber,1913))</f>
        <v/>
      </c>
      <c r="G21925" s="51"/>
      <c r="H21925" s="46" t="str">
        <f>IF(AND(I.Developer.P4=TRUE,I.Facility.P4FacilityCount&gt;=1913,F21925=""),"Incomplete","Complete")</f>
        <v>Complete</v>
      </c>
      <c r="I21925" s="48" t="s">
        <v>26290</v>
      </c>
    </row>
    <row r="21926" spans="2:9" ht="15" customHeight="1" x14ac:dyDescent="0.25">
      <c r="B21926" s="55" t="s">
        <v>283</v>
      </c>
      <c r="C21926" s="46">
        <v>1914</v>
      </c>
      <c r="D21926" s="69" t="s">
        <v>29420</v>
      </c>
      <c r="E21926" s="51"/>
      <c r="F21926" s="114" t="str">
        <f>IF(INDEX(I.Facility.P4IDNumber,1914)="","",INDEX(I.Facility.P4IDNumber,1914))</f>
        <v/>
      </c>
      <c r="G21926" s="51"/>
      <c r="H21926" s="46" t="str">
        <f>IF(AND(I.Developer.P4=TRUE,I.Facility.P4FacilityCount&gt;=1914,F21926=""),"Incomplete","Complete")</f>
        <v>Complete</v>
      </c>
      <c r="I21926" s="48" t="s">
        <v>26291</v>
      </c>
    </row>
    <row r="21927" spans="2:9" ht="15" customHeight="1" x14ac:dyDescent="0.25">
      <c r="B21927" s="55" t="s">
        <v>283</v>
      </c>
      <c r="C21927" s="46">
        <v>1915</v>
      </c>
      <c r="D21927" s="69" t="s">
        <v>29420</v>
      </c>
      <c r="E21927" s="51"/>
      <c r="F21927" s="114" t="str">
        <f>IF(INDEX(I.Facility.P4IDNumber,1915)="","",INDEX(I.Facility.P4IDNumber,1915))</f>
        <v/>
      </c>
      <c r="G21927" s="51"/>
      <c r="H21927" s="46" t="str">
        <f>IF(AND(I.Developer.P4=TRUE,I.Facility.P4FacilityCount&gt;=1915,F21927=""),"Incomplete","Complete")</f>
        <v>Complete</v>
      </c>
      <c r="I21927" s="48" t="s">
        <v>26292</v>
      </c>
    </row>
    <row r="21928" spans="2:9" ht="15" customHeight="1" x14ac:dyDescent="0.25">
      <c r="B21928" s="55" t="s">
        <v>283</v>
      </c>
      <c r="C21928" s="46">
        <v>1916</v>
      </c>
      <c r="D21928" s="69" t="s">
        <v>29420</v>
      </c>
      <c r="E21928" s="51"/>
      <c r="F21928" s="114" t="str">
        <f>IF(INDEX(I.Facility.P4IDNumber,1916)="","",INDEX(I.Facility.P4IDNumber,1916))</f>
        <v/>
      </c>
      <c r="G21928" s="51"/>
      <c r="H21928" s="46" t="str">
        <f>IF(AND(I.Developer.P4=TRUE,I.Facility.P4FacilityCount&gt;=1916,F21928=""),"Incomplete","Complete")</f>
        <v>Complete</v>
      </c>
      <c r="I21928" s="48" t="s">
        <v>26293</v>
      </c>
    </row>
    <row r="21929" spans="2:9" ht="15" customHeight="1" x14ac:dyDescent="0.25">
      <c r="B21929" s="55" t="s">
        <v>283</v>
      </c>
      <c r="C21929" s="46">
        <v>1917</v>
      </c>
      <c r="D21929" s="69" t="s">
        <v>29420</v>
      </c>
      <c r="E21929" s="51"/>
      <c r="F21929" s="114" t="str">
        <f>IF(INDEX(I.Facility.P4IDNumber,1917)="","",INDEX(I.Facility.P4IDNumber,1917))</f>
        <v/>
      </c>
      <c r="G21929" s="51"/>
      <c r="H21929" s="46" t="str">
        <f>IF(AND(I.Developer.P4=TRUE,I.Facility.P4FacilityCount&gt;=1917,F21929=""),"Incomplete","Complete")</f>
        <v>Complete</v>
      </c>
      <c r="I21929" s="48" t="s">
        <v>26294</v>
      </c>
    </row>
    <row r="21930" spans="2:9" ht="15" customHeight="1" x14ac:dyDescent="0.25">
      <c r="B21930" s="55" t="s">
        <v>283</v>
      </c>
      <c r="C21930" s="46">
        <v>1918</v>
      </c>
      <c r="D21930" s="69" t="s">
        <v>29420</v>
      </c>
      <c r="E21930" s="51"/>
      <c r="F21930" s="114" t="str">
        <f>IF(INDEX(I.Facility.P4IDNumber,1918)="","",INDEX(I.Facility.P4IDNumber,1918))</f>
        <v/>
      </c>
      <c r="G21930" s="51"/>
      <c r="H21930" s="46" t="str">
        <f>IF(AND(I.Developer.P4=TRUE,I.Facility.P4FacilityCount&gt;=1918,F21930=""),"Incomplete","Complete")</f>
        <v>Complete</v>
      </c>
      <c r="I21930" s="48" t="s">
        <v>26295</v>
      </c>
    </row>
    <row r="21931" spans="2:9" ht="15" customHeight="1" x14ac:dyDescent="0.25">
      <c r="B21931" s="55" t="s">
        <v>283</v>
      </c>
      <c r="C21931" s="46">
        <v>1919</v>
      </c>
      <c r="D21931" s="69" t="s">
        <v>29420</v>
      </c>
      <c r="E21931" s="51"/>
      <c r="F21931" s="114" t="str">
        <f>IF(INDEX(I.Facility.P4IDNumber,1919)="","",INDEX(I.Facility.P4IDNumber,1919))</f>
        <v/>
      </c>
      <c r="G21931" s="51"/>
      <c r="H21931" s="46" t="str">
        <f>IF(AND(I.Developer.P4=TRUE,I.Facility.P4FacilityCount&gt;=1919,F21931=""),"Incomplete","Complete")</f>
        <v>Complete</v>
      </c>
      <c r="I21931" s="48" t="s">
        <v>26296</v>
      </c>
    </row>
    <row r="21932" spans="2:9" ht="15" customHeight="1" x14ac:dyDescent="0.25">
      <c r="B21932" s="55" t="s">
        <v>283</v>
      </c>
      <c r="C21932" s="46">
        <v>1920</v>
      </c>
      <c r="D21932" s="69" t="s">
        <v>29420</v>
      </c>
      <c r="E21932" s="51"/>
      <c r="F21932" s="114" t="str">
        <f>IF(INDEX(I.Facility.P4IDNumber,1920)="","",INDEX(I.Facility.P4IDNumber,1920))</f>
        <v/>
      </c>
      <c r="G21932" s="51"/>
      <c r="H21932" s="46" t="str">
        <f>IF(AND(I.Developer.P4=TRUE,I.Facility.P4FacilityCount&gt;=1920,F21932=""),"Incomplete","Complete")</f>
        <v>Complete</v>
      </c>
      <c r="I21932" s="48" t="s">
        <v>26297</v>
      </c>
    </row>
    <row r="21933" spans="2:9" ht="15" customHeight="1" x14ac:dyDescent="0.25">
      <c r="B21933" s="55" t="s">
        <v>283</v>
      </c>
      <c r="C21933" s="46">
        <v>1921</v>
      </c>
      <c r="D21933" s="69" t="s">
        <v>29420</v>
      </c>
      <c r="E21933" s="51"/>
      <c r="F21933" s="114" t="str">
        <f>IF(INDEX(I.Facility.P4IDNumber,1921)="","",INDEX(I.Facility.P4IDNumber,1921))</f>
        <v/>
      </c>
      <c r="G21933" s="51"/>
      <c r="H21933" s="46" t="str">
        <f>IF(AND(I.Developer.P4=TRUE,I.Facility.P4FacilityCount&gt;=1921,F21933=""),"Incomplete","Complete")</f>
        <v>Complete</v>
      </c>
      <c r="I21933" s="48" t="s">
        <v>26298</v>
      </c>
    </row>
    <row r="21934" spans="2:9" ht="15" customHeight="1" x14ac:dyDescent="0.25">
      <c r="B21934" s="55" t="s">
        <v>283</v>
      </c>
      <c r="C21934" s="46">
        <v>1922</v>
      </c>
      <c r="D21934" s="69" t="s">
        <v>29420</v>
      </c>
      <c r="E21934" s="51"/>
      <c r="F21934" s="114" t="str">
        <f>IF(INDEX(I.Facility.P4IDNumber,1922)="","",INDEX(I.Facility.P4IDNumber,1922))</f>
        <v/>
      </c>
      <c r="G21934" s="51"/>
      <c r="H21934" s="46" t="str">
        <f>IF(AND(I.Developer.P4=TRUE,I.Facility.P4FacilityCount&gt;=1922,F21934=""),"Incomplete","Complete")</f>
        <v>Complete</v>
      </c>
      <c r="I21934" s="48" t="s">
        <v>26299</v>
      </c>
    </row>
    <row r="21935" spans="2:9" ht="15" customHeight="1" x14ac:dyDescent="0.25">
      <c r="B21935" s="55" t="s">
        <v>283</v>
      </c>
      <c r="C21935" s="46">
        <v>1923</v>
      </c>
      <c r="D21935" s="69" t="s">
        <v>29420</v>
      </c>
      <c r="E21935" s="51"/>
      <c r="F21935" s="114" t="str">
        <f>IF(INDEX(I.Facility.P4IDNumber,1923)="","",INDEX(I.Facility.P4IDNumber,1923))</f>
        <v/>
      </c>
      <c r="G21935" s="51"/>
      <c r="H21935" s="46" t="str">
        <f>IF(AND(I.Developer.P4=TRUE,I.Facility.P4FacilityCount&gt;=1923,F21935=""),"Incomplete","Complete")</f>
        <v>Complete</v>
      </c>
      <c r="I21935" s="48" t="s">
        <v>26300</v>
      </c>
    </row>
    <row r="21936" spans="2:9" ht="15" customHeight="1" x14ac:dyDescent="0.25">
      <c r="B21936" s="55" t="s">
        <v>283</v>
      </c>
      <c r="C21936" s="46">
        <v>1924</v>
      </c>
      <c r="D21936" s="69" t="s">
        <v>29420</v>
      </c>
      <c r="E21936" s="51"/>
      <c r="F21936" s="114" t="str">
        <f>IF(INDEX(I.Facility.P4IDNumber,1924)="","",INDEX(I.Facility.P4IDNumber,1924))</f>
        <v/>
      </c>
      <c r="G21936" s="51"/>
      <c r="H21936" s="46" t="str">
        <f>IF(AND(I.Developer.P4=TRUE,I.Facility.P4FacilityCount&gt;=1924,F21936=""),"Incomplete","Complete")</f>
        <v>Complete</v>
      </c>
      <c r="I21936" s="48" t="s">
        <v>26301</v>
      </c>
    </row>
    <row r="21937" spans="2:9" ht="15" customHeight="1" x14ac:dyDescent="0.25">
      <c r="B21937" s="55" t="s">
        <v>283</v>
      </c>
      <c r="C21937" s="46">
        <v>1925</v>
      </c>
      <c r="D21937" s="69" t="s">
        <v>29420</v>
      </c>
      <c r="E21937" s="51"/>
      <c r="F21937" s="114" t="str">
        <f>IF(INDEX(I.Facility.P4IDNumber,1925)="","",INDEX(I.Facility.P4IDNumber,1925))</f>
        <v/>
      </c>
      <c r="G21937" s="51"/>
      <c r="H21937" s="46" t="str">
        <f>IF(AND(I.Developer.P4=TRUE,I.Facility.P4FacilityCount&gt;=1925,F21937=""),"Incomplete","Complete")</f>
        <v>Complete</v>
      </c>
      <c r="I21937" s="48" t="s">
        <v>26302</v>
      </c>
    </row>
    <row r="21938" spans="2:9" ht="15" customHeight="1" x14ac:dyDescent="0.25">
      <c r="B21938" s="55" t="s">
        <v>283</v>
      </c>
      <c r="C21938" s="46">
        <v>1926</v>
      </c>
      <c r="D21938" s="69" t="s">
        <v>29420</v>
      </c>
      <c r="E21938" s="51"/>
      <c r="F21938" s="114" t="str">
        <f>IF(INDEX(I.Facility.P4IDNumber,1926)="","",INDEX(I.Facility.P4IDNumber,1926))</f>
        <v/>
      </c>
      <c r="G21938" s="51"/>
      <c r="H21938" s="46" t="str">
        <f>IF(AND(I.Developer.P4=TRUE,I.Facility.P4FacilityCount&gt;=1926,F21938=""),"Incomplete","Complete")</f>
        <v>Complete</v>
      </c>
      <c r="I21938" s="48" t="s">
        <v>26303</v>
      </c>
    </row>
    <row r="21939" spans="2:9" ht="15" customHeight="1" x14ac:dyDescent="0.25">
      <c r="B21939" s="55" t="s">
        <v>283</v>
      </c>
      <c r="C21939" s="46">
        <v>1927</v>
      </c>
      <c r="D21939" s="69" t="s">
        <v>29420</v>
      </c>
      <c r="E21939" s="51"/>
      <c r="F21939" s="114" t="str">
        <f>IF(INDEX(I.Facility.P4IDNumber,1927)="","",INDEX(I.Facility.P4IDNumber,1927))</f>
        <v/>
      </c>
      <c r="G21939" s="51"/>
      <c r="H21939" s="46" t="str">
        <f>IF(AND(I.Developer.P4=TRUE,I.Facility.P4FacilityCount&gt;=1927,F21939=""),"Incomplete","Complete")</f>
        <v>Complete</v>
      </c>
      <c r="I21939" s="48" t="s">
        <v>26304</v>
      </c>
    </row>
    <row r="21940" spans="2:9" ht="15" customHeight="1" x14ac:dyDescent="0.25">
      <c r="B21940" s="55" t="s">
        <v>283</v>
      </c>
      <c r="C21940" s="46">
        <v>1928</v>
      </c>
      <c r="D21940" s="69" t="s">
        <v>29420</v>
      </c>
      <c r="E21940" s="51"/>
      <c r="F21940" s="114" t="str">
        <f>IF(INDEX(I.Facility.P4IDNumber,1928)="","",INDEX(I.Facility.P4IDNumber,1928))</f>
        <v/>
      </c>
      <c r="G21940" s="51"/>
      <c r="H21940" s="46" t="str">
        <f>IF(AND(I.Developer.P4=TRUE,I.Facility.P4FacilityCount&gt;=1928,F21940=""),"Incomplete","Complete")</f>
        <v>Complete</v>
      </c>
      <c r="I21940" s="48" t="s">
        <v>26305</v>
      </c>
    </row>
    <row r="21941" spans="2:9" ht="15" customHeight="1" x14ac:dyDescent="0.25">
      <c r="B21941" s="55" t="s">
        <v>283</v>
      </c>
      <c r="C21941" s="46">
        <v>1929</v>
      </c>
      <c r="D21941" s="69" t="s">
        <v>29420</v>
      </c>
      <c r="E21941" s="51"/>
      <c r="F21941" s="114" t="str">
        <f>IF(INDEX(I.Facility.P4IDNumber,1929)="","",INDEX(I.Facility.P4IDNumber,1929))</f>
        <v/>
      </c>
      <c r="G21941" s="51"/>
      <c r="H21941" s="46" t="str">
        <f>IF(AND(I.Developer.P4=TRUE,I.Facility.P4FacilityCount&gt;=1929,F21941=""),"Incomplete","Complete")</f>
        <v>Complete</v>
      </c>
      <c r="I21941" s="48" t="s">
        <v>26306</v>
      </c>
    </row>
    <row r="21942" spans="2:9" ht="15" customHeight="1" x14ac:dyDescent="0.25">
      <c r="B21942" s="55" t="s">
        <v>283</v>
      </c>
      <c r="C21942" s="46">
        <v>1930</v>
      </c>
      <c r="D21942" s="69" t="s">
        <v>29420</v>
      </c>
      <c r="E21942" s="51"/>
      <c r="F21942" s="114" t="str">
        <f>IF(INDEX(I.Facility.P4IDNumber,1930)="","",INDEX(I.Facility.P4IDNumber,1930))</f>
        <v/>
      </c>
      <c r="G21942" s="51"/>
      <c r="H21942" s="46" t="str">
        <f>IF(AND(I.Developer.P4=TRUE,I.Facility.P4FacilityCount&gt;=1930,F21942=""),"Incomplete","Complete")</f>
        <v>Complete</v>
      </c>
      <c r="I21942" s="48" t="s">
        <v>26307</v>
      </c>
    </row>
    <row r="21943" spans="2:9" ht="15" customHeight="1" x14ac:dyDescent="0.25">
      <c r="B21943" s="55" t="s">
        <v>283</v>
      </c>
      <c r="C21943" s="46">
        <v>1931</v>
      </c>
      <c r="D21943" s="69" t="s">
        <v>29420</v>
      </c>
      <c r="E21943" s="51"/>
      <c r="F21943" s="114" t="str">
        <f>IF(INDEX(I.Facility.P4IDNumber,1931)="","",INDEX(I.Facility.P4IDNumber,1931))</f>
        <v/>
      </c>
      <c r="G21943" s="51"/>
      <c r="H21943" s="46" t="str">
        <f>IF(AND(I.Developer.P4=TRUE,I.Facility.P4FacilityCount&gt;=1931,F21943=""),"Incomplete","Complete")</f>
        <v>Complete</v>
      </c>
      <c r="I21943" s="48" t="s">
        <v>26308</v>
      </c>
    </row>
    <row r="21944" spans="2:9" ht="15" customHeight="1" x14ac:dyDescent="0.25">
      <c r="B21944" s="55" t="s">
        <v>283</v>
      </c>
      <c r="C21944" s="46">
        <v>1932</v>
      </c>
      <c r="D21944" s="69" t="s">
        <v>29420</v>
      </c>
      <c r="E21944" s="51"/>
      <c r="F21944" s="114" t="str">
        <f>IF(INDEX(I.Facility.P4IDNumber,1932)="","",INDEX(I.Facility.P4IDNumber,1932))</f>
        <v/>
      </c>
      <c r="G21944" s="51"/>
      <c r="H21944" s="46" t="str">
        <f>IF(AND(I.Developer.P4=TRUE,I.Facility.P4FacilityCount&gt;=1932,F21944=""),"Incomplete","Complete")</f>
        <v>Complete</v>
      </c>
      <c r="I21944" s="48" t="s">
        <v>26309</v>
      </c>
    </row>
    <row r="21945" spans="2:9" ht="15" customHeight="1" x14ac:dyDescent="0.25">
      <c r="B21945" s="55" t="s">
        <v>283</v>
      </c>
      <c r="C21945" s="46">
        <v>1933</v>
      </c>
      <c r="D21945" s="69" t="s">
        <v>29420</v>
      </c>
      <c r="E21945" s="51"/>
      <c r="F21945" s="114" t="str">
        <f>IF(INDEX(I.Facility.P4IDNumber,1933)="","",INDEX(I.Facility.P4IDNumber,1933))</f>
        <v/>
      </c>
      <c r="G21945" s="51"/>
      <c r="H21945" s="46" t="str">
        <f>IF(AND(I.Developer.P4=TRUE,I.Facility.P4FacilityCount&gt;=1933,F21945=""),"Incomplete","Complete")</f>
        <v>Complete</v>
      </c>
      <c r="I21945" s="48" t="s">
        <v>26310</v>
      </c>
    </row>
    <row r="21946" spans="2:9" ht="15" customHeight="1" x14ac:dyDescent="0.25">
      <c r="B21946" s="55" t="s">
        <v>283</v>
      </c>
      <c r="C21946" s="46">
        <v>1934</v>
      </c>
      <c r="D21946" s="69" t="s">
        <v>29420</v>
      </c>
      <c r="E21946" s="51"/>
      <c r="F21946" s="114" t="str">
        <f>IF(INDEX(I.Facility.P4IDNumber,1934)="","",INDEX(I.Facility.P4IDNumber,1934))</f>
        <v/>
      </c>
      <c r="G21946" s="51"/>
      <c r="H21946" s="46" t="str">
        <f>IF(AND(I.Developer.P4=TRUE,I.Facility.P4FacilityCount&gt;=1934,F21946=""),"Incomplete","Complete")</f>
        <v>Complete</v>
      </c>
      <c r="I21946" s="48" t="s">
        <v>26311</v>
      </c>
    </row>
    <row r="21947" spans="2:9" ht="15" customHeight="1" x14ac:dyDescent="0.25">
      <c r="B21947" s="55" t="s">
        <v>283</v>
      </c>
      <c r="C21947" s="46">
        <v>1935</v>
      </c>
      <c r="D21947" s="69" t="s">
        <v>29420</v>
      </c>
      <c r="E21947" s="51"/>
      <c r="F21947" s="114" t="str">
        <f>IF(INDEX(I.Facility.P4IDNumber,1935)="","",INDEX(I.Facility.P4IDNumber,1935))</f>
        <v/>
      </c>
      <c r="G21947" s="51"/>
      <c r="H21947" s="46" t="str">
        <f>IF(AND(I.Developer.P4=TRUE,I.Facility.P4FacilityCount&gt;=1935,F21947=""),"Incomplete","Complete")</f>
        <v>Complete</v>
      </c>
      <c r="I21947" s="48" t="s">
        <v>26312</v>
      </c>
    </row>
    <row r="21948" spans="2:9" ht="15" customHeight="1" x14ac:dyDescent="0.25">
      <c r="B21948" s="55" t="s">
        <v>283</v>
      </c>
      <c r="C21948" s="46">
        <v>1936</v>
      </c>
      <c r="D21948" s="69" t="s">
        <v>29420</v>
      </c>
      <c r="E21948" s="51"/>
      <c r="F21948" s="114" t="str">
        <f>IF(INDEX(I.Facility.P4IDNumber,1936)="","",INDEX(I.Facility.P4IDNumber,1936))</f>
        <v/>
      </c>
      <c r="G21948" s="51"/>
      <c r="H21948" s="46" t="str">
        <f>IF(AND(I.Developer.P4=TRUE,I.Facility.P4FacilityCount&gt;=1936,F21948=""),"Incomplete","Complete")</f>
        <v>Complete</v>
      </c>
      <c r="I21948" s="48" t="s">
        <v>26313</v>
      </c>
    </row>
    <row r="21949" spans="2:9" ht="15" customHeight="1" x14ac:dyDescent="0.25">
      <c r="B21949" s="55" t="s">
        <v>283</v>
      </c>
      <c r="C21949" s="46">
        <v>1937</v>
      </c>
      <c r="D21949" s="69" t="s">
        <v>29420</v>
      </c>
      <c r="E21949" s="51"/>
      <c r="F21949" s="114" t="str">
        <f>IF(INDEX(I.Facility.P4IDNumber,1937)="","",INDEX(I.Facility.P4IDNumber,1937))</f>
        <v/>
      </c>
      <c r="G21949" s="51"/>
      <c r="H21949" s="46" t="str">
        <f>IF(AND(I.Developer.P4=TRUE,I.Facility.P4FacilityCount&gt;=1937,F21949=""),"Incomplete","Complete")</f>
        <v>Complete</v>
      </c>
      <c r="I21949" s="48" t="s">
        <v>26314</v>
      </c>
    </row>
    <row r="21950" spans="2:9" ht="15" customHeight="1" x14ac:dyDescent="0.25">
      <c r="B21950" s="55" t="s">
        <v>283</v>
      </c>
      <c r="C21950" s="46">
        <v>1938</v>
      </c>
      <c r="D21950" s="69" t="s">
        <v>29420</v>
      </c>
      <c r="E21950" s="51"/>
      <c r="F21950" s="114" t="str">
        <f>IF(INDEX(I.Facility.P4IDNumber,1938)="","",INDEX(I.Facility.P4IDNumber,1938))</f>
        <v/>
      </c>
      <c r="G21950" s="51"/>
      <c r="H21950" s="46" t="str">
        <f>IF(AND(I.Developer.P4=TRUE,I.Facility.P4FacilityCount&gt;=1938,F21950=""),"Incomplete","Complete")</f>
        <v>Complete</v>
      </c>
      <c r="I21950" s="48" t="s">
        <v>26315</v>
      </c>
    </row>
    <row r="21951" spans="2:9" ht="15" customHeight="1" x14ac:dyDescent="0.25">
      <c r="B21951" s="55" t="s">
        <v>283</v>
      </c>
      <c r="C21951" s="46">
        <v>1939</v>
      </c>
      <c r="D21951" s="69" t="s">
        <v>29420</v>
      </c>
      <c r="E21951" s="51"/>
      <c r="F21951" s="114" t="str">
        <f>IF(INDEX(I.Facility.P4IDNumber,1939)="","",INDEX(I.Facility.P4IDNumber,1939))</f>
        <v/>
      </c>
      <c r="G21951" s="51"/>
      <c r="H21951" s="46" t="str">
        <f>IF(AND(I.Developer.P4=TRUE,I.Facility.P4FacilityCount&gt;=1939,F21951=""),"Incomplete","Complete")</f>
        <v>Complete</v>
      </c>
      <c r="I21951" s="48" t="s">
        <v>26316</v>
      </c>
    </row>
    <row r="21952" spans="2:9" ht="15" customHeight="1" x14ac:dyDescent="0.25">
      <c r="B21952" s="55" t="s">
        <v>283</v>
      </c>
      <c r="C21952" s="46">
        <v>1940</v>
      </c>
      <c r="D21952" s="69" t="s">
        <v>29420</v>
      </c>
      <c r="E21952" s="51"/>
      <c r="F21952" s="114" t="str">
        <f>IF(INDEX(I.Facility.P4IDNumber,1940)="","",INDEX(I.Facility.P4IDNumber,1940))</f>
        <v/>
      </c>
      <c r="G21952" s="51"/>
      <c r="H21952" s="46" t="str">
        <f>IF(AND(I.Developer.P4=TRUE,I.Facility.P4FacilityCount&gt;=1940,F21952=""),"Incomplete","Complete")</f>
        <v>Complete</v>
      </c>
      <c r="I21952" s="48" t="s">
        <v>26317</v>
      </c>
    </row>
    <row r="21953" spans="2:9" ht="15" customHeight="1" x14ac:dyDescent="0.25">
      <c r="B21953" s="55" t="s">
        <v>283</v>
      </c>
      <c r="C21953" s="46">
        <v>1941</v>
      </c>
      <c r="D21953" s="69" t="s">
        <v>29420</v>
      </c>
      <c r="E21953" s="51"/>
      <c r="F21953" s="114" t="str">
        <f>IF(INDEX(I.Facility.P4IDNumber,1941)="","",INDEX(I.Facility.P4IDNumber,1941))</f>
        <v/>
      </c>
      <c r="G21953" s="51"/>
      <c r="H21953" s="46" t="str">
        <f>IF(AND(I.Developer.P4=TRUE,I.Facility.P4FacilityCount&gt;=1941,F21953=""),"Incomplete","Complete")</f>
        <v>Complete</v>
      </c>
      <c r="I21953" s="48" t="s">
        <v>26318</v>
      </c>
    </row>
    <row r="21954" spans="2:9" ht="15" customHeight="1" x14ac:dyDescent="0.25">
      <c r="B21954" s="55" t="s">
        <v>283</v>
      </c>
      <c r="C21954" s="46">
        <v>1942</v>
      </c>
      <c r="D21954" s="69" t="s">
        <v>29420</v>
      </c>
      <c r="E21954" s="51"/>
      <c r="F21954" s="114" t="str">
        <f>IF(INDEX(I.Facility.P4IDNumber,1942)="","",INDEX(I.Facility.P4IDNumber,1942))</f>
        <v/>
      </c>
      <c r="G21954" s="51"/>
      <c r="H21954" s="46" t="str">
        <f>IF(AND(I.Developer.P4=TRUE,I.Facility.P4FacilityCount&gt;=1942,F21954=""),"Incomplete","Complete")</f>
        <v>Complete</v>
      </c>
      <c r="I21954" s="48" t="s">
        <v>26319</v>
      </c>
    </row>
    <row r="21955" spans="2:9" ht="15" customHeight="1" x14ac:dyDescent="0.25">
      <c r="B21955" s="55" t="s">
        <v>283</v>
      </c>
      <c r="C21955" s="46">
        <v>1943</v>
      </c>
      <c r="D21955" s="69" t="s">
        <v>29420</v>
      </c>
      <c r="E21955" s="51"/>
      <c r="F21955" s="114" t="str">
        <f>IF(INDEX(I.Facility.P4IDNumber,1943)="","",INDEX(I.Facility.P4IDNumber,1943))</f>
        <v/>
      </c>
      <c r="G21955" s="51"/>
      <c r="H21955" s="46" t="str">
        <f>IF(AND(I.Developer.P4=TRUE,I.Facility.P4FacilityCount&gt;=1943,F21955=""),"Incomplete","Complete")</f>
        <v>Complete</v>
      </c>
      <c r="I21955" s="48" t="s">
        <v>26320</v>
      </c>
    </row>
    <row r="21956" spans="2:9" ht="15" customHeight="1" x14ac:dyDescent="0.25">
      <c r="B21956" s="55" t="s">
        <v>283</v>
      </c>
      <c r="C21956" s="46">
        <v>1944</v>
      </c>
      <c r="D21956" s="69" t="s">
        <v>29420</v>
      </c>
      <c r="E21956" s="51"/>
      <c r="F21956" s="114" t="str">
        <f>IF(INDEX(I.Facility.P4IDNumber,1944)="","",INDEX(I.Facility.P4IDNumber,1944))</f>
        <v/>
      </c>
      <c r="G21956" s="51"/>
      <c r="H21956" s="46" t="str">
        <f>IF(AND(I.Developer.P4=TRUE,I.Facility.P4FacilityCount&gt;=1944,F21956=""),"Incomplete","Complete")</f>
        <v>Complete</v>
      </c>
      <c r="I21956" s="48" t="s">
        <v>26321</v>
      </c>
    </row>
    <row r="21957" spans="2:9" ht="15" customHeight="1" x14ac:dyDescent="0.25">
      <c r="B21957" s="55" t="s">
        <v>283</v>
      </c>
      <c r="C21957" s="46">
        <v>1945</v>
      </c>
      <c r="D21957" s="69" t="s">
        <v>29420</v>
      </c>
      <c r="E21957" s="51"/>
      <c r="F21957" s="114" t="str">
        <f>IF(INDEX(I.Facility.P4IDNumber,1945)="","",INDEX(I.Facility.P4IDNumber,1945))</f>
        <v/>
      </c>
      <c r="G21957" s="51"/>
      <c r="H21957" s="46" t="str">
        <f>IF(AND(I.Developer.P4=TRUE,I.Facility.P4FacilityCount&gt;=1945,F21957=""),"Incomplete","Complete")</f>
        <v>Complete</v>
      </c>
      <c r="I21957" s="48" t="s">
        <v>26322</v>
      </c>
    </row>
    <row r="21958" spans="2:9" ht="15" customHeight="1" x14ac:dyDescent="0.25">
      <c r="B21958" s="55" t="s">
        <v>283</v>
      </c>
      <c r="C21958" s="46">
        <v>1946</v>
      </c>
      <c r="D21958" s="69" t="s">
        <v>29420</v>
      </c>
      <c r="E21958" s="51"/>
      <c r="F21958" s="114" t="str">
        <f>IF(INDEX(I.Facility.P4IDNumber,1946)="","",INDEX(I.Facility.P4IDNumber,1946))</f>
        <v/>
      </c>
      <c r="G21958" s="51"/>
      <c r="H21958" s="46" t="str">
        <f>IF(AND(I.Developer.P4=TRUE,I.Facility.P4FacilityCount&gt;=1946,F21958=""),"Incomplete","Complete")</f>
        <v>Complete</v>
      </c>
      <c r="I21958" s="48" t="s">
        <v>26323</v>
      </c>
    </row>
    <row r="21959" spans="2:9" ht="15" customHeight="1" x14ac:dyDescent="0.25">
      <c r="B21959" s="55" t="s">
        <v>283</v>
      </c>
      <c r="C21959" s="46">
        <v>1947</v>
      </c>
      <c r="D21959" s="69" t="s">
        <v>29420</v>
      </c>
      <c r="E21959" s="51"/>
      <c r="F21959" s="114" t="str">
        <f>IF(INDEX(I.Facility.P4IDNumber,1947)="","",INDEX(I.Facility.P4IDNumber,1947))</f>
        <v/>
      </c>
      <c r="G21959" s="51"/>
      <c r="H21959" s="46" t="str">
        <f>IF(AND(I.Developer.P4=TRUE,I.Facility.P4FacilityCount&gt;=1947,F21959=""),"Incomplete","Complete")</f>
        <v>Complete</v>
      </c>
      <c r="I21959" s="48" t="s">
        <v>26324</v>
      </c>
    </row>
    <row r="21960" spans="2:9" ht="15" customHeight="1" x14ac:dyDescent="0.25">
      <c r="B21960" s="55" t="s">
        <v>283</v>
      </c>
      <c r="C21960" s="46">
        <v>1948</v>
      </c>
      <c r="D21960" s="69" t="s">
        <v>29420</v>
      </c>
      <c r="E21960" s="51"/>
      <c r="F21960" s="114" t="str">
        <f>IF(INDEX(I.Facility.P4IDNumber,1948)="","",INDEX(I.Facility.P4IDNumber,1948))</f>
        <v/>
      </c>
      <c r="G21960" s="51"/>
      <c r="H21960" s="46" t="str">
        <f>IF(AND(I.Developer.P4=TRUE,I.Facility.P4FacilityCount&gt;=1948,F21960=""),"Incomplete","Complete")</f>
        <v>Complete</v>
      </c>
      <c r="I21960" s="48" t="s">
        <v>26325</v>
      </c>
    </row>
    <row r="21961" spans="2:9" ht="15" customHeight="1" x14ac:dyDescent="0.25">
      <c r="B21961" s="55" t="s">
        <v>283</v>
      </c>
      <c r="C21961" s="46">
        <v>1949</v>
      </c>
      <c r="D21961" s="69" t="s">
        <v>29420</v>
      </c>
      <c r="E21961" s="51"/>
      <c r="F21961" s="114" t="str">
        <f>IF(INDEX(I.Facility.P4IDNumber,1949)="","",INDEX(I.Facility.P4IDNumber,1949))</f>
        <v/>
      </c>
      <c r="G21961" s="51"/>
      <c r="H21961" s="46" t="str">
        <f>IF(AND(I.Developer.P4=TRUE,I.Facility.P4FacilityCount&gt;=1949,F21961=""),"Incomplete","Complete")</f>
        <v>Complete</v>
      </c>
      <c r="I21961" s="48" t="s">
        <v>26326</v>
      </c>
    </row>
    <row r="21962" spans="2:9" ht="15" customHeight="1" x14ac:dyDescent="0.25">
      <c r="B21962" s="55" t="s">
        <v>283</v>
      </c>
      <c r="C21962" s="46">
        <v>1950</v>
      </c>
      <c r="D21962" s="69" t="s">
        <v>29420</v>
      </c>
      <c r="E21962" s="51"/>
      <c r="F21962" s="114" t="str">
        <f>IF(INDEX(I.Facility.P4IDNumber,1950)="","",INDEX(I.Facility.P4IDNumber,1950))</f>
        <v/>
      </c>
      <c r="G21962" s="51"/>
      <c r="H21962" s="46" t="str">
        <f>IF(AND(I.Developer.P4=TRUE,I.Facility.P4FacilityCount&gt;=1950,F21962=""),"Incomplete","Complete")</f>
        <v>Complete</v>
      </c>
      <c r="I21962" s="48" t="s">
        <v>26327</v>
      </c>
    </row>
    <row r="21963" spans="2:9" ht="15" customHeight="1" x14ac:dyDescent="0.25">
      <c r="B21963" s="55" t="s">
        <v>283</v>
      </c>
      <c r="C21963" s="46">
        <v>1951</v>
      </c>
      <c r="D21963" s="69" t="s">
        <v>29420</v>
      </c>
      <c r="E21963" s="51"/>
      <c r="F21963" s="114" t="str">
        <f>IF(INDEX(I.Facility.P4IDNumber,1951)="","",INDEX(I.Facility.P4IDNumber,1951))</f>
        <v/>
      </c>
      <c r="G21963" s="51"/>
      <c r="H21963" s="46" t="str">
        <f>IF(AND(I.Developer.P4=TRUE,I.Facility.P4FacilityCount&gt;=1951,F21963=""),"Incomplete","Complete")</f>
        <v>Complete</v>
      </c>
      <c r="I21963" s="48" t="s">
        <v>26328</v>
      </c>
    </row>
    <row r="21964" spans="2:9" ht="15" customHeight="1" x14ac:dyDescent="0.25">
      <c r="B21964" s="55" t="s">
        <v>283</v>
      </c>
      <c r="C21964" s="46">
        <v>1952</v>
      </c>
      <c r="D21964" s="69" t="s">
        <v>29420</v>
      </c>
      <c r="E21964" s="51"/>
      <c r="F21964" s="114" t="str">
        <f>IF(INDEX(I.Facility.P4IDNumber,1952)="","",INDEX(I.Facility.P4IDNumber,1952))</f>
        <v/>
      </c>
      <c r="G21964" s="51"/>
      <c r="H21964" s="46" t="str">
        <f>IF(AND(I.Developer.P4=TRUE,I.Facility.P4FacilityCount&gt;=1952,F21964=""),"Incomplete","Complete")</f>
        <v>Complete</v>
      </c>
      <c r="I21964" s="48" t="s">
        <v>26329</v>
      </c>
    </row>
    <row r="21965" spans="2:9" ht="15" customHeight="1" x14ac:dyDescent="0.25">
      <c r="B21965" s="55" t="s">
        <v>283</v>
      </c>
      <c r="C21965" s="46">
        <v>1953</v>
      </c>
      <c r="D21965" s="69" t="s">
        <v>29420</v>
      </c>
      <c r="E21965" s="51"/>
      <c r="F21965" s="114" t="str">
        <f>IF(INDEX(I.Facility.P4IDNumber,1953)="","",INDEX(I.Facility.P4IDNumber,1953))</f>
        <v/>
      </c>
      <c r="G21965" s="51"/>
      <c r="H21965" s="46" t="str">
        <f>IF(AND(I.Developer.P4=TRUE,I.Facility.P4FacilityCount&gt;=1953,F21965=""),"Incomplete","Complete")</f>
        <v>Complete</v>
      </c>
      <c r="I21965" s="48" t="s">
        <v>26330</v>
      </c>
    </row>
    <row r="21966" spans="2:9" ht="15" customHeight="1" x14ac:dyDescent="0.25">
      <c r="B21966" s="55" t="s">
        <v>283</v>
      </c>
      <c r="C21966" s="46">
        <v>1954</v>
      </c>
      <c r="D21966" s="69" t="s">
        <v>29420</v>
      </c>
      <c r="E21966" s="51"/>
      <c r="F21966" s="114" t="str">
        <f>IF(INDEX(I.Facility.P4IDNumber,1954)="","",INDEX(I.Facility.P4IDNumber,1954))</f>
        <v/>
      </c>
      <c r="G21966" s="51"/>
      <c r="H21966" s="46" t="str">
        <f>IF(AND(I.Developer.P4=TRUE,I.Facility.P4FacilityCount&gt;=1954,F21966=""),"Incomplete","Complete")</f>
        <v>Complete</v>
      </c>
      <c r="I21966" s="48" t="s">
        <v>26331</v>
      </c>
    </row>
    <row r="21967" spans="2:9" ht="15" customHeight="1" x14ac:dyDescent="0.25">
      <c r="B21967" s="55" t="s">
        <v>283</v>
      </c>
      <c r="C21967" s="46">
        <v>1955</v>
      </c>
      <c r="D21967" s="69" t="s">
        <v>29420</v>
      </c>
      <c r="E21967" s="51"/>
      <c r="F21967" s="114" t="str">
        <f>IF(INDEX(I.Facility.P4IDNumber,1955)="","",INDEX(I.Facility.P4IDNumber,1955))</f>
        <v/>
      </c>
      <c r="G21967" s="51"/>
      <c r="H21967" s="46" t="str">
        <f>IF(AND(I.Developer.P4=TRUE,I.Facility.P4FacilityCount&gt;=1955,F21967=""),"Incomplete","Complete")</f>
        <v>Complete</v>
      </c>
      <c r="I21967" s="48" t="s">
        <v>26332</v>
      </c>
    </row>
    <row r="21968" spans="2:9" ht="15" customHeight="1" x14ac:dyDescent="0.25">
      <c r="B21968" s="55" t="s">
        <v>283</v>
      </c>
      <c r="C21968" s="46">
        <v>1956</v>
      </c>
      <c r="D21968" s="69" t="s">
        <v>29420</v>
      </c>
      <c r="E21968" s="51"/>
      <c r="F21968" s="114" t="str">
        <f>IF(INDEX(I.Facility.P4IDNumber,1956)="","",INDEX(I.Facility.P4IDNumber,1956))</f>
        <v/>
      </c>
      <c r="G21968" s="51"/>
      <c r="H21968" s="46" t="str">
        <f>IF(AND(I.Developer.P4=TRUE,I.Facility.P4FacilityCount&gt;=1956,F21968=""),"Incomplete","Complete")</f>
        <v>Complete</v>
      </c>
      <c r="I21968" s="48" t="s">
        <v>26333</v>
      </c>
    </row>
    <row r="21969" spans="2:9" ht="15" customHeight="1" x14ac:dyDescent="0.25">
      <c r="B21969" s="55" t="s">
        <v>283</v>
      </c>
      <c r="C21969" s="46">
        <v>1957</v>
      </c>
      <c r="D21969" s="69" t="s">
        <v>29420</v>
      </c>
      <c r="E21969" s="51"/>
      <c r="F21969" s="114" t="str">
        <f>IF(INDEX(I.Facility.P4IDNumber,1957)="","",INDEX(I.Facility.P4IDNumber,1957))</f>
        <v/>
      </c>
      <c r="G21969" s="51"/>
      <c r="H21969" s="46" t="str">
        <f>IF(AND(I.Developer.P4=TRUE,I.Facility.P4FacilityCount&gt;=1957,F21969=""),"Incomplete","Complete")</f>
        <v>Complete</v>
      </c>
      <c r="I21969" s="48" t="s">
        <v>26334</v>
      </c>
    </row>
    <row r="21970" spans="2:9" ht="15" customHeight="1" x14ac:dyDescent="0.25">
      <c r="B21970" s="55" t="s">
        <v>283</v>
      </c>
      <c r="C21970" s="46">
        <v>1958</v>
      </c>
      <c r="D21970" s="69" t="s">
        <v>29420</v>
      </c>
      <c r="E21970" s="51"/>
      <c r="F21970" s="114" t="str">
        <f>IF(INDEX(I.Facility.P4IDNumber,1958)="","",INDEX(I.Facility.P4IDNumber,1958))</f>
        <v/>
      </c>
      <c r="G21970" s="51"/>
      <c r="H21970" s="46" t="str">
        <f>IF(AND(I.Developer.P4=TRUE,I.Facility.P4FacilityCount&gt;=1958,F21970=""),"Incomplete","Complete")</f>
        <v>Complete</v>
      </c>
      <c r="I21970" s="48" t="s">
        <v>26335</v>
      </c>
    </row>
    <row r="21971" spans="2:9" ht="15" customHeight="1" x14ac:dyDescent="0.25">
      <c r="B21971" s="55" t="s">
        <v>283</v>
      </c>
      <c r="C21971" s="46">
        <v>1959</v>
      </c>
      <c r="D21971" s="69" t="s">
        <v>29420</v>
      </c>
      <c r="E21971" s="51"/>
      <c r="F21971" s="114" t="str">
        <f>IF(INDEX(I.Facility.P4IDNumber,1959)="","",INDEX(I.Facility.P4IDNumber,1959))</f>
        <v/>
      </c>
      <c r="G21971" s="51"/>
      <c r="H21971" s="46" t="str">
        <f>IF(AND(I.Developer.P4=TRUE,I.Facility.P4FacilityCount&gt;=1959,F21971=""),"Incomplete","Complete")</f>
        <v>Complete</v>
      </c>
      <c r="I21971" s="48" t="s">
        <v>26336</v>
      </c>
    </row>
    <row r="21972" spans="2:9" ht="15" customHeight="1" x14ac:dyDescent="0.25">
      <c r="B21972" s="55" t="s">
        <v>283</v>
      </c>
      <c r="C21972" s="46">
        <v>1960</v>
      </c>
      <c r="D21972" s="69" t="s">
        <v>29420</v>
      </c>
      <c r="E21972" s="51"/>
      <c r="F21972" s="114" t="str">
        <f>IF(INDEX(I.Facility.P4IDNumber,1960)="","",INDEX(I.Facility.P4IDNumber,1960))</f>
        <v/>
      </c>
      <c r="G21972" s="51"/>
      <c r="H21972" s="46" t="str">
        <f>IF(AND(I.Developer.P4=TRUE,I.Facility.P4FacilityCount&gt;=1960,F21972=""),"Incomplete","Complete")</f>
        <v>Complete</v>
      </c>
      <c r="I21972" s="48" t="s">
        <v>26337</v>
      </c>
    </row>
    <row r="21973" spans="2:9" ht="15" customHeight="1" x14ac:dyDescent="0.25">
      <c r="B21973" s="55" t="s">
        <v>283</v>
      </c>
      <c r="C21973" s="46">
        <v>1961</v>
      </c>
      <c r="D21973" s="69" t="s">
        <v>29420</v>
      </c>
      <c r="E21973" s="51"/>
      <c r="F21973" s="114" t="str">
        <f>IF(INDEX(I.Facility.P4IDNumber,1961)="","",INDEX(I.Facility.P4IDNumber,1961))</f>
        <v/>
      </c>
      <c r="G21973" s="51"/>
      <c r="H21973" s="46" t="str">
        <f>IF(AND(I.Developer.P4=TRUE,I.Facility.P4FacilityCount&gt;=1961,F21973=""),"Incomplete","Complete")</f>
        <v>Complete</v>
      </c>
      <c r="I21973" s="48" t="s">
        <v>26338</v>
      </c>
    </row>
    <row r="21974" spans="2:9" ht="15" customHeight="1" x14ac:dyDescent="0.25">
      <c r="B21974" s="55" t="s">
        <v>283</v>
      </c>
      <c r="C21974" s="46">
        <v>1962</v>
      </c>
      <c r="D21974" s="69" t="s">
        <v>29420</v>
      </c>
      <c r="E21974" s="51"/>
      <c r="F21974" s="114" t="str">
        <f>IF(INDEX(I.Facility.P4IDNumber,1962)="","",INDEX(I.Facility.P4IDNumber,1962))</f>
        <v/>
      </c>
      <c r="G21974" s="51"/>
      <c r="H21974" s="46" t="str">
        <f>IF(AND(I.Developer.P4=TRUE,I.Facility.P4FacilityCount&gt;=1962,F21974=""),"Incomplete","Complete")</f>
        <v>Complete</v>
      </c>
      <c r="I21974" s="48" t="s">
        <v>26339</v>
      </c>
    </row>
    <row r="21975" spans="2:9" ht="15" customHeight="1" x14ac:dyDescent="0.25">
      <c r="B21975" s="55" t="s">
        <v>283</v>
      </c>
      <c r="C21975" s="46">
        <v>1963</v>
      </c>
      <c r="D21975" s="69" t="s">
        <v>29420</v>
      </c>
      <c r="E21975" s="51"/>
      <c r="F21975" s="114" t="str">
        <f>IF(INDEX(I.Facility.P4IDNumber,1963)="","",INDEX(I.Facility.P4IDNumber,1963))</f>
        <v/>
      </c>
      <c r="G21975" s="51"/>
      <c r="H21975" s="46" t="str">
        <f>IF(AND(I.Developer.P4=TRUE,I.Facility.P4FacilityCount&gt;=1963,F21975=""),"Incomplete","Complete")</f>
        <v>Complete</v>
      </c>
      <c r="I21975" s="48" t="s">
        <v>26340</v>
      </c>
    </row>
    <row r="21976" spans="2:9" ht="15" customHeight="1" x14ac:dyDescent="0.25">
      <c r="B21976" s="55" t="s">
        <v>283</v>
      </c>
      <c r="C21976" s="46">
        <v>1964</v>
      </c>
      <c r="D21976" s="69" t="s">
        <v>29420</v>
      </c>
      <c r="E21976" s="51"/>
      <c r="F21976" s="114" t="str">
        <f>IF(INDEX(I.Facility.P4IDNumber,1964)="","",INDEX(I.Facility.P4IDNumber,1964))</f>
        <v/>
      </c>
      <c r="G21976" s="51"/>
      <c r="H21976" s="46" t="str">
        <f>IF(AND(I.Developer.P4=TRUE,I.Facility.P4FacilityCount&gt;=1964,F21976=""),"Incomplete","Complete")</f>
        <v>Complete</v>
      </c>
      <c r="I21976" s="48" t="s">
        <v>26341</v>
      </c>
    </row>
    <row r="21977" spans="2:9" ht="15" customHeight="1" x14ac:dyDescent="0.25">
      <c r="B21977" s="55" t="s">
        <v>283</v>
      </c>
      <c r="C21977" s="46">
        <v>1965</v>
      </c>
      <c r="D21977" s="69" t="s">
        <v>29420</v>
      </c>
      <c r="E21977" s="51"/>
      <c r="F21977" s="114" t="str">
        <f>IF(INDEX(I.Facility.P4IDNumber,1965)="","",INDEX(I.Facility.P4IDNumber,1965))</f>
        <v/>
      </c>
      <c r="G21977" s="51"/>
      <c r="H21977" s="46" t="str">
        <f>IF(AND(I.Developer.P4=TRUE,I.Facility.P4FacilityCount&gt;=1965,F21977=""),"Incomplete","Complete")</f>
        <v>Complete</v>
      </c>
      <c r="I21977" s="48" t="s">
        <v>26342</v>
      </c>
    </row>
    <row r="21978" spans="2:9" ht="15" customHeight="1" x14ac:dyDescent="0.25">
      <c r="B21978" s="55" t="s">
        <v>283</v>
      </c>
      <c r="C21978" s="46">
        <v>1966</v>
      </c>
      <c r="D21978" s="69" t="s">
        <v>29420</v>
      </c>
      <c r="E21978" s="51"/>
      <c r="F21978" s="114" t="str">
        <f>IF(INDEX(I.Facility.P4IDNumber,1966)="","",INDEX(I.Facility.P4IDNumber,1966))</f>
        <v/>
      </c>
      <c r="G21978" s="51"/>
      <c r="H21978" s="46" t="str">
        <f>IF(AND(I.Developer.P4=TRUE,I.Facility.P4FacilityCount&gt;=1966,F21978=""),"Incomplete","Complete")</f>
        <v>Complete</v>
      </c>
      <c r="I21978" s="48" t="s">
        <v>26343</v>
      </c>
    </row>
    <row r="21979" spans="2:9" ht="15" customHeight="1" x14ac:dyDescent="0.25">
      <c r="B21979" s="55" t="s">
        <v>283</v>
      </c>
      <c r="C21979" s="46">
        <v>1967</v>
      </c>
      <c r="D21979" s="69" t="s">
        <v>29420</v>
      </c>
      <c r="E21979" s="51"/>
      <c r="F21979" s="114" t="str">
        <f>IF(INDEX(I.Facility.P4IDNumber,1967)="","",INDEX(I.Facility.P4IDNumber,1967))</f>
        <v/>
      </c>
      <c r="G21979" s="51"/>
      <c r="H21979" s="46" t="str">
        <f>IF(AND(I.Developer.P4=TRUE,I.Facility.P4FacilityCount&gt;=1967,F21979=""),"Incomplete","Complete")</f>
        <v>Complete</v>
      </c>
      <c r="I21979" s="48" t="s">
        <v>26344</v>
      </c>
    </row>
    <row r="21980" spans="2:9" ht="15" customHeight="1" x14ac:dyDescent="0.25">
      <c r="B21980" s="55" t="s">
        <v>283</v>
      </c>
      <c r="C21980" s="46">
        <v>1968</v>
      </c>
      <c r="D21980" s="69" t="s">
        <v>29420</v>
      </c>
      <c r="E21980" s="51"/>
      <c r="F21980" s="114" t="str">
        <f>IF(INDEX(I.Facility.P4IDNumber,1968)="","",INDEX(I.Facility.P4IDNumber,1968))</f>
        <v/>
      </c>
      <c r="G21980" s="51"/>
      <c r="H21980" s="46" t="str">
        <f>IF(AND(I.Developer.P4=TRUE,I.Facility.P4FacilityCount&gt;=1968,F21980=""),"Incomplete","Complete")</f>
        <v>Complete</v>
      </c>
      <c r="I21980" s="48" t="s">
        <v>26345</v>
      </c>
    </row>
    <row r="21981" spans="2:9" ht="15" customHeight="1" x14ac:dyDescent="0.25">
      <c r="B21981" s="55" t="s">
        <v>283</v>
      </c>
      <c r="C21981" s="46">
        <v>1969</v>
      </c>
      <c r="D21981" s="69" t="s">
        <v>29420</v>
      </c>
      <c r="E21981" s="51"/>
      <c r="F21981" s="114" t="str">
        <f>IF(INDEX(I.Facility.P4IDNumber,1969)="","",INDEX(I.Facility.P4IDNumber,1969))</f>
        <v/>
      </c>
      <c r="G21981" s="51"/>
      <c r="H21981" s="46" t="str">
        <f>IF(AND(I.Developer.P4=TRUE,I.Facility.P4FacilityCount&gt;=1969,F21981=""),"Incomplete","Complete")</f>
        <v>Complete</v>
      </c>
      <c r="I21981" s="48" t="s">
        <v>26346</v>
      </c>
    </row>
    <row r="21982" spans="2:9" ht="15" customHeight="1" x14ac:dyDescent="0.25">
      <c r="B21982" s="55" t="s">
        <v>283</v>
      </c>
      <c r="C21982" s="46">
        <v>1970</v>
      </c>
      <c r="D21982" s="69" t="s">
        <v>29420</v>
      </c>
      <c r="E21982" s="51"/>
      <c r="F21982" s="114" t="str">
        <f>IF(INDEX(I.Facility.P4IDNumber,1970)="","",INDEX(I.Facility.P4IDNumber,1970))</f>
        <v/>
      </c>
      <c r="G21982" s="51"/>
      <c r="H21982" s="46" t="str">
        <f>IF(AND(I.Developer.P4=TRUE,I.Facility.P4FacilityCount&gt;=1970,F21982=""),"Incomplete","Complete")</f>
        <v>Complete</v>
      </c>
      <c r="I21982" s="48" t="s">
        <v>26347</v>
      </c>
    </row>
    <row r="21983" spans="2:9" ht="15" customHeight="1" x14ac:dyDescent="0.25">
      <c r="B21983" s="55" t="s">
        <v>283</v>
      </c>
      <c r="C21983" s="46">
        <v>1971</v>
      </c>
      <c r="D21983" s="69" t="s">
        <v>29420</v>
      </c>
      <c r="E21983" s="51"/>
      <c r="F21983" s="114" t="str">
        <f>IF(INDEX(I.Facility.P4IDNumber,1971)="","",INDEX(I.Facility.P4IDNumber,1971))</f>
        <v/>
      </c>
      <c r="G21983" s="51"/>
      <c r="H21983" s="46" t="str">
        <f>IF(AND(I.Developer.P4=TRUE,I.Facility.P4FacilityCount&gt;=1971,F21983=""),"Incomplete","Complete")</f>
        <v>Complete</v>
      </c>
      <c r="I21983" s="48" t="s">
        <v>26348</v>
      </c>
    </row>
    <row r="21984" spans="2:9" ht="15" customHeight="1" x14ac:dyDescent="0.25">
      <c r="B21984" s="55" t="s">
        <v>283</v>
      </c>
      <c r="C21984" s="46">
        <v>1972</v>
      </c>
      <c r="D21984" s="69" t="s">
        <v>29420</v>
      </c>
      <c r="E21984" s="51"/>
      <c r="F21984" s="114" t="str">
        <f>IF(INDEX(I.Facility.P4IDNumber,1972)="","",INDEX(I.Facility.P4IDNumber,1972))</f>
        <v/>
      </c>
      <c r="G21984" s="51"/>
      <c r="H21984" s="46" t="str">
        <f>IF(AND(I.Developer.P4=TRUE,I.Facility.P4FacilityCount&gt;=1972,F21984=""),"Incomplete","Complete")</f>
        <v>Complete</v>
      </c>
      <c r="I21984" s="48" t="s">
        <v>26349</v>
      </c>
    </row>
    <row r="21985" spans="2:9" ht="15" customHeight="1" x14ac:dyDescent="0.25">
      <c r="B21985" s="55" t="s">
        <v>283</v>
      </c>
      <c r="C21985" s="46">
        <v>1973</v>
      </c>
      <c r="D21985" s="69" t="s">
        <v>29420</v>
      </c>
      <c r="E21985" s="51"/>
      <c r="F21985" s="114" t="str">
        <f>IF(INDEX(I.Facility.P4IDNumber,1973)="","",INDEX(I.Facility.P4IDNumber,1973))</f>
        <v/>
      </c>
      <c r="G21985" s="51"/>
      <c r="H21985" s="46" t="str">
        <f>IF(AND(I.Developer.P4=TRUE,I.Facility.P4FacilityCount&gt;=1973,F21985=""),"Incomplete","Complete")</f>
        <v>Complete</v>
      </c>
      <c r="I21985" s="48" t="s">
        <v>26350</v>
      </c>
    </row>
    <row r="21986" spans="2:9" ht="15" customHeight="1" x14ac:dyDescent="0.25">
      <c r="B21986" s="55" t="s">
        <v>283</v>
      </c>
      <c r="C21986" s="46">
        <v>1974</v>
      </c>
      <c r="D21986" s="69" t="s">
        <v>29420</v>
      </c>
      <c r="E21986" s="51"/>
      <c r="F21986" s="114" t="str">
        <f>IF(INDEX(I.Facility.P4IDNumber,1974)="","",INDEX(I.Facility.P4IDNumber,1974))</f>
        <v/>
      </c>
      <c r="G21986" s="51"/>
      <c r="H21986" s="46" t="str">
        <f>IF(AND(I.Developer.P4=TRUE,I.Facility.P4FacilityCount&gt;=1974,F21986=""),"Incomplete","Complete")</f>
        <v>Complete</v>
      </c>
      <c r="I21986" s="48" t="s">
        <v>26351</v>
      </c>
    </row>
    <row r="21987" spans="2:9" ht="15" customHeight="1" x14ac:dyDescent="0.25">
      <c r="B21987" s="55" t="s">
        <v>283</v>
      </c>
      <c r="C21987" s="46">
        <v>1975</v>
      </c>
      <c r="D21987" s="69" t="s">
        <v>29420</v>
      </c>
      <c r="E21987" s="51"/>
      <c r="F21987" s="114" t="str">
        <f>IF(INDEX(I.Facility.P4IDNumber,1975)="","",INDEX(I.Facility.P4IDNumber,1975))</f>
        <v/>
      </c>
      <c r="G21987" s="51"/>
      <c r="H21987" s="46" t="str">
        <f>IF(AND(I.Developer.P4=TRUE,I.Facility.P4FacilityCount&gt;=1975,F21987=""),"Incomplete","Complete")</f>
        <v>Complete</v>
      </c>
      <c r="I21987" s="48" t="s">
        <v>26352</v>
      </c>
    </row>
    <row r="21988" spans="2:9" ht="15" customHeight="1" x14ac:dyDescent="0.25">
      <c r="B21988" s="55" t="s">
        <v>283</v>
      </c>
      <c r="C21988" s="46">
        <v>1976</v>
      </c>
      <c r="D21988" s="69" t="s">
        <v>29420</v>
      </c>
      <c r="E21988" s="51"/>
      <c r="F21988" s="114" t="str">
        <f>IF(INDEX(I.Facility.P4IDNumber,1976)="","",INDEX(I.Facility.P4IDNumber,1976))</f>
        <v/>
      </c>
      <c r="G21988" s="51"/>
      <c r="H21988" s="46" t="str">
        <f>IF(AND(I.Developer.P4=TRUE,I.Facility.P4FacilityCount&gt;=1976,F21988=""),"Incomplete","Complete")</f>
        <v>Complete</v>
      </c>
      <c r="I21988" s="48" t="s">
        <v>26353</v>
      </c>
    </row>
    <row r="21989" spans="2:9" ht="15" customHeight="1" x14ac:dyDescent="0.25">
      <c r="B21989" s="55" t="s">
        <v>283</v>
      </c>
      <c r="C21989" s="46">
        <v>1977</v>
      </c>
      <c r="D21989" s="69" t="s">
        <v>29420</v>
      </c>
      <c r="E21989" s="51"/>
      <c r="F21989" s="114" t="str">
        <f>IF(INDEX(I.Facility.P4IDNumber,1977)="","",INDEX(I.Facility.P4IDNumber,1977))</f>
        <v/>
      </c>
      <c r="G21989" s="51"/>
      <c r="H21989" s="46" t="str">
        <f>IF(AND(I.Developer.P4=TRUE,I.Facility.P4FacilityCount&gt;=1977,F21989=""),"Incomplete","Complete")</f>
        <v>Complete</v>
      </c>
      <c r="I21989" s="48" t="s">
        <v>26354</v>
      </c>
    </row>
    <row r="21990" spans="2:9" ht="15" customHeight="1" x14ac:dyDescent="0.25">
      <c r="B21990" s="55" t="s">
        <v>283</v>
      </c>
      <c r="C21990" s="46">
        <v>1978</v>
      </c>
      <c r="D21990" s="69" t="s">
        <v>29420</v>
      </c>
      <c r="E21990" s="51"/>
      <c r="F21990" s="114" t="str">
        <f>IF(INDEX(I.Facility.P4IDNumber,1978)="","",INDEX(I.Facility.P4IDNumber,1978))</f>
        <v/>
      </c>
      <c r="G21990" s="51"/>
      <c r="H21990" s="46" t="str">
        <f>IF(AND(I.Developer.P4=TRUE,I.Facility.P4FacilityCount&gt;=1978,F21990=""),"Incomplete","Complete")</f>
        <v>Complete</v>
      </c>
      <c r="I21990" s="48" t="s">
        <v>26355</v>
      </c>
    </row>
    <row r="21991" spans="2:9" ht="15" customHeight="1" x14ac:dyDescent="0.25">
      <c r="B21991" s="55" t="s">
        <v>283</v>
      </c>
      <c r="C21991" s="46">
        <v>1979</v>
      </c>
      <c r="D21991" s="69" t="s">
        <v>29420</v>
      </c>
      <c r="E21991" s="51"/>
      <c r="F21991" s="114" t="str">
        <f>IF(INDEX(I.Facility.P4IDNumber,1979)="","",INDEX(I.Facility.P4IDNumber,1979))</f>
        <v/>
      </c>
      <c r="G21991" s="51"/>
      <c r="H21991" s="46" t="str">
        <f>IF(AND(I.Developer.P4=TRUE,I.Facility.P4FacilityCount&gt;=1979,F21991=""),"Incomplete","Complete")</f>
        <v>Complete</v>
      </c>
      <c r="I21991" s="48" t="s">
        <v>26356</v>
      </c>
    </row>
    <row r="21992" spans="2:9" ht="15" customHeight="1" x14ac:dyDescent="0.25">
      <c r="B21992" s="55" t="s">
        <v>283</v>
      </c>
      <c r="C21992" s="46">
        <v>1980</v>
      </c>
      <c r="D21992" s="69" t="s">
        <v>29420</v>
      </c>
      <c r="E21992" s="51"/>
      <c r="F21992" s="114" t="str">
        <f>IF(INDEX(I.Facility.P4IDNumber,1980)="","",INDEX(I.Facility.P4IDNumber,1980))</f>
        <v/>
      </c>
      <c r="G21992" s="51"/>
      <c r="H21992" s="46" t="str">
        <f>IF(AND(I.Developer.P4=TRUE,I.Facility.P4FacilityCount&gt;=1980,F21992=""),"Incomplete","Complete")</f>
        <v>Complete</v>
      </c>
      <c r="I21992" s="48" t="s">
        <v>26357</v>
      </c>
    </row>
    <row r="21993" spans="2:9" ht="15" customHeight="1" x14ac:dyDescent="0.25">
      <c r="B21993" s="55" t="s">
        <v>283</v>
      </c>
      <c r="C21993" s="46">
        <v>1981</v>
      </c>
      <c r="D21993" s="69" t="s">
        <v>29420</v>
      </c>
      <c r="E21993" s="51"/>
      <c r="F21993" s="114" t="str">
        <f>IF(INDEX(I.Facility.P4IDNumber,1981)="","",INDEX(I.Facility.P4IDNumber,1981))</f>
        <v/>
      </c>
      <c r="G21993" s="51"/>
      <c r="H21993" s="46" t="str">
        <f>IF(AND(I.Developer.P4=TRUE,I.Facility.P4FacilityCount&gt;=1981,F21993=""),"Incomplete","Complete")</f>
        <v>Complete</v>
      </c>
      <c r="I21993" s="48" t="s">
        <v>26358</v>
      </c>
    </row>
    <row r="21994" spans="2:9" ht="15" customHeight="1" x14ac:dyDescent="0.25">
      <c r="B21994" s="55" t="s">
        <v>283</v>
      </c>
      <c r="C21994" s="46">
        <v>1982</v>
      </c>
      <c r="D21994" s="69" t="s">
        <v>29420</v>
      </c>
      <c r="E21994" s="51"/>
      <c r="F21994" s="114" t="str">
        <f>IF(INDEX(I.Facility.P4IDNumber,1982)="","",INDEX(I.Facility.P4IDNumber,1982))</f>
        <v/>
      </c>
      <c r="G21994" s="51"/>
      <c r="H21994" s="46" t="str">
        <f>IF(AND(I.Developer.P4=TRUE,I.Facility.P4FacilityCount&gt;=1982,F21994=""),"Incomplete","Complete")</f>
        <v>Complete</v>
      </c>
      <c r="I21994" s="48" t="s">
        <v>26359</v>
      </c>
    </row>
    <row r="21995" spans="2:9" ht="15" customHeight="1" x14ac:dyDescent="0.25">
      <c r="B21995" s="55" t="s">
        <v>283</v>
      </c>
      <c r="C21995" s="46">
        <v>1983</v>
      </c>
      <c r="D21995" s="69" t="s">
        <v>29420</v>
      </c>
      <c r="E21995" s="51"/>
      <c r="F21995" s="114" t="str">
        <f>IF(INDEX(I.Facility.P4IDNumber,1983)="","",INDEX(I.Facility.P4IDNumber,1983))</f>
        <v/>
      </c>
      <c r="G21995" s="51"/>
      <c r="H21995" s="46" t="str">
        <f>IF(AND(I.Developer.P4=TRUE,I.Facility.P4FacilityCount&gt;=1983,F21995=""),"Incomplete","Complete")</f>
        <v>Complete</v>
      </c>
      <c r="I21995" s="48" t="s">
        <v>26360</v>
      </c>
    </row>
    <row r="21996" spans="2:9" ht="15" customHeight="1" x14ac:dyDescent="0.25">
      <c r="B21996" s="55" t="s">
        <v>283</v>
      </c>
      <c r="C21996" s="46">
        <v>1984</v>
      </c>
      <c r="D21996" s="69" t="s">
        <v>29420</v>
      </c>
      <c r="E21996" s="51"/>
      <c r="F21996" s="114" t="str">
        <f>IF(INDEX(I.Facility.P4IDNumber,1984)="","",INDEX(I.Facility.P4IDNumber,1984))</f>
        <v/>
      </c>
      <c r="G21996" s="51"/>
      <c r="H21996" s="46" t="str">
        <f>IF(AND(I.Developer.P4=TRUE,I.Facility.P4FacilityCount&gt;=1984,F21996=""),"Incomplete","Complete")</f>
        <v>Complete</v>
      </c>
      <c r="I21996" s="48" t="s">
        <v>26361</v>
      </c>
    </row>
    <row r="21997" spans="2:9" ht="15" customHeight="1" x14ac:dyDescent="0.25">
      <c r="B21997" s="55" t="s">
        <v>283</v>
      </c>
      <c r="C21997" s="46">
        <v>1985</v>
      </c>
      <c r="D21997" s="69" t="s">
        <v>29420</v>
      </c>
      <c r="E21997" s="51"/>
      <c r="F21997" s="114" t="str">
        <f>IF(INDEX(I.Facility.P4IDNumber,1985)="","",INDEX(I.Facility.P4IDNumber,1985))</f>
        <v/>
      </c>
      <c r="G21997" s="51"/>
      <c r="H21997" s="46" t="str">
        <f>IF(AND(I.Developer.P4=TRUE,I.Facility.P4FacilityCount&gt;=1985,F21997=""),"Incomplete","Complete")</f>
        <v>Complete</v>
      </c>
      <c r="I21997" s="48" t="s">
        <v>26362</v>
      </c>
    </row>
    <row r="21998" spans="2:9" ht="15" customHeight="1" x14ac:dyDescent="0.25">
      <c r="B21998" s="55" t="s">
        <v>283</v>
      </c>
      <c r="C21998" s="46">
        <v>1986</v>
      </c>
      <c r="D21998" s="69" t="s">
        <v>29420</v>
      </c>
      <c r="E21998" s="51"/>
      <c r="F21998" s="114" t="str">
        <f>IF(INDEX(I.Facility.P4IDNumber,1986)="","",INDEX(I.Facility.P4IDNumber,1986))</f>
        <v/>
      </c>
      <c r="G21998" s="51"/>
      <c r="H21998" s="46" t="str">
        <f>IF(AND(I.Developer.P4=TRUE,I.Facility.P4FacilityCount&gt;=1986,F21998=""),"Incomplete","Complete")</f>
        <v>Complete</v>
      </c>
      <c r="I21998" s="48" t="s">
        <v>26363</v>
      </c>
    </row>
    <row r="21999" spans="2:9" ht="15" customHeight="1" x14ac:dyDescent="0.25">
      <c r="B21999" s="55" t="s">
        <v>283</v>
      </c>
      <c r="C21999" s="46">
        <v>1987</v>
      </c>
      <c r="D21999" s="69" t="s">
        <v>29420</v>
      </c>
      <c r="E21999" s="51"/>
      <c r="F21999" s="114" t="str">
        <f>IF(INDEX(I.Facility.P4IDNumber,1987)="","",INDEX(I.Facility.P4IDNumber,1987))</f>
        <v/>
      </c>
      <c r="G21999" s="51"/>
      <c r="H21999" s="46" t="str">
        <f>IF(AND(I.Developer.P4=TRUE,I.Facility.P4FacilityCount&gt;=1987,F21999=""),"Incomplete","Complete")</f>
        <v>Complete</v>
      </c>
      <c r="I21999" s="48" t="s">
        <v>26364</v>
      </c>
    </row>
    <row r="22000" spans="2:9" ht="15" customHeight="1" x14ac:dyDescent="0.25">
      <c r="B22000" s="55" t="s">
        <v>283</v>
      </c>
      <c r="C22000" s="46">
        <v>1988</v>
      </c>
      <c r="D22000" s="69" t="s">
        <v>29420</v>
      </c>
      <c r="E22000" s="51"/>
      <c r="F22000" s="114" t="str">
        <f>IF(INDEX(I.Facility.P4IDNumber,1988)="","",INDEX(I.Facility.P4IDNumber,1988))</f>
        <v/>
      </c>
      <c r="G22000" s="51"/>
      <c r="H22000" s="46" t="str">
        <f>IF(AND(I.Developer.P4=TRUE,I.Facility.P4FacilityCount&gt;=1988,F22000=""),"Incomplete","Complete")</f>
        <v>Complete</v>
      </c>
      <c r="I22000" s="48" t="s">
        <v>26365</v>
      </c>
    </row>
    <row r="22001" spans="2:9" ht="15" customHeight="1" x14ac:dyDescent="0.25">
      <c r="B22001" s="55" t="s">
        <v>283</v>
      </c>
      <c r="C22001" s="46">
        <v>1989</v>
      </c>
      <c r="D22001" s="69" t="s">
        <v>29420</v>
      </c>
      <c r="E22001" s="51"/>
      <c r="F22001" s="114" t="str">
        <f>IF(INDEX(I.Facility.P4IDNumber,1989)="","",INDEX(I.Facility.P4IDNumber,1989))</f>
        <v/>
      </c>
      <c r="G22001" s="51"/>
      <c r="H22001" s="46" t="str">
        <f>IF(AND(I.Developer.P4=TRUE,I.Facility.P4FacilityCount&gt;=1989,F22001=""),"Incomplete","Complete")</f>
        <v>Complete</v>
      </c>
      <c r="I22001" s="48" t="s">
        <v>26366</v>
      </c>
    </row>
    <row r="22002" spans="2:9" ht="15" customHeight="1" x14ac:dyDescent="0.25">
      <c r="B22002" s="55" t="s">
        <v>283</v>
      </c>
      <c r="C22002" s="46">
        <v>1990</v>
      </c>
      <c r="D22002" s="69" t="s">
        <v>29420</v>
      </c>
      <c r="E22002" s="51"/>
      <c r="F22002" s="114" t="str">
        <f>IF(INDEX(I.Facility.P4IDNumber,1990)="","",INDEX(I.Facility.P4IDNumber,1990))</f>
        <v/>
      </c>
      <c r="G22002" s="51"/>
      <c r="H22002" s="46" t="str">
        <f>IF(AND(I.Developer.P4=TRUE,I.Facility.P4FacilityCount&gt;=1990,F22002=""),"Incomplete","Complete")</f>
        <v>Complete</v>
      </c>
      <c r="I22002" s="48" t="s">
        <v>26367</v>
      </c>
    </row>
    <row r="22003" spans="2:9" ht="15" customHeight="1" x14ac:dyDescent="0.25">
      <c r="B22003" s="55" t="s">
        <v>283</v>
      </c>
      <c r="C22003" s="46">
        <v>1991</v>
      </c>
      <c r="D22003" s="69" t="s">
        <v>29420</v>
      </c>
      <c r="E22003" s="51"/>
      <c r="F22003" s="114" t="str">
        <f>IF(INDEX(I.Facility.P4IDNumber,1991)="","",INDEX(I.Facility.P4IDNumber,1991))</f>
        <v/>
      </c>
      <c r="G22003" s="51"/>
      <c r="H22003" s="46" t="str">
        <f>IF(AND(I.Developer.P4=TRUE,I.Facility.P4FacilityCount&gt;=1991,F22003=""),"Incomplete","Complete")</f>
        <v>Complete</v>
      </c>
      <c r="I22003" s="48" t="s">
        <v>26368</v>
      </c>
    </row>
    <row r="22004" spans="2:9" ht="15" customHeight="1" x14ac:dyDescent="0.25">
      <c r="B22004" s="55" t="s">
        <v>283</v>
      </c>
      <c r="C22004" s="46">
        <v>1992</v>
      </c>
      <c r="D22004" s="69" t="s">
        <v>29420</v>
      </c>
      <c r="E22004" s="51"/>
      <c r="F22004" s="114" t="str">
        <f>IF(INDEX(I.Facility.P4IDNumber,1992)="","",INDEX(I.Facility.P4IDNumber,1992))</f>
        <v/>
      </c>
      <c r="G22004" s="51"/>
      <c r="H22004" s="46" t="str">
        <f>IF(AND(I.Developer.P4=TRUE,I.Facility.P4FacilityCount&gt;=1992,F22004=""),"Incomplete","Complete")</f>
        <v>Complete</v>
      </c>
      <c r="I22004" s="48" t="s">
        <v>26369</v>
      </c>
    </row>
    <row r="22005" spans="2:9" ht="15" customHeight="1" x14ac:dyDescent="0.25">
      <c r="B22005" s="55" t="s">
        <v>283</v>
      </c>
      <c r="C22005" s="46">
        <v>1993</v>
      </c>
      <c r="D22005" s="69" t="s">
        <v>29420</v>
      </c>
      <c r="E22005" s="51"/>
      <c r="F22005" s="114" t="str">
        <f>IF(INDEX(I.Facility.P4IDNumber,1993)="","",INDEX(I.Facility.P4IDNumber,1993))</f>
        <v/>
      </c>
      <c r="G22005" s="51"/>
      <c r="H22005" s="46" t="str">
        <f>IF(AND(I.Developer.P4=TRUE,I.Facility.P4FacilityCount&gt;=1993,F22005=""),"Incomplete","Complete")</f>
        <v>Complete</v>
      </c>
      <c r="I22005" s="48" t="s">
        <v>26370</v>
      </c>
    </row>
    <row r="22006" spans="2:9" ht="15" customHeight="1" x14ac:dyDescent="0.25">
      <c r="B22006" s="55" t="s">
        <v>283</v>
      </c>
      <c r="C22006" s="46">
        <v>1994</v>
      </c>
      <c r="D22006" s="69" t="s">
        <v>29420</v>
      </c>
      <c r="E22006" s="51"/>
      <c r="F22006" s="114" t="str">
        <f>IF(INDEX(I.Facility.P4IDNumber,1994)="","",INDEX(I.Facility.P4IDNumber,1994))</f>
        <v/>
      </c>
      <c r="G22006" s="51"/>
      <c r="H22006" s="46" t="str">
        <f>IF(AND(I.Developer.P4=TRUE,I.Facility.P4FacilityCount&gt;=1994,F22006=""),"Incomplete","Complete")</f>
        <v>Complete</v>
      </c>
      <c r="I22006" s="48" t="s">
        <v>26371</v>
      </c>
    </row>
    <row r="22007" spans="2:9" ht="15" customHeight="1" x14ac:dyDescent="0.25">
      <c r="B22007" s="55" t="s">
        <v>283</v>
      </c>
      <c r="C22007" s="46">
        <v>1995</v>
      </c>
      <c r="D22007" s="69" t="s">
        <v>29420</v>
      </c>
      <c r="E22007" s="51"/>
      <c r="F22007" s="114" t="str">
        <f>IF(INDEX(I.Facility.P4IDNumber,1995)="","",INDEX(I.Facility.P4IDNumber,1995))</f>
        <v/>
      </c>
      <c r="G22007" s="51"/>
      <c r="H22007" s="46" t="str">
        <f>IF(AND(I.Developer.P4=TRUE,I.Facility.P4FacilityCount&gt;=1995,F22007=""),"Incomplete","Complete")</f>
        <v>Complete</v>
      </c>
      <c r="I22007" s="48" t="s">
        <v>26372</v>
      </c>
    </row>
    <row r="22008" spans="2:9" ht="15" customHeight="1" x14ac:dyDescent="0.25">
      <c r="B22008" s="55" t="s">
        <v>283</v>
      </c>
      <c r="C22008" s="46">
        <v>1996</v>
      </c>
      <c r="D22008" s="69" t="s">
        <v>29420</v>
      </c>
      <c r="E22008" s="51"/>
      <c r="F22008" s="114" t="str">
        <f>IF(INDEX(I.Facility.P4IDNumber,1996)="","",INDEX(I.Facility.P4IDNumber,1996))</f>
        <v/>
      </c>
      <c r="G22008" s="51"/>
      <c r="H22008" s="46" t="str">
        <f>IF(AND(I.Developer.P4=TRUE,I.Facility.P4FacilityCount&gt;=1996,F22008=""),"Incomplete","Complete")</f>
        <v>Complete</v>
      </c>
      <c r="I22008" s="48" t="s">
        <v>26373</v>
      </c>
    </row>
    <row r="22009" spans="2:9" ht="15" customHeight="1" x14ac:dyDescent="0.25">
      <c r="B22009" s="55" t="s">
        <v>283</v>
      </c>
      <c r="C22009" s="46">
        <v>1997</v>
      </c>
      <c r="D22009" s="69" t="s">
        <v>29420</v>
      </c>
      <c r="E22009" s="51"/>
      <c r="F22009" s="114" t="str">
        <f>IF(INDEX(I.Facility.P4IDNumber,1997)="","",INDEX(I.Facility.P4IDNumber,1997))</f>
        <v/>
      </c>
      <c r="G22009" s="51"/>
      <c r="H22009" s="46" t="str">
        <f>IF(AND(I.Developer.P4=TRUE,I.Facility.P4FacilityCount&gt;=1997,F22009=""),"Incomplete","Complete")</f>
        <v>Complete</v>
      </c>
      <c r="I22009" s="48" t="s">
        <v>26374</v>
      </c>
    </row>
    <row r="22010" spans="2:9" ht="15" customHeight="1" x14ac:dyDescent="0.25">
      <c r="B22010" s="55" t="s">
        <v>283</v>
      </c>
      <c r="C22010" s="46">
        <v>1998</v>
      </c>
      <c r="D22010" s="69" t="s">
        <v>29420</v>
      </c>
      <c r="E22010" s="51"/>
      <c r="F22010" s="114" t="str">
        <f>IF(INDEX(I.Facility.P4IDNumber,1998)="","",INDEX(I.Facility.P4IDNumber,1998))</f>
        <v/>
      </c>
      <c r="G22010" s="51"/>
      <c r="H22010" s="46" t="str">
        <f>IF(AND(I.Developer.P4=TRUE,I.Facility.P4FacilityCount&gt;=1998,F22010=""),"Incomplete","Complete")</f>
        <v>Complete</v>
      </c>
      <c r="I22010" s="48" t="s">
        <v>26375</v>
      </c>
    </row>
    <row r="22011" spans="2:9" ht="15" customHeight="1" x14ac:dyDescent="0.25">
      <c r="B22011" s="55" t="s">
        <v>283</v>
      </c>
      <c r="C22011" s="46">
        <v>1999</v>
      </c>
      <c r="D22011" s="69" t="s">
        <v>29420</v>
      </c>
      <c r="E22011" s="51"/>
      <c r="F22011" s="114" t="str">
        <f>IF(INDEX(I.Facility.P4IDNumber,1999)="","",INDEX(I.Facility.P4IDNumber,1999))</f>
        <v/>
      </c>
      <c r="G22011" s="51"/>
      <c r="H22011" s="46" t="str">
        <f>IF(AND(I.Developer.P4=TRUE,I.Facility.P4FacilityCount&gt;=1999,F22011=""),"Incomplete","Complete")</f>
        <v>Complete</v>
      </c>
      <c r="I22011" s="48" t="s">
        <v>26376</v>
      </c>
    </row>
    <row r="22012" spans="2:9" ht="15" customHeight="1" x14ac:dyDescent="0.25">
      <c r="B22012" s="55" t="s">
        <v>283</v>
      </c>
      <c r="C22012" s="46">
        <v>2000</v>
      </c>
      <c r="D22012" s="69" t="s">
        <v>29420</v>
      </c>
      <c r="E22012" s="51"/>
      <c r="F22012" s="114" t="str">
        <f>IF(INDEX(I.Facility.P4IDNumber,2000)="","",INDEX(I.Facility.P4IDNumber,2000))</f>
        <v/>
      </c>
      <c r="G22012" s="51"/>
      <c r="H22012" s="46" t="str">
        <f>IF(AND(I.Developer.P4=TRUE,I.Facility.P4FacilityCount&gt;=2000,F22012=""),"Incomplete","Complete")</f>
        <v>Complete</v>
      </c>
      <c r="I22012" s="48" t="s">
        <v>26377</v>
      </c>
    </row>
    <row r="22013" spans="2:9" ht="15" customHeight="1" x14ac:dyDescent="0.25">
      <c r="B22013" s="55" t="s">
        <v>283</v>
      </c>
      <c r="C22013" s="46">
        <v>2001</v>
      </c>
      <c r="D22013" s="69" t="s">
        <v>29420</v>
      </c>
      <c r="E22013" s="51"/>
      <c r="F22013" s="114" t="str">
        <f>IF(INDEX(I.Facility.P4IDNumber,2001)="","",INDEX(I.Facility.P4IDNumber,2001))</f>
        <v/>
      </c>
      <c r="G22013" s="51"/>
      <c r="H22013" s="46" t="str">
        <f>IF(AND(I.Developer.P4=TRUE,I.Facility.P4FacilityCount&gt;=2001,F22013=""),"Incomplete","Complete")</f>
        <v>Complete</v>
      </c>
      <c r="I22013" s="48" t="s">
        <v>26378</v>
      </c>
    </row>
    <row r="22014" spans="2:9" ht="15" customHeight="1" x14ac:dyDescent="0.25">
      <c r="B22014" s="55" t="s">
        <v>283</v>
      </c>
      <c r="C22014" s="46">
        <v>2002</v>
      </c>
      <c r="D22014" s="69" t="s">
        <v>29420</v>
      </c>
      <c r="E22014" s="51"/>
      <c r="F22014" s="114" t="str">
        <f>IF(INDEX(I.Facility.P4IDNumber,2002)="","",INDEX(I.Facility.P4IDNumber,2002))</f>
        <v/>
      </c>
      <c r="G22014" s="51"/>
      <c r="H22014" s="46" t="str">
        <f>IF(AND(I.Developer.P4=TRUE,I.Facility.P4FacilityCount&gt;=2002,F22014=""),"Incomplete","Complete")</f>
        <v>Complete</v>
      </c>
      <c r="I22014" s="48" t="s">
        <v>26379</v>
      </c>
    </row>
    <row r="22015" spans="2:9" ht="15" customHeight="1" x14ac:dyDescent="0.25">
      <c r="B22015" s="55" t="s">
        <v>283</v>
      </c>
      <c r="C22015" s="46">
        <v>2003</v>
      </c>
      <c r="D22015" s="69" t="s">
        <v>29420</v>
      </c>
      <c r="E22015" s="51"/>
      <c r="F22015" s="114" t="str">
        <f>IF(INDEX(I.Facility.P4IDNumber,2003)="","",INDEX(I.Facility.P4IDNumber,2003))</f>
        <v/>
      </c>
      <c r="G22015" s="51"/>
      <c r="H22015" s="46" t="str">
        <f>IF(AND(I.Developer.P4=TRUE,I.Facility.P4FacilityCount&gt;=2003,F22015=""),"Incomplete","Complete")</f>
        <v>Complete</v>
      </c>
      <c r="I22015" s="48" t="s">
        <v>26380</v>
      </c>
    </row>
    <row r="22016" spans="2:9" ht="15" customHeight="1" x14ac:dyDescent="0.25">
      <c r="B22016" s="55" t="s">
        <v>283</v>
      </c>
      <c r="C22016" s="46">
        <v>2004</v>
      </c>
      <c r="D22016" s="69" t="s">
        <v>29420</v>
      </c>
      <c r="E22016" s="51"/>
      <c r="F22016" s="114" t="str">
        <f>IF(INDEX(I.Facility.P4IDNumber,2004)="","",INDEX(I.Facility.P4IDNumber,2004))</f>
        <v/>
      </c>
      <c r="G22016" s="51"/>
      <c r="H22016" s="46" t="str">
        <f>IF(AND(I.Developer.P4=TRUE,I.Facility.P4FacilityCount&gt;=2004,F22016=""),"Incomplete","Complete")</f>
        <v>Complete</v>
      </c>
      <c r="I22016" s="48" t="s">
        <v>26381</v>
      </c>
    </row>
    <row r="22017" spans="2:9" ht="15" customHeight="1" x14ac:dyDescent="0.25">
      <c r="B22017" s="55" t="s">
        <v>283</v>
      </c>
      <c r="C22017" s="46">
        <v>2005</v>
      </c>
      <c r="D22017" s="69" t="s">
        <v>29420</v>
      </c>
      <c r="E22017" s="51"/>
      <c r="F22017" s="114" t="str">
        <f>IF(INDEX(I.Facility.P4IDNumber,2005)="","",INDEX(I.Facility.P4IDNumber,2005))</f>
        <v/>
      </c>
      <c r="G22017" s="51"/>
      <c r="H22017" s="46" t="str">
        <f>IF(AND(I.Developer.P4=TRUE,I.Facility.P4FacilityCount&gt;=2005,F22017=""),"Incomplete","Complete")</f>
        <v>Complete</v>
      </c>
      <c r="I22017" s="48" t="s">
        <v>26382</v>
      </c>
    </row>
    <row r="22018" spans="2:9" ht="15" customHeight="1" x14ac:dyDescent="0.25">
      <c r="B22018" s="55" t="s">
        <v>283</v>
      </c>
      <c r="C22018" s="46">
        <v>2006</v>
      </c>
      <c r="D22018" s="69" t="s">
        <v>29420</v>
      </c>
      <c r="E22018" s="51"/>
      <c r="F22018" s="114" t="str">
        <f>IF(INDEX(I.Facility.P4IDNumber,2006)="","",INDEX(I.Facility.P4IDNumber,2006))</f>
        <v/>
      </c>
      <c r="G22018" s="51"/>
      <c r="H22018" s="46" t="str">
        <f>IF(AND(I.Developer.P4=TRUE,I.Facility.P4FacilityCount&gt;=2006,F22018=""),"Incomplete","Complete")</f>
        <v>Complete</v>
      </c>
      <c r="I22018" s="48" t="s">
        <v>26383</v>
      </c>
    </row>
    <row r="22019" spans="2:9" ht="15" customHeight="1" x14ac:dyDescent="0.25">
      <c r="B22019" s="55" t="s">
        <v>283</v>
      </c>
      <c r="C22019" s="46">
        <v>2007</v>
      </c>
      <c r="D22019" s="69" t="s">
        <v>29420</v>
      </c>
      <c r="E22019" s="51"/>
      <c r="F22019" s="114" t="str">
        <f>IF(INDEX(I.Facility.P4IDNumber,2007)="","",INDEX(I.Facility.P4IDNumber,2007))</f>
        <v/>
      </c>
      <c r="G22019" s="51"/>
      <c r="H22019" s="46" t="str">
        <f>IF(AND(I.Developer.P4=TRUE,I.Facility.P4FacilityCount&gt;=2007,F22019=""),"Incomplete","Complete")</f>
        <v>Complete</v>
      </c>
      <c r="I22019" s="48" t="s">
        <v>26384</v>
      </c>
    </row>
    <row r="22020" spans="2:9" ht="15" customHeight="1" x14ac:dyDescent="0.25">
      <c r="B22020" s="55" t="s">
        <v>283</v>
      </c>
      <c r="C22020" s="46">
        <v>2008</v>
      </c>
      <c r="D22020" s="69" t="s">
        <v>29420</v>
      </c>
      <c r="E22020" s="51"/>
      <c r="F22020" s="114" t="str">
        <f>IF(INDEX(I.Facility.P4IDNumber,2008)="","",INDEX(I.Facility.P4IDNumber,2008))</f>
        <v/>
      </c>
      <c r="G22020" s="51"/>
      <c r="H22020" s="46" t="str">
        <f>IF(AND(I.Developer.P4=TRUE,I.Facility.P4FacilityCount&gt;=2008,F22020=""),"Incomplete","Complete")</f>
        <v>Complete</v>
      </c>
      <c r="I22020" s="48" t="s">
        <v>26385</v>
      </c>
    </row>
    <row r="22021" spans="2:9" ht="15" customHeight="1" x14ac:dyDescent="0.25">
      <c r="B22021" s="55" t="s">
        <v>283</v>
      </c>
      <c r="C22021" s="46">
        <v>2009</v>
      </c>
      <c r="D22021" s="69" t="s">
        <v>29420</v>
      </c>
      <c r="E22021" s="51"/>
      <c r="F22021" s="114" t="str">
        <f>IF(INDEX(I.Facility.P4IDNumber,2009)="","",INDEX(I.Facility.P4IDNumber,2009))</f>
        <v/>
      </c>
      <c r="G22021" s="51"/>
      <c r="H22021" s="46" t="str">
        <f>IF(AND(I.Developer.P4=TRUE,I.Facility.P4FacilityCount&gt;=2009,F22021=""),"Incomplete","Complete")</f>
        <v>Complete</v>
      </c>
      <c r="I22021" s="48" t="s">
        <v>26386</v>
      </c>
    </row>
    <row r="22022" spans="2:9" ht="15" customHeight="1" x14ac:dyDescent="0.25">
      <c r="B22022" s="55" t="s">
        <v>283</v>
      </c>
      <c r="C22022" s="46">
        <v>2010</v>
      </c>
      <c r="D22022" s="69" t="s">
        <v>29420</v>
      </c>
      <c r="E22022" s="51"/>
      <c r="F22022" s="114" t="str">
        <f>IF(INDEX(I.Facility.P4IDNumber,2010)="","",INDEX(I.Facility.P4IDNumber,2010))</f>
        <v/>
      </c>
      <c r="G22022" s="51"/>
      <c r="H22022" s="46" t="str">
        <f>IF(AND(I.Developer.P4=TRUE,I.Facility.P4FacilityCount&gt;=2010,F22022=""),"Incomplete","Complete")</f>
        <v>Complete</v>
      </c>
      <c r="I22022" s="48" t="s">
        <v>26387</v>
      </c>
    </row>
    <row r="22023" spans="2:9" ht="15" customHeight="1" x14ac:dyDescent="0.25">
      <c r="B22023" s="55" t="s">
        <v>283</v>
      </c>
      <c r="C22023" s="46">
        <v>2011</v>
      </c>
      <c r="D22023" s="69" t="s">
        <v>29420</v>
      </c>
      <c r="E22023" s="51"/>
      <c r="F22023" s="114" t="str">
        <f>IF(INDEX(I.Facility.P4IDNumber,2011)="","",INDEX(I.Facility.P4IDNumber,2011))</f>
        <v/>
      </c>
      <c r="G22023" s="51"/>
      <c r="H22023" s="46" t="str">
        <f>IF(AND(I.Developer.P4=TRUE,I.Facility.P4FacilityCount&gt;=2011,F22023=""),"Incomplete","Complete")</f>
        <v>Complete</v>
      </c>
      <c r="I22023" s="48" t="s">
        <v>26388</v>
      </c>
    </row>
    <row r="22024" spans="2:9" ht="15" customHeight="1" x14ac:dyDescent="0.25">
      <c r="B22024" s="55" t="s">
        <v>283</v>
      </c>
      <c r="C22024" s="46">
        <v>2012</v>
      </c>
      <c r="D22024" s="69" t="s">
        <v>29420</v>
      </c>
      <c r="E22024" s="51"/>
      <c r="F22024" s="114" t="str">
        <f>IF(INDEX(I.Facility.P4IDNumber,2012)="","",INDEX(I.Facility.P4IDNumber,2012))</f>
        <v/>
      </c>
      <c r="G22024" s="51"/>
      <c r="H22024" s="46" t="str">
        <f>IF(AND(I.Developer.P4=TRUE,I.Facility.P4FacilityCount&gt;=2012,F22024=""),"Incomplete","Complete")</f>
        <v>Complete</v>
      </c>
      <c r="I22024" s="48" t="s">
        <v>26389</v>
      </c>
    </row>
    <row r="22025" spans="2:9" ht="15" customHeight="1" x14ac:dyDescent="0.25">
      <c r="B22025" s="55" t="s">
        <v>283</v>
      </c>
      <c r="C22025" s="46">
        <v>2013</v>
      </c>
      <c r="D22025" s="69" t="s">
        <v>29420</v>
      </c>
      <c r="E22025" s="51"/>
      <c r="F22025" s="114" t="str">
        <f>IF(INDEX(I.Facility.P4IDNumber,2013)="","",INDEX(I.Facility.P4IDNumber,2013))</f>
        <v/>
      </c>
      <c r="G22025" s="51"/>
      <c r="H22025" s="46" t="str">
        <f>IF(AND(I.Developer.P4=TRUE,I.Facility.P4FacilityCount&gt;=2013,F22025=""),"Incomplete","Complete")</f>
        <v>Complete</v>
      </c>
      <c r="I22025" s="48" t="s">
        <v>26390</v>
      </c>
    </row>
    <row r="22026" spans="2:9" ht="15" customHeight="1" x14ac:dyDescent="0.25">
      <c r="B22026" s="55" t="s">
        <v>283</v>
      </c>
      <c r="C22026" s="46">
        <v>2014</v>
      </c>
      <c r="D22026" s="69" t="s">
        <v>29420</v>
      </c>
      <c r="E22026" s="51"/>
      <c r="F22026" s="114" t="str">
        <f>IF(INDEX(I.Facility.P4IDNumber,2014)="","",INDEX(I.Facility.P4IDNumber,2014))</f>
        <v/>
      </c>
      <c r="G22026" s="51"/>
      <c r="H22026" s="46" t="str">
        <f>IF(AND(I.Developer.P4=TRUE,I.Facility.P4FacilityCount&gt;=2014,F22026=""),"Incomplete","Complete")</f>
        <v>Complete</v>
      </c>
      <c r="I22026" s="48" t="s">
        <v>26391</v>
      </c>
    </row>
    <row r="22027" spans="2:9" ht="15" customHeight="1" x14ac:dyDescent="0.25">
      <c r="B22027" s="55" t="s">
        <v>283</v>
      </c>
      <c r="C22027" s="46">
        <v>2015</v>
      </c>
      <c r="D22027" s="69" t="s">
        <v>29420</v>
      </c>
      <c r="E22027" s="51"/>
      <c r="F22027" s="114" t="str">
        <f>IF(INDEX(I.Facility.P4IDNumber,2015)="","",INDEX(I.Facility.P4IDNumber,2015))</f>
        <v/>
      </c>
      <c r="G22027" s="51"/>
      <c r="H22027" s="46" t="str">
        <f>IF(AND(I.Developer.P4=TRUE,I.Facility.P4FacilityCount&gt;=2015,F22027=""),"Incomplete","Complete")</f>
        <v>Complete</v>
      </c>
      <c r="I22027" s="48" t="s">
        <v>26392</v>
      </c>
    </row>
    <row r="22028" spans="2:9" ht="15" customHeight="1" x14ac:dyDescent="0.25">
      <c r="B22028" s="55" t="s">
        <v>283</v>
      </c>
      <c r="C22028" s="46">
        <v>2016</v>
      </c>
      <c r="D22028" s="69" t="s">
        <v>29420</v>
      </c>
      <c r="E22028" s="51"/>
      <c r="F22028" s="114" t="str">
        <f>IF(INDEX(I.Facility.P4IDNumber,2016)="","",INDEX(I.Facility.P4IDNumber,2016))</f>
        <v/>
      </c>
      <c r="G22028" s="51"/>
      <c r="H22028" s="46" t="str">
        <f>IF(AND(I.Developer.P4=TRUE,I.Facility.P4FacilityCount&gt;=2016,F22028=""),"Incomplete","Complete")</f>
        <v>Complete</v>
      </c>
      <c r="I22028" s="48" t="s">
        <v>26393</v>
      </c>
    </row>
    <row r="22029" spans="2:9" ht="15" customHeight="1" x14ac:dyDescent="0.25">
      <c r="B22029" s="55" t="s">
        <v>283</v>
      </c>
      <c r="C22029" s="46">
        <v>2017</v>
      </c>
      <c r="D22029" s="69" t="s">
        <v>29420</v>
      </c>
      <c r="E22029" s="51"/>
      <c r="F22029" s="114" t="str">
        <f>IF(INDEX(I.Facility.P4IDNumber,2017)="","",INDEX(I.Facility.P4IDNumber,2017))</f>
        <v/>
      </c>
      <c r="G22029" s="51"/>
      <c r="H22029" s="46" t="str">
        <f>IF(AND(I.Developer.P4=TRUE,I.Facility.P4FacilityCount&gt;=2017,F22029=""),"Incomplete","Complete")</f>
        <v>Complete</v>
      </c>
      <c r="I22029" s="48" t="s">
        <v>26394</v>
      </c>
    </row>
    <row r="22030" spans="2:9" ht="15" customHeight="1" x14ac:dyDescent="0.25">
      <c r="B22030" s="55" t="s">
        <v>283</v>
      </c>
      <c r="C22030" s="46">
        <v>2018</v>
      </c>
      <c r="D22030" s="69" t="s">
        <v>29420</v>
      </c>
      <c r="E22030" s="51"/>
      <c r="F22030" s="114" t="str">
        <f>IF(INDEX(I.Facility.P4IDNumber,2018)="","",INDEX(I.Facility.P4IDNumber,2018))</f>
        <v/>
      </c>
      <c r="G22030" s="51"/>
      <c r="H22030" s="46" t="str">
        <f>IF(AND(I.Developer.P4=TRUE,I.Facility.P4FacilityCount&gt;=2018,F22030=""),"Incomplete","Complete")</f>
        <v>Complete</v>
      </c>
      <c r="I22030" s="48" t="s">
        <v>26395</v>
      </c>
    </row>
    <row r="22031" spans="2:9" ht="15" customHeight="1" x14ac:dyDescent="0.25">
      <c r="B22031" s="55" t="s">
        <v>283</v>
      </c>
      <c r="C22031" s="46">
        <v>2019</v>
      </c>
      <c r="D22031" s="69" t="s">
        <v>29420</v>
      </c>
      <c r="E22031" s="51"/>
      <c r="F22031" s="114" t="str">
        <f>IF(INDEX(I.Facility.P4IDNumber,2019)="","",INDEX(I.Facility.P4IDNumber,2019))</f>
        <v/>
      </c>
      <c r="G22031" s="51"/>
      <c r="H22031" s="46" t="str">
        <f>IF(AND(I.Developer.P4=TRUE,I.Facility.P4FacilityCount&gt;=2019,F22031=""),"Incomplete","Complete")</f>
        <v>Complete</v>
      </c>
      <c r="I22031" s="48" t="s">
        <v>26396</v>
      </c>
    </row>
    <row r="22032" spans="2:9" ht="15" customHeight="1" x14ac:dyDescent="0.25">
      <c r="B22032" s="55" t="s">
        <v>283</v>
      </c>
      <c r="C22032" s="46">
        <v>2020</v>
      </c>
      <c r="D22032" s="69" t="s">
        <v>29420</v>
      </c>
      <c r="E22032" s="51"/>
      <c r="F22032" s="114" t="str">
        <f>IF(INDEX(I.Facility.P4IDNumber,2020)="","",INDEX(I.Facility.P4IDNumber,2020))</f>
        <v/>
      </c>
      <c r="G22032" s="51"/>
      <c r="H22032" s="46" t="str">
        <f>IF(AND(I.Developer.P4=TRUE,I.Facility.P4FacilityCount&gt;=2020,F22032=""),"Incomplete","Complete")</f>
        <v>Complete</v>
      </c>
      <c r="I22032" s="48" t="s">
        <v>26397</v>
      </c>
    </row>
    <row r="22033" spans="2:9" ht="15" customHeight="1" x14ac:dyDescent="0.25">
      <c r="B22033" s="55" t="s">
        <v>283</v>
      </c>
      <c r="C22033" s="46">
        <v>2021</v>
      </c>
      <c r="D22033" s="69" t="s">
        <v>29420</v>
      </c>
      <c r="E22033" s="51"/>
      <c r="F22033" s="114" t="str">
        <f>IF(INDEX(I.Facility.P4IDNumber,2021)="","",INDEX(I.Facility.P4IDNumber,2021))</f>
        <v/>
      </c>
      <c r="G22033" s="51"/>
      <c r="H22033" s="46" t="str">
        <f>IF(AND(I.Developer.P4=TRUE,I.Facility.P4FacilityCount&gt;=2021,F22033=""),"Incomplete","Complete")</f>
        <v>Complete</v>
      </c>
      <c r="I22033" s="48" t="s">
        <v>26398</v>
      </c>
    </row>
    <row r="22034" spans="2:9" ht="15" customHeight="1" x14ac:dyDescent="0.25">
      <c r="B22034" s="55" t="s">
        <v>283</v>
      </c>
      <c r="C22034" s="46">
        <v>2022</v>
      </c>
      <c r="D22034" s="69" t="s">
        <v>29420</v>
      </c>
      <c r="E22034" s="51"/>
      <c r="F22034" s="114" t="str">
        <f>IF(INDEX(I.Facility.P4IDNumber,2022)="","",INDEX(I.Facility.P4IDNumber,2022))</f>
        <v/>
      </c>
      <c r="G22034" s="51"/>
      <c r="H22034" s="46" t="str">
        <f>IF(AND(I.Developer.P4=TRUE,I.Facility.P4FacilityCount&gt;=2022,F22034=""),"Incomplete","Complete")</f>
        <v>Complete</v>
      </c>
      <c r="I22034" s="48" t="s">
        <v>26399</v>
      </c>
    </row>
    <row r="22035" spans="2:9" ht="15" customHeight="1" x14ac:dyDescent="0.25">
      <c r="B22035" s="55" t="s">
        <v>283</v>
      </c>
      <c r="C22035" s="46">
        <v>2023</v>
      </c>
      <c r="D22035" s="69" t="s">
        <v>29420</v>
      </c>
      <c r="E22035" s="51"/>
      <c r="F22035" s="114" t="str">
        <f>IF(INDEX(I.Facility.P4IDNumber,2023)="","",INDEX(I.Facility.P4IDNumber,2023))</f>
        <v/>
      </c>
      <c r="G22035" s="51"/>
      <c r="H22035" s="46" t="str">
        <f>IF(AND(I.Developer.P4=TRUE,I.Facility.P4FacilityCount&gt;=2023,F22035=""),"Incomplete","Complete")</f>
        <v>Complete</v>
      </c>
      <c r="I22035" s="48" t="s">
        <v>26400</v>
      </c>
    </row>
    <row r="22036" spans="2:9" ht="15" customHeight="1" x14ac:dyDescent="0.25">
      <c r="B22036" s="55" t="s">
        <v>283</v>
      </c>
      <c r="C22036" s="46">
        <v>2024</v>
      </c>
      <c r="D22036" s="69" t="s">
        <v>29420</v>
      </c>
      <c r="E22036" s="51"/>
      <c r="F22036" s="114" t="str">
        <f>IF(INDEX(I.Facility.P4IDNumber,2024)="","",INDEX(I.Facility.P4IDNumber,2024))</f>
        <v/>
      </c>
      <c r="G22036" s="51"/>
      <c r="H22036" s="46" t="str">
        <f>IF(AND(I.Developer.P4=TRUE,I.Facility.P4FacilityCount&gt;=2024,F22036=""),"Incomplete","Complete")</f>
        <v>Complete</v>
      </c>
      <c r="I22036" s="48" t="s">
        <v>26401</v>
      </c>
    </row>
    <row r="22037" spans="2:9" ht="15" customHeight="1" x14ac:dyDescent="0.25">
      <c r="B22037" s="55" t="s">
        <v>283</v>
      </c>
      <c r="C22037" s="46">
        <v>2025</v>
      </c>
      <c r="D22037" s="69" t="s">
        <v>29420</v>
      </c>
      <c r="E22037" s="51"/>
      <c r="F22037" s="114" t="str">
        <f>IF(INDEX(I.Facility.P4IDNumber,2025)="","",INDEX(I.Facility.P4IDNumber,2025))</f>
        <v/>
      </c>
      <c r="G22037" s="51"/>
      <c r="H22037" s="46" t="str">
        <f>IF(AND(I.Developer.P4=TRUE,I.Facility.P4FacilityCount&gt;=2025,F22037=""),"Incomplete","Complete")</f>
        <v>Complete</v>
      </c>
      <c r="I22037" s="48" t="s">
        <v>26402</v>
      </c>
    </row>
    <row r="22038" spans="2:9" ht="15" customHeight="1" x14ac:dyDescent="0.25">
      <c r="B22038" s="55" t="s">
        <v>283</v>
      </c>
      <c r="C22038" s="46">
        <v>2026</v>
      </c>
      <c r="D22038" s="69" t="s">
        <v>29420</v>
      </c>
      <c r="E22038" s="51"/>
      <c r="F22038" s="114" t="str">
        <f>IF(INDEX(I.Facility.P4IDNumber,2026)="","",INDEX(I.Facility.P4IDNumber,2026))</f>
        <v/>
      </c>
      <c r="G22038" s="51"/>
      <c r="H22038" s="46" t="str">
        <f>IF(AND(I.Developer.P4=TRUE,I.Facility.P4FacilityCount&gt;=2026,F22038=""),"Incomplete","Complete")</f>
        <v>Complete</v>
      </c>
      <c r="I22038" s="48" t="s">
        <v>26403</v>
      </c>
    </row>
    <row r="22039" spans="2:9" ht="15" customHeight="1" x14ac:dyDescent="0.25">
      <c r="B22039" s="55" t="s">
        <v>283</v>
      </c>
      <c r="C22039" s="46">
        <v>2027</v>
      </c>
      <c r="D22039" s="69" t="s">
        <v>29420</v>
      </c>
      <c r="E22039" s="51"/>
      <c r="F22039" s="114" t="str">
        <f>IF(INDEX(I.Facility.P4IDNumber,2027)="","",INDEX(I.Facility.P4IDNumber,2027))</f>
        <v/>
      </c>
      <c r="G22039" s="51"/>
      <c r="H22039" s="46" t="str">
        <f>IF(AND(I.Developer.P4=TRUE,I.Facility.P4FacilityCount&gt;=2027,F22039=""),"Incomplete","Complete")</f>
        <v>Complete</v>
      </c>
      <c r="I22039" s="48" t="s">
        <v>26404</v>
      </c>
    </row>
    <row r="22040" spans="2:9" ht="15" customHeight="1" x14ac:dyDescent="0.25">
      <c r="B22040" s="55" t="s">
        <v>283</v>
      </c>
      <c r="C22040" s="46">
        <v>2028</v>
      </c>
      <c r="D22040" s="69" t="s">
        <v>29420</v>
      </c>
      <c r="E22040" s="51"/>
      <c r="F22040" s="114" t="str">
        <f>IF(INDEX(I.Facility.P4IDNumber,2028)="","",INDEX(I.Facility.P4IDNumber,2028))</f>
        <v/>
      </c>
      <c r="G22040" s="51"/>
      <c r="H22040" s="46" t="str">
        <f>IF(AND(I.Developer.P4=TRUE,I.Facility.P4FacilityCount&gt;=2028,F22040=""),"Incomplete","Complete")</f>
        <v>Complete</v>
      </c>
      <c r="I22040" s="48" t="s">
        <v>26405</v>
      </c>
    </row>
    <row r="22041" spans="2:9" ht="15" customHeight="1" x14ac:dyDescent="0.25">
      <c r="B22041" s="55" t="s">
        <v>283</v>
      </c>
      <c r="C22041" s="46">
        <v>2029</v>
      </c>
      <c r="D22041" s="69" t="s">
        <v>29420</v>
      </c>
      <c r="E22041" s="51"/>
      <c r="F22041" s="114" t="str">
        <f>IF(INDEX(I.Facility.P4IDNumber,2029)="","",INDEX(I.Facility.P4IDNumber,2029))</f>
        <v/>
      </c>
      <c r="G22041" s="51"/>
      <c r="H22041" s="46" t="str">
        <f>IF(AND(I.Developer.P4=TRUE,I.Facility.P4FacilityCount&gt;=2029,F22041=""),"Incomplete","Complete")</f>
        <v>Complete</v>
      </c>
      <c r="I22041" s="48" t="s">
        <v>26406</v>
      </c>
    </row>
    <row r="22042" spans="2:9" ht="15" customHeight="1" x14ac:dyDescent="0.25">
      <c r="B22042" s="55" t="s">
        <v>283</v>
      </c>
      <c r="C22042" s="46">
        <v>2030</v>
      </c>
      <c r="D22042" s="69" t="s">
        <v>29420</v>
      </c>
      <c r="E22042" s="51"/>
      <c r="F22042" s="114" t="str">
        <f>IF(INDEX(I.Facility.P4IDNumber,2030)="","",INDEX(I.Facility.P4IDNumber,2030))</f>
        <v/>
      </c>
      <c r="G22042" s="51"/>
      <c r="H22042" s="46" t="str">
        <f>IF(AND(I.Developer.P4=TRUE,I.Facility.P4FacilityCount&gt;=2030,F22042=""),"Incomplete","Complete")</f>
        <v>Complete</v>
      </c>
      <c r="I22042" s="48" t="s">
        <v>26407</v>
      </c>
    </row>
    <row r="22043" spans="2:9" ht="15" customHeight="1" x14ac:dyDescent="0.25">
      <c r="B22043" s="55" t="s">
        <v>283</v>
      </c>
      <c r="C22043" s="46">
        <v>2031</v>
      </c>
      <c r="D22043" s="69" t="s">
        <v>29420</v>
      </c>
      <c r="E22043" s="51"/>
      <c r="F22043" s="114" t="str">
        <f>IF(INDEX(I.Facility.P4IDNumber,2031)="","",INDEX(I.Facility.P4IDNumber,2031))</f>
        <v/>
      </c>
      <c r="G22043" s="51"/>
      <c r="H22043" s="46" t="str">
        <f>IF(AND(I.Developer.P4=TRUE,I.Facility.P4FacilityCount&gt;=2031,F22043=""),"Incomplete","Complete")</f>
        <v>Complete</v>
      </c>
      <c r="I22043" s="48" t="s">
        <v>26408</v>
      </c>
    </row>
    <row r="22044" spans="2:9" ht="15" customHeight="1" x14ac:dyDescent="0.25">
      <c r="B22044" s="55" t="s">
        <v>283</v>
      </c>
      <c r="C22044" s="46">
        <v>2032</v>
      </c>
      <c r="D22044" s="69" t="s">
        <v>29420</v>
      </c>
      <c r="E22044" s="51"/>
      <c r="F22044" s="114" t="str">
        <f>IF(INDEX(I.Facility.P4IDNumber,2032)="","",INDEX(I.Facility.P4IDNumber,2032))</f>
        <v/>
      </c>
      <c r="G22044" s="51"/>
      <c r="H22044" s="46" t="str">
        <f>IF(AND(I.Developer.P4=TRUE,I.Facility.P4FacilityCount&gt;=2032,F22044=""),"Incomplete","Complete")</f>
        <v>Complete</v>
      </c>
      <c r="I22044" s="48" t="s">
        <v>26409</v>
      </c>
    </row>
    <row r="22045" spans="2:9" ht="15" customHeight="1" x14ac:dyDescent="0.25">
      <c r="B22045" s="55" t="s">
        <v>283</v>
      </c>
      <c r="C22045" s="46">
        <v>2033</v>
      </c>
      <c r="D22045" s="69" t="s">
        <v>29420</v>
      </c>
      <c r="E22045" s="51"/>
      <c r="F22045" s="114" t="str">
        <f>IF(INDEX(I.Facility.P4IDNumber,2033)="","",INDEX(I.Facility.P4IDNumber,2033))</f>
        <v/>
      </c>
      <c r="G22045" s="51"/>
      <c r="H22045" s="46" t="str">
        <f>IF(AND(I.Developer.P4=TRUE,I.Facility.P4FacilityCount&gt;=2033,F22045=""),"Incomplete","Complete")</f>
        <v>Complete</v>
      </c>
      <c r="I22045" s="48" t="s">
        <v>26410</v>
      </c>
    </row>
    <row r="22046" spans="2:9" ht="15" customHeight="1" x14ac:dyDescent="0.25">
      <c r="B22046" s="55" t="s">
        <v>283</v>
      </c>
      <c r="C22046" s="46">
        <v>2034</v>
      </c>
      <c r="D22046" s="69" t="s">
        <v>29420</v>
      </c>
      <c r="E22046" s="51"/>
      <c r="F22046" s="114" t="str">
        <f>IF(INDEX(I.Facility.P4IDNumber,2034)="","",INDEX(I.Facility.P4IDNumber,2034))</f>
        <v/>
      </c>
      <c r="G22046" s="51"/>
      <c r="H22046" s="46" t="str">
        <f>IF(AND(I.Developer.P4=TRUE,I.Facility.P4FacilityCount&gt;=2034,F22046=""),"Incomplete","Complete")</f>
        <v>Complete</v>
      </c>
      <c r="I22046" s="48" t="s">
        <v>26411</v>
      </c>
    </row>
    <row r="22047" spans="2:9" ht="15" customHeight="1" x14ac:dyDescent="0.25">
      <c r="B22047" s="55" t="s">
        <v>283</v>
      </c>
      <c r="C22047" s="46">
        <v>2035</v>
      </c>
      <c r="D22047" s="69" t="s">
        <v>29420</v>
      </c>
      <c r="E22047" s="51"/>
      <c r="F22047" s="114" t="str">
        <f>IF(INDEX(I.Facility.P4IDNumber,2035)="","",INDEX(I.Facility.P4IDNumber,2035))</f>
        <v/>
      </c>
      <c r="G22047" s="51"/>
      <c r="H22047" s="46" t="str">
        <f>IF(AND(I.Developer.P4=TRUE,I.Facility.P4FacilityCount&gt;=2035,F22047=""),"Incomplete","Complete")</f>
        <v>Complete</v>
      </c>
      <c r="I22047" s="48" t="s">
        <v>26412</v>
      </c>
    </row>
    <row r="22048" spans="2:9" ht="15" customHeight="1" x14ac:dyDescent="0.25">
      <c r="B22048" s="55" t="s">
        <v>283</v>
      </c>
      <c r="C22048" s="46">
        <v>2036</v>
      </c>
      <c r="D22048" s="69" t="s">
        <v>29420</v>
      </c>
      <c r="E22048" s="51"/>
      <c r="F22048" s="114" t="str">
        <f>IF(INDEX(I.Facility.P4IDNumber,2036)="","",INDEX(I.Facility.P4IDNumber,2036))</f>
        <v/>
      </c>
      <c r="G22048" s="51"/>
      <c r="H22048" s="46" t="str">
        <f>IF(AND(I.Developer.P4=TRUE,I.Facility.P4FacilityCount&gt;=2036,F22048=""),"Incomplete","Complete")</f>
        <v>Complete</v>
      </c>
      <c r="I22048" s="48" t="s">
        <v>26413</v>
      </c>
    </row>
    <row r="22049" spans="2:9" ht="15" customHeight="1" x14ac:dyDescent="0.25">
      <c r="B22049" s="55" t="s">
        <v>283</v>
      </c>
      <c r="C22049" s="46">
        <v>2037</v>
      </c>
      <c r="D22049" s="69" t="s">
        <v>29420</v>
      </c>
      <c r="E22049" s="51"/>
      <c r="F22049" s="114" t="str">
        <f>IF(INDEX(I.Facility.P4IDNumber,2037)="","",INDEX(I.Facility.P4IDNumber,2037))</f>
        <v/>
      </c>
      <c r="G22049" s="51"/>
      <c r="H22049" s="46" t="str">
        <f>IF(AND(I.Developer.P4=TRUE,I.Facility.P4FacilityCount&gt;=2037,F22049=""),"Incomplete","Complete")</f>
        <v>Complete</v>
      </c>
      <c r="I22049" s="48" t="s">
        <v>26414</v>
      </c>
    </row>
    <row r="22050" spans="2:9" ht="15" customHeight="1" x14ac:dyDescent="0.25">
      <c r="B22050" s="55" t="s">
        <v>283</v>
      </c>
      <c r="C22050" s="46">
        <v>2038</v>
      </c>
      <c r="D22050" s="69" t="s">
        <v>29420</v>
      </c>
      <c r="E22050" s="51"/>
      <c r="F22050" s="114" t="str">
        <f>IF(INDEX(I.Facility.P4IDNumber,2038)="","",INDEX(I.Facility.P4IDNumber,2038))</f>
        <v/>
      </c>
      <c r="G22050" s="51"/>
      <c r="H22050" s="46" t="str">
        <f>IF(AND(I.Developer.P4=TRUE,I.Facility.P4FacilityCount&gt;=2038,F22050=""),"Incomplete","Complete")</f>
        <v>Complete</v>
      </c>
      <c r="I22050" s="48" t="s">
        <v>26415</v>
      </c>
    </row>
    <row r="22051" spans="2:9" ht="15" customHeight="1" x14ac:dyDescent="0.25">
      <c r="B22051" s="55" t="s">
        <v>283</v>
      </c>
      <c r="C22051" s="46">
        <v>2039</v>
      </c>
      <c r="D22051" s="69" t="s">
        <v>29420</v>
      </c>
      <c r="E22051" s="51"/>
      <c r="F22051" s="114" t="str">
        <f>IF(INDEX(I.Facility.P4IDNumber,2039)="","",INDEX(I.Facility.P4IDNumber,2039))</f>
        <v/>
      </c>
      <c r="G22051" s="51"/>
      <c r="H22051" s="46" t="str">
        <f>IF(AND(I.Developer.P4=TRUE,I.Facility.P4FacilityCount&gt;=2039,F22051=""),"Incomplete","Complete")</f>
        <v>Complete</v>
      </c>
      <c r="I22051" s="48" t="s">
        <v>26416</v>
      </c>
    </row>
    <row r="22052" spans="2:9" ht="15" customHeight="1" x14ac:dyDescent="0.25">
      <c r="B22052" s="55" t="s">
        <v>283</v>
      </c>
      <c r="C22052" s="46">
        <v>2040</v>
      </c>
      <c r="D22052" s="69" t="s">
        <v>29420</v>
      </c>
      <c r="E22052" s="51"/>
      <c r="F22052" s="114" t="str">
        <f>IF(INDEX(I.Facility.P4IDNumber,2040)="","",INDEX(I.Facility.P4IDNumber,2040))</f>
        <v/>
      </c>
      <c r="G22052" s="51"/>
      <c r="H22052" s="46" t="str">
        <f>IF(AND(I.Developer.P4=TRUE,I.Facility.P4FacilityCount&gt;=2040,F22052=""),"Incomplete","Complete")</f>
        <v>Complete</v>
      </c>
      <c r="I22052" s="48" t="s">
        <v>26417</v>
      </c>
    </row>
    <row r="22053" spans="2:9" ht="15" customHeight="1" x14ac:dyDescent="0.25">
      <c r="B22053" s="55" t="s">
        <v>283</v>
      </c>
      <c r="C22053" s="46">
        <v>2041</v>
      </c>
      <c r="D22053" s="69" t="s">
        <v>29420</v>
      </c>
      <c r="E22053" s="51"/>
      <c r="F22053" s="114" t="str">
        <f>IF(INDEX(I.Facility.P4IDNumber,2041)="","",INDEX(I.Facility.P4IDNumber,2041))</f>
        <v/>
      </c>
      <c r="G22053" s="51"/>
      <c r="H22053" s="46" t="str">
        <f>IF(AND(I.Developer.P4=TRUE,I.Facility.P4FacilityCount&gt;=2041,F22053=""),"Incomplete","Complete")</f>
        <v>Complete</v>
      </c>
      <c r="I22053" s="48" t="s">
        <v>26418</v>
      </c>
    </row>
    <row r="22054" spans="2:9" ht="15" customHeight="1" x14ac:dyDescent="0.25">
      <c r="B22054" s="55" t="s">
        <v>283</v>
      </c>
      <c r="C22054" s="46">
        <v>2042</v>
      </c>
      <c r="D22054" s="69" t="s">
        <v>29420</v>
      </c>
      <c r="E22054" s="51"/>
      <c r="F22054" s="114" t="str">
        <f>IF(INDEX(I.Facility.P4IDNumber,2042)="","",INDEX(I.Facility.P4IDNumber,2042))</f>
        <v/>
      </c>
      <c r="G22054" s="51"/>
      <c r="H22054" s="46" t="str">
        <f>IF(AND(I.Developer.P4=TRUE,I.Facility.P4FacilityCount&gt;=2042,F22054=""),"Incomplete","Complete")</f>
        <v>Complete</v>
      </c>
      <c r="I22054" s="48" t="s">
        <v>26419</v>
      </c>
    </row>
    <row r="22055" spans="2:9" ht="15" customHeight="1" x14ac:dyDescent="0.25">
      <c r="B22055" s="55" t="s">
        <v>283</v>
      </c>
      <c r="C22055" s="46">
        <v>2043</v>
      </c>
      <c r="D22055" s="69" t="s">
        <v>29420</v>
      </c>
      <c r="E22055" s="51"/>
      <c r="F22055" s="114" t="str">
        <f>IF(INDEX(I.Facility.P4IDNumber,2043)="","",INDEX(I.Facility.P4IDNumber,2043))</f>
        <v/>
      </c>
      <c r="G22055" s="51"/>
      <c r="H22055" s="46" t="str">
        <f>IF(AND(I.Developer.P4=TRUE,I.Facility.P4FacilityCount&gt;=2043,F22055=""),"Incomplete","Complete")</f>
        <v>Complete</v>
      </c>
      <c r="I22055" s="48" t="s">
        <v>26420</v>
      </c>
    </row>
    <row r="22056" spans="2:9" ht="15" customHeight="1" x14ac:dyDescent="0.25">
      <c r="B22056" s="55" t="s">
        <v>283</v>
      </c>
      <c r="C22056" s="46">
        <v>2044</v>
      </c>
      <c r="D22056" s="69" t="s">
        <v>29420</v>
      </c>
      <c r="E22056" s="51"/>
      <c r="F22056" s="114" t="str">
        <f>IF(INDEX(I.Facility.P4IDNumber,2044)="","",INDEX(I.Facility.P4IDNumber,2044))</f>
        <v/>
      </c>
      <c r="G22056" s="51"/>
      <c r="H22056" s="46" t="str">
        <f>IF(AND(I.Developer.P4=TRUE,I.Facility.P4FacilityCount&gt;=2044,F22056=""),"Incomplete","Complete")</f>
        <v>Complete</v>
      </c>
      <c r="I22056" s="48" t="s">
        <v>26421</v>
      </c>
    </row>
    <row r="22057" spans="2:9" ht="15" customHeight="1" x14ac:dyDescent="0.25">
      <c r="B22057" s="55" t="s">
        <v>283</v>
      </c>
      <c r="C22057" s="46">
        <v>2045</v>
      </c>
      <c r="D22057" s="69" t="s">
        <v>29420</v>
      </c>
      <c r="E22057" s="51"/>
      <c r="F22057" s="114" t="str">
        <f>IF(INDEX(I.Facility.P4IDNumber,2045)="","",INDEX(I.Facility.P4IDNumber,2045))</f>
        <v/>
      </c>
      <c r="G22057" s="51"/>
      <c r="H22057" s="46" t="str">
        <f>IF(AND(I.Developer.P4=TRUE,I.Facility.P4FacilityCount&gt;=2045,F22057=""),"Incomplete","Complete")</f>
        <v>Complete</v>
      </c>
      <c r="I22057" s="48" t="s">
        <v>26422</v>
      </c>
    </row>
    <row r="22058" spans="2:9" ht="15" customHeight="1" x14ac:dyDescent="0.25">
      <c r="B22058" s="55" t="s">
        <v>283</v>
      </c>
      <c r="C22058" s="46">
        <v>2046</v>
      </c>
      <c r="D22058" s="69" t="s">
        <v>29420</v>
      </c>
      <c r="E22058" s="51"/>
      <c r="F22058" s="114" t="str">
        <f>IF(INDEX(I.Facility.P4IDNumber,2046)="","",INDEX(I.Facility.P4IDNumber,2046))</f>
        <v/>
      </c>
      <c r="G22058" s="51"/>
      <c r="H22058" s="46" t="str">
        <f>IF(AND(I.Developer.P4=TRUE,I.Facility.P4FacilityCount&gt;=2046,F22058=""),"Incomplete","Complete")</f>
        <v>Complete</v>
      </c>
      <c r="I22058" s="48" t="s">
        <v>26423</v>
      </c>
    </row>
    <row r="22059" spans="2:9" ht="15" customHeight="1" x14ac:dyDescent="0.25">
      <c r="B22059" s="55" t="s">
        <v>283</v>
      </c>
      <c r="C22059" s="46">
        <v>2047</v>
      </c>
      <c r="D22059" s="69" t="s">
        <v>29420</v>
      </c>
      <c r="E22059" s="51"/>
      <c r="F22059" s="114" t="str">
        <f>IF(INDEX(I.Facility.P4IDNumber,2047)="","",INDEX(I.Facility.P4IDNumber,2047))</f>
        <v/>
      </c>
      <c r="G22059" s="51"/>
      <c r="H22059" s="46" t="str">
        <f>IF(AND(I.Developer.P4=TRUE,I.Facility.P4FacilityCount&gt;=2047,F22059=""),"Incomplete","Complete")</f>
        <v>Complete</v>
      </c>
      <c r="I22059" s="48" t="s">
        <v>26424</v>
      </c>
    </row>
    <row r="22060" spans="2:9" ht="15" customHeight="1" x14ac:dyDescent="0.25">
      <c r="B22060" s="55" t="s">
        <v>283</v>
      </c>
      <c r="C22060" s="46">
        <v>2048</v>
      </c>
      <c r="D22060" s="69" t="s">
        <v>29420</v>
      </c>
      <c r="E22060" s="51"/>
      <c r="F22060" s="114" t="str">
        <f>IF(INDEX(I.Facility.P4IDNumber,2048)="","",INDEX(I.Facility.P4IDNumber,2048))</f>
        <v/>
      </c>
      <c r="G22060" s="51"/>
      <c r="H22060" s="46" t="str">
        <f>IF(AND(I.Developer.P4=TRUE,I.Facility.P4FacilityCount&gt;=2048,F22060=""),"Incomplete","Complete")</f>
        <v>Complete</v>
      </c>
      <c r="I22060" s="48" t="s">
        <v>26425</v>
      </c>
    </row>
    <row r="22061" spans="2:9" ht="15" customHeight="1" x14ac:dyDescent="0.25">
      <c r="B22061" s="55" t="s">
        <v>283</v>
      </c>
      <c r="C22061" s="46">
        <v>2049</v>
      </c>
      <c r="D22061" s="69" t="s">
        <v>29420</v>
      </c>
      <c r="E22061" s="51"/>
      <c r="F22061" s="114" t="str">
        <f>IF(INDEX(I.Facility.P4IDNumber,2049)="","",INDEX(I.Facility.P4IDNumber,2049))</f>
        <v/>
      </c>
      <c r="G22061" s="51"/>
      <c r="H22061" s="46" t="str">
        <f>IF(AND(I.Developer.P4=TRUE,I.Facility.P4FacilityCount&gt;=2049,F22061=""),"Incomplete","Complete")</f>
        <v>Complete</v>
      </c>
      <c r="I22061" s="48" t="s">
        <v>26426</v>
      </c>
    </row>
    <row r="22062" spans="2:9" ht="15" customHeight="1" x14ac:dyDescent="0.25">
      <c r="B22062" s="55" t="s">
        <v>283</v>
      </c>
      <c r="C22062" s="46">
        <v>2050</v>
      </c>
      <c r="D22062" s="69" t="s">
        <v>29420</v>
      </c>
      <c r="E22062" s="51"/>
      <c r="F22062" s="114" t="str">
        <f>IF(INDEX(I.Facility.P4IDNumber,2050)="","",INDEX(I.Facility.P4IDNumber,2050))</f>
        <v/>
      </c>
      <c r="G22062" s="51"/>
      <c r="H22062" s="46" t="str">
        <f>IF(AND(I.Developer.P4=TRUE,I.Facility.P4FacilityCount&gt;=2050,F22062=""),"Incomplete","Complete")</f>
        <v>Complete</v>
      </c>
      <c r="I22062" s="48" t="s">
        <v>26427</v>
      </c>
    </row>
    <row r="22063" spans="2:9" ht="15" customHeight="1" x14ac:dyDescent="0.25">
      <c r="B22063" s="55" t="s">
        <v>283</v>
      </c>
      <c r="C22063" s="46">
        <v>2051</v>
      </c>
      <c r="D22063" s="69" t="s">
        <v>29420</v>
      </c>
      <c r="E22063" s="51"/>
      <c r="F22063" s="114" t="str">
        <f>IF(INDEX(I.Facility.P4IDNumber,2051)="","",INDEX(I.Facility.P4IDNumber,2051))</f>
        <v/>
      </c>
      <c r="G22063" s="51"/>
      <c r="H22063" s="46" t="str">
        <f>IF(AND(I.Developer.P4=TRUE,I.Facility.P4FacilityCount&gt;=2051,F22063=""),"Incomplete","Complete")</f>
        <v>Complete</v>
      </c>
      <c r="I22063" s="48" t="s">
        <v>26428</v>
      </c>
    </row>
    <row r="22064" spans="2:9" ht="15" customHeight="1" x14ac:dyDescent="0.25">
      <c r="B22064" s="55" t="s">
        <v>283</v>
      </c>
      <c r="C22064" s="46">
        <v>2052</v>
      </c>
      <c r="D22064" s="69" t="s">
        <v>29420</v>
      </c>
      <c r="E22064" s="51"/>
      <c r="F22064" s="114" t="str">
        <f>IF(INDEX(I.Facility.P4IDNumber,2052)="","",INDEX(I.Facility.P4IDNumber,2052))</f>
        <v/>
      </c>
      <c r="G22064" s="51"/>
      <c r="H22064" s="46" t="str">
        <f>IF(AND(I.Developer.P4=TRUE,I.Facility.P4FacilityCount&gt;=2052,F22064=""),"Incomplete","Complete")</f>
        <v>Complete</v>
      </c>
      <c r="I22064" s="48" t="s">
        <v>26429</v>
      </c>
    </row>
    <row r="22065" spans="2:9" ht="15" customHeight="1" x14ac:dyDescent="0.25">
      <c r="B22065" s="55" t="s">
        <v>283</v>
      </c>
      <c r="C22065" s="46">
        <v>2053</v>
      </c>
      <c r="D22065" s="69" t="s">
        <v>29420</v>
      </c>
      <c r="E22065" s="51"/>
      <c r="F22065" s="114" t="str">
        <f>IF(INDEX(I.Facility.P4IDNumber,2053)="","",INDEX(I.Facility.P4IDNumber,2053))</f>
        <v/>
      </c>
      <c r="G22065" s="51"/>
      <c r="H22065" s="46" t="str">
        <f>IF(AND(I.Developer.P4=TRUE,I.Facility.P4FacilityCount&gt;=2053,F22065=""),"Incomplete","Complete")</f>
        <v>Complete</v>
      </c>
      <c r="I22065" s="48" t="s">
        <v>26430</v>
      </c>
    </row>
    <row r="22066" spans="2:9" ht="15" customHeight="1" x14ac:dyDescent="0.25">
      <c r="B22066" s="55" t="s">
        <v>283</v>
      </c>
      <c r="C22066" s="46">
        <v>2054</v>
      </c>
      <c r="D22066" s="69" t="s">
        <v>29420</v>
      </c>
      <c r="E22066" s="51"/>
      <c r="F22066" s="114" t="str">
        <f>IF(INDEX(I.Facility.P4IDNumber,2054)="","",INDEX(I.Facility.P4IDNumber,2054))</f>
        <v/>
      </c>
      <c r="G22066" s="51"/>
      <c r="H22066" s="46" t="str">
        <f>IF(AND(I.Developer.P4=TRUE,I.Facility.P4FacilityCount&gt;=2054,F22066=""),"Incomplete","Complete")</f>
        <v>Complete</v>
      </c>
      <c r="I22066" s="48" t="s">
        <v>26431</v>
      </c>
    </row>
    <row r="22067" spans="2:9" ht="15" customHeight="1" x14ac:dyDescent="0.25">
      <c r="B22067" s="55" t="s">
        <v>283</v>
      </c>
      <c r="C22067" s="46">
        <v>2055</v>
      </c>
      <c r="D22067" s="69" t="s">
        <v>29420</v>
      </c>
      <c r="E22067" s="51"/>
      <c r="F22067" s="114" t="str">
        <f>IF(INDEX(I.Facility.P4IDNumber,2055)="","",INDEX(I.Facility.P4IDNumber,2055))</f>
        <v/>
      </c>
      <c r="G22067" s="51"/>
      <c r="H22067" s="46" t="str">
        <f>IF(AND(I.Developer.P4=TRUE,I.Facility.P4FacilityCount&gt;=2055,F22067=""),"Incomplete","Complete")</f>
        <v>Complete</v>
      </c>
      <c r="I22067" s="48" t="s">
        <v>26432</v>
      </c>
    </row>
    <row r="22068" spans="2:9" ht="15" customHeight="1" x14ac:dyDescent="0.25">
      <c r="B22068" s="55" t="s">
        <v>283</v>
      </c>
      <c r="C22068" s="46">
        <v>2056</v>
      </c>
      <c r="D22068" s="69" t="s">
        <v>29420</v>
      </c>
      <c r="E22068" s="51"/>
      <c r="F22068" s="114" t="str">
        <f>IF(INDEX(I.Facility.P4IDNumber,2056)="","",INDEX(I.Facility.P4IDNumber,2056))</f>
        <v/>
      </c>
      <c r="G22068" s="51"/>
      <c r="H22068" s="46" t="str">
        <f>IF(AND(I.Developer.P4=TRUE,I.Facility.P4FacilityCount&gt;=2056,F22068=""),"Incomplete","Complete")</f>
        <v>Complete</v>
      </c>
      <c r="I22068" s="48" t="s">
        <v>26433</v>
      </c>
    </row>
    <row r="22069" spans="2:9" ht="15" customHeight="1" x14ac:dyDescent="0.25">
      <c r="B22069" s="55" t="s">
        <v>283</v>
      </c>
      <c r="C22069" s="46">
        <v>2057</v>
      </c>
      <c r="D22069" s="69" t="s">
        <v>29420</v>
      </c>
      <c r="E22069" s="51"/>
      <c r="F22069" s="114" t="str">
        <f>IF(INDEX(I.Facility.P4IDNumber,2057)="","",INDEX(I.Facility.P4IDNumber,2057))</f>
        <v/>
      </c>
      <c r="G22069" s="51"/>
      <c r="H22069" s="46" t="str">
        <f>IF(AND(I.Developer.P4=TRUE,I.Facility.P4FacilityCount&gt;=2057,F22069=""),"Incomplete","Complete")</f>
        <v>Complete</v>
      </c>
      <c r="I22069" s="48" t="s">
        <v>26434</v>
      </c>
    </row>
    <row r="22070" spans="2:9" ht="15" customHeight="1" x14ac:dyDescent="0.25">
      <c r="B22070" s="55" t="s">
        <v>283</v>
      </c>
      <c r="C22070" s="46">
        <v>2058</v>
      </c>
      <c r="D22070" s="69" t="s">
        <v>29420</v>
      </c>
      <c r="E22070" s="51"/>
      <c r="F22070" s="114" t="str">
        <f>IF(INDEX(I.Facility.P4IDNumber,2058)="","",INDEX(I.Facility.P4IDNumber,2058))</f>
        <v/>
      </c>
      <c r="G22070" s="51"/>
      <c r="H22070" s="46" t="str">
        <f>IF(AND(I.Developer.P4=TRUE,I.Facility.P4FacilityCount&gt;=2058,F22070=""),"Incomplete","Complete")</f>
        <v>Complete</v>
      </c>
      <c r="I22070" s="48" t="s">
        <v>26435</v>
      </c>
    </row>
    <row r="22071" spans="2:9" ht="15" customHeight="1" x14ac:dyDescent="0.25">
      <c r="B22071" s="55" t="s">
        <v>283</v>
      </c>
      <c r="C22071" s="46">
        <v>2059</v>
      </c>
      <c r="D22071" s="69" t="s">
        <v>29420</v>
      </c>
      <c r="E22071" s="51"/>
      <c r="F22071" s="114" t="str">
        <f>IF(INDEX(I.Facility.P4IDNumber,2059)="","",INDEX(I.Facility.P4IDNumber,2059))</f>
        <v/>
      </c>
      <c r="G22071" s="51"/>
      <c r="H22071" s="46" t="str">
        <f>IF(AND(I.Developer.P4=TRUE,I.Facility.P4FacilityCount&gt;=2059,F22071=""),"Incomplete","Complete")</f>
        <v>Complete</v>
      </c>
      <c r="I22071" s="48" t="s">
        <v>26436</v>
      </c>
    </row>
    <row r="22072" spans="2:9" ht="15" customHeight="1" x14ac:dyDescent="0.25">
      <c r="B22072" s="55" t="s">
        <v>283</v>
      </c>
      <c r="C22072" s="46">
        <v>2060</v>
      </c>
      <c r="D22072" s="69" t="s">
        <v>29420</v>
      </c>
      <c r="E22072" s="51"/>
      <c r="F22072" s="114" t="str">
        <f>IF(INDEX(I.Facility.P4IDNumber,2060)="","",INDEX(I.Facility.P4IDNumber,2060))</f>
        <v/>
      </c>
      <c r="G22072" s="51"/>
      <c r="H22072" s="46" t="str">
        <f>IF(AND(I.Developer.P4=TRUE,I.Facility.P4FacilityCount&gt;=2060,F22072=""),"Incomplete","Complete")</f>
        <v>Complete</v>
      </c>
      <c r="I22072" s="48" t="s">
        <v>26437</v>
      </c>
    </row>
    <row r="22073" spans="2:9" ht="15" customHeight="1" x14ac:dyDescent="0.25">
      <c r="B22073" s="55" t="s">
        <v>283</v>
      </c>
      <c r="C22073" s="46">
        <v>2061</v>
      </c>
      <c r="D22073" s="69" t="s">
        <v>29420</v>
      </c>
      <c r="E22073" s="51"/>
      <c r="F22073" s="114" t="str">
        <f>IF(INDEX(I.Facility.P4IDNumber,2061)="","",INDEX(I.Facility.P4IDNumber,2061))</f>
        <v/>
      </c>
      <c r="G22073" s="51"/>
      <c r="H22073" s="46" t="str">
        <f>IF(AND(I.Developer.P4=TRUE,I.Facility.P4FacilityCount&gt;=2061,F22073=""),"Incomplete","Complete")</f>
        <v>Complete</v>
      </c>
      <c r="I22073" s="48" t="s">
        <v>26438</v>
      </c>
    </row>
    <row r="22074" spans="2:9" ht="15" customHeight="1" x14ac:dyDescent="0.25">
      <c r="B22074" s="55" t="s">
        <v>283</v>
      </c>
      <c r="C22074" s="46">
        <v>2062</v>
      </c>
      <c r="D22074" s="69" t="s">
        <v>29420</v>
      </c>
      <c r="E22074" s="51"/>
      <c r="F22074" s="114" t="str">
        <f>IF(INDEX(I.Facility.P4IDNumber,2062)="","",INDEX(I.Facility.P4IDNumber,2062))</f>
        <v/>
      </c>
      <c r="G22074" s="51"/>
      <c r="H22074" s="46" t="str">
        <f>IF(AND(I.Developer.P4=TRUE,I.Facility.P4FacilityCount&gt;=2062,F22074=""),"Incomplete","Complete")</f>
        <v>Complete</v>
      </c>
      <c r="I22074" s="48" t="s">
        <v>26439</v>
      </c>
    </row>
    <row r="22075" spans="2:9" ht="15" customHeight="1" x14ac:dyDescent="0.25">
      <c r="B22075" s="55" t="s">
        <v>283</v>
      </c>
      <c r="C22075" s="46">
        <v>2063</v>
      </c>
      <c r="D22075" s="69" t="s">
        <v>29420</v>
      </c>
      <c r="E22075" s="51"/>
      <c r="F22075" s="114" t="str">
        <f>IF(INDEX(I.Facility.P4IDNumber,2063)="","",INDEX(I.Facility.P4IDNumber,2063))</f>
        <v/>
      </c>
      <c r="G22075" s="51"/>
      <c r="H22075" s="46" t="str">
        <f>IF(AND(I.Developer.P4=TRUE,I.Facility.P4FacilityCount&gt;=2063,F22075=""),"Incomplete","Complete")</f>
        <v>Complete</v>
      </c>
      <c r="I22075" s="48" t="s">
        <v>26440</v>
      </c>
    </row>
    <row r="22076" spans="2:9" ht="15" customHeight="1" x14ac:dyDescent="0.25">
      <c r="B22076" s="55" t="s">
        <v>283</v>
      </c>
      <c r="C22076" s="46">
        <v>2064</v>
      </c>
      <c r="D22076" s="69" t="s">
        <v>29420</v>
      </c>
      <c r="E22076" s="51"/>
      <c r="F22076" s="114" t="str">
        <f>IF(INDEX(I.Facility.P4IDNumber,2064)="","",INDEX(I.Facility.P4IDNumber,2064))</f>
        <v/>
      </c>
      <c r="G22076" s="51"/>
      <c r="H22076" s="46" t="str">
        <f>IF(AND(I.Developer.P4=TRUE,I.Facility.P4FacilityCount&gt;=2064,F22076=""),"Incomplete","Complete")</f>
        <v>Complete</v>
      </c>
      <c r="I22076" s="48" t="s">
        <v>26441</v>
      </c>
    </row>
    <row r="22077" spans="2:9" ht="15" customHeight="1" x14ac:dyDescent="0.25">
      <c r="B22077" s="55" t="s">
        <v>283</v>
      </c>
      <c r="C22077" s="46">
        <v>2065</v>
      </c>
      <c r="D22077" s="69" t="s">
        <v>29420</v>
      </c>
      <c r="E22077" s="51"/>
      <c r="F22077" s="114" t="str">
        <f>IF(INDEX(I.Facility.P4IDNumber,2065)="","",INDEX(I.Facility.P4IDNumber,2065))</f>
        <v/>
      </c>
      <c r="G22077" s="51"/>
      <c r="H22077" s="46" t="str">
        <f>IF(AND(I.Developer.P4=TRUE,I.Facility.P4FacilityCount&gt;=2065,F22077=""),"Incomplete","Complete")</f>
        <v>Complete</v>
      </c>
      <c r="I22077" s="48" t="s">
        <v>26442</v>
      </c>
    </row>
    <row r="22078" spans="2:9" ht="15" customHeight="1" x14ac:dyDescent="0.25">
      <c r="B22078" s="55" t="s">
        <v>283</v>
      </c>
      <c r="C22078" s="46">
        <v>2066</v>
      </c>
      <c r="D22078" s="69" t="s">
        <v>29420</v>
      </c>
      <c r="E22078" s="51"/>
      <c r="F22078" s="114" t="str">
        <f>IF(INDEX(I.Facility.P4IDNumber,2066)="","",INDEX(I.Facility.P4IDNumber,2066))</f>
        <v/>
      </c>
      <c r="G22078" s="51"/>
      <c r="H22078" s="46" t="str">
        <f>IF(AND(I.Developer.P4=TRUE,I.Facility.P4FacilityCount&gt;=2066,F22078=""),"Incomplete","Complete")</f>
        <v>Complete</v>
      </c>
      <c r="I22078" s="48" t="s">
        <v>26443</v>
      </c>
    </row>
    <row r="22079" spans="2:9" ht="15" customHeight="1" x14ac:dyDescent="0.25">
      <c r="B22079" s="55" t="s">
        <v>283</v>
      </c>
      <c r="C22079" s="46">
        <v>2067</v>
      </c>
      <c r="D22079" s="69" t="s">
        <v>29420</v>
      </c>
      <c r="E22079" s="51"/>
      <c r="F22079" s="114" t="str">
        <f>IF(INDEX(I.Facility.P4IDNumber,2067)="","",INDEX(I.Facility.P4IDNumber,2067))</f>
        <v/>
      </c>
      <c r="G22079" s="51"/>
      <c r="H22079" s="46" t="str">
        <f>IF(AND(I.Developer.P4=TRUE,I.Facility.P4FacilityCount&gt;=2067,F22079=""),"Incomplete","Complete")</f>
        <v>Complete</v>
      </c>
      <c r="I22079" s="48" t="s">
        <v>26444</v>
      </c>
    </row>
    <row r="22080" spans="2:9" ht="15" customHeight="1" x14ac:dyDescent="0.25">
      <c r="B22080" s="55" t="s">
        <v>283</v>
      </c>
      <c r="C22080" s="46">
        <v>2068</v>
      </c>
      <c r="D22080" s="69" t="s">
        <v>29420</v>
      </c>
      <c r="E22080" s="51"/>
      <c r="F22080" s="114" t="str">
        <f>IF(INDEX(I.Facility.P4IDNumber,2068)="","",INDEX(I.Facility.P4IDNumber,2068))</f>
        <v/>
      </c>
      <c r="G22080" s="51"/>
      <c r="H22080" s="46" t="str">
        <f>IF(AND(I.Developer.P4=TRUE,I.Facility.P4FacilityCount&gt;=2068,F22080=""),"Incomplete","Complete")</f>
        <v>Complete</v>
      </c>
      <c r="I22080" s="48" t="s">
        <v>26445</v>
      </c>
    </row>
    <row r="22081" spans="2:9" ht="15" customHeight="1" x14ac:dyDescent="0.25">
      <c r="B22081" s="55" t="s">
        <v>283</v>
      </c>
      <c r="C22081" s="46">
        <v>2069</v>
      </c>
      <c r="D22081" s="69" t="s">
        <v>29420</v>
      </c>
      <c r="E22081" s="51"/>
      <c r="F22081" s="114" t="str">
        <f>IF(INDEX(I.Facility.P4IDNumber,2069)="","",INDEX(I.Facility.P4IDNumber,2069))</f>
        <v/>
      </c>
      <c r="G22081" s="51"/>
      <c r="H22081" s="46" t="str">
        <f>IF(AND(I.Developer.P4=TRUE,I.Facility.P4FacilityCount&gt;=2069,F22081=""),"Incomplete","Complete")</f>
        <v>Complete</v>
      </c>
      <c r="I22081" s="48" t="s">
        <v>26446</v>
      </c>
    </row>
    <row r="22082" spans="2:9" ht="15" customHeight="1" x14ac:dyDescent="0.25">
      <c r="B22082" s="55" t="s">
        <v>283</v>
      </c>
      <c r="C22082" s="46">
        <v>2070</v>
      </c>
      <c r="D22082" s="69" t="s">
        <v>29420</v>
      </c>
      <c r="E22082" s="51"/>
      <c r="F22082" s="114" t="str">
        <f>IF(INDEX(I.Facility.P4IDNumber,2070)="","",INDEX(I.Facility.P4IDNumber,2070))</f>
        <v/>
      </c>
      <c r="G22082" s="51"/>
      <c r="H22082" s="46" t="str">
        <f>IF(AND(I.Developer.P4=TRUE,I.Facility.P4FacilityCount&gt;=2070,F22082=""),"Incomplete","Complete")</f>
        <v>Complete</v>
      </c>
      <c r="I22082" s="48" t="s">
        <v>26447</v>
      </c>
    </row>
    <row r="22083" spans="2:9" ht="15" customHeight="1" x14ac:dyDescent="0.25">
      <c r="B22083" s="55" t="s">
        <v>283</v>
      </c>
      <c r="C22083" s="46">
        <v>2071</v>
      </c>
      <c r="D22083" s="69" t="s">
        <v>29420</v>
      </c>
      <c r="E22083" s="51"/>
      <c r="F22083" s="114" t="str">
        <f>IF(INDEX(I.Facility.P4IDNumber,2071)="","",INDEX(I.Facility.P4IDNumber,2071))</f>
        <v/>
      </c>
      <c r="G22083" s="51"/>
      <c r="H22083" s="46" t="str">
        <f>IF(AND(I.Developer.P4=TRUE,I.Facility.P4FacilityCount&gt;=2071,F22083=""),"Incomplete","Complete")</f>
        <v>Complete</v>
      </c>
      <c r="I22083" s="48" t="s">
        <v>26448</v>
      </c>
    </row>
    <row r="22084" spans="2:9" ht="15" customHeight="1" x14ac:dyDescent="0.25">
      <c r="B22084" s="55" t="s">
        <v>283</v>
      </c>
      <c r="C22084" s="46">
        <v>2072</v>
      </c>
      <c r="D22084" s="69" t="s">
        <v>29420</v>
      </c>
      <c r="E22084" s="51"/>
      <c r="F22084" s="114" t="str">
        <f>IF(INDEX(I.Facility.P4IDNumber,2072)="","",INDEX(I.Facility.P4IDNumber,2072))</f>
        <v/>
      </c>
      <c r="G22084" s="51"/>
      <c r="H22084" s="46" t="str">
        <f>IF(AND(I.Developer.P4=TRUE,I.Facility.P4FacilityCount&gt;=2072,F22084=""),"Incomplete","Complete")</f>
        <v>Complete</v>
      </c>
      <c r="I22084" s="48" t="s">
        <v>26449</v>
      </c>
    </row>
    <row r="22085" spans="2:9" ht="15" customHeight="1" x14ac:dyDescent="0.25">
      <c r="B22085" s="55" t="s">
        <v>283</v>
      </c>
      <c r="C22085" s="46">
        <v>2073</v>
      </c>
      <c r="D22085" s="69" t="s">
        <v>29420</v>
      </c>
      <c r="E22085" s="51"/>
      <c r="F22085" s="114" t="str">
        <f>IF(INDEX(I.Facility.P4IDNumber,2073)="","",INDEX(I.Facility.P4IDNumber,2073))</f>
        <v/>
      </c>
      <c r="G22085" s="51"/>
      <c r="H22085" s="46" t="str">
        <f>IF(AND(I.Developer.P4=TRUE,I.Facility.P4FacilityCount&gt;=2073,F22085=""),"Incomplete","Complete")</f>
        <v>Complete</v>
      </c>
      <c r="I22085" s="48" t="s">
        <v>26450</v>
      </c>
    </row>
    <row r="22086" spans="2:9" ht="15" customHeight="1" x14ac:dyDescent="0.25">
      <c r="B22086" s="55" t="s">
        <v>283</v>
      </c>
      <c r="C22086" s="46">
        <v>2074</v>
      </c>
      <c r="D22086" s="69" t="s">
        <v>29420</v>
      </c>
      <c r="E22086" s="51"/>
      <c r="F22086" s="114" t="str">
        <f>IF(INDEX(I.Facility.P4IDNumber,2074)="","",INDEX(I.Facility.P4IDNumber,2074))</f>
        <v/>
      </c>
      <c r="G22086" s="51"/>
      <c r="H22086" s="46" t="str">
        <f>IF(AND(I.Developer.P4=TRUE,I.Facility.P4FacilityCount&gt;=2074,F22086=""),"Incomplete","Complete")</f>
        <v>Complete</v>
      </c>
      <c r="I22086" s="48" t="s">
        <v>26451</v>
      </c>
    </row>
    <row r="22087" spans="2:9" ht="15" customHeight="1" x14ac:dyDescent="0.25">
      <c r="B22087" s="55" t="s">
        <v>283</v>
      </c>
      <c r="C22087" s="46">
        <v>2075</v>
      </c>
      <c r="D22087" s="69" t="s">
        <v>29420</v>
      </c>
      <c r="E22087" s="51"/>
      <c r="F22087" s="114" t="str">
        <f>IF(INDEX(I.Facility.P4IDNumber,2075)="","",INDEX(I.Facility.P4IDNumber,2075))</f>
        <v/>
      </c>
      <c r="G22087" s="51"/>
      <c r="H22087" s="46" t="str">
        <f>IF(AND(I.Developer.P4=TRUE,I.Facility.P4FacilityCount&gt;=2075,F22087=""),"Incomplete","Complete")</f>
        <v>Complete</v>
      </c>
      <c r="I22087" s="48" t="s">
        <v>26452</v>
      </c>
    </row>
    <row r="22088" spans="2:9" ht="15" customHeight="1" x14ac:dyDescent="0.25">
      <c r="B22088" s="55" t="s">
        <v>283</v>
      </c>
      <c r="C22088" s="46">
        <v>2076</v>
      </c>
      <c r="D22088" s="69" t="s">
        <v>29420</v>
      </c>
      <c r="E22088" s="51"/>
      <c r="F22088" s="114" t="str">
        <f>IF(INDEX(I.Facility.P4IDNumber,2076)="","",INDEX(I.Facility.P4IDNumber,2076))</f>
        <v/>
      </c>
      <c r="G22088" s="51"/>
      <c r="H22088" s="46" t="str">
        <f>IF(AND(I.Developer.P4=TRUE,I.Facility.P4FacilityCount&gt;=2076,F22088=""),"Incomplete","Complete")</f>
        <v>Complete</v>
      </c>
      <c r="I22088" s="48" t="s">
        <v>26453</v>
      </c>
    </row>
    <row r="22089" spans="2:9" ht="15" customHeight="1" x14ac:dyDescent="0.25">
      <c r="B22089" s="55" t="s">
        <v>283</v>
      </c>
      <c r="C22089" s="46">
        <v>2077</v>
      </c>
      <c r="D22089" s="69" t="s">
        <v>29420</v>
      </c>
      <c r="E22089" s="51"/>
      <c r="F22089" s="114" t="str">
        <f>IF(INDEX(I.Facility.P4IDNumber,2077)="","",INDEX(I.Facility.P4IDNumber,2077))</f>
        <v/>
      </c>
      <c r="G22089" s="51"/>
      <c r="H22089" s="46" t="str">
        <f>IF(AND(I.Developer.P4=TRUE,I.Facility.P4FacilityCount&gt;=2077,F22089=""),"Incomplete","Complete")</f>
        <v>Complete</v>
      </c>
      <c r="I22089" s="48" t="s">
        <v>26454</v>
      </c>
    </row>
    <row r="22090" spans="2:9" ht="15" customHeight="1" x14ac:dyDescent="0.25">
      <c r="B22090" s="55" t="s">
        <v>283</v>
      </c>
      <c r="C22090" s="46">
        <v>2078</v>
      </c>
      <c r="D22090" s="69" t="s">
        <v>29420</v>
      </c>
      <c r="E22090" s="51"/>
      <c r="F22090" s="114" t="str">
        <f>IF(INDEX(I.Facility.P4IDNumber,2078)="","",INDEX(I.Facility.P4IDNumber,2078))</f>
        <v/>
      </c>
      <c r="G22090" s="51"/>
      <c r="H22090" s="46" t="str">
        <f>IF(AND(I.Developer.P4=TRUE,I.Facility.P4FacilityCount&gt;=2078,F22090=""),"Incomplete","Complete")</f>
        <v>Complete</v>
      </c>
      <c r="I22090" s="48" t="s">
        <v>26455</v>
      </c>
    </row>
    <row r="22091" spans="2:9" ht="15" customHeight="1" x14ac:dyDescent="0.25">
      <c r="B22091" s="55" t="s">
        <v>283</v>
      </c>
      <c r="C22091" s="46">
        <v>2079</v>
      </c>
      <c r="D22091" s="69" t="s">
        <v>29420</v>
      </c>
      <c r="E22091" s="51"/>
      <c r="F22091" s="114" t="str">
        <f>IF(INDEX(I.Facility.P4IDNumber,2079)="","",INDEX(I.Facility.P4IDNumber,2079))</f>
        <v/>
      </c>
      <c r="G22091" s="51"/>
      <c r="H22091" s="46" t="str">
        <f>IF(AND(I.Developer.P4=TRUE,I.Facility.P4FacilityCount&gt;=2079,F22091=""),"Incomplete","Complete")</f>
        <v>Complete</v>
      </c>
      <c r="I22091" s="48" t="s">
        <v>26456</v>
      </c>
    </row>
    <row r="22092" spans="2:9" ht="15" customHeight="1" x14ac:dyDescent="0.25">
      <c r="B22092" s="55" t="s">
        <v>283</v>
      </c>
      <c r="C22092" s="46">
        <v>2080</v>
      </c>
      <c r="D22092" s="69" t="s">
        <v>29420</v>
      </c>
      <c r="E22092" s="51"/>
      <c r="F22092" s="114" t="str">
        <f>IF(INDEX(I.Facility.P4IDNumber,2080)="","",INDEX(I.Facility.P4IDNumber,2080))</f>
        <v/>
      </c>
      <c r="G22092" s="51"/>
      <c r="H22092" s="46" t="str">
        <f>IF(AND(I.Developer.P4=TRUE,I.Facility.P4FacilityCount&gt;=2080,F22092=""),"Incomplete","Complete")</f>
        <v>Complete</v>
      </c>
      <c r="I22092" s="48" t="s">
        <v>26457</v>
      </c>
    </row>
    <row r="22093" spans="2:9" ht="15" customHeight="1" x14ac:dyDescent="0.25">
      <c r="B22093" s="55" t="s">
        <v>283</v>
      </c>
      <c r="C22093" s="46">
        <v>2081</v>
      </c>
      <c r="D22093" s="69" t="s">
        <v>29420</v>
      </c>
      <c r="E22093" s="51"/>
      <c r="F22093" s="114" t="str">
        <f>IF(INDEX(I.Facility.P4IDNumber,2081)="","",INDEX(I.Facility.P4IDNumber,2081))</f>
        <v/>
      </c>
      <c r="G22093" s="51"/>
      <c r="H22093" s="46" t="str">
        <f>IF(AND(I.Developer.P4=TRUE,I.Facility.P4FacilityCount&gt;=2081,F22093=""),"Incomplete","Complete")</f>
        <v>Complete</v>
      </c>
      <c r="I22093" s="48" t="s">
        <v>26458</v>
      </c>
    </row>
    <row r="22094" spans="2:9" ht="15" customHeight="1" x14ac:dyDescent="0.25">
      <c r="B22094" s="55" t="s">
        <v>283</v>
      </c>
      <c r="C22094" s="46">
        <v>2082</v>
      </c>
      <c r="D22094" s="69" t="s">
        <v>29420</v>
      </c>
      <c r="E22094" s="51"/>
      <c r="F22094" s="114" t="str">
        <f>IF(INDEX(I.Facility.P4IDNumber,2082)="","",INDEX(I.Facility.P4IDNumber,2082))</f>
        <v/>
      </c>
      <c r="G22094" s="51"/>
      <c r="H22094" s="46" t="str">
        <f>IF(AND(I.Developer.P4=TRUE,I.Facility.P4FacilityCount&gt;=2082,F22094=""),"Incomplete","Complete")</f>
        <v>Complete</v>
      </c>
      <c r="I22094" s="48" t="s">
        <v>26459</v>
      </c>
    </row>
    <row r="22095" spans="2:9" ht="15" customHeight="1" x14ac:dyDescent="0.25">
      <c r="B22095" s="55" t="s">
        <v>283</v>
      </c>
      <c r="C22095" s="46">
        <v>2083</v>
      </c>
      <c r="D22095" s="69" t="s">
        <v>29420</v>
      </c>
      <c r="E22095" s="51"/>
      <c r="F22095" s="114" t="str">
        <f>IF(INDEX(I.Facility.P4IDNumber,2083)="","",INDEX(I.Facility.P4IDNumber,2083))</f>
        <v/>
      </c>
      <c r="G22095" s="51"/>
      <c r="H22095" s="46" t="str">
        <f>IF(AND(I.Developer.P4=TRUE,I.Facility.P4FacilityCount&gt;=2083,F22095=""),"Incomplete","Complete")</f>
        <v>Complete</v>
      </c>
      <c r="I22095" s="48" t="s">
        <v>26460</v>
      </c>
    </row>
    <row r="22096" spans="2:9" ht="15" customHeight="1" x14ac:dyDescent="0.25">
      <c r="B22096" s="55" t="s">
        <v>283</v>
      </c>
      <c r="C22096" s="46">
        <v>2084</v>
      </c>
      <c r="D22096" s="69" t="s">
        <v>29420</v>
      </c>
      <c r="E22096" s="51"/>
      <c r="F22096" s="114" t="str">
        <f>IF(INDEX(I.Facility.P4IDNumber,2084)="","",INDEX(I.Facility.P4IDNumber,2084))</f>
        <v/>
      </c>
      <c r="G22096" s="51"/>
      <c r="H22096" s="46" t="str">
        <f>IF(AND(I.Developer.P4=TRUE,I.Facility.P4FacilityCount&gt;=2084,F22096=""),"Incomplete","Complete")</f>
        <v>Complete</v>
      </c>
      <c r="I22096" s="48" t="s">
        <v>26461</v>
      </c>
    </row>
    <row r="22097" spans="2:9" ht="15" customHeight="1" x14ac:dyDescent="0.25">
      <c r="B22097" s="55" t="s">
        <v>283</v>
      </c>
      <c r="C22097" s="46">
        <v>2085</v>
      </c>
      <c r="D22097" s="69" t="s">
        <v>29420</v>
      </c>
      <c r="E22097" s="51"/>
      <c r="F22097" s="114" t="str">
        <f>IF(INDEX(I.Facility.P4IDNumber,2085)="","",INDEX(I.Facility.P4IDNumber,2085))</f>
        <v/>
      </c>
      <c r="G22097" s="51"/>
      <c r="H22097" s="46" t="str">
        <f>IF(AND(I.Developer.P4=TRUE,I.Facility.P4FacilityCount&gt;=2085,F22097=""),"Incomplete","Complete")</f>
        <v>Complete</v>
      </c>
      <c r="I22097" s="48" t="s">
        <v>26462</v>
      </c>
    </row>
    <row r="22098" spans="2:9" ht="15" customHeight="1" x14ac:dyDescent="0.25">
      <c r="B22098" s="55" t="s">
        <v>283</v>
      </c>
      <c r="C22098" s="46">
        <v>2086</v>
      </c>
      <c r="D22098" s="69" t="s">
        <v>29420</v>
      </c>
      <c r="E22098" s="51"/>
      <c r="F22098" s="114" t="str">
        <f>IF(INDEX(I.Facility.P4IDNumber,2086)="","",INDEX(I.Facility.P4IDNumber,2086))</f>
        <v/>
      </c>
      <c r="G22098" s="51"/>
      <c r="H22098" s="46" t="str">
        <f>IF(AND(I.Developer.P4=TRUE,I.Facility.P4FacilityCount&gt;=2086,F22098=""),"Incomplete","Complete")</f>
        <v>Complete</v>
      </c>
      <c r="I22098" s="48" t="s">
        <v>26463</v>
      </c>
    </row>
    <row r="22099" spans="2:9" ht="15" customHeight="1" x14ac:dyDescent="0.25">
      <c r="B22099" s="55" t="s">
        <v>283</v>
      </c>
      <c r="C22099" s="46">
        <v>2087</v>
      </c>
      <c r="D22099" s="69" t="s">
        <v>29420</v>
      </c>
      <c r="E22099" s="51"/>
      <c r="F22099" s="114" t="str">
        <f>IF(INDEX(I.Facility.P4IDNumber,2087)="","",INDEX(I.Facility.P4IDNumber,2087))</f>
        <v/>
      </c>
      <c r="G22099" s="51"/>
      <c r="H22099" s="46" t="str">
        <f>IF(AND(I.Developer.P4=TRUE,I.Facility.P4FacilityCount&gt;=2087,F22099=""),"Incomplete","Complete")</f>
        <v>Complete</v>
      </c>
      <c r="I22099" s="48" t="s">
        <v>26464</v>
      </c>
    </row>
    <row r="22100" spans="2:9" ht="15" customHeight="1" x14ac:dyDescent="0.25">
      <c r="B22100" s="55" t="s">
        <v>283</v>
      </c>
      <c r="C22100" s="46">
        <v>2088</v>
      </c>
      <c r="D22100" s="69" t="s">
        <v>29420</v>
      </c>
      <c r="E22100" s="51"/>
      <c r="F22100" s="114" t="str">
        <f>IF(INDEX(I.Facility.P4IDNumber,2088)="","",INDEX(I.Facility.P4IDNumber,2088))</f>
        <v/>
      </c>
      <c r="G22100" s="51"/>
      <c r="H22100" s="46" t="str">
        <f>IF(AND(I.Developer.P4=TRUE,I.Facility.P4FacilityCount&gt;=2088,F22100=""),"Incomplete","Complete")</f>
        <v>Complete</v>
      </c>
      <c r="I22100" s="48" t="s">
        <v>26465</v>
      </c>
    </row>
    <row r="22101" spans="2:9" ht="15" customHeight="1" x14ac:dyDescent="0.25">
      <c r="B22101" s="55" t="s">
        <v>283</v>
      </c>
      <c r="C22101" s="46">
        <v>2089</v>
      </c>
      <c r="D22101" s="69" t="s">
        <v>29420</v>
      </c>
      <c r="E22101" s="51"/>
      <c r="F22101" s="114" t="str">
        <f>IF(INDEX(I.Facility.P4IDNumber,2089)="","",INDEX(I.Facility.P4IDNumber,2089))</f>
        <v/>
      </c>
      <c r="G22101" s="51"/>
      <c r="H22101" s="46" t="str">
        <f>IF(AND(I.Developer.P4=TRUE,I.Facility.P4FacilityCount&gt;=2089,F22101=""),"Incomplete","Complete")</f>
        <v>Complete</v>
      </c>
      <c r="I22101" s="48" t="s">
        <v>26466</v>
      </c>
    </row>
    <row r="22102" spans="2:9" ht="15" customHeight="1" x14ac:dyDescent="0.25">
      <c r="B22102" s="55" t="s">
        <v>283</v>
      </c>
      <c r="C22102" s="46">
        <v>2090</v>
      </c>
      <c r="D22102" s="69" t="s">
        <v>29420</v>
      </c>
      <c r="E22102" s="51"/>
      <c r="F22102" s="114" t="str">
        <f>IF(INDEX(I.Facility.P4IDNumber,2090)="","",INDEX(I.Facility.P4IDNumber,2090))</f>
        <v/>
      </c>
      <c r="G22102" s="51"/>
      <c r="H22102" s="46" t="str">
        <f>IF(AND(I.Developer.P4=TRUE,I.Facility.P4FacilityCount&gt;=2090,F22102=""),"Incomplete","Complete")</f>
        <v>Complete</v>
      </c>
      <c r="I22102" s="48" t="s">
        <v>26467</v>
      </c>
    </row>
    <row r="22103" spans="2:9" ht="15" customHeight="1" x14ac:dyDescent="0.25">
      <c r="B22103" s="55" t="s">
        <v>283</v>
      </c>
      <c r="C22103" s="46">
        <v>2091</v>
      </c>
      <c r="D22103" s="69" t="s">
        <v>29420</v>
      </c>
      <c r="E22103" s="51"/>
      <c r="F22103" s="114" t="str">
        <f>IF(INDEX(I.Facility.P4IDNumber,2091)="","",INDEX(I.Facility.P4IDNumber,2091))</f>
        <v/>
      </c>
      <c r="G22103" s="51"/>
      <c r="H22103" s="46" t="str">
        <f>IF(AND(I.Developer.P4=TRUE,I.Facility.P4FacilityCount&gt;=2091,F22103=""),"Incomplete","Complete")</f>
        <v>Complete</v>
      </c>
      <c r="I22103" s="48" t="s">
        <v>26468</v>
      </c>
    </row>
    <row r="22104" spans="2:9" ht="15" customHeight="1" x14ac:dyDescent="0.25">
      <c r="B22104" s="55" t="s">
        <v>283</v>
      </c>
      <c r="C22104" s="46">
        <v>2092</v>
      </c>
      <c r="D22104" s="69" t="s">
        <v>29420</v>
      </c>
      <c r="E22104" s="51"/>
      <c r="F22104" s="114" t="str">
        <f>IF(INDEX(I.Facility.P4IDNumber,2092)="","",INDEX(I.Facility.P4IDNumber,2092))</f>
        <v/>
      </c>
      <c r="G22104" s="51"/>
      <c r="H22104" s="46" t="str">
        <f>IF(AND(I.Developer.P4=TRUE,I.Facility.P4FacilityCount&gt;=2092,F22104=""),"Incomplete","Complete")</f>
        <v>Complete</v>
      </c>
      <c r="I22104" s="48" t="s">
        <v>26469</v>
      </c>
    </row>
    <row r="22105" spans="2:9" ht="15" customHeight="1" x14ac:dyDescent="0.25">
      <c r="B22105" s="55" t="s">
        <v>283</v>
      </c>
      <c r="C22105" s="46">
        <v>2093</v>
      </c>
      <c r="D22105" s="69" t="s">
        <v>29420</v>
      </c>
      <c r="E22105" s="51"/>
      <c r="F22105" s="114" t="str">
        <f>IF(INDEX(I.Facility.P4IDNumber,2093)="","",INDEX(I.Facility.P4IDNumber,2093))</f>
        <v/>
      </c>
      <c r="G22105" s="51"/>
      <c r="H22105" s="46" t="str">
        <f>IF(AND(I.Developer.P4=TRUE,I.Facility.P4FacilityCount&gt;=2093,F22105=""),"Incomplete","Complete")</f>
        <v>Complete</v>
      </c>
      <c r="I22105" s="48" t="s">
        <v>26470</v>
      </c>
    </row>
    <row r="22106" spans="2:9" ht="15" customHeight="1" x14ac:dyDescent="0.25">
      <c r="B22106" s="55" t="s">
        <v>283</v>
      </c>
      <c r="C22106" s="46">
        <v>2094</v>
      </c>
      <c r="D22106" s="69" t="s">
        <v>29420</v>
      </c>
      <c r="E22106" s="51"/>
      <c r="F22106" s="114" t="str">
        <f>IF(INDEX(I.Facility.P4IDNumber,2094)="","",INDEX(I.Facility.P4IDNumber,2094))</f>
        <v/>
      </c>
      <c r="G22106" s="51"/>
      <c r="H22106" s="46" t="str">
        <f>IF(AND(I.Developer.P4=TRUE,I.Facility.P4FacilityCount&gt;=2094,F22106=""),"Incomplete","Complete")</f>
        <v>Complete</v>
      </c>
      <c r="I22106" s="48" t="s">
        <v>26471</v>
      </c>
    </row>
    <row r="22107" spans="2:9" ht="15" customHeight="1" x14ac:dyDescent="0.25">
      <c r="B22107" s="55" t="s">
        <v>283</v>
      </c>
      <c r="C22107" s="46">
        <v>2095</v>
      </c>
      <c r="D22107" s="69" t="s">
        <v>29420</v>
      </c>
      <c r="E22107" s="51"/>
      <c r="F22107" s="114" t="str">
        <f>IF(INDEX(I.Facility.P4IDNumber,2095)="","",INDEX(I.Facility.P4IDNumber,2095))</f>
        <v/>
      </c>
      <c r="G22107" s="51"/>
      <c r="H22107" s="46" t="str">
        <f>IF(AND(I.Developer.P4=TRUE,I.Facility.P4FacilityCount&gt;=2095,F22107=""),"Incomplete","Complete")</f>
        <v>Complete</v>
      </c>
      <c r="I22107" s="48" t="s">
        <v>26472</v>
      </c>
    </row>
    <row r="22108" spans="2:9" ht="15" customHeight="1" x14ac:dyDescent="0.25">
      <c r="B22108" s="55" t="s">
        <v>283</v>
      </c>
      <c r="C22108" s="46">
        <v>2096</v>
      </c>
      <c r="D22108" s="69" t="s">
        <v>29420</v>
      </c>
      <c r="E22108" s="51"/>
      <c r="F22108" s="114" t="str">
        <f>IF(INDEX(I.Facility.P4IDNumber,2096)="","",INDEX(I.Facility.P4IDNumber,2096))</f>
        <v/>
      </c>
      <c r="G22108" s="51"/>
      <c r="H22108" s="46" t="str">
        <f>IF(AND(I.Developer.P4=TRUE,I.Facility.P4FacilityCount&gt;=2096,F22108=""),"Incomplete","Complete")</f>
        <v>Complete</v>
      </c>
      <c r="I22108" s="48" t="s">
        <v>26473</v>
      </c>
    </row>
    <row r="22109" spans="2:9" ht="15" customHeight="1" x14ac:dyDescent="0.25">
      <c r="B22109" s="55" t="s">
        <v>283</v>
      </c>
      <c r="C22109" s="46">
        <v>2097</v>
      </c>
      <c r="D22109" s="69" t="s">
        <v>29420</v>
      </c>
      <c r="E22109" s="51"/>
      <c r="F22109" s="114" t="str">
        <f>IF(INDEX(I.Facility.P4IDNumber,2097)="","",INDEX(I.Facility.P4IDNumber,2097))</f>
        <v/>
      </c>
      <c r="G22109" s="51"/>
      <c r="H22109" s="46" t="str">
        <f>IF(AND(I.Developer.P4=TRUE,I.Facility.P4FacilityCount&gt;=2097,F22109=""),"Incomplete","Complete")</f>
        <v>Complete</v>
      </c>
      <c r="I22109" s="48" t="s">
        <v>26474</v>
      </c>
    </row>
    <row r="22110" spans="2:9" ht="15" customHeight="1" x14ac:dyDescent="0.25">
      <c r="B22110" s="55" t="s">
        <v>283</v>
      </c>
      <c r="C22110" s="46">
        <v>2098</v>
      </c>
      <c r="D22110" s="69" t="s">
        <v>29420</v>
      </c>
      <c r="E22110" s="51"/>
      <c r="F22110" s="114" t="str">
        <f>IF(INDEX(I.Facility.P4IDNumber,2098)="","",INDEX(I.Facility.P4IDNumber,2098))</f>
        <v/>
      </c>
      <c r="G22110" s="51"/>
      <c r="H22110" s="46" t="str">
        <f>IF(AND(I.Developer.P4=TRUE,I.Facility.P4FacilityCount&gt;=2098,F22110=""),"Incomplete","Complete")</f>
        <v>Complete</v>
      </c>
      <c r="I22110" s="48" t="s">
        <v>26475</v>
      </c>
    </row>
    <row r="22111" spans="2:9" ht="15" customHeight="1" x14ac:dyDescent="0.25">
      <c r="B22111" s="55" t="s">
        <v>283</v>
      </c>
      <c r="C22111" s="46">
        <v>2099</v>
      </c>
      <c r="D22111" s="69" t="s">
        <v>29420</v>
      </c>
      <c r="E22111" s="51"/>
      <c r="F22111" s="114" t="str">
        <f>IF(INDEX(I.Facility.P4IDNumber,2099)="","",INDEX(I.Facility.P4IDNumber,2099))</f>
        <v/>
      </c>
      <c r="G22111" s="51"/>
      <c r="H22111" s="46" t="str">
        <f>IF(AND(I.Developer.P4=TRUE,I.Facility.P4FacilityCount&gt;=2099,F22111=""),"Incomplete","Complete")</f>
        <v>Complete</v>
      </c>
      <c r="I22111" s="48" t="s">
        <v>26476</v>
      </c>
    </row>
    <row r="22112" spans="2:9" ht="15" customHeight="1" x14ac:dyDescent="0.25">
      <c r="B22112" s="55" t="s">
        <v>283</v>
      </c>
      <c r="C22112" s="46">
        <v>2100</v>
      </c>
      <c r="D22112" s="69" t="s">
        <v>29420</v>
      </c>
      <c r="E22112" s="51"/>
      <c r="F22112" s="114" t="str">
        <f>IF(INDEX(I.Facility.P4IDNumber,2100)="","",INDEX(I.Facility.P4IDNumber,2100))</f>
        <v/>
      </c>
      <c r="G22112" s="51"/>
      <c r="H22112" s="46" t="str">
        <f>IF(AND(I.Developer.P4=TRUE,I.Facility.P4FacilityCount&gt;=2100,F22112=""),"Incomplete","Complete")</f>
        <v>Complete</v>
      </c>
      <c r="I22112" s="48" t="s">
        <v>26477</v>
      </c>
    </row>
    <row r="22113" spans="2:9" ht="15" customHeight="1" x14ac:dyDescent="0.25">
      <c r="B22113" s="55" t="s">
        <v>283</v>
      </c>
      <c r="C22113" s="46">
        <v>2101</v>
      </c>
      <c r="D22113" s="69" t="s">
        <v>29420</v>
      </c>
      <c r="E22113" s="51"/>
      <c r="F22113" s="114" t="str">
        <f>IF(INDEX(I.Facility.P4IDNumber,2101)="","",INDEX(I.Facility.P4IDNumber,2101))</f>
        <v/>
      </c>
      <c r="G22113" s="51"/>
      <c r="H22113" s="46" t="str">
        <f>IF(AND(I.Developer.P4=TRUE,I.Facility.P4FacilityCount&gt;=2101,F22113=""),"Incomplete","Complete")</f>
        <v>Complete</v>
      </c>
      <c r="I22113" s="48" t="s">
        <v>26478</v>
      </c>
    </row>
    <row r="22114" spans="2:9" ht="15" customHeight="1" x14ac:dyDescent="0.25">
      <c r="B22114" s="55" t="s">
        <v>283</v>
      </c>
      <c r="C22114" s="46">
        <v>2102</v>
      </c>
      <c r="D22114" s="69" t="s">
        <v>29420</v>
      </c>
      <c r="E22114" s="51"/>
      <c r="F22114" s="114" t="str">
        <f>IF(INDEX(I.Facility.P4IDNumber,2102)="","",INDEX(I.Facility.P4IDNumber,2102))</f>
        <v/>
      </c>
      <c r="G22114" s="51"/>
      <c r="H22114" s="46" t="str">
        <f>IF(AND(I.Developer.P4=TRUE,I.Facility.P4FacilityCount&gt;=2102,F22114=""),"Incomplete","Complete")</f>
        <v>Complete</v>
      </c>
      <c r="I22114" s="48" t="s">
        <v>26479</v>
      </c>
    </row>
    <row r="22115" spans="2:9" ht="15" customHeight="1" x14ac:dyDescent="0.25">
      <c r="B22115" s="55" t="s">
        <v>283</v>
      </c>
      <c r="C22115" s="46">
        <v>2103</v>
      </c>
      <c r="D22115" s="69" t="s">
        <v>29420</v>
      </c>
      <c r="E22115" s="51"/>
      <c r="F22115" s="114" t="str">
        <f>IF(INDEX(I.Facility.P4IDNumber,2103)="","",INDEX(I.Facility.P4IDNumber,2103))</f>
        <v/>
      </c>
      <c r="G22115" s="51"/>
      <c r="H22115" s="46" t="str">
        <f>IF(AND(I.Developer.P4=TRUE,I.Facility.P4FacilityCount&gt;=2103,F22115=""),"Incomplete","Complete")</f>
        <v>Complete</v>
      </c>
      <c r="I22115" s="48" t="s">
        <v>26480</v>
      </c>
    </row>
    <row r="22116" spans="2:9" ht="15" customHeight="1" x14ac:dyDescent="0.25">
      <c r="B22116" s="55" t="s">
        <v>283</v>
      </c>
      <c r="C22116" s="46">
        <v>2104</v>
      </c>
      <c r="D22116" s="69" t="s">
        <v>29420</v>
      </c>
      <c r="E22116" s="51"/>
      <c r="F22116" s="114" t="str">
        <f>IF(INDEX(I.Facility.P4IDNumber,2104)="","",INDEX(I.Facility.P4IDNumber,2104))</f>
        <v/>
      </c>
      <c r="G22116" s="51"/>
      <c r="H22116" s="46" t="str">
        <f>IF(AND(I.Developer.P4=TRUE,I.Facility.P4FacilityCount&gt;=2104,F22116=""),"Incomplete","Complete")</f>
        <v>Complete</v>
      </c>
      <c r="I22116" s="48" t="s">
        <v>26481</v>
      </c>
    </row>
    <row r="22117" spans="2:9" ht="15" customHeight="1" x14ac:dyDescent="0.25">
      <c r="B22117" s="55" t="s">
        <v>283</v>
      </c>
      <c r="C22117" s="46">
        <v>2105</v>
      </c>
      <c r="D22117" s="69" t="s">
        <v>29420</v>
      </c>
      <c r="E22117" s="51"/>
      <c r="F22117" s="114" t="str">
        <f>IF(INDEX(I.Facility.P4IDNumber,2105)="","",INDEX(I.Facility.P4IDNumber,2105))</f>
        <v/>
      </c>
      <c r="G22117" s="51"/>
      <c r="H22117" s="46" t="str">
        <f>IF(AND(I.Developer.P4=TRUE,I.Facility.P4FacilityCount&gt;=2105,F22117=""),"Incomplete","Complete")</f>
        <v>Complete</v>
      </c>
      <c r="I22117" s="48" t="s">
        <v>26482</v>
      </c>
    </row>
    <row r="22118" spans="2:9" ht="15" customHeight="1" x14ac:dyDescent="0.25">
      <c r="B22118" s="55" t="s">
        <v>283</v>
      </c>
      <c r="C22118" s="46">
        <v>2106</v>
      </c>
      <c r="D22118" s="69" t="s">
        <v>29420</v>
      </c>
      <c r="E22118" s="51"/>
      <c r="F22118" s="114" t="str">
        <f>IF(INDEX(I.Facility.P4IDNumber,2106)="","",INDEX(I.Facility.P4IDNumber,2106))</f>
        <v/>
      </c>
      <c r="G22118" s="51"/>
      <c r="H22118" s="46" t="str">
        <f>IF(AND(I.Developer.P4=TRUE,I.Facility.P4FacilityCount&gt;=2106,F22118=""),"Incomplete","Complete")</f>
        <v>Complete</v>
      </c>
      <c r="I22118" s="48" t="s">
        <v>26483</v>
      </c>
    </row>
    <row r="22119" spans="2:9" ht="15" customHeight="1" x14ac:dyDescent="0.25">
      <c r="B22119" s="55" t="s">
        <v>283</v>
      </c>
      <c r="C22119" s="46">
        <v>2107</v>
      </c>
      <c r="D22119" s="69" t="s">
        <v>29420</v>
      </c>
      <c r="E22119" s="51"/>
      <c r="F22119" s="114" t="str">
        <f>IF(INDEX(I.Facility.P4IDNumber,2107)="","",INDEX(I.Facility.P4IDNumber,2107))</f>
        <v/>
      </c>
      <c r="G22119" s="51"/>
      <c r="H22119" s="46" t="str">
        <f>IF(AND(I.Developer.P4=TRUE,I.Facility.P4FacilityCount&gt;=2107,F22119=""),"Incomplete","Complete")</f>
        <v>Complete</v>
      </c>
      <c r="I22119" s="48" t="s">
        <v>26484</v>
      </c>
    </row>
    <row r="22120" spans="2:9" ht="15" customHeight="1" x14ac:dyDescent="0.25">
      <c r="B22120" s="55" t="s">
        <v>283</v>
      </c>
      <c r="C22120" s="46">
        <v>2108</v>
      </c>
      <c r="D22120" s="69" t="s">
        <v>29420</v>
      </c>
      <c r="E22120" s="51"/>
      <c r="F22120" s="114" t="str">
        <f>IF(INDEX(I.Facility.P4IDNumber,2108)="","",INDEX(I.Facility.P4IDNumber,2108))</f>
        <v/>
      </c>
      <c r="G22120" s="51"/>
      <c r="H22120" s="46" t="str">
        <f>IF(AND(I.Developer.P4=TRUE,I.Facility.P4FacilityCount&gt;=2108,F22120=""),"Incomplete","Complete")</f>
        <v>Complete</v>
      </c>
      <c r="I22120" s="48" t="s">
        <v>26485</v>
      </c>
    </row>
    <row r="22121" spans="2:9" ht="15" customHeight="1" x14ac:dyDescent="0.25">
      <c r="B22121" s="55" t="s">
        <v>283</v>
      </c>
      <c r="C22121" s="46">
        <v>2109</v>
      </c>
      <c r="D22121" s="69" t="s">
        <v>29420</v>
      </c>
      <c r="E22121" s="51"/>
      <c r="F22121" s="114" t="str">
        <f>IF(INDEX(I.Facility.P4IDNumber,2109)="","",INDEX(I.Facility.P4IDNumber,2109))</f>
        <v/>
      </c>
      <c r="G22121" s="51"/>
      <c r="H22121" s="46" t="str">
        <f>IF(AND(I.Developer.P4=TRUE,I.Facility.P4FacilityCount&gt;=2109,F22121=""),"Incomplete","Complete")</f>
        <v>Complete</v>
      </c>
      <c r="I22121" s="48" t="s">
        <v>26486</v>
      </c>
    </row>
    <row r="22122" spans="2:9" ht="15" customHeight="1" x14ac:dyDescent="0.25">
      <c r="B22122" s="55" t="s">
        <v>283</v>
      </c>
      <c r="C22122" s="46">
        <v>2110</v>
      </c>
      <c r="D22122" s="69" t="s">
        <v>29420</v>
      </c>
      <c r="E22122" s="51"/>
      <c r="F22122" s="114" t="str">
        <f>IF(INDEX(I.Facility.P4IDNumber,2110)="","",INDEX(I.Facility.P4IDNumber,2110))</f>
        <v/>
      </c>
      <c r="G22122" s="51"/>
      <c r="H22122" s="46" t="str">
        <f>IF(AND(I.Developer.P4=TRUE,I.Facility.P4FacilityCount&gt;=2110,F22122=""),"Incomplete","Complete")</f>
        <v>Complete</v>
      </c>
      <c r="I22122" s="48" t="s">
        <v>26487</v>
      </c>
    </row>
    <row r="22123" spans="2:9" ht="15" customHeight="1" x14ac:dyDescent="0.25">
      <c r="B22123" s="55" t="s">
        <v>283</v>
      </c>
      <c r="C22123" s="46">
        <v>2111</v>
      </c>
      <c r="D22123" s="69" t="s">
        <v>29420</v>
      </c>
      <c r="E22123" s="51"/>
      <c r="F22123" s="114" t="str">
        <f>IF(INDEX(I.Facility.P4IDNumber,2111)="","",INDEX(I.Facility.P4IDNumber,2111))</f>
        <v/>
      </c>
      <c r="G22123" s="51"/>
      <c r="H22123" s="46" t="str">
        <f>IF(AND(I.Developer.P4=TRUE,I.Facility.P4FacilityCount&gt;=2111,F22123=""),"Incomplete","Complete")</f>
        <v>Complete</v>
      </c>
      <c r="I22123" s="48" t="s">
        <v>26488</v>
      </c>
    </row>
    <row r="22124" spans="2:9" ht="15" customHeight="1" x14ac:dyDescent="0.25">
      <c r="B22124" s="55" t="s">
        <v>283</v>
      </c>
      <c r="C22124" s="46">
        <v>2112</v>
      </c>
      <c r="D22124" s="69" t="s">
        <v>29420</v>
      </c>
      <c r="E22124" s="51"/>
      <c r="F22124" s="114" t="str">
        <f>IF(INDEX(I.Facility.P4IDNumber,2112)="","",INDEX(I.Facility.P4IDNumber,2112))</f>
        <v/>
      </c>
      <c r="G22124" s="51"/>
      <c r="H22124" s="46" t="str">
        <f>IF(AND(I.Developer.P4=TRUE,I.Facility.P4FacilityCount&gt;=2112,F22124=""),"Incomplete","Complete")</f>
        <v>Complete</v>
      </c>
      <c r="I22124" s="48" t="s">
        <v>26489</v>
      </c>
    </row>
    <row r="22125" spans="2:9" ht="15" customHeight="1" x14ac:dyDescent="0.25">
      <c r="B22125" s="55" t="s">
        <v>283</v>
      </c>
      <c r="C22125" s="46">
        <v>2113</v>
      </c>
      <c r="D22125" s="69" t="s">
        <v>29420</v>
      </c>
      <c r="E22125" s="51"/>
      <c r="F22125" s="114" t="str">
        <f>IF(INDEX(I.Facility.P4IDNumber,2113)="","",INDEX(I.Facility.P4IDNumber,2113))</f>
        <v/>
      </c>
      <c r="G22125" s="51"/>
      <c r="H22125" s="46" t="str">
        <f>IF(AND(I.Developer.P4=TRUE,I.Facility.P4FacilityCount&gt;=2113,F22125=""),"Incomplete","Complete")</f>
        <v>Complete</v>
      </c>
      <c r="I22125" s="48" t="s">
        <v>26490</v>
      </c>
    </row>
    <row r="22126" spans="2:9" ht="15" customHeight="1" x14ac:dyDescent="0.25">
      <c r="B22126" s="55" t="s">
        <v>283</v>
      </c>
      <c r="C22126" s="46">
        <v>2114</v>
      </c>
      <c r="D22126" s="69" t="s">
        <v>29420</v>
      </c>
      <c r="E22126" s="51"/>
      <c r="F22126" s="114" t="str">
        <f>IF(INDEX(I.Facility.P4IDNumber,2114)="","",INDEX(I.Facility.P4IDNumber,2114))</f>
        <v/>
      </c>
      <c r="G22126" s="51"/>
      <c r="H22126" s="46" t="str">
        <f>IF(AND(I.Developer.P4=TRUE,I.Facility.P4FacilityCount&gt;=2114,F22126=""),"Incomplete","Complete")</f>
        <v>Complete</v>
      </c>
      <c r="I22126" s="48" t="s">
        <v>26491</v>
      </c>
    </row>
    <row r="22127" spans="2:9" ht="15" customHeight="1" x14ac:dyDescent="0.25">
      <c r="B22127" s="55" t="s">
        <v>283</v>
      </c>
      <c r="C22127" s="46">
        <v>2115</v>
      </c>
      <c r="D22127" s="69" t="s">
        <v>29420</v>
      </c>
      <c r="E22127" s="51"/>
      <c r="F22127" s="114" t="str">
        <f>IF(INDEX(I.Facility.P4IDNumber,2115)="","",INDEX(I.Facility.P4IDNumber,2115))</f>
        <v/>
      </c>
      <c r="G22127" s="51"/>
      <c r="H22127" s="46" t="str">
        <f>IF(AND(I.Developer.P4=TRUE,I.Facility.P4FacilityCount&gt;=2115,F22127=""),"Incomplete","Complete")</f>
        <v>Complete</v>
      </c>
      <c r="I22127" s="48" t="s">
        <v>26492</v>
      </c>
    </row>
    <row r="22128" spans="2:9" ht="15" customHeight="1" x14ac:dyDescent="0.25">
      <c r="B22128" s="55" t="s">
        <v>283</v>
      </c>
      <c r="C22128" s="46">
        <v>2116</v>
      </c>
      <c r="D22128" s="69" t="s">
        <v>29420</v>
      </c>
      <c r="E22128" s="51"/>
      <c r="F22128" s="114" t="str">
        <f>IF(INDEX(I.Facility.P4IDNumber,2116)="","",INDEX(I.Facility.P4IDNumber,2116))</f>
        <v/>
      </c>
      <c r="G22128" s="51"/>
      <c r="H22128" s="46" t="str">
        <f>IF(AND(I.Developer.P4=TRUE,I.Facility.P4FacilityCount&gt;=2116,F22128=""),"Incomplete","Complete")</f>
        <v>Complete</v>
      </c>
      <c r="I22128" s="48" t="s">
        <v>26493</v>
      </c>
    </row>
    <row r="22129" spans="2:9" ht="15" customHeight="1" x14ac:dyDescent="0.25">
      <c r="B22129" s="55" t="s">
        <v>283</v>
      </c>
      <c r="C22129" s="46">
        <v>2117</v>
      </c>
      <c r="D22129" s="69" t="s">
        <v>29420</v>
      </c>
      <c r="E22129" s="51"/>
      <c r="F22129" s="114" t="str">
        <f>IF(INDEX(I.Facility.P4IDNumber,2117)="","",INDEX(I.Facility.P4IDNumber,2117))</f>
        <v/>
      </c>
      <c r="G22129" s="51"/>
      <c r="H22129" s="46" t="str">
        <f>IF(AND(I.Developer.P4=TRUE,I.Facility.P4FacilityCount&gt;=2117,F22129=""),"Incomplete","Complete")</f>
        <v>Complete</v>
      </c>
      <c r="I22129" s="48" t="s">
        <v>26494</v>
      </c>
    </row>
    <row r="22130" spans="2:9" ht="15" customHeight="1" x14ac:dyDescent="0.25">
      <c r="B22130" s="55" t="s">
        <v>283</v>
      </c>
      <c r="C22130" s="46">
        <v>2118</v>
      </c>
      <c r="D22130" s="69" t="s">
        <v>29420</v>
      </c>
      <c r="E22130" s="51"/>
      <c r="F22130" s="114" t="str">
        <f>IF(INDEX(I.Facility.P4IDNumber,2118)="","",INDEX(I.Facility.P4IDNumber,2118))</f>
        <v/>
      </c>
      <c r="G22130" s="51"/>
      <c r="H22130" s="46" t="str">
        <f>IF(AND(I.Developer.P4=TRUE,I.Facility.P4FacilityCount&gt;=2118,F22130=""),"Incomplete","Complete")</f>
        <v>Complete</v>
      </c>
      <c r="I22130" s="48" t="s">
        <v>26495</v>
      </c>
    </row>
    <row r="22131" spans="2:9" ht="15" customHeight="1" x14ac:dyDescent="0.25">
      <c r="B22131" s="55" t="s">
        <v>283</v>
      </c>
      <c r="C22131" s="46">
        <v>2119</v>
      </c>
      <c r="D22131" s="69" t="s">
        <v>29420</v>
      </c>
      <c r="E22131" s="51"/>
      <c r="F22131" s="114" t="str">
        <f>IF(INDEX(I.Facility.P4IDNumber,2119)="","",INDEX(I.Facility.P4IDNumber,2119))</f>
        <v/>
      </c>
      <c r="G22131" s="51"/>
      <c r="H22131" s="46" t="str">
        <f>IF(AND(I.Developer.P4=TRUE,I.Facility.P4FacilityCount&gt;=2119,F22131=""),"Incomplete","Complete")</f>
        <v>Complete</v>
      </c>
      <c r="I22131" s="48" t="s">
        <v>26496</v>
      </c>
    </row>
    <row r="22132" spans="2:9" ht="15" customHeight="1" x14ac:dyDescent="0.25">
      <c r="B22132" s="55" t="s">
        <v>283</v>
      </c>
      <c r="C22132" s="46">
        <v>2120</v>
      </c>
      <c r="D22132" s="69" t="s">
        <v>29420</v>
      </c>
      <c r="E22132" s="51"/>
      <c r="F22132" s="114" t="str">
        <f>IF(INDEX(I.Facility.P4IDNumber,2120)="","",INDEX(I.Facility.P4IDNumber,2120))</f>
        <v/>
      </c>
      <c r="G22132" s="51"/>
      <c r="H22132" s="46" t="str">
        <f>IF(AND(I.Developer.P4=TRUE,I.Facility.P4FacilityCount&gt;=2120,F22132=""),"Incomplete","Complete")</f>
        <v>Complete</v>
      </c>
      <c r="I22132" s="48" t="s">
        <v>26497</v>
      </c>
    </row>
    <row r="22133" spans="2:9" ht="15" customHeight="1" x14ac:dyDescent="0.25">
      <c r="B22133" s="55" t="s">
        <v>283</v>
      </c>
      <c r="C22133" s="46">
        <v>2121</v>
      </c>
      <c r="D22133" s="69" t="s">
        <v>29420</v>
      </c>
      <c r="E22133" s="51"/>
      <c r="F22133" s="114" t="str">
        <f>IF(INDEX(I.Facility.P4IDNumber,2121)="","",INDEX(I.Facility.P4IDNumber,2121))</f>
        <v/>
      </c>
      <c r="G22133" s="51"/>
      <c r="H22133" s="46" t="str">
        <f>IF(AND(I.Developer.P4=TRUE,I.Facility.P4FacilityCount&gt;=2121,F22133=""),"Incomplete","Complete")</f>
        <v>Complete</v>
      </c>
      <c r="I22133" s="48" t="s">
        <v>26498</v>
      </c>
    </row>
    <row r="22134" spans="2:9" ht="15" customHeight="1" x14ac:dyDescent="0.25">
      <c r="B22134" s="55" t="s">
        <v>283</v>
      </c>
      <c r="C22134" s="46">
        <v>2122</v>
      </c>
      <c r="D22134" s="69" t="s">
        <v>29420</v>
      </c>
      <c r="E22134" s="51"/>
      <c r="F22134" s="114" t="str">
        <f>IF(INDEX(I.Facility.P4IDNumber,2122)="","",INDEX(I.Facility.P4IDNumber,2122))</f>
        <v/>
      </c>
      <c r="G22134" s="51"/>
      <c r="H22134" s="46" t="str">
        <f>IF(AND(I.Developer.P4=TRUE,I.Facility.P4FacilityCount&gt;=2122,F22134=""),"Incomplete","Complete")</f>
        <v>Complete</v>
      </c>
      <c r="I22134" s="48" t="s">
        <v>26499</v>
      </c>
    </row>
    <row r="22135" spans="2:9" ht="15" customHeight="1" x14ac:dyDescent="0.25">
      <c r="B22135" s="55" t="s">
        <v>283</v>
      </c>
      <c r="C22135" s="46">
        <v>2123</v>
      </c>
      <c r="D22135" s="69" t="s">
        <v>29420</v>
      </c>
      <c r="E22135" s="51"/>
      <c r="F22135" s="114" t="str">
        <f>IF(INDEX(I.Facility.P4IDNumber,2123)="","",INDEX(I.Facility.P4IDNumber,2123))</f>
        <v/>
      </c>
      <c r="G22135" s="51"/>
      <c r="H22135" s="46" t="str">
        <f>IF(AND(I.Developer.P4=TRUE,I.Facility.P4FacilityCount&gt;=2123,F22135=""),"Incomplete","Complete")</f>
        <v>Complete</v>
      </c>
      <c r="I22135" s="48" t="s">
        <v>26500</v>
      </c>
    </row>
    <row r="22136" spans="2:9" ht="15" customHeight="1" x14ac:dyDescent="0.25">
      <c r="B22136" s="55" t="s">
        <v>283</v>
      </c>
      <c r="C22136" s="46">
        <v>2124</v>
      </c>
      <c r="D22136" s="69" t="s">
        <v>29420</v>
      </c>
      <c r="E22136" s="51"/>
      <c r="F22136" s="114" t="str">
        <f>IF(INDEX(I.Facility.P4IDNumber,2124)="","",INDEX(I.Facility.P4IDNumber,2124))</f>
        <v/>
      </c>
      <c r="G22136" s="51"/>
      <c r="H22136" s="46" t="str">
        <f>IF(AND(I.Developer.P4=TRUE,I.Facility.P4FacilityCount&gt;=2124,F22136=""),"Incomplete","Complete")</f>
        <v>Complete</v>
      </c>
      <c r="I22136" s="48" t="s">
        <v>26501</v>
      </c>
    </row>
    <row r="22137" spans="2:9" ht="15" customHeight="1" x14ac:dyDescent="0.25">
      <c r="B22137" s="55" t="s">
        <v>283</v>
      </c>
      <c r="C22137" s="46">
        <v>2125</v>
      </c>
      <c r="D22137" s="69" t="s">
        <v>29420</v>
      </c>
      <c r="E22137" s="51"/>
      <c r="F22137" s="114" t="str">
        <f>IF(INDEX(I.Facility.P4IDNumber,2125)="","",INDEX(I.Facility.P4IDNumber,2125))</f>
        <v/>
      </c>
      <c r="G22137" s="51"/>
      <c r="H22137" s="46" t="str">
        <f>IF(AND(I.Developer.P4=TRUE,I.Facility.P4FacilityCount&gt;=2125,F22137=""),"Incomplete","Complete")</f>
        <v>Complete</v>
      </c>
      <c r="I22137" s="48" t="s">
        <v>26502</v>
      </c>
    </row>
    <row r="22138" spans="2:9" ht="15" customHeight="1" x14ac:dyDescent="0.25">
      <c r="B22138" s="55" t="s">
        <v>283</v>
      </c>
      <c r="C22138" s="46">
        <v>2126</v>
      </c>
      <c r="D22138" s="69" t="s">
        <v>29420</v>
      </c>
      <c r="E22138" s="51"/>
      <c r="F22138" s="114" t="str">
        <f>IF(INDEX(I.Facility.P4IDNumber,2126)="","",INDEX(I.Facility.P4IDNumber,2126))</f>
        <v/>
      </c>
      <c r="G22138" s="51"/>
      <c r="H22138" s="46" t="str">
        <f>IF(AND(I.Developer.P4=TRUE,I.Facility.P4FacilityCount&gt;=2126,F22138=""),"Incomplete","Complete")</f>
        <v>Complete</v>
      </c>
      <c r="I22138" s="48" t="s">
        <v>26503</v>
      </c>
    </row>
    <row r="22139" spans="2:9" ht="15" customHeight="1" x14ac:dyDescent="0.25">
      <c r="B22139" s="55" t="s">
        <v>283</v>
      </c>
      <c r="C22139" s="46">
        <v>2127</v>
      </c>
      <c r="D22139" s="69" t="s">
        <v>29420</v>
      </c>
      <c r="E22139" s="51"/>
      <c r="F22139" s="114" t="str">
        <f>IF(INDEX(I.Facility.P4IDNumber,2127)="","",INDEX(I.Facility.P4IDNumber,2127))</f>
        <v/>
      </c>
      <c r="G22139" s="51"/>
      <c r="H22139" s="46" t="str">
        <f>IF(AND(I.Developer.P4=TRUE,I.Facility.P4FacilityCount&gt;=2127,F22139=""),"Incomplete","Complete")</f>
        <v>Complete</v>
      </c>
      <c r="I22139" s="48" t="s">
        <v>26504</v>
      </c>
    </row>
    <row r="22140" spans="2:9" ht="15" customHeight="1" x14ac:dyDescent="0.25">
      <c r="B22140" s="55" t="s">
        <v>283</v>
      </c>
      <c r="C22140" s="46">
        <v>2128</v>
      </c>
      <c r="D22140" s="69" t="s">
        <v>29420</v>
      </c>
      <c r="E22140" s="51"/>
      <c r="F22140" s="114" t="str">
        <f>IF(INDEX(I.Facility.P4IDNumber,2128)="","",INDEX(I.Facility.P4IDNumber,2128))</f>
        <v/>
      </c>
      <c r="G22140" s="51"/>
      <c r="H22140" s="46" t="str">
        <f>IF(AND(I.Developer.P4=TRUE,I.Facility.P4FacilityCount&gt;=2128,F22140=""),"Incomplete","Complete")</f>
        <v>Complete</v>
      </c>
      <c r="I22140" s="48" t="s">
        <v>26505</v>
      </c>
    </row>
    <row r="22141" spans="2:9" ht="15" customHeight="1" x14ac:dyDescent="0.25">
      <c r="B22141" s="55" t="s">
        <v>283</v>
      </c>
      <c r="C22141" s="46">
        <v>2129</v>
      </c>
      <c r="D22141" s="69" t="s">
        <v>29420</v>
      </c>
      <c r="E22141" s="51"/>
      <c r="F22141" s="114" t="str">
        <f>IF(INDEX(I.Facility.P4IDNumber,2129)="","",INDEX(I.Facility.P4IDNumber,2129))</f>
        <v/>
      </c>
      <c r="G22141" s="51"/>
      <c r="H22141" s="46" t="str">
        <f>IF(AND(I.Developer.P4=TRUE,I.Facility.P4FacilityCount&gt;=2129,F22141=""),"Incomplete","Complete")</f>
        <v>Complete</v>
      </c>
      <c r="I22141" s="48" t="s">
        <v>26506</v>
      </c>
    </row>
    <row r="22142" spans="2:9" ht="15" customHeight="1" x14ac:dyDescent="0.25">
      <c r="B22142" s="55" t="s">
        <v>283</v>
      </c>
      <c r="C22142" s="46">
        <v>2130</v>
      </c>
      <c r="D22142" s="69" t="s">
        <v>29420</v>
      </c>
      <c r="E22142" s="51"/>
      <c r="F22142" s="114" t="str">
        <f>IF(INDEX(I.Facility.P4IDNumber,2130)="","",INDEX(I.Facility.P4IDNumber,2130))</f>
        <v/>
      </c>
      <c r="G22142" s="51"/>
      <c r="H22142" s="46" t="str">
        <f>IF(AND(I.Developer.P4=TRUE,I.Facility.P4FacilityCount&gt;=2130,F22142=""),"Incomplete","Complete")</f>
        <v>Complete</v>
      </c>
      <c r="I22142" s="48" t="s">
        <v>26507</v>
      </c>
    </row>
    <row r="22143" spans="2:9" ht="15" customHeight="1" x14ac:dyDescent="0.25">
      <c r="B22143" s="55" t="s">
        <v>283</v>
      </c>
      <c r="C22143" s="46">
        <v>2131</v>
      </c>
      <c r="D22143" s="69" t="s">
        <v>29420</v>
      </c>
      <c r="E22143" s="51"/>
      <c r="F22143" s="114" t="str">
        <f>IF(INDEX(I.Facility.P4IDNumber,2131)="","",INDEX(I.Facility.P4IDNumber,2131))</f>
        <v/>
      </c>
      <c r="G22143" s="51"/>
      <c r="H22143" s="46" t="str">
        <f>IF(AND(I.Developer.P4=TRUE,I.Facility.P4FacilityCount&gt;=2131,F22143=""),"Incomplete","Complete")</f>
        <v>Complete</v>
      </c>
      <c r="I22143" s="48" t="s">
        <v>26508</v>
      </c>
    </row>
    <row r="22144" spans="2:9" ht="15" customHeight="1" x14ac:dyDescent="0.25">
      <c r="B22144" s="55" t="s">
        <v>283</v>
      </c>
      <c r="C22144" s="46">
        <v>2132</v>
      </c>
      <c r="D22144" s="69" t="s">
        <v>29420</v>
      </c>
      <c r="E22144" s="51"/>
      <c r="F22144" s="114" t="str">
        <f>IF(INDEX(I.Facility.P4IDNumber,2132)="","",INDEX(I.Facility.P4IDNumber,2132))</f>
        <v/>
      </c>
      <c r="G22144" s="51"/>
      <c r="H22144" s="46" t="str">
        <f>IF(AND(I.Developer.P4=TRUE,I.Facility.P4FacilityCount&gt;=2132,F22144=""),"Incomplete","Complete")</f>
        <v>Complete</v>
      </c>
      <c r="I22144" s="48" t="s">
        <v>26509</v>
      </c>
    </row>
    <row r="22145" spans="2:9" ht="15" customHeight="1" x14ac:dyDescent="0.25">
      <c r="B22145" s="55" t="s">
        <v>283</v>
      </c>
      <c r="C22145" s="46">
        <v>2133</v>
      </c>
      <c r="D22145" s="69" t="s">
        <v>29420</v>
      </c>
      <c r="E22145" s="51"/>
      <c r="F22145" s="114" t="str">
        <f>IF(INDEX(I.Facility.P4IDNumber,2133)="","",INDEX(I.Facility.P4IDNumber,2133))</f>
        <v/>
      </c>
      <c r="G22145" s="51"/>
      <c r="H22145" s="46" t="str">
        <f>IF(AND(I.Developer.P4=TRUE,I.Facility.P4FacilityCount&gt;=2133,F22145=""),"Incomplete","Complete")</f>
        <v>Complete</v>
      </c>
      <c r="I22145" s="48" t="s">
        <v>26510</v>
      </c>
    </row>
    <row r="22146" spans="2:9" ht="15" customHeight="1" x14ac:dyDescent="0.25">
      <c r="B22146" s="55" t="s">
        <v>283</v>
      </c>
      <c r="C22146" s="46">
        <v>2134</v>
      </c>
      <c r="D22146" s="69" t="s">
        <v>29420</v>
      </c>
      <c r="E22146" s="51"/>
      <c r="F22146" s="114" t="str">
        <f>IF(INDEX(I.Facility.P4IDNumber,2134)="","",INDEX(I.Facility.P4IDNumber,2134))</f>
        <v/>
      </c>
      <c r="G22146" s="51"/>
      <c r="H22146" s="46" t="str">
        <f>IF(AND(I.Developer.P4=TRUE,I.Facility.P4FacilityCount&gt;=2134,F22146=""),"Incomplete","Complete")</f>
        <v>Complete</v>
      </c>
      <c r="I22146" s="48" t="s">
        <v>26511</v>
      </c>
    </row>
    <row r="22147" spans="2:9" ht="15" customHeight="1" x14ac:dyDescent="0.25">
      <c r="B22147" s="55" t="s">
        <v>283</v>
      </c>
      <c r="C22147" s="46">
        <v>2135</v>
      </c>
      <c r="D22147" s="69" t="s">
        <v>29420</v>
      </c>
      <c r="E22147" s="51"/>
      <c r="F22147" s="114" t="str">
        <f>IF(INDEX(I.Facility.P4IDNumber,2135)="","",INDEX(I.Facility.P4IDNumber,2135))</f>
        <v/>
      </c>
      <c r="G22147" s="51"/>
      <c r="H22147" s="46" t="str">
        <f>IF(AND(I.Developer.P4=TRUE,I.Facility.P4FacilityCount&gt;=2135,F22147=""),"Incomplete","Complete")</f>
        <v>Complete</v>
      </c>
      <c r="I22147" s="48" t="s">
        <v>26512</v>
      </c>
    </row>
    <row r="22148" spans="2:9" ht="15" customHeight="1" x14ac:dyDescent="0.25">
      <c r="B22148" s="55" t="s">
        <v>283</v>
      </c>
      <c r="C22148" s="46">
        <v>2136</v>
      </c>
      <c r="D22148" s="69" t="s">
        <v>29420</v>
      </c>
      <c r="E22148" s="51"/>
      <c r="F22148" s="114" t="str">
        <f>IF(INDEX(I.Facility.P4IDNumber,2136)="","",INDEX(I.Facility.P4IDNumber,2136))</f>
        <v/>
      </c>
      <c r="G22148" s="51"/>
      <c r="H22148" s="46" t="str">
        <f>IF(AND(I.Developer.P4=TRUE,I.Facility.P4FacilityCount&gt;=2136,F22148=""),"Incomplete","Complete")</f>
        <v>Complete</v>
      </c>
      <c r="I22148" s="48" t="s">
        <v>26513</v>
      </c>
    </row>
    <row r="22149" spans="2:9" ht="15" customHeight="1" x14ac:dyDescent="0.25">
      <c r="B22149" s="55" t="s">
        <v>283</v>
      </c>
      <c r="C22149" s="46">
        <v>2137</v>
      </c>
      <c r="D22149" s="69" t="s">
        <v>29420</v>
      </c>
      <c r="E22149" s="51"/>
      <c r="F22149" s="114" t="str">
        <f>IF(INDEX(I.Facility.P4IDNumber,2137)="","",INDEX(I.Facility.P4IDNumber,2137))</f>
        <v/>
      </c>
      <c r="G22149" s="51"/>
      <c r="H22149" s="46" t="str">
        <f>IF(AND(I.Developer.P4=TRUE,I.Facility.P4FacilityCount&gt;=2137,F22149=""),"Incomplete","Complete")</f>
        <v>Complete</v>
      </c>
      <c r="I22149" s="48" t="s">
        <v>26514</v>
      </c>
    </row>
    <row r="22150" spans="2:9" ht="15" customHeight="1" x14ac:dyDescent="0.25">
      <c r="B22150" s="55" t="s">
        <v>283</v>
      </c>
      <c r="C22150" s="46">
        <v>2138</v>
      </c>
      <c r="D22150" s="69" t="s">
        <v>29420</v>
      </c>
      <c r="E22150" s="51"/>
      <c r="F22150" s="114" t="str">
        <f>IF(INDEX(I.Facility.P4IDNumber,2138)="","",INDEX(I.Facility.P4IDNumber,2138))</f>
        <v/>
      </c>
      <c r="G22150" s="51"/>
      <c r="H22150" s="46" t="str">
        <f>IF(AND(I.Developer.P4=TRUE,I.Facility.P4FacilityCount&gt;=2138,F22150=""),"Incomplete","Complete")</f>
        <v>Complete</v>
      </c>
      <c r="I22150" s="48" t="s">
        <v>26515</v>
      </c>
    </row>
    <row r="22151" spans="2:9" ht="15" customHeight="1" x14ac:dyDescent="0.25">
      <c r="B22151" s="55" t="s">
        <v>283</v>
      </c>
      <c r="C22151" s="46">
        <v>2139</v>
      </c>
      <c r="D22151" s="69" t="s">
        <v>29420</v>
      </c>
      <c r="E22151" s="51"/>
      <c r="F22151" s="114" t="str">
        <f>IF(INDEX(I.Facility.P4IDNumber,2139)="","",INDEX(I.Facility.P4IDNumber,2139))</f>
        <v/>
      </c>
      <c r="G22151" s="51"/>
      <c r="H22151" s="46" t="str">
        <f>IF(AND(I.Developer.P4=TRUE,I.Facility.P4FacilityCount&gt;=2139,F22151=""),"Incomplete","Complete")</f>
        <v>Complete</v>
      </c>
      <c r="I22151" s="48" t="s">
        <v>26516</v>
      </c>
    </row>
    <row r="22152" spans="2:9" ht="15" customHeight="1" x14ac:dyDescent="0.25">
      <c r="B22152" s="55" t="s">
        <v>283</v>
      </c>
      <c r="C22152" s="46">
        <v>2140</v>
      </c>
      <c r="D22152" s="69" t="s">
        <v>29420</v>
      </c>
      <c r="E22152" s="51"/>
      <c r="F22152" s="114" t="str">
        <f>IF(INDEX(I.Facility.P4IDNumber,2140)="","",INDEX(I.Facility.P4IDNumber,2140))</f>
        <v/>
      </c>
      <c r="G22152" s="51"/>
      <c r="H22152" s="46" t="str">
        <f>IF(AND(I.Developer.P4=TRUE,I.Facility.P4FacilityCount&gt;=2140,F22152=""),"Incomplete","Complete")</f>
        <v>Complete</v>
      </c>
      <c r="I22152" s="48" t="s">
        <v>26517</v>
      </c>
    </row>
    <row r="22153" spans="2:9" ht="15" customHeight="1" x14ac:dyDescent="0.25">
      <c r="B22153" s="55" t="s">
        <v>283</v>
      </c>
      <c r="C22153" s="46">
        <v>2141</v>
      </c>
      <c r="D22153" s="69" t="s">
        <v>29420</v>
      </c>
      <c r="E22153" s="51"/>
      <c r="F22153" s="114" t="str">
        <f>IF(INDEX(I.Facility.P4IDNumber,2141)="","",INDEX(I.Facility.P4IDNumber,2141))</f>
        <v/>
      </c>
      <c r="G22153" s="51"/>
      <c r="H22153" s="46" t="str">
        <f>IF(AND(I.Developer.P4=TRUE,I.Facility.P4FacilityCount&gt;=2141,F22153=""),"Incomplete","Complete")</f>
        <v>Complete</v>
      </c>
      <c r="I22153" s="48" t="s">
        <v>26518</v>
      </c>
    </row>
    <row r="22154" spans="2:9" ht="15" customHeight="1" x14ac:dyDescent="0.25">
      <c r="B22154" s="55" t="s">
        <v>283</v>
      </c>
      <c r="C22154" s="46">
        <v>2142</v>
      </c>
      <c r="D22154" s="69" t="s">
        <v>29420</v>
      </c>
      <c r="E22154" s="51"/>
      <c r="F22154" s="114" t="str">
        <f>IF(INDEX(I.Facility.P4IDNumber,2142)="","",INDEX(I.Facility.P4IDNumber,2142))</f>
        <v/>
      </c>
      <c r="G22154" s="51"/>
      <c r="H22154" s="46" t="str">
        <f>IF(AND(I.Developer.P4=TRUE,I.Facility.P4FacilityCount&gt;=2142,F22154=""),"Incomplete","Complete")</f>
        <v>Complete</v>
      </c>
      <c r="I22154" s="48" t="s">
        <v>26519</v>
      </c>
    </row>
    <row r="22155" spans="2:9" ht="15" customHeight="1" x14ac:dyDescent="0.25">
      <c r="B22155" s="55" t="s">
        <v>283</v>
      </c>
      <c r="C22155" s="46">
        <v>2143</v>
      </c>
      <c r="D22155" s="69" t="s">
        <v>29420</v>
      </c>
      <c r="E22155" s="51"/>
      <c r="F22155" s="114" t="str">
        <f>IF(INDEX(I.Facility.P4IDNumber,2143)="","",INDEX(I.Facility.P4IDNumber,2143))</f>
        <v/>
      </c>
      <c r="G22155" s="51"/>
      <c r="H22155" s="46" t="str">
        <f>IF(AND(I.Developer.P4=TRUE,I.Facility.P4FacilityCount&gt;=2143,F22155=""),"Incomplete","Complete")</f>
        <v>Complete</v>
      </c>
      <c r="I22155" s="48" t="s">
        <v>26520</v>
      </c>
    </row>
    <row r="22156" spans="2:9" ht="15" customHeight="1" x14ac:dyDescent="0.25">
      <c r="B22156" s="55" t="s">
        <v>283</v>
      </c>
      <c r="C22156" s="46">
        <v>2144</v>
      </c>
      <c r="D22156" s="69" t="s">
        <v>29420</v>
      </c>
      <c r="E22156" s="51"/>
      <c r="F22156" s="114" t="str">
        <f>IF(INDEX(I.Facility.P4IDNumber,2144)="","",INDEX(I.Facility.P4IDNumber,2144))</f>
        <v/>
      </c>
      <c r="G22156" s="51"/>
      <c r="H22156" s="46" t="str">
        <f>IF(AND(I.Developer.P4=TRUE,I.Facility.P4FacilityCount&gt;=2144,F22156=""),"Incomplete","Complete")</f>
        <v>Complete</v>
      </c>
      <c r="I22156" s="48" t="s">
        <v>26521</v>
      </c>
    </row>
    <row r="22157" spans="2:9" ht="15" customHeight="1" x14ac:dyDescent="0.25">
      <c r="B22157" s="55" t="s">
        <v>283</v>
      </c>
      <c r="C22157" s="46">
        <v>2145</v>
      </c>
      <c r="D22157" s="69" t="s">
        <v>29420</v>
      </c>
      <c r="E22157" s="51"/>
      <c r="F22157" s="114" t="str">
        <f>IF(INDEX(I.Facility.P4IDNumber,2145)="","",INDEX(I.Facility.P4IDNumber,2145))</f>
        <v/>
      </c>
      <c r="G22157" s="51"/>
      <c r="H22157" s="46" t="str">
        <f>IF(AND(I.Developer.P4=TRUE,I.Facility.P4FacilityCount&gt;=2145,F22157=""),"Incomplete","Complete")</f>
        <v>Complete</v>
      </c>
      <c r="I22157" s="48" t="s">
        <v>26522</v>
      </c>
    </row>
    <row r="22158" spans="2:9" ht="15" customHeight="1" x14ac:dyDescent="0.25">
      <c r="B22158" s="55" t="s">
        <v>283</v>
      </c>
      <c r="C22158" s="46">
        <v>2146</v>
      </c>
      <c r="D22158" s="69" t="s">
        <v>29420</v>
      </c>
      <c r="E22158" s="51"/>
      <c r="F22158" s="114" t="str">
        <f>IF(INDEX(I.Facility.P4IDNumber,2146)="","",INDEX(I.Facility.P4IDNumber,2146))</f>
        <v/>
      </c>
      <c r="G22158" s="51"/>
      <c r="H22158" s="46" t="str">
        <f>IF(AND(I.Developer.P4=TRUE,I.Facility.P4FacilityCount&gt;=2146,F22158=""),"Incomplete","Complete")</f>
        <v>Complete</v>
      </c>
      <c r="I22158" s="48" t="s">
        <v>26523</v>
      </c>
    </row>
    <row r="22159" spans="2:9" ht="15" customHeight="1" x14ac:dyDescent="0.25">
      <c r="B22159" s="55" t="s">
        <v>283</v>
      </c>
      <c r="C22159" s="46">
        <v>2147</v>
      </c>
      <c r="D22159" s="69" t="s">
        <v>29420</v>
      </c>
      <c r="E22159" s="51"/>
      <c r="F22159" s="114" t="str">
        <f>IF(INDEX(I.Facility.P4IDNumber,2147)="","",INDEX(I.Facility.P4IDNumber,2147))</f>
        <v/>
      </c>
      <c r="G22159" s="51"/>
      <c r="H22159" s="46" t="str">
        <f>IF(AND(I.Developer.P4=TRUE,I.Facility.P4FacilityCount&gt;=2147,F22159=""),"Incomplete","Complete")</f>
        <v>Complete</v>
      </c>
      <c r="I22159" s="48" t="s">
        <v>26524</v>
      </c>
    </row>
    <row r="22160" spans="2:9" ht="15" customHeight="1" x14ac:dyDescent="0.25">
      <c r="B22160" s="55" t="s">
        <v>283</v>
      </c>
      <c r="C22160" s="46">
        <v>2148</v>
      </c>
      <c r="D22160" s="69" t="s">
        <v>29420</v>
      </c>
      <c r="E22160" s="51"/>
      <c r="F22160" s="114" t="str">
        <f>IF(INDEX(I.Facility.P4IDNumber,2148)="","",INDEX(I.Facility.P4IDNumber,2148))</f>
        <v/>
      </c>
      <c r="G22160" s="51"/>
      <c r="H22160" s="46" t="str">
        <f>IF(AND(I.Developer.P4=TRUE,I.Facility.P4FacilityCount&gt;=2148,F22160=""),"Incomplete","Complete")</f>
        <v>Complete</v>
      </c>
      <c r="I22160" s="48" t="s">
        <v>26525</v>
      </c>
    </row>
    <row r="22161" spans="2:9" ht="15" customHeight="1" x14ac:dyDescent="0.25">
      <c r="B22161" s="55" t="s">
        <v>283</v>
      </c>
      <c r="C22161" s="46">
        <v>2149</v>
      </c>
      <c r="D22161" s="69" t="s">
        <v>29420</v>
      </c>
      <c r="E22161" s="51"/>
      <c r="F22161" s="114" t="str">
        <f>IF(INDEX(I.Facility.P4IDNumber,2149)="","",INDEX(I.Facility.P4IDNumber,2149))</f>
        <v/>
      </c>
      <c r="G22161" s="51"/>
      <c r="H22161" s="46" t="str">
        <f>IF(AND(I.Developer.P4=TRUE,I.Facility.P4FacilityCount&gt;=2149,F22161=""),"Incomplete","Complete")</f>
        <v>Complete</v>
      </c>
      <c r="I22161" s="48" t="s">
        <v>26526</v>
      </c>
    </row>
    <row r="22162" spans="2:9" ht="15" customHeight="1" x14ac:dyDescent="0.25">
      <c r="B22162" s="55" t="s">
        <v>283</v>
      </c>
      <c r="C22162" s="46">
        <v>2150</v>
      </c>
      <c r="D22162" s="69" t="s">
        <v>29420</v>
      </c>
      <c r="E22162" s="51"/>
      <c r="F22162" s="114" t="str">
        <f>IF(INDEX(I.Facility.P4IDNumber,2150)="","",INDEX(I.Facility.P4IDNumber,2150))</f>
        <v/>
      </c>
      <c r="G22162" s="51"/>
      <c r="H22162" s="46" t="str">
        <f>IF(AND(I.Developer.P4=TRUE,I.Facility.P4FacilityCount&gt;=2150,F22162=""),"Incomplete","Complete")</f>
        <v>Complete</v>
      </c>
      <c r="I22162" s="48" t="s">
        <v>26527</v>
      </c>
    </row>
    <row r="22163" spans="2:9" ht="15" customHeight="1" x14ac:dyDescent="0.25">
      <c r="B22163" s="55" t="s">
        <v>283</v>
      </c>
      <c r="C22163" s="46">
        <v>2151</v>
      </c>
      <c r="D22163" s="69" t="s">
        <v>29420</v>
      </c>
      <c r="E22163" s="51"/>
      <c r="F22163" s="114" t="str">
        <f>IF(INDEX(I.Facility.P4IDNumber,2151)="","",INDEX(I.Facility.P4IDNumber,2151))</f>
        <v/>
      </c>
      <c r="G22163" s="51"/>
      <c r="H22163" s="46" t="str">
        <f>IF(AND(I.Developer.P4=TRUE,I.Facility.P4FacilityCount&gt;=2151,F22163=""),"Incomplete","Complete")</f>
        <v>Complete</v>
      </c>
      <c r="I22163" s="48" t="s">
        <v>26528</v>
      </c>
    </row>
    <row r="22164" spans="2:9" ht="15" customHeight="1" x14ac:dyDescent="0.25">
      <c r="B22164" s="55" t="s">
        <v>283</v>
      </c>
      <c r="C22164" s="46">
        <v>2152</v>
      </c>
      <c r="D22164" s="69" t="s">
        <v>29420</v>
      </c>
      <c r="E22164" s="51"/>
      <c r="F22164" s="114" t="str">
        <f>IF(INDEX(I.Facility.P4IDNumber,2152)="","",INDEX(I.Facility.P4IDNumber,2152))</f>
        <v/>
      </c>
      <c r="G22164" s="51"/>
      <c r="H22164" s="46" t="str">
        <f>IF(AND(I.Developer.P4=TRUE,I.Facility.P4FacilityCount&gt;=2152,F22164=""),"Incomplete","Complete")</f>
        <v>Complete</v>
      </c>
      <c r="I22164" s="48" t="s">
        <v>26529</v>
      </c>
    </row>
    <row r="22165" spans="2:9" ht="15" customHeight="1" x14ac:dyDescent="0.25">
      <c r="B22165" s="55" t="s">
        <v>283</v>
      </c>
      <c r="C22165" s="46">
        <v>2153</v>
      </c>
      <c r="D22165" s="69" t="s">
        <v>29420</v>
      </c>
      <c r="E22165" s="51"/>
      <c r="F22165" s="114" t="str">
        <f>IF(INDEX(I.Facility.P4IDNumber,2153)="","",INDEX(I.Facility.P4IDNumber,2153))</f>
        <v/>
      </c>
      <c r="G22165" s="51"/>
      <c r="H22165" s="46" t="str">
        <f>IF(AND(I.Developer.P4=TRUE,I.Facility.P4FacilityCount&gt;=2153,F22165=""),"Incomplete","Complete")</f>
        <v>Complete</v>
      </c>
      <c r="I22165" s="48" t="s">
        <v>26530</v>
      </c>
    </row>
    <row r="22166" spans="2:9" ht="15" customHeight="1" x14ac:dyDescent="0.25">
      <c r="B22166" s="55" t="s">
        <v>283</v>
      </c>
      <c r="C22166" s="46">
        <v>2154</v>
      </c>
      <c r="D22166" s="69" t="s">
        <v>29420</v>
      </c>
      <c r="E22166" s="51"/>
      <c r="F22166" s="114" t="str">
        <f>IF(INDEX(I.Facility.P4IDNumber,2154)="","",INDEX(I.Facility.P4IDNumber,2154))</f>
        <v/>
      </c>
      <c r="G22166" s="51"/>
      <c r="H22166" s="46" t="str">
        <f>IF(AND(I.Developer.P4=TRUE,I.Facility.P4FacilityCount&gt;=2154,F22166=""),"Incomplete","Complete")</f>
        <v>Complete</v>
      </c>
      <c r="I22166" s="48" t="s">
        <v>26531</v>
      </c>
    </row>
    <row r="22167" spans="2:9" ht="15" customHeight="1" x14ac:dyDescent="0.25">
      <c r="B22167" s="55" t="s">
        <v>283</v>
      </c>
      <c r="C22167" s="46">
        <v>2155</v>
      </c>
      <c r="D22167" s="69" t="s">
        <v>29420</v>
      </c>
      <c r="E22167" s="51"/>
      <c r="F22167" s="114" t="str">
        <f>IF(INDEX(I.Facility.P4IDNumber,2155)="","",INDEX(I.Facility.P4IDNumber,2155))</f>
        <v/>
      </c>
      <c r="G22167" s="51"/>
      <c r="H22167" s="46" t="str">
        <f>IF(AND(I.Developer.P4=TRUE,I.Facility.P4FacilityCount&gt;=2155,F22167=""),"Incomplete","Complete")</f>
        <v>Complete</v>
      </c>
      <c r="I22167" s="48" t="s">
        <v>26532</v>
      </c>
    </row>
    <row r="22168" spans="2:9" ht="15" customHeight="1" x14ac:dyDescent="0.25">
      <c r="B22168" s="55" t="s">
        <v>283</v>
      </c>
      <c r="C22168" s="46">
        <v>2156</v>
      </c>
      <c r="D22168" s="69" t="s">
        <v>29420</v>
      </c>
      <c r="E22168" s="51"/>
      <c r="F22168" s="114" t="str">
        <f>IF(INDEX(I.Facility.P4IDNumber,2156)="","",INDEX(I.Facility.P4IDNumber,2156))</f>
        <v/>
      </c>
      <c r="G22168" s="51"/>
      <c r="H22168" s="46" t="str">
        <f>IF(AND(I.Developer.P4=TRUE,I.Facility.P4FacilityCount&gt;=2156,F22168=""),"Incomplete","Complete")</f>
        <v>Complete</v>
      </c>
      <c r="I22168" s="48" t="s">
        <v>26533</v>
      </c>
    </row>
    <row r="22169" spans="2:9" ht="15" customHeight="1" x14ac:dyDescent="0.25">
      <c r="B22169" s="55" t="s">
        <v>283</v>
      </c>
      <c r="C22169" s="46">
        <v>2157</v>
      </c>
      <c r="D22169" s="69" t="s">
        <v>29420</v>
      </c>
      <c r="E22169" s="51"/>
      <c r="F22169" s="114" t="str">
        <f>IF(INDEX(I.Facility.P4IDNumber,2157)="","",INDEX(I.Facility.P4IDNumber,2157))</f>
        <v/>
      </c>
      <c r="G22169" s="51"/>
      <c r="H22169" s="46" t="str">
        <f>IF(AND(I.Developer.P4=TRUE,I.Facility.P4FacilityCount&gt;=2157,F22169=""),"Incomplete","Complete")</f>
        <v>Complete</v>
      </c>
      <c r="I22169" s="48" t="s">
        <v>26534</v>
      </c>
    </row>
    <row r="22170" spans="2:9" ht="15" customHeight="1" x14ac:dyDescent="0.25">
      <c r="B22170" s="55" t="s">
        <v>283</v>
      </c>
      <c r="C22170" s="46">
        <v>2158</v>
      </c>
      <c r="D22170" s="69" t="s">
        <v>29420</v>
      </c>
      <c r="E22170" s="51"/>
      <c r="F22170" s="114" t="str">
        <f>IF(INDEX(I.Facility.P4IDNumber,2158)="","",INDEX(I.Facility.P4IDNumber,2158))</f>
        <v/>
      </c>
      <c r="G22170" s="51"/>
      <c r="H22170" s="46" t="str">
        <f>IF(AND(I.Developer.P4=TRUE,I.Facility.P4FacilityCount&gt;=2158,F22170=""),"Incomplete","Complete")</f>
        <v>Complete</v>
      </c>
      <c r="I22170" s="48" t="s">
        <v>26535</v>
      </c>
    </row>
    <row r="22171" spans="2:9" ht="15" customHeight="1" x14ac:dyDescent="0.25">
      <c r="B22171" s="55" t="s">
        <v>283</v>
      </c>
      <c r="C22171" s="46">
        <v>2159</v>
      </c>
      <c r="D22171" s="69" t="s">
        <v>29420</v>
      </c>
      <c r="E22171" s="51"/>
      <c r="F22171" s="114" t="str">
        <f>IF(INDEX(I.Facility.P4IDNumber,2159)="","",INDEX(I.Facility.P4IDNumber,2159))</f>
        <v/>
      </c>
      <c r="G22171" s="51"/>
      <c r="H22171" s="46" t="str">
        <f>IF(AND(I.Developer.P4=TRUE,I.Facility.P4FacilityCount&gt;=2159,F22171=""),"Incomplete","Complete")</f>
        <v>Complete</v>
      </c>
      <c r="I22171" s="48" t="s">
        <v>26536</v>
      </c>
    </row>
    <row r="22172" spans="2:9" ht="15" customHeight="1" x14ac:dyDescent="0.25">
      <c r="B22172" s="55" t="s">
        <v>283</v>
      </c>
      <c r="C22172" s="46">
        <v>2160</v>
      </c>
      <c r="D22172" s="69" t="s">
        <v>29420</v>
      </c>
      <c r="E22172" s="51"/>
      <c r="F22172" s="114" t="str">
        <f>IF(INDEX(I.Facility.P4IDNumber,2160)="","",INDEX(I.Facility.P4IDNumber,2160))</f>
        <v/>
      </c>
      <c r="G22172" s="51"/>
      <c r="H22172" s="46" t="str">
        <f>IF(AND(I.Developer.P4=TRUE,I.Facility.P4FacilityCount&gt;=2160,F22172=""),"Incomplete","Complete")</f>
        <v>Complete</v>
      </c>
      <c r="I22172" s="48" t="s">
        <v>26537</v>
      </c>
    </row>
    <row r="22173" spans="2:9" ht="15" customHeight="1" x14ac:dyDescent="0.25">
      <c r="B22173" s="55" t="s">
        <v>283</v>
      </c>
      <c r="C22173" s="46">
        <v>2161</v>
      </c>
      <c r="D22173" s="69" t="s">
        <v>29420</v>
      </c>
      <c r="E22173" s="51"/>
      <c r="F22173" s="114" t="str">
        <f>IF(INDEX(I.Facility.P4IDNumber,2161)="","",INDEX(I.Facility.P4IDNumber,2161))</f>
        <v/>
      </c>
      <c r="G22173" s="51"/>
      <c r="H22173" s="46" t="str">
        <f>IF(AND(I.Developer.P4=TRUE,I.Facility.P4FacilityCount&gt;=2161,F22173=""),"Incomplete","Complete")</f>
        <v>Complete</v>
      </c>
      <c r="I22173" s="48" t="s">
        <v>26538</v>
      </c>
    </row>
    <row r="22174" spans="2:9" ht="15" customHeight="1" x14ac:dyDescent="0.25">
      <c r="B22174" s="55" t="s">
        <v>283</v>
      </c>
      <c r="C22174" s="46">
        <v>2162</v>
      </c>
      <c r="D22174" s="69" t="s">
        <v>29420</v>
      </c>
      <c r="E22174" s="51"/>
      <c r="F22174" s="114" t="str">
        <f>IF(INDEX(I.Facility.P4IDNumber,2162)="","",INDEX(I.Facility.P4IDNumber,2162))</f>
        <v/>
      </c>
      <c r="G22174" s="51"/>
      <c r="H22174" s="46" t="str">
        <f>IF(AND(I.Developer.P4=TRUE,I.Facility.P4FacilityCount&gt;=2162,F22174=""),"Incomplete","Complete")</f>
        <v>Complete</v>
      </c>
      <c r="I22174" s="48" t="s">
        <v>26539</v>
      </c>
    </row>
    <row r="22175" spans="2:9" ht="15" customHeight="1" x14ac:dyDescent="0.25">
      <c r="B22175" s="55" t="s">
        <v>283</v>
      </c>
      <c r="C22175" s="46">
        <v>2163</v>
      </c>
      <c r="D22175" s="69" t="s">
        <v>29420</v>
      </c>
      <c r="E22175" s="51"/>
      <c r="F22175" s="114" t="str">
        <f>IF(INDEX(I.Facility.P4IDNumber,2163)="","",INDEX(I.Facility.P4IDNumber,2163))</f>
        <v/>
      </c>
      <c r="G22175" s="51"/>
      <c r="H22175" s="46" t="str">
        <f>IF(AND(I.Developer.P4=TRUE,I.Facility.P4FacilityCount&gt;=2163,F22175=""),"Incomplete","Complete")</f>
        <v>Complete</v>
      </c>
      <c r="I22175" s="48" t="s">
        <v>26540</v>
      </c>
    </row>
    <row r="22176" spans="2:9" ht="15" customHeight="1" x14ac:dyDescent="0.25">
      <c r="B22176" s="55" t="s">
        <v>283</v>
      </c>
      <c r="C22176" s="46">
        <v>2164</v>
      </c>
      <c r="D22176" s="69" t="s">
        <v>29420</v>
      </c>
      <c r="E22176" s="51"/>
      <c r="F22176" s="114" t="str">
        <f>IF(INDEX(I.Facility.P4IDNumber,2164)="","",INDEX(I.Facility.P4IDNumber,2164))</f>
        <v/>
      </c>
      <c r="G22176" s="51"/>
      <c r="H22176" s="46" t="str">
        <f>IF(AND(I.Developer.P4=TRUE,I.Facility.P4FacilityCount&gt;=2164,F22176=""),"Incomplete","Complete")</f>
        <v>Complete</v>
      </c>
      <c r="I22176" s="48" t="s">
        <v>26541</v>
      </c>
    </row>
    <row r="22177" spans="2:9" ht="15" customHeight="1" x14ac:dyDescent="0.25">
      <c r="B22177" s="55" t="s">
        <v>283</v>
      </c>
      <c r="C22177" s="46">
        <v>2165</v>
      </c>
      <c r="D22177" s="69" t="s">
        <v>29420</v>
      </c>
      <c r="E22177" s="51"/>
      <c r="F22177" s="114" t="str">
        <f>IF(INDEX(I.Facility.P4IDNumber,2165)="","",INDEX(I.Facility.P4IDNumber,2165))</f>
        <v/>
      </c>
      <c r="G22177" s="51"/>
      <c r="H22177" s="46" t="str">
        <f>IF(AND(I.Developer.P4=TRUE,I.Facility.P4FacilityCount&gt;=2165,F22177=""),"Incomplete","Complete")</f>
        <v>Complete</v>
      </c>
      <c r="I22177" s="48" t="s">
        <v>26542</v>
      </c>
    </row>
    <row r="22178" spans="2:9" ht="15" customHeight="1" x14ac:dyDescent="0.25">
      <c r="B22178" s="55" t="s">
        <v>283</v>
      </c>
      <c r="C22178" s="46">
        <v>2166</v>
      </c>
      <c r="D22178" s="69" t="s">
        <v>29420</v>
      </c>
      <c r="E22178" s="51"/>
      <c r="F22178" s="114" t="str">
        <f>IF(INDEX(I.Facility.P4IDNumber,2166)="","",INDEX(I.Facility.P4IDNumber,2166))</f>
        <v/>
      </c>
      <c r="G22178" s="51"/>
      <c r="H22178" s="46" t="str">
        <f>IF(AND(I.Developer.P4=TRUE,I.Facility.P4FacilityCount&gt;=2166,F22178=""),"Incomplete","Complete")</f>
        <v>Complete</v>
      </c>
      <c r="I22178" s="48" t="s">
        <v>26543</v>
      </c>
    </row>
    <row r="22179" spans="2:9" ht="15" customHeight="1" x14ac:dyDescent="0.25">
      <c r="B22179" s="55" t="s">
        <v>283</v>
      </c>
      <c r="C22179" s="46">
        <v>2167</v>
      </c>
      <c r="D22179" s="69" t="s">
        <v>29420</v>
      </c>
      <c r="E22179" s="51"/>
      <c r="F22179" s="114" t="str">
        <f>IF(INDEX(I.Facility.P4IDNumber,2167)="","",INDEX(I.Facility.P4IDNumber,2167))</f>
        <v/>
      </c>
      <c r="G22179" s="51"/>
      <c r="H22179" s="46" t="str">
        <f>IF(AND(I.Developer.P4=TRUE,I.Facility.P4FacilityCount&gt;=2167,F22179=""),"Incomplete","Complete")</f>
        <v>Complete</v>
      </c>
      <c r="I22179" s="48" t="s">
        <v>26544</v>
      </c>
    </row>
    <row r="22180" spans="2:9" ht="15" customHeight="1" x14ac:dyDescent="0.25">
      <c r="B22180" s="55" t="s">
        <v>283</v>
      </c>
      <c r="C22180" s="46">
        <v>2168</v>
      </c>
      <c r="D22180" s="69" t="s">
        <v>29420</v>
      </c>
      <c r="E22180" s="51"/>
      <c r="F22180" s="114" t="str">
        <f>IF(INDEX(I.Facility.P4IDNumber,2168)="","",INDEX(I.Facility.P4IDNumber,2168))</f>
        <v/>
      </c>
      <c r="G22180" s="51"/>
      <c r="H22180" s="46" t="str">
        <f>IF(AND(I.Developer.P4=TRUE,I.Facility.P4FacilityCount&gt;=2168,F22180=""),"Incomplete","Complete")</f>
        <v>Complete</v>
      </c>
      <c r="I22180" s="48" t="s">
        <v>26545</v>
      </c>
    </row>
    <row r="22181" spans="2:9" ht="15" customHeight="1" x14ac:dyDescent="0.25">
      <c r="B22181" s="55" t="s">
        <v>283</v>
      </c>
      <c r="C22181" s="46">
        <v>2169</v>
      </c>
      <c r="D22181" s="69" t="s">
        <v>29420</v>
      </c>
      <c r="E22181" s="51"/>
      <c r="F22181" s="114" t="str">
        <f>IF(INDEX(I.Facility.P4IDNumber,2169)="","",INDEX(I.Facility.P4IDNumber,2169))</f>
        <v/>
      </c>
      <c r="G22181" s="51"/>
      <c r="H22181" s="46" t="str">
        <f>IF(AND(I.Developer.P4=TRUE,I.Facility.P4FacilityCount&gt;=2169,F22181=""),"Incomplete","Complete")</f>
        <v>Complete</v>
      </c>
      <c r="I22181" s="48" t="s">
        <v>26546</v>
      </c>
    </row>
    <row r="22182" spans="2:9" ht="15" customHeight="1" x14ac:dyDescent="0.25">
      <c r="B22182" s="55" t="s">
        <v>283</v>
      </c>
      <c r="C22182" s="46">
        <v>2170</v>
      </c>
      <c r="D22182" s="69" t="s">
        <v>29420</v>
      </c>
      <c r="E22182" s="51"/>
      <c r="F22182" s="114" t="str">
        <f>IF(INDEX(I.Facility.P4IDNumber,2170)="","",INDEX(I.Facility.P4IDNumber,2170))</f>
        <v/>
      </c>
      <c r="G22182" s="51"/>
      <c r="H22182" s="46" t="str">
        <f>IF(AND(I.Developer.P4=TRUE,I.Facility.P4FacilityCount&gt;=2170,F22182=""),"Incomplete","Complete")</f>
        <v>Complete</v>
      </c>
      <c r="I22182" s="48" t="s">
        <v>26547</v>
      </c>
    </row>
    <row r="22183" spans="2:9" ht="15" customHeight="1" x14ac:dyDescent="0.25">
      <c r="B22183" s="55" t="s">
        <v>283</v>
      </c>
      <c r="C22183" s="46">
        <v>2171</v>
      </c>
      <c r="D22183" s="69" t="s">
        <v>29420</v>
      </c>
      <c r="E22183" s="51"/>
      <c r="F22183" s="114" t="str">
        <f>IF(INDEX(I.Facility.P4IDNumber,2171)="","",INDEX(I.Facility.P4IDNumber,2171))</f>
        <v/>
      </c>
      <c r="G22183" s="51"/>
      <c r="H22183" s="46" t="str">
        <f>IF(AND(I.Developer.P4=TRUE,I.Facility.P4FacilityCount&gt;=2171,F22183=""),"Incomplete","Complete")</f>
        <v>Complete</v>
      </c>
      <c r="I22183" s="48" t="s">
        <v>26548</v>
      </c>
    </row>
    <row r="22184" spans="2:9" ht="15" customHeight="1" x14ac:dyDescent="0.25">
      <c r="B22184" s="55" t="s">
        <v>283</v>
      </c>
      <c r="C22184" s="46">
        <v>2172</v>
      </c>
      <c r="D22184" s="69" t="s">
        <v>29420</v>
      </c>
      <c r="E22184" s="51"/>
      <c r="F22184" s="114" t="str">
        <f>IF(INDEX(I.Facility.P4IDNumber,2172)="","",INDEX(I.Facility.P4IDNumber,2172))</f>
        <v/>
      </c>
      <c r="G22184" s="51"/>
      <c r="H22184" s="46" t="str">
        <f>IF(AND(I.Developer.P4=TRUE,I.Facility.P4FacilityCount&gt;=2172,F22184=""),"Incomplete","Complete")</f>
        <v>Complete</v>
      </c>
      <c r="I22184" s="48" t="s">
        <v>26549</v>
      </c>
    </row>
    <row r="22185" spans="2:9" ht="15" customHeight="1" x14ac:dyDescent="0.25">
      <c r="B22185" s="55" t="s">
        <v>283</v>
      </c>
      <c r="C22185" s="46">
        <v>2173</v>
      </c>
      <c r="D22185" s="69" t="s">
        <v>29420</v>
      </c>
      <c r="E22185" s="51"/>
      <c r="F22185" s="114" t="str">
        <f>IF(INDEX(I.Facility.P4IDNumber,2173)="","",INDEX(I.Facility.P4IDNumber,2173))</f>
        <v/>
      </c>
      <c r="G22185" s="51"/>
      <c r="H22185" s="46" t="str">
        <f>IF(AND(I.Developer.P4=TRUE,I.Facility.P4FacilityCount&gt;=2173,F22185=""),"Incomplete","Complete")</f>
        <v>Complete</v>
      </c>
      <c r="I22185" s="48" t="s">
        <v>26550</v>
      </c>
    </row>
    <row r="22186" spans="2:9" ht="15" customHeight="1" x14ac:dyDescent="0.25">
      <c r="B22186" s="55" t="s">
        <v>283</v>
      </c>
      <c r="C22186" s="46">
        <v>2174</v>
      </c>
      <c r="D22186" s="69" t="s">
        <v>29420</v>
      </c>
      <c r="E22186" s="51"/>
      <c r="F22186" s="114" t="str">
        <f>IF(INDEX(I.Facility.P4IDNumber,2174)="","",INDEX(I.Facility.P4IDNumber,2174))</f>
        <v/>
      </c>
      <c r="G22186" s="51"/>
      <c r="H22186" s="46" t="str">
        <f>IF(AND(I.Developer.P4=TRUE,I.Facility.P4FacilityCount&gt;=2174,F22186=""),"Incomplete","Complete")</f>
        <v>Complete</v>
      </c>
      <c r="I22186" s="48" t="s">
        <v>26551</v>
      </c>
    </row>
    <row r="22187" spans="2:9" ht="15" customHeight="1" x14ac:dyDescent="0.25">
      <c r="B22187" s="55" t="s">
        <v>283</v>
      </c>
      <c r="C22187" s="46">
        <v>2175</v>
      </c>
      <c r="D22187" s="69" t="s">
        <v>29420</v>
      </c>
      <c r="E22187" s="51"/>
      <c r="F22187" s="114" t="str">
        <f>IF(INDEX(I.Facility.P4IDNumber,2175)="","",INDEX(I.Facility.P4IDNumber,2175))</f>
        <v/>
      </c>
      <c r="G22187" s="51"/>
      <c r="H22187" s="46" t="str">
        <f>IF(AND(I.Developer.P4=TRUE,I.Facility.P4FacilityCount&gt;=2175,F22187=""),"Incomplete","Complete")</f>
        <v>Complete</v>
      </c>
      <c r="I22187" s="48" t="s">
        <v>26552</v>
      </c>
    </row>
    <row r="22188" spans="2:9" ht="15" customHeight="1" x14ac:dyDescent="0.25">
      <c r="B22188" s="55" t="s">
        <v>283</v>
      </c>
      <c r="C22188" s="46">
        <v>2176</v>
      </c>
      <c r="D22188" s="69" t="s">
        <v>29420</v>
      </c>
      <c r="E22188" s="51"/>
      <c r="F22188" s="114" t="str">
        <f>IF(INDEX(I.Facility.P4IDNumber,2176)="","",INDEX(I.Facility.P4IDNumber,2176))</f>
        <v/>
      </c>
      <c r="G22188" s="51"/>
      <c r="H22188" s="46" t="str">
        <f>IF(AND(I.Developer.P4=TRUE,I.Facility.P4FacilityCount&gt;=2176,F22188=""),"Incomplete","Complete")</f>
        <v>Complete</v>
      </c>
      <c r="I22188" s="48" t="s">
        <v>26553</v>
      </c>
    </row>
    <row r="22189" spans="2:9" ht="15" customHeight="1" x14ac:dyDescent="0.25">
      <c r="B22189" s="55" t="s">
        <v>283</v>
      </c>
      <c r="C22189" s="46">
        <v>2177</v>
      </c>
      <c r="D22189" s="69" t="s">
        <v>29420</v>
      </c>
      <c r="E22189" s="51"/>
      <c r="F22189" s="114" t="str">
        <f>IF(INDEX(I.Facility.P4IDNumber,2177)="","",INDEX(I.Facility.P4IDNumber,2177))</f>
        <v/>
      </c>
      <c r="G22189" s="51"/>
      <c r="H22189" s="46" t="str">
        <f>IF(AND(I.Developer.P4=TRUE,I.Facility.P4FacilityCount&gt;=2177,F22189=""),"Incomplete","Complete")</f>
        <v>Complete</v>
      </c>
      <c r="I22189" s="48" t="s">
        <v>26554</v>
      </c>
    </row>
    <row r="22190" spans="2:9" ht="15" customHeight="1" x14ac:dyDescent="0.25">
      <c r="B22190" s="55" t="s">
        <v>283</v>
      </c>
      <c r="C22190" s="46">
        <v>2178</v>
      </c>
      <c r="D22190" s="69" t="s">
        <v>29420</v>
      </c>
      <c r="E22190" s="51"/>
      <c r="F22190" s="114" t="str">
        <f>IF(INDEX(I.Facility.P4IDNumber,2178)="","",INDEX(I.Facility.P4IDNumber,2178))</f>
        <v/>
      </c>
      <c r="G22190" s="51"/>
      <c r="H22190" s="46" t="str">
        <f>IF(AND(I.Developer.P4=TRUE,I.Facility.P4FacilityCount&gt;=2178,F22190=""),"Incomplete","Complete")</f>
        <v>Complete</v>
      </c>
      <c r="I22190" s="48" t="s">
        <v>26555</v>
      </c>
    </row>
    <row r="22191" spans="2:9" ht="15" customHeight="1" x14ac:dyDescent="0.25">
      <c r="B22191" s="55" t="s">
        <v>283</v>
      </c>
      <c r="C22191" s="46">
        <v>2179</v>
      </c>
      <c r="D22191" s="69" t="s">
        <v>29420</v>
      </c>
      <c r="E22191" s="51"/>
      <c r="F22191" s="114" t="str">
        <f>IF(INDEX(I.Facility.P4IDNumber,2179)="","",INDEX(I.Facility.P4IDNumber,2179))</f>
        <v/>
      </c>
      <c r="G22191" s="51"/>
      <c r="H22191" s="46" t="str">
        <f>IF(AND(I.Developer.P4=TRUE,I.Facility.P4FacilityCount&gt;=2179,F22191=""),"Incomplete","Complete")</f>
        <v>Complete</v>
      </c>
      <c r="I22191" s="48" t="s">
        <v>26556</v>
      </c>
    </row>
    <row r="22192" spans="2:9" ht="15" customHeight="1" x14ac:dyDescent="0.25">
      <c r="B22192" s="55" t="s">
        <v>283</v>
      </c>
      <c r="C22192" s="46">
        <v>2180</v>
      </c>
      <c r="D22192" s="69" t="s">
        <v>29420</v>
      </c>
      <c r="E22192" s="51"/>
      <c r="F22192" s="114" t="str">
        <f>IF(INDEX(I.Facility.P4IDNumber,2180)="","",INDEX(I.Facility.P4IDNumber,2180))</f>
        <v/>
      </c>
      <c r="G22192" s="51"/>
      <c r="H22192" s="46" t="str">
        <f>IF(AND(I.Developer.P4=TRUE,I.Facility.P4FacilityCount&gt;=2180,F22192=""),"Incomplete","Complete")</f>
        <v>Complete</v>
      </c>
      <c r="I22192" s="48" t="s">
        <v>26557</v>
      </c>
    </row>
    <row r="22193" spans="2:9" ht="15" customHeight="1" x14ac:dyDescent="0.25">
      <c r="B22193" s="55" t="s">
        <v>283</v>
      </c>
      <c r="C22193" s="46">
        <v>2181</v>
      </c>
      <c r="D22193" s="69" t="s">
        <v>29420</v>
      </c>
      <c r="E22193" s="51"/>
      <c r="F22193" s="114" t="str">
        <f>IF(INDEX(I.Facility.P4IDNumber,2181)="","",INDEX(I.Facility.P4IDNumber,2181))</f>
        <v/>
      </c>
      <c r="G22193" s="51"/>
      <c r="H22193" s="46" t="str">
        <f>IF(AND(I.Developer.P4=TRUE,I.Facility.P4FacilityCount&gt;=2181,F22193=""),"Incomplete","Complete")</f>
        <v>Complete</v>
      </c>
      <c r="I22193" s="48" t="s">
        <v>26558</v>
      </c>
    </row>
    <row r="22194" spans="2:9" ht="15" customHeight="1" x14ac:dyDescent="0.25">
      <c r="B22194" s="55" t="s">
        <v>283</v>
      </c>
      <c r="C22194" s="46">
        <v>2182</v>
      </c>
      <c r="D22194" s="69" t="s">
        <v>29420</v>
      </c>
      <c r="E22194" s="51"/>
      <c r="F22194" s="114" t="str">
        <f>IF(INDEX(I.Facility.P4IDNumber,2182)="","",INDEX(I.Facility.P4IDNumber,2182))</f>
        <v/>
      </c>
      <c r="G22194" s="51"/>
      <c r="H22194" s="46" t="str">
        <f>IF(AND(I.Developer.P4=TRUE,I.Facility.P4FacilityCount&gt;=2182,F22194=""),"Incomplete","Complete")</f>
        <v>Complete</v>
      </c>
      <c r="I22194" s="48" t="s">
        <v>26559</v>
      </c>
    </row>
    <row r="22195" spans="2:9" ht="15" customHeight="1" x14ac:dyDescent="0.25">
      <c r="B22195" s="55" t="s">
        <v>283</v>
      </c>
      <c r="C22195" s="46">
        <v>2183</v>
      </c>
      <c r="D22195" s="69" t="s">
        <v>29420</v>
      </c>
      <c r="E22195" s="51"/>
      <c r="F22195" s="114" t="str">
        <f>IF(INDEX(I.Facility.P4IDNumber,2183)="","",INDEX(I.Facility.P4IDNumber,2183))</f>
        <v/>
      </c>
      <c r="G22195" s="51"/>
      <c r="H22195" s="46" t="str">
        <f>IF(AND(I.Developer.P4=TRUE,I.Facility.P4FacilityCount&gt;=2183,F22195=""),"Incomplete","Complete")</f>
        <v>Complete</v>
      </c>
      <c r="I22195" s="48" t="s">
        <v>26560</v>
      </c>
    </row>
    <row r="22196" spans="2:9" ht="15" customHeight="1" x14ac:dyDescent="0.25">
      <c r="B22196" s="55" t="s">
        <v>283</v>
      </c>
      <c r="C22196" s="46">
        <v>2184</v>
      </c>
      <c r="D22196" s="69" t="s">
        <v>29420</v>
      </c>
      <c r="E22196" s="51"/>
      <c r="F22196" s="114" t="str">
        <f>IF(INDEX(I.Facility.P4IDNumber,2184)="","",INDEX(I.Facility.P4IDNumber,2184))</f>
        <v/>
      </c>
      <c r="G22196" s="51"/>
      <c r="H22196" s="46" t="str">
        <f>IF(AND(I.Developer.P4=TRUE,I.Facility.P4FacilityCount&gt;=2184,F22196=""),"Incomplete","Complete")</f>
        <v>Complete</v>
      </c>
      <c r="I22196" s="48" t="s">
        <v>26561</v>
      </c>
    </row>
    <row r="22197" spans="2:9" ht="15" customHeight="1" x14ac:dyDescent="0.25">
      <c r="B22197" s="55" t="s">
        <v>283</v>
      </c>
      <c r="C22197" s="46">
        <v>2185</v>
      </c>
      <c r="D22197" s="69" t="s">
        <v>29420</v>
      </c>
      <c r="E22197" s="51"/>
      <c r="F22197" s="114" t="str">
        <f>IF(INDEX(I.Facility.P4IDNumber,2185)="","",INDEX(I.Facility.P4IDNumber,2185))</f>
        <v/>
      </c>
      <c r="G22197" s="51"/>
      <c r="H22197" s="46" t="str">
        <f>IF(AND(I.Developer.P4=TRUE,I.Facility.P4FacilityCount&gt;=2185,F22197=""),"Incomplete","Complete")</f>
        <v>Complete</v>
      </c>
      <c r="I22197" s="48" t="s">
        <v>26562</v>
      </c>
    </row>
    <row r="22198" spans="2:9" ht="15" customHeight="1" x14ac:dyDescent="0.25">
      <c r="B22198" s="55" t="s">
        <v>283</v>
      </c>
      <c r="C22198" s="46">
        <v>2186</v>
      </c>
      <c r="D22198" s="69" t="s">
        <v>29420</v>
      </c>
      <c r="E22198" s="51"/>
      <c r="F22198" s="114" t="str">
        <f>IF(INDEX(I.Facility.P4IDNumber,2186)="","",INDEX(I.Facility.P4IDNumber,2186))</f>
        <v/>
      </c>
      <c r="G22198" s="51"/>
      <c r="H22198" s="46" t="str">
        <f>IF(AND(I.Developer.P4=TRUE,I.Facility.P4FacilityCount&gt;=2186,F22198=""),"Incomplete","Complete")</f>
        <v>Complete</v>
      </c>
      <c r="I22198" s="48" t="s">
        <v>26563</v>
      </c>
    </row>
    <row r="22199" spans="2:9" ht="15" customHeight="1" x14ac:dyDescent="0.25">
      <c r="B22199" s="55" t="s">
        <v>283</v>
      </c>
      <c r="C22199" s="46">
        <v>2187</v>
      </c>
      <c r="D22199" s="69" t="s">
        <v>29420</v>
      </c>
      <c r="E22199" s="51"/>
      <c r="F22199" s="114" t="str">
        <f>IF(INDEX(I.Facility.P4IDNumber,2187)="","",INDEX(I.Facility.P4IDNumber,2187))</f>
        <v/>
      </c>
      <c r="G22199" s="51"/>
      <c r="H22199" s="46" t="str">
        <f>IF(AND(I.Developer.P4=TRUE,I.Facility.P4FacilityCount&gt;=2187,F22199=""),"Incomplete","Complete")</f>
        <v>Complete</v>
      </c>
      <c r="I22199" s="48" t="s">
        <v>26564</v>
      </c>
    </row>
    <row r="22200" spans="2:9" ht="15" customHeight="1" x14ac:dyDescent="0.25">
      <c r="B22200" s="55" t="s">
        <v>283</v>
      </c>
      <c r="C22200" s="46">
        <v>2188</v>
      </c>
      <c r="D22200" s="69" t="s">
        <v>29420</v>
      </c>
      <c r="E22200" s="51"/>
      <c r="F22200" s="114" t="str">
        <f>IF(INDEX(I.Facility.P4IDNumber,2188)="","",INDEX(I.Facility.P4IDNumber,2188))</f>
        <v/>
      </c>
      <c r="G22200" s="51"/>
      <c r="H22200" s="46" t="str">
        <f>IF(AND(I.Developer.P4=TRUE,I.Facility.P4FacilityCount&gt;=2188,F22200=""),"Incomplete","Complete")</f>
        <v>Complete</v>
      </c>
      <c r="I22200" s="48" t="s">
        <v>26565</v>
      </c>
    </row>
    <row r="22201" spans="2:9" ht="15" customHeight="1" x14ac:dyDescent="0.25">
      <c r="B22201" s="55" t="s">
        <v>283</v>
      </c>
      <c r="C22201" s="46">
        <v>2189</v>
      </c>
      <c r="D22201" s="69" t="s">
        <v>29420</v>
      </c>
      <c r="E22201" s="51"/>
      <c r="F22201" s="114" t="str">
        <f>IF(INDEX(I.Facility.P4IDNumber,2189)="","",INDEX(I.Facility.P4IDNumber,2189))</f>
        <v/>
      </c>
      <c r="G22201" s="51"/>
      <c r="H22201" s="46" t="str">
        <f>IF(AND(I.Developer.P4=TRUE,I.Facility.P4FacilityCount&gt;=2189,F22201=""),"Incomplete","Complete")</f>
        <v>Complete</v>
      </c>
      <c r="I22201" s="48" t="s">
        <v>26566</v>
      </c>
    </row>
    <row r="22202" spans="2:9" ht="15" customHeight="1" x14ac:dyDescent="0.25">
      <c r="B22202" s="55" t="s">
        <v>283</v>
      </c>
      <c r="C22202" s="46">
        <v>2190</v>
      </c>
      <c r="D22202" s="69" t="s">
        <v>29420</v>
      </c>
      <c r="E22202" s="51"/>
      <c r="F22202" s="114" t="str">
        <f>IF(INDEX(I.Facility.P4IDNumber,2190)="","",INDEX(I.Facility.P4IDNumber,2190))</f>
        <v/>
      </c>
      <c r="G22202" s="51"/>
      <c r="H22202" s="46" t="str">
        <f>IF(AND(I.Developer.P4=TRUE,I.Facility.P4FacilityCount&gt;=2190,F22202=""),"Incomplete","Complete")</f>
        <v>Complete</v>
      </c>
      <c r="I22202" s="48" t="s">
        <v>26567</v>
      </c>
    </row>
    <row r="22203" spans="2:9" ht="15" customHeight="1" x14ac:dyDescent="0.25">
      <c r="B22203" s="55" t="s">
        <v>283</v>
      </c>
      <c r="C22203" s="46">
        <v>2191</v>
      </c>
      <c r="D22203" s="69" t="s">
        <v>29420</v>
      </c>
      <c r="E22203" s="51"/>
      <c r="F22203" s="114" t="str">
        <f>IF(INDEX(I.Facility.P4IDNumber,2191)="","",INDEX(I.Facility.P4IDNumber,2191))</f>
        <v/>
      </c>
      <c r="G22203" s="51"/>
      <c r="H22203" s="46" t="str">
        <f>IF(AND(I.Developer.P4=TRUE,I.Facility.P4FacilityCount&gt;=2191,F22203=""),"Incomplete","Complete")</f>
        <v>Complete</v>
      </c>
      <c r="I22203" s="48" t="s">
        <v>26568</v>
      </c>
    </row>
    <row r="22204" spans="2:9" ht="15" customHeight="1" x14ac:dyDescent="0.25">
      <c r="B22204" s="55" t="s">
        <v>283</v>
      </c>
      <c r="C22204" s="46">
        <v>2192</v>
      </c>
      <c r="D22204" s="69" t="s">
        <v>29420</v>
      </c>
      <c r="E22204" s="51"/>
      <c r="F22204" s="114" t="str">
        <f>IF(INDEX(I.Facility.P4IDNumber,2192)="","",INDEX(I.Facility.P4IDNumber,2192))</f>
        <v/>
      </c>
      <c r="G22204" s="51"/>
      <c r="H22204" s="46" t="str">
        <f>IF(AND(I.Developer.P4=TRUE,I.Facility.P4FacilityCount&gt;=2192,F22204=""),"Incomplete","Complete")</f>
        <v>Complete</v>
      </c>
      <c r="I22204" s="48" t="s">
        <v>26569</v>
      </c>
    </row>
    <row r="22205" spans="2:9" ht="15" customHeight="1" x14ac:dyDescent="0.25">
      <c r="B22205" s="55" t="s">
        <v>283</v>
      </c>
      <c r="C22205" s="46">
        <v>2193</v>
      </c>
      <c r="D22205" s="69" t="s">
        <v>29420</v>
      </c>
      <c r="E22205" s="51"/>
      <c r="F22205" s="114" t="str">
        <f>IF(INDEX(I.Facility.P4IDNumber,2193)="","",INDEX(I.Facility.P4IDNumber,2193))</f>
        <v/>
      </c>
      <c r="G22205" s="51"/>
      <c r="H22205" s="46" t="str">
        <f>IF(AND(I.Developer.P4=TRUE,I.Facility.P4FacilityCount&gt;=2193,F22205=""),"Incomplete","Complete")</f>
        <v>Complete</v>
      </c>
      <c r="I22205" s="48" t="s">
        <v>26570</v>
      </c>
    </row>
    <row r="22206" spans="2:9" ht="15" customHeight="1" x14ac:dyDescent="0.25">
      <c r="B22206" s="55" t="s">
        <v>283</v>
      </c>
      <c r="C22206" s="46">
        <v>2194</v>
      </c>
      <c r="D22206" s="69" t="s">
        <v>29420</v>
      </c>
      <c r="E22206" s="51"/>
      <c r="F22206" s="114" t="str">
        <f>IF(INDEX(I.Facility.P4IDNumber,2194)="","",INDEX(I.Facility.P4IDNumber,2194))</f>
        <v/>
      </c>
      <c r="G22206" s="51"/>
      <c r="H22206" s="46" t="str">
        <f>IF(AND(I.Developer.P4=TRUE,I.Facility.P4FacilityCount&gt;=2194,F22206=""),"Incomplete","Complete")</f>
        <v>Complete</v>
      </c>
      <c r="I22206" s="48" t="s">
        <v>26571</v>
      </c>
    </row>
    <row r="22207" spans="2:9" ht="15" customHeight="1" x14ac:dyDescent="0.25">
      <c r="B22207" s="55" t="s">
        <v>283</v>
      </c>
      <c r="C22207" s="46">
        <v>2195</v>
      </c>
      <c r="D22207" s="69" t="s">
        <v>29420</v>
      </c>
      <c r="E22207" s="51"/>
      <c r="F22207" s="114" t="str">
        <f>IF(INDEX(I.Facility.P4IDNumber,2195)="","",INDEX(I.Facility.P4IDNumber,2195))</f>
        <v/>
      </c>
      <c r="G22207" s="51"/>
      <c r="H22207" s="46" t="str">
        <f>IF(AND(I.Developer.P4=TRUE,I.Facility.P4FacilityCount&gt;=2195,F22207=""),"Incomplete","Complete")</f>
        <v>Complete</v>
      </c>
      <c r="I22207" s="48" t="s">
        <v>26572</v>
      </c>
    </row>
    <row r="22208" spans="2:9" ht="15" customHeight="1" x14ac:dyDescent="0.25">
      <c r="B22208" s="55" t="s">
        <v>283</v>
      </c>
      <c r="C22208" s="46">
        <v>2196</v>
      </c>
      <c r="D22208" s="69" t="s">
        <v>29420</v>
      </c>
      <c r="E22208" s="51"/>
      <c r="F22208" s="114" t="str">
        <f>IF(INDEX(I.Facility.P4IDNumber,2196)="","",INDEX(I.Facility.P4IDNumber,2196))</f>
        <v/>
      </c>
      <c r="G22208" s="51"/>
      <c r="H22208" s="46" t="str">
        <f>IF(AND(I.Developer.P4=TRUE,I.Facility.P4FacilityCount&gt;=2196,F22208=""),"Incomplete","Complete")</f>
        <v>Complete</v>
      </c>
      <c r="I22208" s="48" t="s">
        <v>26573</v>
      </c>
    </row>
    <row r="22209" spans="2:9" ht="15" customHeight="1" x14ac:dyDescent="0.25">
      <c r="B22209" s="55" t="s">
        <v>283</v>
      </c>
      <c r="C22209" s="46">
        <v>2197</v>
      </c>
      <c r="D22209" s="69" t="s">
        <v>29420</v>
      </c>
      <c r="E22209" s="51"/>
      <c r="F22209" s="114" t="str">
        <f>IF(INDEX(I.Facility.P4IDNumber,2197)="","",INDEX(I.Facility.P4IDNumber,2197))</f>
        <v/>
      </c>
      <c r="G22209" s="51"/>
      <c r="H22209" s="46" t="str">
        <f>IF(AND(I.Developer.P4=TRUE,I.Facility.P4FacilityCount&gt;=2197,F22209=""),"Incomplete","Complete")</f>
        <v>Complete</v>
      </c>
      <c r="I22209" s="48" t="s">
        <v>26574</v>
      </c>
    </row>
    <row r="22210" spans="2:9" ht="15" customHeight="1" x14ac:dyDescent="0.25">
      <c r="B22210" s="55" t="s">
        <v>283</v>
      </c>
      <c r="C22210" s="46">
        <v>2198</v>
      </c>
      <c r="D22210" s="69" t="s">
        <v>29420</v>
      </c>
      <c r="E22210" s="51"/>
      <c r="F22210" s="114" t="str">
        <f>IF(INDEX(I.Facility.P4IDNumber,2198)="","",INDEX(I.Facility.P4IDNumber,2198))</f>
        <v/>
      </c>
      <c r="G22210" s="51"/>
      <c r="H22210" s="46" t="str">
        <f>IF(AND(I.Developer.P4=TRUE,I.Facility.P4FacilityCount&gt;=2198,F22210=""),"Incomplete","Complete")</f>
        <v>Complete</v>
      </c>
      <c r="I22210" s="48" t="s">
        <v>26575</v>
      </c>
    </row>
    <row r="22211" spans="2:9" ht="15" customHeight="1" x14ac:dyDescent="0.25">
      <c r="B22211" s="55" t="s">
        <v>283</v>
      </c>
      <c r="C22211" s="46">
        <v>2199</v>
      </c>
      <c r="D22211" s="69" t="s">
        <v>29420</v>
      </c>
      <c r="E22211" s="51"/>
      <c r="F22211" s="114" t="str">
        <f>IF(INDEX(I.Facility.P4IDNumber,2199)="","",INDEX(I.Facility.P4IDNumber,2199))</f>
        <v/>
      </c>
      <c r="G22211" s="51"/>
      <c r="H22211" s="46" t="str">
        <f>IF(AND(I.Developer.P4=TRUE,I.Facility.P4FacilityCount&gt;=2199,F22211=""),"Incomplete","Complete")</f>
        <v>Complete</v>
      </c>
      <c r="I22211" s="48" t="s">
        <v>26576</v>
      </c>
    </row>
    <row r="22212" spans="2:9" ht="15" customHeight="1" x14ac:dyDescent="0.25">
      <c r="B22212" s="55" t="s">
        <v>283</v>
      </c>
      <c r="C22212" s="46">
        <v>2200</v>
      </c>
      <c r="D22212" s="69" t="s">
        <v>29420</v>
      </c>
      <c r="E22212" s="51"/>
      <c r="F22212" s="114" t="str">
        <f>IF(INDEX(I.Facility.P4IDNumber,2200)="","",INDEX(I.Facility.P4IDNumber,2200))</f>
        <v/>
      </c>
      <c r="G22212" s="51"/>
      <c r="H22212" s="46" t="str">
        <f>IF(AND(I.Developer.P4=TRUE,I.Facility.P4FacilityCount&gt;=2200,F22212=""),"Incomplete","Complete")</f>
        <v>Complete</v>
      </c>
      <c r="I22212" s="48" t="s">
        <v>26577</v>
      </c>
    </row>
    <row r="22213" spans="2:9" ht="15" customHeight="1" x14ac:dyDescent="0.25">
      <c r="B22213" s="55" t="s">
        <v>283</v>
      </c>
      <c r="C22213" s="46">
        <v>2201</v>
      </c>
      <c r="D22213" s="69" t="s">
        <v>29420</v>
      </c>
      <c r="E22213" s="51"/>
      <c r="F22213" s="114" t="str">
        <f>IF(INDEX(I.Facility.P4IDNumber,2201)="","",INDEX(I.Facility.P4IDNumber,2201))</f>
        <v/>
      </c>
      <c r="G22213" s="51"/>
      <c r="H22213" s="46" t="str">
        <f>IF(AND(I.Developer.P4=TRUE,I.Facility.P4FacilityCount&gt;=2201,F22213=""),"Incomplete","Complete")</f>
        <v>Complete</v>
      </c>
      <c r="I22213" s="48" t="s">
        <v>26578</v>
      </c>
    </row>
    <row r="22214" spans="2:9" ht="15" customHeight="1" x14ac:dyDescent="0.25">
      <c r="B22214" s="55" t="s">
        <v>283</v>
      </c>
      <c r="C22214" s="46">
        <v>2202</v>
      </c>
      <c r="D22214" s="69" t="s">
        <v>29420</v>
      </c>
      <c r="E22214" s="51"/>
      <c r="F22214" s="114" t="str">
        <f>IF(INDEX(I.Facility.P4IDNumber,2202)="","",INDEX(I.Facility.P4IDNumber,2202))</f>
        <v/>
      </c>
      <c r="G22214" s="51"/>
      <c r="H22214" s="46" t="str">
        <f>IF(AND(I.Developer.P4=TRUE,I.Facility.P4FacilityCount&gt;=2202,F22214=""),"Incomplete","Complete")</f>
        <v>Complete</v>
      </c>
      <c r="I22214" s="48" t="s">
        <v>26579</v>
      </c>
    </row>
    <row r="22215" spans="2:9" ht="15" customHeight="1" x14ac:dyDescent="0.25">
      <c r="B22215" s="55" t="s">
        <v>283</v>
      </c>
      <c r="C22215" s="46">
        <v>2203</v>
      </c>
      <c r="D22215" s="69" t="s">
        <v>29420</v>
      </c>
      <c r="E22215" s="51"/>
      <c r="F22215" s="114" t="str">
        <f>IF(INDEX(I.Facility.P4IDNumber,2203)="","",INDEX(I.Facility.P4IDNumber,2203))</f>
        <v/>
      </c>
      <c r="G22215" s="51"/>
      <c r="H22215" s="46" t="str">
        <f>IF(AND(I.Developer.P4=TRUE,I.Facility.P4FacilityCount&gt;=2203,F22215=""),"Incomplete","Complete")</f>
        <v>Complete</v>
      </c>
      <c r="I22215" s="48" t="s">
        <v>26580</v>
      </c>
    </row>
    <row r="22216" spans="2:9" ht="15" customHeight="1" x14ac:dyDescent="0.25">
      <c r="B22216" s="55" t="s">
        <v>283</v>
      </c>
      <c r="C22216" s="46">
        <v>2204</v>
      </c>
      <c r="D22216" s="69" t="s">
        <v>29420</v>
      </c>
      <c r="E22216" s="51"/>
      <c r="F22216" s="114" t="str">
        <f>IF(INDEX(I.Facility.P4IDNumber,2204)="","",INDEX(I.Facility.P4IDNumber,2204))</f>
        <v/>
      </c>
      <c r="G22216" s="51"/>
      <c r="H22216" s="46" t="str">
        <f>IF(AND(I.Developer.P4=TRUE,I.Facility.P4FacilityCount&gt;=2204,F22216=""),"Incomplete","Complete")</f>
        <v>Complete</v>
      </c>
      <c r="I22216" s="48" t="s">
        <v>26581</v>
      </c>
    </row>
    <row r="22217" spans="2:9" ht="15" customHeight="1" x14ac:dyDescent="0.25">
      <c r="B22217" s="55" t="s">
        <v>283</v>
      </c>
      <c r="C22217" s="46">
        <v>2205</v>
      </c>
      <c r="D22217" s="69" t="s">
        <v>29420</v>
      </c>
      <c r="E22217" s="51"/>
      <c r="F22217" s="114" t="str">
        <f>IF(INDEX(I.Facility.P4IDNumber,2205)="","",INDEX(I.Facility.P4IDNumber,2205))</f>
        <v/>
      </c>
      <c r="G22217" s="51"/>
      <c r="H22217" s="46" t="str">
        <f>IF(AND(I.Developer.P4=TRUE,I.Facility.P4FacilityCount&gt;=2205,F22217=""),"Incomplete","Complete")</f>
        <v>Complete</v>
      </c>
      <c r="I22217" s="48" t="s">
        <v>26582</v>
      </c>
    </row>
    <row r="22218" spans="2:9" ht="15" customHeight="1" x14ac:dyDescent="0.25">
      <c r="B22218" s="55" t="s">
        <v>283</v>
      </c>
      <c r="C22218" s="46">
        <v>2206</v>
      </c>
      <c r="D22218" s="69" t="s">
        <v>29420</v>
      </c>
      <c r="E22218" s="51"/>
      <c r="F22218" s="114" t="str">
        <f>IF(INDEX(I.Facility.P4IDNumber,2206)="","",INDEX(I.Facility.P4IDNumber,2206))</f>
        <v/>
      </c>
      <c r="G22218" s="51"/>
      <c r="H22218" s="46" t="str">
        <f>IF(AND(I.Developer.P4=TRUE,I.Facility.P4FacilityCount&gt;=2206,F22218=""),"Incomplete","Complete")</f>
        <v>Complete</v>
      </c>
      <c r="I22218" s="48" t="s">
        <v>26583</v>
      </c>
    </row>
    <row r="22219" spans="2:9" ht="15" customHeight="1" x14ac:dyDescent="0.25">
      <c r="B22219" s="55" t="s">
        <v>283</v>
      </c>
      <c r="C22219" s="46">
        <v>2207</v>
      </c>
      <c r="D22219" s="69" t="s">
        <v>29420</v>
      </c>
      <c r="E22219" s="51"/>
      <c r="F22219" s="114" t="str">
        <f>IF(INDEX(I.Facility.P4IDNumber,2207)="","",INDEX(I.Facility.P4IDNumber,2207))</f>
        <v/>
      </c>
      <c r="G22219" s="51"/>
      <c r="H22219" s="46" t="str">
        <f>IF(AND(I.Developer.P4=TRUE,I.Facility.P4FacilityCount&gt;=2207,F22219=""),"Incomplete","Complete")</f>
        <v>Complete</v>
      </c>
      <c r="I22219" s="48" t="s">
        <v>26584</v>
      </c>
    </row>
    <row r="22220" spans="2:9" ht="15" customHeight="1" x14ac:dyDescent="0.25">
      <c r="B22220" s="55" t="s">
        <v>283</v>
      </c>
      <c r="C22220" s="46">
        <v>2208</v>
      </c>
      <c r="D22220" s="69" t="s">
        <v>29420</v>
      </c>
      <c r="E22220" s="51"/>
      <c r="F22220" s="114" t="str">
        <f>IF(INDEX(I.Facility.P4IDNumber,2208)="","",INDEX(I.Facility.P4IDNumber,2208))</f>
        <v/>
      </c>
      <c r="G22220" s="51"/>
      <c r="H22220" s="46" t="str">
        <f>IF(AND(I.Developer.P4=TRUE,I.Facility.P4FacilityCount&gt;=2208,F22220=""),"Incomplete","Complete")</f>
        <v>Complete</v>
      </c>
      <c r="I22220" s="48" t="s">
        <v>26585</v>
      </c>
    </row>
    <row r="22221" spans="2:9" ht="15" customHeight="1" x14ac:dyDescent="0.25">
      <c r="B22221" s="55" t="s">
        <v>283</v>
      </c>
      <c r="C22221" s="46">
        <v>2209</v>
      </c>
      <c r="D22221" s="69" t="s">
        <v>29420</v>
      </c>
      <c r="E22221" s="51"/>
      <c r="F22221" s="114" t="str">
        <f>IF(INDEX(I.Facility.P4IDNumber,2209)="","",INDEX(I.Facility.P4IDNumber,2209))</f>
        <v/>
      </c>
      <c r="G22221" s="51"/>
      <c r="H22221" s="46" t="str">
        <f>IF(AND(I.Developer.P4=TRUE,I.Facility.P4FacilityCount&gt;=2209,F22221=""),"Incomplete","Complete")</f>
        <v>Complete</v>
      </c>
      <c r="I22221" s="48" t="s">
        <v>26586</v>
      </c>
    </row>
    <row r="22222" spans="2:9" ht="15" customHeight="1" x14ac:dyDescent="0.25">
      <c r="B22222" s="55" t="s">
        <v>283</v>
      </c>
      <c r="C22222" s="46">
        <v>2210</v>
      </c>
      <c r="D22222" s="69" t="s">
        <v>29420</v>
      </c>
      <c r="E22222" s="51"/>
      <c r="F22222" s="114" t="str">
        <f>IF(INDEX(I.Facility.P4IDNumber,2210)="","",INDEX(I.Facility.P4IDNumber,2210))</f>
        <v/>
      </c>
      <c r="G22222" s="51"/>
      <c r="H22222" s="46" t="str">
        <f>IF(AND(I.Developer.P4=TRUE,I.Facility.P4FacilityCount&gt;=2210,F22222=""),"Incomplete","Complete")</f>
        <v>Complete</v>
      </c>
      <c r="I22222" s="48" t="s">
        <v>26587</v>
      </c>
    </row>
    <row r="22223" spans="2:9" ht="15" customHeight="1" x14ac:dyDescent="0.25">
      <c r="B22223" s="55" t="s">
        <v>283</v>
      </c>
      <c r="C22223" s="46">
        <v>2211</v>
      </c>
      <c r="D22223" s="69" t="s">
        <v>29420</v>
      </c>
      <c r="E22223" s="51"/>
      <c r="F22223" s="114" t="str">
        <f>IF(INDEX(I.Facility.P4IDNumber,2211)="","",INDEX(I.Facility.P4IDNumber,2211))</f>
        <v/>
      </c>
      <c r="G22223" s="51"/>
      <c r="H22223" s="46" t="str">
        <f>IF(AND(I.Developer.P4=TRUE,I.Facility.P4FacilityCount&gt;=2211,F22223=""),"Incomplete","Complete")</f>
        <v>Complete</v>
      </c>
      <c r="I22223" s="48" t="s">
        <v>26588</v>
      </c>
    </row>
    <row r="22224" spans="2:9" ht="15" customHeight="1" x14ac:dyDescent="0.25">
      <c r="B22224" s="55" t="s">
        <v>283</v>
      </c>
      <c r="C22224" s="46">
        <v>2212</v>
      </c>
      <c r="D22224" s="69" t="s">
        <v>29420</v>
      </c>
      <c r="E22224" s="51"/>
      <c r="F22224" s="114" t="str">
        <f>IF(INDEX(I.Facility.P4IDNumber,2212)="","",INDEX(I.Facility.P4IDNumber,2212))</f>
        <v/>
      </c>
      <c r="G22224" s="51"/>
      <c r="H22224" s="46" t="str">
        <f>IF(AND(I.Developer.P4=TRUE,I.Facility.P4FacilityCount&gt;=2212,F22224=""),"Incomplete","Complete")</f>
        <v>Complete</v>
      </c>
      <c r="I22224" s="48" t="s">
        <v>26589</v>
      </c>
    </row>
    <row r="22225" spans="2:9" ht="15" customHeight="1" x14ac:dyDescent="0.25">
      <c r="B22225" s="55" t="s">
        <v>283</v>
      </c>
      <c r="C22225" s="46">
        <v>2213</v>
      </c>
      <c r="D22225" s="69" t="s">
        <v>29420</v>
      </c>
      <c r="E22225" s="51"/>
      <c r="F22225" s="114" t="str">
        <f>IF(INDEX(I.Facility.P4IDNumber,2213)="","",INDEX(I.Facility.P4IDNumber,2213))</f>
        <v/>
      </c>
      <c r="G22225" s="51"/>
      <c r="H22225" s="46" t="str">
        <f>IF(AND(I.Developer.P4=TRUE,I.Facility.P4FacilityCount&gt;=2213,F22225=""),"Incomplete","Complete")</f>
        <v>Complete</v>
      </c>
      <c r="I22225" s="48" t="s">
        <v>26590</v>
      </c>
    </row>
    <row r="22226" spans="2:9" ht="15" customHeight="1" x14ac:dyDescent="0.25">
      <c r="B22226" s="55" t="s">
        <v>283</v>
      </c>
      <c r="C22226" s="46">
        <v>2214</v>
      </c>
      <c r="D22226" s="69" t="s">
        <v>29420</v>
      </c>
      <c r="E22226" s="51"/>
      <c r="F22226" s="114" t="str">
        <f>IF(INDEX(I.Facility.P4IDNumber,2214)="","",INDEX(I.Facility.P4IDNumber,2214))</f>
        <v/>
      </c>
      <c r="G22226" s="51"/>
      <c r="H22226" s="46" t="str">
        <f>IF(AND(I.Developer.P4=TRUE,I.Facility.P4FacilityCount&gt;=2214,F22226=""),"Incomplete","Complete")</f>
        <v>Complete</v>
      </c>
      <c r="I22226" s="48" t="s">
        <v>26591</v>
      </c>
    </row>
    <row r="22227" spans="2:9" ht="15" customHeight="1" x14ac:dyDescent="0.25">
      <c r="B22227" s="55" t="s">
        <v>283</v>
      </c>
      <c r="C22227" s="46">
        <v>2215</v>
      </c>
      <c r="D22227" s="69" t="s">
        <v>29420</v>
      </c>
      <c r="E22227" s="51"/>
      <c r="F22227" s="114" t="str">
        <f>IF(INDEX(I.Facility.P4IDNumber,2215)="","",INDEX(I.Facility.P4IDNumber,2215))</f>
        <v/>
      </c>
      <c r="G22227" s="51"/>
      <c r="H22227" s="46" t="str">
        <f>IF(AND(I.Developer.P4=TRUE,I.Facility.P4FacilityCount&gt;=2215,F22227=""),"Incomplete","Complete")</f>
        <v>Complete</v>
      </c>
      <c r="I22227" s="48" t="s">
        <v>26592</v>
      </c>
    </row>
    <row r="22228" spans="2:9" ht="15" customHeight="1" x14ac:dyDescent="0.25">
      <c r="B22228" s="55" t="s">
        <v>283</v>
      </c>
      <c r="C22228" s="46">
        <v>2216</v>
      </c>
      <c r="D22228" s="69" t="s">
        <v>29420</v>
      </c>
      <c r="E22228" s="51"/>
      <c r="F22228" s="114" t="str">
        <f>IF(INDEX(I.Facility.P4IDNumber,2216)="","",INDEX(I.Facility.P4IDNumber,2216))</f>
        <v/>
      </c>
      <c r="G22228" s="51"/>
      <c r="H22228" s="46" t="str">
        <f>IF(AND(I.Developer.P4=TRUE,I.Facility.P4FacilityCount&gt;=2216,F22228=""),"Incomplete","Complete")</f>
        <v>Complete</v>
      </c>
      <c r="I22228" s="48" t="s">
        <v>26593</v>
      </c>
    </row>
    <row r="22229" spans="2:9" ht="15" customHeight="1" x14ac:dyDescent="0.25">
      <c r="B22229" s="55" t="s">
        <v>283</v>
      </c>
      <c r="C22229" s="46">
        <v>2217</v>
      </c>
      <c r="D22229" s="69" t="s">
        <v>29420</v>
      </c>
      <c r="E22229" s="51"/>
      <c r="F22229" s="114" t="str">
        <f>IF(INDEX(I.Facility.P4IDNumber,2217)="","",INDEX(I.Facility.P4IDNumber,2217))</f>
        <v/>
      </c>
      <c r="G22229" s="51"/>
      <c r="H22229" s="46" t="str">
        <f>IF(AND(I.Developer.P4=TRUE,I.Facility.P4FacilityCount&gt;=2217,F22229=""),"Incomplete","Complete")</f>
        <v>Complete</v>
      </c>
      <c r="I22229" s="48" t="s">
        <v>26594</v>
      </c>
    </row>
    <row r="22230" spans="2:9" ht="15" customHeight="1" x14ac:dyDescent="0.25">
      <c r="B22230" s="55" t="s">
        <v>283</v>
      </c>
      <c r="C22230" s="46">
        <v>2218</v>
      </c>
      <c r="D22230" s="69" t="s">
        <v>29420</v>
      </c>
      <c r="E22230" s="51"/>
      <c r="F22230" s="114" t="str">
        <f>IF(INDEX(I.Facility.P4IDNumber,2218)="","",INDEX(I.Facility.P4IDNumber,2218))</f>
        <v/>
      </c>
      <c r="G22230" s="51"/>
      <c r="H22230" s="46" t="str">
        <f>IF(AND(I.Developer.P4=TRUE,I.Facility.P4FacilityCount&gt;=2218,F22230=""),"Incomplete","Complete")</f>
        <v>Complete</v>
      </c>
      <c r="I22230" s="48" t="s">
        <v>26595</v>
      </c>
    </row>
    <row r="22231" spans="2:9" ht="15" customHeight="1" x14ac:dyDescent="0.25">
      <c r="B22231" s="55" t="s">
        <v>283</v>
      </c>
      <c r="C22231" s="46">
        <v>2219</v>
      </c>
      <c r="D22231" s="69" t="s">
        <v>29420</v>
      </c>
      <c r="E22231" s="51"/>
      <c r="F22231" s="114" t="str">
        <f>IF(INDEX(I.Facility.P4IDNumber,2219)="","",INDEX(I.Facility.P4IDNumber,2219))</f>
        <v/>
      </c>
      <c r="G22231" s="51"/>
      <c r="H22231" s="46" t="str">
        <f>IF(AND(I.Developer.P4=TRUE,I.Facility.P4FacilityCount&gt;=2219,F22231=""),"Incomplete","Complete")</f>
        <v>Complete</v>
      </c>
      <c r="I22231" s="48" t="s">
        <v>26596</v>
      </c>
    </row>
    <row r="22232" spans="2:9" ht="15" customHeight="1" x14ac:dyDescent="0.25">
      <c r="B22232" s="55" t="s">
        <v>283</v>
      </c>
      <c r="C22232" s="46">
        <v>2220</v>
      </c>
      <c r="D22232" s="69" t="s">
        <v>29420</v>
      </c>
      <c r="E22232" s="51"/>
      <c r="F22232" s="114" t="str">
        <f>IF(INDEX(I.Facility.P4IDNumber,2220)="","",INDEX(I.Facility.P4IDNumber,2220))</f>
        <v/>
      </c>
      <c r="G22232" s="51"/>
      <c r="H22232" s="46" t="str">
        <f>IF(AND(I.Developer.P4=TRUE,I.Facility.P4FacilityCount&gt;=2220,F22232=""),"Incomplete","Complete")</f>
        <v>Complete</v>
      </c>
      <c r="I22232" s="48" t="s">
        <v>26597</v>
      </c>
    </row>
    <row r="22233" spans="2:9" ht="15" customHeight="1" x14ac:dyDescent="0.25">
      <c r="B22233" s="55" t="s">
        <v>283</v>
      </c>
      <c r="C22233" s="46">
        <v>2221</v>
      </c>
      <c r="D22233" s="69" t="s">
        <v>29420</v>
      </c>
      <c r="E22233" s="51"/>
      <c r="F22233" s="114" t="str">
        <f>IF(INDEX(I.Facility.P4IDNumber,2221)="","",INDEX(I.Facility.P4IDNumber,2221))</f>
        <v/>
      </c>
      <c r="G22233" s="51"/>
      <c r="H22233" s="46" t="str">
        <f>IF(AND(I.Developer.P4=TRUE,I.Facility.P4FacilityCount&gt;=2221,F22233=""),"Incomplete","Complete")</f>
        <v>Complete</v>
      </c>
      <c r="I22233" s="48" t="s">
        <v>26598</v>
      </c>
    </row>
    <row r="22234" spans="2:9" ht="15" customHeight="1" x14ac:dyDescent="0.25">
      <c r="B22234" s="55" t="s">
        <v>283</v>
      </c>
      <c r="C22234" s="46">
        <v>2222</v>
      </c>
      <c r="D22234" s="69" t="s">
        <v>29420</v>
      </c>
      <c r="E22234" s="51"/>
      <c r="F22234" s="114" t="str">
        <f>IF(INDEX(I.Facility.P4IDNumber,2222)="","",INDEX(I.Facility.P4IDNumber,2222))</f>
        <v/>
      </c>
      <c r="G22234" s="51"/>
      <c r="H22234" s="46" t="str">
        <f>IF(AND(I.Developer.P4=TRUE,I.Facility.P4FacilityCount&gt;=2222,F22234=""),"Incomplete","Complete")</f>
        <v>Complete</v>
      </c>
      <c r="I22234" s="48" t="s">
        <v>26599</v>
      </c>
    </row>
    <row r="22235" spans="2:9" ht="15" customHeight="1" x14ac:dyDescent="0.25">
      <c r="B22235" s="55" t="s">
        <v>283</v>
      </c>
      <c r="C22235" s="46">
        <v>2223</v>
      </c>
      <c r="D22235" s="69" t="s">
        <v>29420</v>
      </c>
      <c r="E22235" s="51"/>
      <c r="F22235" s="114" t="str">
        <f>IF(INDEX(I.Facility.P4IDNumber,2223)="","",INDEX(I.Facility.P4IDNumber,2223))</f>
        <v/>
      </c>
      <c r="G22235" s="51"/>
      <c r="H22235" s="46" t="str">
        <f>IF(AND(I.Developer.P4=TRUE,I.Facility.P4FacilityCount&gt;=2223,F22235=""),"Incomplete","Complete")</f>
        <v>Complete</v>
      </c>
      <c r="I22235" s="48" t="s">
        <v>26600</v>
      </c>
    </row>
    <row r="22236" spans="2:9" ht="15" customHeight="1" x14ac:dyDescent="0.25">
      <c r="B22236" s="55" t="s">
        <v>283</v>
      </c>
      <c r="C22236" s="46">
        <v>2224</v>
      </c>
      <c r="D22236" s="69" t="s">
        <v>29420</v>
      </c>
      <c r="E22236" s="51"/>
      <c r="F22236" s="114" t="str">
        <f>IF(INDEX(I.Facility.P4IDNumber,2224)="","",INDEX(I.Facility.P4IDNumber,2224))</f>
        <v/>
      </c>
      <c r="G22236" s="51"/>
      <c r="H22236" s="46" t="str">
        <f>IF(AND(I.Developer.P4=TRUE,I.Facility.P4FacilityCount&gt;=2224,F22236=""),"Incomplete","Complete")</f>
        <v>Complete</v>
      </c>
      <c r="I22236" s="48" t="s">
        <v>26601</v>
      </c>
    </row>
    <row r="22237" spans="2:9" ht="15" customHeight="1" x14ac:dyDescent="0.25">
      <c r="B22237" s="55" t="s">
        <v>283</v>
      </c>
      <c r="C22237" s="46">
        <v>2225</v>
      </c>
      <c r="D22237" s="69" t="s">
        <v>29420</v>
      </c>
      <c r="E22237" s="51"/>
      <c r="F22237" s="114" t="str">
        <f>IF(INDEX(I.Facility.P4IDNumber,2225)="","",INDEX(I.Facility.P4IDNumber,2225))</f>
        <v/>
      </c>
      <c r="G22237" s="51"/>
      <c r="H22237" s="46" t="str">
        <f>IF(AND(I.Developer.P4=TRUE,I.Facility.P4FacilityCount&gt;=2225,F22237=""),"Incomplete","Complete")</f>
        <v>Complete</v>
      </c>
      <c r="I22237" s="48" t="s">
        <v>26602</v>
      </c>
    </row>
    <row r="22238" spans="2:9" ht="15" customHeight="1" x14ac:dyDescent="0.25">
      <c r="B22238" s="55" t="s">
        <v>283</v>
      </c>
      <c r="C22238" s="46">
        <v>2226</v>
      </c>
      <c r="D22238" s="69" t="s">
        <v>29420</v>
      </c>
      <c r="E22238" s="51"/>
      <c r="F22238" s="114" t="str">
        <f>IF(INDEX(I.Facility.P4IDNumber,2226)="","",INDEX(I.Facility.P4IDNumber,2226))</f>
        <v/>
      </c>
      <c r="G22238" s="51"/>
      <c r="H22238" s="46" t="str">
        <f>IF(AND(I.Developer.P4=TRUE,I.Facility.P4FacilityCount&gt;=2226,F22238=""),"Incomplete","Complete")</f>
        <v>Complete</v>
      </c>
      <c r="I22238" s="48" t="s">
        <v>26603</v>
      </c>
    </row>
    <row r="22239" spans="2:9" ht="15" customHeight="1" x14ac:dyDescent="0.25">
      <c r="B22239" s="55" t="s">
        <v>283</v>
      </c>
      <c r="C22239" s="46">
        <v>2227</v>
      </c>
      <c r="D22239" s="69" t="s">
        <v>29420</v>
      </c>
      <c r="E22239" s="51"/>
      <c r="F22239" s="114" t="str">
        <f>IF(INDEX(I.Facility.P4IDNumber,2227)="","",INDEX(I.Facility.P4IDNumber,2227))</f>
        <v/>
      </c>
      <c r="G22239" s="51"/>
      <c r="H22239" s="46" t="str">
        <f>IF(AND(I.Developer.P4=TRUE,I.Facility.P4FacilityCount&gt;=2227,F22239=""),"Incomplete","Complete")</f>
        <v>Complete</v>
      </c>
      <c r="I22239" s="48" t="s">
        <v>26604</v>
      </c>
    </row>
    <row r="22240" spans="2:9" ht="15" customHeight="1" x14ac:dyDescent="0.25">
      <c r="B22240" s="55" t="s">
        <v>283</v>
      </c>
      <c r="C22240" s="46">
        <v>2228</v>
      </c>
      <c r="D22240" s="69" t="s">
        <v>29420</v>
      </c>
      <c r="E22240" s="51"/>
      <c r="F22240" s="114" t="str">
        <f>IF(INDEX(I.Facility.P4IDNumber,2228)="","",INDEX(I.Facility.P4IDNumber,2228))</f>
        <v/>
      </c>
      <c r="G22240" s="51"/>
      <c r="H22240" s="46" t="str">
        <f>IF(AND(I.Developer.P4=TRUE,I.Facility.P4FacilityCount&gt;=2228,F22240=""),"Incomplete","Complete")</f>
        <v>Complete</v>
      </c>
      <c r="I22240" s="48" t="s">
        <v>26605</v>
      </c>
    </row>
    <row r="22241" spans="2:9" ht="15" customHeight="1" x14ac:dyDescent="0.25">
      <c r="B22241" s="55" t="s">
        <v>283</v>
      </c>
      <c r="C22241" s="46">
        <v>2229</v>
      </c>
      <c r="D22241" s="69" t="s">
        <v>29420</v>
      </c>
      <c r="E22241" s="51"/>
      <c r="F22241" s="114" t="str">
        <f>IF(INDEX(I.Facility.P4IDNumber,2229)="","",INDEX(I.Facility.P4IDNumber,2229))</f>
        <v/>
      </c>
      <c r="G22241" s="51"/>
      <c r="H22241" s="46" t="str">
        <f>IF(AND(I.Developer.P4=TRUE,I.Facility.P4FacilityCount&gt;=2229,F22241=""),"Incomplete","Complete")</f>
        <v>Complete</v>
      </c>
      <c r="I22241" s="48" t="s">
        <v>26606</v>
      </c>
    </row>
    <row r="22242" spans="2:9" ht="15" customHeight="1" x14ac:dyDescent="0.25">
      <c r="B22242" s="55" t="s">
        <v>283</v>
      </c>
      <c r="C22242" s="46">
        <v>2230</v>
      </c>
      <c r="D22242" s="69" t="s">
        <v>29420</v>
      </c>
      <c r="E22242" s="51"/>
      <c r="F22242" s="114" t="str">
        <f>IF(INDEX(I.Facility.P4IDNumber,2230)="","",INDEX(I.Facility.P4IDNumber,2230))</f>
        <v/>
      </c>
      <c r="G22242" s="51"/>
      <c r="H22242" s="46" t="str">
        <f>IF(AND(I.Developer.P4=TRUE,I.Facility.P4FacilityCount&gt;=2230,F22242=""),"Incomplete","Complete")</f>
        <v>Complete</v>
      </c>
      <c r="I22242" s="48" t="s">
        <v>26607</v>
      </c>
    </row>
    <row r="22243" spans="2:9" ht="15" customHeight="1" x14ac:dyDescent="0.25">
      <c r="B22243" s="55" t="s">
        <v>283</v>
      </c>
      <c r="C22243" s="46">
        <v>2231</v>
      </c>
      <c r="D22243" s="69" t="s">
        <v>29420</v>
      </c>
      <c r="E22243" s="51"/>
      <c r="F22243" s="114" t="str">
        <f>IF(INDEX(I.Facility.P4IDNumber,2231)="","",INDEX(I.Facility.P4IDNumber,2231))</f>
        <v/>
      </c>
      <c r="G22243" s="51"/>
      <c r="H22243" s="46" t="str">
        <f>IF(AND(I.Developer.P4=TRUE,I.Facility.P4FacilityCount&gt;=2231,F22243=""),"Incomplete","Complete")</f>
        <v>Complete</v>
      </c>
      <c r="I22243" s="48" t="s">
        <v>26608</v>
      </c>
    </row>
    <row r="22244" spans="2:9" ht="15" customHeight="1" x14ac:dyDescent="0.25">
      <c r="B22244" s="55" t="s">
        <v>283</v>
      </c>
      <c r="C22244" s="46">
        <v>2232</v>
      </c>
      <c r="D22244" s="69" t="s">
        <v>29420</v>
      </c>
      <c r="E22244" s="51"/>
      <c r="F22244" s="114" t="str">
        <f>IF(INDEX(I.Facility.P4IDNumber,2232)="","",INDEX(I.Facility.P4IDNumber,2232))</f>
        <v/>
      </c>
      <c r="G22244" s="51"/>
      <c r="H22244" s="46" t="str">
        <f>IF(AND(I.Developer.P4=TRUE,I.Facility.P4FacilityCount&gt;=2232,F22244=""),"Incomplete","Complete")</f>
        <v>Complete</v>
      </c>
      <c r="I22244" s="48" t="s">
        <v>26609</v>
      </c>
    </row>
    <row r="22245" spans="2:9" ht="15" customHeight="1" x14ac:dyDescent="0.25">
      <c r="B22245" s="55" t="s">
        <v>283</v>
      </c>
      <c r="C22245" s="46">
        <v>2233</v>
      </c>
      <c r="D22245" s="69" t="s">
        <v>29420</v>
      </c>
      <c r="E22245" s="51"/>
      <c r="F22245" s="114" t="str">
        <f>IF(INDEX(I.Facility.P4IDNumber,2233)="","",INDEX(I.Facility.P4IDNumber,2233))</f>
        <v/>
      </c>
      <c r="G22245" s="51"/>
      <c r="H22245" s="46" t="str">
        <f>IF(AND(I.Developer.P4=TRUE,I.Facility.P4FacilityCount&gt;=2233,F22245=""),"Incomplete","Complete")</f>
        <v>Complete</v>
      </c>
      <c r="I22245" s="48" t="s">
        <v>26610</v>
      </c>
    </row>
    <row r="22246" spans="2:9" ht="15" customHeight="1" x14ac:dyDescent="0.25">
      <c r="B22246" s="55" t="s">
        <v>283</v>
      </c>
      <c r="C22246" s="46">
        <v>2234</v>
      </c>
      <c r="D22246" s="69" t="s">
        <v>29420</v>
      </c>
      <c r="E22246" s="51"/>
      <c r="F22246" s="114" t="str">
        <f>IF(INDEX(I.Facility.P4IDNumber,2234)="","",INDEX(I.Facility.P4IDNumber,2234))</f>
        <v/>
      </c>
      <c r="G22246" s="51"/>
      <c r="H22246" s="46" t="str">
        <f>IF(AND(I.Developer.P4=TRUE,I.Facility.P4FacilityCount&gt;=2234,F22246=""),"Incomplete","Complete")</f>
        <v>Complete</v>
      </c>
      <c r="I22246" s="48" t="s">
        <v>26611</v>
      </c>
    </row>
    <row r="22247" spans="2:9" ht="15" customHeight="1" x14ac:dyDescent="0.25">
      <c r="B22247" s="55" t="s">
        <v>283</v>
      </c>
      <c r="C22247" s="46">
        <v>2235</v>
      </c>
      <c r="D22247" s="69" t="s">
        <v>29420</v>
      </c>
      <c r="E22247" s="51"/>
      <c r="F22247" s="114" t="str">
        <f>IF(INDEX(I.Facility.P4IDNumber,2235)="","",INDEX(I.Facility.P4IDNumber,2235))</f>
        <v/>
      </c>
      <c r="G22247" s="51"/>
      <c r="H22247" s="46" t="str">
        <f>IF(AND(I.Developer.P4=TRUE,I.Facility.P4FacilityCount&gt;=2235,F22247=""),"Incomplete","Complete")</f>
        <v>Complete</v>
      </c>
      <c r="I22247" s="48" t="s">
        <v>26612</v>
      </c>
    </row>
    <row r="22248" spans="2:9" ht="15" customHeight="1" x14ac:dyDescent="0.25">
      <c r="B22248" s="55" t="s">
        <v>283</v>
      </c>
      <c r="C22248" s="46">
        <v>2236</v>
      </c>
      <c r="D22248" s="69" t="s">
        <v>29420</v>
      </c>
      <c r="E22248" s="51"/>
      <c r="F22248" s="114" t="str">
        <f>IF(INDEX(I.Facility.P4IDNumber,2236)="","",INDEX(I.Facility.P4IDNumber,2236))</f>
        <v/>
      </c>
      <c r="G22248" s="51"/>
      <c r="H22248" s="46" t="str">
        <f>IF(AND(I.Developer.P4=TRUE,I.Facility.P4FacilityCount&gt;=2236,F22248=""),"Incomplete","Complete")</f>
        <v>Complete</v>
      </c>
      <c r="I22248" s="48" t="s">
        <v>26613</v>
      </c>
    </row>
    <row r="22249" spans="2:9" ht="15" customHeight="1" x14ac:dyDescent="0.25">
      <c r="B22249" s="55" t="s">
        <v>283</v>
      </c>
      <c r="C22249" s="46">
        <v>2237</v>
      </c>
      <c r="D22249" s="69" t="s">
        <v>29420</v>
      </c>
      <c r="E22249" s="51"/>
      <c r="F22249" s="114" t="str">
        <f>IF(INDEX(I.Facility.P4IDNumber,2237)="","",INDEX(I.Facility.P4IDNumber,2237))</f>
        <v/>
      </c>
      <c r="G22249" s="51"/>
      <c r="H22249" s="46" t="str">
        <f>IF(AND(I.Developer.P4=TRUE,I.Facility.P4FacilityCount&gt;=2237,F22249=""),"Incomplete","Complete")</f>
        <v>Complete</v>
      </c>
      <c r="I22249" s="48" t="s">
        <v>26614</v>
      </c>
    </row>
    <row r="22250" spans="2:9" ht="15" customHeight="1" x14ac:dyDescent="0.25">
      <c r="B22250" s="55" t="s">
        <v>283</v>
      </c>
      <c r="C22250" s="46">
        <v>2238</v>
      </c>
      <c r="D22250" s="69" t="s">
        <v>29420</v>
      </c>
      <c r="E22250" s="51"/>
      <c r="F22250" s="114" t="str">
        <f>IF(INDEX(I.Facility.P4IDNumber,2238)="","",INDEX(I.Facility.P4IDNumber,2238))</f>
        <v/>
      </c>
      <c r="G22250" s="51"/>
      <c r="H22250" s="46" t="str">
        <f>IF(AND(I.Developer.P4=TRUE,I.Facility.P4FacilityCount&gt;=2238,F22250=""),"Incomplete","Complete")</f>
        <v>Complete</v>
      </c>
      <c r="I22250" s="48" t="s">
        <v>26615</v>
      </c>
    </row>
    <row r="22251" spans="2:9" ht="15" customHeight="1" x14ac:dyDescent="0.25">
      <c r="B22251" s="55" t="s">
        <v>283</v>
      </c>
      <c r="C22251" s="46">
        <v>2239</v>
      </c>
      <c r="D22251" s="69" t="s">
        <v>29420</v>
      </c>
      <c r="E22251" s="51"/>
      <c r="F22251" s="114" t="str">
        <f>IF(INDEX(I.Facility.P4IDNumber,2239)="","",INDEX(I.Facility.P4IDNumber,2239))</f>
        <v/>
      </c>
      <c r="G22251" s="51"/>
      <c r="H22251" s="46" t="str">
        <f>IF(AND(I.Developer.P4=TRUE,I.Facility.P4FacilityCount&gt;=2239,F22251=""),"Incomplete","Complete")</f>
        <v>Complete</v>
      </c>
      <c r="I22251" s="48" t="s">
        <v>26616</v>
      </c>
    </row>
    <row r="22252" spans="2:9" ht="15" customHeight="1" x14ac:dyDescent="0.25">
      <c r="B22252" s="55" t="s">
        <v>283</v>
      </c>
      <c r="C22252" s="46">
        <v>2240</v>
      </c>
      <c r="D22252" s="69" t="s">
        <v>29420</v>
      </c>
      <c r="E22252" s="51"/>
      <c r="F22252" s="114" t="str">
        <f>IF(INDEX(I.Facility.P4IDNumber,2240)="","",INDEX(I.Facility.P4IDNumber,2240))</f>
        <v/>
      </c>
      <c r="G22252" s="51"/>
      <c r="H22252" s="46" t="str">
        <f>IF(AND(I.Developer.P4=TRUE,I.Facility.P4FacilityCount&gt;=2240,F22252=""),"Incomplete","Complete")</f>
        <v>Complete</v>
      </c>
      <c r="I22252" s="48" t="s">
        <v>26617</v>
      </c>
    </row>
    <row r="22253" spans="2:9" ht="15" customHeight="1" x14ac:dyDescent="0.25">
      <c r="B22253" s="55" t="s">
        <v>283</v>
      </c>
      <c r="C22253" s="46">
        <v>2241</v>
      </c>
      <c r="D22253" s="69" t="s">
        <v>29420</v>
      </c>
      <c r="E22253" s="51"/>
      <c r="F22253" s="114" t="str">
        <f>IF(INDEX(I.Facility.P4IDNumber,2241)="","",INDEX(I.Facility.P4IDNumber,2241))</f>
        <v/>
      </c>
      <c r="G22253" s="51"/>
      <c r="H22253" s="46" t="str">
        <f>IF(AND(I.Developer.P4=TRUE,I.Facility.P4FacilityCount&gt;=2241,F22253=""),"Incomplete","Complete")</f>
        <v>Complete</v>
      </c>
      <c r="I22253" s="48" t="s">
        <v>26618</v>
      </c>
    </row>
    <row r="22254" spans="2:9" ht="15" customHeight="1" x14ac:dyDescent="0.25">
      <c r="B22254" s="55" t="s">
        <v>283</v>
      </c>
      <c r="C22254" s="46">
        <v>2242</v>
      </c>
      <c r="D22254" s="69" t="s">
        <v>29420</v>
      </c>
      <c r="E22254" s="51"/>
      <c r="F22254" s="114" t="str">
        <f>IF(INDEX(I.Facility.P4IDNumber,2242)="","",INDEX(I.Facility.P4IDNumber,2242))</f>
        <v/>
      </c>
      <c r="G22254" s="51"/>
      <c r="H22254" s="46" t="str">
        <f>IF(AND(I.Developer.P4=TRUE,I.Facility.P4FacilityCount&gt;=2242,F22254=""),"Incomplete","Complete")</f>
        <v>Complete</v>
      </c>
      <c r="I22254" s="48" t="s">
        <v>26619</v>
      </c>
    </row>
    <row r="22255" spans="2:9" ht="15" customHeight="1" x14ac:dyDescent="0.25">
      <c r="B22255" s="55" t="s">
        <v>283</v>
      </c>
      <c r="C22255" s="46">
        <v>2243</v>
      </c>
      <c r="D22255" s="69" t="s">
        <v>29420</v>
      </c>
      <c r="E22255" s="51"/>
      <c r="F22255" s="114" t="str">
        <f>IF(INDEX(I.Facility.P4IDNumber,2243)="","",INDEX(I.Facility.P4IDNumber,2243))</f>
        <v/>
      </c>
      <c r="G22255" s="51"/>
      <c r="H22255" s="46" t="str">
        <f>IF(AND(I.Developer.P4=TRUE,I.Facility.P4FacilityCount&gt;=2243,F22255=""),"Incomplete","Complete")</f>
        <v>Complete</v>
      </c>
      <c r="I22255" s="48" t="s">
        <v>26620</v>
      </c>
    </row>
    <row r="22256" spans="2:9" ht="15" customHeight="1" x14ac:dyDescent="0.25">
      <c r="B22256" s="55" t="s">
        <v>283</v>
      </c>
      <c r="C22256" s="46">
        <v>2244</v>
      </c>
      <c r="D22256" s="69" t="s">
        <v>29420</v>
      </c>
      <c r="E22256" s="51"/>
      <c r="F22256" s="114" t="str">
        <f>IF(INDEX(I.Facility.P4IDNumber,2244)="","",INDEX(I.Facility.P4IDNumber,2244))</f>
        <v/>
      </c>
      <c r="G22256" s="51"/>
      <c r="H22256" s="46" t="str">
        <f>IF(AND(I.Developer.P4=TRUE,I.Facility.P4FacilityCount&gt;=2244,F22256=""),"Incomplete","Complete")</f>
        <v>Complete</v>
      </c>
      <c r="I22256" s="48" t="s">
        <v>26621</v>
      </c>
    </row>
    <row r="22257" spans="2:9" ht="15" customHeight="1" x14ac:dyDescent="0.25">
      <c r="B22257" s="55" t="s">
        <v>283</v>
      </c>
      <c r="C22257" s="46">
        <v>2245</v>
      </c>
      <c r="D22257" s="69" t="s">
        <v>29420</v>
      </c>
      <c r="E22257" s="51"/>
      <c r="F22257" s="114" t="str">
        <f>IF(INDEX(I.Facility.P4IDNumber,2245)="","",INDEX(I.Facility.P4IDNumber,2245))</f>
        <v/>
      </c>
      <c r="G22257" s="51"/>
      <c r="H22257" s="46" t="str">
        <f>IF(AND(I.Developer.P4=TRUE,I.Facility.P4FacilityCount&gt;=2245,F22257=""),"Incomplete","Complete")</f>
        <v>Complete</v>
      </c>
      <c r="I22257" s="48" t="s">
        <v>26622</v>
      </c>
    </row>
    <row r="22258" spans="2:9" ht="15" customHeight="1" x14ac:dyDescent="0.25">
      <c r="B22258" s="55" t="s">
        <v>283</v>
      </c>
      <c r="C22258" s="46">
        <v>2246</v>
      </c>
      <c r="D22258" s="69" t="s">
        <v>29420</v>
      </c>
      <c r="E22258" s="51"/>
      <c r="F22258" s="114" t="str">
        <f>IF(INDEX(I.Facility.P4IDNumber,2246)="","",INDEX(I.Facility.P4IDNumber,2246))</f>
        <v/>
      </c>
      <c r="G22258" s="51"/>
      <c r="H22258" s="46" t="str">
        <f>IF(AND(I.Developer.P4=TRUE,I.Facility.P4FacilityCount&gt;=2246,F22258=""),"Incomplete","Complete")</f>
        <v>Complete</v>
      </c>
      <c r="I22258" s="48" t="s">
        <v>26623</v>
      </c>
    </row>
    <row r="22259" spans="2:9" ht="15" customHeight="1" x14ac:dyDescent="0.25">
      <c r="B22259" s="55" t="s">
        <v>283</v>
      </c>
      <c r="C22259" s="46">
        <v>2247</v>
      </c>
      <c r="D22259" s="69" t="s">
        <v>29420</v>
      </c>
      <c r="E22259" s="51"/>
      <c r="F22259" s="114" t="str">
        <f>IF(INDEX(I.Facility.P4IDNumber,2247)="","",INDEX(I.Facility.P4IDNumber,2247))</f>
        <v/>
      </c>
      <c r="G22259" s="51"/>
      <c r="H22259" s="46" t="str">
        <f>IF(AND(I.Developer.P4=TRUE,I.Facility.P4FacilityCount&gt;=2247,F22259=""),"Incomplete","Complete")</f>
        <v>Complete</v>
      </c>
      <c r="I22259" s="48" t="s">
        <v>26624</v>
      </c>
    </row>
    <row r="22260" spans="2:9" ht="15" customHeight="1" x14ac:dyDescent="0.25">
      <c r="B22260" s="55" t="s">
        <v>283</v>
      </c>
      <c r="C22260" s="46">
        <v>2248</v>
      </c>
      <c r="D22260" s="69" t="s">
        <v>29420</v>
      </c>
      <c r="E22260" s="51"/>
      <c r="F22260" s="114" t="str">
        <f>IF(INDEX(I.Facility.P4IDNumber,2248)="","",INDEX(I.Facility.P4IDNumber,2248))</f>
        <v/>
      </c>
      <c r="G22260" s="51"/>
      <c r="H22260" s="46" t="str">
        <f>IF(AND(I.Developer.P4=TRUE,I.Facility.P4FacilityCount&gt;=2248,F22260=""),"Incomplete","Complete")</f>
        <v>Complete</v>
      </c>
      <c r="I22260" s="48" t="s">
        <v>26625</v>
      </c>
    </row>
    <row r="22261" spans="2:9" ht="15" customHeight="1" x14ac:dyDescent="0.25">
      <c r="B22261" s="55" t="s">
        <v>283</v>
      </c>
      <c r="C22261" s="46">
        <v>2249</v>
      </c>
      <c r="D22261" s="69" t="s">
        <v>29420</v>
      </c>
      <c r="E22261" s="51"/>
      <c r="F22261" s="114" t="str">
        <f>IF(INDEX(I.Facility.P4IDNumber,2249)="","",INDEX(I.Facility.P4IDNumber,2249))</f>
        <v/>
      </c>
      <c r="G22261" s="51"/>
      <c r="H22261" s="46" t="str">
        <f>IF(AND(I.Developer.P4=TRUE,I.Facility.P4FacilityCount&gt;=2249,F22261=""),"Incomplete","Complete")</f>
        <v>Complete</v>
      </c>
      <c r="I22261" s="48" t="s">
        <v>26626</v>
      </c>
    </row>
    <row r="22262" spans="2:9" ht="15" customHeight="1" x14ac:dyDescent="0.25">
      <c r="B22262" s="55" t="s">
        <v>283</v>
      </c>
      <c r="C22262" s="46">
        <v>2250</v>
      </c>
      <c r="D22262" s="69" t="s">
        <v>29420</v>
      </c>
      <c r="E22262" s="51"/>
      <c r="F22262" s="114" t="str">
        <f>IF(INDEX(I.Facility.P4IDNumber,2250)="","",INDEX(I.Facility.P4IDNumber,2250))</f>
        <v/>
      </c>
      <c r="G22262" s="51"/>
      <c r="H22262" s="46" t="str">
        <f>IF(AND(I.Developer.P4=TRUE,I.Facility.P4FacilityCount&gt;=2250,F22262=""),"Incomplete","Complete")</f>
        <v>Complete</v>
      </c>
      <c r="I22262" s="48" t="s">
        <v>26627</v>
      </c>
    </row>
    <row r="22263" spans="2:9" ht="15" customHeight="1" x14ac:dyDescent="0.25">
      <c r="B22263" s="55" t="s">
        <v>283</v>
      </c>
      <c r="C22263" s="46">
        <v>2251</v>
      </c>
      <c r="D22263" s="69" t="s">
        <v>29420</v>
      </c>
      <c r="E22263" s="51"/>
      <c r="F22263" s="114" t="str">
        <f>IF(INDEX(I.Facility.P4IDNumber,2251)="","",INDEX(I.Facility.P4IDNumber,2251))</f>
        <v/>
      </c>
      <c r="G22263" s="51"/>
      <c r="H22263" s="46" t="str">
        <f>IF(AND(I.Developer.P4=TRUE,I.Facility.P4FacilityCount&gt;=2251,F22263=""),"Incomplete","Complete")</f>
        <v>Complete</v>
      </c>
      <c r="I22263" s="48" t="s">
        <v>26628</v>
      </c>
    </row>
    <row r="22264" spans="2:9" ht="15" customHeight="1" x14ac:dyDescent="0.25">
      <c r="B22264" s="55" t="s">
        <v>283</v>
      </c>
      <c r="C22264" s="46">
        <v>2252</v>
      </c>
      <c r="D22264" s="69" t="s">
        <v>29420</v>
      </c>
      <c r="E22264" s="51"/>
      <c r="F22264" s="114" t="str">
        <f>IF(INDEX(I.Facility.P4IDNumber,2252)="","",INDEX(I.Facility.P4IDNumber,2252))</f>
        <v/>
      </c>
      <c r="G22264" s="51"/>
      <c r="H22264" s="46" t="str">
        <f>IF(AND(I.Developer.P4=TRUE,I.Facility.P4FacilityCount&gt;=2252,F22264=""),"Incomplete","Complete")</f>
        <v>Complete</v>
      </c>
      <c r="I22264" s="48" t="s">
        <v>26629</v>
      </c>
    </row>
    <row r="22265" spans="2:9" ht="15" customHeight="1" x14ac:dyDescent="0.25">
      <c r="B22265" s="55" t="s">
        <v>283</v>
      </c>
      <c r="C22265" s="46">
        <v>2253</v>
      </c>
      <c r="D22265" s="69" t="s">
        <v>29420</v>
      </c>
      <c r="E22265" s="51"/>
      <c r="F22265" s="114" t="str">
        <f>IF(INDEX(I.Facility.P4IDNumber,2253)="","",INDEX(I.Facility.P4IDNumber,2253))</f>
        <v/>
      </c>
      <c r="G22265" s="51"/>
      <c r="H22265" s="46" t="str">
        <f>IF(AND(I.Developer.P4=TRUE,I.Facility.P4FacilityCount&gt;=2253,F22265=""),"Incomplete","Complete")</f>
        <v>Complete</v>
      </c>
      <c r="I22265" s="48" t="s">
        <v>26630</v>
      </c>
    </row>
    <row r="22266" spans="2:9" ht="15" customHeight="1" x14ac:dyDescent="0.25">
      <c r="B22266" s="55" t="s">
        <v>283</v>
      </c>
      <c r="C22266" s="46">
        <v>2254</v>
      </c>
      <c r="D22266" s="69" t="s">
        <v>29420</v>
      </c>
      <c r="E22266" s="51"/>
      <c r="F22266" s="114" t="str">
        <f>IF(INDEX(I.Facility.P4IDNumber,2254)="","",INDEX(I.Facility.P4IDNumber,2254))</f>
        <v/>
      </c>
      <c r="G22266" s="51"/>
      <c r="H22266" s="46" t="str">
        <f>IF(AND(I.Developer.P4=TRUE,I.Facility.P4FacilityCount&gt;=2254,F22266=""),"Incomplete","Complete")</f>
        <v>Complete</v>
      </c>
      <c r="I22266" s="48" t="s">
        <v>26631</v>
      </c>
    </row>
    <row r="22267" spans="2:9" ht="15" customHeight="1" x14ac:dyDescent="0.25">
      <c r="B22267" s="55" t="s">
        <v>283</v>
      </c>
      <c r="C22267" s="46">
        <v>2255</v>
      </c>
      <c r="D22267" s="69" t="s">
        <v>29420</v>
      </c>
      <c r="E22267" s="51"/>
      <c r="F22267" s="114" t="str">
        <f>IF(INDEX(I.Facility.P4IDNumber,2255)="","",INDEX(I.Facility.P4IDNumber,2255))</f>
        <v/>
      </c>
      <c r="G22267" s="51"/>
      <c r="H22267" s="46" t="str">
        <f>IF(AND(I.Developer.P4=TRUE,I.Facility.P4FacilityCount&gt;=2255,F22267=""),"Incomplete","Complete")</f>
        <v>Complete</v>
      </c>
      <c r="I22267" s="48" t="s">
        <v>26632</v>
      </c>
    </row>
    <row r="22268" spans="2:9" ht="15" customHeight="1" x14ac:dyDescent="0.25">
      <c r="B22268" s="55" t="s">
        <v>283</v>
      </c>
      <c r="C22268" s="46">
        <v>2256</v>
      </c>
      <c r="D22268" s="69" t="s">
        <v>29420</v>
      </c>
      <c r="E22268" s="51"/>
      <c r="F22268" s="114" t="str">
        <f>IF(INDEX(I.Facility.P4IDNumber,2256)="","",INDEX(I.Facility.P4IDNumber,2256))</f>
        <v/>
      </c>
      <c r="G22268" s="51"/>
      <c r="H22268" s="46" t="str">
        <f>IF(AND(I.Developer.P4=TRUE,I.Facility.P4FacilityCount&gt;=2256,F22268=""),"Incomplete","Complete")</f>
        <v>Complete</v>
      </c>
      <c r="I22268" s="48" t="s">
        <v>26633</v>
      </c>
    </row>
    <row r="22269" spans="2:9" ht="15" customHeight="1" x14ac:dyDescent="0.25">
      <c r="B22269" s="55" t="s">
        <v>283</v>
      </c>
      <c r="C22269" s="46">
        <v>2257</v>
      </c>
      <c r="D22269" s="69" t="s">
        <v>29420</v>
      </c>
      <c r="E22269" s="51"/>
      <c r="F22269" s="114" t="str">
        <f>IF(INDEX(I.Facility.P4IDNumber,2257)="","",INDEX(I.Facility.P4IDNumber,2257))</f>
        <v/>
      </c>
      <c r="G22269" s="51"/>
      <c r="H22269" s="46" t="str">
        <f>IF(AND(I.Developer.P4=TRUE,I.Facility.P4FacilityCount&gt;=2257,F22269=""),"Incomplete","Complete")</f>
        <v>Complete</v>
      </c>
      <c r="I22269" s="48" t="s">
        <v>26634</v>
      </c>
    </row>
    <row r="22270" spans="2:9" ht="15" customHeight="1" x14ac:dyDescent="0.25">
      <c r="B22270" s="55" t="s">
        <v>283</v>
      </c>
      <c r="C22270" s="46">
        <v>2258</v>
      </c>
      <c r="D22270" s="69" t="s">
        <v>29420</v>
      </c>
      <c r="E22270" s="51"/>
      <c r="F22270" s="114" t="str">
        <f>IF(INDEX(I.Facility.P4IDNumber,2258)="","",INDEX(I.Facility.P4IDNumber,2258))</f>
        <v/>
      </c>
      <c r="G22270" s="51"/>
      <c r="H22270" s="46" t="str">
        <f>IF(AND(I.Developer.P4=TRUE,I.Facility.P4FacilityCount&gt;=2258,F22270=""),"Incomplete","Complete")</f>
        <v>Complete</v>
      </c>
      <c r="I22270" s="48" t="s">
        <v>26635</v>
      </c>
    </row>
    <row r="22271" spans="2:9" ht="15" customHeight="1" x14ac:dyDescent="0.25">
      <c r="B22271" s="55" t="s">
        <v>283</v>
      </c>
      <c r="C22271" s="46">
        <v>2259</v>
      </c>
      <c r="D22271" s="69" t="s">
        <v>29420</v>
      </c>
      <c r="E22271" s="51"/>
      <c r="F22271" s="114" t="str">
        <f>IF(INDEX(I.Facility.P4IDNumber,2259)="","",INDEX(I.Facility.P4IDNumber,2259))</f>
        <v/>
      </c>
      <c r="G22271" s="51"/>
      <c r="H22271" s="46" t="str">
        <f>IF(AND(I.Developer.P4=TRUE,I.Facility.P4FacilityCount&gt;=2259,F22271=""),"Incomplete","Complete")</f>
        <v>Complete</v>
      </c>
      <c r="I22271" s="48" t="s">
        <v>26636</v>
      </c>
    </row>
    <row r="22272" spans="2:9" ht="15" customHeight="1" x14ac:dyDescent="0.25">
      <c r="B22272" s="55" t="s">
        <v>283</v>
      </c>
      <c r="C22272" s="46">
        <v>2260</v>
      </c>
      <c r="D22272" s="69" t="s">
        <v>29420</v>
      </c>
      <c r="E22272" s="51"/>
      <c r="F22272" s="114" t="str">
        <f>IF(INDEX(I.Facility.P4IDNumber,2260)="","",INDEX(I.Facility.P4IDNumber,2260))</f>
        <v/>
      </c>
      <c r="G22272" s="51"/>
      <c r="H22272" s="46" t="str">
        <f>IF(AND(I.Developer.P4=TRUE,I.Facility.P4FacilityCount&gt;=2260,F22272=""),"Incomplete","Complete")</f>
        <v>Complete</v>
      </c>
      <c r="I22272" s="48" t="s">
        <v>26637</v>
      </c>
    </row>
    <row r="22273" spans="2:9" ht="15" customHeight="1" x14ac:dyDescent="0.25">
      <c r="B22273" s="55" t="s">
        <v>283</v>
      </c>
      <c r="C22273" s="46">
        <v>2261</v>
      </c>
      <c r="D22273" s="69" t="s">
        <v>29420</v>
      </c>
      <c r="E22273" s="51"/>
      <c r="F22273" s="114" t="str">
        <f>IF(INDEX(I.Facility.P4IDNumber,2261)="","",INDEX(I.Facility.P4IDNumber,2261))</f>
        <v/>
      </c>
      <c r="G22273" s="51"/>
      <c r="H22273" s="46" t="str">
        <f>IF(AND(I.Developer.P4=TRUE,I.Facility.P4FacilityCount&gt;=2261,F22273=""),"Incomplete","Complete")</f>
        <v>Complete</v>
      </c>
      <c r="I22273" s="48" t="s">
        <v>26638</v>
      </c>
    </row>
    <row r="22274" spans="2:9" ht="15" customHeight="1" x14ac:dyDescent="0.25">
      <c r="B22274" s="55" t="s">
        <v>283</v>
      </c>
      <c r="C22274" s="46">
        <v>2262</v>
      </c>
      <c r="D22274" s="69" t="s">
        <v>29420</v>
      </c>
      <c r="E22274" s="51"/>
      <c r="F22274" s="114" t="str">
        <f>IF(INDEX(I.Facility.P4IDNumber,2262)="","",INDEX(I.Facility.P4IDNumber,2262))</f>
        <v/>
      </c>
      <c r="G22274" s="51"/>
      <c r="H22274" s="46" t="str">
        <f>IF(AND(I.Developer.P4=TRUE,I.Facility.P4FacilityCount&gt;=2262,F22274=""),"Incomplete","Complete")</f>
        <v>Complete</v>
      </c>
      <c r="I22274" s="48" t="s">
        <v>26639</v>
      </c>
    </row>
    <row r="22275" spans="2:9" ht="15" customHeight="1" x14ac:dyDescent="0.25">
      <c r="B22275" s="55" t="s">
        <v>283</v>
      </c>
      <c r="C22275" s="46">
        <v>2263</v>
      </c>
      <c r="D22275" s="69" t="s">
        <v>29420</v>
      </c>
      <c r="E22275" s="51"/>
      <c r="F22275" s="114" t="str">
        <f>IF(INDEX(I.Facility.P4IDNumber,2263)="","",INDEX(I.Facility.P4IDNumber,2263))</f>
        <v/>
      </c>
      <c r="G22275" s="51"/>
      <c r="H22275" s="46" t="str">
        <f>IF(AND(I.Developer.P4=TRUE,I.Facility.P4FacilityCount&gt;=2263,F22275=""),"Incomplete","Complete")</f>
        <v>Complete</v>
      </c>
      <c r="I22275" s="48" t="s">
        <v>26640</v>
      </c>
    </row>
    <row r="22276" spans="2:9" ht="15" customHeight="1" x14ac:dyDescent="0.25">
      <c r="B22276" s="55" t="s">
        <v>283</v>
      </c>
      <c r="C22276" s="46">
        <v>2264</v>
      </c>
      <c r="D22276" s="69" t="s">
        <v>29420</v>
      </c>
      <c r="E22276" s="51"/>
      <c r="F22276" s="114" t="str">
        <f>IF(INDEX(I.Facility.P4IDNumber,2264)="","",INDEX(I.Facility.P4IDNumber,2264))</f>
        <v/>
      </c>
      <c r="G22276" s="51"/>
      <c r="H22276" s="46" t="str">
        <f>IF(AND(I.Developer.P4=TRUE,I.Facility.P4FacilityCount&gt;=2264,F22276=""),"Incomplete","Complete")</f>
        <v>Complete</v>
      </c>
      <c r="I22276" s="48" t="s">
        <v>26641</v>
      </c>
    </row>
    <row r="22277" spans="2:9" ht="15" customHeight="1" x14ac:dyDescent="0.25">
      <c r="B22277" s="55" t="s">
        <v>283</v>
      </c>
      <c r="C22277" s="46">
        <v>2265</v>
      </c>
      <c r="D22277" s="69" t="s">
        <v>29420</v>
      </c>
      <c r="E22277" s="51"/>
      <c r="F22277" s="114" t="str">
        <f>IF(INDEX(I.Facility.P4IDNumber,2265)="","",INDEX(I.Facility.P4IDNumber,2265))</f>
        <v/>
      </c>
      <c r="G22277" s="51"/>
      <c r="H22277" s="46" t="str">
        <f>IF(AND(I.Developer.P4=TRUE,I.Facility.P4FacilityCount&gt;=2265,F22277=""),"Incomplete","Complete")</f>
        <v>Complete</v>
      </c>
      <c r="I22277" s="48" t="s">
        <v>26642</v>
      </c>
    </row>
    <row r="22278" spans="2:9" ht="15" customHeight="1" x14ac:dyDescent="0.25">
      <c r="B22278" s="55" t="s">
        <v>283</v>
      </c>
      <c r="C22278" s="46">
        <v>2266</v>
      </c>
      <c r="D22278" s="69" t="s">
        <v>29420</v>
      </c>
      <c r="E22278" s="51"/>
      <c r="F22278" s="114" t="str">
        <f>IF(INDEX(I.Facility.P4IDNumber,2266)="","",INDEX(I.Facility.P4IDNumber,2266))</f>
        <v/>
      </c>
      <c r="G22278" s="51"/>
      <c r="H22278" s="46" t="str">
        <f>IF(AND(I.Developer.P4=TRUE,I.Facility.P4FacilityCount&gt;=2266,F22278=""),"Incomplete","Complete")</f>
        <v>Complete</v>
      </c>
      <c r="I22278" s="48" t="s">
        <v>26643</v>
      </c>
    </row>
    <row r="22279" spans="2:9" ht="15" customHeight="1" x14ac:dyDescent="0.25">
      <c r="B22279" s="55" t="s">
        <v>283</v>
      </c>
      <c r="C22279" s="46">
        <v>2267</v>
      </c>
      <c r="D22279" s="69" t="s">
        <v>29420</v>
      </c>
      <c r="E22279" s="51"/>
      <c r="F22279" s="114" t="str">
        <f>IF(INDEX(I.Facility.P4IDNumber,2267)="","",INDEX(I.Facility.P4IDNumber,2267))</f>
        <v/>
      </c>
      <c r="G22279" s="51"/>
      <c r="H22279" s="46" t="str">
        <f>IF(AND(I.Developer.P4=TRUE,I.Facility.P4FacilityCount&gt;=2267,F22279=""),"Incomplete","Complete")</f>
        <v>Complete</v>
      </c>
      <c r="I22279" s="48" t="s">
        <v>26644</v>
      </c>
    </row>
    <row r="22280" spans="2:9" ht="15" customHeight="1" x14ac:dyDescent="0.25">
      <c r="B22280" s="55" t="s">
        <v>283</v>
      </c>
      <c r="C22280" s="46">
        <v>2268</v>
      </c>
      <c r="D22280" s="69" t="s">
        <v>29420</v>
      </c>
      <c r="E22280" s="51"/>
      <c r="F22280" s="114" t="str">
        <f>IF(INDEX(I.Facility.P4IDNumber,2268)="","",INDEX(I.Facility.P4IDNumber,2268))</f>
        <v/>
      </c>
      <c r="G22280" s="51"/>
      <c r="H22280" s="46" t="str">
        <f>IF(AND(I.Developer.P4=TRUE,I.Facility.P4FacilityCount&gt;=2268,F22280=""),"Incomplete","Complete")</f>
        <v>Complete</v>
      </c>
      <c r="I22280" s="48" t="s">
        <v>26645</v>
      </c>
    </row>
    <row r="22281" spans="2:9" ht="15" customHeight="1" x14ac:dyDescent="0.25">
      <c r="B22281" s="55" t="s">
        <v>283</v>
      </c>
      <c r="C22281" s="46">
        <v>2269</v>
      </c>
      <c r="D22281" s="69" t="s">
        <v>29420</v>
      </c>
      <c r="E22281" s="51"/>
      <c r="F22281" s="114" t="str">
        <f>IF(INDEX(I.Facility.P4IDNumber,2269)="","",INDEX(I.Facility.P4IDNumber,2269))</f>
        <v/>
      </c>
      <c r="G22281" s="51"/>
      <c r="H22281" s="46" t="str">
        <f>IF(AND(I.Developer.P4=TRUE,I.Facility.P4FacilityCount&gt;=2269,F22281=""),"Incomplete","Complete")</f>
        <v>Complete</v>
      </c>
      <c r="I22281" s="48" t="s">
        <v>26646</v>
      </c>
    </row>
    <row r="22282" spans="2:9" ht="15" customHeight="1" x14ac:dyDescent="0.25">
      <c r="B22282" s="55" t="s">
        <v>283</v>
      </c>
      <c r="C22282" s="46">
        <v>2270</v>
      </c>
      <c r="D22282" s="69" t="s">
        <v>29420</v>
      </c>
      <c r="E22282" s="51"/>
      <c r="F22282" s="114" t="str">
        <f>IF(INDEX(I.Facility.P4IDNumber,2270)="","",INDEX(I.Facility.P4IDNumber,2270))</f>
        <v/>
      </c>
      <c r="G22282" s="51"/>
      <c r="H22282" s="46" t="str">
        <f>IF(AND(I.Developer.P4=TRUE,I.Facility.P4FacilityCount&gt;=2270,F22282=""),"Incomplete","Complete")</f>
        <v>Complete</v>
      </c>
      <c r="I22282" s="48" t="s">
        <v>26647</v>
      </c>
    </row>
    <row r="22283" spans="2:9" ht="15" customHeight="1" x14ac:dyDescent="0.25">
      <c r="B22283" s="55" t="s">
        <v>283</v>
      </c>
      <c r="C22283" s="46">
        <v>2271</v>
      </c>
      <c r="D22283" s="69" t="s">
        <v>29420</v>
      </c>
      <c r="E22283" s="51"/>
      <c r="F22283" s="114" t="str">
        <f>IF(INDEX(I.Facility.P4IDNumber,2271)="","",INDEX(I.Facility.P4IDNumber,2271))</f>
        <v/>
      </c>
      <c r="G22283" s="51"/>
      <c r="H22283" s="46" t="str">
        <f>IF(AND(I.Developer.P4=TRUE,I.Facility.P4FacilityCount&gt;=2271,F22283=""),"Incomplete","Complete")</f>
        <v>Complete</v>
      </c>
      <c r="I22283" s="48" t="s">
        <v>26648</v>
      </c>
    </row>
    <row r="22284" spans="2:9" ht="15" customHeight="1" x14ac:dyDescent="0.25">
      <c r="B22284" s="55" t="s">
        <v>283</v>
      </c>
      <c r="C22284" s="46">
        <v>2272</v>
      </c>
      <c r="D22284" s="69" t="s">
        <v>29420</v>
      </c>
      <c r="E22284" s="51"/>
      <c r="F22284" s="114" t="str">
        <f>IF(INDEX(I.Facility.P4IDNumber,2272)="","",INDEX(I.Facility.P4IDNumber,2272))</f>
        <v/>
      </c>
      <c r="G22284" s="51"/>
      <c r="H22284" s="46" t="str">
        <f>IF(AND(I.Developer.P4=TRUE,I.Facility.P4FacilityCount&gt;=2272,F22284=""),"Incomplete","Complete")</f>
        <v>Complete</v>
      </c>
      <c r="I22284" s="48" t="s">
        <v>26649</v>
      </c>
    </row>
    <row r="22285" spans="2:9" ht="15" customHeight="1" x14ac:dyDescent="0.25">
      <c r="B22285" s="55" t="s">
        <v>283</v>
      </c>
      <c r="C22285" s="46">
        <v>2273</v>
      </c>
      <c r="D22285" s="69" t="s">
        <v>29420</v>
      </c>
      <c r="E22285" s="51"/>
      <c r="F22285" s="114" t="str">
        <f>IF(INDEX(I.Facility.P4IDNumber,2273)="","",INDEX(I.Facility.P4IDNumber,2273))</f>
        <v/>
      </c>
      <c r="G22285" s="51"/>
      <c r="H22285" s="46" t="str">
        <f>IF(AND(I.Developer.P4=TRUE,I.Facility.P4FacilityCount&gt;=2273,F22285=""),"Incomplete","Complete")</f>
        <v>Complete</v>
      </c>
      <c r="I22285" s="48" t="s">
        <v>26650</v>
      </c>
    </row>
    <row r="22286" spans="2:9" ht="15" customHeight="1" x14ac:dyDescent="0.25">
      <c r="B22286" s="55" t="s">
        <v>283</v>
      </c>
      <c r="C22286" s="46">
        <v>2274</v>
      </c>
      <c r="D22286" s="69" t="s">
        <v>29420</v>
      </c>
      <c r="E22286" s="51"/>
      <c r="F22286" s="114" t="str">
        <f>IF(INDEX(I.Facility.P4IDNumber,2274)="","",INDEX(I.Facility.P4IDNumber,2274))</f>
        <v/>
      </c>
      <c r="G22286" s="51"/>
      <c r="H22286" s="46" t="str">
        <f>IF(AND(I.Developer.P4=TRUE,I.Facility.P4FacilityCount&gt;=2274,F22286=""),"Incomplete","Complete")</f>
        <v>Complete</v>
      </c>
      <c r="I22286" s="48" t="s">
        <v>26651</v>
      </c>
    </row>
    <row r="22287" spans="2:9" ht="15" customHeight="1" x14ac:dyDescent="0.25">
      <c r="B22287" s="55" t="s">
        <v>283</v>
      </c>
      <c r="C22287" s="46">
        <v>2275</v>
      </c>
      <c r="D22287" s="69" t="s">
        <v>29420</v>
      </c>
      <c r="E22287" s="51"/>
      <c r="F22287" s="114" t="str">
        <f>IF(INDEX(I.Facility.P4IDNumber,2275)="","",INDEX(I.Facility.P4IDNumber,2275))</f>
        <v/>
      </c>
      <c r="G22287" s="51"/>
      <c r="H22287" s="46" t="str">
        <f>IF(AND(I.Developer.P4=TRUE,I.Facility.P4FacilityCount&gt;=2275,F22287=""),"Incomplete","Complete")</f>
        <v>Complete</v>
      </c>
      <c r="I22287" s="48" t="s">
        <v>26652</v>
      </c>
    </row>
    <row r="22288" spans="2:9" ht="15" customHeight="1" x14ac:dyDescent="0.25">
      <c r="B22288" s="55" t="s">
        <v>283</v>
      </c>
      <c r="C22288" s="46">
        <v>2276</v>
      </c>
      <c r="D22288" s="69" t="s">
        <v>29420</v>
      </c>
      <c r="E22288" s="51"/>
      <c r="F22288" s="114" t="str">
        <f>IF(INDEX(I.Facility.P4IDNumber,2276)="","",INDEX(I.Facility.P4IDNumber,2276))</f>
        <v/>
      </c>
      <c r="G22288" s="51"/>
      <c r="H22288" s="46" t="str">
        <f>IF(AND(I.Developer.P4=TRUE,I.Facility.P4FacilityCount&gt;=2276,F22288=""),"Incomplete","Complete")</f>
        <v>Complete</v>
      </c>
      <c r="I22288" s="48" t="s">
        <v>26653</v>
      </c>
    </row>
    <row r="22289" spans="2:9" ht="15" customHeight="1" x14ac:dyDescent="0.25">
      <c r="B22289" s="55" t="s">
        <v>283</v>
      </c>
      <c r="C22289" s="46">
        <v>2277</v>
      </c>
      <c r="D22289" s="69" t="s">
        <v>29420</v>
      </c>
      <c r="E22289" s="51"/>
      <c r="F22289" s="114" t="str">
        <f>IF(INDEX(I.Facility.P4IDNumber,2277)="","",INDEX(I.Facility.P4IDNumber,2277))</f>
        <v/>
      </c>
      <c r="G22289" s="51"/>
      <c r="H22289" s="46" t="str">
        <f>IF(AND(I.Developer.P4=TRUE,I.Facility.P4FacilityCount&gt;=2277,F22289=""),"Incomplete","Complete")</f>
        <v>Complete</v>
      </c>
      <c r="I22289" s="48" t="s">
        <v>26654</v>
      </c>
    </row>
    <row r="22290" spans="2:9" ht="15" customHeight="1" x14ac:dyDescent="0.25">
      <c r="B22290" s="55" t="s">
        <v>283</v>
      </c>
      <c r="C22290" s="46">
        <v>2278</v>
      </c>
      <c r="D22290" s="69" t="s">
        <v>29420</v>
      </c>
      <c r="E22290" s="51"/>
      <c r="F22290" s="114" t="str">
        <f>IF(INDEX(I.Facility.P4IDNumber,2278)="","",INDEX(I.Facility.P4IDNumber,2278))</f>
        <v/>
      </c>
      <c r="G22290" s="51"/>
      <c r="H22290" s="46" t="str">
        <f>IF(AND(I.Developer.P4=TRUE,I.Facility.P4FacilityCount&gt;=2278,F22290=""),"Incomplete","Complete")</f>
        <v>Complete</v>
      </c>
      <c r="I22290" s="48" t="s">
        <v>26655</v>
      </c>
    </row>
    <row r="22291" spans="2:9" ht="15" customHeight="1" x14ac:dyDescent="0.25">
      <c r="B22291" s="55" t="s">
        <v>283</v>
      </c>
      <c r="C22291" s="46">
        <v>2279</v>
      </c>
      <c r="D22291" s="69" t="s">
        <v>29420</v>
      </c>
      <c r="E22291" s="51"/>
      <c r="F22291" s="114" t="str">
        <f>IF(INDEX(I.Facility.P4IDNumber,2279)="","",INDEX(I.Facility.P4IDNumber,2279))</f>
        <v/>
      </c>
      <c r="G22291" s="51"/>
      <c r="H22291" s="46" t="str">
        <f>IF(AND(I.Developer.P4=TRUE,I.Facility.P4FacilityCount&gt;=2279,F22291=""),"Incomplete","Complete")</f>
        <v>Complete</v>
      </c>
      <c r="I22291" s="48" t="s">
        <v>26656</v>
      </c>
    </row>
    <row r="22292" spans="2:9" ht="15" customHeight="1" x14ac:dyDescent="0.25">
      <c r="B22292" s="55" t="s">
        <v>283</v>
      </c>
      <c r="C22292" s="46">
        <v>2280</v>
      </c>
      <c r="D22292" s="69" t="s">
        <v>29420</v>
      </c>
      <c r="E22292" s="51"/>
      <c r="F22292" s="114" t="str">
        <f>IF(INDEX(I.Facility.P4IDNumber,2280)="","",INDEX(I.Facility.P4IDNumber,2280))</f>
        <v/>
      </c>
      <c r="G22292" s="51"/>
      <c r="H22292" s="46" t="str">
        <f>IF(AND(I.Developer.P4=TRUE,I.Facility.P4FacilityCount&gt;=2280,F22292=""),"Incomplete","Complete")</f>
        <v>Complete</v>
      </c>
      <c r="I22292" s="48" t="s">
        <v>26657</v>
      </c>
    </row>
    <row r="22293" spans="2:9" ht="15" customHeight="1" x14ac:dyDescent="0.25">
      <c r="B22293" s="55" t="s">
        <v>283</v>
      </c>
      <c r="C22293" s="46">
        <v>2281</v>
      </c>
      <c r="D22293" s="69" t="s">
        <v>29420</v>
      </c>
      <c r="E22293" s="51"/>
      <c r="F22293" s="114" t="str">
        <f>IF(INDEX(I.Facility.P4IDNumber,2281)="","",INDEX(I.Facility.P4IDNumber,2281))</f>
        <v/>
      </c>
      <c r="G22293" s="51"/>
      <c r="H22293" s="46" t="str">
        <f>IF(AND(I.Developer.P4=TRUE,I.Facility.P4FacilityCount&gt;=2281,F22293=""),"Incomplete","Complete")</f>
        <v>Complete</v>
      </c>
      <c r="I22293" s="48" t="s">
        <v>26658</v>
      </c>
    </row>
    <row r="22294" spans="2:9" ht="15" customHeight="1" x14ac:dyDescent="0.25">
      <c r="B22294" s="55" t="s">
        <v>283</v>
      </c>
      <c r="C22294" s="46">
        <v>2282</v>
      </c>
      <c r="D22294" s="69" t="s">
        <v>29420</v>
      </c>
      <c r="E22294" s="51"/>
      <c r="F22294" s="114" t="str">
        <f>IF(INDEX(I.Facility.P4IDNumber,2282)="","",INDEX(I.Facility.P4IDNumber,2282))</f>
        <v/>
      </c>
      <c r="G22294" s="51"/>
      <c r="H22294" s="46" t="str">
        <f>IF(AND(I.Developer.P4=TRUE,I.Facility.P4FacilityCount&gt;=2282,F22294=""),"Incomplete","Complete")</f>
        <v>Complete</v>
      </c>
      <c r="I22294" s="48" t="s">
        <v>26659</v>
      </c>
    </row>
    <row r="22295" spans="2:9" ht="15" customHeight="1" x14ac:dyDescent="0.25">
      <c r="B22295" s="55" t="s">
        <v>283</v>
      </c>
      <c r="C22295" s="46">
        <v>2283</v>
      </c>
      <c r="D22295" s="69" t="s">
        <v>29420</v>
      </c>
      <c r="E22295" s="51"/>
      <c r="F22295" s="114" t="str">
        <f>IF(INDEX(I.Facility.P4IDNumber,2283)="","",INDEX(I.Facility.P4IDNumber,2283))</f>
        <v/>
      </c>
      <c r="G22295" s="51"/>
      <c r="H22295" s="46" t="str">
        <f>IF(AND(I.Developer.P4=TRUE,I.Facility.P4FacilityCount&gt;=2283,F22295=""),"Incomplete","Complete")</f>
        <v>Complete</v>
      </c>
      <c r="I22295" s="48" t="s">
        <v>26660</v>
      </c>
    </row>
    <row r="22296" spans="2:9" ht="15" customHeight="1" x14ac:dyDescent="0.25">
      <c r="B22296" s="55" t="s">
        <v>283</v>
      </c>
      <c r="C22296" s="46">
        <v>2284</v>
      </c>
      <c r="D22296" s="69" t="s">
        <v>29420</v>
      </c>
      <c r="E22296" s="51"/>
      <c r="F22296" s="114" t="str">
        <f>IF(INDEX(I.Facility.P4IDNumber,2284)="","",INDEX(I.Facility.P4IDNumber,2284))</f>
        <v/>
      </c>
      <c r="G22296" s="51"/>
      <c r="H22296" s="46" t="str">
        <f>IF(AND(I.Developer.P4=TRUE,I.Facility.P4FacilityCount&gt;=2284,F22296=""),"Incomplete","Complete")</f>
        <v>Complete</v>
      </c>
      <c r="I22296" s="48" t="s">
        <v>26661</v>
      </c>
    </row>
    <row r="22297" spans="2:9" ht="15" customHeight="1" x14ac:dyDescent="0.25">
      <c r="B22297" s="55" t="s">
        <v>283</v>
      </c>
      <c r="C22297" s="46">
        <v>2285</v>
      </c>
      <c r="D22297" s="69" t="s">
        <v>29420</v>
      </c>
      <c r="E22297" s="51"/>
      <c r="F22297" s="114" t="str">
        <f>IF(INDEX(I.Facility.P4IDNumber,2285)="","",INDEX(I.Facility.P4IDNumber,2285))</f>
        <v/>
      </c>
      <c r="G22297" s="51"/>
      <c r="H22297" s="46" t="str">
        <f>IF(AND(I.Developer.P4=TRUE,I.Facility.P4FacilityCount&gt;=2285,F22297=""),"Incomplete","Complete")</f>
        <v>Complete</v>
      </c>
      <c r="I22297" s="48" t="s">
        <v>26662</v>
      </c>
    </row>
    <row r="22298" spans="2:9" ht="15" customHeight="1" x14ac:dyDescent="0.25">
      <c r="B22298" s="55" t="s">
        <v>283</v>
      </c>
      <c r="C22298" s="46">
        <v>2286</v>
      </c>
      <c r="D22298" s="69" t="s">
        <v>29420</v>
      </c>
      <c r="E22298" s="51"/>
      <c r="F22298" s="114" t="str">
        <f>IF(INDEX(I.Facility.P4IDNumber,2286)="","",INDEX(I.Facility.P4IDNumber,2286))</f>
        <v/>
      </c>
      <c r="G22298" s="51"/>
      <c r="H22298" s="46" t="str">
        <f>IF(AND(I.Developer.P4=TRUE,I.Facility.P4FacilityCount&gt;=2286,F22298=""),"Incomplete","Complete")</f>
        <v>Complete</v>
      </c>
      <c r="I22298" s="48" t="s">
        <v>26663</v>
      </c>
    </row>
    <row r="22299" spans="2:9" ht="15" customHeight="1" x14ac:dyDescent="0.25">
      <c r="B22299" s="55" t="s">
        <v>283</v>
      </c>
      <c r="C22299" s="46">
        <v>2287</v>
      </c>
      <c r="D22299" s="69" t="s">
        <v>29420</v>
      </c>
      <c r="E22299" s="51"/>
      <c r="F22299" s="114" t="str">
        <f>IF(INDEX(I.Facility.P4IDNumber,2287)="","",INDEX(I.Facility.P4IDNumber,2287))</f>
        <v/>
      </c>
      <c r="G22299" s="51"/>
      <c r="H22299" s="46" t="str">
        <f>IF(AND(I.Developer.P4=TRUE,I.Facility.P4FacilityCount&gt;=2287,F22299=""),"Incomplete","Complete")</f>
        <v>Complete</v>
      </c>
      <c r="I22299" s="48" t="s">
        <v>26664</v>
      </c>
    </row>
    <row r="22300" spans="2:9" ht="15" customHeight="1" x14ac:dyDescent="0.25">
      <c r="B22300" s="55" t="s">
        <v>283</v>
      </c>
      <c r="C22300" s="46">
        <v>2288</v>
      </c>
      <c r="D22300" s="69" t="s">
        <v>29420</v>
      </c>
      <c r="E22300" s="51"/>
      <c r="F22300" s="114" t="str">
        <f>IF(INDEX(I.Facility.P4IDNumber,2288)="","",INDEX(I.Facility.P4IDNumber,2288))</f>
        <v/>
      </c>
      <c r="G22300" s="51"/>
      <c r="H22300" s="46" t="str">
        <f>IF(AND(I.Developer.P4=TRUE,I.Facility.P4FacilityCount&gt;=2288,F22300=""),"Incomplete","Complete")</f>
        <v>Complete</v>
      </c>
      <c r="I22300" s="48" t="s">
        <v>26665</v>
      </c>
    </row>
    <row r="22301" spans="2:9" ht="15" customHeight="1" x14ac:dyDescent="0.25">
      <c r="B22301" s="55" t="s">
        <v>283</v>
      </c>
      <c r="C22301" s="46">
        <v>2289</v>
      </c>
      <c r="D22301" s="69" t="s">
        <v>29420</v>
      </c>
      <c r="E22301" s="51"/>
      <c r="F22301" s="114" t="str">
        <f>IF(INDEX(I.Facility.P4IDNumber,2289)="","",INDEX(I.Facility.P4IDNumber,2289))</f>
        <v/>
      </c>
      <c r="G22301" s="51"/>
      <c r="H22301" s="46" t="str">
        <f>IF(AND(I.Developer.P4=TRUE,I.Facility.P4FacilityCount&gt;=2289,F22301=""),"Incomplete","Complete")</f>
        <v>Complete</v>
      </c>
      <c r="I22301" s="48" t="s">
        <v>26666</v>
      </c>
    </row>
    <row r="22302" spans="2:9" ht="15" customHeight="1" x14ac:dyDescent="0.25">
      <c r="B22302" s="55" t="s">
        <v>283</v>
      </c>
      <c r="C22302" s="46">
        <v>2290</v>
      </c>
      <c r="D22302" s="69" t="s">
        <v>29420</v>
      </c>
      <c r="E22302" s="51"/>
      <c r="F22302" s="114" t="str">
        <f>IF(INDEX(I.Facility.P4IDNumber,2290)="","",INDEX(I.Facility.P4IDNumber,2290))</f>
        <v/>
      </c>
      <c r="G22302" s="51"/>
      <c r="H22302" s="46" t="str">
        <f>IF(AND(I.Developer.P4=TRUE,I.Facility.P4FacilityCount&gt;=2290,F22302=""),"Incomplete","Complete")</f>
        <v>Complete</v>
      </c>
      <c r="I22302" s="48" t="s">
        <v>26667</v>
      </c>
    </row>
    <row r="22303" spans="2:9" ht="15" customHeight="1" x14ac:dyDescent="0.25">
      <c r="B22303" s="55" t="s">
        <v>283</v>
      </c>
      <c r="C22303" s="46">
        <v>2291</v>
      </c>
      <c r="D22303" s="69" t="s">
        <v>29420</v>
      </c>
      <c r="E22303" s="51"/>
      <c r="F22303" s="114" t="str">
        <f>IF(INDEX(I.Facility.P4IDNumber,2291)="","",INDEX(I.Facility.P4IDNumber,2291))</f>
        <v/>
      </c>
      <c r="G22303" s="51"/>
      <c r="H22303" s="46" t="str">
        <f>IF(AND(I.Developer.P4=TRUE,I.Facility.P4FacilityCount&gt;=2291,F22303=""),"Incomplete","Complete")</f>
        <v>Complete</v>
      </c>
      <c r="I22303" s="48" t="s">
        <v>26668</v>
      </c>
    </row>
    <row r="22304" spans="2:9" ht="15" customHeight="1" x14ac:dyDescent="0.25">
      <c r="B22304" s="55" t="s">
        <v>283</v>
      </c>
      <c r="C22304" s="46">
        <v>2292</v>
      </c>
      <c r="D22304" s="69" t="s">
        <v>29420</v>
      </c>
      <c r="E22304" s="51"/>
      <c r="F22304" s="114" t="str">
        <f>IF(INDEX(I.Facility.P4IDNumber,2292)="","",INDEX(I.Facility.P4IDNumber,2292))</f>
        <v/>
      </c>
      <c r="G22304" s="51"/>
      <c r="H22304" s="46" t="str">
        <f>IF(AND(I.Developer.P4=TRUE,I.Facility.P4FacilityCount&gt;=2292,F22304=""),"Incomplete","Complete")</f>
        <v>Complete</v>
      </c>
      <c r="I22304" s="48" t="s">
        <v>26669</v>
      </c>
    </row>
    <row r="22305" spans="2:9" ht="15" customHeight="1" x14ac:dyDescent="0.25">
      <c r="B22305" s="55" t="s">
        <v>283</v>
      </c>
      <c r="C22305" s="46">
        <v>2293</v>
      </c>
      <c r="D22305" s="69" t="s">
        <v>29420</v>
      </c>
      <c r="E22305" s="51"/>
      <c r="F22305" s="114" t="str">
        <f>IF(INDEX(I.Facility.P4IDNumber,2293)="","",INDEX(I.Facility.P4IDNumber,2293))</f>
        <v/>
      </c>
      <c r="G22305" s="51"/>
      <c r="H22305" s="46" t="str">
        <f>IF(AND(I.Developer.P4=TRUE,I.Facility.P4FacilityCount&gt;=2293,F22305=""),"Incomplete","Complete")</f>
        <v>Complete</v>
      </c>
      <c r="I22305" s="48" t="s">
        <v>26670</v>
      </c>
    </row>
    <row r="22306" spans="2:9" ht="15" customHeight="1" x14ac:dyDescent="0.25">
      <c r="B22306" s="55" t="s">
        <v>283</v>
      </c>
      <c r="C22306" s="46">
        <v>2294</v>
      </c>
      <c r="D22306" s="69" t="s">
        <v>29420</v>
      </c>
      <c r="E22306" s="51"/>
      <c r="F22306" s="114" t="str">
        <f>IF(INDEX(I.Facility.P4IDNumber,2294)="","",INDEX(I.Facility.P4IDNumber,2294))</f>
        <v/>
      </c>
      <c r="G22306" s="51"/>
      <c r="H22306" s="46" t="str">
        <f>IF(AND(I.Developer.P4=TRUE,I.Facility.P4FacilityCount&gt;=2294,F22306=""),"Incomplete","Complete")</f>
        <v>Complete</v>
      </c>
      <c r="I22306" s="48" t="s">
        <v>26671</v>
      </c>
    </row>
    <row r="22307" spans="2:9" ht="15" customHeight="1" x14ac:dyDescent="0.25">
      <c r="B22307" s="55" t="s">
        <v>283</v>
      </c>
      <c r="C22307" s="46">
        <v>2295</v>
      </c>
      <c r="D22307" s="69" t="s">
        <v>29420</v>
      </c>
      <c r="E22307" s="51"/>
      <c r="F22307" s="114" t="str">
        <f>IF(INDEX(I.Facility.P4IDNumber,2295)="","",INDEX(I.Facility.P4IDNumber,2295))</f>
        <v/>
      </c>
      <c r="G22307" s="51"/>
      <c r="H22307" s="46" t="str">
        <f>IF(AND(I.Developer.P4=TRUE,I.Facility.P4FacilityCount&gt;=2295,F22307=""),"Incomplete","Complete")</f>
        <v>Complete</v>
      </c>
      <c r="I22307" s="48" t="s">
        <v>26672</v>
      </c>
    </row>
    <row r="22308" spans="2:9" ht="15" customHeight="1" x14ac:dyDescent="0.25">
      <c r="B22308" s="55" t="s">
        <v>283</v>
      </c>
      <c r="C22308" s="46">
        <v>2296</v>
      </c>
      <c r="D22308" s="69" t="s">
        <v>29420</v>
      </c>
      <c r="E22308" s="51"/>
      <c r="F22308" s="114" t="str">
        <f>IF(INDEX(I.Facility.P4IDNumber,2296)="","",INDEX(I.Facility.P4IDNumber,2296))</f>
        <v/>
      </c>
      <c r="G22308" s="51"/>
      <c r="H22308" s="46" t="str">
        <f>IF(AND(I.Developer.P4=TRUE,I.Facility.P4FacilityCount&gt;=2296,F22308=""),"Incomplete","Complete")</f>
        <v>Complete</v>
      </c>
      <c r="I22308" s="48" t="s">
        <v>26673</v>
      </c>
    </row>
    <row r="22309" spans="2:9" ht="15" customHeight="1" x14ac:dyDescent="0.25">
      <c r="B22309" s="55" t="s">
        <v>283</v>
      </c>
      <c r="C22309" s="46">
        <v>2297</v>
      </c>
      <c r="D22309" s="69" t="s">
        <v>29420</v>
      </c>
      <c r="E22309" s="51"/>
      <c r="F22309" s="114" t="str">
        <f>IF(INDEX(I.Facility.P4IDNumber,2297)="","",INDEX(I.Facility.P4IDNumber,2297))</f>
        <v/>
      </c>
      <c r="G22309" s="51"/>
      <c r="H22309" s="46" t="str">
        <f>IF(AND(I.Developer.P4=TRUE,I.Facility.P4FacilityCount&gt;=2297,F22309=""),"Incomplete","Complete")</f>
        <v>Complete</v>
      </c>
      <c r="I22309" s="48" t="s">
        <v>26674</v>
      </c>
    </row>
    <row r="22310" spans="2:9" ht="15" customHeight="1" x14ac:dyDescent="0.25">
      <c r="B22310" s="55" t="s">
        <v>283</v>
      </c>
      <c r="C22310" s="46">
        <v>2298</v>
      </c>
      <c r="D22310" s="69" t="s">
        <v>29420</v>
      </c>
      <c r="E22310" s="51"/>
      <c r="F22310" s="114" t="str">
        <f>IF(INDEX(I.Facility.P4IDNumber,2298)="","",INDEX(I.Facility.P4IDNumber,2298))</f>
        <v/>
      </c>
      <c r="G22310" s="51"/>
      <c r="H22310" s="46" t="str">
        <f>IF(AND(I.Developer.P4=TRUE,I.Facility.P4FacilityCount&gt;=2298,F22310=""),"Incomplete","Complete")</f>
        <v>Complete</v>
      </c>
      <c r="I22310" s="48" t="s">
        <v>26675</v>
      </c>
    </row>
    <row r="22311" spans="2:9" ht="15" customHeight="1" x14ac:dyDescent="0.25">
      <c r="B22311" s="55" t="s">
        <v>283</v>
      </c>
      <c r="C22311" s="46">
        <v>2299</v>
      </c>
      <c r="D22311" s="69" t="s">
        <v>29420</v>
      </c>
      <c r="E22311" s="51"/>
      <c r="F22311" s="114" t="str">
        <f>IF(INDEX(I.Facility.P4IDNumber,2299)="","",INDEX(I.Facility.P4IDNumber,2299))</f>
        <v/>
      </c>
      <c r="G22311" s="51"/>
      <c r="H22311" s="46" t="str">
        <f>IF(AND(I.Developer.P4=TRUE,I.Facility.P4FacilityCount&gt;=2299,F22311=""),"Incomplete","Complete")</f>
        <v>Complete</v>
      </c>
      <c r="I22311" s="48" t="s">
        <v>26676</v>
      </c>
    </row>
    <row r="22312" spans="2:9" ht="15" customHeight="1" x14ac:dyDescent="0.25">
      <c r="B22312" s="55" t="s">
        <v>283</v>
      </c>
      <c r="C22312" s="46">
        <v>2300</v>
      </c>
      <c r="D22312" s="69" t="s">
        <v>29420</v>
      </c>
      <c r="E22312" s="51"/>
      <c r="F22312" s="114" t="str">
        <f>IF(INDEX(I.Facility.P4IDNumber,2300)="","",INDEX(I.Facility.P4IDNumber,2300))</f>
        <v/>
      </c>
      <c r="G22312" s="51"/>
      <c r="H22312" s="46" t="str">
        <f>IF(AND(I.Developer.P4=TRUE,I.Facility.P4FacilityCount&gt;=2300,F22312=""),"Incomplete","Complete")</f>
        <v>Complete</v>
      </c>
      <c r="I22312" s="48" t="s">
        <v>26677</v>
      </c>
    </row>
    <row r="22313" spans="2:9" ht="15" customHeight="1" x14ac:dyDescent="0.25">
      <c r="B22313" s="55" t="s">
        <v>283</v>
      </c>
      <c r="C22313" s="46">
        <v>2301</v>
      </c>
      <c r="D22313" s="69" t="s">
        <v>29420</v>
      </c>
      <c r="E22313" s="51"/>
      <c r="F22313" s="114" t="str">
        <f>IF(INDEX(I.Facility.P4IDNumber,2301)="","",INDEX(I.Facility.P4IDNumber,2301))</f>
        <v/>
      </c>
      <c r="G22313" s="51"/>
      <c r="H22313" s="46" t="str">
        <f>IF(AND(I.Developer.P4=TRUE,I.Facility.P4FacilityCount&gt;=2301,F22313=""),"Incomplete","Complete")</f>
        <v>Complete</v>
      </c>
      <c r="I22313" s="48" t="s">
        <v>26678</v>
      </c>
    </row>
    <row r="22314" spans="2:9" ht="15" customHeight="1" x14ac:dyDescent="0.25">
      <c r="B22314" s="55" t="s">
        <v>283</v>
      </c>
      <c r="C22314" s="46">
        <v>2302</v>
      </c>
      <c r="D22314" s="69" t="s">
        <v>29420</v>
      </c>
      <c r="E22314" s="51"/>
      <c r="F22314" s="114" t="str">
        <f>IF(INDEX(I.Facility.P4IDNumber,2302)="","",INDEX(I.Facility.P4IDNumber,2302))</f>
        <v/>
      </c>
      <c r="G22314" s="51"/>
      <c r="H22314" s="46" t="str">
        <f>IF(AND(I.Developer.P4=TRUE,I.Facility.P4FacilityCount&gt;=2302,F22314=""),"Incomplete","Complete")</f>
        <v>Complete</v>
      </c>
      <c r="I22314" s="48" t="s">
        <v>26679</v>
      </c>
    </row>
    <row r="22315" spans="2:9" ht="15" customHeight="1" x14ac:dyDescent="0.25">
      <c r="B22315" s="55" t="s">
        <v>283</v>
      </c>
      <c r="C22315" s="46">
        <v>2303</v>
      </c>
      <c r="D22315" s="69" t="s">
        <v>29420</v>
      </c>
      <c r="E22315" s="51"/>
      <c r="F22315" s="114" t="str">
        <f>IF(INDEX(I.Facility.P4IDNumber,2303)="","",INDEX(I.Facility.P4IDNumber,2303))</f>
        <v/>
      </c>
      <c r="G22315" s="51"/>
      <c r="H22315" s="46" t="str">
        <f>IF(AND(I.Developer.P4=TRUE,I.Facility.P4FacilityCount&gt;=2303,F22315=""),"Incomplete","Complete")</f>
        <v>Complete</v>
      </c>
      <c r="I22315" s="48" t="s">
        <v>26680</v>
      </c>
    </row>
    <row r="22316" spans="2:9" ht="15" customHeight="1" x14ac:dyDescent="0.25">
      <c r="B22316" s="55" t="s">
        <v>283</v>
      </c>
      <c r="C22316" s="46">
        <v>2304</v>
      </c>
      <c r="D22316" s="69" t="s">
        <v>29420</v>
      </c>
      <c r="E22316" s="51"/>
      <c r="F22316" s="114" t="str">
        <f>IF(INDEX(I.Facility.P4IDNumber,2304)="","",INDEX(I.Facility.P4IDNumber,2304))</f>
        <v/>
      </c>
      <c r="G22316" s="51"/>
      <c r="H22316" s="46" t="str">
        <f>IF(AND(I.Developer.P4=TRUE,I.Facility.P4FacilityCount&gt;=2304,F22316=""),"Incomplete","Complete")</f>
        <v>Complete</v>
      </c>
      <c r="I22316" s="48" t="s">
        <v>26681</v>
      </c>
    </row>
    <row r="22317" spans="2:9" ht="15" customHeight="1" x14ac:dyDescent="0.25">
      <c r="B22317" s="55" t="s">
        <v>283</v>
      </c>
      <c r="C22317" s="46">
        <v>2305</v>
      </c>
      <c r="D22317" s="69" t="s">
        <v>29420</v>
      </c>
      <c r="E22317" s="51"/>
      <c r="F22317" s="114" t="str">
        <f>IF(INDEX(I.Facility.P4IDNumber,2305)="","",INDEX(I.Facility.P4IDNumber,2305))</f>
        <v/>
      </c>
      <c r="G22317" s="51"/>
      <c r="H22317" s="46" t="str">
        <f>IF(AND(I.Developer.P4=TRUE,I.Facility.P4FacilityCount&gt;=2305,F22317=""),"Incomplete","Complete")</f>
        <v>Complete</v>
      </c>
      <c r="I22317" s="48" t="s">
        <v>26682</v>
      </c>
    </row>
    <row r="22318" spans="2:9" ht="15" customHeight="1" x14ac:dyDescent="0.25">
      <c r="B22318" s="55" t="s">
        <v>283</v>
      </c>
      <c r="C22318" s="46">
        <v>2306</v>
      </c>
      <c r="D22318" s="69" t="s">
        <v>29420</v>
      </c>
      <c r="E22318" s="51"/>
      <c r="F22318" s="114" t="str">
        <f>IF(INDEX(I.Facility.P4IDNumber,2306)="","",INDEX(I.Facility.P4IDNumber,2306))</f>
        <v/>
      </c>
      <c r="G22318" s="51"/>
      <c r="H22318" s="46" t="str">
        <f>IF(AND(I.Developer.P4=TRUE,I.Facility.P4FacilityCount&gt;=2306,F22318=""),"Incomplete","Complete")</f>
        <v>Complete</v>
      </c>
      <c r="I22318" s="48" t="s">
        <v>26683</v>
      </c>
    </row>
    <row r="22319" spans="2:9" ht="15" customHeight="1" x14ac:dyDescent="0.25">
      <c r="B22319" s="55" t="s">
        <v>283</v>
      </c>
      <c r="C22319" s="46">
        <v>2307</v>
      </c>
      <c r="D22319" s="69" t="s">
        <v>29420</v>
      </c>
      <c r="E22319" s="51"/>
      <c r="F22319" s="114" t="str">
        <f>IF(INDEX(I.Facility.P4IDNumber,2307)="","",INDEX(I.Facility.P4IDNumber,2307))</f>
        <v/>
      </c>
      <c r="G22319" s="51"/>
      <c r="H22319" s="46" t="str">
        <f>IF(AND(I.Developer.P4=TRUE,I.Facility.P4FacilityCount&gt;=2307,F22319=""),"Incomplete","Complete")</f>
        <v>Complete</v>
      </c>
      <c r="I22319" s="48" t="s">
        <v>26684</v>
      </c>
    </row>
    <row r="22320" spans="2:9" ht="15" customHeight="1" x14ac:dyDescent="0.25">
      <c r="B22320" s="55" t="s">
        <v>283</v>
      </c>
      <c r="C22320" s="46">
        <v>2308</v>
      </c>
      <c r="D22320" s="69" t="s">
        <v>29420</v>
      </c>
      <c r="E22320" s="51"/>
      <c r="F22320" s="114" t="str">
        <f>IF(INDEX(I.Facility.P4IDNumber,2308)="","",INDEX(I.Facility.P4IDNumber,2308))</f>
        <v/>
      </c>
      <c r="G22320" s="51"/>
      <c r="H22320" s="46" t="str">
        <f>IF(AND(I.Developer.P4=TRUE,I.Facility.P4FacilityCount&gt;=2308,F22320=""),"Incomplete","Complete")</f>
        <v>Complete</v>
      </c>
      <c r="I22320" s="48" t="s">
        <v>26685</v>
      </c>
    </row>
    <row r="22321" spans="2:9" ht="15" customHeight="1" x14ac:dyDescent="0.25">
      <c r="B22321" s="55" t="s">
        <v>283</v>
      </c>
      <c r="C22321" s="46">
        <v>2309</v>
      </c>
      <c r="D22321" s="69" t="s">
        <v>29420</v>
      </c>
      <c r="E22321" s="51"/>
      <c r="F22321" s="114" t="str">
        <f>IF(INDEX(I.Facility.P4IDNumber,2309)="","",INDEX(I.Facility.P4IDNumber,2309))</f>
        <v/>
      </c>
      <c r="G22321" s="51"/>
      <c r="H22321" s="46" t="str">
        <f>IF(AND(I.Developer.P4=TRUE,I.Facility.P4FacilityCount&gt;=2309,F22321=""),"Incomplete","Complete")</f>
        <v>Complete</v>
      </c>
      <c r="I22321" s="48" t="s">
        <v>26686</v>
      </c>
    </row>
    <row r="22322" spans="2:9" ht="15" customHeight="1" x14ac:dyDescent="0.25">
      <c r="B22322" s="55" t="s">
        <v>283</v>
      </c>
      <c r="C22322" s="46">
        <v>2310</v>
      </c>
      <c r="D22322" s="69" t="s">
        <v>29420</v>
      </c>
      <c r="E22322" s="51"/>
      <c r="F22322" s="114" t="str">
        <f>IF(INDEX(I.Facility.P4IDNumber,2310)="","",INDEX(I.Facility.P4IDNumber,2310))</f>
        <v/>
      </c>
      <c r="G22322" s="51"/>
      <c r="H22322" s="46" t="str">
        <f>IF(AND(I.Developer.P4=TRUE,I.Facility.P4FacilityCount&gt;=2310,F22322=""),"Incomplete","Complete")</f>
        <v>Complete</v>
      </c>
      <c r="I22322" s="48" t="s">
        <v>26687</v>
      </c>
    </row>
    <row r="22323" spans="2:9" ht="15" customHeight="1" x14ac:dyDescent="0.25">
      <c r="B22323" s="55" t="s">
        <v>283</v>
      </c>
      <c r="C22323" s="46">
        <v>2311</v>
      </c>
      <c r="D22323" s="69" t="s">
        <v>29420</v>
      </c>
      <c r="E22323" s="51"/>
      <c r="F22323" s="114" t="str">
        <f>IF(INDEX(I.Facility.P4IDNumber,2311)="","",INDEX(I.Facility.P4IDNumber,2311))</f>
        <v/>
      </c>
      <c r="G22323" s="51"/>
      <c r="H22323" s="46" t="str">
        <f>IF(AND(I.Developer.P4=TRUE,I.Facility.P4FacilityCount&gt;=2311,F22323=""),"Incomplete","Complete")</f>
        <v>Complete</v>
      </c>
      <c r="I22323" s="48" t="s">
        <v>26688</v>
      </c>
    </row>
    <row r="22324" spans="2:9" ht="15" customHeight="1" x14ac:dyDescent="0.25">
      <c r="B22324" s="55" t="s">
        <v>283</v>
      </c>
      <c r="C22324" s="46">
        <v>2312</v>
      </c>
      <c r="D22324" s="69" t="s">
        <v>29420</v>
      </c>
      <c r="E22324" s="51"/>
      <c r="F22324" s="114" t="str">
        <f>IF(INDEX(I.Facility.P4IDNumber,2312)="","",INDEX(I.Facility.P4IDNumber,2312))</f>
        <v/>
      </c>
      <c r="G22324" s="51"/>
      <c r="H22324" s="46" t="str">
        <f>IF(AND(I.Developer.P4=TRUE,I.Facility.P4FacilityCount&gt;=2312,F22324=""),"Incomplete","Complete")</f>
        <v>Complete</v>
      </c>
      <c r="I22324" s="48" t="s">
        <v>26689</v>
      </c>
    </row>
    <row r="22325" spans="2:9" ht="15" customHeight="1" x14ac:dyDescent="0.25">
      <c r="B22325" s="55" t="s">
        <v>283</v>
      </c>
      <c r="C22325" s="46">
        <v>2313</v>
      </c>
      <c r="D22325" s="69" t="s">
        <v>29420</v>
      </c>
      <c r="E22325" s="51"/>
      <c r="F22325" s="114" t="str">
        <f>IF(INDEX(I.Facility.P4IDNumber,2313)="","",INDEX(I.Facility.P4IDNumber,2313))</f>
        <v/>
      </c>
      <c r="G22325" s="51"/>
      <c r="H22325" s="46" t="str">
        <f>IF(AND(I.Developer.P4=TRUE,I.Facility.P4FacilityCount&gt;=2313,F22325=""),"Incomplete","Complete")</f>
        <v>Complete</v>
      </c>
      <c r="I22325" s="48" t="s">
        <v>26690</v>
      </c>
    </row>
    <row r="22326" spans="2:9" ht="15" customHeight="1" x14ac:dyDescent="0.25">
      <c r="B22326" s="55" t="s">
        <v>283</v>
      </c>
      <c r="C22326" s="46">
        <v>2314</v>
      </c>
      <c r="D22326" s="69" t="s">
        <v>29420</v>
      </c>
      <c r="E22326" s="51"/>
      <c r="F22326" s="114" t="str">
        <f>IF(INDEX(I.Facility.P4IDNumber,2314)="","",INDEX(I.Facility.P4IDNumber,2314))</f>
        <v/>
      </c>
      <c r="G22326" s="51"/>
      <c r="H22326" s="46" t="str">
        <f>IF(AND(I.Developer.P4=TRUE,I.Facility.P4FacilityCount&gt;=2314,F22326=""),"Incomplete","Complete")</f>
        <v>Complete</v>
      </c>
      <c r="I22326" s="48" t="s">
        <v>26691</v>
      </c>
    </row>
    <row r="22327" spans="2:9" ht="15" customHeight="1" x14ac:dyDescent="0.25">
      <c r="B22327" s="55" t="s">
        <v>283</v>
      </c>
      <c r="C22327" s="46">
        <v>2315</v>
      </c>
      <c r="D22327" s="69" t="s">
        <v>29420</v>
      </c>
      <c r="E22327" s="51"/>
      <c r="F22327" s="114" t="str">
        <f>IF(INDEX(I.Facility.P4IDNumber,2315)="","",INDEX(I.Facility.P4IDNumber,2315))</f>
        <v/>
      </c>
      <c r="G22327" s="51"/>
      <c r="H22327" s="46" t="str">
        <f>IF(AND(I.Developer.P4=TRUE,I.Facility.P4FacilityCount&gt;=2315,F22327=""),"Incomplete","Complete")</f>
        <v>Complete</v>
      </c>
      <c r="I22327" s="48" t="s">
        <v>26692</v>
      </c>
    </row>
    <row r="22328" spans="2:9" ht="15" customHeight="1" x14ac:dyDescent="0.25">
      <c r="B22328" s="55" t="s">
        <v>283</v>
      </c>
      <c r="C22328" s="46">
        <v>2316</v>
      </c>
      <c r="D22328" s="69" t="s">
        <v>29420</v>
      </c>
      <c r="E22328" s="51"/>
      <c r="F22328" s="114" t="str">
        <f>IF(INDEX(I.Facility.P4IDNumber,2316)="","",INDEX(I.Facility.P4IDNumber,2316))</f>
        <v/>
      </c>
      <c r="G22328" s="51"/>
      <c r="H22328" s="46" t="str">
        <f>IF(AND(I.Developer.P4=TRUE,I.Facility.P4FacilityCount&gt;=2316,F22328=""),"Incomplete","Complete")</f>
        <v>Complete</v>
      </c>
      <c r="I22328" s="48" t="s">
        <v>26693</v>
      </c>
    </row>
    <row r="22329" spans="2:9" ht="15" customHeight="1" x14ac:dyDescent="0.25">
      <c r="B22329" s="55" t="s">
        <v>283</v>
      </c>
      <c r="C22329" s="46">
        <v>2317</v>
      </c>
      <c r="D22329" s="69" t="s">
        <v>29420</v>
      </c>
      <c r="E22329" s="51"/>
      <c r="F22329" s="114" t="str">
        <f>IF(INDEX(I.Facility.P4IDNumber,2317)="","",INDEX(I.Facility.P4IDNumber,2317))</f>
        <v/>
      </c>
      <c r="G22329" s="51"/>
      <c r="H22329" s="46" t="str">
        <f>IF(AND(I.Developer.P4=TRUE,I.Facility.P4FacilityCount&gt;=2317,F22329=""),"Incomplete","Complete")</f>
        <v>Complete</v>
      </c>
      <c r="I22329" s="48" t="s">
        <v>26694</v>
      </c>
    </row>
    <row r="22330" spans="2:9" ht="15" customHeight="1" x14ac:dyDescent="0.25">
      <c r="B22330" s="55" t="s">
        <v>283</v>
      </c>
      <c r="C22330" s="46">
        <v>2318</v>
      </c>
      <c r="D22330" s="69" t="s">
        <v>29420</v>
      </c>
      <c r="E22330" s="51"/>
      <c r="F22330" s="114" t="str">
        <f>IF(INDEX(I.Facility.P4IDNumber,2318)="","",INDEX(I.Facility.P4IDNumber,2318))</f>
        <v/>
      </c>
      <c r="G22330" s="51"/>
      <c r="H22330" s="46" t="str">
        <f>IF(AND(I.Developer.P4=TRUE,I.Facility.P4FacilityCount&gt;=2318,F22330=""),"Incomplete","Complete")</f>
        <v>Complete</v>
      </c>
      <c r="I22330" s="48" t="s">
        <v>26695</v>
      </c>
    </row>
    <row r="22331" spans="2:9" ht="15" customHeight="1" x14ac:dyDescent="0.25">
      <c r="B22331" s="55" t="s">
        <v>283</v>
      </c>
      <c r="C22331" s="46">
        <v>2319</v>
      </c>
      <c r="D22331" s="69" t="s">
        <v>29420</v>
      </c>
      <c r="E22331" s="51"/>
      <c r="F22331" s="114" t="str">
        <f>IF(INDEX(I.Facility.P4IDNumber,2319)="","",INDEX(I.Facility.P4IDNumber,2319))</f>
        <v/>
      </c>
      <c r="G22331" s="51"/>
      <c r="H22331" s="46" t="str">
        <f>IF(AND(I.Developer.P4=TRUE,I.Facility.P4FacilityCount&gt;=2319,F22331=""),"Incomplete","Complete")</f>
        <v>Complete</v>
      </c>
      <c r="I22331" s="48" t="s">
        <v>26696</v>
      </c>
    </row>
    <row r="22332" spans="2:9" ht="15" customHeight="1" x14ac:dyDescent="0.25">
      <c r="B22332" s="55" t="s">
        <v>283</v>
      </c>
      <c r="C22332" s="46">
        <v>2320</v>
      </c>
      <c r="D22332" s="69" t="s">
        <v>29420</v>
      </c>
      <c r="E22332" s="51"/>
      <c r="F22332" s="114" t="str">
        <f>IF(INDEX(I.Facility.P4IDNumber,2320)="","",INDEX(I.Facility.P4IDNumber,2320))</f>
        <v/>
      </c>
      <c r="G22332" s="51"/>
      <c r="H22332" s="46" t="str">
        <f>IF(AND(I.Developer.P4=TRUE,I.Facility.P4FacilityCount&gt;=2320,F22332=""),"Incomplete","Complete")</f>
        <v>Complete</v>
      </c>
      <c r="I22332" s="48" t="s">
        <v>26697</v>
      </c>
    </row>
    <row r="22333" spans="2:9" ht="15" customHeight="1" x14ac:dyDescent="0.25">
      <c r="B22333" s="55" t="s">
        <v>283</v>
      </c>
      <c r="C22333" s="46">
        <v>2321</v>
      </c>
      <c r="D22333" s="69" t="s">
        <v>29420</v>
      </c>
      <c r="E22333" s="51"/>
      <c r="F22333" s="114" t="str">
        <f>IF(INDEX(I.Facility.P4IDNumber,2321)="","",INDEX(I.Facility.P4IDNumber,2321))</f>
        <v/>
      </c>
      <c r="G22333" s="51"/>
      <c r="H22333" s="46" t="str">
        <f>IF(AND(I.Developer.P4=TRUE,I.Facility.P4FacilityCount&gt;=2321,F22333=""),"Incomplete","Complete")</f>
        <v>Complete</v>
      </c>
      <c r="I22333" s="48" t="s">
        <v>26698</v>
      </c>
    </row>
    <row r="22334" spans="2:9" ht="15" customHeight="1" x14ac:dyDescent="0.25">
      <c r="B22334" s="55" t="s">
        <v>283</v>
      </c>
      <c r="C22334" s="46">
        <v>2322</v>
      </c>
      <c r="D22334" s="69" t="s">
        <v>29420</v>
      </c>
      <c r="E22334" s="51"/>
      <c r="F22334" s="114" t="str">
        <f>IF(INDEX(I.Facility.P4IDNumber,2322)="","",INDEX(I.Facility.P4IDNumber,2322))</f>
        <v/>
      </c>
      <c r="G22334" s="51"/>
      <c r="H22334" s="46" t="str">
        <f>IF(AND(I.Developer.P4=TRUE,I.Facility.P4FacilityCount&gt;=2322,F22334=""),"Incomplete","Complete")</f>
        <v>Complete</v>
      </c>
      <c r="I22334" s="48" t="s">
        <v>26699</v>
      </c>
    </row>
    <row r="22335" spans="2:9" ht="15" customHeight="1" x14ac:dyDescent="0.25">
      <c r="B22335" s="55" t="s">
        <v>283</v>
      </c>
      <c r="C22335" s="46">
        <v>2323</v>
      </c>
      <c r="D22335" s="69" t="s">
        <v>29420</v>
      </c>
      <c r="E22335" s="51"/>
      <c r="F22335" s="114" t="str">
        <f>IF(INDEX(I.Facility.P4IDNumber,2323)="","",INDEX(I.Facility.P4IDNumber,2323))</f>
        <v/>
      </c>
      <c r="G22335" s="51"/>
      <c r="H22335" s="46" t="str">
        <f>IF(AND(I.Developer.P4=TRUE,I.Facility.P4FacilityCount&gt;=2323,F22335=""),"Incomplete","Complete")</f>
        <v>Complete</v>
      </c>
      <c r="I22335" s="48" t="s">
        <v>26700</v>
      </c>
    </row>
    <row r="22336" spans="2:9" ht="15" customHeight="1" x14ac:dyDescent="0.25">
      <c r="B22336" s="55" t="s">
        <v>283</v>
      </c>
      <c r="C22336" s="46">
        <v>2324</v>
      </c>
      <c r="D22336" s="69" t="s">
        <v>29420</v>
      </c>
      <c r="E22336" s="51"/>
      <c r="F22336" s="114" t="str">
        <f>IF(INDEX(I.Facility.P4IDNumber,2324)="","",INDEX(I.Facility.P4IDNumber,2324))</f>
        <v/>
      </c>
      <c r="G22336" s="51"/>
      <c r="H22336" s="46" t="str">
        <f>IF(AND(I.Developer.P4=TRUE,I.Facility.P4FacilityCount&gt;=2324,F22336=""),"Incomplete","Complete")</f>
        <v>Complete</v>
      </c>
      <c r="I22336" s="48" t="s">
        <v>26701</v>
      </c>
    </row>
    <row r="22337" spans="2:9" ht="15" customHeight="1" x14ac:dyDescent="0.25">
      <c r="B22337" s="55" t="s">
        <v>283</v>
      </c>
      <c r="C22337" s="46">
        <v>2325</v>
      </c>
      <c r="D22337" s="69" t="s">
        <v>29420</v>
      </c>
      <c r="E22337" s="51"/>
      <c r="F22337" s="114" t="str">
        <f>IF(INDEX(I.Facility.P4IDNumber,2325)="","",INDEX(I.Facility.P4IDNumber,2325))</f>
        <v/>
      </c>
      <c r="G22337" s="51"/>
      <c r="H22337" s="46" t="str">
        <f>IF(AND(I.Developer.P4=TRUE,I.Facility.P4FacilityCount&gt;=2325,F22337=""),"Incomplete","Complete")</f>
        <v>Complete</v>
      </c>
      <c r="I22337" s="48" t="s">
        <v>26702</v>
      </c>
    </row>
    <row r="22338" spans="2:9" ht="15" customHeight="1" x14ac:dyDescent="0.25">
      <c r="B22338" s="55" t="s">
        <v>283</v>
      </c>
      <c r="C22338" s="46">
        <v>2326</v>
      </c>
      <c r="D22338" s="69" t="s">
        <v>29420</v>
      </c>
      <c r="E22338" s="51"/>
      <c r="F22338" s="114" t="str">
        <f>IF(INDEX(I.Facility.P4IDNumber,2326)="","",INDEX(I.Facility.P4IDNumber,2326))</f>
        <v/>
      </c>
      <c r="G22338" s="51"/>
      <c r="H22338" s="46" t="str">
        <f>IF(AND(I.Developer.P4=TRUE,I.Facility.P4FacilityCount&gt;=2326,F22338=""),"Incomplete","Complete")</f>
        <v>Complete</v>
      </c>
      <c r="I22338" s="48" t="s">
        <v>26703</v>
      </c>
    </row>
    <row r="22339" spans="2:9" ht="15" customHeight="1" x14ac:dyDescent="0.25">
      <c r="B22339" s="55" t="s">
        <v>283</v>
      </c>
      <c r="C22339" s="46">
        <v>2327</v>
      </c>
      <c r="D22339" s="69" t="s">
        <v>29420</v>
      </c>
      <c r="E22339" s="51"/>
      <c r="F22339" s="114" t="str">
        <f>IF(INDEX(I.Facility.P4IDNumber,2327)="","",INDEX(I.Facility.P4IDNumber,2327))</f>
        <v/>
      </c>
      <c r="G22339" s="51"/>
      <c r="H22339" s="46" t="str">
        <f>IF(AND(I.Developer.P4=TRUE,I.Facility.P4FacilityCount&gt;=2327,F22339=""),"Incomplete","Complete")</f>
        <v>Complete</v>
      </c>
      <c r="I22339" s="48" t="s">
        <v>26704</v>
      </c>
    </row>
    <row r="22340" spans="2:9" ht="15" customHeight="1" x14ac:dyDescent="0.25">
      <c r="B22340" s="55" t="s">
        <v>283</v>
      </c>
      <c r="C22340" s="46">
        <v>2328</v>
      </c>
      <c r="D22340" s="69" t="s">
        <v>29420</v>
      </c>
      <c r="E22340" s="51"/>
      <c r="F22340" s="114" t="str">
        <f>IF(INDEX(I.Facility.P4IDNumber,2328)="","",INDEX(I.Facility.P4IDNumber,2328))</f>
        <v/>
      </c>
      <c r="G22340" s="51"/>
      <c r="H22340" s="46" t="str">
        <f>IF(AND(I.Developer.P4=TRUE,I.Facility.P4FacilityCount&gt;=2328,F22340=""),"Incomplete","Complete")</f>
        <v>Complete</v>
      </c>
      <c r="I22340" s="48" t="s">
        <v>26705</v>
      </c>
    </row>
    <row r="22341" spans="2:9" ht="15" customHeight="1" x14ac:dyDescent="0.25">
      <c r="B22341" s="55" t="s">
        <v>283</v>
      </c>
      <c r="C22341" s="46">
        <v>2329</v>
      </c>
      <c r="D22341" s="69" t="s">
        <v>29420</v>
      </c>
      <c r="E22341" s="51"/>
      <c r="F22341" s="114" t="str">
        <f>IF(INDEX(I.Facility.P4IDNumber,2329)="","",INDEX(I.Facility.P4IDNumber,2329))</f>
        <v/>
      </c>
      <c r="G22341" s="51"/>
      <c r="H22341" s="46" t="str">
        <f>IF(AND(I.Developer.P4=TRUE,I.Facility.P4FacilityCount&gt;=2329,F22341=""),"Incomplete","Complete")</f>
        <v>Complete</v>
      </c>
      <c r="I22341" s="48" t="s">
        <v>26706</v>
      </c>
    </row>
    <row r="22342" spans="2:9" ht="15" customHeight="1" x14ac:dyDescent="0.25">
      <c r="B22342" s="55" t="s">
        <v>283</v>
      </c>
      <c r="C22342" s="46">
        <v>2330</v>
      </c>
      <c r="D22342" s="69" t="s">
        <v>29420</v>
      </c>
      <c r="E22342" s="51"/>
      <c r="F22342" s="114" t="str">
        <f>IF(INDEX(I.Facility.P4IDNumber,2330)="","",INDEX(I.Facility.P4IDNumber,2330))</f>
        <v/>
      </c>
      <c r="G22342" s="51"/>
      <c r="H22342" s="46" t="str">
        <f>IF(AND(I.Developer.P4=TRUE,I.Facility.P4FacilityCount&gt;=2330,F22342=""),"Incomplete","Complete")</f>
        <v>Complete</v>
      </c>
      <c r="I22342" s="48" t="s">
        <v>26707</v>
      </c>
    </row>
    <row r="22343" spans="2:9" ht="15" customHeight="1" x14ac:dyDescent="0.25">
      <c r="B22343" s="55" t="s">
        <v>283</v>
      </c>
      <c r="C22343" s="46">
        <v>2331</v>
      </c>
      <c r="D22343" s="69" t="s">
        <v>29420</v>
      </c>
      <c r="E22343" s="51"/>
      <c r="F22343" s="114" t="str">
        <f>IF(INDEX(I.Facility.P4IDNumber,2331)="","",INDEX(I.Facility.P4IDNumber,2331))</f>
        <v/>
      </c>
      <c r="G22343" s="51"/>
      <c r="H22343" s="46" t="str">
        <f>IF(AND(I.Developer.P4=TRUE,I.Facility.P4FacilityCount&gt;=2331,F22343=""),"Incomplete","Complete")</f>
        <v>Complete</v>
      </c>
      <c r="I22343" s="48" t="s">
        <v>26708</v>
      </c>
    </row>
    <row r="22344" spans="2:9" ht="15" customHeight="1" x14ac:dyDescent="0.25">
      <c r="B22344" s="55" t="s">
        <v>283</v>
      </c>
      <c r="C22344" s="46">
        <v>2332</v>
      </c>
      <c r="D22344" s="69" t="s">
        <v>29420</v>
      </c>
      <c r="E22344" s="51"/>
      <c r="F22344" s="114" t="str">
        <f>IF(INDEX(I.Facility.P4IDNumber,2332)="","",INDEX(I.Facility.P4IDNumber,2332))</f>
        <v/>
      </c>
      <c r="G22344" s="51"/>
      <c r="H22344" s="46" t="str">
        <f>IF(AND(I.Developer.P4=TRUE,I.Facility.P4FacilityCount&gt;=2332,F22344=""),"Incomplete","Complete")</f>
        <v>Complete</v>
      </c>
      <c r="I22344" s="48" t="s">
        <v>26709</v>
      </c>
    </row>
    <row r="22345" spans="2:9" ht="15" customHeight="1" x14ac:dyDescent="0.25">
      <c r="B22345" s="55" t="s">
        <v>283</v>
      </c>
      <c r="C22345" s="46">
        <v>2333</v>
      </c>
      <c r="D22345" s="69" t="s">
        <v>29420</v>
      </c>
      <c r="E22345" s="51"/>
      <c r="F22345" s="114" t="str">
        <f>IF(INDEX(I.Facility.P4IDNumber,2333)="","",INDEX(I.Facility.P4IDNumber,2333))</f>
        <v/>
      </c>
      <c r="G22345" s="51"/>
      <c r="H22345" s="46" t="str">
        <f>IF(AND(I.Developer.P4=TRUE,I.Facility.P4FacilityCount&gt;=2333,F22345=""),"Incomplete","Complete")</f>
        <v>Complete</v>
      </c>
      <c r="I22345" s="48" t="s">
        <v>26710</v>
      </c>
    </row>
    <row r="22346" spans="2:9" ht="15" customHeight="1" x14ac:dyDescent="0.25">
      <c r="B22346" s="55" t="s">
        <v>283</v>
      </c>
      <c r="C22346" s="46">
        <v>2334</v>
      </c>
      <c r="D22346" s="69" t="s">
        <v>29420</v>
      </c>
      <c r="E22346" s="51"/>
      <c r="F22346" s="114" t="str">
        <f>IF(INDEX(I.Facility.P4IDNumber,2334)="","",INDEX(I.Facility.P4IDNumber,2334))</f>
        <v/>
      </c>
      <c r="G22346" s="51"/>
      <c r="H22346" s="46" t="str">
        <f>IF(AND(I.Developer.P4=TRUE,I.Facility.P4FacilityCount&gt;=2334,F22346=""),"Incomplete","Complete")</f>
        <v>Complete</v>
      </c>
      <c r="I22346" s="48" t="s">
        <v>26711</v>
      </c>
    </row>
    <row r="22347" spans="2:9" ht="15" customHeight="1" x14ac:dyDescent="0.25">
      <c r="B22347" s="55" t="s">
        <v>283</v>
      </c>
      <c r="C22347" s="46">
        <v>2335</v>
      </c>
      <c r="D22347" s="69" t="s">
        <v>29420</v>
      </c>
      <c r="E22347" s="51"/>
      <c r="F22347" s="114" t="str">
        <f>IF(INDEX(I.Facility.P4IDNumber,2335)="","",INDEX(I.Facility.P4IDNumber,2335))</f>
        <v/>
      </c>
      <c r="G22347" s="51"/>
      <c r="H22347" s="46" t="str">
        <f>IF(AND(I.Developer.P4=TRUE,I.Facility.P4FacilityCount&gt;=2335,F22347=""),"Incomplete","Complete")</f>
        <v>Complete</v>
      </c>
      <c r="I22347" s="48" t="s">
        <v>26712</v>
      </c>
    </row>
    <row r="22348" spans="2:9" ht="15" customHeight="1" x14ac:dyDescent="0.25">
      <c r="B22348" s="55" t="s">
        <v>283</v>
      </c>
      <c r="C22348" s="46">
        <v>2336</v>
      </c>
      <c r="D22348" s="69" t="s">
        <v>29420</v>
      </c>
      <c r="E22348" s="51"/>
      <c r="F22348" s="114" t="str">
        <f>IF(INDEX(I.Facility.P4IDNumber,2336)="","",INDEX(I.Facility.P4IDNumber,2336))</f>
        <v/>
      </c>
      <c r="G22348" s="51"/>
      <c r="H22348" s="46" t="str">
        <f>IF(AND(I.Developer.P4=TRUE,I.Facility.P4FacilityCount&gt;=2336,F22348=""),"Incomplete","Complete")</f>
        <v>Complete</v>
      </c>
      <c r="I22348" s="48" t="s">
        <v>26713</v>
      </c>
    </row>
    <row r="22349" spans="2:9" ht="15" customHeight="1" x14ac:dyDescent="0.25">
      <c r="B22349" s="55" t="s">
        <v>283</v>
      </c>
      <c r="C22349" s="46">
        <v>2337</v>
      </c>
      <c r="D22349" s="69" t="s">
        <v>29420</v>
      </c>
      <c r="E22349" s="51"/>
      <c r="F22349" s="114" t="str">
        <f>IF(INDEX(I.Facility.P4IDNumber,2337)="","",INDEX(I.Facility.P4IDNumber,2337))</f>
        <v/>
      </c>
      <c r="G22349" s="51"/>
      <c r="H22349" s="46" t="str">
        <f>IF(AND(I.Developer.P4=TRUE,I.Facility.P4FacilityCount&gt;=2337,F22349=""),"Incomplete","Complete")</f>
        <v>Complete</v>
      </c>
      <c r="I22349" s="48" t="s">
        <v>26714</v>
      </c>
    </row>
    <row r="22350" spans="2:9" ht="15" customHeight="1" x14ac:dyDescent="0.25">
      <c r="B22350" s="55" t="s">
        <v>283</v>
      </c>
      <c r="C22350" s="46">
        <v>2338</v>
      </c>
      <c r="D22350" s="69" t="s">
        <v>29420</v>
      </c>
      <c r="E22350" s="51"/>
      <c r="F22350" s="114" t="str">
        <f>IF(INDEX(I.Facility.P4IDNumber,2338)="","",INDEX(I.Facility.P4IDNumber,2338))</f>
        <v/>
      </c>
      <c r="G22350" s="51"/>
      <c r="H22350" s="46" t="str">
        <f>IF(AND(I.Developer.P4=TRUE,I.Facility.P4FacilityCount&gt;=2338,F22350=""),"Incomplete","Complete")</f>
        <v>Complete</v>
      </c>
      <c r="I22350" s="48" t="s">
        <v>26715</v>
      </c>
    </row>
    <row r="22351" spans="2:9" ht="15" customHeight="1" x14ac:dyDescent="0.25">
      <c r="B22351" s="55" t="s">
        <v>283</v>
      </c>
      <c r="C22351" s="46">
        <v>2339</v>
      </c>
      <c r="D22351" s="69" t="s">
        <v>29420</v>
      </c>
      <c r="E22351" s="51"/>
      <c r="F22351" s="114" t="str">
        <f>IF(INDEX(I.Facility.P4IDNumber,2339)="","",INDEX(I.Facility.P4IDNumber,2339))</f>
        <v/>
      </c>
      <c r="G22351" s="51"/>
      <c r="H22351" s="46" t="str">
        <f>IF(AND(I.Developer.P4=TRUE,I.Facility.P4FacilityCount&gt;=2339,F22351=""),"Incomplete","Complete")</f>
        <v>Complete</v>
      </c>
      <c r="I22351" s="48" t="s">
        <v>26716</v>
      </c>
    </row>
    <row r="22352" spans="2:9" ht="15" customHeight="1" x14ac:dyDescent="0.25">
      <c r="B22352" s="55" t="s">
        <v>283</v>
      </c>
      <c r="C22352" s="46">
        <v>2340</v>
      </c>
      <c r="D22352" s="69" t="s">
        <v>29420</v>
      </c>
      <c r="E22352" s="51"/>
      <c r="F22352" s="114" t="str">
        <f>IF(INDEX(I.Facility.P4IDNumber,2340)="","",INDEX(I.Facility.P4IDNumber,2340))</f>
        <v/>
      </c>
      <c r="G22352" s="51"/>
      <c r="H22352" s="46" t="str">
        <f>IF(AND(I.Developer.P4=TRUE,I.Facility.P4FacilityCount&gt;=2340,F22352=""),"Incomplete","Complete")</f>
        <v>Complete</v>
      </c>
      <c r="I22352" s="48" t="s">
        <v>26717</v>
      </c>
    </row>
    <row r="22353" spans="2:9" ht="15" customHeight="1" x14ac:dyDescent="0.25">
      <c r="B22353" s="55" t="s">
        <v>283</v>
      </c>
      <c r="C22353" s="46">
        <v>2341</v>
      </c>
      <c r="D22353" s="69" t="s">
        <v>29420</v>
      </c>
      <c r="E22353" s="51"/>
      <c r="F22353" s="114" t="str">
        <f>IF(INDEX(I.Facility.P4IDNumber,2341)="","",INDEX(I.Facility.P4IDNumber,2341))</f>
        <v/>
      </c>
      <c r="G22353" s="51"/>
      <c r="H22353" s="46" t="str">
        <f>IF(AND(I.Developer.P4=TRUE,I.Facility.P4FacilityCount&gt;=2341,F22353=""),"Incomplete","Complete")</f>
        <v>Complete</v>
      </c>
      <c r="I22353" s="48" t="s">
        <v>26718</v>
      </c>
    </row>
    <row r="22354" spans="2:9" ht="15" customHeight="1" x14ac:dyDescent="0.25">
      <c r="B22354" s="55" t="s">
        <v>283</v>
      </c>
      <c r="C22354" s="46">
        <v>2342</v>
      </c>
      <c r="D22354" s="69" t="s">
        <v>29420</v>
      </c>
      <c r="E22354" s="51"/>
      <c r="F22354" s="114" t="str">
        <f>IF(INDEX(I.Facility.P4IDNumber,2342)="","",INDEX(I.Facility.P4IDNumber,2342))</f>
        <v/>
      </c>
      <c r="G22354" s="51"/>
      <c r="H22354" s="46" t="str">
        <f>IF(AND(I.Developer.P4=TRUE,I.Facility.P4FacilityCount&gt;=2342,F22354=""),"Incomplete","Complete")</f>
        <v>Complete</v>
      </c>
      <c r="I22354" s="48" t="s">
        <v>26719</v>
      </c>
    </row>
    <row r="22355" spans="2:9" ht="15" customHeight="1" x14ac:dyDescent="0.25">
      <c r="B22355" s="55" t="s">
        <v>283</v>
      </c>
      <c r="C22355" s="46">
        <v>2343</v>
      </c>
      <c r="D22355" s="69" t="s">
        <v>29420</v>
      </c>
      <c r="E22355" s="51"/>
      <c r="F22355" s="114" t="str">
        <f>IF(INDEX(I.Facility.P4IDNumber,2343)="","",INDEX(I.Facility.P4IDNumber,2343))</f>
        <v/>
      </c>
      <c r="G22355" s="51"/>
      <c r="H22355" s="46" t="str">
        <f>IF(AND(I.Developer.P4=TRUE,I.Facility.P4FacilityCount&gt;=2343,F22355=""),"Incomplete","Complete")</f>
        <v>Complete</v>
      </c>
      <c r="I22355" s="48" t="s">
        <v>26720</v>
      </c>
    </row>
    <row r="22356" spans="2:9" ht="15" customHeight="1" x14ac:dyDescent="0.25">
      <c r="B22356" s="55" t="s">
        <v>283</v>
      </c>
      <c r="C22356" s="46">
        <v>2344</v>
      </c>
      <c r="D22356" s="69" t="s">
        <v>29420</v>
      </c>
      <c r="E22356" s="51"/>
      <c r="F22356" s="114" t="str">
        <f>IF(INDEX(I.Facility.P4IDNumber,2344)="","",INDEX(I.Facility.P4IDNumber,2344))</f>
        <v/>
      </c>
      <c r="G22356" s="51"/>
      <c r="H22356" s="46" t="str">
        <f>IF(AND(I.Developer.P4=TRUE,I.Facility.P4FacilityCount&gt;=2344,F22356=""),"Incomplete","Complete")</f>
        <v>Complete</v>
      </c>
      <c r="I22356" s="48" t="s">
        <v>26721</v>
      </c>
    </row>
    <row r="22357" spans="2:9" ht="15" customHeight="1" x14ac:dyDescent="0.25">
      <c r="B22357" s="55" t="s">
        <v>283</v>
      </c>
      <c r="C22357" s="46">
        <v>2345</v>
      </c>
      <c r="D22357" s="69" t="s">
        <v>29420</v>
      </c>
      <c r="E22357" s="51"/>
      <c r="F22357" s="114" t="str">
        <f>IF(INDEX(I.Facility.P4IDNumber,2345)="","",INDEX(I.Facility.P4IDNumber,2345))</f>
        <v/>
      </c>
      <c r="G22357" s="51"/>
      <c r="H22357" s="46" t="str">
        <f>IF(AND(I.Developer.P4=TRUE,I.Facility.P4FacilityCount&gt;=2345,F22357=""),"Incomplete","Complete")</f>
        <v>Complete</v>
      </c>
      <c r="I22357" s="48" t="s">
        <v>26722</v>
      </c>
    </row>
    <row r="22358" spans="2:9" ht="15" customHeight="1" x14ac:dyDescent="0.25">
      <c r="B22358" s="55" t="s">
        <v>283</v>
      </c>
      <c r="C22358" s="46">
        <v>2346</v>
      </c>
      <c r="D22358" s="69" t="s">
        <v>29420</v>
      </c>
      <c r="E22358" s="51"/>
      <c r="F22358" s="114" t="str">
        <f>IF(INDEX(I.Facility.P4IDNumber,2346)="","",INDEX(I.Facility.P4IDNumber,2346))</f>
        <v/>
      </c>
      <c r="G22358" s="51"/>
      <c r="H22358" s="46" t="str">
        <f>IF(AND(I.Developer.P4=TRUE,I.Facility.P4FacilityCount&gt;=2346,F22358=""),"Incomplete","Complete")</f>
        <v>Complete</v>
      </c>
      <c r="I22358" s="48" t="s">
        <v>26723</v>
      </c>
    </row>
    <row r="22359" spans="2:9" ht="15" customHeight="1" x14ac:dyDescent="0.25">
      <c r="B22359" s="55" t="s">
        <v>283</v>
      </c>
      <c r="C22359" s="46">
        <v>2347</v>
      </c>
      <c r="D22359" s="69" t="s">
        <v>29420</v>
      </c>
      <c r="E22359" s="51"/>
      <c r="F22359" s="114" t="str">
        <f>IF(INDEX(I.Facility.P4IDNumber,2347)="","",INDEX(I.Facility.P4IDNumber,2347))</f>
        <v/>
      </c>
      <c r="G22359" s="51"/>
      <c r="H22359" s="46" t="str">
        <f>IF(AND(I.Developer.P4=TRUE,I.Facility.P4FacilityCount&gt;=2347,F22359=""),"Incomplete","Complete")</f>
        <v>Complete</v>
      </c>
      <c r="I22359" s="48" t="s">
        <v>26724</v>
      </c>
    </row>
    <row r="22360" spans="2:9" ht="15" customHeight="1" x14ac:dyDescent="0.25">
      <c r="B22360" s="55" t="s">
        <v>283</v>
      </c>
      <c r="C22360" s="46">
        <v>2348</v>
      </c>
      <c r="D22360" s="69" t="s">
        <v>29420</v>
      </c>
      <c r="E22360" s="51"/>
      <c r="F22360" s="114" t="str">
        <f>IF(INDEX(I.Facility.P4IDNumber,2348)="","",INDEX(I.Facility.P4IDNumber,2348))</f>
        <v/>
      </c>
      <c r="G22360" s="51"/>
      <c r="H22360" s="46" t="str">
        <f>IF(AND(I.Developer.P4=TRUE,I.Facility.P4FacilityCount&gt;=2348,F22360=""),"Incomplete","Complete")</f>
        <v>Complete</v>
      </c>
      <c r="I22360" s="48" t="s">
        <v>26725</v>
      </c>
    </row>
    <row r="22361" spans="2:9" ht="15" customHeight="1" x14ac:dyDescent="0.25">
      <c r="B22361" s="55" t="s">
        <v>283</v>
      </c>
      <c r="C22361" s="46">
        <v>2349</v>
      </c>
      <c r="D22361" s="69" t="s">
        <v>29420</v>
      </c>
      <c r="E22361" s="51"/>
      <c r="F22361" s="114" t="str">
        <f>IF(INDEX(I.Facility.P4IDNumber,2349)="","",INDEX(I.Facility.P4IDNumber,2349))</f>
        <v/>
      </c>
      <c r="G22361" s="51"/>
      <c r="H22361" s="46" t="str">
        <f>IF(AND(I.Developer.P4=TRUE,I.Facility.P4FacilityCount&gt;=2349,F22361=""),"Incomplete","Complete")</f>
        <v>Complete</v>
      </c>
      <c r="I22361" s="48" t="s">
        <v>26726</v>
      </c>
    </row>
    <row r="22362" spans="2:9" ht="15" customHeight="1" x14ac:dyDescent="0.25">
      <c r="B22362" s="55" t="s">
        <v>283</v>
      </c>
      <c r="C22362" s="46">
        <v>2350</v>
      </c>
      <c r="D22362" s="69" t="s">
        <v>29420</v>
      </c>
      <c r="E22362" s="51"/>
      <c r="F22362" s="114" t="str">
        <f>IF(INDEX(I.Facility.P4IDNumber,2350)="","",INDEX(I.Facility.P4IDNumber,2350))</f>
        <v/>
      </c>
      <c r="G22362" s="51"/>
      <c r="H22362" s="46" t="str">
        <f>IF(AND(I.Developer.P4=TRUE,I.Facility.P4FacilityCount&gt;=2350,F22362=""),"Incomplete","Complete")</f>
        <v>Complete</v>
      </c>
      <c r="I22362" s="48" t="s">
        <v>26727</v>
      </c>
    </row>
    <row r="22363" spans="2:9" ht="15" customHeight="1" x14ac:dyDescent="0.25">
      <c r="B22363" s="55" t="s">
        <v>283</v>
      </c>
      <c r="C22363" s="46">
        <v>2351</v>
      </c>
      <c r="D22363" s="69" t="s">
        <v>29420</v>
      </c>
      <c r="E22363" s="51"/>
      <c r="F22363" s="114" t="str">
        <f>IF(INDEX(I.Facility.P4IDNumber,2351)="","",INDEX(I.Facility.P4IDNumber,2351))</f>
        <v/>
      </c>
      <c r="G22363" s="51"/>
      <c r="H22363" s="46" t="str">
        <f>IF(AND(I.Developer.P4=TRUE,I.Facility.P4FacilityCount&gt;=2351,F22363=""),"Incomplete","Complete")</f>
        <v>Complete</v>
      </c>
      <c r="I22363" s="48" t="s">
        <v>26728</v>
      </c>
    </row>
    <row r="22364" spans="2:9" ht="15" customHeight="1" x14ac:dyDescent="0.25">
      <c r="B22364" s="55" t="s">
        <v>283</v>
      </c>
      <c r="C22364" s="46">
        <v>2352</v>
      </c>
      <c r="D22364" s="69" t="s">
        <v>29420</v>
      </c>
      <c r="E22364" s="51"/>
      <c r="F22364" s="114" t="str">
        <f>IF(INDEX(I.Facility.P4IDNumber,2352)="","",INDEX(I.Facility.P4IDNumber,2352))</f>
        <v/>
      </c>
      <c r="G22364" s="51"/>
      <c r="H22364" s="46" t="str">
        <f>IF(AND(I.Developer.P4=TRUE,I.Facility.P4FacilityCount&gt;=2352,F22364=""),"Incomplete","Complete")</f>
        <v>Complete</v>
      </c>
      <c r="I22364" s="48" t="s">
        <v>26729</v>
      </c>
    </row>
    <row r="22365" spans="2:9" ht="15" customHeight="1" x14ac:dyDescent="0.25">
      <c r="B22365" s="55" t="s">
        <v>283</v>
      </c>
      <c r="C22365" s="46">
        <v>2353</v>
      </c>
      <c r="D22365" s="69" t="s">
        <v>29420</v>
      </c>
      <c r="E22365" s="51"/>
      <c r="F22365" s="114" t="str">
        <f>IF(INDEX(I.Facility.P4IDNumber,2353)="","",INDEX(I.Facility.P4IDNumber,2353))</f>
        <v/>
      </c>
      <c r="G22365" s="51"/>
      <c r="H22365" s="46" t="str">
        <f>IF(AND(I.Developer.P4=TRUE,I.Facility.P4FacilityCount&gt;=2353,F22365=""),"Incomplete","Complete")</f>
        <v>Complete</v>
      </c>
      <c r="I22365" s="48" t="s">
        <v>26730</v>
      </c>
    </row>
    <row r="22366" spans="2:9" ht="15" customHeight="1" x14ac:dyDescent="0.25">
      <c r="B22366" s="55" t="s">
        <v>283</v>
      </c>
      <c r="C22366" s="46">
        <v>2354</v>
      </c>
      <c r="D22366" s="69" t="s">
        <v>29420</v>
      </c>
      <c r="E22366" s="51"/>
      <c r="F22366" s="114" t="str">
        <f>IF(INDEX(I.Facility.P4IDNumber,2354)="","",INDEX(I.Facility.P4IDNumber,2354))</f>
        <v/>
      </c>
      <c r="G22366" s="51"/>
      <c r="H22366" s="46" t="str">
        <f>IF(AND(I.Developer.P4=TRUE,I.Facility.P4FacilityCount&gt;=2354,F22366=""),"Incomplete","Complete")</f>
        <v>Complete</v>
      </c>
      <c r="I22366" s="48" t="s">
        <v>26731</v>
      </c>
    </row>
    <row r="22367" spans="2:9" ht="15" customHeight="1" x14ac:dyDescent="0.25">
      <c r="B22367" s="55" t="s">
        <v>283</v>
      </c>
      <c r="C22367" s="46">
        <v>2355</v>
      </c>
      <c r="D22367" s="69" t="s">
        <v>29420</v>
      </c>
      <c r="E22367" s="51"/>
      <c r="F22367" s="114" t="str">
        <f>IF(INDEX(I.Facility.P4IDNumber,2355)="","",INDEX(I.Facility.P4IDNumber,2355))</f>
        <v/>
      </c>
      <c r="G22367" s="51"/>
      <c r="H22367" s="46" t="str">
        <f>IF(AND(I.Developer.P4=TRUE,I.Facility.P4FacilityCount&gt;=2355,F22367=""),"Incomplete","Complete")</f>
        <v>Complete</v>
      </c>
      <c r="I22367" s="48" t="s">
        <v>26732</v>
      </c>
    </row>
    <row r="22368" spans="2:9" ht="15" customHeight="1" x14ac:dyDescent="0.25">
      <c r="B22368" s="55" t="s">
        <v>283</v>
      </c>
      <c r="C22368" s="46">
        <v>2356</v>
      </c>
      <c r="D22368" s="69" t="s">
        <v>29420</v>
      </c>
      <c r="E22368" s="51"/>
      <c r="F22368" s="114" t="str">
        <f>IF(INDEX(I.Facility.P4IDNumber,2356)="","",INDEX(I.Facility.P4IDNumber,2356))</f>
        <v/>
      </c>
      <c r="G22368" s="51"/>
      <c r="H22368" s="46" t="str">
        <f>IF(AND(I.Developer.P4=TRUE,I.Facility.P4FacilityCount&gt;=2356,F22368=""),"Incomplete","Complete")</f>
        <v>Complete</v>
      </c>
      <c r="I22368" s="48" t="s">
        <v>26733</v>
      </c>
    </row>
    <row r="22369" spans="2:9" ht="15" customHeight="1" x14ac:dyDescent="0.25">
      <c r="B22369" s="55" t="s">
        <v>283</v>
      </c>
      <c r="C22369" s="46">
        <v>2357</v>
      </c>
      <c r="D22369" s="69" t="s">
        <v>29420</v>
      </c>
      <c r="E22369" s="51"/>
      <c r="F22369" s="114" t="str">
        <f>IF(INDEX(I.Facility.P4IDNumber,2357)="","",INDEX(I.Facility.P4IDNumber,2357))</f>
        <v/>
      </c>
      <c r="G22369" s="51"/>
      <c r="H22369" s="46" t="str">
        <f>IF(AND(I.Developer.P4=TRUE,I.Facility.P4FacilityCount&gt;=2357,F22369=""),"Incomplete","Complete")</f>
        <v>Complete</v>
      </c>
      <c r="I22369" s="48" t="s">
        <v>26734</v>
      </c>
    </row>
    <row r="22370" spans="2:9" ht="15" customHeight="1" x14ac:dyDescent="0.25">
      <c r="B22370" s="55" t="s">
        <v>283</v>
      </c>
      <c r="C22370" s="46">
        <v>2358</v>
      </c>
      <c r="D22370" s="69" t="s">
        <v>29420</v>
      </c>
      <c r="E22370" s="51"/>
      <c r="F22370" s="114" t="str">
        <f>IF(INDEX(I.Facility.P4IDNumber,2358)="","",INDEX(I.Facility.P4IDNumber,2358))</f>
        <v/>
      </c>
      <c r="G22370" s="51"/>
      <c r="H22370" s="46" t="str">
        <f>IF(AND(I.Developer.P4=TRUE,I.Facility.P4FacilityCount&gt;=2358,F22370=""),"Incomplete","Complete")</f>
        <v>Complete</v>
      </c>
      <c r="I22370" s="48" t="s">
        <v>26735</v>
      </c>
    </row>
    <row r="22371" spans="2:9" ht="15" customHeight="1" x14ac:dyDescent="0.25">
      <c r="B22371" s="55" t="s">
        <v>283</v>
      </c>
      <c r="C22371" s="46">
        <v>2359</v>
      </c>
      <c r="D22371" s="69" t="s">
        <v>29420</v>
      </c>
      <c r="E22371" s="51"/>
      <c r="F22371" s="114" t="str">
        <f>IF(INDEX(I.Facility.P4IDNumber,2359)="","",INDEX(I.Facility.P4IDNumber,2359))</f>
        <v/>
      </c>
      <c r="G22371" s="51"/>
      <c r="H22371" s="46" t="str">
        <f>IF(AND(I.Developer.P4=TRUE,I.Facility.P4FacilityCount&gt;=2359,F22371=""),"Incomplete","Complete")</f>
        <v>Complete</v>
      </c>
      <c r="I22371" s="48" t="s">
        <v>26736</v>
      </c>
    </row>
    <row r="22372" spans="2:9" ht="15" customHeight="1" x14ac:dyDescent="0.25">
      <c r="B22372" s="55" t="s">
        <v>283</v>
      </c>
      <c r="C22372" s="46">
        <v>2360</v>
      </c>
      <c r="D22372" s="69" t="s">
        <v>29420</v>
      </c>
      <c r="E22372" s="51"/>
      <c r="F22372" s="114" t="str">
        <f>IF(INDEX(I.Facility.P4IDNumber,2360)="","",INDEX(I.Facility.P4IDNumber,2360))</f>
        <v/>
      </c>
      <c r="G22372" s="51"/>
      <c r="H22372" s="46" t="str">
        <f>IF(AND(I.Developer.P4=TRUE,I.Facility.P4FacilityCount&gt;=2360,F22372=""),"Incomplete","Complete")</f>
        <v>Complete</v>
      </c>
      <c r="I22372" s="48" t="s">
        <v>26737</v>
      </c>
    </row>
    <row r="22373" spans="2:9" ht="15" customHeight="1" x14ac:dyDescent="0.25">
      <c r="B22373" s="55" t="s">
        <v>283</v>
      </c>
      <c r="C22373" s="46">
        <v>2361</v>
      </c>
      <c r="D22373" s="69" t="s">
        <v>29420</v>
      </c>
      <c r="E22373" s="51"/>
      <c r="F22373" s="114" t="str">
        <f>IF(INDEX(I.Facility.P4IDNumber,2361)="","",INDEX(I.Facility.P4IDNumber,2361))</f>
        <v/>
      </c>
      <c r="G22373" s="51"/>
      <c r="H22373" s="46" t="str">
        <f>IF(AND(I.Developer.P4=TRUE,I.Facility.P4FacilityCount&gt;=2361,F22373=""),"Incomplete","Complete")</f>
        <v>Complete</v>
      </c>
      <c r="I22373" s="48" t="s">
        <v>26738</v>
      </c>
    </row>
    <row r="22374" spans="2:9" ht="15" customHeight="1" x14ac:dyDescent="0.25">
      <c r="B22374" s="55" t="s">
        <v>283</v>
      </c>
      <c r="C22374" s="46">
        <v>2362</v>
      </c>
      <c r="D22374" s="69" t="s">
        <v>29420</v>
      </c>
      <c r="E22374" s="51"/>
      <c r="F22374" s="114" t="str">
        <f>IF(INDEX(I.Facility.P4IDNumber,2362)="","",INDEX(I.Facility.P4IDNumber,2362))</f>
        <v/>
      </c>
      <c r="G22374" s="51"/>
      <c r="H22374" s="46" t="str">
        <f>IF(AND(I.Developer.P4=TRUE,I.Facility.P4FacilityCount&gt;=2362,F22374=""),"Incomplete","Complete")</f>
        <v>Complete</v>
      </c>
      <c r="I22374" s="48" t="s">
        <v>26739</v>
      </c>
    </row>
    <row r="22375" spans="2:9" ht="15" customHeight="1" x14ac:dyDescent="0.25">
      <c r="B22375" s="55" t="s">
        <v>283</v>
      </c>
      <c r="C22375" s="46">
        <v>2363</v>
      </c>
      <c r="D22375" s="69" t="s">
        <v>29420</v>
      </c>
      <c r="E22375" s="51"/>
      <c r="F22375" s="114" t="str">
        <f>IF(INDEX(I.Facility.P4IDNumber,2363)="","",INDEX(I.Facility.P4IDNumber,2363))</f>
        <v/>
      </c>
      <c r="G22375" s="51"/>
      <c r="H22375" s="46" t="str">
        <f>IF(AND(I.Developer.P4=TRUE,I.Facility.P4FacilityCount&gt;=2363,F22375=""),"Incomplete","Complete")</f>
        <v>Complete</v>
      </c>
      <c r="I22375" s="48" t="s">
        <v>26740</v>
      </c>
    </row>
    <row r="22376" spans="2:9" ht="15" customHeight="1" x14ac:dyDescent="0.25">
      <c r="B22376" s="55" t="s">
        <v>283</v>
      </c>
      <c r="C22376" s="46">
        <v>2364</v>
      </c>
      <c r="D22376" s="69" t="s">
        <v>29420</v>
      </c>
      <c r="E22376" s="51"/>
      <c r="F22376" s="114" t="str">
        <f>IF(INDEX(I.Facility.P4IDNumber,2364)="","",INDEX(I.Facility.P4IDNumber,2364))</f>
        <v/>
      </c>
      <c r="G22376" s="51"/>
      <c r="H22376" s="46" t="str">
        <f>IF(AND(I.Developer.P4=TRUE,I.Facility.P4FacilityCount&gt;=2364,F22376=""),"Incomplete","Complete")</f>
        <v>Complete</v>
      </c>
      <c r="I22376" s="48" t="s">
        <v>26741</v>
      </c>
    </row>
    <row r="22377" spans="2:9" ht="15" customHeight="1" x14ac:dyDescent="0.25">
      <c r="B22377" s="55" t="s">
        <v>283</v>
      </c>
      <c r="C22377" s="46">
        <v>2365</v>
      </c>
      <c r="D22377" s="69" t="s">
        <v>29420</v>
      </c>
      <c r="E22377" s="51"/>
      <c r="F22377" s="114" t="str">
        <f>IF(INDEX(I.Facility.P4IDNumber,2365)="","",INDEX(I.Facility.P4IDNumber,2365))</f>
        <v/>
      </c>
      <c r="G22377" s="51"/>
      <c r="H22377" s="46" t="str">
        <f>IF(AND(I.Developer.P4=TRUE,I.Facility.P4FacilityCount&gt;=2365,F22377=""),"Incomplete","Complete")</f>
        <v>Complete</v>
      </c>
      <c r="I22377" s="48" t="s">
        <v>26742</v>
      </c>
    </row>
    <row r="22378" spans="2:9" ht="15" customHeight="1" x14ac:dyDescent="0.25">
      <c r="B22378" s="55" t="s">
        <v>283</v>
      </c>
      <c r="C22378" s="46">
        <v>2366</v>
      </c>
      <c r="D22378" s="69" t="s">
        <v>29420</v>
      </c>
      <c r="E22378" s="51"/>
      <c r="F22378" s="114" t="str">
        <f>IF(INDEX(I.Facility.P4IDNumber,2366)="","",INDEX(I.Facility.P4IDNumber,2366))</f>
        <v/>
      </c>
      <c r="G22378" s="51"/>
      <c r="H22378" s="46" t="str">
        <f>IF(AND(I.Developer.P4=TRUE,I.Facility.P4FacilityCount&gt;=2366,F22378=""),"Incomplete","Complete")</f>
        <v>Complete</v>
      </c>
      <c r="I22378" s="48" t="s">
        <v>26743</v>
      </c>
    </row>
    <row r="22379" spans="2:9" ht="15" customHeight="1" x14ac:dyDescent="0.25">
      <c r="B22379" s="55" t="s">
        <v>283</v>
      </c>
      <c r="C22379" s="46">
        <v>2367</v>
      </c>
      <c r="D22379" s="69" t="s">
        <v>29420</v>
      </c>
      <c r="E22379" s="51"/>
      <c r="F22379" s="114" t="str">
        <f>IF(INDEX(I.Facility.P4IDNumber,2367)="","",INDEX(I.Facility.P4IDNumber,2367))</f>
        <v/>
      </c>
      <c r="G22379" s="51"/>
      <c r="H22379" s="46" t="str">
        <f>IF(AND(I.Developer.P4=TRUE,I.Facility.P4FacilityCount&gt;=2367,F22379=""),"Incomplete","Complete")</f>
        <v>Complete</v>
      </c>
      <c r="I22379" s="48" t="s">
        <v>26744</v>
      </c>
    </row>
    <row r="22380" spans="2:9" ht="15" customHeight="1" x14ac:dyDescent="0.25">
      <c r="B22380" s="55" t="s">
        <v>283</v>
      </c>
      <c r="C22380" s="46">
        <v>2368</v>
      </c>
      <c r="D22380" s="69" t="s">
        <v>29420</v>
      </c>
      <c r="E22380" s="51"/>
      <c r="F22380" s="114" t="str">
        <f>IF(INDEX(I.Facility.P4IDNumber,2368)="","",INDEX(I.Facility.P4IDNumber,2368))</f>
        <v/>
      </c>
      <c r="G22380" s="51"/>
      <c r="H22380" s="46" t="str">
        <f>IF(AND(I.Developer.P4=TRUE,I.Facility.P4FacilityCount&gt;=2368,F22380=""),"Incomplete","Complete")</f>
        <v>Complete</v>
      </c>
      <c r="I22380" s="48" t="s">
        <v>26745</v>
      </c>
    </row>
    <row r="22381" spans="2:9" ht="15" customHeight="1" x14ac:dyDescent="0.25">
      <c r="B22381" s="55" t="s">
        <v>283</v>
      </c>
      <c r="C22381" s="46">
        <v>2369</v>
      </c>
      <c r="D22381" s="69" t="s">
        <v>29420</v>
      </c>
      <c r="E22381" s="51"/>
      <c r="F22381" s="114" t="str">
        <f>IF(INDEX(I.Facility.P4IDNumber,2369)="","",INDEX(I.Facility.P4IDNumber,2369))</f>
        <v/>
      </c>
      <c r="G22381" s="51"/>
      <c r="H22381" s="46" t="str">
        <f>IF(AND(I.Developer.P4=TRUE,I.Facility.P4FacilityCount&gt;=2369,F22381=""),"Incomplete","Complete")</f>
        <v>Complete</v>
      </c>
      <c r="I22381" s="48" t="s">
        <v>26746</v>
      </c>
    </row>
    <row r="22382" spans="2:9" ht="15" customHeight="1" x14ac:dyDescent="0.25">
      <c r="B22382" s="55" t="s">
        <v>283</v>
      </c>
      <c r="C22382" s="46">
        <v>2370</v>
      </c>
      <c r="D22382" s="69" t="s">
        <v>29420</v>
      </c>
      <c r="E22382" s="51"/>
      <c r="F22382" s="114" t="str">
        <f>IF(INDEX(I.Facility.P4IDNumber,2370)="","",INDEX(I.Facility.P4IDNumber,2370))</f>
        <v/>
      </c>
      <c r="G22382" s="51"/>
      <c r="H22382" s="46" t="str">
        <f>IF(AND(I.Developer.P4=TRUE,I.Facility.P4FacilityCount&gt;=2370,F22382=""),"Incomplete","Complete")</f>
        <v>Complete</v>
      </c>
      <c r="I22382" s="48" t="s">
        <v>26747</v>
      </c>
    </row>
    <row r="22383" spans="2:9" ht="15" customHeight="1" x14ac:dyDescent="0.25">
      <c r="B22383" s="55" t="s">
        <v>283</v>
      </c>
      <c r="C22383" s="46">
        <v>2371</v>
      </c>
      <c r="D22383" s="69" t="s">
        <v>29420</v>
      </c>
      <c r="E22383" s="51"/>
      <c r="F22383" s="114" t="str">
        <f>IF(INDEX(I.Facility.P4IDNumber,2371)="","",INDEX(I.Facility.P4IDNumber,2371))</f>
        <v/>
      </c>
      <c r="G22383" s="51"/>
      <c r="H22383" s="46" t="str">
        <f>IF(AND(I.Developer.P4=TRUE,I.Facility.P4FacilityCount&gt;=2371,F22383=""),"Incomplete","Complete")</f>
        <v>Complete</v>
      </c>
      <c r="I22383" s="48" t="s">
        <v>26748</v>
      </c>
    </row>
    <row r="22384" spans="2:9" ht="15" customHeight="1" x14ac:dyDescent="0.25">
      <c r="B22384" s="55" t="s">
        <v>283</v>
      </c>
      <c r="C22384" s="46">
        <v>2372</v>
      </c>
      <c r="D22384" s="69" t="s">
        <v>29420</v>
      </c>
      <c r="E22384" s="51"/>
      <c r="F22384" s="114" t="str">
        <f>IF(INDEX(I.Facility.P4IDNumber,2372)="","",INDEX(I.Facility.P4IDNumber,2372))</f>
        <v/>
      </c>
      <c r="G22384" s="51"/>
      <c r="H22384" s="46" t="str">
        <f>IF(AND(I.Developer.P4=TRUE,I.Facility.P4FacilityCount&gt;=2372,F22384=""),"Incomplete","Complete")</f>
        <v>Complete</v>
      </c>
      <c r="I22384" s="48" t="s">
        <v>26749</v>
      </c>
    </row>
    <row r="22385" spans="2:9" ht="15" customHeight="1" x14ac:dyDescent="0.25">
      <c r="B22385" s="55" t="s">
        <v>283</v>
      </c>
      <c r="C22385" s="46">
        <v>2373</v>
      </c>
      <c r="D22385" s="69" t="s">
        <v>29420</v>
      </c>
      <c r="E22385" s="51"/>
      <c r="F22385" s="114" t="str">
        <f>IF(INDEX(I.Facility.P4IDNumber,2373)="","",INDEX(I.Facility.P4IDNumber,2373))</f>
        <v/>
      </c>
      <c r="G22385" s="51"/>
      <c r="H22385" s="46" t="str">
        <f>IF(AND(I.Developer.P4=TRUE,I.Facility.P4FacilityCount&gt;=2373,F22385=""),"Incomplete","Complete")</f>
        <v>Complete</v>
      </c>
      <c r="I22385" s="48" t="s">
        <v>26750</v>
      </c>
    </row>
    <row r="22386" spans="2:9" ht="15" customHeight="1" x14ac:dyDescent="0.25">
      <c r="B22386" s="55" t="s">
        <v>283</v>
      </c>
      <c r="C22386" s="46">
        <v>2374</v>
      </c>
      <c r="D22386" s="69" t="s">
        <v>29420</v>
      </c>
      <c r="E22386" s="51"/>
      <c r="F22386" s="114" t="str">
        <f>IF(INDEX(I.Facility.P4IDNumber,2374)="","",INDEX(I.Facility.P4IDNumber,2374))</f>
        <v/>
      </c>
      <c r="G22386" s="51"/>
      <c r="H22386" s="46" t="str">
        <f>IF(AND(I.Developer.P4=TRUE,I.Facility.P4FacilityCount&gt;=2374,F22386=""),"Incomplete","Complete")</f>
        <v>Complete</v>
      </c>
      <c r="I22386" s="48" t="s">
        <v>26751</v>
      </c>
    </row>
    <row r="22387" spans="2:9" ht="15" customHeight="1" x14ac:dyDescent="0.25">
      <c r="B22387" s="55" t="s">
        <v>283</v>
      </c>
      <c r="C22387" s="46">
        <v>2375</v>
      </c>
      <c r="D22387" s="69" t="s">
        <v>29420</v>
      </c>
      <c r="E22387" s="51"/>
      <c r="F22387" s="114" t="str">
        <f>IF(INDEX(I.Facility.P4IDNumber,2375)="","",INDEX(I.Facility.P4IDNumber,2375))</f>
        <v/>
      </c>
      <c r="G22387" s="51"/>
      <c r="H22387" s="46" t="str">
        <f>IF(AND(I.Developer.P4=TRUE,I.Facility.P4FacilityCount&gt;=2375,F22387=""),"Incomplete","Complete")</f>
        <v>Complete</v>
      </c>
      <c r="I22387" s="48" t="s">
        <v>26752</v>
      </c>
    </row>
    <row r="22388" spans="2:9" ht="15" customHeight="1" x14ac:dyDescent="0.25">
      <c r="B22388" s="55" t="s">
        <v>283</v>
      </c>
      <c r="C22388" s="46">
        <v>2376</v>
      </c>
      <c r="D22388" s="69" t="s">
        <v>29420</v>
      </c>
      <c r="E22388" s="51"/>
      <c r="F22388" s="114" t="str">
        <f>IF(INDEX(I.Facility.P4IDNumber,2376)="","",INDEX(I.Facility.P4IDNumber,2376))</f>
        <v/>
      </c>
      <c r="G22388" s="51"/>
      <c r="H22388" s="46" t="str">
        <f>IF(AND(I.Developer.P4=TRUE,I.Facility.P4FacilityCount&gt;=2376,F22388=""),"Incomplete","Complete")</f>
        <v>Complete</v>
      </c>
      <c r="I22388" s="48" t="s">
        <v>26753</v>
      </c>
    </row>
    <row r="22389" spans="2:9" ht="15" customHeight="1" x14ac:dyDescent="0.25">
      <c r="B22389" s="55" t="s">
        <v>283</v>
      </c>
      <c r="C22389" s="46">
        <v>2377</v>
      </c>
      <c r="D22389" s="69" t="s">
        <v>29420</v>
      </c>
      <c r="E22389" s="51"/>
      <c r="F22389" s="114" t="str">
        <f>IF(INDEX(I.Facility.P4IDNumber,2377)="","",INDEX(I.Facility.P4IDNumber,2377))</f>
        <v/>
      </c>
      <c r="G22389" s="51"/>
      <c r="H22389" s="46" t="str">
        <f>IF(AND(I.Developer.P4=TRUE,I.Facility.P4FacilityCount&gt;=2377,F22389=""),"Incomplete","Complete")</f>
        <v>Complete</v>
      </c>
      <c r="I22389" s="48" t="s">
        <v>26754</v>
      </c>
    </row>
    <row r="22390" spans="2:9" ht="15" customHeight="1" x14ac:dyDescent="0.25">
      <c r="B22390" s="55" t="s">
        <v>283</v>
      </c>
      <c r="C22390" s="46">
        <v>2378</v>
      </c>
      <c r="D22390" s="69" t="s">
        <v>29420</v>
      </c>
      <c r="E22390" s="51"/>
      <c r="F22390" s="114" t="str">
        <f>IF(INDEX(I.Facility.P4IDNumber,2378)="","",INDEX(I.Facility.P4IDNumber,2378))</f>
        <v/>
      </c>
      <c r="G22390" s="51"/>
      <c r="H22390" s="46" t="str">
        <f>IF(AND(I.Developer.P4=TRUE,I.Facility.P4FacilityCount&gt;=2378,F22390=""),"Incomplete","Complete")</f>
        <v>Complete</v>
      </c>
      <c r="I22390" s="48" t="s">
        <v>26755</v>
      </c>
    </row>
    <row r="22391" spans="2:9" ht="15" customHeight="1" x14ac:dyDescent="0.25">
      <c r="B22391" s="55" t="s">
        <v>283</v>
      </c>
      <c r="C22391" s="46">
        <v>2379</v>
      </c>
      <c r="D22391" s="69" t="s">
        <v>29420</v>
      </c>
      <c r="E22391" s="51"/>
      <c r="F22391" s="114" t="str">
        <f>IF(INDEX(I.Facility.P4IDNumber,2379)="","",INDEX(I.Facility.P4IDNumber,2379))</f>
        <v/>
      </c>
      <c r="G22391" s="51"/>
      <c r="H22391" s="46" t="str">
        <f>IF(AND(I.Developer.P4=TRUE,I.Facility.P4FacilityCount&gt;=2379,F22391=""),"Incomplete","Complete")</f>
        <v>Complete</v>
      </c>
      <c r="I22391" s="48" t="s">
        <v>26756</v>
      </c>
    </row>
    <row r="22392" spans="2:9" ht="15" customHeight="1" x14ac:dyDescent="0.25">
      <c r="B22392" s="55" t="s">
        <v>283</v>
      </c>
      <c r="C22392" s="46">
        <v>2380</v>
      </c>
      <c r="D22392" s="69" t="s">
        <v>29420</v>
      </c>
      <c r="E22392" s="51"/>
      <c r="F22392" s="114" t="str">
        <f>IF(INDEX(I.Facility.P4IDNumber,2380)="","",INDEX(I.Facility.P4IDNumber,2380))</f>
        <v/>
      </c>
      <c r="G22392" s="51"/>
      <c r="H22392" s="46" t="str">
        <f>IF(AND(I.Developer.P4=TRUE,I.Facility.P4FacilityCount&gt;=2380,F22392=""),"Incomplete","Complete")</f>
        <v>Complete</v>
      </c>
      <c r="I22392" s="48" t="s">
        <v>26757</v>
      </c>
    </row>
    <row r="22393" spans="2:9" ht="15" customHeight="1" x14ac:dyDescent="0.25">
      <c r="B22393" s="55" t="s">
        <v>283</v>
      </c>
      <c r="C22393" s="46">
        <v>2381</v>
      </c>
      <c r="D22393" s="69" t="s">
        <v>29420</v>
      </c>
      <c r="E22393" s="51"/>
      <c r="F22393" s="114" t="str">
        <f>IF(INDEX(I.Facility.P4IDNumber,2381)="","",INDEX(I.Facility.P4IDNumber,2381))</f>
        <v/>
      </c>
      <c r="G22393" s="51"/>
      <c r="H22393" s="46" t="str">
        <f>IF(AND(I.Developer.P4=TRUE,I.Facility.P4FacilityCount&gt;=2381,F22393=""),"Incomplete","Complete")</f>
        <v>Complete</v>
      </c>
      <c r="I22393" s="48" t="s">
        <v>26758</v>
      </c>
    </row>
    <row r="22394" spans="2:9" ht="15" customHeight="1" x14ac:dyDescent="0.25">
      <c r="B22394" s="55" t="s">
        <v>283</v>
      </c>
      <c r="C22394" s="46">
        <v>2382</v>
      </c>
      <c r="D22394" s="69" t="s">
        <v>29420</v>
      </c>
      <c r="E22394" s="51"/>
      <c r="F22394" s="114" t="str">
        <f>IF(INDEX(I.Facility.P4IDNumber,2382)="","",INDEX(I.Facility.P4IDNumber,2382))</f>
        <v/>
      </c>
      <c r="G22394" s="51"/>
      <c r="H22394" s="46" t="str">
        <f>IF(AND(I.Developer.P4=TRUE,I.Facility.P4FacilityCount&gt;=2382,F22394=""),"Incomplete","Complete")</f>
        <v>Complete</v>
      </c>
      <c r="I22394" s="48" t="s">
        <v>26759</v>
      </c>
    </row>
    <row r="22395" spans="2:9" ht="15" customHeight="1" x14ac:dyDescent="0.25">
      <c r="B22395" s="55" t="s">
        <v>283</v>
      </c>
      <c r="C22395" s="46">
        <v>2383</v>
      </c>
      <c r="D22395" s="69" t="s">
        <v>29420</v>
      </c>
      <c r="E22395" s="51"/>
      <c r="F22395" s="114" t="str">
        <f>IF(INDEX(I.Facility.P4IDNumber,2383)="","",INDEX(I.Facility.P4IDNumber,2383))</f>
        <v/>
      </c>
      <c r="G22395" s="51"/>
      <c r="H22395" s="46" t="str">
        <f>IF(AND(I.Developer.P4=TRUE,I.Facility.P4FacilityCount&gt;=2383,F22395=""),"Incomplete","Complete")</f>
        <v>Complete</v>
      </c>
      <c r="I22395" s="48" t="s">
        <v>26760</v>
      </c>
    </row>
    <row r="22396" spans="2:9" ht="15" customHeight="1" x14ac:dyDescent="0.25">
      <c r="B22396" s="55" t="s">
        <v>283</v>
      </c>
      <c r="C22396" s="46">
        <v>2384</v>
      </c>
      <c r="D22396" s="69" t="s">
        <v>29420</v>
      </c>
      <c r="E22396" s="51"/>
      <c r="F22396" s="114" t="str">
        <f>IF(INDEX(I.Facility.P4IDNumber,2384)="","",INDEX(I.Facility.P4IDNumber,2384))</f>
        <v/>
      </c>
      <c r="G22396" s="51"/>
      <c r="H22396" s="46" t="str">
        <f>IF(AND(I.Developer.P4=TRUE,I.Facility.P4FacilityCount&gt;=2384,F22396=""),"Incomplete","Complete")</f>
        <v>Complete</v>
      </c>
      <c r="I22396" s="48" t="s">
        <v>26761</v>
      </c>
    </row>
    <row r="22397" spans="2:9" ht="15" customHeight="1" x14ac:dyDescent="0.25">
      <c r="B22397" s="55" t="s">
        <v>283</v>
      </c>
      <c r="C22397" s="46">
        <v>2385</v>
      </c>
      <c r="D22397" s="69" t="s">
        <v>29420</v>
      </c>
      <c r="E22397" s="51"/>
      <c r="F22397" s="114" t="str">
        <f>IF(INDEX(I.Facility.P4IDNumber,2385)="","",INDEX(I.Facility.P4IDNumber,2385))</f>
        <v/>
      </c>
      <c r="G22397" s="51"/>
      <c r="H22397" s="46" t="str">
        <f>IF(AND(I.Developer.P4=TRUE,I.Facility.P4FacilityCount&gt;=2385,F22397=""),"Incomplete","Complete")</f>
        <v>Complete</v>
      </c>
      <c r="I22397" s="48" t="s">
        <v>26762</v>
      </c>
    </row>
    <row r="22398" spans="2:9" ht="15" customHeight="1" x14ac:dyDescent="0.25">
      <c r="B22398" s="55" t="s">
        <v>283</v>
      </c>
      <c r="C22398" s="46">
        <v>2386</v>
      </c>
      <c r="D22398" s="69" t="s">
        <v>29420</v>
      </c>
      <c r="E22398" s="51"/>
      <c r="F22398" s="114" t="str">
        <f>IF(INDEX(I.Facility.P4IDNumber,2386)="","",INDEX(I.Facility.P4IDNumber,2386))</f>
        <v/>
      </c>
      <c r="G22398" s="51"/>
      <c r="H22398" s="46" t="str">
        <f>IF(AND(I.Developer.P4=TRUE,I.Facility.P4FacilityCount&gt;=2386,F22398=""),"Incomplete","Complete")</f>
        <v>Complete</v>
      </c>
      <c r="I22398" s="48" t="s">
        <v>26763</v>
      </c>
    </row>
    <row r="22399" spans="2:9" ht="15" customHeight="1" x14ac:dyDescent="0.25">
      <c r="B22399" s="55" t="s">
        <v>283</v>
      </c>
      <c r="C22399" s="46">
        <v>2387</v>
      </c>
      <c r="D22399" s="69" t="s">
        <v>29420</v>
      </c>
      <c r="E22399" s="51"/>
      <c r="F22399" s="114" t="str">
        <f>IF(INDEX(I.Facility.P4IDNumber,2387)="","",INDEX(I.Facility.P4IDNumber,2387))</f>
        <v/>
      </c>
      <c r="G22399" s="51"/>
      <c r="H22399" s="46" t="str">
        <f>IF(AND(I.Developer.P4=TRUE,I.Facility.P4FacilityCount&gt;=2387,F22399=""),"Incomplete","Complete")</f>
        <v>Complete</v>
      </c>
      <c r="I22399" s="48" t="s">
        <v>26764</v>
      </c>
    </row>
    <row r="22400" spans="2:9" ht="15" customHeight="1" x14ac:dyDescent="0.25">
      <c r="B22400" s="55" t="s">
        <v>283</v>
      </c>
      <c r="C22400" s="46">
        <v>2388</v>
      </c>
      <c r="D22400" s="69" t="s">
        <v>29420</v>
      </c>
      <c r="E22400" s="51"/>
      <c r="F22400" s="114" t="str">
        <f>IF(INDEX(I.Facility.P4IDNumber,2388)="","",INDEX(I.Facility.P4IDNumber,2388))</f>
        <v/>
      </c>
      <c r="G22400" s="51"/>
      <c r="H22400" s="46" t="str">
        <f>IF(AND(I.Developer.P4=TRUE,I.Facility.P4FacilityCount&gt;=2388,F22400=""),"Incomplete","Complete")</f>
        <v>Complete</v>
      </c>
      <c r="I22400" s="48" t="s">
        <v>26765</v>
      </c>
    </row>
    <row r="22401" spans="2:9" ht="15" customHeight="1" x14ac:dyDescent="0.25">
      <c r="B22401" s="55" t="s">
        <v>283</v>
      </c>
      <c r="C22401" s="46">
        <v>2389</v>
      </c>
      <c r="D22401" s="69" t="s">
        <v>29420</v>
      </c>
      <c r="E22401" s="51"/>
      <c r="F22401" s="114" t="str">
        <f>IF(INDEX(I.Facility.P4IDNumber,2389)="","",INDEX(I.Facility.P4IDNumber,2389))</f>
        <v/>
      </c>
      <c r="G22401" s="51"/>
      <c r="H22401" s="46" t="str">
        <f>IF(AND(I.Developer.P4=TRUE,I.Facility.P4FacilityCount&gt;=2389,F22401=""),"Incomplete","Complete")</f>
        <v>Complete</v>
      </c>
      <c r="I22401" s="48" t="s">
        <v>26766</v>
      </c>
    </row>
    <row r="22402" spans="2:9" ht="15" customHeight="1" x14ac:dyDescent="0.25">
      <c r="B22402" s="55" t="s">
        <v>283</v>
      </c>
      <c r="C22402" s="46">
        <v>2390</v>
      </c>
      <c r="D22402" s="69" t="s">
        <v>29420</v>
      </c>
      <c r="E22402" s="51"/>
      <c r="F22402" s="114" t="str">
        <f>IF(INDEX(I.Facility.P4IDNumber,2390)="","",INDEX(I.Facility.P4IDNumber,2390))</f>
        <v/>
      </c>
      <c r="G22402" s="51"/>
      <c r="H22402" s="46" t="str">
        <f>IF(AND(I.Developer.P4=TRUE,I.Facility.P4FacilityCount&gt;=2390,F22402=""),"Incomplete","Complete")</f>
        <v>Complete</v>
      </c>
      <c r="I22402" s="48" t="s">
        <v>26767</v>
      </c>
    </row>
    <row r="22403" spans="2:9" ht="15" customHeight="1" x14ac:dyDescent="0.25">
      <c r="B22403" s="55" t="s">
        <v>283</v>
      </c>
      <c r="C22403" s="46">
        <v>2391</v>
      </c>
      <c r="D22403" s="69" t="s">
        <v>29420</v>
      </c>
      <c r="E22403" s="51"/>
      <c r="F22403" s="114" t="str">
        <f>IF(INDEX(I.Facility.P4IDNumber,2391)="","",INDEX(I.Facility.P4IDNumber,2391))</f>
        <v/>
      </c>
      <c r="G22403" s="51"/>
      <c r="H22403" s="46" t="str">
        <f>IF(AND(I.Developer.P4=TRUE,I.Facility.P4FacilityCount&gt;=2391,F22403=""),"Incomplete","Complete")</f>
        <v>Complete</v>
      </c>
      <c r="I22403" s="48" t="s">
        <v>26768</v>
      </c>
    </row>
    <row r="22404" spans="2:9" ht="15" customHeight="1" x14ac:dyDescent="0.25">
      <c r="B22404" s="55" t="s">
        <v>283</v>
      </c>
      <c r="C22404" s="46">
        <v>2392</v>
      </c>
      <c r="D22404" s="69" t="s">
        <v>29420</v>
      </c>
      <c r="E22404" s="51"/>
      <c r="F22404" s="114" t="str">
        <f>IF(INDEX(I.Facility.P4IDNumber,2392)="","",INDEX(I.Facility.P4IDNumber,2392))</f>
        <v/>
      </c>
      <c r="G22404" s="51"/>
      <c r="H22404" s="46" t="str">
        <f>IF(AND(I.Developer.P4=TRUE,I.Facility.P4FacilityCount&gt;=2392,F22404=""),"Incomplete","Complete")</f>
        <v>Complete</v>
      </c>
      <c r="I22404" s="48" t="s">
        <v>26769</v>
      </c>
    </row>
    <row r="22405" spans="2:9" ht="15" customHeight="1" x14ac:dyDescent="0.25">
      <c r="B22405" s="55" t="s">
        <v>283</v>
      </c>
      <c r="C22405" s="46">
        <v>2393</v>
      </c>
      <c r="D22405" s="69" t="s">
        <v>29420</v>
      </c>
      <c r="E22405" s="51"/>
      <c r="F22405" s="114" t="str">
        <f>IF(INDEX(I.Facility.P4IDNumber,2393)="","",INDEX(I.Facility.P4IDNumber,2393))</f>
        <v/>
      </c>
      <c r="G22405" s="51"/>
      <c r="H22405" s="46" t="str">
        <f>IF(AND(I.Developer.P4=TRUE,I.Facility.P4FacilityCount&gt;=2393,F22405=""),"Incomplete","Complete")</f>
        <v>Complete</v>
      </c>
      <c r="I22405" s="48" t="s">
        <v>26770</v>
      </c>
    </row>
    <row r="22406" spans="2:9" ht="15" customHeight="1" x14ac:dyDescent="0.25">
      <c r="B22406" s="55" t="s">
        <v>283</v>
      </c>
      <c r="C22406" s="46">
        <v>2394</v>
      </c>
      <c r="D22406" s="69" t="s">
        <v>29420</v>
      </c>
      <c r="E22406" s="51"/>
      <c r="F22406" s="114" t="str">
        <f>IF(INDEX(I.Facility.P4IDNumber,2394)="","",INDEX(I.Facility.P4IDNumber,2394))</f>
        <v/>
      </c>
      <c r="G22406" s="51"/>
      <c r="H22406" s="46" t="str">
        <f>IF(AND(I.Developer.P4=TRUE,I.Facility.P4FacilityCount&gt;=2394,F22406=""),"Incomplete","Complete")</f>
        <v>Complete</v>
      </c>
      <c r="I22406" s="48" t="s">
        <v>26771</v>
      </c>
    </row>
    <row r="22407" spans="2:9" ht="15" customHeight="1" x14ac:dyDescent="0.25">
      <c r="B22407" s="55" t="s">
        <v>283</v>
      </c>
      <c r="C22407" s="46">
        <v>2395</v>
      </c>
      <c r="D22407" s="69" t="s">
        <v>29420</v>
      </c>
      <c r="E22407" s="51"/>
      <c r="F22407" s="114" t="str">
        <f>IF(INDEX(I.Facility.P4IDNumber,2395)="","",INDEX(I.Facility.P4IDNumber,2395))</f>
        <v/>
      </c>
      <c r="G22407" s="51"/>
      <c r="H22407" s="46" t="str">
        <f>IF(AND(I.Developer.P4=TRUE,I.Facility.P4FacilityCount&gt;=2395,F22407=""),"Incomplete","Complete")</f>
        <v>Complete</v>
      </c>
      <c r="I22407" s="48" t="s">
        <v>26772</v>
      </c>
    </row>
    <row r="22408" spans="2:9" ht="15" customHeight="1" x14ac:dyDescent="0.25">
      <c r="B22408" s="55" t="s">
        <v>283</v>
      </c>
      <c r="C22408" s="46">
        <v>2396</v>
      </c>
      <c r="D22408" s="69" t="s">
        <v>29420</v>
      </c>
      <c r="E22408" s="51"/>
      <c r="F22408" s="114" t="str">
        <f>IF(INDEX(I.Facility.P4IDNumber,2396)="","",INDEX(I.Facility.P4IDNumber,2396))</f>
        <v/>
      </c>
      <c r="G22408" s="51"/>
      <c r="H22408" s="46" t="str">
        <f>IF(AND(I.Developer.P4=TRUE,I.Facility.P4FacilityCount&gt;=2396,F22408=""),"Incomplete","Complete")</f>
        <v>Complete</v>
      </c>
      <c r="I22408" s="48" t="s">
        <v>26773</v>
      </c>
    </row>
    <row r="22409" spans="2:9" ht="15" customHeight="1" x14ac:dyDescent="0.25">
      <c r="B22409" s="55" t="s">
        <v>283</v>
      </c>
      <c r="C22409" s="46">
        <v>2397</v>
      </c>
      <c r="D22409" s="69" t="s">
        <v>29420</v>
      </c>
      <c r="E22409" s="51"/>
      <c r="F22409" s="114" t="str">
        <f>IF(INDEX(I.Facility.P4IDNumber,2397)="","",INDEX(I.Facility.P4IDNumber,2397))</f>
        <v/>
      </c>
      <c r="G22409" s="51"/>
      <c r="H22409" s="46" t="str">
        <f>IF(AND(I.Developer.P4=TRUE,I.Facility.P4FacilityCount&gt;=2397,F22409=""),"Incomplete","Complete")</f>
        <v>Complete</v>
      </c>
      <c r="I22409" s="48" t="s">
        <v>26774</v>
      </c>
    </row>
    <row r="22410" spans="2:9" ht="15" customHeight="1" x14ac:dyDescent="0.25">
      <c r="B22410" s="55" t="s">
        <v>283</v>
      </c>
      <c r="C22410" s="46">
        <v>2398</v>
      </c>
      <c r="D22410" s="69" t="s">
        <v>29420</v>
      </c>
      <c r="E22410" s="51"/>
      <c r="F22410" s="114" t="str">
        <f>IF(INDEX(I.Facility.P4IDNumber,2398)="","",INDEX(I.Facility.P4IDNumber,2398))</f>
        <v/>
      </c>
      <c r="G22410" s="51"/>
      <c r="H22410" s="46" t="str">
        <f>IF(AND(I.Developer.P4=TRUE,I.Facility.P4FacilityCount&gt;=2398,F22410=""),"Incomplete","Complete")</f>
        <v>Complete</v>
      </c>
      <c r="I22410" s="48" t="s">
        <v>26775</v>
      </c>
    </row>
    <row r="22411" spans="2:9" ht="15" customHeight="1" x14ac:dyDescent="0.25">
      <c r="B22411" s="55" t="s">
        <v>283</v>
      </c>
      <c r="C22411" s="46">
        <v>2399</v>
      </c>
      <c r="D22411" s="69" t="s">
        <v>29420</v>
      </c>
      <c r="E22411" s="51"/>
      <c r="F22411" s="114" t="str">
        <f>IF(INDEX(I.Facility.P4IDNumber,2399)="","",INDEX(I.Facility.P4IDNumber,2399))</f>
        <v/>
      </c>
      <c r="G22411" s="51"/>
      <c r="H22411" s="46" t="str">
        <f>IF(AND(I.Developer.P4=TRUE,I.Facility.P4FacilityCount&gt;=2399,F22411=""),"Incomplete","Complete")</f>
        <v>Complete</v>
      </c>
      <c r="I22411" s="48" t="s">
        <v>26776</v>
      </c>
    </row>
    <row r="22412" spans="2:9" ht="15" customHeight="1" x14ac:dyDescent="0.25">
      <c r="B22412" s="55" t="s">
        <v>283</v>
      </c>
      <c r="C22412" s="46">
        <v>2400</v>
      </c>
      <c r="D22412" s="69" t="s">
        <v>29420</v>
      </c>
      <c r="E22412" s="51"/>
      <c r="F22412" s="114" t="str">
        <f>IF(INDEX(I.Facility.P4IDNumber,2400)="","",INDEX(I.Facility.P4IDNumber,2400))</f>
        <v/>
      </c>
      <c r="G22412" s="51"/>
      <c r="H22412" s="46" t="str">
        <f>IF(AND(I.Developer.P4=TRUE,I.Facility.P4FacilityCount&gt;=2400,F22412=""),"Incomplete","Complete")</f>
        <v>Complete</v>
      </c>
      <c r="I22412" s="48" t="s">
        <v>26777</v>
      </c>
    </row>
    <row r="22413" spans="2:9" ht="15" customHeight="1" x14ac:dyDescent="0.25">
      <c r="B22413" s="55" t="s">
        <v>283</v>
      </c>
      <c r="C22413" s="46">
        <v>2401</v>
      </c>
      <c r="D22413" s="69" t="s">
        <v>29420</v>
      </c>
      <c r="E22413" s="51"/>
      <c r="F22413" s="114" t="str">
        <f>IF(INDEX(I.Facility.P4IDNumber,2401)="","",INDEX(I.Facility.P4IDNumber,2401))</f>
        <v/>
      </c>
      <c r="G22413" s="51"/>
      <c r="H22413" s="46" t="str">
        <f>IF(AND(I.Developer.P4=TRUE,I.Facility.P4FacilityCount&gt;=2401,F22413=""),"Incomplete","Complete")</f>
        <v>Complete</v>
      </c>
      <c r="I22413" s="48" t="s">
        <v>26778</v>
      </c>
    </row>
    <row r="22414" spans="2:9" ht="15" customHeight="1" x14ac:dyDescent="0.25">
      <c r="B22414" s="55" t="s">
        <v>283</v>
      </c>
      <c r="C22414" s="46">
        <v>2402</v>
      </c>
      <c r="D22414" s="69" t="s">
        <v>29420</v>
      </c>
      <c r="E22414" s="51"/>
      <c r="F22414" s="114" t="str">
        <f>IF(INDEX(I.Facility.P4IDNumber,2402)="","",INDEX(I.Facility.P4IDNumber,2402))</f>
        <v/>
      </c>
      <c r="G22414" s="51"/>
      <c r="H22414" s="46" t="str">
        <f>IF(AND(I.Developer.P4=TRUE,I.Facility.P4FacilityCount&gt;=2402,F22414=""),"Incomplete","Complete")</f>
        <v>Complete</v>
      </c>
      <c r="I22414" s="48" t="s">
        <v>26779</v>
      </c>
    </row>
    <row r="22415" spans="2:9" ht="15" customHeight="1" x14ac:dyDescent="0.25">
      <c r="B22415" s="55" t="s">
        <v>283</v>
      </c>
      <c r="C22415" s="46">
        <v>2403</v>
      </c>
      <c r="D22415" s="69" t="s">
        <v>29420</v>
      </c>
      <c r="E22415" s="51"/>
      <c r="F22415" s="114" t="str">
        <f>IF(INDEX(I.Facility.P4IDNumber,2403)="","",INDEX(I.Facility.P4IDNumber,2403))</f>
        <v/>
      </c>
      <c r="G22415" s="51"/>
      <c r="H22415" s="46" t="str">
        <f>IF(AND(I.Developer.P4=TRUE,I.Facility.P4FacilityCount&gt;=2403,F22415=""),"Incomplete","Complete")</f>
        <v>Complete</v>
      </c>
      <c r="I22415" s="48" t="s">
        <v>26780</v>
      </c>
    </row>
    <row r="22416" spans="2:9" ht="15" customHeight="1" x14ac:dyDescent="0.25">
      <c r="B22416" s="55" t="s">
        <v>283</v>
      </c>
      <c r="C22416" s="46">
        <v>2404</v>
      </c>
      <c r="D22416" s="69" t="s">
        <v>29420</v>
      </c>
      <c r="E22416" s="51"/>
      <c r="F22416" s="114" t="str">
        <f>IF(INDEX(I.Facility.P4IDNumber,2404)="","",INDEX(I.Facility.P4IDNumber,2404))</f>
        <v/>
      </c>
      <c r="G22416" s="51"/>
      <c r="H22416" s="46" t="str">
        <f>IF(AND(I.Developer.P4=TRUE,I.Facility.P4FacilityCount&gt;=2404,F22416=""),"Incomplete","Complete")</f>
        <v>Complete</v>
      </c>
      <c r="I22416" s="48" t="s">
        <v>26781</v>
      </c>
    </row>
    <row r="22417" spans="2:9" ht="15" customHeight="1" x14ac:dyDescent="0.25">
      <c r="B22417" s="55" t="s">
        <v>283</v>
      </c>
      <c r="C22417" s="46">
        <v>2405</v>
      </c>
      <c r="D22417" s="69" t="s">
        <v>29420</v>
      </c>
      <c r="E22417" s="51"/>
      <c r="F22417" s="114" t="str">
        <f>IF(INDEX(I.Facility.P4IDNumber,2405)="","",INDEX(I.Facility.P4IDNumber,2405))</f>
        <v/>
      </c>
      <c r="G22417" s="51"/>
      <c r="H22417" s="46" t="str">
        <f>IF(AND(I.Developer.P4=TRUE,I.Facility.P4FacilityCount&gt;=2405,F22417=""),"Incomplete","Complete")</f>
        <v>Complete</v>
      </c>
      <c r="I22417" s="48" t="s">
        <v>26782</v>
      </c>
    </row>
    <row r="22418" spans="2:9" ht="15" customHeight="1" x14ac:dyDescent="0.25">
      <c r="B22418" s="55" t="s">
        <v>283</v>
      </c>
      <c r="C22418" s="46">
        <v>2406</v>
      </c>
      <c r="D22418" s="69" t="s">
        <v>29420</v>
      </c>
      <c r="E22418" s="51"/>
      <c r="F22418" s="114" t="str">
        <f>IF(INDEX(I.Facility.P4IDNumber,2406)="","",INDEX(I.Facility.P4IDNumber,2406))</f>
        <v/>
      </c>
      <c r="G22418" s="51"/>
      <c r="H22418" s="46" t="str">
        <f>IF(AND(I.Developer.P4=TRUE,I.Facility.P4FacilityCount&gt;=2406,F22418=""),"Incomplete","Complete")</f>
        <v>Complete</v>
      </c>
      <c r="I22418" s="48" t="s">
        <v>26783</v>
      </c>
    </row>
    <row r="22419" spans="2:9" ht="15" customHeight="1" x14ac:dyDescent="0.25">
      <c r="B22419" s="55" t="s">
        <v>283</v>
      </c>
      <c r="C22419" s="46">
        <v>2407</v>
      </c>
      <c r="D22419" s="69" t="s">
        <v>29420</v>
      </c>
      <c r="E22419" s="51"/>
      <c r="F22419" s="114" t="str">
        <f>IF(INDEX(I.Facility.P4IDNumber,2407)="","",INDEX(I.Facility.P4IDNumber,2407))</f>
        <v/>
      </c>
      <c r="G22419" s="51"/>
      <c r="H22419" s="46" t="str">
        <f>IF(AND(I.Developer.P4=TRUE,I.Facility.P4FacilityCount&gt;=2407,F22419=""),"Incomplete","Complete")</f>
        <v>Complete</v>
      </c>
      <c r="I22419" s="48" t="s">
        <v>26784</v>
      </c>
    </row>
    <row r="22420" spans="2:9" ht="15" customHeight="1" x14ac:dyDescent="0.25">
      <c r="B22420" s="55" t="s">
        <v>283</v>
      </c>
      <c r="C22420" s="46">
        <v>2408</v>
      </c>
      <c r="D22420" s="69" t="s">
        <v>29420</v>
      </c>
      <c r="E22420" s="51"/>
      <c r="F22420" s="114" t="str">
        <f>IF(INDEX(I.Facility.P4IDNumber,2408)="","",INDEX(I.Facility.P4IDNumber,2408))</f>
        <v/>
      </c>
      <c r="G22420" s="51"/>
      <c r="H22420" s="46" t="str">
        <f>IF(AND(I.Developer.P4=TRUE,I.Facility.P4FacilityCount&gt;=2408,F22420=""),"Incomplete","Complete")</f>
        <v>Complete</v>
      </c>
      <c r="I22420" s="48" t="s">
        <v>26785</v>
      </c>
    </row>
    <row r="22421" spans="2:9" ht="15" customHeight="1" x14ac:dyDescent="0.25">
      <c r="B22421" s="55" t="s">
        <v>283</v>
      </c>
      <c r="C22421" s="46">
        <v>2409</v>
      </c>
      <c r="D22421" s="69" t="s">
        <v>29420</v>
      </c>
      <c r="E22421" s="51"/>
      <c r="F22421" s="114" t="str">
        <f>IF(INDEX(I.Facility.P4IDNumber,2409)="","",INDEX(I.Facility.P4IDNumber,2409))</f>
        <v/>
      </c>
      <c r="G22421" s="51"/>
      <c r="H22421" s="46" t="str">
        <f>IF(AND(I.Developer.P4=TRUE,I.Facility.P4FacilityCount&gt;=2409,F22421=""),"Incomplete","Complete")</f>
        <v>Complete</v>
      </c>
      <c r="I22421" s="48" t="s">
        <v>26786</v>
      </c>
    </row>
    <row r="22422" spans="2:9" ht="15" customHeight="1" x14ac:dyDescent="0.25">
      <c r="B22422" s="55" t="s">
        <v>283</v>
      </c>
      <c r="C22422" s="46">
        <v>2410</v>
      </c>
      <c r="D22422" s="69" t="s">
        <v>29420</v>
      </c>
      <c r="E22422" s="51"/>
      <c r="F22422" s="114" t="str">
        <f>IF(INDEX(I.Facility.P4IDNumber,2410)="","",INDEX(I.Facility.P4IDNumber,2410))</f>
        <v/>
      </c>
      <c r="G22422" s="51"/>
      <c r="H22422" s="46" t="str">
        <f>IF(AND(I.Developer.P4=TRUE,I.Facility.P4FacilityCount&gt;=2410,F22422=""),"Incomplete","Complete")</f>
        <v>Complete</v>
      </c>
      <c r="I22422" s="48" t="s">
        <v>26787</v>
      </c>
    </row>
    <row r="22423" spans="2:9" ht="15" customHeight="1" x14ac:dyDescent="0.25">
      <c r="B22423" s="55" t="s">
        <v>283</v>
      </c>
      <c r="C22423" s="46">
        <v>2411</v>
      </c>
      <c r="D22423" s="69" t="s">
        <v>29420</v>
      </c>
      <c r="E22423" s="51"/>
      <c r="F22423" s="114" t="str">
        <f>IF(INDEX(I.Facility.P4IDNumber,2411)="","",INDEX(I.Facility.P4IDNumber,2411))</f>
        <v/>
      </c>
      <c r="G22423" s="51"/>
      <c r="H22423" s="46" t="str">
        <f>IF(AND(I.Developer.P4=TRUE,I.Facility.P4FacilityCount&gt;=2411,F22423=""),"Incomplete","Complete")</f>
        <v>Complete</v>
      </c>
      <c r="I22423" s="48" t="s">
        <v>26788</v>
      </c>
    </row>
    <row r="22424" spans="2:9" ht="15" customHeight="1" x14ac:dyDescent="0.25">
      <c r="B22424" s="55" t="s">
        <v>283</v>
      </c>
      <c r="C22424" s="46">
        <v>2412</v>
      </c>
      <c r="D22424" s="69" t="s">
        <v>29420</v>
      </c>
      <c r="E22424" s="51"/>
      <c r="F22424" s="114" t="str">
        <f>IF(INDEX(I.Facility.P4IDNumber,2412)="","",INDEX(I.Facility.P4IDNumber,2412))</f>
        <v/>
      </c>
      <c r="G22424" s="51"/>
      <c r="H22424" s="46" t="str">
        <f>IF(AND(I.Developer.P4=TRUE,I.Facility.P4FacilityCount&gt;=2412,F22424=""),"Incomplete","Complete")</f>
        <v>Complete</v>
      </c>
      <c r="I22424" s="48" t="s">
        <v>26789</v>
      </c>
    </row>
    <row r="22425" spans="2:9" ht="15" customHeight="1" x14ac:dyDescent="0.25">
      <c r="B22425" s="55" t="s">
        <v>283</v>
      </c>
      <c r="C22425" s="46">
        <v>2413</v>
      </c>
      <c r="D22425" s="69" t="s">
        <v>29420</v>
      </c>
      <c r="E22425" s="51"/>
      <c r="F22425" s="114" t="str">
        <f>IF(INDEX(I.Facility.P4IDNumber,2413)="","",INDEX(I.Facility.P4IDNumber,2413))</f>
        <v/>
      </c>
      <c r="G22425" s="51"/>
      <c r="H22425" s="46" t="str">
        <f>IF(AND(I.Developer.P4=TRUE,I.Facility.P4FacilityCount&gt;=2413,F22425=""),"Incomplete","Complete")</f>
        <v>Complete</v>
      </c>
      <c r="I22425" s="48" t="s">
        <v>26790</v>
      </c>
    </row>
    <row r="22426" spans="2:9" ht="15" customHeight="1" x14ac:dyDescent="0.25">
      <c r="B22426" s="55" t="s">
        <v>283</v>
      </c>
      <c r="C22426" s="46">
        <v>2414</v>
      </c>
      <c r="D22426" s="69" t="s">
        <v>29420</v>
      </c>
      <c r="E22426" s="51"/>
      <c r="F22426" s="114" t="str">
        <f>IF(INDEX(I.Facility.P4IDNumber,2414)="","",INDEX(I.Facility.P4IDNumber,2414))</f>
        <v/>
      </c>
      <c r="G22426" s="51"/>
      <c r="H22426" s="46" t="str">
        <f>IF(AND(I.Developer.P4=TRUE,I.Facility.P4FacilityCount&gt;=2414,F22426=""),"Incomplete","Complete")</f>
        <v>Complete</v>
      </c>
      <c r="I22426" s="48" t="s">
        <v>26791</v>
      </c>
    </row>
    <row r="22427" spans="2:9" ht="15" customHeight="1" x14ac:dyDescent="0.25">
      <c r="B22427" s="55" t="s">
        <v>283</v>
      </c>
      <c r="C22427" s="46">
        <v>2415</v>
      </c>
      <c r="D22427" s="69" t="s">
        <v>29420</v>
      </c>
      <c r="E22427" s="51"/>
      <c r="F22427" s="114" t="str">
        <f>IF(INDEX(I.Facility.P4IDNumber,2415)="","",INDEX(I.Facility.P4IDNumber,2415))</f>
        <v/>
      </c>
      <c r="G22427" s="51"/>
      <c r="H22427" s="46" t="str">
        <f>IF(AND(I.Developer.P4=TRUE,I.Facility.P4FacilityCount&gt;=2415,F22427=""),"Incomplete","Complete")</f>
        <v>Complete</v>
      </c>
      <c r="I22427" s="48" t="s">
        <v>26792</v>
      </c>
    </row>
    <row r="22428" spans="2:9" ht="15" customHeight="1" x14ac:dyDescent="0.25">
      <c r="B22428" s="55" t="s">
        <v>283</v>
      </c>
      <c r="C22428" s="46">
        <v>2416</v>
      </c>
      <c r="D22428" s="69" t="s">
        <v>29420</v>
      </c>
      <c r="E22428" s="51"/>
      <c r="F22428" s="114" t="str">
        <f>IF(INDEX(I.Facility.P4IDNumber,2416)="","",INDEX(I.Facility.P4IDNumber,2416))</f>
        <v/>
      </c>
      <c r="G22428" s="51"/>
      <c r="H22428" s="46" t="str">
        <f>IF(AND(I.Developer.P4=TRUE,I.Facility.P4FacilityCount&gt;=2416,F22428=""),"Incomplete","Complete")</f>
        <v>Complete</v>
      </c>
      <c r="I22428" s="48" t="s">
        <v>26793</v>
      </c>
    </row>
    <row r="22429" spans="2:9" ht="15" customHeight="1" x14ac:dyDescent="0.25">
      <c r="B22429" s="55" t="s">
        <v>283</v>
      </c>
      <c r="C22429" s="46">
        <v>2417</v>
      </c>
      <c r="D22429" s="69" t="s">
        <v>29420</v>
      </c>
      <c r="E22429" s="51"/>
      <c r="F22429" s="114" t="str">
        <f>IF(INDEX(I.Facility.P4IDNumber,2417)="","",INDEX(I.Facility.P4IDNumber,2417))</f>
        <v/>
      </c>
      <c r="G22429" s="51"/>
      <c r="H22429" s="46" t="str">
        <f>IF(AND(I.Developer.P4=TRUE,I.Facility.P4FacilityCount&gt;=2417,F22429=""),"Incomplete","Complete")</f>
        <v>Complete</v>
      </c>
      <c r="I22429" s="48" t="s">
        <v>26794</v>
      </c>
    </row>
    <row r="22430" spans="2:9" ht="15" customHeight="1" x14ac:dyDescent="0.25">
      <c r="B22430" s="55" t="s">
        <v>283</v>
      </c>
      <c r="C22430" s="46">
        <v>2418</v>
      </c>
      <c r="D22430" s="69" t="s">
        <v>29420</v>
      </c>
      <c r="E22430" s="51"/>
      <c r="F22430" s="114" t="str">
        <f>IF(INDEX(I.Facility.P4IDNumber,2418)="","",INDEX(I.Facility.P4IDNumber,2418))</f>
        <v/>
      </c>
      <c r="G22430" s="51"/>
      <c r="H22430" s="46" t="str">
        <f>IF(AND(I.Developer.P4=TRUE,I.Facility.P4FacilityCount&gt;=2418,F22430=""),"Incomplete","Complete")</f>
        <v>Complete</v>
      </c>
      <c r="I22430" s="48" t="s">
        <v>26795</v>
      </c>
    </row>
    <row r="22431" spans="2:9" ht="15" customHeight="1" x14ac:dyDescent="0.25">
      <c r="B22431" s="55" t="s">
        <v>283</v>
      </c>
      <c r="C22431" s="46">
        <v>2419</v>
      </c>
      <c r="D22431" s="69" t="s">
        <v>29420</v>
      </c>
      <c r="E22431" s="51"/>
      <c r="F22431" s="114" t="str">
        <f>IF(INDEX(I.Facility.P4IDNumber,2419)="","",INDEX(I.Facility.P4IDNumber,2419))</f>
        <v/>
      </c>
      <c r="G22431" s="51"/>
      <c r="H22431" s="46" t="str">
        <f>IF(AND(I.Developer.P4=TRUE,I.Facility.P4FacilityCount&gt;=2419,F22431=""),"Incomplete","Complete")</f>
        <v>Complete</v>
      </c>
      <c r="I22431" s="48" t="s">
        <v>26796</v>
      </c>
    </row>
    <row r="22432" spans="2:9" ht="15" customHeight="1" x14ac:dyDescent="0.25">
      <c r="B22432" s="55" t="s">
        <v>283</v>
      </c>
      <c r="C22432" s="46">
        <v>2420</v>
      </c>
      <c r="D22432" s="69" t="s">
        <v>29420</v>
      </c>
      <c r="E22432" s="51"/>
      <c r="F22432" s="114" t="str">
        <f>IF(INDEX(I.Facility.P4IDNumber,2420)="","",INDEX(I.Facility.P4IDNumber,2420))</f>
        <v/>
      </c>
      <c r="G22432" s="51"/>
      <c r="H22432" s="46" t="str">
        <f>IF(AND(I.Developer.P4=TRUE,I.Facility.P4FacilityCount&gt;=2420,F22432=""),"Incomplete","Complete")</f>
        <v>Complete</v>
      </c>
      <c r="I22432" s="48" t="s">
        <v>26797</v>
      </c>
    </row>
    <row r="22433" spans="2:9" ht="15" customHeight="1" x14ac:dyDescent="0.25">
      <c r="B22433" s="55" t="s">
        <v>283</v>
      </c>
      <c r="C22433" s="46">
        <v>2421</v>
      </c>
      <c r="D22433" s="69" t="s">
        <v>29420</v>
      </c>
      <c r="E22433" s="51"/>
      <c r="F22433" s="114" t="str">
        <f>IF(INDEX(I.Facility.P4IDNumber,2421)="","",INDEX(I.Facility.P4IDNumber,2421))</f>
        <v/>
      </c>
      <c r="G22433" s="51"/>
      <c r="H22433" s="46" t="str">
        <f>IF(AND(I.Developer.P4=TRUE,I.Facility.P4FacilityCount&gt;=2421,F22433=""),"Incomplete","Complete")</f>
        <v>Complete</v>
      </c>
      <c r="I22433" s="48" t="s">
        <v>26798</v>
      </c>
    </row>
    <row r="22434" spans="2:9" ht="15" customHeight="1" x14ac:dyDescent="0.25">
      <c r="B22434" s="55" t="s">
        <v>283</v>
      </c>
      <c r="C22434" s="46">
        <v>2422</v>
      </c>
      <c r="D22434" s="69" t="s">
        <v>29420</v>
      </c>
      <c r="E22434" s="51"/>
      <c r="F22434" s="114" t="str">
        <f>IF(INDEX(I.Facility.P4IDNumber,2422)="","",INDEX(I.Facility.P4IDNumber,2422))</f>
        <v/>
      </c>
      <c r="G22434" s="51"/>
      <c r="H22434" s="46" t="str">
        <f>IF(AND(I.Developer.P4=TRUE,I.Facility.P4FacilityCount&gt;=2422,F22434=""),"Incomplete","Complete")</f>
        <v>Complete</v>
      </c>
      <c r="I22434" s="48" t="s">
        <v>26799</v>
      </c>
    </row>
    <row r="22435" spans="2:9" ht="15" customHeight="1" x14ac:dyDescent="0.25">
      <c r="B22435" s="55" t="s">
        <v>283</v>
      </c>
      <c r="C22435" s="46">
        <v>2423</v>
      </c>
      <c r="D22435" s="69" t="s">
        <v>29420</v>
      </c>
      <c r="E22435" s="51"/>
      <c r="F22435" s="114" t="str">
        <f>IF(INDEX(I.Facility.P4IDNumber,2423)="","",INDEX(I.Facility.P4IDNumber,2423))</f>
        <v/>
      </c>
      <c r="G22435" s="51"/>
      <c r="H22435" s="46" t="str">
        <f>IF(AND(I.Developer.P4=TRUE,I.Facility.P4FacilityCount&gt;=2423,F22435=""),"Incomplete","Complete")</f>
        <v>Complete</v>
      </c>
      <c r="I22435" s="48" t="s">
        <v>26800</v>
      </c>
    </row>
    <row r="22436" spans="2:9" ht="15" customHeight="1" x14ac:dyDescent="0.25">
      <c r="B22436" s="55" t="s">
        <v>283</v>
      </c>
      <c r="C22436" s="46">
        <v>2424</v>
      </c>
      <c r="D22436" s="69" t="s">
        <v>29420</v>
      </c>
      <c r="E22436" s="51"/>
      <c r="F22436" s="114" t="str">
        <f>IF(INDEX(I.Facility.P4IDNumber,2424)="","",INDEX(I.Facility.P4IDNumber,2424))</f>
        <v/>
      </c>
      <c r="G22436" s="51"/>
      <c r="H22436" s="46" t="str">
        <f>IF(AND(I.Developer.P4=TRUE,I.Facility.P4FacilityCount&gt;=2424,F22436=""),"Incomplete","Complete")</f>
        <v>Complete</v>
      </c>
      <c r="I22436" s="48" t="s">
        <v>26801</v>
      </c>
    </row>
    <row r="22437" spans="2:9" ht="15" customHeight="1" x14ac:dyDescent="0.25">
      <c r="B22437" s="55" t="s">
        <v>283</v>
      </c>
      <c r="C22437" s="46">
        <v>2425</v>
      </c>
      <c r="D22437" s="69" t="s">
        <v>29420</v>
      </c>
      <c r="E22437" s="51"/>
      <c r="F22437" s="114" t="str">
        <f>IF(INDEX(I.Facility.P4IDNumber,2425)="","",INDEX(I.Facility.P4IDNumber,2425))</f>
        <v/>
      </c>
      <c r="G22437" s="51"/>
      <c r="H22437" s="46" t="str">
        <f>IF(AND(I.Developer.P4=TRUE,I.Facility.P4FacilityCount&gt;=2425,F22437=""),"Incomplete","Complete")</f>
        <v>Complete</v>
      </c>
      <c r="I22437" s="48" t="s">
        <v>26802</v>
      </c>
    </row>
    <row r="22438" spans="2:9" ht="15" customHeight="1" x14ac:dyDescent="0.25">
      <c r="B22438" s="55" t="s">
        <v>283</v>
      </c>
      <c r="C22438" s="46">
        <v>2426</v>
      </c>
      <c r="D22438" s="69" t="s">
        <v>29420</v>
      </c>
      <c r="E22438" s="51"/>
      <c r="F22438" s="114" t="str">
        <f>IF(INDEX(I.Facility.P4IDNumber,2426)="","",INDEX(I.Facility.P4IDNumber,2426))</f>
        <v/>
      </c>
      <c r="G22438" s="51"/>
      <c r="H22438" s="46" t="str">
        <f>IF(AND(I.Developer.P4=TRUE,I.Facility.P4FacilityCount&gt;=2426,F22438=""),"Incomplete","Complete")</f>
        <v>Complete</v>
      </c>
      <c r="I22438" s="48" t="s">
        <v>26803</v>
      </c>
    </row>
    <row r="22439" spans="2:9" ht="15" customHeight="1" x14ac:dyDescent="0.25">
      <c r="B22439" s="55" t="s">
        <v>283</v>
      </c>
      <c r="C22439" s="46">
        <v>2427</v>
      </c>
      <c r="D22439" s="69" t="s">
        <v>29420</v>
      </c>
      <c r="E22439" s="51"/>
      <c r="F22439" s="114" t="str">
        <f>IF(INDEX(I.Facility.P4IDNumber,2427)="","",INDEX(I.Facility.P4IDNumber,2427))</f>
        <v/>
      </c>
      <c r="G22439" s="51"/>
      <c r="H22439" s="46" t="str">
        <f>IF(AND(I.Developer.P4=TRUE,I.Facility.P4FacilityCount&gt;=2427,F22439=""),"Incomplete","Complete")</f>
        <v>Complete</v>
      </c>
      <c r="I22439" s="48" t="s">
        <v>26804</v>
      </c>
    </row>
    <row r="22440" spans="2:9" ht="15" customHeight="1" x14ac:dyDescent="0.25">
      <c r="B22440" s="55" t="s">
        <v>283</v>
      </c>
      <c r="C22440" s="46">
        <v>2428</v>
      </c>
      <c r="D22440" s="69" t="s">
        <v>29420</v>
      </c>
      <c r="E22440" s="51"/>
      <c r="F22440" s="114" t="str">
        <f>IF(INDEX(I.Facility.P4IDNumber,2428)="","",INDEX(I.Facility.P4IDNumber,2428))</f>
        <v/>
      </c>
      <c r="G22440" s="51"/>
      <c r="H22440" s="46" t="str">
        <f>IF(AND(I.Developer.P4=TRUE,I.Facility.P4FacilityCount&gt;=2428,F22440=""),"Incomplete","Complete")</f>
        <v>Complete</v>
      </c>
      <c r="I22440" s="48" t="s">
        <v>26805</v>
      </c>
    </row>
    <row r="22441" spans="2:9" ht="15" customHeight="1" x14ac:dyDescent="0.25">
      <c r="B22441" s="55" t="s">
        <v>283</v>
      </c>
      <c r="C22441" s="46">
        <v>2429</v>
      </c>
      <c r="D22441" s="69" t="s">
        <v>29420</v>
      </c>
      <c r="E22441" s="51"/>
      <c r="F22441" s="114" t="str">
        <f>IF(INDEX(I.Facility.P4IDNumber,2429)="","",INDEX(I.Facility.P4IDNumber,2429))</f>
        <v/>
      </c>
      <c r="G22441" s="51"/>
      <c r="H22441" s="46" t="str">
        <f>IF(AND(I.Developer.P4=TRUE,I.Facility.P4FacilityCount&gt;=2429,F22441=""),"Incomplete","Complete")</f>
        <v>Complete</v>
      </c>
      <c r="I22441" s="48" t="s">
        <v>26806</v>
      </c>
    </row>
    <row r="22442" spans="2:9" ht="15" customHeight="1" x14ac:dyDescent="0.25">
      <c r="B22442" s="55" t="s">
        <v>283</v>
      </c>
      <c r="C22442" s="46">
        <v>2430</v>
      </c>
      <c r="D22442" s="69" t="s">
        <v>29420</v>
      </c>
      <c r="E22442" s="51"/>
      <c r="F22442" s="114" t="str">
        <f>IF(INDEX(I.Facility.P4IDNumber,2430)="","",INDEX(I.Facility.P4IDNumber,2430))</f>
        <v/>
      </c>
      <c r="G22442" s="51"/>
      <c r="H22442" s="46" t="str">
        <f>IF(AND(I.Developer.P4=TRUE,I.Facility.P4FacilityCount&gt;=2430,F22442=""),"Incomplete","Complete")</f>
        <v>Complete</v>
      </c>
      <c r="I22442" s="48" t="s">
        <v>26807</v>
      </c>
    </row>
    <row r="22443" spans="2:9" ht="15" customHeight="1" x14ac:dyDescent="0.25">
      <c r="B22443" s="55" t="s">
        <v>283</v>
      </c>
      <c r="C22443" s="46">
        <v>2431</v>
      </c>
      <c r="D22443" s="69" t="s">
        <v>29420</v>
      </c>
      <c r="E22443" s="51"/>
      <c r="F22443" s="114" t="str">
        <f>IF(INDEX(I.Facility.P4IDNumber,2431)="","",INDEX(I.Facility.P4IDNumber,2431))</f>
        <v/>
      </c>
      <c r="G22443" s="51"/>
      <c r="H22443" s="46" t="str">
        <f>IF(AND(I.Developer.P4=TRUE,I.Facility.P4FacilityCount&gt;=2431,F22443=""),"Incomplete","Complete")</f>
        <v>Complete</v>
      </c>
      <c r="I22443" s="48" t="s">
        <v>26808</v>
      </c>
    </row>
    <row r="22444" spans="2:9" ht="15" customHeight="1" x14ac:dyDescent="0.25">
      <c r="B22444" s="55" t="s">
        <v>283</v>
      </c>
      <c r="C22444" s="46">
        <v>2432</v>
      </c>
      <c r="D22444" s="69" t="s">
        <v>29420</v>
      </c>
      <c r="E22444" s="51"/>
      <c r="F22444" s="114" t="str">
        <f>IF(INDEX(I.Facility.P4IDNumber,2432)="","",INDEX(I.Facility.P4IDNumber,2432))</f>
        <v/>
      </c>
      <c r="G22444" s="51"/>
      <c r="H22444" s="46" t="str">
        <f>IF(AND(I.Developer.P4=TRUE,I.Facility.P4FacilityCount&gt;=2432,F22444=""),"Incomplete","Complete")</f>
        <v>Complete</v>
      </c>
      <c r="I22444" s="48" t="s">
        <v>26809</v>
      </c>
    </row>
    <row r="22445" spans="2:9" ht="15" customHeight="1" x14ac:dyDescent="0.25">
      <c r="B22445" s="55" t="s">
        <v>283</v>
      </c>
      <c r="C22445" s="46">
        <v>2433</v>
      </c>
      <c r="D22445" s="69" t="s">
        <v>29420</v>
      </c>
      <c r="E22445" s="51"/>
      <c r="F22445" s="114" t="str">
        <f>IF(INDEX(I.Facility.P4IDNumber,2433)="","",INDEX(I.Facility.P4IDNumber,2433))</f>
        <v/>
      </c>
      <c r="G22445" s="51"/>
      <c r="H22445" s="46" t="str">
        <f>IF(AND(I.Developer.P4=TRUE,I.Facility.P4FacilityCount&gt;=2433,F22445=""),"Incomplete","Complete")</f>
        <v>Complete</v>
      </c>
      <c r="I22445" s="48" t="s">
        <v>26810</v>
      </c>
    </row>
    <row r="22446" spans="2:9" ht="15" customHeight="1" x14ac:dyDescent="0.25">
      <c r="B22446" s="55" t="s">
        <v>283</v>
      </c>
      <c r="C22446" s="46">
        <v>2434</v>
      </c>
      <c r="D22446" s="69" t="s">
        <v>29420</v>
      </c>
      <c r="E22446" s="51"/>
      <c r="F22446" s="114" t="str">
        <f>IF(INDEX(I.Facility.P4IDNumber,2434)="","",INDEX(I.Facility.P4IDNumber,2434))</f>
        <v/>
      </c>
      <c r="G22446" s="51"/>
      <c r="H22446" s="46" t="str">
        <f>IF(AND(I.Developer.P4=TRUE,I.Facility.P4FacilityCount&gt;=2434,F22446=""),"Incomplete","Complete")</f>
        <v>Complete</v>
      </c>
      <c r="I22446" s="48" t="s">
        <v>26811</v>
      </c>
    </row>
    <row r="22447" spans="2:9" ht="15" customHeight="1" x14ac:dyDescent="0.25">
      <c r="B22447" s="55" t="s">
        <v>283</v>
      </c>
      <c r="C22447" s="46">
        <v>2435</v>
      </c>
      <c r="D22447" s="69" t="s">
        <v>29420</v>
      </c>
      <c r="E22447" s="51"/>
      <c r="F22447" s="114" t="str">
        <f>IF(INDEX(I.Facility.P4IDNumber,2435)="","",INDEX(I.Facility.P4IDNumber,2435))</f>
        <v/>
      </c>
      <c r="G22447" s="51"/>
      <c r="H22447" s="46" t="str">
        <f>IF(AND(I.Developer.P4=TRUE,I.Facility.P4FacilityCount&gt;=2435,F22447=""),"Incomplete","Complete")</f>
        <v>Complete</v>
      </c>
      <c r="I22447" s="48" t="s">
        <v>26812</v>
      </c>
    </row>
    <row r="22448" spans="2:9" ht="15" customHeight="1" x14ac:dyDescent="0.25">
      <c r="B22448" s="55" t="s">
        <v>283</v>
      </c>
      <c r="C22448" s="46">
        <v>2436</v>
      </c>
      <c r="D22448" s="69" t="s">
        <v>29420</v>
      </c>
      <c r="E22448" s="51"/>
      <c r="F22448" s="114" t="str">
        <f>IF(INDEX(I.Facility.P4IDNumber,2436)="","",INDEX(I.Facility.P4IDNumber,2436))</f>
        <v/>
      </c>
      <c r="G22448" s="51"/>
      <c r="H22448" s="46" t="str">
        <f>IF(AND(I.Developer.P4=TRUE,I.Facility.P4FacilityCount&gt;=2436,F22448=""),"Incomplete","Complete")</f>
        <v>Complete</v>
      </c>
      <c r="I22448" s="48" t="s">
        <v>26813</v>
      </c>
    </row>
    <row r="22449" spans="2:9" ht="15" customHeight="1" x14ac:dyDescent="0.25">
      <c r="B22449" s="55" t="s">
        <v>283</v>
      </c>
      <c r="C22449" s="46">
        <v>2437</v>
      </c>
      <c r="D22449" s="69" t="s">
        <v>29420</v>
      </c>
      <c r="E22449" s="51"/>
      <c r="F22449" s="114" t="str">
        <f>IF(INDEX(I.Facility.P4IDNumber,2437)="","",INDEX(I.Facility.P4IDNumber,2437))</f>
        <v/>
      </c>
      <c r="G22449" s="51"/>
      <c r="H22449" s="46" t="str">
        <f>IF(AND(I.Developer.P4=TRUE,I.Facility.P4FacilityCount&gt;=2437,F22449=""),"Incomplete","Complete")</f>
        <v>Complete</v>
      </c>
      <c r="I22449" s="48" t="s">
        <v>26814</v>
      </c>
    </row>
    <row r="22450" spans="2:9" ht="15" customHeight="1" x14ac:dyDescent="0.25">
      <c r="B22450" s="55" t="s">
        <v>283</v>
      </c>
      <c r="C22450" s="46">
        <v>2438</v>
      </c>
      <c r="D22450" s="69" t="s">
        <v>29420</v>
      </c>
      <c r="E22450" s="51"/>
      <c r="F22450" s="114" t="str">
        <f>IF(INDEX(I.Facility.P4IDNumber,2438)="","",INDEX(I.Facility.P4IDNumber,2438))</f>
        <v/>
      </c>
      <c r="G22450" s="51"/>
      <c r="H22450" s="46" t="str">
        <f>IF(AND(I.Developer.P4=TRUE,I.Facility.P4FacilityCount&gt;=2438,F22450=""),"Incomplete","Complete")</f>
        <v>Complete</v>
      </c>
      <c r="I22450" s="48" t="s">
        <v>26815</v>
      </c>
    </row>
    <row r="22451" spans="2:9" ht="15" customHeight="1" x14ac:dyDescent="0.25">
      <c r="B22451" s="55" t="s">
        <v>283</v>
      </c>
      <c r="C22451" s="46">
        <v>2439</v>
      </c>
      <c r="D22451" s="69" t="s">
        <v>29420</v>
      </c>
      <c r="E22451" s="51"/>
      <c r="F22451" s="114" t="str">
        <f>IF(INDEX(I.Facility.P4IDNumber,2439)="","",INDEX(I.Facility.P4IDNumber,2439))</f>
        <v/>
      </c>
      <c r="G22451" s="51"/>
      <c r="H22451" s="46" t="str">
        <f>IF(AND(I.Developer.P4=TRUE,I.Facility.P4FacilityCount&gt;=2439,F22451=""),"Incomplete","Complete")</f>
        <v>Complete</v>
      </c>
      <c r="I22451" s="48" t="s">
        <v>26816</v>
      </c>
    </row>
    <row r="22452" spans="2:9" ht="15" customHeight="1" x14ac:dyDescent="0.25">
      <c r="B22452" s="55" t="s">
        <v>283</v>
      </c>
      <c r="C22452" s="46">
        <v>2440</v>
      </c>
      <c r="D22452" s="69" t="s">
        <v>29420</v>
      </c>
      <c r="E22452" s="51"/>
      <c r="F22452" s="114" t="str">
        <f>IF(INDEX(I.Facility.P4IDNumber,2440)="","",INDEX(I.Facility.P4IDNumber,2440))</f>
        <v/>
      </c>
      <c r="G22452" s="51"/>
      <c r="H22452" s="46" t="str">
        <f>IF(AND(I.Developer.P4=TRUE,I.Facility.P4FacilityCount&gt;=2440,F22452=""),"Incomplete","Complete")</f>
        <v>Complete</v>
      </c>
      <c r="I22452" s="48" t="s">
        <v>26817</v>
      </c>
    </row>
    <row r="22453" spans="2:9" ht="15" customHeight="1" x14ac:dyDescent="0.25">
      <c r="B22453" s="55" t="s">
        <v>283</v>
      </c>
      <c r="C22453" s="46">
        <v>2441</v>
      </c>
      <c r="D22453" s="69" t="s">
        <v>29420</v>
      </c>
      <c r="E22453" s="51"/>
      <c r="F22453" s="114" t="str">
        <f>IF(INDEX(I.Facility.P4IDNumber,2441)="","",INDEX(I.Facility.P4IDNumber,2441))</f>
        <v/>
      </c>
      <c r="G22453" s="51"/>
      <c r="H22453" s="46" t="str">
        <f>IF(AND(I.Developer.P4=TRUE,I.Facility.P4FacilityCount&gt;=2441,F22453=""),"Incomplete","Complete")</f>
        <v>Complete</v>
      </c>
      <c r="I22453" s="48" t="s">
        <v>26818</v>
      </c>
    </row>
    <row r="22454" spans="2:9" ht="15" customHeight="1" x14ac:dyDescent="0.25">
      <c r="B22454" s="55" t="s">
        <v>283</v>
      </c>
      <c r="C22454" s="46">
        <v>2442</v>
      </c>
      <c r="D22454" s="69" t="s">
        <v>29420</v>
      </c>
      <c r="E22454" s="51"/>
      <c r="F22454" s="114" t="str">
        <f>IF(INDEX(I.Facility.P4IDNumber,2442)="","",INDEX(I.Facility.P4IDNumber,2442))</f>
        <v/>
      </c>
      <c r="G22454" s="51"/>
      <c r="H22454" s="46" t="str">
        <f>IF(AND(I.Developer.P4=TRUE,I.Facility.P4FacilityCount&gt;=2442,F22454=""),"Incomplete","Complete")</f>
        <v>Complete</v>
      </c>
      <c r="I22454" s="48" t="s">
        <v>26819</v>
      </c>
    </row>
    <row r="22455" spans="2:9" ht="15" customHeight="1" x14ac:dyDescent="0.25">
      <c r="B22455" s="55" t="s">
        <v>283</v>
      </c>
      <c r="C22455" s="46">
        <v>2443</v>
      </c>
      <c r="D22455" s="69" t="s">
        <v>29420</v>
      </c>
      <c r="E22455" s="51"/>
      <c r="F22455" s="114" t="str">
        <f>IF(INDEX(I.Facility.P4IDNumber,2443)="","",INDEX(I.Facility.P4IDNumber,2443))</f>
        <v/>
      </c>
      <c r="G22455" s="51"/>
      <c r="H22455" s="46" t="str">
        <f>IF(AND(I.Developer.P4=TRUE,I.Facility.P4FacilityCount&gt;=2443,F22455=""),"Incomplete","Complete")</f>
        <v>Complete</v>
      </c>
      <c r="I22455" s="48" t="s">
        <v>26820</v>
      </c>
    </row>
    <row r="22456" spans="2:9" ht="15" customHeight="1" x14ac:dyDescent="0.25">
      <c r="B22456" s="55" t="s">
        <v>283</v>
      </c>
      <c r="C22456" s="46">
        <v>2444</v>
      </c>
      <c r="D22456" s="69" t="s">
        <v>29420</v>
      </c>
      <c r="E22456" s="51"/>
      <c r="F22456" s="114" t="str">
        <f>IF(INDEX(I.Facility.P4IDNumber,2444)="","",INDEX(I.Facility.P4IDNumber,2444))</f>
        <v/>
      </c>
      <c r="G22456" s="51"/>
      <c r="H22456" s="46" t="str">
        <f>IF(AND(I.Developer.P4=TRUE,I.Facility.P4FacilityCount&gt;=2444,F22456=""),"Incomplete","Complete")</f>
        <v>Complete</v>
      </c>
      <c r="I22456" s="48" t="s">
        <v>26821</v>
      </c>
    </row>
    <row r="22457" spans="2:9" ht="15" customHeight="1" x14ac:dyDescent="0.25">
      <c r="B22457" s="55" t="s">
        <v>283</v>
      </c>
      <c r="C22457" s="46">
        <v>2445</v>
      </c>
      <c r="D22457" s="69" t="s">
        <v>29420</v>
      </c>
      <c r="E22457" s="51"/>
      <c r="F22457" s="114" t="str">
        <f>IF(INDEX(I.Facility.P4IDNumber,2445)="","",INDEX(I.Facility.P4IDNumber,2445))</f>
        <v/>
      </c>
      <c r="G22457" s="51"/>
      <c r="H22457" s="46" t="str">
        <f>IF(AND(I.Developer.P4=TRUE,I.Facility.P4FacilityCount&gt;=2445,F22457=""),"Incomplete","Complete")</f>
        <v>Complete</v>
      </c>
      <c r="I22457" s="48" t="s">
        <v>26822</v>
      </c>
    </row>
    <row r="22458" spans="2:9" ht="15" customHeight="1" x14ac:dyDescent="0.25">
      <c r="B22458" s="55" t="s">
        <v>283</v>
      </c>
      <c r="C22458" s="46">
        <v>2446</v>
      </c>
      <c r="D22458" s="69" t="s">
        <v>29420</v>
      </c>
      <c r="E22458" s="51"/>
      <c r="F22458" s="114" t="str">
        <f>IF(INDEX(I.Facility.P4IDNumber,2446)="","",INDEX(I.Facility.P4IDNumber,2446))</f>
        <v/>
      </c>
      <c r="G22458" s="51"/>
      <c r="H22458" s="46" t="str">
        <f>IF(AND(I.Developer.P4=TRUE,I.Facility.P4FacilityCount&gt;=2446,F22458=""),"Incomplete","Complete")</f>
        <v>Complete</v>
      </c>
      <c r="I22458" s="48" t="s">
        <v>26823</v>
      </c>
    </row>
    <row r="22459" spans="2:9" ht="15" customHeight="1" x14ac:dyDescent="0.25">
      <c r="B22459" s="55" t="s">
        <v>283</v>
      </c>
      <c r="C22459" s="46">
        <v>2447</v>
      </c>
      <c r="D22459" s="69" t="s">
        <v>29420</v>
      </c>
      <c r="E22459" s="51"/>
      <c r="F22459" s="114" t="str">
        <f>IF(INDEX(I.Facility.P4IDNumber,2447)="","",INDEX(I.Facility.P4IDNumber,2447))</f>
        <v/>
      </c>
      <c r="G22459" s="51"/>
      <c r="H22459" s="46" t="str">
        <f>IF(AND(I.Developer.P4=TRUE,I.Facility.P4FacilityCount&gt;=2447,F22459=""),"Incomplete","Complete")</f>
        <v>Complete</v>
      </c>
      <c r="I22459" s="48" t="s">
        <v>26824</v>
      </c>
    </row>
    <row r="22460" spans="2:9" ht="15" customHeight="1" x14ac:dyDescent="0.25">
      <c r="B22460" s="55" t="s">
        <v>283</v>
      </c>
      <c r="C22460" s="46">
        <v>2448</v>
      </c>
      <c r="D22460" s="69" t="s">
        <v>29420</v>
      </c>
      <c r="E22460" s="51"/>
      <c r="F22460" s="114" t="str">
        <f>IF(INDEX(I.Facility.P4IDNumber,2448)="","",INDEX(I.Facility.P4IDNumber,2448))</f>
        <v/>
      </c>
      <c r="G22460" s="51"/>
      <c r="H22460" s="46" t="str">
        <f>IF(AND(I.Developer.P4=TRUE,I.Facility.P4FacilityCount&gt;=2448,F22460=""),"Incomplete","Complete")</f>
        <v>Complete</v>
      </c>
      <c r="I22460" s="48" t="s">
        <v>26825</v>
      </c>
    </row>
    <row r="22461" spans="2:9" ht="15" customHeight="1" x14ac:dyDescent="0.25">
      <c r="B22461" s="55" t="s">
        <v>283</v>
      </c>
      <c r="C22461" s="46">
        <v>2449</v>
      </c>
      <c r="D22461" s="69" t="s">
        <v>29420</v>
      </c>
      <c r="E22461" s="51"/>
      <c r="F22461" s="114" t="str">
        <f>IF(INDEX(I.Facility.P4IDNumber,2449)="","",INDEX(I.Facility.P4IDNumber,2449))</f>
        <v/>
      </c>
      <c r="G22461" s="51"/>
      <c r="H22461" s="46" t="str">
        <f>IF(AND(I.Developer.P4=TRUE,I.Facility.P4FacilityCount&gt;=2449,F22461=""),"Incomplete","Complete")</f>
        <v>Complete</v>
      </c>
      <c r="I22461" s="48" t="s">
        <v>26826</v>
      </c>
    </row>
    <row r="22462" spans="2:9" ht="15" customHeight="1" x14ac:dyDescent="0.25">
      <c r="B22462" s="55" t="s">
        <v>283</v>
      </c>
      <c r="C22462" s="46">
        <v>2450</v>
      </c>
      <c r="D22462" s="69" t="s">
        <v>29420</v>
      </c>
      <c r="E22462" s="51"/>
      <c r="F22462" s="114" t="str">
        <f>IF(INDEX(I.Facility.P4IDNumber,2450)="","",INDEX(I.Facility.P4IDNumber,2450))</f>
        <v/>
      </c>
      <c r="G22462" s="51"/>
      <c r="H22462" s="46" t="str">
        <f>IF(AND(I.Developer.P4=TRUE,I.Facility.P4FacilityCount&gt;=2450,F22462=""),"Incomplete","Complete")</f>
        <v>Complete</v>
      </c>
      <c r="I22462" s="48" t="s">
        <v>26827</v>
      </c>
    </row>
    <row r="22463" spans="2:9" ht="15" customHeight="1" x14ac:dyDescent="0.25">
      <c r="B22463" s="55" t="s">
        <v>283</v>
      </c>
      <c r="C22463" s="46">
        <v>2451</v>
      </c>
      <c r="D22463" s="69" t="s">
        <v>29420</v>
      </c>
      <c r="E22463" s="51"/>
      <c r="F22463" s="114" t="str">
        <f>IF(INDEX(I.Facility.P4IDNumber,2451)="","",INDEX(I.Facility.P4IDNumber,2451))</f>
        <v/>
      </c>
      <c r="G22463" s="51"/>
      <c r="H22463" s="46" t="str">
        <f>IF(AND(I.Developer.P4=TRUE,I.Facility.P4FacilityCount&gt;=2451,F22463=""),"Incomplete","Complete")</f>
        <v>Complete</v>
      </c>
      <c r="I22463" s="48" t="s">
        <v>26828</v>
      </c>
    </row>
    <row r="22464" spans="2:9" ht="15" customHeight="1" x14ac:dyDescent="0.25">
      <c r="B22464" s="55" t="s">
        <v>283</v>
      </c>
      <c r="C22464" s="46">
        <v>2452</v>
      </c>
      <c r="D22464" s="69" t="s">
        <v>29420</v>
      </c>
      <c r="E22464" s="51"/>
      <c r="F22464" s="114" t="str">
        <f>IF(INDEX(I.Facility.P4IDNumber,2452)="","",INDEX(I.Facility.P4IDNumber,2452))</f>
        <v/>
      </c>
      <c r="G22464" s="51"/>
      <c r="H22464" s="46" t="str">
        <f>IF(AND(I.Developer.P4=TRUE,I.Facility.P4FacilityCount&gt;=2452,F22464=""),"Incomplete","Complete")</f>
        <v>Complete</v>
      </c>
      <c r="I22464" s="48" t="s">
        <v>26829</v>
      </c>
    </row>
    <row r="22465" spans="2:9" ht="15" customHeight="1" x14ac:dyDescent="0.25">
      <c r="B22465" s="55" t="s">
        <v>283</v>
      </c>
      <c r="C22465" s="46">
        <v>2453</v>
      </c>
      <c r="D22465" s="69" t="s">
        <v>29420</v>
      </c>
      <c r="E22465" s="51"/>
      <c r="F22465" s="114" t="str">
        <f>IF(INDEX(I.Facility.P4IDNumber,2453)="","",INDEX(I.Facility.P4IDNumber,2453))</f>
        <v/>
      </c>
      <c r="G22465" s="51"/>
      <c r="H22465" s="46" t="str">
        <f>IF(AND(I.Developer.P4=TRUE,I.Facility.P4FacilityCount&gt;=2453,F22465=""),"Incomplete","Complete")</f>
        <v>Complete</v>
      </c>
      <c r="I22465" s="48" t="s">
        <v>26830</v>
      </c>
    </row>
    <row r="22466" spans="2:9" ht="15" customHeight="1" x14ac:dyDescent="0.25">
      <c r="B22466" s="55" t="s">
        <v>283</v>
      </c>
      <c r="C22466" s="46">
        <v>2454</v>
      </c>
      <c r="D22466" s="69" t="s">
        <v>29420</v>
      </c>
      <c r="E22466" s="51"/>
      <c r="F22466" s="114" t="str">
        <f>IF(INDEX(I.Facility.P4IDNumber,2454)="","",INDEX(I.Facility.P4IDNumber,2454))</f>
        <v/>
      </c>
      <c r="G22466" s="51"/>
      <c r="H22466" s="46" t="str">
        <f>IF(AND(I.Developer.P4=TRUE,I.Facility.P4FacilityCount&gt;=2454,F22466=""),"Incomplete","Complete")</f>
        <v>Complete</v>
      </c>
      <c r="I22466" s="48" t="s">
        <v>26831</v>
      </c>
    </row>
    <row r="22467" spans="2:9" ht="15" customHeight="1" x14ac:dyDescent="0.25">
      <c r="B22467" s="55" t="s">
        <v>283</v>
      </c>
      <c r="C22467" s="46">
        <v>2455</v>
      </c>
      <c r="D22467" s="69" t="s">
        <v>29420</v>
      </c>
      <c r="E22467" s="51"/>
      <c r="F22467" s="114" t="str">
        <f>IF(INDEX(I.Facility.P4IDNumber,2455)="","",INDEX(I.Facility.P4IDNumber,2455))</f>
        <v/>
      </c>
      <c r="G22467" s="51"/>
      <c r="H22467" s="46" t="str">
        <f>IF(AND(I.Developer.P4=TRUE,I.Facility.P4FacilityCount&gt;=2455,F22467=""),"Incomplete","Complete")</f>
        <v>Complete</v>
      </c>
      <c r="I22467" s="48" t="s">
        <v>26832</v>
      </c>
    </row>
    <row r="22468" spans="2:9" ht="15" customHeight="1" x14ac:dyDescent="0.25">
      <c r="B22468" s="55" t="s">
        <v>283</v>
      </c>
      <c r="C22468" s="46">
        <v>2456</v>
      </c>
      <c r="D22468" s="69" t="s">
        <v>29420</v>
      </c>
      <c r="E22468" s="51"/>
      <c r="F22468" s="114" t="str">
        <f>IF(INDEX(I.Facility.P4IDNumber,2456)="","",INDEX(I.Facility.P4IDNumber,2456))</f>
        <v/>
      </c>
      <c r="G22468" s="51"/>
      <c r="H22468" s="46" t="str">
        <f>IF(AND(I.Developer.P4=TRUE,I.Facility.P4FacilityCount&gt;=2456,F22468=""),"Incomplete","Complete")</f>
        <v>Complete</v>
      </c>
      <c r="I22468" s="48" t="s">
        <v>26833</v>
      </c>
    </row>
    <row r="22469" spans="2:9" ht="15" customHeight="1" x14ac:dyDescent="0.25">
      <c r="B22469" s="55" t="s">
        <v>283</v>
      </c>
      <c r="C22469" s="46">
        <v>2457</v>
      </c>
      <c r="D22469" s="69" t="s">
        <v>29420</v>
      </c>
      <c r="E22469" s="51"/>
      <c r="F22469" s="114" t="str">
        <f>IF(INDEX(I.Facility.P4IDNumber,2457)="","",INDEX(I.Facility.P4IDNumber,2457))</f>
        <v/>
      </c>
      <c r="G22469" s="51"/>
      <c r="H22469" s="46" t="str">
        <f>IF(AND(I.Developer.P4=TRUE,I.Facility.P4FacilityCount&gt;=2457,F22469=""),"Incomplete","Complete")</f>
        <v>Complete</v>
      </c>
      <c r="I22469" s="48" t="s">
        <v>26834</v>
      </c>
    </row>
    <row r="22470" spans="2:9" ht="15" customHeight="1" x14ac:dyDescent="0.25">
      <c r="B22470" s="55" t="s">
        <v>283</v>
      </c>
      <c r="C22470" s="46">
        <v>2458</v>
      </c>
      <c r="D22470" s="69" t="s">
        <v>29420</v>
      </c>
      <c r="E22470" s="51"/>
      <c r="F22470" s="114" t="str">
        <f>IF(INDEX(I.Facility.P4IDNumber,2458)="","",INDEX(I.Facility.P4IDNumber,2458))</f>
        <v/>
      </c>
      <c r="G22470" s="51"/>
      <c r="H22470" s="46" t="str">
        <f>IF(AND(I.Developer.P4=TRUE,I.Facility.P4FacilityCount&gt;=2458,F22470=""),"Incomplete","Complete")</f>
        <v>Complete</v>
      </c>
      <c r="I22470" s="48" t="s">
        <v>26835</v>
      </c>
    </row>
    <row r="22471" spans="2:9" ht="15" customHeight="1" x14ac:dyDescent="0.25">
      <c r="B22471" s="55" t="s">
        <v>283</v>
      </c>
      <c r="C22471" s="46">
        <v>2459</v>
      </c>
      <c r="D22471" s="69" t="s">
        <v>29420</v>
      </c>
      <c r="E22471" s="51"/>
      <c r="F22471" s="114" t="str">
        <f>IF(INDEX(I.Facility.P4IDNumber,2459)="","",INDEX(I.Facility.P4IDNumber,2459))</f>
        <v/>
      </c>
      <c r="G22471" s="51"/>
      <c r="H22471" s="46" t="str">
        <f>IF(AND(I.Developer.P4=TRUE,I.Facility.P4FacilityCount&gt;=2459,F22471=""),"Incomplete","Complete")</f>
        <v>Complete</v>
      </c>
      <c r="I22471" s="48" t="s">
        <v>26836</v>
      </c>
    </row>
    <row r="22472" spans="2:9" ht="15" customHeight="1" x14ac:dyDescent="0.25">
      <c r="B22472" s="55" t="s">
        <v>283</v>
      </c>
      <c r="C22472" s="46">
        <v>2460</v>
      </c>
      <c r="D22472" s="69" t="s">
        <v>29420</v>
      </c>
      <c r="E22472" s="51"/>
      <c r="F22472" s="114" t="str">
        <f>IF(INDEX(I.Facility.P4IDNumber,2460)="","",INDEX(I.Facility.P4IDNumber,2460))</f>
        <v/>
      </c>
      <c r="G22472" s="51"/>
      <c r="H22472" s="46" t="str">
        <f>IF(AND(I.Developer.P4=TRUE,I.Facility.P4FacilityCount&gt;=2460,F22472=""),"Incomplete","Complete")</f>
        <v>Complete</v>
      </c>
      <c r="I22472" s="48" t="s">
        <v>26837</v>
      </c>
    </row>
    <row r="22473" spans="2:9" ht="15" customHeight="1" x14ac:dyDescent="0.25">
      <c r="B22473" s="55" t="s">
        <v>283</v>
      </c>
      <c r="C22473" s="46">
        <v>2461</v>
      </c>
      <c r="D22473" s="69" t="s">
        <v>29420</v>
      </c>
      <c r="E22473" s="51"/>
      <c r="F22473" s="114" t="str">
        <f>IF(INDEX(I.Facility.P4IDNumber,2461)="","",INDEX(I.Facility.P4IDNumber,2461))</f>
        <v/>
      </c>
      <c r="G22473" s="51"/>
      <c r="H22473" s="46" t="str">
        <f>IF(AND(I.Developer.P4=TRUE,I.Facility.P4FacilityCount&gt;=2461,F22473=""),"Incomplete","Complete")</f>
        <v>Complete</v>
      </c>
      <c r="I22473" s="48" t="s">
        <v>26838</v>
      </c>
    </row>
    <row r="22474" spans="2:9" ht="15" customHeight="1" x14ac:dyDescent="0.25">
      <c r="B22474" s="55" t="s">
        <v>283</v>
      </c>
      <c r="C22474" s="46">
        <v>2462</v>
      </c>
      <c r="D22474" s="69" t="s">
        <v>29420</v>
      </c>
      <c r="E22474" s="51"/>
      <c r="F22474" s="114" t="str">
        <f>IF(INDEX(I.Facility.P4IDNumber,2462)="","",INDEX(I.Facility.P4IDNumber,2462))</f>
        <v/>
      </c>
      <c r="G22474" s="51"/>
      <c r="H22474" s="46" t="str">
        <f>IF(AND(I.Developer.P4=TRUE,I.Facility.P4FacilityCount&gt;=2462,F22474=""),"Incomplete","Complete")</f>
        <v>Complete</v>
      </c>
      <c r="I22474" s="48" t="s">
        <v>26839</v>
      </c>
    </row>
    <row r="22475" spans="2:9" ht="15" customHeight="1" x14ac:dyDescent="0.25">
      <c r="B22475" s="55" t="s">
        <v>283</v>
      </c>
      <c r="C22475" s="46">
        <v>2463</v>
      </c>
      <c r="D22475" s="69" t="s">
        <v>29420</v>
      </c>
      <c r="E22475" s="51"/>
      <c r="F22475" s="114" t="str">
        <f>IF(INDEX(I.Facility.P4IDNumber,2463)="","",INDEX(I.Facility.P4IDNumber,2463))</f>
        <v/>
      </c>
      <c r="G22475" s="51"/>
      <c r="H22475" s="46" t="str">
        <f>IF(AND(I.Developer.P4=TRUE,I.Facility.P4FacilityCount&gt;=2463,F22475=""),"Incomplete","Complete")</f>
        <v>Complete</v>
      </c>
      <c r="I22475" s="48" t="s">
        <v>26840</v>
      </c>
    </row>
    <row r="22476" spans="2:9" ht="15" customHeight="1" x14ac:dyDescent="0.25">
      <c r="B22476" s="55" t="s">
        <v>283</v>
      </c>
      <c r="C22476" s="46">
        <v>2464</v>
      </c>
      <c r="D22476" s="69" t="s">
        <v>29420</v>
      </c>
      <c r="E22476" s="51"/>
      <c r="F22476" s="114" t="str">
        <f>IF(INDEX(I.Facility.P4IDNumber,2464)="","",INDEX(I.Facility.P4IDNumber,2464))</f>
        <v/>
      </c>
      <c r="G22476" s="51"/>
      <c r="H22476" s="46" t="str">
        <f>IF(AND(I.Developer.P4=TRUE,I.Facility.P4FacilityCount&gt;=2464,F22476=""),"Incomplete","Complete")</f>
        <v>Complete</v>
      </c>
      <c r="I22476" s="48" t="s">
        <v>26841</v>
      </c>
    </row>
    <row r="22477" spans="2:9" ht="15" customHeight="1" x14ac:dyDescent="0.25">
      <c r="B22477" s="55" t="s">
        <v>283</v>
      </c>
      <c r="C22477" s="46">
        <v>2465</v>
      </c>
      <c r="D22477" s="69" t="s">
        <v>29420</v>
      </c>
      <c r="E22477" s="51"/>
      <c r="F22477" s="114" t="str">
        <f>IF(INDEX(I.Facility.P4IDNumber,2465)="","",INDEX(I.Facility.P4IDNumber,2465))</f>
        <v/>
      </c>
      <c r="G22477" s="51"/>
      <c r="H22477" s="46" t="str">
        <f>IF(AND(I.Developer.P4=TRUE,I.Facility.P4FacilityCount&gt;=2465,F22477=""),"Incomplete","Complete")</f>
        <v>Complete</v>
      </c>
      <c r="I22477" s="48" t="s">
        <v>26842</v>
      </c>
    </row>
    <row r="22478" spans="2:9" ht="15" customHeight="1" x14ac:dyDescent="0.25">
      <c r="B22478" s="55" t="s">
        <v>283</v>
      </c>
      <c r="C22478" s="46">
        <v>2466</v>
      </c>
      <c r="D22478" s="69" t="s">
        <v>29420</v>
      </c>
      <c r="E22478" s="51"/>
      <c r="F22478" s="114" t="str">
        <f>IF(INDEX(I.Facility.P4IDNumber,2466)="","",INDEX(I.Facility.P4IDNumber,2466))</f>
        <v/>
      </c>
      <c r="G22478" s="51"/>
      <c r="H22478" s="46" t="str">
        <f>IF(AND(I.Developer.P4=TRUE,I.Facility.P4FacilityCount&gt;=2466,F22478=""),"Incomplete","Complete")</f>
        <v>Complete</v>
      </c>
      <c r="I22478" s="48" t="s">
        <v>26843</v>
      </c>
    </row>
    <row r="22479" spans="2:9" ht="15" customHeight="1" x14ac:dyDescent="0.25">
      <c r="B22479" s="55" t="s">
        <v>283</v>
      </c>
      <c r="C22479" s="46">
        <v>2467</v>
      </c>
      <c r="D22479" s="69" t="s">
        <v>29420</v>
      </c>
      <c r="E22479" s="51"/>
      <c r="F22479" s="114" t="str">
        <f>IF(INDEX(I.Facility.P4IDNumber,2467)="","",INDEX(I.Facility.P4IDNumber,2467))</f>
        <v/>
      </c>
      <c r="G22479" s="51"/>
      <c r="H22479" s="46" t="str">
        <f>IF(AND(I.Developer.P4=TRUE,I.Facility.P4FacilityCount&gt;=2467,F22479=""),"Incomplete","Complete")</f>
        <v>Complete</v>
      </c>
      <c r="I22479" s="48" t="s">
        <v>26844</v>
      </c>
    </row>
    <row r="22480" spans="2:9" ht="15" customHeight="1" x14ac:dyDescent="0.25">
      <c r="B22480" s="55" t="s">
        <v>283</v>
      </c>
      <c r="C22480" s="46">
        <v>2468</v>
      </c>
      <c r="D22480" s="69" t="s">
        <v>29420</v>
      </c>
      <c r="E22480" s="51"/>
      <c r="F22480" s="114" t="str">
        <f>IF(INDEX(I.Facility.P4IDNumber,2468)="","",INDEX(I.Facility.P4IDNumber,2468))</f>
        <v/>
      </c>
      <c r="G22480" s="51"/>
      <c r="H22480" s="46" t="str">
        <f>IF(AND(I.Developer.P4=TRUE,I.Facility.P4FacilityCount&gt;=2468,F22480=""),"Incomplete","Complete")</f>
        <v>Complete</v>
      </c>
      <c r="I22480" s="48" t="s">
        <v>26845</v>
      </c>
    </row>
    <row r="22481" spans="2:9" ht="15" customHeight="1" x14ac:dyDescent="0.25">
      <c r="B22481" s="55" t="s">
        <v>283</v>
      </c>
      <c r="C22481" s="46">
        <v>2469</v>
      </c>
      <c r="D22481" s="69" t="s">
        <v>29420</v>
      </c>
      <c r="E22481" s="51"/>
      <c r="F22481" s="114" t="str">
        <f>IF(INDEX(I.Facility.P4IDNumber,2469)="","",INDEX(I.Facility.P4IDNumber,2469))</f>
        <v/>
      </c>
      <c r="G22481" s="51"/>
      <c r="H22481" s="46" t="str">
        <f>IF(AND(I.Developer.P4=TRUE,I.Facility.P4FacilityCount&gt;=2469,F22481=""),"Incomplete","Complete")</f>
        <v>Complete</v>
      </c>
      <c r="I22481" s="48" t="s">
        <v>26846</v>
      </c>
    </row>
    <row r="22482" spans="2:9" ht="15" customHeight="1" x14ac:dyDescent="0.25">
      <c r="B22482" s="55" t="s">
        <v>283</v>
      </c>
      <c r="C22482" s="46">
        <v>2470</v>
      </c>
      <c r="D22482" s="69" t="s">
        <v>29420</v>
      </c>
      <c r="E22482" s="51"/>
      <c r="F22482" s="114" t="str">
        <f>IF(INDEX(I.Facility.P4IDNumber,2470)="","",INDEX(I.Facility.P4IDNumber,2470))</f>
        <v/>
      </c>
      <c r="G22482" s="51"/>
      <c r="H22482" s="46" t="str">
        <f>IF(AND(I.Developer.P4=TRUE,I.Facility.P4FacilityCount&gt;=2470,F22482=""),"Incomplete","Complete")</f>
        <v>Complete</v>
      </c>
      <c r="I22482" s="48" t="s">
        <v>26847</v>
      </c>
    </row>
    <row r="22483" spans="2:9" ht="15" customHeight="1" x14ac:dyDescent="0.25">
      <c r="B22483" s="55" t="s">
        <v>283</v>
      </c>
      <c r="C22483" s="46">
        <v>2471</v>
      </c>
      <c r="D22483" s="69" t="s">
        <v>29420</v>
      </c>
      <c r="E22483" s="51"/>
      <c r="F22483" s="114" t="str">
        <f>IF(INDEX(I.Facility.P4IDNumber,2471)="","",INDEX(I.Facility.P4IDNumber,2471))</f>
        <v/>
      </c>
      <c r="G22483" s="51"/>
      <c r="H22483" s="46" t="str">
        <f>IF(AND(I.Developer.P4=TRUE,I.Facility.P4FacilityCount&gt;=2471,F22483=""),"Incomplete","Complete")</f>
        <v>Complete</v>
      </c>
      <c r="I22483" s="48" t="s">
        <v>26848</v>
      </c>
    </row>
    <row r="22484" spans="2:9" ht="15" customHeight="1" x14ac:dyDescent="0.25">
      <c r="B22484" s="55" t="s">
        <v>283</v>
      </c>
      <c r="C22484" s="46">
        <v>2472</v>
      </c>
      <c r="D22484" s="69" t="s">
        <v>29420</v>
      </c>
      <c r="E22484" s="51"/>
      <c r="F22484" s="114" t="str">
        <f>IF(INDEX(I.Facility.P4IDNumber,2472)="","",INDEX(I.Facility.P4IDNumber,2472))</f>
        <v/>
      </c>
      <c r="G22484" s="51"/>
      <c r="H22484" s="46" t="str">
        <f>IF(AND(I.Developer.P4=TRUE,I.Facility.P4FacilityCount&gt;=2472,F22484=""),"Incomplete","Complete")</f>
        <v>Complete</v>
      </c>
      <c r="I22484" s="48" t="s">
        <v>26849</v>
      </c>
    </row>
    <row r="22485" spans="2:9" ht="15" customHeight="1" x14ac:dyDescent="0.25">
      <c r="B22485" s="55" t="s">
        <v>283</v>
      </c>
      <c r="C22485" s="46">
        <v>2473</v>
      </c>
      <c r="D22485" s="69" t="s">
        <v>29420</v>
      </c>
      <c r="E22485" s="51"/>
      <c r="F22485" s="114" t="str">
        <f>IF(INDEX(I.Facility.P4IDNumber,2473)="","",INDEX(I.Facility.P4IDNumber,2473))</f>
        <v/>
      </c>
      <c r="G22485" s="51"/>
      <c r="H22485" s="46" t="str">
        <f>IF(AND(I.Developer.P4=TRUE,I.Facility.P4FacilityCount&gt;=2473,F22485=""),"Incomplete","Complete")</f>
        <v>Complete</v>
      </c>
      <c r="I22485" s="48" t="s">
        <v>26850</v>
      </c>
    </row>
    <row r="22486" spans="2:9" ht="15" customHeight="1" x14ac:dyDescent="0.25">
      <c r="B22486" s="55" t="s">
        <v>283</v>
      </c>
      <c r="C22486" s="46">
        <v>2474</v>
      </c>
      <c r="D22486" s="69" t="s">
        <v>29420</v>
      </c>
      <c r="E22486" s="51"/>
      <c r="F22486" s="114" t="str">
        <f>IF(INDEX(I.Facility.P4IDNumber,2474)="","",INDEX(I.Facility.P4IDNumber,2474))</f>
        <v/>
      </c>
      <c r="G22486" s="51"/>
      <c r="H22486" s="46" t="str">
        <f>IF(AND(I.Developer.P4=TRUE,I.Facility.P4FacilityCount&gt;=2474,F22486=""),"Incomplete","Complete")</f>
        <v>Complete</v>
      </c>
      <c r="I22486" s="48" t="s">
        <v>26851</v>
      </c>
    </row>
    <row r="22487" spans="2:9" ht="15" customHeight="1" x14ac:dyDescent="0.25">
      <c r="B22487" s="55" t="s">
        <v>283</v>
      </c>
      <c r="C22487" s="46">
        <v>2475</v>
      </c>
      <c r="D22487" s="69" t="s">
        <v>29420</v>
      </c>
      <c r="E22487" s="51"/>
      <c r="F22487" s="114" t="str">
        <f>IF(INDEX(I.Facility.P4IDNumber,2475)="","",INDEX(I.Facility.P4IDNumber,2475))</f>
        <v/>
      </c>
      <c r="G22487" s="51"/>
      <c r="H22487" s="46" t="str">
        <f>IF(AND(I.Developer.P4=TRUE,I.Facility.P4FacilityCount&gt;=2475,F22487=""),"Incomplete","Complete")</f>
        <v>Complete</v>
      </c>
      <c r="I22487" s="48" t="s">
        <v>26852</v>
      </c>
    </row>
    <row r="22488" spans="2:9" ht="15" customHeight="1" x14ac:dyDescent="0.25">
      <c r="B22488" s="55" t="s">
        <v>283</v>
      </c>
      <c r="C22488" s="46">
        <v>2476</v>
      </c>
      <c r="D22488" s="69" t="s">
        <v>29420</v>
      </c>
      <c r="E22488" s="51"/>
      <c r="F22488" s="114" t="str">
        <f>IF(INDEX(I.Facility.P4IDNumber,2476)="","",INDEX(I.Facility.P4IDNumber,2476))</f>
        <v/>
      </c>
      <c r="G22488" s="51"/>
      <c r="H22488" s="46" t="str">
        <f>IF(AND(I.Developer.P4=TRUE,I.Facility.P4FacilityCount&gt;=2476,F22488=""),"Incomplete","Complete")</f>
        <v>Complete</v>
      </c>
      <c r="I22488" s="48" t="s">
        <v>26853</v>
      </c>
    </row>
    <row r="22489" spans="2:9" ht="15" customHeight="1" x14ac:dyDescent="0.25">
      <c r="B22489" s="55" t="s">
        <v>283</v>
      </c>
      <c r="C22489" s="46">
        <v>2477</v>
      </c>
      <c r="D22489" s="69" t="s">
        <v>29420</v>
      </c>
      <c r="E22489" s="51"/>
      <c r="F22489" s="114" t="str">
        <f>IF(INDEX(I.Facility.P4IDNumber,2477)="","",INDEX(I.Facility.P4IDNumber,2477))</f>
        <v/>
      </c>
      <c r="G22489" s="51"/>
      <c r="H22489" s="46" t="str">
        <f>IF(AND(I.Developer.P4=TRUE,I.Facility.P4FacilityCount&gt;=2477,F22489=""),"Incomplete","Complete")</f>
        <v>Complete</v>
      </c>
      <c r="I22489" s="48" t="s">
        <v>26854</v>
      </c>
    </row>
    <row r="22490" spans="2:9" ht="15" customHeight="1" x14ac:dyDescent="0.25">
      <c r="B22490" s="55" t="s">
        <v>283</v>
      </c>
      <c r="C22490" s="46">
        <v>2478</v>
      </c>
      <c r="D22490" s="69" t="s">
        <v>29420</v>
      </c>
      <c r="E22490" s="51"/>
      <c r="F22490" s="114" t="str">
        <f>IF(INDEX(I.Facility.P4IDNumber,2478)="","",INDEX(I.Facility.P4IDNumber,2478))</f>
        <v/>
      </c>
      <c r="G22490" s="51"/>
      <c r="H22490" s="46" t="str">
        <f>IF(AND(I.Developer.P4=TRUE,I.Facility.P4FacilityCount&gt;=2478,F22490=""),"Incomplete","Complete")</f>
        <v>Complete</v>
      </c>
      <c r="I22490" s="48" t="s">
        <v>26855</v>
      </c>
    </row>
    <row r="22491" spans="2:9" ht="15" customHeight="1" x14ac:dyDescent="0.25">
      <c r="B22491" s="55" t="s">
        <v>283</v>
      </c>
      <c r="C22491" s="46">
        <v>2479</v>
      </c>
      <c r="D22491" s="69" t="s">
        <v>29420</v>
      </c>
      <c r="E22491" s="51"/>
      <c r="F22491" s="114" t="str">
        <f>IF(INDEX(I.Facility.P4IDNumber,2479)="","",INDEX(I.Facility.P4IDNumber,2479))</f>
        <v/>
      </c>
      <c r="G22491" s="51"/>
      <c r="H22491" s="46" t="str">
        <f>IF(AND(I.Developer.P4=TRUE,I.Facility.P4FacilityCount&gt;=2479,F22491=""),"Incomplete","Complete")</f>
        <v>Complete</v>
      </c>
      <c r="I22491" s="48" t="s">
        <v>26856</v>
      </c>
    </row>
    <row r="22492" spans="2:9" ht="15" customHeight="1" x14ac:dyDescent="0.25">
      <c r="B22492" s="55" t="s">
        <v>283</v>
      </c>
      <c r="C22492" s="46">
        <v>2480</v>
      </c>
      <c r="D22492" s="69" t="s">
        <v>29420</v>
      </c>
      <c r="E22492" s="51"/>
      <c r="F22492" s="114" t="str">
        <f>IF(INDEX(I.Facility.P4IDNumber,2480)="","",INDEX(I.Facility.P4IDNumber,2480))</f>
        <v/>
      </c>
      <c r="G22492" s="51"/>
      <c r="H22492" s="46" t="str">
        <f>IF(AND(I.Developer.P4=TRUE,I.Facility.P4FacilityCount&gt;=2480,F22492=""),"Incomplete","Complete")</f>
        <v>Complete</v>
      </c>
      <c r="I22492" s="48" t="s">
        <v>26857</v>
      </c>
    </row>
    <row r="22493" spans="2:9" ht="15" customHeight="1" x14ac:dyDescent="0.25">
      <c r="B22493" s="55" t="s">
        <v>283</v>
      </c>
      <c r="C22493" s="46">
        <v>2481</v>
      </c>
      <c r="D22493" s="69" t="s">
        <v>29420</v>
      </c>
      <c r="E22493" s="51"/>
      <c r="F22493" s="114" t="str">
        <f>IF(INDEX(I.Facility.P4IDNumber,2481)="","",INDEX(I.Facility.P4IDNumber,2481))</f>
        <v/>
      </c>
      <c r="G22493" s="51"/>
      <c r="H22493" s="46" t="str">
        <f>IF(AND(I.Developer.P4=TRUE,I.Facility.P4FacilityCount&gt;=2481,F22493=""),"Incomplete","Complete")</f>
        <v>Complete</v>
      </c>
      <c r="I22493" s="48" t="s">
        <v>26858</v>
      </c>
    </row>
    <row r="22494" spans="2:9" ht="15" customHeight="1" x14ac:dyDescent="0.25">
      <c r="B22494" s="55" t="s">
        <v>283</v>
      </c>
      <c r="C22494" s="46">
        <v>2482</v>
      </c>
      <c r="D22494" s="69" t="s">
        <v>29420</v>
      </c>
      <c r="E22494" s="51"/>
      <c r="F22494" s="114" t="str">
        <f>IF(INDEX(I.Facility.P4IDNumber,2482)="","",INDEX(I.Facility.P4IDNumber,2482))</f>
        <v/>
      </c>
      <c r="G22494" s="51"/>
      <c r="H22494" s="46" t="str">
        <f>IF(AND(I.Developer.P4=TRUE,I.Facility.P4FacilityCount&gt;=2482,F22494=""),"Incomplete","Complete")</f>
        <v>Complete</v>
      </c>
      <c r="I22494" s="48" t="s">
        <v>26859</v>
      </c>
    </row>
    <row r="22495" spans="2:9" ht="15" customHeight="1" x14ac:dyDescent="0.25">
      <c r="B22495" s="55" t="s">
        <v>283</v>
      </c>
      <c r="C22495" s="46">
        <v>2483</v>
      </c>
      <c r="D22495" s="69" t="s">
        <v>29420</v>
      </c>
      <c r="E22495" s="51"/>
      <c r="F22495" s="114" t="str">
        <f>IF(INDEX(I.Facility.P4IDNumber,2483)="","",INDEX(I.Facility.P4IDNumber,2483))</f>
        <v/>
      </c>
      <c r="G22495" s="51"/>
      <c r="H22495" s="46" t="str">
        <f>IF(AND(I.Developer.P4=TRUE,I.Facility.P4FacilityCount&gt;=2483,F22495=""),"Incomplete","Complete")</f>
        <v>Complete</v>
      </c>
      <c r="I22495" s="48" t="s">
        <v>26860</v>
      </c>
    </row>
    <row r="22496" spans="2:9" ht="15" customHeight="1" x14ac:dyDescent="0.25">
      <c r="B22496" s="55" t="s">
        <v>283</v>
      </c>
      <c r="C22496" s="46">
        <v>2484</v>
      </c>
      <c r="D22496" s="69" t="s">
        <v>29420</v>
      </c>
      <c r="E22496" s="51"/>
      <c r="F22496" s="114" t="str">
        <f>IF(INDEX(I.Facility.P4IDNumber,2484)="","",INDEX(I.Facility.P4IDNumber,2484))</f>
        <v/>
      </c>
      <c r="G22496" s="51"/>
      <c r="H22496" s="46" t="str">
        <f>IF(AND(I.Developer.P4=TRUE,I.Facility.P4FacilityCount&gt;=2484,F22496=""),"Incomplete","Complete")</f>
        <v>Complete</v>
      </c>
      <c r="I22496" s="48" t="s">
        <v>26861</v>
      </c>
    </row>
    <row r="22497" spans="2:9" ht="15" customHeight="1" x14ac:dyDescent="0.25">
      <c r="B22497" s="55" t="s">
        <v>283</v>
      </c>
      <c r="C22497" s="46">
        <v>2485</v>
      </c>
      <c r="D22497" s="69" t="s">
        <v>29420</v>
      </c>
      <c r="E22497" s="51"/>
      <c r="F22497" s="114" t="str">
        <f>IF(INDEX(I.Facility.P4IDNumber,2485)="","",INDEX(I.Facility.P4IDNumber,2485))</f>
        <v/>
      </c>
      <c r="G22497" s="51"/>
      <c r="H22497" s="46" t="str">
        <f>IF(AND(I.Developer.P4=TRUE,I.Facility.P4FacilityCount&gt;=2485,F22497=""),"Incomplete","Complete")</f>
        <v>Complete</v>
      </c>
      <c r="I22497" s="48" t="s">
        <v>26862</v>
      </c>
    </row>
    <row r="22498" spans="2:9" ht="15" customHeight="1" x14ac:dyDescent="0.25">
      <c r="B22498" s="55" t="s">
        <v>283</v>
      </c>
      <c r="C22498" s="46">
        <v>2486</v>
      </c>
      <c r="D22498" s="69" t="s">
        <v>29420</v>
      </c>
      <c r="E22498" s="51"/>
      <c r="F22498" s="114" t="str">
        <f>IF(INDEX(I.Facility.P4IDNumber,2486)="","",INDEX(I.Facility.P4IDNumber,2486))</f>
        <v/>
      </c>
      <c r="G22498" s="51"/>
      <c r="H22498" s="46" t="str">
        <f>IF(AND(I.Developer.P4=TRUE,I.Facility.P4FacilityCount&gt;=2486,F22498=""),"Incomplete","Complete")</f>
        <v>Complete</v>
      </c>
      <c r="I22498" s="48" t="s">
        <v>26863</v>
      </c>
    </row>
    <row r="22499" spans="2:9" ht="15" customHeight="1" x14ac:dyDescent="0.25">
      <c r="B22499" s="55" t="s">
        <v>283</v>
      </c>
      <c r="C22499" s="46">
        <v>2487</v>
      </c>
      <c r="D22499" s="69" t="s">
        <v>29420</v>
      </c>
      <c r="E22499" s="51"/>
      <c r="F22499" s="114" t="str">
        <f>IF(INDEX(I.Facility.P4IDNumber,2487)="","",INDEX(I.Facility.P4IDNumber,2487))</f>
        <v/>
      </c>
      <c r="G22499" s="51"/>
      <c r="H22499" s="46" t="str">
        <f>IF(AND(I.Developer.P4=TRUE,I.Facility.P4FacilityCount&gt;=2487,F22499=""),"Incomplete","Complete")</f>
        <v>Complete</v>
      </c>
      <c r="I22499" s="48" t="s">
        <v>26864</v>
      </c>
    </row>
    <row r="22500" spans="2:9" ht="15" customHeight="1" x14ac:dyDescent="0.25">
      <c r="B22500" s="55" t="s">
        <v>283</v>
      </c>
      <c r="C22500" s="46">
        <v>2488</v>
      </c>
      <c r="D22500" s="69" t="s">
        <v>29420</v>
      </c>
      <c r="E22500" s="51"/>
      <c r="F22500" s="114" t="str">
        <f>IF(INDEX(I.Facility.P4IDNumber,2488)="","",INDEX(I.Facility.P4IDNumber,2488))</f>
        <v/>
      </c>
      <c r="G22500" s="51"/>
      <c r="H22500" s="46" t="str">
        <f>IF(AND(I.Developer.P4=TRUE,I.Facility.P4FacilityCount&gt;=2488,F22500=""),"Incomplete","Complete")</f>
        <v>Complete</v>
      </c>
      <c r="I22500" s="48" t="s">
        <v>26865</v>
      </c>
    </row>
    <row r="22501" spans="2:9" ht="15" customHeight="1" x14ac:dyDescent="0.25">
      <c r="B22501" s="55" t="s">
        <v>283</v>
      </c>
      <c r="C22501" s="46">
        <v>2489</v>
      </c>
      <c r="D22501" s="69" t="s">
        <v>29420</v>
      </c>
      <c r="E22501" s="51"/>
      <c r="F22501" s="114" t="str">
        <f>IF(INDEX(I.Facility.P4IDNumber,2489)="","",INDEX(I.Facility.P4IDNumber,2489))</f>
        <v/>
      </c>
      <c r="G22501" s="51"/>
      <c r="H22501" s="46" t="str">
        <f>IF(AND(I.Developer.P4=TRUE,I.Facility.P4FacilityCount&gt;=2489,F22501=""),"Incomplete","Complete")</f>
        <v>Complete</v>
      </c>
      <c r="I22501" s="48" t="s">
        <v>26866</v>
      </c>
    </row>
    <row r="22502" spans="2:9" ht="15" customHeight="1" x14ac:dyDescent="0.25">
      <c r="B22502" s="55" t="s">
        <v>283</v>
      </c>
      <c r="C22502" s="46">
        <v>2490</v>
      </c>
      <c r="D22502" s="69" t="s">
        <v>29420</v>
      </c>
      <c r="E22502" s="51"/>
      <c r="F22502" s="114" t="str">
        <f>IF(INDEX(I.Facility.P4IDNumber,2490)="","",INDEX(I.Facility.P4IDNumber,2490))</f>
        <v/>
      </c>
      <c r="G22502" s="51"/>
      <c r="H22502" s="46" t="str">
        <f>IF(AND(I.Developer.P4=TRUE,I.Facility.P4FacilityCount&gt;=2490,F22502=""),"Incomplete","Complete")</f>
        <v>Complete</v>
      </c>
      <c r="I22502" s="48" t="s">
        <v>26867</v>
      </c>
    </row>
    <row r="22503" spans="2:9" ht="15" customHeight="1" x14ac:dyDescent="0.25">
      <c r="B22503" s="55" t="s">
        <v>283</v>
      </c>
      <c r="C22503" s="46">
        <v>2491</v>
      </c>
      <c r="D22503" s="69" t="s">
        <v>29420</v>
      </c>
      <c r="E22503" s="51"/>
      <c r="F22503" s="114" t="str">
        <f>IF(INDEX(I.Facility.P4IDNumber,2491)="","",INDEX(I.Facility.P4IDNumber,2491))</f>
        <v/>
      </c>
      <c r="G22503" s="51"/>
      <c r="H22503" s="46" t="str">
        <f>IF(AND(I.Developer.P4=TRUE,I.Facility.P4FacilityCount&gt;=2491,F22503=""),"Incomplete","Complete")</f>
        <v>Complete</v>
      </c>
      <c r="I22503" s="48" t="s">
        <v>26868</v>
      </c>
    </row>
    <row r="22504" spans="2:9" ht="15" customHeight="1" x14ac:dyDescent="0.25">
      <c r="B22504" s="55" t="s">
        <v>283</v>
      </c>
      <c r="C22504" s="46">
        <v>2492</v>
      </c>
      <c r="D22504" s="69" t="s">
        <v>29420</v>
      </c>
      <c r="E22504" s="51"/>
      <c r="F22504" s="114" t="str">
        <f>IF(INDEX(I.Facility.P4IDNumber,2492)="","",INDEX(I.Facility.P4IDNumber,2492))</f>
        <v/>
      </c>
      <c r="G22504" s="51"/>
      <c r="H22504" s="46" t="str">
        <f>IF(AND(I.Developer.P4=TRUE,I.Facility.P4FacilityCount&gt;=2492,F22504=""),"Incomplete","Complete")</f>
        <v>Complete</v>
      </c>
      <c r="I22504" s="48" t="s">
        <v>26869</v>
      </c>
    </row>
    <row r="22505" spans="2:9" ht="15" customHeight="1" x14ac:dyDescent="0.25">
      <c r="B22505" s="55" t="s">
        <v>283</v>
      </c>
      <c r="C22505" s="46">
        <v>2493</v>
      </c>
      <c r="D22505" s="69" t="s">
        <v>29420</v>
      </c>
      <c r="E22505" s="51"/>
      <c r="F22505" s="114" t="str">
        <f>IF(INDEX(I.Facility.P4IDNumber,2493)="","",INDEX(I.Facility.P4IDNumber,2493))</f>
        <v/>
      </c>
      <c r="G22505" s="51"/>
      <c r="H22505" s="46" t="str">
        <f>IF(AND(I.Developer.P4=TRUE,I.Facility.P4FacilityCount&gt;=2493,F22505=""),"Incomplete","Complete")</f>
        <v>Complete</v>
      </c>
      <c r="I22505" s="48" t="s">
        <v>26870</v>
      </c>
    </row>
    <row r="22506" spans="2:9" ht="15" customHeight="1" x14ac:dyDescent="0.25">
      <c r="B22506" s="55" t="s">
        <v>283</v>
      </c>
      <c r="C22506" s="46">
        <v>2494</v>
      </c>
      <c r="D22506" s="69" t="s">
        <v>29420</v>
      </c>
      <c r="E22506" s="51"/>
      <c r="F22506" s="114" t="str">
        <f>IF(INDEX(I.Facility.P4IDNumber,2494)="","",INDEX(I.Facility.P4IDNumber,2494))</f>
        <v/>
      </c>
      <c r="G22506" s="51"/>
      <c r="H22506" s="46" t="str">
        <f>IF(AND(I.Developer.P4=TRUE,I.Facility.P4FacilityCount&gt;=2494,F22506=""),"Incomplete","Complete")</f>
        <v>Complete</v>
      </c>
      <c r="I22506" s="48" t="s">
        <v>26871</v>
      </c>
    </row>
    <row r="22507" spans="2:9" ht="15" customHeight="1" x14ac:dyDescent="0.25">
      <c r="B22507" s="55" t="s">
        <v>283</v>
      </c>
      <c r="C22507" s="46">
        <v>2495</v>
      </c>
      <c r="D22507" s="69" t="s">
        <v>29420</v>
      </c>
      <c r="E22507" s="51"/>
      <c r="F22507" s="114" t="str">
        <f>IF(INDEX(I.Facility.P4IDNumber,2495)="","",INDEX(I.Facility.P4IDNumber,2495))</f>
        <v/>
      </c>
      <c r="G22507" s="51"/>
      <c r="H22507" s="46" t="str">
        <f>IF(AND(I.Developer.P4=TRUE,I.Facility.P4FacilityCount&gt;=2495,F22507=""),"Incomplete","Complete")</f>
        <v>Complete</v>
      </c>
      <c r="I22507" s="48" t="s">
        <v>26872</v>
      </c>
    </row>
    <row r="22508" spans="2:9" ht="15" customHeight="1" x14ac:dyDescent="0.25">
      <c r="B22508" s="55" t="s">
        <v>283</v>
      </c>
      <c r="C22508" s="46">
        <v>2496</v>
      </c>
      <c r="D22508" s="69" t="s">
        <v>29420</v>
      </c>
      <c r="E22508" s="51"/>
      <c r="F22508" s="114" t="str">
        <f>IF(INDEX(I.Facility.P4IDNumber,2496)="","",INDEX(I.Facility.P4IDNumber,2496))</f>
        <v/>
      </c>
      <c r="G22508" s="51"/>
      <c r="H22508" s="46" t="str">
        <f>IF(AND(I.Developer.P4=TRUE,I.Facility.P4FacilityCount&gt;=2496,F22508=""),"Incomplete","Complete")</f>
        <v>Complete</v>
      </c>
      <c r="I22508" s="48" t="s">
        <v>26873</v>
      </c>
    </row>
    <row r="22509" spans="2:9" ht="15" customHeight="1" x14ac:dyDescent="0.25">
      <c r="B22509" s="55" t="s">
        <v>283</v>
      </c>
      <c r="C22509" s="46">
        <v>2497</v>
      </c>
      <c r="D22509" s="69" t="s">
        <v>29420</v>
      </c>
      <c r="E22509" s="51"/>
      <c r="F22509" s="114" t="str">
        <f>IF(INDEX(I.Facility.P4IDNumber,2497)="","",INDEX(I.Facility.P4IDNumber,2497))</f>
        <v/>
      </c>
      <c r="G22509" s="51"/>
      <c r="H22509" s="46" t="str">
        <f>IF(AND(I.Developer.P4=TRUE,I.Facility.P4FacilityCount&gt;=2497,F22509=""),"Incomplete","Complete")</f>
        <v>Complete</v>
      </c>
      <c r="I22509" s="48" t="s">
        <v>26874</v>
      </c>
    </row>
    <row r="22510" spans="2:9" ht="15" customHeight="1" x14ac:dyDescent="0.25">
      <c r="B22510" s="55" t="s">
        <v>283</v>
      </c>
      <c r="C22510" s="46">
        <v>2498</v>
      </c>
      <c r="D22510" s="69" t="s">
        <v>29420</v>
      </c>
      <c r="E22510" s="51"/>
      <c r="F22510" s="114" t="str">
        <f>IF(INDEX(I.Facility.P4IDNumber,2498)="","",INDEX(I.Facility.P4IDNumber,2498))</f>
        <v/>
      </c>
      <c r="G22510" s="51"/>
      <c r="H22510" s="46" t="str">
        <f>IF(AND(I.Developer.P4=TRUE,I.Facility.P4FacilityCount&gt;=2498,F22510=""),"Incomplete","Complete")</f>
        <v>Complete</v>
      </c>
      <c r="I22510" s="48" t="s">
        <v>26875</v>
      </c>
    </row>
    <row r="22511" spans="2:9" ht="15" customHeight="1" x14ac:dyDescent="0.25">
      <c r="B22511" s="55" t="s">
        <v>283</v>
      </c>
      <c r="C22511" s="46">
        <v>2499</v>
      </c>
      <c r="D22511" s="69" t="s">
        <v>29420</v>
      </c>
      <c r="E22511" s="51"/>
      <c r="F22511" s="114" t="str">
        <f>IF(INDEX(I.Facility.P4IDNumber,2499)="","",INDEX(I.Facility.P4IDNumber,2499))</f>
        <v/>
      </c>
      <c r="G22511" s="51"/>
      <c r="H22511" s="46" t="str">
        <f>IF(AND(I.Developer.P4=TRUE,I.Facility.P4FacilityCount&gt;=2499,F22511=""),"Incomplete","Complete")</f>
        <v>Complete</v>
      </c>
      <c r="I22511" s="48" t="s">
        <v>26876</v>
      </c>
    </row>
    <row r="22512" spans="2:9" ht="15" customHeight="1" x14ac:dyDescent="0.25">
      <c r="B22512" s="55" t="s">
        <v>283</v>
      </c>
      <c r="C22512" s="46">
        <v>2500</v>
      </c>
      <c r="D22512" s="69" t="s">
        <v>29420</v>
      </c>
      <c r="E22512" s="51"/>
      <c r="F22512" s="114" t="str">
        <f>IF(INDEX(I.Facility.P4IDNumber,2500)="","",INDEX(I.Facility.P4IDNumber,2500))</f>
        <v/>
      </c>
      <c r="G22512" s="51"/>
      <c r="H22512" s="46" t="str">
        <f>IF(AND(I.Developer.P4=TRUE,I.Facility.P4FacilityCount&gt;=2500,F22512=""),"Incomplete","Complete")</f>
        <v>Complete</v>
      </c>
      <c r="I22512" s="48" t="s">
        <v>26877</v>
      </c>
    </row>
    <row r="22513" spans="2:9" ht="15" customHeight="1" x14ac:dyDescent="0.25">
      <c r="B22513" s="55" t="s">
        <v>283</v>
      </c>
      <c r="C22513" s="46">
        <v>2501</v>
      </c>
      <c r="D22513" s="69" t="s">
        <v>29420</v>
      </c>
      <c r="E22513" s="51"/>
      <c r="F22513" s="114" t="str">
        <f>IF(INDEX(I.Facility.P4IDNumber,2501)="","",INDEX(I.Facility.P4IDNumber,2501))</f>
        <v/>
      </c>
      <c r="G22513" s="51"/>
      <c r="H22513" s="46" t="str">
        <f>IF(AND(I.Developer.P4=TRUE,I.Facility.P4FacilityCount&gt;=2501,F22513=""),"Incomplete","Complete")</f>
        <v>Complete</v>
      </c>
      <c r="I22513" s="48" t="s">
        <v>26878</v>
      </c>
    </row>
    <row r="22514" spans="2:9" ht="15" customHeight="1" x14ac:dyDescent="0.25">
      <c r="B22514" s="55" t="s">
        <v>283</v>
      </c>
      <c r="C22514" s="46">
        <v>2502</v>
      </c>
      <c r="D22514" s="69" t="s">
        <v>29420</v>
      </c>
      <c r="E22514" s="51"/>
      <c r="F22514" s="114" t="str">
        <f>IF(INDEX(I.Facility.P4IDNumber,2502)="","",INDEX(I.Facility.P4IDNumber,2502))</f>
        <v/>
      </c>
      <c r="G22514" s="51"/>
      <c r="H22514" s="46" t="str">
        <f>IF(AND(I.Developer.P4=TRUE,I.Facility.P4FacilityCount&gt;=2502,F22514=""),"Incomplete","Complete")</f>
        <v>Complete</v>
      </c>
      <c r="I22514" s="48" t="s">
        <v>26879</v>
      </c>
    </row>
    <row r="22515" spans="2:9" ht="15" customHeight="1" x14ac:dyDescent="0.25">
      <c r="B22515" s="55" t="s">
        <v>283</v>
      </c>
      <c r="C22515" s="46">
        <v>2503</v>
      </c>
      <c r="D22515" s="69" t="s">
        <v>29420</v>
      </c>
      <c r="E22515" s="51"/>
      <c r="F22515" s="114" t="str">
        <f>IF(INDEX(I.Facility.P4IDNumber,2503)="","",INDEX(I.Facility.P4IDNumber,2503))</f>
        <v/>
      </c>
      <c r="G22515" s="51"/>
      <c r="H22515" s="46" t="str">
        <f>IF(AND(I.Developer.P4=TRUE,I.Facility.P4FacilityCount&gt;=2503,F22515=""),"Incomplete","Complete")</f>
        <v>Complete</v>
      </c>
      <c r="I22515" s="48" t="s">
        <v>26880</v>
      </c>
    </row>
    <row r="22516" spans="2:9" ht="15" customHeight="1" x14ac:dyDescent="0.25">
      <c r="B22516" s="55" t="s">
        <v>283</v>
      </c>
      <c r="C22516" s="46">
        <v>2504</v>
      </c>
      <c r="D22516" s="69" t="s">
        <v>29420</v>
      </c>
      <c r="E22516" s="51"/>
      <c r="F22516" s="114" t="str">
        <f>IF(INDEX(I.Facility.P4IDNumber,2504)="","",INDEX(I.Facility.P4IDNumber,2504))</f>
        <v/>
      </c>
      <c r="G22516" s="51"/>
      <c r="H22516" s="46" t="str">
        <f>IF(AND(I.Developer.P4=TRUE,I.Facility.P4FacilityCount&gt;=2504,F22516=""),"Incomplete","Complete")</f>
        <v>Complete</v>
      </c>
      <c r="I22516" s="48" t="s">
        <v>26881</v>
      </c>
    </row>
    <row r="22517" spans="2:9" ht="15" customHeight="1" x14ac:dyDescent="0.25">
      <c r="B22517" s="55" t="s">
        <v>283</v>
      </c>
      <c r="C22517" s="46">
        <v>2505</v>
      </c>
      <c r="D22517" s="69" t="s">
        <v>29420</v>
      </c>
      <c r="E22517" s="51"/>
      <c r="F22517" s="114" t="str">
        <f>IF(INDEX(I.Facility.P4IDNumber,2505)="","",INDEX(I.Facility.P4IDNumber,2505))</f>
        <v/>
      </c>
      <c r="G22517" s="51"/>
      <c r="H22517" s="46" t="str">
        <f>IF(AND(I.Developer.P4=TRUE,I.Facility.P4FacilityCount&gt;=2505,F22517=""),"Incomplete","Complete")</f>
        <v>Complete</v>
      </c>
      <c r="I22517" s="48" t="s">
        <v>26882</v>
      </c>
    </row>
    <row r="22518" spans="2:9" ht="15" customHeight="1" x14ac:dyDescent="0.25">
      <c r="B22518" s="55" t="s">
        <v>283</v>
      </c>
      <c r="C22518" s="46">
        <v>2506</v>
      </c>
      <c r="D22518" s="69" t="s">
        <v>29420</v>
      </c>
      <c r="E22518" s="51"/>
      <c r="F22518" s="114" t="str">
        <f>IF(INDEX(I.Facility.P4IDNumber,2506)="","",INDEX(I.Facility.P4IDNumber,2506))</f>
        <v/>
      </c>
      <c r="G22518" s="51"/>
      <c r="H22518" s="46" t="str">
        <f>IF(AND(I.Developer.P4=TRUE,I.Facility.P4FacilityCount&gt;=2506,F22518=""),"Incomplete","Complete")</f>
        <v>Complete</v>
      </c>
      <c r="I22518" s="48" t="s">
        <v>26883</v>
      </c>
    </row>
    <row r="22519" spans="2:9" ht="15" customHeight="1" x14ac:dyDescent="0.25">
      <c r="B22519" s="55" t="s">
        <v>283</v>
      </c>
      <c r="C22519" s="46">
        <v>2507</v>
      </c>
      <c r="D22519" s="69" t="s">
        <v>29420</v>
      </c>
      <c r="E22519" s="51"/>
      <c r="F22519" s="114" t="str">
        <f>IF(INDEX(I.Facility.P4IDNumber,2507)="","",INDEX(I.Facility.P4IDNumber,2507))</f>
        <v/>
      </c>
      <c r="G22519" s="51"/>
      <c r="H22519" s="46" t="str">
        <f>IF(AND(I.Developer.P4=TRUE,I.Facility.P4FacilityCount&gt;=2507,F22519=""),"Incomplete","Complete")</f>
        <v>Complete</v>
      </c>
      <c r="I22519" s="48" t="s">
        <v>26884</v>
      </c>
    </row>
    <row r="22520" spans="2:9" ht="15" customHeight="1" x14ac:dyDescent="0.25">
      <c r="B22520" s="55" t="s">
        <v>283</v>
      </c>
      <c r="C22520" s="46">
        <v>2508</v>
      </c>
      <c r="D22520" s="69" t="s">
        <v>29420</v>
      </c>
      <c r="E22520" s="51"/>
      <c r="F22520" s="114" t="str">
        <f>IF(INDEX(I.Facility.P4IDNumber,2508)="","",INDEX(I.Facility.P4IDNumber,2508))</f>
        <v/>
      </c>
      <c r="G22520" s="51"/>
      <c r="H22520" s="46" t="str">
        <f>IF(AND(I.Developer.P4=TRUE,I.Facility.P4FacilityCount&gt;=2508,F22520=""),"Incomplete","Complete")</f>
        <v>Complete</v>
      </c>
      <c r="I22520" s="48" t="s">
        <v>26885</v>
      </c>
    </row>
    <row r="22521" spans="2:9" ht="15" customHeight="1" x14ac:dyDescent="0.25">
      <c r="B22521" s="55" t="s">
        <v>283</v>
      </c>
      <c r="C22521" s="46">
        <v>2509</v>
      </c>
      <c r="D22521" s="69" t="s">
        <v>29420</v>
      </c>
      <c r="E22521" s="51"/>
      <c r="F22521" s="114" t="str">
        <f>IF(INDEX(I.Facility.P4IDNumber,2509)="","",INDEX(I.Facility.P4IDNumber,2509))</f>
        <v/>
      </c>
      <c r="G22521" s="51"/>
      <c r="H22521" s="46" t="str">
        <f>IF(AND(I.Developer.P4=TRUE,I.Facility.P4FacilityCount&gt;=2509,F22521=""),"Incomplete","Complete")</f>
        <v>Complete</v>
      </c>
      <c r="I22521" s="48" t="s">
        <v>26886</v>
      </c>
    </row>
    <row r="22522" spans="2:9" ht="15" customHeight="1" x14ac:dyDescent="0.25">
      <c r="B22522" s="55" t="s">
        <v>283</v>
      </c>
      <c r="C22522" s="46">
        <v>2510</v>
      </c>
      <c r="D22522" s="69" t="s">
        <v>29420</v>
      </c>
      <c r="E22522" s="51"/>
      <c r="F22522" s="114" t="str">
        <f>IF(INDEX(I.Facility.P4IDNumber,2510)="","",INDEX(I.Facility.P4IDNumber,2510))</f>
        <v/>
      </c>
      <c r="G22522" s="51"/>
      <c r="H22522" s="46" t="str">
        <f>IF(AND(I.Developer.P4=TRUE,I.Facility.P4FacilityCount&gt;=2510,F22522=""),"Incomplete","Complete")</f>
        <v>Complete</v>
      </c>
      <c r="I22522" s="48" t="s">
        <v>26887</v>
      </c>
    </row>
    <row r="22523" spans="2:9" ht="15" customHeight="1" x14ac:dyDescent="0.25">
      <c r="B22523" s="55" t="s">
        <v>283</v>
      </c>
      <c r="C22523" s="46">
        <v>2511</v>
      </c>
      <c r="D22523" s="69" t="s">
        <v>29420</v>
      </c>
      <c r="E22523" s="51"/>
      <c r="F22523" s="114" t="str">
        <f>IF(INDEX(I.Facility.P4IDNumber,2511)="","",INDEX(I.Facility.P4IDNumber,2511))</f>
        <v/>
      </c>
      <c r="G22523" s="51"/>
      <c r="H22523" s="46" t="str">
        <f>IF(AND(I.Developer.P4=TRUE,I.Facility.P4FacilityCount&gt;=2511,F22523=""),"Incomplete","Complete")</f>
        <v>Complete</v>
      </c>
      <c r="I22523" s="48" t="s">
        <v>26888</v>
      </c>
    </row>
    <row r="22524" spans="2:9" ht="15" customHeight="1" x14ac:dyDescent="0.25">
      <c r="B22524" s="55" t="s">
        <v>283</v>
      </c>
      <c r="C22524" s="46">
        <v>2512</v>
      </c>
      <c r="D22524" s="69" t="s">
        <v>29420</v>
      </c>
      <c r="E22524" s="51"/>
      <c r="F22524" s="114" t="str">
        <f>IF(INDEX(I.Facility.P4IDNumber,2512)="","",INDEX(I.Facility.P4IDNumber,2512))</f>
        <v/>
      </c>
      <c r="G22524" s="51"/>
      <c r="H22524" s="46" t="str">
        <f>IF(AND(I.Developer.P4=TRUE,I.Facility.P4FacilityCount&gt;=2512,F22524=""),"Incomplete","Complete")</f>
        <v>Complete</v>
      </c>
      <c r="I22524" s="48" t="s">
        <v>26889</v>
      </c>
    </row>
    <row r="22525" spans="2:9" ht="15" customHeight="1" x14ac:dyDescent="0.25">
      <c r="B22525" s="55" t="s">
        <v>283</v>
      </c>
      <c r="C22525" s="46">
        <v>2513</v>
      </c>
      <c r="D22525" s="69" t="s">
        <v>29420</v>
      </c>
      <c r="E22525" s="51"/>
      <c r="F22525" s="114" t="str">
        <f>IF(INDEX(I.Facility.P4IDNumber,2513)="","",INDEX(I.Facility.P4IDNumber,2513))</f>
        <v/>
      </c>
      <c r="G22525" s="51"/>
      <c r="H22525" s="46" t="str">
        <f>IF(AND(I.Developer.P4=TRUE,I.Facility.P4FacilityCount&gt;=2513,F22525=""),"Incomplete","Complete")</f>
        <v>Complete</v>
      </c>
      <c r="I22525" s="48" t="s">
        <v>26890</v>
      </c>
    </row>
    <row r="22526" spans="2:9" ht="15" customHeight="1" x14ac:dyDescent="0.25">
      <c r="B22526" s="55" t="s">
        <v>283</v>
      </c>
      <c r="C22526" s="46">
        <v>2514</v>
      </c>
      <c r="D22526" s="69" t="s">
        <v>29420</v>
      </c>
      <c r="E22526" s="51"/>
      <c r="F22526" s="114" t="str">
        <f>IF(INDEX(I.Facility.P4IDNumber,2514)="","",INDEX(I.Facility.P4IDNumber,2514))</f>
        <v/>
      </c>
      <c r="G22526" s="51"/>
      <c r="H22526" s="46" t="str">
        <f>IF(AND(I.Developer.P4=TRUE,I.Facility.P4FacilityCount&gt;=2514,F22526=""),"Incomplete","Complete")</f>
        <v>Complete</v>
      </c>
      <c r="I22526" s="48" t="s">
        <v>26891</v>
      </c>
    </row>
    <row r="22527" spans="2:9" ht="15" customHeight="1" x14ac:dyDescent="0.25">
      <c r="B22527" s="55" t="s">
        <v>283</v>
      </c>
      <c r="C22527" s="46">
        <v>2515</v>
      </c>
      <c r="D22527" s="69" t="s">
        <v>29420</v>
      </c>
      <c r="E22527" s="51"/>
      <c r="F22527" s="114" t="str">
        <f>IF(INDEX(I.Facility.P4IDNumber,2515)="","",INDEX(I.Facility.P4IDNumber,2515))</f>
        <v/>
      </c>
      <c r="G22527" s="51"/>
      <c r="H22527" s="46" t="str">
        <f>IF(AND(I.Developer.P4=TRUE,I.Facility.P4FacilityCount&gt;=2515,F22527=""),"Incomplete","Complete")</f>
        <v>Complete</v>
      </c>
      <c r="I22527" s="48" t="s">
        <v>26892</v>
      </c>
    </row>
    <row r="22528" spans="2:9" ht="15" customHeight="1" x14ac:dyDescent="0.25">
      <c r="B22528" s="55" t="s">
        <v>283</v>
      </c>
      <c r="C22528" s="46">
        <v>2516</v>
      </c>
      <c r="D22528" s="69" t="s">
        <v>29420</v>
      </c>
      <c r="E22528" s="51"/>
      <c r="F22528" s="114" t="str">
        <f>IF(INDEX(I.Facility.P4IDNumber,2516)="","",INDEX(I.Facility.P4IDNumber,2516))</f>
        <v/>
      </c>
      <c r="G22528" s="51"/>
      <c r="H22528" s="46" t="str">
        <f>IF(AND(I.Developer.P4=TRUE,I.Facility.P4FacilityCount&gt;=2516,F22528=""),"Incomplete","Complete")</f>
        <v>Complete</v>
      </c>
      <c r="I22528" s="48" t="s">
        <v>26893</v>
      </c>
    </row>
    <row r="22529" spans="2:9" ht="15" customHeight="1" x14ac:dyDescent="0.25">
      <c r="B22529" s="55" t="s">
        <v>283</v>
      </c>
      <c r="C22529" s="46">
        <v>2517</v>
      </c>
      <c r="D22529" s="69" t="s">
        <v>29420</v>
      </c>
      <c r="E22529" s="51"/>
      <c r="F22529" s="114" t="str">
        <f>IF(INDEX(I.Facility.P4IDNumber,2517)="","",INDEX(I.Facility.P4IDNumber,2517))</f>
        <v/>
      </c>
      <c r="G22529" s="51"/>
      <c r="H22529" s="46" t="str">
        <f>IF(AND(I.Developer.P4=TRUE,I.Facility.P4FacilityCount&gt;=2517,F22529=""),"Incomplete","Complete")</f>
        <v>Complete</v>
      </c>
      <c r="I22529" s="48" t="s">
        <v>26894</v>
      </c>
    </row>
    <row r="22530" spans="2:9" ht="15" customHeight="1" x14ac:dyDescent="0.25">
      <c r="B22530" s="55" t="s">
        <v>283</v>
      </c>
      <c r="C22530" s="46">
        <v>2518</v>
      </c>
      <c r="D22530" s="69" t="s">
        <v>29420</v>
      </c>
      <c r="E22530" s="51"/>
      <c r="F22530" s="114" t="str">
        <f>IF(INDEX(I.Facility.P4IDNumber,2518)="","",INDEX(I.Facility.P4IDNumber,2518))</f>
        <v/>
      </c>
      <c r="G22530" s="51"/>
      <c r="H22530" s="46" t="str">
        <f>IF(AND(I.Developer.P4=TRUE,I.Facility.P4FacilityCount&gt;=2518,F22530=""),"Incomplete","Complete")</f>
        <v>Complete</v>
      </c>
      <c r="I22530" s="48" t="s">
        <v>26895</v>
      </c>
    </row>
    <row r="22531" spans="2:9" ht="15" customHeight="1" x14ac:dyDescent="0.25">
      <c r="B22531" s="55" t="s">
        <v>283</v>
      </c>
      <c r="C22531" s="46">
        <v>2519</v>
      </c>
      <c r="D22531" s="69" t="s">
        <v>29420</v>
      </c>
      <c r="E22531" s="51"/>
      <c r="F22531" s="114" t="str">
        <f>IF(INDEX(I.Facility.P4IDNumber,2519)="","",INDEX(I.Facility.P4IDNumber,2519))</f>
        <v/>
      </c>
      <c r="G22531" s="51"/>
      <c r="H22531" s="46" t="str">
        <f>IF(AND(I.Developer.P4=TRUE,I.Facility.P4FacilityCount&gt;=2519,F22531=""),"Incomplete","Complete")</f>
        <v>Complete</v>
      </c>
      <c r="I22531" s="48" t="s">
        <v>26896</v>
      </c>
    </row>
    <row r="22532" spans="2:9" ht="15" customHeight="1" x14ac:dyDescent="0.25">
      <c r="B22532" s="55" t="s">
        <v>283</v>
      </c>
      <c r="C22532" s="46">
        <v>2520</v>
      </c>
      <c r="D22532" s="69" t="s">
        <v>29420</v>
      </c>
      <c r="E22532" s="51"/>
      <c r="F22532" s="114" t="str">
        <f>IF(INDEX(I.Facility.P4IDNumber,2520)="","",INDEX(I.Facility.P4IDNumber,2520))</f>
        <v/>
      </c>
      <c r="G22532" s="51"/>
      <c r="H22532" s="46" t="str">
        <f>IF(AND(I.Developer.P4=TRUE,I.Facility.P4FacilityCount&gt;=2520,F22532=""),"Incomplete","Complete")</f>
        <v>Complete</v>
      </c>
      <c r="I22532" s="48" t="s">
        <v>26897</v>
      </c>
    </row>
    <row r="22533" spans="2:9" ht="15" customHeight="1" x14ac:dyDescent="0.25">
      <c r="B22533" s="55" t="s">
        <v>283</v>
      </c>
      <c r="C22533" s="46">
        <v>2521</v>
      </c>
      <c r="D22533" s="69" t="s">
        <v>29420</v>
      </c>
      <c r="E22533" s="51"/>
      <c r="F22533" s="114" t="str">
        <f>IF(INDEX(I.Facility.P4IDNumber,2521)="","",INDEX(I.Facility.P4IDNumber,2521))</f>
        <v/>
      </c>
      <c r="G22533" s="51"/>
      <c r="H22533" s="46" t="str">
        <f>IF(AND(I.Developer.P4=TRUE,I.Facility.P4FacilityCount&gt;=2521,F22533=""),"Incomplete","Complete")</f>
        <v>Complete</v>
      </c>
      <c r="I22533" s="48" t="s">
        <v>26898</v>
      </c>
    </row>
    <row r="22534" spans="2:9" ht="15" customHeight="1" x14ac:dyDescent="0.25">
      <c r="B22534" s="55" t="s">
        <v>283</v>
      </c>
      <c r="C22534" s="46">
        <v>2522</v>
      </c>
      <c r="D22534" s="69" t="s">
        <v>29420</v>
      </c>
      <c r="E22534" s="51"/>
      <c r="F22534" s="114" t="str">
        <f>IF(INDEX(I.Facility.P4IDNumber,2522)="","",INDEX(I.Facility.P4IDNumber,2522))</f>
        <v/>
      </c>
      <c r="G22534" s="51"/>
      <c r="H22534" s="46" t="str">
        <f>IF(AND(I.Developer.P4=TRUE,I.Facility.P4FacilityCount&gt;=2522,F22534=""),"Incomplete","Complete")</f>
        <v>Complete</v>
      </c>
      <c r="I22534" s="48" t="s">
        <v>26899</v>
      </c>
    </row>
    <row r="22535" spans="2:9" ht="15" customHeight="1" x14ac:dyDescent="0.25">
      <c r="B22535" s="55" t="s">
        <v>283</v>
      </c>
      <c r="C22535" s="46">
        <v>2523</v>
      </c>
      <c r="D22535" s="69" t="s">
        <v>29420</v>
      </c>
      <c r="E22535" s="51"/>
      <c r="F22535" s="114" t="str">
        <f>IF(INDEX(I.Facility.P4IDNumber,2523)="","",INDEX(I.Facility.P4IDNumber,2523))</f>
        <v/>
      </c>
      <c r="G22535" s="51"/>
      <c r="H22535" s="46" t="str">
        <f>IF(AND(I.Developer.P4=TRUE,I.Facility.P4FacilityCount&gt;=2523,F22535=""),"Incomplete","Complete")</f>
        <v>Complete</v>
      </c>
      <c r="I22535" s="48" t="s">
        <v>26900</v>
      </c>
    </row>
    <row r="22536" spans="2:9" ht="15" customHeight="1" x14ac:dyDescent="0.25">
      <c r="B22536" s="55" t="s">
        <v>283</v>
      </c>
      <c r="C22536" s="46">
        <v>2524</v>
      </c>
      <c r="D22536" s="69" t="s">
        <v>29420</v>
      </c>
      <c r="E22536" s="51"/>
      <c r="F22536" s="114" t="str">
        <f>IF(INDEX(I.Facility.P4IDNumber,2524)="","",INDEX(I.Facility.P4IDNumber,2524))</f>
        <v/>
      </c>
      <c r="G22536" s="51"/>
      <c r="H22536" s="46" t="str">
        <f>IF(AND(I.Developer.P4=TRUE,I.Facility.P4FacilityCount&gt;=2524,F22536=""),"Incomplete","Complete")</f>
        <v>Complete</v>
      </c>
      <c r="I22536" s="48" t="s">
        <v>26901</v>
      </c>
    </row>
    <row r="22537" spans="2:9" ht="15" customHeight="1" x14ac:dyDescent="0.25">
      <c r="B22537" s="55" t="s">
        <v>283</v>
      </c>
      <c r="C22537" s="46">
        <v>2525</v>
      </c>
      <c r="D22537" s="69" t="s">
        <v>29420</v>
      </c>
      <c r="E22537" s="51"/>
      <c r="F22537" s="114" t="str">
        <f>IF(INDEX(I.Facility.P4IDNumber,2525)="","",INDEX(I.Facility.P4IDNumber,2525))</f>
        <v/>
      </c>
      <c r="G22537" s="51"/>
      <c r="H22537" s="46" t="str">
        <f>IF(AND(I.Developer.P4=TRUE,I.Facility.P4FacilityCount&gt;=2525,F22537=""),"Incomplete","Complete")</f>
        <v>Complete</v>
      </c>
      <c r="I22537" s="48" t="s">
        <v>26902</v>
      </c>
    </row>
    <row r="22538" spans="2:9" ht="15" customHeight="1" x14ac:dyDescent="0.25">
      <c r="B22538" s="55" t="s">
        <v>283</v>
      </c>
      <c r="C22538" s="46">
        <v>2526</v>
      </c>
      <c r="D22538" s="69" t="s">
        <v>29420</v>
      </c>
      <c r="E22538" s="51"/>
      <c r="F22538" s="114" t="str">
        <f>IF(INDEX(I.Facility.P4IDNumber,2526)="","",INDEX(I.Facility.P4IDNumber,2526))</f>
        <v/>
      </c>
      <c r="G22538" s="51"/>
      <c r="H22538" s="46" t="str">
        <f>IF(AND(I.Developer.P4=TRUE,I.Facility.P4FacilityCount&gt;=2526,F22538=""),"Incomplete","Complete")</f>
        <v>Complete</v>
      </c>
      <c r="I22538" s="48" t="s">
        <v>26903</v>
      </c>
    </row>
    <row r="22539" spans="2:9" ht="15" customHeight="1" x14ac:dyDescent="0.25">
      <c r="B22539" s="55" t="s">
        <v>283</v>
      </c>
      <c r="C22539" s="46">
        <v>2527</v>
      </c>
      <c r="D22539" s="69" t="s">
        <v>29420</v>
      </c>
      <c r="E22539" s="51"/>
      <c r="F22539" s="114" t="str">
        <f>IF(INDEX(I.Facility.P4IDNumber,2527)="","",INDEX(I.Facility.P4IDNumber,2527))</f>
        <v/>
      </c>
      <c r="G22539" s="51"/>
      <c r="H22539" s="46" t="str">
        <f>IF(AND(I.Developer.P4=TRUE,I.Facility.P4FacilityCount&gt;=2527,F22539=""),"Incomplete","Complete")</f>
        <v>Complete</v>
      </c>
      <c r="I22539" s="48" t="s">
        <v>26904</v>
      </c>
    </row>
    <row r="22540" spans="2:9" ht="15" customHeight="1" x14ac:dyDescent="0.25">
      <c r="B22540" s="55" t="s">
        <v>283</v>
      </c>
      <c r="C22540" s="46">
        <v>2528</v>
      </c>
      <c r="D22540" s="69" t="s">
        <v>29420</v>
      </c>
      <c r="E22540" s="51"/>
      <c r="F22540" s="114" t="str">
        <f>IF(INDEX(I.Facility.P4IDNumber,2528)="","",INDEX(I.Facility.P4IDNumber,2528))</f>
        <v/>
      </c>
      <c r="G22540" s="51"/>
      <c r="H22540" s="46" t="str">
        <f>IF(AND(I.Developer.P4=TRUE,I.Facility.P4FacilityCount&gt;=2528,F22540=""),"Incomplete","Complete")</f>
        <v>Complete</v>
      </c>
      <c r="I22540" s="48" t="s">
        <v>26905</v>
      </c>
    </row>
    <row r="22541" spans="2:9" ht="15" customHeight="1" x14ac:dyDescent="0.25">
      <c r="B22541" s="55" t="s">
        <v>283</v>
      </c>
      <c r="C22541" s="46">
        <v>2529</v>
      </c>
      <c r="D22541" s="69" t="s">
        <v>29420</v>
      </c>
      <c r="E22541" s="51"/>
      <c r="F22541" s="114" t="str">
        <f>IF(INDEX(I.Facility.P4IDNumber,2529)="","",INDEX(I.Facility.P4IDNumber,2529))</f>
        <v/>
      </c>
      <c r="G22541" s="51"/>
      <c r="H22541" s="46" t="str">
        <f>IF(AND(I.Developer.P4=TRUE,I.Facility.P4FacilityCount&gt;=2529,F22541=""),"Incomplete","Complete")</f>
        <v>Complete</v>
      </c>
      <c r="I22541" s="48" t="s">
        <v>26906</v>
      </c>
    </row>
    <row r="22542" spans="2:9" ht="15" customHeight="1" x14ac:dyDescent="0.25">
      <c r="B22542" s="55" t="s">
        <v>283</v>
      </c>
      <c r="C22542" s="46">
        <v>2530</v>
      </c>
      <c r="D22542" s="69" t="s">
        <v>29420</v>
      </c>
      <c r="E22542" s="51"/>
      <c r="F22542" s="114" t="str">
        <f>IF(INDEX(I.Facility.P4IDNumber,2530)="","",INDEX(I.Facility.P4IDNumber,2530))</f>
        <v/>
      </c>
      <c r="G22542" s="51"/>
      <c r="H22542" s="46" t="str">
        <f>IF(AND(I.Developer.P4=TRUE,I.Facility.P4FacilityCount&gt;=2530,F22542=""),"Incomplete","Complete")</f>
        <v>Complete</v>
      </c>
      <c r="I22542" s="48" t="s">
        <v>26907</v>
      </c>
    </row>
    <row r="22543" spans="2:9" ht="15" customHeight="1" x14ac:dyDescent="0.25">
      <c r="B22543" s="55" t="s">
        <v>283</v>
      </c>
      <c r="C22543" s="46">
        <v>2531</v>
      </c>
      <c r="D22543" s="69" t="s">
        <v>29420</v>
      </c>
      <c r="E22543" s="51"/>
      <c r="F22543" s="114" t="str">
        <f>IF(INDEX(I.Facility.P4IDNumber,2531)="","",INDEX(I.Facility.P4IDNumber,2531))</f>
        <v/>
      </c>
      <c r="G22543" s="51"/>
      <c r="H22543" s="46" t="str">
        <f>IF(AND(I.Developer.P4=TRUE,I.Facility.P4FacilityCount&gt;=2531,F22543=""),"Incomplete","Complete")</f>
        <v>Complete</v>
      </c>
      <c r="I22543" s="48" t="s">
        <v>26908</v>
      </c>
    </row>
    <row r="22544" spans="2:9" ht="15" customHeight="1" x14ac:dyDescent="0.25">
      <c r="B22544" s="55" t="s">
        <v>283</v>
      </c>
      <c r="C22544" s="46">
        <v>2532</v>
      </c>
      <c r="D22544" s="69" t="s">
        <v>29420</v>
      </c>
      <c r="E22544" s="51"/>
      <c r="F22544" s="114" t="str">
        <f>IF(INDEX(I.Facility.P4IDNumber,2532)="","",INDEX(I.Facility.P4IDNumber,2532))</f>
        <v/>
      </c>
      <c r="G22544" s="51"/>
      <c r="H22544" s="46" t="str">
        <f>IF(AND(I.Developer.P4=TRUE,I.Facility.P4FacilityCount&gt;=2532,F22544=""),"Incomplete","Complete")</f>
        <v>Complete</v>
      </c>
      <c r="I22544" s="48" t="s">
        <v>26909</v>
      </c>
    </row>
    <row r="22545" spans="2:9" ht="15" customHeight="1" x14ac:dyDescent="0.25">
      <c r="B22545" s="55" t="s">
        <v>283</v>
      </c>
      <c r="C22545" s="46">
        <v>2533</v>
      </c>
      <c r="D22545" s="69" t="s">
        <v>29420</v>
      </c>
      <c r="E22545" s="51"/>
      <c r="F22545" s="114" t="str">
        <f>IF(INDEX(I.Facility.P4IDNumber,2533)="","",INDEX(I.Facility.P4IDNumber,2533))</f>
        <v/>
      </c>
      <c r="G22545" s="51"/>
      <c r="H22545" s="46" t="str">
        <f>IF(AND(I.Developer.P4=TRUE,I.Facility.P4FacilityCount&gt;=2533,F22545=""),"Incomplete","Complete")</f>
        <v>Complete</v>
      </c>
      <c r="I22545" s="48" t="s">
        <v>26910</v>
      </c>
    </row>
    <row r="22546" spans="2:9" ht="15" customHeight="1" x14ac:dyDescent="0.25">
      <c r="B22546" s="55" t="s">
        <v>283</v>
      </c>
      <c r="C22546" s="46">
        <v>2534</v>
      </c>
      <c r="D22546" s="69" t="s">
        <v>29420</v>
      </c>
      <c r="E22546" s="51"/>
      <c r="F22546" s="114" t="str">
        <f>IF(INDEX(I.Facility.P4IDNumber,2534)="","",INDEX(I.Facility.P4IDNumber,2534))</f>
        <v/>
      </c>
      <c r="G22546" s="51"/>
      <c r="H22546" s="46" t="str">
        <f>IF(AND(I.Developer.P4=TRUE,I.Facility.P4FacilityCount&gt;=2534,F22546=""),"Incomplete","Complete")</f>
        <v>Complete</v>
      </c>
      <c r="I22546" s="48" t="s">
        <v>26911</v>
      </c>
    </row>
    <row r="22547" spans="2:9" ht="15" customHeight="1" x14ac:dyDescent="0.25">
      <c r="B22547" s="55" t="s">
        <v>283</v>
      </c>
      <c r="C22547" s="46">
        <v>2535</v>
      </c>
      <c r="D22547" s="69" t="s">
        <v>29420</v>
      </c>
      <c r="E22547" s="51"/>
      <c r="F22547" s="114" t="str">
        <f>IF(INDEX(I.Facility.P4IDNumber,2535)="","",INDEX(I.Facility.P4IDNumber,2535))</f>
        <v/>
      </c>
      <c r="G22547" s="51"/>
      <c r="H22547" s="46" t="str">
        <f>IF(AND(I.Developer.P4=TRUE,I.Facility.P4FacilityCount&gt;=2535,F22547=""),"Incomplete","Complete")</f>
        <v>Complete</v>
      </c>
      <c r="I22547" s="48" t="s">
        <v>26912</v>
      </c>
    </row>
    <row r="22548" spans="2:9" ht="15" customHeight="1" x14ac:dyDescent="0.25">
      <c r="B22548" s="55" t="s">
        <v>283</v>
      </c>
      <c r="C22548" s="46">
        <v>2536</v>
      </c>
      <c r="D22548" s="69" t="s">
        <v>29420</v>
      </c>
      <c r="E22548" s="51"/>
      <c r="F22548" s="114" t="str">
        <f>IF(INDEX(I.Facility.P4IDNumber,2536)="","",INDEX(I.Facility.P4IDNumber,2536))</f>
        <v/>
      </c>
      <c r="G22548" s="51"/>
      <c r="H22548" s="46" t="str">
        <f>IF(AND(I.Developer.P4=TRUE,I.Facility.P4FacilityCount&gt;=2536,F22548=""),"Incomplete","Complete")</f>
        <v>Complete</v>
      </c>
      <c r="I22548" s="48" t="s">
        <v>26913</v>
      </c>
    </row>
    <row r="22549" spans="2:9" ht="15" customHeight="1" x14ac:dyDescent="0.25">
      <c r="B22549" s="55" t="s">
        <v>283</v>
      </c>
      <c r="C22549" s="46">
        <v>2537</v>
      </c>
      <c r="D22549" s="69" t="s">
        <v>29420</v>
      </c>
      <c r="E22549" s="51"/>
      <c r="F22549" s="114" t="str">
        <f>IF(INDEX(I.Facility.P4IDNumber,2537)="","",INDEX(I.Facility.P4IDNumber,2537))</f>
        <v/>
      </c>
      <c r="G22549" s="51"/>
      <c r="H22549" s="46" t="str">
        <f>IF(AND(I.Developer.P4=TRUE,I.Facility.P4FacilityCount&gt;=2537,F22549=""),"Incomplete","Complete")</f>
        <v>Complete</v>
      </c>
      <c r="I22549" s="48" t="s">
        <v>26914</v>
      </c>
    </row>
    <row r="22550" spans="2:9" ht="15" customHeight="1" x14ac:dyDescent="0.25">
      <c r="B22550" s="55" t="s">
        <v>283</v>
      </c>
      <c r="C22550" s="46">
        <v>2538</v>
      </c>
      <c r="D22550" s="69" t="s">
        <v>29420</v>
      </c>
      <c r="E22550" s="51"/>
      <c r="F22550" s="114" t="str">
        <f>IF(INDEX(I.Facility.P4IDNumber,2538)="","",INDEX(I.Facility.P4IDNumber,2538))</f>
        <v/>
      </c>
      <c r="G22550" s="51"/>
      <c r="H22550" s="46" t="str">
        <f>IF(AND(I.Developer.P4=TRUE,I.Facility.P4FacilityCount&gt;=2538,F22550=""),"Incomplete","Complete")</f>
        <v>Complete</v>
      </c>
      <c r="I22550" s="48" t="s">
        <v>26915</v>
      </c>
    </row>
    <row r="22551" spans="2:9" ht="15" customHeight="1" x14ac:dyDescent="0.25">
      <c r="B22551" s="55" t="s">
        <v>283</v>
      </c>
      <c r="C22551" s="46">
        <v>2539</v>
      </c>
      <c r="D22551" s="69" t="s">
        <v>29420</v>
      </c>
      <c r="E22551" s="51"/>
      <c r="F22551" s="114" t="str">
        <f>IF(INDEX(I.Facility.P4IDNumber,2539)="","",INDEX(I.Facility.P4IDNumber,2539))</f>
        <v/>
      </c>
      <c r="G22551" s="51"/>
      <c r="H22551" s="46" t="str">
        <f>IF(AND(I.Developer.P4=TRUE,I.Facility.P4FacilityCount&gt;=2539,F22551=""),"Incomplete","Complete")</f>
        <v>Complete</v>
      </c>
      <c r="I22551" s="48" t="s">
        <v>26916</v>
      </c>
    </row>
    <row r="22552" spans="2:9" ht="15" customHeight="1" x14ac:dyDescent="0.25">
      <c r="B22552" s="55" t="s">
        <v>283</v>
      </c>
      <c r="C22552" s="46">
        <v>2540</v>
      </c>
      <c r="D22552" s="69" t="s">
        <v>29420</v>
      </c>
      <c r="E22552" s="51"/>
      <c r="F22552" s="114" t="str">
        <f>IF(INDEX(I.Facility.P4IDNumber,2540)="","",INDEX(I.Facility.P4IDNumber,2540))</f>
        <v/>
      </c>
      <c r="G22552" s="51"/>
      <c r="H22552" s="46" t="str">
        <f>IF(AND(I.Developer.P4=TRUE,I.Facility.P4FacilityCount&gt;=2540,F22552=""),"Incomplete","Complete")</f>
        <v>Complete</v>
      </c>
      <c r="I22552" s="48" t="s">
        <v>26917</v>
      </c>
    </row>
    <row r="22553" spans="2:9" ht="15" customHeight="1" x14ac:dyDescent="0.25">
      <c r="B22553" s="55" t="s">
        <v>283</v>
      </c>
      <c r="C22553" s="46">
        <v>2541</v>
      </c>
      <c r="D22553" s="69" t="s">
        <v>29420</v>
      </c>
      <c r="E22553" s="51"/>
      <c r="F22553" s="114" t="str">
        <f>IF(INDEX(I.Facility.P4IDNumber,2541)="","",INDEX(I.Facility.P4IDNumber,2541))</f>
        <v/>
      </c>
      <c r="G22553" s="51"/>
      <c r="H22553" s="46" t="str">
        <f>IF(AND(I.Developer.P4=TRUE,I.Facility.P4FacilityCount&gt;=2541,F22553=""),"Incomplete","Complete")</f>
        <v>Complete</v>
      </c>
      <c r="I22553" s="48" t="s">
        <v>26918</v>
      </c>
    </row>
    <row r="22554" spans="2:9" ht="15" customHeight="1" x14ac:dyDescent="0.25">
      <c r="B22554" s="55" t="s">
        <v>283</v>
      </c>
      <c r="C22554" s="46">
        <v>2542</v>
      </c>
      <c r="D22554" s="69" t="s">
        <v>29420</v>
      </c>
      <c r="E22554" s="51"/>
      <c r="F22554" s="114" t="str">
        <f>IF(INDEX(I.Facility.P4IDNumber,2542)="","",INDEX(I.Facility.P4IDNumber,2542))</f>
        <v/>
      </c>
      <c r="G22554" s="51"/>
      <c r="H22554" s="46" t="str">
        <f>IF(AND(I.Developer.P4=TRUE,I.Facility.P4FacilityCount&gt;=2542,F22554=""),"Incomplete","Complete")</f>
        <v>Complete</v>
      </c>
      <c r="I22554" s="48" t="s">
        <v>26919</v>
      </c>
    </row>
    <row r="22555" spans="2:9" ht="15" customHeight="1" x14ac:dyDescent="0.25">
      <c r="B22555" s="55" t="s">
        <v>283</v>
      </c>
      <c r="C22555" s="46">
        <v>2543</v>
      </c>
      <c r="D22555" s="69" t="s">
        <v>29420</v>
      </c>
      <c r="E22555" s="51"/>
      <c r="F22555" s="114" t="str">
        <f>IF(INDEX(I.Facility.P4IDNumber,2543)="","",INDEX(I.Facility.P4IDNumber,2543))</f>
        <v/>
      </c>
      <c r="G22555" s="51"/>
      <c r="H22555" s="46" t="str">
        <f>IF(AND(I.Developer.P4=TRUE,I.Facility.P4FacilityCount&gt;=2543,F22555=""),"Incomplete","Complete")</f>
        <v>Complete</v>
      </c>
      <c r="I22555" s="48" t="s">
        <v>26920</v>
      </c>
    </row>
    <row r="22556" spans="2:9" ht="15" customHeight="1" x14ac:dyDescent="0.25">
      <c r="B22556" s="55" t="s">
        <v>283</v>
      </c>
      <c r="C22556" s="46">
        <v>2544</v>
      </c>
      <c r="D22556" s="69" t="s">
        <v>29420</v>
      </c>
      <c r="E22556" s="51"/>
      <c r="F22556" s="114" t="str">
        <f>IF(INDEX(I.Facility.P4IDNumber,2544)="","",INDEX(I.Facility.P4IDNumber,2544))</f>
        <v/>
      </c>
      <c r="G22556" s="51"/>
      <c r="H22556" s="46" t="str">
        <f>IF(AND(I.Developer.P4=TRUE,I.Facility.P4FacilityCount&gt;=2544,F22556=""),"Incomplete","Complete")</f>
        <v>Complete</v>
      </c>
      <c r="I22556" s="48" t="s">
        <v>26921</v>
      </c>
    </row>
    <row r="22557" spans="2:9" ht="15" customHeight="1" x14ac:dyDescent="0.25">
      <c r="B22557" s="55" t="s">
        <v>283</v>
      </c>
      <c r="C22557" s="46">
        <v>2545</v>
      </c>
      <c r="D22557" s="69" t="s">
        <v>29420</v>
      </c>
      <c r="E22557" s="51"/>
      <c r="F22557" s="114" t="str">
        <f>IF(INDEX(I.Facility.P4IDNumber,2545)="","",INDEX(I.Facility.P4IDNumber,2545))</f>
        <v/>
      </c>
      <c r="G22557" s="51"/>
      <c r="H22557" s="46" t="str">
        <f>IF(AND(I.Developer.P4=TRUE,I.Facility.P4FacilityCount&gt;=2545,F22557=""),"Incomplete","Complete")</f>
        <v>Complete</v>
      </c>
      <c r="I22557" s="48" t="s">
        <v>26922</v>
      </c>
    </row>
    <row r="22558" spans="2:9" ht="15" customHeight="1" x14ac:dyDescent="0.25">
      <c r="B22558" s="55" t="s">
        <v>283</v>
      </c>
      <c r="C22558" s="46">
        <v>2546</v>
      </c>
      <c r="D22558" s="69" t="s">
        <v>29420</v>
      </c>
      <c r="E22558" s="51"/>
      <c r="F22558" s="114" t="str">
        <f>IF(INDEX(I.Facility.P4IDNumber,2546)="","",INDEX(I.Facility.P4IDNumber,2546))</f>
        <v/>
      </c>
      <c r="G22558" s="51"/>
      <c r="H22558" s="46" t="str">
        <f>IF(AND(I.Developer.P4=TRUE,I.Facility.P4FacilityCount&gt;=2546,F22558=""),"Incomplete","Complete")</f>
        <v>Complete</v>
      </c>
      <c r="I22558" s="48" t="s">
        <v>26923</v>
      </c>
    </row>
    <row r="22559" spans="2:9" ht="15" customHeight="1" x14ac:dyDescent="0.25">
      <c r="B22559" s="55" t="s">
        <v>283</v>
      </c>
      <c r="C22559" s="46">
        <v>2547</v>
      </c>
      <c r="D22559" s="69" t="s">
        <v>29420</v>
      </c>
      <c r="E22559" s="51"/>
      <c r="F22559" s="114" t="str">
        <f>IF(INDEX(I.Facility.P4IDNumber,2547)="","",INDEX(I.Facility.P4IDNumber,2547))</f>
        <v/>
      </c>
      <c r="G22559" s="51"/>
      <c r="H22559" s="46" t="str">
        <f>IF(AND(I.Developer.P4=TRUE,I.Facility.P4FacilityCount&gt;=2547,F22559=""),"Incomplete","Complete")</f>
        <v>Complete</v>
      </c>
      <c r="I22559" s="48" t="s">
        <v>26924</v>
      </c>
    </row>
    <row r="22560" spans="2:9" ht="15" customHeight="1" x14ac:dyDescent="0.25">
      <c r="B22560" s="55" t="s">
        <v>283</v>
      </c>
      <c r="C22560" s="46">
        <v>2548</v>
      </c>
      <c r="D22560" s="69" t="s">
        <v>29420</v>
      </c>
      <c r="E22560" s="51"/>
      <c r="F22560" s="114" t="str">
        <f>IF(INDEX(I.Facility.P4IDNumber,2548)="","",INDEX(I.Facility.P4IDNumber,2548))</f>
        <v/>
      </c>
      <c r="G22560" s="51"/>
      <c r="H22560" s="46" t="str">
        <f>IF(AND(I.Developer.P4=TRUE,I.Facility.P4FacilityCount&gt;=2548,F22560=""),"Incomplete","Complete")</f>
        <v>Complete</v>
      </c>
      <c r="I22560" s="48" t="s">
        <v>26925</v>
      </c>
    </row>
    <row r="22561" spans="2:9" ht="15" customHeight="1" x14ac:dyDescent="0.25">
      <c r="B22561" s="55" t="s">
        <v>283</v>
      </c>
      <c r="C22561" s="46">
        <v>2549</v>
      </c>
      <c r="D22561" s="69" t="s">
        <v>29420</v>
      </c>
      <c r="E22561" s="51"/>
      <c r="F22561" s="114" t="str">
        <f>IF(INDEX(I.Facility.P4IDNumber,2549)="","",INDEX(I.Facility.P4IDNumber,2549))</f>
        <v/>
      </c>
      <c r="G22561" s="51"/>
      <c r="H22561" s="46" t="str">
        <f>IF(AND(I.Developer.P4=TRUE,I.Facility.P4FacilityCount&gt;=2549,F22561=""),"Incomplete","Complete")</f>
        <v>Complete</v>
      </c>
      <c r="I22561" s="48" t="s">
        <v>26926</v>
      </c>
    </row>
    <row r="22562" spans="2:9" ht="15" customHeight="1" x14ac:dyDescent="0.25">
      <c r="B22562" s="55" t="s">
        <v>283</v>
      </c>
      <c r="C22562" s="46">
        <v>2550</v>
      </c>
      <c r="D22562" s="69" t="s">
        <v>29420</v>
      </c>
      <c r="E22562" s="51"/>
      <c r="F22562" s="114" t="str">
        <f>IF(INDEX(I.Facility.P4IDNumber,2550)="","",INDEX(I.Facility.P4IDNumber,2550))</f>
        <v/>
      </c>
      <c r="G22562" s="51"/>
      <c r="H22562" s="46" t="str">
        <f>IF(AND(I.Developer.P4=TRUE,I.Facility.P4FacilityCount&gt;=2550,F22562=""),"Incomplete","Complete")</f>
        <v>Complete</v>
      </c>
      <c r="I22562" s="48" t="s">
        <v>26927</v>
      </c>
    </row>
    <row r="22563" spans="2:9" ht="15" customHeight="1" x14ac:dyDescent="0.25">
      <c r="B22563" s="55" t="s">
        <v>283</v>
      </c>
      <c r="C22563" s="46">
        <v>2551</v>
      </c>
      <c r="D22563" s="69" t="s">
        <v>29420</v>
      </c>
      <c r="E22563" s="51"/>
      <c r="F22563" s="114" t="str">
        <f>IF(INDEX(I.Facility.P4IDNumber,2551)="","",INDEX(I.Facility.P4IDNumber,2551))</f>
        <v/>
      </c>
      <c r="G22563" s="51"/>
      <c r="H22563" s="46" t="str">
        <f>IF(AND(I.Developer.P4=TRUE,I.Facility.P4FacilityCount&gt;=2551,F22563=""),"Incomplete","Complete")</f>
        <v>Complete</v>
      </c>
      <c r="I22563" s="48" t="s">
        <v>26928</v>
      </c>
    </row>
    <row r="22564" spans="2:9" ht="15" customHeight="1" x14ac:dyDescent="0.25">
      <c r="B22564" s="55" t="s">
        <v>283</v>
      </c>
      <c r="C22564" s="46">
        <v>2552</v>
      </c>
      <c r="D22564" s="69" t="s">
        <v>29420</v>
      </c>
      <c r="E22564" s="51"/>
      <c r="F22564" s="114" t="str">
        <f>IF(INDEX(I.Facility.P4IDNumber,2552)="","",INDEX(I.Facility.P4IDNumber,2552))</f>
        <v/>
      </c>
      <c r="G22564" s="51"/>
      <c r="H22564" s="46" t="str">
        <f>IF(AND(I.Developer.P4=TRUE,I.Facility.P4FacilityCount&gt;=2552,F22564=""),"Incomplete","Complete")</f>
        <v>Complete</v>
      </c>
      <c r="I22564" s="48" t="s">
        <v>26929</v>
      </c>
    </row>
    <row r="22565" spans="2:9" ht="15" customHeight="1" x14ac:dyDescent="0.25">
      <c r="B22565" s="55" t="s">
        <v>283</v>
      </c>
      <c r="C22565" s="46">
        <v>2553</v>
      </c>
      <c r="D22565" s="69" t="s">
        <v>29420</v>
      </c>
      <c r="E22565" s="51"/>
      <c r="F22565" s="114" t="str">
        <f>IF(INDEX(I.Facility.P4IDNumber,2553)="","",INDEX(I.Facility.P4IDNumber,2553))</f>
        <v/>
      </c>
      <c r="G22565" s="51"/>
      <c r="H22565" s="46" t="str">
        <f>IF(AND(I.Developer.P4=TRUE,I.Facility.P4FacilityCount&gt;=2553,F22565=""),"Incomplete","Complete")</f>
        <v>Complete</v>
      </c>
      <c r="I22565" s="48" t="s">
        <v>26930</v>
      </c>
    </row>
    <row r="22566" spans="2:9" ht="15" customHeight="1" x14ac:dyDescent="0.25">
      <c r="B22566" s="55" t="s">
        <v>283</v>
      </c>
      <c r="C22566" s="46">
        <v>2554</v>
      </c>
      <c r="D22566" s="69" t="s">
        <v>29420</v>
      </c>
      <c r="E22566" s="51"/>
      <c r="F22566" s="114" t="str">
        <f>IF(INDEX(I.Facility.P4IDNumber,2554)="","",INDEX(I.Facility.P4IDNumber,2554))</f>
        <v/>
      </c>
      <c r="G22566" s="51"/>
      <c r="H22566" s="46" t="str">
        <f>IF(AND(I.Developer.P4=TRUE,I.Facility.P4FacilityCount&gt;=2554,F22566=""),"Incomplete","Complete")</f>
        <v>Complete</v>
      </c>
      <c r="I22566" s="48" t="s">
        <v>26931</v>
      </c>
    </row>
    <row r="22567" spans="2:9" ht="15" customHeight="1" x14ac:dyDescent="0.25">
      <c r="B22567" s="55" t="s">
        <v>283</v>
      </c>
      <c r="C22567" s="46">
        <v>2555</v>
      </c>
      <c r="D22567" s="69" t="s">
        <v>29420</v>
      </c>
      <c r="E22567" s="51"/>
      <c r="F22567" s="114" t="str">
        <f>IF(INDEX(I.Facility.P4IDNumber,2555)="","",INDEX(I.Facility.P4IDNumber,2555))</f>
        <v/>
      </c>
      <c r="G22567" s="51"/>
      <c r="H22567" s="46" t="str">
        <f>IF(AND(I.Developer.P4=TRUE,I.Facility.P4FacilityCount&gt;=2555,F22567=""),"Incomplete","Complete")</f>
        <v>Complete</v>
      </c>
      <c r="I22567" s="48" t="s">
        <v>26932</v>
      </c>
    </row>
    <row r="22568" spans="2:9" ht="15" customHeight="1" x14ac:dyDescent="0.25">
      <c r="B22568" s="55" t="s">
        <v>283</v>
      </c>
      <c r="C22568" s="46">
        <v>2556</v>
      </c>
      <c r="D22568" s="69" t="s">
        <v>29420</v>
      </c>
      <c r="E22568" s="51"/>
      <c r="F22568" s="114" t="str">
        <f>IF(INDEX(I.Facility.P4IDNumber,2556)="","",INDEX(I.Facility.P4IDNumber,2556))</f>
        <v/>
      </c>
      <c r="G22568" s="51"/>
      <c r="H22568" s="46" t="str">
        <f>IF(AND(I.Developer.P4=TRUE,I.Facility.P4FacilityCount&gt;=2556,F22568=""),"Incomplete","Complete")</f>
        <v>Complete</v>
      </c>
      <c r="I22568" s="48" t="s">
        <v>26933</v>
      </c>
    </row>
    <row r="22569" spans="2:9" ht="15" customHeight="1" x14ac:dyDescent="0.25">
      <c r="B22569" s="55" t="s">
        <v>283</v>
      </c>
      <c r="C22569" s="46">
        <v>2557</v>
      </c>
      <c r="D22569" s="69" t="s">
        <v>29420</v>
      </c>
      <c r="E22569" s="51"/>
      <c r="F22569" s="114" t="str">
        <f>IF(INDEX(I.Facility.P4IDNumber,2557)="","",INDEX(I.Facility.P4IDNumber,2557))</f>
        <v/>
      </c>
      <c r="G22569" s="51"/>
      <c r="H22569" s="46" t="str">
        <f>IF(AND(I.Developer.P4=TRUE,I.Facility.P4FacilityCount&gt;=2557,F22569=""),"Incomplete","Complete")</f>
        <v>Complete</v>
      </c>
      <c r="I22569" s="48" t="s">
        <v>26934</v>
      </c>
    </row>
    <row r="22570" spans="2:9" ht="15" customHeight="1" x14ac:dyDescent="0.25">
      <c r="B22570" s="55" t="s">
        <v>283</v>
      </c>
      <c r="C22570" s="46">
        <v>2558</v>
      </c>
      <c r="D22570" s="69" t="s">
        <v>29420</v>
      </c>
      <c r="E22570" s="51"/>
      <c r="F22570" s="114" t="str">
        <f>IF(INDEX(I.Facility.P4IDNumber,2558)="","",INDEX(I.Facility.P4IDNumber,2558))</f>
        <v/>
      </c>
      <c r="G22570" s="51"/>
      <c r="H22570" s="46" t="str">
        <f>IF(AND(I.Developer.P4=TRUE,I.Facility.P4FacilityCount&gt;=2558,F22570=""),"Incomplete","Complete")</f>
        <v>Complete</v>
      </c>
      <c r="I22570" s="48" t="s">
        <v>26935</v>
      </c>
    </row>
    <row r="22571" spans="2:9" ht="15" customHeight="1" x14ac:dyDescent="0.25">
      <c r="B22571" s="55" t="s">
        <v>283</v>
      </c>
      <c r="C22571" s="46">
        <v>2559</v>
      </c>
      <c r="D22571" s="69" t="s">
        <v>29420</v>
      </c>
      <c r="E22571" s="51"/>
      <c r="F22571" s="114" t="str">
        <f>IF(INDEX(I.Facility.P4IDNumber,2559)="","",INDEX(I.Facility.P4IDNumber,2559))</f>
        <v/>
      </c>
      <c r="G22571" s="51"/>
      <c r="H22571" s="46" t="str">
        <f>IF(AND(I.Developer.P4=TRUE,I.Facility.P4FacilityCount&gt;=2559,F22571=""),"Incomplete","Complete")</f>
        <v>Complete</v>
      </c>
      <c r="I22571" s="48" t="s">
        <v>26936</v>
      </c>
    </row>
    <row r="22572" spans="2:9" ht="15" customHeight="1" x14ac:dyDescent="0.25">
      <c r="B22572" s="55" t="s">
        <v>283</v>
      </c>
      <c r="C22572" s="46">
        <v>2560</v>
      </c>
      <c r="D22572" s="69" t="s">
        <v>29420</v>
      </c>
      <c r="E22572" s="51"/>
      <c r="F22572" s="114" t="str">
        <f>IF(INDEX(I.Facility.P4IDNumber,2560)="","",INDEX(I.Facility.P4IDNumber,2560))</f>
        <v/>
      </c>
      <c r="G22572" s="51"/>
      <c r="H22572" s="46" t="str">
        <f>IF(AND(I.Developer.P4=TRUE,I.Facility.P4FacilityCount&gt;=2560,F22572=""),"Incomplete","Complete")</f>
        <v>Complete</v>
      </c>
      <c r="I22572" s="48" t="s">
        <v>26937</v>
      </c>
    </row>
    <row r="22573" spans="2:9" ht="15" customHeight="1" x14ac:dyDescent="0.25">
      <c r="B22573" s="55" t="s">
        <v>283</v>
      </c>
      <c r="C22573" s="46">
        <v>2561</v>
      </c>
      <c r="D22573" s="69" t="s">
        <v>29420</v>
      </c>
      <c r="E22573" s="51"/>
      <c r="F22573" s="114" t="str">
        <f>IF(INDEX(I.Facility.P4IDNumber,2561)="","",INDEX(I.Facility.P4IDNumber,2561))</f>
        <v/>
      </c>
      <c r="G22573" s="51"/>
      <c r="H22573" s="46" t="str">
        <f>IF(AND(I.Developer.P4=TRUE,I.Facility.P4FacilityCount&gt;=2561,F22573=""),"Incomplete","Complete")</f>
        <v>Complete</v>
      </c>
      <c r="I22573" s="48" t="s">
        <v>26938</v>
      </c>
    </row>
    <row r="22574" spans="2:9" ht="15" customHeight="1" x14ac:dyDescent="0.25">
      <c r="B22574" s="55" t="s">
        <v>283</v>
      </c>
      <c r="C22574" s="46">
        <v>2562</v>
      </c>
      <c r="D22574" s="69" t="s">
        <v>29420</v>
      </c>
      <c r="E22574" s="51"/>
      <c r="F22574" s="114" t="str">
        <f>IF(INDEX(I.Facility.P4IDNumber,2562)="","",INDEX(I.Facility.P4IDNumber,2562))</f>
        <v/>
      </c>
      <c r="G22574" s="51"/>
      <c r="H22574" s="46" t="str">
        <f>IF(AND(I.Developer.P4=TRUE,I.Facility.P4FacilityCount&gt;=2562,F22574=""),"Incomplete","Complete")</f>
        <v>Complete</v>
      </c>
      <c r="I22574" s="48" t="s">
        <v>26939</v>
      </c>
    </row>
    <row r="22575" spans="2:9" ht="15" customHeight="1" x14ac:dyDescent="0.25">
      <c r="B22575" s="55" t="s">
        <v>283</v>
      </c>
      <c r="C22575" s="46">
        <v>2563</v>
      </c>
      <c r="D22575" s="69" t="s">
        <v>29420</v>
      </c>
      <c r="E22575" s="51"/>
      <c r="F22575" s="114" t="str">
        <f>IF(INDEX(I.Facility.P4IDNumber,2563)="","",INDEX(I.Facility.P4IDNumber,2563))</f>
        <v/>
      </c>
      <c r="G22575" s="51"/>
      <c r="H22575" s="46" t="str">
        <f>IF(AND(I.Developer.P4=TRUE,I.Facility.P4FacilityCount&gt;=2563,F22575=""),"Incomplete","Complete")</f>
        <v>Complete</v>
      </c>
      <c r="I22575" s="48" t="s">
        <v>26940</v>
      </c>
    </row>
    <row r="22576" spans="2:9" ht="15" customHeight="1" x14ac:dyDescent="0.25">
      <c r="B22576" s="55" t="s">
        <v>283</v>
      </c>
      <c r="C22576" s="46">
        <v>2564</v>
      </c>
      <c r="D22576" s="69" t="s">
        <v>29420</v>
      </c>
      <c r="E22576" s="51"/>
      <c r="F22576" s="114" t="str">
        <f>IF(INDEX(I.Facility.P4IDNumber,2564)="","",INDEX(I.Facility.P4IDNumber,2564))</f>
        <v/>
      </c>
      <c r="G22576" s="51"/>
      <c r="H22576" s="46" t="str">
        <f>IF(AND(I.Developer.P4=TRUE,I.Facility.P4FacilityCount&gt;=2564,F22576=""),"Incomplete","Complete")</f>
        <v>Complete</v>
      </c>
      <c r="I22576" s="48" t="s">
        <v>26941</v>
      </c>
    </row>
    <row r="22577" spans="2:9" ht="15" customHeight="1" x14ac:dyDescent="0.25">
      <c r="B22577" s="55" t="s">
        <v>283</v>
      </c>
      <c r="C22577" s="46">
        <v>2565</v>
      </c>
      <c r="D22577" s="69" t="s">
        <v>29420</v>
      </c>
      <c r="E22577" s="51"/>
      <c r="F22577" s="114" t="str">
        <f>IF(INDEX(I.Facility.P4IDNumber,2565)="","",INDEX(I.Facility.P4IDNumber,2565))</f>
        <v/>
      </c>
      <c r="G22577" s="51"/>
      <c r="H22577" s="46" t="str">
        <f>IF(AND(I.Developer.P4=TRUE,I.Facility.P4FacilityCount&gt;=2565,F22577=""),"Incomplete","Complete")</f>
        <v>Complete</v>
      </c>
      <c r="I22577" s="48" t="s">
        <v>26942</v>
      </c>
    </row>
    <row r="22578" spans="2:9" ht="15" customHeight="1" x14ac:dyDescent="0.25">
      <c r="B22578" s="55" t="s">
        <v>283</v>
      </c>
      <c r="C22578" s="46">
        <v>2566</v>
      </c>
      <c r="D22578" s="69" t="s">
        <v>29420</v>
      </c>
      <c r="E22578" s="51"/>
      <c r="F22578" s="114" t="str">
        <f>IF(INDEX(I.Facility.P4IDNumber,2566)="","",INDEX(I.Facility.P4IDNumber,2566))</f>
        <v/>
      </c>
      <c r="G22578" s="51"/>
      <c r="H22578" s="46" t="str">
        <f>IF(AND(I.Developer.P4=TRUE,I.Facility.P4FacilityCount&gt;=2566,F22578=""),"Incomplete","Complete")</f>
        <v>Complete</v>
      </c>
      <c r="I22578" s="48" t="s">
        <v>26943</v>
      </c>
    </row>
    <row r="22579" spans="2:9" ht="15" customHeight="1" x14ac:dyDescent="0.25">
      <c r="B22579" s="55" t="s">
        <v>283</v>
      </c>
      <c r="C22579" s="46">
        <v>2567</v>
      </c>
      <c r="D22579" s="69" t="s">
        <v>29420</v>
      </c>
      <c r="E22579" s="51"/>
      <c r="F22579" s="114" t="str">
        <f>IF(INDEX(I.Facility.P4IDNumber,2567)="","",INDEX(I.Facility.P4IDNumber,2567))</f>
        <v/>
      </c>
      <c r="G22579" s="51"/>
      <c r="H22579" s="46" t="str">
        <f>IF(AND(I.Developer.P4=TRUE,I.Facility.P4FacilityCount&gt;=2567,F22579=""),"Incomplete","Complete")</f>
        <v>Complete</v>
      </c>
      <c r="I22579" s="48" t="s">
        <v>26944</v>
      </c>
    </row>
    <row r="22580" spans="2:9" ht="15" customHeight="1" x14ac:dyDescent="0.25">
      <c r="B22580" s="55" t="s">
        <v>283</v>
      </c>
      <c r="C22580" s="46">
        <v>2568</v>
      </c>
      <c r="D22580" s="69" t="s">
        <v>29420</v>
      </c>
      <c r="E22580" s="51"/>
      <c r="F22580" s="114" t="str">
        <f>IF(INDEX(I.Facility.P4IDNumber,2568)="","",INDEX(I.Facility.P4IDNumber,2568))</f>
        <v/>
      </c>
      <c r="G22580" s="51"/>
      <c r="H22580" s="46" t="str">
        <f>IF(AND(I.Developer.P4=TRUE,I.Facility.P4FacilityCount&gt;=2568,F22580=""),"Incomplete","Complete")</f>
        <v>Complete</v>
      </c>
      <c r="I22580" s="48" t="s">
        <v>26945</v>
      </c>
    </row>
    <row r="22581" spans="2:9" ht="15" customHeight="1" x14ac:dyDescent="0.25">
      <c r="B22581" s="55" t="s">
        <v>283</v>
      </c>
      <c r="C22581" s="46">
        <v>2569</v>
      </c>
      <c r="D22581" s="69" t="s">
        <v>29420</v>
      </c>
      <c r="E22581" s="51"/>
      <c r="F22581" s="114" t="str">
        <f>IF(INDEX(I.Facility.P4IDNumber,2569)="","",INDEX(I.Facility.P4IDNumber,2569))</f>
        <v/>
      </c>
      <c r="G22581" s="51"/>
      <c r="H22581" s="46" t="str">
        <f>IF(AND(I.Developer.P4=TRUE,I.Facility.P4FacilityCount&gt;=2569,F22581=""),"Incomplete","Complete")</f>
        <v>Complete</v>
      </c>
      <c r="I22581" s="48" t="s">
        <v>26946</v>
      </c>
    </row>
    <row r="22582" spans="2:9" ht="15" customHeight="1" x14ac:dyDescent="0.25">
      <c r="B22582" s="55" t="s">
        <v>283</v>
      </c>
      <c r="C22582" s="46">
        <v>2570</v>
      </c>
      <c r="D22582" s="69" t="s">
        <v>29420</v>
      </c>
      <c r="E22582" s="51"/>
      <c r="F22582" s="114" t="str">
        <f>IF(INDEX(I.Facility.P4IDNumber,2570)="","",INDEX(I.Facility.P4IDNumber,2570))</f>
        <v/>
      </c>
      <c r="G22582" s="51"/>
      <c r="H22582" s="46" t="str">
        <f>IF(AND(I.Developer.P4=TRUE,I.Facility.P4FacilityCount&gt;=2570,F22582=""),"Incomplete","Complete")</f>
        <v>Complete</v>
      </c>
      <c r="I22582" s="48" t="s">
        <v>26947</v>
      </c>
    </row>
    <row r="22583" spans="2:9" ht="15" customHeight="1" x14ac:dyDescent="0.25">
      <c r="B22583" s="55" t="s">
        <v>283</v>
      </c>
      <c r="C22583" s="46">
        <v>2571</v>
      </c>
      <c r="D22583" s="69" t="s">
        <v>29420</v>
      </c>
      <c r="E22583" s="51"/>
      <c r="F22583" s="114" t="str">
        <f>IF(INDEX(I.Facility.P4IDNumber,2571)="","",INDEX(I.Facility.P4IDNumber,2571))</f>
        <v/>
      </c>
      <c r="G22583" s="51"/>
      <c r="H22583" s="46" t="str">
        <f>IF(AND(I.Developer.P4=TRUE,I.Facility.P4FacilityCount&gt;=2571,F22583=""),"Incomplete","Complete")</f>
        <v>Complete</v>
      </c>
      <c r="I22583" s="48" t="s">
        <v>26948</v>
      </c>
    </row>
    <row r="22584" spans="2:9" ht="15" customHeight="1" x14ac:dyDescent="0.25">
      <c r="B22584" s="55" t="s">
        <v>283</v>
      </c>
      <c r="C22584" s="46">
        <v>2572</v>
      </c>
      <c r="D22584" s="69" t="s">
        <v>29420</v>
      </c>
      <c r="E22584" s="51"/>
      <c r="F22584" s="114" t="str">
        <f>IF(INDEX(I.Facility.P4IDNumber,2572)="","",INDEX(I.Facility.P4IDNumber,2572))</f>
        <v/>
      </c>
      <c r="G22584" s="51"/>
      <c r="H22584" s="46" t="str">
        <f>IF(AND(I.Developer.P4=TRUE,I.Facility.P4FacilityCount&gt;=2572,F22584=""),"Incomplete","Complete")</f>
        <v>Complete</v>
      </c>
      <c r="I22584" s="48" t="s">
        <v>26949</v>
      </c>
    </row>
    <row r="22585" spans="2:9" ht="15" customHeight="1" x14ac:dyDescent="0.25">
      <c r="B22585" s="55" t="s">
        <v>283</v>
      </c>
      <c r="C22585" s="46">
        <v>2573</v>
      </c>
      <c r="D22585" s="69" t="s">
        <v>29420</v>
      </c>
      <c r="E22585" s="51"/>
      <c r="F22585" s="114" t="str">
        <f>IF(INDEX(I.Facility.P4IDNumber,2573)="","",INDEX(I.Facility.P4IDNumber,2573))</f>
        <v/>
      </c>
      <c r="G22585" s="51"/>
      <c r="H22585" s="46" t="str">
        <f>IF(AND(I.Developer.P4=TRUE,I.Facility.P4FacilityCount&gt;=2573,F22585=""),"Incomplete","Complete")</f>
        <v>Complete</v>
      </c>
      <c r="I22585" s="48" t="s">
        <v>26950</v>
      </c>
    </row>
    <row r="22586" spans="2:9" ht="15" customHeight="1" x14ac:dyDescent="0.25">
      <c r="B22586" s="55" t="s">
        <v>283</v>
      </c>
      <c r="C22586" s="46">
        <v>2574</v>
      </c>
      <c r="D22586" s="69" t="s">
        <v>29420</v>
      </c>
      <c r="E22586" s="51"/>
      <c r="F22586" s="114" t="str">
        <f>IF(INDEX(I.Facility.P4IDNumber,2574)="","",INDEX(I.Facility.P4IDNumber,2574))</f>
        <v/>
      </c>
      <c r="G22586" s="51"/>
      <c r="H22586" s="46" t="str">
        <f>IF(AND(I.Developer.P4=TRUE,I.Facility.P4FacilityCount&gt;=2574,F22586=""),"Incomplete","Complete")</f>
        <v>Complete</v>
      </c>
      <c r="I22586" s="48" t="s">
        <v>26951</v>
      </c>
    </row>
    <row r="22587" spans="2:9" ht="15" customHeight="1" x14ac:dyDescent="0.25">
      <c r="B22587" s="55" t="s">
        <v>283</v>
      </c>
      <c r="C22587" s="46">
        <v>2575</v>
      </c>
      <c r="D22587" s="69" t="s">
        <v>29420</v>
      </c>
      <c r="E22587" s="51"/>
      <c r="F22587" s="114" t="str">
        <f>IF(INDEX(I.Facility.P4IDNumber,2575)="","",INDEX(I.Facility.P4IDNumber,2575))</f>
        <v/>
      </c>
      <c r="G22587" s="51"/>
      <c r="H22587" s="46" t="str">
        <f>IF(AND(I.Developer.P4=TRUE,I.Facility.P4FacilityCount&gt;=2575,F22587=""),"Incomplete","Complete")</f>
        <v>Complete</v>
      </c>
      <c r="I22587" s="48" t="s">
        <v>26952</v>
      </c>
    </row>
    <row r="22588" spans="2:9" ht="15" customHeight="1" x14ac:dyDescent="0.25">
      <c r="B22588" s="55" t="s">
        <v>283</v>
      </c>
      <c r="C22588" s="46">
        <v>2576</v>
      </c>
      <c r="D22588" s="69" t="s">
        <v>29420</v>
      </c>
      <c r="E22588" s="51"/>
      <c r="F22588" s="114" t="str">
        <f>IF(INDEX(I.Facility.P4IDNumber,2576)="","",INDEX(I.Facility.P4IDNumber,2576))</f>
        <v/>
      </c>
      <c r="G22588" s="51"/>
      <c r="H22588" s="46" t="str">
        <f>IF(AND(I.Developer.P4=TRUE,I.Facility.P4FacilityCount&gt;=2576,F22588=""),"Incomplete","Complete")</f>
        <v>Complete</v>
      </c>
      <c r="I22588" s="48" t="s">
        <v>26953</v>
      </c>
    </row>
    <row r="22589" spans="2:9" ht="15" customHeight="1" x14ac:dyDescent="0.25">
      <c r="B22589" s="55" t="s">
        <v>283</v>
      </c>
      <c r="C22589" s="46">
        <v>2577</v>
      </c>
      <c r="D22589" s="69" t="s">
        <v>29420</v>
      </c>
      <c r="E22589" s="51"/>
      <c r="F22589" s="114" t="str">
        <f>IF(INDEX(I.Facility.P4IDNumber,2577)="","",INDEX(I.Facility.P4IDNumber,2577))</f>
        <v/>
      </c>
      <c r="G22589" s="51"/>
      <c r="H22589" s="46" t="str">
        <f>IF(AND(I.Developer.P4=TRUE,I.Facility.P4FacilityCount&gt;=2577,F22589=""),"Incomplete","Complete")</f>
        <v>Complete</v>
      </c>
      <c r="I22589" s="48" t="s">
        <v>26954</v>
      </c>
    </row>
    <row r="22590" spans="2:9" ht="15" customHeight="1" x14ac:dyDescent="0.25">
      <c r="B22590" s="55" t="s">
        <v>283</v>
      </c>
      <c r="C22590" s="46">
        <v>2578</v>
      </c>
      <c r="D22590" s="69" t="s">
        <v>29420</v>
      </c>
      <c r="E22590" s="51"/>
      <c r="F22590" s="114" t="str">
        <f>IF(INDEX(I.Facility.P4IDNumber,2578)="","",INDEX(I.Facility.P4IDNumber,2578))</f>
        <v/>
      </c>
      <c r="G22590" s="51"/>
      <c r="H22590" s="46" t="str">
        <f>IF(AND(I.Developer.P4=TRUE,I.Facility.P4FacilityCount&gt;=2578,F22590=""),"Incomplete","Complete")</f>
        <v>Complete</v>
      </c>
      <c r="I22590" s="48" t="s">
        <v>26955</v>
      </c>
    </row>
    <row r="22591" spans="2:9" ht="15" customHeight="1" x14ac:dyDescent="0.25">
      <c r="B22591" s="55" t="s">
        <v>283</v>
      </c>
      <c r="C22591" s="46">
        <v>2579</v>
      </c>
      <c r="D22591" s="69" t="s">
        <v>29420</v>
      </c>
      <c r="E22591" s="51"/>
      <c r="F22591" s="114" t="str">
        <f>IF(INDEX(I.Facility.P4IDNumber,2579)="","",INDEX(I.Facility.P4IDNumber,2579))</f>
        <v/>
      </c>
      <c r="G22591" s="51"/>
      <c r="H22591" s="46" t="str">
        <f>IF(AND(I.Developer.P4=TRUE,I.Facility.P4FacilityCount&gt;=2579,F22591=""),"Incomplete","Complete")</f>
        <v>Complete</v>
      </c>
      <c r="I22591" s="48" t="s">
        <v>26956</v>
      </c>
    </row>
    <row r="22592" spans="2:9" ht="15" customHeight="1" x14ac:dyDescent="0.25">
      <c r="B22592" s="55" t="s">
        <v>283</v>
      </c>
      <c r="C22592" s="46">
        <v>2580</v>
      </c>
      <c r="D22592" s="69" t="s">
        <v>29420</v>
      </c>
      <c r="E22592" s="51"/>
      <c r="F22592" s="114" t="str">
        <f>IF(INDEX(I.Facility.P4IDNumber,2580)="","",INDEX(I.Facility.P4IDNumber,2580))</f>
        <v/>
      </c>
      <c r="G22592" s="51"/>
      <c r="H22592" s="46" t="str">
        <f>IF(AND(I.Developer.P4=TRUE,I.Facility.P4FacilityCount&gt;=2580,F22592=""),"Incomplete","Complete")</f>
        <v>Complete</v>
      </c>
      <c r="I22592" s="48" t="s">
        <v>26957</v>
      </c>
    </row>
    <row r="22593" spans="2:9" ht="15" customHeight="1" x14ac:dyDescent="0.25">
      <c r="B22593" s="55" t="s">
        <v>283</v>
      </c>
      <c r="C22593" s="46">
        <v>2581</v>
      </c>
      <c r="D22593" s="69" t="s">
        <v>29420</v>
      </c>
      <c r="E22593" s="51"/>
      <c r="F22593" s="114" t="str">
        <f>IF(INDEX(I.Facility.P4IDNumber,2581)="","",INDEX(I.Facility.P4IDNumber,2581))</f>
        <v/>
      </c>
      <c r="G22593" s="51"/>
      <c r="H22593" s="46" t="str">
        <f>IF(AND(I.Developer.P4=TRUE,I.Facility.P4FacilityCount&gt;=2581,F22593=""),"Incomplete","Complete")</f>
        <v>Complete</v>
      </c>
      <c r="I22593" s="48" t="s">
        <v>26958</v>
      </c>
    </row>
    <row r="22594" spans="2:9" ht="15" customHeight="1" x14ac:dyDescent="0.25">
      <c r="B22594" s="55" t="s">
        <v>283</v>
      </c>
      <c r="C22594" s="46">
        <v>2582</v>
      </c>
      <c r="D22594" s="69" t="s">
        <v>29420</v>
      </c>
      <c r="E22594" s="51"/>
      <c r="F22594" s="114" t="str">
        <f>IF(INDEX(I.Facility.P4IDNumber,2582)="","",INDEX(I.Facility.P4IDNumber,2582))</f>
        <v/>
      </c>
      <c r="G22594" s="51"/>
      <c r="H22594" s="46" t="str">
        <f>IF(AND(I.Developer.P4=TRUE,I.Facility.P4FacilityCount&gt;=2582,F22594=""),"Incomplete","Complete")</f>
        <v>Complete</v>
      </c>
      <c r="I22594" s="48" t="s">
        <v>26959</v>
      </c>
    </row>
    <row r="22595" spans="2:9" ht="15" customHeight="1" x14ac:dyDescent="0.25">
      <c r="B22595" s="55" t="s">
        <v>283</v>
      </c>
      <c r="C22595" s="46">
        <v>2583</v>
      </c>
      <c r="D22595" s="69" t="s">
        <v>29420</v>
      </c>
      <c r="E22595" s="51"/>
      <c r="F22595" s="114" t="str">
        <f>IF(INDEX(I.Facility.P4IDNumber,2583)="","",INDEX(I.Facility.P4IDNumber,2583))</f>
        <v/>
      </c>
      <c r="G22595" s="51"/>
      <c r="H22595" s="46" t="str">
        <f>IF(AND(I.Developer.P4=TRUE,I.Facility.P4FacilityCount&gt;=2583,F22595=""),"Incomplete","Complete")</f>
        <v>Complete</v>
      </c>
      <c r="I22595" s="48" t="s">
        <v>26960</v>
      </c>
    </row>
    <row r="22596" spans="2:9" ht="15" customHeight="1" x14ac:dyDescent="0.25">
      <c r="B22596" s="55" t="s">
        <v>283</v>
      </c>
      <c r="C22596" s="46">
        <v>2584</v>
      </c>
      <c r="D22596" s="69" t="s">
        <v>29420</v>
      </c>
      <c r="E22596" s="51"/>
      <c r="F22596" s="114" t="str">
        <f>IF(INDEX(I.Facility.P4IDNumber,2584)="","",INDEX(I.Facility.P4IDNumber,2584))</f>
        <v/>
      </c>
      <c r="G22596" s="51"/>
      <c r="H22596" s="46" t="str">
        <f>IF(AND(I.Developer.P4=TRUE,I.Facility.P4FacilityCount&gt;=2584,F22596=""),"Incomplete","Complete")</f>
        <v>Complete</v>
      </c>
      <c r="I22596" s="48" t="s">
        <v>26961</v>
      </c>
    </row>
    <row r="22597" spans="2:9" ht="15" customHeight="1" x14ac:dyDescent="0.25">
      <c r="B22597" s="55" t="s">
        <v>283</v>
      </c>
      <c r="C22597" s="46">
        <v>2585</v>
      </c>
      <c r="D22597" s="69" t="s">
        <v>29420</v>
      </c>
      <c r="E22597" s="51"/>
      <c r="F22597" s="114" t="str">
        <f>IF(INDEX(I.Facility.P4IDNumber,2585)="","",INDEX(I.Facility.P4IDNumber,2585))</f>
        <v/>
      </c>
      <c r="G22597" s="51"/>
      <c r="H22597" s="46" t="str">
        <f>IF(AND(I.Developer.P4=TRUE,I.Facility.P4FacilityCount&gt;=2585,F22597=""),"Incomplete","Complete")</f>
        <v>Complete</v>
      </c>
      <c r="I22597" s="48" t="s">
        <v>26962</v>
      </c>
    </row>
    <row r="22598" spans="2:9" ht="15" customHeight="1" x14ac:dyDescent="0.25">
      <c r="B22598" s="55" t="s">
        <v>283</v>
      </c>
      <c r="C22598" s="46">
        <v>2586</v>
      </c>
      <c r="D22598" s="69" t="s">
        <v>29420</v>
      </c>
      <c r="E22598" s="51"/>
      <c r="F22598" s="114" t="str">
        <f>IF(INDEX(I.Facility.P4IDNumber,2586)="","",INDEX(I.Facility.P4IDNumber,2586))</f>
        <v/>
      </c>
      <c r="G22598" s="51"/>
      <c r="H22598" s="46" t="str">
        <f>IF(AND(I.Developer.P4=TRUE,I.Facility.P4FacilityCount&gt;=2586,F22598=""),"Incomplete","Complete")</f>
        <v>Complete</v>
      </c>
      <c r="I22598" s="48" t="s">
        <v>26963</v>
      </c>
    </row>
    <row r="22599" spans="2:9" ht="15" customHeight="1" x14ac:dyDescent="0.25">
      <c r="B22599" s="55" t="s">
        <v>283</v>
      </c>
      <c r="C22599" s="46">
        <v>2587</v>
      </c>
      <c r="D22599" s="69" t="s">
        <v>29420</v>
      </c>
      <c r="E22599" s="51"/>
      <c r="F22599" s="114" t="str">
        <f>IF(INDEX(I.Facility.P4IDNumber,2587)="","",INDEX(I.Facility.P4IDNumber,2587))</f>
        <v/>
      </c>
      <c r="G22599" s="51"/>
      <c r="H22599" s="46" t="str">
        <f>IF(AND(I.Developer.P4=TRUE,I.Facility.P4FacilityCount&gt;=2587,F22599=""),"Incomplete","Complete")</f>
        <v>Complete</v>
      </c>
      <c r="I22599" s="48" t="s">
        <v>26964</v>
      </c>
    </row>
    <row r="22600" spans="2:9" ht="15" customHeight="1" x14ac:dyDescent="0.25">
      <c r="B22600" s="55" t="s">
        <v>283</v>
      </c>
      <c r="C22600" s="46">
        <v>2588</v>
      </c>
      <c r="D22600" s="69" t="s">
        <v>29420</v>
      </c>
      <c r="E22600" s="51"/>
      <c r="F22600" s="114" t="str">
        <f>IF(INDEX(I.Facility.P4IDNumber,2588)="","",INDEX(I.Facility.P4IDNumber,2588))</f>
        <v/>
      </c>
      <c r="G22600" s="51"/>
      <c r="H22600" s="46" t="str">
        <f>IF(AND(I.Developer.P4=TRUE,I.Facility.P4FacilityCount&gt;=2588,F22600=""),"Incomplete","Complete")</f>
        <v>Complete</v>
      </c>
      <c r="I22600" s="48" t="s">
        <v>26965</v>
      </c>
    </row>
    <row r="22601" spans="2:9" ht="15" customHeight="1" x14ac:dyDescent="0.25">
      <c r="B22601" s="55" t="s">
        <v>283</v>
      </c>
      <c r="C22601" s="46">
        <v>2589</v>
      </c>
      <c r="D22601" s="69" t="s">
        <v>29420</v>
      </c>
      <c r="E22601" s="51"/>
      <c r="F22601" s="114" t="str">
        <f>IF(INDEX(I.Facility.P4IDNumber,2589)="","",INDEX(I.Facility.P4IDNumber,2589))</f>
        <v/>
      </c>
      <c r="G22601" s="51"/>
      <c r="H22601" s="46" t="str">
        <f>IF(AND(I.Developer.P4=TRUE,I.Facility.P4FacilityCount&gt;=2589,F22601=""),"Incomplete","Complete")</f>
        <v>Complete</v>
      </c>
      <c r="I22601" s="48" t="s">
        <v>26966</v>
      </c>
    </row>
    <row r="22602" spans="2:9" ht="15" customHeight="1" x14ac:dyDescent="0.25">
      <c r="B22602" s="55" t="s">
        <v>283</v>
      </c>
      <c r="C22602" s="46">
        <v>2590</v>
      </c>
      <c r="D22602" s="69" t="s">
        <v>29420</v>
      </c>
      <c r="E22602" s="51"/>
      <c r="F22602" s="114" t="str">
        <f>IF(INDEX(I.Facility.P4IDNumber,2590)="","",INDEX(I.Facility.P4IDNumber,2590))</f>
        <v/>
      </c>
      <c r="G22602" s="51"/>
      <c r="H22602" s="46" t="str">
        <f>IF(AND(I.Developer.P4=TRUE,I.Facility.P4FacilityCount&gt;=2590,F22602=""),"Incomplete","Complete")</f>
        <v>Complete</v>
      </c>
      <c r="I22602" s="48" t="s">
        <v>26967</v>
      </c>
    </row>
    <row r="22603" spans="2:9" ht="15" customHeight="1" x14ac:dyDescent="0.25">
      <c r="B22603" s="55" t="s">
        <v>283</v>
      </c>
      <c r="C22603" s="46">
        <v>2591</v>
      </c>
      <c r="D22603" s="69" t="s">
        <v>29420</v>
      </c>
      <c r="E22603" s="51"/>
      <c r="F22603" s="114" t="str">
        <f>IF(INDEX(I.Facility.P4IDNumber,2591)="","",INDEX(I.Facility.P4IDNumber,2591))</f>
        <v/>
      </c>
      <c r="G22603" s="51"/>
      <c r="H22603" s="46" t="str">
        <f>IF(AND(I.Developer.P4=TRUE,I.Facility.P4FacilityCount&gt;=2591,F22603=""),"Incomplete","Complete")</f>
        <v>Complete</v>
      </c>
      <c r="I22603" s="48" t="s">
        <v>26968</v>
      </c>
    </row>
    <row r="22604" spans="2:9" ht="15" customHeight="1" x14ac:dyDescent="0.25">
      <c r="B22604" s="55" t="s">
        <v>283</v>
      </c>
      <c r="C22604" s="46">
        <v>2592</v>
      </c>
      <c r="D22604" s="69" t="s">
        <v>29420</v>
      </c>
      <c r="E22604" s="51"/>
      <c r="F22604" s="114" t="str">
        <f>IF(INDEX(I.Facility.P4IDNumber,2592)="","",INDEX(I.Facility.P4IDNumber,2592))</f>
        <v/>
      </c>
      <c r="G22604" s="51"/>
      <c r="H22604" s="46" t="str">
        <f>IF(AND(I.Developer.P4=TRUE,I.Facility.P4FacilityCount&gt;=2592,F22604=""),"Incomplete","Complete")</f>
        <v>Complete</v>
      </c>
      <c r="I22604" s="48" t="s">
        <v>26969</v>
      </c>
    </row>
    <row r="22605" spans="2:9" ht="15" customHeight="1" x14ac:dyDescent="0.25">
      <c r="B22605" s="55" t="s">
        <v>283</v>
      </c>
      <c r="C22605" s="46">
        <v>2593</v>
      </c>
      <c r="D22605" s="69" t="s">
        <v>29420</v>
      </c>
      <c r="E22605" s="51"/>
      <c r="F22605" s="114" t="str">
        <f>IF(INDEX(I.Facility.P4IDNumber,2593)="","",INDEX(I.Facility.P4IDNumber,2593))</f>
        <v/>
      </c>
      <c r="G22605" s="51"/>
      <c r="H22605" s="46" t="str">
        <f>IF(AND(I.Developer.P4=TRUE,I.Facility.P4FacilityCount&gt;=2593,F22605=""),"Incomplete","Complete")</f>
        <v>Complete</v>
      </c>
      <c r="I22605" s="48" t="s">
        <v>26970</v>
      </c>
    </row>
    <row r="22606" spans="2:9" ht="15" customHeight="1" x14ac:dyDescent="0.25">
      <c r="B22606" s="55" t="s">
        <v>283</v>
      </c>
      <c r="C22606" s="46">
        <v>2594</v>
      </c>
      <c r="D22606" s="69" t="s">
        <v>29420</v>
      </c>
      <c r="E22606" s="51"/>
      <c r="F22606" s="114" t="str">
        <f>IF(INDEX(I.Facility.P4IDNumber,2594)="","",INDEX(I.Facility.P4IDNumber,2594))</f>
        <v/>
      </c>
      <c r="G22606" s="51"/>
      <c r="H22606" s="46" t="str">
        <f>IF(AND(I.Developer.P4=TRUE,I.Facility.P4FacilityCount&gt;=2594,F22606=""),"Incomplete","Complete")</f>
        <v>Complete</v>
      </c>
      <c r="I22606" s="48" t="s">
        <v>26971</v>
      </c>
    </row>
    <row r="22607" spans="2:9" ht="15" customHeight="1" x14ac:dyDescent="0.25">
      <c r="B22607" s="55" t="s">
        <v>283</v>
      </c>
      <c r="C22607" s="46">
        <v>2595</v>
      </c>
      <c r="D22607" s="69" t="s">
        <v>29420</v>
      </c>
      <c r="E22607" s="51"/>
      <c r="F22607" s="114" t="str">
        <f>IF(INDEX(I.Facility.P4IDNumber,2595)="","",INDEX(I.Facility.P4IDNumber,2595))</f>
        <v/>
      </c>
      <c r="G22607" s="51"/>
      <c r="H22607" s="46" t="str">
        <f>IF(AND(I.Developer.P4=TRUE,I.Facility.P4FacilityCount&gt;=2595,F22607=""),"Incomplete","Complete")</f>
        <v>Complete</v>
      </c>
      <c r="I22607" s="48" t="s">
        <v>26972</v>
      </c>
    </row>
    <row r="22608" spans="2:9" ht="15" customHeight="1" x14ac:dyDescent="0.25">
      <c r="B22608" s="55" t="s">
        <v>283</v>
      </c>
      <c r="C22608" s="46">
        <v>2596</v>
      </c>
      <c r="D22608" s="69" t="s">
        <v>29420</v>
      </c>
      <c r="E22608" s="51"/>
      <c r="F22608" s="114" t="str">
        <f>IF(INDEX(I.Facility.P4IDNumber,2596)="","",INDEX(I.Facility.P4IDNumber,2596))</f>
        <v/>
      </c>
      <c r="G22608" s="51"/>
      <c r="H22608" s="46" t="str">
        <f>IF(AND(I.Developer.P4=TRUE,I.Facility.P4FacilityCount&gt;=2596,F22608=""),"Incomplete","Complete")</f>
        <v>Complete</v>
      </c>
      <c r="I22608" s="48" t="s">
        <v>26973</v>
      </c>
    </row>
    <row r="22609" spans="2:9" ht="15" customHeight="1" x14ac:dyDescent="0.25">
      <c r="B22609" s="55" t="s">
        <v>283</v>
      </c>
      <c r="C22609" s="46">
        <v>2597</v>
      </c>
      <c r="D22609" s="69" t="s">
        <v>29420</v>
      </c>
      <c r="E22609" s="51"/>
      <c r="F22609" s="114" t="str">
        <f>IF(INDEX(I.Facility.P4IDNumber,2597)="","",INDEX(I.Facility.P4IDNumber,2597))</f>
        <v/>
      </c>
      <c r="G22609" s="51"/>
      <c r="H22609" s="46" t="str">
        <f>IF(AND(I.Developer.P4=TRUE,I.Facility.P4FacilityCount&gt;=2597,F22609=""),"Incomplete","Complete")</f>
        <v>Complete</v>
      </c>
      <c r="I22609" s="48" t="s">
        <v>26974</v>
      </c>
    </row>
    <row r="22610" spans="2:9" ht="15" customHeight="1" x14ac:dyDescent="0.25">
      <c r="B22610" s="55" t="s">
        <v>283</v>
      </c>
      <c r="C22610" s="46">
        <v>2598</v>
      </c>
      <c r="D22610" s="69" t="s">
        <v>29420</v>
      </c>
      <c r="E22610" s="51"/>
      <c r="F22610" s="114" t="str">
        <f>IF(INDEX(I.Facility.P4IDNumber,2598)="","",INDEX(I.Facility.P4IDNumber,2598))</f>
        <v/>
      </c>
      <c r="G22610" s="51"/>
      <c r="H22610" s="46" t="str">
        <f>IF(AND(I.Developer.P4=TRUE,I.Facility.P4FacilityCount&gt;=2598,F22610=""),"Incomplete","Complete")</f>
        <v>Complete</v>
      </c>
      <c r="I22610" s="48" t="s">
        <v>26975</v>
      </c>
    </row>
    <row r="22611" spans="2:9" ht="15" customHeight="1" x14ac:dyDescent="0.25">
      <c r="B22611" s="55" t="s">
        <v>283</v>
      </c>
      <c r="C22611" s="46">
        <v>2599</v>
      </c>
      <c r="D22611" s="69" t="s">
        <v>29420</v>
      </c>
      <c r="E22611" s="51"/>
      <c r="F22611" s="114" t="str">
        <f>IF(INDEX(I.Facility.P4IDNumber,2599)="","",INDEX(I.Facility.P4IDNumber,2599))</f>
        <v/>
      </c>
      <c r="G22611" s="51"/>
      <c r="H22611" s="46" t="str">
        <f>IF(AND(I.Developer.P4=TRUE,I.Facility.P4FacilityCount&gt;=2599,F22611=""),"Incomplete","Complete")</f>
        <v>Complete</v>
      </c>
      <c r="I22611" s="48" t="s">
        <v>26976</v>
      </c>
    </row>
    <row r="22612" spans="2:9" ht="15" customHeight="1" x14ac:dyDescent="0.25">
      <c r="B22612" s="55" t="s">
        <v>283</v>
      </c>
      <c r="C22612" s="46">
        <v>2600</v>
      </c>
      <c r="D22612" s="69" t="s">
        <v>29420</v>
      </c>
      <c r="E22612" s="51"/>
      <c r="F22612" s="114" t="str">
        <f>IF(INDEX(I.Facility.P4IDNumber,2600)="","",INDEX(I.Facility.P4IDNumber,2600))</f>
        <v/>
      </c>
      <c r="G22612" s="51"/>
      <c r="H22612" s="46" t="str">
        <f>IF(AND(I.Developer.P4=TRUE,I.Facility.P4FacilityCount&gt;=2600,F22612=""),"Incomplete","Complete")</f>
        <v>Complete</v>
      </c>
      <c r="I22612" s="48" t="s">
        <v>26977</v>
      </c>
    </row>
    <row r="22613" spans="2:9" ht="15" customHeight="1" x14ac:dyDescent="0.25">
      <c r="B22613" s="55" t="s">
        <v>283</v>
      </c>
      <c r="C22613" s="46">
        <v>2601</v>
      </c>
      <c r="D22613" s="69" t="s">
        <v>29420</v>
      </c>
      <c r="E22613" s="51"/>
      <c r="F22613" s="114" t="str">
        <f>IF(INDEX(I.Facility.P4IDNumber,2601)="","",INDEX(I.Facility.P4IDNumber,2601))</f>
        <v/>
      </c>
      <c r="G22613" s="51"/>
      <c r="H22613" s="46" t="str">
        <f>IF(AND(I.Developer.P4=TRUE,I.Facility.P4FacilityCount&gt;=2601,F22613=""),"Incomplete","Complete")</f>
        <v>Complete</v>
      </c>
      <c r="I22613" s="48" t="s">
        <v>26978</v>
      </c>
    </row>
    <row r="22614" spans="2:9" ht="15" customHeight="1" x14ac:dyDescent="0.25">
      <c r="B22614" s="55" t="s">
        <v>283</v>
      </c>
      <c r="C22614" s="46">
        <v>2602</v>
      </c>
      <c r="D22614" s="69" t="s">
        <v>29420</v>
      </c>
      <c r="E22614" s="51"/>
      <c r="F22614" s="114" t="str">
        <f>IF(INDEX(I.Facility.P4IDNumber,2602)="","",INDEX(I.Facility.P4IDNumber,2602))</f>
        <v/>
      </c>
      <c r="G22614" s="51"/>
      <c r="H22614" s="46" t="str">
        <f>IF(AND(I.Developer.P4=TRUE,I.Facility.P4FacilityCount&gt;=2602,F22614=""),"Incomplete","Complete")</f>
        <v>Complete</v>
      </c>
      <c r="I22614" s="48" t="s">
        <v>26979</v>
      </c>
    </row>
    <row r="22615" spans="2:9" ht="15" customHeight="1" x14ac:dyDescent="0.25">
      <c r="B22615" s="55" t="s">
        <v>283</v>
      </c>
      <c r="C22615" s="46">
        <v>2603</v>
      </c>
      <c r="D22615" s="69" t="s">
        <v>29420</v>
      </c>
      <c r="E22615" s="51"/>
      <c r="F22615" s="114" t="str">
        <f>IF(INDEX(I.Facility.P4IDNumber,2603)="","",INDEX(I.Facility.P4IDNumber,2603))</f>
        <v/>
      </c>
      <c r="G22615" s="51"/>
      <c r="H22615" s="46" t="str">
        <f>IF(AND(I.Developer.P4=TRUE,I.Facility.P4FacilityCount&gt;=2603,F22615=""),"Incomplete","Complete")</f>
        <v>Complete</v>
      </c>
      <c r="I22615" s="48" t="s">
        <v>26980</v>
      </c>
    </row>
    <row r="22616" spans="2:9" ht="15" customHeight="1" x14ac:dyDescent="0.25">
      <c r="B22616" s="55" t="s">
        <v>283</v>
      </c>
      <c r="C22616" s="46">
        <v>2604</v>
      </c>
      <c r="D22616" s="69" t="s">
        <v>29420</v>
      </c>
      <c r="E22616" s="51"/>
      <c r="F22616" s="114" t="str">
        <f>IF(INDEX(I.Facility.P4IDNumber,2604)="","",INDEX(I.Facility.P4IDNumber,2604))</f>
        <v/>
      </c>
      <c r="G22616" s="51"/>
      <c r="H22616" s="46" t="str">
        <f>IF(AND(I.Developer.P4=TRUE,I.Facility.P4FacilityCount&gt;=2604,F22616=""),"Incomplete","Complete")</f>
        <v>Complete</v>
      </c>
      <c r="I22616" s="48" t="s">
        <v>26981</v>
      </c>
    </row>
    <row r="22617" spans="2:9" ht="15" customHeight="1" x14ac:dyDescent="0.25">
      <c r="B22617" s="55" t="s">
        <v>283</v>
      </c>
      <c r="C22617" s="46">
        <v>2605</v>
      </c>
      <c r="D22617" s="69" t="s">
        <v>29420</v>
      </c>
      <c r="E22617" s="51"/>
      <c r="F22617" s="114" t="str">
        <f>IF(INDEX(I.Facility.P4IDNumber,2605)="","",INDEX(I.Facility.P4IDNumber,2605))</f>
        <v/>
      </c>
      <c r="G22617" s="51"/>
      <c r="H22617" s="46" t="str">
        <f>IF(AND(I.Developer.P4=TRUE,I.Facility.P4FacilityCount&gt;=2605,F22617=""),"Incomplete","Complete")</f>
        <v>Complete</v>
      </c>
      <c r="I22617" s="48" t="s">
        <v>26982</v>
      </c>
    </row>
    <row r="22618" spans="2:9" ht="15" customHeight="1" x14ac:dyDescent="0.25">
      <c r="B22618" s="55" t="s">
        <v>283</v>
      </c>
      <c r="C22618" s="46">
        <v>2606</v>
      </c>
      <c r="D22618" s="69" t="s">
        <v>29420</v>
      </c>
      <c r="E22618" s="51"/>
      <c r="F22618" s="114" t="str">
        <f>IF(INDEX(I.Facility.P4IDNumber,2606)="","",INDEX(I.Facility.P4IDNumber,2606))</f>
        <v/>
      </c>
      <c r="G22618" s="51"/>
      <c r="H22618" s="46" t="str">
        <f>IF(AND(I.Developer.P4=TRUE,I.Facility.P4FacilityCount&gt;=2606,F22618=""),"Incomplete","Complete")</f>
        <v>Complete</v>
      </c>
      <c r="I22618" s="48" t="s">
        <v>26983</v>
      </c>
    </row>
    <row r="22619" spans="2:9" ht="15" customHeight="1" x14ac:dyDescent="0.25">
      <c r="B22619" s="55" t="s">
        <v>283</v>
      </c>
      <c r="C22619" s="46">
        <v>2607</v>
      </c>
      <c r="D22619" s="69" t="s">
        <v>29420</v>
      </c>
      <c r="E22619" s="51"/>
      <c r="F22619" s="114" t="str">
        <f>IF(INDEX(I.Facility.P4IDNumber,2607)="","",INDEX(I.Facility.P4IDNumber,2607))</f>
        <v/>
      </c>
      <c r="G22619" s="51"/>
      <c r="H22619" s="46" t="str">
        <f>IF(AND(I.Developer.P4=TRUE,I.Facility.P4FacilityCount&gt;=2607,F22619=""),"Incomplete","Complete")</f>
        <v>Complete</v>
      </c>
      <c r="I22619" s="48" t="s">
        <v>26984</v>
      </c>
    </row>
    <row r="22620" spans="2:9" ht="15" customHeight="1" x14ac:dyDescent="0.25">
      <c r="B22620" s="55" t="s">
        <v>283</v>
      </c>
      <c r="C22620" s="46">
        <v>2608</v>
      </c>
      <c r="D22620" s="69" t="s">
        <v>29420</v>
      </c>
      <c r="E22620" s="51"/>
      <c r="F22620" s="114" t="str">
        <f>IF(INDEX(I.Facility.P4IDNumber,2608)="","",INDEX(I.Facility.P4IDNumber,2608))</f>
        <v/>
      </c>
      <c r="G22620" s="51"/>
      <c r="H22620" s="46" t="str">
        <f>IF(AND(I.Developer.P4=TRUE,I.Facility.P4FacilityCount&gt;=2608,F22620=""),"Incomplete","Complete")</f>
        <v>Complete</v>
      </c>
      <c r="I22620" s="48" t="s">
        <v>26985</v>
      </c>
    </row>
    <row r="22621" spans="2:9" ht="15" customHeight="1" x14ac:dyDescent="0.25">
      <c r="B22621" s="55" t="s">
        <v>283</v>
      </c>
      <c r="C22621" s="46">
        <v>2609</v>
      </c>
      <c r="D22621" s="69" t="s">
        <v>29420</v>
      </c>
      <c r="E22621" s="51"/>
      <c r="F22621" s="114" t="str">
        <f>IF(INDEX(I.Facility.P4IDNumber,2609)="","",INDEX(I.Facility.P4IDNumber,2609))</f>
        <v/>
      </c>
      <c r="G22621" s="51"/>
      <c r="H22621" s="46" t="str">
        <f>IF(AND(I.Developer.P4=TRUE,I.Facility.P4FacilityCount&gt;=2609,F22621=""),"Incomplete","Complete")</f>
        <v>Complete</v>
      </c>
      <c r="I22621" s="48" t="s">
        <v>26986</v>
      </c>
    </row>
    <row r="22622" spans="2:9" ht="15" customHeight="1" x14ac:dyDescent="0.25">
      <c r="B22622" s="55" t="s">
        <v>283</v>
      </c>
      <c r="C22622" s="46">
        <v>2610</v>
      </c>
      <c r="D22622" s="69" t="s">
        <v>29420</v>
      </c>
      <c r="E22622" s="51"/>
      <c r="F22622" s="114" t="str">
        <f>IF(INDEX(I.Facility.P4IDNumber,2610)="","",INDEX(I.Facility.P4IDNumber,2610))</f>
        <v/>
      </c>
      <c r="G22622" s="51"/>
      <c r="H22622" s="46" t="str">
        <f>IF(AND(I.Developer.P4=TRUE,I.Facility.P4FacilityCount&gt;=2610,F22622=""),"Incomplete","Complete")</f>
        <v>Complete</v>
      </c>
      <c r="I22622" s="48" t="s">
        <v>26987</v>
      </c>
    </row>
    <row r="22623" spans="2:9" ht="15" customHeight="1" x14ac:dyDescent="0.25">
      <c r="B22623" s="55" t="s">
        <v>283</v>
      </c>
      <c r="C22623" s="46">
        <v>2611</v>
      </c>
      <c r="D22623" s="69" t="s">
        <v>29420</v>
      </c>
      <c r="E22623" s="51"/>
      <c r="F22623" s="114" t="str">
        <f>IF(INDEX(I.Facility.P4IDNumber,2611)="","",INDEX(I.Facility.P4IDNumber,2611))</f>
        <v/>
      </c>
      <c r="G22623" s="51"/>
      <c r="H22623" s="46" t="str">
        <f>IF(AND(I.Developer.P4=TRUE,I.Facility.P4FacilityCount&gt;=2611,F22623=""),"Incomplete","Complete")</f>
        <v>Complete</v>
      </c>
      <c r="I22623" s="48" t="s">
        <v>26988</v>
      </c>
    </row>
    <row r="22624" spans="2:9" ht="15" customHeight="1" x14ac:dyDescent="0.25">
      <c r="B22624" s="55" t="s">
        <v>283</v>
      </c>
      <c r="C22624" s="46">
        <v>2612</v>
      </c>
      <c r="D22624" s="69" t="s">
        <v>29420</v>
      </c>
      <c r="E22624" s="51"/>
      <c r="F22624" s="114" t="str">
        <f>IF(INDEX(I.Facility.P4IDNumber,2612)="","",INDEX(I.Facility.P4IDNumber,2612))</f>
        <v/>
      </c>
      <c r="G22624" s="51"/>
      <c r="H22624" s="46" t="str">
        <f>IF(AND(I.Developer.P4=TRUE,I.Facility.P4FacilityCount&gt;=2612,F22624=""),"Incomplete","Complete")</f>
        <v>Complete</v>
      </c>
      <c r="I22624" s="48" t="s">
        <v>26989</v>
      </c>
    </row>
    <row r="22625" spans="2:9" ht="15" customHeight="1" x14ac:dyDescent="0.25">
      <c r="B22625" s="55" t="s">
        <v>283</v>
      </c>
      <c r="C22625" s="46">
        <v>2613</v>
      </c>
      <c r="D22625" s="69" t="s">
        <v>29420</v>
      </c>
      <c r="E22625" s="51"/>
      <c r="F22625" s="114" t="str">
        <f>IF(INDEX(I.Facility.P4IDNumber,2613)="","",INDEX(I.Facility.P4IDNumber,2613))</f>
        <v/>
      </c>
      <c r="G22625" s="51"/>
      <c r="H22625" s="46" t="str">
        <f>IF(AND(I.Developer.P4=TRUE,I.Facility.P4FacilityCount&gt;=2613,F22625=""),"Incomplete","Complete")</f>
        <v>Complete</v>
      </c>
      <c r="I22625" s="48" t="s">
        <v>26990</v>
      </c>
    </row>
    <row r="22626" spans="2:9" ht="15" customHeight="1" x14ac:dyDescent="0.25">
      <c r="B22626" s="55" t="s">
        <v>283</v>
      </c>
      <c r="C22626" s="46">
        <v>2614</v>
      </c>
      <c r="D22626" s="69" t="s">
        <v>29420</v>
      </c>
      <c r="E22626" s="51"/>
      <c r="F22626" s="114" t="str">
        <f>IF(INDEX(I.Facility.P4IDNumber,2614)="","",INDEX(I.Facility.P4IDNumber,2614))</f>
        <v/>
      </c>
      <c r="G22626" s="51"/>
      <c r="H22626" s="46" t="str">
        <f>IF(AND(I.Developer.P4=TRUE,I.Facility.P4FacilityCount&gt;=2614,F22626=""),"Incomplete","Complete")</f>
        <v>Complete</v>
      </c>
      <c r="I22626" s="48" t="s">
        <v>26991</v>
      </c>
    </row>
    <row r="22627" spans="2:9" ht="15" customHeight="1" x14ac:dyDescent="0.25">
      <c r="B22627" s="55" t="s">
        <v>283</v>
      </c>
      <c r="C22627" s="46">
        <v>2615</v>
      </c>
      <c r="D22627" s="69" t="s">
        <v>29420</v>
      </c>
      <c r="E22627" s="51"/>
      <c r="F22627" s="114" t="str">
        <f>IF(INDEX(I.Facility.P4IDNumber,2615)="","",INDEX(I.Facility.P4IDNumber,2615))</f>
        <v/>
      </c>
      <c r="G22627" s="51"/>
      <c r="H22627" s="46" t="str">
        <f>IF(AND(I.Developer.P4=TRUE,I.Facility.P4FacilityCount&gt;=2615,F22627=""),"Incomplete","Complete")</f>
        <v>Complete</v>
      </c>
      <c r="I22627" s="48" t="s">
        <v>26992</v>
      </c>
    </row>
    <row r="22628" spans="2:9" ht="15" customHeight="1" x14ac:dyDescent="0.25">
      <c r="B22628" s="55" t="s">
        <v>283</v>
      </c>
      <c r="C22628" s="46">
        <v>2616</v>
      </c>
      <c r="D22628" s="69" t="s">
        <v>29420</v>
      </c>
      <c r="E22628" s="51"/>
      <c r="F22628" s="114" t="str">
        <f>IF(INDEX(I.Facility.P4IDNumber,2616)="","",INDEX(I.Facility.P4IDNumber,2616))</f>
        <v/>
      </c>
      <c r="G22628" s="51"/>
      <c r="H22628" s="46" t="str">
        <f>IF(AND(I.Developer.P4=TRUE,I.Facility.P4FacilityCount&gt;=2616,F22628=""),"Incomplete","Complete")</f>
        <v>Complete</v>
      </c>
      <c r="I22628" s="48" t="s">
        <v>26993</v>
      </c>
    </row>
    <row r="22629" spans="2:9" ht="15" customHeight="1" x14ac:dyDescent="0.25">
      <c r="B22629" s="55" t="s">
        <v>283</v>
      </c>
      <c r="C22629" s="46">
        <v>2617</v>
      </c>
      <c r="D22629" s="69" t="s">
        <v>29420</v>
      </c>
      <c r="E22629" s="51"/>
      <c r="F22629" s="114" t="str">
        <f>IF(INDEX(I.Facility.P4IDNumber,2617)="","",INDEX(I.Facility.P4IDNumber,2617))</f>
        <v/>
      </c>
      <c r="G22629" s="51"/>
      <c r="H22629" s="46" t="str">
        <f>IF(AND(I.Developer.P4=TRUE,I.Facility.P4FacilityCount&gt;=2617,F22629=""),"Incomplete","Complete")</f>
        <v>Complete</v>
      </c>
      <c r="I22629" s="48" t="s">
        <v>26994</v>
      </c>
    </row>
    <row r="22630" spans="2:9" ht="15" customHeight="1" x14ac:dyDescent="0.25">
      <c r="B22630" s="55" t="s">
        <v>283</v>
      </c>
      <c r="C22630" s="46">
        <v>2618</v>
      </c>
      <c r="D22630" s="69" t="s">
        <v>29420</v>
      </c>
      <c r="E22630" s="51"/>
      <c r="F22630" s="114" t="str">
        <f>IF(INDEX(I.Facility.P4IDNumber,2618)="","",INDEX(I.Facility.P4IDNumber,2618))</f>
        <v/>
      </c>
      <c r="G22630" s="51"/>
      <c r="H22630" s="46" t="str">
        <f>IF(AND(I.Developer.P4=TRUE,I.Facility.P4FacilityCount&gt;=2618,F22630=""),"Incomplete","Complete")</f>
        <v>Complete</v>
      </c>
      <c r="I22630" s="48" t="s">
        <v>26995</v>
      </c>
    </row>
    <row r="22631" spans="2:9" ht="15" customHeight="1" x14ac:dyDescent="0.25">
      <c r="B22631" s="55" t="s">
        <v>283</v>
      </c>
      <c r="C22631" s="46">
        <v>2619</v>
      </c>
      <c r="D22631" s="69" t="s">
        <v>29420</v>
      </c>
      <c r="E22631" s="51"/>
      <c r="F22631" s="114" t="str">
        <f>IF(INDEX(I.Facility.P4IDNumber,2619)="","",INDEX(I.Facility.P4IDNumber,2619))</f>
        <v/>
      </c>
      <c r="G22631" s="51"/>
      <c r="H22631" s="46" t="str">
        <f>IF(AND(I.Developer.P4=TRUE,I.Facility.P4FacilityCount&gt;=2619,F22631=""),"Incomplete","Complete")</f>
        <v>Complete</v>
      </c>
      <c r="I22631" s="48" t="s">
        <v>26996</v>
      </c>
    </row>
    <row r="22632" spans="2:9" ht="15" customHeight="1" x14ac:dyDescent="0.25">
      <c r="B22632" s="55" t="s">
        <v>283</v>
      </c>
      <c r="C22632" s="46">
        <v>2620</v>
      </c>
      <c r="D22632" s="69" t="s">
        <v>29420</v>
      </c>
      <c r="E22632" s="51"/>
      <c r="F22632" s="114" t="str">
        <f>IF(INDEX(I.Facility.P4IDNumber,2620)="","",INDEX(I.Facility.P4IDNumber,2620))</f>
        <v/>
      </c>
      <c r="G22632" s="51"/>
      <c r="H22632" s="46" t="str">
        <f>IF(AND(I.Developer.P4=TRUE,I.Facility.P4FacilityCount&gt;=2620,F22632=""),"Incomplete","Complete")</f>
        <v>Complete</v>
      </c>
      <c r="I22632" s="48" t="s">
        <v>26997</v>
      </c>
    </row>
    <row r="22633" spans="2:9" ht="15" customHeight="1" x14ac:dyDescent="0.25">
      <c r="B22633" s="55" t="s">
        <v>283</v>
      </c>
      <c r="C22633" s="46">
        <v>2621</v>
      </c>
      <c r="D22633" s="69" t="s">
        <v>29420</v>
      </c>
      <c r="E22633" s="51"/>
      <c r="F22633" s="114" t="str">
        <f>IF(INDEX(I.Facility.P4IDNumber,2621)="","",INDEX(I.Facility.P4IDNumber,2621))</f>
        <v/>
      </c>
      <c r="G22633" s="51"/>
      <c r="H22633" s="46" t="str">
        <f>IF(AND(I.Developer.P4=TRUE,I.Facility.P4FacilityCount&gt;=2621,F22633=""),"Incomplete","Complete")</f>
        <v>Complete</v>
      </c>
      <c r="I22633" s="48" t="s">
        <v>26998</v>
      </c>
    </row>
    <row r="22634" spans="2:9" ht="15" customHeight="1" x14ac:dyDescent="0.25">
      <c r="B22634" s="55" t="s">
        <v>283</v>
      </c>
      <c r="C22634" s="46">
        <v>2622</v>
      </c>
      <c r="D22634" s="69" t="s">
        <v>29420</v>
      </c>
      <c r="E22634" s="51"/>
      <c r="F22634" s="114" t="str">
        <f>IF(INDEX(I.Facility.P4IDNumber,2622)="","",INDEX(I.Facility.P4IDNumber,2622))</f>
        <v/>
      </c>
      <c r="G22634" s="51"/>
      <c r="H22634" s="46" t="str">
        <f>IF(AND(I.Developer.P4=TRUE,I.Facility.P4FacilityCount&gt;=2622,F22634=""),"Incomplete","Complete")</f>
        <v>Complete</v>
      </c>
      <c r="I22634" s="48" t="s">
        <v>26999</v>
      </c>
    </row>
    <row r="22635" spans="2:9" ht="15" customHeight="1" x14ac:dyDescent="0.25">
      <c r="B22635" s="55" t="s">
        <v>283</v>
      </c>
      <c r="C22635" s="46">
        <v>2623</v>
      </c>
      <c r="D22635" s="69" t="s">
        <v>29420</v>
      </c>
      <c r="E22635" s="51"/>
      <c r="F22635" s="114" t="str">
        <f>IF(INDEX(I.Facility.P4IDNumber,2623)="","",INDEX(I.Facility.P4IDNumber,2623))</f>
        <v/>
      </c>
      <c r="G22635" s="51"/>
      <c r="H22635" s="46" t="str">
        <f>IF(AND(I.Developer.P4=TRUE,I.Facility.P4FacilityCount&gt;=2623,F22635=""),"Incomplete","Complete")</f>
        <v>Complete</v>
      </c>
      <c r="I22635" s="48" t="s">
        <v>27000</v>
      </c>
    </row>
    <row r="22636" spans="2:9" ht="15" customHeight="1" x14ac:dyDescent="0.25">
      <c r="B22636" s="55" t="s">
        <v>283</v>
      </c>
      <c r="C22636" s="46">
        <v>2624</v>
      </c>
      <c r="D22636" s="69" t="s">
        <v>29420</v>
      </c>
      <c r="E22636" s="51"/>
      <c r="F22636" s="114" t="str">
        <f>IF(INDEX(I.Facility.P4IDNumber,2624)="","",INDEX(I.Facility.P4IDNumber,2624))</f>
        <v/>
      </c>
      <c r="G22636" s="51"/>
      <c r="H22636" s="46" t="str">
        <f>IF(AND(I.Developer.P4=TRUE,I.Facility.P4FacilityCount&gt;=2624,F22636=""),"Incomplete","Complete")</f>
        <v>Complete</v>
      </c>
      <c r="I22636" s="48" t="s">
        <v>27001</v>
      </c>
    </row>
    <row r="22637" spans="2:9" ht="15" customHeight="1" x14ac:dyDescent="0.25">
      <c r="B22637" s="55" t="s">
        <v>283</v>
      </c>
      <c r="C22637" s="46">
        <v>2625</v>
      </c>
      <c r="D22637" s="69" t="s">
        <v>29420</v>
      </c>
      <c r="E22637" s="51"/>
      <c r="F22637" s="114" t="str">
        <f>IF(INDEX(I.Facility.P4IDNumber,2625)="","",INDEX(I.Facility.P4IDNumber,2625))</f>
        <v/>
      </c>
      <c r="G22637" s="51"/>
      <c r="H22637" s="46" t="str">
        <f>IF(AND(I.Developer.P4=TRUE,I.Facility.P4FacilityCount&gt;=2625,F22637=""),"Incomplete","Complete")</f>
        <v>Complete</v>
      </c>
      <c r="I22637" s="48" t="s">
        <v>27002</v>
      </c>
    </row>
    <row r="22638" spans="2:9" ht="15" customHeight="1" x14ac:dyDescent="0.25">
      <c r="B22638" s="55" t="s">
        <v>283</v>
      </c>
      <c r="C22638" s="46">
        <v>2626</v>
      </c>
      <c r="D22638" s="69" t="s">
        <v>29420</v>
      </c>
      <c r="E22638" s="51"/>
      <c r="F22638" s="114" t="str">
        <f>IF(INDEX(I.Facility.P4IDNumber,2626)="","",INDEX(I.Facility.P4IDNumber,2626))</f>
        <v/>
      </c>
      <c r="G22638" s="51"/>
      <c r="H22638" s="46" t="str">
        <f>IF(AND(I.Developer.P4=TRUE,I.Facility.P4FacilityCount&gt;=2626,F22638=""),"Incomplete","Complete")</f>
        <v>Complete</v>
      </c>
      <c r="I22638" s="48" t="s">
        <v>27003</v>
      </c>
    </row>
    <row r="22639" spans="2:9" ht="15" customHeight="1" x14ac:dyDescent="0.25">
      <c r="B22639" s="55" t="s">
        <v>283</v>
      </c>
      <c r="C22639" s="46">
        <v>2627</v>
      </c>
      <c r="D22639" s="69" t="s">
        <v>29420</v>
      </c>
      <c r="E22639" s="51"/>
      <c r="F22639" s="114" t="str">
        <f>IF(INDEX(I.Facility.P4IDNumber,2627)="","",INDEX(I.Facility.P4IDNumber,2627))</f>
        <v/>
      </c>
      <c r="G22639" s="51"/>
      <c r="H22639" s="46" t="str">
        <f>IF(AND(I.Developer.P4=TRUE,I.Facility.P4FacilityCount&gt;=2627,F22639=""),"Incomplete","Complete")</f>
        <v>Complete</v>
      </c>
      <c r="I22639" s="48" t="s">
        <v>27004</v>
      </c>
    </row>
    <row r="22640" spans="2:9" ht="15" customHeight="1" x14ac:dyDescent="0.25">
      <c r="B22640" s="55" t="s">
        <v>283</v>
      </c>
      <c r="C22640" s="46">
        <v>2628</v>
      </c>
      <c r="D22640" s="69" t="s">
        <v>29420</v>
      </c>
      <c r="E22640" s="51"/>
      <c r="F22640" s="114" t="str">
        <f>IF(INDEX(I.Facility.P4IDNumber,2628)="","",INDEX(I.Facility.P4IDNumber,2628))</f>
        <v/>
      </c>
      <c r="G22640" s="51"/>
      <c r="H22640" s="46" t="str">
        <f>IF(AND(I.Developer.P4=TRUE,I.Facility.P4FacilityCount&gt;=2628,F22640=""),"Incomplete","Complete")</f>
        <v>Complete</v>
      </c>
      <c r="I22640" s="48" t="s">
        <v>27005</v>
      </c>
    </row>
    <row r="22641" spans="2:9" ht="15" customHeight="1" x14ac:dyDescent="0.25">
      <c r="B22641" s="55" t="s">
        <v>283</v>
      </c>
      <c r="C22641" s="46">
        <v>2629</v>
      </c>
      <c r="D22641" s="69" t="s">
        <v>29420</v>
      </c>
      <c r="E22641" s="51"/>
      <c r="F22641" s="114" t="str">
        <f>IF(INDEX(I.Facility.P4IDNumber,2629)="","",INDEX(I.Facility.P4IDNumber,2629))</f>
        <v/>
      </c>
      <c r="G22641" s="51"/>
      <c r="H22641" s="46" t="str">
        <f>IF(AND(I.Developer.P4=TRUE,I.Facility.P4FacilityCount&gt;=2629,F22641=""),"Incomplete","Complete")</f>
        <v>Complete</v>
      </c>
      <c r="I22641" s="48" t="s">
        <v>27006</v>
      </c>
    </row>
    <row r="22642" spans="2:9" ht="15" customHeight="1" x14ac:dyDescent="0.25">
      <c r="B22642" s="55" t="s">
        <v>283</v>
      </c>
      <c r="C22642" s="46">
        <v>2630</v>
      </c>
      <c r="D22642" s="69" t="s">
        <v>29420</v>
      </c>
      <c r="E22642" s="51"/>
      <c r="F22642" s="114" t="str">
        <f>IF(INDEX(I.Facility.P4IDNumber,2630)="","",INDEX(I.Facility.P4IDNumber,2630))</f>
        <v/>
      </c>
      <c r="G22642" s="51"/>
      <c r="H22642" s="46" t="str">
        <f>IF(AND(I.Developer.P4=TRUE,I.Facility.P4FacilityCount&gt;=2630,F22642=""),"Incomplete","Complete")</f>
        <v>Complete</v>
      </c>
      <c r="I22642" s="48" t="s">
        <v>27007</v>
      </c>
    </row>
    <row r="22643" spans="2:9" ht="15" customHeight="1" x14ac:dyDescent="0.25">
      <c r="B22643" s="55" t="s">
        <v>283</v>
      </c>
      <c r="C22643" s="46">
        <v>2631</v>
      </c>
      <c r="D22643" s="69" t="s">
        <v>29420</v>
      </c>
      <c r="E22643" s="51"/>
      <c r="F22643" s="114" t="str">
        <f>IF(INDEX(I.Facility.P4IDNumber,2631)="","",INDEX(I.Facility.P4IDNumber,2631))</f>
        <v/>
      </c>
      <c r="G22643" s="51"/>
      <c r="H22643" s="46" t="str">
        <f>IF(AND(I.Developer.P4=TRUE,I.Facility.P4FacilityCount&gt;=2631,F22643=""),"Incomplete","Complete")</f>
        <v>Complete</v>
      </c>
      <c r="I22643" s="48" t="s">
        <v>27008</v>
      </c>
    </row>
    <row r="22644" spans="2:9" ht="15" customHeight="1" x14ac:dyDescent="0.25">
      <c r="B22644" s="55" t="s">
        <v>283</v>
      </c>
      <c r="C22644" s="46">
        <v>2632</v>
      </c>
      <c r="D22644" s="69" t="s">
        <v>29420</v>
      </c>
      <c r="E22644" s="51"/>
      <c r="F22644" s="114" t="str">
        <f>IF(INDEX(I.Facility.P4IDNumber,2632)="","",INDEX(I.Facility.P4IDNumber,2632))</f>
        <v/>
      </c>
      <c r="G22644" s="51"/>
      <c r="H22644" s="46" t="str">
        <f>IF(AND(I.Developer.P4=TRUE,I.Facility.P4FacilityCount&gt;=2632,F22644=""),"Incomplete","Complete")</f>
        <v>Complete</v>
      </c>
      <c r="I22644" s="48" t="s">
        <v>27009</v>
      </c>
    </row>
    <row r="22645" spans="2:9" ht="15" customHeight="1" x14ac:dyDescent="0.25">
      <c r="B22645" s="55" t="s">
        <v>283</v>
      </c>
      <c r="C22645" s="46">
        <v>2633</v>
      </c>
      <c r="D22645" s="69" t="s">
        <v>29420</v>
      </c>
      <c r="E22645" s="51"/>
      <c r="F22645" s="114" t="str">
        <f>IF(INDEX(I.Facility.P4IDNumber,2633)="","",INDEX(I.Facility.P4IDNumber,2633))</f>
        <v/>
      </c>
      <c r="G22645" s="51"/>
      <c r="H22645" s="46" t="str">
        <f>IF(AND(I.Developer.P4=TRUE,I.Facility.P4FacilityCount&gt;=2633,F22645=""),"Incomplete","Complete")</f>
        <v>Complete</v>
      </c>
      <c r="I22645" s="48" t="s">
        <v>27010</v>
      </c>
    </row>
    <row r="22646" spans="2:9" ht="15" customHeight="1" x14ac:dyDescent="0.25">
      <c r="B22646" s="55" t="s">
        <v>283</v>
      </c>
      <c r="C22646" s="46">
        <v>2634</v>
      </c>
      <c r="D22646" s="69" t="s">
        <v>29420</v>
      </c>
      <c r="E22646" s="51"/>
      <c r="F22646" s="114" t="str">
        <f>IF(INDEX(I.Facility.P4IDNumber,2634)="","",INDEX(I.Facility.P4IDNumber,2634))</f>
        <v/>
      </c>
      <c r="G22646" s="51"/>
      <c r="H22646" s="46" t="str">
        <f>IF(AND(I.Developer.P4=TRUE,I.Facility.P4FacilityCount&gt;=2634,F22646=""),"Incomplete","Complete")</f>
        <v>Complete</v>
      </c>
      <c r="I22646" s="48" t="s">
        <v>27011</v>
      </c>
    </row>
    <row r="22647" spans="2:9" ht="15" customHeight="1" x14ac:dyDescent="0.25">
      <c r="B22647" s="55" t="s">
        <v>283</v>
      </c>
      <c r="C22647" s="46">
        <v>2635</v>
      </c>
      <c r="D22647" s="69" t="s">
        <v>29420</v>
      </c>
      <c r="E22647" s="51"/>
      <c r="F22647" s="114" t="str">
        <f>IF(INDEX(I.Facility.P4IDNumber,2635)="","",INDEX(I.Facility.P4IDNumber,2635))</f>
        <v/>
      </c>
      <c r="G22647" s="51"/>
      <c r="H22647" s="46" t="str">
        <f>IF(AND(I.Developer.P4=TRUE,I.Facility.P4FacilityCount&gt;=2635,F22647=""),"Incomplete","Complete")</f>
        <v>Complete</v>
      </c>
      <c r="I22647" s="48" t="s">
        <v>27012</v>
      </c>
    </row>
    <row r="22648" spans="2:9" ht="15" customHeight="1" x14ac:dyDescent="0.25">
      <c r="B22648" s="55" t="s">
        <v>283</v>
      </c>
      <c r="C22648" s="46">
        <v>2636</v>
      </c>
      <c r="D22648" s="69" t="s">
        <v>29420</v>
      </c>
      <c r="E22648" s="51"/>
      <c r="F22648" s="114" t="str">
        <f>IF(INDEX(I.Facility.P4IDNumber,2636)="","",INDEX(I.Facility.P4IDNumber,2636))</f>
        <v/>
      </c>
      <c r="G22648" s="51"/>
      <c r="H22648" s="46" t="str">
        <f>IF(AND(I.Developer.P4=TRUE,I.Facility.P4FacilityCount&gt;=2636,F22648=""),"Incomplete","Complete")</f>
        <v>Complete</v>
      </c>
      <c r="I22648" s="48" t="s">
        <v>27013</v>
      </c>
    </row>
    <row r="22649" spans="2:9" ht="15" customHeight="1" x14ac:dyDescent="0.25">
      <c r="B22649" s="55" t="s">
        <v>283</v>
      </c>
      <c r="C22649" s="46">
        <v>2637</v>
      </c>
      <c r="D22649" s="69" t="s">
        <v>29420</v>
      </c>
      <c r="E22649" s="51"/>
      <c r="F22649" s="114" t="str">
        <f>IF(INDEX(I.Facility.P4IDNumber,2637)="","",INDEX(I.Facility.P4IDNumber,2637))</f>
        <v/>
      </c>
      <c r="G22649" s="51"/>
      <c r="H22649" s="46" t="str">
        <f>IF(AND(I.Developer.P4=TRUE,I.Facility.P4FacilityCount&gt;=2637,F22649=""),"Incomplete","Complete")</f>
        <v>Complete</v>
      </c>
      <c r="I22649" s="48" t="s">
        <v>27014</v>
      </c>
    </row>
    <row r="22650" spans="2:9" ht="15" customHeight="1" x14ac:dyDescent="0.25">
      <c r="B22650" s="55" t="s">
        <v>283</v>
      </c>
      <c r="C22650" s="46">
        <v>2638</v>
      </c>
      <c r="D22650" s="69" t="s">
        <v>29420</v>
      </c>
      <c r="E22650" s="51"/>
      <c r="F22650" s="114" t="str">
        <f>IF(INDEX(I.Facility.P4IDNumber,2638)="","",INDEX(I.Facility.P4IDNumber,2638))</f>
        <v/>
      </c>
      <c r="G22650" s="51"/>
      <c r="H22650" s="46" t="str">
        <f>IF(AND(I.Developer.P4=TRUE,I.Facility.P4FacilityCount&gt;=2638,F22650=""),"Incomplete","Complete")</f>
        <v>Complete</v>
      </c>
      <c r="I22650" s="48" t="s">
        <v>27015</v>
      </c>
    </row>
    <row r="22651" spans="2:9" ht="15" customHeight="1" x14ac:dyDescent="0.25">
      <c r="B22651" s="55" t="s">
        <v>283</v>
      </c>
      <c r="C22651" s="46">
        <v>2639</v>
      </c>
      <c r="D22651" s="69" t="s">
        <v>29420</v>
      </c>
      <c r="E22651" s="51"/>
      <c r="F22651" s="114" t="str">
        <f>IF(INDEX(I.Facility.P4IDNumber,2639)="","",INDEX(I.Facility.P4IDNumber,2639))</f>
        <v/>
      </c>
      <c r="G22651" s="51"/>
      <c r="H22651" s="46" t="str">
        <f>IF(AND(I.Developer.P4=TRUE,I.Facility.P4FacilityCount&gt;=2639,F22651=""),"Incomplete","Complete")</f>
        <v>Complete</v>
      </c>
      <c r="I22651" s="48" t="s">
        <v>27016</v>
      </c>
    </row>
    <row r="22652" spans="2:9" ht="15" customHeight="1" x14ac:dyDescent="0.25">
      <c r="B22652" s="55" t="s">
        <v>283</v>
      </c>
      <c r="C22652" s="46">
        <v>2640</v>
      </c>
      <c r="D22652" s="69" t="s">
        <v>29420</v>
      </c>
      <c r="E22652" s="51"/>
      <c r="F22652" s="114" t="str">
        <f>IF(INDEX(I.Facility.P4IDNumber,2640)="","",INDEX(I.Facility.P4IDNumber,2640))</f>
        <v/>
      </c>
      <c r="G22652" s="51"/>
      <c r="H22652" s="46" t="str">
        <f>IF(AND(I.Developer.P4=TRUE,I.Facility.P4FacilityCount&gt;=2640,F22652=""),"Incomplete","Complete")</f>
        <v>Complete</v>
      </c>
      <c r="I22652" s="48" t="s">
        <v>27017</v>
      </c>
    </row>
    <row r="22653" spans="2:9" ht="15" customHeight="1" x14ac:dyDescent="0.25">
      <c r="B22653" s="55" t="s">
        <v>283</v>
      </c>
      <c r="C22653" s="46">
        <v>2641</v>
      </c>
      <c r="D22653" s="69" t="s">
        <v>29420</v>
      </c>
      <c r="E22653" s="51"/>
      <c r="F22653" s="114" t="str">
        <f>IF(INDEX(I.Facility.P4IDNumber,2641)="","",INDEX(I.Facility.P4IDNumber,2641))</f>
        <v/>
      </c>
      <c r="G22653" s="51"/>
      <c r="H22653" s="46" t="str">
        <f>IF(AND(I.Developer.P4=TRUE,I.Facility.P4FacilityCount&gt;=2641,F22653=""),"Incomplete","Complete")</f>
        <v>Complete</v>
      </c>
      <c r="I22653" s="48" t="s">
        <v>27018</v>
      </c>
    </row>
    <row r="22654" spans="2:9" ht="15" customHeight="1" x14ac:dyDescent="0.25">
      <c r="B22654" s="55" t="s">
        <v>283</v>
      </c>
      <c r="C22654" s="46">
        <v>2642</v>
      </c>
      <c r="D22654" s="69" t="s">
        <v>29420</v>
      </c>
      <c r="E22654" s="51"/>
      <c r="F22654" s="114" t="str">
        <f>IF(INDEX(I.Facility.P4IDNumber,2642)="","",INDEX(I.Facility.P4IDNumber,2642))</f>
        <v/>
      </c>
      <c r="G22654" s="51"/>
      <c r="H22654" s="46" t="str">
        <f>IF(AND(I.Developer.P4=TRUE,I.Facility.P4FacilityCount&gt;=2642,F22654=""),"Incomplete","Complete")</f>
        <v>Complete</v>
      </c>
      <c r="I22654" s="48" t="s">
        <v>27019</v>
      </c>
    </row>
    <row r="22655" spans="2:9" ht="15" customHeight="1" x14ac:dyDescent="0.25">
      <c r="B22655" s="55" t="s">
        <v>283</v>
      </c>
      <c r="C22655" s="46">
        <v>2643</v>
      </c>
      <c r="D22655" s="69" t="s">
        <v>29420</v>
      </c>
      <c r="E22655" s="51"/>
      <c r="F22655" s="114" t="str">
        <f>IF(INDEX(I.Facility.P4IDNumber,2643)="","",INDEX(I.Facility.P4IDNumber,2643))</f>
        <v/>
      </c>
      <c r="G22655" s="51"/>
      <c r="H22655" s="46" t="str">
        <f>IF(AND(I.Developer.P4=TRUE,I.Facility.P4FacilityCount&gt;=2643,F22655=""),"Incomplete","Complete")</f>
        <v>Complete</v>
      </c>
      <c r="I22655" s="48" t="s">
        <v>27020</v>
      </c>
    </row>
    <row r="22656" spans="2:9" ht="15" customHeight="1" x14ac:dyDescent="0.25">
      <c r="B22656" s="55" t="s">
        <v>283</v>
      </c>
      <c r="C22656" s="46">
        <v>2644</v>
      </c>
      <c r="D22656" s="69" t="s">
        <v>29420</v>
      </c>
      <c r="E22656" s="51"/>
      <c r="F22656" s="114" t="str">
        <f>IF(INDEX(I.Facility.P4IDNumber,2644)="","",INDEX(I.Facility.P4IDNumber,2644))</f>
        <v/>
      </c>
      <c r="G22656" s="51"/>
      <c r="H22656" s="46" t="str">
        <f>IF(AND(I.Developer.P4=TRUE,I.Facility.P4FacilityCount&gt;=2644,F22656=""),"Incomplete","Complete")</f>
        <v>Complete</v>
      </c>
      <c r="I22656" s="48" t="s">
        <v>27021</v>
      </c>
    </row>
    <row r="22657" spans="2:9" ht="15" customHeight="1" x14ac:dyDescent="0.25">
      <c r="B22657" s="55" t="s">
        <v>283</v>
      </c>
      <c r="C22657" s="46">
        <v>2645</v>
      </c>
      <c r="D22657" s="69" t="s">
        <v>29420</v>
      </c>
      <c r="E22657" s="51"/>
      <c r="F22657" s="114" t="str">
        <f>IF(INDEX(I.Facility.P4IDNumber,2645)="","",INDEX(I.Facility.P4IDNumber,2645))</f>
        <v/>
      </c>
      <c r="G22657" s="51"/>
      <c r="H22657" s="46" t="str">
        <f>IF(AND(I.Developer.P4=TRUE,I.Facility.P4FacilityCount&gt;=2645,F22657=""),"Incomplete","Complete")</f>
        <v>Complete</v>
      </c>
      <c r="I22657" s="48" t="s">
        <v>27022</v>
      </c>
    </row>
    <row r="22658" spans="2:9" ht="15" customHeight="1" x14ac:dyDescent="0.25">
      <c r="B22658" s="55" t="s">
        <v>283</v>
      </c>
      <c r="C22658" s="46">
        <v>2646</v>
      </c>
      <c r="D22658" s="69" t="s">
        <v>29420</v>
      </c>
      <c r="E22658" s="51"/>
      <c r="F22658" s="114" t="str">
        <f>IF(INDEX(I.Facility.P4IDNumber,2646)="","",INDEX(I.Facility.P4IDNumber,2646))</f>
        <v/>
      </c>
      <c r="G22658" s="51"/>
      <c r="H22658" s="46" t="str">
        <f>IF(AND(I.Developer.P4=TRUE,I.Facility.P4FacilityCount&gt;=2646,F22658=""),"Incomplete","Complete")</f>
        <v>Complete</v>
      </c>
      <c r="I22658" s="48" t="s">
        <v>27023</v>
      </c>
    </row>
    <row r="22659" spans="2:9" ht="15" customHeight="1" x14ac:dyDescent="0.25">
      <c r="B22659" s="55" t="s">
        <v>283</v>
      </c>
      <c r="C22659" s="46">
        <v>2647</v>
      </c>
      <c r="D22659" s="69" t="s">
        <v>29420</v>
      </c>
      <c r="E22659" s="51"/>
      <c r="F22659" s="114" t="str">
        <f>IF(INDEX(I.Facility.P4IDNumber,2647)="","",INDEX(I.Facility.P4IDNumber,2647))</f>
        <v/>
      </c>
      <c r="G22659" s="51"/>
      <c r="H22659" s="46" t="str">
        <f>IF(AND(I.Developer.P4=TRUE,I.Facility.P4FacilityCount&gt;=2647,F22659=""),"Incomplete","Complete")</f>
        <v>Complete</v>
      </c>
      <c r="I22659" s="48" t="s">
        <v>27024</v>
      </c>
    </row>
    <row r="22660" spans="2:9" ht="15" customHeight="1" x14ac:dyDescent="0.25">
      <c r="B22660" s="55" t="s">
        <v>283</v>
      </c>
      <c r="C22660" s="46">
        <v>2648</v>
      </c>
      <c r="D22660" s="69" t="s">
        <v>29420</v>
      </c>
      <c r="E22660" s="51"/>
      <c r="F22660" s="114" t="str">
        <f>IF(INDEX(I.Facility.P4IDNumber,2648)="","",INDEX(I.Facility.P4IDNumber,2648))</f>
        <v/>
      </c>
      <c r="G22660" s="51"/>
      <c r="H22660" s="46" t="str">
        <f>IF(AND(I.Developer.P4=TRUE,I.Facility.P4FacilityCount&gt;=2648,F22660=""),"Incomplete","Complete")</f>
        <v>Complete</v>
      </c>
      <c r="I22660" s="48" t="s">
        <v>27025</v>
      </c>
    </row>
    <row r="22661" spans="2:9" ht="15" customHeight="1" x14ac:dyDescent="0.25">
      <c r="B22661" s="55" t="s">
        <v>283</v>
      </c>
      <c r="C22661" s="46">
        <v>2649</v>
      </c>
      <c r="D22661" s="69" t="s">
        <v>29420</v>
      </c>
      <c r="E22661" s="51"/>
      <c r="F22661" s="114" t="str">
        <f>IF(INDEX(I.Facility.P4IDNumber,2649)="","",INDEX(I.Facility.P4IDNumber,2649))</f>
        <v/>
      </c>
      <c r="G22661" s="51"/>
      <c r="H22661" s="46" t="str">
        <f>IF(AND(I.Developer.P4=TRUE,I.Facility.P4FacilityCount&gt;=2649,F22661=""),"Incomplete","Complete")</f>
        <v>Complete</v>
      </c>
      <c r="I22661" s="48" t="s">
        <v>27026</v>
      </c>
    </row>
    <row r="22662" spans="2:9" ht="15" customHeight="1" x14ac:dyDescent="0.25">
      <c r="B22662" s="55" t="s">
        <v>283</v>
      </c>
      <c r="C22662" s="46">
        <v>2650</v>
      </c>
      <c r="D22662" s="69" t="s">
        <v>29420</v>
      </c>
      <c r="E22662" s="51"/>
      <c r="F22662" s="114" t="str">
        <f>IF(INDEX(I.Facility.P4IDNumber,2650)="","",INDEX(I.Facility.P4IDNumber,2650))</f>
        <v/>
      </c>
      <c r="G22662" s="51"/>
      <c r="H22662" s="46" t="str">
        <f>IF(AND(I.Developer.P4=TRUE,I.Facility.P4FacilityCount&gt;=2650,F22662=""),"Incomplete","Complete")</f>
        <v>Complete</v>
      </c>
      <c r="I22662" s="48" t="s">
        <v>27027</v>
      </c>
    </row>
    <row r="22663" spans="2:9" ht="15" customHeight="1" x14ac:dyDescent="0.25">
      <c r="B22663" s="55" t="s">
        <v>283</v>
      </c>
      <c r="C22663" s="46">
        <v>2651</v>
      </c>
      <c r="D22663" s="69" t="s">
        <v>29420</v>
      </c>
      <c r="E22663" s="51"/>
      <c r="F22663" s="114" t="str">
        <f>IF(INDEX(I.Facility.P4IDNumber,2651)="","",INDEX(I.Facility.P4IDNumber,2651))</f>
        <v/>
      </c>
      <c r="G22663" s="51"/>
      <c r="H22663" s="46" t="str">
        <f>IF(AND(I.Developer.P4=TRUE,I.Facility.P4FacilityCount&gt;=2651,F22663=""),"Incomplete","Complete")</f>
        <v>Complete</v>
      </c>
      <c r="I22663" s="48" t="s">
        <v>27028</v>
      </c>
    </row>
    <row r="22664" spans="2:9" ht="15" customHeight="1" x14ac:dyDescent="0.25">
      <c r="B22664" s="55" t="s">
        <v>283</v>
      </c>
      <c r="C22664" s="46">
        <v>2652</v>
      </c>
      <c r="D22664" s="69" t="s">
        <v>29420</v>
      </c>
      <c r="E22664" s="51"/>
      <c r="F22664" s="114" t="str">
        <f>IF(INDEX(I.Facility.P4IDNumber,2652)="","",INDEX(I.Facility.P4IDNumber,2652))</f>
        <v/>
      </c>
      <c r="G22664" s="51"/>
      <c r="H22664" s="46" t="str">
        <f>IF(AND(I.Developer.P4=TRUE,I.Facility.P4FacilityCount&gt;=2652,F22664=""),"Incomplete","Complete")</f>
        <v>Complete</v>
      </c>
      <c r="I22664" s="48" t="s">
        <v>27029</v>
      </c>
    </row>
    <row r="22665" spans="2:9" ht="15" customHeight="1" x14ac:dyDescent="0.25">
      <c r="B22665" s="55" t="s">
        <v>283</v>
      </c>
      <c r="C22665" s="46">
        <v>2653</v>
      </c>
      <c r="D22665" s="69" t="s">
        <v>29420</v>
      </c>
      <c r="E22665" s="51"/>
      <c r="F22665" s="114" t="str">
        <f>IF(INDEX(I.Facility.P4IDNumber,2653)="","",INDEX(I.Facility.P4IDNumber,2653))</f>
        <v/>
      </c>
      <c r="G22665" s="51"/>
      <c r="H22665" s="46" t="str">
        <f>IF(AND(I.Developer.P4=TRUE,I.Facility.P4FacilityCount&gt;=2653,F22665=""),"Incomplete","Complete")</f>
        <v>Complete</v>
      </c>
      <c r="I22665" s="48" t="s">
        <v>27030</v>
      </c>
    </row>
    <row r="22666" spans="2:9" ht="15" customHeight="1" x14ac:dyDescent="0.25">
      <c r="B22666" s="55" t="s">
        <v>283</v>
      </c>
      <c r="C22666" s="46">
        <v>2654</v>
      </c>
      <c r="D22666" s="69" t="s">
        <v>29420</v>
      </c>
      <c r="E22666" s="51"/>
      <c r="F22666" s="114" t="str">
        <f>IF(INDEX(I.Facility.P4IDNumber,2654)="","",INDEX(I.Facility.P4IDNumber,2654))</f>
        <v/>
      </c>
      <c r="G22666" s="51"/>
      <c r="H22666" s="46" t="str">
        <f>IF(AND(I.Developer.P4=TRUE,I.Facility.P4FacilityCount&gt;=2654,F22666=""),"Incomplete","Complete")</f>
        <v>Complete</v>
      </c>
      <c r="I22666" s="48" t="s">
        <v>27031</v>
      </c>
    </row>
    <row r="22667" spans="2:9" ht="15" customHeight="1" x14ac:dyDescent="0.25">
      <c r="B22667" s="55" t="s">
        <v>283</v>
      </c>
      <c r="C22667" s="46">
        <v>2655</v>
      </c>
      <c r="D22667" s="69" t="s">
        <v>29420</v>
      </c>
      <c r="E22667" s="51"/>
      <c r="F22667" s="114" t="str">
        <f>IF(INDEX(I.Facility.P4IDNumber,2655)="","",INDEX(I.Facility.P4IDNumber,2655))</f>
        <v/>
      </c>
      <c r="G22667" s="51"/>
      <c r="H22667" s="46" t="str">
        <f>IF(AND(I.Developer.P4=TRUE,I.Facility.P4FacilityCount&gt;=2655,F22667=""),"Incomplete","Complete")</f>
        <v>Complete</v>
      </c>
      <c r="I22667" s="48" t="s">
        <v>27032</v>
      </c>
    </row>
    <row r="22668" spans="2:9" ht="15" customHeight="1" x14ac:dyDescent="0.25">
      <c r="B22668" s="55" t="s">
        <v>283</v>
      </c>
      <c r="C22668" s="46">
        <v>2656</v>
      </c>
      <c r="D22668" s="69" t="s">
        <v>29420</v>
      </c>
      <c r="E22668" s="51"/>
      <c r="F22668" s="114" t="str">
        <f>IF(INDEX(I.Facility.P4IDNumber,2656)="","",INDEX(I.Facility.P4IDNumber,2656))</f>
        <v/>
      </c>
      <c r="G22668" s="51"/>
      <c r="H22668" s="46" t="str">
        <f>IF(AND(I.Developer.P4=TRUE,I.Facility.P4FacilityCount&gt;=2656,F22668=""),"Incomplete","Complete")</f>
        <v>Complete</v>
      </c>
      <c r="I22668" s="48" t="s">
        <v>27033</v>
      </c>
    </row>
    <row r="22669" spans="2:9" ht="15" customHeight="1" x14ac:dyDescent="0.25">
      <c r="B22669" s="55" t="s">
        <v>283</v>
      </c>
      <c r="C22669" s="46">
        <v>2657</v>
      </c>
      <c r="D22669" s="69" t="s">
        <v>29420</v>
      </c>
      <c r="E22669" s="51"/>
      <c r="F22669" s="114" t="str">
        <f>IF(INDEX(I.Facility.P4IDNumber,2657)="","",INDEX(I.Facility.P4IDNumber,2657))</f>
        <v/>
      </c>
      <c r="G22669" s="51"/>
      <c r="H22669" s="46" t="str">
        <f>IF(AND(I.Developer.P4=TRUE,I.Facility.P4FacilityCount&gt;=2657,F22669=""),"Incomplete","Complete")</f>
        <v>Complete</v>
      </c>
      <c r="I22669" s="48" t="s">
        <v>27034</v>
      </c>
    </row>
    <row r="22670" spans="2:9" ht="15" customHeight="1" x14ac:dyDescent="0.25">
      <c r="B22670" s="55" t="s">
        <v>283</v>
      </c>
      <c r="C22670" s="46">
        <v>2658</v>
      </c>
      <c r="D22670" s="69" t="s">
        <v>29420</v>
      </c>
      <c r="E22670" s="51"/>
      <c r="F22670" s="114" t="str">
        <f>IF(INDEX(I.Facility.P4IDNumber,2658)="","",INDEX(I.Facility.P4IDNumber,2658))</f>
        <v/>
      </c>
      <c r="G22670" s="51"/>
      <c r="H22670" s="46" t="str">
        <f>IF(AND(I.Developer.P4=TRUE,I.Facility.P4FacilityCount&gt;=2658,F22670=""),"Incomplete","Complete")</f>
        <v>Complete</v>
      </c>
      <c r="I22670" s="48" t="s">
        <v>27035</v>
      </c>
    </row>
    <row r="22671" spans="2:9" ht="15" customHeight="1" x14ac:dyDescent="0.25">
      <c r="B22671" s="55" t="s">
        <v>283</v>
      </c>
      <c r="C22671" s="46">
        <v>2659</v>
      </c>
      <c r="D22671" s="69" t="s">
        <v>29420</v>
      </c>
      <c r="E22671" s="51"/>
      <c r="F22671" s="114" t="str">
        <f>IF(INDEX(I.Facility.P4IDNumber,2659)="","",INDEX(I.Facility.P4IDNumber,2659))</f>
        <v/>
      </c>
      <c r="G22671" s="51"/>
      <c r="H22671" s="46" t="str">
        <f>IF(AND(I.Developer.P4=TRUE,I.Facility.P4FacilityCount&gt;=2659,F22671=""),"Incomplete","Complete")</f>
        <v>Complete</v>
      </c>
      <c r="I22671" s="48" t="s">
        <v>27036</v>
      </c>
    </row>
    <row r="22672" spans="2:9" ht="15" customHeight="1" x14ac:dyDescent="0.25">
      <c r="B22672" s="55" t="s">
        <v>283</v>
      </c>
      <c r="C22672" s="46">
        <v>2660</v>
      </c>
      <c r="D22672" s="69" t="s">
        <v>29420</v>
      </c>
      <c r="E22672" s="51"/>
      <c r="F22672" s="114" t="str">
        <f>IF(INDEX(I.Facility.P4IDNumber,2660)="","",INDEX(I.Facility.P4IDNumber,2660))</f>
        <v/>
      </c>
      <c r="G22672" s="51"/>
      <c r="H22672" s="46" t="str">
        <f>IF(AND(I.Developer.P4=TRUE,I.Facility.P4FacilityCount&gt;=2660,F22672=""),"Incomplete","Complete")</f>
        <v>Complete</v>
      </c>
      <c r="I22672" s="48" t="s">
        <v>27037</v>
      </c>
    </row>
    <row r="22673" spans="2:9" ht="15" customHeight="1" x14ac:dyDescent="0.25">
      <c r="B22673" s="55" t="s">
        <v>283</v>
      </c>
      <c r="C22673" s="46">
        <v>2661</v>
      </c>
      <c r="D22673" s="69" t="s">
        <v>29420</v>
      </c>
      <c r="E22673" s="51"/>
      <c r="F22673" s="114" t="str">
        <f>IF(INDEX(I.Facility.P4IDNumber,2661)="","",INDEX(I.Facility.P4IDNumber,2661))</f>
        <v/>
      </c>
      <c r="G22673" s="51"/>
      <c r="H22673" s="46" t="str">
        <f>IF(AND(I.Developer.P4=TRUE,I.Facility.P4FacilityCount&gt;=2661,F22673=""),"Incomplete","Complete")</f>
        <v>Complete</v>
      </c>
      <c r="I22673" s="48" t="s">
        <v>27038</v>
      </c>
    </row>
    <row r="22674" spans="2:9" ht="15" customHeight="1" x14ac:dyDescent="0.25">
      <c r="B22674" s="55" t="s">
        <v>283</v>
      </c>
      <c r="C22674" s="46">
        <v>2662</v>
      </c>
      <c r="D22674" s="69" t="s">
        <v>29420</v>
      </c>
      <c r="E22674" s="51"/>
      <c r="F22674" s="114" t="str">
        <f>IF(INDEX(I.Facility.P4IDNumber,2662)="","",INDEX(I.Facility.P4IDNumber,2662))</f>
        <v/>
      </c>
      <c r="G22674" s="51"/>
      <c r="H22674" s="46" t="str">
        <f>IF(AND(I.Developer.P4=TRUE,I.Facility.P4FacilityCount&gt;=2662,F22674=""),"Incomplete","Complete")</f>
        <v>Complete</v>
      </c>
      <c r="I22674" s="48" t="s">
        <v>27039</v>
      </c>
    </row>
    <row r="22675" spans="2:9" ht="15" customHeight="1" x14ac:dyDescent="0.25">
      <c r="B22675" s="55" t="s">
        <v>283</v>
      </c>
      <c r="C22675" s="46">
        <v>2663</v>
      </c>
      <c r="D22675" s="69" t="s">
        <v>29420</v>
      </c>
      <c r="E22675" s="51"/>
      <c r="F22675" s="114" t="str">
        <f>IF(INDEX(I.Facility.P4IDNumber,2663)="","",INDEX(I.Facility.P4IDNumber,2663))</f>
        <v/>
      </c>
      <c r="G22675" s="51"/>
      <c r="H22675" s="46" t="str">
        <f>IF(AND(I.Developer.P4=TRUE,I.Facility.P4FacilityCount&gt;=2663,F22675=""),"Incomplete","Complete")</f>
        <v>Complete</v>
      </c>
      <c r="I22675" s="48" t="s">
        <v>27040</v>
      </c>
    </row>
    <row r="22676" spans="2:9" ht="15" customHeight="1" x14ac:dyDescent="0.25">
      <c r="B22676" s="55" t="s">
        <v>283</v>
      </c>
      <c r="C22676" s="46">
        <v>2664</v>
      </c>
      <c r="D22676" s="69" t="s">
        <v>29420</v>
      </c>
      <c r="E22676" s="51"/>
      <c r="F22676" s="114" t="str">
        <f>IF(INDEX(I.Facility.P4IDNumber,2664)="","",INDEX(I.Facility.P4IDNumber,2664))</f>
        <v/>
      </c>
      <c r="G22676" s="51"/>
      <c r="H22676" s="46" t="str">
        <f>IF(AND(I.Developer.P4=TRUE,I.Facility.P4FacilityCount&gt;=2664,F22676=""),"Incomplete","Complete")</f>
        <v>Complete</v>
      </c>
      <c r="I22676" s="48" t="s">
        <v>27041</v>
      </c>
    </row>
    <row r="22677" spans="2:9" ht="15" customHeight="1" x14ac:dyDescent="0.25">
      <c r="B22677" s="55" t="s">
        <v>283</v>
      </c>
      <c r="C22677" s="46">
        <v>2665</v>
      </c>
      <c r="D22677" s="69" t="s">
        <v>29420</v>
      </c>
      <c r="E22677" s="51"/>
      <c r="F22677" s="114" t="str">
        <f>IF(INDEX(I.Facility.P4IDNumber,2665)="","",INDEX(I.Facility.P4IDNumber,2665))</f>
        <v/>
      </c>
      <c r="G22677" s="51"/>
      <c r="H22677" s="46" t="str">
        <f>IF(AND(I.Developer.P4=TRUE,I.Facility.P4FacilityCount&gt;=2665,F22677=""),"Incomplete","Complete")</f>
        <v>Complete</v>
      </c>
      <c r="I22677" s="48" t="s">
        <v>27042</v>
      </c>
    </row>
    <row r="22678" spans="2:9" ht="15" customHeight="1" x14ac:dyDescent="0.25">
      <c r="B22678" s="55" t="s">
        <v>283</v>
      </c>
      <c r="C22678" s="46">
        <v>2666</v>
      </c>
      <c r="D22678" s="69" t="s">
        <v>29420</v>
      </c>
      <c r="E22678" s="51"/>
      <c r="F22678" s="114" t="str">
        <f>IF(INDEX(I.Facility.P4IDNumber,2666)="","",INDEX(I.Facility.P4IDNumber,2666))</f>
        <v/>
      </c>
      <c r="G22678" s="51"/>
      <c r="H22678" s="46" t="str">
        <f>IF(AND(I.Developer.P4=TRUE,I.Facility.P4FacilityCount&gt;=2666,F22678=""),"Incomplete","Complete")</f>
        <v>Complete</v>
      </c>
      <c r="I22678" s="48" t="s">
        <v>27043</v>
      </c>
    </row>
    <row r="22679" spans="2:9" ht="15" customHeight="1" x14ac:dyDescent="0.25">
      <c r="B22679" s="55" t="s">
        <v>283</v>
      </c>
      <c r="C22679" s="46">
        <v>2667</v>
      </c>
      <c r="D22679" s="69" t="s">
        <v>29420</v>
      </c>
      <c r="E22679" s="51"/>
      <c r="F22679" s="114" t="str">
        <f>IF(INDEX(I.Facility.P4IDNumber,2667)="","",INDEX(I.Facility.P4IDNumber,2667))</f>
        <v/>
      </c>
      <c r="G22679" s="51"/>
      <c r="H22679" s="46" t="str">
        <f>IF(AND(I.Developer.P4=TRUE,I.Facility.P4FacilityCount&gt;=2667,F22679=""),"Incomplete","Complete")</f>
        <v>Complete</v>
      </c>
      <c r="I22679" s="48" t="s">
        <v>27044</v>
      </c>
    </row>
    <row r="22680" spans="2:9" ht="15" customHeight="1" x14ac:dyDescent="0.25">
      <c r="B22680" s="55" t="s">
        <v>283</v>
      </c>
      <c r="C22680" s="46">
        <v>2668</v>
      </c>
      <c r="D22680" s="69" t="s">
        <v>29420</v>
      </c>
      <c r="E22680" s="51"/>
      <c r="F22680" s="114" t="str">
        <f>IF(INDEX(I.Facility.P4IDNumber,2668)="","",INDEX(I.Facility.P4IDNumber,2668))</f>
        <v/>
      </c>
      <c r="G22680" s="51"/>
      <c r="H22680" s="46" t="str">
        <f>IF(AND(I.Developer.P4=TRUE,I.Facility.P4FacilityCount&gt;=2668,F22680=""),"Incomplete","Complete")</f>
        <v>Complete</v>
      </c>
      <c r="I22680" s="48" t="s">
        <v>27045</v>
      </c>
    </row>
    <row r="22681" spans="2:9" ht="15" customHeight="1" x14ac:dyDescent="0.25">
      <c r="B22681" s="55" t="s">
        <v>283</v>
      </c>
      <c r="C22681" s="46">
        <v>2669</v>
      </c>
      <c r="D22681" s="69" t="s">
        <v>29420</v>
      </c>
      <c r="E22681" s="51"/>
      <c r="F22681" s="114" t="str">
        <f>IF(INDEX(I.Facility.P4IDNumber,2669)="","",INDEX(I.Facility.P4IDNumber,2669))</f>
        <v/>
      </c>
      <c r="G22681" s="51"/>
      <c r="H22681" s="46" t="str">
        <f>IF(AND(I.Developer.P4=TRUE,I.Facility.P4FacilityCount&gt;=2669,F22681=""),"Incomplete","Complete")</f>
        <v>Complete</v>
      </c>
      <c r="I22681" s="48" t="s">
        <v>27046</v>
      </c>
    </row>
    <row r="22682" spans="2:9" ht="15" customHeight="1" x14ac:dyDescent="0.25">
      <c r="B22682" s="55" t="s">
        <v>283</v>
      </c>
      <c r="C22682" s="46">
        <v>2670</v>
      </c>
      <c r="D22682" s="69" t="s">
        <v>29420</v>
      </c>
      <c r="E22682" s="51"/>
      <c r="F22682" s="114" t="str">
        <f>IF(INDEX(I.Facility.P4IDNumber,2670)="","",INDEX(I.Facility.P4IDNumber,2670))</f>
        <v/>
      </c>
      <c r="G22682" s="51"/>
      <c r="H22682" s="46" t="str">
        <f>IF(AND(I.Developer.P4=TRUE,I.Facility.P4FacilityCount&gt;=2670,F22682=""),"Incomplete","Complete")</f>
        <v>Complete</v>
      </c>
      <c r="I22682" s="48" t="s">
        <v>27047</v>
      </c>
    </row>
    <row r="22683" spans="2:9" ht="15" customHeight="1" x14ac:dyDescent="0.25">
      <c r="B22683" s="55" t="s">
        <v>283</v>
      </c>
      <c r="C22683" s="46">
        <v>2671</v>
      </c>
      <c r="D22683" s="69" t="s">
        <v>29420</v>
      </c>
      <c r="E22683" s="51"/>
      <c r="F22683" s="114" t="str">
        <f>IF(INDEX(I.Facility.P4IDNumber,2671)="","",INDEX(I.Facility.P4IDNumber,2671))</f>
        <v/>
      </c>
      <c r="G22683" s="51"/>
      <c r="H22683" s="46" t="str">
        <f>IF(AND(I.Developer.P4=TRUE,I.Facility.P4FacilityCount&gt;=2671,F22683=""),"Incomplete","Complete")</f>
        <v>Complete</v>
      </c>
      <c r="I22683" s="48" t="s">
        <v>27048</v>
      </c>
    </row>
    <row r="22684" spans="2:9" ht="15" customHeight="1" x14ac:dyDescent="0.25">
      <c r="B22684" s="55" t="s">
        <v>283</v>
      </c>
      <c r="C22684" s="46">
        <v>2672</v>
      </c>
      <c r="D22684" s="69" t="s">
        <v>29420</v>
      </c>
      <c r="E22684" s="51"/>
      <c r="F22684" s="114" t="str">
        <f>IF(INDEX(I.Facility.P4IDNumber,2672)="","",INDEX(I.Facility.P4IDNumber,2672))</f>
        <v/>
      </c>
      <c r="G22684" s="51"/>
      <c r="H22684" s="46" t="str">
        <f>IF(AND(I.Developer.P4=TRUE,I.Facility.P4FacilityCount&gt;=2672,F22684=""),"Incomplete","Complete")</f>
        <v>Complete</v>
      </c>
      <c r="I22684" s="48" t="s">
        <v>27049</v>
      </c>
    </row>
    <row r="22685" spans="2:9" ht="15" customHeight="1" x14ac:dyDescent="0.25">
      <c r="B22685" s="55" t="s">
        <v>283</v>
      </c>
      <c r="C22685" s="46">
        <v>2673</v>
      </c>
      <c r="D22685" s="69" t="s">
        <v>29420</v>
      </c>
      <c r="E22685" s="51"/>
      <c r="F22685" s="114" t="str">
        <f>IF(INDEX(I.Facility.P4IDNumber,2673)="","",INDEX(I.Facility.P4IDNumber,2673))</f>
        <v/>
      </c>
      <c r="G22685" s="51"/>
      <c r="H22685" s="46" t="str">
        <f>IF(AND(I.Developer.P4=TRUE,I.Facility.P4FacilityCount&gt;=2673,F22685=""),"Incomplete","Complete")</f>
        <v>Complete</v>
      </c>
      <c r="I22685" s="48" t="s">
        <v>27050</v>
      </c>
    </row>
    <row r="22686" spans="2:9" ht="15" customHeight="1" x14ac:dyDescent="0.25">
      <c r="B22686" s="55" t="s">
        <v>283</v>
      </c>
      <c r="C22686" s="46">
        <v>2674</v>
      </c>
      <c r="D22686" s="69" t="s">
        <v>29420</v>
      </c>
      <c r="E22686" s="51"/>
      <c r="F22686" s="114" t="str">
        <f>IF(INDEX(I.Facility.P4IDNumber,2674)="","",INDEX(I.Facility.P4IDNumber,2674))</f>
        <v/>
      </c>
      <c r="G22686" s="51"/>
      <c r="H22686" s="46" t="str">
        <f>IF(AND(I.Developer.P4=TRUE,I.Facility.P4FacilityCount&gt;=2674,F22686=""),"Incomplete","Complete")</f>
        <v>Complete</v>
      </c>
      <c r="I22686" s="48" t="s">
        <v>27051</v>
      </c>
    </row>
    <row r="22687" spans="2:9" ht="15" customHeight="1" x14ac:dyDescent="0.25">
      <c r="B22687" s="55" t="s">
        <v>283</v>
      </c>
      <c r="C22687" s="46">
        <v>2675</v>
      </c>
      <c r="D22687" s="69" t="s">
        <v>29420</v>
      </c>
      <c r="E22687" s="51"/>
      <c r="F22687" s="114" t="str">
        <f>IF(INDEX(I.Facility.P4IDNumber,2675)="","",INDEX(I.Facility.P4IDNumber,2675))</f>
        <v/>
      </c>
      <c r="G22687" s="51"/>
      <c r="H22687" s="46" t="str">
        <f>IF(AND(I.Developer.P4=TRUE,I.Facility.P4FacilityCount&gt;=2675,F22687=""),"Incomplete","Complete")</f>
        <v>Complete</v>
      </c>
      <c r="I22687" s="48" t="s">
        <v>27052</v>
      </c>
    </row>
    <row r="22688" spans="2:9" ht="15" customHeight="1" x14ac:dyDescent="0.25">
      <c r="B22688" s="55" t="s">
        <v>283</v>
      </c>
      <c r="C22688" s="46">
        <v>2676</v>
      </c>
      <c r="D22688" s="69" t="s">
        <v>29420</v>
      </c>
      <c r="E22688" s="51"/>
      <c r="F22688" s="114" t="str">
        <f>IF(INDEX(I.Facility.P4IDNumber,2676)="","",INDEX(I.Facility.P4IDNumber,2676))</f>
        <v/>
      </c>
      <c r="G22688" s="51"/>
      <c r="H22688" s="46" t="str">
        <f>IF(AND(I.Developer.P4=TRUE,I.Facility.P4FacilityCount&gt;=2676,F22688=""),"Incomplete","Complete")</f>
        <v>Complete</v>
      </c>
      <c r="I22688" s="48" t="s">
        <v>27053</v>
      </c>
    </row>
    <row r="22689" spans="2:9" ht="15" customHeight="1" x14ac:dyDescent="0.25">
      <c r="B22689" s="55" t="s">
        <v>283</v>
      </c>
      <c r="C22689" s="46">
        <v>2677</v>
      </c>
      <c r="D22689" s="69" t="s">
        <v>29420</v>
      </c>
      <c r="E22689" s="51"/>
      <c r="F22689" s="114" t="str">
        <f>IF(INDEX(I.Facility.P4IDNumber,2677)="","",INDEX(I.Facility.P4IDNumber,2677))</f>
        <v/>
      </c>
      <c r="G22689" s="51"/>
      <c r="H22689" s="46" t="str">
        <f>IF(AND(I.Developer.P4=TRUE,I.Facility.P4FacilityCount&gt;=2677,F22689=""),"Incomplete","Complete")</f>
        <v>Complete</v>
      </c>
      <c r="I22689" s="48" t="s">
        <v>27054</v>
      </c>
    </row>
    <row r="22690" spans="2:9" ht="15" customHeight="1" x14ac:dyDescent="0.25">
      <c r="B22690" s="55" t="s">
        <v>283</v>
      </c>
      <c r="C22690" s="46">
        <v>2678</v>
      </c>
      <c r="D22690" s="69" t="s">
        <v>29420</v>
      </c>
      <c r="E22690" s="51"/>
      <c r="F22690" s="114" t="str">
        <f>IF(INDEX(I.Facility.P4IDNumber,2678)="","",INDEX(I.Facility.P4IDNumber,2678))</f>
        <v/>
      </c>
      <c r="G22690" s="51"/>
      <c r="H22690" s="46" t="str">
        <f>IF(AND(I.Developer.P4=TRUE,I.Facility.P4FacilityCount&gt;=2678,F22690=""),"Incomplete","Complete")</f>
        <v>Complete</v>
      </c>
      <c r="I22690" s="48" t="s">
        <v>27055</v>
      </c>
    </row>
    <row r="22691" spans="2:9" ht="15" customHeight="1" x14ac:dyDescent="0.25">
      <c r="B22691" s="55" t="s">
        <v>283</v>
      </c>
      <c r="C22691" s="46">
        <v>2679</v>
      </c>
      <c r="D22691" s="69" t="s">
        <v>29420</v>
      </c>
      <c r="E22691" s="51"/>
      <c r="F22691" s="114" t="str">
        <f>IF(INDEX(I.Facility.P4IDNumber,2679)="","",INDEX(I.Facility.P4IDNumber,2679))</f>
        <v/>
      </c>
      <c r="G22691" s="51"/>
      <c r="H22691" s="46" t="str">
        <f>IF(AND(I.Developer.P4=TRUE,I.Facility.P4FacilityCount&gt;=2679,F22691=""),"Incomplete","Complete")</f>
        <v>Complete</v>
      </c>
      <c r="I22691" s="48" t="s">
        <v>27056</v>
      </c>
    </row>
    <row r="22692" spans="2:9" ht="15" customHeight="1" x14ac:dyDescent="0.25">
      <c r="B22692" s="55" t="s">
        <v>283</v>
      </c>
      <c r="C22692" s="46">
        <v>2680</v>
      </c>
      <c r="D22692" s="69" t="s">
        <v>29420</v>
      </c>
      <c r="E22692" s="51"/>
      <c r="F22692" s="114" t="str">
        <f>IF(INDEX(I.Facility.P4IDNumber,2680)="","",INDEX(I.Facility.P4IDNumber,2680))</f>
        <v/>
      </c>
      <c r="G22692" s="51"/>
      <c r="H22692" s="46" t="str">
        <f>IF(AND(I.Developer.P4=TRUE,I.Facility.P4FacilityCount&gt;=2680,F22692=""),"Incomplete","Complete")</f>
        <v>Complete</v>
      </c>
      <c r="I22692" s="48" t="s">
        <v>27057</v>
      </c>
    </row>
    <row r="22693" spans="2:9" ht="15" customHeight="1" x14ac:dyDescent="0.25">
      <c r="B22693" s="55" t="s">
        <v>283</v>
      </c>
      <c r="C22693" s="46">
        <v>2681</v>
      </c>
      <c r="D22693" s="69" t="s">
        <v>29420</v>
      </c>
      <c r="E22693" s="51"/>
      <c r="F22693" s="114" t="str">
        <f>IF(INDEX(I.Facility.P4IDNumber,2681)="","",INDEX(I.Facility.P4IDNumber,2681))</f>
        <v/>
      </c>
      <c r="G22693" s="51"/>
      <c r="H22693" s="46" t="str">
        <f>IF(AND(I.Developer.P4=TRUE,I.Facility.P4FacilityCount&gt;=2681,F22693=""),"Incomplete","Complete")</f>
        <v>Complete</v>
      </c>
      <c r="I22693" s="48" t="s">
        <v>27058</v>
      </c>
    </row>
    <row r="22694" spans="2:9" ht="15" customHeight="1" x14ac:dyDescent="0.25">
      <c r="B22694" s="55" t="s">
        <v>283</v>
      </c>
      <c r="C22694" s="46">
        <v>2682</v>
      </c>
      <c r="D22694" s="69" t="s">
        <v>29420</v>
      </c>
      <c r="E22694" s="51"/>
      <c r="F22694" s="114" t="str">
        <f>IF(INDEX(I.Facility.P4IDNumber,2682)="","",INDEX(I.Facility.P4IDNumber,2682))</f>
        <v/>
      </c>
      <c r="G22694" s="51"/>
      <c r="H22694" s="46" t="str">
        <f>IF(AND(I.Developer.P4=TRUE,I.Facility.P4FacilityCount&gt;=2682,F22694=""),"Incomplete","Complete")</f>
        <v>Complete</v>
      </c>
      <c r="I22694" s="48" t="s">
        <v>27059</v>
      </c>
    </row>
    <row r="22695" spans="2:9" ht="15" customHeight="1" x14ac:dyDescent="0.25">
      <c r="B22695" s="55" t="s">
        <v>283</v>
      </c>
      <c r="C22695" s="46">
        <v>2683</v>
      </c>
      <c r="D22695" s="69" t="s">
        <v>29420</v>
      </c>
      <c r="E22695" s="51"/>
      <c r="F22695" s="114" t="str">
        <f>IF(INDEX(I.Facility.P4IDNumber,2683)="","",INDEX(I.Facility.P4IDNumber,2683))</f>
        <v/>
      </c>
      <c r="G22695" s="51"/>
      <c r="H22695" s="46" t="str">
        <f>IF(AND(I.Developer.P4=TRUE,I.Facility.P4FacilityCount&gt;=2683,F22695=""),"Incomplete","Complete")</f>
        <v>Complete</v>
      </c>
      <c r="I22695" s="48" t="s">
        <v>27060</v>
      </c>
    </row>
    <row r="22696" spans="2:9" ht="15" customHeight="1" x14ac:dyDescent="0.25">
      <c r="B22696" s="55" t="s">
        <v>283</v>
      </c>
      <c r="C22696" s="46">
        <v>2684</v>
      </c>
      <c r="D22696" s="69" t="s">
        <v>29420</v>
      </c>
      <c r="E22696" s="51"/>
      <c r="F22696" s="114" t="str">
        <f>IF(INDEX(I.Facility.P4IDNumber,2684)="","",INDEX(I.Facility.P4IDNumber,2684))</f>
        <v/>
      </c>
      <c r="G22696" s="51"/>
      <c r="H22696" s="46" t="str">
        <f>IF(AND(I.Developer.P4=TRUE,I.Facility.P4FacilityCount&gt;=2684,F22696=""),"Incomplete","Complete")</f>
        <v>Complete</v>
      </c>
      <c r="I22696" s="48" t="s">
        <v>27061</v>
      </c>
    </row>
    <row r="22697" spans="2:9" ht="15" customHeight="1" x14ac:dyDescent="0.25">
      <c r="B22697" s="55" t="s">
        <v>283</v>
      </c>
      <c r="C22697" s="46">
        <v>2685</v>
      </c>
      <c r="D22697" s="69" t="s">
        <v>29420</v>
      </c>
      <c r="E22697" s="51"/>
      <c r="F22697" s="114" t="str">
        <f>IF(INDEX(I.Facility.P4IDNumber,2685)="","",INDEX(I.Facility.P4IDNumber,2685))</f>
        <v/>
      </c>
      <c r="G22697" s="51"/>
      <c r="H22697" s="46" t="str">
        <f>IF(AND(I.Developer.P4=TRUE,I.Facility.P4FacilityCount&gt;=2685,F22697=""),"Incomplete","Complete")</f>
        <v>Complete</v>
      </c>
      <c r="I22697" s="48" t="s">
        <v>27062</v>
      </c>
    </row>
    <row r="22698" spans="2:9" ht="15" customHeight="1" x14ac:dyDescent="0.25">
      <c r="B22698" s="55" t="s">
        <v>283</v>
      </c>
      <c r="C22698" s="46">
        <v>2686</v>
      </c>
      <c r="D22698" s="69" t="s">
        <v>29420</v>
      </c>
      <c r="E22698" s="51"/>
      <c r="F22698" s="114" t="str">
        <f>IF(INDEX(I.Facility.P4IDNumber,2686)="","",INDEX(I.Facility.P4IDNumber,2686))</f>
        <v/>
      </c>
      <c r="G22698" s="51"/>
      <c r="H22698" s="46" t="str">
        <f>IF(AND(I.Developer.P4=TRUE,I.Facility.P4FacilityCount&gt;=2686,F22698=""),"Incomplete","Complete")</f>
        <v>Complete</v>
      </c>
      <c r="I22698" s="48" t="s">
        <v>27063</v>
      </c>
    </row>
    <row r="22699" spans="2:9" ht="15" customHeight="1" x14ac:dyDescent="0.25">
      <c r="B22699" s="55" t="s">
        <v>283</v>
      </c>
      <c r="C22699" s="46">
        <v>2687</v>
      </c>
      <c r="D22699" s="69" t="s">
        <v>29420</v>
      </c>
      <c r="E22699" s="51"/>
      <c r="F22699" s="114" t="str">
        <f>IF(INDEX(I.Facility.P4IDNumber,2687)="","",INDEX(I.Facility.P4IDNumber,2687))</f>
        <v/>
      </c>
      <c r="G22699" s="51"/>
      <c r="H22699" s="46" t="str">
        <f>IF(AND(I.Developer.P4=TRUE,I.Facility.P4FacilityCount&gt;=2687,F22699=""),"Incomplete","Complete")</f>
        <v>Complete</v>
      </c>
      <c r="I22699" s="48" t="s">
        <v>27064</v>
      </c>
    </row>
    <row r="22700" spans="2:9" ht="15" customHeight="1" x14ac:dyDescent="0.25">
      <c r="B22700" s="55" t="s">
        <v>283</v>
      </c>
      <c r="C22700" s="46">
        <v>2688</v>
      </c>
      <c r="D22700" s="69" t="s">
        <v>29420</v>
      </c>
      <c r="E22700" s="51"/>
      <c r="F22700" s="114" t="str">
        <f>IF(INDEX(I.Facility.P4IDNumber,2688)="","",INDEX(I.Facility.P4IDNumber,2688))</f>
        <v/>
      </c>
      <c r="G22700" s="51"/>
      <c r="H22700" s="46" t="str">
        <f>IF(AND(I.Developer.P4=TRUE,I.Facility.P4FacilityCount&gt;=2688,F22700=""),"Incomplete","Complete")</f>
        <v>Complete</v>
      </c>
      <c r="I22700" s="48" t="s">
        <v>27065</v>
      </c>
    </row>
    <row r="22701" spans="2:9" ht="15" customHeight="1" x14ac:dyDescent="0.25">
      <c r="B22701" s="55" t="s">
        <v>283</v>
      </c>
      <c r="C22701" s="46">
        <v>2689</v>
      </c>
      <c r="D22701" s="69" t="s">
        <v>29420</v>
      </c>
      <c r="E22701" s="51"/>
      <c r="F22701" s="114" t="str">
        <f>IF(INDEX(I.Facility.P4IDNumber,2689)="","",INDEX(I.Facility.P4IDNumber,2689))</f>
        <v/>
      </c>
      <c r="G22701" s="51"/>
      <c r="H22701" s="46" t="str">
        <f>IF(AND(I.Developer.P4=TRUE,I.Facility.P4FacilityCount&gt;=2689,F22701=""),"Incomplete","Complete")</f>
        <v>Complete</v>
      </c>
      <c r="I22701" s="48" t="s">
        <v>27066</v>
      </c>
    </row>
    <row r="22702" spans="2:9" ht="15" customHeight="1" x14ac:dyDescent="0.25">
      <c r="B22702" s="55" t="s">
        <v>283</v>
      </c>
      <c r="C22702" s="46">
        <v>2690</v>
      </c>
      <c r="D22702" s="69" t="s">
        <v>29420</v>
      </c>
      <c r="E22702" s="51"/>
      <c r="F22702" s="114" t="str">
        <f>IF(INDEX(I.Facility.P4IDNumber,2690)="","",INDEX(I.Facility.P4IDNumber,2690))</f>
        <v/>
      </c>
      <c r="G22702" s="51"/>
      <c r="H22702" s="46" t="str">
        <f>IF(AND(I.Developer.P4=TRUE,I.Facility.P4FacilityCount&gt;=2690,F22702=""),"Incomplete","Complete")</f>
        <v>Complete</v>
      </c>
      <c r="I22702" s="48" t="s">
        <v>27067</v>
      </c>
    </row>
    <row r="22703" spans="2:9" ht="15" customHeight="1" x14ac:dyDescent="0.25">
      <c r="B22703" s="55" t="s">
        <v>283</v>
      </c>
      <c r="C22703" s="46">
        <v>2691</v>
      </c>
      <c r="D22703" s="69" t="s">
        <v>29420</v>
      </c>
      <c r="E22703" s="51"/>
      <c r="F22703" s="114" t="str">
        <f>IF(INDEX(I.Facility.P4IDNumber,2691)="","",INDEX(I.Facility.P4IDNumber,2691))</f>
        <v/>
      </c>
      <c r="G22703" s="51"/>
      <c r="H22703" s="46" t="str">
        <f>IF(AND(I.Developer.P4=TRUE,I.Facility.P4FacilityCount&gt;=2691,F22703=""),"Incomplete","Complete")</f>
        <v>Complete</v>
      </c>
      <c r="I22703" s="48" t="s">
        <v>27068</v>
      </c>
    </row>
    <row r="22704" spans="2:9" ht="15" customHeight="1" x14ac:dyDescent="0.25">
      <c r="B22704" s="55" t="s">
        <v>283</v>
      </c>
      <c r="C22704" s="46">
        <v>2692</v>
      </c>
      <c r="D22704" s="69" t="s">
        <v>29420</v>
      </c>
      <c r="E22704" s="51"/>
      <c r="F22704" s="114" t="str">
        <f>IF(INDEX(I.Facility.P4IDNumber,2692)="","",INDEX(I.Facility.P4IDNumber,2692))</f>
        <v/>
      </c>
      <c r="G22704" s="51"/>
      <c r="H22704" s="46" t="str">
        <f>IF(AND(I.Developer.P4=TRUE,I.Facility.P4FacilityCount&gt;=2692,F22704=""),"Incomplete","Complete")</f>
        <v>Complete</v>
      </c>
      <c r="I22704" s="48" t="s">
        <v>27069</v>
      </c>
    </row>
    <row r="22705" spans="2:9" ht="15" customHeight="1" x14ac:dyDescent="0.25">
      <c r="B22705" s="55" t="s">
        <v>283</v>
      </c>
      <c r="C22705" s="46">
        <v>2693</v>
      </c>
      <c r="D22705" s="69" t="s">
        <v>29420</v>
      </c>
      <c r="E22705" s="51"/>
      <c r="F22705" s="114" t="str">
        <f>IF(INDEX(I.Facility.P4IDNumber,2693)="","",INDEX(I.Facility.P4IDNumber,2693))</f>
        <v/>
      </c>
      <c r="G22705" s="51"/>
      <c r="H22705" s="46" t="str">
        <f>IF(AND(I.Developer.P4=TRUE,I.Facility.P4FacilityCount&gt;=2693,F22705=""),"Incomplete","Complete")</f>
        <v>Complete</v>
      </c>
      <c r="I22705" s="48" t="s">
        <v>27070</v>
      </c>
    </row>
    <row r="22706" spans="2:9" ht="15" customHeight="1" x14ac:dyDescent="0.25">
      <c r="B22706" s="55" t="s">
        <v>283</v>
      </c>
      <c r="C22706" s="46">
        <v>2694</v>
      </c>
      <c r="D22706" s="69" t="s">
        <v>29420</v>
      </c>
      <c r="E22706" s="51"/>
      <c r="F22706" s="114" t="str">
        <f>IF(INDEX(I.Facility.P4IDNumber,2694)="","",INDEX(I.Facility.P4IDNumber,2694))</f>
        <v/>
      </c>
      <c r="G22706" s="51"/>
      <c r="H22706" s="46" t="str">
        <f>IF(AND(I.Developer.P4=TRUE,I.Facility.P4FacilityCount&gt;=2694,F22706=""),"Incomplete","Complete")</f>
        <v>Complete</v>
      </c>
      <c r="I22706" s="48" t="s">
        <v>27071</v>
      </c>
    </row>
    <row r="22707" spans="2:9" ht="15" customHeight="1" x14ac:dyDescent="0.25">
      <c r="B22707" s="55" t="s">
        <v>283</v>
      </c>
      <c r="C22707" s="46">
        <v>2695</v>
      </c>
      <c r="D22707" s="69" t="s">
        <v>29420</v>
      </c>
      <c r="E22707" s="51"/>
      <c r="F22707" s="114" t="str">
        <f>IF(INDEX(I.Facility.P4IDNumber,2695)="","",INDEX(I.Facility.P4IDNumber,2695))</f>
        <v/>
      </c>
      <c r="G22707" s="51"/>
      <c r="H22707" s="46" t="str">
        <f>IF(AND(I.Developer.P4=TRUE,I.Facility.P4FacilityCount&gt;=2695,F22707=""),"Incomplete","Complete")</f>
        <v>Complete</v>
      </c>
      <c r="I22707" s="48" t="s">
        <v>27072</v>
      </c>
    </row>
    <row r="22708" spans="2:9" ht="15" customHeight="1" x14ac:dyDescent="0.25">
      <c r="B22708" s="55" t="s">
        <v>283</v>
      </c>
      <c r="C22708" s="46">
        <v>2696</v>
      </c>
      <c r="D22708" s="69" t="s">
        <v>29420</v>
      </c>
      <c r="E22708" s="51"/>
      <c r="F22708" s="114" t="str">
        <f>IF(INDEX(I.Facility.P4IDNumber,2696)="","",INDEX(I.Facility.P4IDNumber,2696))</f>
        <v/>
      </c>
      <c r="G22708" s="51"/>
      <c r="H22708" s="46" t="str">
        <f>IF(AND(I.Developer.P4=TRUE,I.Facility.P4FacilityCount&gt;=2696,F22708=""),"Incomplete","Complete")</f>
        <v>Complete</v>
      </c>
      <c r="I22708" s="48" t="s">
        <v>27073</v>
      </c>
    </row>
    <row r="22709" spans="2:9" ht="15" customHeight="1" x14ac:dyDescent="0.25">
      <c r="B22709" s="55" t="s">
        <v>283</v>
      </c>
      <c r="C22709" s="46">
        <v>2697</v>
      </c>
      <c r="D22709" s="69" t="s">
        <v>29420</v>
      </c>
      <c r="E22709" s="51"/>
      <c r="F22709" s="114" t="str">
        <f>IF(INDEX(I.Facility.P4IDNumber,2697)="","",INDEX(I.Facility.P4IDNumber,2697))</f>
        <v/>
      </c>
      <c r="G22709" s="51"/>
      <c r="H22709" s="46" t="str">
        <f>IF(AND(I.Developer.P4=TRUE,I.Facility.P4FacilityCount&gt;=2697,F22709=""),"Incomplete","Complete")</f>
        <v>Complete</v>
      </c>
      <c r="I22709" s="48" t="s">
        <v>27074</v>
      </c>
    </row>
    <row r="22710" spans="2:9" ht="15" customHeight="1" x14ac:dyDescent="0.25">
      <c r="B22710" s="55" t="s">
        <v>283</v>
      </c>
      <c r="C22710" s="46">
        <v>2698</v>
      </c>
      <c r="D22710" s="69" t="s">
        <v>29420</v>
      </c>
      <c r="E22710" s="51"/>
      <c r="F22710" s="114" t="str">
        <f>IF(INDEX(I.Facility.P4IDNumber,2698)="","",INDEX(I.Facility.P4IDNumber,2698))</f>
        <v/>
      </c>
      <c r="G22710" s="51"/>
      <c r="H22710" s="46" t="str">
        <f>IF(AND(I.Developer.P4=TRUE,I.Facility.P4FacilityCount&gt;=2698,F22710=""),"Incomplete","Complete")</f>
        <v>Complete</v>
      </c>
      <c r="I22710" s="48" t="s">
        <v>27075</v>
      </c>
    </row>
    <row r="22711" spans="2:9" ht="15" customHeight="1" x14ac:dyDescent="0.25">
      <c r="B22711" s="55" t="s">
        <v>283</v>
      </c>
      <c r="C22711" s="46">
        <v>2699</v>
      </c>
      <c r="D22711" s="69" t="s">
        <v>29420</v>
      </c>
      <c r="E22711" s="51"/>
      <c r="F22711" s="114" t="str">
        <f>IF(INDEX(I.Facility.P4IDNumber,2699)="","",INDEX(I.Facility.P4IDNumber,2699))</f>
        <v/>
      </c>
      <c r="G22711" s="51"/>
      <c r="H22711" s="46" t="str">
        <f>IF(AND(I.Developer.P4=TRUE,I.Facility.P4FacilityCount&gt;=2699,F22711=""),"Incomplete","Complete")</f>
        <v>Complete</v>
      </c>
      <c r="I22711" s="48" t="s">
        <v>27076</v>
      </c>
    </row>
    <row r="22712" spans="2:9" ht="15" customHeight="1" x14ac:dyDescent="0.25">
      <c r="B22712" s="55" t="s">
        <v>283</v>
      </c>
      <c r="C22712" s="46">
        <v>2700</v>
      </c>
      <c r="D22712" s="69" t="s">
        <v>29420</v>
      </c>
      <c r="E22712" s="51"/>
      <c r="F22712" s="114" t="str">
        <f>IF(INDEX(I.Facility.P4IDNumber,2700)="","",INDEX(I.Facility.P4IDNumber,2700))</f>
        <v/>
      </c>
      <c r="G22712" s="51"/>
      <c r="H22712" s="46" t="str">
        <f>IF(AND(I.Developer.P4=TRUE,I.Facility.P4FacilityCount&gt;=2700,F22712=""),"Incomplete","Complete")</f>
        <v>Complete</v>
      </c>
      <c r="I22712" s="48" t="s">
        <v>27077</v>
      </c>
    </row>
    <row r="22713" spans="2:9" ht="15" customHeight="1" x14ac:dyDescent="0.25">
      <c r="B22713" s="55" t="s">
        <v>283</v>
      </c>
      <c r="C22713" s="46">
        <v>2701</v>
      </c>
      <c r="D22713" s="69" t="s">
        <v>29420</v>
      </c>
      <c r="E22713" s="51"/>
      <c r="F22713" s="114" t="str">
        <f>IF(INDEX(I.Facility.P4IDNumber,2701)="","",INDEX(I.Facility.P4IDNumber,2701))</f>
        <v/>
      </c>
      <c r="G22713" s="51"/>
      <c r="H22713" s="46" t="str">
        <f>IF(AND(I.Developer.P4=TRUE,I.Facility.P4FacilityCount&gt;=2701,F22713=""),"Incomplete","Complete")</f>
        <v>Complete</v>
      </c>
      <c r="I22713" s="48" t="s">
        <v>27078</v>
      </c>
    </row>
    <row r="22714" spans="2:9" ht="15" customHeight="1" x14ac:dyDescent="0.25">
      <c r="B22714" s="55" t="s">
        <v>283</v>
      </c>
      <c r="C22714" s="46">
        <v>2702</v>
      </c>
      <c r="D22714" s="69" t="s">
        <v>29420</v>
      </c>
      <c r="E22714" s="51"/>
      <c r="F22714" s="114" t="str">
        <f>IF(INDEX(I.Facility.P4IDNumber,2702)="","",INDEX(I.Facility.P4IDNumber,2702))</f>
        <v/>
      </c>
      <c r="G22714" s="51"/>
      <c r="H22714" s="46" t="str">
        <f>IF(AND(I.Developer.P4=TRUE,I.Facility.P4FacilityCount&gt;=2702,F22714=""),"Incomplete","Complete")</f>
        <v>Complete</v>
      </c>
      <c r="I22714" s="48" t="s">
        <v>27079</v>
      </c>
    </row>
    <row r="22715" spans="2:9" ht="15" customHeight="1" x14ac:dyDescent="0.25">
      <c r="B22715" s="55" t="s">
        <v>283</v>
      </c>
      <c r="C22715" s="46">
        <v>2703</v>
      </c>
      <c r="D22715" s="69" t="s">
        <v>29420</v>
      </c>
      <c r="E22715" s="51"/>
      <c r="F22715" s="114" t="str">
        <f>IF(INDEX(I.Facility.P4IDNumber,2703)="","",INDEX(I.Facility.P4IDNumber,2703))</f>
        <v/>
      </c>
      <c r="G22715" s="51"/>
      <c r="H22715" s="46" t="str">
        <f>IF(AND(I.Developer.P4=TRUE,I.Facility.P4FacilityCount&gt;=2703,F22715=""),"Incomplete","Complete")</f>
        <v>Complete</v>
      </c>
      <c r="I22715" s="48" t="s">
        <v>27080</v>
      </c>
    </row>
    <row r="22716" spans="2:9" ht="15" customHeight="1" x14ac:dyDescent="0.25">
      <c r="B22716" s="55" t="s">
        <v>283</v>
      </c>
      <c r="C22716" s="46">
        <v>2704</v>
      </c>
      <c r="D22716" s="69" t="s">
        <v>29420</v>
      </c>
      <c r="E22716" s="51"/>
      <c r="F22716" s="114" t="str">
        <f>IF(INDEX(I.Facility.P4IDNumber,2704)="","",INDEX(I.Facility.P4IDNumber,2704))</f>
        <v/>
      </c>
      <c r="G22716" s="51"/>
      <c r="H22716" s="46" t="str">
        <f>IF(AND(I.Developer.P4=TRUE,I.Facility.P4FacilityCount&gt;=2704,F22716=""),"Incomplete","Complete")</f>
        <v>Complete</v>
      </c>
      <c r="I22716" s="48" t="s">
        <v>27081</v>
      </c>
    </row>
    <row r="22717" spans="2:9" ht="15" customHeight="1" x14ac:dyDescent="0.25">
      <c r="B22717" s="55" t="s">
        <v>283</v>
      </c>
      <c r="C22717" s="46">
        <v>2705</v>
      </c>
      <c r="D22717" s="69" t="s">
        <v>29420</v>
      </c>
      <c r="E22717" s="51"/>
      <c r="F22717" s="114" t="str">
        <f>IF(INDEX(I.Facility.P4IDNumber,2705)="","",INDEX(I.Facility.P4IDNumber,2705))</f>
        <v/>
      </c>
      <c r="G22717" s="51"/>
      <c r="H22717" s="46" t="str">
        <f>IF(AND(I.Developer.P4=TRUE,I.Facility.P4FacilityCount&gt;=2705,F22717=""),"Incomplete","Complete")</f>
        <v>Complete</v>
      </c>
      <c r="I22717" s="48" t="s">
        <v>27082</v>
      </c>
    </row>
    <row r="22718" spans="2:9" ht="15" customHeight="1" x14ac:dyDescent="0.25">
      <c r="B22718" s="55" t="s">
        <v>283</v>
      </c>
      <c r="C22718" s="46">
        <v>2706</v>
      </c>
      <c r="D22718" s="69" t="s">
        <v>29420</v>
      </c>
      <c r="E22718" s="51"/>
      <c r="F22718" s="114" t="str">
        <f>IF(INDEX(I.Facility.P4IDNumber,2706)="","",INDEX(I.Facility.P4IDNumber,2706))</f>
        <v/>
      </c>
      <c r="G22718" s="51"/>
      <c r="H22718" s="46" t="str">
        <f>IF(AND(I.Developer.P4=TRUE,I.Facility.P4FacilityCount&gt;=2706,F22718=""),"Incomplete","Complete")</f>
        <v>Complete</v>
      </c>
      <c r="I22718" s="48" t="s">
        <v>27083</v>
      </c>
    </row>
    <row r="22719" spans="2:9" ht="15" customHeight="1" x14ac:dyDescent="0.25">
      <c r="B22719" s="55" t="s">
        <v>283</v>
      </c>
      <c r="C22719" s="46">
        <v>2707</v>
      </c>
      <c r="D22719" s="69" t="s">
        <v>29420</v>
      </c>
      <c r="E22719" s="51"/>
      <c r="F22719" s="114" t="str">
        <f>IF(INDEX(I.Facility.P4IDNumber,2707)="","",INDEX(I.Facility.P4IDNumber,2707))</f>
        <v/>
      </c>
      <c r="G22719" s="51"/>
      <c r="H22719" s="46" t="str">
        <f>IF(AND(I.Developer.P4=TRUE,I.Facility.P4FacilityCount&gt;=2707,F22719=""),"Incomplete","Complete")</f>
        <v>Complete</v>
      </c>
      <c r="I22719" s="48" t="s">
        <v>27084</v>
      </c>
    </row>
    <row r="22720" spans="2:9" ht="15" customHeight="1" x14ac:dyDescent="0.25">
      <c r="B22720" s="55" t="s">
        <v>283</v>
      </c>
      <c r="C22720" s="46">
        <v>2708</v>
      </c>
      <c r="D22720" s="69" t="s">
        <v>29420</v>
      </c>
      <c r="E22720" s="51"/>
      <c r="F22720" s="114" t="str">
        <f>IF(INDEX(I.Facility.P4IDNumber,2708)="","",INDEX(I.Facility.P4IDNumber,2708))</f>
        <v/>
      </c>
      <c r="G22720" s="51"/>
      <c r="H22720" s="46" t="str">
        <f>IF(AND(I.Developer.P4=TRUE,I.Facility.P4FacilityCount&gt;=2708,F22720=""),"Incomplete","Complete")</f>
        <v>Complete</v>
      </c>
      <c r="I22720" s="48" t="s">
        <v>27085</v>
      </c>
    </row>
    <row r="22721" spans="2:9" ht="15" customHeight="1" x14ac:dyDescent="0.25">
      <c r="B22721" s="55" t="s">
        <v>283</v>
      </c>
      <c r="C22721" s="46">
        <v>2709</v>
      </c>
      <c r="D22721" s="69" t="s">
        <v>29420</v>
      </c>
      <c r="E22721" s="51"/>
      <c r="F22721" s="114" t="str">
        <f>IF(INDEX(I.Facility.P4IDNumber,2709)="","",INDEX(I.Facility.P4IDNumber,2709))</f>
        <v/>
      </c>
      <c r="G22721" s="51"/>
      <c r="H22721" s="46" t="str">
        <f>IF(AND(I.Developer.P4=TRUE,I.Facility.P4FacilityCount&gt;=2709,F22721=""),"Incomplete","Complete")</f>
        <v>Complete</v>
      </c>
      <c r="I22721" s="48" t="s">
        <v>27086</v>
      </c>
    </row>
    <row r="22722" spans="2:9" ht="15" customHeight="1" x14ac:dyDescent="0.25">
      <c r="B22722" s="55" t="s">
        <v>283</v>
      </c>
      <c r="C22722" s="46">
        <v>2710</v>
      </c>
      <c r="D22722" s="69" t="s">
        <v>29420</v>
      </c>
      <c r="E22722" s="51"/>
      <c r="F22722" s="114" t="str">
        <f>IF(INDEX(I.Facility.P4IDNumber,2710)="","",INDEX(I.Facility.P4IDNumber,2710))</f>
        <v/>
      </c>
      <c r="G22722" s="51"/>
      <c r="H22722" s="46" t="str">
        <f>IF(AND(I.Developer.P4=TRUE,I.Facility.P4FacilityCount&gt;=2710,F22722=""),"Incomplete","Complete")</f>
        <v>Complete</v>
      </c>
      <c r="I22722" s="48" t="s">
        <v>27087</v>
      </c>
    </row>
    <row r="22723" spans="2:9" ht="15" customHeight="1" x14ac:dyDescent="0.25">
      <c r="B22723" s="55" t="s">
        <v>283</v>
      </c>
      <c r="C22723" s="46">
        <v>2711</v>
      </c>
      <c r="D22723" s="69" t="s">
        <v>29420</v>
      </c>
      <c r="E22723" s="51"/>
      <c r="F22723" s="114" t="str">
        <f>IF(INDEX(I.Facility.P4IDNumber,2711)="","",INDEX(I.Facility.P4IDNumber,2711))</f>
        <v/>
      </c>
      <c r="G22723" s="51"/>
      <c r="H22723" s="46" t="str">
        <f>IF(AND(I.Developer.P4=TRUE,I.Facility.P4FacilityCount&gt;=2711,F22723=""),"Incomplete","Complete")</f>
        <v>Complete</v>
      </c>
      <c r="I22723" s="48" t="s">
        <v>27088</v>
      </c>
    </row>
    <row r="22724" spans="2:9" ht="15" customHeight="1" x14ac:dyDescent="0.25">
      <c r="B22724" s="55" t="s">
        <v>283</v>
      </c>
      <c r="C22724" s="46">
        <v>2712</v>
      </c>
      <c r="D22724" s="69" t="s">
        <v>29420</v>
      </c>
      <c r="E22724" s="51"/>
      <c r="F22724" s="114" t="str">
        <f>IF(INDEX(I.Facility.P4IDNumber,2712)="","",INDEX(I.Facility.P4IDNumber,2712))</f>
        <v/>
      </c>
      <c r="G22724" s="51"/>
      <c r="H22724" s="46" t="str">
        <f>IF(AND(I.Developer.P4=TRUE,I.Facility.P4FacilityCount&gt;=2712,F22724=""),"Incomplete","Complete")</f>
        <v>Complete</v>
      </c>
      <c r="I22724" s="48" t="s">
        <v>27089</v>
      </c>
    </row>
    <row r="22725" spans="2:9" ht="15" customHeight="1" x14ac:dyDescent="0.25">
      <c r="B22725" s="55" t="s">
        <v>283</v>
      </c>
      <c r="C22725" s="46">
        <v>2713</v>
      </c>
      <c r="D22725" s="69" t="s">
        <v>29420</v>
      </c>
      <c r="E22725" s="51"/>
      <c r="F22725" s="114" t="str">
        <f>IF(INDEX(I.Facility.P4IDNumber,2713)="","",INDEX(I.Facility.P4IDNumber,2713))</f>
        <v/>
      </c>
      <c r="G22725" s="51"/>
      <c r="H22725" s="46" t="str">
        <f>IF(AND(I.Developer.P4=TRUE,I.Facility.P4FacilityCount&gt;=2713,F22725=""),"Incomplete","Complete")</f>
        <v>Complete</v>
      </c>
      <c r="I22725" s="48" t="s">
        <v>27090</v>
      </c>
    </row>
    <row r="22726" spans="2:9" ht="15" customHeight="1" x14ac:dyDescent="0.25">
      <c r="B22726" s="55" t="s">
        <v>283</v>
      </c>
      <c r="C22726" s="46">
        <v>2714</v>
      </c>
      <c r="D22726" s="69" t="s">
        <v>29420</v>
      </c>
      <c r="E22726" s="51"/>
      <c r="F22726" s="114" t="str">
        <f>IF(INDEX(I.Facility.P4IDNumber,2714)="","",INDEX(I.Facility.P4IDNumber,2714))</f>
        <v/>
      </c>
      <c r="G22726" s="51"/>
      <c r="H22726" s="46" t="str">
        <f>IF(AND(I.Developer.P4=TRUE,I.Facility.P4FacilityCount&gt;=2714,F22726=""),"Incomplete","Complete")</f>
        <v>Complete</v>
      </c>
      <c r="I22726" s="48" t="s">
        <v>27091</v>
      </c>
    </row>
    <row r="22727" spans="2:9" ht="15" customHeight="1" x14ac:dyDescent="0.25">
      <c r="B22727" s="55" t="s">
        <v>283</v>
      </c>
      <c r="C22727" s="46">
        <v>2715</v>
      </c>
      <c r="D22727" s="69" t="s">
        <v>29420</v>
      </c>
      <c r="E22727" s="51"/>
      <c r="F22727" s="114" t="str">
        <f>IF(INDEX(I.Facility.P4IDNumber,2715)="","",INDEX(I.Facility.P4IDNumber,2715))</f>
        <v/>
      </c>
      <c r="G22727" s="51"/>
      <c r="H22727" s="46" t="str">
        <f>IF(AND(I.Developer.P4=TRUE,I.Facility.P4FacilityCount&gt;=2715,F22727=""),"Incomplete","Complete")</f>
        <v>Complete</v>
      </c>
      <c r="I22727" s="48" t="s">
        <v>27092</v>
      </c>
    </row>
    <row r="22728" spans="2:9" ht="15" customHeight="1" x14ac:dyDescent="0.25">
      <c r="B22728" s="55" t="s">
        <v>283</v>
      </c>
      <c r="C22728" s="46">
        <v>2716</v>
      </c>
      <c r="D22728" s="69" t="s">
        <v>29420</v>
      </c>
      <c r="E22728" s="51"/>
      <c r="F22728" s="114" t="str">
        <f>IF(INDEX(I.Facility.P4IDNumber,2716)="","",INDEX(I.Facility.P4IDNumber,2716))</f>
        <v/>
      </c>
      <c r="G22728" s="51"/>
      <c r="H22728" s="46" t="str">
        <f>IF(AND(I.Developer.P4=TRUE,I.Facility.P4FacilityCount&gt;=2716,F22728=""),"Incomplete","Complete")</f>
        <v>Complete</v>
      </c>
      <c r="I22728" s="48" t="s">
        <v>27093</v>
      </c>
    </row>
    <row r="22729" spans="2:9" ht="15" customHeight="1" x14ac:dyDescent="0.25">
      <c r="B22729" s="55" t="s">
        <v>283</v>
      </c>
      <c r="C22729" s="46">
        <v>2717</v>
      </c>
      <c r="D22729" s="69" t="s">
        <v>29420</v>
      </c>
      <c r="E22729" s="51"/>
      <c r="F22729" s="114" t="str">
        <f>IF(INDEX(I.Facility.P4IDNumber,2717)="","",INDEX(I.Facility.P4IDNumber,2717))</f>
        <v/>
      </c>
      <c r="G22729" s="51"/>
      <c r="H22729" s="46" t="str">
        <f>IF(AND(I.Developer.P4=TRUE,I.Facility.P4FacilityCount&gt;=2717,F22729=""),"Incomplete","Complete")</f>
        <v>Complete</v>
      </c>
      <c r="I22729" s="48" t="s">
        <v>27094</v>
      </c>
    </row>
    <row r="22730" spans="2:9" ht="15" customHeight="1" x14ac:dyDescent="0.25">
      <c r="B22730" s="55" t="s">
        <v>283</v>
      </c>
      <c r="C22730" s="46">
        <v>2718</v>
      </c>
      <c r="D22730" s="69" t="s">
        <v>29420</v>
      </c>
      <c r="E22730" s="51"/>
      <c r="F22730" s="114" t="str">
        <f>IF(INDEX(I.Facility.P4IDNumber,2718)="","",INDEX(I.Facility.P4IDNumber,2718))</f>
        <v/>
      </c>
      <c r="G22730" s="51"/>
      <c r="H22730" s="46" t="str">
        <f>IF(AND(I.Developer.P4=TRUE,I.Facility.P4FacilityCount&gt;=2718,F22730=""),"Incomplete","Complete")</f>
        <v>Complete</v>
      </c>
      <c r="I22730" s="48" t="s">
        <v>27095</v>
      </c>
    </row>
    <row r="22731" spans="2:9" ht="15" customHeight="1" x14ac:dyDescent="0.25">
      <c r="B22731" s="55" t="s">
        <v>283</v>
      </c>
      <c r="C22731" s="46">
        <v>2719</v>
      </c>
      <c r="D22731" s="69" t="s">
        <v>29420</v>
      </c>
      <c r="E22731" s="51"/>
      <c r="F22731" s="114" t="str">
        <f>IF(INDEX(I.Facility.P4IDNumber,2719)="","",INDEX(I.Facility.P4IDNumber,2719))</f>
        <v/>
      </c>
      <c r="G22731" s="51"/>
      <c r="H22731" s="46" t="str">
        <f>IF(AND(I.Developer.P4=TRUE,I.Facility.P4FacilityCount&gt;=2719,F22731=""),"Incomplete","Complete")</f>
        <v>Complete</v>
      </c>
      <c r="I22731" s="48" t="s">
        <v>27096</v>
      </c>
    </row>
    <row r="22732" spans="2:9" ht="15" customHeight="1" x14ac:dyDescent="0.25">
      <c r="B22732" s="55" t="s">
        <v>283</v>
      </c>
      <c r="C22732" s="46">
        <v>2720</v>
      </c>
      <c r="D22732" s="69" t="s">
        <v>29420</v>
      </c>
      <c r="E22732" s="51"/>
      <c r="F22732" s="114" t="str">
        <f>IF(INDEX(I.Facility.P4IDNumber,2720)="","",INDEX(I.Facility.P4IDNumber,2720))</f>
        <v/>
      </c>
      <c r="G22732" s="51"/>
      <c r="H22732" s="46" t="str">
        <f>IF(AND(I.Developer.P4=TRUE,I.Facility.P4FacilityCount&gt;=2720,F22732=""),"Incomplete","Complete")</f>
        <v>Complete</v>
      </c>
      <c r="I22732" s="48" t="s">
        <v>27097</v>
      </c>
    </row>
    <row r="22733" spans="2:9" ht="15" customHeight="1" x14ac:dyDescent="0.25">
      <c r="B22733" s="55" t="s">
        <v>283</v>
      </c>
      <c r="C22733" s="46">
        <v>2721</v>
      </c>
      <c r="D22733" s="69" t="s">
        <v>29420</v>
      </c>
      <c r="E22733" s="51"/>
      <c r="F22733" s="114" t="str">
        <f>IF(INDEX(I.Facility.P4IDNumber,2721)="","",INDEX(I.Facility.P4IDNumber,2721))</f>
        <v/>
      </c>
      <c r="G22733" s="51"/>
      <c r="H22733" s="46" t="str">
        <f>IF(AND(I.Developer.P4=TRUE,I.Facility.P4FacilityCount&gt;=2721,F22733=""),"Incomplete","Complete")</f>
        <v>Complete</v>
      </c>
      <c r="I22733" s="48" t="s">
        <v>27098</v>
      </c>
    </row>
    <row r="22734" spans="2:9" ht="15" customHeight="1" x14ac:dyDescent="0.25">
      <c r="B22734" s="55" t="s">
        <v>283</v>
      </c>
      <c r="C22734" s="46">
        <v>2722</v>
      </c>
      <c r="D22734" s="69" t="s">
        <v>29420</v>
      </c>
      <c r="E22734" s="51"/>
      <c r="F22734" s="114" t="str">
        <f>IF(INDEX(I.Facility.P4IDNumber,2722)="","",INDEX(I.Facility.P4IDNumber,2722))</f>
        <v/>
      </c>
      <c r="G22734" s="51"/>
      <c r="H22734" s="46" t="str">
        <f>IF(AND(I.Developer.P4=TRUE,I.Facility.P4FacilityCount&gt;=2722,F22734=""),"Incomplete","Complete")</f>
        <v>Complete</v>
      </c>
      <c r="I22734" s="48" t="s">
        <v>27099</v>
      </c>
    </row>
    <row r="22735" spans="2:9" ht="15" customHeight="1" x14ac:dyDescent="0.25">
      <c r="B22735" s="55" t="s">
        <v>283</v>
      </c>
      <c r="C22735" s="46">
        <v>2723</v>
      </c>
      <c r="D22735" s="69" t="s">
        <v>29420</v>
      </c>
      <c r="E22735" s="51"/>
      <c r="F22735" s="114" t="str">
        <f>IF(INDEX(I.Facility.P4IDNumber,2723)="","",INDEX(I.Facility.P4IDNumber,2723))</f>
        <v/>
      </c>
      <c r="G22735" s="51"/>
      <c r="H22735" s="46" t="str">
        <f>IF(AND(I.Developer.P4=TRUE,I.Facility.P4FacilityCount&gt;=2723,F22735=""),"Incomplete","Complete")</f>
        <v>Complete</v>
      </c>
      <c r="I22735" s="48" t="s">
        <v>27100</v>
      </c>
    </row>
    <row r="22736" spans="2:9" ht="15" customHeight="1" x14ac:dyDescent="0.25">
      <c r="B22736" s="55" t="s">
        <v>283</v>
      </c>
      <c r="C22736" s="46">
        <v>2724</v>
      </c>
      <c r="D22736" s="69" t="s">
        <v>29420</v>
      </c>
      <c r="E22736" s="51"/>
      <c r="F22736" s="114" t="str">
        <f>IF(INDEX(I.Facility.P4IDNumber,2724)="","",INDEX(I.Facility.P4IDNumber,2724))</f>
        <v/>
      </c>
      <c r="G22736" s="51"/>
      <c r="H22736" s="46" t="str">
        <f>IF(AND(I.Developer.P4=TRUE,I.Facility.P4FacilityCount&gt;=2724,F22736=""),"Incomplete","Complete")</f>
        <v>Complete</v>
      </c>
      <c r="I22736" s="48" t="s">
        <v>27101</v>
      </c>
    </row>
    <row r="22737" spans="2:9" ht="15" customHeight="1" x14ac:dyDescent="0.25">
      <c r="B22737" s="55" t="s">
        <v>283</v>
      </c>
      <c r="C22737" s="46">
        <v>2725</v>
      </c>
      <c r="D22737" s="69" t="s">
        <v>29420</v>
      </c>
      <c r="E22737" s="51"/>
      <c r="F22737" s="114" t="str">
        <f>IF(INDEX(I.Facility.P4IDNumber,2725)="","",INDEX(I.Facility.P4IDNumber,2725))</f>
        <v/>
      </c>
      <c r="G22737" s="51"/>
      <c r="H22737" s="46" t="str">
        <f>IF(AND(I.Developer.P4=TRUE,I.Facility.P4FacilityCount&gt;=2725,F22737=""),"Incomplete","Complete")</f>
        <v>Complete</v>
      </c>
      <c r="I22737" s="48" t="s">
        <v>27102</v>
      </c>
    </row>
    <row r="22738" spans="2:9" ht="15" customHeight="1" x14ac:dyDescent="0.25">
      <c r="B22738" s="55" t="s">
        <v>283</v>
      </c>
      <c r="C22738" s="46">
        <v>2726</v>
      </c>
      <c r="D22738" s="69" t="s">
        <v>29420</v>
      </c>
      <c r="E22738" s="51"/>
      <c r="F22738" s="114" t="str">
        <f>IF(INDEX(I.Facility.P4IDNumber,2726)="","",INDEX(I.Facility.P4IDNumber,2726))</f>
        <v/>
      </c>
      <c r="G22738" s="51"/>
      <c r="H22738" s="46" t="str">
        <f>IF(AND(I.Developer.P4=TRUE,I.Facility.P4FacilityCount&gt;=2726,F22738=""),"Incomplete","Complete")</f>
        <v>Complete</v>
      </c>
      <c r="I22738" s="48" t="s">
        <v>27103</v>
      </c>
    </row>
    <row r="22739" spans="2:9" ht="15" customHeight="1" x14ac:dyDescent="0.25">
      <c r="B22739" s="55" t="s">
        <v>283</v>
      </c>
      <c r="C22739" s="46">
        <v>2727</v>
      </c>
      <c r="D22739" s="69" t="s">
        <v>29420</v>
      </c>
      <c r="E22739" s="51"/>
      <c r="F22739" s="114" t="str">
        <f>IF(INDEX(I.Facility.P4IDNumber,2727)="","",INDEX(I.Facility.P4IDNumber,2727))</f>
        <v/>
      </c>
      <c r="G22739" s="51"/>
      <c r="H22739" s="46" t="str">
        <f>IF(AND(I.Developer.P4=TRUE,I.Facility.P4FacilityCount&gt;=2727,F22739=""),"Incomplete","Complete")</f>
        <v>Complete</v>
      </c>
      <c r="I22739" s="48" t="s">
        <v>27104</v>
      </c>
    </row>
    <row r="22740" spans="2:9" ht="15" customHeight="1" x14ac:dyDescent="0.25">
      <c r="B22740" s="55" t="s">
        <v>283</v>
      </c>
      <c r="C22740" s="46">
        <v>2728</v>
      </c>
      <c r="D22740" s="69" t="s">
        <v>29420</v>
      </c>
      <c r="E22740" s="51"/>
      <c r="F22740" s="114" t="str">
        <f>IF(INDEX(I.Facility.P4IDNumber,2728)="","",INDEX(I.Facility.P4IDNumber,2728))</f>
        <v/>
      </c>
      <c r="G22740" s="51"/>
      <c r="H22740" s="46" t="str">
        <f>IF(AND(I.Developer.P4=TRUE,I.Facility.P4FacilityCount&gt;=2728,F22740=""),"Incomplete","Complete")</f>
        <v>Complete</v>
      </c>
      <c r="I22740" s="48" t="s">
        <v>27105</v>
      </c>
    </row>
    <row r="22741" spans="2:9" ht="15" customHeight="1" x14ac:dyDescent="0.25">
      <c r="B22741" s="55" t="s">
        <v>283</v>
      </c>
      <c r="C22741" s="46">
        <v>2729</v>
      </c>
      <c r="D22741" s="69" t="s">
        <v>29420</v>
      </c>
      <c r="E22741" s="51"/>
      <c r="F22741" s="114" t="str">
        <f>IF(INDEX(I.Facility.P4IDNumber,2729)="","",INDEX(I.Facility.P4IDNumber,2729))</f>
        <v/>
      </c>
      <c r="G22741" s="51"/>
      <c r="H22741" s="46" t="str">
        <f>IF(AND(I.Developer.P4=TRUE,I.Facility.P4FacilityCount&gt;=2729,F22741=""),"Incomplete","Complete")</f>
        <v>Complete</v>
      </c>
      <c r="I22741" s="48" t="s">
        <v>27106</v>
      </c>
    </row>
    <row r="22742" spans="2:9" ht="15" customHeight="1" x14ac:dyDescent="0.25">
      <c r="B22742" s="55" t="s">
        <v>283</v>
      </c>
      <c r="C22742" s="46">
        <v>2730</v>
      </c>
      <c r="D22742" s="69" t="s">
        <v>29420</v>
      </c>
      <c r="E22742" s="51"/>
      <c r="F22742" s="114" t="str">
        <f>IF(INDEX(I.Facility.P4IDNumber,2730)="","",INDEX(I.Facility.P4IDNumber,2730))</f>
        <v/>
      </c>
      <c r="G22742" s="51"/>
      <c r="H22742" s="46" t="str">
        <f>IF(AND(I.Developer.P4=TRUE,I.Facility.P4FacilityCount&gt;=2730,F22742=""),"Incomplete","Complete")</f>
        <v>Complete</v>
      </c>
      <c r="I22742" s="48" t="s">
        <v>27107</v>
      </c>
    </row>
    <row r="22743" spans="2:9" ht="15" customHeight="1" x14ac:dyDescent="0.25">
      <c r="B22743" s="55" t="s">
        <v>283</v>
      </c>
      <c r="C22743" s="46">
        <v>2731</v>
      </c>
      <c r="D22743" s="69" t="s">
        <v>29420</v>
      </c>
      <c r="E22743" s="51"/>
      <c r="F22743" s="114" t="str">
        <f>IF(INDEX(I.Facility.P4IDNumber,2731)="","",INDEX(I.Facility.P4IDNumber,2731))</f>
        <v/>
      </c>
      <c r="G22743" s="51"/>
      <c r="H22743" s="46" t="str">
        <f>IF(AND(I.Developer.P4=TRUE,I.Facility.P4FacilityCount&gt;=2731,F22743=""),"Incomplete","Complete")</f>
        <v>Complete</v>
      </c>
      <c r="I22743" s="48" t="s">
        <v>27108</v>
      </c>
    </row>
    <row r="22744" spans="2:9" ht="15" customHeight="1" x14ac:dyDescent="0.25">
      <c r="B22744" s="55" t="s">
        <v>283</v>
      </c>
      <c r="C22744" s="46">
        <v>2732</v>
      </c>
      <c r="D22744" s="69" t="s">
        <v>29420</v>
      </c>
      <c r="E22744" s="51"/>
      <c r="F22744" s="114" t="str">
        <f>IF(INDEX(I.Facility.P4IDNumber,2732)="","",INDEX(I.Facility.P4IDNumber,2732))</f>
        <v/>
      </c>
      <c r="G22744" s="51"/>
      <c r="H22744" s="46" t="str">
        <f>IF(AND(I.Developer.P4=TRUE,I.Facility.P4FacilityCount&gt;=2732,F22744=""),"Incomplete","Complete")</f>
        <v>Complete</v>
      </c>
      <c r="I22744" s="48" t="s">
        <v>27109</v>
      </c>
    </row>
    <row r="22745" spans="2:9" ht="15" customHeight="1" x14ac:dyDescent="0.25">
      <c r="B22745" s="55" t="s">
        <v>283</v>
      </c>
      <c r="C22745" s="46">
        <v>2733</v>
      </c>
      <c r="D22745" s="69" t="s">
        <v>29420</v>
      </c>
      <c r="E22745" s="51"/>
      <c r="F22745" s="114" t="str">
        <f>IF(INDEX(I.Facility.P4IDNumber,2733)="","",INDEX(I.Facility.P4IDNumber,2733))</f>
        <v/>
      </c>
      <c r="G22745" s="51"/>
      <c r="H22745" s="46" t="str">
        <f>IF(AND(I.Developer.P4=TRUE,I.Facility.P4FacilityCount&gt;=2733,F22745=""),"Incomplete","Complete")</f>
        <v>Complete</v>
      </c>
      <c r="I22745" s="48" t="s">
        <v>27110</v>
      </c>
    </row>
    <row r="22746" spans="2:9" ht="15" customHeight="1" x14ac:dyDescent="0.25">
      <c r="B22746" s="55" t="s">
        <v>283</v>
      </c>
      <c r="C22746" s="46">
        <v>2734</v>
      </c>
      <c r="D22746" s="69" t="s">
        <v>29420</v>
      </c>
      <c r="E22746" s="51"/>
      <c r="F22746" s="114" t="str">
        <f>IF(INDEX(I.Facility.P4IDNumber,2734)="","",INDEX(I.Facility.P4IDNumber,2734))</f>
        <v/>
      </c>
      <c r="G22746" s="51"/>
      <c r="H22746" s="46" t="str">
        <f>IF(AND(I.Developer.P4=TRUE,I.Facility.P4FacilityCount&gt;=2734,F22746=""),"Incomplete","Complete")</f>
        <v>Complete</v>
      </c>
      <c r="I22746" s="48" t="s">
        <v>27111</v>
      </c>
    </row>
    <row r="22747" spans="2:9" ht="15" customHeight="1" x14ac:dyDescent="0.25">
      <c r="B22747" s="55" t="s">
        <v>283</v>
      </c>
      <c r="C22747" s="46">
        <v>2735</v>
      </c>
      <c r="D22747" s="69" t="s">
        <v>29420</v>
      </c>
      <c r="E22747" s="51"/>
      <c r="F22747" s="114" t="str">
        <f>IF(INDEX(I.Facility.P4IDNumber,2735)="","",INDEX(I.Facility.P4IDNumber,2735))</f>
        <v/>
      </c>
      <c r="G22747" s="51"/>
      <c r="H22747" s="46" t="str">
        <f>IF(AND(I.Developer.P4=TRUE,I.Facility.P4FacilityCount&gt;=2735,F22747=""),"Incomplete","Complete")</f>
        <v>Complete</v>
      </c>
      <c r="I22747" s="48" t="s">
        <v>27112</v>
      </c>
    </row>
    <row r="22748" spans="2:9" ht="15" customHeight="1" x14ac:dyDescent="0.25">
      <c r="B22748" s="55" t="s">
        <v>283</v>
      </c>
      <c r="C22748" s="46">
        <v>2736</v>
      </c>
      <c r="D22748" s="69" t="s">
        <v>29420</v>
      </c>
      <c r="E22748" s="51"/>
      <c r="F22748" s="114" t="str">
        <f>IF(INDEX(I.Facility.P4IDNumber,2736)="","",INDEX(I.Facility.P4IDNumber,2736))</f>
        <v/>
      </c>
      <c r="G22748" s="51"/>
      <c r="H22748" s="46" t="str">
        <f>IF(AND(I.Developer.P4=TRUE,I.Facility.P4FacilityCount&gt;=2736,F22748=""),"Incomplete","Complete")</f>
        <v>Complete</v>
      </c>
      <c r="I22748" s="48" t="s">
        <v>27113</v>
      </c>
    </row>
    <row r="22749" spans="2:9" ht="15" customHeight="1" x14ac:dyDescent="0.25">
      <c r="B22749" s="55" t="s">
        <v>283</v>
      </c>
      <c r="C22749" s="46">
        <v>2737</v>
      </c>
      <c r="D22749" s="69" t="s">
        <v>29420</v>
      </c>
      <c r="E22749" s="51"/>
      <c r="F22749" s="114" t="str">
        <f>IF(INDEX(I.Facility.P4IDNumber,2737)="","",INDEX(I.Facility.P4IDNumber,2737))</f>
        <v/>
      </c>
      <c r="G22749" s="51"/>
      <c r="H22749" s="46" t="str">
        <f>IF(AND(I.Developer.P4=TRUE,I.Facility.P4FacilityCount&gt;=2737,F22749=""),"Incomplete","Complete")</f>
        <v>Complete</v>
      </c>
      <c r="I22749" s="48" t="s">
        <v>27114</v>
      </c>
    </row>
    <row r="22750" spans="2:9" ht="15" customHeight="1" x14ac:dyDescent="0.25">
      <c r="B22750" s="55" t="s">
        <v>283</v>
      </c>
      <c r="C22750" s="46">
        <v>2738</v>
      </c>
      <c r="D22750" s="69" t="s">
        <v>29420</v>
      </c>
      <c r="E22750" s="51"/>
      <c r="F22750" s="114" t="str">
        <f>IF(INDEX(I.Facility.P4IDNumber,2738)="","",INDEX(I.Facility.P4IDNumber,2738))</f>
        <v/>
      </c>
      <c r="G22750" s="51"/>
      <c r="H22750" s="46" t="str">
        <f>IF(AND(I.Developer.P4=TRUE,I.Facility.P4FacilityCount&gt;=2738,F22750=""),"Incomplete","Complete")</f>
        <v>Complete</v>
      </c>
      <c r="I22750" s="48" t="s">
        <v>27115</v>
      </c>
    </row>
    <row r="22751" spans="2:9" ht="15" customHeight="1" x14ac:dyDescent="0.25">
      <c r="B22751" s="55" t="s">
        <v>283</v>
      </c>
      <c r="C22751" s="46">
        <v>2739</v>
      </c>
      <c r="D22751" s="69" t="s">
        <v>29420</v>
      </c>
      <c r="E22751" s="51"/>
      <c r="F22751" s="114" t="str">
        <f>IF(INDEX(I.Facility.P4IDNumber,2739)="","",INDEX(I.Facility.P4IDNumber,2739))</f>
        <v/>
      </c>
      <c r="G22751" s="51"/>
      <c r="H22751" s="46" t="str">
        <f>IF(AND(I.Developer.P4=TRUE,I.Facility.P4FacilityCount&gt;=2739,F22751=""),"Incomplete","Complete")</f>
        <v>Complete</v>
      </c>
      <c r="I22751" s="48" t="s">
        <v>27116</v>
      </c>
    </row>
    <row r="22752" spans="2:9" ht="15" customHeight="1" x14ac:dyDescent="0.25">
      <c r="B22752" s="55" t="s">
        <v>283</v>
      </c>
      <c r="C22752" s="46">
        <v>2740</v>
      </c>
      <c r="D22752" s="69" t="s">
        <v>29420</v>
      </c>
      <c r="E22752" s="51"/>
      <c r="F22752" s="114" t="str">
        <f>IF(INDEX(I.Facility.P4IDNumber,2740)="","",INDEX(I.Facility.P4IDNumber,2740))</f>
        <v/>
      </c>
      <c r="G22752" s="51"/>
      <c r="H22752" s="46" t="str">
        <f>IF(AND(I.Developer.P4=TRUE,I.Facility.P4FacilityCount&gt;=2740,F22752=""),"Incomplete","Complete")</f>
        <v>Complete</v>
      </c>
      <c r="I22752" s="48" t="s">
        <v>27117</v>
      </c>
    </row>
    <row r="22753" spans="2:9" ht="15" customHeight="1" x14ac:dyDescent="0.25">
      <c r="B22753" s="55" t="s">
        <v>283</v>
      </c>
      <c r="C22753" s="46">
        <v>2741</v>
      </c>
      <c r="D22753" s="69" t="s">
        <v>29420</v>
      </c>
      <c r="E22753" s="51"/>
      <c r="F22753" s="114" t="str">
        <f>IF(INDEX(I.Facility.P4IDNumber,2741)="","",INDEX(I.Facility.P4IDNumber,2741))</f>
        <v/>
      </c>
      <c r="G22753" s="51"/>
      <c r="H22753" s="46" t="str">
        <f>IF(AND(I.Developer.P4=TRUE,I.Facility.P4FacilityCount&gt;=2741,F22753=""),"Incomplete","Complete")</f>
        <v>Complete</v>
      </c>
      <c r="I22753" s="48" t="s">
        <v>27118</v>
      </c>
    </row>
    <row r="22754" spans="2:9" ht="15" customHeight="1" x14ac:dyDescent="0.25">
      <c r="B22754" s="55" t="s">
        <v>283</v>
      </c>
      <c r="C22754" s="46">
        <v>2742</v>
      </c>
      <c r="D22754" s="69" t="s">
        <v>29420</v>
      </c>
      <c r="E22754" s="51"/>
      <c r="F22754" s="114" t="str">
        <f>IF(INDEX(I.Facility.P4IDNumber,2742)="","",INDEX(I.Facility.P4IDNumber,2742))</f>
        <v/>
      </c>
      <c r="G22754" s="51"/>
      <c r="H22754" s="46" t="str">
        <f>IF(AND(I.Developer.P4=TRUE,I.Facility.P4FacilityCount&gt;=2742,F22754=""),"Incomplete","Complete")</f>
        <v>Complete</v>
      </c>
      <c r="I22754" s="48" t="s">
        <v>27119</v>
      </c>
    </row>
    <row r="22755" spans="2:9" ht="15" customHeight="1" x14ac:dyDescent="0.25">
      <c r="B22755" s="55" t="s">
        <v>283</v>
      </c>
      <c r="C22755" s="46">
        <v>2743</v>
      </c>
      <c r="D22755" s="69" t="s">
        <v>29420</v>
      </c>
      <c r="E22755" s="51"/>
      <c r="F22755" s="114" t="str">
        <f>IF(INDEX(I.Facility.P4IDNumber,2743)="","",INDEX(I.Facility.P4IDNumber,2743))</f>
        <v/>
      </c>
      <c r="G22755" s="51"/>
      <c r="H22755" s="46" t="str">
        <f>IF(AND(I.Developer.P4=TRUE,I.Facility.P4FacilityCount&gt;=2743,F22755=""),"Incomplete","Complete")</f>
        <v>Complete</v>
      </c>
      <c r="I22755" s="48" t="s">
        <v>27120</v>
      </c>
    </row>
    <row r="22756" spans="2:9" ht="15" customHeight="1" x14ac:dyDescent="0.25">
      <c r="B22756" s="55" t="s">
        <v>283</v>
      </c>
      <c r="C22756" s="46">
        <v>2744</v>
      </c>
      <c r="D22756" s="69" t="s">
        <v>29420</v>
      </c>
      <c r="E22756" s="51"/>
      <c r="F22756" s="114" t="str">
        <f>IF(INDEX(I.Facility.P4IDNumber,2744)="","",INDEX(I.Facility.P4IDNumber,2744))</f>
        <v/>
      </c>
      <c r="G22756" s="51"/>
      <c r="H22756" s="46" t="str">
        <f>IF(AND(I.Developer.P4=TRUE,I.Facility.P4FacilityCount&gt;=2744,F22756=""),"Incomplete","Complete")</f>
        <v>Complete</v>
      </c>
      <c r="I22756" s="48" t="s">
        <v>27121</v>
      </c>
    </row>
    <row r="22757" spans="2:9" ht="15" customHeight="1" x14ac:dyDescent="0.25">
      <c r="B22757" s="55" t="s">
        <v>283</v>
      </c>
      <c r="C22757" s="46">
        <v>2745</v>
      </c>
      <c r="D22757" s="69" t="s">
        <v>29420</v>
      </c>
      <c r="E22757" s="51"/>
      <c r="F22757" s="114" t="str">
        <f>IF(INDEX(I.Facility.P4IDNumber,2745)="","",INDEX(I.Facility.P4IDNumber,2745))</f>
        <v/>
      </c>
      <c r="G22757" s="51"/>
      <c r="H22757" s="46" t="str">
        <f>IF(AND(I.Developer.P4=TRUE,I.Facility.P4FacilityCount&gt;=2745,F22757=""),"Incomplete","Complete")</f>
        <v>Complete</v>
      </c>
      <c r="I22757" s="48" t="s">
        <v>27122</v>
      </c>
    </row>
    <row r="22758" spans="2:9" ht="15" customHeight="1" x14ac:dyDescent="0.25">
      <c r="B22758" s="55" t="s">
        <v>283</v>
      </c>
      <c r="C22758" s="46">
        <v>2746</v>
      </c>
      <c r="D22758" s="69" t="s">
        <v>29420</v>
      </c>
      <c r="E22758" s="51"/>
      <c r="F22758" s="114" t="str">
        <f>IF(INDEX(I.Facility.P4IDNumber,2746)="","",INDEX(I.Facility.P4IDNumber,2746))</f>
        <v/>
      </c>
      <c r="G22758" s="51"/>
      <c r="H22758" s="46" t="str">
        <f>IF(AND(I.Developer.P4=TRUE,I.Facility.P4FacilityCount&gt;=2746,F22758=""),"Incomplete","Complete")</f>
        <v>Complete</v>
      </c>
      <c r="I22758" s="48" t="s">
        <v>27123</v>
      </c>
    </row>
    <row r="22759" spans="2:9" ht="15" customHeight="1" x14ac:dyDescent="0.25">
      <c r="B22759" s="55" t="s">
        <v>283</v>
      </c>
      <c r="C22759" s="46">
        <v>2747</v>
      </c>
      <c r="D22759" s="69" t="s">
        <v>29420</v>
      </c>
      <c r="E22759" s="51"/>
      <c r="F22759" s="114" t="str">
        <f>IF(INDEX(I.Facility.P4IDNumber,2747)="","",INDEX(I.Facility.P4IDNumber,2747))</f>
        <v/>
      </c>
      <c r="G22759" s="51"/>
      <c r="H22759" s="46" t="str">
        <f>IF(AND(I.Developer.P4=TRUE,I.Facility.P4FacilityCount&gt;=2747,F22759=""),"Incomplete","Complete")</f>
        <v>Complete</v>
      </c>
      <c r="I22759" s="48" t="s">
        <v>27124</v>
      </c>
    </row>
    <row r="22760" spans="2:9" ht="15" customHeight="1" x14ac:dyDescent="0.25">
      <c r="B22760" s="55" t="s">
        <v>283</v>
      </c>
      <c r="C22760" s="46">
        <v>2748</v>
      </c>
      <c r="D22760" s="69" t="s">
        <v>29420</v>
      </c>
      <c r="E22760" s="51"/>
      <c r="F22760" s="114" t="str">
        <f>IF(INDEX(I.Facility.P4IDNumber,2748)="","",INDEX(I.Facility.P4IDNumber,2748))</f>
        <v/>
      </c>
      <c r="G22760" s="51"/>
      <c r="H22760" s="46" t="str">
        <f>IF(AND(I.Developer.P4=TRUE,I.Facility.P4FacilityCount&gt;=2748,F22760=""),"Incomplete","Complete")</f>
        <v>Complete</v>
      </c>
      <c r="I22760" s="48" t="s">
        <v>27125</v>
      </c>
    </row>
    <row r="22761" spans="2:9" ht="15" customHeight="1" x14ac:dyDescent="0.25">
      <c r="B22761" s="55" t="s">
        <v>283</v>
      </c>
      <c r="C22761" s="46">
        <v>2749</v>
      </c>
      <c r="D22761" s="69" t="s">
        <v>29420</v>
      </c>
      <c r="E22761" s="51"/>
      <c r="F22761" s="114" t="str">
        <f>IF(INDEX(I.Facility.P4IDNumber,2749)="","",INDEX(I.Facility.P4IDNumber,2749))</f>
        <v/>
      </c>
      <c r="G22761" s="51"/>
      <c r="H22761" s="46" t="str">
        <f>IF(AND(I.Developer.P4=TRUE,I.Facility.P4FacilityCount&gt;=2749,F22761=""),"Incomplete","Complete")</f>
        <v>Complete</v>
      </c>
      <c r="I22761" s="48" t="s">
        <v>27126</v>
      </c>
    </row>
    <row r="22762" spans="2:9" ht="15" customHeight="1" x14ac:dyDescent="0.25">
      <c r="B22762" s="55" t="s">
        <v>283</v>
      </c>
      <c r="C22762" s="46">
        <v>2750</v>
      </c>
      <c r="D22762" s="69" t="s">
        <v>29420</v>
      </c>
      <c r="E22762" s="51"/>
      <c r="F22762" s="114" t="str">
        <f>IF(INDEX(I.Facility.P4IDNumber,2750)="","",INDEX(I.Facility.P4IDNumber,2750))</f>
        <v/>
      </c>
      <c r="G22762" s="51"/>
      <c r="H22762" s="46" t="str">
        <f>IF(AND(I.Developer.P4=TRUE,I.Facility.P4FacilityCount&gt;=2750,F22762=""),"Incomplete","Complete")</f>
        <v>Complete</v>
      </c>
      <c r="I22762" s="48" t="s">
        <v>27127</v>
      </c>
    </row>
    <row r="22763" spans="2:9" ht="15" customHeight="1" x14ac:dyDescent="0.25">
      <c r="B22763" s="55" t="s">
        <v>283</v>
      </c>
      <c r="C22763" s="46">
        <v>2751</v>
      </c>
      <c r="D22763" s="69" t="s">
        <v>29420</v>
      </c>
      <c r="E22763" s="51"/>
      <c r="F22763" s="114" t="str">
        <f>IF(INDEX(I.Facility.P4IDNumber,2751)="","",INDEX(I.Facility.P4IDNumber,2751))</f>
        <v/>
      </c>
      <c r="G22763" s="51"/>
      <c r="H22763" s="46" t="str">
        <f>IF(AND(I.Developer.P4=TRUE,I.Facility.P4FacilityCount&gt;=2751,F22763=""),"Incomplete","Complete")</f>
        <v>Complete</v>
      </c>
      <c r="I22763" s="48" t="s">
        <v>27128</v>
      </c>
    </row>
    <row r="22764" spans="2:9" ht="15" customHeight="1" x14ac:dyDescent="0.25">
      <c r="B22764" s="55" t="s">
        <v>283</v>
      </c>
      <c r="C22764" s="46">
        <v>2752</v>
      </c>
      <c r="D22764" s="69" t="s">
        <v>29420</v>
      </c>
      <c r="E22764" s="51"/>
      <c r="F22764" s="114" t="str">
        <f>IF(INDEX(I.Facility.P4IDNumber,2752)="","",INDEX(I.Facility.P4IDNumber,2752))</f>
        <v/>
      </c>
      <c r="G22764" s="51"/>
      <c r="H22764" s="46" t="str">
        <f>IF(AND(I.Developer.P4=TRUE,I.Facility.P4FacilityCount&gt;=2752,F22764=""),"Incomplete","Complete")</f>
        <v>Complete</v>
      </c>
      <c r="I22764" s="48" t="s">
        <v>27129</v>
      </c>
    </row>
    <row r="22765" spans="2:9" ht="15" customHeight="1" x14ac:dyDescent="0.25">
      <c r="B22765" s="55" t="s">
        <v>283</v>
      </c>
      <c r="C22765" s="46">
        <v>2753</v>
      </c>
      <c r="D22765" s="69" t="s">
        <v>29420</v>
      </c>
      <c r="E22765" s="51"/>
      <c r="F22765" s="114" t="str">
        <f>IF(INDEX(I.Facility.P4IDNumber,2753)="","",INDEX(I.Facility.P4IDNumber,2753))</f>
        <v/>
      </c>
      <c r="G22765" s="51"/>
      <c r="H22765" s="46" t="str">
        <f>IF(AND(I.Developer.P4=TRUE,I.Facility.P4FacilityCount&gt;=2753,F22765=""),"Incomplete","Complete")</f>
        <v>Complete</v>
      </c>
      <c r="I22765" s="48" t="s">
        <v>27130</v>
      </c>
    </row>
    <row r="22766" spans="2:9" ht="15" customHeight="1" x14ac:dyDescent="0.25">
      <c r="B22766" s="55" t="s">
        <v>283</v>
      </c>
      <c r="C22766" s="46">
        <v>2754</v>
      </c>
      <c r="D22766" s="69" t="s">
        <v>29420</v>
      </c>
      <c r="E22766" s="51"/>
      <c r="F22766" s="114" t="str">
        <f>IF(INDEX(I.Facility.P4IDNumber,2754)="","",INDEX(I.Facility.P4IDNumber,2754))</f>
        <v/>
      </c>
      <c r="G22766" s="51"/>
      <c r="H22766" s="46" t="str">
        <f>IF(AND(I.Developer.P4=TRUE,I.Facility.P4FacilityCount&gt;=2754,F22766=""),"Incomplete","Complete")</f>
        <v>Complete</v>
      </c>
      <c r="I22766" s="48" t="s">
        <v>27131</v>
      </c>
    </row>
    <row r="22767" spans="2:9" ht="15" customHeight="1" x14ac:dyDescent="0.25">
      <c r="B22767" s="55" t="s">
        <v>283</v>
      </c>
      <c r="C22767" s="46">
        <v>2755</v>
      </c>
      <c r="D22767" s="69" t="s">
        <v>29420</v>
      </c>
      <c r="E22767" s="51"/>
      <c r="F22767" s="114" t="str">
        <f>IF(INDEX(I.Facility.P4IDNumber,2755)="","",INDEX(I.Facility.P4IDNumber,2755))</f>
        <v/>
      </c>
      <c r="G22767" s="51"/>
      <c r="H22767" s="46" t="str">
        <f>IF(AND(I.Developer.P4=TRUE,I.Facility.P4FacilityCount&gt;=2755,F22767=""),"Incomplete","Complete")</f>
        <v>Complete</v>
      </c>
      <c r="I22767" s="48" t="s">
        <v>27132</v>
      </c>
    </row>
    <row r="22768" spans="2:9" ht="15" customHeight="1" x14ac:dyDescent="0.25">
      <c r="B22768" s="55" t="s">
        <v>283</v>
      </c>
      <c r="C22768" s="46">
        <v>2756</v>
      </c>
      <c r="D22768" s="69" t="s">
        <v>29420</v>
      </c>
      <c r="E22768" s="51"/>
      <c r="F22768" s="114" t="str">
        <f>IF(INDEX(I.Facility.P4IDNumber,2756)="","",INDEX(I.Facility.P4IDNumber,2756))</f>
        <v/>
      </c>
      <c r="G22768" s="51"/>
      <c r="H22768" s="46" t="str">
        <f>IF(AND(I.Developer.P4=TRUE,I.Facility.P4FacilityCount&gt;=2756,F22768=""),"Incomplete","Complete")</f>
        <v>Complete</v>
      </c>
      <c r="I22768" s="48" t="s">
        <v>27133</v>
      </c>
    </row>
    <row r="22769" spans="2:9" ht="15" customHeight="1" x14ac:dyDescent="0.25">
      <c r="B22769" s="55" t="s">
        <v>283</v>
      </c>
      <c r="C22769" s="46">
        <v>2757</v>
      </c>
      <c r="D22769" s="69" t="s">
        <v>29420</v>
      </c>
      <c r="E22769" s="51"/>
      <c r="F22769" s="114" t="str">
        <f>IF(INDEX(I.Facility.P4IDNumber,2757)="","",INDEX(I.Facility.P4IDNumber,2757))</f>
        <v/>
      </c>
      <c r="G22769" s="51"/>
      <c r="H22769" s="46" t="str">
        <f>IF(AND(I.Developer.P4=TRUE,I.Facility.P4FacilityCount&gt;=2757,F22769=""),"Incomplete","Complete")</f>
        <v>Complete</v>
      </c>
      <c r="I22769" s="48" t="s">
        <v>27134</v>
      </c>
    </row>
    <row r="22770" spans="2:9" ht="15" customHeight="1" x14ac:dyDescent="0.25">
      <c r="B22770" s="55" t="s">
        <v>283</v>
      </c>
      <c r="C22770" s="46">
        <v>2758</v>
      </c>
      <c r="D22770" s="69" t="s">
        <v>29420</v>
      </c>
      <c r="E22770" s="51"/>
      <c r="F22770" s="114" t="str">
        <f>IF(INDEX(I.Facility.P4IDNumber,2758)="","",INDEX(I.Facility.P4IDNumber,2758))</f>
        <v/>
      </c>
      <c r="G22770" s="51"/>
      <c r="H22770" s="46" t="str">
        <f>IF(AND(I.Developer.P4=TRUE,I.Facility.P4FacilityCount&gt;=2758,F22770=""),"Incomplete","Complete")</f>
        <v>Complete</v>
      </c>
      <c r="I22770" s="48" t="s">
        <v>27135</v>
      </c>
    </row>
    <row r="22771" spans="2:9" ht="15" customHeight="1" x14ac:dyDescent="0.25">
      <c r="B22771" s="55" t="s">
        <v>283</v>
      </c>
      <c r="C22771" s="46">
        <v>2759</v>
      </c>
      <c r="D22771" s="69" t="s">
        <v>29420</v>
      </c>
      <c r="E22771" s="51"/>
      <c r="F22771" s="114" t="str">
        <f>IF(INDEX(I.Facility.P4IDNumber,2759)="","",INDEX(I.Facility.P4IDNumber,2759))</f>
        <v/>
      </c>
      <c r="G22771" s="51"/>
      <c r="H22771" s="46" t="str">
        <f>IF(AND(I.Developer.P4=TRUE,I.Facility.P4FacilityCount&gt;=2759,F22771=""),"Incomplete","Complete")</f>
        <v>Complete</v>
      </c>
      <c r="I22771" s="48" t="s">
        <v>27136</v>
      </c>
    </row>
    <row r="22772" spans="2:9" ht="15" customHeight="1" x14ac:dyDescent="0.25">
      <c r="B22772" s="55" t="s">
        <v>283</v>
      </c>
      <c r="C22772" s="46">
        <v>2760</v>
      </c>
      <c r="D22772" s="69" t="s">
        <v>29420</v>
      </c>
      <c r="E22772" s="51"/>
      <c r="F22772" s="114" t="str">
        <f>IF(INDEX(I.Facility.P4IDNumber,2760)="","",INDEX(I.Facility.P4IDNumber,2760))</f>
        <v/>
      </c>
      <c r="G22772" s="51"/>
      <c r="H22772" s="46" t="str">
        <f>IF(AND(I.Developer.P4=TRUE,I.Facility.P4FacilityCount&gt;=2760,F22772=""),"Incomplete","Complete")</f>
        <v>Complete</v>
      </c>
      <c r="I22772" s="48" t="s">
        <v>27137</v>
      </c>
    </row>
    <row r="22773" spans="2:9" ht="15" customHeight="1" x14ac:dyDescent="0.25">
      <c r="B22773" s="55" t="s">
        <v>283</v>
      </c>
      <c r="C22773" s="46">
        <v>2761</v>
      </c>
      <c r="D22773" s="69" t="s">
        <v>29420</v>
      </c>
      <c r="E22773" s="51"/>
      <c r="F22773" s="114" t="str">
        <f>IF(INDEX(I.Facility.P4IDNumber,2761)="","",INDEX(I.Facility.P4IDNumber,2761))</f>
        <v/>
      </c>
      <c r="G22773" s="51"/>
      <c r="H22773" s="46" t="str">
        <f>IF(AND(I.Developer.P4=TRUE,I.Facility.P4FacilityCount&gt;=2761,F22773=""),"Incomplete","Complete")</f>
        <v>Complete</v>
      </c>
      <c r="I22773" s="48" t="s">
        <v>27138</v>
      </c>
    </row>
    <row r="22774" spans="2:9" ht="15" customHeight="1" x14ac:dyDescent="0.25">
      <c r="B22774" s="55" t="s">
        <v>283</v>
      </c>
      <c r="C22774" s="46">
        <v>2762</v>
      </c>
      <c r="D22774" s="69" t="s">
        <v>29420</v>
      </c>
      <c r="E22774" s="51"/>
      <c r="F22774" s="114" t="str">
        <f>IF(INDEX(I.Facility.P4IDNumber,2762)="","",INDEX(I.Facility.P4IDNumber,2762))</f>
        <v/>
      </c>
      <c r="G22774" s="51"/>
      <c r="H22774" s="46" t="str">
        <f>IF(AND(I.Developer.P4=TRUE,I.Facility.P4FacilityCount&gt;=2762,F22774=""),"Incomplete","Complete")</f>
        <v>Complete</v>
      </c>
      <c r="I22774" s="48" t="s">
        <v>27139</v>
      </c>
    </row>
    <row r="22775" spans="2:9" ht="15" customHeight="1" x14ac:dyDescent="0.25">
      <c r="B22775" s="55" t="s">
        <v>283</v>
      </c>
      <c r="C22775" s="46">
        <v>2763</v>
      </c>
      <c r="D22775" s="69" t="s">
        <v>29420</v>
      </c>
      <c r="E22775" s="51"/>
      <c r="F22775" s="114" t="str">
        <f>IF(INDEX(I.Facility.P4IDNumber,2763)="","",INDEX(I.Facility.P4IDNumber,2763))</f>
        <v/>
      </c>
      <c r="G22775" s="51"/>
      <c r="H22775" s="46" t="str">
        <f>IF(AND(I.Developer.P4=TRUE,I.Facility.P4FacilityCount&gt;=2763,F22775=""),"Incomplete","Complete")</f>
        <v>Complete</v>
      </c>
      <c r="I22775" s="48" t="s">
        <v>27140</v>
      </c>
    </row>
    <row r="22776" spans="2:9" ht="15" customHeight="1" x14ac:dyDescent="0.25">
      <c r="B22776" s="55" t="s">
        <v>283</v>
      </c>
      <c r="C22776" s="46">
        <v>2764</v>
      </c>
      <c r="D22776" s="69" t="s">
        <v>29420</v>
      </c>
      <c r="E22776" s="51"/>
      <c r="F22776" s="114" t="str">
        <f>IF(INDEX(I.Facility.P4IDNumber,2764)="","",INDEX(I.Facility.P4IDNumber,2764))</f>
        <v/>
      </c>
      <c r="G22776" s="51"/>
      <c r="H22776" s="46" t="str">
        <f>IF(AND(I.Developer.P4=TRUE,I.Facility.P4FacilityCount&gt;=2764,F22776=""),"Incomplete","Complete")</f>
        <v>Complete</v>
      </c>
      <c r="I22776" s="48" t="s">
        <v>27141</v>
      </c>
    </row>
    <row r="22777" spans="2:9" ht="15" customHeight="1" x14ac:dyDescent="0.25">
      <c r="B22777" s="55" t="s">
        <v>283</v>
      </c>
      <c r="C22777" s="46">
        <v>2765</v>
      </c>
      <c r="D22777" s="69" t="s">
        <v>29420</v>
      </c>
      <c r="E22777" s="51"/>
      <c r="F22777" s="114" t="str">
        <f>IF(INDEX(I.Facility.P4IDNumber,2765)="","",INDEX(I.Facility.P4IDNumber,2765))</f>
        <v/>
      </c>
      <c r="G22777" s="51"/>
      <c r="H22777" s="46" t="str">
        <f>IF(AND(I.Developer.P4=TRUE,I.Facility.P4FacilityCount&gt;=2765,F22777=""),"Incomplete","Complete")</f>
        <v>Complete</v>
      </c>
      <c r="I22777" s="48" t="s">
        <v>27142</v>
      </c>
    </row>
    <row r="22778" spans="2:9" ht="15" customHeight="1" x14ac:dyDescent="0.25">
      <c r="B22778" s="55" t="s">
        <v>283</v>
      </c>
      <c r="C22778" s="46">
        <v>2766</v>
      </c>
      <c r="D22778" s="69" t="s">
        <v>29420</v>
      </c>
      <c r="E22778" s="51"/>
      <c r="F22778" s="114" t="str">
        <f>IF(INDEX(I.Facility.P4IDNumber,2766)="","",INDEX(I.Facility.P4IDNumber,2766))</f>
        <v/>
      </c>
      <c r="G22778" s="51"/>
      <c r="H22778" s="46" t="str">
        <f>IF(AND(I.Developer.P4=TRUE,I.Facility.P4FacilityCount&gt;=2766,F22778=""),"Incomplete","Complete")</f>
        <v>Complete</v>
      </c>
      <c r="I22778" s="48" t="s">
        <v>27143</v>
      </c>
    </row>
    <row r="22779" spans="2:9" ht="15" customHeight="1" x14ac:dyDescent="0.25">
      <c r="B22779" s="55" t="s">
        <v>283</v>
      </c>
      <c r="C22779" s="46">
        <v>2767</v>
      </c>
      <c r="D22779" s="69" t="s">
        <v>29420</v>
      </c>
      <c r="E22779" s="51"/>
      <c r="F22779" s="114" t="str">
        <f>IF(INDEX(I.Facility.P4IDNumber,2767)="","",INDEX(I.Facility.P4IDNumber,2767))</f>
        <v/>
      </c>
      <c r="G22779" s="51"/>
      <c r="H22779" s="46" t="str">
        <f>IF(AND(I.Developer.P4=TRUE,I.Facility.P4FacilityCount&gt;=2767,F22779=""),"Incomplete","Complete")</f>
        <v>Complete</v>
      </c>
      <c r="I22779" s="48" t="s">
        <v>27144</v>
      </c>
    </row>
    <row r="22780" spans="2:9" ht="15" customHeight="1" x14ac:dyDescent="0.25">
      <c r="B22780" s="55" t="s">
        <v>283</v>
      </c>
      <c r="C22780" s="46">
        <v>2768</v>
      </c>
      <c r="D22780" s="69" t="s">
        <v>29420</v>
      </c>
      <c r="E22780" s="51"/>
      <c r="F22780" s="114" t="str">
        <f>IF(INDEX(I.Facility.P4IDNumber,2768)="","",INDEX(I.Facility.P4IDNumber,2768))</f>
        <v/>
      </c>
      <c r="G22780" s="51"/>
      <c r="H22780" s="46" t="str">
        <f>IF(AND(I.Developer.P4=TRUE,I.Facility.P4FacilityCount&gt;=2768,F22780=""),"Incomplete","Complete")</f>
        <v>Complete</v>
      </c>
      <c r="I22780" s="48" t="s">
        <v>27145</v>
      </c>
    </row>
    <row r="22781" spans="2:9" ht="15" customHeight="1" x14ac:dyDescent="0.25">
      <c r="B22781" s="55" t="s">
        <v>283</v>
      </c>
      <c r="C22781" s="46">
        <v>2769</v>
      </c>
      <c r="D22781" s="69" t="s">
        <v>29420</v>
      </c>
      <c r="E22781" s="51"/>
      <c r="F22781" s="114" t="str">
        <f>IF(INDEX(I.Facility.P4IDNumber,2769)="","",INDEX(I.Facility.P4IDNumber,2769))</f>
        <v/>
      </c>
      <c r="G22781" s="51"/>
      <c r="H22781" s="46" t="str">
        <f>IF(AND(I.Developer.P4=TRUE,I.Facility.P4FacilityCount&gt;=2769,F22781=""),"Incomplete","Complete")</f>
        <v>Complete</v>
      </c>
      <c r="I22781" s="48" t="s">
        <v>27146</v>
      </c>
    </row>
    <row r="22782" spans="2:9" ht="15" customHeight="1" x14ac:dyDescent="0.25">
      <c r="B22782" s="55" t="s">
        <v>283</v>
      </c>
      <c r="C22782" s="46">
        <v>2770</v>
      </c>
      <c r="D22782" s="69" t="s">
        <v>29420</v>
      </c>
      <c r="E22782" s="51"/>
      <c r="F22782" s="114" t="str">
        <f>IF(INDEX(I.Facility.P4IDNumber,2770)="","",INDEX(I.Facility.P4IDNumber,2770))</f>
        <v/>
      </c>
      <c r="G22782" s="51"/>
      <c r="H22782" s="46" t="str">
        <f>IF(AND(I.Developer.P4=TRUE,I.Facility.P4FacilityCount&gt;=2770,F22782=""),"Incomplete","Complete")</f>
        <v>Complete</v>
      </c>
      <c r="I22782" s="48" t="s">
        <v>27147</v>
      </c>
    </row>
    <row r="22783" spans="2:9" ht="15" customHeight="1" x14ac:dyDescent="0.25">
      <c r="B22783" s="55" t="s">
        <v>283</v>
      </c>
      <c r="C22783" s="46">
        <v>2771</v>
      </c>
      <c r="D22783" s="69" t="s">
        <v>29420</v>
      </c>
      <c r="E22783" s="51"/>
      <c r="F22783" s="114" t="str">
        <f>IF(INDEX(I.Facility.P4IDNumber,2771)="","",INDEX(I.Facility.P4IDNumber,2771))</f>
        <v/>
      </c>
      <c r="G22783" s="51"/>
      <c r="H22783" s="46" t="str">
        <f>IF(AND(I.Developer.P4=TRUE,I.Facility.P4FacilityCount&gt;=2771,F22783=""),"Incomplete","Complete")</f>
        <v>Complete</v>
      </c>
      <c r="I22783" s="48" t="s">
        <v>27148</v>
      </c>
    </row>
    <row r="22784" spans="2:9" ht="15" customHeight="1" x14ac:dyDescent="0.25">
      <c r="B22784" s="55" t="s">
        <v>283</v>
      </c>
      <c r="C22784" s="46">
        <v>2772</v>
      </c>
      <c r="D22784" s="69" t="s">
        <v>29420</v>
      </c>
      <c r="E22784" s="51"/>
      <c r="F22784" s="114" t="str">
        <f>IF(INDEX(I.Facility.P4IDNumber,2772)="","",INDEX(I.Facility.P4IDNumber,2772))</f>
        <v/>
      </c>
      <c r="G22784" s="51"/>
      <c r="H22784" s="46" t="str">
        <f>IF(AND(I.Developer.P4=TRUE,I.Facility.P4FacilityCount&gt;=2772,F22784=""),"Incomplete","Complete")</f>
        <v>Complete</v>
      </c>
      <c r="I22784" s="48" t="s">
        <v>27149</v>
      </c>
    </row>
    <row r="22785" spans="2:9" ht="15" customHeight="1" x14ac:dyDescent="0.25">
      <c r="B22785" s="55" t="s">
        <v>283</v>
      </c>
      <c r="C22785" s="46">
        <v>2773</v>
      </c>
      <c r="D22785" s="69" t="s">
        <v>29420</v>
      </c>
      <c r="E22785" s="51"/>
      <c r="F22785" s="114" t="str">
        <f>IF(INDEX(I.Facility.P4IDNumber,2773)="","",INDEX(I.Facility.P4IDNumber,2773))</f>
        <v/>
      </c>
      <c r="G22785" s="51"/>
      <c r="H22785" s="46" t="str">
        <f>IF(AND(I.Developer.P4=TRUE,I.Facility.P4FacilityCount&gt;=2773,F22785=""),"Incomplete","Complete")</f>
        <v>Complete</v>
      </c>
      <c r="I22785" s="48" t="s">
        <v>27150</v>
      </c>
    </row>
    <row r="22786" spans="2:9" ht="15" customHeight="1" x14ac:dyDescent="0.25">
      <c r="B22786" s="55" t="s">
        <v>283</v>
      </c>
      <c r="C22786" s="46">
        <v>2774</v>
      </c>
      <c r="D22786" s="69" t="s">
        <v>29420</v>
      </c>
      <c r="E22786" s="51"/>
      <c r="F22786" s="114" t="str">
        <f>IF(INDEX(I.Facility.P4IDNumber,2774)="","",INDEX(I.Facility.P4IDNumber,2774))</f>
        <v/>
      </c>
      <c r="G22786" s="51"/>
      <c r="H22786" s="46" t="str">
        <f>IF(AND(I.Developer.P4=TRUE,I.Facility.P4FacilityCount&gt;=2774,F22786=""),"Incomplete","Complete")</f>
        <v>Complete</v>
      </c>
      <c r="I22786" s="48" t="s">
        <v>27151</v>
      </c>
    </row>
    <row r="22787" spans="2:9" ht="15" customHeight="1" x14ac:dyDescent="0.25">
      <c r="B22787" s="55" t="s">
        <v>283</v>
      </c>
      <c r="C22787" s="46">
        <v>2775</v>
      </c>
      <c r="D22787" s="69" t="s">
        <v>29420</v>
      </c>
      <c r="E22787" s="51"/>
      <c r="F22787" s="114" t="str">
        <f>IF(INDEX(I.Facility.P4IDNumber,2775)="","",INDEX(I.Facility.P4IDNumber,2775))</f>
        <v/>
      </c>
      <c r="G22787" s="51"/>
      <c r="H22787" s="46" t="str">
        <f>IF(AND(I.Developer.P4=TRUE,I.Facility.P4FacilityCount&gt;=2775,F22787=""),"Incomplete","Complete")</f>
        <v>Complete</v>
      </c>
      <c r="I22787" s="48" t="s">
        <v>27152</v>
      </c>
    </row>
    <row r="22788" spans="2:9" ht="15" customHeight="1" x14ac:dyDescent="0.25">
      <c r="B22788" s="55" t="s">
        <v>283</v>
      </c>
      <c r="C22788" s="46">
        <v>2776</v>
      </c>
      <c r="D22788" s="69" t="s">
        <v>29420</v>
      </c>
      <c r="E22788" s="51"/>
      <c r="F22788" s="114" t="str">
        <f>IF(INDEX(I.Facility.P4IDNumber,2776)="","",INDEX(I.Facility.P4IDNumber,2776))</f>
        <v/>
      </c>
      <c r="G22788" s="51"/>
      <c r="H22788" s="46" t="str">
        <f>IF(AND(I.Developer.P4=TRUE,I.Facility.P4FacilityCount&gt;=2776,F22788=""),"Incomplete","Complete")</f>
        <v>Complete</v>
      </c>
      <c r="I22788" s="48" t="s">
        <v>27153</v>
      </c>
    </row>
    <row r="22789" spans="2:9" ht="15" customHeight="1" x14ac:dyDescent="0.25">
      <c r="B22789" s="55" t="s">
        <v>283</v>
      </c>
      <c r="C22789" s="46">
        <v>2777</v>
      </c>
      <c r="D22789" s="69" t="s">
        <v>29420</v>
      </c>
      <c r="E22789" s="51"/>
      <c r="F22789" s="114" t="str">
        <f>IF(INDEX(I.Facility.P4IDNumber,2777)="","",INDEX(I.Facility.P4IDNumber,2777))</f>
        <v/>
      </c>
      <c r="G22789" s="51"/>
      <c r="H22789" s="46" t="str">
        <f>IF(AND(I.Developer.P4=TRUE,I.Facility.P4FacilityCount&gt;=2777,F22789=""),"Incomplete","Complete")</f>
        <v>Complete</v>
      </c>
      <c r="I22789" s="48" t="s">
        <v>27154</v>
      </c>
    </row>
    <row r="22790" spans="2:9" ht="15" customHeight="1" x14ac:dyDescent="0.25">
      <c r="B22790" s="55" t="s">
        <v>283</v>
      </c>
      <c r="C22790" s="46">
        <v>2778</v>
      </c>
      <c r="D22790" s="69" t="s">
        <v>29420</v>
      </c>
      <c r="E22790" s="51"/>
      <c r="F22790" s="114" t="str">
        <f>IF(INDEX(I.Facility.P4IDNumber,2778)="","",INDEX(I.Facility.P4IDNumber,2778))</f>
        <v/>
      </c>
      <c r="G22790" s="51"/>
      <c r="H22790" s="46" t="str">
        <f>IF(AND(I.Developer.P4=TRUE,I.Facility.P4FacilityCount&gt;=2778,F22790=""),"Incomplete","Complete")</f>
        <v>Complete</v>
      </c>
      <c r="I22790" s="48" t="s">
        <v>27155</v>
      </c>
    </row>
    <row r="22791" spans="2:9" ht="15" customHeight="1" x14ac:dyDescent="0.25">
      <c r="B22791" s="55" t="s">
        <v>283</v>
      </c>
      <c r="C22791" s="46">
        <v>2779</v>
      </c>
      <c r="D22791" s="69" t="s">
        <v>29420</v>
      </c>
      <c r="E22791" s="51"/>
      <c r="F22791" s="114" t="str">
        <f>IF(INDEX(I.Facility.P4IDNumber,2779)="","",INDEX(I.Facility.P4IDNumber,2779))</f>
        <v/>
      </c>
      <c r="G22791" s="51"/>
      <c r="H22791" s="46" t="str">
        <f>IF(AND(I.Developer.P4=TRUE,I.Facility.P4FacilityCount&gt;=2779,F22791=""),"Incomplete","Complete")</f>
        <v>Complete</v>
      </c>
      <c r="I22791" s="48" t="s">
        <v>27156</v>
      </c>
    </row>
    <row r="22792" spans="2:9" ht="15" customHeight="1" x14ac:dyDescent="0.25">
      <c r="B22792" s="55" t="s">
        <v>283</v>
      </c>
      <c r="C22792" s="46">
        <v>2780</v>
      </c>
      <c r="D22792" s="69" t="s">
        <v>29420</v>
      </c>
      <c r="E22792" s="51"/>
      <c r="F22792" s="114" t="str">
        <f>IF(INDEX(I.Facility.P4IDNumber,2780)="","",INDEX(I.Facility.P4IDNumber,2780))</f>
        <v/>
      </c>
      <c r="G22792" s="51"/>
      <c r="H22792" s="46" t="str">
        <f>IF(AND(I.Developer.P4=TRUE,I.Facility.P4FacilityCount&gt;=2780,F22792=""),"Incomplete","Complete")</f>
        <v>Complete</v>
      </c>
      <c r="I22792" s="48" t="s">
        <v>27157</v>
      </c>
    </row>
    <row r="22793" spans="2:9" ht="15" customHeight="1" x14ac:dyDescent="0.25">
      <c r="B22793" s="55" t="s">
        <v>283</v>
      </c>
      <c r="C22793" s="46">
        <v>2781</v>
      </c>
      <c r="D22793" s="69" t="s">
        <v>29420</v>
      </c>
      <c r="E22793" s="51"/>
      <c r="F22793" s="114" t="str">
        <f>IF(INDEX(I.Facility.P4IDNumber,2781)="","",INDEX(I.Facility.P4IDNumber,2781))</f>
        <v/>
      </c>
      <c r="G22793" s="51"/>
      <c r="H22793" s="46" t="str">
        <f>IF(AND(I.Developer.P4=TRUE,I.Facility.P4FacilityCount&gt;=2781,F22793=""),"Incomplete","Complete")</f>
        <v>Complete</v>
      </c>
      <c r="I22793" s="48" t="s">
        <v>27158</v>
      </c>
    </row>
    <row r="22794" spans="2:9" ht="15" customHeight="1" x14ac:dyDescent="0.25">
      <c r="B22794" s="55" t="s">
        <v>283</v>
      </c>
      <c r="C22794" s="46">
        <v>2782</v>
      </c>
      <c r="D22794" s="69" t="s">
        <v>29420</v>
      </c>
      <c r="E22794" s="51"/>
      <c r="F22794" s="114" t="str">
        <f>IF(INDEX(I.Facility.P4IDNumber,2782)="","",INDEX(I.Facility.P4IDNumber,2782))</f>
        <v/>
      </c>
      <c r="G22794" s="51"/>
      <c r="H22794" s="46" t="str">
        <f>IF(AND(I.Developer.P4=TRUE,I.Facility.P4FacilityCount&gt;=2782,F22794=""),"Incomplete","Complete")</f>
        <v>Complete</v>
      </c>
      <c r="I22794" s="48" t="s">
        <v>27159</v>
      </c>
    </row>
    <row r="22795" spans="2:9" ht="15" customHeight="1" x14ac:dyDescent="0.25">
      <c r="B22795" s="55" t="s">
        <v>283</v>
      </c>
      <c r="C22795" s="46">
        <v>2783</v>
      </c>
      <c r="D22795" s="69" t="s">
        <v>29420</v>
      </c>
      <c r="E22795" s="51"/>
      <c r="F22795" s="114" t="str">
        <f>IF(INDEX(I.Facility.P4IDNumber,2783)="","",INDEX(I.Facility.P4IDNumber,2783))</f>
        <v/>
      </c>
      <c r="G22795" s="51"/>
      <c r="H22795" s="46" t="str">
        <f>IF(AND(I.Developer.P4=TRUE,I.Facility.P4FacilityCount&gt;=2783,F22795=""),"Incomplete","Complete")</f>
        <v>Complete</v>
      </c>
      <c r="I22795" s="48" t="s">
        <v>27160</v>
      </c>
    </row>
    <row r="22796" spans="2:9" ht="15" customHeight="1" x14ac:dyDescent="0.25">
      <c r="B22796" s="55" t="s">
        <v>283</v>
      </c>
      <c r="C22796" s="46">
        <v>2784</v>
      </c>
      <c r="D22796" s="69" t="s">
        <v>29420</v>
      </c>
      <c r="E22796" s="51"/>
      <c r="F22796" s="114" t="str">
        <f>IF(INDEX(I.Facility.P4IDNumber,2784)="","",INDEX(I.Facility.P4IDNumber,2784))</f>
        <v/>
      </c>
      <c r="G22796" s="51"/>
      <c r="H22796" s="46" t="str">
        <f>IF(AND(I.Developer.P4=TRUE,I.Facility.P4FacilityCount&gt;=2784,F22796=""),"Incomplete","Complete")</f>
        <v>Complete</v>
      </c>
      <c r="I22796" s="48" t="s">
        <v>27161</v>
      </c>
    </row>
    <row r="22797" spans="2:9" ht="15" customHeight="1" x14ac:dyDescent="0.25">
      <c r="B22797" s="55" t="s">
        <v>283</v>
      </c>
      <c r="C22797" s="46">
        <v>2785</v>
      </c>
      <c r="D22797" s="69" t="s">
        <v>29420</v>
      </c>
      <c r="E22797" s="51"/>
      <c r="F22797" s="114" t="str">
        <f>IF(INDEX(I.Facility.P4IDNumber,2785)="","",INDEX(I.Facility.P4IDNumber,2785))</f>
        <v/>
      </c>
      <c r="G22797" s="51"/>
      <c r="H22797" s="46" t="str">
        <f>IF(AND(I.Developer.P4=TRUE,I.Facility.P4FacilityCount&gt;=2785,F22797=""),"Incomplete","Complete")</f>
        <v>Complete</v>
      </c>
      <c r="I22797" s="48" t="s">
        <v>27162</v>
      </c>
    </row>
    <row r="22798" spans="2:9" ht="15" customHeight="1" x14ac:dyDescent="0.25">
      <c r="B22798" s="55" t="s">
        <v>283</v>
      </c>
      <c r="C22798" s="46">
        <v>2786</v>
      </c>
      <c r="D22798" s="69" t="s">
        <v>29420</v>
      </c>
      <c r="E22798" s="51"/>
      <c r="F22798" s="114" t="str">
        <f>IF(INDEX(I.Facility.P4IDNumber,2786)="","",INDEX(I.Facility.P4IDNumber,2786))</f>
        <v/>
      </c>
      <c r="G22798" s="51"/>
      <c r="H22798" s="46" t="str">
        <f>IF(AND(I.Developer.P4=TRUE,I.Facility.P4FacilityCount&gt;=2786,F22798=""),"Incomplete","Complete")</f>
        <v>Complete</v>
      </c>
      <c r="I22798" s="48" t="s">
        <v>27163</v>
      </c>
    </row>
    <row r="22799" spans="2:9" ht="15" customHeight="1" x14ac:dyDescent="0.25">
      <c r="B22799" s="55" t="s">
        <v>283</v>
      </c>
      <c r="C22799" s="46">
        <v>2787</v>
      </c>
      <c r="D22799" s="69" t="s">
        <v>29420</v>
      </c>
      <c r="E22799" s="51"/>
      <c r="F22799" s="114" t="str">
        <f>IF(INDEX(I.Facility.P4IDNumber,2787)="","",INDEX(I.Facility.P4IDNumber,2787))</f>
        <v/>
      </c>
      <c r="G22799" s="51"/>
      <c r="H22799" s="46" t="str">
        <f>IF(AND(I.Developer.P4=TRUE,I.Facility.P4FacilityCount&gt;=2787,F22799=""),"Incomplete","Complete")</f>
        <v>Complete</v>
      </c>
      <c r="I22799" s="48" t="s">
        <v>27164</v>
      </c>
    </row>
    <row r="22800" spans="2:9" ht="15" customHeight="1" x14ac:dyDescent="0.25">
      <c r="B22800" s="55" t="s">
        <v>283</v>
      </c>
      <c r="C22800" s="46">
        <v>2788</v>
      </c>
      <c r="D22800" s="69" t="s">
        <v>29420</v>
      </c>
      <c r="E22800" s="51"/>
      <c r="F22800" s="114" t="str">
        <f>IF(INDEX(I.Facility.P4IDNumber,2788)="","",INDEX(I.Facility.P4IDNumber,2788))</f>
        <v/>
      </c>
      <c r="G22800" s="51"/>
      <c r="H22800" s="46" t="str">
        <f>IF(AND(I.Developer.P4=TRUE,I.Facility.P4FacilityCount&gt;=2788,F22800=""),"Incomplete","Complete")</f>
        <v>Complete</v>
      </c>
      <c r="I22800" s="48" t="s">
        <v>27165</v>
      </c>
    </row>
    <row r="22801" spans="2:9" ht="15" customHeight="1" x14ac:dyDescent="0.25">
      <c r="B22801" s="55" t="s">
        <v>283</v>
      </c>
      <c r="C22801" s="46">
        <v>2789</v>
      </c>
      <c r="D22801" s="69" t="s">
        <v>29420</v>
      </c>
      <c r="E22801" s="51"/>
      <c r="F22801" s="114" t="str">
        <f>IF(INDEX(I.Facility.P4IDNumber,2789)="","",INDEX(I.Facility.P4IDNumber,2789))</f>
        <v/>
      </c>
      <c r="G22801" s="51"/>
      <c r="H22801" s="46" t="str">
        <f>IF(AND(I.Developer.P4=TRUE,I.Facility.P4FacilityCount&gt;=2789,F22801=""),"Incomplete","Complete")</f>
        <v>Complete</v>
      </c>
      <c r="I22801" s="48" t="s">
        <v>27166</v>
      </c>
    </row>
    <row r="22802" spans="2:9" ht="15" customHeight="1" x14ac:dyDescent="0.25">
      <c r="B22802" s="55" t="s">
        <v>283</v>
      </c>
      <c r="C22802" s="46">
        <v>2790</v>
      </c>
      <c r="D22802" s="69" t="s">
        <v>29420</v>
      </c>
      <c r="E22802" s="51"/>
      <c r="F22802" s="114" t="str">
        <f>IF(INDEX(I.Facility.P4IDNumber,2790)="","",INDEX(I.Facility.P4IDNumber,2790))</f>
        <v/>
      </c>
      <c r="G22802" s="51"/>
      <c r="H22802" s="46" t="str">
        <f>IF(AND(I.Developer.P4=TRUE,I.Facility.P4FacilityCount&gt;=2790,F22802=""),"Incomplete","Complete")</f>
        <v>Complete</v>
      </c>
      <c r="I22802" s="48" t="s">
        <v>27167</v>
      </c>
    </row>
    <row r="22803" spans="2:9" ht="15" customHeight="1" x14ac:dyDescent="0.25">
      <c r="B22803" s="55" t="s">
        <v>283</v>
      </c>
      <c r="C22803" s="46">
        <v>2791</v>
      </c>
      <c r="D22803" s="69" t="s">
        <v>29420</v>
      </c>
      <c r="E22803" s="51"/>
      <c r="F22803" s="114" t="str">
        <f>IF(INDEX(I.Facility.P4IDNumber,2791)="","",INDEX(I.Facility.P4IDNumber,2791))</f>
        <v/>
      </c>
      <c r="G22803" s="51"/>
      <c r="H22803" s="46" t="str">
        <f>IF(AND(I.Developer.P4=TRUE,I.Facility.P4FacilityCount&gt;=2791,F22803=""),"Incomplete","Complete")</f>
        <v>Complete</v>
      </c>
      <c r="I22803" s="48" t="s">
        <v>27168</v>
      </c>
    </row>
    <row r="22804" spans="2:9" ht="15" customHeight="1" x14ac:dyDescent="0.25">
      <c r="B22804" s="55" t="s">
        <v>283</v>
      </c>
      <c r="C22804" s="46">
        <v>2792</v>
      </c>
      <c r="D22804" s="69" t="s">
        <v>29420</v>
      </c>
      <c r="E22804" s="51"/>
      <c r="F22804" s="114" t="str">
        <f>IF(INDEX(I.Facility.P4IDNumber,2792)="","",INDEX(I.Facility.P4IDNumber,2792))</f>
        <v/>
      </c>
      <c r="G22804" s="51"/>
      <c r="H22804" s="46" t="str">
        <f>IF(AND(I.Developer.P4=TRUE,I.Facility.P4FacilityCount&gt;=2792,F22804=""),"Incomplete","Complete")</f>
        <v>Complete</v>
      </c>
      <c r="I22804" s="48" t="s">
        <v>27169</v>
      </c>
    </row>
    <row r="22805" spans="2:9" ht="15" customHeight="1" x14ac:dyDescent="0.25">
      <c r="B22805" s="55" t="s">
        <v>283</v>
      </c>
      <c r="C22805" s="46">
        <v>2793</v>
      </c>
      <c r="D22805" s="69" t="s">
        <v>29420</v>
      </c>
      <c r="E22805" s="51"/>
      <c r="F22805" s="114" t="str">
        <f>IF(INDEX(I.Facility.P4IDNumber,2793)="","",INDEX(I.Facility.P4IDNumber,2793))</f>
        <v/>
      </c>
      <c r="G22805" s="51"/>
      <c r="H22805" s="46" t="str">
        <f>IF(AND(I.Developer.P4=TRUE,I.Facility.P4FacilityCount&gt;=2793,F22805=""),"Incomplete","Complete")</f>
        <v>Complete</v>
      </c>
      <c r="I22805" s="48" t="s">
        <v>27170</v>
      </c>
    </row>
    <row r="22806" spans="2:9" ht="15" customHeight="1" x14ac:dyDescent="0.25">
      <c r="B22806" s="55" t="s">
        <v>283</v>
      </c>
      <c r="C22806" s="46">
        <v>2794</v>
      </c>
      <c r="D22806" s="69" t="s">
        <v>29420</v>
      </c>
      <c r="E22806" s="51"/>
      <c r="F22806" s="114" t="str">
        <f>IF(INDEX(I.Facility.P4IDNumber,2794)="","",INDEX(I.Facility.P4IDNumber,2794))</f>
        <v/>
      </c>
      <c r="G22806" s="51"/>
      <c r="H22806" s="46" t="str">
        <f>IF(AND(I.Developer.P4=TRUE,I.Facility.P4FacilityCount&gt;=2794,F22806=""),"Incomplete","Complete")</f>
        <v>Complete</v>
      </c>
      <c r="I22806" s="48" t="s">
        <v>27171</v>
      </c>
    </row>
    <row r="22807" spans="2:9" ht="15" customHeight="1" x14ac:dyDescent="0.25">
      <c r="B22807" s="55" t="s">
        <v>283</v>
      </c>
      <c r="C22807" s="46">
        <v>2795</v>
      </c>
      <c r="D22807" s="69" t="s">
        <v>29420</v>
      </c>
      <c r="E22807" s="51"/>
      <c r="F22807" s="114" t="str">
        <f>IF(INDEX(I.Facility.P4IDNumber,2795)="","",INDEX(I.Facility.P4IDNumber,2795))</f>
        <v/>
      </c>
      <c r="G22807" s="51"/>
      <c r="H22807" s="46" t="str">
        <f>IF(AND(I.Developer.P4=TRUE,I.Facility.P4FacilityCount&gt;=2795,F22807=""),"Incomplete","Complete")</f>
        <v>Complete</v>
      </c>
      <c r="I22807" s="48" t="s">
        <v>27172</v>
      </c>
    </row>
    <row r="22808" spans="2:9" ht="15" customHeight="1" x14ac:dyDescent="0.25">
      <c r="B22808" s="55" t="s">
        <v>283</v>
      </c>
      <c r="C22808" s="46">
        <v>2796</v>
      </c>
      <c r="D22808" s="69" t="s">
        <v>29420</v>
      </c>
      <c r="E22808" s="51"/>
      <c r="F22808" s="114" t="str">
        <f>IF(INDEX(I.Facility.P4IDNumber,2796)="","",INDEX(I.Facility.P4IDNumber,2796))</f>
        <v/>
      </c>
      <c r="G22808" s="51"/>
      <c r="H22808" s="46" t="str">
        <f>IF(AND(I.Developer.P4=TRUE,I.Facility.P4FacilityCount&gt;=2796,F22808=""),"Incomplete","Complete")</f>
        <v>Complete</v>
      </c>
      <c r="I22808" s="48" t="s">
        <v>27173</v>
      </c>
    </row>
    <row r="22809" spans="2:9" ht="15" customHeight="1" x14ac:dyDescent="0.25">
      <c r="B22809" s="55" t="s">
        <v>283</v>
      </c>
      <c r="C22809" s="46">
        <v>2797</v>
      </c>
      <c r="D22809" s="69" t="s">
        <v>29420</v>
      </c>
      <c r="E22809" s="51"/>
      <c r="F22809" s="114" t="str">
        <f>IF(INDEX(I.Facility.P4IDNumber,2797)="","",INDEX(I.Facility.P4IDNumber,2797))</f>
        <v/>
      </c>
      <c r="G22809" s="51"/>
      <c r="H22809" s="46" t="str">
        <f>IF(AND(I.Developer.P4=TRUE,I.Facility.P4FacilityCount&gt;=2797,F22809=""),"Incomplete","Complete")</f>
        <v>Complete</v>
      </c>
      <c r="I22809" s="48" t="s">
        <v>27174</v>
      </c>
    </row>
    <row r="22810" spans="2:9" ht="15" customHeight="1" x14ac:dyDescent="0.25">
      <c r="B22810" s="55" t="s">
        <v>283</v>
      </c>
      <c r="C22810" s="46">
        <v>2798</v>
      </c>
      <c r="D22810" s="69" t="s">
        <v>29420</v>
      </c>
      <c r="E22810" s="51"/>
      <c r="F22810" s="114" t="str">
        <f>IF(INDEX(I.Facility.P4IDNumber,2798)="","",INDEX(I.Facility.P4IDNumber,2798))</f>
        <v/>
      </c>
      <c r="G22810" s="51"/>
      <c r="H22810" s="46" t="str">
        <f>IF(AND(I.Developer.P4=TRUE,I.Facility.P4FacilityCount&gt;=2798,F22810=""),"Incomplete","Complete")</f>
        <v>Complete</v>
      </c>
      <c r="I22810" s="48" t="s">
        <v>27175</v>
      </c>
    </row>
    <row r="22811" spans="2:9" ht="15" customHeight="1" x14ac:dyDescent="0.25">
      <c r="B22811" s="55" t="s">
        <v>283</v>
      </c>
      <c r="C22811" s="46">
        <v>2799</v>
      </c>
      <c r="D22811" s="69" t="s">
        <v>29420</v>
      </c>
      <c r="E22811" s="51"/>
      <c r="F22811" s="114" t="str">
        <f>IF(INDEX(I.Facility.P4IDNumber,2799)="","",INDEX(I.Facility.P4IDNumber,2799))</f>
        <v/>
      </c>
      <c r="G22811" s="51"/>
      <c r="H22811" s="46" t="str">
        <f>IF(AND(I.Developer.P4=TRUE,I.Facility.P4FacilityCount&gt;=2799,F22811=""),"Incomplete","Complete")</f>
        <v>Complete</v>
      </c>
      <c r="I22811" s="48" t="s">
        <v>27176</v>
      </c>
    </row>
    <row r="22812" spans="2:9" ht="15" customHeight="1" x14ac:dyDescent="0.25">
      <c r="B22812" s="55" t="s">
        <v>283</v>
      </c>
      <c r="C22812" s="46">
        <v>2800</v>
      </c>
      <c r="D22812" s="69" t="s">
        <v>29420</v>
      </c>
      <c r="E22812" s="51"/>
      <c r="F22812" s="114" t="str">
        <f>IF(INDEX(I.Facility.P4IDNumber,2800)="","",INDEX(I.Facility.P4IDNumber,2800))</f>
        <v/>
      </c>
      <c r="G22812" s="51"/>
      <c r="H22812" s="46" t="str">
        <f>IF(AND(I.Developer.P4=TRUE,I.Facility.P4FacilityCount&gt;=2800,F22812=""),"Incomplete","Complete")</f>
        <v>Complete</v>
      </c>
      <c r="I22812" s="48" t="s">
        <v>27177</v>
      </c>
    </row>
    <row r="22813" spans="2:9" ht="15" customHeight="1" x14ac:dyDescent="0.25">
      <c r="B22813" s="55" t="s">
        <v>283</v>
      </c>
      <c r="C22813" s="46">
        <v>2801</v>
      </c>
      <c r="D22813" s="69" t="s">
        <v>29420</v>
      </c>
      <c r="E22813" s="51"/>
      <c r="F22813" s="114" t="str">
        <f>IF(INDEX(I.Facility.P4IDNumber,2801)="","",INDEX(I.Facility.P4IDNumber,2801))</f>
        <v/>
      </c>
      <c r="G22813" s="51"/>
      <c r="H22813" s="46" t="str">
        <f>IF(AND(I.Developer.P4=TRUE,I.Facility.P4FacilityCount&gt;=2801,F22813=""),"Incomplete","Complete")</f>
        <v>Complete</v>
      </c>
      <c r="I22813" s="48" t="s">
        <v>27178</v>
      </c>
    </row>
    <row r="22814" spans="2:9" ht="15" customHeight="1" x14ac:dyDescent="0.25">
      <c r="B22814" s="55" t="s">
        <v>283</v>
      </c>
      <c r="C22814" s="46">
        <v>2802</v>
      </c>
      <c r="D22814" s="69" t="s">
        <v>29420</v>
      </c>
      <c r="E22814" s="51"/>
      <c r="F22814" s="114" t="str">
        <f>IF(INDEX(I.Facility.P4IDNumber,2802)="","",INDEX(I.Facility.P4IDNumber,2802))</f>
        <v/>
      </c>
      <c r="G22814" s="51"/>
      <c r="H22814" s="46" t="str">
        <f>IF(AND(I.Developer.P4=TRUE,I.Facility.P4FacilityCount&gt;=2802,F22814=""),"Incomplete","Complete")</f>
        <v>Complete</v>
      </c>
      <c r="I22814" s="48" t="s">
        <v>27179</v>
      </c>
    </row>
    <row r="22815" spans="2:9" ht="15" customHeight="1" x14ac:dyDescent="0.25">
      <c r="B22815" s="55" t="s">
        <v>283</v>
      </c>
      <c r="C22815" s="46">
        <v>2803</v>
      </c>
      <c r="D22815" s="69" t="s">
        <v>29420</v>
      </c>
      <c r="E22815" s="51"/>
      <c r="F22815" s="114" t="str">
        <f>IF(INDEX(I.Facility.P4IDNumber,2803)="","",INDEX(I.Facility.P4IDNumber,2803))</f>
        <v/>
      </c>
      <c r="G22815" s="51"/>
      <c r="H22815" s="46" t="str">
        <f>IF(AND(I.Developer.P4=TRUE,I.Facility.P4FacilityCount&gt;=2803,F22815=""),"Incomplete","Complete")</f>
        <v>Complete</v>
      </c>
      <c r="I22815" s="48" t="s">
        <v>27180</v>
      </c>
    </row>
    <row r="22816" spans="2:9" ht="15" customHeight="1" x14ac:dyDescent="0.25">
      <c r="B22816" s="55" t="s">
        <v>283</v>
      </c>
      <c r="C22816" s="46">
        <v>2804</v>
      </c>
      <c r="D22816" s="69" t="s">
        <v>29420</v>
      </c>
      <c r="E22816" s="51"/>
      <c r="F22816" s="114" t="str">
        <f>IF(INDEX(I.Facility.P4IDNumber,2804)="","",INDEX(I.Facility.P4IDNumber,2804))</f>
        <v/>
      </c>
      <c r="G22816" s="51"/>
      <c r="H22816" s="46" t="str">
        <f>IF(AND(I.Developer.P4=TRUE,I.Facility.P4FacilityCount&gt;=2804,F22816=""),"Incomplete","Complete")</f>
        <v>Complete</v>
      </c>
      <c r="I22816" s="48" t="s">
        <v>27181</v>
      </c>
    </row>
    <row r="22817" spans="2:9" ht="15" customHeight="1" x14ac:dyDescent="0.25">
      <c r="B22817" s="55" t="s">
        <v>283</v>
      </c>
      <c r="C22817" s="46">
        <v>2805</v>
      </c>
      <c r="D22817" s="69" t="s">
        <v>29420</v>
      </c>
      <c r="E22817" s="51"/>
      <c r="F22817" s="114" t="str">
        <f>IF(INDEX(I.Facility.P4IDNumber,2805)="","",INDEX(I.Facility.P4IDNumber,2805))</f>
        <v/>
      </c>
      <c r="G22817" s="51"/>
      <c r="H22817" s="46" t="str">
        <f>IF(AND(I.Developer.P4=TRUE,I.Facility.P4FacilityCount&gt;=2805,F22817=""),"Incomplete","Complete")</f>
        <v>Complete</v>
      </c>
      <c r="I22817" s="48" t="s">
        <v>27182</v>
      </c>
    </row>
    <row r="22818" spans="2:9" ht="15" customHeight="1" x14ac:dyDescent="0.25">
      <c r="B22818" s="55" t="s">
        <v>283</v>
      </c>
      <c r="C22818" s="46">
        <v>2806</v>
      </c>
      <c r="D22818" s="69" t="s">
        <v>29420</v>
      </c>
      <c r="E22818" s="51"/>
      <c r="F22818" s="114" t="str">
        <f>IF(INDEX(I.Facility.P4IDNumber,2806)="","",INDEX(I.Facility.P4IDNumber,2806))</f>
        <v/>
      </c>
      <c r="G22818" s="51"/>
      <c r="H22818" s="46" t="str">
        <f>IF(AND(I.Developer.P4=TRUE,I.Facility.P4FacilityCount&gt;=2806,F22818=""),"Incomplete","Complete")</f>
        <v>Complete</v>
      </c>
      <c r="I22818" s="48" t="s">
        <v>27183</v>
      </c>
    </row>
    <row r="22819" spans="2:9" ht="15" customHeight="1" x14ac:dyDescent="0.25">
      <c r="B22819" s="55" t="s">
        <v>283</v>
      </c>
      <c r="C22819" s="46">
        <v>2807</v>
      </c>
      <c r="D22819" s="69" t="s">
        <v>29420</v>
      </c>
      <c r="E22819" s="51"/>
      <c r="F22819" s="114" t="str">
        <f>IF(INDEX(I.Facility.P4IDNumber,2807)="","",INDEX(I.Facility.P4IDNumber,2807))</f>
        <v/>
      </c>
      <c r="G22819" s="51"/>
      <c r="H22819" s="46" t="str">
        <f>IF(AND(I.Developer.P4=TRUE,I.Facility.P4FacilityCount&gt;=2807,F22819=""),"Incomplete","Complete")</f>
        <v>Complete</v>
      </c>
      <c r="I22819" s="48" t="s">
        <v>27184</v>
      </c>
    </row>
    <row r="22820" spans="2:9" ht="15" customHeight="1" x14ac:dyDescent="0.25">
      <c r="B22820" s="55" t="s">
        <v>283</v>
      </c>
      <c r="C22820" s="46">
        <v>2808</v>
      </c>
      <c r="D22820" s="69" t="s">
        <v>29420</v>
      </c>
      <c r="E22820" s="51"/>
      <c r="F22820" s="114" t="str">
        <f>IF(INDEX(I.Facility.P4IDNumber,2808)="","",INDEX(I.Facility.P4IDNumber,2808))</f>
        <v/>
      </c>
      <c r="G22820" s="51"/>
      <c r="H22820" s="46" t="str">
        <f>IF(AND(I.Developer.P4=TRUE,I.Facility.P4FacilityCount&gt;=2808,F22820=""),"Incomplete","Complete")</f>
        <v>Complete</v>
      </c>
      <c r="I22820" s="48" t="s">
        <v>27185</v>
      </c>
    </row>
    <row r="22821" spans="2:9" ht="15" customHeight="1" x14ac:dyDescent="0.25">
      <c r="B22821" s="55" t="s">
        <v>283</v>
      </c>
      <c r="C22821" s="46">
        <v>2809</v>
      </c>
      <c r="D22821" s="69" t="s">
        <v>29420</v>
      </c>
      <c r="E22821" s="51"/>
      <c r="F22821" s="114" t="str">
        <f>IF(INDEX(I.Facility.P4IDNumber,2809)="","",INDEX(I.Facility.P4IDNumber,2809))</f>
        <v/>
      </c>
      <c r="G22821" s="51"/>
      <c r="H22821" s="46" t="str">
        <f>IF(AND(I.Developer.P4=TRUE,I.Facility.P4FacilityCount&gt;=2809,F22821=""),"Incomplete","Complete")</f>
        <v>Complete</v>
      </c>
      <c r="I22821" s="48" t="s">
        <v>27186</v>
      </c>
    </row>
    <row r="22822" spans="2:9" ht="15" customHeight="1" x14ac:dyDescent="0.25">
      <c r="B22822" s="55" t="s">
        <v>283</v>
      </c>
      <c r="C22822" s="46">
        <v>2810</v>
      </c>
      <c r="D22822" s="69" t="s">
        <v>29420</v>
      </c>
      <c r="E22822" s="51"/>
      <c r="F22822" s="114" t="str">
        <f>IF(INDEX(I.Facility.P4IDNumber,2810)="","",INDEX(I.Facility.P4IDNumber,2810))</f>
        <v/>
      </c>
      <c r="G22822" s="51"/>
      <c r="H22822" s="46" t="str">
        <f>IF(AND(I.Developer.P4=TRUE,I.Facility.P4FacilityCount&gt;=2810,F22822=""),"Incomplete","Complete")</f>
        <v>Complete</v>
      </c>
      <c r="I22822" s="48" t="s">
        <v>27187</v>
      </c>
    </row>
    <row r="22823" spans="2:9" ht="15" customHeight="1" x14ac:dyDescent="0.25">
      <c r="B22823" s="55" t="s">
        <v>283</v>
      </c>
      <c r="C22823" s="46">
        <v>2811</v>
      </c>
      <c r="D22823" s="69" t="s">
        <v>29420</v>
      </c>
      <c r="E22823" s="51"/>
      <c r="F22823" s="114" t="str">
        <f>IF(INDEX(I.Facility.P4IDNumber,2811)="","",INDEX(I.Facility.P4IDNumber,2811))</f>
        <v/>
      </c>
      <c r="G22823" s="51"/>
      <c r="H22823" s="46" t="str">
        <f>IF(AND(I.Developer.P4=TRUE,I.Facility.P4FacilityCount&gt;=2811,F22823=""),"Incomplete","Complete")</f>
        <v>Complete</v>
      </c>
      <c r="I22823" s="48" t="s">
        <v>27188</v>
      </c>
    </row>
    <row r="22824" spans="2:9" ht="15" customHeight="1" x14ac:dyDescent="0.25">
      <c r="B22824" s="55" t="s">
        <v>283</v>
      </c>
      <c r="C22824" s="46">
        <v>2812</v>
      </c>
      <c r="D22824" s="69" t="s">
        <v>29420</v>
      </c>
      <c r="E22824" s="51"/>
      <c r="F22824" s="114" t="str">
        <f>IF(INDEX(I.Facility.P4IDNumber,2812)="","",INDEX(I.Facility.P4IDNumber,2812))</f>
        <v/>
      </c>
      <c r="G22824" s="51"/>
      <c r="H22824" s="46" t="str">
        <f>IF(AND(I.Developer.P4=TRUE,I.Facility.P4FacilityCount&gt;=2812,F22824=""),"Incomplete","Complete")</f>
        <v>Complete</v>
      </c>
      <c r="I22824" s="48" t="s">
        <v>27189</v>
      </c>
    </row>
    <row r="22825" spans="2:9" ht="15" customHeight="1" x14ac:dyDescent="0.25">
      <c r="B22825" s="55" t="s">
        <v>283</v>
      </c>
      <c r="C22825" s="46">
        <v>2813</v>
      </c>
      <c r="D22825" s="69" t="s">
        <v>29420</v>
      </c>
      <c r="E22825" s="51"/>
      <c r="F22825" s="114" t="str">
        <f>IF(INDEX(I.Facility.P4IDNumber,2813)="","",INDEX(I.Facility.P4IDNumber,2813))</f>
        <v/>
      </c>
      <c r="G22825" s="51"/>
      <c r="H22825" s="46" t="str">
        <f>IF(AND(I.Developer.P4=TRUE,I.Facility.P4FacilityCount&gt;=2813,F22825=""),"Incomplete","Complete")</f>
        <v>Complete</v>
      </c>
      <c r="I22825" s="48" t="s">
        <v>27190</v>
      </c>
    </row>
    <row r="22826" spans="2:9" ht="15" customHeight="1" x14ac:dyDescent="0.25">
      <c r="B22826" s="55" t="s">
        <v>283</v>
      </c>
      <c r="C22826" s="46">
        <v>2814</v>
      </c>
      <c r="D22826" s="69" t="s">
        <v>29420</v>
      </c>
      <c r="E22826" s="51"/>
      <c r="F22826" s="114" t="str">
        <f>IF(INDEX(I.Facility.P4IDNumber,2814)="","",INDEX(I.Facility.P4IDNumber,2814))</f>
        <v/>
      </c>
      <c r="G22826" s="51"/>
      <c r="H22826" s="46" t="str">
        <f>IF(AND(I.Developer.P4=TRUE,I.Facility.P4FacilityCount&gt;=2814,F22826=""),"Incomplete","Complete")</f>
        <v>Complete</v>
      </c>
      <c r="I22826" s="48" t="s">
        <v>27191</v>
      </c>
    </row>
    <row r="22827" spans="2:9" ht="15" customHeight="1" x14ac:dyDescent="0.25">
      <c r="B22827" s="55" t="s">
        <v>283</v>
      </c>
      <c r="C22827" s="46">
        <v>2815</v>
      </c>
      <c r="D22827" s="69" t="s">
        <v>29420</v>
      </c>
      <c r="E22827" s="51"/>
      <c r="F22827" s="114" t="str">
        <f>IF(INDEX(I.Facility.P4IDNumber,2815)="","",INDEX(I.Facility.P4IDNumber,2815))</f>
        <v/>
      </c>
      <c r="G22827" s="51"/>
      <c r="H22827" s="46" t="str">
        <f>IF(AND(I.Developer.P4=TRUE,I.Facility.P4FacilityCount&gt;=2815,F22827=""),"Incomplete","Complete")</f>
        <v>Complete</v>
      </c>
      <c r="I22827" s="48" t="s">
        <v>27192</v>
      </c>
    </row>
    <row r="22828" spans="2:9" ht="15" customHeight="1" x14ac:dyDescent="0.25">
      <c r="B22828" s="55" t="s">
        <v>283</v>
      </c>
      <c r="C22828" s="46">
        <v>2816</v>
      </c>
      <c r="D22828" s="69" t="s">
        <v>29420</v>
      </c>
      <c r="E22828" s="51"/>
      <c r="F22828" s="114" t="str">
        <f>IF(INDEX(I.Facility.P4IDNumber,2816)="","",INDEX(I.Facility.P4IDNumber,2816))</f>
        <v/>
      </c>
      <c r="G22828" s="51"/>
      <c r="H22828" s="46" t="str">
        <f>IF(AND(I.Developer.P4=TRUE,I.Facility.P4FacilityCount&gt;=2816,F22828=""),"Incomplete","Complete")</f>
        <v>Complete</v>
      </c>
      <c r="I22828" s="48" t="s">
        <v>27193</v>
      </c>
    </row>
    <row r="22829" spans="2:9" ht="15" customHeight="1" x14ac:dyDescent="0.25">
      <c r="B22829" s="55" t="s">
        <v>283</v>
      </c>
      <c r="C22829" s="46">
        <v>2817</v>
      </c>
      <c r="D22829" s="69" t="s">
        <v>29420</v>
      </c>
      <c r="E22829" s="51"/>
      <c r="F22829" s="114" t="str">
        <f>IF(INDEX(I.Facility.P4IDNumber,2817)="","",INDEX(I.Facility.P4IDNumber,2817))</f>
        <v/>
      </c>
      <c r="G22829" s="51"/>
      <c r="H22829" s="46" t="str">
        <f>IF(AND(I.Developer.P4=TRUE,I.Facility.P4FacilityCount&gt;=2817,F22829=""),"Incomplete","Complete")</f>
        <v>Complete</v>
      </c>
      <c r="I22829" s="48" t="s">
        <v>27194</v>
      </c>
    </row>
    <row r="22830" spans="2:9" ht="15" customHeight="1" x14ac:dyDescent="0.25">
      <c r="B22830" s="55" t="s">
        <v>283</v>
      </c>
      <c r="C22830" s="46">
        <v>2818</v>
      </c>
      <c r="D22830" s="69" t="s">
        <v>29420</v>
      </c>
      <c r="E22830" s="51"/>
      <c r="F22830" s="114" t="str">
        <f>IF(INDEX(I.Facility.P4IDNumber,2818)="","",INDEX(I.Facility.P4IDNumber,2818))</f>
        <v/>
      </c>
      <c r="G22830" s="51"/>
      <c r="H22830" s="46" t="str">
        <f>IF(AND(I.Developer.P4=TRUE,I.Facility.P4FacilityCount&gt;=2818,F22830=""),"Incomplete","Complete")</f>
        <v>Complete</v>
      </c>
      <c r="I22830" s="48" t="s">
        <v>27195</v>
      </c>
    </row>
    <row r="22831" spans="2:9" ht="15" customHeight="1" x14ac:dyDescent="0.25">
      <c r="B22831" s="55" t="s">
        <v>283</v>
      </c>
      <c r="C22831" s="46">
        <v>2819</v>
      </c>
      <c r="D22831" s="69" t="s">
        <v>29420</v>
      </c>
      <c r="E22831" s="51"/>
      <c r="F22831" s="114" t="str">
        <f>IF(INDEX(I.Facility.P4IDNumber,2819)="","",INDEX(I.Facility.P4IDNumber,2819))</f>
        <v/>
      </c>
      <c r="G22831" s="51"/>
      <c r="H22831" s="46" t="str">
        <f>IF(AND(I.Developer.P4=TRUE,I.Facility.P4FacilityCount&gt;=2819,F22831=""),"Incomplete","Complete")</f>
        <v>Complete</v>
      </c>
      <c r="I22831" s="48" t="s">
        <v>27196</v>
      </c>
    </row>
    <row r="22832" spans="2:9" ht="15" customHeight="1" x14ac:dyDescent="0.25">
      <c r="B22832" s="55" t="s">
        <v>283</v>
      </c>
      <c r="C22832" s="46">
        <v>2820</v>
      </c>
      <c r="D22832" s="69" t="s">
        <v>29420</v>
      </c>
      <c r="E22832" s="51"/>
      <c r="F22832" s="114" t="str">
        <f>IF(INDEX(I.Facility.P4IDNumber,2820)="","",INDEX(I.Facility.P4IDNumber,2820))</f>
        <v/>
      </c>
      <c r="G22832" s="51"/>
      <c r="H22832" s="46" t="str">
        <f>IF(AND(I.Developer.P4=TRUE,I.Facility.P4FacilityCount&gt;=2820,F22832=""),"Incomplete","Complete")</f>
        <v>Complete</v>
      </c>
      <c r="I22832" s="48" t="s">
        <v>27197</v>
      </c>
    </row>
    <row r="22833" spans="2:9" ht="15" customHeight="1" x14ac:dyDescent="0.25">
      <c r="B22833" s="55" t="s">
        <v>283</v>
      </c>
      <c r="C22833" s="46">
        <v>2821</v>
      </c>
      <c r="D22833" s="69" t="s">
        <v>29420</v>
      </c>
      <c r="E22833" s="51"/>
      <c r="F22833" s="114" t="str">
        <f>IF(INDEX(I.Facility.P4IDNumber,2821)="","",INDEX(I.Facility.P4IDNumber,2821))</f>
        <v/>
      </c>
      <c r="G22833" s="51"/>
      <c r="H22833" s="46" t="str">
        <f>IF(AND(I.Developer.P4=TRUE,I.Facility.P4FacilityCount&gt;=2821,F22833=""),"Incomplete","Complete")</f>
        <v>Complete</v>
      </c>
      <c r="I22833" s="48" t="s">
        <v>27198</v>
      </c>
    </row>
    <row r="22834" spans="2:9" ht="15" customHeight="1" x14ac:dyDescent="0.25">
      <c r="B22834" s="55" t="s">
        <v>283</v>
      </c>
      <c r="C22834" s="46">
        <v>2822</v>
      </c>
      <c r="D22834" s="69" t="s">
        <v>29420</v>
      </c>
      <c r="E22834" s="51"/>
      <c r="F22834" s="114" t="str">
        <f>IF(INDEX(I.Facility.P4IDNumber,2822)="","",INDEX(I.Facility.P4IDNumber,2822))</f>
        <v/>
      </c>
      <c r="G22834" s="51"/>
      <c r="H22834" s="46" t="str">
        <f>IF(AND(I.Developer.P4=TRUE,I.Facility.P4FacilityCount&gt;=2822,F22834=""),"Incomplete","Complete")</f>
        <v>Complete</v>
      </c>
      <c r="I22834" s="48" t="s">
        <v>27199</v>
      </c>
    </row>
    <row r="22835" spans="2:9" ht="15" customHeight="1" x14ac:dyDescent="0.25">
      <c r="B22835" s="55" t="s">
        <v>283</v>
      </c>
      <c r="C22835" s="46">
        <v>2823</v>
      </c>
      <c r="D22835" s="69" t="s">
        <v>29420</v>
      </c>
      <c r="E22835" s="51"/>
      <c r="F22835" s="114" t="str">
        <f>IF(INDEX(I.Facility.P4IDNumber,2823)="","",INDEX(I.Facility.P4IDNumber,2823))</f>
        <v/>
      </c>
      <c r="G22835" s="51"/>
      <c r="H22835" s="46" t="str">
        <f>IF(AND(I.Developer.P4=TRUE,I.Facility.P4FacilityCount&gt;=2823,F22835=""),"Incomplete","Complete")</f>
        <v>Complete</v>
      </c>
      <c r="I22835" s="48" t="s">
        <v>27200</v>
      </c>
    </row>
    <row r="22836" spans="2:9" ht="15" customHeight="1" x14ac:dyDescent="0.25">
      <c r="B22836" s="55" t="s">
        <v>283</v>
      </c>
      <c r="C22836" s="46">
        <v>2824</v>
      </c>
      <c r="D22836" s="69" t="s">
        <v>29420</v>
      </c>
      <c r="E22836" s="51"/>
      <c r="F22836" s="114" t="str">
        <f>IF(INDEX(I.Facility.P4IDNumber,2824)="","",INDEX(I.Facility.P4IDNumber,2824))</f>
        <v/>
      </c>
      <c r="G22836" s="51"/>
      <c r="H22836" s="46" t="str">
        <f>IF(AND(I.Developer.P4=TRUE,I.Facility.P4FacilityCount&gt;=2824,F22836=""),"Incomplete","Complete")</f>
        <v>Complete</v>
      </c>
      <c r="I22836" s="48" t="s">
        <v>27201</v>
      </c>
    </row>
    <row r="22837" spans="2:9" ht="15" customHeight="1" x14ac:dyDescent="0.25">
      <c r="B22837" s="55" t="s">
        <v>283</v>
      </c>
      <c r="C22837" s="46">
        <v>2825</v>
      </c>
      <c r="D22837" s="69" t="s">
        <v>29420</v>
      </c>
      <c r="E22837" s="51"/>
      <c r="F22837" s="114" t="str">
        <f>IF(INDEX(I.Facility.P4IDNumber,2825)="","",INDEX(I.Facility.P4IDNumber,2825))</f>
        <v/>
      </c>
      <c r="G22837" s="51"/>
      <c r="H22837" s="46" t="str">
        <f>IF(AND(I.Developer.P4=TRUE,I.Facility.P4FacilityCount&gt;=2825,F22837=""),"Incomplete","Complete")</f>
        <v>Complete</v>
      </c>
      <c r="I22837" s="48" t="s">
        <v>27202</v>
      </c>
    </row>
    <row r="22838" spans="2:9" ht="15" customHeight="1" x14ac:dyDescent="0.25">
      <c r="B22838" s="55" t="s">
        <v>283</v>
      </c>
      <c r="C22838" s="46">
        <v>2826</v>
      </c>
      <c r="D22838" s="69" t="s">
        <v>29420</v>
      </c>
      <c r="E22838" s="51"/>
      <c r="F22838" s="114" t="str">
        <f>IF(INDEX(I.Facility.P4IDNumber,2826)="","",INDEX(I.Facility.P4IDNumber,2826))</f>
        <v/>
      </c>
      <c r="G22838" s="51"/>
      <c r="H22838" s="46" t="str">
        <f>IF(AND(I.Developer.P4=TRUE,I.Facility.P4FacilityCount&gt;=2826,F22838=""),"Incomplete","Complete")</f>
        <v>Complete</v>
      </c>
      <c r="I22838" s="48" t="s">
        <v>27203</v>
      </c>
    </row>
    <row r="22839" spans="2:9" ht="15" customHeight="1" x14ac:dyDescent="0.25">
      <c r="B22839" s="55" t="s">
        <v>283</v>
      </c>
      <c r="C22839" s="46">
        <v>2827</v>
      </c>
      <c r="D22839" s="69" t="s">
        <v>29420</v>
      </c>
      <c r="E22839" s="51"/>
      <c r="F22839" s="114" t="str">
        <f>IF(INDEX(I.Facility.P4IDNumber,2827)="","",INDEX(I.Facility.P4IDNumber,2827))</f>
        <v/>
      </c>
      <c r="G22839" s="51"/>
      <c r="H22839" s="46" t="str">
        <f>IF(AND(I.Developer.P4=TRUE,I.Facility.P4FacilityCount&gt;=2827,F22839=""),"Incomplete","Complete")</f>
        <v>Complete</v>
      </c>
      <c r="I22839" s="48" t="s">
        <v>27204</v>
      </c>
    </row>
    <row r="22840" spans="2:9" ht="15" customHeight="1" x14ac:dyDescent="0.25">
      <c r="B22840" s="55" t="s">
        <v>283</v>
      </c>
      <c r="C22840" s="46">
        <v>2828</v>
      </c>
      <c r="D22840" s="69" t="s">
        <v>29420</v>
      </c>
      <c r="E22840" s="51"/>
      <c r="F22840" s="114" t="str">
        <f>IF(INDEX(I.Facility.P4IDNumber,2828)="","",INDEX(I.Facility.P4IDNumber,2828))</f>
        <v/>
      </c>
      <c r="G22840" s="51"/>
      <c r="H22840" s="46" t="str">
        <f>IF(AND(I.Developer.P4=TRUE,I.Facility.P4FacilityCount&gt;=2828,F22840=""),"Incomplete","Complete")</f>
        <v>Complete</v>
      </c>
      <c r="I22840" s="48" t="s">
        <v>27205</v>
      </c>
    </row>
    <row r="22841" spans="2:9" ht="15" customHeight="1" x14ac:dyDescent="0.25">
      <c r="B22841" s="55" t="s">
        <v>283</v>
      </c>
      <c r="C22841" s="46">
        <v>2829</v>
      </c>
      <c r="D22841" s="69" t="s">
        <v>29420</v>
      </c>
      <c r="E22841" s="51"/>
      <c r="F22841" s="114" t="str">
        <f>IF(INDEX(I.Facility.P4IDNumber,2829)="","",INDEX(I.Facility.P4IDNumber,2829))</f>
        <v/>
      </c>
      <c r="G22841" s="51"/>
      <c r="H22841" s="46" t="str">
        <f>IF(AND(I.Developer.P4=TRUE,I.Facility.P4FacilityCount&gt;=2829,F22841=""),"Incomplete","Complete")</f>
        <v>Complete</v>
      </c>
      <c r="I22841" s="48" t="s">
        <v>27206</v>
      </c>
    </row>
    <row r="22842" spans="2:9" ht="15" customHeight="1" x14ac:dyDescent="0.25">
      <c r="B22842" s="55" t="s">
        <v>283</v>
      </c>
      <c r="C22842" s="46">
        <v>2830</v>
      </c>
      <c r="D22842" s="69" t="s">
        <v>29420</v>
      </c>
      <c r="E22842" s="51"/>
      <c r="F22842" s="114" t="str">
        <f>IF(INDEX(I.Facility.P4IDNumber,2830)="","",INDEX(I.Facility.P4IDNumber,2830))</f>
        <v/>
      </c>
      <c r="G22842" s="51"/>
      <c r="H22842" s="46" t="str">
        <f>IF(AND(I.Developer.P4=TRUE,I.Facility.P4FacilityCount&gt;=2830,F22842=""),"Incomplete","Complete")</f>
        <v>Complete</v>
      </c>
      <c r="I22842" s="48" t="s">
        <v>27207</v>
      </c>
    </row>
    <row r="22843" spans="2:9" ht="15" customHeight="1" x14ac:dyDescent="0.25">
      <c r="B22843" s="55" t="s">
        <v>283</v>
      </c>
      <c r="C22843" s="46">
        <v>2831</v>
      </c>
      <c r="D22843" s="69" t="s">
        <v>29420</v>
      </c>
      <c r="E22843" s="51"/>
      <c r="F22843" s="114" t="str">
        <f>IF(INDEX(I.Facility.P4IDNumber,2831)="","",INDEX(I.Facility.P4IDNumber,2831))</f>
        <v/>
      </c>
      <c r="G22843" s="51"/>
      <c r="H22843" s="46" t="str">
        <f>IF(AND(I.Developer.P4=TRUE,I.Facility.P4FacilityCount&gt;=2831,F22843=""),"Incomplete","Complete")</f>
        <v>Complete</v>
      </c>
      <c r="I22843" s="48" t="s">
        <v>27208</v>
      </c>
    </row>
    <row r="22844" spans="2:9" ht="15" customHeight="1" x14ac:dyDescent="0.25">
      <c r="B22844" s="55" t="s">
        <v>283</v>
      </c>
      <c r="C22844" s="46">
        <v>2832</v>
      </c>
      <c r="D22844" s="69" t="s">
        <v>29420</v>
      </c>
      <c r="E22844" s="51"/>
      <c r="F22844" s="114" t="str">
        <f>IF(INDEX(I.Facility.P4IDNumber,2832)="","",INDEX(I.Facility.P4IDNumber,2832))</f>
        <v/>
      </c>
      <c r="G22844" s="51"/>
      <c r="H22844" s="46" t="str">
        <f>IF(AND(I.Developer.P4=TRUE,I.Facility.P4FacilityCount&gt;=2832,F22844=""),"Incomplete","Complete")</f>
        <v>Complete</v>
      </c>
      <c r="I22844" s="48" t="s">
        <v>27209</v>
      </c>
    </row>
    <row r="22845" spans="2:9" ht="15" customHeight="1" x14ac:dyDescent="0.25">
      <c r="B22845" s="55" t="s">
        <v>283</v>
      </c>
      <c r="C22845" s="46">
        <v>2833</v>
      </c>
      <c r="D22845" s="69" t="s">
        <v>29420</v>
      </c>
      <c r="E22845" s="51"/>
      <c r="F22845" s="114" t="str">
        <f>IF(INDEX(I.Facility.P4IDNumber,2833)="","",INDEX(I.Facility.P4IDNumber,2833))</f>
        <v/>
      </c>
      <c r="G22845" s="51"/>
      <c r="H22845" s="46" t="str">
        <f>IF(AND(I.Developer.P4=TRUE,I.Facility.P4FacilityCount&gt;=2833,F22845=""),"Incomplete","Complete")</f>
        <v>Complete</v>
      </c>
      <c r="I22845" s="48" t="s">
        <v>27210</v>
      </c>
    </row>
    <row r="22846" spans="2:9" ht="15" customHeight="1" x14ac:dyDescent="0.25">
      <c r="B22846" s="55" t="s">
        <v>283</v>
      </c>
      <c r="C22846" s="46">
        <v>2834</v>
      </c>
      <c r="D22846" s="69" t="s">
        <v>29420</v>
      </c>
      <c r="E22846" s="51"/>
      <c r="F22846" s="114" t="str">
        <f>IF(INDEX(I.Facility.P4IDNumber,2834)="","",INDEX(I.Facility.P4IDNumber,2834))</f>
        <v/>
      </c>
      <c r="G22846" s="51"/>
      <c r="H22846" s="46" t="str">
        <f>IF(AND(I.Developer.P4=TRUE,I.Facility.P4FacilityCount&gt;=2834,F22846=""),"Incomplete","Complete")</f>
        <v>Complete</v>
      </c>
      <c r="I22846" s="48" t="s">
        <v>27211</v>
      </c>
    </row>
    <row r="22847" spans="2:9" ht="15" customHeight="1" x14ac:dyDescent="0.25">
      <c r="B22847" s="55" t="s">
        <v>283</v>
      </c>
      <c r="C22847" s="46">
        <v>2835</v>
      </c>
      <c r="D22847" s="69" t="s">
        <v>29420</v>
      </c>
      <c r="E22847" s="51"/>
      <c r="F22847" s="114" t="str">
        <f>IF(INDEX(I.Facility.P4IDNumber,2835)="","",INDEX(I.Facility.P4IDNumber,2835))</f>
        <v/>
      </c>
      <c r="G22847" s="51"/>
      <c r="H22847" s="46" t="str">
        <f>IF(AND(I.Developer.P4=TRUE,I.Facility.P4FacilityCount&gt;=2835,F22847=""),"Incomplete","Complete")</f>
        <v>Complete</v>
      </c>
      <c r="I22847" s="48" t="s">
        <v>27212</v>
      </c>
    </row>
    <row r="22848" spans="2:9" ht="15" customHeight="1" x14ac:dyDescent="0.25">
      <c r="B22848" s="55" t="s">
        <v>283</v>
      </c>
      <c r="C22848" s="46">
        <v>2836</v>
      </c>
      <c r="D22848" s="69" t="s">
        <v>29420</v>
      </c>
      <c r="E22848" s="51"/>
      <c r="F22848" s="114" t="str">
        <f>IF(INDEX(I.Facility.P4IDNumber,2836)="","",INDEX(I.Facility.P4IDNumber,2836))</f>
        <v/>
      </c>
      <c r="G22848" s="51"/>
      <c r="H22848" s="46" t="str">
        <f>IF(AND(I.Developer.P4=TRUE,I.Facility.P4FacilityCount&gt;=2836,F22848=""),"Incomplete","Complete")</f>
        <v>Complete</v>
      </c>
      <c r="I22848" s="48" t="s">
        <v>27213</v>
      </c>
    </row>
    <row r="22849" spans="2:9" ht="15" customHeight="1" x14ac:dyDescent="0.25">
      <c r="B22849" s="55" t="s">
        <v>283</v>
      </c>
      <c r="C22849" s="46">
        <v>2837</v>
      </c>
      <c r="D22849" s="69" t="s">
        <v>29420</v>
      </c>
      <c r="E22849" s="51"/>
      <c r="F22849" s="114" t="str">
        <f>IF(INDEX(I.Facility.P4IDNumber,2837)="","",INDEX(I.Facility.P4IDNumber,2837))</f>
        <v/>
      </c>
      <c r="G22849" s="51"/>
      <c r="H22849" s="46" t="str">
        <f>IF(AND(I.Developer.P4=TRUE,I.Facility.P4FacilityCount&gt;=2837,F22849=""),"Incomplete","Complete")</f>
        <v>Complete</v>
      </c>
      <c r="I22849" s="48" t="s">
        <v>27214</v>
      </c>
    </row>
    <row r="22850" spans="2:9" ht="15" customHeight="1" x14ac:dyDescent="0.25">
      <c r="B22850" s="55" t="s">
        <v>283</v>
      </c>
      <c r="C22850" s="46">
        <v>2838</v>
      </c>
      <c r="D22850" s="69" t="s">
        <v>29420</v>
      </c>
      <c r="E22850" s="51"/>
      <c r="F22850" s="114" t="str">
        <f>IF(INDEX(I.Facility.P4IDNumber,2838)="","",INDEX(I.Facility.P4IDNumber,2838))</f>
        <v/>
      </c>
      <c r="G22850" s="51"/>
      <c r="H22850" s="46" t="str">
        <f>IF(AND(I.Developer.P4=TRUE,I.Facility.P4FacilityCount&gt;=2838,F22850=""),"Incomplete","Complete")</f>
        <v>Complete</v>
      </c>
      <c r="I22850" s="48" t="s">
        <v>27215</v>
      </c>
    </row>
    <row r="22851" spans="2:9" ht="15" customHeight="1" x14ac:dyDescent="0.25">
      <c r="B22851" s="55" t="s">
        <v>283</v>
      </c>
      <c r="C22851" s="46">
        <v>2839</v>
      </c>
      <c r="D22851" s="69" t="s">
        <v>29420</v>
      </c>
      <c r="E22851" s="51"/>
      <c r="F22851" s="114" t="str">
        <f>IF(INDEX(I.Facility.P4IDNumber,2839)="","",INDEX(I.Facility.P4IDNumber,2839))</f>
        <v/>
      </c>
      <c r="G22851" s="51"/>
      <c r="H22851" s="46" t="str">
        <f>IF(AND(I.Developer.P4=TRUE,I.Facility.P4FacilityCount&gt;=2839,F22851=""),"Incomplete","Complete")</f>
        <v>Complete</v>
      </c>
      <c r="I22851" s="48" t="s">
        <v>27216</v>
      </c>
    </row>
    <row r="22852" spans="2:9" ht="15" customHeight="1" x14ac:dyDescent="0.25">
      <c r="B22852" s="55" t="s">
        <v>283</v>
      </c>
      <c r="C22852" s="46">
        <v>2840</v>
      </c>
      <c r="D22852" s="69" t="s">
        <v>29420</v>
      </c>
      <c r="E22852" s="51"/>
      <c r="F22852" s="114" t="str">
        <f>IF(INDEX(I.Facility.P4IDNumber,2840)="","",INDEX(I.Facility.P4IDNumber,2840))</f>
        <v/>
      </c>
      <c r="G22852" s="51"/>
      <c r="H22852" s="46" t="str">
        <f>IF(AND(I.Developer.P4=TRUE,I.Facility.P4FacilityCount&gt;=2840,F22852=""),"Incomplete","Complete")</f>
        <v>Complete</v>
      </c>
      <c r="I22852" s="48" t="s">
        <v>27217</v>
      </c>
    </row>
    <row r="22853" spans="2:9" ht="15" customHeight="1" x14ac:dyDescent="0.25">
      <c r="B22853" s="55" t="s">
        <v>283</v>
      </c>
      <c r="C22853" s="46">
        <v>2841</v>
      </c>
      <c r="D22853" s="69" t="s">
        <v>29420</v>
      </c>
      <c r="E22853" s="51"/>
      <c r="F22853" s="114" t="str">
        <f>IF(INDEX(I.Facility.P4IDNumber,2841)="","",INDEX(I.Facility.P4IDNumber,2841))</f>
        <v/>
      </c>
      <c r="G22853" s="51"/>
      <c r="H22853" s="46" t="str">
        <f>IF(AND(I.Developer.P4=TRUE,I.Facility.P4FacilityCount&gt;=2841,F22853=""),"Incomplete","Complete")</f>
        <v>Complete</v>
      </c>
      <c r="I22853" s="48" t="s">
        <v>27218</v>
      </c>
    </row>
    <row r="22854" spans="2:9" ht="15" customHeight="1" x14ac:dyDescent="0.25">
      <c r="B22854" s="55" t="s">
        <v>283</v>
      </c>
      <c r="C22854" s="46">
        <v>2842</v>
      </c>
      <c r="D22854" s="69" t="s">
        <v>29420</v>
      </c>
      <c r="E22854" s="51"/>
      <c r="F22854" s="114" t="str">
        <f>IF(INDEX(I.Facility.P4IDNumber,2842)="","",INDEX(I.Facility.P4IDNumber,2842))</f>
        <v/>
      </c>
      <c r="G22854" s="51"/>
      <c r="H22854" s="46" t="str">
        <f>IF(AND(I.Developer.P4=TRUE,I.Facility.P4FacilityCount&gt;=2842,F22854=""),"Incomplete","Complete")</f>
        <v>Complete</v>
      </c>
      <c r="I22854" s="48" t="s">
        <v>27219</v>
      </c>
    </row>
    <row r="22855" spans="2:9" ht="15" customHeight="1" x14ac:dyDescent="0.25">
      <c r="B22855" s="55" t="s">
        <v>283</v>
      </c>
      <c r="C22855" s="46">
        <v>2843</v>
      </c>
      <c r="D22855" s="69" t="s">
        <v>29420</v>
      </c>
      <c r="E22855" s="51"/>
      <c r="F22855" s="114" t="str">
        <f>IF(INDEX(I.Facility.P4IDNumber,2843)="","",INDEX(I.Facility.P4IDNumber,2843))</f>
        <v/>
      </c>
      <c r="G22855" s="51"/>
      <c r="H22855" s="46" t="str">
        <f>IF(AND(I.Developer.P4=TRUE,I.Facility.P4FacilityCount&gt;=2843,F22855=""),"Incomplete","Complete")</f>
        <v>Complete</v>
      </c>
      <c r="I22855" s="48" t="s">
        <v>27220</v>
      </c>
    </row>
    <row r="22856" spans="2:9" ht="15" customHeight="1" x14ac:dyDescent="0.25">
      <c r="B22856" s="55" t="s">
        <v>283</v>
      </c>
      <c r="C22856" s="46">
        <v>2844</v>
      </c>
      <c r="D22856" s="69" t="s">
        <v>29420</v>
      </c>
      <c r="E22856" s="51"/>
      <c r="F22856" s="114" t="str">
        <f>IF(INDEX(I.Facility.P4IDNumber,2844)="","",INDEX(I.Facility.P4IDNumber,2844))</f>
        <v/>
      </c>
      <c r="G22856" s="51"/>
      <c r="H22856" s="46" t="str">
        <f>IF(AND(I.Developer.P4=TRUE,I.Facility.P4FacilityCount&gt;=2844,F22856=""),"Incomplete","Complete")</f>
        <v>Complete</v>
      </c>
      <c r="I22856" s="48" t="s">
        <v>27221</v>
      </c>
    </row>
    <row r="22857" spans="2:9" ht="15" customHeight="1" x14ac:dyDescent="0.25">
      <c r="B22857" s="55" t="s">
        <v>283</v>
      </c>
      <c r="C22857" s="46">
        <v>2845</v>
      </c>
      <c r="D22857" s="69" t="s">
        <v>29420</v>
      </c>
      <c r="E22857" s="51"/>
      <c r="F22857" s="114" t="str">
        <f>IF(INDEX(I.Facility.P4IDNumber,2845)="","",INDEX(I.Facility.P4IDNumber,2845))</f>
        <v/>
      </c>
      <c r="G22857" s="51"/>
      <c r="H22857" s="46" t="str">
        <f>IF(AND(I.Developer.P4=TRUE,I.Facility.P4FacilityCount&gt;=2845,F22857=""),"Incomplete","Complete")</f>
        <v>Complete</v>
      </c>
      <c r="I22857" s="48" t="s">
        <v>27222</v>
      </c>
    </row>
    <row r="22858" spans="2:9" ht="15" customHeight="1" x14ac:dyDescent="0.25">
      <c r="B22858" s="55" t="s">
        <v>283</v>
      </c>
      <c r="C22858" s="46">
        <v>2846</v>
      </c>
      <c r="D22858" s="69" t="s">
        <v>29420</v>
      </c>
      <c r="E22858" s="51"/>
      <c r="F22858" s="114" t="str">
        <f>IF(INDEX(I.Facility.P4IDNumber,2846)="","",INDEX(I.Facility.P4IDNumber,2846))</f>
        <v/>
      </c>
      <c r="G22858" s="51"/>
      <c r="H22858" s="46" t="str">
        <f>IF(AND(I.Developer.P4=TRUE,I.Facility.P4FacilityCount&gt;=2846,F22858=""),"Incomplete","Complete")</f>
        <v>Complete</v>
      </c>
      <c r="I22858" s="48" t="s">
        <v>27223</v>
      </c>
    </row>
    <row r="22859" spans="2:9" ht="15" customHeight="1" x14ac:dyDescent="0.25">
      <c r="B22859" s="55" t="s">
        <v>283</v>
      </c>
      <c r="C22859" s="46">
        <v>2847</v>
      </c>
      <c r="D22859" s="69" t="s">
        <v>29420</v>
      </c>
      <c r="E22859" s="51"/>
      <c r="F22859" s="114" t="str">
        <f>IF(INDEX(I.Facility.P4IDNumber,2847)="","",INDEX(I.Facility.P4IDNumber,2847))</f>
        <v/>
      </c>
      <c r="G22859" s="51"/>
      <c r="H22859" s="46" t="str">
        <f>IF(AND(I.Developer.P4=TRUE,I.Facility.P4FacilityCount&gt;=2847,F22859=""),"Incomplete","Complete")</f>
        <v>Complete</v>
      </c>
      <c r="I22859" s="48" t="s">
        <v>27224</v>
      </c>
    </row>
    <row r="22860" spans="2:9" ht="15" customHeight="1" x14ac:dyDescent="0.25">
      <c r="B22860" s="55" t="s">
        <v>283</v>
      </c>
      <c r="C22860" s="46">
        <v>2848</v>
      </c>
      <c r="D22860" s="69" t="s">
        <v>29420</v>
      </c>
      <c r="E22860" s="51"/>
      <c r="F22860" s="114" t="str">
        <f>IF(INDEX(I.Facility.P4IDNumber,2848)="","",INDEX(I.Facility.P4IDNumber,2848))</f>
        <v/>
      </c>
      <c r="G22860" s="51"/>
      <c r="H22860" s="46" t="str">
        <f>IF(AND(I.Developer.P4=TRUE,I.Facility.P4FacilityCount&gt;=2848,F22860=""),"Incomplete","Complete")</f>
        <v>Complete</v>
      </c>
      <c r="I22860" s="48" t="s">
        <v>27225</v>
      </c>
    </row>
    <row r="22861" spans="2:9" ht="15" customHeight="1" x14ac:dyDescent="0.25">
      <c r="B22861" s="55" t="s">
        <v>283</v>
      </c>
      <c r="C22861" s="46">
        <v>2849</v>
      </c>
      <c r="D22861" s="69" t="s">
        <v>29420</v>
      </c>
      <c r="E22861" s="51"/>
      <c r="F22861" s="114" t="str">
        <f>IF(INDEX(I.Facility.P4IDNumber,2849)="","",INDEX(I.Facility.P4IDNumber,2849))</f>
        <v/>
      </c>
      <c r="G22861" s="51"/>
      <c r="H22861" s="46" t="str">
        <f>IF(AND(I.Developer.P4=TRUE,I.Facility.P4FacilityCount&gt;=2849,F22861=""),"Incomplete","Complete")</f>
        <v>Complete</v>
      </c>
      <c r="I22861" s="48" t="s">
        <v>27226</v>
      </c>
    </row>
    <row r="22862" spans="2:9" ht="15" customHeight="1" x14ac:dyDescent="0.25">
      <c r="B22862" s="55" t="s">
        <v>283</v>
      </c>
      <c r="C22862" s="46">
        <v>2850</v>
      </c>
      <c r="D22862" s="69" t="s">
        <v>29420</v>
      </c>
      <c r="E22862" s="51"/>
      <c r="F22862" s="114" t="str">
        <f>IF(INDEX(I.Facility.P4IDNumber,2850)="","",INDEX(I.Facility.P4IDNumber,2850))</f>
        <v/>
      </c>
      <c r="G22862" s="51"/>
      <c r="H22862" s="46" t="str">
        <f>IF(AND(I.Developer.P4=TRUE,I.Facility.P4FacilityCount&gt;=2850,F22862=""),"Incomplete","Complete")</f>
        <v>Complete</v>
      </c>
      <c r="I22862" s="48" t="s">
        <v>27227</v>
      </c>
    </row>
    <row r="22863" spans="2:9" ht="15" customHeight="1" x14ac:dyDescent="0.25">
      <c r="B22863" s="55" t="s">
        <v>283</v>
      </c>
      <c r="C22863" s="46">
        <v>2851</v>
      </c>
      <c r="D22863" s="69" t="s">
        <v>29420</v>
      </c>
      <c r="E22863" s="51"/>
      <c r="F22863" s="114" t="str">
        <f>IF(INDEX(I.Facility.P4IDNumber,2851)="","",INDEX(I.Facility.P4IDNumber,2851))</f>
        <v/>
      </c>
      <c r="G22863" s="51"/>
      <c r="H22863" s="46" t="str">
        <f>IF(AND(I.Developer.P4=TRUE,I.Facility.P4FacilityCount&gt;=2851,F22863=""),"Incomplete","Complete")</f>
        <v>Complete</v>
      </c>
      <c r="I22863" s="48" t="s">
        <v>27228</v>
      </c>
    </row>
    <row r="22864" spans="2:9" ht="15" customHeight="1" x14ac:dyDescent="0.25">
      <c r="B22864" s="55" t="s">
        <v>283</v>
      </c>
      <c r="C22864" s="46">
        <v>2852</v>
      </c>
      <c r="D22864" s="69" t="s">
        <v>29420</v>
      </c>
      <c r="E22864" s="51"/>
      <c r="F22864" s="114" t="str">
        <f>IF(INDEX(I.Facility.P4IDNumber,2852)="","",INDEX(I.Facility.P4IDNumber,2852))</f>
        <v/>
      </c>
      <c r="G22864" s="51"/>
      <c r="H22864" s="46" t="str">
        <f>IF(AND(I.Developer.P4=TRUE,I.Facility.P4FacilityCount&gt;=2852,F22864=""),"Incomplete","Complete")</f>
        <v>Complete</v>
      </c>
      <c r="I22864" s="48" t="s">
        <v>27229</v>
      </c>
    </row>
    <row r="22865" spans="2:9" ht="15" customHeight="1" x14ac:dyDescent="0.25">
      <c r="B22865" s="55" t="s">
        <v>283</v>
      </c>
      <c r="C22865" s="46">
        <v>2853</v>
      </c>
      <c r="D22865" s="69" t="s">
        <v>29420</v>
      </c>
      <c r="E22865" s="51"/>
      <c r="F22865" s="114" t="str">
        <f>IF(INDEX(I.Facility.P4IDNumber,2853)="","",INDEX(I.Facility.P4IDNumber,2853))</f>
        <v/>
      </c>
      <c r="G22865" s="51"/>
      <c r="H22865" s="46" t="str">
        <f>IF(AND(I.Developer.P4=TRUE,I.Facility.P4FacilityCount&gt;=2853,F22865=""),"Incomplete","Complete")</f>
        <v>Complete</v>
      </c>
      <c r="I22865" s="48" t="s">
        <v>27230</v>
      </c>
    </row>
    <row r="22866" spans="2:9" ht="15" customHeight="1" x14ac:dyDescent="0.25">
      <c r="B22866" s="55" t="s">
        <v>283</v>
      </c>
      <c r="C22866" s="46">
        <v>2854</v>
      </c>
      <c r="D22866" s="69" t="s">
        <v>29420</v>
      </c>
      <c r="E22866" s="51"/>
      <c r="F22866" s="114" t="str">
        <f>IF(INDEX(I.Facility.P4IDNumber,2854)="","",INDEX(I.Facility.P4IDNumber,2854))</f>
        <v/>
      </c>
      <c r="G22866" s="51"/>
      <c r="H22866" s="46" t="str">
        <f>IF(AND(I.Developer.P4=TRUE,I.Facility.P4FacilityCount&gt;=2854,F22866=""),"Incomplete","Complete")</f>
        <v>Complete</v>
      </c>
      <c r="I22866" s="48" t="s">
        <v>27231</v>
      </c>
    </row>
    <row r="22867" spans="2:9" ht="15" customHeight="1" x14ac:dyDescent="0.25">
      <c r="B22867" s="55" t="s">
        <v>283</v>
      </c>
      <c r="C22867" s="46">
        <v>2855</v>
      </c>
      <c r="D22867" s="69" t="s">
        <v>29420</v>
      </c>
      <c r="E22867" s="51"/>
      <c r="F22867" s="114" t="str">
        <f>IF(INDEX(I.Facility.P4IDNumber,2855)="","",INDEX(I.Facility.P4IDNumber,2855))</f>
        <v/>
      </c>
      <c r="G22867" s="51"/>
      <c r="H22867" s="46" t="str">
        <f>IF(AND(I.Developer.P4=TRUE,I.Facility.P4FacilityCount&gt;=2855,F22867=""),"Incomplete","Complete")</f>
        <v>Complete</v>
      </c>
      <c r="I22867" s="48" t="s">
        <v>27232</v>
      </c>
    </row>
    <row r="22868" spans="2:9" ht="15" customHeight="1" x14ac:dyDescent="0.25">
      <c r="B22868" s="55" t="s">
        <v>283</v>
      </c>
      <c r="C22868" s="46">
        <v>2856</v>
      </c>
      <c r="D22868" s="69" t="s">
        <v>29420</v>
      </c>
      <c r="E22868" s="51"/>
      <c r="F22868" s="114" t="str">
        <f>IF(INDEX(I.Facility.P4IDNumber,2856)="","",INDEX(I.Facility.P4IDNumber,2856))</f>
        <v/>
      </c>
      <c r="G22868" s="51"/>
      <c r="H22868" s="46" t="str">
        <f>IF(AND(I.Developer.P4=TRUE,I.Facility.P4FacilityCount&gt;=2856,F22868=""),"Incomplete","Complete")</f>
        <v>Complete</v>
      </c>
      <c r="I22868" s="48" t="s">
        <v>27233</v>
      </c>
    </row>
    <row r="22869" spans="2:9" ht="15" customHeight="1" x14ac:dyDescent="0.25">
      <c r="B22869" s="55" t="s">
        <v>283</v>
      </c>
      <c r="C22869" s="46">
        <v>2857</v>
      </c>
      <c r="D22869" s="69" t="s">
        <v>29420</v>
      </c>
      <c r="E22869" s="51"/>
      <c r="F22869" s="114" t="str">
        <f>IF(INDEX(I.Facility.P4IDNumber,2857)="","",INDEX(I.Facility.P4IDNumber,2857))</f>
        <v/>
      </c>
      <c r="G22869" s="51"/>
      <c r="H22869" s="46" t="str">
        <f>IF(AND(I.Developer.P4=TRUE,I.Facility.P4FacilityCount&gt;=2857,F22869=""),"Incomplete","Complete")</f>
        <v>Complete</v>
      </c>
      <c r="I22869" s="48" t="s">
        <v>27234</v>
      </c>
    </row>
    <row r="22870" spans="2:9" ht="15" customHeight="1" x14ac:dyDescent="0.25">
      <c r="B22870" s="55" t="s">
        <v>283</v>
      </c>
      <c r="C22870" s="46">
        <v>2858</v>
      </c>
      <c r="D22870" s="69" t="s">
        <v>29420</v>
      </c>
      <c r="E22870" s="51"/>
      <c r="F22870" s="114" t="str">
        <f>IF(INDEX(I.Facility.P4IDNumber,2858)="","",INDEX(I.Facility.P4IDNumber,2858))</f>
        <v/>
      </c>
      <c r="G22870" s="51"/>
      <c r="H22870" s="46" t="str">
        <f>IF(AND(I.Developer.P4=TRUE,I.Facility.P4FacilityCount&gt;=2858,F22870=""),"Incomplete","Complete")</f>
        <v>Complete</v>
      </c>
      <c r="I22870" s="48" t="s">
        <v>27235</v>
      </c>
    </row>
    <row r="22871" spans="2:9" ht="15" customHeight="1" x14ac:dyDescent="0.25">
      <c r="B22871" s="55" t="s">
        <v>283</v>
      </c>
      <c r="C22871" s="46">
        <v>2859</v>
      </c>
      <c r="D22871" s="69" t="s">
        <v>29420</v>
      </c>
      <c r="E22871" s="51"/>
      <c r="F22871" s="114" t="str">
        <f>IF(INDEX(I.Facility.P4IDNumber,2859)="","",INDEX(I.Facility.P4IDNumber,2859))</f>
        <v/>
      </c>
      <c r="G22871" s="51"/>
      <c r="H22871" s="46" t="str">
        <f>IF(AND(I.Developer.P4=TRUE,I.Facility.P4FacilityCount&gt;=2859,F22871=""),"Incomplete","Complete")</f>
        <v>Complete</v>
      </c>
      <c r="I22871" s="48" t="s">
        <v>27236</v>
      </c>
    </row>
    <row r="22872" spans="2:9" ht="15" customHeight="1" x14ac:dyDescent="0.25">
      <c r="B22872" s="55" t="s">
        <v>283</v>
      </c>
      <c r="C22872" s="46">
        <v>2860</v>
      </c>
      <c r="D22872" s="69" t="s">
        <v>29420</v>
      </c>
      <c r="E22872" s="51"/>
      <c r="F22872" s="114" t="str">
        <f>IF(INDEX(I.Facility.P4IDNumber,2860)="","",INDEX(I.Facility.P4IDNumber,2860))</f>
        <v/>
      </c>
      <c r="G22872" s="51"/>
      <c r="H22872" s="46" t="str">
        <f>IF(AND(I.Developer.P4=TRUE,I.Facility.P4FacilityCount&gt;=2860,F22872=""),"Incomplete","Complete")</f>
        <v>Complete</v>
      </c>
      <c r="I22872" s="48" t="s">
        <v>27237</v>
      </c>
    </row>
    <row r="22873" spans="2:9" ht="15" customHeight="1" x14ac:dyDescent="0.25">
      <c r="B22873" s="55" t="s">
        <v>283</v>
      </c>
      <c r="C22873" s="46">
        <v>2861</v>
      </c>
      <c r="D22873" s="69" t="s">
        <v>29420</v>
      </c>
      <c r="E22873" s="51"/>
      <c r="F22873" s="114" t="str">
        <f>IF(INDEX(I.Facility.P4IDNumber,2861)="","",INDEX(I.Facility.P4IDNumber,2861))</f>
        <v/>
      </c>
      <c r="G22873" s="51"/>
      <c r="H22873" s="46" t="str">
        <f>IF(AND(I.Developer.P4=TRUE,I.Facility.P4FacilityCount&gt;=2861,F22873=""),"Incomplete","Complete")</f>
        <v>Complete</v>
      </c>
      <c r="I22873" s="48" t="s">
        <v>27238</v>
      </c>
    </row>
    <row r="22874" spans="2:9" ht="15" customHeight="1" x14ac:dyDescent="0.25">
      <c r="B22874" s="55" t="s">
        <v>283</v>
      </c>
      <c r="C22874" s="46">
        <v>2862</v>
      </c>
      <c r="D22874" s="69" t="s">
        <v>29420</v>
      </c>
      <c r="E22874" s="51"/>
      <c r="F22874" s="114" t="str">
        <f>IF(INDEX(I.Facility.P4IDNumber,2862)="","",INDEX(I.Facility.P4IDNumber,2862))</f>
        <v/>
      </c>
      <c r="G22874" s="51"/>
      <c r="H22874" s="46" t="str">
        <f>IF(AND(I.Developer.P4=TRUE,I.Facility.P4FacilityCount&gt;=2862,F22874=""),"Incomplete","Complete")</f>
        <v>Complete</v>
      </c>
      <c r="I22874" s="48" t="s">
        <v>27239</v>
      </c>
    </row>
    <row r="22875" spans="2:9" ht="15" customHeight="1" x14ac:dyDescent="0.25">
      <c r="B22875" s="55" t="s">
        <v>283</v>
      </c>
      <c r="C22875" s="46">
        <v>2863</v>
      </c>
      <c r="D22875" s="69" t="s">
        <v>29420</v>
      </c>
      <c r="E22875" s="51"/>
      <c r="F22875" s="114" t="str">
        <f>IF(INDEX(I.Facility.P4IDNumber,2863)="","",INDEX(I.Facility.P4IDNumber,2863))</f>
        <v/>
      </c>
      <c r="G22875" s="51"/>
      <c r="H22875" s="46" t="str">
        <f>IF(AND(I.Developer.P4=TRUE,I.Facility.P4FacilityCount&gt;=2863,F22875=""),"Incomplete","Complete")</f>
        <v>Complete</v>
      </c>
      <c r="I22875" s="48" t="s">
        <v>27240</v>
      </c>
    </row>
    <row r="22876" spans="2:9" ht="15" customHeight="1" x14ac:dyDescent="0.25">
      <c r="B22876" s="55" t="s">
        <v>283</v>
      </c>
      <c r="C22876" s="46">
        <v>2864</v>
      </c>
      <c r="D22876" s="69" t="s">
        <v>29420</v>
      </c>
      <c r="E22876" s="51"/>
      <c r="F22876" s="114" t="str">
        <f>IF(INDEX(I.Facility.P4IDNumber,2864)="","",INDEX(I.Facility.P4IDNumber,2864))</f>
        <v/>
      </c>
      <c r="G22876" s="51"/>
      <c r="H22876" s="46" t="str">
        <f>IF(AND(I.Developer.P4=TRUE,I.Facility.P4FacilityCount&gt;=2864,F22876=""),"Incomplete","Complete")</f>
        <v>Complete</v>
      </c>
      <c r="I22876" s="48" t="s">
        <v>27241</v>
      </c>
    </row>
    <row r="22877" spans="2:9" ht="15" customHeight="1" x14ac:dyDescent="0.25">
      <c r="B22877" s="55" t="s">
        <v>283</v>
      </c>
      <c r="C22877" s="46">
        <v>2865</v>
      </c>
      <c r="D22877" s="69" t="s">
        <v>29420</v>
      </c>
      <c r="E22877" s="51"/>
      <c r="F22877" s="114" t="str">
        <f>IF(INDEX(I.Facility.P4IDNumber,2865)="","",INDEX(I.Facility.P4IDNumber,2865))</f>
        <v/>
      </c>
      <c r="G22877" s="51"/>
      <c r="H22877" s="46" t="str">
        <f>IF(AND(I.Developer.P4=TRUE,I.Facility.P4FacilityCount&gt;=2865,F22877=""),"Incomplete","Complete")</f>
        <v>Complete</v>
      </c>
      <c r="I22877" s="48" t="s">
        <v>27242</v>
      </c>
    </row>
    <row r="22878" spans="2:9" ht="15" customHeight="1" x14ac:dyDescent="0.25">
      <c r="B22878" s="55" t="s">
        <v>283</v>
      </c>
      <c r="C22878" s="46">
        <v>2866</v>
      </c>
      <c r="D22878" s="69" t="s">
        <v>29420</v>
      </c>
      <c r="E22878" s="51"/>
      <c r="F22878" s="114" t="str">
        <f>IF(INDEX(I.Facility.P4IDNumber,2866)="","",INDEX(I.Facility.P4IDNumber,2866))</f>
        <v/>
      </c>
      <c r="G22878" s="51"/>
      <c r="H22878" s="46" t="str">
        <f>IF(AND(I.Developer.P4=TRUE,I.Facility.P4FacilityCount&gt;=2866,F22878=""),"Incomplete","Complete")</f>
        <v>Complete</v>
      </c>
      <c r="I22878" s="48" t="s">
        <v>27243</v>
      </c>
    </row>
    <row r="22879" spans="2:9" ht="15" customHeight="1" x14ac:dyDescent="0.25">
      <c r="B22879" s="55" t="s">
        <v>283</v>
      </c>
      <c r="C22879" s="46">
        <v>2867</v>
      </c>
      <c r="D22879" s="69" t="s">
        <v>29420</v>
      </c>
      <c r="E22879" s="51"/>
      <c r="F22879" s="114" t="str">
        <f>IF(INDEX(I.Facility.P4IDNumber,2867)="","",INDEX(I.Facility.P4IDNumber,2867))</f>
        <v/>
      </c>
      <c r="G22879" s="51"/>
      <c r="H22879" s="46" t="str">
        <f>IF(AND(I.Developer.P4=TRUE,I.Facility.P4FacilityCount&gt;=2867,F22879=""),"Incomplete","Complete")</f>
        <v>Complete</v>
      </c>
      <c r="I22879" s="48" t="s">
        <v>27244</v>
      </c>
    </row>
    <row r="22880" spans="2:9" ht="15" customHeight="1" x14ac:dyDescent="0.25">
      <c r="B22880" s="55" t="s">
        <v>283</v>
      </c>
      <c r="C22880" s="46">
        <v>2868</v>
      </c>
      <c r="D22880" s="69" t="s">
        <v>29420</v>
      </c>
      <c r="E22880" s="51"/>
      <c r="F22880" s="114" t="str">
        <f>IF(INDEX(I.Facility.P4IDNumber,2868)="","",INDEX(I.Facility.P4IDNumber,2868))</f>
        <v/>
      </c>
      <c r="G22880" s="51"/>
      <c r="H22880" s="46" t="str">
        <f>IF(AND(I.Developer.P4=TRUE,I.Facility.P4FacilityCount&gt;=2868,F22880=""),"Incomplete","Complete")</f>
        <v>Complete</v>
      </c>
      <c r="I22880" s="48" t="s">
        <v>27245</v>
      </c>
    </row>
    <row r="22881" spans="2:9" ht="15" customHeight="1" x14ac:dyDescent="0.25">
      <c r="B22881" s="55" t="s">
        <v>283</v>
      </c>
      <c r="C22881" s="46">
        <v>2869</v>
      </c>
      <c r="D22881" s="69" t="s">
        <v>29420</v>
      </c>
      <c r="E22881" s="51"/>
      <c r="F22881" s="114" t="str">
        <f>IF(INDEX(I.Facility.P4IDNumber,2869)="","",INDEX(I.Facility.P4IDNumber,2869))</f>
        <v/>
      </c>
      <c r="G22881" s="51"/>
      <c r="H22881" s="46" t="str">
        <f>IF(AND(I.Developer.P4=TRUE,I.Facility.P4FacilityCount&gt;=2869,F22881=""),"Incomplete","Complete")</f>
        <v>Complete</v>
      </c>
      <c r="I22881" s="48" t="s">
        <v>27246</v>
      </c>
    </row>
    <row r="22882" spans="2:9" ht="15" customHeight="1" x14ac:dyDescent="0.25">
      <c r="B22882" s="55" t="s">
        <v>283</v>
      </c>
      <c r="C22882" s="46">
        <v>2870</v>
      </c>
      <c r="D22882" s="69" t="s">
        <v>29420</v>
      </c>
      <c r="E22882" s="51"/>
      <c r="F22882" s="114" t="str">
        <f>IF(INDEX(I.Facility.P4IDNumber,2870)="","",INDEX(I.Facility.P4IDNumber,2870))</f>
        <v/>
      </c>
      <c r="G22882" s="51"/>
      <c r="H22882" s="46" t="str">
        <f>IF(AND(I.Developer.P4=TRUE,I.Facility.P4FacilityCount&gt;=2870,F22882=""),"Incomplete","Complete")</f>
        <v>Complete</v>
      </c>
      <c r="I22882" s="48" t="s">
        <v>27247</v>
      </c>
    </row>
    <row r="22883" spans="2:9" ht="15" customHeight="1" x14ac:dyDescent="0.25">
      <c r="B22883" s="55" t="s">
        <v>283</v>
      </c>
      <c r="C22883" s="46">
        <v>2871</v>
      </c>
      <c r="D22883" s="69" t="s">
        <v>29420</v>
      </c>
      <c r="E22883" s="51"/>
      <c r="F22883" s="114" t="str">
        <f>IF(INDEX(I.Facility.P4IDNumber,2871)="","",INDEX(I.Facility.P4IDNumber,2871))</f>
        <v/>
      </c>
      <c r="G22883" s="51"/>
      <c r="H22883" s="46" t="str">
        <f>IF(AND(I.Developer.P4=TRUE,I.Facility.P4FacilityCount&gt;=2871,F22883=""),"Incomplete","Complete")</f>
        <v>Complete</v>
      </c>
      <c r="I22883" s="48" t="s">
        <v>27248</v>
      </c>
    </row>
    <row r="22884" spans="2:9" ht="15" customHeight="1" x14ac:dyDescent="0.25">
      <c r="B22884" s="55" t="s">
        <v>283</v>
      </c>
      <c r="C22884" s="46">
        <v>2872</v>
      </c>
      <c r="D22884" s="69" t="s">
        <v>29420</v>
      </c>
      <c r="E22884" s="51"/>
      <c r="F22884" s="114" t="str">
        <f>IF(INDEX(I.Facility.P4IDNumber,2872)="","",INDEX(I.Facility.P4IDNumber,2872))</f>
        <v/>
      </c>
      <c r="G22884" s="51"/>
      <c r="H22884" s="46" t="str">
        <f>IF(AND(I.Developer.P4=TRUE,I.Facility.P4FacilityCount&gt;=2872,F22884=""),"Incomplete","Complete")</f>
        <v>Complete</v>
      </c>
      <c r="I22884" s="48" t="s">
        <v>27249</v>
      </c>
    </row>
    <row r="22885" spans="2:9" ht="15" customHeight="1" x14ac:dyDescent="0.25">
      <c r="B22885" s="55" t="s">
        <v>283</v>
      </c>
      <c r="C22885" s="46">
        <v>2873</v>
      </c>
      <c r="D22885" s="69" t="s">
        <v>29420</v>
      </c>
      <c r="E22885" s="51"/>
      <c r="F22885" s="114" t="str">
        <f>IF(INDEX(I.Facility.P4IDNumber,2873)="","",INDEX(I.Facility.P4IDNumber,2873))</f>
        <v/>
      </c>
      <c r="G22885" s="51"/>
      <c r="H22885" s="46" t="str">
        <f>IF(AND(I.Developer.P4=TRUE,I.Facility.P4FacilityCount&gt;=2873,F22885=""),"Incomplete","Complete")</f>
        <v>Complete</v>
      </c>
      <c r="I22885" s="48" t="s">
        <v>27250</v>
      </c>
    </row>
    <row r="22886" spans="2:9" ht="15" customHeight="1" x14ac:dyDescent="0.25">
      <c r="B22886" s="55" t="s">
        <v>283</v>
      </c>
      <c r="C22886" s="46">
        <v>2874</v>
      </c>
      <c r="D22886" s="69" t="s">
        <v>29420</v>
      </c>
      <c r="E22886" s="51"/>
      <c r="F22886" s="114" t="str">
        <f>IF(INDEX(I.Facility.P4IDNumber,2874)="","",INDEX(I.Facility.P4IDNumber,2874))</f>
        <v/>
      </c>
      <c r="G22886" s="51"/>
      <c r="H22886" s="46" t="str">
        <f>IF(AND(I.Developer.P4=TRUE,I.Facility.P4FacilityCount&gt;=2874,F22886=""),"Incomplete","Complete")</f>
        <v>Complete</v>
      </c>
      <c r="I22886" s="48" t="s">
        <v>27251</v>
      </c>
    </row>
    <row r="22887" spans="2:9" ht="15" customHeight="1" x14ac:dyDescent="0.25">
      <c r="B22887" s="55" t="s">
        <v>283</v>
      </c>
      <c r="C22887" s="46">
        <v>2875</v>
      </c>
      <c r="D22887" s="69" t="s">
        <v>29420</v>
      </c>
      <c r="E22887" s="51"/>
      <c r="F22887" s="114" t="str">
        <f>IF(INDEX(I.Facility.P4IDNumber,2875)="","",INDEX(I.Facility.P4IDNumber,2875))</f>
        <v/>
      </c>
      <c r="G22887" s="51"/>
      <c r="H22887" s="46" t="str">
        <f>IF(AND(I.Developer.P4=TRUE,I.Facility.P4FacilityCount&gt;=2875,F22887=""),"Incomplete","Complete")</f>
        <v>Complete</v>
      </c>
      <c r="I22887" s="48" t="s">
        <v>27252</v>
      </c>
    </row>
    <row r="22888" spans="2:9" ht="15" customHeight="1" x14ac:dyDescent="0.25">
      <c r="B22888" s="55" t="s">
        <v>283</v>
      </c>
      <c r="C22888" s="46">
        <v>2876</v>
      </c>
      <c r="D22888" s="69" t="s">
        <v>29420</v>
      </c>
      <c r="E22888" s="51"/>
      <c r="F22888" s="114" t="str">
        <f>IF(INDEX(I.Facility.P4IDNumber,2876)="","",INDEX(I.Facility.P4IDNumber,2876))</f>
        <v/>
      </c>
      <c r="G22888" s="51"/>
      <c r="H22888" s="46" t="str">
        <f>IF(AND(I.Developer.P4=TRUE,I.Facility.P4FacilityCount&gt;=2876,F22888=""),"Incomplete","Complete")</f>
        <v>Complete</v>
      </c>
      <c r="I22888" s="48" t="s">
        <v>27253</v>
      </c>
    </row>
    <row r="22889" spans="2:9" ht="15" customHeight="1" x14ac:dyDescent="0.25">
      <c r="B22889" s="55" t="s">
        <v>283</v>
      </c>
      <c r="C22889" s="46">
        <v>2877</v>
      </c>
      <c r="D22889" s="69" t="s">
        <v>29420</v>
      </c>
      <c r="E22889" s="51"/>
      <c r="F22889" s="114" t="str">
        <f>IF(INDEX(I.Facility.P4IDNumber,2877)="","",INDEX(I.Facility.P4IDNumber,2877))</f>
        <v/>
      </c>
      <c r="G22889" s="51"/>
      <c r="H22889" s="46" t="str">
        <f>IF(AND(I.Developer.P4=TRUE,I.Facility.P4FacilityCount&gt;=2877,F22889=""),"Incomplete","Complete")</f>
        <v>Complete</v>
      </c>
      <c r="I22889" s="48" t="s">
        <v>27254</v>
      </c>
    </row>
    <row r="22890" spans="2:9" ht="15" customHeight="1" x14ac:dyDescent="0.25">
      <c r="B22890" s="55" t="s">
        <v>283</v>
      </c>
      <c r="C22890" s="46">
        <v>2878</v>
      </c>
      <c r="D22890" s="69" t="s">
        <v>29420</v>
      </c>
      <c r="E22890" s="51"/>
      <c r="F22890" s="114" t="str">
        <f>IF(INDEX(I.Facility.P4IDNumber,2878)="","",INDEX(I.Facility.P4IDNumber,2878))</f>
        <v/>
      </c>
      <c r="G22890" s="51"/>
      <c r="H22890" s="46" t="str">
        <f>IF(AND(I.Developer.P4=TRUE,I.Facility.P4FacilityCount&gt;=2878,F22890=""),"Incomplete","Complete")</f>
        <v>Complete</v>
      </c>
      <c r="I22890" s="48" t="s">
        <v>27255</v>
      </c>
    </row>
    <row r="22891" spans="2:9" ht="15" customHeight="1" x14ac:dyDescent="0.25">
      <c r="B22891" s="55" t="s">
        <v>283</v>
      </c>
      <c r="C22891" s="46">
        <v>2879</v>
      </c>
      <c r="D22891" s="69" t="s">
        <v>29420</v>
      </c>
      <c r="E22891" s="51"/>
      <c r="F22891" s="114" t="str">
        <f>IF(INDEX(I.Facility.P4IDNumber,2879)="","",INDEX(I.Facility.P4IDNumber,2879))</f>
        <v/>
      </c>
      <c r="G22891" s="51"/>
      <c r="H22891" s="46" t="str">
        <f>IF(AND(I.Developer.P4=TRUE,I.Facility.P4FacilityCount&gt;=2879,F22891=""),"Incomplete","Complete")</f>
        <v>Complete</v>
      </c>
      <c r="I22891" s="48" t="s">
        <v>27256</v>
      </c>
    </row>
    <row r="22892" spans="2:9" ht="15" customHeight="1" x14ac:dyDescent="0.25">
      <c r="B22892" s="55" t="s">
        <v>283</v>
      </c>
      <c r="C22892" s="46">
        <v>2880</v>
      </c>
      <c r="D22892" s="69" t="s">
        <v>29420</v>
      </c>
      <c r="E22892" s="51"/>
      <c r="F22892" s="114" t="str">
        <f>IF(INDEX(I.Facility.P4IDNumber,2880)="","",INDEX(I.Facility.P4IDNumber,2880))</f>
        <v/>
      </c>
      <c r="G22892" s="51"/>
      <c r="H22892" s="46" t="str">
        <f>IF(AND(I.Developer.P4=TRUE,I.Facility.P4FacilityCount&gt;=2880,F22892=""),"Incomplete","Complete")</f>
        <v>Complete</v>
      </c>
      <c r="I22892" s="48" t="s">
        <v>27257</v>
      </c>
    </row>
    <row r="22893" spans="2:9" ht="15" customHeight="1" x14ac:dyDescent="0.25">
      <c r="B22893" s="55" t="s">
        <v>283</v>
      </c>
      <c r="C22893" s="46">
        <v>2881</v>
      </c>
      <c r="D22893" s="69" t="s">
        <v>29420</v>
      </c>
      <c r="E22893" s="51"/>
      <c r="F22893" s="114" t="str">
        <f>IF(INDEX(I.Facility.P4IDNumber,2881)="","",INDEX(I.Facility.P4IDNumber,2881))</f>
        <v/>
      </c>
      <c r="G22893" s="51"/>
      <c r="H22893" s="46" t="str">
        <f>IF(AND(I.Developer.P4=TRUE,I.Facility.P4FacilityCount&gt;=2881,F22893=""),"Incomplete","Complete")</f>
        <v>Complete</v>
      </c>
      <c r="I22893" s="48" t="s">
        <v>27258</v>
      </c>
    </row>
    <row r="22894" spans="2:9" ht="15" customHeight="1" x14ac:dyDescent="0.25">
      <c r="B22894" s="55" t="s">
        <v>283</v>
      </c>
      <c r="C22894" s="46">
        <v>2882</v>
      </c>
      <c r="D22894" s="69" t="s">
        <v>29420</v>
      </c>
      <c r="E22894" s="51"/>
      <c r="F22894" s="114" t="str">
        <f>IF(INDEX(I.Facility.P4IDNumber,2882)="","",INDEX(I.Facility.P4IDNumber,2882))</f>
        <v/>
      </c>
      <c r="G22894" s="51"/>
      <c r="H22894" s="46" t="str">
        <f>IF(AND(I.Developer.P4=TRUE,I.Facility.P4FacilityCount&gt;=2882,F22894=""),"Incomplete","Complete")</f>
        <v>Complete</v>
      </c>
      <c r="I22894" s="48" t="s">
        <v>27259</v>
      </c>
    </row>
    <row r="22895" spans="2:9" ht="15" customHeight="1" x14ac:dyDescent="0.25">
      <c r="B22895" s="55" t="s">
        <v>283</v>
      </c>
      <c r="C22895" s="46">
        <v>2883</v>
      </c>
      <c r="D22895" s="69" t="s">
        <v>29420</v>
      </c>
      <c r="E22895" s="51"/>
      <c r="F22895" s="114" t="str">
        <f>IF(INDEX(I.Facility.P4IDNumber,2883)="","",INDEX(I.Facility.P4IDNumber,2883))</f>
        <v/>
      </c>
      <c r="G22895" s="51"/>
      <c r="H22895" s="46" t="str">
        <f>IF(AND(I.Developer.P4=TRUE,I.Facility.P4FacilityCount&gt;=2883,F22895=""),"Incomplete","Complete")</f>
        <v>Complete</v>
      </c>
      <c r="I22895" s="48" t="s">
        <v>27260</v>
      </c>
    </row>
    <row r="22896" spans="2:9" ht="15" customHeight="1" x14ac:dyDescent="0.25">
      <c r="B22896" s="55" t="s">
        <v>283</v>
      </c>
      <c r="C22896" s="46">
        <v>2884</v>
      </c>
      <c r="D22896" s="69" t="s">
        <v>29420</v>
      </c>
      <c r="E22896" s="51"/>
      <c r="F22896" s="114" t="str">
        <f>IF(INDEX(I.Facility.P4IDNumber,2884)="","",INDEX(I.Facility.P4IDNumber,2884))</f>
        <v/>
      </c>
      <c r="G22896" s="51"/>
      <c r="H22896" s="46" t="str">
        <f>IF(AND(I.Developer.P4=TRUE,I.Facility.P4FacilityCount&gt;=2884,F22896=""),"Incomplete","Complete")</f>
        <v>Complete</v>
      </c>
      <c r="I22896" s="48" t="s">
        <v>27261</v>
      </c>
    </row>
    <row r="22897" spans="2:9" ht="15" customHeight="1" x14ac:dyDescent="0.25">
      <c r="B22897" s="55" t="s">
        <v>283</v>
      </c>
      <c r="C22897" s="46">
        <v>2885</v>
      </c>
      <c r="D22897" s="69" t="s">
        <v>29420</v>
      </c>
      <c r="E22897" s="51"/>
      <c r="F22897" s="114" t="str">
        <f>IF(INDEX(I.Facility.P4IDNumber,2885)="","",INDEX(I.Facility.P4IDNumber,2885))</f>
        <v/>
      </c>
      <c r="G22897" s="51"/>
      <c r="H22897" s="46" t="str">
        <f>IF(AND(I.Developer.P4=TRUE,I.Facility.P4FacilityCount&gt;=2885,F22897=""),"Incomplete","Complete")</f>
        <v>Complete</v>
      </c>
      <c r="I22897" s="48" t="s">
        <v>27262</v>
      </c>
    </row>
    <row r="22898" spans="2:9" ht="15" customHeight="1" x14ac:dyDescent="0.25">
      <c r="B22898" s="55" t="s">
        <v>283</v>
      </c>
      <c r="C22898" s="46">
        <v>2886</v>
      </c>
      <c r="D22898" s="69" t="s">
        <v>29420</v>
      </c>
      <c r="E22898" s="51"/>
      <c r="F22898" s="114" t="str">
        <f>IF(INDEX(I.Facility.P4IDNumber,2886)="","",INDEX(I.Facility.P4IDNumber,2886))</f>
        <v/>
      </c>
      <c r="G22898" s="51"/>
      <c r="H22898" s="46" t="str">
        <f>IF(AND(I.Developer.P4=TRUE,I.Facility.P4FacilityCount&gt;=2886,F22898=""),"Incomplete","Complete")</f>
        <v>Complete</v>
      </c>
      <c r="I22898" s="48" t="s">
        <v>27263</v>
      </c>
    </row>
    <row r="22899" spans="2:9" ht="15" customHeight="1" x14ac:dyDescent="0.25">
      <c r="B22899" s="55" t="s">
        <v>283</v>
      </c>
      <c r="C22899" s="46">
        <v>2887</v>
      </c>
      <c r="D22899" s="69" t="s">
        <v>29420</v>
      </c>
      <c r="E22899" s="51"/>
      <c r="F22899" s="114" t="str">
        <f>IF(INDEX(I.Facility.P4IDNumber,2887)="","",INDEX(I.Facility.P4IDNumber,2887))</f>
        <v/>
      </c>
      <c r="G22899" s="51"/>
      <c r="H22899" s="46" t="str">
        <f>IF(AND(I.Developer.P4=TRUE,I.Facility.P4FacilityCount&gt;=2887,F22899=""),"Incomplete","Complete")</f>
        <v>Complete</v>
      </c>
      <c r="I22899" s="48" t="s">
        <v>27264</v>
      </c>
    </row>
    <row r="22900" spans="2:9" ht="15" customHeight="1" x14ac:dyDescent="0.25">
      <c r="B22900" s="55" t="s">
        <v>283</v>
      </c>
      <c r="C22900" s="46">
        <v>2888</v>
      </c>
      <c r="D22900" s="69" t="s">
        <v>29420</v>
      </c>
      <c r="E22900" s="51"/>
      <c r="F22900" s="114" t="str">
        <f>IF(INDEX(I.Facility.P4IDNumber,2888)="","",INDEX(I.Facility.P4IDNumber,2888))</f>
        <v/>
      </c>
      <c r="G22900" s="51"/>
      <c r="H22900" s="46" t="str">
        <f>IF(AND(I.Developer.P4=TRUE,I.Facility.P4FacilityCount&gt;=2888,F22900=""),"Incomplete","Complete")</f>
        <v>Complete</v>
      </c>
      <c r="I22900" s="48" t="s">
        <v>27265</v>
      </c>
    </row>
    <row r="22901" spans="2:9" ht="15" customHeight="1" x14ac:dyDescent="0.25">
      <c r="B22901" s="55" t="s">
        <v>283</v>
      </c>
      <c r="C22901" s="46">
        <v>2889</v>
      </c>
      <c r="D22901" s="69" t="s">
        <v>29420</v>
      </c>
      <c r="E22901" s="51"/>
      <c r="F22901" s="114" t="str">
        <f>IF(INDEX(I.Facility.P4IDNumber,2889)="","",INDEX(I.Facility.P4IDNumber,2889))</f>
        <v/>
      </c>
      <c r="G22901" s="51"/>
      <c r="H22901" s="46" t="str">
        <f>IF(AND(I.Developer.P4=TRUE,I.Facility.P4FacilityCount&gt;=2889,F22901=""),"Incomplete","Complete")</f>
        <v>Complete</v>
      </c>
      <c r="I22901" s="48" t="s">
        <v>27266</v>
      </c>
    </row>
    <row r="22902" spans="2:9" ht="15" customHeight="1" x14ac:dyDescent="0.25">
      <c r="B22902" s="55" t="s">
        <v>283</v>
      </c>
      <c r="C22902" s="46">
        <v>2890</v>
      </c>
      <c r="D22902" s="69" t="s">
        <v>29420</v>
      </c>
      <c r="E22902" s="51"/>
      <c r="F22902" s="114" t="str">
        <f>IF(INDEX(I.Facility.P4IDNumber,2890)="","",INDEX(I.Facility.P4IDNumber,2890))</f>
        <v/>
      </c>
      <c r="G22902" s="51"/>
      <c r="H22902" s="46" t="str">
        <f>IF(AND(I.Developer.P4=TRUE,I.Facility.P4FacilityCount&gt;=2890,F22902=""),"Incomplete","Complete")</f>
        <v>Complete</v>
      </c>
      <c r="I22902" s="48" t="s">
        <v>27267</v>
      </c>
    </row>
    <row r="22903" spans="2:9" ht="15" customHeight="1" x14ac:dyDescent="0.25">
      <c r="B22903" s="55" t="s">
        <v>283</v>
      </c>
      <c r="C22903" s="46">
        <v>2891</v>
      </c>
      <c r="D22903" s="69" t="s">
        <v>29420</v>
      </c>
      <c r="E22903" s="51"/>
      <c r="F22903" s="114" t="str">
        <f>IF(INDEX(I.Facility.P4IDNumber,2891)="","",INDEX(I.Facility.P4IDNumber,2891))</f>
        <v/>
      </c>
      <c r="G22903" s="51"/>
      <c r="H22903" s="46" t="str">
        <f>IF(AND(I.Developer.P4=TRUE,I.Facility.P4FacilityCount&gt;=2891,F22903=""),"Incomplete","Complete")</f>
        <v>Complete</v>
      </c>
      <c r="I22903" s="48" t="s">
        <v>27268</v>
      </c>
    </row>
    <row r="22904" spans="2:9" ht="15" customHeight="1" x14ac:dyDescent="0.25">
      <c r="B22904" s="55" t="s">
        <v>283</v>
      </c>
      <c r="C22904" s="46">
        <v>2892</v>
      </c>
      <c r="D22904" s="69" t="s">
        <v>29420</v>
      </c>
      <c r="E22904" s="51"/>
      <c r="F22904" s="114" t="str">
        <f>IF(INDEX(I.Facility.P4IDNumber,2892)="","",INDEX(I.Facility.P4IDNumber,2892))</f>
        <v/>
      </c>
      <c r="G22904" s="51"/>
      <c r="H22904" s="46" t="str">
        <f>IF(AND(I.Developer.P4=TRUE,I.Facility.P4FacilityCount&gt;=2892,F22904=""),"Incomplete","Complete")</f>
        <v>Complete</v>
      </c>
      <c r="I22904" s="48" t="s">
        <v>27269</v>
      </c>
    </row>
    <row r="22905" spans="2:9" ht="15" customHeight="1" x14ac:dyDescent="0.25">
      <c r="B22905" s="55" t="s">
        <v>283</v>
      </c>
      <c r="C22905" s="46">
        <v>2893</v>
      </c>
      <c r="D22905" s="69" t="s">
        <v>29420</v>
      </c>
      <c r="E22905" s="51"/>
      <c r="F22905" s="114" t="str">
        <f>IF(INDEX(I.Facility.P4IDNumber,2893)="","",INDEX(I.Facility.P4IDNumber,2893))</f>
        <v/>
      </c>
      <c r="G22905" s="51"/>
      <c r="H22905" s="46" t="str">
        <f>IF(AND(I.Developer.P4=TRUE,I.Facility.P4FacilityCount&gt;=2893,F22905=""),"Incomplete","Complete")</f>
        <v>Complete</v>
      </c>
      <c r="I22905" s="48" t="s">
        <v>27270</v>
      </c>
    </row>
    <row r="22906" spans="2:9" ht="15" customHeight="1" x14ac:dyDescent="0.25">
      <c r="B22906" s="55" t="s">
        <v>283</v>
      </c>
      <c r="C22906" s="46">
        <v>2894</v>
      </c>
      <c r="D22906" s="69" t="s">
        <v>29420</v>
      </c>
      <c r="E22906" s="51"/>
      <c r="F22906" s="114" t="str">
        <f>IF(INDEX(I.Facility.P4IDNumber,2894)="","",INDEX(I.Facility.P4IDNumber,2894))</f>
        <v/>
      </c>
      <c r="G22906" s="51"/>
      <c r="H22906" s="46" t="str">
        <f>IF(AND(I.Developer.P4=TRUE,I.Facility.P4FacilityCount&gt;=2894,F22906=""),"Incomplete","Complete")</f>
        <v>Complete</v>
      </c>
      <c r="I22906" s="48" t="s">
        <v>27271</v>
      </c>
    </row>
    <row r="22907" spans="2:9" ht="15" customHeight="1" x14ac:dyDescent="0.25">
      <c r="B22907" s="55" t="s">
        <v>283</v>
      </c>
      <c r="C22907" s="46">
        <v>2895</v>
      </c>
      <c r="D22907" s="69" t="s">
        <v>29420</v>
      </c>
      <c r="E22907" s="51"/>
      <c r="F22907" s="114" t="str">
        <f>IF(INDEX(I.Facility.P4IDNumber,2895)="","",INDEX(I.Facility.P4IDNumber,2895))</f>
        <v/>
      </c>
      <c r="G22907" s="51"/>
      <c r="H22907" s="46" t="str">
        <f>IF(AND(I.Developer.P4=TRUE,I.Facility.P4FacilityCount&gt;=2895,F22907=""),"Incomplete","Complete")</f>
        <v>Complete</v>
      </c>
      <c r="I22907" s="48" t="s">
        <v>27272</v>
      </c>
    </row>
    <row r="22908" spans="2:9" ht="15" customHeight="1" x14ac:dyDescent="0.25">
      <c r="B22908" s="55" t="s">
        <v>283</v>
      </c>
      <c r="C22908" s="46">
        <v>2896</v>
      </c>
      <c r="D22908" s="69" t="s">
        <v>29420</v>
      </c>
      <c r="E22908" s="51"/>
      <c r="F22908" s="114" t="str">
        <f>IF(INDEX(I.Facility.P4IDNumber,2896)="","",INDEX(I.Facility.P4IDNumber,2896))</f>
        <v/>
      </c>
      <c r="G22908" s="51"/>
      <c r="H22908" s="46" t="str">
        <f>IF(AND(I.Developer.P4=TRUE,I.Facility.P4FacilityCount&gt;=2896,F22908=""),"Incomplete","Complete")</f>
        <v>Complete</v>
      </c>
      <c r="I22908" s="48" t="s">
        <v>27273</v>
      </c>
    </row>
    <row r="22909" spans="2:9" ht="15" customHeight="1" x14ac:dyDescent="0.25">
      <c r="B22909" s="55" t="s">
        <v>283</v>
      </c>
      <c r="C22909" s="46">
        <v>2897</v>
      </c>
      <c r="D22909" s="69" t="s">
        <v>29420</v>
      </c>
      <c r="E22909" s="51"/>
      <c r="F22909" s="114" t="str">
        <f>IF(INDEX(I.Facility.P4IDNumber,2897)="","",INDEX(I.Facility.P4IDNumber,2897))</f>
        <v/>
      </c>
      <c r="G22909" s="51"/>
      <c r="H22909" s="46" t="str">
        <f>IF(AND(I.Developer.P4=TRUE,I.Facility.P4FacilityCount&gt;=2897,F22909=""),"Incomplete","Complete")</f>
        <v>Complete</v>
      </c>
      <c r="I22909" s="48" t="s">
        <v>27274</v>
      </c>
    </row>
    <row r="22910" spans="2:9" ht="15" customHeight="1" x14ac:dyDescent="0.25">
      <c r="B22910" s="55" t="s">
        <v>283</v>
      </c>
      <c r="C22910" s="46">
        <v>2898</v>
      </c>
      <c r="D22910" s="69" t="s">
        <v>29420</v>
      </c>
      <c r="E22910" s="51"/>
      <c r="F22910" s="114" t="str">
        <f>IF(INDEX(I.Facility.P4IDNumber,2898)="","",INDEX(I.Facility.P4IDNumber,2898))</f>
        <v/>
      </c>
      <c r="G22910" s="51"/>
      <c r="H22910" s="46" t="str">
        <f>IF(AND(I.Developer.P4=TRUE,I.Facility.P4FacilityCount&gt;=2898,F22910=""),"Incomplete","Complete")</f>
        <v>Complete</v>
      </c>
      <c r="I22910" s="48" t="s">
        <v>27275</v>
      </c>
    </row>
    <row r="22911" spans="2:9" ht="15" customHeight="1" x14ac:dyDescent="0.25">
      <c r="B22911" s="55" t="s">
        <v>283</v>
      </c>
      <c r="C22911" s="46">
        <v>2899</v>
      </c>
      <c r="D22911" s="69" t="s">
        <v>29420</v>
      </c>
      <c r="E22911" s="51"/>
      <c r="F22911" s="114" t="str">
        <f>IF(INDEX(I.Facility.P4IDNumber,2899)="","",INDEX(I.Facility.P4IDNumber,2899))</f>
        <v/>
      </c>
      <c r="G22911" s="51"/>
      <c r="H22911" s="46" t="str">
        <f>IF(AND(I.Developer.P4=TRUE,I.Facility.P4FacilityCount&gt;=2899,F22911=""),"Incomplete","Complete")</f>
        <v>Complete</v>
      </c>
      <c r="I22911" s="48" t="s">
        <v>27276</v>
      </c>
    </row>
    <row r="22912" spans="2:9" ht="15" customHeight="1" x14ac:dyDescent="0.25">
      <c r="B22912" s="55" t="s">
        <v>283</v>
      </c>
      <c r="C22912" s="46">
        <v>2900</v>
      </c>
      <c r="D22912" s="69" t="s">
        <v>29420</v>
      </c>
      <c r="E22912" s="51"/>
      <c r="F22912" s="114" t="str">
        <f>IF(INDEX(I.Facility.P4IDNumber,2900)="","",INDEX(I.Facility.P4IDNumber,2900))</f>
        <v/>
      </c>
      <c r="G22912" s="51"/>
      <c r="H22912" s="46" t="str">
        <f>IF(AND(I.Developer.P4=TRUE,I.Facility.P4FacilityCount&gt;=2900,F22912=""),"Incomplete","Complete")</f>
        <v>Complete</v>
      </c>
      <c r="I22912" s="48" t="s">
        <v>27277</v>
      </c>
    </row>
    <row r="22913" spans="2:9" ht="15" customHeight="1" x14ac:dyDescent="0.25">
      <c r="B22913" s="55" t="s">
        <v>283</v>
      </c>
      <c r="C22913" s="46">
        <v>2901</v>
      </c>
      <c r="D22913" s="69" t="s">
        <v>29420</v>
      </c>
      <c r="E22913" s="51"/>
      <c r="F22913" s="114" t="str">
        <f>IF(INDEX(I.Facility.P4IDNumber,2901)="","",INDEX(I.Facility.P4IDNumber,2901))</f>
        <v/>
      </c>
      <c r="G22913" s="51"/>
      <c r="H22913" s="46" t="str">
        <f>IF(AND(I.Developer.P4=TRUE,I.Facility.P4FacilityCount&gt;=2901,F22913=""),"Incomplete","Complete")</f>
        <v>Complete</v>
      </c>
      <c r="I22913" s="48" t="s">
        <v>27278</v>
      </c>
    </row>
    <row r="22914" spans="2:9" ht="15" customHeight="1" x14ac:dyDescent="0.25">
      <c r="B22914" s="55" t="s">
        <v>283</v>
      </c>
      <c r="C22914" s="46">
        <v>2902</v>
      </c>
      <c r="D22914" s="69" t="s">
        <v>29420</v>
      </c>
      <c r="E22914" s="51"/>
      <c r="F22914" s="114" t="str">
        <f>IF(INDEX(I.Facility.P4IDNumber,2902)="","",INDEX(I.Facility.P4IDNumber,2902))</f>
        <v/>
      </c>
      <c r="G22914" s="51"/>
      <c r="H22914" s="46" t="str">
        <f>IF(AND(I.Developer.P4=TRUE,I.Facility.P4FacilityCount&gt;=2902,F22914=""),"Incomplete","Complete")</f>
        <v>Complete</v>
      </c>
      <c r="I22914" s="48" t="s">
        <v>27279</v>
      </c>
    </row>
    <row r="22915" spans="2:9" ht="15" customHeight="1" x14ac:dyDescent="0.25">
      <c r="B22915" s="55" t="s">
        <v>283</v>
      </c>
      <c r="C22915" s="46">
        <v>2903</v>
      </c>
      <c r="D22915" s="69" t="s">
        <v>29420</v>
      </c>
      <c r="E22915" s="51"/>
      <c r="F22915" s="114" t="str">
        <f>IF(INDEX(I.Facility.P4IDNumber,2903)="","",INDEX(I.Facility.P4IDNumber,2903))</f>
        <v/>
      </c>
      <c r="G22915" s="51"/>
      <c r="H22915" s="46" t="str">
        <f>IF(AND(I.Developer.P4=TRUE,I.Facility.P4FacilityCount&gt;=2903,F22915=""),"Incomplete","Complete")</f>
        <v>Complete</v>
      </c>
      <c r="I22915" s="48" t="s">
        <v>27280</v>
      </c>
    </row>
    <row r="22916" spans="2:9" ht="15" customHeight="1" x14ac:dyDescent="0.25">
      <c r="B22916" s="55" t="s">
        <v>283</v>
      </c>
      <c r="C22916" s="46">
        <v>2904</v>
      </c>
      <c r="D22916" s="69" t="s">
        <v>29420</v>
      </c>
      <c r="E22916" s="51"/>
      <c r="F22916" s="114" t="str">
        <f>IF(INDEX(I.Facility.P4IDNumber,2904)="","",INDEX(I.Facility.P4IDNumber,2904))</f>
        <v/>
      </c>
      <c r="G22916" s="51"/>
      <c r="H22916" s="46" t="str">
        <f>IF(AND(I.Developer.P4=TRUE,I.Facility.P4FacilityCount&gt;=2904,F22916=""),"Incomplete","Complete")</f>
        <v>Complete</v>
      </c>
      <c r="I22916" s="48" t="s">
        <v>27281</v>
      </c>
    </row>
    <row r="22917" spans="2:9" ht="15" customHeight="1" x14ac:dyDescent="0.25">
      <c r="B22917" s="55" t="s">
        <v>283</v>
      </c>
      <c r="C22917" s="46">
        <v>2905</v>
      </c>
      <c r="D22917" s="69" t="s">
        <v>29420</v>
      </c>
      <c r="E22917" s="51"/>
      <c r="F22917" s="114" t="str">
        <f>IF(INDEX(I.Facility.P4IDNumber,2905)="","",INDEX(I.Facility.P4IDNumber,2905))</f>
        <v/>
      </c>
      <c r="G22917" s="51"/>
      <c r="H22917" s="46" t="str">
        <f>IF(AND(I.Developer.P4=TRUE,I.Facility.P4FacilityCount&gt;=2905,F22917=""),"Incomplete","Complete")</f>
        <v>Complete</v>
      </c>
      <c r="I22917" s="48" t="s">
        <v>27282</v>
      </c>
    </row>
    <row r="22918" spans="2:9" ht="15" customHeight="1" x14ac:dyDescent="0.25">
      <c r="B22918" s="55" t="s">
        <v>283</v>
      </c>
      <c r="C22918" s="46">
        <v>2906</v>
      </c>
      <c r="D22918" s="69" t="s">
        <v>29420</v>
      </c>
      <c r="E22918" s="51"/>
      <c r="F22918" s="114" t="str">
        <f>IF(INDEX(I.Facility.P4IDNumber,2906)="","",INDEX(I.Facility.P4IDNumber,2906))</f>
        <v/>
      </c>
      <c r="G22918" s="51"/>
      <c r="H22918" s="46" t="str">
        <f>IF(AND(I.Developer.P4=TRUE,I.Facility.P4FacilityCount&gt;=2906,F22918=""),"Incomplete","Complete")</f>
        <v>Complete</v>
      </c>
      <c r="I22918" s="48" t="s">
        <v>27283</v>
      </c>
    </row>
    <row r="22919" spans="2:9" ht="15" customHeight="1" x14ac:dyDescent="0.25">
      <c r="B22919" s="55" t="s">
        <v>283</v>
      </c>
      <c r="C22919" s="46">
        <v>2907</v>
      </c>
      <c r="D22919" s="69" t="s">
        <v>29420</v>
      </c>
      <c r="E22919" s="51"/>
      <c r="F22919" s="114" t="str">
        <f>IF(INDEX(I.Facility.P4IDNumber,2907)="","",INDEX(I.Facility.P4IDNumber,2907))</f>
        <v/>
      </c>
      <c r="G22919" s="51"/>
      <c r="H22919" s="46" t="str">
        <f>IF(AND(I.Developer.P4=TRUE,I.Facility.P4FacilityCount&gt;=2907,F22919=""),"Incomplete","Complete")</f>
        <v>Complete</v>
      </c>
      <c r="I22919" s="48" t="s">
        <v>27284</v>
      </c>
    </row>
    <row r="22920" spans="2:9" ht="15" customHeight="1" x14ac:dyDescent="0.25">
      <c r="B22920" s="55" t="s">
        <v>283</v>
      </c>
      <c r="C22920" s="46">
        <v>2908</v>
      </c>
      <c r="D22920" s="69" t="s">
        <v>29420</v>
      </c>
      <c r="E22920" s="51"/>
      <c r="F22920" s="114" t="str">
        <f>IF(INDEX(I.Facility.P4IDNumber,2908)="","",INDEX(I.Facility.P4IDNumber,2908))</f>
        <v/>
      </c>
      <c r="G22920" s="51"/>
      <c r="H22920" s="46" t="str">
        <f>IF(AND(I.Developer.P4=TRUE,I.Facility.P4FacilityCount&gt;=2908,F22920=""),"Incomplete","Complete")</f>
        <v>Complete</v>
      </c>
      <c r="I22920" s="48" t="s">
        <v>27285</v>
      </c>
    </row>
    <row r="22921" spans="2:9" ht="15" customHeight="1" x14ac:dyDescent="0.25">
      <c r="B22921" s="55" t="s">
        <v>283</v>
      </c>
      <c r="C22921" s="46">
        <v>2909</v>
      </c>
      <c r="D22921" s="69" t="s">
        <v>29420</v>
      </c>
      <c r="E22921" s="51"/>
      <c r="F22921" s="114" t="str">
        <f>IF(INDEX(I.Facility.P4IDNumber,2909)="","",INDEX(I.Facility.P4IDNumber,2909))</f>
        <v/>
      </c>
      <c r="G22921" s="51"/>
      <c r="H22921" s="46" t="str">
        <f>IF(AND(I.Developer.P4=TRUE,I.Facility.P4FacilityCount&gt;=2909,F22921=""),"Incomplete","Complete")</f>
        <v>Complete</v>
      </c>
      <c r="I22921" s="48" t="s">
        <v>27286</v>
      </c>
    </row>
    <row r="22922" spans="2:9" ht="15" customHeight="1" x14ac:dyDescent="0.25">
      <c r="B22922" s="55" t="s">
        <v>283</v>
      </c>
      <c r="C22922" s="46">
        <v>2910</v>
      </c>
      <c r="D22922" s="69" t="s">
        <v>29420</v>
      </c>
      <c r="E22922" s="51"/>
      <c r="F22922" s="114" t="str">
        <f>IF(INDEX(I.Facility.P4IDNumber,2910)="","",INDEX(I.Facility.P4IDNumber,2910))</f>
        <v/>
      </c>
      <c r="G22922" s="51"/>
      <c r="H22922" s="46" t="str">
        <f>IF(AND(I.Developer.P4=TRUE,I.Facility.P4FacilityCount&gt;=2910,F22922=""),"Incomplete","Complete")</f>
        <v>Complete</v>
      </c>
      <c r="I22922" s="48" t="s">
        <v>27287</v>
      </c>
    </row>
    <row r="22923" spans="2:9" ht="15" customHeight="1" x14ac:dyDescent="0.25">
      <c r="B22923" s="55" t="s">
        <v>283</v>
      </c>
      <c r="C22923" s="46">
        <v>2911</v>
      </c>
      <c r="D22923" s="69" t="s">
        <v>29420</v>
      </c>
      <c r="E22923" s="51"/>
      <c r="F22923" s="114" t="str">
        <f>IF(INDEX(I.Facility.P4IDNumber,2911)="","",INDEX(I.Facility.P4IDNumber,2911))</f>
        <v/>
      </c>
      <c r="G22923" s="51"/>
      <c r="H22923" s="46" t="str">
        <f>IF(AND(I.Developer.P4=TRUE,I.Facility.P4FacilityCount&gt;=2911,F22923=""),"Incomplete","Complete")</f>
        <v>Complete</v>
      </c>
      <c r="I22923" s="48" t="s">
        <v>27288</v>
      </c>
    </row>
    <row r="22924" spans="2:9" ht="15" customHeight="1" x14ac:dyDescent="0.25">
      <c r="B22924" s="55" t="s">
        <v>283</v>
      </c>
      <c r="C22924" s="46">
        <v>2912</v>
      </c>
      <c r="D22924" s="69" t="s">
        <v>29420</v>
      </c>
      <c r="E22924" s="51"/>
      <c r="F22924" s="114" t="str">
        <f>IF(INDEX(I.Facility.P4IDNumber,2912)="","",INDEX(I.Facility.P4IDNumber,2912))</f>
        <v/>
      </c>
      <c r="G22924" s="51"/>
      <c r="H22924" s="46" t="str">
        <f>IF(AND(I.Developer.P4=TRUE,I.Facility.P4FacilityCount&gt;=2912,F22924=""),"Incomplete","Complete")</f>
        <v>Complete</v>
      </c>
      <c r="I22924" s="48" t="s">
        <v>27289</v>
      </c>
    </row>
    <row r="22925" spans="2:9" ht="15" customHeight="1" x14ac:dyDescent="0.25">
      <c r="B22925" s="55" t="s">
        <v>283</v>
      </c>
      <c r="C22925" s="46">
        <v>2913</v>
      </c>
      <c r="D22925" s="69" t="s">
        <v>29420</v>
      </c>
      <c r="E22925" s="51"/>
      <c r="F22925" s="114" t="str">
        <f>IF(INDEX(I.Facility.P4IDNumber,2913)="","",INDEX(I.Facility.P4IDNumber,2913))</f>
        <v/>
      </c>
      <c r="G22925" s="51"/>
      <c r="H22925" s="46" t="str">
        <f>IF(AND(I.Developer.P4=TRUE,I.Facility.P4FacilityCount&gt;=2913,F22925=""),"Incomplete","Complete")</f>
        <v>Complete</v>
      </c>
      <c r="I22925" s="48" t="s">
        <v>27290</v>
      </c>
    </row>
    <row r="22926" spans="2:9" ht="15" customHeight="1" x14ac:dyDescent="0.25">
      <c r="B22926" s="55" t="s">
        <v>283</v>
      </c>
      <c r="C22926" s="46">
        <v>2914</v>
      </c>
      <c r="D22926" s="69" t="s">
        <v>29420</v>
      </c>
      <c r="E22926" s="51"/>
      <c r="F22926" s="114" t="str">
        <f>IF(INDEX(I.Facility.P4IDNumber,2914)="","",INDEX(I.Facility.P4IDNumber,2914))</f>
        <v/>
      </c>
      <c r="G22926" s="51"/>
      <c r="H22926" s="46" t="str">
        <f>IF(AND(I.Developer.P4=TRUE,I.Facility.P4FacilityCount&gt;=2914,F22926=""),"Incomplete","Complete")</f>
        <v>Complete</v>
      </c>
      <c r="I22926" s="48" t="s">
        <v>27291</v>
      </c>
    </row>
    <row r="22927" spans="2:9" ht="15" customHeight="1" x14ac:dyDescent="0.25">
      <c r="B22927" s="55" t="s">
        <v>283</v>
      </c>
      <c r="C22927" s="46">
        <v>2915</v>
      </c>
      <c r="D22927" s="69" t="s">
        <v>29420</v>
      </c>
      <c r="E22927" s="51"/>
      <c r="F22927" s="114" t="str">
        <f>IF(INDEX(I.Facility.P4IDNumber,2915)="","",INDEX(I.Facility.P4IDNumber,2915))</f>
        <v/>
      </c>
      <c r="G22927" s="51"/>
      <c r="H22927" s="46" t="str">
        <f>IF(AND(I.Developer.P4=TRUE,I.Facility.P4FacilityCount&gt;=2915,F22927=""),"Incomplete","Complete")</f>
        <v>Complete</v>
      </c>
      <c r="I22927" s="48" t="s">
        <v>27292</v>
      </c>
    </row>
    <row r="22928" spans="2:9" ht="15" customHeight="1" x14ac:dyDescent="0.25">
      <c r="B22928" s="55" t="s">
        <v>283</v>
      </c>
      <c r="C22928" s="46">
        <v>2916</v>
      </c>
      <c r="D22928" s="69" t="s">
        <v>29420</v>
      </c>
      <c r="E22928" s="51"/>
      <c r="F22928" s="114" t="str">
        <f>IF(INDEX(I.Facility.P4IDNumber,2916)="","",INDEX(I.Facility.P4IDNumber,2916))</f>
        <v/>
      </c>
      <c r="G22928" s="51"/>
      <c r="H22928" s="46" t="str">
        <f>IF(AND(I.Developer.P4=TRUE,I.Facility.P4FacilityCount&gt;=2916,F22928=""),"Incomplete","Complete")</f>
        <v>Complete</v>
      </c>
      <c r="I22928" s="48" t="s">
        <v>27293</v>
      </c>
    </row>
    <row r="22929" spans="2:9" ht="15" customHeight="1" x14ac:dyDescent="0.25">
      <c r="B22929" s="55" t="s">
        <v>283</v>
      </c>
      <c r="C22929" s="46">
        <v>2917</v>
      </c>
      <c r="D22929" s="69" t="s">
        <v>29420</v>
      </c>
      <c r="E22929" s="51"/>
      <c r="F22929" s="114" t="str">
        <f>IF(INDEX(I.Facility.P4IDNumber,2917)="","",INDEX(I.Facility.P4IDNumber,2917))</f>
        <v/>
      </c>
      <c r="G22929" s="51"/>
      <c r="H22929" s="46" t="str">
        <f>IF(AND(I.Developer.P4=TRUE,I.Facility.P4FacilityCount&gt;=2917,F22929=""),"Incomplete","Complete")</f>
        <v>Complete</v>
      </c>
      <c r="I22929" s="48" t="s">
        <v>27294</v>
      </c>
    </row>
    <row r="22930" spans="2:9" ht="15" customHeight="1" x14ac:dyDescent="0.25">
      <c r="B22930" s="55" t="s">
        <v>283</v>
      </c>
      <c r="C22930" s="46">
        <v>2918</v>
      </c>
      <c r="D22930" s="69" t="s">
        <v>29420</v>
      </c>
      <c r="E22930" s="51"/>
      <c r="F22930" s="114" t="str">
        <f>IF(INDEX(I.Facility.P4IDNumber,2918)="","",INDEX(I.Facility.P4IDNumber,2918))</f>
        <v/>
      </c>
      <c r="G22930" s="51"/>
      <c r="H22930" s="46" t="str">
        <f>IF(AND(I.Developer.P4=TRUE,I.Facility.P4FacilityCount&gt;=2918,F22930=""),"Incomplete","Complete")</f>
        <v>Complete</v>
      </c>
      <c r="I22930" s="48" t="s">
        <v>27295</v>
      </c>
    </row>
    <row r="22931" spans="2:9" ht="15" customHeight="1" x14ac:dyDescent="0.25">
      <c r="B22931" s="55" t="s">
        <v>283</v>
      </c>
      <c r="C22931" s="46">
        <v>2919</v>
      </c>
      <c r="D22931" s="69" t="s">
        <v>29420</v>
      </c>
      <c r="E22931" s="51"/>
      <c r="F22931" s="114" t="str">
        <f>IF(INDEX(I.Facility.P4IDNumber,2919)="","",INDEX(I.Facility.P4IDNumber,2919))</f>
        <v/>
      </c>
      <c r="G22931" s="51"/>
      <c r="H22931" s="46" t="str">
        <f>IF(AND(I.Developer.P4=TRUE,I.Facility.P4FacilityCount&gt;=2919,F22931=""),"Incomplete","Complete")</f>
        <v>Complete</v>
      </c>
      <c r="I22931" s="48" t="s">
        <v>27296</v>
      </c>
    </row>
    <row r="22932" spans="2:9" ht="15" customHeight="1" x14ac:dyDescent="0.25">
      <c r="B22932" s="55" t="s">
        <v>283</v>
      </c>
      <c r="C22932" s="46">
        <v>2920</v>
      </c>
      <c r="D22932" s="69" t="s">
        <v>29420</v>
      </c>
      <c r="E22932" s="51"/>
      <c r="F22932" s="114" t="str">
        <f>IF(INDEX(I.Facility.P4IDNumber,2920)="","",INDEX(I.Facility.P4IDNumber,2920))</f>
        <v/>
      </c>
      <c r="G22932" s="51"/>
      <c r="H22932" s="46" t="str">
        <f>IF(AND(I.Developer.P4=TRUE,I.Facility.P4FacilityCount&gt;=2920,F22932=""),"Incomplete","Complete")</f>
        <v>Complete</v>
      </c>
      <c r="I22932" s="48" t="s">
        <v>27297</v>
      </c>
    </row>
    <row r="22933" spans="2:9" ht="15" customHeight="1" x14ac:dyDescent="0.25">
      <c r="B22933" s="55" t="s">
        <v>283</v>
      </c>
      <c r="C22933" s="46">
        <v>2921</v>
      </c>
      <c r="D22933" s="69" t="s">
        <v>29420</v>
      </c>
      <c r="E22933" s="51"/>
      <c r="F22933" s="114" t="str">
        <f>IF(INDEX(I.Facility.P4IDNumber,2921)="","",INDEX(I.Facility.P4IDNumber,2921))</f>
        <v/>
      </c>
      <c r="G22933" s="51"/>
      <c r="H22933" s="46" t="str">
        <f>IF(AND(I.Developer.P4=TRUE,I.Facility.P4FacilityCount&gt;=2921,F22933=""),"Incomplete","Complete")</f>
        <v>Complete</v>
      </c>
      <c r="I22933" s="48" t="s">
        <v>27298</v>
      </c>
    </row>
    <row r="22934" spans="2:9" ht="15" customHeight="1" x14ac:dyDescent="0.25">
      <c r="B22934" s="55" t="s">
        <v>283</v>
      </c>
      <c r="C22934" s="46">
        <v>2922</v>
      </c>
      <c r="D22934" s="69" t="s">
        <v>29420</v>
      </c>
      <c r="E22934" s="51"/>
      <c r="F22934" s="114" t="str">
        <f>IF(INDEX(I.Facility.P4IDNumber,2922)="","",INDEX(I.Facility.P4IDNumber,2922))</f>
        <v/>
      </c>
      <c r="G22934" s="51"/>
      <c r="H22934" s="46" t="str">
        <f>IF(AND(I.Developer.P4=TRUE,I.Facility.P4FacilityCount&gt;=2922,F22934=""),"Incomplete","Complete")</f>
        <v>Complete</v>
      </c>
      <c r="I22934" s="48" t="s">
        <v>27299</v>
      </c>
    </row>
    <row r="22935" spans="2:9" ht="15" customHeight="1" x14ac:dyDescent="0.25">
      <c r="B22935" s="55" t="s">
        <v>283</v>
      </c>
      <c r="C22935" s="46">
        <v>2923</v>
      </c>
      <c r="D22935" s="69" t="s">
        <v>29420</v>
      </c>
      <c r="E22935" s="51"/>
      <c r="F22935" s="114" t="str">
        <f>IF(INDEX(I.Facility.P4IDNumber,2923)="","",INDEX(I.Facility.P4IDNumber,2923))</f>
        <v/>
      </c>
      <c r="G22935" s="51"/>
      <c r="H22935" s="46" t="str">
        <f>IF(AND(I.Developer.P4=TRUE,I.Facility.P4FacilityCount&gt;=2923,F22935=""),"Incomplete","Complete")</f>
        <v>Complete</v>
      </c>
      <c r="I22935" s="48" t="s">
        <v>27300</v>
      </c>
    </row>
    <row r="22936" spans="2:9" ht="15" customHeight="1" x14ac:dyDescent="0.25">
      <c r="B22936" s="55" t="s">
        <v>283</v>
      </c>
      <c r="C22936" s="46">
        <v>2924</v>
      </c>
      <c r="D22936" s="69" t="s">
        <v>29420</v>
      </c>
      <c r="E22936" s="51"/>
      <c r="F22936" s="114" t="str">
        <f>IF(INDEX(I.Facility.P4IDNumber,2924)="","",INDEX(I.Facility.P4IDNumber,2924))</f>
        <v/>
      </c>
      <c r="G22936" s="51"/>
      <c r="H22936" s="46" t="str">
        <f>IF(AND(I.Developer.P4=TRUE,I.Facility.P4FacilityCount&gt;=2924,F22936=""),"Incomplete","Complete")</f>
        <v>Complete</v>
      </c>
      <c r="I22936" s="48" t="s">
        <v>27301</v>
      </c>
    </row>
    <row r="22937" spans="2:9" ht="15" customHeight="1" x14ac:dyDescent="0.25">
      <c r="B22937" s="55" t="s">
        <v>283</v>
      </c>
      <c r="C22937" s="46">
        <v>2925</v>
      </c>
      <c r="D22937" s="69" t="s">
        <v>29420</v>
      </c>
      <c r="E22937" s="51"/>
      <c r="F22937" s="114" t="str">
        <f>IF(INDEX(I.Facility.P4IDNumber,2925)="","",INDEX(I.Facility.P4IDNumber,2925))</f>
        <v/>
      </c>
      <c r="G22937" s="51"/>
      <c r="H22937" s="46" t="str">
        <f>IF(AND(I.Developer.P4=TRUE,I.Facility.P4FacilityCount&gt;=2925,F22937=""),"Incomplete","Complete")</f>
        <v>Complete</v>
      </c>
      <c r="I22937" s="48" t="s">
        <v>27302</v>
      </c>
    </row>
    <row r="22938" spans="2:9" ht="15" customHeight="1" x14ac:dyDescent="0.25">
      <c r="B22938" s="55" t="s">
        <v>283</v>
      </c>
      <c r="C22938" s="46">
        <v>2926</v>
      </c>
      <c r="D22938" s="69" t="s">
        <v>29420</v>
      </c>
      <c r="E22938" s="51"/>
      <c r="F22938" s="114" t="str">
        <f>IF(INDEX(I.Facility.P4IDNumber,2926)="","",INDEX(I.Facility.P4IDNumber,2926))</f>
        <v/>
      </c>
      <c r="G22938" s="51"/>
      <c r="H22938" s="46" t="str">
        <f>IF(AND(I.Developer.P4=TRUE,I.Facility.P4FacilityCount&gt;=2926,F22938=""),"Incomplete","Complete")</f>
        <v>Complete</v>
      </c>
      <c r="I22938" s="48" t="s">
        <v>27303</v>
      </c>
    </row>
    <row r="22939" spans="2:9" ht="15" customHeight="1" x14ac:dyDescent="0.25">
      <c r="B22939" s="55" t="s">
        <v>283</v>
      </c>
      <c r="C22939" s="46">
        <v>2927</v>
      </c>
      <c r="D22939" s="69" t="s">
        <v>29420</v>
      </c>
      <c r="E22939" s="51"/>
      <c r="F22939" s="114" t="str">
        <f>IF(INDEX(I.Facility.P4IDNumber,2927)="","",INDEX(I.Facility.P4IDNumber,2927))</f>
        <v/>
      </c>
      <c r="G22939" s="51"/>
      <c r="H22939" s="46" t="str">
        <f>IF(AND(I.Developer.P4=TRUE,I.Facility.P4FacilityCount&gt;=2927,F22939=""),"Incomplete","Complete")</f>
        <v>Complete</v>
      </c>
      <c r="I22939" s="48" t="s">
        <v>27304</v>
      </c>
    </row>
    <row r="22940" spans="2:9" ht="15" customHeight="1" x14ac:dyDescent="0.25">
      <c r="B22940" s="55" t="s">
        <v>283</v>
      </c>
      <c r="C22940" s="46">
        <v>2928</v>
      </c>
      <c r="D22940" s="69" t="s">
        <v>29420</v>
      </c>
      <c r="E22940" s="51"/>
      <c r="F22940" s="114" t="str">
        <f>IF(INDEX(I.Facility.P4IDNumber,2928)="","",INDEX(I.Facility.P4IDNumber,2928))</f>
        <v/>
      </c>
      <c r="G22940" s="51"/>
      <c r="H22940" s="46" t="str">
        <f>IF(AND(I.Developer.P4=TRUE,I.Facility.P4FacilityCount&gt;=2928,F22940=""),"Incomplete","Complete")</f>
        <v>Complete</v>
      </c>
      <c r="I22940" s="48" t="s">
        <v>27305</v>
      </c>
    </row>
    <row r="22941" spans="2:9" ht="15" customHeight="1" x14ac:dyDescent="0.25">
      <c r="B22941" s="55" t="s">
        <v>283</v>
      </c>
      <c r="C22941" s="46">
        <v>2929</v>
      </c>
      <c r="D22941" s="69" t="s">
        <v>29420</v>
      </c>
      <c r="E22941" s="51"/>
      <c r="F22941" s="114" t="str">
        <f>IF(INDEX(I.Facility.P4IDNumber,2929)="","",INDEX(I.Facility.P4IDNumber,2929))</f>
        <v/>
      </c>
      <c r="G22941" s="51"/>
      <c r="H22941" s="46" t="str">
        <f>IF(AND(I.Developer.P4=TRUE,I.Facility.P4FacilityCount&gt;=2929,F22941=""),"Incomplete","Complete")</f>
        <v>Complete</v>
      </c>
      <c r="I22941" s="48" t="s">
        <v>27306</v>
      </c>
    </row>
    <row r="22942" spans="2:9" ht="15" customHeight="1" x14ac:dyDescent="0.25">
      <c r="B22942" s="55" t="s">
        <v>283</v>
      </c>
      <c r="C22942" s="46">
        <v>2930</v>
      </c>
      <c r="D22942" s="69" t="s">
        <v>29420</v>
      </c>
      <c r="E22942" s="51"/>
      <c r="F22942" s="114" t="str">
        <f>IF(INDEX(I.Facility.P4IDNumber,2930)="","",INDEX(I.Facility.P4IDNumber,2930))</f>
        <v/>
      </c>
      <c r="G22942" s="51"/>
      <c r="H22942" s="46" t="str">
        <f>IF(AND(I.Developer.P4=TRUE,I.Facility.P4FacilityCount&gt;=2930,F22942=""),"Incomplete","Complete")</f>
        <v>Complete</v>
      </c>
      <c r="I22942" s="48" t="s">
        <v>27307</v>
      </c>
    </row>
    <row r="22943" spans="2:9" ht="15" customHeight="1" x14ac:dyDescent="0.25">
      <c r="B22943" s="55" t="s">
        <v>283</v>
      </c>
      <c r="C22943" s="46">
        <v>2931</v>
      </c>
      <c r="D22943" s="69" t="s">
        <v>29420</v>
      </c>
      <c r="E22943" s="51"/>
      <c r="F22943" s="114" t="str">
        <f>IF(INDEX(I.Facility.P4IDNumber,2931)="","",INDEX(I.Facility.P4IDNumber,2931))</f>
        <v/>
      </c>
      <c r="G22943" s="51"/>
      <c r="H22943" s="46" t="str">
        <f>IF(AND(I.Developer.P4=TRUE,I.Facility.P4FacilityCount&gt;=2931,F22943=""),"Incomplete","Complete")</f>
        <v>Complete</v>
      </c>
      <c r="I22943" s="48" t="s">
        <v>27308</v>
      </c>
    </row>
    <row r="22944" spans="2:9" ht="15" customHeight="1" x14ac:dyDescent="0.25">
      <c r="B22944" s="55" t="s">
        <v>283</v>
      </c>
      <c r="C22944" s="46">
        <v>2932</v>
      </c>
      <c r="D22944" s="69" t="s">
        <v>29420</v>
      </c>
      <c r="E22944" s="51"/>
      <c r="F22944" s="114" t="str">
        <f>IF(INDEX(I.Facility.P4IDNumber,2932)="","",INDEX(I.Facility.P4IDNumber,2932))</f>
        <v/>
      </c>
      <c r="G22944" s="51"/>
      <c r="H22944" s="46" t="str">
        <f>IF(AND(I.Developer.P4=TRUE,I.Facility.P4FacilityCount&gt;=2932,F22944=""),"Incomplete","Complete")</f>
        <v>Complete</v>
      </c>
      <c r="I22944" s="48" t="s">
        <v>27309</v>
      </c>
    </row>
    <row r="22945" spans="2:9" ht="15" customHeight="1" x14ac:dyDescent="0.25">
      <c r="B22945" s="55" t="s">
        <v>283</v>
      </c>
      <c r="C22945" s="46">
        <v>2933</v>
      </c>
      <c r="D22945" s="69" t="s">
        <v>29420</v>
      </c>
      <c r="E22945" s="51"/>
      <c r="F22945" s="114" t="str">
        <f>IF(INDEX(I.Facility.P4IDNumber,2933)="","",INDEX(I.Facility.P4IDNumber,2933))</f>
        <v/>
      </c>
      <c r="G22945" s="51"/>
      <c r="H22945" s="46" t="str">
        <f>IF(AND(I.Developer.P4=TRUE,I.Facility.P4FacilityCount&gt;=2933,F22945=""),"Incomplete","Complete")</f>
        <v>Complete</v>
      </c>
      <c r="I22945" s="48" t="s">
        <v>27310</v>
      </c>
    </row>
    <row r="22946" spans="2:9" ht="15" customHeight="1" x14ac:dyDescent="0.25">
      <c r="B22946" s="55" t="s">
        <v>283</v>
      </c>
      <c r="C22946" s="46">
        <v>2934</v>
      </c>
      <c r="D22946" s="69" t="s">
        <v>29420</v>
      </c>
      <c r="E22946" s="51"/>
      <c r="F22946" s="114" t="str">
        <f>IF(INDEX(I.Facility.P4IDNumber,2934)="","",INDEX(I.Facility.P4IDNumber,2934))</f>
        <v/>
      </c>
      <c r="G22946" s="51"/>
      <c r="H22946" s="46" t="str">
        <f>IF(AND(I.Developer.P4=TRUE,I.Facility.P4FacilityCount&gt;=2934,F22946=""),"Incomplete","Complete")</f>
        <v>Complete</v>
      </c>
      <c r="I22946" s="48" t="s">
        <v>27311</v>
      </c>
    </row>
    <row r="22947" spans="2:9" ht="15" customHeight="1" x14ac:dyDescent="0.25">
      <c r="B22947" s="55" t="s">
        <v>283</v>
      </c>
      <c r="C22947" s="46">
        <v>2935</v>
      </c>
      <c r="D22947" s="69" t="s">
        <v>29420</v>
      </c>
      <c r="E22947" s="51"/>
      <c r="F22947" s="114" t="str">
        <f>IF(INDEX(I.Facility.P4IDNumber,2935)="","",INDEX(I.Facility.P4IDNumber,2935))</f>
        <v/>
      </c>
      <c r="G22947" s="51"/>
      <c r="H22947" s="46" t="str">
        <f>IF(AND(I.Developer.P4=TRUE,I.Facility.P4FacilityCount&gt;=2935,F22947=""),"Incomplete","Complete")</f>
        <v>Complete</v>
      </c>
      <c r="I22947" s="48" t="s">
        <v>27312</v>
      </c>
    </row>
    <row r="22948" spans="2:9" ht="15" customHeight="1" x14ac:dyDescent="0.25">
      <c r="B22948" s="55" t="s">
        <v>283</v>
      </c>
      <c r="C22948" s="46">
        <v>2936</v>
      </c>
      <c r="D22948" s="69" t="s">
        <v>29420</v>
      </c>
      <c r="E22948" s="51"/>
      <c r="F22948" s="114" t="str">
        <f>IF(INDEX(I.Facility.P4IDNumber,2936)="","",INDEX(I.Facility.P4IDNumber,2936))</f>
        <v/>
      </c>
      <c r="G22948" s="51"/>
      <c r="H22948" s="46" t="str">
        <f>IF(AND(I.Developer.P4=TRUE,I.Facility.P4FacilityCount&gt;=2936,F22948=""),"Incomplete","Complete")</f>
        <v>Complete</v>
      </c>
      <c r="I22948" s="48" t="s">
        <v>27313</v>
      </c>
    </row>
    <row r="22949" spans="2:9" ht="15" customHeight="1" x14ac:dyDescent="0.25">
      <c r="B22949" s="55" t="s">
        <v>283</v>
      </c>
      <c r="C22949" s="46">
        <v>2937</v>
      </c>
      <c r="D22949" s="69" t="s">
        <v>29420</v>
      </c>
      <c r="E22949" s="51"/>
      <c r="F22949" s="114" t="str">
        <f>IF(INDEX(I.Facility.P4IDNumber,2937)="","",INDEX(I.Facility.P4IDNumber,2937))</f>
        <v/>
      </c>
      <c r="G22949" s="51"/>
      <c r="H22949" s="46" t="str">
        <f>IF(AND(I.Developer.P4=TRUE,I.Facility.P4FacilityCount&gt;=2937,F22949=""),"Incomplete","Complete")</f>
        <v>Complete</v>
      </c>
      <c r="I22949" s="48" t="s">
        <v>27314</v>
      </c>
    </row>
    <row r="22950" spans="2:9" ht="15" customHeight="1" x14ac:dyDescent="0.25">
      <c r="B22950" s="55" t="s">
        <v>283</v>
      </c>
      <c r="C22950" s="46">
        <v>2938</v>
      </c>
      <c r="D22950" s="69" t="s">
        <v>29420</v>
      </c>
      <c r="E22950" s="51"/>
      <c r="F22950" s="114" t="str">
        <f>IF(INDEX(I.Facility.P4IDNumber,2938)="","",INDEX(I.Facility.P4IDNumber,2938))</f>
        <v/>
      </c>
      <c r="G22950" s="51"/>
      <c r="H22950" s="46" t="str">
        <f>IF(AND(I.Developer.P4=TRUE,I.Facility.P4FacilityCount&gt;=2938,F22950=""),"Incomplete","Complete")</f>
        <v>Complete</v>
      </c>
      <c r="I22950" s="48" t="s">
        <v>27315</v>
      </c>
    </row>
    <row r="22951" spans="2:9" ht="15" customHeight="1" x14ac:dyDescent="0.25">
      <c r="B22951" s="55" t="s">
        <v>283</v>
      </c>
      <c r="C22951" s="46">
        <v>2939</v>
      </c>
      <c r="D22951" s="69" t="s">
        <v>29420</v>
      </c>
      <c r="E22951" s="51"/>
      <c r="F22951" s="114" t="str">
        <f>IF(INDEX(I.Facility.P4IDNumber,2939)="","",INDEX(I.Facility.P4IDNumber,2939))</f>
        <v/>
      </c>
      <c r="G22951" s="51"/>
      <c r="H22951" s="46" t="str">
        <f>IF(AND(I.Developer.P4=TRUE,I.Facility.P4FacilityCount&gt;=2939,F22951=""),"Incomplete","Complete")</f>
        <v>Complete</v>
      </c>
      <c r="I22951" s="48" t="s">
        <v>27316</v>
      </c>
    </row>
    <row r="22952" spans="2:9" ht="15" customHeight="1" x14ac:dyDescent="0.25">
      <c r="B22952" s="55" t="s">
        <v>283</v>
      </c>
      <c r="C22952" s="46">
        <v>2940</v>
      </c>
      <c r="D22952" s="69" t="s">
        <v>29420</v>
      </c>
      <c r="E22952" s="51"/>
      <c r="F22952" s="114" t="str">
        <f>IF(INDEX(I.Facility.P4IDNumber,2940)="","",INDEX(I.Facility.P4IDNumber,2940))</f>
        <v/>
      </c>
      <c r="G22952" s="51"/>
      <c r="H22952" s="46" t="str">
        <f>IF(AND(I.Developer.P4=TRUE,I.Facility.P4FacilityCount&gt;=2940,F22952=""),"Incomplete","Complete")</f>
        <v>Complete</v>
      </c>
      <c r="I22952" s="48" t="s">
        <v>27317</v>
      </c>
    </row>
    <row r="22953" spans="2:9" ht="15" customHeight="1" x14ac:dyDescent="0.25">
      <c r="B22953" s="55" t="s">
        <v>283</v>
      </c>
      <c r="C22953" s="46">
        <v>2941</v>
      </c>
      <c r="D22953" s="69" t="s">
        <v>29420</v>
      </c>
      <c r="E22953" s="51"/>
      <c r="F22953" s="114" t="str">
        <f>IF(INDEX(I.Facility.P4IDNumber,2941)="","",INDEX(I.Facility.P4IDNumber,2941))</f>
        <v/>
      </c>
      <c r="G22953" s="51"/>
      <c r="H22953" s="46" t="str">
        <f>IF(AND(I.Developer.P4=TRUE,I.Facility.P4FacilityCount&gt;=2941,F22953=""),"Incomplete","Complete")</f>
        <v>Complete</v>
      </c>
      <c r="I22953" s="48" t="s">
        <v>27318</v>
      </c>
    </row>
    <row r="22954" spans="2:9" ht="15" customHeight="1" x14ac:dyDescent="0.25">
      <c r="B22954" s="55" t="s">
        <v>283</v>
      </c>
      <c r="C22954" s="46">
        <v>2942</v>
      </c>
      <c r="D22954" s="69" t="s">
        <v>29420</v>
      </c>
      <c r="E22954" s="51"/>
      <c r="F22954" s="114" t="str">
        <f>IF(INDEX(I.Facility.P4IDNumber,2942)="","",INDEX(I.Facility.P4IDNumber,2942))</f>
        <v/>
      </c>
      <c r="G22954" s="51"/>
      <c r="H22954" s="46" t="str">
        <f>IF(AND(I.Developer.P4=TRUE,I.Facility.P4FacilityCount&gt;=2942,F22954=""),"Incomplete","Complete")</f>
        <v>Complete</v>
      </c>
      <c r="I22954" s="48" t="s">
        <v>27319</v>
      </c>
    </row>
    <row r="22955" spans="2:9" ht="15" customHeight="1" x14ac:dyDescent="0.25">
      <c r="B22955" s="55" t="s">
        <v>283</v>
      </c>
      <c r="C22955" s="46">
        <v>2943</v>
      </c>
      <c r="D22955" s="69" t="s">
        <v>29420</v>
      </c>
      <c r="E22955" s="51"/>
      <c r="F22955" s="114" t="str">
        <f>IF(INDEX(I.Facility.P4IDNumber,2943)="","",INDEX(I.Facility.P4IDNumber,2943))</f>
        <v/>
      </c>
      <c r="G22955" s="51"/>
      <c r="H22955" s="46" t="str">
        <f>IF(AND(I.Developer.P4=TRUE,I.Facility.P4FacilityCount&gt;=2943,F22955=""),"Incomplete","Complete")</f>
        <v>Complete</v>
      </c>
      <c r="I22955" s="48" t="s">
        <v>27320</v>
      </c>
    </row>
    <row r="22956" spans="2:9" ht="15" customHeight="1" x14ac:dyDescent="0.25">
      <c r="B22956" s="55" t="s">
        <v>283</v>
      </c>
      <c r="C22956" s="46">
        <v>2944</v>
      </c>
      <c r="D22956" s="69" t="s">
        <v>29420</v>
      </c>
      <c r="E22956" s="51"/>
      <c r="F22956" s="114" t="str">
        <f>IF(INDEX(I.Facility.P4IDNumber,2944)="","",INDEX(I.Facility.P4IDNumber,2944))</f>
        <v/>
      </c>
      <c r="G22956" s="51"/>
      <c r="H22956" s="46" t="str">
        <f>IF(AND(I.Developer.P4=TRUE,I.Facility.P4FacilityCount&gt;=2944,F22956=""),"Incomplete","Complete")</f>
        <v>Complete</v>
      </c>
      <c r="I22956" s="48" t="s">
        <v>27321</v>
      </c>
    </row>
    <row r="22957" spans="2:9" ht="15" customHeight="1" x14ac:dyDescent="0.25">
      <c r="B22957" s="55" t="s">
        <v>283</v>
      </c>
      <c r="C22957" s="46">
        <v>2945</v>
      </c>
      <c r="D22957" s="69" t="s">
        <v>29420</v>
      </c>
      <c r="E22957" s="51"/>
      <c r="F22957" s="114" t="str">
        <f>IF(INDEX(I.Facility.P4IDNumber,2945)="","",INDEX(I.Facility.P4IDNumber,2945))</f>
        <v/>
      </c>
      <c r="G22957" s="51"/>
      <c r="H22957" s="46" t="str">
        <f>IF(AND(I.Developer.P4=TRUE,I.Facility.P4FacilityCount&gt;=2945,F22957=""),"Incomplete","Complete")</f>
        <v>Complete</v>
      </c>
      <c r="I22957" s="48" t="s">
        <v>27322</v>
      </c>
    </row>
    <row r="22958" spans="2:9" ht="15" customHeight="1" x14ac:dyDescent="0.25">
      <c r="B22958" s="55" t="s">
        <v>283</v>
      </c>
      <c r="C22958" s="46">
        <v>2946</v>
      </c>
      <c r="D22958" s="69" t="s">
        <v>29420</v>
      </c>
      <c r="E22958" s="51"/>
      <c r="F22958" s="114" t="str">
        <f>IF(INDEX(I.Facility.P4IDNumber,2946)="","",INDEX(I.Facility.P4IDNumber,2946))</f>
        <v/>
      </c>
      <c r="G22958" s="51"/>
      <c r="H22958" s="46" t="str">
        <f>IF(AND(I.Developer.P4=TRUE,I.Facility.P4FacilityCount&gt;=2946,F22958=""),"Incomplete","Complete")</f>
        <v>Complete</v>
      </c>
      <c r="I22958" s="48" t="s">
        <v>27323</v>
      </c>
    </row>
    <row r="22959" spans="2:9" ht="15" customHeight="1" x14ac:dyDescent="0.25">
      <c r="B22959" s="55" t="s">
        <v>283</v>
      </c>
      <c r="C22959" s="46">
        <v>2947</v>
      </c>
      <c r="D22959" s="69" t="s">
        <v>29420</v>
      </c>
      <c r="E22959" s="51"/>
      <c r="F22959" s="114" t="str">
        <f>IF(INDEX(I.Facility.P4IDNumber,2947)="","",INDEX(I.Facility.P4IDNumber,2947))</f>
        <v/>
      </c>
      <c r="G22959" s="51"/>
      <c r="H22959" s="46" t="str">
        <f>IF(AND(I.Developer.P4=TRUE,I.Facility.P4FacilityCount&gt;=2947,F22959=""),"Incomplete","Complete")</f>
        <v>Complete</v>
      </c>
      <c r="I22959" s="48" t="s">
        <v>27324</v>
      </c>
    </row>
    <row r="22960" spans="2:9" ht="15" customHeight="1" x14ac:dyDescent="0.25">
      <c r="B22960" s="55" t="s">
        <v>283</v>
      </c>
      <c r="C22960" s="46">
        <v>2948</v>
      </c>
      <c r="D22960" s="69" t="s">
        <v>29420</v>
      </c>
      <c r="E22960" s="51"/>
      <c r="F22960" s="114" t="str">
        <f>IF(INDEX(I.Facility.P4IDNumber,2948)="","",INDEX(I.Facility.P4IDNumber,2948))</f>
        <v/>
      </c>
      <c r="G22960" s="51"/>
      <c r="H22960" s="46" t="str">
        <f>IF(AND(I.Developer.P4=TRUE,I.Facility.P4FacilityCount&gt;=2948,F22960=""),"Incomplete","Complete")</f>
        <v>Complete</v>
      </c>
      <c r="I22960" s="48" t="s">
        <v>27325</v>
      </c>
    </row>
    <row r="22961" spans="2:9" ht="15" customHeight="1" x14ac:dyDescent="0.25">
      <c r="B22961" s="55" t="s">
        <v>283</v>
      </c>
      <c r="C22961" s="46">
        <v>2949</v>
      </c>
      <c r="D22961" s="69" t="s">
        <v>29420</v>
      </c>
      <c r="E22961" s="51"/>
      <c r="F22961" s="114" t="str">
        <f>IF(INDEX(I.Facility.P4IDNumber,2949)="","",INDEX(I.Facility.P4IDNumber,2949))</f>
        <v/>
      </c>
      <c r="G22961" s="51"/>
      <c r="H22961" s="46" t="str">
        <f>IF(AND(I.Developer.P4=TRUE,I.Facility.P4FacilityCount&gt;=2949,F22961=""),"Incomplete","Complete")</f>
        <v>Complete</v>
      </c>
      <c r="I22961" s="48" t="s">
        <v>27326</v>
      </c>
    </row>
    <row r="22962" spans="2:9" ht="15" customHeight="1" x14ac:dyDescent="0.25">
      <c r="B22962" s="55" t="s">
        <v>283</v>
      </c>
      <c r="C22962" s="46">
        <v>2950</v>
      </c>
      <c r="D22962" s="69" t="s">
        <v>29420</v>
      </c>
      <c r="E22962" s="51"/>
      <c r="F22962" s="114" t="str">
        <f>IF(INDEX(I.Facility.P4IDNumber,2950)="","",INDEX(I.Facility.P4IDNumber,2950))</f>
        <v/>
      </c>
      <c r="G22962" s="51"/>
      <c r="H22962" s="46" t="str">
        <f>IF(AND(I.Developer.P4=TRUE,I.Facility.P4FacilityCount&gt;=2950,F22962=""),"Incomplete","Complete")</f>
        <v>Complete</v>
      </c>
      <c r="I22962" s="48" t="s">
        <v>27327</v>
      </c>
    </row>
    <row r="22963" spans="2:9" ht="15" customHeight="1" x14ac:dyDescent="0.25">
      <c r="B22963" s="55" t="s">
        <v>283</v>
      </c>
      <c r="C22963" s="46">
        <v>2951</v>
      </c>
      <c r="D22963" s="69" t="s">
        <v>29420</v>
      </c>
      <c r="E22963" s="51"/>
      <c r="F22963" s="114" t="str">
        <f>IF(INDEX(I.Facility.P4IDNumber,2951)="","",INDEX(I.Facility.P4IDNumber,2951))</f>
        <v/>
      </c>
      <c r="G22963" s="51"/>
      <c r="H22963" s="46" t="str">
        <f>IF(AND(I.Developer.P4=TRUE,I.Facility.P4FacilityCount&gt;=2951,F22963=""),"Incomplete","Complete")</f>
        <v>Complete</v>
      </c>
      <c r="I22963" s="48" t="s">
        <v>27328</v>
      </c>
    </row>
    <row r="22964" spans="2:9" ht="15" customHeight="1" x14ac:dyDescent="0.25">
      <c r="B22964" s="55" t="s">
        <v>283</v>
      </c>
      <c r="C22964" s="46">
        <v>2952</v>
      </c>
      <c r="D22964" s="69" t="s">
        <v>29420</v>
      </c>
      <c r="E22964" s="51"/>
      <c r="F22964" s="114" t="str">
        <f>IF(INDEX(I.Facility.P4IDNumber,2952)="","",INDEX(I.Facility.P4IDNumber,2952))</f>
        <v/>
      </c>
      <c r="G22964" s="51"/>
      <c r="H22964" s="46" t="str">
        <f>IF(AND(I.Developer.P4=TRUE,I.Facility.P4FacilityCount&gt;=2952,F22964=""),"Incomplete","Complete")</f>
        <v>Complete</v>
      </c>
      <c r="I22964" s="48" t="s">
        <v>27329</v>
      </c>
    </row>
    <row r="22965" spans="2:9" ht="15" customHeight="1" x14ac:dyDescent="0.25">
      <c r="B22965" s="55" t="s">
        <v>283</v>
      </c>
      <c r="C22965" s="46">
        <v>2953</v>
      </c>
      <c r="D22965" s="69" t="s">
        <v>29420</v>
      </c>
      <c r="E22965" s="51"/>
      <c r="F22965" s="114" t="str">
        <f>IF(INDEX(I.Facility.P4IDNumber,2953)="","",INDEX(I.Facility.P4IDNumber,2953))</f>
        <v/>
      </c>
      <c r="G22965" s="51"/>
      <c r="H22965" s="46" t="str">
        <f>IF(AND(I.Developer.P4=TRUE,I.Facility.P4FacilityCount&gt;=2953,F22965=""),"Incomplete","Complete")</f>
        <v>Complete</v>
      </c>
      <c r="I22965" s="48" t="s">
        <v>27330</v>
      </c>
    </row>
    <row r="22966" spans="2:9" ht="15" customHeight="1" x14ac:dyDescent="0.25">
      <c r="B22966" s="55" t="s">
        <v>283</v>
      </c>
      <c r="C22966" s="46">
        <v>2954</v>
      </c>
      <c r="D22966" s="69" t="s">
        <v>29420</v>
      </c>
      <c r="E22966" s="51"/>
      <c r="F22966" s="114" t="str">
        <f>IF(INDEX(I.Facility.P4IDNumber,2954)="","",INDEX(I.Facility.P4IDNumber,2954))</f>
        <v/>
      </c>
      <c r="G22966" s="51"/>
      <c r="H22966" s="46" t="str">
        <f>IF(AND(I.Developer.P4=TRUE,I.Facility.P4FacilityCount&gt;=2954,F22966=""),"Incomplete","Complete")</f>
        <v>Complete</v>
      </c>
      <c r="I22966" s="48" t="s">
        <v>27331</v>
      </c>
    </row>
    <row r="22967" spans="2:9" ht="15" customHeight="1" x14ac:dyDescent="0.25">
      <c r="B22967" s="55" t="s">
        <v>283</v>
      </c>
      <c r="C22967" s="46">
        <v>2955</v>
      </c>
      <c r="D22967" s="69" t="s">
        <v>29420</v>
      </c>
      <c r="E22967" s="51"/>
      <c r="F22967" s="114" t="str">
        <f>IF(INDEX(I.Facility.P4IDNumber,2955)="","",INDEX(I.Facility.P4IDNumber,2955))</f>
        <v/>
      </c>
      <c r="G22967" s="51"/>
      <c r="H22967" s="46" t="str">
        <f>IF(AND(I.Developer.P4=TRUE,I.Facility.P4FacilityCount&gt;=2955,F22967=""),"Incomplete","Complete")</f>
        <v>Complete</v>
      </c>
      <c r="I22967" s="48" t="s">
        <v>27332</v>
      </c>
    </row>
    <row r="22968" spans="2:9" ht="15" customHeight="1" x14ac:dyDescent="0.25">
      <c r="B22968" s="55" t="s">
        <v>283</v>
      </c>
      <c r="C22968" s="46">
        <v>2956</v>
      </c>
      <c r="D22968" s="69" t="s">
        <v>29420</v>
      </c>
      <c r="E22968" s="51"/>
      <c r="F22968" s="114" t="str">
        <f>IF(INDEX(I.Facility.P4IDNumber,2956)="","",INDEX(I.Facility.P4IDNumber,2956))</f>
        <v/>
      </c>
      <c r="G22968" s="51"/>
      <c r="H22968" s="46" t="str">
        <f>IF(AND(I.Developer.P4=TRUE,I.Facility.P4FacilityCount&gt;=2956,F22968=""),"Incomplete","Complete")</f>
        <v>Complete</v>
      </c>
      <c r="I22968" s="48" t="s">
        <v>27333</v>
      </c>
    </row>
    <row r="22969" spans="2:9" ht="15" customHeight="1" x14ac:dyDescent="0.25">
      <c r="B22969" s="55" t="s">
        <v>283</v>
      </c>
      <c r="C22969" s="46">
        <v>2957</v>
      </c>
      <c r="D22969" s="69" t="s">
        <v>29420</v>
      </c>
      <c r="E22969" s="51"/>
      <c r="F22969" s="114" t="str">
        <f>IF(INDEX(I.Facility.P4IDNumber,2957)="","",INDEX(I.Facility.P4IDNumber,2957))</f>
        <v/>
      </c>
      <c r="G22969" s="51"/>
      <c r="H22969" s="46" t="str">
        <f>IF(AND(I.Developer.P4=TRUE,I.Facility.P4FacilityCount&gt;=2957,F22969=""),"Incomplete","Complete")</f>
        <v>Complete</v>
      </c>
      <c r="I22969" s="48" t="s">
        <v>27334</v>
      </c>
    </row>
    <row r="22970" spans="2:9" ht="15" customHeight="1" x14ac:dyDescent="0.25">
      <c r="B22970" s="55" t="s">
        <v>283</v>
      </c>
      <c r="C22970" s="46">
        <v>2958</v>
      </c>
      <c r="D22970" s="69" t="s">
        <v>29420</v>
      </c>
      <c r="E22970" s="51"/>
      <c r="F22970" s="114" t="str">
        <f>IF(INDEX(I.Facility.P4IDNumber,2958)="","",INDEX(I.Facility.P4IDNumber,2958))</f>
        <v/>
      </c>
      <c r="G22970" s="51"/>
      <c r="H22970" s="46" t="str">
        <f>IF(AND(I.Developer.P4=TRUE,I.Facility.P4FacilityCount&gt;=2958,F22970=""),"Incomplete","Complete")</f>
        <v>Complete</v>
      </c>
      <c r="I22970" s="48" t="s">
        <v>27335</v>
      </c>
    </row>
    <row r="22971" spans="2:9" ht="15" customHeight="1" x14ac:dyDescent="0.25">
      <c r="B22971" s="55" t="s">
        <v>283</v>
      </c>
      <c r="C22971" s="46">
        <v>2959</v>
      </c>
      <c r="D22971" s="69" t="s">
        <v>29420</v>
      </c>
      <c r="E22971" s="51"/>
      <c r="F22971" s="114" t="str">
        <f>IF(INDEX(I.Facility.P4IDNumber,2959)="","",INDEX(I.Facility.P4IDNumber,2959))</f>
        <v/>
      </c>
      <c r="G22971" s="51"/>
      <c r="H22971" s="46" t="str">
        <f>IF(AND(I.Developer.P4=TRUE,I.Facility.P4FacilityCount&gt;=2959,F22971=""),"Incomplete","Complete")</f>
        <v>Complete</v>
      </c>
      <c r="I22971" s="48" t="s">
        <v>27336</v>
      </c>
    </row>
    <row r="22972" spans="2:9" ht="15" customHeight="1" x14ac:dyDescent="0.25">
      <c r="B22972" s="55" t="s">
        <v>283</v>
      </c>
      <c r="C22972" s="46">
        <v>2960</v>
      </c>
      <c r="D22972" s="69" t="s">
        <v>29420</v>
      </c>
      <c r="E22972" s="51"/>
      <c r="F22972" s="114" t="str">
        <f>IF(INDEX(I.Facility.P4IDNumber,2960)="","",INDEX(I.Facility.P4IDNumber,2960))</f>
        <v/>
      </c>
      <c r="G22972" s="51"/>
      <c r="H22972" s="46" t="str">
        <f>IF(AND(I.Developer.P4=TRUE,I.Facility.P4FacilityCount&gt;=2960,F22972=""),"Incomplete","Complete")</f>
        <v>Complete</v>
      </c>
      <c r="I22972" s="48" t="s">
        <v>27337</v>
      </c>
    </row>
    <row r="22973" spans="2:9" ht="15" customHeight="1" x14ac:dyDescent="0.25">
      <c r="B22973" s="55" t="s">
        <v>283</v>
      </c>
      <c r="C22973" s="46">
        <v>2961</v>
      </c>
      <c r="D22973" s="69" t="s">
        <v>29420</v>
      </c>
      <c r="E22973" s="51"/>
      <c r="F22973" s="114" t="str">
        <f>IF(INDEX(I.Facility.P4IDNumber,2961)="","",INDEX(I.Facility.P4IDNumber,2961))</f>
        <v/>
      </c>
      <c r="G22973" s="51"/>
      <c r="H22973" s="46" t="str">
        <f>IF(AND(I.Developer.P4=TRUE,I.Facility.P4FacilityCount&gt;=2961,F22973=""),"Incomplete","Complete")</f>
        <v>Complete</v>
      </c>
      <c r="I22973" s="48" t="s">
        <v>27338</v>
      </c>
    </row>
    <row r="22974" spans="2:9" ht="15" customHeight="1" x14ac:dyDescent="0.25">
      <c r="B22974" s="55" t="s">
        <v>283</v>
      </c>
      <c r="C22974" s="46">
        <v>2962</v>
      </c>
      <c r="D22974" s="69" t="s">
        <v>29420</v>
      </c>
      <c r="E22974" s="51"/>
      <c r="F22974" s="114" t="str">
        <f>IF(INDEX(I.Facility.P4IDNumber,2962)="","",INDEX(I.Facility.P4IDNumber,2962))</f>
        <v/>
      </c>
      <c r="G22974" s="51"/>
      <c r="H22974" s="46" t="str">
        <f>IF(AND(I.Developer.P4=TRUE,I.Facility.P4FacilityCount&gt;=2962,F22974=""),"Incomplete","Complete")</f>
        <v>Complete</v>
      </c>
      <c r="I22974" s="48" t="s">
        <v>27339</v>
      </c>
    </row>
    <row r="22975" spans="2:9" ht="15" customHeight="1" x14ac:dyDescent="0.25">
      <c r="B22975" s="55" t="s">
        <v>283</v>
      </c>
      <c r="C22975" s="46">
        <v>2963</v>
      </c>
      <c r="D22975" s="69" t="s">
        <v>29420</v>
      </c>
      <c r="E22975" s="51"/>
      <c r="F22975" s="114" t="str">
        <f>IF(INDEX(I.Facility.P4IDNumber,2963)="","",INDEX(I.Facility.P4IDNumber,2963))</f>
        <v/>
      </c>
      <c r="G22975" s="51"/>
      <c r="H22975" s="46" t="str">
        <f>IF(AND(I.Developer.P4=TRUE,I.Facility.P4FacilityCount&gt;=2963,F22975=""),"Incomplete","Complete")</f>
        <v>Complete</v>
      </c>
      <c r="I22975" s="48" t="s">
        <v>27340</v>
      </c>
    </row>
    <row r="22976" spans="2:9" ht="15" customHeight="1" x14ac:dyDescent="0.25">
      <c r="B22976" s="55" t="s">
        <v>283</v>
      </c>
      <c r="C22976" s="46">
        <v>2964</v>
      </c>
      <c r="D22976" s="69" t="s">
        <v>29420</v>
      </c>
      <c r="E22976" s="51"/>
      <c r="F22976" s="114" t="str">
        <f>IF(INDEX(I.Facility.P4IDNumber,2964)="","",INDEX(I.Facility.P4IDNumber,2964))</f>
        <v/>
      </c>
      <c r="G22976" s="51"/>
      <c r="H22976" s="46" t="str">
        <f>IF(AND(I.Developer.P4=TRUE,I.Facility.P4FacilityCount&gt;=2964,F22976=""),"Incomplete","Complete")</f>
        <v>Complete</v>
      </c>
      <c r="I22976" s="48" t="s">
        <v>27341</v>
      </c>
    </row>
    <row r="22977" spans="2:9" ht="15" customHeight="1" x14ac:dyDescent="0.25">
      <c r="B22977" s="55" t="s">
        <v>283</v>
      </c>
      <c r="C22977" s="46">
        <v>2965</v>
      </c>
      <c r="D22977" s="69" t="s">
        <v>29420</v>
      </c>
      <c r="E22977" s="51"/>
      <c r="F22977" s="114" t="str">
        <f>IF(INDEX(I.Facility.P4IDNumber,2965)="","",INDEX(I.Facility.P4IDNumber,2965))</f>
        <v/>
      </c>
      <c r="G22977" s="51"/>
      <c r="H22977" s="46" t="str">
        <f>IF(AND(I.Developer.P4=TRUE,I.Facility.P4FacilityCount&gt;=2965,F22977=""),"Incomplete","Complete")</f>
        <v>Complete</v>
      </c>
      <c r="I22977" s="48" t="s">
        <v>27342</v>
      </c>
    </row>
    <row r="22978" spans="2:9" ht="15" customHeight="1" x14ac:dyDescent="0.25">
      <c r="B22978" s="55" t="s">
        <v>283</v>
      </c>
      <c r="C22978" s="46">
        <v>2966</v>
      </c>
      <c r="D22978" s="69" t="s">
        <v>29420</v>
      </c>
      <c r="E22978" s="51"/>
      <c r="F22978" s="114" t="str">
        <f>IF(INDEX(I.Facility.P4IDNumber,2966)="","",INDEX(I.Facility.P4IDNumber,2966))</f>
        <v/>
      </c>
      <c r="G22978" s="51"/>
      <c r="H22978" s="46" t="str">
        <f>IF(AND(I.Developer.P4=TRUE,I.Facility.P4FacilityCount&gt;=2966,F22978=""),"Incomplete","Complete")</f>
        <v>Complete</v>
      </c>
      <c r="I22978" s="48" t="s">
        <v>27343</v>
      </c>
    </row>
    <row r="22979" spans="2:9" ht="15" customHeight="1" x14ac:dyDescent="0.25">
      <c r="B22979" s="55" t="s">
        <v>283</v>
      </c>
      <c r="C22979" s="46">
        <v>2967</v>
      </c>
      <c r="D22979" s="69" t="s">
        <v>29420</v>
      </c>
      <c r="E22979" s="51"/>
      <c r="F22979" s="114" t="str">
        <f>IF(INDEX(I.Facility.P4IDNumber,2967)="","",INDEX(I.Facility.P4IDNumber,2967))</f>
        <v/>
      </c>
      <c r="G22979" s="51"/>
      <c r="H22979" s="46" t="str">
        <f>IF(AND(I.Developer.P4=TRUE,I.Facility.P4FacilityCount&gt;=2967,F22979=""),"Incomplete","Complete")</f>
        <v>Complete</v>
      </c>
      <c r="I22979" s="48" t="s">
        <v>27344</v>
      </c>
    </row>
    <row r="22980" spans="2:9" ht="15" customHeight="1" x14ac:dyDescent="0.25">
      <c r="B22980" s="55" t="s">
        <v>283</v>
      </c>
      <c r="C22980" s="46">
        <v>2968</v>
      </c>
      <c r="D22980" s="69" t="s">
        <v>29420</v>
      </c>
      <c r="E22980" s="51"/>
      <c r="F22980" s="114" t="str">
        <f>IF(INDEX(I.Facility.P4IDNumber,2968)="","",INDEX(I.Facility.P4IDNumber,2968))</f>
        <v/>
      </c>
      <c r="G22980" s="51"/>
      <c r="H22980" s="46" t="str">
        <f>IF(AND(I.Developer.P4=TRUE,I.Facility.P4FacilityCount&gt;=2968,F22980=""),"Incomplete","Complete")</f>
        <v>Complete</v>
      </c>
      <c r="I22980" s="48" t="s">
        <v>27345</v>
      </c>
    </row>
    <row r="22981" spans="2:9" ht="15" customHeight="1" x14ac:dyDescent="0.25">
      <c r="B22981" s="55" t="s">
        <v>283</v>
      </c>
      <c r="C22981" s="46">
        <v>2969</v>
      </c>
      <c r="D22981" s="69" t="s">
        <v>29420</v>
      </c>
      <c r="E22981" s="51"/>
      <c r="F22981" s="114" t="str">
        <f>IF(INDEX(I.Facility.P4IDNumber,2969)="","",INDEX(I.Facility.P4IDNumber,2969))</f>
        <v/>
      </c>
      <c r="G22981" s="51"/>
      <c r="H22981" s="46" t="str">
        <f>IF(AND(I.Developer.P4=TRUE,I.Facility.P4FacilityCount&gt;=2969,F22981=""),"Incomplete","Complete")</f>
        <v>Complete</v>
      </c>
      <c r="I22981" s="48" t="s">
        <v>27346</v>
      </c>
    </row>
    <row r="22982" spans="2:9" ht="15" customHeight="1" x14ac:dyDescent="0.25">
      <c r="B22982" s="55" t="s">
        <v>283</v>
      </c>
      <c r="C22982" s="46">
        <v>2970</v>
      </c>
      <c r="D22982" s="69" t="s">
        <v>29420</v>
      </c>
      <c r="E22982" s="51"/>
      <c r="F22982" s="114" t="str">
        <f>IF(INDEX(I.Facility.P4IDNumber,2970)="","",INDEX(I.Facility.P4IDNumber,2970))</f>
        <v/>
      </c>
      <c r="G22982" s="51"/>
      <c r="H22982" s="46" t="str">
        <f>IF(AND(I.Developer.P4=TRUE,I.Facility.P4FacilityCount&gt;=2970,F22982=""),"Incomplete","Complete")</f>
        <v>Complete</v>
      </c>
      <c r="I22982" s="48" t="s">
        <v>27347</v>
      </c>
    </row>
    <row r="22983" spans="2:9" ht="15" customHeight="1" x14ac:dyDescent="0.25">
      <c r="B22983" s="55" t="s">
        <v>283</v>
      </c>
      <c r="C22983" s="46">
        <v>2971</v>
      </c>
      <c r="D22983" s="69" t="s">
        <v>29420</v>
      </c>
      <c r="E22983" s="51"/>
      <c r="F22983" s="114" t="str">
        <f>IF(INDEX(I.Facility.P4IDNumber,2971)="","",INDEX(I.Facility.P4IDNumber,2971))</f>
        <v/>
      </c>
      <c r="G22983" s="51"/>
      <c r="H22983" s="46" t="str">
        <f>IF(AND(I.Developer.P4=TRUE,I.Facility.P4FacilityCount&gt;=2971,F22983=""),"Incomplete","Complete")</f>
        <v>Complete</v>
      </c>
      <c r="I22983" s="48" t="s">
        <v>27348</v>
      </c>
    </row>
    <row r="22984" spans="2:9" ht="15" customHeight="1" x14ac:dyDescent="0.25">
      <c r="B22984" s="55" t="s">
        <v>283</v>
      </c>
      <c r="C22984" s="46">
        <v>2972</v>
      </c>
      <c r="D22984" s="69" t="s">
        <v>29420</v>
      </c>
      <c r="E22984" s="51"/>
      <c r="F22984" s="114" t="str">
        <f>IF(INDEX(I.Facility.P4IDNumber,2972)="","",INDEX(I.Facility.P4IDNumber,2972))</f>
        <v/>
      </c>
      <c r="G22984" s="51"/>
      <c r="H22984" s="46" t="str">
        <f>IF(AND(I.Developer.P4=TRUE,I.Facility.P4FacilityCount&gt;=2972,F22984=""),"Incomplete","Complete")</f>
        <v>Complete</v>
      </c>
      <c r="I22984" s="48" t="s">
        <v>27349</v>
      </c>
    </row>
    <row r="22985" spans="2:9" ht="15" customHeight="1" x14ac:dyDescent="0.25">
      <c r="B22985" s="55" t="s">
        <v>283</v>
      </c>
      <c r="C22985" s="46">
        <v>2973</v>
      </c>
      <c r="D22985" s="69" t="s">
        <v>29420</v>
      </c>
      <c r="E22985" s="51"/>
      <c r="F22985" s="114" t="str">
        <f>IF(INDEX(I.Facility.P4IDNumber,2973)="","",INDEX(I.Facility.P4IDNumber,2973))</f>
        <v/>
      </c>
      <c r="G22985" s="51"/>
      <c r="H22985" s="46" t="str">
        <f>IF(AND(I.Developer.P4=TRUE,I.Facility.P4FacilityCount&gt;=2973,F22985=""),"Incomplete","Complete")</f>
        <v>Complete</v>
      </c>
      <c r="I22985" s="48" t="s">
        <v>27350</v>
      </c>
    </row>
    <row r="22986" spans="2:9" ht="15" customHeight="1" x14ac:dyDescent="0.25">
      <c r="B22986" s="55" t="s">
        <v>283</v>
      </c>
      <c r="C22986" s="46">
        <v>2974</v>
      </c>
      <c r="D22986" s="69" t="s">
        <v>29420</v>
      </c>
      <c r="E22986" s="51"/>
      <c r="F22986" s="114" t="str">
        <f>IF(INDEX(I.Facility.P4IDNumber,2974)="","",INDEX(I.Facility.P4IDNumber,2974))</f>
        <v/>
      </c>
      <c r="G22986" s="51"/>
      <c r="H22986" s="46" t="str">
        <f>IF(AND(I.Developer.P4=TRUE,I.Facility.P4FacilityCount&gt;=2974,F22986=""),"Incomplete","Complete")</f>
        <v>Complete</v>
      </c>
      <c r="I22986" s="48" t="s">
        <v>27351</v>
      </c>
    </row>
    <row r="22987" spans="2:9" ht="15" customHeight="1" x14ac:dyDescent="0.25">
      <c r="B22987" s="55" t="s">
        <v>283</v>
      </c>
      <c r="C22987" s="46">
        <v>2975</v>
      </c>
      <c r="D22987" s="69" t="s">
        <v>29420</v>
      </c>
      <c r="E22987" s="51"/>
      <c r="F22987" s="114" t="str">
        <f>IF(INDEX(I.Facility.P4IDNumber,2975)="","",INDEX(I.Facility.P4IDNumber,2975))</f>
        <v/>
      </c>
      <c r="G22987" s="51"/>
      <c r="H22987" s="46" t="str">
        <f>IF(AND(I.Developer.P4=TRUE,I.Facility.P4FacilityCount&gt;=2975,F22987=""),"Incomplete","Complete")</f>
        <v>Complete</v>
      </c>
      <c r="I22987" s="48" t="s">
        <v>27352</v>
      </c>
    </row>
    <row r="22988" spans="2:9" ht="15" customHeight="1" x14ac:dyDescent="0.25">
      <c r="B22988" s="55" t="s">
        <v>283</v>
      </c>
      <c r="C22988" s="46">
        <v>2976</v>
      </c>
      <c r="D22988" s="69" t="s">
        <v>29420</v>
      </c>
      <c r="E22988" s="51"/>
      <c r="F22988" s="114" t="str">
        <f>IF(INDEX(I.Facility.P4IDNumber,2976)="","",INDEX(I.Facility.P4IDNumber,2976))</f>
        <v/>
      </c>
      <c r="G22988" s="51"/>
      <c r="H22988" s="46" t="str">
        <f>IF(AND(I.Developer.P4=TRUE,I.Facility.P4FacilityCount&gt;=2976,F22988=""),"Incomplete","Complete")</f>
        <v>Complete</v>
      </c>
      <c r="I22988" s="48" t="s">
        <v>27353</v>
      </c>
    </row>
    <row r="22989" spans="2:9" ht="15" customHeight="1" x14ac:dyDescent="0.25">
      <c r="B22989" s="55" t="s">
        <v>283</v>
      </c>
      <c r="C22989" s="46">
        <v>2977</v>
      </c>
      <c r="D22989" s="69" t="s">
        <v>29420</v>
      </c>
      <c r="E22989" s="51"/>
      <c r="F22989" s="114" t="str">
        <f>IF(INDEX(I.Facility.P4IDNumber,2977)="","",INDEX(I.Facility.P4IDNumber,2977))</f>
        <v/>
      </c>
      <c r="G22989" s="51"/>
      <c r="H22989" s="46" t="str">
        <f>IF(AND(I.Developer.P4=TRUE,I.Facility.P4FacilityCount&gt;=2977,F22989=""),"Incomplete","Complete")</f>
        <v>Complete</v>
      </c>
      <c r="I22989" s="48" t="s">
        <v>27354</v>
      </c>
    </row>
    <row r="22990" spans="2:9" ht="15" customHeight="1" x14ac:dyDescent="0.25">
      <c r="B22990" s="55" t="s">
        <v>283</v>
      </c>
      <c r="C22990" s="46">
        <v>2978</v>
      </c>
      <c r="D22990" s="69" t="s">
        <v>29420</v>
      </c>
      <c r="E22990" s="51"/>
      <c r="F22990" s="114" t="str">
        <f>IF(INDEX(I.Facility.P4IDNumber,2978)="","",INDEX(I.Facility.P4IDNumber,2978))</f>
        <v/>
      </c>
      <c r="G22990" s="51"/>
      <c r="H22990" s="46" t="str">
        <f>IF(AND(I.Developer.P4=TRUE,I.Facility.P4FacilityCount&gt;=2978,F22990=""),"Incomplete","Complete")</f>
        <v>Complete</v>
      </c>
      <c r="I22990" s="48" t="s">
        <v>27355</v>
      </c>
    </row>
    <row r="22991" spans="2:9" ht="15" customHeight="1" x14ac:dyDescent="0.25">
      <c r="B22991" s="55" t="s">
        <v>283</v>
      </c>
      <c r="C22991" s="46">
        <v>2979</v>
      </c>
      <c r="D22991" s="69" t="s">
        <v>29420</v>
      </c>
      <c r="E22991" s="51"/>
      <c r="F22991" s="114" t="str">
        <f>IF(INDEX(I.Facility.P4IDNumber,2979)="","",INDEX(I.Facility.P4IDNumber,2979))</f>
        <v/>
      </c>
      <c r="G22991" s="51"/>
      <c r="H22991" s="46" t="str">
        <f>IF(AND(I.Developer.P4=TRUE,I.Facility.P4FacilityCount&gt;=2979,F22991=""),"Incomplete","Complete")</f>
        <v>Complete</v>
      </c>
      <c r="I22991" s="48" t="s">
        <v>27356</v>
      </c>
    </row>
    <row r="22992" spans="2:9" ht="15" customHeight="1" x14ac:dyDescent="0.25">
      <c r="B22992" s="55" t="s">
        <v>283</v>
      </c>
      <c r="C22992" s="46">
        <v>2980</v>
      </c>
      <c r="D22992" s="69" t="s">
        <v>29420</v>
      </c>
      <c r="E22992" s="51"/>
      <c r="F22992" s="114" t="str">
        <f>IF(INDEX(I.Facility.P4IDNumber,2980)="","",INDEX(I.Facility.P4IDNumber,2980))</f>
        <v/>
      </c>
      <c r="G22992" s="51"/>
      <c r="H22992" s="46" t="str">
        <f>IF(AND(I.Developer.P4=TRUE,I.Facility.P4FacilityCount&gt;=2980,F22992=""),"Incomplete","Complete")</f>
        <v>Complete</v>
      </c>
      <c r="I22992" s="48" t="s">
        <v>27357</v>
      </c>
    </row>
    <row r="22993" spans="2:9" ht="15" customHeight="1" x14ac:dyDescent="0.25">
      <c r="B22993" s="55" t="s">
        <v>283</v>
      </c>
      <c r="C22993" s="46">
        <v>2981</v>
      </c>
      <c r="D22993" s="69" t="s">
        <v>29420</v>
      </c>
      <c r="E22993" s="51"/>
      <c r="F22993" s="114" t="str">
        <f>IF(INDEX(I.Facility.P4IDNumber,2981)="","",INDEX(I.Facility.P4IDNumber,2981))</f>
        <v/>
      </c>
      <c r="G22993" s="51"/>
      <c r="H22993" s="46" t="str">
        <f>IF(AND(I.Developer.P4=TRUE,I.Facility.P4FacilityCount&gt;=2981,F22993=""),"Incomplete","Complete")</f>
        <v>Complete</v>
      </c>
      <c r="I22993" s="48" t="s">
        <v>27358</v>
      </c>
    </row>
    <row r="22994" spans="2:9" ht="15" customHeight="1" x14ac:dyDescent="0.25">
      <c r="B22994" s="55" t="s">
        <v>283</v>
      </c>
      <c r="C22994" s="46">
        <v>2982</v>
      </c>
      <c r="D22994" s="69" t="s">
        <v>29420</v>
      </c>
      <c r="E22994" s="51"/>
      <c r="F22994" s="114" t="str">
        <f>IF(INDEX(I.Facility.P4IDNumber,2982)="","",INDEX(I.Facility.P4IDNumber,2982))</f>
        <v/>
      </c>
      <c r="G22994" s="51"/>
      <c r="H22994" s="46" t="str">
        <f>IF(AND(I.Developer.P4=TRUE,I.Facility.P4FacilityCount&gt;=2982,F22994=""),"Incomplete","Complete")</f>
        <v>Complete</v>
      </c>
      <c r="I22994" s="48" t="s">
        <v>27359</v>
      </c>
    </row>
    <row r="22995" spans="2:9" ht="15" customHeight="1" x14ac:dyDescent="0.25">
      <c r="B22995" s="55" t="s">
        <v>283</v>
      </c>
      <c r="C22995" s="46">
        <v>2983</v>
      </c>
      <c r="D22995" s="69" t="s">
        <v>29420</v>
      </c>
      <c r="E22995" s="51"/>
      <c r="F22995" s="114" t="str">
        <f>IF(INDEX(I.Facility.P4IDNumber,2983)="","",INDEX(I.Facility.P4IDNumber,2983))</f>
        <v/>
      </c>
      <c r="G22995" s="51"/>
      <c r="H22995" s="46" t="str">
        <f>IF(AND(I.Developer.P4=TRUE,I.Facility.P4FacilityCount&gt;=2983,F22995=""),"Incomplete","Complete")</f>
        <v>Complete</v>
      </c>
      <c r="I22995" s="48" t="s">
        <v>27360</v>
      </c>
    </row>
    <row r="22996" spans="2:9" ht="15" customHeight="1" x14ac:dyDescent="0.25">
      <c r="B22996" s="55" t="s">
        <v>283</v>
      </c>
      <c r="C22996" s="46">
        <v>2984</v>
      </c>
      <c r="D22996" s="69" t="s">
        <v>29420</v>
      </c>
      <c r="E22996" s="51"/>
      <c r="F22996" s="114" t="str">
        <f>IF(INDEX(I.Facility.P4IDNumber,2984)="","",INDEX(I.Facility.P4IDNumber,2984))</f>
        <v/>
      </c>
      <c r="G22996" s="51"/>
      <c r="H22996" s="46" t="str">
        <f>IF(AND(I.Developer.P4=TRUE,I.Facility.P4FacilityCount&gt;=2984,F22996=""),"Incomplete","Complete")</f>
        <v>Complete</v>
      </c>
      <c r="I22996" s="48" t="s">
        <v>27361</v>
      </c>
    </row>
    <row r="22997" spans="2:9" ht="15" customHeight="1" x14ac:dyDescent="0.25">
      <c r="B22997" s="55" t="s">
        <v>283</v>
      </c>
      <c r="C22997" s="46">
        <v>2985</v>
      </c>
      <c r="D22997" s="69" t="s">
        <v>29420</v>
      </c>
      <c r="E22997" s="51"/>
      <c r="F22997" s="114" t="str">
        <f>IF(INDEX(I.Facility.P4IDNumber,2985)="","",INDEX(I.Facility.P4IDNumber,2985))</f>
        <v/>
      </c>
      <c r="G22997" s="51"/>
      <c r="H22997" s="46" t="str">
        <f>IF(AND(I.Developer.P4=TRUE,I.Facility.P4FacilityCount&gt;=2985,F22997=""),"Incomplete","Complete")</f>
        <v>Complete</v>
      </c>
      <c r="I22997" s="48" t="s">
        <v>27362</v>
      </c>
    </row>
    <row r="22998" spans="2:9" ht="15" customHeight="1" x14ac:dyDescent="0.25">
      <c r="B22998" s="55" t="s">
        <v>283</v>
      </c>
      <c r="C22998" s="46">
        <v>2986</v>
      </c>
      <c r="D22998" s="69" t="s">
        <v>29420</v>
      </c>
      <c r="E22998" s="51"/>
      <c r="F22998" s="114" t="str">
        <f>IF(INDEX(I.Facility.P4IDNumber,2986)="","",INDEX(I.Facility.P4IDNumber,2986))</f>
        <v/>
      </c>
      <c r="G22998" s="51"/>
      <c r="H22998" s="46" t="str">
        <f>IF(AND(I.Developer.P4=TRUE,I.Facility.P4FacilityCount&gt;=2986,F22998=""),"Incomplete","Complete")</f>
        <v>Complete</v>
      </c>
      <c r="I22998" s="48" t="s">
        <v>27363</v>
      </c>
    </row>
    <row r="22999" spans="2:9" ht="15" customHeight="1" x14ac:dyDescent="0.25">
      <c r="B22999" s="55" t="s">
        <v>283</v>
      </c>
      <c r="C22999" s="46">
        <v>2987</v>
      </c>
      <c r="D22999" s="69" t="s">
        <v>29420</v>
      </c>
      <c r="E22999" s="51"/>
      <c r="F22999" s="114" t="str">
        <f>IF(INDEX(I.Facility.P4IDNumber,2987)="","",INDEX(I.Facility.P4IDNumber,2987))</f>
        <v/>
      </c>
      <c r="G22999" s="51"/>
      <c r="H22999" s="46" t="str">
        <f>IF(AND(I.Developer.P4=TRUE,I.Facility.P4FacilityCount&gt;=2987,F22999=""),"Incomplete","Complete")</f>
        <v>Complete</v>
      </c>
      <c r="I22999" s="48" t="s">
        <v>27364</v>
      </c>
    </row>
    <row r="23000" spans="2:9" ht="15" customHeight="1" x14ac:dyDescent="0.25">
      <c r="B23000" s="55" t="s">
        <v>283</v>
      </c>
      <c r="C23000" s="46">
        <v>2988</v>
      </c>
      <c r="D23000" s="69" t="s">
        <v>29420</v>
      </c>
      <c r="E23000" s="51"/>
      <c r="F23000" s="114" t="str">
        <f>IF(INDEX(I.Facility.P4IDNumber,2988)="","",INDEX(I.Facility.P4IDNumber,2988))</f>
        <v/>
      </c>
      <c r="G23000" s="51"/>
      <c r="H23000" s="46" t="str">
        <f>IF(AND(I.Developer.P4=TRUE,I.Facility.P4FacilityCount&gt;=2988,F23000=""),"Incomplete","Complete")</f>
        <v>Complete</v>
      </c>
      <c r="I23000" s="48" t="s">
        <v>27365</v>
      </c>
    </row>
    <row r="23001" spans="2:9" ht="15" customHeight="1" x14ac:dyDescent="0.25">
      <c r="B23001" s="55" t="s">
        <v>283</v>
      </c>
      <c r="C23001" s="46">
        <v>2989</v>
      </c>
      <c r="D23001" s="69" t="s">
        <v>29420</v>
      </c>
      <c r="E23001" s="51"/>
      <c r="F23001" s="114" t="str">
        <f>IF(INDEX(I.Facility.P4IDNumber,2989)="","",INDEX(I.Facility.P4IDNumber,2989))</f>
        <v/>
      </c>
      <c r="G23001" s="51"/>
      <c r="H23001" s="46" t="str">
        <f>IF(AND(I.Developer.P4=TRUE,I.Facility.P4FacilityCount&gt;=2989,F23001=""),"Incomplete","Complete")</f>
        <v>Complete</v>
      </c>
      <c r="I23001" s="48" t="s">
        <v>27366</v>
      </c>
    </row>
    <row r="23002" spans="2:9" ht="15" customHeight="1" x14ac:dyDescent="0.25">
      <c r="B23002" s="55" t="s">
        <v>283</v>
      </c>
      <c r="C23002" s="46">
        <v>2990</v>
      </c>
      <c r="D23002" s="69" t="s">
        <v>29420</v>
      </c>
      <c r="E23002" s="51"/>
      <c r="F23002" s="114" t="str">
        <f>IF(INDEX(I.Facility.P4IDNumber,2990)="","",INDEX(I.Facility.P4IDNumber,2990))</f>
        <v/>
      </c>
      <c r="G23002" s="51"/>
      <c r="H23002" s="46" t="str">
        <f>IF(AND(I.Developer.P4=TRUE,I.Facility.P4FacilityCount&gt;=2990,F23002=""),"Incomplete","Complete")</f>
        <v>Complete</v>
      </c>
      <c r="I23002" s="48" t="s">
        <v>27367</v>
      </c>
    </row>
    <row r="23003" spans="2:9" ht="15" customHeight="1" x14ac:dyDescent="0.25">
      <c r="B23003" s="55" t="s">
        <v>283</v>
      </c>
      <c r="C23003" s="46">
        <v>2991</v>
      </c>
      <c r="D23003" s="69" t="s">
        <v>29420</v>
      </c>
      <c r="E23003" s="51"/>
      <c r="F23003" s="114" t="str">
        <f>IF(INDEX(I.Facility.P4IDNumber,2991)="","",INDEX(I.Facility.P4IDNumber,2991))</f>
        <v/>
      </c>
      <c r="G23003" s="51"/>
      <c r="H23003" s="46" t="str">
        <f>IF(AND(I.Developer.P4=TRUE,I.Facility.P4FacilityCount&gt;=2991,F23003=""),"Incomplete","Complete")</f>
        <v>Complete</v>
      </c>
      <c r="I23003" s="48" t="s">
        <v>27368</v>
      </c>
    </row>
    <row r="23004" spans="2:9" ht="15" customHeight="1" x14ac:dyDescent="0.25">
      <c r="B23004" s="55" t="s">
        <v>283</v>
      </c>
      <c r="C23004" s="46">
        <v>2992</v>
      </c>
      <c r="D23004" s="69" t="s">
        <v>29420</v>
      </c>
      <c r="E23004" s="51"/>
      <c r="F23004" s="114" t="str">
        <f>IF(INDEX(I.Facility.P4IDNumber,2992)="","",INDEX(I.Facility.P4IDNumber,2992))</f>
        <v/>
      </c>
      <c r="G23004" s="51"/>
      <c r="H23004" s="46" t="str">
        <f>IF(AND(I.Developer.P4=TRUE,I.Facility.P4FacilityCount&gt;=2992,F23004=""),"Incomplete","Complete")</f>
        <v>Complete</v>
      </c>
      <c r="I23004" s="48" t="s">
        <v>27369</v>
      </c>
    </row>
    <row r="23005" spans="2:9" ht="15" customHeight="1" x14ac:dyDescent="0.25">
      <c r="B23005" s="55" t="s">
        <v>283</v>
      </c>
      <c r="C23005" s="46">
        <v>2993</v>
      </c>
      <c r="D23005" s="69" t="s">
        <v>29420</v>
      </c>
      <c r="E23005" s="51"/>
      <c r="F23005" s="114" t="str">
        <f>IF(INDEX(I.Facility.P4IDNumber,2993)="","",INDEX(I.Facility.P4IDNumber,2993))</f>
        <v/>
      </c>
      <c r="G23005" s="51"/>
      <c r="H23005" s="46" t="str">
        <f>IF(AND(I.Developer.P4=TRUE,I.Facility.P4FacilityCount&gt;=2993,F23005=""),"Incomplete","Complete")</f>
        <v>Complete</v>
      </c>
      <c r="I23005" s="48" t="s">
        <v>27370</v>
      </c>
    </row>
    <row r="23006" spans="2:9" ht="15" customHeight="1" x14ac:dyDescent="0.25">
      <c r="B23006" s="55" t="s">
        <v>283</v>
      </c>
      <c r="C23006" s="46">
        <v>2994</v>
      </c>
      <c r="D23006" s="69" t="s">
        <v>29420</v>
      </c>
      <c r="E23006" s="51"/>
      <c r="F23006" s="114" t="str">
        <f>IF(INDEX(I.Facility.P4IDNumber,2994)="","",INDEX(I.Facility.P4IDNumber,2994))</f>
        <v/>
      </c>
      <c r="G23006" s="51"/>
      <c r="H23006" s="46" t="str">
        <f>IF(AND(I.Developer.P4=TRUE,I.Facility.P4FacilityCount&gt;=2994,F23006=""),"Incomplete","Complete")</f>
        <v>Complete</v>
      </c>
      <c r="I23006" s="48" t="s">
        <v>27371</v>
      </c>
    </row>
    <row r="23007" spans="2:9" ht="15" customHeight="1" x14ac:dyDescent="0.25">
      <c r="B23007" s="55" t="s">
        <v>283</v>
      </c>
      <c r="C23007" s="46">
        <v>2995</v>
      </c>
      <c r="D23007" s="69" t="s">
        <v>29420</v>
      </c>
      <c r="E23007" s="51"/>
      <c r="F23007" s="114" t="str">
        <f>IF(INDEX(I.Facility.P4IDNumber,2995)="","",INDEX(I.Facility.P4IDNumber,2995))</f>
        <v/>
      </c>
      <c r="G23007" s="51"/>
      <c r="H23007" s="46" t="str">
        <f>IF(AND(I.Developer.P4=TRUE,I.Facility.P4FacilityCount&gt;=2995,F23007=""),"Incomplete","Complete")</f>
        <v>Complete</v>
      </c>
      <c r="I23007" s="48" t="s">
        <v>27372</v>
      </c>
    </row>
    <row r="23008" spans="2:9" ht="15" customHeight="1" x14ac:dyDescent="0.25">
      <c r="B23008" s="55" t="s">
        <v>283</v>
      </c>
      <c r="C23008" s="46">
        <v>2996</v>
      </c>
      <c r="D23008" s="69" t="s">
        <v>29420</v>
      </c>
      <c r="E23008" s="51"/>
      <c r="F23008" s="114" t="str">
        <f>IF(INDEX(I.Facility.P4IDNumber,2996)="","",INDEX(I.Facility.P4IDNumber,2996))</f>
        <v/>
      </c>
      <c r="G23008" s="51"/>
      <c r="H23008" s="46" t="str">
        <f>IF(AND(I.Developer.P4=TRUE,I.Facility.P4FacilityCount&gt;=2996,F23008=""),"Incomplete","Complete")</f>
        <v>Complete</v>
      </c>
      <c r="I23008" s="48" t="s">
        <v>27373</v>
      </c>
    </row>
    <row r="23009" spans="2:9" ht="15" customHeight="1" x14ac:dyDescent="0.25">
      <c r="B23009" s="55" t="s">
        <v>283</v>
      </c>
      <c r="C23009" s="46">
        <v>2997</v>
      </c>
      <c r="D23009" s="69" t="s">
        <v>29420</v>
      </c>
      <c r="E23009" s="51"/>
      <c r="F23009" s="114" t="str">
        <f>IF(INDEX(I.Facility.P4IDNumber,2997)="","",INDEX(I.Facility.P4IDNumber,2997))</f>
        <v/>
      </c>
      <c r="G23009" s="51"/>
      <c r="H23009" s="46" t="str">
        <f>IF(AND(I.Developer.P4=TRUE,I.Facility.P4FacilityCount&gt;=2997,F23009=""),"Incomplete","Complete")</f>
        <v>Complete</v>
      </c>
      <c r="I23009" s="48" t="s">
        <v>27374</v>
      </c>
    </row>
    <row r="23010" spans="2:9" ht="15" customHeight="1" x14ac:dyDescent="0.25">
      <c r="B23010" s="55" t="s">
        <v>283</v>
      </c>
      <c r="C23010" s="46">
        <v>2998</v>
      </c>
      <c r="D23010" s="69" t="s">
        <v>29420</v>
      </c>
      <c r="E23010" s="51"/>
      <c r="F23010" s="114" t="str">
        <f>IF(INDEX(I.Facility.P4IDNumber,2998)="","",INDEX(I.Facility.P4IDNumber,2998))</f>
        <v/>
      </c>
      <c r="G23010" s="51"/>
      <c r="H23010" s="46" t="str">
        <f>IF(AND(I.Developer.P4=TRUE,I.Facility.P4FacilityCount&gt;=2998,F23010=""),"Incomplete","Complete")</f>
        <v>Complete</v>
      </c>
      <c r="I23010" s="48" t="s">
        <v>27375</v>
      </c>
    </row>
    <row r="23011" spans="2:9" ht="15" customHeight="1" x14ac:dyDescent="0.25">
      <c r="B23011" s="55" t="s">
        <v>283</v>
      </c>
      <c r="C23011" s="46">
        <v>2999</v>
      </c>
      <c r="D23011" s="69" t="s">
        <v>29420</v>
      </c>
      <c r="E23011" s="51"/>
      <c r="F23011" s="114" t="str">
        <f>IF(INDEX(I.Facility.P4IDNumber,2999)="","",INDEX(I.Facility.P4IDNumber,2999))</f>
        <v/>
      </c>
      <c r="G23011" s="51"/>
      <c r="H23011" s="46" t="str">
        <f>IF(AND(I.Developer.P4=TRUE,I.Facility.P4FacilityCount&gt;=2999,F23011=""),"Incomplete","Complete")</f>
        <v>Complete</v>
      </c>
      <c r="I23011" s="48" t="s">
        <v>27376</v>
      </c>
    </row>
    <row r="23012" spans="2:9" ht="15" customHeight="1" x14ac:dyDescent="0.25">
      <c r="B23012" s="55" t="s">
        <v>283</v>
      </c>
      <c r="C23012" s="46">
        <v>3000</v>
      </c>
      <c r="D23012" s="69" t="s">
        <v>29420</v>
      </c>
      <c r="E23012" s="51"/>
      <c r="F23012" s="114" t="str">
        <f>IF(INDEX(I.Facility.P4IDNumber,3000)="","",INDEX(I.Facility.P4IDNumber,3000))</f>
        <v/>
      </c>
      <c r="G23012" s="51"/>
      <c r="H23012" s="46" t="str">
        <f>IF(AND(I.Developer.P4=TRUE,I.Facility.P4FacilityCount&gt;=3000,F23012=""),"Incomplete","Complete")</f>
        <v>Complete</v>
      </c>
      <c r="I23012" s="48" t="s">
        <v>27377</v>
      </c>
    </row>
    <row r="23013" spans="2:9" ht="15" customHeight="1" x14ac:dyDescent="0.25">
      <c r="B23013" s="55" t="s">
        <v>283</v>
      </c>
      <c r="C23013" s="46">
        <v>3001</v>
      </c>
      <c r="D23013" s="69" t="s">
        <v>29420</v>
      </c>
      <c r="E23013" s="51"/>
      <c r="F23013" s="114" t="str">
        <f>IF(INDEX(I.Facility.P4IDNumber,3001)="","",INDEX(I.Facility.P4IDNumber,3001))</f>
        <v/>
      </c>
      <c r="G23013" s="51"/>
      <c r="H23013" s="46" t="str">
        <f>IF(AND(I.Developer.P4=TRUE,I.Facility.P4FacilityCount&gt;=3001,F23013=""),"Incomplete","Complete")</f>
        <v>Complete</v>
      </c>
      <c r="I23013" s="48" t="s">
        <v>27378</v>
      </c>
    </row>
    <row r="23014" spans="2:9" ht="15" customHeight="1" x14ac:dyDescent="0.25">
      <c r="B23014" s="55" t="s">
        <v>283</v>
      </c>
      <c r="C23014" s="46">
        <v>3002</v>
      </c>
      <c r="D23014" s="69" t="s">
        <v>29420</v>
      </c>
      <c r="E23014" s="51"/>
      <c r="F23014" s="114" t="str">
        <f>IF(INDEX(I.Facility.P4IDNumber,3002)="","",INDEX(I.Facility.P4IDNumber,3002))</f>
        <v/>
      </c>
      <c r="G23014" s="51"/>
      <c r="H23014" s="46" t="str">
        <f>IF(AND(I.Developer.P4=TRUE,I.Facility.P4FacilityCount&gt;=3002,F23014=""),"Incomplete","Complete")</f>
        <v>Complete</v>
      </c>
      <c r="I23014" s="48" t="s">
        <v>27379</v>
      </c>
    </row>
    <row r="23015" spans="2:9" ht="15" customHeight="1" x14ac:dyDescent="0.25">
      <c r="B23015" s="55" t="s">
        <v>283</v>
      </c>
      <c r="C23015" s="46">
        <v>3003</v>
      </c>
      <c r="D23015" s="69" t="s">
        <v>29420</v>
      </c>
      <c r="E23015" s="51"/>
      <c r="F23015" s="114" t="str">
        <f>IF(INDEX(I.Facility.P4IDNumber,3003)="","",INDEX(I.Facility.P4IDNumber,3003))</f>
        <v/>
      </c>
      <c r="G23015" s="51"/>
      <c r="H23015" s="46" t="str">
        <f>IF(AND(I.Developer.P4=TRUE,I.Facility.P4FacilityCount&gt;=3003,F23015=""),"Incomplete","Complete")</f>
        <v>Complete</v>
      </c>
      <c r="I23015" s="48" t="s">
        <v>27380</v>
      </c>
    </row>
    <row r="23016" spans="2:9" ht="15" customHeight="1" x14ac:dyDescent="0.25">
      <c r="B23016" s="55" t="s">
        <v>283</v>
      </c>
      <c r="C23016" s="46">
        <v>3004</v>
      </c>
      <c r="D23016" s="69" t="s">
        <v>29420</v>
      </c>
      <c r="E23016" s="51"/>
      <c r="F23016" s="114" t="str">
        <f>IF(INDEX(I.Facility.P4IDNumber,3004)="","",INDEX(I.Facility.P4IDNumber,3004))</f>
        <v/>
      </c>
      <c r="G23016" s="51"/>
      <c r="H23016" s="46" t="str">
        <f>IF(AND(I.Developer.P4=TRUE,I.Facility.P4FacilityCount&gt;=3004,F23016=""),"Incomplete","Complete")</f>
        <v>Complete</v>
      </c>
      <c r="I23016" s="48" t="s">
        <v>27381</v>
      </c>
    </row>
    <row r="23017" spans="2:9" ht="15" customHeight="1" x14ac:dyDescent="0.25">
      <c r="B23017" s="55" t="s">
        <v>283</v>
      </c>
      <c r="C23017" s="46">
        <v>3005</v>
      </c>
      <c r="D23017" s="69" t="s">
        <v>29420</v>
      </c>
      <c r="E23017" s="51"/>
      <c r="F23017" s="114" t="str">
        <f>IF(INDEX(I.Facility.P4IDNumber,3005)="","",INDEX(I.Facility.P4IDNumber,3005))</f>
        <v/>
      </c>
      <c r="G23017" s="51"/>
      <c r="H23017" s="46" t="str">
        <f>IF(AND(I.Developer.P4=TRUE,I.Facility.P4FacilityCount&gt;=3005,F23017=""),"Incomplete","Complete")</f>
        <v>Complete</v>
      </c>
      <c r="I23017" s="48" t="s">
        <v>27382</v>
      </c>
    </row>
    <row r="23018" spans="2:9" ht="15" customHeight="1" x14ac:dyDescent="0.25">
      <c r="B23018" s="55" t="s">
        <v>283</v>
      </c>
      <c r="C23018" s="46">
        <v>3006</v>
      </c>
      <c r="D23018" s="69" t="s">
        <v>29420</v>
      </c>
      <c r="E23018" s="51"/>
      <c r="F23018" s="114" t="str">
        <f>IF(INDEX(I.Facility.P4IDNumber,3006)="","",INDEX(I.Facility.P4IDNumber,3006))</f>
        <v/>
      </c>
      <c r="G23018" s="51"/>
      <c r="H23018" s="46" t="str">
        <f>IF(AND(I.Developer.P4=TRUE,I.Facility.P4FacilityCount&gt;=3006,F23018=""),"Incomplete","Complete")</f>
        <v>Complete</v>
      </c>
      <c r="I23018" s="48" t="s">
        <v>27383</v>
      </c>
    </row>
    <row r="23019" spans="2:9" ht="15" customHeight="1" x14ac:dyDescent="0.25">
      <c r="B23019" s="55" t="s">
        <v>283</v>
      </c>
      <c r="C23019" s="46">
        <v>3007</v>
      </c>
      <c r="D23019" s="69" t="s">
        <v>29420</v>
      </c>
      <c r="E23019" s="51"/>
      <c r="F23019" s="114" t="str">
        <f>IF(INDEX(I.Facility.P4IDNumber,3007)="","",INDEX(I.Facility.P4IDNumber,3007))</f>
        <v/>
      </c>
      <c r="G23019" s="51"/>
      <c r="H23019" s="46" t="str">
        <f>IF(AND(I.Developer.P4=TRUE,I.Facility.P4FacilityCount&gt;=3007,F23019=""),"Incomplete","Complete")</f>
        <v>Complete</v>
      </c>
      <c r="I23019" s="48" t="s">
        <v>27384</v>
      </c>
    </row>
    <row r="23020" spans="2:9" ht="15" customHeight="1" x14ac:dyDescent="0.25">
      <c r="B23020" s="55" t="s">
        <v>283</v>
      </c>
      <c r="C23020" s="46">
        <v>3008</v>
      </c>
      <c r="D23020" s="69" t="s">
        <v>29420</v>
      </c>
      <c r="E23020" s="51"/>
      <c r="F23020" s="114" t="str">
        <f>IF(INDEX(I.Facility.P4IDNumber,3008)="","",INDEX(I.Facility.P4IDNumber,3008))</f>
        <v/>
      </c>
      <c r="G23020" s="51"/>
      <c r="H23020" s="46" t="str">
        <f>IF(AND(I.Developer.P4=TRUE,I.Facility.P4FacilityCount&gt;=3008,F23020=""),"Incomplete","Complete")</f>
        <v>Complete</v>
      </c>
      <c r="I23020" s="48" t="s">
        <v>27385</v>
      </c>
    </row>
    <row r="23021" spans="2:9" ht="15" customHeight="1" x14ac:dyDescent="0.25">
      <c r="B23021" s="55" t="s">
        <v>283</v>
      </c>
      <c r="C23021" s="46">
        <v>3009</v>
      </c>
      <c r="D23021" s="69" t="s">
        <v>29420</v>
      </c>
      <c r="E23021" s="51"/>
      <c r="F23021" s="114" t="str">
        <f>IF(INDEX(I.Facility.P4IDNumber,3009)="","",INDEX(I.Facility.P4IDNumber,3009))</f>
        <v/>
      </c>
      <c r="G23021" s="51"/>
      <c r="H23021" s="46" t="str">
        <f>IF(AND(I.Developer.P4=TRUE,I.Facility.P4FacilityCount&gt;=3009,F23021=""),"Incomplete","Complete")</f>
        <v>Complete</v>
      </c>
      <c r="I23021" s="48" t="s">
        <v>27386</v>
      </c>
    </row>
    <row r="23022" spans="2:9" ht="15" customHeight="1" x14ac:dyDescent="0.25">
      <c r="B23022" s="55" t="s">
        <v>283</v>
      </c>
      <c r="C23022" s="46">
        <v>3010</v>
      </c>
      <c r="D23022" s="69" t="s">
        <v>29420</v>
      </c>
      <c r="E23022" s="51"/>
      <c r="F23022" s="114" t="str">
        <f>IF(INDEX(I.Facility.P4IDNumber,3010)="","",INDEX(I.Facility.P4IDNumber,3010))</f>
        <v/>
      </c>
      <c r="G23022" s="51"/>
      <c r="H23022" s="46" t="str">
        <f>IF(AND(I.Developer.P4=TRUE,I.Facility.P4FacilityCount&gt;=3010,F23022=""),"Incomplete","Complete")</f>
        <v>Complete</v>
      </c>
      <c r="I23022" s="48" t="s">
        <v>27387</v>
      </c>
    </row>
    <row r="23023" spans="2:9" ht="15" customHeight="1" x14ac:dyDescent="0.25">
      <c r="B23023" s="55" t="s">
        <v>283</v>
      </c>
      <c r="C23023" s="46">
        <v>3011</v>
      </c>
      <c r="D23023" s="69" t="s">
        <v>29420</v>
      </c>
      <c r="E23023" s="51"/>
      <c r="F23023" s="114" t="str">
        <f>IF(INDEX(I.Facility.P4IDNumber,3011)="","",INDEX(I.Facility.P4IDNumber,3011))</f>
        <v/>
      </c>
      <c r="G23023" s="51"/>
      <c r="H23023" s="46" t="str">
        <f>IF(AND(I.Developer.P4=TRUE,I.Facility.P4FacilityCount&gt;=3011,F23023=""),"Incomplete","Complete")</f>
        <v>Complete</v>
      </c>
      <c r="I23023" s="48" t="s">
        <v>27388</v>
      </c>
    </row>
    <row r="23024" spans="2:9" ht="15" customHeight="1" x14ac:dyDescent="0.25">
      <c r="B23024" s="55" t="s">
        <v>283</v>
      </c>
      <c r="C23024" s="46">
        <v>3012</v>
      </c>
      <c r="D23024" s="69" t="s">
        <v>29420</v>
      </c>
      <c r="E23024" s="51"/>
      <c r="F23024" s="114" t="str">
        <f>IF(INDEX(I.Facility.P4IDNumber,3012)="","",INDEX(I.Facility.P4IDNumber,3012))</f>
        <v/>
      </c>
      <c r="G23024" s="51"/>
      <c r="H23024" s="46" t="str">
        <f>IF(AND(I.Developer.P4=TRUE,I.Facility.P4FacilityCount&gt;=3012,F23024=""),"Incomplete","Complete")</f>
        <v>Complete</v>
      </c>
      <c r="I23024" s="48" t="s">
        <v>27389</v>
      </c>
    </row>
    <row r="23025" spans="2:9" ht="15" customHeight="1" x14ac:dyDescent="0.25">
      <c r="B23025" s="55" t="s">
        <v>283</v>
      </c>
      <c r="C23025" s="46">
        <v>3013</v>
      </c>
      <c r="D23025" s="69" t="s">
        <v>29420</v>
      </c>
      <c r="E23025" s="51"/>
      <c r="F23025" s="114" t="str">
        <f>IF(INDEX(I.Facility.P4IDNumber,3013)="","",INDEX(I.Facility.P4IDNumber,3013))</f>
        <v/>
      </c>
      <c r="G23025" s="51"/>
      <c r="H23025" s="46" t="str">
        <f>IF(AND(I.Developer.P4=TRUE,I.Facility.P4FacilityCount&gt;=3013,F23025=""),"Incomplete","Complete")</f>
        <v>Complete</v>
      </c>
      <c r="I23025" s="48" t="s">
        <v>27390</v>
      </c>
    </row>
    <row r="23026" spans="2:9" ht="15" customHeight="1" x14ac:dyDescent="0.25">
      <c r="B23026" s="55" t="s">
        <v>283</v>
      </c>
      <c r="C23026" s="46">
        <v>3014</v>
      </c>
      <c r="D23026" s="69" t="s">
        <v>29420</v>
      </c>
      <c r="E23026" s="51"/>
      <c r="F23026" s="114" t="str">
        <f>IF(INDEX(I.Facility.P4IDNumber,3014)="","",INDEX(I.Facility.P4IDNumber,3014))</f>
        <v/>
      </c>
      <c r="G23026" s="51"/>
      <c r="H23026" s="46" t="str">
        <f>IF(AND(I.Developer.P4=TRUE,I.Facility.P4FacilityCount&gt;=3014,F23026=""),"Incomplete","Complete")</f>
        <v>Complete</v>
      </c>
      <c r="I23026" s="48" t="s">
        <v>27391</v>
      </c>
    </row>
    <row r="23027" spans="2:9" ht="15" customHeight="1" x14ac:dyDescent="0.25">
      <c r="B23027" s="55" t="s">
        <v>283</v>
      </c>
      <c r="C23027" s="46">
        <v>3015</v>
      </c>
      <c r="D23027" s="69" t="s">
        <v>29420</v>
      </c>
      <c r="E23027" s="51"/>
      <c r="F23027" s="114" t="str">
        <f>IF(INDEX(I.Facility.P4IDNumber,3015)="","",INDEX(I.Facility.P4IDNumber,3015))</f>
        <v/>
      </c>
      <c r="G23027" s="51"/>
      <c r="H23027" s="46" t="str">
        <f>IF(AND(I.Developer.P4=TRUE,I.Facility.P4FacilityCount&gt;=3015,F23027=""),"Incomplete","Complete")</f>
        <v>Complete</v>
      </c>
      <c r="I23027" s="48" t="s">
        <v>27392</v>
      </c>
    </row>
    <row r="23028" spans="2:9" ht="15" customHeight="1" x14ac:dyDescent="0.25">
      <c r="B23028" s="55" t="s">
        <v>283</v>
      </c>
      <c r="C23028" s="46">
        <v>3016</v>
      </c>
      <c r="D23028" s="69" t="s">
        <v>29420</v>
      </c>
      <c r="E23028" s="51"/>
      <c r="F23028" s="114" t="str">
        <f>IF(INDEX(I.Facility.P4IDNumber,3016)="","",INDEX(I.Facility.P4IDNumber,3016))</f>
        <v/>
      </c>
      <c r="G23028" s="51"/>
      <c r="H23028" s="46" t="str">
        <f>IF(AND(I.Developer.P4=TRUE,I.Facility.P4FacilityCount&gt;=3016,F23028=""),"Incomplete","Complete")</f>
        <v>Complete</v>
      </c>
      <c r="I23028" s="48" t="s">
        <v>27393</v>
      </c>
    </row>
    <row r="23029" spans="2:9" ht="15" customHeight="1" x14ac:dyDescent="0.25">
      <c r="B23029" s="55" t="s">
        <v>283</v>
      </c>
      <c r="C23029" s="46">
        <v>3017</v>
      </c>
      <c r="D23029" s="69" t="s">
        <v>29420</v>
      </c>
      <c r="E23029" s="51"/>
      <c r="F23029" s="114" t="str">
        <f>IF(INDEX(I.Facility.P4IDNumber,3017)="","",INDEX(I.Facility.P4IDNumber,3017))</f>
        <v/>
      </c>
      <c r="G23029" s="51"/>
      <c r="H23029" s="46" t="str">
        <f>IF(AND(I.Developer.P4=TRUE,I.Facility.P4FacilityCount&gt;=3017,F23029=""),"Incomplete","Complete")</f>
        <v>Complete</v>
      </c>
      <c r="I23029" s="48" t="s">
        <v>27394</v>
      </c>
    </row>
    <row r="23030" spans="2:9" ht="15" customHeight="1" x14ac:dyDescent="0.25">
      <c r="B23030" s="55" t="s">
        <v>283</v>
      </c>
      <c r="C23030" s="46">
        <v>3018</v>
      </c>
      <c r="D23030" s="69" t="s">
        <v>29420</v>
      </c>
      <c r="E23030" s="51"/>
      <c r="F23030" s="114" t="str">
        <f>IF(INDEX(I.Facility.P4IDNumber,3018)="","",INDEX(I.Facility.P4IDNumber,3018))</f>
        <v/>
      </c>
      <c r="G23030" s="51"/>
      <c r="H23030" s="46" t="str">
        <f>IF(AND(I.Developer.P4=TRUE,I.Facility.P4FacilityCount&gt;=3018,F23030=""),"Incomplete","Complete")</f>
        <v>Complete</v>
      </c>
      <c r="I23030" s="48" t="s">
        <v>27395</v>
      </c>
    </row>
    <row r="23031" spans="2:9" ht="15" customHeight="1" x14ac:dyDescent="0.25">
      <c r="B23031" s="55" t="s">
        <v>283</v>
      </c>
      <c r="C23031" s="46">
        <v>3019</v>
      </c>
      <c r="D23031" s="69" t="s">
        <v>29420</v>
      </c>
      <c r="E23031" s="51"/>
      <c r="F23031" s="114" t="str">
        <f>IF(INDEX(I.Facility.P4IDNumber,3019)="","",INDEX(I.Facility.P4IDNumber,3019))</f>
        <v/>
      </c>
      <c r="G23031" s="51"/>
      <c r="H23031" s="46" t="str">
        <f>IF(AND(I.Developer.P4=TRUE,I.Facility.P4FacilityCount&gt;=3019,F23031=""),"Incomplete","Complete")</f>
        <v>Complete</v>
      </c>
      <c r="I23031" s="48" t="s">
        <v>27396</v>
      </c>
    </row>
    <row r="23032" spans="2:9" ht="15" customHeight="1" x14ac:dyDescent="0.25">
      <c r="B23032" s="55" t="s">
        <v>283</v>
      </c>
      <c r="C23032" s="46">
        <v>3020</v>
      </c>
      <c r="D23032" s="69" t="s">
        <v>29420</v>
      </c>
      <c r="E23032" s="51"/>
      <c r="F23032" s="114" t="str">
        <f>IF(INDEX(I.Facility.P4IDNumber,3020)="","",INDEX(I.Facility.P4IDNumber,3020))</f>
        <v/>
      </c>
      <c r="G23032" s="51"/>
      <c r="H23032" s="46" t="str">
        <f>IF(AND(I.Developer.P4=TRUE,I.Facility.P4FacilityCount&gt;=3020,F23032=""),"Incomplete","Complete")</f>
        <v>Complete</v>
      </c>
      <c r="I23032" s="48" t="s">
        <v>27397</v>
      </c>
    </row>
    <row r="23033" spans="2:9" ht="15" customHeight="1" x14ac:dyDescent="0.25">
      <c r="B23033" s="55" t="s">
        <v>283</v>
      </c>
      <c r="C23033" s="46">
        <v>3021</v>
      </c>
      <c r="D23033" s="69" t="s">
        <v>29420</v>
      </c>
      <c r="E23033" s="51"/>
      <c r="F23033" s="114" t="str">
        <f>IF(INDEX(I.Facility.P4IDNumber,3021)="","",INDEX(I.Facility.P4IDNumber,3021))</f>
        <v/>
      </c>
      <c r="G23033" s="51"/>
      <c r="H23033" s="46" t="str">
        <f>IF(AND(I.Developer.P4=TRUE,I.Facility.P4FacilityCount&gt;=3021,F23033=""),"Incomplete","Complete")</f>
        <v>Complete</v>
      </c>
      <c r="I23033" s="48" t="s">
        <v>27398</v>
      </c>
    </row>
    <row r="23034" spans="2:9" ht="15" customHeight="1" x14ac:dyDescent="0.25">
      <c r="B23034" s="55" t="s">
        <v>283</v>
      </c>
      <c r="C23034" s="46">
        <v>3022</v>
      </c>
      <c r="D23034" s="69" t="s">
        <v>29420</v>
      </c>
      <c r="E23034" s="51"/>
      <c r="F23034" s="114" t="str">
        <f>IF(INDEX(I.Facility.P4IDNumber,3022)="","",INDEX(I.Facility.P4IDNumber,3022))</f>
        <v/>
      </c>
      <c r="G23034" s="51"/>
      <c r="H23034" s="46" t="str">
        <f>IF(AND(I.Developer.P4=TRUE,I.Facility.P4FacilityCount&gt;=3022,F23034=""),"Incomplete","Complete")</f>
        <v>Complete</v>
      </c>
      <c r="I23034" s="48" t="s">
        <v>27399</v>
      </c>
    </row>
    <row r="23035" spans="2:9" ht="15" customHeight="1" x14ac:dyDescent="0.25">
      <c r="B23035" s="55" t="s">
        <v>283</v>
      </c>
      <c r="C23035" s="46">
        <v>3023</v>
      </c>
      <c r="D23035" s="69" t="s">
        <v>29420</v>
      </c>
      <c r="E23035" s="51"/>
      <c r="F23035" s="114" t="str">
        <f>IF(INDEX(I.Facility.P4IDNumber,3023)="","",INDEX(I.Facility.P4IDNumber,3023))</f>
        <v/>
      </c>
      <c r="G23035" s="51"/>
      <c r="H23035" s="46" t="str">
        <f>IF(AND(I.Developer.P4=TRUE,I.Facility.P4FacilityCount&gt;=3023,F23035=""),"Incomplete","Complete")</f>
        <v>Complete</v>
      </c>
      <c r="I23035" s="48" t="s">
        <v>27400</v>
      </c>
    </row>
    <row r="23036" spans="2:9" ht="15" customHeight="1" x14ac:dyDescent="0.25">
      <c r="B23036" s="55" t="s">
        <v>283</v>
      </c>
      <c r="C23036" s="46">
        <v>3024</v>
      </c>
      <c r="D23036" s="69" t="s">
        <v>29420</v>
      </c>
      <c r="E23036" s="51"/>
      <c r="F23036" s="114" t="str">
        <f>IF(INDEX(I.Facility.P4IDNumber,3024)="","",INDEX(I.Facility.P4IDNumber,3024))</f>
        <v/>
      </c>
      <c r="G23036" s="51"/>
      <c r="H23036" s="46" t="str">
        <f>IF(AND(I.Developer.P4=TRUE,I.Facility.P4FacilityCount&gt;=3024,F23036=""),"Incomplete","Complete")</f>
        <v>Complete</v>
      </c>
      <c r="I23036" s="48" t="s">
        <v>27401</v>
      </c>
    </row>
    <row r="23037" spans="2:9" ht="15" customHeight="1" x14ac:dyDescent="0.25">
      <c r="B23037" s="55" t="s">
        <v>283</v>
      </c>
      <c r="C23037" s="46">
        <v>3025</v>
      </c>
      <c r="D23037" s="69" t="s">
        <v>29420</v>
      </c>
      <c r="E23037" s="51"/>
      <c r="F23037" s="114" t="str">
        <f>IF(INDEX(I.Facility.P4IDNumber,3025)="","",INDEX(I.Facility.P4IDNumber,3025))</f>
        <v/>
      </c>
      <c r="G23037" s="51"/>
      <c r="H23037" s="46" t="str">
        <f>IF(AND(I.Developer.P4=TRUE,I.Facility.P4FacilityCount&gt;=3025,F23037=""),"Incomplete","Complete")</f>
        <v>Complete</v>
      </c>
      <c r="I23037" s="48" t="s">
        <v>27402</v>
      </c>
    </row>
    <row r="23038" spans="2:9" ht="15" customHeight="1" x14ac:dyDescent="0.25">
      <c r="B23038" s="55" t="s">
        <v>283</v>
      </c>
      <c r="C23038" s="46">
        <v>3026</v>
      </c>
      <c r="D23038" s="69" t="s">
        <v>29420</v>
      </c>
      <c r="E23038" s="51"/>
      <c r="F23038" s="114" t="str">
        <f>IF(INDEX(I.Facility.P4IDNumber,3026)="","",INDEX(I.Facility.P4IDNumber,3026))</f>
        <v/>
      </c>
      <c r="G23038" s="51"/>
      <c r="H23038" s="46" t="str">
        <f>IF(AND(I.Developer.P4=TRUE,I.Facility.P4FacilityCount&gt;=3026,F23038=""),"Incomplete","Complete")</f>
        <v>Complete</v>
      </c>
      <c r="I23038" s="48" t="s">
        <v>27403</v>
      </c>
    </row>
    <row r="23039" spans="2:9" ht="15" customHeight="1" x14ac:dyDescent="0.25">
      <c r="B23039" s="55" t="s">
        <v>283</v>
      </c>
      <c r="C23039" s="46">
        <v>3027</v>
      </c>
      <c r="D23039" s="69" t="s">
        <v>29420</v>
      </c>
      <c r="E23039" s="51"/>
      <c r="F23039" s="114" t="str">
        <f>IF(INDEX(I.Facility.P4IDNumber,3027)="","",INDEX(I.Facility.P4IDNumber,3027))</f>
        <v/>
      </c>
      <c r="G23039" s="51"/>
      <c r="H23039" s="46" t="str">
        <f>IF(AND(I.Developer.P4=TRUE,I.Facility.P4FacilityCount&gt;=3027,F23039=""),"Incomplete","Complete")</f>
        <v>Complete</v>
      </c>
      <c r="I23039" s="48" t="s">
        <v>27404</v>
      </c>
    </row>
    <row r="23040" spans="2:9" ht="15" customHeight="1" x14ac:dyDescent="0.25">
      <c r="B23040" s="55" t="s">
        <v>283</v>
      </c>
      <c r="C23040" s="46">
        <v>3028</v>
      </c>
      <c r="D23040" s="69" t="s">
        <v>29420</v>
      </c>
      <c r="E23040" s="51"/>
      <c r="F23040" s="114" t="str">
        <f>IF(INDEX(I.Facility.P4IDNumber,3028)="","",INDEX(I.Facility.P4IDNumber,3028))</f>
        <v/>
      </c>
      <c r="G23040" s="51"/>
      <c r="H23040" s="46" t="str">
        <f>IF(AND(I.Developer.P4=TRUE,I.Facility.P4FacilityCount&gt;=3028,F23040=""),"Incomplete","Complete")</f>
        <v>Complete</v>
      </c>
      <c r="I23040" s="48" t="s">
        <v>27405</v>
      </c>
    </row>
    <row r="23041" spans="2:9" ht="15" customHeight="1" x14ac:dyDescent="0.25">
      <c r="B23041" s="55" t="s">
        <v>283</v>
      </c>
      <c r="C23041" s="46">
        <v>3029</v>
      </c>
      <c r="D23041" s="69" t="s">
        <v>29420</v>
      </c>
      <c r="E23041" s="51"/>
      <c r="F23041" s="114" t="str">
        <f>IF(INDEX(I.Facility.P4IDNumber,3029)="","",INDEX(I.Facility.P4IDNumber,3029))</f>
        <v/>
      </c>
      <c r="G23041" s="51"/>
      <c r="H23041" s="46" t="str">
        <f>IF(AND(I.Developer.P4=TRUE,I.Facility.P4FacilityCount&gt;=3029,F23041=""),"Incomplete","Complete")</f>
        <v>Complete</v>
      </c>
      <c r="I23041" s="48" t="s">
        <v>27406</v>
      </c>
    </row>
    <row r="23042" spans="2:9" ht="15" customHeight="1" x14ac:dyDescent="0.25">
      <c r="B23042" s="55" t="s">
        <v>283</v>
      </c>
      <c r="C23042" s="46">
        <v>3030</v>
      </c>
      <c r="D23042" s="69" t="s">
        <v>29420</v>
      </c>
      <c r="E23042" s="51"/>
      <c r="F23042" s="114" t="str">
        <f>IF(INDEX(I.Facility.P4IDNumber,3030)="","",INDEX(I.Facility.P4IDNumber,3030))</f>
        <v/>
      </c>
      <c r="G23042" s="51"/>
      <c r="H23042" s="46" t="str">
        <f>IF(AND(I.Developer.P4=TRUE,I.Facility.P4FacilityCount&gt;=3030,F23042=""),"Incomplete","Complete")</f>
        <v>Complete</v>
      </c>
      <c r="I23042" s="48" t="s">
        <v>27407</v>
      </c>
    </row>
    <row r="23043" spans="2:9" ht="15" customHeight="1" x14ac:dyDescent="0.25">
      <c r="B23043" s="55" t="s">
        <v>283</v>
      </c>
      <c r="C23043" s="46">
        <v>3031</v>
      </c>
      <c r="D23043" s="69" t="s">
        <v>29420</v>
      </c>
      <c r="E23043" s="51"/>
      <c r="F23043" s="114" t="str">
        <f>IF(INDEX(I.Facility.P4IDNumber,3031)="","",INDEX(I.Facility.P4IDNumber,3031))</f>
        <v/>
      </c>
      <c r="G23043" s="51"/>
      <c r="H23043" s="46" t="str">
        <f>IF(AND(I.Developer.P4=TRUE,I.Facility.P4FacilityCount&gt;=3031,F23043=""),"Incomplete","Complete")</f>
        <v>Complete</v>
      </c>
      <c r="I23043" s="48" t="s">
        <v>27408</v>
      </c>
    </row>
    <row r="23044" spans="2:9" ht="15" customHeight="1" x14ac:dyDescent="0.25">
      <c r="B23044" s="55" t="s">
        <v>283</v>
      </c>
      <c r="C23044" s="46">
        <v>3032</v>
      </c>
      <c r="D23044" s="69" t="s">
        <v>29420</v>
      </c>
      <c r="E23044" s="51"/>
      <c r="F23044" s="114" t="str">
        <f>IF(INDEX(I.Facility.P4IDNumber,3032)="","",INDEX(I.Facility.P4IDNumber,3032))</f>
        <v/>
      </c>
      <c r="G23044" s="51"/>
      <c r="H23044" s="46" t="str">
        <f>IF(AND(I.Developer.P4=TRUE,I.Facility.P4FacilityCount&gt;=3032,F23044=""),"Incomplete","Complete")</f>
        <v>Complete</v>
      </c>
      <c r="I23044" s="48" t="s">
        <v>27409</v>
      </c>
    </row>
    <row r="23045" spans="2:9" ht="15" customHeight="1" x14ac:dyDescent="0.25">
      <c r="B23045" s="55" t="s">
        <v>283</v>
      </c>
      <c r="C23045" s="46">
        <v>3033</v>
      </c>
      <c r="D23045" s="69" t="s">
        <v>29420</v>
      </c>
      <c r="E23045" s="51"/>
      <c r="F23045" s="114" t="str">
        <f>IF(INDEX(I.Facility.P4IDNumber,3033)="","",INDEX(I.Facility.P4IDNumber,3033))</f>
        <v/>
      </c>
      <c r="G23045" s="51"/>
      <c r="H23045" s="46" t="str">
        <f>IF(AND(I.Developer.P4=TRUE,I.Facility.P4FacilityCount&gt;=3033,F23045=""),"Incomplete","Complete")</f>
        <v>Complete</v>
      </c>
      <c r="I23045" s="48" t="s">
        <v>27410</v>
      </c>
    </row>
    <row r="23046" spans="2:9" ht="15" customHeight="1" x14ac:dyDescent="0.25">
      <c r="B23046" s="55" t="s">
        <v>283</v>
      </c>
      <c r="C23046" s="46">
        <v>3034</v>
      </c>
      <c r="D23046" s="69" t="s">
        <v>29420</v>
      </c>
      <c r="E23046" s="51"/>
      <c r="F23046" s="114" t="str">
        <f>IF(INDEX(I.Facility.P4IDNumber,3034)="","",INDEX(I.Facility.P4IDNumber,3034))</f>
        <v/>
      </c>
      <c r="G23046" s="51"/>
      <c r="H23046" s="46" t="str">
        <f>IF(AND(I.Developer.P4=TRUE,I.Facility.P4FacilityCount&gt;=3034,F23046=""),"Incomplete","Complete")</f>
        <v>Complete</v>
      </c>
      <c r="I23046" s="48" t="s">
        <v>27411</v>
      </c>
    </row>
    <row r="23047" spans="2:9" ht="15" customHeight="1" x14ac:dyDescent="0.25">
      <c r="B23047" s="55" t="s">
        <v>283</v>
      </c>
      <c r="C23047" s="46">
        <v>3035</v>
      </c>
      <c r="D23047" s="69" t="s">
        <v>29420</v>
      </c>
      <c r="E23047" s="51"/>
      <c r="F23047" s="114" t="str">
        <f>IF(INDEX(I.Facility.P4IDNumber,3035)="","",INDEX(I.Facility.P4IDNumber,3035))</f>
        <v/>
      </c>
      <c r="G23047" s="51"/>
      <c r="H23047" s="46" t="str">
        <f>IF(AND(I.Developer.P4=TRUE,I.Facility.P4FacilityCount&gt;=3035,F23047=""),"Incomplete","Complete")</f>
        <v>Complete</v>
      </c>
      <c r="I23047" s="48" t="s">
        <v>27412</v>
      </c>
    </row>
    <row r="23048" spans="2:9" ht="15" customHeight="1" x14ac:dyDescent="0.25">
      <c r="B23048" s="55" t="s">
        <v>283</v>
      </c>
      <c r="C23048" s="46">
        <v>3036</v>
      </c>
      <c r="D23048" s="69" t="s">
        <v>29420</v>
      </c>
      <c r="E23048" s="51"/>
      <c r="F23048" s="114" t="str">
        <f>IF(INDEX(I.Facility.P4IDNumber,3036)="","",INDEX(I.Facility.P4IDNumber,3036))</f>
        <v/>
      </c>
      <c r="G23048" s="51"/>
      <c r="H23048" s="46" t="str">
        <f>IF(AND(I.Developer.P4=TRUE,I.Facility.P4FacilityCount&gt;=3036,F23048=""),"Incomplete","Complete")</f>
        <v>Complete</v>
      </c>
      <c r="I23048" s="48" t="s">
        <v>27413</v>
      </c>
    </row>
    <row r="23049" spans="2:9" ht="15" customHeight="1" x14ac:dyDescent="0.25">
      <c r="B23049" s="55" t="s">
        <v>283</v>
      </c>
      <c r="C23049" s="46">
        <v>3037</v>
      </c>
      <c r="D23049" s="69" t="s">
        <v>29420</v>
      </c>
      <c r="E23049" s="51"/>
      <c r="F23049" s="114" t="str">
        <f>IF(INDEX(I.Facility.P4IDNumber,3037)="","",INDEX(I.Facility.P4IDNumber,3037))</f>
        <v/>
      </c>
      <c r="G23049" s="51"/>
      <c r="H23049" s="46" t="str">
        <f>IF(AND(I.Developer.P4=TRUE,I.Facility.P4FacilityCount&gt;=3037,F23049=""),"Incomplete","Complete")</f>
        <v>Complete</v>
      </c>
      <c r="I23049" s="48" t="s">
        <v>27414</v>
      </c>
    </row>
    <row r="23050" spans="2:9" ht="15" customHeight="1" x14ac:dyDescent="0.25">
      <c r="B23050" s="55" t="s">
        <v>283</v>
      </c>
      <c r="C23050" s="46">
        <v>3038</v>
      </c>
      <c r="D23050" s="69" t="s">
        <v>29420</v>
      </c>
      <c r="E23050" s="51"/>
      <c r="F23050" s="114" t="str">
        <f>IF(INDEX(I.Facility.P4IDNumber,3038)="","",INDEX(I.Facility.P4IDNumber,3038))</f>
        <v/>
      </c>
      <c r="G23050" s="51"/>
      <c r="H23050" s="46" t="str">
        <f>IF(AND(I.Developer.P4=TRUE,I.Facility.P4FacilityCount&gt;=3038,F23050=""),"Incomplete","Complete")</f>
        <v>Complete</v>
      </c>
      <c r="I23050" s="48" t="s">
        <v>27415</v>
      </c>
    </row>
    <row r="23051" spans="2:9" ht="15" customHeight="1" x14ac:dyDescent="0.25">
      <c r="B23051" s="55" t="s">
        <v>283</v>
      </c>
      <c r="C23051" s="46">
        <v>3039</v>
      </c>
      <c r="D23051" s="69" t="s">
        <v>29420</v>
      </c>
      <c r="E23051" s="51"/>
      <c r="F23051" s="114" t="str">
        <f>IF(INDEX(I.Facility.P4IDNumber,3039)="","",INDEX(I.Facility.P4IDNumber,3039))</f>
        <v/>
      </c>
      <c r="G23051" s="51"/>
      <c r="H23051" s="46" t="str">
        <f>IF(AND(I.Developer.P4=TRUE,I.Facility.P4FacilityCount&gt;=3039,F23051=""),"Incomplete","Complete")</f>
        <v>Complete</v>
      </c>
      <c r="I23051" s="48" t="s">
        <v>27416</v>
      </c>
    </row>
    <row r="23052" spans="2:9" ht="15" customHeight="1" x14ac:dyDescent="0.25">
      <c r="B23052" s="55" t="s">
        <v>283</v>
      </c>
      <c r="C23052" s="46">
        <v>3040</v>
      </c>
      <c r="D23052" s="69" t="s">
        <v>29420</v>
      </c>
      <c r="E23052" s="51"/>
      <c r="F23052" s="114" t="str">
        <f>IF(INDEX(I.Facility.P4IDNumber,3040)="","",INDEX(I.Facility.P4IDNumber,3040))</f>
        <v/>
      </c>
      <c r="G23052" s="51"/>
      <c r="H23052" s="46" t="str">
        <f>IF(AND(I.Developer.P4=TRUE,I.Facility.P4FacilityCount&gt;=3040,F23052=""),"Incomplete","Complete")</f>
        <v>Complete</v>
      </c>
      <c r="I23052" s="48" t="s">
        <v>27417</v>
      </c>
    </row>
    <row r="23053" spans="2:9" ht="15" customHeight="1" x14ac:dyDescent="0.25">
      <c r="B23053" s="55" t="s">
        <v>283</v>
      </c>
      <c r="C23053" s="46">
        <v>3041</v>
      </c>
      <c r="D23053" s="69" t="s">
        <v>29420</v>
      </c>
      <c r="E23053" s="51"/>
      <c r="F23053" s="114" t="str">
        <f>IF(INDEX(I.Facility.P4IDNumber,3041)="","",INDEX(I.Facility.P4IDNumber,3041))</f>
        <v/>
      </c>
      <c r="G23053" s="51"/>
      <c r="H23053" s="46" t="str">
        <f>IF(AND(I.Developer.P4=TRUE,I.Facility.P4FacilityCount&gt;=3041,F23053=""),"Incomplete","Complete")</f>
        <v>Complete</v>
      </c>
      <c r="I23053" s="48" t="s">
        <v>27418</v>
      </c>
    </row>
    <row r="23054" spans="2:9" ht="15" customHeight="1" x14ac:dyDescent="0.25">
      <c r="B23054" s="55" t="s">
        <v>283</v>
      </c>
      <c r="C23054" s="46">
        <v>3042</v>
      </c>
      <c r="D23054" s="69" t="s">
        <v>29420</v>
      </c>
      <c r="E23054" s="51"/>
      <c r="F23054" s="114" t="str">
        <f>IF(INDEX(I.Facility.P4IDNumber,3042)="","",INDEX(I.Facility.P4IDNumber,3042))</f>
        <v/>
      </c>
      <c r="G23054" s="51"/>
      <c r="H23054" s="46" t="str">
        <f>IF(AND(I.Developer.P4=TRUE,I.Facility.P4FacilityCount&gt;=3042,F23054=""),"Incomplete","Complete")</f>
        <v>Complete</v>
      </c>
      <c r="I23054" s="48" t="s">
        <v>27419</v>
      </c>
    </row>
    <row r="23055" spans="2:9" ht="15" customHeight="1" x14ac:dyDescent="0.25">
      <c r="B23055" s="55" t="s">
        <v>283</v>
      </c>
      <c r="C23055" s="46">
        <v>3043</v>
      </c>
      <c r="D23055" s="69" t="s">
        <v>29420</v>
      </c>
      <c r="E23055" s="51"/>
      <c r="F23055" s="114" t="str">
        <f>IF(INDEX(I.Facility.P4IDNumber,3043)="","",INDEX(I.Facility.P4IDNumber,3043))</f>
        <v/>
      </c>
      <c r="G23055" s="51"/>
      <c r="H23055" s="46" t="str">
        <f>IF(AND(I.Developer.P4=TRUE,I.Facility.P4FacilityCount&gt;=3043,F23055=""),"Incomplete","Complete")</f>
        <v>Complete</v>
      </c>
      <c r="I23055" s="48" t="s">
        <v>27420</v>
      </c>
    </row>
    <row r="23056" spans="2:9" ht="15" customHeight="1" x14ac:dyDescent="0.25">
      <c r="B23056" s="55" t="s">
        <v>283</v>
      </c>
      <c r="C23056" s="46">
        <v>3044</v>
      </c>
      <c r="D23056" s="69" t="s">
        <v>29420</v>
      </c>
      <c r="E23056" s="51"/>
      <c r="F23056" s="114" t="str">
        <f>IF(INDEX(I.Facility.P4IDNumber,3044)="","",INDEX(I.Facility.P4IDNumber,3044))</f>
        <v/>
      </c>
      <c r="G23056" s="51"/>
      <c r="H23056" s="46" t="str">
        <f>IF(AND(I.Developer.P4=TRUE,I.Facility.P4FacilityCount&gt;=3044,F23056=""),"Incomplete","Complete")</f>
        <v>Complete</v>
      </c>
      <c r="I23056" s="48" t="s">
        <v>27421</v>
      </c>
    </row>
    <row r="23057" spans="2:9" ht="15" customHeight="1" x14ac:dyDescent="0.25">
      <c r="B23057" s="55" t="s">
        <v>283</v>
      </c>
      <c r="C23057" s="46">
        <v>3045</v>
      </c>
      <c r="D23057" s="69" t="s">
        <v>29420</v>
      </c>
      <c r="E23057" s="51"/>
      <c r="F23057" s="114" t="str">
        <f>IF(INDEX(I.Facility.P4IDNumber,3045)="","",INDEX(I.Facility.P4IDNumber,3045))</f>
        <v/>
      </c>
      <c r="G23057" s="51"/>
      <c r="H23057" s="46" t="str">
        <f>IF(AND(I.Developer.P4=TRUE,I.Facility.P4FacilityCount&gt;=3045,F23057=""),"Incomplete","Complete")</f>
        <v>Complete</v>
      </c>
      <c r="I23057" s="48" t="s">
        <v>27422</v>
      </c>
    </row>
    <row r="23058" spans="2:9" ht="15" customHeight="1" x14ac:dyDescent="0.25">
      <c r="B23058" s="55" t="s">
        <v>283</v>
      </c>
      <c r="C23058" s="46">
        <v>3046</v>
      </c>
      <c r="D23058" s="69" t="s">
        <v>29420</v>
      </c>
      <c r="E23058" s="51"/>
      <c r="F23058" s="114" t="str">
        <f>IF(INDEX(I.Facility.P4IDNumber,3046)="","",INDEX(I.Facility.P4IDNumber,3046))</f>
        <v/>
      </c>
      <c r="G23058" s="51"/>
      <c r="H23058" s="46" t="str">
        <f>IF(AND(I.Developer.P4=TRUE,I.Facility.P4FacilityCount&gt;=3046,F23058=""),"Incomplete","Complete")</f>
        <v>Complete</v>
      </c>
      <c r="I23058" s="48" t="s">
        <v>27423</v>
      </c>
    </row>
    <row r="23059" spans="2:9" ht="15" customHeight="1" x14ac:dyDescent="0.25">
      <c r="B23059" s="55" t="s">
        <v>283</v>
      </c>
      <c r="C23059" s="46">
        <v>3047</v>
      </c>
      <c r="D23059" s="69" t="s">
        <v>29420</v>
      </c>
      <c r="E23059" s="51"/>
      <c r="F23059" s="114" t="str">
        <f>IF(INDEX(I.Facility.P4IDNumber,3047)="","",INDEX(I.Facility.P4IDNumber,3047))</f>
        <v/>
      </c>
      <c r="G23059" s="51"/>
      <c r="H23059" s="46" t="str">
        <f>IF(AND(I.Developer.P4=TRUE,I.Facility.P4FacilityCount&gt;=3047,F23059=""),"Incomplete","Complete")</f>
        <v>Complete</v>
      </c>
      <c r="I23059" s="48" t="s">
        <v>27424</v>
      </c>
    </row>
    <row r="23060" spans="2:9" ht="15" customHeight="1" x14ac:dyDescent="0.25">
      <c r="B23060" s="55" t="s">
        <v>283</v>
      </c>
      <c r="C23060" s="46">
        <v>3048</v>
      </c>
      <c r="D23060" s="69" t="s">
        <v>29420</v>
      </c>
      <c r="E23060" s="51"/>
      <c r="F23060" s="114" t="str">
        <f>IF(INDEX(I.Facility.P4IDNumber,3048)="","",INDEX(I.Facility.P4IDNumber,3048))</f>
        <v/>
      </c>
      <c r="G23060" s="51"/>
      <c r="H23060" s="46" t="str">
        <f>IF(AND(I.Developer.P4=TRUE,I.Facility.P4FacilityCount&gt;=3048,F23060=""),"Incomplete","Complete")</f>
        <v>Complete</v>
      </c>
      <c r="I23060" s="48" t="s">
        <v>27425</v>
      </c>
    </row>
    <row r="23061" spans="2:9" ht="15" customHeight="1" x14ac:dyDescent="0.25">
      <c r="B23061" s="55" t="s">
        <v>283</v>
      </c>
      <c r="C23061" s="46">
        <v>3049</v>
      </c>
      <c r="D23061" s="69" t="s">
        <v>29420</v>
      </c>
      <c r="E23061" s="51"/>
      <c r="F23061" s="114" t="str">
        <f>IF(INDEX(I.Facility.P4IDNumber,3049)="","",INDEX(I.Facility.P4IDNumber,3049))</f>
        <v/>
      </c>
      <c r="G23061" s="51"/>
      <c r="H23061" s="46" t="str">
        <f>IF(AND(I.Developer.P4=TRUE,I.Facility.P4FacilityCount&gt;=3049,F23061=""),"Incomplete","Complete")</f>
        <v>Complete</v>
      </c>
      <c r="I23061" s="48" t="s">
        <v>27426</v>
      </c>
    </row>
    <row r="23062" spans="2:9" ht="15" customHeight="1" x14ac:dyDescent="0.25">
      <c r="B23062" s="55" t="s">
        <v>283</v>
      </c>
      <c r="C23062" s="46">
        <v>3050</v>
      </c>
      <c r="D23062" s="69" t="s">
        <v>29420</v>
      </c>
      <c r="E23062" s="51"/>
      <c r="F23062" s="114" t="str">
        <f>IF(INDEX(I.Facility.P4IDNumber,3050)="","",INDEX(I.Facility.P4IDNumber,3050))</f>
        <v/>
      </c>
      <c r="G23062" s="51"/>
      <c r="H23062" s="46" t="str">
        <f>IF(AND(I.Developer.P4=TRUE,I.Facility.P4FacilityCount&gt;=3050,F23062=""),"Incomplete","Complete")</f>
        <v>Complete</v>
      </c>
      <c r="I23062" s="48" t="s">
        <v>27427</v>
      </c>
    </row>
    <row r="23063" spans="2:9" ht="15" customHeight="1" x14ac:dyDescent="0.25">
      <c r="B23063" s="55" t="s">
        <v>283</v>
      </c>
      <c r="C23063" s="46">
        <v>3051</v>
      </c>
      <c r="D23063" s="69" t="s">
        <v>29420</v>
      </c>
      <c r="E23063" s="51"/>
      <c r="F23063" s="114" t="str">
        <f>IF(INDEX(I.Facility.P4IDNumber,3051)="","",INDEX(I.Facility.P4IDNumber,3051))</f>
        <v/>
      </c>
      <c r="G23063" s="51"/>
      <c r="H23063" s="46" t="str">
        <f>IF(AND(I.Developer.P4=TRUE,I.Facility.P4FacilityCount&gt;=3051,F23063=""),"Incomplete","Complete")</f>
        <v>Complete</v>
      </c>
      <c r="I23063" s="48" t="s">
        <v>27428</v>
      </c>
    </row>
    <row r="23064" spans="2:9" ht="15" customHeight="1" x14ac:dyDescent="0.25">
      <c r="B23064" s="55" t="s">
        <v>283</v>
      </c>
      <c r="C23064" s="46">
        <v>3052</v>
      </c>
      <c r="D23064" s="69" t="s">
        <v>29420</v>
      </c>
      <c r="E23064" s="51"/>
      <c r="F23064" s="114" t="str">
        <f>IF(INDEX(I.Facility.P4IDNumber,3052)="","",INDEX(I.Facility.P4IDNumber,3052))</f>
        <v/>
      </c>
      <c r="G23064" s="51"/>
      <c r="H23064" s="46" t="str">
        <f>IF(AND(I.Developer.P4=TRUE,I.Facility.P4FacilityCount&gt;=3052,F23064=""),"Incomplete","Complete")</f>
        <v>Complete</v>
      </c>
      <c r="I23064" s="48" t="s">
        <v>27429</v>
      </c>
    </row>
    <row r="23065" spans="2:9" ht="15" customHeight="1" x14ac:dyDescent="0.25">
      <c r="B23065" s="55" t="s">
        <v>283</v>
      </c>
      <c r="C23065" s="46">
        <v>3053</v>
      </c>
      <c r="D23065" s="69" t="s">
        <v>29420</v>
      </c>
      <c r="E23065" s="51"/>
      <c r="F23065" s="114" t="str">
        <f>IF(INDEX(I.Facility.P4IDNumber,3053)="","",INDEX(I.Facility.P4IDNumber,3053))</f>
        <v/>
      </c>
      <c r="G23065" s="51"/>
      <c r="H23065" s="46" t="str">
        <f>IF(AND(I.Developer.P4=TRUE,I.Facility.P4FacilityCount&gt;=3053,F23065=""),"Incomplete","Complete")</f>
        <v>Complete</v>
      </c>
      <c r="I23065" s="48" t="s">
        <v>27430</v>
      </c>
    </row>
    <row r="23066" spans="2:9" ht="15" customHeight="1" x14ac:dyDescent="0.25">
      <c r="B23066" s="55" t="s">
        <v>283</v>
      </c>
      <c r="C23066" s="46">
        <v>3054</v>
      </c>
      <c r="D23066" s="69" t="s">
        <v>29420</v>
      </c>
      <c r="E23066" s="51"/>
      <c r="F23066" s="114" t="str">
        <f>IF(INDEX(I.Facility.P4IDNumber,3054)="","",INDEX(I.Facility.P4IDNumber,3054))</f>
        <v/>
      </c>
      <c r="G23066" s="51"/>
      <c r="H23066" s="46" t="str">
        <f>IF(AND(I.Developer.P4=TRUE,I.Facility.P4FacilityCount&gt;=3054,F23066=""),"Incomplete","Complete")</f>
        <v>Complete</v>
      </c>
      <c r="I23066" s="48" t="s">
        <v>27431</v>
      </c>
    </row>
    <row r="23067" spans="2:9" ht="15" customHeight="1" x14ac:dyDescent="0.25">
      <c r="B23067" s="55" t="s">
        <v>283</v>
      </c>
      <c r="C23067" s="46">
        <v>3055</v>
      </c>
      <c r="D23067" s="69" t="s">
        <v>29420</v>
      </c>
      <c r="E23067" s="51"/>
      <c r="F23067" s="114" t="str">
        <f>IF(INDEX(I.Facility.P4IDNumber,3055)="","",INDEX(I.Facility.P4IDNumber,3055))</f>
        <v/>
      </c>
      <c r="G23067" s="51"/>
      <c r="H23067" s="46" t="str">
        <f>IF(AND(I.Developer.P4=TRUE,I.Facility.P4FacilityCount&gt;=3055,F23067=""),"Incomplete","Complete")</f>
        <v>Complete</v>
      </c>
      <c r="I23067" s="48" t="s">
        <v>27432</v>
      </c>
    </row>
    <row r="23068" spans="2:9" ht="15" customHeight="1" x14ac:dyDescent="0.25">
      <c r="B23068" s="55" t="s">
        <v>283</v>
      </c>
      <c r="C23068" s="46">
        <v>3056</v>
      </c>
      <c r="D23068" s="69" t="s">
        <v>29420</v>
      </c>
      <c r="E23068" s="51"/>
      <c r="F23068" s="114" t="str">
        <f>IF(INDEX(I.Facility.P4IDNumber,3056)="","",INDEX(I.Facility.P4IDNumber,3056))</f>
        <v/>
      </c>
      <c r="G23068" s="51"/>
      <c r="H23068" s="46" t="str">
        <f>IF(AND(I.Developer.P4=TRUE,I.Facility.P4FacilityCount&gt;=3056,F23068=""),"Incomplete","Complete")</f>
        <v>Complete</v>
      </c>
      <c r="I23068" s="48" t="s">
        <v>27433</v>
      </c>
    </row>
    <row r="23069" spans="2:9" ht="15" customHeight="1" x14ac:dyDescent="0.25">
      <c r="B23069" s="55" t="s">
        <v>283</v>
      </c>
      <c r="C23069" s="46">
        <v>3057</v>
      </c>
      <c r="D23069" s="69" t="s">
        <v>29420</v>
      </c>
      <c r="E23069" s="51"/>
      <c r="F23069" s="114" t="str">
        <f>IF(INDEX(I.Facility.P4IDNumber,3057)="","",INDEX(I.Facility.P4IDNumber,3057))</f>
        <v/>
      </c>
      <c r="G23069" s="51"/>
      <c r="H23069" s="46" t="str">
        <f>IF(AND(I.Developer.P4=TRUE,I.Facility.P4FacilityCount&gt;=3057,F23069=""),"Incomplete","Complete")</f>
        <v>Complete</v>
      </c>
      <c r="I23069" s="48" t="s">
        <v>27434</v>
      </c>
    </row>
    <row r="23070" spans="2:9" ht="15" customHeight="1" x14ac:dyDescent="0.25">
      <c r="B23070" s="55" t="s">
        <v>283</v>
      </c>
      <c r="C23070" s="46">
        <v>3058</v>
      </c>
      <c r="D23070" s="69" t="s">
        <v>29420</v>
      </c>
      <c r="E23070" s="51"/>
      <c r="F23070" s="114" t="str">
        <f>IF(INDEX(I.Facility.P4IDNumber,3058)="","",INDEX(I.Facility.P4IDNumber,3058))</f>
        <v/>
      </c>
      <c r="G23070" s="51"/>
      <c r="H23070" s="46" t="str">
        <f>IF(AND(I.Developer.P4=TRUE,I.Facility.P4FacilityCount&gt;=3058,F23070=""),"Incomplete","Complete")</f>
        <v>Complete</v>
      </c>
      <c r="I23070" s="48" t="s">
        <v>27435</v>
      </c>
    </row>
    <row r="23071" spans="2:9" ht="15" customHeight="1" x14ac:dyDescent="0.25">
      <c r="B23071" s="55" t="s">
        <v>283</v>
      </c>
      <c r="C23071" s="46">
        <v>3059</v>
      </c>
      <c r="D23071" s="69" t="s">
        <v>29420</v>
      </c>
      <c r="E23071" s="51"/>
      <c r="F23071" s="114" t="str">
        <f>IF(INDEX(I.Facility.P4IDNumber,3059)="","",INDEX(I.Facility.P4IDNumber,3059))</f>
        <v/>
      </c>
      <c r="G23071" s="51"/>
      <c r="H23071" s="46" t="str">
        <f>IF(AND(I.Developer.P4=TRUE,I.Facility.P4FacilityCount&gt;=3059,F23071=""),"Incomplete","Complete")</f>
        <v>Complete</v>
      </c>
      <c r="I23071" s="48" t="s">
        <v>27436</v>
      </c>
    </row>
    <row r="23072" spans="2:9" ht="15" customHeight="1" x14ac:dyDescent="0.25">
      <c r="B23072" s="55" t="s">
        <v>283</v>
      </c>
      <c r="C23072" s="46">
        <v>3060</v>
      </c>
      <c r="D23072" s="69" t="s">
        <v>29420</v>
      </c>
      <c r="E23072" s="51"/>
      <c r="F23072" s="114" t="str">
        <f>IF(INDEX(I.Facility.P4IDNumber,3060)="","",INDEX(I.Facility.P4IDNumber,3060))</f>
        <v/>
      </c>
      <c r="G23072" s="51"/>
      <c r="H23072" s="46" t="str">
        <f>IF(AND(I.Developer.P4=TRUE,I.Facility.P4FacilityCount&gt;=3060,F23072=""),"Incomplete","Complete")</f>
        <v>Complete</v>
      </c>
      <c r="I23072" s="48" t="s">
        <v>27437</v>
      </c>
    </row>
    <row r="23073" spans="2:9" ht="15" customHeight="1" x14ac:dyDescent="0.25">
      <c r="B23073" s="55" t="s">
        <v>283</v>
      </c>
      <c r="C23073" s="46">
        <v>3061</v>
      </c>
      <c r="D23073" s="69" t="s">
        <v>29420</v>
      </c>
      <c r="E23073" s="51"/>
      <c r="F23073" s="114" t="str">
        <f>IF(INDEX(I.Facility.P4IDNumber,3061)="","",INDEX(I.Facility.P4IDNumber,3061))</f>
        <v/>
      </c>
      <c r="G23073" s="51"/>
      <c r="H23073" s="46" t="str">
        <f>IF(AND(I.Developer.P4=TRUE,I.Facility.P4FacilityCount&gt;=3061,F23073=""),"Incomplete","Complete")</f>
        <v>Complete</v>
      </c>
      <c r="I23073" s="48" t="s">
        <v>27438</v>
      </c>
    </row>
    <row r="23074" spans="2:9" ht="15" customHeight="1" x14ac:dyDescent="0.25">
      <c r="B23074" s="55" t="s">
        <v>283</v>
      </c>
      <c r="C23074" s="46">
        <v>3062</v>
      </c>
      <c r="D23074" s="69" t="s">
        <v>29420</v>
      </c>
      <c r="E23074" s="51"/>
      <c r="F23074" s="114" t="str">
        <f>IF(INDEX(I.Facility.P4IDNumber,3062)="","",INDEX(I.Facility.P4IDNumber,3062))</f>
        <v/>
      </c>
      <c r="G23074" s="51"/>
      <c r="H23074" s="46" t="str">
        <f>IF(AND(I.Developer.P4=TRUE,I.Facility.P4FacilityCount&gt;=3062,F23074=""),"Incomplete","Complete")</f>
        <v>Complete</v>
      </c>
      <c r="I23074" s="48" t="s">
        <v>27439</v>
      </c>
    </row>
    <row r="23075" spans="2:9" ht="15" customHeight="1" x14ac:dyDescent="0.25">
      <c r="B23075" s="55" t="s">
        <v>283</v>
      </c>
      <c r="C23075" s="46">
        <v>3063</v>
      </c>
      <c r="D23075" s="69" t="s">
        <v>29420</v>
      </c>
      <c r="E23075" s="51"/>
      <c r="F23075" s="114" t="str">
        <f>IF(INDEX(I.Facility.P4IDNumber,3063)="","",INDEX(I.Facility.P4IDNumber,3063))</f>
        <v/>
      </c>
      <c r="G23075" s="51"/>
      <c r="H23075" s="46" t="str">
        <f>IF(AND(I.Developer.P4=TRUE,I.Facility.P4FacilityCount&gt;=3063,F23075=""),"Incomplete","Complete")</f>
        <v>Complete</v>
      </c>
      <c r="I23075" s="48" t="s">
        <v>27440</v>
      </c>
    </row>
    <row r="23076" spans="2:9" ht="15" customHeight="1" x14ac:dyDescent="0.25">
      <c r="B23076" s="55" t="s">
        <v>283</v>
      </c>
      <c r="C23076" s="46">
        <v>3064</v>
      </c>
      <c r="D23076" s="69" t="s">
        <v>29420</v>
      </c>
      <c r="E23076" s="51"/>
      <c r="F23076" s="114" t="str">
        <f>IF(INDEX(I.Facility.P4IDNumber,3064)="","",INDEX(I.Facility.P4IDNumber,3064))</f>
        <v/>
      </c>
      <c r="G23076" s="51"/>
      <c r="H23076" s="46" t="str">
        <f>IF(AND(I.Developer.P4=TRUE,I.Facility.P4FacilityCount&gt;=3064,F23076=""),"Incomplete","Complete")</f>
        <v>Complete</v>
      </c>
      <c r="I23076" s="48" t="s">
        <v>27441</v>
      </c>
    </row>
    <row r="23077" spans="2:9" ht="15" customHeight="1" x14ac:dyDescent="0.25">
      <c r="B23077" s="55" t="s">
        <v>283</v>
      </c>
      <c r="C23077" s="46">
        <v>3065</v>
      </c>
      <c r="D23077" s="69" t="s">
        <v>29420</v>
      </c>
      <c r="E23077" s="51"/>
      <c r="F23077" s="114" t="str">
        <f>IF(INDEX(I.Facility.P4IDNumber,3065)="","",INDEX(I.Facility.P4IDNumber,3065))</f>
        <v/>
      </c>
      <c r="G23077" s="51"/>
      <c r="H23077" s="46" t="str">
        <f>IF(AND(I.Developer.P4=TRUE,I.Facility.P4FacilityCount&gt;=3065,F23077=""),"Incomplete","Complete")</f>
        <v>Complete</v>
      </c>
      <c r="I23077" s="48" t="s">
        <v>27442</v>
      </c>
    </row>
    <row r="23078" spans="2:9" ht="15" customHeight="1" x14ac:dyDescent="0.25">
      <c r="B23078" s="55" t="s">
        <v>283</v>
      </c>
      <c r="C23078" s="46">
        <v>3066</v>
      </c>
      <c r="D23078" s="69" t="s">
        <v>29420</v>
      </c>
      <c r="E23078" s="51"/>
      <c r="F23078" s="114" t="str">
        <f>IF(INDEX(I.Facility.P4IDNumber,3066)="","",INDEX(I.Facility.P4IDNumber,3066))</f>
        <v/>
      </c>
      <c r="G23078" s="51"/>
      <c r="H23078" s="46" t="str">
        <f>IF(AND(I.Developer.P4=TRUE,I.Facility.P4FacilityCount&gt;=3066,F23078=""),"Incomplete","Complete")</f>
        <v>Complete</v>
      </c>
      <c r="I23078" s="48" t="s">
        <v>27443</v>
      </c>
    </row>
    <row r="23079" spans="2:9" ht="15" customHeight="1" x14ac:dyDescent="0.25">
      <c r="B23079" s="55" t="s">
        <v>283</v>
      </c>
      <c r="C23079" s="46">
        <v>3067</v>
      </c>
      <c r="D23079" s="69" t="s">
        <v>29420</v>
      </c>
      <c r="E23079" s="51"/>
      <c r="F23079" s="114" t="str">
        <f>IF(INDEX(I.Facility.P4IDNumber,3067)="","",INDEX(I.Facility.P4IDNumber,3067))</f>
        <v/>
      </c>
      <c r="G23079" s="51"/>
      <c r="H23079" s="46" t="str">
        <f>IF(AND(I.Developer.P4=TRUE,I.Facility.P4FacilityCount&gt;=3067,F23079=""),"Incomplete","Complete")</f>
        <v>Complete</v>
      </c>
      <c r="I23079" s="48" t="s">
        <v>27444</v>
      </c>
    </row>
    <row r="23080" spans="2:9" ht="15" customHeight="1" x14ac:dyDescent="0.25">
      <c r="B23080" s="55" t="s">
        <v>283</v>
      </c>
      <c r="C23080" s="46">
        <v>3068</v>
      </c>
      <c r="D23080" s="69" t="s">
        <v>29420</v>
      </c>
      <c r="E23080" s="51"/>
      <c r="F23080" s="114" t="str">
        <f>IF(INDEX(I.Facility.P4IDNumber,3068)="","",INDEX(I.Facility.P4IDNumber,3068))</f>
        <v/>
      </c>
      <c r="G23080" s="51"/>
      <c r="H23080" s="46" t="str">
        <f>IF(AND(I.Developer.P4=TRUE,I.Facility.P4FacilityCount&gt;=3068,F23080=""),"Incomplete","Complete")</f>
        <v>Complete</v>
      </c>
      <c r="I23080" s="48" t="s">
        <v>27445</v>
      </c>
    </row>
    <row r="23081" spans="2:9" ht="15" customHeight="1" x14ac:dyDescent="0.25">
      <c r="B23081" s="55" t="s">
        <v>283</v>
      </c>
      <c r="C23081" s="46">
        <v>3069</v>
      </c>
      <c r="D23081" s="69" t="s">
        <v>29420</v>
      </c>
      <c r="E23081" s="51"/>
      <c r="F23081" s="114" t="str">
        <f>IF(INDEX(I.Facility.P4IDNumber,3069)="","",INDEX(I.Facility.P4IDNumber,3069))</f>
        <v/>
      </c>
      <c r="G23081" s="51"/>
      <c r="H23081" s="46" t="str">
        <f>IF(AND(I.Developer.P4=TRUE,I.Facility.P4FacilityCount&gt;=3069,F23081=""),"Incomplete","Complete")</f>
        <v>Complete</v>
      </c>
      <c r="I23081" s="48" t="s">
        <v>27446</v>
      </c>
    </row>
    <row r="23082" spans="2:9" ht="15" customHeight="1" x14ac:dyDescent="0.25">
      <c r="B23082" s="55" t="s">
        <v>283</v>
      </c>
      <c r="C23082" s="46">
        <v>3070</v>
      </c>
      <c r="D23082" s="69" t="s">
        <v>29420</v>
      </c>
      <c r="E23082" s="51"/>
      <c r="F23082" s="114" t="str">
        <f>IF(INDEX(I.Facility.P4IDNumber,3070)="","",INDEX(I.Facility.P4IDNumber,3070))</f>
        <v/>
      </c>
      <c r="G23082" s="51"/>
      <c r="H23082" s="46" t="str">
        <f>IF(AND(I.Developer.P4=TRUE,I.Facility.P4FacilityCount&gt;=3070,F23082=""),"Incomplete","Complete")</f>
        <v>Complete</v>
      </c>
      <c r="I23082" s="48" t="s">
        <v>27447</v>
      </c>
    </row>
    <row r="23083" spans="2:9" ht="15" customHeight="1" x14ac:dyDescent="0.25">
      <c r="B23083" s="55" t="s">
        <v>283</v>
      </c>
      <c r="C23083" s="46">
        <v>3071</v>
      </c>
      <c r="D23083" s="69" t="s">
        <v>29420</v>
      </c>
      <c r="E23083" s="51"/>
      <c r="F23083" s="114" t="str">
        <f>IF(INDEX(I.Facility.P4IDNumber,3071)="","",INDEX(I.Facility.P4IDNumber,3071))</f>
        <v/>
      </c>
      <c r="G23083" s="51"/>
      <c r="H23083" s="46" t="str">
        <f>IF(AND(I.Developer.P4=TRUE,I.Facility.P4FacilityCount&gt;=3071,F23083=""),"Incomplete","Complete")</f>
        <v>Complete</v>
      </c>
      <c r="I23083" s="48" t="s">
        <v>27448</v>
      </c>
    </row>
    <row r="23084" spans="2:9" ht="15" customHeight="1" x14ac:dyDescent="0.25">
      <c r="B23084" s="55" t="s">
        <v>283</v>
      </c>
      <c r="C23084" s="46">
        <v>3072</v>
      </c>
      <c r="D23084" s="69" t="s">
        <v>29420</v>
      </c>
      <c r="E23084" s="51"/>
      <c r="F23084" s="114" t="str">
        <f>IF(INDEX(I.Facility.P4IDNumber,3072)="","",INDEX(I.Facility.P4IDNumber,3072))</f>
        <v/>
      </c>
      <c r="G23084" s="51"/>
      <c r="H23084" s="46" t="str">
        <f>IF(AND(I.Developer.P4=TRUE,I.Facility.P4FacilityCount&gt;=3072,F23084=""),"Incomplete","Complete")</f>
        <v>Complete</v>
      </c>
      <c r="I23084" s="48" t="s">
        <v>27449</v>
      </c>
    </row>
    <row r="23085" spans="2:9" ht="15" customHeight="1" x14ac:dyDescent="0.25">
      <c r="B23085" s="55" t="s">
        <v>283</v>
      </c>
      <c r="C23085" s="46">
        <v>3073</v>
      </c>
      <c r="D23085" s="69" t="s">
        <v>29420</v>
      </c>
      <c r="E23085" s="51"/>
      <c r="F23085" s="114" t="str">
        <f>IF(INDEX(I.Facility.P4IDNumber,3073)="","",INDEX(I.Facility.P4IDNumber,3073))</f>
        <v/>
      </c>
      <c r="G23085" s="51"/>
      <c r="H23085" s="46" t="str">
        <f>IF(AND(I.Developer.P4=TRUE,I.Facility.P4FacilityCount&gt;=3073,F23085=""),"Incomplete","Complete")</f>
        <v>Complete</v>
      </c>
      <c r="I23085" s="48" t="s">
        <v>27450</v>
      </c>
    </row>
    <row r="23086" spans="2:9" ht="15" customHeight="1" x14ac:dyDescent="0.25">
      <c r="B23086" s="55" t="s">
        <v>283</v>
      </c>
      <c r="C23086" s="46">
        <v>3074</v>
      </c>
      <c r="D23086" s="69" t="s">
        <v>29420</v>
      </c>
      <c r="E23086" s="51"/>
      <c r="F23086" s="114" t="str">
        <f>IF(INDEX(I.Facility.P4IDNumber,3074)="","",INDEX(I.Facility.P4IDNumber,3074))</f>
        <v/>
      </c>
      <c r="G23086" s="51"/>
      <c r="H23086" s="46" t="str">
        <f>IF(AND(I.Developer.P4=TRUE,I.Facility.P4FacilityCount&gt;=3074,F23086=""),"Incomplete","Complete")</f>
        <v>Complete</v>
      </c>
      <c r="I23086" s="48" t="s">
        <v>27451</v>
      </c>
    </row>
    <row r="23087" spans="2:9" ht="15" customHeight="1" x14ac:dyDescent="0.25">
      <c r="B23087" s="55" t="s">
        <v>283</v>
      </c>
      <c r="C23087" s="46">
        <v>3075</v>
      </c>
      <c r="D23087" s="69" t="s">
        <v>29420</v>
      </c>
      <c r="E23087" s="51"/>
      <c r="F23087" s="114" t="str">
        <f>IF(INDEX(I.Facility.P4IDNumber,3075)="","",INDEX(I.Facility.P4IDNumber,3075))</f>
        <v/>
      </c>
      <c r="G23087" s="51"/>
      <c r="H23087" s="46" t="str">
        <f>IF(AND(I.Developer.P4=TRUE,I.Facility.P4FacilityCount&gt;=3075,F23087=""),"Incomplete","Complete")</f>
        <v>Complete</v>
      </c>
      <c r="I23087" s="48" t="s">
        <v>27452</v>
      </c>
    </row>
    <row r="23088" spans="2:9" ht="15" customHeight="1" x14ac:dyDescent="0.25">
      <c r="B23088" s="55" t="s">
        <v>283</v>
      </c>
      <c r="C23088" s="46">
        <v>3076</v>
      </c>
      <c r="D23088" s="69" t="s">
        <v>29420</v>
      </c>
      <c r="E23088" s="51"/>
      <c r="F23088" s="114" t="str">
        <f>IF(INDEX(I.Facility.P4IDNumber,3076)="","",INDEX(I.Facility.P4IDNumber,3076))</f>
        <v/>
      </c>
      <c r="G23088" s="51"/>
      <c r="H23088" s="46" t="str">
        <f>IF(AND(I.Developer.P4=TRUE,I.Facility.P4FacilityCount&gt;=3076,F23088=""),"Incomplete","Complete")</f>
        <v>Complete</v>
      </c>
      <c r="I23088" s="48" t="s">
        <v>27453</v>
      </c>
    </row>
    <row r="23089" spans="2:9" ht="15" customHeight="1" x14ac:dyDescent="0.25">
      <c r="B23089" s="55" t="s">
        <v>283</v>
      </c>
      <c r="C23089" s="46">
        <v>3077</v>
      </c>
      <c r="D23089" s="69" t="s">
        <v>29420</v>
      </c>
      <c r="E23089" s="51"/>
      <c r="F23089" s="114" t="str">
        <f>IF(INDEX(I.Facility.P4IDNumber,3077)="","",INDEX(I.Facility.P4IDNumber,3077))</f>
        <v/>
      </c>
      <c r="G23089" s="51"/>
      <c r="H23089" s="46" t="str">
        <f>IF(AND(I.Developer.P4=TRUE,I.Facility.P4FacilityCount&gt;=3077,F23089=""),"Incomplete","Complete")</f>
        <v>Complete</v>
      </c>
      <c r="I23089" s="48" t="s">
        <v>27454</v>
      </c>
    </row>
    <row r="23090" spans="2:9" ht="15" customHeight="1" x14ac:dyDescent="0.25">
      <c r="B23090" s="55" t="s">
        <v>283</v>
      </c>
      <c r="C23090" s="46">
        <v>3078</v>
      </c>
      <c r="D23090" s="69" t="s">
        <v>29420</v>
      </c>
      <c r="E23090" s="51"/>
      <c r="F23090" s="114" t="str">
        <f>IF(INDEX(I.Facility.P4IDNumber,3078)="","",INDEX(I.Facility.P4IDNumber,3078))</f>
        <v/>
      </c>
      <c r="G23090" s="51"/>
      <c r="H23090" s="46" t="str">
        <f>IF(AND(I.Developer.P4=TRUE,I.Facility.P4FacilityCount&gt;=3078,F23090=""),"Incomplete","Complete")</f>
        <v>Complete</v>
      </c>
      <c r="I23090" s="48" t="s">
        <v>27455</v>
      </c>
    </row>
    <row r="23091" spans="2:9" ht="15" customHeight="1" x14ac:dyDescent="0.25">
      <c r="B23091" s="55" t="s">
        <v>283</v>
      </c>
      <c r="C23091" s="46">
        <v>3079</v>
      </c>
      <c r="D23091" s="69" t="s">
        <v>29420</v>
      </c>
      <c r="E23091" s="51"/>
      <c r="F23091" s="114" t="str">
        <f>IF(INDEX(I.Facility.P4IDNumber,3079)="","",INDEX(I.Facility.P4IDNumber,3079))</f>
        <v/>
      </c>
      <c r="G23091" s="51"/>
      <c r="H23091" s="46" t="str">
        <f>IF(AND(I.Developer.P4=TRUE,I.Facility.P4FacilityCount&gt;=3079,F23091=""),"Incomplete","Complete")</f>
        <v>Complete</v>
      </c>
      <c r="I23091" s="48" t="s">
        <v>27456</v>
      </c>
    </row>
    <row r="23092" spans="2:9" ht="15" customHeight="1" x14ac:dyDescent="0.25">
      <c r="B23092" s="55" t="s">
        <v>283</v>
      </c>
      <c r="C23092" s="46">
        <v>3080</v>
      </c>
      <c r="D23092" s="69" t="s">
        <v>29420</v>
      </c>
      <c r="E23092" s="51"/>
      <c r="F23092" s="114" t="str">
        <f>IF(INDEX(I.Facility.P4IDNumber,3080)="","",INDEX(I.Facility.P4IDNumber,3080))</f>
        <v/>
      </c>
      <c r="G23092" s="51"/>
      <c r="H23092" s="46" t="str">
        <f>IF(AND(I.Developer.P4=TRUE,I.Facility.P4FacilityCount&gt;=3080,F23092=""),"Incomplete","Complete")</f>
        <v>Complete</v>
      </c>
      <c r="I23092" s="48" t="s">
        <v>27457</v>
      </c>
    </row>
    <row r="23093" spans="2:9" ht="15" customHeight="1" x14ac:dyDescent="0.25">
      <c r="B23093" s="55" t="s">
        <v>283</v>
      </c>
      <c r="C23093" s="46">
        <v>3081</v>
      </c>
      <c r="D23093" s="69" t="s">
        <v>29420</v>
      </c>
      <c r="E23093" s="51"/>
      <c r="F23093" s="114" t="str">
        <f>IF(INDEX(I.Facility.P4IDNumber,3081)="","",INDEX(I.Facility.P4IDNumber,3081))</f>
        <v/>
      </c>
      <c r="G23093" s="51"/>
      <c r="H23093" s="46" t="str">
        <f>IF(AND(I.Developer.P4=TRUE,I.Facility.P4FacilityCount&gt;=3081,F23093=""),"Incomplete","Complete")</f>
        <v>Complete</v>
      </c>
      <c r="I23093" s="48" t="s">
        <v>27458</v>
      </c>
    </row>
    <row r="23094" spans="2:9" ht="15" customHeight="1" x14ac:dyDescent="0.25">
      <c r="B23094" s="55" t="s">
        <v>283</v>
      </c>
      <c r="C23094" s="46">
        <v>3082</v>
      </c>
      <c r="D23094" s="69" t="s">
        <v>29420</v>
      </c>
      <c r="E23094" s="51"/>
      <c r="F23094" s="114" t="str">
        <f>IF(INDEX(I.Facility.P4IDNumber,3082)="","",INDEX(I.Facility.P4IDNumber,3082))</f>
        <v/>
      </c>
      <c r="G23094" s="51"/>
      <c r="H23094" s="46" t="str">
        <f>IF(AND(I.Developer.P4=TRUE,I.Facility.P4FacilityCount&gt;=3082,F23094=""),"Incomplete","Complete")</f>
        <v>Complete</v>
      </c>
      <c r="I23094" s="48" t="s">
        <v>27459</v>
      </c>
    </row>
    <row r="23095" spans="2:9" ht="15" customHeight="1" x14ac:dyDescent="0.25">
      <c r="B23095" s="55" t="s">
        <v>283</v>
      </c>
      <c r="C23095" s="46">
        <v>3083</v>
      </c>
      <c r="D23095" s="69" t="s">
        <v>29420</v>
      </c>
      <c r="E23095" s="51"/>
      <c r="F23095" s="114" t="str">
        <f>IF(INDEX(I.Facility.P4IDNumber,3083)="","",INDEX(I.Facility.P4IDNumber,3083))</f>
        <v/>
      </c>
      <c r="G23095" s="51"/>
      <c r="H23095" s="46" t="str">
        <f>IF(AND(I.Developer.P4=TRUE,I.Facility.P4FacilityCount&gt;=3083,F23095=""),"Incomplete","Complete")</f>
        <v>Complete</v>
      </c>
      <c r="I23095" s="48" t="s">
        <v>27460</v>
      </c>
    </row>
    <row r="23096" spans="2:9" ht="15" customHeight="1" x14ac:dyDescent="0.25">
      <c r="B23096" s="55" t="s">
        <v>283</v>
      </c>
      <c r="C23096" s="46">
        <v>3084</v>
      </c>
      <c r="D23096" s="69" t="s">
        <v>29420</v>
      </c>
      <c r="E23096" s="51"/>
      <c r="F23096" s="114" t="str">
        <f>IF(INDEX(I.Facility.P4IDNumber,3084)="","",INDEX(I.Facility.P4IDNumber,3084))</f>
        <v/>
      </c>
      <c r="G23096" s="51"/>
      <c r="H23096" s="46" t="str">
        <f>IF(AND(I.Developer.P4=TRUE,I.Facility.P4FacilityCount&gt;=3084,F23096=""),"Incomplete","Complete")</f>
        <v>Complete</v>
      </c>
      <c r="I23096" s="48" t="s">
        <v>27461</v>
      </c>
    </row>
    <row r="23097" spans="2:9" ht="15" customHeight="1" x14ac:dyDescent="0.25">
      <c r="B23097" s="55" t="s">
        <v>283</v>
      </c>
      <c r="C23097" s="46">
        <v>3085</v>
      </c>
      <c r="D23097" s="69" t="s">
        <v>29420</v>
      </c>
      <c r="E23097" s="51"/>
      <c r="F23097" s="114" t="str">
        <f>IF(INDEX(I.Facility.P4IDNumber,3085)="","",INDEX(I.Facility.P4IDNumber,3085))</f>
        <v/>
      </c>
      <c r="G23097" s="51"/>
      <c r="H23097" s="46" t="str">
        <f>IF(AND(I.Developer.P4=TRUE,I.Facility.P4FacilityCount&gt;=3085,F23097=""),"Incomplete","Complete")</f>
        <v>Complete</v>
      </c>
      <c r="I23097" s="48" t="s">
        <v>27462</v>
      </c>
    </row>
    <row r="23098" spans="2:9" ht="15" customHeight="1" x14ac:dyDescent="0.25">
      <c r="B23098" s="55" t="s">
        <v>283</v>
      </c>
      <c r="C23098" s="46">
        <v>3086</v>
      </c>
      <c r="D23098" s="69" t="s">
        <v>29420</v>
      </c>
      <c r="E23098" s="51"/>
      <c r="F23098" s="114" t="str">
        <f>IF(INDEX(I.Facility.P4IDNumber,3086)="","",INDEX(I.Facility.P4IDNumber,3086))</f>
        <v/>
      </c>
      <c r="G23098" s="51"/>
      <c r="H23098" s="46" t="str">
        <f>IF(AND(I.Developer.P4=TRUE,I.Facility.P4FacilityCount&gt;=3086,F23098=""),"Incomplete","Complete")</f>
        <v>Complete</v>
      </c>
      <c r="I23098" s="48" t="s">
        <v>27463</v>
      </c>
    </row>
    <row r="23099" spans="2:9" ht="15" customHeight="1" x14ac:dyDescent="0.25">
      <c r="B23099" s="55" t="s">
        <v>283</v>
      </c>
      <c r="C23099" s="46">
        <v>3087</v>
      </c>
      <c r="D23099" s="69" t="s">
        <v>29420</v>
      </c>
      <c r="E23099" s="51"/>
      <c r="F23099" s="114" t="str">
        <f>IF(INDEX(I.Facility.P4IDNumber,3087)="","",INDEX(I.Facility.P4IDNumber,3087))</f>
        <v/>
      </c>
      <c r="G23099" s="51"/>
      <c r="H23099" s="46" t="str">
        <f>IF(AND(I.Developer.P4=TRUE,I.Facility.P4FacilityCount&gt;=3087,F23099=""),"Incomplete","Complete")</f>
        <v>Complete</v>
      </c>
      <c r="I23099" s="48" t="s">
        <v>27464</v>
      </c>
    </row>
    <row r="23100" spans="2:9" ht="15" customHeight="1" x14ac:dyDescent="0.25">
      <c r="B23100" s="55" t="s">
        <v>283</v>
      </c>
      <c r="C23100" s="46">
        <v>3088</v>
      </c>
      <c r="D23100" s="69" t="s">
        <v>29420</v>
      </c>
      <c r="E23100" s="51"/>
      <c r="F23100" s="114" t="str">
        <f>IF(INDEX(I.Facility.P4IDNumber,3088)="","",INDEX(I.Facility.P4IDNumber,3088))</f>
        <v/>
      </c>
      <c r="G23100" s="51"/>
      <c r="H23100" s="46" t="str">
        <f>IF(AND(I.Developer.P4=TRUE,I.Facility.P4FacilityCount&gt;=3088,F23100=""),"Incomplete","Complete")</f>
        <v>Complete</v>
      </c>
      <c r="I23100" s="48" t="s">
        <v>27465</v>
      </c>
    </row>
    <row r="23101" spans="2:9" ht="15" customHeight="1" x14ac:dyDescent="0.25">
      <c r="B23101" s="55" t="s">
        <v>283</v>
      </c>
      <c r="C23101" s="46">
        <v>3089</v>
      </c>
      <c r="D23101" s="69" t="s">
        <v>29420</v>
      </c>
      <c r="E23101" s="51"/>
      <c r="F23101" s="114" t="str">
        <f>IF(INDEX(I.Facility.P4IDNumber,3089)="","",INDEX(I.Facility.P4IDNumber,3089))</f>
        <v/>
      </c>
      <c r="G23101" s="51"/>
      <c r="H23101" s="46" t="str">
        <f>IF(AND(I.Developer.P4=TRUE,I.Facility.P4FacilityCount&gt;=3089,F23101=""),"Incomplete","Complete")</f>
        <v>Complete</v>
      </c>
      <c r="I23101" s="48" t="s">
        <v>27466</v>
      </c>
    </row>
    <row r="23102" spans="2:9" ht="15" customHeight="1" x14ac:dyDescent="0.25">
      <c r="B23102" s="55" t="s">
        <v>283</v>
      </c>
      <c r="C23102" s="46">
        <v>3090</v>
      </c>
      <c r="D23102" s="69" t="s">
        <v>29420</v>
      </c>
      <c r="E23102" s="51"/>
      <c r="F23102" s="114" t="str">
        <f>IF(INDEX(I.Facility.P4IDNumber,3090)="","",INDEX(I.Facility.P4IDNumber,3090))</f>
        <v/>
      </c>
      <c r="G23102" s="51"/>
      <c r="H23102" s="46" t="str">
        <f>IF(AND(I.Developer.P4=TRUE,I.Facility.P4FacilityCount&gt;=3090,F23102=""),"Incomplete","Complete")</f>
        <v>Complete</v>
      </c>
      <c r="I23102" s="48" t="s">
        <v>27467</v>
      </c>
    </row>
    <row r="23103" spans="2:9" ht="15" customHeight="1" x14ac:dyDescent="0.25">
      <c r="B23103" s="55" t="s">
        <v>283</v>
      </c>
      <c r="C23103" s="46">
        <v>3091</v>
      </c>
      <c r="D23103" s="69" t="s">
        <v>29420</v>
      </c>
      <c r="E23103" s="51"/>
      <c r="F23103" s="114" t="str">
        <f>IF(INDEX(I.Facility.P4IDNumber,3091)="","",INDEX(I.Facility.P4IDNumber,3091))</f>
        <v/>
      </c>
      <c r="G23103" s="51"/>
      <c r="H23103" s="46" t="str">
        <f>IF(AND(I.Developer.P4=TRUE,I.Facility.P4FacilityCount&gt;=3091,F23103=""),"Incomplete","Complete")</f>
        <v>Complete</v>
      </c>
      <c r="I23103" s="48" t="s">
        <v>27468</v>
      </c>
    </row>
    <row r="23104" spans="2:9" ht="15" customHeight="1" x14ac:dyDescent="0.25">
      <c r="B23104" s="55" t="s">
        <v>283</v>
      </c>
      <c r="C23104" s="46">
        <v>3092</v>
      </c>
      <c r="D23104" s="69" t="s">
        <v>29420</v>
      </c>
      <c r="E23104" s="51"/>
      <c r="F23104" s="114" t="str">
        <f>IF(INDEX(I.Facility.P4IDNumber,3092)="","",INDEX(I.Facility.P4IDNumber,3092))</f>
        <v/>
      </c>
      <c r="G23104" s="51"/>
      <c r="H23104" s="46" t="str">
        <f>IF(AND(I.Developer.P4=TRUE,I.Facility.P4FacilityCount&gt;=3092,F23104=""),"Incomplete","Complete")</f>
        <v>Complete</v>
      </c>
      <c r="I23104" s="48" t="s">
        <v>27469</v>
      </c>
    </row>
    <row r="23105" spans="2:9" ht="15" customHeight="1" x14ac:dyDescent="0.25">
      <c r="B23105" s="55" t="s">
        <v>283</v>
      </c>
      <c r="C23105" s="46">
        <v>3093</v>
      </c>
      <c r="D23105" s="69" t="s">
        <v>29420</v>
      </c>
      <c r="E23105" s="51"/>
      <c r="F23105" s="114" t="str">
        <f>IF(INDEX(I.Facility.P4IDNumber,3093)="","",INDEX(I.Facility.P4IDNumber,3093))</f>
        <v/>
      </c>
      <c r="G23105" s="51"/>
      <c r="H23105" s="46" t="str">
        <f>IF(AND(I.Developer.P4=TRUE,I.Facility.P4FacilityCount&gt;=3093,F23105=""),"Incomplete","Complete")</f>
        <v>Complete</v>
      </c>
      <c r="I23105" s="48" t="s">
        <v>27470</v>
      </c>
    </row>
    <row r="23106" spans="2:9" ht="15" customHeight="1" x14ac:dyDescent="0.25">
      <c r="B23106" s="55" t="s">
        <v>283</v>
      </c>
      <c r="C23106" s="46">
        <v>3094</v>
      </c>
      <c r="D23106" s="69" t="s">
        <v>29420</v>
      </c>
      <c r="E23106" s="51"/>
      <c r="F23106" s="114" t="str">
        <f>IF(INDEX(I.Facility.P4IDNumber,3094)="","",INDEX(I.Facility.P4IDNumber,3094))</f>
        <v/>
      </c>
      <c r="G23106" s="51"/>
      <c r="H23106" s="46" t="str">
        <f>IF(AND(I.Developer.P4=TRUE,I.Facility.P4FacilityCount&gt;=3094,F23106=""),"Incomplete","Complete")</f>
        <v>Complete</v>
      </c>
      <c r="I23106" s="48" t="s">
        <v>27471</v>
      </c>
    </row>
    <row r="23107" spans="2:9" ht="15" customHeight="1" x14ac:dyDescent="0.25">
      <c r="B23107" s="55" t="s">
        <v>283</v>
      </c>
      <c r="C23107" s="46">
        <v>3095</v>
      </c>
      <c r="D23107" s="69" t="s">
        <v>29420</v>
      </c>
      <c r="E23107" s="51"/>
      <c r="F23107" s="114" t="str">
        <f>IF(INDEX(I.Facility.P4IDNumber,3095)="","",INDEX(I.Facility.P4IDNumber,3095))</f>
        <v/>
      </c>
      <c r="G23107" s="51"/>
      <c r="H23107" s="46" t="str">
        <f>IF(AND(I.Developer.P4=TRUE,I.Facility.P4FacilityCount&gt;=3095,F23107=""),"Incomplete","Complete")</f>
        <v>Complete</v>
      </c>
      <c r="I23107" s="48" t="s">
        <v>27472</v>
      </c>
    </row>
    <row r="23108" spans="2:9" ht="15" customHeight="1" x14ac:dyDescent="0.25">
      <c r="B23108" s="55" t="s">
        <v>283</v>
      </c>
      <c r="C23108" s="46">
        <v>3096</v>
      </c>
      <c r="D23108" s="69" t="s">
        <v>29420</v>
      </c>
      <c r="E23108" s="51"/>
      <c r="F23108" s="114" t="str">
        <f>IF(INDEX(I.Facility.P4IDNumber,3096)="","",INDEX(I.Facility.P4IDNumber,3096))</f>
        <v/>
      </c>
      <c r="G23108" s="51"/>
      <c r="H23108" s="46" t="str">
        <f>IF(AND(I.Developer.P4=TRUE,I.Facility.P4FacilityCount&gt;=3096,F23108=""),"Incomplete","Complete")</f>
        <v>Complete</v>
      </c>
      <c r="I23108" s="48" t="s">
        <v>27473</v>
      </c>
    </row>
    <row r="23109" spans="2:9" ht="15" customHeight="1" x14ac:dyDescent="0.25">
      <c r="B23109" s="55" t="s">
        <v>283</v>
      </c>
      <c r="C23109" s="46">
        <v>3097</v>
      </c>
      <c r="D23109" s="69" t="s">
        <v>29420</v>
      </c>
      <c r="E23109" s="51"/>
      <c r="F23109" s="114" t="str">
        <f>IF(INDEX(I.Facility.P4IDNumber,3097)="","",INDEX(I.Facility.P4IDNumber,3097))</f>
        <v/>
      </c>
      <c r="G23109" s="51"/>
      <c r="H23109" s="46" t="str">
        <f>IF(AND(I.Developer.P4=TRUE,I.Facility.P4FacilityCount&gt;=3097,F23109=""),"Incomplete","Complete")</f>
        <v>Complete</v>
      </c>
      <c r="I23109" s="48" t="s">
        <v>27474</v>
      </c>
    </row>
    <row r="23110" spans="2:9" ht="15" customHeight="1" x14ac:dyDescent="0.25">
      <c r="B23110" s="55" t="s">
        <v>283</v>
      </c>
      <c r="C23110" s="46">
        <v>3098</v>
      </c>
      <c r="D23110" s="69" t="s">
        <v>29420</v>
      </c>
      <c r="E23110" s="51"/>
      <c r="F23110" s="114" t="str">
        <f>IF(INDEX(I.Facility.P4IDNumber,3098)="","",INDEX(I.Facility.P4IDNumber,3098))</f>
        <v/>
      </c>
      <c r="G23110" s="51"/>
      <c r="H23110" s="46" t="str">
        <f>IF(AND(I.Developer.P4=TRUE,I.Facility.P4FacilityCount&gt;=3098,F23110=""),"Incomplete","Complete")</f>
        <v>Complete</v>
      </c>
      <c r="I23110" s="48" t="s">
        <v>27475</v>
      </c>
    </row>
    <row r="23111" spans="2:9" ht="15" customHeight="1" x14ac:dyDescent="0.25">
      <c r="B23111" s="55" t="s">
        <v>283</v>
      </c>
      <c r="C23111" s="46">
        <v>3099</v>
      </c>
      <c r="D23111" s="69" t="s">
        <v>29420</v>
      </c>
      <c r="E23111" s="51"/>
      <c r="F23111" s="114" t="str">
        <f>IF(INDEX(I.Facility.P4IDNumber,3099)="","",INDEX(I.Facility.P4IDNumber,3099))</f>
        <v/>
      </c>
      <c r="G23111" s="51"/>
      <c r="H23111" s="46" t="str">
        <f>IF(AND(I.Developer.P4=TRUE,I.Facility.P4FacilityCount&gt;=3099,F23111=""),"Incomplete","Complete")</f>
        <v>Complete</v>
      </c>
      <c r="I23111" s="48" t="s">
        <v>27476</v>
      </c>
    </row>
    <row r="23112" spans="2:9" ht="15" customHeight="1" x14ac:dyDescent="0.25">
      <c r="B23112" s="55" t="s">
        <v>283</v>
      </c>
      <c r="C23112" s="46">
        <v>3100</v>
      </c>
      <c r="D23112" s="69" t="s">
        <v>29420</v>
      </c>
      <c r="E23112" s="51"/>
      <c r="F23112" s="114" t="str">
        <f>IF(INDEX(I.Facility.P4IDNumber,3100)="","",INDEX(I.Facility.P4IDNumber,3100))</f>
        <v/>
      </c>
      <c r="G23112" s="51"/>
      <c r="H23112" s="46" t="str">
        <f>IF(AND(I.Developer.P4=TRUE,I.Facility.P4FacilityCount&gt;=3100,F23112=""),"Incomplete","Complete")</f>
        <v>Complete</v>
      </c>
      <c r="I23112" s="48" t="s">
        <v>27477</v>
      </c>
    </row>
    <row r="23113" spans="2:9" ht="15" customHeight="1" x14ac:dyDescent="0.25">
      <c r="B23113" s="55" t="s">
        <v>283</v>
      </c>
      <c r="C23113" s="46">
        <v>3101</v>
      </c>
      <c r="D23113" s="69" t="s">
        <v>29420</v>
      </c>
      <c r="E23113" s="51"/>
      <c r="F23113" s="114" t="str">
        <f>IF(INDEX(I.Facility.P4IDNumber,3101)="","",INDEX(I.Facility.P4IDNumber,3101))</f>
        <v/>
      </c>
      <c r="G23113" s="51"/>
      <c r="H23113" s="46" t="str">
        <f>IF(AND(I.Developer.P4=TRUE,I.Facility.P4FacilityCount&gt;=3101,F23113=""),"Incomplete","Complete")</f>
        <v>Complete</v>
      </c>
      <c r="I23113" s="48" t="s">
        <v>27478</v>
      </c>
    </row>
    <row r="23114" spans="2:9" ht="15" customHeight="1" x14ac:dyDescent="0.25">
      <c r="B23114" s="55" t="s">
        <v>283</v>
      </c>
      <c r="C23114" s="46">
        <v>3102</v>
      </c>
      <c r="D23114" s="69" t="s">
        <v>29420</v>
      </c>
      <c r="E23114" s="51"/>
      <c r="F23114" s="114" t="str">
        <f>IF(INDEX(I.Facility.P4IDNumber,3102)="","",INDEX(I.Facility.P4IDNumber,3102))</f>
        <v/>
      </c>
      <c r="G23114" s="51"/>
      <c r="H23114" s="46" t="str">
        <f>IF(AND(I.Developer.P4=TRUE,I.Facility.P4FacilityCount&gt;=3102,F23114=""),"Incomplete","Complete")</f>
        <v>Complete</v>
      </c>
      <c r="I23114" s="48" t="s">
        <v>27479</v>
      </c>
    </row>
    <row r="23115" spans="2:9" ht="15" customHeight="1" x14ac:dyDescent="0.25">
      <c r="B23115" s="55" t="s">
        <v>283</v>
      </c>
      <c r="C23115" s="46">
        <v>3103</v>
      </c>
      <c r="D23115" s="69" t="s">
        <v>29420</v>
      </c>
      <c r="E23115" s="51"/>
      <c r="F23115" s="114" t="str">
        <f>IF(INDEX(I.Facility.P4IDNumber,3103)="","",INDEX(I.Facility.P4IDNumber,3103))</f>
        <v/>
      </c>
      <c r="G23115" s="51"/>
      <c r="H23115" s="46" t="str">
        <f>IF(AND(I.Developer.P4=TRUE,I.Facility.P4FacilityCount&gt;=3103,F23115=""),"Incomplete","Complete")</f>
        <v>Complete</v>
      </c>
      <c r="I23115" s="48" t="s">
        <v>27480</v>
      </c>
    </row>
    <row r="23116" spans="2:9" ht="15" customHeight="1" x14ac:dyDescent="0.25">
      <c r="B23116" s="55" t="s">
        <v>283</v>
      </c>
      <c r="C23116" s="46">
        <v>3104</v>
      </c>
      <c r="D23116" s="69" t="s">
        <v>29420</v>
      </c>
      <c r="E23116" s="51"/>
      <c r="F23116" s="114" t="str">
        <f>IF(INDEX(I.Facility.P4IDNumber,3104)="","",INDEX(I.Facility.P4IDNumber,3104))</f>
        <v/>
      </c>
      <c r="G23116" s="51"/>
      <c r="H23116" s="46" t="str">
        <f>IF(AND(I.Developer.P4=TRUE,I.Facility.P4FacilityCount&gt;=3104,F23116=""),"Incomplete","Complete")</f>
        <v>Complete</v>
      </c>
      <c r="I23116" s="48" t="s">
        <v>27481</v>
      </c>
    </row>
    <row r="23117" spans="2:9" ht="15" customHeight="1" x14ac:dyDescent="0.25">
      <c r="B23117" s="55" t="s">
        <v>283</v>
      </c>
      <c r="C23117" s="46">
        <v>3105</v>
      </c>
      <c r="D23117" s="69" t="s">
        <v>29420</v>
      </c>
      <c r="E23117" s="51"/>
      <c r="F23117" s="114" t="str">
        <f>IF(INDEX(I.Facility.P4IDNumber,3105)="","",INDEX(I.Facility.P4IDNumber,3105))</f>
        <v/>
      </c>
      <c r="G23117" s="51"/>
      <c r="H23117" s="46" t="str">
        <f>IF(AND(I.Developer.P4=TRUE,I.Facility.P4FacilityCount&gt;=3105,F23117=""),"Incomplete","Complete")</f>
        <v>Complete</v>
      </c>
      <c r="I23117" s="48" t="s">
        <v>27482</v>
      </c>
    </row>
    <row r="23118" spans="2:9" ht="15" customHeight="1" x14ac:dyDescent="0.25">
      <c r="B23118" s="55" t="s">
        <v>283</v>
      </c>
      <c r="C23118" s="46">
        <v>3106</v>
      </c>
      <c r="D23118" s="69" t="s">
        <v>29420</v>
      </c>
      <c r="E23118" s="51"/>
      <c r="F23118" s="114" t="str">
        <f>IF(INDEX(I.Facility.P4IDNumber,3106)="","",INDEX(I.Facility.P4IDNumber,3106))</f>
        <v/>
      </c>
      <c r="G23118" s="51"/>
      <c r="H23118" s="46" t="str">
        <f>IF(AND(I.Developer.P4=TRUE,I.Facility.P4FacilityCount&gt;=3106,F23118=""),"Incomplete","Complete")</f>
        <v>Complete</v>
      </c>
      <c r="I23118" s="48" t="s">
        <v>27483</v>
      </c>
    </row>
    <row r="23119" spans="2:9" ht="15" customHeight="1" x14ac:dyDescent="0.25">
      <c r="B23119" s="55" t="s">
        <v>283</v>
      </c>
      <c r="C23119" s="46">
        <v>3107</v>
      </c>
      <c r="D23119" s="69" t="s">
        <v>29420</v>
      </c>
      <c r="E23119" s="51"/>
      <c r="F23119" s="114" t="str">
        <f>IF(INDEX(I.Facility.P4IDNumber,3107)="","",INDEX(I.Facility.P4IDNumber,3107))</f>
        <v/>
      </c>
      <c r="G23119" s="51"/>
      <c r="H23119" s="46" t="str">
        <f>IF(AND(I.Developer.P4=TRUE,I.Facility.P4FacilityCount&gt;=3107,F23119=""),"Incomplete","Complete")</f>
        <v>Complete</v>
      </c>
      <c r="I23119" s="48" t="s">
        <v>27484</v>
      </c>
    </row>
    <row r="23120" spans="2:9" ht="15" customHeight="1" x14ac:dyDescent="0.25">
      <c r="B23120" s="55" t="s">
        <v>283</v>
      </c>
      <c r="C23120" s="46">
        <v>3108</v>
      </c>
      <c r="D23120" s="69" t="s">
        <v>29420</v>
      </c>
      <c r="E23120" s="51"/>
      <c r="F23120" s="114" t="str">
        <f>IF(INDEX(I.Facility.P4IDNumber,3108)="","",INDEX(I.Facility.P4IDNumber,3108))</f>
        <v/>
      </c>
      <c r="G23120" s="51"/>
      <c r="H23120" s="46" t="str">
        <f>IF(AND(I.Developer.P4=TRUE,I.Facility.P4FacilityCount&gt;=3108,F23120=""),"Incomplete","Complete")</f>
        <v>Complete</v>
      </c>
      <c r="I23120" s="48" t="s">
        <v>27485</v>
      </c>
    </row>
    <row r="23121" spans="2:9" ht="15" customHeight="1" x14ac:dyDescent="0.25">
      <c r="B23121" s="55" t="s">
        <v>283</v>
      </c>
      <c r="C23121" s="46">
        <v>3109</v>
      </c>
      <c r="D23121" s="69" t="s">
        <v>29420</v>
      </c>
      <c r="E23121" s="51"/>
      <c r="F23121" s="114" t="str">
        <f>IF(INDEX(I.Facility.P4IDNumber,3109)="","",INDEX(I.Facility.P4IDNumber,3109))</f>
        <v/>
      </c>
      <c r="G23121" s="51"/>
      <c r="H23121" s="46" t="str">
        <f>IF(AND(I.Developer.P4=TRUE,I.Facility.P4FacilityCount&gt;=3109,F23121=""),"Incomplete","Complete")</f>
        <v>Complete</v>
      </c>
      <c r="I23121" s="48" t="s">
        <v>27486</v>
      </c>
    </row>
    <row r="23122" spans="2:9" ht="15" customHeight="1" x14ac:dyDescent="0.25">
      <c r="B23122" s="55" t="s">
        <v>283</v>
      </c>
      <c r="C23122" s="46">
        <v>3110</v>
      </c>
      <c r="D23122" s="69" t="s">
        <v>29420</v>
      </c>
      <c r="E23122" s="51"/>
      <c r="F23122" s="114" t="str">
        <f>IF(INDEX(I.Facility.P4IDNumber,3110)="","",INDEX(I.Facility.P4IDNumber,3110))</f>
        <v/>
      </c>
      <c r="G23122" s="51"/>
      <c r="H23122" s="46" t="str">
        <f>IF(AND(I.Developer.P4=TRUE,I.Facility.P4FacilityCount&gt;=3110,F23122=""),"Incomplete","Complete")</f>
        <v>Complete</v>
      </c>
      <c r="I23122" s="48" t="s">
        <v>27487</v>
      </c>
    </row>
    <row r="23123" spans="2:9" ht="15" customHeight="1" x14ac:dyDescent="0.25">
      <c r="B23123" s="55" t="s">
        <v>283</v>
      </c>
      <c r="C23123" s="46">
        <v>3111</v>
      </c>
      <c r="D23123" s="69" t="s">
        <v>29420</v>
      </c>
      <c r="E23123" s="51"/>
      <c r="F23123" s="114" t="str">
        <f>IF(INDEX(I.Facility.P4IDNumber,3111)="","",INDEX(I.Facility.P4IDNumber,3111))</f>
        <v/>
      </c>
      <c r="G23123" s="51"/>
      <c r="H23123" s="46" t="str">
        <f>IF(AND(I.Developer.P4=TRUE,I.Facility.P4FacilityCount&gt;=3111,F23123=""),"Incomplete","Complete")</f>
        <v>Complete</v>
      </c>
      <c r="I23123" s="48" t="s">
        <v>27488</v>
      </c>
    </row>
    <row r="23124" spans="2:9" ht="15" customHeight="1" x14ac:dyDescent="0.25">
      <c r="B23124" s="55" t="s">
        <v>283</v>
      </c>
      <c r="C23124" s="46">
        <v>3112</v>
      </c>
      <c r="D23124" s="69" t="s">
        <v>29420</v>
      </c>
      <c r="E23124" s="51"/>
      <c r="F23124" s="114" t="str">
        <f>IF(INDEX(I.Facility.P4IDNumber,3112)="","",INDEX(I.Facility.P4IDNumber,3112))</f>
        <v/>
      </c>
      <c r="G23124" s="51"/>
      <c r="H23124" s="46" t="str">
        <f>IF(AND(I.Developer.P4=TRUE,I.Facility.P4FacilityCount&gt;=3112,F23124=""),"Incomplete","Complete")</f>
        <v>Complete</v>
      </c>
      <c r="I23124" s="48" t="s">
        <v>27489</v>
      </c>
    </row>
    <row r="23125" spans="2:9" ht="15" customHeight="1" x14ac:dyDescent="0.25">
      <c r="B23125" s="55" t="s">
        <v>283</v>
      </c>
      <c r="C23125" s="46">
        <v>3113</v>
      </c>
      <c r="D23125" s="69" t="s">
        <v>29420</v>
      </c>
      <c r="E23125" s="51"/>
      <c r="F23125" s="114" t="str">
        <f>IF(INDEX(I.Facility.P4IDNumber,3113)="","",INDEX(I.Facility.P4IDNumber,3113))</f>
        <v/>
      </c>
      <c r="G23125" s="51"/>
      <c r="H23125" s="46" t="str">
        <f>IF(AND(I.Developer.P4=TRUE,I.Facility.P4FacilityCount&gt;=3113,F23125=""),"Incomplete","Complete")</f>
        <v>Complete</v>
      </c>
      <c r="I23125" s="48" t="s">
        <v>27490</v>
      </c>
    </row>
    <row r="23126" spans="2:9" ht="15" customHeight="1" x14ac:dyDescent="0.25">
      <c r="B23126" s="55" t="s">
        <v>283</v>
      </c>
      <c r="C23126" s="46">
        <v>3114</v>
      </c>
      <c r="D23126" s="69" t="s">
        <v>29420</v>
      </c>
      <c r="E23126" s="51"/>
      <c r="F23126" s="114" t="str">
        <f>IF(INDEX(I.Facility.P4IDNumber,3114)="","",INDEX(I.Facility.P4IDNumber,3114))</f>
        <v/>
      </c>
      <c r="G23126" s="51"/>
      <c r="H23126" s="46" t="str">
        <f>IF(AND(I.Developer.P4=TRUE,I.Facility.P4FacilityCount&gt;=3114,F23126=""),"Incomplete","Complete")</f>
        <v>Complete</v>
      </c>
      <c r="I23126" s="48" t="s">
        <v>27491</v>
      </c>
    </row>
    <row r="23127" spans="2:9" ht="15" customHeight="1" x14ac:dyDescent="0.25">
      <c r="B23127" s="55" t="s">
        <v>283</v>
      </c>
      <c r="C23127" s="46">
        <v>3115</v>
      </c>
      <c r="D23127" s="69" t="s">
        <v>29420</v>
      </c>
      <c r="E23127" s="51"/>
      <c r="F23127" s="114" t="str">
        <f>IF(INDEX(I.Facility.P4IDNumber,3115)="","",INDEX(I.Facility.P4IDNumber,3115))</f>
        <v/>
      </c>
      <c r="G23127" s="51"/>
      <c r="H23127" s="46" t="str">
        <f>IF(AND(I.Developer.P4=TRUE,I.Facility.P4FacilityCount&gt;=3115,F23127=""),"Incomplete","Complete")</f>
        <v>Complete</v>
      </c>
      <c r="I23127" s="48" t="s">
        <v>27492</v>
      </c>
    </row>
    <row r="23128" spans="2:9" ht="15" customHeight="1" x14ac:dyDescent="0.25">
      <c r="B23128" s="55" t="s">
        <v>283</v>
      </c>
      <c r="C23128" s="46">
        <v>3116</v>
      </c>
      <c r="D23128" s="69" t="s">
        <v>29420</v>
      </c>
      <c r="E23128" s="51"/>
      <c r="F23128" s="114" t="str">
        <f>IF(INDEX(I.Facility.P4IDNumber,3116)="","",INDEX(I.Facility.P4IDNumber,3116))</f>
        <v/>
      </c>
      <c r="G23128" s="51"/>
      <c r="H23128" s="46" t="str">
        <f>IF(AND(I.Developer.P4=TRUE,I.Facility.P4FacilityCount&gt;=3116,F23128=""),"Incomplete","Complete")</f>
        <v>Complete</v>
      </c>
      <c r="I23128" s="48" t="s">
        <v>27493</v>
      </c>
    </row>
    <row r="23129" spans="2:9" ht="15" customHeight="1" x14ac:dyDescent="0.25">
      <c r="B23129" s="55" t="s">
        <v>283</v>
      </c>
      <c r="C23129" s="46">
        <v>3117</v>
      </c>
      <c r="D23129" s="69" t="s">
        <v>29420</v>
      </c>
      <c r="E23129" s="51"/>
      <c r="F23129" s="114" t="str">
        <f>IF(INDEX(I.Facility.P4IDNumber,3117)="","",INDEX(I.Facility.P4IDNumber,3117))</f>
        <v/>
      </c>
      <c r="G23129" s="51"/>
      <c r="H23129" s="46" t="str">
        <f>IF(AND(I.Developer.P4=TRUE,I.Facility.P4FacilityCount&gt;=3117,F23129=""),"Incomplete","Complete")</f>
        <v>Complete</v>
      </c>
      <c r="I23129" s="48" t="s">
        <v>27494</v>
      </c>
    </row>
    <row r="23130" spans="2:9" ht="15" customHeight="1" x14ac:dyDescent="0.25">
      <c r="B23130" s="55" t="s">
        <v>283</v>
      </c>
      <c r="C23130" s="46">
        <v>3118</v>
      </c>
      <c r="D23130" s="69" t="s">
        <v>29420</v>
      </c>
      <c r="E23130" s="51"/>
      <c r="F23130" s="114" t="str">
        <f>IF(INDEX(I.Facility.P4IDNumber,3118)="","",INDEX(I.Facility.P4IDNumber,3118))</f>
        <v/>
      </c>
      <c r="G23130" s="51"/>
      <c r="H23130" s="46" t="str">
        <f>IF(AND(I.Developer.P4=TRUE,I.Facility.P4FacilityCount&gt;=3118,F23130=""),"Incomplete","Complete")</f>
        <v>Complete</v>
      </c>
      <c r="I23130" s="48" t="s">
        <v>27495</v>
      </c>
    </row>
    <row r="23131" spans="2:9" ht="15" customHeight="1" x14ac:dyDescent="0.25">
      <c r="B23131" s="55" t="s">
        <v>283</v>
      </c>
      <c r="C23131" s="46">
        <v>3119</v>
      </c>
      <c r="D23131" s="69" t="s">
        <v>29420</v>
      </c>
      <c r="E23131" s="51"/>
      <c r="F23131" s="114" t="str">
        <f>IF(INDEX(I.Facility.P4IDNumber,3119)="","",INDEX(I.Facility.P4IDNumber,3119))</f>
        <v/>
      </c>
      <c r="G23131" s="51"/>
      <c r="H23131" s="46" t="str">
        <f>IF(AND(I.Developer.P4=TRUE,I.Facility.P4FacilityCount&gt;=3119,F23131=""),"Incomplete","Complete")</f>
        <v>Complete</v>
      </c>
      <c r="I23131" s="48" t="s">
        <v>27496</v>
      </c>
    </row>
    <row r="23132" spans="2:9" ht="15" customHeight="1" x14ac:dyDescent="0.25">
      <c r="B23132" s="55" t="s">
        <v>283</v>
      </c>
      <c r="C23132" s="46">
        <v>3120</v>
      </c>
      <c r="D23132" s="69" t="s">
        <v>29420</v>
      </c>
      <c r="E23132" s="51"/>
      <c r="F23132" s="114" t="str">
        <f>IF(INDEX(I.Facility.P4IDNumber,3120)="","",INDEX(I.Facility.P4IDNumber,3120))</f>
        <v/>
      </c>
      <c r="G23132" s="51"/>
      <c r="H23132" s="46" t="str">
        <f>IF(AND(I.Developer.P4=TRUE,I.Facility.P4FacilityCount&gt;=3120,F23132=""),"Incomplete","Complete")</f>
        <v>Complete</v>
      </c>
      <c r="I23132" s="48" t="s">
        <v>27497</v>
      </c>
    </row>
    <row r="23133" spans="2:9" ht="15" customHeight="1" x14ac:dyDescent="0.25">
      <c r="B23133" s="55" t="s">
        <v>283</v>
      </c>
      <c r="C23133" s="46">
        <v>3121</v>
      </c>
      <c r="D23133" s="69" t="s">
        <v>29420</v>
      </c>
      <c r="E23133" s="51"/>
      <c r="F23133" s="114" t="str">
        <f>IF(INDEX(I.Facility.P4IDNumber,3121)="","",INDEX(I.Facility.P4IDNumber,3121))</f>
        <v/>
      </c>
      <c r="G23133" s="51"/>
      <c r="H23133" s="46" t="str">
        <f>IF(AND(I.Developer.P4=TRUE,I.Facility.P4FacilityCount&gt;=3121,F23133=""),"Incomplete","Complete")</f>
        <v>Complete</v>
      </c>
      <c r="I23133" s="48" t="s">
        <v>27498</v>
      </c>
    </row>
    <row r="23134" spans="2:9" ht="15" customHeight="1" x14ac:dyDescent="0.25">
      <c r="B23134" s="55" t="s">
        <v>283</v>
      </c>
      <c r="C23134" s="46">
        <v>3122</v>
      </c>
      <c r="D23134" s="69" t="s">
        <v>29420</v>
      </c>
      <c r="E23134" s="51"/>
      <c r="F23134" s="114" t="str">
        <f>IF(INDEX(I.Facility.P4IDNumber,3122)="","",INDEX(I.Facility.P4IDNumber,3122))</f>
        <v/>
      </c>
      <c r="G23134" s="51"/>
      <c r="H23134" s="46" t="str">
        <f>IF(AND(I.Developer.P4=TRUE,I.Facility.P4FacilityCount&gt;=3122,F23134=""),"Incomplete","Complete")</f>
        <v>Complete</v>
      </c>
      <c r="I23134" s="48" t="s">
        <v>27499</v>
      </c>
    </row>
    <row r="23135" spans="2:9" ht="15" customHeight="1" x14ac:dyDescent="0.25">
      <c r="B23135" s="55" t="s">
        <v>283</v>
      </c>
      <c r="C23135" s="46">
        <v>3123</v>
      </c>
      <c r="D23135" s="69" t="s">
        <v>29420</v>
      </c>
      <c r="E23135" s="51"/>
      <c r="F23135" s="114" t="str">
        <f>IF(INDEX(I.Facility.P4IDNumber,3123)="","",INDEX(I.Facility.P4IDNumber,3123))</f>
        <v/>
      </c>
      <c r="G23135" s="51"/>
      <c r="H23135" s="46" t="str">
        <f>IF(AND(I.Developer.P4=TRUE,I.Facility.P4FacilityCount&gt;=3123,F23135=""),"Incomplete","Complete")</f>
        <v>Complete</v>
      </c>
      <c r="I23135" s="48" t="s">
        <v>27500</v>
      </c>
    </row>
    <row r="23136" spans="2:9" ht="15" customHeight="1" x14ac:dyDescent="0.25">
      <c r="B23136" s="55" t="s">
        <v>283</v>
      </c>
      <c r="C23136" s="46">
        <v>3124</v>
      </c>
      <c r="D23136" s="69" t="s">
        <v>29420</v>
      </c>
      <c r="E23136" s="51"/>
      <c r="F23136" s="114" t="str">
        <f>IF(INDEX(I.Facility.P4IDNumber,3124)="","",INDEX(I.Facility.P4IDNumber,3124))</f>
        <v/>
      </c>
      <c r="G23136" s="51"/>
      <c r="H23136" s="46" t="str">
        <f>IF(AND(I.Developer.P4=TRUE,I.Facility.P4FacilityCount&gt;=3124,F23136=""),"Incomplete","Complete")</f>
        <v>Complete</v>
      </c>
      <c r="I23136" s="48" t="s">
        <v>27501</v>
      </c>
    </row>
    <row r="23137" spans="2:9" ht="15" customHeight="1" x14ac:dyDescent="0.25">
      <c r="B23137" s="55" t="s">
        <v>283</v>
      </c>
      <c r="C23137" s="46">
        <v>3125</v>
      </c>
      <c r="D23137" s="69" t="s">
        <v>29420</v>
      </c>
      <c r="E23137" s="51"/>
      <c r="F23137" s="114" t="str">
        <f>IF(INDEX(I.Facility.P4IDNumber,3125)="","",INDEX(I.Facility.P4IDNumber,3125))</f>
        <v/>
      </c>
      <c r="G23137" s="51"/>
      <c r="H23137" s="46" t="str">
        <f>IF(AND(I.Developer.P4=TRUE,I.Facility.P4FacilityCount&gt;=3125,F23137=""),"Incomplete","Complete")</f>
        <v>Complete</v>
      </c>
      <c r="I23137" s="48" t="s">
        <v>27502</v>
      </c>
    </row>
    <row r="23138" spans="2:9" ht="15" customHeight="1" x14ac:dyDescent="0.25">
      <c r="B23138" s="55" t="s">
        <v>283</v>
      </c>
      <c r="C23138" s="46">
        <v>3126</v>
      </c>
      <c r="D23138" s="69" t="s">
        <v>29420</v>
      </c>
      <c r="E23138" s="51"/>
      <c r="F23138" s="114" t="str">
        <f>IF(INDEX(I.Facility.P4IDNumber,3126)="","",INDEX(I.Facility.P4IDNumber,3126))</f>
        <v/>
      </c>
      <c r="G23138" s="51"/>
      <c r="H23138" s="46" t="str">
        <f>IF(AND(I.Developer.P4=TRUE,I.Facility.P4FacilityCount&gt;=3126,F23138=""),"Incomplete","Complete")</f>
        <v>Complete</v>
      </c>
      <c r="I23138" s="48" t="s">
        <v>27503</v>
      </c>
    </row>
    <row r="23139" spans="2:9" ht="15" customHeight="1" x14ac:dyDescent="0.25">
      <c r="B23139" s="55" t="s">
        <v>283</v>
      </c>
      <c r="C23139" s="46">
        <v>3127</v>
      </c>
      <c r="D23139" s="69" t="s">
        <v>29420</v>
      </c>
      <c r="E23139" s="51"/>
      <c r="F23139" s="114" t="str">
        <f>IF(INDEX(I.Facility.P4IDNumber,3127)="","",INDEX(I.Facility.P4IDNumber,3127))</f>
        <v/>
      </c>
      <c r="G23139" s="51"/>
      <c r="H23139" s="46" t="str">
        <f>IF(AND(I.Developer.P4=TRUE,I.Facility.P4FacilityCount&gt;=3127,F23139=""),"Incomplete","Complete")</f>
        <v>Complete</v>
      </c>
      <c r="I23139" s="48" t="s">
        <v>27504</v>
      </c>
    </row>
    <row r="23140" spans="2:9" ht="15" customHeight="1" x14ac:dyDescent="0.25">
      <c r="B23140" s="55" t="s">
        <v>283</v>
      </c>
      <c r="C23140" s="46">
        <v>3128</v>
      </c>
      <c r="D23140" s="69" t="s">
        <v>29420</v>
      </c>
      <c r="E23140" s="51"/>
      <c r="F23140" s="114" t="str">
        <f>IF(INDEX(I.Facility.P4IDNumber,3128)="","",INDEX(I.Facility.P4IDNumber,3128))</f>
        <v/>
      </c>
      <c r="G23140" s="51"/>
      <c r="H23140" s="46" t="str">
        <f>IF(AND(I.Developer.P4=TRUE,I.Facility.P4FacilityCount&gt;=3128,F23140=""),"Incomplete","Complete")</f>
        <v>Complete</v>
      </c>
      <c r="I23140" s="48" t="s">
        <v>27505</v>
      </c>
    </row>
    <row r="23141" spans="2:9" ht="15" customHeight="1" x14ac:dyDescent="0.25">
      <c r="B23141" s="55" t="s">
        <v>283</v>
      </c>
      <c r="C23141" s="46">
        <v>3129</v>
      </c>
      <c r="D23141" s="69" t="s">
        <v>29420</v>
      </c>
      <c r="E23141" s="51"/>
      <c r="F23141" s="114" t="str">
        <f>IF(INDEX(I.Facility.P4IDNumber,3129)="","",INDEX(I.Facility.P4IDNumber,3129))</f>
        <v/>
      </c>
      <c r="G23141" s="51"/>
      <c r="H23141" s="46" t="str">
        <f>IF(AND(I.Developer.P4=TRUE,I.Facility.P4FacilityCount&gt;=3129,F23141=""),"Incomplete","Complete")</f>
        <v>Complete</v>
      </c>
      <c r="I23141" s="48" t="s">
        <v>27506</v>
      </c>
    </row>
    <row r="23142" spans="2:9" ht="15" customHeight="1" x14ac:dyDescent="0.25">
      <c r="B23142" s="55" t="s">
        <v>283</v>
      </c>
      <c r="C23142" s="46">
        <v>3130</v>
      </c>
      <c r="D23142" s="69" t="s">
        <v>29420</v>
      </c>
      <c r="E23142" s="51"/>
      <c r="F23142" s="114" t="str">
        <f>IF(INDEX(I.Facility.P4IDNumber,3130)="","",INDEX(I.Facility.P4IDNumber,3130))</f>
        <v/>
      </c>
      <c r="G23142" s="51"/>
      <c r="H23142" s="46" t="str">
        <f>IF(AND(I.Developer.P4=TRUE,I.Facility.P4FacilityCount&gt;=3130,F23142=""),"Incomplete","Complete")</f>
        <v>Complete</v>
      </c>
      <c r="I23142" s="48" t="s">
        <v>27507</v>
      </c>
    </row>
    <row r="23143" spans="2:9" ht="15" customHeight="1" x14ac:dyDescent="0.25">
      <c r="B23143" s="55" t="s">
        <v>283</v>
      </c>
      <c r="C23143" s="46">
        <v>3131</v>
      </c>
      <c r="D23143" s="69" t="s">
        <v>29420</v>
      </c>
      <c r="E23143" s="51"/>
      <c r="F23143" s="114" t="str">
        <f>IF(INDEX(I.Facility.P4IDNumber,3131)="","",INDEX(I.Facility.P4IDNumber,3131))</f>
        <v/>
      </c>
      <c r="G23143" s="51"/>
      <c r="H23143" s="46" t="str">
        <f>IF(AND(I.Developer.P4=TRUE,I.Facility.P4FacilityCount&gt;=3131,F23143=""),"Incomplete","Complete")</f>
        <v>Complete</v>
      </c>
      <c r="I23143" s="48" t="s">
        <v>27508</v>
      </c>
    </row>
    <row r="23144" spans="2:9" ht="15" customHeight="1" x14ac:dyDescent="0.25">
      <c r="B23144" s="55" t="s">
        <v>283</v>
      </c>
      <c r="C23144" s="46">
        <v>3132</v>
      </c>
      <c r="D23144" s="69" t="s">
        <v>29420</v>
      </c>
      <c r="E23144" s="51"/>
      <c r="F23144" s="114" t="str">
        <f>IF(INDEX(I.Facility.P4IDNumber,3132)="","",INDEX(I.Facility.P4IDNumber,3132))</f>
        <v/>
      </c>
      <c r="G23144" s="51"/>
      <c r="H23144" s="46" t="str">
        <f>IF(AND(I.Developer.P4=TRUE,I.Facility.P4FacilityCount&gt;=3132,F23144=""),"Incomplete","Complete")</f>
        <v>Complete</v>
      </c>
      <c r="I23144" s="48" t="s">
        <v>27509</v>
      </c>
    </row>
    <row r="23145" spans="2:9" ht="15" customHeight="1" x14ac:dyDescent="0.25">
      <c r="B23145" s="55" t="s">
        <v>283</v>
      </c>
      <c r="C23145" s="46">
        <v>3133</v>
      </c>
      <c r="D23145" s="69" t="s">
        <v>29420</v>
      </c>
      <c r="E23145" s="51"/>
      <c r="F23145" s="114" t="str">
        <f>IF(INDEX(I.Facility.P4IDNumber,3133)="","",INDEX(I.Facility.P4IDNumber,3133))</f>
        <v/>
      </c>
      <c r="G23145" s="51"/>
      <c r="H23145" s="46" t="str">
        <f>IF(AND(I.Developer.P4=TRUE,I.Facility.P4FacilityCount&gt;=3133,F23145=""),"Incomplete","Complete")</f>
        <v>Complete</v>
      </c>
      <c r="I23145" s="48" t="s">
        <v>27510</v>
      </c>
    </row>
    <row r="23146" spans="2:9" ht="15" customHeight="1" x14ac:dyDescent="0.25">
      <c r="B23146" s="55" t="s">
        <v>283</v>
      </c>
      <c r="C23146" s="46">
        <v>3134</v>
      </c>
      <c r="D23146" s="69" t="s">
        <v>29420</v>
      </c>
      <c r="E23146" s="51"/>
      <c r="F23146" s="114" t="str">
        <f>IF(INDEX(I.Facility.P4IDNumber,3134)="","",INDEX(I.Facility.P4IDNumber,3134))</f>
        <v/>
      </c>
      <c r="G23146" s="51"/>
      <c r="H23146" s="46" t="str">
        <f>IF(AND(I.Developer.P4=TRUE,I.Facility.P4FacilityCount&gt;=3134,F23146=""),"Incomplete","Complete")</f>
        <v>Complete</v>
      </c>
      <c r="I23146" s="48" t="s">
        <v>27511</v>
      </c>
    </row>
    <row r="23147" spans="2:9" ht="15" customHeight="1" x14ac:dyDescent="0.25">
      <c r="B23147" s="55" t="s">
        <v>283</v>
      </c>
      <c r="C23147" s="46">
        <v>3135</v>
      </c>
      <c r="D23147" s="69" t="s">
        <v>29420</v>
      </c>
      <c r="E23147" s="51"/>
      <c r="F23147" s="114" t="str">
        <f>IF(INDEX(I.Facility.P4IDNumber,3135)="","",INDEX(I.Facility.P4IDNumber,3135))</f>
        <v/>
      </c>
      <c r="G23147" s="51"/>
      <c r="H23147" s="46" t="str">
        <f>IF(AND(I.Developer.P4=TRUE,I.Facility.P4FacilityCount&gt;=3135,F23147=""),"Incomplete","Complete")</f>
        <v>Complete</v>
      </c>
      <c r="I23147" s="48" t="s">
        <v>27512</v>
      </c>
    </row>
    <row r="23148" spans="2:9" ht="15" customHeight="1" x14ac:dyDescent="0.25">
      <c r="B23148" s="55" t="s">
        <v>283</v>
      </c>
      <c r="C23148" s="46">
        <v>3136</v>
      </c>
      <c r="D23148" s="69" t="s">
        <v>29420</v>
      </c>
      <c r="E23148" s="51"/>
      <c r="F23148" s="114" t="str">
        <f>IF(INDEX(I.Facility.P4IDNumber,3136)="","",INDEX(I.Facility.P4IDNumber,3136))</f>
        <v/>
      </c>
      <c r="G23148" s="51"/>
      <c r="H23148" s="46" t="str">
        <f>IF(AND(I.Developer.P4=TRUE,I.Facility.P4FacilityCount&gt;=3136,F23148=""),"Incomplete","Complete")</f>
        <v>Complete</v>
      </c>
      <c r="I23148" s="48" t="s">
        <v>27513</v>
      </c>
    </row>
    <row r="23149" spans="2:9" ht="15" customHeight="1" x14ac:dyDescent="0.25">
      <c r="B23149" s="55" t="s">
        <v>283</v>
      </c>
      <c r="C23149" s="46">
        <v>3137</v>
      </c>
      <c r="D23149" s="69" t="s">
        <v>29420</v>
      </c>
      <c r="E23149" s="51"/>
      <c r="F23149" s="114" t="str">
        <f>IF(INDEX(I.Facility.P4IDNumber,3137)="","",INDEX(I.Facility.P4IDNumber,3137))</f>
        <v/>
      </c>
      <c r="G23149" s="51"/>
      <c r="H23149" s="46" t="str">
        <f>IF(AND(I.Developer.P4=TRUE,I.Facility.P4FacilityCount&gt;=3137,F23149=""),"Incomplete","Complete")</f>
        <v>Complete</v>
      </c>
      <c r="I23149" s="48" t="s">
        <v>27514</v>
      </c>
    </row>
    <row r="23150" spans="2:9" ht="15" customHeight="1" x14ac:dyDescent="0.25">
      <c r="B23150" s="55" t="s">
        <v>283</v>
      </c>
      <c r="C23150" s="46">
        <v>3138</v>
      </c>
      <c r="D23150" s="69" t="s">
        <v>29420</v>
      </c>
      <c r="E23150" s="51"/>
      <c r="F23150" s="114" t="str">
        <f>IF(INDEX(I.Facility.P4IDNumber,3138)="","",INDEX(I.Facility.P4IDNumber,3138))</f>
        <v/>
      </c>
      <c r="G23150" s="51"/>
      <c r="H23150" s="46" t="str">
        <f>IF(AND(I.Developer.P4=TRUE,I.Facility.P4FacilityCount&gt;=3138,F23150=""),"Incomplete","Complete")</f>
        <v>Complete</v>
      </c>
      <c r="I23150" s="48" t="s">
        <v>27515</v>
      </c>
    </row>
    <row r="23151" spans="2:9" ht="15" customHeight="1" x14ac:dyDescent="0.25">
      <c r="B23151" s="55" t="s">
        <v>283</v>
      </c>
      <c r="C23151" s="46">
        <v>3139</v>
      </c>
      <c r="D23151" s="69" t="s">
        <v>29420</v>
      </c>
      <c r="E23151" s="51"/>
      <c r="F23151" s="114" t="str">
        <f>IF(INDEX(I.Facility.P4IDNumber,3139)="","",INDEX(I.Facility.P4IDNumber,3139))</f>
        <v/>
      </c>
      <c r="G23151" s="51"/>
      <c r="H23151" s="46" t="str">
        <f>IF(AND(I.Developer.P4=TRUE,I.Facility.P4FacilityCount&gt;=3139,F23151=""),"Incomplete","Complete")</f>
        <v>Complete</v>
      </c>
      <c r="I23151" s="48" t="s">
        <v>27516</v>
      </c>
    </row>
    <row r="23152" spans="2:9" ht="15" customHeight="1" x14ac:dyDescent="0.25">
      <c r="B23152" s="55" t="s">
        <v>283</v>
      </c>
      <c r="C23152" s="46">
        <v>3140</v>
      </c>
      <c r="D23152" s="69" t="s">
        <v>29420</v>
      </c>
      <c r="E23152" s="51"/>
      <c r="F23152" s="114" t="str">
        <f>IF(INDEX(I.Facility.P4IDNumber,3140)="","",INDEX(I.Facility.P4IDNumber,3140))</f>
        <v/>
      </c>
      <c r="G23152" s="51"/>
      <c r="H23152" s="46" t="str">
        <f>IF(AND(I.Developer.P4=TRUE,I.Facility.P4FacilityCount&gt;=3140,F23152=""),"Incomplete","Complete")</f>
        <v>Complete</v>
      </c>
      <c r="I23152" s="48" t="s">
        <v>27517</v>
      </c>
    </row>
    <row r="23153" spans="2:9" ht="15" customHeight="1" x14ac:dyDescent="0.25">
      <c r="B23153" s="55" t="s">
        <v>283</v>
      </c>
      <c r="C23153" s="46">
        <v>3141</v>
      </c>
      <c r="D23153" s="69" t="s">
        <v>29420</v>
      </c>
      <c r="E23153" s="51"/>
      <c r="F23153" s="114" t="str">
        <f>IF(INDEX(I.Facility.P4IDNumber,3141)="","",INDEX(I.Facility.P4IDNumber,3141))</f>
        <v/>
      </c>
      <c r="G23153" s="51"/>
      <c r="H23153" s="46" t="str">
        <f>IF(AND(I.Developer.P4=TRUE,I.Facility.P4FacilityCount&gt;=3141,F23153=""),"Incomplete","Complete")</f>
        <v>Complete</v>
      </c>
      <c r="I23153" s="48" t="s">
        <v>27518</v>
      </c>
    </row>
    <row r="23154" spans="2:9" ht="15" customHeight="1" x14ac:dyDescent="0.25">
      <c r="B23154" s="55" t="s">
        <v>283</v>
      </c>
      <c r="C23154" s="46">
        <v>3142</v>
      </c>
      <c r="D23154" s="69" t="s">
        <v>29420</v>
      </c>
      <c r="E23154" s="51"/>
      <c r="F23154" s="114" t="str">
        <f>IF(INDEX(I.Facility.P4IDNumber,3142)="","",INDEX(I.Facility.P4IDNumber,3142))</f>
        <v/>
      </c>
      <c r="G23154" s="51"/>
      <c r="H23154" s="46" t="str">
        <f>IF(AND(I.Developer.P4=TRUE,I.Facility.P4FacilityCount&gt;=3142,F23154=""),"Incomplete","Complete")</f>
        <v>Complete</v>
      </c>
      <c r="I23154" s="48" t="s">
        <v>27519</v>
      </c>
    </row>
    <row r="23155" spans="2:9" ht="15" customHeight="1" x14ac:dyDescent="0.25">
      <c r="B23155" s="55" t="s">
        <v>283</v>
      </c>
      <c r="C23155" s="46">
        <v>3143</v>
      </c>
      <c r="D23155" s="69" t="s">
        <v>29420</v>
      </c>
      <c r="E23155" s="51"/>
      <c r="F23155" s="114" t="str">
        <f>IF(INDEX(I.Facility.P4IDNumber,3143)="","",INDEX(I.Facility.P4IDNumber,3143))</f>
        <v/>
      </c>
      <c r="G23155" s="51"/>
      <c r="H23155" s="46" t="str">
        <f>IF(AND(I.Developer.P4=TRUE,I.Facility.P4FacilityCount&gt;=3143,F23155=""),"Incomplete","Complete")</f>
        <v>Complete</v>
      </c>
      <c r="I23155" s="48" t="s">
        <v>27520</v>
      </c>
    </row>
    <row r="23156" spans="2:9" ht="15" customHeight="1" x14ac:dyDescent="0.25">
      <c r="B23156" s="55" t="s">
        <v>283</v>
      </c>
      <c r="C23156" s="46">
        <v>3144</v>
      </c>
      <c r="D23156" s="69" t="s">
        <v>29420</v>
      </c>
      <c r="E23156" s="51"/>
      <c r="F23156" s="114" t="str">
        <f>IF(INDEX(I.Facility.P4IDNumber,3144)="","",INDEX(I.Facility.P4IDNumber,3144))</f>
        <v/>
      </c>
      <c r="G23156" s="51"/>
      <c r="H23156" s="46" t="str">
        <f>IF(AND(I.Developer.P4=TRUE,I.Facility.P4FacilityCount&gt;=3144,F23156=""),"Incomplete","Complete")</f>
        <v>Complete</v>
      </c>
      <c r="I23156" s="48" t="s">
        <v>27521</v>
      </c>
    </row>
    <row r="23157" spans="2:9" ht="15" customHeight="1" x14ac:dyDescent="0.25">
      <c r="B23157" s="55" t="s">
        <v>283</v>
      </c>
      <c r="C23157" s="46">
        <v>3145</v>
      </c>
      <c r="D23157" s="69" t="s">
        <v>29420</v>
      </c>
      <c r="E23157" s="51"/>
      <c r="F23157" s="114" t="str">
        <f>IF(INDEX(I.Facility.P4IDNumber,3145)="","",INDEX(I.Facility.P4IDNumber,3145))</f>
        <v/>
      </c>
      <c r="G23157" s="51"/>
      <c r="H23157" s="46" t="str">
        <f>IF(AND(I.Developer.P4=TRUE,I.Facility.P4FacilityCount&gt;=3145,F23157=""),"Incomplete","Complete")</f>
        <v>Complete</v>
      </c>
      <c r="I23157" s="48" t="s">
        <v>27522</v>
      </c>
    </row>
    <row r="23158" spans="2:9" ht="15" customHeight="1" x14ac:dyDescent="0.25">
      <c r="B23158" s="55" t="s">
        <v>283</v>
      </c>
      <c r="C23158" s="46">
        <v>3146</v>
      </c>
      <c r="D23158" s="69" t="s">
        <v>29420</v>
      </c>
      <c r="E23158" s="51"/>
      <c r="F23158" s="114" t="str">
        <f>IF(INDEX(I.Facility.P4IDNumber,3146)="","",INDEX(I.Facility.P4IDNumber,3146))</f>
        <v/>
      </c>
      <c r="G23158" s="51"/>
      <c r="H23158" s="46" t="str">
        <f>IF(AND(I.Developer.P4=TRUE,I.Facility.P4FacilityCount&gt;=3146,F23158=""),"Incomplete","Complete")</f>
        <v>Complete</v>
      </c>
      <c r="I23158" s="48" t="s">
        <v>27523</v>
      </c>
    </row>
    <row r="23159" spans="2:9" ht="15" customHeight="1" x14ac:dyDescent="0.25">
      <c r="B23159" s="55" t="s">
        <v>283</v>
      </c>
      <c r="C23159" s="46">
        <v>3147</v>
      </c>
      <c r="D23159" s="69" t="s">
        <v>29420</v>
      </c>
      <c r="E23159" s="51"/>
      <c r="F23159" s="114" t="str">
        <f>IF(INDEX(I.Facility.P4IDNumber,3147)="","",INDEX(I.Facility.P4IDNumber,3147))</f>
        <v/>
      </c>
      <c r="G23159" s="51"/>
      <c r="H23159" s="46" t="str">
        <f>IF(AND(I.Developer.P4=TRUE,I.Facility.P4FacilityCount&gt;=3147,F23159=""),"Incomplete","Complete")</f>
        <v>Complete</v>
      </c>
      <c r="I23159" s="48" t="s">
        <v>27524</v>
      </c>
    </row>
    <row r="23160" spans="2:9" ht="15" customHeight="1" x14ac:dyDescent="0.25">
      <c r="B23160" s="55" t="s">
        <v>283</v>
      </c>
      <c r="C23160" s="46">
        <v>3148</v>
      </c>
      <c r="D23160" s="69" t="s">
        <v>29420</v>
      </c>
      <c r="E23160" s="51"/>
      <c r="F23160" s="114" t="str">
        <f>IF(INDEX(I.Facility.P4IDNumber,3148)="","",INDEX(I.Facility.P4IDNumber,3148))</f>
        <v/>
      </c>
      <c r="G23160" s="51"/>
      <c r="H23160" s="46" t="str">
        <f>IF(AND(I.Developer.P4=TRUE,I.Facility.P4FacilityCount&gt;=3148,F23160=""),"Incomplete","Complete")</f>
        <v>Complete</v>
      </c>
      <c r="I23160" s="48" t="s">
        <v>27525</v>
      </c>
    </row>
    <row r="23161" spans="2:9" ht="15" customHeight="1" x14ac:dyDescent="0.25">
      <c r="B23161" s="55" t="s">
        <v>283</v>
      </c>
      <c r="C23161" s="46">
        <v>3149</v>
      </c>
      <c r="D23161" s="69" t="s">
        <v>29420</v>
      </c>
      <c r="E23161" s="51"/>
      <c r="F23161" s="114" t="str">
        <f>IF(INDEX(I.Facility.P4IDNumber,3149)="","",INDEX(I.Facility.P4IDNumber,3149))</f>
        <v/>
      </c>
      <c r="G23161" s="51"/>
      <c r="H23161" s="46" t="str">
        <f>IF(AND(I.Developer.P4=TRUE,I.Facility.P4FacilityCount&gt;=3149,F23161=""),"Incomplete","Complete")</f>
        <v>Complete</v>
      </c>
      <c r="I23161" s="48" t="s">
        <v>27526</v>
      </c>
    </row>
    <row r="23162" spans="2:9" ht="15" customHeight="1" x14ac:dyDescent="0.25">
      <c r="B23162" s="55" t="s">
        <v>283</v>
      </c>
      <c r="C23162" s="46">
        <v>3150</v>
      </c>
      <c r="D23162" s="69" t="s">
        <v>29420</v>
      </c>
      <c r="E23162" s="51"/>
      <c r="F23162" s="114" t="str">
        <f>IF(INDEX(I.Facility.P4IDNumber,3150)="","",INDEX(I.Facility.P4IDNumber,3150))</f>
        <v/>
      </c>
      <c r="G23162" s="51"/>
      <c r="H23162" s="46" t="str">
        <f>IF(AND(I.Developer.P4=TRUE,I.Facility.P4FacilityCount&gt;=3150,F23162=""),"Incomplete","Complete")</f>
        <v>Complete</v>
      </c>
      <c r="I23162" s="48" t="s">
        <v>27527</v>
      </c>
    </row>
    <row r="23163" spans="2:9" ht="15" customHeight="1" x14ac:dyDescent="0.25">
      <c r="B23163" s="55" t="s">
        <v>283</v>
      </c>
      <c r="C23163" s="46">
        <v>3151</v>
      </c>
      <c r="D23163" s="69" t="s">
        <v>29420</v>
      </c>
      <c r="E23163" s="51"/>
      <c r="F23163" s="114" t="str">
        <f>IF(INDEX(I.Facility.P4IDNumber,3151)="","",INDEX(I.Facility.P4IDNumber,3151))</f>
        <v/>
      </c>
      <c r="G23163" s="51"/>
      <c r="H23163" s="46" t="str">
        <f>IF(AND(I.Developer.P4=TRUE,I.Facility.P4FacilityCount&gt;=3151,F23163=""),"Incomplete","Complete")</f>
        <v>Complete</v>
      </c>
      <c r="I23163" s="48" t="s">
        <v>27528</v>
      </c>
    </row>
    <row r="23164" spans="2:9" ht="15" customHeight="1" x14ac:dyDescent="0.25">
      <c r="B23164" s="55" t="s">
        <v>283</v>
      </c>
      <c r="C23164" s="46">
        <v>3152</v>
      </c>
      <c r="D23164" s="69" t="s">
        <v>29420</v>
      </c>
      <c r="E23164" s="51"/>
      <c r="F23164" s="114" t="str">
        <f>IF(INDEX(I.Facility.P4IDNumber,3152)="","",INDEX(I.Facility.P4IDNumber,3152))</f>
        <v/>
      </c>
      <c r="G23164" s="51"/>
      <c r="H23164" s="46" t="str">
        <f>IF(AND(I.Developer.P4=TRUE,I.Facility.P4FacilityCount&gt;=3152,F23164=""),"Incomplete","Complete")</f>
        <v>Complete</v>
      </c>
      <c r="I23164" s="48" t="s">
        <v>27529</v>
      </c>
    </row>
    <row r="23165" spans="2:9" ht="15" customHeight="1" x14ac:dyDescent="0.25">
      <c r="B23165" s="55" t="s">
        <v>283</v>
      </c>
      <c r="C23165" s="46">
        <v>3153</v>
      </c>
      <c r="D23165" s="69" t="s">
        <v>29420</v>
      </c>
      <c r="E23165" s="51"/>
      <c r="F23165" s="114" t="str">
        <f>IF(INDEX(I.Facility.P4IDNumber,3153)="","",INDEX(I.Facility.P4IDNumber,3153))</f>
        <v/>
      </c>
      <c r="G23165" s="51"/>
      <c r="H23165" s="46" t="str">
        <f>IF(AND(I.Developer.P4=TRUE,I.Facility.P4FacilityCount&gt;=3153,F23165=""),"Incomplete","Complete")</f>
        <v>Complete</v>
      </c>
      <c r="I23165" s="48" t="s">
        <v>27530</v>
      </c>
    </row>
    <row r="23166" spans="2:9" ht="15" customHeight="1" x14ac:dyDescent="0.25">
      <c r="B23166" s="55" t="s">
        <v>283</v>
      </c>
      <c r="C23166" s="46">
        <v>3154</v>
      </c>
      <c r="D23166" s="69" t="s">
        <v>29420</v>
      </c>
      <c r="E23166" s="51"/>
      <c r="F23166" s="114" t="str">
        <f>IF(INDEX(I.Facility.P4IDNumber,3154)="","",INDEX(I.Facility.P4IDNumber,3154))</f>
        <v/>
      </c>
      <c r="G23166" s="51"/>
      <c r="H23166" s="46" t="str">
        <f>IF(AND(I.Developer.P4=TRUE,I.Facility.P4FacilityCount&gt;=3154,F23166=""),"Incomplete","Complete")</f>
        <v>Complete</v>
      </c>
      <c r="I23166" s="48" t="s">
        <v>27531</v>
      </c>
    </row>
    <row r="23167" spans="2:9" ht="15" customHeight="1" x14ac:dyDescent="0.25">
      <c r="B23167" s="55" t="s">
        <v>283</v>
      </c>
      <c r="C23167" s="46">
        <v>3155</v>
      </c>
      <c r="D23167" s="69" t="s">
        <v>29420</v>
      </c>
      <c r="E23167" s="51"/>
      <c r="F23167" s="114" t="str">
        <f>IF(INDEX(I.Facility.P4IDNumber,3155)="","",INDEX(I.Facility.P4IDNumber,3155))</f>
        <v/>
      </c>
      <c r="G23167" s="51"/>
      <c r="H23167" s="46" t="str">
        <f>IF(AND(I.Developer.P4=TRUE,I.Facility.P4FacilityCount&gt;=3155,F23167=""),"Incomplete","Complete")</f>
        <v>Complete</v>
      </c>
      <c r="I23167" s="48" t="s">
        <v>27532</v>
      </c>
    </row>
    <row r="23168" spans="2:9" ht="15" customHeight="1" x14ac:dyDescent="0.25">
      <c r="B23168" s="55" t="s">
        <v>283</v>
      </c>
      <c r="C23168" s="46">
        <v>3156</v>
      </c>
      <c r="D23168" s="69" t="s">
        <v>29420</v>
      </c>
      <c r="E23168" s="51"/>
      <c r="F23168" s="114" t="str">
        <f>IF(INDEX(I.Facility.P4IDNumber,3156)="","",INDEX(I.Facility.P4IDNumber,3156))</f>
        <v/>
      </c>
      <c r="G23168" s="51"/>
      <c r="H23168" s="46" t="str">
        <f>IF(AND(I.Developer.P4=TRUE,I.Facility.P4FacilityCount&gt;=3156,F23168=""),"Incomplete","Complete")</f>
        <v>Complete</v>
      </c>
      <c r="I23168" s="48" t="s">
        <v>27533</v>
      </c>
    </row>
    <row r="23169" spans="2:9" ht="15" customHeight="1" x14ac:dyDescent="0.25">
      <c r="B23169" s="55" t="s">
        <v>283</v>
      </c>
      <c r="C23169" s="46">
        <v>3157</v>
      </c>
      <c r="D23169" s="69" t="s">
        <v>29420</v>
      </c>
      <c r="E23169" s="51"/>
      <c r="F23169" s="114" t="str">
        <f>IF(INDEX(I.Facility.P4IDNumber,3157)="","",INDEX(I.Facility.P4IDNumber,3157))</f>
        <v/>
      </c>
      <c r="G23169" s="51"/>
      <c r="H23169" s="46" t="str">
        <f>IF(AND(I.Developer.P4=TRUE,I.Facility.P4FacilityCount&gt;=3157,F23169=""),"Incomplete","Complete")</f>
        <v>Complete</v>
      </c>
      <c r="I23169" s="48" t="s">
        <v>27534</v>
      </c>
    </row>
    <row r="23170" spans="2:9" ht="15" customHeight="1" x14ac:dyDescent="0.25">
      <c r="B23170" s="55" t="s">
        <v>283</v>
      </c>
      <c r="C23170" s="46">
        <v>3158</v>
      </c>
      <c r="D23170" s="69" t="s">
        <v>29420</v>
      </c>
      <c r="E23170" s="51"/>
      <c r="F23170" s="114" t="str">
        <f>IF(INDEX(I.Facility.P4IDNumber,3158)="","",INDEX(I.Facility.P4IDNumber,3158))</f>
        <v/>
      </c>
      <c r="G23170" s="51"/>
      <c r="H23170" s="46" t="str">
        <f>IF(AND(I.Developer.P4=TRUE,I.Facility.P4FacilityCount&gt;=3158,F23170=""),"Incomplete","Complete")</f>
        <v>Complete</v>
      </c>
      <c r="I23170" s="48" t="s">
        <v>27535</v>
      </c>
    </row>
    <row r="23171" spans="2:9" ht="15" customHeight="1" x14ac:dyDescent="0.25">
      <c r="B23171" s="55" t="s">
        <v>283</v>
      </c>
      <c r="C23171" s="46">
        <v>3159</v>
      </c>
      <c r="D23171" s="69" t="s">
        <v>29420</v>
      </c>
      <c r="E23171" s="51"/>
      <c r="F23171" s="114" t="str">
        <f>IF(INDEX(I.Facility.P4IDNumber,3159)="","",INDEX(I.Facility.P4IDNumber,3159))</f>
        <v/>
      </c>
      <c r="G23171" s="51"/>
      <c r="H23171" s="46" t="str">
        <f>IF(AND(I.Developer.P4=TRUE,I.Facility.P4FacilityCount&gt;=3159,F23171=""),"Incomplete","Complete")</f>
        <v>Complete</v>
      </c>
      <c r="I23171" s="48" t="s">
        <v>27536</v>
      </c>
    </row>
    <row r="23172" spans="2:9" ht="15" customHeight="1" x14ac:dyDescent="0.25">
      <c r="B23172" s="55" t="s">
        <v>283</v>
      </c>
      <c r="C23172" s="46">
        <v>3160</v>
      </c>
      <c r="D23172" s="69" t="s">
        <v>29420</v>
      </c>
      <c r="E23172" s="51"/>
      <c r="F23172" s="114" t="str">
        <f>IF(INDEX(I.Facility.P4IDNumber,3160)="","",INDEX(I.Facility.P4IDNumber,3160))</f>
        <v/>
      </c>
      <c r="G23172" s="51"/>
      <c r="H23172" s="46" t="str">
        <f>IF(AND(I.Developer.P4=TRUE,I.Facility.P4FacilityCount&gt;=3160,F23172=""),"Incomplete","Complete")</f>
        <v>Complete</v>
      </c>
      <c r="I23172" s="48" t="s">
        <v>27537</v>
      </c>
    </row>
    <row r="23173" spans="2:9" ht="15" customHeight="1" x14ac:dyDescent="0.25">
      <c r="B23173" s="55" t="s">
        <v>283</v>
      </c>
      <c r="C23173" s="46">
        <v>3161</v>
      </c>
      <c r="D23173" s="69" t="s">
        <v>29420</v>
      </c>
      <c r="E23173" s="51"/>
      <c r="F23173" s="114" t="str">
        <f>IF(INDEX(I.Facility.P4IDNumber,3161)="","",INDEX(I.Facility.P4IDNumber,3161))</f>
        <v/>
      </c>
      <c r="G23173" s="51"/>
      <c r="H23173" s="46" t="str">
        <f>IF(AND(I.Developer.P4=TRUE,I.Facility.P4FacilityCount&gt;=3161,F23173=""),"Incomplete","Complete")</f>
        <v>Complete</v>
      </c>
      <c r="I23173" s="48" t="s">
        <v>27538</v>
      </c>
    </row>
    <row r="23174" spans="2:9" ht="15" customHeight="1" x14ac:dyDescent="0.25">
      <c r="B23174" s="55" t="s">
        <v>283</v>
      </c>
      <c r="C23174" s="46">
        <v>3162</v>
      </c>
      <c r="D23174" s="69" t="s">
        <v>29420</v>
      </c>
      <c r="E23174" s="51"/>
      <c r="F23174" s="114" t="str">
        <f>IF(INDEX(I.Facility.P4IDNumber,3162)="","",INDEX(I.Facility.P4IDNumber,3162))</f>
        <v/>
      </c>
      <c r="G23174" s="51"/>
      <c r="H23174" s="46" t="str">
        <f>IF(AND(I.Developer.P4=TRUE,I.Facility.P4FacilityCount&gt;=3162,F23174=""),"Incomplete","Complete")</f>
        <v>Complete</v>
      </c>
      <c r="I23174" s="48" t="s">
        <v>27539</v>
      </c>
    </row>
    <row r="23175" spans="2:9" ht="15" customHeight="1" x14ac:dyDescent="0.25">
      <c r="B23175" s="55" t="s">
        <v>283</v>
      </c>
      <c r="C23175" s="46">
        <v>3163</v>
      </c>
      <c r="D23175" s="69" t="s">
        <v>29420</v>
      </c>
      <c r="E23175" s="51"/>
      <c r="F23175" s="114" t="str">
        <f>IF(INDEX(I.Facility.P4IDNumber,3163)="","",INDEX(I.Facility.P4IDNumber,3163))</f>
        <v/>
      </c>
      <c r="G23175" s="51"/>
      <c r="H23175" s="46" t="str">
        <f>IF(AND(I.Developer.P4=TRUE,I.Facility.P4FacilityCount&gt;=3163,F23175=""),"Incomplete","Complete")</f>
        <v>Complete</v>
      </c>
      <c r="I23175" s="48" t="s">
        <v>27540</v>
      </c>
    </row>
    <row r="23176" spans="2:9" ht="15" customHeight="1" x14ac:dyDescent="0.25">
      <c r="B23176" s="55" t="s">
        <v>283</v>
      </c>
      <c r="C23176" s="46">
        <v>3164</v>
      </c>
      <c r="D23176" s="69" t="s">
        <v>29420</v>
      </c>
      <c r="E23176" s="51"/>
      <c r="F23176" s="114" t="str">
        <f>IF(INDEX(I.Facility.P4IDNumber,3164)="","",INDEX(I.Facility.P4IDNumber,3164))</f>
        <v/>
      </c>
      <c r="G23176" s="51"/>
      <c r="H23176" s="46" t="str">
        <f>IF(AND(I.Developer.P4=TRUE,I.Facility.P4FacilityCount&gt;=3164,F23176=""),"Incomplete","Complete")</f>
        <v>Complete</v>
      </c>
      <c r="I23176" s="48" t="s">
        <v>27541</v>
      </c>
    </row>
    <row r="23177" spans="2:9" ht="15" customHeight="1" x14ac:dyDescent="0.25">
      <c r="B23177" s="55" t="s">
        <v>283</v>
      </c>
      <c r="C23177" s="46">
        <v>3165</v>
      </c>
      <c r="D23177" s="69" t="s">
        <v>29420</v>
      </c>
      <c r="E23177" s="51"/>
      <c r="F23177" s="114" t="str">
        <f>IF(INDEX(I.Facility.P4IDNumber,3165)="","",INDEX(I.Facility.P4IDNumber,3165))</f>
        <v/>
      </c>
      <c r="G23177" s="51"/>
      <c r="H23177" s="46" t="str">
        <f>IF(AND(I.Developer.P4=TRUE,I.Facility.P4FacilityCount&gt;=3165,F23177=""),"Incomplete","Complete")</f>
        <v>Complete</v>
      </c>
      <c r="I23177" s="48" t="s">
        <v>27542</v>
      </c>
    </row>
    <row r="23178" spans="2:9" ht="15" customHeight="1" x14ac:dyDescent="0.25">
      <c r="B23178" s="55" t="s">
        <v>283</v>
      </c>
      <c r="C23178" s="46">
        <v>3166</v>
      </c>
      <c r="D23178" s="69" t="s">
        <v>29420</v>
      </c>
      <c r="E23178" s="51"/>
      <c r="F23178" s="114" t="str">
        <f>IF(INDEX(I.Facility.P4IDNumber,3166)="","",INDEX(I.Facility.P4IDNumber,3166))</f>
        <v/>
      </c>
      <c r="G23178" s="51"/>
      <c r="H23178" s="46" t="str">
        <f>IF(AND(I.Developer.P4=TRUE,I.Facility.P4FacilityCount&gt;=3166,F23178=""),"Incomplete","Complete")</f>
        <v>Complete</v>
      </c>
      <c r="I23178" s="48" t="s">
        <v>27543</v>
      </c>
    </row>
    <row r="23179" spans="2:9" ht="15" customHeight="1" x14ac:dyDescent="0.25">
      <c r="B23179" s="55" t="s">
        <v>283</v>
      </c>
      <c r="C23179" s="46">
        <v>3167</v>
      </c>
      <c r="D23179" s="69" t="s">
        <v>29420</v>
      </c>
      <c r="E23179" s="51"/>
      <c r="F23179" s="114" t="str">
        <f>IF(INDEX(I.Facility.P4IDNumber,3167)="","",INDEX(I.Facility.P4IDNumber,3167))</f>
        <v/>
      </c>
      <c r="G23179" s="51"/>
      <c r="H23179" s="46" t="str">
        <f>IF(AND(I.Developer.P4=TRUE,I.Facility.P4FacilityCount&gt;=3167,F23179=""),"Incomplete","Complete")</f>
        <v>Complete</v>
      </c>
      <c r="I23179" s="48" t="s">
        <v>27544</v>
      </c>
    </row>
    <row r="23180" spans="2:9" ht="15" customHeight="1" x14ac:dyDescent="0.25">
      <c r="B23180" s="55" t="s">
        <v>283</v>
      </c>
      <c r="C23180" s="46">
        <v>3168</v>
      </c>
      <c r="D23180" s="69" t="s">
        <v>29420</v>
      </c>
      <c r="E23180" s="51"/>
      <c r="F23180" s="114" t="str">
        <f>IF(INDEX(I.Facility.P4IDNumber,3168)="","",INDEX(I.Facility.P4IDNumber,3168))</f>
        <v/>
      </c>
      <c r="G23180" s="51"/>
      <c r="H23180" s="46" t="str">
        <f>IF(AND(I.Developer.P4=TRUE,I.Facility.P4FacilityCount&gt;=3168,F23180=""),"Incomplete","Complete")</f>
        <v>Complete</v>
      </c>
      <c r="I23180" s="48" t="s">
        <v>27545</v>
      </c>
    </row>
    <row r="23181" spans="2:9" ht="15" customHeight="1" x14ac:dyDescent="0.25">
      <c r="B23181" s="55" t="s">
        <v>283</v>
      </c>
      <c r="C23181" s="46">
        <v>3169</v>
      </c>
      <c r="D23181" s="69" t="s">
        <v>29420</v>
      </c>
      <c r="E23181" s="51"/>
      <c r="F23181" s="114" t="str">
        <f>IF(INDEX(I.Facility.P4IDNumber,3169)="","",INDEX(I.Facility.P4IDNumber,3169))</f>
        <v/>
      </c>
      <c r="G23181" s="51"/>
      <c r="H23181" s="46" t="str">
        <f>IF(AND(I.Developer.P4=TRUE,I.Facility.P4FacilityCount&gt;=3169,F23181=""),"Incomplete","Complete")</f>
        <v>Complete</v>
      </c>
      <c r="I23181" s="48" t="s">
        <v>27546</v>
      </c>
    </row>
    <row r="23182" spans="2:9" ht="15" customHeight="1" x14ac:dyDescent="0.25">
      <c r="B23182" s="55" t="s">
        <v>283</v>
      </c>
      <c r="C23182" s="46">
        <v>3170</v>
      </c>
      <c r="D23182" s="69" t="s">
        <v>29420</v>
      </c>
      <c r="E23182" s="51"/>
      <c r="F23182" s="114" t="str">
        <f>IF(INDEX(I.Facility.P4IDNumber,3170)="","",INDEX(I.Facility.P4IDNumber,3170))</f>
        <v/>
      </c>
      <c r="G23182" s="51"/>
      <c r="H23182" s="46" t="str">
        <f>IF(AND(I.Developer.P4=TRUE,I.Facility.P4FacilityCount&gt;=3170,F23182=""),"Incomplete","Complete")</f>
        <v>Complete</v>
      </c>
      <c r="I23182" s="48" t="s">
        <v>27547</v>
      </c>
    </row>
    <row r="23183" spans="2:9" ht="15" customHeight="1" x14ac:dyDescent="0.25">
      <c r="B23183" s="55" t="s">
        <v>283</v>
      </c>
      <c r="C23183" s="46">
        <v>3171</v>
      </c>
      <c r="D23183" s="69" t="s">
        <v>29420</v>
      </c>
      <c r="E23183" s="51"/>
      <c r="F23183" s="114" t="str">
        <f>IF(INDEX(I.Facility.P4IDNumber,3171)="","",INDEX(I.Facility.P4IDNumber,3171))</f>
        <v/>
      </c>
      <c r="G23183" s="51"/>
      <c r="H23183" s="46" t="str">
        <f>IF(AND(I.Developer.P4=TRUE,I.Facility.P4FacilityCount&gt;=3171,F23183=""),"Incomplete","Complete")</f>
        <v>Complete</v>
      </c>
      <c r="I23183" s="48" t="s">
        <v>27548</v>
      </c>
    </row>
    <row r="23184" spans="2:9" ht="15" customHeight="1" x14ac:dyDescent="0.25">
      <c r="B23184" s="55" t="s">
        <v>283</v>
      </c>
      <c r="C23184" s="46">
        <v>3172</v>
      </c>
      <c r="D23184" s="69" t="s">
        <v>29420</v>
      </c>
      <c r="E23184" s="51"/>
      <c r="F23184" s="114" t="str">
        <f>IF(INDEX(I.Facility.P4IDNumber,3172)="","",INDEX(I.Facility.P4IDNumber,3172))</f>
        <v/>
      </c>
      <c r="G23184" s="51"/>
      <c r="H23184" s="46" t="str">
        <f>IF(AND(I.Developer.P4=TRUE,I.Facility.P4FacilityCount&gt;=3172,F23184=""),"Incomplete","Complete")</f>
        <v>Complete</v>
      </c>
      <c r="I23184" s="48" t="s">
        <v>27549</v>
      </c>
    </row>
    <row r="23185" spans="2:9" ht="15" customHeight="1" x14ac:dyDescent="0.25">
      <c r="B23185" s="55" t="s">
        <v>283</v>
      </c>
      <c r="C23185" s="46">
        <v>3173</v>
      </c>
      <c r="D23185" s="69" t="s">
        <v>29420</v>
      </c>
      <c r="E23185" s="51"/>
      <c r="F23185" s="114" t="str">
        <f>IF(INDEX(I.Facility.P4IDNumber,3173)="","",INDEX(I.Facility.P4IDNumber,3173))</f>
        <v/>
      </c>
      <c r="G23185" s="51"/>
      <c r="H23185" s="46" t="str">
        <f>IF(AND(I.Developer.P4=TRUE,I.Facility.P4FacilityCount&gt;=3173,F23185=""),"Incomplete","Complete")</f>
        <v>Complete</v>
      </c>
      <c r="I23185" s="48" t="s">
        <v>27550</v>
      </c>
    </row>
    <row r="23186" spans="2:9" ht="15" customHeight="1" x14ac:dyDescent="0.25">
      <c r="B23186" s="55" t="s">
        <v>283</v>
      </c>
      <c r="C23186" s="46">
        <v>3174</v>
      </c>
      <c r="D23186" s="69" t="s">
        <v>29420</v>
      </c>
      <c r="E23186" s="51"/>
      <c r="F23186" s="114" t="str">
        <f>IF(INDEX(I.Facility.P4IDNumber,3174)="","",INDEX(I.Facility.P4IDNumber,3174))</f>
        <v/>
      </c>
      <c r="G23186" s="51"/>
      <c r="H23186" s="46" t="str">
        <f>IF(AND(I.Developer.P4=TRUE,I.Facility.P4FacilityCount&gt;=3174,F23186=""),"Incomplete","Complete")</f>
        <v>Complete</v>
      </c>
      <c r="I23186" s="48" t="s">
        <v>27551</v>
      </c>
    </row>
    <row r="23187" spans="2:9" ht="15" customHeight="1" x14ac:dyDescent="0.25">
      <c r="B23187" s="55" t="s">
        <v>283</v>
      </c>
      <c r="C23187" s="46">
        <v>3175</v>
      </c>
      <c r="D23187" s="69" t="s">
        <v>29420</v>
      </c>
      <c r="E23187" s="51"/>
      <c r="F23187" s="114" t="str">
        <f>IF(INDEX(I.Facility.P4IDNumber,3175)="","",INDEX(I.Facility.P4IDNumber,3175))</f>
        <v/>
      </c>
      <c r="G23187" s="51"/>
      <c r="H23187" s="46" t="str">
        <f>IF(AND(I.Developer.P4=TRUE,I.Facility.P4FacilityCount&gt;=3175,F23187=""),"Incomplete","Complete")</f>
        <v>Complete</v>
      </c>
      <c r="I23187" s="48" t="s">
        <v>27552</v>
      </c>
    </row>
    <row r="23188" spans="2:9" ht="15" customHeight="1" x14ac:dyDescent="0.25">
      <c r="B23188" s="55" t="s">
        <v>283</v>
      </c>
      <c r="C23188" s="46">
        <v>3176</v>
      </c>
      <c r="D23188" s="69" t="s">
        <v>29420</v>
      </c>
      <c r="E23188" s="51"/>
      <c r="F23188" s="114" t="str">
        <f>IF(INDEX(I.Facility.P4IDNumber,3176)="","",INDEX(I.Facility.P4IDNumber,3176))</f>
        <v/>
      </c>
      <c r="G23188" s="51"/>
      <c r="H23188" s="46" t="str">
        <f>IF(AND(I.Developer.P4=TRUE,I.Facility.P4FacilityCount&gt;=3176,F23188=""),"Incomplete","Complete")</f>
        <v>Complete</v>
      </c>
      <c r="I23188" s="48" t="s">
        <v>27553</v>
      </c>
    </row>
    <row r="23189" spans="2:9" ht="15" customHeight="1" x14ac:dyDescent="0.25">
      <c r="B23189" s="55" t="s">
        <v>283</v>
      </c>
      <c r="C23189" s="46">
        <v>3177</v>
      </c>
      <c r="D23189" s="69" t="s">
        <v>29420</v>
      </c>
      <c r="E23189" s="51"/>
      <c r="F23189" s="114" t="str">
        <f>IF(INDEX(I.Facility.P4IDNumber,3177)="","",INDEX(I.Facility.P4IDNumber,3177))</f>
        <v/>
      </c>
      <c r="G23189" s="51"/>
      <c r="H23189" s="46" t="str">
        <f>IF(AND(I.Developer.P4=TRUE,I.Facility.P4FacilityCount&gt;=3177,F23189=""),"Incomplete","Complete")</f>
        <v>Complete</v>
      </c>
      <c r="I23189" s="48" t="s">
        <v>27554</v>
      </c>
    </row>
    <row r="23190" spans="2:9" ht="15" customHeight="1" x14ac:dyDescent="0.25">
      <c r="B23190" s="55" t="s">
        <v>283</v>
      </c>
      <c r="C23190" s="46">
        <v>3178</v>
      </c>
      <c r="D23190" s="69" t="s">
        <v>29420</v>
      </c>
      <c r="E23190" s="51"/>
      <c r="F23190" s="114" t="str">
        <f>IF(INDEX(I.Facility.P4IDNumber,3178)="","",INDEX(I.Facility.P4IDNumber,3178))</f>
        <v/>
      </c>
      <c r="G23190" s="51"/>
      <c r="H23190" s="46" t="str">
        <f>IF(AND(I.Developer.P4=TRUE,I.Facility.P4FacilityCount&gt;=3178,F23190=""),"Incomplete","Complete")</f>
        <v>Complete</v>
      </c>
      <c r="I23190" s="48" t="s">
        <v>27555</v>
      </c>
    </row>
    <row r="23191" spans="2:9" ht="15" customHeight="1" x14ac:dyDescent="0.25">
      <c r="B23191" s="55" t="s">
        <v>283</v>
      </c>
      <c r="C23191" s="46">
        <v>3179</v>
      </c>
      <c r="D23191" s="69" t="s">
        <v>29420</v>
      </c>
      <c r="E23191" s="51"/>
      <c r="F23191" s="114" t="str">
        <f>IF(INDEX(I.Facility.P4IDNumber,3179)="","",INDEX(I.Facility.P4IDNumber,3179))</f>
        <v/>
      </c>
      <c r="G23191" s="51"/>
      <c r="H23191" s="46" t="str">
        <f>IF(AND(I.Developer.P4=TRUE,I.Facility.P4FacilityCount&gt;=3179,F23191=""),"Incomplete","Complete")</f>
        <v>Complete</v>
      </c>
      <c r="I23191" s="48" t="s">
        <v>27556</v>
      </c>
    </row>
    <row r="23192" spans="2:9" ht="15" customHeight="1" x14ac:dyDescent="0.25">
      <c r="B23192" s="55" t="s">
        <v>283</v>
      </c>
      <c r="C23192" s="46">
        <v>3180</v>
      </c>
      <c r="D23192" s="69" t="s">
        <v>29420</v>
      </c>
      <c r="E23192" s="51"/>
      <c r="F23192" s="114" t="str">
        <f>IF(INDEX(I.Facility.P4IDNumber,3180)="","",INDEX(I.Facility.P4IDNumber,3180))</f>
        <v/>
      </c>
      <c r="G23192" s="51"/>
      <c r="H23192" s="46" t="str">
        <f>IF(AND(I.Developer.P4=TRUE,I.Facility.P4FacilityCount&gt;=3180,F23192=""),"Incomplete","Complete")</f>
        <v>Complete</v>
      </c>
      <c r="I23192" s="48" t="s">
        <v>27557</v>
      </c>
    </row>
    <row r="23193" spans="2:9" ht="15" customHeight="1" x14ac:dyDescent="0.25">
      <c r="B23193" s="55" t="s">
        <v>283</v>
      </c>
      <c r="C23193" s="46">
        <v>3181</v>
      </c>
      <c r="D23193" s="69" t="s">
        <v>29420</v>
      </c>
      <c r="E23193" s="51"/>
      <c r="F23193" s="114" t="str">
        <f>IF(INDEX(I.Facility.P4IDNumber,3181)="","",INDEX(I.Facility.P4IDNumber,3181))</f>
        <v/>
      </c>
      <c r="G23193" s="51"/>
      <c r="H23193" s="46" t="str">
        <f>IF(AND(I.Developer.P4=TRUE,I.Facility.P4FacilityCount&gt;=3181,F23193=""),"Incomplete","Complete")</f>
        <v>Complete</v>
      </c>
      <c r="I23193" s="48" t="s">
        <v>27558</v>
      </c>
    </row>
    <row r="23194" spans="2:9" ht="15" customHeight="1" x14ac:dyDescent="0.25">
      <c r="B23194" s="55" t="s">
        <v>283</v>
      </c>
      <c r="C23194" s="46">
        <v>3182</v>
      </c>
      <c r="D23194" s="69" t="s">
        <v>29420</v>
      </c>
      <c r="E23194" s="51"/>
      <c r="F23194" s="114" t="str">
        <f>IF(INDEX(I.Facility.P4IDNumber,3182)="","",INDEX(I.Facility.P4IDNumber,3182))</f>
        <v/>
      </c>
      <c r="G23194" s="51"/>
      <c r="H23194" s="46" t="str">
        <f>IF(AND(I.Developer.P4=TRUE,I.Facility.P4FacilityCount&gt;=3182,F23194=""),"Incomplete","Complete")</f>
        <v>Complete</v>
      </c>
      <c r="I23194" s="48" t="s">
        <v>27559</v>
      </c>
    </row>
    <row r="23195" spans="2:9" ht="15" customHeight="1" x14ac:dyDescent="0.25">
      <c r="B23195" s="55" t="s">
        <v>283</v>
      </c>
      <c r="C23195" s="46">
        <v>3183</v>
      </c>
      <c r="D23195" s="69" t="s">
        <v>29420</v>
      </c>
      <c r="E23195" s="51"/>
      <c r="F23195" s="114" t="str">
        <f>IF(INDEX(I.Facility.P4IDNumber,3183)="","",INDEX(I.Facility.P4IDNumber,3183))</f>
        <v/>
      </c>
      <c r="G23195" s="51"/>
      <c r="H23195" s="46" t="str">
        <f>IF(AND(I.Developer.P4=TRUE,I.Facility.P4FacilityCount&gt;=3183,F23195=""),"Incomplete","Complete")</f>
        <v>Complete</v>
      </c>
      <c r="I23195" s="48" t="s">
        <v>27560</v>
      </c>
    </row>
    <row r="23196" spans="2:9" ht="15" customHeight="1" x14ac:dyDescent="0.25">
      <c r="B23196" s="55" t="s">
        <v>283</v>
      </c>
      <c r="C23196" s="46">
        <v>3184</v>
      </c>
      <c r="D23196" s="69" t="s">
        <v>29420</v>
      </c>
      <c r="E23196" s="51"/>
      <c r="F23196" s="114" t="str">
        <f>IF(INDEX(I.Facility.P4IDNumber,3184)="","",INDEX(I.Facility.P4IDNumber,3184))</f>
        <v/>
      </c>
      <c r="G23196" s="51"/>
      <c r="H23196" s="46" t="str">
        <f>IF(AND(I.Developer.P4=TRUE,I.Facility.P4FacilityCount&gt;=3184,F23196=""),"Incomplete","Complete")</f>
        <v>Complete</v>
      </c>
      <c r="I23196" s="48" t="s">
        <v>27561</v>
      </c>
    </row>
    <row r="23197" spans="2:9" ht="15" customHeight="1" x14ac:dyDescent="0.25">
      <c r="B23197" s="55" t="s">
        <v>283</v>
      </c>
      <c r="C23197" s="46">
        <v>3185</v>
      </c>
      <c r="D23197" s="69" t="s">
        <v>29420</v>
      </c>
      <c r="E23197" s="51"/>
      <c r="F23197" s="114" t="str">
        <f>IF(INDEX(I.Facility.P4IDNumber,3185)="","",INDEX(I.Facility.P4IDNumber,3185))</f>
        <v/>
      </c>
      <c r="G23197" s="51"/>
      <c r="H23197" s="46" t="str">
        <f>IF(AND(I.Developer.P4=TRUE,I.Facility.P4FacilityCount&gt;=3185,F23197=""),"Incomplete","Complete")</f>
        <v>Complete</v>
      </c>
      <c r="I23197" s="48" t="s">
        <v>27562</v>
      </c>
    </row>
    <row r="23198" spans="2:9" ht="15" customHeight="1" x14ac:dyDescent="0.25">
      <c r="B23198" s="55" t="s">
        <v>283</v>
      </c>
      <c r="C23198" s="46">
        <v>3186</v>
      </c>
      <c r="D23198" s="69" t="s">
        <v>29420</v>
      </c>
      <c r="E23198" s="51"/>
      <c r="F23198" s="114" t="str">
        <f>IF(INDEX(I.Facility.P4IDNumber,3186)="","",INDEX(I.Facility.P4IDNumber,3186))</f>
        <v/>
      </c>
      <c r="G23198" s="51"/>
      <c r="H23198" s="46" t="str">
        <f>IF(AND(I.Developer.P4=TRUE,I.Facility.P4FacilityCount&gt;=3186,F23198=""),"Incomplete","Complete")</f>
        <v>Complete</v>
      </c>
      <c r="I23198" s="48" t="s">
        <v>27563</v>
      </c>
    </row>
    <row r="23199" spans="2:9" ht="15" customHeight="1" x14ac:dyDescent="0.25">
      <c r="B23199" s="55" t="s">
        <v>283</v>
      </c>
      <c r="C23199" s="46">
        <v>3187</v>
      </c>
      <c r="D23199" s="69" t="s">
        <v>29420</v>
      </c>
      <c r="E23199" s="51"/>
      <c r="F23199" s="114" t="str">
        <f>IF(INDEX(I.Facility.P4IDNumber,3187)="","",INDEX(I.Facility.P4IDNumber,3187))</f>
        <v/>
      </c>
      <c r="G23199" s="51"/>
      <c r="H23199" s="46" t="str">
        <f>IF(AND(I.Developer.P4=TRUE,I.Facility.P4FacilityCount&gt;=3187,F23199=""),"Incomplete","Complete")</f>
        <v>Complete</v>
      </c>
      <c r="I23199" s="48" t="s">
        <v>27564</v>
      </c>
    </row>
    <row r="23200" spans="2:9" ht="15" customHeight="1" x14ac:dyDescent="0.25">
      <c r="B23200" s="55" t="s">
        <v>283</v>
      </c>
      <c r="C23200" s="46">
        <v>3188</v>
      </c>
      <c r="D23200" s="69" t="s">
        <v>29420</v>
      </c>
      <c r="E23200" s="51"/>
      <c r="F23200" s="114" t="str">
        <f>IF(INDEX(I.Facility.P4IDNumber,3188)="","",INDEX(I.Facility.P4IDNumber,3188))</f>
        <v/>
      </c>
      <c r="G23200" s="51"/>
      <c r="H23200" s="46" t="str">
        <f>IF(AND(I.Developer.P4=TRUE,I.Facility.P4FacilityCount&gt;=3188,F23200=""),"Incomplete","Complete")</f>
        <v>Complete</v>
      </c>
      <c r="I23200" s="48" t="s">
        <v>27565</v>
      </c>
    </row>
    <row r="23201" spans="2:9" ht="15" customHeight="1" x14ac:dyDescent="0.25">
      <c r="B23201" s="55" t="s">
        <v>283</v>
      </c>
      <c r="C23201" s="46">
        <v>3189</v>
      </c>
      <c r="D23201" s="69" t="s">
        <v>29420</v>
      </c>
      <c r="E23201" s="51"/>
      <c r="F23201" s="114" t="str">
        <f>IF(INDEX(I.Facility.P4IDNumber,3189)="","",INDEX(I.Facility.P4IDNumber,3189))</f>
        <v/>
      </c>
      <c r="G23201" s="51"/>
      <c r="H23201" s="46" t="str">
        <f>IF(AND(I.Developer.P4=TRUE,I.Facility.P4FacilityCount&gt;=3189,F23201=""),"Incomplete","Complete")</f>
        <v>Complete</v>
      </c>
      <c r="I23201" s="48" t="s">
        <v>27566</v>
      </c>
    </row>
    <row r="23202" spans="2:9" ht="15" customHeight="1" x14ac:dyDescent="0.25">
      <c r="B23202" s="55" t="s">
        <v>283</v>
      </c>
      <c r="C23202" s="46">
        <v>3190</v>
      </c>
      <c r="D23202" s="69" t="s">
        <v>29420</v>
      </c>
      <c r="E23202" s="51"/>
      <c r="F23202" s="114" t="str">
        <f>IF(INDEX(I.Facility.P4IDNumber,3190)="","",INDEX(I.Facility.P4IDNumber,3190))</f>
        <v/>
      </c>
      <c r="G23202" s="51"/>
      <c r="H23202" s="46" t="str">
        <f>IF(AND(I.Developer.P4=TRUE,I.Facility.P4FacilityCount&gt;=3190,F23202=""),"Incomplete","Complete")</f>
        <v>Complete</v>
      </c>
      <c r="I23202" s="48" t="s">
        <v>27567</v>
      </c>
    </row>
    <row r="23203" spans="2:9" ht="15" customHeight="1" x14ac:dyDescent="0.25">
      <c r="B23203" s="55" t="s">
        <v>283</v>
      </c>
      <c r="C23203" s="46">
        <v>3191</v>
      </c>
      <c r="D23203" s="69" t="s">
        <v>29420</v>
      </c>
      <c r="E23203" s="51"/>
      <c r="F23203" s="114" t="str">
        <f>IF(INDEX(I.Facility.P4IDNumber,3191)="","",INDEX(I.Facility.P4IDNumber,3191))</f>
        <v/>
      </c>
      <c r="G23203" s="51"/>
      <c r="H23203" s="46" t="str">
        <f>IF(AND(I.Developer.P4=TRUE,I.Facility.P4FacilityCount&gt;=3191,F23203=""),"Incomplete","Complete")</f>
        <v>Complete</v>
      </c>
      <c r="I23203" s="48" t="s">
        <v>27568</v>
      </c>
    </row>
    <row r="23204" spans="2:9" ht="15" customHeight="1" x14ac:dyDescent="0.25">
      <c r="B23204" s="55" t="s">
        <v>283</v>
      </c>
      <c r="C23204" s="46">
        <v>3192</v>
      </c>
      <c r="D23204" s="69" t="s">
        <v>29420</v>
      </c>
      <c r="E23204" s="51"/>
      <c r="F23204" s="114" t="str">
        <f>IF(INDEX(I.Facility.P4IDNumber,3192)="","",INDEX(I.Facility.P4IDNumber,3192))</f>
        <v/>
      </c>
      <c r="G23204" s="51"/>
      <c r="H23204" s="46" t="str">
        <f>IF(AND(I.Developer.P4=TRUE,I.Facility.P4FacilityCount&gt;=3192,F23204=""),"Incomplete","Complete")</f>
        <v>Complete</v>
      </c>
      <c r="I23204" s="48" t="s">
        <v>27569</v>
      </c>
    </row>
    <row r="23205" spans="2:9" ht="15" customHeight="1" x14ac:dyDescent="0.25">
      <c r="B23205" s="55" t="s">
        <v>283</v>
      </c>
      <c r="C23205" s="46">
        <v>3193</v>
      </c>
      <c r="D23205" s="69" t="s">
        <v>29420</v>
      </c>
      <c r="E23205" s="51"/>
      <c r="F23205" s="114" t="str">
        <f>IF(INDEX(I.Facility.P4IDNumber,3193)="","",INDEX(I.Facility.P4IDNumber,3193))</f>
        <v/>
      </c>
      <c r="G23205" s="51"/>
      <c r="H23205" s="46" t="str">
        <f>IF(AND(I.Developer.P4=TRUE,I.Facility.P4FacilityCount&gt;=3193,F23205=""),"Incomplete","Complete")</f>
        <v>Complete</v>
      </c>
      <c r="I23205" s="48" t="s">
        <v>27570</v>
      </c>
    </row>
    <row r="23206" spans="2:9" ht="15" customHeight="1" x14ac:dyDescent="0.25">
      <c r="B23206" s="55" t="s">
        <v>283</v>
      </c>
      <c r="C23206" s="46">
        <v>3194</v>
      </c>
      <c r="D23206" s="69" t="s">
        <v>29420</v>
      </c>
      <c r="E23206" s="51"/>
      <c r="F23206" s="114" t="str">
        <f>IF(INDEX(I.Facility.P4IDNumber,3194)="","",INDEX(I.Facility.P4IDNumber,3194))</f>
        <v/>
      </c>
      <c r="G23206" s="51"/>
      <c r="H23206" s="46" t="str">
        <f>IF(AND(I.Developer.P4=TRUE,I.Facility.P4FacilityCount&gt;=3194,F23206=""),"Incomplete","Complete")</f>
        <v>Complete</v>
      </c>
      <c r="I23206" s="48" t="s">
        <v>27571</v>
      </c>
    </row>
    <row r="23207" spans="2:9" ht="15" customHeight="1" x14ac:dyDescent="0.25">
      <c r="B23207" s="55" t="s">
        <v>283</v>
      </c>
      <c r="C23207" s="46">
        <v>3195</v>
      </c>
      <c r="D23207" s="69" t="s">
        <v>29420</v>
      </c>
      <c r="E23207" s="51"/>
      <c r="F23207" s="114" t="str">
        <f>IF(INDEX(I.Facility.P4IDNumber,3195)="","",INDEX(I.Facility.P4IDNumber,3195))</f>
        <v/>
      </c>
      <c r="G23207" s="51"/>
      <c r="H23207" s="46" t="str">
        <f>IF(AND(I.Developer.P4=TRUE,I.Facility.P4FacilityCount&gt;=3195,F23207=""),"Incomplete","Complete")</f>
        <v>Complete</v>
      </c>
      <c r="I23207" s="48" t="s">
        <v>27572</v>
      </c>
    </row>
    <row r="23208" spans="2:9" ht="15" customHeight="1" x14ac:dyDescent="0.25">
      <c r="B23208" s="55" t="s">
        <v>283</v>
      </c>
      <c r="C23208" s="46">
        <v>3196</v>
      </c>
      <c r="D23208" s="69" t="s">
        <v>29420</v>
      </c>
      <c r="E23208" s="51"/>
      <c r="F23208" s="114" t="str">
        <f>IF(INDEX(I.Facility.P4IDNumber,3196)="","",INDEX(I.Facility.P4IDNumber,3196))</f>
        <v/>
      </c>
      <c r="G23208" s="51"/>
      <c r="H23208" s="46" t="str">
        <f>IF(AND(I.Developer.P4=TRUE,I.Facility.P4FacilityCount&gt;=3196,F23208=""),"Incomplete","Complete")</f>
        <v>Complete</v>
      </c>
      <c r="I23208" s="48" t="s">
        <v>27573</v>
      </c>
    </row>
    <row r="23209" spans="2:9" ht="15" customHeight="1" x14ac:dyDescent="0.25">
      <c r="B23209" s="55" t="s">
        <v>283</v>
      </c>
      <c r="C23209" s="46">
        <v>3197</v>
      </c>
      <c r="D23209" s="69" t="s">
        <v>29420</v>
      </c>
      <c r="E23209" s="51"/>
      <c r="F23209" s="114" t="str">
        <f>IF(INDEX(I.Facility.P4IDNumber,3197)="","",INDEX(I.Facility.P4IDNumber,3197))</f>
        <v/>
      </c>
      <c r="G23209" s="51"/>
      <c r="H23209" s="46" t="str">
        <f>IF(AND(I.Developer.P4=TRUE,I.Facility.P4FacilityCount&gt;=3197,F23209=""),"Incomplete","Complete")</f>
        <v>Complete</v>
      </c>
      <c r="I23209" s="48" t="s">
        <v>27574</v>
      </c>
    </row>
    <row r="23210" spans="2:9" ht="15" customHeight="1" x14ac:dyDescent="0.25">
      <c r="B23210" s="55" t="s">
        <v>283</v>
      </c>
      <c r="C23210" s="46">
        <v>3198</v>
      </c>
      <c r="D23210" s="69" t="s">
        <v>29420</v>
      </c>
      <c r="E23210" s="51"/>
      <c r="F23210" s="114" t="str">
        <f>IF(INDEX(I.Facility.P4IDNumber,3198)="","",INDEX(I.Facility.P4IDNumber,3198))</f>
        <v/>
      </c>
      <c r="G23210" s="51"/>
      <c r="H23210" s="46" t="str">
        <f>IF(AND(I.Developer.P4=TRUE,I.Facility.P4FacilityCount&gt;=3198,F23210=""),"Incomplete","Complete")</f>
        <v>Complete</v>
      </c>
      <c r="I23210" s="48" t="s">
        <v>27575</v>
      </c>
    </row>
    <row r="23211" spans="2:9" ht="15" customHeight="1" x14ac:dyDescent="0.25">
      <c r="B23211" s="55" t="s">
        <v>283</v>
      </c>
      <c r="C23211" s="46">
        <v>3199</v>
      </c>
      <c r="D23211" s="69" t="s">
        <v>29420</v>
      </c>
      <c r="E23211" s="51"/>
      <c r="F23211" s="114" t="str">
        <f>IF(INDEX(I.Facility.P4IDNumber,3199)="","",INDEX(I.Facility.P4IDNumber,3199))</f>
        <v/>
      </c>
      <c r="G23211" s="51"/>
      <c r="H23211" s="46" t="str">
        <f>IF(AND(I.Developer.P4=TRUE,I.Facility.P4FacilityCount&gt;=3199,F23211=""),"Incomplete","Complete")</f>
        <v>Complete</v>
      </c>
      <c r="I23211" s="48" t="s">
        <v>27576</v>
      </c>
    </row>
    <row r="23212" spans="2:9" ht="15" customHeight="1" x14ac:dyDescent="0.25">
      <c r="B23212" s="55" t="s">
        <v>283</v>
      </c>
      <c r="C23212" s="46">
        <v>3200</v>
      </c>
      <c r="D23212" s="69" t="s">
        <v>29420</v>
      </c>
      <c r="E23212" s="51"/>
      <c r="F23212" s="114" t="str">
        <f>IF(INDEX(I.Facility.P4IDNumber,3200)="","",INDEX(I.Facility.P4IDNumber,3200))</f>
        <v/>
      </c>
      <c r="G23212" s="51"/>
      <c r="H23212" s="46" t="str">
        <f>IF(AND(I.Developer.P4=TRUE,I.Facility.P4FacilityCount&gt;=3200,F23212=""),"Incomplete","Complete")</f>
        <v>Complete</v>
      </c>
      <c r="I23212" s="48" t="s">
        <v>27577</v>
      </c>
    </row>
    <row r="23213" spans="2:9" ht="15" customHeight="1" x14ac:dyDescent="0.25">
      <c r="B23213" s="55" t="s">
        <v>283</v>
      </c>
      <c r="C23213" s="46">
        <v>3201</v>
      </c>
      <c r="D23213" s="69" t="s">
        <v>29420</v>
      </c>
      <c r="E23213" s="51"/>
      <c r="F23213" s="114" t="str">
        <f>IF(INDEX(I.Facility.P4IDNumber,3201)="","",INDEX(I.Facility.P4IDNumber,3201))</f>
        <v/>
      </c>
      <c r="G23213" s="51"/>
      <c r="H23213" s="46" t="str">
        <f>IF(AND(I.Developer.P4=TRUE,I.Facility.P4FacilityCount&gt;=3201,F23213=""),"Incomplete","Complete")</f>
        <v>Complete</v>
      </c>
      <c r="I23213" s="48" t="s">
        <v>27578</v>
      </c>
    </row>
    <row r="23214" spans="2:9" ht="15" customHeight="1" x14ac:dyDescent="0.25">
      <c r="B23214" s="55" t="s">
        <v>283</v>
      </c>
      <c r="C23214" s="46">
        <v>3202</v>
      </c>
      <c r="D23214" s="69" t="s">
        <v>29420</v>
      </c>
      <c r="E23214" s="51"/>
      <c r="F23214" s="114" t="str">
        <f>IF(INDEX(I.Facility.P4IDNumber,3202)="","",INDEX(I.Facility.P4IDNumber,3202))</f>
        <v/>
      </c>
      <c r="G23214" s="51"/>
      <c r="H23214" s="46" t="str">
        <f>IF(AND(I.Developer.P4=TRUE,I.Facility.P4FacilityCount&gt;=3202,F23214=""),"Incomplete","Complete")</f>
        <v>Complete</v>
      </c>
      <c r="I23214" s="48" t="s">
        <v>27579</v>
      </c>
    </row>
    <row r="23215" spans="2:9" ht="15" customHeight="1" x14ac:dyDescent="0.25">
      <c r="B23215" s="55" t="s">
        <v>283</v>
      </c>
      <c r="C23215" s="46">
        <v>3203</v>
      </c>
      <c r="D23215" s="69" t="s">
        <v>29420</v>
      </c>
      <c r="E23215" s="51"/>
      <c r="F23215" s="114" t="str">
        <f>IF(INDEX(I.Facility.P4IDNumber,3203)="","",INDEX(I.Facility.P4IDNumber,3203))</f>
        <v/>
      </c>
      <c r="G23215" s="51"/>
      <c r="H23215" s="46" t="str">
        <f>IF(AND(I.Developer.P4=TRUE,I.Facility.P4FacilityCount&gt;=3203,F23215=""),"Incomplete","Complete")</f>
        <v>Complete</v>
      </c>
      <c r="I23215" s="48" t="s">
        <v>27580</v>
      </c>
    </row>
    <row r="23216" spans="2:9" ht="15" customHeight="1" x14ac:dyDescent="0.25">
      <c r="B23216" s="55" t="s">
        <v>283</v>
      </c>
      <c r="C23216" s="46">
        <v>3204</v>
      </c>
      <c r="D23216" s="69" t="s">
        <v>29420</v>
      </c>
      <c r="E23216" s="51"/>
      <c r="F23216" s="114" t="str">
        <f>IF(INDEX(I.Facility.P4IDNumber,3204)="","",INDEX(I.Facility.P4IDNumber,3204))</f>
        <v/>
      </c>
      <c r="G23216" s="51"/>
      <c r="H23216" s="46" t="str">
        <f>IF(AND(I.Developer.P4=TRUE,I.Facility.P4FacilityCount&gt;=3204,F23216=""),"Incomplete","Complete")</f>
        <v>Complete</v>
      </c>
      <c r="I23216" s="48" t="s">
        <v>27581</v>
      </c>
    </row>
    <row r="23217" spans="2:9" ht="15" customHeight="1" x14ac:dyDescent="0.25">
      <c r="B23217" s="55" t="s">
        <v>283</v>
      </c>
      <c r="C23217" s="46">
        <v>3205</v>
      </c>
      <c r="D23217" s="69" t="s">
        <v>29420</v>
      </c>
      <c r="E23217" s="51"/>
      <c r="F23217" s="114" t="str">
        <f>IF(INDEX(I.Facility.P4IDNumber,3205)="","",INDEX(I.Facility.P4IDNumber,3205))</f>
        <v/>
      </c>
      <c r="G23217" s="51"/>
      <c r="H23217" s="46" t="str">
        <f>IF(AND(I.Developer.P4=TRUE,I.Facility.P4FacilityCount&gt;=3205,F23217=""),"Incomplete","Complete")</f>
        <v>Complete</v>
      </c>
      <c r="I23217" s="48" t="s">
        <v>27582</v>
      </c>
    </row>
    <row r="23218" spans="2:9" ht="15" customHeight="1" x14ac:dyDescent="0.25">
      <c r="B23218" s="55" t="s">
        <v>283</v>
      </c>
      <c r="C23218" s="46">
        <v>3206</v>
      </c>
      <c r="D23218" s="69" t="s">
        <v>29420</v>
      </c>
      <c r="E23218" s="51"/>
      <c r="F23218" s="114" t="str">
        <f>IF(INDEX(I.Facility.P4IDNumber,3206)="","",INDEX(I.Facility.P4IDNumber,3206))</f>
        <v/>
      </c>
      <c r="G23218" s="51"/>
      <c r="H23218" s="46" t="str">
        <f>IF(AND(I.Developer.P4=TRUE,I.Facility.P4FacilityCount&gt;=3206,F23218=""),"Incomplete","Complete")</f>
        <v>Complete</v>
      </c>
      <c r="I23218" s="48" t="s">
        <v>27583</v>
      </c>
    </row>
    <row r="23219" spans="2:9" ht="15" customHeight="1" x14ac:dyDescent="0.25">
      <c r="B23219" s="55" t="s">
        <v>283</v>
      </c>
      <c r="C23219" s="46">
        <v>3207</v>
      </c>
      <c r="D23219" s="69" t="s">
        <v>29420</v>
      </c>
      <c r="E23219" s="51"/>
      <c r="F23219" s="114" t="str">
        <f>IF(INDEX(I.Facility.P4IDNumber,3207)="","",INDEX(I.Facility.P4IDNumber,3207))</f>
        <v/>
      </c>
      <c r="G23219" s="51"/>
      <c r="H23219" s="46" t="str">
        <f>IF(AND(I.Developer.P4=TRUE,I.Facility.P4FacilityCount&gt;=3207,F23219=""),"Incomplete","Complete")</f>
        <v>Complete</v>
      </c>
      <c r="I23219" s="48" t="s">
        <v>27584</v>
      </c>
    </row>
    <row r="23220" spans="2:9" ht="15" customHeight="1" x14ac:dyDescent="0.25">
      <c r="B23220" s="55" t="s">
        <v>283</v>
      </c>
      <c r="C23220" s="46">
        <v>3208</v>
      </c>
      <c r="D23220" s="69" t="s">
        <v>29420</v>
      </c>
      <c r="E23220" s="51"/>
      <c r="F23220" s="114" t="str">
        <f>IF(INDEX(I.Facility.P4IDNumber,3208)="","",INDEX(I.Facility.P4IDNumber,3208))</f>
        <v/>
      </c>
      <c r="G23220" s="51"/>
      <c r="H23220" s="46" t="str">
        <f>IF(AND(I.Developer.P4=TRUE,I.Facility.P4FacilityCount&gt;=3208,F23220=""),"Incomplete","Complete")</f>
        <v>Complete</v>
      </c>
      <c r="I23220" s="48" t="s">
        <v>27585</v>
      </c>
    </row>
    <row r="23221" spans="2:9" ht="15" customHeight="1" x14ac:dyDescent="0.25">
      <c r="B23221" s="55" t="s">
        <v>283</v>
      </c>
      <c r="C23221" s="46">
        <v>3209</v>
      </c>
      <c r="D23221" s="69" t="s">
        <v>29420</v>
      </c>
      <c r="E23221" s="51"/>
      <c r="F23221" s="114" t="str">
        <f>IF(INDEX(I.Facility.P4IDNumber,3209)="","",INDEX(I.Facility.P4IDNumber,3209))</f>
        <v/>
      </c>
      <c r="G23221" s="51"/>
      <c r="H23221" s="46" t="str">
        <f>IF(AND(I.Developer.P4=TRUE,I.Facility.P4FacilityCount&gt;=3209,F23221=""),"Incomplete","Complete")</f>
        <v>Complete</v>
      </c>
      <c r="I23221" s="48" t="s">
        <v>27586</v>
      </c>
    </row>
    <row r="23222" spans="2:9" ht="15" customHeight="1" x14ac:dyDescent="0.25">
      <c r="B23222" s="55" t="s">
        <v>283</v>
      </c>
      <c r="C23222" s="46">
        <v>3210</v>
      </c>
      <c r="D23222" s="69" t="s">
        <v>29420</v>
      </c>
      <c r="E23222" s="51"/>
      <c r="F23222" s="114" t="str">
        <f>IF(INDEX(I.Facility.P4IDNumber,3210)="","",INDEX(I.Facility.P4IDNumber,3210))</f>
        <v/>
      </c>
      <c r="G23222" s="51"/>
      <c r="H23222" s="46" t="str">
        <f>IF(AND(I.Developer.P4=TRUE,I.Facility.P4FacilityCount&gt;=3210,F23222=""),"Incomplete","Complete")</f>
        <v>Complete</v>
      </c>
      <c r="I23222" s="48" t="s">
        <v>27587</v>
      </c>
    </row>
    <row r="23223" spans="2:9" ht="15" customHeight="1" x14ac:dyDescent="0.25">
      <c r="B23223" s="55" t="s">
        <v>283</v>
      </c>
      <c r="C23223" s="46">
        <v>3211</v>
      </c>
      <c r="D23223" s="69" t="s">
        <v>29420</v>
      </c>
      <c r="E23223" s="51"/>
      <c r="F23223" s="114" t="str">
        <f>IF(INDEX(I.Facility.P4IDNumber,3211)="","",INDEX(I.Facility.P4IDNumber,3211))</f>
        <v/>
      </c>
      <c r="G23223" s="51"/>
      <c r="H23223" s="46" t="str">
        <f>IF(AND(I.Developer.P4=TRUE,I.Facility.P4FacilityCount&gt;=3211,F23223=""),"Incomplete","Complete")</f>
        <v>Complete</v>
      </c>
      <c r="I23223" s="48" t="s">
        <v>27588</v>
      </c>
    </row>
    <row r="23224" spans="2:9" ht="15" customHeight="1" x14ac:dyDescent="0.25">
      <c r="B23224" s="55" t="s">
        <v>283</v>
      </c>
      <c r="C23224" s="46">
        <v>3212</v>
      </c>
      <c r="D23224" s="69" t="s">
        <v>29420</v>
      </c>
      <c r="E23224" s="51"/>
      <c r="F23224" s="114" t="str">
        <f>IF(INDEX(I.Facility.P4IDNumber,3212)="","",INDEX(I.Facility.P4IDNumber,3212))</f>
        <v/>
      </c>
      <c r="G23224" s="51"/>
      <c r="H23224" s="46" t="str">
        <f>IF(AND(I.Developer.P4=TRUE,I.Facility.P4FacilityCount&gt;=3212,F23224=""),"Incomplete","Complete")</f>
        <v>Complete</v>
      </c>
      <c r="I23224" s="48" t="s">
        <v>27589</v>
      </c>
    </row>
    <row r="23225" spans="2:9" ht="15" customHeight="1" x14ac:dyDescent="0.25">
      <c r="B23225" s="55" t="s">
        <v>283</v>
      </c>
      <c r="C23225" s="46">
        <v>3213</v>
      </c>
      <c r="D23225" s="69" t="s">
        <v>29420</v>
      </c>
      <c r="E23225" s="51"/>
      <c r="F23225" s="114" t="str">
        <f>IF(INDEX(I.Facility.P4IDNumber,3213)="","",INDEX(I.Facility.P4IDNumber,3213))</f>
        <v/>
      </c>
      <c r="G23225" s="51"/>
      <c r="H23225" s="46" t="str">
        <f>IF(AND(I.Developer.P4=TRUE,I.Facility.P4FacilityCount&gt;=3213,F23225=""),"Incomplete","Complete")</f>
        <v>Complete</v>
      </c>
      <c r="I23225" s="48" t="s">
        <v>27590</v>
      </c>
    </row>
    <row r="23226" spans="2:9" ht="15" customHeight="1" x14ac:dyDescent="0.25">
      <c r="B23226" s="55" t="s">
        <v>283</v>
      </c>
      <c r="C23226" s="46">
        <v>3214</v>
      </c>
      <c r="D23226" s="69" t="s">
        <v>29420</v>
      </c>
      <c r="E23226" s="51"/>
      <c r="F23226" s="114" t="str">
        <f>IF(INDEX(I.Facility.P4IDNumber,3214)="","",INDEX(I.Facility.P4IDNumber,3214))</f>
        <v/>
      </c>
      <c r="G23226" s="51"/>
      <c r="H23226" s="46" t="str">
        <f>IF(AND(I.Developer.P4=TRUE,I.Facility.P4FacilityCount&gt;=3214,F23226=""),"Incomplete","Complete")</f>
        <v>Complete</v>
      </c>
      <c r="I23226" s="48" t="s">
        <v>27591</v>
      </c>
    </row>
    <row r="23227" spans="2:9" ht="15" customHeight="1" x14ac:dyDescent="0.25">
      <c r="B23227" s="55" t="s">
        <v>283</v>
      </c>
      <c r="C23227" s="46">
        <v>3215</v>
      </c>
      <c r="D23227" s="69" t="s">
        <v>29420</v>
      </c>
      <c r="E23227" s="51"/>
      <c r="F23227" s="114" t="str">
        <f>IF(INDEX(I.Facility.P4IDNumber,3215)="","",INDEX(I.Facility.P4IDNumber,3215))</f>
        <v/>
      </c>
      <c r="G23227" s="51"/>
      <c r="H23227" s="46" t="str">
        <f>IF(AND(I.Developer.P4=TRUE,I.Facility.P4FacilityCount&gt;=3215,F23227=""),"Incomplete","Complete")</f>
        <v>Complete</v>
      </c>
      <c r="I23227" s="48" t="s">
        <v>27592</v>
      </c>
    </row>
    <row r="23228" spans="2:9" ht="15" customHeight="1" x14ac:dyDescent="0.25">
      <c r="B23228" s="55" t="s">
        <v>283</v>
      </c>
      <c r="C23228" s="46">
        <v>3216</v>
      </c>
      <c r="D23228" s="69" t="s">
        <v>29420</v>
      </c>
      <c r="E23228" s="51"/>
      <c r="F23228" s="114" t="str">
        <f>IF(INDEX(I.Facility.P4IDNumber,3216)="","",INDEX(I.Facility.P4IDNumber,3216))</f>
        <v/>
      </c>
      <c r="G23228" s="51"/>
      <c r="H23228" s="46" t="str">
        <f>IF(AND(I.Developer.P4=TRUE,I.Facility.P4FacilityCount&gt;=3216,F23228=""),"Incomplete","Complete")</f>
        <v>Complete</v>
      </c>
      <c r="I23228" s="48" t="s">
        <v>27593</v>
      </c>
    </row>
    <row r="23229" spans="2:9" ht="15" customHeight="1" x14ac:dyDescent="0.25">
      <c r="B23229" s="55" t="s">
        <v>283</v>
      </c>
      <c r="C23229" s="46">
        <v>3217</v>
      </c>
      <c r="D23229" s="69" t="s">
        <v>29420</v>
      </c>
      <c r="E23229" s="51"/>
      <c r="F23229" s="114" t="str">
        <f>IF(INDEX(I.Facility.P4IDNumber,3217)="","",INDEX(I.Facility.P4IDNumber,3217))</f>
        <v/>
      </c>
      <c r="G23229" s="51"/>
      <c r="H23229" s="46" t="str">
        <f>IF(AND(I.Developer.P4=TRUE,I.Facility.P4FacilityCount&gt;=3217,F23229=""),"Incomplete","Complete")</f>
        <v>Complete</v>
      </c>
      <c r="I23229" s="48" t="s">
        <v>27594</v>
      </c>
    </row>
    <row r="23230" spans="2:9" ht="15" customHeight="1" x14ac:dyDescent="0.25">
      <c r="B23230" s="55" t="s">
        <v>283</v>
      </c>
      <c r="C23230" s="46">
        <v>3218</v>
      </c>
      <c r="D23230" s="69" t="s">
        <v>29420</v>
      </c>
      <c r="E23230" s="51"/>
      <c r="F23230" s="114" t="str">
        <f>IF(INDEX(I.Facility.P4IDNumber,3218)="","",INDEX(I.Facility.P4IDNumber,3218))</f>
        <v/>
      </c>
      <c r="G23230" s="51"/>
      <c r="H23230" s="46" t="str">
        <f>IF(AND(I.Developer.P4=TRUE,I.Facility.P4FacilityCount&gt;=3218,F23230=""),"Incomplete","Complete")</f>
        <v>Complete</v>
      </c>
      <c r="I23230" s="48" t="s">
        <v>27595</v>
      </c>
    </row>
    <row r="23231" spans="2:9" ht="15" customHeight="1" x14ac:dyDescent="0.25">
      <c r="B23231" s="55" t="s">
        <v>283</v>
      </c>
      <c r="C23231" s="46">
        <v>3219</v>
      </c>
      <c r="D23231" s="69" t="s">
        <v>29420</v>
      </c>
      <c r="E23231" s="51"/>
      <c r="F23231" s="114" t="str">
        <f>IF(INDEX(I.Facility.P4IDNumber,3219)="","",INDEX(I.Facility.P4IDNumber,3219))</f>
        <v/>
      </c>
      <c r="G23231" s="51"/>
      <c r="H23231" s="46" t="str">
        <f>IF(AND(I.Developer.P4=TRUE,I.Facility.P4FacilityCount&gt;=3219,F23231=""),"Incomplete","Complete")</f>
        <v>Complete</v>
      </c>
      <c r="I23231" s="48" t="s">
        <v>27596</v>
      </c>
    </row>
    <row r="23232" spans="2:9" ht="15" customHeight="1" x14ac:dyDescent="0.25">
      <c r="B23232" s="55" t="s">
        <v>283</v>
      </c>
      <c r="C23232" s="46">
        <v>3220</v>
      </c>
      <c r="D23232" s="69" t="s">
        <v>29420</v>
      </c>
      <c r="E23232" s="51"/>
      <c r="F23232" s="114" t="str">
        <f>IF(INDEX(I.Facility.P4IDNumber,3220)="","",INDEX(I.Facility.P4IDNumber,3220))</f>
        <v/>
      </c>
      <c r="G23232" s="51"/>
      <c r="H23232" s="46" t="str">
        <f>IF(AND(I.Developer.P4=TRUE,I.Facility.P4FacilityCount&gt;=3220,F23232=""),"Incomplete","Complete")</f>
        <v>Complete</v>
      </c>
      <c r="I23232" s="48" t="s">
        <v>27597</v>
      </c>
    </row>
    <row r="23233" spans="2:9" ht="15" customHeight="1" x14ac:dyDescent="0.25">
      <c r="B23233" s="55" t="s">
        <v>283</v>
      </c>
      <c r="C23233" s="46">
        <v>3221</v>
      </c>
      <c r="D23233" s="69" t="s">
        <v>29420</v>
      </c>
      <c r="E23233" s="51"/>
      <c r="F23233" s="114" t="str">
        <f>IF(INDEX(I.Facility.P4IDNumber,3221)="","",INDEX(I.Facility.P4IDNumber,3221))</f>
        <v/>
      </c>
      <c r="G23233" s="51"/>
      <c r="H23233" s="46" t="str">
        <f>IF(AND(I.Developer.P4=TRUE,I.Facility.P4FacilityCount&gt;=3221,F23233=""),"Incomplete","Complete")</f>
        <v>Complete</v>
      </c>
      <c r="I23233" s="48" t="s">
        <v>27598</v>
      </c>
    </row>
    <row r="23234" spans="2:9" ht="15" customHeight="1" x14ac:dyDescent="0.25">
      <c r="B23234" s="55" t="s">
        <v>283</v>
      </c>
      <c r="C23234" s="46">
        <v>3222</v>
      </c>
      <c r="D23234" s="69" t="s">
        <v>29420</v>
      </c>
      <c r="E23234" s="51"/>
      <c r="F23234" s="114" t="str">
        <f>IF(INDEX(I.Facility.P4IDNumber,3222)="","",INDEX(I.Facility.P4IDNumber,3222))</f>
        <v/>
      </c>
      <c r="G23234" s="51"/>
      <c r="H23234" s="46" t="str">
        <f>IF(AND(I.Developer.P4=TRUE,I.Facility.P4FacilityCount&gt;=3222,F23234=""),"Incomplete","Complete")</f>
        <v>Complete</v>
      </c>
      <c r="I23234" s="48" t="s">
        <v>27599</v>
      </c>
    </row>
    <row r="23235" spans="2:9" ht="15" customHeight="1" x14ac:dyDescent="0.25">
      <c r="B23235" s="55" t="s">
        <v>283</v>
      </c>
      <c r="C23235" s="46">
        <v>3223</v>
      </c>
      <c r="D23235" s="69" t="s">
        <v>29420</v>
      </c>
      <c r="E23235" s="51"/>
      <c r="F23235" s="114" t="str">
        <f>IF(INDEX(I.Facility.P4IDNumber,3223)="","",INDEX(I.Facility.P4IDNumber,3223))</f>
        <v/>
      </c>
      <c r="G23235" s="51"/>
      <c r="H23235" s="46" t="str">
        <f>IF(AND(I.Developer.P4=TRUE,I.Facility.P4FacilityCount&gt;=3223,F23235=""),"Incomplete","Complete")</f>
        <v>Complete</v>
      </c>
      <c r="I23235" s="48" t="s">
        <v>27600</v>
      </c>
    </row>
    <row r="23236" spans="2:9" ht="15" customHeight="1" x14ac:dyDescent="0.25">
      <c r="B23236" s="55" t="s">
        <v>283</v>
      </c>
      <c r="C23236" s="46">
        <v>3224</v>
      </c>
      <c r="D23236" s="69" t="s">
        <v>29420</v>
      </c>
      <c r="E23236" s="51"/>
      <c r="F23236" s="114" t="str">
        <f>IF(INDEX(I.Facility.P4IDNumber,3224)="","",INDEX(I.Facility.P4IDNumber,3224))</f>
        <v/>
      </c>
      <c r="G23236" s="51"/>
      <c r="H23236" s="46" t="str">
        <f>IF(AND(I.Developer.P4=TRUE,I.Facility.P4FacilityCount&gt;=3224,F23236=""),"Incomplete","Complete")</f>
        <v>Complete</v>
      </c>
      <c r="I23236" s="48" t="s">
        <v>27601</v>
      </c>
    </row>
    <row r="23237" spans="2:9" ht="15" customHeight="1" x14ac:dyDescent="0.25">
      <c r="B23237" s="55" t="s">
        <v>283</v>
      </c>
      <c r="C23237" s="46">
        <v>3225</v>
      </c>
      <c r="D23237" s="69" t="s">
        <v>29420</v>
      </c>
      <c r="E23237" s="51"/>
      <c r="F23237" s="114" t="str">
        <f>IF(INDEX(I.Facility.P4IDNumber,3225)="","",INDEX(I.Facility.P4IDNumber,3225))</f>
        <v/>
      </c>
      <c r="G23237" s="51"/>
      <c r="H23237" s="46" t="str">
        <f>IF(AND(I.Developer.P4=TRUE,I.Facility.P4FacilityCount&gt;=3225,F23237=""),"Incomplete","Complete")</f>
        <v>Complete</v>
      </c>
      <c r="I23237" s="48" t="s">
        <v>27602</v>
      </c>
    </row>
    <row r="23238" spans="2:9" ht="15" customHeight="1" x14ac:dyDescent="0.25">
      <c r="B23238" s="55" t="s">
        <v>283</v>
      </c>
      <c r="C23238" s="46">
        <v>3226</v>
      </c>
      <c r="D23238" s="69" t="s">
        <v>29420</v>
      </c>
      <c r="E23238" s="51"/>
      <c r="F23238" s="114" t="str">
        <f>IF(INDEX(I.Facility.P4IDNumber,3226)="","",INDEX(I.Facility.P4IDNumber,3226))</f>
        <v/>
      </c>
      <c r="G23238" s="51"/>
      <c r="H23238" s="46" t="str">
        <f>IF(AND(I.Developer.P4=TRUE,I.Facility.P4FacilityCount&gt;=3226,F23238=""),"Incomplete","Complete")</f>
        <v>Complete</v>
      </c>
      <c r="I23238" s="48" t="s">
        <v>27603</v>
      </c>
    </row>
    <row r="23239" spans="2:9" ht="15" customHeight="1" x14ac:dyDescent="0.25">
      <c r="B23239" s="55" t="s">
        <v>283</v>
      </c>
      <c r="C23239" s="46">
        <v>3227</v>
      </c>
      <c r="D23239" s="69" t="s">
        <v>29420</v>
      </c>
      <c r="E23239" s="51"/>
      <c r="F23239" s="114" t="str">
        <f>IF(INDEX(I.Facility.P4IDNumber,3227)="","",INDEX(I.Facility.P4IDNumber,3227))</f>
        <v/>
      </c>
      <c r="G23239" s="51"/>
      <c r="H23239" s="46" t="str">
        <f>IF(AND(I.Developer.P4=TRUE,I.Facility.P4FacilityCount&gt;=3227,F23239=""),"Incomplete","Complete")</f>
        <v>Complete</v>
      </c>
      <c r="I23239" s="48" t="s">
        <v>27604</v>
      </c>
    </row>
    <row r="23240" spans="2:9" ht="15" customHeight="1" x14ac:dyDescent="0.25">
      <c r="B23240" s="55" t="s">
        <v>283</v>
      </c>
      <c r="C23240" s="46">
        <v>3228</v>
      </c>
      <c r="D23240" s="69" t="s">
        <v>29420</v>
      </c>
      <c r="E23240" s="51"/>
      <c r="F23240" s="114" t="str">
        <f>IF(INDEX(I.Facility.P4IDNumber,3228)="","",INDEX(I.Facility.P4IDNumber,3228))</f>
        <v/>
      </c>
      <c r="G23240" s="51"/>
      <c r="H23240" s="46" t="str">
        <f>IF(AND(I.Developer.P4=TRUE,I.Facility.P4FacilityCount&gt;=3228,F23240=""),"Incomplete","Complete")</f>
        <v>Complete</v>
      </c>
      <c r="I23240" s="48" t="s">
        <v>27605</v>
      </c>
    </row>
    <row r="23241" spans="2:9" ht="15" customHeight="1" x14ac:dyDescent="0.25">
      <c r="B23241" s="55" t="s">
        <v>283</v>
      </c>
      <c r="C23241" s="46">
        <v>3229</v>
      </c>
      <c r="D23241" s="69" t="s">
        <v>29420</v>
      </c>
      <c r="E23241" s="51"/>
      <c r="F23241" s="114" t="str">
        <f>IF(INDEX(I.Facility.P4IDNumber,3229)="","",INDEX(I.Facility.P4IDNumber,3229))</f>
        <v/>
      </c>
      <c r="G23241" s="51"/>
      <c r="H23241" s="46" t="str">
        <f>IF(AND(I.Developer.P4=TRUE,I.Facility.P4FacilityCount&gt;=3229,F23241=""),"Incomplete","Complete")</f>
        <v>Complete</v>
      </c>
      <c r="I23241" s="48" t="s">
        <v>27606</v>
      </c>
    </row>
    <row r="23242" spans="2:9" ht="15" customHeight="1" x14ac:dyDescent="0.25">
      <c r="B23242" s="55" t="s">
        <v>283</v>
      </c>
      <c r="C23242" s="46">
        <v>3230</v>
      </c>
      <c r="D23242" s="69" t="s">
        <v>29420</v>
      </c>
      <c r="E23242" s="51"/>
      <c r="F23242" s="114" t="str">
        <f>IF(INDEX(I.Facility.P4IDNumber,3230)="","",INDEX(I.Facility.P4IDNumber,3230))</f>
        <v/>
      </c>
      <c r="G23242" s="51"/>
      <c r="H23242" s="46" t="str">
        <f>IF(AND(I.Developer.P4=TRUE,I.Facility.P4FacilityCount&gt;=3230,F23242=""),"Incomplete","Complete")</f>
        <v>Complete</v>
      </c>
      <c r="I23242" s="48" t="s">
        <v>27607</v>
      </c>
    </row>
    <row r="23243" spans="2:9" ht="15" customHeight="1" x14ac:dyDescent="0.25">
      <c r="B23243" s="55" t="s">
        <v>283</v>
      </c>
      <c r="C23243" s="46">
        <v>3231</v>
      </c>
      <c r="D23243" s="69" t="s">
        <v>29420</v>
      </c>
      <c r="E23243" s="51"/>
      <c r="F23243" s="114" t="str">
        <f>IF(INDEX(I.Facility.P4IDNumber,3231)="","",INDEX(I.Facility.P4IDNumber,3231))</f>
        <v/>
      </c>
      <c r="G23243" s="51"/>
      <c r="H23243" s="46" t="str">
        <f>IF(AND(I.Developer.P4=TRUE,I.Facility.P4FacilityCount&gt;=3231,F23243=""),"Incomplete","Complete")</f>
        <v>Complete</v>
      </c>
      <c r="I23243" s="48" t="s">
        <v>27608</v>
      </c>
    </row>
    <row r="23244" spans="2:9" ht="15" customHeight="1" x14ac:dyDescent="0.25">
      <c r="B23244" s="55" t="s">
        <v>283</v>
      </c>
      <c r="C23244" s="46">
        <v>3232</v>
      </c>
      <c r="D23244" s="69" t="s">
        <v>29420</v>
      </c>
      <c r="E23244" s="51"/>
      <c r="F23244" s="114" t="str">
        <f>IF(INDEX(I.Facility.P4IDNumber,3232)="","",INDEX(I.Facility.P4IDNumber,3232))</f>
        <v/>
      </c>
      <c r="G23244" s="51"/>
      <c r="H23244" s="46" t="str">
        <f>IF(AND(I.Developer.P4=TRUE,I.Facility.P4FacilityCount&gt;=3232,F23244=""),"Incomplete","Complete")</f>
        <v>Complete</v>
      </c>
      <c r="I23244" s="48" t="s">
        <v>27609</v>
      </c>
    </row>
    <row r="23245" spans="2:9" ht="15" customHeight="1" x14ac:dyDescent="0.25">
      <c r="B23245" s="55" t="s">
        <v>283</v>
      </c>
      <c r="C23245" s="46">
        <v>3233</v>
      </c>
      <c r="D23245" s="69" t="s">
        <v>29420</v>
      </c>
      <c r="E23245" s="51"/>
      <c r="F23245" s="114" t="str">
        <f>IF(INDEX(I.Facility.P4IDNumber,3233)="","",INDEX(I.Facility.P4IDNumber,3233))</f>
        <v/>
      </c>
      <c r="G23245" s="51"/>
      <c r="H23245" s="46" t="str">
        <f>IF(AND(I.Developer.P4=TRUE,I.Facility.P4FacilityCount&gt;=3233,F23245=""),"Incomplete","Complete")</f>
        <v>Complete</v>
      </c>
      <c r="I23245" s="48" t="s">
        <v>27610</v>
      </c>
    </row>
    <row r="23246" spans="2:9" ht="15" customHeight="1" x14ac:dyDescent="0.25">
      <c r="B23246" s="55" t="s">
        <v>283</v>
      </c>
      <c r="C23246" s="46">
        <v>3234</v>
      </c>
      <c r="D23246" s="69" t="s">
        <v>29420</v>
      </c>
      <c r="E23246" s="51"/>
      <c r="F23246" s="114" t="str">
        <f>IF(INDEX(I.Facility.P4IDNumber,3234)="","",INDEX(I.Facility.P4IDNumber,3234))</f>
        <v/>
      </c>
      <c r="G23246" s="51"/>
      <c r="H23246" s="46" t="str">
        <f>IF(AND(I.Developer.P4=TRUE,I.Facility.P4FacilityCount&gt;=3234,F23246=""),"Incomplete","Complete")</f>
        <v>Complete</v>
      </c>
      <c r="I23246" s="48" t="s">
        <v>27611</v>
      </c>
    </row>
    <row r="23247" spans="2:9" ht="15" customHeight="1" x14ac:dyDescent="0.25">
      <c r="B23247" s="55" t="s">
        <v>283</v>
      </c>
      <c r="C23247" s="46">
        <v>3235</v>
      </c>
      <c r="D23247" s="69" t="s">
        <v>29420</v>
      </c>
      <c r="E23247" s="51"/>
      <c r="F23247" s="114" t="str">
        <f>IF(INDEX(I.Facility.P4IDNumber,3235)="","",INDEX(I.Facility.P4IDNumber,3235))</f>
        <v/>
      </c>
      <c r="G23247" s="51"/>
      <c r="H23247" s="46" t="str">
        <f>IF(AND(I.Developer.P4=TRUE,I.Facility.P4FacilityCount&gt;=3235,F23247=""),"Incomplete","Complete")</f>
        <v>Complete</v>
      </c>
      <c r="I23247" s="48" t="s">
        <v>27612</v>
      </c>
    </row>
    <row r="23248" spans="2:9" ht="15" customHeight="1" x14ac:dyDescent="0.25">
      <c r="B23248" s="55" t="s">
        <v>283</v>
      </c>
      <c r="C23248" s="46">
        <v>3236</v>
      </c>
      <c r="D23248" s="69" t="s">
        <v>29420</v>
      </c>
      <c r="E23248" s="51"/>
      <c r="F23248" s="114" t="str">
        <f>IF(INDEX(I.Facility.P4IDNumber,3236)="","",INDEX(I.Facility.P4IDNumber,3236))</f>
        <v/>
      </c>
      <c r="G23248" s="51"/>
      <c r="H23248" s="46" t="str">
        <f>IF(AND(I.Developer.P4=TRUE,I.Facility.P4FacilityCount&gt;=3236,F23248=""),"Incomplete","Complete")</f>
        <v>Complete</v>
      </c>
      <c r="I23248" s="48" t="s">
        <v>27613</v>
      </c>
    </row>
    <row r="23249" spans="2:9" ht="15" customHeight="1" x14ac:dyDescent="0.25">
      <c r="B23249" s="55" t="s">
        <v>283</v>
      </c>
      <c r="C23249" s="46">
        <v>3237</v>
      </c>
      <c r="D23249" s="69" t="s">
        <v>29420</v>
      </c>
      <c r="E23249" s="51"/>
      <c r="F23249" s="114" t="str">
        <f>IF(INDEX(I.Facility.P4IDNumber,3237)="","",INDEX(I.Facility.P4IDNumber,3237))</f>
        <v/>
      </c>
      <c r="G23249" s="51"/>
      <c r="H23249" s="46" t="str">
        <f>IF(AND(I.Developer.P4=TRUE,I.Facility.P4FacilityCount&gt;=3237,F23249=""),"Incomplete","Complete")</f>
        <v>Complete</v>
      </c>
      <c r="I23249" s="48" t="s">
        <v>27614</v>
      </c>
    </row>
    <row r="23250" spans="2:9" ht="15" customHeight="1" x14ac:dyDescent="0.25">
      <c r="B23250" s="55" t="s">
        <v>283</v>
      </c>
      <c r="C23250" s="46">
        <v>3238</v>
      </c>
      <c r="D23250" s="69" t="s">
        <v>29420</v>
      </c>
      <c r="E23250" s="51"/>
      <c r="F23250" s="114" t="str">
        <f>IF(INDEX(I.Facility.P4IDNumber,3238)="","",INDEX(I.Facility.P4IDNumber,3238))</f>
        <v/>
      </c>
      <c r="G23250" s="51"/>
      <c r="H23250" s="46" t="str">
        <f>IF(AND(I.Developer.P4=TRUE,I.Facility.P4FacilityCount&gt;=3238,F23250=""),"Incomplete","Complete")</f>
        <v>Complete</v>
      </c>
      <c r="I23250" s="48" t="s">
        <v>27615</v>
      </c>
    </row>
    <row r="23251" spans="2:9" ht="15" customHeight="1" x14ac:dyDescent="0.25">
      <c r="B23251" s="55" t="s">
        <v>283</v>
      </c>
      <c r="C23251" s="46">
        <v>3239</v>
      </c>
      <c r="D23251" s="69" t="s">
        <v>29420</v>
      </c>
      <c r="E23251" s="51"/>
      <c r="F23251" s="114" t="str">
        <f>IF(INDEX(I.Facility.P4IDNumber,3239)="","",INDEX(I.Facility.P4IDNumber,3239))</f>
        <v/>
      </c>
      <c r="G23251" s="51"/>
      <c r="H23251" s="46" t="str">
        <f>IF(AND(I.Developer.P4=TRUE,I.Facility.P4FacilityCount&gt;=3239,F23251=""),"Incomplete","Complete")</f>
        <v>Complete</v>
      </c>
      <c r="I23251" s="48" t="s">
        <v>27616</v>
      </c>
    </row>
    <row r="23252" spans="2:9" ht="15" customHeight="1" x14ac:dyDescent="0.25">
      <c r="B23252" s="55" t="s">
        <v>283</v>
      </c>
      <c r="C23252" s="46">
        <v>3240</v>
      </c>
      <c r="D23252" s="69" t="s">
        <v>29420</v>
      </c>
      <c r="E23252" s="51"/>
      <c r="F23252" s="114" t="str">
        <f>IF(INDEX(I.Facility.P4IDNumber,3240)="","",INDEX(I.Facility.P4IDNumber,3240))</f>
        <v/>
      </c>
      <c r="G23252" s="51"/>
      <c r="H23252" s="46" t="str">
        <f>IF(AND(I.Developer.P4=TRUE,I.Facility.P4FacilityCount&gt;=3240,F23252=""),"Incomplete","Complete")</f>
        <v>Complete</v>
      </c>
      <c r="I23252" s="48" t="s">
        <v>27617</v>
      </c>
    </row>
    <row r="23253" spans="2:9" ht="15" customHeight="1" x14ac:dyDescent="0.25">
      <c r="B23253" s="55" t="s">
        <v>283</v>
      </c>
      <c r="C23253" s="46">
        <v>3241</v>
      </c>
      <c r="D23253" s="69" t="s">
        <v>29420</v>
      </c>
      <c r="E23253" s="51"/>
      <c r="F23253" s="114" t="str">
        <f>IF(INDEX(I.Facility.P4IDNumber,3241)="","",INDEX(I.Facility.P4IDNumber,3241))</f>
        <v/>
      </c>
      <c r="G23253" s="51"/>
      <c r="H23253" s="46" t="str">
        <f>IF(AND(I.Developer.P4=TRUE,I.Facility.P4FacilityCount&gt;=3241,F23253=""),"Incomplete","Complete")</f>
        <v>Complete</v>
      </c>
      <c r="I23253" s="48" t="s">
        <v>27618</v>
      </c>
    </row>
    <row r="23254" spans="2:9" ht="15" customHeight="1" x14ac:dyDescent="0.25">
      <c r="B23254" s="55" t="s">
        <v>283</v>
      </c>
      <c r="C23254" s="46">
        <v>3242</v>
      </c>
      <c r="D23254" s="69" t="s">
        <v>29420</v>
      </c>
      <c r="E23254" s="51"/>
      <c r="F23254" s="114" t="str">
        <f>IF(INDEX(I.Facility.P4IDNumber,3242)="","",INDEX(I.Facility.P4IDNumber,3242))</f>
        <v/>
      </c>
      <c r="G23254" s="51"/>
      <c r="H23254" s="46" t="str">
        <f>IF(AND(I.Developer.P4=TRUE,I.Facility.P4FacilityCount&gt;=3242,F23254=""),"Incomplete","Complete")</f>
        <v>Complete</v>
      </c>
      <c r="I23254" s="48" t="s">
        <v>27619</v>
      </c>
    </row>
    <row r="23255" spans="2:9" ht="15" customHeight="1" x14ac:dyDescent="0.25">
      <c r="B23255" s="55" t="s">
        <v>283</v>
      </c>
      <c r="C23255" s="46">
        <v>3243</v>
      </c>
      <c r="D23255" s="69" t="s">
        <v>29420</v>
      </c>
      <c r="E23255" s="51"/>
      <c r="F23255" s="114" t="str">
        <f>IF(INDEX(I.Facility.P4IDNumber,3243)="","",INDEX(I.Facility.P4IDNumber,3243))</f>
        <v/>
      </c>
      <c r="G23255" s="51"/>
      <c r="H23255" s="46" t="str">
        <f>IF(AND(I.Developer.P4=TRUE,I.Facility.P4FacilityCount&gt;=3243,F23255=""),"Incomplete","Complete")</f>
        <v>Complete</v>
      </c>
      <c r="I23255" s="48" t="s">
        <v>27620</v>
      </c>
    </row>
    <row r="23256" spans="2:9" ht="15" customHeight="1" x14ac:dyDescent="0.25">
      <c r="B23256" s="55" t="s">
        <v>283</v>
      </c>
      <c r="C23256" s="46">
        <v>3244</v>
      </c>
      <c r="D23256" s="69" t="s">
        <v>29420</v>
      </c>
      <c r="E23256" s="51"/>
      <c r="F23256" s="114" t="str">
        <f>IF(INDEX(I.Facility.P4IDNumber,3244)="","",INDEX(I.Facility.P4IDNumber,3244))</f>
        <v/>
      </c>
      <c r="G23256" s="51"/>
      <c r="H23256" s="46" t="str">
        <f>IF(AND(I.Developer.P4=TRUE,I.Facility.P4FacilityCount&gt;=3244,F23256=""),"Incomplete","Complete")</f>
        <v>Complete</v>
      </c>
      <c r="I23256" s="48" t="s">
        <v>27621</v>
      </c>
    </row>
    <row r="23257" spans="2:9" ht="15" customHeight="1" x14ac:dyDescent="0.25">
      <c r="B23257" s="55" t="s">
        <v>283</v>
      </c>
      <c r="C23257" s="46">
        <v>3245</v>
      </c>
      <c r="D23257" s="69" t="s">
        <v>29420</v>
      </c>
      <c r="E23257" s="51"/>
      <c r="F23257" s="114" t="str">
        <f>IF(INDEX(I.Facility.P4IDNumber,3245)="","",INDEX(I.Facility.P4IDNumber,3245))</f>
        <v/>
      </c>
      <c r="G23257" s="51"/>
      <c r="H23257" s="46" t="str">
        <f>IF(AND(I.Developer.P4=TRUE,I.Facility.P4FacilityCount&gt;=3245,F23257=""),"Incomplete","Complete")</f>
        <v>Complete</v>
      </c>
      <c r="I23257" s="48" t="s">
        <v>27622</v>
      </c>
    </row>
    <row r="23258" spans="2:9" ht="15" customHeight="1" x14ac:dyDescent="0.25">
      <c r="B23258" s="55" t="s">
        <v>283</v>
      </c>
      <c r="C23258" s="46">
        <v>3246</v>
      </c>
      <c r="D23258" s="69" t="s">
        <v>29420</v>
      </c>
      <c r="E23258" s="51"/>
      <c r="F23258" s="114" t="str">
        <f>IF(INDEX(I.Facility.P4IDNumber,3246)="","",INDEX(I.Facility.P4IDNumber,3246))</f>
        <v/>
      </c>
      <c r="G23258" s="51"/>
      <c r="H23258" s="46" t="str">
        <f>IF(AND(I.Developer.P4=TRUE,I.Facility.P4FacilityCount&gt;=3246,F23258=""),"Incomplete","Complete")</f>
        <v>Complete</v>
      </c>
      <c r="I23258" s="48" t="s">
        <v>27623</v>
      </c>
    </row>
    <row r="23259" spans="2:9" ht="15" customHeight="1" x14ac:dyDescent="0.25">
      <c r="B23259" s="55" t="s">
        <v>283</v>
      </c>
      <c r="C23259" s="46">
        <v>3247</v>
      </c>
      <c r="D23259" s="69" t="s">
        <v>29420</v>
      </c>
      <c r="E23259" s="51"/>
      <c r="F23259" s="114" t="str">
        <f>IF(INDEX(I.Facility.P4IDNumber,3247)="","",INDEX(I.Facility.P4IDNumber,3247))</f>
        <v/>
      </c>
      <c r="G23259" s="51"/>
      <c r="H23259" s="46" t="str">
        <f>IF(AND(I.Developer.P4=TRUE,I.Facility.P4FacilityCount&gt;=3247,F23259=""),"Incomplete","Complete")</f>
        <v>Complete</v>
      </c>
      <c r="I23259" s="48" t="s">
        <v>27624</v>
      </c>
    </row>
    <row r="23260" spans="2:9" ht="15" customHeight="1" x14ac:dyDescent="0.25">
      <c r="B23260" s="55" t="s">
        <v>283</v>
      </c>
      <c r="C23260" s="46">
        <v>3248</v>
      </c>
      <c r="D23260" s="69" t="s">
        <v>29420</v>
      </c>
      <c r="E23260" s="51"/>
      <c r="F23260" s="114" t="str">
        <f>IF(INDEX(I.Facility.P4IDNumber,3248)="","",INDEX(I.Facility.P4IDNumber,3248))</f>
        <v/>
      </c>
      <c r="G23260" s="51"/>
      <c r="H23260" s="46" t="str">
        <f>IF(AND(I.Developer.P4=TRUE,I.Facility.P4FacilityCount&gt;=3248,F23260=""),"Incomplete","Complete")</f>
        <v>Complete</v>
      </c>
      <c r="I23260" s="48" t="s">
        <v>27625</v>
      </c>
    </row>
    <row r="23261" spans="2:9" ht="15" customHeight="1" x14ac:dyDescent="0.25">
      <c r="B23261" s="55" t="s">
        <v>283</v>
      </c>
      <c r="C23261" s="46">
        <v>3249</v>
      </c>
      <c r="D23261" s="69" t="s">
        <v>29420</v>
      </c>
      <c r="E23261" s="51"/>
      <c r="F23261" s="114" t="str">
        <f>IF(INDEX(I.Facility.P4IDNumber,3249)="","",INDEX(I.Facility.P4IDNumber,3249))</f>
        <v/>
      </c>
      <c r="G23261" s="51"/>
      <c r="H23261" s="46" t="str">
        <f>IF(AND(I.Developer.P4=TRUE,I.Facility.P4FacilityCount&gt;=3249,F23261=""),"Incomplete","Complete")</f>
        <v>Complete</v>
      </c>
      <c r="I23261" s="48" t="s">
        <v>27626</v>
      </c>
    </row>
    <row r="23262" spans="2:9" ht="15" customHeight="1" x14ac:dyDescent="0.25">
      <c r="B23262" s="55" t="s">
        <v>283</v>
      </c>
      <c r="C23262" s="46">
        <v>3250</v>
      </c>
      <c r="D23262" s="69" t="s">
        <v>29420</v>
      </c>
      <c r="E23262" s="51"/>
      <c r="F23262" s="114" t="str">
        <f>IF(INDEX(I.Facility.P4IDNumber,3250)="","",INDEX(I.Facility.P4IDNumber,3250))</f>
        <v/>
      </c>
      <c r="G23262" s="51"/>
      <c r="H23262" s="46" t="str">
        <f>IF(AND(I.Developer.P4=TRUE,I.Facility.P4FacilityCount&gt;=3250,F23262=""),"Incomplete","Complete")</f>
        <v>Complete</v>
      </c>
      <c r="I23262" s="48" t="s">
        <v>27627</v>
      </c>
    </row>
    <row r="23263" spans="2:9" ht="15" customHeight="1" x14ac:dyDescent="0.25">
      <c r="B23263" s="55" t="s">
        <v>283</v>
      </c>
      <c r="C23263" s="46">
        <v>3251</v>
      </c>
      <c r="D23263" s="69" t="s">
        <v>29420</v>
      </c>
      <c r="E23263" s="51"/>
      <c r="F23263" s="114" t="str">
        <f>IF(INDEX(I.Facility.P4IDNumber,3251)="","",INDEX(I.Facility.P4IDNumber,3251))</f>
        <v/>
      </c>
      <c r="G23263" s="51"/>
      <c r="H23263" s="46" t="str">
        <f>IF(AND(I.Developer.P4=TRUE,I.Facility.P4FacilityCount&gt;=3251,F23263=""),"Incomplete","Complete")</f>
        <v>Complete</v>
      </c>
      <c r="I23263" s="48" t="s">
        <v>27628</v>
      </c>
    </row>
    <row r="23264" spans="2:9" ht="15" customHeight="1" x14ac:dyDescent="0.25">
      <c r="B23264" s="55" t="s">
        <v>283</v>
      </c>
      <c r="C23264" s="46">
        <v>3252</v>
      </c>
      <c r="D23264" s="69" t="s">
        <v>29420</v>
      </c>
      <c r="E23264" s="51"/>
      <c r="F23264" s="114" t="str">
        <f>IF(INDEX(I.Facility.P4IDNumber,3252)="","",INDEX(I.Facility.P4IDNumber,3252))</f>
        <v/>
      </c>
      <c r="G23264" s="51"/>
      <c r="H23264" s="46" t="str">
        <f>IF(AND(I.Developer.P4=TRUE,I.Facility.P4FacilityCount&gt;=3252,F23264=""),"Incomplete","Complete")</f>
        <v>Complete</v>
      </c>
      <c r="I23264" s="48" t="s">
        <v>27629</v>
      </c>
    </row>
    <row r="23265" spans="2:9" ht="15" customHeight="1" x14ac:dyDescent="0.25">
      <c r="B23265" s="55" t="s">
        <v>283</v>
      </c>
      <c r="C23265" s="46">
        <v>3253</v>
      </c>
      <c r="D23265" s="69" t="s">
        <v>29420</v>
      </c>
      <c r="E23265" s="51"/>
      <c r="F23265" s="114" t="str">
        <f>IF(INDEX(I.Facility.P4IDNumber,3253)="","",INDEX(I.Facility.P4IDNumber,3253))</f>
        <v/>
      </c>
      <c r="G23265" s="51"/>
      <c r="H23265" s="46" t="str">
        <f>IF(AND(I.Developer.P4=TRUE,I.Facility.P4FacilityCount&gt;=3253,F23265=""),"Incomplete","Complete")</f>
        <v>Complete</v>
      </c>
      <c r="I23265" s="48" t="s">
        <v>27630</v>
      </c>
    </row>
    <row r="23266" spans="2:9" ht="15" customHeight="1" x14ac:dyDescent="0.25">
      <c r="B23266" s="55" t="s">
        <v>283</v>
      </c>
      <c r="C23266" s="46">
        <v>3254</v>
      </c>
      <c r="D23266" s="69" t="s">
        <v>29420</v>
      </c>
      <c r="E23266" s="51"/>
      <c r="F23266" s="114" t="str">
        <f>IF(INDEX(I.Facility.P4IDNumber,3254)="","",INDEX(I.Facility.P4IDNumber,3254))</f>
        <v/>
      </c>
      <c r="G23266" s="51"/>
      <c r="H23266" s="46" t="str">
        <f>IF(AND(I.Developer.P4=TRUE,I.Facility.P4FacilityCount&gt;=3254,F23266=""),"Incomplete","Complete")</f>
        <v>Complete</v>
      </c>
      <c r="I23266" s="48" t="s">
        <v>27631</v>
      </c>
    </row>
    <row r="23267" spans="2:9" ht="15" customHeight="1" x14ac:dyDescent="0.25">
      <c r="B23267" s="55" t="s">
        <v>283</v>
      </c>
      <c r="C23267" s="46">
        <v>3255</v>
      </c>
      <c r="D23267" s="69" t="s">
        <v>29420</v>
      </c>
      <c r="E23267" s="51"/>
      <c r="F23267" s="114" t="str">
        <f>IF(INDEX(I.Facility.P4IDNumber,3255)="","",INDEX(I.Facility.P4IDNumber,3255))</f>
        <v/>
      </c>
      <c r="G23267" s="51"/>
      <c r="H23267" s="46" t="str">
        <f>IF(AND(I.Developer.P4=TRUE,I.Facility.P4FacilityCount&gt;=3255,F23267=""),"Incomplete","Complete")</f>
        <v>Complete</v>
      </c>
      <c r="I23267" s="48" t="s">
        <v>27632</v>
      </c>
    </row>
    <row r="23268" spans="2:9" ht="15" customHeight="1" x14ac:dyDescent="0.25">
      <c r="B23268" s="55" t="s">
        <v>283</v>
      </c>
      <c r="C23268" s="46">
        <v>3256</v>
      </c>
      <c r="D23268" s="69" t="s">
        <v>29420</v>
      </c>
      <c r="E23268" s="51"/>
      <c r="F23268" s="114" t="str">
        <f>IF(INDEX(I.Facility.P4IDNumber,3256)="","",INDEX(I.Facility.P4IDNumber,3256))</f>
        <v/>
      </c>
      <c r="G23268" s="51"/>
      <c r="H23268" s="46" t="str">
        <f>IF(AND(I.Developer.P4=TRUE,I.Facility.P4FacilityCount&gt;=3256,F23268=""),"Incomplete","Complete")</f>
        <v>Complete</v>
      </c>
      <c r="I23268" s="48" t="s">
        <v>27633</v>
      </c>
    </row>
    <row r="23269" spans="2:9" ht="15" customHeight="1" x14ac:dyDescent="0.25">
      <c r="B23269" s="55" t="s">
        <v>283</v>
      </c>
      <c r="C23269" s="46">
        <v>3257</v>
      </c>
      <c r="D23269" s="69" t="s">
        <v>29420</v>
      </c>
      <c r="E23269" s="51"/>
      <c r="F23269" s="114" t="str">
        <f>IF(INDEX(I.Facility.P4IDNumber,3257)="","",INDEX(I.Facility.P4IDNumber,3257))</f>
        <v/>
      </c>
      <c r="G23269" s="51"/>
      <c r="H23269" s="46" t="str">
        <f>IF(AND(I.Developer.P4=TRUE,I.Facility.P4FacilityCount&gt;=3257,F23269=""),"Incomplete","Complete")</f>
        <v>Complete</v>
      </c>
      <c r="I23269" s="48" t="s">
        <v>27634</v>
      </c>
    </row>
    <row r="23270" spans="2:9" ht="15" customHeight="1" x14ac:dyDescent="0.25">
      <c r="B23270" s="55" t="s">
        <v>283</v>
      </c>
      <c r="C23270" s="46">
        <v>3258</v>
      </c>
      <c r="D23270" s="69" t="s">
        <v>29420</v>
      </c>
      <c r="E23270" s="51"/>
      <c r="F23270" s="114" t="str">
        <f>IF(INDEX(I.Facility.P4IDNumber,3258)="","",INDEX(I.Facility.P4IDNumber,3258))</f>
        <v/>
      </c>
      <c r="G23270" s="51"/>
      <c r="H23270" s="46" t="str">
        <f>IF(AND(I.Developer.P4=TRUE,I.Facility.P4FacilityCount&gt;=3258,F23270=""),"Incomplete","Complete")</f>
        <v>Complete</v>
      </c>
      <c r="I23270" s="48" t="s">
        <v>27635</v>
      </c>
    </row>
    <row r="23271" spans="2:9" ht="15" customHeight="1" x14ac:dyDescent="0.25">
      <c r="B23271" s="55" t="s">
        <v>283</v>
      </c>
      <c r="C23271" s="46">
        <v>3259</v>
      </c>
      <c r="D23271" s="69" t="s">
        <v>29420</v>
      </c>
      <c r="E23271" s="51"/>
      <c r="F23271" s="114" t="str">
        <f>IF(INDEX(I.Facility.P4IDNumber,3259)="","",INDEX(I.Facility.P4IDNumber,3259))</f>
        <v/>
      </c>
      <c r="G23271" s="51"/>
      <c r="H23271" s="46" t="str">
        <f>IF(AND(I.Developer.P4=TRUE,I.Facility.P4FacilityCount&gt;=3259,F23271=""),"Incomplete","Complete")</f>
        <v>Complete</v>
      </c>
      <c r="I23271" s="48" t="s">
        <v>27636</v>
      </c>
    </row>
    <row r="23272" spans="2:9" ht="15" customHeight="1" x14ac:dyDescent="0.25">
      <c r="B23272" s="55" t="s">
        <v>283</v>
      </c>
      <c r="C23272" s="46">
        <v>3260</v>
      </c>
      <c r="D23272" s="69" t="s">
        <v>29420</v>
      </c>
      <c r="E23272" s="51"/>
      <c r="F23272" s="114" t="str">
        <f>IF(INDEX(I.Facility.P4IDNumber,3260)="","",INDEX(I.Facility.P4IDNumber,3260))</f>
        <v/>
      </c>
      <c r="G23272" s="51"/>
      <c r="H23272" s="46" t="str">
        <f>IF(AND(I.Developer.P4=TRUE,I.Facility.P4FacilityCount&gt;=3260,F23272=""),"Incomplete","Complete")</f>
        <v>Complete</v>
      </c>
      <c r="I23272" s="48" t="s">
        <v>27637</v>
      </c>
    </row>
    <row r="23273" spans="2:9" ht="15" customHeight="1" x14ac:dyDescent="0.25">
      <c r="B23273" s="55" t="s">
        <v>283</v>
      </c>
      <c r="C23273" s="46">
        <v>3261</v>
      </c>
      <c r="D23273" s="69" t="s">
        <v>29420</v>
      </c>
      <c r="E23273" s="51"/>
      <c r="F23273" s="114" t="str">
        <f>IF(INDEX(I.Facility.P4IDNumber,3261)="","",INDEX(I.Facility.P4IDNumber,3261))</f>
        <v/>
      </c>
      <c r="G23273" s="51"/>
      <c r="H23273" s="46" t="str">
        <f>IF(AND(I.Developer.P4=TRUE,I.Facility.P4FacilityCount&gt;=3261,F23273=""),"Incomplete","Complete")</f>
        <v>Complete</v>
      </c>
      <c r="I23273" s="48" t="s">
        <v>27638</v>
      </c>
    </row>
    <row r="23274" spans="2:9" ht="15" customHeight="1" x14ac:dyDescent="0.25">
      <c r="B23274" s="55" t="s">
        <v>283</v>
      </c>
      <c r="C23274" s="46">
        <v>3262</v>
      </c>
      <c r="D23274" s="69" t="s">
        <v>29420</v>
      </c>
      <c r="E23274" s="51"/>
      <c r="F23274" s="114" t="str">
        <f>IF(INDEX(I.Facility.P4IDNumber,3262)="","",INDEX(I.Facility.P4IDNumber,3262))</f>
        <v/>
      </c>
      <c r="G23274" s="51"/>
      <c r="H23274" s="46" t="str">
        <f>IF(AND(I.Developer.P4=TRUE,I.Facility.P4FacilityCount&gt;=3262,F23274=""),"Incomplete","Complete")</f>
        <v>Complete</v>
      </c>
      <c r="I23274" s="48" t="s">
        <v>27639</v>
      </c>
    </row>
    <row r="23275" spans="2:9" ht="15" customHeight="1" x14ac:dyDescent="0.25">
      <c r="B23275" s="55" t="s">
        <v>283</v>
      </c>
      <c r="C23275" s="46">
        <v>3263</v>
      </c>
      <c r="D23275" s="69" t="s">
        <v>29420</v>
      </c>
      <c r="E23275" s="51"/>
      <c r="F23275" s="114" t="str">
        <f>IF(INDEX(I.Facility.P4IDNumber,3263)="","",INDEX(I.Facility.P4IDNumber,3263))</f>
        <v/>
      </c>
      <c r="G23275" s="51"/>
      <c r="H23275" s="46" t="str">
        <f>IF(AND(I.Developer.P4=TRUE,I.Facility.P4FacilityCount&gt;=3263,F23275=""),"Incomplete","Complete")</f>
        <v>Complete</v>
      </c>
      <c r="I23275" s="48" t="s">
        <v>27640</v>
      </c>
    </row>
    <row r="23276" spans="2:9" ht="15" customHeight="1" x14ac:dyDescent="0.25">
      <c r="B23276" s="55" t="s">
        <v>283</v>
      </c>
      <c r="C23276" s="46">
        <v>3264</v>
      </c>
      <c r="D23276" s="69" t="s">
        <v>29420</v>
      </c>
      <c r="E23276" s="51"/>
      <c r="F23276" s="114" t="str">
        <f>IF(INDEX(I.Facility.P4IDNumber,3264)="","",INDEX(I.Facility.P4IDNumber,3264))</f>
        <v/>
      </c>
      <c r="G23276" s="51"/>
      <c r="H23276" s="46" t="str">
        <f>IF(AND(I.Developer.P4=TRUE,I.Facility.P4FacilityCount&gt;=3264,F23276=""),"Incomplete","Complete")</f>
        <v>Complete</v>
      </c>
      <c r="I23276" s="48" t="s">
        <v>27641</v>
      </c>
    </row>
    <row r="23277" spans="2:9" ht="15" customHeight="1" x14ac:dyDescent="0.25">
      <c r="B23277" s="55" t="s">
        <v>283</v>
      </c>
      <c r="C23277" s="46">
        <v>3265</v>
      </c>
      <c r="D23277" s="69" t="s">
        <v>29420</v>
      </c>
      <c r="E23277" s="51"/>
      <c r="F23277" s="114" t="str">
        <f>IF(INDEX(I.Facility.P4IDNumber,3265)="","",INDEX(I.Facility.P4IDNumber,3265))</f>
        <v/>
      </c>
      <c r="G23277" s="51"/>
      <c r="H23277" s="46" t="str">
        <f>IF(AND(I.Developer.P4=TRUE,I.Facility.P4FacilityCount&gt;=3265,F23277=""),"Incomplete","Complete")</f>
        <v>Complete</v>
      </c>
      <c r="I23277" s="48" t="s">
        <v>27642</v>
      </c>
    </row>
    <row r="23278" spans="2:9" ht="15" customHeight="1" x14ac:dyDescent="0.25">
      <c r="B23278" s="55" t="s">
        <v>283</v>
      </c>
      <c r="C23278" s="46">
        <v>3266</v>
      </c>
      <c r="D23278" s="69" t="s">
        <v>29420</v>
      </c>
      <c r="E23278" s="51"/>
      <c r="F23278" s="114" t="str">
        <f>IF(INDEX(I.Facility.P4IDNumber,3266)="","",INDEX(I.Facility.P4IDNumber,3266))</f>
        <v/>
      </c>
      <c r="G23278" s="51"/>
      <c r="H23278" s="46" t="str">
        <f>IF(AND(I.Developer.P4=TRUE,I.Facility.P4FacilityCount&gt;=3266,F23278=""),"Incomplete","Complete")</f>
        <v>Complete</v>
      </c>
      <c r="I23278" s="48" t="s">
        <v>27643</v>
      </c>
    </row>
    <row r="23279" spans="2:9" ht="15" customHeight="1" x14ac:dyDescent="0.25">
      <c r="B23279" s="55" t="s">
        <v>283</v>
      </c>
      <c r="C23279" s="46">
        <v>3267</v>
      </c>
      <c r="D23279" s="69" t="s">
        <v>29420</v>
      </c>
      <c r="E23279" s="51"/>
      <c r="F23279" s="114" t="str">
        <f>IF(INDEX(I.Facility.P4IDNumber,3267)="","",INDEX(I.Facility.P4IDNumber,3267))</f>
        <v/>
      </c>
      <c r="G23279" s="51"/>
      <c r="H23279" s="46" t="str">
        <f>IF(AND(I.Developer.P4=TRUE,I.Facility.P4FacilityCount&gt;=3267,F23279=""),"Incomplete","Complete")</f>
        <v>Complete</v>
      </c>
      <c r="I23279" s="48" t="s">
        <v>27644</v>
      </c>
    </row>
    <row r="23280" spans="2:9" ht="15" customHeight="1" x14ac:dyDescent="0.25">
      <c r="B23280" s="55" t="s">
        <v>283</v>
      </c>
      <c r="C23280" s="46">
        <v>3268</v>
      </c>
      <c r="D23280" s="69" t="s">
        <v>29420</v>
      </c>
      <c r="E23280" s="51"/>
      <c r="F23280" s="114" t="str">
        <f>IF(INDEX(I.Facility.P4IDNumber,3268)="","",INDEX(I.Facility.P4IDNumber,3268))</f>
        <v/>
      </c>
      <c r="G23280" s="51"/>
      <c r="H23280" s="46" t="str">
        <f>IF(AND(I.Developer.P4=TRUE,I.Facility.P4FacilityCount&gt;=3268,F23280=""),"Incomplete","Complete")</f>
        <v>Complete</v>
      </c>
      <c r="I23280" s="48" t="s">
        <v>27645</v>
      </c>
    </row>
    <row r="23281" spans="2:9" ht="15" customHeight="1" x14ac:dyDescent="0.25">
      <c r="B23281" s="55" t="s">
        <v>283</v>
      </c>
      <c r="C23281" s="46">
        <v>3269</v>
      </c>
      <c r="D23281" s="69" t="s">
        <v>29420</v>
      </c>
      <c r="E23281" s="51"/>
      <c r="F23281" s="114" t="str">
        <f>IF(INDEX(I.Facility.P4IDNumber,3269)="","",INDEX(I.Facility.P4IDNumber,3269))</f>
        <v/>
      </c>
      <c r="G23281" s="51"/>
      <c r="H23281" s="46" t="str">
        <f>IF(AND(I.Developer.P4=TRUE,I.Facility.P4FacilityCount&gt;=3269,F23281=""),"Incomplete","Complete")</f>
        <v>Complete</v>
      </c>
      <c r="I23281" s="48" t="s">
        <v>27646</v>
      </c>
    </row>
    <row r="23282" spans="2:9" ht="15" customHeight="1" x14ac:dyDescent="0.25">
      <c r="B23282" s="55" t="s">
        <v>283</v>
      </c>
      <c r="C23282" s="46">
        <v>3270</v>
      </c>
      <c r="D23282" s="69" t="s">
        <v>29420</v>
      </c>
      <c r="E23282" s="51"/>
      <c r="F23282" s="114" t="str">
        <f>IF(INDEX(I.Facility.P4IDNumber,3270)="","",INDEX(I.Facility.P4IDNumber,3270))</f>
        <v/>
      </c>
      <c r="G23282" s="51"/>
      <c r="H23282" s="46" t="str">
        <f>IF(AND(I.Developer.P4=TRUE,I.Facility.P4FacilityCount&gt;=3270,F23282=""),"Incomplete","Complete")</f>
        <v>Complete</v>
      </c>
      <c r="I23282" s="48" t="s">
        <v>27647</v>
      </c>
    </row>
    <row r="23283" spans="2:9" ht="15" customHeight="1" x14ac:dyDescent="0.25">
      <c r="B23283" s="55" t="s">
        <v>283</v>
      </c>
      <c r="C23283" s="46">
        <v>3271</v>
      </c>
      <c r="D23283" s="69" t="s">
        <v>29420</v>
      </c>
      <c r="E23283" s="51"/>
      <c r="F23283" s="114" t="str">
        <f>IF(INDEX(I.Facility.P4IDNumber,3271)="","",INDEX(I.Facility.P4IDNumber,3271))</f>
        <v/>
      </c>
      <c r="G23283" s="51"/>
      <c r="H23283" s="46" t="str">
        <f>IF(AND(I.Developer.P4=TRUE,I.Facility.P4FacilityCount&gt;=3271,F23283=""),"Incomplete","Complete")</f>
        <v>Complete</v>
      </c>
      <c r="I23283" s="48" t="s">
        <v>27648</v>
      </c>
    </row>
    <row r="23284" spans="2:9" ht="15" customHeight="1" x14ac:dyDescent="0.25">
      <c r="B23284" s="55" t="s">
        <v>283</v>
      </c>
      <c r="C23284" s="46">
        <v>3272</v>
      </c>
      <c r="D23284" s="69" t="s">
        <v>29420</v>
      </c>
      <c r="E23284" s="51"/>
      <c r="F23284" s="114" t="str">
        <f>IF(INDEX(I.Facility.P4IDNumber,3272)="","",INDEX(I.Facility.P4IDNumber,3272))</f>
        <v/>
      </c>
      <c r="G23284" s="51"/>
      <c r="H23284" s="46" t="str">
        <f>IF(AND(I.Developer.P4=TRUE,I.Facility.P4FacilityCount&gt;=3272,F23284=""),"Incomplete","Complete")</f>
        <v>Complete</v>
      </c>
      <c r="I23284" s="48" t="s">
        <v>27649</v>
      </c>
    </row>
    <row r="23285" spans="2:9" ht="15" customHeight="1" x14ac:dyDescent="0.25">
      <c r="B23285" s="55" t="s">
        <v>283</v>
      </c>
      <c r="C23285" s="46">
        <v>3273</v>
      </c>
      <c r="D23285" s="69" t="s">
        <v>29420</v>
      </c>
      <c r="E23285" s="51"/>
      <c r="F23285" s="114" t="str">
        <f>IF(INDEX(I.Facility.P4IDNumber,3273)="","",INDEX(I.Facility.P4IDNumber,3273))</f>
        <v/>
      </c>
      <c r="G23285" s="51"/>
      <c r="H23285" s="46" t="str">
        <f>IF(AND(I.Developer.P4=TRUE,I.Facility.P4FacilityCount&gt;=3273,F23285=""),"Incomplete","Complete")</f>
        <v>Complete</v>
      </c>
      <c r="I23285" s="48" t="s">
        <v>27650</v>
      </c>
    </row>
    <row r="23286" spans="2:9" ht="15" customHeight="1" x14ac:dyDescent="0.25">
      <c r="B23286" s="55" t="s">
        <v>283</v>
      </c>
      <c r="C23286" s="46">
        <v>3274</v>
      </c>
      <c r="D23286" s="69" t="s">
        <v>29420</v>
      </c>
      <c r="E23286" s="51"/>
      <c r="F23286" s="114" t="str">
        <f>IF(INDEX(I.Facility.P4IDNumber,3274)="","",INDEX(I.Facility.P4IDNumber,3274))</f>
        <v/>
      </c>
      <c r="G23286" s="51"/>
      <c r="H23286" s="46" t="str">
        <f>IF(AND(I.Developer.P4=TRUE,I.Facility.P4FacilityCount&gt;=3274,F23286=""),"Incomplete","Complete")</f>
        <v>Complete</v>
      </c>
      <c r="I23286" s="48" t="s">
        <v>27651</v>
      </c>
    </row>
    <row r="23287" spans="2:9" ht="15" customHeight="1" x14ac:dyDescent="0.25">
      <c r="B23287" s="55" t="s">
        <v>283</v>
      </c>
      <c r="C23287" s="46">
        <v>3275</v>
      </c>
      <c r="D23287" s="69" t="s">
        <v>29420</v>
      </c>
      <c r="E23287" s="51"/>
      <c r="F23287" s="114" t="str">
        <f>IF(INDEX(I.Facility.P4IDNumber,3275)="","",INDEX(I.Facility.P4IDNumber,3275))</f>
        <v/>
      </c>
      <c r="G23287" s="51"/>
      <c r="H23287" s="46" t="str">
        <f>IF(AND(I.Developer.P4=TRUE,I.Facility.P4FacilityCount&gt;=3275,F23287=""),"Incomplete","Complete")</f>
        <v>Complete</v>
      </c>
      <c r="I23287" s="48" t="s">
        <v>27652</v>
      </c>
    </row>
    <row r="23288" spans="2:9" ht="15" customHeight="1" x14ac:dyDescent="0.25">
      <c r="B23288" s="55" t="s">
        <v>283</v>
      </c>
      <c r="C23288" s="46">
        <v>3276</v>
      </c>
      <c r="D23288" s="69" t="s">
        <v>29420</v>
      </c>
      <c r="E23288" s="51"/>
      <c r="F23288" s="114" t="str">
        <f>IF(INDEX(I.Facility.P4IDNumber,3276)="","",INDEX(I.Facility.P4IDNumber,3276))</f>
        <v/>
      </c>
      <c r="G23288" s="51"/>
      <c r="H23288" s="46" t="str">
        <f>IF(AND(I.Developer.P4=TRUE,I.Facility.P4FacilityCount&gt;=3276,F23288=""),"Incomplete","Complete")</f>
        <v>Complete</v>
      </c>
      <c r="I23288" s="48" t="s">
        <v>27653</v>
      </c>
    </row>
    <row r="23289" spans="2:9" ht="15" customHeight="1" x14ac:dyDescent="0.25">
      <c r="B23289" s="55" t="s">
        <v>283</v>
      </c>
      <c r="C23289" s="46">
        <v>3277</v>
      </c>
      <c r="D23289" s="69" t="s">
        <v>29420</v>
      </c>
      <c r="E23289" s="51"/>
      <c r="F23289" s="114" t="str">
        <f>IF(INDEX(I.Facility.P4IDNumber,3277)="","",INDEX(I.Facility.P4IDNumber,3277))</f>
        <v/>
      </c>
      <c r="G23289" s="51"/>
      <c r="H23289" s="46" t="str">
        <f>IF(AND(I.Developer.P4=TRUE,I.Facility.P4FacilityCount&gt;=3277,F23289=""),"Incomplete","Complete")</f>
        <v>Complete</v>
      </c>
      <c r="I23289" s="48" t="s">
        <v>27654</v>
      </c>
    </row>
    <row r="23290" spans="2:9" ht="15" customHeight="1" x14ac:dyDescent="0.25">
      <c r="B23290" s="55" t="s">
        <v>283</v>
      </c>
      <c r="C23290" s="46">
        <v>3278</v>
      </c>
      <c r="D23290" s="69" t="s">
        <v>29420</v>
      </c>
      <c r="E23290" s="51"/>
      <c r="F23290" s="114" t="str">
        <f>IF(INDEX(I.Facility.P4IDNumber,3278)="","",INDEX(I.Facility.P4IDNumber,3278))</f>
        <v/>
      </c>
      <c r="G23290" s="51"/>
      <c r="H23290" s="46" t="str">
        <f>IF(AND(I.Developer.P4=TRUE,I.Facility.P4FacilityCount&gt;=3278,F23290=""),"Incomplete","Complete")</f>
        <v>Complete</v>
      </c>
      <c r="I23290" s="48" t="s">
        <v>27655</v>
      </c>
    </row>
    <row r="23291" spans="2:9" ht="15" customHeight="1" x14ac:dyDescent="0.25">
      <c r="B23291" s="55" t="s">
        <v>283</v>
      </c>
      <c r="C23291" s="46">
        <v>3279</v>
      </c>
      <c r="D23291" s="69" t="s">
        <v>29420</v>
      </c>
      <c r="E23291" s="51"/>
      <c r="F23291" s="114" t="str">
        <f>IF(INDEX(I.Facility.P4IDNumber,3279)="","",INDEX(I.Facility.P4IDNumber,3279))</f>
        <v/>
      </c>
      <c r="G23291" s="51"/>
      <c r="H23291" s="46" t="str">
        <f>IF(AND(I.Developer.P4=TRUE,I.Facility.P4FacilityCount&gt;=3279,F23291=""),"Incomplete","Complete")</f>
        <v>Complete</v>
      </c>
      <c r="I23291" s="48" t="s">
        <v>27656</v>
      </c>
    </row>
    <row r="23292" spans="2:9" ht="15" customHeight="1" x14ac:dyDescent="0.25">
      <c r="B23292" s="55" t="s">
        <v>283</v>
      </c>
      <c r="C23292" s="46">
        <v>3280</v>
      </c>
      <c r="D23292" s="69" t="s">
        <v>29420</v>
      </c>
      <c r="E23292" s="51"/>
      <c r="F23292" s="114" t="str">
        <f>IF(INDEX(I.Facility.P4IDNumber,3280)="","",INDEX(I.Facility.P4IDNumber,3280))</f>
        <v/>
      </c>
      <c r="G23292" s="51"/>
      <c r="H23292" s="46" t="str">
        <f>IF(AND(I.Developer.P4=TRUE,I.Facility.P4FacilityCount&gt;=3280,F23292=""),"Incomplete","Complete")</f>
        <v>Complete</v>
      </c>
      <c r="I23292" s="48" t="s">
        <v>27657</v>
      </c>
    </row>
    <row r="23293" spans="2:9" ht="15" customHeight="1" x14ac:dyDescent="0.25">
      <c r="B23293" s="55" t="s">
        <v>283</v>
      </c>
      <c r="C23293" s="46">
        <v>3281</v>
      </c>
      <c r="D23293" s="69" t="s">
        <v>29420</v>
      </c>
      <c r="E23293" s="51"/>
      <c r="F23293" s="114" t="str">
        <f>IF(INDEX(I.Facility.P4IDNumber,3281)="","",INDEX(I.Facility.P4IDNumber,3281))</f>
        <v/>
      </c>
      <c r="G23293" s="51"/>
      <c r="H23293" s="46" t="str">
        <f>IF(AND(I.Developer.P4=TRUE,I.Facility.P4FacilityCount&gt;=3281,F23293=""),"Incomplete","Complete")</f>
        <v>Complete</v>
      </c>
      <c r="I23293" s="48" t="s">
        <v>27658</v>
      </c>
    </row>
    <row r="23294" spans="2:9" ht="15" customHeight="1" x14ac:dyDescent="0.25">
      <c r="B23294" s="55" t="s">
        <v>283</v>
      </c>
      <c r="C23294" s="46">
        <v>3282</v>
      </c>
      <c r="D23294" s="69" t="s">
        <v>29420</v>
      </c>
      <c r="E23294" s="51"/>
      <c r="F23294" s="114" t="str">
        <f>IF(INDEX(I.Facility.P4IDNumber,3282)="","",INDEX(I.Facility.P4IDNumber,3282))</f>
        <v/>
      </c>
      <c r="G23294" s="51"/>
      <c r="H23294" s="46" t="str">
        <f>IF(AND(I.Developer.P4=TRUE,I.Facility.P4FacilityCount&gt;=3282,F23294=""),"Incomplete","Complete")</f>
        <v>Complete</v>
      </c>
      <c r="I23294" s="48" t="s">
        <v>27659</v>
      </c>
    </row>
    <row r="23295" spans="2:9" ht="15" customHeight="1" x14ac:dyDescent="0.25">
      <c r="B23295" s="55" t="s">
        <v>283</v>
      </c>
      <c r="C23295" s="46">
        <v>3283</v>
      </c>
      <c r="D23295" s="69" t="s">
        <v>29420</v>
      </c>
      <c r="E23295" s="51"/>
      <c r="F23295" s="114" t="str">
        <f>IF(INDEX(I.Facility.P4IDNumber,3283)="","",INDEX(I.Facility.P4IDNumber,3283))</f>
        <v/>
      </c>
      <c r="G23295" s="51"/>
      <c r="H23295" s="46" t="str">
        <f>IF(AND(I.Developer.P4=TRUE,I.Facility.P4FacilityCount&gt;=3283,F23295=""),"Incomplete","Complete")</f>
        <v>Complete</v>
      </c>
      <c r="I23295" s="48" t="s">
        <v>27660</v>
      </c>
    </row>
    <row r="23296" spans="2:9" ht="15" customHeight="1" x14ac:dyDescent="0.25">
      <c r="B23296" s="55" t="s">
        <v>283</v>
      </c>
      <c r="C23296" s="46">
        <v>3284</v>
      </c>
      <c r="D23296" s="69" t="s">
        <v>29420</v>
      </c>
      <c r="E23296" s="51"/>
      <c r="F23296" s="114" t="str">
        <f>IF(INDEX(I.Facility.P4IDNumber,3284)="","",INDEX(I.Facility.P4IDNumber,3284))</f>
        <v/>
      </c>
      <c r="G23296" s="51"/>
      <c r="H23296" s="46" t="str">
        <f>IF(AND(I.Developer.P4=TRUE,I.Facility.P4FacilityCount&gt;=3284,F23296=""),"Incomplete","Complete")</f>
        <v>Complete</v>
      </c>
      <c r="I23296" s="48" t="s">
        <v>27661</v>
      </c>
    </row>
    <row r="23297" spans="2:9" ht="15" customHeight="1" x14ac:dyDescent="0.25">
      <c r="B23297" s="55" t="s">
        <v>283</v>
      </c>
      <c r="C23297" s="46">
        <v>3285</v>
      </c>
      <c r="D23297" s="69" t="s">
        <v>29420</v>
      </c>
      <c r="E23297" s="51"/>
      <c r="F23297" s="114" t="str">
        <f>IF(INDEX(I.Facility.P4IDNumber,3285)="","",INDEX(I.Facility.P4IDNumber,3285))</f>
        <v/>
      </c>
      <c r="G23297" s="51"/>
      <c r="H23297" s="46" t="str">
        <f>IF(AND(I.Developer.P4=TRUE,I.Facility.P4FacilityCount&gt;=3285,F23297=""),"Incomplete","Complete")</f>
        <v>Complete</v>
      </c>
      <c r="I23297" s="48" t="s">
        <v>27662</v>
      </c>
    </row>
    <row r="23298" spans="2:9" ht="15" customHeight="1" x14ac:dyDescent="0.25">
      <c r="B23298" s="55" t="s">
        <v>283</v>
      </c>
      <c r="C23298" s="46">
        <v>3286</v>
      </c>
      <c r="D23298" s="69" t="s">
        <v>29420</v>
      </c>
      <c r="E23298" s="51"/>
      <c r="F23298" s="114" t="str">
        <f>IF(INDEX(I.Facility.P4IDNumber,3286)="","",INDEX(I.Facility.P4IDNumber,3286))</f>
        <v/>
      </c>
      <c r="G23298" s="51"/>
      <c r="H23298" s="46" t="str">
        <f>IF(AND(I.Developer.P4=TRUE,I.Facility.P4FacilityCount&gt;=3286,F23298=""),"Incomplete","Complete")</f>
        <v>Complete</v>
      </c>
      <c r="I23298" s="48" t="s">
        <v>27663</v>
      </c>
    </row>
    <row r="23299" spans="2:9" ht="15" customHeight="1" x14ac:dyDescent="0.25">
      <c r="B23299" s="55" t="s">
        <v>283</v>
      </c>
      <c r="C23299" s="46">
        <v>3287</v>
      </c>
      <c r="D23299" s="69" t="s">
        <v>29420</v>
      </c>
      <c r="E23299" s="51"/>
      <c r="F23299" s="114" t="str">
        <f>IF(INDEX(I.Facility.P4IDNumber,3287)="","",INDEX(I.Facility.P4IDNumber,3287))</f>
        <v/>
      </c>
      <c r="G23299" s="51"/>
      <c r="H23299" s="46" t="str">
        <f>IF(AND(I.Developer.P4=TRUE,I.Facility.P4FacilityCount&gt;=3287,F23299=""),"Incomplete","Complete")</f>
        <v>Complete</v>
      </c>
      <c r="I23299" s="48" t="s">
        <v>27664</v>
      </c>
    </row>
    <row r="23300" spans="2:9" ht="15" customHeight="1" x14ac:dyDescent="0.25">
      <c r="B23300" s="55" t="s">
        <v>283</v>
      </c>
      <c r="C23300" s="46">
        <v>3288</v>
      </c>
      <c r="D23300" s="69" t="s">
        <v>29420</v>
      </c>
      <c r="E23300" s="51"/>
      <c r="F23300" s="114" t="str">
        <f>IF(INDEX(I.Facility.P4IDNumber,3288)="","",INDEX(I.Facility.P4IDNumber,3288))</f>
        <v/>
      </c>
      <c r="G23300" s="51"/>
      <c r="H23300" s="46" t="str">
        <f>IF(AND(I.Developer.P4=TRUE,I.Facility.P4FacilityCount&gt;=3288,F23300=""),"Incomplete","Complete")</f>
        <v>Complete</v>
      </c>
      <c r="I23300" s="48" t="s">
        <v>27665</v>
      </c>
    </row>
    <row r="23301" spans="2:9" ht="15" customHeight="1" x14ac:dyDescent="0.25">
      <c r="B23301" s="55" t="s">
        <v>283</v>
      </c>
      <c r="C23301" s="46">
        <v>3289</v>
      </c>
      <c r="D23301" s="69" t="s">
        <v>29420</v>
      </c>
      <c r="E23301" s="51"/>
      <c r="F23301" s="114" t="str">
        <f>IF(INDEX(I.Facility.P4IDNumber,3289)="","",INDEX(I.Facility.P4IDNumber,3289))</f>
        <v/>
      </c>
      <c r="G23301" s="51"/>
      <c r="H23301" s="46" t="str">
        <f>IF(AND(I.Developer.P4=TRUE,I.Facility.P4FacilityCount&gt;=3289,F23301=""),"Incomplete","Complete")</f>
        <v>Complete</v>
      </c>
      <c r="I23301" s="48" t="s">
        <v>27666</v>
      </c>
    </row>
    <row r="23302" spans="2:9" ht="15" customHeight="1" x14ac:dyDescent="0.25">
      <c r="B23302" s="55" t="s">
        <v>283</v>
      </c>
      <c r="C23302" s="46">
        <v>3290</v>
      </c>
      <c r="D23302" s="69" t="s">
        <v>29420</v>
      </c>
      <c r="E23302" s="51"/>
      <c r="F23302" s="114" t="str">
        <f>IF(INDEX(I.Facility.P4IDNumber,3290)="","",INDEX(I.Facility.P4IDNumber,3290))</f>
        <v/>
      </c>
      <c r="G23302" s="51"/>
      <c r="H23302" s="46" t="str">
        <f>IF(AND(I.Developer.P4=TRUE,I.Facility.P4FacilityCount&gt;=3290,F23302=""),"Incomplete","Complete")</f>
        <v>Complete</v>
      </c>
      <c r="I23302" s="48" t="s">
        <v>27667</v>
      </c>
    </row>
    <row r="23303" spans="2:9" ht="15" customHeight="1" x14ac:dyDescent="0.25">
      <c r="B23303" s="55" t="s">
        <v>283</v>
      </c>
      <c r="C23303" s="46">
        <v>3291</v>
      </c>
      <c r="D23303" s="69" t="s">
        <v>29420</v>
      </c>
      <c r="E23303" s="51"/>
      <c r="F23303" s="114" t="str">
        <f>IF(INDEX(I.Facility.P4IDNumber,3291)="","",INDEX(I.Facility.P4IDNumber,3291))</f>
        <v/>
      </c>
      <c r="G23303" s="51"/>
      <c r="H23303" s="46" t="str">
        <f>IF(AND(I.Developer.P4=TRUE,I.Facility.P4FacilityCount&gt;=3291,F23303=""),"Incomplete","Complete")</f>
        <v>Complete</v>
      </c>
      <c r="I23303" s="48" t="s">
        <v>27668</v>
      </c>
    </row>
    <row r="23304" spans="2:9" ht="15" customHeight="1" x14ac:dyDescent="0.25">
      <c r="B23304" s="55" t="s">
        <v>283</v>
      </c>
      <c r="C23304" s="46">
        <v>3292</v>
      </c>
      <c r="D23304" s="69" t="s">
        <v>29420</v>
      </c>
      <c r="E23304" s="51"/>
      <c r="F23304" s="114" t="str">
        <f>IF(INDEX(I.Facility.P4IDNumber,3292)="","",INDEX(I.Facility.P4IDNumber,3292))</f>
        <v/>
      </c>
      <c r="G23304" s="51"/>
      <c r="H23304" s="46" t="str">
        <f>IF(AND(I.Developer.P4=TRUE,I.Facility.P4FacilityCount&gt;=3292,F23304=""),"Incomplete","Complete")</f>
        <v>Complete</v>
      </c>
      <c r="I23304" s="48" t="s">
        <v>27669</v>
      </c>
    </row>
    <row r="23305" spans="2:9" ht="15" customHeight="1" x14ac:dyDescent="0.25">
      <c r="B23305" s="55" t="s">
        <v>283</v>
      </c>
      <c r="C23305" s="46">
        <v>3293</v>
      </c>
      <c r="D23305" s="69" t="s">
        <v>29420</v>
      </c>
      <c r="E23305" s="51"/>
      <c r="F23305" s="114" t="str">
        <f>IF(INDEX(I.Facility.P4IDNumber,3293)="","",INDEX(I.Facility.P4IDNumber,3293))</f>
        <v/>
      </c>
      <c r="G23305" s="51"/>
      <c r="H23305" s="46" t="str">
        <f>IF(AND(I.Developer.P4=TRUE,I.Facility.P4FacilityCount&gt;=3293,F23305=""),"Incomplete","Complete")</f>
        <v>Complete</v>
      </c>
      <c r="I23305" s="48" t="s">
        <v>27670</v>
      </c>
    </row>
    <row r="23306" spans="2:9" ht="15" customHeight="1" x14ac:dyDescent="0.25">
      <c r="B23306" s="55" t="s">
        <v>283</v>
      </c>
      <c r="C23306" s="46">
        <v>3294</v>
      </c>
      <c r="D23306" s="69" t="s">
        <v>29420</v>
      </c>
      <c r="E23306" s="51"/>
      <c r="F23306" s="114" t="str">
        <f>IF(INDEX(I.Facility.P4IDNumber,3294)="","",INDEX(I.Facility.P4IDNumber,3294))</f>
        <v/>
      </c>
      <c r="G23306" s="51"/>
      <c r="H23306" s="46" t="str">
        <f>IF(AND(I.Developer.P4=TRUE,I.Facility.P4FacilityCount&gt;=3294,F23306=""),"Incomplete","Complete")</f>
        <v>Complete</v>
      </c>
      <c r="I23306" s="48" t="s">
        <v>27671</v>
      </c>
    </row>
    <row r="23307" spans="2:9" ht="15" customHeight="1" x14ac:dyDescent="0.25">
      <c r="B23307" s="55" t="s">
        <v>283</v>
      </c>
      <c r="C23307" s="46">
        <v>3295</v>
      </c>
      <c r="D23307" s="69" t="s">
        <v>29420</v>
      </c>
      <c r="E23307" s="51"/>
      <c r="F23307" s="114" t="str">
        <f>IF(INDEX(I.Facility.P4IDNumber,3295)="","",INDEX(I.Facility.P4IDNumber,3295))</f>
        <v/>
      </c>
      <c r="G23307" s="51"/>
      <c r="H23307" s="46" t="str">
        <f>IF(AND(I.Developer.P4=TRUE,I.Facility.P4FacilityCount&gt;=3295,F23307=""),"Incomplete","Complete")</f>
        <v>Complete</v>
      </c>
      <c r="I23307" s="48" t="s">
        <v>27672</v>
      </c>
    </row>
    <row r="23308" spans="2:9" ht="15" customHeight="1" x14ac:dyDescent="0.25">
      <c r="B23308" s="55" t="s">
        <v>283</v>
      </c>
      <c r="C23308" s="46">
        <v>3296</v>
      </c>
      <c r="D23308" s="69" t="s">
        <v>29420</v>
      </c>
      <c r="E23308" s="51"/>
      <c r="F23308" s="114" t="str">
        <f>IF(INDEX(I.Facility.P4IDNumber,3296)="","",INDEX(I.Facility.P4IDNumber,3296))</f>
        <v/>
      </c>
      <c r="G23308" s="51"/>
      <c r="H23308" s="46" t="str">
        <f>IF(AND(I.Developer.P4=TRUE,I.Facility.P4FacilityCount&gt;=3296,F23308=""),"Incomplete","Complete")</f>
        <v>Complete</v>
      </c>
      <c r="I23308" s="48" t="s">
        <v>27673</v>
      </c>
    </row>
    <row r="23309" spans="2:9" ht="15" customHeight="1" x14ac:dyDescent="0.25">
      <c r="B23309" s="55" t="s">
        <v>283</v>
      </c>
      <c r="C23309" s="46">
        <v>3297</v>
      </c>
      <c r="D23309" s="69" t="s">
        <v>29420</v>
      </c>
      <c r="E23309" s="51"/>
      <c r="F23309" s="114" t="str">
        <f>IF(INDEX(I.Facility.P4IDNumber,3297)="","",INDEX(I.Facility.P4IDNumber,3297))</f>
        <v/>
      </c>
      <c r="G23309" s="51"/>
      <c r="H23309" s="46" t="str">
        <f>IF(AND(I.Developer.P4=TRUE,I.Facility.P4FacilityCount&gt;=3297,F23309=""),"Incomplete","Complete")</f>
        <v>Complete</v>
      </c>
      <c r="I23309" s="48" t="s">
        <v>27674</v>
      </c>
    </row>
    <row r="23310" spans="2:9" ht="15" customHeight="1" x14ac:dyDescent="0.25">
      <c r="B23310" s="55" t="s">
        <v>283</v>
      </c>
      <c r="C23310" s="46">
        <v>3298</v>
      </c>
      <c r="D23310" s="69" t="s">
        <v>29420</v>
      </c>
      <c r="E23310" s="51"/>
      <c r="F23310" s="114" t="str">
        <f>IF(INDEX(I.Facility.P4IDNumber,3298)="","",INDEX(I.Facility.P4IDNumber,3298))</f>
        <v/>
      </c>
      <c r="G23310" s="51"/>
      <c r="H23310" s="46" t="str">
        <f>IF(AND(I.Developer.P4=TRUE,I.Facility.P4FacilityCount&gt;=3298,F23310=""),"Incomplete","Complete")</f>
        <v>Complete</v>
      </c>
      <c r="I23310" s="48" t="s">
        <v>27675</v>
      </c>
    </row>
    <row r="23311" spans="2:9" ht="15" customHeight="1" x14ac:dyDescent="0.25">
      <c r="B23311" s="55" t="s">
        <v>283</v>
      </c>
      <c r="C23311" s="46">
        <v>3299</v>
      </c>
      <c r="D23311" s="69" t="s">
        <v>29420</v>
      </c>
      <c r="E23311" s="51"/>
      <c r="F23311" s="114" t="str">
        <f>IF(INDEX(I.Facility.P4IDNumber,3299)="","",INDEX(I.Facility.P4IDNumber,3299))</f>
        <v/>
      </c>
      <c r="G23311" s="51"/>
      <c r="H23311" s="46" t="str">
        <f>IF(AND(I.Developer.P4=TRUE,I.Facility.P4FacilityCount&gt;=3299,F23311=""),"Incomplete","Complete")</f>
        <v>Complete</v>
      </c>
      <c r="I23311" s="48" t="s">
        <v>27676</v>
      </c>
    </row>
    <row r="23312" spans="2:9" ht="15" customHeight="1" x14ac:dyDescent="0.25">
      <c r="B23312" s="55" t="s">
        <v>283</v>
      </c>
      <c r="C23312" s="46">
        <v>3300</v>
      </c>
      <c r="D23312" s="69" t="s">
        <v>29420</v>
      </c>
      <c r="E23312" s="51"/>
      <c r="F23312" s="114" t="str">
        <f>IF(INDEX(I.Facility.P4IDNumber,3300)="","",INDEX(I.Facility.P4IDNumber,3300))</f>
        <v/>
      </c>
      <c r="G23312" s="51"/>
      <c r="H23312" s="46" t="str">
        <f>IF(AND(I.Developer.P4=TRUE,I.Facility.P4FacilityCount&gt;=3300,F23312=""),"Incomplete","Complete")</f>
        <v>Complete</v>
      </c>
      <c r="I23312" s="48" t="s">
        <v>27677</v>
      </c>
    </row>
    <row r="23313" spans="2:9" ht="15" customHeight="1" x14ac:dyDescent="0.25">
      <c r="B23313" s="55" t="s">
        <v>283</v>
      </c>
      <c r="C23313" s="46">
        <v>3301</v>
      </c>
      <c r="D23313" s="69" t="s">
        <v>29420</v>
      </c>
      <c r="E23313" s="51"/>
      <c r="F23313" s="114" t="str">
        <f>IF(INDEX(I.Facility.P4IDNumber,3301)="","",INDEX(I.Facility.P4IDNumber,3301))</f>
        <v/>
      </c>
      <c r="G23313" s="51"/>
      <c r="H23313" s="46" t="str">
        <f>IF(AND(I.Developer.P4=TRUE,I.Facility.P4FacilityCount&gt;=3301,F23313=""),"Incomplete","Complete")</f>
        <v>Complete</v>
      </c>
      <c r="I23313" s="48" t="s">
        <v>27678</v>
      </c>
    </row>
    <row r="23314" spans="2:9" ht="15" customHeight="1" x14ac:dyDescent="0.25">
      <c r="B23314" s="55" t="s">
        <v>283</v>
      </c>
      <c r="C23314" s="46">
        <v>3302</v>
      </c>
      <c r="D23314" s="69" t="s">
        <v>29420</v>
      </c>
      <c r="E23314" s="51"/>
      <c r="F23314" s="114" t="str">
        <f>IF(INDEX(I.Facility.P4IDNumber,3302)="","",INDEX(I.Facility.P4IDNumber,3302))</f>
        <v/>
      </c>
      <c r="G23314" s="51"/>
      <c r="H23314" s="46" t="str">
        <f>IF(AND(I.Developer.P4=TRUE,I.Facility.P4FacilityCount&gt;=3302,F23314=""),"Incomplete","Complete")</f>
        <v>Complete</v>
      </c>
      <c r="I23314" s="48" t="s">
        <v>27679</v>
      </c>
    </row>
    <row r="23315" spans="2:9" ht="15" customHeight="1" x14ac:dyDescent="0.25">
      <c r="B23315" s="55" t="s">
        <v>283</v>
      </c>
      <c r="C23315" s="46">
        <v>3303</v>
      </c>
      <c r="D23315" s="69" t="s">
        <v>29420</v>
      </c>
      <c r="E23315" s="51"/>
      <c r="F23315" s="114" t="str">
        <f>IF(INDEX(I.Facility.P4IDNumber,3303)="","",INDEX(I.Facility.P4IDNumber,3303))</f>
        <v/>
      </c>
      <c r="G23315" s="51"/>
      <c r="H23315" s="46" t="str">
        <f>IF(AND(I.Developer.P4=TRUE,I.Facility.P4FacilityCount&gt;=3303,F23315=""),"Incomplete","Complete")</f>
        <v>Complete</v>
      </c>
      <c r="I23315" s="48" t="s">
        <v>27680</v>
      </c>
    </row>
    <row r="23316" spans="2:9" ht="15" customHeight="1" x14ac:dyDescent="0.25">
      <c r="B23316" s="55" t="s">
        <v>283</v>
      </c>
      <c r="C23316" s="46">
        <v>3304</v>
      </c>
      <c r="D23316" s="69" t="s">
        <v>29420</v>
      </c>
      <c r="E23316" s="51"/>
      <c r="F23316" s="114" t="str">
        <f>IF(INDEX(I.Facility.P4IDNumber,3304)="","",INDEX(I.Facility.P4IDNumber,3304))</f>
        <v/>
      </c>
      <c r="G23316" s="51"/>
      <c r="H23316" s="46" t="str">
        <f>IF(AND(I.Developer.P4=TRUE,I.Facility.P4FacilityCount&gt;=3304,F23316=""),"Incomplete","Complete")</f>
        <v>Complete</v>
      </c>
      <c r="I23316" s="48" t="s">
        <v>27681</v>
      </c>
    </row>
    <row r="23317" spans="2:9" ht="15" customHeight="1" x14ac:dyDescent="0.25">
      <c r="B23317" s="55" t="s">
        <v>283</v>
      </c>
      <c r="C23317" s="46">
        <v>3305</v>
      </c>
      <c r="D23317" s="69" t="s">
        <v>29420</v>
      </c>
      <c r="E23317" s="51"/>
      <c r="F23317" s="114" t="str">
        <f>IF(INDEX(I.Facility.P4IDNumber,3305)="","",INDEX(I.Facility.P4IDNumber,3305))</f>
        <v/>
      </c>
      <c r="G23317" s="51"/>
      <c r="H23317" s="46" t="str">
        <f>IF(AND(I.Developer.P4=TRUE,I.Facility.P4FacilityCount&gt;=3305,F23317=""),"Incomplete","Complete")</f>
        <v>Complete</v>
      </c>
      <c r="I23317" s="48" t="s">
        <v>27682</v>
      </c>
    </row>
    <row r="23318" spans="2:9" ht="15" customHeight="1" x14ac:dyDescent="0.25">
      <c r="B23318" s="55" t="s">
        <v>283</v>
      </c>
      <c r="C23318" s="46">
        <v>3306</v>
      </c>
      <c r="D23318" s="69" t="s">
        <v>29420</v>
      </c>
      <c r="E23318" s="51"/>
      <c r="F23318" s="114" t="str">
        <f>IF(INDEX(I.Facility.P4IDNumber,3306)="","",INDEX(I.Facility.P4IDNumber,3306))</f>
        <v/>
      </c>
      <c r="G23318" s="51"/>
      <c r="H23318" s="46" t="str">
        <f>IF(AND(I.Developer.P4=TRUE,I.Facility.P4FacilityCount&gt;=3306,F23318=""),"Incomplete","Complete")</f>
        <v>Complete</v>
      </c>
      <c r="I23318" s="48" t="s">
        <v>27683</v>
      </c>
    </row>
    <row r="23319" spans="2:9" ht="15" customHeight="1" x14ac:dyDescent="0.25">
      <c r="B23319" s="55" t="s">
        <v>283</v>
      </c>
      <c r="C23319" s="46">
        <v>3307</v>
      </c>
      <c r="D23319" s="69" t="s">
        <v>29420</v>
      </c>
      <c r="E23319" s="51"/>
      <c r="F23319" s="114" t="str">
        <f>IF(INDEX(I.Facility.P4IDNumber,3307)="","",INDEX(I.Facility.P4IDNumber,3307))</f>
        <v/>
      </c>
      <c r="G23319" s="51"/>
      <c r="H23319" s="46" t="str">
        <f>IF(AND(I.Developer.P4=TRUE,I.Facility.P4FacilityCount&gt;=3307,F23319=""),"Incomplete","Complete")</f>
        <v>Complete</v>
      </c>
      <c r="I23319" s="48" t="s">
        <v>27684</v>
      </c>
    </row>
    <row r="23320" spans="2:9" ht="15" customHeight="1" x14ac:dyDescent="0.25">
      <c r="B23320" s="55" t="s">
        <v>283</v>
      </c>
      <c r="C23320" s="46">
        <v>3308</v>
      </c>
      <c r="D23320" s="69" t="s">
        <v>29420</v>
      </c>
      <c r="E23320" s="51"/>
      <c r="F23320" s="114" t="str">
        <f>IF(INDEX(I.Facility.P4IDNumber,3308)="","",INDEX(I.Facility.P4IDNumber,3308))</f>
        <v/>
      </c>
      <c r="G23320" s="51"/>
      <c r="H23320" s="46" t="str">
        <f>IF(AND(I.Developer.P4=TRUE,I.Facility.P4FacilityCount&gt;=3308,F23320=""),"Incomplete","Complete")</f>
        <v>Complete</v>
      </c>
      <c r="I23320" s="48" t="s">
        <v>27685</v>
      </c>
    </row>
    <row r="23321" spans="2:9" ht="15" customHeight="1" x14ac:dyDescent="0.25">
      <c r="B23321" s="55" t="s">
        <v>283</v>
      </c>
      <c r="C23321" s="46">
        <v>3309</v>
      </c>
      <c r="D23321" s="69" t="s">
        <v>29420</v>
      </c>
      <c r="E23321" s="51"/>
      <c r="F23321" s="114" t="str">
        <f>IF(INDEX(I.Facility.P4IDNumber,3309)="","",INDEX(I.Facility.P4IDNumber,3309))</f>
        <v/>
      </c>
      <c r="G23321" s="51"/>
      <c r="H23321" s="46" t="str">
        <f>IF(AND(I.Developer.P4=TRUE,I.Facility.P4FacilityCount&gt;=3309,F23321=""),"Incomplete","Complete")</f>
        <v>Complete</v>
      </c>
      <c r="I23321" s="48" t="s">
        <v>27686</v>
      </c>
    </row>
    <row r="23322" spans="2:9" ht="15" customHeight="1" x14ac:dyDescent="0.25">
      <c r="B23322" s="55" t="s">
        <v>283</v>
      </c>
      <c r="C23322" s="46">
        <v>3310</v>
      </c>
      <c r="D23322" s="69" t="s">
        <v>29420</v>
      </c>
      <c r="E23322" s="51"/>
      <c r="F23322" s="114" t="str">
        <f>IF(INDEX(I.Facility.P4IDNumber,3310)="","",INDEX(I.Facility.P4IDNumber,3310))</f>
        <v/>
      </c>
      <c r="G23322" s="51"/>
      <c r="H23322" s="46" t="str">
        <f>IF(AND(I.Developer.P4=TRUE,I.Facility.P4FacilityCount&gt;=3310,F23322=""),"Incomplete","Complete")</f>
        <v>Complete</v>
      </c>
      <c r="I23322" s="48" t="s">
        <v>27687</v>
      </c>
    </row>
    <row r="23323" spans="2:9" ht="15" customHeight="1" x14ac:dyDescent="0.25">
      <c r="B23323" s="55" t="s">
        <v>283</v>
      </c>
      <c r="C23323" s="46">
        <v>3311</v>
      </c>
      <c r="D23323" s="69" t="s">
        <v>29420</v>
      </c>
      <c r="E23323" s="51"/>
      <c r="F23323" s="114" t="str">
        <f>IF(INDEX(I.Facility.P4IDNumber,3311)="","",INDEX(I.Facility.P4IDNumber,3311))</f>
        <v/>
      </c>
      <c r="G23323" s="51"/>
      <c r="H23323" s="46" t="str">
        <f>IF(AND(I.Developer.P4=TRUE,I.Facility.P4FacilityCount&gt;=3311,F23323=""),"Incomplete","Complete")</f>
        <v>Complete</v>
      </c>
      <c r="I23323" s="48" t="s">
        <v>27688</v>
      </c>
    </row>
    <row r="23324" spans="2:9" ht="15" customHeight="1" x14ac:dyDescent="0.25">
      <c r="B23324" s="55" t="s">
        <v>283</v>
      </c>
      <c r="C23324" s="46">
        <v>3312</v>
      </c>
      <c r="D23324" s="69" t="s">
        <v>29420</v>
      </c>
      <c r="E23324" s="51"/>
      <c r="F23324" s="114" t="str">
        <f>IF(INDEX(I.Facility.P4IDNumber,3312)="","",INDEX(I.Facility.P4IDNumber,3312))</f>
        <v/>
      </c>
      <c r="G23324" s="51"/>
      <c r="H23324" s="46" t="str">
        <f>IF(AND(I.Developer.P4=TRUE,I.Facility.P4FacilityCount&gt;=3312,F23324=""),"Incomplete","Complete")</f>
        <v>Complete</v>
      </c>
      <c r="I23324" s="48" t="s">
        <v>27689</v>
      </c>
    </row>
    <row r="23325" spans="2:9" ht="15" customHeight="1" x14ac:dyDescent="0.25">
      <c r="B23325" s="55" t="s">
        <v>283</v>
      </c>
      <c r="C23325" s="46">
        <v>3313</v>
      </c>
      <c r="D23325" s="69" t="s">
        <v>29420</v>
      </c>
      <c r="E23325" s="51"/>
      <c r="F23325" s="114" t="str">
        <f>IF(INDEX(I.Facility.P4IDNumber,3313)="","",INDEX(I.Facility.P4IDNumber,3313))</f>
        <v/>
      </c>
      <c r="G23325" s="51"/>
      <c r="H23325" s="46" t="str">
        <f>IF(AND(I.Developer.P4=TRUE,I.Facility.P4FacilityCount&gt;=3313,F23325=""),"Incomplete","Complete")</f>
        <v>Complete</v>
      </c>
      <c r="I23325" s="48" t="s">
        <v>27690</v>
      </c>
    </row>
    <row r="23326" spans="2:9" ht="15" customHeight="1" x14ac:dyDescent="0.25">
      <c r="B23326" s="55" t="s">
        <v>283</v>
      </c>
      <c r="C23326" s="46">
        <v>3314</v>
      </c>
      <c r="D23326" s="69" t="s">
        <v>29420</v>
      </c>
      <c r="E23326" s="51"/>
      <c r="F23326" s="114" t="str">
        <f>IF(INDEX(I.Facility.P4IDNumber,3314)="","",INDEX(I.Facility.P4IDNumber,3314))</f>
        <v/>
      </c>
      <c r="G23326" s="51"/>
      <c r="H23326" s="46" t="str">
        <f>IF(AND(I.Developer.P4=TRUE,I.Facility.P4FacilityCount&gt;=3314,F23326=""),"Incomplete","Complete")</f>
        <v>Complete</v>
      </c>
      <c r="I23326" s="48" t="s">
        <v>27691</v>
      </c>
    </row>
    <row r="23327" spans="2:9" ht="15" customHeight="1" x14ac:dyDescent="0.25">
      <c r="B23327" s="55" t="s">
        <v>283</v>
      </c>
      <c r="C23327" s="46">
        <v>3315</v>
      </c>
      <c r="D23327" s="69" t="s">
        <v>29420</v>
      </c>
      <c r="E23327" s="51"/>
      <c r="F23327" s="114" t="str">
        <f>IF(INDEX(I.Facility.P4IDNumber,3315)="","",INDEX(I.Facility.P4IDNumber,3315))</f>
        <v/>
      </c>
      <c r="G23327" s="51"/>
      <c r="H23327" s="46" t="str">
        <f>IF(AND(I.Developer.P4=TRUE,I.Facility.P4FacilityCount&gt;=3315,F23327=""),"Incomplete","Complete")</f>
        <v>Complete</v>
      </c>
      <c r="I23327" s="48" t="s">
        <v>27692</v>
      </c>
    </row>
    <row r="23328" spans="2:9" ht="15" customHeight="1" x14ac:dyDescent="0.25">
      <c r="B23328" s="55" t="s">
        <v>283</v>
      </c>
      <c r="C23328" s="46">
        <v>3316</v>
      </c>
      <c r="D23328" s="69" t="s">
        <v>29420</v>
      </c>
      <c r="E23328" s="51"/>
      <c r="F23328" s="114" t="str">
        <f>IF(INDEX(I.Facility.P4IDNumber,3316)="","",INDEX(I.Facility.P4IDNumber,3316))</f>
        <v/>
      </c>
      <c r="G23328" s="51"/>
      <c r="H23328" s="46" t="str">
        <f>IF(AND(I.Developer.P4=TRUE,I.Facility.P4FacilityCount&gt;=3316,F23328=""),"Incomplete","Complete")</f>
        <v>Complete</v>
      </c>
      <c r="I23328" s="48" t="s">
        <v>27693</v>
      </c>
    </row>
    <row r="23329" spans="2:9" ht="15" customHeight="1" x14ac:dyDescent="0.25">
      <c r="B23329" s="55" t="s">
        <v>283</v>
      </c>
      <c r="C23329" s="46">
        <v>3317</v>
      </c>
      <c r="D23329" s="69" t="s">
        <v>29420</v>
      </c>
      <c r="E23329" s="51"/>
      <c r="F23329" s="114" t="str">
        <f>IF(INDEX(I.Facility.P4IDNumber,3317)="","",INDEX(I.Facility.P4IDNumber,3317))</f>
        <v/>
      </c>
      <c r="G23329" s="51"/>
      <c r="H23329" s="46" t="str">
        <f>IF(AND(I.Developer.P4=TRUE,I.Facility.P4FacilityCount&gt;=3317,F23329=""),"Incomplete","Complete")</f>
        <v>Complete</v>
      </c>
      <c r="I23329" s="48" t="s">
        <v>27694</v>
      </c>
    </row>
    <row r="23330" spans="2:9" ht="15" customHeight="1" x14ac:dyDescent="0.25">
      <c r="B23330" s="55" t="s">
        <v>283</v>
      </c>
      <c r="C23330" s="46">
        <v>3318</v>
      </c>
      <c r="D23330" s="69" t="s">
        <v>29420</v>
      </c>
      <c r="E23330" s="51"/>
      <c r="F23330" s="114" t="str">
        <f>IF(INDEX(I.Facility.P4IDNumber,3318)="","",INDEX(I.Facility.P4IDNumber,3318))</f>
        <v/>
      </c>
      <c r="G23330" s="51"/>
      <c r="H23330" s="46" t="str">
        <f>IF(AND(I.Developer.P4=TRUE,I.Facility.P4FacilityCount&gt;=3318,F23330=""),"Incomplete","Complete")</f>
        <v>Complete</v>
      </c>
      <c r="I23330" s="48" t="s">
        <v>27695</v>
      </c>
    </row>
    <row r="23331" spans="2:9" ht="15" customHeight="1" x14ac:dyDescent="0.25">
      <c r="B23331" s="55" t="s">
        <v>283</v>
      </c>
      <c r="C23331" s="46">
        <v>3319</v>
      </c>
      <c r="D23331" s="69" t="s">
        <v>29420</v>
      </c>
      <c r="E23331" s="51"/>
      <c r="F23331" s="114" t="str">
        <f>IF(INDEX(I.Facility.P4IDNumber,3319)="","",INDEX(I.Facility.P4IDNumber,3319))</f>
        <v/>
      </c>
      <c r="G23331" s="51"/>
      <c r="H23331" s="46" t="str">
        <f>IF(AND(I.Developer.P4=TRUE,I.Facility.P4FacilityCount&gt;=3319,F23331=""),"Incomplete","Complete")</f>
        <v>Complete</v>
      </c>
      <c r="I23331" s="48" t="s">
        <v>27696</v>
      </c>
    </row>
    <row r="23332" spans="2:9" ht="15" customHeight="1" x14ac:dyDescent="0.25">
      <c r="B23332" s="55" t="s">
        <v>283</v>
      </c>
      <c r="C23332" s="46">
        <v>3320</v>
      </c>
      <c r="D23332" s="69" t="s">
        <v>29420</v>
      </c>
      <c r="E23332" s="51"/>
      <c r="F23332" s="114" t="str">
        <f>IF(INDEX(I.Facility.P4IDNumber,3320)="","",INDEX(I.Facility.P4IDNumber,3320))</f>
        <v/>
      </c>
      <c r="G23332" s="51"/>
      <c r="H23332" s="46" t="str">
        <f>IF(AND(I.Developer.P4=TRUE,I.Facility.P4FacilityCount&gt;=3320,F23332=""),"Incomplete","Complete")</f>
        <v>Complete</v>
      </c>
      <c r="I23332" s="48" t="s">
        <v>27697</v>
      </c>
    </row>
    <row r="23333" spans="2:9" ht="15" customHeight="1" x14ac:dyDescent="0.25">
      <c r="B23333" s="55" t="s">
        <v>283</v>
      </c>
      <c r="C23333" s="46">
        <v>3321</v>
      </c>
      <c r="D23333" s="69" t="s">
        <v>29420</v>
      </c>
      <c r="E23333" s="51"/>
      <c r="F23333" s="114" t="str">
        <f>IF(INDEX(I.Facility.P4IDNumber,3321)="","",INDEX(I.Facility.P4IDNumber,3321))</f>
        <v/>
      </c>
      <c r="G23333" s="51"/>
      <c r="H23333" s="46" t="str">
        <f>IF(AND(I.Developer.P4=TRUE,I.Facility.P4FacilityCount&gt;=3321,F23333=""),"Incomplete","Complete")</f>
        <v>Complete</v>
      </c>
      <c r="I23333" s="48" t="s">
        <v>27698</v>
      </c>
    </row>
    <row r="23334" spans="2:9" ht="15" customHeight="1" x14ac:dyDescent="0.25">
      <c r="B23334" s="55" t="s">
        <v>283</v>
      </c>
      <c r="C23334" s="46">
        <v>3322</v>
      </c>
      <c r="D23334" s="69" t="s">
        <v>29420</v>
      </c>
      <c r="E23334" s="51"/>
      <c r="F23334" s="114" t="str">
        <f>IF(INDEX(I.Facility.P4IDNumber,3322)="","",INDEX(I.Facility.P4IDNumber,3322))</f>
        <v/>
      </c>
      <c r="G23334" s="51"/>
      <c r="H23334" s="46" t="str">
        <f>IF(AND(I.Developer.P4=TRUE,I.Facility.P4FacilityCount&gt;=3322,F23334=""),"Incomplete","Complete")</f>
        <v>Complete</v>
      </c>
      <c r="I23334" s="48" t="s">
        <v>27699</v>
      </c>
    </row>
    <row r="23335" spans="2:9" ht="15" customHeight="1" x14ac:dyDescent="0.25">
      <c r="B23335" s="55" t="s">
        <v>283</v>
      </c>
      <c r="C23335" s="46">
        <v>3323</v>
      </c>
      <c r="D23335" s="69" t="s">
        <v>29420</v>
      </c>
      <c r="E23335" s="51"/>
      <c r="F23335" s="114" t="str">
        <f>IF(INDEX(I.Facility.P4IDNumber,3323)="","",INDEX(I.Facility.P4IDNumber,3323))</f>
        <v/>
      </c>
      <c r="G23335" s="51"/>
      <c r="H23335" s="46" t="str">
        <f>IF(AND(I.Developer.P4=TRUE,I.Facility.P4FacilityCount&gt;=3323,F23335=""),"Incomplete","Complete")</f>
        <v>Complete</v>
      </c>
      <c r="I23335" s="48" t="s">
        <v>27700</v>
      </c>
    </row>
    <row r="23336" spans="2:9" ht="15" customHeight="1" x14ac:dyDescent="0.25">
      <c r="B23336" s="55" t="s">
        <v>283</v>
      </c>
      <c r="C23336" s="46">
        <v>3324</v>
      </c>
      <c r="D23336" s="69" t="s">
        <v>29420</v>
      </c>
      <c r="E23336" s="51"/>
      <c r="F23336" s="114" t="str">
        <f>IF(INDEX(I.Facility.P4IDNumber,3324)="","",INDEX(I.Facility.P4IDNumber,3324))</f>
        <v/>
      </c>
      <c r="G23336" s="51"/>
      <c r="H23336" s="46" t="str">
        <f>IF(AND(I.Developer.P4=TRUE,I.Facility.P4FacilityCount&gt;=3324,F23336=""),"Incomplete","Complete")</f>
        <v>Complete</v>
      </c>
      <c r="I23336" s="48" t="s">
        <v>27701</v>
      </c>
    </row>
    <row r="23337" spans="2:9" ht="15" customHeight="1" x14ac:dyDescent="0.25">
      <c r="B23337" s="55" t="s">
        <v>283</v>
      </c>
      <c r="C23337" s="46">
        <v>3325</v>
      </c>
      <c r="D23337" s="69" t="s">
        <v>29420</v>
      </c>
      <c r="E23337" s="51"/>
      <c r="F23337" s="114" t="str">
        <f>IF(INDEX(I.Facility.P4IDNumber,3325)="","",INDEX(I.Facility.P4IDNumber,3325))</f>
        <v/>
      </c>
      <c r="G23337" s="51"/>
      <c r="H23337" s="46" t="str">
        <f>IF(AND(I.Developer.P4=TRUE,I.Facility.P4FacilityCount&gt;=3325,F23337=""),"Incomplete","Complete")</f>
        <v>Complete</v>
      </c>
      <c r="I23337" s="48" t="s">
        <v>27702</v>
      </c>
    </row>
    <row r="23338" spans="2:9" ht="15" customHeight="1" x14ac:dyDescent="0.25">
      <c r="B23338" s="55" t="s">
        <v>283</v>
      </c>
      <c r="C23338" s="46">
        <v>3326</v>
      </c>
      <c r="D23338" s="69" t="s">
        <v>29420</v>
      </c>
      <c r="E23338" s="51"/>
      <c r="F23338" s="114" t="str">
        <f>IF(INDEX(I.Facility.P4IDNumber,3326)="","",INDEX(I.Facility.P4IDNumber,3326))</f>
        <v/>
      </c>
      <c r="G23338" s="51"/>
      <c r="H23338" s="46" t="str">
        <f>IF(AND(I.Developer.P4=TRUE,I.Facility.P4FacilityCount&gt;=3326,F23338=""),"Incomplete","Complete")</f>
        <v>Complete</v>
      </c>
      <c r="I23338" s="48" t="s">
        <v>27703</v>
      </c>
    </row>
    <row r="23339" spans="2:9" ht="15" customHeight="1" x14ac:dyDescent="0.25">
      <c r="B23339" s="55" t="s">
        <v>283</v>
      </c>
      <c r="C23339" s="46">
        <v>3327</v>
      </c>
      <c r="D23339" s="69" t="s">
        <v>29420</v>
      </c>
      <c r="E23339" s="51"/>
      <c r="F23339" s="114" t="str">
        <f>IF(INDEX(I.Facility.P4IDNumber,3327)="","",INDEX(I.Facility.P4IDNumber,3327))</f>
        <v/>
      </c>
      <c r="G23339" s="51"/>
      <c r="H23339" s="46" t="str">
        <f>IF(AND(I.Developer.P4=TRUE,I.Facility.P4FacilityCount&gt;=3327,F23339=""),"Incomplete","Complete")</f>
        <v>Complete</v>
      </c>
      <c r="I23339" s="48" t="s">
        <v>27704</v>
      </c>
    </row>
    <row r="23340" spans="2:9" ht="15" customHeight="1" x14ac:dyDescent="0.25">
      <c r="B23340" s="55" t="s">
        <v>283</v>
      </c>
      <c r="C23340" s="46">
        <v>3328</v>
      </c>
      <c r="D23340" s="69" t="s">
        <v>29420</v>
      </c>
      <c r="E23340" s="51"/>
      <c r="F23340" s="114" t="str">
        <f>IF(INDEX(I.Facility.P4IDNumber,3328)="","",INDEX(I.Facility.P4IDNumber,3328))</f>
        <v/>
      </c>
      <c r="G23340" s="51"/>
      <c r="H23340" s="46" t="str">
        <f>IF(AND(I.Developer.P4=TRUE,I.Facility.P4FacilityCount&gt;=3328,F23340=""),"Incomplete","Complete")</f>
        <v>Complete</v>
      </c>
      <c r="I23340" s="48" t="s">
        <v>27705</v>
      </c>
    </row>
    <row r="23341" spans="2:9" ht="15" customHeight="1" x14ac:dyDescent="0.25">
      <c r="B23341" s="55" t="s">
        <v>283</v>
      </c>
      <c r="C23341" s="46">
        <v>3329</v>
      </c>
      <c r="D23341" s="69" t="s">
        <v>29420</v>
      </c>
      <c r="E23341" s="51"/>
      <c r="F23341" s="114" t="str">
        <f>IF(INDEX(I.Facility.P4IDNumber,3329)="","",INDEX(I.Facility.P4IDNumber,3329))</f>
        <v/>
      </c>
      <c r="G23341" s="51"/>
      <c r="H23341" s="46" t="str">
        <f>IF(AND(I.Developer.P4=TRUE,I.Facility.P4FacilityCount&gt;=3329,F23341=""),"Incomplete","Complete")</f>
        <v>Complete</v>
      </c>
      <c r="I23341" s="48" t="s">
        <v>27706</v>
      </c>
    </row>
    <row r="23342" spans="2:9" ht="15" customHeight="1" x14ac:dyDescent="0.25">
      <c r="B23342" s="55" t="s">
        <v>283</v>
      </c>
      <c r="C23342" s="46">
        <v>3330</v>
      </c>
      <c r="D23342" s="69" t="s">
        <v>29420</v>
      </c>
      <c r="E23342" s="51"/>
      <c r="F23342" s="114" t="str">
        <f>IF(INDEX(I.Facility.P4IDNumber,3330)="","",INDEX(I.Facility.P4IDNumber,3330))</f>
        <v/>
      </c>
      <c r="G23342" s="51"/>
      <c r="H23342" s="46" t="str">
        <f>IF(AND(I.Developer.P4=TRUE,I.Facility.P4FacilityCount&gt;=3330,F23342=""),"Incomplete","Complete")</f>
        <v>Complete</v>
      </c>
      <c r="I23342" s="48" t="s">
        <v>27707</v>
      </c>
    </row>
    <row r="23343" spans="2:9" ht="15" customHeight="1" x14ac:dyDescent="0.25">
      <c r="B23343" s="55" t="s">
        <v>283</v>
      </c>
      <c r="C23343" s="46">
        <v>3331</v>
      </c>
      <c r="D23343" s="69" t="s">
        <v>29420</v>
      </c>
      <c r="E23343" s="51"/>
      <c r="F23343" s="114" t="str">
        <f>IF(INDEX(I.Facility.P4IDNumber,3331)="","",INDEX(I.Facility.P4IDNumber,3331))</f>
        <v/>
      </c>
      <c r="G23343" s="51"/>
      <c r="H23343" s="46" t="str">
        <f>IF(AND(I.Developer.P4=TRUE,I.Facility.P4FacilityCount&gt;=3331,F23343=""),"Incomplete","Complete")</f>
        <v>Complete</v>
      </c>
      <c r="I23343" s="48" t="s">
        <v>27708</v>
      </c>
    </row>
    <row r="23344" spans="2:9" ht="15" customHeight="1" x14ac:dyDescent="0.25">
      <c r="B23344" s="55" t="s">
        <v>283</v>
      </c>
      <c r="C23344" s="46">
        <v>3332</v>
      </c>
      <c r="D23344" s="69" t="s">
        <v>29420</v>
      </c>
      <c r="E23344" s="51"/>
      <c r="F23344" s="114" t="str">
        <f>IF(INDEX(I.Facility.P4IDNumber,3332)="","",INDEX(I.Facility.P4IDNumber,3332))</f>
        <v/>
      </c>
      <c r="G23344" s="51"/>
      <c r="H23344" s="46" t="str">
        <f>IF(AND(I.Developer.P4=TRUE,I.Facility.P4FacilityCount&gt;=3332,F23344=""),"Incomplete","Complete")</f>
        <v>Complete</v>
      </c>
      <c r="I23344" s="48" t="s">
        <v>27709</v>
      </c>
    </row>
    <row r="23345" spans="2:9" ht="15" customHeight="1" x14ac:dyDescent="0.25">
      <c r="B23345" s="55" t="s">
        <v>283</v>
      </c>
      <c r="C23345" s="46">
        <v>3333</v>
      </c>
      <c r="D23345" s="69" t="s">
        <v>29420</v>
      </c>
      <c r="E23345" s="51"/>
      <c r="F23345" s="114" t="str">
        <f>IF(INDEX(I.Facility.P4IDNumber,3333)="","",INDEX(I.Facility.P4IDNumber,3333))</f>
        <v/>
      </c>
      <c r="G23345" s="51"/>
      <c r="H23345" s="46" t="str">
        <f>IF(AND(I.Developer.P4=TRUE,I.Facility.P4FacilityCount&gt;=3333,F23345=""),"Incomplete","Complete")</f>
        <v>Complete</v>
      </c>
      <c r="I23345" s="48" t="s">
        <v>27710</v>
      </c>
    </row>
    <row r="23346" spans="2:9" ht="15" customHeight="1" x14ac:dyDescent="0.25">
      <c r="B23346" s="55" t="s">
        <v>283</v>
      </c>
      <c r="C23346" s="46">
        <v>3334</v>
      </c>
      <c r="D23346" s="69" t="s">
        <v>29420</v>
      </c>
      <c r="E23346" s="51"/>
      <c r="F23346" s="114" t="str">
        <f>IF(INDEX(I.Facility.P4IDNumber,3334)="","",INDEX(I.Facility.P4IDNumber,3334))</f>
        <v/>
      </c>
      <c r="G23346" s="51"/>
      <c r="H23346" s="46" t="str">
        <f>IF(AND(I.Developer.P4=TRUE,I.Facility.P4FacilityCount&gt;=3334,F23346=""),"Incomplete","Complete")</f>
        <v>Complete</v>
      </c>
      <c r="I23346" s="48" t="s">
        <v>27711</v>
      </c>
    </row>
    <row r="23347" spans="2:9" ht="15" customHeight="1" x14ac:dyDescent="0.25">
      <c r="B23347" s="55" t="s">
        <v>283</v>
      </c>
      <c r="C23347" s="46">
        <v>3335</v>
      </c>
      <c r="D23347" s="69" t="s">
        <v>29420</v>
      </c>
      <c r="E23347" s="51"/>
      <c r="F23347" s="114" t="str">
        <f>IF(INDEX(I.Facility.P4IDNumber,3335)="","",INDEX(I.Facility.P4IDNumber,3335))</f>
        <v/>
      </c>
      <c r="G23347" s="51"/>
      <c r="H23347" s="46" t="str">
        <f>IF(AND(I.Developer.P4=TRUE,I.Facility.P4FacilityCount&gt;=3335,F23347=""),"Incomplete","Complete")</f>
        <v>Complete</v>
      </c>
      <c r="I23347" s="48" t="s">
        <v>27712</v>
      </c>
    </row>
    <row r="23348" spans="2:9" ht="15" customHeight="1" x14ac:dyDescent="0.25">
      <c r="B23348" s="55" t="s">
        <v>283</v>
      </c>
      <c r="C23348" s="46">
        <v>3336</v>
      </c>
      <c r="D23348" s="69" t="s">
        <v>29420</v>
      </c>
      <c r="E23348" s="51"/>
      <c r="F23348" s="114" t="str">
        <f>IF(INDEX(I.Facility.P4IDNumber,3336)="","",INDEX(I.Facility.P4IDNumber,3336))</f>
        <v/>
      </c>
      <c r="G23348" s="51"/>
      <c r="H23348" s="46" t="str">
        <f>IF(AND(I.Developer.P4=TRUE,I.Facility.P4FacilityCount&gt;=3336,F23348=""),"Incomplete","Complete")</f>
        <v>Complete</v>
      </c>
      <c r="I23348" s="48" t="s">
        <v>27713</v>
      </c>
    </row>
    <row r="23349" spans="2:9" ht="15" customHeight="1" x14ac:dyDescent="0.25">
      <c r="B23349" s="55" t="s">
        <v>283</v>
      </c>
      <c r="C23349" s="46">
        <v>3337</v>
      </c>
      <c r="D23349" s="69" t="s">
        <v>29420</v>
      </c>
      <c r="E23349" s="51"/>
      <c r="F23349" s="114" t="str">
        <f>IF(INDEX(I.Facility.P4IDNumber,3337)="","",INDEX(I.Facility.P4IDNumber,3337))</f>
        <v/>
      </c>
      <c r="G23349" s="51"/>
      <c r="H23349" s="46" t="str">
        <f>IF(AND(I.Developer.P4=TRUE,I.Facility.P4FacilityCount&gt;=3337,F23349=""),"Incomplete","Complete")</f>
        <v>Complete</v>
      </c>
      <c r="I23349" s="48" t="s">
        <v>27714</v>
      </c>
    </row>
    <row r="23350" spans="2:9" ht="15" customHeight="1" x14ac:dyDescent="0.25">
      <c r="B23350" s="55" t="s">
        <v>283</v>
      </c>
      <c r="C23350" s="46">
        <v>3338</v>
      </c>
      <c r="D23350" s="69" t="s">
        <v>29420</v>
      </c>
      <c r="E23350" s="51"/>
      <c r="F23350" s="114" t="str">
        <f>IF(INDEX(I.Facility.P4IDNumber,3338)="","",INDEX(I.Facility.P4IDNumber,3338))</f>
        <v/>
      </c>
      <c r="G23350" s="51"/>
      <c r="H23350" s="46" t="str">
        <f>IF(AND(I.Developer.P4=TRUE,I.Facility.P4FacilityCount&gt;=3338,F23350=""),"Incomplete","Complete")</f>
        <v>Complete</v>
      </c>
      <c r="I23350" s="48" t="s">
        <v>27715</v>
      </c>
    </row>
    <row r="23351" spans="2:9" ht="15" customHeight="1" x14ac:dyDescent="0.25">
      <c r="B23351" s="55" t="s">
        <v>283</v>
      </c>
      <c r="C23351" s="46">
        <v>3339</v>
      </c>
      <c r="D23351" s="69" t="s">
        <v>29420</v>
      </c>
      <c r="E23351" s="51"/>
      <c r="F23351" s="114" t="str">
        <f>IF(INDEX(I.Facility.P4IDNumber,3339)="","",INDEX(I.Facility.P4IDNumber,3339))</f>
        <v/>
      </c>
      <c r="G23351" s="51"/>
      <c r="H23351" s="46" t="str">
        <f>IF(AND(I.Developer.P4=TRUE,I.Facility.P4FacilityCount&gt;=3339,F23351=""),"Incomplete","Complete")</f>
        <v>Complete</v>
      </c>
      <c r="I23351" s="48" t="s">
        <v>27716</v>
      </c>
    </row>
    <row r="23352" spans="2:9" ht="15" customHeight="1" x14ac:dyDescent="0.25">
      <c r="B23352" s="55" t="s">
        <v>283</v>
      </c>
      <c r="C23352" s="46">
        <v>3340</v>
      </c>
      <c r="D23352" s="69" t="s">
        <v>29420</v>
      </c>
      <c r="E23352" s="51"/>
      <c r="F23352" s="114" t="str">
        <f>IF(INDEX(I.Facility.P4IDNumber,3340)="","",INDEX(I.Facility.P4IDNumber,3340))</f>
        <v/>
      </c>
      <c r="G23352" s="51"/>
      <c r="H23352" s="46" t="str">
        <f>IF(AND(I.Developer.P4=TRUE,I.Facility.P4FacilityCount&gt;=3340,F23352=""),"Incomplete","Complete")</f>
        <v>Complete</v>
      </c>
      <c r="I23352" s="48" t="s">
        <v>27717</v>
      </c>
    </row>
    <row r="23353" spans="2:9" ht="15" customHeight="1" x14ac:dyDescent="0.25">
      <c r="B23353" s="55" t="s">
        <v>283</v>
      </c>
      <c r="C23353" s="46">
        <v>3341</v>
      </c>
      <c r="D23353" s="69" t="s">
        <v>29420</v>
      </c>
      <c r="E23353" s="51"/>
      <c r="F23353" s="114" t="str">
        <f>IF(INDEX(I.Facility.P4IDNumber,3341)="","",INDEX(I.Facility.P4IDNumber,3341))</f>
        <v/>
      </c>
      <c r="G23353" s="51"/>
      <c r="H23353" s="46" t="str">
        <f>IF(AND(I.Developer.P4=TRUE,I.Facility.P4FacilityCount&gt;=3341,F23353=""),"Incomplete","Complete")</f>
        <v>Complete</v>
      </c>
      <c r="I23353" s="48" t="s">
        <v>27718</v>
      </c>
    </row>
    <row r="23354" spans="2:9" ht="15" customHeight="1" x14ac:dyDescent="0.25">
      <c r="B23354" s="55" t="s">
        <v>283</v>
      </c>
      <c r="C23354" s="46">
        <v>3342</v>
      </c>
      <c r="D23354" s="69" t="s">
        <v>29420</v>
      </c>
      <c r="E23354" s="51"/>
      <c r="F23354" s="114" t="str">
        <f>IF(INDEX(I.Facility.P4IDNumber,3342)="","",INDEX(I.Facility.P4IDNumber,3342))</f>
        <v/>
      </c>
      <c r="G23354" s="51"/>
      <c r="H23354" s="46" t="str">
        <f>IF(AND(I.Developer.P4=TRUE,I.Facility.P4FacilityCount&gt;=3342,F23354=""),"Incomplete","Complete")</f>
        <v>Complete</v>
      </c>
      <c r="I23354" s="48" t="s">
        <v>27719</v>
      </c>
    </row>
    <row r="23355" spans="2:9" ht="15" customHeight="1" x14ac:dyDescent="0.25">
      <c r="B23355" s="55" t="s">
        <v>283</v>
      </c>
      <c r="C23355" s="46">
        <v>3343</v>
      </c>
      <c r="D23355" s="69" t="s">
        <v>29420</v>
      </c>
      <c r="E23355" s="51"/>
      <c r="F23355" s="114" t="str">
        <f>IF(INDEX(I.Facility.P4IDNumber,3343)="","",INDEX(I.Facility.P4IDNumber,3343))</f>
        <v/>
      </c>
      <c r="G23355" s="51"/>
      <c r="H23355" s="46" t="str">
        <f>IF(AND(I.Developer.P4=TRUE,I.Facility.P4FacilityCount&gt;=3343,F23355=""),"Incomplete","Complete")</f>
        <v>Complete</v>
      </c>
      <c r="I23355" s="48" t="s">
        <v>27720</v>
      </c>
    </row>
    <row r="23356" spans="2:9" ht="15" customHeight="1" x14ac:dyDescent="0.25">
      <c r="B23356" s="55" t="s">
        <v>283</v>
      </c>
      <c r="C23356" s="46">
        <v>3344</v>
      </c>
      <c r="D23356" s="69" t="s">
        <v>29420</v>
      </c>
      <c r="E23356" s="51"/>
      <c r="F23356" s="114" t="str">
        <f>IF(INDEX(I.Facility.P4IDNumber,3344)="","",INDEX(I.Facility.P4IDNumber,3344))</f>
        <v/>
      </c>
      <c r="G23356" s="51"/>
      <c r="H23356" s="46" t="str">
        <f>IF(AND(I.Developer.P4=TRUE,I.Facility.P4FacilityCount&gt;=3344,F23356=""),"Incomplete","Complete")</f>
        <v>Complete</v>
      </c>
      <c r="I23356" s="48" t="s">
        <v>27721</v>
      </c>
    </row>
    <row r="23357" spans="2:9" ht="15" customHeight="1" x14ac:dyDescent="0.25">
      <c r="B23357" s="55" t="s">
        <v>283</v>
      </c>
      <c r="C23357" s="46">
        <v>3345</v>
      </c>
      <c r="D23357" s="69" t="s">
        <v>29420</v>
      </c>
      <c r="E23357" s="51"/>
      <c r="F23357" s="114" t="str">
        <f>IF(INDEX(I.Facility.P4IDNumber,3345)="","",INDEX(I.Facility.P4IDNumber,3345))</f>
        <v/>
      </c>
      <c r="G23357" s="51"/>
      <c r="H23357" s="46" t="str">
        <f>IF(AND(I.Developer.P4=TRUE,I.Facility.P4FacilityCount&gt;=3345,F23357=""),"Incomplete","Complete")</f>
        <v>Complete</v>
      </c>
      <c r="I23357" s="48" t="s">
        <v>27722</v>
      </c>
    </row>
    <row r="23358" spans="2:9" ht="15" customHeight="1" x14ac:dyDescent="0.25">
      <c r="B23358" s="55" t="s">
        <v>283</v>
      </c>
      <c r="C23358" s="46">
        <v>3346</v>
      </c>
      <c r="D23358" s="69" t="s">
        <v>29420</v>
      </c>
      <c r="E23358" s="51"/>
      <c r="F23358" s="114" t="str">
        <f>IF(INDEX(I.Facility.P4IDNumber,3346)="","",INDEX(I.Facility.P4IDNumber,3346))</f>
        <v/>
      </c>
      <c r="G23358" s="51"/>
      <c r="H23358" s="46" t="str">
        <f>IF(AND(I.Developer.P4=TRUE,I.Facility.P4FacilityCount&gt;=3346,F23358=""),"Incomplete","Complete")</f>
        <v>Complete</v>
      </c>
      <c r="I23358" s="48" t="s">
        <v>27723</v>
      </c>
    </row>
    <row r="23359" spans="2:9" ht="15" customHeight="1" x14ac:dyDescent="0.25">
      <c r="B23359" s="55" t="s">
        <v>283</v>
      </c>
      <c r="C23359" s="46">
        <v>3347</v>
      </c>
      <c r="D23359" s="69" t="s">
        <v>29420</v>
      </c>
      <c r="E23359" s="51"/>
      <c r="F23359" s="114" t="str">
        <f>IF(INDEX(I.Facility.P4IDNumber,3347)="","",INDEX(I.Facility.P4IDNumber,3347))</f>
        <v/>
      </c>
      <c r="G23359" s="51"/>
      <c r="H23359" s="46" t="str">
        <f>IF(AND(I.Developer.P4=TRUE,I.Facility.P4FacilityCount&gt;=3347,F23359=""),"Incomplete","Complete")</f>
        <v>Complete</v>
      </c>
      <c r="I23359" s="48" t="s">
        <v>27724</v>
      </c>
    </row>
    <row r="23360" spans="2:9" ht="15" customHeight="1" x14ac:dyDescent="0.25">
      <c r="B23360" s="55" t="s">
        <v>283</v>
      </c>
      <c r="C23360" s="46">
        <v>3348</v>
      </c>
      <c r="D23360" s="69" t="s">
        <v>29420</v>
      </c>
      <c r="E23360" s="51"/>
      <c r="F23360" s="114" t="str">
        <f>IF(INDEX(I.Facility.P4IDNumber,3348)="","",INDEX(I.Facility.P4IDNumber,3348))</f>
        <v/>
      </c>
      <c r="G23360" s="51"/>
      <c r="H23360" s="46" t="str">
        <f>IF(AND(I.Developer.P4=TRUE,I.Facility.P4FacilityCount&gt;=3348,F23360=""),"Incomplete","Complete")</f>
        <v>Complete</v>
      </c>
      <c r="I23360" s="48" t="s">
        <v>27725</v>
      </c>
    </row>
    <row r="23361" spans="2:9" ht="15" customHeight="1" x14ac:dyDescent="0.25">
      <c r="B23361" s="55" t="s">
        <v>283</v>
      </c>
      <c r="C23361" s="46">
        <v>3349</v>
      </c>
      <c r="D23361" s="69" t="s">
        <v>29420</v>
      </c>
      <c r="E23361" s="51"/>
      <c r="F23361" s="114" t="str">
        <f>IF(INDEX(I.Facility.P4IDNumber,3349)="","",INDEX(I.Facility.P4IDNumber,3349))</f>
        <v/>
      </c>
      <c r="G23361" s="51"/>
      <c r="H23361" s="46" t="str">
        <f>IF(AND(I.Developer.P4=TRUE,I.Facility.P4FacilityCount&gt;=3349,F23361=""),"Incomplete","Complete")</f>
        <v>Complete</v>
      </c>
      <c r="I23361" s="48" t="s">
        <v>27726</v>
      </c>
    </row>
    <row r="23362" spans="2:9" ht="15" customHeight="1" x14ac:dyDescent="0.25">
      <c r="B23362" s="55" t="s">
        <v>283</v>
      </c>
      <c r="C23362" s="46">
        <v>3350</v>
      </c>
      <c r="D23362" s="69" t="s">
        <v>29420</v>
      </c>
      <c r="E23362" s="51"/>
      <c r="F23362" s="114" t="str">
        <f>IF(INDEX(I.Facility.P4IDNumber,3350)="","",INDEX(I.Facility.P4IDNumber,3350))</f>
        <v/>
      </c>
      <c r="G23362" s="51"/>
      <c r="H23362" s="46" t="str">
        <f>IF(AND(I.Developer.P4=TRUE,I.Facility.P4FacilityCount&gt;=3350,F23362=""),"Incomplete","Complete")</f>
        <v>Complete</v>
      </c>
      <c r="I23362" s="48" t="s">
        <v>27727</v>
      </c>
    </row>
    <row r="23363" spans="2:9" ht="15" customHeight="1" x14ac:dyDescent="0.25">
      <c r="B23363" s="55" t="s">
        <v>283</v>
      </c>
      <c r="C23363" s="46">
        <v>3351</v>
      </c>
      <c r="D23363" s="69" t="s">
        <v>29420</v>
      </c>
      <c r="E23363" s="51"/>
      <c r="F23363" s="114" t="str">
        <f>IF(INDEX(I.Facility.P4IDNumber,3351)="","",INDEX(I.Facility.P4IDNumber,3351))</f>
        <v/>
      </c>
      <c r="G23363" s="51"/>
      <c r="H23363" s="46" t="str">
        <f>IF(AND(I.Developer.P4=TRUE,I.Facility.P4FacilityCount&gt;=3351,F23363=""),"Incomplete","Complete")</f>
        <v>Complete</v>
      </c>
      <c r="I23363" s="48" t="s">
        <v>27728</v>
      </c>
    </row>
    <row r="23364" spans="2:9" ht="15" customHeight="1" x14ac:dyDescent="0.25">
      <c r="B23364" s="55" t="s">
        <v>283</v>
      </c>
      <c r="C23364" s="46">
        <v>3352</v>
      </c>
      <c r="D23364" s="69" t="s">
        <v>29420</v>
      </c>
      <c r="E23364" s="51"/>
      <c r="F23364" s="114" t="str">
        <f>IF(INDEX(I.Facility.P4IDNumber,3352)="","",INDEX(I.Facility.P4IDNumber,3352))</f>
        <v/>
      </c>
      <c r="G23364" s="51"/>
      <c r="H23364" s="46" t="str">
        <f>IF(AND(I.Developer.P4=TRUE,I.Facility.P4FacilityCount&gt;=3352,F23364=""),"Incomplete","Complete")</f>
        <v>Complete</v>
      </c>
      <c r="I23364" s="48" t="s">
        <v>27729</v>
      </c>
    </row>
    <row r="23365" spans="2:9" ht="15" customHeight="1" x14ac:dyDescent="0.25">
      <c r="B23365" s="55" t="s">
        <v>283</v>
      </c>
      <c r="C23365" s="46">
        <v>3353</v>
      </c>
      <c r="D23365" s="69" t="s">
        <v>29420</v>
      </c>
      <c r="E23365" s="51"/>
      <c r="F23365" s="114" t="str">
        <f>IF(INDEX(I.Facility.P4IDNumber,3353)="","",INDEX(I.Facility.P4IDNumber,3353))</f>
        <v/>
      </c>
      <c r="G23365" s="51"/>
      <c r="H23365" s="46" t="str">
        <f>IF(AND(I.Developer.P4=TRUE,I.Facility.P4FacilityCount&gt;=3353,F23365=""),"Incomplete","Complete")</f>
        <v>Complete</v>
      </c>
      <c r="I23365" s="48" t="s">
        <v>27730</v>
      </c>
    </row>
    <row r="23366" spans="2:9" ht="15" customHeight="1" x14ac:dyDescent="0.25">
      <c r="B23366" s="55" t="s">
        <v>283</v>
      </c>
      <c r="C23366" s="46">
        <v>3354</v>
      </c>
      <c r="D23366" s="69" t="s">
        <v>29420</v>
      </c>
      <c r="E23366" s="51"/>
      <c r="F23366" s="114" t="str">
        <f>IF(INDEX(I.Facility.P4IDNumber,3354)="","",INDEX(I.Facility.P4IDNumber,3354))</f>
        <v/>
      </c>
      <c r="G23366" s="51"/>
      <c r="H23366" s="46" t="str">
        <f>IF(AND(I.Developer.P4=TRUE,I.Facility.P4FacilityCount&gt;=3354,F23366=""),"Incomplete","Complete")</f>
        <v>Complete</v>
      </c>
      <c r="I23366" s="48" t="s">
        <v>27731</v>
      </c>
    </row>
    <row r="23367" spans="2:9" ht="15" customHeight="1" x14ac:dyDescent="0.25">
      <c r="B23367" s="55" t="s">
        <v>283</v>
      </c>
      <c r="C23367" s="46">
        <v>3355</v>
      </c>
      <c r="D23367" s="69" t="s">
        <v>29420</v>
      </c>
      <c r="E23367" s="51"/>
      <c r="F23367" s="114" t="str">
        <f>IF(INDEX(I.Facility.P4IDNumber,3355)="","",INDEX(I.Facility.P4IDNumber,3355))</f>
        <v/>
      </c>
      <c r="G23367" s="51"/>
      <c r="H23367" s="46" t="str">
        <f>IF(AND(I.Developer.P4=TRUE,I.Facility.P4FacilityCount&gt;=3355,F23367=""),"Incomplete","Complete")</f>
        <v>Complete</v>
      </c>
      <c r="I23367" s="48" t="s">
        <v>27732</v>
      </c>
    </row>
    <row r="23368" spans="2:9" ht="15" customHeight="1" x14ac:dyDescent="0.25">
      <c r="B23368" s="55" t="s">
        <v>283</v>
      </c>
      <c r="C23368" s="46">
        <v>3356</v>
      </c>
      <c r="D23368" s="69" t="s">
        <v>29420</v>
      </c>
      <c r="E23368" s="51"/>
      <c r="F23368" s="114" t="str">
        <f>IF(INDEX(I.Facility.P4IDNumber,3356)="","",INDEX(I.Facility.P4IDNumber,3356))</f>
        <v/>
      </c>
      <c r="G23368" s="51"/>
      <c r="H23368" s="46" t="str">
        <f>IF(AND(I.Developer.P4=TRUE,I.Facility.P4FacilityCount&gt;=3356,F23368=""),"Incomplete","Complete")</f>
        <v>Complete</v>
      </c>
      <c r="I23368" s="48" t="s">
        <v>27733</v>
      </c>
    </row>
    <row r="23369" spans="2:9" ht="15" customHeight="1" x14ac:dyDescent="0.25">
      <c r="B23369" s="55" t="s">
        <v>283</v>
      </c>
      <c r="C23369" s="46">
        <v>3357</v>
      </c>
      <c r="D23369" s="69" t="s">
        <v>29420</v>
      </c>
      <c r="E23369" s="51"/>
      <c r="F23369" s="114" t="str">
        <f>IF(INDEX(I.Facility.P4IDNumber,3357)="","",INDEX(I.Facility.P4IDNumber,3357))</f>
        <v/>
      </c>
      <c r="G23369" s="51"/>
      <c r="H23369" s="46" t="str">
        <f>IF(AND(I.Developer.P4=TRUE,I.Facility.P4FacilityCount&gt;=3357,F23369=""),"Incomplete","Complete")</f>
        <v>Complete</v>
      </c>
      <c r="I23369" s="48" t="s">
        <v>27734</v>
      </c>
    </row>
    <row r="23370" spans="2:9" ht="15" customHeight="1" x14ac:dyDescent="0.25">
      <c r="B23370" s="55" t="s">
        <v>283</v>
      </c>
      <c r="C23370" s="46">
        <v>3358</v>
      </c>
      <c r="D23370" s="69" t="s">
        <v>29420</v>
      </c>
      <c r="E23370" s="51"/>
      <c r="F23370" s="114" t="str">
        <f>IF(INDEX(I.Facility.P4IDNumber,3358)="","",INDEX(I.Facility.P4IDNumber,3358))</f>
        <v/>
      </c>
      <c r="G23370" s="51"/>
      <c r="H23370" s="46" t="str">
        <f>IF(AND(I.Developer.P4=TRUE,I.Facility.P4FacilityCount&gt;=3358,F23370=""),"Incomplete","Complete")</f>
        <v>Complete</v>
      </c>
      <c r="I23370" s="48" t="s">
        <v>27735</v>
      </c>
    </row>
    <row r="23371" spans="2:9" ht="15" customHeight="1" x14ac:dyDescent="0.25">
      <c r="B23371" s="55" t="s">
        <v>283</v>
      </c>
      <c r="C23371" s="46">
        <v>3359</v>
      </c>
      <c r="D23371" s="69" t="s">
        <v>29420</v>
      </c>
      <c r="E23371" s="51"/>
      <c r="F23371" s="114" t="str">
        <f>IF(INDEX(I.Facility.P4IDNumber,3359)="","",INDEX(I.Facility.P4IDNumber,3359))</f>
        <v/>
      </c>
      <c r="G23371" s="51"/>
      <c r="H23371" s="46" t="str">
        <f>IF(AND(I.Developer.P4=TRUE,I.Facility.P4FacilityCount&gt;=3359,F23371=""),"Incomplete","Complete")</f>
        <v>Complete</v>
      </c>
      <c r="I23371" s="48" t="s">
        <v>27736</v>
      </c>
    </row>
    <row r="23372" spans="2:9" ht="15" customHeight="1" x14ac:dyDescent="0.25">
      <c r="B23372" s="55" t="s">
        <v>283</v>
      </c>
      <c r="C23372" s="46">
        <v>3360</v>
      </c>
      <c r="D23372" s="69" t="s">
        <v>29420</v>
      </c>
      <c r="E23372" s="51"/>
      <c r="F23372" s="114" t="str">
        <f>IF(INDEX(I.Facility.P4IDNumber,3360)="","",INDEX(I.Facility.P4IDNumber,3360))</f>
        <v/>
      </c>
      <c r="G23372" s="51"/>
      <c r="H23372" s="46" t="str">
        <f>IF(AND(I.Developer.P4=TRUE,I.Facility.P4FacilityCount&gt;=3360,F23372=""),"Incomplete","Complete")</f>
        <v>Complete</v>
      </c>
      <c r="I23372" s="48" t="s">
        <v>27737</v>
      </c>
    </row>
    <row r="23373" spans="2:9" ht="15" customHeight="1" x14ac:dyDescent="0.25">
      <c r="B23373" s="55" t="s">
        <v>283</v>
      </c>
      <c r="C23373" s="46">
        <v>3361</v>
      </c>
      <c r="D23373" s="69" t="s">
        <v>29420</v>
      </c>
      <c r="E23373" s="51"/>
      <c r="F23373" s="114" t="str">
        <f>IF(INDEX(I.Facility.P4IDNumber,3361)="","",INDEX(I.Facility.P4IDNumber,3361))</f>
        <v/>
      </c>
      <c r="G23373" s="51"/>
      <c r="H23373" s="46" t="str">
        <f>IF(AND(I.Developer.P4=TRUE,I.Facility.P4FacilityCount&gt;=3361,F23373=""),"Incomplete","Complete")</f>
        <v>Complete</v>
      </c>
      <c r="I23373" s="48" t="s">
        <v>27738</v>
      </c>
    </row>
    <row r="23374" spans="2:9" ht="15" customHeight="1" x14ac:dyDescent="0.25">
      <c r="B23374" s="55" t="s">
        <v>283</v>
      </c>
      <c r="C23374" s="46">
        <v>3362</v>
      </c>
      <c r="D23374" s="69" t="s">
        <v>29420</v>
      </c>
      <c r="E23374" s="51"/>
      <c r="F23374" s="114" t="str">
        <f>IF(INDEX(I.Facility.P4IDNumber,3362)="","",INDEX(I.Facility.P4IDNumber,3362))</f>
        <v/>
      </c>
      <c r="G23374" s="51"/>
      <c r="H23374" s="46" t="str">
        <f>IF(AND(I.Developer.P4=TRUE,I.Facility.P4FacilityCount&gt;=3362,F23374=""),"Incomplete","Complete")</f>
        <v>Complete</v>
      </c>
      <c r="I23374" s="48" t="s">
        <v>27739</v>
      </c>
    </row>
    <row r="23375" spans="2:9" ht="15" customHeight="1" x14ac:dyDescent="0.25">
      <c r="B23375" s="55" t="s">
        <v>283</v>
      </c>
      <c r="C23375" s="46">
        <v>3363</v>
      </c>
      <c r="D23375" s="69" t="s">
        <v>29420</v>
      </c>
      <c r="E23375" s="51"/>
      <c r="F23375" s="114" t="str">
        <f>IF(INDEX(I.Facility.P4IDNumber,3363)="","",INDEX(I.Facility.P4IDNumber,3363))</f>
        <v/>
      </c>
      <c r="G23375" s="51"/>
      <c r="H23375" s="46" t="str">
        <f>IF(AND(I.Developer.P4=TRUE,I.Facility.P4FacilityCount&gt;=3363,F23375=""),"Incomplete","Complete")</f>
        <v>Complete</v>
      </c>
      <c r="I23375" s="48" t="s">
        <v>27740</v>
      </c>
    </row>
    <row r="23376" spans="2:9" ht="15" customHeight="1" x14ac:dyDescent="0.25">
      <c r="B23376" s="55" t="s">
        <v>283</v>
      </c>
      <c r="C23376" s="46">
        <v>3364</v>
      </c>
      <c r="D23376" s="69" t="s">
        <v>29420</v>
      </c>
      <c r="E23376" s="51"/>
      <c r="F23376" s="114" t="str">
        <f>IF(INDEX(I.Facility.P4IDNumber,3364)="","",INDEX(I.Facility.P4IDNumber,3364))</f>
        <v/>
      </c>
      <c r="G23376" s="51"/>
      <c r="H23376" s="46" t="str">
        <f>IF(AND(I.Developer.P4=TRUE,I.Facility.P4FacilityCount&gt;=3364,F23376=""),"Incomplete","Complete")</f>
        <v>Complete</v>
      </c>
      <c r="I23376" s="48" t="s">
        <v>27741</v>
      </c>
    </row>
    <row r="23377" spans="2:9" ht="15" customHeight="1" x14ac:dyDescent="0.25">
      <c r="B23377" s="55" t="s">
        <v>283</v>
      </c>
      <c r="C23377" s="46">
        <v>3365</v>
      </c>
      <c r="D23377" s="69" t="s">
        <v>29420</v>
      </c>
      <c r="E23377" s="51"/>
      <c r="F23377" s="114" t="str">
        <f>IF(INDEX(I.Facility.P4IDNumber,3365)="","",INDEX(I.Facility.P4IDNumber,3365))</f>
        <v/>
      </c>
      <c r="G23377" s="51"/>
      <c r="H23377" s="46" t="str">
        <f>IF(AND(I.Developer.P4=TRUE,I.Facility.P4FacilityCount&gt;=3365,F23377=""),"Incomplete","Complete")</f>
        <v>Complete</v>
      </c>
      <c r="I23377" s="48" t="s">
        <v>27742</v>
      </c>
    </row>
    <row r="23378" spans="2:9" ht="15" customHeight="1" x14ac:dyDescent="0.25">
      <c r="B23378" s="55" t="s">
        <v>283</v>
      </c>
      <c r="C23378" s="46">
        <v>3366</v>
      </c>
      <c r="D23378" s="69" t="s">
        <v>29420</v>
      </c>
      <c r="E23378" s="51"/>
      <c r="F23378" s="114" t="str">
        <f>IF(INDEX(I.Facility.P4IDNumber,3366)="","",INDEX(I.Facility.P4IDNumber,3366))</f>
        <v/>
      </c>
      <c r="G23378" s="51"/>
      <c r="H23378" s="46" t="str">
        <f>IF(AND(I.Developer.P4=TRUE,I.Facility.P4FacilityCount&gt;=3366,F23378=""),"Incomplete","Complete")</f>
        <v>Complete</v>
      </c>
      <c r="I23378" s="48" t="s">
        <v>27743</v>
      </c>
    </row>
    <row r="23379" spans="2:9" ht="15" customHeight="1" x14ac:dyDescent="0.25">
      <c r="B23379" s="55" t="s">
        <v>283</v>
      </c>
      <c r="C23379" s="46">
        <v>3367</v>
      </c>
      <c r="D23379" s="69" t="s">
        <v>29420</v>
      </c>
      <c r="E23379" s="51"/>
      <c r="F23379" s="114" t="str">
        <f>IF(INDEX(I.Facility.P4IDNumber,3367)="","",INDEX(I.Facility.P4IDNumber,3367))</f>
        <v/>
      </c>
      <c r="G23379" s="51"/>
      <c r="H23379" s="46" t="str">
        <f>IF(AND(I.Developer.P4=TRUE,I.Facility.P4FacilityCount&gt;=3367,F23379=""),"Incomplete","Complete")</f>
        <v>Complete</v>
      </c>
      <c r="I23379" s="48" t="s">
        <v>27744</v>
      </c>
    </row>
    <row r="23380" spans="2:9" ht="15" customHeight="1" x14ac:dyDescent="0.25">
      <c r="B23380" s="55" t="s">
        <v>283</v>
      </c>
      <c r="C23380" s="46">
        <v>3368</v>
      </c>
      <c r="D23380" s="69" t="s">
        <v>29420</v>
      </c>
      <c r="E23380" s="51"/>
      <c r="F23380" s="114" t="str">
        <f>IF(INDEX(I.Facility.P4IDNumber,3368)="","",INDEX(I.Facility.P4IDNumber,3368))</f>
        <v/>
      </c>
      <c r="G23380" s="51"/>
      <c r="H23380" s="46" t="str">
        <f>IF(AND(I.Developer.P4=TRUE,I.Facility.P4FacilityCount&gt;=3368,F23380=""),"Incomplete","Complete")</f>
        <v>Complete</v>
      </c>
      <c r="I23380" s="48" t="s">
        <v>27745</v>
      </c>
    </row>
    <row r="23381" spans="2:9" ht="15" customHeight="1" x14ac:dyDescent="0.25">
      <c r="B23381" s="55" t="s">
        <v>283</v>
      </c>
      <c r="C23381" s="46">
        <v>3369</v>
      </c>
      <c r="D23381" s="69" t="s">
        <v>29420</v>
      </c>
      <c r="E23381" s="51"/>
      <c r="F23381" s="114" t="str">
        <f>IF(INDEX(I.Facility.P4IDNumber,3369)="","",INDEX(I.Facility.P4IDNumber,3369))</f>
        <v/>
      </c>
      <c r="G23381" s="51"/>
      <c r="H23381" s="46" t="str">
        <f>IF(AND(I.Developer.P4=TRUE,I.Facility.P4FacilityCount&gt;=3369,F23381=""),"Incomplete","Complete")</f>
        <v>Complete</v>
      </c>
      <c r="I23381" s="48" t="s">
        <v>27746</v>
      </c>
    </row>
    <row r="23382" spans="2:9" ht="15" customHeight="1" x14ac:dyDescent="0.25">
      <c r="B23382" s="55" t="s">
        <v>283</v>
      </c>
      <c r="C23382" s="46">
        <v>3370</v>
      </c>
      <c r="D23382" s="69" t="s">
        <v>29420</v>
      </c>
      <c r="E23382" s="51"/>
      <c r="F23382" s="114" t="str">
        <f>IF(INDEX(I.Facility.P4IDNumber,3370)="","",INDEX(I.Facility.P4IDNumber,3370))</f>
        <v/>
      </c>
      <c r="G23382" s="51"/>
      <c r="H23382" s="46" t="str">
        <f>IF(AND(I.Developer.P4=TRUE,I.Facility.P4FacilityCount&gt;=3370,F23382=""),"Incomplete","Complete")</f>
        <v>Complete</v>
      </c>
      <c r="I23382" s="48" t="s">
        <v>27747</v>
      </c>
    </row>
    <row r="23383" spans="2:9" ht="15" customHeight="1" x14ac:dyDescent="0.25">
      <c r="B23383" s="55" t="s">
        <v>283</v>
      </c>
      <c r="C23383" s="46">
        <v>3371</v>
      </c>
      <c r="D23383" s="69" t="s">
        <v>29420</v>
      </c>
      <c r="E23383" s="51"/>
      <c r="F23383" s="114" t="str">
        <f>IF(INDEX(I.Facility.P4IDNumber,3371)="","",INDEX(I.Facility.P4IDNumber,3371))</f>
        <v/>
      </c>
      <c r="G23383" s="51"/>
      <c r="H23383" s="46" t="str">
        <f>IF(AND(I.Developer.P4=TRUE,I.Facility.P4FacilityCount&gt;=3371,F23383=""),"Incomplete","Complete")</f>
        <v>Complete</v>
      </c>
      <c r="I23383" s="48" t="s">
        <v>27748</v>
      </c>
    </row>
    <row r="23384" spans="2:9" ht="15" customHeight="1" x14ac:dyDescent="0.25">
      <c r="B23384" s="55" t="s">
        <v>283</v>
      </c>
      <c r="C23384" s="46">
        <v>3372</v>
      </c>
      <c r="D23384" s="69" t="s">
        <v>29420</v>
      </c>
      <c r="E23384" s="51"/>
      <c r="F23384" s="114" t="str">
        <f>IF(INDEX(I.Facility.P4IDNumber,3372)="","",INDEX(I.Facility.P4IDNumber,3372))</f>
        <v/>
      </c>
      <c r="G23384" s="51"/>
      <c r="H23384" s="46" t="str">
        <f>IF(AND(I.Developer.P4=TRUE,I.Facility.P4FacilityCount&gt;=3372,F23384=""),"Incomplete","Complete")</f>
        <v>Complete</v>
      </c>
      <c r="I23384" s="48" t="s">
        <v>27749</v>
      </c>
    </row>
    <row r="23385" spans="2:9" ht="15" customHeight="1" x14ac:dyDescent="0.25">
      <c r="B23385" s="55" t="s">
        <v>283</v>
      </c>
      <c r="C23385" s="46">
        <v>3373</v>
      </c>
      <c r="D23385" s="69" t="s">
        <v>29420</v>
      </c>
      <c r="E23385" s="51"/>
      <c r="F23385" s="114" t="str">
        <f>IF(INDEX(I.Facility.P4IDNumber,3373)="","",INDEX(I.Facility.P4IDNumber,3373))</f>
        <v/>
      </c>
      <c r="G23385" s="51"/>
      <c r="H23385" s="46" t="str">
        <f>IF(AND(I.Developer.P4=TRUE,I.Facility.P4FacilityCount&gt;=3373,F23385=""),"Incomplete","Complete")</f>
        <v>Complete</v>
      </c>
      <c r="I23385" s="48" t="s">
        <v>27750</v>
      </c>
    </row>
    <row r="23386" spans="2:9" ht="15" customHeight="1" x14ac:dyDescent="0.25">
      <c r="B23386" s="55" t="s">
        <v>283</v>
      </c>
      <c r="C23386" s="46">
        <v>3374</v>
      </c>
      <c r="D23386" s="69" t="s">
        <v>29420</v>
      </c>
      <c r="E23386" s="51"/>
      <c r="F23386" s="114" t="str">
        <f>IF(INDEX(I.Facility.P4IDNumber,3374)="","",INDEX(I.Facility.P4IDNumber,3374))</f>
        <v/>
      </c>
      <c r="G23386" s="51"/>
      <c r="H23386" s="46" t="str">
        <f>IF(AND(I.Developer.P4=TRUE,I.Facility.P4FacilityCount&gt;=3374,F23386=""),"Incomplete","Complete")</f>
        <v>Complete</v>
      </c>
      <c r="I23386" s="48" t="s">
        <v>27751</v>
      </c>
    </row>
    <row r="23387" spans="2:9" ht="15" customHeight="1" x14ac:dyDescent="0.25">
      <c r="B23387" s="55" t="s">
        <v>283</v>
      </c>
      <c r="C23387" s="46">
        <v>3375</v>
      </c>
      <c r="D23387" s="69" t="s">
        <v>29420</v>
      </c>
      <c r="E23387" s="51"/>
      <c r="F23387" s="114" t="str">
        <f>IF(INDEX(I.Facility.P4IDNumber,3375)="","",INDEX(I.Facility.P4IDNumber,3375))</f>
        <v/>
      </c>
      <c r="G23387" s="51"/>
      <c r="H23387" s="46" t="str">
        <f>IF(AND(I.Developer.P4=TRUE,I.Facility.P4FacilityCount&gt;=3375,F23387=""),"Incomplete","Complete")</f>
        <v>Complete</v>
      </c>
      <c r="I23387" s="48" t="s">
        <v>27752</v>
      </c>
    </row>
    <row r="23388" spans="2:9" ht="15" customHeight="1" x14ac:dyDescent="0.25">
      <c r="B23388" s="55" t="s">
        <v>283</v>
      </c>
      <c r="C23388" s="46">
        <v>3376</v>
      </c>
      <c r="D23388" s="69" t="s">
        <v>29420</v>
      </c>
      <c r="E23388" s="51"/>
      <c r="F23388" s="114" t="str">
        <f>IF(INDEX(I.Facility.P4IDNumber,3376)="","",INDEX(I.Facility.P4IDNumber,3376))</f>
        <v/>
      </c>
      <c r="G23388" s="51"/>
      <c r="H23388" s="46" t="str">
        <f>IF(AND(I.Developer.P4=TRUE,I.Facility.P4FacilityCount&gt;=3376,F23388=""),"Incomplete","Complete")</f>
        <v>Complete</v>
      </c>
      <c r="I23388" s="48" t="s">
        <v>27753</v>
      </c>
    </row>
    <row r="23389" spans="2:9" ht="15" customHeight="1" x14ac:dyDescent="0.25">
      <c r="B23389" s="55" t="s">
        <v>283</v>
      </c>
      <c r="C23389" s="46">
        <v>3377</v>
      </c>
      <c r="D23389" s="69" t="s">
        <v>29420</v>
      </c>
      <c r="E23389" s="51"/>
      <c r="F23389" s="114" t="str">
        <f>IF(INDEX(I.Facility.P4IDNumber,3377)="","",INDEX(I.Facility.P4IDNumber,3377))</f>
        <v/>
      </c>
      <c r="G23389" s="51"/>
      <c r="H23389" s="46" t="str">
        <f>IF(AND(I.Developer.P4=TRUE,I.Facility.P4FacilityCount&gt;=3377,F23389=""),"Incomplete","Complete")</f>
        <v>Complete</v>
      </c>
      <c r="I23389" s="48" t="s">
        <v>27754</v>
      </c>
    </row>
    <row r="23390" spans="2:9" ht="15" customHeight="1" x14ac:dyDescent="0.25">
      <c r="B23390" s="55" t="s">
        <v>283</v>
      </c>
      <c r="C23390" s="46">
        <v>3378</v>
      </c>
      <c r="D23390" s="69" t="s">
        <v>29420</v>
      </c>
      <c r="E23390" s="51"/>
      <c r="F23390" s="114" t="str">
        <f>IF(INDEX(I.Facility.P4IDNumber,3378)="","",INDEX(I.Facility.P4IDNumber,3378))</f>
        <v/>
      </c>
      <c r="G23390" s="51"/>
      <c r="H23390" s="46" t="str">
        <f>IF(AND(I.Developer.P4=TRUE,I.Facility.P4FacilityCount&gt;=3378,F23390=""),"Incomplete","Complete")</f>
        <v>Complete</v>
      </c>
      <c r="I23390" s="48" t="s">
        <v>27755</v>
      </c>
    </row>
    <row r="23391" spans="2:9" ht="15" customHeight="1" x14ac:dyDescent="0.25">
      <c r="B23391" s="55" t="s">
        <v>283</v>
      </c>
      <c r="C23391" s="46">
        <v>3379</v>
      </c>
      <c r="D23391" s="69" t="s">
        <v>29420</v>
      </c>
      <c r="E23391" s="51"/>
      <c r="F23391" s="114" t="str">
        <f>IF(INDEX(I.Facility.P4IDNumber,3379)="","",INDEX(I.Facility.P4IDNumber,3379))</f>
        <v/>
      </c>
      <c r="G23391" s="51"/>
      <c r="H23391" s="46" t="str">
        <f>IF(AND(I.Developer.P4=TRUE,I.Facility.P4FacilityCount&gt;=3379,F23391=""),"Incomplete","Complete")</f>
        <v>Complete</v>
      </c>
      <c r="I23391" s="48" t="s">
        <v>27756</v>
      </c>
    </row>
    <row r="23392" spans="2:9" ht="15" customHeight="1" x14ac:dyDescent="0.25">
      <c r="B23392" s="55" t="s">
        <v>283</v>
      </c>
      <c r="C23392" s="46">
        <v>3380</v>
      </c>
      <c r="D23392" s="69" t="s">
        <v>29420</v>
      </c>
      <c r="E23392" s="51"/>
      <c r="F23392" s="114" t="str">
        <f>IF(INDEX(I.Facility.P4IDNumber,3380)="","",INDEX(I.Facility.P4IDNumber,3380))</f>
        <v/>
      </c>
      <c r="G23392" s="51"/>
      <c r="H23392" s="46" t="str">
        <f>IF(AND(I.Developer.P4=TRUE,I.Facility.P4FacilityCount&gt;=3380,F23392=""),"Incomplete","Complete")</f>
        <v>Complete</v>
      </c>
      <c r="I23392" s="48" t="s">
        <v>27757</v>
      </c>
    </row>
    <row r="23393" spans="2:9" ht="15" customHeight="1" x14ac:dyDescent="0.25">
      <c r="B23393" s="55" t="s">
        <v>283</v>
      </c>
      <c r="C23393" s="46">
        <v>3381</v>
      </c>
      <c r="D23393" s="69" t="s">
        <v>29420</v>
      </c>
      <c r="E23393" s="51"/>
      <c r="F23393" s="114" t="str">
        <f>IF(INDEX(I.Facility.P4IDNumber,3381)="","",INDEX(I.Facility.P4IDNumber,3381))</f>
        <v/>
      </c>
      <c r="G23393" s="51"/>
      <c r="H23393" s="46" t="str">
        <f>IF(AND(I.Developer.P4=TRUE,I.Facility.P4FacilityCount&gt;=3381,F23393=""),"Incomplete","Complete")</f>
        <v>Complete</v>
      </c>
      <c r="I23393" s="48" t="s">
        <v>27758</v>
      </c>
    </row>
    <row r="23394" spans="2:9" ht="15" customHeight="1" x14ac:dyDescent="0.25">
      <c r="B23394" s="55" t="s">
        <v>283</v>
      </c>
      <c r="C23394" s="46">
        <v>3382</v>
      </c>
      <c r="D23394" s="69" t="s">
        <v>29420</v>
      </c>
      <c r="E23394" s="51"/>
      <c r="F23394" s="114" t="str">
        <f>IF(INDEX(I.Facility.P4IDNumber,3382)="","",INDEX(I.Facility.P4IDNumber,3382))</f>
        <v/>
      </c>
      <c r="G23394" s="51"/>
      <c r="H23394" s="46" t="str">
        <f>IF(AND(I.Developer.P4=TRUE,I.Facility.P4FacilityCount&gt;=3382,F23394=""),"Incomplete","Complete")</f>
        <v>Complete</v>
      </c>
      <c r="I23394" s="48" t="s">
        <v>27759</v>
      </c>
    </row>
    <row r="23395" spans="2:9" ht="15" customHeight="1" x14ac:dyDescent="0.25">
      <c r="B23395" s="55" t="s">
        <v>283</v>
      </c>
      <c r="C23395" s="46">
        <v>3383</v>
      </c>
      <c r="D23395" s="69" t="s">
        <v>29420</v>
      </c>
      <c r="E23395" s="51"/>
      <c r="F23395" s="114" t="str">
        <f>IF(INDEX(I.Facility.P4IDNumber,3383)="","",INDEX(I.Facility.P4IDNumber,3383))</f>
        <v/>
      </c>
      <c r="G23395" s="51"/>
      <c r="H23395" s="46" t="str">
        <f>IF(AND(I.Developer.P4=TRUE,I.Facility.P4FacilityCount&gt;=3383,F23395=""),"Incomplete","Complete")</f>
        <v>Complete</v>
      </c>
      <c r="I23395" s="48" t="s">
        <v>27760</v>
      </c>
    </row>
    <row r="23396" spans="2:9" ht="15" customHeight="1" x14ac:dyDescent="0.25">
      <c r="B23396" s="55" t="s">
        <v>283</v>
      </c>
      <c r="C23396" s="46">
        <v>3384</v>
      </c>
      <c r="D23396" s="69" t="s">
        <v>29420</v>
      </c>
      <c r="E23396" s="51"/>
      <c r="F23396" s="114" t="str">
        <f>IF(INDEX(I.Facility.P4IDNumber,3384)="","",INDEX(I.Facility.P4IDNumber,3384))</f>
        <v/>
      </c>
      <c r="G23396" s="51"/>
      <c r="H23396" s="46" t="str">
        <f>IF(AND(I.Developer.P4=TRUE,I.Facility.P4FacilityCount&gt;=3384,F23396=""),"Incomplete","Complete")</f>
        <v>Complete</v>
      </c>
      <c r="I23396" s="48" t="s">
        <v>27761</v>
      </c>
    </row>
    <row r="23397" spans="2:9" ht="15" customHeight="1" x14ac:dyDescent="0.25">
      <c r="B23397" s="55" t="s">
        <v>283</v>
      </c>
      <c r="C23397" s="46">
        <v>3385</v>
      </c>
      <c r="D23397" s="69" t="s">
        <v>29420</v>
      </c>
      <c r="E23397" s="51"/>
      <c r="F23397" s="114" t="str">
        <f>IF(INDEX(I.Facility.P4IDNumber,3385)="","",INDEX(I.Facility.P4IDNumber,3385))</f>
        <v/>
      </c>
      <c r="G23397" s="51"/>
      <c r="H23397" s="46" t="str">
        <f>IF(AND(I.Developer.P4=TRUE,I.Facility.P4FacilityCount&gt;=3385,F23397=""),"Incomplete","Complete")</f>
        <v>Complete</v>
      </c>
      <c r="I23397" s="48" t="s">
        <v>27762</v>
      </c>
    </row>
    <row r="23398" spans="2:9" ht="15" customHeight="1" x14ac:dyDescent="0.25">
      <c r="B23398" s="55" t="s">
        <v>283</v>
      </c>
      <c r="C23398" s="46">
        <v>3386</v>
      </c>
      <c r="D23398" s="69" t="s">
        <v>29420</v>
      </c>
      <c r="E23398" s="51"/>
      <c r="F23398" s="114" t="str">
        <f>IF(INDEX(I.Facility.P4IDNumber,3386)="","",INDEX(I.Facility.P4IDNumber,3386))</f>
        <v/>
      </c>
      <c r="G23398" s="51"/>
      <c r="H23398" s="46" t="str">
        <f>IF(AND(I.Developer.P4=TRUE,I.Facility.P4FacilityCount&gt;=3386,F23398=""),"Incomplete","Complete")</f>
        <v>Complete</v>
      </c>
      <c r="I23398" s="48" t="s">
        <v>27763</v>
      </c>
    </row>
    <row r="23399" spans="2:9" ht="15" customHeight="1" x14ac:dyDescent="0.25">
      <c r="B23399" s="55" t="s">
        <v>283</v>
      </c>
      <c r="C23399" s="46">
        <v>3387</v>
      </c>
      <c r="D23399" s="69" t="s">
        <v>29420</v>
      </c>
      <c r="E23399" s="51"/>
      <c r="F23399" s="114" t="str">
        <f>IF(INDEX(I.Facility.P4IDNumber,3387)="","",INDEX(I.Facility.P4IDNumber,3387))</f>
        <v/>
      </c>
      <c r="G23399" s="51"/>
      <c r="H23399" s="46" t="str">
        <f>IF(AND(I.Developer.P4=TRUE,I.Facility.P4FacilityCount&gt;=3387,F23399=""),"Incomplete","Complete")</f>
        <v>Complete</v>
      </c>
      <c r="I23399" s="48" t="s">
        <v>27764</v>
      </c>
    </row>
    <row r="23400" spans="2:9" ht="15" customHeight="1" x14ac:dyDescent="0.25">
      <c r="B23400" s="55" t="s">
        <v>283</v>
      </c>
      <c r="C23400" s="46">
        <v>3388</v>
      </c>
      <c r="D23400" s="69" t="s">
        <v>29420</v>
      </c>
      <c r="E23400" s="51"/>
      <c r="F23400" s="114" t="str">
        <f>IF(INDEX(I.Facility.P4IDNumber,3388)="","",INDEX(I.Facility.P4IDNumber,3388))</f>
        <v/>
      </c>
      <c r="G23400" s="51"/>
      <c r="H23400" s="46" t="str">
        <f>IF(AND(I.Developer.P4=TRUE,I.Facility.P4FacilityCount&gt;=3388,F23400=""),"Incomplete","Complete")</f>
        <v>Complete</v>
      </c>
      <c r="I23400" s="48" t="s">
        <v>27765</v>
      </c>
    </row>
    <row r="23401" spans="2:9" ht="15" customHeight="1" x14ac:dyDescent="0.25">
      <c r="B23401" s="55" t="s">
        <v>283</v>
      </c>
      <c r="C23401" s="46">
        <v>3389</v>
      </c>
      <c r="D23401" s="69" t="s">
        <v>29420</v>
      </c>
      <c r="E23401" s="51"/>
      <c r="F23401" s="114" t="str">
        <f>IF(INDEX(I.Facility.P4IDNumber,3389)="","",INDEX(I.Facility.P4IDNumber,3389))</f>
        <v/>
      </c>
      <c r="G23401" s="51"/>
      <c r="H23401" s="46" t="str">
        <f>IF(AND(I.Developer.P4=TRUE,I.Facility.P4FacilityCount&gt;=3389,F23401=""),"Incomplete","Complete")</f>
        <v>Complete</v>
      </c>
      <c r="I23401" s="48" t="s">
        <v>27766</v>
      </c>
    </row>
    <row r="23402" spans="2:9" ht="15" customHeight="1" x14ac:dyDescent="0.25">
      <c r="B23402" s="55" t="s">
        <v>283</v>
      </c>
      <c r="C23402" s="46">
        <v>3390</v>
      </c>
      <c r="D23402" s="69" t="s">
        <v>29420</v>
      </c>
      <c r="E23402" s="51"/>
      <c r="F23402" s="114" t="str">
        <f>IF(INDEX(I.Facility.P4IDNumber,3390)="","",INDEX(I.Facility.P4IDNumber,3390))</f>
        <v/>
      </c>
      <c r="G23402" s="51"/>
      <c r="H23402" s="46" t="str">
        <f>IF(AND(I.Developer.P4=TRUE,I.Facility.P4FacilityCount&gt;=3390,F23402=""),"Incomplete","Complete")</f>
        <v>Complete</v>
      </c>
      <c r="I23402" s="48" t="s">
        <v>27767</v>
      </c>
    </row>
    <row r="23403" spans="2:9" ht="15" customHeight="1" x14ac:dyDescent="0.25">
      <c r="B23403" s="55" t="s">
        <v>283</v>
      </c>
      <c r="C23403" s="46">
        <v>3391</v>
      </c>
      <c r="D23403" s="69" t="s">
        <v>29420</v>
      </c>
      <c r="E23403" s="51"/>
      <c r="F23403" s="114" t="str">
        <f>IF(INDEX(I.Facility.P4IDNumber,3391)="","",INDEX(I.Facility.P4IDNumber,3391))</f>
        <v/>
      </c>
      <c r="G23403" s="51"/>
      <c r="H23403" s="46" t="str">
        <f>IF(AND(I.Developer.P4=TRUE,I.Facility.P4FacilityCount&gt;=3391,F23403=""),"Incomplete","Complete")</f>
        <v>Complete</v>
      </c>
      <c r="I23403" s="48" t="s">
        <v>27768</v>
      </c>
    </row>
    <row r="23404" spans="2:9" ht="15" customHeight="1" x14ac:dyDescent="0.25">
      <c r="B23404" s="55" t="s">
        <v>283</v>
      </c>
      <c r="C23404" s="46">
        <v>3392</v>
      </c>
      <c r="D23404" s="69" t="s">
        <v>29420</v>
      </c>
      <c r="E23404" s="51"/>
      <c r="F23404" s="114" t="str">
        <f>IF(INDEX(I.Facility.P4IDNumber,3392)="","",INDEX(I.Facility.P4IDNumber,3392))</f>
        <v/>
      </c>
      <c r="G23404" s="51"/>
      <c r="H23404" s="46" t="str">
        <f>IF(AND(I.Developer.P4=TRUE,I.Facility.P4FacilityCount&gt;=3392,F23404=""),"Incomplete","Complete")</f>
        <v>Complete</v>
      </c>
      <c r="I23404" s="48" t="s">
        <v>27769</v>
      </c>
    </row>
    <row r="23405" spans="2:9" ht="15" customHeight="1" x14ac:dyDescent="0.25">
      <c r="B23405" s="55" t="s">
        <v>283</v>
      </c>
      <c r="C23405" s="46">
        <v>3393</v>
      </c>
      <c r="D23405" s="69" t="s">
        <v>29420</v>
      </c>
      <c r="E23405" s="51"/>
      <c r="F23405" s="114" t="str">
        <f>IF(INDEX(I.Facility.P4IDNumber,3393)="","",INDEX(I.Facility.P4IDNumber,3393))</f>
        <v/>
      </c>
      <c r="G23405" s="51"/>
      <c r="H23405" s="46" t="str">
        <f>IF(AND(I.Developer.P4=TRUE,I.Facility.P4FacilityCount&gt;=3393,F23405=""),"Incomplete","Complete")</f>
        <v>Complete</v>
      </c>
      <c r="I23405" s="48" t="s">
        <v>27770</v>
      </c>
    </row>
    <row r="23406" spans="2:9" ht="15" customHeight="1" x14ac:dyDescent="0.25">
      <c r="B23406" s="55" t="s">
        <v>283</v>
      </c>
      <c r="C23406" s="46">
        <v>3394</v>
      </c>
      <c r="D23406" s="69" t="s">
        <v>29420</v>
      </c>
      <c r="E23406" s="51"/>
      <c r="F23406" s="114" t="str">
        <f>IF(INDEX(I.Facility.P4IDNumber,3394)="","",INDEX(I.Facility.P4IDNumber,3394))</f>
        <v/>
      </c>
      <c r="G23406" s="51"/>
      <c r="H23406" s="46" t="str">
        <f>IF(AND(I.Developer.P4=TRUE,I.Facility.P4FacilityCount&gt;=3394,F23406=""),"Incomplete","Complete")</f>
        <v>Complete</v>
      </c>
      <c r="I23406" s="48" t="s">
        <v>27771</v>
      </c>
    </row>
    <row r="23407" spans="2:9" ht="15" customHeight="1" x14ac:dyDescent="0.25">
      <c r="B23407" s="55" t="s">
        <v>283</v>
      </c>
      <c r="C23407" s="46">
        <v>3395</v>
      </c>
      <c r="D23407" s="69" t="s">
        <v>29420</v>
      </c>
      <c r="E23407" s="51"/>
      <c r="F23407" s="114" t="str">
        <f>IF(INDEX(I.Facility.P4IDNumber,3395)="","",INDEX(I.Facility.P4IDNumber,3395))</f>
        <v/>
      </c>
      <c r="G23407" s="51"/>
      <c r="H23407" s="46" t="str">
        <f>IF(AND(I.Developer.P4=TRUE,I.Facility.P4FacilityCount&gt;=3395,F23407=""),"Incomplete","Complete")</f>
        <v>Complete</v>
      </c>
      <c r="I23407" s="48" t="s">
        <v>27772</v>
      </c>
    </row>
    <row r="23408" spans="2:9" ht="15" customHeight="1" x14ac:dyDescent="0.25">
      <c r="B23408" s="55" t="s">
        <v>283</v>
      </c>
      <c r="C23408" s="46">
        <v>3396</v>
      </c>
      <c r="D23408" s="69" t="s">
        <v>29420</v>
      </c>
      <c r="E23408" s="51"/>
      <c r="F23408" s="114" t="str">
        <f>IF(INDEX(I.Facility.P4IDNumber,3396)="","",INDEX(I.Facility.P4IDNumber,3396))</f>
        <v/>
      </c>
      <c r="G23408" s="51"/>
      <c r="H23408" s="46" t="str">
        <f>IF(AND(I.Developer.P4=TRUE,I.Facility.P4FacilityCount&gt;=3396,F23408=""),"Incomplete","Complete")</f>
        <v>Complete</v>
      </c>
      <c r="I23408" s="48" t="s">
        <v>27773</v>
      </c>
    </row>
    <row r="23409" spans="2:9" ht="15" customHeight="1" x14ac:dyDescent="0.25">
      <c r="B23409" s="55" t="s">
        <v>283</v>
      </c>
      <c r="C23409" s="46">
        <v>3397</v>
      </c>
      <c r="D23409" s="69" t="s">
        <v>29420</v>
      </c>
      <c r="E23409" s="51"/>
      <c r="F23409" s="114" t="str">
        <f>IF(INDEX(I.Facility.P4IDNumber,3397)="","",INDEX(I.Facility.P4IDNumber,3397))</f>
        <v/>
      </c>
      <c r="G23409" s="51"/>
      <c r="H23409" s="46" t="str">
        <f>IF(AND(I.Developer.P4=TRUE,I.Facility.P4FacilityCount&gt;=3397,F23409=""),"Incomplete","Complete")</f>
        <v>Complete</v>
      </c>
      <c r="I23409" s="48" t="s">
        <v>27774</v>
      </c>
    </row>
    <row r="23410" spans="2:9" ht="15" customHeight="1" x14ac:dyDescent="0.25">
      <c r="B23410" s="55" t="s">
        <v>283</v>
      </c>
      <c r="C23410" s="46">
        <v>3398</v>
      </c>
      <c r="D23410" s="69" t="s">
        <v>29420</v>
      </c>
      <c r="E23410" s="51"/>
      <c r="F23410" s="114" t="str">
        <f>IF(INDEX(I.Facility.P4IDNumber,3398)="","",INDEX(I.Facility.P4IDNumber,3398))</f>
        <v/>
      </c>
      <c r="G23410" s="51"/>
      <c r="H23410" s="46" t="str">
        <f>IF(AND(I.Developer.P4=TRUE,I.Facility.P4FacilityCount&gt;=3398,F23410=""),"Incomplete","Complete")</f>
        <v>Complete</v>
      </c>
      <c r="I23410" s="48" t="s">
        <v>27775</v>
      </c>
    </row>
    <row r="23411" spans="2:9" ht="15" customHeight="1" x14ac:dyDescent="0.25">
      <c r="B23411" s="55" t="s">
        <v>283</v>
      </c>
      <c r="C23411" s="46">
        <v>3399</v>
      </c>
      <c r="D23411" s="69" t="s">
        <v>29420</v>
      </c>
      <c r="E23411" s="51"/>
      <c r="F23411" s="114" t="str">
        <f>IF(INDEX(I.Facility.P4IDNumber,3399)="","",INDEX(I.Facility.P4IDNumber,3399))</f>
        <v/>
      </c>
      <c r="G23411" s="51"/>
      <c r="H23411" s="46" t="str">
        <f>IF(AND(I.Developer.P4=TRUE,I.Facility.P4FacilityCount&gt;=3399,F23411=""),"Incomplete","Complete")</f>
        <v>Complete</v>
      </c>
      <c r="I23411" s="48" t="s">
        <v>27776</v>
      </c>
    </row>
    <row r="23412" spans="2:9" ht="15" customHeight="1" x14ac:dyDescent="0.25">
      <c r="B23412" s="55" t="s">
        <v>283</v>
      </c>
      <c r="C23412" s="46">
        <v>3400</v>
      </c>
      <c r="D23412" s="69" t="s">
        <v>29420</v>
      </c>
      <c r="E23412" s="51"/>
      <c r="F23412" s="114" t="str">
        <f>IF(INDEX(I.Facility.P4IDNumber,3400)="","",INDEX(I.Facility.P4IDNumber,3400))</f>
        <v/>
      </c>
      <c r="G23412" s="51"/>
      <c r="H23412" s="46" t="str">
        <f>IF(AND(I.Developer.P4=TRUE,I.Facility.P4FacilityCount&gt;=3400,F23412=""),"Incomplete","Complete")</f>
        <v>Complete</v>
      </c>
      <c r="I23412" s="48" t="s">
        <v>27777</v>
      </c>
    </row>
    <row r="23413" spans="2:9" ht="15" customHeight="1" x14ac:dyDescent="0.25">
      <c r="B23413" s="55" t="s">
        <v>283</v>
      </c>
      <c r="C23413" s="46">
        <v>3401</v>
      </c>
      <c r="D23413" s="69" t="s">
        <v>29420</v>
      </c>
      <c r="E23413" s="51"/>
      <c r="F23413" s="114" t="str">
        <f>IF(INDEX(I.Facility.P4IDNumber,3401)="","",INDEX(I.Facility.P4IDNumber,3401))</f>
        <v/>
      </c>
      <c r="G23413" s="51"/>
      <c r="H23413" s="46" t="str">
        <f>IF(AND(I.Developer.P4=TRUE,I.Facility.P4FacilityCount&gt;=3401,F23413=""),"Incomplete","Complete")</f>
        <v>Complete</v>
      </c>
      <c r="I23413" s="48" t="s">
        <v>27778</v>
      </c>
    </row>
    <row r="23414" spans="2:9" ht="15" customHeight="1" x14ac:dyDescent="0.25">
      <c r="B23414" s="55" t="s">
        <v>283</v>
      </c>
      <c r="C23414" s="46">
        <v>3402</v>
      </c>
      <c r="D23414" s="69" t="s">
        <v>29420</v>
      </c>
      <c r="E23414" s="51"/>
      <c r="F23414" s="114" t="str">
        <f>IF(INDEX(I.Facility.P4IDNumber,3402)="","",INDEX(I.Facility.P4IDNumber,3402))</f>
        <v/>
      </c>
      <c r="G23414" s="51"/>
      <c r="H23414" s="46" t="str">
        <f>IF(AND(I.Developer.P4=TRUE,I.Facility.P4FacilityCount&gt;=3402,F23414=""),"Incomplete","Complete")</f>
        <v>Complete</v>
      </c>
      <c r="I23414" s="48" t="s">
        <v>27779</v>
      </c>
    </row>
    <row r="23415" spans="2:9" ht="15" customHeight="1" x14ac:dyDescent="0.25">
      <c r="B23415" s="55" t="s">
        <v>283</v>
      </c>
      <c r="C23415" s="46">
        <v>3403</v>
      </c>
      <c r="D23415" s="69" t="s">
        <v>29420</v>
      </c>
      <c r="E23415" s="51"/>
      <c r="F23415" s="114" t="str">
        <f>IF(INDEX(I.Facility.P4IDNumber,3403)="","",INDEX(I.Facility.P4IDNumber,3403))</f>
        <v/>
      </c>
      <c r="G23415" s="51"/>
      <c r="H23415" s="46" t="str">
        <f>IF(AND(I.Developer.P4=TRUE,I.Facility.P4FacilityCount&gt;=3403,F23415=""),"Incomplete","Complete")</f>
        <v>Complete</v>
      </c>
      <c r="I23415" s="48" t="s">
        <v>27780</v>
      </c>
    </row>
    <row r="23416" spans="2:9" ht="15" customHeight="1" x14ac:dyDescent="0.25">
      <c r="B23416" s="55" t="s">
        <v>283</v>
      </c>
      <c r="C23416" s="46">
        <v>3404</v>
      </c>
      <c r="D23416" s="69" t="s">
        <v>29420</v>
      </c>
      <c r="E23416" s="51"/>
      <c r="F23416" s="114" t="str">
        <f>IF(INDEX(I.Facility.P4IDNumber,3404)="","",INDEX(I.Facility.P4IDNumber,3404))</f>
        <v/>
      </c>
      <c r="G23416" s="51"/>
      <c r="H23416" s="46" t="str">
        <f>IF(AND(I.Developer.P4=TRUE,I.Facility.P4FacilityCount&gt;=3404,F23416=""),"Incomplete","Complete")</f>
        <v>Complete</v>
      </c>
      <c r="I23416" s="48" t="s">
        <v>27781</v>
      </c>
    </row>
    <row r="23417" spans="2:9" ht="15" customHeight="1" x14ac:dyDescent="0.25">
      <c r="B23417" s="55" t="s">
        <v>283</v>
      </c>
      <c r="C23417" s="46">
        <v>3405</v>
      </c>
      <c r="D23417" s="69" t="s">
        <v>29420</v>
      </c>
      <c r="E23417" s="51"/>
      <c r="F23417" s="114" t="str">
        <f>IF(INDEX(I.Facility.P4IDNumber,3405)="","",INDEX(I.Facility.P4IDNumber,3405))</f>
        <v/>
      </c>
      <c r="G23417" s="51"/>
      <c r="H23417" s="46" t="str">
        <f>IF(AND(I.Developer.P4=TRUE,I.Facility.P4FacilityCount&gt;=3405,F23417=""),"Incomplete","Complete")</f>
        <v>Complete</v>
      </c>
      <c r="I23417" s="48" t="s">
        <v>27782</v>
      </c>
    </row>
    <row r="23418" spans="2:9" ht="15" customHeight="1" x14ac:dyDescent="0.25">
      <c r="B23418" s="55" t="s">
        <v>283</v>
      </c>
      <c r="C23418" s="46">
        <v>3406</v>
      </c>
      <c r="D23418" s="69" t="s">
        <v>29420</v>
      </c>
      <c r="E23418" s="51"/>
      <c r="F23418" s="114" t="str">
        <f>IF(INDEX(I.Facility.P4IDNumber,3406)="","",INDEX(I.Facility.P4IDNumber,3406))</f>
        <v/>
      </c>
      <c r="G23418" s="51"/>
      <c r="H23418" s="46" t="str">
        <f>IF(AND(I.Developer.P4=TRUE,I.Facility.P4FacilityCount&gt;=3406,F23418=""),"Incomplete","Complete")</f>
        <v>Complete</v>
      </c>
      <c r="I23418" s="48" t="s">
        <v>27783</v>
      </c>
    </row>
    <row r="23419" spans="2:9" ht="15" customHeight="1" x14ac:dyDescent="0.25">
      <c r="B23419" s="55" t="s">
        <v>283</v>
      </c>
      <c r="C23419" s="46">
        <v>3407</v>
      </c>
      <c r="D23419" s="69" t="s">
        <v>29420</v>
      </c>
      <c r="E23419" s="51"/>
      <c r="F23419" s="114" t="str">
        <f>IF(INDEX(I.Facility.P4IDNumber,3407)="","",INDEX(I.Facility.P4IDNumber,3407))</f>
        <v/>
      </c>
      <c r="G23419" s="51"/>
      <c r="H23419" s="46" t="str">
        <f>IF(AND(I.Developer.P4=TRUE,I.Facility.P4FacilityCount&gt;=3407,F23419=""),"Incomplete","Complete")</f>
        <v>Complete</v>
      </c>
      <c r="I23419" s="48" t="s">
        <v>27784</v>
      </c>
    </row>
    <row r="23420" spans="2:9" ht="15" customHeight="1" x14ac:dyDescent="0.25">
      <c r="B23420" s="55" t="s">
        <v>283</v>
      </c>
      <c r="C23420" s="46">
        <v>3408</v>
      </c>
      <c r="D23420" s="69" t="s">
        <v>29420</v>
      </c>
      <c r="E23420" s="51"/>
      <c r="F23420" s="114" t="str">
        <f>IF(INDEX(I.Facility.P4IDNumber,3408)="","",INDEX(I.Facility.P4IDNumber,3408))</f>
        <v/>
      </c>
      <c r="G23420" s="51"/>
      <c r="H23420" s="46" t="str">
        <f>IF(AND(I.Developer.P4=TRUE,I.Facility.P4FacilityCount&gt;=3408,F23420=""),"Incomplete","Complete")</f>
        <v>Complete</v>
      </c>
      <c r="I23420" s="48" t="s">
        <v>27785</v>
      </c>
    </row>
    <row r="23421" spans="2:9" ht="15" customHeight="1" x14ac:dyDescent="0.25">
      <c r="B23421" s="55" t="s">
        <v>283</v>
      </c>
      <c r="C23421" s="46">
        <v>3409</v>
      </c>
      <c r="D23421" s="69" t="s">
        <v>29420</v>
      </c>
      <c r="E23421" s="51"/>
      <c r="F23421" s="114" t="str">
        <f>IF(INDEX(I.Facility.P4IDNumber,3409)="","",INDEX(I.Facility.P4IDNumber,3409))</f>
        <v/>
      </c>
      <c r="G23421" s="51"/>
      <c r="H23421" s="46" t="str">
        <f>IF(AND(I.Developer.P4=TRUE,I.Facility.P4FacilityCount&gt;=3409,F23421=""),"Incomplete","Complete")</f>
        <v>Complete</v>
      </c>
      <c r="I23421" s="48" t="s">
        <v>27786</v>
      </c>
    </row>
    <row r="23422" spans="2:9" ht="15" customHeight="1" x14ac:dyDescent="0.25">
      <c r="B23422" s="55" t="s">
        <v>283</v>
      </c>
      <c r="C23422" s="46">
        <v>3410</v>
      </c>
      <c r="D23422" s="69" t="s">
        <v>29420</v>
      </c>
      <c r="E23422" s="51"/>
      <c r="F23422" s="114" t="str">
        <f>IF(INDEX(I.Facility.P4IDNumber,3410)="","",INDEX(I.Facility.P4IDNumber,3410))</f>
        <v/>
      </c>
      <c r="G23422" s="51"/>
      <c r="H23422" s="46" t="str">
        <f>IF(AND(I.Developer.P4=TRUE,I.Facility.P4FacilityCount&gt;=3410,F23422=""),"Incomplete","Complete")</f>
        <v>Complete</v>
      </c>
      <c r="I23422" s="48" t="s">
        <v>27787</v>
      </c>
    </row>
    <row r="23423" spans="2:9" ht="15" customHeight="1" x14ac:dyDescent="0.25">
      <c r="B23423" s="55" t="s">
        <v>283</v>
      </c>
      <c r="C23423" s="46">
        <v>3411</v>
      </c>
      <c r="D23423" s="69" t="s">
        <v>29420</v>
      </c>
      <c r="E23423" s="51"/>
      <c r="F23423" s="114" t="str">
        <f>IF(INDEX(I.Facility.P4IDNumber,3411)="","",INDEX(I.Facility.P4IDNumber,3411))</f>
        <v/>
      </c>
      <c r="G23423" s="51"/>
      <c r="H23423" s="46" t="str">
        <f>IF(AND(I.Developer.P4=TRUE,I.Facility.P4FacilityCount&gt;=3411,F23423=""),"Incomplete","Complete")</f>
        <v>Complete</v>
      </c>
      <c r="I23423" s="48" t="s">
        <v>27788</v>
      </c>
    </row>
    <row r="23424" spans="2:9" ht="15" customHeight="1" x14ac:dyDescent="0.25">
      <c r="B23424" s="55" t="s">
        <v>283</v>
      </c>
      <c r="C23424" s="46">
        <v>3412</v>
      </c>
      <c r="D23424" s="69" t="s">
        <v>29420</v>
      </c>
      <c r="E23424" s="51"/>
      <c r="F23424" s="114" t="str">
        <f>IF(INDEX(I.Facility.P4IDNumber,3412)="","",INDEX(I.Facility.P4IDNumber,3412))</f>
        <v/>
      </c>
      <c r="G23424" s="51"/>
      <c r="H23424" s="46" t="str">
        <f>IF(AND(I.Developer.P4=TRUE,I.Facility.P4FacilityCount&gt;=3412,F23424=""),"Incomplete","Complete")</f>
        <v>Complete</v>
      </c>
      <c r="I23424" s="48" t="s">
        <v>27789</v>
      </c>
    </row>
    <row r="23425" spans="2:9" ht="15" customHeight="1" x14ac:dyDescent="0.25">
      <c r="B23425" s="55" t="s">
        <v>283</v>
      </c>
      <c r="C23425" s="46">
        <v>3413</v>
      </c>
      <c r="D23425" s="69" t="s">
        <v>29420</v>
      </c>
      <c r="E23425" s="51"/>
      <c r="F23425" s="114" t="str">
        <f>IF(INDEX(I.Facility.P4IDNumber,3413)="","",INDEX(I.Facility.P4IDNumber,3413))</f>
        <v/>
      </c>
      <c r="G23425" s="51"/>
      <c r="H23425" s="46" t="str">
        <f>IF(AND(I.Developer.P4=TRUE,I.Facility.P4FacilityCount&gt;=3413,F23425=""),"Incomplete","Complete")</f>
        <v>Complete</v>
      </c>
      <c r="I23425" s="48" t="s">
        <v>27790</v>
      </c>
    </row>
    <row r="23426" spans="2:9" ht="15" customHeight="1" x14ac:dyDescent="0.25">
      <c r="B23426" s="55" t="s">
        <v>283</v>
      </c>
      <c r="C23426" s="46">
        <v>3414</v>
      </c>
      <c r="D23426" s="69" t="s">
        <v>29420</v>
      </c>
      <c r="E23426" s="51"/>
      <c r="F23426" s="114" t="str">
        <f>IF(INDEX(I.Facility.P4IDNumber,3414)="","",INDEX(I.Facility.P4IDNumber,3414))</f>
        <v/>
      </c>
      <c r="G23426" s="51"/>
      <c r="H23426" s="46" t="str">
        <f>IF(AND(I.Developer.P4=TRUE,I.Facility.P4FacilityCount&gt;=3414,F23426=""),"Incomplete","Complete")</f>
        <v>Complete</v>
      </c>
      <c r="I23426" s="48" t="s">
        <v>27791</v>
      </c>
    </row>
    <row r="23427" spans="2:9" ht="15" customHeight="1" x14ac:dyDescent="0.25">
      <c r="B23427" s="55" t="s">
        <v>283</v>
      </c>
      <c r="C23427" s="46">
        <v>3415</v>
      </c>
      <c r="D23427" s="69" t="s">
        <v>29420</v>
      </c>
      <c r="E23427" s="51"/>
      <c r="F23427" s="114" t="str">
        <f>IF(INDEX(I.Facility.P4IDNumber,3415)="","",INDEX(I.Facility.P4IDNumber,3415))</f>
        <v/>
      </c>
      <c r="G23427" s="51"/>
      <c r="H23427" s="46" t="str">
        <f>IF(AND(I.Developer.P4=TRUE,I.Facility.P4FacilityCount&gt;=3415,F23427=""),"Incomplete","Complete")</f>
        <v>Complete</v>
      </c>
      <c r="I23427" s="48" t="s">
        <v>27792</v>
      </c>
    </row>
    <row r="23428" spans="2:9" ht="15" customHeight="1" x14ac:dyDescent="0.25">
      <c r="B23428" s="55" t="s">
        <v>283</v>
      </c>
      <c r="C23428" s="46">
        <v>3416</v>
      </c>
      <c r="D23428" s="69" t="s">
        <v>29420</v>
      </c>
      <c r="E23428" s="51"/>
      <c r="F23428" s="114" t="str">
        <f>IF(INDEX(I.Facility.P4IDNumber,3416)="","",INDEX(I.Facility.P4IDNumber,3416))</f>
        <v/>
      </c>
      <c r="G23428" s="51"/>
      <c r="H23428" s="46" t="str">
        <f>IF(AND(I.Developer.P4=TRUE,I.Facility.P4FacilityCount&gt;=3416,F23428=""),"Incomplete","Complete")</f>
        <v>Complete</v>
      </c>
      <c r="I23428" s="48" t="s">
        <v>27793</v>
      </c>
    </row>
    <row r="23429" spans="2:9" ht="15" customHeight="1" x14ac:dyDescent="0.25">
      <c r="B23429" s="55" t="s">
        <v>283</v>
      </c>
      <c r="C23429" s="46">
        <v>3417</v>
      </c>
      <c r="D23429" s="69" t="s">
        <v>29420</v>
      </c>
      <c r="E23429" s="51"/>
      <c r="F23429" s="114" t="str">
        <f>IF(INDEX(I.Facility.P4IDNumber,3417)="","",INDEX(I.Facility.P4IDNumber,3417))</f>
        <v/>
      </c>
      <c r="G23429" s="51"/>
      <c r="H23429" s="46" t="str">
        <f>IF(AND(I.Developer.P4=TRUE,I.Facility.P4FacilityCount&gt;=3417,F23429=""),"Incomplete","Complete")</f>
        <v>Complete</v>
      </c>
      <c r="I23429" s="48" t="s">
        <v>27794</v>
      </c>
    </row>
    <row r="23430" spans="2:9" ht="15" customHeight="1" x14ac:dyDescent="0.25">
      <c r="B23430" s="55" t="s">
        <v>283</v>
      </c>
      <c r="C23430" s="46">
        <v>3418</v>
      </c>
      <c r="D23430" s="69" t="s">
        <v>29420</v>
      </c>
      <c r="E23430" s="51"/>
      <c r="F23430" s="114" t="str">
        <f>IF(INDEX(I.Facility.P4IDNumber,3418)="","",INDEX(I.Facility.P4IDNumber,3418))</f>
        <v/>
      </c>
      <c r="G23430" s="51"/>
      <c r="H23430" s="46" t="str">
        <f>IF(AND(I.Developer.P4=TRUE,I.Facility.P4FacilityCount&gt;=3418,F23430=""),"Incomplete","Complete")</f>
        <v>Complete</v>
      </c>
      <c r="I23430" s="48" t="s">
        <v>27795</v>
      </c>
    </row>
    <row r="23431" spans="2:9" ht="15" customHeight="1" x14ac:dyDescent="0.25">
      <c r="B23431" s="55" t="s">
        <v>283</v>
      </c>
      <c r="C23431" s="46">
        <v>3419</v>
      </c>
      <c r="D23431" s="69" t="s">
        <v>29420</v>
      </c>
      <c r="E23431" s="51"/>
      <c r="F23431" s="114" t="str">
        <f>IF(INDEX(I.Facility.P4IDNumber,3419)="","",INDEX(I.Facility.P4IDNumber,3419))</f>
        <v/>
      </c>
      <c r="G23431" s="51"/>
      <c r="H23431" s="46" t="str">
        <f>IF(AND(I.Developer.P4=TRUE,I.Facility.P4FacilityCount&gt;=3419,F23431=""),"Incomplete","Complete")</f>
        <v>Complete</v>
      </c>
      <c r="I23431" s="48" t="s">
        <v>27796</v>
      </c>
    </row>
    <row r="23432" spans="2:9" ht="15" customHeight="1" x14ac:dyDescent="0.25">
      <c r="B23432" s="55" t="s">
        <v>283</v>
      </c>
      <c r="C23432" s="46">
        <v>3420</v>
      </c>
      <c r="D23432" s="69" t="s">
        <v>29420</v>
      </c>
      <c r="E23432" s="51"/>
      <c r="F23432" s="114" t="str">
        <f>IF(INDEX(I.Facility.P4IDNumber,3420)="","",INDEX(I.Facility.P4IDNumber,3420))</f>
        <v/>
      </c>
      <c r="G23432" s="51"/>
      <c r="H23432" s="46" t="str">
        <f>IF(AND(I.Developer.P4=TRUE,I.Facility.P4FacilityCount&gt;=3420,F23432=""),"Incomplete","Complete")</f>
        <v>Complete</v>
      </c>
      <c r="I23432" s="48" t="s">
        <v>27797</v>
      </c>
    </row>
    <row r="23433" spans="2:9" ht="15" customHeight="1" x14ac:dyDescent="0.25">
      <c r="B23433" s="55" t="s">
        <v>283</v>
      </c>
      <c r="C23433" s="46">
        <v>3421</v>
      </c>
      <c r="D23433" s="69" t="s">
        <v>29420</v>
      </c>
      <c r="E23433" s="51"/>
      <c r="F23433" s="114" t="str">
        <f>IF(INDEX(I.Facility.P4IDNumber,3421)="","",INDEX(I.Facility.P4IDNumber,3421))</f>
        <v/>
      </c>
      <c r="G23433" s="51"/>
      <c r="H23433" s="46" t="str">
        <f>IF(AND(I.Developer.P4=TRUE,I.Facility.P4FacilityCount&gt;=3421,F23433=""),"Incomplete","Complete")</f>
        <v>Complete</v>
      </c>
      <c r="I23433" s="48" t="s">
        <v>27798</v>
      </c>
    </row>
    <row r="23434" spans="2:9" ht="15" customHeight="1" x14ac:dyDescent="0.25">
      <c r="B23434" s="55" t="s">
        <v>283</v>
      </c>
      <c r="C23434" s="46">
        <v>3422</v>
      </c>
      <c r="D23434" s="69" t="s">
        <v>29420</v>
      </c>
      <c r="E23434" s="51"/>
      <c r="F23434" s="114" t="str">
        <f>IF(INDEX(I.Facility.P4IDNumber,3422)="","",INDEX(I.Facility.P4IDNumber,3422))</f>
        <v/>
      </c>
      <c r="G23434" s="51"/>
      <c r="H23434" s="46" t="str">
        <f>IF(AND(I.Developer.P4=TRUE,I.Facility.P4FacilityCount&gt;=3422,F23434=""),"Incomplete","Complete")</f>
        <v>Complete</v>
      </c>
      <c r="I23434" s="48" t="s">
        <v>27799</v>
      </c>
    </row>
    <row r="23435" spans="2:9" ht="15" customHeight="1" x14ac:dyDescent="0.25">
      <c r="B23435" s="55" t="s">
        <v>283</v>
      </c>
      <c r="C23435" s="46">
        <v>3423</v>
      </c>
      <c r="D23435" s="69" t="s">
        <v>29420</v>
      </c>
      <c r="E23435" s="51"/>
      <c r="F23435" s="114" t="str">
        <f>IF(INDEX(I.Facility.P4IDNumber,3423)="","",INDEX(I.Facility.P4IDNumber,3423))</f>
        <v/>
      </c>
      <c r="G23435" s="51"/>
      <c r="H23435" s="46" t="str">
        <f>IF(AND(I.Developer.P4=TRUE,I.Facility.P4FacilityCount&gt;=3423,F23435=""),"Incomplete","Complete")</f>
        <v>Complete</v>
      </c>
      <c r="I23435" s="48" t="s">
        <v>27800</v>
      </c>
    </row>
    <row r="23436" spans="2:9" ht="15" customHeight="1" x14ac:dyDescent="0.25">
      <c r="B23436" s="55" t="s">
        <v>283</v>
      </c>
      <c r="C23436" s="46">
        <v>3424</v>
      </c>
      <c r="D23436" s="69" t="s">
        <v>29420</v>
      </c>
      <c r="E23436" s="51"/>
      <c r="F23436" s="114" t="str">
        <f>IF(INDEX(I.Facility.P4IDNumber,3424)="","",INDEX(I.Facility.P4IDNumber,3424))</f>
        <v/>
      </c>
      <c r="G23436" s="51"/>
      <c r="H23436" s="46" t="str">
        <f>IF(AND(I.Developer.P4=TRUE,I.Facility.P4FacilityCount&gt;=3424,F23436=""),"Incomplete","Complete")</f>
        <v>Complete</v>
      </c>
      <c r="I23436" s="48" t="s">
        <v>27801</v>
      </c>
    </row>
    <row r="23437" spans="2:9" ht="15" customHeight="1" x14ac:dyDescent="0.25">
      <c r="B23437" s="55" t="s">
        <v>283</v>
      </c>
      <c r="C23437" s="46">
        <v>3425</v>
      </c>
      <c r="D23437" s="69" t="s">
        <v>29420</v>
      </c>
      <c r="E23437" s="51"/>
      <c r="F23437" s="114" t="str">
        <f>IF(INDEX(I.Facility.P4IDNumber,3425)="","",INDEX(I.Facility.P4IDNumber,3425))</f>
        <v/>
      </c>
      <c r="G23437" s="51"/>
      <c r="H23437" s="46" t="str">
        <f>IF(AND(I.Developer.P4=TRUE,I.Facility.P4FacilityCount&gt;=3425,F23437=""),"Incomplete","Complete")</f>
        <v>Complete</v>
      </c>
      <c r="I23437" s="48" t="s">
        <v>27802</v>
      </c>
    </row>
    <row r="23438" spans="2:9" ht="15" customHeight="1" x14ac:dyDescent="0.25">
      <c r="B23438" s="55" t="s">
        <v>283</v>
      </c>
      <c r="C23438" s="46">
        <v>3426</v>
      </c>
      <c r="D23438" s="69" t="s">
        <v>29420</v>
      </c>
      <c r="E23438" s="51"/>
      <c r="F23438" s="114" t="str">
        <f>IF(INDEX(I.Facility.P4IDNumber,3426)="","",INDEX(I.Facility.P4IDNumber,3426))</f>
        <v/>
      </c>
      <c r="G23438" s="51"/>
      <c r="H23438" s="46" t="str">
        <f>IF(AND(I.Developer.P4=TRUE,I.Facility.P4FacilityCount&gt;=3426,F23438=""),"Incomplete","Complete")</f>
        <v>Complete</v>
      </c>
      <c r="I23438" s="48" t="s">
        <v>27803</v>
      </c>
    </row>
    <row r="23439" spans="2:9" ht="15" customHeight="1" x14ac:dyDescent="0.25">
      <c r="B23439" s="55" t="s">
        <v>283</v>
      </c>
      <c r="C23439" s="46">
        <v>3427</v>
      </c>
      <c r="D23439" s="69" t="s">
        <v>29420</v>
      </c>
      <c r="E23439" s="51"/>
      <c r="F23439" s="114" t="str">
        <f>IF(INDEX(I.Facility.P4IDNumber,3427)="","",INDEX(I.Facility.P4IDNumber,3427))</f>
        <v/>
      </c>
      <c r="G23439" s="51"/>
      <c r="H23439" s="46" t="str">
        <f>IF(AND(I.Developer.P4=TRUE,I.Facility.P4FacilityCount&gt;=3427,F23439=""),"Incomplete","Complete")</f>
        <v>Complete</v>
      </c>
      <c r="I23439" s="48" t="s">
        <v>27804</v>
      </c>
    </row>
    <row r="23440" spans="2:9" ht="15" customHeight="1" x14ac:dyDescent="0.25">
      <c r="B23440" s="55" t="s">
        <v>283</v>
      </c>
      <c r="C23440" s="46">
        <v>3428</v>
      </c>
      <c r="D23440" s="69" t="s">
        <v>29420</v>
      </c>
      <c r="E23440" s="51"/>
      <c r="F23440" s="114" t="str">
        <f>IF(INDEX(I.Facility.P4IDNumber,3428)="","",INDEX(I.Facility.P4IDNumber,3428))</f>
        <v/>
      </c>
      <c r="G23440" s="51"/>
      <c r="H23440" s="46" t="str">
        <f>IF(AND(I.Developer.P4=TRUE,I.Facility.P4FacilityCount&gt;=3428,F23440=""),"Incomplete","Complete")</f>
        <v>Complete</v>
      </c>
      <c r="I23440" s="48" t="s">
        <v>27805</v>
      </c>
    </row>
    <row r="23441" spans="2:9" ht="15" customHeight="1" x14ac:dyDescent="0.25">
      <c r="B23441" s="55" t="s">
        <v>283</v>
      </c>
      <c r="C23441" s="46">
        <v>3429</v>
      </c>
      <c r="D23441" s="69" t="s">
        <v>29420</v>
      </c>
      <c r="E23441" s="51"/>
      <c r="F23441" s="114" t="str">
        <f>IF(INDEX(I.Facility.P4IDNumber,3429)="","",INDEX(I.Facility.P4IDNumber,3429))</f>
        <v/>
      </c>
      <c r="G23441" s="51"/>
      <c r="H23441" s="46" t="str">
        <f>IF(AND(I.Developer.P4=TRUE,I.Facility.P4FacilityCount&gt;=3429,F23441=""),"Incomplete","Complete")</f>
        <v>Complete</v>
      </c>
      <c r="I23441" s="48" t="s">
        <v>27806</v>
      </c>
    </row>
    <row r="23442" spans="2:9" ht="15" customHeight="1" x14ac:dyDescent="0.25">
      <c r="B23442" s="55" t="s">
        <v>283</v>
      </c>
      <c r="C23442" s="46">
        <v>3430</v>
      </c>
      <c r="D23442" s="69" t="s">
        <v>29420</v>
      </c>
      <c r="E23442" s="51"/>
      <c r="F23442" s="114" t="str">
        <f>IF(INDEX(I.Facility.P4IDNumber,3430)="","",INDEX(I.Facility.P4IDNumber,3430))</f>
        <v/>
      </c>
      <c r="G23442" s="51"/>
      <c r="H23442" s="46" t="str">
        <f>IF(AND(I.Developer.P4=TRUE,I.Facility.P4FacilityCount&gt;=3430,F23442=""),"Incomplete","Complete")</f>
        <v>Complete</v>
      </c>
      <c r="I23442" s="48" t="s">
        <v>27807</v>
      </c>
    </row>
    <row r="23443" spans="2:9" ht="15" customHeight="1" x14ac:dyDescent="0.25">
      <c r="B23443" s="55" t="s">
        <v>283</v>
      </c>
      <c r="C23443" s="46">
        <v>3431</v>
      </c>
      <c r="D23443" s="69" t="s">
        <v>29420</v>
      </c>
      <c r="E23443" s="51"/>
      <c r="F23443" s="114" t="str">
        <f>IF(INDEX(I.Facility.P4IDNumber,3431)="","",INDEX(I.Facility.P4IDNumber,3431))</f>
        <v/>
      </c>
      <c r="G23443" s="51"/>
      <c r="H23443" s="46" t="str">
        <f>IF(AND(I.Developer.P4=TRUE,I.Facility.P4FacilityCount&gt;=3431,F23443=""),"Incomplete","Complete")</f>
        <v>Complete</v>
      </c>
      <c r="I23443" s="48" t="s">
        <v>27808</v>
      </c>
    </row>
    <row r="23444" spans="2:9" ht="15" customHeight="1" x14ac:dyDescent="0.25">
      <c r="B23444" s="55" t="s">
        <v>283</v>
      </c>
      <c r="C23444" s="46">
        <v>3432</v>
      </c>
      <c r="D23444" s="69" t="s">
        <v>29420</v>
      </c>
      <c r="E23444" s="51"/>
      <c r="F23444" s="114" t="str">
        <f>IF(INDEX(I.Facility.P4IDNumber,3432)="","",INDEX(I.Facility.P4IDNumber,3432))</f>
        <v/>
      </c>
      <c r="G23444" s="51"/>
      <c r="H23444" s="46" t="str">
        <f>IF(AND(I.Developer.P4=TRUE,I.Facility.P4FacilityCount&gt;=3432,F23444=""),"Incomplete","Complete")</f>
        <v>Complete</v>
      </c>
      <c r="I23444" s="48" t="s">
        <v>27809</v>
      </c>
    </row>
    <row r="23445" spans="2:9" ht="15" customHeight="1" x14ac:dyDescent="0.25">
      <c r="B23445" s="55" t="s">
        <v>283</v>
      </c>
      <c r="C23445" s="46">
        <v>3433</v>
      </c>
      <c r="D23445" s="69" t="s">
        <v>29420</v>
      </c>
      <c r="E23445" s="51"/>
      <c r="F23445" s="114" t="str">
        <f>IF(INDEX(I.Facility.P4IDNumber,3433)="","",INDEX(I.Facility.P4IDNumber,3433))</f>
        <v/>
      </c>
      <c r="G23445" s="51"/>
      <c r="H23445" s="46" t="str">
        <f>IF(AND(I.Developer.P4=TRUE,I.Facility.P4FacilityCount&gt;=3433,F23445=""),"Incomplete","Complete")</f>
        <v>Complete</v>
      </c>
      <c r="I23445" s="48" t="s">
        <v>27810</v>
      </c>
    </row>
    <row r="23446" spans="2:9" ht="15" customHeight="1" x14ac:dyDescent="0.25">
      <c r="B23446" s="55" t="s">
        <v>283</v>
      </c>
      <c r="C23446" s="46">
        <v>3434</v>
      </c>
      <c r="D23446" s="69" t="s">
        <v>29420</v>
      </c>
      <c r="E23446" s="51"/>
      <c r="F23446" s="114" t="str">
        <f>IF(INDEX(I.Facility.P4IDNumber,3434)="","",INDEX(I.Facility.P4IDNumber,3434))</f>
        <v/>
      </c>
      <c r="G23446" s="51"/>
      <c r="H23446" s="46" t="str">
        <f>IF(AND(I.Developer.P4=TRUE,I.Facility.P4FacilityCount&gt;=3434,F23446=""),"Incomplete","Complete")</f>
        <v>Complete</v>
      </c>
      <c r="I23446" s="48" t="s">
        <v>27811</v>
      </c>
    </row>
    <row r="23447" spans="2:9" ht="15" customHeight="1" x14ac:dyDescent="0.25">
      <c r="B23447" s="55" t="s">
        <v>283</v>
      </c>
      <c r="C23447" s="46">
        <v>3435</v>
      </c>
      <c r="D23447" s="69" t="s">
        <v>29420</v>
      </c>
      <c r="E23447" s="51"/>
      <c r="F23447" s="114" t="str">
        <f>IF(INDEX(I.Facility.P4IDNumber,3435)="","",INDEX(I.Facility.P4IDNumber,3435))</f>
        <v/>
      </c>
      <c r="G23447" s="51"/>
      <c r="H23447" s="46" t="str">
        <f>IF(AND(I.Developer.P4=TRUE,I.Facility.P4FacilityCount&gt;=3435,F23447=""),"Incomplete","Complete")</f>
        <v>Complete</v>
      </c>
      <c r="I23447" s="48" t="s">
        <v>27812</v>
      </c>
    </row>
    <row r="23448" spans="2:9" ht="15" customHeight="1" x14ac:dyDescent="0.25">
      <c r="B23448" s="55" t="s">
        <v>283</v>
      </c>
      <c r="C23448" s="46">
        <v>3436</v>
      </c>
      <c r="D23448" s="69" t="s">
        <v>29420</v>
      </c>
      <c r="E23448" s="51"/>
      <c r="F23448" s="114" t="str">
        <f>IF(INDEX(I.Facility.P4IDNumber,3436)="","",INDEX(I.Facility.P4IDNumber,3436))</f>
        <v/>
      </c>
      <c r="G23448" s="51"/>
      <c r="H23448" s="46" t="str">
        <f>IF(AND(I.Developer.P4=TRUE,I.Facility.P4FacilityCount&gt;=3436,F23448=""),"Incomplete","Complete")</f>
        <v>Complete</v>
      </c>
      <c r="I23448" s="48" t="s">
        <v>27813</v>
      </c>
    </row>
    <row r="23449" spans="2:9" ht="15" customHeight="1" x14ac:dyDescent="0.25">
      <c r="B23449" s="55" t="s">
        <v>283</v>
      </c>
      <c r="C23449" s="46">
        <v>3437</v>
      </c>
      <c r="D23449" s="69" t="s">
        <v>29420</v>
      </c>
      <c r="E23449" s="51"/>
      <c r="F23449" s="114" t="str">
        <f>IF(INDEX(I.Facility.P4IDNumber,3437)="","",INDEX(I.Facility.P4IDNumber,3437))</f>
        <v/>
      </c>
      <c r="G23449" s="51"/>
      <c r="H23449" s="46" t="str">
        <f>IF(AND(I.Developer.P4=TRUE,I.Facility.P4FacilityCount&gt;=3437,F23449=""),"Incomplete","Complete")</f>
        <v>Complete</v>
      </c>
      <c r="I23449" s="48" t="s">
        <v>27814</v>
      </c>
    </row>
    <row r="23450" spans="2:9" ht="15" customHeight="1" x14ac:dyDescent="0.25">
      <c r="B23450" s="55" t="s">
        <v>283</v>
      </c>
      <c r="C23450" s="46">
        <v>3438</v>
      </c>
      <c r="D23450" s="69" t="s">
        <v>29420</v>
      </c>
      <c r="E23450" s="51"/>
      <c r="F23450" s="114" t="str">
        <f>IF(INDEX(I.Facility.P4IDNumber,3438)="","",INDEX(I.Facility.P4IDNumber,3438))</f>
        <v/>
      </c>
      <c r="G23450" s="51"/>
      <c r="H23450" s="46" t="str">
        <f>IF(AND(I.Developer.P4=TRUE,I.Facility.P4FacilityCount&gt;=3438,F23450=""),"Incomplete","Complete")</f>
        <v>Complete</v>
      </c>
      <c r="I23450" s="48" t="s">
        <v>27815</v>
      </c>
    </row>
    <row r="23451" spans="2:9" ht="15" customHeight="1" x14ac:dyDescent="0.25">
      <c r="B23451" s="55" t="s">
        <v>283</v>
      </c>
      <c r="C23451" s="46">
        <v>3439</v>
      </c>
      <c r="D23451" s="69" t="s">
        <v>29420</v>
      </c>
      <c r="E23451" s="51"/>
      <c r="F23451" s="114" t="str">
        <f>IF(INDEX(I.Facility.P4IDNumber,3439)="","",INDEX(I.Facility.P4IDNumber,3439))</f>
        <v/>
      </c>
      <c r="G23451" s="51"/>
      <c r="H23451" s="46" t="str">
        <f>IF(AND(I.Developer.P4=TRUE,I.Facility.P4FacilityCount&gt;=3439,F23451=""),"Incomplete","Complete")</f>
        <v>Complete</v>
      </c>
      <c r="I23451" s="48" t="s">
        <v>27816</v>
      </c>
    </row>
    <row r="23452" spans="2:9" ht="15" customHeight="1" x14ac:dyDescent="0.25">
      <c r="B23452" s="55" t="s">
        <v>283</v>
      </c>
      <c r="C23452" s="46">
        <v>3440</v>
      </c>
      <c r="D23452" s="69" t="s">
        <v>29420</v>
      </c>
      <c r="E23452" s="51"/>
      <c r="F23452" s="114" t="str">
        <f>IF(INDEX(I.Facility.P4IDNumber,3440)="","",INDEX(I.Facility.P4IDNumber,3440))</f>
        <v/>
      </c>
      <c r="G23452" s="51"/>
      <c r="H23452" s="46" t="str">
        <f>IF(AND(I.Developer.P4=TRUE,I.Facility.P4FacilityCount&gt;=3440,F23452=""),"Incomplete","Complete")</f>
        <v>Complete</v>
      </c>
      <c r="I23452" s="48" t="s">
        <v>27817</v>
      </c>
    </row>
    <row r="23453" spans="2:9" ht="15" customHeight="1" x14ac:dyDescent="0.25">
      <c r="B23453" s="55" t="s">
        <v>283</v>
      </c>
      <c r="C23453" s="46">
        <v>3441</v>
      </c>
      <c r="D23453" s="69" t="s">
        <v>29420</v>
      </c>
      <c r="E23453" s="51"/>
      <c r="F23453" s="114" t="str">
        <f>IF(INDEX(I.Facility.P4IDNumber,3441)="","",INDEX(I.Facility.P4IDNumber,3441))</f>
        <v/>
      </c>
      <c r="G23453" s="51"/>
      <c r="H23453" s="46" t="str">
        <f>IF(AND(I.Developer.P4=TRUE,I.Facility.P4FacilityCount&gt;=3441,F23453=""),"Incomplete","Complete")</f>
        <v>Complete</v>
      </c>
      <c r="I23453" s="48" t="s">
        <v>27818</v>
      </c>
    </row>
    <row r="23454" spans="2:9" ht="15" customHeight="1" x14ac:dyDescent="0.25">
      <c r="B23454" s="55" t="s">
        <v>283</v>
      </c>
      <c r="C23454" s="46">
        <v>3442</v>
      </c>
      <c r="D23454" s="69" t="s">
        <v>29420</v>
      </c>
      <c r="E23454" s="51"/>
      <c r="F23454" s="114" t="str">
        <f>IF(INDEX(I.Facility.P4IDNumber,3442)="","",INDEX(I.Facility.P4IDNumber,3442))</f>
        <v/>
      </c>
      <c r="G23454" s="51"/>
      <c r="H23454" s="46" t="str">
        <f>IF(AND(I.Developer.P4=TRUE,I.Facility.P4FacilityCount&gt;=3442,F23454=""),"Incomplete","Complete")</f>
        <v>Complete</v>
      </c>
      <c r="I23454" s="48" t="s">
        <v>27819</v>
      </c>
    </row>
    <row r="23455" spans="2:9" ht="15" customHeight="1" x14ac:dyDescent="0.25">
      <c r="B23455" s="55" t="s">
        <v>283</v>
      </c>
      <c r="C23455" s="46">
        <v>3443</v>
      </c>
      <c r="D23455" s="69" t="s">
        <v>29420</v>
      </c>
      <c r="E23455" s="51"/>
      <c r="F23455" s="114" t="str">
        <f>IF(INDEX(I.Facility.P4IDNumber,3443)="","",INDEX(I.Facility.P4IDNumber,3443))</f>
        <v/>
      </c>
      <c r="G23455" s="51"/>
      <c r="H23455" s="46" t="str">
        <f>IF(AND(I.Developer.P4=TRUE,I.Facility.P4FacilityCount&gt;=3443,F23455=""),"Incomplete","Complete")</f>
        <v>Complete</v>
      </c>
      <c r="I23455" s="48" t="s">
        <v>27820</v>
      </c>
    </row>
    <row r="23456" spans="2:9" ht="15" customHeight="1" x14ac:dyDescent="0.25">
      <c r="B23456" s="55" t="s">
        <v>283</v>
      </c>
      <c r="C23456" s="46">
        <v>3444</v>
      </c>
      <c r="D23456" s="69" t="s">
        <v>29420</v>
      </c>
      <c r="E23456" s="51"/>
      <c r="F23456" s="114" t="str">
        <f>IF(INDEX(I.Facility.P4IDNumber,3444)="","",INDEX(I.Facility.P4IDNumber,3444))</f>
        <v/>
      </c>
      <c r="G23456" s="51"/>
      <c r="H23456" s="46" t="str">
        <f>IF(AND(I.Developer.P4=TRUE,I.Facility.P4FacilityCount&gt;=3444,F23456=""),"Incomplete","Complete")</f>
        <v>Complete</v>
      </c>
      <c r="I23456" s="48" t="s">
        <v>27821</v>
      </c>
    </row>
    <row r="23457" spans="2:9" ht="15" customHeight="1" x14ac:dyDescent="0.25">
      <c r="B23457" s="55" t="s">
        <v>283</v>
      </c>
      <c r="C23457" s="46">
        <v>3445</v>
      </c>
      <c r="D23457" s="69" t="s">
        <v>29420</v>
      </c>
      <c r="E23457" s="51"/>
      <c r="F23457" s="114" t="str">
        <f>IF(INDEX(I.Facility.P4IDNumber,3445)="","",INDEX(I.Facility.P4IDNumber,3445))</f>
        <v/>
      </c>
      <c r="G23457" s="51"/>
      <c r="H23457" s="46" t="str">
        <f>IF(AND(I.Developer.P4=TRUE,I.Facility.P4FacilityCount&gt;=3445,F23457=""),"Incomplete","Complete")</f>
        <v>Complete</v>
      </c>
      <c r="I23457" s="48" t="s">
        <v>27822</v>
      </c>
    </row>
    <row r="23458" spans="2:9" ht="15" customHeight="1" x14ac:dyDescent="0.25">
      <c r="B23458" s="55" t="s">
        <v>283</v>
      </c>
      <c r="C23458" s="46">
        <v>3446</v>
      </c>
      <c r="D23458" s="69" t="s">
        <v>29420</v>
      </c>
      <c r="E23458" s="51"/>
      <c r="F23458" s="114" t="str">
        <f>IF(INDEX(I.Facility.P4IDNumber,3446)="","",INDEX(I.Facility.P4IDNumber,3446))</f>
        <v/>
      </c>
      <c r="G23458" s="51"/>
      <c r="H23458" s="46" t="str">
        <f>IF(AND(I.Developer.P4=TRUE,I.Facility.P4FacilityCount&gt;=3446,F23458=""),"Incomplete","Complete")</f>
        <v>Complete</v>
      </c>
      <c r="I23458" s="48" t="s">
        <v>27823</v>
      </c>
    </row>
    <row r="23459" spans="2:9" ht="15" customHeight="1" x14ac:dyDescent="0.25">
      <c r="B23459" s="55" t="s">
        <v>283</v>
      </c>
      <c r="C23459" s="46">
        <v>3447</v>
      </c>
      <c r="D23459" s="69" t="s">
        <v>29420</v>
      </c>
      <c r="E23459" s="51"/>
      <c r="F23459" s="114" t="str">
        <f>IF(INDEX(I.Facility.P4IDNumber,3447)="","",INDEX(I.Facility.P4IDNumber,3447))</f>
        <v/>
      </c>
      <c r="G23459" s="51"/>
      <c r="H23459" s="46" t="str">
        <f>IF(AND(I.Developer.P4=TRUE,I.Facility.P4FacilityCount&gt;=3447,F23459=""),"Incomplete","Complete")</f>
        <v>Complete</v>
      </c>
      <c r="I23459" s="48" t="s">
        <v>27824</v>
      </c>
    </row>
    <row r="23460" spans="2:9" ht="15" customHeight="1" x14ac:dyDescent="0.25">
      <c r="B23460" s="55" t="s">
        <v>283</v>
      </c>
      <c r="C23460" s="46">
        <v>3448</v>
      </c>
      <c r="D23460" s="69" t="s">
        <v>29420</v>
      </c>
      <c r="E23460" s="51"/>
      <c r="F23460" s="114" t="str">
        <f>IF(INDEX(I.Facility.P4IDNumber,3448)="","",INDEX(I.Facility.P4IDNumber,3448))</f>
        <v/>
      </c>
      <c r="G23460" s="51"/>
      <c r="H23460" s="46" t="str">
        <f>IF(AND(I.Developer.P4=TRUE,I.Facility.P4FacilityCount&gt;=3448,F23460=""),"Incomplete","Complete")</f>
        <v>Complete</v>
      </c>
      <c r="I23460" s="48" t="s">
        <v>27825</v>
      </c>
    </row>
    <row r="23461" spans="2:9" ht="15" customHeight="1" x14ac:dyDescent="0.25">
      <c r="B23461" s="55" t="s">
        <v>283</v>
      </c>
      <c r="C23461" s="46">
        <v>3449</v>
      </c>
      <c r="D23461" s="69" t="s">
        <v>29420</v>
      </c>
      <c r="E23461" s="51"/>
      <c r="F23461" s="114" t="str">
        <f>IF(INDEX(I.Facility.P4IDNumber,3449)="","",INDEX(I.Facility.P4IDNumber,3449))</f>
        <v/>
      </c>
      <c r="G23461" s="51"/>
      <c r="H23461" s="46" t="str">
        <f>IF(AND(I.Developer.P4=TRUE,I.Facility.P4FacilityCount&gt;=3449,F23461=""),"Incomplete","Complete")</f>
        <v>Complete</v>
      </c>
      <c r="I23461" s="48" t="s">
        <v>27826</v>
      </c>
    </row>
    <row r="23462" spans="2:9" ht="15" customHeight="1" x14ac:dyDescent="0.25">
      <c r="B23462" s="55" t="s">
        <v>283</v>
      </c>
      <c r="C23462" s="46">
        <v>3450</v>
      </c>
      <c r="D23462" s="69" t="s">
        <v>29420</v>
      </c>
      <c r="E23462" s="51"/>
      <c r="F23462" s="114" t="str">
        <f>IF(INDEX(I.Facility.P4IDNumber,3450)="","",INDEX(I.Facility.P4IDNumber,3450))</f>
        <v/>
      </c>
      <c r="G23462" s="51"/>
      <c r="H23462" s="46" t="str">
        <f>IF(AND(I.Developer.P4=TRUE,I.Facility.P4FacilityCount&gt;=3450,F23462=""),"Incomplete","Complete")</f>
        <v>Complete</v>
      </c>
      <c r="I23462" s="48" t="s">
        <v>27827</v>
      </c>
    </row>
    <row r="23463" spans="2:9" ht="15" customHeight="1" x14ac:dyDescent="0.25">
      <c r="B23463" s="55" t="s">
        <v>283</v>
      </c>
      <c r="C23463" s="46">
        <v>3451</v>
      </c>
      <c r="D23463" s="69" t="s">
        <v>29420</v>
      </c>
      <c r="E23463" s="51"/>
      <c r="F23463" s="114" t="str">
        <f>IF(INDEX(I.Facility.P4IDNumber,3451)="","",INDEX(I.Facility.P4IDNumber,3451))</f>
        <v/>
      </c>
      <c r="G23463" s="51"/>
      <c r="H23463" s="46" t="str">
        <f>IF(AND(I.Developer.P4=TRUE,I.Facility.P4FacilityCount&gt;=3451,F23463=""),"Incomplete","Complete")</f>
        <v>Complete</v>
      </c>
      <c r="I23463" s="48" t="s">
        <v>27828</v>
      </c>
    </row>
    <row r="23464" spans="2:9" ht="15" customHeight="1" x14ac:dyDescent="0.25">
      <c r="B23464" s="55" t="s">
        <v>283</v>
      </c>
      <c r="C23464" s="46">
        <v>3452</v>
      </c>
      <c r="D23464" s="69" t="s">
        <v>29420</v>
      </c>
      <c r="E23464" s="51"/>
      <c r="F23464" s="114" t="str">
        <f>IF(INDEX(I.Facility.P4IDNumber,3452)="","",INDEX(I.Facility.P4IDNumber,3452))</f>
        <v/>
      </c>
      <c r="G23464" s="51"/>
      <c r="H23464" s="46" t="str">
        <f>IF(AND(I.Developer.P4=TRUE,I.Facility.P4FacilityCount&gt;=3452,F23464=""),"Incomplete","Complete")</f>
        <v>Complete</v>
      </c>
      <c r="I23464" s="48" t="s">
        <v>27829</v>
      </c>
    </row>
    <row r="23465" spans="2:9" ht="15" customHeight="1" x14ac:dyDescent="0.25">
      <c r="B23465" s="55" t="s">
        <v>283</v>
      </c>
      <c r="C23465" s="46">
        <v>3453</v>
      </c>
      <c r="D23465" s="69" t="s">
        <v>29420</v>
      </c>
      <c r="E23465" s="51"/>
      <c r="F23465" s="114" t="str">
        <f>IF(INDEX(I.Facility.P4IDNumber,3453)="","",INDEX(I.Facility.P4IDNumber,3453))</f>
        <v/>
      </c>
      <c r="G23465" s="51"/>
      <c r="H23465" s="46" t="str">
        <f>IF(AND(I.Developer.P4=TRUE,I.Facility.P4FacilityCount&gt;=3453,F23465=""),"Incomplete","Complete")</f>
        <v>Complete</v>
      </c>
      <c r="I23465" s="48" t="s">
        <v>27830</v>
      </c>
    </row>
    <row r="23466" spans="2:9" ht="15" customHeight="1" x14ac:dyDescent="0.25">
      <c r="B23466" s="55" t="s">
        <v>283</v>
      </c>
      <c r="C23466" s="46">
        <v>3454</v>
      </c>
      <c r="D23466" s="69" t="s">
        <v>29420</v>
      </c>
      <c r="E23466" s="51"/>
      <c r="F23466" s="114" t="str">
        <f>IF(INDEX(I.Facility.P4IDNumber,3454)="","",INDEX(I.Facility.P4IDNumber,3454))</f>
        <v/>
      </c>
      <c r="G23466" s="51"/>
      <c r="H23466" s="46" t="str">
        <f>IF(AND(I.Developer.P4=TRUE,I.Facility.P4FacilityCount&gt;=3454,F23466=""),"Incomplete","Complete")</f>
        <v>Complete</v>
      </c>
      <c r="I23466" s="48" t="s">
        <v>27831</v>
      </c>
    </row>
    <row r="23467" spans="2:9" ht="15" customHeight="1" x14ac:dyDescent="0.25">
      <c r="B23467" s="55" t="s">
        <v>283</v>
      </c>
      <c r="C23467" s="46">
        <v>3455</v>
      </c>
      <c r="D23467" s="69" t="s">
        <v>29420</v>
      </c>
      <c r="E23467" s="51"/>
      <c r="F23467" s="114" t="str">
        <f>IF(INDEX(I.Facility.P4IDNumber,3455)="","",INDEX(I.Facility.P4IDNumber,3455))</f>
        <v/>
      </c>
      <c r="G23467" s="51"/>
      <c r="H23467" s="46" t="str">
        <f>IF(AND(I.Developer.P4=TRUE,I.Facility.P4FacilityCount&gt;=3455,F23467=""),"Incomplete","Complete")</f>
        <v>Complete</v>
      </c>
      <c r="I23467" s="48" t="s">
        <v>27832</v>
      </c>
    </row>
    <row r="23468" spans="2:9" ht="15" customHeight="1" x14ac:dyDescent="0.25">
      <c r="B23468" s="55" t="s">
        <v>283</v>
      </c>
      <c r="C23468" s="46">
        <v>3456</v>
      </c>
      <c r="D23468" s="69" t="s">
        <v>29420</v>
      </c>
      <c r="E23468" s="51"/>
      <c r="F23468" s="114" t="str">
        <f>IF(INDEX(I.Facility.P4IDNumber,3456)="","",INDEX(I.Facility.P4IDNumber,3456))</f>
        <v/>
      </c>
      <c r="G23468" s="51"/>
      <c r="H23468" s="46" t="str">
        <f>IF(AND(I.Developer.P4=TRUE,I.Facility.P4FacilityCount&gt;=3456,F23468=""),"Incomplete","Complete")</f>
        <v>Complete</v>
      </c>
      <c r="I23468" s="48" t="s">
        <v>27833</v>
      </c>
    </row>
    <row r="23469" spans="2:9" ht="15" customHeight="1" x14ac:dyDescent="0.25">
      <c r="B23469" s="55" t="s">
        <v>283</v>
      </c>
      <c r="C23469" s="46">
        <v>3457</v>
      </c>
      <c r="D23469" s="69" t="s">
        <v>29420</v>
      </c>
      <c r="E23469" s="51"/>
      <c r="F23469" s="114" t="str">
        <f>IF(INDEX(I.Facility.P4IDNumber,3457)="","",INDEX(I.Facility.P4IDNumber,3457))</f>
        <v/>
      </c>
      <c r="G23469" s="51"/>
      <c r="H23469" s="46" t="str">
        <f>IF(AND(I.Developer.P4=TRUE,I.Facility.P4FacilityCount&gt;=3457,F23469=""),"Incomplete","Complete")</f>
        <v>Complete</v>
      </c>
      <c r="I23469" s="48" t="s">
        <v>27834</v>
      </c>
    </row>
    <row r="23470" spans="2:9" ht="15" customHeight="1" x14ac:dyDescent="0.25">
      <c r="B23470" s="55" t="s">
        <v>283</v>
      </c>
      <c r="C23470" s="46">
        <v>3458</v>
      </c>
      <c r="D23470" s="69" t="s">
        <v>29420</v>
      </c>
      <c r="E23470" s="51"/>
      <c r="F23470" s="114" t="str">
        <f>IF(INDEX(I.Facility.P4IDNumber,3458)="","",INDEX(I.Facility.P4IDNumber,3458))</f>
        <v/>
      </c>
      <c r="G23470" s="51"/>
      <c r="H23470" s="46" t="str">
        <f>IF(AND(I.Developer.P4=TRUE,I.Facility.P4FacilityCount&gt;=3458,F23470=""),"Incomplete","Complete")</f>
        <v>Complete</v>
      </c>
      <c r="I23470" s="48" t="s">
        <v>27835</v>
      </c>
    </row>
    <row r="23471" spans="2:9" ht="15" customHeight="1" x14ac:dyDescent="0.25">
      <c r="B23471" s="55" t="s">
        <v>283</v>
      </c>
      <c r="C23471" s="46">
        <v>3459</v>
      </c>
      <c r="D23471" s="69" t="s">
        <v>29420</v>
      </c>
      <c r="E23471" s="51"/>
      <c r="F23471" s="114" t="str">
        <f>IF(INDEX(I.Facility.P4IDNumber,3459)="","",INDEX(I.Facility.P4IDNumber,3459))</f>
        <v/>
      </c>
      <c r="G23471" s="51"/>
      <c r="H23471" s="46" t="str">
        <f>IF(AND(I.Developer.P4=TRUE,I.Facility.P4FacilityCount&gt;=3459,F23471=""),"Incomplete","Complete")</f>
        <v>Complete</v>
      </c>
      <c r="I23471" s="48" t="s">
        <v>27836</v>
      </c>
    </row>
    <row r="23472" spans="2:9" ht="15" customHeight="1" x14ac:dyDescent="0.25">
      <c r="B23472" s="55" t="s">
        <v>283</v>
      </c>
      <c r="C23472" s="46">
        <v>3460</v>
      </c>
      <c r="D23472" s="69" t="s">
        <v>29420</v>
      </c>
      <c r="E23472" s="51"/>
      <c r="F23472" s="114" t="str">
        <f>IF(INDEX(I.Facility.P4IDNumber,3460)="","",INDEX(I.Facility.P4IDNumber,3460))</f>
        <v/>
      </c>
      <c r="G23472" s="51"/>
      <c r="H23472" s="46" t="str">
        <f>IF(AND(I.Developer.P4=TRUE,I.Facility.P4FacilityCount&gt;=3460,F23472=""),"Incomplete","Complete")</f>
        <v>Complete</v>
      </c>
      <c r="I23472" s="48" t="s">
        <v>27837</v>
      </c>
    </row>
    <row r="23473" spans="2:9" ht="15" customHeight="1" x14ac:dyDescent="0.25">
      <c r="B23473" s="55" t="s">
        <v>283</v>
      </c>
      <c r="C23473" s="46">
        <v>3461</v>
      </c>
      <c r="D23473" s="69" t="s">
        <v>29420</v>
      </c>
      <c r="E23473" s="51"/>
      <c r="F23473" s="114" t="str">
        <f>IF(INDEX(I.Facility.P4IDNumber,3461)="","",INDEX(I.Facility.P4IDNumber,3461))</f>
        <v/>
      </c>
      <c r="G23473" s="51"/>
      <c r="H23473" s="46" t="str">
        <f>IF(AND(I.Developer.P4=TRUE,I.Facility.P4FacilityCount&gt;=3461,F23473=""),"Incomplete","Complete")</f>
        <v>Complete</v>
      </c>
      <c r="I23473" s="48" t="s">
        <v>27838</v>
      </c>
    </row>
    <row r="23474" spans="2:9" ht="15" customHeight="1" x14ac:dyDescent="0.25">
      <c r="B23474" s="55" t="s">
        <v>283</v>
      </c>
      <c r="C23474" s="46">
        <v>3462</v>
      </c>
      <c r="D23474" s="69" t="s">
        <v>29420</v>
      </c>
      <c r="E23474" s="51"/>
      <c r="F23474" s="114" t="str">
        <f>IF(INDEX(I.Facility.P4IDNumber,3462)="","",INDEX(I.Facility.P4IDNumber,3462))</f>
        <v/>
      </c>
      <c r="G23474" s="51"/>
      <c r="H23474" s="46" t="str">
        <f>IF(AND(I.Developer.P4=TRUE,I.Facility.P4FacilityCount&gt;=3462,F23474=""),"Incomplete","Complete")</f>
        <v>Complete</v>
      </c>
      <c r="I23474" s="48" t="s">
        <v>27839</v>
      </c>
    </row>
    <row r="23475" spans="2:9" ht="15" customHeight="1" x14ac:dyDescent="0.25">
      <c r="B23475" s="55" t="s">
        <v>283</v>
      </c>
      <c r="C23475" s="46">
        <v>3463</v>
      </c>
      <c r="D23475" s="69" t="s">
        <v>29420</v>
      </c>
      <c r="E23475" s="51"/>
      <c r="F23475" s="114" t="str">
        <f>IF(INDEX(I.Facility.P4IDNumber,3463)="","",INDEX(I.Facility.P4IDNumber,3463))</f>
        <v/>
      </c>
      <c r="G23475" s="51"/>
      <c r="H23475" s="46" t="str">
        <f>IF(AND(I.Developer.P4=TRUE,I.Facility.P4FacilityCount&gt;=3463,F23475=""),"Incomplete","Complete")</f>
        <v>Complete</v>
      </c>
      <c r="I23475" s="48" t="s">
        <v>27840</v>
      </c>
    </row>
    <row r="23476" spans="2:9" ht="15" customHeight="1" x14ac:dyDescent="0.25">
      <c r="B23476" s="55" t="s">
        <v>283</v>
      </c>
      <c r="C23476" s="46">
        <v>3464</v>
      </c>
      <c r="D23476" s="69" t="s">
        <v>29420</v>
      </c>
      <c r="E23476" s="51"/>
      <c r="F23476" s="114" t="str">
        <f>IF(INDEX(I.Facility.P4IDNumber,3464)="","",INDEX(I.Facility.P4IDNumber,3464))</f>
        <v/>
      </c>
      <c r="G23476" s="51"/>
      <c r="H23476" s="46" t="str">
        <f>IF(AND(I.Developer.P4=TRUE,I.Facility.P4FacilityCount&gt;=3464,F23476=""),"Incomplete","Complete")</f>
        <v>Complete</v>
      </c>
      <c r="I23476" s="48" t="s">
        <v>27841</v>
      </c>
    </row>
    <row r="23477" spans="2:9" ht="15" customHeight="1" x14ac:dyDescent="0.25">
      <c r="B23477" s="55" t="s">
        <v>283</v>
      </c>
      <c r="C23477" s="46">
        <v>3465</v>
      </c>
      <c r="D23477" s="69" t="s">
        <v>29420</v>
      </c>
      <c r="E23477" s="51"/>
      <c r="F23477" s="114" t="str">
        <f>IF(INDEX(I.Facility.P4IDNumber,3465)="","",INDEX(I.Facility.P4IDNumber,3465))</f>
        <v/>
      </c>
      <c r="G23477" s="51"/>
      <c r="H23477" s="46" t="str">
        <f>IF(AND(I.Developer.P4=TRUE,I.Facility.P4FacilityCount&gt;=3465,F23477=""),"Incomplete","Complete")</f>
        <v>Complete</v>
      </c>
      <c r="I23477" s="48" t="s">
        <v>27842</v>
      </c>
    </row>
    <row r="23478" spans="2:9" ht="15" customHeight="1" x14ac:dyDescent="0.25">
      <c r="B23478" s="55" t="s">
        <v>283</v>
      </c>
      <c r="C23478" s="46">
        <v>3466</v>
      </c>
      <c r="D23478" s="69" t="s">
        <v>29420</v>
      </c>
      <c r="E23478" s="51"/>
      <c r="F23478" s="114" t="str">
        <f>IF(INDEX(I.Facility.P4IDNumber,3466)="","",INDEX(I.Facility.P4IDNumber,3466))</f>
        <v/>
      </c>
      <c r="G23478" s="51"/>
      <c r="H23478" s="46" t="str">
        <f>IF(AND(I.Developer.P4=TRUE,I.Facility.P4FacilityCount&gt;=3466,F23478=""),"Incomplete","Complete")</f>
        <v>Complete</v>
      </c>
      <c r="I23478" s="48" t="s">
        <v>27843</v>
      </c>
    </row>
    <row r="23479" spans="2:9" ht="15" customHeight="1" x14ac:dyDescent="0.25">
      <c r="B23479" s="55" t="s">
        <v>283</v>
      </c>
      <c r="C23479" s="46">
        <v>3467</v>
      </c>
      <c r="D23479" s="69" t="s">
        <v>29420</v>
      </c>
      <c r="E23479" s="51"/>
      <c r="F23479" s="114" t="str">
        <f>IF(INDEX(I.Facility.P4IDNumber,3467)="","",INDEX(I.Facility.P4IDNumber,3467))</f>
        <v/>
      </c>
      <c r="G23479" s="51"/>
      <c r="H23479" s="46" t="str">
        <f>IF(AND(I.Developer.P4=TRUE,I.Facility.P4FacilityCount&gt;=3467,F23479=""),"Incomplete","Complete")</f>
        <v>Complete</v>
      </c>
      <c r="I23479" s="48" t="s">
        <v>27844</v>
      </c>
    </row>
    <row r="23480" spans="2:9" ht="15" customHeight="1" x14ac:dyDescent="0.25">
      <c r="B23480" s="55" t="s">
        <v>283</v>
      </c>
      <c r="C23480" s="46">
        <v>3468</v>
      </c>
      <c r="D23480" s="69" t="s">
        <v>29420</v>
      </c>
      <c r="E23480" s="51"/>
      <c r="F23480" s="114" t="str">
        <f>IF(INDEX(I.Facility.P4IDNumber,3468)="","",INDEX(I.Facility.P4IDNumber,3468))</f>
        <v/>
      </c>
      <c r="G23480" s="51"/>
      <c r="H23480" s="46" t="str">
        <f>IF(AND(I.Developer.P4=TRUE,I.Facility.P4FacilityCount&gt;=3468,F23480=""),"Incomplete","Complete")</f>
        <v>Complete</v>
      </c>
      <c r="I23480" s="48" t="s">
        <v>27845</v>
      </c>
    </row>
    <row r="23481" spans="2:9" ht="15" customHeight="1" x14ac:dyDescent="0.25">
      <c r="B23481" s="55" t="s">
        <v>283</v>
      </c>
      <c r="C23481" s="46">
        <v>3469</v>
      </c>
      <c r="D23481" s="69" t="s">
        <v>29420</v>
      </c>
      <c r="E23481" s="51"/>
      <c r="F23481" s="114" t="str">
        <f>IF(INDEX(I.Facility.P4IDNumber,3469)="","",INDEX(I.Facility.P4IDNumber,3469))</f>
        <v/>
      </c>
      <c r="G23481" s="51"/>
      <c r="H23481" s="46" t="str">
        <f>IF(AND(I.Developer.P4=TRUE,I.Facility.P4FacilityCount&gt;=3469,F23481=""),"Incomplete","Complete")</f>
        <v>Complete</v>
      </c>
      <c r="I23481" s="48" t="s">
        <v>27846</v>
      </c>
    </row>
    <row r="23482" spans="2:9" ht="15" customHeight="1" x14ac:dyDescent="0.25">
      <c r="B23482" s="55" t="s">
        <v>283</v>
      </c>
      <c r="C23482" s="46">
        <v>3470</v>
      </c>
      <c r="D23482" s="69" t="s">
        <v>29420</v>
      </c>
      <c r="E23482" s="51"/>
      <c r="F23482" s="114" t="str">
        <f>IF(INDEX(I.Facility.P4IDNumber,3470)="","",INDEX(I.Facility.P4IDNumber,3470))</f>
        <v/>
      </c>
      <c r="G23482" s="51"/>
      <c r="H23482" s="46" t="str">
        <f>IF(AND(I.Developer.P4=TRUE,I.Facility.P4FacilityCount&gt;=3470,F23482=""),"Incomplete","Complete")</f>
        <v>Complete</v>
      </c>
      <c r="I23482" s="48" t="s">
        <v>27847</v>
      </c>
    </row>
    <row r="23483" spans="2:9" ht="15" customHeight="1" x14ac:dyDescent="0.25">
      <c r="B23483" s="55" t="s">
        <v>283</v>
      </c>
      <c r="C23483" s="46">
        <v>3471</v>
      </c>
      <c r="D23483" s="69" t="s">
        <v>29420</v>
      </c>
      <c r="E23483" s="51"/>
      <c r="F23483" s="114" t="str">
        <f>IF(INDEX(I.Facility.P4IDNumber,3471)="","",INDEX(I.Facility.P4IDNumber,3471))</f>
        <v/>
      </c>
      <c r="G23483" s="51"/>
      <c r="H23483" s="46" t="str">
        <f>IF(AND(I.Developer.P4=TRUE,I.Facility.P4FacilityCount&gt;=3471,F23483=""),"Incomplete","Complete")</f>
        <v>Complete</v>
      </c>
      <c r="I23483" s="48" t="s">
        <v>27848</v>
      </c>
    </row>
    <row r="23484" spans="2:9" ht="15" customHeight="1" x14ac:dyDescent="0.25">
      <c r="B23484" s="55" t="s">
        <v>283</v>
      </c>
      <c r="C23484" s="46">
        <v>3472</v>
      </c>
      <c r="D23484" s="69" t="s">
        <v>29420</v>
      </c>
      <c r="E23484" s="51"/>
      <c r="F23484" s="114" t="str">
        <f>IF(INDEX(I.Facility.P4IDNumber,3472)="","",INDEX(I.Facility.P4IDNumber,3472))</f>
        <v/>
      </c>
      <c r="G23484" s="51"/>
      <c r="H23484" s="46" t="str">
        <f>IF(AND(I.Developer.P4=TRUE,I.Facility.P4FacilityCount&gt;=3472,F23484=""),"Incomplete","Complete")</f>
        <v>Complete</v>
      </c>
      <c r="I23484" s="48" t="s">
        <v>27849</v>
      </c>
    </row>
    <row r="23485" spans="2:9" ht="15" customHeight="1" x14ac:dyDescent="0.25">
      <c r="B23485" s="55" t="s">
        <v>283</v>
      </c>
      <c r="C23485" s="46">
        <v>3473</v>
      </c>
      <c r="D23485" s="69" t="s">
        <v>29420</v>
      </c>
      <c r="E23485" s="51"/>
      <c r="F23485" s="114" t="str">
        <f>IF(INDEX(I.Facility.P4IDNumber,3473)="","",INDEX(I.Facility.P4IDNumber,3473))</f>
        <v/>
      </c>
      <c r="G23485" s="51"/>
      <c r="H23485" s="46" t="str">
        <f>IF(AND(I.Developer.P4=TRUE,I.Facility.P4FacilityCount&gt;=3473,F23485=""),"Incomplete","Complete")</f>
        <v>Complete</v>
      </c>
      <c r="I23485" s="48" t="s">
        <v>27850</v>
      </c>
    </row>
    <row r="23486" spans="2:9" ht="15" customHeight="1" x14ac:dyDescent="0.25">
      <c r="B23486" s="55" t="s">
        <v>283</v>
      </c>
      <c r="C23486" s="46">
        <v>3474</v>
      </c>
      <c r="D23486" s="69" t="s">
        <v>29420</v>
      </c>
      <c r="E23486" s="51"/>
      <c r="F23486" s="114" t="str">
        <f>IF(INDEX(I.Facility.P4IDNumber,3474)="","",INDEX(I.Facility.P4IDNumber,3474))</f>
        <v/>
      </c>
      <c r="G23486" s="51"/>
      <c r="H23486" s="46" t="str">
        <f>IF(AND(I.Developer.P4=TRUE,I.Facility.P4FacilityCount&gt;=3474,F23486=""),"Incomplete","Complete")</f>
        <v>Complete</v>
      </c>
      <c r="I23486" s="48" t="s">
        <v>27851</v>
      </c>
    </row>
    <row r="23487" spans="2:9" ht="15" customHeight="1" x14ac:dyDescent="0.25">
      <c r="B23487" s="55" t="s">
        <v>283</v>
      </c>
      <c r="C23487" s="46">
        <v>3475</v>
      </c>
      <c r="D23487" s="69" t="s">
        <v>29420</v>
      </c>
      <c r="E23487" s="51"/>
      <c r="F23487" s="114" t="str">
        <f>IF(INDEX(I.Facility.P4IDNumber,3475)="","",INDEX(I.Facility.P4IDNumber,3475))</f>
        <v/>
      </c>
      <c r="G23487" s="51"/>
      <c r="H23487" s="46" t="str">
        <f>IF(AND(I.Developer.P4=TRUE,I.Facility.P4FacilityCount&gt;=3475,F23487=""),"Incomplete","Complete")</f>
        <v>Complete</v>
      </c>
      <c r="I23487" s="48" t="s">
        <v>27852</v>
      </c>
    </row>
    <row r="23488" spans="2:9" ht="15" customHeight="1" x14ac:dyDescent="0.25">
      <c r="B23488" s="55" t="s">
        <v>283</v>
      </c>
      <c r="C23488" s="46">
        <v>3476</v>
      </c>
      <c r="D23488" s="69" t="s">
        <v>29420</v>
      </c>
      <c r="E23488" s="51"/>
      <c r="F23488" s="114" t="str">
        <f>IF(INDEX(I.Facility.P4IDNumber,3476)="","",INDEX(I.Facility.P4IDNumber,3476))</f>
        <v/>
      </c>
      <c r="G23488" s="51"/>
      <c r="H23488" s="46" t="str">
        <f>IF(AND(I.Developer.P4=TRUE,I.Facility.P4FacilityCount&gt;=3476,F23488=""),"Incomplete","Complete")</f>
        <v>Complete</v>
      </c>
      <c r="I23488" s="48" t="s">
        <v>27853</v>
      </c>
    </row>
    <row r="23489" spans="2:9" ht="15" customHeight="1" x14ac:dyDescent="0.25">
      <c r="B23489" s="55" t="s">
        <v>283</v>
      </c>
      <c r="C23489" s="46">
        <v>3477</v>
      </c>
      <c r="D23489" s="69" t="s">
        <v>29420</v>
      </c>
      <c r="E23489" s="51"/>
      <c r="F23489" s="114" t="str">
        <f>IF(INDEX(I.Facility.P4IDNumber,3477)="","",INDEX(I.Facility.P4IDNumber,3477))</f>
        <v/>
      </c>
      <c r="G23489" s="51"/>
      <c r="H23489" s="46" t="str">
        <f>IF(AND(I.Developer.P4=TRUE,I.Facility.P4FacilityCount&gt;=3477,F23489=""),"Incomplete","Complete")</f>
        <v>Complete</v>
      </c>
      <c r="I23489" s="48" t="s">
        <v>27854</v>
      </c>
    </row>
    <row r="23490" spans="2:9" ht="15" customHeight="1" x14ac:dyDescent="0.25">
      <c r="B23490" s="55" t="s">
        <v>283</v>
      </c>
      <c r="C23490" s="46">
        <v>3478</v>
      </c>
      <c r="D23490" s="69" t="s">
        <v>29420</v>
      </c>
      <c r="E23490" s="51"/>
      <c r="F23490" s="114" t="str">
        <f>IF(INDEX(I.Facility.P4IDNumber,3478)="","",INDEX(I.Facility.P4IDNumber,3478))</f>
        <v/>
      </c>
      <c r="G23490" s="51"/>
      <c r="H23490" s="46" t="str">
        <f>IF(AND(I.Developer.P4=TRUE,I.Facility.P4FacilityCount&gt;=3478,F23490=""),"Incomplete","Complete")</f>
        <v>Complete</v>
      </c>
      <c r="I23490" s="48" t="s">
        <v>27855</v>
      </c>
    </row>
    <row r="23491" spans="2:9" ht="15" customHeight="1" x14ac:dyDescent="0.25">
      <c r="B23491" s="55" t="s">
        <v>283</v>
      </c>
      <c r="C23491" s="46">
        <v>3479</v>
      </c>
      <c r="D23491" s="69" t="s">
        <v>29420</v>
      </c>
      <c r="E23491" s="51"/>
      <c r="F23491" s="114" t="str">
        <f>IF(INDEX(I.Facility.P4IDNumber,3479)="","",INDEX(I.Facility.P4IDNumber,3479))</f>
        <v/>
      </c>
      <c r="G23491" s="51"/>
      <c r="H23491" s="46" t="str">
        <f>IF(AND(I.Developer.P4=TRUE,I.Facility.P4FacilityCount&gt;=3479,F23491=""),"Incomplete","Complete")</f>
        <v>Complete</v>
      </c>
      <c r="I23491" s="48" t="s">
        <v>27856</v>
      </c>
    </row>
    <row r="23492" spans="2:9" ht="15" customHeight="1" x14ac:dyDescent="0.25">
      <c r="B23492" s="55" t="s">
        <v>283</v>
      </c>
      <c r="C23492" s="46">
        <v>3480</v>
      </c>
      <c r="D23492" s="69" t="s">
        <v>29420</v>
      </c>
      <c r="E23492" s="51"/>
      <c r="F23492" s="114" t="str">
        <f>IF(INDEX(I.Facility.P4IDNumber,3480)="","",INDEX(I.Facility.P4IDNumber,3480))</f>
        <v/>
      </c>
      <c r="G23492" s="51"/>
      <c r="H23492" s="46" t="str">
        <f>IF(AND(I.Developer.P4=TRUE,I.Facility.P4FacilityCount&gt;=3480,F23492=""),"Incomplete","Complete")</f>
        <v>Complete</v>
      </c>
      <c r="I23492" s="48" t="s">
        <v>27857</v>
      </c>
    </row>
    <row r="23493" spans="2:9" ht="15" customHeight="1" x14ac:dyDescent="0.25">
      <c r="B23493" s="55" t="s">
        <v>283</v>
      </c>
      <c r="C23493" s="46">
        <v>3481</v>
      </c>
      <c r="D23493" s="69" t="s">
        <v>29420</v>
      </c>
      <c r="E23493" s="51"/>
      <c r="F23493" s="114" t="str">
        <f>IF(INDEX(I.Facility.P4IDNumber,3481)="","",INDEX(I.Facility.P4IDNumber,3481))</f>
        <v/>
      </c>
      <c r="G23493" s="51"/>
      <c r="H23493" s="46" t="str">
        <f>IF(AND(I.Developer.P4=TRUE,I.Facility.P4FacilityCount&gt;=3481,F23493=""),"Incomplete","Complete")</f>
        <v>Complete</v>
      </c>
      <c r="I23493" s="48" t="s">
        <v>27858</v>
      </c>
    </row>
    <row r="23494" spans="2:9" ht="15" customHeight="1" x14ac:dyDescent="0.25">
      <c r="B23494" s="55" t="s">
        <v>283</v>
      </c>
      <c r="C23494" s="46">
        <v>3482</v>
      </c>
      <c r="D23494" s="69" t="s">
        <v>29420</v>
      </c>
      <c r="E23494" s="51"/>
      <c r="F23494" s="114" t="str">
        <f>IF(INDEX(I.Facility.P4IDNumber,3482)="","",INDEX(I.Facility.P4IDNumber,3482))</f>
        <v/>
      </c>
      <c r="G23494" s="51"/>
      <c r="H23494" s="46" t="str">
        <f>IF(AND(I.Developer.P4=TRUE,I.Facility.P4FacilityCount&gt;=3482,F23494=""),"Incomplete","Complete")</f>
        <v>Complete</v>
      </c>
      <c r="I23494" s="48" t="s">
        <v>27859</v>
      </c>
    </row>
    <row r="23495" spans="2:9" ht="15" customHeight="1" x14ac:dyDescent="0.25">
      <c r="B23495" s="55" t="s">
        <v>283</v>
      </c>
      <c r="C23495" s="46">
        <v>3483</v>
      </c>
      <c r="D23495" s="69" t="s">
        <v>29420</v>
      </c>
      <c r="E23495" s="51"/>
      <c r="F23495" s="114" t="str">
        <f>IF(INDEX(I.Facility.P4IDNumber,3483)="","",INDEX(I.Facility.P4IDNumber,3483))</f>
        <v/>
      </c>
      <c r="G23495" s="51"/>
      <c r="H23495" s="46" t="str">
        <f>IF(AND(I.Developer.P4=TRUE,I.Facility.P4FacilityCount&gt;=3483,F23495=""),"Incomplete","Complete")</f>
        <v>Complete</v>
      </c>
      <c r="I23495" s="48" t="s">
        <v>27860</v>
      </c>
    </row>
    <row r="23496" spans="2:9" ht="15" customHeight="1" x14ac:dyDescent="0.25">
      <c r="B23496" s="55" t="s">
        <v>283</v>
      </c>
      <c r="C23496" s="46">
        <v>3484</v>
      </c>
      <c r="D23496" s="69" t="s">
        <v>29420</v>
      </c>
      <c r="E23496" s="51"/>
      <c r="F23496" s="114" t="str">
        <f>IF(INDEX(I.Facility.P4IDNumber,3484)="","",INDEX(I.Facility.P4IDNumber,3484))</f>
        <v/>
      </c>
      <c r="G23496" s="51"/>
      <c r="H23496" s="46" t="str">
        <f>IF(AND(I.Developer.P4=TRUE,I.Facility.P4FacilityCount&gt;=3484,F23496=""),"Incomplete","Complete")</f>
        <v>Complete</v>
      </c>
      <c r="I23496" s="48" t="s">
        <v>27861</v>
      </c>
    </row>
    <row r="23497" spans="2:9" ht="15" customHeight="1" x14ac:dyDescent="0.25">
      <c r="B23497" s="55" t="s">
        <v>283</v>
      </c>
      <c r="C23497" s="46">
        <v>3485</v>
      </c>
      <c r="D23497" s="69" t="s">
        <v>29420</v>
      </c>
      <c r="E23497" s="51"/>
      <c r="F23497" s="114" t="str">
        <f>IF(INDEX(I.Facility.P4IDNumber,3485)="","",INDEX(I.Facility.P4IDNumber,3485))</f>
        <v/>
      </c>
      <c r="G23497" s="51"/>
      <c r="H23497" s="46" t="str">
        <f>IF(AND(I.Developer.P4=TRUE,I.Facility.P4FacilityCount&gt;=3485,F23497=""),"Incomplete","Complete")</f>
        <v>Complete</v>
      </c>
      <c r="I23497" s="48" t="s">
        <v>27862</v>
      </c>
    </row>
    <row r="23498" spans="2:9" ht="15" customHeight="1" x14ac:dyDescent="0.25">
      <c r="B23498" s="55" t="s">
        <v>283</v>
      </c>
      <c r="C23498" s="46">
        <v>3486</v>
      </c>
      <c r="D23498" s="69" t="s">
        <v>29420</v>
      </c>
      <c r="E23498" s="51"/>
      <c r="F23498" s="114" t="str">
        <f>IF(INDEX(I.Facility.P4IDNumber,3486)="","",INDEX(I.Facility.P4IDNumber,3486))</f>
        <v/>
      </c>
      <c r="G23498" s="51"/>
      <c r="H23498" s="46" t="str">
        <f>IF(AND(I.Developer.P4=TRUE,I.Facility.P4FacilityCount&gt;=3486,F23498=""),"Incomplete","Complete")</f>
        <v>Complete</v>
      </c>
      <c r="I23498" s="48" t="s">
        <v>27863</v>
      </c>
    </row>
    <row r="23499" spans="2:9" ht="15" customHeight="1" x14ac:dyDescent="0.25">
      <c r="B23499" s="55" t="s">
        <v>283</v>
      </c>
      <c r="C23499" s="46">
        <v>3487</v>
      </c>
      <c r="D23499" s="69" t="s">
        <v>29420</v>
      </c>
      <c r="E23499" s="51"/>
      <c r="F23499" s="114" t="str">
        <f>IF(INDEX(I.Facility.P4IDNumber,3487)="","",INDEX(I.Facility.P4IDNumber,3487))</f>
        <v/>
      </c>
      <c r="G23499" s="51"/>
      <c r="H23499" s="46" t="str">
        <f>IF(AND(I.Developer.P4=TRUE,I.Facility.P4FacilityCount&gt;=3487,F23499=""),"Incomplete","Complete")</f>
        <v>Complete</v>
      </c>
      <c r="I23499" s="48" t="s">
        <v>27864</v>
      </c>
    </row>
    <row r="23500" spans="2:9" ht="15" customHeight="1" x14ac:dyDescent="0.25">
      <c r="B23500" s="55" t="s">
        <v>283</v>
      </c>
      <c r="C23500" s="46">
        <v>3488</v>
      </c>
      <c r="D23500" s="69" t="s">
        <v>29420</v>
      </c>
      <c r="E23500" s="51"/>
      <c r="F23500" s="114" t="str">
        <f>IF(INDEX(I.Facility.P4IDNumber,3488)="","",INDEX(I.Facility.P4IDNumber,3488))</f>
        <v/>
      </c>
      <c r="G23500" s="51"/>
      <c r="H23500" s="46" t="str">
        <f>IF(AND(I.Developer.P4=TRUE,I.Facility.P4FacilityCount&gt;=3488,F23500=""),"Incomplete","Complete")</f>
        <v>Complete</v>
      </c>
      <c r="I23500" s="48" t="s">
        <v>27865</v>
      </c>
    </row>
    <row r="23501" spans="2:9" ht="15" customHeight="1" x14ac:dyDescent="0.25">
      <c r="B23501" s="55" t="s">
        <v>283</v>
      </c>
      <c r="C23501" s="46">
        <v>3489</v>
      </c>
      <c r="D23501" s="69" t="s">
        <v>29420</v>
      </c>
      <c r="E23501" s="51"/>
      <c r="F23501" s="114" t="str">
        <f>IF(INDEX(I.Facility.P4IDNumber,3489)="","",INDEX(I.Facility.P4IDNumber,3489))</f>
        <v/>
      </c>
      <c r="G23501" s="51"/>
      <c r="H23501" s="46" t="str">
        <f>IF(AND(I.Developer.P4=TRUE,I.Facility.P4FacilityCount&gt;=3489,F23501=""),"Incomplete","Complete")</f>
        <v>Complete</v>
      </c>
      <c r="I23501" s="48" t="s">
        <v>27866</v>
      </c>
    </row>
    <row r="23502" spans="2:9" ht="15" customHeight="1" x14ac:dyDescent="0.25">
      <c r="B23502" s="55" t="s">
        <v>283</v>
      </c>
      <c r="C23502" s="46">
        <v>3490</v>
      </c>
      <c r="D23502" s="69" t="s">
        <v>29420</v>
      </c>
      <c r="E23502" s="51"/>
      <c r="F23502" s="114" t="str">
        <f>IF(INDEX(I.Facility.P4IDNumber,3490)="","",INDEX(I.Facility.P4IDNumber,3490))</f>
        <v/>
      </c>
      <c r="G23502" s="51"/>
      <c r="H23502" s="46" t="str">
        <f>IF(AND(I.Developer.P4=TRUE,I.Facility.P4FacilityCount&gt;=3490,F23502=""),"Incomplete","Complete")</f>
        <v>Complete</v>
      </c>
      <c r="I23502" s="48" t="s">
        <v>27867</v>
      </c>
    </row>
    <row r="23503" spans="2:9" ht="15" customHeight="1" x14ac:dyDescent="0.25">
      <c r="B23503" s="55" t="s">
        <v>283</v>
      </c>
      <c r="C23503" s="46">
        <v>3491</v>
      </c>
      <c r="D23503" s="69" t="s">
        <v>29420</v>
      </c>
      <c r="E23503" s="51"/>
      <c r="F23503" s="114" t="str">
        <f>IF(INDEX(I.Facility.P4IDNumber,3491)="","",INDEX(I.Facility.P4IDNumber,3491))</f>
        <v/>
      </c>
      <c r="G23503" s="51"/>
      <c r="H23503" s="46" t="str">
        <f>IF(AND(I.Developer.P4=TRUE,I.Facility.P4FacilityCount&gt;=3491,F23503=""),"Incomplete","Complete")</f>
        <v>Complete</v>
      </c>
      <c r="I23503" s="48" t="s">
        <v>27868</v>
      </c>
    </row>
    <row r="23504" spans="2:9" ht="15" customHeight="1" x14ac:dyDescent="0.25">
      <c r="B23504" s="55" t="s">
        <v>283</v>
      </c>
      <c r="C23504" s="46">
        <v>3492</v>
      </c>
      <c r="D23504" s="69" t="s">
        <v>29420</v>
      </c>
      <c r="E23504" s="51"/>
      <c r="F23504" s="114" t="str">
        <f>IF(INDEX(I.Facility.P4IDNumber,3492)="","",INDEX(I.Facility.P4IDNumber,3492))</f>
        <v/>
      </c>
      <c r="G23504" s="51"/>
      <c r="H23504" s="46" t="str">
        <f>IF(AND(I.Developer.P4=TRUE,I.Facility.P4FacilityCount&gt;=3492,F23504=""),"Incomplete","Complete")</f>
        <v>Complete</v>
      </c>
      <c r="I23504" s="48" t="s">
        <v>27869</v>
      </c>
    </row>
    <row r="23505" spans="2:9" ht="15" customHeight="1" x14ac:dyDescent="0.25">
      <c r="B23505" s="55" t="s">
        <v>283</v>
      </c>
      <c r="C23505" s="46">
        <v>3493</v>
      </c>
      <c r="D23505" s="69" t="s">
        <v>29420</v>
      </c>
      <c r="E23505" s="51"/>
      <c r="F23505" s="114" t="str">
        <f>IF(INDEX(I.Facility.P4IDNumber,3493)="","",INDEX(I.Facility.P4IDNumber,3493))</f>
        <v/>
      </c>
      <c r="G23505" s="51"/>
      <c r="H23505" s="46" t="str">
        <f>IF(AND(I.Developer.P4=TRUE,I.Facility.P4FacilityCount&gt;=3493,F23505=""),"Incomplete","Complete")</f>
        <v>Complete</v>
      </c>
      <c r="I23505" s="48" t="s">
        <v>27870</v>
      </c>
    </row>
    <row r="23506" spans="2:9" ht="15" customHeight="1" x14ac:dyDescent="0.25">
      <c r="B23506" s="55" t="s">
        <v>283</v>
      </c>
      <c r="C23506" s="46">
        <v>3494</v>
      </c>
      <c r="D23506" s="69" t="s">
        <v>29420</v>
      </c>
      <c r="E23506" s="51"/>
      <c r="F23506" s="114" t="str">
        <f>IF(INDEX(I.Facility.P4IDNumber,3494)="","",INDEX(I.Facility.P4IDNumber,3494))</f>
        <v/>
      </c>
      <c r="G23506" s="51"/>
      <c r="H23506" s="46" t="str">
        <f>IF(AND(I.Developer.P4=TRUE,I.Facility.P4FacilityCount&gt;=3494,F23506=""),"Incomplete","Complete")</f>
        <v>Complete</v>
      </c>
      <c r="I23506" s="48" t="s">
        <v>27871</v>
      </c>
    </row>
    <row r="23507" spans="2:9" ht="15" customHeight="1" x14ac:dyDescent="0.25">
      <c r="B23507" s="55" t="s">
        <v>283</v>
      </c>
      <c r="C23507" s="46">
        <v>3495</v>
      </c>
      <c r="D23507" s="69" t="s">
        <v>29420</v>
      </c>
      <c r="E23507" s="51"/>
      <c r="F23507" s="114" t="str">
        <f>IF(INDEX(I.Facility.P4IDNumber,3495)="","",INDEX(I.Facility.P4IDNumber,3495))</f>
        <v/>
      </c>
      <c r="G23507" s="51"/>
      <c r="H23507" s="46" t="str">
        <f>IF(AND(I.Developer.P4=TRUE,I.Facility.P4FacilityCount&gt;=3495,F23507=""),"Incomplete","Complete")</f>
        <v>Complete</v>
      </c>
      <c r="I23507" s="48" t="s">
        <v>27872</v>
      </c>
    </row>
    <row r="23508" spans="2:9" ht="15" customHeight="1" x14ac:dyDescent="0.25">
      <c r="B23508" s="55" t="s">
        <v>283</v>
      </c>
      <c r="C23508" s="46">
        <v>3496</v>
      </c>
      <c r="D23508" s="69" t="s">
        <v>29420</v>
      </c>
      <c r="E23508" s="51"/>
      <c r="F23508" s="114" t="str">
        <f>IF(INDEX(I.Facility.P4IDNumber,3496)="","",INDEX(I.Facility.P4IDNumber,3496))</f>
        <v/>
      </c>
      <c r="G23508" s="51"/>
      <c r="H23508" s="46" t="str">
        <f>IF(AND(I.Developer.P4=TRUE,I.Facility.P4FacilityCount&gt;=3496,F23508=""),"Incomplete","Complete")</f>
        <v>Complete</v>
      </c>
      <c r="I23508" s="48" t="s">
        <v>27873</v>
      </c>
    </row>
    <row r="23509" spans="2:9" ht="15" customHeight="1" x14ac:dyDescent="0.25">
      <c r="B23509" s="55" t="s">
        <v>283</v>
      </c>
      <c r="C23509" s="46">
        <v>3497</v>
      </c>
      <c r="D23509" s="69" t="s">
        <v>29420</v>
      </c>
      <c r="E23509" s="51"/>
      <c r="F23509" s="114" t="str">
        <f>IF(INDEX(I.Facility.P4IDNumber,3497)="","",INDEX(I.Facility.P4IDNumber,3497))</f>
        <v/>
      </c>
      <c r="G23509" s="51"/>
      <c r="H23509" s="46" t="str">
        <f>IF(AND(I.Developer.P4=TRUE,I.Facility.P4FacilityCount&gt;=3497,F23509=""),"Incomplete","Complete")</f>
        <v>Complete</v>
      </c>
      <c r="I23509" s="48" t="s">
        <v>27874</v>
      </c>
    </row>
    <row r="23510" spans="2:9" ht="15" customHeight="1" x14ac:dyDescent="0.25">
      <c r="B23510" s="55" t="s">
        <v>283</v>
      </c>
      <c r="C23510" s="46">
        <v>3498</v>
      </c>
      <c r="D23510" s="69" t="s">
        <v>29420</v>
      </c>
      <c r="E23510" s="51"/>
      <c r="F23510" s="114" t="str">
        <f>IF(INDEX(I.Facility.P4IDNumber,3498)="","",INDEX(I.Facility.P4IDNumber,3498))</f>
        <v/>
      </c>
      <c r="G23510" s="51"/>
      <c r="H23510" s="46" t="str">
        <f>IF(AND(I.Developer.P4=TRUE,I.Facility.P4FacilityCount&gt;=3498,F23510=""),"Incomplete","Complete")</f>
        <v>Complete</v>
      </c>
      <c r="I23510" s="48" t="s">
        <v>27875</v>
      </c>
    </row>
    <row r="23511" spans="2:9" ht="15" customHeight="1" x14ac:dyDescent="0.25">
      <c r="B23511" s="55" t="s">
        <v>283</v>
      </c>
      <c r="C23511" s="46">
        <v>3499</v>
      </c>
      <c r="D23511" s="69" t="s">
        <v>29420</v>
      </c>
      <c r="E23511" s="51"/>
      <c r="F23511" s="114" t="str">
        <f>IF(INDEX(I.Facility.P4IDNumber,3499)="","",INDEX(I.Facility.P4IDNumber,3499))</f>
        <v/>
      </c>
      <c r="G23511" s="51"/>
      <c r="H23511" s="46" t="str">
        <f>IF(AND(I.Developer.P4=TRUE,I.Facility.P4FacilityCount&gt;=3499,F23511=""),"Incomplete","Complete")</f>
        <v>Complete</v>
      </c>
      <c r="I23511" s="48" t="s">
        <v>27876</v>
      </c>
    </row>
    <row r="23512" spans="2:9" ht="15" customHeight="1" x14ac:dyDescent="0.25">
      <c r="B23512" s="55" t="s">
        <v>283</v>
      </c>
      <c r="C23512" s="46">
        <v>3500</v>
      </c>
      <c r="D23512" s="69" t="s">
        <v>29420</v>
      </c>
      <c r="E23512" s="51"/>
      <c r="F23512" s="114" t="str">
        <f>IF(INDEX(I.Facility.P4IDNumber,3500)="","",INDEX(I.Facility.P4IDNumber,3500))</f>
        <v/>
      </c>
      <c r="G23512" s="51"/>
      <c r="H23512" s="46" t="str">
        <f>IF(AND(I.Developer.P4=TRUE,I.Facility.P4FacilityCount&gt;=3500,F23512=""),"Incomplete","Complete")</f>
        <v>Complete</v>
      </c>
      <c r="I23512" s="48" t="s">
        <v>27877</v>
      </c>
    </row>
    <row r="23513" spans="2:9" ht="15" customHeight="1" x14ac:dyDescent="0.25">
      <c r="B23513" s="55" t="s">
        <v>283</v>
      </c>
      <c r="C23513" s="46">
        <v>3501</v>
      </c>
      <c r="D23513" s="69" t="s">
        <v>29420</v>
      </c>
      <c r="E23513" s="51"/>
      <c r="F23513" s="114" t="str">
        <f>IF(INDEX(I.Facility.P4IDNumber,3501)="","",INDEX(I.Facility.P4IDNumber,3501))</f>
        <v/>
      </c>
      <c r="G23513" s="51"/>
      <c r="H23513" s="46" t="str">
        <f>IF(AND(I.Developer.P4=TRUE,I.Facility.P4FacilityCount&gt;=3501,F23513=""),"Incomplete","Complete")</f>
        <v>Complete</v>
      </c>
      <c r="I23513" s="48" t="s">
        <v>27878</v>
      </c>
    </row>
    <row r="23514" spans="2:9" ht="15" customHeight="1" x14ac:dyDescent="0.25">
      <c r="B23514" s="55" t="s">
        <v>283</v>
      </c>
      <c r="C23514" s="46">
        <v>3502</v>
      </c>
      <c r="D23514" s="69" t="s">
        <v>29420</v>
      </c>
      <c r="E23514" s="51"/>
      <c r="F23514" s="114" t="str">
        <f>IF(INDEX(I.Facility.P4IDNumber,3502)="","",INDEX(I.Facility.P4IDNumber,3502))</f>
        <v/>
      </c>
      <c r="G23514" s="51"/>
      <c r="H23514" s="46" t="str">
        <f>IF(AND(I.Developer.P4=TRUE,I.Facility.P4FacilityCount&gt;=3502,F23514=""),"Incomplete","Complete")</f>
        <v>Complete</v>
      </c>
      <c r="I23514" s="48" t="s">
        <v>27879</v>
      </c>
    </row>
    <row r="23515" spans="2:9" ht="15" customHeight="1" x14ac:dyDescent="0.25">
      <c r="B23515" s="55" t="s">
        <v>283</v>
      </c>
      <c r="C23515" s="46">
        <v>3503</v>
      </c>
      <c r="D23515" s="69" t="s">
        <v>29420</v>
      </c>
      <c r="E23515" s="51"/>
      <c r="F23515" s="114" t="str">
        <f>IF(INDEX(I.Facility.P4IDNumber,3503)="","",INDEX(I.Facility.P4IDNumber,3503))</f>
        <v/>
      </c>
      <c r="G23515" s="51"/>
      <c r="H23515" s="46" t="str">
        <f>IF(AND(I.Developer.P4=TRUE,I.Facility.P4FacilityCount&gt;=3503,F23515=""),"Incomplete","Complete")</f>
        <v>Complete</v>
      </c>
      <c r="I23515" s="48" t="s">
        <v>27880</v>
      </c>
    </row>
    <row r="23516" spans="2:9" ht="15" customHeight="1" x14ac:dyDescent="0.25">
      <c r="B23516" s="55" t="s">
        <v>283</v>
      </c>
      <c r="C23516" s="46">
        <v>3504</v>
      </c>
      <c r="D23516" s="69" t="s">
        <v>29420</v>
      </c>
      <c r="E23516" s="51"/>
      <c r="F23516" s="114" t="str">
        <f>IF(INDEX(I.Facility.P4IDNumber,3504)="","",INDEX(I.Facility.P4IDNumber,3504))</f>
        <v/>
      </c>
      <c r="G23516" s="51"/>
      <c r="H23516" s="46" t="str">
        <f>IF(AND(I.Developer.P4=TRUE,I.Facility.P4FacilityCount&gt;=3504,F23516=""),"Incomplete","Complete")</f>
        <v>Complete</v>
      </c>
      <c r="I23516" s="48" t="s">
        <v>27881</v>
      </c>
    </row>
    <row r="23517" spans="2:9" ht="15" customHeight="1" x14ac:dyDescent="0.25">
      <c r="B23517" s="55" t="s">
        <v>283</v>
      </c>
      <c r="C23517" s="46">
        <v>3505</v>
      </c>
      <c r="D23517" s="69" t="s">
        <v>29420</v>
      </c>
      <c r="E23517" s="51"/>
      <c r="F23517" s="114" t="str">
        <f>IF(INDEX(I.Facility.P4IDNumber,3505)="","",INDEX(I.Facility.P4IDNumber,3505))</f>
        <v/>
      </c>
      <c r="G23517" s="51"/>
      <c r="H23517" s="46" t="str">
        <f>IF(AND(I.Developer.P4=TRUE,I.Facility.P4FacilityCount&gt;=3505,F23517=""),"Incomplete","Complete")</f>
        <v>Complete</v>
      </c>
      <c r="I23517" s="48" t="s">
        <v>27882</v>
      </c>
    </row>
    <row r="23518" spans="2:9" ht="15" customHeight="1" x14ac:dyDescent="0.25">
      <c r="B23518" s="55" t="s">
        <v>283</v>
      </c>
      <c r="C23518" s="46">
        <v>3506</v>
      </c>
      <c r="D23518" s="69" t="s">
        <v>29420</v>
      </c>
      <c r="E23518" s="51"/>
      <c r="F23518" s="114" t="str">
        <f>IF(INDEX(I.Facility.P4IDNumber,3506)="","",INDEX(I.Facility.P4IDNumber,3506))</f>
        <v/>
      </c>
      <c r="G23518" s="51"/>
      <c r="H23518" s="46" t="str">
        <f>IF(AND(I.Developer.P4=TRUE,I.Facility.P4FacilityCount&gt;=3506,F23518=""),"Incomplete","Complete")</f>
        <v>Complete</v>
      </c>
      <c r="I23518" s="48" t="s">
        <v>27883</v>
      </c>
    </row>
    <row r="23519" spans="2:9" ht="15" customHeight="1" x14ac:dyDescent="0.25">
      <c r="B23519" s="55" t="s">
        <v>283</v>
      </c>
      <c r="C23519" s="46">
        <v>3507</v>
      </c>
      <c r="D23519" s="69" t="s">
        <v>29420</v>
      </c>
      <c r="E23519" s="51"/>
      <c r="F23519" s="114" t="str">
        <f>IF(INDEX(I.Facility.P4IDNumber,3507)="","",INDEX(I.Facility.P4IDNumber,3507))</f>
        <v/>
      </c>
      <c r="G23519" s="51"/>
      <c r="H23519" s="46" t="str">
        <f>IF(AND(I.Developer.P4=TRUE,I.Facility.P4FacilityCount&gt;=3507,F23519=""),"Incomplete","Complete")</f>
        <v>Complete</v>
      </c>
      <c r="I23519" s="48" t="s">
        <v>27884</v>
      </c>
    </row>
    <row r="23520" spans="2:9" ht="15" customHeight="1" x14ac:dyDescent="0.25">
      <c r="B23520" s="55" t="s">
        <v>283</v>
      </c>
      <c r="C23520" s="46">
        <v>3508</v>
      </c>
      <c r="D23520" s="69" t="s">
        <v>29420</v>
      </c>
      <c r="E23520" s="51"/>
      <c r="F23520" s="114" t="str">
        <f>IF(INDEX(I.Facility.P4IDNumber,3508)="","",INDEX(I.Facility.P4IDNumber,3508))</f>
        <v/>
      </c>
      <c r="G23520" s="51"/>
      <c r="H23520" s="46" t="str">
        <f>IF(AND(I.Developer.P4=TRUE,I.Facility.P4FacilityCount&gt;=3508,F23520=""),"Incomplete","Complete")</f>
        <v>Complete</v>
      </c>
      <c r="I23520" s="48" t="s">
        <v>27885</v>
      </c>
    </row>
    <row r="23521" spans="2:9" ht="15" customHeight="1" x14ac:dyDescent="0.25">
      <c r="B23521" s="55" t="s">
        <v>283</v>
      </c>
      <c r="C23521" s="46">
        <v>3509</v>
      </c>
      <c r="D23521" s="69" t="s">
        <v>29420</v>
      </c>
      <c r="E23521" s="51"/>
      <c r="F23521" s="114" t="str">
        <f>IF(INDEX(I.Facility.P4IDNumber,3509)="","",INDEX(I.Facility.P4IDNumber,3509))</f>
        <v/>
      </c>
      <c r="G23521" s="51"/>
      <c r="H23521" s="46" t="str">
        <f>IF(AND(I.Developer.P4=TRUE,I.Facility.P4FacilityCount&gt;=3509,F23521=""),"Incomplete","Complete")</f>
        <v>Complete</v>
      </c>
      <c r="I23521" s="48" t="s">
        <v>27886</v>
      </c>
    </row>
    <row r="23522" spans="2:9" ht="15" customHeight="1" x14ac:dyDescent="0.25">
      <c r="B23522" s="55" t="s">
        <v>283</v>
      </c>
      <c r="C23522" s="46">
        <v>3510</v>
      </c>
      <c r="D23522" s="69" t="s">
        <v>29420</v>
      </c>
      <c r="E23522" s="51"/>
      <c r="F23522" s="114" t="str">
        <f>IF(INDEX(I.Facility.P4IDNumber,3510)="","",INDEX(I.Facility.P4IDNumber,3510))</f>
        <v/>
      </c>
      <c r="G23522" s="51"/>
      <c r="H23522" s="46" t="str">
        <f>IF(AND(I.Developer.P4=TRUE,I.Facility.P4FacilityCount&gt;=3510,F23522=""),"Incomplete","Complete")</f>
        <v>Complete</v>
      </c>
      <c r="I23522" s="48" t="s">
        <v>27887</v>
      </c>
    </row>
    <row r="23523" spans="2:9" ht="15" customHeight="1" x14ac:dyDescent="0.25">
      <c r="B23523" s="55" t="s">
        <v>283</v>
      </c>
      <c r="C23523" s="46">
        <v>3511</v>
      </c>
      <c r="D23523" s="69" t="s">
        <v>29420</v>
      </c>
      <c r="E23523" s="51"/>
      <c r="F23523" s="114" t="str">
        <f>IF(INDEX(I.Facility.P4IDNumber,3511)="","",INDEX(I.Facility.P4IDNumber,3511))</f>
        <v/>
      </c>
      <c r="G23523" s="51"/>
      <c r="H23523" s="46" t="str">
        <f>IF(AND(I.Developer.P4=TRUE,I.Facility.P4FacilityCount&gt;=3511,F23523=""),"Incomplete","Complete")</f>
        <v>Complete</v>
      </c>
      <c r="I23523" s="48" t="s">
        <v>27888</v>
      </c>
    </row>
    <row r="23524" spans="2:9" ht="15" customHeight="1" x14ac:dyDescent="0.25">
      <c r="B23524" s="55" t="s">
        <v>283</v>
      </c>
      <c r="C23524" s="46">
        <v>3512</v>
      </c>
      <c r="D23524" s="69" t="s">
        <v>29420</v>
      </c>
      <c r="E23524" s="51"/>
      <c r="F23524" s="114" t="str">
        <f>IF(INDEX(I.Facility.P4IDNumber,3512)="","",INDEX(I.Facility.P4IDNumber,3512))</f>
        <v/>
      </c>
      <c r="G23524" s="51"/>
      <c r="H23524" s="46" t="str">
        <f>IF(AND(I.Developer.P4=TRUE,I.Facility.P4FacilityCount&gt;=3512,F23524=""),"Incomplete","Complete")</f>
        <v>Complete</v>
      </c>
      <c r="I23524" s="48" t="s">
        <v>27889</v>
      </c>
    </row>
    <row r="23525" spans="2:9" ht="15" customHeight="1" x14ac:dyDescent="0.25">
      <c r="B23525" s="55" t="s">
        <v>283</v>
      </c>
      <c r="C23525" s="46">
        <v>3513</v>
      </c>
      <c r="D23525" s="69" t="s">
        <v>29420</v>
      </c>
      <c r="E23525" s="51"/>
      <c r="F23525" s="114" t="str">
        <f>IF(INDEX(I.Facility.P4IDNumber,3513)="","",INDEX(I.Facility.P4IDNumber,3513))</f>
        <v/>
      </c>
      <c r="G23525" s="51"/>
      <c r="H23525" s="46" t="str">
        <f>IF(AND(I.Developer.P4=TRUE,I.Facility.P4FacilityCount&gt;=3513,F23525=""),"Incomplete","Complete")</f>
        <v>Complete</v>
      </c>
      <c r="I23525" s="48" t="s">
        <v>27890</v>
      </c>
    </row>
    <row r="23526" spans="2:9" ht="15" customHeight="1" x14ac:dyDescent="0.25">
      <c r="B23526" s="55" t="s">
        <v>283</v>
      </c>
      <c r="C23526" s="46">
        <v>3514</v>
      </c>
      <c r="D23526" s="69" t="s">
        <v>29420</v>
      </c>
      <c r="E23526" s="51"/>
      <c r="F23526" s="114" t="str">
        <f>IF(INDEX(I.Facility.P4IDNumber,3514)="","",INDEX(I.Facility.P4IDNumber,3514))</f>
        <v/>
      </c>
      <c r="G23526" s="51"/>
      <c r="H23526" s="46" t="str">
        <f>IF(AND(I.Developer.P4=TRUE,I.Facility.P4FacilityCount&gt;=3514,F23526=""),"Incomplete","Complete")</f>
        <v>Complete</v>
      </c>
      <c r="I23526" s="48" t="s">
        <v>27891</v>
      </c>
    </row>
    <row r="23527" spans="2:9" ht="15" customHeight="1" x14ac:dyDescent="0.25">
      <c r="B23527" s="55" t="s">
        <v>283</v>
      </c>
      <c r="C23527" s="46">
        <v>3515</v>
      </c>
      <c r="D23527" s="69" t="s">
        <v>29420</v>
      </c>
      <c r="E23527" s="51"/>
      <c r="F23527" s="114" t="str">
        <f>IF(INDEX(I.Facility.P4IDNumber,3515)="","",INDEX(I.Facility.P4IDNumber,3515))</f>
        <v/>
      </c>
      <c r="G23527" s="51"/>
      <c r="H23527" s="46" t="str">
        <f>IF(AND(I.Developer.P4=TRUE,I.Facility.P4FacilityCount&gt;=3515,F23527=""),"Incomplete","Complete")</f>
        <v>Complete</v>
      </c>
      <c r="I23527" s="48" t="s">
        <v>27892</v>
      </c>
    </row>
    <row r="23528" spans="2:9" ht="15" customHeight="1" x14ac:dyDescent="0.25">
      <c r="B23528" s="55" t="s">
        <v>283</v>
      </c>
      <c r="C23528" s="46">
        <v>3516</v>
      </c>
      <c r="D23528" s="69" t="s">
        <v>29420</v>
      </c>
      <c r="E23528" s="51"/>
      <c r="F23528" s="114" t="str">
        <f>IF(INDEX(I.Facility.P4IDNumber,3516)="","",INDEX(I.Facility.P4IDNumber,3516))</f>
        <v/>
      </c>
      <c r="G23528" s="51"/>
      <c r="H23528" s="46" t="str">
        <f>IF(AND(I.Developer.P4=TRUE,I.Facility.P4FacilityCount&gt;=3516,F23528=""),"Incomplete","Complete")</f>
        <v>Complete</v>
      </c>
      <c r="I23528" s="48" t="s">
        <v>27893</v>
      </c>
    </row>
    <row r="23529" spans="2:9" ht="15" customHeight="1" x14ac:dyDescent="0.25">
      <c r="B23529" s="55" t="s">
        <v>283</v>
      </c>
      <c r="C23529" s="46">
        <v>3517</v>
      </c>
      <c r="D23529" s="69" t="s">
        <v>29420</v>
      </c>
      <c r="E23529" s="51"/>
      <c r="F23529" s="114" t="str">
        <f>IF(INDEX(I.Facility.P4IDNumber,3517)="","",INDEX(I.Facility.P4IDNumber,3517))</f>
        <v/>
      </c>
      <c r="G23529" s="51"/>
      <c r="H23529" s="46" t="str">
        <f>IF(AND(I.Developer.P4=TRUE,I.Facility.P4FacilityCount&gt;=3517,F23529=""),"Incomplete","Complete")</f>
        <v>Complete</v>
      </c>
      <c r="I23529" s="48" t="s">
        <v>27894</v>
      </c>
    </row>
    <row r="23530" spans="2:9" ht="15" customHeight="1" x14ac:dyDescent="0.25">
      <c r="B23530" s="55" t="s">
        <v>283</v>
      </c>
      <c r="C23530" s="46">
        <v>3518</v>
      </c>
      <c r="D23530" s="69" t="s">
        <v>29420</v>
      </c>
      <c r="E23530" s="51"/>
      <c r="F23530" s="114" t="str">
        <f>IF(INDEX(I.Facility.P4IDNumber,3518)="","",INDEX(I.Facility.P4IDNumber,3518))</f>
        <v/>
      </c>
      <c r="G23530" s="51"/>
      <c r="H23530" s="46" t="str">
        <f>IF(AND(I.Developer.P4=TRUE,I.Facility.P4FacilityCount&gt;=3518,F23530=""),"Incomplete","Complete")</f>
        <v>Complete</v>
      </c>
      <c r="I23530" s="48" t="s">
        <v>27895</v>
      </c>
    </row>
    <row r="23531" spans="2:9" ht="15" customHeight="1" x14ac:dyDescent="0.25">
      <c r="B23531" s="55" t="s">
        <v>283</v>
      </c>
      <c r="C23531" s="46">
        <v>3519</v>
      </c>
      <c r="D23531" s="69" t="s">
        <v>29420</v>
      </c>
      <c r="E23531" s="51"/>
      <c r="F23531" s="114" t="str">
        <f>IF(INDEX(I.Facility.P4IDNumber,3519)="","",INDEX(I.Facility.P4IDNumber,3519))</f>
        <v/>
      </c>
      <c r="G23531" s="51"/>
      <c r="H23531" s="46" t="str">
        <f>IF(AND(I.Developer.P4=TRUE,I.Facility.P4FacilityCount&gt;=3519,F23531=""),"Incomplete","Complete")</f>
        <v>Complete</v>
      </c>
      <c r="I23531" s="48" t="s">
        <v>27896</v>
      </c>
    </row>
    <row r="23532" spans="2:9" ht="15" customHeight="1" x14ac:dyDescent="0.25">
      <c r="B23532" s="55" t="s">
        <v>283</v>
      </c>
      <c r="C23532" s="46">
        <v>3520</v>
      </c>
      <c r="D23532" s="69" t="s">
        <v>29420</v>
      </c>
      <c r="E23532" s="51"/>
      <c r="F23532" s="114" t="str">
        <f>IF(INDEX(I.Facility.P4IDNumber,3520)="","",INDEX(I.Facility.P4IDNumber,3520))</f>
        <v/>
      </c>
      <c r="G23532" s="51"/>
      <c r="H23532" s="46" t="str">
        <f>IF(AND(I.Developer.P4=TRUE,I.Facility.P4FacilityCount&gt;=3520,F23532=""),"Incomplete","Complete")</f>
        <v>Complete</v>
      </c>
      <c r="I23532" s="48" t="s">
        <v>27897</v>
      </c>
    </row>
    <row r="23533" spans="2:9" ht="15" customHeight="1" x14ac:dyDescent="0.25">
      <c r="B23533" s="55" t="s">
        <v>283</v>
      </c>
      <c r="C23533" s="46">
        <v>3521</v>
      </c>
      <c r="D23533" s="69" t="s">
        <v>29420</v>
      </c>
      <c r="E23533" s="51"/>
      <c r="F23533" s="114" t="str">
        <f>IF(INDEX(I.Facility.P4IDNumber,3521)="","",INDEX(I.Facility.P4IDNumber,3521))</f>
        <v/>
      </c>
      <c r="G23533" s="51"/>
      <c r="H23533" s="46" t="str">
        <f>IF(AND(I.Developer.P4=TRUE,I.Facility.P4FacilityCount&gt;=3521,F23533=""),"Incomplete","Complete")</f>
        <v>Complete</v>
      </c>
      <c r="I23533" s="48" t="s">
        <v>27898</v>
      </c>
    </row>
    <row r="23534" spans="2:9" ht="15" customHeight="1" x14ac:dyDescent="0.25">
      <c r="B23534" s="55" t="s">
        <v>283</v>
      </c>
      <c r="C23534" s="46">
        <v>3522</v>
      </c>
      <c r="D23534" s="69" t="s">
        <v>29420</v>
      </c>
      <c r="E23534" s="51"/>
      <c r="F23534" s="114" t="str">
        <f>IF(INDEX(I.Facility.P4IDNumber,3522)="","",INDEX(I.Facility.P4IDNumber,3522))</f>
        <v/>
      </c>
      <c r="G23534" s="51"/>
      <c r="H23534" s="46" t="str">
        <f>IF(AND(I.Developer.P4=TRUE,I.Facility.P4FacilityCount&gt;=3522,F23534=""),"Incomplete","Complete")</f>
        <v>Complete</v>
      </c>
      <c r="I23534" s="48" t="s">
        <v>27899</v>
      </c>
    </row>
    <row r="23535" spans="2:9" ht="15" customHeight="1" x14ac:dyDescent="0.25">
      <c r="B23535" s="55" t="s">
        <v>283</v>
      </c>
      <c r="C23535" s="46">
        <v>3523</v>
      </c>
      <c r="D23535" s="69" t="s">
        <v>29420</v>
      </c>
      <c r="E23535" s="51"/>
      <c r="F23535" s="114" t="str">
        <f>IF(INDEX(I.Facility.P4IDNumber,3523)="","",INDEX(I.Facility.P4IDNumber,3523))</f>
        <v/>
      </c>
      <c r="G23535" s="51"/>
      <c r="H23535" s="46" t="str">
        <f>IF(AND(I.Developer.P4=TRUE,I.Facility.P4FacilityCount&gt;=3523,F23535=""),"Incomplete","Complete")</f>
        <v>Complete</v>
      </c>
      <c r="I23535" s="48" t="s">
        <v>27900</v>
      </c>
    </row>
    <row r="23536" spans="2:9" ht="15" customHeight="1" x14ac:dyDescent="0.25">
      <c r="B23536" s="55" t="s">
        <v>283</v>
      </c>
      <c r="C23536" s="46">
        <v>3524</v>
      </c>
      <c r="D23536" s="69" t="s">
        <v>29420</v>
      </c>
      <c r="E23536" s="51"/>
      <c r="F23536" s="114" t="str">
        <f>IF(INDEX(I.Facility.P4IDNumber,3524)="","",INDEX(I.Facility.P4IDNumber,3524))</f>
        <v/>
      </c>
      <c r="G23536" s="51"/>
      <c r="H23536" s="46" t="str">
        <f>IF(AND(I.Developer.P4=TRUE,I.Facility.P4FacilityCount&gt;=3524,F23536=""),"Incomplete","Complete")</f>
        <v>Complete</v>
      </c>
      <c r="I23536" s="48" t="s">
        <v>27901</v>
      </c>
    </row>
    <row r="23537" spans="2:9" ht="15" customHeight="1" x14ac:dyDescent="0.25">
      <c r="B23537" s="55" t="s">
        <v>283</v>
      </c>
      <c r="C23537" s="46">
        <v>3525</v>
      </c>
      <c r="D23537" s="69" t="s">
        <v>29420</v>
      </c>
      <c r="E23537" s="51"/>
      <c r="F23537" s="114" t="str">
        <f>IF(INDEX(I.Facility.P4IDNumber,3525)="","",INDEX(I.Facility.P4IDNumber,3525))</f>
        <v/>
      </c>
      <c r="G23537" s="51"/>
      <c r="H23537" s="46" t="str">
        <f>IF(AND(I.Developer.P4=TRUE,I.Facility.P4FacilityCount&gt;=3525,F23537=""),"Incomplete","Complete")</f>
        <v>Complete</v>
      </c>
      <c r="I23537" s="48" t="s">
        <v>27902</v>
      </c>
    </row>
    <row r="23538" spans="2:9" ht="15" customHeight="1" x14ac:dyDescent="0.25">
      <c r="B23538" s="55" t="s">
        <v>283</v>
      </c>
      <c r="C23538" s="46">
        <v>3526</v>
      </c>
      <c r="D23538" s="69" t="s">
        <v>29420</v>
      </c>
      <c r="E23538" s="51"/>
      <c r="F23538" s="114" t="str">
        <f>IF(INDEX(I.Facility.P4IDNumber,3526)="","",INDEX(I.Facility.P4IDNumber,3526))</f>
        <v/>
      </c>
      <c r="G23538" s="51"/>
      <c r="H23538" s="46" t="str">
        <f>IF(AND(I.Developer.P4=TRUE,I.Facility.P4FacilityCount&gt;=3526,F23538=""),"Incomplete","Complete")</f>
        <v>Complete</v>
      </c>
      <c r="I23538" s="48" t="s">
        <v>27903</v>
      </c>
    </row>
    <row r="23539" spans="2:9" ht="15" customHeight="1" x14ac:dyDescent="0.25">
      <c r="B23539" s="55" t="s">
        <v>283</v>
      </c>
      <c r="C23539" s="46">
        <v>3527</v>
      </c>
      <c r="D23539" s="69" t="s">
        <v>29420</v>
      </c>
      <c r="E23539" s="51"/>
      <c r="F23539" s="114" t="str">
        <f>IF(INDEX(I.Facility.P4IDNumber,3527)="","",INDEX(I.Facility.P4IDNumber,3527))</f>
        <v/>
      </c>
      <c r="G23539" s="51"/>
      <c r="H23539" s="46" t="str">
        <f>IF(AND(I.Developer.P4=TRUE,I.Facility.P4FacilityCount&gt;=3527,F23539=""),"Incomplete","Complete")</f>
        <v>Complete</v>
      </c>
      <c r="I23539" s="48" t="s">
        <v>27904</v>
      </c>
    </row>
    <row r="23540" spans="2:9" ht="15" customHeight="1" x14ac:dyDescent="0.25">
      <c r="B23540" s="55" t="s">
        <v>283</v>
      </c>
      <c r="C23540" s="46">
        <v>3528</v>
      </c>
      <c r="D23540" s="69" t="s">
        <v>29420</v>
      </c>
      <c r="E23540" s="51"/>
      <c r="F23540" s="114" t="str">
        <f>IF(INDEX(I.Facility.P4IDNumber,3528)="","",INDEX(I.Facility.P4IDNumber,3528))</f>
        <v/>
      </c>
      <c r="G23540" s="51"/>
      <c r="H23540" s="46" t="str">
        <f>IF(AND(I.Developer.P4=TRUE,I.Facility.P4FacilityCount&gt;=3528,F23540=""),"Incomplete","Complete")</f>
        <v>Complete</v>
      </c>
      <c r="I23540" s="48" t="s">
        <v>27905</v>
      </c>
    </row>
    <row r="23541" spans="2:9" ht="15" customHeight="1" x14ac:dyDescent="0.25">
      <c r="B23541" s="55" t="s">
        <v>283</v>
      </c>
      <c r="C23541" s="46">
        <v>3529</v>
      </c>
      <c r="D23541" s="69" t="s">
        <v>29420</v>
      </c>
      <c r="E23541" s="51"/>
      <c r="F23541" s="114" t="str">
        <f>IF(INDEX(I.Facility.P4IDNumber,3529)="","",INDEX(I.Facility.P4IDNumber,3529))</f>
        <v/>
      </c>
      <c r="G23541" s="51"/>
      <c r="H23541" s="46" t="str">
        <f>IF(AND(I.Developer.P4=TRUE,I.Facility.P4FacilityCount&gt;=3529,F23541=""),"Incomplete","Complete")</f>
        <v>Complete</v>
      </c>
      <c r="I23541" s="48" t="s">
        <v>27906</v>
      </c>
    </row>
    <row r="23542" spans="2:9" ht="15" customHeight="1" x14ac:dyDescent="0.25">
      <c r="B23542" s="55" t="s">
        <v>283</v>
      </c>
      <c r="C23542" s="46">
        <v>3530</v>
      </c>
      <c r="D23542" s="69" t="s">
        <v>29420</v>
      </c>
      <c r="E23542" s="51"/>
      <c r="F23542" s="114" t="str">
        <f>IF(INDEX(I.Facility.P4IDNumber,3530)="","",INDEX(I.Facility.P4IDNumber,3530))</f>
        <v/>
      </c>
      <c r="G23542" s="51"/>
      <c r="H23542" s="46" t="str">
        <f>IF(AND(I.Developer.P4=TRUE,I.Facility.P4FacilityCount&gt;=3530,F23542=""),"Incomplete","Complete")</f>
        <v>Complete</v>
      </c>
      <c r="I23542" s="48" t="s">
        <v>27907</v>
      </c>
    </row>
    <row r="23543" spans="2:9" ht="15" customHeight="1" x14ac:dyDescent="0.25">
      <c r="B23543" s="55" t="s">
        <v>283</v>
      </c>
      <c r="C23543" s="46">
        <v>3531</v>
      </c>
      <c r="D23543" s="69" t="s">
        <v>29420</v>
      </c>
      <c r="E23543" s="51"/>
      <c r="F23543" s="114" t="str">
        <f>IF(INDEX(I.Facility.P4IDNumber,3531)="","",INDEX(I.Facility.P4IDNumber,3531))</f>
        <v/>
      </c>
      <c r="G23543" s="51"/>
      <c r="H23543" s="46" t="str">
        <f>IF(AND(I.Developer.P4=TRUE,I.Facility.P4FacilityCount&gt;=3531,F23543=""),"Incomplete","Complete")</f>
        <v>Complete</v>
      </c>
      <c r="I23543" s="48" t="s">
        <v>27908</v>
      </c>
    </row>
    <row r="23544" spans="2:9" ht="15" customHeight="1" x14ac:dyDescent="0.25">
      <c r="B23544" s="55" t="s">
        <v>283</v>
      </c>
      <c r="C23544" s="46">
        <v>3532</v>
      </c>
      <c r="D23544" s="69" t="s">
        <v>29420</v>
      </c>
      <c r="E23544" s="51"/>
      <c r="F23544" s="114" t="str">
        <f>IF(INDEX(I.Facility.P4IDNumber,3532)="","",INDEX(I.Facility.P4IDNumber,3532))</f>
        <v/>
      </c>
      <c r="G23544" s="51"/>
      <c r="H23544" s="46" t="str">
        <f>IF(AND(I.Developer.P4=TRUE,I.Facility.P4FacilityCount&gt;=3532,F23544=""),"Incomplete","Complete")</f>
        <v>Complete</v>
      </c>
      <c r="I23544" s="48" t="s">
        <v>27909</v>
      </c>
    </row>
    <row r="23545" spans="2:9" ht="15" customHeight="1" x14ac:dyDescent="0.25">
      <c r="B23545" s="55" t="s">
        <v>283</v>
      </c>
      <c r="C23545" s="46">
        <v>3533</v>
      </c>
      <c r="D23545" s="69" t="s">
        <v>29420</v>
      </c>
      <c r="E23545" s="51"/>
      <c r="F23545" s="114" t="str">
        <f>IF(INDEX(I.Facility.P4IDNumber,3533)="","",INDEX(I.Facility.P4IDNumber,3533))</f>
        <v/>
      </c>
      <c r="G23545" s="51"/>
      <c r="H23545" s="46" t="str">
        <f>IF(AND(I.Developer.P4=TRUE,I.Facility.P4FacilityCount&gt;=3533,F23545=""),"Incomplete","Complete")</f>
        <v>Complete</v>
      </c>
      <c r="I23545" s="48" t="s">
        <v>27910</v>
      </c>
    </row>
    <row r="23546" spans="2:9" ht="15" customHeight="1" x14ac:dyDescent="0.25">
      <c r="B23546" s="55" t="s">
        <v>283</v>
      </c>
      <c r="C23546" s="46">
        <v>3534</v>
      </c>
      <c r="D23546" s="69" t="s">
        <v>29420</v>
      </c>
      <c r="E23546" s="51"/>
      <c r="F23546" s="114" t="str">
        <f>IF(INDEX(I.Facility.P4IDNumber,3534)="","",INDEX(I.Facility.P4IDNumber,3534))</f>
        <v/>
      </c>
      <c r="G23546" s="51"/>
      <c r="H23546" s="46" t="str">
        <f>IF(AND(I.Developer.P4=TRUE,I.Facility.P4FacilityCount&gt;=3534,F23546=""),"Incomplete","Complete")</f>
        <v>Complete</v>
      </c>
      <c r="I23546" s="48" t="s">
        <v>27911</v>
      </c>
    </row>
    <row r="23547" spans="2:9" ht="15" customHeight="1" x14ac:dyDescent="0.25">
      <c r="B23547" s="55" t="s">
        <v>283</v>
      </c>
      <c r="C23547" s="46">
        <v>3535</v>
      </c>
      <c r="D23547" s="69" t="s">
        <v>29420</v>
      </c>
      <c r="E23547" s="51"/>
      <c r="F23547" s="114" t="str">
        <f>IF(INDEX(I.Facility.P4IDNumber,3535)="","",INDEX(I.Facility.P4IDNumber,3535))</f>
        <v/>
      </c>
      <c r="G23547" s="51"/>
      <c r="H23547" s="46" t="str">
        <f>IF(AND(I.Developer.P4=TRUE,I.Facility.P4FacilityCount&gt;=3535,F23547=""),"Incomplete","Complete")</f>
        <v>Complete</v>
      </c>
      <c r="I23547" s="48" t="s">
        <v>27912</v>
      </c>
    </row>
    <row r="23548" spans="2:9" ht="15" customHeight="1" x14ac:dyDescent="0.25">
      <c r="B23548" s="55" t="s">
        <v>283</v>
      </c>
      <c r="C23548" s="46">
        <v>3536</v>
      </c>
      <c r="D23548" s="69" t="s">
        <v>29420</v>
      </c>
      <c r="E23548" s="51"/>
      <c r="F23548" s="114" t="str">
        <f>IF(INDEX(I.Facility.P4IDNumber,3536)="","",INDEX(I.Facility.P4IDNumber,3536))</f>
        <v/>
      </c>
      <c r="G23548" s="51"/>
      <c r="H23548" s="46" t="str">
        <f>IF(AND(I.Developer.P4=TRUE,I.Facility.P4FacilityCount&gt;=3536,F23548=""),"Incomplete","Complete")</f>
        <v>Complete</v>
      </c>
      <c r="I23548" s="48" t="s">
        <v>27913</v>
      </c>
    </row>
    <row r="23549" spans="2:9" ht="15" customHeight="1" x14ac:dyDescent="0.25">
      <c r="B23549" s="55" t="s">
        <v>283</v>
      </c>
      <c r="C23549" s="46">
        <v>3537</v>
      </c>
      <c r="D23549" s="69" t="s">
        <v>29420</v>
      </c>
      <c r="E23549" s="51"/>
      <c r="F23549" s="114" t="str">
        <f>IF(INDEX(I.Facility.P4IDNumber,3537)="","",INDEX(I.Facility.P4IDNumber,3537))</f>
        <v/>
      </c>
      <c r="G23549" s="51"/>
      <c r="H23549" s="46" t="str">
        <f>IF(AND(I.Developer.P4=TRUE,I.Facility.P4FacilityCount&gt;=3537,F23549=""),"Incomplete","Complete")</f>
        <v>Complete</v>
      </c>
      <c r="I23549" s="48" t="s">
        <v>27914</v>
      </c>
    </row>
    <row r="23550" spans="2:9" ht="15" customHeight="1" x14ac:dyDescent="0.25">
      <c r="B23550" s="55" t="s">
        <v>283</v>
      </c>
      <c r="C23550" s="46">
        <v>3538</v>
      </c>
      <c r="D23550" s="69" t="s">
        <v>29420</v>
      </c>
      <c r="E23550" s="51"/>
      <c r="F23550" s="114" t="str">
        <f>IF(INDEX(I.Facility.P4IDNumber,3538)="","",INDEX(I.Facility.P4IDNumber,3538))</f>
        <v/>
      </c>
      <c r="G23550" s="51"/>
      <c r="H23550" s="46" t="str">
        <f>IF(AND(I.Developer.P4=TRUE,I.Facility.P4FacilityCount&gt;=3538,F23550=""),"Incomplete","Complete")</f>
        <v>Complete</v>
      </c>
      <c r="I23550" s="48" t="s">
        <v>27915</v>
      </c>
    </row>
    <row r="23551" spans="2:9" ht="15" customHeight="1" x14ac:dyDescent="0.25">
      <c r="B23551" s="55" t="s">
        <v>283</v>
      </c>
      <c r="C23551" s="46">
        <v>3539</v>
      </c>
      <c r="D23551" s="69" t="s">
        <v>29420</v>
      </c>
      <c r="E23551" s="51"/>
      <c r="F23551" s="114" t="str">
        <f>IF(INDEX(I.Facility.P4IDNumber,3539)="","",INDEX(I.Facility.P4IDNumber,3539))</f>
        <v/>
      </c>
      <c r="G23551" s="51"/>
      <c r="H23551" s="46" t="str">
        <f>IF(AND(I.Developer.P4=TRUE,I.Facility.P4FacilityCount&gt;=3539,F23551=""),"Incomplete","Complete")</f>
        <v>Complete</v>
      </c>
      <c r="I23551" s="48" t="s">
        <v>27916</v>
      </c>
    </row>
    <row r="23552" spans="2:9" ht="15" customHeight="1" x14ac:dyDescent="0.25">
      <c r="B23552" s="55" t="s">
        <v>283</v>
      </c>
      <c r="C23552" s="46">
        <v>3540</v>
      </c>
      <c r="D23552" s="69" t="s">
        <v>29420</v>
      </c>
      <c r="E23552" s="51"/>
      <c r="F23552" s="114" t="str">
        <f>IF(INDEX(I.Facility.P4IDNumber,3540)="","",INDEX(I.Facility.P4IDNumber,3540))</f>
        <v/>
      </c>
      <c r="G23552" s="51"/>
      <c r="H23552" s="46" t="str">
        <f>IF(AND(I.Developer.P4=TRUE,I.Facility.P4FacilityCount&gt;=3540,F23552=""),"Incomplete","Complete")</f>
        <v>Complete</v>
      </c>
      <c r="I23552" s="48" t="s">
        <v>27917</v>
      </c>
    </row>
    <row r="23553" spans="2:9" ht="15" customHeight="1" x14ac:dyDescent="0.25">
      <c r="B23553" s="55" t="s">
        <v>283</v>
      </c>
      <c r="C23553" s="46">
        <v>3541</v>
      </c>
      <c r="D23553" s="69" t="s">
        <v>29420</v>
      </c>
      <c r="E23553" s="51"/>
      <c r="F23553" s="114" t="str">
        <f>IF(INDEX(I.Facility.P4IDNumber,3541)="","",INDEX(I.Facility.P4IDNumber,3541))</f>
        <v/>
      </c>
      <c r="G23553" s="51"/>
      <c r="H23553" s="46" t="str">
        <f>IF(AND(I.Developer.P4=TRUE,I.Facility.P4FacilityCount&gt;=3541,F23553=""),"Incomplete","Complete")</f>
        <v>Complete</v>
      </c>
      <c r="I23553" s="48" t="s">
        <v>27918</v>
      </c>
    </row>
    <row r="23554" spans="2:9" ht="15" customHeight="1" x14ac:dyDescent="0.25">
      <c r="B23554" s="55" t="s">
        <v>283</v>
      </c>
      <c r="C23554" s="46">
        <v>3542</v>
      </c>
      <c r="D23554" s="69" t="s">
        <v>29420</v>
      </c>
      <c r="E23554" s="51"/>
      <c r="F23554" s="114" t="str">
        <f>IF(INDEX(I.Facility.P4IDNumber,3542)="","",INDEX(I.Facility.P4IDNumber,3542))</f>
        <v/>
      </c>
      <c r="G23554" s="51"/>
      <c r="H23554" s="46" t="str">
        <f>IF(AND(I.Developer.P4=TRUE,I.Facility.P4FacilityCount&gt;=3542,F23554=""),"Incomplete","Complete")</f>
        <v>Complete</v>
      </c>
      <c r="I23554" s="48" t="s">
        <v>27919</v>
      </c>
    </row>
    <row r="23555" spans="2:9" ht="15" customHeight="1" x14ac:dyDescent="0.25">
      <c r="B23555" s="55" t="s">
        <v>283</v>
      </c>
      <c r="C23555" s="46">
        <v>3543</v>
      </c>
      <c r="D23555" s="69" t="s">
        <v>29420</v>
      </c>
      <c r="E23555" s="51"/>
      <c r="F23555" s="114" t="str">
        <f>IF(INDEX(I.Facility.P4IDNumber,3543)="","",INDEX(I.Facility.P4IDNumber,3543))</f>
        <v/>
      </c>
      <c r="G23555" s="51"/>
      <c r="H23555" s="46" t="str">
        <f>IF(AND(I.Developer.P4=TRUE,I.Facility.P4FacilityCount&gt;=3543,F23555=""),"Incomplete","Complete")</f>
        <v>Complete</v>
      </c>
      <c r="I23555" s="48" t="s">
        <v>27920</v>
      </c>
    </row>
    <row r="23556" spans="2:9" ht="15" customHeight="1" x14ac:dyDescent="0.25">
      <c r="B23556" s="55" t="s">
        <v>283</v>
      </c>
      <c r="C23556" s="46">
        <v>3544</v>
      </c>
      <c r="D23556" s="69" t="s">
        <v>29420</v>
      </c>
      <c r="E23556" s="51"/>
      <c r="F23556" s="114" t="str">
        <f>IF(INDEX(I.Facility.P4IDNumber,3544)="","",INDEX(I.Facility.P4IDNumber,3544))</f>
        <v/>
      </c>
      <c r="G23556" s="51"/>
      <c r="H23556" s="46" t="str">
        <f>IF(AND(I.Developer.P4=TRUE,I.Facility.P4FacilityCount&gt;=3544,F23556=""),"Incomplete","Complete")</f>
        <v>Complete</v>
      </c>
      <c r="I23556" s="48" t="s">
        <v>27921</v>
      </c>
    </row>
    <row r="23557" spans="2:9" ht="15" customHeight="1" x14ac:dyDescent="0.25">
      <c r="B23557" s="55" t="s">
        <v>283</v>
      </c>
      <c r="C23557" s="46">
        <v>3545</v>
      </c>
      <c r="D23557" s="69" t="s">
        <v>29420</v>
      </c>
      <c r="E23557" s="51"/>
      <c r="F23557" s="114" t="str">
        <f>IF(INDEX(I.Facility.P4IDNumber,3545)="","",INDEX(I.Facility.P4IDNumber,3545))</f>
        <v/>
      </c>
      <c r="G23557" s="51"/>
      <c r="H23557" s="46" t="str">
        <f>IF(AND(I.Developer.P4=TRUE,I.Facility.P4FacilityCount&gt;=3545,F23557=""),"Incomplete","Complete")</f>
        <v>Complete</v>
      </c>
      <c r="I23557" s="48" t="s">
        <v>27922</v>
      </c>
    </row>
    <row r="23558" spans="2:9" ht="15" customHeight="1" x14ac:dyDescent="0.25">
      <c r="B23558" s="55" t="s">
        <v>283</v>
      </c>
      <c r="C23558" s="46">
        <v>3546</v>
      </c>
      <c r="D23558" s="69" t="s">
        <v>29420</v>
      </c>
      <c r="E23558" s="51"/>
      <c r="F23558" s="114" t="str">
        <f>IF(INDEX(I.Facility.P4IDNumber,3546)="","",INDEX(I.Facility.P4IDNumber,3546))</f>
        <v/>
      </c>
      <c r="G23558" s="51"/>
      <c r="H23558" s="46" t="str">
        <f>IF(AND(I.Developer.P4=TRUE,I.Facility.P4FacilityCount&gt;=3546,F23558=""),"Incomplete","Complete")</f>
        <v>Complete</v>
      </c>
      <c r="I23558" s="48" t="s">
        <v>27923</v>
      </c>
    </row>
    <row r="23559" spans="2:9" ht="15" customHeight="1" x14ac:dyDescent="0.25">
      <c r="B23559" s="55" t="s">
        <v>283</v>
      </c>
      <c r="C23559" s="46">
        <v>3547</v>
      </c>
      <c r="D23559" s="69" t="s">
        <v>29420</v>
      </c>
      <c r="E23559" s="51"/>
      <c r="F23559" s="114" t="str">
        <f>IF(INDEX(I.Facility.P4IDNumber,3547)="","",INDEX(I.Facility.P4IDNumber,3547))</f>
        <v/>
      </c>
      <c r="G23559" s="51"/>
      <c r="H23559" s="46" t="str">
        <f>IF(AND(I.Developer.P4=TRUE,I.Facility.P4FacilityCount&gt;=3547,F23559=""),"Incomplete","Complete")</f>
        <v>Complete</v>
      </c>
      <c r="I23559" s="48" t="s">
        <v>27924</v>
      </c>
    </row>
    <row r="23560" spans="2:9" ht="15" customHeight="1" x14ac:dyDescent="0.25">
      <c r="B23560" s="55" t="s">
        <v>283</v>
      </c>
      <c r="C23560" s="46">
        <v>3548</v>
      </c>
      <c r="D23560" s="69" t="s">
        <v>29420</v>
      </c>
      <c r="E23560" s="51"/>
      <c r="F23560" s="114" t="str">
        <f>IF(INDEX(I.Facility.P4IDNumber,3548)="","",INDEX(I.Facility.P4IDNumber,3548))</f>
        <v/>
      </c>
      <c r="G23560" s="51"/>
      <c r="H23560" s="46" t="str">
        <f>IF(AND(I.Developer.P4=TRUE,I.Facility.P4FacilityCount&gt;=3548,F23560=""),"Incomplete","Complete")</f>
        <v>Complete</v>
      </c>
      <c r="I23560" s="48" t="s">
        <v>27925</v>
      </c>
    </row>
    <row r="23561" spans="2:9" ht="15" customHeight="1" x14ac:dyDescent="0.25">
      <c r="B23561" s="55" t="s">
        <v>283</v>
      </c>
      <c r="C23561" s="46">
        <v>3549</v>
      </c>
      <c r="D23561" s="69" t="s">
        <v>29420</v>
      </c>
      <c r="E23561" s="51"/>
      <c r="F23561" s="114" t="str">
        <f>IF(INDEX(I.Facility.P4IDNumber,3549)="","",INDEX(I.Facility.P4IDNumber,3549))</f>
        <v/>
      </c>
      <c r="G23561" s="51"/>
      <c r="H23561" s="46" t="str">
        <f>IF(AND(I.Developer.P4=TRUE,I.Facility.P4FacilityCount&gt;=3549,F23561=""),"Incomplete","Complete")</f>
        <v>Complete</v>
      </c>
      <c r="I23561" s="48" t="s">
        <v>27926</v>
      </c>
    </row>
    <row r="23562" spans="2:9" ht="15" customHeight="1" x14ac:dyDescent="0.25">
      <c r="B23562" s="55" t="s">
        <v>283</v>
      </c>
      <c r="C23562" s="46">
        <v>3550</v>
      </c>
      <c r="D23562" s="69" t="s">
        <v>29420</v>
      </c>
      <c r="E23562" s="51"/>
      <c r="F23562" s="114" t="str">
        <f>IF(INDEX(I.Facility.P4IDNumber,3550)="","",INDEX(I.Facility.P4IDNumber,3550))</f>
        <v/>
      </c>
      <c r="G23562" s="51"/>
      <c r="H23562" s="46" t="str">
        <f>IF(AND(I.Developer.P4=TRUE,I.Facility.P4FacilityCount&gt;=3550,F23562=""),"Incomplete","Complete")</f>
        <v>Complete</v>
      </c>
      <c r="I23562" s="48" t="s">
        <v>27927</v>
      </c>
    </row>
    <row r="23563" spans="2:9" ht="15" customHeight="1" x14ac:dyDescent="0.25">
      <c r="B23563" s="55" t="s">
        <v>283</v>
      </c>
      <c r="C23563" s="46">
        <v>3551</v>
      </c>
      <c r="D23563" s="69" t="s">
        <v>29420</v>
      </c>
      <c r="E23563" s="51"/>
      <c r="F23563" s="114" t="str">
        <f>IF(INDEX(I.Facility.P4IDNumber,3551)="","",INDEX(I.Facility.P4IDNumber,3551))</f>
        <v/>
      </c>
      <c r="G23563" s="51"/>
      <c r="H23563" s="46" t="str">
        <f>IF(AND(I.Developer.P4=TRUE,I.Facility.P4FacilityCount&gt;=3551,F23563=""),"Incomplete","Complete")</f>
        <v>Complete</v>
      </c>
      <c r="I23563" s="48" t="s">
        <v>27928</v>
      </c>
    </row>
    <row r="23564" spans="2:9" ht="15" customHeight="1" x14ac:dyDescent="0.25">
      <c r="B23564" s="55" t="s">
        <v>283</v>
      </c>
      <c r="C23564" s="46">
        <v>3552</v>
      </c>
      <c r="D23564" s="69" t="s">
        <v>29420</v>
      </c>
      <c r="E23564" s="51"/>
      <c r="F23564" s="114" t="str">
        <f>IF(INDEX(I.Facility.P4IDNumber,3552)="","",INDEX(I.Facility.P4IDNumber,3552))</f>
        <v/>
      </c>
      <c r="G23564" s="51"/>
      <c r="H23564" s="46" t="str">
        <f>IF(AND(I.Developer.P4=TRUE,I.Facility.P4FacilityCount&gt;=3552,F23564=""),"Incomplete","Complete")</f>
        <v>Complete</v>
      </c>
      <c r="I23564" s="48" t="s">
        <v>27929</v>
      </c>
    </row>
    <row r="23565" spans="2:9" ht="15" customHeight="1" x14ac:dyDescent="0.25">
      <c r="B23565" s="55" t="s">
        <v>283</v>
      </c>
      <c r="C23565" s="46">
        <v>3553</v>
      </c>
      <c r="D23565" s="69" t="s">
        <v>29420</v>
      </c>
      <c r="E23565" s="51"/>
      <c r="F23565" s="114" t="str">
        <f>IF(INDEX(I.Facility.P4IDNumber,3553)="","",INDEX(I.Facility.P4IDNumber,3553))</f>
        <v/>
      </c>
      <c r="G23565" s="51"/>
      <c r="H23565" s="46" t="str">
        <f>IF(AND(I.Developer.P4=TRUE,I.Facility.P4FacilityCount&gt;=3553,F23565=""),"Incomplete","Complete")</f>
        <v>Complete</v>
      </c>
      <c r="I23565" s="48" t="s">
        <v>27930</v>
      </c>
    </row>
    <row r="23566" spans="2:9" ht="15" customHeight="1" x14ac:dyDescent="0.25">
      <c r="B23566" s="55" t="s">
        <v>283</v>
      </c>
      <c r="C23566" s="46">
        <v>3554</v>
      </c>
      <c r="D23566" s="69" t="s">
        <v>29420</v>
      </c>
      <c r="E23566" s="51"/>
      <c r="F23566" s="114" t="str">
        <f>IF(INDEX(I.Facility.P4IDNumber,3554)="","",INDEX(I.Facility.P4IDNumber,3554))</f>
        <v/>
      </c>
      <c r="G23566" s="51"/>
      <c r="H23566" s="46" t="str">
        <f>IF(AND(I.Developer.P4=TRUE,I.Facility.P4FacilityCount&gt;=3554,F23566=""),"Incomplete","Complete")</f>
        <v>Complete</v>
      </c>
      <c r="I23566" s="48" t="s">
        <v>27931</v>
      </c>
    </row>
    <row r="23567" spans="2:9" ht="15" customHeight="1" x14ac:dyDescent="0.25">
      <c r="B23567" s="55" t="s">
        <v>283</v>
      </c>
      <c r="C23567" s="46">
        <v>3555</v>
      </c>
      <c r="D23567" s="69" t="s">
        <v>29420</v>
      </c>
      <c r="E23567" s="51"/>
      <c r="F23567" s="114" t="str">
        <f>IF(INDEX(I.Facility.P4IDNumber,3555)="","",INDEX(I.Facility.P4IDNumber,3555))</f>
        <v/>
      </c>
      <c r="G23567" s="51"/>
      <c r="H23567" s="46" t="str">
        <f>IF(AND(I.Developer.P4=TRUE,I.Facility.P4FacilityCount&gt;=3555,F23567=""),"Incomplete","Complete")</f>
        <v>Complete</v>
      </c>
      <c r="I23567" s="48" t="s">
        <v>27932</v>
      </c>
    </row>
    <row r="23568" spans="2:9" ht="15" customHeight="1" x14ac:dyDescent="0.25">
      <c r="B23568" s="55" t="s">
        <v>283</v>
      </c>
      <c r="C23568" s="46">
        <v>3556</v>
      </c>
      <c r="D23568" s="69" t="s">
        <v>29420</v>
      </c>
      <c r="E23568" s="51"/>
      <c r="F23568" s="114" t="str">
        <f>IF(INDEX(I.Facility.P4IDNumber,3556)="","",INDEX(I.Facility.P4IDNumber,3556))</f>
        <v/>
      </c>
      <c r="G23568" s="51"/>
      <c r="H23568" s="46" t="str">
        <f>IF(AND(I.Developer.P4=TRUE,I.Facility.P4FacilityCount&gt;=3556,F23568=""),"Incomplete","Complete")</f>
        <v>Complete</v>
      </c>
      <c r="I23568" s="48" t="s">
        <v>27933</v>
      </c>
    </row>
    <row r="23569" spans="2:9" ht="15" customHeight="1" x14ac:dyDescent="0.25">
      <c r="B23569" s="55" t="s">
        <v>283</v>
      </c>
      <c r="C23569" s="46">
        <v>3557</v>
      </c>
      <c r="D23569" s="69" t="s">
        <v>29420</v>
      </c>
      <c r="E23569" s="51"/>
      <c r="F23569" s="114" t="str">
        <f>IF(INDEX(I.Facility.P4IDNumber,3557)="","",INDEX(I.Facility.P4IDNumber,3557))</f>
        <v/>
      </c>
      <c r="G23569" s="51"/>
      <c r="H23569" s="46" t="str">
        <f>IF(AND(I.Developer.P4=TRUE,I.Facility.P4FacilityCount&gt;=3557,F23569=""),"Incomplete","Complete")</f>
        <v>Complete</v>
      </c>
      <c r="I23569" s="48" t="s">
        <v>27934</v>
      </c>
    </row>
    <row r="23570" spans="2:9" ht="15" customHeight="1" x14ac:dyDescent="0.25">
      <c r="B23570" s="55" t="s">
        <v>283</v>
      </c>
      <c r="C23570" s="46">
        <v>3558</v>
      </c>
      <c r="D23570" s="69" t="s">
        <v>29420</v>
      </c>
      <c r="E23570" s="51"/>
      <c r="F23570" s="114" t="str">
        <f>IF(INDEX(I.Facility.P4IDNumber,3558)="","",INDEX(I.Facility.P4IDNumber,3558))</f>
        <v/>
      </c>
      <c r="G23570" s="51"/>
      <c r="H23570" s="46" t="str">
        <f>IF(AND(I.Developer.P4=TRUE,I.Facility.P4FacilityCount&gt;=3558,F23570=""),"Incomplete","Complete")</f>
        <v>Complete</v>
      </c>
      <c r="I23570" s="48" t="s">
        <v>27935</v>
      </c>
    </row>
    <row r="23571" spans="2:9" ht="15" customHeight="1" x14ac:dyDescent="0.25">
      <c r="B23571" s="55" t="s">
        <v>283</v>
      </c>
      <c r="C23571" s="46">
        <v>3559</v>
      </c>
      <c r="D23571" s="69" t="s">
        <v>29420</v>
      </c>
      <c r="E23571" s="51"/>
      <c r="F23571" s="114" t="str">
        <f>IF(INDEX(I.Facility.P4IDNumber,3559)="","",INDEX(I.Facility.P4IDNumber,3559))</f>
        <v/>
      </c>
      <c r="G23571" s="51"/>
      <c r="H23571" s="46" t="str">
        <f>IF(AND(I.Developer.P4=TRUE,I.Facility.P4FacilityCount&gt;=3559,F23571=""),"Incomplete","Complete")</f>
        <v>Complete</v>
      </c>
      <c r="I23571" s="48" t="s">
        <v>27936</v>
      </c>
    </row>
    <row r="23572" spans="2:9" ht="15" customHeight="1" x14ac:dyDescent="0.25">
      <c r="B23572" s="55" t="s">
        <v>283</v>
      </c>
      <c r="C23572" s="46">
        <v>3560</v>
      </c>
      <c r="D23572" s="69" t="s">
        <v>29420</v>
      </c>
      <c r="E23572" s="51"/>
      <c r="F23572" s="114" t="str">
        <f>IF(INDEX(I.Facility.P4IDNumber,3560)="","",INDEX(I.Facility.P4IDNumber,3560))</f>
        <v/>
      </c>
      <c r="G23572" s="51"/>
      <c r="H23572" s="46" t="str">
        <f>IF(AND(I.Developer.P4=TRUE,I.Facility.P4FacilityCount&gt;=3560,F23572=""),"Incomplete","Complete")</f>
        <v>Complete</v>
      </c>
      <c r="I23572" s="48" t="s">
        <v>27937</v>
      </c>
    </row>
    <row r="23573" spans="2:9" ht="15" customHeight="1" x14ac:dyDescent="0.25">
      <c r="B23573" s="55" t="s">
        <v>283</v>
      </c>
      <c r="C23573" s="46">
        <v>3561</v>
      </c>
      <c r="D23573" s="69" t="s">
        <v>29420</v>
      </c>
      <c r="E23573" s="51"/>
      <c r="F23573" s="114" t="str">
        <f>IF(INDEX(I.Facility.P4IDNumber,3561)="","",INDEX(I.Facility.P4IDNumber,3561))</f>
        <v/>
      </c>
      <c r="G23573" s="51"/>
      <c r="H23573" s="46" t="str">
        <f>IF(AND(I.Developer.P4=TRUE,I.Facility.P4FacilityCount&gt;=3561,F23573=""),"Incomplete","Complete")</f>
        <v>Complete</v>
      </c>
      <c r="I23573" s="48" t="s">
        <v>27938</v>
      </c>
    </row>
    <row r="23574" spans="2:9" ht="15" customHeight="1" x14ac:dyDescent="0.25">
      <c r="B23574" s="55" t="s">
        <v>283</v>
      </c>
      <c r="C23574" s="46">
        <v>3562</v>
      </c>
      <c r="D23574" s="69" t="s">
        <v>29420</v>
      </c>
      <c r="E23574" s="51"/>
      <c r="F23574" s="114" t="str">
        <f>IF(INDEX(I.Facility.P4IDNumber,3562)="","",INDEX(I.Facility.P4IDNumber,3562))</f>
        <v/>
      </c>
      <c r="G23574" s="51"/>
      <c r="H23574" s="46" t="str">
        <f>IF(AND(I.Developer.P4=TRUE,I.Facility.P4FacilityCount&gt;=3562,F23574=""),"Incomplete","Complete")</f>
        <v>Complete</v>
      </c>
      <c r="I23574" s="48" t="s">
        <v>27939</v>
      </c>
    </row>
    <row r="23575" spans="2:9" ht="15" customHeight="1" x14ac:dyDescent="0.25">
      <c r="B23575" s="55" t="s">
        <v>283</v>
      </c>
      <c r="C23575" s="46">
        <v>3563</v>
      </c>
      <c r="D23575" s="69" t="s">
        <v>29420</v>
      </c>
      <c r="E23575" s="51"/>
      <c r="F23575" s="114" t="str">
        <f>IF(INDEX(I.Facility.P4IDNumber,3563)="","",INDEX(I.Facility.P4IDNumber,3563))</f>
        <v/>
      </c>
      <c r="G23575" s="51"/>
      <c r="H23575" s="46" t="str">
        <f>IF(AND(I.Developer.P4=TRUE,I.Facility.P4FacilityCount&gt;=3563,F23575=""),"Incomplete","Complete")</f>
        <v>Complete</v>
      </c>
      <c r="I23575" s="48" t="s">
        <v>27940</v>
      </c>
    </row>
    <row r="23576" spans="2:9" ht="15" customHeight="1" x14ac:dyDescent="0.25">
      <c r="B23576" s="55" t="s">
        <v>283</v>
      </c>
      <c r="C23576" s="46">
        <v>3564</v>
      </c>
      <c r="D23576" s="69" t="s">
        <v>29420</v>
      </c>
      <c r="E23576" s="51"/>
      <c r="F23576" s="114" t="str">
        <f>IF(INDEX(I.Facility.P4IDNumber,3564)="","",INDEX(I.Facility.P4IDNumber,3564))</f>
        <v/>
      </c>
      <c r="G23576" s="51"/>
      <c r="H23576" s="46" t="str">
        <f>IF(AND(I.Developer.P4=TRUE,I.Facility.P4FacilityCount&gt;=3564,F23576=""),"Incomplete","Complete")</f>
        <v>Complete</v>
      </c>
      <c r="I23576" s="48" t="s">
        <v>27941</v>
      </c>
    </row>
    <row r="23577" spans="2:9" ht="15" customHeight="1" x14ac:dyDescent="0.25">
      <c r="B23577" s="55" t="s">
        <v>283</v>
      </c>
      <c r="C23577" s="46">
        <v>3565</v>
      </c>
      <c r="D23577" s="69" t="s">
        <v>29420</v>
      </c>
      <c r="E23577" s="51"/>
      <c r="F23577" s="114" t="str">
        <f>IF(INDEX(I.Facility.P4IDNumber,3565)="","",INDEX(I.Facility.P4IDNumber,3565))</f>
        <v/>
      </c>
      <c r="G23577" s="51"/>
      <c r="H23577" s="46" t="str">
        <f>IF(AND(I.Developer.P4=TRUE,I.Facility.P4FacilityCount&gt;=3565,F23577=""),"Incomplete","Complete")</f>
        <v>Complete</v>
      </c>
      <c r="I23577" s="48" t="s">
        <v>27942</v>
      </c>
    </row>
    <row r="23578" spans="2:9" ht="15" customHeight="1" x14ac:dyDescent="0.25">
      <c r="B23578" s="55" t="s">
        <v>283</v>
      </c>
      <c r="C23578" s="46">
        <v>3566</v>
      </c>
      <c r="D23578" s="69" t="s">
        <v>29420</v>
      </c>
      <c r="E23578" s="51"/>
      <c r="F23578" s="114" t="str">
        <f>IF(INDEX(I.Facility.P4IDNumber,3566)="","",INDEX(I.Facility.P4IDNumber,3566))</f>
        <v/>
      </c>
      <c r="G23578" s="51"/>
      <c r="H23578" s="46" t="str">
        <f>IF(AND(I.Developer.P4=TRUE,I.Facility.P4FacilityCount&gt;=3566,F23578=""),"Incomplete","Complete")</f>
        <v>Complete</v>
      </c>
      <c r="I23578" s="48" t="s">
        <v>27943</v>
      </c>
    </row>
    <row r="23579" spans="2:9" ht="15" customHeight="1" x14ac:dyDescent="0.25">
      <c r="B23579" s="55" t="s">
        <v>283</v>
      </c>
      <c r="C23579" s="46">
        <v>3567</v>
      </c>
      <c r="D23579" s="69" t="s">
        <v>29420</v>
      </c>
      <c r="E23579" s="51"/>
      <c r="F23579" s="114" t="str">
        <f>IF(INDEX(I.Facility.P4IDNumber,3567)="","",INDEX(I.Facility.P4IDNumber,3567))</f>
        <v/>
      </c>
      <c r="G23579" s="51"/>
      <c r="H23579" s="46" t="str">
        <f>IF(AND(I.Developer.P4=TRUE,I.Facility.P4FacilityCount&gt;=3567,F23579=""),"Incomplete","Complete")</f>
        <v>Complete</v>
      </c>
      <c r="I23579" s="48" t="s">
        <v>27944</v>
      </c>
    </row>
    <row r="23580" spans="2:9" ht="15" customHeight="1" x14ac:dyDescent="0.25">
      <c r="B23580" s="55" t="s">
        <v>283</v>
      </c>
      <c r="C23580" s="46">
        <v>3568</v>
      </c>
      <c r="D23580" s="69" t="s">
        <v>29420</v>
      </c>
      <c r="E23580" s="51"/>
      <c r="F23580" s="114" t="str">
        <f>IF(INDEX(I.Facility.P4IDNumber,3568)="","",INDEX(I.Facility.P4IDNumber,3568))</f>
        <v/>
      </c>
      <c r="G23580" s="51"/>
      <c r="H23580" s="46" t="str">
        <f>IF(AND(I.Developer.P4=TRUE,I.Facility.P4FacilityCount&gt;=3568,F23580=""),"Incomplete","Complete")</f>
        <v>Complete</v>
      </c>
      <c r="I23580" s="48" t="s">
        <v>27945</v>
      </c>
    </row>
    <row r="23581" spans="2:9" ht="15" customHeight="1" x14ac:dyDescent="0.25">
      <c r="B23581" s="55" t="s">
        <v>283</v>
      </c>
      <c r="C23581" s="46">
        <v>3569</v>
      </c>
      <c r="D23581" s="69" t="s">
        <v>29420</v>
      </c>
      <c r="E23581" s="51"/>
      <c r="F23581" s="114" t="str">
        <f>IF(INDEX(I.Facility.P4IDNumber,3569)="","",INDEX(I.Facility.P4IDNumber,3569))</f>
        <v/>
      </c>
      <c r="G23581" s="51"/>
      <c r="H23581" s="46" t="str">
        <f>IF(AND(I.Developer.P4=TRUE,I.Facility.P4FacilityCount&gt;=3569,F23581=""),"Incomplete","Complete")</f>
        <v>Complete</v>
      </c>
      <c r="I23581" s="48" t="s">
        <v>27946</v>
      </c>
    </row>
    <row r="23582" spans="2:9" ht="15" customHeight="1" x14ac:dyDescent="0.25">
      <c r="B23582" s="55" t="s">
        <v>283</v>
      </c>
      <c r="C23582" s="46">
        <v>3570</v>
      </c>
      <c r="D23582" s="69" t="s">
        <v>29420</v>
      </c>
      <c r="E23582" s="51"/>
      <c r="F23582" s="114" t="str">
        <f>IF(INDEX(I.Facility.P4IDNumber,3570)="","",INDEX(I.Facility.P4IDNumber,3570))</f>
        <v/>
      </c>
      <c r="G23582" s="51"/>
      <c r="H23582" s="46" t="str">
        <f>IF(AND(I.Developer.P4=TRUE,I.Facility.P4FacilityCount&gt;=3570,F23582=""),"Incomplete","Complete")</f>
        <v>Complete</v>
      </c>
      <c r="I23582" s="48" t="s">
        <v>27947</v>
      </c>
    </row>
    <row r="23583" spans="2:9" ht="15" customHeight="1" x14ac:dyDescent="0.25">
      <c r="B23583" s="55" t="s">
        <v>283</v>
      </c>
      <c r="C23583" s="46">
        <v>3571</v>
      </c>
      <c r="D23583" s="69" t="s">
        <v>29420</v>
      </c>
      <c r="E23583" s="51"/>
      <c r="F23583" s="114" t="str">
        <f>IF(INDEX(I.Facility.P4IDNumber,3571)="","",INDEX(I.Facility.P4IDNumber,3571))</f>
        <v/>
      </c>
      <c r="G23583" s="51"/>
      <c r="H23583" s="46" t="str">
        <f>IF(AND(I.Developer.P4=TRUE,I.Facility.P4FacilityCount&gt;=3571,F23583=""),"Incomplete","Complete")</f>
        <v>Complete</v>
      </c>
      <c r="I23583" s="48" t="s">
        <v>27948</v>
      </c>
    </row>
    <row r="23584" spans="2:9" ht="15" customHeight="1" x14ac:dyDescent="0.25">
      <c r="B23584" s="55" t="s">
        <v>283</v>
      </c>
      <c r="C23584" s="46">
        <v>3572</v>
      </c>
      <c r="D23584" s="69" t="s">
        <v>29420</v>
      </c>
      <c r="E23584" s="51"/>
      <c r="F23584" s="114" t="str">
        <f>IF(INDEX(I.Facility.P4IDNumber,3572)="","",INDEX(I.Facility.P4IDNumber,3572))</f>
        <v/>
      </c>
      <c r="G23584" s="51"/>
      <c r="H23584" s="46" t="str">
        <f>IF(AND(I.Developer.P4=TRUE,I.Facility.P4FacilityCount&gt;=3572,F23584=""),"Incomplete","Complete")</f>
        <v>Complete</v>
      </c>
      <c r="I23584" s="48" t="s">
        <v>27949</v>
      </c>
    </row>
    <row r="23585" spans="2:9" ht="15" customHeight="1" x14ac:dyDescent="0.25">
      <c r="B23585" s="55" t="s">
        <v>283</v>
      </c>
      <c r="C23585" s="46">
        <v>3573</v>
      </c>
      <c r="D23585" s="69" t="s">
        <v>29420</v>
      </c>
      <c r="E23585" s="51"/>
      <c r="F23585" s="114" t="str">
        <f>IF(INDEX(I.Facility.P4IDNumber,3573)="","",INDEX(I.Facility.P4IDNumber,3573))</f>
        <v/>
      </c>
      <c r="G23585" s="51"/>
      <c r="H23585" s="46" t="str">
        <f>IF(AND(I.Developer.P4=TRUE,I.Facility.P4FacilityCount&gt;=3573,F23585=""),"Incomplete","Complete")</f>
        <v>Complete</v>
      </c>
      <c r="I23585" s="48" t="s">
        <v>27950</v>
      </c>
    </row>
    <row r="23586" spans="2:9" ht="15" customHeight="1" x14ac:dyDescent="0.25">
      <c r="B23586" s="55" t="s">
        <v>283</v>
      </c>
      <c r="C23586" s="46">
        <v>3574</v>
      </c>
      <c r="D23586" s="69" t="s">
        <v>29420</v>
      </c>
      <c r="E23586" s="51"/>
      <c r="F23586" s="114" t="str">
        <f>IF(INDEX(I.Facility.P4IDNumber,3574)="","",INDEX(I.Facility.P4IDNumber,3574))</f>
        <v/>
      </c>
      <c r="G23586" s="51"/>
      <c r="H23586" s="46" t="str">
        <f>IF(AND(I.Developer.P4=TRUE,I.Facility.P4FacilityCount&gt;=3574,F23586=""),"Incomplete","Complete")</f>
        <v>Complete</v>
      </c>
      <c r="I23586" s="48" t="s">
        <v>27951</v>
      </c>
    </row>
    <row r="23587" spans="2:9" ht="15" customHeight="1" x14ac:dyDescent="0.25">
      <c r="B23587" s="55" t="s">
        <v>283</v>
      </c>
      <c r="C23587" s="46">
        <v>3575</v>
      </c>
      <c r="D23587" s="69" t="s">
        <v>29420</v>
      </c>
      <c r="E23587" s="51"/>
      <c r="F23587" s="114" t="str">
        <f>IF(INDEX(I.Facility.P4IDNumber,3575)="","",INDEX(I.Facility.P4IDNumber,3575))</f>
        <v/>
      </c>
      <c r="G23587" s="51"/>
      <c r="H23587" s="46" t="str">
        <f>IF(AND(I.Developer.P4=TRUE,I.Facility.P4FacilityCount&gt;=3575,F23587=""),"Incomplete","Complete")</f>
        <v>Complete</v>
      </c>
      <c r="I23587" s="48" t="s">
        <v>27952</v>
      </c>
    </row>
    <row r="23588" spans="2:9" ht="15" customHeight="1" x14ac:dyDescent="0.25">
      <c r="B23588" s="55" t="s">
        <v>283</v>
      </c>
      <c r="C23588" s="46">
        <v>3576</v>
      </c>
      <c r="D23588" s="69" t="s">
        <v>29420</v>
      </c>
      <c r="E23588" s="51"/>
      <c r="F23588" s="114" t="str">
        <f>IF(INDEX(I.Facility.P4IDNumber,3576)="","",INDEX(I.Facility.P4IDNumber,3576))</f>
        <v/>
      </c>
      <c r="G23588" s="51"/>
      <c r="H23588" s="46" t="str">
        <f>IF(AND(I.Developer.P4=TRUE,I.Facility.P4FacilityCount&gt;=3576,F23588=""),"Incomplete","Complete")</f>
        <v>Complete</v>
      </c>
      <c r="I23588" s="48" t="s">
        <v>27953</v>
      </c>
    </row>
    <row r="23589" spans="2:9" ht="15" customHeight="1" x14ac:dyDescent="0.25">
      <c r="B23589" s="55" t="s">
        <v>283</v>
      </c>
      <c r="C23589" s="46">
        <v>3577</v>
      </c>
      <c r="D23589" s="69" t="s">
        <v>29420</v>
      </c>
      <c r="E23589" s="51"/>
      <c r="F23589" s="114" t="str">
        <f>IF(INDEX(I.Facility.P4IDNumber,3577)="","",INDEX(I.Facility.P4IDNumber,3577))</f>
        <v/>
      </c>
      <c r="G23589" s="51"/>
      <c r="H23589" s="46" t="str">
        <f>IF(AND(I.Developer.P4=TRUE,I.Facility.P4FacilityCount&gt;=3577,F23589=""),"Incomplete","Complete")</f>
        <v>Complete</v>
      </c>
      <c r="I23589" s="48" t="s">
        <v>27954</v>
      </c>
    </row>
    <row r="23590" spans="2:9" ht="15" customHeight="1" x14ac:dyDescent="0.25">
      <c r="B23590" s="55" t="s">
        <v>283</v>
      </c>
      <c r="C23590" s="46">
        <v>3578</v>
      </c>
      <c r="D23590" s="69" t="s">
        <v>29420</v>
      </c>
      <c r="E23590" s="51"/>
      <c r="F23590" s="114" t="str">
        <f>IF(INDEX(I.Facility.P4IDNumber,3578)="","",INDEX(I.Facility.P4IDNumber,3578))</f>
        <v/>
      </c>
      <c r="G23590" s="51"/>
      <c r="H23590" s="46" t="str">
        <f>IF(AND(I.Developer.P4=TRUE,I.Facility.P4FacilityCount&gt;=3578,F23590=""),"Incomplete","Complete")</f>
        <v>Complete</v>
      </c>
      <c r="I23590" s="48" t="s">
        <v>27955</v>
      </c>
    </row>
    <row r="23591" spans="2:9" ht="15" customHeight="1" x14ac:dyDescent="0.25">
      <c r="B23591" s="55" t="s">
        <v>283</v>
      </c>
      <c r="C23591" s="46">
        <v>3579</v>
      </c>
      <c r="D23591" s="69" t="s">
        <v>29420</v>
      </c>
      <c r="E23591" s="51"/>
      <c r="F23591" s="114" t="str">
        <f>IF(INDEX(I.Facility.P4IDNumber,3579)="","",INDEX(I.Facility.P4IDNumber,3579))</f>
        <v/>
      </c>
      <c r="G23591" s="51"/>
      <c r="H23591" s="46" t="str">
        <f>IF(AND(I.Developer.P4=TRUE,I.Facility.P4FacilityCount&gt;=3579,F23591=""),"Incomplete","Complete")</f>
        <v>Complete</v>
      </c>
      <c r="I23591" s="48" t="s">
        <v>27956</v>
      </c>
    </row>
    <row r="23592" spans="2:9" ht="15" customHeight="1" x14ac:dyDescent="0.25">
      <c r="B23592" s="55" t="s">
        <v>283</v>
      </c>
      <c r="C23592" s="46">
        <v>3580</v>
      </c>
      <c r="D23592" s="69" t="s">
        <v>29420</v>
      </c>
      <c r="E23592" s="51"/>
      <c r="F23592" s="114" t="str">
        <f>IF(INDEX(I.Facility.P4IDNumber,3580)="","",INDEX(I.Facility.P4IDNumber,3580))</f>
        <v/>
      </c>
      <c r="G23592" s="51"/>
      <c r="H23592" s="46" t="str">
        <f>IF(AND(I.Developer.P4=TRUE,I.Facility.P4FacilityCount&gt;=3580,F23592=""),"Incomplete","Complete")</f>
        <v>Complete</v>
      </c>
      <c r="I23592" s="48" t="s">
        <v>27957</v>
      </c>
    </row>
    <row r="23593" spans="2:9" ht="15" customHeight="1" x14ac:dyDescent="0.25">
      <c r="B23593" s="55" t="s">
        <v>283</v>
      </c>
      <c r="C23593" s="46">
        <v>3581</v>
      </c>
      <c r="D23593" s="69" t="s">
        <v>29420</v>
      </c>
      <c r="E23593" s="51"/>
      <c r="F23593" s="114" t="str">
        <f>IF(INDEX(I.Facility.P4IDNumber,3581)="","",INDEX(I.Facility.P4IDNumber,3581))</f>
        <v/>
      </c>
      <c r="G23593" s="51"/>
      <c r="H23593" s="46" t="str">
        <f>IF(AND(I.Developer.P4=TRUE,I.Facility.P4FacilityCount&gt;=3581,F23593=""),"Incomplete","Complete")</f>
        <v>Complete</v>
      </c>
      <c r="I23593" s="48" t="s">
        <v>27958</v>
      </c>
    </row>
    <row r="23594" spans="2:9" ht="15" customHeight="1" x14ac:dyDescent="0.25">
      <c r="B23594" s="55" t="s">
        <v>283</v>
      </c>
      <c r="C23594" s="46">
        <v>3582</v>
      </c>
      <c r="D23594" s="69" t="s">
        <v>29420</v>
      </c>
      <c r="E23594" s="51"/>
      <c r="F23594" s="114" t="str">
        <f>IF(INDEX(I.Facility.P4IDNumber,3582)="","",INDEX(I.Facility.P4IDNumber,3582))</f>
        <v/>
      </c>
      <c r="G23594" s="51"/>
      <c r="H23594" s="46" t="str">
        <f>IF(AND(I.Developer.P4=TRUE,I.Facility.P4FacilityCount&gt;=3582,F23594=""),"Incomplete","Complete")</f>
        <v>Complete</v>
      </c>
      <c r="I23594" s="48" t="s">
        <v>27959</v>
      </c>
    </row>
    <row r="23595" spans="2:9" ht="15" customHeight="1" x14ac:dyDescent="0.25">
      <c r="B23595" s="55" t="s">
        <v>283</v>
      </c>
      <c r="C23595" s="46">
        <v>3583</v>
      </c>
      <c r="D23595" s="69" t="s">
        <v>29420</v>
      </c>
      <c r="E23595" s="51"/>
      <c r="F23595" s="114" t="str">
        <f>IF(INDEX(I.Facility.P4IDNumber,3583)="","",INDEX(I.Facility.P4IDNumber,3583))</f>
        <v/>
      </c>
      <c r="G23595" s="51"/>
      <c r="H23595" s="46" t="str">
        <f>IF(AND(I.Developer.P4=TRUE,I.Facility.P4FacilityCount&gt;=3583,F23595=""),"Incomplete","Complete")</f>
        <v>Complete</v>
      </c>
      <c r="I23595" s="48" t="s">
        <v>27960</v>
      </c>
    </row>
    <row r="23596" spans="2:9" ht="15" customHeight="1" x14ac:dyDescent="0.25">
      <c r="B23596" s="55" t="s">
        <v>283</v>
      </c>
      <c r="C23596" s="46">
        <v>3584</v>
      </c>
      <c r="D23596" s="69" t="s">
        <v>29420</v>
      </c>
      <c r="E23596" s="51"/>
      <c r="F23596" s="114" t="str">
        <f>IF(INDEX(I.Facility.P4IDNumber,3584)="","",INDEX(I.Facility.P4IDNumber,3584))</f>
        <v/>
      </c>
      <c r="G23596" s="51"/>
      <c r="H23596" s="46" t="str">
        <f>IF(AND(I.Developer.P4=TRUE,I.Facility.P4FacilityCount&gt;=3584,F23596=""),"Incomplete","Complete")</f>
        <v>Complete</v>
      </c>
      <c r="I23596" s="48" t="s">
        <v>27961</v>
      </c>
    </row>
    <row r="23597" spans="2:9" ht="15" customHeight="1" x14ac:dyDescent="0.25">
      <c r="B23597" s="55" t="s">
        <v>283</v>
      </c>
      <c r="C23597" s="46">
        <v>3585</v>
      </c>
      <c r="D23597" s="69" t="s">
        <v>29420</v>
      </c>
      <c r="E23597" s="51"/>
      <c r="F23597" s="114" t="str">
        <f>IF(INDEX(I.Facility.P4IDNumber,3585)="","",INDEX(I.Facility.P4IDNumber,3585))</f>
        <v/>
      </c>
      <c r="G23597" s="51"/>
      <c r="H23597" s="46" t="str">
        <f>IF(AND(I.Developer.P4=TRUE,I.Facility.P4FacilityCount&gt;=3585,F23597=""),"Incomplete","Complete")</f>
        <v>Complete</v>
      </c>
      <c r="I23597" s="48" t="s">
        <v>27962</v>
      </c>
    </row>
    <row r="23598" spans="2:9" ht="15" customHeight="1" x14ac:dyDescent="0.25">
      <c r="B23598" s="55" t="s">
        <v>283</v>
      </c>
      <c r="C23598" s="46">
        <v>3586</v>
      </c>
      <c r="D23598" s="69" t="s">
        <v>29420</v>
      </c>
      <c r="E23598" s="51"/>
      <c r="F23598" s="114" t="str">
        <f>IF(INDEX(I.Facility.P4IDNumber,3586)="","",INDEX(I.Facility.P4IDNumber,3586))</f>
        <v/>
      </c>
      <c r="G23598" s="51"/>
      <c r="H23598" s="46" t="str">
        <f>IF(AND(I.Developer.P4=TRUE,I.Facility.P4FacilityCount&gt;=3586,F23598=""),"Incomplete","Complete")</f>
        <v>Complete</v>
      </c>
      <c r="I23598" s="48" t="s">
        <v>27963</v>
      </c>
    </row>
    <row r="23599" spans="2:9" ht="15" customHeight="1" x14ac:dyDescent="0.25">
      <c r="B23599" s="55" t="s">
        <v>283</v>
      </c>
      <c r="C23599" s="46">
        <v>3587</v>
      </c>
      <c r="D23599" s="69" t="s">
        <v>29420</v>
      </c>
      <c r="E23599" s="51"/>
      <c r="F23599" s="114" t="str">
        <f>IF(INDEX(I.Facility.P4IDNumber,3587)="","",INDEX(I.Facility.P4IDNumber,3587))</f>
        <v/>
      </c>
      <c r="G23599" s="51"/>
      <c r="H23599" s="46" t="str">
        <f>IF(AND(I.Developer.P4=TRUE,I.Facility.P4FacilityCount&gt;=3587,F23599=""),"Incomplete","Complete")</f>
        <v>Complete</v>
      </c>
      <c r="I23599" s="48" t="s">
        <v>27964</v>
      </c>
    </row>
    <row r="23600" spans="2:9" ht="15" customHeight="1" x14ac:dyDescent="0.25">
      <c r="B23600" s="55" t="s">
        <v>283</v>
      </c>
      <c r="C23600" s="46">
        <v>3588</v>
      </c>
      <c r="D23600" s="69" t="s">
        <v>29420</v>
      </c>
      <c r="E23600" s="51"/>
      <c r="F23600" s="114" t="str">
        <f>IF(INDEX(I.Facility.P4IDNumber,3588)="","",INDEX(I.Facility.P4IDNumber,3588))</f>
        <v/>
      </c>
      <c r="G23600" s="51"/>
      <c r="H23600" s="46" t="str">
        <f>IF(AND(I.Developer.P4=TRUE,I.Facility.P4FacilityCount&gt;=3588,F23600=""),"Incomplete","Complete")</f>
        <v>Complete</v>
      </c>
      <c r="I23600" s="48" t="s">
        <v>27965</v>
      </c>
    </row>
    <row r="23601" spans="2:9" ht="15" customHeight="1" x14ac:dyDescent="0.25">
      <c r="B23601" s="55" t="s">
        <v>283</v>
      </c>
      <c r="C23601" s="46">
        <v>3589</v>
      </c>
      <c r="D23601" s="69" t="s">
        <v>29420</v>
      </c>
      <c r="E23601" s="51"/>
      <c r="F23601" s="114" t="str">
        <f>IF(INDEX(I.Facility.P4IDNumber,3589)="","",INDEX(I.Facility.P4IDNumber,3589))</f>
        <v/>
      </c>
      <c r="G23601" s="51"/>
      <c r="H23601" s="46" t="str">
        <f>IF(AND(I.Developer.P4=TRUE,I.Facility.P4FacilityCount&gt;=3589,F23601=""),"Incomplete","Complete")</f>
        <v>Complete</v>
      </c>
      <c r="I23601" s="48" t="s">
        <v>27966</v>
      </c>
    </row>
    <row r="23602" spans="2:9" ht="15" customHeight="1" x14ac:dyDescent="0.25">
      <c r="B23602" s="55" t="s">
        <v>283</v>
      </c>
      <c r="C23602" s="46">
        <v>3590</v>
      </c>
      <c r="D23602" s="69" t="s">
        <v>29420</v>
      </c>
      <c r="E23602" s="51"/>
      <c r="F23602" s="114" t="str">
        <f>IF(INDEX(I.Facility.P4IDNumber,3590)="","",INDEX(I.Facility.P4IDNumber,3590))</f>
        <v/>
      </c>
      <c r="G23602" s="51"/>
      <c r="H23602" s="46" t="str">
        <f>IF(AND(I.Developer.P4=TRUE,I.Facility.P4FacilityCount&gt;=3590,F23602=""),"Incomplete","Complete")</f>
        <v>Complete</v>
      </c>
      <c r="I23602" s="48" t="s">
        <v>27967</v>
      </c>
    </row>
    <row r="23603" spans="2:9" ht="15" customHeight="1" x14ac:dyDescent="0.25">
      <c r="B23603" s="55" t="s">
        <v>283</v>
      </c>
      <c r="C23603" s="46">
        <v>3591</v>
      </c>
      <c r="D23603" s="69" t="s">
        <v>29420</v>
      </c>
      <c r="E23603" s="51"/>
      <c r="F23603" s="114" t="str">
        <f>IF(INDEX(I.Facility.P4IDNumber,3591)="","",INDEX(I.Facility.P4IDNumber,3591))</f>
        <v/>
      </c>
      <c r="G23603" s="51"/>
      <c r="H23603" s="46" t="str">
        <f>IF(AND(I.Developer.P4=TRUE,I.Facility.P4FacilityCount&gt;=3591,F23603=""),"Incomplete","Complete")</f>
        <v>Complete</v>
      </c>
      <c r="I23603" s="48" t="s">
        <v>27968</v>
      </c>
    </row>
    <row r="23604" spans="2:9" ht="15" customHeight="1" x14ac:dyDescent="0.25">
      <c r="B23604" s="55" t="s">
        <v>283</v>
      </c>
      <c r="C23604" s="46">
        <v>3592</v>
      </c>
      <c r="D23604" s="69" t="s">
        <v>29420</v>
      </c>
      <c r="E23604" s="51"/>
      <c r="F23604" s="114" t="str">
        <f>IF(INDEX(I.Facility.P4IDNumber,3592)="","",INDEX(I.Facility.P4IDNumber,3592))</f>
        <v/>
      </c>
      <c r="G23604" s="51"/>
      <c r="H23604" s="46" t="str">
        <f>IF(AND(I.Developer.P4=TRUE,I.Facility.P4FacilityCount&gt;=3592,F23604=""),"Incomplete","Complete")</f>
        <v>Complete</v>
      </c>
      <c r="I23604" s="48" t="s">
        <v>27969</v>
      </c>
    </row>
    <row r="23605" spans="2:9" ht="15" customHeight="1" x14ac:dyDescent="0.25">
      <c r="B23605" s="55" t="s">
        <v>283</v>
      </c>
      <c r="C23605" s="46">
        <v>3593</v>
      </c>
      <c r="D23605" s="69" t="s">
        <v>29420</v>
      </c>
      <c r="E23605" s="51"/>
      <c r="F23605" s="114" t="str">
        <f>IF(INDEX(I.Facility.P4IDNumber,3593)="","",INDEX(I.Facility.P4IDNumber,3593))</f>
        <v/>
      </c>
      <c r="G23605" s="51"/>
      <c r="H23605" s="46" t="str">
        <f>IF(AND(I.Developer.P4=TRUE,I.Facility.P4FacilityCount&gt;=3593,F23605=""),"Incomplete","Complete")</f>
        <v>Complete</v>
      </c>
      <c r="I23605" s="48" t="s">
        <v>27970</v>
      </c>
    </row>
    <row r="23606" spans="2:9" ht="15" customHeight="1" x14ac:dyDescent="0.25">
      <c r="B23606" s="55" t="s">
        <v>283</v>
      </c>
      <c r="C23606" s="46">
        <v>3594</v>
      </c>
      <c r="D23606" s="69" t="s">
        <v>29420</v>
      </c>
      <c r="E23606" s="51"/>
      <c r="F23606" s="114" t="str">
        <f>IF(INDEX(I.Facility.P4IDNumber,3594)="","",INDEX(I.Facility.P4IDNumber,3594))</f>
        <v/>
      </c>
      <c r="G23606" s="51"/>
      <c r="H23606" s="46" t="str">
        <f>IF(AND(I.Developer.P4=TRUE,I.Facility.P4FacilityCount&gt;=3594,F23606=""),"Incomplete","Complete")</f>
        <v>Complete</v>
      </c>
      <c r="I23606" s="48" t="s">
        <v>27971</v>
      </c>
    </row>
    <row r="23607" spans="2:9" ht="15" customHeight="1" x14ac:dyDescent="0.25">
      <c r="B23607" s="55" t="s">
        <v>283</v>
      </c>
      <c r="C23607" s="46">
        <v>3595</v>
      </c>
      <c r="D23607" s="69" t="s">
        <v>29420</v>
      </c>
      <c r="E23607" s="51"/>
      <c r="F23607" s="114" t="str">
        <f>IF(INDEX(I.Facility.P4IDNumber,3595)="","",INDEX(I.Facility.P4IDNumber,3595))</f>
        <v/>
      </c>
      <c r="G23607" s="51"/>
      <c r="H23607" s="46" t="str">
        <f>IF(AND(I.Developer.P4=TRUE,I.Facility.P4FacilityCount&gt;=3595,F23607=""),"Incomplete","Complete")</f>
        <v>Complete</v>
      </c>
      <c r="I23607" s="48" t="s">
        <v>27972</v>
      </c>
    </row>
    <row r="23608" spans="2:9" ht="15" customHeight="1" x14ac:dyDescent="0.25">
      <c r="B23608" s="55" t="s">
        <v>283</v>
      </c>
      <c r="C23608" s="46">
        <v>3596</v>
      </c>
      <c r="D23608" s="69" t="s">
        <v>29420</v>
      </c>
      <c r="E23608" s="51"/>
      <c r="F23608" s="114" t="str">
        <f>IF(INDEX(I.Facility.P4IDNumber,3596)="","",INDEX(I.Facility.P4IDNumber,3596))</f>
        <v/>
      </c>
      <c r="G23608" s="51"/>
      <c r="H23608" s="46" t="str">
        <f>IF(AND(I.Developer.P4=TRUE,I.Facility.P4FacilityCount&gt;=3596,F23608=""),"Incomplete","Complete")</f>
        <v>Complete</v>
      </c>
      <c r="I23608" s="48" t="s">
        <v>27973</v>
      </c>
    </row>
    <row r="23609" spans="2:9" ht="15" customHeight="1" x14ac:dyDescent="0.25">
      <c r="B23609" s="55" t="s">
        <v>283</v>
      </c>
      <c r="C23609" s="46">
        <v>3597</v>
      </c>
      <c r="D23609" s="69" t="s">
        <v>29420</v>
      </c>
      <c r="E23609" s="51"/>
      <c r="F23609" s="114" t="str">
        <f>IF(INDEX(I.Facility.P4IDNumber,3597)="","",INDEX(I.Facility.P4IDNumber,3597))</f>
        <v/>
      </c>
      <c r="G23609" s="51"/>
      <c r="H23609" s="46" t="str">
        <f>IF(AND(I.Developer.P4=TRUE,I.Facility.P4FacilityCount&gt;=3597,F23609=""),"Incomplete","Complete")</f>
        <v>Complete</v>
      </c>
      <c r="I23609" s="48" t="s">
        <v>27974</v>
      </c>
    </row>
    <row r="23610" spans="2:9" ht="15" customHeight="1" x14ac:dyDescent="0.25">
      <c r="B23610" s="55" t="s">
        <v>283</v>
      </c>
      <c r="C23610" s="46">
        <v>3598</v>
      </c>
      <c r="D23610" s="69" t="s">
        <v>29420</v>
      </c>
      <c r="E23610" s="51"/>
      <c r="F23610" s="114" t="str">
        <f>IF(INDEX(I.Facility.P4IDNumber,3598)="","",INDEX(I.Facility.P4IDNumber,3598))</f>
        <v/>
      </c>
      <c r="G23610" s="51"/>
      <c r="H23610" s="46" t="str">
        <f>IF(AND(I.Developer.P4=TRUE,I.Facility.P4FacilityCount&gt;=3598,F23610=""),"Incomplete","Complete")</f>
        <v>Complete</v>
      </c>
      <c r="I23610" s="48" t="s">
        <v>27975</v>
      </c>
    </row>
    <row r="23611" spans="2:9" ht="15" customHeight="1" x14ac:dyDescent="0.25">
      <c r="B23611" s="55" t="s">
        <v>283</v>
      </c>
      <c r="C23611" s="46">
        <v>3599</v>
      </c>
      <c r="D23611" s="69" t="s">
        <v>29420</v>
      </c>
      <c r="E23611" s="51"/>
      <c r="F23611" s="114" t="str">
        <f>IF(INDEX(I.Facility.P4IDNumber,3599)="","",INDEX(I.Facility.P4IDNumber,3599))</f>
        <v/>
      </c>
      <c r="G23611" s="51"/>
      <c r="H23611" s="46" t="str">
        <f>IF(AND(I.Developer.P4=TRUE,I.Facility.P4FacilityCount&gt;=3599,F23611=""),"Incomplete","Complete")</f>
        <v>Complete</v>
      </c>
      <c r="I23611" s="48" t="s">
        <v>27976</v>
      </c>
    </row>
    <row r="23612" spans="2:9" ht="15" customHeight="1" x14ac:dyDescent="0.25">
      <c r="B23612" s="55" t="s">
        <v>283</v>
      </c>
      <c r="C23612" s="46">
        <v>3600</v>
      </c>
      <c r="D23612" s="69" t="s">
        <v>29420</v>
      </c>
      <c r="E23612" s="51"/>
      <c r="F23612" s="114" t="str">
        <f>IF(INDEX(I.Facility.P4IDNumber,3600)="","",INDEX(I.Facility.P4IDNumber,3600))</f>
        <v/>
      </c>
      <c r="G23612" s="51"/>
      <c r="H23612" s="46" t="str">
        <f>IF(AND(I.Developer.P4=TRUE,I.Facility.P4FacilityCount&gt;=3600,F23612=""),"Incomplete","Complete")</f>
        <v>Complete</v>
      </c>
      <c r="I23612" s="48" t="s">
        <v>27977</v>
      </c>
    </row>
    <row r="23613" spans="2:9" ht="15" customHeight="1" x14ac:dyDescent="0.25">
      <c r="B23613" s="55" t="s">
        <v>283</v>
      </c>
      <c r="C23613" s="46">
        <v>3601</v>
      </c>
      <c r="D23613" s="69" t="s">
        <v>29420</v>
      </c>
      <c r="E23613" s="51"/>
      <c r="F23613" s="114" t="str">
        <f>IF(INDEX(I.Facility.P4IDNumber,3601)="","",INDEX(I.Facility.P4IDNumber,3601))</f>
        <v/>
      </c>
      <c r="G23613" s="51"/>
      <c r="H23613" s="46" t="str">
        <f>IF(AND(I.Developer.P4=TRUE,I.Facility.P4FacilityCount&gt;=3601,F23613=""),"Incomplete","Complete")</f>
        <v>Complete</v>
      </c>
      <c r="I23613" s="48" t="s">
        <v>27978</v>
      </c>
    </row>
    <row r="23614" spans="2:9" ht="15" customHeight="1" x14ac:dyDescent="0.25">
      <c r="B23614" s="55" t="s">
        <v>283</v>
      </c>
      <c r="C23614" s="46">
        <v>3602</v>
      </c>
      <c r="D23614" s="69" t="s">
        <v>29420</v>
      </c>
      <c r="E23614" s="51"/>
      <c r="F23614" s="114" t="str">
        <f>IF(INDEX(I.Facility.P4IDNumber,3602)="","",INDEX(I.Facility.P4IDNumber,3602))</f>
        <v/>
      </c>
      <c r="G23614" s="51"/>
      <c r="H23614" s="46" t="str">
        <f>IF(AND(I.Developer.P4=TRUE,I.Facility.P4FacilityCount&gt;=3602,F23614=""),"Incomplete","Complete")</f>
        <v>Complete</v>
      </c>
      <c r="I23614" s="48" t="s">
        <v>27979</v>
      </c>
    </row>
    <row r="23615" spans="2:9" ht="15" customHeight="1" x14ac:dyDescent="0.25">
      <c r="B23615" s="55" t="s">
        <v>283</v>
      </c>
      <c r="C23615" s="46">
        <v>3603</v>
      </c>
      <c r="D23615" s="69" t="s">
        <v>29420</v>
      </c>
      <c r="E23615" s="51"/>
      <c r="F23615" s="114" t="str">
        <f>IF(INDEX(I.Facility.P4IDNumber,3603)="","",INDEX(I.Facility.P4IDNumber,3603))</f>
        <v/>
      </c>
      <c r="G23615" s="51"/>
      <c r="H23615" s="46" t="str">
        <f>IF(AND(I.Developer.P4=TRUE,I.Facility.P4FacilityCount&gt;=3603,F23615=""),"Incomplete","Complete")</f>
        <v>Complete</v>
      </c>
      <c r="I23615" s="48" t="s">
        <v>27980</v>
      </c>
    </row>
    <row r="23616" spans="2:9" ht="15" customHeight="1" x14ac:dyDescent="0.25">
      <c r="B23616" s="55" t="s">
        <v>283</v>
      </c>
      <c r="C23616" s="46">
        <v>3604</v>
      </c>
      <c r="D23616" s="69" t="s">
        <v>29420</v>
      </c>
      <c r="E23616" s="51"/>
      <c r="F23616" s="114" t="str">
        <f>IF(INDEX(I.Facility.P4IDNumber,3604)="","",INDEX(I.Facility.P4IDNumber,3604))</f>
        <v/>
      </c>
      <c r="G23616" s="51"/>
      <c r="H23616" s="46" t="str">
        <f>IF(AND(I.Developer.P4=TRUE,I.Facility.P4FacilityCount&gt;=3604,F23616=""),"Incomplete","Complete")</f>
        <v>Complete</v>
      </c>
      <c r="I23616" s="48" t="s">
        <v>27981</v>
      </c>
    </row>
    <row r="23617" spans="2:9" ht="15" customHeight="1" x14ac:dyDescent="0.25">
      <c r="B23617" s="55" t="s">
        <v>283</v>
      </c>
      <c r="C23617" s="46">
        <v>3605</v>
      </c>
      <c r="D23617" s="69" t="s">
        <v>29420</v>
      </c>
      <c r="E23617" s="51"/>
      <c r="F23617" s="114" t="str">
        <f>IF(INDEX(I.Facility.P4IDNumber,3605)="","",INDEX(I.Facility.P4IDNumber,3605))</f>
        <v/>
      </c>
      <c r="G23617" s="51"/>
      <c r="H23617" s="46" t="str">
        <f>IF(AND(I.Developer.P4=TRUE,I.Facility.P4FacilityCount&gt;=3605,F23617=""),"Incomplete","Complete")</f>
        <v>Complete</v>
      </c>
      <c r="I23617" s="48" t="s">
        <v>27982</v>
      </c>
    </row>
    <row r="23618" spans="2:9" ht="15" customHeight="1" x14ac:dyDescent="0.25">
      <c r="B23618" s="55" t="s">
        <v>283</v>
      </c>
      <c r="C23618" s="46">
        <v>3606</v>
      </c>
      <c r="D23618" s="69" t="s">
        <v>29420</v>
      </c>
      <c r="E23618" s="51"/>
      <c r="F23618" s="114" t="str">
        <f>IF(INDEX(I.Facility.P4IDNumber,3606)="","",INDEX(I.Facility.P4IDNumber,3606))</f>
        <v/>
      </c>
      <c r="G23618" s="51"/>
      <c r="H23618" s="46" t="str">
        <f>IF(AND(I.Developer.P4=TRUE,I.Facility.P4FacilityCount&gt;=3606,F23618=""),"Incomplete","Complete")</f>
        <v>Complete</v>
      </c>
      <c r="I23618" s="48" t="s">
        <v>27983</v>
      </c>
    </row>
    <row r="23619" spans="2:9" ht="15" customHeight="1" x14ac:dyDescent="0.25">
      <c r="B23619" s="55" t="s">
        <v>283</v>
      </c>
      <c r="C23619" s="46">
        <v>3607</v>
      </c>
      <c r="D23619" s="69" t="s">
        <v>29420</v>
      </c>
      <c r="E23619" s="51"/>
      <c r="F23619" s="114" t="str">
        <f>IF(INDEX(I.Facility.P4IDNumber,3607)="","",INDEX(I.Facility.P4IDNumber,3607))</f>
        <v/>
      </c>
      <c r="G23619" s="51"/>
      <c r="H23619" s="46" t="str">
        <f>IF(AND(I.Developer.P4=TRUE,I.Facility.P4FacilityCount&gt;=3607,F23619=""),"Incomplete","Complete")</f>
        <v>Complete</v>
      </c>
      <c r="I23619" s="48" t="s">
        <v>27984</v>
      </c>
    </row>
    <row r="23620" spans="2:9" ht="15" customHeight="1" x14ac:dyDescent="0.25">
      <c r="B23620" s="55" t="s">
        <v>283</v>
      </c>
      <c r="C23620" s="46">
        <v>3608</v>
      </c>
      <c r="D23620" s="69" t="s">
        <v>29420</v>
      </c>
      <c r="E23620" s="51"/>
      <c r="F23620" s="114" t="str">
        <f>IF(INDEX(I.Facility.P4IDNumber,3608)="","",INDEX(I.Facility.P4IDNumber,3608))</f>
        <v/>
      </c>
      <c r="G23620" s="51"/>
      <c r="H23620" s="46" t="str">
        <f>IF(AND(I.Developer.P4=TRUE,I.Facility.P4FacilityCount&gt;=3608,F23620=""),"Incomplete","Complete")</f>
        <v>Complete</v>
      </c>
      <c r="I23620" s="48" t="s">
        <v>27985</v>
      </c>
    </row>
    <row r="23621" spans="2:9" ht="15" customHeight="1" x14ac:dyDescent="0.25">
      <c r="B23621" s="55" t="s">
        <v>283</v>
      </c>
      <c r="C23621" s="46">
        <v>3609</v>
      </c>
      <c r="D23621" s="69" t="s">
        <v>29420</v>
      </c>
      <c r="E23621" s="51"/>
      <c r="F23621" s="114" t="str">
        <f>IF(INDEX(I.Facility.P4IDNumber,3609)="","",INDEX(I.Facility.P4IDNumber,3609))</f>
        <v/>
      </c>
      <c r="G23621" s="51"/>
      <c r="H23621" s="46" t="str">
        <f>IF(AND(I.Developer.P4=TRUE,I.Facility.P4FacilityCount&gt;=3609,F23621=""),"Incomplete","Complete")</f>
        <v>Complete</v>
      </c>
      <c r="I23621" s="48" t="s">
        <v>27986</v>
      </c>
    </row>
    <row r="23622" spans="2:9" ht="15" customHeight="1" x14ac:dyDescent="0.25">
      <c r="B23622" s="55" t="s">
        <v>283</v>
      </c>
      <c r="C23622" s="46">
        <v>3610</v>
      </c>
      <c r="D23622" s="69" t="s">
        <v>29420</v>
      </c>
      <c r="E23622" s="51"/>
      <c r="F23622" s="114" t="str">
        <f>IF(INDEX(I.Facility.P4IDNumber,3610)="","",INDEX(I.Facility.P4IDNumber,3610))</f>
        <v/>
      </c>
      <c r="G23622" s="51"/>
      <c r="H23622" s="46" t="str">
        <f>IF(AND(I.Developer.P4=TRUE,I.Facility.P4FacilityCount&gt;=3610,F23622=""),"Incomplete","Complete")</f>
        <v>Complete</v>
      </c>
      <c r="I23622" s="48" t="s">
        <v>27987</v>
      </c>
    </row>
    <row r="23623" spans="2:9" ht="15" customHeight="1" x14ac:dyDescent="0.25">
      <c r="B23623" s="55" t="s">
        <v>283</v>
      </c>
      <c r="C23623" s="46">
        <v>3611</v>
      </c>
      <c r="D23623" s="69" t="s">
        <v>29420</v>
      </c>
      <c r="E23623" s="51"/>
      <c r="F23623" s="114" t="str">
        <f>IF(INDEX(I.Facility.P4IDNumber,3611)="","",INDEX(I.Facility.P4IDNumber,3611))</f>
        <v/>
      </c>
      <c r="G23623" s="51"/>
      <c r="H23623" s="46" t="str">
        <f>IF(AND(I.Developer.P4=TRUE,I.Facility.P4FacilityCount&gt;=3611,F23623=""),"Incomplete","Complete")</f>
        <v>Complete</v>
      </c>
      <c r="I23623" s="48" t="s">
        <v>27988</v>
      </c>
    </row>
    <row r="23624" spans="2:9" ht="15" customHeight="1" x14ac:dyDescent="0.25">
      <c r="B23624" s="55" t="s">
        <v>283</v>
      </c>
      <c r="C23624" s="46">
        <v>3612</v>
      </c>
      <c r="D23624" s="69" t="s">
        <v>29420</v>
      </c>
      <c r="E23624" s="51"/>
      <c r="F23624" s="114" t="str">
        <f>IF(INDEX(I.Facility.P4IDNumber,3612)="","",INDEX(I.Facility.P4IDNumber,3612))</f>
        <v/>
      </c>
      <c r="G23624" s="51"/>
      <c r="H23624" s="46" t="str">
        <f>IF(AND(I.Developer.P4=TRUE,I.Facility.P4FacilityCount&gt;=3612,F23624=""),"Incomplete","Complete")</f>
        <v>Complete</v>
      </c>
      <c r="I23624" s="48" t="s">
        <v>27989</v>
      </c>
    </row>
    <row r="23625" spans="2:9" ht="15" customHeight="1" x14ac:dyDescent="0.25">
      <c r="B23625" s="55" t="s">
        <v>283</v>
      </c>
      <c r="C23625" s="46">
        <v>3613</v>
      </c>
      <c r="D23625" s="69" t="s">
        <v>29420</v>
      </c>
      <c r="E23625" s="51"/>
      <c r="F23625" s="114" t="str">
        <f>IF(INDEX(I.Facility.P4IDNumber,3613)="","",INDEX(I.Facility.P4IDNumber,3613))</f>
        <v/>
      </c>
      <c r="G23625" s="51"/>
      <c r="H23625" s="46" t="str">
        <f>IF(AND(I.Developer.P4=TRUE,I.Facility.P4FacilityCount&gt;=3613,F23625=""),"Incomplete","Complete")</f>
        <v>Complete</v>
      </c>
      <c r="I23625" s="48" t="s">
        <v>27990</v>
      </c>
    </row>
    <row r="23626" spans="2:9" ht="15" customHeight="1" x14ac:dyDescent="0.25">
      <c r="B23626" s="55" t="s">
        <v>283</v>
      </c>
      <c r="C23626" s="46">
        <v>3614</v>
      </c>
      <c r="D23626" s="69" t="s">
        <v>29420</v>
      </c>
      <c r="E23626" s="51"/>
      <c r="F23626" s="114" t="str">
        <f>IF(INDEX(I.Facility.P4IDNumber,3614)="","",INDEX(I.Facility.P4IDNumber,3614))</f>
        <v/>
      </c>
      <c r="G23626" s="51"/>
      <c r="H23626" s="46" t="str">
        <f>IF(AND(I.Developer.P4=TRUE,I.Facility.P4FacilityCount&gt;=3614,F23626=""),"Incomplete","Complete")</f>
        <v>Complete</v>
      </c>
      <c r="I23626" s="48" t="s">
        <v>27991</v>
      </c>
    </row>
    <row r="23627" spans="2:9" ht="15" customHeight="1" x14ac:dyDescent="0.25">
      <c r="B23627" s="55" t="s">
        <v>283</v>
      </c>
      <c r="C23627" s="46">
        <v>3615</v>
      </c>
      <c r="D23627" s="69" t="s">
        <v>29420</v>
      </c>
      <c r="E23627" s="51"/>
      <c r="F23627" s="114" t="str">
        <f>IF(INDEX(I.Facility.P4IDNumber,3615)="","",INDEX(I.Facility.P4IDNumber,3615))</f>
        <v/>
      </c>
      <c r="G23627" s="51"/>
      <c r="H23627" s="46" t="str">
        <f>IF(AND(I.Developer.P4=TRUE,I.Facility.P4FacilityCount&gt;=3615,F23627=""),"Incomplete","Complete")</f>
        <v>Complete</v>
      </c>
      <c r="I23627" s="48" t="s">
        <v>27992</v>
      </c>
    </row>
    <row r="23628" spans="2:9" ht="15" customHeight="1" x14ac:dyDescent="0.25">
      <c r="B23628" s="55" t="s">
        <v>283</v>
      </c>
      <c r="C23628" s="46">
        <v>3616</v>
      </c>
      <c r="D23628" s="69" t="s">
        <v>29420</v>
      </c>
      <c r="E23628" s="51"/>
      <c r="F23628" s="114" t="str">
        <f>IF(INDEX(I.Facility.P4IDNumber,3616)="","",INDEX(I.Facility.P4IDNumber,3616))</f>
        <v/>
      </c>
      <c r="G23628" s="51"/>
      <c r="H23628" s="46" t="str">
        <f>IF(AND(I.Developer.P4=TRUE,I.Facility.P4FacilityCount&gt;=3616,F23628=""),"Incomplete","Complete")</f>
        <v>Complete</v>
      </c>
      <c r="I23628" s="48" t="s">
        <v>27993</v>
      </c>
    </row>
    <row r="23629" spans="2:9" ht="15" customHeight="1" x14ac:dyDescent="0.25">
      <c r="B23629" s="55" t="s">
        <v>283</v>
      </c>
      <c r="C23629" s="46">
        <v>3617</v>
      </c>
      <c r="D23629" s="69" t="s">
        <v>29420</v>
      </c>
      <c r="E23629" s="51"/>
      <c r="F23629" s="114" t="str">
        <f>IF(INDEX(I.Facility.P4IDNumber,3617)="","",INDEX(I.Facility.P4IDNumber,3617))</f>
        <v/>
      </c>
      <c r="G23629" s="51"/>
      <c r="H23629" s="46" t="str">
        <f>IF(AND(I.Developer.P4=TRUE,I.Facility.P4FacilityCount&gt;=3617,F23629=""),"Incomplete","Complete")</f>
        <v>Complete</v>
      </c>
      <c r="I23629" s="48" t="s">
        <v>27994</v>
      </c>
    </row>
    <row r="23630" spans="2:9" ht="15" customHeight="1" x14ac:dyDescent="0.25">
      <c r="B23630" s="55" t="s">
        <v>283</v>
      </c>
      <c r="C23630" s="46">
        <v>3618</v>
      </c>
      <c r="D23630" s="69" t="s">
        <v>29420</v>
      </c>
      <c r="E23630" s="51"/>
      <c r="F23630" s="114" t="str">
        <f>IF(INDEX(I.Facility.P4IDNumber,3618)="","",INDEX(I.Facility.P4IDNumber,3618))</f>
        <v/>
      </c>
      <c r="G23630" s="51"/>
      <c r="H23630" s="46" t="str">
        <f>IF(AND(I.Developer.P4=TRUE,I.Facility.P4FacilityCount&gt;=3618,F23630=""),"Incomplete","Complete")</f>
        <v>Complete</v>
      </c>
      <c r="I23630" s="48" t="s">
        <v>27995</v>
      </c>
    </row>
    <row r="23631" spans="2:9" ht="15" customHeight="1" x14ac:dyDescent="0.25">
      <c r="B23631" s="55" t="s">
        <v>283</v>
      </c>
      <c r="C23631" s="46">
        <v>3619</v>
      </c>
      <c r="D23631" s="69" t="s">
        <v>29420</v>
      </c>
      <c r="E23631" s="51"/>
      <c r="F23631" s="114" t="str">
        <f>IF(INDEX(I.Facility.P4IDNumber,3619)="","",INDEX(I.Facility.P4IDNumber,3619))</f>
        <v/>
      </c>
      <c r="G23631" s="51"/>
      <c r="H23631" s="46" t="str">
        <f>IF(AND(I.Developer.P4=TRUE,I.Facility.P4FacilityCount&gt;=3619,F23631=""),"Incomplete","Complete")</f>
        <v>Complete</v>
      </c>
      <c r="I23631" s="48" t="s">
        <v>27996</v>
      </c>
    </row>
    <row r="23632" spans="2:9" ht="15" customHeight="1" x14ac:dyDescent="0.25">
      <c r="B23632" s="55" t="s">
        <v>283</v>
      </c>
      <c r="C23632" s="46">
        <v>3620</v>
      </c>
      <c r="D23632" s="69" t="s">
        <v>29420</v>
      </c>
      <c r="E23632" s="51"/>
      <c r="F23632" s="114" t="str">
        <f>IF(INDEX(I.Facility.P4IDNumber,3620)="","",INDEX(I.Facility.P4IDNumber,3620))</f>
        <v/>
      </c>
      <c r="G23632" s="51"/>
      <c r="H23632" s="46" t="str">
        <f>IF(AND(I.Developer.P4=TRUE,I.Facility.P4FacilityCount&gt;=3620,F23632=""),"Incomplete","Complete")</f>
        <v>Complete</v>
      </c>
      <c r="I23632" s="48" t="s">
        <v>27997</v>
      </c>
    </row>
    <row r="23633" spans="2:9" ht="15" customHeight="1" x14ac:dyDescent="0.25">
      <c r="B23633" s="55" t="s">
        <v>283</v>
      </c>
      <c r="C23633" s="46">
        <v>3621</v>
      </c>
      <c r="D23633" s="69" t="s">
        <v>29420</v>
      </c>
      <c r="E23633" s="51"/>
      <c r="F23633" s="114" t="str">
        <f>IF(INDEX(I.Facility.P4IDNumber,3621)="","",INDEX(I.Facility.P4IDNumber,3621))</f>
        <v/>
      </c>
      <c r="G23633" s="51"/>
      <c r="H23633" s="46" t="str">
        <f>IF(AND(I.Developer.P4=TRUE,I.Facility.P4FacilityCount&gt;=3621,F23633=""),"Incomplete","Complete")</f>
        <v>Complete</v>
      </c>
      <c r="I23633" s="48" t="s">
        <v>27998</v>
      </c>
    </row>
    <row r="23634" spans="2:9" ht="15" customHeight="1" x14ac:dyDescent="0.25">
      <c r="B23634" s="55" t="s">
        <v>283</v>
      </c>
      <c r="C23634" s="46">
        <v>3622</v>
      </c>
      <c r="D23634" s="69" t="s">
        <v>29420</v>
      </c>
      <c r="E23634" s="51"/>
      <c r="F23634" s="114" t="str">
        <f>IF(INDEX(I.Facility.P4IDNumber,3622)="","",INDEX(I.Facility.P4IDNumber,3622))</f>
        <v/>
      </c>
      <c r="G23634" s="51"/>
      <c r="H23634" s="46" t="str">
        <f>IF(AND(I.Developer.P4=TRUE,I.Facility.P4FacilityCount&gt;=3622,F23634=""),"Incomplete","Complete")</f>
        <v>Complete</v>
      </c>
      <c r="I23634" s="48" t="s">
        <v>27999</v>
      </c>
    </row>
    <row r="23635" spans="2:9" ht="15" customHeight="1" x14ac:dyDescent="0.25">
      <c r="B23635" s="55" t="s">
        <v>283</v>
      </c>
      <c r="C23635" s="46">
        <v>3623</v>
      </c>
      <c r="D23635" s="69" t="s">
        <v>29420</v>
      </c>
      <c r="E23635" s="51"/>
      <c r="F23635" s="114" t="str">
        <f>IF(INDEX(I.Facility.P4IDNumber,3623)="","",INDEX(I.Facility.P4IDNumber,3623))</f>
        <v/>
      </c>
      <c r="G23635" s="51"/>
      <c r="H23635" s="46" t="str">
        <f>IF(AND(I.Developer.P4=TRUE,I.Facility.P4FacilityCount&gt;=3623,F23635=""),"Incomplete","Complete")</f>
        <v>Complete</v>
      </c>
      <c r="I23635" s="48" t="s">
        <v>28000</v>
      </c>
    </row>
    <row r="23636" spans="2:9" ht="15" customHeight="1" x14ac:dyDescent="0.25">
      <c r="B23636" s="55" t="s">
        <v>283</v>
      </c>
      <c r="C23636" s="46">
        <v>3624</v>
      </c>
      <c r="D23636" s="69" t="s">
        <v>29420</v>
      </c>
      <c r="E23636" s="51"/>
      <c r="F23636" s="114" t="str">
        <f>IF(INDEX(I.Facility.P4IDNumber,3624)="","",INDEX(I.Facility.P4IDNumber,3624))</f>
        <v/>
      </c>
      <c r="G23636" s="51"/>
      <c r="H23636" s="46" t="str">
        <f>IF(AND(I.Developer.P4=TRUE,I.Facility.P4FacilityCount&gt;=3624,F23636=""),"Incomplete","Complete")</f>
        <v>Complete</v>
      </c>
      <c r="I23636" s="48" t="s">
        <v>28001</v>
      </c>
    </row>
    <row r="23637" spans="2:9" ht="15" customHeight="1" x14ac:dyDescent="0.25">
      <c r="B23637" s="55" t="s">
        <v>283</v>
      </c>
      <c r="C23637" s="46">
        <v>3625</v>
      </c>
      <c r="D23637" s="69" t="s">
        <v>29420</v>
      </c>
      <c r="E23637" s="51"/>
      <c r="F23637" s="114" t="str">
        <f>IF(INDEX(I.Facility.P4IDNumber,3625)="","",INDEX(I.Facility.P4IDNumber,3625))</f>
        <v/>
      </c>
      <c r="G23637" s="51"/>
      <c r="H23637" s="46" t="str">
        <f>IF(AND(I.Developer.P4=TRUE,I.Facility.P4FacilityCount&gt;=3625,F23637=""),"Incomplete","Complete")</f>
        <v>Complete</v>
      </c>
      <c r="I23637" s="48" t="s">
        <v>28002</v>
      </c>
    </row>
    <row r="23638" spans="2:9" ht="15" customHeight="1" x14ac:dyDescent="0.25">
      <c r="B23638" s="55" t="s">
        <v>283</v>
      </c>
      <c r="C23638" s="46">
        <v>3626</v>
      </c>
      <c r="D23638" s="69" t="s">
        <v>29420</v>
      </c>
      <c r="E23638" s="51"/>
      <c r="F23638" s="114" t="str">
        <f>IF(INDEX(I.Facility.P4IDNumber,3626)="","",INDEX(I.Facility.P4IDNumber,3626))</f>
        <v/>
      </c>
      <c r="G23638" s="51"/>
      <c r="H23638" s="46" t="str">
        <f>IF(AND(I.Developer.P4=TRUE,I.Facility.P4FacilityCount&gt;=3626,F23638=""),"Incomplete","Complete")</f>
        <v>Complete</v>
      </c>
      <c r="I23638" s="48" t="s">
        <v>28003</v>
      </c>
    </row>
    <row r="23639" spans="2:9" ht="15" customHeight="1" x14ac:dyDescent="0.25">
      <c r="B23639" s="55" t="s">
        <v>283</v>
      </c>
      <c r="C23639" s="46">
        <v>3627</v>
      </c>
      <c r="D23639" s="69" t="s">
        <v>29420</v>
      </c>
      <c r="E23639" s="51"/>
      <c r="F23639" s="114" t="str">
        <f>IF(INDEX(I.Facility.P4IDNumber,3627)="","",INDEX(I.Facility.P4IDNumber,3627))</f>
        <v/>
      </c>
      <c r="G23639" s="51"/>
      <c r="H23639" s="46" t="str">
        <f>IF(AND(I.Developer.P4=TRUE,I.Facility.P4FacilityCount&gt;=3627,F23639=""),"Incomplete","Complete")</f>
        <v>Complete</v>
      </c>
      <c r="I23639" s="48" t="s">
        <v>28004</v>
      </c>
    </row>
    <row r="23640" spans="2:9" ht="15" customHeight="1" x14ac:dyDescent="0.25">
      <c r="B23640" s="55" t="s">
        <v>283</v>
      </c>
      <c r="C23640" s="46">
        <v>3628</v>
      </c>
      <c r="D23640" s="69" t="s">
        <v>29420</v>
      </c>
      <c r="E23640" s="51"/>
      <c r="F23640" s="114" t="str">
        <f>IF(INDEX(I.Facility.P4IDNumber,3628)="","",INDEX(I.Facility.P4IDNumber,3628))</f>
        <v/>
      </c>
      <c r="G23640" s="51"/>
      <c r="H23640" s="46" t="str">
        <f>IF(AND(I.Developer.P4=TRUE,I.Facility.P4FacilityCount&gt;=3628,F23640=""),"Incomplete","Complete")</f>
        <v>Complete</v>
      </c>
      <c r="I23640" s="48" t="s">
        <v>28005</v>
      </c>
    </row>
    <row r="23641" spans="2:9" ht="15" customHeight="1" x14ac:dyDescent="0.25">
      <c r="B23641" s="55" t="s">
        <v>283</v>
      </c>
      <c r="C23641" s="46">
        <v>3629</v>
      </c>
      <c r="D23641" s="69" t="s">
        <v>29420</v>
      </c>
      <c r="E23641" s="51"/>
      <c r="F23641" s="114" t="str">
        <f>IF(INDEX(I.Facility.P4IDNumber,3629)="","",INDEX(I.Facility.P4IDNumber,3629))</f>
        <v/>
      </c>
      <c r="G23641" s="51"/>
      <c r="H23641" s="46" t="str">
        <f>IF(AND(I.Developer.P4=TRUE,I.Facility.P4FacilityCount&gt;=3629,F23641=""),"Incomplete","Complete")</f>
        <v>Complete</v>
      </c>
      <c r="I23641" s="48" t="s">
        <v>28006</v>
      </c>
    </row>
    <row r="23642" spans="2:9" ht="15" customHeight="1" x14ac:dyDescent="0.25">
      <c r="B23642" s="55" t="s">
        <v>283</v>
      </c>
      <c r="C23642" s="46">
        <v>3630</v>
      </c>
      <c r="D23642" s="69" t="s">
        <v>29420</v>
      </c>
      <c r="E23642" s="51"/>
      <c r="F23642" s="114" t="str">
        <f>IF(INDEX(I.Facility.P4IDNumber,3630)="","",INDEX(I.Facility.P4IDNumber,3630))</f>
        <v/>
      </c>
      <c r="G23642" s="51"/>
      <c r="H23642" s="46" t="str">
        <f>IF(AND(I.Developer.P4=TRUE,I.Facility.P4FacilityCount&gt;=3630,F23642=""),"Incomplete","Complete")</f>
        <v>Complete</v>
      </c>
      <c r="I23642" s="48" t="s">
        <v>28007</v>
      </c>
    </row>
    <row r="23643" spans="2:9" ht="15" customHeight="1" x14ac:dyDescent="0.25">
      <c r="B23643" s="55" t="s">
        <v>283</v>
      </c>
      <c r="C23643" s="46">
        <v>3631</v>
      </c>
      <c r="D23643" s="69" t="s">
        <v>29420</v>
      </c>
      <c r="E23643" s="51"/>
      <c r="F23643" s="114" t="str">
        <f>IF(INDEX(I.Facility.P4IDNumber,3631)="","",INDEX(I.Facility.P4IDNumber,3631))</f>
        <v/>
      </c>
      <c r="G23643" s="51"/>
      <c r="H23643" s="46" t="str">
        <f>IF(AND(I.Developer.P4=TRUE,I.Facility.P4FacilityCount&gt;=3631,F23643=""),"Incomplete","Complete")</f>
        <v>Complete</v>
      </c>
      <c r="I23643" s="48" t="s">
        <v>28008</v>
      </c>
    </row>
    <row r="23644" spans="2:9" ht="15" customHeight="1" x14ac:dyDescent="0.25">
      <c r="B23644" s="55" t="s">
        <v>283</v>
      </c>
      <c r="C23644" s="46">
        <v>3632</v>
      </c>
      <c r="D23644" s="69" t="s">
        <v>29420</v>
      </c>
      <c r="E23644" s="51"/>
      <c r="F23644" s="114" t="str">
        <f>IF(INDEX(I.Facility.P4IDNumber,3632)="","",INDEX(I.Facility.P4IDNumber,3632))</f>
        <v/>
      </c>
      <c r="G23644" s="51"/>
      <c r="H23644" s="46" t="str">
        <f>IF(AND(I.Developer.P4=TRUE,I.Facility.P4FacilityCount&gt;=3632,F23644=""),"Incomplete","Complete")</f>
        <v>Complete</v>
      </c>
      <c r="I23644" s="48" t="s">
        <v>28009</v>
      </c>
    </row>
    <row r="23645" spans="2:9" ht="15" customHeight="1" x14ac:dyDescent="0.25">
      <c r="B23645" s="55" t="s">
        <v>283</v>
      </c>
      <c r="C23645" s="46">
        <v>3633</v>
      </c>
      <c r="D23645" s="69" t="s">
        <v>29420</v>
      </c>
      <c r="E23645" s="51"/>
      <c r="F23645" s="114" t="str">
        <f>IF(INDEX(I.Facility.P4IDNumber,3633)="","",INDEX(I.Facility.P4IDNumber,3633))</f>
        <v/>
      </c>
      <c r="G23645" s="51"/>
      <c r="H23645" s="46" t="str">
        <f>IF(AND(I.Developer.P4=TRUE,I.Facility.P4FacilityCount&gt;=3633,F23645=""),"Incomplete","Complete")</f>
        <v>Complete</v>
      </c>
      <c r="I23645" s="48" t="s">
        <v>28010</v>
      </c>
    </row>
    <row r="23646" spans="2:9" ht="15" customHeight="1" x14ac:dyDescent="0.25">
      <c r="B23646" s="55" t="s">
        <v>283</v>
      </c>
      <c r="C23646" s="46">
        <v>3634</v>
      </c>
      <c r="D23646" s="69" t="s">
        <v>29420</v>
      </c>
      <c r="E23646" s="51"/>
      <c r="F23646" s="114" t="str">
        <f>IF(INDEX(I.Facility.P4IDNumber,3634)="","",INDEX(I.Facility.P4IDNumber,3634))</f>
        <v/>
      </c>
      <c r="G23646" s="51"/>
      <c r="H23646" s="46" t="str">
        <f>IF(AND(I.Developer.P4=TRUE,I.Facility.P4FacilityCount&gt;=3634,F23646=""),"Incomplete","Complete")</f>
        <v>Complete</v>
      </c>
      <c r="I23646" s="48" t="s">
        <v>28011</v>
      </c>
    </row>
    <row r="23647" spans="2:9" ht="15" customHeight="1" x14ac:dyDescent="0.25">
      <c r="B23647" s="55" t="s">
        <v>283</v>
      </c>
      <c r="C23647" s="46">
        <v>3635</v>
      </c>
      <c r="D23647" s="69" t="s">
        <v>29420</v>
      </c>
      <c r="E23647" s="51"/>
      <c r="F23647" s="114" t="str">
        <f>IF(INDEX(I.Facility.P4IDNumber,3635)="","",INDEX(I.Facility.P4IDNumber,3635))</f>
        <v/>
      </c>
      <c r="G23647" s="51"/>
      <c r="H23647" s="46" t="str">
        <f>IF(AND(I.Developer.P4=TRUE,I.Facility.P4FacilityCount&gt;=3635,F23647=""),"Incomplete","Complete")</f>
        <v>Complete</v>
      </c>
      <c r="I23647" s="48" t="s">
        <v>28012</v>
      </c>
    </row>
    <row r="23648" spans="2:9" ht="15" customHeight="1" x14ac:dyDescent="0.25">
      <c r="B23648" s="55" t="s">
        <v>283</v>
      </c>
      <c r="C23648" s="46">
        <v>3636</v>
      </c>
      <c r="D23648" s="69" t="s">
        <v>29420</v>
      </c>
      <c r="E23648" s="51"/>
      <c r="F23648" s="114" t="str">
        <f>IF(INDEX(I.Facility.P4IDNumber,3636)="","",INDEX(I.Facility.P4IDNumber,3636))</f>
        <v/>
      </c>
      <c r="G23648" s="51"/>
      <c r="H23648" s="46" t="str">
        <f>IF(AND(I.Developer.P4=TRUE,I.Facility.P4FacilityCount&gt;=3636,F23648=""),"Incomplete","Complete")</f>
        <v>Complete</v>
      </c>
      <c r="I23648" s="48" t="s">
        <v>28013</v>
      </c>
    </row>
    <row r="23649" spans="2:9" ht="15" customHeight="1" x14ac:dyDescent="0.25">
      <c r="B23649" s="55" t="s">
        <v>283</v>
      </c>
      <c r="C23649" s="46">
        <v>3637</v>
      </c>
      <c r="D23649" s="69" t="s">
        <v>29420</v>
      </c>
      <c r="E23649" s="51"/>
      <c r="F23649" s="114" t="str">
        <f>IF(INDEX(I.Facility.P4IDNumber,3637)="","",INDEX(I.Facility.P4IDNumber,3637))</f>
        <v/>
      </c>
      <c r="G23649" s="51"/>
      <c r="H23649" s="46" t="str">
        <f>IF(AND(I.Developer.P4=TRUE,I.Facility.P4FacilityCount&gt;=3637,F23649=""),"Incomplete","Complete")</f>
        <v>Complete</v>
      </c>
      <c r="I23649" s="48" t="s">
        <v>28014</v>
      </c>
    </row>
    <row r="23650" spans="2:9" ht="15" customHeight="1" x14ac:dyDescent="0.25">
      <c r="B23650" s="55" t="s">
        <v>283</v>
      </c>
      <c r="C23650" s="46">
        <v>3638</v>
      </c>
      <c r="D23650" s="69" t="s">
        <v>29420</v>
      </c>
      <c r="E23650" s="51"/>
      <c r="F23650" s="114" t="str">
        <f>IF(INDEX(I.Facility.P4IDNumber,3638)="","",INDEX(I.Facility.P4IDNumber,3638))</f>
        <v/>
      </c>
      <c r="G23650" s="51"/>
      <c r="H23650" s="46" t="str">
        <f>IF(AND(I.Developer.P4=TRUE,I.Facility.P4FacilityCount&gt;=3638,F23650=""),"Incomplete","Complete")</f>
        <v>Complete</v>
      </c>
      <c r="I23650" s="48" t="s">
        <v>28015</v>
      </c>
    </row>
    <row r="23651" spans="2:9" ht="15" customHeight="1" x14ac:dyDescent="0.25">
      <c r="B23651" s="55" t="s">
        <v>283</v>
      </c>
      <c r="C23651" s="46">
        <v>3639</v>
      </c>
      <c r="D23651" s="69" t="s">
        <v>29420</v>
      </c>
      <c r="E23651" s="51"/>
      <c r="F23651" s="114" t="str">
        <f>IF(INDEX(I.Facility.P4IDNumber,3639)="","",INDEX(I.Facility.P4IDNumber,3639))</f>
        <v/>
      </c>
      <c r="G23651" s="51"/>
      <c r="H23651" s="46" t="str">
        <f>IF(AND(I.Developer.P4=TRUE,I.Facility.P4FacilityCount&gt;=3639,F23651=""),"Incomplete","Complete")</f>
        <v>Complete</v>
      </c>
      <c r="I23651" s="48" t="s">
        <v>28016</v>
      </c>
    </row>
    <row r="23652" spans="2:9" ht="15" customHeight="1" x14ac:dyDescent="0.25">
      <c r="B23652" s="55" t="s">
        <v>283</v>
      </c>
      <c r="C23652" s="46">
        <v>3640</v>
      </c>
      <c r="D23652" s="69" t="s">
        <v>29420</v>
      </c>
      <c r="E23652" s="51"/>
      <c r="F23652" s="114" t="str">
        <f>IF(INDEX(I.Facility.P4IDNumber,3640)="","",INDEX(I.Facility.P4IDNumber,3640))</f>
        <v/>
      </c>
      <c r="G23652" s="51"/>
      <c r="H23652" s="46" t="str">
        <f>IF(AND(I.Developer.P4=TRUE,I.Facility.P4FacilityCount&gt;=3640,F23652=""),"Incomplete","Complete")</f>
        <v>Complete</v>
      </c>
      <c r="I23652" s="48" t="s">
        <v>28017</v>
      </c>
    </row>
    <row r="23653" spans="2:9" ht="15" customHeight="1" x14ac:dyDescent="0.25">
      <c r="B23653" s="55" t="s">
        <v>283</v>
      </c>
      <c r="C23653" s="46">
        <v>3641</v>
      </c>
      <c r="D23653" s="69" t="s">
        <v>29420</v>
      </c>
      <c r="E23653" s="51"/>
      <c r="F23653" s="114" t="str">
        <f>IF(INDEX(I.Facility.P4IDNumber,3641)="","",INDEX(I.Facility.P4IDNumber,3641))</f>
        <v/>
      </c>
      <c r="G23653" s="51"/>
      <c r="H23653" s="46" t="str">
        <f>IF(AND(I.Developer.P4=TRUE,I.Facility.P4FacilityCount&gt;=3641,F23653=""),"Incomplete","Complete")</f>
        <v>Complete</v>
      </c>
      <c r="I23653" s="48" t="s">
        <v>28018</v>
      </c>
    </row>
    <row r="23654" spans="2:9" ht="15" customHeight="1" x14ac:dyDescent="0.25">
      <c r="B23654" s="55" t="s">
        <v>283</v>
      </c>
      <c r="C23654" s="46">
        <v>3642</v>
      </c>
      <c r="D23654" s="69" t="s">
        <v>29420</v>
      </c>
      <c r="E23654" s="51"/>
      <c r="F23654" s="114" t="str">
        <f>IF(INDEX(I.Facility.P4IDNumber,3642)="","",INDEX(I.Facility.P4IDNumber,3642))</f>
        <v/>
      </c>
      <c r="G23654" s="51"/>
      <c r="H23654" s="46" t="str">
        <f>IF(AND(I.Developer.P4=TRUE,I.Facility.P4FacilityCount&gt;=3642,F23654=""),"Incomplete","Complete")</f>
        <v>Complete</v>
      </c>
      <c r="I23654" s="48" t="s">
        <v>28019</v>
      </c>
    </row>
    <row r="23655" spans="2:9" ht="15" customHeight="1" x14ac:dyDescent="0.25">
      <c r="B23655" s="55" t="s">
        <v>283</v>
      </c>
      <c r="C23655" s="46">
        <v>3643</v>
      </c>
      <c r="D23655" s="69" t="s">
        <v>29420</v>
      </c>
      <c r="E23655" s="51"/>
      <c r="F23655" s="114" t="str">
        <f>IF(INDEX(I.Facility.P4IDNumber,3643)="","",INDEX(I.Facility.P4IDNumber,3643))</f>
        <v/>
      </c>
      <c r="G23655" s="51"/>
      <c r="H23655" s="46" t="str">
        <f>IF(AND(I.Developer.P4=TRUE,I.Facility.P4FacilityCount&gt;=3643,F23655=""),"Incomplete","Complete")</f>
        <v>Complete</v>
      </c>
      <c r="I23655" s="48" t="s">
        <v>28020</v>
      </c>
    </row>
    <row r="23656" spans="2:9" ht="15" customHeight="1" x14ac:dyDescent="0.25">
      <c r="B23656" s="55" t="s">
        <v>283</v>
      </c>
      <c r="C23656" s="46">
        <v>3644</v>
      </c>
      <c r="D23656" s="69" t="s">
        <v>29420</v>
      </c>
      <c r="E23656" s="51"/>
      <c r="F23656" s="114" t="str">
        <f>IF(INDEX(I.Facility.P4IDNumber,3644)="","",INDEX(I.Facility.P4IDNumber,3644))</f>
        <v/>
      </c>
      <c r="G23656" s="51"/>
      <c r="H23656" s="46" t="str">
        <f>IF(AND(I.Developer.P4=TRUE,I.Facility.P4FacilityCount&gt;=3644,F23656=""),"Incomplete","Complete")</f>
        <v>Complete</v>
      </c>
      <c r="I23656" s="48" t="s">
        <v>28021</v>
      </c>
    </row>
    <row r="23657" spans="2:9" ht="15" customHeight="1" x14ac:dyDescent="0.25">
      <c r="B23657" s="55" t="s">
        <v>283</v>
      </c>
      <c r="C23657" s="46">
        <v>3645</v>
      </c>
      <c r="D23657" s="69" t="s">
        <v>29420</v>
      </c>
      <c r="E23657" s="51"/>
      <c r="F23657" s="114" t="str">
        <f>IF(INDEX(I.Facility.P4IDNumber,3645)="","",INDEX(I.Facility.P4IDNumber,3645))</f>
        <v/>
      </c>
      <c r="G23657" s="51"/>
      <c r="H23657" s="46" t="str">
        <f>IF(AND(I.Developer.P4=TRUE,I.Facility.P4FacilityCount&gt;=3645,F23657=""),"Incomplete","Complete")</f>
        <v>Complete</v>
      </c>
      <c r="I23657" s="48" t="s">
        <v>28022</v>
      </c>
    </row>
    <row r="23658" spans="2:9" ht="15" customHeight="1" x14ac:dyDescent="0.25">
      <c r="B23658" s="55" t="s">
        <v>283</v>
      </c>
      <c r="C23658" s="46">
        <v>3646</v>
      </c>
      <c r="D23658" s="69" t="s">
        <v>29420</v>
      </c>
      <c r="E23658" s="51"/>
      <c r="F23658" s="114" t="str">
        <f>IF(INDEX(I.Facility.P4IDNumber,3646)="","",INDEX(I.Facility.P4IDNumber,3646))</f>
        <v/>
      </c>
      <c r="G23658" s="51"/>
      <c r="H23658" s="46" t="str">
        <f>IF(AND(I.Developer.P4=TRUE,I.Facility.P4FacilityCount&gt;=3646,F23658=""),"Incomplete","Complete")</f>
        <v>Complete</v>
      </c>
      <c r="I23658" s="48" t="s">
        <v>28023</v>
      </c>
    </row>
    <row r="23659" spans="2:9" ht="15" customHeight="1" x14ac:dyDescent="0.25">
      <c r="B23659" s="55" t="s">
        <v>283</v>
      </c>
      <c r="C23659" s="46">
        <v>3647</v>
      </c>
      <c r="D23659" s="69" t="s">
        <v>29420</v>
      </c>
      <c r="E23659" s="51"/>
      <c r="F23659" s="114" t="str">
        <f>IF(INDEX(I.Facility.P4IDNumber,3647)="","",INDEX(I.Facility.P4IDNumber,3647))</f>
        <v/>
      </c>
      <c r="G23659" s="51"/>
      <c r="H23659" s="46" t="str">
        <f>IF(AND(I.Developer.P4=TRUE,I.Facility.P4FacilityCount&gt;=3647,F23659=""),"Incomplete","Complete")</f>
        <v>Complete</v>
      </c>
      <c r="I23659" s="48" t="s">
        <v>28024</v>
      </c>
    </row>
    <row r="23660" spans="2:9" ht="15" customHeight="1" x14ac:dyDescent="0.25">
      <c r="B23660" s="55" t="s">
        <v>283</v>
      </c>
      <c r="C23660" s="46">
        <v>3648</v>
      </c>
      <c r="D23660" s="69" t="s">
        <v>29420</v>
      </c>
      <c r="E23660" s="51"/>
      <c r="F23660" s="114" t="str">
        <f>IF(INDEX(I.Facility.P4IDNumber,3648)="","",INDEX(I.Facility.P4IDNumber,3648))</f>
        <v/>
      </c>
      <c r="G23660" s="51"/>
      <c r="H23660" s="46" t="str">
        <f>IF(AND(I.Developer.P4=TRUE,I.Facility.P4FacilityCount&gt;=3648,F23660=""),"Incomplete","Complete")</f>
        <v>Complete</v>
      </c>
      <c r="I23660" s="48" t="s">
        <v>28025</v>
      </c>
    </row>
    <row r="23661" spans="2:9" ht="15" customHeight="1" x14ac:dyDescent="0.25">
      <c r="B23661" s="55" t="s">
        <v>283</v>
      </c>
      <c r="C23661" s="46">
        <v>3649</v>
      </c>
      <c r="D23661" s="69" t="s">
        <v>29420</v>
      </c>
      <c r="E23661" s="51"/>
      <c r="F23661" s="114" t="str">
        <f>IF(INDEX(I.Facility.P4IDNumber,3649)="","",INDEX(I.Facility.P4IDNumber,3649))</f>
        <v/>
      </c>
      <c r="G23661" s="51"/>
      <c r="H23661" s="46" t="str">
        <f>IF(AND(I.Developer.P4=TRUE,I.Facility.P4FacilityCount&gt;=3649,F23661=""),"Incomplete","Complete")</f>
        <v>Complete</v>
      </c>
      <c r="I23661" s="48" t="s">
        <v>28026</v>
      </c>
    </row>
    <row r="23662" spans="2:9" ht="15" customHeight="1" x14ac:dyDescent="0.25">
      <c r="B23662" s="55" t="s">
        <v>283</v>
      </c>
      <c r="C23662" s="46">
        <v>3650</v>
      </c>
      <c r="D23662" s="69" t="s">
        <v>29420</v>
      </c>
      <c r="E23662" s="51"/>
      <c r="F23662" s="114" t="str">
        <f>IF(INDEX(I.Facility.P4IDNumber,3650)="","",INDEX(I.Facility.P4IDNumber,3650))</f>
        <v/>
      </c>
      <c r="G23662" s="51"/>
      <c r="H23662" s="46" t="str">
        <f>IF(AND(I.Developer.P4=TRUE,I.Facility.P4FacilityCount&gt;=3650,F23662=""),"Incomplete","Complete")</f>
        <v>Complete</v>
      </c>
      <c r="I23662" s="48" t="s">
        <v>28027</v>
      </c>
    </row>
    <row r="23663" spans="2:9" ht="15" customHeight="1" x14ac:dyDescent="0.25">
      <c r="B23663" s="55" t="s">
        <v>283</v>
      </c>
      <c r="C23663" s="46">
        <v>3651</v>
      </c>
      <c r="D23663" s="69" t="s">
        <v>29420</v>
      </c>
      <c r="E23663" s="51"/>
      <c r="F23663" s="114" t="str">
        <f>IF(INDEX(I.Facility.P4IDNumber,3651)="","",INDEX(I.Facility.P4IDNumber,3651))</f>
        <v/>
      </c>
      <c r="G23663" s="51"/>
      <c r="H23663" s="46" t="str">
        <f>IF(AND(I.Developer.P4=TRUE,I.Facility.P4FacilityCount&gt;=3651,F23663=""),"Incomplete","Complete")</f>
        <v>Complete</v>
      </c>
      <c r="I23663" s="48" t="s">
        <v>28028</v>
      </c>
    </row>
    <row r="23664" spans="2:9" ht="15" customHeight="1" x14ac:dyDescent="0.25">
      <c r="B23664" s="55" t="s">
        <v>283</v>
      </c>
      <c r="C23664" s="46">
        <v>3652</v>
      </c>
      <c r="D23664" s="69" t="s">
        <v>29420</v>
      </c>
      <c r="E23664" s="51"/>
      <c r="F23664" s="114" t="str">
        <f>IF(INDEX(I.Facility.P4IDNumber,3652)="","",INDEX(I.Facility.P4IDNumber,3652))</f>
        <v/>
      </c>
      <c r="G23664" s="51"/>
      <c r="H23664" s="46" t="str">
        <f>IF(AND(I.Developer.P4=TRUE,I.Facility.P4FacilityCount&gt;=3652,F23664=""),"Incomplete","Complete")</f>
        <v>Complete</v>
      </c>
      <c r="I23664" s="48" t="s">
        <v>28029</v>
      </c>
    </row>
    <row r="23665" spans="2:9" ht="15" customHeight="1" x14ac:dyDescent="0.25">
      <c r="B23665" s="55" t="s">
        <v>283</v>
      </c>
      <c r="C23665" s="46">
        <v>3653</v>
      </c>
      <c r="D23665" s="69" t="s">
        <v>29420</v>
      </c>
      <c r="E23665" s="51"/>
      <c r="F23665" s="114" t="str">
        <f>IF(INDEX(I.Facility.P4IDNumber,3653)="","",INDEX(I.Facility.P4IDNumber,3653))</f>
        <v/>
      </c>
      <c r="G23665" s="51"/>
      <c r="H23665" s="46" t="str">
        <f>IF(AND(I.Developer.P4=TRUE,I.Facility.P4FacilityCount&gt;=3653,F23665=""),"Incomplete","Complete")</f>
        <v>Complete</v>
      </c>
      <c r="I23665" s="48" t="s">
        <v>28030</v>
      </c>
    </row>
    <row r="23666" spans="2:9" ht="15" customHeight="1" x14ac:dyDescent="0.25">
      <c r="B23666" s="55" t="s">
        <v>283</v>
      </c>
      <c r="C23666" s="46">
        <v>3654</v>
      </c>
      <c r="D23666" s="69" t="s">
        <v>29420</v>
      </c>
      <c r="E23666" s="51"/>
      <c r="F23666" s="114" t="str">
        <f>IF(INDEX(I.Facility.P4IDNumber,3654)="","",INDEX(I.Facility.P4IDNumber,3654))</f>
        <v/>
      </c>
      <c r="G23666" s="51"/>
      <c r="H23666" s="46" t="str">
        <f>IF(AND(I.Developer.P4=TRUE,I.Facility.P4FacilityCount&gt;=3654,F23666=""),"Incomplete","Complete")</f>
        <v>Complete</v>
      </c>
      <c r="I23666" s="48" t="s">
        <v>28031</v>
      </c>
    </row>
    <row r="23667" spans="2:9" ht="15" customHeight="1" x14ac:dyDescent="0.25">
      <c r="B23667" s="55" t="s">
        <v>283</v>
      </c>
      <c r="C23667" s="46">
        <v>3655</v>
      </c>
      <c r="D23667" s="69" t="s">
        <v>29420</v>
      </c>
      <c r="E23667" s="51"/>
      <c r="F23667" s="114" t="str">
        <f>IF(INDEX(I.Facility.P4IDNumber,3655)="","",INDEX(I.Facility.P4IDNumber,3655))</f>
        <v/>
      </c>
      <c r="G23667" s="51"/>
      <c r="H23667" s="46" t="str">
        <f>IF(AND(I.Developer.P4=TRUE,I.Facility.P4FacilityCount&gt;=3655,F23667=""),"Incomplete","Complete")</f>
        <v>Complete</v>
      </c>
      <c r="I23667" s="48" t="s">
        <v>28032</v>
      </c>
    </row>
    <row r="23668" spans="2:9" ht="15" customHeight="1" x14ac:dyDescent="0.25">
      <c r="B23668" s="55" t="s">
        <v>283</v>
      </c>
      <c r="C23668" s="46">
        <v>3656</v>
      </c>
      <c r="D23668" s="69" t="s">
        <v>29420</v>
      </c>
      <c r="E23668" s="51"/>
      <c r="F23668" s="114" t="str">
        <f>IF(INDEX(I.Facility.P4IDNumber,3656)="","",INDEX(I.Facility.P4IDNumber,3656))</f>
        <v/>
      </c>
      <c r="G23668" s="51"/>
      <c r="H23668" s="46" t="str">
        <f>IF(AND(I.Developer.P4=TRUE,I.Facility.P4FacilityCount&gt;=3656,F23668=""),"Incomplete","Complete")</f>
        <v>Complete</v>
      </c>
      <c r="I23668" s="48" t="s">
        <v>28033</v>
      </c>
    </row>
    <row r="23669" spans="2:9" ht="15" customHeight="1" x14ac:dyDescent="0.25">
      <c r="B23669" s="55" t="s">
        <v>283</v>
      </c>
      <c r="C23669" s="46">
        <v>3657</v>
      </c>
      <c r="D23669" s="69" t="s">
        <v>29420</v>
      </c>
      <c r="E23669" s="51"/>
      <c r="F23669" s="114" t="str">
        <f>IF(INDEX(I.Facility.P4IDNumber,3657)="","",INDEX(I.Facility.P4IDNumber,3657))</f>
        <v/>
      </c>
      <c r="G23669" s="51"/>
      <c r="H23669" s="46" t="str">
        <f>IF(AND(I.Developer.P4=TRUE,I.Facility.P4FacilityCount&gt;=3657,F23669=""),"Incomplete","Complete")</f>
        <v>Complete</v>
      </c>
      <c r="I23669" s="48" t="s">
        <v>28034</v>
      </c>
    </row>
    <row r="23670" spans="2:9" ht="15" customHeight="1" x14ac:dyDescent="0.25">
      <c r="B23670" s="55" t="s">
        <v>283</v>
      </c>
      <c r="C23670" s="46">
        <v>3658</v>
      </c>
      <c r="D23670" s="69" t="s">
        <v>29420</v>
      </c>
      <c r="E23670" s="51"/>
      <c r="F23670" s="114" t="str">
        <f>IF(INDEX(I.Facility.P4IDNumber,3658)="","",INDEX(I.Facility.P4IDNumber,3658))</f>
        <v/>
      </c>
      <c r="G23670" s="51"/>
      <c r="H23670" s="46" t="str">
        <f>IF(AND(I.Developer.P4=TRUE,I.Facility.P4FacilityCount&gt;=3658,F23670=""),"Incomplete","Complete")</f>
        <v>Complete</v>
      </c>
      <c r="I23670" s="48" t="s">
        <v>28035</v>
      </c>
    </row>
    <row r="23671" spans="2:9" ht="15" customHeight="1" x14ac:dyDescent="0.25">
      <c r="B23671" s="55" t="s">
        <v>283</v>
      </c>
      <c r="C23671" s="46">
        <v>3659</v>
      </c>
      <c r="D23671" s="69" t="s">
        <v>29420</v>
      </c>
      <c r="E23671" s="51"/>
      <c r="F23671" s="114" t="str">
        <f>IF(INDEX(I.Facility.P4IDNumber,3659)="","",INDEX(I.Facility.P4IDNumber,3659))</f>
        <v/>
      </c>
      <c r="G23671" s="51"/>
      <c r="H23671" s="46" t="str">
        <f>IF(AND(I.Developer.P4=TRUE,I.Facility.P4FacilityCount&gt;=3659,F23671=""),"Incomplete","Complete")</f>
        <v>Complete</v>
      </c>
      <c r="I23671" s="48" t="s">
        <v>28036</v>
      </c>
    </row>
    <row r="23672" spans="2:9" ht="15" customHeight="1" x14ac:dyDescent="0.25">
      <c r="B23672" s="55" t="s">
        <v>283</v>
      </c>
      <c r="C23672" s="46">
        <v>3660</v>
      </c>
      <c r="D23672" s="69" t="s">
        <v>29420</v>
      </c>
      <c r="E23672" s="51"/>
      <c r="F23672" s="114" t="str">
        <f>IF(INDEX(I.Facility.P4IDNumber,3660)="","",INDEX(I.Facility.P4IDNumber,3660))</f>
        <v/>
      </c>
      <c r="G23672" s="51"/>
      <c r="H23672" s="46" t="str">
        <f>IF(AND(I.Developer.P4=TRUE,I.Facility.P4FacilityCount&gt;=3660,F23672=""),"Incomplete","Complete")</f>
        <v>Complete</v>
      </c>
      <c r="I23672" s="48" t="s">
        <v>28037</v>
      </c>
    </row>
    <row r="23673" spans="2:9" ht="15" customHeight="1" x14ac:dyDescent="0.25">
      <c r="B23673" s="55" t="s">
        <v>283</v>
      </c>
      <c r="C23673" s="46">
        <v>3661</v>
      </c>
      <c r="D23673" s="69" t="s">
        <v>29420</v>
      </c>
      <c r="E23673" s="51"/>
      <c r="F23673" s="114" t="str">
        <f>IF(INDEX(I.Facility.P4IDNumber,3661)="","",INDEX(I.Facility.P4IDNumber,3661))</f>
        <v/>
      </c>
      <c r="G23673" s="51"/>
      <c r="H23673" s="46" t="str">
        <f>IF(AND(I.Developer.P4=TRUE,I.Facility.P4FacilityCount&gt;=3661,F23673=""),"Incomplete","Complete")</f>
        <v>Complete</v>
      </c>
      <c r="I23673" s="48" t="s">
        <v>28038</v>
      </c>
    </row>
    <row r="23674" spans="2:9" ht="15" customHeight="1" x14ac:dyDescent="0.25">
      <c r="B23674" s="55" t="s">
        <v>283</v>
      </c>
      <c r="C23674" s="46">
        <v>3662</v>
      </c>
      <c r="D23674" s="69" t="s">
        <v>29420</v>
      </c>
      <c r="E23674" s="51"/>
      <c r="F23674" s="114" t="str">
        <f>IF(INDEX(I.Facility.P4IDNumber,3662)="","",INDEX(I.Facility.P4IDNumber,3662))</f>
        <v/>
      </c>
      <c r="G23674" s="51"/>
      <c r="H23674" s="46" t="str">
        <f>IF(AND(I.Developer.P4=TRUE,I.Facility.P4FacilityCount&gt;=3662,F23674=""),"Incomplete","Complete")</f>
        <v>Complete</v>
      </c>
      <c r="I23674" s="48" t="s">
        <v>28039</v>
      </c>
    </row>
    <row r="23675" spans="2:9" ht="15" customHeight="1" x14ac:dyDescent="0.25">
      <c r="B23675" s="55" t="s">
        <v>283</v>
      </c>
      <c r="C23675" s="46">
        <v>3663</v>
      </c>
      <c r="D23675" s="69" t="s">
        <v>29420</v>
      </c>
      <c r="E23675" s="51"/>
      <c r="F23675" s="114" t="str">
        <f>IF(INDEX(I.Facility.P4IDNumber,3663)="","",INDEX(I.Facility.P4IDNumber,3663))</f>
        <v/>
      </c>
      <c r="G23675" s="51"/>
      <c r="H23675" s="46" t="str">
        <f>IF(AND(I.Developer.P4=TRUE,I.Facility.P4FacilityCount&gt;=3663,F23675=""),"Incomplete","Complete")</f>
        <v>Complete</v>
      </c>
      <c r="I23675" s="48" t="s">
        <v>28040</v>
      </c>
    </row>
    <row r="23676" spans="2:9" ht="15" customHeight="1" x14ac:dyDescent="0.25">
      <c r="B23676" s="55" t="s">
        <v>283</v>
      </c>
      <c r="C23676" s="46">
        <v>3664</v>
      </c>
      <c r="D23676" s="69" t="s">
        <v>29420</v>
      </c>
      <c r="E23676" s="51"/>
      <c r="F23676" s="114" t="str">
        <f>IF(INDEX(I.Facility.P4IDNumber,3664)="","",INDEX(I.Facility.P4IDNumber,3664))</f>
        <v/>
      </c>
      <c r="G23676" s="51"/>
      <c r="H23676" s="46" t="str">
        <f>IF(AND(I.Developer.P4=TRUE,I.Facility.P4FacilityCount&gt;=3664,F23676=""),"Incomplete","Complete")</f>
        <v>Complete</v>
      </c>
      <c r="I23676" s="48" t="s">
        <v>28041</v>
      </c>
    </row>
    <row r="23677" spans="2:9" ht="15" customHeight="1" x14ac:dyDescent="0.25">
      <c r="B23677" s="55" t="s">
        <v>283</v>
      </c>
      <c r="C23677" s="46">
        <v>3665</v>
      </c>
      <c r="D23677" s="69" t="s">
        <v>29420</v>
      </c>
      <c r="E23677" s="51"/>
      <c r="F23677" s="114" t="str">
        <f>IF(INDEX(I.Facility.P4IDNumber,3665)="","",INDEX(I.Facility.P4IDNumber,3665))</f>
        <v/>
      </c>
      <c r="G23677" s="51"/>
      <c r="H23677" s="46" t="str">
        <f>IF(AND(I.Developer.P4=TRUE,I.Facility.P4FacilityCount&gt;=3665,F23677=""),"Incomplete","Complete")</f>
        <v>Complete</v>
      </c>
      <c r="I23677" s="48" t="s">
        <v>28042</v>
      </c>
    </row>
    <row r="23678" spans="2:9" ht="15" customHeight="1" x14ac:dyDescent="0.25">
      <c r="B23678" s="55" t="s">
        <v>283</v>
      </c>
      <c r="C23678" s="46">
        <v>3666</v>
      </c>
      <c r="D23678" s="69" t="s">
        <v>29420</v>
      </c>
      <c r="E23678" s="51"/>
      <c r="F23678" s="114" t="str">
        <f>IF(INDEX(I.Facility.P4IDNumber,3666)="","",INDEX(I.Facility.P4IDNumber,3666))</f>
        <v/>
      </c>
      <c r="G23678" s="51"/>
      <c r="H23678" s="46" t="str">
        <f>IF(AND(I.Developer.P4=TRUE,I.Facility.P4FacilityCount&gt;=3666,F23678=""),"Incomplete","Complete")</f>
        <v>Complete</v>
      </c>
      <c r="I23678" s="48" t="s">
        <v>28043</v>
      </c>
    </row>
    <row r="23679" spans="2:9" ht="15" customHeight="1" x14ac:dyDescent="0.25">
      <c r="B23679" s="55" t="s">
        <v>283</v>
      </c>
      <c r="C23679" s="46">
        <v>3667</v>
      </c>
      <c r="D23679" s="69" t="s">
        <v>29420</v>
      </c>
      <c r="E23679" s="51"/>
      <c r="F23679" s="114" t="str">
        <f>IF(INDEX(I.Facility.P4IDNumber,3667)="","",INDEX(I.Facility.P4IDNumber,3667))</f>
        <v/>
      </c>
      <c r="G23679" s="51"/>
      <c r="H23679" s="46" t="str">
        <f>IF(AND(I.Developer.P4=TRUE,I.Facility.P4FacilityCount&gt;=3667,F23679=""),"Incomplete","Complete")</f>
        <v>Complete</v>
      </c>
      <c r="I23679" s="48" t="s">
        <v>28044</v>
      </c>
    </row>
    <row r="23680" spans="2:9" ht="15" customHeight="1" x14ac:dyDescent="0.25">
      <c r="B23680" s="55" t="s">
        <v>283</v>
      </c>
      <c r="C23680" s="46">
        <v>3668</v>
      </c>
      <c r="D23680" s="69" t="s">
        <v>29420</v>
      </c>
      <c r="E23680" s="51"/>
      <c r="F23680" s="114" t="str">
        <f>IF(INDEX(I.Facility.P4IDNumber,3668)="","",INDEX(I.Facility.P4IDNumber,3668))</f>
        <v/>
      </c>
      <c r="G23680" s="51"/>
      <c r="H23680" s="46" t="str">
        <f>IF(AND(I.Developer.P4=TRUE,I.Facility.P4FacilityCount&gt;=3668,F23680=""),"Incomplete","Complete")</f>
        <v>Complete</v>
      </c>
      <c r="I23680" s="48" t="s">
        <v>28045</v>
      </c>
    </row>
    <row r="23681" spans="2:9" ht="15" customHeight="1" x14ac:dyDescent="0.25">
      <c r="B23681" s="55" t="s">
        <v>283</v>
      </c>
      <c r="C23681" s="46">
        <v>3669</v>
      </c>
      <c r="D23681" s="69" t="s">
        <v>29420</v>
      </c>
      <c r="E23681" s="51"/>
      <c r="F23681" s="114" t="str">
        <f>IF(INDEX(I.Facility.P4IDNumber,3669)="","",INDEX(I.Facility.P4IDNumber,3669))</f>
        <v/>
      </c>
      <c r="G23681" s="51"/>
      <c r="H23681" s="46" t="str">
        <f>IF(AND(I.Developer.P4=TRUE,I.Facility.P4FacilityCount&gt;=3669,F23681=""),"Incomplete","Complete")</f>
        <v>Complete</v>
      </c>
      <c r="I23681" s="48" t="s">
        <v>28046</v>
      </c>
    </row>
    <row r="23682" spans="2:9" ht="15" customHeight="1" x14ac:dyDescent="0.25">
      <c r="B23682" s="55" t="s">
        <v>283</v>
      </c>
      <c r="C23682" s="46">
        <v>3670</v>
      </c>
      <c r="D23682" s="69" t="s">
        <v>29420</v>
      </c>
      <c r="E23682" s="51"/>
      <c r="F23682" s="114" t="str">
        <f>IF(INDEX(I.Facility.P4IDNumber,3670)="","",INDEX(I.Facility.P4IDNumber,3670))</f>
        <v/>
      </c>
      <c r="G23682" s="51"/>
      <c r="H23682" s="46" t="str">
        <f>IF(AND(I.Developer.P4=TRUE,I.Facility.P4FacilityCount&gt;=3670,F23682=""),"Incomplete","Complete")</f>
        <v>Complete</v>
      </c>
      <c r="I23682" s="48" t="s">
        <v>28047</v>
      </c>
    </row>
    <row r="23683" spans="2:9" ht="15" customHeight="1" x14ac:dyDescent="0.25">
      <c r="B23683" s="55" t="s">
        <v>283</v>
      </c>
      <c r="C23683" s="46">
        <v>3671</v>
      </c>
      <c r="D23683" s="69" t="s">
        <v>29420</v>
      </c>
      <c r="E23683" s="51"/>
      <c r="F23683" s="114" t="str">
        <f>IF(INDEX(I.Facility.P4IDNumber,3671)="","",INDEX(I.Facility.P4IDNumber,3671))</f>
        <v/>
      </c>
      <c r="G23683" s="51"/>
      <c r="H23683" s="46" t="str">
        <f>IF(AND(I.Developer.P4=TRUE,I.Facility.P4FacilityCount&gt;=3671,F23683=""),"Incomplete","Complete")</f>
        <v>Complete</v>
      </c>
      <c r="I23683" s="48" t="s">
        <v>28048</v>
      </c>
    </row>
    <row r="23684" spans="2:9" ht="15" customHeight="1" x14ac:dyDescent="0.25">
      <c r="B23684" s="55" t="s">
        <v>283</v>
      </c>
      <c r="C23684" s="46">
        <v>3672</v>
      </c>
      <c r="D23684" s="69" t="s">
        <v>29420</v>
      </c>
      <c r="E23684" s="51"/>
      <c r="F23684" s="114" t="str">
        <f>IF(INDEX(I.Facility.P4IDNumber,3672)="","",INDEX(I.Facility.P4IDNumber,3672))</f>
        <v/>
      </c>
      <c r="G23684" s="51"/>
      <c r="H23684" s="46" t="str">
        <f>IF(AND(I.Developer.P4=TRUE,I.Facility.P4FacilityCount&gt;=3672,F23684=""),"Incomplete","Complete")</f>
        <v>Complete</v>
      </c>
      <c r="I23684" s="48" t="s">
        <v>28049</v>
      </c>
    </row>
    <row r="23685" spans="2:9" ht="15" customHeight="1" x14ac:dyDescent="0.25">
      <c r="B23685" s="55" t="s">
        <v>283</v>
      </c>
      <c r="C23685" s="46">
        <v>3673</v>
      </c>
      <c r="D23685" s="69" t="s">
        <v>29420</v>
      </c>
      <c r="E23685" s="51"/>
      <c r="F23685" s="114" t="str">
        <f>IF(INDEX(I.Facility.P4IDNumber,3673)="","",INDEX(I.Facility.P4IDNumber,3673))</f>
        <v/>
      </c>
      <c r="G23685" s="51"/>
      <c r="H23685" s="46" t="str">
        <f>IF(AND(I.Developer.P4=TRUE,I.Facility.P4FacilityCount&gt;=3673,F23685=""),"Incomplete","Complete")</f>
        <v>Complete</v>
      </c>
      <c r="I23685" s="48" t="s">
        <v>28050</v>
      </c>
    </row>
    <row r="23686" spans="2:9" ht="15" customHeight="1" x14ac:dyDescent="0.25">
      <c r="B23686" s="55" t="s">
        <v>283</v>
      </c>
      <c r="C23686" s="46">
        <v>3674</v>
      </c>
      <c r="D23686" s="69" t="s">
        <v>29420</v>
      </c>
      <c r="E23686" s="51"/>
      <c r="F23686" s="114" t="str">
        <f>IF(INDEX(I.Facility.P4IDNumber,3674)="","",INDEX(I.Facility.P4IDNumber,3674))</f>
        <v/>
      </c>
      <c r="G23686" s="51"/>
      <c r="H23686" s="46" t="str">
        <f>IF(AND(I.Developer.P4=TRUE,I.Facility.P4FacilityCount&gt;=3674,F23686=""),"Incomplete","Complete")</f>
        <v>Complete</v>
      </c>
      <c r="I23686" s="48" t="s">
        <v>28051</v>
      </c>
    </row>
    <row r="23687" spans="2:9" ht="15" customHeight="1" x14ac:dyDescent="0.25">
      <c r="B23687" s="55" t="s">
        <v>283</v>
      </c>
      <c r="C23687" s="46">
        <v>3675</v>
      </c>
      <c r="D23687" s="69" t="s">
        <v>29420</v>
      </c>
      <c r="E23687" s="51"/>
      <c r="F23687" s="114" t="str">
        <f>IF(INDEX(I.Facility.P4IDNumber,3675)="","",INDEX(I.Facility.P4IDNumber,3675))</f>
        <v/>
      </c>
      <c r="G23687" s="51"/>
      <c r="H23687" s="46" t="str">
        <f>IF(AND(I.Developer.P4=TRUE,I.Facility.P4FacilityCount&gt;=3675,F23687=""),"Incomplete","Complete")</f>
        <v>Complete</v>
      </c>
      <c r="I23687" s="48" t="s">
        <v>28052</v>
      </c>
    </row>
    <row r="23688" spans="2:9" ht="15" customHeight="1" x14ac:dyDescent="0.25">
      <c r="B23688" s="55" t="s">
        <v>283</v>
      </c>
      <c r="C23688" s="46">
        <v>3676</v>
      </c>
      <c r="D23688" s="69" t="s">
        <v>29420</v>
      </c>
      <c r="E23688" s="51"/>
      <c r="F23688" s="114" t="str">
        <f>IF(INDEX(I.Facility.P4IDNumber,3676)="","",INDEX(I.Facility.P4IDNumber,3676))</f>
        <v/>
      </c>
      <c r="G23688" s="51"/>
      <c r="H23688" s="46" t="str">
        <f>IF(AND(I.Developer.P4=TRUE,I.Facility.P4FacilityCount&gt;=3676,F23688=""),"Incomplete","Complete")</f>
        <v>Complete</v>
      </c>
      <c r="I23688" s="48" t="s">
        <v>28053</v>
      </c>
    </row>
    <row r="23689" spans="2:9" ht="15" customHeight="1" x14ac:dyDescent="0.25">
      <c r="B23689" s="55" t="s">
        <v>283</v>
      </c>
      <c r="C23689" s="46">
        <v>3677</v>
      </c>
      <c r="D23689" s="69" t="s">
        <v>29420</v>
      </c>
      <c r="E23689" s="51"/>
      <c r="F23689" s="114" t="str">
        <f>IF(INDEX(I.Facility.P4IDNumber,3677)="","",INDEX(I.Facility.P4IDNumber,3677))</f>
        <v/>
      </c>
      <c r="G23689" s="51"/>
      <c r="H23689" s="46" t="str">
        <f>IF(AND(I.Developer.P4=TRUE,I.Facility.P4FacilityCount&gt;=3677,F23689=""),"Incomplete","Complete")</f>
        <v>Complete</v>
      </c>
      <c r="I23689" s="48" t="s">
        <v>28054</v>
      </c>
    </row>
    <row r="23690" spans="2:9" ht="15" customHeight="1" x14ac:dyDescent="0.25">
      <c r="B23690" s="55" t="s">
        <v>283</v>
      </c>
      <c r="C23690" s="46">
        <v>3678</v>
      </c>
      <c r="D23690" s="69" t="s">
        <v>29420</v>
      </c>
      <c r="E23690" s="51"/>
      <c r="F23690" s="114" t="str">
        <f>IF(INDEX(I.Facility.P4IDNumber,3678)="","",INDEX(I.Facility.P4IDNumber,3678))</f>
        <v/>
      </c>
      <c r="G23690" s="51"/>
      <c r="H23690" s="46" t="str">
        <f>IF(AND(I.Developer.P4=TRUE,I.Facility.P4FacilityCount&gt;=3678,F23690=""),"Incomplete","Complete")</f>
        <v>Complete</v>
      </c>
      <c r="I23690" s="48" t="s">
        <v>28055</v>
      </c>
    </row>
    <row r="23691" spans="2:9" ht="15" customHeight="1" x14ac:dyDescent="0.25">
      <c r="B23691" s="55" t="s">
        <v>283</v>
      </c>
      <c r="C23691" s="46">
        <v>3679</v>
      </c>
      <c r="D23691" s="69" t="s">
        <v>29420</v>
      </c>
      <c r="E23691" s="51"/>
      <c r="F23691" s="114" t="str">
        <f>IF(INDEX(I.Facility.P4IDNumber,3679)="","",INDEX(I.Facility.P4IDNumber,3679))</f>
        <v/>
      </c>
      <c r="G23691" s="51"/>
      <c r="H23691" s="46" t="str">
        <f>IF(AND(I.Developer.P4=TRUE,I.Facility.P4FacilityCount&gt;=3679,F23691=""),"Incomplete","Complete")</f>
        <v>Complete</v>
      </c>
      <c r="I23691" s="48" t="s">
        <v>28056</v>
      </c>
    </row>
    <row r="23692" spans="2:9" ht="15" customHeight="1" x14ac:dyDescent="0.25">
      <c r="B23692" s="55" t="s">
        <v>283</v>
      </c>
      <c r="C23692" s="46">
        <v>3680</v>
      </c>
      <c r="D23692" s="69" t="s">
        <v>29420</v>
      </c>
      <c r="E23692" s="51"/>
      <c r="F23692" s="114" t="str">
        <f>IF(INDEX(I.Facility.P4IDNumber,3680)="","",INDEX(I.Facility.P4IDNumber,3680))</f>
        <v/>
      </c>
      <c r="G23692" s="51"/>
      <c r="H23692" s="46" t="str">
        <f>IF(AND(I.Developer.P4=TRUE,I.Facility.P4FacilityCount&gt;=3680,F23692=""),"Incomplete","Complete")</f>
        <v>Complete</v>
      </c>
      <c r="I23692" s="48" t="s">
        <v>28057</v>
      </c>
    </row>
    <row r="23693" spans="2:9" ht="15" customHeight="1" x14ac:dyDescent="0.25">
      <c r="B23693" s="55" t="s">
        <v>283</v>
      </c>
      <c r="C23693" s="46">
        <v>3681</v>
      </c>
      <c r="D23693" s="69" t="s">
        <v>29420</v>
      </c>
      <c r="E23693" s="51"/>
      <c r="F23693" s="114" t="str">
        <f>IF(INDEX(I.Facility.P4IDNumber,3681)="","",INDEX(I.Facility.P4IDNumber,3681))</f>
        <v/>
      </c>
      <c r="G23693" s="51"/>
      <c r="H23693" s="46" t="str">
        <f>IF(AND(I.Developer.P4=TRUE,I.Facility.P4FacilityCount&gt;=3681,F23693=""),"Incomplete","Complete")</f>
        <v>Complete</v>
      </c>
      <c r="I23693" s="48" t="s">
        <v>28058</v>
      </c>
    </row>
    <row r="23694" spans="2:9" ht="15" customHeight="1" x14ac:dyDescent="0.25">
      <c r="B23694" s="55" t="s">
        <v>283</v>
      </c>
      <c r="C23694" s="46">
        <v>3682</v>
      </c>
      <c r="D23694" s="69" t="s">
        <v>29420</v>
      </c>
      <c r="E23694" s="51"/>
      <c r="F23694" s="114" t="str">
        <f>IF(INDEX(I.Facility.P4IDNumber,3682)="","",INDEX(I.Facility.P4IDNumber,3682))</f>
        <v/>
      </c>
      <c r="G23694" s="51"/>
      <c r="H23694" s="46" t="str">
        <f>IF(AND(I.Developer.P4=TRUE,I.Facility.P4FacilityCount&gt;=3682,F23694=""),"Incomplete","Complete")</f>
        <v>Complete</v>
      </c>
      <c r="I23694" s="48" t="s">
        <v>28059</v>
      </c>
    </row>
    <row r="23695" spans="2:9" ht="15" customHeight="1" x14ac:dyDescent="0.25">
      <c r="B23695" s="55" t="s">
        <v>283</v>
      </c>
      <c r="C23695" s="46">
        <v>3683</v>
      </c>
      <c r="D23695" s="69" t="s">
        <v>29420</v>
      </c>
      <c r="E23695" s="51"/>
      <c r="F23695" s="114" t="str">
        <f>IF(INDEX(I.Facility.P4IDNumber,3683)="","",INDEX(I.Facility.P4IDNumber,3683))</f>
        <v/>
      </c>
      <c r="G23695" s="51"/>
      <c r="H23695" s="46" t="str">
        <f>IF(AND(I.Developer.P4=TRUE,I.Facility.P4FacilityCount&gt;=3683,F23695=""),"Incomplete","Complete")</f>
        <v>Complete</v>
      </c>
      <c r="I23695" s="48" t="s">
        <v>28060</v>
      </c>
    </row>
    <row r="23696" spans="2:9" ht="15" customHeight="1" x14ac:dyDescent="0.25">
      <c r="B23696" s="55" t="s">
        <v>283</v>
      </c>
      <c r="C23696" s="46">
        <v>3684</v>
      </c>
      <c r="D23696" s="69" t="s">
        <v>29420</v>
      </c>
      <c r="E23696" s="51"/>
      <c r="F23696" s="114" t="str">
        <f>IF(INDEX(I.Facility.P4IDNumber,3684)="","",INDEX(I.Facility.P4IDNumber,3684))</f>
        <v/>
      </c>
      <c r="G23696" s="51"/>
      <c r="H23696" s="46" t="str">
        <f>IF(AND(I.Developer.P4=TRUE,I.Facility.P4FacilityCount&gt;=3684,F23696=""),"Incomplete","Complete")</f>
        <v>Complete</v>
      </c>
      <c r="I23696" s="48" t="s">
        <v>28061</v>
      </c>
    </row>
    <row r="23697" spans="2:9" ht="15" customHeight="1" x14ac:dyDescent="0.25">
      <c r="B23697" s="55" t="s">
        <v>283</v>
      </c>
      <c r="C23697" s="46">
        <v>3685</v>
      </c>
      <c r="D23697" s="69" t="s">
        <v>29420</v>
      </c>
      <c r="E23697" s="51"/>
      <c r="F23697" s="114" t="str">
        <f>IF(INDEX(I.Facility.P4IDNumber,3685)="","",INDEX(I.Facility.P4IDNumber,3685))</f>
        <v/>
      </c>
      <c r="G23697" s="51"/>
      <c r="H23697" s="46" t="str">
        <f>IF(AND(I.Developer.P4=TRUE,I.Facility.P4FacilityCount&gt;=3685,F23697=""),"Incomplete","Complete")</f>
        <v>Complete</v>
      </c>
      <c r="I23697" s="48" t="s">
        <v>28062</v>
      </c>
    </row>
    <row r="23698" spans="2:9" ht="15" customHeight="1" x14ac:dyDescent="0.25">
      <c r="B23698" s="55" t="s">
        <v>283</v>
      </c>
      <c r="C23698" s="46">
        <v>3686</v>
      </c>
      <c r="D23698" s="69" t="s">
        <v>29420</v>
      </c>
      <c r="E23698" s="51"/>
      <c r="F23698" s="114" t="str">
        <f>IF(INDEX(I.Facility.P4IDNumber,3686)="","",INDEX(I.Facility.P4IDNumber,3686))</f>
        <v/>
      </c>
      <c r="G23698" s="51"/>
      <c r="H23698" s="46" t="str">
        <f>IF(AND(I.Developer.P4=TRUE,I.Facility.P4FacilityCount&gt;=3686,F23698=""),"Incomplete","Complete")</f>
        <v>Complete</v>
      </c>
      <c r="I23698" s="48" t="s">
        <v>28063</v>
      </c>
    </row>
    <row r="23699" spans="2:9" ht="15" customHeight="1" x14ac:dyDescent="0.25">
      <c r="B23699" s="55" t="s">
        <v>283</v>
      </c>
      <c r="C23699" s="46">
        <v>3687</v>
      </c>
      <c r="D23699" s="69" t="s">
        <v>29420</v>
      </c>
      <c r="E23699" s="51"/>
      <c r="F23699" s="114" t="str">
        <f>IF(INDEX(I.Facility.P4IDNumber,3687)="","",INDEX(I.Facility.P4IDNumber,3687))</f>
        <v/>
      </c>
      <c r="G23699" s="51"/>
      <c r="H23699" s="46" t="str">
        <f>IF(AND(I.Developer.P4=TRUE,I.Facility.P4FacilityCount&gt;=3687,F23699=""),"Incomplete","Complete")</f>
        <v>Complete</v>
      </c>
      <c r="I23699" s="48" t="s">
        <v>28064</v>
      </c>
    </row>
    <row r="23700" spans="2:9" ht="15" customHeight="1" x14ac:dyDescent="0.25">
      <c r="B23700" s="55" t="s">
        <v>283</v>
      </c>
      <c r="C23700" s="46">
        <v>3688</v>
      </c>
      <c r="D23700" s="69" t="s">
        <v>29420</v>
      </c>
      <c r="E23700" s="51"/>
      <c r="F23700" s="114" t="str">
        <f>IF(INDEX(I.Facility.P4IDNumber,3688)="","",INDEX(I.Facility.P4IDNumber,3688))</f>
        <v/>
      </c>
      <c r="G23700" s="51"/>
      <c r="H23700" s="46" t="str">
        <f>IF(AND(I.Developer.P4=TRUE,I.Facility.P4FacilityCount&gt;=3688,F23700=""),"Incomplete","Complete")</f>
        <v>Complete</v>
      </c>
      <c r="I23700" s="48" t="s">
        <v>28065</v>
      </c>
    </row>
    <row r="23701" spans="2:9" ht="15" customHeight="1" x14ac:dyDescent="0.25">
      <c r="B23701" s="55" t="s">
        <v>283</v>
      </c>
      <c r="C23701" s="46">
        <v>3689</v>
      </c>
      <c r="D23701" s="69" t="s">
        <v>29420</v>
      </c>
      <c r="E23701" s="51"/>
      <c r="F23701" s="114" t="str">
        <f>IF(INDEX(I.Facility.P4IDNumber,3689)="","",INDEX(I.Facility.P4IDNumber,3689))</f>
        <v/>
      </c>
      <c r="G23701" s="51"/>
      <c r="H23701" s="46" t="str">
        <f>IF(AND(I.Developer.P4=TRUE,I.Facility.P4FacilityCount&gt;=3689,F23701=""),"Incomplete","Complete")</f>
        <v>Complete</v>
      </c>
      <c r="I23701" s="48" t="s">
        <v>28066</v>
      </c>
    </row>
    <row r="23702" spans="2:9" ht="15" customHeight="1" x14ac:dyDescent="0.25">
      <c r="B23702" s="55" t="s">
        <v>283</v>
      </c>
      <c r="C23702" s="46">
        <v>3690</v>
      </c>
      <c r="D23702" s="69" t="s">
        <v>29420</v>
      </c>
      <c r="E23702" s="51"/>
      <c r="F23702" s="114" t="str">
        <f>IF(INDEX(I.Facility.P4IDNumber,3690)="","",INDEX(I.Facility.P4IDNumber,3690))</f>
        <v/>
      </c>
      <c r="G23702" s="51"/>
      <c r="H23702" s="46" t="str">
        <f>IF(AND(I.Developer.P4=TRUE,I.Facility.P4FacilityCount&gt;=3690,F23702=""),"Incomplete","Complete")</f>
        <v>Complete</v>
      </c>
      <c r="I23702" s="48" t="s">
        <v>28067</v>
      </c>
    </row>
    <row r="23703" spans="2:9" ht="15" customHeight="1" x14ac:dyDescent="0.25">
      <c r="B23703" s="55" t="s">
        <v>283</v>
      </c>
      <c r="C23703" s="46">
        <v>3691</v>
      </c>
      <c r="D23703" s="69" t="s">
        <v>29420</v>
      </c>
      <c r="E23703" s="51"/>
      <c r="F23703" s="114" t="str">
        <f>IF(INDEX(I.Facility.P4IDNumber,3691)="","",INDEX(I.Facility.P4IDNumber,3691))</f>
        <v/>
      </c>
      <c r="G23703" s="51"/>
      <c r="H23703" s="46" t="str">
        <f>IF(AND(I.Developer.P4=TRUE,I.Facility.P4FacilityCount&gt;=3691,F23703=""),"Incomplete","Complete")</f>
        <v>Complete</v>
      </c>
      <c r="I23703" s="48" t="s">
        <v>28068</v>
      </c>
    </row>
    <row r="23704" spans="2:9" ht="15" customHeight="1" x14ac:dyDescent="0.25">
      <c r="B23704" s="55" t="s">
        <v>283</v>
      </c>
      <c r="C23704" s="46">
        <v>3692</v>
      </c>
      <c r="D23704" s="69" t="s">
        <v>29420</v>
      </c>
      <c r="E23704" s="51"/>
      <c r="F23704" s="114" t="str">
        <f>IF(INDEX(I.Facility.P4IDNumber,3692)="","",INDEX(I.Facility.P4IDNumber,3692))</f>
        <v/>
      </c>
      <c r="G23704" s="51"/>
      <c r="H23704" s="46" t="str">
        <f>IF(AND(I.Developer.P4=TRUE,I.Facility.P4FacilityCount&gt;=3692,F23704=""),"Incomplete","Complete")</f>
        <v>Complete</v>
      </c>
      <c r="I23704" s="48" t="s">
        <v>28069</v>
      </c>
    </row>
    <row r="23705" spans="2:9" ht="15" customHeight="1" x14ac:dyDescent="0.25">
      <c r="B23705" s="55" t="s">
        <v>283</v>
      </c>
      <c r="C23705" s="46">
        <v>3693</v>
      </c>
      <c r="D23705" s="69" t="s">
        <v>29420</v>
      </c>
      <c r="E23705" s="51"/>
      <c r="F23705" s="114" t="str">
        <f>IF(INDEX(I.Facility.P4IDNumber,3693)="","",INDEX(I.Facility.P4IDNumber,3693))</f>
        <v/>
      </c>
      <c r="G23705" s="51"/>
      <c r="H23705" s="46" t="str">
        <f>IF(AND(I.Developer.P4=TRUE,I.Facility.P4FacilityCount&gt;=3693,F23705=""),"Incomplete","Complete")</f>
        <v>Complete</v>
      </c>
      <c r="I23705" s="48" t="s">
        <v>28070</v>
      </c>
    </row>
    <row r="23706" spans="2:9" ht="15" customHeight="1" x14ac:dyDescent="0.25">
      <c r="B23706" s="55" t="s">
        <v>283</v>
      </c>
      <c r="C23706" s="46">
        <v>3694</v>
      </c>
      <c r="D23706" s="69" t="s">
        <v>29420</v>
      </c>
      <c r="E23706" s="51"/>
      <c r="F23706" s="114" t="str">
        <f>IF(INDEX(I.Facility.P4IDNumber,3694)="","",INDEX(I.Facility.P4IDNumber,3694))</f>
        <v/>
      </c>
      <c r="G23706" s="51"/>
      <c r="H23706" s="46" t="str">
        <f>IF(AND(I.Developer.P4=TRUE,I.Facility.P4FacilityCount&gt;=3694,F23706=""),"Incomplete","Complete")</f>
        <v>Complete</v>
      </c>
      <c r="I23706" s="48" t="s">
        <v>28071</v>
      </c>
    </row>
    <row r="23707" spans="2:9" ht="15" customHeight="1" x14ac:dyDescent="0.25">
      <c r="B23707" s="55" t="s">
        <v>283</v>
      </c>
      <c r="C23707" s="46">
        <v>3695</v>
      </c>
      <c r="D23707" s="69" t="s">
        <v>29420</v>
      </c>
      <c r="E23707" s="51"/>
      <c r="F23707" s="114" t="str">
        <f>IF(INDEX(I.Facility.P4IDNumber,3695)="","",INDEX(I.Facility.P4IDNumber,3695))</f>
        <v/>
      </c>
      <c r="G23707" s="51"/>
      <c r="H23707" s="46" t="str">
        <f>IF(AND(I.Developer.P4=TRUE,I.Facility.P4FacilityCount&gt;=3695,F23707=""),"Incomplete","Complete")</f>
        <v>Complete</v>
      </c>
      <c r="I23707" s="48" t="s">
        <v>28072</v>
      </c>
    </row>
    <row r="23708" spans="2:9" ht="15" customHeight="1" x14ac:dyDescent="0.25">
      <c r="B23708" s="55" t="s">
        <v>283</v>
      </c>
      <c r="C23708" s="46">
        <v>3696</v>
      </c>
      <c r="D23708" s="69" t="s">
        <v>29420</v>
      </c>
      <c r="E23708" s="51"/>
      <c r="F23708" s="114" t="str">
        <f>IF(INDEX(I.Facility.P4IDNumber,3696)="","",INDEX(I.Facility.P4IDNumber,3696))</f>
        <v/>
      </c>
      <c r="G23708" s="51"/>
      <c r="H23708" s="46" t="str">
        <f>IF(AND(I.Developer.P4=TRUE,I.Facility.P4FacilityCount&gt;=3696,F23708=""),"Incomplete","Complete")</f>
        <v>Complete</v>
      </c>
      <c r="I23708" s="48" t="s">
        <v>28073</v>
      </c>
    </row>
    <row r="23709" spans="2:9" ht="15" customHeight="1" x14ac:dyDescent="0.25">
      <c r="B23709" s="55" t="s">
        <v>283</v>
      </c>
      <c r="C23709" s="46">
        <v>3697</v>
      </c>
      <c r="D23709" s="69" t="s">
        <v>29420</v>
      </c>
      <c r="E23709" s="51"/>
      <c r="F23709" s="114" t="str">
        <f>IF(INDEX(I.Facility.P4IDNumber,3697)="","",INDEX(I.Facility.P4IDNumber,3697))</f>
        <v/>
      </c>
      <c r="G23709" s="51"/>
      <c r="H23709" s="46" t="str">
        <f>IF(AND(I.Developer.P4=TRUE,I.Facility.P4FacilityCount&gt;=3697,F23709=""),"Incomplete","Complete")</f>
        <v>Complete</v>
      </c>
      <c r="I23709" s="48" t="s">
        <v>28074</v>
      </c>
    </row>
    <row r="23710" spans="2:9" ht="15" customHeight="1" x14ac:dyDescent="0.25">
      <c r="B23710" s="55" t="s">
        <v>283</v>
      </c>
      <c r="C23710" s="46">
        <v>3698</v>
      </c>
      <c r="D23710" s="69" t="s">
        <v>29420</v>
      </c>
      <c r="E23710" s="51"/>
      <c r="F23710" s="114" t="str">
        <f>IF(INDEX(I.Facility.P4IDNumber,3698)="","",INDEX(I.Facility.P4IDNumber,3698))</f>
        <v/>
      </c>
      <c r="G23710" s="51"/>
      <c r="H23710" s="46" t="str">
        <f>IF(AND(I.Developer.P4=TRUE,I.Facility.P4FacilityCount&gt;=3698,F23710=""),"Incomplete","Complete")</f>
        <v>Complete</v>
      </c>
      <c r="I23710" s="48" t="s">
        <v>28075</v>
      </c>
    </row>
    <row r="23711" spans="2:9" ht="15" customHeight="1" x14ac:dyDescent="0.25">
      <c r="B23711" s="55" t="s">
        <v>283</v>
      </c>
      <c r="C23711" s="46">
        <v>3699</v>
      </c>
      <c r="D23711" s="69" t="s">
        <v>29420</v>
      </c>
      <c r="E23711" s="51"/>
      <c r="F23711" s="114" t="str">
        <f>IF(INDEX(I.Facility.P4IDNumber,3699)="","",INDEX(I.Facility.P4IDNumber,3699))</f>
        <v/>
      </c>
      <c r="G23711" s="51"/>
      <c r="H23711" s="46" t="str">
        <f>IF(AND(I.Developer.P4=TRUE,I.Facility.P4FacilityCount&gt;=3699,F23711=""),"Incomplete","Complete")</f>
        <v>Complete</v>
      </c>
      <c r="I23711" s="48" t="s">
        <v>28076</v>
      </c>
    </row>
    <row r="23712" spans="2:9" ht="15" customHeight="1" x14ac:dyDescent="0.25">
      <c r="B23712" s="55" t="s">
        <v>283</v>
      </c>
      <c r="C23712" s="46">
        <v>3700</v>
      </c>
      <c r="D23712" s="69" t="s">
        <v>29420</v>
      </c>
      <c r="E23712" s="51"/>
      <c r="F23712" s="114" t="str">
        <f>IF(INDEX(I.Facility.P4IDNumber,3700)="","",INDEX(I.Facility.P4IDNumber,3700))</f>
        <v/>
      </c>
      <c r="G23712" s="51"/>
      <c r="H23712" s="46" t="str">
        <f>IF(AND(I.Developer.P4=TRUE,I.Facility.P4FacilityCount&gt;=3700,F23712=""),"Incomplete","Complete")</f>
        <v>Complete</v>
      </c>
      <c r="I23712" s="48" t="s">
        <v>28077</v>
      </c>
    </row>
    <row r="23713" spans="2:9" ht="15" customHeight="1" x14ac:dyDescent="0.25">
      <c r="B23713" s="55" t="s">
        <v>283</v>
      </c>
      <c r="C23713" s="46">
        <v>3701</v>
      </c>
      <c r="D23713" s="69" t="s">
        <v>29420</v>
      </c>
      <c r="E23713" s="51"/>
      <c r="F23713" s="114" t="str">
        <f>IF(INDEX(I.Facility.P4IDNumber,3701)="","",INDEX(I.Facility.P4IDNumber,3701))</f>
        <v/>
      </c>
      <c r="G23713" s="51"/>
      <c r="H23713" s="46" t="str">
        <f>IF(AND(I.Developer.P4=TRUE,I.Facility.P4FacilityCount&gt;=3701,F23713=""),"Incomplete","Complete")</f>
        <v>Complete</v>
      </c>
      <c r="I23713" s="48" t="s">
        <v>28078</v>
      </c>
    </row>
    <row r="23714" spans="2:9" ht="15" customHeight="1" x14ac:dyDescent="0.25">
      <c r="B23714" s="55" t="s">
        <v>283</v>
      </c>
      <c r="C23714" s="46">
        <v>3702</v>
      </c>
      <c r="D23714" s="69" t="s">
        <v>29420</v>
      </c>
      <c r="E23714" s="51"/>
      <c r="F23714" s="114" t="str">
        <f>IF(INDEX(I.Facility.P4IDNumber,3702)="","",INDEX(I.Facility.P4IDNumber,3702))</f>
        <v/>
      </c>
      <c r="G23714" s="51"/>
      <c r="H23714" s="46" t="str">
        <f>IF(AND(I.Developer.P4=TRUE,I.Facility.P4FacilityCount&gt;=3702,F23714=""),"Incomplete","Complete")</f>
        <v>Complete</v>
      </c>
      <c r="I23714" s="48" t="s">
        <v>28079</v>
      </c>
    </row>
    <row r="23715" spans="2:9" ht="15" customHeight="1" x14ac:dyDescent="0.25">
      <c r="B23715" s="55" t="s">
        <v>283</v>
      </c>
      <c r="C23715" s="46">
        <v>3703</v>
      </c>
      <c r="D23715" s="69" t="s">
        <v>29420</v>
      </c>
      <c r="E23715" s="51"/>
      <c r="F23715" s="114" t="str">
        <f>IF(INDEX(I.Facility.P4IDNumber,3703)="","",INDEX(I.Facility.P4IDNumber,3703))</f>
        <v/>
      </c>
      <c r="G23715" s="51"/>
      <c r="H23715" s="46" t="str">
        <f>IF(AND(I.Developer.P4=TRUE,I.Facility.P4FacilityCount&gt;=3703,F23715=""),"Incomplete","Complete")</f>
        <v>Complete</v>
      </c>
      <c r="I23715" s="48" t="s">
        <v>28080</v>
      </c>
    </row>
    <row r="23716" spans="2:9" ht="15" customHeight="1" x14ac:dyDescent="0.25">
      <c r="B23716" s="55" t="s">
        <v>283</v>
      </c>
      <c r="C23716" s="46">
        <v>3704</v>
      </c>
      <c r="D23716" s="69" t="s">
        <v>29420</v>
      </c>
      <c r="E23716" s="51"/>
      <c r="F23716" s="114" t="str">
        <f>IF(INDEX(I.Facility.P4IDNumber,3704)="","",INDEX(I.Facility.P4IDNumber,3704))</f>
        <v/>
      </c>
      <c r="G23716" s="51"/>
      <c r="H23716" s="46" t="str">
        <f>IF(AND(I.Developer.P4=TRUE,I.Facility.P4FacilityCount&gt;=3704,F23716=""),"Incomplete","Complete")</f>
        <v>Complete</v>
      </c>
      <c r="I23716" s="48" t="s">
        <v>28081</v>
      </c>
    </row>
    <row r="23717" spans="2:9" ht="15" customHeight="1" x14ac:dyDescent="0.25">
      <c r="B23717" s="55" t="s">
        <v>283</v>
      </c>
      <c r="C23717" s="46">
        <v>3705</v>
      </c>
      <c r="D23717" s="69" t="s">
        <v>29420</v>
      </c>
      <c r="E23717" s="51"/>
      <c r="F23717" s="114" t="str">
        <f>IF(INDEX(I.Facility.P4IDNumber,3705)="","",INDEX(I.Facility.P4IDNumber,3705))</f>
        <v/>
      </c>
      <c r="G23717" s="51"/>
      <c r="H23717" s="46" t="str">
        <f>IF(AND(I.Developer.P4=TRUE,I.Facility.P4FacilityCount&gt;=3705,F23717=""),"Incomplete","Complete")</f>
        <v>Complete</v>
      </c>
      <c r="I23717" s="48" t="s">
        <v>28082</v>
      </c>
    </row>
    <row r="23718" spans="2:9" ht="15" customHeight="1" x14ac:dyDescent="0.25">
      <c r="B23718" s="55" t="s">
        <v>283</v>
      </c>
      <c r="C23718" s="46">
        <v>3706</v>
      </c>
      <c r="D23718" s="69" t="s">
        <v>29420</v>
      </c>
      <c r="E23718" s="51"/>
      <c r="F23718" s="114" t="str">
        <f>IF(INDEX(I.Facility.P4IDNumber,3706)="","",INDEX(I.Facility.P4IDNumber,3706))</f>
        <v/>
      </c>
      <c r="G23718" s="51"/>
      <c r="H23718" s="46" t="str">
        <f>IF(AND(I.Developer.P4=TRUE,I.Facility.P4FacilityCount&gt;=3706,F23718=""),"Incomplete","Complete")</f>
        <v>Complete</v>
      </c>
      <c r="I23718" s="48" t="s">
        <v>28083</v>
      </c>
    </row>
    <row r="23719" spans="2:9" ht="15" customHeight="1" x14ac:dyDescent="0.25">
      <c r="B23719" s="55" t="s">
        <v>283</v>
      </c>
      <c r="C23719" s="46">
        <v>3707</v>
      </c>
      <c r="D23719" s="69" t="s">
        <v>29420</v>
      </c>
      <c r="E23719" s="51"/>
      <c r="F23719" s="114" t="str">
        <f>IF(INDEX(I.Facility.P4IDNumber,3707)="","",INDEX(I.Facility.P4IDNumber,3707))</f>
        <v/>
      </c>
      <c r="G23719" s="51"/>
      <c r="H23719" s="46" t="str">
        <f>IF(AND(I.Developer.P4=TRUE,I.Facility.P4FacilityCount&gt;=3707,F23719=""),"Incomplete","Complete")</f>
        <v>Complete</v>
      </c>
      <c r="I23719" s="48" t="s">
        <v>28084</v>
      </c>
    </row>
    <row r="23720" spans="2:9" ht="15" customHeight="1" x14ac:dyDescent="0.25">
      <c r="B23720" s="55" t="s">
        <v>283</v>
      </c>
      <c r="C23720" s="46">
        <v>3708</v>
      </c>
      <c r="D23720" s="69" t="s">
        <v>29420</v>
      </c>
      <c r="E23720" s="51"/>
      <c r="F23720" s="114" t="str">
        <f>IF(INDEX(I.Facility.P4IDNumber,3708)="","",INDEX(I.Facility.P4IDNumber,3708))</f>
        <v/>
      </c>
      <c r="G23720" s="51"/>
      <c r="H23720" s="46" t="str">
        <f>IF(AND(I.Developer.P4=TRUE,I.Facility.P4FacilityCount&gt;=3708,F23720=""),"Incomplete","Complete")</f>
        <v>Complete</v>
      </c>
      <c r="I23720" s="48" t="s">
        <v>28085</v>
      </c>
    </row>
    <row r="23721" spans="2:9" ht="15" customHeight="1" x14ac:dyDescent="0.25">
      <c r="B23721" s="55" t="s">
        <v>283</v>
      </c>
      <c r="C23721" s="46">
        <v>3709</v>
      </c>
      <c r="D23721" s="69" t="s">
        <v>29420</v>
      </c>
      <c r="E23721" s="51"/>
      <c r="F23721" s="114" t="str">
        <f>IF(INDEX(I.Facility.P4IDNumber,3709)="","",INDEX(I.Facility.P4IDNumber,3709))</f>
        <v/>
      </c>
      <c r="G23721" s="51"/>
      <c r="H23721" s="46" t="str">
        <f>IF(AND(I.Developer.P4=TRUE,I.Facility.P4FacilityCount&gt;=3709,F23721=""),"Incomplete","Complete")</f>
        <v>Complete</v>
      </c>
      <c r="I23721" s="48" t="s">
        <v>28086</v>
      </c>
    </row>
    <row r="23722" spans="2:9" ht="15" customHeight="1" x14ac:dyDescent="0.25">
      <c r="B23722" s="55" t="s">
        <v>283</v>
      </c>
      <c r="C23722" s="46">
        <v>3710</v>
      </c>
      <c r="D23722" s="69" t="s">
        <v>29420</v>
      </c>
      <c r="E23722" s="51"/>
      <c r="F23722" s="114" t="str">
        <f>IF(INDEX(I.Facility.P4IDNumber,3710)="","",INDEX(I.Facility.P4IDNumber,3710))</f>
        <v/>
      </c>
      <c r="G23722" s="51"/>
      <c r="H23722" s="46" t="str">
        <f>IF(AND(I.Developer.P4=TRUE,I.Facility.P4FacilityCount&gt;=3710,F23722=""),"Incomplete","Complete")</f>
        <v>Complete</v>
      </c>
      <c r="I23722" s="48" t="s">
        <v>28087</v>
      </c>
    </row>
    <row r="23723" spans="2:9" ht="15" customHeight="1" x14ac:dyDescent="0.25">
      <c r="B23723" s="55" t="s">
        <v>283</v>
      </c>
      <c r="C23723" s="46">
        <v>3711</v>
      </c>
      <c r="D23723" s="69" t="s">
        <v>29420</v>
      </c>
      <c r="E23723" s="51"/>
      <c r="F23723" s="114" t="str">
        <f>IF(INDEX(I.Facility.P4IDNumber,3711)="","",INDEX(I.Facility.P4IDNumber,3711))</f>
        <v/>
      </c>
      <c r="G23723" s="51"/>
      <c r="H23723" s="46" t="str">
        <f>IF(AND(I.Developer.P4=TRUE,I.Facility.P4FacilityCount&gt;=3711,F23723=""),"Incomplete","Complete")</f>
        <v>Complete</v>
      </c>
      <c r="I23723" s="48" t="s">
        <v>28088</v>
      </c>
    </row>
    <row r="23724" spans="2:9" ht="15" customHeight="1" x14ac:dyDescent="0.25">
      <c r="B23724" s="55" t="s">
        <v>283</v>
      </c>
      <c r="C23724" s="46">
        <v>3712</v>
      </c>
      <c r="D23724" s="69" t="s">
        <v>29420</v>
      </c>
      <c r="E23724" s="51"/>
      <c r="F23724" s="114" t="str">
        <f>IF(INDEX(I.Facility.P4IDNumber,3712)="","",INDEX(I.Facility.P4IDNumber,3712))</f>
        <v/>
      </c>
      <c r="G23724" s="51"/>
      <c r="H23724" s="46" t="str">
        <f>IF(AND(I.Developer.P4=TRUE,I.Facility.P4FacilityCount&gt;=3712,F23724=""),"Incomplete","Complete")</f>
        <v>Complete</v>
      </c>
      <c r="I23724" s="48" t="s">
        <v>28089</v>
      </c>
    </row>
    <row r="23725" spans="2:9" ht="15" customHeight="1" x14ac:dyDescent="0.25">
      <c r="B23725" s="55" t="s">
        <v>283</v>
      </c>
      <c r="C23725" s="46">
        <v>3713</v>
      </c>
      <c r="D23725" s="69" t="s">
        <v>29420</v>
      </c>
      <c r="E23725" s="51"/>
      <c r="F23725" s="114" t="str">
        <f>IF(INDEX(I.Facility.P4IDNumber,3713)="","",INDEX(I.Facility.P4IDNumber,3713))</f>
        <v/>
      </c>
      <c r="G23725" s="51"/>
      <c r="H23725" s="46" t="str">
        <f>IF(AND(I.Developer.P4=TRUE,I.Facility.P4FacilityCount&gt;=3713,F23725=""),"Incomplete","Complete")</f>
        <v>Complete</v>
      </c>
      <c r="I23725" s="48" t="s">
        <v>28090</v>
      </c>
    </row>
    <row r="23726" spans="2:9" ht="15" customHeight="1" x14ac:dyDescent="0.25">
      <c r="B23726" s="55" t="s">
        <v>283</v>
      </c>
      <c r="C23726" s="46">
        <v>3714</v>
      </c>
      <c r="D23726" s="69" t="s">
        <v>29420</v>
      </c>
      <c r="E23726" s="51"/>
      <c r="F23726" s="114" t="str">
        <f>IF(INDEX(I.Facility.P4IDNumber,3714)="","",INDEX(I.Facility.P4IDNumber,3714))</f>
        <v/>
      </c>
      <c r="G23726" s="51"/>
      <c r="H23726" s="46" t="str">
        <f>IF(AND(I.Developer.P4=TRUE,I.Facility.P4FacilityCount&gt;=3714,F23726=""),"Incomplete","Complete")</f>
        <v>Complete</v>
      </c>
      <c r="I23726" s="48" t="s">
        <v>28091</v>
      </c>
    </row>
    <row r="23727" spans="2:9" ht="15" customHeight="1" x14ac:dyDescent="0.25">
      <c r="B23727" s="55" t="s">
        <v>283</v>
      </c>
      <c r="C23727" s="46">
        <v>3715</v>
      </c>
      <c r="D23727" s="69" t="s">
        <v>29420</v>
      </c>
      <c r="E23727" s="51"/>
      <c r="F23727" s="114" t="str">
        <f>IF(INDEX(I.Facility.P4IDNumber,3715)="","",INDEX(I.Facility.P4IDNumber,3715))</f>
        <v/>
      </c>
      <c r="G23727" s="51"/>
      <c r="H23727" s="46" t="str">
        <f>IF(AND(I.Developer.P4=TRUE,I.Facility.P4FacilityCount&gt;=3715,F23727=""),"Incomplete","Complete")</f>
        <v>Complete</v>
      </c>
      <c r="I23727" s="48" t="s">
        <v>28092</v>
      </c>
    </row>
    <row r="23728" spans="2:9" ht="15" customHeight="1" x14ac:dyDescent="0.25">
      <c r="B23728" s="55" t="s">
        <v>283</v>
      </c>
      <c r="C23728" s="46">
        <v>3716</v>
      </c>
      <c r="D23728" s="69" t="s">
        <v>29420</v>
      </c>
      <c r="E23728" s="51"/>
      <c r="F23728" s="114" t="str">
        <f>IF(INDEX(I.Facility.P4IDNumber,3716)="","",INDEX(I.Facility.P4IDNumber,3716))</f>
        <v/>
      </c>
      <c r="G23728" s="51"/>
      <c r="H23728" s="46" t="str">
        <f>IF(AND(I.Developer.P4=TRUE,I.Facility.P4FacilityCount&gt;=3716,F23728=""),"Incomplete","Complete")</f>
        <v>Complete</v>
      </c>
      <c r="I23728" s="48" t="s">
        <v>28093</v>
      </c>
    </row>
    <row r="23729" spans="2:9" ht="15" customHeight="1" x14ac:dyDescent="0.25">
      <c r="B23729" s="55" t="s">
        <v>283</v>
      </c>
      <c r="C23729" s="46">
        <v>3717</v>
      </c>
      <c r="D23729" s="69" t="s">
        <v>29420</v>
      </c>
      <c r="E23729" s="51"/>
      <c r="F23729" s="114" t="str">
        <f>IF(INDEX(I.Facility.P4IDNumber,3717)="","",INDEX(I.Facility.P4IDNumber,3717))</f>
        <v/>
      </c>
      <c r="G23729" s="51"/>
      <c r="H23729" s="46" t="str">
        <f>IF(AND(I.Developer.P4=TRUE,I.Facility.P4FacilityCount&gt;=3717,F23729=""),"Incomplete","Complete")</f>
        <v>Complete</v>
      </c>
      <c r="I23729" s="48" t="s">
        <v>28094</v>
      </c>
    </row>
    <row r="23730" spans="2:9" ht="15" customHeight="1" x14ac:dyDescent="0.25">
      <c r="B23730" s="55" t="s">
        <v>283</v>
      </c>
      <c r="C23730" s="46">
        <v>3718</v>
      </c>
      <c r="D23730" s="69" t="s">
        <v>29420</v>
      </c>
      <c r="E23730" s="51"/>
      <c r="F23730" s="114" t="str">
        <f>IF(INDEX(I.Facility.P4IDNumber,3718)="","",INDEX(I.Facility.P4IDNumber,3718))</f>
        <v/>
      </c>
      <c r="G23730" s="51"/>
      <c r="H23730" s="46" t="str">
        <f>IF(AND(I.Developer.P4=TRUE,I.Facility.P4FacilityCount&gt;=3718,F23730=""),"Incomplete","Complete")</f>
        <v>Complete</v>
      </c>
      <c r="I23730" s="48" t="s">
        <v>28095</v>
      </c>
    </row>
    <row r="23731" spans="2:9" ht="15" customHeight="1" x14ac:dyDescent="0.25">
      <c r="B23731" s="55" t="s">
        <v>283</v>
      </c>
      <c r="C23731" s="46">
        <v>3719</v>
      </c>
      <c r="D23731" s="69" t="s">
        <v>29420</v>
      </c>
      <c r="E23731" s="51"/>
      <c r="F23731" s="114" t="str">
        <f>IF(INDEX(I.Facility.P4IDNumber,3719)="","",INDEX(I.Facility.P4IDNumber,3719))</f>
        <v/>
      </c>
      <c r="G23731" s="51"/>
      <c r="H23731" s="46" t="str">
        <f>IF(AND(I.Developer.P4=TRUE,I.Facility.P4FacilityCount&gt;=3719,F23731=""),"Incomplete","Complete")</f>
        <v>Complete</v>
      </c>
      <c r="I23731" s="48" t="s">
        <v>28096</v>
      </c>
    </row>
    <row r="23732" spans="2:9" ht="15" customHeight="1" x14ac:dyDescent="0.25">
      <c r="B23732" s="55" t="s">
        <v>283</v>
      </c>
      <c r="C23732" s="46">
        <v>3720</v>
      </c>
      <c r="D23732" s="69" t="s">
        <v>29420</v>
      </c>
      <c r="E23732" s="51"/>
      <c r="F23732" s="114" t="str">
        <f>IF(INDEX(I.Facility.P4IDNumber,3720)="","",INDEX(I.Facility.P4IDNumber,3720))</f>
        <v/>
      </c>
      <c r="G23732" s="51"/>
      <c r="H23732" s="46" t="str">
        <f>IF(AND(I.Developer.P4=TRUE,I.Facility.P4FacilityCount&gt;=3720,F23732=""),"Incomplete","Complete")</f>
        <v>Complete</v>
      </c>
      <c r="I23732" s="48" t="s">
        <v>28097</v>
      </c>
    </row>
    <row r="23733" spans="2:9" ht="15" customHeight="1" x14ac:dyDescent="0.25">
      <c r="B23733" s="55" t="s">
        <v>283</v>
      </c>
      <c r="C23733" s="46">
        <v>3721</v>
      </c>
      <c r="D23733" s="69" t="s">
        <v>29420</v>
      </c>
      <c r="E23733" s="51"/>
      <c r="F23733" s="114" t="str">
        <f>IF(INDEX(I.Facility.P4IDNumber,3721)="","",INDEX(I.Facility.P4IDNumber,3721))</f>
        <v/>
      </c>
      <c r="G23733" s="51"/>
      <c r="H23733" s="46" t="str">
        <f>IF(AND(I.Developer.P4=TRUE,I.Facility.P4FacilityCount&gt;=3721,F23733=""),"Incomplete","Complete")</f>
        <v>Complete</v>
      </c>
      <c r="I23733" s="48" t="s">
        <v>28098</v>
      </c>
    </row>
    <row r="23734" spans="2:9" ht="15" customHeight="1" x14ac:dyDescent="0.25">
      <c r="B23734" s="55" t="s">
        <v>283</v>
      </c>
      <c r="C23734" s="46">
        <v>3722</v>
      </c>
      <c r="D23734" s="69" t="s">
        <v>29420</v>
      </c>
      <c r="E23734" s="51"/>
      <c r="F23734" s="114" t="str">
        <f>IF(INDEX(I.Facility.P4IDNumber,3722)="","",INDEX(I.Facility.P4IDNumber,3722))</f>
        <v/>
      </c>
      <c r="G23734" s="51"/>
      <c r="H23734" s="46" t="str">
        <f>IF(AND(I.Developer.P4=TRUE,I.Facility.P4FacilityCount&gt;=3722,F23734=""),"Incomplete","Complete")</f>
        <v>Complete</v>
      </c>
      <c r="I23734" s="48" t="s">
        <v>28099</v>
      </c>
    </row>
    <row r="23735" spans="2:9" ht="15" customHeight="1" x14ac:dyDescent="0.25">
      <c r="B23735" s="55" t="s">
        <v>283</v>
      </c>
      <c r="C23735" s="46">
        <v>3723</v>
      </c>
      <c r="D23735" s="69" t="s">
        <v>29420</v>
      </c>
      <c r="E23735" s="51"/>
      <c r="F23735" s="114" t="str">
        <f>IF(INDEX(I.Facility.P4IDNumber,3723)="","",INDEX(I.Facility.P4IDNumber,3723))</f>
        <v/>
      </c>
      <c r="G23735" s="51"/>
      <c r="H23735" s="46" t="str">
        <f>IF(AND(I.Developer.P4=TRUE,I.Facility.P4FacilityCount&gt;=3723,F23735=""),"Incomplete","Complete")</f>
        <v>Complete</v>
      </c>
      <c r="I23735" s="48" t="s">
        <v>28100</v>
      </c>
    </row>
    <row r="23736" spans="2:9" ht="15" customHeight="1" x14ac:dyDescent="0.25">
      <c r="B23736" s="55" t="s">
        <v>283</v>
      </c>
      <c r="C23736" s="46">
        <v>3724</v>
      </c>
      <c r="D23736" s="69" t="s">
        <v>29420</v>
      </c>
      <c r="E23736" s="51"/>
      <c r="F23736" s="114" t="str">
        <f>IF(INDEX(I.Facility.P4IDNumber,3724)="","",INDEX(I.Facility.P4IDNumber,3724))</f>
        <v/>
      </c>
      <c r="G23736" s="51"/>
      <c r="H23736" s="46" t="str">
        <f>IF(AND(I.Developer.P4=TRUE,I.Facility.P4FacilityCount&gt;=3724,F23736=""),"Incomplete","Complete")</f>
        <v>Complete</v>
      </c>
      <c r="I23736" s="48" t="s">
        <v>28101</v>
      </c>
    </row>
    <row r="23737" spans="2:9" ht="15" customHeight="1" x14ac:dyDescent="0.25">
      <c r="B23737" s="55" t="s">
        <v>283</v>
      </c>
      <c r="C23737" s="46">
        <v>3725</v>
      </c>
      <c r="D23737" s="69" t="s">
        <v>29420</v>
      </c>
      <c r="E23737" s="51"/>
      <c r="F23737" s="114" t="str">
        <f>IF(INDEX(I.Facility.P4IDNumber,3725)="","",INDEX(I.Facility.P4IDNumber,3725))</f>
        <v/>
      </c>
      <c r="G23737" s="51"/>
      <c r="H23737" s="46" t="str">
        <f>IF(AND(I.Developer.P4=TRUE,I.Facility.P4FacilityCount&gt;=3725,F23737=""),"Incomplete","Complete")</f>
        <v>Complete</v>
      </c>
      <c r="I23737" s="48" t="s">
        <v>28102</v>
      </c>
    </row>
    <row r="23738" spans="2:9" ht="15" customHeight="1" x14ac:dyDescent="0.25">
      <c r="B23738" s="55" t="s">
        <v>283</v>
      </c>
      <c r="C23738" s="46">
        <v>3726</v>
      </c>
      <c r="D23738" s="69" t="s">
        <v>29420</v>
      </c>
      <c r="E23738" s="51"/>
      <c r="F23738" s="114" t="str">
        <f>IF(INDEX(I.Facility.P4IDNumber,3726)="","",INDEX(I.Facility.P4IDNumber,3726))</f>
        <v/>
      </c>
      <c r="G23738" s="51"/>
      <c r="H23738" s="46" t="str">
        <f>IF(AND(I.Developer.P4=TRUE,I.Facility.P4FacilityCount&gt;=3726,F23738=""),"Incomplete","Complete")</f>
        <v>Complete</v>
      </c>
      <c r="I23738" s="48" t="s">
        <v>28103</v>
      </c>
    </row>
    <row r="23739" spans="2:9" ht="15" customHeight="1" x14ac:dyDescent="0.25">
      <c r="B23739" s="55" t="s">
        <v>283</v>
      </c>
      <c r="C23739" s="46">
        <v>3727</v>
      </c>
      <c r="D23739" s="69" t="s">
        <v>29420</v>
      </c>
      <c r="E23739" s="51"/>
      <c r="F23739" s="114" t="str">
        <f>IF(INDEX(I.Facility.P4IDNumber,3727)="","",INDEX(I.Facility.P4IDNumber,3727))</f>
        <v/>
      </c>
      <c r="G23739" s="51"/>
      <c r="H23739" s="46" t="str">
        <f>IF(AND(I.Developer.P4=TRUE,I.Facility.P4FacilityCount&gt;=3727,F23739=""),"Incomplete","Complete")</f>
        <v>Complete</v>
      </c>
      <c r="I23739" s="48" t="s">
        <v>28104</v>
      </c>
    </row>
    <row r="23740" spans="2:9" ht="15" customHeight="1" x14ac:dyDescent="0.25">
      <c r="B23740" s="55" t="s">
        <v>283</v>
      </c>
      <c r="C23740" s="46">
        <v>3728</v>
      </c>
      <c r="D23740" s="69" t="s">
        <v>29420</v>
      </c>
      <c r="E23740" s="51"/>
      <c r="F23740" s="114" t="str">
        <f>IF(INDEX(I.Facility.P4IDNumber,3728)="","",INDEX(I.Facility.P4IDNumber,3728))</f>
        <v/>
      </c>
      <c r="G23740" s="51"/>
      <c r="H23740" s="46" t="str">
        <f>IF(AND(I.Developer.P4=TRUE,I.Facility.P4FacilityCount&gt;=3728,F23740=""),"Incomplete","Complete")</f>
        <v>Complete</v>
      </c>
      <c r="I23740" s="48" t="s">
        <v>28105</v>
      </c>
    </row>
    <row r="23741" spans="2:9" ht="15" customHeight="1" x14ac:dyDescent="0.25">
      <c r="B23741" s="55" t="s">
        <v>283</v>
      </c>
      <c r="C23741" s="46">
        <v>3729</v>
      </c>
      <c r="D23741" s="69" t="s">
        <v>29420</v>
      </c>
      <c r="E23741" s="51"/>
      <c r="F23741" s="114" t="str">
        <f>IF(INDEX(I.Facility.P4IDNumber,3729)="","",INDEX(I.Facility.P4IDNumber,3729))</f>
        <v/>
      </c>
      <c r="G23741" s="51"/>
      <c r="H23741" s="46" t="str">
        <f>IF(AND(I.Developer.P4=TRUE,I.Facility.P4FacilityCount&gt;=3729,F23741=""),"Incomplete","Complete")</f>
        <v>Complete</v>
      </c>
      <c r="I23741" s="48" t="s">
        <v>28106</v>
      </c>
    </row>
    <row r="23742" spans="2:9" ht="15" customHeight="1" x14ac:dyDescent="0.25">
      <c r="B23742" s="55" t="s">
        <v>283</v>
      </c>
      <c r="C23742" s="46">
        <v>3730</v>
      </c>
      <c r="D23742" s="69" t="s">
        <v>29420</v>
      </c>
      <c r="E23742" s="51"/>
      <c r="F23742" s="114" t="str">
        <f>IF(INDEX(I.Facility.P4IDNumber,3730)="","",INDEX(I.Facility.P4IDNumber,3730))</f>
        <v/>
      </c>
      <c r="G23742" s="51"/>
      <c r="H23742" s="46" t="str">
        <f>IF(AND(I.Developer.P4=TRUE,I.Facility.P4FacilityCount&gt;=3730,F23742=""),"Incomplete","Complete")</f>
        <v>Complete</v>
      </c>
      <c r="I23742" s="48" t="s">
        <v>28107</v>
      </c>
    </row>
    <row r="23743" spans="2:9" ht="15" customHeight="1" x14ac:dyDescent="0.25">
      <c r="B23743" s="55" t="s">
        <v>283</v>
      </c>
      <c r="C23743" s="46">
        <v>3731</v>
      </c>
      <c r="D23743" s="69" t="s">
        <v>29420</v>
      </c>
      <c r="E23743" s="51"/>
      <c r="F23743" s="114" t="str">
        <f>IF(INDEX(I.Facility.P4IDNumber,3731)="","",INDEX(I.Facility.P4IDNumber,3731))</f>
        <v/>
      </c>
      <c r="G23743" s="51"/>
      <c r="H23743" s="46" t="str">
        <f>IF(AND(I.Developer.P4=TRUE,I.Facility.P4FacilityCount&gt;=3731,F23743=""),"Incomplete","Complete")</f>
        <v>Complete</v>
      </c>
      <c r="I23743" s="48" t="s">
        <v>28108</v>
      </c>
    </row>
    <row r="23744" spans="2:9" ht="15" customHeight="1" x14ac:dyDescent="0.25">
      <c r="B23744" s="55" t="s">
        <v>283</v>
      </c>
      <c r="C23744" s="46">
        <v>3732</v>
      </c>
      <c r="D23744" s="69" t="s">
        <v>29420</v>
      </c>
      <c r="E23744" s="51"/>
      <c r="F23744" s="114" t="str">
        <f>IF(INDEX(I.Facility.P4IDNumber,3732)="","",INDEX(I.Facility.P4IDNumber,3732))</f>
        <v/>
      </c>
      <c r="G23744" s="51"/>
      <c r="H23744" s="46" t="str">
        <f>IF(AND(I.Developer.P4=TRUE,I.Facility.P4FacilityCount&gt;=3732,F23744=""),"Incomplete","Complete")</f>
        <v>Complete</v>
      </c>
      <c r="I23744" s="48" t="s">
        <v>28109</v>
      </c>
    </row>
    <row r="23745" spans="2:9" ht="15" customHeight="1" x14ac:dyDescent="0.25">
      <c r="B23745" s="55" t="s">
        <v>283</v>
      </c>
      <c r="C23745" s="46">
        <v>3733</v>
      </c>
      <c r="D23745" s="69" t="s">
        <v>29420</v>
      </c>
      <c r="E23745" s="51"/>
      <c r="F23745" s="114" t="str">
        <f>IF(INDEX(I.Facility.P4IDNumber,3733)="","",INDEX(I.Facility.P4IDNumber,3733))</f>
        <v/>
      </c>
      <c r="G23745" s="51"/>
      <c r="H23745" s="46" t="str">
        <f>IF(AND(I.Developer.P4=TRUE,I.Facility.P4FacilityCount&gt;=3733,F23745=""),"Incomplete","Complete")</f>
        <v>Complete</v>
      </c>
      <c r="I23745" s="48" t="s">
        <v>28110</v>
      </c>
    </row>
    <row r="23746" spans="2:9" ht="15" customHeight="1" x14ac:dyDescent="0.25">
      <c r="B23746" s="55" t="s">
        <v>283</v>
      </c>
      <c r="C23746" s="46">
        <v>3734</v>
      </c>
      <c r="D23746" s="69" t="s">
        <v>29420</v>
      </c>
      <c r="E23746" s="51"/>
      <c r="F23746" s="114" t="str">
        <f>IF(INDEX(I.Facility.P4IDNumber,3734)="","",INDEX(I.Facility.P4IDNumber,3734))</f>
        <v/>
      </c>
      <c r="G23746" s="51"/>
      <c r="H23746" s="46" t="str">
        <f>IF(AND(I.Developer.P4=TRUE,I.Facility.P4FacilityCount&gt;=3734,F23746=""),"Incomplete","Complete")</f>
        <v>Complete</v>
      </c>
      <c r="I23746" s="48" t="s">
        <v>28111</v>
      </c>
    </row>
    <row r="23747" spans="2:9" ht="15" customHeight="1" x14ac:dyDescent="0.25">
      <c r="B23747" s="55" t="s">
        <v>283</v>
      </c>
      <c r="C23747" s="46">
        <v>3735</v>
      </c>
      <c r="D23747" s="69" t="s">
        <v>29420</v>
      </c>
      <c r="E23747" s="51"/>
      <c r="F23747" s="114" t="str">
        <f>IF(INDEX(I.Facility.P4IDNumber,3735)="","",INDEX(I.Facility.P4IDNumber,3735))</f>
        <v/>
      </c>
      <c r="G23747" s="51"/>
      <c r="H23747" s="46" t="str">
        <f>IF(AND(I.Developer.P4=TRUE,I.Facility.P4FacilityCount&gt;=3735,F23747=""),"Incomplete","Complete")</f>
        <v>Complete</v>
      </c>
      <c r="I23747" s="48" t="s">
        <v>28112</v>
      </c>
    </row>
    <row r="23748" spans="2:9" ht="15" customHeight="1" x14ac:dyDescent="0.25">
      <c r="B23748" s="55" t="s">
        <v>283</v>
      </c>
      <c r="C23748" s="46">
        <v>3736</v>
      </c>
      <c r="D23748" s="69" t="s">
        <v>29420</v>
      </c>
      <c r="E23748" s="51"/>
      <c r="F23748" s="114" t="str">
        <f>IF(INDEX(I.Facility.P4IDNumber,3736)="","",INDEX(I.Facility.P4IDNumber,3736))</f>
        <v/>
      </c>
      <c r="G23748" s="51"/>
      <c r="H23748" s="46" t="str">
        <f>IF(AND(I.Developer.P4=TRUE,I.Facility.P4FacilityCount&gt;=3736,F23748=""),"Incomplete","Complete")</f>
        <v>Complete</v>
      </c>
      <c r="I23748" s="48" t="s">
        <v>28113</v>
      </c>
    </row>
    <row r="23749" spans="2:9" ht="15" customHeight="1" x14ac:dyDescent="0.25">
      <c r="B23749" s="55" t="s">
        <v>283</v>
      </c>
      <c r="C23749" s="46">
        <v>3737</v>
      </c>
      <c r="D23749" s="69" t="s">
        <v>29420</v>
      </c>
      <c r="E23749" s="51"/>
      <c r="F23749" s="114" t="str">
        <f>IF(INDEX(I.Facility.P4IDNumber,3737)="","",INDEX(I.Facility.P4IDNumber,3737))</f>
        <v/>
      </c>
      <c r="G23749" s="51"/>
      <c r="H23749" s="46" t="str">
        <f>IF(AND(I.Developer.P4=TRUE,I.Facility.P4FacilityCount&gt;=3737,F23749=""),"Incomplete","Complete")</f>
        <v>Complete</v>
      </c>
      <c r="I23749" s="48" t="s">
        <v>28114</v>
      </c>
    </row>
    <row r="23750" spans="2:9" ht="15" customHeight="1" x14ac:dyDescent="0.25">
      <c r="B23750" s="55" t="s">
        <v>283</v>
      </c>
      <c r="C23750" s="46">
        <v>3738</v>
      </c>
      <c r="D23750" s="69" t="s">
        <v>29420</v>
      </c>
      <c r="E23750" s="51"/>
      <c r="F23750" s="114" t="str">
        <f>IF(INDEX(I.Facility.P4IDNumber,3738)="","",INDEX(I.Facility.P4IDNumber,3738))</f>
        <v/>
      </c>
      <c r="G23750" s="51"/>
      <c r="H23750" s="46" t="str">
        <f>IF(AND(I.Developer.P4=TRUE,I.Facility.P4FacilityCount&gt;=3738,F23750=""),"Incomplete","Complete")</f>
        <v>Complete</v>
      </c>
      <c r="I23750" s="48" t="s">
        <v>28115</v>
      </c>
    </row>
    <row r="23751" spans="2:9" ht="15" customHeight="1" x14ac:dyDescent="0.25">
      <c r="B23751" s="55" t="s">
        <v>283</v>
      </c>
      <c r="C23751" s="46">
        <v>3739</v>
      </c>
      <c r="D23751" s="69" t="s">
        <v>29420</v>
      </c>
      <c r="E23751" s="51"/>
      <c r="F23751" s="114" t="str">
        <f>IF(INDEX(I.Facility.P4IDNumber,3739)="","",INDEX(I.Facility.P4IDNumber,3739))</f>
        <v/>
      </c>
      <c r="G23751" s="51"/>
      <c r="H23751" s="46" t="str">
        <f>IF(AND(I.Developer.P4=TRUE,I.Facility.P4FacilityCount&gt;=3739,F23751=""),"Incomplete","Complete")</f>
        <v>Complete</v>
      </c>
      <c r="I23751" s="48" t="s">
        <v>28116</v>
      </c>
    </row>
    <row r="23752" spans="2:9" ht="15" customHeight="1" x14ac:dyDescent="0.25">
      <c r="B23752" s="55" t="s">
        <v>283</v>
      </c>
      <c r="C23752" s="46">
        <v>3740</v>
      </c>
      <c r="D23752" s="69" t="s">
        <v>29420</v>
      </c>
      <c r="E23752" s="51"/>
      <c r="F23752" s="114" t="str">
        <f>IF(INDEX(I.Facility.P4IDNumber,3740)="","",INDEX(I.Facility.P4IDNumber,3740))</f>
        <v/>
      </c>
      <c r="G23752" s="51"/>
      <c r="H23752" s="46" t="str">
        <f>IF(AND(I.Developer.P4=TRUE,I.Facility.P4FacilityCount&gt;=3740,F23752=""),"Incomplete","Complete")</f>
        <v>Complete</v>
      </c>
      <c r="I23752" s="48" t="s">
        <v>28117</v>
      </c>
    </row>
    <row r="23753" spans="2:9" ht="15" customHeight="1" x14ac:dyDescent="0.25">
      <c r="B23753" s="55" t="s">
        <v>283</v>
      </c>
      <c r="C23753" s="46">
        <v>3741</v>
      </c>
      <c r="D23753" s="69" t="s">
        <v>29420</v>
      </c>
      <c r="E23753" s="51"/>
      <c r="F23753" s="114" t="str">
        <f>IF(INDEX(I.Facility.P4IDNumber,3741)="","",INDEX(I.Facility.P4IDNumber,3741))</f>
        <v/>
      </c>
      <c r="G23753" s="51"/>
      <c r="H23753" s="46" t="str">
        <f>IF(AND(I.Developer.P4=TRUE,I.Facility.P4FacilityCount&gt;=3741,F23753=""),"Incomplete","Complete")</f>
        <v>Complete</v>
      </c>
      <c r="I23753" s="48" t="s">
        <v>28118</v>
      </c>
    </row>
    <row r="23754" spans="2:9" ht="15" customHeight="1" x14ac:dyDescent="0.25">
      <c r="B23754" s="55" t="s">
        <v>283</v>
      </c>
      <c r="C23754" s="46">
        <v>3742</v>
      </c>
      <c r="D23754" s="69" t="s">
        <v>29420</v>
      </c>
      <c r="E23754" s="51"/>
      <c r="F23754" s="114" t="str">
        <f>IF(INDEX(I.Facility.P4IDNumber,3742)="","",INDEX(I.Facility.P4IDNumber,3742))</f>
        <v/>
      </c>
      <c r="G23754" s="51"/>
      <c r="H23754" s="46" t="str">
        <f>IF(AND(I.Developer.P4=TRUE,I.Facility.P4FacilityCount&gt;=3742,F23754=""),"Incomplete","Complete")</f>
        <v>Complete</v>
      </c>
      <c r="I23754" s="48" t="s">
        <v>28119</v>
      </c>
    </row>
    <row r="23755" spans="2:9" ht="15" customHeight="1" x14ac:dyDescent="0.25">
      <c r="B23755" s="55" t="s">
        <v>283</v>
      </c>
      <c r="C23755" s="46">
        <v>3743</v>
      </c>
      <c r="D23755" s="69" t="s">
        <v>29420</v>
      </c>
      <c r="E23755" s="51"/>
      <c r="F23755" s="114" t="str">
        <f>IF(INDEX(I.Facility.P4IDNumber,3743)="","",INDEX(I.Facility.P4IDNumber,3743))</f>
        <v/>
      </c>
      <c r="G23755" s="51"/>
      <c r="H23755" s="46" t="str">
        <f>IF(AND(I.Developer.P4=TRUE,I.Facility.P4FacilityCount&gt;=3743,F23755=""),"Incomplete","Complete")</f>
        <v>Complete</v>
      </c>
      <c r="I23755" s="48" t="s">
        <v>28120</v>
      </c>
    </row>
    <row r="23756" spans="2:9" ht="15" customHeight="1" x14ac:dyDescent="0.25">
      <c r="B23756" s="55" t="s">
        <v>283</v>
      </c>
      <c r="C23756" s="46">
        <v>3744</v>
      </c>
      <c r="D23756" s="69" t="s">
        <v>29420</v>
      </c>
      <c r="E23756" s="51"/>
      <c r="F23756" s="114" t="str">
        <f>IF(INDEX(I.Facility.P4IDNumber,3744)="","",INDEX(I.Facility.P4IDNumber,3744))</f>
        <v/>
      </c>
      <c r="G23756" s="51"/>
      <c r="H23756" s="46" t="str">
        <f>IF(AND(I.Developer.P4=TRUE,I.Facility.P4FacilityCount&gt;=3744,F23756=""),"Incomplete","Complete")</f>
        <v>Complete</v>
      </c>
      <c r="I23756" s="48" t="s">
        <v>28121</v>
      </c>
    </row>
    <row r="23757" spans="2:9" ht="15" customHeight="1" x14ac:dyDescent="0.25">
      <c r="B23757" s="55" t="s">
        <v>283</v>
      </c>
      <c r="C23757" s="46">
        <v>3745</v>
      </c>
      <c r="D23757" s="69" t="s">
        <v>29420</v>
      </c>
      <c r="E23757" s="51"/>
      <c r="F23757" s="114" t="str">
        <f>IF(INDEX(I.Facility.P4IDNumber,3745)="","",INDEX(I.Facility.P4IDNumber,3745))</f>
        <v/>
      </c>
      <c r="G23757" s="51"/>
      <c r="H23757" s="46" t="str">
        <f>IF(AND(I.Developer.P4=TRUE,I.Facility.P4FacilityCount&gt;=3745,F23757=""),"Incomplete","Complete")</f>
        <v>Complete</v>
      </c>
      <c r="I23757" s="48" t="s">
        <v>28122</v>
      </c>
    </row>
    <row r="23758" spans="2:9" ht="15" customHeight="1" x14ac:dyDescent="0.25">
      <c r="B23758" s="55" t="s">
        <v>283</v>
      </c>
      <c r="C23758" s="46">
        <v>3746</v>
      </c>
      <c r="D23758" s="69" t="s">
        <v>29420</v>
      </c>
      <c r="E23758" s="51"/>
      <c r="F23758" s="114" t="str">
        <f>IF(INDEX(I.Facility.P4IDNumber,3746)="","",INDEX(I.Facility.P4IDNumber,3746))</f>
        <v/>
      </c>
      <c r="G23758" s="51"/>
      <c r="H23758" s="46" t="str">
        <f>IF(AND(I.Developer.P4=TRUE,I.Facility.P4FacilityCount&gt;=3746,F23758=""),"Incomplete","Complete")</f>
        <v>Complete</v>
      </c>
      <c r="I23758" s="48" t="s">
        <v>28123</v>
      </c>
    </row>
    <row r="23759" spans="2:9" ht="15" customHeight="1" x14ac:dyDescent="0.25">
      <c r="B23759" s="55" t="s">
        <v>283</v>
      </c>
      <c r="C23759" s="46">
        <v>3747</v>
      </c>
      <c r="D23759" s="69" t="s">
        <v>29420</v>
      </c>
      <c r="E23759" s="51"/>
      <c r="F23759" s="114" t="str">
        <f>IF(INDEX(I.Facility.P4IDNumber,3747)="","",INDEX(I.Facility.P4IDNumber,3747))</f>
        <v/>
      </c>
      <c r="G23759" s="51"/>
      <c r="H23759" s="46" t="str">
        <f>IF(AND(I.Developer.P4=TRUE,I.Facility.P4FacilityCount&gt;=3747,F23759=""),"Incomplete","Complete")</f>
        <v>Complete</v>
      </c>
      <c r="I23759" s="48" t="s">
        <v>28124</v>
      </c>
    </row>
    <row r="23760" spans="2:9" ht="15" customHeight="1" x14ac:dyDescent="0.25">
      <c r="B23760" s="55" t="s">
        <v>283</v>
      </c>
      <c r="C23760" s="46">
        <v>3748</v>
      </c>
      <c r="D23760" s="69" t="s">
        <v>29420</v>
      </c>
      <c r="E23760" s="51"/>
      <c r="F23760" s="114" t="str">
        <f>IF(INDEX(I.Facility.P4IDNumber,3748)="","",INDEX(I.Facility.P4IDNumber,3748))</f>
        <v/>
      </c>
      <c r="G23760" s="51"/>
      <c r="H23760" s="46" t="str">
        <f>IF(AND(I.Developer.P4=TRUE,I.Facility.P4FacilityCount&gt;=3748,F23760=""),"Incomplete","Complete")</f>
        <v>Complete</v>
      </c>
      <c r="I23760" s="48" t="s">
        <v>28125</v>
      </c>
    </row>
    <row r="23761" spans="2:9" ht="15" customHeight="1" x14ac:dyDescent="0.25">
      <c r="B23761" s="55" t="s">
        <v>283</v>
      </c>
      <c r="C23761" s="46">
        <v>3749</v>
      </c>
      <c r="D23761" s="69" t="s">
        <v>29420</v>
      </c>
      <c r="E23761" s="51"/>
      <c r="F23761" s="114" t="str">
        <f>IF(INDEX(I.Facility.P4IDNumber,3749)="","",INDEX(I.Facility.P4IDNumber,3749))</f>
        <v/>
      </c>
      <c r="G23761" s="51"/>
      <c r="H23761" s="46" t="str">
        <f>IF(AND(I.Developer.P4=TRUE,I.Facility.P4FacilityCount&gt;=3749,F23761=""),"Incomplete","Complete")</f>
        <v>Complete</v>
      </c>
      <c r="I23761" s="48" t="s">
        <v>28126</v>
      </c>
    </row>
    <row r="23762" spans="2:9" ht="15" customHeight="1" x14ac:dyDescent="0.25">
      <c r="B23762" s="55" t="s">
        <v>283</v>
      </c>
      <c r="C23762" s="46">
        <v>3750</v>
      </c>
      <c r="D23762" s="69" t="s">
        <v>29420</v>
      </c>
      <c r="E23762" s="51"/>
      <c r="F23762" s="114" t="str">
        <f>IF(INDEX(I.Facility.P4IDNumber,3750)="","",INDEX(I.Facility.P4IDNumber,3750))</f>
        <v/>
      </c>
      <c r="G23762" s="51"/>
      <c r="H23762" s="46" t="str">
        <f>IF(AND(I.Developer.P4=TRUE,I.Facility.P4FacilityCount&gt;=3750,F23762=""),"Incomplete","Complete")</f>
        <v>Complete</v>
      </c>
      <c r="I23762" s="48" t="s">
        <v>28127</v>
      </c>
    </row>
    <row r="23763" spans="2:9" ht="15" customHeight="1" x14ac:dyDescent="0.25">
      <c r="B23763" s="55" t="s">
        <v>283</v>
      </c>
      <c r="C23763" s="46">
        <v>3751</v>
      </c>
      <c r="D23763" s="69" t="s">
        <v>29420</v>
      </c>
      <c r="E23763" s="51"/>
      <c r="F23763" s="114" t="str">
        <f>IF(INDEX(I.Facility.P4IDNumber,3751)="","",INDEX(I.Facility.P4IDNumber,3751))</f>
        <v/>
      </c>
      <c r="G23763" s="51"/>
      <c r="H23763" s="46" t="str">
        <f>IF(AND(I.Developer.P4=TRUE,I.Facility.P4FacilityCount&gt;=3751,F23763=""),"Incomplete","Complete")</f>
        <v>Complete</v>
      </c>
      <c r="I23763" s="48" t="s">
        <v>28128</v>
      </c>
    </row>
    <row r="23764" spans="2:9" ht="15" customHeight="1" x14ac:dyDescent="0.25">
      <c r="B23764" s="55" t="s">
        <v>283</v>
      </c>
      <c r="C23764" s="46">
        <v>3752</v>
      </c>
      <c r="D23764" s="69" t="s">
        <v>29420</v>
      </c>
      <c r="E23764" s="51"/>
      <c r="F23764" s="114" t="str">
        <f>IF(INDEX(I.Facility.P4IDNumber,3752)="","",INDEX(I.Facility.P4IDNumber,3752))</f>
        <v/>
      </c>
      <c r="G23764" s="51"/>
      <c r="H23764" s="46" t="str">
        <f>IF(AND(I.Developer.P4=TRUE,I.Facility.P4FacilityCount&gt;=3752,F23764=""),"Incomplete","Complete")</f>
        <v>Complete</v>
      </c>
      <c r="I23764" s="48" t="s">
        <v>28129</v>
      </c>
    </row>
    <row r="23765" spans="2:9" ht="15" customHeight="1" x14ac:dyDescent="0.25">
      <c r="B23765" s="55" t="s">
        <v>283</v>
      </c>
      <c r="C23765" s="46">
        <v>3753</v>
      </c>
      <c r="D23765" s="69" t="s">
        <v>29420</v>
      </c>
      <c r="E23765" s="51"/>
      <c r="F23765" s="114" t="str">
        <f>IF(INDEX(I.Facility.P4IDNumber,3753)="","",INDEX(I.Facility.P4IDNumber,3753))</f>
        <v/>
      </c>
      <c r="G23765" s="51"/>
      <c r="H23765" s="46" t="str">
        <f>IF(AND(I.Developer.P4=TRUE,I.Facility.P4FacilityCount&gt;=3753,F23765=""),"Incomplete","Complete")</f>
        <v>Complete</v>
      </c>
      <c r="I23765" s="48" t="s">
        <v>28130</v>
      </c>
    </row>
    <row r="23766" spans="2:9" ht="15" customHeight="1" x14ac:dyDescent="0.25">
      <c r="B23766" s="55" t="s">
        <v>283</v>
      </c>
      <c r="C23766" s="46">
        <v>3754</v>
      </c>
      <c r="D23766" s="69" t="s">
        <v>29420</v>
      </c>
      <c r="E23766" s="51"/>
      <c r="F23766" s="114" t="str">
        <f>IF(INDEX(I.Facility.P4IDNumber,3754)="","",INDEX(I.Facility.P4IDNumber,3754))</f>
        <v/>
      </c>
      <c r="G23766" s="51"/>
      <c r="H23766" s="46" t="str">
        <f>IF(AND(I.Developer.P4=TRUE,I.Facility.P4FacilityCount&gt;=3754,F23766=""),"Incomplete","Complete")</f>
        <v>Complete</v>
      </c>
      <c r="I23766" s="48" t="s">
        <v>28131</v>
      </c>
    </row>
    <row r="23767" spans="2:9" ht="15" customHeight="1" x14ac:dyDescent="0.25">
      <c r="B23767" s="55" t="s">
        <v>283</v>
      </c>
      <c r="C23767" s="46">
        <v>3755</v>
      </c>
      <c r="D23767" s="69" t="s">
        <v>29420</v>
      </c>
      <c r="E23767" s="51"/>
      <c r="F23767" s="114" t="str">
        <f>IF(INDEX(I.Facility.P4IDNumber,3755)="","",INDEX(I.Facility.P4IDNumber,3755))</f>
        <v/>
      </c>
      <c r="G23767" s="51"/>
      <c r="H23767" s="46" t="str">
        <f>IF(AND(I.Developer.P4=TRUE,I.Facility.P4FacilityCount&gt;=3755,F23767=""),"Incomplete","Complete")</f>
        <v>Complete</v>
      </c>
      <c r="I23767" s="48" t="s">
        <v>28132</v>
      </c>
    </row>
    <row r="23768" spans="2:9" ht="15" customHeight="1" x14ac:dyDescent="0.25">
      <c r="B23768" s="55" t="s">
        <v>283</v>
      </c>
      <c r="C23768" s="46">
        <v>3756</v>
      </c>
      <c r="D23768" s="69" t="s">
        <v>29420</v>
      </c>
      <c r="E23768" s="51"/>
      <c r="F23768" s="114" t="str">
        <f>IF(INDEX(I.Facility.P4IDNumber,3756)="","",INDEX(I.Facility.P4IDNumber,3756))</f>
        <v/>
      </c>
      <c r="G23768" s="51"/>
      <c r="H23768" s="46" t="str">
        <f>IF(AND(I.Developer.P4=TRUE,I.Facility.P4FacilityCount&gt;=3756,F23768=""),"Incomplete","Complete")</f>
        <v>Complete</v>
      </c>
      <c r="I23768" s="48" t="s">
        <v>28133</v>
      </c>
    </row>
    <row r="23769" spans="2:9" ht="15" customHeight="1" x14ac:dyDescent="0.25">
      <c r="B23769" s="55" t="s">
        <v>283</v>
      </c>
      <c r="C23769" s="46">
        <v>3757</v>
      </c>
      <c r="D23769" s="69" t="s">
        <v>29420</v>
      </c>
      <c r="E23769" s="51"/>
      <c r="F23769" s="114" t="str">
        <f>IF(INDEX(I.Facility.P4IDNumber,3757)="","",INDEX(I.Facility.P4IDNumber,3757))</f>
        <v/>
      </c>
      <c r="G23769" s="51"/>
      <c r="H23769" s="46" t="str">
        <f>IF(AND(I.Developer.P4=TRUE,I.Facility.P4FacilityCount&gt;=3757,F23769=""),"Incomplete","Complete")</f>
        <v>Complete</v>
      </c>
      <c r="I23769" s="48" t="s">
        <v>28134</v>
      </c>
    </row>
    <row r="23770" spans="2:9" ht="15" customHeight="1" x14ac:dyDescent="0.25">
      <c r="B23770" s="55" t="s">
        <v>283</v>
      </c>
      <c r="C23770" s="46">
        <v>3758</v>
      </c>
      <c r="D23770" s="69" t="s">
        <v>29420</v>
      </c>
      <c r="E23770" s="51"/>
      <c r="F23770" s="114" t="str">
        <f>IF(INDEX(I.Facility.P4IDNumber,3758)="","",INDEX(I.Facility.P4IDNumber,3758))</f>
        <v/>
      </c>
      <c r="G23770" s="51"/>
      <c r="H23770" s="46" t="str">
        <f>IF(AND(I.Developer.P4=TRUE,I.Facility.P4FacilityCount&gt;=3758,F23770=""),"Incomplete","Complete")</f>
        <v>Complete</v>
      </c>
      <c r="I23770" s="48" t="s">
        <v>28135</v>
      </c>
    </row>
    <row r="23771" spans="2:9" ht="15" customHeight="1" x14ac:dyDescent="0.25">
      <c r="B23771" s="55" t="s">
        <v>283</v>
      </c>
      <c r="C23771" s="46">
        <v>3759</v>
      </c>
      <c r="D23771" s="69" t="s">
        <v>29420</v>
      </c>
      <c r="E23771" s="51"/>
      <c r="F23771" s="114" t="str">
        <f>IF(INDEX(I.Facility.P4IDNumber,3759)="","",INDEX(I.Facility.P4IDNumber,3759))</f>
        <v/>
      </c>
      <c r="G23771" s="51"/>
      <c r="H23771" s="46" t="str">
        <f>IF(AND(I.Developer.P4=TRUE,I.Facility.P4FacilityCount&gt;=3759,F23771=""),"Incomplete","Complete")</f>
        <v>Complete</v>
      </c>
      <c r="I23771" s="48" t="s">
        <v>28136</v>
      </c>
    </row>
    <row r="23772" spans="2:9" ht="15" customHeight="1" x14ac:dyDescent="0.25">
      <c r="B23772" s="55" t="s">
        <v>283</v>
      </c>
      <c r="C23772" s="46">
        <v>3760</v>
      </c>
      <c r="D23772" s="69" t="s">
        <v>29420</v>
      </c>
      <c r="E23772" s="51"/>
      <c r="F23772" s="114" t="str">
        <f>IF(INDEX(I.Facility.P4IDNumber,3760)="","",INDEX(I.Facility.P4IDNumber,3760))</f>
        <v/>
      </c>
      <c r="G23772" s="51"/>
      <c r="H23772" s="46" t="str">
        <f>IF(AND(I.Developer.P4=TRUE,I.Facility.P4FacilityCount&gt;=3760,F23772=""),"Incomplete","Complete")</f>
        <v>Complete</v>
      </c>
      <c r="I23772" s="48" t="s">
        <v>28137</v>
      </c>
    </row>
    <row r="23773" spans="2:9" ht="15" customHeight="1" x14ac:dyDescent="0.25">
      <c r="B23773" s="55" t="s">
        <v>283</v>
      </c>
      <c r="C23773" s="46">
        <v>3761</v>
      </c>
      <c r="D23773" s="69" t="s">
        <v>29420</v>
      </c>
      <c r="E23773" s="51"/>
      <c r="F23773" s="114" t="str">
        <f>IF(INDEX(I.Facility.P4IDNumber,3761)="","",INDEX(I.Facility.P4IDNumber,3761))</f>
        <v/>
      </c>
      <c r="G23773" s="51"/>
      <c r="H23773" s="46" t="str">
        <f>IF(AND(I.Developer.P4=TRUE,I.Facility.P4FacilityCount&gt;=3761,F23773=""),"Incomplete","Complete")</f>
        <v>Complete</v>
      </c>
      <c r="I23773" s="48" t="s">
        <v>28138</v>
      </c>
    </row>
    <row r="23774" spans="2:9" ht="15" customHeight="1" x14ac:dyDescent="0.25">
      <c r="B23774" s="55" t="s">
        <v>283</v>
      </c>
      <c r="C23774" s="46">
        <v>3762</v>
      </c>
      <c r="D23774" s="69" t="s">
        <v>29420</v>
      </c>
      <c r="E23774" s="51"/>
      <c r="F23774" s="114" t="str">
        <f>IF(INDEX(I.Facility.P4IDNumber,3762)="","",INDEX(I.Facility.P4IDNumber,3762))</f>
        <v/>
      </c>
      <c r="G23774" s="51"/>
      <c r="H23774" s="46" t="str">
        <f>IF(AND(I.Developer.P4=TRUE,I.Facility.P4FacilityCount&gt;=3762,F23774=""),"Incomplete","Complete")</f>
        <v>Complete</v>
      </c>
      <c r="I23774" s="48" t="s">
        <v>28139</v>
      </c>
    </row>
    <row r="23775" spans="2:9" ht="15" customHeight="1" x14ac:dyDescent="0.25">
      <c r="B23775" s="55" t="s">
        <v>283</v>
      </c>
      <c r="C23775" s="46">
        <v>3763</v>
      </c>
      <c r="D23775" s="69" t="s">
        <v>29420</v>
      </c>
      <c r="E23775" s="51"/>
      <c r="F23775" s="114" t="str">
        <f>IF(INDEX(I.Facility.P4IDNumber,3763)="","",INDEX(I.Facility.P4IDNumber,3763))</f>
        <v/>
      </c>
      <c r="G23775" s="51"/>
      <c r="H23775" s="46" t="str">
        <f>IF(AND(I.Developer.P4=TRUE,I.Facility.P4FacilityCount&gt;=3763,F23775=""),"Incomplete","Complete")</f>
        <v>Complete</v>
      </c>
      <c r="I23775" s="48" t="s">
        <v>28140</v>
      </c>
    </row>
    <row r="23776" spans="2:9" ht="15" customHeight="1" x14ac:dyDescent="0.25">
      <c r="B23776" s="55" t="s">
        <v>283</v>
      </c>
      <c r="C23776" s="46">
        <v>3764</v>
      </c>
      <c r="D23776" s="69" t="s">
        <v>29420</v>
      </c>
      <c r="E23776" s="51"/>
      <c r="F23776" s="114" t="str">
        <f>IF(INDEX(I.Facility.P4IDNumber,3764)="","",INDEX(I.Facility.P4IDNumber,3764))</f>
        <v/>
      </c>
      <c r="G23776" s="51"/>
      <c r="H23776" s="46" t="str">
        <f>IF(AND(I.Developer.P4=TRUE,I.Facility.P4FacilityCount&gt;=3764,F23776=""),"Incomplete","Complete")</f>
        <v>Complete</v>
      </c>
      <c r="I23776" s="48" t="s">
        <v>28141</v>
      </c>
    </row>
    <row r="23777" spans="2:9" ht="15" customHeight="1" x14ac:dyDescent="0.25">
      <c r="B23777" s="55" t="s">
        <v>283</v>
      </c>
      <c r="C23777" s="46">
        <v>3765</v>
      </c>
      <c r="D23777" s="69" t="s">
        <v>29420</v>
      </c>
      <c r="E23777" s="51"/>
      <c r="F23777" s="114" t="str">
        <f>IF(INDEX(I.Facility.P4IDNumber,3765)="","",INDEX(I.Facility.P4IDNumber,3765))</f>
        <v/>
      </c>
      <c r="G23777" s="51"/>
      <c r="H23777" s="46" t="str">
        <f>IF(AND(I.Developer.P4=TRUE,I.Facility.P4FacilityCount&gt;=3765,F23777=""),"Incomplete","Complete")</f>
        <v>Complete</v>
      </c>
      <c r="I23777" s="48" t="s">
        <v>28142</v>
      </c>
    </row>
    <row r="23778" spans="2:9" ht="15" customHeight="1" x14ac:dyDescent="0.25">
      <c r="B23778" s="55" t="s">
        <v>283</v>
      </c>
      <c r="C23778" s="46">
        <v>3766</v>
      </c>
      <c r="D23778" s="69" t="s">
        <v>29420</v>
      </c>
      <c r="E23778" s="51"/>
      <c r="F23778" s="114" t="str">
        <f>IF(INDEX(I.Facility.P4IDNumber,3766)="","",INDEX(I.Facility.P4IDNumber,3766))</f>
        <v/>
      </c>
      <c r="G23778" s="51"/>
      <c r="H23778" s="46" t="str">
        <f>IF(AND(I.Developer.P4=TRUE,I.Facility.P4FacilityCount&gt;=3766,F23778=""),"Incomplete","Complete")</f>
        <v>Complete</v>
      </c>
      <c r="I23778" s="48" t="s">
        <v>28143</v>
      </c>
    </row>
    <row r="23779" spans="2:9" ht="15" customHeight="1" x14ac:dyDescent="0.25">
      <c r="B23779" s="55" t="s">
        <v>283</v>
      </c>
      <c r="C23779" s="46">
        <v>3767</v>
      </c>
      <c r="D23779" s="69" t="s">
        <v>29420</v>
      </c>
      <c r="E23779" s="51"/>
      <c r="F23779" s="114" t="str">
        <f>IF(INDEX(I.Facility.P4IDNumber,3767)="","",INDEX(I.Facility.P4IDNumber,3767))</f>
        <v/>
      </c>
      <c r="G23779" s="51"/>
      <c r="H23779" s="46" t="str">
        <f>IF(AND(I.Developer.P4=TRUE,I.Facility.P4FacilityCount&gt;=3767,F23779=""),"Incomplete","Complete")</f>
        <v>Complete</v>
      </c>
      <c r="I23779" s="48" t="s">
        <v>28144</v>
      </c>
    </row>
    <row r="23780" spans="2:9" ht="15" customHeight="1" x14ac:dyDescent="0.25">
      <c r="B23780" s="55" t="s">
        <v>283</v>
      </c>
      <c r="C23780" s="46">
        <v>3768</v>
      </c>
      <c r="D23780" s="69" t="s">
        <v>29420</v>
      </c>
      <c r="E23780" s="51"/>
      <c r="F23780" s="114" t="str">
        <f>IF(INDEX(I.Facility.P4IDNumber,3768)="","",INDEX(I.Facility.P4IDNumber,3768))</f>
        <v/>
      </c>
      <c r="G23780" s="51"/>
      <c r="H23780" s="46" t="str">
        <f>IF(AND(I.Developer.P4=TRUE,I.Facility.P4FacilityCount&gt;=3768,F23780=""),"Incomplete","Complete")</f>
        <v>Complete</v>
      </c>
      <c r="I23780" s="48" t="s">
        <v>28145</v>
      </c>
    </row>
    <row r="23781" spans="2:9" ht="15" customHeight="1" x14ac:dyDescent="0.25">
      <c r="B23781" s="55" t="s">
        <v>283</v>
      </c>
      <c r="C23781" s="46">
        <v>3769</v>
      </c>
      <c r="D23781" s="69" t="s">
        <v>29420</v>
      </c>
      <c r="E23781" s="51"/>
      <c r="F23781" s="114" t="str">
        <f>IF(INDEX(I.Facility.P4IDNumber,3769)="","",INDEX(I.Facility.P4IDNumber,3769))</f>
        <v/>
      </c>
      <c r="G23781" s="51"/>
      <c r="H23781" s="46" t="str">
        <f>IF(AND(I.Developer.P4=TRUE,I.Facility.P4FacilityCount&gt;=3769,F23781=""),"Incomplete","Complete")</f>
        <v>Complete</v>
      </c>
      <c r="I23781" s="48" t="s">
        <v>28146</v>
      </c>
    </row>
    <row r="23782" spans="2:9" ht="15" customHeight="1" x14ac:dyDescent="0.25">
      <c r="B23782" s="55" t="s">
        <v>283</v>
      </c>
      <c r="C23782" s="46">
        <v>3770</v>
      </c>
      <c r="D23782" s="69" t="s">
        <v>29420</v>
      </c>
      <c r="E23782" s="51"/>
      <c r="F23782" s="114" t="str">
        <f>IF(INDEX(I.Facility.P4IDNumber,3770)="","",INDEX(I.Facility.P4IDNumber,3770))</f>
        <v/>
      </c>
      <c r="G23782" s="51"/>
      <c r="H23782" s="46" t="str">
        <f>IF(AND(I.Developer.P4=TRUE,I.Facility.P4FacilityCount&gt;=3770,F23782=""),"Incomplete","Complete")</f>
        <v>Complete</v>
      </c>
      <c r="I23782" s="48" t="s">
        <v>28147</v>
      </c>
    </row>
    <row r="23783" spans="2:9" ht="15" customHeight="1" x14ac:dyDescent="0.25">
      <c r="B23783" s="55" t="s">
        <v>283</v>
      </c>
      <c r="C23783" s="46">
        <v>3771</v>
      </c>
      <c r="D23783" s="69" t="s">
        <v>29420</v>
      </c>
      <c r="E23783" s="51"/>
      <c r="F23783" s="114" t="str">
        <f>IF(INDEX(I.Facility.P4IDNumber,3771)="","",INDEX(I.Facility.P4IDNumber,3771))</f>
        <v/>
      </c>
      <c r="G23783" s="51"/>
      <c r="H23783" s="46" t="str">
        <f>IF(AND(I.Developer.P4=TRUE,I.Facility.P4FacilityCount&gt;=3771,F23783=""),"Incomplete","Complete")</f>
        <v>Complete</v>
      </c>
      <c r="I23783" s="48" t="s">
        <v>28148</v>
      </c>
    </row>
    <row r="23784" spans="2:9" ht="15" customHeight="1" x14ac:dyDescent="0.25">
      <c r="B23784" s="55" t="s">
        <v>283</v>
      </c>
      <c r="C23784" s="46">
        <v>3772</v>
      </c>
      <c r="D23784" s="69" t="s">
        <v>29420</v>
      </c>
      <c r="E23784" s="51"/>
      <c r="F23784" s="114" t="str">
        <f>IF(INDEX(I.Facility.P4IDNumber,3772)="","",INDEX(I.Facility.P4IDNumber,3772))</f>
        <v/>
      </c>
      <c r="G23784" s="51"/>
      <c r="H23784" s="46" t="str">
        <f>IF(AND(I.Developer.P4=TRUE,I.Facility.P4FacilityCount&gt;=3772,F23784=""),"Incomplete","Complete")</f>
        <v>Complete</v>
      </c>
      <c r="I23784" s="48" t="s">
        <v>28149</v>
      </c>
    </row>
    <row r="23785" spans="2:9" ht="15" customHeight="1" x14ac:dyDescent="0.25">
      <c r="B23785" s="55" t="s">
        <v>283</v>
      </c>
      <c r="C23785" s="46">
        <v>3773</v>
      </c>
      <c r="D23785" s="69" t="s">
        <v>29420</v>
      </c>
      <c r="E23785" s="51"/>
      <c r="F23785" s="114" t="str">
        <f>IF(INDEX(I.Facility.P4IDNumber,3773)="","",INDEX(I.Facility.P4IDNumber,3773))</f>
        <v/>
      </c>
      <c r="G23785" s="51"/>
      <c r="H23785" s="46" t="str">
        <f>IF(AND(I.Developer.P4=TRUE,I.Facility.P4FacilityCount&gt;=3773,F23785=""),"Incomplete","Complete")</f>
        <v>Complete</v>
      </c>
      <c r="I23785" s="48" t="s">
        <v>28150</v>
      </c>
    </row>
    <row r="23786" spans="2:9" ht="15" customHeight="1" x14ac:dyDescent="0.25">
      <c r="B23786" s="55" t="s">
        <v>283</v>
      </c>
      <c r="C23786" s="46">
        <v>3774</v>
      </c>
      <c r="D23786" s="69" t="s">
        <v>29420</v>
      </c>
      <c r="E23786" s="51"/>
      <c r="F23786" s="114" t="str">
        <f>IF(INDEX(I.Facility.P4IDNumber,3774)="","",INDEX(I.Facility.P4IDNumber,3774))</f>
        <v/>
      </c>
      <c r="G23786" s="51"/>
      <c r="H23786" s="46" t="str">
        <f>IF(AND(I.Developer.P4=TRUE,I.Facility.P4FacilityCount&gt;=3774,F23786=""),"Incomplete","Complete")</f>
        <v>Complete</v>
      </c>
      <c r="I23786" s="48" t="s">
        <v>28151</v>
      </c>
    </row>
    <row r="23787" spans="2:9" ht="15" customHeight="1" x14ac:dyDescent="0.25">
      <c r="B23787" s="55" t="s">
        <v>283</v>
      </c>
      <c r="C23787" s="46">
        <v>3775</v>
      </c>
      <c r="D23787" s="69" t="s">
        <v>29420</v>
      </c>
      <c r="E23787" s="51"/>
      <c r="F23787" s="114" t="str">
        <f>IF(INDEX(I.Facility.P4IDNumber,3775)="","",INDEX(I.Facility.P4IDNumber,3775))</f>
        <v/>
      </c>
      <c r="G23787" s="51"/>
      <c r="H23787" s="46" t="str">
        <f>IF(AND(I.Developer.P4=TRUE,I.Facility.P4FacilityCount&gt;=3775,F23787=""),"Incomplete","Complete")</f>
        <v>Complete</v>
      </c>
      <c r="I23787" s="48" t="s">
        <v>28152</v>
      </c>
    </row>
    <row r="23788" spans="2:9" ht="15" customHeight="1" x14ac:dyDescent="0.25">
      <c r="B23788" s="55" t="s">
        <v>283</v>
      </c>
      <c r="C23788" s="46">
        <v>3776</v>
      </c>
      <c r="D23788" s="69" t="s">
        <v>29420</v>
      </c>
      <c r="E23788" s="51"/>
      <c r="F23788" s="114" t="str">
        <f>IF(INDEX(I.Facility.P4IDNumber,3776)="","",INDEX(I.Facility.P4IDNumber,3776))</f>
        <v/>
      </c>
      <c r="G23788" s="51"/>
      <c r="H23788" s="46" t="str">
        <f>IF(AND(I.Developer.P4=TRUE,I.Facility.P4FacilityCount&gt;=3776,F23788=""),"Incomplete","Complete")</f>
        <v>Complete</v>
      </c>
      <c r="I23788" s="48" t="s">
        <v>28153</v>
      </c>
    </row>
    <row r="23789" spans="2:9" ht="15" customHeight="1" x14ac:dyDescent="0.25">
      <c r="B23789" s="55" t="s">
        <v>283</v>
      </c>
      <c r="C23789" s="46">
        <v>3777</v>
      </c>
      <c r="D23789" s="69" t="s">
        <v>29420</v>
      </c>
      <c r="E23789" s="51"/>
      <c r="F23789" s="114" t="str">
        <f>IF(INDEX(I.Facility.P4IDNumber,3777)="","",INDEX(I.Facility.P4IDNumber,3777))</f>
        <v/>
      </c>
      <c r="G23789" s="51"/>
      <c r="H23789" s="46" t="str">
        <f>IF(AND(I.Developer.P4=TRUE,I.Facility.P4FacilityCount&gt;=3777,F23789=""),"Incomplete","Complete")</f>
        <v>Complete</v>
      </c>
      <c r="I23789" s="48" t="s">
        <v>28154</v>
      </c>
    </row>
    <row r="23790" spans="2:9" ht="15" customHeight="1" x14ac:dyDescent="0.25">
      <c r="B23790" s="55" t="s">
        <v>283</v>
      </c>
      <c r="C23790" s="46">
        <v>3778</v>
      </c>
      <c r="D23790" s="69" t="s">
        <v>29420</v>
      </c>
      <c r="E23790" s="51"/>
      <c r="F23790" s="114" t="str">
        <f>IF(INDEX(I.Facility.P4IDNumber,3778)="","",INDEX(I.Facility.P4IDNumber,3778))</f>
        <v/>
      </c>
      <c r="G23790" s="51"/>
      <c r="H23790" s="46" t="str">
        <f>IF(AND(I.Developer.P4=TRUE,I.Facility.P4FacilityCount&gt;=3778,F23790=""),"Incomplete","Complete")</f>
        <v>Complete</v>
      </c>
      <c r="I23790" s="48" t="s">
        <v>28155</v>
      </c>
    </row>
    <row r="23791" spans="2:9" ht="15" customHeight="1" x14ac:dyDescent="0.25">
      <c r="B23791" s="55" t="s">
        <v>283</v>
      </c>
      <c r="C23791" s="46">
        <v>3779</v>
      </c>
      <c r="D23791" s="69" t="s">
        <v>29420</v>
      </c>
      <c r="E23791" s="51"/>
      <c r="F23791" s="114" t="str">
        <f>IF(INDEX(I.Facility.P4IDNumber,3779)="","",INDEX(I.Facility.P4IDNumber,3779))</f>
        <v/>
      </c>
      <c r="G23791" s="51"/>
      <c r="H23791" s="46" t="str">
        <f>IF(AND(I.Developer.P4=TRUE,I.Facility.P4FacilityCount&gt;=3779,F23791=""),"Incomplete","Complete")</f>
        <v>Complete</v>
      </c>
      <c r="I23791" s="48" t="s">
        <v>28156</v>
      </c>
    </row>
    <row r="23792" spans="2:9" ht="15" customHeight="1" x14ac:dyDescent="0.25">
      <c r="B23792" s="55" t="s">
        <v>283</v>
      </c>
      <c r="C23792" s="46">
        <v>3780</v>
      </c>
      <c r="D23792" s="69" t="s">
        <v>29420</v>
      </c>
      <c r="E23792" s="51"/>
      <c r="F23792" s="114" t="str">
        <f>IF(INDEX(I.Facility.P4IDNumber,3780)="","",INDEX(I.Facility.P4IDNumber,3780))</f>
        <v/>
      </c>
      <c r="G23792" s="51"/>
      <c r="H23792" s="46" t="str">
        <f>IF(AND(I.Developer.P4=TRUE,I.Facility.P4FacilityCount&gt;=3780,F23792=""),"Incomplete","Complete")</f>
        <v>Complete</v>
      </c>
      <c r="I23792" s="48" t="s">
        <v>28157</v>
      </c>
    </row>
    <row r="23793" spans="2:9" ht="15" customHeight="1" x14ac:dyDescent="0.25">
      <c r="B23793" s="55" t="s">
        <v>283</v>
      </c>
      <c r="C23793" s="46">
        <v>3781</v>
      </c>
      <c r="D23793" s="69" t="s">
        <v>29420</v>
      </c>
      <c r="E23793" s="51"/>
      <c r="F23793" s="114" t="str">
        <f>IF(INDEX(I.Facility.P4IDNumber,3781)="","",INDEX(I.Facility.P4IDNumber,3781))</f>
        <v/>
      </c>
      <c r="G23793" s="51"/>
      <c r="H23793" s="46" t="str">
        <f>IF(AND(I.Developer.P4=TRUE,I.Facility.P4FacilityCount&gt;=3781,F23793=""),"Incomplete","Complete")</f>
        <v>Complete</v>
      </c>
      <c r="I23793" s="48" t="s">
        <v>28158</v>
      </c>
    </row>
    <row r="23794" spans="2:9" ht="15" customHeight="1" x14ac:dyDescent="0.25">
      <c r="B23794" s="55" t="s">
        <v>283</v>
      </c>
      <c r="C23794" s="46">
        <v>3782</v>
      </c>
      <c r="D23794" s="69" t="s">
        <v>29420</v>
      </c>
      <c r="E23794" s="51"/>
      <c r="F23794" s="114" t="str">
        <f>IF(INDEX(I.Facility.P4IDNumber,3782)="","",INDEX(I.Facility.P4IDNumber,3782))</f>
        <v/>
      </c>
      <c r="G23794" s="51"/>
      <c r="H23794" s="46" t="str">
        <f>IF(AND(I.Developer.P4=TRUE,I.Facility.P4FacilityCount&gt;=3782,F23794=""),"Incomplete","Complete")</f>
        <v>Complete</v>
      </c>
      <c r="I23794" s="48" t="s">
        <v>28159</v>
      </c>
    </row>
    <row r="23795" spans="2:9" ht="15" customHeight="1" x14ac:dyDescent="0.25">
      <c r="B23795" s="55" t="s">
        <v>283</v>
      </c>
      <c r="C23795" s="46">
        <v>3783</v>
      </c>
      <c r="D23795" s="69" t="s">
        <v>29420</v>
      </c>
      <c r="E23795" s="51"/>
      <c r="F23795" s="114" t="str">
        <f>IF(INDEX(I.Facility.P4IDNumber,3783)="","",INDEX(I.Facility.P4IDNumber,3783))</f>
        <v/>
      </c>
      <c r="G23795" s="51"/>
      <c r="H23795" s="46" t="str">
        <f>IF(AND(I.Developer.P4=TRUE,I.Facility.P4FacilityCount&gt;=3783,F23795=""),"Incomplete","Complete")</f>
        <v>Complete</v>
      </c>
      <c r="I23795" s="48" t="s">
        <v>28160</v>
      </c>
    </row>
    <row r="23796" spans="2:9" ht="15" customHeight="1" x14ac:dyDescent="0.25">
      <c r="B23796" s="55" t="s">
        <v>283</v>
      </c>
      <c r="C23796" s="46">
        <v>3784</v>
      </c>
      <c r="D23796" s="69" t="s">
        <v>29420</v>
      </c>
      <c r="E23796" s="51"/>
      <c r="F23796" s="114" t="str">
        <f>IF(INDEX(I.Facility.P4IDNumber,3784)="","",INDEX(I.Facility.P4IDNumber,3784))</f>
        <v/>
      </c>
      <c r="G23796" s="51"/>
      <c r="H23796" s="46" t="str">
        <f>IF(AND(I.Developer.P4=TRUE,I.Facility.P4FacilityCount&gt;=3784,F23796=""),"Incomplete","Complete")</f>
        <v>Complete</v>
      </c>
      <c r="I23796" s="48" t="s">
        <v>28161</v>
      </c>
    </row>
    <row r="23797" spans="2:9" ht="15" customHeight="1" x14ac:dyDescent="0.25">
      <c r="B23797" s="55" t="s">
        <v>283</v>
      </c>
      <c r="C23797" s="46">
        <v>3785</v>
      </c>
      <c r="D23797" s="69" t="s">
        <v>29420</v>
      </c>
      <c r="E23797" s="51"/>
      <c r="F23797" s="114" t="str">
        <f>IF(INDEX(I.Facility.P4IDNumber,3785)="","",INDEX(I.Facility.P4IDNumber,3785))</f>
        <v/>
      </c>
      <c r="G23797" s="51"/>
      <c r="H23797" s="46" t="str">
        <f>IF(AND(I.Developer.P4=TRUE,I.Facility.P4FacilityCount&gt;=3785,F23797=""),"Incomplete","Complete")</f>
        <v>Complete</v>
      </c>
      <c r="I23797" s="48" t="s">
        <v>28162</v>
      </c>
    </row>
    <row r="23798" spans="2:9" ht="15" customHeight="1" x14ac:dyDescent="0.25">
      <c r="B23798" s="55" t="s">
        <v>283</v>
      </c>
      <c r="C23798" s="46">
        <v>3786</v>
      </c>
      <c r="D23798" s="69" t="s">
        <v>29420</v>
      </c>
      <c r="E23798" s="51"/>
      <c r="F23798" s="114" t="str">
        <f>IF(INDEX(I.Facility.P4IDNumber,3786)="","",INDEX(I.Facility.P4IDNumber,3786))</f>
        <v/>
      </c>
      <c r="G23798" s="51"/>
      <c r="H23798" s="46" t="str">
        <f>IF(AND(I.Developer.P4=TRUE,I.Facility.P4FacilityCount&gt;=3786,F23798=""),"Incomplete","Complete")</f>
        <v>Complete</v>
      </c>
      <c r="I23798" s="48" t="s">
        <v>28163</v>
      </c>
    </row>
    <row r="23799" spans="2:9" ht="15" customHeight="1" x14ac:dyDescent="0.25">
      <c r="B23799" s="55" t="s">
        <v>283</v>
      </c>
      <c r="C23799" s="46">
        <v>3787</v>
      </c>
      <c r="D23799" s="69" t="s">
        <v>29420</v>
      </c>
      <c r="E23799" s="51"/>
      <c r="F23799" s="114" t="str">
        <f>IF(INDEX(I.Facility.P4IDNumber,3787)="","",INDEX(I.Facility.P4IDNumber,3787))</f>
        <v/>
      </c>
      <c r="G23799" s="51"/>
      <c r="H23799" s="46" t="str">
        <f>IF(AND(I.Developer.P4=TRUE,I.Facility.P4FacilityCount&gt;=3787,F23799=""),"Incomplete","Complete")</f>
        <v>Complete</v>
      </c>
      <c r="I23799" s="48" t="s">
        <v>28164</v>
      </c>
    </row>
    <row r="23800" spans="2:9" ht="15" customHeight="1" x14ac:dyDescent="0.25">
      <c r="B23800" s="55" t="s">
        <v>283</v>
      </c>
      <c r="C23800" s="46">
        <v>3788</v>
      </c>
      <c r="D23800" s="69" t="s">
        <v>29420</v>
      </c>
      <c r="E23800" s="51"/>
      <c r="F23800" s="114" t="str">
        <f>IF(INDEX(I.Facility.P4IDNumber,3788)="","",INDEX(I.Facility.P4IDNumber,3788))</f>
        <v/>
      </c>
      <c r="G23800" s="51"/>
      <c r="H23800" s="46" t="str">
        <f>IF(AND(I.Developer.P4=TRUE,I.Facility.P4FacilityCount&gt;=3788,F23800=""),"Incomplete","Complete")</f>
        <v>Complete</v>
      </c>
      <c r="I23800" s="48" t="s">
        <v>28165</v>
      </c>
    </row>
    <row r="23801" spans="2:9" ht="15" customHeight="1" x14ac:dyDescent="0.25">
      <c r="B23801" s="55" t="s">
        <v>283</v>
      </c>
      <c r="C23801" s="46">
        <v>3789</v>
      </c>
      <c r="D23801" s="69" t="s">
        <v>29420</v>
      </c>
      <c r="E23801" s="51"/>
      <c r="F23801" s="114" t="str">
        <f>IF(INDEX(I.Facility.P4IDNumber,3789)="","",INDEX(I.Facility.P4IDNumber,3789))</f>
        <v/>
      </c>
      <c r="G23801" s="51"/>
      <c r="H23801" s="46" t="str">
        <f>IF(AND(I.Developer.P4=TRUE,I.Facility.P4FacilityCount&gt;=3789,F23801=""),"Incomplete","Complete")</f>
        <v>Complete</v>
      </c>
      <c r="I23801" s="48" t="s">
        <v>28166</v>
      </c>
    </row>
    <row r="23802" spans="2:9" ht="15" customHeight="1" x14ac:dyDescent="0.25">
      <c r="B23802" s="55" t="s">
        <v>283</v>
      </c>
      <c r="C23802" s="46">
        <v>3790</v>
      </c>
      <c r="D23802" s="69" t="s">
        <v>29420</v>
      </c>
      <c r="E23802" s="51"/>
      <c r="F23802" s="114" t="str">
        <f>IF(INDEX(I.Facility.P4IDNumber,3790)="","",INDEX(I.Facility.P4IDNumber,3790))</f>
        <v/>
      </c>
      <c r="G23802" s="51"/>
      <c r="H23802" s="46" t="str">
        <f>IF(AND(I.Developer.P4=TRUE,I.Facility.P4FacilityCount&gt;=3790,F23802=""),"Incomplete","Complete")</f>
        <v>Complete</v>
      </c>
      <c r="I23802" s="48" t="s">
        <v>28167</v>
      </c>
    </row>
    <row r="23803" spans="2:9" ht="15" customHeight="1" x14ac:dyDescent="0.25">
      <c r="B23803" s="55" t="s">
        <v>283</v>
      </c>
      <c r="C23803" s="46">
        <v>3791</v>
      </c>
      <c r="D23803" s="69" t="s">
        <v>29420</v>
      </c>
      <c r="E23803" s="51"/>
      <c r="F23803" s="114" t="str">
        <f>IF(INDEX(I.Facility.P4IDNumber,3791)="","",INDEX(I.Facility.P4IDNumber,3791))</f>
        <v/>
      </c>
      <c r="G23803" s="51"/>
      <c r="H23803" s="46" t="str">
        <f>IF(AND(I.Developer.P4=TRUE,I.Facility.P4FacilityCount&gt;=3791,F23803=""),"Incomplete","Complete")</f>
        <v>Complete</v>
      </c>
      <c r="I23803" s="48" t="s">
        <v>28168</v>
      </c>
    </row>
    <row r="23804" spans="2:9" ht="15" customHeight="1" x14ac:dyDescent="0.25">
      <c r="B23804" s="55" t="s">
        <v>283</v>
      </c>
      <c r="C23804" s="46">
        <v>3792</v>
      </c>
      <c r="D23804" s="69" t="s">
        <v>29420</v>
      </c>
      <c r="E23804" s="51"/>
      <c r="F23804" s="114" t="str">
        <f>IF(INDEX(I.Facility.P4IDNumber,3792)="","",INDEX(I.Facility.P4IDNumber,3792))</f>
        <v/>
      </c>
      <c r="G23804" s="51"/>
      <c r="H23804" s="46" t="str">
        <f>IF(AND(I.Developer.P4=TRUE,I.Facility.P4FacilityCount&gt;=3792,F23804=""),"Incomplete","Complete")</f>
        <v>Complete</v>
      </c>
      <c r="I23804" s="48" t="s">
        <v>28169</v>
      </c>
    </row>
    <row r="23805" spans="2:9" ht="15" customHeight="1" x14ac:dyDescent="0.25">
      <c r="B23805" s="55" t="s">
        <v>283</v>
      </c>
      <c r="C23805" s="46">
        <v>3793</v>
      </c>
      <c r="D23805" s="69" t="s">
        <v>29420</v>
      </c>
      <c r="E23805" s="51"/>
      <c r="F23805" s="114" t="str">
        <f>IF(INDEX(I.Facility.P4IDNumber,3793)="","",INDEX(I.Facility.P4IDNumber,3793))</f>
        <v/>
      </c>
      <c r="G23805" s="51"/>
      <c r="H23805" s="46" t="str">
        <f>IF(AND(I.Developer.P4=TRUE,I.Facility.P4FacilityCount&gt;=3793,F23805=""),"Incomplete","Complete")</f>
        <v>Complete</v>
      </c>
      <c r="I23805" s="48" t="s">
        <v>28170</v>
      </c>
    </row>
    <row r="23806" spans="2:9" ht="15" customHeight="1" x14ac:dyDescent="0.25">
      <c r="B23806" s="55" t="s">
        <v>283</v>
      </c>
      <c r="C23806" s="46">
        <v>3794</v>
      </c>
      <c r="D23806" s="69" t="s">
        <v>29420</v>
      </c>
      <c r="E23806" s="51"/>
      <c r="F23806" s="114" t="str">
        <f>IF(INDEX(I.Facility.P4IDNumber,3794)="","",INDEX(I.Facility.P4IDNumber,3794))</f>
        <v/>
      </c>
      <c r="G23806" s="51"/>
      <c r="H23806" s="46" t="str">
        <f>IF(AND(I.Developer.P4=TRUE,I.Facility.P4FacilityCount&gt;=3794,F23806=""),"Incomplete","Complete")</f>
        <v>Complete</v>
      </c>
      <c r="I23806" s="48" t="s">
        <v>28171</v>
      </c>
    </row>
    <row r="23807" spans="2:9" ht="15" customHeight="1" x14ac:dyDescent="0.25">
      <c r="B23807" s="55" t="s">
        <v>283</v>
      </c>
      <c r="C23807" s="46">
        <v>3795</v>
      </c>
      <c r="D23807" s="69" t="s">
        <v>29420</v>
      </c>
      <c r="E23807" s="51"/>
      <c r="F23807" s="114" t="str">
        <f>IF(INDEX(I.Facility.P4IDNumber,3795)="","",INDEX(I.Facility.P4IDNumber,3795))</f>
        <v/>
      </c>
      <c r="G23807" s="51"/>
      <c r="H23807" s="46" t="str">
        <f>IF(AND(I.Developer.P4=TRUE,I.Facility.P4FacilityCount&gt;=3795,F23807=""),"Incomplete","Complete")</f>
        <v>Complete</v>
      </c>
      <c r="I23807" s="48" t="s">
        <v>28172</v>
      </c>
    </row>
    <row r="23808" spans="2:9" ht="15" customHeight="1" x14ac:dyDescent="0.25">
      <c r="B23808" s="55" t="s">
        <v>283</v>
      </c>
      <c r="C23808" s="46">
        <v>3796</v>
      </c>
      <c r="D23808" s="69" t="s">
        <v>29420</v>
      </c>
      <c r="E23808" s="51"/>
      <c r="F23808" s="114" t="str">
        <f>IF(INDEX(I.Facility.P4IDNumber,3796)="","",INDEX(I.Facility.P4IDNumber,3796))</f>
        <v/>
      </c>
      <c r="G23808" s="51"/>
      <c r="H23808" s="46" t="str">
        <f>IF(AND(I.Developer.P4=TRUE,I.Facility.P4FacilityCount&gt;=3796,F23808=""),"Incomplete","Complete")</f>
        <v>Complete</v>
      </c>
      <c r="I23808" s="48" t="s">
        <v>28173</v>
      </c>
    </row>
    <row r="23809" spans="2:9" ht="15" customHeight="1" x14ac:dyDescent="0.25">
      <c r="B23809" s="55" t="s">
        <v>283</v>
      </c>
      <c r="C23809" s="46">
        <v>3797</v>
      </c>
      <c r="D23809" s="69" t="s">
        <v>29420</v>
      </c>
      <c r="E23809" s="51"/>
      <c r="F23809" s="114" t="str">
        <f>IF(INDEX(I.Facility.P4IDNumber,3797)="","",INDEX(I.Facility.P4IDNumber,3797))</f>
        <v/>
      </c>
      <c r="G23809" s="51"/>
      <c r="H23809" s="46" t="str">
        <f>IF(AND(I.Developer.P4=TRUE,I.Facility.P4FacilityCount&gt;=3797,F23809=""),"Incomplete","Complete")</f>
        <v>Complete</v>
      </c>
      <c r="I23809" s="48" t="s">
        <v>28174</v>
      </c>
    </row>
    <row r="23810" spans="2:9" ht="15" customHeight="1" x14ac:dyDescent="0.25">
      <c r="B23810" s="55" t="s">
        <v>283</v>
      </c>
      <c r="C23810" s="46">
        <v>3798</v>
      </c>
      <c r="D23810" s="69" t="s">
        <v>29420</v>
      </c>
      <c r="E23810" s="51"/>
      <c r="F23810" s="114" t="str">
        <f>IF(INDEX(I.Facility.P4IDNumber,3798)="","",INDEX(I.Facility.P4IDNumber,3798))</f>
        <v/>
      </c>
      <c r="G23810" s="51"/>
      <c r="H23810" s="46" t="str">
        <f>IF(AND(I.Developer.P4=TRUE,I.Facility.P4FacilityCount&gt;=3798,F23810=""),"Incomplete","Complete")</f>
        <v>Complete</v>
      </c>
      <c r="I23810" s="48" t="s">
        <v>28175</v>
      </c>
    </row>
    <row r="23811" spans="2:9" ht="15" customHeight="1" x14ac:dyDescent="0.25">
      <c r="B23811" s="55" t="s">
        <v>283</v>
      </c>
      <c r="C23811" s="46">
        <v>3799</v>
      </c>
      <c r="D23811" s="69" t="s">
        <v>29420</v>
      </c>
      <c r="E23811" s="51"/>
      <c r="F23811" s="114" t="str">
        <f>IF(INDEX(I.Facility.P4IDNumber,3799)="","",INDEX(I.Facility.P4IDNumber,3799))</f>
        <v/>
      </c>
      <c r="G23811" s="51"/>
      <c r="H23811" s="46" t="str">
        <f>IF(AND(I.Developer.P4=TRUE,I.Facility.P4FacilityCount&gt;=3799,F23811=""),"Incomplete","Complete")</f>
        <v>Complete</v>
      </c>
      <c r="I23811" s="48" t="s">
        <v>28176</v>
      </c>
    </row>
    <row r="23812" spans="2:9" ht="15" customHeight="1" x14ac:dyDescent="0.25">
      <c r="B23812" s="55" t="s">
        <v>283</v>
      </c>
      <c r="C23812" s="46">
        <v>3800</v>
      </c>
      <c r="D23812" s="69" t="s">
        <v>29420</v>
      </c>
      <c r="E23812" s="51"/>
      <c r="F23812" s="114" t="str">
        <f>IF(INDEX(I.Facility.P4IDNumber,3800)="","",INDEX(I.Facility.P4IDNumber,3800))</f>
        <v/>
      </c>
      <c r="G23812" s="51"/>
      <c r="H23812" s="46" t="str">
        <f>IF(AND(I.Developer.P4=TRUE,I.Facility.P4FacilityCount&gt;=3800,F23812=""),"Incomplete","Complete")</f>
        <v>Complete</v>
      </c>
      <c r="I23812" s="48" t="s">
        <v>28177</v>
      </c>
    </row>
    <row r="23813" spans="2:9" ht="15" customHeight="1" x14ac:dyDescent="0.25">
      <c r="B23813" s="55" t="s">
        <v>283</v>
      </c>
      <c r="C23813" s="46">
        <v>3801</v>
      </c>
      <c r="D23813" s="69" t="s">
        <v>29420</v>
      </c>
      <c r="E23813" s="51"/>
      <c r="F23813" s="114" t="str">
        <f>IF(INDEX(I.Facility.P4IDNumber,3801)="","",INDEX(I.Facility.P4IDNumber,3801))</f>
        <v/>
      </c>
      <c r="G23813" s="51"/>
      <c r="H23813" s="46" t="str">
        <f>IF(AND(I.Developer.P4=TRUE,I.Facility.P4FacilityCount&gt;=3801,F23813=""),"Incomplete","Complete")</f>
        <v>Complete</v>
      </c>
      <c r="I23813" s="48" t="s">
        <v>28178</v>
      </c>
    </row>
    <row r="23814" spans="2:9" ht="15" customHeight="1" x14ac:dyDescent="0.25">
      <c r="B23814" s="55" t="s">
        <v>283</v>
      </c>
      <c r="C23814" s="46">
        <v>3802</v>
      </c>
      <c r="D23814" s="69" t="s">
        <v>29420</v>
      </c>
      <c r="E23814" s="51"/>
      <c r="F23814" s="114" t="str">
        <f>IF(INDEX(I.Facility.P4IDNumber,3802)="","",INDEX(I.Facility.P4IDNumber,3802))</f>
        <v/>
      </c>
      <c r="G23814" s="51"/>
      <c r="H23814" s="46" t="str">
        <f>IF(AND(I.Developer.P4=TRUE,I.Facility.P4FacilityCount&gt;=3802,F23814=""),"Incomplete","Complete")</f>
        <v>Complete</v>
      </c>
      <c r="I23814" s="48" t="s">
        <v>28179</v>
      </c>
    </row>
    <row r="23815" spans="2:9" ht="15" customHeight="1" x14ac:dyDescent="0.25">
      <c r="B23815" s="55" t="s">
        <v>283</v>
      </c>
      <c r="C23815" s="46">
        <v>3803</v>
      </c>
      <c r="D23815" s="69" t="s">
        <v>29420</v>
      </c>
      <c r="E23815" s="51"/>
      <c r="F23815" s="114" t="str">
        <f>IF(INDEX(I.Facility.P4IDNumber,3803)="","",INDEX(I.Facility.P4IDNumber,3803))</f>
        <v/>
      </c>
      <c r="G23815" s="51"/>
      <c r="H23815" s="46" t="str">
        <f>IF(AND(I.Developer.P4=TRUE,I.Facility.P4FacilityCount&gt;=3803,F23815=""),"Incomplete","Complete")</f>
        <v>Complete</v>
      </c>
      <c r="I23815" s="48" t="s">
        <v>28180</v>
      </c>
    </row>
    <row r="23816" spans="2:9" ht="15" customHeight="1" x14ac:dyDescent="0.25">
      <c r="B23816" s="55" t="s">
        <v>283</v>
      </c>
      <c r="C23816" s="46">
        <v>3804</v>
      </c>
      <c r="D23816" s="69" t="s">
        <v>29420</v>
      </c>
      <c r="E23816" s="51"/>
      <c r="F23816" s="114" t="str">
        <f>IF(INDEX(I.Facility.P4IDNumber,3804)="","",INDEX(I.Facility.P4IDNumber,3804))</f>
        <v/>
      </c>
      <c r="G23816" s="51"/>
      <c r="H23816" s="46" t="str">
        <f>IF(AND(I.Developer.P4=TRUE,I.Facility.P4FacilityCount&gt;=3804,F23816=""),"Incomplete","Complete")</f>
        <v>Complete</v>
      </c>
      <c r="I23816" s="48" t="s">
        <v>28181</v>
      </c>
    </row>
    <row r="23817" spans="2:9" ht="15" customHeight="1" x14ac:dyDescent="0.25">
      <c r="B23817" s="55" t="s">
        <v>283</v>
      </c>
      <c r="C23817" s="46">
        <v>3805</v>
      </c>
      <c r="D23817" s="69" t="s">
        <v>29420</v>
      </c>
      <c r="E23817" s="51"/>
      <c r="F23817" s="114" t="str">
        <f>IF(INDEX(I.Facility.P4IDNumber,3805)="","",INDEX(I.Facility.P4IDNumber,3805))</f>
        <v/>
      </c>
      <c r="G23817" s="51"/>
      <c r="H23817" s="46" t="str">
        <f>IF(AND(I.Developer.P4=TRUE,I.Facility.P4FacilityCount&gt;=3805,F23817=""),"Incomplete","Complete")</f>
        <v>Complete</v>
      </c>
      <c r="I23817" s="48" t="s">
        <v>28182</v>
      </c>
    </row>
    <row r="23818" spans="2:9" ht="15" customHeight="1" x14ac:dyDescent="0.25">
      <c r="B23818" s="55" t="s">
        <v>283</v>
      </c>
      <c r="C23818" s="46">
        <v>3806</v>
      </c>
      <c r="D23818" s="69" t="s">
        <v>29420</v>
      </c>
      <c r="E23818" s="51"/>
      <c r="F23818" s="114" t="str">
        <f>IF(INDEX(I.Facility.P4IDNumber,3806)="","",INDEX(I.Facility.P4IDNumber,3806))</f>
        <v/>
      </c>
      <c r="G23818" s="51"/>
      <c r="H23818" s="46" t="str">
        <f>IF(AND(I.Developer.P4=TRUE,I.Facility.P4FacilityCount&gt;=3806,F23818=""),"Incomplete","Complete")</f>
        <v>Complete</v>
      </c>
      <c r="I23818" s="48" t="s">
        <v>28183</v>
      </c>
    </row>
    <row r="23819" spans="2:9" ht="15" customHeight="1" x14ac:dyDescent="0.25">
      <c r="B23819" s="55" t="s">
        <v>283</v>
      </c>
      <c r="C23819" s="46">
        <v>3807</v>
      </c>
      <c r="D23819" s="69" t="s">
        <v>29420</v>
      </c>
      <c r="E23819" s="51"/>
      <c r="F23819" s="114" t="str">
        <f>IF(INDEX(I.Facility.P4IDNumber,3807)="","",INDEX(I.Facility.P4IDNumber,3807))</f>
        <v/>
      </c>
      <c r="G23819" s="51"/>
      <c r="H23819" s="46" t="str">
        <f>IF(AND(I.Developer.P4=TRUE,I.Facility.P4FacilityCount&gt;=3807,F23819=""),"Incomplete","Complete")</f>
        <v>Complete</v>
      </c>
      <c r="I23819" s="48" t="s">
        <v>28184</v>
      </c>
    </row>
    <row r="23820" spans="2:9" ht="15" customHeight="1" x14ac:dyDescent="0.25">
      <c r="B23820" s="55" t="s">
        <v>283</v>
      </c>
      <c r="C23820" s="46">
        <v>3808</v>
      </c>
      <c r="D23820" s="69" t="s">
        <v>29420</v>
      </c>
      <c r="E23820" s="51"/>
      <c r="F23820" s="114" t="str">
        <f>IF(INDEX(I.Facility.P4IDNumber,3808)="","",INDEX(I.Facility.P4IDNumber,3808))</f>
        <v/>
      </c>
      <c r="G23820" s="51"/>
      <c r="H23820" s="46" t="str">
        <f>IF(AND(I.Developer.P4=TRUE,I.Facility.P4FacilityCount&gt;=3808,F23820=""),"Incomplete","Complete")</f>
        <v>Complete</v>
      </c>
      <c r="I23820" s="48" t="s">
        <v>28185</v>
      </c>
    </row>
    <row r="23821" spans="2:9" ht="15" customHeight="1" x14ac:dyDescent="0.25">
      <c r="B23821" s="55" t="s">
        <v>283</v>
      </c>
      <c r="C23821" s="46">
        <v>3809</v>
      </c>
      <c r="D23821" s="69" t="s">
        <v>29420</v>
      </c>
      <c r="E23821" s="51"/>
      <c r="F23821" s="114" t="str">
        <f>IF(INDEX(I.Facility.P4IDNumber,3809)="","",INDEX(I.Facility.P4IDNumber,3809))</f>
        <v/>
      </c>
      <c r="G23821" s="51"/>
      <c r="H23821" s="46" t="str">
        <f>IF(AND(I.Developer.P4=TRUE,I.Facility.P4FacilityCount&gt;=3809,F23821=""),"Incomplete","Complete")</f>
        <v>Complete</v>
      </c>
      <c r="I23821" s="48" t="s">
        <v>28186</v>
      </c>
    </row>
    <row r="23822" spans="2:9" ht="15" customHeight="1" x14ac:dyDescent="0.25">
      <c r="B23822" s="55" t="s">
        <v>283</v>
      </c>
      <c r="C23822" s="46">
        <v>3810</v>
      </c>
      <c r="D23822" s="69" t="s">
        <v>29420</v>
      </c>
      <c r="E23822" s="51"/>
      <c r="F23822" s="114" t="str">
        <f>IF(INDEX(I.Facility.P4IDNumber,3810)="","",INDEX(I.Facility.P4IDNumber,3810))</f>
        <v/>
      </c>
      <c r="G23822" s="51"/>
      <c r="H23822" s="46" t="str">
        <f>IF(AND(I.Developer.P4=TRUE,I.Facility.P4FacilityCount&gt;=3810,F23822=""),"Incomplete","Complete")</f>
        <v>Complete</v>
      </c>
      <c r="I23822" s="48" t="s">
        <v>28187</v>
      </c>
    </row>
    <row r="23823" spans="2:9" ht="15" customHeight="1" x14ac:dyDescent="0.25">
      <c r="B23823" s="55" t="s">
        <v>283</v>
      </c>
      <c r="C23823" s="46">
        <v>3811</v>
      </c>
      <c r="D23823" s="69" t="s">
        <v>29420</v>
      </c>
      <c r="E23823" s="51"/>
      <c r="F23823" s="114" t="str">
        <f>IF(INDEX(I.Facility.P4IDNumber,3811)="","",INDEX(I.Facility.P4IDNumber,3811))</f>
        <v/>
      </c>
      <c r="G23823" s="51"/>
      <c r="H23823" s="46" t="str">
        <f>IF(AND(I.Developer.P4=TRUE,I.Facility.P4FacilityCount&gt;=3811,F23823=""),"Incomplete","Complete")</f>
        <v>Complete</v>
      </c>
      <c r="I23823" s="48" t="s">
        <v>28188</v>
      </c>
    </row>
    <row r="23824" spans="2:9" ht="15" customHeight="1" x14ac:dyDescent="0.25">
      <c r="B23824" s="55" t="s">
        <v>283</v>
      </c>
      <c r="C23824" s="46">
        <v>3812</v>
      </c>
      <c r="D23824" s="69" t="s">
        <v>29420</v>
      </c>
      <c r="E23824" s="51"/>
      <c r="F23824" s="114" t="str">
        <f>IF(INDEX(I.Facility.P4IDNumber,3812)="","",INDEX(I.Facility.P4IDNumber,3812))</f>
        <v/>
      </c>
      <c r="G23824" s="51"/>
      <c r="H23824" s="46" t="str">
        <f>IF(AND(I.Developer.P4=TRUE,I.Facility.P4FacilityCount&gt;=3812,F23824=""),"Incomplete","Complete")</f>
        <v>Complete</v>
      </c>
      <c r="I23824" s="48" t="s">
        <v>28189</v>
      </c>
    </row>
    <row r="23825" spans="2:9" ht="15" customHeight="1" x14ac:dyDescent="0.25">
      <c r="B23825" s="55" t="s">
        <v>283</v>
      </c>
      <c r="C23825" s="46">
        <v>3813</v>
      </c>
      <c r="D23825" s="69" t="s">
        <v>29420</v>
      </c>
      <c r="E23825" s="51"/>
      <c r="F23825" s="114" t="str">
        <f>IF(INDEX(I.Facility.P4IDNumber,3813)="","",INDEX(I.Facility.P4IDNumber,3813))</f>
        <v/>
      </c>
      <c r="G23825" s="51"/>
      <c r="H23825" s="46" t="str">
        <f>IF(AND(I.Developer.P4=TRUE,I.Facility.P4FacilityCount&gt;=3813,F23825=""),"Incomplete","Complete")</f>
        <v>Complete</v>
      </c>
      <c r="I23825" s="48" t="s">
        <v>28190</v>
      </c>
    </row>
    <row r="23826" spans="2:9" ht="15" customHeight="1" x14ac:dyDescent="0.25">
      <c r="B23826" s="55" t="s">
        <v>283</v>
      </c>
      <c r="C23826" s="46">
        <v>3814</v>
      </c>
      <c r="D23826" s="69" t="s">
        <v>29420</v>
      </c>
      <c r="E23826" s="51"/>
      <c r="F23826" s="114" t="str">
        <f>IF(INDEX(I.Facility.P4IDNumber,3814)="","",INDEX(I.Facility.P4IDNumber,3814))</f>
        <v/>
      </c>
      <c r="G23826" s="51"/>
      <c r="H23826" s="46" t="str">
        <f>IF(AND(I.Developer.P4=TRUE,I.Facility.P4FacilityCount&gt;=3814,F23826=""),"Incomplete","Complete")</f>
        <v>Complete</v>
      </c>
      <c r="I23826" s="48" t="s">
        <v>28191</v>
      </c>
    </row>
    <row r="23827" spans="2:9" ht="15" customHeight="1" x14ac:dyDescent="0.25">
      <c r="B23827" s="55" t="s">
        <v>283</v>
      </c>
      <c r="C23827" s="46">
        <v>3815</v>
      </c>
      <c r="D23827" s="69" t="s">
        <v>29420</v>
      </c>
      <c r="E23827" s="51"/>
      <c r="F23827" s="114" t="str">
        <f>IF(INDEX(I.Facility.P4IDNumber,3815)="","",INDEX(I.Facility.P4IDNumber,3815))</f>
        <v/>
      </c>
      <c r="G23827" s="51"/>
      <c r="H23827" s="46" t="str">
        <f>IF(AND(I.Developer.P4=TRUE,I.Facility.P4FacilityCount&gt;=3815,F23827=""),"Incomplete","Complete")</f>
        <v>Complete</v>
      </c>
      <c r="I23827" s="48" t="s">
        <v>28192</v>
      </c>
    </row>
    <row r="23828" spans="2:9" ht="15" customHeight="1" x14ac:dyDescent="0.25">
      <c r="B23828" s="55" t="s">
        <v>283</v>
      </c>
      <c r="C23828" s="46">
        <v>3816</v>
      </c>
      <c r="D23828" s="69" t="s">
        <v>29420</v>
      </c>
      <c r="E23828" s="51"/>
      <c r="F23828" s="114" t="str">
        <f>IF(INDEX(I.Facility.P4IDNumber,3816)="","",INDEX(I.Facility.P4IDNumber,3816))</f>
        <v/>
      </c>
      <c r="G23828" s="51"/>
      <c r="H23828" s="46" t="str">
        <f>IF(AND(I.Developer.P4=TRUE,I.Facility.P4FacilityCount&gt;=3816,F23828=""),"Incomplete","Complete")</f>
        <v>Complete</v>
      </c>
      <c r="I23828" s="48" t="s">
        <v>28193</v>
      </c>
    </row>
    <row r="23829" spans="2:9" ht="15" customHeight="1" x14ac:dyDescent="0.25">
      <c r="B23829" s="55" t="s">
        <v>283</v>
      </c>
      <c r="C23829" s="46">
        <v>3817</v>
      </c>
      <c r="D23829" s="69" t="s">
        <v>29420</v>
      </c>
      <c r="E23829" s="51"/>
      <c r="F23829" s="114" t="str">
        <f>IF(INDEX(I.Facility.P4IDNumber,3817)="","",INDEX(I.Facility.P4IDNumber,3817))</f>
        <v/>
      </c>
      <c r="G23829" s="51"/>
      <c r="H23829" s="46" t="str">
        <f>IF(AND(I.Developer.P4=TRUE,I.Facility.P4FacilityCount&gt;=3817,F23829=""),"Incomplete","Complete")</f>
        <v>Complete</v>
      </c>
      <c r="I23829" s="48" t="s">
        <v>28194</v>
      </c>
    </row>
    <row r="23830" spans="2:9" ht="15" customHeight="1" x14ac:dyDescent="0.25">
      <c r="B23830" s="55" t="s">
        <v>283</v>
      </c>
      <c r="C23830" s="46">
        <v>3818</v>
      </c>
      <c r="D23830" s="69" t="s">
        <v>29420</v>
      </c>
      <c r="E23830" s="51"/>
      <c r="F23830" s="114" t="str">
        <f>IF(INDEX(I.Facility.P4IDNumber,3818)="","",INDEX(I.Facility.P4IDNumber,3818))</f>
        <v/>
      </c>
      <c r="G23830" s="51"/>
      <c r="H23830" s="46" t="str">
        <f>IF(AND(I.Developer.P4=TRUE,I.Facility.P4FacilityCount&gt;=3818,F23830=""),"Incomplete","Complete")</f>
        <v>Complete</v>
      </c>
      <c r="I23830" s="48" t="s">
        <v>28195</v>
      </c>
    </row>
    <row r="23831" spans="2:9" ht="15" customHeight="1" x14ac:dyDescent="0.25">
      <c r="B23831" s="55" t="s">
        <v>283</v>
      </c>
      <c r="C23831" s="46">
        <v>3819</v>
      </c>
      <c r="D23831" s="69" t="s">
        <v>29420</v>
      </c>
      <c r="E23831" s="51"/>
      <c r="F23831" s="114" t="str">
        <f>IF(INDEX(I.Facility.P4IDNumber,3819)="","",INDEX(I.Facility.P4IDNumber,3819))</f>
        <v/>
      </c>
      <c r="G23831" s="51"/>
      <c r="H23831" s="46" t="str">
        <f>IF(AND(I.Developer.P4=TRUE,I.Facility.P4FacilityCount&gt;=3819,F23831=""),"Incomplete","Complete")</f>
        <v>Complete</v>
      </c>
      <c r="I23831" s="48" t="s">
        <v>28196</v>
      </c>
    </row>
    <row r="23832" spans="2:9" ht="15" customHeight="1" x14ac:dyDescent="0.25">
      <c r="B23832" s="55" t="s">
        <v>283</v>
      </c>
      <c r="C23832" s="46">
        <v>3820</v>
      </c>
      <c r="D23832" s="69" t="s">
        <v>29420</v>
      </c>
      <c r="E23832" s="51"/>
      <c r="F23832" s="114" t="str">
        <f>IF(INDEX(I.Facility.P4IDNumber,3820)="","",INDEX(I.Facility.P4IDNumber,3820))</f>
        <v/>
      </c>
      <c r="G23832" s="51"/>
      <c r="H23832" s="46" t="str">
        <f>IF(AND(I.Developer.P4=TRUE,I.Facility.P4FacilityCount&gt;=3820,F23832=""),"Incomplete","Complete")</f>
        <v>Complete</v>
      </c>
      <c r="I23832" s="48" t="s">
        <v>28197</v>
      </c>
    </row>
    <row r="23833" spans="2:9" ht="15" customHeight="1" x14ac:dyDescent="0.25">
      <c r="B23833" s="55" t="s">
        <v>283</v>
      </c>
      <c r="C23833" s="46">
        <v>3821</v>
      </c>
      <c r="D23833" s="69" t="s">
        <v>29420</v>
      </c>
      <c r="E23833" s="51"/>
      <c r="F23833" s="114" t="str">
        <f>IF(INDEX(I.Facility.P4IDNumber,3821)="","",INDEX(I.Facility.P4IDNumber,3821))</f>
        <v/>
      </c>
      <c r="G23833" s="51"/>
      <c r="H23833" s="46" t="str">
        <f>IF(AND(I.Developer.P4=TRUE,I.Facility.P4FacilityCount&gt;=3821,F23833=""),"Incomplete","Complete")</f>
        <v>Complete</v>
      </c>
      <c r="I23833" s="48" t="s">
        <v>28198</v>
      </c>
    </row>
    <row r="23834" spans="2:9" ht="15" customHeight="1" x14ac:dyDescent="0.25">
      <c r="B23834" s="55" t="s">
        <v>283</v>
      </c>
      <c r="C23834" s="46">
        <v>3822</v>
      </c>
      <c r="D23834" s="69" t="s">
        <v>29420</v>
      </c>
      <c r="E23834" s="51"/>
      <c r="F23834" s="114" t="str">
        <f>IF(INDEX(I.Facility.P4IDNumber,3822)="","",INDEX(I.Facility.P4IDNumber,3822))</f>
        <v/>
      </c>
      <c r="G23834" s="51"/>
      <c r="H23834" s="46" t="str">
        <f>IF(AND(I.Developer.P4=TRUE,I.Facility.P4FacilityCount&gt;=3822,F23834=""),"Incomplete","Complete")</f>
        <v>Complete</v>
      </c>
      <c r="I23834" s="48" t="s">
        <v>28199</v>
      </c>
    </row>
    <row r="23835" spans="2:9" ht="15" customHeight="1" x14ac:dyDescent="0.25">
      <c r="B23835" s="55" t="s">
        <v>283</v>
      </c>
      <c r="C23835" s="46">
        <v>3823</v>
      </c>
      <c r="D23835" s="69" t="s">
        <v>29420</v>
      </c>
      <c r="E23835" s="51"/>
      <c r="F23835" s="114" t="str">
        <f>IF(INDEX(I.Facility.P4IDNumber,3823)="","",INDEX(I.Facility.P4IDNumber,3823))</f>
        <v/>
      </c>
      <c r="G23835" s="51"/>
      <c r="H23835" s="46" t="str">
        <f>IF(AND(I.Developer.P4=TRUE,I.Facility.P4FacilityCount&gt;=3823,F23835=""),"Incomplete","Complete")</f>
        <v>Complete</v>
      </c>
      <c r="I23835" s="48" t="s">
        <v>28200</v>
      </c>
    </row>
    <row r="23836" spans="2:9" ht="15" customHeight="1" x14ac:dyDescent="0.25">
      <c r="B23836" s="55" t="s">
        <v>283</v>
      </c>
      <c r="C23836" s="46">
        <v>3824</v>
      </c>
      <c r="D23836" s="69" t="s">
        <v>29420</v>
      </c>
      <c r="E23836" s="51"/>
      <c r="F23836" s="114" t="str">
        <f>IF(INDEX(I.Facility.P4IDNumber,3824)="","",INDEX(I.Facility.P4IDNumber,3824))</f>
        <v/>
      </c>
      <c r="G23836" s="51"/>
      <c r="H23836" s="46" t="str">
        <f>IF(AND(I.Developer.P4=TRUE,I.Facility.P4FacilityCount&gt;=3824,F23836=""),"Incomplete","Complete")</f>
        <v>Complete</v>
      </c>
      <c r="I23836" s="48" t="s">
        <v>28201</v>
      </c>
    </row>
    <row r="23837" spans="2:9" ht="15" customHeight="1" x14ac:dyDescent="0.25">
      <c r="B23837" s="55" t="s">
        <v>283</v>
      </c>
      <c r="C23837" s="46">
        <v>3825</v>
      </c>
      <c r="D23837" s="69" t="s">
        <v>29420</v>
      </c>
      <c r="E23837" s="51"/>
      <c r="F23837" s="114" t="str">
        <f>IF(INDEX(I.Facility.P4IDNumber,3825)="","",INDEX(I.Facility.P4IDNumber,3825))</f>
        <v/>
      </c>
      <c r="G23837" s="51"/>
      <c r="H23837" s="46" t="str">
        <f>IF(AND(I.Developer.P4=TRUE,I.Facility.P4FacilityCount&gt;=3825,F23837=""),"Incomplete","Complete")</f>
        <v>Complete</v>
      </c>
      <c r="I23837" s="48" t="s">
        <v>28202</v>
      </c>
    </row>
    <row r="23838" spans="2:9" ht="15" customHeight="1" x14ac:dyDescent="0.25">
      <c r="B23838" s="55" t="s">
        <v>283</v>
      </c>
      <c r="C23838" s="46">
        <v>3826</v>
      </c>
      <c r="D23838" s="69" t="s">
        <v>29420</v>
      </c>
      <c r="E23838" s="51"/>
      <c r="F23838" s="114" t="str">
        <f>IF(INDEX(I.Facility.P4IDNumber,3826)="","",INDEX(I.Facility.P4IDNumber,3826))</f>
        <v/>
      </c>
      <c r="G23838" s="51"/>
      <c r="H23838" s="46" t="str">
        <f>IF(AND(I.Developer.P4=TRUE,I.Facility.P4FacilityCount&gt;=3826,F23838=""),"Incomplete","Complete")</f>
        <v>Complete</v>
      </c>
      <c r="I23838" s="48" t="s">
        <v>28203</v>
      </c>
    </row>
    <row r="23839" spans="2:9" ht="15" customHeight="1" x14ac:dyDescent="0.25">
      <c r="B23839" s="55" t="s">
        <v>283</v>
      </c>
      <c r="C23839" s="46">
        <v>3827</v>
      </c>
      <c r="D23839" s="69" t="s">
        <v>29420</v>
      </c>
      <c r="E23839" s="51"/>
      <c r="F23839" s="114" t="str">
        <f>IF(INDEX(I.Facility.P4IDNumber,3827)="","",INDEX(I.Facility.P4IDNumber,3827))</f>
        <v/>
      </c>
      <c r="G23839" s="51"/>
      <c r="H23839" s="46" t="str">
        <f>IF(AND(I.Developer.P4=TRUE,I.Facility.P4FacilityCount&gt;=3827,F23839=""),"Incomplete","Complete")</f>
        <v>Complete</v>
      </c>
      <c r="I23839" s="48" t="s">
        <v>28204</v>
      </c>
    </row>
    <row r="23840" spans="2:9" ht="15" customHeight="1" x14ac:dyDescent="0.25">
      <c r="B23840" s="55" t="s">
        <v>283</v>
      </c>
      <c r="C23840" s="46">
        <v>3828</v>
      </c>
      <c r="D23840" s="69" t="s">
        <v>29420</v>
      </c>
      <c r="E23840" s="51"/>
      <c r="F23840" s="114" t="str">
        <f>IF(INDEX(I.Facility.P4IDNumber,3828)="","",INDEX(I.Facility.P4IDNumber,3828))</f>
        <v/>
      </c>
      <c r="G23840" s="51"/>
      <c r="H23840" s="46" t="str">
        <f>IF(AND(I.Developer.P4=TRUE,I.Facility.P4FacilityCount&gt;=3828,F23840=""),"Incomplete","Complete")</f>
        <v>Complete</v>
      </c>
      <c r="I23840" s="48" t="s">
        <v>28205</v>
      </c>
    </row>
    <row r="23841" spans="2:9" ht="15" customHeight="1" x14ac:dyDescent="0.25">
      <c r="B23841" s="55" t="s">
        <v>283</v>
      </c>
      <c r="C23841" s="46">
        <v>3829</v>
      </c>
      <c r="D23841" s="69" t="s">
        <v>29420</v>
      </c>
      <c r="E23841" s="51"/>
      <c r="F23841" s="114" t="str">
        <f>IF(INDEX(I.Facility.P4IDNumber,3829)="","",INDEX(I.Facility.P4IDNumber,3829))</f>
        <v/>
      </c>
      <c r="G23841" s="51"/>
      <c r="H23841" s="46" t="str">
        <f>IF(AND(I.Developer.P4=TRUE,I.Facility.P4FacilityCount&gt;=3829,F23841=""),"Incomplete","Complete")</f>
        <v>Complete</v>
      </c>
      <c r="I23841" s="48" t="s">
        <v>28206</v>
      </c>
    </row>
    <row r="23842" spans="2:9" ht="15" customHeight="1" x14ac:dyDescent="0.25">
      <c r="B23842" s="55" t="s">
        <v>283</v>
      </c>
      <c r="C23842" s="46">
        <v>3830</v>
      </c>
      <c r="D23842" s="69" t="s">
        <v>29420</v>
      </c>
      <c r="E23842" s="51"/>
      <c r="F23842" s="114" t="str">
        <f>IF(INDEX(I.Facility.P4IDNumber,3830)="","",INDEX(I.Facility.P4IDNumber,3830))</f>
        <v/>
      </c>
      <c r="G23842" s="51"/>
      <c r="H23842" s="46" t="str">
        <f>IF(AND(I.Developer.P4=TRUE,I.Facility.P4FacilityCount&gt;=3830,F23842=""),"Incomplete","Complete")</f>
        <v>Complete</v>
      </c>
      <c r="I23842" s="48" t="s">
        <v>28207</v>
      </c>
    </row>
    <row r="23843" spans="2:9" ht="15" customHeight="1" x14ac:dyDescent="0.25">
      <c r="B23843" s="55" t="s">
        <v>283</v>
      </c>
      <c r="C23843" s="46">
        <v>3831</v>
      </c>
      <c r="D23843" s="69" t="s">
        <v>29420</v>
      </c>
      <c r="E23843" s="51"/>
      <c r="F23843" s="114" t="str">
        <f>IF(INDEX(I.Facility.P4IDNumber,3831)="","",INDEX(I.Facility.P4IDNumber,3831))</f>
        <v/>
      </c>
      <c r="G23843" s="51"/>
      <c r="H23843" s="46" t="str">
        <f>IF(AND(I.Developer.P4=TRUE,I.Facility.P4FacilityCount&gt;=3831,F23843=""),"Incomplete","Complete")</f>
        <v>Complete</v>
      </c>
      <c r="I23843" s="48" t="s">
        <v>28208</v>
      </c>
    </row>
    <row r="23844" spans="2:9" ht="15" customHeight="1" x14ac:dyDescent="0.25">
      <c r="B23844" s="55" t="s">
        <v>283</v>
      </c>
      <c r="C23844" s="46">
        <v>3832</v>
      </c>
      <c r="D23844" s="69" t="s">
        <v>29420</v>
      </c>
      <c r="E23844" s="51"/>
      <c r="F23844" s="114" t="str">
        <f>IF(INDEX(I.Facility.P4IDNumber,3832)="","",INDEX(I.Facility.P4IDNumber,3832))</f>
        <v/>
      </c>
      <c r="G23844" s="51"/>
      <c r="H23844" s="46" t="str">
        <f>IF(AND(I.Developer.P4=TRUE,I.Facility.P4FacilityCount&gt;=3832,F23844=""),"Incomplete","Complete")</f>
        <v>Complete</v>
      </c>
      <c r="I23844" s="48" t="s">
        <v>28209</v>
      </c>
    </row>
    <row r="23845" spans="2:9" ht="15" customHeight="1" x14ac:dyDescent="0.25">
      <c r="B23845" s="55" t="s">
        <v>283</v>
      </c>
      <c r="C23845" s="46">
        <v>3833</v>
      </c>
      <c r="D23845" s="69" t="s">
        <v>29420</v>
      </c>
      <c r="E23845" s="51"/>
      <c r="F23845" s="114" t="str">
        <f>IF(INDEX(I.Facility.P4IDNumber,3833)="","",INDEX(I.Facility.P4IDNumber,3833))</f>
        <v/>
      </c>
      <c r="G23845" s="51"/>
      <c r="H23845" s="46" t="str">
        <f>IF(AND(I.Developer.P4=TRUE,I.Facility.P4FacilityCount&gt;=3833,F23845=""),"Incomplete","Complete")</f>
        <v>Complete</v>
      </c>
      <c r="I23845" s="48" t="s">
        <v>28210</v>
      </c>
    </row>
    <row r="23846" spans="2:9" ht="15" customHeight="1" x14ac:dyDescent="0.25">
      <c r="B23846" s="55" t="s">
        <v>283</v>
      </c>
      <c r="C23846" s="46">
        <v>3834</v>
      </c>
      <c r="D23846" s="69" t="s">
        <v>29420</v>
      </c>
      <c r="E23846" s="51"/>
      <c r="F23846" s="114" t="str">
        <f>IF(INDEX(I.Facility.P4IDNumber,3834)="","",INDEX(I.Facility.P4IDNumber,3834))</f>
        <v/>
      </c>
      <c r="G23846" s="51"/>
      <c r="H23846" s="46" t="str">
        <f>IF(AND(I.Developer.P4=TRUE,I.Facility.P4FacilityCount&gt;=3834,F23846=""),"Incomplete","Complete")</f>
        <v>Complete</v>
      </c>
      <c r="I23846" s="48" t="s">
        <v>28211</v>
      </c>
    </row>
    <row r="23847" spans="2:9" ht="15" customHeight="1" x14ac:dyDescent="0.25">
      <c r="B23847" s="55" t="s">
        <v>283</v>
      </c>
      <c r="C23847" s="46">
        <v>3835</v>
      </c>
      <c r="D23847" s="69" t="s">
        <v>29420</v>
      </c>
      <c r="E23847" s="51"/>
      <c r="F23847" s="114" t="str">
        <f>IF(INDEX(I.Facility.P4IDNumber,3835)="","",INDEX(I.Facility.P4IDNumber,3835))</f>
        <v/>
      </c>
      <c r="G23847" s="51"/>
      <c r="H23847" s="46" t="str">
        <f>IF(AND(I.Developer.P4=TRUE,I.Facility.P4FacilityCount&gt;=3835,F23847=""),"Incomplete","Complete")</f>
        <v>Complete</v>
      </c>
      <c r="I23847" s="48" t="s">
        <v>28212</v>
      </c>
    </row>
    <row r="23848" spans="2:9" ht="15" customHeight="1" x14ac:dyDescent="0.25">
      <c r="B23848" s="55" t="s">
        <v>283</v>
      </c>
      <c r="C23848" s="46">
        <v>3836</v>
      </c>
      <c r="D23848" s="69" t="s">
        <v>29420</v>
      </c>
      <c r="E23848" s="51"/>
      <c r="F23848" s="114" t="str">
        <f>IF(INDEX(I.Facility.P4IDNumber,3836)="","",INDEX(I.Facility.P4IDNumber,3836))</f>
        <v/>
      </c>
      <c r="G23848" s="51"/>
      <c r="H23848" s="46" t="str">
        <f>IF(AND(I.Developer.P4=TRUE,I.Facility.P4FacilityCount&gt;=3836,F23848=""),"Incomplete","Complete")</f>
        <v>Complete</v>
      </c>
      <c r="I23848" s="48" t="s">
        <v>28213</v>
      </c>
    </row>
    <row r="23849" spans="2:9" ht="15" customHeight="1" x14ac:dyDescent="0.25">
      <c r="B23849" s="55" t="s">
        <v>283</v>
      </c>
      <c r="C23849" s="46">
        <v>3837</v>
      </c>
      <c r="D23849" s="69" t="s">
        <v>29420</v>
      </c>
      <c r="E23849" s="51"/>
      <c r="F23849" s="114" t="str">
        <f>IF(INDEX(I.Facility.P4IDNumber,3837)="","",INDEX(I.Facility.P4IDNumber,3837))</f>
        <v/>
      </c>
      <c r="G23849" s="51"/>
      <c r="H23849" s="46" t="str">
        <f>IF(AND(I.Developer.P4=TRUE,I.Facility.P4FacilityCount&gt;=3837,F23849=""),"Incomplete","Complete")</f>
        <v>Complete</v>
      </c>
      <c r="I23849" s="48" t="s">
        <v>28214</v>
      </c>
    </row>
    <row r="23850" spans="2:9" ht="15" customHeight="1" x14ac:dyDescent="0.25">
      <c r="B23850" s="55" t="s">
        <v>283</v>
      </c>
      <c r="C23850" s="46">
        <v>3838</v>
      </c>
      <c r="D23850" s="69" t="s">
        <v>29420</v>
      </c>
      <c r="E23850" s="51"/>
      <c r="F23850" s="114" t="str">
        <f>IF(INDEX(I.Facility.P4IDNumber,3838)="","",INDEX(I.Facility.P4IDNumber,3838))</f>
        <v/>
      </c>
      <c r="G23850" s="51"/>
      <c r="H23850" s="46" t="str">
        <f>IF(AND(I.Developer.P4=TRUE,I.Facility.P4FacilityCount&gt;=3838,F23850=""),"Incomplete","Complete")</f>
        <v>Complete</v>
      </c>
      <c r="I23850" s="48" t="s">
        <v>28215</v>
      </c>
    </row>
    <row r="23851" spans="2:9" ht="15" customHeight="1" x14ac:dyDescent="0.25">
      <c r="B23851" s="55" t="s">
        <v>283</v>
      </c>
      <c r="C23851" s="46">
        <v>3839</v>
      </c>
      <c r="D23851" s="69" t="s">
        <v>29420</v>
      </c>
      <c r="E23851" s="51"/>
      <c r="F23851" s="114" t="str">
        <f>IF(INDEX(I.Facility.P4IDNumber,3839)="","",INDEX(I.Facility.P4IDNumber,3839))</f>
        <v/>
      </c>
      <c r="G23851" s="51"/>
      <c r="H23851" s="46" t="str">
        <f>IF(AND(I.Developer.P4=TRUE,I.Facility.P4FacilityCount&gt;=3839,F23851=""),"Incomplete","Complete")</f>
        <v>Complete</v>
      </c>
      <c r="I23851" s="48" t="s">
        <v>28216</v>
      </c>
    </row>
    <row r="23852" spans="2:9" ht="15" customHeight="1" x14ac:dyDescent="0.25">
      <c r="B23852" s="55" t="s">
        <v>283</v>
      </c>
      <c r="C23852" s="46">
        <v>3840</v>
      </c>
      <c r="D23852" s="69" t="s">
        <v>29420</v>
      </c>
      <c r="E23852" s="51"/>
      <c r="F23852" s="114" t="str">
        <f>IF(INDEX(I.Facility.P4IDNumber,3840)="","",INDEX(I.Facility.P4IDNumber,3840))</f>
        <v/>
      </c>
      <c r="G23852" s="51"/>
      <c r="H23852" s="46" t="str">
        <f>IF(AND(I.Developer.P4=TRUE,I.Facility.P4FacilityCount&gt;=3840,F23852=""),"Incomplete","Complete")</f>
        <v>Complete</v>
      </c>
      <c r="I23852" s="48" t="s">
        <v>28217</v>
      </c>
    </row>
    <row r="23853" spans="2:9" ht="15" customHeight="1" x14ac:dyDescent="0.25">
      <c r="B23853" s="55" t="s">
        <v>283</v>
      </c>
      <c r="C23853" s="46">
        <v>3841</v>
      </c>
      <c r="D23853" s="69" t="s">
        <v>29420</v>
      </c>
      <c r="E23853" s="51"/>
      <c r="F23853" s="114" t="str">
        <f>IF(INDEX(I.Facility.P4IDNumber,3841)="","",INDEX(I.Facility.P4IDNumber,3841))</f>
        <v/>
      </c>
      <c r="G23853" s="51"/>
      <c r="H23853" s="46" t="str">
        <f>IF(AND(I.Developer.P4=TRUE,I.Facility.P4FacilityCount&gt;=3841,F23853=""),"Incomplete","Complete")</f>
        <v>Complete</v>
      </c>
      <c r="I23853" s="48" t="s">
        <v>28218</v>
      </c>
    </row>
    <row r="23854" spans="2:9" ht="15" customHeight="1" x14ac:dyDescent="0.25">
      <c r="B23854" s="55" t="s">
        <v>283</v>
      </c>
      <c r="C23854" s="46">
        <v>3842</v>
      </c>
      <c r="D23854" s="69" t="s">
        <v>29420</v>
      </c>
      <c r="E23854" s="51"/>
      <c r="F23854" s="114" t="str">
        <f>IF(INDEX(I.Facility.P4IDNumber,3842)="","",INDEX(I.Facility.P4IDNumber,3842))</f>
        <v/>
      </c>
      <c r="G23854" s="51"/>
      <c r="H23854" s="46" t="str">
        <f>IF(AND(I.Developer.P4=TRUE,I.Facility.P4FacilityCount&gt;=3842,F23854=""),"Incomplete","Complete")</f>
        <v>Complete</v>
      </c>
      <c r="I23854" s="48" t="s">
        <v>28219</v>
      </c>
    </row>
    <row r="23855" spans="2:9" ht="15" customHeight="1" x14ac:dyDescent="0.25">
      <c r="B23855" s="55" t="s">
        <v>283</v>
      </c>
      <c r="C23855" s="46">
        <v>3843</v>
      </c>
      <c r="D23855" s="69" t="s">
        <v>29420</v>
      </c>
      <c r="E23855" s="51"/>
      <c r="F23855" s="114" t="str">
        <f>IF(INDEX(I.Facility.P4IDNumber,3843)="","",INDEX(I.Facility.P4IDNumber,3843))</f>
        <v/>
      </c>
      <c r="G23855" s="51"/>
      <c r="H23855" s="46" t="str">
        <f>IF(AND(I.Developer.P4=TRUE,I.Facility.P4FacilityCount&gt;=3843,F23855=""),"Incomplete","Complete")</f>
        <v>Complete</v>
      </c>
      <c r="I23855" s="48" t="s">
        <v>28220</v>
      </c>
    </row>
    <row r="23856" spans="2:9" ht="15" customHeight="1" x14ac:dyDescent="0.25">
      <c r="B23856" s="55" t="s">
        <v>283</v>
      </c>
      <c r="C23856" s="46">
        <v>3844</v>
      </c>
      <c r="D23856" s="69" t="s">
        <v>29420</v>
      </c>
      <c r="E23856" s="51"/>
      <c r="F23856" s="114" t="str">
        <f>IF(INDEX(I.Facility.P4IDNumber,3844)="","",INDEX(I.Facility.P4IDNumber,3844))</f>
        <v/>
      </c>
      <c r="G23856" s="51"/>
      <c r="H23856" s="46" t="str">
        <f>IF(AND(I.Developer.P4=TRUE,I.Facility.P4FacilityCount&gt;=3844,F23856=""),"Incomplete","Complete")</f>
        <v>Complete</v>
      </c>
      <c r="I23856" s="48" t="s">
        <v>28221</v>
      </c>
    </row>
    <row r="23857" spans="2:9" ht="15" customHeight="1" x14ac:dyDescent="0.25">
      <c r="B23857" s="55" t="s">
        <v>283</v>
      </c>
      <c r="C23857" s="46">
        <v>3845</v>
      </c>
      <c r="D23857" s="69" t="s">
        <v>29420</v>
      </c>
      <c r="E23857" s="51"/>
      <c r="F23857" s="114" t="str">
        <f>IF(INDEX(I.Facility.P4IDNumber,3845)="","",INDEX(I.Facility.P4IDNumber,3845))</f>
        <v/>
      </c>
      <c r="G23857" s="51"/>
      <c r="H23857" s="46" t="str">
        <f>IF(AND(I.Developer.P4=TRUE,I.Facility.P4FacilityCount&gt;=3845,F23857=""),"Incomplete","Complete")</f>
        <v>Complete</v>
      </c>
      <c r="I23857" s="48" t="s">
        <v>28222</v>
      </c>
    </row>
    <row r="23858" spans="2:9" ht="15" customHeight="1" x14ac:dyDescent="0.25">
      <c r="B23858" s="55" t="s">
        <v>283</v>
      </c>
      <c r="C23858" s="46">
        <v>3846</v>
      </c>
      <c r="D23858" s="69" t="s">
        <v>29420</v>
      </c>
      <c r="E23858" s="51"/>
      <c r="F23858" s="114" t="str">
        <f>IF(INDEX(I.Facility.P4IDNumber,3846)="","",INDEX(I.Facility.P4IDNumber,3846))</f>
        <v/>
      </c>
      <c r="G23858" s="51"/>
      <c r="H23858" s="46" t="str">
        <f>IF(AND(I.Developer.P4=TRUE,I.Facility.P4FacilityCount&gt;=3846,F23858=""),"Incomplete","Complete")</f>
        <v>Complete</v>
      </c>
      <c r="I23858" s="48" t="s">
        <v>28223</v>
      </c>
    </row>
    <row r="23859" spans="2:9" ht="15" customHeight="1" x14ac:dyDescent="0.25">
      <c r="B23859" s="55" t="s">
        <v>283</v>
      </c>
      <c r="C23859" s="46">
        <v>3847</v>
      </c>
      <c r="D23859" s="69" t="s">
        <v>29420</v>
      </c>
      <c r="E23859" s="51"/>
      <c r="F23859" s="114" t="str">
        <f>IF(INDEX(I.Facility.P4IDNumber,3847)="","",INDEX(I.Facility.P4IDNumber,3847))</f>
        <v/>
      </c>
      <c r="G23859" s="51"/>
      <c r="H23859" s="46" t="str">
        <f>IF(AND(I.Developer.P4=TRUE,I.Facility.P4FacilityCount&gt;=3847,F23859=""),"Incomplete","Complete")</f>
        <v>Complete</v>
      </c>
      <c r="I23859" s="48" t="s">
        <v>28224</v>
      </c>
    </row>
    <row r="23860" spans="2:9" ht="15" customHeight="1" x14ac:dyDescent="0.25">
      <c r="B23860" s="55" t="s">
        <v>283</v>
      </c>
      <c r="C23860" s="46">
        <v>3848</v>
      </c>
      <c r="D23860" s="69" t="s">
        <v>29420</v>
      </c>
      <c r="E23860" s="51"/>
      <c r="F23860" s="114" t="str">
        <f>IF(INDEX(I.Facility.P4IDNumber,3848)="","",INDEX(I.Facility.P4IDNumber,3848))</f>
        <v/>
      </c>
      <c r="G23860" s="51"/>
      <c r="H23860" s="46" t="str">
        <f>IF(AND(I.Developer.P4=TRUE,I.Facility.P4FacilityCount&gt;=3848,F23860=""),"Incomplete","Complete")</f>
        <v>Complete</v>
      </c>
      <c r="I23860" s="48" t="s">
        <v>28225</v>
      </c>
    </row>
    <row r="23861" spans="2:9" ht="15" customHeight="1" x14ac:dyDescent="0.25">
      <c r="B23861" s="55" t="s">
        <v>283</v>
      </c>
      <c r="C23861" s="46">
        <v>3849</v>
      </c>
      <c r="D23861" s="69" t="s">
        <v>29420</v>
      </c>
      <c r="E23861" s="51"/>
      <c r="F23861" s="114" t="str">
        <f>IF(INDEX(I.Facility.P4IDNumber,3849)="","",INDEX(I.Facility.P4IDNumber,3849))</f>
        <v/>
      </c>
      <c r="G23861" s="51"/>
      <c r="H23861" s="46" t="str">
        <f>IF(AND(I.Developer.P4=TRUE,I.Facility.P4FacilityCount&gt;=3849,F23861=""),"Incomplete","Complete")</f>
        <v>Complete</v>
      </c>
      <c r="I23861" s="48" t="s">
        <v>28226</v>
      </c>
    </row>
    <row r="23862" spans="2:9" ht="15" customHeight="1" x14ac:dyDescent="0.25">
      <c r="B23862" s="55" t="s">
        <v>283</v>
      </c>
      <c r="C23862" s="46">
        <v>3850</v>
      </c>
      <c r="D23862" s="69" t="s">
        <v>29420</v>
      </c>
      <c r="E23862" s="51"/>
      <c r="F23862" s="114" t="str">
        <f>IF(INDEX(I.Facility.P4IDNumber,3850)="","",INDEX(I.Facility.P4IDNumber,3850))</f>
        <v/>
      </c>
      <c r="G23862" s="51"/>
      <c r="H23862" s="46" t="str">
        <f>IF(AND(I.Developer.P4=TRUE,I.Facility.P4FacilityCount&gt;=3850,F23862=""),"Incomplete","Complete")</f>
        <v>Complete</v>
      </c>
      <c r="I23862" s="48" t="s">
        <v>28227</v>
      </c>
    </row>
    <row r="23863" spans="2:9" ht="15" customHeight="1" x14ac:dyDescent="0.25">
      <c r="B23863" s="55" t="s">
        <v>283</v>
      </c>
      <c r="C23863" s="46">
        <v>3851</v>
      </c>
      <c r="D23863" s="69" t="s">
        <v>29420</v>
      </c>
      <c r="E23863" s="51"/>
      <c r="F23863" s="114" t="str">
        <f>IF(INDEX(I.Facility.P4IDNumber,3851)="","",INDEX(I.Facility.P4IDNumber,3851))</f>
        <v/>
      </c>
      <c r="G23863" s="51"/>
      <c r="H23863" s="46" t="str">
        <f>IF(AND(I.Developer.P4=TRUE,I.Facility.P4FacilityCount&gt;=3851,F23863=""),"Incomplete","Complete")</f>
        <v>Complete</v>
      </c>
      <c r="I23863" s="48" t="s">
        <v>28228</v>
      </c>
    </row>
    <row r="23864" spans="2:9" ht="15" customHeight="1" x14ac:dyDescent="0.25">
      <c r="B23864" s="55" t="s">
        <v>283</v>
      </c>
      <c r="C23864" s="46">
        <v>3852</v>
      </c>
      <c r="D23864" s="69" t="s">
        <v>29420</v>
      </c>
      <c r="E23864" s="51"/>
      <c r="F23864" s="114" t="str">
        <f>IF(INDEX(I.Facility.P4IDNumber,3852)="","",INDEX(I.Facility.P4IDNumber,3852))</f>
        <v/>
      </c>
      <c r="G23864" s="51"/>
      <c r="H23864" s="46" t="str">
        <f>IF(AND(I.Developer.P4=TRUE,I.Facility.P4FacilityCount&gt;=3852,F23864=""),"Incomplete","Complete")</f>
        <v>Complete</v>
      </c>
      <c r="I23864" s="48" t="s">
        <v>28229</v>
      </c>
    </row>
    <row r="23865" spans="2:9" ht="15" customHeight="1" x14ac:dyDescent="0.25">
      <c r="B23865" s="55" t="s">
        <v>283</v>
      </c>
      <c r="C23865" s="46">
        <v>3853</v>
      </c>
      <c r="D23865" s="69" t="s">
        <v>29420</v>
      </c>
      <c r="E23865" s="51"/>
      <c r="F23865" s="114" t="str">
        <f>IF(INDEX(I.Facility.P4IDNumber,3853)="","",INDEX(I.Facility.P4IDNumber,3853))</f>
        <v/>
      </c>
      <c r="G23865" s="51"/>
      <c r="H23865" s="46" t="str">
        <f>IF(AND(I.Developer.P4=TRUE,I.Facility.P4FacilityCount&gt;=3853,F23865=""),"Incomplete","Complete")</f>
        <v>Complete</v>
      </c>
      <c r="I23865" s="48" t="s">
        <v>28230</v>
      </c>
    </row>
    <row r="23866" spans="2:9" ht="15" customHeight="1" x14ac:dyDescent="0.25">
      <c r="B23866" s="55" t="s">
        <v>283</v>
      </c>
      <c r="C23866" s="46">
        <v>3854</v>
      </c>
      <c r="D23866" s="69" t="s">
        <v>29420</v>
      </c>
      <c r="E23866" s="51"/>
      <c r="F23866" s="114" t="str">
        <f>IF(INDEX(I.Facility.P4IDNumber,3854)="","",INDEX(I.Facility.P4IDNumber,3854))</f>
        <v/>
      </c>
      <c r="G23866" s="51"/>
      <c r="H23866" s="46" t="str">
        <f>IF(AND(I.Developer.P4=TRUE,I.Facility.P4FacilityCount&gt;=3854,F23866=""),"Incomplete","Complete")</f>
        <v>Complete</v>
      </c>
      <c r="I23866" s="48" t="s">
        <v>28231</v>
      </c>
    </row>
    <row r="23867" spans="2:9" ht="15" customHeight="1" x14ac:dyDescent="0.25">
      <c r="B23867" s="55" t="s">
        <v>283</v>
      </c>
      <c r="C23867" s="46">
        <v>3855</v>
      </c>
      <c r="D23867" s="69" t="s">
        <v>29420</v>
      </c>
      <c r="E23867" s="51"/>
      <c r="F23867" s="114" t="str">
        <f>IF(INDEX(I.Facility.P4IDNumber,3855)="","",INDEX(I.Facility.P4IDNumber,3855))</f>
        <v/>
      </c>
      <c r="G23867" s="51"/>
      <c r="H23867" s="46" t="str">
        <f>IF(AND(I.Developer.P4=TRUE,I.Facility.P4FacilityCount&gt;=3855,F23867=""),"Incomplete","Complete")</f>
        <v>Complete</v>
      </c>
      <c r="I23867" s="48" t="s">
        <v>28232</v>
      </c>
    </row>
    <row r="23868" spans="2:9" ht="15" customHeight="1" x14ac:dyDescent="0.25">
      <c r="B23868" s="55" t="s">
        <v>283</v>
      </c>
      <c r="C23868" s="46">
        <v>3856</v>
      </c>
      <c r="D23868" s="69" t="s">
        <v>29420</v>
      </c>
      <c r="E23868" s="51"/>
      <c r="F23868" s="114" t="str">
        <f>IF(INDEX(I.Facility.P4IDNumber,3856)="","",INDEX(I.Facility.P4IDNumber,3856))</f>
        <v/>
      </c>
      <c r="G23868" s="51"/>
      <c r="H23868" s="46" t="str">
        <f>IF(AND(I.Developer.P4=TRUE,I.Facility.P4FacilityCount&gt;=3856,F23868=""),"Incomplete","Complete")</f>
        <v>Complete</v>
      </c>
      <c r="I23868" s="48" t="s">
        <v>28233</v>
      </c>
    </row>
    <row r="23869" spans="2:9" ht="15" customHeight="1" x14ac:dyDescent="0.25">
      <c r="B23869" s="55" t="s">
        <v>283</v>
      </c>
      <c r="C23869" s="46">
        <v>3857</v>
      </c>
      <c r="D23869" s="69" t="s">
        <v>29420</v>
      </c>
      <c r="E23869" s="51"/>
      <c r="F23869" s="114" t="str">
        <f>IF(INDEX(I.Facility.P4IDNumber,3857)="","",INDEX(I.Facility.P4IDNumber,3857))</f>
        <v/>
      </c>
      <c r="G23869" s="51"/>
      <c r="H23869" s="46" t="str">
        <f>IF(AND(I.Developer.P4=TRUE,I.Facility.P4FacilityCount&gt;=3857,F23869=""),"Incomplete","Complete")</f>
        <v>Complete</v>
      </c>
      <c r="I23869" s="48" t="s">
        <v>28234</v>
      </c>
    </row>
    <row r="23870" spans="2:9" ht="15" customHeight="1" x14ac:dyDescent="0.25">
      <c r="B23870" s="55" t="s">
        <v>283</v>
      </c>
      <c r="C23870" s="46">
        <v>3858</v>
      </c>
      <c r="D23870" s="69" t="s">
        <v>29420</v>
      </c>
      <c r="E23870" s="51"/>
      <c r="F23870" s="114" t="str">
        <f>IF(INDEX(I.Facility.P4IDNumber,3858)="","",INDEX(I.Facility.P4IDNumber,3858))</f>
        <v/>
      </c>
      <c r="G23870" s="51"/>
      <c r="H23870" s="46" t="str">
        <f>IF(AND(I.Developer.P4=TRUE,I.Facility.P4FacilityCount&gt;=3858,F23870=""),"Incomplete","Complete")</f>
        <v>Complete</v>
      </c>
      <c r="I23870" s="48" t="s">
        <v>28235</v>
      </c>
    </row>
    <row r="23871" spans="2:9" ht="15" customHeight="1" x14ac:dyDescent="0.25">
      <c r="B23871" s="55" t="s">
        <v>283</v>
      </c>
      <c r="C23871" s="46">
        <v>3859</v>
      </c>
      <c r="D23871" s="69" t="s">
        <v>29420</v>
      </c>
      <c r="E23871" s="51"/>
      <c r="F23871" s="114" t="str">
        <f>IF(INDEX(I.Facility.P4IDNumber,3859)="","",INDEX(I.Facility.P4IDNumber,3859))</f>
        <v/>
      </c>
      <c r="G23871" s="51"/>
      <c r="H23871" s="46" t="str">
        <f>IF(AND(I.Developer.P4=TRUE,I.Facility.P4FacilityCount&gt;=3859,F23871=""),"Incomplete","Complete")</f>
        <v>Complete</v>
      </c>
      <c r="I23871" s="48" t="s">
        <v>28236</v>
      </c>
    </row>
    <row r="23872" spans="2:9" ht="15" customHeight="1" x14ac:dyDescent="0.25">
      <c r="B23872" s="55" t="s">
        <v>283</v>
      </c>
      <c r="C23872" s="46">
        <v>3860</v>
      </c>
      <c r="D23872" s="69" t="s">
        <v>29420</v>
      </c>
      <c r="E23872" s="51"/>
      <c r="F23872" s="114" t="str">
        <f>IF(INDEX(I.Facility.P4IDNumber,3860)="","",INDEX(I.Facility.P4IDNumber,3860))</f>
        <v/>
      </c>
      <c r="G23872" s="51"/>
      <c r="H23872" s="46" t="str">
        <f>IF(AND(I.Developer.P4=TRUE,I.Facility.P4FacilityCount&gt;=3860,F23872=""),"Incomplete","Complete")</f>
        <v>Complete</v>
      </c>
      <c r="I23872" s="48" t="s">
        <v>28237</v>
      </c>
    </row>
    <row r="23873" spans="2:9" ht="15" customHeight="1" x14ac:dyDescent="0.25">
      <c r="B23873" s="55" t="s">
        <v>283</v>
      </c>
      <c r="C23873" s="46">
        <v>3861</v>
      </c>
      <c r="D23873" s="69" t="s">
        <v>29420</v>
      </c>
      <c r="E23873" s="51"/>
      <c r="F23873" s="114" t="str">
        <f>IF(INDEX(I.Facility.P4IDNumber,3861)="","",INDEX(I.Facility.P4IDNumber,3861))</f>
        <v/>
      </c>
      <c r="G23873" s="51"/>
      <c r="H23873" s="46" t="str">
        <f>IF(AND(I.Developer.P4=TRUE,I.Facility.P4FacilityCount&gt;=3861,F23873=""),"Incomplete","Complete")</f>
        <v>Complete</v>
      </c>
      <c r="I23873" s="48" t="s">
        <v>28238</v>
      </c>
    </row>
    <row r="23874" spans="2:9" ht="15" customHeight="1" x14ac:dyDescent="0.25">
      <c r="B23874" s="55" t="s">
        <v>283</v>
      </c>
      <c r="C23874" s="46">
        <v>3862</v>
      </c>
      <c r="D23874" s="69" t="s">
        <v>29420</v>
      </c>
      <c r="E23874" s="51"/>
      <c r="F23874" s="114" t="str">
        <f>IF(INDEX(I.Facility.P4IDNumber,3862)="","",INDEX(I.Facility.P4IDNumber,3862))</f>
        <v/>
      </c>
      <c r="G23874" s="51"/>
      <c r="H23874" s="46" t="str">
        <f>IF(AND(I.Developer.P4=TRUE,I.Facility.P4FacilityCount&gt;=3862,F23874=""),"Incomplete","Complete")</f>
        <v>Complete</v>
      </c>
      <c r="I23874" s="48" t="s">
        <v>28239</v>
      </c>
    </row>
    <row r="23875" spans="2:9" ht="15" customHeight="1" x14ac:dyDescent="0.25">
      <c r="B23875" s="55" t="s">
        <v>283</v>
      </c>
      <c r="C23875" s="46">
        <v>3863</v>
      </c>
      <c r="D23875" s="69" t="s">
        <v>29420</v>
      </c>
      <c r="E23875" s="51"/>
      <c r="F23875" s="114" t="str">
        <f>IF(INDEX(I.Facility.P4IDNumber,3863)="","",INDEX(I.Facility.P4IDNumber,3863))</f>
        <v/>
      </c>
      <c r="G23875" s="51"/>
      <c r="H23875" s="46" t="str">
        <f>IF(AND(I.Developer.P4=TRUE,I.Facility.P4FacilityCount&gt;=3863,F23875=""),"Incomplete","Complete")</f>
        <v>Complete</v>
      </c>
      <c r="I23875" s="48" t="s">
        <v>28240</v>
      </c>
    </row>
    <row r="23876" spans="2:9" ht="15" customHeight="1" x14ac:dyDescent="0.25">
      <c r="B23876" s="55" t="s">
        <v>283</v>
      </c>
      <c r="C23876" s="46">
        <v>3864</v>
      </c>
      <c r="D23876" s="69" t="s">
        <v>29420</v>
      </c>
      <c r="E23876" s="51"/>
      <c r="F23876" s="114" t="str">
        <f>IF(INDEX(I.Facility.P4IDNumber,3864)="","",INDEX(I.Facility.P4IDNumber,3864))</f>
        <v/>
      </c>
      <c r="G23876" s="51"/>
      <c r="H23876" s="46" t="str">
        <f>IF(AND(I.Developer.P4=TRUE,I.Facility.P4FacilityCount&gt;=3864,F23876=""),"Incomplete","Complete")</f>
        <v>Complete</v>
      </c>
      <c r="I23876" s="48" t="s">
        <v>28241</v>
      </c>
    </row>
    <row r="23877" spans="2:9" ht="15" customHeight="1" x14ac:dyDescent="0.25">
      <c r="B23877" s="55" t="s">
        <v>283</v>
      </c>
      <c r="C23877" s="46">
        <v>3865</v>
      </c>
      <c r="D23877" s="69" t="s">
        <v>29420</v>
      </c>
      <c r="E23877" s="51"/>
      <c r="F23877" s="114" t="str">
        <f>IF(INDEX(I.Facility.P4IDNumber,3865)="","",INDEX(I.Facility.P4IDNumber,3865))</f>
        <v/>
      </c>
      <c r="G23877" s="51"/>
      <c r="H23877" s="46" t="str">
        <f>IF(AND(I.Developer.P4=TRUE,I.Facility.P4FacilityCount&gt;=3865,F23877=""),"Incomplete","Complete")</f>
        <v>Complete</v>
      </c>
      <c r="I23877" s="48" t="s">
        <v>28242</v>
      </c>
    </row>
    <row r="23878" spans="2:9" ht="15" customHeight="1" x14ac:dyDescent="0.25">
      <c r="B23878" s="55" t="s">
        <v>283</v>
      </c>
      <c r="C23878" s="46">
        <v>3866</v>
      </c>
      <c r="D23878" s="69" t="s">
        <v>29420</v>
      </c>
      <c r="E23878" s="51"/>
      <c r="F23878" s="114" t="str">
        <f>IF(INDEX(I.Facility.P4IDNumber,3866)="","",INDEX(I.Facility.P4IDNumber,3866))</f>
        <v/>
      </c>
      <c r="G23878" s="51"/>
      <c r="H23878" s="46" t="str">
        <f>IF(AND(I.Developer.P4=TRUE,I.Facility.P4FacilityCount&gt;=3866,F23878=""),"Incomplete","Complete")</f>
        <v>Complete</v>
      </c>
      <c r="I23878" s="48" t="s">
        <v>28243</v>
      </c>
    </row>
    <row r="23879" spans="2:9" ht="15" customHeight="1" x14ac:dyDescent="0.25">
      <c r="B23879" s="55" t="s">
        <v>283</v>
      </c>
      <c r="C23879" s="46">
        <v>3867</v>
      </c>
      <c r="D23879" s="69" t="s">
        <v>29420</v>
      </c>
      <c r="E23879" s="51"/>
      <c r="F23879" s="114" t="str">
        <f>IF(INDEX(I.Facility.P4IDNumber,3867)="","",INDEX(I.Facility.P4IDNumber,3867))</f>
        <v/>
      </c>
      <c r="G23879" s="51"/>
      <c r="H23879" s="46" t="str">
        <f>IF(AND(I.Developer.P4=TRUE,I.Facility.P4FacilityCount&gt;=3867,F23879=""),"Incomplete","Complete")</f>
        <v>Complete</v>
      </c>
      <c r="I23879" s="48" t="s">
        <v>28244</v>
      </c>
    </row>
    <row r="23880" spans="2:9" ht="15" customHeight="1" x14ac:dyDescent="0.25">
      <c r="B23880" s="55" t="s">
        <v>283</v>
      </c>
      <c r="C23880" s="46">
        <v>3868</v>
      </c>
      <c r="D23880" s="69" t="s">
        <v>29420</v>
      </c>
      <c r="E23880" s="51"/>
      <c r="F23880" s="114" t="str">
        <f>IF(INDEX(I.Facility.P4IDNumber,3868)="","",INDEX(I.Facility.P4IDNumber,3868))</f>
        <v/>
      </c>
      <c r="G23880" s="51"/>
      <c r="H23880" s="46" t="str">
        <f>IF(AND(I.Developer.P4=TRUE,I.Facility.P4FacilityCount&gt;=3868,F23880=""),"Incomplete","Complete")</f>
        <v>Complete</v>
      </c>
      <c r="I23880" s="48" t="s">
        <v>28245</v>
      </c>
    </row>
    <row r="23881" spans="2:9" ht="15" customHeight="1" x14ac:dyDescent="0.25">
      <c r="B23881" s="55" t="s">
        <v>283</v>
      </c>
      <c r="C23881" s="46">
        <v>3869</v>
      </c>
      <c r="D23881" s="69" t="s">
        <v>29420</v>
      </c>
      <c r="E23881" s="51"/>
      <c r="F23881" s="114" t="str">
        <f>IF(INDEX(I.Facility.P4IDNumber,3869)="","",INDEX(I.Facility.P4IDNumber,3869))</f>
        <v/>
      </c>
      <c r="G23881" s="51"/>
      <c r="H23881" s="46" t="str">
        <f>IF(AND(I.Developer.P4=TRUE,I.Facility.P4FacilityCount&gt;=3869,F23881=""),"Incomplete","Complete")</f>
        <v>Complete</v>
      </c>
      <c r="I23881" s="48" t="s">
        <v>28246</v>
      </c>
    </row>
    <row r="23882" spans="2:9" ht="15" customHeight="1" x14ac:dyDescent="0.25">
      <c r="B23882" s="55" t="s">
        <v>283</v>
      </c>
      <c r="C23882" s="46">
        <v>3870</v>
      </c>
      <c r="D23882" s="69" t="s">
        <v>29420</v>
      </c>
      <c r="E23882" s="51"/>
      <c r="F23882" s="114" t="str">
        <f>IF(INDEX(I.Facility.P4IDNumber,3870)="","",INDEX(I.Facility.P4IDNumber,3870))</f>
        <v/>
      </c>
      <c r="G23882" s="51"/>
      <c r="H23882" s="46" t="str">
        <f>IF(AND(I.Developer.P4=TRUE,I.Facility.P4FacilityCount&gt;=3870,F23882=""),"Incomplete","Complete")</f>
        <v>Complete</v>
      </c>
      <c r="I23882" s="48" t="s">
        <v>28247</v>
      </c>
    </row>
    <row r="23883" spans="2:9" ht="15" customHeight="1" x14ac:dyDescent="0.25">
      <c r="B23883" s="55" t="s">
        <v>283</v>
      </c>
      <c r="C23883" s="46">
        <v>3871</v>
      </c>
      <c r="D23883" s="69" t="s">
        <v>29420</v>
      </c>
      <c r="E23883" s="51"/>
      <c r="F23883" s="114" t="str">
        <f>IF(INDEX(I.Facility.P4IDNumber,3871)="","",INDEX(I.Facility.P4IDNumber,3871))</f>
        <v/>
      </c>
      <c r="G23883" s="51"/>
      <c r="H23883" s="46" t="str">
        <f>IF(AND(I.Developer.P4=TRUE,I.Facility.P4FacilityCount&gt;=3871,F23883=""),"Incomplete","Complete")</f>
        <v>Complete</v>
      </c>
      <c r="I23883" s="48" t="s">
        <v>28248</v>
      </c>
    </row>
    <row r="23884" spans="2:9" ht="15" customHeight="1" x14ac:dyDescent="0.25">
      <c r="B23884" s="55" t="s">
        <v>283</v>
      </c>
      <c r="C23884" s="46">
        <v>3872</v>
      </c>
      <c r="D23884" s="69" t="s">
        <v>29420</v>
      </c>
      <c r="E23884" s="51"/>
      <c r="F23884" s="114" t="str">
        <f>IF(INDEX(I.Facility.P4IDNumber,3872)="","",INDEX(I.Facility.P4IDNumber,3872))</f>
        <v/>
      </c>
      <c r="G23884" s="51"/>
      <c r="H23884" s="46" t="str">
        <f>IF(AND(I.Developer.P4=TRUE,I.Facility.P4FacilityCount&gt;=3872,F23884=""),"Incomplete","Complete")</f>
        <v>Complete</v>
      </c>
      <c r="I23884" s="48" t="s">
        <v>28249</v>
      </c>
    </row>
    <row r="23885" spans="2:9" ht="15" customHeight="1" x14ac:dyDescent="0.25">
      <c r="B23885" s="55" t="s">
        <v>283</v>
      </c>
      <c r="C23885" s="46">
        <v>3873</v>
      </c>
      <c r="D23885" s="69" t="s">
        <v>29420</v>
      </c>
      <c r="E23885" s="51"/>
      <c r="F23885" s="114" t="str">
        <f>IF(INDEX(I.Facility.P4IDNumber,3873)="","",INDEX(I.Facility.P4IDNumber,3873))</f>
        <v/>
      </c>
      <c r="G23885" s="51"/>
      <c r="H23885" s="46" t="str">
        <f>IF(AND(I.Developer.P4=TRUE,I.Facility.P4FacilityCount&gt;=3873,F23885=""),"Incomplete","Complete")</f>
        <v>Complete</v>
      </c>
      <c r="I23885" s="48" t="s">
        <v>28250</v>
      </c>
    </row>
    <row r="23886" spans="2:9" ht="15" customHeight="1" x14ac:dyDescent="0.25">
      <c r="B23886" s="55" t="s">
        <v>283</v>
      </c>
      <c r="C23886" s="46">
        <v>3874</v>
      </c>
      <c r="D23886" s="69" t="s">
        <v>29420</v>
      </c>
      <c r="E23886" s="51"/>
      <c r="F23886" s="114" t="str">
        <f>IF(INDEX(I.Facility.P4IDNumber,3874)="","",INDEX(I.Facility.P4IDNumber,3874))</f>
        <v/>
      </c>
      <c r="G23886" s="51"/>
      <c r="H23886" s="46" t="str">
        <f>IF(AND(I.Developer.P4=TRUE,I.Facility.P4FacilityCount&gt;=3874,F23886=""),"Incomplete","Complete")</f>
        <v>Complete</v>
      </c>
      <c r="I23886" s="48" t="s">
        <v>28251</v>
      </c>
    </row>
    <row r="23887" spans="2:9" ht="15" customHeight="1" x14ac:dyDescent="0.25">
      <c r="B23887" s="55" t="s">
        <v>283</v>
      </c>
      <c r="C23887" s="46">
        <v>3875</v>
      </c>
      <c r="D23887" s="69" t="s">
        <v>29420</v>
      </c>
      <c r="E23887" s="51"/>
      <c r="F23887" s="114" t="str">
        <f>IF(INDEX(I.Facility.P4IDNumber,3875)="","",INDEX(I.Facility.P4IDNumber,3875))</f>
        <v/>
      </c>
      <c r="G23887" s="51"/>
      <c r="H23887" s="46" t="str">
        <f>IF(AND(I.Developer.P4=TRUE,I.Facility.P4FacilityCount&gt;=3875,F23887=""),"Incomplete","Complete")</f>
        <v>Complete</v>
      </c>
      <c r="I23887" s="48" t="s">
        <v>28252</v>
      </c>
    </row>
    <row r="23888" spans="2:9" ht="15" customHeight="1" x14ac:dyDescent="0.25">
      <c r="B23888" s="55" t="s">
        <v>283</v>
      </c>
      <c r="C23888" s="46">
        <v>3876</v>
      </c>
      <c r="D23888" s="69" t="s">
        <v>29420</v>
      </c>
      <c r="E23888" s="51"/>
      <c r="F23888" s="114" t="str">
        <f>IF(INDEX(I.Facility.P4IDNumber,3876)="","",INDEX(I.Facility.P4IDNumber,3876))</f>
        <v/>
      </c>
      <c r="G23888" s="51"/>
      <c r="H23888" s="46" t="str">
        <f>IF(AND(I.Developer.P4=TRUE,I.Facility.P4FacilityCount&gt;=3876,F23888=""),"Incomplete","Complete")</f>
        <v>Complete</v>
      </c>
      <c r="I23888" s="48" t="s">
        <v>28253</v>
      </c>
    </row>
    <row r="23889" spans="2:9" ht="15" customHeight="1" x14ac:dyDescent="0.25">
      <c r="B23889" s="55" t="s">
        <v>283</v>
      </c>
      <c r="C23889" s="46">
        <v>3877</v>
      </c>
      <c r="D23889" s="69" t="s">
        <v>29420</v>
      </c>
      <c r="E23889" s="51"/>
      <c r="F23889" s="114" t="str">
        <f>IF(INDEX(I.Facility.P4IDNumber,3877)="","",INDEX(I.Facility.P4IDNumber,3877))</f>
        <v/>
      </c>
      <c r="G23889" s="51"/>
      <c r="H23889" s="46" t="str">
        <f>IF(AND(I.Developer.P4=TRUE,I.Facility.P4FacilityCount&gt;=3877,F23889=""),"Incomplete","Complete")</f>
        <v>Complete</v>
      </c>
      <c r="I23889" s="48" t="s">
        <v>28254</v>
      </c>
    </row>
    <row r="23890" spans="2:9" ht="15" customHeight="1" x14ac:dyDescent="0.25">
      <c r="B23890" s="55" t="s">
        <v>283</v>
      </c>
      <c r="C23890" s="46">
        <v>3878</v>
      </c>
      <c r="D23890" s="69" t="s">
        <v>29420</v>
      </c>
      <c r="E23890" s="51"/>
      <c r="F23890" s="114" t="str">
        <f>IF(INDEX(I.Facility.P4IDNumber,3878)="","",INDEX(I.Facility.P4IDNumber,3878))</f>
        <v/>
      </c>
      <c r="G23890" s="51"/>
      <c r="H23890" s="46" t="str">
        <f>IF(AND(I.Developer.P4=TRUE,I.Facility.P4FacilityCount&gt;=3878,F23890=""),"Incomplete","Complete")</f>
        <v>Complete</v>
      </c>
      <c r="I23890" s="48" t="s">
        <v>28255</v>
      </c>
    </row>
    <row r="23891" spans="2:9" ht="15" customHeight="1" x14ac:dyDescent="0.25">
      <c r="B23891" s="55" t="s">
        <v>283</v>
      </c>
      <c r="C23891" s="46">
        <v>3879</v>
      </c>
      <c r="D23891" s="69" t="s">
        <v>29420</v>
      </c>
      <c r="E23891" s="51"/>
      <c r="F23891" s="114" t="str">
        <f>IF(INDEX(I.Facility.P4IDNumber,3879)="","",INDEX(I.Facility.P4IDNumber,3879))</f>
        <v/>
      </c>
      <c r="G23891" s="51"/>
      <c r="H23891" s="46" t="str">
        <f>IF(AND(I.Developer.P4=TRUE,I.Facility.P4FacilityCount&gt;=3879,F23891=""),"Incomplete","Complete")</f>
        <v>Complete</v>
      </c>
      <c r="I23891" s="48" t="s">
        <v>28256</v>
      </c>
    </row>
    <row r="23892" spans="2:9" ht="15" customHeight="1" x14ac:dyDescent="0.25">
      <c r="B23892" s="55" t="s">
        <v>283</v>
      </c>
      <c r="C23892" s="46">
        <v>3880</v>
      </c>
      <c r="D23892" s="69" t="s">
        <v>29420</v>
      </c>
      <c r="E23892" s="51"/>
      <c r="F23892" s="114" t="str">
        <f>IF(INDEX(I.Facility.P4IDNumber,3880)="","",INDEX(I.Facility.P4IDNumber,3880))</f>
        <v/>
      </c>
      <c r="G23892" s="51"/>
      <c r="H23892" s="46" t="str">
        <f>IF(AND(I.Developer.P4=TRUE,I.Facility.P4FacilityCount&gt;=3880,F23892=""),"Incomplete","Complete")</f>
        <v>Complete</v>
      </c>
      <c r="I23892" s="48" t="s">
        <v>28257</v>
      </c>
    </row>
    <row r="23893" spans="2:9" ht="15" customHeight="1" x14ac:dyDescent="0.25">
      <c r="B23893" s="55" t="s">
        <v>283</v>
      </c>
      <c r="C23893" s="46">
        <v>3881</v>
      </c>
      <c r="D23893" s="69" t="s">
        <v>29420</v>
      </c>
      <c r="E23893" s="51"/>
      <c r="F23893" s="114" t="str">
        <f>IF(INDEX(I.Facility.P4IDNumber,3881)="","",INDEX(I.Facility.P4IDNumber,3881))</f>
        <v/>
      </c>
      <c r="G23893" s="51"/>
      <c r="H23893" s="46" t="str">
        <f>IF(AND(I.Developer.P4=TRUE,I.Facility.P4FacilityCount&gt;=3881,F23893=""),"Incomplete","Complete")</f>
        <v>Complete</v>
      </c>
      <c r="I23893" s="48" t="s">
        <v>28258</v>
      </c>
    </row>
    <row r="23894" spans="2:9" ht="15" customHeight="1" x14ac:dyDescent="0.25">
      <c r="B23894" s="55" t="s">
        <v>283</v>
      </c>
      <c r="C23894" s="46">
        <v>3882</v>
      </c>
      <c r="D23894" s="69" t="s">
        <v>29420</v>
      </c>
      <c r="E23894" s="51"/>
      <c r="F23894" s="114" t="str">
        <f>IF(INDEX(I.Facility.P4IDNumber,3882)="","",INDEX(I.Facility.P4IDNumber,3882))</f>
        <v/>
      </c>
      <c r="G23894" s="51"/>
      <c r="H23894" s="46" t="str">
        <f>IF(AND(I.Developer.P4=TRUE,I.Facility.P4FacilityCount&gt;=3882,F23894=""),"Incomplete","Complete")</f>
        <v>Complete</v>
      </c>
      <c r="I23894" s="48" t="s">
        <v>28259</v>
      </c>
    </row>
    <row r="23895" spans="2:9" ht="15" customHeight="1" x14ac:dyDescent="0.25">
      <c r="B23895" s="55" t="s">
        <v>283</v>
      </c>
      <c r="C23895" s="46">
        <v>3883</v>
      </c>
      <c r="D23895" s="69" t="s">
        <v>29420</v>
      </c>
      <c r="E23895" s="51"/>
      <c r="F23895" s="114" t="str">
        <f>IF(INDEX(I.Facility.P4IDNumber,3883)="","",INDEX(I.Facility.P4IDNumber,3883))</f>
        <v/>
      </c>
      <c r="G23895" s="51"/>
      <c r="H23895" s="46" t="str">
        <f>IF(AND(I.Developer.P4=TRUE,I.Facility.P4FacilityCount&gt;=3883,F23895=""),"Incomplete","Complete")</f>
        <v>Complete</v>
      </c>
      <c r="I23895" s="48" t="s">
        <v>28260</v>
      </c>
    </row>
    <row r="23896" spans="2:9" ht="15" customHeight="1" x14ac:dyDescent="0.25">
      <c r="B23896" s="55" t="s">
        <v>283</v>
      </c>
      <c r="C23896" s="46">
        <v>3884</v>
      </c>
      <c r="D23896" s="69" t="s">
        <v>29420</v>
      </c>
      <c r="E23896" s="51"/>
      <c r="F23896" s="114" t="str">
        <f>IF(INDEX(I.Facility.P4IDNumber,3884)="","",INDEX(I.Facility.P4IDNumber,3884))</f>
        <v/>
      </c>
      <c r="G23896" s="51"/>
      <c r="H23896" s="46" t="str">
        <f>IF(AND(I.Developer.P4=TRUE,I.Facility.P4FacilityCount&gt;=3884,F23896=""),"Incomplete","Complete")</f>
        <v>Complete</v>
      </c>
      <c r="I23896" s="48" t="s">
        <v>28261</v>
      </c>
    </row>
    <row r="23897" spans="2:9" ht="15" customHeight="1" x14ac:dyDescent="0.25">
      <c r="B23897" s="55" t="s">
        <v>283</v>
      </c>
      <c r="C23897" s="46">
        <v>3885</v>
      </c>
      <c r="D23897" s="69" t="s">
        <v>29420</v>
      </c>
      <c r="E23897" s="51"/>
      <c r="F23897" s="114" t="str">
        <f>IF(INDEX(I.Facility.P4IDNumber,3885)="","",INDEX(I.Facility.P4IDNumber,3885))</f>
        <v/>
      </c>
      <c r="G23897" s="51"/>
      <c r="H23897" s="46" t="str">
        <f>IF(AND(I.Developer.P4=TRUE,I.Facility.P4FacilityCount&gt;=3885,F23897=""),"Incomplete","Complete")</f>
        <v>Complete</v>
      </c>
      <c r="I23897" s="48" t="s">
        <v>28262</v>
      </c>
    </row>
    <row r="23898" spans="2:9" ht="15" customHeight="1" x14ac:dyDescent="0.25">
      <c r="B23898" s="55" t="s">
        <v>283</v>
      </c>
      <c r="C23898" s="46">
        <v>3886</v>
      </c>
      <c r="D23898" s="69" t="s">
        <v>29420</v>
      </c>
      <c r="E23898" s="51"/>
      <c r="F23898" s="114" t="str">
        <f>IF(INDEX(I.Facility.P4IDNumber,3886)="","",INDEX(I.Facility.P4IDNumber,3886))</f>
        <v/>
      </c>
      <c r="G23898" s="51"/>
      <c r="H23898" s="46" t="str">
        <f>IF(AND(I.Developer.P4=TRUE,I.Facility.P4FacilityCount&gt;=3886,F23898=""),"Incomplete","Complete")</f>
        <v>Complete</v>
      </c>
      <c r="I23898" s="48" t="s">
        <v>28263</v>
      </c>
    </row>
    <row r="23899" spans="2:9" ht="15" customHeight="1" x14ac:dyDescent="0.25">
      <c r="B23899" s="55" t="s">
        <v>283</v>
      </c>
      <c r="C23899" s="46">
        <v>3887</v>
      </c>
      <c r="D23899" s="69" t="s">
        <v>29420</v>
      </c>
      <c r="E23899" s="51"/>
      <c r="F23899" s="114" t="str">
        <f>IF(INDEX(I.Facility.P4IDNumber,3887)="","",INDEX(I.Facility.P4IDNumber,3887))</f>
        <v/>
      </c>
      <c r="G23899" s="51"/>
      <c r="H23899" s="46" t="str">
        <f>IF(AND(I.Developer.P4=TRUE,I.Facility.P4FacilityCount&gt;=3887,F23899=""),"Incomplete","Complete")</f>
        <v>Complete</v>
      </c>
      <c r="I23899" s="48" t="s">
        <v>28264</v>
      </c>
    </row>
    <row r="23900" spans="2:9" ht="15" customHeight="1" x14ac:dyDescent="0.25">
      <c r="B23900" s="55" t="s">
        <v>283</v>
      </c>
      <c r="C23900" s="46">
        <v>3888</v>
      </c>
      <c r="D23900" s="69" t="s">
        <v>29420</v>
      </c>
      <c r="E23900" s="51"/>
      <c r="F23900" s="114" t="str">
        <f>IF(INDEX(I.Facility.P4IDNumber,3888)="","",INDEX(I.Facility.P4IDNumber,3888))</f>
        <v/>
      </c>
      <c r="G23900" s="51"/>
      <c r="H23900" s="46" t="str">
        <f>IF(AND(I.Developer.P4=TRUE,I.Facility.P4FacilityCount&gt;=3888,F23900=""),"Incomplete","Complete")</f>
        <v>Complete</v>
      </c>
      <c r="I23900" s="48" t="s">
        <v>28265</v>
      </c>
    </row>
    <row r="23901" spans="2:9" ht="15" customHeight="1" x14ac:dyDescent="0.25">
      <c r="B23901" s="55" t="s">
        <v>283</v>
      </c>
      <c r="C23901" s="46">
        <v>3889</v>
      </c>
      <c r="D23901" s="69" t="s">
        <v>29420</v>
      </c>
      <c r="E23901" s="51"/>
      <c r="F23901" s="114" t="str">
        <f>IF(INDEX(I.Facility.P4IDNumber,3889)="","",INDEX(I.Facility.P4IDNumber,3889))</f>
        <v/>
      </c>
      <c r="G23901" s="51"/>
      <c r="H23901" s="46" t="str">
        <f>IF(AND(I.Developer.P4=TRUE,I.Facility.P4FacilityCount&gt;=3889,F23901=""),"Incomplete","Complete")</f>
        <v>Complete</v>
      </c>
      <c r="I23901" s="48" t="s">
        <v>28266</v>
      </c>
    </row>
    <row r="23902" spans="2:9" ht="15" customHeight="1" x14ac:dyDescent="0.25">
      <c r="B23902" s="55" t="s">
        <v>283</v>
      </c>
      <c r="C23902" s="46">
        <v>3890</v>
      </c>
      <c r="D23902" s="69" t="s">
        <v>29420</v>
      </c>
      <c r="E23902" s="51"/>
      <c r="F23902" s="114" t="str">
        <f>IF(INDEX(I.Facility.P4IDNumber,3890)="","",INDEX(I.Facility.P4IDNumber,3890))</f>
        <v/>
      </c>
      <c r="G23902" s="51"/>
      <c r="H23902" s="46" t="str">
        <f>IF(AND(I.Developer.P4=TRUE,I.Facility.P4FacilityCount&gt;=3890,F23902=""),"Incomplete","Complete")</f>
        <v>Complete</v>
      </c>
      <c r="I23902" s="48" t="s">
        <v>28267</v>
      </c>
    </row>
    <row r="23903" spans="2:9" ht="15" customHeight="1" x14ac:dyDescent="0.25">
      <c r="B23903" s="55" t="s">
        <v>283</v>
      </c>
      <c r="C23903" s="46">
        <v>3891</v>
      </c>
      <c r="D23903" s="69" t="s">
        <v>29420</v>
      </c>
      <c r="E23903" s="51"/>
      <c r="F23903" s="114" t="str">
        <f>IF(INDEX(I.Facility.P4IDNumber,3891)="","",INDEX(I.Facility.P4IDNumber,3891))</f>
        <v/>
      </c>
      <c r="G23903" s="51"/>
      <c r="H23903" s="46" t="str">
        <f>IF(AND(I.Developer.P4=TRUE,I.Facility.P4FacilityCount&gt;=3891,F23903=""),"Incomplete","Complete")</f>
        <v>Complete</v>
      </c>
      <c r="I23903" s="48" t="s">
        <v>28268</v>
      </c>
    </row>
    <row r="23904" spans="2:9" ht="15" customHeight="1" x14ac:dyDescent="0.25">
      <c r="B23904" s="55" t="s">
        <v>283</v>
      </c>
      <c r="C23904" s="46">
        <v>3892</v>
      </c>
      <c r="D23904" s="69" t="s">
        <v>29420</v>
      </c>
      <c r="E23904" s="51"/>
      <c r="F23904" s="114" t="str">
        <f>IF(INDEX(I.Facility.P4IDNumber,3892)="","",INDEX(I.Facility.P4IDNumber,3892))</f>
        <v/>
      </c>
      <c r="G23904" s="51"/>
      <c r="H23904" s="46" t="str">
        <f>IF(AND(I.Developer.P4=TRUE,I.Facility.P4FacilityCount&gt;=3892,F23904=""),"Incomplete","Complete")</f>
        <v>Complete</v>
      </c>
      <c r="I23904" s="48" t="s">
        <v>28269</v>
      </c>
    </row>
    <row r="23905" spans="2:9" ht="15" customHeight="1" x14ac:dyDescent="0.25">
      <c r="B23905" s="55" t="s">
        <v>283</v>
      </c>
      <c r="C23905" s="46">
        <v>3893</v>
      </c>
      <c r="D23905" s="69" t="s">
        <v>29420</v>
      </c>
      <c r="E23905" s="51"/>
      <c r="F23905" s="114" t="str">
        <f>IF(INDEX(I.Facility.P4IDNumber,3893)="","",INDEX(I.Facility.P4IDNumber,3893))</f>
        <v/>
      </c>
      <c r="G23905" s="51"/>
      <c r="H23905" s="46" t="str">
        <f>IF(AND(I.Developer.P4=TRUE,I.Facility.P4FacilityCount&gt;=3893,F23905=""),"Incomplete","Complete")</f>
        <v>Complete</v>
      </c>
      <c r="I23905" s="48" t="s">
        <v>28270</v>
      </c>
    </row>
    <row r="23906" spans="2:9" ht="15" customHeight="1" x14ac:dyDescent="0.25">
      <c r="B23906" s="55" t="s">
        <v>283</v>
      </c>
      <c r="C23906" s="46">
        <v>3894</v>
      </c>
      <c r="D23906" s="69" t="s">
        <v>29420</v>
      </c>
      <c r="E23906" s="51"/>
      <c r="F23906" s="114" t="str">
        <f>IF(INDEX(I.Facility.P4IDNumber,3894)="","",INDEX(I.Facility.P4IDNumber,3894))</f>
        <v/>
      </c>
      <c r="G23906" s="51"/>
      <c r="H23906" s="46" t="str">
        <f>IF(AND(I.Developer.P4=TRUE,I.Facility.P4FacilityCount&gt;=3894,F23906=""),"Incomplete","Complete")</f>
        <v>Complete</v>
      </c>
      <c r="I23906" s="48" t="s">
        <v>28271</v>
      </c>
    </row>
    <row r="23907" spans="2:9" ht="15" customHeight="1" x14ac:dyDescent="0.25">
      <c r="B23907" s="55" t="s">
        <v>283</v>
      </c>
      <c r="C23907" s="46">
        <v>3895</v>
      </c>
      <c r="D23907" s="69" t="s">
        <v>29420</v>
      </c>
      <c r="E23907" s="51"/>
      <c r="F23907" s="114" t="str">
        <f>IF(INDEX(I.Facility.P4IDNumber,3895)="","",INDEX(I.Facility.P4IDNumber,3895))</f>
        <v/>
      </c>
      <c r="G23907" s="51"/>
      <c r="H23907" s="46" t="str">
        <f>IF(AND(I.Developer.P4=TRUE,I.Facility.P4FacilityCount&gt;=3895,F23907=""),"Incomplete","Complete")</f>
        <v>Complete</v>
      </c>
      <c r="I23907" s="48" t="s">
        <v>28272</v>
      </c>
    </row>
    <row r="23908" spans="2:9" ht="15" customHeight="1" x14ac:dyDescent="0.25">
      <c r="B23908" s="55" t="s">
        <v>283</v>
      </c>
      <c r="C23908" s="46">
        <v>3896</v>
      </c>
      <c r="D23908" s="69" t="s">
        <v>29420</v>
      </c>
      <c r="E23908" s="51"/>
      <c r="F23908" s="114" t="str">
        <f>IF(INDEX(I.Facility.P4IDNumber,3896)="","",INDEX(I.Facility.P4IDNumber,3896))</f>
        <v/>
      </c>
      <c r="G23908" s="51"/>
      <c r="H23908" s="46" t="str">
        <f>IF(AND(I.Developer.P4=TRUE,I.Facility.P4FacilityCount&gt;=3896,F23908=""),"Incomplete","Complete")</f>
        <v>Complete</v>
      </c>
      <c r="I23908" s="48" t="s">
        <v>28273</v>
      </c>
    </row>
    <row r="23909" spans="2:9" ht="15" customHeight="1" x14ac:dyDescent="0.25">
      <c r="B23909" s="55" t="s">
        <v>283</v>
      </c>
      <c r="C23909" s="46">
        <v>3897</v>
      </c>
      <c r="D23909" s="69" t="s">
        <v>29420</v>
      </c>
      <c r="E23909" s="51"/>
      <c r="F23909" s="114" t="str">
        <f>IF(INDEX(I.Facility.P4IDNumber,3897)="","",INDEX(I.Facility.P4IDNumber,3897))</f>
        <v/>
      </c>
      <c r="G23909" s="51"/>
      <c r="H23909" s="46" t="str">
        <f>IF(AND(I.Developer.P4=TRUE,I.Facility.P4FacilityCount&gt;=3897,F23909=""),"Incomplete","Complete")</f>
        <v>Complete</v>
      </c>
      <c r="I23909" s="48" t="s">
        <v>28274</v>
      </c>
    </row>
    <row r="23910" spans="2:9" ht="15" customHeight="1" x14ac:dyDescent="0.25">
      <c r="B23910" s="55" t="s">
        <v>283</v>
      </c>
      <c r="C23910" s="46">
        <v>3898</v>
      </c>
      <c r="D23910" s="69" t="s">
        <v>29420</v>
      </c>
      <c r="E23910" s="51"/>
      <c r="F23910" s="114" t="str">
        <f>IF(INDEX(I.Facility.P4IDNumber,3898)="","",INDEX(I.Facility.P4IDNumber,3898))</f>
        <v/>
      </c>
      <c r="G23910" s="51"/>
      <c r="H23910" s="46" t="str">
        <f>IF(AND(I.Developer.P4=TRUE,I.Facility.P4FacilityCount&gt;=3898,F23910=""),"Incomplete","Complete")</f>
        <v>Complete</v>
      </c>
      <c r="I23910" s="48" t="s">
        <v>28275</v>
      </c>
    </row>
    <row r="23911" spans="2:9" ht="15" customHeight="1" x14ac:dyDescent="0.25">
      <c r="B23911" s="55" t="s">
        <v>283</v>
      </c>
      <c r="C23911" s="46">
        <v>3899</v>
      </c>
      <c r="D23911" s="69" t="s">
        <v>29420</v>
      </c>
      <c r="E23911" s="51"/>
      <c r="F23911" s="114" t="str">
        <f>IF(INDEX(I.Facility.P4IDNumber,3899)="","",INDEX(I.Facility.P4IDNumber,3899))</f>
        <v/>
      </c>
      <c r="G23911" s="51"/>
      <c r="H23911" s="46" t="str">
        <f>IF(AND(I.Developer.P4=TRUE,I.Facility.P4FacilityCount&gt;=3899,F23911=""),"Incomplete","Complete")</f>
        <v>Complete</v>
      </c>
      <c r="I23911" s="48" t="s">
        <v>28276</v>
      </c>
    </row>
    <row r="23912" spans="2:9" ht="15" customHeight="1" x14ac:dyDescent="0.25">
      <c r="B23912" s="55" t="s">
        <v>283</v>
      </c>
      <c r="C23912" s="46">
        <v>3900</v>
      </c>
      <c r="D23912" s="69" t="s">
        <v>29420</v>
      </c>
      <c r="E23912" s="51"/>
      <c r="F23912" s="114" t="str">
        <f>IF(INDEX(I.Facility.P4IDNumber,3900)="","",INDEX(I.Facility.P4IDNumber,3900))</f>
        <v/>
      </c>
      <c r="G23912" s="51"/>
      <c r="H23912" s="46" t="str">
        <f>IF(AND(I.Developer.P4=TRUE,I.Facility.P4FacilityCount&gt;=3900,F23912=""),"Incomplete","Complete")</f>
        <v>Complete</v>
      </c>
      <c r="I23912" s="48" t="s">
        <v>28277</v>
      </c>
    </row>
    <row r="23913" spans="2:9" ht="15" customHeight="1" x14ac:dyDescent="0.25">
      <c r="B23913" s="55" t="s">
        <v>283</v>
      </c>
      <c r="C23913" s="46">
        <v>3901</v>
      </c>
      <c r="D23913" s="69" t="s">
        <v>29420</v>
      </c>
      <c r="E23913" s="51"/>
      <c r="F23913" s="114" t="str">
        <f>IF(INDEX(I.Facility.P4IDNumber,3901)="","",INDEX(I.Facility.P4IDNumber,3901))</f>
        <v/>
      </c>
      <c r="G23913" s="51"/>
      <c r="H23913" s="46" t="str">
        <f>IF(AND(I.Developer.P4=TRUE,I.Facility.P4FacilityCount&gt;=3901,F23913=""),"Incomplete","Complete")</f>
        <v>Complete</v>
      </c>
      <c r="I23913" s="48" t="s">
        <v>28278</v>
      </c>
    </row>
    <row r="23914" spans="2:9" ht="15" customHeight="1" x14ac:dyDescent="0.25">
      <c r="B23914" s="55" t="s">
        <v>283</v>
      </c>
      <c r="C23914" s="46">
        <v>3902</v>
      </c>
      <c r="D23914" s="69" t="s">
        <v>29420</v>
      </c>
      <c r="E23914" s="51"/>
      <c r="F23914" s="114" t="str">
        <f>IF(INDEX(I.Facility.P4IDNumber,3902)="","",INDEX(I.Facility.P4IDNumber,3902))</f>
        <v/>
      </c>
      <c r="G23914" s="51"/>
      <c r="H23914" s="46" t="str">
        <f>IF(AND(I.Developer.P4=TRUE,I.Facility.P4FacilityCount&gt;=3902,F23914=""),"Incomplete","Complete")</f>
        <v>Complete</v>
      </c>
      <c r="I23914" s="48" t="s">
        <v>28279</v>
      </c>
    </row>
    <row r="23915" spans="2:9" ht="15" customHeight="1" x14ac:dyDescent="0.25">
      <c r="B23915" s="55" t="s">
        <v>283</v>
      </c>
      <c r="C23915" s="46">
        <v>3903</v>
      </c>
      <c r="D23915" s="69" t="s">
        <v>29420</v>
      </c>
      <c r="E23915" s="51"/>
      <c r="F23915" s="114" t="str">
        <f>IF(INDEX(I.Facility.P4IDNumber,3903)="","",INDEX(I.Facility.P4IDNumber,3903))</f>
        <v/>
      </c>
      <c r="G23915" s="51"/>
      <c r="H23915" s="46" t="str">
        <f>IF(AND(I.Developer.P4=TRUE,I.Facility.P4FacilityCount&gt;=3903,F23915=""),"Incomplete","Complete")</f>
        <v>Complete</v>
      </c>
      <c r="I23915" s="48" t="s">
        <v>28280</v>
      </c>
    </row>
    <row r="23916" spans="2:9" ht="15" customHeight="1" x14ac:dyDescent="0.25">
      <c r="B23916" s="55" t="s">
        <v>283</v>
      </c>
      <c r="C23916" s="46">
        <v>3904</v>
      </c>
      <c r="D23916" s="69" t="s">
        <v>29420</v>
      </c>
      <c r="E23916" s="51"/>
      <c r="F23916" s="114" t="str">
        <f>IF(INDEX(I.Facility.P4IDNumber,3904)="","",INDEX(I.Facility.P4IDNumber,3904))</f>
        <v/>
      </c>
      <c r="G23916" s="51"/>
      <c r="H23916" s="46" t="str">
        <f>IF(AND(I.Developer.P4=TRUE,I.Facility.P4FacilityCount&gt;=3904,F23916=""),"Incomplete","Complete")</f>
        <v>Complete</v>
      </c>
      <c r="I23916" s="48" t="s">
        <v>28281</v>
      </c>
    </row>
    <row r="23917" spans="2:9" ht="15" customHeight="1" x14ac:dyDescent="0.25">
      <c r="B23917" s="55" t="s">
        <v>283</v>
      </c>
      <c r="C23917" s="46">
        <v>3905</v>
      </c>
      <c r="D23917" s="69" t="s">
        <v>29420</v>
      </c>
      <c r="E23917" s="51"/>
      <c r="F23917" s="114" t="str">
        <f>IF(INDEX(I.Facility.P4IDNumber,3905)="","",INDEX(I.Facility.P4IDNumber,3905))</f>
        <v/>
      </c>
      <c r="G23917" s="51"/>
      <c r="H23917" s="46" t="str">
        <f>IF(AND(I.Developer.P4=TRUE,I.Facility.P4FacilityCount&gt;=3905,F23917=""),"Incomplete","Complete")</f>
        <v>Complete</v>
      </c>
      <c r="I23917" s="48" t="s">
        <v>28282</v>
      </c>
    </row>
    <row r="23918" spans="2:9" ht="15" customHeight="1" x14ac:dyDescent="0.25">
      <c r="B23918" s="55" t="s">
        <v>283</v>
      </c>
      <c r="C23918" s="46">
        <v>3906</v>
      </c>
      <c r="D23918" s="69" t="s">
        <v>29420</v>
      </c>
      <c r="E23918" s="51"/>
      <c r="F23918" s="114" t="str">
        <f>IF(INDEX(I.Facility.P4IDNumber,3906)="","",INDEX(I.Facility.P4IDNumber,3906))</f>
        <v/>
      </c>
      <c r="G23918" s="51"/>
      <c r="H23918" s="46" t="str">
        <f>IF(AND(I.Developer.P4=TRUE,I.Facility.P4FacilityCount&gt;=3906,F23918=""),"Incomplete","Complete")</f>
        <v>Complete</v>
      </c>
      <c r="I23918" s="48" t="s">
        <v>28283</v>
      </c>
    </row>
    <row r="23919" spans="2:9" ht="15" customHeight="1" x14ac:dyDescent="0.25">
      <c r="B23919" s="55" t="s">
        <v>283</v>
      </c>
      <c r="C23919" s="46">
        <v>3907</v>
      </c>
      <c r="D23919" s="69" t="s">
        <v>29420</v>
      </c>
      <c r="E23919" s="51"/>
      <c r="F23919" s="114" t="str">
        <f>IF(INDEX(I.Facility.P4IDNumber,3907)="","",INDEX(I.Facility.P4IDNumber,3907))</f>
        <v/>
      </c>
      <c r="G23919" s="51"/>
      <c r="H23919" s="46" t="str">
        <f>IF(AND(I.Developer.P4=TRUE,I.Facility.P4FacilityCount&gt;=3907,F23919=""),"Incomplete","Complete")</f>
        <v>Complete</v>
      </c>
      <c r="I23919" s="48" t="s">
        <v>28284</v>
      </c>
    </row>
    <row r="23920" spans="2:9" ht="15" customHeight="1" x14ac:dyDescent="0.25">
      <c r="B23920" s="55" t="s">
        <v>283</v>
      </c>
      <c r="C23920" s="46">
        <v>3908</v>
      </c>
      <c r="D23920" s="69" t="s">
        <v>29420</v>
      </c>
      <c r="E23920" s="51"/>
      <c r="F23920" s="114" t="str">
        <f>IF(INDEX(I.Facility.P4IDNumber,3908)="","",INDEX(I.Facility.P4IDNumber,3908))</f>
        <v/>
      </c>
      <c r="G23920" s="51"/>
      <c r="H23920" s="46" t="str">
        <f>IF(AND(I.Developer.P4=TRUE,I.Facility.P4FacilityCount&gt;=3908,F23920=""),"Incomplete","Complete")</f>
        <v>Complete</v>
      </c>
      <c r="I23920" s="48" t="s">
        <v>28285</v>
      </c>
    </row>
    <row r="23921" spans="2:9" ht="15" customHeight="1" x14ac:dyDescent="0.25">
      <c r="B23921" s="55" t="s">
        <v>283</v>
      </c>
      <c r="C23921" s="46">
        <v>3909</v>
      </c>
      <c r="D23921" s="69" t="s">
        <v>29420</v>
      </c>
      <c r="E23921" s="51"/>
      <c r="F23921" s="114" t="str">
        <f>IF(INDEX(I.Facility.P4IDNumber,3909)="","",INDEX(I.Facility.P4IDNumber,3909))</f>
        <v/>
      </c>
      <c r="G23921" s="51"/>
      <c r="H23921" s="46" t="str">
        <f>IF(AND(I.Developer.P4=TRUE,I.Facility.P4FacilityCount&gt;=3909,F23921=""),"Incomplete","Complete")</f>
        <v>Complete</v>
      </c>
      <c r="I23921" s="48" t="s">
        <v>28286</v>
      </c>
    </row>
    <row r="23922" spans="2:9" ht="15" customHeight="1" x14ac:dyDescent="0.25">
      <c r="B23922" s="55" t="s">
        <v>283</v>
      </c>
      <c r="C23922" s="46">
        <v>3910</v>
      </c>
      <c r="D23922" s="69" t="s">
        <v>29420</v>
      </c>
      <c r="E23922" s="51"/>
      <c r="F23922" s="114" t="str">
        <f>IF(INDEX(I.Facility.P4IDNumber,3910)="","",INDEX(I.Facility.P4IDNumber,3910))</f>
        <v/>
      </c>
      <c r="G23922" s="51"/>
      <c r="H23922" s="46" t="str">
        <f>IF(AND(I.Developer.P4=TRUE,I.Facility.P4FacilityCount&gt;=3910,F23922=""),"Incomplete","Complete")</f>
        <v>Complete</v>
      </c>
      <c r="I23922" s="48" t="s">
        <v>28287</v>
      </c>
    </row>
    <row r="23923" spans="2:9" ht="15" customHeight="1" x14ac:dyDescent="0.25">
      <c r="B23923" s="55" t="s">
        <v>283</v>
      </c>
      <c r="C23923" s="46">
        <v>3911</v>
      </c>
      <c r="D23923" s="69" t="s">
        <v>29420</v>
      </c>
      <c r="E23923" s="51"/>
      <c r="F23923" s="114" t="str">
        <f>IF(INDEX(I.Facility.P4IDNumber,3911)="","",INDEX(I.Facility.P4IDNumber,3911))</f>
        <v/>
      </c>
      <c r="G23923" s="51"/>
      <c r="H23923" s="46" t="str">
        <f>IF(AND(I.Developer.P4=TRUE,I.Facility.P4FacilityCount&gt;=3911,F23923=""),"Incomplete","Complete")</f>
        <v>Complete</v>
      </c>
      <c r="I23923" s="48" t="s">
        <v>28288</v>
      </c>
    </row>
    <row r="23924" spans="2:9" ht="15" customHeight="1" x14ac:dyDescent="0.25">
      <c r="B23924" s="55" t="s">
        <v>283</v>
      </c>
      <c r="C23924" s="46">
        <v>3912</v>
      </c>
      <c r="D23924" s="69" t="s">
        <v>29420</v>
      </c>
      <c r="E23924" s="51"/>
      <c r="F23924" s="114" t="str">
        <f>IF(INDEX(I.Facility.P4IDNumber,3912)="","",INDEX(I.Facility.P4IDNumber,3912))</f>
        <v/>
      </c>
      <c r="G23924" s="51"/>
      <c r="H23924" s="46" t="str">
        <f>IF(AND(I.Developer.P4=TRUE,I.Facility.P4FacilityCount&gt;=3912,F23924=""),"Incomplete","Complete")</f>
        <v>Complete</v>
      </c>
      <c r="I23924" s="48" t="s">
        <v>28289</v>
      </c>
    </row>
    <row r="23925" spans="2:9" ht="15" customHeight="1" x14ac:dyDescent="0.25">
      <c r="B23925" s="55" t="s">
        <v>283</v>
      </c>
      <c r="C23925" s="46">
        <v>3913</v>
      </c>
      <c r="D23925" s="69" t="s">
        <v>29420</v>
      </c>
      <c r="E23925" s="51"/>
      <c r="F23925" s="114" t="str">
        <f>IF(INDEX(I.Facility.P4IDNumber,3913)="","",INDEX(I.Facility.P4IDNumber,3913))</f>
        <v/>
      </c>
      <c r="G23925" s="51"/>
      <c r="H23925" s="46" t="str">
        <f>IF(AND(I.Developer.P4=TRUE,I.Facility.P4FacilityCount&gt;=3913,F23925=""),"Incomplete","Complete")</f>
        <v>Complete</v>
      </c>
      <c r="I23925" s="48" t="s">
        <v>28290</v>
      </c>
    </row>
    <row r="23926" spans="2:9" ht="15" customHeight="1" x14ac:dyDescent="0.25">
      <c r="B23926" s="55" t="s">
        <v>283</v>
      </c>
      <c r="C23926" s="46">
        <v>3914</v>
      </c>
      <c r="D23926" s="69" t="s">
        <v>29420</v>
      </c>
      <c r="E23926" s="51"/>
      <c r="F23926" s="114" t="str">
        <f>IF(INDEX(I.Facility.P4IDNumber,3914)="","",INDEX(I.Facility.P4IDNumber,3914))</f>
        <v/>
      </c>
      <c r="G23926" s="51"/>
      <c r="H23926" s="46" t="str">
        <f>IF(AND(I.Developer.P4=TRUE,I.Facility.P4FacilityCount&gt;=3914,F23926=""),"Incomplete","Complete")</f>
        <v>Complete</v>
      </c>
      <c r="I23926" s="48" t="s">
        <v>28291</v>
      </c>
    </row>
    <row r="23927" spans="2:9" ht="15" customHeight="1" x14ac:dyDescent="0.25">
      <c r="B23927" s="55" t="s">
        <v>283</v>
      </c>
      <c r="C23927" s="46">
        <v>3915</v>
      </c>
      <c r="D23927" s="69" t="s">
        <v>29420</v>
      </c>
      <c r="E23927" s="51"/>
      <c r="F23927" s="114" t="str">
        <f>IF(INDEX(I.Facility.P4IDNumber,3915)="","",INDEX(I.Facility.P4IDNumber,3915))</f>
        <v/>
      </c>
      <c r="G23927" s="51"/>
      <c r="H23927" s="46" t="str">
        <f>IF(AND(I.Developer.P4=TRUE,I.Facility.P4FacilityCount&gt;=3915,F23927=""),"Incomplete","Complete")</f>
        <v>Complete</v>
      </c>
      <c r="I23927" s="48" t="s">
        <v>28292</v>
      </c>
    </row>
    <row r="23928" spans="2:9" ht="15" customHeight="1" x14ac:dyDescent="0.25">
      <c r="B23928" s="55" t="s">
        <v>283</v>
      </c>
      <c r="C23928" s="46">
        <v>3916</v>
      </c>
      <c r="D23928" s="69" t="s">
        <v>29420</v>
      </c>
      <c r="E23928" s="51"/>
      <c r="F23928" s="114" t="str">
        <f>IF(INDEX(I.Facility.P4IDNumber,3916)="","",INDEX(I.Facility.P4IDNumber,3916))</f>
        <v/>
      </c>
      <c r="G23928" s="51"/>
      <c r="H23928" s="46" t="str">
        <f>IF(AND(I.Developer.P4=TRUE,I.Facility.P4FacilityCount&gt;=3916,F23928=""),"Incomplete","Complete")</f>
        <v>Complete</v>
      </c>
      <c r="I23928" s="48" t="s">
        <v>28293</v>
      </c>
    </row>
    <row r="23929" spans="2:9" ht="15" customHeight="1" x14ac:dyDescent="0.25">
      <c r="B23929" s="55" t="s">
        <v>283</v>
      </c>
      <c r="C23929" s="46">
        <v>3917</v>
      </c>
      <c r="D23929" s="69" t="s">
        <v>29420</v>
      </c>
      <c r="E23929" s="51"/>
      <c r="F23929" s="114" t="str">
        <f>IF(INDEX(I.Facility.P4IDNumber,3917)="","",INDEX(I.Facility.P4IDNumber,3917))</f>
        <v/>
      </c>
      <c r="G23929" s="51"/>
      <c r="H23929" s="46" t="str">
        <f>IF(AND(I.Developer.P4=TRUE,I.Facility.P4FacilityCount&gt;=3917,F23929=""),"Incomplete","Complete")</f>
        <v>Complete</v>
      </c>
      <c r="I23929" s="48" t="s">
        <v>28294</v>
      </c>
    </row>
    <row r="23930" spans="2:9" ht="15" customHeight="1" x14ac:dyDescent="0.25">
      <c r="B23930" s="55" t="s">
        <v>283</v>
      </c>
      <c r="C23930" s="46">
        <v>3918</v>
      </c>
      <c r="D23930" s="69" t="s">
        <v>29420</v>
      </c>
      <c r="E23930" s="51"/>
      <c r="F23930" s="114" t="str">
        <f>IF(INDEX(I.Facility.P4IDNumber,3918)="","",INDEX(I.Facility.P4IDNumber,3918))</f>
        <v/>
      </c>
      <c r="G23930" s="51"/>
      <c r="H23930" s="46" t="str">
        <f>IF(AND(I.Developer.P4=TRUE,I.Facility.P4FacilityCount&gt;=3918,F23930=""),"Incomplete","Complete")</f>
        <v>Complete</v>
      </c>
      <c r="I23930" s="48" t="s">
        <v>28295</v>
      </c>
    </row>
    <row r="23931" spans="2:9" ht="15" customHeight="1" x14ac:dyDescent="0.25">
      <c r="B23931" s="55" t="s">
        <v>283</v>
      </c>
      <c r="C23931" s="46">
        <v>3919</v>
      </c>
      <c r="D23931" s="69" t="s">
        <v>29420</v>
      </c>
      <c r="E23931" s="51"/>
      <c r="F23931" s="114" t="str">
        <f>IF(INDEX(I.Facility.P4IDNumber,3919)="","",INDEX(I.Facility.P4IDNumber,3919))</f>
        <v/>
      </c>
      <c r="G23931" s="51"/>
      <c r="H23931" s="46" t="str">
        <f>IF(AND(I.Developer.P4=TRUE,I.Facility.P4FacilityCount&gt;=3919,F23931=""),"Incomplete","Complete")</f>
        <v>Complete</v>
      </c>
      <c r="I23931" s="48" t="s">
        <v>28296</v>
      </c>
    </row>
    <row r="23932" spans="2:9" ht="15" customHeight="1" x14ac:dyDescent="0.25">
      <c r="B23932" s="55" t="s">
        <v>283</v>
      </c>
      <c r="C23932" s="46">
        <v>3920</v>
      </c>
      <c r="D23932" s="69" t="s">
        <v>29420</v>
      </c>
      <c r="E23932" s="51"/>
      <c r="F23932" s="114" t="str">
        <f>IF(INDEX(I.Facility.P4IDNumber,3920)="","",INDEX(I.Facility.P4IDNumber,3920))</f>
        <v/>
      </c>
      <c r="G23932" s="51"/>
      <c r="H23932" s="46" t="str">
        <f>IF(AND(I.Developer.P4=TRUE,I.Facility.P4FacilityCount&gt;=3920,F23932=""),"Incomplete","Complete")</f>
        <v>Complete</v>
      </c>
      <c r="I23932" s="48" t="s">
        <v>28297</v>
      </c>
    </row>
    <row r="23933" spans="2:9" ht="15" customHeight="1" x14ac:dyDescent="0.25">
      <c r="B23933" s="55" t="s">
        <v>283</v>
      </c>
      <c r="C23933" s="46">
        <v>3921</v>
      </c>
      <c r="D23933" s="69" t="s">
        <v>29420</v>
      </c>
      <c r="E23933" s="51"/>
      <c r="F23933" s="114" t="str">
        <f>IF(INDEX(I.Facility.P4IDNumber,3921)="","",INDEX(I.Facility.P4IDNumber,3921))</f>
        <v/>
      </c>
      <c r="G23933" s="51"/>
      <c r="H23933" s="46" t="str">
        <f>IF(AND(I.Developer.P4=TRUE,I.Facility.P4FacilityCount&gt;=3921,F23933=""),"Incomplete","Complete")</f>
        <v>Complete</v>
      </c>
      <c r="I23933" s="48" t="s">
        <v>28298</v>
      </c>
    </row>
    <row r="23934" spans="2:9" ht="15" customHeight="1" x14ac:dyDescent="0.25">
      <c r="B23934" s="55" t="s">
        <v>283</v>
      </c>
      <c r="C23934" s="46">
        <v>3922</v>
      </c>
      <c r="D23934" s="69" t="s">
        <v>29420</v>
      </c>
      <c r="E23934" s="51"/>
      <c r="F23934" s="114" t="str">
        <f>IF(INDEX(I.Facility.P4IDNumber,3922)="","",INDEX(I.Facility.P4IDNumber,3922))</f>
        <v/>
      </c>
      <c r="G23934" s="51"/>
      <c r="H23934" s="46" t="str">
        <f>IF(AND(I.Developer.P4=TRUE,I.Facility.P4FacilityCount&gt;=3922,F23934=""),"Incomplete","Complete")</f>
        <v>Complete</v>
      </c>
      <c r="I23934" s="48" t="s">
        <v>28299</v>
      </c>
    </row>
    <row r="23935" spans="2:9" ht="15" customHeight="1" x14ac:dyDescent="0.25">
      <c r="B23935" s="55" t="s">
        <v>283</v>
      </c>
      <c r="C23935" s="46">
        <v>3923</v>
      </c>
      <c r="D23935" s="69" t="s">
        <v>29420</v>
      </c>
      <c r="E23935" s="51"/>
      <c r="F23935" s="114" t="str">
        <f>IF(INDEX(I.Facility.P4IDNumber,3923)="","",INDEX(I.Facility.P4IDNumber,3923))</f>
        <v/>
      </c>
      <c r="G23935" s="51"/>
      <c r="H23935" s="46" t="str">
        <f>IF(AND(I.Developer.P4=TRUE,I.Facility.P4FacilityCount&gt;=3923,F23935=""),"Incomplete","Complete")</f>
        <v>Complete</v>
      </c>
      <c r="I23935" s="48" t="s">
        <v>28300</v>
      </c>
    </row>
    <row r="23936" spans="2:9" ht="15" customHeight="1" x14ac:dyDescent="0.25">
      <c r="B23936" s="55" t="s">
        <v>283</v>
      </c>
      <c r="C23936" s="46">
        <v>3924</v>
      </c>
      <c r="D23936" s="69" t="s">
        <v>29420</v>
      </c>
      <c r="E23936" s="51"/>
      <c r="F23936" s="114" t="str">
        <f>IF(INDEX(I.Facility.P4IDNumber,3924)="","",INDEX(I.Facility.P4IDNumber,3924))</f>
        <v/>
      </c>
      <c r="G23936" s="51"/>
      <c r="H23936" s="46" t="str">
        <f>IF(AND(I.Developer.P4=TRUE,I.Facility.P4FacilityCount&gt;=3924,F23936=""),"Incomplete","Complete")</f>
        <v>Complete</v>
      </c>
      <c r="I23936" s="48" t="s">
        <v>28301</v>
      </c>
    </row>
    <row r="23937" spans="2:9" ht="15" customHeight="1" x14ac:dyDescent="0.25">
      <c r="B23937" s="55" t="s">
        <v>283</v>
      </c>
      <c r="C23937" s="46">
        <v>3925</v>
      </c>
      <c r="D23937" s="69" t="s">
        <v>29420</v>
      </c>
      <c r="E23937" s="51"/>
      <c r="F23937" s="114" t="str">
        <f>IF(INDEX(I.Facility.P4IDNumber,3925)="","",INDEX(I.Facility.P4IDNumber,3925))</f>
        <v/>
      </c>
      <c r="G23937" s="51"/>
      <c r="H23937" s="46" t="str">
        <f>IF(AND(I.Developer.P4=TRUE,I.Facility.P4FacilityCount&gt;=3925,F23937=""),"Incomplete","Complete")</f>
        <v>Complete</v>
      </c>
      <c r="I23937" s="48" t="s">
        <v>28302</v>
      </c>
    </row>
    <row r="23938" spans="2:9" ht="15" customHeight="1" x14ac:dyDescent="0.25">
      <c r="B23938" s="55" t="s">
        <v>283</v>
      </c>
      <c r="C23938" s="46">
        <v>3926</v>
      </c>
      <c r="D23938" s="69" t="s">
        <v>29420</v>
      </c>
      <c r="E23938" s="51"/>
      <c r="F23938" s="114" t="str">
        <f>IF(INDEX(I.Facility.P4IDNumber,3926)="","",INDEX(I.Facility.P4IDNumber,3926))</f>
        <v/>
      </c>
      <c r="G23938" s="51"/>
      <c r="H23938" s="46" t="str">
        <f>IF(AND(I.Developer.P4=TRUE,I.Facility.P4FacilityCount&gt;=3926,F23938=""),"Incomplete","Complete")</f>
        <v>Complete</v>
      </c>
      <c r="I23938" s="48" t="s">
        <v>28303</v>
      </c>
    </row>
    <row r="23939" spans="2:9" ht="15" customHeight="1" x14ac:dyDescent="0.25">
      <c r="B23939" s="55" t="s">
        <v>283</v>
      </c>
      <c r="C23939" s="46">
        <v>3927</v>
      </c>
      <c r="D23939" s="69" t="s">
        <v>29420</v>
      </c>
      <c r="E23939" s="51"/>
      <c r="F23939" s="114" t="str">
        <f>IF(INDEX(I.Facility.P4IDNumber,3927)="","",INDEX(I.Facility.P4IDNumber,3927))</f>
        <v/>
      </c>
      <c r="G23939" s="51"/>
      <c r="H23939" s="46" t="str">
        <f>IF(AND(I.Developer.P4=TRUE,I.Facility.P4FacilityCount&gt;=3927,F23939=""),"Incomplete","Complete")</f>
        <v>Complete</v>
      </c>
      <c r="I23939" s="48" t="s">
        <v>28304</v>
      </c>
    </row>
    <row r="23940" spans="2:9" ht="15" customHeight="1" x14ac:dyDescent="0.25">
      <c r="B23940" s="55" t="s">
        <v>283</v>
      </c>
      <c r="C23940" s="46">
        <v>3928</v>
      </c>
      <c r="D23940" s="69" t="s">
        <v>29420</v>
      </c>
      <c r="E23940" s="51"/>
      <c r="F23940" s="114" t="str">
        <f>IF(INDEX(I.Facility.P4IDNumber,3928)="","",INDEX(I.Facility.P4IDNumber,3928))</f>
        <v/>
      </c>
      <c r="G23940" s="51"/>
      <c r="H23940" s="46" t="str">
        <f>IF(AND(I.Developer.P4=TRUE,I.Facility.P4FacilityCount&gt;=3928,F23940=""),"Incomplete","Complete")</f>
        <v>Complete</v>
      </c>
      <c r="I23940" s="48" t="s">
        <v>28305</v>
      </c>
    </row>
    <row r="23941" spans="2:9" ht="15" customHeight="1" x14ac:dyDescent="0.25">
      <c r="B23941" s="55" t="s">
        <v>283</v>
      </c>
      <c r="C23941" s="46">
        <v>3929</v>
      </c>
      <c r="D23941" s="69" t="s">
        <v>29420</v>
      </c>
      <c r="E23941" s="51"/>
      <c r="F23941" s="114" t="str">
        <f>IF(INDEX(I.Facility.P4IDNumber,3929)="","",INDEX(I.Facility.P4IDNumber,3929))</f>
        <v/>
      </c>
      <c r="G23941" s="51"/>
      <c r="H23941" s="46" t="str">
        <f>IF(AND(I.Developer.P4=TRUE,I.Facility.P4FacilityCount&gt;=3929,F23941=""),"Incomplete","Complete")</f>
        <v>Complete</v>
      </c>
      <c r="I23941" s="48" t="s">
        <v>28306</v>
      </c>
    </row>
    <row r="23942" spans="2:9" ht="15" customHeight="1" x14ac:dyDescent="0.25">
      <c r="B23942" s="55" t="s">
        <v>283</v>
      </c>
      <c r="C23942" s="46">
        <v>3930</v>
      </c>
      <c r="D23942" s="69" t="s">
        <v>29420</v>
      </c>
      <c r="E23942" s="51"/>
      <c r="F23942" s="114" t="str">
        <f>IF(INDEX(I.Facility.P4IDNumber,3930)="","",INDEX(I.Facility.P4IDNumber,3930))</f>
        <v/>
      </c>
      <c r="G23942" s="51"/>
      <c r="H23942" s="46" t="str">
        <f>IF(AND(I.Developer.P4=TRUE,I.Facility.P4FacilityCount&gt;=3930,F23942=""),"Incomplete","Complete")</f>
        <v>Complete</v>
      </c>
      <c r="I23942" s="48" t="s">
        <v>28307</v>
      </c>
    </row>
    <row r="23943" spans="2:9" ht="15" customHeight="1" x14ac:dyDescent="0.25">
      <c r="B23943" s="55" t="s">
        <v>283</v>
      </c>
      <c r="C23943" s="46">
        <v>3931</v>
      </c>
      <c r="D23943" s="69" t="s">
        <v>29420</v>
      </c>
      <c r="E23943" s="51"/>
      <c r="F23943" s="114" t="str">
        <f>IF(INDEX(I.Facility.P4IDNumber,3931)="","",INDEX(I.Facility.P4IDNumber,3931))</f>
        <v/>
      </c>
      <c r="G23943" s="51"/>
      <c r="H23943" s="46" t="str">
        <f>IF(AND(I.Developer.P4=TRUE,I.Facility.P4FacilityCount&gt;=3931,F23943=""),"Incomplete","Complete")</f>
        <v>Complete</v>
      </c>
      <c r="I23943" s="48" t="s">
        <v>28308</v>
      </c>
    </row>
    <row r="23944" spans="2:9" ht="15" customHeight="1" x14ac:dyDescent="0.25">
      <c r="B23944" s="55" t="s">
        <v>283</v>
      </c>
      <c r="C23944" s="46">
        <v>3932</v>
      </c>
      <c r="D23944" s="69" t="s">
        <v>29420</v>
      </c>
      <c r="E23944" s="51"/>
      <c r="F23944" s="114" t="str">
        <f>IF(INDEX(I.Facility.P4IDNumber,3932)="","",INDEX(I.Facility.P4IDNumber,3932))</f>
        <v/>
      </c>
      <c r="G23944" s="51"/>
      <c r="H23944" s="46" t="str">
        <f>IF(AND(I.Developer.P4=TRUE,I.Facility.P4FacilityCount&gt;=3932,F23944=""),"Incomplete","Complete")</f>
        <v>Complete</v>
      </c>
      <c r="I23944" s="48" t="s">
        <v>28309</v>
      </c>
    </row>
    <row r="23945" spans="2:9" ht="15" customHeight="1" x14ac:dyDescent="0.25">
      <c r="B23945" s="55" t="s">
        <v>283</v>
      </c>
      <c r="C23945" s="46">
        <v>3933</v>
      </c>
      <c r="D23945" s="69" t="s">
        <v>29420</v>
      </c>
      <c r="E23945" s="51"/>
      <c r="F23945" s="114" t="str">
        <f>IF(INDEX(I.Facility.P4IDNumber,3933)="","",INDEX(I.Facility.P4IDNumber,3933))</f>
        <v/>
      </c>
      <c r="G23945" s="51"/>
      <c r="H23945" s="46" t="str">
        <f>IF(AND(I.Developer.P4=TRUE,I.Facility.P4FacilityCount&gt;=3933,F23945=""),"Incomplete","Complete")</f>
        <v>Complete</v>
      </c>
      <c r="I23945" s="48" t="s">
        <v>28310</v>
      </c>
    </row>
    <row r="23946" spans="2:9" ht="15" customHeight="1" x14ac:dyDescent="0.25">
      <c r="B23946" s="55" t="s">
        <v>283</v>
      </c>
      <c r="C23946" s="46">
        <v>3934</v>
      </c>
      <c r="D23946" s="69" t="s">
        <v>29420</v>
      </c>
      <c r="E23946" s="51"/>
      <c r="F23946" s="114" t="str">
        <f>IF(INDEX(I.Facility.P4IDNumber,3934)="","",INDEX(I.Facility.P4IDNumber,3934))</f>
        <v/>
      </c>
      <c r="G23946" s="51"/>
      <c r="H23946" s="46" t="str">
        <f>IF(AND(I.Developer.P4=TRUE,I.Facility.P4FacilityCount&gt;=3934,F23946=""),"Incomplete","Complete")</f>
        <v>Complete</v>
      </c>
      <c r="I23946" s="48" t="s">
        <v>28311</v>
      </c>
    </row>
    <row r="23947" spans="2:9" ht="15" customHeight="1" x14ac:dyDescent="0.25">
      <c r="B23947" s="55" t="s">
        <v>283</v>
      </c>
      <c r="C23947" s="46">
        <v>3935</v>
      </c>
      <c r="D23947" s="69" t="s">
        <v>29420</v>
      </c>
      <c r="E23947" s="51"/>
      <c r="F23947" s="114" t="str">
        <f>IF(INDEX(I.Facility.P4IDNumber,3935)="","",INDEX(I.Facility.P4IDNumber,3935))</f>
        <v/>
      </c>
      <c r="G23947" s="51"/>
      <c r="H23947" s="46" t="str">
        <f>IF(AND(I.Developer.P4=TRUE,I.Facility.P4FacilityCount&gt;=3935,F23947=""),"Incomplete","Complete")</f>
        <v>Complete</v>
      </c>
      <c r="I23947" s="48" t="s">
        <v>28312</v>
      </c>
    </row>
    <row r="23948" spans="2:9" ht="15" customHeight="1" x14ac:dyDescent="0.25">
      <c r="B23948" s="55" t="s">
        <v>283</v>
      </c>
      <c r="C23948" s="46">
        <v>3936</v>
      </c>
      <c r="D23948" s="69" t="s">
        <v>29420</v>
      </c>
      <c r="E23948" s="51"/>
      <c r="F23948" s="114" t="str">
        <f>IF(INDEX(I.Facility.P4IDNumber,3936)="","",INDEX(I.Facility.P4IDNumber,3936))</f>
        <v/>
      </c>
      <c r="G23948" s="51"/>
      <c r="H23948" s="46" t="str">
        <f>IF(AND(I.Developer.P4=TRUE,I.Facility.P4FacilityCount&gt;=3936,F23948=""),"Incomplete","Complete")</f>
        <v>Complete</v>
      </c>
      <c r="I23948" s="48" t="s">
        <v>28313</v>
      </c>
    </row>
    <row r="23949" spans="2:9" ht="15" customHeight="1" x14ac:dyDescent="0.25">
      <c r="B23949" s="55" t="s">
        <v>283</v>
      </c>
      <c r="C23949" s="46">
        <v>3937</v>
      </c>
      <c r="D23949" s="69" t="s">
        <v>29420</v>
      </c>
      <c r="E23949" s="51"/>
      <c r="F23949" s="114" t="str">
        <f>IF(INDEX(I.Facility.P4IDNumber,3937)="","",INDEX(I.Facility.P4IDNumber,3937))</f>
        <v/>
      </c>
      <c r="G23949" s="51"/>
      <c r="H23949" s="46" t="str">
        <f>IF(AND(I.Developer.P4=TRUE,I.Facility.P4FacilityCount&gt;=3937,F23949=""),"Incomplete","Complete")</f>
        <v>Complete</v>
      </c>
      <c r="I23949" s="48" t="s">
        <v>28314</v>
      </c>
    </row>
    <row r="23950" spans="2:9" ht="15" customHeight="1" x14ac:dyDescent="0.25">
      <c r="B23950" s="55" t="s">
        <v>283</v>
      </c>
      <c r="C23950" s="46">
        <v>3938</v>
      </c>
      <c r="D23950" s="69" t="s">
        <v>29420</v>
      </c>
      <c r="E23950" s="51"/>
      <c r="F23950" s="114" t="str">
        <f>IF(INDEX(I.Facility.P4IDNumber,3938)="","",INDEX(I.Facility.P4IDNumber,3938))</f>
        <v/>
      </c>
      <c r="G23950" s="51"/>
      <c r="H23950" s="46" t="str">
        <f>IF(AND(I.Developer.P4=TRUE,I.Facility.P4FacilityCount&gt;=3938,F23950=""),"Incomplete","Complete")</f>
        <v>Complete</v>
      </c>
      <c r="I23950" s="48" t="s">
        <v>28315</v>
      </c>
    </row>
    <row r="23951" spans="2:9" ht="15" customHeight="1" x14ac:dyDescent="0.25">
      <c r="B23951" s="55" t="s">
        <v>283</v>
      </c>
      <c r="C23951" s="46">
        <v>3939</v>
      </c>
      <c r="D23951" s="69" t="s">
        <v>29420</v>
      </c>
      <c r="E23951" s="51"/>
      <c r="F23951" s="114" t="str">
        <f>IF(INDEX(I.Facility.P4IDNumber,3939)="","",INDEX(I.Facility.P4IDNumber,3939))</f>
        <v/>
      </c>
      <c r="G23951" s="51"/>
      <c r="H23951" s="46" t="str">
        <f>IF(AND(I.Developer.P4=TRUE,I.Facility.P4FacilityCount&gt;=3939,F23951=""),"Incomplete","Complete")</f>
        <v>Complete</v>
      </c>
      <c r="I23951" s="48" t="s">
        <v>28316</v>
      </c>
    </row>
    <row r="23952" spans="2:9" ht="15" customHeight="1" x14ac:dyDescent="0.25">
      <c r="B23952" s="55" t="s">
        <v>283</v>
      </c>
      <c r="C23952" s="46">
        <v>3940</v>
      </c>
      <c r="D23952" s="69" t="s">
        <v>29420</v>
      </c>
      <c r="E23952" s="51"/>
      <c r="F23952" s="114" t="str">
        <f>IF(INDEX(I.Facility.P4IDNumber,3940)="","",INDEX(I.Facility.P4IDNumber,3940))</f>
        <v/>
      </c>
      <c r="G23952" s="51"/>
      <c r="H23952" s="46" t="str">
        <f>IF(AND(I.Developer.P4=TRUE,I.Facility.P4FacilityCount&gt;=3940,F23952=""),"Incomplete","Complete")</f>
        <v>Complete</v>
      </c>
      <c r="I23952" s="48" t="s">
        <v>28317</v>
      </c>
    </row>
    <row r="23953" spans="2:9" ht="15" customHeight="1" x14ac:dyDescent="0.25">
      <c r="B23953" s="55" t="s">
        <v>283</v>
      </c>
      <c r="C23953" s="46">
        <v>3941</v>
      </c>
      <c r="D23953" s="69" t="s">
        <v>29420</v>
      </c>
      <c r="E23953" s="51"/>
      <c r="F23953" s="114" t="str">
        <f>IF(INDEX(I.Facility.P4IDNumber,3941)="","",INDEX(I.Facility.P4IDNumber,3941))</f>
        <v/>
      </c>
      <c r="G23953" s="51"/>
      <c r="H23953" s="46" t="str">
        <f>IF(AND(I.Developer.P4=TRUE,I.Facility.P4FacilityCount&gt;=3941,F23953=""),"Incomplete","Complete")</f>
        <v>Complete</v>
      </c>
      <c r="I23953" s="48" t="s">
        <v>28318</v>
      </c>
    </row>
    <row r="23954" spans="2:9" ht="15" customHeight="1" x14ac:dyDescent="0.25">
      <c r="B23954" s="55" t="s">
        <v>283</v>
      </c>
      <c r="C23954" s="46">
        <v>3942</v>
      </c>
      <c r="D23954" s="69" t="s">
        <v>29420</v>
      </c>
      <c r="E23954" s="51"/>
      <c r="F23954" s="114" t="str">
        <f>IF(INDEX(I.Facility.P4IDNumber,3942)="","",INDEX(I.Facility.P4IDNumber,3942))</f>
        <v/>
      </c>
      <c r="G23954" s="51"/>
      <c r="H23954" s="46" t="str">
        <f>IF(AND(I.Developer.P4=TRUE,I.Facility.P4FacilityCount&gt;=3942,F23954=""),"Incomplete","Complete")</f>
        <v>Complete</v>
      </c>
      <c r="I23954" s="48" t="s">
        <v>28319</v>
      </c>
    </row>
    <row r="23955" spans="2:9" ht="15" customHeight="1" x14ac:dyDescent="0.25">
      <c r="B23955" s="55" t="s">
        <v>283</v>
      </c>
      <c r="C23955" s="46">
        <v>3943</v>
      </c>
      <c r="D23955" s="69" t="s">
        <v>29420</v>
      </c>
      <c r="E23955" s="51"/>
      <c r="F23955" s="114" t="str">
        <f>IF(INDEX(I.Facility.P4IDNumber,3943)="","",INDEX(I.Facility.P4IDNumber,3943))</f>
        <v/>
      </c>
      <c r="G23955" s="51"/>
      <c r="H23955" s="46" t="str">
        <f>IF(AND(I.Developer.P4=TRUE,I.Facility.P4FacilityCount&gt;=3943,F23955=""),"Incomplete","Complete")</f>
        <v>Complete</v>
      </c>
      <c r="I23955" s="48" t="s">
        <v>28320</v>
      </c>
    </row>
    <row r="23956" spans="2:9" ht="15" customHeight="1" x14ac:dyDescent="0.25">
      <c r="B23956" s="55" t="s">
        <v>283</v>
      </c>
      <c r="C23956" s="46">
        <v>3944</v>
      </c>
      <c r="D23956" s="69" t="s">
        <v>29420</v>
      </c>
      <c r="E23956" s="51"/>
      <c r="F23956" s="114" t="str">
        <f>IF(INDEX(I.Facility.P4IDNumber,3944)="","",INDEX(I.Facility.P4IDNumber,3944))</f>
        <v/>
      </c>
      <c r="G23956" s="51"/>
      <c r="H23956" s="46" t="str">
        <f>IF(AND(I.Developer.P4=TRUE,I.Facility.P4FacilityCount&gt;=3944,F23956=""),"Incomplete","Complete")</f>
        <v>Complete</v>
      </c>
      <c r="I23956" s="48" t="s">
        <v>28321</v>
      </c>
    </row>
    <row r="23957" spans="2:9" ht="15" customHeight="1" x14ac:dyDescent="0.25">
      <c r="B23957" s="55" t="s">
        <v>283</v>
      </c>
      <c r="C23957" s="46">
        <v>3945</v>
      </c>
      <c r="D23957" s="69" t="s">
        <v>29420</v>
      </c>
      <c r="E23957" s="51"/>
      <c r="F23957" s="114" t="str">
        <f>IF(INDEX(I.Facility.P4IDNumber,3945)="","",INDEX(I.Facility.P4IDNumber,3945))</f>
        <v/>
      </c>
      <c r="G23957" s="51"/>
      <c r="H23957" s="46" t="str">
        <f>IF(AND(I.Developer.P4=TRUE,I.Facility.P4FacilityCount&gt;=3945,F23957=""),"Incomplete","Complete")</f>
        <v>Complete</v>
      </c>
      <c r="I23957" s="48" t="s">
        <v>28322</v>
      </c>
    </row>
    <row r="23958" spans="2:9" ht="15" customHeight="1" x14ac:dyDescent="0.25">
      <c r="B23958" s="55" t="s">
        <v>283</v>
      </c>
      <c r="C23958" s="46">
        <v>3946</v>
      </c>
      <c r="D23958" s="69" t="s">
        <v>29420</v>
      </c>
      <c r="E23958" s="51"/>
      <c r="F23958" s="114" t="str">
        <f>IF(INDEX(I.Facility.P4IDNumber,3946)="","",INDEX(I.Facility.P4IDNumber,3946))</f>
        <v/>
      </c>
      <c r="G23958" s="51"/>
      <c r="H23958" s="46" t="str">
        <f>IF(AND(I.Developer.P4=TRUE,I.Facility.P4FacilityCount&gt;=3946,F23958=""),"Incomplete","Complete")</f>
        <v>Complete</v>
      </c>
      <c r="I23958" s="48" t="s">
        <v>28323</v>
      </c>
    </row>
    <row r="23959" spans="2:9" ht="15" customHeight="1" x14ac:dyDescent="0.25">
      <c r="B23959" s="55" t="s">
        <v>283</v>
      </c>
      <c r="C23959" s="46">
        <v>3947</v>
      </c>
      <c r="D23959" s="69" t="s">
        <v>29420</v>
      </c>
      <c r="E23959" s="51"/>
      <c r="F23959" s="114" t="str">
        <f>IF(INDEX(I.Facility.P4IDNumber,3947)="","",INDEX(I.Facility.P4IDNumber,3947))</f>
        <v/>
      </c>
      <c r="G23959" s="51"/>
      <c r="H23959" s="46" t="str">
        <f>IF(AND(I.Developer.P4=TRUE,I.Facility.P4FacilityCount&gt;=3947,F23959=""),"Incomplete","Complete")</f>
        <v>Complete</v>
      </c>
      <c r="I23959" s="48" t="s">
        <v>28324</v>
      </c>
    </row>
    <row r="23960" spans="2:9" ht="15" customHeight="1" x14ac:dyDescent="0.25">
      <c r="B23960" s="55" t="s">
        <v>283</v>
      </c>
      <c r="C23960" s="46">
        <v>3948</v>
      </c>
      <c r="D23960" s="69" t="s">
        <v>29420</v>
      </c>
      <c r="E23960" s="51"/>
      <c r="F23960" s="114" t="str">
        <f>IF(INDEX(I.Facility.P4IDNumber,3948)="","",INDEX(I.Facility.P4IDNumber,3948))</f>
        <v/>
      </c>
      <c r="G23960" s="51"/>
      <c r="H23960" s="46" t="str">
        <f>IF(AND(I.Developer.P4=TRUE,I.Facility.P4FacilityCount&gt;=3948,F23960=""),"Incomplete","Complete")</f>
        <v>Complete</v>
      </c>
      <c r="I23960" s="48" t="s">
        <v>28325</v>
      </c>
    </row>
    <row r="23961" spans="2:9" ht="15" customHeight="1" x14ac:dyDescent="0.25">
      <c r="B23961" s="55" t="s">
        <v>283</v>
      </c>
      <c r="C23961" s="46">
        <v>3949</v>
      </c>
      <c r="D23961" s="69" t="s">
        <v>29420</v>
      </c>
      <c r="E23961" s="51"/>
      <c r="F23961" s="114" t="str">
        <f>IF(INDEX(I.Facility.P4IDNumber,3949)="","",INDEX(I.Facility.P4IDNumber,3949))</f>
        <v/>
      </c>
      <c r="G23961" s="51"/>
      <c r="H23961" s="46" t="str">
        <f>IF(AND(I.Developer.P4=TRUE,I.Facility.P4FacilityCount&gt;=3949,F23961=""),"Incomplete","Complete")</f>
        <v>Complete</v>
      </c>
      <c r="I23961" s="48" t="s">
        <v>28326</v>
      </c>
    </row>
    <row r="23962" spans="2:9" ht="15" customHeight="1" x14ac:dyDescent="0.25">
      <c r="B23962" s="55" t="s">
        <v>283</v>
      </c>
      <c r="C23962" s="46">
        <v>3950</v>
      </c>
      <c r="D23962" s="69" t="s">
        <v>29420</v>
      </c>
      <c r="E23962" s="51"/>
      <c r="F23962" s="114" t="str">
        <f>IF(INDEX(I.Facility.P4IDNumber,3950)="","",INDEX(I.Facility.P4IDNumber,3950))</f>
        <v/>
      </c>
      <c r="G23962" s="51"/>
      <c r="H23962" s="46" t="str">
        <f>IF(AND(I.Developer.P4=TRUE,I.Facility.P4FacilityCount&gt;=3950,F23962=""),"Incomplete","Complete")</f>
        <v>Complete</v>
      </c>
      <c r="I23962" s="48" t="s">
        <v>28327</v>
      </c>
    </row>
    <row r="23963" spans="2:9" ht="15" customHeight="1" x14ac:dyDescent="0.25">
      <c r="B23963" s="55" t="s">
        <v>283</v>
      </c>
      <c r="C23963" s="46">
        <v>3951</v>
      </c>
      <c r="D23963" s="69" t="s">
        <v>29420</v>
      </c>
      <c r="E23963" s="51"/>
      <c r="F23963" s="114" t="str">
        <f>IF(INDEX(I.Facility.P4IDNumber,3951)="","",INDEX(I.Facility.P4IDNumber,3951))</f>
        <v/>
      </c>
      <c r="G23963" s="51"/>
      <c r="H23963" s="46" t="str">
        <f>IF(AND(I.Developer.P4=TRUE,I.Facility.P4FacilityCount&gt;=3951,F23963=""),"Incomplete","Complete")</f>
        <v>Complete</v>
      </c>
      <c r="I23963" s="48" t="s">
        <v>28328</v>
      </c>
    </row>
    <row r="23964" spans="2:9" ht="15" customHeight="1" x14ac:dyDescent="0.25">
      <c r="B23964" s="55" t="s">
        <v>283</v>
      </c>
      <c r="C23964" s="46">
        <v>3952</v>
      </c>
      <c r="D23964" s="69" t="s">
        <v>29420</v>
      </c>
      <c r="E23964" s="51"/>
      <c r="F23964" s="114" t="str">
        <f>IF(INDEX(I.Facility.P4IDNumber,3952)="","",INDEX(I.Facility.P4IDNumber,3952))</f>
        <v/>
      </c>
      <c r="G23964" s="51"/>
      <c r="H23964" s="46" t="str">
        <f>IF(AND(I.Developer.P4=TRUE,I.Facility.P4FacilityCount&gt;=3952,F23964=""),"Incomplete","Complete")</f>
        <v>Complete</v>
      </c>
      <c r="I23964" s="48" t="s">
        <v>28329</v>
      </c>
    </row>
    <row r="23965" spans="2:9" ht="15" customHeight="1" x14ac:dyDescent="0.25">
      <c r="B23965" s="55" t="s">
        <v>283</v>
      </c>
      <c r="C23965" s="46">
        <v>3953</v>
      </c>
      <c r="D23965" s="69" t="s">
        <v>29420</v>
      </c>
      <c r="E23965" s="51"/>
      <c r="F23965" s="114" t="str">
        <f>IF(INDEX(I.Facility.P4IDNumber,3953)="","",INDEX(I.Facility.P4IDNumber,3953))</f>
        <v/>
      </c>
      <c r="G23965" s="51"/>
      <c r="H23965" s="46" t="str">
        <f>IF(AND(I.Developer.P4=TRUE,I.Facility.P4FacilityCount&gt;=3953,F23965=""),"Incomplete","Complete")</f>
        <v>Complete</v>
      </c>
      <c r="I23965" s="48" t="s">
        <v>28330</v>
      </c>
    </row>
    <row r="23966" spans="2:9" ht="15" customHeight="1" x14ac:dyDescent="0.25">
      <c r="B23966" s="55" t="s">
        <v>283</v>
      </c>
      <c r="C23966" s="46">
        <v>3954</v>
      </c>
      <c r="D23966" s="69" t="s">
        <v>29420</v>
      </c>
      <c r="E23966" s="51"/>
      <c r="F23966" s="114" t="str">
        <f>IF(INDEX(I.Facility.P4IDNumber,3954)="","",INDEX(I.Facility.P4IDNumber,3954))</f>
        <v/>
      </c>
      <c r="G23966" s="51"/>
      <c r="H23966" s="46" t="str">
        <f>IF(AND(I.Developer.P4=TRUE,I.Facility.P4FacilityCount&gt;=3954,F23966=""),"Incomplete","Complete")</f>
        <v>Complete</v>
      </c>
      <c r="I23966" s="48" t="s">
        <v>28331</v>
      </c>
    </row>
    <row r="23967" spans="2:9" ht="15" customHeight="1" x14ac:dyDescent="0.25">
      <c r="B23967" s="55" t="s">
        <v>283</v>
      </c>
      <c r="C23967" s="46">
        <v>3955</v>
      </c>
      <c r="D23967" s="69" t="s">
        <v>29420</v>
      </c>
      <c r="E23967" s="51"/>
      <c r="F23967" s="114" t="str">
        <f>IF(INDEX(I.Facility.P4IDNumber,3955)="","",INDEX(I.Facility.P4IDNumber,3955))</f>
        <v/>
      </c>
      <c r="G23967" s="51"/>
      <c r="H23967" s="46" t="str">
        <f>IF(AND(I.Developer.P4=TRUE,I.Facility.P4FacilityCount&gt;=3955,F23967=""),"Incomplete","Complete")</f>
        <v>Complete</v>
      </c>
      <c r="I23967" s="48" t="s">
        <v>28332</v>
      </c>
    </row>
    <row r="23968" spans="2:9" ht="15" customHeight="1" x14ac:dyDescent="0.25">
      <c r="B23968" s="55" t="s">
        <v>283</v>
      </c>
      <c r="C23968" s="46">
        <v>3956</v>
      </c>
      <c r="D23968" s="69" t="s">
        <v>29420</v>
      </c>
      <c r="E23968" s="51"/>
      <c r="F23968" s="114" t="str">
        <f>IF(INDEX(I.Facility.P4IDNumber,3956)="","",INDEX(I.Facility.P4IDNumber,3956))</f>
        <v/>
      </c>
      <c r="G23968" s="51"/>
      <c r="H23968" s="46" t="str">
        <f>IF(AND(I.Developer.P4=TRUE,I.Facility.P4FacilityCount&gt;=3956,F23968=""),"Incomplete","Complete")</f>
        <v>Complete</v>
      </c>
      <c r="I23968" s="48" t="s">
        <v>28333</v>
      </c>
    </row>
    <row r="23969" spans="2:9" ht="15" customHeight="1" x14ac:dyDescent="0.25">
      <c r="B23969" s="55" t="s">
        <v>283</v>
      </c>
      <c r="C23969" s="46">
        <v>3957</v>
      </c>
      <c r="D23969" s="69" t="s">
        <v>29420</v>
      </c>
      <c r="E23969" s="51"/>
      <c r="F23969" s="114" t="str">
        <f>IF(INDEX(I.Facility.P4IDNumber,3957)="","",INDEX(I.Facility.P4IDNumber,3957))</f>
        <v/>
      </c>
      <c r="G23969" s="51"/>
      <c r="H23969" s="46" t="str">
        <f>IF(AND(I.Developer.P4=TRUE,I.Facility.P4FacilityCount&gt;=3957,F23969=""),"Incomplete","Complete")</f>
        <v>Complete</v>
      </c>
      <c r="I23969" s="48" t="s">
        <v>28334</v>
      </c>
    </row>
    <row r="23970" spans="2:9" ht="15" customHeight="1" x14ac:dyDescent="0.25">
      <c r="B23970" s="55" t="s">
        <v>283</v>
      </c>
      <c r="C23970" s="46">
        <v>3958</v>
      </c>
      <c r="D23970" s="69" t="s">
        <v>29420</v>
      </c>
      <c r="E23970" s="51"/>
      <c r="F23970" s="114" t="str">
        <f>IF(INDEX(I.Facility.P4IDNumber,3958)="","",INDEX(I.Facility.P4IDNumber,3958))</f>
        <v/>
      </c>
      <c r="G23970" s="51"/>
      <c r="H23970" s="46" t="str">
        <f>IF(AND(I.Developer.P4=TRUE,I.Facility.P4FacilityCount&gt;=3958,F23970=""),"Incomplete","Complete")</f>
        <v>Complete</v>
      </c>
      <c r="I23970" s="48" t="s">
        <v>28335</v>
      </c>
    </row>
    <row r="23971" spans="2:9" ht="15" customHeight="1" x14ac:dyDescent="0.25">
      <c r="B23971" s="55" t="s">
        <v>283</v>
      </c>
      <c r="C23971" s="46">
        <v>3959</v>
      </c>
      <c r="D23971" s="69" t="s">
        <v>29420</v>
      </c>
      <c r="E23971" s="51"/>
      <c r="F23971" s="114" t="str">
        <f>IF(INDEX(I.Facility.P4IDNumber,3959)="","",INDEX(I.Facility.P4IDNumber,3959))</f>
        <v/>
      </c>
      <c r="G23971" s="51"/>
      <c r="H23971" s="46" t="str">
        <f>IF(AND(I.Developer.P4=TRUE,I.Facility.P4FacilityCount&gt;=3959,F23971=""),"Incomplete","Complete")</f>
        <v>Complete</v>
      </c>
      <c r="I23971" s="48" t="s">
        <v>28336</v>
      </c>
    </row>
    <row r="23972" spans="2:9" ht="15" customHeight="1" x14ac:dyDescent="0.25">
      <c r="B23972" s="55" t="s">
        <v>283</v>
      </c>
      <c r="C23972" s="46">
        <v>3960</v>
      </c>
      <c r="D23972" s="69" t="s">
        <v>29420</v>
      </c>
      <c r="E23972" s="51"/>
      <c r="F23972" s="114" t="str">
        <f>IF(INDEX(I.Facility.P4IDNumber,3960)="","",INDEX(I.Facility.P4IDNumber,3960))</f>
        <v/>
      </c>
      <c r="G23972" s="51"/>
      <c r="H23972" s="46" t="str">
        <f>IF(AND(I.Developer.P4=TRUE,I.Facility.P4FacilityCount&gt;=3960,F23972=""),"Incomplete","Complete")</f>
        <v>Complete</v>
      </c>
      <c r="I23972" s="48" t="s">
        <v>28337</v>
      </c>
    </row>
    <row r="23973" spans="2:9" ht="15" customHeight="1" x14ac:dyDescent="0.25">
      <c r="B23973" s="55" t="s">
        <v>283</v>
      </c>
      <c r="C23973" s="46">
        <v>3961</v>
      </c>
      <c r="D23973" s="69" t="s">
        <v>29420</v>
      </c>
      <c r="E23973" s="51"/>
      <c r="F23973" s="114" t="str">
        <f>IF(INDEX(I.Facility.P4IDNumber,3961)="","",INDEX(I.Facility.P4IDNumber,3961))</f>
        <v/>
      </c>
      <c r="G23973" s="51"/>
      <c r="H23973" s="46" t="str">
        <f>IF(AND(I.Developer.P4=TRUE,I.Facility.P4FacilityCount&gt;=3961,F23973=""),"Incomplete","Complete")</f>
        <v>Complete</v>
      </c>
      <c r="I23973" s="48" t="s">
        <v>28338</v>
      </c>
    </row>
    <row r="23974" spans="2:9" ht="15" customHeight="1" x14ac:dyDescent="0.25">
      <c r="B23974" s="55" t="s">
        <v>283</v>
      </c>
      <c r="C23974" s="46">
        <v>3962</v>
      </c>
      <c r="D23974" s="69" t="s">
        <v>29420</v>
      </c>
      <c r="E23974" s="51"/>
      <c r="F23974" s="114" t="str">
        <f>IF(INDEX(I.Facility.P4IDNumber,3962)="","",INDEX(I.Facility.P4IDNumber,3962))</f>
        <v/>
      </c>
      <c r="G23974" s="51"/>
      <c r="H23974" s="46" t="str">
        <f>IF(AND(I.Developer.P4=TRUE,I.Facility.P4FacilityCount&gt;=3962,F23974=""),"Incomplete","Complete")</f>
        <v>Complete</v>
      </c>
      <c r="I23974" s="48" t="s">
        <v>28339</v>
      </c>
    </row>
    <row r="23975" spans="2:9" ht="15" customHeight="1" x14ac:dyDescent="0.25">
      <c r="B23975" s="55" t="s">
        <v>283</v>
      </c>
      <c r="C23975" s="46">
        <v>3963</v>
      </c>
      <c r="D23975" s="69" t="s">
        <v>29420</v>
      </c>
      <c r="E23975" s="51"/>
      <c r="F23975" s="114" t="str">
        <f>IF(INDEX(I.Facility.P4IDNumber,3963)="","",INDEX(I.Facility.P4IDNumber,3963))</f>
        <v/>
      </c>
      <c r="G23975" s="51"/>
      <c r="H23975" s="46" t="str">
        <f>IF(AND(I.Developer.P4=TRUE,I.Facility.P4FacilityCount&gt;=3963,F23975=""),"Incomplete","Complete")</f>
        <v>Complete</v>
      </c>
      <c r="I23975" s="48" t="s">
        <v>28340</v>
      </c>
    </row>
    <row r="23976" spans="2:9" ht="15" customHeight="1" x14ac:dyDescent="0.25">
      <c r="B23976" s="55" t="s">
        <v>283</v>
      </c>
      <c r="C23976" s="46">
        <v>3964</v>
      </c>
      <c r="D23976" s="69" t="s">
        <v>29420</v>
      </c>
      <c r="E23976" s="51"/>
      <c r="F23976" s="114" t="str">
        <f>IF(INDEX(I.Facility.P4IDNumber,3964)="","",INDEX(I.Facility.P4IDNumber,3964))</f>
        <v/>
      </c>
      <c r="G23976" s="51"/>
      <c r="H23976" s="46" t="str">
        <f>IF(AND(I.Developer.P4=TRUE,I.Facility.P4FacilityCount&gt;=3964,F23976=""),"Incomplete","Complete")</f>
        <v>Complete</v>
      </c>
      <c r="I23976" s="48" t="s">
        <v>28341</v>
      </c>
    </row>
    <row r="23977" spans="2:9" ht="15" customHeight="1" x14ac:dyDescent="0.25">
      <c r="B23977" s="55" t="s">
        <v>283</v>
      </c>
      <c r="C23977" s="46">
        <v>3965</v>
      </c>
      <c r="D23977" s="69" t="s">
        <v>29420</v>
      </c>
      <c r="E23977" s="51"/>
      <c r="F23977" s="114" t="str">
        <f>IF(INDEX(I.Facility.P4IDNumber,3965)="","",INDEX(I.Facility.P4IDNumber,3965))</f>
        <v/>
      </c>
      <c r="G23977" s="51"/>
      <c r="H23977" s="46" t="str">
        <f>IF(AND(I.Developer.P4=TRUE,I.Facility.P4FacilityCount&gt;=3965,F23977=""),"Incomplete","Complete")</f>
        <v>Complete</v>
      </c>
      <c r="I23977" s="48" t="s">
        <v>28342</v>
      </c>
    </row>
    <row r="23978" spans="2:9" ht="15" customHeight="1" x14ac:dyDescent="0.25">
      <c r="B23978" s="55" t="s">
        <v>283</v>
      </c>
      <c r="C23978" s="46">
        <v>3966</v>
      </c>
      <c r="D23978" s="69" t="s">
        <v>29420</v>
      </c>
      <c r="E23978" s="51"/>
      <c r="F23978" s="114" t="str">
        <f>IF(INDEX(I.Facility.P4IDNumber,3966)="","",INDEX(I.Facility.P4IDNumber,3966))</f>
        <v/>
      </c>
      <c r="G23978" s="51"/>
      <c r="H23978" s="46" t="str">
        <f>IF(AND(I.Developer.P4=TRUE,I.Facility.P4FacilityCount&gt;=3966,F23978=""),"Incomplete","Complete")</f>
        <v>Complete</v>
      </c>
      <c r="I23978" s="48" t="s">
        <v>28343</v>
      </c>
    </row>
    <row r="23979" spans="2:9" ht="15" customHeight="1" x14ac:dyDescent="0.25">
      <c r="B23979" s="55" t="s">
        <v>283</v>
      </c>
      <c r="C23979" s="46">
        <v>3967</v>
      </c>
      <c r="D23979" s="69" t="s">
        <v>29420</v>
      </c>
      <c r="E23979" s="51"/>
      <c r="F23979" s="114" t="str">
        <f>IF(INDEX(I.Facility.P4IDNumber,3967)="","",INDEX(I.Facility.P4IDNumber,3967))</f>
        <v/>
      </c>
      <c r="G23979" s="51"/>
      <c r="H23979" s="46" t="str">
        <f>IF(AND(I.Developer.P4=TRUE,I.Facility.P4FacilityCount&gt;=3967,F23979=""),"Incomplete","Complete")</f>
        <v>Complete</v>
      </c>
      <c r="I23979" s="48" t="s">
        <v>28344</v>
      </c>
    </row>
    <row r="23980" spans="2:9" ht="15" customHeight="1" x14ac:dyDescent="0.25">
      <c r="B23980" s="55" t="s">
        <v>283</v>
      </c>
      <c r="C23980" s="46">
        <v>3968</v>
      </c>
      <c r="D23980" s="69" t="s">
        <v>29420</v>
      </c>
      <c r="E23980" s="51"/>
      <c r="F23980" s="114" t="str">
        <f>IF(INDEX(I.Facility.P4IDNumber,3968)="","",INDEX(I.Facility.P4IDNumber,3968))</f>
        <v/>
      </c>
      <c r="G23980" s="51"/>
      <c r="H23980" s="46" t="str">
        <f>IF(AND(I.Developer.P4=TRUE,I.Facility.P4FacilityCount&gt;=3968,F23980=""),"Incomplete","Complete")</f>
        <v>Complete</v>
      </c>
      <c r="I23980" s="48" t="s">
        <v>28345</v>
      </c>
    </row>
    <row r="23981" spans="2:9" ht="15" customHeight="1" x14ac:dyDescent="0.25">
      <c r="B23981" s="55" t="s">
        <v>283</v>
      </c>
      <c r="C23981" s="46">
        <v>3969</v>
      </c>
      <c r="D23981" s="69" t="s">
        <v>29420</v>
      </c>
      <c r="E23981" s="51"/>
      <c r="F23981" s="114" t="str">
        <f>IF(INDEX(I.Facility.P4IDNumber,3969)="","",INDEX(I.Facility.P4IDNumber,3969))</f>
        <v/>
      </c>
      <c r="G23981" s="51"/>
      <c r="H23981" s="46" t="str">
        <f>IF(AND(I.Developer.P4=TRUE,I.Facility.P4FacilityCount&gt;=3969,F23981=""),"Incomplete","Complete")</f>
        <v>Complete</v>
      </c>
      <c r="I23981" s="48" t="s">
        <v>28346</v>
      </c>
    </row>
    <row r="23982" spans="2:9" ht="15" customHeight="1" x14ac:dyDescent="0.25">
      <c r="B23982" s="55" t="s">
        <v>283</v>
      </c>
      <c r="C23982" s="46">
        <v>3970</v>
      </c>
      <c r="D23982" s="69" t="s">
        <v>29420</v>
      </c>
      <c r="E23982" s="51"/>
      <c r="F23982" s="114" t="str">
        <f>IF(INDEX(I.Facility.P4IDNumber,3970)="","",INDEX(I.Facility.P4IDNumber,3970))</f>
        <v/>
      </c>
      <c r="G23982" s="51"/>
      <c r="H23982" s="46" t="str">
        <f>IF(AND(I.Developer.P4=TRUE,I.Facility.P4FacilityCount&gt;=3970,F23982=""),"Incomplete","Complete")</f>
        <v>Complete</v>
      </c>
      <c r="I23982" s="48" t="s">
        <v>28347</v>
      </c>
    </row>
    <row r="23983" spans="2:9" ht="15" customHeight="1" x14ac:dyDescent="0.25">
      <c r="B23983" s="55" t="s">
        <v>283</v>
      </c>
      <c r="C23983" s="46">
        <v>3971</v>
      </c>
      <c r="D23983" s="69" t="s">
        <v>29420</v>
      </c>
      <c r="E23983" s="51"/>
      <c r="F23983" s="114" t="str">
        <f>IF(INDEX(I.Facility.P4IDNumber,3971)="","",INDEX(I.Facility.P4IDNumber,3971))</f>
        <v/>
      </c>
      <c r="G23983" s="51"/>
      <c r="H23983" s="46" t="str">
        <f>IF(AND(I.Developer.P4=TRUE,I.Facility.P4FacilityCount&gt;=3971,F23983=""),"Incomplete","Complete")</f>
        <v>Complete</v>
      </c>
      <c r="I23983" s="48" t="s">
        <v>28348</v>
      </c>
    </row>
    <row r="23984" spans="2:9" ht="15" customHeight="1" x14ac:dyDescent="0.25">
      <c r="B23984" s="55" t="s">
        <v>283</v>
      </c>
      <c r="C23984" s="46">
        <v>3972</v>
      </c>
      <c r="D23984" s="69" t="s">
        <v>29420</v>
      </c>
      <c r="E23984" s="51"/>
      <c r="F23984" s="114" t="str">
        <f>IF(INDEX(I.Facility.P4IDNumber,3972)="","",INDEX(I.Facility.P4IDNumber,3972))</f>
        <v/>
      </c>
      <c r="G23984" s="51"/>
      <c r="H23984" s="46" t="str">
        <f>IF(AND(I.Developer.P4=TRUE,I.Facility.P4FacilityCount&gt;=3972,F23984=""),"Incomplete","Complete")</f>
        <v>Complete</v>
      </c>
      <c r="I23984" s="48" t="s">
        <v>28349</v>
      </c>
    </row>
    <row r="23985" spans="2:9" ht="15" customHeight="1" x14ac:dyDescent="0.25">
      <c r="B23985" s="55" t="s">
        <v>283</v>
      </c>
      <c r="C23985" s="46">
        <v>3973</v>
      </c>
      <c r="D23985" s="69" t="s">
        <v>29420</v>
      </c>
      <c r="E23985" s="51"/>
      <c r="F23985" s="114" t="str">
        <f>IF(INDEX(I.Facility.P4IDNumber,3973)="","",INDEX(I.Facility.P4IDNumber,3973))</f>
        <v/>
      </c>
      <c r="G23985" s="51"/>
      <c r="H23985" s="46" t="str">
        <f>IF(AND(I.Developer.P4=TRUE,I.Facility.P4FacilityCount&gt;=3973,F23985=""),"Incomplete","Complete")</f>
        <v>Complete</v>
      </c>
      <c r="I23985" s="48" t="s">
        <v>28350</v>
      </c>
    </row>
    <row r="23986" spans="2:9" ht="15" customHeight="1" x14ac:dyDescent="0.25">
      <c r="B23986" s="55" t="s">
        <v>283</v>
      </c>
      <c r="C23986" s="46">
        <v>3974</v>
      </c>
      <c r="D23986" s="69" t="s">
        <v>29420</v>
      </c>
      <c r="E23986" s="51"/>
      <c r="F23986" s="114" t="str">
        <f>IF(INDEX(I.Facility.P4IDNumber,3974)="","",INDEX(I.Facility.P4IDNumber,3974))</f>
        <v/>
      </c>
      <c r="G23986" s="51"/>
      <c r="H23986" s="46" t="str">
        <f>IF(AND(I.Developer.P4=TRUE,I.Facility.P4FacilityCount&gt;=3974,F23986=""),"Incomplete","Complete")</f>
        <v>Complete</v>
      </c>
      <c r="I23986" s="48" t="s">
        <v>28351</v>
      </c>
    </row>
    <row r="23987" spans="2:9" ht="15" customHeight="1" x14ac:dyDescent="0.25">
      <c r="B23987" s="55" t="s">
        <v>283</v>
      </c>
      <c r="C23987" s="46">
        <v>3975</v>
      </c>
      <c r="D23987" s="69" t="s">
        <v>29420</v>
      </c>
      <c r="E23987" s="51"/>
      <c r="F23987" s="114" t="str">
        <f>IF(INDEX(I.Facility.P4IDNumber,3975)="","",INDEX(I.Facility.P4IDNumber,3975))</f>
        <v/>
      </c>
      <c r="G23987" s="51"/>
      <c r="H23987" s="46" t="str">
        <f>IF(AND(I.Developer.P4=TRUE,I.Facility.P4FacilityCount&gt;=3975,F23987=""),"Incomplete","Complete")</f>
        <v>Complete</v>
      </c>
      <c r="I23987" s="48" t="s">
        <v>28352</v>
      </c>
    </row>
    <row r="23988" spans="2:9" ht="15" customHeight="1" x14ac:dyDescent="0.25">
      <c r="B23988" s="55" t="s">
        <v>283</v>
      </c>
      <c r="C23988" s="46">
        <v>3976</v>
      </c>
      <c r="D23988" s="69" t="s">
        <v>29420</v>
      </c>
      <c r="E23988" s="51"/>
      <c r="F23988" s="114" t="str">
        <f>IF(INDEX(I.Facility.P4IDNumber,3976)="","",INDEX(I.Facility.P4IDNumber,3976))</f>
        <v/>
      </c>
      <c r="G23988" s="51"/>
      <c r="H23988" s="46" t="str">
        <f>IF(AND(I.Developer.P4=TRUE,I.Facility.P4FacilityCount&gt;=3976,F23988=""),"Incomplete","Complete")</f>
        <v>Complete</v>
      </c>
      <c r="I23988" s="48" t="s">
        <v>28353</v>
      </c>
    </row>
    <row r="23989" spans="2:9" ht="15" customHeight="1" x14ac:dyDescent="0.25">
      <c r="B23989" s="55" t="s">
        <v>283</v>
      </c>
      <c r="C23989" s="46">
        <v>3977</v>
      </c>
      <c r="D23989" s="69" t="s">
        <v>29420</v>
      </c>
      <c r="E23989" s="51"/>
      <c r="F23989" s="114" t="str">
        <f>IF(INDEX(I.Facility.P4IDNumber,3977)="","",INDEX(I.Facility.P4IDNumber,3977))</f>
        <v/>
      </c>
      <c r="G23989" s="51"/>
      <c r="H23989" s="46" t="str">
        <f>IF(AND(I.Developer.P4=TRUE,I.Facility.P4FacilityCount&gt;=3977,F23989=""),"Incomplete","Complete")</f>
        <v>Complete</v>
      </c>
      <c r="I23989" s="48" t="s">
        <v>28354</v>
      </c>
    </row>
    <row r="23990" spans="2:9" ht="15" customHeight="1" x14ac:dyDescent="0.25">
      <c r="B23990" s="55" t="s">
        <v>283</v>
      </c>
      <c r="C23990" s="46">
        <v>3978</v>
      </c>
      <c r="D23990" s="69" t="s">
        <v>29420</v>
      </c>
      <c r="E23990" s="51"/>
      <c r="F23990" s="114" t="str">
        <f>IF(INDEX(I.Facility.P4IDNumber,3978)="","",INDEX(I.Facility.P4IDNumber,3978))</f>
        <v/>
      </c>
      <c r="G23990" s="51"/>
      <c r="H23990" s="46" t="str">
        <f>IF(AND(I.Developer.P4=TRUE,I.Facility.P4FacilityCount&gt;=3978,F23990=""),"Incomplete","Complete")</f>
        <v>Complete</v>
      </c>
      <c r="I23990" s="48" t="s">
        <v>28355</v>
      </c>
    </row>
    <row r="23991" spans="2:9" ht="15" customHeight="1" x14ac:dyDescent="0.25">
      <c r="B23991" s="55" t="s">
        <v>283</v>
      </c>
      <c r="C23991" s="46">
        <v>3979</v>
      </c>
      <c r="D23991" s="69" t="s">
        <v>29420</v>
      </c>
      <c r="E23991" s="51"/>
      <c r="F23991" s="114" t="str">
        <f>IF(INDEX(I.Facility.P4IDNumber,3979)="","",INDEX(I.Facility.P4IDNumber,3979))</f>
        <v/>
      </c>
      <c r="G23991" s="51"/>
      <c r="H23991" s="46" t="str">
        <f>IF(AND(I.Developer.P4=TRUE,I.Facility.P4FacilityCount&gt;=3979,F23991=""),"Incomplete","Complete")</f>
        <v>Complete</v>
      </c>
      <c r="I23991" s="48" t="s">
        <v>28356</v>
      </c>
    </row>
    <row r="23992" spans="2:9" ht="15" customHeight="1" x14ac:dyDescent="0.25">
      <c r="B23992" s="55" t="s">
        <v>283</v>
      </c>
      <c r="C23992" s="46">
        <v>3980</v>
      </c>
      <c r="D23992" s="69" t="s">
        <v>29420</v>
      </c>
      <c r="E23992" s="51"/>
      <c r="F23992" s="114" t="str">
        <f>IF(INDEX(I.Facility.P4IDNumber,3980)="","",INDEX(I.Facility.P4IDNumber,3980))</f>
        <v/>
      </c>
      <c r="G23992" s="51"/>
      <c r="H23992" s="46" t="str">
        <f>IF(AND(I.Developer.P4=TRUE,I.Facility.P4FacilityCount&gt;=3980,F23992=""),"Incomplete","Complete")</f>
        <v>Complete</v>
      </c>
      <c r="I23992" s="48" t="s">
        <v>28357</v>
      </c>
    </row>
    <row r="23993" spans="2:9" ht="15" customHeight="1" x14ac:dyDescent="0.25">
      <c r="B23993" s="55" t="s">
        <v>283</v>
      </c>
      <c r="C23993" s="46">
        <v>3981</v>
      </c>
      <c r="D23993" s="69" t="s">
        <v>29420</v>
      </c>
      <c r="E23993" s="51"/>
      <c r="F23993" s="114" t="str">
        <f>IF(INDEX(I.Facility.P4IDNumber,3981)="","",INDEX(I.Facility.P4IDNumber,3981))</f>
        <v/>
      </c>
      <c r="G23993" s="51"/>
      <c r="H23993" s="46" t="str">
        <f>IF(AND(I.Developer.P4=TRUE,I.Facility.P4FacilityCount&gt;=3981,F23993=""),"Incomplete","Complete")</f>
        <v>Complete</v>
      </c>
      <c r="I23993" s="48" t="s">
        <v>28358</v>
      </c>
    </row>
    <row r="23994" spans="2:9" ht="15" customHeight="1" x14ac:dyDescent="0.25">
      <c r="B23994" s="55" t="s">
        <v>283</v>
      </c>
      <c r="C23994" s="46">
        <v>3982</v>
      </c>
      <c r="D23994" s="69" t="s">
        <v>29420</v>
      </c>
      <c r="E23994" s="51"/>
      <c r="F23994" s="114" t="str">
        <f>IF(INDEX(I.Facility.P4IDNumber,3982)="","",INDEX(I.Facility.P4IDNumber,3982))</f>
        <v/>
      </c>
      <c r="G23994" s="51"/>
      <c r="H23994" s="46" t="str">
        <f>IF(AND(I.Developer.P4=TRUE,I.Facility.P4FacilityCount&gt;=3982,F23994=""),"Incomplete","Complete")</f>
        <v>Complete</v>
      </c>
      <c r="I23994" s="48" t="s">
        <v>28359</v>
      </c>
    </row>
    <row r="23995" spans="2:9" ht="15" customHeight="1" x14ac:dyDescent="0.25">
      <c r="B23995" s="55" t="s">
        <v>283</v>
      </c>
      <c r="C23995" s="46">
        <v>3983</v>
      </c>
      <c r="D23995" s="69" t="s">
        <v>29420</v>
      </c>
      <c r="E23995" s="51"/>
      <c r="F23995" s="114" t="str">
        <f>IF(INDEX(I.Facility.P4IDNumber,3983)="","",INDEX(I.Facility.P4IDNumber,3983))</f>
        <v/>
      </c>
      <c r="G23995" s="51"/>
      <c r="H23995" s="46" t="str">
        <f>IF(AND(I.Developer.P4=TRUE,I.Facility.P4FacilityCount&gt;=3983,F23995=""),"Incomplete","Complete")</f>
        <v>Complete</v>
      </c>
      <c r="I23995" s="48" t="s">
        <v>28360</v>
      </c>
    </row>
    <row r="23996" spans="2:9" ht="15" customHeight="1" x14ac:dyDescent="0.25">
      <c r="B23996" s="55" t="s">
        <v>283</v>
      </c>
      <c r="C23996" s="46">
        <v>3984</v>
      </c>
      <c r="D23996" s="69" t="s">
        <v>29420</v>
      </c>
      <c r="E23996" s="51"/>
      <c r="F23996" s="114" t="str">
        <f>IF(INDEX(I.Facility.P4IDNumber,3984)="","",INDEX(I.Facility.P4IDNumber,3984))</f>
        <v/>
      </c>
      <c r="G23996" s="51"/>
      <c r="H23996" s="46" t="str">
        <f>IF(AND(I.Developer.P4=TRUE,I.Facility.P4FacilityCount&gt;=3984,F23996=""),"Incomplete","Complete")</f>
        <v>Complete</v>
      </c>
      <c r="I23996" s="48" t="s">
        <v>28361</v>
      </c>
    </row>
    <row r="23997" spans="2:9" ht="15" customHeight="1" x14ac:dyDescent="0.25">
      <c r="B23997" s="55" t="s">
        <v>283</v>
      </c>
      <c r="C23997" s="46">
        <v>3985</v>
      </c>
      <c r="D23997" s="69" t="s">
        <v>29420</v>
      </c>
      <c r="E23997" s="51"/>
      <c r="F23997" s="114" t="str">
        <f>IF(INDEX(I.Facility.P4IDNumber,3985)="","",INDEX(I.Facility.P4IDNumber,3985))</f>
        <v/>
      </c>
      <c r="G23997" s="51"/>
      <c r="H23997" s="46" t="str">
        <f>IF(AND(I.Developer.P4=TRUE,I.Facility.P4FacilityCount&gt;=3985,F23997=""),"Incomplete","Complete")</f>
        <v>Complete</v>
      </c>
      <c r="I23997" s="48" t="s">
        <v>28362</v>
      </c>
    </row>
    <row r="23998" spans="2:9" ht="15" customHeight="1" x14ac:dyDescent="0.25">
      <c r="B23998" s="55" t="s">
        <v>283</v>
      </c>
      <c r="C23998" s="46">
        <v>3986</v>
      </c>
      <c r="D23998" s="69" t="s">
        <v>29420</v>
      </c>
      <c r="E23998" s="51"/>
      <c r="F23998" s="114" t="str">
        <f>IF(INDEX(I.Facility.P4IDNumber,3986)="","",INDEX(I.Facility.P4IDNumber,3986))</f>
        <v/>
      </c>
      <c r="G23998" s="51"/>
      <c r="H23998" s="46" t="str">
        <f>IF(AND(I.Developer.P4=TRUE,I.Facility.P4FacilityCount&gt;=3986,F23998=""),"Incomplete","Complete")</f>
        <v>Complete</v>
      </c>
      <c r="I23998" s="48" t="s">
        <v>28363</v>
      </c>
    </row>
    <row r="23999" spans="2:9" ht="15" customHeight="1" x14ac:dyDescent="0.25">
      <c r="B23999" s="55" t="s">
        <v>283</v>
      </c>
      <c r="C23999" s="46">
        <v>3987</v>
      </c>
      <c r="D23999" s="69" t="s">
        <v>29420</v>
      </c>
      <c r="E23999" s="51"/>
      <c r="F23999" s="114" t="str">
        <f>IF(INDEX(I.Facility.P4IDNumber,3987)="","",INDEX(I.Facility.P4IDNumber,3987))</f>
        <v/>
      </c>
      <c r="G23999" s="51"/>
      <c r="H23999" s="46" t="str">
        <f>IF(AND(I.Developer.P4=TRUE,I.Facility.P4FacilityCount&gt;=3987,F23999=""),"Incomplete","Complete")</f>
        <v>Complete</v>
      </c>
      <c r="I23999" s="48" t="s">
        <v>28364</v>
      </c>
    </row>
    <row r="24000" spans="2:9" ht="15" customHeight="1" x14ac:dyDescent="0.25">
      <c r="B24000" s="55" t="s">
        <v>283</v>
      </c>
      <c r="C24000" s="46">
        <v>3988</v>
      </c>
      <c r="D24000" s="69" t="s">
        <v>29420</v>
      </c>
      <c r="E24000" s="51"/>
      <c r="F24000" s="114" t="str">
        <f>IF(INDEX(I.Facility.P4IDNumber,3988)="","",INDEX(I.Facility.P4IDNumber,3988))</f>
        <v/>
      </c>
      <c r="G24000" s="51"/>
      <c r="H24000" s="46" t="str">
        <f>IF(AND(I.Developer.P4=TRUE,I.Facility.P4FacilityCount&gt;=3988,F24000=""),"Incomplete","Complete")</f>
        <v>Complete</v>
      </c>
      <c r="I24000" s="48" t="s">
        <v>28365</v>
      </c>
    </row>
    <row r="24001" spans="2:9" ht="15" customHeight="1" x14ac:dyDescent="0.25">
      <c r="B24001" s="55" t="s">
        <v>283</v>
      </c>
      <c r="C24001" s="46">
        <v>3989</v>
      </c>
      <c r="D24001" s="69" t="s">
        <v>29420</v>
      </c>
      <c r="E24001" s="51"/>
      <c r="F24001" s="114" t="str">
        <f>IF(INDEX(I.Facility.P4IDNumber,3989)="","",INDEX(I.Facility.P4IDNumber,3989))</f>
        <v/>
      </c>
      <c r="G24001" s="51"/>
      <c r="H24001" s="46" t="str">
        <f>IF(AND(I.Developer.P4=TRUE,I.Facility.P4FacilityCount&gt;=3989,F24001=""),"Incomplete","Complete")</f>
        <v>Complete</v>
      </c>
      <c r="I24001" s="48" t="s">
        <v>28366</v>
      </c>
    </row>
    <row r="24002" spans="2:9" ht="15" customHeight="1" x14ac:dyDescent="0.25">
      <c r="B24002" s="55" t="s">
        <v>283</v>
      </c>
      <c r="C24002" s="46">
        <v>3990</v>
      </c>
      <c r="D24002" s="69" t="s">
        <v>29420</v>
      </c>
      <c r="E24002" s="51"/>
      <c r="F24002" s="114" t="str">
        <f>IF(INDEX(I.Facility.P4IDNumber,3990)="","",INDEX(I.Facility.P4IDNumber,3990))</f>
        <v/>
      </c>
      <c r="G24002" s="51"/>
      <c r="H24002" s="46" t="str">
        <f>IF(AND(I.Developer.P4=TRUE,I.Facility.P4FacilityCount&gt;=3990,F24002=""),"Incomplete","Complete")</f>
        <v>Complete</v>
      </c>
      <c r="I24002" s="48" t="s">
        <v>28367</v>
      </c>
    </row>
    <row r="24003" spans="2:9" ht="15" customHeight="1" x14ac:dyDescent="0.25">
      <c r="B24003" s="55" t="s">
        <v>283</v>
      </c>
      <c r="C24003" s="46">
        <v>3991</v>
      </c>
      <c r="D24003" s="69" t="s">
        <v>29420</v>
      </c>
      <c r="E24003" s="51"/>
      <c r="F24003" s="114" t="str">
        <f>IF(INDEX(I.Facility.P4IDNumber,3991)="","",INDEX(I.Facility.P4IDNumber,3991))</f>
        <v/>
      </c>
      <c r="G24003" s="51"/>
      <c r="H24003" s="46" t="str">
        <f>IF(AND(I.Developer.P4=TRUE,I.Facility.P4FacilityCount&gt;=3991,F24003=""),"Incomplete","Complete")</f>
        <v>Complete</v>
      </c>
      <c r="I24003" s="48" t="s">
        <v>28368</v>
      </c>
    </row>
    <row r="24004" spans="2:9" ht="15" customHeight="1" x14ac:dyDescent="0.25">
      <c r="B24004" s="55" t="s">
        <v>283</v>
      </c>
      <c r="C24004" s="46">
        <v>3992</v>
      </c>
      <c r="D24004" s="69" t="s">
        <v>29420</v>
      </c>
      <c r="E24004" s="51"/>
      <c r="F24004" s="114" t="str">
        <f>IF(INDEX(I.Facility.P4IDNumber,3992)="","",INDEX(I.Facility.P4IDNumber,3992))</f>
        <v/>
      </c>
      <c r="G24004" s="51"/>
      <c r="H24004" s="46" t="str">
        <f>IF(AND(I.Developer.P4=TRUE,I.Facility.P4FacilityCount&gt;=3992,F24004=""),"Incomplete","Complete")</f>
        <v>Complete</v>
      </c>
      <c r="I24004" s="48" t="s">
        <v>28369</v>
      </c>
    </row>
    <row r="24005" spans="2:9" ht="15" customHeight="1" x14ac:dyDescent="0.25">
      <c r="B24005" s="55" t="s">
        <v>283</v>
      </c>
      <c r="C24005" s="46">
        <v>3993</v>
      </c>
      <c r="D24005" s="69" t="s">
        <v>29420</v>
      </c>
      <c r="E24005" s="51"/>
      <c r="F24005" s="114" t="str">
        <f>IF(INDEX(I.Facility.P4IDNumber,3993)="","",INDEX(I.Facility.P4IDNumber,3993))</f>
        <v/>
      </c>
      <c r="G24005" s="51"/>
      <c r="H24005" s="46" t="str">
        <f>IF(AND(I.Developer.P4=TRUE,I.Facility.P4FacilityCount&gt;=3993,F24005=""),"Incomplete","Complete")</f>
        <v>Complete</v>
      </c>
      <c r="I24005" s="48" t="s">
        <v>28370</v>
      </c>
    </row>
    <row r="24006" spans="2:9" ht="15" customHeight="1" x14ac:dyDescent="0.25">
      <c r="B24006" s="55" t="s">
        <v>283</v>
      </c>
      <c r="C24006" s="46">
        <v>3994</v>
      </c>
      <c r="D24006" s="69" t="s">
        <v>29420</v>
      </c>
      <c r="E24006" s="51"/>
      <c r="F24006" s="114" t="str">
        <f>IF(INDEX(I.Facility.P4IDNumber,3994)="","",INDEX(I.Facility.P4IDNumber,3994))</f>
        <v/>
      </c>
      <c r="G24006" s="51"/>
      <c r="H24006" s="46" t="str">
        <f>IF(AND(I.Developer.P4=TRUE,I.Facility.P4FacilityCount&gt;=3994,F24006=""),"Incomplete","Complete")</f>
        <v>Complete</v>
      </c>
      <c r="I24006" s="48" t="s">
        <v>28371</v>
      </c>
    </row>
    <row r="24007" spans="2:9" ht="15" customHeight="1" x14ac:dyDescent="0.25">
      <c r="B24007" s="55" t="s">
        <v>283</v>
      </c>
      <c r="C24007" s="46">
        <v>3995</v>
      </c>
      <c r="D24007" s="69" t="s">
        <v>29420</v>
      </c>
      <c r="E24007" s="51"/>
      <c r="F24007" s="114" t="str">
        <f>IF(INDEX(I.Facility.P4IDNumber,3995)="","",INDEX(I.Facility.P4IDNumber,3995))</f>
        <v/>
      </c>
      <c r="G24007" s="51"/>
      <c r="H24007" s="46" t="str">
        <f>IF(AND(I.Developer.P4=TRUE,I.Facility.P4FacilityCount&gt;=3995,F24007=""),"Incomplete","Complete")</f>
        <v>Complete</v>
      </c>
      <c r="I24007" s="48" t="s">
        <v>28372</v>
      </c>
    </row>
    <row r="24008" spans="2:9" ht="15" customHeight="1" x14ac:dyDescent="0.25">
      <c r="B24008" s="55" t="s">
        <v>283</v>
      </c>
      <c r="C24008" s="46">
        <v>3996</v>
      </c>
      <c r="D24008" s="69" t="s">
        <v>29420</v>
      </c>
      <c r="E24008" s="51"/>
      <c r="F24008" s="114" t="str">
        <f>IF(INDEX(I.Facility.P4IDNumber,3996)="","",INDEX(I.Facility.P4IDNumber,3996))</f>
        <v/>
      </c>
      <c r="G24008" s="51"/>
      <c r="H24008" s="46" t="str">
        <f>IF(AND(I.Developer.P4=TRUE,I.Facility.P4FacilityCount&gt;=3996,F24008=""),"Incomplete","Complete")</f>
        <v>Complete</v>
      </c>
      <c r="I24008" s="48" t="s">
        <v>28373</v>
      </c>
    </row>
    <row r="24009" spans="2:9" ht="15" customHeight="1" x14ac:dyDescent="0.25">
      <c r="B24009" s="55" t="s">
        <v>283</v>
      </c>
      <c r="C24009" s="46">
        <v>3997</v>
      </c>
      <c r="D24009" s="69" t="s">
        <v>29420</v>
      </c>
      <c r="E24009" s="51"/>
      <c r="F24009" s="114" t="str">
        <f>IF(INDEX(I.Facility.P4IDNumber,3997)="","",INDEX(I.Facility.P4IDNumber,3997))</f>
        <v/>
      </c>
      <c r="G24009" s="51"/>
      <c r="H24009" s="46" t="str">
        <f>IF(AND(I.Developer.P4=TRUE,I.Facility.P4FacilityCount&gt;=3997,F24009=""),"Incomplete","Complete")</f>
        <v>Complete</v>
      </c>
      <c r="I24009" s="48" t="s">
        <v>28374</v>
      </c>
    </row>
    <row r="24010" spans="2:9" ht="15" customHeight="1" x14ac:dyDescent="0.25">
      <c r="B24010" s="55" t="s">
        <v>283</v>
      </c>
      <c r="C24010" s="46">
        <v>3998</v>
      </c>
      <c r="D24010" s="69" t="s">
        <v>29420</v>
      </c>
      <c r="E24010" s="51"/>
      <c r="F24010" s="114" t="str">
        <f>IF(INDEX(I.Facility.P4IDNumber,3998)="","",INDEX(I.Facility.P4IDNumber,3998))</f>
        <v/>
      </c>
      <c r="G24010" s="51"/>
      <c r="H24010" s="46" t="str">
        <f>IF(AND(I.Developer.P4=TRUE,I.Facility.P4FacilityCount&gt;=3998,F24010=""),"Incomplete","Complete")</f>
        <v>Complete</v>
      </c>
      <c r="I24010" s="48" t="s">
        <v>28375</v>
      </c>
    </row>
    <row r="24011" spans="2:9" ht="15" customHeight="1" x14ac:dyDescent="0.25">
      <c r="B24011" s="55" t="s">
        <v>283</v>
      </c>
      <c r="C24011" s="46">
        <v>3999</v>
      </c>
      <c r="D24011" s="69" t="s">
        <v>29420</v>
      </c>
      <c r="E24011" s="51"/>
      <c r="F24011" s="114" t="str">
        <f>IF(INDEX(I.Facility.P4IDNumber,3999)="","",INDEX(I.Facility.P4IDNumber,3999))</f>
        <v/>
      </c>
      <c r="G24011" s="51"/>
      <c r="H24011" s="46" t="str">
        <f>IF(AND(I.Developer.P4=TRUE,I.Facility.P4FacilityCount&gt;=3999,F24011=""),"Incomplete","Complete")</f>
        <v>Complete</v>
      </c>
      <c r="I24011" s="48" t="s">
        <v>28376</v>
      </c>
    </row>
    <row r="24012" spans="2:9" ht="15" customHeight="1" x14ac:dyDescent="0.25">
      <c r="B24012" s="55" t="s">
        <v>283</v>
      </c>
      <c r="C24012" s="46">
        <v>4000</v>
      </c>
      <c r="D24012" s="69" t="s">
        <v>29420</v>
      </c>
      <c r="E24012" s="51"/>
      <c r="F24012" s="114" t="str">
        <f>IF(INDEX(I.Facility.P4IDNumber,4000)="","",INDEX(I.Facility.P4IDNumber,4000))</f>
        <v/>
      </c>
      <c r="G24012" s="51"/>
      <c r="H24012" s="46" t="str">
        <f>IF(AND(I.Developer.P4=TRUE,I.Facility.P4FacilityCount&gt;=4000,F24012=""),"Incomplete","Complete")</f>
        <v>Complete</v>
      </c>
      <c r="I24012" s="48" t="s">
        <v>28377</v>
      </c>
    </row>
    <row r="24013" spans="2:9" ht="15" customHeight="1" x14ac:dyDescent="0.25">
      <c r="B24013" s="55" t="s">
        <v>283</v>
      </c>
      <c r="C24013" s="46">
        <v>4001</v>
      </c>
      <c r="D24013" s="69" t="s">
        <v>29420</v>
      </c>
      <c r="E24013" s="51"/>
      <c r="F24013" s="114" t="str">
        <f>IF(INDEX(I.Facility.P4IDNumber,4001)="","",INDEX(I.Facility.P4IDNumber,4001))</f>
        <v/>
      </c>
      <c r="G24013" s="51"/>
      <c r="H24013" s="46" t="str">
        <f>IF(AND(I.Developer.P4=TRUE,I.Facility.P4FacilityCount&gt;=4001,F24013=""),"Incomplete","Complete")</f>
        <v>Complete</v>
      </c>
      <c r="I24013" s="48" t="s">
        <v>28378</v>
      </c>
    </row>
    <row r="24014" spans="2:9" ht="15" customHeight="1" x14ac:dyDescent="0.25">
      <c r="B24014" s="55" t="s">
        <v>283</v>
      </c>
      <c r="C24014" s="46">
        <v>4002</v>
      </c>
      <c r="D24014" s="69" t="s">
        <v>29420</v>
      </c>
      <c r="E24014" s="51"/>
      <c r="F24014" s="114" t="str">
        <f>IF(INDEX(I.Facility.P4IDNumber,4002)="","",INDEX(I.Facility.P4IDNumber,4002))</f>
        <v/>
      </c>
      <c r="G24014" s="51"/>
      <c r="H24014" s="46" t="str">
        <f>IF(AND(I.Developer.P4=TRUE,I.Facility.P4FacilityCount&gt;=4002,F24014=""),"Incomplete","Complete")</f>
        <v>Complete</v>
      </c>
      <c r="I24014" s="48" t="s">
        <v>28379</v>
      </c>
    </row>
    <row r="24015" spans="2:9" ht="15" customHeight="1" x14ac:dyDescent="0.25">
      <c r="B24015" s="55" t="s">
        <v>283</v>
      </c>
      <c r="C24015" s="46">
        <v>4003</v>
      </c>
      <c r="D24015" s="69" t="s">
        <v>29420</v>
      </c>
      <c r="E24015" s="51"/>
      <c r="F24015" s="114" t="str">
        <f>IF(INDEX(I.Facility.P4IDNumber,4003)="","",INDEX(I.Facility.P4IDNumber,4003))</f>
        <v/>
      </c>
      <c r="G24015" s="51"/>
      <c r="H24015" s="46" t="str">
        <f>IF(AND(I.Developer.P4=TRUE,I.Facility.P4FacilityCount&gt;=4003,F24015=""),"Incomplete","Complete")</f>
        <v>Complete</v>
      </c>
      <c r="I24015" s="48" t="s">
        <v>28380</v>
      </c>
    </row>
    <row r="24016" spans="2:9" ht="15" customHeight="1" x14ac:dyDescent="0.25">
      <c r="B24016" s="55" t="s">
        <v>283</v>
      </c>
      <c r="C24016" s="46">
        <v>4004</v>
      </c>
      <c r="D24016" s="69" t="s">
        <v>29420</v>
      </c>
      <c r="E24016" s="51"/>
      <c r="F24016" s="114" t="str">
        <f>IF(INDEX(I.Facility.P4IDNumber,4004)="","",INDEX(I.Facility.P4IDNumber,4004))</f>
        <v/>
      </c>
      <c r="G24016" s="51"/>
      <c r="H24016" s="46" t="str">
        <f>IF(AND(I.Developer.P4=TRUE,I.Facility.P4FacilityCount&gt;=4004,F24016=""),"Incomplete","Complete")</f>
        <v>Complete</v>
      </c>
      <c r="I24016" s="48" t="s">
        <v>28381</v>
      </c>
    </row>
    <row r="24017" spans="2:9" ht="15" customHeight="1" x14ac:dyDescent="0.25">
      <c r="B24017" s="55" t="s">
        <v>283</v>
      </c>
      <c r="C24017" s="46">
        <v>4005</v>
      </c>
      <c r="D24017" s="69" t="s">
        <v>29420</v>
      </c>
      <c r="E24017" s="51"/>
      <c r="F24017" s="114" t="str">
        <f>IF(INDEX(I.Facility.P4IDNumber,4005)="","",INDEX(I.Facility.P4IDNumber,4005))</f>
        <v/>
      </c>
      <c r="G24017" s="51"/>
      <c r="H24017" s="46" t="str">
        <f>IF(AND(I.Developer.P4=TRUE,I.Facility.P4FacilityCount&gt;=4005,F24017=""),"Incomplete","Complete")</f>
        <v>Complete</v>
      </c>
      <c r="I24017" s="48" t="s">
        <v>28382</v>
      </c>
    </row>
    <row r="24018" spans="2:9" ht="15" customHeight="1" x14ac:dyDescent="0.25">
      <c r="B24018" s="55" t="s">
        <v>283</v>
      </c>
      <c r="C24018" s="46">
        <v>4006</v>
      </c>
      <c r="D24018" s="69" t="s">
        <v>29420</v>
      </c>
      <c r="E24018" s="51"/>
      <c r="F24018" s="114" t="str">
        <f>IF(INDEX(I.Facility.P4IDNumber,4006)="","",INDEX(I.Facility.P4IDNumber,4006))</f>
        <v/>
      </c>
      <c r="G24018" s="51"/>
      <c r="H24018" s="46" t="str">
        <f>IF(AND(I.Developer.P4=TRUE,I.Facility.P4FacilityCount&gt;=4006,F24018=""),"Incomplete","Complete")</f>
        <v>Complete</v>
      </c>
      <c r="I24018" s="48" t="s">
        <v>28383</v>
      </c>
    </row>
    <row r="24019" spans="2:9" ht="15" customHeight="1" x14ac:dyDescent="0.25">
      <c r="B24019" s="55" t="s">
        <v>283</v>
      </c>
      <c r="C24019" s="46">
        <v>4007</v>
      </c>
      <c r="D24019" s="69" t="s">
        <v>29420</v>
      </c>
      <c r="E24019" s="51"/>
      <c r="F24019" s="114" t="str">
        <f>IF(INDEX(I.Facility.P4IDNumber,4007)="","",INDEX(I.Facility.P4IDNumber,4007))</f>
        <v/>
      </c>
      <c r="G24019" s="51"/>
      <c r="H24019" s="46" t="str">
        <f>IF(AND(I.Developer.P4=TRUE,I.Facility.P4FacilityCount&gt;=4007,F24019=""),"Incomplete","Complete")</f>
        <v>Complete</v>
      </c>
      <c r="I24019" s="48" t="s">
        <v>28384</v>
      </c>
    </row>
    <row r="24020" spans="2:9" ht="15" customHeight="1" x14ac:dyDescent="0.25">
      <c r="B24020" s="55" t="s">
        <v>283</v>
      </c>
      <c r="C24020" s="46">
        <v>4008</v>
      </c>
      <c r="D24020" s="69" t="s">
        <v>29420</v>
      </c>
      <c r="E24020" s="51"/>
      <c r="F24020" s="114" t="str">
        <f>IF(INDEX(I.Facility.P4IDNumber,4008)="","",INDEX(I.Facility.P4IDNumber,4008))</f>
        <v/>
      </c>
      <c r="G24020" s="51"/>
      <c r="H24020" s="46" t="str">
        <f>IF(AND(I.Developer.P4=TRUE,I.Facility.P4FacilityCount&gt;=4008,F24020=""),"Incomplete","Complete")</f>
        <v>Complete</v>
      </c>
      <c r="I24020" s="48" t="s">
        <v>28385</v>
      </c>
    </row>
    <row r="24021" spans="2:9" ht="15" customHeight="1" x14ac:dyDescent="0.25">
      <c r="B24021" s="55" t="s">
        <v>283</v>
      </c>
      <c r="C24021" s="46">
        <v>4009</v>
      </c>
      <c r="D24021" s="69" t="s">
        <v>29420</v>
      </c>
      <c r="E24021" s="51"/>
      <c r="F24021" s="114" t="str">
        <f>IF(INDEX(I.Facility.P4IDNumber,4009)="","",INDEX(I.Facility.P4IDNumber,4009))</f>
        <v/>
      </c>
      <c r="G24021" s="51"/>
      <c r="H24021" s="46" t="str">
        <f>IF(AND(I.Developer.P4=TRUE,I.Facility.P4FacilityCount&gt;=4009,F24021=""),"Incomplete","Complete")</f>
        <v>Complete</v>
      </c>
      <c r="I24021" s="48" t="s">
        <v>28386</v>
      </c>
    </row>
    <row r="24022" spans="2:9" ht="15" customHeight="1" x14ac:dyDescent="0.25">
      <c r="B24022" s="55" t="s">
        <v>283</v>
      </c>
      <c r="C24022" s="46">
        <v>4010</v>
      </c>
      <c r="D24022" s="69" t="s">
        <v>29420</v>
      </c>
      <c r="E24022" s="51"/>
      <c r="F24022" s="114" t="str">
        <f>IF(INDEX(I.Facility.P4IDNumber,4010)="","",INDEX(I.Facility.P4IDNumber,4010))</f>
        <v/>
      </c>
      <c r="G24022" s="51"/>
      <c r="H24022" s="46" t="str">
        <f>IF(AND(I.Developer.P4=TRUE,I.Facility.P4FacilityCount&gt;=4010,F24022=""),"Incomplete","Complete")</f>
        <v>Complete</v>
      </c>
      <c r="I24022" s="48" t="s">
        <v>28387</v>
      </c>
    </row>
    <row r="24023" spans="2:9" ht="15" customHeight="1" x14ac:dyDescent="0.25">
      <c r="B24023" s="55" t="s">
        <v>283</v>
      </c>
      <c r="C24023" s="46">
        <v>4011</v>
      </c>
      <c r="D24023" s="69" t="s">
        <v>29420</v>
      </c>
      <c r="E24023" s="51"/>
      <c r="F24023" s="114" t="str">
        <f>IF(INDEX(I.Facility.P4IDNumber,4011)="","",INDEX(I.Facility.P4IDNumber,4011))</f>
        <v/>
      </c>
      <c r="G24023" s="51"/>
      <c r="H24023" s="46" t="str">
        <f>IF(AND(I.Developer.P4=TRUE,I.Facility.P4FacilityCount&gt;=4011,F24023=""),"Incomplete","Complete")</f>
        <v>Complete</v>
      </c>
      <c r="I24023" s="48" t="s">
        <v>28388</v>
      </c>
    </row>
    <row r="24024" spans="2:9" ht="15" customHeight="1" x14ac:dyDescent="0.25">
      <c r="B24024" s="55" t="s">
        <v>283</v>
      </c>
      <c r="C24024" s="46">
        <v>4012</v>
      </c>
      <c r="D24024" s="69" t="s">
        <v>29420</v>
      </c>
      <c r="E24024" s="51"/>
      <c r="F24024" s="114" t="str">
        <f>IF(INDEX(I.Facility.P4IDNumber,4012)="","",INDEX(I.Facility.P4IDNumber,4012))</f>
        <v/>
      </c>
      <c r="G24024" s="51"/>
      <c r="H24024" s="46" t="str">
        <f>IF(AND(I.Developer.P4=TRUE,I.Facility.P4FacilityCount&gt;=4012,F24024=""),"Incomplete","Complete")</f>
        <v>Complete</v>
      </c>
      <c r="I24024" s="48" t="s">
        <v>28389</v>
      </c>
    </row>
    <row r="24025" spans="2:9" ht="15" customHeight="1" x14ac:dyDescent="0.25">
      <c r="B24025" s="55" t="s">
        <v>283</v>
      </c>
      <c r="C24025" s="46">
        <v>4013</v>
      </c>
      <c r="D24025" s="69" t="s">
        <v>29420</v>
      </c>
      <c r="E24025" s="51"/>
      <c r="F24025" s="114" t="str">
        <f>IF(INDEX(I.Facility.P4IDNumber,4013)="","",INDEX(I.Facility.P4IDNumber,4013))</f>
        <v/>
      </c>
      <c r="G24025" s="51"/>
      <c r="H24025" s="46" t="str">
        <f>IF(AND(I.Developer.P4=TRUE,I.Facility.P4FacilityCount&gt;=4013,F24025=""),"Incomplete","Complete")</f>
        <v>Complete</v>
      </c>
      <c r="I24025" s="48" t="s">
        <v>28390</v>
      </c>
    </row>
    <row r="24026" spans="2:9" ht="15" customHeight="1" x14ac:dyDescent="0.25">
      <c r="B24026" s="55" t="s">
        <v>283</v>
      </c>
      <c r="C24026" s="46">
        <v>4014</v>
      </c>
      <c r="D24026" s="69" t="s">
        <v>29420</v>
      </c>
      <c r="E24026" s="51"/>
      <c r="F24026" s="114" t="str">
        <f>IF(INDEX(I.Facility.P4IDNumber,4014)="","",INDEX(I.Facility.P4IDNumber,4014))</f>
        <v/>
      </c>
      <c r="G24026" s="51"/>
      <c r="H24026" s="46" t="str">
        <f>IF(AND(I.Developer.P4=TRUE,I.Facility.P4FacilityCount&gt;=4014,F24026=""),"Incomplete","Complete")</f>
        <v>Complete</v>
      </c>
      <c r="I24026" s="48" t="s">
        <v>28391</v>
      </c>
    </row>
    <row r="24027" spans="2:9" ht="15" customHeight="1" x14ac:dyDescent="0.25">
      <c r="B24027" s="55" t="s">
        <v>283</v>
      </c>
      <c r="C24027" s="46">
        <v>4015</v>
      </c>
      <c r="D24027" s="69" t="s">
        <v>29420</v>
      </c>
      <c r="E24027" s="51"/>
      <c r="F24027" s="114" t="str">
        <f>IF(INDEX(I.Facility.P4IDNumber,4015)="","",INDEX(I.Facility.P4IDNumber,4015))</f>
        <v/>
      </c>
      <c r="G24027" s="51"/>
      <c r="H24027" s="46" t="str">
        <f>IF(AND(I.Developer.P4=TRUE,I.Facility.P4FacilityCount&gt;=4015,F24027=""),"Incomplete","Complete")</f>
        <v>Complete</v>
      </c>
      <c r="I24027" s="48" t="s">
        <v>28392</v>
      </c>
    </row>
    <row r="24028" spans="2:9" ht="15" customHeight="1" x14ac:dyDescent="0.25">
      <c r="B24028" s="55" t="s">
        <v>283</v>
      </c>
      <c r="C24028" s="46">
        <v>4016</v>
      </c>
      <c r="D24028" s="69" t="s">
        <v>29420</v>
      </c>
      <c r="E24028" s="51"/>
      <c r="F24028" s="114" t="str">
        <f>IF(INDEX(I.Facility.P4IDNumber,4016)="","",INDEX(I.Facility.P4IDNumber,4016))</f>
        <v/>
      </c>
      <c r="G24028" s="51"/>
      <c r="H24028" s="46" t="str">
        <f>IF(AND(I.Developer.P4=TRUE,I.Facility.P4FacilityCount&gt;=4016,F24028=""),"Incomplete","Complete")</f>
        <v>Complete</v>
      </c>
      <c r="I24028" s="48" t="s">
        <v>28393</v>
      </c>
    </row>
    <row r="24029" spans="2:9" ht="15" customHeight="1" x14ac:dyDescent="0.25">
      <c r="B24029" s="55" t="s">
        <v>283</v>
      </c>
      <c r="C24029" s="46">
        <v>4017</v>
      </c>
      <c r="D24029" s="69" t="s">
        <v>29420</v>
      </c>
      <c r="E24029" s="51"/>
      <c r="F24029" s="114" t="str">
        <f>IF(INDEX(I.Facility.P4IDNumber,4017)="","",INDEX(I.Facility.P4IDNumber,4017))</f>
        <v/>
      </c>
      <c r="G24029" s="51"/>
      <c r="H24029" s="46" t="str">
        <f>IF(AND(I.Developer.P4=TRUE,I.Facility.P4FacilityCount&gt;=4017,F24029=""),"Incomplete","Complete")</f>
        <v>Complete</v>
      </c>
      <c r="I24029" s="48" t="s">
        <v>28394</v>
      </c>
    </row>
    <row r="24030" spans="2:9" ht="15" customHeight="1" x14ac:dyDescent="0.25">
      <c r="B24030" s="55" t="s">
        <v>283</v>
      </c>
      <c r="C24030" s="46">
        <v>4018</v>
      </c>
      <c r="D24030" s="69" t="s">
        <v>29420</v>
      </c>
      <c r="E24030" s="51"/>
      <c r="F24030" s="114" t="str">
        <f>IF(INDEX(I.Facility.P4IDNumber,4018)="","",INDEX(I.Facility.P4IDNumber,4018))</f>
        <v/>
      </c>
      <c r="G24030" s="51"/>
      <c r="H24030" s="46" t="str">
        <f>IF(AND(I.Developer.P4=TRUE,I.Facility.P4FacilityCount&gt;=4018,F24030=""),"Incomplete","Complete")</f>
        <v>Complete</v>
      </c>
      <c r="I24030" s="48" t="s">
        <v>28395</v>
      </c>
    </row>
    <row r="24031" spans="2:9" ht="15" customHeight="1" x14ac:dyDescent="0.25">
      <c r="B24031" s="55" t="s">
        <v>283</v>
      </c>
      <c r="C24031" s="46">
        <v>4019</v>
      </c>
      <c r="D24031" s="69" t="s">
        <v>29420</v>
      </c>
      <c r="E24031" s="51"/>
      <c r="F24031" s="114" t="str">
        <f>IF(INDEX(I.Facility.P4IDNumber,4019)="","",INDEX(I.Facility.P4IDNumber,4019))</f>
        <v/>
      </c>
      <c r="G24031" s="51"/>
      <c r="H24031" s="46" t="str">
        <f>IF(AND(I.Developer.P4=TRUE,I.Facility.P4FacilityCount&gt;=4019,F24031=""),"Incomplete","Complete")</f>
        <v>Complete</v>
      </c>
      <c r="I24031" s="48" t="s">
        <v>28396</v>
      </c>
    </row>
    <row r="24032" spans="2:9" ht="15" customHeight="1" x14ac:dyDescent="0.25">
      <c r="B24032" s="55" t="s">
        <v>283</v>
      </c>
      <c r="C24032" s="46">
        <v>4020</v>
      </c>
      <c r="D24032" s="69" t="s">
        <v>29420</v>
      </c>
      <c r="E24032" s="51"/>
      <c r="F24032" s="114" t="str">
        <f>IF(INDEX(I.Facility.P4IDNumber,4020)="","",INDEX(I.Facility.P4IDNumber,4020))</f>
        <v/>
      </c>
      <c r="G24032" s="51"/>
      <c r="H24032" s="46" t="str">
        <f>IF(AND(I.Developer.P4=TRUE,I.Facility.P4FacilityCount&gt;=4020,F24032=""),"Incomplete","Complete")</f>
        <v>Complete</v>
      </c>
      <c r="I24032" s="48" t="s">
        <v>28397</v>
      </c>
    </row>
    <row r="24033" spans="2:9" ht="15" customHeight="1" x14ac:dyDescent="0.25">
      <c r="B24033" s="55" t="s">
        <v>283</v>
      </c>
      <c r="C24033" s="46">
        <v>4021</v>
      </c>
      <c r="D24033" s="69" t="s">
        <v>29420</v>
      </c>
      <c r="E24033" s="51"/>
      <c r="F24033" s="114" t="str">
        <f>IF(INDEX(I.Facility.P4IDNumber,4021)="","",INDEX(I.Facility.P4IDNumber,4021))</f>
        <v/>
      </c>
      <c r="G24033" s="51"/>
      <c r="H24033" s="46" t="str">
        <f>IF(AND(I.Developer.P4=TRUE,I.Facility.P4FacilityCount&gt;=4021,F24033=""),"Incomplete","Complete")</f>
        <v>Complete</v>
      </c>
      <c r="I24033" s="48" t="s">
        <v>28398</v>
      </c>
    </row>
    <row r="24034" spans="2:9" ht="15" customHeight="1" x14ac:dyDescent="0.25">
      <c r="B24034" s="55" t="s">
        <v>283</v>
      </c>
      <c r="C24034" s="46">
        <v>4022</v>
      </c>
      <c r="D24034" s="69" t="s">
        <v>29420</v>
      </c>
      <c r="E24034" s="51"/>
      <c r="F24034" s="114" t="str">
        <f>IF(INDEX(I.Facility.P4IDNumber,4022)="","",INDEX(I.Facility.P4IDNumber,4022))</f>
        <v/>
      </c>
      <c r="G24034" s="51"/>
      <c r="H24034" s="46" t="str">
        <f>IF(AND(I.Developer.P4=TRUE,I.Facility.P4FacilityCount&gt;=4022,F24034=""),"Incomplete","Complete")</f>
        <v>Complete</v>
      </c>
      <c r="I24034" s="48" t="s">
        <v>28399</v>
      </c>
    </row>
    <row r="24035" spans="2:9" ht="15" customHeight="1" x14ac:dyDescent="0.25">
      <c r="B24035" s="55" t="s">
        <v>283</v>
      </c>
      <c r="C24035" s="46">
        <v>4023</v>
      </c>
      <c r="D24035" s="69" t="s">
        <v>29420</v>
      </c>
      <c r="E24035" s="51"/>
      <c r="F24035" s="114" t="str">
        <f>IF(INDEX(I.Facility.P4IDNumber,4023)="","",INDEX(I.Facility.P4IDNumber,4023))</f>
        <v/>
      </c>
      <c r="G24035" s="51"/>
      <c r="H24035" s="46" t="str">
        <f>IF(AND(I.Developer.P4=TRUE,I.Facility.P4FacilityCount&gt;=4023,F24035=""),"Incomplete","Complete")</f>
        <v>Complete</v>
      </c>
      <c r="I24035" s="48" t="s">
        <v>28400</v>
      </c>
    </row>
    <row r="24036" spans="2:9" ht="15" customHeight="1" x14ac:dyDescent="0.25">
      <c r="B24036" s="55" t="s">
        <v>283</v>
      </c>
      <c r="C24036" s="46">
        <v>4024</v>
      </c>
      <c r="D24036" s="69" t="s">
        <v>29420</v>
      </c>
      <c r="E24036" s="51"/>
      <c r="F24036" s="114" t="str">
        <f>IF(INDEX(I.Facility.P4IDNumber,4024)="","",INDEX(I.Facility.P4IDNumber,4024))</f>
        <v/>
      </c>
      <c r="G24036" s="51"/>
      <c r="H24036" s="46" t="str">
        <f>IF(AND(I.Developer.P4=TRUE,I.Facility.P4FacilityCount&gt;=4024,F24036=""),"Incomplete","Complete")</f>
        <v>Complete</v>
      </c>
      <c r="I24036" s="48" t="s">
        <v>28401</v>
      </c>
    </row>
    <row r="24037" spans="2:9" ht="15" customHeight="1" x14ac:dyDescent="0.25">
      <c r="B24037" s="55" t="s">
        <v>283</v>
      </c>
      <c r="C24037" s="46">
        <v>4025</v>
      </c>
      <c r="D24037" s="69" t="s">
        <v>29420</v>
      </c>
      <c r="E24037" s="51"/>
      <c r="F24037" s="114" t="str">
        <f>IF(INDEX(I.Facility.P4IDNumber,4025)="","",INDEX(I.Facility.P4IDNumber,4025))</f>
        <v/>
      </c>
      <c r="G24037" s="51"/>
      <c r="H24037" s="46" t="str">
        <f>IF(AND(I.Developer.P4=TRUE,I.Facility.P4FacilityCount&gt;=4025,F24037=""),"Incomplete","Complete")</f>
        <v>Complete</v>
      </c>
      <c r="I24037" s="48" t="s">
        <v>28402</v>
      </c>
    </row>
    <row r="24038" spans="2:9" ht="15" customHeight="1" x14ac:dyDescent="0.25">
      <c r="B24038" s="55" t="s">
        <v>283</v>
      </c>
      <c r="C24038" s="46">
        <v>4026</v>
      </c>
      <c r="D24038" s="69" t="s">
        <v>29420</v>
      </c>
      <c r="E24038" s="51"/>
      <c r="F24038" s="114" t="str">
        <f>IF(INDEX(I.Facility.P4IDNumber,4026)="","",INDEX(I.Facility.P4IDNumber,4026))</f>
        <v/>
      </c>
      <c r="G24038" s="51"/>
      <c r="H24038" s="46" t="str">
        <f>IF(AND(I.Developer.P4=TRUE,I.Facility.P4FacilityCount&gt;=4026,F24038=""),"Incomplete","Complete")</f>
        <v>Complete</v>
      </c>
      <c r="I24038" s="48" t="s">
        <v>28403</v>
      </c>
    </row>
    <row r="24039" spans="2:9" ht="15" customHeight="1" x14ac:dyDescent="0.25">
      <c r="B24039" s="55" t="s">
        <v>283</v>
      </c>
      <c r="C24039" s="46">
        <v>4027</v>
      </c>
      <c r="D24039" s="69" t="s">
        <v>29420</v>
      </c>
      <c r="E24039" s="51"/>
      <c r="F24039" s="114" t="str">
        <f>IF(INDEX(I.Facility.P4IDNumber,4027)="","",INDEX(I.Facility.P4IDNumber,4027))</f>
        <v/>
      </c>
      <c r="G24039" s="51"/>
      <c r="H24039" s="46" t="str">
        <f>IF(AND(I.Developer.P4=TRUE,I.Facility.P4FacilityCount&gt;=4027,F24039=""),"Incomplete","Complete")</f>
        <v>Complete</v>
      </c>
      <c r="I24039" s="48" t="s">
        <v>28404</v>
      </c>
    </row>
    <row r="24040" spans="2:9" ht="15" customHeight="1" x14ac:dyDescent="0.25">
      <c r="B24040" s="55" t="s">
        <v>283</v>
      </c>
      <c r="C24040" s="46">
        <v>4028</v>
      </c>
      <c r="D24040" s="69" t="s">
        <v>29420</v>
      </c>
      <c r="E24040" s="51"/>
      <c r="F24040" s="114" t="str">
        <f>IF(INDEX(I.Facility.P4IDNumber,4028)="","",INDEX(I.Facility.P4IDNumber,4028))</f>
        <v/>
      </c>
      <c r="G24040" s="51"/>
      <c r="H24040" s="46" t="str">
        <f>IF(AND(I.Developer.P4=TRUE,I.Facility.P4FacilityCount&gt;=4028,F24040=""),"Incomplete","Complete")</f>
        <v>Complete</v>
      </c>
      <c r="I24040" s="48" t="s">
        <v>28405</v>
      </c>
    </row>
    <row r="24041" spans="2:9" ht="15" customHeight="1" x14ac:dyDescent="0.25">
      <c r="B24041" s="55" t="s">
        <v>283</v>
      </c>
      <c r="C24041" s="46">
        <v>4029</v>
      </c>
      <c r="D24041" s="69" t="s">
        <v>29420</v>
      </c>
      <c r="E24041" s="51"/>
      <c r="F24041" s="114" t="str">
        <f>IF(INDEX(I.Facility.P4IDNumber,4029)="","",INDEX(I.Facility.P4IDNumber,4029))</f>
        <v/>
      </c>
      <c r="G24041" s="51"/>
      <c r="H24041" s="46" t="str">
        <f>IF(AND(I.Developer.P4=TRUE,I.Facility.P4FacilityCount&gt;=4029,F24041=""),"Incomplete","Complete")</f>
        <v>Complete</v>
      </c>
      <c r="I24041" s="48" t="s">
        <v>28406</v>
      </c>
    </row>
    <row r="24042" spans="2:9" ht="15" customHeight="1" x14ac:dyDescent="0.25">
      <c r="B24042" s="55" t="s">
        <v>283</v>
      </c>
      <c r="C24042" s="46">
        <v>4030</v>
      </c>
      <c r="D24042" s="69" t="s">
        <v>29420</v>
      </c>
      <c r="E24042" s="51"/>
      <c r="F24042" s="114" t="str">
        <f>IF(INDEX(I.Facility.P4IDNumber,4030)="","",INDEX(I.Facility.P4IDNumber,4030))</f>
        <v/>
      </c>
      <c r="G24042" s="51"/>
      <c r="H24042" s="46" t="str">
        <f>IF(AND(I.Developer.P4=TRUE,I.Facility.P4FacilityCount&gt;=4030,F24042=""),"Incomplete","Complete")</f>
        <v>Complete</v>
      </c>
      <c r="I24042" s="48" t="s">
        <v>28407</v>
      </c>
    </row>
    <row r="24043" spans="2:9" ht="15" customHeight="1" x14ac:dyDescent="0.25">
      <c r="B24043" s="55" t="s">
        <v>283</v>
      </c>
      <c r="C24043" s="46">
        <v>4031</v>
      </c>
      <c r="D24043" s="69" t="s">
        <v>29420</v>
      </c>
      <c r="E24043" s="51"/>
      <c r="F24043" s="114" t="str">
        <f>IF(INDEX(I.Facility.P4IDNumber,4031)="","",INDEX(I.Facility.P4IDNumber,4031))</f>
        <v/>
      </c>
      <c r="G24043" s="51"/>
      <c r="H24043" s="46" t="str">
        <f>IF(AND(I.Developer.P4=TRUE,I.Facility.P4FacilityCount&gt;=4031,F24043=""),"Incomplete","Complete")</f>
        <v>Complete</v>
      </c>
      <c r="I24043" s="48" t="s">
        <v>28408</v>
      </c>
    </row>
    <row r="24044" spans="2:9" ht="15" customHeight="1" x14ac:dyDescent="0.25">
      <c r="B24044" s="55" t="s">
        <v>283</v>
      </c>
      <c r="C24044" s="46">
        <v>4032</v>
      </c>
      <c r="D24044" s="69" t="s">
        <v>29420</v>
      </c>
      <c r="E24044" s="51"/>
      <c r="F24044" s="114" t="str">
        <f>IF(INDEX(I.Facility.P4IDNumber,4032)="","",INDEX(I.Facility.P4IDNumber,4032))</f>
        <v/>
      </c>
      <c r="G24044" s="51"/>
      <c r="H24044" s="46" t="str">
        <f>IF(AND(I.Developer.P4=TRUE,I.Facility.P4FacilityCount&gt;=4032,F24044=""),"Incomplete","Complete")</f>
        <v>Complete</v>
      </c>
      <c r="I24044" s="48" t="s">
        <v>28409</v>
      </c>
    </row>
    <row r="24045" spans="2:9" ht="15" customHeight="1" x14ac:dyDescent="0.25">
      <c r="B24045" s="55" t="s">
        <v>283</v>
      </c>
      <c r="C24045" s="46">
        <v>4033</v>
      </c>
      <c r="D24045" s="69" t="s">
        <v>29420</v>
      </c>
      <c r="E24045" s="51"/>
      <c r="F24045" s="114" t="str">
        <f>IF(INDEX(I.Facility.P4IDNumber,4033)="","",INDEX(I.Facility.P4IDNumber,4033))</f>
        <v/>
      </c>
      <c r="G24045" s="51"/>
      <c r="H24045" s="46" t="str">
        <f>IF(AND(I.Developer.P4=TRUE,I.Facility.P4FacilityCount&gt;=4033,F24045=""),"Incomplete","Complete")</f>
        <v>Complete</v>
      </c>
      <c r="I24045" s="48" t="s">
        <v>28410</v>
      </c>
    </row>
    <row r="24046" spans="2:9" ht="15" customHeight="1" x14ac:dyDescent="0.25">
      <c r="B24046" s="55" t="s">
        <v>283</v>
      </c>
      <c r="C24046" s="46">
        <v>4034</v>
      </c>
      <c r="D24046" s="69" t="s">
        <v>29420</v>
      </c>
      <c r="E24046" s="51"/>
      <c r="F24046" s="114" t="str">
        <f>IF(INDEX(I.Facility.P4IDNumber,4034)="","",INDEX(I.Facility.P4IDNumber,4034))</f>
        <v/>
      </c>
      <c r="G24046" s="51"/>
      <c r="H24046" s="46" t="str">
        <f>IF(AND(I.Developer.P4=TRUE,I.Facility.P4FacilityCount&gt;=4034,F24046=""),"Incomplete","Complete")</f>
        <v>Complete</v>
      </c>
      <c r="I24046" s="48" t="s">
        <v>28411</v>
      </c>
    </row>
    <row r="24047" spans="2:9" ht="15" customHeight="1" x14ac:dyDescent="0.25">
      <c r="B24047" s="55" t="s">
        <v>283</v>
      </c>
      <c r="C24047" s="46">
        <v>4035</v>
      </c>
      <c r="D24047" s="69" t="s">
        <v>29420</v>
      </c>
      <c r="E24047" s="51"/>
      <c r="F24047" s="114" t="str">
        <f>IF(INDEX(I.Facility.P4IDNumber,4035)="","",INDEX(I.Facility.P4IDNumber,4035))</f>
        <v/>
      </c>
      <c r="G24047" s="51"/>
      <c r="H24047" s="46" t="str">
        <f>IF(AND(I.Developer.P4=TRUE,I.Facility.P4FacilityCount&gt;=4035,F24047=""),"Incomplete","Complete")</f>
        <v>Complete</v>
      </c>
      <c r="I24047" s="48" t="s">
        <v>28412</v>
      </c>
    </row>
    <row r="24048" spans="2:9" ht="15" customHeight="1" x14ac:dyDescent="0.25">
      <c r="B24048" s="55" t="s">
        <v>283</v>
      </c>
      <c r="C24048" s="46">
        <v>4036</v>
      </c>
      <c r="D24048" s="69" t="s">
        <v>29420</v>
      </c>
      <c r="E24048" s="51"/>
      <c r="F24048" s="114" t="str">
        <f>IF(INDEX(I.Facility.P4IDNumber,4036)="","",INDEX(I.Facility.P4IDNumber,4036))</f>
        <v/>
      </c>
      <c r="G24048" s="51"/>
      <c r="H24048" s="46" t="str">
        <f>IF(AND(I.Developer.P4=TRUE,I.Facility.P4FacilityCount&gt;=4036,F24048=""),"Incomplete","Complete")</f>
        <v>Complete</v>
      </c>
      <c r="I24048" s="48" t="s">
        <v>28413</v>
      </c>
    </row>
    <row r="24049" spans="2:9" ht="15" customHeight="1" x14ac:dyDescent="0.25">
      <c r="B24049" s="55" t="s">
        <v>283</v>
      </c>
      <c r="C24049" s="46">
        <v>4037</v>
      </c>
      <c r="D24049" s="69" t="s">
        <v>29420</v>
      </c>
      <c r="E24049" s="51"/>
      <c r="F24049" s="114" t="str">
        <f>IF(INDEX(I.Facility.P4IDNumber,4037)="","",INDEX(I.Facility.P4IDNumber,4037))</f>
        <v/>
      </c>
      <c r="G24049" s="51"/>
      <c r="H24049" s="46" t="str">
        <f>IF(AND(I.Developer.P4=TRUE,I.Facility.P4FacilityCount&gt;=4037,F24049=""),"Incomplete","Complete")</f>
        <v>Complete</v>
      </c>
      <c r="I24049" s="48" t="s">
        <v>28414</v>
      </c>
    </row>
    <row r="24050" spans="2:9" ht="15" customHeight="1" x14ac:dyDescent="0.25">
      <c r="B24050" s="55" t="s">
        <v>283</v>
      </c>
      <c r="C24050" s="46">
        <v>4038</v>
      </c>
      <c r="D24050" s="69" t="s">
        <v>29420</v>
      </c>
      <c r="E24050" s="51"/>
      <c r="F24050" s="114" t="str">
        <f>IF(INDEX(I.Facility.P4IDNumber,4038)="","",INDEX(I.Facility.P4IDNumber,4038))</f>
        <v/>
      </c>
      <c r="G24050" s="51"/>
      <c r="H24050" s="46" t="str">
        <f>IF(AND(I.Developer.P4=TRUE,I.Facility.P4FacilityCount&gt;=4038,F24050=""),"Incomplete","Complete")</f>
        <v>Complete</v>
      </c>
      <c r="I24050" s="48" t="s">
        <v>28415</v>
      </c>
    </row>
    <row r="24051" spans="2:9" ht="15" customHeight="1" x14ac:dyDescent="0.25">
      <c r="B24051" s="55" t="s">
        <v>283</v>
      </c>
      <c r="C24051" s="46">
        <v>4039</v>
      </c>
      <c r="D24051" s="69" t="s">
        <v>29420</v>
      </c>
      <c r="E24051" s="51"/>
      <c r="F24051" s="114" t="str">
        <f>IF(INDEX(I.Facility.P4IDNumber,4039)="","",INDEX(I.Facility.P4IDNumber,4039))</f>
        <v/>
      </c>
      <c r="G24051" s="51"/>
      <c r="H24051" s="46" t="str">
        <f>IF(AND(I.Developer.P4=TRUE,I.Facility.P4FacilityCount&gt;=4039,F24051=""),"Incomplete","Complete")</f>
        <v>Complete</v>
      </c>
      <c r="I24051" s="48" t="s">
        <v>28416</v>
      </c>
    </row>
    <row r="24052" spans="2:9" ht="15" customHeight="1" x14ac:dyDescent="0.25">
      <c r="B24052" s="55" t="s">
        <v>283</v>
      </c>
      <c r="C24052" s="46">
        <v>4040</v>
      </c>
      <c r="D24052" s="69" t="s">
        <v>29420</v>
      </c>
      <c r="E24052" s="51"/>
      <c r="F24052" s="114" t="str">
        <f>IF(INDEX(I.Facility.P4IDNumber,4040)="","",INDEX(I.Facility.P4IDNumber,4040))</f>
        <v/>
      </c>
      <c r="G24052" s="51"/>
      <c r="H24052" s="46" t="str">
        <f>IF(AND(I.Developer.P4=TRUE,I.Facility.P4FacilityCount&gt;=4040,F24052=""),"Incomplete","Complete")</f>
        <v>Complete</v>
      </c>
      <c r="I24052" s="48" t="s">
        <v>28417</v>
      </c>
    </row>
    <row r="24053" spans="2:9" ht="15" customHeight="1" x14ac:dyDescent="0.25">
      <c r="B24053" s="55" t="s">
        <v>283</v>
      </c>
      <c r="C24053" s="46">
        <v>4041</v>
      </c>
      <c r="D24053" s="69" t="s">
        <v>29420</v>
      </c>
      <c r="E24053" s="51"/>
      <c r="F24053" s="114" t="str">
        <f>IF(INDEX(I.Facility.P4IDNumber,4041)="","",INDEX(I.Facility.P4IDNumber,4041))</f>
        <v/>
      </c>
      <c r="G24053" s="51"/>
      <c r="H24053" s="46" t="str">
        <f>IF(AND(I.Developer.P4=TRUE,I.Facility.P4FacilityCount&gt;=4041,F24053=""),"Incomplete","Complete")</f>
        <v>Complete</v>
      </c>
      <c r="I24053" s="48" t="s">
        <v>28418</v>
      </c>
    </row>
    <row r="24054" spans="2:9" ht="15" customHeight="1" x14ac:dyDescent="0.25">
      <c r="B24054" s="55" t="s">
        <v>283</v>
      </c>
      <c r="C24054" s="46">
        <v>4042</v>
      </c>
      <c r="D24054" s="69" t="s">
        <v>29420</v>
      </c>
      <c r="E24054" s="51"/>
      <c r="F24054" s="114" t="str">
        <f>IF(INDEX(I.Facility.P4IDNumber,4042)="","",INDEX(I.Facility.P4IDNumber,4042))</f>
        <v/>
      </c>
      <c r="G24054" s="51"/>
      <c r="H24054" s="46" t="str">
        <f>IF(AND(I.Developer.P4=TRUE,I.Facility.P4FacilityCount&gt;=4042,F24054=""),"Incomplete","Complete")</f>
        <v>Complete</v>
      </c>
      <c r="I24054" s="48" t="s">
        <v>28419</v>
      </c>
    </row>
    <row r="24055" spans="2:9" ht="15" customHeight="1" x14ac:dyDescent="0.25">
      <c r="B24055" s="55" t="s">
        <v>283</v>
      </c>
      <c r="C24055" s="46">
        <v>4043</v>
      </c>
      <c r="D24055" s="69" t="s">
        <v>29420</v>
      </c>
      <c r="E24055" s="51"/>
      <c r="F24055" s="114" t="str">
        <f>IF(INDEX(I.Facility.P4IDNumber,4043)="","",INDEX(I.Facility.P4IDNumber,4043))</f>
        <v/>
      </c>
      <c r="G24055" s="51"/>
      <c r="H24055" s="46" t="str">
        <f>IF(AND(I.Developer.P4=TRUE,I.Facility.P4FacilityCount&gt;=4043,F24055=""),"Incomplete","Complete")</f>
        <v>Complete</v>
      </c>
      <c r="I24055" s="48" t="s">
        <v>28420</v>
      </c>
    </row>
    <row r="24056" spans="2:9" ht="15" customHeight="1" x14ac:dyDescent="0.25">
      <c r="B24056" s="55" t="s">
        <v>283</v>
      </c>
      <c r="C24056" s="46">
        <v>4044</v>
      </c>
      <c r="D24056" s="69" t="s">
        <v>29420</v>
      </c>
      <c r="E24056" s="51"/>
      <c r="F24056" s="114" t="str">
        <f>IF(INDEX(I.Facility.P4IDNumber,4044)="","",INDEX(I.Facility.P4IDNumber,4044))</f>
        <v/>
      </c>
      <c r="G24056" s="51"/>
      <c r="H24056" s="46" t="str">
        <f>IF(AND(I.Developer.P4=TRUE,I.Facility.P4FacilityCount&gt;=4044,F24056=""),"Incomplete","Complete")</f>
        <v>Complete</v>
      </c>
      <c r="I24056" s="48" t="s">
        <v>28421</v>
      </c>
    </row>
    <row r="24057" spans="2:9" ht="15" customHeight="1" x14ac:dyDescent="0.25">
      <c r="B24057" s="55" t="s">
        <v>283</v>
      </c>
      <c r="C24057" s="46">
        <v>4045</v>
      </c>
      <c r="D24057" s="69" t="s">
        <v>29420</v>
      </c>
      <c r="E24057" s="51"/>
      <c r="F24057" s="114" t="str">
        <f>IF(INDEX(I.Facility.P4IDNumber,4045)="","",INDEX(I.Facility.P4IDNumber,4045))</f>
        <v/>
      </c>
      <c r="G24057" s="51"/>
      <c r="H24057" s="46" t="str">
        <f>IF(AND(I.Developer.P4=TRUE,I.Facility.P4FacilityCount&gt;=4045,F24057=""),"Incomplete","Complete")</f>
        <v>Complete</v>
      </c>
      <c r="I24057" s="48" t="s">
        <v>28422</v>
      </c>
    </row>
    <row r="24058" spans="2:9" ht="15" customHeight="1" x14ac:dyDescent="0.25">
      <c r="B24058" s="55" t="s">
        <v>283</v>
      </c>
      <c r="C24058" s="46">
        <v>4046</v>
      </c>
      <c r="D24058" s="69" t="s">
        <v>29420</v>
      </c>
      <c r="E24058" s="51"/>
      <c r="F24058" s="114" t="str">
        <f>IF(INDEX(I.Facility.P4IDNumber,4046)="","",INDEX(I.Facility.P4IDNumber,4046))</f>
        <v/>
      </c>
      <c r="G24058" s="51"/>
      <c r="H24058" s="46" t="str">
        <f>IF(AND(I.Developer.P4=TRUE,I.Facility.P4FacilityCount&gt;=4046,F24058=""),"Incomplete","Complete")</f>
        <v>Complete</v>
      </c>
      <c r="I24058" s="48" t="s">
        <v>28423</v>
      </c>
    </row>
    <row r="24059" spans="2:9" ht="15" customHeight="1" x14ac:dyDescent="0.25">
      <c r="B24059" s="55" t="s">
        <v>283</v>
      </c>
      <c r="C24059" s="46">
        <v>4047</v>
      </c>
      <c r="D24059" s="69" t="s">
        <v>29420</v>
      </c>
      <c r="E24059" s="51"/>
      <c r="F24059" s="114" t="str">
        <f>IF(INDEX(I.Facility.P4IDNumber,4047)="","",INDEX(I.Facility.P4IDNumber,4047))</f>
        <v/>
      </c>
      <c r="G24059" s="51"/>
      <c r="H24059" s="46" t="str">
        <f>IF(AND(I.Developer.P4=TRUE,I.Facility.P4FacilityCount&gt;=4047,F24059=""),"Incomplete","Complete")</f>
        <v>Complete</v>
      </c>
      <c r="I24059" s="48" t="s">
        <v>28424</v>
      </c>
    </row>
    <row r="24060" spans="2:9" ht="15" customHeight="1" x14ac:dyDescent="0.25">
      <c r="B24060" s="55" t="s">
        <v>283</v>
      </c>
      <c r="C24060" s="46">
        <v>4048</v>
      </c>
      <c r="D24060" s="69" t="s">
        <v>29420</v>
      </c>
      <c r="E24060" s="51"/>
      <c r="F24060" s="114" t="str">
        <f>IF(INDEX(I.Facility.P4IDNumber,4048)="","",INDEX(I.Facility.P4IDNumber,4048))</f>
        <v/>
      </c>
      <c r="G24060" s="51"/>
      <c r="H24060" s="46" t="str">
        <f>IF(AND(I.Developer.P4=TRUE,I.Facility.P4FacilityCount&gt;=4048,F24060=""),"Incomplete","Complete")</f>
        <v>Complete</v>
      </c>
      <c r="I24060" s="48" t="s">
        <v>28425</v>
      </c>
    </row>
    <row r="24061" spans="2:9" ht="15" customHeight="1" x14ac:dyDescent="0.25">
      <c r="B24061" s="55" t="s">
        <v>283</v>
      </c>
      <c r="C24061" s="46">
        <v>4049</v>
      </c>
      <c r="D24061" s="69" t="s">
        <v>29420</v>
      </c>
      <c r="E24061" s="51"/>
      <c r="F24061" s="114" t="str">
        <f>IF(INDEX(I.Facility.P4IDNumber,4049)="","",INDEX(I.Facility.P4IDNumber,4049))</f>
        <v/>
      </c>
      <c r="G24061" s="51"/>
      <c r="H24061" s="46" t="str">
        <f>IF(AND(I.Developer.P4=TRUE,I.Facility.P4FacilityCount&gt;=4049,F24061=""),"Incomplete","Complete")</f>
        <v>Complete</v>
      </c>
      <c r="I24061" s="48" t="s">
        <v>28426</v>
      </c>
    </row>
    <row r="24062" spans="2:9" ht="15" customHeight="1" x14ac:dyDescent="0.25">
      <c r="B24062" s="55" t="s">
        <v>283</v>
      </c>
      <c r="C24062" s="46">
        <v>4050</v>
      </c>
      <c r="D24062" s="69" t="s">
        <v>29420</v>
      </c>
      <c r="E24062" s="51"/>
      <c r="F24062" s="114" t="str">
        <f>IF(INDEX(I.Facility.P4IDNumber,4050)="","",INDEX(I.Facility.P4IDNumber,4050))</f>
        <v/>
      </c>
      <c r="G24062" s="51"/>
      <c r="H24062" s="46" t="str">
        <f>IF(AND(I.Developer.P4=TRUE,I.Facility.P4FacilityCount&gt;=4050,F24062=""),"Incomplete","Complete")</f>
        <v>Complete</v>
      </c>
      <c r="I24062" s="48" t="s">
        <v>28427</v>
      </c>
    </row>
    <row r="24063" spans="2:9" ht="15" customHeight="1" x14ac:dyDescent="0.25">
      <c r="B24063" s="55" t="s">
        <v>283</v>
      </c>
      <c r="C24063" s="46">
        <v>4051</v>
      </c>
      <c r="D24063" s="69" t="s">
        <v>29420</v>
      </c>
      <c r="E24063" s="51"/>
      <c r="F24063" s="114" t="str">
        <f>IF(INDEX(I.Facility.P4IDNumber,4051)="","",INDEX(I.Facility.P4IDNumber,4051))</f>
        <v/>
      </c>
      <c r="G24063" s="51"/>
      <c r="H24063" s="46" t="str">
        <f>IF(AND(I.Developer.P4=TRUE,I.Facility.P4FacilityCount&gt;=4051,F24063=""),"Incomplete","Complete")</f>
        <v>Complete</v>
      </c>
      <c r="I24063" s="48" t="s">
        <v>28428</v>
      </c>
    </row>
    <row r="24064" spans="2:9" ht="15" customHeight="1" x14ac:dyDescent="0.25">
      <c r="B24064" s="55" t="s">
        <v>283</v>
      </c>
      <c r="C24064" s="46">
        <v>4052</v>
      </c>
      <c r="D24064" s="69" t="s">
        <v>29420</v>
      </c>
      <c r="E24064" s="51"/>
      <c r="F24064" s="114" t="str">
        <f>IF(INDEX(I.Facility.P4IDNumber,4052)="","",INDEX(I.Facility.P4IDNumber,4052))</f>
        <v/>
      </c>
      <c r="G24064" s="51"/>
      <c r="H24064" s="46" t="str">
        <f>IF(AND(I.Developer.P4=TRUE,I.Facility.P4FacilityCount&gt;=4052,F24064=""),"Incomplete","Complete")</f>
        <v>Complete</v>
      </c>
      <c r="I24064" s="48" t="s">
        <v>28429</v>
      </c>
    </row>
    <row r="24065" spans="2:9" ht="15" customHeight="1" x14ac:dyDescent="0.25">
      <c r="B24065" s="55" t="s">
        <v>283</v>
      </c>
      <c r="C24065" s="46">
        <v>4053</v>
      </c>
      <c r="D24065" s="69" t="s">
        <v>29420</v>
      </c>
      <c r="E24065" s="51"/>
      <c r="F24065" s="114" t="str">
        <f>IF(INDEX(I.Facility.P4IDNumber,4053)="","",INDEX(I.Facility.P4IDNumber,4053))</f>
        <v/>
      </c>
      <c r="G24065" s="51"/>
      <c r="H24065" s="46" t="str">
        <f>IF(AND(I.Developer.P4=TRUE,I.Facility.P4FacilityCount&gt;=4053,F24065=""),"Incomplete","Complete")</f>
        <v>Complete</v>
      </c>
      <c r="I24065" s="48" t="s">
        <v>28430</v>
      </c>
    </row>
    <row r="24066" spans="2:9" ht="15" customHeight="1" x14ac:dyDescent="0.25">
      <c r="B24066" s="55" t="s">
        <v>283</v>
      </c>
      <c r="C24066" s="46">
        <v>4054</v>
      </c>
      <c r="D24066" s="69" t="s">
        <v>29420</v>
      </c>
      <c r="E24066" s="51"/>
      <c r="F24066" s="114" t="str">
        <f>IF(INDEX(I.Facility.P4IDNumber,4054)="","",INDEX(I.Facility.P4IDNumber,4054))</f>
        <v/>
      </c>
      <c r="G24066" s="51"/>
      <c r="H24066" s="46" t="str">
        <f>IF(AND(I.Developer.P4=TRUE,I.Facility.P4FacilityCount&gt;=4054,F24066=""),"Incomplete","Complete")</f>
        <v>Complete</v>
      </c>
      <c r="I24066" s="48" t="s">
        <v>28431</v>
      </c>
    </row>
    <row r="24067" spans="2:9" ht="15" customHeight="1" x14ac:dyDescent="0.25">
      <c r="B24067" s="55" t="s">
        <v>283</v>
      </c>
      <c r="C24067" s="46">
        <v>4055</v>
      </c>
      <c r="D24067" s="69" t="s">
        <v>29420</v>
      </c>
      <c r="E24067" s="51"/>
      <c r="F24067" s="114" t="str">
        <f>IF(INDEX(I.Facility.P4IDNumber,4055)="","",INDEX(I.Facility.P4IDNumber,4055))</f>
        <v/>
      </c>
      <c r="G24067" s="51"/>
      <c r="H24067" s="46" t="str">
        <f>IF(AND(I.Developer.P4=TRUE,I.Facility.P4FacilityCount&gt;=4055,F24067=""),"Incomplete","Complete")</f>
        <v>Complete</v>
      </c>
      <c r="I24067" s="48" t="s">
        <v>28432</v>
      </c>
    </row>
    <row r="24068" spans="2:9" ht="15" customHeight="1" x14ac:dyDescent="0.25">
      <c r="B24068" s="55" t="s">
        <v>283</v>
      </c>
      <c r="C24068" s="46">
        <v>4056</v>
      </c>
      <c r="D24068" s="69" t="s">
        <v>29420</v>
      </c>
      <c r="E24068" s="51"/>
      <c r="F24068" s="114" t="str">
        <f>IF(INDEX(I.Facility.P4IDNumber,4056)="","",INDEX(I.Facility.P4IDNumber,4056))</f>
        <v/>
      </c>
      <c r="G24068" s="51"/>
      <c r="H24068" s="46" t="str">
        <f>IF(AND(I.Developer.P4=TRUE,I.Facility.P4FacilityCount&gt;=4056,F24068=""),"Incomplete","Complete")</f>
        <v>Complete</v>
      </c>
      <c r="I24068" s="48" t="s">
        <v>28433</v>
      </c>
    </row>
    <row r="24069" spans="2:9" ht="15" customHeight="1" x14ac:dyDescent="0.25">
      <c r="B24069" s="55" t="s">
        <v>283</v>
      </c>
      <c r="C24069" s="46">
        <v>4057</v>
      </c>
      <c r="D24069" s="69" t="s">
        <v>29420</v>
      </c>
      <c r="E24069" s="51"/>
      <c r="F24069" s="114" t="str">
        <f>IF(INDEX(I.Facility.P4IDNumber,4057)="","",INDEX(I.Facility.P4IDNumber,4057))</f>
        <v/>
      </c>
      <c r="G24069" s="51"/>
      <c r="H24069" s="46" t="str">
        <f>IF(AND(I.Developer.P4=TRUE,I.Facility.P4FacilityCount&gt;=4057,F24069=""),"Incomplete","Complete")</f>
        <v>Complete</v>
      </c>
      <c r="I24069" s="48" t="s">
        <v>28434</v>
      </c>
    </row>
    <row r="24070" spans="2:9" ht="15" customHeight="1" x14ac:dyDescent="0.25">
      <c r="B24070" s="55" t="s">
        <v>283</v>
      </c>
      <c r="C24070" s="46">
        <v>4058</v>
      </c>
      <c r="D24070" s="69" t="s">
        <v>29420</v>
      </c>
      <c r="E24070" s="51"/>
      <c r="F24070" s="114" t="str">
        <f>IF(INDEX(I.Facility.P4IDNumber,4058)="","",INDEX(I.Facility.P4IDNumber,4058))</f>
        <v/>
      </c>
      <c r="G24070" s="51"/>
      <c r="H24070" s="46" t="str">
        <f>IF(AND(I.Developer.P4=TRUE,I.Facility.P4FacilityCount&gt;=4058,F24070=""),"Incomplete","Complete")</f>
        <v>Complete</v>
      </c>
      <c r="I24070" s="48" t="s">
        <v>28435</v>
      </c>
    </row>
    <row r="24071" spans="2:9" ht="15" customHeight="1" x14ac:dyDescent="0.25">
      <c r="B24071" s="55" t="s">
        <v>283</v>
      </c>
      <c r="C24071" s="46">
        <v>4059</v>
      </c>
      <c r="D24071" s="69" t="s">
        <v>29420</v>
      </c>
      <c r="E24071" s="51"/>
      <c r="F24071" s="114" t="str">
        <f>IF(INDEX(I.Facility.P4IDNumber,4059)="","",INDEX(I.Facility.P4IDNumber,4059))</f>
        <v/>
      </c>
      <c r="G24071" s="51"/>
      <c r="H24071" s="46" t="str">
        <f>IF(AND(I.Developer.P4=TRUE,I.Facility.P4FacilityCount&gt;=4059,F24071=""),"Incomplete","Complete")</f>
        <v>Complete</v>
      </c>
      <c r="I24071" s="48" t="s">
        <v>28436</v>
      </c>
    </row>
    <row r="24072" spans="2:9" ht="15" customHeight="1" x14ac:dyDescent="0.25">
      <c r="B24072" s="55" t="s">
        <v>283</v>
      </c>
      <c r="C24072" s="46">
        <v>4060</v>
      </c>
      <c r="D24072" s="69" t="s">
        <v>29420</v>
      </c>
      <c r="E24072" s="51"/>
      <c r="F24072" s="114" t="str">
        <f>IF(INDEX(I.Facility.P4IDNumber,4060)="","",INDEX(I.Facility.P4IDNumber,4060))</f>
        <v/>
      </c>
      <c r="G24072" s="51"/>
      <c r="H24072" s="46" t="str">
        <f>IF(AND(I.Developer.P4=TRUE,I.Facility.P4FacilityCount&gt;=4060,F24072=""),"Incomplete","Complete")</f>
        <v>Complete</v>
      </c>
      <c r="I24072" s="48" t="s">
        <v>28437</v>
      </c>
    </row>
    <row r="24073" spans="2:9" ht="15" customHeight="1" x14ac:dyDescent="0.25">
      <c r="B24073" s="55" t="s">
        <v>283</v>
      </c>
      <c r="C24073" s="46">
        <v>4061</v>
      </c>
      <c r="D24073" s="69" t="s">
        <v>29420</v>
      </c>
      <c r="E24073" s="51"/>
      <c r="F24073" s="114" t="str">
        <f>IF(INDEX(I.Facility.P4IDNumber,4061)="","",INDEX(I.Facility.P4IDNumber,4061))</f>
        <v/>
      </c>
      <c r="G24073" s="51"/>
      <c r="H24073" s="46" t="str">
        <f>IF(AND(I.Developer.P4=TRUE,I.Facility.P4FacilityCount&gt;=4061,F24073=""),"Incomplete","Complete")</f>
        <v>Complete</v>
      </c>
      <c r="I24073" s="48" t="s">
        <v>28438</v>
      </c>
    </row>
    <row r="24074" spans="2:9" ht="15" customHeight="1" x14ac:dyDescent="0.25">
      <c r="B24074" s="55" t="s">
        <v>283</v>
      </c>
      <c r="C24074" s="46">
        <v>4062</v>
      </c>
      <c r="D24074" s="69" t="s">
        <v>29420</v>
      </c>
      <c r="E24074" s="51"/>
      <c r="F24074" s="114" t="str">
        <f>IF(INDEX(I.Facility.P4IDNumber,4062)="","",INDEX(I.Facility.P4IDNumber,4062))</f>
        <v/>
      </c>
      <c r="G24074" s="51"/>
      <c r="H24074" s="46" t="str">
        <f>IF(AND(I.Developer.P4=TRUE,I.Facility.P4FacilityCount&gt;=4062,F24074=""),"Incomplete","Complete")</f>
        <v>Complete</v>
      </c>
      <c r="I24074" s="48" t="s">
        <v>28439</v>
      </c>
    </row>
    <row r="24075" spans="2:9" ht="15" customHeight="1" x14ac:dyDescent="0.25">
      <c r="B24075" s="55" t="s">
        <v>283</v>
      </c>
      <c r="C24075" s="46">
        <v>4063</v>
      </c>
      <c r="D24075" s="69" t="s">
        <v>29420</v>
      </c>
      <c r="E24075" s="51"/>
      <c r="F24075" s="114" t="str">
        <f>IF(INDEX(I.Facility.P4IDNumber,4063)="","",INDEX(I.Facility.P4IDNumber,4063))</f>
        <v/>
      </c>
      <c r="G24075" s="51"/>
      <c r="H24075" s="46" t="str">
        <f>IF(AND(I.Developer.P4=TRUE,I.Facility.P4FacilityCount&gt;=4063,F24075=""),"Incomplete","Complete")</f>
        <v>Complete</v>
      </c>
      <c r="I24075" s="48" t="s">
        <v>28440</v>
      </c>
    </row>
    <row r="24076" spans="2:9" ht="15" customHeight="1" x14ac:dyDescent="0.25">
      <c r="B24076" s="55" t="s">
        <v>283</v>
      </c>
      <c r="C24076" s="46">
        <v>4064</v>
      </c>
      <c r="D24076" s="69" t="s">
        <v>29420</v>
      </c>
      <c r="E24076" s="51"/>
      <c r="F24076" s="114" t="str">
        <f>IF(INDEX(I.Facility.P4IDNumber,4064)="","",INDEX(I.Facility.P4IDNumber,4064))</f>
        <v/>
      </c>
      <c r="G24076" s="51"/>
      <c r="H24076" s="46" t="str">
        <f>IF(AND(I.Developer.P4=TRUE,I.Facility.P4FacilityCount&gt;=4064,F24076=""),"Incomplete","Complete")</f>
        <v>Complete</v>
      </c>
      <c r="I24076" s="48" t="s">
        <v>28441</v>
      </c>
    </row>
    <row r="24077" spans="2:9" ht="15" customHeight="1" x14ac:dyDescent="0.25">
      <c r="B24077" s="55" t="s">
        <v>283</v>
      </c>
      <c r="C24077" s="46">
        <v>4065</v>
      </c>
      <c r="D24077" s="69" t="s">
        <v>29420</v>
      </c>
      <c r="E24077" s="51"/>
      <c r="F24077" s="114" t="str">
        <f>IF(INDEX(I.Facility.P4IDNumber,4065)="","",INDEX(I.Facility.P4IDNumber,4065))</f>
        <v/>
      </c>
      <c r="G24077" s="51"/>
      <c r="H24077" s="46" t="str">
        <f>IF(AND(I.Developer.P4=TRUE,I.Facility.P4FacilityCount&gt;=4065,F24077=""),"Incomplete","Complete")</f>
        <v>Complete</v>
      </c>
      <c r="I24077" s="48" t="s">
        <v>28442</v>
      </c>
    </row>
    <row r="24078" spans="2:9" ht="15" customHeight="1" x14ac:dyDescent="0.25">
      <c r="B24078" s="55" t="s">
        <v>283</v>
      </c>
      <c r="C24078" s="46">
        <v>4066</v>
      </c>
      <c r="D24078" s="69" t="s">
        <v>29420</v>
      </c>
      <c r="E24078" s="51"/>
      <c r="F24078" s="114" t="str">
        <f>IF(INDEX(I.Facility.P4IDNumber,4066)="","",INDEX(I.Facility.P4IDNumber,4066))</f>
        <v/>
      </c>
      <c r="G24078" s="51"/>
      <c r="H24078" s="46" t="str">
        <f>IF(AND(I.Developer.P4=TRUE,I.Facility.P4FacilityCount&gt;=4066,F24078=""),"Incomplete","Complete")</f>
        <v>Complete</v>
      </c>
      <c r="I24078" s="48" t="s">
        <v>28443</v>
      </c>
    </row>
    <row r="24079" spans="2:9" ht="15" customHeight="1" x14ac:dyDescent="0.25">
      <c r="B24079" s="55" t="s">
        <v>283</v>
      </c>
      <c r="C24079" s="46">
        <v>4067</v>
      </c>
      <c r="D24079" s="69" t="s">
        <v>29420</v>
      </c>
      <c r="E24079" s="51"/>
      <c r="F24079" s="114" t="str">
        <f>IF(INDEX(I.Facility.P4IDNumber,4067)="","",INDEX(I.Facility.P4IDNumber,4067))</f>
        <v/>
      </c>
      <c r="G24079" s="51"/>
      <c r="H24079" s="46" t="str">
        <f>IF(AND(I.Developer.P4=TRUE,I.Facility.P4FacilityCount&gt;=4067,F24079=""),"Incomplete","Complete")</f>
        <v>Complete</v>
      </c>
      <c r="I24079" s="48" t="s">
        <v>28444</v>
      </c>
    </row>
    <row r="24080" spans="2:9" ht="15" customHeight="1" x14ac:dyDescent="0.25">
      <c r="B24080" s="55" t="s">
        <v>283</v>
      </c>
      <c r="C24080" s="46">
        <v>4068</v>
      </c>
      <c r="D24080" s="69" t="s">
        <v>29420</v>
      </c>
      <c r="E24080" s="51"/>
      <c r="F24080" s="114" t="str">
        <f>IF(INDEX(I.Facility.P4IDNumber,4068)="","",INDEX(I.Facility.P4IDNumber,4068))</f>
        <v/>
      </c>
      <c r="G24080" s="51"/>
      <c r="H24080" s="46" t="str">
        <f>IF(AND(I.Developer.P4=TRUE,I.Facility.P4FacilityCount&gt;=4068,F24080=""),"Incomplete","Complete")</f>
        <v>Complete</v>
      </c>
      <c r="I24080" s="48" t="s">
        <v>28445</v>
      </c>
    </row>
    <row r="24081" spans="2:9" ht="15" customHeight="1" x14ac:dyDescent="0.25">
      <c r="B24081" s="55" t="s">
        <v>283</v>
      </c>
      <c r="C24081" s="46">
        <v>4069</v>
      </c>
      <c r="D24081" s="69" t="s">
        <v>29420</v>
      </c>
      <c r="E24081" s="51"/>
      <c r="F24081" s="114" t="str">
        <f>IF(INDEX(I.Facility.P4IDNumber,4069)="","",INDEX(I.Facility.P4IDNumber,4069))</f>
        <v/>
      </c>
      <c r="G24081" s="51"/>
      <c r="H24081" s="46" t="str">
        <f>IF(AND(I.Developer.P4=TRUE,I.Facility.P4FacilityCount&gt;=4069,F24081=""),"Incomplete","Complete")</f>
        <v>Complete</v>
      </c>
      <c r="I24081" s="48" t="s">
        <v>28446</v>
      </c>
    </row>
    <row r="24082" spans="2:9" ht="15" customHeight="1" x14ac:dyDescent="0.25">
      <c r="B24082" s="55" t="s">
        <v>283</v>
      </c>
      <c r="C24082" s="46">
        <v>4070</v>
      </c>
      <c r="D24082" s="69" t="s">
        <v>29420</v>
      </c>
      <c r="E24082" s="51"/>
      <c r="F24082" s="114" t="str">
        <f>IF(INDEX(I.Facility.P4IDNumber,4070)="","",INDEX(I.Facility.P4IDNumber,4070))</f>
        <v/>
      </c>
      <c r="G24082" s="51"/>
      <c r="H24082" s="46" t="str">
        <f>IF(AND(I.Developer.P4=TRUE,I.Facility.P4FacilityCount&gt;=4070,F24082=""),"Incomplete","Complete")</f>
        <v>Complete</v>
      </c>
      <c r="I24082" s="48" t="s">
        <v>28447</v>
      </c>
    </row>
    <row r="24083" spans="2:9" ht="15" customHeight="1" x14ac:dyDescent="0.25">
      <c r="B24083" s="55" t="s">
        <v>283</v>
      </c>
      <c r="C24083" s="46">
        <v>4071</v>
      </c>
      <c r="D24083" s="69" t="s">
        <v>29420</v>
      </c>
      <c r="E24083" s="51"/>
      <c r="F24083" s="114" t="str">
        <f>IF(INDEX(I.Facility.P4IDNumber,4071)="","",INDEX(I.Facility.P4IDNumber,4071))</f>
        <v/>
      </c>
      <c r="G24083" s="51"/>
      <c r="H24083" s="46" t="str">
        <f>IF(AND(I.Developer.P4=TRUE,I.Facility.P4FacilityCount&gt;=4071,F24083=""),"Incomplete","Complete")</f>
        <v>Complete</v>
      </c>
      <c r="I24083" s="48" t="s">
        <v>28448</v>
      </c>
    </row>
    <row r="24084" spans="2:9" ht="15" customHeight="1" x14ac:dyDescent="0.25">
      <c r="B24084" s="55" t="s">
        <v>283</v>
      </c>
      <c r="C24084" s="46">
        <v>4072</v>
      </c>
      <c r="D24084" s="69" t="s">
        <v>29420</v>
      </c>
      <c r="E24084" s="51"/>
      <c r="F24084" s="114" t="str">
        <f>IF(INDEX(I.Facility.P4IDNumber,4072)="","",INDEX(I.Facility.P4IDNumber,4072))</f>
        <v/>
      </c>
      <c r="G24084" s="51"/>
      <c r="H24084" s="46" t="str">
        <f>IF(AND(I.Developer.P4=TRUE,I.Facility.P4FacilityCount&gt;=4072,F24084=""),"Incomplete","Complete")</f>
        <v>Complete</v>
      </c>
      <c r="I24084" s="48" t="s">
        <v>28449</v>
      </c>
    </row>
    <row r="24085" spans="2:9" ht="15" customHeight="1" x14ac:dyDescent="0.25">
      <c r="B24085" s="55" t="s">
        <v>283</v>
      </c>
      <c r="C24085" s="46">
        <v>4073</v>
      </c>
      <c r="D24085" s="69" t="s">
        <v>29420</v>
      </c>
      <c r="E24085" s="51"/>
      <c r="F24085" s="114" t="str">
        <f>IF(INDEX(I.Facility.P4IDNumber,4073)="","",INDEX(I.Facility.P4IDNumber,4073))</f>
        <v/>
      </c>
      <c r="G24085" s="51"/>
      <c r="H24085" s="46" t="str">
        <f>IF(AND(I.Developer.P4=TRUE,I.Facility.P4FacilityCount&gt;=4073,F24085=""),"Incomplete","Complete")</f>
        <v>Complete</v>
      </c>
      <c r="I24085" s="48" t="s">
        <v>28450</v>
      </c>
    </row>
    <row r="24086" spans="2:9" ht="15" customHeight="1" x14ac:dyDescent="0.25">
      <c r="B24086" s="55" t="s">
        <v>283</v>
      </c>
      <c r="C24086" s="46">
        <v>4074</v>
      </c>
      <c r="D24086" s="69" t="s">
        <v>29420</v>
      </c>
      <c r="E24086" s="51"/>
      <c r="F24086" s="114" t="str">
        <f>IF(INDEX(I.Facility.P4IDNumber,4074)="","",INDEX(I.Facility.P4IDNumber,4074))</f>
        <v/>
      </c>
      <c r="G24086" s="51"/>
      <c r="H24086" s="46" t="str">
        <f>IF(AND(I.Developer.P4=TRUE,I.Facility.P4FacilityCount&gt;=4074,F24086=""),"Incomplete","Complete")</f>
        <v>Complete</v>
      </c>
      <c r="I24086" s="48" t="s">
        <v>28451</v>
      </c>
    </row>
    <row r="24087" spans="2:9" ht="15" customHeight="1" x14ac:dyDescent="0.25">
      <c r="B24087" s="55" t="s">
        <v>283</v>
      </c>
      <c r="C24087" s="46">
        <v>4075</v>
      </c>
      <c r="D24087" s="69" t="s">
        <v>29420</v>
      </c>
      <c r="E24087" s="51"/>
      <c r="F24087" s="114" t="str">
        <f>IF(INDEX(I.Facility.P4IDNumber,4075)="","",INDEX(I.Facility.P4IDNumber,4075))</f>
        <v/>
      </c>
      <c r="G24087" s="51"/>
      <c r="H24087" s="46" t="str">
        <f>IF(AND(I.Developer.P4=TRUE,I.Facility.P4FacilityCount&gt;=4075,F24087=""),"Incomplete","Complete")</f>
        <v>Complete</v>
      </c>
      <c r="I24087" s="48" t="s">
        <v>28452</v>
      </c>
    </row>
    <row r="24088" spans="2:9" ht="15" customHeight="1" x14ac:dyDescent="0.25">
      <c r="B24088" s="55" t="s">
        <v>283</v>
      </c>
      <c r="C24088" s="46">
        <v>4076</v>
      </c>
      <c r="D24088" s="69" t="s">
        <v>29420</v>
      </c>
      <c r="E24088" s="51"/>
      <c r="F24088" s="114" t="str">
        <f>IF(INDEX(I.Facility.P4IDNumber,4076)="","",INDEX(I.Facility.P4IDNumber,4076))</f>
        <v/>
      </c>
      <c r="G24088" s="51"/>
      <c r="H24088" s="46" t="str">
        <f>IF(AND(I.Developer.P4=TRUE,I.Facility.P4FacilityCount&gt;=4076,F24088=""),"Incomplete","Complete")</f>
        <v>Complete</v>
      </c>
      <c r="I24088" s="48" t="s">
        <v>28453</v>
      </c>
    </row>
    <row r="24089" spans="2:9" ht="15" customHeight="1" x14ac:dyDescent="0.25">
      <c r="B24089" s="55" t="s">
        <v>283</v>
      </c>
      <c r="C24089" s="46">
        <v>4077</v>
      </c>
      <c r="D24089" s="69" t="s">
        <v>29420</v>
      </c>
      <c r="E24089" s="51"/>
      <c r="F24089" s="114" t="str">
        <f>IF(INDEX(I.Facility.P4IDNumber,4077)="","",INDEX(I.Facility.P4IDNumber,4077))</f>
        <v/>
      </c>
      <c r="G24089" s="51"/>
      <c r="H24089" s="46" t="str">
        <f>IF(AND(I.Developer.P4=TRUE,I.Facility.P4FacilityCount&gt;=4077,F24089=""),"Incomplete","Complete")</f>
        <v>Complete</v>
      </c>
      <c r="I24089" s="48" t="s">
        <v>28454</v>
      </c>
    </row>
    <row r="24090" spans="2:9" ht="15" customHeight="1" x14ac:dyDescent="0.25">
      <c r="B24090" s="55" t="s">
        <v>283</v>
      </c>
      <c r="C24090" s="46">
        <v>4078</v>
      </c>
      <c r="D24090" s="69" t="s">
        <v>29420</v>
      </c>
      <c r="E24090" s="51"/>
      <c r="F24090" s="114" t="str">
        <f>IF(INDEX(I.Facility.P4IDNumber,4078)="","",INDEX(I.Facility.P4IDNumber,4078))</f>
        <v/>
      </c>
      <c r="G24090" s="51"/>
      <c r="H24090" s="46" t="str">
        <f>IF(AND(I.Developer.P4=TRUE,I.Facility.P4FacilityCount&gt;=4078,F24090=""),"Incomplete","Complete")</f>
        <v>Complete</v>
      </c>
      <c r="I24090" s="48" t="s">
        <v>28455</v>
      </c>
    </row>
    <row r="24091" spans="2:9" ht="15" customHeight="1" x14ac:dyDescent="0.25">
      <c r="B24091" s="55" t="s">
        <v>283</v>
      </c>
      <c r="C24091" s="46">
        <v>4079</v>
      </c>
      <c r="D24091" s="69" t="s">
        <v>29420</v>
      </c>
      <c r="E24091" s="51"/>
      <c r="F24091" s="114" t="str">
        <f>IF(INDEX(I.Facility.P4IDNumber,4079)="","",INDEX(I.Facility.P4IDNumber,4079))</f>
        <v/>
      </c>
      <c r="G24091" s="51"/>
      <c r="H24091" s="46" t="str">
        <f>IF(AND(I.Developer.P4=TRUE,I.Facility.P4FacilityCount&gt;=4079,F24091=""),"Incomplete","Complete")</f>
        <v>Complete</v>
      </c>
      <c r="I24091" s="48" t="s">
        <v>28456</v>
      </c>
    </row>
    <row r="24092" spans="2:9" ht="15" customHeight="1" x14ac:dyDescent="0.25">
      <c r="B24092" s="55" t="s">
        <v>283</v>
      </c>
      <c r="C24092" s="46">
        <v>4080</v>
      </c>
      <c r="D24092" s="69" t="s">
        <v>29420</v>
      </c>
      <c r="E24092" s="51"/>
      <c r="F24092" s="114" t="str">
        <f>IF(INDEX(I.Facility.P4IDNumber,4080)="","",INDEX(I.Facility.P4IDNumber,4080))</f>
        <v/>
      </c>
      <c r="G24092" s="51"/>
      <c r="H24092" s="46" t="str">
        <f>IF(AND(I.Developer.P4=TRUE,I.Facility.P4FacilityCount&gt;=4080,F24092=""),"Incomplete","Complete")</f>
        <v>Complete</v>
      </c>
      <c r="I24092" s="48" t="s">
        <v>28457</v>
      </c>
    </row>
    <row r="24093" spans="2:9" ht="15" customHeight="1" x14ac:dyDescent="0.25">
      <c r="B24093" s="55" t="s">
        <v>283</v>
      </c>
      <c r="C24093" s="46">
        <v>4081</v>
      </c>
      <c r="D24093" s="69" t="s">
        <v>29420</v>
      </c>
      <c r="E24093" s="51"/>
      <c r="F24093" s="114" t="str">
        <f>IF(INDEX(I.Facility.P4IDNumber,4081)="","",INDEX(I.Facility.P4IDNumber,4081))</f>
        <v/>
      </c>
      <c r="G24093" s="51"/>
      <c r="H24093" s="46" t="str">
        <f>IF(AND(I.Developer.P4=TRUE,I.Facility.P4FacilityCount&gt;=4081,F24093=""),"Incomplete","Complete")</f>
        <v>Complete</v>
      </c>
      <c r="I24093" s="48" t="s">
        <v>28458</v>
      </c>
    </row>
    <row r="24094" spans="2:9" ht="15" customHeight="1" x14ac:dyDescent="0.25">
      <c r="B24094" s="55" t="s">
        <v>283</v>
      </c>
      <c r="C24094" s="46">
        <v>4082</v>
      </c>
      <c r="D24094" s="69" t="s">
        <v>29420</v>
      </c>
      <c r="E24094" s="51"/>
      <c r="F24094" s="114" t="str">
        <f>IF(INDEX(I.Facility.P4IDNumber,4082)="","",INDEX(I.Facility.P4IDNumber,4082))</f>
        <v/>
      </c>
      <c r="G24094" s="51"/>
      <c r="H24094" s="46" t="str">
        <f>IF(AND(I.Developer.P4=TRUE,I.Facility.P4FacilityCount&gt;=4082,F24094=""),"Incomplete","Complete")</f>
        <v>Complete</v>
      </c>
      <c r="I24094" s="48" t="s">
        <v>28459</v>
      </c>
    </row>
    <row r="24095" spans="2:9" ht="15" customHeight="1" x14ac:dyDescent="0.25">
      <c r="B24095" s="55" t="s">
        <v>283</v>
      </c>
      <c r="C24095" s="46">
        <v>4083</v>
      </c>
      <c r="D24095" s="69" t="s">
        <v>29420</v>
      </c>
      <c r="E24095" s="51"/>
      <c r="F24095" s="114" t="str">
        <f>IF(INDEX(I.Facility.P4IDNumber,4083)="","",INDEX(I.Facility.P4IDNumber,4083))</f>
        <v/>
      </c>
      <c r="G24095" s="51"/>
      <c r="H24095" s="46" t="str">
        <f>IF(AND(I.Developer.P4=TRUE,I.Facility.P4FacilityCount&gt;=4083,F24095=""),"Incomplete","Complete")</f>
        <v>Complete</v>
      </c>
      <c r="I24095" s="48" t="s">
        <v>28460</v>
      </c>
    </row>
    <row r="24096" spans="2:9" ht="15" customHeight="1" x14ac:dyDescent="0.25">
      <c r="B24096" s="55" t="s">
        <v>283</v>
      </c>
      <c r="C24096" s="46">
        <v>4084</v>
      </c>
      <c r="D24096" s="69" t="s">
        <v>29420</v>
      </c>
      <c r="E24096" s="51"/>
      <c r="F24096" s="114" t="str">
        <f>IF(INDEX(I.Facility.P4IDNumber,4084)="","",INDEX(I.Facility.P4IDNumber,4084))</f>
        <v/>
      </c>
      <c r="G24096" s="51"/>
      <c r="H24096" s="46" t="str">
        <f>IF(AND(I.Developer.P4=TRUE,I.Facility.P4FacilityCount&gt;=4084,F24096=""),"Incomplete","Complete")</f>
        <v>Complete</v>
      </c>
      <c r="I24096" s="48" t="s">
        <v>28461</v>
      </c>
    </row>
    <row r="24097" spans="2:9" ht="15" customHeight="1" x14ac:dyDescent="0.25">
      <c r="B24097" s="55" t="s">
        <v>283</v>
      </c>
      <c r="C24097" s="46">
        <v>4085</v>
      </c>
      <c r="D24097" s="69" t="s">
        <v>29420</v>
      </c>
      <c r="E24097" s="51"/>
      <c r="F24097" s="114" t="str">
        <f>IF(INDEX(I.Facility.P4IDNumber,4085)="","",INDEX(I.Facility.P4IDNumber,4085))</f>
        <v/>
      </c>
      <c r="G24097" s="51"/>
      <c r="H24097" s="46" t="str">
        <f>IF(AND(I.Developer.P4=TRUE,I.Facility.P4FacilityCount&gt;=4085,F24097=""),"Incomplete","Complete")</f>
        <v>Complete</v>
      </c>
      <c r="I24097" s="48" t="s">
        <v>28462</v>
      </c>
    </row>
    <row r="24098" spans="2:9" ht="15" customHeight="1" x14ac:dyDescent="0.25">
      <c r="B24098" s="55" t="s">
        <v>283</v>
      </c>
      <c r="C24098" s="46">
        <v>4086</v>
      </c>
      <c r="D24098" s="69" t="s">
        <v>29420</v>
      </c>
      <c r="E24098" s="51"/>
      <c r="F24098" s="114" t="str">
        <f>IF(INDEX(I.Facility.P4IDNumber,4086)="","",INDEX(I.Facility.P4IDNumber,4086))</f>
        <v/>
      </c>
      <c r="G24098" s="51"/>
      <c r="H24098" s="46" t="str">
        <f>IF(AND(I.Developer.P4=TRUE,I.Facility.P4FacilityCount&gt;=4086,F24098=""),"Incomplete","Complete")</f>
        <v>Complete</v>
      </c>
      <c r="I24098" s="48" t="s">
        <v>28463</v>
      </c>
    </row>
    <row r="24099" spans="2:9" ht="15" customHeight="1" x14ac:dyDescent="0.25">
      <c r="B24099" s="55" t="s">
        <v>283</v>
      </c>
      <c r="C24099" s="46">
        <v>4087</v>
      </c>
      <c r="D24099" s="69" t="s">
        <v>29420</v>
      </c>
      <c r="E24099" s="51"/>
      <c r="F24099" s="114" t="str">
        <f>IF(INDEX(I.Facility.P4IDNumber,4087)="","",INDEX(I.Facility.P4IDNumber,4087))</f>
        <v/>
      </c>
      <c r="G24099" s="51"/>
      <c r="H24099" s="46" t="str">
        <f>IF(AND(I.Developer.P4=TRUE,I.Facility.P4FacilityCount&gt;=4087,F24099=""),"Incomplete","Complete")</f>
        <v>Complete</v>
      </c>
      <c r="I24099" s="48" t="s">
        <v>28464</v>
      </c>
    </row>
    <row r="24100" spans="2:9" ht="15" customHeight="1" x14ac:dyDescent="0.25">
      <c r="B24100" s="55" t="s">
        <v>283</v>
      </c>
      <c r="C24100" s="46">
        <v>4088</v>
      </c>
      <c r="D24100" s="69" t="s">
        <v>29420</v>
      </c>
      <c r="E24100" s="51"/>
      <c r="F24100" s="114" t="str">
        <f>IF(INDEX(I.Facility.P4IDNumber,4088)="","",INDEX(I.Facility.P4IDNumber,4088))</f>
        <v/>
      </c>
      <c r="G24100" s="51"/>
      <c r="H24100" s="46" t="str">
        <f>IF(AND(I.Developer.P4=TRUE,I.Facility.P4FacilityCount&gt;=4088,F24100=""),"Incomplete","Complete")</f>
        <v>Complete</v>
      </c>
      <c r="I24100" s="48" t="s">
        <v>28465</v>
      </c>
    </row>
    <row r="24101" spans="2:9" ht="15" customHeight="1" x14ac:dyDescent="0.25">
      <c r="B24101" s="55" t="s">
        <v>283</v>
      </c>
      <c r="C24101" s="46">
        <v>4089</v>
      </c>
      <c r="D24101" s="69" t="s">
        <v>29420</v>
      </c>
      <c r="E24101" s="51"/>
      <c r="F24101" s="114" t="str">
        <f>IF(INDEX(I.Facility.P4IDNumber,4089)="","",INDEX(I.Facility.P4IDNumber,4089))</f>
        <v/>
      </c>
      <c r="G24101" s="51"/>
      <c r="H24101" s="46" t="str">
        <f>IF(AND(I.Developer.P4=TRUE,I.Facility.P4FacilityCount&gt;=4089,F24101=""),"Incomplete","Complete")</f>
        <v>Complete</v>
      </c>
      <c r="I24101" s="48" t="s">
        <v>28466</v>
      </c>
    </row>
    <row r="24102" spans="2:9" ht="15" customHeight="1" x14ac:dyDescent="0.25">
      <c r="B24102" s="55" t="s">
        <v>283</v>
      </c>
      <c r="C24102" s="46">
        <v>4090</v>
      </c>
      <c r="D24102" s="69" t="s">
        <v>29420</v>
      </c>
      <c r="E24102" s="51"/>
      <c r="F24102" s="114" t="str">
        <f>IF(INDEX(I.Facility.P4IDNumber,4090)="","",INDEX(I.Facility.P4IDNumber,4090))</f>
        <v/>
      </c>
      <c r="G24102" s="51"/>
      <c r="H24102" s="46" t="str">
        <f>IF(AND(I.Developer.P4=TRUE,I.Facility.P4FacilityCount&gt;=4090,F24102=""),"Incomplete","Complete")</f>
        <v>Complete</v>
      </c>
      <c r="I24102" s="48" t="s">
        <v>28467</v>
      </c>
    </row>
    <row r="24103" spans="2:9" ht="15" customHeight="1" x14ac:dyDescent="0.25">
      <c r="B24103" s="55" t="s">
        <v>283</v>
      </c>
      <c r="C24103" s="46">
        <v>4091</v>
      </c>
      <c r="D24103" s="69" t="s">
        <v>29420</v>
      </c>
      <c r="E24103" s="51"/>
      <c r="F24103" s="114" t="str">
        <f>IF(INDEX(I.Facility.P4IDNumber,4091)="","",INDEX(I.Facility.P4IDNumber,4091))</f>
        <v/>
      </c>
      <c r="G24103" s="51"/>
      <c r="H24103" s="46" t="str">
        <f>IF(AND(I.Developer.P4=TRUE,I.Facility.P4FacilityCount&gt;=4091,F24103=""),"Incomplete","Complete")</f>
        <v>Complete</v>
      </c>
      <c r="I24103" s="48" t="s">
        <v>28468</v>
      </c>
    </row>
    <row r="24104" spans="2:9" ht="15" customHeight="1" x14ac:dyDescent="0.25">
      <c r="B24104" s="55" t="s">
        <v>283</v>
      </c>
      <c r="C24104" s="46">
        <v>4092</v>
      </c>
      <c r="D24104" s="69" t="s">
        <v>29420</v>
      </c>
      <c r="E24104" s="51"/>
      <c r="F24104" s="114" t="str">
        <f>IF(INDEX(I.Facility.P4IDNumber,4092)="","",INDEX(I.Facility.P4IDNumber,4092))</f>
        <v/>
      </c>
      <c r="G24104" s="51"/>
      <c r="H24104" s="46" t="str">
        <f>IF(AND(I.Developer.P4=TRUE,I.Facility.P4FacilityCount&gt;=4092,F24104=""),"Incomplete","Complete")</f>
        <v>Complete</v>
      </c>
      <c r="I24104" s="48" t="s">
        <v>28469</v>
      </c>
    </row>
    <row r="24105" spans="2:9" ht="15" customHeight="1" x14ac:dyDescent="0.25">
      <c r="B24105" s="55" t="s">
        <v>283</v>
      </c>
      <c r="C24105" s="46">
        <v>4093</v>
      </c>
      <c r="D24105" s="69" t="s">
        <v>29420</v>
      </c>
      <c r="E24105" s="51"/>
      <c r="F24105" s="114" t="str">
        <f>IF(INDEX(I.Facility.P4IDNumber,4093)="","",INDEX(I.Facility.P4IDNumber,4093))</f>
        <v/>
      </c>
      <c r="G24105" s="51"/>
      <c r="H24105" s="46" t="str">
        <f>IF(AND(I.Developer.P4=TRUE,I.Facility.P4FacilityCount&gt;=4093,F24105=""),"Incomplete","Complete")</f>
        <v>Complete</v>
      </c>
      <c r="I24105" s="48" t="s">
        <v>28470</v>
      </c>
    </row>
    <row r="24106" spans="2:9" ht="15" customHeight="1" x14ac:dyDescent="0.25">
      <c r="B24106" s="55" t="s">
        <v>283</v>
      </c>
      <c r="C24106" s="46">
        <v>4094</v>
      </c>
      <c r="D24106" s="69" t="s">
        <v>29420</v>
      </c>
      <c r="E24106" s="51"/>
      <c r="F24106" s="114" t="str">
        <f>IF(INDEX(I.Facility.P4IDNumber,4094)="","",INDEX(I.Facility.P4IDNumber,4094))</f>
        <v/>
      </c>
      <c r="G24106" s="51"/>
      <c r="H24106" s="46" t="str">
        <f>IF(AND(I.Developer.P4=TRUE,I.Facility.P4FacilityCount&gt;=4094,F24106=""),"Incomplete","Complete")</f>
        <v>Complete</v>
      </c>
      <c r="I24106" s="48" t="s">
        <v>28471</v>
      </c>
    </row>
    <row r="24107" spans="2:9" ht="15" customHeight="1" x14ac:dyDescent="0.25">
      <c r="B24107" s="55" t="s">
        <v>283</v>
      </c>
      <c r="C24107" s="46">
        <v>4095</v>
      </c>
      <c r="D24107" s="69" t="s">
        <v>29420</v>
      </c>
      <c r="E24107" s="51"/>
      <c r="F24107" s="114" t="str">
        <f>IF(INDEX(I.Facility.P4IDNumber,4095)="","",INDEX(I.Facility.P4IDNumber,4095))</f>
        <v/>
      </c>
      <c r="G24107" s="51"/>
      <c r="H24107" s="46" t="str">
        <f>IF(AND(I.Developer.P4=TRUE,I.Facility.P4FacilityCount&gt;=4095,F24107=""),"Incomplete","Complete")</f>
        <v>Complete</v>
      </c>
      <c r="I24107" s="48" t="s">
        <v>28472</v>
      </c>
    </row>
    <row r="24108" spans="2:9" ht="15" customHeight="1" x14ac:dyDescent="0.25">
      <c r="B24108" s="55" t="s">
        <v>283</v>
      </c>
      <c r="C24108" s="46">
        <v>4096</v>
      </c>
      <c r="D24108" s="69" t="s">
        <v>29420</v>
      </c>
      <c r="E24108" s="51"/>
      <c r="F24108" s="114" t="str">
        <f>IF(INDEX(I.Facility.P4IDNumber,4096)="","",INDEX(I.Facility.P4IDNumber,4096))</f>
        <v/>
      </c>
      <c r="G24108" s="51"/>
      <c r="H24108" s="46" t="str">
        <f>IF(AND(I.Developer.P4=TRUE,I.Facility.P4FacilityCount&gt;=4096,F24108=""),"Incomplete","Complete")</f>
        <v>Complete</v>
      </c>
      <c r="I24108" s="48" t="s">
        <v>28473</v>
      </c>
    </row>
    <row r="24109" spans="2:9" ht="15" customHeight="1" x14ac:dyDescent="0.25">
      <c r="B24109" s="55" t="s">
        <v>283</v>
      </c>
      <c r="C24109" s="46">
        <v>4097</v>
      </c>
      <c r="D24109" s="69" t="s">
        <v>29420</v>
      </c>
      <c r="E24109" s="51"/>
      <c r="F24109" s="114" t="str">
        <f>IF(INDEX(I.Facility.P4IDNumber,4097)="","",INDEX(I.Facility.P4IDNumber,4097))</f>
        <v/>
      </c>
      <c r="G24109" s="51"/>
      <c r="H24109" s="46" t="str">
        <f>IF(AND(I.Developer.P4=TRUE,I.Facility.P4FacilityCount&gt;=4097,F24109=""),"Incomplete","Complete")</f>
        <v>Complete</v>
      </c>
      <c r="I24109" s="48" t="s">
        <v>28474</v>
      </c>
    </row>
    <row r="24110" spans="2:9" ht="15" customHeight="1" x14ac:dyDescent="0.25">
      <c r="B24110" s="55" t="s">
        <v>283</v>
      </c>
      <c r="C24110" s="46">
        <v>4098</v>
      </c>
      <c r="D24110" s="69" t="s">
        <v>29420</v>
      </c>
      <c r="E24110" s="51"/>
      <c r="F24110" s="114" t="str">
        <f>IF(INDEX(I.Facility.P4IDNumber,4098)="","",INDEX(I.Facility.P4IDNumber,4098))</f>
        <v/>
      </c>
      <c r="G24110" s="51"/>
      <c r="H24110" s="46" t="str">
        <f>IF(AND(I.Developer.P4=TRUE,I.Facility.P4FacilityCount&gt;=4098,F24110=""),"Incomplete","Complete")</f>
        <v>Complete</v>
      </c>
      <c r="I24110" s="48" t="s">
        <v>28475</v>
      </c>
    </row>
    <row r="24111" spans="2:9" ht="15" customHeight="1" x14ac:dyDescent="0.25">
      <c r="B24111" s="55" t="s">
        <v>283</v>
      </c>
      <c r="C24111" s="46">
        <v>4099</v>
      </c>
      <c r="D24111" s="69" t="s">
        <v>29420</v>
      </c>
      <c r="E24111" s="51"/>
      <c r="F24111" s="114" t="str">
        <f>IF(INDEX(I.Facility.P4IDNumber,4099)="","",INDEX(I.Facility.P4IDNumber,4099))</f>
        <v/>
      </c>
      <c r="G24111" s="51"/>
      <c r="H24111" s="46" t="str">
        <f>IF(AND(I.Developer.P4=TRUE,I.Facility.P4FacilityCount&gt;=4099,F24111=""),"Incomplete","Complete")</f>
        <v>Complete</v>
      </c>
      <c r="I24111" s="48" t="s">
        <v>28476</v>
      </c>
    </row>
    <row r="24112" spans="2:9" ht="15" customHeight="1" x14ac:dyDescent="0.25">
      <c r="B24112" s="55" t="s">
        <v>283</v>
      </c>
      <c r="C24112" s="46">
        <v>4100</v>
      </c>
      <c r="D24112" s="69" t="s">
        <v>29420</v>
      </c>
      <c r="E24112" s="51"/>
      <c r="F24112" s="114" t="str">
        <f>IF(INDEX(I.Facility.P4IDNumber,4100)="","",INDEX(I.Facility.P4IDNumber,4100))</f>
        <v/>
      </c>
      <c r="G24112" s="51"/>
      <c r="H24112" s="46" t="str">
        <f>IF(AND(I.Developer.P4=TRUE,I.Facility.P4FacilityCount&gt;=4100,F24112=""),"Incomplete","Complete")</f>
        <v>Complete</v>
      </c>
      <c r="I24112" s="48" t="s">
        <v>28477</v>
      </c>
    </row>
    <row r="24113" spans="2:9" ht="15" customHeight="1" x14ac:dyDescent="0.25">
      <c r="B24113" s="55" t="s">
        <v>283</v>
      </c>
      <c r="C24113" s="46">
        <v>4101</v>
      </c>
      <c r="D24113" s="69" t="s">
        <v>29420</v>
      </c>
      <c r="E24113" s="51"/>
      <c r="F24113" s="114" t="str">
        <f>IF(INDEX(I.Facility.P4IDNumber,4101)="","",INDEX(I.Facility.P4IDNumber,4101))</f>
        <v/>
      </c>
      <c r="G24113" s="51"/>
      <c r="H24113" s="46" t="str">
        <f>IF(AND(I.Developer.P4=TRUE,I.Facility.P4FacilityCount&gt;=4101,F24113=""),"Incomplete","Complete")</f>
        <v>Complete</v>
      </c>
      <c r="I24113" s="48" t="s">
        <v>28478</v>
      </c>
    </row>
    <row r="24114" spans="2:9" ht="15" customHeight="1" x14ac:dyDescent="0.25">
      <c r="B24114" s="55" t="s">
        <v>283</v>
      </c>
      <c r="C24114" s="46">
        <v>4102</v>
      </c>
      <c r="D24114" s="69" t="s">
        <v>29420</v>
      </c>
      <c r="E24114" s="51"/>
      <c r="F24114" s="114" t="str">
        <f>IF(INDEX(I.Facility.P4IDNumber,4102)="","",INDEX(I.Facility.P4IDNumber,4102))</f>
        <v/>
      </c>
      <c r="G24114" s="51"/>
      <c r="H24114" s="46" t="str">
        <f>IF(AND(I.Developer.P4=TRUE,I.Facility.P4FacilityCount&gt;=4102,F24114=""),"Incomplete","Complete")</f>
        <v>Complete</v>
      </c>
      <c r="I24114" s="48" t="s">
        <v>28479</v>
      </c>
    </row>
    <row r="24115" spans="2:9" ht="15" customHeight="1" x14ac:dyDescent="0.25">
      <c r="B24115" s="55" t="s">
        <v>283</v>
      </c>
      <c r="C24115" s="46">
        <v>4103</v>
      </c>
      <c r="D24115" s="69" t="s">
        <v>29420</v>
      </c>
      <c r="E24115" s="51"/>
      <c r="F24115" s="114" t="str">
        <f>IF(INDEX(I.Facility.P4IDNumber,4103)="","",INDEX(I.Facility.P4IDNumber,4103))</f>
        <v/>
      </c>
      <c r="G24115" s="51"/>
      <c r="H24115" s="46" t="str">
        <f>IF(AND(I.Developer.P4=TRUE,I.Facility.P4FacilityCount&gt;=4103,F24115=""),"Incomplete","Complete")</f>
        <v>Complete</v>
      </c>
      <c r="I24115" s="48" t="s">
        <v>28480</v>
      </c>
    </row>
    <row r="24116" spans="2:9" ht="15" customHeight="1" x14ac:dyDescent="0.25">
      <c r="B24116" s="55" t="s">
        <v>283</v>
      </c>
      <c r="C24116" s="46">
        <v>4104</v>
      </c>
      <c r="D24116" s="69" t="s">
        <v>29420</v>
      </c>
      <c r="E24116" s="51"/>
      <c r="F24116" s="114" t="str">
        <f>IF(INDEX(I.Facility.P4IDNumber,4104)="","",INDEX(I.Facility.P4IDNumber,4104))</f>
        <v/>
      </c>
      <c r="G24116" s="51"/>
      <c r="H24116" s="46" t="str">
        <f>IF(AND(I.Developer.P4=TRUE,I.Facility.P4FacilityCount&gt;=4104,F24116=""),"Incomplete","Complete")</f>
        <v>Complete</v>
      </c>
      <c r="I24116" s="48" t="s">
        <v>28481</v>
      </c>
    </row>
    <row r="24117" spans="2:9" ht="15" customHeight="1" x14ac:dyDescent="0.25">
      <c r="B24117" s="55" t="s">
        <v>283</v>
      </c>
      <c r="C24117" s="46">
        <v>4105</v>
      </c>
      <c r="D24117" s="69" t="s">
        <v>29420</v>
      </c>
      <c r="E24117" s="51"/>
      <c r="F24117" s="114" t="str">
        <f>IF(INDEX(I.Facility.P4IDNumber,4105)="","",INDEX(I.Facility.P4IDNumber,4105))</f>
        <v/>
      </c>
      <c r="G24117" s="51"/>
      <c r="H24117" s="46" t="str">
        <f>IF(AND(I.Developer.P4=TRUE,I.Facility.P4FacilityCount&gt;=4105,F24117=""),"Incomplete","Complete")</f>
        <v>Complete</v>
      </c>
      <c r="I24117" s="48" t="s">
        <v>28482</v>
      </c>
    </row>
    <row r="24118" spans="2:9" ht="15" customHeight="1" x14ac:dyDescent="0.25">
      <c r="B24118" s="55" t="s">
        <v>283</v>
      </c>
      <c r="C24118" s="46">
        <v>4106</v>
      </c>
      <c r="D24118" s="69" t="s">
        <v>29420</v>
      </c>
      <c r="E24118" s="51"/>
      <c r="F24118" s="114" t="str">
        <f>IF(INDEX(I.Facility.P4IDNumber,4106)="","",INDEX(I.Facility.P4IDNumber,4106))</f>
        <v/>
      </c>
      <c r="G24118" s="51"/>
      <c r="H24118" s="46" t="str">
        <f>IF(AND(I.Developer.P4=TRUE,I.Facility.P4FacilityCount&gt;=4106,F24118=""),"Incomplete","Complete")</f>
        <v>Complete</v>
      </c>
      <c r="I24118" s="48" t="s">
        <v>28483</v>
      </c>
    </row>
    <row r="24119" spans="2:9" ht="15" customHeight="1" x14ac:dyDescent="0.25">
      <c r="B24119" s="55" t="s">
        <v>283</v>
      </c>
      <c r="C24119" s="46">
        <v>4107</v>
      </c>
      <c r="D24119" s="69" t="s">
        <v>29420</v>
      </c>
      <c r="E24119" s="51"/>
      <c r="F24119" s="114" t="str">
        <f>IF(INDEX(I.Facility.P4IDNumber,4107)="","",INDEX(I.Facility.P4IDNumber,4107))</f>
        <v/>
      </c>
      <c r="G24119" s="51"/>
      <c r="H24119" s="46" t="str">
        <f>IF(AND(I.Developer.P4=TRUE,I.Facility.P4FacilityCount&gt;=4107,F24119=""),"Incomplete","Complete")</f>
        <v>Complete</v>
      </c>
      <c r="I24119" s="48" t="s">
        <v>28484</v>
      </c>
    </row>
    <row r="24120" spans="2:9" ht="15" customHeight="1" x14ac:dyDescent="0.25">
      <c r="B24120" s="55" t="s">
        <v>283</v>
      </c>
      <c r="C24120" s="46">
        <v>4108</v>
      </c>
      <c r="D24120" s="69" t="s">
        <v>29420</v>
      </c>
      <c r="E24120" s="51"/>
      <c r="F24120" s="114" t="str">
        <f>IF(INDEX(I.Facility.P4IDNumber,4108)="","",INDEX(I.Facility.P4IDNumber,4108))</f>
        <v/>
      </c>
      <c r="G24120" s="51"/>
      <c r="H24120" s="46" t="str">
        <f>IF(AND(I.Developer.P4=TRUE,I.Facility.P4FacilityCount&gt;=4108,F24120=""),"Incomplete","Complete")</f>
        <v>Complete</v>
      </c>
      <c r="I24120" s="48" t="s">
        <v>28485</v>
      </c>
    </row>
    <row r="24121" spans="2:9" ht="15" customHeight="1" x14ac:dyDescent="0.25">
      <c r="B24121" s="55" t="s">
        <v>283</v>
      </c>
      <c r="C24121" s="46">
        <v>4109</v>
      </c>
      <c r="D24121" s="69" t="s">
        <v>29420</v>
      </c>
      <c r="E24121" s="51"/>
      <c r="F24121" s="114" t="str">
        <f>IF(INDEX(I.Facility.P4IDNumber,4109)="","",INDEX(I.Facility.P4IDNumber,4109))</f>
        <v/>
      </c>
      <c r="G24121" s="51"/>
      <c r="H24121" s="46" t="str">
        <f>IF(AND(I.Developer.P4=TRUE,I.Facility.P4FacilityCount&gt;=4109,F24121=""),"Incomplete","Complete")</f>
        <v>Complete</v>
      </c>
      <c r="I24121" s="48" t="s">
        <v>28486</v>
      </c>
    </row>
    <row r="24122" spans="2:9" ht="15" customHeight="1" x14ac:dyDescent="0.25">
      <c r="B24122" s="55" t="s">
        <v>283</v>
      </c>
      <c r="C24122" s="46">
        <v>4110</v>
      </c>
      <c r="D24122" s="69" t="s">
        <v>29420</v>
      </c>
      <c r="E24122" s="51"/>
      <c r="F24122" s="114" t="str">
        <f>IF(INDEX(I.Facility.P4IDNumber,4110)="","",INDEX(I.Facility.P4IDNumber,4110))</f>
        <v/>
      </c>
      <c r="G24122" s="51"/>
      <c r="H24122" s="46" t="str">
        <f>IF(AND(I.Developer.P4=TRUE,I.Facility.P4FacilityCount&gt;=4110,F24122=""),"Incomplete","Complete")</f>
        <v>Complete</v>
      </c>
      <c r="I24122" s="48" t="s">
        <v>28487</v>
      </c>
    </row>
    <row r="24123" spans="2:9" ht="15" customHeight="1" x14ac:dyDescent="0.25">
      <c r="B24123" s="55" t="s">
        <v>283</v>
      </c>
      <c r="C24123" s="46">
        <v>4111</v>
      </c>
      <c r="D24123" s="69" t="s">
        <v>29420</v>
      </c>
      <c r="E24123" s="51"/>
      <c r="F24123" s="114" t="str">
        <f>IF(INDEX(I.Facility.P4IDNumber,4111)="","",INDEX(I.Facility.P4IDNumber,4111))</f>
        <v/>
      </c>
      <c r="G24123" s="51"/>
      <c r="H24123" s="46" t="str">
        <f>IF(AND(I.Developer.P4=TRUE,I.Facility.P4FacilityCount&gt;=4111,F24123=""),"Incomplete","Complete")</f>
        <v>Complete</v>
      </c>
      <c r="I24123" s="48" t="s">
        <v>28488</v>
      </c>
    </row>
    <row r="24124" spans="2:9" ht="15" customHeight="1" x14ac:dyDescent="0.25">
      <c r="B24124" s="55" t="s">
        <v>283</v>
      </c>
      <c r="C24124" s="46">
        <v>4112</v>
      </c>
      <c r="D24124" s="69" t="s">
        <v>29420</v>
      </c>
      <c r="E24124" s="51"/>
      <c r="F24124" s="114" t="str">
        <f>IF(INDEX(I.Facility.P4IDNumber,4112)="","",INDEX(I.Facility.P4IDNumber,4112))</f>
        <v/>
      </c>
      <c r="G24124" s="51"/>
      <c r="H24124" s="46" t="str">
        <f>IF(AND(I.Developer.P4=TRUE,I.Facility.P4FacilityCount&gt;=4112,F24124=""),"Incomplete","Complete")</f>
        <v>Complete</v>
      </c>
      <c r="I24124" s="48" t="s">
        <v>28489</v>
      </c>
    </row>
    <row r="24125" spans="2:9" ht="15" customHeight="1" x14ac:dyDescent="0.25">
      <c r="B24125" s="55" t="s">
        <v>283</v>
      </c>
      <c r="C24125" s="46">
        <v>4113</v>
      </c>
      <c r="D24125" s="69" t="s">
        <v>29420</v>
      </c>
      <c r="E24125" s="51"/>
      <c r="F24125" s="114" t="str">
        <f>IF(INDEX(I.Facility.P4IDNumber,4113)="","",INDEX(I.Facility.P4IDNumber,4113))</f>
        <v/>
      </c>
      <c r="G24125" s="51"/>
      <c r="H24125" s="46" t="str">
        <f>IF(AND(I.Developer.P4=TRUE,I.Facility.P4FacilityCount&gt;=4113,F24125=""),"Incomplete","Complete")</f>
        <v>Complete</v>
      </c>
      <c r="I24125" s="48" t="s">
        <v>28490</v>
      </c>
    </row>
    <row r="24126" spans="2:9" ht="15" customHeight="1" x14ac:dyDescent="0.25">
      <c r="B24126" s="55" t="s">
        <v>283</v>
      </c>
      <c r="C24126" s="46">
        <v>4114</v>
      </c>
      <c r="D24126" s="69" t="s">
        <v>29420</v>
      </c>
      <c r="E24126" s="51"/>
      <c r="F24126" s="114" t="str">
        <f>IF(INDEX(I.Facility.P4IDNumber,4114)="","",INDEX(I.Facility.P4IDNumber,4114))</f>
        <v/>
      </c>
      <c r="G24126" s="51"/>
      <c r="H24126" s="46" t="str">
        <f>IF(AND(I.Developer.P4=TRUE,I.Facility.P4FacilityCount&gt;=4114,F24126=""),"Incomplete","Complete")</f>
        <v>Complete</v>
      </c>
      <c r="I24126" s="48" t="s">
        <v>28491</v>
      </c>
    </row>
    <row r="24127" spans="2:9" ht="15" customHeight="1" x14ac:dyDescent="0.25">
      <c r="B24127" s="55" t="s">
        <v>283</v>
      </c>
      <c r="C24127" s="46">
        <v>4115</v>
      </c>
      <c r="D24127" s="69" t="s">
        <v>29420</v>
      </c>
      <c r="E24127" s="51"/>
      <c r="F24127" s="114" t="str">
        <f>IF(INDEX(I.Facility.P4IDNumber,4115)="","",INDEX(I.Facility.P4IDNumber,4115))</f>
        <v/>
      </c>
      <c r="G24127" s="51"/>
      <c r="H24127" s="46" t="str">
        <f>IF(AND(I.Developer.P4=TRUE,I.Facility.P4FacilityCount&gt;=4115,F24127=""),"Incomplete","Complete")</f>
        <v>Complete</v>
      </c>
      <c r="I24127" s="48" t="s">
        <v>28492</v>
      </c>
    </row>
    <row r="24128" spans="2:9" ht="15" customHeight="1" x14ac:dyDescent="0.25">
      <c r="B24128" s="55" t="s">
        <v>283</v>
      </c>
      <c r="C24128" s="46">
        <v>4116</v>
      </c>
      <c r="D24128" s="69" t="s">
        <v>29420</v>
      </c>
      <c r="E24128" s="51"/>
      <c r="F24128" s="114" t="str">
        <f>IF(INDEX(I.Facility.P4IDNumber,4116)="","",INDEX(I.Facility.P4IDNumber,4116))</f>
        <v/>
      </c>
      <c r="G24128" s="51"/>
      <c r="H24128" s="46" t="str">
        <f>IF(AND(I.Developer.P4=TRUE,I.Facility.P4FacilityCount&gt;=4116,F24128=""),"Incomplete","Complete")</f>
        <v>Complete</v>
      </c>
      <c r="I24128" s="48" t="s">
        <v>28493</v>
      </c>
    </row>
    <row r="24129" spans="2:9" ht="15" customHeight="1" x14ac:dyDescent="0.25">
      <c r="B24129" s="55" t="s">
        <v>283</v>
      </c>
      <c r="C24129" s="46">
        <v>4117</v>
      </c>
      <c r="D24129" s="69" t="s">
        <v>29420</v>
      </c>
      <c r="E24129" s="51"/>
      <c r="F24129" s="114" t="str">
        <f>IF(INDEX(I.Facility.P4IDNumber,4117)="","",INDEX(I.Facility.P4IDNumber,4117))</f>
        <v/>
      </c>
      <c r="G24129" s="51"/>
      <c r="H24129" s="46" t="str">
        <f>IF(AND(I.Developer.P4=TRUE,I.Facility.P4FacilityCount&gt;=4117,F24129=""),"Incomplete","Complete")</f>
        <v>Complete</v>
      </c>
      <c r="I24129" s="48" t="s">
        <v>28494</v>
      </c>
    </row>
    <row r="24130" spans="2:9" ht="15" customHeight="1" x14ac:dyDescent="0.25">
      <c r="B24130" s="55" t="s">
        <v>283</v>
      </c>
      <c r="C24130" s="46">
        <v>4118</v>
      </c>
      <c r="D24130" s="69" t="s">
        <v>29420</v>
      </c>
      <c r="E24130" s="51"/>
      <c r="F24130" s="114" t="str">
        <f>IF(INDEX(I.Facility.P4IDNumber,4118)="","",INDEX(I.Facility.P4IDNumber,4118))</f>
        <v/>
      </c>
      <c r="G24130" s="51"/>
      <c r="H24130" s="46" t="str">
        <f>IF(AND(I.Developer.P4=TRUE,I.Facility.P4FacilityCount&gt;=4118,F24130=""),"Incomplete","Complete")</f>
        <v>Complete</v>
      </c>
      <c r="I24130" s="48" t="s">
        <v>28495</v>
      </c>
    </row>
    <row r="24131" spans="2:9" ht="15" customHeight="1" x14ac:dyDescent="0.25">
      <c r="B24131" s="55" t="s">
        <v>283</v>
      </c>
      <c r="C24131" s="46">
        <v>4119</v>
      </c>
      <c r="D24131" s="69" t="s">
        <v>29420</v>
      </c>
      <c r="E24131" s="51"/>
      <c r="F24131" s="114" t="str">
        <f>IF(INDEX(I.Facility.P4IDNumber,4119)="","",INDEX(I.Facility.P4IDNumber,4119))</f>
        <v/>
      </c>
      <c r="G24131" s="51"/>
      <c r="H24131" s="46" t="str">
        <f>IF(AND(I.Developer.P4=TRUE,I.Facility.P4FacilityCount&gt;=4119,F24131=""),"Incomplete","Complete")</f>
        <v>Complete</v>
      </c>
      <c r="I24131" s="48" t="s">
        <v>28496</v>
      </c>
    </row>
    <row r="24132" spans="2:9" ht="15" customHeight="1" x14ac:dyDescent="0.25">
      <c r="B24132" s="55" t="s">
        <v>283</v>
      </c>
      <c r="C24132" s="46">
        <v>4120</v>
      </c>
      <c r="D24132" s="69" t="s">
        <v>29420</v>
      </c>
      <c r="E24132" s="51"/>
      <c r="F24132" s="114" t="str">
        <f>IF(INDEX(I.Facility.P4IDNumber,4120)="","",INDEX(I.Facility.P4IDNumber,4120))</f>
        <v/>
      </c>
      <c r="G24132" s="51"/>
      <c r="H24132" s="46" t="str">
        <f>IF(AND(I.Developer.P4=TRUE,I.Facility.P4FacilityCount&gt;=4120,F24132=""),"Incomplete","Complete")</f>
        <v>Complete</v>
      </c>
      <c r="I24132" s="48" t="s">
        <v>28497</v>
      </c>
    </row>
    <row r="24133" spans="2:9" ht="15" customHeight="1" x14ac:dyDescent="0.25">
      <c r="B24133" s="55" t="s">
        <v>283</v>
      </c>
      <c r="C24133" s="46">
        <v>4121</v>
      </c>
      <c r="D24133" s="69" t="s">
        <v>29420</v>
      </c>
      <c r="E24133" s="51"/>
      <c r="F24133" s="114" t="str">
        <f>IF(INDEX(I.Facility.P4IDNumber,4121)="","",INDEX(I.Facility.P4IDNumber,4121))</f>
        <v/>
      </c>
      <c r="G24133" s="51"/>
      <c r="H24133" s="46" t="str">
        <f>IF(AND(I.Developer.P4=TRUE,I.Facility.P4FacilityCount&gt;=4121,F24133=""),"Incomplete","Complete")</f>
        <v>Complete</v>
      </c>
      <c r="I24133" s="48" t="s">
        <v>28498</v>
      </c>
    </row>
    <row r="24134" spans="2:9" ht="15" customHeight="1" x14ac:dyDescent="0.25">
      <c r="B24134" s="55" t="s">
        <v>283</v>
      </c>
      <c r="C24134" s="46">
        <v>4122</v>
      </c>
      <c r="D24134" s="69" t="s">
        <v>29420</v>
      </c>
      <c r="E24134" s="51"/>
      <c r="F24134" s="114" t="str">
        <f>IF(INDEX(I.Facility.P4IDNumber,4122)="","",INDEX(I.Facility.P4IDNumber,4122))</f>
        <v/>
      </c>
      <c r="G24134" s="51"/>
      <c r="H24134" s="46" t="str">
        <f>IF(AND(I.Developer.P4=TRUE,I.Facility.P4FacilityCount&gt;=4122,F24134=""),"Incomplete","Complete")</f>
        <v>Complete</v>
      </c>
      <c r="I24134" s="48" t="s">
        <v>28499</v>
      </c>
    </row>
    <row r="24135" spans="2:9" ht="15" customHeight="1" x14ac:dyDescent="0.25">
      <c r="B24135" s="55" t="s">
        <v>283</v>
      </c>
      <c r="C24135" s="46">
        <v>4123</v>
      </c>
      <c r="D24135" s="69" t="s">
        <v>29420</v>
      </c>
      <c r="E24135" s="51"/>
      <c r="F24135" s="114" t="str">
        <f>IF(INDEX(I.Facility.P4IDNumber,4123)="","",INDEX(I.Facility.P4IDNumber,4123))</f>
        <v/>
      </c>
      <c r="G24135" s="51"/>
      <c r="H24135" s="46" t="str">
        <f>IF(AND(I.Developer.P4=TRUE,I.Facility.P4FacilityCount&gt;=4123,F24135=""),"Incomplete","Complete")</f>
        <v>Complete</v>
      </c>
      <c r="I24135" s="48" t="s">
        <v>28500</v>
      </c>
    </row>
    <row r="24136" spans="2:9" ht="15" customHeight="1" x14ac:dyDescent="0.25">
      <c r="B24136" s="55" t="s">
        <v>283</v>
      </c>
      <c r="C24136" s="46">
        <v>4124</v>
      </c>
      <c r="D24136" s="69" t="s">
        <v>29420</v>
      </c>
      <c r="E24136" s="51"/>
      <c r="F24136" s="114" t="str">
        <f>IF(INDEX(I.Facility.P4IDNumber,4124)="","",INDEX(I.Facility.P4IDNumber,4124))</f>
        <v/>
      </c>
      <c r="G24136" s="51"/>
      <c r="H24136" s="46" t="str">
        <f>IF(AND(I.Developer.P4=TRUE,I.Facility.P4FacilityCount&gt;=4124,F24136=""),"Incomplete","Complete")</f>
        <v>Complete</v>
      </c>
      <c r="I24136" s="48" t="s">
        <v>28501</v>
      </c>
    </row>
    <row r="24137" spans="2:9" ht="15" customHeight="1" x14ac:dyDescent="0.25">
      <c r="B24137" s="55" t="s">
        <v>283</v>
      </c>
      <c r="C24137" s="46">
        <v>4125</v>
      </c>
      <c r="D24137" s="69" t="s">
        <v>29420</v>
      </c>
      <c r="E24137" s="51"/>
      <c r="F24137" s="114" t="str">
        <f>IF(INDEX(I.Facility.P4IDNumber,4125)="","",INDEX(I.Facility.P4IDNumber,4125))</f>
        <v/>
      </c>
      <c r="G24137" s="51"/>
      <c r="H24137" s="46" t="str">
        <f>IF(AND(I.Developer.P4=TRUE,I.Facility.P4FacilityCount&gt;=4125,F24137=""),"Incomplete","Complete")</f>
        <v>Complete</v>
      </c>
      <c r="I24137" s="48" t="s">
        <v>28502</v>
      </c>
    </row>
    <row r="24138" spans="2:9" ht="15" customHeight="1" x14ac:dyDescent="0.25">
      <c r="B24138" s="55" t="s">
        <v>283</v>
      </c>
      <c r="C24138" s="46">
        <v>4126</v>
      </c>
      <c r="D24138" s="69" t="s">
        <v>29420</v>
      </c>
      <c r="E24138" s="51"/>
      <c r="F24138" s="114" t="str">
        <f>IF(INDEX(I.Facility.P4IDNumber,4126)="","",INDEX(I.Facility.P4IDNumber,4126))</f>
        <v/>
      </c>
      <c r="G24138" s="51"/>
      <c r="H24138" s="46" t="str">
        <f>IF(AND(I.Developer.P4=TRUE,I.Facility.P4FacilityCount&gt;=4126,F24138=""),"Incomplete","Complete")</f>
        <v>Complete</v>
      </c>
      <c r="I24138" s="48" t="s">
        <v>28503</v>
      </c>
    </row>
    <row r="24139" spans="2:9" ht="15" customHeight="1" x14ac:dyDescent="0.25">
      <c r="B24139" s="55" t="s">
        <v>283</v>
      </c>
      <c r="C24139" s="46">
        <v>4127</v>
      </c>
      <c r="D24139" s="69" t="s">
        <v>29420</v>
      </c>
      <c r="E24139" s="51"/>
      <c r="F24139" s="114" t="str">
        <f>IF(INDEX(I.Facility.P4IDNumber,4127)="","",INDEX(I.Facility.P4IDNumber,4127))</f>
        <v/>
      </c>
      <c r="G24139" s="51"/>
      <c r="H24139" s="46" t="str">
        <f>IF(AND(I.Developer.P4=TRUE,I.Facility.P4FacilityCount&gt;=4127,F24139=""),"Incomplete","Complete")</f>
        <v>Complete</v>
      </c>
      <c r="I24139" s="48" t="s">
        <v>28504</v>
      </c>
    </row>
    <row r="24140" spans="2:9" ht="15" customHeight="1" x14ac:dyDescent="0.25">
      <c r="B24140" s="55" t="s">
        <v>283</v>
      </c>
      <c r="C24140" s="46">
        <v>4128</v>
      </c>
      <c r="D24140" s="69" t="s">
        <v>29420</v>
      </c>
      <c r="E24140" s="51"/>
      <c r="F24140" s="114" t="str">
        <f>IF(INDEX(I.Facility.P4IDNumber,4128)="","",INDEX(I.Facility.P4IDNumber,4128))</f>
        <v/>
      </c>
      <c r="G24140" s="51"/>
      <c r="H24140" s="46" t="str">
        <f>IF(AND(I.Developer.P4=TRUE,I.Facility.P4FacilityCount&gt;=4128,F24140=""),"Incomplete","Complete")</f>
        <v>Complete</v>
      </c>
      <c r="I24140" s="48" t="s">
        <v>28505</v>
      </c>
    </row>
    <row r="24141" spans="2:9" ht="15" customHeight="1" x14ac:dyDescent="0.25">
      <c r="B24141" s="55" t="s">
        <v>283</v>
      </c>
      <c r="C24141" s="46">
        <v>4129</v>
      </c>
      <c r="D24141" s="69" t="s">
        <v>29420</v>
      </c>
      <c r="E24141" s="51"/>
      <c r="F24141" s="114" t="str">
        <f>IF(INDEX(I.Facility.P4IDNumber,4129)="","",INDEX(I.Facility.P4IDNumber,4129))</f>
        <v/>
      </c>
      <c r="G24141" s="51"/>
      <c r="H24141" s="46" t="str">
        <f>IF(AND(I.Developer.P4=TRUE,I.Facility.P4FacilityCount&gt;=4129,F24141=""),"Incomplete","Complete")</f>
        <v>Complete</v>
      </c>
      <c r="I24141" s="48" t="s">
        <v>28506</v>
      </c>
    </row>
    <row r="24142" spans="2:9" ht="15" customHeight="1" x14ac:dyDescent="0.25">
      <c r="B24142" s="55" t="s">
        <v>283</v>
      </c>
      <c r="C24142" s="46">
        <v>4130</v>
      </c>
      <c r="D24142" s="69" t="s">
        <v>29420</v>
      </c>
      <c r="E24142" s="51"/>
      <c r="F24142" s="114" t="str">
        <f>IF(INDEX(I.Facility.P4IDNumber,4130)="","",INDEX(I.Facility.P4IDNumber,4130))</f>
        <v/>
      </c>
      <c r="G24142" s="51"/>
      <c r="H24142" s="46" t="str">
        <f>IF(AND(I.Developer.P4=TRUE,I.Facility.P4FacilityCount&gt;=4130,F24142=""),"Incomplete","Complete")</f>
        <v>Complete</v>
      </c>
      <c r="I24142" s="48" t="s">
        <v>28507</v>
      </c>
    </row>
    <row r="24143" spans="2:9" ht="15" customHeight="1" x14ac:dyDescent="0.25">
      <c r="B24143" s="55" t="s">
        <v>283</v>
      </c>
      <c r="C24143" s="46">
        <v>4131</v>
      </c>
      <c r="D24143" s="69" t="s">
        <v>29420</v>
      </c>
      <c r="E24143" s="51"/>
      <c r="F24143" s="114" t="str">
        <f>IF(INDEX(I.Facility.P4IDNumber,4131)="","",INDEX(I.Facility.P4IDNumber,4131))</f>
        <v/>
      </c>
      <c r="G24143" s="51"/>
      <c r="H24143" s="46" t="str">
        <f>IF(AND(I.Developer.P4=TRUE,I.Facility.P4FacilityCount&gt;=4131,F24143=""),"Incomplete","Complete")</f>
        <v>Complete</v>
      </c>
      <c r="I24143" s="48" t="s">
        <v>28508</v>
      </c>
    </row>
    <row r="24144" spans="2:9" ht="15" customHeight="1" x14ac:dyDescent="0.25">
      <c r="B24144" s="55" t="s">
        <v>283</v>
      </c>
      <c r="C24144" s="46">
        <v>4132</v>
      </c>
      <c r="D24144" s="69" t="s">
        <v>29420</v>
      </c>
      <c r="E24144" s="51"/>
      <c r="F24144" s="114" t="str">
        <f>IF(INDEX(I.Facility.P4IDNumber,4132)="","",INDEX(I.Facility.P4IDNumber,4132))</f>
        <v/>
      </c>
      <c r="G24144" s="51"/>
      <c r="H24144" s="46" t="str">
        <f>IF(AND(I.Developer.P4=TRUE,I.Facility.P4FacilityCount&gt;=4132,F24144=""),"Incomplete","Complete")</f>
        <v>Complete</v>
      </c>
      <c r="I24144" s="48" t="s">
        <v>28509</v>
      </c>
    </row>
    <row r="24145" spans="2:9" ht="15" customHeight="1" x14ac:dyDescent="0.25">
      <c r="B24145" s="55" t="s">
        <v>283</v>
      </c>
      <c r="C24145" s="46">
        <v>4133</v>
      </c>
      <c r="D24145" s="69" t="s">
        <v>29420</v>
      </c>
      <c r="E24145" s="51"/>
      <c r="F24145" s="114" t="str">
        <f>IF(INDEX(I.Facility.P4IDNumber,4133)="","",INDEX(I.Facility.P4IDNumber,4133))</f>
        <v/>
      </c>
      <c r="G24145" s="51"/>
      <c r="H24145" s="46" t="str">
        <f>IF(AND(I.Developer.P4=TRUE,I.Facility.P4FacilityCount&gt;=4133,F24145=""),"Incomplete","Complete")</f>
        <v>Complete</v>
      </c>
      <c r="I24145" s="48" t="s">
        <v>28510</v>
      </c>
    </row>
    <row r="24146" spans="2:9" ht="15" customHeight="1" x14ac:dyDescent="0.25">
      <c r="B24146" s="55" t="s">
        <v>283</v>
      </c>
      <c r="C24146" s="46">
        <v>4134</v>
      </c>
      <c r="D24146" s="69" t="s">
        <v>29420</v>
      </c>
      <c r="E24146" s="51"/>
      <c r="F24146" s="114" t="str">
        <f>IF(INDEX(I.Facility.P4IDNumber,4134)="","",INDEX(I.Facility.P4IDNumber,4134))</f>
        <v/>
      </c>
      <c r="G24146" s="51"/>
      <c r="H24146" s="46" t="str">
        <f>IF(AND(I.Developer.P4=TRUE,I.Facility.P4FacilityCount&gt;=4134,F24146=""),"Incomplete","Complete")</f>
        <v>Complete</v>
      </c>
      <c r="I24146" s="48" t="s">
        <v>28511</v>
      </c>
    </row>
    <row r="24147" spans="2:9" ht="15" customHeight="1" x14ac:dyDescent="0.25">
      <c r="B24147" s="55" t="s">
        <v>283</v>
      </c>
      <c r="C24147" s="46">
        <v>4135</v>
      </c>
      <c r="D24147" s="69" t="s">
        <v>29420</v>
      </c>
      <c r="E24147" s="51"/>
      <c r="F24147" s="114" t="str">
        <f>IF(INDEX(I.Facility.P4IDNumber,4135)="","",INDEX(I.Facility.P4IDNumber,4135))</f>
        <v/>
      </c>
      <c r="G24147" s="51"/>
      <c r="H24147" s="46" t="str">
        <f>IF(AND(I.Developer.P4=TRUE,I.Facility.P4FacilityCount&gt;=4135,F24147=""),"Incomplete","Complete")</f>
        <v>Complete</v>
      </c>
      <c r="I24147" s="48" t="s">
        <v>28512</v>
      </c>
    </row>
    <row r="24148" spans="2:9" ht="15" customHeight="1" x14ac:dyDescent="0.25">
      <c r="B24148" s="55" t="s">
        <v>283</v>
      </c>
      <c r="C24148" s="46">
        <v>4136</v>
      </c>
      <c r="D24148" s="69" t="s">
        <v>29420</v>
      </c>
      <c r="E24148" s="51"/>
      <c r="F24148" s="114" t="str">
        <f>IF(INDEX(I.Facility.P4IDNumber,4136)="","",INDEX(I.Facility.P4IDNumber,4136))</f>
        <v/>
      </c>
      <c r="G24148" s="51"/>
      <c r="H24148" s="46" t="str">
        <f>IF(AND(I.Developer.P4=TRUE,I.Facility.P4FacilityCount&gt;=4136,F24148=""),"Incomplete","Complete")</f>
        <v>Complete</v>
      </c>
      <c r="I24148" s="48" t="s">
        <v>28513</v>
      </c>
    </row>
    <row r="24149" spans="2:9" ht="15" customHeight="1" x14ac:dyDescent="0.25">
      <c r="B24149" s="55" t="s">
        <v>283</v>
      </c>
      <c r="C24149" s="46">
        <v>4137</v>
      </c>
      <c r="D24149" s="69" t="s">
        <v>29420</v>
      </c>
      <c r="E24149" s="51"/>
      <c r="F24149" s="114" t="str">
        <f>IF(INDEX(I.Facility.P4IDNumber,4137)="","",INDEX(I.Facility.P4IDNumber,4137))</f>
        <v/>
      </c>
      <c r="G24149" s="51"/>
      <c r="H24149" s="46" t="str">
        <f>IF(AND(I.Developer.P4=TRUE,I.Facility.P4FacilityCount&gt;=4137,F24149=""),"Incomplete","Complete")</f>
        <v>Complete</v>
      </c>
      <c r="I24149" s="48" t="s">
        <v>28514</v>
      </c>
    </row>
    <row r="24150" spans="2:9" ht="15" customHeight="1" x14ac:dyDescent="0.25">
      <c r="B24150" s="55" t="s">
        <v>283</v>
      </c>
      <c r="C24150" s="46">
        <v>4138</v>
      </c>
      <c r="D24150" s="69" t="s">
        <v>29420</v>
      </c>
      <c r="E24150" s="51"/>
      <c r="F24150" s="114" t="str">
        <f>IF(INDEX(I.Facility.P4IDNumber,4138)="","",INDEX(I.Facility.P4IDNumber,4138))</f>
        <v/>
      </c>
      <c r="G24150" s="51"/>
      <c r="H24150" s="46" t="str">
        <f>IF(AND(I.Developer.P4=TRUE,I.Facility.P4FacilityCount&gt;=4138,F24150=""),"Incomplete","Complete")</f>
        <v>Complete</v>
      </c>
      <c r="I24150" s="48" t="s">
        <v>28515</v>
      </c>
    </row>
    <row r="24151" spans="2:9" ht="15" customHeight="1" x14ac:dyDescent="0.25">
      <c r="B24151" s="55" t="s">
        <v>283</v>
      </c>
      <c r="C24151" s="46">
        <v>4139</v>
      </c>
      <c r="D24151" s="69" t="s">
        <v>29420</v>
      </c>
      <c r="E24151" s="51"/>
      <c r="F24151" s="114" t="str">
        <f>IF(INDEX(I.Facility.P4IDNumber,4139)="","",INDEX(I.Facility.P4IDNumber,4139))</f>
        <v/>
      </c>
      <c r="G24151" s="51"/>
      <c r="H24151" s="46" t="str">
        <f>IF(AND(I.Developer.P4=TRUE,I.Facility.P4FacilityCount&gt;=4139,F24151=""),"Incomplete","Complete")</f>
        <v>Complete</v>
      </c>
      <c r="I24151" s="48" t="s">
        <v>28516</v>
      </c>
    </row>
    <row r="24152" spans="2:9" ht="15" customHeight="1" x14ac:dyDescent="0.25">
      <c r="B24152" s="55" t="s">
        <v>283</v>
      </c>
      <c r="C24152" s="46">
        <v>4140</v>
      </c>
      <c r="D24152" s="69" t="s">
        <v>29420</v>
      </c>
      <c r="E24152" s="51"/>
      <c r="F24152" s="114" t="str">
        <f>IF(INDEX(I.Facility.P4IDNumber,4140)="","",INDEX(I.Facility.P4IDNumber,4140))</f>
        <v/>
      </c>
      <c r="G24152" s="51"/>
      <c r="H24152" s="46" t="str">
        <f>IF(AND(I.Developer.P4=TRUE,I.Facility.P4FacilityCount&gt;=4140,F24152=""),"Incomplete","Complete")</f>
        <v>Complete</v>
      </c>
      <c r="I24152" s="48" t="s">
        <v>28517</v>
      </c>
    </row>
    <row r="24153" spans="2:9" ht="15" customHeight="1" x14ac:dyDescent="0.25">
      <c r="B24153" s="55" t="s">
        <v>283</v>
      </c>
      <c r="C24153" s="46">
        <v>4141</v>
      </c>
      <c r="D24153" s="69" t="s">
        <v>29420</v>
      </c>
      <c r="E24153" s="51"/>
      <c r="F24153" s="114" t="str">
        <f>IF(INDEX(I.Facility.P4IDNumber,4141)="","",INDEX(I.Facility.P4IDNumber,4141))</f>
        <v/>
      </c>
      <c r="G24153" s="51"/>
      <c r="H24153" s="46" t="str">
        <f>IF(AND(I.Developer.P4=TRUE,I.Facility.P4FacilityCount&gt;=4141,F24153=""),"Incomplete","Complete")</f>
        <v>Complete</v>
      </c>
      <c r="I24153" s="48" t="s">
        <v>28518</v>
      </c>
    </row>
    <row r="24154" spans="2:9" ht="15" customHeight="1" x14ac:dyDescent="0.25">
      <c r="B24154" s="55" t="s">
        <v>283</v>
      </c>
      <c r="C24154" s="46">
        <v>4142</v>
      </c>
      <c r="D24154" s="69" t="s">
        <v>29420</v>
      </c>
      <c r="E24154" s="51"/>
      <c r="F24154" s="114" t="str">
        <f>IF(INDEX(I.Facility.P4IDNumber,4142)="","",INDEX(I.Facility.P4IDNumber,4142))</f>
        <v/>
      </c>
      <c r="G24154" s="51"/>
      <c r="H24154" s="46" t="str">
        <f>IF(AND(I.Developer.P4=TRUE,I.Facility.P4FacilityCount&gt;=4142,F24154=""),"Incomplete","Complete")</f>
        <v>Complete</v>
      </c>
      <c r="I24154" s="48" t="s">
        <v>28519</v>
      </c>
    </row>
    <row r="24155" spans="2:9" ht="15" customHeight="1" x14ac:dyDescent="0.25">
      <c r="B24155" s="55" t="s">
        <v>283</v>
      </c>
      <c r="C24155" s="46">
        <v>4143</v>
      </c>
      <c r="D24155" s="69" t="s">
        <v>29420</v>
      </c>
      <c r="E24155" s="51"/>
      <c r="F24155" s="114" t="str">
        <f>IF(INDEX(I.Facility.P4IDNumber,4143)="","",INDEX(I.Facility.P4IDNumber,4143))</f>
        <v/>
      </c>
      <c r="G24155" s="51"/>
      <c r="H24155" s="46" t="str">
        <f>IF(AND(I.Developer.P4=TRUE,I.Facility.P4FacilityCount&gt;=4143,F24155=""),"Incomplete","Complete")</f>
        <v>Complete</v>
      </c>
      <c r="I24155" s="48" t="s">
        <v>28520</v>
      </c>
    </row>
    <row r="24156" spans="2:9" ht="15" customHeight="1" x14ac:dyDescent="0.25">
      <c r="B24156" s="55" t="s">
        <v>283</v>
      </c>
      <c r="C24156" s="46">
        <v>4144</v>
      </c>
      <c r="D24156" s="69" t="s">
        <v>29420</v>
      </c>
      <c r="E24156" s="51"/>
      <c r="F24156" s="114" t="str">
        <f>IF(INDEX(I.Facility.P4IDNumber,4144)="","",INDEX(I.Facility.P4IDNumber,4144))</f>
        <v/>
      </c>
      <c r="G24156" s="51"/>
      <c r="H24156" s="46" t="str">
        <f>IF(AND(I.Developer.P4=TRUE,I.Facility.P4FacilityCount&gt;=4144,F24156=""),"Incomplete","Complete")</f>
        <v>Complete</v>
      </c>
      <c r="I24156" s="48" t="s">
        <v>28521</v>
      </c>
    </row>
    <row r="24157" spans="2:9" ht="15" customHeight="1" x14ac:dyDescent="0.25">
      <c r="B24157" s="55" t="s">
        <v>283</v>
      </c>
      <c r="C24157" s="46">
        <v>4145</v>
      </c>
      <c r="D24157" s="69" t="s">
        <v>29420</v>
      </c>
      <c r="E24157" s="51"/>
      <c r="F24157" s="114" t="str">
        <f>IF(INDEX(I.Facility.P4IDNumber,4145)="","",INDEX(I.Facility.P4IDNumber,4145))</f>
        <v/>
      </c>
      <c r="G24157" s="51"/>
      <c r="H24157" s="46" t="str">
        <f>IF(AND(I.Developer.P4=TRUE,I.Facility.P4FacilityCount&gt;=4145,F24157=""),"Incomplete","Complete")</f>
        <v>Complete</v>
      </c>
      <c r="I24157" s="48" t="s">
        <v>28522</v>
      </c>
    </row>
    <row r="24158" spans="2:9" ht="15" customHeight="1" x14ac:dyDescent="0.25">
      <c r="B24158" s="55" t="s">
        <v>283</v>
      </c>
      <c r="C24158" s="46">
        <v>4146</v>
      </c>
      <c r="D24158" s="69" t="s">
        <v>29420</v>
      </c>
      <c r="E24158" s="51"/>
      <c r="F24158" s="114" t="str">
        <f>IF(INDEX(I.Facility.P4IDNumber,4146)="","",INDEX(I.Facility.P4IDNumber,4146))</f>
        <v/>
      </c>
      <c r="G24158" s="51"/>
      <c r="H24158" s="46" t="str">
        <f>IF(AND(I.Developer.P4=TRUE,I.Facility.P4FacilityCount&gt;=4146,F24158=""),"Incomplete","Complete")</f>
        <v>Complete</v>
      </c>
      <c r="I24158" s="48" t="s">
        <v>28523</v>
      </c>
    </row>
    <row r="24159" spans="2:9" ht="15" customHeight="1" x14ac:dyDescent="0.25">
      <c r="B24159" s="55" t="s">
        <v>283</v>
      </c>
      <c r="C24159" s="46">
        <v>4147</v>
      </c>
      <c r="D24159" s="69" t="s">
        <v>29420</v>
      </c>
      <c r="E24159" s="51"/>
      <c r="F24159" s="114" t="str">
        <f>IF(INDEX(I.Facility.P4IDNumber,4147)="","",INDEX(I.Facility.P4IDNumber,4147))</f>
        <v/>
      </c>
      <c r="G24159" s="51"/>
      <c r="H24159" s="46" t="str">
        <f>IF(AND(I.Developer.P4=TRUE,I.Facility.P4FacilityCount&gt;=4147,F24159=""),"Incomplete","Complete")</f>
        <v>Complete</v>
      </c>
      <c r="I24159" s="48" t="s">
        <v>28524</v>
      </c>
    </row>
    <row r="24160" spans="2:9" ht="15" customHeight="1" x14ac:dyDescent="0.25">
      <c r="B24160" s="55" t="s">
        <v>283</v>
      </c>
      <c r="C24160" s="46">
        <v>4148</v>
      </c>
      <c r="D24160" s="69" t="s">
        <v>29420</v>
      </c>
      <c r="E24160" s="51"/>
      <c r="F24160" s="114" t="str">
        <f>IF(INDEX(I.Facility.P4IDNumber,4148)="","",INDEX(I.Facility.P4IDNumber,4148))</f>
        <v/>
      </c>
      <c r="G24160" s="51"/>
      <c r="H24160" s="46" t="str">
        <f>IF(AND(I.Developer.P4=TRUE,I.Facility.P4FacilityCount&gt;=4148,F24160=""),"Incomplete","Complete")</f>
        <v>Complete</v>
      </c>
      <c r="I24160" s="48" t="s">
        <v>28525</v>
      </c>
    </row>
    <row r="24161" spans="2:9" ht="15" customHeight="1" x14ac:dyDescent="0.25">
      <c r="B24161" s="55" t="s">
        <v>283</v>
      </c>
      <c r="C24161" s="46">
        <v>4149</v>
      </c>
      <c r="D24161" s="69" t="s">
        <v>29420</v>
      </c>
      <c r="E24161" s="51"/>
      <c r="F24161" s="114" t="str">
        <f>IF(INDEX(I.Facility.P4IDNumber,4149)="","",INDEX(I.Facility.P4IDNumber,4149))</f>
        <v/>
      </c>
      <c r="G24161" s="51"/>
      <c r="H24161" s="46" t="str">
        <f>IF(AND(I.Developer.P4=TRUE,I.Facility.P4FacilityCount&gt;=4149,F24161=""),"Incomplete","Complete")</f>
        <v>Complete</v>
      </c>
      <c r="I24161" s="48" t="s">
        <v>28526</v>
      </c>
    </row>
    <row r="24162" spans="2:9" ht="15" customHeight="1" x14ac:dyDescent="0.25">
      <c r="B24162" s="55" t="s">
        <v>283</v>
      </c>
      <c r="C24162" s="46">
        <v>4150</v>
      </c>
      <c r="D24162" s="69" t="s">
        <v>29420</v>
      </c>
      <c r="E24162" s="51"/>
      <c r="F24162" s="114" t="str">
        <f>IF(INDEX(I.Facility.P4IDNumber,4150)="","",INDEX(I.Facility.P4IDNumber,4150))</f>
        <v/>
      </c>
      <c r="G24162" s="51"/>
      <c r="H24162" s="46" t="str">
        <f>IF(AND(I.Developer.P4=TRUE,I.Facility.P4FacilityCount&gt;=4150,F24162=""),"Incomplete","Complete")</f>
        <v>Complete</v>
      </c>
      <c r="I24162" s="48" t="s">
        <v>28527</v>
      </c>
    </row>
    <row r="24163" spans="2:9" ht="15" customHeight="1" x14ac:dyDescent="0.25">
      <c r="B24163" s="55" t="s">
        <v>283</v>
      </c>
      <c r="C24163" s="46">
        <v>4151</v>
      </c>
      <c r="D24163" s="69" t="s">
        <v>29420</v>
      </c>
      <c r="E24163" s="51"/>
      <c r="F24163" s="114" t="str">
        <f>IF(INDEX(I.Facility.P4IDNumber,4151)="","",INDEX(I.Facility.P4IDNumber,4151))</f>
        <v/>
      </c>
      <c r="G24163" s="51"/>
      <c r="H24163" s="46" t="str">
        <f>IF(AND(I.Developer.P4=TRUE,I.Facility.P4FacilityCount&gt;=4151,F24163=""),"Incomplete","Complete")</f>
        <v>Complete</v>
      </c>
      <c r="I24163" s="48" t="s">
        <v>28528</v>
      </c>
    </row>
    <row r="24164" spans="2:9" ht="15" customHeight="1" x14ac:dyDescent="0.25">
      <c r="B24164" s="55" t="s">
        <v>283</v>
      </c>
      <c r="C24164" s="46">
        <v>4152</v>
      </c>
      <c r="D24164" s="69" t="s">
        <v>29420</v>
      </c>
      <c r="E24164" s="51"/>
      <c r="F24164" s="114" t="str">
        <f>IF(INDEX(I.Facility.P4IDNumber,4152)="","",INDEX(I.Facility.P4IDNumber,4152))</f>
        <v/>
      </c>
      <c r="G24164" s="51"/>
      <c r="H24164" s="46" t="str">
        <f>IF(AND(I.Developer.P4=TRUE,I.Facility.P4FacilityCount&gt;=4152,F24164=""),"Incomplete","Complete")</f>
        <v>Complete</v>
      </c>
      <c r="I24164" s="48" t="s">
        <v>28529</v>
      </c>
    </row>
    <row r="24165" spans="2:9" ht="15" customHeight="1" x14ac:dyDescent="0.25">
      <c r="B24165" s="55" t="s">
        <v>283</v>
      </c>
      <c r="C24165" s="46">
        <v>4153</v>
      </c>
      <c r="D24165" s="69" t="s">
        <v>29420</v>
      </c>
      <c r="E24165" s="51"/>
      <c r="F24165" s="114" t="str">
        <f>IF(INDEX(I.Facility.P4IDNumber,4153)="","",INDEX(I.Facility.P4IDNumber,4153))</f>
        <v/>
      </c>
      <c r="G24165" s="51"/>
      <c r="H24165" s="46" t="str">
        <f>IF(AND(I.Developer.P4=TRUE,I.Facility.P4FacilityCount&gt;=4153,F24165=""),"Incomplete","Complete")</f>
        <v>Complete</v>
      </c>
      <c r="I24165" s="48" t="s">
        <v>28530</v>
      </c>
    </row>
    <row r="24166" spans="2:9" ht="15" customHeight="1" x14ac:dyDescent="0.25">
      <c r="B24166" s="55" t="s">
        <v>283</v>
      </c>
      <c r="C24166" s="46">
        <v>4154</v>
      </c>
      <c r="D24166" s="69" t="s">
        <v>29420</v>
      </c>
      <c r="E24166" s="51"/>
      <c r="F24166" s="114" t="str">
        <f>IF(INDEX(I.Facility.P4IDNumber,4154)="","",INDEX(I.Facility.P4IDNumber,4154))</f>
        <v/>
      </c>
      <c r="G24166" s="51"/>
      <c r="H24166" s="46" t="str">
        <f>IF(AND(I.Developer.P4=TRUE,I.Facility.P4FacilityCount&gt;=4154,F24166=""),"Incomplete","Complete")</f>
        <v>Complete</v>
      </c>
      <c r="I24166" s="48" t="s">
        <v>28531</v>
      </c>
    </row>
    <row r="24167" spans="2:9" ht="15" customHeight="1" x14ac:dyDescent="0.25">
      <c r="B24167" s="55" t="s">
        <v>283</v>
      </c>
      <c r="C24167" s="46">
        <v>4155</v>
      </c>
      <c r="D24167" s="69" t="s">
        <v>29420</v>
      </c>
      <c r="E24167" s="51"/>
      <c r="F24167" s="114" t="str">
        <f>IF(INDEX(I.Facility.P4IDNumber,4155)="","",INDEX(I.Facility.P4IDNumber,4155))</f>
        <v/>
      </c>
      <c r="G24167" s="51"/>
      <c r="H24167" s="46" t="str">
        <f>IF(AND(I.Developer.P4=TRUE,I.Facility.P4FacilityCount&gt;=4155,F24167=""),"Incomplete","Complete")</f>
        <v>Complete</v>
      </c>
      <c r="I24167" s="48" t="s">
        <v>28532</v>
      </c>
    </row>
    <row r="24168" spans="2:9" ht="15" customHeight="1" x14ac:dyDescent="0.25">
      <c r="B24168" s="55" t="s">
        <v>283</v>
      </c>
      <c r="C24168" s="46">
        <v>4156</v>
      </c>
      <c r="D24168" s="69" t="s">
        <v>29420</v>
      </c>
      <c r="E24168" s="51"/>
      <c r="F24168" s="114" t="str">
        <f>IF(INDEX(I.Facility.P4IDNumber,4156)="","",INDEX(I.Facility.P4IDNumber,4156))</f>
        <v/>
      </c>
      <c r="G24168" s="51"/>
      <c r="H24168" s="46" t="str">
        <f>IF(AND(I.Developer.P4=TRUE,I.Facility.P4FacilityCount&gt;=4156,F24168=""),"Incomplete","Complete")</f>
        <v>Complete</v>
      </c>
      <c r="I24168" s="48" t="s">
        <v>28533</v>
      </c>
    </row>
    <row r="24169" spans="2:9" ht="15" customHeight="1" x14ac:dyDescent="0.25">
      <c r="B24169" s="55" t="s">
        <v>283</v>
      </c>
      <c r="C24169" s="46">
        <v>4157</v>
      </c>
      <c r="D24169" s="69" t="s">
        <v>29420</v>
      </c>
      <c r="E24169" s="51"/>
      <c r="F24169" s="114" t="str">
        <f>IF(INDEX(I.Facility.P4IDNumber,4157)="","",INDEX(I.Facility.P4IDNumber,4157))</f>
        <v/>
      </c>
      <c r="G24169" s="51"/>
      <c r="H24169" s="46" t="str">
        <f>IF(AND(I.Developer.P4=TRUE,I.Facility.P4FacilityCount&gt;=4157,F24169=""),"Incomplete","Complete")</f>
        <v>Complete</v>
      </c>
      <c r="I24169" s="48" t="s">
        <v>28534</v>
      </c>
    </row>
    <row r="24170" spans="2:9" ht="15" customHeight="1" x14ac:dyDescent="0.25">
      <c r="B24170" s="55" t="s">
        <v>283</v>
      </c>
      <c r="C24170" s="46">
        <v>4158</v>
      </c>
      <c r="D24170" s="69" t="s">
        <v>29420</v>
      </c>
      <c r="E24170" s="51"/>
      <c r="F24170" s="114" t="str">
        <f>IF(INDEX(I.Facility.P4IDNumber,4158)="","",INDEX(I.Facility.P4IDNumber,4158))</f>
        <v/>
      </c>
      <c r="G24170" s="51"/>
      <c r="H24170" s="46" t="str">
        <f>IF(AND(I.Developer.P4=TRUE,I.Facility.P4FacilityCount&gt;=4158,F24170=""),"Incomplete","Complete")</f>
        <v>Complete</v>
      </c>
      <c r="I24170" s="48" t="s">
        <v>28535</v>
      </c>
    </row>
    <row r="24171" spans="2:9" ht="15" customHeight="1" x14ac:dyDescent="0.25">
      <c r="B24171" s="55" t="s">
        <v>283</v>
      </c>
      <c r="C24171" s="46">
        <v>4159</v>
      </c>
      <c r="D24171" s="69" t="s">
        <v>29420</v>
      </c>
      <c r="E24171" s="51"/>
      <c r="F24171" s="114" t="str">
        <f>IF(INDEX(I.Facility.P4IDNumber,4159)="","",INDEX(I.Facility.P4IDNumber,4159))</f>
        <v/>
      </c>
      <c r="G24171" s="51"/>
      <c r="H24171" s="46" t="str">
        <f>IF(AND(I.Developer.P4=TRUE,I.Facility.P4FacilityCount&gt;=4159,F24171=""),"Incomplete","Complete")</f>
        <v>Complete</v>
      </c>
      <c r="I24171" s="48" t="s">
        <v>28536</v>
      </c>
    </row>
    <row r="24172" spans="2:9" ht="15" customHeight="1" x14ac:dyDescent="0.25">
      <c r="B24172" s="55" t="s">
        <v>283</v>
      </c>
      <c r="C24172" s="46">
        <v>4160</v>
      </c>
      <c r="D24172" s="69" t="s">
        <v>29420</v>
      </c>
      <c r="E24172" s="51"/>
      <c r="F24172" s="114" t="str">
        <f>IF(INDEX(I.Facility.P4IDNumber,4160)="","",INDEX(I.Facility.P4IDNumber,4160))</f>
        <v/>
      </c>
      <c r="G24172" s="51"/>
      <c r="H24172" s="46" t="str">
        <f>IF(AND(I.Developer.P4=TRUE,I.Facility.P4FacilityCount&gt;=4160,F24172=""),"Incomplete","Complete")</f>
        <v>Complete</v>
      </c>
      <c r="I24172" s="48" t="s">
        <v>28537</v>
      </c>
    </row>
    <row r="24173" spans="2:9" ht="15" customHeight="1" x14ac:dyDescent="0.25">
      <c r="B24173" s="55" t="s">
        <v>283</v>
      </c>
      <c r="C24173" s="46">
        <v>4161</v>
      </c>
      <c r="D24173" s="69" t="s">
        <v>29420</v>
      </c>
      <c r="E24173" s="51"/>
      <c r="F24173" s="114" t="str">
        <f>IF(INDEX(I.Facility.P4IDNumber,4161)="","",INDEX(I.Facility.P4IDNumber,4161))</f>
        <v/>
      </c>
      <c r="G24173" s="51"/>
      <c r="H24173" s="46" t="str">
        <f>IF(AND(I.Developer.P4=TRUE,I.Facility.P4FacilityCount&gt;=4161,F24173=""),"Incomplete","Complete")</f>
        <v>Complete</v>
      </c>
      <c r="I24173" s="48" t="s">
        <v>28538</v>
      </c>
    </row>
    <row r="24174" spans="2:9" ht="15" customHeight="1" x14ac:dyDescent="0.25">
      <c r="B24174" s="55" t="s">
        <v>283</v>
      </c>
      <c r="C24174" s="46">
        <v>4162</v>
      </c>
      <c r="D24174" s="69" t="s">
        <v>29420</v>
      </c>
      <c r="E24174" s="51"/>
      <c r="F24174" s="114" t="str">
        <f>IF(INDEX(I.Facility.P4IDNumber,4162)="","",INDEX(I.Facility.P4IDNumber,4162))</f>
        <v/>
      </c>
      <c r="G24174" s="51"/>
      <c r="H24174" s="46" t="str">
        <f>IF(AND(I.Developer.P4=TRUE,I.Facility.P4FacilityCount&gt;=4162,F24174=""),"Incomplete","Complete")</f>
        <v>Complete</v>
      </c>
      <c r="I24174" s="48" t="s">
        <v>28539</v>
      </c>
    </row>
    <row r="24175" spans="2:9" ht="15" customHeight="1" x14ac:dyDescent="0.25">
      <c r="B24175" s="55" t="s">
        <v>283</v>
      </c>
      <c r="C24175" s="46">
        <v>4163</v>
      </c>
      <c r="D24175" s="69" t="s">
        <v>29420</v>
      </c>
      <c r="E24175" s="51"/>
      <c r="F24175" s="114" t="str">
        <f>IF(INDEX(I.Facility.P4IDNumber,4163)="","",INDEX(I.Facility.P4IDNumber,4163))</f>
        <v/>
      </c>
      <c r="G24175" s="51"/>
      <c r="H24175" s="46" t="str">
        <f>IF(AND(I.Developer.P4=TRUE,I.Facility.P4FacilityCount&gt;=4163,F24175=""),"Incomplete","Complete")</f>
        <v>Complete</v>
      </c>
      <c r="I24175" s="48" t="s">
        <v>28540</v>
      </c>
    </row>
    <row r="24176" spans="2:9" ht="15" customHeight="1" x14ac:dyDescent="0.25">
      <c r="B24176" s="55" t="s">
        <v>283</v>
      </c>
      <c r="C24176" s="46">
        <v>4164</v>
      </c>
      <c r="D24176" s="69" t="s">
        <v>29420</v>
      </c>
      <c r="E24176" s="51"/>
      <c r="F24176" s="114" t="str">
        <f>IF(INDEX(I.Facility.P4IDNumber,4164)="","",INDEX(I.Facility.P4IDNumber,4164))</f>
        <v/>
      </c>
      <c r="G24176" s="51"/>
      <c r="H24176" s="46" t="str">
        <f>IF(AND(I.Developer.P4=TRUE,I.Facility.P4FacilityCount&gt;=4164,F24176=""),"Incomplete","Complete")</f>
        <v>Complete</v>
      </c>
      <c r="I24176" s="48" t="s">
        <v>28541</v>
      </c>
    </row>
    <row r="24177" spans="2:9" ht="15" customHeight="1" x14ac:dyDescent="0.25">
      <c r="B24177" s="55" t="s">
        <v>283</v>
      </c>
      <c r="C24177" s="46">
        <v>4165</v>
      </c>
      <c r="D24177" s="69" t="s">
        <v>29420</v>
      </c>
      <c r="E24177" s="51"/>
      <c r="F24177" s="114" t="str">
        <f>IF(INDEX(I.Facility.P4IDNumber,4165)="","",INDEX(I.Facility.P4IDNumber,4165))</f>
        <v/>
      </c>
      <c r="G24177" s="51"/>
      <c r="H24177" s="46" t="str">
        <f>IF(AND(I.Developer.P4=TRUE,I.Facility.P4FacilityCount&gt;=4165,F24177=""),"Incomplete","Complete")</f>
        <v>Complete</v>
      </c>
      <c r="I24177" s="48" t="s">
        <v>28542</v>
      </c>
    </row>
    <row r="24178" spans="2:9" ht="15" customHeight="1" x14ac:dyDescent="0.25">
      <c r="B24178" s="55" t="s">
        <v>283</v>
      </c>
      <c r="C24178" s="46">
        <v>4166</v>
      </c>
      <c r="D24178" s="69" t="s">
        <v>29420</v>
      </c>
      <c r="E24178" s="51"/>
      <c r="F24178" s="114" t="str">
        <f>IF(INDEX(I.Facility.P4IDNumber,4166)="","",INDEX(I.Facility.P4IDNumber,4166))</f>
        <v/>
      </c>
      <c r="G24178" s="51"/>
      <c r="H24178" s="46" t="str">
        <f>IF(AND(I.Developer.P4=TRUE,I.Facility.P4FacilityCount&gt;=4166,F24178=""),"Incomplete","Complete")</f>
        <v>Complete</v>
      </c>
      <c r="I24178" s="48" t="s">
        <v>28543</v>
      </c>
    </row>
    <row r="24179" spans="2:9" ht="15" customHeight="1" x14ac:dyDescent="0.25">
      <c r="B24179" s="55" t="s">
        <v>283</v>
      </c>
      <c r="C24179" s="46">
        <v>4167</v>
      </c>
      <c r="D24179" s="69" t="s">
        <v>29420</v>
      </c>
      <c r="E24179" s="51"/>
      <c r="F24179" s="114" t="str">
        <f>IF(INDEX(I.Facility.P4IDNumber,4167)="","",INDEX(I.Facility.P4IDNumber,4167))</f>
        <v/>
      </c>
      <c r="G24179" s="51"/>
      <c r="H24179" s="46" t="str">
        <f>IF(AND(I.Developer.P4=TRUE,I.Facility.P4FacilityCount&gt;=4167,F24179=""),"Incomplete","Complete")</f>
        <v>Complete</v>
      </c>
      <c r="I24179" s="48" t="s">
        <v>28544</v>
      </c>
    </row>
    <row r="24180" spans="2:9" ht="15" customHeight="1" x14ac:dyDescent="0.25">
      <c r="B24180" s="55" t="s">
        <v>283</v>
      </c>
      <c r="C24180" s="46">
        <v>4168</v>
      </c>
      <c r="D24180" s="69" t="s">
        <v>29420</v>
      </c>
      <c r="E24180" s="51"/>
      <c r="F24180" s="114" t="str">
        <f>IF(INDEX(I.Facility.P4IDNumber,4168)="","",INDEX(I.Facility.P4IDNumber,4168))</f>
        <v/>
      </c>
      <c r="G24180" s="51"/>
      <c r="H24180" s="46" t="str">
        <f>IF(AND(I.Developer.P4=TRUE,I.Facility.P4FacilityCount&gt;=4168,F24180=""),"Incomplete","Complete")</f>
        <v>Complete</v>
      </c>
      <c r="I24180" s="48" t="s">
        <v>28545</v>
      </c>
    </row>
    <row r="24181" spans="2:9" ht="15" customHeight="1" x14ac:dyDescent="0.25">
      <c r="B24181" s="55" t="s">
        <v>283</v>
      </c>
      <c r="C24181" s="46">
        <v>4169</v>
      </c>
      <c r="D24181" s="69" t="s">
        <v>29420</v>
      </c>
      <c r="E24181" s="51"/>
      <c r="F24181" s="114" t="str">
        <f>IF(INDEX(I.Facility.P4IDNumber,4169)="","",INDEX(I.Facility.P4IDNumber,4169))</f>
        <v/>
      </c>
      <c r="G24181" s="51"/>
      <c r="H24181" s="46" t="str">
        <f>IF(AND(I.Developer.P4=TRUE,I.Facility.P4FacilityCount&gt;=4169,F24181=""),"Incomplete","Complete")</f>
        <v>Complete</v>
      </c>
      <c r="I24181" s="48" t="s">
        <v>28546</v>
      </c>
    </row>
    <row r="24182" spans="2:9" ht="15" customHeight="1" x14ac:dyDescent="0.25">
      <c r="B24182" s="55" t="s">
        <v>283</v>
      </c>
      <c r="C24182" s="46">
        <v>4170</v>
      </c>
      <c r="D24182" s="69" t="s">
        <v>29420</v>
      </c>
      <c r="E24182" s="51"/>
      <c r="F24182" s="114" t="str">
        <f>IF(INDEX(I.Facility.P4IDNumber,4170)="","",INDEX(I.Facility.P4IDNumber,4170))</f>
        <v/>
      </c>
      <c r="G24182" s="51"/>
      <c r="H24182" s="46" t="str">
        <f>IF(AND(I.Developer.P4=TRUE,I.Facility.P4FacilityCount&gt;=4170,F24182=""),"Incomplete","Complete")</f>
        <v>Complete</v>
      </c>
      <c r="I24182" s="48" t="s">
        <v>28547</v>
      </c>
    </row>
    <row r="24183" spans="2:9" ht="15" customHeight="1" x14ac:dyDescent="0.25">
      <c r="B24183" s="55" t="s">
        <v>283</v>
      </c>
      <c r="C24183" s="46">
        <v>4171</v>
      </c>
      <c r="D24183" s="69" t="s">
        <v>29420</v>
      </c>
      <c r="E24183" s="51"/>
      <c r="F24183" s="114" t="str">
        <f>IF(INDEX(I.Facility.P4IDNumber,4171)="","",INDEX(I.Facility.P4IDNumber,4171))</f>
        <v/>
      </c>
      <c r="G24183" s="51"/>
      <c r="H24183" s="46" t="str">
        <f>IF(AND(I.Developer.P4=TRUE,I.Facility.P4FacilityCount&gt;=4171,F24183=""),"Incomplete","Complete")</f>
        <v>Complete</v>
      </c>
      <c r="I24183" s="48" t="s">
        <v>28548</v>
      </c>
    </row>
    <row r="24184" spans="2:9" ht="15" customHeight="1" x14ac:dyDescent="0.25">
      <c r="B24184" s="55" t="s">
        <v>283</v>
      </c>
      <c r="C24184" s="46">
        <v>4172</v>
      </c>
      <c r="D24184" s="69" t="s">
        <v>29420</v>
      </c>
      <c r="E24184" s="51"/>
      <c r="F24184" s="114" t="str">
        <f>IF(INDEX(I.Facility.P4IDNumber,4172)="","",INDEX(I.Facility.P4IDNumber,4172))</f>
        <v/>
      </c>
      <c r="G24184" s="51"/>
      <c r="H24184" s="46" t="str">
        <f>IF(AND(I.Developer.P4=TRUE,I.Facility.P4FacilityCount&gt;=4172,F24184=""),"Incomplete","Complete")</f>
        <v>Complete</v>
      </c>
      <c r="I24184" s="48" t="s">
        <v>28549</v>
      </c>
    </row>
    <row r="24185" spans="2:9" ht="15" customHeight="1" x14ac:dyDescent="0.25">
      <c r="B24185" s="55" t="s">
        <v>283</v>
      </c>
      <c r="C24185" s="46">
        <v>4173</v>
      </c>
      <c r="D24185" s="69" t="s">
        <v>29420</v>
      </c>
      <c r="E24185" s="51"/>
      <c r="F24185" s="114" t="str">
        <f>IF(INDEX(I.Facility.P4IDNumber,4173)="","",INDEX(I.Facility.P4IDNumber,4173))</f>
        <v/>
      </c>
      <c r="G24185" s="51"/>
      <c r="H24185" s="46" t="str">
        <f>IF(AND(I.Developer.P4=TRUE,I.Facility.P4FacilityCount&gt;=4173,F24185=""),"Incomplete","Complete")</f>
        <v>Complete</v>
      </c>
      <c r="I24185" s="48" t="s">
        <v>28550</v>
      </c>
    </row>
    <row r="24186" spans="2:9" ht="15" customHeight="1" x14ac:dyDescent="0.25">
      <c r="B24186" s="55" t="s">
        <v>283</v>
      </c>
      <c r="C24186" s="46">
        <v>4174</v>
      </c>
      <c r="D24186" s="69" t="s">
        <v>29420</v>
      </c>
      <c r="E24186" s="51"/>
      <c r="F24186" s="114" t="str">
        <f>IF(INDEX(I.Facility.P4IDNumber,4174)="","",INDEX(I.Facility.P4IDNumber,4174))</f>
        <v/>
      </c>
      <c r="G24186" s="51"/>
      <c r="H24186" s="46" t="str">
        <f>IF(AND(I.Developer.P4=TRUE,I.Facility.P4FacilityCount&gt;=4174,F24186=""),"Incomplete","Complete")</f>
        <v>Complete</v>
      </c>
      <c r="I24186" s="48" t="s">
        <v>28551</v>
      </c>
    </row>
    <row r="24187" spans="2:9" ht="15" customHeight="1" x14ac:dyDescent="0.25">
      <c r="B24187" s="55" t="s">
        <v>283</v>
      </c>
      <c r="C24187" s="46">
        <v>4175</v>
      </c>
      <c r="D24187" s="69" t="s">
        <v>29420</v>
      </c>
      <c r="E24187" s="51"/>
      <c r="F24187" s="114" t="str">
        <f>IF(INDEX(I.Facility.P4IDNumber,4175)="","",INDEX(I.Facility.P4IDNumber,4175))</f>
        <v/>
      </c>
      <c r="G24187" s="51"/>
      <c r="H24187" s="46" t="str">
        <f>IF(AND(I.Developer.P4=TRUE,I.Facility.P4FacilityCount&gt;=4175,F24187=""),"Incomplete","Complete")</f>
        <v>Complete</v>
      </c>
      <c r="I24187" s="48" t="s">
        <v>28552</v>
      </c>
    </row>
    <row r="24188" spans="2:9" ht="15" customHeight="1" x14ac:dyDescent="0.25">
      <c r="B24188" s="55" t="s">
        <v>283</v>
      </c>
      <c r="C24188" s="46">
        <v>4176</v>
      </c>
      <c r="D24188" s="69" t="s">
        <v>29420</v>
      </c>
      <c r="E24188" s="51"/>
      <c r="F24188" s="114" t="str">
        <f>IF(INDEX(I.Facility.P4IDNumber,4176)="","",INDEX(I.Facility.P4IDNumber,4176))</f>
        <v/>
      </c>
      <c r="G24188" s="51"/>
      <c r="H24188" s="46" t="str">
        <f>IF(AND(I.Developer.P4=TRUE,I.Facility.P4FacilityCount&gt;=4176,F24188=""),"Incomplete","Complete")</f>
        <v>Complete</v>
      </c>
      <c r="I24188" s="48" t="s">
        <v>28553</v>
      </c>
    </row>
    <row r="24189" spans="2:9" ht="15" customHeight="1" x14ac:dyDescent="0.25">
      <c r="B24189" s="55" t="s">
        <v>283</v>
      </c>
      <c r="C24189" s="46">
        <v>4177</v>
      </c>
      <c r="D24189" s="69" t="s">
        <v>29420</v>
      </c>
      <c r="E24189" s="51"/>
      <c r="F24189" s="114" t="str">
        <f>IF(INDEX(I.Facility.P4IDNumber,4177)="","",INDEX(I.Facility.P4IDNumber,4177))</f>
        <v/>
      </c>
      <c r="G24189" s="51"/>
      <c r="H24189" s="46" t="str">
        <f>IF(AND(I.Developer.P4=TRUE,I.Facility.P4FacilityCount&gt;=4177,F24189=""),"Incomplete","Complete")</f>
        <v>Complete</v>
      </c>
      <c r="I24189" s="48" t="s">
        <v>28554</v>
      </c>
    </row>
    <row r="24190" spans="2:9" ht="15" customHeight="1" x14ac:dyDescent="0.25">
      <c r="B24190" s="55" t="s">
        <v>283</v>
      </c>
      <c r="C24190" s="46">
        <v>4178</v>
      </c>
      <c r="D24190" s="69" t="s">
        <v>29420</v>
      </c>
      <c r="E24190" s="51"/>
      <c r="F24190" s="114" t="str">
        <f>IF(INDEX(I.Facility.P4IDNumber,4178)="","",INDEX(I.Facility.P4IDNumber,4178))</f>
        <v/>
      </c>
      <c r="G24190" s="51"/>
      <c r="H24190" s="46" t="str">
        <f>IF(AND(I.Developer.P4=TRUE,I.Facility.P4FacilityCount&gt;=4178,F24190=""),"Incomplete","Complete")</f>
        <v>Complete</v>
      </c>
      <c r="I24190" s="48" t="s">
        <v>28555</v>
      </c>
    </row>
    <row r="24191" spans="2:9" ht="15" customHeight="1" x14ac:dyDescent="0.25">
      <c r="B24191" s="55" t="s">
        <v>283</v>
      </c>
      <c r="C24191" s="46">
        <v>4179</v>
      </c>
      <c r="D24191" s="69" t="s">
        <v>29420</v>
      </c>
      <c r="E24191" s="51"/>
      <c r="F24191" s="114" t="str">
        <f>IF(INDEX(I.Facility.P4IDNumber,4179)="","",INDEX(I.Facility.P4IDNumber,4179))</f>
        <v/>
      </c>
      <c r="G24191" s="51"/>
      <c r="H24191" s="46" t="str">
        <f>IF(AND(I.Developer.P4=TRUE,I.Facility.P4FacilityCount&gt;=4179,F24191=""),"Incomplete","Complete")</f>
        <v>Complete</v>
      </c>
      <c r="I24191" s="48" t="s">
        <v>28556</v>
      </c>
    </row>
    <row r="24192" spans="2:9" ht="15" customHeight="1" x14ac:dyDescent="0.25">
      <c r="B24192" s="55" t="s">
        <v>283</v>
      </c>
      <c r="C24192" s="46">
        <v>4180</v>
      </c>
      <c r="D24192" s="69" t="s">
        <v>29420</v>
      </c>
      <c r="E24192" s="51"/>
      <c r="F24192" s="114" t="str">
        <f>IF(INDEX(I.Facility.P4IDNumber,4180)="","",INDEX(I.Facility.P4IDNumber,4180))</f>
        <v/>
      </c>
      <c r="G24192" s="51"/>
      <c r="H24192" s="46" t="str">
        <f>IF(AND(I.Developer.P4=TRUE,I.Facility.P4FacilityCount&gt;=4180,F24192=""),"Incomplete","Complete")</f>
        <v>Complete</v>
      </c>
      <c r="I24192" s="48" t="s">
        <v>28557</v>
      </c>
    </row>
    <row r="24193" spans="2:9" ht="15" customHeight="1" x14ac:dyDescent="0.25">
      <c r="B24193" s="55" t="s">
        <v>283</v>
      </c>
      <c r="C24193" s="46">
        <v>4181</v>
      </c>
      <c r="D24193" s="69" t="s">
        <v>29420</v>
      </c>
      <c r="E24193" s="51"/>
      <c r="F24193" s="114" t="str">
        <f>IF(INDEX(I.Facility.P4IDNumber,4181)="","",INDEX(I.Facility.P4IDNumber,4181))</f>
        <v/>
      </c>
      <c r="G24193" s="51"/>
      <c r="H24193" s="46" t="str">
        <f>IF(AND(I.Developer.P4=TRUE,I.Facility.P4FacilityCount&gt;=4181,F24193=""),"Incomplete","Complete")</f>
        <v>Complete</v>
      </c>
      <c r="I24193" s="48" t="s">
        <v>28558</v>
      </c>
    </row>
    <row r="24194" spans="2:9" ht="15" customHeight="1" x14ac:dyDescent="0.25">
      <c r="B24194" s="55" t="s">
        <v>283</v>
      </c>
      <c r="C24194" s="46">
        <v>4182</v>
      </c>
      <c r="D24194" s="69" t="s">
        <v>29420</v>
      </c>
      <c r="E24194" s="51"/>
      <c r="F24194" s="114" t="str">
        <f>IF(INDEX(I.Facility.P4IDNumber,4182)="","",INDEX(I.Facility.P4IDNumber,4182))</f>
        <v/>
      </c>
      <c r="G24194" s="51"/>
      <c r="H24194" s="46" t="str">
        <f>IF(AND(I.Developer.P4=TRUE,I.Facility.P4FacilityCount&gt;=4182,F24194=""),"Incomplete","Complete")</f>
        <v>Complete</v>
      </c>
      <c r="I24194" s="48" t="s">
        <v>28559</v>
      </c>
    </row>
    <row r="24195" spans="2:9" ht="15" customHeight="1" x14ac:dyDescent="0.25">
      <c r="B24195" s="55" t="s">
        <v>283</v>
      </c>
      <c r="C24195" s="46">
        <v>4183</v>
      </c>
      <c r="D24195" s="69" t="s">
        <v>29420</v>
      </c>
      <c r="E24195" s="51"/>
      <c r="F24195" s="114" t="str">
        <f>IF(INDEX(I.Facility.P4IDNumber,4183)="","",INDEX(I.Facility.P4IDNumber,4183))</f>
        <v/>
      </c>
      <c r="G24195" s="51"/>
      <c r="H24195" s="46" t="str">
        <f>IF(AND(I.Developer.P4=TRUE,I.Facility.P4FacilityCount&gt;=4183,F24195=""),"Incomplete","Complete")</f>
        <v>Complete</v>
      </c>
      <c r="I24195" s="48" t="s">
        <v>28560</v>
      </c>
    </row>
    <row r="24196" spans="2:9" ht="15" customHeight="1" x14ac:dyDescent="0.25">
      <c r="B24196" s="55" t="s">
        <v>283</v>
      </c>
      <c r="C24196" s="46">
        <v>4184</v>
      </c>
      <c r="D24196" s="69" t="s">
        <v>29420</v>
      </c>
      <c r="E24196" s="51"/>
      <c r="F24196" s="114" t="str">
        <f>IF(INDEX(I.Facility.P4IDNumber,4184)="","",INDEX(I.Facility.P4IDNumber,4184))</f>
        <v/>
      </c>
      <c r="G24196" s="51"/>
      <c r="H24196" s="46" t="str">
        <f>IF(AND(I.Developer.P4=TRUE,I.Facility.P4FacilityCount&gt;=4184,F24196=""),"Incomplete","Complete")</f>
        <v>Complete</v>
      </c>
      <c r="I24196" s="48" t="s">
        <v>28561</v>
      </c>
    </row>
    <row r="24197" spans="2:9" ht="15" customHeight="1" x14ac:dyDescent="0.25">
      <c r="B24197" s="55" t="s">
        <v>283</v>
      </c>
      <c r="C24197" s="46">
        <v>4185</v>
      </c>
      <c r="D24197" s="69" t="s">
        <v>29420</v>
      </c>
      <c r="E24197" s="51"/>
      <c r="F24197" s="114" t="str">
        <f>IF(INDEX(I.Facility.P4IDNumber,4185)="","",INDEX(I.Facility.P4IDNumber,4185))</f>
        <v/>
      </c>
      <c r="G24197" s="51"/>
      <c r="H24197" s="46" t="str">
        <f>IF(AND(I.Developer.P4=TRUE,I.Facility.P4FacilityCount&gt;=4185,F24197=""),"Incomplete","Complete")</f>
        <v>Complete</v>
      </c>
      <c r="I24197" s="48" t="s">
        <v>28562</v>
      </c>
    </row>
    <row r="24198" spans="2:9" ht="15" customHeight="1" x14ac:dyDescent="0.25">
      <c r="B24198" s="55" t="s">
        <v>283</v>
      </c>
      <c r="C24198" s="46">
        <v>4186</v>
      </c>
      <c r="D24198" s="69" t="s">
        <v>29420</v>
      </c>
      <c r="E24198" s="51"/>
      <c r="F24198" s="114" t="str">
        <f>IF(INDEX(I.Facility.P4IDNumber,4186)="","",INDEX(I.Facility.P4IDNumber,4186))</f>
        <v/>
      </c>
      <c r="G24198" s="51"/>
      <c r="H24198" s="46" t="str">
        <f>IF(AND(I.Developer.P4=TRUE,I.Facility.P4FacilityCount&gt;=4186,F24198=""),"Incomplete","Complete")</f>
        <v>Complete</v>
      </c>
      <c r="I24198" s="48" t="s">
        <v>28563</v>
      </c>
    </row>
    <row r="24199" spans="2:9" ht="15" customHeight="1" x14ac:dyDescent="0.25">
      <c r="B24199" s="55" t="s">
        <v>283</v>
      </c>
      <c r="C24199" s="46">
        <v>4187</v>
      </c>
      <c r="D24199" s="69" t="s">
        <v>29420</v>
      </c>
      <c r="E24199" s="51"/>
      <c r="F24199" s="114" t="str">
        <f>IF(INDEX(I.Facility.P4IDNumber,4187)="","",INDEX(I.Facility.P4IDNumber,4187))</f>
        <v/>
      </c>
      <c r="G24199" s="51"/>
      <c r="H24199" s="46" t="str">
        <f>IF(AND(I.Developer.P4=TRUE,I.Facility.P4FacilityCount&gt;=4187,F24199=""),"Incomplete","Complete")</f>
        <v>Complete</v>
      </c>
      <c r="I24199" s="48" t="s">
        <v>28564</v>
      </c>
    </row>
    <row r="24200" spans="2:9" ht="15" customHeight="1" x14ac:dyDescent="0.25">
      <c r="B24200" s="55" t="s">
        <v>283</v>
      </c>
      <c r="C24200" s="46">
        <v>4188</v>
      </c>
      <c r="D24200" s="69" t="s">
        <v>29420</v>
      </c>
      <c r="E24200" s="51"/>
      <c r="F24200" s="114" t="str">
        <f>IF(INDEX(I.Facility.P4IDNumber,4188)="","",INDEX(I.Facility.P4IDNumber,4188))</f>
        <v/>
      </c>
      <c r="G24200" s="51"/>
      <c r="H24200" s="46" t="str">
        <f>IF(AND(I.Developer.P4=TRUE,I.Facility.P4FacilityCount&gt;=4188,F24200=""),"Incomplete","Complete")</f>
        <v>Complete</v>
      </c>
      <c r="I24200" s="48" t="s">
        <v>28565</v>
      </c>
    </row>
    <row r="24201" spans="2:9" ht="15" customHeight="1" x14ac:dyDescent="0.25">
      <c r="B24201" s="55" t="s">
        <v>283</v>
      </c>
      <c r="C24201" s="46">
        <v>4189</v>
      </c>
      <c r="D24201" s="69" t="s">
        <v>29420</v>
      </c>
      <c r="E24201" s="51"/>
      <c r="F24201" s="114" t="str">
        <f>IF(INDEX(I.Facility.P4IDNumber,4189)="","",INDEX(I.Facility.P4IDNumber,4189))</f>
        <v/>
      </c>
      <c r="G24201" s="51"/>
      <c r="H24201" s="46" t="str">
        <f>IF(AND(I.Developer.P4=TRUE,I.Facility.P4FacilityCount&gt;=4189,F24201=""),"Incomplete","Complete")</f>
        <v>Complete</v>
      </c>
      <c r="I24201" s="48" t="s">
        <v>28566</v>
      </c>
    </row>
    <row r="24202" spans="2:9" ht="15" customHeight="1" x14ac:dyDescent="0.25">
      <c r="B24202" s="55" t="s">
        <v>283</v>
      </c>
      <c r="C24202" s="46">
        <v>4190</v>
      </c>
      <c r="D24202" s="69" t="s">
        <v>29420</v>
      </c>
      <c r="E24202" s="51"/>
      <c r="F24202" s="114" t="str">
        <f>IF(INDEX(I.Facility.P4IDNumber,4190)="","",INDEX(I.Facility.P4IDNumber,4190))</f>
        <v/>
      </c>
      <c r="G24202" s="51"/>
      <c r="H24202" s="46" t="str">
        <f>IF(AND(I.Developer.P4=TRUE,I.Facility.P4FacilityCount&gt;=4190,F24202=""),"Incomplete","Complete")</f>
        <v>Complete</v>
      </c>
      <c r="I24202" s="48" t="s">
        <v>28567</v>
      </c>
    </row>
    <row r="24203" spans="2:9" ht="15" customHeight="1" x14ac:dyDescent="0.25">
      <c r="B24203" s="55" t="s">
        <v>283</v>
      </c>
      <c r="C24203" s="46">
        <v>4191</v>
      </c>
      <c r="D24203" s="69" t="s">
        <v>29420</v>
      </c>
      <c r="E24203" s="51"/>
      <c r="F24203" s="114" t="str">
        <f>IF(INDEX(I.Facility.P4IDNumber,4191)="","",INDEX(I.Facility.P4IDNumber,4191))</f>
        <v/>
      </c>
      <c r="G24203" s="51"/>
      <c r="H24203" s="46" t="str">
        <f>IF(AND(I.Developer.P4=TRUE,I.Facility.P4FacilityCount&gt;=4191,F24203=""),"Incomplete","Complete")</f>
        <v>Complete</v>
      </c>
      <c r="I24203" s="48" t="s">
        <v>28568</v>
      </c>
    </row>
    <row r="24204" spans="2:9" ht="15" customHeight="1" x14ac:dyDescent="0.25">
      <c r="B24204" s="55" t="s">
        <v>283</v>
      </c>
      <c r="C24204" s="46">
        <v>4192</v>
      </c>
      <c r="D24204" s="69" t="s">
        <v>29420</v>
      </c>
      <c r="E24204" s="51"/>
      <c r="F24204" s="114" t="str">
        <f>IF(INDEX(I.Facility.P4IDNumber,4192)="","",INDEX(I.Facility.P4IDNumber,4192))</f>
        <v/>
      </c>
      <c r="G24204" s="51"/>
      <c r="H24204" s="46" t="str">
        <f>IF(AND(I.Developer.P4=TRUE,I.Facility.P4FacilityCount&gt;=4192,F24204=""),"Incomplete","Complete")</f>
        <v>Complete</v>
      </c>
      <c r="I24204" s="48" t="s">
        <v>28569</v>
      </c>
    </row>
    <row r="24205" spans="2:9" ht="15" customHeight="1" x14ac:dyDescent="0.25">
      <c r="B24205" s="55" t="s">
        <v>283</v>
      </c>
      <c r="C24205" s="46">
        <v>4193</v>
      </c>
      <c r="D24205" s="69" t="s">
        <v>29420</v>
      </c>
      <c r="E24205" s="51"/>
      <c r="F24205" s="114" t="str">
        <f>IF(INDEX(I.Facility.P4IDNumber,4193)="","",INDEX(I.Facility.P4IDNumber,4193))</f>
        <v/>
      </c>
      <c r="G24205" s="51"/>
      <c r="H24205" s="46" t="str">
        <f>IF(AND(I.Developer.P4=TRUE,I.Facility.P4FacilityCount&gt;=4193,F24205=""),"Incomplete","Complete")</f>
        <v>Complete</v>
      </c>
      <c r="I24205" s="48" t="s">
        <v>28570</v>
      </c>
    </row>
    <row r="24206" spans="2:9" ht="15" customHeight="1" x14ac:dyDescent="0.25">
      <c r="B24206" s="55" t="s">
        <v>283</v>
      </c>
      <c r="C24206" s="46">
        <v>4194</v>
      </c>
      <c r="D24206" s="69" t="s">
        <v>29420</v>
      </c>
      <c r="E24206" s="51"/>
      <c r="F24206" s="114" t="str">
        <f>IF(INDEX(I.Facility.P4IDNumber,4194)="","",INDEX(I.Facility.P4IDNumber,4194))</f>
        <v/>
      </c>
      <c r="G24206" s="51"/>
      <c r="H24206" s="46" t="str">
        <f>IF(AND(I.Developer.P4=TRUE,I.Facility.P4FacilityCount&gt;=4194,F24206=""),"Incomplete","Complete")</f>
        <v>Complete</v>
      </c>
      <c r="I24206" s="48" t="s">
        <v>28571</v>
      </c>
    </row>
    <row r="24207" spans="2:9" ht="15" customHeight="1" x14ac:dyDescent="0.25">
      <c r="B24207" s="55" t="s">
        <v>283</v>
      </c>
      <c r="C24207" s="46">
        <v>4195</v>
      </c>
      <c r="D24207" s="69" t="s">
        <v>29420</v>
      </c>
      <c r="E24207" s="51"/>
      <c r="F24207" s="114" t="str">
        <f>IF(INDEX(I.Facility.P4IDNumber,4195)="","",INDEX(I.Facility.P4IDNumber,4195))</f>
        <v/>
      </c>
      <c r="G24207" s="51"/>
      <c r="H24207" s="46" t="str">
        <f>IF(AND(I.Developer.P4=TRUE,I.Facility.P4FacilityCount&gt;=4195,F24207=""),"Incomplete","Complete")</f>
        <v>Complete</v>
      </c>
      <c r="I24207" s="48" t="s">
        <v>28572</v>
      </c>
    </row>
    <row r="24208" spans="2:9" ht="15" customHeight="1" x14ac:dyDescent="0.25">
      <c r="B24208" s="55" t="s">
        <v>283</v>
      </c>
      <c r="C24208" s="46">
        <v>4196</v>
      </c>
      <c r="D24208" s="69" t="s">
        <v>29420</v>
      </c>
      <c r="E24208" s="51"/>
      <c r="F24208" s="114" t="str">
        <f>IF(INDEX(I.Facility.P4IDNumber,4196)="","",INDEX(I.Facility.P4IDNumber,4196))</f>
        <v/>
      </c>
      <c r="G24208" s="51"/>
      <c r="H24208" s="46" t="str">
        <f>IF(AND(I.Developer.P4=TRUE,I.Facility.P4FacilityCount&gt;=4196,F24208=""),"Incomplete","Complete")</f>
        <v>Complete</v>
      </c>
      <c r="I24208" s="48" t="s">
        <v>28573</v>
      </c>
    </row>
    <row r="24209" spans="2:9" ht="15" customHeight="1" x14ac:dyDescent="0.25">
      <c r="B24209" s="55" t="s">
        <v>283</v>
      </c>
      <c r="C24209" s="46">
        <v>4197</v>
      </c>
      <c r="D24209" s="69" t="s">
        <v>29420</v>
      </c>
      <c r="E24209" s="51"/>
      <c r="F24209" s="114" t="str">
        <f>IF(INDEX(I.Facility.P4IDNumber,4197)="","",INDEX(I.Facility.P4IDNumber,4197))</f>
        <v/>
      </c>
      <c r="G24209" s="51"/>
      <c r="H24209" s="46" t="str">
        <f>IF(AND(I.Developer.P4=TRUE,I.Facility.P4FacilityCount&gt;=4197,F24209=""),"Incomplete","Complete")</f>
        <v>Complete</v>
      </c>
      <c r="I24209" s="48" t="s">
        <v>28574</v>
      </c>
    </row>
    <row r="24210" spans="2:9" ht="15" customHeight="1" x14ac:dyDescent="0.25">
      <c r="B24210" s="55" t="s">
        <v>283</v>
      </c>
      <c r="C24210" s="46">
        <v>4198</v>
      </c>
      <c r="D24210" s="69" t="s">
        <v>29420</v>
      </c>
      <c r="E24210" s="51"/>
      <c r="F24210" s="114" t="str">
        <f>IF(INDEX(I.Facility.P4IDNumber,4198)="","",INDEX(I.Facility.P4IDNumber,4198))</f>
        <v/>
      </c>
      <c r="G24210" s="51"/>
      <c r="H24210" s="46" t="str">
        <f>IF(AND(I.Developer.P4=TRUE,I.Facility.P4FacilityCount&gt;=4198,F24210=""),"Incomplete","Complete")</f>
        <v>Complete</v>
      </c>
      <c r="I24210" s="48" t="s">
        <v>28575</v>
      </c>
    </row>
    <row r="24211" spans="2:9" ht="15" customHeight="1" x14ac:dyDescent="0.25">
      <c r="B24211" s="55" t="s">
        <v>283</v>
      </c>
      <c r="C24211" s="46">
        <v>4199</v>
      </c>
      <c r="D24211" s="69" t="s">
        <v>29420</v>
      </c>
      <c r="E24211" s="51"/>
      <c r="F24211" s="114" t="str">
        <f>IF(INDEX(I.Facility.P4IDNumber,4199)="","",INDEX(I.Facility.P4IDNumber,4199))</f>
        <v/>
      </c>
      <c r="G24211" s="51"/>
      <c r="H24211" s="46" t="str">
        <f>IF(AND(I.Developer.P4=TRUE,I.Facility.P4FacilityCount&gt;=4199,F24211=""),"Incomplete","Complete")</f>
        <v>Complete</v>
      </c>
      <c r="I24211" s="48" t="s">
        <v>28576</v>
      </c>
    </row>
    <row r="24212" spans="2:9" ht="15" customHeight="1" x14ac:dyDescent="0.25">
      <c r="B24212" s="55" t="s">
        <v>283</v>
      </c>
      <c r="C24212" s="46">
        <v>4200</v>
      </c>
      <c r="D24212" s="69" t="s">
        <v>29420</v>
      </c>
      <c r="E24212" s="51"/>
      <c r="F24212" s="114" t="str">
        <f>IF(INDEX(I.Facility.P4IDNumber,4200)="","",INDEX(I.Facility.P4IDNumber,4200))</f>
        <v/>
      </c>
      <c r="G24212" s="51"/>
      <c r="H24212" s="46" t="str">
        <f>IF(AND(I.Developer.P4=TRUE,I.Facility.P4FacilityCount&gt;=4200,F24212=""),"Incomplete","Complete")</f>
        <v>Complete</v>
      </c>
      <c r="I24212" s="48" t="s">
        <v>28577</v>
      </c>
    </row>
    <row r="24213" spans="2:9" ht="15" customHeight="1" x14ac:dyDescent="0.25">
      <c r="B24213" s="55" t="s">
        <v>283</v>
      </c>
      <c r="C24213" s="46">
        <v>4201</v>
      </c>
      <c r="D24213" s="69" t="s">
        <v>29420</v>
      </c>
      <c r="E24213" s="51"/>
      <c r="F24213" s="114" t="str">
        <f>IF(INDEX(I.Facility.P4IDNumber,4201)="","",INDEX(I.Facility.P4IDNumber,4201))</f>
        <v/>
      </c>
      <c r="G24213" s="51"/>
      <c r="H24213" s="46" t="str">
        <f>IF(AND(I.Developer.P4=TRUE,I.Facility.P4FacilityCount&gt;=4201,F24213=""),"Incomplete","Complete")</f>
        <v>Complete</v>
      </c>
      <c r="I24213" s="48" t="s">
        <v>28578</v>
      </c>
    </row>
    <row r="24214" spans="2:9" ht="15" customHeight="1" x14ac:dyDescent="0.25">
      <c r="B24214" s="55" t="s">
        <v>283</v>
      </c>
      <c r="C24214" s="46">
        <v>4202</v>
      </c>
      <c r="D24214" s="69" t="s">
        <v>29420</v>
      </c>
      <c r="E24214" s="51"/>
      <c r="F24214" s="114" t="str">
        <f>IF(INDEX(I.Facility.P4IDNumber,4202)="","",INDEX(I.Facility.P4IDNumber,4202))</f>
        <v/>
      </c>
      <c r="G24214" s="51"/>
      <c r="H24214" s="46" t="str">
        <f>IF(AND(I.Developer.P4=TRUE,I.Facility.P4FacilityCount&gt;=4202,F24214=""),"Incomplete","Complete")</f>
        <v>Complete</v>
      </c>
      <c r="I24214" s="48" t="s">
        <v>28579</v>
      </c>
    </row>
    <row r="24215" spans="2:9" ht="15" customHeight="1" x14ac:dyDescent="0.25">
      <c r="B24215" s="55" t="s">
        <v>283</v>
      </c>
      <c r="C24215" s="46">
        <v>4203</v>
      </c>
      <c r="D24215" s="69" t="s">
        <v>29420</v>
      </c>
      <c r="E24215" s="51"/>
      <c r="F24215" s="114" t="str">
        <f>IF(INDEX(I.Facility.P4IDNumber,4203)="","",INDEX(I.Facility.P4IDNumber,4203))</f>
        <v/>
      </c>
      <c r="G24215" s="51"/>
      <c r="H24215" s="46" t="str">
        <f>IF(AND(I.Developer.P4=TRUE,I.Facility.P4FacilityCount&gt;=4203,F24215=""),"Incomplete","Complete")</f>
        <v>Complete</v>
      </c>
      <c r="I24215" s="48" t="s">
        <v>28580</v>
      </c>
    </row>
    <row r="24216" spans="2:9" ht="15" customHeight="1" x14ac:dyDescent="0.25">
      <c r="B24216" s="55" t="s">
        <v>283</v>
      </c>
      <c r="C24216" s="46">
        <v>4204</v>
      </c>
      <c r="D24216" s="69" t="s">
        <v>29420</v>
      </c>
      <c r="E24216" s="51"/>
      <c r="F24216" s="114" t="str">
        <f>IF(INDEX(I.Facility.P4IDNumber,4204)="","",INDEX(I.Facility.P4IDNumber,4204))</f>
        <v/>
      </c>
      <c r="G24216" s="51"/>
      <c r="H24216" s="46" t="str">
        <f>IF(AND(I.Developer.P4=TRUE,I.Facility.P4FacilityCount&gt;=4204,F24216=""),"Incomplete","Complete")</f>
        <v>Complete</v>
      </c>
      <c r="I24216" s="48" t="s">
        <v>28581</v>
      </c>
    </row>
    <row r="24217" spans="2:9" ht="15" customHeight="1" x14ac:dyDescent="0.25">
      <c r="B24217" s="55" t="s">
        <v>283</v>
      </c>
      <c r="C24217" s="46">
        <v>4205</v>
      </c>
      <c r="D24217" s="69" t="s">
        <v>29420</v>
      </c>
      <c r="E24217" s="51"/>
      <c r="F24217" s="114" t="str">
        <f>IF(INDEX(I.Facility.P4IDNumber,4205)="","",INDEX(I.Facility.P4IDNumber,4205))</f>
        <v/>
      </c>
      <c r="G24217" s="51"/>
      <c r="H24217" s="46" t="str">
        <f>IF(AND(I.Developer.P4=TRUE,I.Facility.P4FacilityCount&gt;=4205,F24217=""),"Incomplete","Complete")</f>
        <v>Complete</v>
      </c>
      <c r="I24217" s="48" t="s">
        <v>28582</v>
      </c>
    </row>
    <row r="24218" spans="2:9" ht="15" customHeight="1" x14ac:dyDescent="0.25">
      <c r="B24218" s="55" t="s">
        <v>283</v>
      </c>
      <c r="C24218" s="46">
        <v>4206</v>
      </c>
      <c r="D24218" s="69" t="s">
        <v>29420</v>
      </c>
      <c r="E24218" s="51"/>
      <c r="F24218" s="114" t="str">
        <f>IF(INDEX(I.Facility.P4IDNumber,4206)="","",INDEX(I.Facility.P4IDNumber,4206))</f>
        <v/>
      </c>
      <c r="G24218" s="51"/>
      <c r="H24218" s="46" t="str">
        <f>IF(AND(I.Developer.P4=TRUE,I.Facility.P4FacilityCount&gt;=4206,F24218=""),"Incomplete","Complete")</f>
        <v>Complete</v>
      </c>
      <c r="I24218" s="48" t="s">
        <v>28583</v>
      </c>
    </row>
    <row r="24219" spans="2:9" ht="15" customHeight="1" x14ac:dyDescent="0.25">
      <c r="B24219" s="55" t="s">
        <v>283</v>
      </c>
      <c r="C24219" s="46">
        <v>4207</v>
      </c>
      <c r="D24219" s="69" t="s">
        <v>29420</v>
      </c>
      <c r="E24219" s="51"/>
      <c r="F24219" s="114" t="str">
        <f>IF(INDEX(I.Facility.P4IDNumber,4207)="","",INDEX(I.Facility.P4IDNumber,4207))</f>
        <v/>
      </c>
      <c r="G24219" s="51"/>
      <c r="H24219" s="46" t="str">
        <f>IF(AND(I.Developer.P4=TRUE,I.Facility.P4FacilityCount&gt;=4207,F24219=""),"Incomplete","Complete")</f>
        <v>Complete</v>
      </c>
      <c r="I24219" s="48" t="s">
        <v>28584</v>
      </c>
    </row>
    <row r="24220" spans="2:9" ht="15" customHeight="1" x14ac:dyDescent="0.25">
      <c r="B24220" s="55" t="s">
        <v>283</v>
      </c>
      <c r="C24220" s="46">
        <v>4208</v>
      </c>
      <c r="D24220" s="69" t="s">
        <v>29420</v>
      </c>
      <c r="E24220" s="51"/>
      <c r="F24220" s="114" t="str">
        <f>IF(INDEX(I.Facility.P4IDNumber,4208)="","",INDEX(I.Facility.P4IDNumber,4208))</f>
        <v/>
      </c>
      <c r="G24220" s="51"/>
      <c r="H24220" s="46" t="str">
        <f>IF(AND(I.Developer.P4=TRUE,I.Facility.P4FacilityCount&gt;=4208,F24220=""),"Incomplete","Complete")</f>
        <v>Complete</v>
      </c>
      <c r="I24220" s="48" t="s">
        <v>28585</v>
      </c>
    </row>
    <row r="24221" spans="2:9" ht="15" customHeight="1" x14ac:dyDescent="0.25">
      <c r="B24221" s="55" t="s">
        <v>283</v>
      </c>
      <c r="C24221" s="46">
        <v>4209</v>
      </c>
      <c r="D24221" s="69" t="s">
        <v>29420</v>
      </c>
      <c r="E24221" s="51"/>
      <c r="F24221" s="114" t="str">
        <f>IF(INDEX(I.Facility.P4IDNumber,4209)="","",INDEX(I.Facility.P4IDNumber,4209))</f>
        <v/>
      </c>
      <c r="G24221" s="51"/>
      <c r="H24221" s="46" t="str">
        <f>IF(AND(I.Developer.P4=TRUE,I.Facility.P4FacilityCount&gt;=4209,F24221=""),"Incomplete","Complete")</f>
        <v>Complete</v>
      </c>
      <c r="I24221" s="48" t="s">
        <v>28586</v>
      </c>
    </row>
    <row r="24222" spans="2:9" ht="15" customHeight="1" x14ac:dyDescent="0.25">
      <c r="B24222" s="55" t="s">
        <v>283</v>
      </c>
      <c r="C24222" s="46">
        <v>4210</v>
      </c>
      <c r="D24222" s="69" t="s">
        <v>29420</v>
      </c>
      <c r="E24222" s="51"/>
      <c r="F24222" s="114" t="str">
        <f>IF(INDEX(I.Facility.P4IDNumber,4210)="","",INDEX(I.Facility.P4IDNumber,4210))</f>
        <v/>
      </c>
      <c r="G24222" s="51"/>
      <c r="H24222" s="46" t="str">
        <f>IF(AND(I.Developer.P4=TRUE,I.Facility.P4FacilityCount&gt;=4210,F24222=""),"Incomplete","Complete")</f>
        <v>Complete</v>
      </c>
      <c r="I24222" s="48" t="s">
        <v>28587</v>
      </c>
    </row>
    <row r="24223" spans="2:9" ht="15" customHeight="1" x14ac:dyDescent="0.25">
      <c r="B24223" s="55" t="s">
        <v>283</v>
      </c>
      <c r="C24223" s="46">
        <v>4211</v>
      </c>
      <c r="D24223" s="69" t="s">
        <v>29420</v>
      </c>
      <c r="E24223" s="51"/>
      <c r="F24223" s="114" t="str">
        <f>IF(INDEX(I.Facility.P4IDNumber,4211)="","",INDEX(I.Facility.P4IDNumber,4211))</f>
        <v/>
      </c>
      <c r="G24223" s="51"/>
      <c r="H24223" s="46" t="str">
        <f>IF(AND(I.Developer.P4=TRUE,I.Facility.P4FacilityCount&gt;=4211,F24223=""),"Incomplete","Complete")</f>
        <v>Complete</v>
      </c>
      <c r="I24223" s="48" t="s">
        <v>28588</v>
      </c>
    </row>
    <row r="24224" spans="2:9" ht="15" customHeight="1" x14ac:dyDescent="0.25">
      <c r="B24224" s="55" t="s">
        <v>283</v>
      </c>
      <c r="C24224" s="46">
        <v>4212</v>
      </c>
      <c r="D24224" s="69" t="s">
        <v>29420</v>
      </c>
      <c r="E24224" s="51"/>
      <c r="F24224" s="114" t="str">
        <f>IF(INDEX(I.Facility.P4IDNumber,4212)="","",INDEX(I.Facility.P4IDNumber,4212))</f>
        <v/>
      </c>
      <c r="G24224" s="51"/>
      <c r="H24224" s="46" t="str">
        <f>IF(AND(I.Developer.P4=TRUE,I.Facility.P4FacilityCount&gt;=4212,F24224=""),"Incomplete","Complete")</f>
        <v>Complete</v>
      </c>
      <c r="I24224" s="48" t="s">
        <v>28589</v>
      </c>
    </row>
    <row r="24225" spans="2:9" ht="15" customHeight="1" x14ac:dyDescent="0.25">
      <c r="B24225" s="55" t="s">
        <v>283</v>
      </c>
      <c r="C24225" s="46">
        <v>4213</v>
      </c>
      <c r="D24225" s="69" t="s">
        <v>29420</v>
      </c>
      <c r="E24225" s="51"/>
      <c r="F24225" s="114" t="str">
        <f>IF(INDEX(I.Facility.P4IDNumber,4213)="","",INDEX(I.Facility.P4IDNumber,4213))</f>
        <v/>
      </c>
      <c r="G24225" s="51"/>
      <c r="H24225" s="46" t="str">
        <f>IF(AND(I.Developer.P4=TRUE,I.Facility.P4FacilityCount&gt;=4213,F24225=""),"Incomplete","Complete")</f>
        <v>Complete</v>
      </c>
      <c r="I24225" s="48" t="s">
        <v>28590</v>
      </c>
    </row>
    <row r="24226" spans="2:9" ht="15" customHeight="1" x14ac:dyDescent="0.25">
      <c r="B24226" s="55" t="s">
        <v>283</v>
      </c>
      <c r="C24226" s="46">
        <v>4214</v>
      </c>
      <c r="D24226" s="69" t="s">
        <v>29420</v>
      </c>
      <c r="E24226" s="51"/>
      <c r="F24226" s="114" t="str">
        <f>IF(INDEX(I.Facility.P4IDNumber,4214)="","",INDEX(I.Facility.P4IDNumber,4214))</f>
        <v/>
      </c>
      <c r="G24226" s="51"/>
      <c r="H24226" s="46" t="str">
        <f>IF(AND(I.Developer.P4=TRUE,I.Facility.P4FacilityCount&gt;=4214,F24226=""),"Incomplete","Complete")</f>
        <v>Complete</v>
      </c>
      <c r="I24226" s="48" t="s">
        <v>28591</v>
      </c>
    </row>
    <row r="24227" spans="2:9" ht="15" customHeight="1" x14ac:dyDescent="0.25">
      <c r="B24227" s="55" t="s">
        <v>283</v>
      </c>
      <c r="C24227" s="46">
        <v>4215</v>
      </c>
      <c r="D24227" s="69" t="s">
        <v>29420</v>
      </c>
      <c r="E24227" s="51"/>
      <c r="F24227" s="114" t="str">
        <f>IF(INDEX(I.Facility.P4IDNumber,4215)="","",INDEX(I.Facility.P4IDNumber,4215))</f>
        <v/>
      </c>
      <c r="G24227" s="51"/>
      <c r="H24227" s="46" t="str">
        <f>IF(AND(I.Developer.P4=TRUE,I.Facility.P4FacilityCount&gt;=4215,F24227=""),"Incomplete","Complete")</f>
        <v>Complete</v>
      </c>
      <c r="I24227" s="48" t="s">
        <v>28592</v>
      </c>
    </row>
    <row r="24228" spans="2:9" ht="15" customHeight="1" x14ac:dyDescent="0.25">
      <c r="B24228" s="55" t="s">
        <v>283</v>
      </c>
      <c r="C24228" s="46">
        <v>4216</v>
      </c>
      <c r="D24228" s="69" t="s">
        <v>29420</v>
      </c>
      <c r="E24228" s="51"/>
      <c r="F24228" s="114" t="str">
        <f>IF(INDEX(I.Facility.P4IDNumber,4216)="","",INDEX(I.Facility.P4IDNumber,4216))</f>
        <v/>
      </c>
      <c r="G24228" s="51"/>
      <c r="H24228" s="46" t="str">
        <f>IF(AND(I.Developer.P4=TRUE,I.Facility.P4FacilityCount&gt;=4216,F24228=""),"Incomplete","Complete")</f>
        <v>Complete</v>
      </c>
      <c r="I24228" s="48" t="s">
        <v>28593</v>
      </c>
    </row>
    <row r="24229" spans="2:9" ht="15" customHeight="1" x14ac:dyDescent="0.25">
      <c r="B24229" s="55" t="s">
        <v>283</v>
      </c>
      <c r="C24229" s="46">
        <v>4217</v>
      </c>
      <c r="D24229" s="69" t="s">
        <v>29420</v>
      </c>
      <c r="E24229" s="51"/>
      <c r="F24229" s="114" t="str">
        <f>IF(INDEX(I.Facility.P4IDNumber,4217)="","",INDEX(I.Facility.P4IDNumber,4217))</f>
        <v/>
      </c>
      <c r="G24229" s="51"/>
      <c r="H24229" s="46" t="str">
        <f>IF(AND(I.Developer.P4=TRUE,I.Facility.P4FacilityCount&gt;=4217,F24229=""),"Incomplete","Complete")</f>
        <v>Complete</v>
      </c>
      <c r="I24229" s="48" t="s">
        <v>28594</v>
      </c>
    </row>
    <row r="24230" spans="2:9" ht="15" customHeight="1" x14ac:dyDescent="0.25">
      <c r="B24230" s="55" t="s">
        <v>283</v>
      </c>
      <c r="C24230" s="46">
        <v>4218</v>
      </c>
      <c r="D24230" s="69" t="s">
        <v>29420</v>
      </c>
      <c r="E24230" s="51"/>
      <c r="F24230" s="114" t="str">
        <f>IF(INDEX(I.Facility.P4IDNumber,4218)="","",INDEX(I.Facility.P4IDNumber,4218))</f>
        <v/>
      </c>
      <c r="G24230" s="51"/>
      <c r="H24230" s="46" t="str">
        <f>IF(AND(I.Developer.P4=TRUE,I.Facility.P4FacilityCount&gt;=4218,F24230=""),"Incomplete","Complete")</f>
        <v>Complete</v>
      </c>
      <c r="I24230" s="48" t="s">
        <v>28595</v>
      </c>
    </row>
    <row r="24231" spans="2:9" ht="15" customHeight="1" x14ac:dyDescent="0.25">
      <c r="B24231" s="55" t="s">
        <v>283</v>
      </c>
      <c r="C24231" s="46">
        <v>4219</v>
      </c>
      <c r="D24231" s="69" t="s">
        <v>29420</v>
      </c>
      <c r="E24231" s="51"/>
      <c r="F24231" s="114" t="str">
        <f>IF(INDEX(I.Facility.P4IDNumber,4219)="","",INDEX(I.Facility.P4IDNumber,4219))</f>
        <v/>
      </c>
      <c r="G24231" s="51"/>
      <c r="H24231" s="46" t="str">
        <f>IF(AND(I.Developer.P4=TRUE,I.Facility.P4FacilityCount&gt;=4219,F24231=""),"Incomplete","Complete")</f>
        <v>Complete</v>
      </c>
      <c r="I24231" s="48" t="s">
        <v>28596</v>
      </c>
    </row>
    <row r="24232" spans="2:9" ht="15" customHeight="1" x14ac:dyDescent="0.25">
      <c r="B24232" s="55" t="s">
        <v>283</v>
      </c>
      <c r="C24232" s="46">
        <v>4220</v>
      </c>
      <c r="D24232" s="69" t="s">
        <v>29420</v>
      </c>
      <c r="E24232" s="51"/>
      <c r="F24232" s="114" t="str">
        <f>IF(INDEX(I.Facility.P4IDNumber,4220)="","",INDEX(I.Facility.P4IDNumber,4220))</f>
        <v/>
      </c>
      <c r="G24232" s="51"/>
      <c r="H24232" s="46" t="str">
        <f>IF(AND(I.Developer.P4=TRUE,I.Facility.P4FacilityCount&gt;=4220,F24232=""),"Incomplete","Complete")</f>
        <v>Complete</v>
      </c>
      <c r="I24232" s="48" t="s">
        <v>28597</v>
      </c>
    </row>
    <row r="24233" spans="2:9" ht="15" customHeight="1" x14ac:dyDescent="0.25">
      <c r="B24233" s="55" t="s">
        <v>283</v>
      </c>
      <c r="C24233" s="46">
        <v>4221</v>
      </c>
      <c r="D24233" s="69" t="s">
        <v>29420</v>
      </c>
      <c r="E24233" s="51"/>
      <c r="F24233" s="114" t="str">
        <f>IF(INDEX(I.Facility.P4IDNumber,4221)="","",INDEX(I.Facility.P4IDNumber,4221))</f>
        <v/>
      </c>
      <c r="G24233" s="51"/>
      <c r="H24233" s="46" t="str">
        <f>IF(AND(I.Developer.P4=TRUE,I.Facility.P4FacilityCount&gt;=4221,F24233=""),"Incomplete","Complete")</f>
        <v>Complete</v>
      </c>
      <c r="I24233" s="48" t="s">
        <v>28598</v>
      </c>
    </row>
    <row r="24234" spans="2:9" ht="15" customHeight="1" x14ac:dyDescent="0.25">
      <c r="B24234" s="55" t="s">
        <v>283</v>
      </c>
      <c r="C24234" s="46">
        <v>4222</v>
      </c>
      <c r="D24234" s="69" t="s">
        <v>29420</v>
      </c>
      <c r="E24234" s="51"/>
      <c r="F24234" s="114" t="str">
        <f>IF(INDEX(I.Facility.P4IDNumber,4222)="","",INDEX(I.Facility.P4IDNumber,4222))</f>
        <v/>
      </c>
      <c r="G24234" s="51"/>
      <c r="H24234" s="46" t="str">
        <f>IF(AND(I.Developer.P4=TRUE,I.Facility.P4FacilityCount&gt;=4222,F24234=""),"Incomplete","Complete")</f>
        <v>Complete</v>
      </c>
      <c r="I24234" s="48" t="s">
        <v>28599</v>
      </c>
    </row>
    <row r="24235" spans="2:9" ht="15" customHeight="1" x14ac:dyDescent="0.25">
      <c r="B24235" s="55" t="s">
        <v>283</v>
      </c>
      <c r="C24235" s="46">
        <v>4223</v>
      </c>
      <c r="D24235" s="69" t="s">
        <v>29420</v>
      </c>
      <c r="E24235" s="51"/>
      <c r="F24235" s="114" t="str">
        <f>IF(INDEX(I.Facility.P4IDNumber,4223)="","",INDEX(I.Facility.P4IDNumber,4223))</f>
        <v/>
      </c>
      <c r="G24235" s="51"/>
      <c r="H24235" s="46" t="str">
        <f>IF(AND(I.Developer.P4=TRUE,I.Facility.P4FacilityCount&gt;=4223,F24235=""),"Incomplete","Complete")</f>
        <v>Complete</v>
      </c>
      <c r="I24235" s="48" t="s">
        <v>28600</v>
      </c>
    </row>
    <row r="24236" spans="2:9" ht="15" customHeight="1" x14ac:dyDescent="0.25">
      <c r="B24236" s="55" t="s">
        <v>283</v>
      </c>
      <c r="C24236" s="46">
        <v>4224</v>
      </c>
      <c r="D24236" s="69" t="s">
        <v>29420</v>
      </c>
      <c r="E24236" s="51"/>
      <c r="F24236" s="114" t="str">
        <f>IF(INDEX(I.Facility.P4IDNumber,4224)="","",INDEX(I.Facility.P4IDNumber,4224))</f>
        <v/>
      </c>
      <c r="G24236" s="51"/>
      <c r="H24236" s="46" t="str">
        <f>IF(AND(I.Developer.P4=TRUE,I.Facility.P4FacilityCount&gt;=4224,F24236=""),"Incomplete","Complete")</f>
        <v>Complete</v>
      </c>
      <c r="I24236" s="48" t="s">
        <v>28601</v>
      </c>
    </row>
    <row r="24237" spans="2:9" ht="15" customHeight="1" x14ac:dyDescent="0.25">
      <c r="B24237" s="55" t="s">
        <v>283</v>
      </c>
      <c r="C24237" s="46">
        <v>4225</v>
      </c>
      <c r="D24237" s="69" t="s">
        <v>29420</v>
      </c>
      <c r="E24237" s="51"/>
      <c r="F24237" s="114" t="str">
        <f>IF(INDEX(I.Facility.P4IDNumber,4225)="","",INDEX(I.Facility.P4IDNumber,4225))</f>
        <v/>
      </c>
      <c r="G24237" s="51"/>
      <c r="H24237" s="46" t="str">
        <f>IF(AND(I.Developer.P4=TRUE,I.Facility.P4FacilityCount&gt;=4225,F24237=""),"Incomplete","Complete")</f>
        <v>Complete</v>
      </c>
      <c r="I24237" s="48" t="s">
        <v>28602</v>
      </c>
    </row>
    <row r="24238" spans="2:9" ht="15" customHeight="1" x14ac:dyDescent="0.25">
      <c r="B24238" s="55" t="s">
        <v>283</v>
      </c>
      <c r="C24238" s="46">
        <v>4226</v>
      </c>
      <c r="D24238" s="69" t="s">
        <v>29420</v>
      </c>
      <c r="E24238" s="51"/>
      <c r="F24238" s="114" t="str">
        <f>IF(INDEX(I.Facility.P4IDNumber,4226)="","",INDEX(I.Facility.P4IDNumber,4226))</f>
        <v/>
      </c>
      <c r="G24238" s="51"/>
      <c r="H24238" s="46" t="str">
        <f>IF(AND(I.Developer.P4=TRUE,I.Facility.P4FacilityCount&gt;=4226,F24238=""),"Incomplete","Complete")</f>
        <v>Complete</v>
      </c>
      <c r="I24238" s="48" t="s">
        <v>28603</v>
      </c>
    </row>
    <row r="24239" spans="2:9" ht="15" customHeight="1" x14ac:dyDescent="0.25">
      <c r="B24239" s="55" t="s">
        <v>283</v>
      </c>
      <c r="C24239" s="46">
        <v>4227</v>
      </c>
      <c r="D24239" s="69" t="s">
        <v>29420</v>
      </c>
      <c r="E24239" s="51"/>
      <c r="F24239" s="114" t="str">
        <f>IF(INDEX(I.Facility.P4IDNumber,4227)="","",INDEX(I.Facility.P4IDNumber,4227))</f>
        <v/>
      </c>
      <c r="G24239" s="51"/>
      <c r="H24239" s="46" t="str">
        <f>IF(AND(I.Developer.P4=TRUE,I.Facility.P4FacilityCount&gt;=4227,F24239=""),"Incomplete","Complete")</f>
        <v>Complete</v>
      </c>
      <c r="I24239" s="48" t="s">
        <v>28604</v>
      </c>
    </row>
    <row r="24240" spans="2:9" ht="15" customHeight="1" x14ac:dyDescent="0.25">
      <c r="B24240" s="55" t="s">
        <v>283</v>
      </c>
      <c r="C24240" s="46">
        <v>4228</v>
      </c>
      <c r="D24240" s="69" t="s">
        <v>29420</v>
      </c>
      <c r="E24240" s="51"/>
      <c r="F24240" s="114" t="str">
        <f>IF(INDEX(I.Facility.P4IDNumber,4228)="","",INDEX(I.Facility.P4IDNumber,4228))</f>
        <v/>
      </c>
      <c r="G24240" s="51"/>
      <c r="H24240" s="46" t="str">
        <f>IF(AND(I.Developer.P4=TRUE,I.Facility.P4FacilityCount&gt;=4228,F24240=""),"Incomplete","Complete")</f>
        <v>Complete</v>
      </c>
      <c r="I24240" s="48" t="s">
        <v>28605</v>
      </c>
    </row>
    <row r="24241" spans="2:9" ht="15" customHeight="1" x14ac:dyDescent="0.25">
      <c r="B24241" s="55" t="s">
        <v>283</v>
      </c>
      <c r="C24241" s="46">
        <v>4229</v>
      </c>
      <c r="D24241" s="69" t="s">
        <v>29420</v>
      </c>
      <c r="E24241" s="51"/>
      <c r="F24241" s="114" t="str">
        <f>IF(INDEX(I.Facility.P4IDNumber,4229)="","",INDEX(I.Facility.P4IDNumber,4229))</f>
        <v/>
      </c>
      <c r="G24241" s="51"/>
      <c r="H24241" s="46" t="str">
        <f>IF(AND(I.Developer.P4=TRUE,I.Facility.P4FacilityCount&gt;=4229,F24241=""),"Incomplete","Complete")</f>
        <v>Complete</v>
      </c>
      <c r="I24241" s="48" t="s">
        <v>28606</v>
      </c>
    </row>
    <row r="24242" spans="2:9" ht="15" customHeight="1" x14ac:dyDescent="0.25">
      <c r="B24242" s="55" t="s">
        <v>283</v>
      </c>
      <c r="C24242" s="46">
        <v>4230</v>
      </c>
      <c r="D24242" s="69" t="s">
        <v>29420</v>
      </c>
      <c r="E24242" s="51"/>
      <c r="F24242" s="114" t="str">
        <f>IF(INDEX(I.Facility.P4IDNumber,4230)="","",INDEX(I.Facility.P4IDNumber,4230))</f>
        <v/>
      </c>
      <c r="G24242" s="51"/>
      <c r="H24242" s="46" t="str">
        <f>IF(AND(I.Developer.P4=TRUE,I.Facility.P4FacilityCount&gt;=4230,F24242=""),"Incomplete","Complete")</f>
        <v>Complete</v>
      </c>
      <c r="I24242" s="48" t="s">
        <v>28607</v>
      </c>
    </row>
    <row r="24243" spans="2:9" ht="15" customHeight="1" x14ac:dyDescent="0.25">
      <c r="B24243" s="55" t="s">
        <v>283</v>
      </c>
      <c r="C24243" s="46">
        <v>4231</v>
      </c>
      <c r="D24243" s="69" t="s">
        <v>29420</v>
      </c>
      <c r="E24243" s="51"/>
      <c r="F24243" s="114" t="str">
        <f>IF(INDEX(I.Facility.P4IDNumber,4231)="","",INDEX(I.Facility.P4IDNumber,4231))</f>
        <v/>
      </c>
      <c r="G24243" s="51"/>
      <c r="H24243" s="46" t="str">
        <f>IF(AND(I.Developer.P4=TRUE,I.Facility.P4FacilityCount&gt;=4231,F24243=""),"Incomplete","Complete")</f>
        <v>Complete</v>
      </c>
      <c r="I24243" s="48" t="s">
        <v>28608</v>
      </c>
    </row>
    <row r="24244" spans="2:9" ht="15" customHeight="1" x14ac:dyDescent="0.25">
      <c r="B24244" s="55" t="s">
        <v>283</v>
      </c>
      <c r="C24244" s="46">
        <v>4232</v>
      </c>
      <c r="D24244" s="69" t="s">
        <v>29420</v>
      </c>
      <c r="E24244" s="51"/>
      <c r="F24244" s="114" t="str">
        <f>IF(INDEX(I.Facility.P4IDNumber,4232)="","",INDEX(I.Facility.P4IDNumber,4232))</f>
        <v/>
      </c>
      <c r="G24244" s="51"/>
      <c r="H24244" s="46" t="str">
        <f>IF(AND(I.Developer.P4=TRUE,I.Facility.P4FacilityCount&gt;=4232,F24244=""),"Incomplete","Complete")</f>
        <v>Complete</v>
      </c>
      <c r="I24244" s="48" t="s">
        <v>28609</v>
      </c>
    </row>
    <row r="24245" spans="2:9" ht="15" customHeight="1" x14ac:dyDescent="0.25">
      <c r="B24245" s="55" t="s">
        <v>283</v>
      </c>
      <c r="C24245" s="46">
        <v>4233</v>
      </c>
      <c r="D24245" s="69" t="s">
        <v>29420</v>
      </c>
      <c r="E24245" s="51"/>
      <c r="F24245" s="114" t="str">
        <f>IF(INDEX(I.Facility.P4IDNumber,4233)="","",INDEX(I.Facility.P4IDNumber,4233))</f>
        <v/>
      </c>
      <c r="G24245" s="51"/>
      <c r="H24245" s="46" t="str">
        <f>IF(AND(I.Developer.P4=TRUE,I.Facility.P4FacilityCount&gt;=4233,F24245=""),"Incomplete","Complete")</f>
        <v>Complete</v>
      </c>
      <c r="I24245" s="48" t="s">
        <v>28610</v>
      </c>
    </row>
    <row r="24246" spans="2:9" ht="15" customHeight="1" x14ac:dyDescent="0.25">
      <c r="B24246" s="55" t="s">
        <v>283</v>
      </c>
      <c r="C24246" s="46">
        <v>4234</v>
      </c>
      <c r="D24246" s="69" t="s">
        <v>29420</v>
      </c>
      <c r="E24246" s="51"/>
      <c r="F24246" s="114" t="str">
        <f>IF(INDEX(I.Facility.P4IDNumber,4234)="","",INDEX(I.Facility.P4IDNumber,4234))</f>
        <v/>
      </c>
      <c r="G24246" s="51"/>
      <c r="H24246" s="46" t="str">
        <f>IF(AND(I.Developer.P4=TRUE,I.Facility.P4FacilityCount&gt;=4234,F24246=""),"Incomplete","Complete")</f>
        <v>Complete</v>
      </c>
      <c r="I24246" s="48" t="s">
        <v>28611</v>
      </c>
    </row>
    <row r="24247" spans="2:9" ht="15" customHeight="1" x14ac:dyDescent="0.25">
      <c r="B24247" s="55" t="s">
        <v>283</v>
      </c>
      <c r="C24247" s="46">
        <v>4235</v>
      </c>
      <c r="D24247" s="69" t="s">
        <v>29420</v>
      </c>
      <c r="E24247" s="51"/>
      <c r="F24247" s="114" t="str">
        <f>IF(INDEX(I.Facility.P4IDNumber,4235)="","",INDEX(I.Facility.P4IDNumber,4235))</f>
        <v/>
      </c>
      <c r="G24247" s="51"/>
      <c r="H24247" s="46" t="str">
        <f>IF(AND(I.Developer.P4=TRUE,I.Facility.P4FacilityCount&gt;=4235,F24247=""),"Incomplete","Complete")</f>
        <v>Complete</v>
      </c>
      <c r="I24247" s="48" t="s">
        <v>28612</v>
      </c>
    </row>
    <row r="24248" spans="2:9" ht="15" customHeight="1" x14ac:dyDescent="0.25">
      <c r="B24248" s="55" t="s">
        <v>283</v>
      </c>
      <c r="C24248" s="46">
        <v>4236</v>
      </c>
      <c r="D24248" s="69" t="s">
        <v>29420</v>
      </c>
      <c r="E24248" s="51"/>
      <c r="F24248" s="114" t="str">
        <f>IF(INDEX(I.Facility.P4IDNumber,4236)="","",INDEX(I.Facility.P4IDNumber,4236))</f>
        <v/>
      </c>
      <c r="G24248" s="51"/>
      <c r="H24248" s="46" t="str">
        <f>IF(AND(I.Developer.P4=TRUE,I.Facility.P4FacilityCount&gt;=4236,F24248=""),"Incomplete","Complete")</f>
        <v>Complete</v>
      </c>
      <c r="I24248" s="48" t="s">
        <v>28613</v>
      </c>
    </row>
    <row r="24249" spans="2:9" ht="15" customHeight="1" x14ac:dyDescent="0.25">
      <c r="B24249" s="55" t="s">
        <v>283</v>
      </c>
      <c r="C24249" s="46">
        <v>4237</v>
      </c>
      <c r="D24249" s="69" t="s">
        <v>29420</v>
      </c>
      <c r="E24249" s="51"/>
      <c r="F24249" s="114" t="str">
        <f>IF(INDEX(I.Facility.P4IDNumber,4237)="","",INDEX(I.Facility.P4IDNumber,4237))</f>
        <v/>
      </c>
      <c r="G24249" s="51"/>
      <c r="H24249" s="46" t="str">
        <f>IF(AND(I.Developer.P4=TRUE,I.Facility.P4FacilityCount&gt;=4237,F24249=""),"Incomplete","Complete")</f>
        <v>Complete</v>
      </c>
      <c r="I24249" s="48" t="s">
        <v>28614</v>
      </c>
    </row>
    <row r="24250" spans="2:9" ht="15" customHeight="1" x14ac:dyDescent="0.25">
      <c r="B24250" s="55" t="s">
        <v>283</v>
      </c>
      <c r="C24250" s="46">
        <v>4238</v>
      </c>
      <c r="D24250" s="69" t="s">
        <v>29420</v>
      </c>
      <c r="E24250" s="51"/>
      <c r="F24250" s="114" t="str">
        <f>IF(INDEX(I.Facility.P4IDNumber,4238)="","",INDEX(I.Facility.P4IDNumber,4238))</f>
        <v/>
      </c>
      <c r="G24250" s="51"/>
      <c r="H24250" s="46" t="str">
        <f>IF(AND(I.Developer.P4=TRUE,I.Facility.P4FacilityCount&gt;=4238,F24250=""),"Incomplete","Complete")</f>
        <v>Complete</v>
      </c>
      <c r="I24250" s="48" t="s">
        <v>28615</v>
      </c>
    </row>
    <row r="24251" spans="2:9" ht="15" customHeight="1" x14ac:dyDescent="0.25">
      <c r="B24251" s="55" t="s">
        <v>283</v>
      </c>
      <c r="C24251" s="46">
        <v>4239</v>
      </c>
      <c r="D24251" s="69" t="s">
        <v>29420</v>
      </c>
      <c r="E24251" s="51"/>
      <c r="F24251" s="114" t="str">
        <f>IF(INDEX(I.Facility.P4IDNumber,4239)="","",INDEX(I.Facility.P4IDNumber,4239))</f>
        <v/>
      </c>
      <c r="G24251" s="51"/>
      <c r="H24251" s="46" t="str">
        <f>IF(AND(I.Developer.P4=TRUE,I.Facility.P4FacilityCount&gt;=4239,F24251=""),"Incomplete","Complete")</f>
        <v>Complete</v>
      </c>
      <c r="I24251" s="48" t="s">
        <v>28616</v>
      </c>
    </row>
    <row r="24252" spans="2:9" ht="15" customHeight="1" x14ac:dyDescent="0.25">
      <c r="B24252" s="55" t="s">
        <v>283</v>
      </c>
      <c r="C24252" s="46">
        <v>4240</v>
      </c>
      <c r="D24252" s="69" t="s">
        <v>29420</v>
      </c>
      <c r="E24252" s="51"/>
      <c r="F24252" s="114" t="str">
        <f>IF(INDEX(I.Facility.P4IDNumber,4240)="","",INDEX(I.Facility.P4IDNumber,4240))</f>
        <v/>
      </c>
      <c r="G24252" s="51"/>
      <c r="H24252" s="46" t="str">
        <f>IF(AND(I.Developer.P4=TRUE,I.Facility.P4FacilityCount&gt;=4240,F24252=""),"Incomplete","Complete")</f>
        <v>Complete</v>
      </c>
      <c r="I24252" s="48" t="s">
        <v>28617</v>
      </c>
    </row>
    <row r="24253" spans="2:9" ht="15" customHeight="1" x14ac:dyDescent="0.25">
      <c r="B24253" s="55" t="s">
        <v>283</v>
      </c>
      <c r="C24253" s="46">
        <v>4241</v>
      </c>
      <c r="D24253" s="69" t="s">
        <v>29420</v>
      </c>
      <c r="E24253" s="51"/>
      <c r="F24253" s="114" t="str">
        <f>IF(INDEX(I.Facility.P4IDNumber,4241)="","",INDEX(I.Facility.P4IDNumber,4241))</f>
        <v/>
      </c>
      <c r="G24253" s="51"/>
      <c r="H24253" s="46" t="str">
        <f>IF(AND(I.Developer.P4=TRUE,I.Facility.P4FacilityCount&gt;=4241,F24253=""),"Incomplete","Complete")</f>
        <v>Complete</v>
      </c>
      <c r="I24253" s="48" t="s">
        <v>28618</v>
      </c>
    </row>
    <row r="24254" spans="2:9" ht="15" customHeight="1" x14ac:dyDescent="0.25">
      <c r="B24254" s="55" t="s">
        <v>283</v>
      </c>
      <c r="C24254" s="46">
        <v>4242</v>
      </c>
      <c r="D24254" s="69" t="s">
        <v>29420</v>
      </c>
      <c r="E24254" s="51"/>
      <c r="F24254" s="114" t="str">
        <f>IF(INDEX(I.Facility.P4IDNumber,4242)="","",INDEX(I.Facility.P4IDNumber,4242))</f>
        <v/>
      </c>
      <c r="G24254" s="51"/>
      <c r="H24254" s="46" t="str">
        <f>IF(AND(I.Developer.P4=TRUE,I.Facility.P4FacilityCount&gt;=4242,F24254=""),"Incomplete","Complete")</f>
        <v>Complete</v>
      </c>
      <c r="I24254" s="48" t="s">
        <v>28619</v>
      </c>
    </row>
    <row r="24255" spans="2:9" ht="15" customHeight="1" x14ac:dyDescent="0.25">
      <c r="B24255" s="55" t="s">
        <v>283</v>
      </c>
      <c r="C24255" s="46">
        <v>4243</v>
      </c>
      <c r="D24255" s="69" t="s">
        <v>29420</v>
      </c>
      <c r="E24255" s="51"/>
      <c r="F24255" s="114" t="str">
        <f>IF(INDEX(I.Facility.P4IDNumber,4243)="","",INDEX(I.Facility.P4IDNumber,4243))</f>
        <v/>
      </c>
      <c r="G24255" s="51"/>
      <c r="H24255" s="46" t="str">
        <f>IF(AND(I.Developer.P4=TRUE,I.Facility.P4FacilityCount&gt;=4243,F24255=""),"Incomplete","Complete")</f>
        <v>Complete</v>
      </c>
      <c r="I24255" s="48" t="s">
        <v>28620</v>
      </c>
    </row>
    <row r="24256" spans="2:9" ht="15" customHeight="1" x14ac:dyDescent="0.25">
      <c r="B24256" s="55" t="s">
        <v>283</v>
      </c>
      <c r="C24256" s="46">
        <v>4244</v>
      </c>
      <c r="D24256" s="69" t="s">
        <v>29420</v>
      </c>
      <c r="E24256" s="51"/>
      <c r="F24256" s="114" t="str">
        <f>IF(INDEX(I.Facility.P4IDNumber,4244)="","",INDEX(I.Facility.P4IDNumber,4244))</f>
        <v/>
      </c>
      <c r="G24256" s="51"/>
      <c r="H24256" s="46" t="str">
        <f>IF(AND(I.Developer.P4=TRUE,I.Facility.P4FacilityCount&gt;=4244,F24256=""),"Incomplete","Complete")</f>
        <v>Complete</v>
      </c>
      <c r="I24256" s="48" t="s">
        <v>28621</v>
      </c>
    </row>
    <row r="24257" spans="2:9" ht="15" customHeight="1" x14ac:dyDescent="0.25">
      <c r="B24257" s="55" t="s">
        <v>283</v>
      </c>
      <c r="C24257" s="46">
        <v>4245</v>
      </c>
      <c r="D24257" s="69" t="s">
        <v>29420</v>
      </c>
      <c r="E24257" s="51"/>
      <c r="F24257" s="114" t="str">
        <f>IF(INDEX(I.Facility.P4IDNumber,4245)="","",INDEX(I.Facility.P4IDNumber,4245))</f>
        <v/>
      </c>
      <c r="G24257" s="51"/>
      <c r="H24257" s="46" t="str">
        <f>IF(AND(I.Developer.P4=TRUE,I.Facility.P4FacilityCount&gt;=4245,F24257=""),"Incomplete","Complete")</f>
        <v>Complete</v>
      </c>
      <c r="I24257" s="48" t="s">
        <v>28622</v>
      </c>
    </row>
    <row r="24258" spans="2:9" ht="15" customHeight="1" x14ac:dyDescent="0.25">
      <c r="B24258" s="55" t="s">
        <v>283</v>
      </c>
      <c r="C24258" s="46">
        <v>4246</v>
      </c>
      <c r="D24258" s="69" t="s">
        <v>29420</v>
      </c>
      <c r="E24258" s="51"/>
      <c r="F24258" s="114" t="str">
        <f>IF(INDEX(I.Facility.P4IDNumber,4246)="","",INDEX(I.Facility.P4IDNumber,4246))</f>
        <v/>
      </c>
      <c r="G24258" s="51"/>
      <c r="H24258" s="46" t="str">
        <f>IF(AND(I.Developer.P4=TRUE,I.Facility.P4FacilityCount&gt;=4246,F24258=""),"Incomplete","Complete")</f>
        <v>Complete</v>
      </c>
      <c r="I24258" s="48" t="s">
        <v>28623</v>
      </c>
    </row>
    <row r="24259" spans="2:9" ht="15" customHeight="1" x14ac:dyDescent="0.25">
      <c r="B24259" s="55" t="s">
        <v>283</v>
      </c>
      <c r="C24259" s="46">
        <v>4247</v>
      </c>
      <c r="D24259" s="69" t="s">
        <v>29420</v>
      </c>
      <c r="E24259" s="51"/>
      <c r="F24259" s="114" t="str">
        <f>IF(INDEX(I.Facility.P4IDNumber,4247)="","",INDEX(I.Facility.P4IDNumber,4247))</f>
        <v/>
      </c>
      <c r="G24259" s="51"/>
      <c r="H24259" s="46" t="str">
        <f>IF(AND(I.Developer.P4=TRUE,I.Facility.P4FacilityCount&gt;=4247,F24259=""),"Incomplete","Complete")</f>
        <v>Complete</v>
      </c>
      <c r="I24259" s="48" t="s">
        <v>28624</v>
      </c>
    </row>
    <row r="24260" spans="2:9" ht="15" customHeight="1" x14ac:dyDescent="0.25">
      <c r="B24260" s="55" t="s">
        <v>283</v>
      </c>
      <c r="C24260" s="46">
        <v>4248</v>
      </c>
      <c r="D24260" s="69" t="s">
        <v>29420</v>
      </c>
      <c r="E24260" s="51"/>
      <c r="F24260" s="114" t="str">
        <f>IF(INDEX(I.Facility.P4IDNumber,4248)="","",INDEX(I.Facility.P4IDNumber,4248))</f>
        <v/>
      </c>
      <c r="G24260" s="51"/>
      <c r="H24260" s="46" t="str">
        <f>IF(AND(I.Developer.P4=TRUE,I.Facility.P4FacilityCount&gt;=4248,F24260=""),"Incomplete","Complete")</f>
        <v>Complete</v>
      </c>
      <c r="I24260" s="48" t="s">
        <v>28625</v>
      </c>
    </row>
    <row r="24261" spans="2:9" ht="15" customHeight="1" x14ac:dyDescent="0.25">
      <c r="B24261" s="55" t="s">
        <v>283</v>
      </c>
      <c r="C24261" s="46">
        <v>4249</v>
      </c>
      <c r="D24261" s="69" t="s">
        <v>29420</v>
      </c>
      <c r="E24261" s="51"/>
      <c r="F24261" s="114" t="str">
        <f>IF(INDEX(I.Facility.P4IDNumber,4249)="","",INDEX(I.Facility.P4IDNumber,4249))</f>
        <v/>
      </c>
      <c r="G24261" s="51"/>
      <c r="H24261" s="46" t="str">
        <f>IF(AND(I.Developer.P4=TRUE,I.Facility.P4FacilityCount&gt;=4249,F24261=""),"Incomplete","Complete")</f>
        <v>Complete</v>
      </c>
      <c r="I24261" s="48" t="s">
        <v>28626</v>
      </c>
    </row>
    <row r="24262" spans="2:9" ht="15" customHeight="1" x14ac:dyDescent="0.25">
      <c r="B24262" s="55" t="s">
        <v>283</v>
      </c>
      <c r="C24262" s="46">
        <v>4250</v>
      </c>
      <c r="D24262" s="69" t="s">
        <v>29420</v>
      </c>
      <c r="E24262" s="51"/>
      <c r="F24262" s="114" t="str">
        <f>IF(INDEX(I.Facility.P4IDNumber,4250)="","",INDEX(I.Facility.P4IDNumber,4250))</f>
        <v/>
      </c>
      <c r="G24262" s="51"/>
      <c r="H24262" s="46" t="str">
        <f>IF(AND(I.Developer.P4=TRUE,I.Facility.P4FacilityCount&gt;=4250,F24262=""),"Incomplete","Complete")</f>
        <v>Complete</v>
      </c>
      <c r="I24262" s="48" t="s">
        <v>28627</v>
      </c>
    </row>
    <row r="24263" spans="2:9" ht="15" customHeight="1" x14ac:dyDescent="0.25">
      <c r="B24263" s="55" t="s">
        <v>283</v>
      </c>
      <c r="C24263" s="46">
        <v>4251</v>
      </c>
      <c r="D24263" s="69" t="s">
        <v>29420</v>
      </c>
      <c r="E24263" s="51"/>
      <c r="F24263" s="114" t="str">
        <f>IF(INDEX(I.Facility.P4IDNumber,4251)="","",INDEX(I.Facility.P4IDNumber,4251))</f>
        <v/>
      </c>
      <c r="G24263" s="51"/>
      <c r="H24263" s="46" t="str">
        <f>IF(AND(I.Developer.P4=TRUE,I.Facility.P4FacilityCount&gt;=4251,F24263=""),"Incomplete","Complete")</f>
        <v>Complete</v>
      </c>
      <c r="I24263" s="48" t="s">
        <v>28628</v>
      </c>
    </row>
    <row r="24264" spans="2:9" ht="15" customHeight="1" x14ac:dyDescent="0.25">
      <c r="B24264" s="55" t="s">
        <v>283</v>
      </c>
      <c r="C24264" s="46">
        <v>4252</v>
      </c>
      <c r="D24264" s="69" t="s">
        <v>29420</v>
      </c>
      <c r="E24264" s="51"/>
      <c r="F24264" s="114" t="str">
        <f>IF(INDEX(I.Facility.P4IDNumber,4252)="","",INDEX(I.Facility.P4IDNumber,4252))</f>
        <v/>
      </c>
      <c r="G24264" s="51"/>
      <c r="H24264" s="46" t="str">
        <f>IF(AND(I.Developer.P4=TRUE,I.Facility.P4FacilityCount&gt;=4252,F24264=""),"Incomplete","Complete")</f>
        <v>Complete</v>
      </c>
      <c r="I24264" s="48" t="s">
        <v>28629</v>
      </c>
    </row>
    <row r="24265" spans="2:9" ht="15" customHeight="1" x14ac:dyDescent="0.25">
      <c r="B24265" s="55" t="s">
        <v>283</v>
      </c>
      <c r="C24265" s="46">
        <v>4253</v>
      </c>
      <c r="D24265" s="69" t="s">
        <v>29420</v>
      </c>
      <c r="E24265" s="51"/>
      <c r="F24265" s="114" t="str">
        <f>IF(INDEX(I.Facility.P4IDNumber,4253)="","",INDEX(I.Facility.P4IDNumber,4253))</f>
        <v/>
      </c>
      <c r="G24265" s="51"/>
      <c r="H24265" s="46" t="str">
        <f>IF(AND(I.Developer.P4=TRUE,I.Facility.P4FacilityCount&gt;=4253,F24265=""),"Incomplete","Complete")</f>
        <v>Complete</v>
      </c>
      <c r="I24265" s="48" t="s">
        <v>28630</v>
      </c>
    </row>
    <row r="24266" spans="2:9" ht="15" customHeight="1" x14ac:dyDescent="0.25">
      <c r="B24266" s="55" t="s">
        <v>283</v>
      </c>
      <c r="C24266" s="46">
        <v>4254</v>
      </c>
      <c r="D24266" s="69" t="s">
        <v>29420</v>
      </c>
      <c r="E24266" s="51"/>
      <c r="F24266" s="114" t="str">
        <f>IF(INDEX(I.Facility.P4IDNumber,4254)="","",INDEX(I.Facility.P4IDNumber,4254))</f>
        <v/>
      </c>
      <c r="G24266" s="51"/>
      <c r="H24266" s="46" t="str">
        <f>IF(AND(I.Developer.P4=TRUE,I.Facility.P4FacilityCount&gt;=4254,F24266=""),"Incomplete","Complete")</f>
        <v>Complete</v>
      </c>
      <c r="I24266" s="48" t="s">
        <v>28631</v>
      </c>
    </row>
    <row r="24267" spans="2:9" ht="15" customHeight="1" x14ac:dyDescent="0.25">
      <c r="B24267" s="55" t="s">
        <v>283</v>
      </c>
      <c r="C24267" s="46">
        <v>4255</v>
      </c>
      <c r="D24267" s="69" t="s">
        <v>29420</v>
      </c>
      <c r="E24267" s="51"/>
      <c r="F24267" s="114" t="str">
        <f>IF(INDEX(I.Facility.P4IDNumber,4255)="","",INDEX(I.Facility.P4IDNumber,4255))</f>
        <v/>
      </c>
      <c r="G24267" s="51"/>
      <c r="H24267" s="46" t="str">
        <f>IF(AND(I.Developer.P4=TRUE,I.Facility.P4FacilityCount&gt;=4255,F24267=""),"Incomplete","Complete")</f>
        <v>Complete</v>
      </c>
      <c r="I24267" s="48" t="s">
        <v>28632</v>
      </c>
    </row>
    <row r="24268" spans="2:9" ht="15" customHeight="1" x14ac:dyDescent="0.25">
      <c r="B24268" s="55" t="s">
        <v>283</v>
      </c>
      <c r="C24268" s="46">
        <v>4256</v>
      </c>
      <c r="D24268" s="69" t="s">
        <v>29420</v>
      </c>
      <c r="E24268" s="51"/>
      <c r="F24268" s="114" t="str">
        <f>IF(INDEX(I.Facility.P4IDNumber,4256)="","",INDEX(I.Facility.P4IDNumber,4256))</f>
        <v/>
      </c>
      <c r="G24268" s="51"/>
      <c r="H24268" s="46" t="str">
        <f>IF(AND(I.Developer.P4=TRUE,I.Facility.P4FacilityCount&gt;=4256,F24268=""),"Incomplete","Complete")</f>
        <v>Complete</v>
      </c>
      <c r="I24268" s="48" t="s">
        <v>28633</v>
      </c>
    </row>
    <row r="24269" spans="2:9" ht="15" customHeight="1" x14ac:dyDescent="0.25">
      <c r="B24269" s="55" t="s">
        <v>283</v>
      </c>
      <c r="C24269" s="46">
        <v>4257</v>
      </c>
      <c r="D24269" s="69" t="s">
        <v>29420</v>
      </c>
      <c r="E24269" s="51"/>
      <c r="F24269" s="114" t="str">
        <f>IF(INDEX(I.Facility.P4IDNumber,4257)="","",INDEX(I.Facility.P4IDNumber,4257))</f>
        <v/>
      </c>
      <c r="G24269" s="51"/>
      <c r="H24269" s="46" t="str">
        <f>IF(AND(I.Developer.P4=TRUE,I.Facility.P4FacilityCount&gt;=4257,F24269=""),"Incomplete","Complete")</f>
        <v>Complete</v>
      </c>
      <c r="I24269" s="48" t="s">
        <v>28634</v>
      </c>
    </row>
    <row r="24270" spans="2:9" ht="15" customHeight="1" x14ac:dyDescent="0.25">
      <c r="B24270" s="55" t="s">
        <v>283</v>
      </c>
      <c r="C24270" s="46">
        <v>4258</v>
      </c>
      <c r="D24270" s="69" t="s">
        <v>29420</v>
      </c>
      <c r="E24270" s="51"/>
      <c r="F24270" s="114" t="str">
        <f>IF(INDEX(I.Facility.P4IDNumber,4258)="","",INDEX(I.Facility.P4IDNumber,4258))</f>
        <v/>
      </c>
      <c r="G24270" s="51"/>
      <c r="H24270" s="46" t="str">
        <f>IF(AND(I.Developer.P4=TRUE,I.Facility.P4FacilityCount&gt;=4258,F24270=""),"Incomplete","Complete")</f>
        <v>Complete</v>
      </c>
      <c r="I24270" s="48" t="s">
        <v>28635</v>
      </c>
    </row>
    <row r="24271" spans="2:9" ht="15" customHeight="1" x14ac:dyDescent="0.25">
      <c r="B24271" s="55" t="s">
        <v>283</v>
      </c>
      <c r="C24271" s="46">
        <v>4259</v>
      </c>
      <c r="D24271" s="69" t="s">
        <v>29420</v>
      </c>
      <c r="E24271" s="51"/>
      <c r="F24271" s="114" t="str">
        <f>IF(INDEX(I.Facility.P4IDNumber,4259)="","",INDEX(I.Facility.P4IDNumber,4259))</f>
        <v/>
      </c>
      <c r="G24271" s="51"/>
      <c r="H24271" s="46" t="str">
        <f>IF(AND(I.Developer.P4=TRUE,I.Facility.P4FacilityCount&gt;=4259,F24271=""),"Incomplete","Complete")</f>
        <v>Complete</v>
      </c>
      <c r="I24271" s="48" t="s">
        <v>28636</v>
      </c>
    </row>
    <row r="24272" spans="2:9" ht="15" customHeight="1" x14ac:dyDescent="0.25">
      <c r="B24272" s="55" t="s">
        <v>283</v>
      </c>
      <c r="C24272" s="46">
        <v>4260</v>
      </c>
      <c r="D24272" s="69" t="s">
        <v>29420</v>
      </c>
      <c r="E24272" s="51"/>
      <c r="F24272" s="114" t="str">
        <f>IF(INDEX(I.Facility.P4IDNumber,4260)="","",INDEX(I.Facility.P4IDNumber,4260))</f>
        <v/>
      </c>
      <c r="G24272" s="51"/>
      <c r="H24272" s="46" t="str">
        <f>IF(AND(I.Developer.P4=TRUE,I.Facility.P4FacilityCount&gt;=4260,F24272=""),"Incomplete","Complete")</f>
        <v>Complete</v>
      </c>
      <c r="I24272" s="48" t="s">
        <v>28637</v>
      </c>
    </row>
    <row r="24273" spans="2:9" ht="15" customHeight="1" x14ac:dyDescent="0.25">
      <c r="B24273" s="55" t="s">
        <v>283</v>
      </c>
      <c r="C24273" s="46">
        <v>4261</v>
      </c>
      <c r="D24273" s="69" t="s">
        <v>29420</v>
      </c>
      <c r="E24273" s="51"/>
      <c r="F24273" s="114" t="str">
        <f>IF(INDEX(I.Facility.P4IDNumber,4261)="","",INDEX(I.Facility.P4IDNumber,4261))</f>
        <v/>
      </c>
      <c r="G24273" s="51"/>
      <c r="H24273" s="46" t="str">
        <f>IF(AND(I.Developer.P4=TRUE,I.Facility.P4FacilityCount&gt;=4261,F24273=""),"Incomplete","Complete")</f>
        <v>Complete</v>
      </c>
      <c r="I24273" s="48" t="s">
        <v>28638</v>
      </c>
    </row>
    <row r="24274" spans="2:9" ht="15" customHeight="1" x14ac:dyDescent="0.25">
      <c r="B24274" s="55" t="s">
        <v>283</v>
      </c>
      <c r="C24274" s="46">
        <v>4262</v>
      </c>
      <c r="D24274" s="69" t="s">
        <v>29420</v>
      </c>
      <c r="E24274" s="51"/>
      <c r="F24274" s="114" t="str">
        <f>IF(INDEX(I.Facility.P4IDNumber,4262)="","",INDEX(I.Facility.P4IDNumber,4262))</f>
        <v/>
      </c>
      <c r="G24274" s="51"/>
      <c r="H24274" s="46" t="str">
        <f>IF(AND(I.Developer.P4=TRUE,I.Facility.P4FacilityCount&gt;=4262,F24274=""),"Incomplete","Complete")</f>
        <v>Complete</v>
      </c>
      <c r="I24274" s="48" t="s">
        <v>28639</v>
      </c>
    </row>
    <row r="24275" spans="2:9" ht="15" customHeight="1" x14ac:dyDescent="0.25">
      <c r="B24275" s="55" t="s">
        <v>283</v>
      </c>
      <c r="C24275" s="46">
        <v>4263</v>
      </c>
      <c r="D24275" s="69" t="s">
        <v>29420</v>
      </c>
      <c r="E24275" s="51"/>
      <c r="F24275" s="114" t="str">
        <f>IF(INDEX(I.Facility.P4IDNumber,4263)="","",INDEX(I.Facility.P4IDNumber,4263))</f>
        <v/>
      </c>
      <c r="G24275" s="51"/>
      <c r="H24275" s="46" t="str">
        <f>IF(AND(I.Developer.P4=TRUE,I.Facility.P4FacilityCount&gt;=4263,F24275=""),"Incomplete","Complete")</f>
        <v>Complete</v>
      </c>
      <c r="I24275" s="48" t="s">
        <v>28640</v>
      </c>
    </row>
    <row r="24276" spans="2:9" ht="15" customHeight="1" x14ac:dyDescent="0.25">
      <c r="B24276" s="55" t="s">
        <v>283</v>
      </c>
      <c r="C24276" s="46">
        <v>4264</v>
      </c>
      <c r="D24276" s="69" t="s">
        <v>29420</v>
      </c>
      <c r="E24276" s="51"/>
      <c r="F24276" s="114" t="str">
        <f>IF(INDEX(I.Facility.P4IDNumber,4264)="","",INDEX(I.Facility.P4IDNumber,4264))</f>
        <v/>
      </c>
      <c r="G24276" s="51"/>
      <c r="H24276" s="46" t="str">
        <f>IF(AND(I.Developer.P4=TRUE,I.Facility.P4FacilityCount&gt;=4264,F24276=""),"Incomplete","Complete")</f>
        <v>Complete</v>
      </c>
      <c r="I24276" s="48" t="s">
        <v>28641</v>
      </c>
    </row>
    <row r="24277" spans="2:9" ht="15" customHeight="1" x14ac:dyDescent="0.25">
      <c r="B24277" s="55" t="s">
        <v>283</v>
      </c>
      <c r="C24277" s="46">
        <v>4265</v>
      </c>
      <c r="D24277" s="69" t="s">
        <v>29420</v>
      </c>
      <c r="E24277" s="51"/>
      <c r="F24277" s="114" t="str">
        <f>IF(INDEX(I.Facility.P4IDNumber,4265)="","",INDEX(I.Facility.P4IDNumber,4265))</f>
        <v/>
      </c>
      <c r="G24277" s="51"/>
      <c r="H24277" s="46" t="str">
        <f>IF(AND(I.Developer.P4=TRUE,I.Facility.P4FacilityCount&gt;=4265,F24277=""),"Incomplete","Complete")</f>
        <v>Complete</v>
      </c>
      <c r="I24277" s="48" t="s">
        <v>28642</v>
      </c>
    </row>
    <row r="24278" spans="2:9" ht="15" customHeight="1" x14ac:dyDescent="0.25">
      <c r="B24278" s="55" t="s">
        <v>283</v>
      </c>
      <c r="C24278" s="46">
        <v>4266</v>
      </c>
      <c r="D24278" s="69" t="s">
        <v>29420</v>
      </c>
      <c r="E24278" s="51"/>
      <c r="F24278" s="114" t="str">
        <f>IF(INDEX(I.Facility.P4IDNumber,4266)="","",INDEX(I.Facility.P4IDNumber,4266))</f>
        <v/>
      </c>
      <c r="G24278" s="51"/>
      <c r="H24278" s="46" t="str">
        <f>IF(AND(I.Developer.P4=TRUE,I.Facility.P4FacilityCount&gt;=4266,F24278=""),"Incomplete","Complete")</f>
        <v>Complete</v>
      </c>
      <c r="I24278" s="48" t="s">
        <v>28643</v>
      </c>
    </row>
    <row r="24279" spans="2:9" ht="15" customHeight="1" x14ac:dyDescent="0.25">
      <c r="B24279" s="55" t="s">
        <v>283</v>
      </c>
      <c r="C24279" s="46">
        <v>4267</v>
      </c>
      <c r="D24279" s="69" t="s">
        <v>29420</v>
      </c>
      <c r="E24279" s="51"/>
      <c r="F24279" s="114" t="str">
        <f>IF(INDEX(I.Facility.P4IDNumber,4267)="","",INDEX(I.Facility.P4IDNumber,4267))</f>
        <v/>
      </c>
      <c r="G24279" s="51"/>
      <c r="H24279" s="46" t="str">
        <f>IF(AND(I.Developer.P4=TRUE,I.Facility.P4FacilityCount&gt;=4267,F24279=""),"Incomplete","Complete")</f>
        <v>Complete</v>
      </c>
      <c r="I24279" s="48" t="s">
        <v>28644</v>
      </c>
    </row>
    <row r="24280" spans="2:9" ht="15" customHeight="1" x14ac:dyDescent="0.25">
      <c r="B24280" s="55" t="s">
        <v>283</v>
      </c>
      <c r="C24280" s="46">
        <v>4268</v>
      </c>
      <c r="D24280" s="69" t="s">
        <v>29420</v>
      </c>
      <c r="E24280" s="51"/>
      <c r="F24280" s="114" t="str">
        <f>IF(INDEX(I.Facility.P4IDNumber,4268)="","",INDEX(I.Facility.P4IDNumber,4268))</f>
        <v/>
      </c>
      <c r="G24280" s="51"/>
      <c r="H24280" s="46" t="str">
        <f>IF(AND(I.Developer.P4=TRUE,I.Facility.P4FacilityCount&gt;=4268,F24280=""),"Incomplete","Complete")</f>
        <v>Complete</v>
      </c>
      <c r="I24280" s="48" t="s">
        <v>28645</v>
      </c>
    </row>
    <row r="24281" spans="2:9" ht="15" customHeight="1" x14ac:dyDescent="0.25">
      <c r="B24281" s="55" t="s">
        <v>283</v>
      </c>
      <c r="C24281" s="46">
        <v>4269</v>
      </c>
      <c r="D24281" s="69" t="s">
        <v>29420</v>
      </c>
      <c r="E24281" s="51"/>
      <c r="F24281" s="114" t="str">
        <f>IF(INDEX(I.Facility.P4IDNumber,4269)="","",INDEX(I.Facility.P4IDNumber,4269))</f>
        <v/>
      </c>
      <c r="G24281" s="51"/>
      <c r="H24281" s="46" t="str">
        <f>IF(AND(I.Developer.P4=TRUE,I.Facility.P4FacilityCount&gt;=4269,F24281=""),"Incomplete","Complete")</f>
        <v>Complete</v>
      </c>
      <c r="I24281" s="48" t="s">
        <v>28646</v>
      </c>
    </row>
    <row r="24282" spans="2:9" ht="15" customHeight="1" x14ac:dyDescent="0.25">
      <c r="B24282" s="55" t="s">
        <v>283</v>
      </c>
      <c r="C24282" s="46">
        <v>4270</v>
      </c>
      <c r="D24282" s="69" t="s">
        <v>29420</v>
      </c>
      <c r="E24282" s="51"/>
      <c r="F24282" s="114" t="str">
        <f>IF(INDEX(I.Facility.P4IDNumber,4270)="","",INDEX(I.Facility.P4IDNumber,4270))</f>
        <v/>
      </c>
      <c r="G24282" s="51"/>
      <c r="H24282" s="46" t="str">
        <f>IF(AND(I.Developer.P4=TRUE,I.Facility.P4FacilityCount&gt;=4270,F24282=""),"Incomplete","Complete")</f>
        <v>Complete</v>
      </c>
      <c r="I24282" s="48" t="s">
        <v>28647</v>
      </c>
    </row>
    <row r="24283" spans="2:9" ht="15" customHeight="1" x14ac:dyDescent="0.25">
      <c r="B24283" s="55" t="s">
        <v>283</v>
      </c>
      <c r="C24283" s="46">
        <v>4271</v>
      </c>
      <c r="D24283" s="69" t="s">
        <v>29420</v>
      </c>
      <c r="E24283" s="51"/>
      <c r="F24283" s="114" t="str">
        <f>IF(INDEX(I.Facility.P4IDNumber,4271)="","",INDEX(I.Facility.P4IDNumber,4271))</f>
        <v/>
      </c>
      <c r="G24283" s="51"/>
      <c r="H24283" s="46" t="str">
        <f>IF(AND(I.Developer.P4=TRUE,I.Facility.P4FacilityCount&gt;=4271,F24283=""),"Incomplete","Complete")</f>
        <v>Complete</v>
      </c>
      <c r="I24283" s="48" t="s">
        <v>28648</v>
      </c>
    </row>
    <row r="24284" spans="2:9" ht="15" customHeight="1" x14ac:dyDescent="0.25">
      <c r="B24284" s="55" t="s">
        <v>283</v>
      </c>
      <c r="C24284" s="46">
        <v>4272</v>
      </c>
      <c r="D24284" s="69" t="s">
        <v>29420</v>
      </c>
      <c r="E24284" s="51"/>
      <c r="F24284" s="114" t="str">
        <f>IF(INDEX(I.Facility.P4IDNumber,4272)="","",INDEX(I.Facility.P4IDNumber,4272))</f>
        <v/>
      </c>
      <c r="G24284" s="51"/>
      <c r="H24284" s="46" t="str">
        <f>IF(AND(I.Developer.P4=TRUE,I.Facility.P4FacilityCount&gt;=4272,F24284=""),"Incomplete","Complete")</f>
        <v>Complete</v>
      </c>
      <c r="I24284" s="48" t="s">
        <v>28649</v>
      </c>
    </row>
    <row r="24285" spans="2:9" ht="15" customHeight="1" x14ac:dyDescent="0.25">
      <c r="B24285" s="55" t="s">
        <v>283</v>
      </c>
      <c r="C24285" s="46">
        <v>4273</v>
      </c>
      <c r="D24285" s="69" t="s">
        <v>29420</v>
      </c>
      <c r="E24285" s="51"/>
      <c r="F24285" s="114" t="str">
        <f>IF(INDEX(I.Facility.P4IDNumber,4273)="","",INDEX(I.Facility.P4IDNumber,4273))</f>
        <v/>
      </c>
      <c r="G24285" s="51"/>
      <c r="H24285" s="46" t="str">
        <f>IF(AND(I.Developer.P4=TRUE,I.Facility.P4FacilityCount&gt;=4273,F24285=""),"Incomplete","Complete")</f>
        <v>Complete</v>
      </c>
      <c r="I24285" s="48" t="s">
        <v>28650</v>
      </c>
    </row>
    <row r="24286" spans="2:9" ht="15" customHeight="1" x14ac:dyDescent="0.25">
      <c r="B24286" s="55" t="s">
        <v>283</v>
      </c>
      <c r="C24286" s="46">
        <v>4274</v>
      </c>
      <c r="D24286" s="69" t="s">
        <v>29420</v>
      </c>
      <c r="E24286" s="51"/>
      <c r="F24286" s="114" t="str">
        <f>IF(INDEX(I.Facility.P4IDNumber,4274)="","",INDEX(I.Facility.P4IDNumber,4274))</f>
        <v/>
      </c>
      <c r="G24286" s="51"/>
      <c r="H24286" s="46" t="str">
        <f>IF(AND(I.Developer.P4=TRUE,I.Facility.P4FacilityCount&gt;=4274,F24286=""),"Incomplete","Complete")</f>
        <v>Complete</v>
      </c>
      <c r="I24286" s="48" t="s">
        <v>28651</v>
      </c>
    </row>
    <row r="24287" spans="2:9" ht="15" customHeight="1" x14ac:dyDescent="0.25">
      <c r="B24287" s="55" t="s">
        <v>283</v>
      </c>
      <c r="C24287" s="46">
        <v>4275</v>
      </c>
      <c r="D24287" s="69" t="s">
        <v>29420</v>
      </c>
      <c r="E24287" s="51"/>
      <c r="F24287" s="114" t="str">
        <f>IF(INDEX(I.Facility.P4IDNumber,4275)="","",INDEX(I.Facility.P4IDNumber,4275))</f>
        <v/>
      </c>
      <c r="G24287" s="51"/>
      <c r="H24287" s="46" t="str">
        <f>IF(AND(I.Developer.P4=TRUE,I.Facility.P4FacilityCount&gt;=4275,F24287=""),"Incomplete","Complete")</f>
        <v>Complete</v>
      </c>
      <c r="I24287" s="48" t="s">
        <v>28652</v>
      </c>
    </row>
    <row r="24288" spans="2:9" ht="15" customHeight="1" x14ac:dyDescent="0.25">
      <c r="B24288" s="55" t="s">
        <v>283</v>
      </c>
      <c r="C24288" s="46">
        <v>4276</v>
      </c>
      <c r="D24288" s="69" t="s">
        <v>29420</v>
      </c>
      <c r="E24288" s="51"/>
      <c r="F24288" s="114" t="str">
        <f>IF(INDEX(I.Facility.P4IDNumber,4276)="","",INDEX(I.Facility.P4IDNumber,4276))</f>
        <v/>
      </c>
      <c r="G24288" s="51"/>
      <c r="H24288" s="46" t="str">
        <f>IF(AND(I.Developer.P4=TRUE,I.Facility.P4FacilityCount&gt;=4276,F24288=""),"Incomplete","Complete")</f>
        <v>Complete</v>
      </c>
      <c r="I24288" s="48" t="s">
        <v>28653</v>
      </c>
    </row>
    <row r="24289" spans="2:9" ht="15" customHeight="1" x14ac:dyDescent="0.25">
      <c r="B24289" s="55" t="s">
        <v>283</v>
      </c>
      <c r="C24289" s="46">
        <v>4277</v>
      </c>
      <c r="D24289" s="69" t="s">
        <v>29420</v>
      </c>
      <c r="E24289" s="51"/>
      <c r="F24289" s="114" t="str">
        <f>IF(INDEX(I.Facility.P4IDNumber,4277)="","",INDEX(I.Facility.P4IDNumber,4277))</f>
        <v/>
      </c>
      <c r="G24289" s="51"/>
      <c r="H24289" s="46" t="str">
        <f>IF(AND(I.Developer.P4=TRUE,I.Facility.P4FacilityCount&gt;=4277,F24289=""),"Incomplete","Complete")</f>
        <v>Complete</v>
      </c>
      <c r="I24289" s="48" t="s">
        <v>28654</v>
      </c>
    </row>
    <row r="24290" spans="2:9" ht="15" customHeight="1" x14ac:dyDescent="0.25">
      <c r="B24290" s="55" t="s">
        <v>283</v>
      </c>
      <c r="C24290" s="46">
        <v>4278</v>
      </c>
      <c r="D24290" s="69" t="s">
        <v>29420</v>
      </c>
      <c r="E24290" s="51"/>
      <c r="F24290" s="114" t="str">
        <f>IF(INDEX(I.Facility.P4IDNumber,4278)="","",INDEX(I.Facility.P4IDNumber,4278))</f>
        <v/>
      </c>
      <c r="G24290" s="51"/>
      <c r="H24290" s="46" t="str">
        <f>IF(AND(I.Developer.P4=TRUE,I.Facility.P4FacilityCount&gt;=4278,F24290=""),"Incomplete","Complete")</f>
        <v>Complete</v>
      </c>
      <c r="I24290" s="48" t="s">
        <v>28655</v>
      </c>
    </row>
    <row r="24291" spans="2:9" ht="15" customHeight="1" x14ac:dyDescent="0.25">
      <c r="B24291" s="55" t="s">
        <v>283</v>
      </c>
      <c r="C24291" s="46">
        <v>4279</v>
      </c>
      <c r="D24291" s="69" t="s">
        <v>29420</v>
      </c>
      <c r="E24291" s="51"/>
      <c r="F24291" s="114" t="str">
        <f>IF(INDEX(I.Facility.P4IDNumber,4279)="","",INDEX(I.Facility.P4IDNumber,4279))</f>
        <v/>
      </c>
      <c r="G24291" s="51"/>
      <c r="H24291" s="46" t="str">
        <f>IF(AND(I.Developer.P4=TRUE,I.Facility.P4FacilityCount&gt;=4279,F24291=""),"Incomplete","Complete")</f>
        <v>Complete</v>
      </c>
      <c r="I24291" s="48" t="s">
        <v>28656</v>
      </c>
    </row>
    <row r="24292" spans="2:9" ht="15" customHeight="1" x14ac:dyDescent="0.25">
      <c r="B24292" s="55" t="s">
        <v>283</v>
      </c>
      <c r="C24292" s="46">
        <v>4280</v>
      </c>
      <c r="D24292" s="69" t="s">
        <v>29420</v>
      </c>
      <c r="E24292" s="51"/>
      <c r="F24292" s="114" t="str">
        <f>IF(INDEX(I.Facility.P4IDNumber,4280)="","",INDEX(I.Facility.P4IDNumber,4280))</f>
        <v/>
      </c>
      <c r="G24292" s="51"/>
      <c r="H24292" s="46" t="str">
        <f>IF(AND(I.Developer.P4=TRUE,I.Facility.P4FacilityCount&gt;=4280,F24292=""),"Incomplete","Complete")</f>
        <v>Complete</v>
      </c>
      <c r="I24292" s="48" t="s">
        <v>28657</v>
      </c>
    </row>
    <row r="24293" spans="2:9" ht="15" customHeight="1" x14ac:dyDescent="0.25">
      <c r="B24293" s="55" t="s">
        <v>283</v>
      </c>
      <c r="C24293" s="46">
        <v>4281</v>
      </c>
      <c r="D24293" s="69" t="s">
        <v>29420</v>
      </c>
      <c r="E24293" s="51"/>
      <c r="F24293" s="114" t="str">
        <f>IF(INDEX(I.Facility.P4IDNumber,4281)="","",INDEX(I.Facility.P4IDNumber,4281))</f>
        <v/>
      </c>
      <c r="G24293" s="51"/>
      <c r="H24293" s="46" t="str">
        <f>IF(AND(I.Developer.P4=TRUE,I.Facility.P4FacilityCount&gt;=4281,F24293=""),"Incomplete","Complete")</f>
        <v>Complete</v>
      </c>
      <c r="I24293" s="48" t="s">
        <v>28658</v>
      </c>
    </row>
    <row r="24294" spans="2:9" ht="15" customHeight="1" x14ac:dyDescent="0.25">
      <c r="B24294" s="55" t="s">
        <v>283</v>
      </c>
      <c r="C24294" s="46">
        <v>4282</v>
      </c>
      <c r="D24294" s="69" t="s">
        <v>29420</v>
      </c>
      <c r="E24294" s="51"/>
      <c r="F24294" s="114" t="str">
        <f>IF(INDEX(I.Facility.P4IDNumber,4282)="","",INDEX(I.Facility.P4IDNumber,4282))</f>
        <v/>
      </c>
      <c r="G24294" s="51"/>
      <c r="H24294" s="46" t="str">
        <f>IF(AND(I.Developer.P4=TRUE,I.Facility.P4FacilityCount&gt;=4282,F24294=""),"Incomplete","Complete")</f>
        <v>Complete</v>
      </c>
      <c r="I24294" s="48" t="s">
        <v>28659</v>
      </c>
    </row>
    <row r="24295" spans="2:9" ht="15" customHeight="1" x14ac:dyDescent="0.25">
      <c r="B24295" s="55" t="s">
        <v>283</v>
      </c>
      <c r="C24295" s="46">
        <v>4283</v>
      </c>
      <c r="D24295" s="69" t="s">
        <v>29420</v>
      </c>
      <c r="E24295" s="51"/>
      <c r="F24295" s="114" t="str">
        <f>IF(INDEX(I.Facility.P4IDNumber,4283)="","",INDEX(I.Facility.P4IDNumber,4283))</f>
        <v/>
      </c>
      <c r="G24295" s="51"/>
      <c r="H24295" s="46" t="str">
        <f>IF(AND(I.Developer.P4=TRUE,I.Facility.P4FacilityCount&gt;=4283,F24295=""),"Incomplete","Complete")</f>
        <v>Complete</v>
      </c>
      <c r="I24295" s="48" t="s">
        <v>28660</v>
      </c>
    </row>
    <row r="24296" spans="2:9" ht="15" customHeight="1" x14ac:dyDescent="0.25">
      <c r="B24296" s="55" t="s">
        <v>283</v>
      </c>
      <c r="C24296" s="46">
        <v>4284</v>
      </c>
      <c r="D24296" s="69" t="s">
        <v>29420</v>
      </c>
      <c r="E24296" s="51"/>
      <c r="F24296" s="114" t="str">
        <f>IF(INDEX(I.Facility.P4IDNumber,4284)="","",INDEX(I.Facility.P4IDNumber,4284))</f>
        <v/>
      </c>
      <c r="G24296" s="51"/>
      <c r="H24296" s="46" t="str">
        <f>IF(AND(I.Developer.P4=TRUE,I.Facility.P4FacilityCount&gt;=4284,F24296=""),"Incomplete","Complete")</f>
        <v>Complete</v>
      </c>
      <c r="I24296" s="48" t="s">
        <v>28661</v>
      </c>
    </row>
    <row r="24297" spans="2:9" ht="15" customHeight="1" x14ac:dyDescent="0.25">
      <c r="B24297" s="55" t="s">
        <v>283</v>
      </c>
      <c r="C24297" s="46">
        <v>4285</v>
      </c>
      <c r="D24297" s="69" t="s">
        <v>29420</v>
      </c>
      <c r="E24297" s="51"/>
      <c r="F24297" s="114" t="str">
        <f>IF(INDEX(I.Facility.P4IDNumber,4285)="","",INDEX(I.Facility.P4IDNumber,4285))</f>
        <v/>
      </c>
      <c r="G24297" s="51"/>
      <c r="H24297" s="46" t="str">
        <f>IF(AND(I.Developer.P4=TRUE,I.Facility.P4FacilityCount&gt;=4285,F24297=""),"Incomplete","Complete")</f>
        <v>Complete</v>
      </c>
      <c r="I24297" s="48" t="s">
        <v>28662</v>
      </c>
    </row>
    <row r="24298" spans="2:9" ht="15" customHeight="1" x14ac:dyDescent="0.25">
      <c r="B24298" s="55" t="s">
        <v>283</v>
      </c>
      <c r="C24298" s="46">
        <v>4286</v>
      </c>
      <c r="D24298" s="69" t="s">
        <v>29420</v>
      </c>
      <c r="E24298" s="51"/>
      <c r="F24298" s="114" t="str">
        <f>IF(INDEX(I.Facility.P4IDNumber,4286)="","",INDEX(I.Facility.P4IDNumber,4286))</f>
        <v/>
      </c>
      <c r="G24298" s="51"/>
      <c r="H24298" s="46" t="str">
        <f>IF(AND(I.Developer.P4=TRUE,I.Facility.P4FacilityCount&gt;=4286,F24298=""),"Incomplete","Complete")</f>
        <v>Complete</v>
      </c>
      <c r="I24298" s="48" t="s">
        <v>28663</v>
      </c>
    </row>
    <row r="24299" spans="2:9" ht="15" customHeight="1" x14ac:dyDescent="0.25">
      <c r="B24299" s="55" t="s">
        <v>283</v>
      </c>
      <c r="C24299" s="46">
        <v>4287</v>
      </c>
      <c r="D24299" s="69" t="s">
        <v>29420</v>
      </c>
      <c r="E24299" s="51"/>
      <c r="F24299" s="114" t="str">
        <f>IF(INDEX(I.Facility.P4IDNumber,4287)="","",INDEX(I.Facility.P4IDNumber,4287))</f>
        <v/>
      </c>
      <c r="G24299" s="51"/>
      <c r="H24299" s="46" t="str">
        <f>IF(AND(I.Developer.P4=TRUE,I.Facility.P4FacilityCount&gt;=4287,F24299=""),"Incomplete","Complete")</f>
        <v>Complete</v>
      </c>
      <c r="I24299" s="48" t="s">
        <v>28664</v>
      </c>
    </row>
    <row r="24300" spans="2:9" ht="15" customHeight="1" x14ac:dyDescent="0.25">
      <c r="B24300" s="55" t="s">
        <v>283</v>
      </c>
      <c r="C24300" s="46">
        <v>4288</v>
      </c>
      <c r="D24300" s="69" t="s">
        <v>29420</v>
      </c>
      <c r="E24300" s="51"/>
      <c r="F24300" s="114" t="str">
        <f>IF(INDEX(I.Facility.P4IDNumber,4288)="","",INDEX(I.Facility.P4IDNumber,4288))</f>
        <v/>
      </c>
      <c r="G24300" s="51"/>
      <c r="H24300" s="46" t="str">
        <f>IF(AND(I.Developer.P4=TRUE,I.Facility.P4FacilityCount&gt;=4288,F24300=""),"Incomplete","Complete")</f>
        <v>Complete</v>
      </c>
      <c r="I24300" s="48" t="s">
        <v>28665</v>
      </c>
    </row>
    <row r="24301" spans="2:9" ht="15" customHeight="1" x14ac:dyDescent="0.25">
      <c r="B24301" s="55" t="s">
        <v>283</v>
      </c>
      <c r="C24301" s="46">
        <v>4289</v>
      </c>
      <c r="D24301" s="69" t="s">
        <v>29420</v>
      </c>
      <c r="E24301" s="51"/>
      <c r="F24301" s="114" t="str">
        <f>IF(INDEX(I.Facility.P4IDNumber,4289)="","",INDEX(I.Facility.P4IDNumber,4289))</f>
        <v/>
      </c>
      <c r="G24301" s="51"/>
      <c r="H24301" s="46" t="str">
        <f>IF(AND(I.Developer.P4=TRUE,I.Facility.P4FacilityCount&gt;=4289,F24301=""),"Incomplete","Complete")</f>
        <v>Complete</v>
      </c>
      <c r="I24301" s="48" t="s">
        <v>28666</v>
      </c>
    </row>
    <row r="24302" spans="2:9" ht="15" customHeight="1" x14ac:dyDescent="0.25">
      <c r="B24302" s="55" t="s">
        <v>283</v>
      </c>
      <c r="C24302" s="46">
        <v>4290</v>
      </c>
      <c r="D24302" s="69" t="s">
        <v>29420</v>
      </c>
      <c r="E24302" s="51"/>
      <c r="F24302" s="114" t="str">
        <f>IF(INDEX(I.Facility.P4IDNumber,4290)="","",INDEX(I.Facility.P4IDNumber,4290))</f>
        <v/>
      </c>
      <c r="G24302" s="51"/>
      <c r="H24302" s="46" t="str">
        <f>IF(AND(I.Developer.P4=TRUE,I.Facility.P4FacilityCount&gt;=4290,F24302=""),"Incomplete","Complete")</f>
        <v>Complete</v>
      </c>
      <c r="I24302" s="48" t="s">
        <v>28667</v>
      </c>
    </row>
    <row r="24303" spans="2:9" ht="15" customHeight="1" x14ac:dyDescent="0.25">
      <c r="B24303" s="55" t="s">
        <v>283</v>
      </c>
      <c r="C24303" s="46">
        <v>4291</v>
      </c>
      <c r="D24303" s="69" t="s">
        <v>29420</v>
      </c>
      <c r="E24303" s="51"/>
      <c r="F24303" s="114" t="str">
        <f>IF(INDEX(I.Facility.P4IDNumber,4291)="","",INDEX(I.Facility.P4IDNumber,4291))</f>
        <v/>
      </c>
      <c r="G24303" s="51"/>
      <c r="H24303" s="46" t="str">
        <f>IF(AND(I.Developer.P4=TRUE,I.Facility.P4FacilityCount&gt;=4291,F24303=""),"Incomplete","Complete")</f>
        <v>Complete</v>
      </c>
      <c r="I24303" s="48" t="s">
        <v>28668</v>
      </c>
    </row>
    <row r="24304" spans="2:9" ht="15" customHeight="1" x14ac:dyDescent="0.25">
      <c r="B24304" s="55" t="s">
        <v>283</v>
      </c>
      <c r="C24304" s="46">
        <v>4292</v>
      </c>
      <c r="D24304" s="69" t="s">
        <v>29420</v>
      </c>
      <c r="E24304" s="51"/>
      <c r="F24304" s="114" t="str">
        <f>IF(INDEX(I.Facility.P4IDNumber,4292)="","",INDEX(I.Facility.P4IDNumber,4292))</f>
        <v/>
      </c>
      <c r="G24304" s="51"/>
      <c r="H24304" s="46" t="str">
        <f>IF(AND(I.Developer.P4=TRUE,I.Facility.P4FacilityCount&gt;=4292,F24304=""),"Incomplete","Complete")</f>
        <v>Complete</v>
      </c>
      <c r="I24304" s="48" t="s">
        <v>28669</v>
      </c>
    </row>
    <row r="24305" spans="2:9" ht="15" customHeight="1" x14ac:dyDescent="0.25">
      <c r="B24305" s="55" t="s">
        <v>283</v>
      </c>
      <c r="C24305" s="46">
        <v>4293</v>
      </c>
      <c r="D24305" s="69" t="s">
        <v>29420</v>
      </c>
      <c r="E24305" s="51"/>
      <c r="F24305" s="114" t="str">
        <f>IF(INDEX(I.Facility.P4IDNumber,4293)="","",INDEX(I.Facility.P4IDNumber,4293))</f>
        <v/>
      </c>
      <c r="G24305" s="51"/>
      <c r="H24305" s="46" t="str">
        <f>IF(AND(I.Developer.P4=TRUE,I.Facility.P4FacilityCount&gt;=4293,F24305=""),"Incomplete","Complete")</f>
        <v>Complete</v>
      </c>
      <c r="I24305" s="48" t="s">
        <v>28670</v>
      </c>
    </row>
    <row r="24306" spans="2:9" ht="15" customHeight="1" x14ac:dyDescent="0.25">
      <c r="B24306" s="55" t="s">
        <v>283</v>
      </c>
      <c r="C24306" s="46">
        <v>4294</v>
      </c>
      <c r="D24306" s="69" t="s">
        <v>29420</v>
      </c>
      <c r="E24306" s="51"/>
      <c r="F24306" s="114" t="str">
        <f>IF(INDEX(I.Facility.P4IDNumber,4294)="","",INDEX(I.Facility.P4IDNumber,4294))</f>
        <v/>
      </c>
      <c r="G24306" s="51"/>
      <c r="H24306" s="46" t="str">
        <f>IF(AND(I.Developer.P4=TRUE,I.Facility.P4FacilityCount&gt;=4294,F24306=""),"Incomplete","Complete")</f>
        <v>Complete</v>
      </c>
      <c r="I24306" s="48" t="s">
        <v>28671</v>
      </c>
    </row>
    <row r="24307" spans="2:9" ht="15" customHeight="1" x14ac:dyDescent="0.25">
      <c r="B24307" s="55" t="s">
        <v>283</v>
      </c>
      <c r="C24307" s="46">
        <v>4295</v>
      </c>
      <c r="D24307" s="69" t="s">
        <v>29420</v>
      </c>
      <c r="E24307" s="51"/>
      <c r="F24307" s="114" t="str">
        <f>IF(INDEX(I.Facility.P4IDNumber,4295)="","",INDEX(I.Facility.P4IDNumber,4295))</f>
        <v/>
      </c>
      <c r="G24307" s="51"/>
      <c r="H24307" s="46" t="str">
        <f>IF(AND(I.Developer.P4=TRUE,I.Facility.P4FacilityCount&gt;=4295,F24307=""),"Incomplete","Complete")</f>
        <v>Complete</v>
      </c>
      <c r="I24307" s="48" t="s">
        <v>28672</v>
      </c>
    </row>
    <row r="24308" spans="2:9" ht="15" customHeight="1" x14ac:dyDescent="0.25">
      <c r="B24308" s="55" t="s">
        <v>283</v>
      </c>
      <c r="C24308" s="46">
        <v>4296</v>
      </c>
      <c r="D24308" s="69" t="s">
        <v>29420</v>
      </c>
      <c r="E24308" s="51"/>
      <c r="F24308" s="114" t="str">
        <f>IF(INDEX(I.Facility.P4IDNumber,4296)="","",INDEX(I.Facility.P4IDNumber,4296))</f>
        <v/>
      </c>
      <c r="G24308" s="51"/>
      <c r="H24308" s="46" t="str">
        <f>IF(AND(I.Developer.P4=TRUE,I.Facility.P4FacilityCount&gt;=4296,F24308=""),"Incomplete","Complete")</f>
        <v>Complete</v>
      </c>
      <c r="I24308" s="48" t="s">
        <v>28673</v>
      </c>
    </row>
    <row r="24309" spans="2:9" ht="15" customHeight="1" x14ac:dyDescent="0.25">
      <c r="B24309" s="55" t="s">
        <v>283</v>
      </c>
      <c r="C24309" s="46">
        <v>4297</v>
      </c>
      <c r="D24309" s="69" t="s">
        <v>29420</v>
      </c>
      <c r="E24309" s="51"/>
      <c r="F24309" s="114" t="str">
        <f>IF(INDEX(I.Facility.P4IDNumber,4297)="","",INDEX(I.Facility.P4IDNumber,4297))</f>
        <v/>
      </c>
      <c r="G24309" s="51"/>
      <c r="H24309" s="46" t="str">
        <f>IF(AND(I.Developer.P4=TRUE,I.Facility.P4FacilityCount&gt;=4297,F24309=""),"Incomplete","Complete")</f>
        <v>Complete</v>
      </c>
      <c r="I24309" s="48" t="s">
        <v>28674</v>
      </c>
    </row>
    <row r="24310" spans="2:9" ht="15" customHeight="1" x14ac:dyDescent="0.25">
      <c r="B24310" s="55" t="s">
        <v>283</v>
      </c>
      <c r="C24310" s="46">
        <v>4298</v>
      </c>
      <c r="D24310" s="69" t="s">
        <v>29420</v>
      </c>
      <c r="E24310" s="51"/>
      <c r="F24310" s="114" t="str">
        <f>IF(INDEX(I.Facility.P4IDNumber,4298)="","",INDEX(I.Facility.P4IDNumber,4298))</f>
        <v/>
      </c>
      <c r="G24310" s="51"/>
      <c r="H24310" s="46" t="str">
        <f>IF(AND(I.Developer.P4=TRUE,I.Facility.P4FacilityCount&gt;=4298,F24310=""),"Incomplete","Complete")</f>
        <v>Complete</v>
      </c>
      <c r="I24310" s="48" t="s">
        <v>28675</v>
      </c>
    </row>
    <row r="24311" spans="2:9" ht="15" customHeight="1" x14ac:dyDescent="0.25">
      <c r="B24311" s="55" t="s">
        <v>283</v>
      </c>
      <c r="C24311" s="46">
        <v>4299</v>
      </c>
      <c r="D24311" s="69" t="s">
        <v>29420</v>
      </c>
      <c r="E24311" s="51"/>
      <c r="F24311" s="114" t="str">
        <f>IF(INDEX(I.Facility.P4IDNumber,4299)="","",INDEX(I.Facility.P4IDNumber,4299))</f>
        <v/>
      </c>
      <c r="G24311" s="51"/>
      <c r="H24311" s="46" t="str">
        <f>IF(AND(I.Developer.P4=TRUE,I.Facility.P4FacilityCount&gt;=4299,F24311=""),"Incomplete","Complete")</f>
        <v>Complete</v>
      </c>
      <c r="I24311" s="48" t="s">
        <v>28676</v>
      </c>
    </row>
    <row r="24312" spans="2:9" ht="15" customHeight="1" x14ac:dyDescent="0.25">
      <c r="B24312" s="55" t="s">
        <v>283</v>
      </c>
      <c r="C24312" s="46">
        <v>4300</v>
      </c>
      <c r="D24312" s="69" t="s">
        <v>29420</v>
      </c>
      <c r="E24312" s="51"/>
      <c r="F24312" s="114" t="str">
        <f>IF(INDEX(I.Facility.P4IDNumber,4300)="","",INDEX(I.Facility.P4IDNumber,4300))</f>
        <v/>
      </c>
      <c r="G24312" s="51"/>
      <c r="H24312" s="46" t="str">
        <f>IF(AND(I.Developer.P4=TRUE,I.Facility.P4FacilityCount&gt;=4300,F24312=""),"Incomplete","Complete")</f>
        <v>Complete</v>
      </c>
      <c r="I24312" s="48" t="s">
        <v>28677</v>
      </c>
    </row>
    <row r="24313" spans="2:9" ht="15" customHeight="1" x14ac:dyDescent="0.25">
      <c r="B24313" s="55" t="s">
        <v>283</v>
      </c>
      <c r="C24313" s="46">
        <v>4301</v>
      </c>
      <c r="D24313" s="69" t="s">
        <v>29420</v>
      </c>
      <c r="E24313" s="51"/>
      <c r="F24313" s="114" t="str">
        <f>IF(INDEX(I.Facility.P4IDNumber,4301)="","",INDEX(I.Facility.P4IDNumber,4301))</f>
        <v/>
      </c>
      <c r="G24313" s="51"/>
      <c r="H24313" s="46" t="str">
        <f>IF(AND(I.Developer.P4=TRUE,I.Facility.P4FacilityCount&gt;=4301,F24313=""),"Incomplete","Complete")</f>
        <v>Complete</v>
      </c>
      <c r="I24313" s="48" t="s">
        <v>28678</v>
      </c>
    </row>
    <row r="24314" spans="2:9" ht="15" customHeight="1" x14ac:dyDescent="0.25">
      <c r="B24314" s="55" t="s">
        <v>283</v>
      </c>
      <c r="C24314" s="46">
        <v>4302</v>
      </c>
      <c r="D24314" s="69" t="s">
        <v>29420</v>
      </c>
      <c r="E24314" s="51"/>
      <c r="F24314" s="114" t="str">
        <f>IF(INDEX(I.Facility.P4IDNumber,4302)="","",INDEX(I.Facility.P4IDNumber,4302))</f>
        <v/>
      </c>
      <c r="G24314" s="51"/>
      <c r="H24314" s="46" t="str">
        <f>IF(AND(I.Developer.P4=TRUE,I.Facility.P4FacilityCount&gt;=4302,F24314=""),"Incomplete","Complete")</f>
        <v>Complete</v>
      </c>
      <c r="I24314" s="48" t="s">
        <v>28679</v>
      </c>
    </row>
    <row r="24315" spans="2:9" ht="15" customHeight="1" x14ac:dyDescent="0.25">
      <c r="B24315" s="55" t="s">
        <v>283</v>
      </c>
      <c r="C24315" s="46">
        <v>4303</v>
      </c>
      <c r="D24315" s="69" t="s">
        <v>29420</v>
      </c>
      <c r="E24315" s="51"/>
      <c r="F24315" s="114" t="str">
        <f>IF(INDEX(I.Facility.P4IDNumber,4303)="","",INDEX(I.Facility.P4IDNumber,4303))</f>
        <v/>
      </c>
      <c r="G24315" s="51"/>
      <c r="H24315" s="46" t="str">
        <f>IF(AND(I.Developer.P4=TRUE,I.Facility.P4FacilityCount&gt;=4303,F24315=""),"Incomplete","Complete")</f>
        <v>Complete</v>
      </c>
      <c r="I24315" s="48" t="s">
        <v>28680</v>
      </c>
    </row>
    <row r="24316" spans="2:9" ht="15" customHeight="1" x14ac:dyDescent="0.25">
      <c r="B24316" s="55" t="s">
        <v>283</v>
      </c>
      <c r="C24316" s="46">
        <v>4304</v>
      </c>
      <c r="D24316" s="69" t="s">
        <v>29420</v>
      </c>
      <c r="E24316" s="51"/>
      <c r="F24316" s="114" t="str">
        <f>IF(INDEX(I.Facility.P4IDNumber,4304)="","",INDEX(I.Facility.P4IDNumber,4304))</f>
        <v/>
      </c>
      <c r="G24316" s="51"/>
      <c r="H24316" s="46" t="str">
        <f>IF(AND(I.Developer.P4=TRUE,I.Facility.P4FacilityCount&gt;=4304,F24316=""),"Incomplete","Complete")</f>
        <v>Complete</v>
      </c>
      <c r="I24316" s="48" t="s">
        <v>28681</v>
      </c>
    </row>
    <row r="24317" spans="2:9" ht="15" customHeight="1" x14ac:dyDescent="0.25">
      <c r="B24317" s="55" t="s">
        <v>283</v>
      </c>
      <c r="C24317" s="46">
        <v>4305</v>
      </c>
      <c r="D24317" s="69" t="s">
        <v>29420</v>
      </c>
      <c r="E24317" s="51"/>
      <c r="F24317" s="114" t="str">
        <f>IF(INDEX(I.Facility.P4IDNumber,4305)="","",INDEX(I.Facility.P4IDNumber,4305))</f>
        <v/>
      </c>
      <c r="G24317" s="51"/>
      <c r="H24317" s="46" t="str">
        <f>IF(AND(I.Developer.P4=TRUE,I.Facility.P4FacilityCount&gt;=4305,F24317=""),"Incomplete","Complete")</f>
        <v>Complete</v>
      </c>
      <c r="I24317" s="48" t="s">
        <v>28682</v>
      </c>
    </row>
    <row r="24318" spans="2:9" ht="15" customHeight="1" x14ac:dyDescent="0.25">
      <c r="B24318" s="55" t="s">
        <v>283</v>
      </c>
      <c r="C24318" s="46">
        <v>4306</v>
      </c>
      <c r="D24318" s="69" t="s">
        <v>29420</v>
      </c>
      <c r="E24318" s="51"/>
      <c r="F24318" s="114" t="str">
        <f>IF(INDEX(I.Facility.P4IDNumber,4306)="","",INDEX(I.Facility.P4IDNumber,4306))</f>
        <v/>
      </c>
      <c r="G24318" s="51"/>
      <c r="H24318" s="46" t="str">
        <f>IF(AND(I.Developer.P4=TRUE,I.Facility.P4FacilityCount&gt;=4306,F24318=""),"Incomplete","Complete")</f>
        <v>Complete</v>
      </c>
      <c r="I24318" s="48" t="s">
        <v>28683</v>
      </c>
    </row>
    <row r="24319" spans="2:9" ht="15" customHeight="1" x14ac:dyDescent="0.25">
      <c r="B24319" s="55" t="s">
        <v>283</v>
      </c>
      <c r="C24319" s="46">
        <v>4307</v>
      </c>
      <c r="D24319" s="69" t="s">
        <v>29420</v>
      </c>
      <c r="E24319" s="51"/>
      <c r="F24319" s="114" t="str">
        <f>IF(INDEX(I.Facility.P4IDNumber,4307)="","",INDEX(I.Facility.P4IDNumber,4307))</f>
        <v/>
      </c>
      <c r="G24319" s="51"/>
      <c r="H24319" s="46" t="str">
        <f>IF(AND(I.Developer.P4=TRUE,I.Facility.P4FacilityCount&gt;=4307,F24319=""),"Incomplete","Complete")</f>
        <v>Complete</v>
      </c>
      <c r="I24319" s="48" t="s">
        <v>28684</v>
      </c>
    </row>
    <row r="24320" spans="2:9" ht="15" customHeight="1" x14ac:dyDescent="0.25">
      <c r="B24320" s="55" t="s">
        <v>283</v>
      </c>
      <c r="C24320" s="46">
        <v>4308</v>
      </c>
      <c r="D24320" s="69" t="s">
        <v>29420</v>
      </c>
      <c r="E24320" s="51"/>
      <c r="F24320" s="114" t="str">
        <f>IF(INDEX(I.Facility.P4IDNumber,4308)="","",INDEX(I.Facility.P4IDNumber,4308))</f>
        <v/>
      </c>
      <c r="G24320" s="51"/>
      <c r="H24320" s="46" t="str">
        <f>IF(AND(I.Developer.P4=TRUE,I.Facility.P4FacilityCount&gt;=4308,F24320=""),"Incomplete","Complete")</f>
        <v>Complete</v>
      </c>
      <c r="I24320" s="48" t="s">
        <v>28685</v>
      </c>
    </row>
    <row r="24321" spans="2:9" ht="15" customHeight="1" x14ac:dyDescent="0.25">
      <c r="B24321" s="55" t="s">
        <v>283</v>
      </c>
      <c r="C24321" s="46">
        <v>4309</v>
      </c>
      <c r="D24321" s="69" t="s">
        <v>29420</v>
      </c>
      <c r="E24321" s="51"/>
      <c r="F24321" s="114" t="str">
        <f>IF(INDEX(I.Facility.P4IDNumber,4309)="","",INDEX(I.Facility.P4IDNumber,4309))</f>
        <v/>
      </c>
      <c r="G24321" s="51"/>
      <c r="H24321" s="46" t="str">
        <f>IF(AND(I.Developer.P4=TRUE,I.Facility.P4FacilityCount&gt;=4309,F24321=""),"Incomplete","Complete")</f>
        <v>Complete</v>
      </c>
      <c r="I24321" s="48" t="s">
        <v>28686</v>
      </c>
    </row>
    <row r="24322" spans="2:9" ht="15" customHeight="1" x14ac:dyDescent="0.25">
      <c r="B24322" s="55" t="s">
        <v>283</v>
      </c>
      <c r="C24322" s="46">
        <v>4310</v>
      </c>
      <c r="D24322" s="69" t="s">
        <v>29420</v>
      </c>
      <c r="E24322" s="51"/>
      <c r="F24322" s="114" t="str">
        <f>IF(INDEX(I.Facility.P4IDNumber,4310)="","",INDEX(I.Facility.P4IDNumber,4310))</f>
        <v/>
      </c>
      <c r="G24322" s="51"/>
      <c r="H24322" s="46" t="str">
        <f>IF(AND(I.Developer.P4=TRUE,I.Facility.P4FacilityCount&gt;=4310,F24322=""),"Incomplete","Complete")</f>
        <v>Complete</v>
      </c>
      <c r="I24322" s="48" t="s">
        <v>28687</v>
      </c>
    </row>
    <row r="24323" spans="2:9" ht="15" customHeight="1" x14ac:dyDescent="0.25">
      <c r="B24323" s="55" t="s">
        <v>283</v>
      </c>
      <c r="C24323" s="46">
        <v>4311</v>
      </c>
      <c r="D24323" s="69" t="s">
        <v>29420</v>
      </c>
      <c r="E24323" s="51"/>
      <c r="F24323" s="114" t="str">
        <f>IF(INDEX(I.Facility.P4IDNumber,4311)="","",INDEX(I.Facility.P4IDNumber,4311))</f>
        <v/>
      </c>
      <c r="G24323" s="51"/>
      <c r="H24323" s="46" t="str">
        <f>IF(AND(I.Developer.P4=TRUE,I.Facility.P4FacilityCount&gt;=4311,F24323=""),"Incomplete","Complete")</f>
        <v>Complete</v>
      </c>
      <c r="I24323" s="48" t="s">
        <v>28688</v>
      </c>
    </row>
    <row r="24324" spans="2:9" ht="15" customHeight="1" x14ac:dyDescent="0.25">
      <c r="B24324" s="55" t="s">
        <v>283</v>
      </c>
      <c r="C24324" s="46">
        <v>4312</v>
      </c>
      <c r="D24324" s="69" t="s">
        <v>29420</v>
      </c>
      <c r="E24324" s="51"/>
      <c r="F24324" s="114" t="str">
        <f>IF(INDEX(I.Facility.P4IDNumber,4312)="","",INDEX(I.Facility.P4IDNumber,4312))</f>
        <v/>
      </c>
      <c r="G24324" s="51"/>
      <c r="H24324" s="46" t="str">
        <f>IF(AND(I.Developer.P4=TRUE,I.Facility.P4FacilityCount&gt;=4312,F24324=""),"Incomplete","Complete")</f>
        <v>Complete</v>
      </c>
      <c r="I24324" s="48" t="s">
        <v>28689</v>
      </c>
    </row>
    <row r="24325" spans="2:9" ht="15" customHeight="1" x14ac:dyDescent="0.25">
      <c r="B24325" s="55" t="s">
        <v>283</v>
      </c>
      <c r="C24325" s="46">
        <v>4313</v>
      </c>
      <c r="D24325" s="69" t="s">
        <v>29420</v>
      </c>
      <c r="E24325" s="51"/>
      <c r="F24325" s="114" t="str">
        <f>IF(INDEX(I.Facility.P4IDNumber,4313)="","",INDEX(I.Facility.P4IDNumber,4313))</f>
        <v/>
      </c>
      <c r="G24325" s="51"/>
      <c r="H24325" s="46" t="str">
        <f>IF(AND(I.Developer.P4=TRUE,I.Facility.P4FacilityCount&gt;=4313,F24325=""),"Incomplete","Complete")</f>
        <v>Complete</v>
      </c>
      <c r="I24325" s="48" t="s">
        <v>28690</v>
      </c>
    </row>
    <row r="24326" spans="2:9" ht="15" customHeight="1" x14ac:dyDescent="0.25">
      <c r="B24326" s="55" t="s">
        <v>283</v>
      </c>
      <c r="C24326" s="46">
        <v>4314</v>
      </c>
      <c r="D24326" s="69" t="s">
        <v>29420</v>
      </c>
      <c r="E24326" s="51"/>
      <c r="F24326" s="114" t="str">
        <f>IF(INDEX(I.Facility.P4IDNumber,4314)="","",INDEX(I.Facility.P4IDNumber,4314))</f>
        <v/>
      </c>
      <c r="G24326" s="51"/>
      <c r="H24326" s="46" t="str">
        <f>IF(AND(I.Developer.P4=TRUE,I.Facility.P4FacilityCount&gt;=4314,F24326=""),"Incomplete","Complete")</f>
        <v>Complete</v>
      </c>
      <c r="I24326" s="48" t="s">
        <v>28691</v>
      </c>
    </row>
    <row r="24327" spans="2:9" ht="15" customHeight="1" x14ac:dyDescent="0.25">
      <c r="B24327" s="55" t="s">
        <v>283</v>
      </c>
      <c r="C24327" s="46">
        <v>4315</v>
      </c>
      <c r="D24327" s="69" t="s">
        <v>29420</v>
      </c>
      <c r="E24327" s="51"/>
      <c r="F24327" s="114" t="str">
        <f>IF(INDEX(I.Facility.P4IDNumber,4315)="","",INDEX(I.Facility.P4IDNumber,4315))</f>
        <v/>
      </c>
      <c r="G24327" s="51"/>
      <c r="H24327" s="46" t="str">
        <f>IF(AND(I.Developer.P4=TRUE,I.Facility.P4FacilityCount&gt;=4315,F24327=""),"Incomplete","Complete")</f>
        <v>Complete</v>
      </c>
      <c r="I24327" s="48" t="s">
        <v>28692</v>
      </c>
    </row>
    <row r="24328" spans="2:9" ht="15" customHeight="1" x14ac:dyDescent="0.25">
      <c r="B24328" s="55" t="s">
        <v>283</v>
      </c>
      <c r="C24328" s="46">
        <v>4316</v>
      </c>
      <c r="D24328" s="69" t="s">
        <v>29420</v>
      </c>
      <c r="E24328" s="51"/>
      <c r="F24328" s="114" t="str">
        <f>IF(INDEX(I.Facility.P4IDNumber,4316)="","",INDEX(I.Facility.P4IDNumber,4316))</f>
        <v/>
      </c>
      <c r="G24328" s="51"/>
      <c r="H24328" s="46" t="str">
        <f>IF(AND(I.Developer.P4=TRUE,I.Facility.P4FacilityCount&gt;=4316,F24328=""),"Incomplete","Complete")</f>
        <v>Complete</v>
      </c>
      <c r="I24328" s="48" t="s">
        <v>28693</v>
      </c>
    </row>
    <row r="24329" spans="2:9" ht="15" customHeight="1" x14ac:dyDescent="0.25">
      <c r="B24329" s="55" t="s">
        <v>283</v>
      </c>
      <c r="C24329" s="46">
        <v>4317</v>
      </c>
      <c r="D24329" s="69" t="s">
        <v>29420</v>
      </c>
      <c r="E24329" s="51"/>
      <c r="F24329" s="114" t="str">
        <f>IF(INDEX(I.Facility.P4IDNumber,4317)="","",INDEX(I.Facility.P4IDNumber,4317))</f>
        <v/>
      </c>
      <c r="G24329" s="51"/>
      <c r="H24329" s="46" t="str">
        <f>IF(AND(I.Developer.P4=TRUE,I.Facility.P4FacilityCount&gt;=4317,F24329=""),"Incomplete","Complete")</f>
        <v>Complete</v>
      </c>
      <c r="I24329" s="48" t="s">
        <v>28694</v>
      </c>
    </row>
    <row r="24330" spans="2:9" ht="15" customHeight="1" x14ac:dyDescent="0.25">
      <c r="B24330" s="55" t="s">
        <v>283</v>
      </c>
      <c r="C24330" s="46">
        <v>4318</v>
      </c>
      <c r="D24330" s="69" t="s">
        <v>29420</v>
      </c>
      <c r="E24330" s="51"/>
      <c r="F24330" s="114" t="str">
        <f>IF(INDEX(I.Facility.P4IDNumber,4318)="","",INDEX(I.Facility.P4IDNumber,4318))</f>
        <v/>
      </c>
      <c r="G24330" s="51"/>
      <c r="H24330" s="46" t="str">
        <f>IF(AND(I.Developer.P4=TRUE,I.Facility.P4FacilityCount&gt;=4318,F24330=""),"Incomplete","Complete")</f>
        <v>Complete</v>
      </c>
      <c r="I24330" s="48" t="s">
        <v>28695</v>
      </c>
    </row>
    <row r="24331" spans="2:9" ht="15" customHeight="1" x14ac:dyDescent="0.25">
      <c r="B24331" s="55" t="s">
        <v>283</v>
      </c>
      <c r="C24331" s="46">
        <v>4319</v>
      </c>
      <c r="D24331" s="69" t="s">
        <v>29420</v>
      </c>
      <c r="E24331" s="51"/>
      <c r="F24331" s="114" t="str">
        <f>IF(INDEX(I.Facility.P4IDNumber,4319)="","",INDEX(I.Facility.P4IDNumber,4319))</f>
        <v/>
      </c>
      <c r="G24331" s="51"/>
      <c r="H24331" s="46" t="str">
        <f>IF(AND(I.Developer.P4=TRUE,I.Facility.P4FacilityCount&gt;=4319,F24331=""),"Incomplete","Complete")</f>
        <v>Complete</v>
      </c>
      <c r="I24331" s="48" t="s">
        <v>28696</v>
      </c>
    </row>
    <row r="24332" spans="2:9" ht="15" customHeight="1" x14ac:dyDescent="0.25">
      <c r="B24332" s="55" t="s">
        <v>283</v>
      </c>
      <c r="C24332" s="46">
        <v>4320</v>
      </c>
      <c r="D24332" s="69" t="s">
        <v>29420</v>
      </c>
      <c r="E24332" s="51"/>
      <c r="F24332" s="114" t="str">
        <f>IF(INDEX(I.Facility.P4IDNumber,4320)="","",INDEX(I.Facility.P4IDNumber,4320))</f>
        <v/>
      </c>
      <c r="G24332" s="51"/>
      <c r="H24332" s="46" t="str">
        <f>IF(AND(I.Developer.P4=TRUE,I.Facility.P4FacilityCount&gt;=4320,F24332=""),"Incomplete","Complete")</f>
        <v>Complete</v>
      </c>
      <c r="I24332" s="48" t="s">
        <v>28697</v>
      </c>
    </row>
    <row r="24333" spans="2:9" ht="15" customHeight="1" x14ac:dyDescent="0.25">
      <c r="B24333" s="55" t="s">
        <v>283</v>
      </c>
      <c r="C24333" s="46">
        <v>4321</v>
      </c>
      <c r="D24333" s="69" t="s">
        <v>29420</v>
      </c>
      <c r="E24333" s="51"/>
      <c r="F24333" s="114" t="str">
        <f>IF(INDEX(I.Facility.P4IDNumber,4321)="","",INDEX(I.Facility.P4IDNumber,4321))</f>
        <v/>
      </c>
      <c r="G24333" s="51"/>
      <c r="H24333" s="46" t="str">
        <f>IF(AND(I.Developer.P4=TRUE,I.Facility.P4FacilityCount&gt;=4321,F24333=""),"Incomplete","Complete")</f>
        <v>Complete</v>
      </c>
      <c r="I24333" s="48" t="s">
        <v>28698</v>
      </c>
    </row>
    <row r="24334" spans="2:9" ht="15" customHeight="1" x14ac:dyDescent="0.25">
      <c r="B24334" s="55" t="s">
        <v>283</v>
      </c>
      <c r="C24334" s="46">
        <v>4322</v>
      </c>
      <c r="D24334" s="69" t="s">
        <v>29420</v>
      </c>
      <c r="E24334" s="51"/>
      <c r="F24334" s="114" t="str">
        <f>IF(INDEX(I.Facility.P4IDNumber,4322)="","",INDEX(I.Facility.P4IDNumber,4322))</f>
        <v/>
      </c>
      <c r="G24334" s="51"/>
      <c r="H24334" s="46" t="str">
        <f>IF(AND(I.Developer.P4=TRUE,I.Facility.P4FacilityCount&gt;=4322,F24334=""),"Incomplete","Complete")</f>
        <v>Complete</v>
      </c>
      <c r="I24334" s="48" t="s">
        <v>28699</v>
      </c>
    </row>
    <row r="24335" spans="2:9" ht="15" customHeight="1" x14ac:dyDescent="0.25">
      <c r="B24335" s="55" t="s">
        <v>283</v>
      </c>
      <c r="C24335" s="46">
        <v>4323</v>
      </c>
      <c r="D24335" s="69" t="s">
        <v>29420</v>
      </c>
      <c r="E24335" s="51"/>
      <c r="F24335" s="114" t="str">
        <f>IF(INDEX(I.Facility.P4IDNumber,4323)="","",INDEX(I.Facility.P4IDNumber,4323))</f>
        <v/>
      </c>
      <c r="G24335" s="51"/>
      <c r="H24335" s="46" t="str">
        <f>IF(AND(I.Developer.P4=TRUE,I.Facility.P4FacilityCount&gt;=4323,F24335=""),"Incomplete","Complete")</f>
        <v>Complete</v>
      </c>
      <c r="I24335" s="48" t="s">
        <v>28700</v>
      </c>
    </row>
    <row r="24336" spans="2:9" ht="15" customHeight="1" x14ac:dyDescent="0.25">
      <c r="B24336" s="55" t="s">
        <v>283</v>
      </c>
      <c r="C24336" s="46">
        <v>4324</v>
      </c>
      <c r="D24336" s="69" t="s">
        <v>29420</v>
      </c>
      <c r="E24336" s="51"/>
      <c r="F24336" s="114" t="str">
        <f>IF(INDEX(I.Facility.P4IDNumber,4324)="","",INDEX(I.Facility.P4IDNumber,4324))</f>
        <v/>
      </c>
      <c r="G24336" s="51"/>
      <c r="H24336" s="46" t="str">
        <f>IF(AND(I.Developer.P4=TRUE,I.Facility.P4FacilityCount&gt;=4324,F24336=""),"Incomplete","Complete")</f>
        <v>Complete</v>
      </c>
      <c r="I24336" s="48" t="s">
        <v>28701</v>
      </c>
    </row>
    <row r="24337" spans="2:9" ht="15" customHeight="1" x14ac:dyDescent="0.25">
      <c r="B24337" s="55" t="s">
        <v>283</v>
      </c>
      <c r="C24337" s="46">
        <v>4325</v>
      </c>
      <c r="D24337" s="69" t="s">
        <v>29420</v>
      </c>
      <c r="E24337" s="51"/>
      <c r="F24337" s="114" t="str">
        <f>IF(INDEX(I.Facility.P4IDNumber,4325)="","",INDEX(I.Facility.P4IDNumber,4325))</f>
        <v/>
      </c>
      <c r="G24337" s="51"/>
      <c r="H24337" s="46" t="str">
        <f>IF(AND(I.Developer.P4=TRUE,I.Facility.P4FacilityCount&gt;=4325,F24337=""),"Incomplete","Complete")</f>
        <v>Complete</v>
      </c>
      <c r="I24337" s="48" t="s">
        <v>28702</v>
      </c>
    </row>
    <row r="24338" spans="2:9" ht="15" customHeight="1" x14ac:dyDescent="0.25">
      <c r="B24338" s="55" t="s">
        <v>283</v>
      </c>
      <c r="C24338" s="46">
        <v>4326</v>
      </c>
      <c r="D24338" s="69" t="s">
        <v>29420</v>
      </c>
      <c r="E24338" s="51"/>
      <c r="F24338" s="114" t="str">
        <f>IF(INDEX(I.Facility.P4IDNumber,4326)="","",INDEX(I.Facility.P4IDNumber,4326))</f>
        <v/>
      </c>
      <c r="G24338" s="51"/>
      <c r="H24338" s="46" t="str">
        <f>IF(AND(I.Developer.P4=TRUE,I.Facility.P4FacilityCount&gt;=4326,F24338=""),"Incomplete","Complete")</f>
        <v>Complete</v>
      </c>
      <c r="I24338" s="48" t="s">
        <v>28703</v>
      </c>
    </row>
    <row r="24339" spans="2:9" ht="15" customHeight="1" x14ac:dyDescent="0.25">
      <c r="B24339" s="55" t="s">
        <v>283</v>
      </c>
      <c r="C24339" s="46">
        <v>4327</v>
      </c>
      <c r="D24339" s="69" t="s">
        <v>29420</v>
      </c>
      <c r="E24339" s="51"/>
      <c r="F24339" s="114" t="str">
        <f>IF(INDEX(I.Facility.P4IDNumber,4327)="","",INDEX(I.Facility.P4IDNumber,4327))</f>
        <v/>
      </c>
      <c r="G24339" s="51"/>
      <c r="H24339" s="46" t="str">
        <f>IF(AND(I.Developer.P4=TRUE,I.Facility.P4FacilityCount&gt;=4327,F24339=""),"Incomplete","Complete")</f>
        <v>Complete</v>
      </c>
      <c r="I24339" s="48" t="s">
        <v>28704</v>
      </c>
    </row>
    <row r="24340" spans="2:9" ht="15" customHeight="1" x14ac:dyDescent="0.25">
      <c r="B24340" s="55" t="s">
        <v>283</v>
      </c>
      <c r="C24340" s="46">
        <v>4328</v>
      </c>
      <c r="D24340" s="69" t="s">
        <v>29420</v>
      </c>
      <c r="E24340" s="51"/>
      <c r="F24340" s="114" t="str">
        <f>IF(INDEX(I.Facility.P4IDNumber,4328)="","",INDEX(I.Facility.P4IDNumber,4328))</f>
        <v/>
      </c>
      <c r="G24340" s="51"/>
      <c r="H24340" s="46" t="str">
        <f>IF(AND(I.Developer.P4=TRUE,I.Facility.P4FacilityCount&gt;=4328,F24340=""),"Incomplete","Complete")</f>
        <v>Complete</v>
      </c>
      <c r="I24340" s="48" t="s">
        <v>28705</v>
      </c>
    </row>
    <row r="24341" spans="2:9" ht="15" customHeight="1" x14ac:dyDescent="0.25">
      <c r="B24341" s="55" t="s">
        <v>283</v>
      </c>
      <c r="C24341" s="46">
        <v>4329</v>
      </c>
      <c r="D24341" s="69" t="s">
        <v>29420</v>
      </c>
      <c r="E24341" s="51"/>
      <c r="F24341" s="114" t="str">
        <f>IF(INDEX(I.Facility.P4IDNumber,4329)="","",INDEX(I.Facility.P4IDNumber,4329))</f>
        <v/>
      </c>
      <c r="G24341" s="51"/>
      <c r="H24341" s="46" t="str">
        <f>IF(AND(I.Developer.P4=TRUE,I.Facility.P4FacilityCount&gt;=4329,F24341=""),"Incomplete","Complete")</f>
        <v>Complete</v>
      </c>
      <c r="I24341" s="48" t="s">
        <v>28706</v>
      </c>
    </row>
    <row r="24342" spans="2:9" ht="15" customHeight="1" x14ac:dyDescent="0.25">
      <c r="B24342" s="55" t="s">
        <v>283</v>
      </c>
      <c r="C24342" s="46">
        <v>4330</v>
      </c>
      <c r="D24342" s="69" t="s">
        <v>29420</v>
      </c>
      <c r="E24342" s="51"/>
      <c r="F24342" s="114" t="str">
        <f>IF(INDEX(I.Facility.P4IDNumber,4330)="","",INDEX(I.Facility.P4IDNumber,4330))</f>
        <v/>
      </c>
      <c r="G24342" s="51"/>
      <c r="H24342" s="46" t="str">
        <f>IF(AND(I.Developer.P4=TRUE,I.Facility.P4FacilityCount&gt;=4330,F24342=""),"Incomplete","Complete")</f>
        <v>Complete</v>
      </c>
      <c r="I24342" s="48" t="s">
        <v>28707</v>
      </c>
    </row>
    <row r="24343" spans="2:9" ht="15" customHeight="1" x14ac:dyDescent="0.25">
      <c r="B24343" s="55" t="s">
        <v>283</v>
      </c>
      <c r="C24343" s="46">
        <v>4331</v>
      </c>
      <c r="D24343" s="69" t="s">
        <v>29420</v>
      </c>
      <c r="E24343" s="51"/>
      <c r="F24343" s="114" t="str">
        <f>IF(INDEX(I.Facility.P4IDNumber,4331)="","",INDEX(I.Facility.P4IDNumber,4331))</f>
        <v/>
      </c>
      <c r="G24343" s="51"/>
      <c r="H24343" s="46" t="str">
        <f>IF(AND(I.Developer.P4=TRUE,I.Facility.P4FacilityCount&gt;=4331,F24343=""),"Incomplete","Complete")</f>
        <v>Complete</v>
      </c>
      <c r="I24343" s="48" t="s">
        <v>28708</v>
      </c>
    </row>
    <row r="24344" spans="2:9" ht="15" customHeight="1" x14ac:dyDescent="0.25">
      <c r="B24344" s="55" t="s">
        <v>283</v>
      </c>
      <c r="C24344" s="46">
        <v>4332</v>
      </c>
      <c r="D24344" s="69" t="s">
        <v>29420</v>
      </c>
      <c r="E24344" s="51"/>
      <c r="F24344" s="114" t="str">
        <f>IF(INDEX(I.Facility.P4IDNumber,4332)="","",INDEX(I.Facility.P4IDNumber,4332))</f>
        <v/>
      </c>
      <c r="G24344" s="51"/>
      <c r="H24344" s="46" t="str">
        <f>IF(AND(I.Developer.P4=TRUE,I.Facility.P4FacilityCount&gt;=4332,F24344=""),"Incomplete","Complete")</f>
        <v>Complete</v>
      </c>
      <c r="I24344" s="48" t="s">
        <v>28709</v>
      </c>
    </row>
    <row r="24345" spans="2:9" ht="15" customHeight="1" x14ac:dyDescent="0.25">
      <c r="B24345" s="55" t="s">
        <v>283</v>
      </c>
      <c r="C24345" s="46">
        <v>4333</v>
      </c>
      <c r="D24345" s="69" t="s">
        <v>29420</v>
      </c>
      <c r="E24345" s="51"/>
      <c r="F24345" s="114" t="str">
        <f>IF(INDEX(I.Facility.P4IDNumber,4333)="","",INDEX(I.Facility.P4IDNumber,4333))</f>
        <v/>
      </c>
      <c r="G24345" s="51"/>
      <c r="H24345" s="46" t="str">
        <f>IF(AND(I.Developer.P4=TRUE,I.Facility.P4FacilityCount&gt;=4333,F24345=""),"Incomplete","Complete")</f>
        <v>Complete</v>
      </c>
      <c r="I24345" s="48" t="s">
        <v>28710</v>
      </c>
    </row>
    <row r="24346" spans="2:9" ht="15" customHeight="1" x14ac:dyDescent="0.25">
      <c r="B24346" s="55" t="s">
        <v>283</v>
      </c>
      <c r="C24346" s="46">
        <v>4334</v>
      </c>
      <c r="D24346" s="69" t="s">
        <v>29420</v>
      </c>
      <c r="E24346" s="51"/>
      <c r="F24346" s="114" t="str">
        <f>IF(INDEX(I.Facility.P4IDNumber,4334)="","",INDEX(I.Facility.P4IDNumber,4334))</f>
        <v/>
      </c>
      <c r="G24346" s="51"/>
      <c r="H24346" s="46" t="str">
        <f>IF(AND(I.Developer.P4=TRUE,I.Facility.P4FacilityCount&gt;=4334,F24346=""),"Incomplete","Complete")</f>
        <v>Complete</v>
      </c>
      <c r="I24346" s="48" t="s">
        <v>28711</v>
      </c>
    </row>
    <row r="24347" spans="2:9" ht="15" customHeight="1" x14ac:dyDescent="0.25">
      <c r="B24347" s="55" t="s">
        <v>283</v>
      </c>
      <c r="C24347" s="46">
        <v>4335</v>
      </c>
      <c r="D24347" s="69" t="s">
        <v>29420</v>
      </c>
      <c r="E24347" s="51"/>
      <c r="F24347" s="114" t="str">
        <f>IF(INDEX(I.Facility.P4IDNumber,4335)="","",INDEX(I.Facility.P4IDNumber,4335))</f>
        <v/>
      </c>
      <c r="G24347" s="51"/>
      <c r="H24347" s="46" t="str">
        <f>IF(AND(I.Developer.P4=TRUE,I.Facility.P4FacilityCount&gt;=4335,F24347=""),"Incomplete","Complete")</f>
        <v>Complete</v>
      </c>
      <c r="I24347" s="48" t="s">
        <v>28712</v>
      </c>
    </row>
    <row r="24348" spans="2:9" ht="15" customHeight="1" x14ac:dyDescent="0.25">
      <c r="B24348" s="55" t="s">
        <v>283</v>
      </c>
      <c r="C24348" s="46">
        <v>4336</v>
      </c>
      <c r="D24348" s="69" t="s">
        <v>29420</v>
      </c>
      <c r="E24348" s="51"/>
      <c r="F24348" s="114" t="str">
        <f>IF(INDEX(I.Facility.P4IDNumber,4336)="","",INDEX(I.Facility.P4IDNumber,4336))</f>
        <v/>
      </c>
      <c r="G24348" s="51"/>
      <c r="H24348" s="46" t="str">
        <f>IF(AND(I.Developer.P4=TRUE,I.Facility.P4FacilityCount&gt;=4336,F24348=""),"Incomplete","Complete")</f>
        <v>Complete</v>
      </c>
      <c r="I24348" s="48" t="s">
        <v>28713</v>
      </c>
    </row>
    <row r="24349" spans="2:9" ht="15" customHeight="1" x14ac:dyDescent="0.25">
      <c r="B24349" s="55" t="s">
        <v>283</v>
      </c>
      <c r="C24349" s="46">
        <v>4337</v>
      </c>
      <c r="D24349" s="69" t="s">
        <v>29420</v>
      </c>
      <c r="E24349" s="51"/>
      <c r="F24349" s="114" t="str">
        <f>IF(INDEX(I.Facility.P4IDNumber,4337)="","",INDEX(I.Facility.P4IDNumber,4337))</f>
        <v/>
      </c>
      <c r="G24349" s="51"/>
      <c r="H24349" s="46" t="str">
        <f>IF(AND(I.Developer.P4=TRUE,I.Facility.P4FacilityCount&gt;=4337,F24349=""),"Incomplete","Complete")</f>
        <v>Complete</v>
      </c>
      <c r="I24349" s="48" t="s">
        <v>28714</v>
      </c>
    </row>
    <row r="24350" spans="2:9" ht="15" customHeight="1" x14ac:dyDescent="0.25">
      <c r="B24350" s="55" t="s">
        <v>283</v>
      </c>
      <c r="C24350" s="46">
        <v>4338</v>
      </c>
      <c r="D24350" s="69" t="s">
        <v>29420</v>
      </c>
      <c r="E24350" s="51"/>
      <c r="F24350" s="114" t="str">
        <f>IF(INDEX(I.Facility.P4IDNumber,4338)="","",INDEX(I.Facility.P4IDNumber,4338))</f>
        <v/>
      </c>
      <c r="G24350" s="51"/>
      <c r="H24350" s="46" t="str">
        <f>IF(AND(I.Developer.P4=TRUE,I.Facility.P4FacilityCount&gt;=4338,F24350=""),"Incomplete","Complete")</f>
        <v>Complete</v>
      </c>
      <c r="I24350" s="48" t="s">
        <v>28715</v>
      </c>
    </row>
    <row r="24351" spans="2:9" ht="15" customHeight="1" x14ac:dyDescent="0.25">
      <c r="B24351" s="55" t="s">
        <v>283</v>
      </c>
      <c r="C24351" s="46">
        <v>4339</v>
      </c>
      <c r="D24351" s="69" t="s">
        <v>29420</v>
      </c>
      <c r="E24351" s="51"/>
      <c r="F24351" s="114" t="str">
        <f>IF(INDEX(I.Facility.P4IDNumber,4339)="","",INDEX(I.Facility.P4IDNumber,4339))</f>
        <v/>
      </c>
      <c r="G24351" s="51"/>
      <c r="H24351" s="46" t="str">
        <f>IF(AND(I.Developer.P4=TRUE,I.Facility.P4FacilityCount&gt;=4339,F24351=""),"Incomplete","Complete")</f>
        <v>Complete</v>
      </c>
      <c r="I24351" s="48" t="s">
        <v>28716</v>
      </c>
    </row>
    <row r="24352" spans="2:9" ht="15" customHeight="1" x14ac:dyDescent="0.25">
      <c r="B24352" s="55" t="s">
        <v>283</v>
      </c>
      <c r="C24352" s="46">
        <v>4340</v>
      </c>
      <c r="D24352" s="69" t="s">
        <v>29420</v>
      </c>
      <c r="E24352" s="51"/>
      <c r="F24352" s="114" t="str">
        <f>IF(INDEX(I.Facility.P4IDNumber,4340)="","",INDEX(I.Facility.P4IDNumber,4340))</f>
        <v/>
      </c>
      <c r="G24352" s="51"/>
      <c r="H24352" s="46" t="str">
        <f>IF(AND(I.Developer.P4=TRUE,I.Facility.P4FacilityCount&gt;=4340,F24352=""),"Incomplete","Complete")</f>
        <v>Complete</v>
      </c>
      <c r="I24352" s="48" t="s">
        <v>28717</v>
      </c>
    </row>
    <row r="24353" spans="2:9" ht="15" customHeight="1" x14ac:dyDescent="0.25">
      <c r="B24353" s="55" t="s">
        <v>283</v>
      </c>
      <c r="C24353" s="46">
        <v>4341</v>
      </c>
      <c r="D24353" s="69" t="s">
        <v>29420</v>
      </c>
      <c r="E24353" s="51"/>
      <c r="F24353" s="114" t="str">
        <f>IF(INDEX(I.Facility.P4IDNumber,4341)="","",INDEX(I.Facility.P4IDNumber,4341))</f>
        <v/>
      </c>
      <c r="G24353" s="51"/>
      <c r="H24353" s="46" t="str">
        <f>IF(AND(I.Developer.P4=TRUE,I.Facility.P4FacilityCount&gt;=4341,F24353=""),"Incomplete","Complete")</f>
        <v>Complete</v>
      </c>
      <c r="I24353" s="48" t="s">
        <v>28718</v>
      </c>
    </row>
    <row r="24354" spans="2:9" ht="15" customHeight="1" x14ac:dyDescent="0.25">
      <c r="B24354" s="55" t="s">
        <v>283</v>
      </c>
      <c r="C24354" s="46">
        <v>4342</v>
      </c>
      <c r="D24354" s="69" t="s">
        <v>29420</v>
      </c>
      <c r="E24354" s="51"/>
      <c r="F24354" s="114" t="str">
        <f>IF(INDEX(I.Facility.P4IDNumber,4342)="","",INDEX(I.Facility.P4IDNumber,4342))</f>
        <v/>
      </c>
      <c r="G24354" s="51"/>
      <c r="H24354" s="46" t="str">
        <f>IF(AND(I.Developer.P4=TRUE,I.Facility.P4FacilityCount&gt;=4342,F24354=""),"Incomplete","Complete")</f>
        <v>Complete</v>
      </c>
      <c r="I24354" s="48" t="s">
        <v>28719</v>
      </c>
    </row>
    <row r="24355" spans="2:9" ht="15" customHeight="1" x14ac:dyDescent="0.25">
      <c r="B24355" s="55" t="s">
        <v>283</v>
      </c>
      <c r="C24355" s="46">
        <v>4343</v>
      </c>
      <c r="D24355" s="69" t="s">
        <v>29420</v>
      </c>
      <c r="E24355" s="51"/>
      <c r="F24355" s="114" t="str">
        <f>IF(INDEX(I.Facility.P4IDNumber,4343)="","",INDEX(I.Facility.P4IDNumber,4343))</f>
        <v/>
      </c>
      <c r="G24355" s="51"/>
      <c r="H24355" s="46" t="str">
        <f>IF(AND(I.Developer.P4=TRUE,I.Facility.P4FacilityCount&gt;=4343,F24355=""),"Incomplete","Complete")</f>
        <v>Complete</v>
      </c>
      <c r="I24355" s="48" t="s">
        <v>28720</v>
      </c>
    </row>
    <row r="24356" spans="2:9" ht="15" customHeight="1" x14ac:dyDescent="0.25">
      <c r="B24356" s="55" t="s">
        <v>283</v>
      </c>
      <c r="C24356" s="46">
        <v>4344</v>
      </c>
      <c r="D24356" s="69" t="s">
        <v>29420</v>
      </c>
      <c r="E24356" s="51"/>
      <c r="F24356" s="114" t="str">
        <f>IF(INDEX(I.Facility.P4IDNumber,4344)="","",INDEX(I.Facility.P4IDNumber,4344))</f>
        <v/>
      </c>
      <c r="G24356" s="51"/>
      <c r="H24356" s="46" t="str">
        <f>IF(AND(I.Developer.P4=TRUE,I.Facility.P4FacilityCount&gt;=4344,F24356=""),"Incomplete","Complete")</f>
        <v>Complete</v>
      </c>
      <c r="I24356" s="48" t="s">
        <v>28721</v>
      </c>
    </row>
    <row r="24357" spans="2:9" ht="15" customHeight="1" x14ac:dyDescent="0.25">
      <c r="B24357" s="55" t="s">
        <v>283</v>
      </c>
      <c r="C24357" s="46">
        <v>4345</v>
      </c>
      <c r="D24357" s="69" t="s">
        <v>29420</v>
      </c>
      <c r="E24357" s="51"/>
      <c r="F24357" s="114" t="str">
        <f>IF(INDEX(I.Facility.P4IDNumber,4345)="","",INDEX(I.Facility.P4IDNumber,4345))</f>
        <v/>
      </c>
      <c r="G24357" s="51"/>
      <c r="H24357" s="46" t="str">
        <f>IF(AND(I.Developer.P4=TRUE,I.Facility.P4FacilityCount&gt;=4345,F24357=""),"Incomplete","Complete")</f>
        <v>Complete</v>
      </c>
      <c r="I24357" s="48" t="s">
        <v>28722</v>
      </c>
    </row>
    <row r="24358" spans="2:9" ht="15" customHeight="1" x14ac:dyDescent="0.25">
      <c r="B24358" s="55" t="s">
        <v>283</v>
      </c>
      <c r="C24358" s="46">
        <v>4346</v>
      </c>
      <c r="D24358" s="69" t="s">
        <v>29420</v>
      </c>
      <c r="E24358" s="51"/>
      <c r="F24358" s="114" t="str">
        <f>IF(INDEX(I.Facility.P4IDNumber,4346)="","",INDEX(I.Facility.P4IDNumber,4346))</f>
        <v/>
      </c>
      <c r="G24358" s="51"/>
      <c r="H24358" s="46" t="str">
        <f>IF(AND(I.Developer.P4=TRUE,I.Facility.P4FacilityCount&gt;=4346,F24358=""),"Incomplete","Complete")</f>
        <v>Complete</v>
      </c>
      <c r="I24358" s="48" t="s">
        <v>28723</v>
      </c>
    </row>
    <row r="24359" spans="2:9" ht="15" customHeight="1" x14ac:dyDescent="0.25">
      <c r="B24359" s="55" t="s">
        <v>283</v>
      </c>
      <c r="C24359" s="46">
        <v>4347</v>
      </c>
      <c r="D24359" s="69" t="s">
        <v>29420</v>
      </c>
      <c r="E24359" s="51"/>
      <c r="F24359" s="114" t="str">
        <f>IF(INDEX(I.Facility.P4IDNumber,4347)="","",INDEX(I.Facility.P4IDNumber,4347))</f>
        <v/>
      </c>
      <c r="G24359" s="51"/>
      <c r="H24359" s="46" t="str">
        <f>IF(AND(I.Developer.P4=TRUE,I.Facility.P4FacilityCount&gt;=4347,F24359=""),"Incomplete","Complete")</f>
        <v>Complete</v>
      </c>
      <c r="I24359" s="48" t="s">
        <v>28724</v>
      </c>
    </row>
    <row r="24360" spans="2:9" ht="15" customHeight="1" x14ac:dyDescent="0.25">
      <c r="B24360" s="55" t="s">
        <v>283</v>
      </c>
      <c r="C24360" s="46">
        <v>4348</v>
      </c>
      <c r="D24360" s="69" t="s">
        <v>29420</v>
      </c>
      <c r="E24360" s="51"/>
      <c r="F24360" s="114" t="str">
        <f>IF(INDEX(I.Facility.P4IDNumber,4348)="","",INDEX(I.Facility.P4IDNumber,4348))</f>
        <v/>
      </c>
      <c r="G24360" s="51"/>
      <c r="H24360" s="46" t="str">
        <f>IF(AND(I.Developer.P4=TRUE,I.Facility.P4FacilityCount&gt;=4348,F24360=""),"Incomplete","Complete")</f>
        <v>Complete</v>
      </c>
      <c r="I24360" s="48" t="s">
        <v>28725</v>
      </c>
    </row>
    <row r="24361" spans="2:9" ht="15" customHeight="1" x14ac:dyDescent="0.25">
      <c r="B24361" s="55" t="s">
        <v>283</v>
      </c>
      <c r="C24361" s="46">
        <v>4349</v>
      </c>
      <c r="D24361" s="69" t="s">
        <v>29420</v>
      </c>
      <c r="E24361" s="51"/>
      <c r="F24361" s="114" t="str">
        <f>IF(INDEX(I.Facility.P4IDNumber,4349)="","",INDEX(I.Facility.P4IDNumber,4349))</f>
        <v/>
      </c>
      <c r="G24361" s="51"/>
      <c r="H24361" s="46" t="str">
        <f>IF(AND(I.Developer.P4=TRUE,I.Facility.P4FacilityCount&gt;=4349,F24361=""),"Incomplete","Complete")</f>
        <v>Complete</v>
      </c>
      <c r="I24361" s="48" t="s">
        <v>28726</v>
      </c>
    </row>
    <row r="24362" spans="2:9" ht="15" customHeight="1" x14ac:dyDescent="0.25">
      <c r="B24362" s="55" t="s">
        <v>283</v>
      </c>
      <c r="C24362" s="46">
        <v>4350</v>
      </c>
      <c r="D24362" s="69" t="s">
        <v>29420</v>
      </c>
      <c r="E24362" s="51"/>
      <c r="F24362" s="114" t="str">
        <f>IF(INDEX(I.Facility.P4IDNumber,4350)="","",INDEX(I.Facility.P4IDNumber,4350))</f>
        <v/>
      </c>
      <c r="G24362" s="51"/>
      <c r="H24362" s="46" t="str">
        <f>IF(AND(I.Developer.P4=TRUE,I.Facility.P4FacilityCount&gt;=4350,F24362=""),"Incomplete","Complete")</f>
        <v>Complete</v>
      </c>
      <c r="I24362" s="48" t="s">
        <v>28727</v>
      </c>
    </row>
    <row r="24363" spans="2:9" ht="15" customHeight="1" x14ac:dyDescent="0.25">
      <c r="B24363" s="55" t="s">
        <v>283</v>
      </c>
      <c r="C24363" s="46">
        <v>4351</v>
      </c>
      <c r="D24363" s="69" t="s">
        <v>29420</v>
      </c>
      <c r="E24363" s="51"/>
      <c r="F24363" s="114" t="str">
        <f>IF(INDEX(I.Facility.P4IDNumber,4351)="","",INDEX(I.Facility.P4IDNumber,4351))</f>
        <v/>
      </c>
      <c r="G24363" s="51"/>
      <c r="H24363" s="46" t="str">
        <f>IF(AND(I.Developer.P4=TRUE,I.Facility.P4FacilityCount&gt;=4351,F24363=""),"Incomplete","Complete")</f>
        <v>Complete</v>
      </c>
      <c r="I24363" s="48" t="s">
        <v>28728</v>
      </c>
    </row>
    <row r="24364" spans="2:9" ht="15" customHeight="1" x14ac:dyDescent="0.25">
      <c r="B24364" s="55" t="s">
        <v>283</v>
      </c>
      <c r="C24364" s="46">
        <v>4352</v>
      </c>
      <c r="D24364" s="69" t="s">
        <v>29420</v>
      </c>
      <c r="E24364" s="51"/>
      <c r="F24364" s="114" t="str">
        <f>IF(INDEX(I.Facility.P4IDNumber,4352)="","",INDEX(I.Facility.P4IDNumber,4352))</f>
        <v/>
      </c>
      <c r="G24364" s="51"/>
      <c r="H24364" s="46" t="str">
        <f>IF(AND(I.Developer.P4=TRUE,I.Facility.P4FacilityCount&gt;=4352,F24364=""),"Incomplete","Complete")</f>
        <v>Complete</v>
      </c>
      <c r="I24364" s="48" t="s">
        <v>28729</v>
      </c>
    </row>
    <row r="24365" spans="2:9" ht="15" customHeight="1" x14ac:dyDescent="0.25">
      <c r="B24365" s="55" t="s">
        <v>283</v>
      </c>
      <c r="C24365" s="46">
        <v>4353</v>
      </c>
      <c r="D24365" s="69" t="s">
        <v>29420</v>
      </c>
      <c r="E24365" s="51"/>
      <c r="F24365" s="114" t="str">
        <f>IF(INDEX(I.Facility.P4IDNumber,4353)="","",INDEX(I.Facility.P4IDNumber,4353))</f>
        <v/>
      </c>
      <c r="G24365" s="51"/>
      <c r="H24365" s="46" t="str">
        <f>IF(AND(I.Developer.P4=TRUE,I.Facility.P4FacilityCount&gt;=4353,F24365=""),"Incomplete","Complete")</f>
        <v>Complete</v>
      </c>
      <c r="I24365" s="48" t="s">
        <v>28730</v>
      </c>
    </row>
    <row r="24366" spans="2:9" ht="15" customHeight="1" x14ac:dyDescent="0.25">
      <c r="B24366" s="55" t="s">
        <v>283</v>
      </c>
      <c r="C24366" s="46">
        <v>4354</v>
      </c>
      <c r="D24366" s="69" t="s">
        <v>29420</v>
      </c>
      <c r="E24366" s="51"/>
      <c r="F24366" s="114" t="str">
        <f>IF(INDEX(I.Facility.P4IDNumber,4354)="","",INDEX(I.Facility.P4IDNumber,4354))</f>
        <v/>
      </c>
      <c r="G24366" s="51"/>
      <c r="H24366" s="46" t="str">
        <f>IF(AND(I.Developer.P4=TRUE,I.Facility.P4FacilityCount&gt;=4354,F24366=""),"Incomplete","Complete")</f>
        <v>Complete</v>
      </c>
      <c r="I24366" s="48" t="s">
        <v>28731</v>
      </c>
    </row>
    <row r="24367" spans="2:9" ht="15" customHeight="1" x14ac:dyDescent="0.25">
      <c r="B24367" s="55" t="s">
        <v>283</v>
      </c>
      <c r="C24367" s="46">
        <v>4355</v>
      </c>
      <c r="D24367" s="69" t="s">
        <v>29420</v>
      </c>
      <c r="E24367" s="51"/>
      <c r="F24367" s="114" t="str">
        <f>IF(INDEX(I.Facility.P4IDNumber,4355)="","",INDEX(I.Facility.P4IDNumber,4355))</f>
        <v/>
      </c>
      <c r="G24367" s="51"/>
      <c r="H24367" s="46" t="str">
        <f>IF(AND(I.Developer.P4=TRUE,I.Facility.P4FacilityCount&gt;=4355,F24367=""),"Incomplete","Complete")</f>
        <v>Complete</v>
      </c>
      <c r="I24367" s="48" t="s">
        <v>28732</v>
      </c>
    </row>
    <row r="24368" spans="2:9" ht="15" customHeight="1" x14ac:dyDescent="0.25">
      <c r="B24368" s="55" t="s">
        <v>283</v>
      </c>
      <c r="C24368" s="46">
        <v>4356</v>
      </c>
      <c r="D24368" s="69" t="s">
        <v>29420</v>
      </c>
      <c r="E24368" s="51"/>
      <c r="F24368" s="114" t="str">
        <f>IF(INDEX(I.Facility.P4IDNumber,4356)="","",INDEX(I.Facility.P4IDNumber,4356))</f>
        <v/>
      </c>
      <c r="G24368" s="51"/>
      <c r="H24368" s="46" t="str">
        <f>IF(AND(I.Developer.P4=TRUE,I.Facility.P4FacilityCount&gt;=4356,F24368=""),"Incomplete","Complete")</f>
        <v>Complete</v>
      </c>
      <c r="I24368" s="48" t="s">
        <v>28733</v>
      </c>
    </row>
    <row r="24369" spans="2:9" ht="15" customHeight="1" x14ac:dyDescent="0.25">
      <c r="B24369" s="55" t="s">
        <v>283</v>
      </c>
      <c r="C24369" s="46">
        <v>4357</v>
      </c>
      <c r="D24369" s="69" t="s">
        <v>29420</v>
      </c>
      <c r="E24369" s="51"/>
      <c r="F24369" s="114" t="str">
        <f>IF(INDEX(I.Facility.P4IDNumber,4357)="","",INDEX(I.Facility.P4IDNumber,4357))</f>
        <v/>
      </c>
      <c r="G24369" s="51"/>
      <c r="H24369" s="46" t="str">
        <f>IF(AND(I.Developer.P4=TRUE,I.Facility.P4FacilityCount&gt;=4357,F24369=""),"Incomplete","Complete")</f>
        <v>Complete</v>
      </c>
      <c r="I24369" s="48" t="s">
        <v>28734</v>
      </c>
    </row>
    <row r="24370" spans="2:9" ht="15" customHeight="1" x14ac:dyDescent="0.25">
      <c r="B24370" s="55" t="s">
        <v>283</v>
      </c>
      <c r="C24370" s="46">
        <v>4358</v>
      </c>
      <c r="D24370" s="69" t="s">
        <v>29420</v>
      </c>
      <c r="E24370" s="51"/>
      <c r="F24370" s="114" t="str">
        <f>IF(INDEX(I.Facility.P4IDNumber,4358)="","",INDEX(I.Facility.P4IDNumber,4358))</f>
        <v/>
      </c>
      <c r="G24370" s="51"/>
      <c r="H24370" s="46" t="str">
        <f>IF(AND(I.Developer.P4=TRUE,I.Facility.P4FacilityCount&gt;=4358,F24370=""),"Incomplete","Complete")</f>
        <v>Complete</v>
      </c>
      <c r="I24370" s="48" t="s">
        <v>28735</v>
      </c>
    </row>
    <row r="24371" spans="2:9" ht="15" customHeight="1" x14ac:dyDescent="0.25">
      <c r="B24371" s="55" t="s">
        <v>283</v>
      </c>
      <c r="C24371" s="46">
        <v>4359</v>
      </c>
      <c r="D24371" s="69" t="s">
        <v>29420</v>
      </c>
      <c r="E24371" s="51"/>
      <c r="F24371" s="114" t="str">
        <f>IF(INDEX(I.Facility.P4IDNumber,4359)="","",INDEX(I.Facility.P4IDNumber,4359))</f>
        <v/>
      </c>
      <c r="G24371" s="51"/>
      <c r="H24371" s="46" t="str">
        <f>IF(AND(I.Developer.P4=TRUE,I.Facility.P4FacilityCount&gt;=4359,F24371=""),"Incomplete","Complete")</f>
        <v>Complete</v>
      </c>
      <c r="I24371" s="48" t="s">
        <v>28736</v>
      </c>
    </row>
    <row r="24372" spans="2:9" ht="15" customHeight="1" x14ac:dyDescent="0.25">
      <c r="B24372" s="55" t="s">
        <v>283</v>
      </c>
      <c r="C24372" s="46">
        <v>4360</v>
      </c>
      <c r="D24372" s="69" t="s">
        <v>29420</v>
      </c>
      <c r="E24372" s="51"/>
      <c r="F24372" s="114" t="str">
        <f>IF(INDEX(I.Facility.P4IDNumber,4360)="","",INDEX(I.Facility.P4IDNumber,4360))</f>
        <v/>
      </c>
      <c r="G24372" s="51"/>
      <c r="H24372" s="46" t="str">
        <f>IF(AND(I.Developer.P4=TRUE,I.Facility.P4FacilityCount&gt;=4360,F24372=""),"Incomplete","Complete")</f>
        <v>Complete</v>
      </c>
      <c r="I24372" s="48" t="s">
        <v>28737</v>
      </c>
    </row>
    <row r="24373" spans="2:9" ht="15" customHeight="1" x14ac:dyDescent="0.25">
      <c r="B24373" s="55" t="s">
        <v>283</v>
      </c>
      <c r="C24373" s="46">
        <v>4361</v>
      </c>
      <c r="D24373" s="69" t="s">
        <v>29420</v>
      </c>
      <c r="E24373" s="51"/>
      <c r="F24373" s="114" t="str">
        <f>IF(INDEX(I.Facility.P4IDNumber,4361)="","",INDEX(I.Facility.P4IDNumber,4361))</f>
        <v/>
      </c>
      <c r="G24373" s="51"/>
      <c r="H24373" s="46" t="str">
        <f>IF(AND(I.Developer.P4=TRUE,I.Facility.P4FacilityCount&gt;=4361,F24373=""),"Incomplete","Complete")</f>
        <v>Complete</v>
      </c>
      <c r="I24373" s="48" t="s">
        <v>28738</v>
      </c>
    </row>
    <row r="24374" spans="2:9" ht="15" customHeight="1" x14ac:dyDescent="0.25">
      <c r="B24374" s="55" t="s">
        <v>283</v>
      </c>
      <c r="C24374" s="46">
        <v>4362</v>
      </c>
      <c r="D24374" s="69" t="s">
        <v>29420</v>
      </c>
      <c r="E24374" s="51"/>
      <c r="F24374" s="114" t="str">
        <f>IF(INDEX(I.Facility.P4IDNumber,4362)="","",INDEX(I.Facility.P4IDNumber,4362))</f>
        <v/>
      </c>
      <c r="G24374" s="51"/>
      <c r="H24374" s="46" t="str">
        <f>IF(AND(I.Developer.P4=TRUE,I.Facility.P4FacilityCount&gt;=4362,F24374=""),"Incomplete","Complete")</f>
        <v>Complete</v>
      </c>
      <c r="I24374" s="48" t="s">
        <v>28739</v>
      </c>
    </row>
    <row r="24375" spans="2:9" ht="15" customHeight="1" x14ac:dyDescent="0.25">
      <c r="B24375" s="55" t="s">
        <v>283</v>
      </c>
      <c r="C24375" s="46">
        <v>4363</v>
      </c>
      <c r="D24375" s="69" t="s">
        <v>29420</v>
      </c>
      <c r="E24375" s="51"/>
      <c r="F24375" s="114" t="str">
        <f>IF(INDEX(I.Facility.P4IDNumber,4363)="","",INDEX(I.Facility.P4IDNumber,4363))</f>
        <v/>
      </c>
      <c r="G24375" s="51"/>
      <c r="H24375" s="46" t="str">
        <f>IF(AND(I.Developer.P4=TRUE,I.Facility.P4FacilityCount&gt;=4363,F24375=""),"Incomplete","Complete")</f>
        <v>Complete</v>
      </c>
      <c r="I24375" s="48" t="s">
        <v>28740</v>
      </c>
    </row>
    <row r="24376" spans="2:9" ht="15" customHeight="1" x14ac:dyDescent="0.25">
      <c r="B24376" s="55" t="s">
        <v>283</v>
      </c>
      <c r="C24376" s="46">
        <v>4364</v>
      </c>
      <c r="D24376" s="69" t="s">
        <v>29420</v>
      </c>
      <c r="E24376" s="51"/>
      <c r="F24376" s="114" t="str">
        <f>IF(INDEX(I.Facility.P4IDNumber,4364)="","",INDEX(I.Facility.P4IDNumber,4364))</f>
        <v/>
      </c>
      <c r="G24376" s="51"/>
      <c r="H24376" s="46" t="str">
        <f>IF(AND(I.Developer.P4=TRUE,I.Facility.P4FacilityCount&gt;=4364,F24376=""),"Incomplete","Complete")</f>
        <v>Complete</v>
      </c>
      <c r="I24376" s="48" t="s">
        <v>28741</v>
      </c>
    </row>
    <row r="24377" spans="2:9" ht="15" customHeight="1" x14ac:dyDescent="0.25">
      <c r="B24377" s="55" t="s">
        <v>283</v>
      </c>
      <c r="C24377" s="46">
        <v>4365</v>
      </c>
      <c r="D24377" s="69" t="s">
        <v>29420</v>
      </c>
      <c r="E24377" s="51"/>
      <c r="F24377" s="114" t="str">
        <f>IF(INDEX(I.Facility.P4IDNumber,4365)="","",INDEX(I.Facility.P4IDNumber,4365))</f>
        <v/>
      </c>
      <c r="G24377" s="51"/>
      <c r="H24377" s="46" t="str">
        <f>IF(AND(I.Developer.P4=TRUE,I.Facility.P4FacilityCount&gt;=4365,F24377=""),"Incomplete","Complete")</f>
        <v>Complete</v>
      </c>
      <c r="I24377" s="48" t="s">
        <v>28742</v>
      </c>
    </row>
    <row r="24378" spans="2:9" ht="15" customHeight="1" x14ac:dyDescent="0.25">
      <c r="B24378" s="55" t="s">
        <v>283</v>
      </c>
      <c r="C24378" s="46">
        <v>4366</v>
      </c>
      <c r="D24378" s="69" t="s">
        <v>29420</v>
      </c>
      <c r="E24378" s="51"/>
      <c r="F24378" s="114" t="str">
        <f>IF(INDEX(I.Facility.P4IDNumber,4366)="","",INDEX(I.Facility.P4IDNumber,4366))</f>
        <v/>
      </c>
      <c r="G24378" s="51"/>
      <c r="H24378" s="46" t="str">
        <f>IF(AND(I.Developer.P4=TRUE,I.Facility.P4FacilityCount&gt;=4366,F24378=""),"Incomplete","Complete")</f>
        <v>Complete</v>
      </c>
      <c r="I24378" s="48" t="s">
        <v>28743</v>
      </c>
    </row>
    <row r="24379" spans="2:9" ht="15" customHeight="1" x14ac:dyDescent="0.25">
      <c r="B24379" s="55" t="s">
        <v>283</v>
      </c>
      <c r="C24379" s="46">
        <v>4367</v>
      </c>
      <c r="D24379" s="69" t="s">
        <v>29420</v>
      </c>
      <c r="E24379" s="51"/>
      <c r="F24379" s="114" t="str">
        <f>IF(INDEX(I.Facility.P4IDNumber,4367)="","",INDEX(I.Facility.P4IDNumber,4367))</f>
        <v/>
      </c>
      <c r="G24379" s="51"/>
      <c r="H24379" s="46" t="str">
        <f>IF(AND(I.Developer.P4=TRUE,I.Facility.P4FacilityCount&gt;=4367,F24379=""),"Incomplete","Complete")</f>
        <v>Complete</v>
      </c>
      <c r="I24379" s="48" t="s">
        <v>28744</v>
      </c>
    </row>
    <row r="24380" spans="2:9" ht="15" customHeight="1" x14ac:dyDescent="0.25">
      <c r="B24380" s="55" t="s">
        <v>283</v>
      </c>
      <c r="C24380" s="46">
        <v>4368</v>
      </c>
      <c r="D24380" s="69" t="s">
        <v>29420</v>
      </c>
      <c r="E24380" s="51"/>
      <c r="F24380" s="114" t="str">
        <f>IF(INDEX(I.Facility.P4IDNumber,4368)="","",INDEX(I.Facility.P4IDNumber,4368))</f>
        <v/>
      </c>
      <c r="G24380" s="51"/>
      <c r="H24380" s="46" t="str">
        <f>IF(AND(I.Developer.P4=TRUE,I.Facility.P4FacilityCount&gt;=4368,F24380=""),"Incomplete","Complete")</f>
        <v>Complete</v>
      </c>
      <c r="I24380" s="48" t="s">
        <v>28745</v>
      </c>
    </row>
    <row r="24381" spans="2:9" ht="15" customHeight="1" x14ac:dyDescent="0.25">
      <c r="B24381" s="55" t="s">
        <v>283</v>
      </c>
      <c r="C24381" s="46">
        <v>4369</v>
      </c>
      <c r="D24381" s="69" t="s">
        <v>29420</v>
      </c>
      <c r="E24381" s="51"/>
      <c r="F24381" s="114" t="str">
        <f>IF(INDEX(I.Facility.P4IDNumber,4369)="","",INDEX(I.Facility.P4IDNumber,4369))</f>
        <v/>
      </c>
      <c r="G24381" s="51"/>
      <c r="H24381" s="46" t="str">
        <f>IF(AND(I.Developer.P4=TRUE,I.Facility.P4FacilityCount&gt;=4369,F24381=""),"Incomplete","Complete")</f>
        <v>Complete</v>
      </c>
      <c r="I24381" s="48" t="s">
        <v>28746</v>
      </c>
    </row>
    <row r="24382" spans="2:9" ht="15" customHeight="1" x14ac:dyDescent="0.25">
      <c r="B24382" s="55" t="s">
        <v>283</v>
      </c>
      <c r="C24382" s="46">
        <v>4370</v>
      </c>
      <c r="D24382" s="69" t="s">
        <v>29420</v>
      </c>
      <c r="E24382" s="51"/>
      <c r="F24382" s="114" t="str">
        <f>IF(INDEX(I.Facility.P4IDNumber,4370)="","",INDEX(I.Facility.P4IDNumber,4370))</f>
        <v/>
      </c>
      <c r="G24382" s="51"/>
      <c r="H24382" s="46" t="str">
        <f>IF(AND(I.Developer.P4=TRUE,I.Facility.P4FacilityCount&gt;=4370,F24382=""),"Incomplete","Complete")</f>
        <v>Complete</v>
      </c>
      <c r="I24382" s="48" t="s">
        <v>28747</v>
      </c>
    </row>
    <row r="24383" spans="2:9" ht="15" customHeight="1" x14ac:dyDescent="0.25">
      <c r="B24383" s="55" t="s">
        <v>283</v>
      </c>
      <c r="C24383" s="46">
        <v>4371</v>
      </c>
      <c r="D24383" s="69" t="s">
        <v>29420</v>
      </c>
      <c r="E24383" s="51"/>
      <c r="F24383" s="114" t="str">
        <f>IF(INDEX(I.Facility.P4IDNumber,4371)="","",INDEX(I.Facility.P4IDNumber,4371))</f>
        <v/>
      </c>
      <c r="G24383" s="51"/>
      <c r="H24383" s="46" t="str">
        <f>IF(AND(I.Developer.P4=TRUE,I.Facility.P4FacilityCount&gt;=4371,F24383=""),"Incomplete","Complete")</f>
        <v>Complete</v>
      </c>
      <c r="I24383" s="48" t="s">
        <v>28748</v>
      </c>
    </row>
    <row r="24384" spans="2:9" ht="15" customHeight="1" x14ac:dyDescent="0.25">
      <c r="B24384" s="55" t="s">
        <v>283</v>
      </c>
      <c r="C24384" s="46">
        <v>4372</v>
      </c>
      <c r="D24384" s="69" t="s">
        <v>29420</v>
      </c>
      <c r="E24384" s="51"/>
      <c r="F24384" s="114" t="str">
        <f>IF(INDEX(I.Facility.P4IDNumber,4372)="","",INDEX(I.Facility.P4IDNumber,4372))</f>
        <v/>
      </c>
      <c r="G24384" s="51"/>
      <c r="H24384" s="46" t="str">
        <f>IF(AND(I.Developer.P4=TRUE,I.Facility.P4FacilityCount&gt;=4372,F24384=""),"Incomplete","Complete")</f>
        <v>Complete</v>
      </c>
      <c r="I24384" s="48" t="s">
        <v>28749</v>
      </c>
    </row>
    <row r="24385" spans="2:9" ht="15" customHeight="1" x14ac:dyDescent="0.25">
      <c r="B24385" s="55" t="s">
        <v>283</v>
      </c>
      <c r="C24385" s="46">
        <v>4373</v>
      </c>
      <c r="D24385" s="69" t="s">
        <v>29420</v>
      </c>
      <c r="E24385" s="51"/>
      <c r="F24385" s="114" t="str">
        <f>IF(INDEX(I.Facility.P4IDNumber,4373)="","",INDEX(I.Facility.P4IDNumber,4373))</f>
        <v/>
      </c>
      <c r="G24385" s="51"/>
      <c r="H24385" s="46" t="str">
        <f>IF(AND(I.Developer.P4=TRUE,I.Facility.P4FacilityCount&gt;=4373,F24385=""),"Incomplete","Complete")</f>
        <v>Complete</v>
      </c>
      <c r="I24385" s="48" t="s">
        <v>28750</v>
      </c>
    </row>
    <row r="24386" spans="2:9" ht="15" customHeight="1" x14ac:dyDescent="0.25">
      <c r="B24386" s="55" t="s">
        <v>283</v>
      </c>
      <c r="C24386" s="46">
        <v>4374</v>
      </c>
      <c r="D24386" s="69" t="s">
        <v>29420</v>
      </c>
      <c r="E24386" s="51"/>
      <c r="F24386" s="114" t="str">
        <f>IF(INDEX(I.Facility.P4IDNumber,4374)="","",INDEX(I.Facility.P4IDNumber,4374))</f>
        <v/>
      </c>
      <c r="G24386" s="51"/>
      <c r="H24386" s="46" t="str">
        <f>IF(AND(I.Developer.P4=TRUE,I.Facility.P4FacilityCount&gt;=4374,F24386=""),"Incomplete","Complete")</f>
        <v>Complete</v>
      </c>
      <c r="I24386" s="48" t="s">
        <v>28751</v>
      </c>
    </row>
    <row r="24387" spans="2:9" ht="15" customHeight="1" x14ac:dyDescent="0.25">
      <c r="B24387" s="55" t="s">
        <v>283</v>
      </c>
      <c r="C24387" s="46">
        <v>4375</v>
      </c>
      <c r="D24387" s="69" t="s">
        <v>29420</v>
      </c>
      <c r="E24387" s="51"/>
      <c r="F24387" s="114" t="str">
        <f>IF(INDEX(I.Facility.P4IDNumber,4375)="","",INDEX(I.Facility.P4IDNumber,4375))</f>
        <v/>
      </c>
      <c r="G24387" s="51"/>
      <c r="H24387" s="46" t="str">
        <f>IF(AND(I.Developer.P4=TRUE,I.Facility.P4FacilityCount&gt;=4375,F24387=""),"Incomplete","Complete")</f>
        <v>Complete</v>
      </c>
      <c r="I24387" s="48" t="s">
        <v>28752</v>
      </c>
    </row>
    <row r="24388" spans="2:9" ht="15" customHeight="1" x14ac:dyDescent="0.25">
      <c r="B24388" s="55" t="s">
        <v>283</v>
      </c>
      <c r="C24388" s="46">
        <v>4376</v>
      </c>
      <c r="D24388" s="69" t="s">
        <v>29420</v>
      </c>
      <c r="E24388" s="51"/>
      <c r="F24388" s="114" t="str">
        <f>IF(INDEX(I.Facility.P4IDNumber,4376)="","",INDEX(I.Facility.P4IDNumber,4376))</f>
        <v/>
      </c>
      <c r="G24388" s="51"/>
      <c r="H24388" s="46" t="str">
        <f>IF(AND(I.Developer.P4=TRUE,I.Facility.P4FacilityCount&gt;=4376,F24388=""),"Incomplete","Complete")</f>
        <v>Complete</v>
      </c>
      <c r="I24388" s="48" t="s">
        <v>28753</v>
      </c>
    </row>
    <row r="24389" spans="2:9" ht="15" customHeight="1" x14ac:dyDescent="0.25">
      <c r="B24389" s="55" t="s">
        <v>283</v>
      </c>
      <c r="C24389" s="46">
        <v>4377</v>
      </c>
      <c r="D24389" s="69" t="s">
        <v>29420</v>
      </c>
      <c r="E24389" s="51"/>
      <c r="F24389" s="114" t="str">
        <f>IF(INDEX(I.Facility.P4IDNumber,4377)="","",INDEX(I.Facility.P4IDNumber,4377))</f>
        <v/>
      </c>
      <c r="G24389" s="51"/>
      <c r="H24389" s="46" t="str">
        <f>IF(AND(I.Developer.P4=TRUE,I.Facility.P4FacilityCount&gt;=4377,F24389=""),"Incomplete","Complete")</f>
        <v>Complete</v>
      </c>
      <c r="I24389" s="48" t="s">
        <v>28754</v>
      </c>
    </row>
    <row r="24390" spans="2:9" ht="15" customHeight="1" x14ac:dyDescent="0.25">
      <c r="B24390" s="55" t="s">
        <v>283</v>
      </c>
      <c r="C24390" s="46">
        <v>4378</v>
      </c>
      <c r="D24390" s="69" t="s">
        <v>29420</v>
      </c>
      <c r="E24390" s="51"/>
      <c r="F24390" s="114" t="str">
        <f>IF(INDEX(I.Facility.P4IDNumber,4378)="","",INDEX(I.Facility.P4IDNumber,4378))</f>
        <v/>
      </c>
      <c r="G24390" s="51"/>
      <c r="H24390" s="46" t="str">
        <f>IF(AND(I.Developer.P4=TRUE,I.Facility.P4FacilityCount&gt;=4378,F24390=""),"Incomplete","Complete")</f>
        <v>Complete</v>
      </c>
      <c r="I24390" s="48" t="s">
        <v>28755</v>
      </c>
    </row>
    <row r="24391" spans="2:9" ht="15" customHeight="1" x14ac:dyDescent="0.25">
      <c r="B24391" s="55" t="s">
        <v>283</v>
      </c>
      <c r="C24391" s="46">
        <v>4379</v>
      </c>
      <c r="D24391" s="69" t="s">
        <v>29420</v>
      </c>
      <c r="E24391" s="51"/>
      <c r="F24391" s="114" t="str">
        <f>IF(INDEX(I.Facility.P4IDNumber,4379)="","",INDEX(I.Facility.P4IDNumber,4379))</f>
        <v/>
      </c>
      <c r="G24391" s="51"/>
      <c r="H24391" s="46" t="str">
        <f>IF(AND(I.Developer.P4=TRUE,I.Facility.P4FacilityCount&gt;=4379,F24391=""),"Incomplete","Complete")</f>
        <v>Complete</v>
      </c>
      <c r="I24391" s="48" t="s">
        <v>28756</v>
      </c>
    </row>
    <row r="24392" spans="2:9" ht="15" customHeight="1" x14ac:dyDescent="0.25">
      <c r="B24392" s="55" t="s">
        <v>283</v>
      </c>
      <c r="C24392" s="46">
        <v>4380</v>
      </c>
      <c r="D24392" s="69" t="s">
        <v>29420</v>
      </c>
      <c r="E24392" s="51"/>
      <c r="F24392" s="114" t="str">
        <f>IF(INDEX(I.Facility.P4IDNumber,4380)="","",INDEX(I.Facility.P4IDNumber,4380))</f>
        <v/>
      </c>
      <c r="G24392" s="51"/>
      <c r="H24392" s="46" t="str">
        <f>IF(AND(I.Developer.P4=TRUE,I.Facility.P4FacilityCount&gt;=4380,F24392=""),"Incomplete","Complete")</f>
        <v>Complete</v>
      </c>
      <c r="I24392" s="48" t="s">
        <v>28757</v>
      </c>
    </row>
    <row r="24393" spans="2:9" ht="15" customHeight="1" x14ac:dyDescent="0.25">
      <c r="B24393" s="55" t="s">
        <v>283</v>
      </c>
      <c r="C24393" s="46">
        <v>4381</v>
      </c>
      <c r="D24393" s="69" t="s">
        <v>29420</v>
      </c>
      <c r="E24393" s="51"/>
      <c r="F24393" s="114" t="str">
        <f>IF(INDEX(I.Facility.P4IDNumber,4381)="","",INDEX(I.Facility.P4IDNumber,4381))</f>
        <v/>
      </c>
      <c r="G24393" s="51"/>
      <c r="H24393" s="46" t="str">
        <f>IF(AND(I.Developer.P4=TRUE,I.Facility.P4FacilityCount&gt;=4381,F24393=""),"Incomplete","Complete")</f>
        <v>Complete</v>
      </c>
      <c r="I24393" s="48" t="s">
        <v>28758</v>
      </c>
    </row>
    <row r="24394" spans="2:9" ht="15" customHeight="1" x14ac:dyDescent="0.25">
      <c r="B24394" s="55" t="s">
        <v>283</v>
      </c>
      <c r="C24394" s="46">
        <v>4382</v>
      </c>
      <c r="D24394" s="69" t="s">
        <v>29420</v>
      </c>
      <c r="E24394" s="51"/>
      <c r="F24394" s="114" t="str">
        <f>IF(INDEX(I.Facility.P4IDNumber,4382)="","",INDEX(I.Facility.P4IDNumber,4382))</f>
        <v/>
      </c>
      <c r="G24394" s="51"/>
      <c r="H24394" s="46" t="str">
        <f>IF(AND(I.Developer.P4=TRUE,I.Facility.P4FacilityCount&gt;=4382,F24394=""),"Incomplete","Complete")</f>
        <v>Complete</v>
      </c>
      <c r="I24394" s="48" t="s">
        <v>28759</v>
      </c>
    </row>
    <row r="24395" spans="2:9" ht="15" customHeight="1" x14ac:dyDescent="0.25">
      <c r="B24395" s="55" t="s">
        <v>283</v>
      </c>
      <c r="C24395" s="46">
        <v>4383</v>
      </c>
      <c r="D24395" s="69" t="s">
        <v>29420</v>
      </c>
      <c r="E24395" s="51"/>
      <c r="F24395" s="114" t="str">
        <f>IF(INDEX(I.Facility.P4IDNumber,4383)="","",INDEX(I.Facility.P4IDNumber,4383))</f>
        <v/>
      </c>
      <c r="G24395" s="51"/>
      <c r="H24395" s="46" t="str">
        <f>IF(AND(I.Developer.P4=TRUE,I.Facility.P4FacilityCount&gt;=4383,F24395=""),"Incomplete","Complete")</f>
        <v>Complete</v>
      </c>
      <c r="I24395" s="48" t="s">
        <v>28760</v>
      </c>
    </row>
    <row r="24396" spans="2:9" ht="15" customHeight="1" x14ac:dyDescent="0.25">
      <c r="B24396" s="55" t="s">
        <v>283</v>
      </c>
      <c r="C24396" s="46">
        <v>4384</v>
      </c>
      <c r="D24396" s="69" t="s">
        <v>29420</v>
      </c>
      <c r="E24396" s="51"/>
      <c r="F24396" s="114" t="str">
        <f>IF(INDEX(I.Facility.P4IDNumber,4384)="","",INDEX(I.Facility.P4IDNumber,4384))</f>
        <v/>
      </c>
      <c r="G24396" s="51"/>
      <c r="H24396" s="46" t="str">
        <f>IF(AND(I.Developer.P4=TRUE,I.Facility.P4FacilityCount&gt;=4384,F24396=""),"Incomplete","Complete")</f>
        <v>Complete</v>
      </c>
      <c r="I24396" s="48" t="s">
        <v>28761</v>
      </c>
    </row>
    <row r="24397" spans="2:9" ht="15" customHeight="1" x14ac:dyDescent="0.25">
      <c r="B24397" s="55" t="s">
        <v>283</v>
      </c>
      <c r="C24397" s="46">
        <v>4385</v>
      </c>
      <c r="D24397" s="69" t="s">
        <v>29420</v>
      </c>
      <c r="E24397" s="51"/>
      <c r="F24397" s="114" t="str">
        <f>IF(INDEX(I.Facility.P4IDNumber,4385)="","",INDEX(I.Facility.P4IDNumber,4385))</f>
        <v/>
      </c>
      <c r="G24397" s="51"/>
      <c r="H24397" s="46" t="str">
        <f>IF(AND(I.Developer.P4=TRUE,I.Facility.P4FacilityCount&gt;=4385,F24397=""),"Incomplete","Complete")</f>
        <v>Complete</v>
      </c>
      <c r="I24397" s="48" t="s">
        <v>28762</v>
      </c>
    </row>
    <row r="24398" spans="2:9" ht="15" customHeight="1" x14ac:dyDescent="0.25">
      <c r="B24398" s="55" t="s">
        <v>283</v>
      </c>
      <c r="C24398" s="46">
        <v>4386</v>
      </c>
      <c r="D24398" s="69" t="s">
        <v>29420</v>
      </c>
      <c r="E24398" s="51"/>
      <c r="F24398" s="114" t="str">
        <f>IF(INDEX(I.Facility.P4IDNumber,4386)="","",INDEX(I.Facility.P4IDNumber,4386))</f>
        <v/>
      </c>
      <c r="G24398" s="51"/>
      <c r="H24398" s="46" t="str">
        <f>IF(AND(I.Developer.P4=TRUE,I.Facility.P4FacilityCount&gt;=4386,F24398=""),"Incomplete","Complete")</f>
        <v>Complete</v>
      </c>
      <c r="I24398" s="48" t="s">
        <v>28763</v>
      </c>
    </row>
    <row r="24399" spans="2:9" ht="15" customHeight="1" x14ac:dyDescent="0.25">
      <c r="B24399" s="55" t="s">
        <v>283</v>
      </c>
      <c r="C24399" s="46">
        <v>4387</v>
      </c>
      <c r="D24399" s="69" t="s">
        <v>29420</v>
      </c>
      <c r="E24399" s="51"/>
      <c r="F24399" s="114" t="str">
        <f>IF(INDEX(I.Facility.P4IDNumber,4387)="","",INDEX(I.Facility.P4IDNumber,4387))</f>
        <v/>
      </c>
      <c r="G24399" s="51"/>
      <c r="H24399" s="46" t="str">
        <f>IF(AND(I.Developer.P4=TRUE,I.Facility.P4FacilityCount&gt;=4387,F24399=""),"Incomplete","Complete")</f>
        <v>Complete</v>
      </c>
      <c r="I24399" s="48" t="s">
        <v>28764</v>
      </c>
    </row>
    <row r="24400" spans="2:9" ht="15" customHeight="1" x14ac:dyDescent="0.25">
      <c r="B24400" s="55" t="s">
        <v>283</v>
      </c>
      <c r="C24400" s="46">
        <v>4388</v>
      </c>
      <c r="D24400" s="69" t="s">
        <v>29420</v>
      </c>
      <c r="E24400" s="51"/>
      <c r="F24400" s="114" t="str">
        <f>IF(INDEX(I.Facility.P4IDNumber,4388)="","",INDEX(I.Facility.P4IDNumber,4388))</f>
        <v/>
      </c>
      <c r="G24400" s="51"/>
      <c r="H24400" s="46" t="str">
        <f>IF(AND(I.Developer.P4=TRUE,I.Facility.P4FacilityCount&gt;=4388,F24400=""),"Incomplete","Complete")</f>
        <v>Complete</v>
      </c>
      <c r="I24400" s="48" t="s">
        <v>28765</v>
      </c>
    </row>
    <row r="24401" spans="2:9" ht="15" customHeight="1" x14ac:dyDescent="0.25">
      <c r="B24401" s="55" t="s">
        <v>283</v>
      </c>
      <c r="C24401" s="46">
        <v>4389</v>
      </c>
      <c r="D24401" s="69" t="s">
        <v>29420</v>
      </c>
      <c r="E24401" s="51"/>
      <c r="F24401" s="114" t="str">
        <f>IF(INDEX(I.Facility.P4IDNumber,4389)="","",INDEX(I.Facility.P4IDNumber,4389))</f>
        <v/>
      </c>
      <c r="G24401" s="51"/>
      <c r="H24401" s="46" t="str">
        <f>IF(AND(I.Developer.P4=TRUE,I.Facility.P4FacilityCount&gt;=4389,F24401=""),"Incomplete","Complete")</f>
        <v>Complete</v>
      </c>
      <c r="I24401" s="48" t="s">
        <v>28766</v>
      </c>
    </row>
    <row r="24402" spans="2:9" ht="15" customHeight="1" x14ac:dyDescent="0.25">
      <c r="B24402" s="55" t="s">
        <v>283</v>
      </c>
      <c r="C24402" s="46">
        <v>4390</v>
      </c>
      <c r="D24402" s="69" t="s">
        <v>29420</v>
      </c>
      <c r="E24402" s="51"/>
      <c r="F24402" s="114" t="str">
        <f>IF(INDEX(I.Facility.P4IDNumber,4390)="","",INDEX(I.Facility.P4IDNumber,4390))</f>
        <v/>
      </c>
      <c r="G24402" s="51"/>
      <c r="H24402" s="46" t="str">
        <f>IF(AND(I.Developer.P4=TRUE,I.Facility.P4FacilityCount&gt;=4390,F24402=""),"Incomplete","Complete")</f>
        <v>Complete</v>
      </c>
      <c r="I24402" s="48" t="s">
        <v>28767</v>
      </c>
    </row>
    <row r="24403" spans="2:9" ht="15" customHeight="1" x14ac:dyDescent="0.25">
      <c r="B24403" s="55" t="s">
        <v>283</v>
      </c>
      <c r="C24403" s="46">
        <v>4391</v>
      </c>
      <c r="D24403" s="69" t="s">
        <v>29420</v>
      </c>
      <c r="E24403" s="51"/>
      <c r="F24403" s="114" t="str">
        <f>IF(INDEX(I.Facility.P4IDNumber,4391)="","",INDEX(I.Facility.P4IDNumber,4391))</f>
        <v/>
      </c>
      <c r="G24403" s="51"/>
      <c r="H24403" s="46" t="str">
        <f>IF(AND(I.Developer.P4=TRUE,I.Facility.P4FacilityCount&gt;=4391,F24403=""),"Incomplete","Complete")</f>
        <v>Complete</v>
      </c>
      <c r="I24403" s="48" t="s">
        <v>28768</v>
      </c>
    </row>
    <row r="24404" spans="2:9" ht="15" customHeight="1" x14ac:dyDescent="0.25">
      <c r="B24404" s="55" t="s">
        <v>283</v>
      </c>
      <c r="C24404" s="46">
        <v>4392</v>
      </c>
      <c r="D24404" s="69" t="s">
        <v>29420</v>
      </c>
      <c r="E24404" s="51"/>
      <c r="F24404" s="114" t="str">
        <f>IF(INDEX(I.Facility.P4IDNumber,4392)="","",INDEX(I.Facility.P4IDNumber,4392))</f>
        <v/>
      </c>
      <c r="G24404" s="51"/>
      <c r="H24404" s="46" t="str">
        <f>IF(AND(I.Developer.P4=TRUE,I.Facility.P4FacilityCount&gt;=4392,F24404=""),"Incomplete","Complete")</f>
        <v>Complete</v>
      </c>
      <c r="I24404" s="48" t="s">
        <v>28769</v>
      </c>
    </row>
    <row r="24405" spans="2:9" ht="15" customHeight="1" x14ac:dyDescent="0.25">
      <c r="B24405" s="55" t="s">
        <v>283</v>
      </c>
      <c r="C24405" s="46">
        <v>4393</v>
      </c>
      <c r="D24405" s="69" t="s">
        <v>29420</v>
      </c>
      <c r="E24405" s="51"/>
      <c r="F24405" s="114" t="str">
        <f>IF(INDEX(I.Facility.P4IDNumber,4393)="","",INDEX(I.Facility.P4IDNumber,4393))</f>
        <v/>
      </c>
      <c r="G24405" s="51"/>
      <c r="H24405" s="46" t="str">
        <f>IF(AND(I.Developer.P4=TRUE,I.Facility.P4FacilityCount&gt;=4393,F24405=""),"Incomplete","Complete")</f>
        <v>Complete</v>
      </c>
      <c r="I24405" s="48" t="s">
        <v>28770</v>
      </c>
    </row>
    <row r="24406" spans="2:9" ht="15" customHeight="1" x14ac:dyDescent="0.25">
      <c r="B24406" s="55" t="s">
        <v>283</v>
      </c>
      <c r="C24406" s="46">
        <v>4394</v>
      </c>
      <c r="D24406" s="69" t="s">
        <v>29420</v>
      </c>
      <c r="E24406" s="51"/>
      <c r="F24406" s="114" t="str">
        <f>IF(INDEX(I.Facility.P4IDNumber,4394)="","",INDEX(I.Facility.P4IDNumber,4394))</f>
        <v/>
      </c>
      <c r="G24406" s="51"/>
      <c r="H24406" s="46" t="str">
        <f>IF(AND(I.Developer.P4=TRUE,I.Facility.P4FacilityCount&gt;=4394,F24406=""),"Incomplete","Complete")</f>
        <v>Complete</v>
      </c>
      <c r="I24406" s="48" t="s">
        <v>28771</v>
      </c>
    </row>
    <row r="24407" spans="2:9" ht="15" customHeight="1" x14ac:dyDescent="0.25">
      <c r="B24407" s="55" t="s">
        <v>283</v>
      </c>
      <c r="C24407" s="46">
        <v>4395</v>
      </c>
      <c r="D24407" s="69" t="s">
        <v>29420</v>
      </c>
      <c r="E24407" s="51"/>
      <c r="F24407" s="114" t="str">
        <f>IF(INDEX(I.Facility.P4IDNumber,4395)="","",INDEX(I.Facility.P4IDNumber,4395))</f>
        <v/>
      </c>
      <c r="G24407" s="51"/>
      <c r="H24407" s="46" t="str">
        <f>IF(AND(I.Developer.P4=TRUE,I.Facility.P4FacilityCount&gt;=4395,F24407=""),"Incomplete","Complete")</f>
        <v>Complete</v>
      </c>
      <c r="I24407" s="48" t="s">
        <v>28772</v>
      </c>
    </row>
    <row r="24408" spans="2:9" ht="15" customHeight="1" x14ac:dyDescent="0.25">
      <c r="B24408" s="55" t="s">
        <v>283</v>
      </c>
      <c r="C24408" s="46">
        <v>4396</v>
      </c>
      <c r="D24408" s="69" t="s">
        <v>29420</v>
      </c>
      <c r="E24408" s="51"/>
      <c r="F24408" s="114" t="str">
        <f>IF(INDEX(I.Facility.P4IDNumber,4396)="","",INDEX(I.Facility.P4IDNumber,4396))</f>
        <v/>
      </c>
      <c r="G24408" s="51"/>
      <c r="H24408" s="46" t="str">
        <f>IF(AND(I.Developer.P4=TRUE,I.Facility.P4FacilityCount&gt;=4396,F24408=""),"Incomplete","Complete")</f>
        <v>Complete</v>
      </c>
      <c r="I24408" s="48" t="s">
        <v>28773</v>
      </c>
    </row>
    <row r="24409" spans="2:9" ht="15" customHeight="1" x14ac:dyDescent="0.25">
      <c r="B24409" s="55" t="s">
        <v>283</v>
      </c>
      <c r="C24409" s="46">
        <v>4397</v>
      </c>
      <c r="D24409" s="69" t="s">
        <v>29420</v>
      </c>
      <c r="E24409" s="51"/>
      <c r="F24409" s="114" t="str">
        <f>IF(INDEX(I.Facility.P4IDNumber,4397)="","",INDEX(I.Facility.P4IDNumber,4397))</f>
        <v/>
      </c>
      <c r="G24409" s="51"/>
      <c r="H24409" s="46" t="str">
        <f>IF(AND(I.Developer.P4=TRUE,I.Facility.P4FacilityCount&gt;=4397,F24409=""),"Incomplete","Complete")</f>
        <v>Complete</v>
      </c>
      <c r="I24409" s="48" t="s">
        <v>28774</v>
      </c>
    </row>
    <row r="24410" spans="2:9" ht="15" customHeight="1" x14ac:dyDescent="0.25">
      <c r="B24410" s="55" t="s">
        <v>283</v>
      </c>
      <c r="C24410" s="46">
        <v>4398</v>
      </c>
      <c r="D24410" s="69" t="s">
        <v>29420</v>
      </c>
      <c r="E24410" s="51"/>
      <c r="F24410" s="114" t="str">
        <f>IF(INDEX(I.Facility.P4IDNumber,4398)="","",INDEX(I.Facility.P4IDNumber,4398))</f>
        <v/>
      </c>
      <c r="G24410" s="51"/>
      <c r="H24410" s="46" t="str">
        <f>IF(AND(I.Developer.P4=TRUE,I.Facility.P4FacilityCount&gt;=4398,F24410=""),"Incomplete","Complete")</f>
        <v>Complete</v>
      </c>
      <c r="I24410" s="48" t="s">
        <v>28775</v>
      </c>
    </row>
    <row r="24411" spans="2:9" ht="15" customHeight="1" x14ac:dyDescent="0.25">
      <c r="B24411" s="55" t="s">
        <v>283</v>
      </c>
      <c r="C24411" s="46">
        <v>4399</v>
      </c>
      <c r="D24411" s="69" t="s">
        <v>29420</v>
      </c>
      <c r="E24411" s="51"/>
      <c r="F24411" s="114" t="str">
        <f>IF(INDEX(I.Facility.P4IDNumber,4399)="","",INDEX(I.Facility.P4IDNumber,4399))</f>
        <v/>
      </c>
      <c r="G24411" s="51"/>
      <c r="H24411" s="46" t="str">
        <f>IF(AND(I.Developer.P4=TRUE,I.Facility.P4FacilityCount&gt;=4399,F24411=""),"Incomplete","Complete")</f>
        <v>Complete</v>
      </c>
      <c r="I24411" s="48" t="s">
        <v>28776</v>
      </c>
    </row>
    <row r="24412" spans="2:9" ht="15" customHeight="1" x14ac:dyDescent="0.25">
      <c r="B24412" s="55" t="s">
        <v>283</v>
      </c>
      <c r="C24412" s="46">
        <v>4400</v>
      </c>
      <c r="D24412" s="69" t="s">
        <v>29420</v>
      </c>
      <c r="E24412" s="51"/>
      <c r="F24412" s="114" t="str">
        <f>IF(INDEX(I.Facility.P4IDNumber,4400)="","",INDEX(I.Facility.P4IDNumber,4400))</f>
        <v/>
      </c>
      <c r="G24412" s="51"/>
      <c r="H24412" s="46" t="str">
        <f>IF(AND(I.Developer.P4=TRUE,I.Facility.P4FacilityCount&gt;=4400,F24412=""),"Incomplete","Complete")</f>
        <v>Complete</v>
      </c>
      <c r="I24412" s="48" t="s">
        <v>28777</v>
      </c>
    </row>
    <row r="24413" spans="2:9" ht="15" customHeight="1" x14ac:dyDescent="0.25">
      <c r="B24413" s="55" t="s">
        <v>283</v>
      </c>
      <c r="C24413" s="46">
        <v>4401</v>
      </c>
      <c r="D24413" s="69" t="s">
        <v>29420</v>
      </c>
      <c r="E24413" s="51"/>
      <c r="F24413" s="114" t="str">
        <f>IF(INDEX(I.Facility.P4IDNumber,4401)="","",INDEX(I.Facility.P4IDNumber,4401))</f>
        <v/>
      </c>
      <c r="G24413" s="51"/>
      <c r="H24413" s="46" t="str">
        <f>IF(AND(I.Developer.P4=TRUE,I.Facility.P4FacilityCount&gt;=4401,F24413=""),"Incomplete","Complete")</f>
        <v>Complete</v>
      </c>
      <c r="I24413" s="48" t="s">
        <v>28778</v>
      </c>
    </row>
    <row r="24414" spans="2:9" ht="15" customHeight="1" x14ac:dyDescent="0.25">
      <c r="B24414" s="55" t="s">
        <v>283</v>
      </c>
      <c r="C24414" s="46">
        <v>4402</v>
      </c>
      <c r="D24414" s="69" t="s">
        <v>29420</v>
      </c>
      <c r="E24414" s="51"/>
      <c r="F24414" s="114" t="str">
        <f>IF(INDEX(I.Facility.P4IDNumber,4402)="","",INDEX(I.Facility.P4IDNumber,4402))</f>
        <v/>
      </c>
      <c r="G24414" s="51"/>
      <c r="H24414" s="46" t="str">
        <f>IF(AND(I.Developer.P4=TRUE,I.Facility.P4FacilityCount&gt;=4402,F24414=""),"Incomplete","Complete")</f>
        <v>Complete</v>
      </c>
      <c r="I24414" s="48" t="s">
        <v>28779</v>
      </c>
    </row>
    <row r="24415" spans="2:9" ht="15" customHeight="1" x14ac:dyDescent="0.25">
      <c r="B24415" s="55" t="s">
        <v>283</v>
      </c>
      <c r="C24415" s="46">
        <v>4403</v>
      </c>
      <c r="D24415" s="69" t="s">
        <v>29420</v>
      </c>
      <c r="E24415" s="51"/>
      <c r="F24415" s="114" t="str">
        <f>IF(INDEX(I.Facility.P4IDNumber,4403)="","",INDEX(I.Facility.P4IDNumber,4403))</f>
        <v/>
      </c>
      <c r="G24415" s="51"/>
      <c r="H24415" s="46" t="str">
        <f>IF(AND(I.Developer.P4=TRUE,I.Facility.P4FacilityCount&gt;=4403,F24415=""),"Incomplete","Complete")</f>
        <v>Complete</v>
      </c>
      <c r="I24415" s="48" t="s">
        <v>28780</v>
      </c>
    </row>
    <row r="24416" spans="2:9" ht="15" customHeight="1" x14ac:dyDescent="0.25">
      <c r="B24416" s="55" t="s">
        <v>283</v>
      </c>
      <c r="C24416" s="46">
        <v>4404</v>
      </c>
      <c r="D24416" s="69" t="s">
        <v>29420</v>
      </c>
      <c r="E24416" s="51"/>
      <c r="F24416" s="114" t="str">
        <f>IF(INDEX(I.Facility.P4IDNumber,4404)="","",INDEX(I.Facility.P4IDNumber,4404))</f>
        <v/>
      </c>
      <c r="G24416" s="51"/>
      <c r="H24416" s="46" t="str">
        <f>IF(AND(I.Developer.P4=TRUE,I.Facility.P4FacilityCount&gt;=4404,F24416=""),"Incomplete","Complete")</f>
        <v>Complete</v>
      </c>
      <c r="I24416" s="48" t="s">
        <v>28781</v>
      </c>
    </row>
    <row r="24417" spans="2:9" ht="15" customHeight="1" x14ac:dyDescent="0.25">
      <c r="B24417" s="55" t="s">
        <v>283</v>
      </c>
      <c r="C24417" s="46">
        <v>4405</v>
      </c>
      <c r="D24417" s="69" t="s">
        <v>29420</v>
      </c>
      <c r="E24417" s="51"/>
      <c r="F24417" s="114" t="str">
        <f>IF(INDEX(I.Facility.P4IDNumber,4405)="","",INDEX(I.Facility.P4IDNumber,4405))</f>
        <v/>
      </c>
      <c r="G24417" s="51"/>
      <c r="H24417" s="46" t="str">
        <f>IF(AND(I.Developer.P4=TRUE,I.Facility.P4FacilityCount&gt;=4405,F24417=""),"Incomplete","Complete")</f>
        <v>Complete</v>
      </c>
      <c r="I24417" s="48" t="s">
        <v>28782</v>
      </c>
    </row>
    <row r="24418" spans="2:9" ht="15" customHeight="1" x14ac:dyDescent="0.25">
      <c r="B24418" s="55" t="s">
        <v>283</v>
      </c>
      <c r="C24418" s="46">
        <v>4406</v>
      </c>
      <c r="D24418" s="69" t="s">
        <v>29420</v>
      </c>
      <c r="E24418" s="51"/>
      <c r="F24418" s="114" t="str">
        <f>IF(INDEX(I.Facility.P4IDNumber,4406)="","",INDEX(I.Facility.P4IDNumber,4406))</f>
        <v/>
      </c>
      <c r="G24418" s="51"/>
      <c r="H24418" s="46" t="str">
        <f>IF(AND(I.Developer.P4=TRUE,I.Facility.P4FacilityCount&gt;=4406,F24418=""),"Incomplete","Complete")</f>
        <v>Complete</v>
      </c>
      <c r="I24418" s="48" t="s">
        <v>28783</v>
      </c>
    </row>
    <row r="24419" spans="2:9" ht="15" customHeight="1" x14ac:dyDescent="0.25">
      <c r="B24419" s="55" t="s">
        <v>283</v>
      </c>
      <c r="C24419" s="46">
        <v>4407</v>
      </c>
      <c r="D24419" s="69" t="s">
        <v>29420</v>
      </c>
      <c r="E24419" s="51"/>
      <c r="F24419" s="114" t="str">
        <f>IF(INDEX(I.Facility.P4IDNumber,4407)="","",INDEX(I.Facility.P4IDNumber,4407))</f>
        <v/>
      </c>
      <c r="G24419" s="51"/>
      <c r="H24419" s="46" t="str">
        <f>IF(AND(I.Developer.P4=TRUE,I.Facility.P4FacilityCount&gt;=4407,F24419=""),"Incomplete","Complete")</f>
        <v>Complete</v>
      </c>
      <c r="I24419" s="48" t="s">
        <v>28784</v>
      </c>
    </row>
    <row r="24420" spans="2:9" ht="15" customHeight="1" x14ac:dyDescent="0.25">
      <c r="B24420" s="55" t="s">
        <v>283</v>
      </c>
      <c r="C24420" s="46">
        <v>4408</v>
      </c>
      <c r="D24420" s="69" t="s">
        <v>29420</v>
      </c>
      <c r="E24420" s="51"/>
      <c r="F24420" s="114" t="str">
        <f>IF(INDEX(I.Facility.P4IDNumber,4408)="","",INDEX(I.Facility.P4IDNumber,4408))</f>
        <v/>
      </c>
      <c r="G24420" s="51"/>
      <c r="H24420" s="46" t="str">
        <f>IF(AND(I.Developer.P4=TRUE,I.Facility.P4FacilityCount&gt;=4408,F24420=""),"Incomplete","Complete")</f>
        <v>Complete</v>
      </c>
      <c r="I24420" s="48" t="s">
        <v>28785</v>
      </c>
    </row>
    <row r="24421" spans="2:9" ht="15" customHeight="1" x14ac:dyDescent="0.25">
      <c r="B24421" s="55" t="s">
        <v>283</v>
      </c>
      <c r="C24421" s="46">
        <v>4409</v>
      </c>
      <c r="D24421" s="69" t="s">
        <v>29420</v>
      </c>
      <c r="E24421" s="51"/>
      <c r="F24421" s="114" t="str">
        <f>IF(INDEX(I.Facility.P4IDNumber,4409)="","",INDEX(I.Facility.P4IDNumber,4409))</f>
        <v/>
      </c>
      <c r="G24421" s="51"/>
      <c r="H24421" s="46" t="str">
        <f>IF(AND(I.Developer.P4=TRUE,I.Facility.P4FacilityCount&gt;=4409,F24421=""),"Incomplete","Complete")</f>
        <v>Complete</v>
      </c>
      <c r="I24421" s="48" t="s">
        <v>28786</v>
      </c>
    </row>
    <row r="24422" spans="2:9" ht="15" customHeight="1" x14ac:dyDescent="0.25">
      <c r="B24422" s="55" t="s">
        <v>283</v>
      </c>
      <c r="C24422" s="46">
        <v>4410</v>
      </c>
      <c r="D24422" s="69" t="s">
        <v>29420</v>
      </c>
      <c r="E24422" s="51"/>
      <c r="F24422" s="114" t="str">
        <f>IF(INDEX(I.Facility.P4IDNumber,4410)="","",INDEX(I.Facility.P4IDNumber,4410))</f>
        <v/>
      </c>
      <c r="G24422" s="51"/>
      <c r="H24422" s="46" t="str">
        <f>IF(AND(I.Developer.P4=TRUE,I.Facility.P4FacilityCount&gt;=4410,F24422=""),"Incomplete","Complete")</f>
        <v>Complete</v>
      </c>
      <c r="I24422" s="48" t="s">
        <v>28787</v>
      </c>
    </row>
    <row r="24423" spans="2:9" ht="15" customHeight="1" x14ac:dyDescent="0.25">
      <c r="B24423" s="55" t="s">
        <v>283</v>
      </c>
      <c r="C24423" s="46">
        <v>4411</v>
      </c>
      <c r="D24423" s="69" t="s">
        <v>29420</v>
      </c>
      <c r="E24423" s="51"/>
      <c r="F24423" s="114" t="str">
        <f>IF(INDEX(I.Facility.P4IDNumber,4411)="","",INDEX(I.Facility.P4IDNumber,4411))</f>
        <v/>
      </c>
      <c r="G24423" s="51"/>
      <c r="H24423" s="46" t="str">
        <f>IF(AND(I.Developer.P4=TRUE,I.Facility.P4FacilityCount&gt;=4411,F24423=""),"Incomplete","Complete")</f>
        <v>Complete</v>
      </c>
      <c r="I24423" s="48" t="s">
        <v>28788</v>
      </c>
    </row>
    <row r="24424" spans="2:9" ht="15" customHeight="1" x14ac:dyDescent="0.25">
      <c r="B24424" s="55" t="s">
        <v>283</v>
      </c>
      <c r="C24424" s="46">
        <v>4412</v>
      </c>
      <c r="D24424" s="69" t="s">
        <v>29420</v>
      </c>
      <c r="E24424" s="51"/>
      <c r="F24424" s="114" t="str">
        <f>IF(INDEX(I.Facility.P4IDNumber,4412)="","",INDEX(I.Facility.P4IDNumber,4412))</f>
        <v/>
      </c>
      <c r="G24424" s="51"/>
      <c r="H24424" s="46" t="str">
        <f>IF(AND(I.Developer.P4=TRUE,I.Facility.P4FacilityCount&gt;=4412,F24424=""),"Incomplete","Complete")</f>
        <v>Complete</v>
      </c>
      <c r="I24424" s="48" t="s">
        <v>28789</v>
      </c>
    </row>
    <row r="24425" spans="2:9" ht="15" customHeight="1" x14ac:dyDescent="0.25">
      <c r="B24425" s="55" t="s">
        <v>283</v>
      </c>
      <c r="C24425" s="46">
        <v>4413</v>
      </c>
      <c r="D24425" s="69" t="s">
        <v>29420</v>
      </c>
      <c r="E24425" s="51"/>
      <c r="F24425" s="114" t="str">
        <f>IF(INDEX(I.Facility.P4IDNumber,4413)="","",INDEX(I.Facility.P4IDNumber,4413))</f>
        <v/>
      </c>
      <c r="G24425" s="51"/>
      <c r="H24425" s="46" t="str">
        <f>IF(AND(I.Developer.P4=TRUE,I.Facility.P4FacilityCount&gt;=4413,F24425=""),"Incomplete","Complete")</f>
        <v>Complete</v>
      </c>
      <c r="I24425" s="48" t="s">
        <v>28790</v>
      </c>
    </row>
    <row r="24426" spans="2:9" ht="15" customHeight="1" x14ac:dyDescent="0.25">
      <c r="B24426" s="55" t="s">
        <v>283</v>
      </c>
      <c r="C24426" s="46">
        <v>4414</v>
      </c>
      <c r="D24426" s="69" t="s">
        <v>29420</v>
      </c>
      <c r="E24426" s="51"/>
      <c r="F24426" s="114" t="str">
        <f>IF(INDEX(I.Facility.P4IDNumber,4414)="","",INDEX(I.Facility.P4IDNumber,4414))</f>
        <v/>
      </c>
      <c r="G24426" s="51"/>
      <c r="H24426" s="46" t="str">
        <f>IF(AND(I.Developer.P4=TRUE,I.Facility.P4FacilityCount&gt;=4414,F24426=""),"Incomplete","Complete")</f>
        <v>Complete</v>
      </c>
      <c r="I24426" s="48" t="s">
        <v>28791</v>
      </c>
    </row>
    <row r="24427" spans="2:9" ht="15" customHeight="1" x14ac:dyDescent="0.25">
      <c r="B24427" s="55" t="s">
        <v>283</v>
      </c>
      <c r="C24427" s="46">
        <v>4415</v>
      </c>
      <c r="D24427" s="69" t="s">
        <v>29420</v>
      </c>
      <c r="E24427" s="51"/>
      <c r="F24427" s="114" t="str">
        <f>IF(INDEX(I.Facility.P4IDNumber,4415)="","",INDEX(I.Facility.P4IDNumber,4415))</f>
        <v/>
      </c>
      <c r="G24427" s="51"/>
      <c r="H24427" s="46" t="str">
        <f>IF(AND(I.Developer.P4=TRUE,I.Facility.P4FacilityCount&gt;=4415,F24427=""),"Incomplete","Complete")</f>
        <v>Complete</v>
      </c>
      <c r="I24427" s="48" t="s">
        <v>28792</v>
      </c>
    </row>
    <row r="24428" spans="2:9" ht="15" customHeight="1" x14ac:dyDescent="0.25">
      <c r="B24428" s="55" t="s">
        <v>283</v>
      </c>
      <c r="C24428" s="46">
        <v>4416</v>
      </c>
      <c r="D24428" s="69" t="s">
        <v>29420</v>
      </c>
      <c r="E24428" s="51"/>
      <c r="F24428" s="114" t="str">
        <f>IF(INDEX(I.Facility.P4IDNumber,4416)="","",INDEX(I.Facility.P4IDNumber,4416))</f>
        <v/>
      </c>
      <c r="G24428" s="51"/>
      <c r="H24428" s="46" t="str">
        <f>IF(AND(I.Developer.P4=TRUE,I.Facility.P4FacilityCount&gt;=4416,F24428=""),"Incomplete","Complete")</f>
        <v>Complete</v>
      </c>
      <c r="I24428" s="48" t="s">
        <v>28793</v>
      </c>
    </row>
    <row r="24429" spans="2:9" ht="15" customHeight="1" x14ac:dyDescent="0.25">
      <c r="B24429" s="55" t="s">
        <v>283</v>
      </c>
      <c r="C24429" s="46">
        <v>4417</v>
      </c>
      <c r="D24429" s="69" t="s">
        <v>29420</v>
      </c>
      <c r="E24429" s="51"/>
      <c r="F24429" s="114" t="str">
        <f>IF(INDEX(I.Facility.P4IDNumber,4417)="","",INDEX(I.Facility.P4IDNumber,4417))</f>
        <v/>
      </c>
      <c r="G24429" s="51"/>
      <c r="H24429" s="46" t="str">
        <f>IF(AND(I.Developer.P4=TRUE,I.Facility.P4FacilityCount&gt;=4417,F24429=""),"Incomplete","Complete")</f>
        <v>Complete</v>
      </c>
      <c r="I24429" s="48" t="s">
        <v>28794</v>
      </c>
    </row>
    <row r="24430" spans="2:9" ht="15" customHeight="1" x14ac:dyDescent="0.25">
      <c r="B24430" s="55" t="s">
        <v>283</v>
      </c>
      <c r="C24430" s="46">
        <v>4418</v>
      </c>
      <c r="D24430" s="69" t="s">
        <v>29420</v>
      </c>
      <c r="E24430" s="51"/>
      <c r="F24430" s="114" t="str">
        <f>IF(INDEX(I.Facility.P4IDNumber,4418)="","",INDEX(I.Facility.P4IDNumber,4418))</f>
        <v/>
      </c>
      <c r="G24430" s="51"/>
      <c r="H24430" s="46" t="str">
        <f>IF(AND(I.Developer.P4=TRUE,I.Facility.P4FacilityCount&gt;=4418,F24430=""),"Incomplete","Complete")</f>
        <v>Complete</v>
      </c>
      <c r="I24430" s="48" t="s">
        <v>28795</v>
      </c>
    </row>
    <row r="24431" spans="2:9" ht="15" customHeight="1" x14ac:dyDescent="0.25">
      <c r="B24431" s="55" t="s">
        <v>283</v>
      </c>
      <c r="C24431" s="46">
        <v>4419</v>
      </c>
      <c r="D24431" s="69" t="s">
        <v>29420</v>
      </c>
      <c r="E24431" s="51"/>
      <c r="F24431" s="114" t="str">
        <f>IF(INDEX(I.Facility.P4IDNumber,4419)="","",INDEX(I.Facility.P4IDNumber,4419))</f>
        <v/>
      </c>
      <c r="G24431" s="51"/>
      <c r="H24431" s="46" t="str">
        <f>IF(AND(I.Developer.P4=TRUE,I.Facility.P4FacilityCount&gt;=4419,F24431=""),"Incomplete","Complete")</f>
        <v>Complete</v>
      </c>
      <c r="I24431" s="48" t="s">
        <v>28796</v>
      </c>
    </row>
    <row r="24432" spans="2:9" ht="15" customHeight="1" x14ac:dyDescent="0.25">
      <c r="B24432" s="55" t="s">
        <v>283</v>
      </c>
      <c r="C24432" s="46">
        <v>4420</v>
      </c>
      <c r="D24432" s="69" t="s">
        <v>29420</v>
      </c>
      <c r="E24432" s="51"/>
      <c r="F24432" s="114" t="str">
        <f>IF(INDEX(I.Facility.P4IDNumber,4420)="","",INDEX(I.Facility.P4IDNumber,4420))</f>
        <v/>
      </c>
      <c r="G24432" s="51"/>
      <c r="H24432" s="46" t="str">
        <f>IF(AND(I.Developer.P4=TRUE,I.Facility.P4FacilityCount&gt;=4420,F24432=""),"Incomplete","Complete")</f>
        <v>Complete</v>
      </c>
      <c r="I24432" s="48" t="s">
        <v>28797</v>
      </c>
    </row>
    <row r="24433" spans="2:9" ht="15" customHeight="1" x14ac:dyDescent="0.25">
      <c r="B24433" s="55" t="s">
        <v>283</v>
      </c>
      <c r="C24433" s="46">
        <v>4421</v>
      </c>
      <c r="D24433" s="69" t="s">
        <v>29420</v>
      </c>
      <c r="E24433" s="51"/>
      <c r="F24433" s="114" t="str">
        <f>IF(INDEX(I.Facility.P4IDNumber,4421)="","",INDEX(I.Facility.P4IDNumber,4421))</f>
        <v/>
      </c>
      <c r="G24433" s="51"/>
      <c r="H24433" s="46" t="str">
        <f>IF(AND(I.Developer.P4=TRUE,I.Facility.P4FacilityCount&gt;=4421,F24433=""),"Incomplete","Complete")</f>
        <v>Complete</v>
      </c>
      <c r="I24433" s="48" t="s">
        <v>28798</v>
      </c>
    </row>
    <row r="24434" spans="2:9" ht="15" customHeight="1" x14ac:dyDescent="0.25">
      <c r="B24434" s="55" t="s">
        <v>283</v>
      </c>
      <c r="C24434" s="46">
        <v>4422</v>
      </c>
      <c r="D24434" s="69" t="s">
        <v>29420</v>
      </c>
      <c r="E24434" s="51"/>
      <c r="F24434" s="114" t="str">
        <f>IF(INDEX(I.Facility.P4IDNumber,4422)="","",INDEX(I.Facility.P4IDNumber,4422))</f>
        <v/>
      </c>
      <c r="G24434" s="51"/>
      <c r="H24434" s="46" t="str">
        <f>IF(AND(I.Developer.P4=TRUE,I.Facility.P4FacilityCount&gt;=4422,F24434=""),"Incomplete","Complete")</f>
        <v>Complete</v>
      </c>
      <c r="I24434" s="48" t="s">
        <v>28799</v>
      </c>
    </row>
    <row r="24435" spans="2:9" ht="15" customHeight="1" x14ac:dyDescent="0.25">
      <c r="B24435" s="55" t="s">
        <v>283</v>
      </c>
      <c r="C24435" s="46">
        <v>4423</v>
      </c>
      <c r="D24435" s="69" t="s">
        <v>29420</v>
      </c>
      <c r="E24435" s="51"/>
      <c r="F24435" s="114" t="str">
        <f>IF(INDEX(I.Facility.P4IDNumber,4423)="","",INDEX(I.Facility.P4IDNumber,4423))</f>
        <v/>
      </c>
      <c r="G24435" s="51"/>
      <c r="H24435" s="46" t="str">
        <f>IF(AND(I.Developer.P4=TRUE,I.Facility.P4FacilityCount&gt;=4423,F24435=""),"Incomplete","Complete")</f>
        <v>Complete</v>
      </c>
      <c r="I24435" s="48" t="s">
        <v>28800</v>
      </c>
    </row>
    <row r="24436" spans="2:9" ht="15" customHeight="1" x14ac:dyDescent="0.25">
      <c r="B24436" s="55" t="s">
        <v>283</v>
      </c>
      <c r="C24436" s="46">
        <v>4424</v>
      </c>
      <c r="D24436" s="69" t="s">
        <v>29420</v>
      </c>
      <c r="E24436" s="51"/>
      <c r="F24436" s="114" t="str">
        <f>IF(INDEX(I.Facility.P4IDNumber,4424)="","",INDEX(I.Facility.P4IDNumber,4424))</f>
        <v/>
      </c>
      <c r="G24436" s="51"/>
      <c r="H24436" s="46" t="str">
        <f>IF(AND(I.Developer.P4=TRUE,I.Facility.P4FacilityCount&gt;=4424,F24436=""),"Incomplete","Complete")</f>
        <v>Complete</v>
      </c>
      <c r="I24436" s="48" t="s">
        <v>28801</v>
      </c>
    </row>
    <row r="24437" spans="2:9" ht="15" customHeight="1" x14ac:dyDescent="0.25">
      <c r="B24437" s="55" t="s">
        <v>283</v>
      </c>
      <c r="C24437" s="46">
        <v>4425</v>
      </c>
      <c r="D24437" s="69" t="s">
        <v>29420</v>
      </c>
      <c r="E24437" s="51"/>
      <c r="F24437" s="114" t="str">
        <f>IF(INDEX(I.Facility.P4IDNumber,4425)="","",INDEX(I.Facility.P4IDNumber,4425))</f>
        <v/>
      </c>
      <c r="G24437" s="51"/>
      <c r="H24437" s="46" t="str">
        <f>IF(AND(I.Developer.P4=TRUE,I.Facility.P4FacilityCount&gt;=4425,F24437=""),"Incomplete","Complete")</f>
        <v>Complete</v>
      </c>
      <c r="I24437" s="48" t="s">
        <v>28802</v>
      </c>
    </row>
    <row r="24438" spans="2:9" ht="15" customHeight="1" x14ac:dyDescent="0.25">
      <c r="B24438" s="55" t="s">
        <v>283</v>
      </c>
      <c r="C24438" s="46">
        <v>4426</v>
      </c>
      <c r="D24438" s="69" t="s">
        <v>29420</v>
      </c>
      <c r="E24438" s="51"/>
      <c r="F24438" s="114" t="str">
        <f>IF(INDEX(I.Facility.P4IDNumber,4426)="","",INDEX(I.Facility.P4IDNumber,4426))</f>
        <v/>
      </c>
      <c r="G24438" s="51"/>
      <c r="H24438" s="46" t="str">
        <f>IF(AND(I.Developer.P4=TRUE,I.Facility.P4FacilityCount&gt;=4426,F24438=""),"Incomplete","Complete")</f>
        <v>Complete</v>
      </c>
      <c r="I24438" s="48" t="s">
        <v>28803</v>
      </c>
    </row>
    <row r="24439" spans="2:9" ht="15" customHeight="1" x14ac:dyDescent="0.25">
      <c r="B24439" s="55" t="s">
        <v>283</v>
      </c>
      <c r="C24439" s="46">
        <v>4427</v>
      </c>
      <c r="D24439" s="69" t="s">
        <v>29420</v>
      </c>
      <c r="E24439" s="51"/>
      <c r="F24439" s="114" t="str">
        <f>IF(INDEX(I.Facility.P4IDNumber,4427)="","",INDEX(I.Facility.P4IDNumber,4427))</f>
        <v/>
      </c>
      <c r="G24439" s="51"/>
      <c r="H24439" s="46" t="str">
        <f>IF(AND(I.Developer.P4=TRUE,I.Facility.P4FacilityCount&gt;=4427,F24439=""),"Incomplete","Complete")</f>
        <v>Complete</v>
      </c>
      <c r="I24439" s="48" t="s">
        <v>28804</v>
      </c>
    </row>
    <row r="24440" spans="2:9" ht="15" customHeight="1" x14ac:dyDescent="0.25">
      <c r="B24440" s="55" t="s">
        <v>283</v>
      </c>
      <c r="C24440" s="46">
        <v>4428</v>
      </c>
      <c r="D24440" s="69" t="s">
        <v>29420</v>
      </c>
      <c r="E24440" s="51"/>
      <c r="F24440" s="114" t="str">
        <f>IF(INDEX(I.Facility.P4IDNumber,4428)="","",INDEX(I.Facility.P4IDNumber,4428))</f>
        <v/>
      </c>
      <c r="G24440" s="51"/>
      <c r="H24440" s="46" t="str">
        <f>IF(AND(I.Developer.P4=TRUE,I.Facility.P4FacilityCount&gt;=4428,F24440=""),"Incomplete","Complete")</f>
        <v>Complete</v>
      </c>
      <c r="I24440" s="48" t="s">
        <v>28805</v>
      </c>
    </row>
    <row r="24441" spans="2:9" ht="15" customHeight="1" x14ac:dyDescent="0.25">
      <c r="B24441" s="55" t="s">
        <v>283</v>
      </c>
      <c r="C24441" s="46">
        <v>4429</v>
      </c>
      <c r="D24441" s="69" t="s">
        <v>29420</v>
      </c>
      <c r="E24441" s="51"/>
      <c r="F24441" s="114" t="str">
        <f>IF(INDEX(I.Facility.P4IDNumber,4429)="","",INDEX(I.Facility.P4IDNumber,4429))</f>
        <v/>
      </c>
      <c r="G24441" s="51"/>
      <c r="H24441" s="46" t="str">
        <f>IF(AND(I.Developer.P4=TRUE,I.Facility.P4FacilityCount&gt;=4429,F24441=""),"Incomplete","Complete")</f>
        <v>Complete</v>
      </c>
      <c r="I24441" s="48" t="s">
        <v>28806</v>
      </c>
    </row>
    <row r="24442" spans="2:9" ht="15" customHeight="1" x14ac:dyDescent="0.25">
      <c r="B24442" s="55" t="s">
        <v>283</v>
      </c>
      <c r="C24442" s="46">
        <v>4430</v>
      </c>
      <c r="D24442" s="69" t="s">
        <v>29420</v>
      </c>
      <c r="E24442" s="51"/>
      <c r="F24442" s="114" t="str">
        <f>IF(INDEX(I.Facility.P4IDNumber,4430)="","",INDEX(I.Facility.P4IDNumber,4430))</f>
        <v/>
      </c>
      <c r="G24442" s="51"/>
      <c r="H24442" s="46" t="str">
        <f>IF(AND(I.Developer.P4=TRUE,I.Facility.P4FacilityCount&gt;=4430,F24442=""),"Incomplete","Complete")</f>
        <v>Complete</v>
      </c>
      <c r="I24442" s="48" t="s">
        <v>28807</v>
      </c>
    </row>
    <row r="24443" spans="2:9" ht="15" customHeight="1" x14ac:dyDescent="0.25">
      <c r="B24443" s="55" t="s">
        <v>283</v>
      </c>
      <c r="C24443" s="46">
        <v>4431</v>
      </c>
      <c r="D24443" s="69" t="s">
        <v>29420</v>
      </c>
      <c r="E24443" s="51"/>
      <c r="F24443" s="114" t="str">
        <f>IF(INDEX(I.Facility.P4IDNumber,4431)="","",INDEX(I.Facility.P4IDNumber,4431))</f>
        <v/>
      </c>
      <c r="G24443" s="51"/>
      <c r="H24443" s="46" t="str">
        <f>IF(AND(I.Developer.P4=TRUE,I.Facility.P4FacilityCount&gt;=4431,F24443=""),"Incomplete","Complete")</f>
        <v>Complete</v>
      </c>
      <c r="I24443" s="48" t="s">
        <v>28808</v>
      </c>
    </row>
    <row r="24444" spans="2:9" ht="15" customHeight="1" x14ac:dyDescent="0.25">
      <c r="B24444" s="55" t="s">
        <v>283</v>
      </c>
      <c r="C24444" s="46">
        <v>4432</v>
      </c>
      <c r="D24444" s="69" t="s">
        <v>29420</v>
      </c>
      <c r="E24444" s="51"/>
      <c r="F24444" s="114" t="str">
        <f>IF(INDEX(I.Facility.P4IDNumber,4432)="","",INDEX(I.Facility.P4IDNumber,4432))</f>
        <v/>
      </c>
      <c r="G24444" s="51"/>
      <c r="H24444" s="46" t="str">
        <f>IF(AND(I.Developer.P4=TRUE,I.Facility.P4FacilityCount&gt;=4432,F24444=""),"Incomplete","Complete")</f>
        <v>Complete</v>
      </c>
      <c r="I24444" s="48" t="s">
        <v>28809</v>
      </c>
    </row>
    <row r="24445" spans="2:9" ht="15" customHeight="1" x14ac:dyDescent="0.25">
      <c r="B24445" s="55" t="s">
        <v>283</v>
      </c>
      <c r="C24445" s="46">
        <v>4433</v>
      </c>
      <c r="D24445" s="69" t="s">
        <v>29420</v>
      </c>
      <c r="E24445" s="51"/>
      <c r="F24445" s="114" t="str">
        <f>IF(INDEX(I.Facility.P4IDNumber,4433)="","",INDEX(I.Facility.P4IDNumber,4433))</f>
        <v/>
      </c>
      <c r="G24445" s="51"/>
      <c r="H24445" s="46" t="str">
        <f>IF(AND(I.Developer.P4=TRUE,I.Facility.P4FacilityCount&gt;=4433,F24445=""),"Incomplete","Complete")</f>
        <v>Complete</v>
      </c>
      <c r="I24445" s="48" t="s">
        <v>28810</v>
      </c>
    </row>
    <row r="24446" spans="2:9" ht="15" customHeight="1" x14ac:dyDescent="0.25">
      <c r="B24446" s="55" t="s">
        <v>283</v>
      </c>
      <c r="C24446" s="46">
        <v>4434</v>
      </c>
      <c r="D24446" s="69" t="s">
        <v>29420</v>
      </c>
      <c r="E24446" s="51"/>
      <c r="F24446" s="114" t="str">
        <f>IF(INDEX(I.Facility.P4IDNumber,4434)="","",INDEX(I.Facility.P4IDNumber,4434))</f>
        <v/>
      </c>
      <c r="G24446" s="51"/>
      <c r="H24446" s="46" t="str">
        <f>IF(AND(I.Developer.P4=TRUE,I.Facility.P4FacilityCount&gt;=4434,F24446=""),"Incomplete","Complete")</f>
        <v>Complete</v>
      </c>
      <c r="I24446" s="48" t="s">
        <v>28811</v>
      </c>
    </row>
    <row r="24447" spans="2:9" ht="15" customHeight="1" x14ac:dyDescent="0.25">
      <c r="B24447" s="55" t="s">
        <v>283</v>
      </c>
      <c r="C24447" s="46">
        <v>4435</v>
      </c>
      <c r="D24447" s="69" t="s">
        <v>29420</v>
      </c>
      <c r="E24447" s="51"/>
      <c r="F24447" s="114" t="str">
        <f>IF(INDEX(I.Facility.P4IDNumber,4435)="","",INDEX(I.Facility.P4IDNumber,4435))</f>
        <v/>
      </c>
      <c r="G24447" s="51"/>
      <c r="H24447" s="46" t="str">
        <f>IF(AND(I.Developer.P4=TRUE,I.Facility.P4FacilityCount&gt;=4435,F24447=""),"Incomplete","Complete")</f>
        <v>Complete</v>
      </c>
      <c r="I24447" s="48" t="s">
        <v>28812</v>
      </c>
    </row>
    <row r="24448" spans="2:9" ht="15" customHeight="1" x14ac:dyDescent="0.25">
      <c r="B24448" s="55" t="s">
        <v>283</v>
      </c>
      <c r="C24448" s="46">
        <v>4436</v>
      </c>
      <c r="D24448" s="69" t="s">
        <v>29420</v>
      </c>
      <c r="E24448" s="51"/>
      <c r="F24448" s="114" t="str">
        <f>IF(INDEX(I.Facility.P4IDNumber,4436)="","",INDEX(I.Facility.P4IDNumber,4436))</f>
        <v/>
      </c>
      <c r="G24448" s="51"/>
      <c r="H24448" s="46" t="str">
        <f>IF(AND(I.Developer.P4=TRUE,I.Facility.P4FacilityCount&gt;=4436,F24448=""),"Incomplete","Complete")</f>
        <v>Complete</v>
      </c>
      <c r="I24448" s="48" t="s">
        <v>28813</v>
      </c>
    </row>
    <row r="24449" spans="2:9" ht="15" customHeight="1" x14ac:dyDescent="0.25">
      <c r="B24449" s="55" t="s">
        <v>283</v>
      </c>
      <c r="C24449" s="46">
        <v>4437</v>
      </c>
      <c r="D24449" s="69" t="s">
        <v>29420</v>
      </c>
      <c r="E24449" s="51"/>
      <c r="F24449" s="114" t="str">
        <f>IF(INDEX(I.Facility.P4IDNumber,4437)="","",INDEX(I.Facility.P4IDNumber,4437))</f>
        <v/>
      </c>
      <c r="G24449" s="51"/>
      <c r="H24449" s="46" t="str">
        <f>IF(AND(I.Developer.P4=TRUE,I.Facility.P4FacilityCount&gt;=4437,F24449=""),"Incomplete","Complete")</f>
        <v>Complete</v>
      </c>
      <c r="I24449" s="48" t="s">
        <v>28814</v>
      </c>
    </row>
    <row r="24450" spans="2:9" ht="15" customHeight="1" x14ac:dyDescent="0.25">
      <c r="B24450" s="55" t="s">
        <v>283</v>
      </c>
      <c r="C24450" s="46">
        <v>4438</v>
      </c>
      <c r="D24450" s="69" t="s">
        <v>29420</v>
      </c>
      <c r="E24450" s="51"/>
      <c r="F24450" s="114" t="str">
        <f>IF(INDEX(I.Facility.P4IDNumber,4438)="","",INDEX(I.Facility.P4IDNumber,4438))</f>
        <v/>
      </c>
      <c r="G24450" s="51"/>
      <c r="H24450" s="46" t="str">
        <f>IF(AND(I.Developer.P4=TRUE,I.Facility.P4FacilityCount&gt;=4438,F24450=""),"Incomplete","Complete")</f>
        <v>Complete</v>
      </c>
      <c r="I24450" s="48" t="s">
        <v>28815</v>
      </c>
    </row>
    <row r="24451" spans="2:9" ht="15" customHeight="1" x14ac:dyDescent="0.25">
      <c r="B24451" s="55" t="s">
        <v>283</v>
      </c>
      <c r="C24451" s="46">
        <v>4439</v>
      </c>
      <c r="D24451" s="69" t="s">
        <v>29420</v>
      </c>
      <c r="E24451" s="51"/>
      <c r="F24451" s="114" t="str">
        <f>IF(INDEX(I.Facility.P4IDNumber,4439)="","",INDEX(I.Facility.P4IDNumber,4439))</f>
        <v/>
      </c>
      <c r="G24451" s="51"/>
      <c r="H24451" s="46" t="str">
        <f>IF(AND(I.Developer.P4=TRUE,I.Facility.P4FacilityCount&gt;=4439,F24451=""),"Incomplete","Complete")</f>
        <v>Complete</v>
      </c>
      <c r="I24451" s="48" t="s">
        <v>28816</v>
      </c>
    </row>
    <row r="24452" spans="2:9" ht="15" customHeight="1" x14ac:dyDescent="0.25">
      <c r="B24452" s="55" t="s">
        <v>283</v>
      </c>
      <c r="C24452" s="46">
        <v>4440</v>
      </c>
      <c r="D24452" s="69" t="s">
        <v>29420</v>
      </c>
      <c r="E24452" s="51"/>
      <c r="F24452" s="114" t="str">
        <f>IF(INDEX(I.Facility.P4IDNumber,4440)="","",INDEX(I.Facility.P4IDNumber,4440))</f>
        <v/>
      </c>
      <c r="G24452" s="51"/>
      <c r="H24452" s="46" t="str">
        <f>IF(AND(I.Developer.P4=TRUE,I.Facility.P4FacilityCount&gt;=4440,F24452=""),"Incomplete","Complete")</f>
        <v>Complete</v>
      </c>
      <c r="I24452" s="48" t="s">
        <v>28817</v>
      </c>
    </row>
    <row r="24453" spans="2:9" ht="15" customHeight="1" x14ac:dyDescent="0.25">
      <c r="B24453" s="55" t="s">
        <v>283</v>
      </c>
      <c r="C24453" s="46">
        <v>4441</v>
      </c>
      <c r="D24453" s="69" t="s">
        <v>29420</v>
      </c>
      <c r="E24453" s="51"/>
      <c r="F24453" s="114" t="str">
        <f>IF(INDEX(I.Facility.P4IDNumber,4441)="","",INDEX(I.Facility.P4IDNumber,4441))</f>
        <v/>
      </c>
      <c r="G24453" s="51"/>
      <c r="H24453" s="46" t="str">
        <f>IF(AND(I.Developer.P4=TRUE,I.Facility.P4FacilityCount&gt;=4441,F24453=""),"Incomplete","Complete")</f>
        <v>Complete</v>
      </c>
      <c r="I24453" s="48" t="s">
        <v>28818</v>
      </c>
    </row>
    <row r="24454" spans="2:9" ht="15" customHeight="1" x14ac:dyDescent="0.25">
      <c r="B24454" s="55" t="s">
        <v>283</v>
      </c>
      <c r="C24454" s="46">
        <v>4442</v>
      </c>
      <c r="D24454" s="69" t="s">
        <v>29420</v>
      </c>
      <c r="E24454" s="51"/>
      <c r="F24454" s="114" t="str">
        <f>IF(INDEX(I.Facility.P4IDNumber,4442)="","",INDEX(I.Facility.P4IDNumber,4442))</f>
        <v/>
      </c>
      <c r="G24454" s="51"/>
      <c r="H24454" s="46" t="str">
        <f>IF(AND(I.Developer.P4=TRUE,I.Facility.P4FacilityCount&gt;=4442,F24454=""),"Incomplete","Complete")</f>
        <v>Complete</v>
      </c>
      <c r="I24454" s="48" t="s">
        <v>28819</v>
      </c>
    </row>
    <row r="24455" spans="2:9" ht="15" customHeight="1" x14ac:dyDescent="0.25">
      <c r="B24455" s="55" t="s">
        <v>283</v>
      </c>
      <c r="C24455" s="46">
        <v>4443</v>
      </c>
      <c r="D24455" s="69" t="s">
        <v>29420</v>
      </c>
      <c r="E24455" s="51"/>
      <c r="F24455" s="114" t="str">
        <f>IF(INDEX(I.Facility.P4IDNumber,4443)="","",INDEX(I.Facility.P4IDNumber,4443))</f>
        <v/>
      </c>
      <c r="G24455" s="51"/>
      <c r="H24455" s="46" t="str">
        <f>IF(AND(I.Developer.P4=TRUE,I.Facility.P4FacilityCount&gt;=4443,F24455=""),"Incomplete","Complete")</f>
        <v>Complete</v>
      </c>
      <c r="I24455" s="48" t="s">
        <v>28820</v>
      </c>
    </row>
    <row r="24456" spans="2:9" ht="15" customHeight="1" x14ac:dyDescent="0.25">
      <c r="B24456" s="55" t="s">
        <v>283</v>
      </c>
      <c r="C24456" s="46">
        <v>4444</v>
      </c>
      <c r="D24456" s="69" t="s">
        <v>29420</v>
      </c>
      <c r="E24456" s="51"/>
      <c r="F24456" s="114" t="str">
        <f>IF(INDEX(I.Facility.P4IDNumber,4444)="","",INDEX(I.Facility.P4IDNumber,4444))</f>
        <v/>
      </c>
      <c r="G24456" s="51"/>
      <c r="H24456" s="46" t="str">
        <f>IF(AND(I.Developer.P4=TRUE,I.Facility.P4FacilityCount&gt;=4444,F24456=""),"Incomplete","Complete")</f>
        <v>Complete</v>
      </c>
      <c r="I24456" s="48" t="s">
        <v>28821</v>
      </c>
    </row>
    <row r="24457" spans="2:9" ht="15" customHeight="1" x14ac:dyDescent="0.25">
      <c r="B24457" s="55" t="s">
        <v>283</v>
      </c>
      <c r="C24457" s="46">
        <v>4445</v>
      </c>
      <c r="D24457" s="69" t="s">
        <v>29420</v>
      </c>
      <c r="E24457" s="51"/>
      <c r="F24457" s="114" t="str">
        <f>IF(INDEX(I.Facility.P4IDNumber,4445)="","",INDEX(I.Facility.P4IDNumber,4445))</f>
        <v/>
      </c>
      <c r="G24457" s="51"/>
      <c r="H24457" s="46" t="str">
        <f>IF(AND(I.Developer.P4=TRUE,I.Facility.P4FacilityCount&gt;=4445,F24457=""),"Incomplete","Complete")</f>
        <v>Complete</v>
      </c>
      <c r="I24457" s="48" t="s">
        <v>28822</v>
      </c>
    </row>
    <row r="24458" spans="2:9" ht="15" customHeight="1" x14ac:dyDescent="0.25">
      <c r="B24458" s="55" t="s">
        <v>283</v>
      </c>
      <c r="C24458" s="46">
        <v>4446</v>
      </c>
      <c r="D24458" s="69" t="s">
        <v>29420</v>
      </c>
      <c r="E24458" s="51"/>
      <c r="F24458" s="114" t="str">
        <f>IF(INDEX(I.Facility.P4IDNumber,4446)="","",INDEX(I.Facility.P4IDNumber,4446))</f>
        <v/>
      </c>
      <c r="G24458" s="51"/>
      <c r="H24458" s="46" t="str">
        <f>IF(AND(I.Developer.P4=TRUE,I.Facility.P4FacilityCount&gt;=4446,F24458=""),"Incomplete","Complete")</f>
        <v>Complete</v>
      </c>
      <c r="I24458" s="48" t="s">
        <v>28823</v>
      </c>
    </row>
    <row r="24459" spans="2:9" ht="15" customHeight="1" x14ac:dyDescent="0.25">
      <c r="B24459" s="55" t="s">
        <v>283</v>
      </c>
      <c r="C24459" s="46">
        <v>4447</v>
      </c>
      <c r="D24459" s="69" t="s">
        <v>29420</v>
      </c>
      <c r="E24459" s="51"/>
      <c r="F24459" s="114" t="str">
        <f>IF(INDEX(I.Facility.P4IDNumber,4447)="","",INDEX(I.Facility.P4IDNumber,4447))</f>
        <v/>
      </c>
      <c r="G24459" s="51"/>
      <c r="H24459" s="46" t="str">
        <f>IF(AND(I.Developer.P4=TRUE,I.Facility.P4FacilityCount&gt;=4447,F24459=""),"Incomplete","Complete")</f>
        <v>Complete</v>
      </c>
      <c r="I24459" s="48" t="s">
        <v>28824</v>
      </c>
    </row>
    <row r="24460" spans="2:9" ht="15" customHeight="1" x14ac:dyDescent="0.25">
      <c r="B24460" s="55" t="s">
        <v>283</v>
      </c>
      <c r="C24460" s="46">
        <v>4448</v>
      </c>
      <c r="D24460" s="69" t="s">
        <v>29420</v>
      </c>
      <c r="E24460" s="51"/>
      <c r="F24460" s="114" t="str">
        <f>IF(INDEX(I.Facility.P4IDNumber,4448)="","",INDEX(I.Facility.P4IDNumber,4448))</f>
        <v/>
      </c>
      <c r="G24460" s="51"/>
      <c r="H24460" s="46" t="str">
        <f>IF(AND(I.Developer.P4=TRUE,I.Facility.P4FacilityCount&gt;=4448,F24460=""),"Incomplete","Complete")</f>
        <v>Complete</v>
      </c>
      <c r="I24460" s="48" t="s">
        <v>28825</v>
      </c>
    </row>
    <row r="24461" spans="2:9" ht="15" customHeight="1" x14ac:dyDescent="0.25">
      <c r="B24461" s="55" t="s">
        <v>283</v>
      </c>
      <c r="C24461" s="46">
        <v>4449</v>
      </c>
      <c r="D24461" s="69" t="s">
        <v>29420</v>
      </c>
      <c r="E24461" s="51"/>
      <c r="F24461" s="114" t="str">
        <f>IF(INDEX(I.Facility.P4IDNumber,4449)="","",INDEX(I.Facility.P4IDNumber,4449))</f>
        <v/>
      </c>
      <c r="G24461" s="51"/>
      <c r="H24461" s="46" t="str">
        <f>IF(AND(I.Developer.P4=TRUE,I.Facility.P4FacilityCount&gt;=4449,F24461=""),"Incomplete","Complete")</f>
        <v>Complete</v>
      </c>
      <c r="I24461" s="48" t="s">
        <v>28826</v>
      </c>
    </row>
    <row r="24462" spans="2:9" ht="15" customHeight="1" x14ac:dyDescent="0.25">
      <c r="B24462" s="55" t="s">
        <v>283</v>
      </c>
      <c r="C24462" s="46">
        <v>4450</v>
      </c>
      <c r="D24462" s="69" t="s">
        <v>29420</v>
      </c>
      <c r="E24462" s="51"/>
      <c r="F24462" s="114" t="str">
        <f>IF(INDEX(I.Facility.P4IDNumber,4450)="","",INDEX(I.Facility.P4IDNumber,4450))</f>
        <v/>
      </c>
      <c r="G24462" s="51"/>
      <c r="H24462" s="46" t="str">
        <f>IF(AND(I.Developer.P4=TRUE,I.Facility.P4FacilityCount&gt;=4450,F24462=""),"Incomplete","Complete")</f>
        <v>Complete</v>
      </c>
      <c r="I24462" s="48" t="s">
        <v>28827</v>
      </c>
    </row>
    <row r="24463" spans="2:9" ht="15" customHeight="1" x14ac:dyDescent="0.25">
      <c r="B24463" s="55" t="s">
        <v>283</v>
      </c>
      <c r="C24463" s="46">
        <v>4451</v>
      </c>
      <c r="D24463" s="69" t="s">
        <v>29420</v>
      </c>
      <c r="E24463" s="51"/>
      <c r="F24463" s="114" t="str">
        <f>IF(INDEX(I.Facility.P4IDNumber,4451)="","",INDEX(I.Facility.P4IDNumber,4451))</f>
        <v/>
      </c>
      <c r="G24463" s="51"/>
      <c r="H24463" s="46" t="str">
        <f>IF(AND(I.Developer.P4=TRUE,I.Facility.P4FacilityCount&gt;=4451,F24463=""),"Incomplete","Complete")</f>
        <v>Complete</v>
      </c>
      <c r="I24463" s="48" t="s">
        <v>28828</v>
      </c>
    </row>
    <row r="24464" spans="2:9" ht="15" customHeight="1" x14ac:dyDescent="0.25">
      <c r="B24464" s="55" t="s">
        <v>283</v>
      </c>
      <c r="C24464" s="46">
        <v>4452</v>
      </c>
      <c r="D24464" s="69" t="s">
        <v>29420</v>
      </c>
      <c r="E24464" s="51"/>
      <c r="F24464" s="114" t="str">
        <f>IF(INDEX(I.Facility.P4IDNumber,4452)="","",INDEX(I.Facility.P4IDNumber,4452))</f>
        <v/>
      </c>
      <c r="G24464" s="51"/>
      <c r="H24464" s="46" t="str">
        <f>IF(AND(I.Developer.P4=TRUE,I.Facility.P4FacilityCount&gt;=4452,F24464=""),"Incomplete","Complete")</f>
        <v>Complete</v>
      </c>
      <c r="I24464" s="48" t="s">
        <v>28829</v>
      </c>
    </row>
    <row r="24465" spans="2:9" ht="15" customHeight="1" x14ac:dyDescent="0.25">
      <c r="B24465" s="55" t="s">
        <v>283</v>
      </c>
      <c r="C24465" s="46">
        <v>4453</v>
      </c>
      <c r="D24465" s="69" t="s">
        <v>29420</v>
      </c>
      <c r="E24465" s="51"/>
      <c r="F24465" s="114" t="str">
        <f>IF(INDEX(I.Facility.P4IDNumber,4453)="","",INDEX(I.Facility.P4IDNumber,4453))</f>
        <v/>
      </c>
      <c r="G24465" s="51"/>
      <c r="H24465" s="46" t="str">
        <f>IF(AND(I.Developer.P4=TRUE,I.Facility.P4FacilityCount&gt;=4453,F24465=""),"Incomplete","Complete")</f>
        <v>Complete</v>
      </c>
      <c r="I24465" s="48" t="s">
        <v>28830</v>
      </c>
    </row>
    <row r="24466" spans="2:9" ht="15" customHeight="1" x14ac:dyDescent="0.25">
      <c r="B24466" s="55" t="s">
        <v>283</v>
      </c>
      <c r="C24466" s="46">
        <v>4454</v>
      </c>
      <c r="D24466" s="69" t="s">
        <v>29420</v>
      </c>
      <c r="E24466" s="51"/>
      <c r="F24466" s="114" t="str">
        <f>IF(INDEX(I.Facility.P4IDNumber,4454)="","",INDEX(I.Facility.P4IDNumber,4454))</f>
        <v/>
      </c>
      <c r="G24466" s="51"/>
      <c r="H24466" s="46" t="str">
        <f>IF(AND(I.Developer.P4=TRUE,I.Facility.P4FacilityCount&gt;=4454,F24466=""),"Incomplete","Complete")</f>
        <v>Complete</v>
      </c>
      <c r="I24466" s="48" t="s">
        <v>28831</v>
      </c>
    </row>
    <row r="24467" spans="2:9" ht="15" customHeight="1" x14ac:dyDescent="0.25">
      <c r="B24467" s="55" t="s">
        <v>283</v>
      </c>
      <c r="C24467" s="46">
        <v>4455</v>
      </c>
      <c r="D24467" s="69" t="s">
        <v>29420</v>
      </c>
      <c r="E24467" s="51"/>
      <c r="F24467" s="114" t="str">
        <f>IF(INDEX(I.Facility.P4IDNumber,4455)="","",INDEX(I.Facility.P4IDNumber,4455))</f>
        <v/>
      </c>
      <c r="G24467" s="51"/>
      <c r="H24467" s="46" t="str">
        <f>IF(AND(I.Developer.P4=TRUE,I.Facility.P4FacilityCount&gt;=4455,F24467=""),"Incomplete","Complete")</f>
        <v>Complete</v>
      </c>
      <c r="I24467" s="48" t="s">
        <v>28832</v>
      </c>
    </row>
    <row r="24468" spans="2:9" ht="15" customHeight="1" x14ac:dyDescent="0.25">
      <c r="B24468" s="55" t="s">
        <v>283</v>
      </c>
      <c r="C24468" s="46">
        <v>4456</v>
      </c>
      <c r="D24468" s="69" t="s">
        <v>29420</v>
      </c>
      <c r="E24468" s="51"/>
      <c r="F24468" s="114" t="str">
        <f>IF(INDEX(I.Facility.P4IDNumber,4456)="","",INDEX(I.Facility.P4IDNumber,4456))</f>
        <v/>
      </c>
      <c r="G24468" s="51"/>
      <c r="H24468" s="46" t="str">
        <f>IF(AND(I.Developer.P4=TRUE,I.Facility.P4FacilityCount&gt;=4456,F24468=""),"Incomplete","Complete")</f>
        <v>Complete</v>
      </c>
      <c r="I24468" s="48" t="s">
        <v>28833</v>
      </c>
    </row>
    <row r="24469" spans="2:9" ht="15" customHeight="1" x14ac:dyDescent="0.25">
      <c r="B24469" s="55" t="s">
        <v>283</v>
      </c>
      <c r="C24469" s="46">
        <v>4457</v>
      </c>
      <c r="D24469" s="69" t="s">
        <v>29420</v>
      </c>
      <c r="E24469" s="51"/>
      <c r="F24469" s="114" t="str">
        <f>IF(INDEX(I.Facility.P4IDNumber,4457)="","",INDEX(I.Facility.P4IDNumber,4457))</f>
        <v/>
      </c>
      <c r="G24469" s="51"/>
      <c r="H24469" s="46" t="str">
        <f>IF(AND(I.Developer.P4=TRUE,I.Facility.P4FacilityCount&gt;=4457,F24469=""),"Incomplete","Complete")</f>
        <v>Complete</v>
      </c>
      <c r="I24469" s="48" t="s">
        <v>28834</v>
      </c>
    </row>
    <row r="24470" spans="2:9" ht="15" customHeight="1" x14ac:dyDescent="0.25">
      <c r="B24470" s="55" t="s">
        <v>283</v>
      </c>
      <c r="C24470" s="46">
        <v>4458</v>
      </c>
      <c r="D24470" s="69" t="s">
        <v>29420</v>
      </c>
      <c r="E24470" s="51"/>
      <c r="F24470" s="114" t="str">
        <f>IF(INDEX(I.Facility.P4IDNumber,4458)="","",INDEX(I.Facility.P4IDNumber,4458))</f>
        <v/>
      </c>
      <c r="G24470" s="51"/>
      <c r="H24470" s="46" t="str">
        <f>IF(AND(I.Developer.P4=TRUE,I.Facility.P4FacilityCount&gt;=4458,F24470=""),"Incomplete","Complete")</f>
        <v>Complete</v>
      </c>
      <c r="I24470" s="48" t="s">
        <v>28835</v>
      </c>
    </row>
    <row r="24471" spans="2:9" ht="15" customHeight="1" x14ac:dyDescent="0.25">
      <c r="B24471" s="55" t="s">
        <v>283</v>
      </c>
      <c r="C24471" s="46">
        <v>4459</v>
      </c>
      <c r="D24471" s="69" t="s">
        <v>29420</v>
      </c>
      <c r="E24471" s="51"/>
      <c r="F24471" s="114" t="str">
        <f>IF(INDEX(I.Facility.P4IDNumber,4459)="","",INDEX(I.Facility.P4IDNumber,4459))</f>
        <v/>
      </c>
      <c r="G24471" s="51"/>
      <c r="H24471" s="46" t="str">
        <f>IF(AND(I.Developer.P4=TRUE,I.Facility.P4FacilityCount&gt;=4459,F24471=""),"Incomplete","Complete")</f>
        <v>Complete</v>
      </c>
      <c r="I24471" s="48" t="s">
        <v>28836</v>
      </c>
    </row>
    <row r="24472" spans="2:9" ht="15" customHeight="1" x14ac:dyDescent="0.25">
      <c r="B24472" s="55" t="s">
        <v>283</v>
      </c>
      <c r="C24472" s="46">
        <v>4460</v>
      </c>
      <c r="D24472" s="69" t="s">
        <v>29420</v>
      </c>
      <c r="E24472" s="51"/>
      <c r="F24472" s="114" t="str">
        <f>IF(INDEX(I.Facility.P4IDNumber,4460)="","",INDEX(I.Facility.P4IDNumber,4460))</f>
        <v/>
      </c>
      <c r="G24472" s="51"/>
      <c r="H24472" s="46" t="str">
        <f>IF(AND(I.Developer.P4=TRUE,I.Facility.P4FacilityCount&gt;=4460,F24472=""),"Incomplete","Complete")</f>
        <v>Complete</v>
      </c>
      <c r="I24472" s="48" t="s">
        <v>28837</v>
      </c>
    </row>
    <row r="24473" spans="2:9" ht="15" customHeight="1" x14ac:dyDescent="0.25">
      <c r="B24473" s="55" t="s">
        <v>283</v>
      </c>
      <c r="C24473" s="46">
        <v>4461</v>
      </c>
      <c r="D24473" s="69" t="s">
        <v>29420</v>
      </c>
      <c r="E24473" s="51"/>
      <c r="F24473" s="114" t="str">
        <f>IF(INDEX(I.Facility.P4IDNumber,4461)="","",INDEX(I.Facility.P4IDNumber,4461))</f>
        <v/>
      </c>
      <c r="G24473" s="51"/>
      <c r="H24473" s="46" t="str">
        <f>IF(AND(I.Developer.P4=TRUE,I.Facility.P4FacilityCount&gt;=4461,F24473=""),"Incomplete","Complete")</f>
        <v>Complete</v>
      </c>
      <c r="I24473" s="48" t="s">
        <v>28838</v>
      </c>
    </row>
    <row r="24474" spans="2:9" ht="15" customHeight="1" x14ac:dyDescent="0.25">
      <c r="B24474" s="55" t="s">
        <v>283</v>
      </c>
      <c r="C24474" s="46">
        <v>4462</v>
      </c>
      <c r="D24474" s="69" t="s">
        <v>29420</v>
      </c>
      <c r="E24474" s="51"/>
      <c r="F24474" s="114" t="str">
        <f>IF(INDEX(I.Facility.P4IDNumber,4462)="","",INDEX(I.Facility.P4IDNumber,4462))</f>
        <v/>
      </c>
      <c r="G24474" s="51"/>
      <c r="H24474" s="46" t="str">
        <f>IF(AND(I.Developer.P4=TRUE,I.Facility.P4FacilityCount&gt;=4462,F24474=""),"Incomplete","Complete")</f>
        <v>Complete</v>
      </c>
      <c r="I24474" s="48" t="s">
        <v>28839</v>
      </c>
    </row>
    <row r="24475" spans="2:9" ht="15" customHeight="1" x14ac:dyDescent="0.25">
      <c r="B24475" s="55" t="s">
        <v>283</v>
      </c>
      <c r="C24475" s="46">
        <v>4463</v>
      </c>
      <c r="D24475" s="69" t="s">
        <v>29420</v>
      </c>
      <c r="E24475" s="51"/>
      <c r="F24475" s="114" t="str">
        <f>IF(INDEX(I.Facility.P4IDNumber,4463)="","",INDEX(I.Facility.P4IDNumber,4463))</f>
        <v/>
      </c>
      <c r="G24475" s="51"/>
      <c r="H24475" s="46" t="str">
        <f>IF(AND(I.Developer.P4=TRUE,I.Facility.P4FacilityCount&gt;=4463,F24475=""),"Incomplete","Complete")</f>
        <v>Complete</v>
      </c>
      <c r="I24475" s="48" t="s">
        <v>28840</v>
      </c>
    </row>
    <row r="24476" spans="2:9" ht="15" customHeight="1" x14ac:dyDescent="0.25">
      <c r="B24476" s="55" t="s">
        <v>283</v>
      </c>
      <c r="C24476" s="46">
        <v>4464</v>
      </c>
      <c r="D24476" s="69" t="s">
        <v>29420</v>
      </c>
      <c r="E24476" s="51"/>
      <c r="F24476" s="114" t="str">
        <f>IF(INDEX(I.Facility.P4IDNumber,4464)="","",INDEX(I.Facility.P4IDNumber,4464))</f>
        <v/>
      </c>
      <c r="G24476" s="51"/>
      <c r="H24476" s="46" t="str">
        <f>IF(AND(I.Developer.P4=TRUE,I.Facility.P4FacilityCount&gt;=4464,F24476=""),"Incomplete","Complete")</f>
        <v>Complete</v>
      </c>
      <c r="I24476" s="48" t="s">
        <v>28841</v>
      </c>
    </row>
    <row r="24477" spans="2:9" ht="15" customHeight="1" x14ac:dyDescent="0.25">
      <c r="B24477" s="55" t="s">
        <v>283</v>
      </c>
      <c r="C24477" s="46">
        <v>4465</v>
      </c>
      <c r="D24477" s="69" t="s">
        <v>29420</v>
      </c>
      <c r="E24477" s="51"/>
      <c r="F24477" s="114" t="str">
        <f>IF(INDEX(I.Facility.P4IDNumber,4465)="","",INDEX(I.Facility.P4IDNumber,4465))</f>
        <v/>
      </c>
      <c r="G24477" s="51"/>
      <c r="H24477" s="46" t="str">
        <f>IF(AND(I.Developer.P4=TRUE,I.Facility.P4FacilityCount&gt;=4465,F24477=""),"Incomplete","Complete")</f>
        <v>Complete</v>
      </c>
      <c r="I24477" s="48" t="s">
        <v>28842</v>
      </c>
    </row>
    <row r="24478" spans="2:9" ht="15" customHeight="1" x14ac:dyDescent="0.25">
      <c r="B24478" s="55" t="s">
        <v>283</v>
      </c>
      <c r="C24478" s="46">
        <v>4466</v>
      </c>
      <c r="D24478" s="69" t="s">
        <v>29420</v>
      </c>
      <c r="E24478" s="51"/>
      <c r="F24478" s="114" t="str">
        <f>IF(INDEX(I.Facility.P4IDNumber,4466)="","",INDEX(I.Facility.P4IDNumber,4466))</f>
        <v/>
      </c>
      <c r="G24478" s="51"/>
      <c r="H24478" s="46" t="str">
        <f>IF(AND(I.Developer.P4=TRUE,I.Facility.P4FacilityCount&gt;=4466,F24478=""),"Incomplete","Complete")</f>
        <v>Complete</v>
      </c>
      <c r="I24478" s="48" t="s">
        <v>28843</v>
      </c>
    </row>
    <row r="24479" spans="2:9" ht="15" customHeight="1" x14ac:dyDescent="0.25">
      <c r="B24479" s="55" t="s">
        <v>283</v>
      </c>
      <c r="C24479" s="46">
        <v>4467</v>
      </c>
      <c r="D24479" s="69" t="s">
        <v>29420</v>
      </c>
      <c r="E24479" s="51"/>
      <c r="F24479" s="114" t="str">
        <f>IF(INDEX(I.Facility.P4IDNumber,4467)="","",INDEX(I.Facility.P4IDNumber,4467))</f>
        <v/>
      </c>
      <c r="G24479" s="51"/>
      <c r="H24479" s="46" t="str">
        <f>IF(AND(I.Developer.P4=TRUE,I.Facility.P4FacilityCount&gt;=4467,F24479=""),"Incomplete","Complete")</f>
        <v>Complete</v>
      </c>
      <c r="I24479" s="48" t="s">
        <v>28844</v>
      </c>
    </row>
    <row r="24480" spans="2:9" ht="15" customHeight="1" x14ac:dyDescent="0.25">
      <c r="B24480" s="55" t="s">
        <v>283</v>
      </c>
      <c r="C24480" s="46">
        <v>4468</v>
      </c>
      <c r="D24480" s="69" t="s">
        <v>29420</v>
      </c>
      <c r="E24480" s="51"/>
      <c r="F24480" s="114" t="str">
        <f>IF(INDEX(I.Facility.P4IDNumber,4468)="","",INDEX(I.Facility.P4IDNumber,4468))</f>
        <v/>
      </c>
      <c r="G24480" s="51"/>
      <c r="H24480" s="46" t="str">
        <f>IF(AND(I.Developer.P4=TRUE,I.Facility.P4FacilityCount&gt;=4468,F24480=""),"Incomplete","Complete")</f>
        <v>Complete</v>
      </c>
      <c r="I24480" s="48" t="s">
        <v>28845</v>
      </c>
    </row>
    <row r="24481" spans="2:9" ht="15" customHeight="1" x14ac:dyDescent="0.25">
      <c r="B24481" s="55" t="s">
        <v>283</v>
      </c>
      <c r="C24481" s="46">
        <v>4469</v>
      </c>
      <c r="D24481" s="69" t="s">
        <v>29420</v>
      </c>
      <c r="E24481" s="51"/>
      <c r="F24481" s="114" t="str">
        <f>IF(INDEX(I.Facility.P4IDNumber,4469)="","",INDEX(I.Facility.P4IDNumber,4469))</f>
        <v/>
      </c>
      <c r="G24481" s="51"/>
      <c r="H24481" s="46" t="str">
        <f>IF(AND(I.Developer.P4=TRUE,I.Facility.P4FacilityCount&gt;=4469,F24481=""),"Incomplete","Complete")</f>
        <v>Complete</v>
      </c>
      <c r="I24481" s="48" t="s">
        <v>28846</v>
      </c>
    </row>
    <row r="24482" spans="2:9" ht="15" customHeight="1" x14ac:dyDescent="0.25">
      <c r="B24482" s="55" t="s">
        <v>283</v>
      </c>
      <c r="C24482" s="46">
        <v>4470</v>
      </c>
      <c r="D24482" s="69" t="s">
        <v>29420</v>
      </c>
      <c r="E24482" s="51"/>
      <c r="F24482" s="114" t="str">
        <f>IF(INDEX(I.Facility.P4IDNumber,4470)="","",INDEX(I.Facility.P4IDNumber,4470))</f>
        <v/>
      </c>
      <c r="G24482" s="51"/>
      <c r="H24482" s="46" t="str">
        <f>IF(AND(I.Developer.P4=TRUE,I.Facility.P4FacilityCount&gt;=4470,F24482=""),"Incomplete","Complete")</f>
        <v>Complete</v>
      </c>
      <c r="I24482" s="48" t="s">
        <v>28847</v>
      </c>
    </row>
    <row r="24483" spans="2:9" ht="15" customHeight="1" x14ac:dyDescent="0.25">
      <c r="B24483" s="55" t="s">
        <v>283</v>
      </c>
      <c r="C24483" s="46">
        <v>4471</v>
      </c>
      <c r="D24483" s="69" t="s">
        <v>29420</v>
      </c>
      <c r="E24483" s="51"/>
      <c r="F24483" s="114" t="str">
        <f>IF(INDEX(I.Facility.P4IDNumber,4471)="","",INDEX(I.Facility.P4IDNumber,4471))</f>
        <v/>
      </c>
      <c r="G24483" s="51"/>
      <c r="H24483" s="46" t="str">
        <f>IF(AND(I.Developer.P4=TRUE,I.Facility.P4FacilityCount&gt;=4471,F24483=""),"Incomplete","Complete")</f>
        <v>Complete</v>
      </c>
      <c r="I24483" s="48" t="s">
        <v>28848</v>
      </c>
    </row>
    <row r="24484" spans="2:9" ht="15" customHeight="1" x14ac:dyDescent="0.25">
      <c r="B24484" s="55" t="s">
        <v>283</v>
      </c>
      <c r="C24484" s="46">
        <v>4472</v>
      </c>
      <c r="D24484" s="69" t="s">
        <v>29420</v>
      </c>
      <c r="E24484" s="51"/>
      <c r="F24484" s="114" t="str">
        <f>IF(INDEX(I.Facility.P4IDNumber,4472)="","",INDEX(I.Facility.P4IDNumber,4472))</f>
        <v/>
      </c>
      <c r="G24484" s="51"/>
      <c r="H24484" s="46" t="str">
        <f>IF(AND(I.Developer.P4=TRUE,I.Facility.P4FacilityCount&gt;=4472,F24484=""),"Incomplete","Complete")</f>
        <v>Complete</v>
      </c>
      <c r="I24484" s="48" t="s">
        <v>28849</v>
      </c>
    </row>
    <row r="24485" spans="2:9" ht="15" customHeight="1" x14ac:dyDescent="0.25">
      <c r="B24485" s="55" t="s">
        <v>283</v>
      </c>
      <c r="C24485" s="46">
        <v>4473</v>
      </c>
      <c r="D24485" s="69" t="s">
        <v>29420</v>
      </c>
      <c r="E24485" s="51"/>
      <c r="F24485" s="114" t="str">
        <f>IF(INDEX(I.Facility.P4IDNumber,4473)="","",INDEX(I.Facility.P4IDNumber,4473))</f>
        <v/>
      </c>
      <c r="G24485" s="51"/>
      <c r="H24485" s="46" t="str">
        <f>IF(AND(I.Developer.P4=TRUE,I.Facility.P4FacilityCount&gt;=4473,F24485=""),"Incomplete","Complete")</f>
        <v>Complete</v>
      </c>
      <c r="I24485" s="48" t="s">
        <v>28850</v>
      </c>
    </row>
    <row r="24486" spans="2:9" ht="15" customHeight="1" x14ac:dyDescent="0.25">
      <c r="B24486" s="55" t="s">
        <v>283</v>
      </c>
      <c r="C24486" s="46">
        <v>4474</v>
      </c>
      <c r="D24486" s="69" t="s">
        <v>29420</v>
      </c>
      <c r="E24486" s="51"/>
      <c r="F24486" s="114" t="str">
        <f>IF(INDEX(I.Facility.P4IDNumber,4474)="","",INDEX(I.Facility.P4IDNumber,4474))</f>
        <v/>
      </c>
      <c r="G24486" s="51"/>
      <c r="H24486" s="46" t="str">
        <f>IF(AND(I.Developer.P4=TRUE,I.Facility.P4FacilityCount&gt;=4474,F24486=""),"Incomplete","Complete")</f>
        <v>Complete</v>
      </c>
      <c r="I24486" s="48" t="s">
        <v>28851</v>
      </c>
    </row>
    <row r="24487" spans="2:9" ht="15" customHeight="1" x14ac:dyDescent="0.25">
      <c r="B24487" s="55" t="s">
        <v>283</v>
      </c>
      <c r="C24487" s="46">
        <v>4475</v>
      </c>
      <c r="D24487" s="69" t="s">
        <v>29420</v>
      </c>
      <c r="E24487" s="51"/>
      <c r="F24487" s="114" t="str">
        <f>IF(INDEX(I.Facility.P4IDNumber,4475)="","",INDEX(I.Facility.P4IDNumber,4475))</f>
        <v/>
      </c>
      <c r="G24487" s="51"/>
      <c r="H24487" s="46" t="str">
        <f>IF(AND(I.Developer.P4=TRUE,I.Facility.P4FacilityCount&gt;=4475,F24487=""),"Incomplete","Complete")</f>
        <v>Complete</v>
      </c>
      <c r="I24487" s="48" t="s">
        <v>28852</v>
      </c>
    </row>
    <row r="24488" spans="2:9" ht="15" customHeight="1" x14ac:dyDescent="0.25">
      <c r="B24488" s="55" t="s">
        <v>283</v>
      </c>
      <c r="C24488" s="46">
        <v>4476</v>
      </c>
      <c r="D24488" s="69" t="s">
        <v>29420</v>
      </c>
      <c r="E24488" s="51"/>
      <c r="F24488" s="114" t="str">
        <f>IF(INDEX(I.Facility.P4IDNumber,4476)="","",INDEX(I.Facility.P4IDNumber,4476))</f>
        <v/>
      </c>
      <c r="G24488" s="51"/>
      <c r="H24488" s="46" t="str">
        <f>IF(AND(I.Developer.P4=TRUE,I.Facility.P4FacilityCount&gt;=4476,F24488=""),"Incomplete","Complete")</f>
        <v>Complete</v>
      </c>
      <c r="I24488" s="48" t="s">
        <v>28853</v>
      </c>
    </row>
    <row r="24489" spans="2:9" ht="15" customHeight="1" x14ac:dyDescent="0.25">
      <c r="B24489" s="55" t="s">
        <v>283</v>
      </c>
      <c r="C24489" s="46">
        <v>4477</v>
      </c>
      <c r="D24489" s="69" t="s">
        <v>29420</v>
      </c>
      <c r="E24489" s="51"/>
      <c r="F24489" s="114" t="str">
        <f>IF(INDEX(I.Facility.P4IDNumber,4477)="","",INDEX(I.Facility.P4IDNumber,4477))</f>
        <v/>
      </c>
      <c r="G24489" s="51"/>
      <c r="H24489" s="46" t="str">
        <f>IF(AND(I.Developer.P4=TRUE,I.Facility.P4FacilityCount&gt;=4477,F24489=""),"Incomplete","Complete")</f>
        <v>Complete</v>
      </c>
      <c r="I24489" s="48" t="s">
        <v>28854</v>
      </c>
    </row>
    <row r="24490" spans="2:9" ht="15" customHeight="1" x14ac:dyDescent="0.25">
      <c r="B24490" s="55" t="s">
        <v>283</v>
      </c>
      <c r="C24490" s="46">
        <v>4478</v>
      </c>
      <c r="D24490" s="69" t="s">
        <v>29420</v>
      </c>
      <c r="E24490" s="51"/>
      <c r="F24490" s="114" t="str">
        <f>IF(INDEX(I.Facility.P4IDNumber,4478)="","",INDEX(I.Facility.P4IDNumber,4478))</f>
        <v/>
      </c>
      <c r="G24490" s="51"/>
      <c r="H24490" s="46" t="str">
        <f>IF(AND(I.Developer.P4=TRUE,I.Facility.P4FacilityCount&gt;=4478,F24490=""),"Incomplete","Complete")</f>
        <v>Complete</v>
      </c>
      <c r="I24490" s="48" t="s">
        <v>28855</v>
      </c>
    </row>
    <row r="24491" spans="2:9" ht="15" customHeight="1" x14ac:dyDescent="0.25">
      <c r="B24491" s="55" t="s">
        <v>283</v>
      </c>
      <c r="C24491" s="46">
        <v>4479</v>
      </c>
      <c r="D24491" s="69" t="s">
        <v>29420</v>
      </c>
      <c r="E24491" s="51"/>
      <c r="F24491" s="114" t="str">
        <f>IF(INDEX(I.Facility.P4IDNumber,4479)="","",INDEX(I.Facility.P4IDNumber,4479))</f>
        <v/>
      </c>
      <c r="G24491" s="51"/>
      <c r="H24491" s="46" t="str">
        <f>IF(AND(I.Developer.P4=TRUE,I.Facility.P4FacilityCount&gt;=4479,F24491=""),"Incomplete","Complete")</f>
        <v>Complete</v>
      </c>
      <c r="I24491" s="48" t="s">
        <v>28856</v>
      </c>
    </row>
    <row r="24492" spans="2:9" ht="15" customHeight="1" x14ac:dyDescent="0.25">
      <c r="B24492" s="55" t="s">
        <v>283</v>
      </c>
      <c r="C24492" s="46">
        <v>4480</v>
      </c>
      <c r="D24492" s="69" t="s">
        <v>29420</v>
      </c>
      <c r="E24492" s="51"/>
      <c r="F24492" s="114" t="str">
        <f>IF(INDEX(I.Facility.P4IDNumber,4480)="","",INDEX(I.Facility.P4IDNumber,4480))</f>
        <v/>
      </c>
      <c r="G24492" s="51"/>
      <c r="H24492" s="46" t="str">
        <f>IF(AND(I.Developer.P4=TRUE,I.Facility.P4FacilityCount&gt;=4480,F24492=""),"Incomplete","Complete")</f>
        <v>Complete</v>
      </c>
      <c r="I24492" s="48" t="s">
        <v>28857</v>
      </c>
    </row>
    <row r="24493" spans="2:9" ht="15" customHeight="1" x14ac:dyDescent="0.25">
      <c r="B24493" s="55" t="s">
        <v>283</v>
      </c>
      <c r="C24493" s="46">
        <v>4481</v>
      </c>
      <c r="D24493" s="69" t="s">
        <v>29420</v>
      </c>
      <c r="E24493" s="51"/>
      <c r="F24493" s="114" t="str">
        <f>IF(INDEX(I.Facility.P4IDNumber,4481)="","",INDEX(I.Facility.P4IDNumber,4481))</f>
        <v/>
      </c>
      <c r="G24493" s="51"/>
      <c r="H24493" s="46" t="str">
        <f>IF(AND(I.Developer.P4=TRUE,I.Facility.P4FacilityCount&gt;=4481,F24493=""),"Incomplete","Complete")</f>
        <v>Complete</v>
      </c>
      <c r="I24493" s="48" t="s">
        <v>28858</v>
      </c>
    </row>
    <row r="24494" spans="2:9" ht="15" customHeight="1" x14ac:dyDescent="0.25">
      <c r="B24494" s="55" t="s">
        <v>283</v>
      </c>
      <c r="C24494" s="46">
        <v>4482</v>
      </c>
      <c r="D24494" s="69" t="s">
        <v>29420</v>
      </c>
      <c r="E24494" s="51"/>
      <c r="F24494" s="114" t="str">
        <f>IF(INDEX(I.Facility.P4IDNumber,4482)="","",INDEX(I.Facility.P4IDNumber,4482))</f>
        <v/>
      </c>
      <c r="G24494" s="51"/>
      <c r="H24494" s="46" t="str">
        <f>IF(AND(I.Developer.P4=TRUE,I.Facility.P4FacilityCount&gt;=4482,F24494=""),"Incomplete","Complete")</f>
        <v>Complete</v>
      </c>
      <c r="I24494" s="48" t="s">
        <v>28859</v>
      </c>
    </row>
    <row r="24495" spans="2:9" ht="15" customHeight="1" x14ac:dyDescent="0.25">
      <c r="B24495" s="55" t="s">
        <v>283</v>
      </c>
      <c r="C24495" s="46">
        <v>4483</v>
      </c>
      <c r="D24495" s="69" t="s">
        <v>29420</v>
      </c>
      <c r="E24495" s="51"/>
      <c r="F24495" s="114" t="str">
        <f>IF(INDEX(I.Facility.P4IDNumber,4483)="","",INDEX(I.Facility.P4IDNumber,4483))</f>
        <v/>
      </c>
      <c r="G24495" s="51"/>
      <c r="H24495" s="46" t="str">
        <f>IF(AND(I.Developer.P4=TRUE,I.Facility.P4FacilityCount&gt;=4483,F24495=""),"Incomplete","Complete")</f>
        <v>Complete</v>
      </c>
      <c r="I24495" s="48" t="s">
        <v>28860</v>
      </c>
    </row>
    <row r="24496" spans="2:9" ht="15" customHeight="1" x14ac:dyDescent="0.25">
      <c r="B24496" s="55" t="s">
        <v>283</v>
      </c>
      <c r="C24496" s="46">
        <v>4484</v>
      </c>
      <c r="D24496" s="69" t="s">
        <v>29420</v>
      </c>
      <c r="E24496" s="51"/>
      <c r="F24496" s="114" t="str">
        <f>IF(INDEX(I.Facility.P4IDNumber,4484)="","",INDEX(I.Facility.P4IDNumber,4484))</f>
        <v/>
      </c>
      <c r="G24496" s="51"/>
      <c r="H24496" s="46" t="str">
        <f>IF(AND(I.Developer.P4=TRUE,I.Facility.P4FacilityCount&gt;=4484,F24496=""),"Incomplete","Complete")</f>
        <v>Complete</v>
      </c>
      <c r="I24496" s="48" t="s">
        <v>28861</v>
      </c>
    </row>
    <row r="24497" spans="2:9" ht="15" customHeight="1" x14ac:dyDescent="0.25">
      <c r="B24497" s="55" t="s">
        <v>283</v>
      </c>
      <c r="C24497" s="46">
        <v>4485</v>
      </c>
      <c r="D24497" s="69" t="s">
        <v>29420</v>
      </c>
      <c r="E24497" s="51"/>
      <c r="F24497" s="114" t="str">
        <f>IF(INDEX(I.Facility.P4IDNumber,4485)="","",INDEX(I.Facility.P4IDNumber,4485))</f>
        <v/>
      </c>
      <c r="G24497" s="51"/>
      <c r="H24497" s="46" t="str">
        <f>IF(AND(I.Developer.P4=TRUE,I.Facility.P4FacilityCount&gt;=4485,F24497=""),"Incomplete","Complete")</f>
        <v>Complete</v>
      </c>
      <c r="I24497" s="48" t="s">
        <v>28862</v>
      </c>
    </row>
    <row r="24498" spans="2:9" ht="15" customHeight="1" x14ac:dyDescent="0.25">
      <c r="B24498" s="55" t="s">
        <v>283</v>
      </c>
      <c r="C24498" s="46">
        <v>4486</v>
      </c>
      <c r="D24498" s="69" t="s">
        <v>29420</v>
      </c>
      <c r="E24498" s="51"/>
      <c r="F24498" s="114" t="str">
        <f>IF(INDEX(I.Facility.P4IDNumber,4486)="","",INDEX(I.Facility.P4IDNumber,4486))</f>
        <v/>
      </c>
      <c r="G24498" s="51"/>
      <c r="H24498" s="46" t="str">
        <f>IF(AND(I.Developer.P4=TRUE,I.Facility.P4FacilityCount&gt;=4486,F24498=""),"Incomplete","Complete")</f>
        <v>Complete</v>
      </c>
      <c r="I24498" s="48" t="s">
        <v>28863</v>
      </c>
    </row>
    <row r="24499" spans="2:9" ht="15" customHeight="1" x14ac:dyDescent="0.25">
      <c r="B24499" s="55" t="s">
        <v>283</v>
      </c>
      <c r="C24499" s="46">
        <v>4487</v>
      </c>
      <c r="D24499" s="69" t="s">
        <v>29420</v>
      </c>
      <c r="E24499" s="51"/>
      <c r="F24499" s="114" t="str">
        <f>IF(INDEX(I.Facility.P4IDNumber,4487)="","",INDEX(I.Facility.P4IDNumber,4487))</f>
        <v/>
      </c>
      <c r="G24499" s="51"/>
      <c r="H24499" s="46" t="str">
        <f>IF(AND(I.Developer.P4=TRUE,I.Facility.P4FacilityCount&gt;=4487,F24499=""),"Incomplete","Complete")</f>
        <v>Complete</v>
      </c>
      <c r="I24499" s="48" t="s">
        <v>28864</v>
      </c>
    </row>
    <row r="24500" spans="2:9" ht="15" customHeight="1" x14ac:dyDescent="0.25">
      <c r="B24500" s="55" t="s">
        <v>283</v>
      </c>
      <c r="C24500" s="46">
        <v>4488</v>
      </c>
      <c r="D24500" s="69" t="s">
        <v>29420</v>
      </c>
      <c r="E24500" s="51"/>
      <c r="F24500" s="114" t="str">
        <f>IF(INDEX(I.Facility.P4IDNumber,4488)="","",INDEX(I.Facility.P4IDNumber,4488))</f>
        <v/>
      </c>
      <c r="G24500" s="51"/>
      <c r="H24500" s="46" t="str">
        <f>IF(AND(I.Developer.P4=TRUE,I.Facility.P4FacilityCount&gt;=4488,F24500=""),"Incomplete","Complete")</f>
        <v>Complete</v>
      </c>
      <c r="I24500" s="48" t="s">
        <v>28865</v>
      </c>
    </row>
    <row r="24501" spans="2:9" ht="15" customHeight="1" x14ac:dyDescent="0.25">
      <c r="B24501" s="55" t="s">
        <v>283</v>
      </c>
      <c r="C24501" s="46">
        <v>4489</v>
      </c>
      <c r="D24501" s="69" t="s">
        <v>29420</v>
      </c>
      <c r="E24501" s="51"/>
      <c r="F24501" s="114" t="str">
        <f>IF(INDEX(I.Facility.P4IDNumber,4489)="","",INDEX(I.Facility.P4IDNumber,4489))</f>
        <v/>
      </c>
      <c r="G24501" s="51"/>
      <c r="H24501" s="46" t="str">
        <f>IF(AND(I.Developer.P4=TRUE,I.Facility.P4FacilityCount&gt;=4489,F24501=""),"Incomplete","Complete")</f>
        <v>Complete</v>
      </c>
      <c r="I24501" s="48" t="s">
        <v>28866</v>
      </c>
    </row>
    <row r="24502" spans="2:9" ht="15" customHeight="1" x14ac:dyDescent="0.25">
      <c r="B24502" s="55" t="s">
        <v>283</v>
      </c>
      <c r="C24502" s="46">
        <v>4490</v>
      </c>
      <c r="D24502" s="69" t="s">
        <v>29420</v>
      </c>
      <c r="E24502" s="51"/>
      <c r="F24502" s="114" t="str">
        <f>IF(INDEX(I.Facility.P4IDNumber,4490)="","",INDEX(I.Facility.P4IDNumber,4490))</f>
        <v/>
      </c>
      <c r="G24502" s="51"/>
      <c r="H24502" s="46" t="str">
        <f>IF(AND(I.Developer.P4=TRUE,I.Facility.P4FacilityCount&gt;=4490,F24502=""),"Incomplete","Complete")</f>
        <v>Complete</v>
      </c>
      <c r="I24502" s="48" t="s">
        <v>28867</v>
      </c>
    </row>
    <row r="24503" spans="2:9" ht="15" customHeight="1" x14ac:dyDescent="0.25">
      <c r="B24503" s="55" t="s">
        <v>283</v>
      </c>
      <c r="C24503" s="46">
        <v>4491</v>
      </c>
      <c r="D24503" s="69" t="s">
        <v>29420</v>
      </c>
      <c r="E24503" s="51"/>
      <c r="F24503" s="114" t="str">
        <f>IF(INDEX(I.Facility.P4IDNumber,4491)="","",INDEX(I.Facility.P4IDNumber,4491))</f>
        <v/>
      </c>
      <c r="G24503" s="51"/>
      <c r="H24503" s="46" t="str">
        <f>IF(AND(I.Developer.P4=TRUE,I.Facility.P4FacilityCount&gt;=4491,F24503=""),"Incomplete","Complete")</f>
        <v>Complete</v>
      </c>
      <c r="I24503" s="48" t="s">
        <v>28868</v>
      </c>
    </row>
    <row r="24504" spans="2:9" ht="15" customHeight="1" x14ac:dyDescent="0.25">
      <c r="B24504" s="55" t="s">
        <v>283</v>
      </c>
      <c r="C24504" s="46">
        <v>4492</v>
      </c>
      <c r="D24504" s="69" t="s">
        <v>29420</v>
      </c>
      <c r="E24504" s="51"/>
      <c r="F24504" s="114" t="str">
        <f>IF(INDEX(I.Facility.P4IDNumber,4492)="","",INDEX(I.Facility.P4IDNumber,4492))</f>
        <v/>
      </c>
      <c r="G24504" s="51"/>
      <c r="H24504" s="46" t="str">
        <f>IF(AND(I.Developer.P4=TRUE,I.Facility.P4FacilityCount&gt;=4492,F24504=""),"Incomplete","Complete")</f>
        <v>Complete</v>
      </c>
      <c r="I24504" s="48" t="s">
        <v>28869</v>
      </c>
    </row>
    <row r="24505" spans="2:9" ht="15" customHeight="1" x14ac:dyDescent="0.25">
      <c r="B24505" s="55" t="s">
        <v>283</v>
      </c>
      <c r="C24505" s="46">
        <v>4493</v>
      </c>
      <c r="D24505" s="69" t="s">
        <v>29420</v>
      </c>
      <c r="E24505" s="51"/>
      <c r="F24505" s="114" t="str">
        <f>IF(INDEX(I.Facility.P4IDNumber,4493)="","",INDEX(I.Facility.P4IDNumber,4493))</f>
        <v/>
      </c>
      <c r="G24505" s="51"/>
      <c r="H24505" s="46" t="str">
        <f>IF(AND(I.Developer.P4=TRUE,I.Facility.P4FacilityCount&gt;=4493,F24505=""),"Incomplete","Complete")</f>
        <v>Complete</v>
      </c>
      <c r="I24505" s="48" t="s">
        <v>28870</v>
      </c>
    </row>
    <row r="24506" spans="2:9" ht="15" customHeight="1" x14ac:dyDescent="0.25">
      <c r="B24506" s="55" t="s">
        <v>283</v>
      </c>
      <c r="C24506" s="46">
        <v>4494</v>
      </c>
      <c r="D24506" s="69" t="s">
        <v>29420</v>
      </c>
      <c r="E24506" s="51"/>
      <c r="F24506" s="114" t="str">
        <f>IF(INDEX(I.Facility.P4IDNumber,4494)="","",INDEX(I.Facility.P4IDNumber,4494))</f>
        <v/>
      </c>
      <c r="G24506" s="51"/>
      <c r="H24506" s="46" t="str">
        <f>IF(AND(I.Developer.P4=TRUE,I.Facility.P4FacilityCount&gt;=4494,F24506=""),"Incomplete","Complete")</f>
        <v>Complete</v>
      </c>
      <c r="I24506" s="48" t="s">
        <v>28871</v>
      </c>
    </row>
    <row r="24507" spans="2:9" ht="15" customHeight="1" x14ac:dyDescent="0.25">
      <c r="B24507" s="55" t="s">
        <v>283</v>
      </c>
      <c r="C24507" s="46">
        <v>4495</v>
      </c>
      <c r="D24507" s="69" t="s">
        <v>29420</v>
      </c>
      <c r="E24507" s="51"/>
      <c r="F24507" s="114" t="str">
        <f>IF(INDEX(I.Facility.P4IDNumber,4495)="","",INDEX(I.Facility.P4IDNumber,4495))</f>
        <v/>
      </c>
      <c r="G24507" s="51"/>
      <c r="H24507" s="46" t="str">
        <f>IF(AND(I.Developer.P4=TRUE,I.Facility.P4FacilityCount&gt;=4495,F24507=""),"Incomplete","Complete")</f>
        <v>Complete</v>
      </c>
      <c r="I24507" s="48" t="s">
        <v>28872</v>
      </c>
    </row>
    <row r="24508" spans="2:9" ht="15" customHeight="1" x14ac:dyDescent="0.25">
      <c r="B24508" s="55" t="s">
        <v>283</v>
      </c>
      <c r="C24508" s="46">
        <v>4496</v>
      </c>
      <c r="D24508" s="69" t="s">
        <v>29420</v>
      </c>
      <c r="E24508" s="51"/>
      <c r="F24508" s="114" t="str">
        <f>IF(INDEX(I.Facility.P4IDNumber,4496)="","",INDEX(I.Facility.P4IDNumber,4496))</f>
        <v/>
      </c>
      <c r="G24508" s="51"/>
      <c r="H24508" s="46" t="str">
        <f>IF(AND(I.Developer.P4=TRUE,I.Facility.P4FacilityCount&gt;=4496,F24508=""),"Incomplete","Complete")</f>
        <v>Complete</v>
      </c>
      <c r="I24508" s="48" t="s">
        <v>28873</v>
      </c>
    </row>
    <row r="24509" spans="2:9" ht="15" customHeight="1" x14ac:dyDescent="0.25">
      <c r="B24509" s="55" t="s">
        <v>283</v>
      </c>
      <c r="C24509" s="46">
        <v>4497</v>
      </c>
      <c r="D24509" s="69" t="s">
        <v>29420</v>
      </c>
      <c r="E24509" s="51"/>
      <c r="F24509" s="114" t="str">
        <f>IF(INDEX(I.Facility.P4IDNumber,4497)="","",INDEX(I.Facility.P4IDNumber,4497))</f>
        <v/>
      </c>
      <c r="G24509" s="51"/>
      <c r="H24509" s="46" t="str">
        <f>IF(AND(I.Developer.P4=TRUE,I.Facility.P4FacilityCount&gt;=4497,F24509=""),"Incomplete","Complete")</f>
        <v>Complete</v>
      </c>
      <c r="I24509" s="48" t="s">
        <v>28874</v>
      </c>
    </row>
    <row r="24510" spans="2:9" ht="15" customHeight="1" x14ac:dyDescent="0.25">
      <c r="B24510" s="55" t="s">
        <v>283</v>
      </c>
      <c r="C24510" s="46">
        <v>4498</v>
      </c>
      <c r="D24510" s="69" t="s">
        <v>29420</v>
      </c>
      <c r="E24510" s="51"/>
      <c r="F24510" s="114" t="str">
        <f>IF(INDEX(I.Facility.P4IDNumber,4498)="","",INDEX(I.Facility.P4IDNumber,4498))</f>
        <v/>
      </c>
      <c r="G24510" s="51"/>
      <c r="H24510" s="46" t="str">
        <f>IF(AND(I.Developer.P4=TRUE,I.Facility.P4FacilityCount&gt;=4498,F24510=""),"Incomplete","Complete")</f>
        <v>Complete</v>
      </c>
      <c r="I24510" s="48" t="s">
        <v>28875</v>
      </c>
    </row>
    <row r="24511" spans="2:9" ht="15" customHeight="1" x14ac:dyDescent="0.25">
      <c r="B24511" s="55" t="s">
        <v>283</v>
      </c>
      <c r="C24511" s="46">
        <v>4499</v>
      </c>
      <c r="D24511" s="69" t="s">
        <v>29420</v>
      </c>
      <c r="E24511" s="51"/>
      <c r="F24511" s="114" t="str">
        <f>IF(INDEX(I.Facility.P4IDNumber,4499)="","",INDEX(I.Facility.P4IDNumber,4499))</f>
        <v/>
      </c>
      <c r="G24511" s="51"/>
      <c r="H24511" s="46" t="str">
        <f>IF(AND(I.Developer.P4=TRUE,I.Facility.P4FacilityCount&gt;=4499,F24511=""),"Incomplete","Complete")</f>
        <v>Complete</v>
      </c>
      <c r="I24511" s="48" t="s">
        <v>28876</v>
      </c>
    </row>
    <row r="24512" spans="2:9" ht="15" customHeight="1" x14ac:dyDescent="0.25">
      <c r="B24512" s="55" t="s">
        <v>283</v>
      </c>
      <c r="C24512" s="46">
        <v>4500</v>
      </c>
      <c r="D24512" s="69" t="s">
        <v>29420</v>
      </c>
      <c r="E24512" s="51"/>
      <c r="F24512" s="114" t="str">
        <f>IF(INDEX(I.Facility.P4IDNumber,4500)="","",INDEX(I.Facility.P4IDNumber,4500))</f>
        <v/>
      </c>
      <c r="G24512" s="51"/>
      <c r="H24512" s="46" t="str">
        <f>IF(AND(I.Developer.P4=TRUE,I.Facility.P4FacilityCount&gt;=4500,F24512=""),"Incomplete","Complete")</f>
        <v>Complete</v>
      </c>
      <c r="I24512" s="48" t="s">
        <v>28877</v>
      </c>
    </row>
    <row r="24513" spans="2:9" ht="15" customHeight="1" x14ac:dyDescent="0.25">
      <c r="B24513" s="55" t="s">
        <v>283</v>
      </c>
      <c r="C24513" s="46">
        <v>4501</v>
      </c>
      <c r="D24513" s="69" t="s">
        <v>29420</v>
      </c>
      <c r="E24513" s="51"/>
      <c r="F24513" s="114" t="str">
        <f>IF(INDEX(I.Facility.P4IDNumber,4501)="","",INDEX(I.Facility.P4IDNumber,4501))</f>
        <v/>
      </c>
      <c r="G24513" s="51"/>
      <c r="H24513" s="46" t="str">
        <f>IF(AND(I.Developer.P4=TRUE,I.Facility.P4FacilityCount&gt;=4501,F24513=""),"Incomplete","Complete")</f>
        <v>Complete</v>
      </c>
      <c r="I24513" s="48" t="s">
        <v>28878</v>
      </c>
    </row>
    <row r="24514" spans="2:9" ht="15" customHeight="1" x14ac:dyDescent="0.25">
      <c r="B24514" s="55" t="s">
        <v>283</v>
      </c>
      <c r="C24514" s="46">
        <v>4502</v>
      </c>
      <c r="D24514" s="69" t="s">
        <v>29420</v>
      </c>
      <c r="E24514" s="51"/>
      <c r="F24514" s="114" t="str">
        <f>IF(INDEX(I.Facility.P4IDNumber,4502)="","",INDEX(I.Facility.P4IDNumber,4502))</f>
        <v/>
      </c>
      <c r="G24514" s="51"/>
      <c r="H24514" s="46" t="str">
        <f>IF(AND(I.Developer.P4=TRUE,I.Facility.P4FacilityCount&gt;=4502,F24514=""),"Incomplete","Complete")</f>
        <v>Complete</v>
      </c>
      <c r="I24514" s="48" t="s">
        <v>28879</v>
      </c>
    </row>
    <row r="24515" spans="2:9" ht="15" customHeight="1" x14ac:dyDescent="0.25">
      <c r="B24515" s="55" t="s">
        <v>283</v>
      </c>
      <c r="C24515" s="46">
        <v>4503</v>
      </c>
      <c r="D24515" s="69" t="s">
        <v>29420</v>
      </c>
      <c r="E24515" s="51"/>
      <c r="F24515" s="114" t="str">
        <f>IF(INDEX(I.Facility.P4IDNumber,4503)="","",INDEX(I.Facility.P4IDNumber,4503))</f>
        <v/>
      </c>
      <c r="G24515" s="51"/>
      <c r="H24515" s="46" t="str">
        <f>IF(AND(I.Developer.P4=TRUE,I.Facility.P4FacilityCount&gt;=4503,F24515=""),"Incomplete","Complete")</f>
        <v>Complete</v>
      </c>
      <c r="I24515" s="48" t="s">
        <v>28880</v>
      </c>
    </row>
    <row r="24516" spans="2:9" ht="15" customHeight="1" x14ac:dyDescent="0.25">
      <c r="B24516" s="55" t="s">
        <v>283</v>
      </c>
      <c r="C24516" s="46">
        <v>4504</v>
      </c>
      <c r="D24516" s="69" t="s">
        <v>29420</v>
      </c>
      <c r="E24516" s="51"/>
      <c r="F24516" s="114" t="str">
        <f>IF(INDEX(I.Facility.P4IDNumber,4504)="","",INDEX(I.Facility.P4IDNumber,4504))</f>
        <v/>
      </c>
      <c r="G24516" s="51"/>
      <c r="H24516" s="46" t="str">
        <f>IF(AND(I.Developer.P4=TRUE,I.Facility.P4FacilityCount&gt;=4504,F24516=""),"Incomplete","Complete")</f>
        <v>Complete</v>
      </c>
      <c r="I24516" s="48" t="s">
        <v>28881</v>
      </c>
    </row>
    <row r="24517" spans="2:9" ht="15" customHeight="1" x14ac:dyDescent="0.25">
      <c r="B24517" s="55" t="s">
        <v>283</v>
      </c>
      <c r="C24517" s="46">
        <v>4505</v>
      </c>
      <c r="D24517" s="69" t="s">
        <v>29420</v>
      </c>
      <c r="E24517" s="51"/>
      <c r="F24517" s="114" t="str">
        <f>IF(INDEX(I.Facility.P4IDNumber,4505)="","",INDEX(I.Facility.P4IDNumber,4505))</f>
        <v/>
      </c>
      <c r="G24517" s="51"/>
      <c r="H24517" s="46" t="str">
        <f>IF(AND(I.Developer.P4=TRUE,I.Facility.P4FacilityCount&gt;=4505,F24517=""),"Incomplete","Complete")</f>
        <v>Complete</v>
      </c>
      <c r="I24517" s="48" t="s">
        <v>28882</v>
      </c>
    </row>
    <row r="24518" spans="2:9" ht="15" customHeight="1" x14ac:dyDescent="0.25">
      <c r="B24518" s="55" t="s">
        <v>283</v>
      </c>
      <c r="C24518" s="46">
        <v>4506</v>
      </c>
      <c r="D24518" s="69" t="s">
        <v>29420</v>
      </c>
      <c r="E24518" s="51"/>
      <c r="F24518" s="114" t="str">
        <f>IF(INDEX(I.Facility.P4IDNumber,4506)="","",INDEX(I.Facility.P4IDNumber,4506))</f>
        <v/>
      </c>
      <c r="G24518" s="51"/>
      <c r="H24518" s="46" t="str">
        <f>IF(AND(I.Developer.P4=TRUE,I.Facility.P4FacilityCount&gt;=4506,F24518=""),"Incomplete","Complete")</f>
        <v>Complete</v>
      </c>
      <c r="I24518" s="48" t="s">
        <v>28883</v>
      </c>
    </row>
    <row r="24519" spans="2:9" ht="15" customHeight="1" x14ac:dyDescent="0.25">
      <c r="B24519" s="55" t="s">
        <v>283</v>
      </c>
      <c r="C24519" s="46">
        <v>4507</v>
      </c>
      <c r="D24519" s="69" t="s">
        <v>29420</v>
      </c>
      <c r="E24519" s="51"/>
      <c r="F24519" s="114" t="str">
        <f>IF(INDEX(I.Facility.P4IDNumber,4507)="","",INDEX(I.Facility.P4IDNumber,4507))</f>
        <v/>
      </c>
      <c r="G24519" s="51"/>
      <c r="H24519" s="46" t="str">
        <f>IF(AND(I.Developer.P4=TRUE,I.Facility.P4FacilityCount&gt;=4507,F24519=""),"Incomplete","Complete")</f>
        <v>Complete</v>
      </c>
      <c r="I24519" s="48" t="s">
        <v>28884</v>
      </c>
    </row>
    <row r="24520" spans="2:9" ht="15" customHeight="1" x14ac:dyDescent="0.25">
      <c r="B24520" s="55" t="s">
        <v>283</v>
      </c>
      <c r="C24520" s="46">
        <v>4508</v>
      </c>
      <c r="D24520" s="69" t="s">
        <v>29420</v>
      </c>
      <c r="E24520" s="51"/>
      <c r="F24520" s="114" t="str">
        <f>IF(INDEX(I.Facility.P4IDNumber,4508)="","",INDEX(I.Facility.P4IDNumber,4508))</f>
        <v/>
      </c>
      <c r="G24520" s="51"/>
      <c r="H24520" s="46" t="str">
        <f>IF(AND(I.Developer.P4=TRUE,I.Facility.P4FacilityCount&gt;=4508,F24520=""),"Incomplete","Complete")</f>
        <v>Complete</v>
      </c>
      <c r="I24520" s="48" t="s">
        <v>28885</v>
      </c>
    </row>
    <row r="24521" spans="2:9" ht="15" customHeight="1" x14ac:dyDescent="0.25">
      <c r="B24521" s="55" t="s">
        <v>283</v>
      </c>
      <c r="C24521" s="46">
        <v>4509</v>
      </c>
      <c r="D24521" s="69" t="s">
        <v>29420</v>
      </c>
      <c r="E24521" s="51"/>
      <c r="F24521" s="114" t="str">
        <f>IF(INDEX(I.Facility.P4IDNumber,4509)="","",INDEX(I.Facility.P4IDNumber,4509))</f>
        <v/>
      </c>
      <c r="G24521" s="51"/>
      <c r="H24521" s="46" t="str">
        <f>IF(AND(I.Developer.P4=TRUE,I.Facility.P4FacilityCount&gt;=4509,F24521=""),"Incomplete","Complete")</f>
        <v>Complete</v>
      </c>
      <c r="I24521" s="48" t="s">
        <v>28886</v>
      </c>
    </row>
    <row r="24522" spans="2:9" ht="15" customHeight="1" x14ac:dyDescent="0.25">
      <c r="B24522" s="55" t="s">
        <v>283</v>
      </c>
      <c r="C24522" s="46">
        <v>4510</v>
      </c>
      <c r="D24522" s="69" t="s">
        <v>29420</v>
      </c>
      <c r="E24522" s="51"/>
      <c r="F24522" s="114" t="str">
        <f>IF(INDEX(I.Facility.P4IDNumber,4510)="","",INDEX(I.Facility.P4IDNumber,4510))</f>
        <v/>
      </c>
      <c r="G24522" s="51"/>
      <c r="H24522" s="46" t="str">
        <f>IF(AND(I.Developer.P4=TRUE,I.Facility.P4FacilityCount&gt;=4510,F24522=""),"Incomplete","Complete")</f>
        <v>Complete</v>
      </c>
      <c r="I24522" s="48" t="s">
        <v>28887</v>
      </c>
    </row>
    <row r="24523" spans="2:9" ht="15" customHeight="1" x14ac:dyDescent="0.25">
      <c r="B24523" s="55" t="s">
        <v>283</v>
      </c>
      <c r="C24523" s="46">
        <v>4511</v>
      </c>
      <c r="D24523" s="69" t="s">
        <v>29420</v>
      </c>
      <c r="E24523" s="51"/>
      <c r="F24523" s="114" t="str">
        <f>IF(INDEX(I.Facility.P4IDNumber,4511)="","",INDEX(I.Facility.P4IDNumber,4511))</f>
        <v/>
      </c>
      <c r="G24523" s="51"/>
      <c r="H24523" s="46" t="str">
        <f>IF(AND(I.Developer.P4=TRUE,I.Facility.P4FacilityCount&gt;=4511,F24523=""),"Incomplete","Complete")</f>
        <v>Complete</v>
      </c>
      <c r="I24523" s="48" t="s">
        <v>28888</v>
      </c>
    </row>
    <row r="24524" spans="2:9" ht="15" customHeight="1" x14ac:dyDescent="0.25">
      <c r="B24524" s="55" t="s">
        <v>283</v>
      </c>
      <c r="C24524" s="46">
        <v>4512</v>
      </c>
      <c r="D24524" s="69" t="s">
        <v>29420</v>
      </c>
      <c r="E24524" s="51"/>
      <c r="F24524" s="114" t="str">
        <f>IF(INDEX(I.Facility.P4IDNumber,4512)="","",INDEX(I.Facility.P4IDNumber,4512))</f>
        <v/>
      </c>
      <c r="G24524" s="51"/>
      <c r="H24524" s="46" t="str">
        <f>IF(AND(I.Developer.P4=TRUE,I.Facility.P4FacilityCount&gt;=4512,F24524=""),"Incomplete","Complete")</f>
        <v>Complete</v>
      </c>
      <c r="I24524" s="48" t="s">
        <v>28889</v>
      </c>
    </row>
    <row r="24525" spans="2:9" ht="15" customHeight="1" x14ac:dyDescent="0.25">
      <c r="B24525" s="55" t="s">
        <v>283</v>
      </c>
      <c r="C24525" s="46">
        <v>4513</v>
      </c>
      <c r="D24525" s="69" t="s">
        <v>29420</v>
      </c>
      <c r="E24525" s="51"/>
      <c r="F24525" s="114" t="str">
        <f>IF(INDEX(I.Facility.P4IDNumber,4513)="","",INDEX(I.Facility.P4IDNumber,4513))</f>
        <v/>
      </c>
      <c r="G24525" s="51"/>
      <c r="H24525" s="46" t="str">
        <f>IF(AND(I.Developer.P4=TRUE,I.Facility.P4FacilityCount&gt;=4513,F24525=""),"Incomplete","Complete")</f>
        <v>Complete</v>
      </c>
      <c r="I24525" s="48" t="s">
        <v>28890</v>
      </c>
    </row>
    <row r="24526" spans="2:9" ht="15" customHeight="1" x14ac:dyDescent="0.25">
      <c r="B24526" s="55" t="s">
        <v>283</v>
      </c>
      <c r="C24526" s="46">
        <v>4514</v>
      </c>
      <c r="D24526" s="69" t="s">
        <v>29420</v>
      </c>
      <c r="E24526" s="51"/>
      <c r="F24526" s="114" t="str">
        <f>IF(INDEX(I.Facility.P4IDNumber,4514)="","",INDEX(I.Facility.P4IDNumber,4514))</f>
        <v/>
      </c>
      <c r="G24526" s="51"/>
      <c r="H24526" s="46" t="str">
        <f>IF(AND(I.Developer.P4=TRUE,I.Facility.P4FacilityCount&gt;=4514,F24526=""),"Incomplete","Complete")</f>
        <v>Complete</v>
      </c>
      <c r="I24526" s="48" t="s">
        <v>28891</v>
      </c>
    </row>
    <row r="24527" spans="2:9" ht="15" customHeight="1" x14ac:dyDescent="0.25">
      <c r="B24527" s="55" t="s">
        <v>283</v>
      </c>
      <c r="C24527" s="46">
        <v>4515</v>
      </c>
      <c r="D24527" s="69" t="s">
        <v>29420</v>
      </c>
      <c r="E24527" s="51"/>
      <c r="F24527" s="114" t="str">
        <f>IF(INDEX(I.Facility.P4IDNumber,4515)="","",INDEX(I.Facility.P4IDNumber,4515))</f>
        <v/>
      </c>
      <c r="G24527" s="51"/>
      <c r="H24527" s="46" t="str">
        <f>IF(AND(I.Developer.P4=TRUE,I.Facility.P4FacilityCount&gt;=4515,F24527=""),"Incomplete","Complete")</f>
        <v>Complete</v>
      </c>
      <c r="I24527" s="48" t="s">
        <v>28892</v>
      </c>
    </row>
    <row r="24528" spans="2:9" ht="15" customHeight="1" x14ac:dyDescent="0.25">
      <c r="B24528" s="55" t="s">
        <v>283</v>
      </c>
      <c r="C24528" s="46">
        <v>4516</v>
      </c>
      <c r="D24528" s="69" t="s">
        <v>29420</v>
      </c>
      <c r="E24528" s="51"/>
      <c r="F24528" s="114" t="str">
        <f>IF(INDEX(I.Facility.P4IDNumber,4516)="","",INDEX(I.Facility.P4IDNumber,4516))</f>
        <v/>
      </c>
      <c r="G24528" s="51"/>
      <c r="H24528" s="46" t="str">
        <f>IF(AND(I.Developer.P4=TRUE,I.Facility.P4FacilityCount&gt;=4516,F24528=""),"Incomplete","Complete")</f>
        <v>Complete</v>
      </c>
      <c r="I24528" s="48" t="s">
        <v>28893</v>
      </c>
    </row>
    <row r="24529" spans="2:9" ht="15" customHeight="1" x14ac:dyDescent="0.25">
      <c r="B24529" s="55" t="s">
        <v>283</v>
      </c>
      <c r="C24529" s="46">
        <v>4517</v>
      </c>
      <c r="D24529" s="69" t="s">
        <v>29420</v>
      </c>
      <c r="E24529" s="51"/>
      <c r="F24529" s="114" t="str">
        <f>IF(INDEX(I.Facility.P4IDNumber,4517)="","",INDEX(I.Facility.P4IDNumber,4517))</f>
        <v/>
      </c>
      <c r="G24529" s="51"/>
      <c r="H24529" s="46" t="str">
        <f>IF(AND(I.Developer.P4=TRUE,I.Facility.P4FacilityCount&gt;=4517,F24529=""),"Incomplete","Complete")</f>
        <v>Complete</v>
      </c>
      <c r="I24529" s="48" t="s">
        <v>28894</v>
      </c>
    </row>
    <row r="24530" spans="2:9" ht="15" customHeight="1" x14ac:dyDescent="0.25">
      <c r="B24530" s="55" t="s">
        <v>283</v>
      </c>
      <c r="C24530" s="46">
        <v>4518</v>
      </c>
      <c r="D24530" s="69" t="s">
        <v>29420</v>
      </c>
      <c r="E24530" s="51"/>
      <c r="F24530" s="114" t="str">
        <f>IF(INDEX(I.Facility.P4IDNumber,4518)="","",INDEX(I.Facility.P4IDNumber,4518))</f>
        <v/>
      </c>
      <c r="G24530" s="51"/>
      <c r="H24530" s="46" t="str">
        <f>IF(AND(I.Developer.P4=TRUE,I.Facility.P4FacilityCount&gt;=4518,F24530=""),"Incomplete","Complete")</f>
        <v>Complete</v>
      </c>
      <c r="I24530" s="48" t="s">
        <v>28895</v>
      </c>
    </row>
    <row r="24531" spans="2:9" ht="15" customHeight="1" x14ac:dyDescent="0.25">
      <c r="B24531" s="55" t="s">
        <v>283</v>
      </c>
      <c r="C24531" s="46">
        <v>4519</v>
      </c>
      <c r="D24531" s="69" t="s">
        <v>29420</v>
      </c>
      <c r="E24531" s="51"/>
      <c r="F24531" s="114" t="str">
        <f>IF(INDEX(I.Facility.P4IDNumber,4519)="","",INDEX(I.Facility.P4IDNumber,4519))</f>
        <v/>
      </c>
      <c r="G24531" s="51"/>
      <c r="H24531" s="46" t="str">
        <f>IF(AND(I.Developer.P4=TRUE,I.Facility.P4FacilityCount&gt;=4519,F24531=""),"Incomplete","Complete")</f>
        <v>Complete</v>
      </c>
      <c r="I24531" s="48" t="s">
        <v>28896</v>
      </c>
    </row>
    <row r="24532" spans="2:9" ht="15" customHeight="1" x14ac:dyDescent="0.25">
      <c r="B24532" s="55" t="s">
        <v>283</v>
      </c>
      <c r="C24532" s="46">
        <v>4520</v>
      </c>
      <c r="D24532" s="69" t="s">
        <v>29420</v>
      </c>
      <c r="E24532" s="51"/>
      <c r="F24532" s="114" t="str">
        <f>IF(INDEX(I.Facility.P4IDNumber,4520)="","",INDEX(I.Facility.P4IDNumber,4520))</f>
        <v/>
      </c>
      <c r="G24532" s="51"/>
      <c r="H24532" s="46" t="str">
        <f>IF(AND(I.Developer.P4=TRUE,I.Facility.P4FacilityCount&gt;=4520,F24532=""),"Incomplete","Complete")</f>
        <v>Complete</v>
      </c>
      <c r="I24532" s="48" t="s">
        <v>28897</v>
      </c>
    </row>
    <row r="24533" spans="2:9" ht="15" customHeight="1" x14ac:dyDescent="0.25">
      <c r="B24533" s="55" t="s">
        <v>283</v>
      </c>
      <c r="C24533" s="46">
        <v>4521</v>
      </c>
      <c r="D24533" s="69" t="s">
        <v>29420</v>
      </c>
      <c r="E24533" s="51"/>
      <c r="F24533" s="114" t="str">
        <f>IF(INDEX(I.Facility.P4IDNumber,4521)="","",INDEX(I.Facility.P4IDNumber,4521))</f>
        <v/>
      </c>
      <c r="G24533" s="51"/>
      <c r="H24533" s="46" t="str">
        <f>IF(AND(I.Developer.P4=TRUE,I.Facility.P4FacilityCount&gt;=4521,F24533=""),"Incomplete","Complete")</f>
        <v>Complete</v>
      </c>
      <c r="I24533" s="48" t="s">
        <v>28898</v>
      </c>
    </row>
    <row r="24534" spans="2:9" ht="15" customHeight="1" x14ac:dyDescent="0.25">
      <c r="B24534" s="55" t="s">
        <v>283</v>
      </c>
      <c r="C24534" s="46">
        <v>4522</v>
      </c>
      <c r="D24534" s="69" t="s">
        <v>29420</v>
      </c>
      <c r="E24534" s="51"/>
      <c r="F24534" s="114" t="str">
        <f>IF(INDEX(I.Facility.P4IDNumber,4522)="","",INDEX(I.Facility.P4IDNumber,4522))</f>
        <v/>
      </c>
      <c r="G24534" s="51"/>
      <c r="H24534" s="46" t="str">
        <f>IF(AND(I.Developer.P4=TRUE,I.Facility.P4FacilityCount&gt;=4522,F24534=""),"Incomplete","Complete")</f>
        <v>Complete</v>
      </c>
      <c r="I24534" s="48" t="s">
        <v>28899</v>
      </c>
    </row>
    <row r="24535" spans="2:9" ht="15" customHeight="1" x14ac:dyDescent="0.25">
      <c r="B24535" s="55" t="s">
        <v>283</v>
      </c>
      <c r="C24535" s="46">
        <v>4523</v>
      </c>
      <c r="D24535" s="69" t="s">
        <v>29420</v>
      </c>
      <c r="E24535" s="51"/>
      <c r="F24535" s="114" t="str">
        <f>IF(INDEX(I.Facility.P4IDNumber,4523)="","",INDEX(I.Facility.P4IDNumber,4523))</f>
        <v/>
      </c>
      <c r="G24535" s="51"/>
      <c r="H24535" s="46" t="str">
        <f>IF(AND(I.Developer.P4=TRUE,I.Facility.P4FacilityCount&gt;=4523,F24535=""),"Incomplete","Complete")</f>
        <v>Complete</v>
      </c>
      <c r="I24535" s="48" t="s">
        <v>28900</v>
      </c>
    </row>
    <row r="24536" spans="2:9" ht="15" customHeight="1" x14ac:dyDescent="0.25">
      <c r="B24536" s="55" t="s">
        <v>283</v>
      </c>
      <c r="C24536" s="46">
        <v>4524</v>
      </c>
      <c r="D24536" s="69" t="s">
        <v>29420</v>
      </c>
      <c r="E24536" s="51"/>
      <c r="F24536" s="114" t="str">
        <f>IF(INDEX(I.Facility.P4IDNumber,4524)="","",INDEX(I.Facility.P4IDNumber,4524))</f>
        <v/>
      </c>
      <c r="G24536" s="51"/>
      <c r="H24536" s="46" t="str">
        <f>IF(AND(I.Developer.P4=TRUE,I.Facility.P4FacilityCount&gt;=4524,F24536=""),"Incomplete","Complete")</f>
        <v>Complete</v>
      </c>
      <c r="I24536" s="48" t="s">
        <v>28901</v>
      </c>
    </row>
    <row r="24537" spans="2:9" ht="15" customHeight="1" x14ac:dyDescent="0.25">
      <c r="B24537" s="55" t="s">
        <v>283</v>
      </c>
      <c r="C24537" s="46">
        <v>4525</v>
      </c>
      <c r="D24537" s="69" t="s">
        <v>29420</v>
      </c>
      <c r="E24537" s="51"/>
      <c r="F24537" s="114" t="str">
        <f>IF(INDEX(I.Facility.P4IDNumber,4525)="","",INDEX(I.Facility.P4IDNumber,4525))</f>
        <v/>
      </c>
      <c r="G24537" s="51"/>
      <c r="H24537" s="46" t="str">
        <f>IF(AND(I.Developer.P4=TRUE,I.Facility.P4FacilityCount&gt;=4525,F24537=""),"Incomplete","Complete")</f>
        <v>Complete</v>
      </c>
      <c r="I24537" s="48" t="s">
        <v>28902</v>
      </c>
    </row>
    <row r="24538" spans="2:9" ht="15" customHeight="1" x14ac:dyDescent="0.25">
      <c r="B24538" s="55" t="s">
        <v>283</v>
      </c>
      <c r="C24538" s="46">
        <v>4526</v>
      </c>
      <c r="D24538" s="69" t="s">
        <v>29420</v>
      </c>
      <c r="E24538" s="51"/>
      <c r="F24538" s="114" t="str">
        <f>IF(INDEX(I.Facility.P4IDNumber,4526)="","",INDEX(I.Facility.P4IDNumber,4526))</f>
        <v/>
      </c>
      <c r="G24538" s="51"/>
      <c r="H24538" s="46" t="str">
        <f>IF(AND(I.Developer.P4=TRUE,I.Facility.P4FacilityCount&gt;=4526,F24538=""),"Incomplete","Complete")</f>
        <v>Complete</v>
      </c>
      <c r="I24538" s="48" t="s">
        <v>28903</v>
      </c>
    </row>
    <row r="24539" spans="2:9" ht="15" customHeight="1" x14ac:dyDescent="0.25">
      <c r="B24539" s="55" t="s">
        <v>283</v>
      </c>
      <c r="C24539" s="46">
        <v>4527</v>
      </c>
      <c r="D24539" s="69" t="s">
        <v>29420</v>
      </c>
      <c r="E24539" s="51"/>
      <c r="F24539" s="114" t="str">
        <f>IF(INDEX(I.Facility.P4IDNumber,4527)="","",INDEX(I.Facility.P4IDNumber,4527))</f>
        <v/>
      </c>
      <c r="G24539" s="51"/>
      <c r="H24539" s="46" t="str">
        <f>IF(AND(I.Developer.P4=TRUE,I.Facility.P4FacilityCount&gt;=4527,F24539=""),"Incomplete","Complete")</f>
        <v>Complete</v>
      </c>
      <c r="I24539" s="48" t="s">
        <v>28904</v>
      </c>
    </row>
    <row r="24540" spans="2:9" ht="15" customHeight="1" x14ac:dyDescent="0.25">
      <c r="B24540" s="55" t="s">
        <v>283</v>
      </c>
      <c r="C24540" s="46">
        <v>4528</v>
      </c>
      <c r="D24540" s="69" t="s">
        <v>29420</v>
      </c>
      <c r="E24540" s="51"/>
      <c r="F24540" s="114" t="str">
        <f>IF(INDEX(I.Facility.P4IDNumber,4528)="","",INDEX(I.Facility.P4IDNumber,4528))</f>
        <v/>
      </c>
      <c r="G24540" s="51"/>
      <c r="H24540" s="46" t="str">
        <f>IF(AND(I.Developer.P4=TRUE,I.Facility.P4FacilityCount&gt;=4528,F24540=""),"Incomplete","Complete")</f>
        <v>Complete</v>
      </c>
      <c r="I24540" s="48" t="s">
        <v>28905</v>
      </c>
    </row>
    <row r="24541" spans="2:9" ht="15" customHeight="1" x14ac:dyDescent="0.25">
      <c r="B24541" s="55" t="s">
        <v>283</v>
      </c>
      <c r="C24541" s="46">
        <v>4529</v>
      </c>
      <c r="D24541" s="69" t="s">
        <v>29420</v>
      </c>
      <c r="E24541" s="51"/>
      <c r="F24541" s="114" t="str">
        <f>IF(INDEX(I.Facility.P4IDNumber,4529)="","",INDEX(I.Facility.P4IDNumber,4529))</f>
        <v/>
      </c>
      <c r="G24541" s="51"/>
      <c r="H24541" s="46" t="str">
        <f>IF(AND(I.Developer.P4=TRUE,I.Facility.P4FacilityCount&gt;=4529,F24541=""),"Incomplete","Complete")</f>
        <v>Complete</v>
      </c>
      <c r="I24541" s="48" t="s">
        <v>28906</v>
      </c>
    </row>
    <row r="24542" spans="2:9" ht="15" customHeight="1" x14ac:dyDescent="0.25">
      <c r="B24542" s="55" t="s">
        <v>283</v>
      </c>
      <c r="C24542" s="46">
        <v>4530</v>
      </c>
      <c r="D24542" s="69" t="s">
        <v>29420</v>
      </c>
      <c r="E24542" s="51"/>
      <c r="F24542" s="114" t="str">
        <f>IF(INDEX(I.Facility.P4IDNumber,4530)="","",INDEX(I.Facility.P4IDNumber,4530))</f>
        <v/>
      </c>
      <c r="G24542" s="51"/>
      <c r="H24542" s="46" t="str">
        <f>IF(AND(I.Developer.P4=TRUE,I.Facility.P4FacilityCount&gt;=4530,F24542=""),"Incomplete","Complete")</f>
        <v>Complete</v>
      </c>
      <c r="I24542" s="48" t="s">
        <v>28907</v>
      </c>
    </row>
    <row r="24543" spans="2:9" ht="15" customHeight="1" x14ac:dyDescent="0.25">
      <c r="B24543" s="55" t="s">
        <v>283</v>
      </c>
      <c r="C24543" s="46">
        <v>4531</v>
      </c>
      <c r="D24543" s="69" t="s">
        <v>29420</v>
      </c>
      <c r="E24543" s="51"/>
      <c r="F24543" s="114" t="str">
        <f>IF(INDEX(I.Facility.P4IDNumber,4531)="","",INDEX(I.Facility.P4IDNumber,4531))</f>
        <v/>
      </c>
      <c r="G24543" s="51"/>
      <c r="H24543" s="46" t="str">
        <f>IF(AND(I.Developer.P4=TRUE,I.Facility.P4FacilityCount&gt;=4531,F24543=""),"Incomplete","Complete")</f>
        <v>Complete</v>
      </c>
      <c r="I24543" s="48" t="s">
        <v>28908</v>
      </c>
    </row>
    <row r="24544" spans="2:9" ht="15" customHeight="1" x14ac:dyDescent="0.25">
      <c r="B24544" s="55" t="s">
        <v>283</v>
      </c>
      <c r="C24544" s="46">
        <v>4532</v>
      </c>
      <c r="D24544" s="69" t="s">
        <v>29420</v>
      </c>
      <c r="E24544" s="51"/>
      <c r="F24544" s="114" t="str">
        <f>IF(INDEX(I.Facility.P4IDNumber,4532)="","",INDEX(I.Facility.P4IDNumber,4532))</f>
        <v/>
      </c>
      <c r="G24544" s="51"/>
      <c r="H24544" s="46" t="str">
        <f>IF(AND(I.Developer.P4=TRUE,I.Facility.P4FacilityCount&gt;=4532,F24544=""),"Incomplete","Complete")</f>
        <v>Complete</v>
      </c>
      <c r="I24544" s="48" t="s">
        <v>28909</v>
      </c>
    </row>
    <row r="24545" spans="2:9" ht="15" customHeight="1" x14ac:dyDescent="0.25">
      <c r="B24545" s="55" t="s">
        <v>283</v>
      </c>
      <c r="C24545" s="46">
        <v>4533</v>
      </c>
      <c r="D24545" s="69" t="s">
        <v>29420</v>
      </c>
      <c r="E24545" s="51"/>
      <c r="F24545" s="114" t="str">
        <f>IF(INDEX(I.Facility.P4IDNumber,4533)="","",INDEX(I.Facility.P4IDNumber,4533))</f>
        <v/>
      </c>
      <c r="G24545" s="51"/>
      <c r="H24545" s="46" t="str">
        <f>IF(AND(I.Developer.P4=TRUE,I.Facility.P4FacilityCount&gt;=4533,F24545=""),"Incomplete","Complete")</f>
        <v>Complete</v>
      </c>
      <c r="I24545" s="48" t="s">
        <v>28910</v>
      </c>
    </row>
    <row r="24546" spans="2:9" ht="15" customHeight="1" x14ac:dyDescent="0.25">
      <c r="B24546" s="55" t="s">
        <v>283</v>
      </c>
      <c r="C24546" s="46">
        <v>4534</v>
      </c>
      <c r="D24546" s="69" t="s">
        <v>29420</v>
      </c>
      <c r="E24546" s="51"/>
      <c r="F24546" s="114" t="str">
        <f>IF(INDEX(I.Facility.P4IDNumber,4534)="","",INDEX(I.Facility.P4IDNumber,4534))</f>
        <v/>
      </c>
      <c r="G24546" s="51"/>
      <c r="H24546" s="46" t="str">
        <f>IF(AND(I.Developer.P4=TRUE,I.Facility.P4FacilityCount&gt;=4534,F24546=""),"Incomplete","Complete")</f>
        <v>Complete</v>
      </c>
      <c r="I24546" s="48" t="s">
        <v>28911</v>
      </c>
    </row>
    <row r="24547" spans="2:9" ht="15" customHeight="1" x14ac:dyDescent="0.25">
      <c r="B24547" s="55" t="s">
        <v>283</v>
      </c>
      <c r="C24547" s="46">
        <v>4535</v>
      </c>
      <c r="D24547" s="69" t="s">
        <v>29420</v>
      </c>
      <c r="E24547" s="51"/>
      <c r="F24547" s="114" t="str">
        <f>IF(INDEX(I.Facility.P4IDNumber,4535)="","",INDEX(I.Facility.P4IDNumber,4535))</f>
        <v/>
      </c>
      <c r="G24547" s="51"/>
      <c r="H24547" s="46" t="str">
        <f>IF(AND(I.Developer.P4=TRUE,I.Facility.P4FacilityCount&gt;=4535,F24547=""),"Incomplete","Complete")</f>
        <v>Complete</v>
      </c>
      <c r="I24547" s="48" t="s">
        <v>28912</v>
      </c>
    </row>
    <row r="24548" spans="2:9" ht="15" customHeight="1" x14ac:dyDescent="0.25">
      <c r="B24548" s="55" t="s">
        <v>283</v>
      </c>
      <c r="C24548" s="46">
        <v>4536</v>
      </c>
      <c r="D24548" s="69" t="s">
        <v>29420</v>
      </c>
      <c r="E24548" s="51"/>
      <c r="F24548" s="114" t="str">
        <f>IF(INDEX(I.Facility.P4IDNumber,4536)="","",INDEX(I.Facility.P4IDNumber,4536))</f>
        <v/>
      </c>
      <c r="G24548" s="51"/>
      <c r="H24548" s="46" t="str">
        <f>IF(AND(I.Developer.P4=TRUE,I.Facility.P4FacilityCount&gt;=4536,F24548=""),"Incomplete","Complete")</f>
        <v>Complete</v>
      </c>
      <c r="I24548" s="48" t="s">
        <v>28913</v>
      </c>
    </row>
    <row r="24549" spans="2:9" ht="15" customHeight="1" x14ac:dyDescent="0.25">
      <c r="B24549" s="55" t="s">
        <v>283</v>
      </c>
      <c r="C24549" s="46">
        <v>4537</v>
      </c>
      <c r="D24549" s="69" t="s">
        <v>29420</v>
      </c>
      <c r="E24549" s="51"/>
      <c r="F24549" s="114" t="str">
        <f>IF(INDEX(I.Facility.P4IDNumber,4537)="","",INDEX(I.Facility.P4IDNumber,4537))</f>
        <v/>
      </c>
      <c r="G24549" s="51"/>
      <c r="H24549" s="46" t="str">
        <f>IF(AND(I.Developer.P4=TRUE,I.Facility.P4FacilityCount&gt;=4537,F24549=""),"Incomplete","Complete")</f>
        <v>Complete</v>
      </c>
      <c r="I24549" s="48" t="s">
        <v>28914</v>
      </c>
    </row>
    <row r="24550" spans="2:9" ht="15" customHeight="1" x14ac:dyDescent="0.25">
      <c r="B24550" s="55" t="s">
        <v>283</v>
      </c>
      <c r="C24550" s="46">
        <v>4538</v>
      </c>
      <c r="D24550" s="69" t="s">
        <v>29420</v>
      </c>
      <c r="E24550" s="51"/>
      <c r="F24550" s="114" t="str">
        <f>IF(INDEX(I.Facility.P4IDNumber,4538)="","",INDEX(I.Facility.P4IDNumber,4538))</f>
        <v/>
      </c>
      <c r="G24550" s="51"/>
      <c r="H24550" s="46" t="str">
        <f>IF(AND(I.Developer.P4=TRUE,I.Facility.P4FacilityCount&gt;=4538,F24550=""),"Incomplete","Complete")</f>
        <v>Complete</v>
      </c>
      <c r="I24550" s="48" t="s">
        <v>28915</v>
      </c>
    </row>
    <row r="24551" spans="2:9" ht="15" customHeight="1" x14ac:dyDescent="0.25">
      <c r="B24551" s="55" t="s">
        <v>283</v>
      </c>
      <c r="C24551" s="46">
        <v>4539</v>
      </c>
      <c r="D24551" s="69" t="s">
        <v>29420</v>
      </c>
      <c r="E24551" s="51"/>
      <c r="F24551" s="114" t="str">
        <f>IF(INDEX(I.Facility.P4IDNumber,4539)="","",INDEX(I.Facility.P4IDNumber,4539))</f>
        <v/>
      </c>
      <c r="G24551" s="51"/>
      <c r="H24551" s="46" t="str">
        <f>IF(AND(I.Developer.P4=TRUE,I.Facility.P4FacilityCount&gt;=4539,F24551=""),"Incomplete","Complete")</f>
        <v>Complete</v>
      </c>
      <c r="I24551" s="48" t="s">
        <v>28916</v>
      </c>
    </row>
    <row r="24552" spans="2:9" ht="15" customHeight="1" x14ac:dyDescent="0.25">
      <c r="B24552" s="55" t="s">
        <v>283</v>
      </c>
      <c r="C24552" s="46">
        <v>4540</v>
      </c>
      <c r="D24552" s="69" t="s">
        <v>29420</v>
      </c>
      <c r="E24552" s="51"/>
      <c r="F24552" s="114" t="str">
        <f>IF(INDEX(I.Facility.P4IDNumber,4540)="","",INDEX(I.Facility.P4IDNumber,4540))</f>
        <v/>
      </c>
      <c r="G24552" s="51"/>
      <c r="H24552" s="46" t="str">
        <f>IF(AND(I.Developer.P4=TRUE,I.Facility.P4FacilityCount&gt;=4540,F24552=""),"Incomplete","Complete")</f>
        <v>Complete</v>
      </c>
      <c r="I24552" s="48" t="s">
        <v>28917</v>
      </c>
    </row>
    <row r="24553" spans="2:9" ht="15" customHeight="1" x14ac:dyDescent="0.25">
      <c r="B24553" s="55" t="s">
        <v>283</v>
      </c>
      <c r="C24553" s="46">
        <v>4541</v>
      </c>
      <c r="D24553" s="69" t="s">
        <v>29420</v>
      </c>
      <c r="E24553" s="51"/>
      <c r="F24553" s="114" t="str">
        <f>IF(INDEX(I.Facility.P4IDNumber,4541)="","",INDEX(I.Facility.P4IDNumber,4541))</f>
        <v/>
      </c>
      <c r="G24553" s="51"/>
      <c r="H24553" s="46" t="str">
        <f>IF(AND(I.Developer.P4=TRUE,I.Facility.P4FacilityCount&gt;=4541,F24553=""),"Incomplete","Complete")</f>
        <v>Complete</v>
      </c>
      <c r="I24553" s="48" t="s">
        <v>28918</v>
      </c>
    </row>
    <row r="24554" spans="2:9" ht="15" customHeight="1" x14ac:dyDescent="0.25">
      <c r="B24554" s="55" t="s">
        <v>283</v>
      </c>
      <c r="C24554" s="46">
        <v>4542</v>
      </c>
      <c r="D24554" s="69" t="s">
        <v>29420</v>
      </c>
      <c r="E24554" s="51"/>
      <c r="F24554" s="114" t="str">
        <f>IF(INDEX(I.Facility.P4IDNumber,4542)="","",INDEX(I.Facility.P4IDNumber,4542))</f>
        <v/>
      </c>
      <c r="G24554" s="51"/>
      <c r="H24554" s="46" t="str">
        <f>IF(AND(I.Developer.P4=TRUE,I.Facility.P4FacilityCount&gt;=4542,F24554=""),"Incomplete","Complete")</f>
        <v>Complete</v>
      </c>
      <c r="I24554" s="48" t="s">
        <v>28919</v>
      </c>
    </row>
    <row r="24555" spans="2:9" ht="15" customHeight="1" x14ac:dyDescent="0.25">
      <c r="B24555" s="55" t="s">
        <v>283</v>
      </c>
      <c r="C24555" s="46">
        <v>4543</v>
      </c>
      <c r="D24555" s="69" t="s">
        <v>29420</v>
      </c>
      <c r="E24555" s="51"/>
      <c r="F24555" s="114" t="str">
        <f>IF(INDEX(I.Facility.P4IDNumber,4543)="","",INDEX(I.Facility.P4IDNumber,4543))</f>
        <v/>
      </c>
      <c r="G24555" s="51"/>
      <c r="H24555" s="46" t="str">
        <f>IF(AND(I.Developer.P4=TRUE,I.Facility.P4FacilityCount&gt;=4543,F24555=""),"Incomplete","Complete")</f>
        <v>Complete</v>
      </c>
      <c r="I24555" s="48" t="s">
        <v>28920</v>
      </c>
    </row>
    <row r="24556" spans="2:9" ht="15" customHeight="1" x14ac:dyDescent="0.25">
      <c r="B24556" s="55" t="s">
        <v>283</v>
      </c>
      <c r="C24556" s="46">
        <v>4544</v>
      </c>
      <c r="D24556" s="69" t="s">
        <v>29420</v>
      </c>
      <c r="E24556" s="51"/>
      <c r="F24556" s="114" t="str">
        <f>IF(INDEX(I.Facility.P4IDNumber,4544)="","",INDEX(I.Facility.P4IDNumber,4544))</f>
        <v/>
      </c>
      <c r="G24556" s="51"/>
      <c r="H24556" s="46" t="str">
        <f>IF(AND(I.Developer.P4=TRUE,I.Facility.P4FacilityCount&gt;=4544,F24556=""),"Incomplete","Complete")</f>
        <v>Complete</v>
      </c>
      <c r="I24556" s="48" t="s">
        <v>28921</v>
      </c>
    </row>
    <row r="24557" spans="2:9" ht="15" customHeight="1" x14ac:dyDescent="0.25">
      <c r="B24557" s="55" t="s">
        <v>283</v>
      </c>
      <c r="C24557" s="46">
        <v>4545</v>
      </c>
      <c r="D24557" s="69" t="s">
        <v>29420</v>
      </c>
      <c r="E24557" s="51"/>
      <c r="F24557" s="114" t="str">
        <f>IF(INDEX(I.Facility.P4IDNumber,4545)="","",INDEX(I.Facility.P4IDNumber,4545))</f>
        <v/>
      </c>
      <c r="G24557" s="51"/>
      <c r="H24557" s="46" t="str">
        <f>IF(AND(I.Developer.P4=TRUE,I.Facility.P4FacilityCount&gt;=4545,F24557=""),"Incomplete","Complete")</f>
        <v>Complete</v>
      </c>
      <c r="I24557" s="48" t="s">
        <v>28922</v>
      </c>
    </row>
    <row r="24558" spans="2:9" ht="15" customHeight="1" x14ac:dyDescent="0.25">
      <c r="B24558" s="55" t="s">
        <v>283</v>
      </c>
      <c r="C24558" s="46">
        <v>4546</v>
      </c>
      <c r="D24558" s="69" t="s">
        <v>29420</v>
      </c>
      <c r="E24558" s="51"/>
      <c r="F24558" s="114" t="str">
        <f>IF(INDEX(I.Facility.P4IDNumber,4546)="","",INDEX(I.Facility.P4IDNumber,4546))</f>
        <v/>
      </c>
      <c r="G24558" s="51"/>
      <c r="H24558" s="46" t="str">
        <f>IF(AND(I.Developer.P4=TRUE,I.Facility.P4FacilityCount&gt;=4546,F24558=""),"Incomplete","Complete")</f>
        <v>Complete</v>
      </c>
      <c r="I24558" s="48" t="s">
        <v>28923</v>
      </c>
    </row>
    <row r="24559" spans="2:9" ht="15" customHeight="1" x14ac:dyDescent="0.25">
      <c r="B24559" s="55" t="s">
        <v>283</v>
      </c>
      <c r="C24559" s="46">
        <v>4547</v>
      </c>
      <c r="D24559" s="69" t="s">
        <v>29420</v>
      </c>
      <c r="E24559" s="51"/>
      <c r="F24559" s="114" t="str">
        <f>IF(INDEX(I.Facility.P4IDNumber,4547)="","",INDEX(I.Facility.P4IDNumber,4547))</f>
        <v/>
      </c>
      <c r="G24559" s="51"/>
      <c r="H24559" s="46" t="str">
        <f>IF(AND(I.Developer.P4=TRUE,I.Facility.P4FacilityCount&gt;=4547,F24559=""),"Incomplete","Complete")</f>
        <v>Complete</v>
      </c>
      <c r="I24559" s="48" t="s">
        <v>28924</v>
      </c>
    </row>
    <row r="24560" spans="2:9" ht="15" customHeight="1" x14ac:dyDescent="0.25">
      <c r="B24560" s="55" t="s">
        <v>283</v>
      </c>
      <c r="C24560" s="46">
        <v>4548</v>
      </c>
      <c r="D24560" s="69" t="s">
        <v>29420</v>
      </c>
      <c r="E24560" s="51"/>
      <c r="F24560" s="114" t="str">
        <f>IF(INDEX(I.Facility.P4IDNumber,4548)="","",INDEX(I.Facility.P4IDNumber,4548))</f>
        <v/>
      </c>
      <c r="G24560" s="51"/>
      <c r="H24560" s="46" t="str">
        <f>IF(AND(I.Developer.P4=TRUE,I.Facility.P4FacilityCount&gt;=4548,F24560=""),"Incomplete","Complete")</f>
        <v>Complete</v>
      </c>
      <c r="I24560" s="48" t="s">
        <v>28925</v>
      </c>
    </row>
    <row r="24561" spans="2:9" ht="15" customHeight="1" x14ac:dyDescent="0.25">
      <c r="B24561" s="55" t="s">
        <v>283</v>
      </c>
      <c r="C24561" s="46">
        <v>4549</v>
      </c>
      <c r="D24561" s="69" t="s">
        <v>29420</v>
      </c>
      <c r="E24561" s="51"/>
      <c r="F24561" s="114" t="str">
        <f>IF(INDEX(I.Facility.P4IDNumber,4549)="","",INDEX(I.Facility.P4IDNumber,4549))</f>
        <v/>
      </c>
      <c r="G24561" s="51"/>
      <c r="H24561" s="46" t="str">
        <f>IF(AND(I.Developer.P4=TRUE,I.Facility.P4FacilityCount&gt;=4549,F24561=""),"Incomplete","Complete")</f>
        <v>Complete</v>
      </c>
      <c r="I24561" s="48" t="s">
        <v>28926</v>
      </c>
    </row>
    <row r="24562" spans="2:9" ht="15" customHeight="1" x14ac:dyDescent="0.25">
      <c r="B24562" s="55" t="s">
        <v>283</v>
      </c>
      <c r="C24562" s="46">
        <v>4550</v>
      </c>
      <c r="D24562" s="69" t="s">
        <v>29420</v>
      </c>
      <c r="E24562" s="51"/>
      <c r="F24562" s="114" t="str">
        <f>IF(INDEX(I.Facility.P4IDNumber,4550)="","",INDEX(I.Facility.P4IDNumber,4550))</f>
        <v/>
      </c>
      <c r="G24562" s="51"/>
      <c r="H24562" s="46" t="str">
        <f>IF(AND(I.Developer.P4=TRUE,I.Facility.P4FacilityCount&gt;=4550,F24562=""),"Incomplete","Complete")</f>
        <v>Complete</v>
      </c>
      <c r="I24562" s="48" t="s">
        <v>28927</v>
      </c>
    </row>
    <row r="24563" spans="2:9" ht="15" customHeight="1" x14ac:dyDescent="0.25">
      <c r="B24563" s="55" t="s">
        <v>283</v>
      </c>
      <c r="C24563" s="46">
        <v>4551</v>
      </c>
      <c r="D24563" s="69" t="s">
        <v>29420</v>
      </c>
      <c r="E24563" s="51"/>
      <c r="F24563" s="114" t="str">
        <f>IF(INDEX(I.Facility.P4IDNumber,4551)="","",INDEX(I.Facility.P4IDNumber,4551))</f>
        <v/>
      </c>
      <c r="G24563" s="51"/>
      <c r="H24563" s="46" t="str">
        <f>IF(AND(I.Developer.P4=TRUE,I.Facility.P4FacilityCount&gt;=4551,F24563=""),"Incomplete","Complete")</f>
        <v>Complete</v>
      </c>
      <c r="I24563" s="48" t="s">
        <v>28928</v>
      </c>
    </row>
    <row r="24564" spans="2:9" ht="15" customHeight="1" x14ac:dyDescent="0.25">
      <c r="B24564" s="55" t="s">
        <v>283</v>
      </c>
      <c r="C24564" s="46">
        <v>4552</v>
      </c>
      <c r="D24564" s="69" t="s">
        <v>29420</v>
      </c>
      <c r="E24564" s="51"/>
      <c r="F24564" s="114" t="str">
        <f>IF(INDEX(I.Facility.P4IDNumber,4552)="","",INDEX(I.Facility.P4IDNumber,4552))</f>
        <v/>
      </c>
      <c r="G24564" s="51"/>
      <c r="H24564" s="46" t="str">
        <f>IF(AND(I.Developer.P4=TRUE,I.Facility.P4FacilityCount&gt;=4552,F24564=""),"Incomplete","Complete")</f>
        <v>Complete</v>
      </c>
      <c r="I24564" s="48" t="s">
        <v>28929</v>
      </c>
    </row>
    <row r="24565" spans="2:9" ht="15" customHeight="1" x14ac:dyDescent="0.25">
      <c r="B24565" s="55" t="s">
        <v>283</v>
      </c>
      <c r="C24565" s="46">
        <v>4553</v>
      </c>
      <c r="D24565" s="69" t="s">
        <v>29420</v>
      </c>
      <c r="E24565" s="51"/>
      <c r="F24565" s="114" t="str">
        <f>IF(INDEX(I.Facility.P4IDNumber,4553)="","",INDEX(I.Facility.P4IDNumber,4553))</f>
        <v/>
      </c>
      <c r="G24565" s="51"/>
      <c r="H24565" s="46" t="str">
        <f>IF(AND(I.Developer.P4=TRUE,I.Facility.P4FacilityCount&gt;=4553,F24565=""),"Incomplete","Complete")</f>
        <v>Complete</v>
      </c>
      <c r="I24565" s="48" t="s">
        <v>28930</v>
      </c>
    </row>
    <row r="24566" spans="2:9" ht="15" customHeight="1" x14ac:dyDescent="0.25">
      <c r="B24566" s="55" t="s">
        <v>283</v>
      </c>
      <c r="C24566" s="46">
        <v>4554</v>
      </c>
      <c r="D24566" s="69" t="s">
        <v>29420</v>
      </c>
      <c r="E24566" s="51"/>
      <c r="F24566" s="114" t="str">
        <f>IF(INDEX(I.Facility.P4IDNumber,4554)="","",INDEX(I.Facility.P4IDNumber,4554))</f>
        <v/>
      </c>
      <c r="G24566" s="51"/>
      <c r="H24566" s="46" t="str">
        <f>IF(AND(I.Developer.P4=TRUE,I.Facility.P4FacilityCount&gt;=4554,F24566=""),"Incomplete","Complete")</f>
        <v>Complete</v>
      </c>
      <c r="I24566" s="48" t="s">
        <v>28931</v>
      </c>
    </row>
    <row r="24567" spans="2:9" ht="15" customHeight="1" x14ac:dyDescent="0.25">
      <c r="B24567" s="55" t="s">
        <v>283</v>
      </c>
      <c r="C24567" s="46">
        <v>4555</v>
      </c>
      <c r="D24567" s="69" t="s">
        <v>29420</v>
      </c>
      <c r="E24567" s="51"/>
      <c r="F24567" s="114" t="str">
        <f>IF(INDEX(I.Facility.P4IDNumber,4555)="","",INDEX(I.Facility.P4IDNumber,4555))</f>
        <v/>
      </c>
      <c r="G24567" s="51"/>
      <c r="H24567" s="46" t="str">
        <f>IF(AND(I.Developer.P4=TRUE,I.Facility.P4FacilityCount&gt;=4555,F24567=""),"Incomplete","Complete")</f>
        <v>Complete</v>
      </c>
      <c r="I24567" s="48" t="s">
        <v>28932</v>
      </c>
    </row>
    <row r="24568" spans="2:9" ht="15" customHeight="1" x14ac:dyDescent="0.25">
      <c r="B24568" s="55" t="s">
        <v>283</v>
      </c>
      <c r="C24568" s="46">
        <v>4556</v>
      </c>
      <c r="D24568" s="69" t="s">
        <v>29420</v>
      </c>
      <c r="E24568" s="51"/>
      <c r="F24568" s="114" t="str">
        <f>IF(INDEX(I.Facility.P4IDNumber,4556)="","",INDEX(I.Facility.P4IDNumber,4556))</f>
        <v/>
      </c>
      <c r="G24568" s="51"/>
      <c r="H24568" s="46" t="str">
        <f>IF(AND(I.Developer.P4=TRUE,I.Facility.P4FacilityCount&gt;=4556,F24568=""),"Incomplete","Complete")</f>
        <v>Complete</v>
      </c>
      <c r="I24568" s="48" t="s">
        <v>28933</v>
      </c>
    </row>
    <row r="24569" spans="2:9" ht="15" customHeight="1" x14ac:dyDescent="0.25">
      <c r="B24569" s="55" t="s">
        <v>283</v>
      </c>
      <c r="C24569" s="46">
        <v>4557</v>
      </c>
      <c r="D24569" s="69" t="s">
        <v>29420</v>
      </c>
      <c r="E24569" s="51"/>
      <c r="F24569" s="114" t="str">
        <f>IF(INDEX(I.Facility.P4IDNumber,4557)="","",INDEX(I.Facility.P4IDNumber,4557))</f>
        <v/>
      </c>
      <c r="G24569" s="51"/>
      <c r="H24569" s="46" t="str">
        <f>IF(AND(I.Developer.P4=TRUE,I.Facility.P4FacilityCount&gt;=4557,F24569=""),"Incomplete","Complete")</f>
        <v>Complete</v>
      </c>
      <c r="I24569" s="48" t="s">
        <v>28934</v>
      </c>
    </row>
    <row r="24570" spans="2:9" ht="15" customHeight="1" x14ac:dyDescent="0.25">
      <c r="B24570" s="55" t="s">
        <v>283</v>
      </c>
      <c r="C24570" s="46">
        <v>4558</v>
      </c>
      <c r="D24570" s="69" t="s">
        <v>29420</v>
      </c>
      <c r="E24570" s="51"/>
      <c r="F24570" s="114" t="str">
        <f>IF(INDEX(I.Facility.P4IDNumber,4558)="","",INDEX(I.Facility.P4IDNumber,4558))</f>
        <v/>
      </c>
      <c r="G24570" s="51"/>
      <c r="H24570" s="46" t="str">
        <f>IF(AND(I.Developer.P4=TRUE,I.Facility.P4FacilityCount&gt;=4558,F24570=""),"Incomplete","Complete")</f>
        <v>Complete</v>
      </c>
      <c r="I24570" s="48" t="s">
        <v>28935</v>
      </c>
    </row>
    <row r="24571" spans="2:9" ht="15" customHeight="1" x14ac:dyDescent="0.25">
      <c r="B24571" s="55" t="s">
        <v>283</v>
      </c>
      <c r="C24571" s="46">
        <v>4559</v>
      </c>
      <c r="D24571" s="69" t="s">
        <v>29420</v>
      </c>
      <c r="E24571" s="51"/>
      <c r="F24571" s="114" t="str">
        <f>IF(INDEX(I.Facility.P4IDNumber,4559)="","",INDEX(I.Facility.P4IDNumber,4559))</f>
        <v/>
      </c>
      <c r="G24571" s="51"/>
      <c r="H24571" s="46" t="str">
        <f>IF(AND(I.Developer.P4=TRUE,I.Facility.P4FacilityCount&gt;=4559,F24571=""),"Incomplete","Complete")</f>
        <v>Complete</v>
      </c>
      <c r="I24571" s="48" t="s">
        <v>28936</v>
      </c>
    </row>
    <row r="24572" spans="2:9" ht="15" customHeight="1" x14ac:dyDescent="0.25">
      <c r="B24572" s="55" t="s">
        <v>283</v>
      </c>
      <c r="C24572" s="46">
        <v>4560</v>
      </c>
      <c r="D24572" s="69" t="s">
        <v>29420</v>
      </c>
      <c r="E24572" s="51"/>
      <c r="F24572" s="114" t="str">
        <f>IF(INDEX(I.Facility.P4IDNumber,4560)="","",INDEX(I.Facility.P4IDNumber,4560))</f>
        <v/>
      </c>
      <c r="G24572" s="51"/>
      <c r="H24572" s="46" t="str">
        <f>IF(AND(I.Developer.P4=TRUE,I.Facility.P4FacilityCount&gt;=4560,F24572=""),"Incomplete","Complete")</f>
        <v>Complete</v>
      </c>
      <c r="I24572" s="48" t="s">
        <v>28937</v>
      </c>
    </row>
    <row r="24573" spans="2:9" ht="15" customHeight="1" x14ac:dyDescent="0.25">
      <c r="B24573" s="55" t="s">
        <v>283</v>
      </c>
      <c r="C24573" s="46">
        <v>4561</v>
      </c>
      <c r="D24573" s="69" t="s">
        <v>29420</v>
      </c>
      <c r="E24573" s="51"/>
      <c r="F24573" s="114" t="str">
        <f>IF(INDEX(I.Facility.P4IDNumber,4561)="","",INDEX(I.Facility.P4IDNumber,4561))</f>
        <v/>
      </c>
      <c r="G24573" s="51"/>
      <c r="H24573" s="46" t="str">
        <f>IF(AND(I.Developer.P4=TRUE,I.Facility.P4FacilityCount&gt;=4561,F24573=""),"Incomplete","Complete")</f>
        <v>Complete</v>
      </c>
      <c r="I24573" s="48" t="s">
        <v>28938</v>
      </c>
    </row>
    <row r="24574" spans="2:9" ht="15" customHeight="1" x14ac:dyDescent="0.25">
      <c r="B24574" s="55" t="s">
        <v>283</v>
      </c>
      <c r="C24574" s="46">
        <v>4562</v>
      </c>
      <c r="D24574" s="69" t="s">
        <v>29420</v>
      </c>
      <c r="E24574" s="51"/>
      <c r="F24574" s="114" t="str">
        <f>IF(INDEX(I.Facility.P4IDNumber,4562)="","",INDEX(I.Facility.P4IDNumber,4562))</f>
        <v/>
      </c>
      <c r="G24574" s="51"/>
      <c r="H24574" s="46" t="str">
        <f>IF(AND(I.Developer.P4=TRUE,I.Facility.P4FacilityCount&gt;=4562,F24574=""),"Incomplete","Complete")</f>
        <v>Complete</v>
      </c>
      <c r="I24574" s="48" t="s">
        <v>28939</v>
      </c>
    </row>
    <row r="24575" spans="2:9" ht="15" customHeight="1" x14ac:dyDescent="0.25">
      <c r="B24575" s="55" t="s">
        <v>283</v>
      </c>
      <c r="C24575" s="46">
        <v>4563</v>
      </c>
      <c r="D24575" s="69" t="s">
        <v>29420</v>
      </c>
      <c r="E24575" s="51"/>
      <c r="F24575" s="114" t="str">
        <f>IF(INDEX(I.Facility.P4IDNumber,4563)="","",INDEX(I.Facility.P4IDNumber,4563))</f>
        <v/>
      </c>
      <c r="G24575" s="51"/>
      <c r="H24575" s="46" t="str">
        <f>IF(AND(I.Developer.P4=TRUE,I.Facility.P4FacilityCount&gt;=4563,F24575=""),"Incomplete","Complete")</f>
        <v>Complete</v>
      </c>
      <c r="I24575" s="48" t="s">
        <v>28940</v>
      </c>
    </row>
    <row r="24576" spans="2:9" ht="15" customHeight="1" x14ac:dyDescent="0.25">
      <c r="B24576" s="55" t="s">
        <v>283</v>
      </c>
      <c r="C24576" s="46">
        <v>4564</v>
      </c>
      <c r="D24576" s="69" t="s">
        <v>29420</v>
      </c>
      <c r="E24576" s="51"/>
      <c r="F24576" s="114" t="str">
        <f>IF(INDEX(I.Facility.P4IDNumber,4564)="","",INDEX(I.Facility.P4IDNumber,4564))</f>
        <v/>
      </c>
      <c r="G24576" s="51"/>
      <c r="H24576" s="46" t="str">
        <f>IF(AND(I.Developer.P4=TRUE,I.Facility.P4FacilityCount&gt;=4564,F24576=""),"Incomplete","Complete")</f>
        <v>Complete</v>
      </c>
      <c r="I24576" s="48" t="s">
        <v>28941</v>
      </c>
    </row>
    <row r="24577" spans="2:9" ht="15" customHeight="1" x14ac:dyDescent="0.25">
      <c r="B24577" s="55" t="s">
        <v>283</v>
      </c>
      <c r="C24577" s="46">
        <v>4565</v>
      </c>
      <c r="D24577" s="69" t="s">
        <v>29420</v>
      </c>
      <c r="E24577" s="51"/>
      <c r="F24577" s="114" t="str">
        <f>IF(INDEX(I.Facility.P4IDNumber,4565)="","",INDEX(I.Facility.P4IDNumber,4565))</f>
        <v/>
      </c>
      <c r="G24577" s="51"/>
      <c r="H24577" s="46" t="str">
        <f>IF(AND(I.Developer.P4=TRUE,I.Facility.P4FacilityCount&gt;=4565,F24577=""),"Incomplete","Complete")</f>
        <v>Complete</v>
      </c>
      <c r="I24577" s="48" t="s">
        <v>28942</v>
      </c>
    </row>
    <row r="24578" spans="2:9" ht="15" customHeight="1" x14ac:dyDescent="0.25">
      <c r="B24578" s="55" t="s">
        <v>283</v>
      </c>
      <c r="C24578" s="46">
        <v>4566</v>
      </c>
      <c r="D24578" s="69" t="s">
        <v>29420</v>
      </c>
      <c r="E24578" s="51"/>
      <c r="F24578" s="114" t="str">
        <f>IF(INDEX(I.Facility.P4IDNumber,4566)="","",INDEX(I.Facility.P4IDNumber,4566))</f>
        <v/>
      </c>
      <c r="G24578" s="51"/>
      <c r="H24578" s="46" t="str">
        <f>IF(AND(I.Developer.P4=TRUE,I.Facility.P4FacilityCount&gt;=4566,F24578=""),"Incomplete","Complete")</f>
        <v>Complete</v>
      </c>
      <c r="I24578" s="48" t="s">
        <v>28943</v>
      </c>
    </row>
    <row r="24579" spans="2:9" ht="15" customHeight="1" x14ac:dyDescent="0.25">
      <c r="B24579" s="55" t="s">
        <v>283</v>
      </c>
      <c r="C24579" s="46">
        <v>4567</v>
      </c>
      <c r="D24579" s="69" t="s">
        <v>29420</v>
      </c>
      <c r="E24579" s="51"/>
      <c r="F24579" s="114" t="str">
        <f>IF(INDEX(I.Facility.P4IDNumber,4567)="","",INDEX(I.Facility.P4IDNumber,4567))</f>
        <v/>
      </c>
      <c r="G24579" s="51"/>
      <c r="H24579" s="46" t="str">
        <f>IF(AND(I.Developer.P4=TRUE,I.Facility.P4FacilityCount&gt;=4567,F24579=""),"Incomplete","Complete")</f>
        <v>Complete</v>
      </c>
      <c r="I24579" s="48" t="s">
        <v>28944</v>
      </c>
    </row>
    <row r="24580" spans="2:9" ht="15" customHeight="1" x14ac:dyDescent="0.25">
      <c r="B24580" s="55" t="s">
        <v>283</v>
      </c>
      <c r="C24580" s="46">
        <v>4568</v>
      </c>
      <c r="D24580" s="69" t="s">
        <v>29420</v>
      </c>
      <c r="E24580" s="51"/>
      <c r="F24580" s="114" t="str">
        <f>IF(INDEX(I.Facility.P4IDNumber,4568)="","",INDEX(I.Facility.P4IDNumber,4568))</f>
        <v/>
      </c>
      <c r="G24580" s="51"/>
      <c r="H24580" s="46" t="str">
        <f>IF(AND(I.Developer.P4=TRUE,I.Facility.P4FacilityCount&gt;=4568,F24580=""),"Incomplete","Complete")</f>
        <v>Complete</v>
      </c>
      <c r="I24580" s="48" t="s">
        <v>28945</v>
      </c>
    </row>
    <row r="24581" spans="2:9" ht="15" customHeight="1" x14ac:dyDescent="0.25">
      <c r="B24581" s="55" t="s">
        <v>283</v>
      </c>
      <c r="C24581" s="46">
        <v>4569</v>
      </c>
      <c r="D24581" s="69" t="s">
        <v>29420</v>
      </c>
      <c r="E24581" s="51"/>
      <c r="F24581" s="114" t="str">
        <f>IF(INDEX(I.Facility.P4IDNumber,4569)="","",INDEX(I.Facility.P4IDNumber,4569))</f>
        <v/>
      </c>
      <c r="G24581" s="51"/>
      <c r="H24581" s="46" t="str">
        <f>IF(AND(I.Developer.P4=TRUE,I.Facility.P4FacilityCount&gt;=4569,F24581=""),"Incomplete","Complete")</f>
        <v>Complete</v>
      </c>
      <c r="I24581" s="48" t="s">
        <v>28946</v>
      </c>
    </row>
    <row r="24582" spans="2:9" ht="15" customHeight="1" x14ac:dyDescent="0.25">
      <c r="B24582" s="55" t="s">
        <v>283</v>
      </c>
      <c r="C24582" s="46">
        <v>4570</v>
      </c>
      <c r="D24582" s="69" t="s">
        <v>29420</v>
      </c>
      <c r="E24582" s="51"/>
      <c r="F24582" s="114" t="str">
        <f>IF(INDEX(I.Facility.P4IDNumber,4570)="","",INDEX(I.Facility.P4IDNumber,4570))</f>
        <v/>
      </c>
      <c r="G24582" s="51"/>
      <c r="H24582" s="46" t="str">
        <f>IF(AND(I.Developer.P4=TRUE,I.Facility.P4FacilityCount&gt;=4570,F24582=""),"Incomplete","Complete")</f>
        <v>Complete</v>
      </c>
      <c r="I24582" s="48" t="s">
        <v>28947</v>
      </c>
    </row>
    <row r="24583" spans="2:9" ht="15" customHeight="1" x14ac:dyDescent="0.25">
      <c r="B24583" s="55" t="s">
        <v>283</v>
      </c>
      <c r="C24583" s="46">
        <v>4571</v>
      </c>
      <c r="D24583" s="69" t="s">
        <v>29420</v>
      </c>
      <c r="E24583" s="51"/>
      <c r="F24583" s="114" t="str">
        <f>IF(INDEX(I.Facility.P4IDNumber,4571)="","",INDEX(I.Facility.P4IDNumber,4571))</f>
        <v/>
      </c>
      <c r="G24583" s="51"/>
      <c r="H24583" s="46" t="str">
        <f>IF(AND(I.Developer.P4=TRUE,I.Facility.P4FacilityCount&gt;=4571,F24583=""),"Incomplete","Complete")</f>
        <v>Complete</v>
      </c>
      <c r="I24583" s="48" t="s">
        <v>28948</v>
      </c>
    </row>
    <row r="24584" spans="2:9" ht="15" customHeight="1" x14ac:dyDescent="0.25">
      <c r="B24584" s="55" t="s">
        <v>283</v>
      </c>
      <c r="C24584" s="46">
        <v>4572</v>
      </c>
      <c r="D24584" s="69" t="s">
        <v>29420</v>
      </c>
      <c r="E24584" s="51"/>
      <c r="F24584" s="114" t="str">
        <f>IF(INDEX(I.Facility.P4IDNumber,4572)="","",INDEX(I.Facility.P4IDNumber,4572))</f>
        <v/>
      </c>
      <c r="G24584" s="51"/>
      <c r="H24584" s="46" t="str">
        <f>IF(AND(I.Developer.P4=TRUE,I.Facility.P4FacilityCount&gt;=4572,F24584=""),"Incomplete","Complete")</f>
        <v>Complete</v>
      </c>
      <c r="I24584" s="48" t="s">
        <v>28949</v>
      </c>
    </row>
    <row r="24585" spans="2:9" ht="15" customHeight="1" x14ac:dyDescent="0.25">
      <c r="B24585" s="55" t="s">
        <v>283</v>
      </c>
      <c r="C24585" s="46">
        <v>4573</v>
      </c>
      <c r="D24585" s="69" t="s">
        <v>29420</v>
      </c>
      <c r="E24585" s="51"/>
      <c r="F24585" s="114" t="str">
        <f>IF(INDEX(I.Facility.P4IDNumber,4573)="","",INDEX(I.Facility.P4IDNumber,4573))</f>
        <v/>
      </c>
      <c r="G24585" s="51"/>
      <c r="H24585" s="46" t="str">
        <f>IF(AND(I.Developer.P4=TRUE,I.Facility.P4FacilityCount&gt;=4573,F24585=""),"Incomplete","Complete")</f>
        <v>Complete</v>
      </c>
      <c r="I24585" s="48" t="s">
        <v>28950</v>
      </c>
    </row>
    <row r="24586" spans="2:9" ht="15" customHeight="1" x14ac:dyDescent="0.25">
      <c r="B24586" s="55" t="s">
        <v>283</v>
      </c>
      <c r="C24586" s="46">
        <v>4574</v>
      </c>
      <c r="D24586" s="69" t="s">
        <v>29420</v>
      </c>
      <c r="E24586" s="51"/>
      <c r="F24586" s="114" t="str">
        <f>IF(INDEX(I.Facility.P4IDNumber,4574)="","",INDEX(I.Facility.P4IDNumber,4574))</f>
        <v/>
      </c>
      <c r="G24586" s="51"/>
      <c r="H24586" s="46" t="str">
        <f>IF(AND(I.Developer.P4=TRUE,I.Facility.P4FacilityCount&gt;=4574,F24586=""),"Incomplete","Complete")</f>
        <v>Complete</v>
      </c>
      <c r="I24586" s="48" t="s">
        <v>28951</v>
      </c>
    </row>
    <row r="24587" spans="2:9" ht="15" customHeight="1" x14ac:dyDescent="0.25">
      <c r="B24587" s="55" t="s">
        <v>283</v>
      </c>
      <c r="C24587" s="46">
        <v>4575</v>
      </c>
      <c r="D24587" s="69" t="s">
        <v>29420</v>
      </c>
      <c r="E24587" s="51"/>
      <c r="F24587" s="114" t="str">
        <f>IF(INDEX(I.Facility.P4IDNumber,4575)="","",INDEX(I.Facility.P4IDNumber,4575))</f>
        <v/>
      </c>
      <c r="G24587" s="51"/>
      <c r="H24587" s="46" t="str">
        <f>IF(AND(I.Developer.P4=TRUE,I.Facility.P4FacilityCount&gt;=4575,F24587=""),"Incomplete","Complete")</f>
        <v>Complete</v>
      </c>
      <c r="I24587" s="48" t="s">
        <v>28952</v>
      </c>
    </row>
    <row r="24588" spans="2:9" ht="15" customHeight="1" x14ac:dyDescent="0.25">
      <c r="B24588" s="55" t="s">
        <v>283</v>
      </c>
      <c r="C24588" s="46">
        <v>4576</v>
      </c>
      <c r="D24588" s="69" t="s">
        <v>29420</v>
      </c>
      <c r="E24588" s="51"/>
      <c r="F24588" s="114" t="str">
        <f>IF(INDEX(I.Facility.P4IDNumber,4576)="","",INDEX(I.Facility.P4IDNumber,4576))</f>
        <v/>
      </c>
      <c r="G24588" s="51"/>
      <c r="H24588" s="46" t="str">
        <f>IF(AND(I.Developer.P4=TRUE,I.Facility.P4FacilityCount&gt;=4576,F24588=""),"Incomplete","Complete")</f>
        <v>Complete</v>
      </c>
      <c r="I24588" s="48" t="s">
        <v>28953</v>
      </c>
    </row>
    <row r="24589" spans="2:9" ht="15" customHeight="1" x14ac:dyDescent="0.25">
      <c r="B24589" s="55" t="s">
        <v>283</v>
      </c>
      <c r="C24589" s="46">
        <v>4577</v>
      </c>
      <c r="D24589" s="69" t="s">
        <v>29420</v>
      </c>
      <c r="E24589" s="51"/>
      <c r="F24589" s="114" t="str">
        <f>IF(INDEX(I.Facility.P4IDNumber,4577)="","",INDEX(I.Facility.P4IDNumber,4577))</f>
        <v/>
      </c>
      <c r="G24589" s="51"/>
      <c r="H24589" s="46" t="str">
        <f>IF(AND(I.Developer.P4=TRUE,I.Facility.P4FacilityCount&gt;=4577,F24589=""),"Incomplete","Complete")</f>
        <v>Complete</v>
      </c>
      <c r="I24589" s="48" t="s">
        <v>28954</v>
      </c>
    </row>
    <row r="24590" spans="2:9" ht="15" customHeight="1" x14ac:dyDescent="0.25">
      <c r="B24590" s="55" t="s">
        <v>283</v>
      </c>
      <c r="C24590" s="46">
        <v>4578</v>
      </c>
      <c r="D24590" s="69" t="s">
        <v>29420</v>
      </c>
      <c r="E24590" s="51"/>
      <c r="F24590" s="114" t="str">
        <f>IF(INDEX(I.Facility.P4IDNumber,4578)="","",INDEX(I.Facility.P4IDNumber,4578))</f>
        <v/>
      </c>
      <c r="G24590" s="51"/>
      <c r="H24590" s="46" t="str">
        <f>IF(AND(I.Developer.P4=TRUE,I.Facility.P4FacilityCount&gt;=4578,F24590=""),"Incomplete","Complete")</f>
        <v>Complete</v>
      </c>
      <c r="I24590" s="48" t="s">
        <v>28955</v>
      </c>
    </row>
    <row r="24591" spans="2:9" ht="15" customHeight="1" x14ac:dyDescent="0.25">
      <c r="B24591" s="55" t="s">
        <v>283</v>
      </c>
      <c r="C24591" s="46">
        <v>4579</v>
      </c>
      <c r="D24591" s="69" t="s">
        <v>29420</v>
      </c>
      <c r="E24591" s="51"/>
      <c r="F24591" s="114" t="str">
        <f>IF(INDEX(I.Facility.P4IDNumber,4579)="","",INDEX(I.Facility.P4IDNumber,4579))</f>
        <v/>
      </c>
      <c r="G24591" s="51"/>
      <c r="H24591" s="46" t="str">
        <f>IF(AND(I.Developer.P4=TRUE,I.Facility.P4FacilityCount&gt;=4579,F24591=""),"Incomplete","Complete")</f>
        <v>Complete</v>
      </c>
      <c r="I24591" s="48" t="s">
        <v>28956</v>
      </c>
    </row>
    <row r="24592" spans="2:9" ht="15" customHeight="1" x14ac:dyDescent="0.25">
      <c r="B24592" s="55" t="s">
        <v>283</v>
      </c>
      <c r="C24592" s="46">
        <v>4580</v>
      </c>
      <c r="D24592" s="69" t="s">
        <v>29420</v>
      </c>
      <c r="E24592" s="51"/>
      <c r="F24592" s="114" t="str">
        <f>IF(INDEX(I.Facility.P4IDNumber,4580)="","",INDEX(I.Facility.P4IDNumber,4580))</f>
        <v/>
      </c>
      <c r="G24592" s="51"/>
      <c r="H24592" s="46" t="str">
        <f>IF(AND(I.Developer.P4=TRUE,I.Facility.P4FacilityCount&gt;=4580,F24592=""),"Incomplete","Complete")</f>
        <v>Complete</v>
      </c>
      <c r="I24592" s="48" t="s">
        <v>28957</v>
      </c>
    </row>
    <row r="24593" spans="2:9" ht="15" customHeight="1" x14ac:dyDescent="0.25">
      <c r="B24593" s="55" t="s">
        <v>283</v>
      </c>
      <c r="C24593" s="46">
        <v>4581</v>
      </c>
      <c r="D24593" s="69" t="s">
        <v>29420</v>
      </c>
      <c r="E24593" s="51"/>
      <c r="F24593" s="114" t="str">
        <f>IF(INDEX(I.Facility.P4IDNumber,4581)="","",INDEX(I.Facility.P4IDNumber,4581))</f>
        <v/>
      </c>
      <c r="G24593" s="51"/>
      <c r="H24593" s="46" t="str">
        <f>IF(AND(I.Developer.P4=TRUE,I.Facility.P4FacilityCount&gt;=4581,F24593=""),"Incomplete","Complete")</f>
        <v>Complete</v>
      </c>
      <c r="I24593" s="48" t="s">
        <v>28958</v>
      </c>
    </row>
    <row r="24594" spans="2:9" ht="15" customHeight="1" x14ac:dyDescent="0.25">
      <c r="B24594" s="55" t="s">
        <v>283</v>
      </c>
      <c r="C24594" s="46">
        <v>4582</v>
      </c>
      <c r="D24594" s="69" t="s">
        <v>29420</v>
      </c>
      <c r="E24594" s="51"/>
      <c r="F24594" s="114" t="str">
        <f>IF(INDEX(I.Facility.P4IDNumber,4582)="","",INDEX(I.Facility.P4IDNumber,4582))</f>
        <v/>
      </c>
      <c r="G24594" s="51"/>
      <c r="H24594" s="46" t="str">
        <f>IF(AND(I.Developer.P4=TRUE,I.Facility.P4FacilityCount&gt;=4582,F24594=""),"Incomplete","Complete")</f>
        <v>Complete</v>
      </c>
      <c r="I24594" s="48" t="s">
        <v>28959</v>
      </c>
    </row>
    <row r="24595" spans="2:9" ht="15" customHeight="1" x14ac:dyDescent="0.25">
      <c r="B24595" s="55" t="s">
        <v>283</v>
      </c>
      <c r="C24595" s="46">
        <v>4583</v>
      </c>
      <c r="D24595" s="69" t="s">
        <v>29420</v>
      </c>
      <c r="E24595" s="51"/>
      <c r="F24595" s="114" t="str">
        <f>IF(INDEX(I.Facility.P4IDNumber,4583)="","",INDEX(I.Facility.P4IDNumber,4583))</f>
        <v/>
      </c>
      <c r="G24595" s="51"/>
      <c r="H24595" s="46" t="str">
        <f>IF(AND(I.Developer.P4=TRUE,I.Facility.P4FacilityCount&gt;=4583,F24595=""),"Incomplete","Complete")</f>
        <v>Complete</v>
      </c>
      <c r="I24595" s="48" t="s">
        <v>28960</v>
      </c>
    </row>
    <row r="24596" spans="2:9" ht="15" customHeight="1" x14ac:dyDescent="0.25">
      <c r="B24596" s="55" t="s">
        <v>283</v>
      </c>
      <c r="C24596" s="46">
        <v>4584</v>
      </c>
      <c r="D24596" s="69" t="s">
        <v>29420</v>
      </c>
      <c r="E24596" s="51"/>
      <c r="F24596" s="114" t="str">
        <f>IF(INDEX(I.Facility.P4IDNumber,4584)="","",INDEX(I.Facility.P4IDNumber,4584))</f>
        <v/>
      </c>
      <c r="G24596" s="51"/>
      <c r="H24596" s="46" t="str">
        <f>IF(AND(I.Developer.P4=TRUE,I.Facility.P4FacilityCount&gt;=4584,F24596=""),"Incomplete","Complete")</f>
        <v>Complete</v>
      </c>
      <c r="I24596" s="48" t="s">
        <v>28961</v>
      </c>
    </row>
    <row r="24597" spans="2:9" ht="15" customHeight="1" x14ac:dyDescent="0.25">
      <c r="B24597" s="55" t="s">
        <v>283</v>
      </c>
      <c r="C24597" s="46">
        <v>4585</v>
      </c>
      <c r="D24597" s="69" t="s">
        <v>29420</v>
      </c>
      <c r="E24597" s="51"/>
      <c r="F24597" s="114" t="str">
        <f>IF(INDEX(I.Facility.P4IDNumber,4585)="","",INDEX(I.Facility.P4IDNumber,4585))</f>
        <v/>
      </c>
      <c r="G24597" s="51"/>
      <c r="H24597" s="46" t="str">
        <f>IF(AND(I.Developer.P4=TRUE,I.Facility.P4FacilityCount&gt;=4585,F24597=""),"Incomplete","Complete")</f>
        <v>Complete</v>
      </c>
      <c r="I24597" s="48" t="s">
        <v>28962</v>
      </c>
    </row>
    <row r="24598" spans="2:9" ht="15" customHeight="1" x14ac:dyDescent="0.25">
      <c r="B24598" s="55" t="s">
        <v>283</v>
      </c>
      <c r="C24598" s="46">
        <v>4586</v>
      </c>
      <c r="D24598" s="69" t="s">
        <v>29420</v>
      </c>
      <c r="E24598" s="51"/>
      <c r="F24598" s="114" t="str">
        <f>IF(INDEX(I.Facility.P4IDNumber,4586)="","",INDEX(I.Facility.P4IDNumber,4586))</f>
        <v/>
      </c>
      <c r="G24598" s="51"/>
      <c r="H24598" s="46" t="str">
        <f>IF(AND(I.Developer.P4=TRUE,I.Facility.P4FacilityCount&gt;=4586,F24598=""),"Incomplete","Complete")</f>
        <v>Complete</v>
      </c>
      <c r="I24598" s="48" t="s">
        <v>28963</v>
      </c>
    </row>
    <row r="24599" spans="2:9" ht="15" customHeight="1" x14ac:dyDescent="0.25">
      <c r="B24599" s="55" t="s">
        <v>283</v>
      </c>
      <c r="C24599" s="46">
        <v>4587</v>
      </c>
      <c r="D24599" s="69" t="s">
        <v>29420</v>
      </c>
      <c r="E24599" s="51"/>
      <c r="F24599" s="114" t="str">
        <f>IF(INDEX(I.Facility.P4IDNumber,4587)="","",INDEX(I.Facility.P4IDNumber,4587))</f>
        <v/>
      </c>
      <c r="G24599" s="51"/>
      <c r="H24599" s="46" t="str">
        <f>IF(AND(I.Developer.P4=TRUE,I.Facility.P4FacilityCount&gt;=4587,F24599=""),"Incomplete","Complete")</f>
        <v>Complete</v>
      </c>
      <c r="I24599" s="48" t="s">
        <v>28964</v>
      </c>
    </row>
    <row r="24600" spans="2:9" ht="15" customHeight="1" x14ac:dyDescent="0.25">
      <c r="B24600" s="55" t="s">
        <v>283</v>
      </c>
      <c r="C24600" s="46">
        <v>4588</v>
      </c>
      <c r="D24600" s="69" t="s">
        <v>29420</v>
      </c>
      <c r="E24600" s="51"/>
      <c r="F24600" s="114" t="str">
        <f>IF(INDEX(I.Facility.P4IDNumber,4588)="","",INDEX(I.Facility.P4IDNumber,4588))</f>
        <v/>
      </c>
      <c r="G24600" s="51"/>
      <c r="H24600" s="46" t="str">
        <f>IF(AND(I.Developer.P4=TRUE,I.Facility.P4FacilityCount&gt;=4588,F24600=""),"Incomplete","Complete")</f>
        <v>Complete</v>
      </c>
      <c r="I24600" s="48" t="s">
        <v>28965</v>
      </c>
    </row>
    <row r="24601" spans="2:9" ht="15" customHeight="1" x14ac:dyDescent="0.25">
      <c r="B24601" s="55" t="s">
        <v>283</v>
      </c>
      <c r="C24601" s="46">
        <v>4589</v>
      </c>
      <c r="D24601" s="69" t="s">
        <v>29420</v>
      </c>
      <c r="E24601" s="51"/>
      <c r="F24601" s="114" t="str">
        <f>IF(INDEX(I.Facility.P4IDNumber,4589)="","",INDEX(I.Facility.P4IDNumber,4589))</f>
        <v/>
      </c>
      <c r="G24601" s="51"/>
      <c r="H24601" s="46" t="str">
        <f>IF(AND(I.Developer.P4=TRUE,I.Facility.P4FacilityCount&gt;=4589,F24601=""),"Incomplete","Complete")</f>
        <v>Complete</v>
      </c>
      <c r="I24601" s="48" t="s">
        <v>28966</v>
      </c>
    </row>
    <row r="24602" spans="2:9" ht="15" customHeight="1" x14ac:dyDescent="0.25">
      <c r="B24602" s="55" t="s">
        <v>283</v>
      </c>
      <c r="C24602" s="46">
        <v>4590</v>
      </c>
      <c r="D24602" s="69" t="s">
        <v>29420</v>
      </c>
      <c r="E24602" s="51"/>
      <c r="F24602" s="114" t="str">
        <f>IF(INDEX(I.Facility.P4IDNumber,4590)="","",INDEX(I.Facility.P4IDNumber,4590))</f>
        <v/>
      </c>
      <c r="G24602" s="51"/>
      <c r="H24602" s="46" t="str">
        <f>IF(AND(I.Developer.P4=TRUE,I.Facility.P4FacilityCount&gt;=4590,F24602=""),"Incomplete","Complete")</f>
        <v>Complete</v>
      </c>
      <c r="I24602" s="48" t="s">
        <v>28967</v>
      </c>
    </row>
    <row r="24603" spans="2:9" ht="15" customHeight="1" x14ac:dyDescent="0.25">
      <c r="B24603" s="55" t="s">
        <v>283</v>
      </c>
      <c r="C24603" s="46">
        <v>4591</v>
      </c>
      <c r="D24603" s="69" t="s">
        <v>29420</v>
      </c>
      <c r="E24603" s="51"/>
      <c r="F24603" s="114" t="str">
        <f>IF(INDEX(I.Facility.P4IDNumber,4591)="","",INDEX(I.Facility.P4IDNumber,4591))</f>
        <v/>
      </c>
      <c r="G24603" s="51"/>
      <c r="H24603" s="46" t="str">
        <f>IF(AND(I.Developer.P4=TRUE,I.Facility.P4FacilityCount&gt;=4591,F24603=""),"Incomplete","Complete")</f>
        <v>Complete</v>
      </c>
      <c r="I24603" s="48" t="s">
        <v>28968</v>
      </c>
    </row>
    <row r="24604" spans="2:9" ht="15" customHeight="1" x14ac:dyDescent="0.25">
      <c r="B24604" s="55" t="s">
        <v>283</v>
      </c>
      <c r="C24604" s="46">
        <v>4592</v>
      </c>
      <c r="D24604" s="69" t="s">
        <v>29420</v>
      </c>
      <c r="E24604" s="51"/>
      <c r="F24604" s="114" t="str">
        <f>IF(INDEX(I.Facility.P4IDNumber,4592)="","",INDEX(I.Facility.P4IDNumber,4592))</f>
        <v/>
      </c>
      <c r="G24604" s="51"/>
      <c r="H24604" s="46" t="str">
        <f>IF(AND(I.Developer.P4=TRUE,I.Facility.P4FacilityCount&gt;=4592,F24604=""),"Incomplete","Complete")</f>
        <v>Complete</v>
      </c>
      <c r="I24604" s="48" t="s">
        <v>28969</v>
      </c>
    </row>
    <row r="24605" spans="2:9" ht="15" customHeight="1" x14ac:dyDescent="0.25">
      <c r="B24605" s="55" t="s">
        <v>283</v>
      </c>
      <c r="C24605" s="46">
        <v>4593</v>
      </c>
      <c r="D24605" s="69" t="s">
        <v>29420</v>
      </c>
      <c r="E24605" s="51"/>
      <c r="F24605" s="114" t="str">
        <f>IF(INDEX(I.Facility.P4IDNumber,4593)="","",INDEX(I.Facility.P4IDNumber,4593))</f>
        <v/>
      </c>
      <c r="G24605" s="51"/>
      <c r="H24605" s="46" t="str">
        <f>IF(AND(I.Developer.P4=TRUE,I.Facility.P4FacilityCount&gt;=4593,F24605=""),"Incomplete","Complete")</f>
        <v>Complete</v>
      </c>
      <c r="I24605" s="48" t="s">
        <v>28970</v>
      </c>
    </row>
    <row r="24606" spans="2:9" ht="15" customHeight="1" x14ac:dyDescent="0.25">
      <c r="B24606" s="55" t="s">
        <v>283</v>
      </c>
      <c r="C24606" s="46">
        <v>4594</v>
      </c>
      <c r="D24606" s="69" t="s">
        <v>29420</v>
      </c>
      <c r="E24606" s="51"/>
      <c r="F24606" s="114" t="str">
        <f>IF(INDEX(I.Facility.P4IDNumber,4594)="","",INDEX(I.Facility.P4IDNumber,4594))</f>
        <v/>
      </c>
      <c r="G24606" s="51"/>
      <c r="H24606" s="46" t="str">
        <f>IF(AND(I.Developer.P4=TRUE,I.Facility.P4FacilityCount&gt;=4594,F24606=""),"Incomplete","Complete")</f>
        <v>Complete</v>
      </c>
      <c r="I24606" s="48" t="s">
        <v>28971</v>
      </c>
    </row>
    <row r="24607" spans="2:9" ht="15" customHeight="1" x14ac:dyDescent="0.25">
      <c r="B24607" s="55" t="s">
        <v>283</v>
      </c>
      <c r="C24607" s="46">
        <v>4595</v>
      </c>
      <c r="D24607" s="69" t="s">
        <v>29420</v>
      </c>
      <c r="E24607" s="51"/>
      <c r="F24607" s="114" t="str">
        <f>IF(INDEX(I.Facility.P4IDNumber,4595)="","",INDEX(I.Facility.P4IDNumber,4595))</f>
        <v/>
      </c>
      <c r="G24607" s="51"/>
      <c r="H24607" s="46" t="str">
        <f>IF(AND(I.Developer.P4=TRUE,I.Facility.P4FacilityCount&gt;=4595,F24607=""),"Incomplete","Complete")</f>
        <v>Complete</v>
      </c>
      <c r="I24607" s="48" t="s">
        <v>28972</v>
      </c>
    </row>
    <row r="24608" spans="2:9" ht="15" customHeight="1" x14ac:dyDescent="0.25">
      <c r="B24608" s="55" t="s">
        <v>283</v>
      </c>
      <c r="C24608" s="46">
        <v>4596</v>
      </c>
      <c r="D24608" s="69" t="s">
        <v>29420</v>
      </c>
      <c r="E24608" s="51"/>
      <c r="F24608" s="114" t="str">
        <f>IF(INDEX(I.Facility.P4IDNumber,4596)="","",INDEX(I.Facility.P4IDNumber,4596))</f>
        <v/>
      </c>
      <c r="G24608" s="51"/>
      <c r="H24608" s="46" t="str">
        <f>IF(AND(I.Developer.P4=TRUE,I.Facility.P4FacilityCount&gt;=4596,F24608=""),"Incomplete","Complete")</f>
        <v>Complete</v>
      </c>
      <c r="I24608" s="48" t="s">
        <v>28973</v>
      </c>
    </row>
    <row r="24609" spans="2:9" ht="15" customHeight="1" x14ac:dyDescent="0.25">
      <c r="B24609" s="55" t="s">
        <v>283</v>
      </c>
      <c r="C24609" s="46">
        <v>4597</v>
      </c>
      <c r="D24609" s="69" t="s">
        <v>29420</v>
      </c>
      <c r="E24609" s="51"/>
      <c r="F24609" s="114" t="str">
        <f>IF(INDEX(I.Facility.P4IDNumber,4597)="","",INDEX(I.Facility.P4IDNumber,4597))</f>
        <v/>
      </c>
      <c r="G24609" s="51"/>
      <c r="H24609" s="46" t="str">
        <f>IF(AND(I.Developer.P4=TRUE,I.Facility.P4FacilityCount&gt;=4597,F24609=""),"Incomplete","Complete")</f>
        <v>Complete</v>
      </c>
      <c r="I24609" s="48" t="s">
        <v>28974</v>
      </c>
    </row>
    <row r="24610" spans="2:9" ht="15" customHeight="1" x14ac:dyDescent="0.25">
      <c r="B24610" s="55" t="s">
        <v>283</v>
      </c>
      <c r="C24610" s="46">
        <v>4598</v>
      </c>
      <c r="D24610" s="69" t="s">
        <v>29420</v>
      </c>
      <c r="E24610" s="51"/>
      <c r="F24610" s="114" t="str">
        <f>IF(INDEX(I.Facility.P4IDNumber,4598)="","",INDEX(I.Facility.P4IDNumber,4598))</f>
        <v/>
      </c>
      <c r="G24610" s="51"/>
      <c r="H24610" s="46" t="str">
        <f>IF(AND(I.Developer.P4=TRUE,I.Facility.P4FacilityCount&gt;=4598,F24610=""),"Incomplete","Complete")</f>
        <v>Complete</v>
      </c>
      <c r="I24610" s="48" t="s">
        <v>28975</v>
      </c>
    </row>
    <row r="24611" spans="2:9" ht="15" customHeight="1" x14ac:dyDescent="0.25">
      <c r="B24611" s="55" t="s">
        <v>283</v>
      </c>
      <c r="C24611" s="46">
        <v>4599</v>
      </c>
      <c r="D24611" s="69" t="s">
        <v>29420</v>
      </c>
      <c r="E24611" s="51"/>
      <c r="F24611" s="114" t="str">
        <f>IF(INDEX(I.Facility.P4IDNumber,4599)="","",INDEX(I.Facility.P4IDNumber,4599))</f>
        <v/>
      </c>
      <c r="G24611" s="51"/>
      <c r="H24611" s="46" t="str">
        <f>IF(AND(I.Developer.P4=TRUE,I.Facility.P4FacilityCount&gt;=4599,F24611=""),"Incomplete","Complete")</f>
        <v>Complete</v>
      </c>
      <c r="I24611" s="48" t="s">
        <v>28976</v>
      </c>
    </row>
    <row r="24612" spans="2:9" ht="15" customHeight="1" x14ac:dyDescent="0.25">
      <c r="B24612" s="55" t="s">
        <v>283</v>
      </c>
      <c r="C24612" s="46">
        <v>4600</v>
      </c>
      <c r="D24612" s="69" t="s">
        <v>29420</v>
      </c>
      <c r="E24612" s="51"/>
      <c r="F24612" s="114" t="str">
        <f>IF(INDEX(I.Facility.P4IDNumber,4600)="","",INDEX(I.Facility.P4IDNumber,4600))</f>
        <v/>
      </c>
      <c r="G24612" s="51"/>
      <c r="H24612" s="46" t="str">
        <f>IF(AND(I.Developer.P4=TRUE,I.Facility.P4FacilityCount&gt;=4600,F24612=""),"Incomplete","Complete")</f>
        <v>Complete</v>
      </c>
      <c r="I24612" s="48" t="s">
        <v>28977</v>
      </c>
    </row>
    <row r="24613" spans="2:9" ht="15" customHeight="1" x14ac:dyDescent="0.25">
      <c r="B24613" s="55" t="s">
        <v>283</v>
      </c>
      <c r="C24613" s="46">
        <v>4601</v>
      </c>
      <c r="D24613" s="69" t="s">
        <v>29420</v>
      </c>
      <c r="E24613" s="51"/>
      <c r="F24613" s="114" t="str">
        <f>IF(INDEX(I.Facility.P4IDNumber,4601)="","",INDEX(I.Facility.P4IDNumber,4601))</f>
        <v/>
      </c>
      <c r="G24613" s="51"/>
      <c r="H24613" s="46" t="str">
        <f>IF(AND(I.Developer.P4=TRUE,I.Facility.P4FacilityCount&gt;=4601,F24613=""),"Incomplete","Complete")</f>
        <v>Complete</v>
      </c>
      <c r="I24613" s="48" t="s">
        <v>28978</v>
      </c>
    </row>
    <row r="24614" spans="2:9" ht="15" customHeight="1" x14ac:dyDescent="0.25">
      <c r="B24614" s="55" t="s">
        <v>283</v>
      </c>
      <c r="C24614" s="46">
        <v>4602</v>
      </c>
      <c r="D24614" s="69" t="s">
        <v>29420</v>
      </c>
      <c r="E24614" s="51"/>
      <c r="F24614" s="114" t="str">
        <f>IF(INDEX(I.Facility.P4IDNumber,4602)="","",INDEX(I.Facility.P4IDNumber,4602))</f>
        <v/>
      </c>
      <c r="G24614" s="51"/>
      <c r="H24614" s="46" t="str">
        <f>IF(AND(I.Developer.P4=TRUE,I.Facility.P4FacilityCount&gt;=4602,F24614=""),"Incomplete","Complete")</f>
        <v>Complete</v>
      </c>
      <c r="I24614" s="48" t="s">
        <v>28979</v>
      </c>
    </row>
    <row r="24615" spans="2:9" ht="15" customHeight="1" x14ac:dyDescent="0.25">
      <c r="B24615" s="55" t="s">
        <v>283</v>
      </c>
      <c r="C24615" s="46">
        <v>4603</v>
      </c>
      <c r="D24615" s="69" t="s">
        <v>29420</v>
      </c>
      <c r="E24615" s="51"/>
      <c r="F24615" s="114" t="str">
        <f>IF(INDEX(I.Facility.P4IDNumber,4603)="","",INDEX(I.Facility.P4IDNumber,4603))</f>
        <v/>
      </c>
      <c r="G24615" s="51"/>
      <c r="H24615" s="46" t="str">
        <f>IF(AND(I.Developer.P4=TRUE,I.Facility.P4FacilityCount&gt;=4603,F24615=""),"Incomplete","Complete")</f>
        <v>Complete</v>
      </c>
      <c r="I24615" s="48" t="s">
        <v>28980</v>
      </c>
    </row>
    <row r="24616" spans="2:9" ht="15" customHeight="1" x14ac:dyDescent="0.25">
      <c r="B24616" s="55" t="s">
        <v>283</v>
      </c>
      <c r="C24616" s="46">
        <v>4604</v>
      </c>
      <c r="D24616" s="69" t="s">
        <v>29420</v>
      </c>
      <c r="E24616" s="51"/>
      <c r="F24616" s="114" t="str">
        <f>IF(INDEX(I.Facility.P4IDNumber,4604)="","",INDEX(I.Facility.P4IDNumber,4604))</f>
        <v/>
      </c>
      <c r="G24616" s="51"/>
      <c r="H24616" s="46" t="str">
        <f>IF(AND(I.Developer.P4=TRUE,I.Facility.P4FacilityCount&gt;=4604,F24616=""),"Incomplete","Complete")</f>
        <v>Complete</v>
      </c>
      <c r="I24616" s="48" t="s">
        <v>28981</v>
      </c>
    </row>
    <row r="24617" spans="2:9" ht="15" customHeight="1" x14ac:dyDescent="0.25">
      <c r="B24617" s="55" t="s">
        <v>283</v>
      </c>
      <c r="C24617" s="46">
        <v>4605</v>
      </c>
      <c r="D24617" s="69" t="s">
        <v>29420</v>
      </c>
      <c r="E24617" s="51"/>
      <c r="F24617" s="114" t="str">
        <f>IF(INDEX(I.Facility.P4IDNumber,4605)="","",INDEX(I.Facility.P4IDNumber,4605))</f>
        <v/>
      </c>
      <c r="G24617" s="51"/>
      <c r="H24617" s="46" t="str">
        <f>IF(AND(I.Developer.P4=TRUE,I.Facility.P4FacilityCount&gt;=4605,F24617=""),"Incomplete","Complete")</f>
        <v>Complete</v>
      </c>
      <c r="I24617" s="48" t="s">
        <v>28982</v>
      </c>
    </row>
    <row r="24618" spans="2:9" ht="15" customHeight="1" x14ac:dyDescent="0.25">
      <c r="B24618" s="55" t="s">
        <v>283</v>
      </c>
      <c r="C24618" s="46">
        <v>4606</v>
      </c>
      <c r="D24618" s="69" t="s">
        <v>29420</v>
      </c>
      <c r="E24618" s="51"/>
      <c r="F24618" s="114" t="str">
        <f>IF(INDEX(I.Facility.P4IDNumber,4606)="","",INDEX(I.Facility.P4IDNumber,4606))</f>
        <v/>
      </c>
      <c r="G24618" s="51"/>
      <c r="H24618" s="46" t="str">
        <f>IF(AND(I.Developer.P4=TRUE,I.Facility.P4FacilityCount&gt;=4606,F24618=""),"Incomplete","Complete")</f>
        <v>Complete</v>
      </c>
      <c r="I24618" s="48" t="s">
        <v>28983</v>
      </c>
    </row>
    <row r="24619" spans="2:9" ht="15" customHeight="1" x14ac:dyDescent="0.25">
      <c r="B24619" s="55" t="s">
        <v>283</v>
      </c>
      <c r="C24619" s="46">
        <v>4607</v>
      </c>
      <c r="D24619" s="69" t="s">
        <v>29420</v>
      </c>
      <c r="E24619" s="51"/>
      <c r="F24619" s="114" t="str">
        <f>IF(INDEX(I.Facility.P4IDNumber,4607)="","",INDEX(I.Facility.P4IDNumber,4607))</f>
        <v/>
      </c>
      <c r="G24619" s="51"/>
      <c r="H24619" s="46" t="str">
        <f>IF(AND(I.Developer.P4=TRUE,I.Facility.P4FacilityCount&gt;=4607,F24619=""),"Incomplete","Complete")</f>
        <v>Complete</v>
      </c>
      <c r="I24619" s="48" t="s">
        <v>28984</v>
      </c>
    </row>
    <row r="24620" spans="2:9" ht="15" customHeight="1" x14ac:dyDescent="0.25">
      <c r="B24620" s="55" t="s">
        <v>283</v>
      </c>
      <c r="C24620" s="46">
        <v>4608</v>
      </c>
      <c r="D24620" s="69" t="s">
        <v>29420</v>
      </c>
      <c r="E24620" s="51"/>
      <c r="F24620" s="114" t="str">
        <f>IF(INDEX(I.Facility.P4IDNumber,4608)="","",INDEX(I.Facility.P4IDNumber,4608))</f>
        <v/>
      </c>
      <c r="G24620" s="51"/>
      <c r="H24620" s="46" t="str">
        <f>IF(AND(I.Developer.P4=TRUE,I.Facility.P4FacilityCount&gt;=4608,F24620=""),"Incomplete","Complete")</f>
        <v>Complete</v>
      </c>
      <c r="I24620" s="48" t="s">
        <v>28985</v>
      </c>
    </row>
    <row r="24621" spans="2:9" ht="15" customHeight="1" x14ac:dyDescent="0.25">
      <c r="B24621" s="55" t="s">
        <v>283</v>
      </c>
      <c r="C24621" s="46">
        <v>4609</v>
      </c>
      <c r="D24621" s="69" t="s">
        <v>29420</v>
      </c>
      <c r="E24621" s="51"/>
      <c r="F24621" s="114" t="str">
        <f>IF(INDEX(I.Facility.P4IDNumber,4609)="","",INDEX(I.Facility.P4IDNumber,4609))</f>
        <v/>
      </c>
      <c r="G24621" s="51"/>
      <c r="H24621" s="46" t="str">
        <f>IF(AND(I.Developer.P4=TRUE,I.Facility.P4FacilityCount&gt;=4609,F24621=""),"Incomplete","Complete")</f>
        <v>Complete</v>
      </c>
      <c r="I24621" s="48" t="s">
        <v>28986</v>
      </c>
    </row>
    <row r="24622" spans="2:9" ht="15" customHeight="1" x14ac:dyDescent="0.25">
      <c r="B24622" s="55" t="s">
        <v>283</v>
      </c>
      <c r="C24622" s="46">
        <v>4610</v>
      </c>
      <c r="D24622" s="69" t="s">
        <v>29420</v>
      </c>
      <c r="E24622" s="51"/>
      <c r="F24622" s="114" t="str">
        <f>IF(INDEX(I.Facility.P4IDNumber,4610)="","",INDEX(I.Facility.P4IDNumber,4610))</f>
        <v/>
      </c>
      <c r="G24622" s="51"/>
      <c r="H24622" s="46" t="str">
        <f>IF(AND(I.Developer.P4=TRUE,I.Facility.P4FacilityCount&gt;=4610,F24622=""),"Incomplete","Complete")</f>
        <v>Complete</v>
      </c>
      <c r="I24622" s="48" t="s">
        <v>28987</v>
      </c>
    </row>
    <row r="24623" spans="2:9" ht="15" customHeight="1" x14ac:dyDescent="0.25">
      <c r="B24623" s="55" t="s">
        <v>283</v>
      </c>
      <c r="C24623" s="46">
        <v>4611</v>
      </c>
      <c r="D24623" s="69" t="s">
        <v>29420</v>
      </c>
      <c r="E24623" s="51"/>
      <c r="F24623" s="114" t="str">
        <f>IF(INDEX(I.Facility.P4IDNumber,4611)="","",INDEX(I.Facility.P4IDNumber,4611))</f>
        <v/>
      </c>
      <c r="G24623" s="51"/>
      <c r="H24623" s="46" t="str">
        <f>IF(AND(I.Developer.P4=TRUE,I.Facility.P4FacilityCount&gt;=4611,F24623=""),"Incomplete","Complete")</f>
        <v>Complete</v>
      </c>
      <c r="I24623" s="48" t="s">
        <v>28988</v>
      </c>
    </row>
    <row r="24624" spans="2:9" ht="15" customHeight="1" x14ac:dyDescent="0.25">
      <c r="B24624" s="55" t="s">
        <v>283</v>
      </c>
      <c r="C24624" s="46">
        <v>4612</v>
      </c>
      <c r="D24624" s="69" t="s">
        <v>29420</v>
      </c>
      <c r="E24624" s="51"/>
      <c r="F24624" s="114" t="str">
        <f>IF(INDEX(I.Facility.P4IDNumber,4612)="","",INDEX(I.Facility.P4IDNumber,4612))</f>
        <v/>
      </c>
      <c r="G24624" s="51"/>
      <c r="H24624" s="46" t="str">
        <f>IF(AND(I.Developer.P4=TRUE,I.Facility.P4FacilityCount&gt;=4612,F24624=""),"Incomplete","Complete")</f>
        <v>Complete</v>
      </c>
      <c r="I24624" s="48" t="s">
        <v>28989</v>
      </c>
    </row>
    <row r="24625" spans="2:9" ht="15" customHeight="1" x14ac:dyDescent="0.25">
      <c r="B24625" s="55" t="s">
        <v>283</v>
      </c>
      <c r="C24625" s="46">
        <v>4613</v>
      </c>
      <c r="D24625" s="69" t="s">
        <v>29420</v>
      </c>
      <c r="E24625" s="51"/>
      <c r="F24625" s="114" t="str">
        <f>IF(INDEX(I.Facility.P4IDNumber,4613)="","",INDEX(I.Facility.P4IDNumber,4613))</f>
        <v/>
      </c>
      <c r="G24625" s="51"/>
      <c r="H24625" s="46" t="str">
        <f>IF(AND(I.Developer.P4=TRUE,I.Facility.P4FacilityCount&gt;=4613,F24625=""),"Incomplete","Complete")</f>
        <v>Complete</v>
      </c>
      <c r="I24625" s="48" t="s">
        <v>28990</v>
      </c>
    </row>
    <row r="24626" spans="2:9" ht="15" customHeight="1" x14ac:dyDescent="0.25">
      <c r="B24626" s="55" t="s">
        <v>283</v>
      </c>
      <c r="C24626" s="46">
        <v>4614</v>
      </c>
      <c r="D24626" s="69" t="s">
        <v>29420</v>
      </c>
      <c r="E24626" s="51"/>
      <c r="F24626" s="114" t="str">
        <f>IF(INDEX(I.Facility.P4IDNumber,4614)="","",INDEX(I.Facility.P4IDNumber,4614))</f>
        <v/>
      </c>
      <c r="G24626" s="51"/>
      <c r="H24626" s="46" t="str">
        <f>IF(AND(I.Developer.P4=TRUE,I.Facility.P4FacilityCount&gt;=4614,F24626=""),"Incomplete","Complete")</f>
        <v>Complete</v>
      </c>
      <c r="I24626" s="48" t="s">
        <v>28991</v>
      </c>
    </row>
    <row r="24627" spans="2:9" ht="15" customHeight="1" x14ac:dyDescent="0.25">
      <c r="B24627" s="55" t="s">
        <v>283</v>
      </c>
      <c r="C24627" s="46">
        <v>4615</v>
      </c>
      <c r="D24627" s="69" t="s">
        <v>29420</v>
      </c>
      <c r="E24627" s="51"/>
      <c r="F24627" s="114" t="str">
        <f>IF(INDEX(I.Facility.P4IDNumber,4615)="","",INDEX(I.Facility.P4IDNumber,4615))</f>
        <v/>
      </c>
      <c r="G24627" s="51"/>
      <c r="H24627" s="46" t="str">
        <f>IF(AND(I.Developer.P4=TRUE,I.Facility.P4FacilityCount&gt;=4615,F24627=""),"Incomplete","Complete")</f>
        <v>Complete</v>
      </c>
      <c r="I24627" s="48" t="s">
        <v>28992</v>
      </c>
    </row>
    <row r="24628" spans="2:9" ht="15" customHeight="1" x14ac:dyDescent="0.25">
      <c r="B24628" s="55" t="s">
        <v>283</v>
      </c>
      <c r="C24628" s="46">
        <v>4616</v>
      </c>
      <c r="D24628" s="69" t="s">
        <v>29420</v>
      </c>
      <c r="E24628" s="51"/>
      <c r="F24628" s="114" t="str">
        <f>IF(INDEX(I.Facility.P4IDNumber,4616)="","",INDEX(I.Facility.P4IDNumber,4616))</f>
        <v/>
      </c>
      <c r="G24628" s="51"/>
      <c r="H24628" s="46" t="str">
        <f>IF(AND(I.Developer.P4=TRUE,I.Facility.P4FacilityCount&gt;=4616,F24628=""),"Incomplete","Complete")</f>
        <v>Complete</v>
      </c>
      <c r="I24628" s="48" t="s">
        <v>28993</v>
      </c>
    </row>
    <row r="24629" spans="2:9" ht="15" customHeight="1" x14ac:dyDescent="0.25">
      <c r="B24629" s="55" t="s">
        <v>283</v>
      </c>
      <c r="C24629" s="46">
        <v>4617</v>
      </c>
      <c r="D24629" s="69" t="s">
        <v>29420</v>
      </c>
      <c r="E24629" s="51"/>
      <c r="F24629" s="114" t="str">
        <f>IF(INDEX(I.Facility.P4IDNumber,4617)="","",INDEX(I.Facility.P4IDNumber,4617))</f>
        <v/>
      </c>
      <c r="G24629" s="51"/>
      <c r="H24629" s="46" t="str">
        <f>IF(AND(I.Developer.P4=TRUE,I.Facility.P4FacilityCount&gt;=4617,F24629=""),"Incomplete","Complete")</f>
        <v>Complete</v>
      </c>
      <c r="I24629" s="48" t="s">
        <v>28994</v>
      </c>
    </row>
    <row r="24630" spans="2:9" ht="15" customHeight="1" x14ac:dyDescent="0.25">
      <c r="B24630" s="55" t="s">
        <v>283</v>
      </c>
      <c r="C24630" s="46">
        <v>4618</v>
      </c>
      <c r="D24630" s="69" t="s">
        <v>29420</v>
      </c>
      <c r="E24630" s="51"/>
      <c r="F24630" s="114" t="str">
        <f>IF(INDEX(I.Facility.P4IDNumber,4618)="","",INDEX(I.Facility.P4IDNumber,4618))</f>
        <v/>
      </c>
      <c r="G24630" s="51"/>
      <c r="H24630" s="46" t="str">
        <f>IF(AND(I.Developer.P4=TRUE,I.Facility.P4FacilityCount&gt;=4618,F24630=""),"Incomplete","Complete")</f>
        <v>Complete</v>
      </c>
      <c r="I24630" s="48" t="s">
        <v>28995</v>
      </c>
    </row>
    <row r="24631" spans="2:9" ht="15" customHeight="1" x14ac:dyDescent="0.25">
      <c r="B24631" s="55" t="s">
        <v>283</v>
      </c>
      <c r="C24631" s="46">
        <v>4619</v>
      </c>
      <c r="D24631" s="69" t="s">
        <v>29420</v>
      </c>
      <c r="E24631" s="51"/>
      <c r="F24631" s="114" t="str">
        <f>IF(INDEX(I.Facility.P4IDNumber,4619)="","",INDEX(I.Facility.P4IDNumber,4619))</f>
        <v/>
      </c>
      <c r="G24631" s="51"/>
      <c r="H24631" s="46" t="str">
        <f>IF(AND(I.Developer.P4=TRUE,I.Facility.P4FacilityCount&gt;=4619,F24631=""),"Incomplete","Complete")</f>
        <v>Complete</v>
      </c>
      <c r="I24631" s="48" t="s">
        <v>28996</v>
      </c>
    </row>
    <row r="24632" spans="2:9" ht="15" customHeight="1" x14ac:dyDescent="0.25">
      <c r="B24632" s="55" t="s">
        <v>283</v>
      </c>
      <c r="C24632" s="46">
        <v>4620</v>
      </c>
      <c r="D24632" s="69" t="s">
        <v>29420</v>
      </c>
      <c r="E24632" s="51"/>
      <c r="F24632" s="114" t="str">
        <f>IF(INDEX(I.Facility.P4IDNumber,4620)="","",INDEX(I.Facility.P4IDNumber,4620))</f>
        <v/>
      </c>
      <c r="G24632" s="51"/>
      <c r="H24632" s="46" t="str">
        <f>IF(AND(I.Developer.P4=TRUE,I.Facility.P4FacilityCount&gt;=4620,F24632=""),"Incomplete","Complete")</f>
        <v>Complete</v>
      </c>
      <c r="I24632" s="48" t="s">
        <v>28997</v>
      </c>
    </row>
    <row r="24633" spans="2:9" ht="15" customHeight="1" x14ac:dyDescent="0.25">
      <c r="B24633" s="55" t="s">
        <v>283</v>
      </c>
      <c r="C24633" s="46">
        <v>4621</v>
      </c>
      <c r="D24633" s="69" t="s">
        <v>29420</v>
      </c>
      <c r="E24633" s="51"/>
      <c r="F24633" s="114" t="str">
        <f>IF(INDEX(I.Facility.P4IDNumber,4621)="","",INDEX(I.Facility.P4IDNumber,4621))</f>
        <v/>
      </c>
      <c r="G24633" s="51"/>
      <c r="H24633" s="46" t="str">
        <f>IF(AND(I.Developer.P4=TRUE,I.Facility.P4FacilityCount&gt;=4621,F24633=""),"Incomplete","Complete")</f>
        <v>Complete</v>
      </c>
      <c r="I24633" s="48" t="s">
        <v>28998</v>
      </c>
    </row>
    <row r="24634" spans="2:9" ht="15" customHeight="1" x14ac:dyDescent="0.25">
      <c r="B24634" s="55" t="s">
        <v>283</v>
      </c>
      <c r="C24634" s="46">
        <v>4622</v>
      </c>
      <c r="D24634" s="69" t="s">
        <v>29420</v>
      </c>
      <c r="E24634" s="51"/>
      <c r="F24634" s="114" t="str">
        <f>IF(INDEX(I.Facility.P4IDNumber,4622)="","",INDEX(I.Facility.P4IDNumber,4622))</f>
        <v/>
      </c>
      <c r="G24634" s="51"/>
      <c r="H24634" s="46" t="str">
        <f>IF(AND(I.Developer.P4=TRUE,I.Facility.P4FacilityCount&gt;=4622,F24634=""),"Incomplete","Complete")</f>
        <v>Complete</v>
      </c>
      <c r="I24634" s="48" t="s">
        <v>28999</v>
      </c>
    </row>
    <row r="24635" spans="2:9" ht="15" customHeight="1" x14ac:dyDescent="0.25">
      <c r="B24635" s="55" t="s">
        <v>283</v>
      </c>
      <c r="C24635" s="46">
        <v>4623</v>
      </c>
      <c r="D24635" s="69" t="s">
        <v>29420</v>
      </c>
      <c r="E24635" s="51"/>
      <c r="F24635" s="114" t="str">
        <f>IF(INDEX(I.Facility.P4IDNumber,4623)="","",INDEX(I.Facility.P4IDNumber,4623))</f>
        <v/>
      </c>
      <c r="G24635" s="51"/>
      <c r="H24635" s="46" t="str">
        <f>IF(AND(I.Developer.P4=TRUE,I.Facility.P4FacilityCount&gt;=4623,F24635=""),"Incomplete","Complete")</f>
        <v>Complete</v>
      </c>
      <c r="I24635" s="48" t="s">
        <v>29000</v>
      </c>
    </row>
    <row r="24636" spans="2:9" ht="15" customHeight="1" x14ac:dyDescent="0.25">
      <c r="B24636" s="55" t="s">
        <v>283</v>
      </c>
      <c r="C24636" s="46">
        <v>4624</v>
      </c>
      <c r="D24636" s="69" t="s">
        <v>29420</v>
      </c>
      <c r="E24636" s="51"/>
      <c r="F24636" s="114" t="str">
        <f>IF(INDEX(I.Facility.P4IDNumber,4624)="","",INDEX(I.Facility.P4IDNumber,4624))</f>
        <v/>
      </c>
      <c r="G24636" s="51"/>
      <c r="H24636" s="46" t="str">
        <f>IF(AND(I.Developer.P4=TRUE,I.Facility.P4FacilityCount&gt;=4624,F24636=""),"Incomplete","Complete")</f>
        <v>Complete</v>
      </c>
      <c r="I24636" s="48" t="s">
        <v>29001</v>
      </c>
    </row>
    <row r="24637" spans="2:9" ht="15" customHeight="1" x14ac:dyDescent="0.25">
      <c r="B24637" s="55" t="s">
        <v>283</v>
      </c>
      <c r="C24637" s="46">
        <v>4625</v>
      </c>
      <c r="D24637" s="69" t="s">
        <v>29420</v>
      </c>
      <c r="E24637" s="51"/>
      <c r="F24637" s="114" t="str">
        <f>IF(INDEX(I.Facility.P4IDNumber,4625)="","",INDEX(I.Facility.P4IDNumber,4625))</f>
        <v/>
      </c>
      <c r="G24637" s="51"/>
      <c r="H24637" s="46" t="str">
        <f>IF(AND(I.Developer.P4=TRUE,I.Facility.P4FacilityCount&gt;=4625,F24637=""),"Incomplete","Complete")</f>
        <v>Complete</v>
      </c>
      <c r="I24637" s="48" t="s">
        <v>29002</v>
      </c>
    </row>
    <row r="24638" spans="2:9" ht="15" customHeight="1" x14ac:dyDescent="0.25">
      <c r="B24638" s="55" t="s">
        <v>283</v>
      </c>
      <c r="C24638" s="46">
        <v>4626</v>
      </c>
      <c r="D24638" s="69" t="s">
        <v>29420</v>
      </c>
      <c r="E24638" s="51"/>
      <c r="F24638" s="114" t="str">
        <f>IF(INDEX(I.Facility.P4IDNumber,4626)="","",INDEX(I.Facility.P4IDNumber,4626))</f>
        <v/>
      </c>
      <c r="G24638" s="51"/>
      <c r="H24638" s="46" t="str">
        <f>IF(AND(I.Developer.P4=TRUE,I.Facility.P4FacilityCount&gt;=4626,F24638=""),"Incomplete","Complete")</f>
        <v>Complete</v>
      </c>
      <c r="I24638" s="48" t="s">
        <v>29003</v>
      </c>
    </row>
    <row r="24639" spans="2:9" ht="15" customHeight="1" x14ac:dyDescent="0.25">
      <c r="B24639" s="55" t="s">
        <v>283</v>
      </c>
      <c r="C24639" s="46">
        <v>4627</v>
      </c>
      <c r="D24639" s="69" t="s">
        <v>29420</v>
      </c>
      <c r="E24639" s="51"/>
      <c r="F24639" s="114" t="str">
        <f>IF(INDEX(I.Facility.P4IDNumber,4627)="","",INDEX(I.Facility.P4IDNumber,4627))</f>
        <v/>
      </c>
      <c r="G24639" s="51"/>
      <c r="H24639" s="46" t="str">
        <f>IF(AND(I.Developer.P4=TRUE,I.Facility.P4FacilityCount&gt;=4627,F24639=""),"Incomplete","Complete")</f>
        <v>Complete</v>
      </c>
      <c r="I24639" s="48" t="s">
        <v>29004</v>
      </c>
    </row>
    <row r="24640" spans="2:9" ht="15" customHeight="1" x14ac:dyDescent="0.25">
      <c r="B24640" s="55" t="s">
        <v>283</v>
      </c>
      <c r="C24640" s="46">
        <v>4628</v>
      </c>
      <c r="D24640" s="69" t="s">
        <v>29420</v>
      </c>
      <c r="E24640" s="51"/>
      <c r="F24640" s="114" t="str">
        <f>IF(INDEX(I.Facility.P4IDNumber,4628)="","",INDEX(I.Facility.P4IDNumber,4628))</f>
        <v/>
      </c>
      <c r="G24640" s="51"/>
      <c r="H24640" s="46" t="str">
        <f>IF(AND(I.Developer.P4=TRUE,I.Facility.P4FacilityCount&gt;=4628,F24640=""),"Incomplete","Complete")</f>
        <v>Complete</v>
      </c>
      <c r="I24640" s="48" t="s">
        <v>29005</v>
      </c>
    </row>
    <row r="24641" spans="2:9" ht="15" customHeight="1" x14ac:dyDescent="0.25">
      <c r="B24641" s="55" t="s">
        <v>283</v>
      </c>
      <c r="C24641" s="46">
        <v>4629</v>
      </c>
      <c r="D24641" s="69" t="s">
        <v>29420</v>
      </c>
      <c r="E24641" s="51"/>
      <c r="F24641" s="114" t="str">
        <f>IF(INDEX(I.Facility.P4IDNumber,4629)="","",INDEX(I.Facility.P4IDNumber,4629))</f>
        <v/>
      </c>
      <c r="G24641" s="51"/>
      <c r="H24641" s="46" t="str">
        <f>IF(AND(I.Developer.P4=TRUE,I.Facility.P4FacilityCount&gt;=4629,F24641=""),"Incomplete","Complete")</f>
        <v>Complete</v>
      </c>
      <c r="I24641" s="48" t="s">
        <v>29006</v>
      </c>
    </row>
    <row r="24642" spans="2:9" ht="15" customHeight="1" x14ac:dyDescent="0.25">
      <c r="B24642" s="55" t="s">
        <v>283</v>
      </c>
      <c r="C24642" s="46">
        <v>4630</v>
      </c>
      <c r="D24642" s="69" t="s">
        <v>29420</v>
      </c>
      <c r="E24642" s="51"/>
      <c r="F24642" s="114" t="str">
        <f>IF(INDEX(I.Facility.P4IDNumber,4630)="","",INDEX(I.Facility.P4IDNumber,4630))</f>
        <v/>
      </c>
      <c r="G24642" s="51"/>
      <c r="H24642" s="46" t="str">
        <f>IF(AND(I.Developer.P4=TRUE,I.Facility.P4FacilityCount&gt;=4630,F24642=""),"Incomplete","Complete")</f>
        <v>Complete</v>
      </c>
      <c r="I24642" s="48" t="s">
        <v>29007</v>
      </c>
    </row>
    <row r="24643" spans="2:9" ht="15" customHeight="1" x14ac:dyDescent="0.25">
      <c r="B24643" s="55" t="s">
        <v>283</v>
      </c>
      <c r="C24643" s="46">
        <v>4631</v>
      </c>
      <c r="D24643" s="69" t="s">
        <v>29420</v>
      </c>
      <c r="E24643" s="51"/>
      <c r="F24643" s="114" t="str">
        <f>IF(INDEX(I.Facility.P4IDNumber,4631)="","",INDEX(I.Facility.P4IDNumber,4631))</f>
        <v/>
      </c>
      <c r="G24643" s="51"/>
      <c r="H24643" s="46" t="str">
        <f>IF(AND(I.Developer.P4=TRUE,I.Facility.P4FacilityCount&gt;=4631,F24643=""),"Incomplete","Complete")</f>
        <v>Complete</v>
      </c>
      <c r="I24643" s="48" t="s">
        <v>29008</v>
      </c>
    </row>
    <row r="24644" spans="2:9" ht="15" customHeight="1" x14ac:dyDescent="0.25">
      <c r="B24644" s="55" t="s">
        <v>283</v>
      </c>
      <c r="C24644" s="46">
        <v>4632</v>
      </c>
      <c r="D24644" s="69" t="s">
        <v>29420</v>
      </c>
      <c r="E24644" s="51"/>
      <c r="F24644" s="114" t="str">
        <f>IF(INDEX(I.Facility.P4IDNumber,4632)="","",INDEX(I.Facility.P4IDNumber,4632))</f>
        <v/>
      </c>
      <c r="G24644" s="51"/>
      <c r="H24644" s="46" t="str">
        <f>IF(AND(I.Developer.P4=TRUE,I.Facility.P4FacilityCount&gt;=4632,F24644=""),"Incomplete","Complete")</f>
        <v>Complete</v>
      </c>
      <c r="I24644" s="48" t="s">
        <v>29009</v>
      </c>
    </row>
    <row r="24645" spans="2:9" ht="15" customHeight="1" x14ac:dyDescent="0.25">
      <c r="B24645" s="55" t="s">
        <v>283</v>
      </c>
      <c r="C24645" s="46">
        <v>4633</v>
      </c>
      <c r="D24645" s="69" t="s">
        <v>29420</v>
      </c>
      <c r="E24645" s="51"/>
      <c r="F24645" s="114" t="str">
        <f>IF(INDEX(I.Facility.P4IDNumber,4633)="","",INDEX(I.Facility.P4IDNumber,4633))</f>
        <v/>
      </c>
      <c r="G24645" s="51"/>
      <c r="H24645" s="46" t="str">
        <f>IF(AND(I.Developer.P4=TRUE,I.Facility.P4FacilityCount&gt;=4633,F24645=""),"Incomplete","Complete")</f>
        <v>Complete</v>
      </c>
      <c r="I24645" s="48" t="s">
        <v>29010</v>
      </c>
    </row>
    <row r="24646" spans="2:9" ht="15" customHeight="1" x14ac:dyDescent="0.25">
      <c r="B24646" s="55" t="s">
        <v>283</v>
      </c>
      <c r="C24646" s="46">
        <v>4634</v>
      </c>
      <c r="D24646" s="69" t="s">
        <v>29420</v>
      </c>
      <c r="E24646" s="51"/>
      <c r="F24646" s="114" t="str">
        <f>IF(INDEX(I.Facility.P4IDNumber,4634)="","",INDEX(I.Facility.P4IDNumber,4634))</f>
        <v/>
      </c>
      <c r="G24646" s="51"/>
      <c r="H24646" s="46" t="str">
        <f>IF(AND(I.Developer.P4=TRUE,I.Facility.P4FacilityCount&gt;=4634,F24646=""),"Incomplete","Complete")</f>
        <v>Complete</v>
      </c>
      <c r="I24646" s="48" t="s">
        <v>29011</v>
      </c>
    </row>
    <row r="24647" spans="2:9" ht="15" customHeight="1" x14ac:dyDescent="0.25">
      <c r="B24647" s="55" t="s">
        <v>283</v>
      </c>
      <c r="C24647" s="46">
        <v>4635</v>
      </c>
      <c r="D24647" s="69" t="s">
        <v>29420</v>
      </c>
      <c r="E24647" s="51"/>
      <c r="F24647" s="114" t="str">
        <f>IF(INDEX(I.Facility.P4IDNumber,4635)="","",INDEX(I.Facility.P4IDNumber,4635))</f>
        <v/>
      </c>
      <c r="G24647" s="51"/>
      <c r="H24647" s="46" t="str">
        <f>IF(AND(I.Developer.P4=TRUE,I.Facility.P4FacilityCount&gt;=4635,F24647=""),"Incomplete","Complete")</f>
        <v>Complete</v>
      </c>
      <c r="I24647" s="48" t="s">
        <v>29012</v>
      </c>
    </row>
    <row r="24648" spans="2:9" ht="15" customHeight="1" x14ac:dyDescent="0.25">
      <c r="B24648" s="55" t="s">
        <v>283</v>
      </c>
      <c r="C24648" s="46">
        <v>4636</v>
      </c>
      <c r="D24648" s="69" t="s">
        <v>29420</v>
      </c>
      <c r="E24648" s="51"/>
      <c r="F24648" s="114" t="str">
        <f>IF(INDEX(I.Facility.P4IDNumber,4636)="","",INDEX(I.Facility.P4IDNumber,4636))</f>
        <v/>
      </c>
      <c r="G24648" s="51"/>
      <c r="H24648" s="46" t="str">
        <f>IF(AND(I.Developer.P4=TRUE,I.Facility.P4FacilityCount&gt;=4636,F24648=""),"Incomplete","Complete")</f>
        <v>Complete</v>
      </c>
      <c r="I24648" s="48" t="s">
        <v>29013</v>
      </c>
    </row>
    <row r="24649" spans="2:9" ht="15" customHeight="1" x14ac:dyDescent="0.25">
      <c r="B24649" s="55" t="s">
        <v>283</v>
      </c>
      <c r="C24649" s="46">
        <v>4637</v>
      </c>
      <c r="D24649" s="69" t="s">
        <v>29420</v>
      </c>
      <c r="E24649" s="51"/>
      <c r="F24649" s="114" t="str">
        <f>IF(INDEX(I.Facility.P4IDNumber,4637)="","",INDEX(I.Facility.P4IDNumber,4637))</f>
        <v/>
      </c>
      <c r="G24649" s="51"/>
      <c r="H24649" s="46" t="str">
        <f>IF(AND(I.Developer.P4=TRUE,I.Facility.P4FacilityCount&gt;=4637,F24649=""),"Incomplete","Complete")</f>
        <v>Complete</v>
      </c>
      <c r="I24649" s="48" t="s">
        <v>29014</v>
      </c>
    </row>
    <row r="24650" spans="2:9" ht="15" customHeight="1" x14ac:dyDescent="0.25">
      <c r="B24650" s="55" t="s">
        <v>283</v>
      </c>
      <c r="C24650" s="46">
        <v>4638</v>
      </c>
      <c r="D24650" s="69" t="s">
        <v>29420</v>
      </c>
      <c r="E24650" s="51"/>
      <c r="F24650" s="114" t="str">
        <f>IF(INDEX(I.Facility.P4IDNumber,4638)="","",INDEX(I.Facility.P4IDNumber,4638))</f>
        <v/>
      </c>
      <c r="G24650" s="51"/>
      <c r="H24650" s="46" t="str">
        <f>IF(AND(I.Developer.P4=TRUE,I.Facility.P4FacilityCount&gt;=4638,F24650=""),"Incomplete","Complete")</f>
        <v>Complete</v>
      </c>
      <c r="I24650" s="48" t="s">
        <v>29015</v>
      </c>
    </row>
    <row r="24651" spans="2:9" ht="15" customHeight="1" x14ac:dyDescent="0.25">
      <c r="B24651" s="55" t="s">
        <v>283</v>
      </c>
      <c r="C24651" s="46">
        <v>4639</v>
      </c>
      <c r="D24651" s="69" t="s">
        <v>29420</v>
      </c>
      <c r="E24651" s="51"/>
      <c r="F24651" s="114" t="str">
        <f>IF(INDEX(I.Facility.P4IDNumber,4639)="","",INDEX(I.Facility.P4IDNumber,4639))</f>
        <v/>
      </c>
      <c r="G24651" s="51"/>
      <c r="H24651" s="46" t="str">
        <f>IF(AND(I.Developer.P4=TRUE,I.Facility.P4FacilityCount&gt;=4639,F24651=""),"Incomplete","Complete")</f>
        <v>Complete</v>
      </c>
      <c r="I24651" s="48" t="s">
        <v>29016</v>
      </c>
    </row>
    <row r="24652" spans="2:9" ht="15" customHeight="1" x14ac:dyDescent="0.25">
      <c r="B24652" s="55" t="s">
        <v>283</v>
      </c>
      <c r="C24652" s="46">
        <v>4640</v>
      </c>
      <c r="D24652" s="69" t="s">
        <v>29420</v>
      </c>
      <c r="E24652" s="51"/>
      <c r="F24652" s="114" t="str">
        <f>IF(INDEX(I.Facility.P4IDNumber,4640)="","",INDEX(I.Facility.P4IDNumber,4640))</f>
        <v/>
      </c>
      <c r="G24652" s="51"/>
      <c r="H24652" s="46" t="str">
        <f>IF(AND(I.Developer.P4=TRUE,I.Facility.P4FacilityCount&gt;=4640,F24652=""),"Incomplete","Complete")</f>
        <v>Complete</v>
      </c>
      <c r="I24652" s="48" t="s">
        <v>29017</v>
      </c>
    </row>
    <row r="24653" spans="2:9" ht="15" customHeight="1" x14ac:dyDescent="0.25">
      <c r="B24653" s="55" t="s">
        <v>283</v>
      </c>
      <c r="C24653" s="46">
        <v>4641</v>
      </c>
      <c r="D24653" s="69" t="s">
        <v>29420</v>
      </c>
      <c r="E24653" s="51"/>
      <c r="F24653" s="114" t="str">
        <f>IF(INDEX(I.Facility.P4IDNumber,4641)="","",INDEX(I.Facility.P4IDNumber,4641))</f>
        <v/>
      </c>
      <c r="G24653" s="51"/>
      <c r="H24653" s="46" t="str">
        <f>IF(AND(I.Developer.P4=TRUE,I.Facility.P4FacilityCount&gt;=4641,F24653=""),"Incomplete","Complete")</f>
        <v>Complete</v>
      </c>
      <c r="I24653" s="48" t="s">
        <v>29018</v>
      </c>
    </row>
    <row r="24654" spans="2:9" ht="15" customHeight="1" x14ac:dyDescent="0.25">
      <c r="B24654" s="55" t="s">
        <v>283</v>
      </c>
      <c r="C24654" s="46">
        <v>4642</v>
      </c>
      <c r="D24654" s="69" t="s">
        <v>29420</v>
      </c>
      <c r="E24654" s="51"/>
      <c r="F24654" s="114" t="str">
        <f>IF(INDEX(I.Facility.P4IDNumber,4642)="","",INDEX(I.Facility.P4IDNumber,4642))</f>
        <v/>
      </c>
      <c r="G24654" s="51"/>
      <c r="H24654" s="46" t="str">
        <f>IF(AND(I.Developer.P4=TRUE,I.Facility.P4FacilityCount&gt;=4642,F24654=""),"Incomplete","Complete")</f>
        <v>Complete</v>
      </c>
      <c r="I24654" s="48" t="s">
        <v>29019</v>
      </c>
    </row>
    <row r="24655" spans="2:9" ht="15" customHeight="1" x14ac:dyDescent="0.25">
      <c r="B24655" s="55" t="s">
        <v>283</v>
      </c>
      <c r="C24655" s="46">
        <v>4643</v>
      </c>
      <c r="D24655" s="69" t="s">
        <v>29420</v>
      </c>
      <c r="E24655" s="51"/>
      <c r="F24655" s="114" t="str">
        <f>IF(INDEX(I.Facility.P4IDNumber,4643)="","",INDEX(I.Facility.P4IDNumber,4643))</f>
        <v/>
      </c>
      <c r="G24655" s="51"/>
      <c r="H24655" s="46" t="str">
        <f>IF(AND(I.Developer.P4=TRUE,I.Facility.P4FacilityCount&gt;=4643,F24655=""),"Incomplete","Complete")</f>
        <v>Complete</v>
      </c>
      <c r="I24655" s="48" t="s">
        <v>29020</v>
      </c>
    </row>
    <row r="24656" spans="2:9" ht="15" customHeight="1" x14ac:dyDescent="0.25">
      <c r="B24656" s="55" t="s">
        <v>283</v>
      </c>
      <c r="C24656" s="46">
        <v>4644</v>
      </c>
      <c r="D24656" s="69" t="s">
        <v>29420</v>
      </c>
      <c r="E24656" s="51"/>
      <c r="F24656" s="114" t="str">
        <f>IF(INDEX(I.Facility.P4IDNumber,4644)="","",INDEX(I.Facility.P4IDNumber,4644))</f>
        <v/>
      </c>
      <c r="G24656" s="51"/>
      <c r="H24656" s="46" t="str">
        <f>IF(AND(I.Developer.P4=TRUE,I.Facility.P4FacilityCount&gt;=4644,F24656=""),"Incomplete","Complete")</f>
        <v>Complete</v>
      </c>
      <c r="I24656" s="48" t="s">
        <v>29021</v>
      </c>
    </row>
    <row r="24657" spans="2:9" ht="15" customHeight="1" x14ac:dyDescent="0.25">
      <c r="B24657" s="55" t="s">
        <v>283</v>
      </c>
      <c r="C24657" s="46">
        <v>4645</v>
      </c>
      <c r="D24657" s="69" t="s">
        <v>29420</v>
      </c>
      <c r="E24657" s="51"/>
      <c r="F24657" s="114" t="str">
        <f>IF(INDEX(I.Facility.P4IDNumber,4645)="","",INDEX(I.Facility.P4IDNumber,4645))</f>
        <v/>
      </c>
      <c r="G24657" s="51"/>
      <c r="H24657" s="46" t="str">
        <f>IF(AND(I.Developer.P4=TRUE,I.Facility.P4FacilityCount&gt;=4645,F24657=""),"Incomplete","Complete")</f>
        <v>Complete</v>
      </c>
      <c r="I24657" s="48" t="s">
        <v>29022</v>
      </c>
    </row>
    <row r="24658" spans="2:9" ht="15" customHeight="1" x14ac:dyDescent="0.25">
      <c r="B24658" s="55" t="s">
        <v>283</v>
      </c>
      <c r="C24658" s="46">
        <v>4646</v>
      </c>
      <c r="D24658" s="69" t="s">
        <v>29420</v>
      </c>
      <c r="E24658" s="51"/>
      <c r="F24658" s="114" t="str">
        <f>IF(INDEX(I.Facility.P4IDNumber,4646)="","",INDEX(I.Facility.P4IDNumber,4646))</f>
        <v/>
      </c>
      <c r="G24658" s="51"/>
      <c r="H24658" s="46" t="str">
        <f>IF(AND(I.Developer.P4=TRUE,I.Facility.P4FacilityCount&gt;=4646,F24658=""),"Incomplete","Complete")</f>
        <v>Complete</v>
      </c>
      <c r="I24658" s="48" t="s">
        <v>29023</v>
      </c>
    </row>
    <row r="24659" spans="2:9" ht="15" customHeight="1" x14ac:dyDescent="0.25">
      <c r="B24659" s="55" t="s">
        <v>283</v>
      </c>
      <c r="C24659" s="46">
        <v>4647</v>
      </c>
      <c r="D24659" s="69" t="s">
        <v>29420</v>
      </c>
      <c r="E24659" s="51"/>
      <c r="F24659" s="114" t="str">
        <f>IF(INDEX(I.Facility.P4IDNumber,4647)="","",INDEX(I.Facility.P4IDNumber,4647))</f>
        <v/>
      </c>
      <c r="G24659" s="51"/>
      <c r="H24659" s="46" t="str">
        <f>IF(AND(I.Developer.P4=TRUE,I.Facility.P4FacilityCount&gt;=4647,F24659=""),"Incomplete","Complete")</f>
        <v>Complete</v>
      </c>
      <c r="I24659" s="48" t="s">
        <v>29024</v>
      </c>
    </row>
    <row r="24660" spans="2:9" ht="15" customHeight="1" x14ac:dyDescent="0.25">
      <c r="B24660" s="55" t="s">
        <v>283</v>
      </c>
      <c r="C24660" s="46">
        <v>4648</v>
      </c>
      <c r="D24660" s="69" t="s">
        <v>29420</v>
      </c>
      <c r="E24660" s="51"/>
      <c r="F24660" s="114" t="str">
        <f>IF(INDEX(I.Facility.P4IDNumber,4648)="","",INDEX(I.Facility.P4IDNumber,4648))</f>
        <v/>
      </c>
      <c r="G24660" s="51"/>
      <c r="H24660" s="46" t="str">
        <f>IF(AND(I.Developer.P4=TRUE,I.Facility.P4FacilityCount&gt;=4648,F24660=""),"Incomplete","Complete")</f>
        <v>Complete</v>
      </c>
      <c r="I24660" s="48" t="s">
        <v>29025</v>
      </c>
    </row>
    <row r="24661" spans="2:9" ht="15" customHeight="1" x14ac:dyDescent="0.25">
      <c r="B24661" s="55" t="s">
        <v>283</v>
      </c>
      <c r="C24661" s="46">
        <v>4649</v>
      </c>
      <c r="D24661" s="69" t="s">
        <v>29420</v>
      </c>
      <c r="E24661" s="51"/>
      <c r="F24661" s="114" t="str">
        <f>IF(INDEX(I.Facility.P4IDNumber,4649)="","",INDEX(I.Facility.P4IDNumber,4649))</f>
        <v/>
      </c>
      <c r="G24661" s="51"/>
      <c r="H24661" s="46" t="str">
        <f>IF(AND(I.Developer.P4=TRUE,I.Facility.P4FacilityCount&gt;=4649,F24661=""),"Incomplete","Complete")</f>
        <v>Complete</v>
      </c>
      <c r="I24661" s="48" t="s">
        <v>29026</v>
      </c>
    </row>
    <row r="24662" spans="2:9" ht="15" customHeight="1" x14ac:dyDescent="0.25">
      <c r="B24662" s="55" t="s">
        <v>283</v>
      </c>
      <c r="C24662" s="46">
        <v>4650</v>
      </c>
      <c r="D24662" s="69" t="s">
        <v>29420</v>
      </c>
      <c r="E24662" s="51"/>
      <c r="F24662" s="114" t="str">
        <f>IF(INDEX(I.Facility.P4IDNumber,4650)="","",INDEX(I.Facility.P4IDNumber,4650))</f>
        <v/>
      </c>
      <c r="G24662" s="51"/>
      <c r="H24662" s="46" t="str">
        <f>IF(AND(I.Developer.P4=TRUE,I.Facility.P4FacilityCount&gt;=4650,F24662=""),"Incomplete","Complete")</f>
        <v>Complete</v>
      </c>
      <c r="I24662" s="48" t="s">
        <v>29027</v>
      </c>
    </row>
    <row r="24663" spans="2:9" ht="15" customHeight="1" x14ac:dyDescent="0.25">
      <c r="B24663" s="55" t="s">
        <v>283</v>
      </c>
      <c r="C24663" s="46">
        <v>4651</v>
      </c>
      <c r="D24663" s="69" t="s">
        <v>29420</v>
      </c>
      <c r="E24663" s="51"/>
      <c r="F24663" s="114" t="str">
        <f>IF(INDEX(I.Facility.P4IDNumber,4651)="","",INDEX(I.Facility.P4IDNumber,4651))</f>
        <v/>
      </c>
      <c r="G24663" s="51"/>
      <c r="H24663" s="46" t="str">
        <f>IF(AND(I.Developer.P4=TRUE,I.Facility.P4FacilityCount&gt;=4651,F24663=""),"Incomplete","Complete")</f>
        <v>Complete</v>
      </c>
      <c r="I24663" s="48" t="s">
        <v>29028</v>
      </c>
    </row>
    <row r="24664" spans="2:9" ht="15" customHeight="1" x14ac:dyDescent="0.25">
      <c r="B24664" s="55" t="s">
        <v>283</v>
      </c>
      <c r="C24664" s="46">
        <v>4652</v>
      </c>
      <c r="D24664" s="69" t="s">
        <v>29420</v>
      </c>
      <c r="E24664" s="51"/>
      <c r="F24664" s="114" t="str">
        <f>IF(INDEX(I.Facility.P4IDNumber,4652)="","",INDEX(I.Facility.P4IDNumber,4652))</f>
        <v/>
      </c>
      <c r="G24664" s="51"/>
      <c r="H24664" s="46" t="str">
        <f>IF(AND(I.Developer.P4=TRUE,I.Facility.P4FacilityCount&gt;=4652,F24664=""),"Incomplete","Complete")</f>
        <v>Complete</v>
      </c>
      <c r="I24664" s="48" t="s">
        <v>29029</v>
      </c>
    </row>
    <row r="24665" spans="2:9" ht="15" customHeight="1" x14ac:dyDescent="0.25">
      <c r="B24665" s="55" t="s">
        <v>283</v>
      </c>
      <c r="C24665" s="46">
        <v>4653</v>
      </c>
      <c r="D24665" s="69" t="s">
        <v>29420</v>
      </c>
      <c r="E24665" s="51"/>
      <c r="F24665" s="114" t="str">
        <f>IF(INDEX(I.Facility.P4IDNumber,4653)="","",INDEX(I.Facility.P4IDNumber,4653))</f>
        <v/>
      </c>
      <c r="G24665" s="51"/>
      <c r="H24665" s="46" t="str">
        <f>IF(AND(I.Developer.P4=TRUE,I.Facility.P4FacilityCount&gt;=4653,F24665=""),"Incomplete","Complete")</f>
        <v>Complete</v>
      </c>
      <c r="I24665" s="48" t="s">
        <v>29030</v>
      </c>
    </row>
    <row r="24666" spans="2:9" ht="15" customHeight="1" x14ac:dyDescent="0.25">
      <c r="B24666" s="55" t="s">
        <v>283</v>
      </c>
      <c r="C24666" s="46">
        <v>4654</v>
      </c>
      <c r="D24666" s="69" t="s">
        <v>29420</v>
      </c>
      <c r="E24666" s="51"/>
      <c r="F24666" s="114" t="str">
        <f>IF(INDEX(I.Facility.P4IDNumber,4654)="","",INDEX(I.Facility.P4IDNumber,4654))</f>
        <v/>
      </c>
      <c r="G24666" s="51"/>
      <c r="H24666" s="46" t="str">
        <f>IF(AND(I.Developer.P4=TRUE,I.Facility.P4FacilityCount&gt;=4654,F24666=""),"Incomplete","Complete")</f>
        <v>Complete</v>
      </c>
      <c r="I24666" s="48" t="s">
        <v>29031</v>
      </c>
    </row>
    <row r="24667" spans="2:9" ht="15" customHeight="1" x14ac:dyDescent="0.25">
      <c r="B24667" s="55" t="s">
        <v>283</v>
      </c>
      <c r="C24667" s="46">
        <v>4655</v>
      </c>
      <c r="D24667" s="69" t="s">
        <v>29420</v>
      </c>
      <c r="E24667" s="51"/>
      <c r="F24667" s="114" t="str">
        <f>IF(INDEX(I.Facility.P4IDNumber,4655)="","",INDEX(I.Facility.P4IDNumber,4655))</f>
        <v/>
      </c>
      <c r="G24667" s="51"/>
      <c r="H24667" s="46" t="str">
        <f>IF(AND(I.Developer.P4=TRUE,I.Facility.P4FacilityCount&gt;=4655,F24667=""),"Incomplete","Complete")</f>
        <v>Complete</v>
      </c>
      <c r="I24667" s="48" t="s">
        <v>29032</v>
      </c>
    </row>
    <row r="24668" spans="2:9" ht="15" customHeight="1" x14ac:dyDescent="0.25">
      <c r="B24668" s="55" t="s">
        <v>283</v>
      </c>
      <c r="C24668" s="46">
        <v>4656</v>
      </c>
      <c r="D24668" s="69" t="s">
        <v>29420</v>
      </c>
      <c r="E24668" s="51"/>
      <c r="F24668" s="114" t="str">
        <f>IF(INDEX(I.Facility.P4IDNumber,4656)="","",INDEX(I.Facility.P4IDNumber,4656))</f>
        <v/>
      </c>
      <c r="G24668" s="51"/>
      <c r="H24668" s="46" t="str">
        <f>IF(AND(I.Developer.P4=TRUE,I.Facility.P4FacilityCount&gt;=4656,F24668=""),"Incomplete","Complete")</f>
        <v>Complete</v>
      </c>
      <c r="I24668" s="48" t="s">
        <v>29033</v>
      </c>
    </row>
    <row r="24669" spans="2:9" ht="15" customHeight="1" x14ac:dyDescent="0.25">
      <c r="B24669" s="55" t="s">
        <v>283</v>
      </c>
      <c r="C24669" s="46">
        <v>4657</v>
      </c>
      <c r="D24669" s="69" t="s">
        <v>29420</v>
      </c>
      <c r="E24669" s="51"/>
      <c r="F24669" s="114" t="str">
        <f>IF(INDEX(I.Facility.P4IDNumber,4657)="","",INDEX(I.Facility.P4IDNumber,4657))</f>
        <v/>
      </c>
      <c r="G24669" s="51"/>
      <c r="H24669" s="46" t="str">
        <f>IF(AND(I.Developer.P4=TRUE,I.Facility.P4FacilityCount&gt;=4657,F24669=""),"Incomplete","Complete")</f>
        <v>Complete</v>
      </c>
      <c r="I24669" s="48" t="s">
        <v>29034</v>
      </c>
    </row>
    <row r="24670" spans="2:9" ht="15" customHeight="1" x14ac:dyDescent="0.25">
      <c r="B24670" s="55" t="s">
        <v>283</v>
      </c>
      <c r="C24670" s="46">
        <v>4658</v>
      </c>
      <c r="D24670" s="69" t="s">
        <v>29420</v>
      </c>
      <c r="E24670" s="51"/>
      <c r="F24670" s="114" t="str">
        <f>IF(INDEX(I.Facility.P4IDNumber,4658)="","",INDEX(I.Facility.P4IDNumber,4658))</f>
        <v/>
      </c>
      <c r="G24670" s="51"/>
      <c r="H24670" s="46" t="str">
        <f>IF(AND(I.Developer.P4=TRUE,I.Facility.P4FacilityCount&gt;=4658,F24670=""),"Incomplete","Complete")</f>
        <v>Complete</v>
      </c>
      <c r="I24670" s="48" t="s">
        <v>29035</v>
      </c>
    </row>
    <row r="24671" spans="2:9" ht="15" customHeight="1" x14ac:dyDescent="0.25">
      <c r="B24671" s="55" t="s">
        <v>283</v>
      </c>
      <c r="C24671" s="46">
        <v>4659</v>
      </c>
      <c r="D24671" s="69" t="s">
        <v>29420</v>
      </c>
      <c r="E24671" s="51"/>
      <c r="F24671" s="114" t="str">
        <f>IF(INDEX(I.Facility.P4IDNumber,4659)="","",INDEX(I.Facility.P4IDNumber,4659))</f>
        <v/>
      </c>
      <c r="G24671" s="51"/>
      <c r="H24671" s="46" t="str">
        <f>IF(AND(I.Developer.P4=TRUE,I.Facility.P4FacilityCount&gt;=4659,F24671=""),"Incomplete","Complete")</f>
        <v>Complete</v>
      </c>
      <c r="I24671" s="48" t="s">
        <v>29036</v>
      </c>
    </row>
    <row r="24672" spans="2:9" ht="15" customHeight="1" x14ac:dyDescent="0.25">
      <c r="B24672" s="55" t="s">
        <v>283</v>
      </c>
      <c r="C24672" s="46">
        <v>4660</v>
      </c>
      <c r="D24672" s="69" t="s">
        <v>29420</v>
      </c>
      <c r="E24672" s="51"/>
      <c r="F24672" s="114" t="str">
        <f>IF(INDEX(I.Facility.P4IDNumber,4660)="","",INDEX(I.Facility.P4IDNumber,4660))</f>
        <v/>
      </c>
      <c r="G24672" s="51"/>
      <c r="H24672" s="46" t="str">
        <f>IF(AND(I.Developer.P4=TRUE,I.Facility.P4FacilityCount&gt;=4660,F24672=""),"Incomplete","Complete")</f>
        <v>Complete</v>
      </c>
      <c r="I24672" s="48" t="s">
        <v>29037</v>
      </c>
    </row>
    <row r="24673" spans="2:9" ht="15" customHeight="1" x14ac:dyDescent="0.25">
      <c r="B24673" s="55" t="s">
        <v>283</v>
      </c>
      <c r="C24673" s="46">
        <v>4661</v>
      </c>
      <c r="D24673" s="69" t="s">
        <v>29420</v>
      </c>
      <c r="E24673" s="51"/>
      <c r="F24673" s="114" t="str">
        <f>IF(INDEX(I.Facility.P4IDNumber,4661)="","",INDEX(I.Facility.P4IDNumber,4661))</f>
        <v/>
      </c>
      <c r="G24673" s="51"/>
      <c r="H24673" s="46" t="str">
        <f>IF(AND(I.Developer.P4=TRUE,I.Facility.P4FacilityCount&gt;=4661,F24673=""),"Incomplete","Complete")</f>
        <v>Complete</v>
      </c>
      <c r="I24673" s="48" t="s">
        <v>29038</v>
      </c>
    </row>
    <row r="24674" spans="2:9" ht="15" customHeight="1" x14ac:dyDescent="0.25">
      <c r="B24674" s="55" t="s">
        <v>283</v>
      </c>
      <c r="C24674" s="46">
        <v>4662</v>
      </c>
      <c r="D24674" s="69" t="s">
        <v>29420</v>
      </c>
      <c r="E24674" s="51"/>
      <c r="F24674" s="114" t="str">
        <f>IF(INDEX(I.Facility.P4IDNumber,4662)="","",INDEX(I.Facility.P4IDNumber,4662))</f>
        <v/>
      </c>
      <c r="G24674" s="51"/>
      <c r="H24674" s="46" t="str">
        <f>IF(AND(I.Developer.P4=TRUE,I.Facility.P4FacilityCount&gt;=4662,F24674=""),"Incomplete","Complete")</f>
        <v>Complete</v>
      </c>
      <c r="I24674" s="48" t="s">
        <v>29039</v>
      </c>
    </row>
    <row r="24675" spans="2:9" ht="15" customHeight="1" x14ac:dyDescent="0.25">
      <c r="B24675" s="55" t="s">
        <v>283</v>
      </c>
      <c r="C24675" s="46">
        <v>4663</v>
      </c>
      <c r="D24675" s="69" t="s">
        <v>29420</v>
      </c>
      <c r="E24675" s="51"/>
      <c r="F24675" s="114" t="str">
        <f>IF(INDEX(I.Facility.P4IDNumber,4663)="","",INDEX(I.Facility.P4IDNumber,4663))</f>
        <v/>
      </c>
      <c r="G24675" s="51"/>
      <c r="H24675" s="46" t="str">
        <f>IF(AND(I.Developer.P4=TRUE,I.Facility.P4FacilityCount&gt;=4663,F24675=""),"Incomplete","Complete")</f>
        <v>Complete</v>
      </c>
      <c r="I24675" s="48" t="s">
        <v>29040</v>
      </c>
    </row>
    <row r="24676" spans="2:9" ht="15" customHeight="1" x14ac:dyDescent="0.25">
      <c r="B24676" s="55" t="s">
        <v>283</v>
      </c>
      <c r="C24676" s="46">
        <v>4664</v>
      </c>
      <c r="D24676" s="69" t="s">
        <v>29420</v>
      </c>
      <c r="E24676" s="51"/>
      <c r="F24676" s="114" t="str">
        <f>IF(INDEX(I.Facility.P4IDNumber,4664)="","",INDEX(I.Facility.P4IDNumber,4664))</f>
        <v/>
      </c>
      <c r="G24676" s="51"/>
      <c r="H24676" s="46" t="str">
        <f>IF(AND(I.Developer.P4=TRUE,I.Facility.P4FacilityCount&gt;=4664,F24676=""),"Incomplete","Complete")</f>
        <v>Complete</v>
      </c>
      <c r="I24676" s="48" t="s">
        <v>29041</v>
      </c>
    </row>
    <row r="24677" spans="2:9" ht="15" customHeight="1" x14ac:dyDescent="0.25">
      <c r="B24677" s="55" t="s">
        <v>283</v>
      </c>
      <c r="C24677" s="46">
        <v>4665</v>
      </c>
      <c r="D24677" s="69" t="s">
        <v>29420</v>
      </c>
      <c r="E24677" s="51"/>
      <c r="F24677" s="114" t="str">
        <f>IF(INDEX(I.Facility.P4IDNumber,4665)="","",INDEX(I.Facility.P4IDNumber,4665))</f>
        <v/>
      </c>
      <c r="G24677" s="51"/>
      <c r="H24677" s="46" t="str">
        <f>IF(AND(I.Developer.P4=TRUE,I.Facility.P4FacilityCount&gt;=4665,F24677=""),"Incomplete","Complete")</f>
        <v>Complete</v>
      </c>
      <c r="I24677" s="48" t="s">
        <v>29042</v>
      </c>
    </row>
    <row r="24678" spans="2:9" ht="15" customHeight="1" x14ac:dyDescent="0.25">
      <c r="B24678" s="55" t="s">
        <v>283</v>
      </c>
      <c r="C24678" s="46">
        <v>4666</v>
      </c>
      <c r="D24678" s="69" t="s">
        <v>29420</v>
      </c>
      <c r="E24678" s="51"/>
      <c r="F24678" s="114" t="str">
        <f>IF(INDEX(I.Facility.P4IDNumber,4666)="","",INDEX(I.Facility.P4IDNumber,4666))</f>
        <v/>
      </c>
      <c r="G24678" s="51"/>
      <c r="H24678" s="46" t="str">
        <f>IF(AND(I.Developer.P4=TRUE,I.Facility.P4FacilityCount&gt;=4666,F24678=""),"Incomplete","Complete")</f>
        <v>Complete</v>
      </c>
      <c r="I24678" s="48" t="s">
        <v>29043</v>
      </c>
    </row>
    <row r="24679" spans="2:9" ht="15" customHeight="1" x14ac:dyDescent="0.25">
      <c r="B24679" s="55" t="s">
        <v>283</v>
      </c>
      <c r="C24679" s="46">
        <v>4667</v>
      </c>
      <c r="D24679" s="69" t="s">
        <v>29420</v>
      </c>
      <c r="E24679" s="51"/>
      <c r="F24679" s="114" t="str">
        <f>IF(INDEX(I.Facility.P4IDNumber,4667)="","",INDEX(I.Facility.P4IDNumber,4667))</f>
        <v/>
      </c>
      <c r="G24679" s="51"/>
      <c r="H24679" s="46" t="str">
        <f>IF(AND(I.Developer.P4=TRUE,I.Facility.P4FacilityCount&gt;=4667,F24679=""),"Incomplete","Complete")</f>
        <v>Complete</v>
      </c>
      <c r="I24679" s="48" t="s">
        <v>29044</v>
      </c>
    </row>
    <row r="24680" spans="2:9" ht="15" customHeight="1" x14ac:dyDescent="0.25">
      <c r="B24680" s="55" t="s">
        <v>283</v>
      </c>
      <c r="C24680" s="46">
        <v>4668</v>
      </c>
      <c r="D24680" s="69" t="s">
        <v>29420</v>
      </c>
      <c r="E24680" s="51"/>
      <c r="F24680" s="114" t="str">
        <f>IF(INDEX(I.Facility.P4IDNumber,4668)="","",INDEX(I.Facility.P4IDNumber,4668))</f>
        <v/>
      </c>
      <c r="G24680" s="51"/>
      <c r="H24680" s="46" t="str">
        <f>IF(AND(I.Developer.P4=TRUE,I.Facility.P4FacilityCount&gt;=4668,F24680=""),"Incomplete","Complete")</f>
        <v>Complete</v>
      </c>
      <c r="I24680" s="48" t="s">
        <v>29045</v>
      </c>
    </row>
    <row r="24681" spans="2:9" ht="15" customHeight="1" x14ac:dyDescent="0.25">
      <c r="B24681" s="55" t="s">
        <v>283</v>
      </c>
      <c r="C24681" s="46">
        <v>4669</v>
      </c>
      <c r="D24681" s="69" t="s">
        <v>29420</v>
      </c>
      <c r="E24681" s="51"/>
      <c r="F24681" s="114" t="str">
        <f>IF(INDEX(I.Facility.P4IDNumber,4669)="","",INDEX(I.Facility.P4IDNumber,4669))</f>
        <v/>
      </c>
      <c r="G24681" s="51"/>
      <c r="H24681" s="46" t="str">
        <f>IF(AND(I.Developer.P4=TRUE,I.Facility.P4FacilityCount&gt;=4669,F24681=""),"Incomplete","Complete")</f>
        <v>Complete</v>
      </c>
      <c r="I24681" s="48" t="s">
        <v>29046</v>
      </c>
    </row>
    <row r="24682" spans="2:9" ht="15" customHeight="1" x14ac:dyDescent="0.25">
      <c r="B24682" s="55" t="s">
        <v>283</v>
      </c>
      <c r="C24682" s="46">
        <v>4670</v>
      </c>
      <c r="D24682" s="69" t="s">
        <v>29420</v>
      </c>
      <c r="E24682" s="51"/>
      <c r="F24682" s="114" t="str">
        <f>IF(INDEX(I.Facility.P4IDNumber,4670)="","",INDEX(I.Facility.P4IDNumber,4670))</f>
        <v/>
      </c>
      <c r="G24682" s="51"/>
      <c r="H24682" s="46" t="str">
        <f>IF(AND(I.Developer.P4=TRUE,I.Facility.P4FacilityCount&gt;=4670,F24682=""),"Incomplete","Complete")</f>
        <v>Complete</v>
      </c>
      <c r="I24682" s="48" t="s">
        <v>29047</v>
      </c>
    </row>
    <row r="24683" spans="2:9" ht="15" customHeight="1" x14ac:dyDescent="0.25">
      <c r="B24683" s="55" t="s">
        <v>283</v>
      </c>
      <c r="C24683" s="46">
        <v>4671</v>
      </c>
      <c r="D24683" s="69" t="s">
        <v>29420</v>
      </c>
      <c r="E24683" s="51"/>
      <c r="F24683" s="114" t="str">
        <f>IF(INDEX(I.Facility.P4IDNumber,4671)="","",INDEX(I.Facility.P4IDNumber,4671))</f>
        <v/>
      </c>
      <c r="G24683" s="51"/>
      <c r="H24683" s="46" t="str">
        <f>IF(AND(I.Developer.P4=TRUE,I.Facility.P4FacilityCount&gt;=4671,F24683=""),"Incomplete","Complete")</f>
        <v>Complete</v>
      </c>
      <c r="I24683" s="48" t="s">
        <v>29048</v>
      </c>
    </row>
    <row r="24684" spans="2:9" ht="15" customHeight="1" x14ac:dyDescent="0.25">
      <c r="B24684" s="55" t="s">
        <v>283</v>
      </c>
      <c r="C24684" s="46">
        <v>4672</v>
      </c>
      <c r="D24684" s="69" t="s">
        <v>29420</v>
      </c>
      <c r="E24684" s="51"/>
      <c r="F24684" s="114" t="str">
        <f>IF(INDEX(I.Facility.P4IDNumber,4672)="","",INDEX(I.Facility.P4IDNumber,4672))</f>
        <v/>
      </c>
      <c r="G24684" s="51"/>
      <c r="H24684" s="46" t="str">
        <f>IF(AND(I.Developer.P4=TRUE,I.Facility.P4FacilityCount&gt;=4672,F24684=""),"Incomplete","Complete")</f>
        <v>Complete</v>
      </c>
      <c r="I24684" s="48" t="s">
        <v>29049</v>
      </c>
    </row>
    <row r="24685" spans="2:9" ht="15" customHeight="1" x14ac:dyDescent="0.25">
      <c r="B24685" s="55" t="s">
        <v>283</v>
      </c>
      <c r="C24685" s="46">
        <v>4673</v>
      </c>
      <c r="D24685" s="69" t="s">
        <v>29420</v>
      </c>
      <c r="E24685" s="51"/>
      <c r="F24685" s="114" t="str">
        <f>IF(INDEX(I.Facility.P4IDNumber,4673)="","",INDEX(I.Facility.P4IDNumber,4673))</f>
        <v/>
      </c>
      <c r="G24685" s="51"/>
      <c r="H24685" s="46" t="str">
        <f>IF(AND(I.Developer.P4=TRUE,I.Facility.P4FacilityCount&gt;=4673,F24685=""),"Incomplete","Complete")</f>
        <v>Complete</v>
      </c>
      <c r="I24685" s="48" t="s">
        <v>29050</v>
      </c>
    </row>
    <row r="24686" spans="2:9" ht="15" customHeight="1" x14ac:dyDescent="0.25">
      <c r="B24686" s="55" t="s">
        <v>283</v>
      </c>
      <c r="C24686" s="46">
        <v>4674</v>
      </c>
      <c r="D24686" s="69" t="s">
        <v>29420</v>
      </c>
      <c r="E24686" s="51"/>
      <c r="F24686" s="114" t="str">
        <f>IF(INDEX(I.Facility.P4IDNumber,4674)="","",INDEX(I.Facility.P4IDNumber,4674))</f>
        <v/>
      </c>
      <c r="G24686" s="51"/>
      <c r="H24686" s="46" t="str">
        <f>IF(AND(I.Developer.P4=TRUE,I.Facility.P4FacilityCount&gt;=4674,F24686=""),"Incomplete","Complete")</f>
        <v>Complete</v>
      </c>
      <c r="I24686" s="48" t="s">
        <v>29051</v>
      </c>
    </row>
    <row r="24687" spans="2:9" ht="15" customHeight="1" x14ac:dyDescent="0.25">
      <c r="B24687" s="55" t="s">
        <v>283</v>
      </c>
      <c r="C24687" s="46">
        <v>4675</v>
      </c>
      <c r="D24687" s="69" t="s">
        <v>29420</v>
      </c>
      <c r="E24687" s="51"/>
      <c r="F24687" s="114" t="str">
        <f>IF(INDEX(I.Facility.P4IDNumber,4675)="","",INDEX(I.Facility.P4IDNumber,4675))</f>
        <v/>
      </c>
      <c r="G24687" s="51"/>
      <c r="H24687" s="46" t="str">
        <f>IF(AND(I.Developer.P4=TRUE,I.Facility.P4FacilityCount&gt;=4675,F24687=""),"Incomplete","Complete")</f>
        <v>Complete</v>
      </c>
      <c r="I24687" s="48" t="s">
        <v>29052</v>
      </c>
    </row>
    <row r="24688" spans="2:9" ht="15" customHeight="1" x14ac:dyDescent="0.25">
      <c r="B24688" s="55" t="s">
        <v>283</v>
      </c>
      <c r="C24688" s="46">
        <v>4676</v>
      </c>
      <c r="D24688" s="69" t="s">
        <v>29420</v>
      </c>
      <c r="E24688" s="51"/>
      <c r="F24688" s="114" t="str">
        <f>IF(INDEX(I.Facility.P4IDNumber,4676)="","",INDEX(I.Facility.P4IDNumber,4676))</f>
        <v/>
      </c>
      <c r="G24688" s="51"/>
      <c r="H24688" s="46" t="str">
        <f>IF(AND(I.Developer.P4=TRUE,I.Facility.P4FacilityCount&gt;=4676,F24688=""),"Incomplete","Complete")</f>
        <v>Complete</v>
      </c>
      <c r="I24688" s="48" t="s">
        <v>29053</v>
      </c>
    </row>
    <row r="24689" spans="2:9" ht="15" customHeight="1" x14ac:dyDescent="0.25">
      <c r="B24689" s="55" t="s">
        <v>283</v>
      </c>
      <c r="C24689" s="46">
        <v>4677</v>
      </c>
      <c r="D24689" s="69" t="s">
        <v>29420</v>
      </c>
      <c r="E24689" s="51"/>
      <c r="F24689" s="114" t="str">
        <f>IF(INDEX(I.Facility.P4IDNumber,4677)="","",INDEX(I.Facility.P4IDNumber,4677))</f>
        <v/>
      </c>
      <c r="G24689" s="51"/>
      <c r="H24689" s="46" t="str">
        <f>IF(AND(I.Developer.P4=TRUE,I.Facility.P4FacilityCount&gt;=4677,F24689=""),"Incomplete","Complete")</f>
        <v>Complete</v>
      </c>
      <c r="I24689" s="48" t="s">
        <v>29054</v>
      </c>
    </row>
    <row r="24690" spans="2:9" ht="15" customHeight="1" x14ac:dyDescent="0.25">
      <c r="B24690" s="55" t="s">
        <v>283</v>
      </c>
      <c r="C24690" s="46">
        <v>4678</v>
      </c>
      <c r="D24690" s="69" t="s">
        <v>29420</v>
      </c>
      <c r="E24690" s="51"/>
      <c r="F24690" s="114" t="str">
        <f>IF(INDEX(I.Facility.P4IDNumber,4678)="","",INDEX(I.Facility.P4IDNumber,4678))</f>
        <v/>
      </c>
      <c r="G24690" s="51"/>
      <c r="H24690" s="46" t="str">
        <f>IF(AND(I.Developer.P4=TRUE,I.Facility.P4FacilityCount&gt;=4678,F24690=""),"Incomplete","Complete")</f>
        <v>Complete</v>
      </c>
      <c r="I24690" s="48" t="s">
        <v>29055</v>
      </c>
    </row>
    <row r="24691" spans="2:9" ht="15" customHeight="1" x14ac:dyDescent="0.25">
      <c r="B24691" s="55" t="s">
        <v>283</v>
      </c>
      <c r="C24691" s="46">
        <v>4679</v>
      </c>
      <c r="D24691" s="69" t="s">
        <v>29420</v>
      </c>
      <c r="E24691" s="51"/>
      <c r="F24691" s="114" t="str">
        <f>IF(INDEX(I.Facility.P4IDNumber,4679)="","",INDEX(I.Facility.P4IDNumber,4679))</f>
        <v/>
      </c>
      <c r="G24691" s="51"/>
      <c r="H24691" s="46" t="str">
        <f>IF(AND(I.Developer.P4=TRUE,I.Facility.P4FacilityCount&gt;=4679,F24691=""),"Incomplete","Complete")</f>
        <v>Complete</v>
      </c>
      <c r="I24691" s="48" t="s">
        <v>29056</v>
      </c>
    </row>
    <row r="24692" spans="2:9" ht="15" customHeight="1" x14ac:dyDescent="0.25">
      <c r="B24692" s="55" t="s">
        <v>283</v>
      </c>
      <c r="C24692" s="46">
        <v>4680</v>
      </c>
      <c r="D24692" s="69" t="s">
        <v>29420</v>
      </c>
      <c r="E24692" s="51"/>
      <c r="F24692" s="114" t="str">
        <f>IF(INDEX(I.Facility.P4IDNumber,4680)="","",INDEX(I.Facility.P4IDNumber,4680))</f>
        <v/>
      </c>
      <c r="G24692" s="51"/>
      <c r="H24692" s="46" t="str">
        <f>IF(AND(I.Developer.P4=TRUE,I.Facility.P4FacilityCount&gt;=4680,F24692=""),"Incomplete","Complete")</f>
        <v>Complete</v>
      </c>
      <c r="I24692" s="48" t="s">
        <v>29057</v>
      </c>
    </row>
    <row r="24693" spans="2:9" ht="15" customHeight="1" x14ac:dyDescent="0.25">
      <c r="B24693" s="55" t="s">
        <v>283</v>
      </c>
      <c r="C24693" s="46">
        <v>4681</v>
      </c>
      <c r="D24693" s="69" t="s">
        <v>29420</v>
      </c>
      <c r="E24693" s="51"/>
      <c r="F24693" s="114" t="str">
        <f>IF(INDEX(I.Facility.P4IDNumber,4681)="","",INDEX(I.Facility.P4IDNumber,4681))</f>
        <v/>
      </c>
      <c r="G24693" s="51"/>
      <c r="H24693" s="46" t="str">
        <f>IF(AND(I.Developer.P4=TRUE,I.Facility.P4FacilityCount&gt;=4681,F24693=""),"Incomplete","Complete")</f>
        <v>Complete</v>
      </c>
      <c r="I24693" s="48" t="s">
        <v>29058</v>
      </c>
    </row>
    <row r="24694" spans="2:9" ht="15" customHeight="1" x14ac:dyDescent="0.25">
      <c r="B24694" s="55" t="s">
        <v>283</v>
      </c>
      <c r="C24694" s="46">
        <v>4682</v>
      </c>
      <c r="D24694" s="69" t="s">
        <v>29420</v>
      </c>
      <c r="E24694" s="51"/>
      <c r="F24694" s="114" t="str">
        <f>IF(INDEX(I.Facility.P4IDNumber,4682)="","",INDEX(I.Facility.P4IDNumber,4682))</f>
        <v/>
      </c>
      <c r="G24694" s="51"/>
      <c r="H24694" s="46" t="str">
        <f>IF(AND(I.Developer.P4=TRUE,I.Facility.P4FacilityCount&gt;=4682,F24694=""),"Incomplete","Complete")</f>
        <v>Complete</v>
      </c>
      <c r="I24694" s="48" t="s">
        <v>29059</v>
      </c>
    </row>
    <row r="24695" spans="2:9" ht="15" customHeight="1" x14ac:dyDescent="0.25">
      <c r="B24695" s="55" t="s">
        <v>283</v>
      </c>
      <c r="C24695" s="46">
        <v>4683</v>
      </c>
      <c r="D24695" s="69" t="s">
        <v>29420</v>
      </c>
      <c r="E24695" s="51"/>
      <c r="F24695" s="114" t="str">
        <f>IF(INDEX(I.Facility.P4IDNumber,4683)="","",INDEX(I.Facility.P4IDNumber,4683))</f>
        <v/>
      </c>
      <c r="G24695" s="51"/>
      <c r="H24695" s="46" t="str">
        <f>IF(AND(I.Developer.P4=TRUE,I.Facility.P4FacilityCount&gt;=4683,F24695=""),"Incomplete","Complete")</f>
        <v>Complete</v>
      </c>
      <c r="I24695" s="48" t="s">
        <v>29060</v>
      </c>
    </row>
    <row r="24696" spans="2:9" ht="15" customHeight="1" x14ac:dyDescent="0.25">
      <c r="B24696" s="55" t="s">
        <v>283</v>
      </c>
      <c r="C24696" s="46">
        <v>4684</v>
      </c>
      <c r="D24696" s="69" t="s">
        <v>29420</v>
      </c>
      <c r="E24696" s="51"/>
      <c r="F24696" s="114" t="str">
        <f>IF(INDEX(I.Facility.P4IDNumber,4684)="","",INDEX(I.Facility.P4IDNumber,4684))</f>
        <v/>
      </c>
      <c r="G24696" s="51"/>
      <c r="H24696" s="46" t="str">
        <f>IF(AND(I.Developer.P4=TRUE,I.Facility.P4FacilityCount&gt;=4684,F24696=""),"Incomplete","Complete")</f>
        <v>Complete</v>
      </c>
      <c r="I24696" s="48" t="s">
        <v>29061</v>
      </c>
    </row>
    <row r="24697" spans="2:9" ht="15" customHeight="1" x14ac:dyDescent="0.25">
      <c r="B24697" s="55" t="s">
        <v>283</v>
      </c>
      <c r="C24697" s="46">
        <v>4685</v>
      </c>
      <c r="D24697" s="69" t="s">
        <v>29420</v>
      </c>
      <c r="E24697" s="51"/>
      <c r="F24697" s="114" t="str">
        <f>IF(INDEX(I.Facility.P4IDNumber,4685)="","",INDEX(I.Facility.P4IDNumber,4685))</f>
        <v/>
      </c>
      <c r="G24697" s="51"/>
      <c r="H24697" s="46" t="str">
        <f>IF(AND(I.Developer.P4=TRUE,I.Facility.P4FacilityCount&gt;=4685,F24697=""),"Incomplete","Complete")</f>
        <v>Complete</v>
      </c>
      <c r="I24697" s="48" t="s">
        <v>29062</v>
      </c>
    </row>
    <row r="24698" spans="2:9" ht="15" customHeight="1" x14ac:dyDescent="0.25">
      <c r="B24698" s="55" t="s">
        <v>283</v>
      </c>
      <c r="C24698" s="46">
        <v>4686</v>
      </c>
      <c r="D24698" s="69" t="s">
        <v>29420</v>
      </c>
      <c r="E24698" s="51"/>
      <c r="F24698" s="114" t="str">
        <f>IF(INDEX(I.Facility.P4IDNumber,4686)="","",INDEX(I.Facility.P4IDNumber,4686))</f>
        <v/>
      </c>
      <c r="G24698" s="51"/>
      <c r="H24698" s="46" t="str">
        <f>IF(AND(I.Developer.P4=TRUE,I.Facility.P4FacilityCount&gt;=4686,F24698=""),"Incomplete","Complete")</f>
        <v>Complete</v>
      </c>
      <c r="I24698" s="48" t="s">
        <v>29063</v>
      </c>
    </row>
    <row r="24699" spans="2:9" ht="15" customHeight="1" x14ac:dyDescent="0.25">
      <c r="B24699" s="55" t="s">
        <v>283</v>
      </c>
      <c r="C24699" s="46">
        <v>4687</v>
      </c>
      <c r="D24699" s="69" t="s">
        <v>29420</v>
      </c>
      <c r="E24699" s="51"/>
      <c r="F24699" s="114" t="str">
        <f>IF(INDEX(I.Facility.P4IDNumber,4687)="","",INDEX(I.Facility.P4IDNumber,4687))</f>
        <v/>
      </c>
      <c r="G24699" s="51"/>
      <c r="H24699" s="46" t="str">
        <f>IF(AND(I.Developer.P4=TRUE,I.Facility.P4FacilityCount&gt;=4687,F24699=""),"Incomplete","Complete")</f>
        <v>Complete</v>
      </c>
      <c r="I24699" s="48" t="s">
        <v>29064</v>
      </c>
    </row>
    <row r="24700" spans="2:9" ht="15" customHeight="1" x14ac:dyDescent="0.25">
      <c r="B24700" s="55" t="s">
        <v>283</v>
      </c>
      <c r="C24700" s="46">
        <v>4688</v>
      </c>
      <c r="D24700" s="69" t="s">
        <v>29420</v>
      </c>
      <c r="E24700" s="51"/>
      <c r="F24700" s="114" t="str">
        <f>IF(INDEX(I.Facility.P4IDNumber,4688)="","",INDEX(I.Facility.P4IDNumber,4688))</f>
        <v/>
      </c>
      <c r="G24700" s="51"/>
      <c r="H24700" s="46" t="str">
        <f>IF(AND(I.Developer.P4=TRUE,I.Facility.P4FacilityCount&gt;=4688,F24700=""),"Incomplete","Complete")</f>
        <v>Complete</v>
      </c>
      <c r="I24700" s="48" t="s">
        <v>29065</v>
      </c>
    </row>
    <row r="24701" spans="2:9" ht="15" customHeight="1" x14ac:dyDescent="0.25">
      <c r="B24701" s="55" t="s">
        <v>283</v>
      </c>
      <c r="C24701" s="46">
        <v>4689</v>
      </c>
      <c r="D24701" s="69" t="s">
        <v>29420</v>
      </c>
      <c r="E24701" s="51"/>
      <c r="F24701" s="114" t="str">
        <f>IF(INDEX(I.Facility.P4IDNumber,4689)="","",INDEX(I.Facility.P4IDNumber,4689))</f>
        <v/>
      </c>
      <c r="G24701" s="51"/>
      <c r="H24701" s="46" t="str">
        <f>IF(AND(I.Developer.P4=TRUE,I.Facility.P4FacilityCount&gt;=4689,F24701=""),"Incomplete","Complete")</f>
        <v>Complete</v>
      </c>
      <c r="I24701" s="48" t="s">
        <v>29066</v>
      </c>
    </row>
    <row r="24702" spans="2:9" ht="15" customHeight="1" x14ac:dyDescent="0.25">
      <c r="B24702" s="55" t="s">
        <v>283</v>
      </c>
      <c r="C24702" s="46">
        <v>4690</v>
      </c>
      <c r="D24702" s="69" t="s">
        <v>29420</v>
      </c>
      <c r="E24702" s="51"/>
      <c r="F24702" s="114" t="str">
        <f>IF(INDEX(I.Facility.P4IDNumber,4690)="","",INDEX(I.Facility.P4IDNumber,4690))</f>
        <v/>
      </c>
      <c r="G24702" s="51"/>
      <c r="H24702" s="46" t="str">
        <f>IF(AND(I.Developer.P4=TRUE,I.Facility.P4FacilityCount&gt;=4690,F24702=""),"Incomplete","Complete")</f>
        <v>Complete</v>
      </c>
      <c r="I24702" s="48" t="s">
        <v>29067</v>
      </c>
    </row>
    <row r="24703" spans="2:9" ht="15" customHeight="1" x14ac:dyDescent="0.25">
      <c r="B24703" s="55" t="s">
        <v>283</v>
      </c>
      <c r="C24703" s="46">
        <v>4691</v>
      </c>
      <c r="D24703" s="69" t="s">
        <v>29420</v>
      </c>
      <c r="E24703" s="51"/>
      <c r="F24703" s="114" t="str">
        <f>IF(INDEX(I.Facility.P4IDNumber,4691)="","",INDEX(I.Facility.P4IDNumber,4691))</f>
        <v/>
      </c>
      <c r="G24703" s="51"/>
      <c r="H24703" s="46" t="str">
        <f>IF(AND(I.Developer.P4=TRUE,I.Facility.P4FacilityCount&gt;=4691,F24703=""),"Incomplete","Complete")</f>
        <v>Complete</v>
      </c>
      <c r="I24703" s="48" t="s">
        <v>29068</v>
      </c>
    </row>
    <row r="24704" spans="2:9" ht="15" customHeight="1" x14ac:dyDescent="0.25">
      <c r="B24704" s="55" t="s">
        <v>283</v>
      </c>
      <c r="C24704" s="46">
        <v>4692</v>
      </c>
      <c r="D24704" s="69" t="s">
        <v>29420</v>
      </c>
      <c r="E24704" s="51"/>
      <c r="F24704" s="114" t="str">
        <f>IF(INDEX(I.Facility.P4IDNumber,4692)="","",INDEX(I.Facility.P4IDNumber,4692))</f>
        <v/>
      </c>
      <c r="G24704" s="51"/>
      <c r="H24704" s="46" t="str">
        <f>IF(AND(I.Developer.P4=TRUE,I.Facility.P4FacilityCount&gt;=4692,F24704=""),"Incomplete","Complete")</f>
        <v>Complete</v>
      </c>
      <c r="I24704" s="48" t="s">
        <v>29069</v>
      </c>
    </row>
    <row r="24705" spans="2:9" ht="15" customHeight="1" x14ac:dyDescent="0.25">
      <c r="B24705" s="55" t="s">
        <v>283</v>
      </c>
      <c r="C24705" s="46">
        <v>4693</v>
      </c>
      <c r="D24705" s="69" t="s">
        <v>29420</v>
      </c>
      <c r="E24705" s="51"/>
      <c r="F24705" s="114" t="str">
        <f>IF(INDEX(I.Facility.P4IDNumber,4693)="","",INDEX(I.Facility.P4IDNumber,4693))</f>
        <v/>
      </c>
      <c r="G24705" s="51"/>
      <c r="H24705" s="46" t="str">
        <f>IF(AND(I.Developer.P4=TRUE,I.Facility.P4FacilityCount&gt;=4693,F24705=""),"Incomplete","Complete")</f>
        <v>Complete</v>
      </c>
      <c r="I24705" s="48" t="s">
        <v>29070</v>
      </c>
    </row>
    <row r="24706" spans="2:9" ht="15" customHeight="1" x14ac:dyDescent="0.25">
      <c r="B24706" s="55" t="s">
        <v>283</v>
      </c>
      <c r="C24706" s="46">
        <v>4694</v>
      </c>
      <c r="D24706" s="69" t="s">
        <v>29420</v>
      </c>
      <c r="E24706" s="51"/>
      <c r="F24706" s="114" t="str">
        <f>IF(INDEX(I.Facility.P4IDNumber,4694)="","",INDEX(I.Facility.P4IDNumber,4694))</f>
        <v/>
      </c>
      <c r="G24706" s="51"/>
      <c r="H24706" s="46" t="str">
        <f>IF(AND(I.Developer.P4=TRUE,I.Facility.P4FacilityCount&gt;=4694,F24706=""),"Incomplete","Complete")</f>
        <v>Complete</v>
      </c>
      <c r="I24706" s="48" t="s">
        <v>29071</v>
      </c>
    </row>
    <row r="24707" spans="2:9" ht="15" customHeight="1" x14ac:dyDescent="0.25">
      <c r="B24707" s="55" t="s">
        <v>283</v>
      </c>
      <c r="C24707" s="46">
        <v>4695</v>
      </c>
      <c r="D24707" s="69" t="s">
        <v>29420</v>
      </c>
      <c r="E24707" s="51"/>
      <c r="F24707" s="114" t="str">
        <f>IF(INDEX(I.Facility.P4IDNumber,4695)="","",INDEX(I.Facility.P4IDNumber,4695))</f>
        <v/>
      </c>
      <c r="G24707" s="51"/>
      <c r="H24707" s="46" t="str">
        <f>IF(AND(I.Developer.P4=TRUE,I.Facility.P4FacilityCount&gt;=4695,F24707=""),"Incomplete","Complete")</f>
        <v>Complete</v>
      </c>
      <c r="I24707" s="48" t="s">
        <v>29072</v>
      </c>
    </row>
    <row r="24708" spans="2:9" ht="15" customHeight="1" x14ac:dyDescent="0.25">
      <c r="B24708" s="55" t="s">
        <v>283</v>
      </c>
      <c r="C24708" s="46">
        <v>4696</v>
      </c>
      <c r="D24708" s="69" t="s">
        <v>29420</v>
      </c>
      <c r="E24708" s="51"/>
      <c r="F24708" s="114" t="str">
        <f>IF(INDEX(I.Facility.P4IDNumber,4696)="","",INDEX(I.Facility.P4IDNumber,4696))</f>
        <v/>
      </c>
      <c r="G24708" s="51"/>
      <c r="H24708" s="46" t="str">
        <f>IF(AND(I.Developer.P4=TRUE,I.Facility.P4FacilityCount&gt;=4696,F24708=""),"Incomplete","Complete")</f>
        <v>Complete</v>
      </c>
      <c r="I24708" s="48" t="s">
        <v>29073</v>
      </c>
    </row>
    <row r="24709" spans="2:9" ht="15" customHeight="1" x14ac:dyDescent="0.25">
      <c r="B24709" s="55" t="s">
        <v>283</v>
      </c>
      <c r="C24709" s="46">
        <v>4697</v>
      </c>
      <c r="D24709" s="69" t="s">
        <v>29420</v>
      </c>
      <c r="E24709" s="51"/>
      <c r="F24709" s="114" t="str">
        <f>IF(INDEX(I.Facility.P4IDNumber,4697)="","",INDEX(I.Facility.P4IDNumber,4697))</f>
        <v/>
      </c>
      <c r="G24709" s="51"/>
      <c r="H24709" s="46" t="str">
        <f>IF(AND(I.Developer.P4=TRUE,I.Facility.P4FacilityCount&gt;=4697,F24709=""),"Incomplete","Complete")</f>
        <v>Complete</v>
      </c>
      <c r="I24709" s="48" t="s">
        <v>29074</v>
      </c>
    </row>
    <row r="24710" spans="2:9" ht="15" customHeight="1" x14ac:dyDescent="0.25">
      <c r="B24710" s="55" t="s">
        <v>283</v>
      </c>
      <c r="C24710" s="46">
        <v>4698</v>
      </c>
      <c r="D24710" s="69" t="s">
        <v>29420</v>
      </c>
      <c r="E24710" s="51"/>
      <c r="F24710" s="114" t="str">
        <f>IF(INDEX(I.Facility.P4IDNumber,4698)="","",INDEX(I.Facility.P4IDNumber,4698))</f>
        <v/>
      </c>
      <c r="G24710" s="51"/>
      <c r="H24710" s="46" t="str">
        <f>IF(AND(I.Developer.P4=TRUE,I.Facility.P4FacilityCount&gt;=4698,F24710=""),"Incomplete","Complete")</f>
        <v>Complete</v>
      </c>
      <c r="I24710" s="48" t="s">
        <v>29075</v>
      </c>
    </row>
    <row r="24711" spans="2:9" ht="15" customHeight="1" x14ac:dyDescent="0.25">
      <c r="B24711" s="55" t="s">
        <v>283</v>
      </c>
      <c r="C24711" s="46">
        <v>4699</v>
      </c>
      <c r="D24711" s="69" t="s">
        <v>29420</v>
      </c>
      <c r="E24711" s="51"/>
      <c r="F24711" s="114" t="str">
        <f>IF(INDEX(I.Facility.P4IDNumber,4699)="","",INDEX(I.Facility.P4IDNumber,4699))</f>
        <v/>
      </c>
      <c r="G24711" s="51"/>
      <c r="H24711" s="46" t="str">
        <f>IF(AND(I.Developer.P4=TRUE,I.Facility.P4FacilityCount&gt;=4699,F24711=""),"Incomplete","Complete")</f>
        <v>Complete</v>
      </c>
      <c r="I24711" s="48" t="s">
        <v>29076</v>
      </c>
    </row>
    <row r="24712" spans="2:9" ht="15" customHeight="1" x14ac:dyDescent="0.25">
      <c r="B24712" s="55" t="s">
        <v>283</v>
      </c>
      <c r="C24712" s="46">
        <v>4700</v>
      </c>
      <c r="D24712" s="69" t="s">
        <v>29420</v>
      </c>
      <c r="E24712" s="51"/>
      <c r="F24712" s="114" t="str">
        <f>IF(INDEX(I.Facility.P4IDNumber,4700)="","",INDEX(I.Facility.P4IDNumber,4700))</f>
        <v/>
      </c>
      <c r="G24712" s="51"/>
      <c r="H24712" s="46" t="str">
        <f>IF(AND(I.Developer.P4=TRUE,I.Facility.P4FacilityCount&gt;=4700,F24712=""),"Incomplete","Complete")</f>
        <v>Complete</v>
      </c>
      <c r="I24712" s="48" t="s">
        <v>29077</v>
      </c>
    </row>
    <row r="24713" spans="2:9" ht="15" customHeight="1" x14ac:dyDescent="0.25">
      <c r="B24713" s="55" t="s">
        <v>283</v>
      </c>
      <c r="C24713" s="46">
        <v>4701</v>
      </c>
      <c r="D24713" s="69" t="s">
        <v>29420</v>
      </c>
      <c r="E24713" s="51"/>
      <c r="F24713" s="114" t="str">
        <f>IF(INDEX(I.Facility.P4IDNumber,4701)="","",INDEX(I.Facility.P4IDNumber,4701))</f>
        <v/>
      </c>
      <c r="G24713" s="51"/>
      <c r="H24713" s="46" t="str">
        <f>IF(AND(I.Developer.P4=TRUE,I.Facility.P4FacilityCount&gt;=4701,F24713=""),"Incomplete","Complete")</f>
        <v>Complete</v>
      </c>
      <c r="I24713" s="48" t="s">
        <v>29078</v>
      </c>
    </row>
    <row r="24714" spans="2:9" ht="15" customHeight="1" x14ac:dyDescent="0.25">
      <c r="B24714" s="55" t="s">
        <v>283</v>
      </c>
      <c r="C24714" s="46">
        <v>4702</v>
      </c>
      <c r="D24714" s="69" t="s">
        <v>29420</v>
      </c>
      <c r="E24714" s="51"/>
      <c r="F24714" s="114" t="str">
        <f>IF(INDEX(I.Facility.P4IDNumber,4702)="","",INDEX(I.Facility.P4IDNumber,4702))</f>
        <v/>
      </c>
      <c r="G24714" s="51"/>
      <c r="H24714" s="46" t="str">
        <f>IF(AND(I.Developer.P4=TRUE,I.Facility.P4FacilityCount&gt;=4702,F24714=""),"Incomplete","Complete")</f>
        <v>Complete</v>
      </c>
      <c r="I24714" s="48" t="s">
        <v>29079</v>
      </c>
    </row>
    <row r="24715" spans="2:9" ht="15" customHeight="1" x14ac:dyDescent="0.25">
      <c r="B24715" s="55" t="s">
        <v>283</v>
      </c>
      <c r="C24715" s="46">
        <v>4703</v>
      </c>
      <c r="D24715" s="69" t="s">
        <v>29420</v>
      </c>
      <c r="E24715" s="51"/>
      <c r="F24715" s="114" t="str">
        <f>IF(INDEX(I.Facility.P4IDNumber,4703)="","",INDEX(I.Facility.P4IDNumber,4703))</f>
        <v/>
      </c>
      <c r="G24715" s="51"/>
      <c r="H24715" s="46" t="str">
        <f>IF(AND(I.Developer.P4=TRUE,I.Facility.P4FacilityCount&gt;=4703,F24715=""),"Incomplete","Complete")</f>
        <v>Complete</v>
      </c>
      <c r="I24715" s="48" t="s">
        <v>29080</v>
      </c>
    </row>
    <row r="24716" spans="2:9" ht="15" customHeight="1" x14ac:dyDescent="0.25">
      <c r="B24716" s="55" t="s">
        <v>283</v>
      </c>
      <c r="C24716" s="46">
        <v>4704</v>
      </c>
      <c r="D24716" s="69" t="s">
        <v>29420</v>
      </c>
      <c r="E24716" s="51"/>
      <c r="F24716" s="114" t="str">
        <f>IF(INDEX(I.Facility.P4IDNumber,4704)="","",INDEX(I.Facility.P4IDNumber,4704))</f>
        <v/>
      </c>
      <c r="G24716" s="51"/>
      <c r="H24716" s="46" t="str">
        <f>IF(AND(I.Developer.P4=TRUE,I.Facility.P4FacilityCount&gt;=4704,F24716=""),"Incomplete","Complete")</f>
        <v>Complete</v>
      </c>
      <c r="I24716" s="48" t="s">
        <v>29081</v>
      </c>
    </row>
    <row r="24717" spans="2:9" ht="15" customHeight="1" x14ac:dyDescent="0.25">
      <c r="B24717" s="55" t="s">
        <v>283</v>
      </c>
      <c r="C24717" s="46">
        <v>4705</v>
      </c>
      <c r="D24717" s="69" t="s">
        <v>29420</v>
      </c>
      <c r="E24717" s="51"/>
      <c r="F24717" s="114" t="str">
        <f>IF(INDEX(I.Facility.P4IDNumber,4705)="","",INDEX(I.Facility.P4IDNumber,4705))</f>
        <v/>
      </c>
      <c r="G24717" s="51"/>
      <c r="H24717" s="46" t="str">
        <f>IF(AND(I.Developer.P4=TRUE,I.Facility.P4FacilityCount&gt;=4705,F24717=""),"Incomplete","Complete")</f>
        <v>Complete</v>
      </c>
      <c r="I24717" s="48" t="s">
        <v>29082</v>
      </c>
    </row>
    <row r="24718" spans="2:9" ht="15" customHeight="1" x14ac:dyDescent="0.25">
      <c r="B24718" s="55" t="s">
        <v>283</v>
      </c>
      <c r="C24718" s="46">
        <v>4706</v>
      </c>
      <c r="D24718" s="69" t="s">
        <v>29420</v>
      </c>
      <c r="E24718" s="51"/>
      <c r="F24718" s="114" t="str">
        <f>IF(INDEX(I.Facility.P4IDNumber,4706)="","",INDEX(I.Facility.P4IDNumber,4706))</f>
        <v/>
      </c>
      <c r="G24718" s="51"/>
      <c r="H24718" s="46" t="str">
        <f>IF(AND(I.Developer.P4=TRUE,I.Facility.P4FacilityCount&gt;=4706,F24718=""),"Incomplete","Complete")</f>
        <v>Complete</v>
      </c>
      <c r="I24718" s="48" t="s">
        <v>29083</v>
      </c>
    </row>
    <row r="24719" spans="2:9" ht="15" customHeight="1" x14ac:dyDescent="0.25">
      <c r="B24719" s="55" t="s">
        <v>283</v>
      </c>
      <c r="C24719" s="46">
        <v>4707</v>
      </c>
      <c r="D24719" s="69" t="s">
        <v>29420</v>
      </c>
      <c r="E24719" s="51"/>
      <c r="F24719" s="114" t="str">
        <f>IF(INDEX(I.Facility.P4IDNumber,4707)="","",INDEX(I.Facility.P4IDNumber,4707))</f>
        <v/>
      </c>
      <c r="G24719" s="51"/>
      <c r="H24719" s="46" t="str">
        <f>IF(AND(I.Developer.P4=TRUE,I.Facility.P4FacilityCount&gt;=4707,F24719=""),"Incomplete","Complete")</f>
        <v>Complete</v>
      </c>
      <c r="I24719" s="48" t="s">
        <v>29084</v>
      </c>
    </row>
    <row r="24720" spans="2:9" ht="15" customHeight="1" x14ac:dyDescent="0.25">
      <c r="B24720" s="55" t="s">
        <v>283</v>
      </c>
      <c r="C24720" s="46">
        <v>4708</v>
      </c>
      <c r="D24720" s="69" t="s">
        <v>29420</v>
      </c>
      <c r="E24720" s="51"/>
      <c r="F24720" s="114" t="str">
        <f>IF(INDEX(I.Facility.P4IDNumber,4708)="","",INDEX(I.Facility.P4IDNumber,4708))</f>
        <v/>
      </c>
      <c r="G24720" s="51"/>
      <c r="H24720" s="46" t="str">
        <f>IF(AND(I.Developer.P4=TRUE,I.Facility.P4FacilityCount&gt;=4708,F24720=""),"Incomplete","Complete")</f>
        <v>Complete</v>
      </c>
      <c r="I24720" s="48" t="s">
        <v>29085</v>
      </c>
    </row>
    <row r="24721" spans="2:9" ht="15" customHeight="1" x14ac:dyDescent="0.25">
      <c r="B24721" s="55" t="s">
        <v>283</v>
      </c>
      <c r="C24721" s="46">
        <v>4709</v>
      </c>
      <c r="D24721" s="69" t="s">
        <v>29420</v>
      </c>
      <c r="E24721" s="51"/>
      <c r="F24721" s="114" t="str">
        <f>IF(INDEX(I.Facility.P4IDNumber,4709)="","",INDEX(I.Facility.P4IDNumber,4709))</f>
        <v/>
      </c>
      <c r="G24721" s="51"/>
      <c r="H24721" s="46" t="str">
        <f>IF(AND(I.Developer.P4=TRUE,I.Facility.P4FacilityCount&gt;=4709,F24721=""),"Incomplete","Complete")</f>
        <v>Complete</v>
      </c>
      <c r="I24721" s="48" t="s">
        <v>29086</v>
      </c>
    </row>
    <row r="24722" spans="2:9" ht="15" customHeight="1" x14ac:dyDescent="0.25">
      <c r="B24722" s="55" t="s">
        <v>283</v>
      </c>
      <c r="C24722" s="46">
        <v>4710</v>
      </c>
      <c r="D24722" s="69" t="s">
        <v>29420</v>
      </c>
      <c r="E24722" s="51"/>
      <c r="F24722" s="114" t="str">
        <f>IF(INDEX(I.Facility.P4IDNumber,4710)="","",INDEX(I.Facility.P4IDNumber,4710))</f>
        <v/>
      </c>
      <c r="G24722" s="51"/>
      <c r="H24722" s="46" t="str">
        <f>IF(AND(I.Developer.P4=TRUE,I.Facility.P4FacilityCount&gt;=4710,F24722=""),"Incomplete","Complete")</f>
        <v>Complete</v>
      </c>
      <c r="I24722" s="48" t="s">
        <v>29087</v>
      </c>
    </row>
    <row r="24723" spans="2:9" ht="15" customHeight="1" x14ac:dyDescent="0.25">
      <c r="B24723" s="55" t="s">
        <v>283</v>
      </c>
      <c r="C24723" s="46">
        <v>4711</v>
      </c>
      <c r="D24723" s="69" t="s">
        <v>29420</v>
      </c>
      <c r="E24723" s="51"/>
      <c r="F24723" s="114" t="str">
        <f>IF(INDEX(I.Facility.P4IDNumber,4711)="","",INDEX(I.Facility.P4IDNumber,4711))</f>
        <v/>
      </c>
      <c r="G24723" s="51"/>
      <c r="H24723" s="46" t="str">
        <f>IF(AND(I.Developer.P4=TRUE,I.Facility.P4FacilityCount&gt;=4711,F24723=""),"Incomplete","Complete")</f>
        <v>Complete</v>
      </c>
      <c r="I24723" s="48" t="s">
        <v>29088</v>
      </c>
    </row>
    <row r="24724" spans="2:9" ht="15" customHeight="1" x14ac:dyDescent="0.25">
      <c r="B24724" s="55" t="s">
        <v>283</v>
      </c>
      <c r="C24724" s="46">
        <v>4712</v>
      </c>
      <c r="D24724" s="69" t="s">
        <v>29420</v>
      </c>
      <c r="E24724" s="51"/>
      <c r="F24724" s="114" t="str">
        <f>IF(INDEX(I.Facility.P4IDNumber,4712)="","",INDEX(I.Facility.P4IDNumber,4712))</f>
        <v/>
      </c>
      <c r="G24724" s="51"/>
      <c r="H24724" s="46" t="str">
        <f>IF(AND(I.Developer.P4=TRUE,I.Facility.P4FacilityCount&gt;=4712,F24724=""),"Incomplete","Complete")</f>
        <v>Complete</v>
      </c>
      <c r="I24724" s="48" t="s">
        <v>29089</v>
      </c>
    </row>
    <row r="24725" spans="2:9" ht="15" customHeight="1" x14ac:dyDescent="0.25">
      <c r="B24725" s="55" t="s">
        <v>283</v>
      </c>
      <c r="C24725" s="46">
        <v>4713</v>
      </c>
      <c r="D24725" s="69" t="s">
        <v>29420</v>
      </c>
      <c r="E24725" s="51"/>
      <c r="F24725" s="114" t="str">
        <f>IF(INDEX(I.Facility.P4IDNumber,4713)="","",INDEX(I.Facility.P4IDNumber,4713))</f>
        <v/>
      </c>
      <c r="G24725" s="51"/>
      <c r="H24725" s="46" t="str">
        <f>IF(AND(I.Developer.P4=TRUE,I.Facility.P4FacilityCount&gt;=4713,F24725=""),"Incomplete","Complete")</f>
        <v>Complete</v>
      </c>
      <c r="I24725" s="48" t="s">
        <v>29090</v>
      </c>
    </row>
    <row r="24726" spans="2:9" ht="15" customHeight="1" x14ac:dyDescent="0.25">
      <c r="B24726" s="55" t="s">
        <v>283</v>
      </c>
      <c r="C24726" s="46">
        <v>4714</v>
      </c>
      <c r="D24726" s="69" t="s">
        <v>29420</v>
      </c>
      <c r="E24726" s="51"/>
      <c r="F24726" s="114" t="str">
        <f>IF(INDEX(I.Facility.P4IDNumber,4714)="","",INDEX(I.Facility.P4IDNumber,4714))</f>
        <v/>
      </c>
      <c r="G24726" s="51"/>
      <c r="H24726" s="46" t="str">
        <f>IF(AND(I.Developer.P4=TRUE,I.Facility.P4FacilityCount&gt;=4714,F24726=""),"Incomplete","Complete")</f>
        <v>Complete</v>
      </c>
      <c r="I24726" s="48" t="s">
        <v>29091</v>
      </c>
    </row>
    <row r="24727" spans="2:9" ht="15" customHeight="1" x14ac:dyDescent="0.25">
      <c r="B24727" s="55" t="s">
        <v>283</v>
      </c>
      <c r="C24727" s="46">
        <v>4715</v>
      </c>
      <c r="D24727" s="69" t="s">
        <v>29420</v>
      </c>
      <c r="E24727" s="51"/>
      <c r="F24727" s="114" t="str">
        <f>IF(INDEX(I.Facility.P4IDNumber,4715)="","",INDEX(I.Facility.P4IDNumber,4715))</f>
        <v/>
      </c>
      <c r="G24727" s="51"/>
      <c r="H24727" s="46" t="str">
        <f>IF(AND(I.Developer.P4=TRUE,I.Facility.P4FacilityCount&gt;=4715,F24727=""),"Incomplete","Complete")</f>
        <v>Complete</v>
      </c>
      <c r="I24727" s="48" t="s">
        <v>29092</v>
      </c>
    </row>
    <row r="24728" spans="2:9" ht="15" customHeight="1" x14ac:dyDescent="0.25">
      <c r="B24728" s="55" t="s">
        <v>283</v>
      </c>
      <c r="C24728" s="46">
        <v>4716</v>
      </c>
      <c r="D24728" s="69" t="s">
        <v>29420</v>
      </c>
      <c r="E24728" s="51"/>
      <c r="F24728" s="114" t="str">
        <f>IF(INDEX(I.Facility.P4IDNumber,4716)="","",INDEX(I.Facility.P4IDNumber,4716))</f>
        <v/>
      </c>
      <c r="G24728" s="51"/>
      <c r="H24728" s="46" t="str">
        <f>IF(AND(I.Developer.P4=TRUE,I.Facility.P4FacilityCount&gt;=4716,F24728=""),"Incomplete","Complete")</f>
        <v>Complete</v>
      </c>
      <c r="I24728" s="48" t="s">
        <v>29093</v>
      </c>
    </row>
    <row r="24729" spans="2:9" ht="15" customHeight="1" x14ac:dyDescent="0.25">
      <c r="B24729" s="55" t="s">
        <v>283</v>
      </c>
      <c r="C24729" s="46">
        <v>4717</v>
      </c>
      <c r="D24729" s="69" t="s">
        <v>29420</v>
      </c>
      <c r="E24729" s="51"/>
      <c r="F24729" s="114" t="str">
        <f>IF(INDEX(I.Facility.P4IDNumber,4717)="","",INDEX(I.Facility.P4IDNumber,4717))</f>
        <v/>
      </c>
      <c r="G24729" s="51"/>
      <c r="H24729" s="46" t="str">
        <f>IF(AND(I.Developer.P4=TRUE,I.Facility.P4FacilityCount&gt;=4717,F24729=""),"Incomplete","Complete")</f>
        <v>Complete</v>
      </c>
      <c r="I24729" s="48" t="s">
        <v>29094</v>
      </c>
    </row>
    <row r="24730" spans="2:9" ht="15" customHeight="1" x14ac:dyDescent="0.25">
      <c r="B24730" s="55" t="s">
        <v>283</v>
      </c>
      <c r="C24730" s="46">
        <v>4718</v>
      </c>
      <c r="D24730" s="69" t="s">
        <v>29420</v>
      </c>
      <c r="E24730" s="51"/>
      <c r="F24730" s="114" t="str">
        <f>IF(INDEX(I.Facility.P4IDNumber,4718)="","",INDEX(I.Facility.P4IDNumber,4718))</f>
        <v/>
      </c>
      <c r="G24730" s="51"/>
      <c r="H24730" s="46" t="str">
        <f>IF(AND(I.Developer.P4=TRUE,I.Facility.P4FacilityCount&gt;=4718,F24730=""),"Incomplete","Complete")</f>
        <v>Complete</v>
      </c>
      <c r="I24730" s="48" t="s">
        <v>29095</v>
      </c>
    </row>
    <row r="24731" spans="2:9" ht="15" customHeight="1" x14ac:dyDescent="0.25">
      <c r="B24731" s="55" t="s">
        <v>283</v>
      </c>
      <c r="C24731" s="46">
        <v>4719</v>
      </c>
      <c r="D24731" s="69" t="s">
        <v>29420</v>
      </c>
      <c r="E24731" s="51"/>
      <c r="F24731" s="114" t="str">
        <f>IF(INDEX(I.Facility.P4IDNumber,4719)="","",INDEX(I.Facility.P4IDNumber,4719))</f>
        <v/>
      </c>
      <c r="G24731" s="51"/>
      <c r="H24731" s="46" t="str">
        <f>IF(AND(I.Developer.P4=TRUE,I.Facility.P4FacilityCount&gt;=4719,F24731=""),"Incomplete","Complete")</f>
        <v>Complete</v>
      </c>
      <c r="I24731" s="48" t="s">
        <v>29096</v>
      </c>
    </row>
    <row r="24732" spans="2:9" ht="15" customHeight="1" x14ac:dyDescent="0.25">
      <c r="B24732" s="55" t="s">
        <v>283</v>
      </c>
      <c r="C24732" s="46">
        <v>4720</v>
      </c>
      <c r="D24732" s="69" t="s">
        <v>29420</v>
      </c>
      <c r="E24732" s="51"/>
      <c r="F24732" s="114" t="str">
        <f>IF(INDEX(I.Facility.P4IDNumber,4720)="","",INDEX(I.Facility.P4IDNumber,4720))</f>
        <v/>
      </c>
      <c r="G24732" s="51"/>
      <c r="H24732" s="46" t="str">
        <f>IF(AND(I.Developer.P4=TRUE,I.Facility.P4FacilityCount&gt;=4720,F24732=""),"Incomplete","Complete")</f>
        <v>Complete</v>
      </c>
      <c r="I24732" s="48" t="s">
        <v>29097</v>
      </c>
    </row>
    <row r="24733" spans="2:9" ht="15" customHeight="1" x14ac:dyDescent="0.25">
      <c r="B24733" s="55" t="s">
        <v>283</v>
      </c>
      <c r="C24733" s="46">
        <v>4721</v>
      </c>
      <c r="D24733" s="69" t="s">
        <v>29420</v>
      </c>
      <c r="E24733" s="51"/>
      <c r="F24733" s="114" t="str">
        <f>IF(INDEX(I.Facility.P4IDNumber,4721)="","",INDEX(I.Facility.P4IDNumber,4721))</f>
        <v/>
      </c>
      <c r="G24733" s="51"/>
      <c r="H24733" s="46" t="str">
        <f>IF(AND(I.Developer.P4=TRUE,I.Facility.P4FacilityCount&gt;=4721,F24733=""),"Incomplete","Complete")</f>
        <v>Complete</v>
      </c>
      <c r="I24733" s="48" t="s">
        <v>29098</v>
      </c>
    </row>
    <row r="24734" spans="2:9" ht="15" customHeight="1" x14ac:dyDescent="0.25">
      <c r="B24734" s="55" t="s">
        <v>283</v>
      </c>
      <c r="C24734" s="46">
        <v>4722</v>
      </c>
      <c r="D24734" s="69" t="s">
        <v>29420</v>
      </c>
      <c r="E24734" s="51"/>
      <c r="F24734" s="114" t="str">
        <f>IF(INDEX(I.Facility.P4IDNumber,4722)="","",INDEX(I.Facility.P4IDNumber,4722))</f>
        <v/>
      </c>
      <c r="G24734" s="51"/>
      <c r="H24734" s="46" t="str">
        <f>IF(AND(I.Developer.P4=TRUE,I.Facility.P4FacilityCount&gt;=4722,F24734=""),"Incomplete","Complete")</f>
        <v>Complete</v>
      </c>
      <c r="I24734" s="48" t="s">
        <v>29099</v>
      </c>
    </row>
    <row r="24735" spans="2:9" ht="15" customHeight="1" x14ac:dyDescent="0.25">
      <c r="B24735" s="55" t="s">
        <v>283</v>
      </c>
      <c r="C24735" s="46">
        <v>4723</v>
      </c>
      <c r="D24735" s="69" t="s">
        <v>29420</v>
      </c>
      <c r="E24735" s="51"/>
      <c r="F24735" s="114" t="str">
        <f>IF(INDEX(I.Facility.P4IDNumber,4723)="","",INDEX(I.Facility.P4IDNumber,4723))</f>
        <v/>
      </c>
      <c r="G24735" s="51"/>
      <c r="H24735" s="46" t="str">
        <f>IF(AND(I.Developer.P4=TRUE,I.Facility.P4FacilityCount&gt;=4723,F24735=""),"Incomplete","Complete")</f>
        <v>Complete</v>
      </c>
      <c r="I24735" s="48" t="s">
        <v>29100</v>
      </c>
    </row>
    <row r="24736" spans="2:9" ht="15" customHeight="1" x14ac:dyDescent="0.25">
      <c r="B24736" s="55" t="s">
        <v>283</v>
      </c>
      <c r="C24736" s="46">
        <v>4724</v>
      </c>
      <c r="D24736" s="69" t="s">
        <v>29420</v>
      </c>
      <c r="E24736" s="51"/>
      <c r="F24736" s="114" t="str">
        <f>IF(INDEX(I.Facility.P4IDNumber,4724)="","",INDEX(I.Facility.P4IDNumber,4724))</f>
        <v/>
      </c>
      <c r="G24736" s="51"/>
      <c r="H24736" s="46" t="str">
        <f>IF(AND(I.Developer.P4=TRUE,I.Facility.P4FacilityCount&gt;=4724,F24736=""),"Incomplete","Complete")</f>
        <v>Complete</v>
      </c>
      <c r="I24736" s="48" t="s">
        <v>29101</v>
      </c>
    </row>
    <row r="24737" spans="2:9" ht="15" customHeight="1" x14ac:dyDescent="0.25">
      <c r="B24737" s="55" t="s">
        <v>283</v>
      </c>
      <c r="C24737" s="46">
        <v>4725</v>
      </c>
      <c r="D24737" s="69" t="s">
        <v>29420</v>
      </c>
      <c r="E24737" s="51"/>
      <c r="F24737" s="114" t="str">
        <f>IF(INDEX(I.Facility.P4IDNumber,4725)="","",INDEX(I.Facility.P4IDNumber,4725))</f>
        <v/>
      </c>
      <c r="G24737" s="51"/>
      <c r="H24737" s="46" t="str">
        <f>IF(AND(I.Developer.P4=TRUE,I.Facility.P4FacilityCount&gt;=4725,F24737=""),"Incomplete","Complete")</f>
        <v>Complete</v>
      </c>
      <c r="I24737" s="48" t="s">
        <v>29102</v>
      </c>
    </row>
    <row r="24738" spans="2:9" ht="15" customHeight="1" x14ac:dyDescent="0.25">
      <c r="B24738" s="55" t="s">
        <v>283</v>
      </c>
      <c r="C24738" s="46">
        <v>4726</v>
      </c>
      <c r="D24738" s="69" t="s">
        <v>29420</v>
      </c>
      <c r="E24738" s="51"/>
      <c r="F24738" s="114" t="str">
        <f>IF(INDEX(I.Facility.P4IDNumber,4726)="","",INDEX(I.Facility.P4IDNumber,4726))</f>
        <v/>
      </c>
      <c r="G24738" s="51"/>
      <c r="H24738" s="46" t="str">
        <f>IF(AND(I.Developer.P4=TRUE,I.Facility.P4FacilityCount&gt;=4726,F24738=""),"Incomplete","Complete")</f>
        <v>Complete</v>
      </c>
      <c r="I24738" s="48" t="s">
        <v>29103</v>
      </c>
    </row>
    <row r="24739" spans="2:9" ht="15" customHeight="1" x14ac:dyDescent="0.25">
      <c r="B24739" s="55" t="s">
        <v>283</v>
      </c>
      <c r="C24739" s="46">
        <v>4727</v>
      </c>
      <c r="D24739" s="69" t="s">
        <v>29420</v>
      </c>
      <c r="E24739" s="51"/>
      <c r="F24739" s="114" t="str">
        <f>IF(INDEX(I.Facility.P4IDNumber,4727)="","",INDEX(I.Facility.P4IDNumber,4727))</f>
        <v/>
      </c>
      <c r="G24739" s="51"/>
      <c r="H24739" s="46" t="str">
        <f>IF(AND(I.Developer.P4=TRUE,I.Facility.P4FacilityCount&gt;=4727,F24739=""),"Incomplete","Complete")</f>
        <v>Complete</v>
      </c>
      <c r="I24739" s="48" t="s">
        <v>29104</v>
      </c>
    </row>
    <row r="24740" spans="2:9" ht="15" customHeight="1" x14ac:dyDescent="0.25">
      <c r="B24740" s="55" t="s">
        <v>283</v>
      </c>
      <c r="C24740" s="46">
        <v>4728</v>
      </c>
      <c r="D24740" s="69" t="s">
        <v>29420</v>
      </c>
      <c r="E24740" s="51"/>
      <c r="F24740" s="114" t="str">
        <f>IF(INDEX(I.Facility.P4IDNumber,4728)="","",INDEX(I.Facility.P4IDNumber,4728))</f>
        <v/>
      </c>
      <c r="G24740" s="51"/>
      <c r="H24740" s="46" t="str">
        <f>IF(AND(I.Developer.P4=TRUE,I.Facility.P4FacilityCount&gt;=4728,F24740=""),"Incomplete","Complete")</f>
        <v>Complete</v>
      </c>
      <c r="I24740" s="48" t="s">
        <v>29105</v>
      </c>
    </row>
    <row r="24741" spans="2:9" ht="15" customHeight="1" x14ac:dyDescent="0.25">
      <c r="B24741" s="55" t="s">
        <v>283</v>
      </c>
      <c r="C24741" s="46">
        <v>4729</v>
      </c>
      <c r="D24741" s="69" t="s">
        <v>29420</v>
      </c>
      <c r="E24741" s="51"/>
      <c r="F24741" s="114" t="str">
        <f>IF(INDEX(I.Facility.P4IDNumber,4729)="","",INDEX(I.Facility.P4IDNumber,4729))</f>
        <v/>
      </c>
      <c r="G24741" s="51"/>
      <c r="H24741" s="46" t="str">
        <f>IF(AND(I.Developer.P4=TRUE,I.Facility.P4FacilityCount&gt;=4729,F24741=""),"Incomplete","Complete")</f>
        <v>Complete</v>
      </c>
      <c r="I24741" s="48" t="s">
        <v>29106</v>
      </c>
    </row>
    <row r="24742" spans="2:9" ht="15" customHeight="1" x14ac:dyDescent="0.25">
      <c r="B24742" s="55" t="s">
        <v>283</v>
      </c>
      <c r="C24742" s="46">
        <v>4730</v>
      </c>
      <c r="D24742" s="69" t="s">
        <v>29420</v>
      </c>
      <c r="E24742" s="51"/>
      <c r="F24742" s="114" t="str">
        <f>IF(INDEX(I.Facility.P4IDNumber,4730)="","",INDEX(I.Facility.P4IDNumber,4730))</f>
        <v/>
      </c>
      <c r="G24742" s="51"/>
      <c r="H24742" s="46" t="str">
        <f>IF(AND(I.Developer.P4=TRUE,I.Facility.P4FacilityCount&gt;=4730,F24742=""),"Incomplete","Complete")</f>
        <v>Complete</v>
      </c>
      <c r="I24742" s="48" t="s">
        <v>29107</v>
      </c>
    </row>
    <row r="24743" spans="2:9" ht="15" customHeight="1" x14ac:dyDescent="0.25">
      <c r="B24743" s="55" t="s">
        <v>283</v>
      </c>
      <c r="C24743" s="46">
        <v>4731</v>
      </c>
      <c r="D24743" s="69" t="s">
        <v>29420</v>
      </c>
      <c r="E24743" s="51"/>
      <c r="F24743" s="114" t="str">
        <f>IF(INDEX(I.Facility.P4IDNumber,4731)="","",INDEX(I.Facility.P4IDNumber,4731))</f>
        <v/>
      </c>
      <c r="G24743" s="51"/>
      <c r="H24743" s="46" t="str">
        <f>IF(AND(I.Developer.P4=TRUE,I.Facility.P4FacilityCount&gt;=4731,F24743=""),"Incomplete","Complete")</f>
        <v>Complete</v>
      </c>
      <c r="I24743" s="48" t="s">
        <v>29108</v>
      </c>
    </row>
    <row r="24744" spans="2:9" ht="15" customHeight="1" x14ac:dyDescent="0.25">
      <c r="B24744" s="55" t="s">
        <v>283</v>
      </c>
      <c r="C24744" s="46">
        <v>4732</v>
      </c>
      <c r="D24744" s="69" t="s">
        <v>29420</v>
      </c>
      <c r="E24744" s="51"/>
      <c r="F24744" s="114" t="str">
        <f>IF(INDEX(I.Facility.P4IDNumber,4732)="","",INDEX(I.Facility.P4IDNumber,4732))</f>
        <v/>
      </c>
      <c r="G24744" s="51"/>
      <c r="H24744" s="46" t="str">
        <f>IF(AND(I.Developer.P4=TRUE,I.Facility.P4FacilityCount&gt;=4732,F24744=""),"Incomplete","Complete")</f>
        <v>Complete</v>
      </c>
      <c r="I24744" s="48" t="s">
        <v>29109</v>
      </c>
    </row>
    <row r="24745" spans="2:9" ht="15" customHeight="1" x14ac:dyDescent="0.25">
      <c r="B24745" s="55" t="s">
        <v>283</v>
      </c>
      <c r="C24745" s="46">
        <v>4733</v>
      </c>
      <c r="D24745" s="69" t="s">
        <v>29420</v>
      </c>
      <c r="E24745" s="51"/>
      <c r="F24745" s="114" t="str">
        <f>IF(INDEX(I.Facility.P4IDNumber,4733)="","",INDEX(I.Facility.P4IDNumber,4733))</f>
        <v/>
      </c>
      <c r="G24745" s="51"/>
      <c r="H24745" s="46" t="str">
        <f>IF(AND(I.Developer.P4=TRUE,I.Facility.P4FacilityCount&gt;=4733,F24745=""),"Incomplete","Complete")</f>
        <v>Complete</v>
      </c>
      <c r="I24745" s="48" t="s">
        <v>29110</v>
      </c>
    </row>
    <row r="24746" spans="2:9" ht="15" customHeight="1" x14ac:dyDescent="0.25">
      <c r="B24746" s="55" t="s">
        <v>283</v>
      </c>
      <c r="C24746" s="46">
        <v>4734</v>
      </c>
      <c r="D24746" s="69" t="s">
        <v>29420</v>
      </c>
      <c r="E24746" s="51"/>
      <c r="F24746" s="114" t="str">
        <f>IF(INDEX(I.Facility.P4IDNumber,4734)="","",INDEX(I.Facility.P4IDNumber,4734))</f>
        <v/>
      </c>
      <c r="G24746" s="51"/>
      <c r="H24746" s="46" t="str">
        <f>IF(AND(I.Developer.P4=TRUE,I.Facility.P4FacilityCount&gt;=4734,F24746=""),"Incomplete","Complete")</f>
        <v>Complete</v>
      </c>
      <c r="I24746" s="48" t="s">
        <v>29111</v>
      </c>
    </row>
    <row r="24747" spans="2:9" ht="15" customHeight="1" x14ac:dyDescent="0.25">
      <c r="B24747" s="55" t="s">
        <v>283</v>
      </c>
      <c r="C24747" s="46">
        <v>4735</v>
      </c>
      <c r="D24747" s="69" t="s">
        <v>29420</v>
      </c>
      <c r="E24747" s="51"/>
      <c r="F24747" s="114" t="str">
        <f>IF(INDEX(I.Facility.P4IDNumber,4735)="","",INDEX(I.Facility.P4IDNumber,4735))</f>
        <v/>
      </c>
      <c r="G24747" s="51"/>
      <c r="H24747" s="46" t="str">
        <f>IF(AND(I.Developer.P4=TRUE,I.Facility.P4FacilityCount&gt;=4735,F24747=""),"Incomplete","Complete")</f>
        <v>Complete</v>
      </c>
      <c r="I24747" s="48" t="s">
        <v>29112</v>
      </c>
    </row>
    <row r="24748" spans="2:9" ht="15" customHeight="1" x14ac:dyDescent="0.25">
      <c r="B24748" s="55" t="s">
        <v>283</v>
      </c>
      <c r="C24748" s="46">
        <v>4736</v>
      </c>
      <c r="D24748" s="69" t="s">
        <v>29420</v>
      </c>
      <c r="E24748" s="51"/>
      <c r="F24748" s="114" t="str">
        <f>IF(INDEX(I.Facility.P4IDNumber,4736)="","",INDEX(I.Facility.P4IDNumber,4736))</f>
        <v/>
      </c>
      <c r="G24748" s="51"/>
      <c r="H24748" s="46" t="str">
        <f>IF(AND(I.Developer.P4=TRUE,I.Facility.P4FacilityCount&gt;=4736,F24748=""),"Incomplete","Complete")</f>
        <v>Complete</v>
      </c>
      <c r="I24748" s="48" t="s">
        <v>29113</v>
      </c>
    </row>
    <row r="24749" spans="2:9" ht="15" customHeight="1" x14ac:dyDescent="0.25">
      <c r="B24749" s="55" t="s">
        <v>283</v>
      </c>
      <c r="C24749" s="46">
        <v>4737</v>
      </c>
      <c r="D24749" s="69" t="s">
        <v>29420</v>
      </c>
      <c r="E24749" s="51"/>
      <c r="F24749" s="114" t="str">
        <f>IF(INDEX(I.Facility.P4IDNumber,4737)="","",INDEX(I.Facility.P4IDNumber,4737))</f>
        <v/>
      </c>
      <c r="G24749" s="51"/>
      <c r="H24749" s="46" t="str">
        <f>IF(AND(I.Developer.P4=TRUE,I.Facility.P4FacilityCount&gt;=4737,F24749=""),"Incomplete","Complete")</f>
        <v>Complete</v>
      </c>
      <c r="I24749" s="48" t="s">
        <v>29114</v>
      </c>
    </row>
    <row r="24750" spans="2:9" ht="15" customHeight="1" x14ac:dyDescent="0.25">
      <c r="B24750" s="55" t="s">
        <v>283</v>
      </c>
      <c r="C24750" s="46">
        <v>4738</v>
      </c>
      <c r="D24750" s="69" t="s">
        <v>29420</v>
      </c>
      <c r="E24750" s="51"/>
      <c r="F24750" s="114" t="str">
        <f>IF(INDEX(I.Facility.P4IDNumber,4738)="","",INDEX(I.Facility.P4IDNumber,4738))</f>
        <v/>
      </c>
      <c r="G24750" s="51"/>
      <c r="H24750" s="46" t="str">
        <f>IF(AND(I.Developer.P4=TRUE,I.Facility.P4FacilityCount&gt;=4738,F24750=""),"Incomplete","Complete")</f>
        <v>Complete</v>
      </c>
      <c r="I24750" s="48" t="s">
        <v>29115</v>
      </c>
    </row>
    <row r="24751" spans="2:9" ht="15" customHeight="1" x14ac:dyDescent="0.25">
      <c r="B24751" s="55" t="s">
        <v>283</v>
      </c>
      <c r="C24751" s="46">
        <v>4739</v>
      </c>
      <c r="D24751" s="69" t="s">
        <v>29420</v>
      </c>
      <c r="E24751" s="51"/>
      <c r="F24751" s="114" t="str">
        <f>IF(INDEX(I.Facility.P4IDNumber,4739)="","",INDEX(I.Facility.P4IDNumber,4739))</f>
        <v/>
      </c>
      <c r="G24751" s="51"/>
      <c r="H24751" s="46" t="str">
        <f>IF(AND(I.Developer.P4=TRUE,I.Facility.P4FacilityCount&gt;=4739,F24751=""),"Incomplete","Complete")</f>
        <v>Complete</v>
      </c>
      <c r="I24751" s="48" t="s">
        <v>29116</v>
      </c>
    </row>
    <row r="24752" spans="2:9" ht="15" customHeight="1" x14ac:dyDescent="0.25">
      <c r="B24752" s="55" t="s">
        <v>283</v>
      </c>
      <c r="C24752" s="46">
        <v>4740</v>
      </c>
      <c r="D24752" s="69" t="s">
        <v>29420</v>
      </c>
      <c r="E24752" s="51"/>
      <c r="F24752" s="114" t="str">
        <f>IF(INDEX(I.Facility.P4IDNumber,4740)="","",INDEX(I.Facility.P4IDNumber,4740))</f>
        <v/>
      </c>
      <c r="G24752" s="51"/>
      <c r="H24752" s="46" t="str">
        <f>IF(AND(I.Developer.P4=TRUE,I.Facility.P4FacilityCount&gt;=4740,F24752=""),"Incomplete","Complete")</f>
        <v>Complete</v>
      </c>
      <c r="I24752" s="48" t="s">
        <v>29117</v>
      </c>
    </row>
    <row r="24753" spans="2:9" ht="15" customHeight="1" x14ac:dyDescent="0.25">
      <c r="B24753" s="55" t="s">
        <v>283</v>
      </c>
      <c r="C24753" s="46">
        <v>4741</v>
      </c>
      <c r="D24753" s="69" t="s">
        <v>29420</v>
      </c>
      <c r="E24753" s="51"/>
      <c r="F24753" s="114" t="str">
        <f>IF(INDEX(I.Facility.P4IDNumber,4741)="","",INDEX(I.Facility.P4IDNumber,4741))</f>
        <v/>
      </c>
      <c r="G24753" s="51"/>
      <c r="H24753" s="46" t="str">
        <f>IF(AND(I.Developer.P4=TRUE,I.Facility.P4FacilityCount&gt;=4741,F24753=""),"Incomplete","Complete")</f>
        <v>Complete</v>
      </c>
      <c r="I24753" s="48" t="s">
        <v>29118</v>
      </c>
    </row>
    <row r="24754" spans="2:9" ht="15" customHeight="1" x14ac:dyDescent="0.25">
      <c r="B24754" s="55" t="s">
        <v>283</v>
      </c>
      <c r="C24754" s="46">
        <v>4742</v>
      </c>
      <c r="D24754" s="69" t="s">
        <v>29420</v>
      </c>
      <c r="E24754" s="51"/>
      <c r="F24754" s="114" t="str">
        <f>IF(INDEX(I.Facility.P4IDNumber,4742)="","",INDEX(I.Facility.P4IDNumber,4742))</f>
        <v/>
      </c>
      <c r="G24754" s="51"/>
      <c r="H24754" s="46" t="str">
        <f>IF(AND(I.Developer.P4=TRUE,I.Facility.P4FacilityCount&gt;=4742,F24754=""),"Incomplete","Complete")</f>
        <v>Complete</v>
      </c>
      <c r="I24754" s="48" t="s">
        <v>29119</v>
      </c>
    </row>
    <row r="24755" spans="2:9" ht="15" customHeight="1" x14ac:dyDescent="0.25">
      <c r="B24755" s="55" t="s">
        <v>283</v>
      </c>
      <c r="C24755" s="46">
        <v>4743</v>
      </c>
      <c r="D24755" s="69" t="s">
        <v>29420</v>
      </c>
      <c r="E24755" s="51"/>
      <c r="F24755" s="114" t="str">
        <f>IF(INDEX(I.Facility.P4IDNumber,4743)="","",INDEX(I.Facility.P4IDNumber,4743))</f>
        <v/>
      </c>
      <c r="G24755" s="51"/>
      <c r="H24755" s="46" t="str">
        <f>IF(AND(I.Developer.P4=TRUE,I.Facility.P4FacilityCount&gt;=4743,F24755=""),"Incomplete","Complete")</f>
        <v>Complete</v>
      </c>
      <c r="I24755" s="48" t="s">
        <v>29120</v>
      </c>
    </row>
    <row r="24756" spans="2:9" ht="15" customHeight="1" x14ac:dyDescent="0.25">
      <c r="B24756" s="55" t="s">
        <v>283</v>
      </c>
      <c r="C24756" s="46">
        <v>4744</v>
      </c>
      <c r="D24756" s="69" t="s">
        <v>29420</v>
      </c>
      <c r="E24756" s="51"/>
      <c r="F24756" s="114" t="str">
        <f>IF(INDEX(I.Facility.P4IDNumber,4744)="","",INDEX(I.Facility.P4IDNumber,4744))</f>
        <v/>
      </c>
      <c r="G24756" s="51"/>
      <c r="H24756" s="46" t="str">
        <f>IF(AND(I.Developer.P4=TRUE,I.Facility.P4FacilityCount&gt;=4744,F24756=""),"Incomplete","Complete")</f>
        <v>Complete</v>
      </c>
      <c r="I24756" s="48" t="s">
        <v>29121</v>
      </c>
    </row>
    <row r="24757" spans="2:9" ht="15" customHeight="1" x14ac:dyDescent="0.25">
      <c r="B24757" s="55" t="s">
        <v>283</v>
      </c>
      <c r="C24757" s="46">
        <v>4745</v>
      </c>
      <c r="D24757" s="69" t="s">
        <v>29420</v>
      </c>
      <c r="E24757" s="51"/>
      <c r="F24757" s="114" t="str">
        <f>IF(INDEX(I.Facility.P4IDNumber,4745)="","",INDEX(I.Facility.P4IDNumber,4745))</f>
        <v/>
      </c>
      <c r="G24757" s="51"/>
      <c r="H24757" s="46" t="str">
        <f>IF(AND(I.Developer.P4=TRUE,I.Facility.P4FacilityCount&gt;=4745,F24757=""),"Incomplete","Complete")</f>
        <v>Complete</v>
      </c>
      <c r="I24757" s="48" t="s">
        <v>29122</v>
      </c>
    </row>
    <row r="24758" spans="2:9" ht="15" customHeight="1" x14ac:dyDescent="0.25">
      <c r="B24758" s="55" t="s">
        <v>283</v>
      </c>
      <c r="C24758" s="46">
        <v>4746</v>
      </c>
      <c r="D24758" s="69" t="s">
        <v>29420</v>
      </c>
      <c r="E24758" s="51"/>
      <c r="F24758" s="114" t="str">
        <f>IF(INDEX(I.Facility.P4IDNumber,4746)="","",INDEX(I.Facility.P4IDNumber,4746))</f>
        <v/>
      </c>
      <c r="G24758" s="51"/>
      <c r="H24758" s="46" t="str">
        <f>IF(AND(I.Developer.P4=TRUE,I.Facility.P4FacilityCount&gt;=4746,F24758=""),"Incomplete","Complete")</f>
        <v>Complete</v>
      </c>
      <c r="I24758" s="48" t="s">
        <v>29123</v>
      </c>
    </row>
    <row r="24759" spans="2:9" ht="15" customHeight="1" x14ac:dyDescent="0.25">
      <c r="B24759" s="55" t="s">
        <v>283</v>
      </c>
      <c r="C24759" s="46">
        <v>4747</v>
      </c>
      <c r="D24759" s="69" t="s">
        <v>29420</v>
      </c>
      <c r="E24759" s="51"/>
      <c r="F24759" s="114" t="str">
        <f>IF(INDEX(I.Facility.P4IDNumber,4747)="","",INDEX(I.Facility.P4IDNumber,4747))</f>
        <v/>
      </c>
      <c r="G24759" s="51"/>
      <c r="H24759" s="46" t="str">
        <f>IF(AND(I.Developer.P4=TRUE,I.Facility.P4FacilityCount&gt;=4747,F24759=""),"Incomplete","Complete")</f>
        <v>Complete</v>
      </c>
      <c r="I24759" s="48" t="s">
        <v>29124</v>
      </c>
    </row>
    <row r="24760" spans="2:9" ht="15" customHeight="1" x14ac:dyDescent="0.25">
      <c r="B24760" s="55" t="s">
        <v>283</v>
      </c>
      <c r="C24760" s="46">
        <v>4748</v>
      </c>
      <c r="D24760" s="69" t="s">
        <v>29420</v>
      </c>
      <c r="E24760" s="51"/>
      <c r="F24760" s="114" t="str">
        <f>IF(INDEX(I.Facility.P4IDNumber,4748)="","",INDEX(I.Facility.P4IDNumber,4748))</f>
        <v/>
      </c>
      <c r="G24760" s="51"/>
      <c r="H24760" s="46" t="str">
        <f>IF(AND(I.Developer.P4=TRUE,I.Facility.P4FacilityCount&gt;=4748,F24760=""),"Incomplete","Complete")</f>
        <v>Complete</v>
      </c>
      <c r="I24760" s="48" t="s">
        <v>29125</v>
      </c>
    </row>
    <row r="24761" spans="2:9" ht="15" customHeight="1" x14ac:dyDescent="0.25">
      <c r="B24761" s="55" t="s">
        <v>283</v>
      </c>
      <c r="C24761" s="46">
        <v>4749</v>
      </c>
      <c r="D24761" s="69" t="s">
        <v>29420</v>
      </c>
      <c r="E24761" s="51"/>
      <c r="F24761" s="114" t="str">
        <f>IF(INDEX(I.Facility.P4IDNumber,4749)="","",INDEX(I.Facility.P4IDNumber,4749))</f>
        <v/>
      </c>
      <c r="G24761" s="51"/>
      <c r="H24761" s="46" t="str">
        <f>IF(AND(I.Developer.P4=TRUE,I.Facility.P4FacilityCount&gt;=4749,F24761=""),"Incomplete","Complete")</f>
        <v>Complete</v>
      </c>
      <c r="I24761" s="48" t="s">
        <v>29126</v>
      </c>
    </row>
    <row r="24762" spans="2:9" ht="15" customHeight="1" x14ac:dyDescent="0.25">
      <c r="B24762" s="55" t="s">
        <v>283</v>
      </c>
      <c r="C24762" s="46">
        <v>4750</v>
      </c>
      <c r="D24762" s="69" t="s">
        <v>29420</v>
      </c>
      <c r="E24762" s="51"/>
      <c r="F24762" s="114" t="str">
        <f>IF(INDEX(I.Facility.P4IDNumber,4750)="","",INDEX(I.Facility.P4IDNumber,4750))</f>
        <v/>
      </c>
      <c r="G24762" s="51"/>
      <c r="H24762" s="46" t="str">
        <f>IF(AND(I.Developer.P4=TRUE,I.Facility.P4FacilityCount&gt;=4750,F24762=""),"Incomplete","Complete")</f>
        <v>Complete</v>
      </c>
      <c r="I24762" s="48" t="s">
        <v>29127</v>
      </c>
    </row>
    <row r="24763" spans="2:9" ht="15" customHeight="1" x14ac:dyDescent="0.25">
      <c r="B24763" s="55" t="s">
        <v>283</v>
      </c>
      <c r="C24763" s="46">
        <v>4751</v>
      </c>
      <c r="D24763" s="69" t="s">
        <v>29420</v>
      </c>
      <c r="E24763" s="51"/>
      <c r="F24763" s="114" t="str">
        <f>IF(INDEX(I.Facility.P4IDNumber,4751)="","",INDEX(I.Facility.P4IDNumber,4751))</f>
        <v/>
      </c>
      <c r="G24763" s="51"/>
      <c r="H24763" s="46" t="str">
        <f>IF(AND(I.Developer.P4=TRUE,I.Facility.P4FacilityCount&gt;=4751,F24763=""),"Incomplete","Complete")</f>
        <v>Complete</v>
      </c>
      <c r="I24763" s="48" t="s">
        <v>29128</v>
      </c>
    </row>
    <row r="24764" spans="2:9" ht="15" customHeight="1" x14ac:dyDescent="0.25">
      <c r="B24764" s="55" t="s">
        <v>283</v>
      </c>
      <c r="C24764" s="46">
        <v>4752</v>
      </c>
      <c r="D24764" s="69" t="s">
        <v>29420</v>
      </c>
      <c r="E24764" s="51"/>
      <c r="F24764" s="114" t="str">
        <f>IF(INDEX(I.Facility.P4IDNumber,4752)="","",INDEX(I.Facility.P4IDNumber,4752))</f>
        <v/>
      </c>
      <c r="G24764" s="51"/>
      <c r="H24764" s="46" t="str">
        <f>IF(AND(I.Developer.P4=TRUE,I.Facility.P4FacilityCount&gt;=4752,F24764=""),"Incomplete","Complete")</f>
        <v>Complete</v>
      </c>
      <c r="I24764" s="48" t="s">
        <v>29129</v>
      </c>
    </row>
    <row r="24765" spans="2:9" ht="15" customHeight="1" x14ac:dyDescent="0.25">
      <c r="B24765" s="55" t="s">
        <v>283</v>
      </c>
      <c r="C24765" s="46">
        <v>4753</v>
      </c>
      <c r="D24765" s="69" t="s">
        <v>29420</v>
      </c>
      <c r="E24765" s="51"/>
      <c r="F24765" s="114" t="str">
        <f>IF(INDEX(I.Facility.P4IDNumber,4753)="","",INDEX(I.Facility.P4IDNumber,4753))</f>
        <v/>
      </c>
      <c r="G24765" s="51"/>
      <c r="H24765" s="46" t="str">
        <f>IF(AND(I.Developer.P4=TRUE,I.Facility.P4FacilityCount&gt;=4753,F24765=""),"Incomplete","Complete")</f>
        <v>Complete</v>
      </c>
      <c r="I24765" s="48" t="s">
        <v>29130</v>
      </c>
    </row>
    <row r="24766" spans="2:9" ht="15" customHeight="1" x14ac:dyDescent="0.25">
      <c r="B24766" s="55" t="s">
        <v>283</v>
      </c>
      <c r="C24766" s="46">
        <v>4754</v>
      </c>
      <c r="D24766" s="69" t="s">
        <v>29420</v>
      </c>
      <c r="E24766" s="51"/>
      <c r="F24766" s="114" t="str">
        <f>IF(INDEX(I.Facility.P4IDNumber,4754)="","",INDEX(I.Facility.P4IDNumber,4754))</f>
        <v/>
      </c>
      <c r="G24766" s="51"/>
      <c r="H24766" s="46" t="str">
        <f>IF(AND(I.Developer.P4=TRUE,I.Facility.P4FacilityCount&gt;=4754,F24766=""),"Incomplete","Complete")</f>
        <v>Complete</v>
      </c>
      <c r="I24766" s="48" t="s">
        <v>29131</v>
      </c>
    </row>
    <row r="24767" spans="2:9" ht="15" customHeight="1" x14ac:dyDescent="0.25">
      <c r="B24767" s="55" t="s">
        <v>283</v>
      </c>
      <c r="C24767" s="46">
        <v>4755</v>
      </c>
      <c r="D24767" s="69" t="s">
        <v>29420</v>
      </c>
      <c r="E24767" s="51"/>
      <c r="F24767" s="114" t="str">
        <f>IF(INDEX(I.Facility.P4IDNumber,4755)="","",INDEX(I.Facility.P4IDNumber,4755))</f>
        <v/>
      </c>
      <c r="G24767" s="51"/>
      <c r="H24767" s="46" t="str">
        <f>IF(AND(I.Developer.P4=TRUE,I.Facility.P4FacilityCount&gt;=4755,F24767=""),"Incomplete","Complete")</f>
        <v>Complete</v>
      </c>
      <c r="I24767" s="48" t="s">
        <v>29132</v>
      </c>
    </row>
    <row r="24768" spans="2:9" ht="15" customHeight="1" x14ac:dyDescent="0.25">
      <c r="B24768" s="55" t="s">
        <v>283</v>
      </c>
      <c r="C24768" s="46">
        <v>4756</v>
      </c>
      <c r="D24768" s="69" t="s">
        <v>29420</v>
      </c>
      <c r="E24768" s="51"/>
      <c r="F24768" s="114" t="str">
        <f>IF(INDEX(I.Facility.P4IDNumber,4756)="","",INDEX(I.Facility.P4IDNumber,4756))</f>
        <v/>
      </c>
      <c r="G24768" s="51"/>
      <c r="H24768" s="46" t="str">
        <f>IF(AND(I.Developer.P4=TRUE,I.Facility.P4FacilityCount&gt;=4756,F24768=""),"Incomplete","Complete")</f>
        <v>Complete</v>
      </c>
      <c r="I24768" s="48" t="s">
        <v>29133</v>
      </c>
    </row>
    <row r="24769" spans="2:9" ht="15" customHeight="1" x14ac:dyDescent="0.25">
      <c r="B24769" s="55" t="s">
        <v>283</v>
      </c>
      <c r="C24769" s="46">
        <v>4757</v>
      </c>
      <c r="D24769" s="69" t="s">
        <v>29420</v>
      </c>
      <c r="E24769" s="51"/>
      <c r="F24769" s="114" t="str">
        <f>IF(INDEX(I.Facility.P4IDNumber,4757)="","",INDEX(I.Facility.P4IDNumber,4757))</f>
        <v/>
      </c>
      <c r="G24769" s="51"/>
      <c r="H24769" s="46" t="str">
        <f>IF(AND(I.Developer.P4=TRUE,I.Facility.P4FacilityCount&gt;=4757,F24769=""),"Incomplete","Complete")</f>
        <v>Complete</v>
      </c>
      <c r="I24769" s="48" t="s">
        <v>29134</v>
      </c>
    </row>
    <row r="24770" spans="2:9" ht="15" customHeight="1" x14ac:dyDescent="0.25">
      <c r="B24770" s="55" t="s">
        <v>283</v>
      </c>
      <c r="C24770" s="46">
        <v>4758</v>
      </c>
      <c r="D24770" s="69" t="s">
        <v>29420</v>
      </c>
      <c r="E24770" s="51"/>
      <c r="F24770" s="114" t="str">
        <f>IF(INDEX(I.Facility.P4IDNumber,4758)="","",INDEX(I.Facility.P4IDNumber,4758))</f>
        <v/>
      </c>
      <c r="G24770" s="51"/>
      <c r="H24770" s="46" t="str">
        <f>IF(AND(I.Developer.P4=TRUE,I.Facility.P4FacilityCount&gt;=4758,F24770=""),"Incomplete","Complete")</f>
        <v>Complete</v>
      </c>
      <c r="I24770" s="48" t="s">
        <v>29135</v>
      </c>
    </row>
    <row r="24771" spans="2:9" ht="15" customHeight="1" x14ac:dyDescent="0.25">
      <c r="B24771" s="55" t="s">
        <v>283</v>
      </c>
      <c r="C24771" s="46">
        <v>4759</v>
      </c>
      <c r="D24771" s="69" t="s">
        <v>29420</v>
      </c>
      <c r="E24771" s="51"/>
      <c r="F24771" s="114" t="str">
        <f>IF(INDEX(I.Facility.P4IDNumber,4759)="","",INDEX(I.Facility.P4IDNumber,4759))</f>
        <v/>
      </c>
      <c r="G24771" s="51"/>
      <c r="H24771" s="46" t="str">
        <f>IF(AND(I.Developer.P4=TRUE,I.Facility.P4FacilityCount&gt;=4759,F24771=""),"Incomplete","Complete")</f>
        <v>Complete</v>
      </c>
      <c r="I24771" s="48" t="s">
        <v>29136</v>
      </c>
    </row>
    <row r="24772" spans="2:9" ht="15" customHeight="1" x14ac:dyDescent="0.25">
      <c r="B24772" s="55" t="s">
        <v>283</v>
      </c>
      <c r="C24772" s="46">
        <v>4760</v>
      </c>
      <c r="D24772" s="69" t="s">
        <v>29420</v>
      </c>
      <c r="E24772" s="51"/>
      <c r="F24772" s="114" t="str">
        <f>IF(INDEX(I.Facility.P4IDNumber,4760)="","",INDEX(I.Facility.P4IDNumber,4760))</f>
        <v/>
      </c>
      <c r="G24772" s="51"/>
      <c r="H24772" s="46" t="str">
        <f>IF(AND(I.Developer.P4=TRUE,I.Facility.P4FacilityCount&gt;=4760,F24772=""),"Incomplete","Complete")</f>
        <v>Complete</v>
      </c>
      <c r="I24772" s="48" t="s">
        <v>29137</v>
      </c>
    </row>
    <row r="24773" spans="2:9" ht="15" customHeight="1" x14ac:dyDescent="0.25">
      <c r="B24773" s="55" t="s">
        <v>283</v>
      </c>
      <c r="C24773" s="46">
        <v>4761</v>
      </c>
      <c r="D24773" s="69" t="s">
        <v>29420</v>
      </c>
      <c r="E24773" s="51"/>
      <c r="F24773" s="114" t="str">
        <f>IF(INDEX(I.Facility.P4IDNumber,4761)="","",INDEX(I.Facility.P4IDNumber,4761))</f>
        <v/>
      </c>
      <c r="G24773" s="51"/>
      <c r="H24773" s="46" t="str">
        <f>IF(AND(I.Developer.P4=TRUE,I.Facility.P4FacilityCount&gt;=4761,F24773=""),"Incomplete","Complete")</f>
        <v>Complete</v>
      </c>
      <c r="I24773" s="48" t="s">
        <v>29138</v>
      </c>
    </row>
    <row r="24774" spans="2:9" ht="15" customHeight="1" x14ac:dyDescent="0.25">
      <c r="B24774" s="55" t="s">
        <v>283</v>
      </c>
      <c r="C24774" s="46">
        <v>4762</v>
      </c>
      <c r="D24774" s="69" t="s">
        <v>29420</v>
      </c>
      <c r="E24774" s="51"/>
      <c r="F24774" s="114" t="str">
        <f>IF(INDEX(I.Facility.P4IDNumber,4762)="","",INDEX(I.Facility.P4IDNumber,4762))</f>
        <v/>
      </c>
      <c r="G24774" s="51"/>
      <c r="H24774" s="46" t="str">
        <f>IF(AND(I.Developer.P4=TRUE,I.Facility.P4FacilityCount&gt;=4762,F24774=""),"Incomplete","Complete")</f>
        <v>Complete</v>
      </c>
      <c r="I24774" s="48" t="s">
        <v>29139</v>
      </c>
    </row>
    <row r="24775" spans="2:9" ht="15" customHeight="1" x14ac:dyDescent="0.25">
      <c r="B24775" s="55" t="s">
        <v>283</v>
      </c>
      <c r="C24775" s="46">
        <v>4763</v>
      </c>
      <c r="D24775" s="69" t="s">
        <v>29420</v>
      </c>
      <c r="E24775" s="51"/>
      <c r="F24775" s="114" t="str">
        <f>IF(INDEX(I.Facility.P4IDNumber,4763)="","",INDEX(I.Facility.P4IDNumber,4763))</f>
        <v/>
      </c>
      <c r="G24775" s="51"/>
      <c r="H24775" s="46" t="str">
        <f>IF(AND(I.Developer.P4=TRUE,I.Facility.P4FacilityCount&gt;=4763,F24775=""),"Incomplete","Complete")</f>
        <v>Complete</v>
      </c>
      <c r="I24775" s="48" t="s">
        <v>29140</v>
      </c>
    </row>
    <row r="24776" spans="2:9" ht="15" customHeight="1" x14ac:dyDescent="0.25">
      <c r="B24776" s="55" t="s">
        <v>283</v>
      </c>
      <c r="C24776" s="46">
        <v>4764</v>
      </c>
      <c r="D24776" s="69" t="s">
        <v>29420</v>
      </c>
      <c r="E24776" s="51"/>
      <c r="F24776" s="114" t="str">
        <f>IF(INDEX(I.Facility.P4IDNumber,4764)="","",INDEX(I.Facility.P4IDNumber,4764))</f>
        <v/>
      </c>
      <c r="G24776" s="51"/>
      <c r="H24776" s="46" t="str">
        <f>IF(AND(I.Developer.P4=TRUE,I.Facility.P4FacilityCount&gt;=4764,F24776=""),"Incomplete","Complete")</f>
        <v>Complete</v>
      </c>
      <c r="I24776" s="48" t="s">
        <v>29141</v>
      </c>
    </row>
    <row r="24777" spans="2:9" ht="15" customHeight="1" x14ac:dyDescent="0.25">
      <c r="B24777" s="55" t="s">
        <v>283</v>
      </c>
      <c r="C24777" s="46">
        <v>4765</v>
      </c>
      <c r="D24777" s="69" t="s">
        <v>29420</v>
      </c>
      <c r="E24777" s="51"/>
      <c r="F24777" s="114" t="str">
        <f>IF(INDEX(I.Facility.P4IDNumber,4765)="","",INDEX(I.Facility.P4IDNumber,4765))</f>
        <v/>
      </c>
      <c r="G24777" s="51"/>
      <c r="H24777" s="46" t="str">
        <f>IF(AND(I.Developer.P4=TRUE,I.Facility.P4FacilityCount&gt;=4765,F24777=""),"Incomplete","Complete")</f>
        <v>Complete</v>
      </c>
      <c r="I24777" s="48" t="s">
        <v>29142</v>
      </c>
    </row>
    <row r="24778" spans="2:9" ht="15" customHeight="1" x14ac:dyDescent="0.25">
      <c r="B24778" s="55" t="s">
        <v>283</v>
      </c>
      <c r="C24778" s="46">
        <v>4766</v>
      </c>
      <c r="D24778" s="69" t="s">
        <v>29420</v>
      </c>
      <c r="E24778" s="51"/>
      <c r="F24778" s="114" t="str">
        <f>IF(INDEX(I.Facility.P4IDNumber,4766)="","",INDEX(I.Facility.P4IDNumber,4766))</f>
        <v/>
      </c>
      <c r="G24778" s="51"/>
      <c r="H24778" s="46" t="str">
        <f>IF(AND(I.Developer.P4=TRUE,I.Facility.P4FacilityCount&gt;=4766,F24778=""),"Incomplete","Complete")</f>
        <v>Complete</v>
      </c>
      <c r="I24778" s="48" t="s">
        <v>29143</v>
      </c>
    </row>
    <row r="24779" spans="2:9" ht="15" customHeight="1" x14ac:dyDescent="0.25">
      <c r="B24779" s="55" t="s">
        <v>283</v>
      </c>
      <c r="C24779" s="46">
        <v>4767</v>
      </c>
      <c r="D24779" s="69" t="s">
        <v>29420</v>
      </c>
      <c r="E24779" s="51"/>
      <c r="F24779" s="114" t="str">
        <f>IF(INDEX(I.Facility.P4IDNumber,4767)="","",INDEX(I.Facility.P4IDNumber,4767))</f>
        <v/>
      </c>
      <c r="G24779" s="51"/>
      <c r="H24779" s="46" t="str">
        <f>IF(AND(I.Developer.P4=TRUE,I.Facility.P4FacilityCount&gt;=4767,F24779=""),"Incomplete","Complete")</f>
        <v>Complete</v>
      </c>
      <c r="I24779" s="48" t="s">
        <v>29144</v>
      </c>
    </row>
    <row r="24780" spans="2:9" ht="15" customHeight="1" x14ac:dyDescent="0.25">
      <c r="B24780" s="55" t="s">
        <v>283</v>
      </c>
      <c r="C24780" s="46">
        <v>4768</v>
      </c>
      <c r="D24780" s="69" t="s">
        <v>29420</v>
      </c>
      <c r="E24780" s="51"/>
      <c r="F24780" s="114" t="str">
        <f>IF(INDEX(I.Facility.P4IDNumber,4768)="","",INDEX(I.Facility.P4IDNumber,4768))</f>
        <v/>
      </c>
      <c r="G24780" s="51"/>
      <c r="H24780" s="46" t="str">
        <f>IF(AND(I.Developer.P4=TRUE,I.Facility.P4FacilityCount&gt;=4768,F24780=""),"Incomplete","Complete")</f>
        <v>Complete</v>
      </c>
      <c r="I24780" s="48" t="s">
        <v>29145</v>
      </c>
    </row>
    <row r="24781" spans="2:9" ht="15" customHeight="1" x14ac:dyDescent="0.25">
      <c r="B24781" s="55" t="s">
        <v>283</v>
      </c>
      <c r="C24781" s="46">
        <v>4769</v>
      </c>
      <c r="D24781" s="69" t="s">
        <v>29420</v>
      </c>
      <c r="E24781" s="51"/>
      <c r="F24781" s="114" t="str">
        <f>IF(INDEX(I.Facility.P4IDNumber,4769)="","",INDEX(I.Facility.P4IDNumber,4769))</f>
        <v/>
      </c>
      <c r="G24781" s="51"/>
      <c r="H24781" s="46" t="str">
        <f>IF(AND(I.Developer.P4=TRUE,I.Facility.P4FacilityCount&gt;=4769,F24781=""),"Incomplete","Complete")</f>
        <v>Complete</v>
      </c>
      <c r="I24781" s="48" t="s">
        <v>29146</v>
      </c>
    </row>
    <row r="24782" spans="2:9" ht="15" customHeight="1" x14ac:dyDescent="0.25">
      <c r="B24782" s="55" t="s">
        <v>283</v>
      </c>
      <c r="C24782" s="46">
        <v>4770</v>
      </c>
      <c r="D24782" s="69" t="s">
        <v>29420</v>
      </c>
      <c r="E24782" s="51"/>
      <c r="F24782" s="114" t="str">
        <f>IF(INDEX(I.Facility.P4IDNumber,4770)="","",INDEX(I.Facility.P4IDNumber,4770))</f>
        <v/>
      </c>
      <c r="G24782" s="51"/>
      <c r="H24782" s="46" t="str">
        <f>IF(AND(I.Developer.P4=TRUE,I.Facility.P4FacilityCount&gt;=4770,F24782=""),"Incomplete","Complete")</f>
        <v>Complete</v>
      </c>
      <c r="I24782" s="48" t="s">
        <v>29147</v>
      </c>
    </row>
    <row r="24783" spans="2:9" ht="15" customHeight="1" x14ac:dyDescent="0.25">
      <c r="B24783" s="55" t="s">
        <v>283</v>
      </c>
      <c r="C24783" s="46">
        <v>4771</v>
      </c>
      <c r="D24783" s="69" t="s">
        <v>29420</v>
      </c>
      <c r="E24783" s="51"/>
      <c r="F24783" s="114" t="str">
        <f>IF(INDEX(I.Facility.P4IDNumber,4771)="","",INDEX(I.Facility.P4IDNumber,4771))</f>
        <v/>
      </c>
      <c r="G24783" s="51"/>
      <c r="H24783" s="46" t="str">
        <f>IF(AND(I.Developer.P4=TRUE,I.Facility.P4FacilityCount&gt;=4771,F24783=""),"Incomplete","Complete")</f>
        <v>Complete</v>
      </c>
      <c r="I24783" s="48" t="s">
        <v>29148</v>
      </c>
    </row>
    <row r="24784" spans="2:9" ht="15" customHeight="1" x14ac:dyDescent="0.25">
      <c r="B24784" s="55" t="s">
        <v>283</v>
      </c>
      <c r="C24784" s="46">
        <v>4772</v>
      </c>
      <c r="D24784" s="69" t="s">
        <v>29420</v>
      </c>
      <c r="E24784" s="51"/>
      <c r="F24784" s="114" t="str">
        <f>IF(INDEX(I.Facility.P4IDNumber,4772)="","",INDEX(I.Facility.P4IDNumber,4772))</f>
        <v/>
      </c>
      <c r="G24784" s="51"/>
      <c r="H24784" s="46" t="str">
        <f>IF(AND(I.Developer.P4=TRUE,I.Facility.P4FacilityCount&gt;=4772,F24784=""),"Incomplete","Complete")</f>
        <v>Complete</v>
      </c>
      <c r="I24784" s="48" t="s">
        <v>29149</v>
      </c>
    </row>
    <row r="24785" spans="2:9" ht="15" customHeight="1" x14ac:dyDescent="0.25">
      <c r="B24785" s="55" t="s">
        <v>283</v>
      </c>
      <c r="C24785" s="46">
        <v>4773</v>
      </c>
      <c r="D24785" s="69" t="s">
        <v>29420</v>
      </c>
      <c r="E24785" s="51"/>
      <c r="F24785" s="114" t="str">
        <f>IF(INDEX(I.Facility.P4IDNumber,4773)="","",INDEX(I.Facility.P4IDNumber,4773))</f>
        <v/>
      </c>
      <c r="G24785" s="51"/>
      <c r="H24785" s="46" t="str">
        <f>IF(AND(I.Developer.P4=TRUE,I.Facility.P4FacilityCount&gt;=4773,F24785=""),"Incomplete","Complete")</f>
        <v>Complete</v>
      </c>
      <c r="I24785" s="48" t="s">
        <v>29150</v>
      </c>
    </row>
    <row r="24786" spans="2:9" ht="15" customHeight="1" x14ac:dyDescent="0.25">
      <c r="B24786" s="55" t="s">
        <v>283</v>
      </c>
      <c r="C24786" s="46">
        <v>4774</v>
      </c>
      <c r="D24786" s="69" t="s">
        <v>29420</v>
      </c>
      <c r="E24786" s="51"/>
      <c r="F24786" s="114" t="str">
        <f>IF(INDEX(I.Facility.P4IDNumber,4774)="","",INDEX(I.Facility.P4IDNumber,4774))</f>
        <v/>
      </c>
      <c r="G24786" s="51"/>
      <c r="H24786" s="46" t="str">
        <f>IF(AND(I.Developer.P4=TRUE,I.Facility.P4FacilityCount&gt;=4774,F24786=""),"Incomplete","Complete")</f>
        <v>Complete</v>
      </c>
      <c r="I24786" s="48" t="s">
        <v>29151</v>
      </c>
    </row>
    <row r="24787" spans="2:9" ht="15" customHeight="1" x14ac:dyDescent="0.25">
      <c r="B24787" s="55" t="s">
        <v>283</v>
      </c>
      <c r="C24787" s="46">
        <v>4775</v>
      </c>
      <c r="D24787" s="69" t="s">
        <v>29420</v>
      </c>
      <c r="E24787" s="51"/>
      <c r="F24787" s="114" t="str">
        <f>IF(INDEX(I.Facility.P4IDNumber,4775)="","",INDEX(I.Facility.P4IDNumber,4775))</f>
        <v/>
      </c>
      <c r="G24787" s="51"/>
      <c r="H24787" s="46" t="str">
        <f>IF(AND(I.Developer.P4=TRUE,I.Facility.P4FacilityCount&gt;=4775,F24787=""),"Incomplete","Complete")</f>
        <v>Complete</v>
      </c>
      <c r="I24787" s="48" t="s">
        <v>29152</v>
      </c>
    </row>
    <row r="24788" spans="2:9" ht="15" customHeight="1" x14ac:dyDescent="0.25">
      <c r="B24788" s="55" t="s">
        <v>283</v>
      </c>
      <c r="C24788" s="46">
        <v>4776</v>
      </c>
      <c r="D24788" s="69" t="s">
        <v>29420</v>
      </c>
      <c r="E24788" s="51"/>
      <c r="F24788" s="114" t="str">
        <f>IF(INDEX(I.Facility.P4IDNumber,4776)="","",INDEX(I.Facility.P4IDNumber,4776))</f>
        <v/>
      </c>
      <c r="G24788" s="51"/>
      <c r="H24788" s="46" t="str">
        <f>IF(AND(I.Developer.P4=TRUE,I.Facility.P4FacilityCount&gt;=4776,F24788=""),"Incomplete","Complete")</f>
        <v>Complete</v>
      </c>
      <c r="I24788" s="48" t="s">
        <v>29153</v>
      </c>
    </row>
    <row r="24789" spans="2:9" ht="15" customHeight="1" x14ac:dyDescent="0.25">
      <c r="B24789" s="55" t="s">
        <v>283</v>
      </c>
      <c r="C24789" s="46">
        <v>4777</v>
      </c>
      <c r="D24789" s="69" t="s">
        <v>29420</v>
      </c>
      <c r="E24789" s="51"/>
      <c r="F24789" s="114" t="str">
        <f>IF(INDEX(I.Facility.P4IDNumber,4777)="","",INDEX(I.Facility.P4IDNumber,4777))</f>
        <v/>
      </c>
      <c r="G24789" s="51"/>
      <c r="H24789" s="46" t="str">
        <f>IF(AND(I.Developer.P4=TRUE,I.Facility.P4FacilityCount&gt;=4777,F24789=""),"Incomplete","Complete")</f>
        <v>Complete</v>
      </c>
      <c r="I24789" s="48" t="s">
        <v>29154</v>
      </c>
    </row>
    <row r="24790" spans="2:9" ht="15" customHeight="1" x14ac:dyDescent="0.25">
      <c r="B24790" s="55" t="s">
        <v>283</v>
      </c>
      <c r="C24790" s="46">
        <v>4778</v>
      </c>
      <c r="D24790" s="69" t="s">
        <v>29420</v>
      </c>
      <c r="E24790" s="51"/>
      <c r="F24790" s="114" t="str">
        <f>IF(INDEX(I.Facility.P4IDNumber,4778)="","",INDEX(I.Facility.P4IDNumber,4778))</f>
        <v/>
      </c>
      <c r="G24790" s="51"/>
      <c r="H24790" s="46" t="str">
        <f>IF(AND(I.Developer.P4=TRUE,I.Facility.P4FacilityCount&gt;=4778,F24790=""),"Incomplete","Complete")</f>
        <v>Complete</v>
      </c>
      <c r="I24790" s="48" t="s">
        <v>29155</v>
      </c>
    </row>
    <row r="24791" spans="2:9" ht="15" customHeight="1" x14ac:dyDescent="0.25">
      <c r="B24791" s="55" t="s">
        <v>283</v>
      </c>
      <c r="C24791" s="46">
        <v>4779</v>
      </c>
      <c r="D24791" s="69" t="s">
        <v>29420</v>
      </c>
      <c r="E24791" s="51"/>
      <c r="F24791" s="114" t="str">
        <f>IF(INDEX(I.Facility.P4IDNumber,4779)="","",INDEX(I.Facility.P4IDNumber,4779))</f>
        <v/>
      </c>
      <c r="G24791" s="51"/>
      <c r="H24791" s="46" t="str">
        <f>IF(AND(I.Developer.P4=TRUE,I.Facility.P4FacilityCount&gt;=4779,F24791=""),"Incomplete","Complete")</f>
        <v>Complete</v>
      </c>
      <c r="I24791" s="48" t="s">
        <v>29156</v>
      </c>
    </row>
    <row r="24792" spans="2:9" ht="15" customHeight="1" x14ac:dyDescent="0.25">
      <c r="B24792" s="55" t="s">
        <v>283</v>
      </c>
      <c r="C24792" s="46">
        <v>4780</v>
      </c>
      <c r="D24792" s="69" t="s">
        <v>29420</v>
      </c>
      <c r="E24792" s="51"/>
      <c r="F24792" s="114" t="str">
        <f>IF(INDEX(I.Facility.P4IDNumber,4780)="","",INDEX(I.Facility.P4IDNumber,4780))</f>
        <v/>
      </c>
      <c r="G24792" s="51"/>
      <c r="H24792" s="46" t="str">
        <f>IF(AND(I.Developer.P4=TRUE,I.Facility.P4FacilityCount&gt;=4780,F24792=""),"Incomplete","Complete")</f>
        <v>Complete</v>
      </c>
      <c r="I24792" s="48" t="s">
        <v>29157</v>
      </c>
    </row>
    <row r="24793" spans="2:9" ht="15" customHeight="1" x14ac:dyDescent="0.25">
      <c r="B24793" s="55" t="s">
        <v>283</v>
      </c>
      <c r="C24793" s="46">
        <v>4781</v>
      </c>
      <c r="D24793" s="69" t="s">
        <v>29420</v>
      </c>
      <c r="E24793" s="51"/>
      <c r="F24793" s="114" t="str">
        <f>IF(INDEX(I.Facility.P4IDNumber,4781)="","",INDEX(I.Facility.P4IDNumber,4781))</f>
        <v/>
      </c>
      <c r="G24793" s="51"/>
      <c r="H24793" s="46" t="str">
        <f>IF(AND(I.Developer.P4=TRUE,I.Facility.P4FacilityCount&gt;=4781,F24793=""),"Incomplete","Complete")</f>
        <v>Complete</v>
      </c>
      <c r="I24793" s="48" t="s">
        <v>29158</v>
      </c>
    </row>
    <row r="24794" spans="2:9" ht="15" customHeight="1" x14ac:dyDescent="0.25">
      <c r="B24794" s="55" t="s">
        <v>283</v>
      </c>
      <c r="C24794" s="46">
        <v>4782</v>
      </c>
      <c r="D24794" s="69" t="s">
        <v>29420</v>
      </c>
      <c r="E24794" s="51"/>
      <c r="F24794" s="114" t="str">
        <f>IF(INDEX(I.Facility.P4IDNumber,4782)="","",INDEX(I.Facility.P4IDNumber,4782))</f>
        <v/>
      </c>
      <c r="G24794" s="51"/>
      <c r="H24794" s="46" t="str">
        <f>IF(AND(I.Developer.P4=TRUE,I.Facility.P4FacilityCount&gt;=4782,F24794=""),"Incomplete","Complete")</f>
        <v>Complete</v>
      </c>
      <c r="I24794" s="48" t="s">
        <v>29159</v>
      </c>
    </row>
    <row r="24795" spans="2:9" ht="15" customHeight="1" x14ac:dyDescent="0.25">
      <c r="B24795" s="55" t="s">
        <v>283</v>
      </c>
      <c r="C24795" s="46">
        <v>4783</v>
      </c>
      <c r="D24795" s="69" t="s">
        <v>29420</v>
      </c>
      <c r="E24795" s="51"/>
      <c r="F24795" s="114" t="str">
        <f>IF(INDEX(I.Facility.P4IDNumber,4783)="","",INDEX(I.Facility.P4IDNumber,4783))</f>
        <v/>
      </c>
      <c r="G24795" s="51"/>
      <c r="H24795" s="46" t="str">
        <f>IF(AND(I.Developer.P4=TRUE,I.Facility.P4FacilityCount&gt;=4783,F24795=""),"Incomplete","Complete")</f>
        <v>Complete</v>
      </c>
      <c r="I24795" s="48" t="s">
        <v>29160</v>
      </c>
    </row>
    <row r="24796" spans="2:9" ht="15" customHeight="1" x14ac:dyDescent="0.25">
      <c r="B24796" s="55" t="s">
        <v>283</v>
      </c>
      <c r="C24796" s="46">
        <v>4784</v>
      </c>
      <c r="D24796" s="69" t="s">
        <v>29420</v>
      </c>
      <c r="E24796" s="51"/>
      <c r="F24796" s="114" t="str">
        <f>IF(INDEX(I.Facility.P4IDNumber,4784)="","",INDEX(I.Facility.P4IDNumber,4784))</f>
        <v/>
      </c>
      <c r="G24796" s="51"/>
      <c r="H24796" s="46" t="str">
        <f>IF(AND(I.Developer.P4=TRUE,I.Facility.P4FacilityCount&gt;=4784,F24796=""),"Incomplete","Complete")</f>
        <v>Complete</v>
      </c>
      <c r="I24796" s="48" t="s">
        <v>29161</v>
      </c>
    </row>
    <row r="24797" spans="2:9" ht="15" customHeight="1" x14ac:dyDescent="0.25">
      <c r="B24797" s="55" t="s">
        <v>283</v>
      </c>
      <c r="C24797" s="46">
        <v>4785</v>
      </c>
      <c r="D24797" s="69" t="s">
        <v>29420</v>
      </c>
      <c r="E24797" s="51"/>
      <c r="F24797" s="114" t="str">
        <f>IF(INDEX(I.Facility.P4IDNumber,4785)="","",INDEX(I.Facility.P4IDNumber,4785))</f>
        <v/>
      </c>
      <c r="G24797" s="51"/>
      <c r="H24797" s="46" t="str">
        <f>IF(AND(I.Developer.P4=TRUE,I.Facility.P4FacilityCount&gt;=4785,F24797=""),"Incomplete","Complete")</f>
        <v>Complete</v>
      </c>
      <c r="I24797" s="48" t="s">
        <v>29162</v>
      </c>
    </row>
    <row r="24798" spans="2:9" ht="15" customHeight="1" x14ac:dyDescent="0.25">
      <c r="B24798" s="55" t="s">
        <v>283</v>
      </c>
      <c r="C24798" s="46">
        <v>4786</v>
      </c>
      <c r="D24798" s="69" t="s">
        <v>29420</v>
      </c>
      <c r="E24798" s="51"/>
      <c r="F24798" s="114" t="str">
        <f>IF(INDEX(I.Facility.P4IDNumber,4786)="","",INDEX(I.Facility.P4IDNumber,4786))</f>
        <v/>
      </c>
      <c r="G24798" s="51"/>
      <c r="H24798" s="46" t="str">
        <f>IF(AND(I.Developer.P4=TRUE,I.Facility.P4FacilityCount&gt;=4786,F24798=""),"Incomplete","Complete")</f>
        <v>Complete</v>
      </c>
      <c r="I24798" s="48" t="s">
        <v>29163</v>
      </c>
    </row>
    <row r="24799" spans="2:9" ht="15" customHeight="1" x14ac:dyDescent="0.25">
      <c r="B24799" s="55" t="s">
        <v>283</v>
      </c>
      <c r="C24799" s="46">
        <v>4787</v>
      </c>
      <c r="D24799" s="69" t="s">
        <v>29420</v>
      </c>
      <c r="E24799" s="51"/>
      <c r="F24799" s="114" t="str">
        <f>IF(INDEX(I.Facility.P4IDNumber,4787)="","",INDEX(I.Facility.P4IDNumber,4787))</f>
        <v/>
      </c>
      <c r="G24799" s="51"/>
      <c r="H24799" s="46" t="str">
        <f>IF(AND(I.Developer.P4=TRUE,I.Facility.P4FacilityCount&gt;=4787,F24799=""),"Incomplete","Complete")</f>
        <v>Complete</v>
      </c>
      <c r="I24799" s="48" t="s">
        <v>29164</v>
      </c>
    </row>
    <row r="24800" spans="2:9" ht="15" customHeight="1" x14ac:dyDescent="0.25">
      <c r="B24800" s="55" t="s">
        <v>283</v>
      </c>
      <c r="C24800" s="46">
        <v>4788</v>
      </c>
      <c r="D24800" s="69" t="s">
        <v>29420</v>
      </c>
      <c r="E24800" s="51"/>
      <c r="F24800" s="114" t="str">
        <f>IF(INDEX(I.Facility.P4IDNumber,4788)="","",INDEX(I.Facility.P4IDNumber,4788))</f>
        <v/>
      </c>
      <c r="G24800" s="51"/>
      <c r="H24800" s="46" t="str">
        <f>IF(AND(I.Developer.P4=TRUE,I.Facility.P4FacilityCount&gt;=4788,F24800=""),"Incomplete","Complete")</f>
        <v>Complete</v>
      </c>
      <c r="I24800" s="48" t="s">
        <v>29165</v>
      </c>
    </row>
    <row r="24801" spans="2:9" ht="15" customHeight="1" x14ac:dyDescent="0.25">
      <c r="B24801" s="55" t="s">
        <v>283</v>
      </c>
      <c r="C24801" s="46">
        <v>4789</v>
      </c>
      <c r="D24801" s="69" t="s">
        <v>29420</v>
      </c>
      <c r="E24801" s="51"/>
      <c r="F24801" s="114" t="str">
        <f>IF(INDEX(I.Facility.P4IDNumber,4789)="","",INDEX(I.Facility.P4IDNumber,4789))</f>
        <v/>
      </c>
      <c r="G24801" s="51"/>
      <c r="H24801" s="46" t="str">
        <f>IF(AND(I.Developer.P4=TRUE,I.Facility.P4FacilityCount&gt;=4789,F24801=""),"Incomplete","Complete")</f>
        <v>Complete</v>
      </c>
      <c r="I24801" s="48" t="s">
        <v>29166</v>
      </c>
    </row>
    <row r="24802" spans="2:9" ht="15" customHeight="1" x14ac:dyDescent="0.25">
      <c r="B24802" s="55" t="s">
        <v>283</v>
      </c>
      <c r="C24802" s="46">
        <v>4790</v>
      </c>
      <c r="D24802" s="69" t="s">
        <v>29420</v>
      </c>
      <c r="E24802" s="51"/>
      <c r="F24802" s="114" t="str">
        <f>IF(INDEX(I.Facility.P4IDNumber,4790)="","",INDEX(I.Facility.P4IDNumber,4790))</f>
        <v/>
      </c>
      <c r="G24802" s="51"/>
      <c r="H24802" s="46" t="str">
        <f>IF(AND(I.Developer.P4=TRUE,I.Facility.P4FacilityCount&gt;=4790,F24802=""),"Incomplete","Complete")</f>
        <v>Complete</v>
      </c>
      <c r="I24802" s="48" t="s">
        <v>29167</v>
      </c>
    </row>
    <row r="24803" spans="2:9" ht="15" customHeight="1" x14ac:dyDescent="0.25">
      <c r="B24803" s="55" t="s">
        <v>283</v>
      </c>
      <c r="C24803" s="46">
        <v>4791</v>
      </c>
      <c r="D24803" s="69" t="s">
        <v>29420</v>
      </c>
      <c r="E24803" s="51"/>
      <c r="F24803" s="114" t="str">
        <f>IF(INDEX(I.Facility.P4IDNumber,4791)="","",INDEX(I.Facility.P4IDNumber,4791))</f>
        <v/>
      </c>
      <c r="G24803" s="51"/>
      <c r="H24803" s="46" t="str">
        <f>IF(AND(I.Developer.P4=TRUE,I.Facility.P4FacilityCount&gt;=4791,F24803=""),"Incomplete","Complete")</f>
        <v>Complete</v>
      </c>
      <c r="I24803" s="48" t="s">
        <v>29168</v>
      </c>
    </row>
    <row r="24804" spans="2:9" ht="15" customHeight="1" x14ac:dyDescent="0.25">
      <c r="B24804" s="55" t="s">
        <v>283</v>
      </c>
      <c r="C24804" s="46">
        <v>4792</v>
      </c>
      <c r="D24804" s="69" t="s">
        <v>29420</v>
      </c>
      <c r="E24804" s="51"/>
      <c r="F24804" s="114" t="str">
        <f>IF(INDEX(I.Facility.P4IDNumber,4792)="","",INDEX(I.Facility.P4IDNumber,4792))</f>
        <v/>
      </c>
      <c r="G24804" s="51"/>
      <c r="H24804" s="46" t="str">
        <f>IF(AND(I.Developer.P4=TRUE,I.Facility.P4FacilityCount&gt;=4792,F24804=""),"Incomplete","Complete")</f>
        <v>Complete</v>
      </c>
      <c r="I24804" s="48" t="s">
        <v>29169</v>
      </c>
    </row>
    <row r="24805" spans="2:9" ht="15" customHeight="1" x14ac:dyDescent="0.25">
      <c r="B24805" s="55" t="s">
        <v>283</v>
      </c>
      <c r="C24805" s="46">
        <v>4793</v>
      </c>
      <c r="D24805" s="69" t="s">
        <v>29420</v>
      </c>
      <c r="E24805" s="51"/>
      <c r="F24805" s="114" t="str">
        <f>IF(INDEX(I.Facility.P4IDNumber,4793)="","",INDEX(I.Facility.P4IDNumber,4793))</f>
        <v/>
      </c>
      <c r="G24805" s="51"/>
      <c r="H24805" s="46" t="str">
        <f>IF(AND(I.Developer.P4=TRUE,I.Facility.P4FacilityCount&gt;=4793,F24805=""),"Incomplete","Complete")</f>
        <v>Complete</v>
      </c>
      <c r="I24805" s="48" t="s">
        <v>29170</v>
      </c>
    </row>
    <row r="24806" spans="2:9" ht="15" customHeight="1" x14ac:dyDescent="0.25">
      <c r="B24806" s="55" t="s">
        <v>283</v>
      </c>
      <c r="C24806" s="46">
        <v>4794</v>
      </c>
      <c r="D24806" s="69" t="s">
        <v>29420</v>
      </c>
      <c r="E24806" s="51"/>
      <c r="F24806" s="114" t="str">
        <f>IF(INDEX(I.Facility.P4IDNumber,4794)="","",INDEX(I.Facility.P4IDNumber,4794))</f>
        <v/>
      </c>
      <c r="G24806" s="51"/>
      <c r="H24806" s="46" t="str">
        <f>IF(AND(I.Developer.P4=TRUE,I.Facility.P4FacilityCount&gt;=4794,F24806=""),"Incomplete","Complete")</f>
        <v>Complete</v>
      </c>
      <c r="I24806" s="48" t="s">
        <v>29171</v>
      </c>
    </row>
    <row r="24807" spans="2:9" ht="15" customHeight="1" x14ac:dyDescent="0.25">
      <c r="B24807" s="55" t="s">
        <v>283</v>
      </c>
      <c r="C24807" s="46">
        <v>4795</v>
      </c>
      <c r="D24807" s="69" t="s">
        <v>29420</v>
      </c>
      <c r="E24807" s="51"/>
      <c r="F24807" s="114" t="str">
        <f>IF(INDEX(I.Facility.P4IDNumber,4795)="","",INDEX(I.Facility.P4IDNumber,4795))</f>
        <v/>
      </c>
      <c r="G24807" s="51"/>
      <c r="H24807" s="46" t="str">
        <f>IF(AND(I.Developer.P4=TRUE,I.Facility.P4FacilityCount&gt;=4795,F24807=""),"Incomplete","Complete")</f>
        <v>Complete</v>
      </c>
      <c r="I24807" s="48" t="s">
        <v>29172</v>
      </c>
    </row>
    <row r="24808" spans="2:9" ht="15" customHeight="1" x14ac:dyDescent="0.25">
      <c r="B24808" s="55" t="s">
        <v>283</v>
      </c>
      <c r="C24808" s="46">
        <v>4796</v>
      </c>
      <c r="D24808" s="69" t="s">
        <v>29420</v>
      </c>
      <c r="E24808" s="51"/>
      <c r="F24808" s="114" t="str">
        <f>IF(INDEX(I.Facility.P4IDNumber,4796)="","",INDEX(I.Facility.P4IDNumber,4796))</f>
        <v/>
      </c>
      <c r="G24808" s="51"/>
      <c r="H24808" s="46" t="str">
        <f>IF(AND(I.Developer.P4=TRUE,I.Facility.P4FacilityCount&gt;=4796,F24808=""),"Incomplete","Complete")</f>
        <v>Complete</v>
      </c>
      <c r="I24808" s="48" t="s">
        <v>29173</v>
      </c>
    </row>
    <row r="24809" spans="2:9" ht="15" customHeight="1" x14ac:dyDescent="0.25">
      <c r="B24809" s="55" t="s">
        <v>283</v>
      </c>
      <c r="C24809" s="46">
        <v>4797</v>
      </c>
      <c r="D24809" s="69" t="s">
        <v>29420</v>
      </c>
      <c r="E24809" s="51"/>
      <c r="F24809" s="114" t="str">
        <f>IF(INDEX(I.Facility.P4IDNumber,4797)="","",INDEX(I.Facility.P4IDNumber,4797))</f>
        <v/>
      </c>
      <c r="G24809" s="51"/>
      <c r="H24809" s="46" t="str">
        <f>IF(AND(I.Developer.P4=TRUE,I.Facility.P4FacilityCount&gt;=4797,F24809=""),"Incomplete","Complete")</f>
        <v>Complete</v>
      </c>
      <c r="I24809" s="48" t="s">
        <v>29174</v>
      </c>
    </row>
    <row r="24810" spans="2:9" ht="15" customHeight="1" x14ac:dyDescent="0.25">
      <c r="B24810" s="55" t="s">
        <v>283</v>
      </c>
      <c r="C24810" s="46">
        <v>4798</v>
      </c>
      <c r="D24810" s="69" t="s">
        <v>29420</v>
      </c>
      <c r="E24810" s="51"/>
      <c r="F24810" s="114" t="str">
        <f>IF(INDEX(I.Facility.P4IDNumber,4798)="","",INDEX(I.Facility.P4IDNumber,4798))</f>
        <v/>
      </c>
      <c r="G24810" s="51"/>
      <c r="H24810" s="46" t="str">
        <f>IF(AND(I.Developer.P4=TRUE,I.Facility.P4FacilityCount&gt;=4798,F24810=""),"Incomplete","Complete")</f>
        <v>Complete</v>
      </c>
      <c r="I24810" s="48" t="s">
        <v>29175</v>
      </c>
    </row>
    <row r="24811" spans="2:9" ht="15" customHeight="1" x14ac:dyDescent="0.25">
      <c r="B24811" s="55" t="s">
        <v>283</v>
      </c>
      <c r="C24811" s="46">
        <v>4799</v>
      </c>
      <c r="D24811" s="69" t="s">
        <v>29420</v>
      </c>
      <c r="E24811" s="51"/>
      <c r="F24811" s="114" t="str">
        <f>IF(INDEX(I.Facility.P4IDNumber,4799)="","",INDEX(I.Facility.P4IDNumber,4799))</f>
        <v/>
      </c>
      <c r="G24811" s="51"/>
      <c r="H24811" s="46" t="str">
        <f>IF(AND(I.Developer.P4=TRUE,I.Facility.P4FacilityCount&gt;=4799,F24811=""),"Incomplete","Complete")</f>
        <v>Complete</v>
      </c>
      <c r="I24811" s="48" t="s">
        <v>29176</v>
      </c>
    </row>
    <row r="24812" spans="2:9" ht="15" customHeight="1" x14ac:dyDescent="0.25">
      <c r="B24812" s="55" t="s">
        <v>283</v>
      </c>
      <c r="C24812" s="46">
        <v>4800</v>
      </c>
      <c r="D24812" s="69" t="s">
        <v>29420</v>
      </c>
      <c r="E24812" s="51"/>
      <c r="F24812" s="114" t="str">
        <f>IF(INDEX(I.Facility.P4IDNumber,4800)="","",INDEX(I.Facility.P4IDNumber,4800))</f>
        <v/>
      </c>
      <c r="G24812" s="51"/>
      <c r="H24812" s="46" t="str">
        <f>IF(AND(I.Developer.P4=TRUE,I.Facility.P4FacilityCount&gt;=4800,F24812=""),"Incomplete","Complete")</f>
        <v>Complete</v>
      </c>
      <c r="I24812" s="48" t="s">
        <v>29177</v>
      </c>
    </row>
    <row r="24813" spans="2:9" ht="15" customHeight="1" x14ac:dyDescent="0.25">
      <c r="B24813" s="55" t="s">
        <v>283</v>
      </c>
      <c r="C24813" s="46">
        <v>4801</v>
      </c>
      <c r="D24813" s="69" t="s">
        <v>29420</v>
      </c>
      <c r="E24813" s="51"/>
      <c r="F24813" s="114" t="str">
        <f>IF(INDEX(I.Facility.P4IDNumber,4801)="","",INDEX(I.Facility.P4IDNumber,4801))</f>
        <v/>
      </c>
      <c r="G24813" s="51"/>
      <c r="H24813" s="46" t="str">
        <f>IF(AND(I.Developer.P4=TRUE,I.Facility.P4FacilityCount&gt;=4801,F24813=""),"Incomplete","Complete")</f>
        <v>Complete</v>
      </c>
      <c r="I24813" s="48" t="s">
        <v>29178</v>
      </c>
    </row>
    <row r="24814" spans="2:9" ht="15" customHeight="1" x14ac:dyDescent="0.25">
      <c r="B24814" s="55" t="s">
        <v>283</v>
      </c>
      <c r="C24814" s="46">
        <v>4802</v>
      </c>
      <c r="D24814" s="69" t="s">
        <v>29420</v>
      </c>
      <c r="E24814" s="51"/>
      <c r="F24814" s="114" t="str">
        <f>IF(INDEX(I.Facility.P4IDNumber,4802)="","",INDEX(I.Facility.P4IDNumber,4802))</f>
        <v/>
      </c>
      <c r="G24814" s="51"/>
      <c r="H24814" s="46" t="str">
        <f>IF(AND(I.Developer.P4=TRUE,I.Facility.P4FacilityCount&gt;=4802,F24814=""),"Incomplete","Complete")</f>
        <v>Complete</v>
      </c>
      <c r="I24814" s="48" t="s">
        <v>29179</v>
      </c>
    </row>
    <row r="24815" spans="2:9" ht="15" customHeight="1" x14ac:dyDescent="0.25">
      <c r="B24815" s="55" t="s">
        <v>283</v>
      </c>
      <c r="C24815" s="46">
        <v>4803</v>
      </c>
      <c r="D24815" s="69" t="s">
        <v>29420</v>
      </c>
      <c r="E24815" s="51"/>
      <c r="F24815" s="114" t="str">
        <f>IF(INDEX(I.Facility.P4IDNumber,4803)="","",INDEX(I.Facility.P4IDNumber,4803))</f>
        <v/>
      </c>
      <c r="G24815" s="51"/>
      <c r="H24815" s="46" t="str">
        <f>IF(AND(I.Developer.P4=TRUE,I.Facility.P4FacilityCount&gt;=4803,F24815=""),"Incomplete","Complete")</f>
        <v>Complete</v>
      </c>
      <c r="I24815" s="48" t="s">
        <v>29180</v>
      </c>
    </row>
    <row r="24816" spans="2:9" ht="15" customHeight="1" x14ac:dyDescent="0.25">
      <c r="B24816" s="55" t="s">
        <v>283</v>
      </c>
      <c r="C24816" s="46">
        <v>4804</v>
      </c>
      <c r="D24816" s="69" t="s">
        <v>29420</v>
      </c>
      <c r="E24816" s="51"/>
      <c r="F24816" s="114" t="str">
        <f>IF(INDEX(I.Facility.P4IDNumber,4804)="","",INDEX(I.Facility.P4IDNumber,4804))</f>
        <v/>
      </c>
      <c r="G24816" s="51"/>
      <c r="H24816" s="46" t="str">
        <f>IF(AND(I.Developer.P4=TRUE,I.Facility.P4FacilityCount&gt;=4804,F24816=""),"Incomplete","Complete")</f>
        <v>Complete</v>
      </c>
      <c r="I24816" s="48" t="s">
        <v>29181</v>
      </c>
    </row>
    <row r="24817" spans="2:9" ht="15" customHeight="1" x14ac:dyDescent="0.25">
      <c r="B24817" s="55" t="s">
        <v>283</v>
      </c>
      <c r="C24817" s="46">
        <v>4805</v>
      </c>
      <c r="D24817" s="69" t="s">
        <v>29420</v>
      </c>
      <c r="E24817" s="51"/>
      <c r="F24817" s="114" t="str">
        <f>IF(INDEX(I.Facility.P4IDNumber,4805)="","",INDEX(I.Facility.P4IDNumber,4805))</f>
        <v/>
      </c>
      <c r="G24817" s="51"/>
      <c r="H24817" s="46" t="str">
        <f>IF(AND(I.Developer.P4=TRUE,I.Facility.P4FacilityCount&gt;=4805,F24817=""),"Incomplete","Complete")</f>
        <v>Complete</v>
      </c>
      <c r="I24817" s="48" t="s">
        <v>29182</v>
      </c>
    </row>
    <row r="24818" spans="2:9" ht="15" customHeight="1" x14ac:dyDescent="0.25">
      <c r="B24818" s="55" t="s">
        <v>283</v>
      </c>
      <c r="C24818" s="46">
        <v>4806</v>
      </c>
      <c r="D24818" s="69" t="s">
        <v>29420</v>
      </c>
      <c r="E24818" s="51"/>
      <c r="F24818" s="114" t="str">
        <f>IF(INDEX(I.Facility.P4IDNumber,4806)="","",INDEX(I.Facility.P4IDNumber,4806))</f>
        <v/>
      </c>
      <c r="G24818" s="51"/>
      <c r="H24818" s="46" t="str">
        <f>IF(AND(I.Developer.P4=TRUE,I.Facility.P4FacilityCount&gt;=4806,F24818=""),"Incomplete","Complete")</f>
        <v>Complete</v>
      </c>
      <c r="I24818" s="48" t="s">
        <v>29183</v>
      </c>
    </row>
    <row r="24819" spans="2:9" ht="15" customHeight="1" x14ac:dyDescent="0.25">
      <c r="B24819" s="55" t="s">
        <v>283</v>
      </c>
      <c r="C24819" s="46">
        <v>4807</v>
      </c>
      <c r="D24819" s="69" t="s">
        <v>29420</v>
      </c>
      <c r="E24819" s="51"/>
      <c r="F24819" s="114" t="str">
        <f>IF(INDEX(I.Facility.P4IDNumber,4807)="","",INDEX(I.Facility.P4IDNumber,4807))</f>
        <v/>
      </c>
      <c r="G24819" s="51"/>
      <c r="H24819" s="46" t="str">
        <f>IF(AND(I.Developer.P4=TRUE,I.Facility.P4FacilityCount&gt;=4807,F24819=""),"Incomplete","Complete")</f>
        <v>Complete</v>
      </c>
      <c r="I24819" s="48" t="s">
        <v>29184</v>
      </c>
    </row>
    <row r="24820" spans="2:9" ht="15" customHeight="1" x14ac:dyDescent="0.25">
      <c r="B24820" s="55" t="s">
        <v>283</v>
      </c>
      <c r="C24820" s="46">
        <v>4808</v>
      </c>
      <c r="D24820" s="69" t="s">
        <v>29420</v>
      </c>
      <c r="E24820" s="51"/>
      <c r="F24820" s="114" t="str">
        <f>IF(INDEX(I.Facility.P4IDNumber,4808)="","",INDEX(I.Facility.P4IDNumber,4808))</f>
        <v/>
      </c>
      <c r="G24820" s="51"/>
      <c r="H24820" s="46" t="str">
        <f>IF(AND(I.Developer.P4=TRUE,I.Facility.P4FacilityCount&gt;=4808,F24820=""),"Incomplete","Complete")</f>
        <v>Complete</v>
      </c>
      <c r="I24820" s="48" t="s">
        <v>29185</v>
      </c>
    </row>
    <row r="24821" spans="2:9" ht="15" customHeight="1" x14ac:dyDescent="0.25">
      <c r="B24821" s="55" t="s">
        <v>283</v>
      </c>
      <c r="C24821" s="46">
        <v>4809</v>
      </c>
      <c r="D24821" s="69" t="s">
        <v>29420</v>
      </c>
      <c r="E24821" s="51"/>
      <c r="F24821" s="114" t="str">
        <f>IF(INDEX(I.Facility.P4IDNumber,4809)="","",INDEX(I.Facility.P4IDNumber,4809))</f>
        <v/>
      </c>
      <c r="G24821" s="51"/>
      <c r="H24821" s="46" t="str">
        <f>IF(AND(I.Developer.P4=TRUE,I.Facility.P4FacilityCount&gt;=4809,F24821=""),"Incomplete","Complete")</f>
        <v>Complete</v>
      </c>
      <c r="I24821" s="48" t="s">
        <v>29186</v>
      </c>
    </row>
    <row r="24822" spans="2:9" ht="15" customHeight="1" x14ac:dyDescent="0.25">
      <c r="B24822" s="55" t="s">
        <v>283</v>
      </c>
      <c r="C24822" s="46">
        <v>4810</v>
      </c>
      <c r="D24822" s="69" t="s">
        <v>29420</v>
      </c>
      <c r="E24822" s="51"/>
      <c r="F24822" s="114" t="str">
        <f>IF(INDEX(I.Facility.P4IDNumber,4810)="","",INDEX(I.Facility.P4IDNumber,4810))</f>
        <v/>
      </c>
      <c r="G24822" s="51"/>
      <c r="H24822" s="46" t="str">
        <f>IF(AND(I.Developer.P4=TRUE,I.Facility.P4FacilityCount&gt;=4810,F24822=""),"Incomplete","Complete")</f>
        <v>Complete</v>
      </c>
      <c r="I24822" s="48" t="s">
        <v>29187</v>
      </c>
    </row>
    <row r="24823" spans="2:9" ht="15" customHeight="1" x14ac:dyDescent="0.25">
      <c r="B24823" s="55" t="s">
        <v>283</v>
      </c>
      <c r="C24823" s="46">
        <v>4811</v>
      </c>
      <c r="D24823" s="69" t="s">
        <v>29420</v>
      </c>
      <c r="E24823" s="51"/>
      <c r="F24823" s="114" t="str">
        <f>IF(INDEX(I.Facility.P4IDNumber,4811)="","",INDEX(I.Facility.P4IDNumber,4811))</f>
        <v/>
      </c>
      <c r="G24823" s="51"/>
      <c r="H24823" s="46" t="str">
        <f>IF(AND(I.Developer.P4=TRUE,I.Facility.P4FacilityCount&gt;=4811,F24823=""),"Incomplete","Complete")</f>
        <v>Complete</v>
      </c>
      <c r="I24823" s="48" t="s">
        <v>29188</v>
      </c>
    </row>
    <row r="24824" spans="2:9" ht="15" customHeight="1" x14ac:dyDescent="0.25">
      <c r="B24824" s="55" t="s">
        <v>283</v>
      </c>
      <c r="C24824" s="46">
        <v>4812</v>
      </c>
      <c r="D24824" s="69" t="s">
        <v>29420</v>
      </c>
      <c r="E24824" s="51"/>
      <c r="F24824" s="114" t="str">
        <f>IF(INDEX(I.Facility.P4IDNumber,4812)="","",INDEX(I.Facility.P4IDNumber,4812))</f>
        <v/>
      </c>
      <c r="G24824" s="51"/>
      <c r="H24824" s="46" t="str">
        <f>IF(AND(I.Developer.P4=TRUE,I.Facility.P4FacilityCount&gt;=4812,F24824=""),"Incomplete","Complete")</f>
        <v>Complete</v>
      </c>
      <c r="I24824" s="48" t="s">
        <v>29189</v>
      </c>
    </row>
    <row r="24825" spans="2:9" ht="15" customHeight="1" x14ac:dyDescent="0.25">
      <c r="B24825" s="55" t="s">
        <v>283</v>
      </c>
      <c r="C24825" s="46">
        <v>4813</v>
      </c>
      <c r="D24825" s="69" t="s">
        <v>29420</v>
      </c>
      <c r="E24825" s="51"/>
      <c r="F24825" s="114" t="str">
        <f>IF(INDEX(I.Facility.P4IDNumber,4813)="","",INDEX(I.Facility.P4IDNumber,4813))</f>
        <v/>
      </c>
      <c r="G24825" s="51"/>
      <c r="H24825" s="46" t="str">
        <f>IF(AND(I.Developer.P4=TRUE,I.Facility.P4FacilityCount&gt;=4813,F24825=""),"Incomplete","Complete")</f>
        <v>Complete</v>
      </c>
      <c r="I24825" s="48" t="s">
        <v>29190</v>
      </c>
    </row>
    <row r="24826" spans="2:9" ht="15" customHeight="1" x14ac:dyDescent="0.25">
      <c r="B24826" s="55" t="s">
        <v>283</v>
      </c>
      <c r="C24826" s="46">
        <v>4814</v>
      </c>
      <c r="D24826" s="69" t="s">
        <v>29420</v>
      </c>
      <c r="E24826" s="51"/>
      <c r="F24826" s="114" t="str">
        <f>IF(INDEX(I.Facility.P4IDNumber,4814)="","",INDEX(I.Facility.P4IDNumber,4814))</f>
        <v/>
      </c>
      <c r="G24826" s="51"/>
      <c r="H24826" s="46" t="str">
        <f>IF(AND(I.Developer.P4=TRUE,I.Facility.P4FacilityCount&gt;=4814,F24826=""),"Incomplete","Complete")</f>
        <v>Complete</v>
      </c>
      <c r="I24826" s="48" t="s">
        <v>29191</v>
      </c>
    </row>
    <row r="24827" spans="2:9" ht="15" customHeight="1" x14ac:dyDescent="0.25">
      <c r="B24827" s="55" t="s">
        <v>283</v>
      </c>
      <c r="C24827" s="46">
        <v>4815</v>
      </c>
      <c r="D24827" s="69" t="s">
        <v>29420</v>
      </c>
      <c r="E24827" s="51"/>
      <c r="F24827" s="114" t="str">
        <f>IF(INDEX(I.Facility.P4IDNumber,4815)="","",INDEX(I.Facility.P4IDNumber,4815))</f>
        <v/>
      </c>
      <c r="G24827" s="51"/>
      <c r="H24827" s="46" t="str">
        <f>IF(AND(I.Developer.P4=TRUE,I.Facility.P4FacilityCount&gt;=4815,F24827=""),"Incomplete","Complete")</f>
        <v>Complete</v>
      </c>
      <c r="I24827" s="48" t="s">
        <v>29192</v>
      </c>
    </row>
    <row r="24828" spans="2:9" ht="15" customHeight="1" x14ac:dyDescent="0.25">
      <c r="B24828" s="55" t="s">
        <v>283</v>
      </c>
      <c r="C24828" s="46">
        <v>4816</v>
      </c>
      <c r="D24828" s="69" t="s">
        <v>29420</v>
      </c>
      <c r="E24828" s="51"/>
      <c r="F24828" s="114" t="str">
        <f>IF(INDEX(I.Facility.P4IDNumber,4816)="","",INDEX(I.Facility.P4IDNumber,4816))</f>
        <v/>
      </c>
      <c r="G24828" s="51"/>
      <c r="H24828" s="46" t="str">
        <f>IF(AND(I.Developer.P4=TRUE,I.Facility.P4FacilityCount&gt;=4816,F24828=""),"Incomplete","Complete")</f>
        <v>Complete</v>
      </c>
      <c r="I24828" s="48" t="s">
        <v>29193</v>
      </c>
    </row>
    <row r="24829" spans="2:9" ht="15" customHeight="1" x14ac:dyDescent="0.25">
      <c r="B24829" s="55" t="s">
        <v>283</v>
      </c>
      <c r="C24829" s="46">
        <v>4817</v>
      </c>
      <c r="D24829" s="69" t="s">
        <v>29420</v>
      </c>
      <c r="E24829" s="51"/>
      <c r="F24829" s="114" t="str">
        <f>IF(INDEX(I.Facility.P4IDNumber,4817)="","",INDEX(I.Facility.P4IDNumber,4817))</f>
        <v/>
      </c>
      <c r="G24829" s="51"/>
      <c r="H24829" s="46" t="str">
        <f>IF(AND(I.Developer.P4=TRUE,I.Facility.P4FacilityCount&gt;=4817,F24829=""),"Incomplete","Complete")</f>
        <v>Complete</v>
      </c>
      <c r="I24829" s="48" t="s">
        <v>29194</v>
      </c>
    </row>
    <row r="24830" spans="2:9" ht="15" customHeight="1" x14ac:dyDescent="0.25">
      <c r="B24830" s="55" t="s">
        <v>283</v>
      </c>
      <c r="C24830" s="46">
        <v>4818</v>
      </c>
      <c r="D24830" s="69" t="s">
        <v>29420</v>
      </c>
      <c r="E24830" s="51"/>
      <c r="F24830" s="114" t="str">
        <f>IF(INDEX(I.Facility.P4IDNumber,4818)="","",INDEX(I.Facility.P4IDNumber,4818))</f>
        <v/>
      </c>
      <c r="G24830" s="51"/>
      <c r="H24830" s="46" t="str">
        <f>IF(AND(I.Developer.P4=TRUE,I.Facility.P4FacilityCount&gt;=4818,F24830=""),"Incomplete","Complete")</f>
        <v>Complete</v>
      </c>
      <c r="I24830" s="48" t="s">
        <v>29195</v>
      </c>
    </row>
    <row r="24831" spans="2:9" ht="15" customHeight="1" x14ac:dyDescent="0.25">
      <c r="B24831" s="55" t="s">
        <v>283</v>
      </c>
      <c r="C24831" s="46">
        <v>4819</v>
      </c>
      <c r="D24831" s="69" t="s">
        <v>29420</v>
      </c>
      <c r="E24831" s="51"/>
      <c r="F24831" s="114" t="str">
        <f>IF(INDEX(I.Facility.P4IDNumber,4819)="","",INDEX(I.Facility.P4IDNumber,4819))</f>
        <v/>
      </c>
      <c r="G24831" s="51"/>
      <c r="H24831" s="46" t="str">
        <f>IF(AND(I.Developer.P4=TRUE,I.Facility.P4FacilityCount&gt;=4819,F24831=""),"Incomplete","Complete")</f>
        <v>Complete</v>
      </c>
      <c r="I24831" s="48" t="s">
        <v>29196</v>
      </c>
    </row>
    <row r="24832" spans="2:9" ht="15" customHeight="1" x14ac:dyDescent="0.25">
      <c r="B24832" s="55" t="s">
        <v>283</v>
      </c>
      <c r="C24832" s="46">
        <v>4820</v>
      </c>
      <c r="D24832" s="69" t="s">
        <v>29420</v>
      </c>
      <c r="E24832" s="51"/>
      <c r="F24832" s="114" t="str">
        <f>IF(INDEX(I.Facility.P4IDNumber,4820)="","",INDEX(I.Facility.P4IDNumber,4820))</f>
        <v/>
      </c>
      <c r="G24832" s="51"/>
      <c r="H24832" s="46" t="str">
        <f>IF(AND(I.Developer.P4=TRUE,I.Facility.P4FacilityCount&gt;=4820,F24832=""),"Incomplete","Complete")</f>
        <v>Complete</v>
      </c>
      <c r="I24832" s="48" t="s">
        <v>29197</v>
      </c>
    </row>
    <row r="24833" spans="2:9" ht="15" customHeight="1" x14ac:dyDescent="0.25">
      <c r="B24833" s="55" t="s">
        <v>283</v>
      </c>
      <c r="C24833" s="46">
        <v>4821</v>
      </c>
      <c r="D24833" s="69" t="s">
        <v>29420</v>
      </c>
      <c r="E24833" s="51"/>
      <c r="F24833" s="114" t="str">
        <f>IF(INDEX(I.Facility.P4IDNumber,4821)="","",INDEX(I.Facility.P4IDNumber,4821))</f>
        <v/>
      </c>
      <c r="G24833" s="51"/>
      <c r="H24833" s="46" t="str">
        <f>IF(AND(I.Developer.P4=TRUE,I.Facility.P4FacilityCount&gt;=4821,F24833=""),"Incomplete","Complete")</f>
        <v>Complete</v>
      </c>
      <c r="I24833" s="48" t="s">
        <v>29198</v>
      </c>
    </row>
    <row r="24834" spans="2:9" ht="15" customHeight="1" x14ac:dyDescent="0.25">
      <c r="B24834" s="55" t="s">
        <v>283</v>
      </c>
      <c r="C24834" s="46">
        <v>4822</v>
      </c>
      <c r="D24834" s="69" t="s">
        <v>29420</v>
      </c>
      <c r="E24834" s="51"/>
      <c r="F24834" s="114" t="str">
        <f>IF(INDEX(I.Facility.P4IDNumber,4822)="","",INDEX(I.Facility.P4IDNumber,4822))</f>
        <v/>
      </c>
      <c r="G24834" s="51"/>
      <c r="H24834" s="46" t="str">
        <f>IF(AND(I.Developer.P4=TRUE,I.Facility.P4FacilityCount&gt;=4822,F24834=""),"Incomplete","Complete")</f>
        <v>Complete</v>
      </c>
      <c r="I24834" s="48" t="s">
        <v>29199</v>
      </c>
    </row>
    <row r="24835" spans="2:9" ht="15" customHeight="1" x14ac:dyDescent="0.25">
      <c r="B24835" s="55" t="s">
        <v>283</v>
      </c>
      <c r="C24835" s="46">
        <v>4823</v>
      </c>
      <c r="D24835" s="69" t="s">
        <v>29420</v>
      </c>
      <c r="E24835" s="51"/>
      <c r="F24835" s="114" t="str">
        <f>IF(INDEX(I.Facility.P4IDNumber,4823)="","",INDEX(I.Facility.P4IDNumber,4823))</f>
        <v/>
      </c>
      <c r="G24835" s="51"/>
      <c r="H24835" s="46" t="str">
        <f>IF(AND(I.Developer.P4=TRUE,I.Facility.P4FacilityCount&gt;=4823,F24835=""),"Incomplete","Complete")</f>
        <v>Complete</v>
      </c>
      <c r="I24835" s="48" t="s">
        <v>29200</v>
      </c>
    </row>
    <row r="24836" spans="2:9" ht="15" customHeight="1" x14ac:dyDescent="0.25">
      <c r="B24836" s="55" t="s">
        <v>283</v>
      </c>
      <c r="C24836" s="46">
        <v>4824</v>
      </c>
      <c r="D24836" s="69" t="s">
        <v>29420</v>
      </c>
      <c r="E24836" s="51"/>
      <c r="F24836" s="114" t="str">
        <f>IF(INDEX(I.Facility.P4IDNumber,4824)="","",INDEX(I.Facility.P4IDNumber,4824))</f>
        <v/>
      </c>
      <c r="G24836" s="51"/>
      <c r="H24836" s="46" t="str">
        <f>IF(AND(I.Developer.P4=TRUE,I.Facility.P4FacilityCount&gt;=4824,F24836=""),"Incomplete","Complete")</f>
        <v>Complete</v>
      </c>
      <c r="I24836" s="48" t="s">
        <v>29201</v>
      </c>
    </row>
    <row r="24837" spans="2:9" ht="15" customHeight="1" x14ac:dyDescent="0.25">
      <c r="B24837" s="55" t="s">
        <v>283</v>
      </c>
      <c r="C24837" s="46">
        <v>4825</v>
      </c>
      <c r="D24837" s="69" t="s">
        <v>29420</v>
      </c>
      <c r="E24837" s="51"/>
      <c r="F24837" s="114" t="str">
        <f>IF(INDEX(I.Facility.P4IDNumber,4825)="","",INDEX(I.Facility.P4IDNumber,4825))</f>
        <v/>
      </c>
      <c r="G24837" s="51"/>
      <c r="H24837" s="46" t="str">
        <f>IF(AND(I.Developer.P4=TRUE,I.Facility.P4FacilityCount&gt;=4825,F24837=""),"Incomplete","Complete")</f>
        <v>Complete</v>
      </c>
      <c r="I24837" s="48" t="s">
        <v>29202</v>
      </c>
    </row>
    <row r="24838" spans="2:9" ht="15" customHeight="1" x14ac:dyDescent="0.25">
      <c r="B24838" s="55" t="s">
        <v>283</v>
      </c>
      <c r="C24838" s="46">
        <v>4826</v>
      </c>
      <c r="D24838" s="69" t="s">
        <v>29420</v>
      </c>
      <c r="E24838" s="51"/>
      <c r="F24838" s="114" t="str">
        <f>IF(INDEX(I.Facility.P4IDNumber,4826)="","",INDEX(I.Facility.P4IDNumber,4826))</f>
        <v/>
      </c>
      <c r="G24838" s="51"/>
      <c r="H24838" s="46" t="str">
        <f>IF(AND(I.Developer.P4=TRUE,I.Facility.P4FacilityCount&gt;=4826,F24838=""),"Incomplete","Complete")</f>
        <v>Complete</v>
      </c>
      <c r="I24838" s="48" t="s">
        <v>29203</v>
      </c>
    </row>
    <row r="24839" spans="2:9" ht="15" customHeight="1" x14ac:dyDescent="0.25">
      <c r="B24839" s="55" t="s">
        <v>283</v>
      </c>
      <c r="C24839" s="46">
        <v>4827</v>
      </c>
      <c r="D24839" s="69" t="s">
        <v>29420</v>
      </c>
      <c r="E24839" s="51"/>
      <c r="F24839" s="114" t="str">
        <f>IF(INDEX(I.Facility.P4IDNumber,4827)="","",INDEX(I.Facility.P4IDNumber,4827))</f>
        <v/>
      </c>
      <c r="G24839" s="51"/>
      <c r="H24839" s="46" t="str">
        <f>IF(AND(I.Developer.P4=TRUE,I.Facility.P4FacilityCount&gt;=4827,F24839=""),"Incomplete","Complete")</f>
        <v>Complete</v>
      </c>
      <c r="I24839" s="48" t="s">
        <v>29204</v>
      </c>
    </row>
    <row r="24840" spans="2:9" ht="15" customHeight="1" x14ac:dyDescent="0.25">
      <c r="B24840" s="55" t="s">
        <v>283</v>
      </c>
      <c r="C24840" s="46">
        <v>4828</v>
      </c>
      <c r="D24840" s="69" t="s">
        <v>29420</v>
      </c>
      <c r="E24840" s="51"/>
      <c r="F24840" s="114" t="str">
        <f>IF(INDEX(I.Facility.P4IDNumber,4828)="","",INDEX(I.Facility.P4IDNumber,4828))</f>
        <v/>
      </c>
      <c r="G24840" s="51"/>
      <c r="H24840" s="46" t="str">
        <f>IF(AND(I.Developer.P4=TRUE,I.Facility.P4FacilityCount&gt;=4828,F24840=""),"Incomplete","Complete")</f>
        <v>Complete</v>
      </c>
      <c r="I24840" s="48" t="s">
        <v>29205</v>
      </c>
    </row>
    <row r="24841" spans="2:9" ht="15" customHeight="1" x14ac:dyDescent="0.25">
      <c r="B24841" s="55" t="s">
        <v>283</v>
      </c>
      <c r="C24841" s="46">
        <v>4829</v>
      </c>
      <c r="D24841" s="69" t="s">
        <v>29420</v>
      </c>
      <c r="E24841" s="51"/>
      <c r="F24841" s="114" t="str">
        <f>IF(INDEX(I.Facility.P4IDNumber,4829)="","",INDEX(I.Facility.P4IDNumber,4829))</f>
        <v/>
      </c>
      <c r="G24841" s="51"/>
      <c r="H24841" s="46" t="str">
        <f>IF(AND(I.Developer.P4=TRUE,I.Facility.P4FacilityCount&gt;=4829,F24841=""),"Incomplete","Complete")</f>
        <v>Complete</v>
      </c>
      <c r="I24841" s="48" t="s">
        <v>29206</v>
      </c>
    </row>
    <row r="24842" spans="2:9" ht="15" customHeight="1" x14ac:dyDescent="0.25">
      <c r="B24842" s="55" t="s">
        <v>283</v>
      </c>
      <c r="C24842" s="46">
        <v>4830</v>
      </c>
      <c r="D24842" s="69" t="s">
        <v>29420</v>
      </c>
      <c r="E24842" s="51"/>
      <c r="F24842" s="114" t="str">
        <f>IF(INDEX(I.Facility.P4IDNumber,4830)="","",INDEX(I.Facility.P4IDNumber,4830))</f>
        <v/>
      </c>
      <c r="G24842" s="51"/>
      <c r="H24842" s="46" t="str">
        <f>IF(AND(I.Developer.P4=TRUE,I.Facility.P4FacilityCount&gt;=4830,F24842=""),"Incomplete","Complete")</f>
        <v>Complete</v>
      </c>
      <c r="I24842" s="48" t="s">
        <v>29207</v>
      </c>
    </row>
    <row r="24843" spans="2:9" ht="15" customHeight="1" x14ac:dyDescent="0.25">
      <c r="B24843" s="55" t="s">
        <v>283</v>
      </c>
      <c r="C24843" s="46">
        <v>4831</v>
      </c>
      <c r="D24843" s="69" t="s">
        <v>29420</v>
      </c>
      <c r="E24843" s="51"/>
      <c r="F24843" s="114" t="str">
        <f>IF(INDEX(I.Facility.P4IDNumber,4831)="","",INDEX(I.Facility.P4IDNumber,4831))</f>
        <v/>
      </c>
      <c r="G24843" s="51"/>
      <c r="H24843" s="46" t="str">
        <f>IF(AND(I.Developer.P4=TRUE,I.Facility.P4FacilityCount&gt;=4831,F24843=""),"Incomplete","Complete")</f>
        <v>Complete</v>
      </c>
      <c r="I24843" s="48" t="s">
        <v>29208</v>
      </c>
    </row>
    <row r="24844" spans="2:9" ht="15" customHeight="1" x14ac:dyDescent="0.25">
      <c r="B24844" s="55" t="s">
        <v>283</v>
      </c>
      <c r="C24844" s="46">
        <v>4832</v>
      </c>
      <c r="D24844" s="69" t="s">
        <v>29420</v>
      </c>
      <c r="E24844" s="51"/>
      <c r="F24844" s="114" t="str">
        <f>IF(INDEX(I.Facility.P4IDNumber,4832)="","",INDEX(I.Facility.P4IDNumber,4832))</f>
        <v/>
      </c>
      <c r="G24844" s="51"/>
      <c r="H24844" s="46" t="str">
        <f>IF(AND(I.Developer.P4=TRUE,I.Facility.P4FacilityCount&gt;=4832,F24844=""),"Incomplete","Complete")</f>
        <v>Complete</v>
      </c>
      <c r="I24844" s="48" t="s">
        <v>29209</v>
      </c>
    </row>
    <row r="24845" spans="2:9" ht="15" customHeight="1" x14ac:dyDescent="0.25">
      <c r="B24845" s="55" t="s">
        <v>283</v>
      </c>
      <c r="C24845" s="46">
        <v>4833</v>
      </c>
      <c r="D24845" s="69" t="s">
        <v>29420</v>
      </c>
      <c r="E24845" s="51"/>
      <c r="F24845" s="114" t="str">
        <f>IF(INDEX(I.Facility.P4IDNumber,4833)="","",INDEX(I.Facility.P4IDNumber,4833))</f>
        <v/>
      </c>
      <c r="G24845" s="51"/>
      <c r="H24845" s="46" t="str">
        <f>IF(AND(I.Developer.P4=TRUE,I.Facility.P4FacilityCount&gt;=4833,F24845=""),"Incomplete","Complete")</f>
        <v>Complete</v>
      </c>
      <c r="I24845" s="48" t="s">
        <v>29210</v>
      </c>
    </row>
    <row r="24846" spans="2:9" ht="15" customHeight="1" x14ac:dyDescent="0.25">
      <c r="B24846" s="55" t="s">
        <v>283</v>
      </c>
      <c r="C24846" s="46">
        <v>4834</v>
      </c>
      <c r="D24846" s="69" t="s">
        <v>29420</v>
      </c>
      <c r="E24846" s="51"/>
      <c r="F24846" s="114" t="str">
        <f>IF(INDEX(I.Facility.P4IDNumber,4834)="","",INDEX(I.Facility.P4IDNumber,4834))</f>
        <v/>
      </c>
      <c r="G24846" s="51"/>
      <c r="H24846" s="46" t="str">
        <f>IF(AND(I.Developer.P4=TRUE,I.Facility.P4FacilityCount&gt;=4834,F24846=""),"Incomplete","Complete")</f>
        <v>Complete</v>
      </c>
      <c r="I24846" s="48" t="s">
        <v>29211</v>
      </c>
    </row>
    <row r="24847" spans="2:9" ht="15" customHeight="1" x14ac:dyDescent="0.25">
      <c r="B24847" s="55" t="s">
        <v>283</v>
      </c>
      <c r="C24847" s="46">
        <v>4835</v>
      </c>
      <c r="D24847" s="69" t="s">
        <v>29420</v>
      </c>
      <c r="E24847" s="51"/>
      <c r="F24847" s="114" t="str">
        <f>IF(INDEX(I.Facility.P4IDNumber,4835)="","",INDEX(I.Facility.P4IDNumber,4835))</f>
        <v/>
      </c>
      <c r="G24847" s="51"/>
      <c r="H24847" s="46" t="str">
        <f>IF(AND(I.Developer.P4=TRUE,I.Facility.P4FacilityCount&gt;=4835,F24847=""),"Incomplete","Complete")</f>
        <v>Complete</v>
      </c>
      <c r="I24847" s="48" t="s">
        <v>29212</v>
      </c>
    </row>
    <row r="24848" spans="2:9" ht="15" customHeight="1" x14ac:dyDescent="0.25">
      <c r="B24848" s="55" t="s">
        <v>283</v>
      </c>
      <c r="C24848" s="46">
        <v>4836</v>
      </c>
      <c r="D24848" s="69" t="s">
        <v>29420</v>
      </c>
      <c r="E24848" s="51"/>
      <c r="F24848" s="114" t="str">
        <f>IF(INDEX(I.Facility.P4IDNumber,4836)="","",INDEX(I.Facility.P4IDNumber,4836))</f>
        <v/>
      </c>
      <c r="G24848" s="51"/>
      <c r="H24848" s="46" t="str">
        <f>IF(AND(I.Developer.P4=TRUE,I.Facility.P4FacilityCount&gt;=4836,F24848=""),"Incomplete","Complete")</f>
        <v>Complete</v>
      </c>
      <c r="I24848" s="48" t="s">
        <v>29213</v>
      </c>
    </row>
    <row r="24849" spans="2:9" ht="15" customHeight="1" x14ac:dyDescent="0.25">
      <c r="B24849" s="55" t="s">
        <v>283</v>
      </c>
      <c r="C24849" s="46">
        <v>4837</v>
      </c>
      <c r="D24849" s="69" t="s">
        <v>29420</v>
      </c>
      <c r="E24849" s="51"/>
      <c r="F24849" s="114" t="str">
        <f>IF(INDEX(I.Facility.P4IDNumber,4837)="","",INDEX(I.Facility.P4IDNumber,4837))</f>
        <v/>
      </c>
      <c r="G24849" s="51"/>
      <c r="H24849" s="46" t="str">
        <f>IF(AND(I.Developer.P4=TRUE,I.Facility.P4FacilityCount&gt;=4837,F24849=""),"Incomplete","Complete")</f>
        <v>Complete</v>
      </c>
      <c r="I24849" s="48" t="s">
        <v>29214</v>
      </c>
    </row>
    <row r="24850" spans="2:9" ht="15" customHeight="1" x14ac:dyDescent="0.25">
      <c r="B24850" s="55" t="s">
        <v>283</v>
      </c>
      <c r="C24850" s="46">
        <v>4838</v>
      </c>
      <c r="D24850" s="69" t="s">
        <v>29420</v>
      </c>
      <c r="E24850" s="51"/>
      <c r="F24850" s="114" t="str">
        <f>IF(INDEX(I.Facility.P4IDNumber,4838)="","",INDEX(I.Facility.P4IDNumber,4838))</f>
        <v/>
      </c>
      <c r="G24850" s="51"/>
      <c r="H24850" s="46" t="str">
        <f>IF(AND(I.Developer.P4=TRUE,I.Facility.P4FacilityCount&gt;=4838,F24850=""),"Incomplete","Complete")</f>
        <v>Complete</v>
      </c>
      <c r="I24850" s="48" t="s">
        <v>29215</v>
      </c>
    </row>
    <row r="24851" spans="2:9" ht="15" customHeight="1" x14ac:dyDescent="0.25">
      <c r="B24851" s="55" t="s">
        <v>283</v>
      </c>
      <c r="C24851" s="46">
        <v>4839</v>
      </c>
      <c r="D24851" s="69" t="s">
        <v>29420</v>
      </c>
      <c r="E24851" s="51"/>
      <c r="F24851" s="114" t="str">
        <f>IF(INDEX(I.Facility.P4IDNumber,4839)="","",INDEX(I.Facility.P4IDNumber,4839))</f>
        <v/>
      </c>
      <c r="G24851" s="51"/>
      <c r="H24851" s="46" t="str">
        <f>IF(AND(I.Developer.P4=TRUE,I.Facility.P4FacilityCount&gt;=4839,F24851=""),"Incomplete","Complete")</f>
        <v>Complete</v>
      </c>
      <c r="I24851" s="48" t="s">
        <v>29216</v>
      </c>
    </row>
    <row r="24852" spans="2:9" ht="15" customHeight="1" x14ac:dyDescent="0.25">
      <c r="B24852" s="55" t="s">
        <v>283</v>
      </c>
      <c r="C24852" s="46">
        <v>4840</v>
      </c>
      <c r="D24852" s="69" t="s">
        <v>29420</v>
      </c>
      <c r="E24852" s="51"/>
      <c r="F24852" s="114" t="str">
        <f>IF(INDEX(I.Facility.P4IDNumber,4840)="","",INDEX(I.Facility.P4IDNumber,4840))</f>
        <v/>
      </c>
      <c r="G24852" s="51"/>
      <c r="H24852" s="46" t="str">
        <f>IF(AND(I.Developer.P4=TRUE,I.Facility.P4FacilityCount&gt;=4840,F24852=""),"Incomplete","Complete")</f>
        <v>Complete</v>
      </c>
      <c r="I24852" s="48" t="s">
        <v>29217</v>
      </c>
    </row>
    <row r="24853" spans="2:9" ht="15" customHeight="1" x14ac:dyDescent="0.25">
      <c r="B24853" s="55" t="s">
        <v>283</v>
      </c>
      <c r="C24853" s="46">
        <v>4841</v>
      </c>
      <c r="D24853" s="69" t="s">
        <v>29420</v>
      </c>
      <c r="E24853" s="51"/>
      <c r="F24853" s="114" t="str">
        <f>IF(INDEX(I.Facility.P4IDNumber,4841)="","",INDEX(I.Facility.P4IDNumber,4841))</f>
        <v/>
      </c>
      <c r="G24853" s="51"/>
      <c r="H24853" s="46" t="str">
        <f>IF(AND(I.Developer.P4=TRUE,I.Facility.P4FacilityCount&gt;=4841,F24853=""),"Incomplete","Complete")</f>
        <v>Complete</v>
      </c>
      <c r="I24853" s="48" t="s">
        <v>29218</v>
      </c>
    </row>
    <row r="24854" spans="2:9" ht="15" customHeight="1" x14ac:dyDescent="0.25">
      <c r="B24854" s="55" t="s">
        <v>283</v>
      </c>
      <c r="C24854" s="46">
        <v>4842</v>
      </c>
      <c r="D24854" s="69" t="s">
        <v>29420</v>
      </c>
      <c r="E24854" s="51"/>
      <c r="F24854" s="114" t="str">
        <f>IF(INDEX(I.Facility.P4IDNumber,4842)="","",INDEX(I.Facility.P4IDNumber,4842))</f>
        <v/>
      </c>
      <c r="G24854" s="51"/>
      <c r="H24854" s="46" t="str">
        <f>IF(AND(I.Developer.P4=TRUE,I.Facility.P4FacilityCount&gt;=4842,F24854=""),"Incomplete","Complete")</f>
        <v>Complete</v>
      </c>
      <c r="I24854" s="48" t="s">
        <v>29219</v>
      </c>
    </row>
    <row r="24855" spans="2:9" ht="15" customHeight="1" x14ac:dyDescent="0.25">
      <c r="B24855" s="55" t="s">
        <v>283</v>
      </c>
      <c r="C24855" s="46">
        <v>4843</v>
      </c>
      <c r="D24855" s="69" t="s">
        <v>29420</v>
      </c>
      <c r="E24855" s="51"/>
      <c r="F24855" s="114" t="str">
        <f>IF(INDEX(I.Facility.P4IDNumber,4843)="","",INDEX(I.Facility.P4IDNumber,4843))</f>
        <v/>
      </c>
      <c r="G24855" s="51"/>
      <c r="H24855" s="46" t="str">
        <f>IF(AND(I.Developer.P4=TRUE,I.Facility.P4FacilityCount&gt;=4843,F24855=""),"Incomplete","Complete")</f>
        <v>Complete</v>
      </c>
      <c r="I24855" s="48" t="s">
        <v>29220</v>
      </c>
    </row>
    <row r="24856" spans="2:9" ht="15" customHeight="1" x14ac:dyDescent="0.25">
      <c r="B24856" s="55" t="s">
        <v>283</v>
      </c>
      <c r="C24856" s="46">
        <v>4844</v>
      </c>
      <c r="D24856" s="69" t="s">
        <v>29420</v>
      </c>
      <c r="E24856" s="51"/>
      <c r="F24856" s="114" t="str">
        <f>IF(INDEX(I.Facility.P4IDNumber,4844)="","",INDEX(I.Facility.P4IDNumber,4844))</f>
        <v/>
      </c>
      <c r="G24856" s="51"/>
      <c r="H24856" s="46" t="str">
        <f>IF(AND(I.Developer.P4=TRUE,I.Facility.P4FacilityCount&gt;=4844,F24856=""),"Incomplete","Complete")</f>
        <v>Complete</v>
      </c>
      <c r="I24856" s="48" t="s">
        <v>29221</v>
      </c>
    </row>
    <row r="24857" spans="2:9" ht="15" customHeight="1" x14ac:dyDescent="0.25">
      <c r="B24857" s="55" t="s">
        <v>283</v>
      </c>
      <c r="C24857" s="46">
        <v>4845</v>
      </c>
      <c r="D24857" s="69" t="s">
        <v>29420</v>
      </c>
      <c r="E24857" s="51"/>
      <c r="F24857" s="114" t="str">
        <f>IF(INDEX(I.Facility.P4IDNumber,4845)="","",INDEX(I.Facility.P4IDNumber,4845))</f>
        <v/>
      </c>
      <c r="G24857" s="51"/>
      <c r="H24857" s="46" t="str">
        <f>IF(AND(I.Developer.P4=TRUE,I.Facility.P4FacilityCount&gt;=4845,F24857=""),"Incomplete","Complete")</f>
        <v>Complete</v>
      </c>
      <c r="I24857" s="48" t="s">
        <v>29222</v>
      </c>
    </row>
    <row r="24858" spans="2:9" ht="15" customHeight="1" x14ac:dyDescent="0.25">
      <c r="B24858" s="55" t="s">
        <v>283</v>
      </c>
      <c r="C24858" s="46">
        <v>4846</v>
      </c>
      <c r="D24858" s="69" t="s">
        <v>29420</v>
      </c>
      <c r="E24858" s="51"/>
      <c r="F24858" s="114" t="str">
        <f>IF(INDEX(I.Facility.P4IDNumber,4846)="","",INDEX(I.Facility.P4IDNumber,4846))</f>
        <v/>
      </c>
      <c r="G24858" s="51"/>
      <c r="H24858" s="46" t="str">
        <f>IF(AND(I.Developer.P4=TRUE,I.Facility.P4FacilityCount&gt;=4846,F24858=""),"Incomplete","Complete")</f>
        <v>Complete</v>
      </c>
      <c r="I24858" s="48" t="s">
        <v>29223</v>
      </c>
    </row>
    <row r="24859" spans="2:9" ht="15" customHeight="1" x14ac:dyDescent="0.25">
      <c r="B24859" s="55" t="s">
        <v>283</v>
      </c>
      <c r="C24859" s="46">
        <v>4847</v>
      </c>
      <c r="D24859" s="69" t="s">
        <v>29420</v>
      </c>
      <c r="E24859" s="51"/>
      <c r="F24859" s="114" t="str">
        <f>IF(INDEX(I.Facility.P4IDNumber,4847)="","",INDEX(I.Facility.P4IDNumber,4847))</f>
        <v/>
      </c>
      <c r="G24859" s="51"/>
      <c r="H24859" s="46" t="str">
        <f>IF(AND(I.Developer.P4=TRUE,I.Facility.P4FacilityCount&gt;=4847,F24859=""),"Incomplete","Complete")</f>
        <v>Complete</v>
      </c>
      <c r="I24859" s="48" t="s">
        <v>29224</v>
      </c>
    </row>
    <row r="24860" spans="2:9" ht="15" customHeight="1" x14ac:dyDescent="0.25">
      <c r="B24860" s="55" t="s">
        <v>283</v>
      </c>
      <c r="C24860" s="46">
        <v>4848</v>
      </c>
      <c r="D24860" s="69" t="s">
        <v>29420</v>
      </c>
      <c r="E24860" s="51"/>
      <c r="F24860" s="114" t="str">
        <f>IF(INDEX(I.Facility.P4IDNumber,4848)="","",INDEX(I.Facility.P4IDNumber,4848))</f>
        <v/>
      </c>
      <c r="G24860" s="51"/>
      <c r="H24860" s="46" t="str">
        <f>IF(AND(I.Developer.P4=TRUE,I.Facility.P4FacilityCount&gt;=4848,F24860=""),"Incomplete","Complete")</f>
        <v>Complete</v>
      </c>
      <c r="I24860" s="48" t="s">
        <v>29225</v>
      </c>
    </row>
    <row r="24861" spans="2:9" ht="15" customHeight="1" x14ac:dyDescent="0.25">
      <c r="B24861" s="55" t="s">
        <v>283</v>
      </c>
      <c r="C24861" s="46">
        <v>4849</v>
      </c>
      <c r="D24861" s="69" t="s">
        <v>29420</v>
      </c>
      <c r="E24861" s="51"/>
      <c r="F24861" s="114" t="str">
        <f>IF(INDEX(I.Facility.P4IDNumber,4849)="","",INDEX(I.Facility.P4IDNumber,4849))</f>
        <v/>
      </c>
      <c r="G24861" s="51"/>
      <c r="H24861" s="46" t="str">
        <f>IF(AND(I.Developer.P4=TRUE,I.Facility.P4FacilityCount&gt;=4849,F24861=""),"Incomplete","Complete")</f>
        <v>Complete</v>
      </c>
      <c r="I24861" s="48" t="s">
        <v>29226</v>
      </c>
    </row>
    <row r="24862" spans="2:9" ht="15" customHeight="1" x14ac:dyDescent="0.25">
      <c r="B24862" s="55" t="s">
        <v>283</v>
      </c>
      <c r="C24862" s="46">
        <v>4850</v>
      </c>
      <c r="D24862" s="69" t="s">
        <v>29420</v>
      </c>
      <c r="E24862" s="51"/>
      <c r="F24862" s="114" t="str">
        <f>IF(INDEX(I.Facility.P4IDNumber,4850)="","",INDEX(I.Facility.P4IDNumber,4850))</f>
        <v/>
      </c>
      <c r="G24862" s="51"/>
      <c r="H24862" s="46" t="str">
        <f>IF(AND(I.Developer.P4=TRUE,I.Facility.P4FacilityCount&gt;=4850,F24862=""),"Incomplete","Complete")</f>
        <v>Complete</v>
      </c>
      <c r="I24862" s="48" t="s">
        <v>29227</v>
      </c>
    </row>
    <row r="24863" spans="2:9" ht="15" customHeight="1" x14ac:dyDescent="0.25">
      <c r="B24863" s="55" t="s">
        <v>283</v>
      </c>
      <c r="C24863" s="46">
        <v>4851</v>
      </c>
      <c r="D24863" s="69" t="s">
        <v>29420</v>
      </c>
      <c r="E24863" s="51"/>
      <c r="F24863" s="114" t="str">
        <f>IF(INDEX(I.Facility.P4IDNumber,4851)="","",INDEX(I.Facility.P4IDNumber,4851))</f>
        <v/>
      </c>
      <c r="G24863" s="51"/>
      <c r="H24863" s="46" t="str">
        <f>IF(AND(I.Developer.P4=TRUE,I.Facility.P4FacilityCount&gt;=4851,F24863=""),"Incomplete","Complete")</f>
        <v>Complete</v>
      </c>
      <c r="I24863" s="48" t="s">
        <v>29228</v>
      </c>
    </row>
    <row r="24864" spans="2:9" ht="15" customHeight="1" x14ac:dyDescent="0.25">
      <c r="B24864" s="55" t="s">
        <v>283</v>
      </c>
      <c r="C24864" s="46">
        <v>4852</v>
      </c>
      <c r="D24864" s="69" t="s">
        <v>29420</v>
      </c>
      <c r="E24864" s="51"/>
      <c r="F24864" s="114" t="str">
        <f>IF(INDEX(I.Facility.P4IDNumber,4852)="","",INDEX(I.Facility.P4IDNumber,4852))</f>
        <v/>
      </c>
      <c r="G24864" s="51"/>
      <c r="H24864" s="46" t="str">
        <f>IF(AND(I.Developer.P4=TRUE,I.Facility.P4FacilityCount&gt;=4852,F24864=""),"Incomplete","Complete")</f>
        <v>Complete</v>
      </c>
      <c r="I24864" s="48" t="s">
        <v>29229</v>
      </c>
    </row>
    <row r="24865" spans="2:9" ht="15" customHeight="1" x14ac:dyDescent="0.25">
      <c r="B24865" s="55" t="s">
        <v>283</v>
      </c>
      <c r="C24865" s="46">
        <v>4853</v>
      </c>
      <c r="D24865" s="69" t="s">
        <v>29420</v>
      </c>
      <c r="E24865" s="51"/>
      <c r="F24865" s="114" t="str">
        <f>IF(INDEX(I.Facility.P4IDNumber,4853)="","",INDEX(I.Facility.P4IDNumber,4853))</f>
        <v/>
      </c>
      <c r="G24865" s="51"/>
      <c r="H24865" s="46" t="str">
        <f>IF(AND(I.Developer.P4=TRUE,I.Facility.P4FacilityCount&gt;=4853,F24865=""),"Incomplete","Complete")</f>
        <v>Complete</v>
      </c>
      <c r="I24865" s="48" t="s">
        <v>29230</v>
      </c>
    </row>
    <row r="24866" spans="2:9" ht="15" customHeight="1" x14ac:dyDescent="0.25">
      <c r="B24866" s="55" t="s">
        <v>283</v>
      </c>
      <c r="C24866" s="46">
        <v>4854</v>
      </c>
      <c r="D24866" s="69" t="s">
        <v>29420</v>
      </c>
      <c r="E24866" s="51"/>
      <c r="F24866" s="114" t="str">
        <f>IF(INDEX(I.Facility.P4IDNumber,4854)="","",INDEX(I.Facility.P4IDNumber,4854))</f>
        <v/>
      </c>
      <c r="G24866" s="51"/>
      <c r="H24866" s="46" t="str">
        <f>IF(AND(I.Developer.P4=TRUE,I.Facility.P4FacilityCount&gt;=4854,F24866=""),"Incomplete","Complete")</f>
        <v>Complete</v>
      </c>
      <c r="I24866" s="48" t="s">
        <v>29231</v>
      </c>
    </row>
    <row r="24867" spans="2:9" ht="15" customHeight="1" x14ac:dyDescent="0.25">
      <c r="B24867" s="55" t="s">
        <v>283</v>
      </c>
      <c r="C24867" s="46">
        <v>4855</v>
      </c>
      <c r="D24867" s="69" t="s">
        <v>29420</v>
      </c>
      <c r="E24867" s="51"/>
      <c r="F24867" s="114" t="str">
        <f>IF(INDEX(I.Facility.P4IDNumber,4855)="","",INDEX(I.Facility.P4IDNumber,4855))</f>
        <v/>
      </c>
      <c r="G24867" s="51"/>
      <c r="H24867" s="46" t="str">
        <f>IF(AND(I.Developer.P4=TRUE,I.Facility.P4FacilityCount&gt;=4855,F24867=""),"Incomplete","Complete")</f>
        <v>Complete</v>
      </c>
      <c r="I24867" s="48" t="s">
        <v>29232</v>
      </c>
    </row>
    <row r="24868" spans="2:9" ht="15" customHeight="1" x14ac:dyDescent="0.25">
      <c r="B24868" s="55" t="s">
        <v>283</v>
      </c>
      <c r="C24868" s="46">
        <v>4856</v>
      </c>
      <c r="D24868" s="69" t="s">
        <v>29420</v>
      </c>
      <c r="E24868" s="51"/>
      <c r="F24868" s="114" t="str">
        <f>IF(INDEX(I.Facility.P4IDNumber,4856)="","",INDEX(I.Facility.P4IDNumber,4856))</f>
        <v/>
      </c>
      <c r="G24868" s="51"/>
      <c r="H24868" s="46" t="str">
        <f>IF(AND(I.Developer.P4=TRUE,I.Facility.P4FacilityCount&gt;=4856,F24868=""),"Incomplete","Complete")</f>
        <v>Complete</v>
      </c>
      <c r="I24868" s="48" t="s">
        <v>29233</v>
      </c>
    </row>
    <row r="24869" spans="2:9" ht="15" customHeight="1" x14ac:dyDescent="0.25">
      <c r="B24869" s="55" t="s">
        <v>283</v>
      </c>
      <c r="C24869" s="46">
        <v>4857</v>
      </c>
      <c r="D24869" s="69" t="s">
        <v>29420</v>
      </c>
      <c r="E24869" s="51"/>
      <c r="F24869" s="114" t="str">
        <f>IF(INDEX(I.Facility.P4IDNumber,4857)="","",INDEX(I.Facility.P4IDNumber,4857))</f>
        <v/>
      </c>
      <c r="G24869" s="51"/>
      <c r="H24869" s="46" t="str">
        <f>IF(AND(I.Developer.P4=TRUE,I.Facility.P4FacilityCount&gt;=4857,F24869=""),"Incomplete","Complete")</f>
        <v>Complete</v>
      </c>
      <c r="I24869" s="48" t="s">
        <v>29234</v>
      </c>
    </row>
    <row r="24870" spans="2:9" ht="15" customHeight="1" x14ac:dyDescent="0.25">
      <c r="B24870" s="55" t="s">
        <v>283</v>
      </c>
      <c r="C24870" s="46">
        <v>4858</v>
      </c>
      <c r="D24870" s="69" t="s">
        <v>29420</v>
      </c>
      <c r="E24870" s="51"/>
      <c r="F24870" s="114" t="str">
        <f>IF(INDEX(I.Facility.P4IDNumber,4858)="","",INDEX(I.Facility.P4IDNumber,4858))</f>
        <v/>
      </c>
      <c r="G24870" s="51"/>
      <c r="H24870" s="46" t="str">
        <f>IF(AND(I.Developer.P4=TRUE,I.Facility.P4FacilityCount&gt;=4858,F24870=""),"Incomplete","Complete")</f>
        <v>Complete</v>
      </c>
      <c r="I24870" s="48" t="s">
        <v>29235</v>
      </c>
    </row>
    <row r="24871" spans="2:9" ht="15" customHeight="1" x14ac:dyDescent="0.25">
      <c r="B24871" s="55" t="s">
        <v>283</v>
      </c>
      <c r="C24871" s="46">
        <v>4859</v>
      </c>
      <c r="D24871" s="69" t="s">
        <v>29420</v>
      </c>
      <c r="E24871" s="51"/>
      <c r="F24871" s="114" t="str">
        <f>IF(INDEX(I.Facility.P4IDNumber,4859)="","",INDEX(I.Facility.P4IDNumber,4859))</f>
        <v/>
      </c>
      <c r="G24871" s="51"/>
      <c r="H24871" s="46" t="str">
        <f>IF(AND(I.Developer.P4=TRUE,I.Facility.P4FacilityCount&gt;=4859,F24871=""),"Incomplete","Complete")</f>
        <v>Complete</v>
      </c>
      <c r="I24871" s="48" t="s">
        <v>29236</v>
      </c>
    </row>
    <row r="24872" spans="2:9" ht="15" customHeight="1" x14ac:dyDescent="0.25">
      <c r="B24872" s="55" t="s">
        <v>283</v>
      </c>
      <c r="C24872" s="46">
        <v>4860</v>
      </c>
      <c r="D24872" s="69" t="s">
        <v>29420</v>
      </c>
      <c r="E24872" s="51"/>
      <c r="F24872" s="114" t="str">
        <f>IF(INDEX(I.Facility.P4IDNumber,4860)="","",INDEX(I.Facility.P4IDNumber,4860))</f>
        <v/>
      </c>
      <c r="G24872" s="51"/>
      <c r="H24872" s="46" t="str">
        <f>IF(AND(I.Developer.P4=TRUE,I.Facility.P4FacilityCount&gt;=4860,F24872=""),"Incomplete","Complete")</f>
        <v>Complete</v>
      </c>
      <c r="I24872" s="48" t="s">
        <v>29237</v>
      </c>
    </row>
    <row r="24873" spans="2:9" ht="15" customHeight="1" x14ac:dyDescent="0.25">
      <c r="B24873" s="55" t="s">
        <v>283</v>
      </c>
      <c r="C24873" s="46">
        <v>4861</v>
      </c>
      <c r="D24873" s="69" t="s">
        <v>29420</v>
      </c>
      <c r="E24873" s="51"/>
      <c r="F24873" s="114" t="str">
        <f>IF(INDEX(I.Facility.P4IDNumber,4861)="","",INDEX(I.Facility.P4IDNumber,4861))</f>
        <v/>
      </c>
      <c r="G24873" s="51"/>
      <c r="H24873" s="46" t="str">
        <f>IF(AND(I.Developer.P4=TRUE,I.Facility.P4FacilityCount&gt;=4861,F24873=""),"Incomplete","Complete")</f>
        <v>Complete</v>
      </c>
      <c r="I24873" s="48" t="s">
        <v>29238</v>
      </c>
    </row>
    <row r="24874" spans="2:9" ht="15" customHeight="1" x14ac:dyDescent="0.25">
      <c r="B24874" s="55" t="s">
        <v>283</v>
      </c>
      <c r="C24874" s="46">
        <v>4862</v>
      </c>
      <c r="D24874" s="69" t="s">
        <v>29420</v>
      </c>
      <c r="E24874" s="51"/>
      <c r="F24874" s="114" t="str">
        <f>IF(INDEX(I.Facility.P4IDNumber,4862)="","",INDEX(I.Facility.P4IDNumber,4862))</f>
        <v/>
      </c>
      <c r="G24874" s="51"/>
      <c r="H24874" s="46" t="str">
        <f>IF(AND(I.Developer.P4=TRUE,I.Facility.P4FacilityCount&gt;=4862,F24874=""),"Incomplete","Complete")</f>
        <v>Complete</v>
      </c>
      <c r="I24874" s="48" t="s">
        <v>29239</v>
      </c>
    </row>
    <row r="24875" spans="2:9" ht="15" customHeight="1" x14ac:dyDescent="0.25">
      <c r="B24875" s="55" t="s">
        <v>283</v>
      </c>
      <c r="C24875" s="46">
        <v>4863</v>
      </c>
      <c r="D24875" s="69" t="s">
        <v>29420</v>
      </c>
      <c r="E24875" s="51"/>
      <c r="F24875" s="114" t="str">
        <f>IF(INDEX(I.Facility.P4IDNumber,4863)="","",INDEX(I.Facility.P4IDNumber,4863))</f>
        <v/>
      </c>
      <c r="G24875" s="51"/>
      <c r="H24875" s="46" t="str">
        <f>IF(AND(I.Developer.P4=TRUE,I.Facility.P4FacilityCount&gt;=4863,F24875=""),"Incomplete","Complete")</f>
        <v>Complete</v>
      </c>
      <c r="I24875" s="48" t="s">
        <v>29240</v>
      </c>
    </row>
    <row r="24876" spans="2:9" ht="15" customHeight="1" x14ac:dyDescent="0.25">
      <c r="B24876" s="55" t="s">
        <v>283</v>
      </c>
      <c r="C24876" s="46">
        <v>4864</v>
      </c>
      <c r="D24876" s="69" t="s">
        <v>29420</v>
      </c>
      <c r="E24876" s="51"/>
      <c r="F24876" s="114" t="str">
        <f>IF(INDEX(I.Facility.P4IDNumber,4864)="","",INDEX(I.Facility.P4IDNumber,4864))</f>
        <v/>
      </c>
      <c r="G24876" s="51"/>
      <c r="H24876" s="46" t="str">
        <f>IF(AND(I.Developer.P4=TRUE,I.Facility.P4FacilityCount&gt;=4864,F24876=""),"Incomplete","Complete")</f>
        <v>Complete</v>
      </c>
      <c r="I24876" s="48" t="s">
        <v>29241</v>
      </c>
    </row>
    <row r="24877" spans="2:9" ht="15" customHeight="1" x14ac:dyDescent="0.25">
      <c r="B24877" s="55" t="s">
        <v>283</v>
      </c>
      <c r="C24877" s="46">
        <v>4865</v>
      </c>
      <c r="D24877" s="69" t="s">
        <v>29420</v>
      </c>
      <c r="E24877" s="51"/>
      <c r="F24877" s="114" t="str">
        <f>IF(INDEX(I.Facility.P4IDNumber,4865)="","",INDEX(I.Facility.P4IDNumber,4865))</f>
        <v/>
      </c>
      <c r="G24877" s="51"/>
      <c r="H24877" s="46" t="str">
        <f>IF(AND(I.Developer.P4=TRUE,I.Facility.P4FacilityCount&gt;=4865,F24877=""),"Incomplete","Complete")</f>
        <v>Complete</v>
      </c>
      <c r="I24877" s="48" t="s">
        <v>29242</v>
      </c>
    </row>
    <row r="24878" spans="2:9" ht="15" customHeight="1" x14ac:dyDescent="0.25">
      <c r="B24878" s="55" t="s">
        <v>283</v>
      </c>
      <c r="C24878" s="46">
        <v>4866</v>
      </c>
      <c r="D24878" s="69" t="s">
        <v>29420</v>
      </c>
      <c r="E24878" s="51"/>
      <c r="F24878" s="114" t="str">
        <f>IF(INDEX(I.Facility.P4IDNumber,4866)="","",INDEX(I.Facility.P4IDNumber,4866))</f>
        <v/>
      </c>
      <c r="G24878" s="51"/>
      <c r="H24878" s="46" t="str">
        <f>IF(AND(I.Developer.P4=TRUE,I.Facility.P4FacilityCount&gt;=4866,F24878=""),"Incomplete","Complete")</f>
        <v>Complete</v>
      </c>
      <c r="I24878" s="48" t="s">
        <v>29243</v>
      </c>
    </row>
    <row r="24879" spans="2:9" ht="15" customHeight="1" x14ac:dyDescent="0.25">
      <c r="B24879" s="55" t="s">
        <v>283</v>
      </c>
      <c r="C24879" s="46">
        <v>4867</v>
      </c>
      <c r="D24879" s="69" t="s">
        <v>29420</v>
      </c>
      <c r="E24879" s="51"/>
      <c r="F24879" s="114" t="str">
        <f>IF(INDEX(I.Facility.P4IDNumber,4867)="","",INDEX(I.Facility.P4IDNumber,4867))</f>
        <v/>
      </c>
      <c r="G24879" s="51"/>
      <c r="H24879" s="46" t="str">
        <f>IF(AND(I.Developer.P4=TRUE,I.Facility.P4FacilityCount&gt;=4867,F24879=""),"Incomplete","Complete")</f>
        <v>Complete</v>
      </c>
      <c r="I24879" s="48" t="s">
        <v>29244</v>
      </c>
    </row>
    <row r="24880" spans="2:9" ht="15" customHeight="1" x14ac:dyDescent="0.25">
      <c r="B24880" s="55" t="s">
        <v>283</v>
      </c>
      <c r="C24880" s="46">
        <v>4868</v>
      </c>
      <c r="D24880" s="69" t="s">
        <v>29420</v>
      </c>
      <c r="E24880" s="51"/>
      <c r="F24880" s="114" t="str">
        <f>IF(INDEX(I.Facility.P4IDNumber,4868)="","",INDEX(I.Facility.P4IDNumber,4868))</f>
        <v/>
      </c>
      <c r="G24880" s="51"/>
      <c r="H24880" s="46" t="str">
        <f>IF(AND(I.Developer.P4=TRUE,I.Facility.P4FacilityCount&gt;=4868,F24880=""),"Incomplete","Complete")</f>
        <v>Complete</v>
      </c>
      <c r="I24880" s="48" t="s">
        <v>29245</v>
      </c>
    </row>
    <row r="24881" spans="2:9" ht="15" customHeight="1" x14ac:dyDescent="0.25">
      <c r="B24881" s="55" t="s">
        <v>283</v>
      </c>
      <c r="C24881" s="46">
        <v>4869</v>
      </c>
      <c r="D24881" s="69" t="s">
        <v>29420</v>
      </c>
      <c r="E24881" s="51"/>
      <c r="F24881" s="114" t="str">
        <f>IF(INDEX(I.Facility.P4IDNumber,4869)="","",INDEX(I.Facility.P4IDNumber,4869))</f>
        <v/>
      </c>
      <c r="G24881" s="51"/>
      <c r="H24881" s="46" t="str">
        <f>IF(AND(I.Developer.P4=TRUE,I.Facility.P4FacilityCount&gt;=4869,F24881=""),"Incomplete","Complete")</f>
        <v>Complete</v>
      </c>
      <c r="I24881" s="48" t="s">
        <v>29246</v>
      </c>
    </row>
    <row r="24882" spans="2:9" ht="15" customHeight="1" x14ac:dyDescent="0.25">
      <c r="B24882" s="55" t="s">
        <v>283</v>
      </c>
      <c r="C24882" s="46">
        <v>4870</v>
      </c>
      <c r="D24882" s="69" t="s">
        <v>29420</v>
      </c>
      <c r="E24882" s="51"/>
      <c r="F24882" s="114" t="str">
        <f>IF(INDEX(I.Facility.P4IDNumber,4870)="","",INDEX(I.Facility.P4IDNumber,4870))</f>
        <v/>
      </c>
      <c r="G24882" s="51"/>
      <c r="H24882" s="46" t="str">
        <f>IF(AND(I.Developer.P4=TRUE,I.Facility.P4FacilityCount&gt;=4870,F24882=""),"Incomplete","Complete")</f>
        <v>Complete</v>
      </c>
      <c r="I24882" s="48" t="s">
        <v>29247</v>
      </c>
    </row>
    <row r="24883" spans="2:9" ht="15" customHeight="1" x14ac:dyDescent="0.25">
      <c r="B24883" s="55" t="s">
        <v>283</v>
      </c>
      <c r="C24883" s="46">
        <v>4871</v>
      </c>
      <c r="D24883" s="69" t="s">
        <v>29420</v>
      </c>
      <c r="E24883" s="51"/>
      <c r="F24883" s="114" t="str">
        <f>IF(INDEX(I.Facility.P4IDNumber,4871)="","",INDEX(I.Facility.P4IDNumber,4871))</f>
        <v/>
      </c>
      <c r="G24883" s="51"/>
      <c r="H24883" s="46" t="str">
        <f>IF(AND(I.Developer.P4=TRUE,I.Facility.P4FacilityCount&gt;=4871,F24883=""),"Incomplete","Complete")</f>
        <v>Complete</v>
      </c>
      <c r="I24883" s="48" t="s">
        <v>29248</v>
      </c>
    </row>
    <row r="24884" spans="2:9" ht="15" customHeight="1" x14ac:dyDescent="0.25">
      <c r="B24884" s="55" t="s">
        <v>283</v>
      </c>
      <c r="C24884" s="46">
        <v>4872</v>
      </c>
      <c r="D24884" s="69" t="s">
        <v>29420</v>
      </c>
      <c r="E24884" s="51"/>
      <c r="F24884" s="114" t="str">
        <f>IF(INDEX(I.Facility.P4IDNumber,4872)="","",INDEX(I.Facility.P4IDNumber,4872))</f>
        <v/>
      </c>
      <c r="G24884" s="51"/>
      <c r="H24884" s="46" t="str">
        <f>IF(AND(I.Developer.P4=TRUE,I.Facility.P4FacilityCount&gt;=4872,F24884=""),"Incomplete","Complete")</f>
        <v>Complete</v>
      </c>
      <c r="I24884" s="48" t="s">
        <v>29249</v>
      </c>
    </row>
    <row r="24885" spans="2:9" ht="15" customHeight="1" x14ac:dyDescent="0.25">
      <c r="B24885" s="55" t="s">
        <v>283</v>
      </c>
      <c r="C24885" s="46">
        <v>4873</v>
      </c>
      <c r="D24885" s="69" t="s">
        <v>29420</v>
      </c>
      <c r="E24885" s="51"/>
      <c r="F24885" s="114" t="str">
        <f>IF(INDEX(I.Facility.P4IDNumber,4873)="","",INDEX(I.Facility.P4IDNumber,4873))</f>
        <v/>
      </c>
      <c r="G24885" s="51"/>
      <c r="H24885" s="46" t="str">
        <f>IF(AND(I.Developer.P4=TRUE,I.Facility.P4FacilityCount&gt;=4873,F24885=""),"Incomplete","Complete")</f>
        <v>Complete</v>
      </c>
      <c r="I24885" s="48" t="s">
        <v>29250</v>
      </c>
    </row>
    <row r="24886" spans="2:9" ht="15" customHeight="1" x14ac:dyDescent="0.25">
      <c r="B24886" s="55" t="s">
        <v>283</v>
      </c>
      <c r="C24886" s="46">
        <v>4874</v>
      </c>
      <c r="D24886" s="69" t="s">
        <v>29420</v>
      </c>
      <c r="E24886" s="51"/>
      <c r="F24886" s="114" t="str">
        <f>IF(INDEX(I.Facility.P4IDNumber,4874)="","",INDEX(I.Facility.P4IDNumber,4874))</f>
        <v/>
      </c>
      <c r="G24886" s="51"/>
      <c r="H24886" s="46" t="str">
        <f>IF(AND(I.Developer.P4=TRUE,I.Facility.P4FacilityCount&gt;=4874,F24886=""),"Incomplete","Complete")</f>
        <v>Complete</v>
      </c>
      <c r="I24886" s="48" t="s">
        <v>29251</v>
      </c>
    </row>
    <row r="24887" spans="2:9" ht="15" customHeight="1" x14ac:dyDescent="0.25">
      <c r="B24887" s="55" t="s">
        <v>283</v>
      </c>
      <c r="C24887" s="46">
        <v>4875</v>
      </c>
      <c r="D24887" s="69" t="s">
        <v>29420</v>
      </c>
      <c r="E24887" s="51"/>
      <c r="F24887" s="114" t="str">
        <f>IF(INDEX(I.Facility.P4IDNumber,4875)="","",INDEX(I.Facility.P4IDNumber,4875))</f>
        <v/>
      </c>
      <c r="G24887" s="51"/>
      <c r="H24887" s="46" t="str">
        <f>IF(AND(I.Developer.P4=TRUE,I.Facility.P4FacilityCount&gt;=4875,F24887=""),"Incomplete","Complete")</f>
        <v>Complete</v>
      </c>
      <c r="I24887" s="48" t="s">
        <v>29252</v>
      </c>
    </row>
    <row r="24888" spans="2:9" ht="15" customHeight="1" x14ac:dyDescent="0.25">
      <c r="B24888" s="55" t="s">
        <v>283</v>
      </c>
      <c r="C24888" s="46">
        <v>4876</v>
      </c>
      <c r="D24888" s="69" t="s">
        <v>29420</v>
      </c>
      <c r="E24888" s="51"/>
      <c r="F24888" s="114" t="str">
        <f>IF(INDEX(I.Facility.P4IDNumber,4876)="","",INDEX(I.Facility.P4IDNumber,4876))</f>
        <v/>
      </c>
      <c r="G24888" s="51"/>
      <c r="H24888" s="46" t="str">
        <f>IF(AND(I.Developer.P4=TRUE,I.Facility.P4FacilityCount&gt;=4876,F24888=""),"Incomplete","Complete")</f>
        <v>Complete</v>
      </c>
      <c r="I24888" s="48" t="s">
        <v>29253</v>
      </c>
    </row>
    <row r="24889" spans="2:9" ht="15" customHeight="1" x14ac:dyDescent="0.25">
      <c r="B24889" s="55" t="s">
        <v>283</v>
      </c>
      <c r="C24889" s="46">
        <v>4877</v>
      </c>
      <c r="D24889" s="69" t="s">
        <v>29420</v>
      </c>
      <c r="E24889" s="51"/>
      <c r="F24889" s="114" t="str">
        <f>IF(INDEX(I.Facility.P4IDNumber,4877)="","",INDEX(I.Facility.P4IDNumber,4877))</f>
        <v/>
      </c>
      <c r="G24889" s="51"/>
      <c r="H24889" s="46" t="str">
        <f>IF(AND(I.Developer.P4=TRUE,I.Facility.P4FacilityCount&gt;=4877,F24889=""),"Incomplete","Complete")</f>
        <v>Complete</v>
      </c>
      <c r="I24889" s="48" t="s">
        <v>29254</v>
      </c>
    </row>
    <row r="24890" spans="2:9" ht="15" customHeight="1" x14ac:dyDescent="0.25">
      <c r="B24890" s="55" t="s">
        <v>283</v>
      </c>
      <c r="C24890" s="46">
        <v>4878</v>
      </c>
      <c r="D24890" s="69" t="s">
        <v>29420</v>
      </c>
      <c r="E24890" s="51"/>
      <c r="F24890" s="114" t="str">
        <f>IF(INDEX(I.Facility.P4IDNumber,4878)="","",INDEX(I.Facility.P4IDNumber,4878))</f>
        <v/>
      </c>
      <c r="G24890" s="51"/>
      <c r="H24890" s="46" t="str">
        <f>IF(AND(I.Developer.P4=TRUE,I.Facility.P4FacilityCount&gt;=4878,F24890=""),"Incomplete","Complete")</f>
        <v>Complete</v>
      </c>
      <c r="I24890" s="48" t="s">
        <v>29255</v>
      </c>
    </row>
    <row r="24891" spans="2:9" ht="15" customHeight="1" x14ac:dyDescent="0.25">
      <c r="B24891" s="55" t="s">
        <v>283</v>
      </c>
      <c r="C24891" s="46">
        <v>4879</v>
      </c>
      <c r="D24891" s="69" t="s">
        <v>29420</v>
      </c>
      <c r="E24891" s="51"/>
      <c r="F24891" s="114" t="str">
        <f>IF(INDEX(I.Facility.P4IDNumber,4879)="","",INDEX(I.Facility.P4IDNumber,4879))</f>
        <v/>
      </c>
      <c r="G24891" s="51"/>
      <c r="H24891" s="46" t="str">
        <f>IF(AND(I.Developer.P4=TRUE,I.Facility.P4FacilityCount&gt;=4879,F24891=""),"Incomplete","Complete")</f>
        <v>Complete</v>
      </c>
      <c r="I24891" s="48" t="s">
        <v>29256</v>
      </c>
    </row>
    <row r="24892" spans="2:9" ht="15" customHeight="1" x14ac:dyDescent="0.25">
      <c r="B24892" s="55" t="s">
        <v>283</v>
      </c>
      <c r="C24892" s="46">
        <v>4880</v>
      </c>
      <c r="D24892" s="69" t="s">
        <v>29420</v>
      </c>
      <c r="E24892" s="51"/>
      <c r="F24892" s="114" t="str">
        <f>IF(INDEX(I.Facility.P4IDNumber,4880)="","",INDEX(I.Facility.P4IDNumber,4880))</f>
        <v/>
      </c>
      <c r="G24892" s="51"/>
      <c r="H24892" s="46" t="str">
        <f>IF(AND(I.Developer.P4=TRUE,I.Facility.P4FacilityCount&gt;=4880,F24892=""),"Incomplete","Complete")</f>
        <v>Complete</v>
      </c>
      <c r="I24892" s="48" t="s">
        <v>29257</v>
      </c>
    </row>
    <row r="24893" spans="2:9" ht="15" customHeight="1" x14ac:dyDescent="0.25">
      <c r="B24893" s="55" t="s">
        <v>283</v>
      </c>
      <c r="C24893" s="46">
        <v>4881</v>
      </c>
      <c r="D24893" s="69" t="s">
        <v>29420</v>
      </c>
      <c r="E24893" s="51"/>
      <c r="F24893" s="114" t="str">
        <f>IF(INDEX(I.Facility.P4IDNumber,4881)="","",INDEX(I.Facility.P4IDNumber,4881))</f>
        <v/>
      </c>
      <c r="G24893" s="51"/>
      <c r="H24893" s="46" t="str">
        <f>IF(AND(I.Developer.P4=TRUE,I.Facility.P4FacilityCount&gt;=4881,F24893=""),"Incomplete","Complete")</f>
        <v>Complete</v>
      </c>
      <c r="I24893" s="48" t="s">
        <v>29258</v>
      </c>
    </row>
    <row r="24894" spans="2:9" ht="15" customHeight="1" x14ac:dyDescent="0.25">
      <c r="B24894" s="55" t="s">
        <v>283</v>
      </c>
      <c r="C24894" s="46">
        <v>4882</v>
      </c>
      <c r="D24894" s="69" t="s">
        <v>29420</v>
      </c>
      <c r="E24894" s="51"/>
      <c r="F24894" s="114" t="str">
        <f>IF(INDEX(I.Facility.P4IDNumber,4882)="","",INDEX(I.Facility.P4IDNumber,4882))</f>
        <v/>
      </c>
      <c r="G24894" s="51"/>
      <c r="H24894" s="46" t="str">
        <f>IF(AND(I.Developer.P4=TRUE,I.Facility.P4FacilityCount&gt;=4882,F24894=""),"Incomplete","Complete")</f>
        <v>Complete</v>
      </c>
      <c r="I24894" s="48" t="s">
        <v>29259</v>
      </c>
    </row>
    <row r="24895" spans="2:9" ht="15" customHeight="1" x14ac:dyDescent="0.25">
      <c r="B24895" s="55" t="s">
        <v>283</v>
      </c>
      <c r="C24895" s="46">
        <v>4883</v>
      </c>
      <c r="D24895" s="69" t="s">
        <v>29420</v>
      </c>
      <c r="E24895" s="51"/>
      <c r="F24895" s="114" t="str">
        <f>IF(INDEX(I.Facility.P4IDNumber,4883)="","",INDEX(I.Facility.P4IDNumber,4883))</f>
        <v/>
      </c>
      <c r="G24895" s="51"/>
      <c r="H24895" s="46" t="str">
        <f>IF(AND(I.Developer.P4=TRUE,I.Facility.P4FacilityCount&gt;=4883,F24895=""),"Incomplete","Complete")</f>
        <v>Complete</v>
      </c>
      <c r="I24895" s="48" t="s">
        <v>29260</v>
      </c>
    </row>
    <row r="24896" spans="2:9" ht="15" customHeight="1" x14ac:dyDescent="0.25">
      <c r="B24896" s="55" t="s">
        <v>283</v>
      </c>
      <c r="C24896" s="46">
        <v>4884</v>
      </c>
      <c r="D24896" s="69" t="s">
        <v>29420</v>
      </c>
      <c r="E24896" s="51"/>
      <c r="F24896" s="114" t="str">
        <f>IF(INDEX(I.Facility.P4IDNumber,4884)="","",INDEX(I.Facility.P4IDNumber,4884))</f>
        <v/>
      </c>
      <c r="G24896" s="51"/>
      <c r="H24896" s="46" t="str">
        <f>IF(AND(I.Developer.P4=TRUE,I.Facility.P4FacilityCount&gt;=4884,F24896=""),"Incomplete","Complete")</f>
        <v>Complete</v>
      </c>
      <c r="I24896" s="48" t="s">
        <v>29261</v>
      </c>
    </row>
    <row r="24897" spans="2:9" ht="15" customHeight="1" x14ac:dyDescent="0.25">
      <c r="B24897" s="55" t="s">
        <v>283</v>
      </c>
      <c r="C24897" s="46">
        <v>4885</v>
      </c>
      <c r="D24897" s="69" t="s">
        <v>29420</v>
      </c>
      <c r="E24897" s="51"/>
      <c r="F24897" s="114" t="str">
        <f>IF(INDEX(I.Facility.P4IDNumber,4885)="","",INDEX(I.Facility.P4IDNumber,4885))</f>
        <v/>
      </c>
      <c r="G24897" s="51"/>
      <c r="H24897" s="46" t="str">
        <f>IF(AND(I.Developer.P4=TRUE,I.Facility.P4FacilityCount&gt;=4885,F24897=""),"Incomplete","Complete")</f>
        <v>Complete</v>
      </c>
      <c r="I24897" s="48" t="s">
        <v>29262</v>
      </c>
    </row>
    <row r="24898" spans="2:9" ht="15" customHeight="1" x14ac:dyDescent="0.25">
      <c r="B24898" s="55" t="s">
        <v>283</v>
      </c>
      <c r="C24898" s="46">
        <v>4886</v>
      </c>
      <c r="D24898" s="69" t="s">
        <v>29420</v>
      </c>
      <c r="E24898" s="51"/>
      <c r="F24898" s="114" t="str">
        <f>IF(INDEX(I.Facility.P4IDNumber,4886)="","",INDEX(I.Facility.P4IDNumber,4886))</f>
        <v/>
      </c>
      <c r="G24898" s="51"/>
      <c r="H24898" s="46" t="str">
        <f>IF(AND(I.Developer.P4=TRUE,I.Facility.P4FacilityCount&gt;=4886,F24898=""),"Incomplete","Complete")</f>
        <v>Complete</v>
      </c>
      <c r="I24898" s="48" t="s">
        <v>29263</v>
      </c>
    </row>
    <row r="24899" spans="2:9" ht="15" customHeight="1" x14ac:dyDescent="0.25">
      <c r="B24899" s="55" t="s">
        <v>283</v>
      </c>
      <c r="C24899" s="46">
        <v>4887</v>
      </c>
      <c r="D24899" s="69" t="s">
        <v>29420</v>
      </c>
      <c r="E24899" s="51"/>
      <c r="F24899" s="114" t="str">
        <f>IF(INDEX(I.Facility.P4IDNumber,4887)="","",INDEX(I.Facility.P4IDNumber,4887))</f>
        <v/>
      </c>
      <c r="G24899" s="51"/>
      <c r="H24899" s="46" t="str">
        <f>IF(AND(I.Developer.P4=TRUE,I.Facility.P4FacilityCount&gt;=4887,F24899=""),"Incomplete","Complete")</f>
        <v>Complete</v>
      </c>
      <c r="I24899" s="48" t="s">
        <v>29264</v>
      </c>
    </row>
    <row r="24900" spans="2:9" ht="15" customHeight="1" x14ac:dyDescent="0.25">
      <c r="B24900" s="55" t="s">
        <v>283</v>
      </c>
      <c r="C24900" s="46">
        <v>4888</v>
      </c>
      <c r="D24900" s="69" t="s">
        <v>29420</v>
      </c>
      <c r="E24900" s="51"/>
      <c r="F24900" s="114" t="str">
        <f>IF(INDEX(I.Facility.P4IDNumber,4888)="","",INDEX(I.Facility.P4IDNumber,4888))</f>
        <v/>
      </c>
      <c r="G24900" s="51"/>
      <c r="H24900" s="46" t="str">
        <f>IF(AND(I.Developer.P4=TRUE,I.Facility.P4FacilityCount&gt;=4888,F24900=""),"Incomplete","Complete")</f>
        <v>Complete</v>
      </c>
      <c r="I24900" s="48" t="s">
        <v>29265</v>
      </c>
    </row>
    <row r="24901" spans="2:9" ht="15" customHeight="1" x14ac:dyDescent="0.25">
      <c r="B24901" s="55" t="s">
        <v>283</v>
      </c>
      <c r="C24901" s="46">
        <v>4889</v>
      </c>
      <c r="D24901" s="69" t="s">
        <v>29420</v>
      </c>
      <c r="E24901" s="51"/>
      <c r="F24901" s="114" t="str">
        <f>IF(INDEX(I.Facility.P4IDNumber,4889)="","",INDEX(I.Facility.P4IDNumber,4889))</f>
        <v/>
      </c>
      <c r="G24901" s="51"/>
      <c r="H24901" s="46" t="str">
        <f>IF(AND(I.Developer.P4=TRUE,I.Facility.P4FacilityCount&gt;=4889,F24901=""),"Incomplete","Complete")</f>
        <v>Complete</v>
      </c>
      <c r="I24901" s="48" t="s">
        <v>29266</v>
      </c>
    </row>
    <row r="24902" spans="2:9" ht="15" customHeight="1" x14ac:dyDescent="0.25">
      <c r="B24902" s="55" t="s">
        <v>283</v>
      </c>
      <c r="C24902" s="46">
        <v>4890</v>
      </c>
      <c r="D24902" s="69" t="s">
        <v>29420</v>
      </c>
      <c r="E24902" s="51"/>
      <c r="F24902" s="114" t="str">
        <f>IF(INDEX(I.Facility.P4IDNumber,4890)="","",INDEX(I.Facility.P4IDNumber,4890))</f>
        <v/>
      </c>
      <c r="G24902" s="51"/>
      <c r="H24902" s="46" t="str">
        <f>IF(AND(I.Developer.P4=TRUE,I.Facility.P4FacilityCount&gt;=4890,F24902=""),"Incomplete","Complete")</f>
        <v>Complete</v>
      </c>
      <c r="I24902" s="48" t="s">
        <v>29267</v>
      </c>
    </row>
    <row r="24903" spans="2:9" ht="15" customHeight="1" x14ac:dyDescent="0.25">
      <c r="B24903" s="55" t="s">
        <v>283</v>
      </c>
      <c r="C24903" s="46">
        <v>4891</v>
      </c>
      <c r="D24903" s="69" t="s">
        <v>29420</v>
      </c>
      <c r="E24903" s="51"/>
      <c r="F24903" s="114" t="str">
        <f>IF(INDEX(I.Facility.P4IDNumber,4891)="","",INDEX(I.Facility.P4IDNumber,4891))</f>
        <v/>
      </c>
      <c r="G24903" s="51"/>
      <c r="H24903" s="46" t="str">
        <f>IF(AND(I.Developer.P4=TRUE,I.Facility.P4FacilityCount&gt;=4891,F24903=""),"Incomplete","Complete")</f>
        <v>Complete</v>
      </c>
      <c r="I24903" s="48" t="s">
        <v>29268</v>
      </c>
    </row>
    <row r="24904" spans="2:9" ht="15" customHeight="1" x14ac:dyDescent="0.25">
      <c r="B24904" s="55" t="s">
        <v>283</v>
      </c>
      <c r="C24904" s="46">
        <v>4892</v>
      </c>
      <c r="D24904" s="69" t="s">
        <v>29420</v>
      </c>
      <c r="E24904" s="51"/>
      <c r="F24904" s="114" t="str">
        <f>IF(INDEX(I.Facility.P4IDNumber,4892)="","",INDEX(I.Facility.P4IDNumber,4892))</f>
        <v/>
      </c>
      <c r="G24904" s="51"/>
      <c r="H24904" s="46" t="str">
        <f>IF(AND(I.Developer.P4=TRUE,I.Facility.P4FacilityCount&gt;=4892,F24904=""),"Incomplete","Complete")</f>
        <v>Complete</v>
      </c>
      <c r="I24904" s="48" t="s">
        <v>29269</v>
      </c>
    </row>
    <row r="24905" spans="2:9" ht="15" customHeight="1" x14ac:dyDescent="0.25">
      <c r="B24905" s="55" t="s">
        <v>283</v>
      </c>
      <c r="C24905" s="46">
        <v>4893</v>
      </c>
      <c r="D24905" s="69" t="s">
        <v>29420</v>
      </c>
      <c r="E24905" s="51"/>
      <c r="F24905" s="114" t="str">
        <f>IF(INDEX(I.Facility.P4IDNumber,4893)="","",INDEX(I.Facility.P4IDNumber,4893))</f>
        <v/>
      </c>
      <c r="G24905" s="51"/>
      <c r="H24905" s="46" t="str">
        <f>IF(AND(I.Developer.P4=TRUE,I.Facility.P4FacilityCount&gt;=4893,F24905=""),"Incomplete","Complete")</f>
        <v>Complete</v>
      </c>
      <c r="I24905" s="48" t="s">
        <v>29270</v>
      </c>
    </row>
    <row r="24906" spans="2:9" ht="15" customHeight="1" x14ac:dyDescent="0.25">
      <c r="B24906" s="55" t="s">
        <v>283</v>
      </c>
      <c r="C24906" s="46">
        <v>4894</v>
      </c>
      <c r="D24906" s="69" t="s">
        <v>29420</v>
      </c>
      <c r="E24906" s="51"/>
      <c r="F24906" s="114" t="str">
        <f>IF(INDEX(I.Facility.P4IDNumber,4894)="","",INDEX(I.Facility.P4IDNumber,4894))</f>
        <v/>
      </c>
      <c r="G24906" s="51"/>
      <c r="H24906" s="46" t="str">
        <f>IF(AND(I.Developer.P4=TRUE,I.Facility.P4FacilityCount&gt;=4894,F24906=""),"Incomplete","Complete")</f>
        <v>Complete</v>
      </c>
      <c r="I24906" s="48" t="s">
        <v>29271</v>
      </c>
    </row>
    <row r="24907" spans="2:9" ht="15" customHeight="1" x14ac:dyDescent="0.25">
      <c r="B24907" s="55" t="s">
        <v>283</v>
      </c>
      <c r="C24907" s="46">
        <v>4895</v>
      </c>
      <c r="D24907" s="69" t="s">
        <v>29420</v>
      </c>
      <c r="E24907" s="51"/>
      <c r="F24907" s="114" t="str">
        <f>IF(INDEX(I.Facility.P4IDNumber,4895)="","",INDEX(I.Facility.P4IDNumber,4895))</f>
        <v/>
      </c>
      <c r="G24907" s="51"/>
      <c r="H24907" s="46" t="str">
        <f>IF(AND(I.Developer.P4=TRUE,I.Facility.P4FacilityCount&gt;=4895,F24907=""),"Incomplete","Complete")</f>
        <v>Complete</v>
      </c>
      <c r="I24907" s="48" t="s">
        <v>29272</v>
      </c>
    </row>
    <row r="24908" spans="2:9" ht="15" customHeight="1" x14ac:dyDescent="0.25">
      <c r="B24908" s="55" t="s">
        <v>283</v>
      </c>
      <c r="C24908" s="46">
        <v>4896</v>
      </c>
      <c r="D24908" s="69" t="s">
        <v>29420</v>
      </c>
      <c r="E24908" s="51"/>
      <c r="F24908" s="114" t="str">
        <f>IF(INDEX(I.Facility.P4IDNumber,4896)="","",INDEX(I.Facility.P4IDNumber,4896))</f>
        <v/>
      </c>
      <c r="G24908" s="51"/>
      <c r="H24908" s="46" t="str">
        <f>IF(AND(I.Developer.P4=TRUE,I.Facility.P4FacilityCount&gt;=4896,F24908=""),"Incomplete","Complete")</f>
        <v>Complete</v>
      </c>
      <c r="I24908" s="48" t="s">
        <v>29273</v>
      </c>
    </row>
    <row r="24909" spans="2:9" ht="15" customHeight="1" x14ac:dyDescent="0.25">
      <c r="B24909" s="55" t="s">
        <v>283</v>
      </c>
      <c r="C24909" s="46">
        <v>4897</v>
      </c>
      <c r="D24909" s="69" t="s">
        <v>29420</v>
      </c>
      <c r="E24909" s="51"/>
      <c r="F24909" s="114" t="str">
        <f>IF(INDEX(I.Facility.P4IDNumber,4897)="","",INDEX(I.Facility.P4IDNumber,4897))</f>
        <v/>
      </c>
      <c r="G24909" s="51"/>
      <c r="H24909" s="46" t="str">
        <f>IF(AND(I.Developer.P4=TRUE,I.Facility.P4FacilityCount&gt;=4897,F24909=""),"Incomplete","Complete")</f>
        <v>Complete</v>
      </c>
      <c r="I24909" s="48" t="s">
        <v>29274</v>
      </c>
    </row>
    <row r="24910" spans="2:9" ht="15" customHeight="1" x14ac:dyDescent="0.25">
      <c r="B24910" s="55" t="s">
        <v>283</v>
      </c>
      <c r="C24910" s="46">
        <v>4898</v>
      </c>
      <c r="D24910" s="69" t="s">
        <v>29420</v>
      </c>
      <c r="E24910" s="51"/>
      <c r="F24910" s="114" t="str">
        <f>IF(INDEX(I.Facility.P4IDNumber,4898)="","",INDEX(I.Facility.P4IDNumber,4898))</f>
        <v/>
      </c>
      <c r="G24910" s="51"/>
      <c r="H24910" s="46" t="str">
        <f>IF(AND(I.Developer.P4=TRUE,I.Facility.P4FacilityCount&gt;=4898,F24910=""),"Incomplete","Complete")</f>
        <v>Complete</v>
      </c>
      <c r="I24910" s="48" t="s">
        <v>29275</v>
      </c>
    </row>
    <row r="24911" spans="2:9" ht="15" customHeight="1" x14ac:dyDescent="0.25">
      <c r="B24911" s="55" t="s">
        <v>283</v>
      </c>
      <c r="C24911" s="46">
        <v>4899</v>
      </c>
      <c r="D24911" s="69" t="s">
        <v>29420</v>
      </c>
      <c r="E24911" s="51"/>
      <c r="F24911" s="114" t="str">
        <f>IF(INDEX(I.Facility.P4IDNumber,4899)="","",INDEX(I.Facility.P4IDNumber,4899))</f>
        <v/>
      </c>
      <c r="G24911" s="51"/>
      <c r="H24911" s="46" t="str">
        <f>IF(AND(I.Developer.P4=TRUE,I.Facility.P4FacilityCount&gt;=4899,F24911=""),"Incomplete","Complete")</f>
        <v>Complete</v>
      </c>
      <c r="I24911" s="48" t="s">
        <v>29276</v>
      </c>
    </row>
    <row r="24912" spans="2:9" ht="15" customHeight="1" x14ac:dyDescent="0.25">
      <c r="B24912" s="55" t="s">
        <v>283</v>
      </c>
      <c r="C24912" s="46">
        <v>4900</v>
      </c>
      <c r="D24912" s="69" t="s">
        <v>29420</v>
      </c>
      <c r="E24912" s="51"/>
      <c r="F24912" s="114" t="str">
        <f>IF(INDEX(I.Facility.P4IDNumber,4900)="","",INDEX(I.Facility.P4IDNumber,4900))</f>
        <v/>
      </c>
      <c r="G24912" s="51"/>
      <c r="H24912" s="46" t="str">
        <f>IF(AND(I.Developer.P4=TRUE,I.Facility.P4FacilityCount&gt;=4900,F24912=""),"Incomplete","Complete")</f>
        <v>Complete</v>
      </c>
      <c r="I24912" s="48" t="s">
        <v>29277</v>
      </c>
    </row>
    <row r="24913" spans="2:9" ht="15" customHeight="1" x14ac:dyDescent="0.25">
      <c r="B24913" s="55" t="s">
        <v>283</v>
      </c>
      <c r="C24913" s="46">
        <v>4901</v>
      </c>
      <c r="D24913" s="69" t="s">
        <v>29420</v>
      </c>
      <c r="E24913" s="51"/>
      <c r="F24913" s="114" t="str">
        <f>IF(INDEX(I.Facility.P4IDNumber,4901)="","",INDEX(I.Facility.P4IDNumber,4901))</f>
        <v/>
      </c>
      <c r="G24913" s="51"/>
      <c r="H24913" s="46" t="str">
        <f>IF(AND(I.Developer.P4=TRUE,I.Facility.P4FacilityCount&gt;=4901,F24913=""),"Incomplete","Complete")</f>
        <v>Complete</v>
      </c>
      <c r="I24913" s="48" t="s">
        <v>29278</v>
      </c>
    </row>
    <row r="24914" spans="2:9" ht="15" customHeight="1" x14ac:dyDescent="0.25">
      <c r="B24914" s="55" t="s">
        <v>283</v>
      </c>
      <c r="C24914" s="46">
        <v>4902</v>
      </c>
      <c r="D24914" s="69" t="s">
        <v>29420</v>
      </c>
      <c r="E24914" s="51"/>
      <c r="F24914" s="114" t="str">
        <f>IF(INDEX(I.Facility.P4IDNumber,4902)="","",INDEX(I.Facility.P4IDNumber,4902))</f>
        <v/>
      </c>
      <c r="G24914" s="51"/>
      <c r="H24914" s="46" t="str">
        <f>IF(AND(I.Developer.P4=TRUE,I.Facility.P4FacilityCount&gt;=4902,F24914=""),"Incomplete","Complete")</f>
        <v>Complete</v>
      </c>
      <c r="I24914" s="48" t="s">
        <v>29279</v>
      </c>
    </row>
    <row r="24915" spans="2:9" ht="15" customHeight="1" x14ac:dyDescent="0.25">
      <c r="B24915" s="55" t="s">
        <v>283</v>
      </c>
      <c r="C24915" s="46">
        <v>4903</v>
      </c>
      <c r="D24915" s="69" t="s">
        <v>29420</v>
      </c>
      <c r="E24915" s="51"/>
      <c r="F24915" s="114" t="str">
        <f>IF(INDEX(I.Facility.P4IDNumber,4903)="","",INDEX(I.Facility.P4IDNumber,4903))</f>
        <v/>
      </c>
      <c r="G24915" s="51"/>
      <c r="H24915" s="46" t="str">
        <f>IF(AND(I.Developer.P4=TRUE,I.Facility.P4FacilityCount&gt;=4903,F24915=""),"Incomplete","Complete")</f>
        <v>Complete</v>
      </c>
      <c r="I24915" s="48" t="s">
        <v>29280</v>
      </c>
    </row>
    <row r="24916" spans="2:9" ht="15" customHeight="1" x14ac:dyDescent="0.25">
      <c r="B24916" s="55" t="s">
        <v>283</v>
      </c>
      <c r="C24916" s="46">
        <v>4904</v>
      </c>
      <c r="D24916" s="69" t="s">
        <v>29420</v>
      </c>
      <c r="E24916" s="51"/>
      <c r="F24916" s="114" t="str">
        <f>IF(INDEX(I.Facility.P4IDNumber,4904)="","",INDEX(I.Facility.P4IDNumber,4904))</f>
        <v/>
      </c>
      <c r="G24916" s="51"/>
      <c r="H24916" s="46" t="str">
        <f>IF(AND(I.Developer.P4=TRUE,I.Facility.P4FacilityCount&gt;=4904,F24916=""),"Incomplete","Complete")</f>
        <v>Complete</v>
      </c>
      <c r="I24916" s="48" t="s">
        <v>29281</v>
      </c>
    </row>
    <row r="24917" spans="2:9" ht="15" customHeight="1" x14ac:dyDescent="0.25">
      <c r="B24917" s="55" t="s">
        <v>283</v>
      </c>
      <c r="C24917" s="46">
        <v>4905</v>
      </c>
      <c r="D24917" s="69" t="s">
        <v>29420</v>
      </c>
      <c r="E24917" s="51"/>
      <c r="F24917" s="114" t="str">
        <f>IF(INDEX(I.Facility.P4IDNumber,4905)="","",INDEX(I.Facility.P4IDNumber,4905))</f>
        <v/>
      </c>
      <c r="G24917" s="51"/>
      <c r="H24917" s="46" t="str">
        <f>IF(AND(I.Developer.P4=TRUE,I.Facility.P4FacilityCount&gt;=4905,F24917=""),"Incomplete","Complete")</f>
        <v>Complete</v>
      </c>
      <c r="I24917" s="48" t="s">
        <v>29282</v>
      </c>
    </row>
    <row r="24918" spans="2:9" ht="15" customHeight="1" x14ac:dyDescent="0.25">
      <c r="B24918" s="55" t="s">
        <v>283</v>
      </c>
      <c r="C24918" s="46">
        <v>4906</v>
      </c>
      <c r="D24918" s="69" t="s">
        <v>29420</v>
      </c>
      <c r="E24918" s="51"/>
      <c r="F24918" s="114" t="str">
        <f>IF(INDEX(I.Facility.P4IDNumber,4906)="","",INDEX(I.Facility.P4IDNumber,4906))</f>
        <v/>
      </c>
      <c r="G24918" s="51"/>
      <c r="H24918" s="46" t="str">
        <f>IF(AND(I.Developer.P4=TRUE,I.Facility.P4FacilityCount&gt;=4906,F24918=""),"Incomplete","Complete")</f>
        <v>Complete</v>
      </c>
      <c r="I24918" s="48" t="s">
        <v>29283</v>
      </c>
    </row>
    <row r="24919" spans="2:9" ht="15" customHeight="1" x14ac:dyDescent="0.25">
      <c r="B24919" s="55" t="s">
        <v>283</v>
      </c>
      <c r="C24919" s="46">
        <v>4907</v>
      </c>
      <c r="D24919" s="69" t="s">
        <v>29420</v>
      </c>
      <c r="E24919" s="51"/>
      <c r="F24919" s="114" t="str">
        <f>IF(INDEX(I.Facility.P4IDNumber,4907)="","",INDEX(I.Facility.P4IDNumber,4907))</f>
        <v/>
      </c>
      <c r="G24919" s="51"/>
      <c r="H24919" s="46" t="str">
        <f>IF(AND(I.Developer.P4=TRUE,I.Facility.P4FacilityCount&gt;=4907,F24919=""),"Incomplete","Complete")</f>
        <v>Complete</v>
      </c>
      <c r="I24919" s="48" t="s">
        <v>29284</v>
      </c>
    </row>
    <row r="24920" spans="2:9" ht="15" customHeight="1" x14ac:dyDescent="0.25">
      <c r="B24920" s="55" t="s">
        <v>283</v>
      </c>
      <c r="C24920" s="46">
        <v>4908</v>
      </c>
      <c r="D24920" s="69" t="s">
        <v>29420</v>
      </c>
      <c r="E24920" s="51"/>
      <c r="F24920" s="114" t="str">
        <f>IF(INDEX(I.Facility.P4IDNumber,4908)="","",INDEX(I.Facility.P4IDNumber,4908))</f>
        <v/>
      </c>
      <c r="G24920" s="51"/>
      <c r="H24920" s="46" t="str">
        <f>IF(AND(I.Developer.P4=TRUE,I.Facility.P4FacilityCount&gt;=4908,F24920=""),"Incomplete","Complete")</f>
        <v>Complete</v>
      </c>
      <c r="I24920" s="48" t="s">
        <v>29285</v>
      </c>
    </row>
    <row r="24921" spans="2:9" ht="15" customHeight="1" x14ac:dyDescent="0.25">
      <c r="B24921" s="55" t="s">
        <v>283</v>
      </c>
      <c r="C24921" s="46">
        <v>4909</v>
      </c>
      <c r="D24921" s="69" t="s">
        <v>29420</v>
      </c>
      <c r="E24921" s="51"/>
      <c r="F24921" s="114" t="str">
        <f>IF(INDEX(I.Facility.P4IDNumber,4909)="","",INDEX(I.Facility.P4IDNumber,4909))</f>
        <v/>
      </c>
      <c r="G24921" s="51"/>
      <c r="H24921" s="46" t="str">
        <f>IF(AND(I.Developer.P4=TRUE,I.Facility.P4FacilityCount&gt;=4909,F24921=""),"Incomplete","Complete")</f>
        <v>Complete</v>
      </c>
      <c r="I24921" s="48" t="s">
        <v>29286</v>
      </c>
    </row>
    <row r="24922" spans="2:9" ht="15" customHeight="1" x14ac:dyDescent="0.25">
      <c r="B24922" s="55" t="s">
        <v>283</v>
      </c>
      <c r="C24922" s="46">
        <v>4910</v>
      </c>
      <c r="D24922" s="69" t="s">
        <v>29420</v>
      </c>
      <c r="E24922" s="51"/>
      <c r="F24922" s="114" t="str">
        <f>IF(INDEX(I.Facility.P4IDNumber,4910)="","",INDEX(I.Facility.P4IDNumber,4910))</f>
        <v/>
      </c>
      <c r="G24922" s="51"/>
      <c r="H24922" s="46" t="str">
        <f>IF(AND(I.Developer.P4=TRUE,I.Facility.P4FacilityCount&gt;=4910,F24922=""),"Incomplete","Complete")</f>
        <v>Complete</v>
      </c>
      <c r="I24922" s="48" t="s">
        <v>29287</v>
      </c>
    </row>
    <row r="24923" spans="2:9" ht="15" customHeight="1" x14ac:dyDescent="0.25">
      <c r="B24923" s="55" t="s">
        <v>283</v>
      </c>
      <c r="C24923" s="46">
        <v>4911</v>
      </c>
      <c r="D24923" s="69" t="s">
        <v>29420</v>
      </c>
      <c r="E24923" s="51"/>
      <c r="F24923" s="114" t="str">
        <f>IF(INDEX(I.Facility.P4IDNumber,4911)="","",INDEX(I.Facility.P4IDNumber,4911))</f>
        <v/>
      </c>
      <c r="G24923" s="51"/>
      <c r="H24923" s="46" t="str">
        <f>IF(AND(I.Developer.P4=TRUE,I.Facility.P4FacilityCount&gt;=4911,F24923=""),"Incomplete","Complete")</f>
        <v>Complete</v>
      </c>
      <c r="I24923" s="48" t="s">
        <v>29288</v>
      </c>
    </row>
    <row r="24924" spans="2:9" ht="15" customHeight="1" x14ac:dyDescent="0.25">
      <c r="B24924" s="55" t="s">
        <v>283</v>
      </c>
      <c r="C24924" s="46">
        <v>4912</v>
      </c>
      <c r="D24924" s="69" t="s">
        <v>29420</v>
      </c>
      <c r="E24924" s="51"/>
      <c r="F24924" s="114" t="str">
        <f>IF(INDEX(I.Facility.P4IDNumber,4912)="","",INDEX(I.Facility.P4IDNumber,4912))</f>
        <v/>
      </c>
      <c r="G24924" s="51"/>
      <c r="H24924" s="46" t="str">
        <f>IF(AND(I.Developer.P4=TRUE,I.Facility.P4FacilityCount&gt;=4912,F24924=""),"Incomplete","Complete")</f>
        <v>Complete</v>
      </c>
      <c r="I24924" s="48" t="s">
        <v>29289</v>
      </c>
    </row>
    <row r="24925" spans="2:9" ht="15" customHeight="1" x14ac:dyDescent="0.25">
      <c r="B24925" s="55" t="s">
        <v>283</v>
      </c>
      <c r="C24925" s="46">
        <v>4913</v>
      </c>
      <c r="D24925" s="69" t="s">
        <v>29420</v>
      </c>
      <c r="E24925" s="51"/>
      <c r="F24925" s="114" t="str">
        <f>IF(INDEX(I.Facility.P4IDNumber,4913)="","",INDEX(I.Facility.P4IDNumber,4913))</f>
        <v/>
      </c>
      <c r="G24925" s="51"/>
      <c r="H24925" s="46" t="str">
        <f>IF(AND(I.Developer.P4=TRUE,I.Facility.P4FacilityCount&gt;=4913,F24925=""),"Incomplete","Complete")</f>
        <v>Complete</v>
      </c>
      <c r="I24925" s="48" t="s">
        <v>29290</v>
      </c>
    </row>
    <row r="24926" spans="2:9" ht="15" customHeight="1" x14ac:dyDescent="0.25">
      <c r="B24926" s="55" t="s">
        <v>283</v>
      </c>
      <c r="C24926" s="46">
        <v>4914</v>
      </c>
      <c r="D24926" s="69" t="s">
        <v>29420</v>
      </c>
      <c r="E24926" s="51"/>
      <c r="F24926" s="114" t="str">
        <f>IF(INDEX(I.Facility.P4IDNumber,4914)="","",INDEX(I.Facility.P4IDNumber,4914))</f>
        <v/>
      </c>
      <c r="G24926" s="51"/>
      <c r="H24926" s="46" t="str">
        <f>IF(AND(I.Developer.P4=TRUE,I.Facility.P4FacilityCount&gt;=4914,F24926=""),"Incomplete","Complete")</f>
        <v>Complete</v>
      </c>
      <c r="I24926" s="48" t="s">
        <v>29291</v>
      </c>
    </row>
    <row r="24927" spans="2:9" ht="15" customHeight="1" x14ac:dyDescent="0.25">
      <c r="B24927" s="55" t="s">
        <v>283</v>
      </c>
      <c r="C24927" s="46">
        <v>4915</v>
      </c>
      <c r="D24927" s="69" t="s">
        <v>29420</v>
      </c>
      <c r="E24927" s="51"/>
      <c r="F24927" s="114" t="str">
        <f>IF(INDEX(I.Facility.P4IDNumber,4915)="","",INDEX(I.Facility.P4IDNumber,4915))</f>
        <v/>
      </c>
      <c r="G24927" s="51"/>
      <c r="H24927" s="46" t="str">
        <f>IF(AND(I.Developer.P4=TRUE,I.Facility.P4FacilityCount&gt;=4915,F24927=""),"Incomplete","Complete")</f>
        <v>Complete</v>
      </c>
      <c r="I24927" s="48" t="s">
        <v>29292</v>
      </c>
    </row>
    <row r="24928" spans="2:9" ht="15" customHeight="1" x14ac:dyDescent="0.25">
      <c r="B24928" s="55" t="s">
        <v>283</v>
      </c>
      <c r="C24928" s="46">
        <v>4916</v>
      </c>
      <c r="D24928" s="69" t="s">
        <v>29420</v>
      </c>
      <c r="E24928" s="51"/>
      <c r="F24928" s="114" t="str">
        <f>IF(INDEX(I.Facility.P4IDNumber,4916)="","",INDEX(I.Facility.P4IDNumber,4916))</f>
        <v/>
      </c>
      <c r="G24928" s="51"/>
      <c r="H24928" s="46" t="str">
        <f>IF(AND(I.Developer.P4=TRUE,I.Facility.P4FacilityCount&gt;=4916,F24928=""),"Incomplete","Complete")</f>
        <v>Complete</v>
      </c>
      <c r="I24928" s="48" t="s">
        <v>29293</v>
      </c>
    </row>
    <row r="24929" spans="2:9" ht="15" customHeight="1" x14ac:dyDescent="0.25">
      <c r="B24929" s="55" t="s">
        <v>283</v>
      </c>
      <c r="C24929" s="46">
        <v>4917</v>
      </c>
      <c r="D24929" s="69" t="s">
        <v>29420</v>
      </c>
      <c r="E24929" s="51"/>
      <c r="F24929" s="114" t="str">
        <f>IF(INDEX(I.Facility.P4IDNumber,4917)="","",INDEX(I.Facility.P4IDNumber,4917))</f>
        <v/>
      </c>
      <c r="G24929" s="51"/>
      <c r="H24929" s="46" t="str">
        <f>IF(AND(I.Developer.P4=TRUE,I.Facility.P4FacilityCount&gt;=4917,F24929=""),"Incomplete","Complete")</f>
        <v>Complete</v>
      </c>
      <c r="I24929" s="48" t="s">
        <v>29294</v>
      </c>
    </row>
    <row r="24930" spans="2:9" ht="15" customHeight="1" x14ac:dyDescent="0.25">
      <c r="B24930" s="55" t="s">
        <v>283</v>
      </c>
      <c r="C24930" s="46">
        <v>4918</v>
      </c>
      <c r="D24930" s="69" t="s">
        <v>29420</v>
      </c>
      <c r="E24930" s="51"/>
      <c r="F24930" s="114" t="str">
        <f>IF(INDEX(I.Facility.P4IDNumber,4918)="","",INDEX(I.Facility.P4IDNumber,4918))</f>
        <v/>
      </c>
      <c r="G24930" s="51"/>
      <c r="H24930" s="46" t="str">
        <f>IF(AND(I.Developer.P4=TRUE,I.Facility.P4FacilityCount&gt;=4918,F24930=""),"Incomplete","Complete")</f>
        <v>Complete</v>
      </c>
      <c r="I24930" s="48" t="s">
        <v>29295</v>
      </c>
    </row>
    <row r="24931" spans="2:9" ht="15" customHeight="1" x14ac:dyDescent="0.25">
      <c r="B24931" s="55" t="s">
        <v>283</v>
      </c>
      <c r="C24931" s="46">
        <v>4919</v>
      </c>
      <c r="D24931" s="69" t="s">
        <v>29420</v>
      </c>
      <c r="E24931" s="51"/>
      <c r="F24931" s="114" t="str">
        <f>IF(INDEX(I.Facility.P4IDNumber,4919)="","",INDEX(I.Facility.P4IDNumber,4919))</f>
        <v/>
      </c>
      <c r="G24931" s="51"/>
      <c r="H24931" s="46" t="str">
        <f>IF(AND(I.Developer.P4=TRUE,I.Facility.P4FacilityCount&gt;=4919,F24931=""),"Incomplete","Complete")</f>
        <v>Complete</v>
      </c>
      <c r="I24931" s="48" t="s">
        <v>29296</v>
      </c>
    </row>
    <row r="24932" spans="2:9" ht="15" customHeight="1" x14ac:dyDescent="0.25">
      <c r="B24932" s="55" t="s">
        <v>283</v>
      </c>
      <c r="C24932" s="46">
        <v>4920</v>
      </c>
      <c r="D24932" s="69" t="s">
        <v>29420</v>
      </c>
      <c r="E24932" s="51"/>
      <c r="F24932" s="114" t="str">
        <f>IF(INDEX(I.Facility.P4IDNumber,4920)="","",INDEX(I.Facility.P4IDNumber,4920))</f>
        <v/>
      </c>
      <c r="G24932" s="51"/>
      <c r="H24932" s="46" t="str">
        <f>IF(AND(I.Developer.P4=TRUE,I.Facility.P4FacilityCount&gt;=4920,F24932=""),"Incomplete","Complete")</f>
        <v>Complete</v>
      </c>
      <c r="I24932" s="48" t="s">
        <v>29297</v>
      </c>
    </row>
    <row r="24933" spans="2:9" ht="15" customHeight="1" x14ac:dyDescent="0.25">
      <c r="B24933" s="55" t="s">
        <v>283</v>
      </c>
      <c r="C24933" s="46">
        <v>4921</v>
      </c>
      <c r="D24933" s="69" t="s">
        <v>29420</v>
      </c>
      <c r="E24933" s="51"/>
      <c r="F24933" s="114" t="str">
        <f>IF(INDEX(I.Facility.P4IDNumber,4921)="","",INDEX(I.Facility.P4IDNumber,4921))</f>
        <v/>
      </c>
      <c r="G24933" s="51"/>
      <c r="H24933" s="46" t="str">
        <f>IF(AND(I.Developer.P4=TRUE,I.Facility.P4FacilityCount&gt;=4921,F24933=""),"Incomplete","Complete")</f>
        <v>Complete</v>
      </c>
      <c r="I24933" s="48" t="s">
        <v>29298</v>
      </c>
    </row>
    <row r="24934" spans="2:9" ht="15" customHeight="1" x14ac:dyDescent="0.25">
      <c r="B24934" s="55" t="s">
        <v>283</v>
      </c>
      <c r="C24934" s="46">
        <v>4922</v>
      </c>
      <c r="D24934" s="69" t="s">
        <v>29420</v>
      </c>
      <c r="E24934" s="51"/>
      <c r="F24934" s="114" t="str">
        <f>IF(INDEX(I.Facility.P4IDNumber,4922)="","",INDEX(I.Facility.P4IDNumber,4922))</f>
        <v/>
      </c>
      <c r="G24934" s="51"/>
      <c r="H24934" s="46" t="str">
        <f>IF(AND(I.Developer.P4=TRUE,I.Facility.P4FacilityCount&gt;=4922,F24934=""),"Incomplete","Complete")</f>
        <v>Complete</v>
      </c>
      <c r="I24934" s="48" t="s">
        <v>29299</v>
      </c>
    </row>
    <row r="24935" spans="2:9" ht="15" customHeight="1" x14ac:dyDescent="0.25">
      <c r="B24935" s="55" t="s">
        <v>283</v>
      </c>
      <c r="C24935" s="46">
        <v>4923</v>
      </c>
      <c r="D24935" s="69" t="s">
        <v>29420</v>
      </c>
      <c r="E24935" s="51"/>
      <c r="F24935" s="114" t="str">
        <f>IF(INDEX(I.Facility.P4IDNumber,4923)="","",INDEX(I.Facility.P4IDNumber,4923))</f>
        <v/>
      </c>
      <c r="G24935" s="51"/>
      <c r="H24935" s="46" t="str">
        <f>IF(AND(I.Developer.P4=TRUE,I.Facility.P4FacilityCount&gt;=4923,F24935=""),"Incomplete","Complete")</f>
        <v>Complete</v>
      </c>
      <c r="I24935" s="48" t="s">
        <v>29300</v>
      </c>
    </row>
    <row r="24936" spans="2:9" ht="15" customHeight="1" x14ac:dyDescent="0.25">
      <c r="B24936" s="55" t="s">
        <v>283</v>
      </c>
      <c r="C24936" s="46">
        <v>4924</v>
      </c>
      <c r="D24936" s="69" t="s">
        <v>29420</v>
      </c>
      <c r="E24936" s="51"/>
      <c r="F24936" s="114" t="str">
        <f>IF(INDEX(I.Facility.P4IDNumber,4924)="","",INDEX(I.Facility.P4IDNumber,4924))</f>
        <v/>
      </c>
      <c r="G24936" s="51"/>
      <c r="H24936" s="46" t="str">
        <f>IF(AND(I.Developer.P4=TRUE,I.Facility.P4FacilityCount&gt;=4924,F24936=""),"Incomplete","Complete")</f>
        <v>Complete</v>
      </c>
      <c r="I24936" s="48" t="s">
        <v>29301</v>
      </c>
    </row>
    <row r="24937" spans="2:9" ht="15" customHeight="1" x14ac:dyDescent="0.25">
      <c r="B24937" s="55" t="s">
        <v>283</v>
      </c>
      <c r="C24937" s="46">
        <v>4925</v>
      </c>
      <c r="D24937" s="69" t="s">
        <v>29420</v>
      </c>
      <c r="E24937" s="51"/>
      <c r="F24937" s="114" t="str">
        <f>IF(INDEX(I.Facility.P4IDNumber,4925)="","",INDEX(I.Facility.P4IDNumber,4925))</f>
        <v/>
      </c>
      <c r="G24937" s="51"/>
      <c r="H24937" s="46" t="str">
        <f>IF(AND(I.Developer.P4=TRUE,I.Facility.P4FacilityCount&gt;=4925,F24937=""),"Incomplete","Complete")</f>
        <v>Complete</v>
      </c>
      <c r="I24937" s="48" t="s">
        <v>29302</v>
      </c>
    </row>
    <row r="24938" spans="2:9" ht="15" customHeight="1" x14ac:dyDescent="0.25">
      <c r="B24938" s="55" t="s">
        <v>283</v>
      </c>
      <c r="C24938" s="46">
        <v>4926</v>
      </c>
      <c r="D24938" s="69" t="s">
        <v>29420</v>
      </c>
      <c r="E24938" s="51"/>
      <c r="F24938" s="114" t="str">
        <f>IF(INDEX(I.Facility.P4IDNumber,4926)="","",INDEX(I.Facility.P4IDNumber,4926))</f>
        <v/>
      </c>
      <c r="G24938" s="51"/>
      <c r="H24938" s="46" t="str">
        <f>IF(AND(I.Developer.P4=TRUE,I.Facility.P4FacilityCount&gt;=4926,F24938=""),"Incomplete","Complete")</f>
        <v>Complete</v>
      </c>
      <c r="I24938" s="48" t="s">
        <v>29303</v>
      </c>
    </row>
    <row r="24939" spans="2:9" ht="15" customHeight="1" x14ac:dyDescent="0.25">
      <c r="B24939" s="55" t="s">
        <v>283</v>
      </c>
      <c r="C24939" s="46">
        <v>4927</v>
      </c>
      <c r="D24939" s="69" t="s">
        <v>29420</v>
      </c>
      <c r="E24939" s="51"/>
      <c r="F24939" s="114" t="str">
        <f>IF(INDEX(I.Facility.P4IDNumber,4927)="","",INDEX(I.Facility.P4IDNumber,4927))</f>
        <v/>
      </c>
      <c r="G24939" s="51"/>
      <c r="H24939" s="46" t="str">
        <f>IF(AND(I.Developer.P4=TRUE,I.Facility.P4FacilityCount&gt;=4927,F24939=""),"Incomplete","Complete")</f>
        <v>Complete</v>
      </c>
      <c r="I24939" s="48" t="s">
        <v>29304</v>
      </c>
    </row>
    <row r="24940" spans="2:9" ht="15" customHeight="1" x14ac:dyDescent="0.25">
      <c r="B24940" s="55" t="s">
        <v>283</v>
      </c>
      <c r="C24940" s="46">
        <v>4928</v>
      </c>
      <c r="D24940" s="69" t="s">
        <v>29420</v>
      </c>
      <c r="E24940" s="51"/>
      <c r="F24940" s="114" t="str">
        <f>IF(INDEX(I.Facility.P4IDNumber,4928)="","",INDEX(I.Facility.P4IDNumber,4928))</f>
        <v/>
      </c>
      <c r="G24940" s="51"/>
      <c r="H24940" s="46" t="str">
        <f>IF(AND(I.Developer.P4=TRUE,I.Facility.P4FacilityCount&gt;=4928,F24940=""),"Incomplete","Complete")</f>
        <v>Complete</v>
      </c>
      <c r="I24940" s="48" t="s">
        <v>29305</v>
      </c>
    </row>
    <row r="24941" spans="2:9" ht="15" customHeight="1" x14ac:dyDescent="0.25">
      <c r="B24941" s="55" t="s">
        <v>283</v>
      </c>
      <c r="C24941" s="46">
        <v>4929</v>
      </c>
      <c r="D24941" s="69" t="s">
        <v>29420</v>
      </c>
      <c r="E24941" s="51"/>
      <c r="F24941" s="114" t="str">
        <f>IF(INDEX(I.Facility.P4IDNumber,4929)="","",INDEX(I.Facility.P4IDNumber,4929))</f>
        <v/>
      </c>
      <c r="G24941" s="51"/>
      <c r="H24941" s="46" t="str">
        <f>IF(AND(I.Developer.P4=TRUE,I.Facility.P4FacilityCount&gt;=4929,F24941=""),"Incomplete","Complete")</f>
        <v>Complete</v>
      </c>
      <c r="I24941" s="48" t="s">
        <v>29306</v>
      </c>
    </row>
    <row r="24942" spans="2:9" ht="15" customHeight="1" x14ac:dyDescent="0.25">
      <c r="B24942" s="55" t="s">
        <v>283</v>
      </c>
      <c r="C24942" s="46">
        <v>4930</v>
      </c>
      <c r="D24942" s="69" t="s">
        <v>29420</v>
      </c>
      <c r="E24942" s="51"/>
      <c r="F24942" s="114" t="str">
        <f>IF(INDEX(I.Facility.P4IDNumber,4930)="","",INDEX(I.Facility.P4IDNumber,4930))</f>
        <v/>
      </c>
      <c r="G24942" s="51"/>
      <c r="H24942" s="46" t="str">
        <f>IF(AND(I.Developer.P4=TRUE,I.Facility.P4FacilityCount&gt;=4930,F24942=""),"Incomplete","Complete")</f>
        <v>Complete</v>
      </c>
      <c r="I24942" s="48" t="s">
        <v>29307</v>
      </c>
    </row>
    <row r="24943" spans="2:9" ht="15" customHeight="1" x14ac:dyDescent="0.25">
      <c r="B24943" s="55" t="s">
        <v>283</v>
      </c>
      <c r="C24943" s="46">
        <v>4931</v>
      </c>
      <c r="D24943" s="69" t="s">
        <v>29420</v>
      </c>
      <c r="E24943" s="51"/>
      <c r="F24943" s="114" t="str">
        <f>IF(INDEX(I.Facility.P4IDNumber,4931)="","",INDEX(I.Facility.P4IDNumber,4931))</f>
        <v/>
      </c>
      <c r="G24943" s="51"/>
      <c r="H24943" s="46" t="str">
        <f>IF(AND(I.Developer.P4=TRUE,I.Facility.P4FacilityCount&gt;=4931,F24943=""),"Incomplete","Complete")</f>
        <v>Complete</v>
      </c>
      <c r="I24943" s="48" t="s">
        <v>29308</v>
      </c>
    </row>
    <row r="24944" spans="2:9" ht="15" customHeight="1" x14ac:dyDescent="0.25">
      <c r="B24944" s="55" t="s">
        <v>283</v>
      </c>
      <c r="C24944" s="46">
        <v>4932</v>
      </c>
      <c r="D24944" s="69" t="s">
        <v>29420</v>
      </c>
      <c r="E24944" s="51"/>
      <c r="F24944" s="114" t="str">
        <f>IF(INDEX(I.Facility.P4IDNumber,4932)="","",INDEX(I.Facility.P4IDNumber,4932))</f>
        <v/>
      </c>
      <c r="G24944" s="51"/>
      <c r="H24944" s="46" t="str">
        <f>IF(AND(I.Developer.P4=TRUE,I.Facility.P4FacilityCount&gt;=4932,F24944=""),"Incomplete","Complete")</f>
        <v>Complete</v>
      </c>
      <c r="I24944" s="48" t="s">
        <v>29309</v>
      </c>
    </row>
    <row r="24945" spans="2:9" ht="15" customHeight="1" x14ac:dyDescent="0.25">
      <c r="B24945" s="55" t="s">
        <v>283</v>
      </c>
      <c r="C24945" s="46">
        <v>4933</v>
      </c>
      <c r="D24945" s="69" t="s">
        <v>29420</v>
      </c>
      <c r="E24945" s="51"/>
      <c r="F24945" s="114" t="str">
        <f>IF(INDEX(I.Facility.P4IDNumber,4933)="","",INDEX(I.Facility.P4IDNumber,4933))</f>
        <v/>
      </c>
      <c r="G24945" s="51"/>
      <c r="H24945" s="46" t="str">
        <f>IF(AND(I.Developer.P4=TRUE,I.Facility.P4FacilityCount&gt;=4933,F24945=""),"Incomplete","Complete")</f>
        <v>Complete</v>
      </c>
      <c r="I24945" s="48" t="s">
        <v>29310</v>
      </c>
    </row>
    <row r="24946" spans="2:9" ht="15" customHeight="1" x14ac:dyDescent="0.25">
      <c r="B24946" s="55" t="s">
        <v>283</v>
      </c>
      <c r="C24946" s="46">
        <v>4934</v>
      </c>
      <c r="D24946" s="69" t="s">
        <v>29420</v>
      </c>
      <c r="E24946" s="51"/>
      <c r="F24946" s="114" t="str">
        <f>IF(INDEX(I.Facility.P4IDNumber,4934)="","",INDEX(I.Facility.P4IDNumber,4934))</f>
        <v/>
      </c>
      <c r="G24946" s="51"/>
      <c r="H24946" s="46" t="str">
        <f>IF(AND(I.Developer.P4=TRUE,I.Facility.P4FacilityCount&gt;=4934,F24946=""),"Incomplete","Complete")</f>
        <v>Complete</v>
      </c>
      <c r="I24946" s="48" t="s">
        <v>29311</v>
      </c>
    </row>
    <row r="24947" spans="2:9" ht="15" customHeight="1" x14ac:dyDescent="0.25">
      <c r="B24947" s="55" t="s">
        <v>283</v>
      </c>
      <c r="C24947" s="46">
        <v>4935</v>
      </c>
      <c r="D24947" s="69" t="s">
        <v>29420</v>
      </c>
      <c r="E24947" s="51"/>
      <c r="F24947" s="114" t="str">
        <f>IF(INDEX(I.Facility.P4IDNumber,4935)="","",INDEX(I.Facility.P4IDNumber,4935))</f>
        <v/>
      </c>
      <c r="G24947" s="51"/>
      <c r="H24947" s="46" t="str">
        <f>IF(AND(I.Developer.P4=TRUE,I.Facility.P4FacilityCount&gt;=4935,F24947=""),"Incomplete","Complete")</f>
        <v>Complete</v>
      </c>
      <c r="I24947" s="48" t="s">
        <v>29312</v>
      </c>
    </row>
    <row r="24948" spans="2:9" ht="15" customHeight="1" x14ac:dyDescent="0.25">
      <c r="B24948" s="55" t="s">
        <v>283</v>
      </c>
      <c r="C24948" s="46">
        <v>4936</v>
      </c>
      <c r="D24948" s="69" t="s">
        <v>29420</v>
      </c>
      <c r="E24948" s="51"/>
      <c r="F24948" s="114" t="str">
        <f>IF(INDEX(I.Facility.P4IDNumber,4936)="","",INDEX(I.Facility.P4IDNumber,4936))</f>
        <v/>
      </c>
      <c r="G24948" s="51"/>
      <c r="H24948" s="46" t="str">
        <f>IF(AND(I.Developer.P4=TRUE,I.Facility.P4FacilityCount&gt;=4936,F24948=""),"Incomplete","Complete")</f>
        <v>Complete</v>
      </c>
      <c r="I24948" s="48" t="s">
        <v>29313</v>
      </c>
    </row>
    <row r="24949" spans="2:9" ht="15" customHeight="1" x14ac:dyDescent="0.25">
      <c r="B24949" s="55" t="s">
        <v>283</v>
      </c>
      <c r="C24949" s="46">
        <v>4937</v>
      </c>
      <c r="D24949" s="69" t="s">
        <v>29420</v>
      </c>
      <c r="E24949" s="51"/>
      <c r="F24949" s="114" t="str">
        <f>IF(INDEX(I.Facility.P4IDNumber,4937)="","",INDEX(I.Facility.P4IDNumber,4937))</f>
        <v/>
      </c>
      <c r="G24949" s="51"/>
      <c r="H24949" s="46" t="str">
        <f>IF(AND(I.Developer.P4=TRUE,I.Facility.P4FacilityCount&gt;=4937,F24949=""),"Incomplete","Complete")</f>
        <v>Complete</v>
      </c>
      <c r="I24949" s="48" t="s">
        <v>29314</v>
      </c>
    </row>
    <row r="24950" spans="2:9" ht="15" customHeight="1" x14ac:dyDescent="0.25">
      <c r="B24950" s="55" t="s">
        <v>283</v>
      </c>
      <c r="C24950" s="46">
        <v>4938</v>
      </c>
      <c r="D24950" s="69" t="s">
        <v>29420</v>
      </c>
      <c r="E24950" s="51"/>
      <c r="F24950" s="114" t="str">
        <f>IF(INDEX(I.Facility.P4IDNumber,4938)="","",INDEX(I.Facility.P4IDNumber,4938))</f>
        <v/>
      </c>
      <c r="G24950" s="51"/>
      <c r="H24950" s="46" t="str">
        <f>IF(AND(I.Developer.P4=TRUE,I.Facility.P4FacilityCount&gt;=4938,F24950=""),"Incomplete","Complete")</f>
        <v>Complete</v>
      </c>
      <c r="I24950" s="48" t="s">
        <v>29315</v>
      </c>
    </row>
    <row r="24951" spans="2:9" ht="15" customHeight="1" x14ac:dyDescent="0.25">
      <c r="B24951" s="55" t="s">
        <v>283</v>
      </c>
      <c r="C24951" s="46">
        <v>4939</v>
      </c>
      <c r="D24951" s="69" t="s">
        <v>29420</v>
      </c>
      <c r="E24951" s="51"/>
      <c r="F24951" s="114" t="str">
        <f>IF(INDEX(I.Facility.P4IDNumber,4939)="","",INDEX(I.Facility.P4IDNumber,4939))</f>
        <v/>
      </c>
      <c r="G24951" s="51"/>
      <c r="H24951" s="46" t="str">
        <f>IF(AND(I.Developer.P4=TRUE,I.Facility.P4FacilityCount&gt;=4939,F24951=""),"Incomplete","Complete")</f>
        <v>Complete</v>
      </c>
      <c r="I24951" s="48" t="s">
        <v>29316</v>
      </c>
    </row>
    <row r="24952" spans="2:9" ht="15" customHeight="1" x14ac:dyDescent="0.25">
      <c r="B24952" s="55" t="s">
        <v>283</v>
      </c>
      <c r="C24952" s="46">
        <v>4940</v>
      </c>
      <c r="D24952" s="69" t="s">
        <v>29420</v>
      </c>
      <c r="E24952" s="51"/>
      <c r="F24952" s="114" t="str">
        <f>IF(INDEX(I.Facility.P4IDNumber,4940)="","",INDEX(I.Facility.P4IDNumber,4940))</f>
        <v/>
      </c>
      <c r="G24952" s="51"/>
      <c r="H24952" s="46" t="str">
        <f>IF(AND(I.Developer.P4=TRUE,I.Facility.P4FacilityCount&gt;=4940,F24952=""),"Incomplete","Complete")</f>
        <v>Complete</v>
      </c>
      <c r="I24952" s="48" t="s">
        <v>29317</v>
      </c>
    </row>
    <row r="24953" spans="2:9" ht="15" customHeight="1" x14ac:dyDescent="0.25">
      <c r="B24953" s="55" t="s">
        <v>283</v>
      </c>
      <c r="C24953" s="46">
        <v>4941</v>
      </c>
      <c r="D24953" s="69" t="s">
        <v>29420</v>
      </c>
      <c r="E24953" s="51"/>
      <c r="F24953" s="114" t="str">
        <f>IF(INDEX(I.Facility.P4IDNumber,4941)="","",INDEX(I.Facility.P4IDNumber,4941))</f>
        <v/>
      </c>
      <c r="G24953" s="51"/>
      <c r="H24953" s="46" t="str">
        <f>IF(AND(I.Developer.P4=TRUE,I.Facility.P4FacilityCount&gt;=4941,F24953=""),"Incomplete","Complete")</f>
        <v>Complete</v>
      </c>
      <c r="I24953" s="48" t="s">
        <v>29318</v>
      </c>
    </row>
    <row r="24954" spans="2:9" ht="15" customHeight="1" x14ac:dyDescent="0.25">
      <c r="B24954" s="55" t="s">
        <v>283</v>
      </c>
      <c r="C24954" s="46">
        <v>4942</v>
      </c>
      <c r="D24954" s="69" t="s">
        <v>29420</v>
      </c>
      <c r="E24954" s="51"/>
      <c r="F24954" s="114" t="str">
        <f>IF(INDEX(I.Facility.P4IDNumber,4942)="","",INDEX(I.Facility.P4IDNumber,4942))</f>
        <v/>
      </c>
      <c r="G24954" s="51"/>
      <c r="H24954" s="46" t="str">
        <f>IF(AND(I.Developer.P4=TRUE,I.Facility.P4FacilityCount&gt;=4942,F24954=""),"Incomplete","Complete")</f>
        <v>Complete</v>
      </c>
      <c r="I24954" s="48" t="s">
        <v>29319</v>
      </c>
    </row>
    <row r="24955" spans="2:9" ht="15" customHeight="1" x14ac:dyDescent="0.25">
      <c r="B24955" s="55" t="s">
        <v>283</v>
      </c>
      <c r="C24955" s="46">
        <v>4943</v>
      </c>
      <c r="D24955" s="69" t="s">
        <v>29420</v>
      </c>
      <c r="E24955" s="51"/>
      <c r="F24955" s="114" t="str">
        <f>IF(INDEX(I.Facility.P4IDNumber,4943)="","",INDEX(I.Facility.P4IDNumber,4943))</f>
        <v/>
      </c>
      <c r="G24955" s="51"/>
      <c r="H24955" s="46" t="str">
        <f>IF(AND(I.Developer.P4=TRUE,I.Facility.P4FacilityCount&gt;=4943,F24955=""),"Incomplete","Complete")</f>
        <v>Complete</v>
      </c>
      <c r="I24955" s="48" t="s">
        <v>29320</v>
      </c>
    </row>
    <row r="24956" spans="2:9" ht="15" customHeight="1" x14ac:dyDescent="0.25">
      <c r="B24956" s="55" t="s">
        <v>283</v>
      </c>
      <c r="C24956" s="46">
        <v>4944</v>
      </c>
      <c r="D24956" s="69" t="s">
        <v>29420</v>
      </c>
      <c r="E24956" s="51"/>
      <c r="F24956" s="114" t="str">
        <f>IF(INDEX(I.Facility.P4IDNumber,4944)="","",INDEX(I.Facility.P4IDNumber,4944))</f>
        <v/>
      </c>
      <c r="G24956" s="51"/>
      <c r="H24956" s="46" t="str">
        <f>IF(AND(I.Developer.P4=TRUE,I.Facility.P4FacilityCount&gt;=4944,F24956=""),"Incomplete","Complete")</f>
        <v>Complete</v>
      </c>
      <c r="I24956" s="48" t="s">
        <v>29321</v>
      </c>
    </row>
    <row r="24957" spans="2:9" ht="15" customHeight="1" x14ac:dyDescent="0.25">
      <c r="B24957" s="55" t="s">
        <v>283</v>
      </c>
      <c r="C24957" s="46">
        <v>4945</v>
      </c>
      <c r="D24957" s="69" t="s">
        <v>29420</v>
      </c>
      <c r="E24957" s="51"/>
      <c r="F24957" s="114" t="str">
        <f>IF(INDEX(I.Facility.P4IDNumber,4945)="","",INDEX(I.Facility.P4IDNumber,4945))</f>
        <v/>
      </c>
      <c r="G24957" s="51"/>
      <c r="H24957" s="46" t="str">
        <f>IF(AND(I.Developer.P4=TRUE,I.Facility.P4FacilityCount&gt;=4945,F24957=""),"Incomplete","Complete")</f>
        <v>Complete</v>
      </c>
      <c r="I24957" s="48" t="s">
        <v>29322</v>
      </c>
    </row>
    <row r="24958" spans="2:9" ht="15" customHeight="1" x14ac:dyDescent="0.25">
      <c r="B24958" s="55" t="s">
        <v>283</v>
      </c>
      <c r="C24958" s="46">
        <v>4946</v>
      </c>
      <c r="D24958" s="69" t="s">
        <v>29420</v>
      </c>
      <c r="E24958" s="51"/>
      <c r="F24958" s="114" t="str">
        <f>IF(INDEX(I.Facility.P4IDNumber,4946)="","",INDEX(I.Facility.P4IDNumber,4946))</f>
        <v/>
      </c>
      <c r="G24958" s="51"/>
      <c r="H24958" s="46" t="str">
        <f>IF(AND(I.Developer.P4=TRUE,I.Facility.P4FacilityCount&gt;=4946,F24958=""),"Incomplete","Complete")</f>
        <v>Complete</v>
      </c>
      <c r="I24958" s="48" t="s">
        <v>29323</v>
      </c>
    </row>
    <row r="24959" spans="2:9" ht="15" customHeight="1" x14ac:dyDescent="0.25">
      <c r="B24959" s="55" t="s">
        <v>283</v>
      </c>
      <c r="C24959" s="46">
        <v>4947</v>
      </c>
      <c r="D24959" s="69" t="s">
        <v>29420</v>
      </c>
      <c r="E24959" s="51"/>
      <c r="F24959" s="114" t="str">
        <f>IF(INDEX(I.Facility.P4IDNumber,4947)="","",INDEX(I.Facility.P4IDNumber,4947))</f>
        <v/>
      </c>
      <c r="G24959" s="51"/>
      <c r="H24959" s="46" t="str">
        <f>IF(AND(I.Developer.P4=TRUE,I.Facility.P4FacilityCount&gt;=4947,F24959=""),"Incomplete","Complete")</f>
        <v>Complete</v>
      </c>
      <c r="I24959" s="48" t="s">
        <v>29324</v>
      </c>
    </row>
    <row r="24960" spans="2:9" ht="15" customHeight="1" x14ac:dyDescent="0.25">
      <c r="B24960" s="55" t="s">
        <v>283</v>
      </c>
      <c r="C24960" s="46">
        <v>4948</v>
      </c>
      <c r="D24960" s="69" t="s">
        <v>29420</v>
      </c>
      <c r="E24960" s="51"/>
      <c r="F24960" s="114" t="str">
        <f>IF(INDEX(I.Facility.P4IDNumber,4948)="","",INDEX(I.Facility.P4IDNumber,4948))</f>
        <v/>
      </c>
      <c r="G24960" s="51"/>
      <c r="H24960" s="46" t="str">
        <f>IF(AND(I.Developer.P4=TRUE,I.Facility.P4FacilityCount&gt;=4948,F24960=""),"Incomplete","Complete")</f>
        <v>Complete</v>
      </c>
      <c r="I24960" s="48" t="s">
        <v>29325</v>
      </c>
    </row>
    <row r="24961" spans="2:9" ht="15" customHeight="1" x14ac:dyDescent="0.25">
      <c r="B24961" s="55" t="s">
        <v>283</v>
      </c>
      <c r="C24961" s="46">
        <v>4949</v>
      </c>
      <c r="D24961" s="69" t="s">
        <v>29420</v>
      </c>
      <c r="E24961" s="51"/>
      <c r="F24961" s="114" t="str">
        <f>IF(INDEX(I.Facility.P4IDNumber,4949)="","",INDEX(I.Facility.P4IDNumber,4949))</f>
        <v/>
      </c>
      <c r="G24961" s="51"/>
      <c r="H24961" s="46" t="str">
        <f>IF(AND(I.Developer.P4=TRUE,I.Facility.P4FacilityCount&gt;=4949,F24961=""),"Incomplete","Complete")</f>
        <v>Complete</v>
      </c>
      <c r="I24961" s="48" t="s">
        <v>29326</v>
      </c>
    </row>
    <row r="24962" spans="2:9" ht="15" customHeight="1" x14ac:dyDescent="0.25">
      <c r="B24962" s="55" t="s">
        <v>283</v>
      </c>
      <c r="C24962" s="46">
        <v>4950</v>
      </c>
      <c r="D24962" s="69" t="s">
        <v>29420</v>
      </c>
      <c r="E24962" s="51"/>
      <c r="F24962" s="114" t="str">
        <f>IF(INDEX(I.Facility.P4IDNumber,4950)="","",INDEX(I.Facility.P4IDNumber,4950))</f>
        <v/>
      </c>
      <c r="G24962" s="51"/>
      <c r="H24962" s="46" t="str">
        <f>IF(AND(I.Developer.P4=TRUE,I.Facility.P4FacilityCount&gt;=4950,F24962=""),"Incomplete","Complete")</f>
        <v>Complete</v>
      </c>
      <c r="I24962" s="48" t="s">
        <v>29327</v>
      </c>
    </row>
    <row r="24963" spans="2:9" ht="15" customHeight="1" x14ac:dyDescent="0.25">
      <c r="B24963" s="55" t="s">
        <v>283</v>
      </c>
      <c r="C24963" s="46">
        <v>4951</v>
      </c>
      <c r="D24963" s="69" t="s">
        <v>29420</v>
      </c>
      <c r="E24963" s="51"/>
      <c r="F24963" s="114" t="str">
        <f>IF(INDEX(I.Facility.P4IDNumber,4951)="","",INDEX(I.Facility.P4IDNumber,4951))</f>
        <v/>
      </c>
      <c r="G24963" s="51"/>
      <c r="H24963" s="46" t="str">
        <f>IF(AND(I.Developer.P4=TRUE,I.Facility.P4FacilityCount&gt;=4951,F24963=""),"Incomplete","Complete")</f>
        <v>Complete</v>
      </c>
      <c r="I24963" s="48" t="s">
        <v>29328</v>
      </c>
    </row>
    <row r="24964" spans="2:9" ht="15" customHeight="1" x14ac:dyDescent="0.25">
      <c r="B24964" s="55" t="s">
        <v>283</v>
      </c>
      <c r="C24964" s="46">
        <v>4952</v>
      </c>
      <c r="D24964" s="69" t="s">
        <v>29420</v>
      </c>
      <c r="E24964" s="51"/>
      <c r="F24964" s="114" t="str">
        <f>IF(INDEX(I.Facility.P4IDNumber,4952)="","",INDEX(I.Facility.P4IDNumber,4952))</f>
        <v/>
      </c>
      <c r="G24964" s="51"/>
      <c r="H24964" s="46" t="str">
        <f>IF(AND(I.Developer.P4=TRUE,I.Facility.P4FacilityCount&gt;=4952,F24964=""),"Incomplete","Complete")</f>
        <v>Complete</v>
      </c>
      <c r="I24964" s="48" t="s">
        <v>29329</v>
      </c>
    </row>
    <row r="24965" spans="2:9" ht="15" customHeight="1" x14ac:dyDescent="0.25">
      <c r="B24965" s="55" t="s">
        <v>283</v>
      </c>
      <c r="C24965" s="46">
        <v>4953</v>
      </c>
      <c r="D24965" s="69" t="s">
        <v>29420</v>
      </c>
      <c r="E24965" s="51"/>
      <c r="F24965" s="114" t="str">
        <f>IF(INDEX(I.Facility.P4IDNumber,4953)="","",INDEX(I.Facility.P4IDNumber,4953))</f>
        <v/>
      </c>
      <c r="G24965" s="51"/>
      <c r="H24965" s="46" t="str">
        <f>IF(AND(I.Developer.P4=TRUE,I.Facility.P4FacilityCount&gt;=4953,F24965=""),"Incomplete","Complete")</f>
        <v>Complete</v>
      </c>
      <c r="I24965" s="48" t="s">
        <v>29330</v>
      </c>
    </row>
    <row r="24966" spans="2:9" ht="15" customHeight="1" x14ac:dyDescent="0.25">
      <c r="B24966" s="55" t="s">
        <v>283</v>
      </c>
      <c r="C24966" s="46">
        <v>4954</v>
      </c>
      <c r="D24966" s="69" t="s">
        <v>29420</v>
      </c>
      <c r="E24966" s="51"/>
      <c r="F24966" s="114" t="str">
        <f>IF(INDEX(I.Facility.P4IDNumber,4954)="","",INDEX(I.Facility.P4IDNumber,4954))</f>
        <v/>
      </c>
      <c r="G24966" s="51"/>
      <c r="H24966" s="46" t="str">
        <f>IF(AND(I.Developer.P4=TRUE,I.Facility.P4FacilityCount&gt;=4954,F24966=""),"Incomplete","Complete")</f>
        <v>Complete</v>
      </c>
      <c r="I24966" s="48" t="s">
        <v>29331</v>
      </c>
    </row>
    <row r="24967" spans="2:9" ht="15" customHeight="1" x14ac:dyDescent="0.25">
      <c r="B24967" s="55" t="s">
        <v>283</v>
      </c>
      <c r="C24967" s="46">
        <v>4955</v>
      </c>
      <c r="D24967" s="69" t="s">
        <v>29420</v>
      </c>
      <c r="E24967" s="51"/>
      <c r="F24967" s="114" t="str">
        <f>IF(INDEX(I.Facility.P4IDNumber,4955)="","",INDEX(I.Facility.P4IDNumber,4955))</f>
        <v/>
      </c>
      <c r="G24967" s="51"/>
      <c r="H24967" s="46" t="str">
        <f>IF(AND(I.Developer.P4=TRUE,I.Facility.P4FacilityCount&gt;=4955,F24967=""),"Incomplete","Complete")</f>
        <v>Complete</v>
      </c>
      <c r="I24967" s="48" t="s">
        <v>29332</v>
      </c>
    </row>
    <row r="24968" spans="2:9" ht="15" customHeight="1" x14ac:dyDescent="0.25">
      <c r="B24968" s="55" t="s">
        <v>283</v>
      </c>
      <c r="C24968" s="46">
        <v>4956</v>
      </c>
      <c r="D24968" s="69" t="s">
        <v>29420</v>
      </c>
      <c r="E24968" s="51"/>
      <c r="F24968" s="114" t="str">
        <f>IF(INDEX(I.Facility.P4IDNumber,4956)="","",INDEX(I.Facility.P4IDNumber,4956))</f>
        <v/>
      </c>
      <c r="G24968" s="51"/>
      <c r="H24968" s="46" t="str">
        <f>IF(AND(I.Developer.P4=TRUE,I.Facility.P4FacilityCount&gt;=4956,F24968=""),"Incomplete","Complete")</f>
        <v>Complete</v>
      </c>
      <c r="I24968" s="48" t="s">
        <v>29333</v>
      </c>
    </row>
    <row r="24969" spans="2:9" ht="15" customHeight="1" x14ac:dyDescent="0.25">
      <c r="B24969" s="55" t="s">
        <v>283</v>
      </c>
      <c r="C24969" s="46">
        <v>4957</v>
      </c>
      <c r="D24969" s="69" t="s">
        <v>29420</v>
      </c>
      <c r="E24969" s="51"/>
      <c r="F24969" s="114" t="str">
        <f>IF(INDEX(I.Facility.P4IDNumber,4957)="","",INDEX(I.Facility.P4IDNumber,4957))</f>
        <v/>
      </c>
      <c r="G24969" s="51"/>
      <c r="H24969" s="46" t="str">
        <f>IF(AND(I.Developer.P4=TRUE,I.Facility.P4FacilityCount&gt;=4957,F24969=""),"Incomplete","Complete")</f>
        <v>Complete</v>
      </c>
      <c r="I24969" s="48" t="s">
        <v>29334</v>
      </c>
    </row>
    <row r="24970" spans="2:9" ht="15" customHeight="1" x14ac:dyDescent="0.25">
      <c r="B24970" s="55" t="s">
        <v>283</v>
      </c>
      <c r="C24970" s="46">
        <v>4958</v>
      </c>
      <c r="D24970" s="69" t="s">
        <v>29420</v>
      </c>
      <c r="E24970" s="51"/>
      <c r="F24970" s="114" t="str">
        <f>IF(INDEX(I.Facility.P4IDNumber,4958)="","",INDEX(I.Facility.P4IDNumber,4958))</f>
        <v/>
      </c>
      <c r="G24970" s="51"/>
      <c r="H24970" s="46" t="str">
        <f>IF(AND(I.Developer.P4=TRUE,I.Facility.P4FacilityCount&gt;=4958,F24970=""),"Incomplete","Complete")</f>
        <v>Complete</v>
      </c>
      <c r="I24970" s="48" t="s">
        <v>29335</v>
      </c>
    </row>
    <row r="24971" spans="2:9" ht="15" customHeight="1" x14ac:dyDescent="0.25">
      <c r="B24971" s="55" t="s">
        <v>283</v>
      </c>
      <c r="C24971" s="46">
        <v>4959</v>
      </c>
      <c r="D24971" s="69" t="s">
        <v>29420</v>
      </c>
      <c r="E24971" s="51"/>
      <c r="F24971" s="114" t="str">
        <f>IF(INDEX(I.Facility.P4IDNumber,4959)="","",INDEX(I.Facility.P4IDNumber,4959))</f>
        <v/>
      </c>
      <c r="G24971" s="51"/>
      <c r="H24971" s="46" t="str">
        <f>IF(AND(I.Developer.P4=TRUE,I.Facility.P4FacilityCount&gt;=4959,F24971=""),"Incomplete","Complete")</f>
        <v>Complete</v>
      </c>
      <c r="I24971" s="48" t="s">
        <v>29336</v>
      </c>
    </row>
    <row r="24972" spans="2:9" ht="15" customHeight="1" x14ac:dyDescent="0.25">
      <c r="B24972" s="55" t="s">
        <v>283</v>
      </c>
      <c r="C24972" s="46">
        <v>4960</v>
      </c>
      <c r="D24972" s="69" t="s">
        <v>29420</v>
      </c>
      <c r="E24972" s="51"/>
      <c r="F24972" s="114" t="str">
        <f>IF(INDEX(I.Facility.P4IDNumber,4960)="","",INDEX(I.Facility.P4IDNumber,4960))</f>
        <v/>
      </c>
      <c r="G24972" s="51"/>
      <c r="H24972" s="46" t="str">
        <f>IF(AND(I.Developer.P4=TRUE,I.Facility.P4FacilityCount&gt;=4960,F24972=""),"Incomplete","Complete")</f>
        <v>Complete</v>
      </c>
      <c r="I24972" s="48" t="s">
        <v>29337</v>
      </c>
    </row>
    <row r="24973" spans="2:9" ht="15" customHeight="1" x14ac:dyDescent="0.25">
      <c r="B24973" s="55" t="s">
        <v>283</v>
      </c>
      <c r="C24973" s="46">
        <v>4961</v>
      </c>
      <c r="D24973" s="69" t="s">
        <v>29420</v>
      </c>
      <c r="E24973" s="51"/>
      <c r="F24973" s="114" t="str">
        <f>IF(INDEX(I.Facility.P4IDNumber,4961)="","",INDEX(I.Facility.P4IDNumber,4961))</f>
        <v/>
      </c>
      <c r="G24973" s="51"/>
      <c r="H24973" s="46" t="str">
        <f>IF(AND(I.Developer.P4=TRUE,I.Facility.P4FacilityCount&gt;=4961,F24973=""),"Incomplete","Complete")</f>
        <v>Complete</v>
      </c>
      <c r="I24973" s="48" t="s">
        <v>29338</v>
      </c>
    </row>
    <row r="24974" spans="2:9" ht="15" customHeight="1" x14ac:dyDescent="0.25">
      <c r="B24974" s="55" t="s">
        <v>283</v>
      </c>
      <c r="C24974" s="46">
        <v>4962</v>
      </c>
      <c r="D24974" s="69" t="s">
        <v>29420</v>
      </c>
      <c r="E24974" s="51"/>
      <c r="F24974" s="114" t="str">
        <f>IF(INDEX(I.Facility.P4IDNumber,4962)="","",INDEX(I.Facility.P4IDNumber,4962))</f>
        <v/>
      </c>
      <c r="G24974" s="51"/>
      <c r="H24974" s="46" t="str">
        <f>IF(AND(I.Developer.P4=TRUE,I.Facility.P4FacilityCount&gt;=4962,F24974=""),"Incomplete","Complete")</f>
        <v>Complete</v>
      </c>
      <c r="I24974" s="48" t="s">
        <v>29339</v>
      </c>
    </row>
    <row r="24975" spans="2:9" ht="15" customHeight="1" x14ac:dyDescent="0.25">
      <c r="B24975" s="55" t="s">
        <v>283</v>
      </c>
      <c r="C24975" s="46">
        <v>4963</v>
      </c>
      <c r="D24975" s="69" t="s">
        <v>29420</v>
      </c>
      <c r="E24975" s="51"/>
      <c r="F24975" s="114" t="str">
        <f>IF(INDEX(I.Facility.P4IDNumber,4963)="","",INDEX(I.Facility.P4IDNumber,4963))</f>
        <v/>
      </c>
      <c r="G24975" s="51"/>
      <c r="H24975" s="46" t="str">
        <f>IF(AND(I.Developer.P4=TRUE,I.Facility.P4FacilityCount&gt;=4963,F24975=""),"Incomplete","Complete")</f>
        <v>Complete</v>
      </c>
      <c r="I24975" s="48" t="s">
        <v>29340</v>
      </c>
    </row>
    <row r="24976" spans="2:9" ht="15" customHeight="1" x14ac:dyDescent="0.25">
      <c r="B24976" s="55" t="s">
        <v>283</v>
      </c>
      <c r="C24976" s="46">
        <v>4964</v>
      </c>
      <c r="D24976" s="69" t="s">
        <v>29420</v>
      </c>
      <c r="E24976" s="51"/>
      <c r="F24976" s="114" t="str">
        <f>IF(INDEX(I.Facility.P4IDNumber,4964)="","",INDEX(I.Facility.P4IDNumber,4964))</f>
        <v/>
      </c>
      <c r="G24976" s="51"/>
      <c r="H24976" s="46" t="str">
        <f>IF(AND(I.Developer.P4=TRUE,I.Facility.P4FacilityCount&gt;=4964,F24976=""),"Incomplete","Complete")</f>
        <v>Complete</v>
      </c>
      <c r="I24976" s="48" t="s">
        <v>29341</v>
      </c>
    </row>
    <row r="24977" spans="2:9" ht="15" customHeight="1" x14ac:dyDescent="0.25">
      <c r="B24977" s="55" t="s">
        <v>283</v>
      </c>
      <c r="C24977" s="46">
        <v>4965</v>
      </c>
      <c r="D24977" s="69" t="s">
        <v>29420</v>
      </c>
      <c r="E24977" s="51"/>
      <c r="F24977" s="114" t="str">
        <f>IF(INDEX(I.Facility.P4IDNumber,4965)="","",INDEX(I.Facility.P4IDNumber,4965))</f>
        <v/>
      </c>
      <c r="G24977" s="51"/>
      <c r="H24977" s="46" t="str">
        <f>IF(AND(I.Developer.P4=TRUE,I.Facility.P4FacilityCount&gt;=4965,F24977=""),"Incomplete","Complete")</f>
        <v>Complete</v>
      </c>
      <c r="I24977" s="48" t="s">
        <v>29342</v>
      </c>
    </row>
    <row r="24978" spans="2:9" ht="15" customHeight="1" x14ac:dyDescent="0.25">
      <c r="B24978" s="55" t="s">
        <v>283</v>
      </c>
      <c r="C24978" s="46">
        <v>4966</v>
      </c>
      <c r="D24978" s="69" t="s">
        <v>29420</v>
      </c>
      <c r="E24978" s="51"/>
      <c r="F24978" s="114" t="str">
        <f>IF(INDEX(I.Facility.P4IDNumber,4966)="","",INDEX(I.Facility.P4IDNumber,4966))</f>
        <v/>
      </c>
      <c r="G24978" s="51"/>
      <c r="H24978" s="46" t="str">
        <f>IF(AND(I.Developer.P4=TRUE,I.Facility.P4FacilityCount&gt;=4966,F24978=""),"Incomplete","Complete")</f>
        <v>Complete</v>
      </c>
      <c r="I24978" s="48" t="s">
        <v>29343</v>
      </c>
    </row>
    <row r="24979" spans="2:9" ht="15" customHeight="1" x14ac:dyDescent="0.25">
      <c r="B24979" s="55" t="s">
        <v>283</v>
      </c>
      <c r="C24979" s="46">
        <v>4967</v>
      </c>
      <c r="D24979" s="69" t="s">
        <v>29420</v>
      </c>
      <c r="E24979" s="51"/>
      <c r="F24979" s="114" t="str">
        <f>IF(INDEX(I.Facility.P4IDNumber,4967)="","",INDEX(I.Facility.P4IDNumber,4967))</f>
        <v/>
      </c>
      <c r="G24979" s="51"/>
      <c r="H24979" s="46" t="str">
        <f>IF(AND(I.Developer.P4=TRUE,I.Facility.P4FacilityCount&gt;=4967,F24979=""),"Incomplete","Complete")</f>
        <v>Complete</v>
      </c>
      <c r="I24979" s="48" t="s">
        <v>29344</v>
      </c>
    </row>
    <row r="24980" spans="2:9" ht="15" customHeight="1" x14ac:dyDescent="0.25">
      <c r="B24980" s="55" t="s">
        <v>283</v>
      </c>
      <c r="C24980" s="46">
        <v>4968</v>
      </c>
      <c r="D24980" s="69" t="s">
        <v>29420</v>
      </c>
      <c r="E24980" s="51"/>
      <c r="F24980" s="114" t="str">
        <f>IF(INDEX(I.Facility.P4IDNumber,4968)="","",INDEX(I.Facility.P4IDNumber,4968))</f>
        <v/>
      </c>
      <c r="G24980" s="51"/>
      <c r="H24980" s="46" t="str">
        <f>IF(AND(I.Developer.P4=TRUE,I.Facility.P4FacilityCount&gt;=4968,F24980=""),"Incomplete","Complete")</f>
        <v>Complete</v>
      </c>
      <c r="I24980" s="48" t="s">
        <v>29345</v>
      </c>
    </row>
    <row r="24981" spans="2:9" ht="15" customHeight="1" x14ac:dyDescent="0.25">
      <c r="B24981" s="55" t="s">
        <v>283</v>
      </c>
      <c r="C24981" s="46">
        <v>4969</v>
      </c>
      <c r="D24981" s="69" t="s">
        <v>29420</v>
      </c>
      <c r="E24981" s="51"/>
      <c r="F24981" s="114" t="str">
        <f>IF(INDEX(I.Facility.P4IDNumber,4969)="","",INDEX(I.Facility.P4IDNumber,4969))</f>
        <v/>
      </c>
      <c r="G24981" s="51"/>
      <c r="H24981" s="46" t="str">
        <f>IF(AND(I.Developer.P4=TRUE,I.Facility.P4FacilityCount&gt;=4969,F24981=""),"Incomplete","Complete")</f>
        <v>Complete</v>
      </c>
      <c r="I24981" s="48" t="s">
        <v>29346</v>
      </c>
    </row>
    <row r="24982" spans="2:9" ht="15" customHeight="1" x14ac:dyDescent="0.25">
      <c r="B24982" s="55" t="s">
        <v>283</v>
      </c>
      <c r="C24982" s="46">
        <v>4970</v>
      </c>
      <c r="D24982" s="69" t="s">
        <v>29420</v>
      </c>
      <c r="E24982" s="51"/>
      <c r="F24982" s="114" t="str">
        <f>IF(INDEX(I.Facility.P4IDNumber,4970)="","",INDEX(I.Facility.P4IDNumber,4970))</f>
        <v/>
      </c>
      <c r="G24982" s="51"/>
      <c r="H24982" s="46" t="str">
        <f>IF(AND(I.Developer.P4=TRUE,I.Facility.P4FacilityCount&gt;=4970,F24982=""),"Incomplete","Complete")</f>
        <v>Complete</v>
      </c>
      <c r="I24982" s="48" t="s">
        <v>29347</v>
      </c>
    </row>
    <row r="24983" spans="2:9" ht="15" customHeight="1" x14ac:dyDescent="0.25">
      <c r="B24983" s="55" t="s">
        <v>283</v>
      </c>
      <c r="C24983" s="46">
        <v>4971</v>
      </c>
      <c r="D24983" s="69" t="s">
        <v>29420</v>
      </c>
      <c r="E24983" s="51"/>
      <c r="F24983" s="114" t="str">
        <f>IF(INDEX(I.Facility.P4IDNumber,4971)="","",INDEX(I.Facility.P4IDNumber,4971))</f>
        <v/>
      </c>
      <c r="G24983" s="51"/>
      <c r="H24983" s="46" t="str">
        <f>IF(AND(I.Developer.P4=TRUE,I.Facility.P4FacilityCount&gt;=4971,F24983=""),"Incomplete","Complete")</f>
        <v>Complete</v>
      </c>
      <c r="I24983" s="48" t="s">
        <v>29348</v>
      </c>
    </row>
    <row r="24984" spans="2:9" ht="15" customHeight="1" x14ac:dyDescent="0.25">
      <c r="B24984" s="55" t="s">
        <v>283</v>
      </c>
      <c r="C24984" s="46">
        <v>4972</v>
      </c>
      <c r="D24984" s="69" t="s">
        <v>29420</v>
      </c>
      <c r="E24984" s="51"/>
      <c r="F24984" s="114" t="str">
        <f>IF(INDEX(I.Facility.P4IDNumber,4972)="","",INDEX(I.Facility.P4IDNumber,4972))</f>
        <v/>
      </c>
      <c r="G24984" s="51"/>
      <c r="H24984" s="46" t="str">
        <f>IF(AND(I.Developer.P4=TRUE,I.Facility.P4FacilityCount&gt;=4972,F24984=""),"Incomplete","Complete")</f>
        <v>Complete</v>
      </c>
      <c r="I24984" s="48" t="s">
        <v>29349</v>
      </c>
    </row>
    <row r="24985" spans="2:9" ht="15" customHeight="1" x14ac:dyDescent="0.25">
      <c r="B24985" s="55" t="s">
        <v>283</v>
      </c>
      <c r="C24985" s="46">
        <v>4973</v>
      </c>
      <c r="D24985" s="69" t="s">
        <v>29420</v>
      </c>
      <c r="E24985" s="51"/>
      <c r="F24985" s="114" t="str">
        <f>IF(INDEX(I.Facility.P4IDNumber,4973)="","",INDEX(I.Facility.P4IDNumber,4973))</f>
        <v/>
      </c>
      <c r="G24985" s="51"/>
      <c r="H24985" s="46" t="str">
        <f>IF(AND(I.Developer.P4=TRUE,I.Facility.P4FacilityCount&gt;=4973,F24985=""),"Incomplete","Complete")</f>
        <v>Complete</v>
      </c>
      <c r="I24985" s="48" t="s">
        <v>29350</v>
      </c>
    </row>
    <row r="24986" spans="2:9" ht="15" customHeight="1" x14ac:dyDescent="0.25">
      <c r="B24986" s="55" t="s">
        <v>283</v>
      </c>
      <c r="C24986" s="46">
        <v>4974</v>
      </c>
      <c r="D24986" s="69" t="s">
        <v>29420</v>
      </c>
      <c r="E24986" s="51"/>
      <c r="F24986" s="114" t="str">
        <f>IF(INDEX(I.Facility.P4IDNumber,4974)="","",INDEX(I.Facility.P4IDNumber,4974))</f>
        <v/>
      </c>
      <c r="G24986" s="51"/>
      <c r="H24986" s="46" t="str">
        <f>IF(AND(I.Developer.P4=TRUE,I.Facility.P4FacilityCount&gt;=4974,F24986=""),"Incomplete","Complete")</f>
        <v>Complete</v>
      </c>
      <c r="I24986" s="48" t="s">
        <v>29351</v>
      </c>
    </row>
    <row r="24987" spans="2:9" ht="15" customHeight="1" x14ac:dyDescent="0.25">
      <c r="B24987" s="55" t="s">
        <v>283</v>
      </c>
      <c r="C24987" s="46">
        <v>4975</v>
      </c>
      <c r="D24987" s="69" t="s">
        <v>29420</v>
      </c>
      <c r="E24987" s="51"/>
      <c r="F24987" s="114" t="str">
        <f>IF(INDEX(I.Facility.P4IDNumber,4975)="","",INDEX(I.Facility.P4IDNumber,4975))</f>
        <v/>
      </c>
      <c r="G24987" s="51"/>
      <c r="H24987" s="46" t="str">
        <f>IF(AND(I.Developer.P4=TRUE,I.Facility.P4FacilityCount&gt;=4975,F24987=""),"Incomplete","Complete")</f>
        <v>Complete</v>
      </c>
      <c r="I24987" s="48" t="s">
        <v>29352</v>
      </c>
    </row>
    <row r="24988" spans="2:9" ht="15" customHeight="1" x14ac:dyDescent="0.25">
      <c r="B24988" s="55" t="s">
        <v>283</v>
      </c>
      <c r="C24988" s="46">
        <v>4976</v>
      </c>
      <c r="D24988" s="69" t="s">
        <v>29420</v>
      </c>
      <c r="E24988" s="51"/>
      <c r="F24988" s="114" t="str">
        <f>IF(INDEX(I.Facility.P4IDNumber,4976)="","",INDEX(I.Facility.P4IDNumber,4976))</f>
        <v/>
      </c>
      <c r="G24988" s="51"/>
      <c r="H24988" s="46" t="str">
        <f>IF(AND(I.Developer.P4=TRUE,I.Facility.P4FacilityCount&gt;=4976,F24988=""),"Incomplete","Complete")</f>
        <v>Complete</v>
      </c>
      <c r="I24988" s="48" t="s">
        <v>29353</v>
      </c>
    </row>
    <row r="24989" spans="2:9" ht="15" customHeight="1" x14ac:dyDescent="0.25">
      <c r="B24989" s="55" t="s">
        <v>283</v>
      </c>
      <c r="C24989" s="46">
        <v>4977</v>
      </c>
      <c r="D24989" s="69" t="s">
        <v>29420</v>
      </c>
      <c r="E24989" s="51"/>
      <c r="F24989" s="114" t="str">
        <f>IF(INDEX(I.Facility.P4IDNumber,4977)="","",INDEX(I.Facility.P4IDNumber,4977))</f>
        <v/>
      </c>
      <c r="G24989" s="51"/>
      <c r="H24989" s="46" t="str">
        <f>IF(AND(I.Developer.P4=TRUE,I.Facility.P4FacilityCount&gt;=4977,F24989=""),"Incomplete","Complete")</f>
        <v>Complete</v>
      </c>
      <c r="I24989" s="48" t="s">
        <v>29354</v>
      </c>
    </row>
    <row r="24990" spans="2:9" ht="15" customHeight="1" x14ac:dyDescent="0.25">
      <c r="B24990" s="55" t="s">
        <v>283</v>
      </c>
      <c r="C24990" s="46">
        <v>4978</v>
      </c>
      <c r="D24990" s="69" t="s">
        <v>29420</v>
      </c>
      <c r="E24990" s="51"/>
      <c r="F24990" s="114" t="str">
        <f>IF(INDEX(I.Facility.P4IDNumber,4978)="","",INDEX(I.Facility.P4IDNumber,4978))</f>
        <v/>
      </c>
      <c r="G24990" s="51"/>
      <c r="H24990" s="46" t="str">
        <f>IF(AND(I.Developer.P4=TRUE,I.Facility.P4FacilityCount&gt;=4978,F24990=""),"Incomplete","Complete")</f>
        <v>Complete</v>
      </c>
      <c r="I24990" s="48" t="s">
        <v>29355</v>
      </c>
    </row>
    <row r="24991" spans="2:9" ht="15" customHeight="1" x14ac:dyDescent="0.25">
      <c r="B24991" s="55" t="s">
        <v>283</v>
      </c>
      <c r="C24991" s="46">
        <v>4979</v>
      </c>
      <c r="D24991" s="69" t="s">
        <v>29420</v>
      </c>
      <c r="E24991" s="51"/>
      <c r="F24991" s="114" t="str">
        <f>IF(INDEX(I.Facility.P4IDNumber,4979)="","",INDEX(I.Facility.P4IDNumber,4979))</f>
        <v/>
      </c>
      <c r="G24991" s="51"/>
      <c r="H24991" s="46" t="str">
        <f>IF(AND(I.Developer.P4=TRUE,I.Facility.P4FacilityCount&gt;=4979,F24991=""),"Incomplete","Complete")</f>
        <v>Complete</v>
      </c>
      <c r="I24991" s="48" t="s">
        <v>29356</v>
      </c>
    </row>
    <row r="24992" spans="2:9" ht="15" customHeight="1" x14ac:dyDescent="0.25">
      <c r="B24992" s="55" t="s">
        <v>283</v>
      </c>
      <c r="C24992" s="46">
        <v>4980</v>
      </c>
      <c r="D24992" s="69" t="s">
        <v>29420</v>
      </c>
      <c r="E24992" s="51"/>
      <c r="F24992" s="114" t="str">
        <f>IF(INDEX(I.Facility.P4IDNumber,4980)="","",INDEX(I.Facility.P4IDNumber,4980))</f>
        <v/>
      </c>
      <c r="G24992" s="51"/>
      <c r="H24992" s="46" t="str">
        <f>IF(AND(I.Developer.P4=TRUE,I.Facility.P4FacilityCount&gt;=4980,F24992=""),"Incomplete","Complete")</f>
        <v>Complete</v>
      </c>
      <c r="I24992" s="48" t="s">
        <v>29357</v>
      </c>
    </row>
    <row r="24993" spans="2:9" ht="15" customHeight="1" x14ac:dyDescent="0.25">
      <c r="B24993" s="55" t="s">
        <v>283</v>
      </c>
      <c r="C24993" s="46">
        <v>4981</v>
      </c>
      <c r="D24993" s="69" t="s">
        <v>29420</v>
      </c>
      <c r="E24993" s="51"/>
      <c r="F24993" s="114" t="str">
        <f>IF(INDEX(I.Facility.P4IDNumber,4981)="","",INDEX(I.Facility.P4IDNumber,4981))</f>
        <v/>
      </c>
      <c r="G24993" s="51"/>
      <c r="H24993" s="46" t="str">
        <f>IF(AND(I.Developer.P4=TRUE,I.Facility.P4FacilityCount&gt;=4981,F24993=""),"Incomplete","Complete")</f>
        <v>Complete</v>
      </c>
      <c r="I24993" s="48" t="s">
        <v>29358</v>
      </c>
    </row>
    <row r="24994" spans="2:9" ht="15" customHeight="1" x14ac:dyDescent="0.25">
      <c r="B24994" s="55" t="s">
        <v>283</v>
      </c>
      <c r="C24994" s="46">
        <v>4982</v>
      </c>
      <c r="D24994" s="69" t="s">
        <v>29420</v>
      </c>
      <c r="E24994" s="51"/>
      <c r="F24994" s="114" t="str">
        <f>IF(INDEX(I.Facility.P4IDNumber,4982)="","",INDEX(I.Facility.P4IDNumber,4982))</f>
        <v/>
      </c>
      <c r="G24994" s="51"/>
      <c r="H24994" s="46" t="str">
        <f>IF(AND(I.Developer.P4=TRUE,I.Facility.P4FacilityCount&gt;=4982,F24994=""),"Incomplete","Complete")</f>
        <v>Complete</v>
      </c>
      <c r="I24994" s="48" t="s">
        <v>29359</v>
      </c>
    </row>
    <row r="24995" spans="2:9" ht="15" customHeight="1" x14ac:dyDescent="0.25">
      <c r="B24995" s="55" t="s">
        <v>283</v>
      </c>
      <c r="C24995" s="46">
        <v>4983</v>
      </c>
      <c r="D24995" s="69" t="s">
        <v>29420</v>
      </c>
      <c r="E24995" s="51"/>
      <c r="F24995" s="114" t="str">
        <f>IF(INDEX(I.Facility.P4IDNumber,4983)="","",INDEX(I.Facility.P4IDNumber,4983))</f>
        <v/>
      </c>
      <c r="G24995" s="51"/>
      <c r="H24995" s="46" t="str">
        <f>IF(AND(I.Developer.P4=TRUE,I.Facility.P4FacilityCount&gt;=4983,F24995=""),"Incomplete","Complete")</f>
        <v>Complete</v>
      </c>
      <c r="I24995" s="48" t="s">
        <v>29360</v>
      </c>
    </row>
    <row r="24996" spans="2:9" ht="15" customHeight="1" x14ac:dyDescent="0.25">
      <c r="B24996" s="55" t="s">
        <v>283</v>
      </c>
      <c r="C24996" s="46">
        <v>4984</v>
      </c>
      <c r="D24996" s="69" t="s">
        <v>29420</v>
      </c>
      <c r="E24996" s="51"/>
      <c r="F24996" s="114" t="str">
        <f>IF(INDEX(I.Facility.P4IDNumber,4984)="","",INDEX(I.Facility.P4IDNumber,4984))</f>
        <v/>
      </c>
      <c r="G24996" s="51"/>
      <c r="H24996" s="46" t="str">
        <f>IF(AND(I.Developer.P4=TRUE,I.Facility.P4FacilityCount&gt;=4984,F24996=""),"Incomplete","Complete")</f>
        <v>Complete</v>
      </c>
      <c r="I24996" s="48" t="s">
        <v>29361</v>
      </c>
    </row>
    <row r="24997" spans="2:9" ht="15" customHeight="1" x14ac:dyDescent="0.25">
      <c r="B24997" s="55" t="s">
        <v>283</v>
      </c>
      <c r="C24997" s="46">
        <v>4985</v>
      </c>
      <c r="D24997" s="69" t="s">
        <v>29420</v>
      </c>
      <c r="E24997" s="51"/>
      <c r="F24997" s="114" t="str">
        <f>IF(INDEX(I.Facility.P4IDNumber,4985)="","",INDEX(I.Facility.P4IDNumber,4985))</f>
        <v/>
      </c>
      <c r="G24997" s="51"/>
      <c r="H24997" s="46" t="str">
        <f>IF(AND(I.Developer.P4=TRUE,I.Facility.P4FacilityCount&gt;=4985,F24997=""),"Incomplete","Complete")</f>
        <v>Complete</v>
      </c>
      <c r="I24997" s="48" t="s">
        <v>29362</v>
      </c>
    </row>
    <row r="24998" spans="2:9" ht="15" customHeight="1" x14ac:dyDescent="0.25">
      <c r="B24998" s="55" t="s">
        <v>283</v>
      </c>
      <c r="C24998" s="46">
        <v>4986</v>
      </c>
      <c r="D24998" s="69" t="s">
        <v>29420</v>
      </c>
      <c r="E24998" s="51"/>
      <c r="F24998" s="114" t="str">
        <f>IF(INDEX(I.Facility.P4IDNumber,4986)="","",INDEX(I.Facility.P4IDNumber,4986))</f>
        <v/>
      </c>
      <c r="G24998" s="51"/>
      <c r="H24998" s="46" t="str">
        <f>IF(AND(I.Developer.P4=TRUE,I.Facility.P4FacilityCount&gt;=4986,F24998=""),"Incomplete","Complete")</f>
        <v>Complete</v>
      </c>
      <c r="I24998" s="48" t="s">
        <v>29363</v>
      </c>
    </row>
    <row r="24999" spans="2:9" ht="15" customHeight="1" x14ac:dyDescent="0.25">
      <c r="B24999" s="55" t="s">
        <v>283</v>
      </c>
      <c r="C24999" s="46">
        <v>4987</v>
      </c>
      <c r="D24999" s="69" t="s">
        <v>29420</v>
      </c>
      <c r="E24999" s="51"/>
      <c r="F24999" s="114" t="str">
        <f>IF(INDEX(I.Facility.P4IDNumber,4987)="","",INDEX(I.Facility.P4IDNumber,4987))</f>
        <v/>
      </c>
      <c r="G24999" s="51"/>
      <c r="H24999" s="46" t="str">
        <f>IF(AND(I.Developer.P4=TRUE,I.Facility.P4FacilityCount&gt;=4987,F24999=""),"Incomplete","Complete")</f>
        <v>Complete</v>
      </c>
      <c r="I24999" s="48" t="s">
        <v>29364</v>
      </c>
    </row>
    <row r="25000" spans="2:9" ht="15" customHeight="1" x14ac:dyDescent="0.25">
      <c r="B25000" s="55" t="s">
        <v>283</v>
      </c>
      <c r="C25000" s="46">
        <v>4988</v>
      </c>
      <c r="D25000" s="69" t="s">
        <v>29420</v>
      </c>
      <c r="E25000" s="51"/>
      <c r="F25000" s="114" t="str">
        <f>IF(INDEX(I.Facility.P4IDNumber,4988)="","",INDEX(I.Facility.P4IDNumber,4988))</f>
        <v/>
      </c>
      <c r="G25000" s="51"/>
      <c r="H25000" s="46" t="str">
        <f>IF(AND(I.Developer.P4=TRUE,I.Facility.P4FacilityCount&gt;=4988,F25000=""),"Incomplete","Complete")</f>
        <v>Complete</v>
      </c>
      <c r="I25000" s="48" t="s">
        <v>29365</v>
      </c>
    </row>
    <row r="25001" spans="2:9" ht="15" customHeight="1" x14ac:dyDescent="0.25">
      <c r="B25001" s="55" t="s">
        <v>283</v>
      </c>
      <c r="C25001" s="46">
        <v>4989</v>
      </c>
      <c r="D25001" s="69" t="s">
        <v>29420</v>
      </c>
      <c r="E25001" s="51"/>
      <c r="F25001" s="114" t="str">
        <f>IF(INDEX(I.Facility.P4IDNumber,4989)="","",INDEX(I.Facility.P4IDNumber,4989))</f>
        <v/>
      </c>
      <c r="G25001" s="51"/>
      <c r="H25001" s="46" t="str">
        <f>IF(AND(I.Developer.P4=TRUE,I.Facility.P4FacilityCount&gt;=4989,F25001=""),"Incomplete","Complete")</f>
        <v>Complete</v>
      </c>
      <c r="I25001" s="48" t="s">
        <v>29366</v>
      </c>
    </row>
    <row r="25002" spans="2:9" ht="15" customHeight="1" x14ac:dyDescent="0.25">
      <c r="B25002" s="55" t="s">
        <v>283</v>
      </c>
      <c r="C25002" s="46">
        <v>4990</v>
      </c>
      <c r="D25002" s="69" t="s">
        <v>29420</v>
      </c>
      <c r="E25002" s="51"/>
      <c r="F25002" s="114" t="str">
        <f>IF(INDEX(I.Facility.P4IDNumber,4990)="","",INDEX(I.Facility.P4IDNumber,4990))</f>
        <v/>
      </c>
      <c r="G25002" s="51"/>
      <c r="H25002" s="46" t="str">
        <f>IF(AND(I.Developer.P4=TRUE,I.Facility.P4FacilityCount&gt;=4990,F25002=""),"Incomplete","Complete")</f>
        <v>Complete</v>
      </c>
      <c r="I25002" s="48" t="s">
        <v>29367</v>
      </c>
    </row>
    <row r="25003" spans="2:9" ht="15" customHeight="1" x14ac:dyDescent="0.25">
      <c r="B25003" s="55" t="s">
        <v>283</v>
      </c>
      <c r="C25003" s="46">
        <v>4991</v>
      </c>
      <c r="D25003" s="69" t="s">
        <v>29420</v>
      </c>
      <c r="E25003" s="51"/>
      <c r="F25003" s="114" t="str">
        <f>IF(INDEX(I.Facility.P4IDNumber,4991)="","",INDEX(I.Facility.P4IDNumber,4991))</f>
        <v/>
      </c>
      <c r="G25003" s="51"/>
      <c r="H25003" s="46" t="str">
        <f>IF(AND(I.Developer.P4=TRUE,I.Facility.P4FacilityCount&gt;=4991,F25003=""),"Incomplete","Complete")</f>
        <v>Complete</v>
      </c>
      <c r="I25003" s="48" t="s">
        <v>29368</v>
      </c>
    </row>
    <row r="25004" spans="2:9" ht="15" customHeight="1" x14ac:dyDescent="0.25">
      <c r="B25004" s="55" t="s">
        <v>283</v>
      </c>
      <c r="C25004" s="46">
        <v>4992</v>
      </c>
      <c r="D25004" s="69" t="s">
        <v>29420</v>
      </c>
      <c r="E25004" s="51"/>
      <c r="F25004" s="114" t="str">
        <f>IF(INDEX(I.Facility.P4IDNumber,4992)="","",INDEX(I.Facility.P4IDNumber,4992))</f>
        <v/>
      </c>
      <c r="G25004" s="51"/>
      <c r="H25004" s="46" t="str">
        <f>IF(AND(I.Developer.P4=TRUE,I.Facility.P4FacilityCount&gt;=4992,F25004=""),"Incomplete","Complete")</f>
        <v>Complete</v>
      </c>
      <c r="I25004" s="48" t="s">
        <v>29369</v>
      </c>
    </row>
    <row r="25005" spans="2:9" ht="15" customHeight="1" x14ac:dyDescent="0.25">
      <c r="B25005" s="55" t="s">
        <v>283</v>
      </c>
      <c r="C25005" s="46">
        <v>4993</v>
      </c>
      <c r="D25005" s="69" t="s">
        <v>29420</v>
      </c>
      <c r="E25005" s="51"/>
      <c r="F25005" s="114" t="str">
        <f>IF(INDEX(I.Facility.P4IDNumber,4993)="","",INDEX(I.Facility.P4IDNumber,4993))</f>
        <v/>
      </c>
      <c r="G25005" s="51"/>
      <c r="H25005" s="46" t="str">
        <f>IF(AND(I.Developer.P4=TRUE,I.Facility.P4FacilityCount&gt;=4993,F25005=""),"Incomplete","Complete")</f>
        <v>Complete</v>
      </c>
      <c r="I25005" s="48" t="s">
        <v>29370</v>
      </c>
    </row>
    <row r="25006" spans="2:9" ht="15" customHeight="1" x14ac:dyDescent="0.25">
      <c r="B25006" s="55" t="s">
        <v>283</v>
      </c>
      <c r="C25006" s="46">
        <v>4994</v>
      </c>
      <c r="D25006" s="69" t="s">
        <v>29420</v>
      </c>
      <c r="E25006" s="51"/>
      <c r="F25006" s="114" t="str">
        <f>IF(INDEX(I.Facility.P4IDNumber,4994)="","",INDEX(I.Facility.P4IDNumber,4994))</f>
        <v/>
      </c>
      <c r="G25006" s="51"/>
      <c r="H25006" s="46" t="str">
        <f>IF(AND(I.Developer.P4=TRUE,I.Facility.P4FacilityCount&gt;=4994,F25006=""),"Incomplete","Complete")</f>
        <v>Complete</v>
      </c>
      <c r="I25006" s="48" t="s">
        <v>29371</v>
      </c>
    </row>
    <row r="25007" spans="2:9" ht="15" customHeight="1" x14ac:dyDescent="0.25">
      <c r="B25007" s="55" t="s">
        <v>283</v>
      </c>
      <c r="C25007" s="46">
        <v>4995</v>
      </c>
      <c r="D25007" s="69" t="s">
        <v>29420</v>
      </c>
      <c r="E25007" s="51"/>
      <c r="F25007" s="114" t="str">
        <f>IF(INDEX(I.Facility.P4IDNumber,4995)="","",INDEX(I.Facility.P4IDNumber,4995))</f>
        <v/>
      </c>
      <c r="G25007" s="51"/>
      <c r="H25007" s="46" t="str">
        <f>IF(AND(I.Developer.P4=TRUE,I.Facility.P4FacilityCount&gt;=4995,F25007=""),"Incomplete","Complete")</f>
        <v>Complete</v>
      </c>
      <c r="I25007" s="48" t="s">
        <v>29372</v>
      </c>
    </row>
    <row r="25008" spans="2:9" ht="15" customHeight="1" x14ac:dyDescent="0.25">
      <c r="B25008" s="55" t="s">
        <v>283</v>
      </c>
      <c r="C25008" s="46">
        <v>4996</v>
      </c>
      <c r="D25008" s="69" t="s">
        <v>29420</v>
      </c>
      <c r="E25008" s="51"/>
      <c r="F25008" s="114" t="str">
        <f>IF(INDEX(I.Facility.P4IDNumber,4996)="","",INDEX(I.Facility.P4IDNumber,4996))</f>
        <v/>
      </c>
      <c r="G25008" s="51"/>
      <c r="H25008" s="46" t="str">
        <f>IF(AND(I.Developer.P4=TRUE,I.Facility.P4FacilityCount&gt;=4996,F25008=""),"Incomplete","Complete")</f>
        <v>Complete</v>
      </c>
      <c r="I25008" s="48" t="s">
        <v>29373</v>
      </c>
    </row>
    <row r="25009" spans="2:9" ht="15" customHeight="1" x14ac:dyDescent="0.25">
      <c r="B25009" s="55" t="s">
        <v>283</v>
      </c>
      <c r="C25009" s="46">
        <v>4997</v>
      </c>
      <c r="D25009" s="69" t="s">
        <v>29420</v>
      </c>
      <c r="E25009" s="51"/>
      <c r="F25009" s="114" t="str">
        <f>IF(INDEX(I.Facility.P4IDNumber,4997)="","",INDEX(I.Facility.P4IDNumber,4997))</f>
        <v/>
      </c>
      <c r="G25009" s="51"/>
      <c r="H25009" s="46" t="str">
        <f>IF(AND(I.Developer.P4=TRUE,I.Facility.P4FacilityCount&gt;=4997,F25009=""),"Incomplete","Complete")</f>
        <v>Complete</v>
      </c>
      <c r="I25009" s="48" t="s">
        <v>29374</v>
      </c>
    </row>
    <row r="25010" spans="2:9" ht="15" customHeight="1" x14ac:dyDescent="0.25">
      <c r="B25010" s="55" t="s">
        <v>283</v>
      </c>
      <c r="C25010" s="46">
        <v>4998</v>
      </c>
      <c r="D25010" s="69" t="s">
        <v>29420</v>
      </c>
      <c r="E25010" s="51"/>
      <c r="F25010" s="114" t="str">
        <f>IF(INDEX(I.Facility.P4IDNumber,4998)="","",INDEX(I.Facility.P4IDNumber,4998))</f>
        <v/>
      </c>
      <c r="G25010" s="51"/>
      <c r="H25010" s="46" t="str">
        <f>IF(AND(I.Developer.P4=TRUE,I.Facility.P4FacilityCount&gt;=4998,F25010=""),"Incomplete","Complete")</f>
        <v>Complete</v>
      </c>
      <c r="I25010" s="48" t="s">
        <v>29375</v>
      </c>
    </row>
    <row r="25011" spans="2:9" ht="15" customHeight="1" x14ac:dyDescent="0.25">
      <c r="B25011" s="55" t="s">
        <v>283</v>
      </c>
      <c r="C25011" s="46">
        <v>4999</v>
      </c>
      <c r="D25011" s="69" t="s">
        <v>29420</v>
      </c>
      <c r="E25011" s="51"/>
      <c r="F25011" s="114" t="str">
        <f>IF(INDEX(I.Facility.P4IDNumber,4999)="","",INDEX(I.Facility.P4IDNumber,4999))</f>
        <v/>
      </c>
      <c r="G25011" s="51"/>
      <c r="H25011" s="46" t="str">
        <f>IF(AND(I.Developer.P4=TRUE,I.Facility.P4FacilityCount&gt;=4999,F25011=""),"Incomplete","Complete")</f>
        <v>Complete</v>
      </c>
      <c r="I25011" s="48" t="s">
        <v>29376</v>
      </c>
    </row>
    <row r="25012" spans="2:9" ht="15" customHeight="1" x14ac:dyDescent="0.25">
      <c r="B25012" s="56" t="s">
        <v>283</v>
      </c>
      <c r="C25012" s="57">
        <v>5000</v>
      </c>
      <c r="D25012" s="71" t="s">
        <v>29420</v>
      </c>
      <c r="E25012" s="58"/>
      <c r="F25012" s="115" t="str">
        <f>IF(INDEX(I.Facility.P4IDNumber,5000)="","",INDEX(I.Facility.P4IDNumber,5000))</f>
        <v/>
      </c>
      <c r="G25012" s="58"/>
      <c r="H25012" s="57" t="str">
        <f>IF(AND(I.Developer.P4=TRUE,I.Facility.P4FacilityCount&gt;=5000,F25012=""),"Incomplete","Complete")</f>
        <v>Complete</v>
      </c>
      <c r="I25012" s="49" t="s">
        <v>29377</v>
      </c>
    </row>
    <row r="25013" spans="2:9" ht="15" customHeight="1" x14ac:dyDescent="0.25">
      <c r="B25013" s="55"/>
      <c r="D25013" s="72"/>
      <c r="E25013" s="114"/>
      <c r="F25013" s="114"/>
      <c r="G25013" s="114"/>
      <c r="H25013" s="46" t="str">
        <f>IF(AND(I.Developer.P1=TRUE,I.Developer.P1C1=FALSE,I.Developer.P1C2=FALSE,I.Developer.P1C3=FALSE,I.Developer.P1C4=FALSE),"Incomplete","Complete")</f>
        <v>Complete</v>
      </c>
      <c r="I25013" s="48" t="s">
        <v>29378</v>
      </c>
    </row>
    <row r="25014" spans="2:9" ht="15" customHeight="1" x14ac:dyDescent="0.25">
      <c r="B25014" s="55" t="s">
        <v>284</v>
      </c>
      <c r="C25014" s="46">
        <v>1</v>
      </c>
      <c r="D25014" s="69" t="s">
        <v>29421</v>
      </c>
      <c r="E25014" s="59"/>
      <c r="F25014" s="59" t="str">
        <f>IF(INDEX(I.Product.P1BaselineYear,1)="","",INDEX(I.Product.P1BaselineYear,1))</f>
        <v/>
      </c>
      <c r="G25014" s="59"/>
      <c r="H25014" s="46" t="str">
        <f>IF(AND(I.Developer.P1=TRUE,I.Product.P1BaselineYear=""),"Incomplete","Complete")</f>
        <v>Complete</v>
      </c>
      <c r="I25014" s="48" t="s">
        <v>29379</v>
      </c>
    </row>
    <row r="25015" spans="2:9" ht="15" customHeight="1" x14ac:dyDescent="0.25">
      <c r="B25015" s="55" t="s">
        <v>285</v>
      </c>
      <c r="C25015" s="46">
        <v>1</v>
      </c>
      <c r="D25015" s="69" t="s">
        <v>29422</v>
      </c>
      <c r="E25015" s="51"/>
      <c r="F25015" s="114" t="str">
        <f>IF(INDEX(I.Product.P1Electricity,1)="","",INDEX(I.Product.P1Electricity,1))</f>
        <v/>
      </c>
      <c r="G25015" s="51"/>
      <c r="H25015" s="46" t="str">
        <f>IF(AND(I.Developer.P1=TRUE,I.Product.P1Electricity=""),"Incomplete","Complete")</f>
        <v>Complete</v>
      </c>
      <c r="I25015" s="48" t="s">
        <v>4353</v>
      </c>
    </row>
    <row r="25016" spans="2:9" ht="15" customHeight="1" x14ac:dyDescent="0.25">
      <c r="B25016" s="55" t="s">
        <v>286</v>
      </c>
      <c r="C25016" s="46">
        <v>1</v>
      </c>
      <c r="D25016" s="69" t="s">
        <v>29423</v>
      </c>
      <c r="E25016" s="51"/>
      <c r="F25016" s="114" t="str">
        <f>IF(INDEX(I.Product.P1GasToPower,1)="","",INDEX(I.Product.P1GasToPower,1))</f>
        <v/>
      </c>
      <c r="G25016" s="51"/>
      <c r="H25016" s="46" t="str">
        <f>IF(AND(I.Developer.P1=TRUE,I.Product.P1GasToPower=""),"Incomplete","Complete")</f>
        <v>Complete</v>
      </c>
      <c r="I25016" s="48" t="s">
        <v>29380</v>
      </c>
    </row>
    <row r="25017" spans="2:9" ht="15" customHeight="1" x14ac:dyDescent="0.25">
      <c r="B25017" s="55" t="s">
        <v>287</v>
      </c>
      <c r="C25017" s="46">
        <v>1</v>
      </c>
      <c r="D25017" s="69" t="s">
        <v>29424</v>
      </c>
      <c r="E25017" s="51"/>
      <c r="F25017" s="114" t="str">
        <f>IF(INDEX(I.Product.P1GasToPowerStatus,1)="","",INDEX(I.Product.P1GasToPowerStatus,1))</f>
        <v/>
      </c>
      <c r="G25017" s="51"/>
      <c r="H25017" s="46" t="str">
        <f>IF(AND(I.Developer.P1=TRUE,I.Product.P1GasToPower="Yes",I.Product.P1GasToPowerStatus=""),"Incomplete","Complete")</f>
        <v>Complete</v>
      </c>
      <c r="I25017" s="48" t="s">
        <v>4354</v>
      </c>
    </row>
    <row r="25018" spans="2:9" ht="15" customHeight="1" x14ac:dyDescent="0.25">
      <c r="B25018" s="56" t="s">
        <v>288</v>
      </c>
      <c r="C25018" s="57">
        <v>1</v>
      </c>
      <c r="D25018" s="71" t="s">
        <v>29425</v>
      </c>
      <c r="E25018" s="60"/>
      <c r="F25018" s="60" t="str">
        <f>IF(INDEX(I.Product.P1GasToPowerBaselineYear,1)="","",INDEX(I.Product.P1GasToPowerBaselineYear,1))</f>
        <v/>
      </c>
      <c r="G25018" s="60"/>
      <c r="H25018" s="57" t="str">
        <f>IF(AND(I.Developer.P1=TRUE,I.Product.P1GasToPowerStatus="Yes",I.Product.P1GasToPowerBaselineYear=""),"Incomplete","Complete")</f>
        <v>Complete</v>
      </c>
      <c r="I25018" s="49" t="s">
        <v>29381</v>
      </c>
    </row>
    <row r="25019" spans="2:9" ht="15" customHeight="1" x14ac:dyDescent="0.25">
      <c r="B25019" s="55"/>
      <c r="D25019" s="72"/>
      <c r="E25019" s="114"/>
      <c r="F25019" s="114"/>
      <c r="G25019" s="114"/>
      <c r="H25019" s="46" t="str">
        <f>IF(AND(I.Developer.P2a=TRUE,I.Developer.P2aC1=FALSE,I.Developer.P2aC2=FALSE,I.Developer.P2aC3=FALSE,I.Developer.P2aC4=FALSE),"Incomplete","Complete")</f>
        <v>Complete</v>
      </c>
      <c r="I25019" s="48" t="s">
        <v>29382</v>
      </c>
    </row>
    <row r="25020" spans="2:9" ht="15" customHeight="1" x14ac:dyDescent="0.25">
      <c r="B25020" s="55" t="s">
        <v>289</v>
      </c>
      <c r="C25020" s="46">
        <v>1</v>
      </c>
      <c r="D25020" s="69" t="s">
        <v>29426</v>
      </c>
      <c r="E25020" s="59"/>
      <c r="F25020" s="59" t="str">
        <f>IF(INDEX(I.Product.P2aBaselineYear,1)="","",INDEX(I.Product.P2aBaselineYear,1))</f>
        <v/>
      </c>
      <c r="G25020" s="59"/>
      <c r="H25020" s="46" t="str">
        <f>IF(AND(I.Developer.P2a=TRUE,I.Product.P2aBaselineYear=""),"Incomplete","Complete")</f>
        <v>Complete</v>
      </c>
      <c r="I25020" s="48" t="s">
        <v>29383</v>
      </c>
    </row>
    <row r="25021" spans="2:9" ht="15" customHeight="1" x14ac:dyDescent="0.25">
      <c r="B25021" s="55" t="s">
        <v>290</v>
      </c>
      <c r="C25021" s="46">
        <v>1</v>
      </c>
      <c r="D25021" s="69" t="s">
        <v>29427</v>
      </c>
      <c r="E25021" s="51"/>
      <c r="F25021" s="114" t="str">
        <f>IF(INDEX(I.Product.P2aElectricity,1)="","",INDEX(I.Product.P2aElectricity,1))</f>
        <v/>
      </c>
      <c r="G25021" s="51"/>
      <c r="H25021" s="46" t="str">
        <f>IF(AND(I.Developer.P2a=TRUE,I.Product.P2aElectricity=""),"Incomplete","Complete")</f>
        <v>Complete</v>
      </c>
      <c r="I25021" s="48" t="s">
        <v>4355</v>
      </c>
    </row>
    <row r="25022" spans="2:9" ht="15" customHeight="1" x14ac:dyDescent="0.25">
      <c r="B25022" s="55" t="s">
        <v>291</v>
      </c>
      <c r="C25022" s="46">
        <v>1</v>
      </c>
      <c r="D25022" s="69" t="s">
        <v>29428</v>
      </c>
      <c r="E25022" s="51"/>
      <c r="F25022" s="114" t="str">
        <f>IF(INDEX(I.Product.P2aGasToPower,1)="","",INDEX(I.Product.P2aGasToPower,1))</f>
        <v/>
      </c>
      <c r="G25022" s="51"/>
      <c r="H25022" s="46" t="str">
        <f>IF(AND(I.Developer.P2a=TRUE,I.Product.P2aGasToPower=""),"Incomplete","Complete")</f>
        <v>Complete</v>
      </c>
      <c r="I25022" s="48" t="s">
        <v>29384</v>
      </c>
    </row>
    <row r="25023" spans="2:9" ht="15" customHeight="1" x14ac:dyDescent="0.25">
      <c r="B25023" s="55" t="s">
        <v>292</v>
      </c>
      <c r="C25023" s="46">
        <v>1</v>
      </c>
      <c r="D25023" s="69" t="s">
        <v>29429</v>
      </c>
      <c r="E25023" s="51"/>
      <c r="F25023" s="114" t="str">
        <f>IF(INDEX(I.Product.P2aGasToPowerStatus,1)="","",INDEX(I.Product.P2aGasToPowerStatus,1))</f>
        <v/>
      </c>
      <c r="G25023" s="51"/>
      <c r="H25023" s="46" t="str">
        <f>IF(AND(I.Developer.P2a=TRUE,I.Product.P2aGasToPower="Yes",I.Product.P2aGasToPowerStatus=""),"Incomplete","Complete")</f>
        <v>Complete</v>
      </c>
      <c r="I25023" s="48" t="s">
        <v>4356</v>
      </c>
    </row>
    <row r="25024" spans="2:9" ht="15" customHeight="1" x14ac:dyDescent="0.25">
      <c r="B25024" s="56" t="s">
        <v>293</v>
      </c>
      <c r="C25024" s="57">
        <v>1</v>
      </c>
      <c r="D25024" s="71" t="s">
        <v>29430</v>
      </c>
      <c r="E25024" s="60"/>
      <c r="F25024" s="60" t="str">
        <f>IF(INDEX(I.Product.P2aGasToPowerBaselineYear,1)="","",INDEX(I.Product.P2aGasToPowerBaselineYear,1))</f>
        <v/>
      </c>
      <c r="G25024" s="60"/>
      <c r="H25024" s="57" t="str">
        <f>IF(AND(I.Developer.P2a=TRUE,I.Product.P2aGasToPowerStatus="Yes",I.Product.P2aGasToPowerBaselineYear=""),"Incomplete","Complete")</f>
        <v>Complete</v>
      </c>
      <c r="I25024" s="49" t="s">
        <v>29385</v>
      </c>
    </row>
    <row r="25025" spans="2:9" ht="15" customHeight="1" x14ac:dyDescent="0.25">
      <c r="B25025" s="55"/>
      <c r="D25025" s="72"/>
      <c r="E25025" s="114"/>
      <c r="F25025" s="114"/>
      <c r="G25025" s="114"/>
      <c r="H25025" s="46" t="str">
        <f>IF(AND(I.Developer.P2b=TRUE,I.Developer.P2bC1=FALSE,I.Developer.P2bC2=FALSE,I.Developer.P2bC3=FALSE,I.Developer.P2bC4=FALSE),"Incomplete","Complete")</f>
        <v>Complete</v>
      </c>
      <c r="I25025" s="48" t="s">
        <v>29386</v>
      </c>
    </row>
    <row r="25026" spans="2:9" ht="15" customHeight="1" x14ac:dyDescent="0.25">
      <c r="B25026" s="55" t="s">
        <v>294</v>
      </c>
      <c r="C25026" s="46">
        <v>1</v>
      </c>
      <c r="D25026" s="69" t="s">
        <v>29431</v>
      </c>
      <c r="E25026" s="59"/>
      <c r="F25026" s="59" t="str">
        <f>IF(INDEX(I.Product.P2bBaselineYear,1)="","",INDEX(I.Product.P2bBaselineYear,1))</f>
        <v/>
      </c>
      <c r="G25026" s="59"/>
      <c r="H25026" s="46" t="str">
        <f>IF(AND(I.Developer.P2b=TRUE,I.Product.P2bBaselineYear=""),"Incomplete","Complete")</f>
        <v>Complete</v>
      </c>
      <c r="I25026" s="48" t="s">
        <v>29387</v>
      </c>
    </row>
    <row r="25027" spans="2:9" ht="15" customHeight="1" x14ac:dyDescent="0.25">
      <c r="B25027" s="55" t="s">
        <v>295</v>
      </c>
      <c r="C25027" s="46">
        <v>1</v>
      </c>
      <c r="D25027" s="69" t="s">
        <v>29432</v>
      </c>
      <c r="E25027" s="51"/>
      <c r="F25027" s="114" t="str">
        <f>IF(INDEX(I.Product.P2bElectricity,1)="","",INDEX(I.Product.P2bElectricity,1))</f>
        <v/>
      </c>
      <c r="G25027" s="51"/>
      <c r="H25027" s="46" t="str">
        <f>IF(AND(I.Developer.P2b=TRUE,I.Product.P2bElectricity=""),"Incomplete","Complete")</f>
        <v>Complete</v>
      </c>
      <c r="I25027" s="48" t="s">
        <v>4357</v>
      </c>
    </row>
    <row r="25028" spans="2:9" ht="15" customHeight="1" x14ac:dyDescent="0.25">
      <c r="B25028" s="55" t="s">
        <v>296</v>
      </c>
      <c r="C25028" s="46">
        <v>1</v>
      </c>
      <c r="D25028" s="69" t="s">
        <v>29433</v>
      </c>
      <c r="E25028" s="51"/>
      <c r="F25028" s="114" t="str">
        <f>IF(INDEX(I.Product.P2bGasToPower,1)="","",INDEX(I.Product.P2bGasToPower,1))</f>
        <v/>
      </c>
      <c r="G25028" s="51"/>
      <c r="H25028" s="46" t="str">
        <f>IF(AND(I.Developer.P2b=TRUE,I.Product.P2bGasToPower=""),"Incomplete","Complete")</f>
        <v>Complete</v>
      </c>
      <c r="I25028" s="48" t="s">
        <v>29388</v>
      </c>
    </row>
    <row r="25029" spans="2:9" ht="15" customHeight="1" x14ac:dyDescent="0.25">
      <c r="B25029" s="55" t="s">
        <v>297</v>
      </c>
      <c r="C25029" s="46">
        <v>1</v>
      </c>
      <c r="D25029" s="69" t="s">
        <v>29434</v>
      </c>
      <c r="E25029" s="51"/>
      <c r="F25029" s="114" t="str">
        <f>IF(INDEX(I.Product.P2bGasToPowerStatus,1)="","",INDEX(I.Product.P2bGasToPowerStatus,1))</f>
        <v/>
      </c>
      <c r="G25029" s="51"/>
      <c r="H25029" s="46" t="str">
        <f>IF(AND(I.Developer.P2b=TRUE,I.Product.P2bGasToPower="Yes",I.Product.P2bGasToPowerStatus=""),"Incomplete","Complete")</f>
        <v>Complete</v>
      </c>
      <c r="I25029" s="48" t="s">
        <v>4358</v>
      </c>
    </row>
    <row r="25030" spans="2:9" ht="15" customHeight="1" x14ac:dyDescent="0.25">
      <c r="B25030" s="56" t="s">
        <v>298</v>
      </c>
      <c r="C25030" s="57">
        <v>1</v>
      </c>
      <c r="D25030" s="71" t="s">
        <v>29435</v>
      </c>
      <c r="E25030" s="60"/>
      <c r="F25030" s="60" t="str">
        <f>IF(INDEX(I.Product.P2bGasToPowerBaselineYear,1)="","",INDEX(I.Product.P2bGasToPowerBaselineYear,1))</f>
        <v/>
      </c>
      <c r="G25030" s="60"/>
      <c r="H25030" s="57" t="str">
        <f>IF(AND(I.Developer.P2b=TRUE,I.Product.P2bGasToPowerStatus="Yes",I.Product.P2bGasToPowerBaselineYear=""),"Incomplete","Complete")</f>
        <v>Complete</v>
      </c>
      <c r="I25030" s="49" t="s">
        <v>29389</v>
      </c>
    </row>
    <row r="25031" spans="2:9" ht="15" customHeight="1" x14ac:dyDescent="0.25">
      <c r="B25031" s="55"/>
      <c r="D25031" s="72"/>
      <c r="E25031" s="114"/>
      <c r="F25031" s="114"/>
      <c r="G25031" s="114"/>
      <c r="H25031" s="46" t="str">
        <f>IF(AND(I.Developer.P3=TRUE,I.Developer.P3C1=FALSE,I.Developer.P3C2=FALSE,I.Developer.P3C3=FALSE,I.Developer.P3C4=FALSE),"Incomplete","Complete")</f>
        <v>Complete</v>
      </c>
      <c r="I25031" s="48" t="s">
        <v>29390</v>
      </c>
    </row>
    <row r="25032" spans="2:9" ht="15" customHeight="1" x14ac:dyDescent="0.25">
      <c r="B25032" s="55" t="s">
        <v>299</v>
      </c>
      <c r="C25032" s="46">
        <v>1</v>
      </c>
      <c r="D25032" s="69" t="s">
        <v>29436</v>
      </c>
      <c r="E25032" s="59"/>
      <c r="F25032" s="59" t="str">
        <f>IF(INDEX(I.Product.P3BaselineYear,1)="","",INDEX(I.Product.P3BaselineYear,1))</f>
        <v/>
      </c>
      <c r="G25032" s="59"/>
      <c r="H25032" s="46" t="str">
        <f>IF(AND(I.Developer.P3=TRUE,I.Product.P3BaselineYear=""),"Incomplete","Complete")</f>
        <v>Complete</v>
      </c>
      <c r="I25032" s="48" t="s">
        <v>29391</v>
      </c>
    </row>
    <row r="25033" spans="2:9" ht="15" customHeight="1" x14ac:dyDescent="0.25">
      <c r="B25033" s="55" t="s">
        <v>300</v>
      </c>
      <c r="C25033" s="46">
        <v>1</v>
      </c>
      <c r="D25033" s="69" t="s">
        <v>29437</v>
      </c>
      <c r="E25033" s="51"/>
      <c r="F25033" s="114" t="str">
        <f>IF(INDEX(I.Product.P3Electricity,1)="","",INDEX(I.Product.P3Electricity,1))</f>
        <v/>
      </c>
      <c r="G25033" s="51"/>
      <c r="H25033" s="46" t="str">
        <f>IF(AND(I.Developer.P3=TRUE,I.Product.P3Electricity=""),"Incomplete","Complete")</f>
        <v>Complete</v>
      </c>
      <c r="I25033" s="48" t="s">
        <v>4359</v>
      </c>
    </row>
    <row r="25034" spans="2:9" ht="15" customHeight="1" x14ac:dyDescent="0.25">
      <c r="B25034" s="55" t="s">
        <v>301</v>
      </c>
      <c r="C25034" s="46">
        <v>1</v>
      </c>
      <c r="D25034" s="69" t="s">
        <v>29438</v>
      </c>
      <c r="E25034" s="51"/>
      <c r="F25034" s="114" t="str">
        <f>IF(INDEX(I.Product.P3GasToPower,1)="","",INDEX(I.Product.P3GasToPower,1))</f>
        <v/>
      </c>
      <c r="G25034" s="51"/>
      <c r="H25034" s="46" t="str">
        <f>IF(AND(I.Developer.P3=TRUE,I.Product.P3GasToPower=""),"Incomplete","Complete")</f>
        <v>Complete</v>
      </c>
      <c r="I25034" s="48" t="s">
        <v>29392</v>
      </c>
    </row>
    <row r="25035" spans="2:9" ht="15" customHeight="1" x14ac:dyDescent="0.25">
      <c r="B25035" s="55" t="s">
        <v>302</v>
      </c>
      <c r="C25035" s="46">
        <v>1</v>
      </c>
      <c r="D25035" s="69" t="s">
        <v>29439</v>
      </c>
      <c r="E25035" s="51"/>
      <c r="F25035" s="114" t="str">
        <f>IF(INDEX(I.Product.P3GasToPowerStatus,1)="","",INDEX(I.Product.P3GasToPowerStatus,1))</f>
        <v/>
      </c>
      <c r="G25035" s="51"/>
      <c r="H25035" s="46" t="str">
        <f>IF(AND(I.Developer.P3=TRUE,I.Product.P3GasToPower="Yes",I.Product.P3GasToPowerStatus=""),"Incomplete","Complete")</f>
        <v>Complete</v>
      </c>
      <c r="I25035" s="48" t="s">
        <v>4360</v>
      </c>
    </row>
    <row r="25036" spans="2:9" ht="15" customHeight="1" x14ac:dyDescent="0.25">
      <c r="B25036" s="56" t="s">
        <v>303</v>
      </c>
      <c r="C25036" s="57">
        <v>1</v>
      </c>
      <c r="D25036" s="71" t="s">
        <v>29440</v>
      </c>
      <c r="E25036" s="60"/>
      <c r="F25036" s="60" t="str">
        <f>IF(INDEX(I.Product.P3GasToPowerBaselineYear,1)="","",INDEX(I.Product.P3GasToPowerBaselineYear,1))</f>
        <v/>
      </c>
      <c r="G25036" s="60"/>
      <c r="H25036" s="57" t="str">
        <f>IF(AND(I.Developer.P3=TRUE,I.Product.P3GasToPowerStatus="Yes",I.Product.P3GasToPowerBaselineYear=""),"Incomplete","Complete")</f>
        <v>Complete</v>
      </c>
      <c r="I25036" s="49" t="s">
        <v>29393</v>
      </c>
    </row>
    <row r="25037" spans="2:9" ht="15" customHeight="1" x14ac:dyDescent="0.25">
      <c r="B25037" s="55"/>
      <c r="D25037" s="72"/>
      <c r="E25037" s="114"/>
      <c r="F25037" s="114"/>
      <c r="G25037" s="114"/>
      <c r="H25037" s="46" t="str">
        <f>IF(AND(I.Developer.P4=TRUE,I.Developer.P4C1=FALSE,I.Developer.P4C2=FALSE,I.Developer.P4C3=FALSE,I.Developer.P4C4=FALSE),"Incomplete","Complete")</f>
        <v>Complete</v>
      </c>
      <c r="I25037" s="48" t="s">
        <v>29394</v>
      </c>
    </row>
    <row r="25038" spans="2:9" ht="15" customHeight="1" x14ac:dyDescent="0.25">
      <c r="B25038" s="55" t="s">
        <v>304</v>
      </c>
      <c r="C25038" s="46">
        <v>1</v>
      </c>
      <c r="D25038" s="69" t="s">
        <v>29441</v>
      </c>
      <c r="E25038" s="59"/>
      <c r="F25038" s="59" t="str">
        <f>IF(INDEX(I.Product.P4BaselineYear,1)="","",INDEX(I.Product.P4BaselineYear,1))</f>
        <v/>
      </c>
      <c r="G25038" s="59"/>
      <c r="H25038" s="46" t="str">
        <f>IF(AND(I.Developer.P4=TRUE,I.Product.P4BaselineYear=""),"Incomplete","Complete")</f>
        <v>Complete</v>
      </c>
      <c r="I25038" s="48" t="s">
        <v>29395</v>
      </c>
    </row>
    <row r="25039" spans="2:9" ht="15" customHeight="1" x14ac:dyDescent="0.25">
      <c r="B25039" s="55" t="s">
        <v>305</v>
      </c>
      <c r="C25039" s="46">
        <v>1</v>
      </c>
      <c r="D25039" s="69" t="s">
        <v>29442</v>
      </c>
      <c r="E25039" s="51"/>
      <c r="F25039" s="114" t="str">
        <f>IF(INDEX(I.Product.P4Electricity,1)="","",INDEX(I.Product.P4Electricity,1))</f>
        <v/>
      </c>
      <c r="G25039" s="51"/>
      <c r="H25039" s="46" t="str">
        <f>IF(AND(I.Developer.P4=TRUE,I.Product.P4Electricity=""),"Incomplete","Complete")</f>
        <v>Complete</v>
      </c>
      <c r="I25039" s="48" t="s">
        <v>4361</v>
      </c>
    </row>
    <row r="25040" spans="2:9" ht="15" customHeight="1" x14ac:dyDescent="0.25">
      <c r="B25040" s="55" t="s">
        <v>306</v>
      </c>
      <c r="C25040" s="46">
        <v>1</v>
      </c>
      <c r="D25040" s="69" t="s">
        <v>29443</v>
      </c>
      <c r="E25040" s="51"/>
      <c r="F25040" s="114" t="str">
        <f>IF(INDEX(I.Product.P4GasToPower,1)="","",INDEX(I.Product.P4GasToPower,1))</f>
        <v/>
      </c>
      <c r="G25040" s="51"/>
      <c r="H25040" s="46" t="str">
        <f>IF(AND(I.Developer.P4=TRUE,I.Product.P4GasToPower=""),"Incomplete","Complete")</f>
        <v>Complete</v>
      </c>
      <c r="I25040" s="48" t="s">
        <v>29396</v>
      </c>
    </row>
    <row r="25041" spans="2:9" ht="15" customHeight="1" x14ac:dyDescent="0.25">
      <c r="B25041" s="55" t="s">
        <v>307</v>
      </c>
      <c r="C25041" s="46">
        <v>1</v>
      </c>
      <c r="D25041" s="69" t="s">
        <v>29444</v>
      </c>
      <c r="E25041" s="51"/>
      <c r="F25041" s="114" t="str">
        <f>IF(INDEX(I.Product.P4GasToPowerStatus,1)="","",INDEX(I.Product.P4GasToPowerStatus,1))</f>
        <v/>
      </c>
      <c r="G25041" s="51"/>
      <c r="H25041" s="46" t="str">
        <f>IF(AND(I.Developer.P4=TRUE,I.Product.P4GasToPower="Yes",I.Product.P4GasToPowerStatus=""),"Incomplete","Complete")</f>
        <v>Complete</v>
      </c>
      <c r="I25041" s="48" t="s">
        <v>4362</v>
      </c>
    </row>
    <row r="25042" spans="2:9" ht="15" customHeight="1" x14ac:dyDescent="0.25">
      <c r="B25042" s="56" t="s">
        <v>308</v>
      </c>
      <c r="C25042" s="57">
        <v>1</v>
      </c>
      <c r="D25042" s="71" t="s">
        <v>29445</v>
      </c>
      <c r="E25042" s="60"/>
      <c r="F25042" s="60" t="str">
        <f>IF(INDEX(I.Product.P4GasToPowerBaselineYear,1)="","",INDEX(I.Product.P4GasToPowerBaselineYear,1))</f>
        <v/>
      </c>
      <c r="G25042" s="60"/>
      <c r="H25042" s="57" t="str">
        <f>IF(AND(I.Developer.P4=TRUE,I.Product.P4GasToPowerStatus="Yes",I.Product.P4GasToPowerBaselineYear=""),"Incomplete","Complete")</f>
        <v>Complete</v>
      </c>
      <c r="I25042" s="49" t="s">
        <v>29397</v>
      </c>
    </row>
    <row r="25043" spans="2:9" ht="15" customHeight="1" x14ac:dyDescent="0.25">
      <c r="B25043" s="56" t="s">
        <v>309</v>
      </c>
      <c r="C25043" s="57">
        <v>1</v>
      </c>
      <c r="D25043" s="71" t="s">
        <v>29446</v>
      </c>
      <c r="E25043" s="61"/>
      <c r="F25043" s="61" t="str">
        <f>IF(INDEX(I.Production.P1Quantity,1)="","",INDEX(I.Production.P1Quantity,1))</f>
        <v/>
      </c>
      <c r="G25043" s="61"/>
      <c r="H25043" s="57" t="str">
        <f>IF(AND(I.Developer.P1=TRUE,I.Production.P1Quantity=""),"Incomplete","Complete")</f>
        <v>Complete</v>
      </c>
      <c r="I25043" s="49" t="s">
        <v>29398</v>
      </c>
    </row>
    <row r="25044" spans="2:9" ht="15" customHeight="1" x14ac:dyDescent="0.25">
      <c r="B25044" s="55" t="s">
        <v>310</v>
      </c>
      <c r="C25044" s="46">
        <v>1</v>
      </c>
      <c r="D25044" s="69" t="s">
        <v>29447</v>
      </c>
      <c r="E25044" s="62"/>
      <c r="F25044" s="62" t="str">
        <f>IF(INDEX(I.Production.P1C1,1)="","",INDEX(I.Production.P1C1,1))</f>
        <v/>
      </c>
      <c r="G25044" s="62"/>
      <c r="H25044" s="46" t="str">
        <f>IF(AND(I.Developer.P1=TRUE,I.Developer.P1C1=TRUE,I.Facility.StandardPart="Part 2",F25044=""),"Incomplete","Complete")</f>
        <v>Complete</v>
      </c>
      <c r="I25044" s="48" t="s">
        <v>4119</v>
      </c>
    </row>
    <row r="25045" spans="2:9" ht="15" customHeight="1" x14ac:dyDescent="0.25">
      <c r="B25045" s="55" t="s">
        <v>310</v>
      </c>
      <c r="C25045" s="46">
        <v>2</v>
      </c>
      <c r="D25045" s="69" t="s">
        <v>29447</v>
      </c>
      <c r="E25045" s="62"/>
      <c r="F25045" s="62" t="str">
        <f>IF(INDEX(I.Production.P1C1,2)="","",INDEX(I.Production.P1C1,2))</f>
        <v/>
      </c>
      <c r="G25045" s="62"/>
      <c r="H25045" s="46" t="str">
        <f>IF(AND(I.Developer.P1=TRUE,I.Developer.P1C1=TRUE,I.Developer.P1C1V2=TRUE,I.Facility.StandardPart="Part 2",F25045=""),"Incomplete","Complete")</f>
        <v>Complete</v>
      </c>
      <c r="I25045" s="48" t="s">
        <v>4120</v>
      </c>
    </row>
    <row r="25046" spans="2:9" ht="15" customHeight="1" x14ac:dyDescent="0.25">
      <c r="B25046" s="55" t="s">
        <v>310</v>
      </c>
      <c r="C25046" s="46">
        <v>3</v>
      </c>
      <c r="D25046" s="69" t="s">
        <v>29447</v>
      </c>
      <c r="E25046" s="62"/>
      <c r="F25046" s="62" t="str">
        <f>IF(INDEX(I.Production.P1C1,3)="","",INDEX(I.Production.P1C1,3))</f>
        <v/>
      </c>
      <c r="G25046" s="62"/>
      <c r="H25046" s="46" t="str">
        <f>IF(AND(I.Developer.P1=TRUE,I.Developer.P1C1=TRUE,I.Developer.P1C1V3=TRUE,I.Facility.StandardPart="Part 2",F25046=""),"Incomplete","Complete")</f>
        <v>Complete</v>
      </c>
      <c r="I25046" s="48" t="s">
        <v>4121</v>
      </c>
    </row>
    <row r="25047" spans="2:9" ht="15" customHeight="1" x14ac:dyDescent="0.25">
      <c r="B25047" s="55" t="s">
        <v>310</v>
      </c>
      <c r="C25047" s="46">
        <v>4</v>
      </c>
      <c r="D25047" s="69" t="s">
        <v>29447</v>
      </c>
      <c r="E25047" s="62"/>
      <c r="F25047" s="62" t="str">
        <f>IF(INDEX(I.Production.P1C1,4)="","",INDEX(I.Production.P1C1,4))</f>
        <v/>
      </c>
      <c r="G25047" s="62"/>
      <c r="H25047" s="46" t="str">
        <f>IF(AND(I.Developer.P1=TRUE,I.Developer.P1C1=TRUE,I.Developer.P1C1V4=TRUE,I.Facility.StandardPart="Part 2",F25047=""),"Incomplete","Complete")</f>
        <v>Complete</v>
      </c>
      <c r="I25047" s="48" t="s">
        <v>4122</v>
      </c>
    </row>
    <row r="25048" spans="2:9" ht="15" customHeight="1" x14ac:dyDescent="0.25">
      <c r="B25048" s="55" t="s">
        <v>310</v>
      </c>
      <c r="C25048" s="46">
        <v>5</v>
      </c>
      <c r="D25048" s="69" t="s">
        <v>29447</v>
      </c>
      <c r="E25048" s="62"/>
      <c r="F25048" s="62" t="str">
        <f>IF(INDEX(I.Production.P1C1,5)="","",INDEX(I.Production.P1C1,5))</f>
        <v/>
      </c>
      <c r="G25048" s="62"/>
      <c r="H25048" s="46" t="str">
        <f>IF(AND(I.Developer.P1=TRUE,I.Developer.P1C1=TRUE,I.Developer.P1C1V5=TRUE,I.Facility.StandardPart="Part 2",F25048=""),"Incomplete","Complete")</f>
        <v>Complete</v>
      </c>
      <c r="I25048" s="48" t="s">
        <v>4123</v>
      </c>
    </row>
    <row r="25049" spans="2:9" ht="15" customHeight="1" x14ac:dyDescent="0.25">
      <c r="B25049" s="55" t="s">
        <v>310</v>
      </c>
      <c r="C25049" s="46">
        <v>6</v>
      </c>
      <c r="D25049" s="69" t="s">
        <v>29447</v>
      </c>
      <c r="E25049" s="62"/>
      <c r="F25049" s="62" t="str">
        <f>IF(INDEX(I.Production.P1C1,6)="","",INDEX(I.Production.P1C1,6))</f>
        <v/>
      </c>
      <c r="G25049" s="62"/>
      <c r="H25049" s="46" t="str">
        <f>IF(AND(I.Developer.P1=TRUE,I.Developer.P1C1=TRUE,I.Developer.P1C1V6=TRUE,I.Facility.StandardPart="Part 2",F25049=""),"Incomplete","Complete")</f>
        <v>Complete</v>
      </c>
      <c r="I25049" s="48" t="s">
        <v>4124</v>
      </c>
    </row>
    <row r="25050" spans="2:9" ht="15" customHeight="1" x14ac:dyDescent="0.25">
      <c r="B25050" s="55" t="s">
        <v>310</v>
      </c>
      <c r="C25050" s="46">
        <v>7</v>
      </c>
      <c r="D25050" s="69" t="s">
        <v>29447</v>
      </c>
      <c r="E25050" s="62"/>
      <c r="F25050" s="62" t="str">
        <f>IF(INDEX(I.Production.P1C1,7)="","",INDEX(I.Production.P1C1,7))</f>
        <v/>
      </c>
      <c r="G25050" s="62"/>
      <c r="H25050" s="46" t="str">
        <f>IF(AND(I.Developer.P1=TRUE,I.Developer.P1C1=TRUE,I.Facility.StandardPart="Part 3",F25050=""),"Incomplete","Complete")</f>
        <v>Complete</v>
      </c>
      <c r="I25050" s="48" t="s">
        <v>4125</v>
      </c>
    </row>
    <row r="25051" spans="2:9" ht="15" customHeight="1" x14ac:dyDescent="0.25">
      <c r="B25051" s="55" t="s">
        <v>310</v>
      </c>
      <c r="C25051" s="46">
        <v>8</v>
      </c>
      <c r="D25051" s="69" t="s">
        <v>29447</v>
      </c>
      <c r="E25051" s="62"/>
      <c r="F25051" s="62" t="str">
        <f>IF(INDEX(I.Production.P1C1,8)="","",INDEX(I.Production.P1C1,8))</f>
        <v/>
      </c>
      <c r="G25051" s="62"/>
      <c r="H25051" s="46" t="str">
        <f>IF(AND(I.Developer.P1=TRUE,I.Developer.P1C1=TRUE,I.Facility.StandardPart="Part 3",F25051=""),"Incomplete","Complete")</f>
        <v>Complete</v>
      </c>
      <c r="I25051" s="48" t="s">
        <v>4126</v>
      </c>
    </row>
    <row r="25052" spans="2:9" ht="15" customHeight="1" x14ac:dyDescent="0.25">
      <c r="B25052" s="56" t="s">
        <v>310</v>
      </c>
      <c r="C25052" s="57">
        <v>9</v>
      </c>
      <c r="D25052" s="71" t="s">
        <v>29447</v>
      </c>
      <c r="E25052" s="61"/>
      <c r="F25052" s="61" t="str">
        <f>IF(INDEX(I.Production.P1C1,9)="","",INDEX(I.Production.P1C1,9))</f>
        <v/>
      </c>
      <c r="G25052" s="61"/>
      <c r="H25052" s="57" t="str">
        <f>IF(AND(I.Developer.P1=TRUE,I.Developer.P1C1=TRUE,I.Facility.StandardPart="Part 3",F25052=""),"Incomplete","Complete")</f>
        <v>Complete</v>
      </c>
      <c r="I25052" s="49" t="s">
        <v>4127</v>
      </c>
    </row>
    <row r="25053" spans="2:9" ht="15" customHeight="1" x14ac:dyDescent="0.25">
      <c r="B25053" s="55" t="s">
        <v>311</v>
      </c>
      <c r="C25053" s="46">
        <v>1</v>
      </c>
      <c r="D25053" s="69" t="s">
        <v>29448</v>
      </c>
      <c r="E25053" s="62"/>
      <c r="F25053" s="62" t="str">
        <f>IF(INDEX(I.Production.P1C2,1)="","",INDEX(I.Production.P1C2,1))</f>
        <v/>
      </c>
      <c r="G25053" s="62"/>
      <c r="H25053" s="46" t="str">
        <f>IF(AND(I.Developer.P1=TRUE,I.Developer.P1C2=TRUE,F25053=""),"Incomplete","Complete")</f>
        <v>Complete</v>
      </c>
      <c r="I25053" s="48" t="s">
        <v>4128</v>
      </c>
    </row>
    <row r="25054" spans="2:9" ht="15" customHeight="1" x14ac:dyDescent="0.25">
      <c r="B25054" s="55" t="s">
        <v>311</v>
      </c>
      <c r="C25054" s="46">
        <v>2</v>
      </c>
      <c r="D25054" s="69" t="s">
        <v>29448</v>
      </c>
      <c r="E25054" s="62"/>
      <c r="F25054" s="62" t="str">
        <f>IF(INDEX(I.Production.P1C2,2)="","",INDEX(I.Production.P1C2,2))</f>
        <v/>
      </c>
      <c r="G25054" s="62"/>
      <c r="H25054" s="46" t="str">
        <f>IF(AND(I.Developer.P1=TRUE,I.Developer.P1C2=TRUE,F25054=""),"Incomplete","Complete")</f>
        <v>Complete</v>
      </c>
      <c r="I25054" s="48" t="s">
        <v>4129</v>
      </c>
    </row>
    <row r="25055" spans="2:9" ht="15" customHeight="1" x14ac:dyDescent="0.25">
      <c r="B25055" s="55" t="s">
        <v>311</v>
      </c>
      <c r="C25055" s="46">
        <v>3</v>
      </c>
      <c r="D25055" s="69" t="s">
        <v>29448</v>
      </c>
      <c r="E25055" s="62"/>
      <c r="F25055" s="62" t="str">
        <f>IF(INDEX(I.Production.P1C2,3)="","",INDEX(I.Production.P1C2,3))</f>
        <v/>
      </c>
      <c r="G25055" s="62"/>
      <c r="H25055" s="46" t="str">
        <f>IF(AND(I.Developer.P1=TRUE,I.Developer.P1C2=TRUE,F25055=""),"Incomplete","Complete")</f>
        <v>Complete</v>
      </c>
      <c r="I25055" s="48" t="s">
        <v>4130</v>
      </c>
    </row>
    <row r="25056" spans="2:9" ht="15" customHeight="1" x14ac:dyDescent="0.25">
      <c r="B25056" s="55" t="s">
        <v>311</v>
      </c>
      <c r="C25056" s="46">
        <v>4</v>
      </c>
      <c r="D25056" s="69" t="s">
        <v>29448</v>
      </c>
      <c r="E25056" s="62"/>
      <c r="F25056" s="62" t="str">
        <f>IF(INDEX(I.Production.P1C2,4)="","",INDEX(I.Production.P1C2,4))</f>
        <v/>
      </c>
      <c r="G25056" s="62"/>
      <c r="H25056" s="46" t="str">
        <f>IF(AND(I.Developer.P1=TRUE,I.Developer.P1C2=TRUE,F25056=""),"Incomplete","Complete")</f>
        <v>Complete</v>
      </c>
      <c r="I25056" s="48" t="s">
        <v>4131</v>
      </c>
    </row>
    <row r="25057" spans="2:9" ht="15" customHeight="1" x14ac:dyDescent="0.25">
      <c r="B25057" s="55" t="s">
        <v>311</v>
      </c>
      <c r="C25057" s="46">
        <v>5</v>
      </c>
      <c r="D25057" s="69" t="s">
        <v>29448</v>
      </c>
      <c r="E25057" s="62"/>
      <c r="F25057" s="62" t="str">
        <f>IF(INDEX(I.Production.P1C2,5)="","",INDEX(I.Production.P1C2,5))</f>
        <v/>
      </c>
      <c r="G25057" s="62"/>
      <c r="H25057" s="46" t="str">
        <f>IF(AND(I.Developer.P1=TRUE,I.Developer.P1C2=TRUE,F25057=""),"Incomplete","Complete")</f>
        <v>Complete</v>
      </c>
      <c r="I25057" s="48" t="s">
        <v>4132</v>
      </c>
    </row>
    <row r="25058" spans="2:9" ht="15" customHeight="1" x14ac:dyDescent="0.25">
      <c r="B25058" s="55" t="s">
        <v>311</v>
      </c>
      <c r="C25058" s="46">
        <v>6</v>
      </c>
      <c r="D25058" s="69" t="s">
        <v>29448</v>
      </c>
      <c r="E25058" s="62"/>
      <c r="F25058" s="62" t="str">
        <f>IF(INDEX(I.Production.P1C2,6)="","",INDEX(I.Production.P1C2,6))</f>
        <v/>
      </c>
      <c r="G25058" s="62"/>
      <c r="H25058" s="46" t="str">
        <f>IF(AND(I.Developer.P1=TRUE,I.Developer.P1C2=TRUE,F25058=""),"Incomplete","Complete")</f>
        <v>Complete</v>
      </c>
      <c r="I25058" s="48" t="s">
        <v>4133</v>
      </c>
    </row>
    <row r="25059" spans="2:9" ht="15" customHeight="1" x14ac:dyDescent="0.25">
      <c r="B25059" s="55" t="s">
        <v>311</v>
      </c>
      <c r="C25059" s="46">
        <v>7</v>
      </c>
      <c r="D25059" s="69" t="s">
        <v>29448</v>
      </c>
      <c r="E25059" s="62"/>
      <c r="F25059" s="62" t="str">
        <f>IF(INDEX(I.Production.P1C2,7)="","",INDEX(I.Production.P1C2,7))</f>
        <v/>
      </c>
      <c r="G25059" s="62"/>
      <c r="H25059" s="46" t="str">
        <f>IF(AND(I.Developer.P1=TRUE,I.Developer.P1C2=TRUE,F25059=""),"Incomplete","Complete")</f>
        <v>Complete</v>
      </c>
      <c r="I25059" s="48" t="s">
        <v>4134</v>
      </c>
    </row>
    <row r="25060" spans="2:9" ht="15" customHeight="1" x14ac:dyDescent="0.25">
      <c r="B25060" s="55" t="s">
        <v>311</v>
      </c>
      <c r="C25060" s="46">
        <v>8</v>
      </c>
      <c r="D25060" s="69" t="s">
        <v>29448</v>
      </c>
      <c r="E25060" s="62"/>
      <c r="F25060" s="62" t="str">
        <f>IF(INDEX(I.Production.P1C2,8)="","",INDEX(I.Production.P1C2,8))</f>
        <v/>
      </c>
      <c r="G25060" s="62"/>
      <c r="H25060" s="46" t="str">
        <f>IF(AND(I.Developer.P1=TRUE,I.Developer.P1C2=TRUE,F25060=""),"Incomplete","Complete")</f>
        <v>Complete</v>
      </c>
      <c r="I25060" s="48" t="s">
        <v>4135</v>
      </c>
    </row>
    <row r="25061" spans="2:9" ht="15" customHeight="1" x14ac:dyDescent="0.25">
      <c r="B25061" s="55" t="s">
        <v>311</v>
      </c>
      <c r="C25061" s="46">
        <v>9</v>
      </c>
      <c r="D25061" s="69" t="s">
        <v>29448</v>
      </c>
      <c r="E25061" s="62"/>
      <c r="F25061" s="62" t="str">
        <f>IF(INDEX(I.Production.P1C2,9)="","",INDEX(I.Production.P1C2,9))</f>
        <v/>
      </c>
      <c r="G25061" s="62"/>
      <c r="H25061" s="46" t="str">
        <f>IF(AND(I.Developer.P1=TRUE,I.Developer.P1C2=TRUE,F25061=""),"Incomplete","Complete")</f>
        <v>Complete</v>
      </c>
      <c r="I25061" s="48" t="s">
        <v>4136</v>
      </c>
    </row>
    <row r="25062" spans="2:9" ht="15" customHeight="1" x14ac:dyDescent="0.25">
      <c r="B25062" s="55" t="s">
        <v>311</v>
      </c>
      <c r="C25062" s="46">
        <v>10</v>
      </c>
      <c r="D25062" s="69" t="s">
        <v>29448</v>
      </c>
      <c r="E25062" s="62"/>
      <c r="F25062" s="62" t="str">
        <f>IF(INDEX(I.Production.P1C2,10)="","",INDEX(I.Production.P1C2,10))</f>
        <v/>
      </c>
      <c r="G25062" s="62"/>
      <c r="H25062" s="46" t="str">
        <f>IF(AND(I.Developer.P1=TRUE,I.Developer.P1C2=TRUE,F25062=""),"Incomplete","Complete")</f>
        <v>Complete</v>
      </c>
      <c r="I25062" s="48" t="s">
        <v>4137</v>
      </c>
    </row>
    <row r="25063" spans="2:9" ht="15" customHeight="1" x14ac:dyDescent="0.25">
      <c r="B25063" s="55" t="s">
        <v>311</v>
      </c>
      <c r="C25063" s="46">
        <v>11</v>
      </c>
      <c r="D25063" s="69" t="s">
        <v>29448</v>
      </c>
      <c r="E25063" s="62"/>
      <c r="F25063" s="62" t="str">
        <f>IF(INDEX(I.Production.P1C2,11)="","",INDEX(I.Production.P1C2,11))</f>
        <v/>
      </c>
      <c r="G25063" s="62"/>
      <c r="H25063" s="46" t="str">
        <f>IF(AND(I.Developer.P1=TRUE,I.Developer.P1C2=TRUE,F25063=""),"Incomplete","Complete")</f>
        <v>Complete</v>
      </c>
      <c r="I25063" s="48" t="s">
        <v>4138</v>
      </c>
    </row>
    <row r="25064" spans="2:9" ht="15" customHeight="1" x14ac:dyDescent="0.25">
      <c r="B25064" s="55" t="s">
        <v>311</v>
      </c>
      <c r="C25064" s="46">
        <v>12</v>
      </c>
      <c r="D25064" s="69" t="s">
        <v>29448</v>
      </c>
      <c r="E25064" s="62"/>
      <c r="F25064" s="62" t="str">
        <f>IF(INDEX(I.Production.P1C2,12)="","",INDEX(I.Production.P1C2,12))</f>
        <v/>
      </c>
      <c r="G25064" s="62"/>
      <c r="H25064" s="46" t="str">
        <f>IF(AND(I.Developer.P1=TRUE,I.Developer.P1C2=TRUE,F25064=""),"Incomplete","Complete")</f>
        <v>Complete</v>
      </c>
      <c r="I25064" s="48" t="s">
        <v>4139</v>
      </c>
    </row>
    <row r="25065" spans="2:9" ht="15" customHeight="1" x14ac:dyDescent="0.25">
      <c r="B25065" s="55" t="s">
        <v>311</v>
      </c>
      <c r="C25065" s="46">
        <v>13</v>
      </c>
      <c r="D25065" s="69" t="s">
        <v>29448</v>
      </c>
      <c r="E25065" s="62"/>
      <c r="F25065" s="62" t="str">
        <f>IF(INDEX(I.Production.P1C2,13)="","",INDEX(I.Production.P1C2,13))</f>
        <v/>
      </c>
      <c r="G25065" s="62"/>
      <c r="H25065" s="46" t="str">
        <f>IF(AND(I.Developer.P1=TRUE,I.Developer.P1C2=TRUE,F25065=""),"Incomplete","Complete")</f>
        <v>Complete</v>
      </c>
      <c r="I25065" s="48" t="s">
        <v>4140</v>
      </c>
    </row>
    <row r="25066" spans="2:9" ht="15" customHeight="1" x14ac:dyDescent="0.25">
      <c r="B25066" s="55" t="s">
        <v>311</v>
      </c>
      <c r="C25066" s="46">
        <v>14</v>
      </c>
      <c r="D25066" s="69" t="s">
        <v>29448</v>
      </c>
      <c r="E25066" s="62"/>
      <c r="F25066" s="62" t="str">
        <f>IF(INDEX(I.Production.P1C2,14)="","",INDEX(I.Production.P1C2,14))</f>
        <v/>
      </c>
      <c r="G25066" s="62"/>
      <c r="H25066" s="46" t="str">
        <f>IF(AND(I.Developer.P1=TRUE,I.Developer.P1C2=TRUE,F25066=""),"Incomplete","Complete")</f>
        <v>Complete</v>
      </c>
      <c r="I25066" s="48" t="s">
        <v>4141</v>
      </c>
    </row>
    <row r="25067" spans="2:9" ht="15" customHeight="1" x14ac:dyDescent="0.25">
      <c r="B25067" s="55" t="s">
        <v>311</v>
      </c>
      <c r="C25067" s="46">
        <v>15</v>
      </c>
      <c r="D25067" s="69" t="s">
        <v>29448</v>
      </c>
      <c r="E25067" s="62"/>
      <c r="F25067" s="62" t="str">
        <f>IF(INDEX(I.Production.P1C2,15)="","",INDEX(I.Production.P1C2,15))</f>
        <v/>
      </c>
      <c r="G25067" s="62"/>
      <c r="H25067" s="46" t="str">
        <f>IF(AND(I.Developer.P1=TRUE,I.Developer.P1C2=TRUE,F25067=""),"Incomplete","Complete")</f>
        <v>Complete</v>
      </c>
      <c r="I25067" s="48" t="s">
        <v>4142</v>
      </c>
    </row>
    <row r="25068" spans="2:9" ht="15" customHeight="1" x14ac:dyDescent="0.25">
      <c r="B25068" s="55" t="s">
        <v>311</v>
      </c>
      <c r="C25068" s="46">
        <v>16</v>
      </c>
      <c r="D25068" s="69" t="s">
        <v>29448</v>
      </c>
      <c r="E25068" s="62"/>
      <c r="F25068" s="62" t="str">
        <f>IF(INDEX(I.Production.P1C2,16)="","",INDEX(I.Production.P1C2,16))</f>
        <v/>
      </c>
      <c r="G25068" s="62"/>
      <c r="H25068" s="46" t="str">
        <f>IF(AND(I.Developer.P1=TRUE,I.Developer.P1C2=TRUE,F25068=""),"Incomplete","Complete")</f>
        <v>Complete</v>
      </c>
      <c r="I25068" s="48" t="s">
        <v>4143</v>
      </c>
    </row>
    <row r="25069" spans="2:9" ht="15" customHeight="1" x14ac:dyDescent="0.25">
      <c r="B25069" s="55" t="s">
        <v>311</v>
      </c>
      <c r="C25069" s="46">
        <v>17</v>
      </c>
      <c r="D25069" s="69" t="s">
        <v>29448</v>
      </c>
      <c r="E25069" s="62"/>
      <c r="F25069" s="62" t="str">
        <f>IF(INDEX(I.Production.P1C2,17)="","",INDEX(I.Production.P1C2,17))</f>
        <v/>
      </c>
      <c r="G25069" s="62"/>
      <c r="H25069" s="46" t="str">
        <f>IF(AND(I.Developer.P1=TRUE,I.Developer.P1C2=TRUE,F25069=""),"Incomplete","Complete")</f>
        <v>Complete</v>
      </c>
      <c r="I25069" s="48" t="s">
        <v>4144</v>
      </c>
    </row>
    <row r="25070" spans="2:9" ht="15" customHeight="1" x14ac:dyDescent="0.25">
      <c r="B25070" s="55" t="s">
        <v>311</v>
      </c>
      <c r="C25070" s="46">
        <v>18</v>
      </c>
      <c r="D25070" s="69" t="s">
        <v>29448</v>
      </c>
      <c r="E25070" s="62"/>
      <c r="F25070" s="62" t="str">
        <f>IF(INDEX(I.Production.P1C2,18)="","",INDEX(I.Production.P1C2,18))</f>
        <v/>
      </c>
      <c r="G25070" s="62"/>
      <c r="H25070" s="46" t="str">
        <f>IF(AND(I.Developer.P1=TRUE,I.Developer.P1C2=TRUE,F25070=""),"Incomplete","Complete")</f>
        <v>Complete</v>
      </c>
      <c r="I25070" s="48" t="s">
        <v>4145</v>
      </c>
    </row>
    <row r="25071" spans="2:9" ht="15" customHeight="1" x14ac:dyDescent="0.25">
      <c r="B25071" s="55" t="s">
        <v>311</v>
      </c>
      <c r="C25071" s="46">
        <v>19</v>
      </c>
      <c r="D25071" s="69" t="s">
        <v>29448</v>
      </c>
      <c r="E25071" s="62"/>
      <c r="F25071" s="62" t="str">
        <f>IF(INDEX(I.Production.P1C2,19)="","",INDEX(I.Production.P1C2,19))</f>
        <v/>
      </c>
      <c r="G25071" s="62"/>
      <c r="H25071" s="46" t="str">
        <f>IF(AND(I.Developer.P1=TRUE,I.Developer.P1C2=TRUE,F25071=""),"Incomplete","Complete")</f>
        <v>Complete</v>
      </c>
      <c r="I25071" s="48" t="s">
        <v>4146</v>
      </c>
    </row>
    <row r="25072" spans="2:9" ht="15" customHeight="1" x14ac:dyDescent="0.25">
      <c r="B25072" s="55" t="s">
        <v>311</v>
      </c>
      <c r="C25072" s="46">
        <v>20</v>
      </c>
      <c r="D25072" s="69" t="s">
        <v>29448</v>
      </c>
      <c r="E25072" s="62"/>
      <c r="F25072" s="62" t="str">
        <f>IF(INDEX(I.Production.P1C2,20)="","",INDEX(I.Production.P1C2,20))</f>
        <v/>
      </c>
      <c r="G25072" s="62"/>
      <c r="H25072" s="46" t="str">
        <f>IF(AND(I.Developer.P1=TRUE,I.Developer.P1C2=TRUE,F25072=""),"Incomplete","Complete")</f>
        <v>Complete</v>
      </c>
      <c r="I25072" s="48" t="s">
        <v>4147</v>
      </c>
    </row>
    <row r="25073" spans="2:9" ht="15" customHeight="1" x14ac:dyDescent="0.25">
      <c r="B25073" s="56" t="s">
        <v>311</v>
      </c>
      <c r="C25073" s="57">
        <v>21</v>
      </c>
      <c r="D25073" s="71" t="s">
        <v>29448</v>
      </c>
      <c r="E25073" s="61"/>
      <c r="F25073" s="61" t="str">
        <f>IF(INDEX(I.Production.P1C2,21)="","",INDEX(I.Production.P1C2,21))</f>
        <v/>
      </c>
      <c r="G25073" s="61"/>
      <c r="H25073" s="57" t="str">
        <f>IF(AND(I.Developer.P1=TRUE,I.Developer.P1C2=TRUE,F25073=""),"Incomplete","Complete")</f>
        <v>Complete</v>
      </c>
      <c r="I25073" s="49" t="s">
        <v>4148</v>
      </c>
    </row>
    <row r="25074" spans="2:9" ht="15" customHeight="1" x14ac:dyDescent="0.25">
      <c r="B25074" s="55" t="s">
        <v>312</v>
      </c>
      <c r="C25074" s="46">
        <v>1</v>
      </c>
      <c r="D25074" s="69" t="s">
        <v>29449</v>
      </c>
      <c r="E25074" s="62"/>
      <c r="F25074" s="62" t="str">
        <f>IF(INDEX(I.Production.P1C3,1)="","",INDEX(I.Production.P1C3,1))</f>
        <v/>
      </c>
      <c r="G25074" s="62"/>
      <c r="H25074" s="46" t="str">
        <f>IF(AND(I.Developer.P1=TRUE,I.Developer.P1C3=TRUE,I.Facility.StandardPart="Part 2",F25074=""),"Incomplete","Complete")</f>
        <v>Complete</v>
      </c>
      <c r="I25074" s="48" t="s">
        <v>4149</v>
      </c>
    </row>
    <row r="25075" spans="2:9" ht="15" customHeight="1" x14ac:dyDescent="0.25">
      <c r="B25075" s="55" t="s">
        <v>312</v>
      </c>
      <c r="C25075" s="46">
        <v>2</v>
      </c>
      <c r="D25075" s="69" t="s">
        <v>29449</v>
      </c>
      <c r="E25075" s="62"/>
      <c r="F25075" s="62" t="str">
        <f>IF(INDEX(I.Production.P1C3,2)="","",INDEX(I.Production.P1C3,2))</f>
        <v/>
      </c>
      <c r="G25075" s="62"/>
      <c r="H25075" s="46" t="str">
        <f>IF(AND(I.Developer.P1=TRUE,I.Developer.P1C3=TRUE,I.Facility.StandardPart="Part 2",F25075=""),"Incomplete","Complete")</f>
        <v>Complete</v>
      </c>
      <c r="I25075" s="48" t="s">
        <v>4150</v>
      </c>
    </row>
    <row r="25076" spans="2:9" ht="15" customHeight="1" x14ac:dyDescent="0.25">
      <c r="B25076" s="55" t="s">
        <v>312</v>
      </c>
      <c r="C25076" s="46">
        <v>3</v>
      </c>
      <c r="D25076" s="69" t="s">
        <v>29449</v>
      </c>
      <c r="E25076" s="62"/>
      <c r="F25076" s="62" t="str">
        <f>IF(INDEX(I.Production.P1C3,3)="","",INDEX(I.Production.P1C3,3))</f>
        <v/>
      </c>
      <c r="G25076" s="62"/>
      <c r="H25076" s="46" t="str">
        <f>IF(AND(I.Developer.P1=TRUE,I.Developer.P1C3=TRUE,I.Facility.StandardPart="Part 3",F25076=""),"Incomplete","Complete")</f>
        <v>Complete</v>
      </c>
      <c r="I25076" s="48" t="s">
        <v>4151</v>
      </c>
    </row>
    <row r="25077" spans="2:9" ht="15" customHeight="1" x14ac:dyDescent="0.25">
      <c r="B25077" s="55" t="s">
        <v>312</v>
      </c>
      <c r="C25077" s="46">
        <v>4</v>
      </c>
      <c r="D25077" s="69" t="s">
        <v>29449</v>
      </c>
      <c r="E25077" s="62"/>
      <c r="F25077" s="62" t="str">
        <f>IF(INDEX(I.Production.P1C3,4)="","",INDEX(I.Production.P1C3,4))</f>
        <v/>
      </c>
      <c r="G25077" s="62"/>
      <c r="H25077" s="46" t="str">
        <f>IF(AND(I.Developer.P1=TRUE,I.Developer.P1C3=TRUE,I.Facility.StandardPart="Part 3",F25077=""),"Incomplete","Complete")</f>
        <v>Complete</v>
      </c>
      <c r="I25077" s="48" t="s">
        <v>4152</v>
      </c>
    </row>
    <row r="25078" spans="2:9" ht="15" customHeight="1" x14ac:dyDescent="0.25">
      <c r="B25078" s="56" t="s">
        <v>312</v>
      </c>
      <c r="C25078" s="57">
        <v>5</v>
      </c>
      <c r="D25078" s="71" t="s">
        <v>29449</v>
      </c>
      <c r="E25078" s="61"/>
      <c r="F25078" s="61" t="str">
        <f>IF(INDEX(I.Production.P1C3,5)="","",INDEX(I.Production.P1C3,5))</f>
        <v/>
      </c>
      <c r="G25078" s="61"/>
      <c r="H25078" s="57" t="str">
        <f>IF(AND(I.Developer.P1=TRUE,I.Developer.P1C3=TRUE,I.Facility.StandardPart="Part 3",F25078=""),"Incomplete","Complete")</f>
        <v>Complete</v>
      </c>
      <c r="I25078" s="49" t="s">
        <v>4153</v>
      </c>
    </row>
    <row r="25079" spans="2:9" ht="15" customHeight="1" x14ac:dyDescent="0.25">
      <c r="B25079" s="55" t="s">
        <v>313</v>
      </c>
      <c r="C25079" s="46">
        <v>1</v>
      </c>
      <c r="D25079" s="69" t="s">
        <v>29450</v>
      </c>
      <c r="E25079" s="62"/>
      <c r="F25079" s="62" t="str">
        <f>IF(INDEX(I.Production.P1C4,1)="","",INDEX(I.Production.P1C4,1))</f>
        <v/>
      </c>
      <c r="G25079" s="62"/>
      <c r="H25079" s="46" t="str">
        <f>IF(AND(I.Developer.P1=TRUE,I.Developer.P1C4=TRUE,F25079=""),"Incomplete","Complete")</f>
        <v>Complete</v>
      </c>
      <c r="I25079" s="48" t="s">
        <v>4154</v>
      </c>
    </row>
    <row r="25080" spans="2:9" ht="15" customHeight="1" x14ac:dyDescent="0.25">
      <c r="B25080" s="55" t="s">
        <v>313</v>
      </c>
      <c r="C25080" s="46">
        <v>2</v>
      </c>
      <c r="D25080" s="69" t="s">
        <v>29450</v>
      </c>
      <c r="E25080" s="62"/>
      <c r="F25080" s="62" t="str">
        <f>IF(INDEX(I.Production.P1C4,2)="","",INDEX(I.Production.P1C4,2))</f>
        <v/>
      </c>
      <c r="G25080" s="62"/>
      <c r="H25080" s="46" t="str">
        <f>IF(AND(I.Developer.P1=TRUE,I.Developer.P1C4=TRUE,F25080=""),"Incomplete","Complete")</f>
        <v>Complete</v>
      </c>
      <c r="I25080" s="48" t="s">
        <v>4155</v>
      </c>
    </row>
    <row r="25081" spans="2:9" ht="15" customHeight="1" x14ac:dyDescent="0.25">
      <c r="B25081" s="56" t="s">
        <v>313</v>
      </c>
      <c r="C25081" s="57">
        <v>3</v>
      </c>
      <c r="D25081" s="71" t="s">
        <v>29450</v>
      </c>
      <c r="E25081" s="61"/>
      <c r="F25081" s="61" t="str">
        <f>IF(INDEX(I.Production.P1C4,3)="","",INDEX(I.Production.P1C4,3))</f>
        <v/>
      </c>
      <c r="G25081" s="61"/>
      <c r="H25081" s="57" t="str">
        <f>IF(AND(I.Developer.P1=TRUE,I.Developer.P1C4=TRUE,F25081=""),"Incomplete","Complete")</f>
        <v>Complete</v>
      </c>
      <c r="I25081" s="49" t="s">
        <v>4156</v>
      </c>
    </row>
    <row r="25082" spans="2:9" ht="15" customHeight="1" x14ac:dyDescent="0.25">
      <c r="B25082" s="56" t="s">
        <v>314</v>
      </c>
      <c r="C25082" s="57">
        <v>1</v>
      </c>
      <c r="D25082" s="71" t="s">
        <v>29451</v>
      </c>
      <c r="E25082" s="61"/>
      <c r="F25082" s="61" t="str">
        <f>IF(INDEX(I.Production.P2aQuantity,1)="","",INDEX(I.Production.P2aQuantity,1))</f>
        <v/>
      </c>
      <c r="G25082" s="61"/>
      <c r="H25082" s="57" t="str">
        <f>IF(AND(I.Developer.P2a=TRUE,I.Production.P2aQuantity=""),"Incomplete","Complete")</f>
        <v>Complete</v>
      </c>
      <c r="I25082" s="49" t="s">
        <v>29399</v>
      </c>
    </row>
    <row r="25083" spans="2:9" ht="15" customHeight="1" x14ac:dyDescent="0.25">
      <c r="B25083" s="55" t="s">
        <v>315</v>
      </c>
      <c r="C25083" s="46">
        <v>1</v>
      </c>
      <c r="D25083" s="69" t="s">
        <v>29452</v>
      </c>
      <c r="E25083" s="62"/>
      <c r="F25083" s="62" t="str">
        <f>IF(INDEX(I.Production.P2aC1,1)="","",INDEX(I.Production.P2aC1,1))</f>
        <v/>
      </c>
      <c r="G25083" s="62"/>
      <c r="H25083" s="46" t="str">
        <f>IF(AND(I.Developer.P2a=TRUE,I.Developer.P2aC1=TRUE,I.Facility.StandardPart="Part 2",F25083=""),"Incomplete","Complete")</f>
        <v>Complete</v>
      </c>
      <c r="I25083" s="48" t="s">
        <v>4157</v>
      </c>
    </row>
    <row r="25084" spans="2:9" ht="15" customHeight="1" x14ac:dyDescent="0.25">
      <c r="B25084" s="55" t="s">
        <v>315</v>
      </c>
      <c r="C25084" s="46">
        <v>2</v>
      </c>
      <c r="D25084" s="69" t="s">
        <v>29452</v>
      </c>
      <c r="E25084" s="62"/>
      <c r="F25084" s="62" t="str">
        <f>IF(INDEX(I.Production.P2aC1,2)="","",INDEX(I.Production.P2aC1,2))</f>
        <v/>
      </c>
      <c r="G25084" s="62"/>
      <c r="H25084" s="46" t="str">
        <f>IF(AND(I.Developer.P2a=TRUE,I.Developer.P2aC1=TRUE,I.Developer.P2aC1V2=TRUE,I.Facility.StandardPart="Part 2",F25084=""),"Incomplete","Complete")</f>
        <v>Complete</v>
      </c>
      <c r="I25084" s="48" t="s">
        <v>4158</v>
      </c>
    </row>
    <row r="25085" spans="2:9" ht="15" customHeight="1" x14ac:dyDescent="0.25">
      <c r="B25085" s="55" t="s">
        <v>315</v>
      </c>
      <c r="C25085" s="46">
        <v>3</v>
      </c>
      <c r="D25085" s="69" t="s">
        <v>29452</v>
      </c>
      <c r="E25085" s="62"/>
      <c r="F25085" s="62" t="str">
        <f>IF(INDEX(I.Production.P2aC1,3)="","",INDEX(I.Production.P2aC1,3))</f>
        <v/>
      </c>
      <c r="G25085" s="62"/>
      <c r="H25085" s="46" t="str">
        <f>IF(AND(I.Developer.P2a=TRUE,I.Developer.P2aC1=TRUE,I.Developer.P2aC1V3=TRUE,I.Facility.StandardPart="Part 2",F25085=""),"Incomplete","Complete")</f>
        <v>Complete</v>
      </c>
      <c r="I25085" s="48" t="s">
        <v>4159</v>
      </c>
    </row>
    <row r="25086" spans="2:9" ht="15" customHeight="1" x14ac:dyDescent="0.25">
      <c r="B25086" s="55" t="s">
        <v>315</v>
      </c>
      <c r="C25086" s="46">
        <v>4</v>
      </c>
      <c r="D25086" s="69" t="s">
        <v>29452</v>
      </c>
      <c r="E25086" s="62"/>
      <c r="F25086" s="62" t="str">
        <f>IF(INDEX(I.Production.P2aC1,4)="","",INDEX(I.Production.P2aC1,4))</f>
        <v/>
      </c>
      <c r="G25086" s="62"/>
      <c r="H25086" s="46" t="str">
        <f>IF(AND(I.Developer.P2a=TRUE,I.Developer.P2aC1=TRUE,I.Developer.P2aC1V4=TRUE,I.Facility.StandardPart="Part 2",F25086=""),"Incomplete","Complete")</f>
        <v>Complete</v>
      </c>
      <c r="I25086" s="48" t="s">
        <v>4160</v>
      </c>
    </row>
    <row r="25087" spans="2:9" ht="15" customHeight="1" x14ac:dyDescent="0.25">
      <c r="B25087" s="55" t="s">
        <v>315</v>
      </c>
      <c r="C25087" s="46">
        <v>5</v>
      </c>
      <c r="D25087" s="69" t="s">
        <v>29452</v>
      </c>
      <c r="E25087" s="62"/>
      <c r="F25087" s="62" t="str">
        <f>IF(INDEX(I.Production.P2aC1,5)="","",INDEX(I.Production.P2aC1,5))</f>
        <v/>
      </c>
      <c r="G25087" s="62"/>
      <c r="H25087" s="46" t="str">
        <f>IF(AND(I.Developer.P2a=TRUE,I.Developer.P2aC1=TRUE,I.Developer.P2aC1V5=TRUE,I.Facility.StandardPart="Part 2",F25087=""),"Incomplete","Complete")</f>
        <v>Complete</v>
      </c>
      <c r="I25087" s="48" t="s">
        <v>4161</v>
      </c>
    </row>
    <row r="25088" spans="2:9" ht="15" customHeight="1" x14ac:dyDescent="0.25">
      <c r="B25088" s="55" t="s">
        <v>315</v>
      </c>
      <c r="C25088" s="46">
        <v>6</v>
      </c>
      <c r="D25088" s="69" t="s">
        <v>29452</v>
      </c>
      <c r="E25088" s="62"/>
      <c r="F25088" s="62" t="str">
        <f>IF(INDEX(I.Production.P2aC1,6)="","",INDEX(I.Production.P2aC1,6))</f>
        <v/>
      </c>
      <c r="G25088" s="62"/>
      <c r="H25088" s="46" t="str">
        <f>IF(AND(I.Developer.P2a=TRUE,I.Developer.P2aC1=TRUE,I.Developer.P2aC1V6=TRUE,I.Facility.StandardPart="Part 2",F25088=""),"Incomplete","Complete")</f>
        <v>Complete</v>
      </c>
      <c r="I25088" s="48" t="s">
        <v>4162</v>
      </c>
    </row>
    <row r="25089" spans="2:9" ht="15" customHeight="1" x14ac:dyDescent="0.25">
      <c r="B25089" s="55" t="s">
        <v>315</v>
      </c>
      <c r="C25089" s="46">
        <v>7</v>
      </c>
      <c r="D25089" s="69" t="s">
        <v>29452</v>
      </c>
      <c r="E25089" s="62"/>
      <c r="F25089" s="62" t="str">
        <f>IF(INDEX(I.Production.P2aC1,7)="","",INDEX(I.Production.P2aC1,7))</f>
        <v/>
      </c>
      <c r="G25089" s="62"/>
      <c r="H25089" s="46" t="str">
        <f>IF(AND(I.Developer.P2a=TRUE,I.Developer.P2aC1=TRUE,I.Facility.StandardPart="Part 3",F25089=""),"Incomplete","Complete")</f>
        <v>Complete</v>
      </c>
      <c r="I25089" s="48" t="s">
        <v>4163</v>
      </c>
    </row>
    <row r="25090" spans="2:9" ht="15" customHeight="1" x14ac:dyDescent="0.25">
      <c r="B25090" s="55" t="s">
        <v>315</v>
      </c>
      <c r="C25090" s="46">
        <v>8</v>
      </c>
      <c r="D25090" s="69" t="s">
        <v>29452</v>
      </c>
      <c r="E25090" s="62"/>
      <c r="F25090" s="62" t="str">
        <f>IF(INDEX(I.Production.P2aC1,8)="","",INDEX(I.Production.P2aC1,8))</f>
        <v/>
      </c>
      <c r="G25090" s="62"/>
      <c r="H25090" s="46" t="str">
        <f>IF(AND(I.Developer.P2a=TRUE,I.Developer.P2aC1=TRUE,I.Facility.StandardPart="Part 3",F25090=""),"Incomplete","Complete")</f>
        <v>Complete</v>
      </c>
      <c r="I25090" s="48" t="s">
        <v>4164</v>
      </c>
    </row>
    <row r="25091" spans="2:9" ht="15" customHeight="1" x14ac:dyDescent="0.25">
      <c r="B25091" s="56" t="s">
        <v>315</v>
      </c>
      <c r="C25091" s="57">
        <v>9</v>
      </c>
      <c r="D25091" s="71" t="s">
        <v>29452</v>
      </c>
      <c r="E25091" s="61"/>
      <c r="F25091" s="61" t="str">
        <f>IF(INDEX(I.Production.P2aC1,9)="","",INDEX(I.Production.P2aC1,9))</f>
        <v/>
      </c>
      <c r="G25091" s="61"/>
      <c r="H25091" s="57" t="str">
        <f>IF(AND(I.Developer.P2a=TRUE,I.Developer.P2aC1=TRUE,I.Facility.StandardPart="Part 3",F25091=""),"Incomplete","Complete")</f>
        <v>Complete</v>
      </c>
      <c r="I25091" s="49" t="s">
        <v>4165</v>
      </c>
    </row>
    <row r="25092" spans="2:9" ht="15" customHeight="1" x14ac:dyDescent="0.25">
      <c r="B25092" s="55" t="s">
        <v>316</v>
      </c>
      <c r="C25092" s="46">
        <v>1</v>
      </c>
      <c r="D25092" s="69" t="s">
        <v>29453</v>
      </c>
      <c r="E25092" s="62"/>
      <c r="F25092" s="62" t="str">
        <f>IF(INDEX(I.Production.P2aC2,1)="","",INDEX(I.Production.P2aC2,1))</f>
        <v/>
      </c>
      <c r="G25092" s="62"/>
      <c r="H25092" s="46" t="str">
        <f>IF(AND(I.Developer.P2a=TRUE,I.Developer.P2aC2=TRUE,F25092=""),"Incomplete","Complete")</f>
        <v>Complete</v>
      </c>
      <c r="I25092" s="48" t="s">
        <v>4166</v>
      </c>
    </row>
    <row r="25093" spans="2:9" ht="15" customHeight="1" x14ac:dyDescent="0.25">
      <c r="B25093" s="55" t="s">
        <v>316</v>
      </c>
      <c r="C25093" s="46">
        <v>2</v>
      </c>
      <c r="D25093" s="69" t="s">
        <v>29453</v>
      </c>
      <c r="E25093" s="62"/>
      <c r="F25093" s="62" t="str">
        <f>IF(INDEX(I.Production.P2aC2,2)="","",INDEX(I.Production.P2aC2,2))</f>
        <v/>
      </c>
      <c r="G25093" s="62"/>
      <c r="H25093" s="46" t="str">
        <f>IF(AND(I.Developer.P2a=TRUE,I.Developer.P2aC2=TRUE,F25093=""),"Incomplete","Complete")</f>
        <v>Complete</v>
      </c>
      <c r="I25093" s="48" t="s">
        <v>4167</v>
      </c>
    </row>
    <row r="25094" spans="2:9" ht="15" customHeight="1" x14ac:dyDescent="0.25">
      <c r="B25094" s="55" t="s">
        <v>316</v>
      </c>
      <c r="C25094" s="46">
        <v>3</v>
      </c>
      <c r="D25094" s="69" t="s">
        <v>29453</v>
      </c>
      <c r="E25094" s="62"/>
      <c r="F25094" s="62" t="str">
        <f>IF(INDEX(I.Production.P2aC2,3)="","",INDEX(I.Production.P2aC2,3))</f>
        <v/>
      </c>
      <c r="G25094" s="62"/>
      <c r="H25094" s="46" t="str">
        <f>IF(AND(I.Developer.P2a=TRUE,I.Developer.P2aC2=TRUE,F25094=""),"Incomplete","Complete")</f>
        <v>Complete</v>
      </c>
      <c r="I25094" s="48" t="s">
        <v>4168</v>
      </c>
    </row>
    <row r="25095" spans="2:9" ht="15" customHeight="1" x14ac:dyDescent="0.25">
      <c r="B25095" s="55" t="s">
        <v>316</v>
      </c>
      <c r="C25095" s="46">
        <v>4</v>
      </c>
      <c r="D25095" s="69" t="s">
        <v>29453</v>
      </c>
      <c r="E25095" s="62"/>
      <c r="F25095" s="62" t="str">
        <f>IF(INDEX(I.Production.P2aC2,4)="","",INDEX(I.Production.P2aC2,4))</f>
        <v/>
      </c>
      <c r="G25095" s="62"/>
      <c r="H25095" s="46" t="str">
        <f>IF(AND(I.Developer.P2a=TRUE,I.Developer.P2aC2=TRUE,F25095=""),"Incomplete","Complete")</f>
        <v>Complete</v>
      </c>
      <c r="I25095" s="48" t="s">
        <v>4169</v>
      </c>
    </row>
    <row r="25096" spans="2:9" ht="15" customHeight="1" x14ac:dyDescent="0.25">
      <c r="B25096" s="55" t="s">
        <v>316</v>
      </c>
      <c r="C25096" s="46">
        <v>5</v>
      </c>
      <c r="D25096" s="69" t="s">
        <v>29453</v>
      </c>
      <c r="E25096" s="62"/>
      <c r="F25096" s="62" t="str">
        <f>IF(INDEX(I.Production.P2aC2,5)="","",INDEX(I.Production.P2aC2,5))</f>
        <v/>
      </c>
      <c r="G25096" s="62"/>
      <c r="H25096" s="46" t="str">
        <f>IF(AND(I.Developer.P2a=TRUE,I.Developer.P2aC2=TRUE,F25096=""),"Incomplete","Complete")</f>
        <v>Complete</v>
      </c>
      <c r="I25096" s="48" t="s">
        <v>4170</v>
      </c>
    </row>
    <row r="25097" spans="2:9" ht="15" customHeight="1" x14ac:dyDescent="0.25">
      <c r="B25097" s="55" t="s">
        <v>316</v>
      </c>
      <c r="C25097" s="46">
        <v>6</v>
      </c>
      <c r="D25097" s="69" t="s">
        <v>29453</v>
      </c>
      <c r="E25097" s="62"/>
      <c r="F25097" s="62" t="str">
        <f>IF(INDEX(I.Production.P2aC2,6)="","",INDEX(I.Production.P2aC2,6))</f>
        <v/>
      </c>
      <c r="G25097" s="62"/>
      <c r="H25097" s="46" t="str">
        <f>IF(AND(I.Developer.P2a=TRUE,I.Developer.P2aC2=TRUE,F25097=""),"Incomplete","Complete")</f>
        <v>Complete</v>
      </c>
      <c r="I25097" s="48" t="s">
        <v>4171</v>
      </c>
    </row>
    <row r="25098" spans="2:9" ht="15" customHeight="1" x14ac:dyDescent="0.25">
      <c r="B25098" s="55" t="s">
        <v>316</v>
      </c>
      <c r="C25098" s="46">
        <v>7</v>
      </c>
      <c r="D25098" s="69" t="s">
        <v>29453</v>
      </c>
      <c r="E25098" s="62"/>
      <c r="F25098" s="62" t="str">
        <f>IF(INDEX(I.Production.P2aC2,7)="","",INDEX(I.Production.P2aC2,7))</f>
        <v/>
      </c>
      <c r="G25098" s="62"/>
      <c r="H25098" s="46" t="str">
        <f>IF(AND(I.Developer.P2a=TRUE,I.Developer.P2aC2=TRUE,F25098=""),"Incomplete","Complete")</f>
        <v>Complete</v>
      </c>
      <c r="I25098" s="48" t="s">
        <v>4172</v>
      </c>
    </row>
    <row r="25099" spans="2:9" ht="15" customHeight="1" x14ac:dyDescent="0.25">
      <c r="B25099" s="55" t="s">
        <v>316</v>
      </c>
      <c r="C25099" s="46">
        <v>8</v>
      </c>
      <c r="D25099" s="69" t="s">
        <v>29453</v>
      </c>
      <c r="E25099" s="62"/>
      <c r="F25099" s="62" t="str">
        <f>IF(INDEX(I.Production.P2aC2,8)="","",INDEX(I.Production.P2aC2,8))</f>
        <v/>
      </c>
      <c r="G25099" s="62"/>
      <c r="H25099" s="46" t="str">
        <f>IF(AND(I.Developer.P2a=TRUE,I.Developer.P2aC2=TRUE,F25099=""),"Incomplete","Complete")</f>
        <v>Complete</v>
      </c>
      <c r="I25099" s="48" t="s">
        <v>4173</v>
      </c>
    </row>
    <row r="25100" spans="2:9" ht="15" customHeight="1" x14ac:dyDescent="0.25">
      <c r="B25100" s="55" t="s">
        <v>316</v>
      </c>
      <c r="C25100" s="46">
        <v>9</v>
      </c>
      <c r="D25100" s="69" t="s">
        <v>29453</v>
      </c>
      <c r="E25100" s="62"/>
      <c r="F25100" s="62" t="str">
        <f>IF(INDEX(I.Production.P2aC2,9)="","",INDEX(I.Production.P2aC2,9))</f>
        <v/>
      </c>
      <c r="G25100" s="62"/>
      <c r="H25100" s="46" t="str">
        <f>IF(AND(I.Developer.P2a=TRUE,I.Developer.P2aC2=TRUE,F25100=""),"Incomplete","Complete")</f>
        <v>Complete</v>
      </c>
      <c r="I25100" s="48" t="s">
        <v>4174</v>
      </c>
    </row>
    <row r="25101" spans="2:9" ht="15" customHeight="1" x14ac:dyDescent="0.25">
      <c r="B25101" s="55" t="s">
        <v>316</v>
      </c>
      <c r="C25101" s="46">
        <v>10</v>
      </c>
      <c r="D25101" s="69" t="s">
        <v>29453</v>
      </c>
      <c r="E25101" s="62"/>
      <c r="F25101" s="62" t="str">
        <f>IF(INDEX(I.Production.P2aC2,10)="","",INDEX(I.Production.P2aC2,10))</f>
        <v/>
      </c>
      <c r="G25101" s="62"/>
      <c r="H25101" s="46" t="str">
        <f>IF(AND(I.Developer.P2a=TRUE,I.Developer.P2aC2=TRUE,F25101=""),"Incomplete","Complete")</f>
        <v>Complete</v>
      </c>
      <c r="I25101" s="48" t="s">
        <v>4175</v>
      </c>
    </row>
    <row r="25102" spans="2:9" ht="15" customHeight="1" x14ac:dyDescent="0.25">
      <c r="B25102" s="55" t="s">
        <v>316</v>
      </c>
      <c r="C25102" s="46">
        <v>11</v>
      </c>
      <c r="D25102" s="69" t="s">
        <v>29453</v>
      </c>
      <c r="E25102" s="62"/>
      <c r="F25102" s="62" t="str">
        <f>IF(INDEX(I.Production.P2aC2,11)="","",INDEX(I.Production.P2aC2,11))</f>
        <v/>
      </c>
      <c r="G25102" s="62"/>
      <c r="H25102" s="46" t="str">
        <f>IF(AND(I.Developer.P2a=TRUE,I.Developer.P2aC2=TRUE,F25102=""),"Incomplete","Complete")</f>
        <v>Complete</v>
      </c>
      <c r="I25102" s="48" t="s">
        <v>4176</v>
      </c>
    </row>
    <row r="25103" spans="2:9" ht="15" customHeight="1" x14ac:dyDescent="0.25">
      <c r="B25103" s="55" t="s">
        <v>316</v>
      </c>
      <c r="C25103" s="46">
        <v>12</v>
      </c>
      <c r="D25103" s="69" t="s">
        <v>29453</v>
      </c>
      <c r="E25103" s="62"/>
      <c r="F25103" s="62" t="str">
        <f>IF(INDEX(I.Production.P2aC2,12)="","",INDEX(I.Production.P2aC2,12))</f>
        <v/>
      </c>
      <c r="G25103" s="62"/>
      <c r="H25103" s="46" t="str">
        <f>IF(AND(I.Developer.P2a=TRUE,I.Developer.P2aC2=TRUE,F25103=""),"Incomplete","Complete")</f>
        <v>Complete</v>
      </c>
      <c r="I25103" s="48" t="s">
        <v>4177</v>
      </c>
    </row>
    <row r="25104" spans="2:9" ht="15" customHeight="1" x14ac:dyDescent="0.25">
      <c r="B25104" s="55" t="s">
        <v>316</v>
      </c>
      <c r="C25104" s="46">
        <v>13</v>
      </c>
      <c r="D25104" s="69" t="s">
        <v>29453</v>
      </c>
      <c r="E25104" s="62"/>
      <c r="F25104" s="62" t="str">
        <f>IF(INDEX(I.Production.P2aC2,13)="","",INDEX(I.Production.P2aC2,13))</f>
        <v/>
      </c>
      <c r="G25104" s="62"/>
      <c r="H25104" s="46" t="str">
        <f>IF(AND(I.Developer.P2a=TRUE,I.Developer.P2aC2=TRUE,F25104=""),"Incomplete","Complete")</f>
        <v>Complete</v>
      </c>
      <c r="I25104" s="48" t="s">
        <v>4178</v>
      </c>
    </row>
    <row r="25105" spans="2:9" ht="15" customHeight="1" x14ac:dyDescent="0.25">
      <c r="B25105" s="55" t="s">
        <v>316</v>
      </c>
      <c r="C25105" s="46">
        <v>14</v>
      </c>
      <c r="D25105" s="69" t="s">
        <v>29453</v>
      </c>
      <c r="E25105" s="62"/>
      <c r="F25105" s="62" t="str">
        <f>IF(INDEX(I.Production.P2aC2,14)="","",INDEX(I.Production.P2aC2,14))</f>
        <v/>
      </c>
      <c r="G25105" s="62"/>
      <c r="H25105" s="46" t="str">
        <f>IF(AND(I.Developer.P2a=TRUE,I.Developer.P2aC2=TRUE,F25105=""),"Incomplete","Complete")</f>
        <v>Complete</v>
      </c>
      <c r="I25105" s="48" t="s">
        <v>4179</v>
      </c>
    </row>
    <row r="25106" spans="2:9" ht="15" customHeight="1" x14ac:dyDescent="0.25">
      <c r="B25106" s="55" t="s">
        <v>316</v>
      </c>
      <c r="C25106" s="46">
        <v>15</v>
      </c>
      <c r="D25106" s="69" t="s">
        <v>29453</v>
      </c>
      <c r="E25106" s="62"/>
      <c r="F25106" s="62" t="str">
        <f>IF(INDEX(I.Production.P2aC2,15)="","",INDEX(I.Production.P2aC2,15))</f>
        <v/>
      </c>
      <c r="G25106" s="62"/>
      <c r="H25106" s="46" t="str">
        <f>IF(AND(I.Developer.P2a=TRUE,I.Developer.P2aC2=TRUE,F25106=""),"Incomplete","Complete")</f>
        <v>Complete</v>
      </c>
      <c r="I25106" s="48" t="s">
        <v>4180</v>
      </c>
    </row>
    <row r="25107" spans="2:9" ht="15" customHeight="1" x14ac:dyDescent="0.25">
      <c r="B25107" s="55" t="s">
        <v>316</v>
      </c>
      <c r="C25107" s="46">
        <v>16</v>
      </c>
      <c r="D25107" s="69" t="s">
        <v>29453</v>
      </c>
      <c r="E25107" s="62"/>
      <c r="F25107" s="62" t="str">
        <f>IF(INDEX(I.Production.P2aC2,16)="","",INDEX(I.Production.P2aC2,16))</f>
        <v/>
      </c>
      <c r="G25107" s="62"/>
      <c r="H25107" s="46" t="str">
        <f>IF(AND(I.Developer.P2a=TRUE,I.Developer.P2aC2=TRUE,F25107=""),"Incomplete","Complete")</f>
        <v>Complete</v>
      </c>
      <c r="I25107" s="48" t="s">
        <v>4181</v>
      </c>
    </row>
    <row r="25108" spans="2:9" ht="15" customHeight="1" x14ac:dyDescent="0.25">
      <c r="B25108" s="55" t="s">
        <v>316</v>
      </c>
      <c r="C25108" s="46">
        <v>17</v>
      </c>
      <c r="D25108" s="69" t="s">
        <v>29453</v>
      </c>
      <c r="E25108" s="62"/>
      <c r="F25108" s="62" t="str">
        <f>IF(INDEX(I.Production.P2aC2,17)="","",INDEX(I.Production.P2aC2,17))</f>
        <v/>
      </c>
      <c r="G25108" s="62"/>
      <c r="H25108" s="46" t="str">
        <f>IF(AND(I.Developer.P2a=TRUE,I.Developer.P2aC2=TRUE,F25108=""),"Incomplete","Complete")</f>
        <v>Complete</v>
      </c>
      <c r="I25108" s="48" t="s">
        <v>4182</v>
      </c>
    </row>
    <row r="25109" spans="2:9" ht="15" customHeight="1" x14ac:dyDescent="0.25">
      <c r="B25109" s="55" t="s">
        <v>316</v>
      </c>
      <c r="C25109" s="46">
        <v>18</v>
      </c>
      <c r="D25109" s="69" t="s">
        <v>29453</v>
      </c>
      <c r="E25109" s="62"/>
      <c r="F25109" s="62" t="str">
        <f>IF(INDEX(I.Production.P2aC2,18)="","",INDEX(I.Production.P2aC2,18))</f>
        <v/>
      </c>
      <c r="G25109" s="62"/>
      <c r="H25109" s="46" t="str">
        <f>IF(AND(I.Developer.P2a=TRUE,I.Developer.P2aC2=TRUE,F25109=""),"Incomplete","Complete")</f>
        <v>Complete</v>
      </c>
      <c r="I25109" s="48" t="s">
        <v>4183</v>
      </c>
    </row>
    <row r="25110" spans="2:9" ht="15" customHeight="1" x14ac:dyDescent="0.25">
      <c r="B25110" s="55" t="s">
        <v>316</v>
      </c>
      <c r="C25110" s="46">
        <v>19</v>
      </c>
      <c r="D25110" s="69" t="s">
        <v>29453</v>
      </c>
      <c r="E25110" s="62"/>
      <c r="F25110" s="62" t="str">
        <f>IF(INDEX(I.Production.P2aC2,19)="","",INDEX(I.Production.P2aC2,19))</f>
        <v/>
      </c>
      <c r="G25110" s="62"/>
      <c r="H25110" s="46" t="str">
        <f>IF(AND(I.Developer.P2a=TRUE,I.Developer.P2aC2=TRUE,F25110=""),"Incomplete","Complete")</f>
        <v>Complete</v>
      </c>
      <c r="I25110" s="48" t="s">
        <v>4184</v>
      </c>
    </row>
    <row r="25111" spans="2:9" ht="15" customHeight="1" x14ac:dyDescent="0.25">
      <c r="B25111" s="55" t="s">
        <v>316</v>
      </c>
      <c r="C25111" s="46">
        <v>20</v>
      </c>
      <c r="D25111" s="69" t="s">
        <v>29453</v>
      </c>
      <c r="E25111" s="62"/>
      <c r="F25111" s="62" t="str">
        <f>IF(INDEX(I.Production.P2aC2,20)="","",INDEX(I.Production.P2aC2,20))</f>
        <v/>
      </c>
      <c r="G25111" s="62"/>
      <c r="H25111" s="46" t="str">
        <f>IF(AND(I.Developer.P2a=TRUE,I.Developer.P2aC2=TRUE,F25111=""),"Incomplete","Complete")</f>
        <v>Complete</v>
      </c>
      <c r="I25111" s="48" t="s">
        <v>4185</v>
      </c>
    </row>
    <row r="25112" spans="2:9" ht="15" customHeight="1" x14ac:dyDescent="0.25">
      <c r="B25112" s="56" t="s">
        <v>316</v>
      </c>
      <c r="C25112" s="57">
        <v>21</v>
      </c>
      <c r="D25112" s="71" t="s">
        <v>29453</v>
      </c>
      <c r="E25112" s="61"/>
      <c r="F25112" s="61" t="str">
        <f>IF(INDEX(I.Production.P2aC2,21)="","",INDEX(I.Production.P2aC2,21))</f>
        <v/>
      </c>
      <c r="G25112" s="61"/>
      <c r="H25112" s="57" t="str">
        <f>IF(AND(I.Developer.P2a=TRUE,I.Developer.P2aC2=TRUE,F25112=""),"Incomplete","Complete")</f>
        <v>Complete</v>
      </c>
      <c r="I25112" s="49" t="s">
        <v>4186</v>
      </c>
    </row>
    <row r="25113" spans="2:9" ht="15" customHeight="1" x14ac:dyDescent="0.25">
      <c r="B25113" s="55" t="s">
        <v>317</v>
      </c>
      <c r="C25113" s="46">
        <v>1</v>
      </c>
      <c r="D25113" s="69" t="s">
        <v>29454</v>
      </c>
      <c r="E25113" s="62"/>
      <c r="F25113" s="62" t="str">
        <f>IF(INDEX(I.Production.P2aC3,1)="","",INDEX(I.Production.P2aC3,1))</f>
        <v/>
      </c>
      <c r="G25113" s="62"/>
      <c r="H25113" s="46" t="str">
        <f>IF(AND(I.Developer.P2a=TRUE,I.Developer.P2aC3=TRUE,I.Facility.StandardPart="Part 2",F25113=""),"Incomplete","Complete")</f>
        <v>Complete</v>
      </c>
      <c r="I25113" s="48" t="s">
        <v>4187</v>
      </c>
    </row>
    <row r="25114" spans="2:9" ht="15" customHeight="1" x14ac:dyDescent="0.25">
      <c r="B25114" s="55" t="s">
        <v>317</v>
      </c>
      <c r="C25114" s="46">
        <v>2</v>
      </c>
      <c r="D25114" s="69" t="s">
        <v>29454</v>
      </c>
      <c r="E25114" s="62"/>
      <c r="F25114" s="62" t="str">
        <f>IF(INDEX(I.Production.P2aC3,2)="","",INDEX(I.Production.P2aC3,2))</f>
        <v/>
      </c>
      <c r="G25114" s="62"/>
      <c r="H25114" s="46" t="str">
        <f>IF(AND(I.Developer.P2a=TRUE,I.Developer.P2aC3=TRUE,I.Facility.StandardPart="Part 2",F25114=""),"Incomplete","Complete")</f>
        <v>Complete</v>
      </c>
      <c r="I25114" s="48" t="s">
        <v>4188</v>
      </c>
    </row>
    <row r="25115" spans="2:9" ht="15" customHeight="1" x14ac:dyDescent="0.25">
      <c r="B25115" s="55" t="s">
        <v>317</v>
      </c>
      <c r="C25115" s="46">
        <v>3</v>
      </c>
      <c r="D25115" s="69" t="s">
        <v>29454</v>
      </c>
      <c r="E25115" s="62"/>
      <c r="F25115" s="62" t="str">
        <f>IF(INDEX(I.Production.P2aC3,3)="","",INDEX(I.Production.P2aC3,3))</f>
        <v/>
      </c>
      <c r="G25115" s="62"/>
      <c r="H25115" s="46" t="str">
        <f>IF(AND(I.Developer.P2a=TRUE,I.Developer.P2aC3=TRUE,I.Facility.StandardPart="Part 3",F25115=""),"Incomplete","Complete")</f>
        <v>Complete</v>
      </c>
      <c r="I25115" s="48" t="s">
        <v>4189</v>
      </c>
    </row>
    <row r="25116" spans="2:9" ht="15" customHeight="1" x14ac:dyDescent="0.25">
      <c r="B25116" s="55" t="s">
        <v>317</v>
      </c>
      <c r="C25116" s="46">
        <v>4</v>
      </c>
      <c r="D25116" s="69" t="s">
        <v>29454</v>
      </c>
      <c r="E25116" s="62"/>
      <c r="F25116" s="62" t="str">
        <f>IF(INDEX(I.Production.P2aC3,4)="","",INDEX(I.Production.P2aC3,4))</f>
        <v/>
      </c>
      <c r="G25116" s="62"/>
      <c r="H25116" s="46" t="str">
        <f>IF(AND(I.Developer.P2a=TRUE,I.Developer.P2aC3=TRUE,I.Facility.StandardPart="Part 3",F25116=""),"Incomplete","Complete")</f>
        <v>Complete</v>
      </c>
      <c r="I25116" s="48" t="s">
        <v>4190</v>
      </c>
    </row>
    <row r="25117" spans="2:9" ht="15" customHeight="1" x14ac:dyDescent="0.25">
      <c r="B25117" s="56" t="s">
        <v>317</v>
      </c>
      <c r="C25117" s="57">
        <v>5</v>
      </c>
      <c r="D25117" s="71" t="s">
        <v>29454</v>
      </c>
      <c r="E25117" s="61"/>
      <c r="F25117" s="61" t="str">
        <f>IF(INDEX(I.Production.P2aC3,5)="","",INDEX(I.Production.P2aC3,5))</f>
        <v/>
      </c>
      <c r="G25117" s="61"/>
      <c r="H25117" s="57" t="str">
        <f>IF(AND(I.Developer.P2a=TRUE,I.Developer.P2aC3=TRUE,I.Facility.StandardPart="Part 3",F25117=""),"Incomplete","Complete")</f>
        <v>Complete</v>
      </c>
      <c r="I25117" s="49" t="s">
        <v>4191</v>
      </c>
    </row>
    <row r="25118" spans="2:9" ht="15" customHeight="1" x14ac:dyDescent="0.25">
      <c r="B25118" s="55" t="s">
        <v>318</v>
      </c>
      <c r="C25118" s="46">
        <v>1</v>
      </c>
      <c r="D25118" s="69" t="s">
        <v>29455</v>
      </c>
      <c r="E25118" s="62"/>
      <c r="F25118" s="62" t="str">
        <f>IF(INDEX(I.Production.P2aC4,1)="","",INDEX(I.Production.P2aC4,1))</f>
        <v/>
      </c>
      <c r="G25118" s="62"/>
      <c r="H25118" s="46" t="str">
        <f>IF(AND(I.Developer.P2a=TRUE,I.Developer.P2aC4=TRUE,F25118=""),"Incomplete","Complete")</f>
        <v>Complete</v>
      </c>
      <c r="I25118" s="48" t="s">
        <v>4192</v>
      </c>
    </row>
    <row r="25119" spans="2:9" ht="15" customHeight="1" x14ac:dyDescent="0.25">
      <c r="B25119" s="55" t="s">
        <v>318</v>
      </c>
      <c r="C25119" s="46">
        <v>2</v>
      </c>
      <c r="D25119" s="69" t="s">
        <v>29455</v>
      </c>
      <c r="E25119" s="62"/>
      <c r="F25119" s="62" t="str">
        <f>IF(INDEX(I.Production.P2aC4,2)="","",INDEX(I.Production.P2aC4,2))</f>
        <v/>
      </c>
      <c r="G25119" s="62"/>
      <c r="H25119" s="46" t="str">
        <f>IF(AND(I.Developer.P2a=TRUE,I.Developer.P2aC4=TRUE,F25119=""),"Incomplete","Complete")</f>
        <v>Complete</v>
      </c>
      <c r="I25119" s="48" t="s">
        <v>4193</v>
      </c>
    </row>
    <row r="25120" spans="2:9" ht="15" customHeight="1" x14ac:dyDescent="0.25">
      <c r="B25120" s="56" t="s">
        <v>318</v>
      </c>
      <c r="C25120" s="57">
        <v>3</v>
      </c>
      <c r="D25120" s="71" t="s">
        <v>29455</v>
      </c>
      <c r="E25120" s="61"/>
      <c r="F25120" s="61" t="str">
        <f>IF(INDEX(I.Production.P2aC4,3)="","",INDEX(I.Production.P2aC4,3))</f>
        <v/>
      </c>
      <c r="G25120" s="61"/>
      <c r="H25120" s="57" t="str">
        <f>IF(AND(I.Developer.P2a=TRUE,I.Developer.P2aC4=TRUE,F25120=""),"Incomplete","Complete")</f>
        <v>Complete</v>
      </c>
      <c r="I25120" s="49" t="s">
        <v>4194</v>
      </c>
    </row>
    <row r="25121" spans="2:9" ht="15" customHeight="1" x14ac:dyDescent="0.25">
      <c r="B25121" s="56" t="s">
        <v>319</v>
      </c>
      <c r="C25121" s="57">
        <v>1</v>
      </c>
      <c r="D25121" s="71" t="s">
        <v>29456</v>
      </c>
      <c r="E25121" s="61"/>
      <c r="F25121" s="61" t="str">
        <f>IF(INDEX(I.Production.P2bQuantity,1)="","",INDEX(I.Production.P2bQuantity,1))</f>
        <v/>
      </c>
      <c r="G25121" s="61"/>
      <c r="H25121" s="57" t="str">
        <f>IF(AND(I.Developer.P2b=TRUE,I.Production.P2bQuantity=""),"Incomplete","Complete")</f>
        <v>Complete</v>
      </c>
      <c r="I25121" s="49" t="s">
        <v>29400</v>
      </c>
    </row>
    <row r="25122" spans="2:9" ht="15" customHeight="1" x14ac:dyDescent="0.25">
      <c r="B25122" s="55" t="s">
        <v>320</v>
      </c>
      <c r="C25122" s="46">
        <v>1</v>
      </c>
      <c r="D25122" s="69" t="s">
        <v>29457</v>
      </c>
      <c r="E25122" s="62"/>
      <c r="F25122" s="62" t="str">
        <f>IF(INDEX(I.Production.P2bC1,1)="","",INDEX(I.Production.P2bC1,1))</f>
        <v/>
      </c>
      <c r="G25122" s="62"/>
      <c r="H25122" s="46" t="str">
        <f>IF(AND(I.Developer.P2b=TRUE,I.Developer.P2bC1=TRUE,I.Facility.StandardPart="Part 2",F25122=""),"Incomplete","Complete")</f>
        <v>Complete</v>
      </c>
      <c r="I25122" s="48" t="s">
        <v>4195</v>
      </c>
    </row>
    <row r="25123" spans="2:9" ht="15" customHeight="1" x14ac:dyDescent="0.25">
      <c r="B25123" s="55" t="s">
        <v>320</v>
      </c>
      <c r="C25123" s="46">
        <v>2</v>
      </c>
      <c r="D25123" s="69" t="s">
        <v>29457</v>
      </c>
      <c r="E25123" s="62"/>
      <c r="F25123" s="62" t="str">
        <f>IF(INDEX(I.Production.P2bC1,2)="","",INDEX(I.Production.P2bC1,2))</f>
        <v/>
      </c>
      <c r="G25123" s="62"/>
      <c r="H25123" s="46" t="str">
        <f>IF(AND(I.Developer.P2b=TRUE,I.Developer.P2bC1=TRUE,I.Developer.P2bC1V2=TRUE,I.Facility.StandardPart="Part 2",F25123=""),"Incomplete","Complete")</f>
        <v>Complete</v>
      </c>
      <c r="I25123" s="48" t="s">
        <v>4196</v>
      </c>
    </row>
    <row r="25124" spans="2:9" ht="15" customHeight="1" x14ac:dyDescent="0.25">
      <c r="B25124" s="55" t="s">
        <v>320</v>
      </c>
      <c r="C25124" s="46">
        <v>3</v>
      </c>
      <c r="D25124" s="69" t="s">
        <v>29457</v>
      </c>
      <c r="E25124" s="62"/>
      <c r="F25124" s="62" t="str">
        <f>IF(INDEX(I.Production.P2bC1,3)="","",INDEX(I.Production.P2bC1,3))</f>
        <v/>
      </c>
      <c r="G25124" s="62"/>
      <c r="H25124" s="46" t="str">
        <f>IF(AND(I.Developer.P2b=TRUE,I.Developer.P2bC1=TRUE,I.Developer.P2bC1V3=TRUE,I.Facility.StandardPart="Part 2",F25124=""),"Incomplete","Complete")</f>
        <v>Complete</v>
      </c>
      <c r="I25124" s="48" t="s">
        <v>4197</v>
      </c>
    </row>
    <row r="25125" spans="2:9" ht="15" customHeight="1" x14ac:dyDescent="0.25">
      <c r="B25125" s="55" t="s">
        <v>320</v>
      </c>
      <c r="C25125" s="46">
        <v>4</v>
      </c>
      <c r="D25125" s="69" t="s">
        <v>29457</v>
      </c>
      <c r="E25125" s="62"/>
      <c r="F25125" s="62" t="str">
        <f>IF(INDEX(I.Production.P2bC1,4)="","",INDEX(I.Production.P2bC1,4))</f>
        <v/>
      </c>
      <c r="G25125" s="62"/>
      <c r="H25125" s="46" t="str">
        <f>IF(AND(I.Developer.P2b=TRUE,I.Developer.P2bC1=TRUE,I.Developer.P2bC1V4=TRUE,I.Facility.StandardPart="Part 2",F25125=""),"Incomplete","Complete")</f>
        <v>Complete</v>
      </c>
      <c r="I25125" s="48" t="s">
        <v>4198</v>
      </c>
    </row>
    <row r="25126" spans="2:9" ht="15" customHeight="1" x14ac:dyDescent="0.25">
      <c r="B25126" s="55" t="s">
        <v>320</v>
      </c>
      <c r="C25126" s="46">
        <v>5</v>
      </c>
      <c r="D25126" s="69" t="s">
        <v>29457</v>
      </c>
      <c r="E25126" s="62"/>
      <c r="F25126" s="62" t="str">
        <f>IF(INDEX(I.Production.P2bC1,5)="","",INDEX(I.Production.P2bC1,5))</f>
        <v/>
      </c>
      <c r="G25126" s="62"/>
      <c r="H25126" s="46" t="str">
        <f>IF(AND(I.Developer.P2b=TRUE,I.Developer.P2bC1=TRUE,I.Developer.P2bC1V5=TRUE,I.Facility.StandardPart="Part 2",F25126=""),"Incomplete","Complete")</f>
        <v>Complete</v>
      </c>
      <c r="I25126" s="48" t="s">
        <v>4199</v>
      </c>
    </row>
    <row r="25127" spans="2:9" ht="15" customHeight="1" x14ac:dyDescent="0.25">
      <c r="B25127" s="55" t="s">
        <v>320</v>
      </c>
      <c r="C25127" s="46">
        <v>6</v>
      </c>
      <c r="D25127" s="69" t="s">
        <v>29457</v>
      </c>
      <c r="E25127" s="62"/>
      <c r="F25127" s="62" t="str">
        <f>IF(INDEX(I.Production.P2bC1,6)="","",INDEX(I.Production.P2bC1,6))</f>
        <v/>
      </c>
      <c r="G25127" s="62"/>
      <c r="H25127" s="46" t="str">
        <f>IF(AND(I.Developer.P2b=TRUE,I.Developer.P2bC1=TRUE,I.Developer.P2bC1V6=TRUE,I.Facility.StandardPart="Part 2",F25127=""),"Incomplete","Complete")</f>
        <v>Complete</v>
      </c>
      <c r="I25127" s="48" t="s">
        <v>4200</v>
      </c>
    </row>
    <row r="25128" spans="2:9" ht="15" customHeight="1" x14ac:dyDescent="0.25">
      <c r="B25128" s="55" t="s">
        <v>320</v>
      </c>
      <c r="C25128" s="46">
        <v>7</v>
      </c>
      <c r="D25128" s="69" t="s">
        <v>29457</v>
      </c>
      <c r="E25128" s="62"/>
      <c r="F25128" s="62" t="str">
        <f>IF(INDEX(I.Production.P2bC1,7)="","",INDEX(I.Production.P2bC1,7))</f>
        <v/>
      </c>
      <c r="G25128" s="62"/>
      <c r="H25128" s="46" t="str">
        <f>IF(AND(I.Developer.P2b=TRUE,I.Developer.P2bC1=TRUE,I.Facility.StandardPart="Part 3",F25128=""),"Incomplete","Complete")</f>
        <v>Complete</v>
      </c>
      <c r="I25128" s="48" t="s">
        <v>4201</v>
      </c>
    </row>
    <row r="25129" spans="2:9" ht="15" customHeight="1" x14ac:dyDescent="0.25">
      <c r="B25129" s="55" t="s">
        <v>320</v>
      </c>
      <c r="C25129" s="46">
        <v>8</v>
      </c>
      <c r="D25129" s="69" t="s">
        <v>29457</v>
      </c>
      <c r="E25129" s="62"/>
      <c r="F25129" s="62" t="str">
        <f>IF(INDEX(I.Production.P2bC1,8)="","",INDEX(I.Production.P2bC1,8))</f>
        <v/>
      </c>
      <c r="G25129" s="62"/>
      <c r="H25129" s="46" t="str">
        <f>IF(AND(I.Developer.P2b=TRUE,I.Developer.P2bC1=TRUE,I.Facility.StandardPart="Part 3",F25129=""),"Incomplete","Complete")</f>
        <v>Complete</v>
      </c>
      <c r="I25129" s="48" t="s">
        <v>4202</v>
      </c>
    </row>
    <row r="25130" spans="2:9" ht="15" customHeight="1" x14ac:dyDescent="0.25">
      <c r="B25130" s="56" t="s">
        <v>320</v>
      </c>
      <c r="C25130" s="57">
        <v>9</v>
      </c>
      <c r="D25130" s="71" t="s">
        <v>29457</v>
      </c>
      <c r="E25130" s="61"/>
      <c r="F25130" s="61" t="str">
        <f>IF(INDEX(I.Production.P2bC1,9)="","",INDEX(I.Production.P2bC1,9))</f>
        <v/>
      </c>
      <c r="G25130" s="61"/>
      <c r="H25130" s="57" t="str">
        <f>IF(AND(I.Developer.P2b=TRUE,I.Developer.P2bC1=TRUE,I.Facility.StandardPart="Part 3",F25130=""),"Incomplete","Complete")</f>
        <v>Complete</v>
      </c>
      <c r="I25130" s="49" t="s">
        <v>4203</v>
      </c>
    </row>
    <row r="25131" spans="2:9" ht="15" customHeight="1" x14ac:dyDescent="0.25">
      <c r="B25131" s="55" t="s">
        <v>321</v>
      </c>
      <c r="C25131" s="46">
        <v>1</v>
      </c>
      <c r="D25131" s="69" t="s">
        <v>29458</v>
      </c>
      <c r="E25131" s="62"/>
      <c r="F25131" s="62" t="str">
        <f>IF(INDEX(I.Production.P2bC2,1)="","",INDEX(I.Production.P2bC2,1))</f>
        <v/>
      </c>
      <c r="G25131" s="62"/>
      <c r="H25131" s="46" t="str">
        <f>IF(AND(I.Developer.P2b=TRUE,I.Developer.P2bC2=TRUE,F25131=""),"Incomplete","Complete")</f>
        <v>Complete</v>
      </c>
      <c r="I25131" s="48" t="s">
        <v>4204</v>
      </c>
    </row>
    <row r="25132" spans="2:9" ht="15" customHeight="1" x14ac:dyDescent="0.25">
      <c r="B25132" s="55" t="s">
        <v>321</v>
      </c>
      <c r="C25132" s="46">
        <v>2</v>
      </c>
      <c r="D25132" s="69" t="s">
        <v>29458</v>
      </c>
      <c r="E25132" s="62"/>
      <c r="F25132" s="62" t="str">
        <f>IF(INDEX(I.Production.P2bC2,2)="","",INDEX(I.Production.P2bC2,2))</f>
        <v/>
      </c>
      <c r="G25132" s="62"/>
      <c r="H25132" s="46" t="str">
        <f>IF(AND(I.Developer.P2b=TRUE,I.Developer.P2bC2=TRUE,F25132=""),"Incomplete","Complete")</f>
        <v>Complete</v>
      </c>
      <c r="I25132" s="48" t="s">
        <v>4205</v>
      </c>
    </row>
    <row r="25133" spans="2:9" ht="15" customHeight="1" x14ac:dyDescent="0.25">
      <c r="B25133" s="55" t="s">
        <v>321</v>
      </c>
      <c r="C25133" s="46">
        <v>3</v>
      </c>
      <c r="D25133" s="69" t="s">
        <v>29458</v>
      </c>
      <c r="E25133" s="62"/>
      <c r="F25133" s="62" t="str">
        <f>IF(INDEX(I.Production.P2bC2,3)="","",INDEX(I.Production.P2bC2,3))</f>
        <v/>
      </c>
      <c r="G25133" s="62"/>
      <c r="H25133" s="46" t="str">
        <f>IF(AND(I.Developer.P2b=TRUE,I.Developer.P2bC2=TRUE,F25133=""),"Incomplete","Complete")</f>
        <v>Complete</v>
      </c>
      <c r="I25133" s="48" t="s">
        <v>4206</v>
      </c>
    </row>
    <row r="25134" spans="2:9" ht="15" customHeight="1" x14ac:dyDescent="0.25">
      <c r="B25134" s="55" t="s">
        <v>321</v>
      </c>
      <c r="C25134" s="46">
        <v>4</v>
      </c>
      <c r="D25134" s="69" t="s">
        <v>29458</v>
      </c>
      <c r="E25134" s="62"/>
      <c r="F25134" s="62" t="str">
        <f>IF(INDEX(I.Production.P2bC2,4)="","",INDEX(I.Production.P2bC2,4))</f>
        <v/>
      </c>
      <c r="G25134" s="62"/>
      <c r="H25134" s="46" t="str">
        <f>IF(AND(I.Developer.P2b=TRUE,I.Developer.P2bC2=TRUE,F25134=""),"Incomplete","Complete")</f>
        <v>Complete</v>
      </c>
      <c r="I25134" s="48" t="s">
        <v>4207</v>
      </c>
    </row>
    <row r="25135" spans="2:9" ht="15" customHeight="1" x14ac:dyDescent="0.25">
      <c r="B25135" s="55" t="s">
        <v>321</v>
      </c>
      <c r="C25135" s="46">
        <v>5</v>
      </c>
      <c r="D25135" s="69" t="s">
        <v>29458</v>
      </c>
      <c r="E25135" s="62"/>
      <c r="F25135" s="62" t="str">
        <f>IF(INDEX(I.Production.P2bC2,5)="","",INDEX(I.Production.P2bC2,5))</f>
        <v/>
      </c>
      <c r="G25135" s="62"/>
      <c r="H25135" s="46" t="str">
        <f>IF(AND(I.Developer.P2b=TRUE,I.Developer.P2bC2=TRUE,F25135=""),"Incomplete","Complete")</f>
        <v>Complete</v>
      </c>
      <c r="I25135" s="48" t="s">
        <v>4208</v>
      </c>
    </row>
    <row r="25136" spans="2:9" ht="15" customHeight="1" x14ac:dyDescent="0.25">
      <c r="B25136" s="55" t="s">
        <v>321</v>
      </c>
      <c r="C25136" s="46">
        <v>6</v>
      </c>
      <c r="D25136" s="69" t="s">
        <v>29458</v>
      </c>
      <c r="E25136" s="62"/>
      <c r="F25136" s="62" t="str">
        <f>IF(INDEX(I.Production.P2bC2,6)="","",INDEX(I.Production.P2bC2,6))</f>
        <v/>
      </c>
      <c r="G25136" s="62"/>
      <c r="H25136" s="46" t="str">
        <f>IF(AND(I.Developer.P2b=TRUE,I.Developer.P2bC2=TRUE,F25136=""),"Incomplete","Complete")</f>
        <v>Complete</v>
      </c>
      <c r="I25136" s="48" t="s">
        <v>4209</v>
      </c>
    </row>
    <row r="25137" spans="2:9" ht="15" customHeight="1" x14ac:dyDescent="0.25">
      <c r="B25137" s="55" t="s">
        <v>321</v>
      </c>
      <c r="C25137" s="46">
        <v>7</v>
      </c>
      <c r="D25137" s="69" t="s">
        <v>29458</v>
      </c>
      <c r="E25137" s="62"/>
      <c r="F25137" s="62" t="str">
        <f>IF(INDEX(I.Production.P2bC2,7)="","",INDEX(I.Production.P2bC2,7))</f>
        <v/>
      </c>
      <c r="G25137" s="62"/>
      <c r="H25137" s="46" t="str">
        <f>IF(AND(I.Developer.P2b=TRUE,I.Developer.P2bC2=TRUE,F25137=""),"Incomplete","Complete")</f>
        <v>Complete</v>
      </c>
      <c r="I25137" s="48" t="s">
        <v>4210</v>
      </c>
    </row>
    <row r="25138" spans="2:9" ht="15" customHeight="1" x14ac:dyDescent="0.25">
      <c r="B25138" s="55" t="s">
        <v>321</v>
      </c>
      <c r="C25138" s="46">
        <v>8</v>
      </c>
      <c r="D25138" s="69" t="s">
        <v>29458</v>
      </c>
      <c r="E25138" s="62"/>
      <c r="F25138" s="62" t="str">
        <f>IF(INDEX(I.Production.P2bC2,8)="","",INDEX(I.Production.P2bC2,8))</f>
        <v/>
      </c>
      <c r="G25138" s="62"/>
      <c r="H25138" s="46" t="str">
        <f>IF(AND(I.Developer.P2b=TRUE,I.Developer.P2bC2=TRUE,F25138=""),"Incomplete","Complete")</f>
        <v>Complete</v>
      </c>
      <c r="I25138" s="48" t="s">
        <v>4211</v>
      </c>
    </row>
    <row r="25139" spans="2:9" ht="15" customHeight="1" x14ac:dyDescent="0.25">
      <c r="B25139" s="55" t="s">
        <v>321</v>
      </c>
      <c r="C25139" s="46">
        <v>9</v>
      </c>
      <c r="D25139" s="69" t="s">
        <v>29458</v>
      </c>
      <c r="E25139" s="62"/>
      <c r="F25139" s="62" t="str">
        <f>IF(INDEX(I.Production.P2bC2,9)="","",INDEX(I.Production.P2bC2,9))</f>
        <v/>
      </c>
      <c r="G25139" s="62"/>
      <c r="H25139" s="46" t="str">
        <f>IF(AND(I.Developer.P2b=TRUE,I.Developer.P2bC2=TRUE,F25139=""),"Incomplete","Complete")</f>
        <v>Complete</v>
      </c>
      <c r="I25139" s="48" t="s">
        <v>4212</v>
      </c>
    </row>
    <row r="25140" spans="2:9" ht="15" customHeight="1" x14ac:dyDescent="0.25">
      <c r="B25140" s="55" t="s">
        <v>321</v>
      </c>
      <c r="C25140" s="46">
        <v>10</v>
      </c>
      <c r="D25140" s="69" t="s">
        <v>29458</v>
      </c>
      <c r="E25140" s="62"/>
      <c r="F25140" s="62" t="str">
        <f>IF(INDEX(I.Production.P2bC2,10)="","",INDEX(I.Production.P2bC2,10))</f>
        <v/>
      </c>
      <c r="G25140" s="62"/>
      <c r="H25140" s="46" t="str">
        <f>IF(AND(I.Developer.P2b=TRUE,I.Developer.P2bC2=TRUE,F25140=""),"Incomplete","Complete")</f>
        <v>Complete</v>
      </c>
      <c r="I25140" s="48" t="s">
        <v>4213</v>
      </c>
    </row>
    <row r="25141" spans="2:9" ht="15" customHeight="1" x14ac:dyDescent="0.25">
      <c r="B25141" s="55" t="s">
        <v>321</v>
      </c>
      <c r="C25141" s="46">
        <v>11</v>
      </c>
      <c r="D25141" s="69" t="s">
        <v>29458</v>
      </c>
      <c r="E25141" s="62"/>
      <c r="F25141" s="62" t="str">
        <f>IF(INDEX(I.Production.P2bC2,11)="","",INDEX(I.Production.P2bC2,11))</f>
        <v/>
      </c>
      <c r="G25141" s="62"/>
      <c r="H25141" s="46" t="str">
        <f>IF(AND(I.Developer.P2b=TRUE,I.Developer.P2bC2=TRUE,F25141=""),"Incomplete","Complete")</f>
        <v>Complete</v>
      </c>
      <c r="I25141" s="48" t="s">
        <v>4214</v>
      </c>
    </row>
    <row r="25142" spans="2:9" ht="15" customHeight="1" x14ac:dyDescent="0.25">
      <c r="B25142" s="55" t="s">
        <v>321</v>
      </c>
      <c r="C25142" s="46">
        <v>12</v>
      </c>
      <c r="D25142" s="69" t="s">
        <v>29458</v>
      </c>
      <c r="E25142" s="62"/>
      <c r="F25142" s="62" t="str">
        <f>IF(INDEX(I.Production.P2bC2,12)="","",INDEX(I.Production.P2bC2,12))</f>
        <v/>
      </c>
      <c r="G25142" s="62"/>
      <c r="H25142" s="46" t="str">
        <f>IF(AND(I.Developer.P2b=TRUE,I.Developer.P2bC2=TRUE,F25142=""),"Incomplete","Complete")</f>
        <v>Complete</v>
      </c>
      <c r="I25142" s="48" t="s">
        <v>4215</v>
      </c>
    </row>
    <row r="25143" spans="2:9" ht="15" customHeight="1" x14ac:dyDescent="0.25">
      <c r="B25143" s="55" t="s">
        <v>321</v>
      </c>
      <c r="C25143" s="46">
        <v>13</v>
      </c>
      <c r="D25143" s="69" t="s">
        <v>29458</v>
      </c>
      <c r="E25143" s="62"/>
      <c r="F25143" s="62" t="str">
        <f>IF(INDEX(I.Production.P2bC2,13)="","",INDEX(I.Production.P2bC2,13))</f>
        <v/>
      </c>
      <c r="G25143" s="62"/>
      <c r="H25143" s="46" t="str">
        <f>IF(AND(I.Developer.P2b=TRUE,I.Developer.P2bC2=TRUE,F25143=""),"Incomplete","Complete")</f>
        <v>Complete</v>
      </c>
      <c r="I25143" s="48" t="s">
        <v>4216</v>
      </c>
    </row>
    <row r="25144" spans="2:9" ht="15" customHeight="1" x14ac:dyDescent="0.25">
      <c r="B25144" s="55" t="s">
        <v>321</v>
      </c>
      <c r="C25144" s="46">
        <v>14</v>
      </c>
      <c r="D25144" s="69" t="s">
        <v>29458</v>
      </c>
      <c r="E25144" s="62"/>
      <c r="F25144" s="62" t="str">
        <f>IF(INDEX(I.Production.P2bC2,14)="","",INDEX(I.Production.P2bC2,14))</f>
        <v/>
      </c>
      <c r="G25144" s="62"/>
      <c r="H25144" s="46" t="str">
        <f>IF(AND(I.Developer.P2b=TRUE,I.Developer.P2bC2=TRUE,F25144=""),"Incomplete","Complete")</f>
        <v>Complete</v>
      </c>
      <c r="I25144" s="48" t="s">
        <v>4217</v>
      </c>
    </row>
    <row r="25145" spans="2:9" ht="15" customHeight="1" x14ac:dyDescent="0.25">
      <c r="B25145" s="55" t="s">
        <v>321</v>
      </c>
      <c r="C25145" s="46">
        <v>15</v>
      </c>
      <c r="D25145" s="69" t="s">
        <v>29458</v>
      </c>
      <c r="E25145" s="62"/>
      <c r="F25145" s="62" t="str">
        <f>IF(INDEX(I.Production.P2bC2,15)="","",INDEX(I.Production.P2bC2,15))</f>
        <v/>
      </c>
      <c r="G25145" s="62"/>
      <c r="H25145" s="46" t="str">
        <f>IF(AND(I.Developer.P2b=TRUE,I.Developer.P2bC2=TRUE,F25145=""),"Incomplete","Complete")</f>
        <v>Complete</v>
      </c>
      <c r="I25145" s="48" t="s">
        <v>4218</v>
      </c>
    </row>
    <row r="25146" spans="2:9" ht="15" customHeight="1" x14ac:dyDescent="0.25">
      <c r="B25146" s="55" t="s">
        <v>321</v>
      </c>
      <c r="C25146" s="46">
        <v>16</v>
      </c>
      <c r="D25146" s="69" t="s">
        <v>29458</v>
      </c>
      <c r="E25146" s="62"/>
      <c r="F25146" s="62" t="str">
        <f>IF(INDEX(I.Production.P2bC2,16)="","",INDEX(I.Production.P2bC2,16))</f>
        <v/>
      </c>
      <c r="G25146" s="62"/>
      <c r="H25146" s="46" t="str">
        <f>IF(AND(I.Developer.P2b=TRUE,I.Developer.P2bC2=TRUE,F25146=""),"Incomplete","Complete")</f>
        <v>Complete</v>
      </c>
      <c r="I25146" s="48" t="s">
        <v>4219</v>
      </c>
    </row>
    <row r="25147" spans="2:9" ht="15" customHeight="1" x14ac:dyDescent="0.25">
      <c r="B25147" s="55" t="s">
        <v>321</v>
      </c>
      <c r="C25147" s="46">
        <v>17</v>
      </c>
      <c r="D25147" s="69" t="s">
        <v>29458</v>
      </c>
      <c r="E25147" s="62"/>
      <c r="F25147" s="62" t="str">
        <f>IF(INDEX(I.Production.P2bC2,17)="","",INDEX(I.Production.P2bC2,17))</f>
        <v/>
      </c>
      <c r="G25147" s="62"/>
      <c r="H25147" s="46" t="str">
        <f>IF(AND(I.Developer.P2b=TRUE,I.Developer.P2bC2=TRUE,F25147=""),"Incomplete","Complete")</f>
        <v>Complete</v>
      </c>
      <c r="I25147" s="48" t="s">
        <v>4220</v>
      </c>
    </row>
    <row r="25148" spans="2:9" ht="15" customHeight="1" x14ac:dyDescent="0.25">
      <c r="B25148" s="55" t="s">
        <v>321</v>
      </c>
      <c r="C25148" s="46">
        <v>18</v>
      </c>
      <c r="D25148" s="69" t="s">
        <v>29458</v>
      </c>
      <c r="E25148" s="62"/>
      <c r="F25148" s="62" t="str">
        <f>IF(INDEX(I.Production.P2bC2,18)="","",INDEX(I.Production.P2bC2,18))</f>
        <v/>
      </c>
      <c r="G25148" s="62"/>
      <c r="H25148" s="46" t="str">
        <f>IF(AND(I.Developer.P2b=TRUE,I.Developer.P2bC2=TRUE,F25148=""),"Incomplete","Complete")</f>
        <v>Complete</v>
      </c>
      <c r="I25148" s="48" t="s">
        <v>4221</v>
      </c>
    </row>
    <row r="25149" spans="2:9" ht="15" customHeight="1" x14ac:dyDescent="0.25">
      <c r="B25149" s="55" t="s">
        <v>321</v>
      </c>
      <c r="C25149" s="46">
        <v>19</v>
      </c>
      <c r="D25149" s="69" t="s">
        <v>29458</v>
      </c>
      <c r="E25149" s="62"/>
      <c r="F25149" s="62" t="str">
        <f>IF(INDEX(I.Production.P2bC2,19)="","",INDEX(I.Production.P2bC2,19))</f>
        <v/>
      </c>
      <c r="G25149" s="62"/>
      <c r="H25149" s="46" t="str">
        <f>IF(AND(I.Developer.P2b=TRUE,I.Developer.P2bC2=TRUE,F25149=""),"Incomplete","Complete")</f>
        <v>Complete</v>
      </c>
      <c r="I25149" s="48" t="s">
        <v>4222</v>
      </c>
    </row>
    <row r="25150" spans="2:9" ht="15" customHeight="1" x14ac:dyDescent="0.25">
      <c r="B25150" s="55" t="s">
        <v>321</v>
      </c>
      <c r="C25150" s="46">
        <v>20</v>
      </c>
      <c r="D25150" s="69" t="s">
        <v>29458</v>
      </c>
      <c r="E25150" s="62"/>
      <c r="F25150" s="62" t="str">
        <f>IF(INDEX(I.Production.P2bC2,20)="","",INDEX(I.Production.P2bC2,20))</f>
        <v/>
      </c>
      <c r="G25150" s="62"/>
      <c r="H25150" s="46" t="str">
        <f>IF(AND(I.Developer.P2b=TRUE,I.Developer.P2bC2=TRUE,F25150=""),"Incomplete","Complete")</f>
        <v>Complete</v>
      </c>
      <c r="I25150" s="48" t="s">
        <v>4223</v>
      </c>
    </row>
    <row r="25151" spans="2:9" ht="15" customHeight="1" x14ac:dyDescent="0.25">
      <c r="B25151" s="56" t="s">
        <v>321</v>
      </c>
      <c r="C25151" s="57">
        <v>21</v>
      </c>
      <c r="D25151" s="71" t="s">
        <v>29458</v>
      </c>
      <c r="E25151" s="61"/>
      <c r="F25151" s="61" t="str">
        <f>IF(INDEX(I.Production.P2bC2,21)="","",INDEX(I.Production.P2bC2,21))</f>
        <v/>
      </c>
      <c r="G25151" s="61"/>
      <c r="H25151" s="57" t="str">
        <f>IF(AND(I.Developer.P2b=TRUE,I.Developer.P2bC2=TRUE,F25151=""),"Incomplete","Complete")</f>
        <v>Complete</v>
      </c>
      <c r="I25151" s="49" t="s">
        <v>4224</v>
      </c>
    </row>
    <row r="25152" spans="2:9" ht="15" customHeight="1" x14ac:dyDescent="0.25">
      <c r="B25152" s="55" t="s">
        <v>322</v>
      </c>
      <c r="C25152" s="46">
        <v>1</v>
      </c>
      <c r="D25152" s="69" t="s">
        <v>29459</v>
      </c>
      <c r="E25152" s="62"/>
      <c r="F25152" s="62" t="str">
        <f>IF(INDEX(I.Production.P2bC3,1)="","",INDEX(I.Production.P2bC3,1))</f>
        <v/>
      </c>
      <c r="G25152" s="62"/>
      <c r="H25152" s="46" t="str">
        <f>IF(AND(I.Developer.P2b=TRUE,I.Developer.P2bC3=TRUE,I.Facility.StandardPart="Part 2",F25152=""),"Incomplete","Complete")</f>
        <v>Complete</v>
      </c>
      <c r="I25152" s="48" t="s">
        <v>4225</v>
      </c>
    </row>
    <row r="25153" spans="2:9" ht="15" customHeight="1" x14ac:dyDescent="0.25">
      <c r="B25153" s="55" t="s">
        <v>322</v>
      </c>
      <c r="C25153" s="46">
        <v>2</v>
      </c>
      <c r="D25153" s="69" t="s">
        <v>29459</v>
      </c>
      <c r="E25153" s="62"/>
      <c r="F25153" s="62" t="str">
        <f>IF(INDEX(I.Production.P2bC3,2)="","",INDEX(I.Production.P2bC3,2))</f>
        <v/>
      </c>
      <c r="G25153" s="62"/>
      <c r="H25153" s="46" t="str">
        <f>IF(AND(I.Developer.P2b=TRUE,I.Developer.P2bC3=TRUE,I.Facility.StandardPart="Part 2",F25153=""),"Incomplete","Complete")</f>
        <v>Complete</v>
      </c>
      <c r="I25153" s="48" t="s">
        <v>4226</v>
      </c>
    </row>
    <row r="25154" spans="2:9" ht="15" customHeight="1" x14ac:dyDescent="0.25">
      <c r="B25154" s="55" t="s">
        <v>322</v>
      </c>
      <c r="C25154" s="46">
        <v>3</v>
      </c>
      <c r="D25154" s="69" t="s">
        <v>29459</v>
      </c>
      <c r="E25154" s="62"/>
      <c r="F25154" s="62" t="str">
        <f>IF(INDEX(I.Production.P2bC3,3)="","",INDEX(I.Production.P2bC3,3))</f>
        <v/>
      </c>
      <c r="G25154" s="62"/>
      <c r="H25154" s="46" t="str">
        <f>IF(AND(I.Developer.P2b=TRUE,I.Developer.P2bC3=TRUE,I.Facility.StandardPart="Part 3",F25154=""),"Incomplete","Complete")</f>
        <v>Complete</v>
      </c>
      <c r="I25154" s="48" t="s">
        <v>4227</v>
      </c>
    </row>
    <row r="25155" spans="2:9" ht="15" customHeight="1" x14ac:dyDescent="0.25">
      <c r="B25155" s="55" t="s">
        <v>322</v>
      </c>
      <c r="C25155" s="46">
        <v>4</v>
      </c>
      <c r="D25155" s="69" t="s">
        <v>29459</v>
      </c>
      <c r="E25155" s="62"/>
      <c r="F25155" s="62" t="str">
        <f>IF(INDEX(I.Production.P2bC3,4)="","",INDEX(I.Production.P2bC3,4))</f>
        <v/>
      </c>
      <c r="G25155" s="62"/>
      <c r="H25155" s="46" t="str">
        <f>IF(AND(I.Developer.P2b=TRUE,I.Developer.P2bC3=TRUE,I.Facility.StandardPart="Part 3",F25155=""),"Incomplete","Complete")</f>
        <v>Complete</v>
      </c>
      <c r="I25155" s="48" t="s">
        <v>4228</v>
      </c>
    </row>
    <row r="25156" spans="2:9" ht="15" customHeight="1" x14ac:dyDescent="0.25">
      <c r="B25156" s="56" t="s">
        <v>322</v>
      </c>
      <c r="C25156" s="57">
        <v>5</v>
      </c>
      <c r="D25156" s="71" t="s">
        <v>29459</v>
      </c>
      <c r="E25156" s="61"/>
      <c r="F25156" s="61" t="str">
        <f>IF(INDEX(I.Production.P2bC3,5)="","",INDEX(I.Production.P2bC3,5))</f>
        <v/>
      </c>
      <c r="G25156" s="61"/>
      <c r="H25156" s="57" t="str">
        <f>IF(AND(I.Developer.P2b=TRUE,I.Developer.P2bC3=TRUE,I.Facility.StandardPart="Part 3",F25156=""),"Incomplete","Complete")</f>
        <v>Complete</v>
      </c>
      <c r="I25156" s="49" t="s">
        <v>4229</v>
      </c>
    </row>
    <row r="25157" spans="2:9" ht="15" customHeight="1" x14ac:dyDescent="0.25">
      <c r="B25157" s="55" t="s">
        <v>323</v>
      </c>
      <c r="C25157" s="46">
        <v>1</v>
      </c>
      <c r="D25157" s="69" t="s">
        <v>29460</v>
      </c>
      <c r="E25157" s="62"/>
      <c r="F25157" s="62" t="str">
        <f>IF(INDEX(I.Production.P2bC4,1)="","",INDEX(I.Production.P2bC4,1))</f>
        <v/>
      </c>
      <c r="G25157" s="62"/>
      <c r="H25157" s="46" t="str">
        <f>IF(AND(I.Developer.P2b=TRUE,I.Developer.P2bC4=TRUE,F25157=""),"Incomplete","Complete")</f>
        <v>Complete</v>
      </c>
      <c r="I25157" s="48" t="s">
        <v>4230</v>
      </c>
    </row>
    <row r="25158" spans="2:9" ht="15" customHeight="1" x14ac:dyDescent="0.25">
      <c r="B25158" s="55" t="s">
        <v>323</v>
      </c>
      <c r="C25158" s="46">
        <v>2</v>
      </c>
      <c r="D25158" s="69" t="s">
        <v>29460</v>
      </c>
      <c r="E25158" s="62"/>
      <c r="F25158" s="62" t="str">
        <f>IF(INDEX(I.Production.P2bC4,2)="","",INDEX(I.Production.P2bC4,2))</f>
        <v/>
      </c>
      <c r="G25158" s="62"/>
      <c r="H25158" s="46" t="str">
        <f>IF(AND(I.Developer.P2b=TRUE,I.Developer.P2bC4=TRUE,F25158=""),"Incomplete","Complete")</f>
        <v>Complete</v>
      </c>
      <c r="I25158" s="48" t="s">
        <v>4231</v>
      </c>
    </row>
    <row r="25159" spans="2:9" ht="15" customHeight="1" x14ac:dyDescent="0.25">
      <c r="B25159" s="56" t="s">
        <v>323</v>
      </c>
      <c r="C25159" s="57">
        <v>3</v>
      </c>
      <c r="D25159" s="71" t="s">
        <v>29460</v>
      </c>
      <c r="E25159" s="61"/>
      <c r="F25159" s="61" t="str">
        <f>IF(INDEX(I.Production.P2bC4,3)="","",INDEX(I.Production.P2bC4,3))</f>
        <v/>
      </c>
      <c r="G25159" s="61"/>
      <c r="H25159" s="57" t="str">
        <f>IF(AND(I.Developer.P2b=TRUE,I.Developer.P2bC4=TRUE,F25159=""),"Incomplete","Complete")</f>
        <v>Complete</v>
      </c>
      <c r="I25159" s="49" t="s">
        <v>4232</v>
      </c>
    </row>
    <row r="25160" spans="2:9" ht="15" customHeight="1" x14ac:dyDescent="0.25">
      <c r="B25160" s="56" t="s">
        <v>324</v>
      </c>
      <c r="C25160" s="57">
        <v>1</v>
      </c>
      <c r="D25160" s="71" t="s">
        <v>29461</v>
      </c>
      <c r="E25160" s="61"/>
      <c r="F25160" s="61" t="str">
        <f>IF(INDEX(I.Production.P3Quantity,1)="","",INDEX(I.Production.P3Quantity,1))</f>
        <v/>
      </c>
      <c r="G25160" s="61"/>
      <c r="H25160" s="57" t="str">
        <f>IF(AND(I.Developer.P3=TRUE,I.Production.P3Quantity=""),"Incomplete","Complete")</f>
        <v>Complete</v>
      </c>
      <c r="I25160" s="49" t="s">
        <v>29401</v>
      </c>
    </row>
    <row r="25161" spans="2:9" ht="15" customHeight="1" x14ac:dyDescent="0.25">
      <c r="B25161" s="55" t="s">
        <v>325</v>
      </c>
      <c r="C25161" s="46">
        <v>1</v>
      </c>
      <c r="D25161" s="69" t="s">
        <v>29462</v>
      </c>
      <c r="E25161" s="62"/>
      <c r="F25161" s="62" t="str">
        <f>IF(INDEX(I.Production.P3C1,1)="","",INDEX(I.Production.P3C1,1))</f>
        <v/>
      </c>
      <c r="G25161" s="62"/>
      <c r="H25161" s="46" t="str">
        <f>IF(AND(I.Developer.P3=TRUE,I.Developer.P3C1=TRUE,I.Facility.StandardPart="Part 2",F25161=""),"Incomplete","Complete")</f>
        <v>Complete</v>
      </c>
      <c r="I25161" s="48" t="s">
        <v>4233</v>
      </c>
    </row>
    <row r="25162" spans="2:9" ht="15" customHeight="1" x14ac:dyDescent="0.25">
      <c r="B25162" s="55" t="s">
        <v>325</v>
      </c>
      <c r="C25162" s="46">
        <v>2</v>
      </c>
      <c r="D25162" s="69" t="s">
        <v>29462</v>
      </c>
      <c r="E25162" s="62"/>
      <c r="F25162" s="62" t="str">
        <f>IF(INDEX(I.Production.P3C1,2)="","",INDEX(I.Production.P3C1,2))</f>
        <v/>
      </c>
      <c r="G25162" s="62"/>
      <c r="H25162" s="46" t="str">
        <f>IF(AND(I.Developer.P3=TRUE,I.Developer.P3C1=TRUE,I.Developer.P3C1V2=TRUE,I.Facility.StandardPart="Part 2",F25162=""),"Incomplete","Complete")</f>
        <v>Complete</v>
      </c>
      <c r="I25162" s="48" t="s">
        <v>4234</v>
      </c>
    </row>
    <row r="25163" spans="2:9" ht="15" customHeight="1" x14ac:dyDescent="0.25">
      <c r="B25163" s="55" t="s">
        <v>325</v>
      </c>
      <c r="C25163" s="46">
        <v>3</v>
      </c>
      <c r="D25163" s="69" t="s">
        <v>29462</v>
      </c>
      <c r="E25163" s="62"/>
      <c r="F25163" s="62" t="str">
        <f>IF(INDEX(I.Production.P3C1,3)="","",INDEX(I.Production.P3C1,3))</f>
        <v/>
      </c>
      <c r="G25163" s="62"/>
      <c r="H25163" s="46" t="str">
        <f>IF(AND(I.Developer.P3=TRUE,I.Developer.P3C1=TRUE,I.Developer.P3C1V3=TRUE,I.Facility.StandardPart="Part 2",F25163=""),"Incomplete","Complete")</f>
        <v>Complete</v>
      </c>
      <c r="I25163" s="48" t="s">
        <v>4235</v>
      </c>
    </row>
    <row r="25164" spans="2:9" ht="15" customHeight="1" x14ac:dyDescent="0.25">
      <c r="B25164" s="55" t="s">
        <v>325</v>
      </c>
      <c r="C25164" s="46">
        <v>4</v>
      </c>
      <c r="D25164" s="69" t="s">
        <v>29462</v>
      </c>
      <c r="E25164" s="62"/>
      <c r="F25164" s="62" t="str">
        <f>IF(INDEX(I.Production.P3C1,4)="","",INDEX(I.Production.P3C1,4))</f>
        <v/>
      </c>
      <c r="G25164" s="62"/>
      <c r="H25164" s="46" t="str">
        <f>IF(AND(I.Developer.P3=TRUE,I.Developer.P3C1=TRUE,I.Developer.P3C1V4=TRUE,I.Facility.StandardPart="Part 2",F25164=""),"Incomplete","Complete")</f>
        <v>Complete</v>
      </c>
      <c r="I25164" s="48" t="s">
        <v>4236</v>
      </c>
    </row>
    <row r="25165" spans="2:9" ht="15" customHeight="1" x14ac:dyDescent="0.25">
      <c r="B25165" s="55" t="s">
        <v>325</v>
      </c>
      <c r="C25165" s="46">
        <v>5</v>
      </c>
      <c r="D25165" s="69" t="s">
        <v>29462</v>
      </c>
      <c r="E25165" s="62"/>
      <c r="F25165" s="62" t="str">
        <f>IF(INDEX(I.Production.P3C1,5)="","",INDEX(I.Production.P3C1,5))</f>
        <v/>
      </c>
      <c r="G25165" s="62"/>
      <c r="H25165" s="46" t="str">
        <f>IF(AND(I.Developer.P3=TRUE,I.Developer.P3C1=TRUE,I.Developer.P3C1V5=TRUE,I.Facility.StandardPart="Part 2",F25165=""),"Incomplete","Complete")</f>
        <v>Complete</v>
      </c>
      <c r="I25165" s="48" t="s">
        <v>4237</v>
      </c>
    </row>
    <row r="25166" spans="2:9" ht="15" customHeight="1" x14ac:dyDescent="0.25">
      <c r="B25166" s="55" t="s">
        <v>325</v>
      </c>
      <c r="C25166" s="46">
        <v>6</v>
      </c>
      <c r="D25166" s="69" t="s">
        <v>29462</v>
      </c>
      <c r="E25166" s="62"/>
      <c r="F25166" s="62" t="str">
        <f>IF(INDEX(I.Production.P3C1,6)="","",INDEX(I.Production.P3C1,6))</f>
        <v/>
      </c>
      <c r="G25166" s="62"/>
      <c r="H25166" s="46" t="str">
        <f>IF(AND(I.Developer.P3=TRUE,I.Developer.P3C1=TRUE,I.Developer.P3C1V6=TRUE,I.Facility.StandardPart="Part 2",F25166=""),"Incomplete","Complete")</f>
        <v>Complete</v>
      </c>
      <c r="I25166" s="48" t="s">
        <v>4238</v>
      </c>
    </row>
    <row r="25167" spans="2:9" ht="15" customHeight="1" x14ac:dyDescent="0.25">
      <c r="B25167" s="55" t="s">
        <v>325</v>
      </c>
      <c r="C25167" s="46">
        <v>7</v>
      </c>
      <c r="D25167" s="69" t="s">
        <v>29462</v>
      </c>
      <c r="E25167" s="62"/>
      <c r="F25167" s="62" t="str">
        <f>IF(INDEX(I.Production.P3C1,7)="","",INDEX(I.Production.P3C1,7))</f>
        <v/>
      </c>
      <c r="G25167" s="62"/>
      <c r="H25167" s="46" t="str">
        <f>IF(AND(I.Developer.P3=TRUE,I.Developer.P3C1=TRUE,I.Facility.StandardPart="Part 3",F25167=""),"Incomplete","Complete")</f>
        <v>Complete</v>
      </c>
      <c r="I25167" s="48" t="s">
        <v>4239</v>
      </c>
    </row>
    <row r="25168" spans="2:9" ht="15" customHeight="1" x14ac:dyDescent="0.25">
      <c r="B25168" s="55" t="s">
        <v>325</v>
      </c>
      <c r="C25168" s="46">
        <v>8</v>
      </c>
      <c r="D25168" s="69" t="s">
        <v>29462</v>
      </c>
      <c r="E25168" s="62"/>
      <c r="F25168" s="62" t="str">
        <f>IF(INDEX(I.Production.P3C1,8)="","",INDEX(I.Production.P3C1,8))</f>
        <v/>
      </c>
      <c r="G25168" s="62"/>
      <c r="H25168" s="46" t="str">
        <f>IF(AND(I.Developer.P3=TRUE,I.Developer.P3C1=TRUE,I.Facility.StandardPart="Part 3",F25168=""),"Incomplete","Complete")</f>
        <v>Complete</v>
      </c>
      <c r="I25168" s="48" t="s">
        <v>4240</v>
      </c>
    </row>
    <row r="25169" spans="2:9" ht="15" customHeight="1" x14ac:dyDescent="0.25">
      <c r="B25169" s="56" t="s">
        <v>325</v>
      </c>
      <c r="C25169" s="57">
        <v>9</v>
      </c>
      <c r="D25169" s="71" t="s">
        <v>29462</v>
      </c>
      <c r="E25169" s="61"/>
      <c r="F25169" s="61" t="str">
        <f>IF(INDEX(I.Production.P3C1,9)="","",INDEX(I.Production.P3C1,9))</f>
        <v/>
      </c>
      <c r="G25169" s="61"/>
      <c r="H25169" s="57" t="str">
        <f>IF(AND(I.Developer.P3=TRUE,I.Developer.P3C1=TRUE,I.Facility.StandardPart="Part 3",F25169=""),"Incomplete","Complete")</f>
        <v>Complete</v>
      </c>
      <c r="I25169" s="49" t="s">
        <v>4241</v>
      </c>
    </row>
    <row r="25170" spans="2:9" ht="15" customHeight="1" x14ac:dyDescent="0.25">
      <c r="B25170" s="55" t="s">
        <v>326</v>
      </c>
      <c r="C25170" s="46">
        <v>1</v>
      </c>
      <c r="D25170" s="69" t="s">
        <v>29463</v>
      </c>
      <c r="E25170" s="62"/>
      <c r="F25170" s="62" t="str">
        <f>IF(INDEX(I.Production.P3C2,1)="","",INDEX(I.Production.P3C2,1))</f>
        <v/>
      </c>
      <c r="G25170" s="62"/>
      <c r="H25170" s="46" t="str">
        <f>IF(AND(I.Developer.P3=TRUE,I.Developer.P3C2=TRUE,F25170=""),"Incomplete","Complete")</f>
        <v>Complete</v>
      </c>
      <c r="I25170" s="48" t="s">
        <v>4242</v>
      </c>
    </row>
    <row r="25171" spans="2:9" ht="15" customHeight="1" x14ac:dyDescent="0.25">
      <c r="B25171" s="55" t="s">
        <v>326</v>
      </c>
      <c r="C25171" s="46">
        <v>2</v>
      </c>
      <c r="D25171" s="69" t="s">
        <v>29463</v>
      </c>
      <c r="E25171" s="62"/>
      <c r="F25171" s="62" t="str">
        <f>IF(INDEX(I.Production.P3C2,2)="","",INDEX(I.Production.P3C2,2))</f>
        <v/>
      </c>
      <c r="G25171" s="62"/>
      <c r="H25171" s="46" t="str">
        <f>IF(AND(I.Developer.P3=TRUE,I.Developer.P3C2=TRUE,F25171=""),"Incomplete","Complete")</f>
        <v>Complete</v>
      </c>
      <c r="I25171" s="48" t="s">
        <v>4243</v>
      </c>
    </row>
    <row r="25172" spans="2:9" ht="15" customHeight="1" x14ac:dyDescent="0.25">
      <c r="B25172" s="55" t="s">
        <v>326</v>
      </c>
      <c r="C25172" s="46">
        <v>3</v>
      </c>
      <c r="D25172" s="69" t="s">
        <v>29463</v>
      </c>
      <c r="E25172" s="62"/>
      <c r="F25172" s="62" t="str">
        <f>IF(INDEX(I.Production.P3C2,3)="","",INDEX(I.Production.P3C2,3))</f>
        <v/>
      </c>
      <c r="G25172" s="62"/>
      <c r="H25172" s="46" t="str">
        <f>IF(AND(I.Developer.P3=TRUE,I.Developer.P3C2=TRUE,F25172=""),"Incomplete","Complete")</f>
        <v>Complete</v>
      </c>
      <c r="I25172" s="48" t="s">
        <v>4244</v>
      </c>
    </row>
    <row r="25173" spans="2:9" ht="15" customHeight="1" x14ac:dyDescent="0.25">
      <c r="B25173" s="55" t="s">
        <v>326</v>
      </c>
      <c r="C25173" s="46">
        <v>4</v>
      </c>
      <c r="D25173" s="69" t="s">
        <v>29463</v>
      </c>
      <c r="E25173" s="62"/>
      <c r="F25173" s="62" t="str">
        <f>IF(INDEX(I.Production.P3C2,4)="","",INDEX(I.Production.P3C2,4))</f>
        <v/>
      </c>
      <c r="G25173" s="62"/>
      <c r="H25173" s="46" t="str">
        <f>IF(AND(I.Developer.P3=TRUE,I.Developer.P3C2=TRUE,F25173=""),"Incomplete","Complete")</f>
        <v>Complete</v>
      </c>
      <c r="I25173" s="48" t="s">
        <v>4245</v>
      </c>
    </row>
    <row r="25174" spans="2:9" ht="15" customHeight="1" x14ac:dyDescent="0.25">
      <c r="B25174" s="55" t="s">
        <v>326</v>
      </c>
      <c r="C25174" s="46">
        <v>5</v>
      </c>
      <c r="D25174" s="69" t="s">
        <v>29463</v>
      </c>
      <c r="E25174" s="62"/>
      <c r="F25174" s="62" t="str">
        <f>IF(INDEX(I.Production.P3C2,5)="","",INDEX(I.Production.P3C2,5))</f>
        <v/>
      </c>
      <c r="G25174" s="62"/>
      <c r="H25174" s="46" t="str">
        <f>IF(AND(I.Developer.P3=TRUE,I.Developer.P3C2=TRUE,F25174=""),"Incomplete","Complete")</f>
        <v>Complete</v>
      </c>
      <c r="I25174" s="48" t="s">
        <v>4246</v>
      </c>
    </row>
    <row r="25175" spans="2:9" ht="15" customHeight="1" x14ac:dyDescent="0.25">
      <c r="B25175" s="55" t="s">
        <v>326</v>
      </c>
      <c r="C25175" s="46">
        <v>6</v>
      </c>
      <c r="D25175" s="69" t="s">
        <v>29463</v>
      </c>
      <c r="E25175" s="62"/>
      <c r="F25175" s="62" t="str">
        <f>IF(INDEX(I.Production.P3C2,6)="","",INDEX(I.Production.P3C2,6))</f>
        <v/>
      </c>
      <c r="G25175" s="62"/>
      <c r="H25175" s="46" t="str">
        <f>IF(AND(I.Developer.P3=TRUE,I.Developer.P3C2=TRUE,F25175=""),"Incomplete","Complete")</f>
        <v>Complete</v>
      </c>
      <c r="I25175" s="48" t="s">
        <v>4247</v>
      </c>
    </row>
    <row r="25176" spans="2:9" ht="15" customHeight="1" x14ac:dyDescent="0.25">
      <c r="B25176" s="55" t="s">
        <v>326</v>
      </c>
      <c r="C25176" s="46">
        <v>7</v>
      </c>
      <c r="D25176" s="69" t="s">
        <v>29463</v>
      </c>
      <c r="E25176" s="62"/>
      <c r="F25176" s="62" t="str">
        <f>IF(INDEX(I.Production.P3C2,7)="","",INDEX(I.Production.P3C2,7))</f>
        <v/>
      </c>
      <c r="G25176" s="62"/>
      <c r="H25176" s="46" t="str">
        <f>IF(AND(I.Developer.P3=TRUE,I.Developer.P3C2=TRUE,F25176=""),"Incomplete","Complete")</f>
        <v>Complete</v>
      </c>
      <c r="I25176" s="48" t="s">
        <v>4248</v>
      </c>
    </row>
    <row r="25177" spans="2:9" ht="15" customHeight="1" x14ac:dyDescent="0.25">
      <c r="B25177" s="55" t="s">
        <v>326</v>
      </c>
      <c r="C25177" s="46">
        <v>8</v>
      </c>
      <c r="D25177" s="69" t="s">
        <v>29463</v>
      </c>
      <c r="E25177" s="62"/>
      <c r="F25177" s="62" t="str">
        <f>IF(INDEX(I.Production.P3C2,8)="","",INDEX(I.Production.P3C2,8))</f>
        <v/>
      </c>
      <c r="G25177" s="62"/>
      <c r="H25177" s="46" t="str">
        <f>IF(AND(I.Developer.P3=TRUE,I.Developer.P3C2=TRUE,F25177=""),"Incomplete","Complete")</f>
        <v>Complete</v>
      </c>
      <c r="I25177" s="48" t="s">
        <v>4249</v>
      </c>
    </row>
    <row r="25178" spans="2:9" ht="15" customHeight="1" x14ac:dyDescent="0.25">
      <c r="B25178" s="55" t="s">
        <v>326</v>
      </c>
      <c r="C25178" s="46">
        <v>9</v>
      </c>
      <c r="D25178" s="69" t="s">
        <v>29463</v>
      </c>
      <c r="E25178" s="62"/>
      <c r="F25178" s="62" t="str">
        <f>IF(INDEX(I.Production.P3C2,9)="","",INDEX(I.Production.P3C2,9))</f>
        <v/>
      </c>
      <c r="G25178" s="62"/>
      <c r="H25178" s="46" t="str">
        <f>IF(AND(I.Developer.P3=TRUE,I.Developer.P3C2=TRUE,F25178=""),"Incomplete","Complete")</f>
        <v>Complete</v>
      </c>
      <c r="I25178" s="48" t="s">
        <v>4250</v>
      </c>
    </row>
    <row r="25179" spans="2:9" ht="15" customHeight="1" x14ac:dyDescent="0.25">
      <c r="B25179" s="55" t="s">
        <v>326</v>
      </c>
      <c r="C25179" s="46">
        <v>10</v>
      </c>
      <c r="D25179" s="69" t="s">
        <v>29463</v>
      </c>
      <c r="E25179" s="62"/>
      <c r="F25179" s="62" t="str">
        <f>IF(INDEX(I.Production.P3C2,10)="","",INDEX(I.Production.P3C2,10))</f>
        <v/>
      </c>
      <c r="G25179" s="62"/>
      <c r="H25179" s="46" t="str">
        <f>IF(AND(I.Developer.P3=TRUE,I.Developer.P3C2=TRUE,F25179=""),"Incomplete","Complete")</f>
        <v>Complete</v>
      </c>
      <c r="I25179" s="48" t="s">
        <v>4251</v>
      </c>
    </row>
    <row r="25180" spans="2:9" ht="15" customHeight="1" x14ac:dyDescent="0.25">
      <c r="B25180" s="55" t="s">
        <v>326</v>
      </c>
      <c r="C25180" s="46">
        <v>11</v>
      </c>
      <c r="D25180" s="69" t="s">
        <v>29463</v>
      </c>
      <c r="E25180" s="62"/>
      <c r="F25180" s="62" t="str">
        <f>IF(INDEX(I.Production.P3C2,11)="","",INDEX(I.Production.P3C2,11))</f>
        <v/>
      </c>
      <c r="G25180" s="62"/>
      <c r="H25180" s="46" t="str">
        <f>IF(AND(I.Developer.P3=TRUE,I.Developer.P3C2=TRUE,F25180=""),"Incomplete","Complete")</f>
        <v>Complete</v>
      </c>
      <c r="I25180" s="48" t="s">
        <v>4252</v>
      </c>
    </row>
    <row r="25181" spans="2:9" ht="15" customHeight="1" x14ac:dyDescent="0.25">
      <c r="B25181" s="55" t="s">
        <v>326</v>
      </c>
      <c r="C25181" s="46">
        <v>12</v>
      </c>
      <c r="D25181" s="69" t="s">
        <v>29463</v>
      </c>
      <c r="E25181" s="62"/>
      <c r="F25181" s="62" t="str">
        <f>IF(INDEX(I.Production.P3C2,12)="","",INDEX(I.Production.P3C2,12))</f>
        <v/>
      </c>
      <c r="G25181" s="62"/>
      <c r="H25181" s="46" t="str">
        <f>IF(AND(I.Developer.P3=TRUE,I.Developer.P3C2=TRUE,F25181=""),"Incomplete","Complete")</f>
        <v>Complete</v>
      </c>
      <c r="I25181" s="48" t="s">
        <v>4253</v>
      </c>
    </row>
    <row r="25182" spans="2:9" ht="15" customHeight="1" x14ac:dyDescent="0.25">
      <c r="B25182" s="55" t="s">
        <v>326</v>
      </c>
      <c r="C25182" s="46">
        <v>13</v>
      </c>
      <c r="D25182" s="69" t="s">
        <v>29463</v>
      </c>
      <c r="E25182" s="62"/>
      <c r="F25182" s="62" t="str">
        <f>IF(INDEX(I.Production.P3C2,13)="","",INDEX(I.Production.P3C2,13))</f>
        <v/>
      </c>
      <c r="G25182" s="62"/>
      <c r="H25182" s="46" t="str">
        <f>IF(AND(I.Developer.P3=TRUE,I.Developer.P3C2=TRUE,F25182=""),"Incomplete","Complete")</f>
        <v>Complete</v>
      </c>
      <c r="I25182" s="48" t="s">
        <v>4254</v>
      </c>
    </row>
    <row r="25183" spans="2:9" ht="15" customHeight="1" x14ac:dyDescent="0.25">
      <c r="B25183" s="55" t="s">
        <v>326</v>
      </c>
      <c r="C25183" s="46">
        <v>14</v>
      </c>
      <c r="D25183" s="69" t="s">
        <v>29463</v>
      </c>
      <c r="E25183" s="62"/>
      <c r="F25183" s="62" t="str">
        <f>IF(INDEX(I.Production.P3C2,14)="","",INDEX(I.Production.P3C2,14))</f>
        <v/>
      </c>
      <c r="G25183" s="62"/>
      <c r="H25183" s="46" t="str">
        <f>IF(AND(I.Developer.P3=TRUE,I.Developer.P3C2=TRUE,F25183=""),"Incomplete","Complete")</f>
        <v>Complete</v>
      </c>
      <c r="I25183" s="48" t="s">
        <v>4255</v>
      </c>
    </row>
    <row r="25184" spans="2:9" ht="15" customHeight="1" x14ac:dyDescent="0.25">
      <c r="B25184" s="55" t="s">
        <v>326</v>
      </c>
      <c r="C25184" s="46">
        <v>15</v>
      </c>
      <c r="D25184" s="69" t="s">
        <v>29463</v>
      </c>
      <c r="E25184" s="62"/>
      <c r="F25184" s="62" t="str">
        <f>IF(INDEX(I.Production.P3C2,15)="","",INDEX(I.Production.P3C2,15))</f>
        <v/>
      </c>
      <c r="G25184" s="62"/>
      <c r="H25184" s="46" t="str">
        <f>IF(AND(I.Developer.P3=TRUE,I.Developer.P3C2=TRUE,F25184=""),"Incomplete","Complete")</f>
        <v>Complete</v>
      </c>
      <c r="I25184" s="48" t="s">
        <v>4256</v>
      </c>
    </row>
    <row r="25185" spans="2:9" ht="15" customHeight="1" x14ac:dyDescent="0.25">
      <c r="B25185" s="55" t="s">
        <v>326</v>
      </c>
      <c r="C25185" s="46">
        <v>16</v>
      </c>
      <c r="D25185" s="69" t="s">
        <v>29463</v>
      </c>
      <c r="E25185" s="62"/>
      <c r="F25185" s="62" t="str">
        <f>IF(INDEX(I.Production.P3C2,16)="","",INDEX(I.Production.P3C2,16))</f>
        <v/>
      </c>
      <c r="G25185" s="62"/>
      <c r="H25185" s="46" t="str">
        <f>IF(AND(I.Developer.P3=TRUE,I.Developer.P3C2=TRUE,F25185=""),"Incomplete","Complete")</f>
        <v>Complete</v>
      </c>
      <c r="I25185" s="48" t="s">
        <v>4257</v>
      </c>
    </row>
    <row r="25186" spans="2:9" ht="15" customHeight="1" x14ac:dyDescent="0.25">
      <c r="B25186" s="55" t="s">
        <v>326</v>
      </c>
      <c r="C25186" s="46">
        <v>17</v>
      </c>
      <c r="D25186" s="69" t="s">
        <v>29463</v>
      </c>
      <c r="E25186" s="62"/>
      <c r="F25186" s="62" t="str">
        <f>IF(INDEX(I.Production.P3C2,17)="","",INDEX(I.Production.P3C2,17))</f>
        <v/>
      </c>
      <c r="G25186" s="62"/>
      <c r="H25186" s="46" t="str">
        <f>IF(AND(I.Developer.P3=TRUE,I.Developer.P3C2=TRUE,F25186=""),"Incomplete","Complete")</f>
        <v>Complete</v>
      </c>
      <c r="I25186" s="48" t="s">
        <v>4258</v>
      </c>
    </row>
    <row r="25187" spans="2:9" ht="15" customHeight="1" x14ac:dyDescent="0.25">
      <c r="B25187" s="55" t="s">
        <v>326</v>
      </c>
      <c r="C25187" s="46">
        <v>18</v>
      </c>
      <c r="D25187" s="69" t="s">
        <v>29463</v>
      </c>
      <c r="E25187" s="62"/>
      <c r="F25187" s="62" t="str">
        <f>IF(INDEX(I.Production.P3C2,18)="","",INDEX(I.Production.P3C2,18))</f>
        <v/>
      </c>
      <c r="G25187" s="62"/>
      <c r="H25187" s="46" t="str">
        <f>IF(AND(I.Developer.P3=TRUE,I.Developer.P3C2=TRUE,F25187=""),"Incomplete","Complete")</f>
        <v>Complete</v>
      </c>
      <c r="I25187" s="48" t="s">
        <v>4259</v>
      </c>
    </row>
    <row r="25188" spans="2:9" ht="15" customHeight="1" x14ac:dyDescent="0.25">
      <c r="B25188" s="55" t="s">
        <v>326</v>
      </c>
      <c r="C25188" s="46">
        <v>19</v>
      </c>
      <c r="D25188" s="69" t="s">
        <v>29463</v>
      </c>
      <c r="E25188" s="62"/>
      <c r="F25188" s="62" t="str">
        <f>IF(INDEX(I.Production.P3C2,19)="","",INDEX(I.Production.P3C2,19))</f>
        <v/>
      </c>
      <c r="G25188" s="62"/>
      <c r="H25188" s="46" t="str">
        <f>IF(AND(I.Developer.P3=TRUE,I.Developer.P3C2=TRUE,F25188=""),"Incomplete","Complete")</f>
        <v>Complete</v>
      </c>
      <c r="I25188" s="48" t="s">
        <v>4260</v>
      </c>
    </row>
    <row r="25189" spans="2:9" ht="15" customHeight="1" x14ac:dyDescent="0.25">
      <c r="B25189" s="55" t="s">
        <v>326</v>
      </c>
      <c r="C25189" s="46">
        <v>20</v>
      </c>
      <c r="D25189" s="69" t="s">
        <v>29463</v>
      </c>
      <c r="E25189" s="62"/>
      <c r="F25189" s="62" t="str">
        <f>IF(INDEX(I.Production.P3C2,20)="","",INDEX(I.Production.P3C2,20))</f>
        <v/>
      </c>
      <c r="G25189" s="62"/>
      <c r="H25189" s="46" t="str">
        <f>IF(AND(I.Developer.P3=TRUE,I.Developer.P3C2=TRUE,F25189=""),"Incomplete","Complete")</f>
        <v>Complete</v>
      </c>
      <c r="I25189" s="48" t="s">
        <v>4261</v>
      </c>
    </row>
    <row r="25190" spans="2:9" ht="15" customHeight="1" x14ac:dyDescent="0.25">
      <c r="B25190" s="56" t="s">
        <v>326</v>
      </c>
      <c r="C25190" s="57">
        <v>21</v>
      </c>
      <c r="D25190" s="71" t="s">
        <v>29463</v>
      </c>
      <c r="E25190" s="61"/>
      <c r="F25190" s="61" t="str">
        <f>IF(INDEX(I.Production.P3C2,21)="","",INDEX(I.Production.P3C2,21))</f>
        <v/>
      </c>
      <c r="G25190" s="61"/>
      <c r="H25190" s="57" t="str">
        <f>IF(AND(I.Developer.P3=TRUE,I.Developer.P3C2=TRUE,F25190=""),"Incomplete","Complete")</f>
        <v>Complete</v>
      </c>
      <c r="I25190" s="49" t="s">
        <v>4262</v>
      </c>
    </row>
    <row r="25191" spans="2:9" ht="15" customHeight="1" x14ac:dyDescent="0.25">
      <c r="B25191" s="55" t="s">
        <v>327</v>
      </c>
      <c r="C25191" s="46">
        <v>1</v>
      </c>
      <c r="D25191" s="69" t="s">
        <v>29464</v>
      </c>
      <c r="E25191" s="62"/>
      <c r="F25191" s="62" t="str">
        <f>IF(INDEX(I.Production.P3C3,1)="","",INDEX(I.Production.P3C3,1))</f>
        <v/>
      </c>
      <c r="G25191" s="62"/>
      <c r="H25191" s="46" t="str">
        <f>IF(AND(I.Developer.P3=TRUE,I.Developer.P3C3=TRUE,I.Facility.StandardPart="Part 2",F25191=""),"Incomplete","Complete")</f>
        <v>Complete</v>
      </c>
      <c r="I25191" s="48" t="s">
        <v>4263</v>
      </c>
    </row>
    <row r="25192" spans="2:9" ht="15" customHeight="1" x14ac:dyDescent="0.25">
      <c r="B25192" s="55" t="s">
        <v>327</v>
      </c>
      <c r="C25192" s="46">
        <v>2</v>
      </c>
      <c r="D25192" s="69" t="s">
        <v>29464</v>
      </c>
      <c r="E25192" s="62"/>
      <c r="F25192" s="62" t="str">
        <f>IF(INDEX(I.Production.P3C3,2)="","",INDEX(I.Production.P3C3,2))</f>
        <v/>
      </c>
      <c r="G25192" s="62"/>
      <c r="H25192" s="46" t="str">
        <f>IF(AND(I.Developer.P3=TRUE,I.Developer.P3C3=TRUE,I.Facility.StandardPart="Part 2",F25192=""),"Incomplete","Complete")</f>
        <v>Complete</v>
      </c>
      <c r="I25192" s="48" t="s">
        <v>4264</v>
      </c>
    </row>
    <row r="25193" spans="2:9" ht="15" customHeight="1" x14ac:dyDescent="0.25">
      <c r="B25193" s="55" t="s">
        <v>327</v>
      </c>
      <c r="C25193" s="46">
        <v>3</v>
      </c>
      <c r="D25193" s="69" t="s">
        <v>29464</v>
      </c>
      <c r="E25193" s="62"/>
      <c r="F25193" s="62" t="str">
        <f>IF(INDEX(I.Production.P3C3,3)="","",INDEX(I.Production.P3C3,3))</f>
        <v/>
      </c>
      <c r="G25193" s="62"/>
      <c r="H25193" s="46" t="str">
        <f>IF(AND(I.Developer.P3=TRUE,I.Developer.P3C3=TRUE,I.Facility.StandardPart="Part 3",F25193=""),"Incomplete","Complete")</f>
        <v>Complete</v>
      </c>
      <c r="I25193" s="48" t="s">
        <v>4265</v>
      </c>
    </row>
    <row r="25194" spans="2:9" ht="15" customHeight="1" x14ac:dyDescent="0.25">
      <c r="B25194" s="55" t="s">
        <v>327</v>
      </c>
      <c r="C25194" s="46">
        <v>4</v>
      </c>
      <c r="D25194" s="69" t="s">
        <v>29464</v>
      </c>
      <c r="E25194" s="62"/>
      <c r="F25194" s="62" t="str">
        <f>IF(INDEX(I.Production.P3C3,4)="","",INDEX(I.Production.P3C3,4))</f>
        <v/>
      </c>
      <c r="G25194" s="62"/>
      <c r="H25194" s="46" t="str">
        <f>IF(AND(I.Developer.P3=TRUE,I.Developer.P3C3=TRUE,I.Facility.StandardPart="Part 3",F25194=""),"Incomplete","Complete")</f>
        <v>Complete</v>
      </c>
      <c r="I25194" s="48" t="s">
        <v>4266</v>
      </c>
    </row>
    <row r="25195" spans="2:9" ht="15" customHeight="1" x14ac:dyDescent="0.25">
      <c r="B25195" s="56" t="s">
        <v>327</v>
      </c>
      <c r="C25195" s="57">
        <v>5</v>
      </c>
      <c r="D25195" s="71" t="s">
        <v>29464</v>
      </c>
      <c r="E25195" s="61"/>
      <c r="F25195" s="61" t="str">
        <f>IF(INDEX(I.Production.P3C3,5)="","",INDEX(I.Production.P3C3,5))</f>
        <v/>
      </c>
      <c r="G25195" s="61"/>
      <c r="H25195" s="57" t="str">
        <f>IF(AND(I.Developer.P3=TRUE,I.Developer.P3C3=TRUE,I.Facility.StandardPart="Part 3",F25195=""),"Incomplete","Complete")</f>
        <v>Complete</v>
      </c>
      <c r="I25195" s="49" t="s">
        <v>4267</v>
      </c>
    </row>
    <row r="25196" spans="2:9" ht="15" customHeight="1" x14ac:dyDescent="0.25">
      <c r="B25196" s="55" t="s">
        <v>328</v>
      </c>
      <c r="C25196" s="46">
        <v>1</v>
      </c>
      <c r="D25196" s="69" t="s">
        <v>29465</v>
      </c>
      <c r="E25196" s="62"/>
      <c r="F25196" s="62" t="str">
        <f>IF(INDEX(I.Production.P3C4,1)="","",INDEX(I.Production.P3C4,1))</f>
        <v/>
      </c>
      <c r="G25196" s="62"/>
      <c r="H25196" s="46" t="str">
        <f>IF(AND(I.Developer.P3=TRUE,I.Developer.P3C4=TRUE,F25196=""),"Incomplete","Complete")</f>
        <v>Complete</v>
      </c>
      <c r="I25196" s="48" t="s">
        <v>4268</v>
      </c>
    </row>
    <row r="25197" spans="2:9" ht="15" customHeight="1" x14ac:dyDescent="0.25">
      <c r="B25197" s="55" t="s">
        <v>328</v>
      </c>
      <c r="C25197" s="46">
        <v>2</v>
      </c>
      <c r="D25197" s="69" t="s">
        <v>29465</v>
      </c>
      <c r="E25197" s="62"/>
      <c r="F25197" s="62" t="str">
        <f>IF(INDEX(I.Production.P3C4,2)="","",INDEX(I.Production.P3C4,2))</f>
        <v/>
      </c>
      <c r="G25197" s="62"/>
      <c r="H25197" s="46" t="str">
        <f>IF(AND(I.Developer.P3=TRUE,I.Developer.P3C4=TRUE,F25197=""),"Incomplete","Complete")</f>
        <v>Complete</v>
      </c>
      <c r="I25197" s="48" t="s">
        <v>4269</v>
      </c>
    </row>
    <row r="25198" spans="2:9" ht="15" customHeight="1" x14ac:dyDescent="0.25">
      <c r="B25198" s="56" t="s">
        <v>328</v>
      </c>
      <c r="C25198" s="57">
        <v>3</v>
      </c>
      <c r="D25198" s="71" t="s">
        <v>29465</v>
      </c>
      <c r="E25198" s="61"/>
      <c r="F25198" s="61" t="str">
        <f>IF(INDEX(I.Production.P3C4,3)="","",INDEX(I.Production.P3C4,3))</f>
        <v/>
      </c>
      <c r="G25198" s="61"/>
      <c r="H25198" s="57" t="str">
        <f>IF(AND(I.Developer.P3=TRUE,I.Developer.P3C4=TRUE,F25198=""),"Incomplete","Complete")</f>
        <v>Complete</v>
      </c>
      <c r="I25198" s="49" t="s">
        <v>4270</v>
      </c>
    </row>
    <row r="25199" spans="2:9" ht="15" customHeight="1" x14ac:dyDescent="0.25">
      <c r="B25199" s="56" t="s">
        <v>329</v>
      </c>
      <c r="C25199" s="57">
        <v>1</v>
      </c>
      <c r="D25199" s="71" t="s">
        <v>29466</v>
      </c>
      <c r="E25199" s="61"/>
      <c r="F25199" s="61" t="str">
        <f>IF(INDEX(I.Production.P4Quantity,1)="","",INDEX(I.Production.P4Quantity,1))</f>
        <v/>
      </c>
      <c r="G25199" s="61"/>
      <c r="H25199" s="57" t="str">
        <f>IF(AND(I.Developer.P4=TRUE,I.Production.P4Quantity=""),"Incomplete","Complete")</f>
        <v>Complete</v>
      </c>
      <c r="I25199" s="49" t="s">
        <v>29402</v>
      </c>
    </row>
    <row r="25200" spans="2:9" ht="15" customHeight="1" x14ac:dyDescent="0.25">
      <c r="B25200" s="55" t="s">
        <v>330</v>
      </c>
      <c r="C25200" s="46">
        <v>1</v>
      </c>
      <c r="D25200" s="69" t="s">
        <v>29467</v>
      </c>
      <c r="E25200" s="62"/>
      <c r="F25200" s="62" t="str">
        <f>IF(INDEX(I.Production.P4C1,1)="","",INDEX(I.Production.P4C1,1))</f>
        <v/>
      </c>
      <c r="G25200" s="62"/>
      <c r="H25200" s="46" t="str">
        <f>IF(AND(I.Developer.P4=TRUE,I.Developer.P4C1=TRUE,I.Facility.StandardPart="Part 2",F25200=""),"Incomplete","Complete")</f>
        <v>Complete</v>
      </c>
      <c r="I25200" s="48" t="s">
        <v>4271</v>
      </c>
    </row>
    <row r="25201" spans="2:9" ht="15" customHeight="1" x14ac:dyDescent="0.25">
      <c r="B25201" s="55" t="s">
        <v>330</v>
      </c>
      <c r="C25201" s="46">
        <v>2</v>
      </c>
      <c r="D25201" s="69" t="s">
        <v>29467</v>
      </c>
      <c r="E25201" s="62"/>
      <c r="F25201" s="62" t="str">
        <f>IF(INDEX(I.Production.P4C1,2)="","",INDEX(I.Production.P4C1,2))</f>
        <v/>
      </c>
      <c r="G25201" s="62"/>
      <c r="H25201" s="46" t="str">
        <f>IF(AND(I.Developer.P4=TRUE,I.Developer.P4C1=TRUE,I.Developer.P4C1V2=TRUE,I.Facility.StandardPart="Part 2",F25201=""),"Incomplete","Complete")</f>
        <v>Complete</v>
      </c>
      <c r="I25201" s="48" t="s">
        <v>4272</v>
      </c>
    </row>
    <row r="25202" spans="2:9" ht="15" customHeight="1" x14ac:dyDescent="0.25">
      <c r="B25202" s="55" t="s">
        <v>330</v>
      </c>
      <c r="C25202" s="46">
        <v>3</v>
      </c>
      <c r="D25202" s="69" t="s">
        <v>29467</v>
      </c>
      <c r="E25202" s="62"/>
      <c r="F25202" s="62" t="str">
        <f>IF(INDEX(I.Production.P4C1,3)="","",INDEX(I.Production.P4C1,3))</f>
        <v/>
      </c>
      <c r="G25202" s="62"/>
      <c r="H25202" s="46" t="str">
        <f>IF(AND(I.Developer.P4=TRUE,I.Developer.P4C1=TRUE,I.Developer.P4C1V3=TRUE,I.Facility.StandardPart="Part 2",F25202=""),"Incomplete","Complete")</f>
        <v>Complete</v>
      </c>
      <c r="I25202" s="48" t="s">
        <v>4273</v>
      </c>
    </row>
    <row r="25203" spans="2:9" ht="15" customHeight="1" x14ac:dyDescent="0.25">
      <c r="B25203" s="55" t="s">
        <v>330</v>
      </c>
      <c r="C25203" s="46">
        <v>4</v>
      </c>
      <c r="D25203" s="69" t="s">
        <v>29467</v>
      </c>
      <c r="E25203" s="62"/>
      <c r="F25203" s="62" t="str">
        <f>IF(INDEX(I.Production.P4C1,4)="","",INDEX(I.Production.P4C1,4))</f>
        <v/>
      </c>
      <c r="G25203" s="62"/>
      <c r="H25203" s="46" t="str">
        <f>IF(AND(I.Developer.P4=TRUE,I.Developer.P4C1=TRUE,I.Developer.P4C1V4=TRUE,I.Facility.StandardPart="Part 2",F25203=""),"Incomplete","Complete")</f>
        <v>Complete</v>
      </c>
      <c r="I25203" s="48" t="s">
        <v>4274</v>
      </c>
    </row>
    <row r="25204" spans="2:9" ht="15" customHeight="1" x14ac:dyDescent="0.25">
      <c r="B25204" s="55" t="s">
        <v>330</v>
      </c>
      <c r="C25204" s="46">
        <v>5</v>
      </c>
      <c r="D25204" s="69" t="s">
        <v>29467</v>
      </c>
      <c r="E25204" s="62"/>
      <c r="F25204" s="62" t="str">
        <f>IF(INDEX(I.Production.P4C1,5)="","",INDEX(I.Production.P4C1,5))</f>
        <v/>
      </c>
      <c r="G25204" s="62"/>
      <c r="H25204" s="46" t="str">
        <f>IF(AND(I.Developer.P4=TRUE,I.Developer.P4C1=TRUE,I.Developer.P4C1V5=TRUE,I.Facility.StandardPart="Part 2",F25204=""),"Incomplete","Complete")</f>
        <v>Complete</v>
      </c>
      <c r="I25204" s="48" t="s">
        <v>4275</v>
      </c>
    </row>
    <row r="25205" spans="2:9" ht="15" customHeight="1" x14ac:dyDescent="0.25">
      <c r="B25205" s="55" t="s">
        <v>330</v>
      </c>
      <c r="C25205" s="46">
        <v>6</v>
      </c>
      <c r="D25205" s="69" t="s">
        <v>29467</v>
      </c>
      <c r="E25205" s="62"/>
      <c r="F25205" s="62" t="str">
        <f>IF(INDEX(I.Production.P4C1,6)="","",INDEX(I.Production.P4C1,6))</f>
        <v/>
      </c>
      <c r="G25205" s="62"/>
      <c r="H25205" s="46" t="str">
        <f>IF(AND(I.Developer.P4=TRUE,I.Developer.P4C1=TRUE,I.Developer.P4C1V6=TRUE,I.Facility.StandardPart="Part 2",F25205=""),"Incomplete","Complete")</f>
        <v>Complete</v>
      </c>
      <c r="I25205" s="48" t="s">
        <v>4276</v>
      </c>
    </row>
    <row r="25206" spans="2:9" ht="15" customHeight="1" x14ac:dyDescent="0.25">
      <c r="B25206" s="55" t="s">
        <v>330</v>
      </c>
      <c r="C25206" s="46">
        <v>7</v>
      </c>
      <c r="D25206" s="69" t="s">
        <v>29467</v>
      </c>
      <c r="E25206" s="62"/>
      <c r="F25206" s="62" t="str">
        <f>IF(INDEX(I.Production.P4C1,7)="","",INDEX(I.Production.P4C1,7))</f>
        <v/>
      </c>
      <c r="G25206" s="62"/>
      <c r="H25206" s="46" t="str">
        <f>IF(AND(I.Developer.P4=TRUE,I.Developer.P4C1=TRUE,I.Facility.StandardPart="Part 3",F25206=""),"Incomplete","Complete")</f>
        <v>Complete</v>
      </c>
      <c r="I25206" s="48" t="s">
        <v>4277</v>
      </c>
    </row>
    <row r="25207" spans="2:9" ht="15" customHeight="1" x14ac:dyDescent="0.25">
      <c r="B25207" s="55" t="s">
        <v>330</v>
      </c>
      <c r="C25207" s="46">
        <v>8</v>
      </c>
      <c r="D25207" s="69" t="s">
        <v>29467</v>
      </c>
      <c r="E25207" s="62"/>
      <c r="F25207" s="62" t="str">
        <f>IF(INDEX(I.Production.P4C1,8)="","",INDEX(I.Production.P4C1,8))</f>
        <v/>
      </c>
      <c r="G25207" s="62"/>
      <c r="H25207" s="46" t="str">
        <f>IF(AND(I.Developer.P4=TRUE,I.Developer.P4C1=TRUE,I.Facility.StandardPart="Part 3",F25207=""),"Incomplete","Complete")</f>
        <v>Complete</v>
      </c>
      <c r="I25207" s="48" t="s">
        <v>4278</v>
      </c>
    </row>
    <row r="25208" spans="2:9" ht="15" customHeight="1" x14ac:dyDescent="0.25">
      <c r="B25208" s="56" t="s">
        <v>330</v>
      </c>
      <c r="C25208" s="57">
        <v>9</v>
      </c>
      <c r="D25208" s="71" t="s">
        <v>29467</v>
      </c>
      <c r="E25208" s="61"/>
      <c r="F25208" s="61" t="str">
        <f>IF(INDEX(I.Production.P4C1,9)="","",INDEX(I.Production.P4C1,9))</f>
        <v/>
      </c>
      <c r="G25208" s="61"/>
      <c r="H25208" s="57" t="str">
        <f>IF(AND(I.Developer.P4=TRUE,I.Developer.P4C1=TRUE,I.Facility.StandardPart="Part 3",F25208=""),"Incomplete","Complete")</f>
        <v>Complete</v>
      </c>
      <c r="I25208" s="49" t="s">
        <v>4279</v>
      </c>
    </row>
    <row r="25209" spans="2:9" ht="15" customHeight="1" x14ac:dyDescent="0.25">
      <c r="B25209" s="55" t="s">
        <v>331</v>
      </c>
      <c r="C25209" s="46">
        <v>1</v>
      </c>
      <c r="D25209" s="69" t="s">
        <v>29468</v>
      </c>
      <c r="E25209" s="62"/>
      <c r="F25209" s="62" t="str">
        <f>IF(INDEX(I.Production.P4C2,1)="","",INDEX(I.Production.P4C2,1))</f>
        <v/>
      </c>
      <c r="G25209" s="62"/>
      <c r="H25209" s="46" t="str">
        <f>IF(AND(I.Developer.P4=TRUE,I.Developer.P4C2=TRUE,F25209=""),"Incomplete","Complete")</f>
        <v>Complete</v>
      </c>
      <c r="I25209" s="48" t="s">
        <v>4280</v>
      </c>
    </row>
    <row r="25210" spans="2:9" ht="15" customHeight="1" x14ac:dyDescent="0.25">
      <c r="B25210" s="55" t="s">
        <v>331</v>
      </c>
      <c r="C25210" s="46">
        <v>2</v>
      </c>
      <c r="D25210" s="69" t="s">
        <v>29468</v>
      </c>
      <c r="E25210" s="62"/>
      <c r="F25210" s="62" t="str">
        <f>IF(INDEX(I.Production.P4C2,2)="","",INDEX(I.Production.P4C2,2))</f>
        <v/>
      </c>
      <c r="G25210" s="62"/>
      <c r="H25210" s="46" t="str">
        <f>IF(AND(I.Developer.P4=TRUE,I.Developer.P4C2=TRUE,F25210=""),"Incomplete","Complete")</f>
        <v>Complete</v>
      </c>
      <c r="I25210" s="48" t="s">
        <v>4281</v>
      </c>
    </row>
    <row r="25211" spans="2:9" ht="15" customHeight="1" x14ac:dyDescent="0.25">
      <c r="B25211" s="55" t="s">
        <v>331</v>
      </c>
      <c r="C25211" s="46">
        <v>3</v>
      </c>
      <c r="D25211" s="69" t="s">
        <v>29468</v>
      </c>
      <c r="E25211" s="62"/>
      <c r="F25211" s="62" t="str">
        <f>IF(INDEX(I.Production.P4C2,3)="","",INDEX(I.Production.P4C2,3))</f>
        <v/>
      </c>
      <c r="G25211" s="62"/>
      <c r="H25211" s="46" t="str">
        <f>IF(AND(I.Developer.P4=TRUE,I.Developer.P4C2=TRUE,F25211=""),"Incomplete","Complete")</f>
        <v>Complete</v>
      </c>
      <c r="I25211" s="48" t="s">
        <v>4282</v>
      </c>
    </row>
    <row r="25212" spans="2:9" ht="15" customHeight="1" x14ac:dyDescent="0.25">
      <c r="B25212" s="55" t="s">
        <v>331</v>
      </c>
      <c r="C25212" s="46">
        <v>4</v>
      </c>
      <c r="D25212" s="69" t="s">
        <v>29468</v>
      </c>
      <c r="E25212" s="62"/>
      <c r="F25212" s="62" t="str">
        <f>IF(INDEX(I.Production.P4C2,4)="","",INDEX(I.Production.P4C2,4))</f>
        <v/>
      </c>
      <c r="G25212" s="62"/>
      <c r="H25212" s="46" t="str">
        <f>IF(AND(I.Developer.P4=TRUE,I.Developer.P4C2=TRUE,F25212=""),"Incomplete","Complete")</f>
        <v>Complete</v>
      </c>
      <c r="I25212" s="48" t="s">
        <v>4283</v>
      </c>
    </row>
    <row r="25213" spans="2:9" ht="15" customHeight="1" x14ac:dyDescent="0.25">
      <c r="B25213" s="55" t="s">
        <v>331</v>
      </c>
      <c r="C25213" s="46">
        <v>5</v>
      </c>
      <c r="D25213" s="69" t="s">
        <v>29468</v>
      </c>
      <c r="E25213" s="62"/>
      <c r="F25213" s="62" t="str">
        <f>IF(INDEX(I.Production.P4C2,5)="","",INDEX(I.Production.P4C2,5))</f>
        <v/>
      </c>
      <c r="G25213" s="62"/>
      <c r="H25213" s="46" t="str">
        <f>IF(AND(I.Developer.P4=TRUE,I.Developer.P4C2=TRUE,F25213=""),"Incomplete","Complete")</f>
        <v>Complete</v>
      </c>
      <c r="I25213" s="48" t="s">
        <v>4284</v>
      </c>
    </row>
    <row r="25214" spans="2:9" ht="15" customHeight="1" x14ac:dyDescent="0.25">
      <c r="B25214" s="55" t="s">
        <v>331</v>
      </c>
      <c r="C25214" s="46">
        <v>6</v>
      </c>
      <c r="D25214" s="69" t="s">
        <v>29468</v>
      </c>
      <c r="E25214" s="62"/>
      <c r="F25214" s="62" t="str">
        <f>IF(INDEX(I.Production.P4C2,6)="","",INDEX(I.Production.P4C2,6))</f>
        <v/>
      </c>
      <c r="G25214" s="62"/>
      <c r="H25214" s="46" t="str">
        <f>IF(AND(I.Developer.P4=TRUE,I.Developer.P4C2=TRUE,F25214=""),"Incomplete","Complete")</f>
        <v>Complete</v>
      </c>
      <c r="I25214" s="48" t="s">
        <v>4285</v>
      </c>
    </row>
    <row r="25215" spans="2:9" ht="15" customHeight="1" x14ac:dyDescent="0.25">
      <c r="B25215" s="55" t="s">
        <v>331</v>
      </c>
      <c r="C25215" s="46">
        <v>7</v>
      </c>
      <c r="D25215" s="69" t="s">
        <v>29468</v>
      </c>
      <c r="E25215" s="62"/>
      <c r="F25215" s="62" t="str">
        <f>IF(INDEX(I.Production.P4C2,7)="","",INDEX(I.Production.P4C2,7))</f>
        <v/>
      </c>
      <c r="G25215" s="62"/>
      <c r="H25215" s="46" t="str">
        <f>IF(AND(I.Developer.P4=TRUE,I.Developer.P4C2=TRUE,F25215=""),"Incomplete","Complete")</f>
        <v>Complete</v>
      </c>
      <c r="I25215" s="48" t="s">
        <v>4286</v>
      </c>
    </row>
    <row r="25216" spans="2:9" ht="15" customHeight="1" x14ac:dyDescent="0.25">
      <c r="B25216" s="55" t="s">
        <v>331</v>
      </c>
      <c r="C25216" s="46">
        <v>8</v>
      </c>
      <c r="D25216" s="69" t="s">
        <v>29468</v>
      </c>
      <c r="E25216" s="62"/>
      <c r="F25216" s="62" t="str">
        <f>IF(INDEX(I.Production.P4C2,8)="","",INDEX(I.Production.P4C2,8))</f>
        <v/>
      </c>
      <c r="G25216" s="62"/>
      <c r="H25216" s="46" t="str">
        <f>IF(AND(I.Developer.P4=TRUE,I.Developer.P4C2=TRUE,F25216=""),"Incomplete","Complete")</f>
        <v>Complete</v>
      </c>
      <c r="I25216" s="48" t="s">
        <v>4287</v>
      </c>
    </row>
    <row r="25217" spans="2:9" ht="15" customHeight="1" x14ac:dyDescent="0.25">
      <c r="B25217" s="55" t="s">
        <v>331</v>
      </c>
      <c r="C25217" s="46">
        <v>9</v>
      </c>
      <c r="D25217" s="69" t="s">
        <v>29468</v>
      </c>
      <c r="E25217" s="62"/>
      <c r="F25217" s="62" t="str">
        <f>IF(INDEX(I.Production.P4C2,9)="","",INDEX(I.Production.P4C2,9))</f>
        <v/>
      </c>
      <c r="G25217" s="62"/>
      <c r="H25217" s="46" t="str">
        <f>IF(AND(I.Developer.P4=TRUE,I.Developer.P4C2=TRUE,F25217=""),"Incomplete","Complete")</f>
        <v>Complete</v>
      </c>
      <c r="I25217" s="48" t="s">
        <v>4288</v>
      </c>
    </row>
    <row r="25218" spans="2:9" ht="15" customHeight="1" x14ac:dyDescent="0.25">
      <c r="B25218" s="55" t="s">
        <v>331</v>
      </c>
      <c r="C25218" s="46">
        <v>10</v>
      </c>
      <c r="D25218" s="69" t="s">
        <v>29468</v>
      </c>
      <c r="E25218" s="62"/>
      <c r="F25218" s="62" t="str">
        <f>IF(INDEX(I.Production.P4C2,10)="","",INDEX(I.Production.P4C2,10))</f>
        <v/>
      </c>
      <c r="G25218" s="62"/>
      <c r="H25218" s="46" t="str">
        <f>IF(AND(I.Developer.P4=TRUE,I.Developer.P4C2=TRUE,F25218=""),"Incomplete","Complete")</f>
        <v>Complete</v>
      </c>
      <c r="I25218" s="48" t="s">
        <v>4289</v>
      </c>
    </row>
    <row r="25219" spans="2:9" ht="15" customHeight="1" x14ac:dyDescent="0.25">
      <c r="B25219" s="55" t="s">
        <v>331</v>
      </c>
      <c r="C25219" s="46">
        <v>11</v>
      </c>
      <c r="D25219" s="69" t="s">
        <v>29468</v>
      </c>
      <c r="E25219" s="62"/>
      <c r="F25219" s="62" t="str">
        <f>IF(INDEX(I.Production.P4C2,11)="","",INDEX(I.Production.P4C2,11))</f>
        <v/>
      </c>
      <c r="G25219" s="62"/>
      <c r="H25219" s="46" t="str">
        <f>IF(AND(I.Developer.P4=TRUE,I.Developer.P4C2=TRUE,F25219=""),"Incomplete","Complete")</f>
        <v>Complete</v>
      </c>
      <c r="I25219" s="48" t="s">
        <v>4290</v>
      </c>
    </row>
    <row r="25220" spans="2:9" ht="15" customHeight="1" x14ac:dyDescent="0.25">
      <c r="B25220" s="55" t="s">
        <v>331</v>
      </c>
      <c r="C25220" s="46">
        <v>12</v>
      </c>
      <c r="D25220" s="69" t="s">
        <v>29468</v>
      </c>
      <c r="E25220" s="62"/>
      <c r="F25220" s="62" t="str">
        <f>IF(INDEX(I.Production.P4C2,12)="","",INDEX(I.Production.P4C2,12))</f>
        <v/>
      </c>
      <c r="G25220" s="62"/>
      <c r="H25220" s="46" t="str">
        <f>IF(AND(I.Developer.P4=TRUE,I.Developer.P4C2=TRUE,F25220=""),"Incomplete","Complete")</f>
        <v>Complete</v>
      </c>
      <c r="I25220" s="48" t="s">
        <v>4291</v>
      </c>
    </row>
    <row r="25221" spans="2:9" ht="15" customHeight="1" x14ac:dyDescent="0.25">
      <c r="B25221" s="55" t="s">
        <v>331</v>
      </c>
      <c r="C25221" s="46">
        <v>13</v>
      </c>
      <c r="D25221" s="69" t="s">
        <v>29468</v>
      </c>
      <c r="E25221" s="62"/>
      <c r="F25221" s="62" t="str">
        <f>IF(INDEX(I.Production.P4C2,13)="","",INDEX(I.Production.P4C2,13))</f>
        <v/>
      </c>
      <c r="G25221" s="62"/>
      <c r="H25221" s="46" t="str">
        <f>IF(AND(I.Developer.P4=TRUE,I.Developer.P4C2=TRUE,F25221=""),"Incomplete","Complete")</f>
        <v>Complete</v>
      </c>
      <c r="I25221" s="48" t="s">
        <v>4292</v>
      </c>
    </row>
    <row r="25222" spans="2:9" ht="15" customHeight="1" x14ac:dyDescent="0.25">
      <c r="B25222" s="55" t="s">
        <v>331</v>
      </c>
      <c r="C25222" s="46">
        <v>14</v>
      </c>
      <c r="D25222" s="69" t="s">
        <v>29468</v>
      </c>
      <c r="E25222" s="62"/>
      <c r="F25222" s="62" t="str">
        <f>IF(INDEX(I.Production.P4C2,14)="","",INDEX(I.Production.P4C2,14))</f>
        <v/>
      </c>
      <c r="G25222" s="62"/>
      <c r="H25222" s="46" t="str">
        <f>IF(AND(I.Developer.P4=TRUE,I.Developer.P4C2=TRUE,F25222=""),"Incomplete","Complete")</f>
        <v>Complete</v>
      </c>
      <c r="I25222" s="48" t="s">
        <v>4293</v>
      </c>
    </row>
    <row r="25223" spans="2:9" ht="15" customHeight="1" x14ac:dyDescent="0.25">
      <c r="B25223" s="55" t="s">
        <v>331</v>
      </c>
      <c r="C25223" s="46">
        <v>15</v>
      </c>
      <c r="D25223" s="69" t="s">
        <v>29468</v>
      </c>
      <c r="E25223" s="62"/>
      <c r="F25223" s="62" t="str">
        <f>IF(INDEX(I.Production.P4C2,15)="","",INDEX(I.Production.P4C2,15))</f>
        <v/>
      </c>
      <c r="G25223" s="62"/>
      <c r="H25223" s="46" t="str">
        <f>IF(AND(I.Developer.P4=TRUE,I.Developer.P4C2=TRUE,F25223=""),"Incomplete","Complete")</f>
        <v>Complete</v>
      </c>
      <c r="I25223" s="48" t="s">
        <v>4294</v>
      </c>
    </row>
    <row r="25224" spans="2:9" ht="15" customHeight="1" x14ac:dyDescent="0.25">
      <c r="B25224" s="55" t="s">
        <v>331</v>
      </c>
      <c r="C25224" s="46">
        <v>16</v>
      </c>
      <c r="D25224" s="69" t="s">
        <v>29468</v>
      </c>
      <c r="E25224" s="62"/>
      <c r="F25224" s="62" t="str">
        <f>IF(INDEX(I.Production.P4C2,16)="","",INDEX(I.Production.P4C2,16))</f>
        <v/>
      </c>
      <c r="G25224" s="62"/>
      <c r="H25224" s="46" t="str">
        <f>IF(AND(I.Developer.P4=TRUE,I.Developer.P4C2=TRUE,F25224=""),"Incomplete","Complete")</f>
        <v>Complete</v>
      </c>
      <c r="I25224" s="48" t="s">
        <v>4295</v>
      </c>
    </row>
    <row r="25225" spans="2:9" ht="15" customHeight="1" x14ac:dyDescent="0.25">
      <c r="B25225" s="55" t="s">
        <v>331</v>
      </c>
      <c r="C25225" s="46">
        <v>17</v>
      </c>
      <c r="D25225" s="69" t="s">
        <v>29468</v>
      </c>
      <c r="E25225" s="62"/>
      <c r="F25225" s="62" t="str">
        <f>IF(INDEX(I.Production.P4C2,17)="","",INDEX(I.Production.P4C2,17))</f>
        <v/>
      </c>
      <c r="G25225" s="62"/>
      <c r="H25225" s="46" t="str">
        <f>IF(AND(I.Developer.P4=TRUE,I.Developer.P4C2=TRUE,F25225=""),"Incomplete","Complete")</f>
        <v>Complete</v>
      </c>
      <c r="I25225" s="48" t="s">
        <v>4296</v>
      </c>
    </row>
    <row r="25226" spans="2:9" ht="15" customHeight="1" x14ac:dyDescent="0.25">
      <c r="B25226" s="55" t="s">
        <v>331</v>
      </c>
      <c r="C25226" s="46">
        <v>18</v>
      </c>
      <c r="D25226" s="69" t="s">
        <v>29468</v>
      </c>
      <c r="E25226" s="62"/>
      <c r="F25226" s="62" t="str">
        <f>IF(INDEX(I.Production.P4C2,18)="","",INDEX(I.Production.P4C2,18))</f>
        <v/>
      </c>
      <c r="G25226" s="62"/>
      <c r="H25226" s="46" t="str">
        <f>IF(AND(I.Developer.P4=TRUE,I.Developer.P4C2=TRUE,F25226=""),"Incomplete","Complete")</f>
        <v>Complete</v>
      </c>
      <c r="I25226" s="48" t="s">
        <v>4297</v>
      </c>
    </row>
    <row r="25227" spans="2:9" ht="15" customHeight="1" x14ac:dyDescent="0.25">
      <c r="B25227" s="55" t="s">
        <v>331</v>
      </c>
      <c r="C25227" s="46">
        <v>19</v>
      </c>
      <c r="D25227" s="69" t="s">
        <v>29468</v>
      </c>
      <c r="E25227" s="62"/>
      <c r="F25227" s="62" t="str">
        <f>IF(INDEX(I.Production.P4C2,19)="","",INDEX(I.Production.P4C2,19))</f>
        <v/>
      </c>
      <c r="G25227" s="62"/>
      <c r="H25227" s="46" t="str">
        <f>IF(AND(I.Developer.P4=TRUE,I.Developer.P4C2=TRUE,F25227=""),"Incomplete","Complete")</f>
        <v>Complete</v>
      </c>
      <c r="I25227" s="48" t="s">
        <v>4298</v>
      </c>
    </row>
    <row r="25228" spans="2:9" ht="15" customHeight="1" x14ac:dyDescent="0.25">
      <c r="B25228" s="55" t="s">
        <v>331</v>
      </c>
      <c r="C25228" s="46">
        <v>20</v>
      </c>
      <c r="D25228" s="69" t="s">
        <v>29468</v>
      </c>
      <c r="E25228" s="62"/>
      <c r="F25228" s="62" t="str">
        <f>IF(INDEX(I.Production.P4C2,20)="","",INDEX(I.Production.P4C2,20))</f>
        <v/>
      </c>
      <c r="G25228" s="62"/>
      <c r="H25228" s="46" t="str">
        <f>IF(AND(I.Developer.P4=TRUE,I.Developer.P4C2=TRUE,F25228=""),"Incomplete","Complete")</f>
        <v>Complete</v>
      </c>
      <c r="I25228" s="48" t="s">
        <v>4299</v>
      </c>
    </row>
    <row r="25229" spans="2:9" ht="15" customHeight="1" x14ac:dyDescent="0.25">
      <c r="B25229" s="56" t="s">
        <v>331</v>
      </c>
      <c r="C25229" s="57">
        <v>21</v>
      </c>
      <c r="D25229" s="71" t="s">
        <v>29468</v>
      </c>
      <c r="E25229" s="61"/>
      <c r="F25229" s="61" t="str">
        <f>IF(INDEX(I.Production.P4C2,21)="","",INDEX(I.Production.P4C2,21))</f>
        <v/>
      </c>
      <c r="G25229" s="61"/>
      <c r="H25229" s="57" t="str">
        <f>IF(AND(I.Developer.P4=TRUE,I.Developer.P4C2=TRUE,F25229=""),"Incomplete","Complete")</f>
        <v>Complete</v>
      </c>
      <c r="I25229" s="49" t="s">
        <v>4300</v>
      </c>
    </row>
    <row r="25230" spans="2:9" ht="15" customHeight="1" x14ac:dyDescent="0.25">
      <c r="B25230" s="55" t="s">
        <v>332</v>
      </c>
      <c r="C25230" s="46">
        <v>1</v>
      </c>
      <c r="D25230" s="69" t="s">
        <v>29469</v>
      </c>
      <c r="E25230" s="62"/>
      <c r="F25230" s="62" t="str">
        <f>IF(INDEX(I.Production.P4C3,1)="","",INDEX(I.Production.P4C3,1))</f>
        <v/>
      </c>
      <c r="G25230" s="62"/>
      <c r="H25230" s="46" t="str">
        <f>IF(AND(I.Developer.P4=TRUE,I.Developer.P4C3=TRUE,I.Facility.StandardPart="Part 2",F25230=""),"Incomplete","Complete")</f>
        <v>Complete</v>
      </c>
      <c r="I25230" s="48" t="s">
        <v>4301</v>
      </c>
    </row>
    <row r="25231" spans="2:9" ht="15" customHeight="1" x14ac:dyDescent="0.25">
      <c r="B25231" s="55" t="s">
        <v>332</v>
      </c>
      <c r="C25231" s="46">
        <v>2</v>
      </c>
      <c r="D25231" s="69" t="s">
        <v>29469</v>
      </c>
      <c r="E25231" s="62"/>
      <c r="F25231" s="62" t="str">
        <f>IF(INDEX(I.Production.P4C3,2)="","",INDEX(I.Production.P4C3,2))</f>
        <v/>
      </c>
      <c r="G25231" s="62"/>
      <c r="H25231" s="46" t="str">
        <f>IF(AND(I.Developer.P4=TRUE,I.Developer.P4C3=TRUE,I.Facility.StandardPart="Part 2",F25231=""),"Incomplete","Complete")</f>
        <v>Complete</v>
      </c>
      <c r="I25231" s="48" t="s">
        <v>4302</v>
      </c>
    </row>
    <row r="25232" spans="2:9" ht="15" customHeight="1" x14ac:dyDescent="0.25">
      <c r="B25232" s="55" t="s">
        <v>332</v>
      </c>
      <c r="C25232" s="46">
        <v>3</v>
      </c>
      <c r="D25232" s="69" t="s">
        <v>29469</v>
      </c>
      <c r="E25232" s="62"/>
      <c r="F25232" s="62" t="str">
        <f>IF(INDEX(I.Production.P4C3,3)="","",INDEX(I.Production.P4C3,3))</f>
        <v/>
      </c>
      <c r="G25232" s="62"/>
      <c r="H25232" s="46" t="str">
        <f>IF(AND(I.Developer.P4=TRUE,I.Developer.P4C3=TRUE,I.Facility.StandardPart="Part 3",F25232=""),"Incomplete","Complete")</f>
        <v>Complete</v>
      </c>
      <c r="I25232" s="48" t="s">
        <v>4303</v>
      </c>
    </row>
    <row r="25233" spans="2:9" ht="15" customHeight="1" x14ac:dyDescent="0.25">
      <c r="B25233" s="55" t="s">
        <v>332</v>
      </c>
      <c r="C25233" s="46">
        <v>4</v>
      </c>
      <c r="D25233" s="69" t="s">
        <v>29469</v>
      </c>
      <c r="E25233" s="62"/>
      <c r="F25233" s="62" t="str">
        <f>IF(INDEX(I.Production.P4C3,4)="","",INDEX(I.Production.P4C3,4))</f>
        <v/>
      </c>
      <c r="G25233" s="62"/>
      <c r="H25233" s="46" t="str">
        <f>IF(AND(I.Developer.P4=TRUE,I.Developer.P4C3=TRUE,I.Facility.StandardPart="Part 3",F25233=""),"Incomplete","Complete")</f>
        <v>Complete</v>
      </c>
      <c r="I25233" s="48" t="s">
        <v>4304</v>
      </c>
    </row>
    <row r="25234" spans="2:9" ht="15" customHeight="1" x14ac:dyDescent="0.25">
      <c r="B25234" s="56" t="s">
        <v>332</v>
      </c>
      <c r="C25234" s="57">
        <v>5</v>
      </c>
      <c r="D25234" s="71" t="s">
        <v>29469</v>
      </c>
      <c r="E25234" s="61"/>
      <c r="F25234" s="61" t="str">
        <f>IF(INDEX(I.Production.P4C3,5)="","",INDEX(I.Production.P4C3,5))</f>
        <v/>
      </c>
      <c r="G25234" s="61"/>
      <c r="H25234" s="57" t="str">
        <f>IF(AND(I.Developer.P4=TRUE,I.Developer.P4C3=TRUE,I.Facility.StandardPart="Part 3",F25234=""),"Incomplete","Complete")</f>
        <v>Complete</v>
      </c>
      <c r="I25234" s="49" t="s">
        <v>4305</v>
      </c>
    </row>
    <row r="25235" spans="2:9" ht="15" customHeight="1" x14ac:dyDescent="0.25">
      <c r="B25235" s="55" t="s">
        <v>333</v>
      </c>
      <c r="C25235" s="46">
        <v>1</v>
      </c>
      <c r="D25235" s="69" t="s">
        <v>29470</v>
      </c>
      <c r="E25235" s="62"/>
      <c r="F25235" s="62" t="str">
        <f>IF(INDEX(I.Production.P4C4,1)="","",INDEX(I.Production.P4C4,1))</f>
        <v/>
      </c>
      <c r="G25235" s="62"/>
      <c r="H25235" s="46" t="str">
        <f>IF(AND(I.Developer.P4=TRUE,I.Developer.P4C4=TRUE,F25235=""),"Incomplete","Complete")</f>
        <v>Complete</v>
      </c>
      <c r="I25235" s="48" t="s">
        <v>4306</v>
      </c>
    </row>
    <row r="25236" spans="2:9" ht="15" customHeight="1" x14ac:dyDescent="0.25">
      <c r="B25236" s="55" t="s">
        <v>333</v>
      </c>
      <c r="C25236" s="46">
        <v>2</v>
      </c>
      <c r="D25236" s="69" t="s">
        <v>29470</v>
      </c>
      <c r="E25236" s="62"/>
      <c r="F25236" s="62" t="str">
        <f>IF(INDEX(I.Production.P4C4,2)="","",INDEX(I.Production.P4C4,2))</f>
        <v/>
      </c>
      <c r="G25236" s="62"/>
      <c r="H25236" s="46" t="str">
        <f>IF(AND(I.Developer.P4=TRUE,I.Developer.P4C4=TRUE,F25236=""),"Incomplete","Complete")</f>
        <v>Complete</v>
      </c>
      <c r="I25236" s="48" t="s">
        <v>4307</v>
      </c>
    </row>
    <row r="25237" spans="2:9" ht="15" customHeight="1" x14ac:dyDescent="0.25">
      <c r="B25237" s="56" t="s">
        <v>333</v>
      </c>
      <c r="C25237" s="57">
        <v>3</v>
      </c>
      <c r="D25237" s="71" t="s">
        <v>29470</v>
      </c>
      <c r="E25237" s="61"/>
      <c r="F25237" s="61" t="str">
        <f>IF(INDEX(I.Production.P4C4,3)="","",INDEX(I.Production.P4C4,3))</f>
        <v/>
      </c>
      <c r="G25237" s="61"/>
      <c r="H25237" s="57" t="str">
        <f>IF(AND(I.Developer.P4=TRUE,I.Developer.P4C4=TRUE,F25237=""),"Incomplete","Complete")</f>
        <v>Complete</v>
      </c>
      <c r="I25237" s="49" t="s">
        <v>4308</v>
      </c>
    </row>
    <row r="25238" spans="2:9" ht="15" customHeight="1" x14ac:dyDescent="0.25">
      <c r="B25238" s="55" t="s">
        <v>334</v>
      </c>
      <c r="C25238" s="46">
        <v>1</v>
      </c>
      <c r="D25238" s="69" t="s">
        <v>29471</v>
      </c>
      <c r="E25238" s="62"/>
      <c r="F25238" s="62" t="str">
        <f>IF(INDEX(I.Electricity.P1C1,1)="","",INDEX(I.Electricity.P1C1,1))</f>
        <v/>
      </c>
      <c r="G25238" s="62"/>
      <c r="H25238" s="46" t="str">
        <f>IF(AND(I.Developer.P1=TRUE,I.Product.P1Electricity="Yes",I.Developer.P1C1=TRUE,I.Facility.StandardPart="Part 2",F25238=""),"Incomplete","Complete")</f>
        <v>Complete</v>
      </c>
      <c r="I25238" s="48" t="s">
        <v>4119</v>
      </c>
    </row>
    <row r="25239" spans="2:9" ht="15" customHeight="1" x14ac:dyDescent="0.25">
      <c r="B25239" s="55" t="s">
        <v>334</v>
      </c>
      <c r="C25239" s="46">
        <v>2</v>
      </c>
      <c r="D25239" s="69" t="s">
        <v>29471</v>
      </c>
      <c r="E25239" s="62"/>
      <c r="F25239" s="62" t="str">
        <f>IF(INDEX(I.Electricity.P1C1,2)="","",INDEX(I.Electricity.P1C1,2))</f>
        <v/>
      </c>
      <c r="G25239" s="62"/>
      <c r="H25239" s="46" t="str">
        <f>IF(AND(I.Developer.P1=TRUE,I.Product.P1Electricity="Yes",I.Developer.P1C1=TRUE,I.Developer.P1C1V2=TRUE,I.Facility.StandardPart="Part 2",F25239=""),"Incomplete","Complete")</f>
        <v>Complete</v>
      </c>
      <c r="I25239" s="48" t="s">
        <v>4120</v>
      </c>
    </row>
    <row r="25240" spans="2:9" ht="15" customHeight="1" x14ac:dyDescent="0.25">
      <c r="B25240" s="55" t="s">
        <v>334</v>
      </c>
      <c r="C25240" s="46">
        <v>3</v>
      </c>
      <c r="D25240" s="69" t="s">
        <v>29471</v>
      </c>
      <c r="E25240" s="62"/>
      <c r="F25240" s="62" t="str">
        <f>IF(INDEX(I.Electricity.P1C1,3)="","",INDEX(I.Electricity.P1C1,3))</f>
        <v/>
      </c>
      <c r="G25240" s="62"/>
      <c r="H25240" s="46" t="str">
        <f>IF(AND(I.Developer.P1=TRUE,I.Product.P1Electricity="Yes",I.Developer.P1C1=TRUE,I.Developer.P1C1V3=TRUE,I.Facility.StandardPart="Part 2",F25240=""),"Incomplete","Complete")</f>
        <v>Complete</v>
      </c>
      <c r="I25240" s="48" t="s">
        <v>4121</v>
      </c>
    </row>
    <row r="25241" spans="2:9" ht="15" customHeight="1" x14ac:dyDescent="0.25">
      <c r="B25241" s="55" t="s">
        <v>334</v>
      </c>
      <c r="C25241" s="46">
        <v>4</v>
      </c>
      <c r="D25241" s="69" t="s">
        <v>29471</v>
      </c>
      <c r="E25241" s="62"/>
      <c r="F25241" s="62" t="str">
        <f>IF(INDEX(I.Electricity.P1C1,4)="","",INDEX(I.Electricity.P1C1,4))</f>
        <v/>
      </c>
      <c r="G25241" s="62"/>
      <c r="H25241" s="46" t="str">
        <f>IF(AND(I.Developer.P1=TRUE,I.Product.P1Electricity="Yes",I.Developer.P1C1=TRUE,I.Developer.P1C1V4=TRUE,I.Facility.StandardPart="Part 2",F25241=""),"Incomplete","Complete")</f>
        <v>Complete</v>
      </c>
      <c r="I25241" s="48" t="s">
        <v>4122</v>
      </c>
    </row>
    <row r="25242" spans="2:9" ht="15" customHeight="1" x14ac:dyDescent="0.25">
      <c r="B25242" s="55" t="s">
        <v>334</v>
      </c>
      <c r="C25242" s="46">
        <v>5</v>
      </c>
      <c r="D25242" s="69" t="s">
        <v>29471</v>
      </c>
      <c r="E25242" s="62"/>
      <c r="F25242" s="62" t="str">
        <f>IF(INDEX(I.Electricity.P1C1,5)="","",INDEX(I.Electricity.P1C1,5))</f>
        <v/>
      </c>
      <c r="G25242" s="62"/>
      <c r="H25242" s="46" t="str">
        <f>IF(AND(I.Developer.P1=TRUE,I.Product.P1Electricity="Yes",I.Developer.P1C1=TRUE,I.Developer.P1C1V5=TRUE,I.Facility.StandardPart="Part 2",F25242=""),"Incomplete","Complete")</f>
        <v>Complete</v>
      </c>
      <c r="I25242" s="48" t="s">
        <v>4123</v>
      </c>
    </row>
    <row r="25243" spans="2:9" ht="15" customHeight="1" x14ac:dyDescent="0.25">
      <c r="B25243" s="55" t="s">
        <v>334</v>
      </c>
      <c r="C25243" s="46">
        <v>6</v>
      </c>
      <c r="D25243" s="69" t="s">
        <v>29471</v>
      </c>
      <c r="E25243" s="62"/>
      <c r="F25243" s="62" t="str">
        <f>IF(INDEX(I.Electricity.P1C1,6)="","",INDEX(I.Electricity.P1C1,6))</f>
        <v/>
      </c>
      <c r="G25243" s="62"/>
      <c r="H25243" s="46" t="str">
        <f>IF(AND(I.Developer.P1=TRUE,I.Product.P1Electricity="Yes",I.Developer.P1C1=TRUE,I.Developer.P1C1V6=TRUE,I.Facility.StandardPart="Part 2",F25243=""),"Incomplete","Complete")</f>
        <v>Complete</v>
      </c>
      <c r="I25243" s="48" t="s">
        <v>4124</v>
      </c>
    </row>
    <row r="25244" spans="2:9" ht="15" customHeight="1" x14ac:dyDescent="0.25">
      <c r="B25244" s="55" t="s">
        <v>334</v>
      </c>
      <c r="C25244" s="46">
        <v>7</v>
      </c>
      <c r="D25244" s="69" t="s">
        <v>29471</v>
      </c>
      <c r="E25244" s="62"/>
      <c r="F25244" s="62" t="str">
        <f>IF(INDEX(I.Electricity.P1C1,7)="","",INDEX(I.Electricity.P1C1,7))</f>
        <v/>
      </c>
      <c r="G25244" s="62"/>
      <c r="H25244" s="46" t="str">
        <f>IF(AND(I.Developer.P1=TRUE,I.Product.P1Electricity="Yes",I.Developer.P1C1=TRUE,I.Facility.StandardPart="Part 3",F25244=""),"Incomplete","Complete")</f>
        <v>Complete</v>
      </c>
      <c r="I25244" s="48" t="s">
        <v>4125</v>
      </c>
    </row>
    <row r="25245" spans="2:9" ht="15" customHeight="1" x14ac:dyDescent="0.25">
      <c r="B25245" s="55" t="s">
        <v>334</v>
      </c>
      <c r="C25245" s="46">
        <v>8</v>
      </c>
      <c r="D25245" s="69" t="s">
        <v>29471</v>
      </c>
      <c r="E25245" s="62"/>
      <c r="F25245" s="62" t="str">
        <f>IF(INDEX(I.Electricity.P1C1,8)="","",INDEX(I.Electricity.P1C1,8))</f>
        <v/>
      </c>
      <c r="G25245" s="62"/>
      <c r="H25245" s="46" t="str">
        <f>IF(AND(I.Developer.P1=TRUE,I.Product.P1Electricity="Yes",I.Developer.P1C1=TRUE,I.Facility.StandardPart="Part 3",F25245=""),"Incomplete","Complete")</f>
        <v>Complete</v>
      </c>
      <c r="I25245" s="48" t="s">
        <v>4126</v>
      </c>
    </row>
    <row r="25246" spans="2:9" ht="15" customHeight="1" x14ac:dyDescent="0.25">
      <c r="B25246" s="56" t="s">
        <v>334</v>
      </c>
      <c r="C25246" s="57">
        <v>9</v>
      </c>
      <c r="D25246" s="71" t="s">
        <v>29471</v>
      </c>
      <c r="E25246" s="61"/>
      <c r="F25246" s="61" t="str">
        <f>IF(INDEX(I.Electricity.P1C1,9)="","",INDEX(I.Electricity.P1C1,9))</f>
        <v/>
      </c>
      <c r="G25246" s="61"/>
      <c r="H25246" s="57" t="str">
        <f>IF(AND(I.Developer.P1=TRUE,I.Product.P1Electricity="Yes",I.Developer.P1C1=TRUE,I.Facility.StandardPart="Part 3",F25246=""),"Incomplete","Complete")</f>
        <v>Complete</v>
      </c>
      <c r="I25246" s="49" t="s">
        <v>4127</v>
      </c>
    </row>
    <row r="25247" spans="2:9" ht="15" customHeight="1" x14ac:dyDescent="0.25">
      <c r="B25247" s="55" t="s">
        <v>335</v>
      </c>
      <c r="C25247" s="46">
        <v>1</v>
      </c>
      <c r="D25247" s="69" t="s">
        <v>29472</v>
      </c>
      <c r="E25247" s="62"/>
      <c r="F25247" s="62" t="str">
        <f>IF(INDEX(I.Electricity.P1C2,1)="","",INDEX(I.Electricity.P1C2,1))</f>
        <v/>
      </c>
      <c r="G25247" s="62"/>
      <c r="H25247" s="46" t="str">
        <f>IF(AND(I.Developer.P1=TRUE,I.Product.P1Electricity="Yes",I.Developer.P1C2=TRUE,F25247=""),"Incomplete","Complete")</f>
        <v>Complete</v>
      </c>
      <c r="I25247" s="48" t="s">
        <v>4128</v>
      </c>
    </row>
    <row r="25248" spans="2:9" ht="15" customHeight="1" x14ac:dyDescent="0.25">
      <c r="B25248" s="55" t="s">
        <v>335</v>
      </c>
      <c r="C25248" s="46">
        <v>2</v>
      </c>
      <c r="D25248" s="69" t="s">
        <v>29472</v>
      </c>
      <c r="E25248" s="62"/>
      <c r="F25248" s="62" t="str">
        <f>IF(INDEX(I.Electricity.P1C2,2)="","",INDEX(I.Electricity.P1C2,2))</f>
        <v/>
      </c>
      <c r="G25248" s="62"/>
      <c r="H25248" s="46" t="str">
        <f>IF(AND(I.Developer.P1=TRUE,I.Product.P1Electricity="Yes",I.Developer.P1C2=TRUE,F25248=""),"Incomplete","Complete")</f>
        <v>Complete</v>
      </c>
      <c r="I25248" s="48" t="s">
        <v>4129</v>
      </c>
    </row>
    <row r="25249" spans="2:9" ht="15" customHeight="1" x14ac:dyDescent="0.25">
      <c r="B25249" s="55" t="s">
        <v>335</v>
      </c>
      <c r="C25249" s="46">
        <v>3</v>
      </c>
      <c r="D25249" s="69" t="s">
        <v>29472</v>
      </c>
      <c r="E25249" s="62"/>
      <c r="F25249" s="62" t="str">
        <f>IF(INDEX(I.Electricity.P1C2,3)="","",INDEX(I.Electricity.P1C2,3))</f>
        <v/>
      </c>
      <c r="G25249" s="62"/>
      <c r="H25249" s="46" t="str">
        <f>IF(AND(I.Developer.P1=TRUE,I.Product.P1Electricity="Yes",I.Developer.P1C2=TRUE,F25249=""),"Incomplete","Complete")</f>
        <v>Complete</v>
      </c>
      <c r="I25249" s="48" t="s">
        <v>4130</v>
      </c>
    </row>
    <row r="25250" spans="2:9" ht="15" customHeight="1" x14ac:dyDescent="0.25">
      <c r="B25250" s="55" t="s">
        <v>335</v>
      </c>
      <c r="C25250" s="46">
        <v>4</v>
      </c>
      <c r="D25250" s="69" t="s">
        <v>29472</v>
      </c>
      <c r="E25250" s="62"/>
      <c r="F25250" s="62" t="str">
        <f>IF(INDEX(I.Electricity.P1C2,4)="","",INDEX(I.Electricity.P1C2,4))</f>
        <v/>
      </c>
      <c r="G25250" s="62"/>
      <c r="H25250" s="46" t="str">
        <f>IF(AND(I.Developer.P1=TRUE,I.Product.P1Electricity="Yes",I.Developer.P1C2=TRUE,F25250=""),"Incomplete","Complete")</f>
        <v>Complete</v>
      </c>
      <c r="I25250" s="48" t="s">
        <v>4131</v>
      </c>
    </row>
    <row r="25251" spans="2:9" ht="15" customHeight="1" x14ac:dyDescent="0.25">
      <c r="B25251" s="55" t="s">
        <v>335</v>
      </c>
      <c r="C25251" s="46">
        <v>5</v>
      </c>
      <c r="D25251" s="69" t="s">
        <v>29472</v>
      </c>
      <c r="E25251" s="62"/>
      <c r="F25251" s="62" t="str">
        <f>IF(INDEX(I.Electricity.P1C2,5)="","",INDEX(I.Electricity.P1C2,5))</f>
        <v/>
      </c>
      <c r="G25251" s="62"/>
      <c r="H25251" s="46" t="str">
        <f>IF(AND(I.Developer.P1=TRUE,I.Product.P1Electricity="Yes",I.Developer.P1C2=TRUE,F25251=""),"Incomplete","Complete")</f>
        <v>Complete</v>
      </c>
      <c r="I25251" s="48" t="s">
        <v>4132</v>
      </c>
    </row>
    <row r="25252" spans="2:9" ht="15" customHeight="1" x14ac:dyDescent="0.25">
      <c r="B25252" s="55" t="s">
        <v>335</v>
      </c>
      <c r="C25252" s="46">
        <v>6</v>
      </c>
      <c r="D25252" s="69" t="s">
        <v>29472</v>
      </c>
      <c r="E25252" s="62"/>
      <c r="F25252" s="62" t="str">
        <f>IF(INDEX(I.Electricity.P1C2,6)="","",INDEX(I.Electricity.P1C2,6))</f>
        <v/>
      </c>
      <c r="G25252" s="62"/>
      <c r="H25252" s="46" t="str">
        <f>IF(AND(I.Developer.P1=TRUE,I.Product.P1Electricity="Yes",I.Developer.P1C2=TRUE,F25252=""),"Incomplete","Complete")</f>
        <v>Complete</v>
      </c>
      <c r="I25252" s="48" t="s">
        <v>4133</v>
      </c>
    </row>
    <row r="25253" spans="2:9" ht="15" customHeight="1" x14ac:dyDescent="0.25">
      <c r="B25253" s="55" t="s">
        <v>335</v>
      </c>
      <c r="C25253" s="46">
        <v>7</v>
      </c>
      <c r="D25253" s="69" t="s">
        <v>29472</v>
      </c>
      <c r="E25253" s="62"/>
      <c r="F25253" s="62" t="str">
        <f>IF(INDEX(I.Electricity.P1C2,7)="","",INDEX(I.Electricity.P1C2,7))</f>
        <v/>
      </c>
      <c r="G25253" s="62"/>
      <c r="H25253" s="46" t="str">
        <f>IF(AND(I.Developer.P1=TRUE,I.Product.P1Electricity="Yes",I.Developer.P1C2=TRUE,F25253=""),"Incomplete","Complete")</f>
        <v>Complete</v>
      </c>
      <c r="I25253" s="48" t="s">
        <v>4134</v>
      </c>
    </row>
    <row r="25254" spans="2:9" ht="15" customHeight="1" x14ac:dyDescent="0.25">
      <c r="B25254" s="55" t="s">
        <v>335</v>
      </c>
      <c r="C25254" s="46">
        <v>8</v>
      </c>
      <c r="D25254" s="69" t="s">
        <v>29472</v>
      </c>
      <c r="E25254" s="62"/>
      <c r="F25254" s="62" t="str">
        <f>IF(INDEX(I.Electricity.P1C2,8)="","",INDEX(I.Electricity.P1C2,8))</f>
        <v/>
      </c>
      <c r="G25254" s="62"/>
      <c r="H25254" s="46" t="str">
        <f>IF(AND(I.Developer.P1=TRUE,I.Product.P1Electricity="Yes",I.Developer.P1C2=TRUE,F25254=""),"Incomplete","Complete")</f>
        <v>Complete</v>
      </c>
      <c r="I25254" s="48" t="s">
        <v>4135</v>
      </c>
    </row>
    <row r="25255" spans="2:9" ht="15" customHeight="1" x14ac:dyDescent="0.25">
      <c r="B25255" s="55" t="s">
        <v>335</v>
      </c>
      <c r="C25255" s="46">
        <v>9</v>
      </c>
      <c r="D25255" s="69" t="s">
        <v>29472</v>
      </c>
      <c r="E25255" s="62"/>
      <c r="F25255" s="62" t="str">
        <f>IF(INDEX(I.Electricity.P1C2,9)="","",INDEX(I.Electricity.P1C2,9))</f>
        <v/>
      </c>
      <c r="G25255" s="62"/>
      <c r="H25255" s="46" t="str">
        <f>IF(AND(I.Developer.P1=TRUE,I.Product.P1Electricity="Yes",I.Developer.P1C2=TRUE,F25255=""),"Incomplete","Complete")</f>
        <v>Complete</v>
      </c>
      <c r="I25255" s="48" t="s">
        <v>4136</v>
      </c>
    </row>
    <row r="25256" spans="2:9" ht="15" customHeight="1" x14ac:dyDescent="0.25">
      <c r="B25256" s="55" t="s">
        <v>335</v>
      </c>
      <c r="C25256" s="46">
        <v>10</v>
      </c>
      <c r="D25256" s="69" t="s">
        <v>29472</v>
      </c>
      <c r="E25256" s="62"/>
      <c r="F25256" s="62" t="str">
        <f>IF(INDEX(I.Electricity.P1C2,10)="","",INDEX(I.Electricity.P1C2,10))</f>
        <v/>
      </c>
      <c r="G25256" s="62"/>
      <c r="H25256" s="46" t="str">
        <f>IF(AND(I.Developer.P1=TRUE,I.Product.P1Electricity="Yes",I.Developer.P1C2=TRUE,F25256=""),"Incomplete","Complete")</f>
        <v>Complete</v>
      </c>
      <c r="I25256" s="48" t="s">
        <v>4137</v>
      </c>
    </row>
    <row r="25257" spans="2:9" ht="15" customHeight="1" x14ac:dyDescent="0.25">
      <c r="B25257" s="55" t="s">
        <v>335</v>
      </c>
      <c r="C25257" s="46">
        <v>11</v>
      </c>
      <c r="D25257" s="69" t="s">
        <v>29472</v>
      </c>
      <c r="E25257" s="62"/>
      <c r="F25257" s="62" t="str">
        <f>IF(INDEX(I.Electricity.P1C2,11)="","",INDEX(I.Electricity.P1C2,11))</f>
        <v/>
      </c>
      <c r="G25257" s="62"/>
      <c r="H25257" s="46" t="str">
        <f>IF(AND(I.Developer.P1=TRUE,I.Product.P1Electricity="Yes",I.Developer.P1C2=TRUE,F25257=""),"Incomplete","Complete")</f>
        <v>Complete</v>
      </c>
      <c r="I25257" s="48" t="s">
        <v>4138</v>
      </c>
    </row>
    <row r="25258" spans="2:9" ht="15" customHeight="1" x14ac:dyDescent="0.25">
      <c r="B25258" s="55" t="s">
        <v>335</v>
      </c>
      <c r="C25258" s="46">
        <v>12</v>
      </c>
      <c r="D25258" s="69" t="s">
        <v>29472</v>
      </c>
      <c r="E25258" s="62"/>
      <c r="F25258" s="62" t="str">
        <f>IF(INDEX(I.Electricity.P1C2,12)="","",INDEX(I.Electricity.P1C2,12))</f>
        <v/>
      </c>
      <c r="G25258" s="62"/>
      <c r="H25258" s="46" t="str">
        <f>IF(AND(I.Developer.P1=TRUE,I.Product.P1Electricity="Yes",I.Developer.P1C2=TRUE,F25258=""),"Incomplete","Complete")</f>
        <v>Complete</v>
      </c>
      <c r="I25258" s="48" t="s">
        <v>4139</v>
      </c>
    </row>
    <row r="25259" spans="2:9" ht="15" customHeight="1" x14ac:dyDescent="0.25">
      <c r="B25259" s="55" t="s">
        <v>335</v>
      </c>
      <c r="C25259" s="46">
        <v>13</v>
      </c>
      <c r="D25259" s="69" t="s">
        <v>29472</v>
      </c>
      <c r="E25259" s="62"/>
      <c r="F25259" s="62" t="str">
        <f>IF(INDEX(I.Electricity.P1C2,13)="","",INDEX(I.Electricity.P1C2,13))</f>
        <v/>
      </c>
      <c r="G25259" s="62"/>
      <c r="H25259" s="46" t="str">
        <f>IF(AND(I.Developer.P1=TRUE,I.Product.P1Electricity="Yes",I.Developer.P1C2=TRUE,F25259=""),"Incomplete","Complete")</f>
        <v>Complete</v>
      </c>
      <c r="I25259" s="48" t="s">
        <v>4140</v>
      </c>
    </row>
    <row r="25260" spans="2:9" ht="15" customHeight="1" x14ac:dyDescent="0.25">
      <c r="B25260" s="55" t="s">
        <v>335</v>
      </c>
      <c r="C25260" s="46">
        <v>14</v>
      </c>
      <c r="D25260" s="69" t="s">
        <v>29472</v>
      </c>
      <c r="E25260" s="62"/>
      <c r="F25260" s="62" t="str">
        <f>IF(INDEX(I.Electricity.P1C2,14)="","",INDEX(I.Electricity.P1C2,14))</f>
        <v/>
      </c>
      <c r="G25260" s="62"/>
      <c r="H25260" s="46" t="str">
        <f>IF(AND(I.Developer.P1=TRUE,I.Product.P1Electricity="Yes",I.Developer.P1C2=TRUE,F25260=""),"Incomplete","Complete")</f>
        <v>Complete</v>
      </c>
      <c r="I25260" s="48" t="s">
        <v>4141</v>
      </c>
    </row>
    <row r="25261" spans="2:9" ht="15" customHeight="1" x14ac:dyDescent="0.25">
      <c r="B25261" s="55" t="s">
        <v>335</v>
      </c>
      <c r="C25261" s="46">
        <v>15</v>
      </c>
      <c r="D25261" s="69" t="s">
        <v>29472</v>
      </c>
      <c r="E25261" s="62"/>
      <c r="F25261" s="62" t="str">
        <f>IF(INDEX(I.Electricity.P1C2,15)="","",INDEX(I.Electricity.P1C2,15))</f>
        <v/>
      </c>
      <c r="G25261" s="62"/>
      <c r="H25261" s="46" t="str">
        <f>IF(AND(I.Developer.P1=TRUE,I.Product.P1Electricity="Yes",I.Developer.P1C2=TRUE,F25261=""),"Incomplete","Complete")</f>
        <v>Complete</v>
      </c>
      <c r="I25261" s="48" t="s">
        <v>4142</v>
      </c>
    </row>
    <row r="25262" spans="2:9" ht="15" customHeight="1" x14ac:dyDescent="0.25">
      <c r="B25262" s="55" t="s">
        <v>335</v>
      </c>
      <c r="C25262" s="46">
        <v>16</v>
      </c>
      <c r="D25262" s="69" t="s">
        <v>29472</v>
      </c>
      <c r="E25262" s="62"/>
      <c r="F25262" s="62" t="str">
        <f>IF(INDEX(I.Electricity.P1C2,16)="","",INDEX(I.Electricity.P1C2,16))</f>
        <v/>
      </c>
      <c r="G25262" s="62"/>
      <c r="H25262" s="46" t="str">
        <f>IF(AND(I.Developer.P1=TRUE,I.Product.P1Electricity="Yes",I.Developer.P1C2=TRUE,F25262=""),"Incomplete","Complete")</f>
        <v>Complete</v>
      </c>
      <c r="I25262" s="48" t="s">
        <v>4143</v>
      </c>
    </row>
    <row r="25263" spans="2:9" ht="15" customHeight="1" x14ac:dyDescent="0.25">
      <c r="B25263" s="55" t="s">
        <v>335</v>
      </c>
      <c r="C25263" s="46">
        <v>17</v>
      </c>
      <c r="D25263" s="69" t="s">
        <v>29472</v>
      </c>
      <c r="E25263" s="62"/>
      <c r="F25263" s="62" t="str">
        <f>IF(INDEX(I.Electricity.P1C2,17)="","",INDEX(I.Electricity.P1C2,17))</f>
        <v/>
      </c>
      <c r="G25263" s="62"/>
      <c r="H25263" s="46" t="str">
        <f>IF(AND(I.Developer.P1=TRUE,I.Product.P1Electricity="Yes",I.Developer.P1C2=TRUE,F25263=""),"Incomplete","Complete")</f>
        <v>Complete</v>
      </c>
      <c r="I25263" s="48" t="s">
        <v>4144</v>
      </c>
    </row>
    <row r="25264" spans="2:9" ht="15" customHeight="1" x14ac:dyDescent="0.25">
      <c r="B25264" s="55" t="s">
        <v>335</v>
      </c>
      <c r="C25264" s="46">
        <v>18</v>
      </c>
      <c r="D25264" s="69" t="s">
        <v>29472</v>
      </c>
      <c r="E25264" s="62"/>
      <c r="F25264" s="62" t="str">
        <f>IF(INDEX(I.Electricity.P1C2,18)="","",INDEX(I.Electricity.P1C2,18))</f>
        <v/>
      </c>
      <c r="G25264" s="62"/>
      <c r="H25264" s="46" t="str">
        <f>IF(AND(I.Developer.P1=TRUE,I.Product.P1Electricity="Yes",I.Developer.P1C2=TRUE,F25264=""),"Incomplete","Complete")</f>
        <v>Complete</v>
      </c>
      <c r="I25264" s="48" t="s">
        <v>4145</v>
      </c>
    </row>
    <row r="25265" spans="2:9" ht="15" customHeight="1" x14ac:dyDescent="0.25">
      <c r="B25265" s="55" t="s">
        <v>335</v>
      </c>
      <c r="C25265" s="46">
        <v>19</v>
      </c>
      <c r="D25265" s="69" t="s">
        <v>29472</v>
      </c>
      <c r="E25265" s="62"/>
      <c r="F25265" s="62" t="str">
        <f>IF(INDEX(I.Electricity.P1C2,19)="","",INDEX(I.Electricity.P1C2,19))</f>
        <v/>
      </c>
      <c r="G25265" s="62"/>
      <c r="H25265" s="46" t="str">
        <f>IF(AND(I.Developer.P1=TRUE,I.Product.P1Electricity="Yes",I.Developer.P1C2=TRUE,F25265=""),"Incomplete","Complete")</f>
        <v>Complete</v>
      </c>
      <c r="I25265" s="48" t="s">
        <v>4146</v>
      </c>
    </row>
    <row r="25266" spans="2:9" ht="15" customHeight="1" x14ac:dyDescent="0.25">
      <c r="B25266" s="55" t="s">
        <v>335</v>
      </c>
      <c r="C25266" s="46">
        <v>20</v>
      </c>
      <c r="D25266" s="69" t="s">
        <v>29472</v>
      </c>
      <c r="E25266" s="62"/>
      <c r="F25266" s="62" t="str">
        <f>IF(INDEX(I.Electricity.P1C2,20)="","",INDEX(I.Electricity.P1C2,20))</f>
        <v/>
      </c>
      <c r="G25266" s="62"/>
      <c r="H25266" s="46" t="str">
        <f>IF(AND(I.Developer.P1=TRUE,I.Product.P1Electricity="Yes",I.Developer.P1C2=TRUE,F25266=""),"Incomplete","Complete")</f>
        <v>Complete</v>
      </c>
      <c r="I25266" s="48" t="s">
        <v>4147</v>
      </c>
    </row>
    <row r="25267" spans="2:9" ht="15" customHeight="1" x14ac:dyDescent="0.25">
      <c r="B25267" s="56" t="s">
        <v>335</v>
      </c>
      <c r="C25267" s="57">
        <v>21</v>
      </c>
      <c r="D25267" s="71" t="s">
        <v>29472</v>
      </c>
      <c r="E25267" s="61"/>
      <c r="F25267" s="61" t="str">
        <f>IF(INDEX(I.Electricity.P1C2,21)="","",INDEX(I.Electricity.P1C2,21))</f>
        <v/>
      </c>
      <c r="G25267" s="61"/>
      <c r="H25267" s="57" t="str">
        <f>IF(AND(I.Developer.P1=TRUE,I.Product.P1Electricity="Yes",I.Developer.P1C2=TRUE,F25267=""),"Incomplete","Complete")</f>
        <v>Complete</v>
      </c>
      <c r="I25267" s="49" t="s">
        <v>4148</v>
      </c>
    </row>
    <row r="25268" spans="2:9" ht="15" customHeight="1" x14ac:dyDescent="0.25">
      <c r="B25268" s="55" t="s">
        <v>336</v>
      </c>
      <c r="C25268" s="46">
        <v>1</v>
      </c>
      <c r="D25268" s="69" t="s">
        <v>29473</v>
      </c>
      <c r="E25268" s="62"/>
      <c r="F25268" s="62" t="str">
        <f>IF(INDEX(I.Electricity.P1C3,1)="","",INDEX(I.Electricity.P1C3,1))</f>
        <v/>
      </c>
      <c r="G25268" s="62"/>
      <c r="H25268" s="46" t="str">
        <f>IF(AND(I.Developer.P1=TRUE,I.Product.P1Electricity="Yes",I.Developer.P1C3=TRUE,I.Facility.StandardPart="Part 2",F25268=""),"Incomplete","Complete")</f>
        <v>Complete</v>
      </c>
      <c r="I25268" s="48" t="s">
        <v>4149</v>
      </c>
    </row>
    <row r="25269" spans="2:9" ht="15" customHeight="1" x14ac:dyDescent="0.25">
      <c r="B25269" s="55" t="s">
        <v>336</v>
      </c>
      <c r="C25269" s="46">
        <v>2</v>
      </c>
      <c r="D25269" s="69" t="s">
        <v>29473</v>
      </c>
      <c r="E25269" s="62"/>
      <c r="F25269" s="62" t="str">
        <f>IF(INDEX(I.Electricity.P1C3,2)="","",INDEX(I.Electricity.P1C3,2))</f>
        <v/>
      </c>
      <c r="G25269" s="62"/>
      <c r="H25269" s="46" t="str">
        <f>IF(AND(I.Developer.P1=TRUE,I.Product.P1Electricity="Yes",I.Developer.P1C3=TRUE,I.Facility.StandardPart="Part 2",F25269=""),"Incomplete","Complete")</f>
        <v>Complete</v>
      </c>
      <c r="I25269" s="48" t="s">
        <v>4150</v>
      </c>
    </row>
    <row r="25270" spans="2:9" ht="15" customHeight="1" x14ac:dyDescent="0.25">
      <c r="B25270" s="55" t="s">
        <v>336</v>
      </c>
      <c r="C25270" s="46">
        <v>3</v>
      </c>
      <c r="D25270" s="69" t="s">
        <v>29473</v>
      </c>
      <c r="E25270" s="62"/>
      <c r="F25270" s="62" t="str">
        <f>IF(INDEX(I.Electricity.P1C3,3)="","",INDEX(I.Electricity.P1C3,3))</f>
        <v/>
      </c>
      <c r="G25270" s="62"/>
      <c r="H25270" s="46" t="str">
        <f>IF(AND(I.Developer.P1=TRUE,I.Product.P1Electricity="Yes",I.Developer.P1C3=TRUE,I.Facility.StandardPart="Part 3",F25270=""),"Incomplete","Complete")</f>
        <v>Complete</v>
      </c>
      <c r="I25270" s="48" t="s">
        <v>4151</v>
      </c>
    </row>
    <row r="25271" spans="2:9" ht="15" customHeight="1" x14ac:dyDescent="0.25">
      <c r="B25271" s="55" t="s">
        <v>336</v>
      </c>
      <c r="C25271" s="46">
        <v>4</v>
      </c>
      <c r="D25271" s="69" t="s">
        <v>29473</v>
      </c>
      <c r="E25271" s="62"/>
      <c r="F25271" s="62" t="str">
        <f>IF(INDEX(I.Electricity.P1C3,4)="","",INDEX(I.Electricity.P1C3,4))</f>
        <v/>
      </c>
      <c r="G25271" s="62"/>
      <c r="H25271" s="46" t="str">
        <f>IF(AND(I.Developer.P1=TRUE,I.Product.P1Electricity="Yes",I.Developer.P1C3=TRUE,I.Facility.StandardPart="Part 3",F25271=""),"Incomplete","Complete")</f>
        <v>Complete</v>
      </c>
      <c r="I25271" s="48" t="s">
        <v>4152</v>
      </c>
    </row>
    <row r="25272" spans="2:9" ht="15" customHeight="1" x14ac:dyDescent="0.25">
      <c r="B25272" s="56" t="s">
        <v>336</v>
      </c>
      <c r="C25272" s="57">
        <v>5</v>
      </c>
      <c r="D25272" s="71" t="s">
        <v>29473</v>
      </c>
      <c r="E25272" s="61"/>
      <c r="F25272" s="61" t="str">
        <f>IF(INDEX(I.Electricity.P1C3,5)="","",INDEX(I.Electricity.P1C3,5))</f>
        <v/>
      </c>
      <c r="G25272" s="61"/>
      <c r="H25272" s="57" t="str">
        <f>IF(AND(I.Developer.P1=TRUE,I.Product.P1Electricity="Yes",I.Developer.P1C3=TRUE,I.Facility.StandardPart="Part 3",F25272=""),"Incomplete","Complete")</f>
        <v>Complete</v>
      </c>
      <c r="I25272" s="49" t="s">
        <v>4153</v>
      </c>
    </row>
    <row r="25273" spans="2:9" ht="15" customHeight="1" x14ac:dyDescent="0.25">
      <c r="B25273" s="55" t="s">
        <v>337</v>
      </c>
      <c r="C25273" s="46">
        <v>1</v>
      </c>
      <c r="D25273" s="69" t="s">
        <v>29474</v>
      </c>
      <c r="E25273" s="62"/>
      <c r="F25273" s="62" t="str">
        <f>IF(INDEX(I.Electricity.P1C4,1)="","",INDEX(I.Electricity.P1C4,1))</f>
        <v/>
      </c>
      <c r="G25273" s="62"/>
      <c r="H25273" s="46" t="str">
        <f>IF(AND(I.Developer.P1=TRUE,I.Product.P1Electricity="Yes",I.Developer.P1C4=TRUE,F25273=""),"Incomplete","Complete")</f>
        <v>Complete</v>
      </c>
      <c r="I25273" s="48" t="s">
        <v>4154</v>
      </c>
    </row>
    <row r="25274" spans="2:9" ht="15" customHeight="1" x14ac:dyDescent="0.25">
      <c r="B25274" s="55" t="s">
        <v>337</v>
      </c>
      <c r="C25274" s="46">
        <v>2</v>
      </c>
      <c r="D25274" s="69" t="s">
        <v>29474</v>
      </c>
      <c r="E25274" s="62"/>
      <c r="F25274" s="62" t="str">
        <f>IF(INDEX(I.Electricity.P1C4,2)="","",INDEX(I.Electricity.P1C4,2))</f>
        <v/>
      </c>
      <c r="G25274" s="62"/>
      <c r="H25274" s="46" t="str">
        <f>IF(AND(I.Developer.P1=TRUE,I.Product.P1Electricity="Yes",I.Developer.P1C4=TRUE,F25274=""),"Incomplete","Complete")</f>
        <v>Complete</v>
      </c>
      <c r="I25274" s="48" t="s">
        <v>4155</v>
      </c>
    </row>
    <row r="25275" spans="2:9" ht="15" customHeight="1" x14ac:dyDescent="0.25">
      <c r="B25275" s="56" t="s">
        <v>337</v>
      </c>
      <c r="C25275" s="57">
        <v>3</v>
      </c>
      <c r="D25275" s="71" t="s">
        <v>29474</v>
      </c>
      <c r="E25275" s="61"/>
      <c r="F25275" s="61" t="str">
        <f>IF(INDEX(I.Electricity.P1C4,3)="","",INDEX(I.Electricity.P1C4,3))</f>
        <v/>
      </c>
      <c r="G25275" s="61"/>
      <c r="H25275" s="57" t="str">
        <f>IF(AND(I.Developer.P1=TRUE,I.Product.P1Electricity="Yes",I.Developer.P1C4=TRUE,F25275=""),"Incomplete","Complete")</f>
        <v>Complete</v>
      </c>
      <c r="I25275" s="49" t="s">
        <v>4156</v>
      </c>
    </row>
    <row r="25276" spans="2:9" ht="15" customHeight="1" x14ac:dyDescent="0.25">
      <c r="B25276" s="55" t="s">
        <v>338</v>
      </c>
      <c r="C25276" s="46">
        <v>1</v>
      </c>
      <c r="D25276" s="69" t="s">
        <v>29475</v>
      </c>
      <c r="E25276" s="62"/>
      <c r="F25276" s="62" t="str">
        <f>IF(INDEX(I.Electricity.P2aC1,1)="","",INDEX(I.Electricity.P2aC1,1))</f>
        <v/>
      </c>
      <c r="G25276" s="62"/>
      <c r="H25276" s="46" t="str">
        <f>IF(AND(I.Developer.P2a=TRUE,I.Product.P2aElectricity="Yes",I.Developer.P2aC1=TRUE,I.Facility.StandardPart="Part 2",F25276=""),"Incomplete","Complete")</f>
        <v>Complete</v>
      </c>
      <c r="I25276" s="48" t="s">
        <v>4157</v>
      </c>
    </row>
    <row r="25277" spans="2:9" ht="15" customHeight="1" x14ac:dyDescent="0.25">
      <c r="B25277" s="55" t="s">
        <v>338</v>
      </c>
      <c r="C25277" s="46">
        <v>2</v>
      </c>
      <c r="D25277" s="69" t="s">
        <v>29475</v>
      </c>
      <c r="E25277" s="62"/>
      <c r="F25277" s="62" t="str">
        <f>IF(INDEX(I.Electricity.P2aC1,2)="","",INDEX(I.Electricity.P2aC1,2))</f>
        <v/>
      </c>
      <c r="G25277" s="62"/>
      <c r="H25277" s="46" t="str">
        <f>IF(AND(I.Developer.P2a=TRUE,I.Product.P2aElectricity="Yes",I.Developer.P2aC1=TRUE,I.Developer.P2aC1V2=TRUE,I.Facility.StandardPart="Part 2",F25277=""),"Incomplete","Complete")</f>
        <v>Complete</v>
      </c>
      <c r="I25277" s="48" t="s">
        <v>4158</v>
      </c>
    </row>
    <row r="25278" spans="2:9" ht="15" customHeight="1" x14ac:dyDescent="0.25">
      <c r="B25278" s="55" t="s">
        <v>338</v>
      </c>
      <c r="C25278" s="46">
        <v>3</v>
      </c>
      <c r="D25278" s="69" t="s">
        <v>29475</v>
      </c>
      <c r="E25278" s="62"/>
      <c r="F25278" s="62" t="str">
        <f>IF(INDEX(I.Electricity.P2aC1,3)="","",INDEX(I.Electricity.P2aC1,3))</f>
        <v/>
      </c>
      <c r="G25278" s="62"/>
      <c r="H25278" s="46" t="str">
        <f>IF(AND(I.Developer.P2a=TRUE,I.Product.P2aElectricity="Yes",I.Developer.P2aC1=TRUE,I.Developer.P2aC1V3=TRUE,I.Facility.StandardPart="Part 2",F25278=""),"Incomplete","Complete")</f>
        <v>Complete</v>
      </c>
      <c r="I25278" s="48" t="s">
        <v>4159</v>
      </c>
    </row>
    <row r="25279" spans="2:9" ht="15" customHeight="1" x14ac:dyDescent="0.25">
      <c r="B25279" s="55" t="s">
        <v>338</v>
      </c>
      <c r="C25279" s="46">
        <v>4</v>
      </c>
      <c r="D25279" s="69" t="s">
        <v>29475</v>
      </c>
      <c r="E25279" s="62"/>
      <c r="F25279" s="62" t="str">
        <f>IF(INDEX(I.Electricity.P2aC1,4)="","",INDEX(I.Electricity.P2aC1,4))</f>
        <v/>
      </c>
      <c r="G25279" s="62"/>
      <c r="H25279" s="46" t="str">
        <f>IF(AND(I.Developer.P2a=TRUE,I.Product.P2aElectricity="Yes",I.Developer.P2aC1=TRUE,I.Developer.P2aC1V4=TRUE,I.Facility.StandardPart="Part 2",F25279=""),"Incomplete","Complete")</f>
        <v>Complete</v>
      </c>
      <c r="I25279" s="48" t="s">
        <v>4160</v>
      </c>
    </row>
    <row r="25280" spans="2:9" ht="15" customHeight="1" x14ac:dyDescent="0.25">
      <c r="B25280" s="55" t="s">
        <v>338</v>
      </c>
      <c r="C25280" s="46">
        <v>5</v>
      </c>
      <c r="D25280" s="69" t="s">
        <v>29475</v>
      </c>
      <c r="E25280" s="62"/>
      <c r="F25280" s="62" t="str">
        <f>IF(INDEX(I.Electricity.P2aC1,5)="","",INDEX(I.Electricity.P2aC1,5))</f>
        <v/>
      </c>
      <c r="G25280" s="62"/>
      <c r="H25280" s="46" t="str">
        <f>IF(AND(I.Developer.P2a=TRUE,I.Product.P2aElectricity="Yes",I.Developer.P2aC1=TRUE,I.Developer.P2aC1V5=TRUE,I.Facility.StandardPart="Part 2",F25280=""),"Incomplete","Complete")</f>
        <v>Complete</v>
      </c>
      <c r="I25280" s="48" t="s">
        <v>4161</v>
      </c>
    </row>
    <row r="25281" spans="2:9" ht="15" customHeight="1" x14ac:dyDescent="0.25">
      <c r="B25281" s="55" t="s">
        <v>338</v>
      </c>
      <c r="C25281" s="46">
        <v>6</v>
      </c>
      <c r="D25281" s="69" t="s">
        <v>29475</v>
      </c>
      <c r="E25281" s="62"/>
      <c r="F25281" s="62" t="str">
        <f>IF(INDEX(I.Electricity.P2aC1,6)="","",INDEX(I.Electricity.P2aC1,6))</f>
        <v/>
      </c>
      <c r="G25281" s="62"/>
      <c r="H25281" s="46" t="str">
        <f>IF(AND(I.Developer.P2a=TRUE,I.Product.P2aElectricity="Yes",I.Developer.P2aC1=TRUE,I.Developer.P2aC1V6=TRUE,I.Facility.StandardPart="Part 2",F25281=""),"Incomplete","Complete")</f>
        <v>Complete</v>
      </c>
      <c r="I25281" s="48" t="s">
        <v>4162</v>
      </c>
    </row>
    <row r="25282" spans="2:9" ht="15" customHeight="1" x14ac:dyDescent="0.25">
      <c r="B25282" s="55" t="s">
        <v>338</v>
      </c>
      <c r="C25282" s="46">
        <v>7</v>
      </c>
      <c r="D25282" s="69" t="s">
        <v>29475</v>
      </c>
      <c r="E25282" s="62"/>
      <c r="F25282" s="62" t="str">
        <f>IF(INDEX(I.Electricity.P2aC1,7)="","",INDEX(I.Electricity.P2aC1,7))</f>
        <v/>
      </c>
      <c r="G25282" s="62"/>
      <c r="H25282" s="46" t="str">
        <f>IF(AND(I.Developer.P2a=TRUE,I.Product.P2aElectricity="Yes",I.Developer.P2aC1=TRUE,I.Facility.StandardPart="Part 3",F25282=""),"Incomplete","Complete")</f>
        <v>Complete</v>
      </c>
      <c r="I25282" s="48" t="s">
        <v>4163</v>
      </c>
    </row>
    <row r="25283" spans="2:9" ht="15" customHeight="1" x14ac:dyDescent="0.25">
      <c r="B25283" s="55" t="s">
        <v>338</v>
      </c>
      <c r="C25283" s="46">
        <v>8</v>
      </c>
      <c r="D25283" s="69" t="s">
        <v>29475</v>
      </c>
      <c r="E25283" s="62"/>
      <c r="F25283" s="62" t="str">
        <f>IF(INDEX(I.Electricity.P2aC1,8)="","",INDEX(I.Electricity.P2aC1,8))</f>
        <v/>
      </c>
      <c r="G25283" s="62"/>
      <c r="H25283" s="46" t="str">
        <f>IF(AND(I.Developer.P2a=TRUE,I.Product.P2aElectricity="Yes",I.Developer.P2aC1=TRUE,I.Facility.StandardPart="Part 3",F25283=""),"Incomplete","Complete")</f>
        <v>Complete</v>
      </c>
      <c r="I25283" s="48" t="s">
        <v>4164</v>
      </c>
    </row>
    <row r="25284" spans="2:9" ht="15" customHeight="1" x14ac:dyDescent="0.25">
      <c r="B25284" s="56" t="s">
        <v>338</v>
      </c>
      <c r="C25284" s="57">
        <v>9</v>
      </c>
      <c r="D25284" s="71" t="s">
        <v>29475</v>
      </c>
      <c r="E25284" s="61"/>
      <c r="F25284" s="61" t="str">
        <f>IF(INDEX(I.Electricity.P2aC1,9)="","",INDEX(I.Electricity.P2aC1,9))</f>
        <v/>
      </c>
      <c r="G25284" s="61"/>
      <c r="H25284" s="57" t="str">
        <f>IF(AND(I.Developer.P2a=TRUE,I.Product.P2aElectricity="Yes",I.Developer.P2aC1=TRUE,I.Facility.StandardPart="Part 3",F25284=""),"Incomplete","Complete")</f>
        <v>Complete</v>
      </c>
      <c r="I25284" s="49" t="s">
        <v>4165</v>
      </c>
    </row>
    <row r="25285" spans="2:9" ht="15" customHeight="1" x14ac:dyDescent="0.25">
      <c r="B25285" s="55" t="s">
        <v>339</v>
      </c>
      <c r="C25285" s="46">
        <v>1</v>
      </c>
      <c r="D25285" s="69" t="s">
        <v>29476</v>
      </c>
      <c r="E25285" s="62"/>
      <c r="F25285" s="62" t="str">
        <f>IF(INDEX(I.Electricity.P2aC2,1)="","",INDEX(I.Electricity.P2aC2,1))</f>
        <v/>
      </c>
      <c r="G25285" s="62"/>
      <c r="H25285" s="46" t="str">
        <f>IF(AND(I.Developer.P2a=TRUE,I.Product.P2aElectricity="Yes",I.Developer.P2aC2=TRUE,F25285=""),"Incomplete","Complete")</f>
        <v>Complete</v>
      </c>
      <c r="I25285" s="48" t="s">
        <v>4166</v>
      </c>
    </row>
    <row r="25286" spans="2:9" ht="15" customHeight="1" x14ac:dyDescent="0.25">
      <c r="B25286" s="55" t="s">
        <v>339</v>
      </c>
      <c r="C25286" s="46">
        <v>2</v>
      </c>
      <c r="D25286" s="69" t="s">
        <v>29476</v>
      </c>
      <c r="E25286" s="62"/>
      <c r="F25286" s="62" t="str">
        <f>IF(INDEX(I.Electricity.P2aC2,2)="","",INDEX(I.Electricity.P2aC2,2))</f>
        <v/>
      </c>
      <c r="G25286" s="62"/>
      <c r="H25286" s="46" t="str">
        <f>IF(AND(I.Developer.P2a=TRUE,I.Product.P2aElectricity="Yes",I.Developer.P2aC2=TRUE,F25286=""),"Incomplete","Complete")</f>
        <v>Complete</v>
      </c>
      <c r="I25286" s="48" t="s">
        <v>4167</v>
      </c>
    </row>
    <row r="25287" spans="2:9" ht="15" customHeight="1" x14ac:dyDescent="0.25">
      <c r="B25287" s="55" t="s">
        <v>339</v>
      </c>
      <c r="C25287" s="46">
        <v>3</v>
      </c>
      <c r="D25287" s="69" t="s">
        <v>29476</v>
      </c>
      <c r="E25287" s="62"/>
      <c r="F25287" s="62" t="str">
        <f>IF(INDEX(I.Electricity.P2aC2,3)="","",INDEX(I.Electricity.P2aC2,3))</f>
        <v/>
      </c>
      <c r="G25287" s="62"/>
      <c r="H25287" s="46" t="str">
        <f>IF(AND(I.Developer.P2a=TRUE,I.Product.P2aElectricity="Yes",I.Developer.P2aC2=TRUE,F25287=""),"Incomplete","Complete")</f>
        <v>Complete</v>
      </c>
      <c r="I25287" s="48" t="s">
        <v>4168</v>
      </c>
    </row>
    <row r="25288" spans="2:9" ht="15" customHeight="1" x14ac:dyDescent="0.25">
      <c r="B25288" s="55" t="s">
        <v>339</v>
      </c>
      <c r="C25288" s="46">
        <v>4</v>
      </c>
      <c r="D25288" s="69" t="s">
        <v>29476</v>
      </c>
      <c r="E25288" s="62"/>
      <c r="F25288" s="62" t="str">
        <f>IF(INDEX(I.Electricity.P2aC2,4)="","",INDEX(I.Electricity.P2aC2,4))</f>
        <v/>
      </c>
      <c r="G25288" s="62"/>
      <c r="H25288" s="46" t="str">
        <f>IF(AND(I.Developer.P2a=TRUE,I.Product.P2aElectricity="Yes",I.Developer.P2aC2=TRUE,F25288=""),"Incomplete","Complete")</f>
        <v>Complete</v>
      </c>
      <c r="I25288" s="48" t="s">
        <v>4169</v>
      </c>
    </row>
    <row r="25289" spans="2:9" ht="15" customHeight="1" x14ac:dyDescent="0.25">
      <c r="B25289" s="55" t="s">
        <v>339</v>
      </c>
      <c r="C25289" s="46">
        <v>5</v>
      </c>
      <c r="D25289" s="69" t="s">
        <v>29476</v>
      </c>
      <c r="E25289" s="62"/>
      <c r="F25289" s="62" t="str">
        <f>IF(INDEX(I.Electricity.P2aC2,5)="","",INDEX(I.Electricity.P2aC2,5))</f>
        <v/>
      </c>
      <c r="G25289" s="62"/>
      <c r="H25289" s="46" t="str">
        <f>IF(AND(I.Developer.P2a=TRUE,I.Product.P2aElectricity="Yes",I.Developer.P2aC2=TRUE,F25289=""),"Incomplete","Complete")</f>
        <v>Complete</v>
      </c>
      <c r="I25289" s="48" t="s">
        <v>4170</v>
      </c>
    </row>
    <row r="25290" spans="2:9" ht="15" customHeight="1" x14ac:dyDescent="0.25">
      <c r="B25290" s="55" t="s">
        <v>339</v>
      </c>
      <c r="C25290" s="46">
        <v>6</v>
      </c>
      <c r="D25290" s="69" t="s">
        <v>29476</v>
      </c>
      <c r="E25290" s="62"/>
      <c r="F25290" s="62" t="str">
        <f>IF(INDEX(I.Electricity.P2aC2,6)="","",INDEX(I.Electricity.P2aC2,6))</f>
        <v/>
      </c>
      <c r="G25290" s="62"/>
      <c r="H25290" s="46" t="str">
        <f>IF(AND(I.Developer.P2a=TRUE,I.Product.P2aElectricity="Yes",I.Developer.P2aC2=TRUE,F25290=""),"Incomplete","Complete")</f>
        <v>Complete</v>
      </c>
      <c r="I25290" s="48" t="s">
        <v>4171</v>
      </c>
    </row>
    <row r="25291" spans="2:9" ht="15" customHeight="1" x14ac:dyDescent="0.25">
      <c r="B25291" s="55" t="s">
        <v>339</v>
      </c>
      <c r="C25291" s="46">
        <v>7</v>
      </c>
      <c r="D25291" s="69" t="s">
        <v>29476</v>
      </c>
      <c r="E25291" s="62"/>
      <c r="F25291" s="62" t="str">
        <f>IF(INDEX(I.Electricity.P2aC2,7)="","",INDEX(I.Electricity.P2aC2,7))</f>
        <v/>
      </c>
      <c r="G25291" s="62"/>
      <c r="H25291" s="46" t="str">
        <f>IF(AND(I.Developer.P2a=TRUE,I.Product.P2aElectricity="Yes",I.Developer.P2aC2=TRUE,F25291=""),"Incomplete","Complete")</f>
        <v>Complete</v>
      </c>
      <c r="I25291" s="48" t="s">
        <v>4172</v>
      </c>
    </row>
    <row r="25292" spans="2:9" ht="15" customHeight="1" x14ac:dyDescent="0.25">
      <c r="B25292" s="55" t="s">
        <v>339</v>
      </c>
      <c r="C25292" s="46">
        <v>8</v>
      </c>
      <c r="D25292" s="69" t="s">
        <v>29476</v>
      </c>
      <c r="E25292" s="62"/>
      <c r="F25292" s="62" t="str">
        <f>IF(INDEX(I.Electricity.P2aC2,8)="","",INDEX(I.Electricity.P2aC2,8))</f>
        <v/>
      </c>
      <c r="G25292" s="62"/>
      <c r="H25292" s="46" t="str">
        <f>IF(AND(I.Developer.P2a=TRUE,I.Product.P2aElectricity="Yes",I.Developer.P2aC2=TRUE,F25292=""),"Incomplete","Complete")</f>
        <v>Complete</v>
      </c>
      <c r="I25292" s="48" t="s">
        <v>4173</v>
      </c>
    </row>
    <row r="25293" spans="2:9" ht="15" customHeight="1" x14ac:dyDescent="0.25">
      <c r="B25293" s="55" t="s">
        <v>339</v>
      </c>
      <c r="C25293" s="46">
        <v>9</v>
      </c>
      <c r="D25293" s="69" t="s">
        <v>29476</v>
      </c>
      <c r="E25293" s="62"/>
      <c r="F25293" s="62" t="str">
        <f>IF(INDEX(I.Electricity.P2aC2,9)="","",INDEX(I.Electricity.P2aC2,9))</f>
        <v/>
      </c>
      <c r="G25293" s="62"/>
      <c r="H25293" s="46" t="str">
        <f>IF(AND(I.Developer.P2a=TRUE,I.Product.P2aElectricity="Yes",I.Developer.P2aC2=TRUE,F25293=""),"Incomplete","Complete")</f>
        <v>Complete</v>
      </c>
      <c r="I25293" s="48" t="s">
        <v>4174</v>
      </c>
    </row>
    <row r="25294" spans="2:9" ht="15" customHeight="1" x14ac:dyDescent="0.25">
      <c r="B25294" s="55" t="s">
        <v>339</v>
      </c>
      <c r="C25294" s="46">
        <v>10</v>
      </c>
      <c r="D25294" s="69" t="s">
        <v>29476</v>
      </c>
      <c r="E25294" s="62"/>
      <c r="F25294" s="62" t="str">
        <f>IF(INDEX(I.Electricity.P2aC2,10)="","",INDEX(I.Electricity.P2aC2,10))</f>
        <v/>
      </c>
      <c r="G25294" s="62"/>
      <c r="H25294" s="46" t="str">
        <f>IF(AND(I.Developer.P2a=TRUE,I.Product.P2aElectricity="Yes",I.Developer.P2aC2=TRUE,F25294=""),"Incomplete","Complete")</f>
        <v>Complete</v>
      </c>
      <c r="I25294" s="48" t="s">
        <v>4175</v>
      </c>
    </row>
    <row r="25295" spans="2:9" ht="15" customHeight="1" x14ac:dyDescent="0.25">
      <c r="B25295" s="55" t="s">
        <v>339</v>
      </c>
      <c r="C25295" s="46">
        <v>11</v>
      </c>
      <c r="D25295" s="69" t="s">
        <v>29476</v>
      </c>
      <c r="E25295" s="62"/>
      <c r="F25295" s="62" t="str">
        <f>IF(INDEX(I.Electricity.P2aC2,11)="","",INDEX(I.Electricity.P2aC2,11))</f>
        <v/>
      </c>
      <c r="G25295" s="62"/>
      <c r="H25295" s="46" t="str">
        <f>IF(AND(I.Developer.P2a=TRUE,I.Product.P2aElectricity="Yes",I.Developer.P2aC2=TRUE,F25295=""),"Incomplete","Complete")</f>
        <v>Complete</v>
      </c>
      <c r="I25295" s="48" t="s">
        <v>4176</v>
      </c>
    </row>
    <row r="25296" spans="2:9" ht="15" customHeight="1" x14ac:dyDescent="0.25">
      <c r="B25296" s="55" t="s">
        <v>339</v>
      </c>
      <c r="C25296" s="46">
        <v>12</v>
      </c>
      <c r="D25296" s="69" t="s">
        <v>29476</v>
      </c>
      <c r="E25296" s="62"/>
      <c r="F25296" s="62" t="str">
        <f>IF(INDEX(I.Electricity.P2aC2,12)="","",INDEX(I.Electricity.P2aC2,12))</f>
        <v/>
      </c>
      <c r="G25296" s="62"/>
      <c r="H25296" s="46" t="str">
        <f>IF(AND(I.Developer.P2a=TRUE,I.Product.P2aElectricity="Yes",I.Developer.P2aC2=TRUE,F25296=""),"Incomplete","Complete")</f>
        <v>Complete</v>
      </c>
      <c r="I25296" s="48" t="s">
        <v>4177</v>
      </c>
    </row>
    <row r="25297" spans="2:9" ht="15" customHeight="1" x14ac:dyDescent="0.25">
      <c r="B25297" s="55" t="s">
        <v>339</v>
      </c>
      <c r="C25297" s="46">
        <v>13</v>
      </c>
      <c r="D25297" s="69" t="s">
        <v>29476</v>
      </c>
      <c r="E25297" s="62"/>
      <c r="F25297" s="62" t="str">
        <f>IF(INDEX(I.Electricity.P2aC2,13)="","",INDEX(I.Electricity.P2aC2,13))</f>
        <v/>
      </c>
      <c r="G25297" s="62"/>
      <c r="H25297" s="46" t="str">
        <f>IF(AND(I.Developer.P2a=TRUE,I.Product.P2aElectricity="Yes",I.Developer.P2aC2=TRUE,F25297=""),"Incomplete","Complete")</f>
        <v>Complete</v>
      </c>
      <c r="I25297" s="48" t="s">
        <v>4178</v>
      </c>
    </row>
    <row r="25298" spans="2:9" ht="15" customHeight="1" x14ac:dyDescent="0.25">
      <c r="B25298" s="55" t="s">
        <v>339</v>
      </c>
      <c r="C25298" s="46">
        <v>14</v>
      </c>
      <c r="D25298" s="69" t="s">
        <v>29476</v>
      </c>
      <c r="E25298" s="62"/>
      <c r="F25298" s="62" t="str">
        <f>IF(INDEX(I.Electricity.P2aC2,14)="","",INDEX(I.Electricity.P2aC2,14))</f>
        <v/>
      </c>
      <c r="G25298" s="62"/>
      <c r="H25298" s="46" t="str">
        <f>IF(AND(I.Developer.P2a=TRUE,I.Product.P2aElectricity="Yes",I.Developer.P2aC2=TRUE,F25298=""),"Incomplete","Complete")</f>
        <v>Complete</v>
      </c>
      <c r="I25298" s="48" t="s">
        <v>4179</v>
      </c>
    </row>
    <row r="25299" spans="2:9" ht="15" customHeight="1" x14ac:dyDescent="0.25">
      <c r="B25299" s="55" t="s">
        <v>339</v>
      </c>
      <c r="C25299" s="46">
        <v>15</v>
      </c>
      <c r="D25299" s="69" t="s">
        <v>29476</v>
      </c>
      <c r="E25299" s="62"/>
      <c r="F25299" s="62" t="str">
        <f>IF(INDEX(I.Electricity.P2aC2,15)="","",INDEX(I.Electricity.P2aC2,15))</f>
        <v/>
      </c>
      <c r="G25299" s="62"/>
      <c r="H25299" s="46" t="str">
        <f>IF(AND(I.Developer.P2a=TRUE,I.Product.P2aElectricity="Yes",I.Developer.P2aC2=TRUE,F25299=""),"Incomplete","Complete")</f>
        <v>Complete</v>
      </c>
      <c r="I25299" s="48" t="s">
        <v>4180</v>
      </c>
    </row>
    <row r="25300" spans="2:9" ht="15" customHeight="1" x14ac:dyDescent="0.25">
      <c r="B25300" s="55" t="s">
        <v>339</v>
      </c>
      <c r="C25300" s="46">
        <v>16</v>
      </c>
      <c r="D25300" s="69" t="s">
        <v>29476</v>
      </c>
      <c r="E25300" s="62"/>
      <c r="F25300" s="62" t="str">
        <f>IF(INDEX(I.Electricity.P2aC2,16)="","",INDEX(I.Electricity.P2aC2,16))</f>
        <v/>
      </c>
      <c r="G25300" s="62"/>
      <c r="H25300" s="46" t="str">
        <f>IF(AND(I.Developer.P2a=TRUE,I.Product.P2aElectricity="Yes",I.Developer.P2aC2=TRUE,F25300=""),"Incomplete","Complete")</f>
        <v>Complete</v>
      </c>
      <c r="I25300" s="48" t="s">
        <v>4181</v>
      </c>
    </row>
    <row r="25301" spans="2:9" ht="15" customHeight="1" x14ac:dyDescent="0.25">
      <c r="B25301" s="55" t="s">
        <v>339</v>
      </c>
      <c r="C25301" s="46">
        <v>17</v>
      </c>
      <c r="D25301" s="69" t="s">
        <v>29476</v>
      </c>
      <c r="E25301" s="62"/>
      <c r="F25301" s="62" t="str">
        <f>IF(INDEX(I.Electricity.P2aC2,17)="","",INDEX(I.Electricity.P2aC2,17))</f>
        <v/>
      </c>
      <c r="G25301" s="62"/>
      <c r="H25301" s="46" t="str">
        <f>IF(AND(I.Developer.P2a=TRUE,I.Product.P2aElectricity="Yes",I.Developer.P2aC2=TRUE,F25301=""),"Incomplete","Complete")</f>
        <v>Complete</v>
      </c>
      <c r="I25301" s="48" t="s">
        <v>4182</v>
      </c>
    </row>
    <row r="25302" spans="2:9" ht="15" customHeight="1" x14ac:dyDescent="0.25">
      <c r="B25302" s="55" t="s">
        <v>339</v>
      </c>
      <c r="C25302" s="46">
        <v>18</v>
      </c>
      <c r="D25302" s="69" t="s">
        <v>29476</v>
      </c>
      <c r="E25302" s="62"/>
      <c r="F25302" s="62" t="str">
        <f>IF(INDEX(I.Electricity.P2aC2,18)="","",INDEX(I.Electricity.P2aC2,18))</f>
        <v/>
      </c>
      <c r="G25302" s="62"/>
      <c r="H25302" s="46" t="str">
        <f>IF(AND(I.Developer.P2a=TRUE,I.Product.P2aElectricity="Yes",I.Developer.P2aC2=TRUE,F25302=""),"Incomplete","Complete")</f>
        <v>Complete</v>
      </c>
      <c r="I25302" s="48" t="s">
        <v>4183</v>
      </c>
    </row>
    <row r="25303" spans="2:9" ht="15" customHeight="1" x14ac:dyDescent="0.25">
      <c r="B25303" s="55" t="s">
        <v>339</v>
      </c>
      <c r="C25303" s="46">
        <v>19</v>
      </c>
      <c r="D25303" s="69" t="s">
        <v>29476</v>
      </c>
      <c r="E25303" s="62"/>
      <c r="F25303" s="62" t="str">
        <f>IF(INDEX(I.Electricity.P2aC2,19)="","",INDEX(I.Electricity.P2aC2,19))</f>
        <v/>
      </c>
      <c r="G25303" s="62"/>
      <c r="H25303" s="46" t="str">
        <f>IF(AND(I.Developer.P2a=TRUE,I.Product.P2aElectricity="Yes",I.Developer.P2aC2=TRUE,F25303=""),"Incomplete","Complete")</f>
        <v>Complete</v>
      </c>
      <c r="I25303" s="48" t="s">
        <v>4184</v>
      </c>
    </row>
    <row r="25304" spans="2:9" ht="15" customHeight="1" x14ac:dyDescent="0.25">
      <c r="B25304" s="55" t="s">
        <v>339</v>
      </c>
      <c r="C25304" s="46">
        <v>20</v>
      </c>
      <c r="D25304" s="69" t="s">
        <v>29476</v>
      </c>
      <c r="E25304" s="62"/>
      <c r="F25304" s="62" t="str">
        <f>IF(INDEX(I.Electricity.P2aC2,20)="","",INDEX(I.Electricity.P2aC2,20))</f>
        <v/>
      </c>
      <c r="G25304" s="62"/>
      <c r="H25304" s="46" t="str">
        <f>IF(AND(I.Developer.P2a=TRUE,I.Product.P2aElectricity="Yes",I.Developer.P2aC2=TRUE,F25304=""),"Incomplete","Complete")</f>
        <v>Complete</v>
      </c>
      <c r="I25304" s="48" t="s">
        <v>4185</v>
      </c>
    </row>
    <row r="25305" spans="2:9" ht="15" customHeight="1" x14ac:dyDescent="0.25">
      <c r="B25305" s="56" t="s">
        <v>339</v>
      </c>
      <c r="C25305" s="57">
        <v>21</v>
      </c>
      <c r="D25305" s="71" t="s">
        <v>29476</v>
      </c>
      <c r="E25305" s="61"/>
      <c r="F25305" s="61" t="str">
        <f>IF(INDEX(I.Electricity.P2aC2,21)="","",INDEX(I.Electricity.P2aC2,21))</f>
        <v/>
      </c>
      <c r="G25305" s="61"/>
      <c r="H25305" s="57" t="str">
        <f>IF(AND(I.Developer.P2a=TRUE,I.Product.P2aElectricity="Yes",I.Developer.P2aC2=TRUE,F25305=""),"Incomplete","Complete")</f>
        <v>Complete</v>
      </c>
      <c r="I25305" s="49" t="s">
        <v>4186</v>
      </c>
    </row>
    <row r="25306" spans="2:9" ht="15" customHeight="1" x14ac:dyDescent="0.25">
      <c r="B25306" s="55" t="s">
        <v>340</v>
      </c>
      <c r="C25306" s="46">
        <v>1</v>
      </c>
      <c r="D25306" s="69" t="s">
        <v>29477</v>
      </c>
      <c r="E25306" s="62"/>
      <c r="F25306" s="62" t="str">
        <f>IF(INDEX(I.Electricity.P2aC3,1)="","",INDEX(I.Electricity.P2aC3,1))</f>
        <v/>
      </c>
      <c r="G25306" s="62"/>
      <c r="H25306" s="46" t="str">
        <f>IF(AND(I.Developer.P2a=TRUE,I.Product.P2aElectricity="Yes",I.Developer.P2aC3=TRUE,I.Facility.StandardPart="Part 2",F25306=""),"Incomplete","Complete")</f>
        <v>Complete</v>
      </c>
      <c r="I25306" s="48" t="s">
        <v>4187</v>
      </c>
    </row>
    <row r="25307" spans="2:9" ht="15" customHeight="1" x14ac:dyDescent="0.25">
      <c r="B25307" s="55" t="s">
        <v>340</v>
      </c>
      <c r="C25307" s="46">
        <v>2</v>
      </c>
      <c r="D25307" s="69" t="s">
        <v>29477</v>
      </c>
      <c r="E25307" s="62"/>
      <c r="F25307" s="62" t="str">
        <f>IF(INDEX(I.Electricity.P2aC3,2)="","",INDEX(I.Electricity.P2aC3,2))</f>
        <v/>
      </c>
      <c r="G25307" s="62"/>
      <c r="H25307" s="46" t="str">
        <f>IF(AND(I.Developer.P2a=TRUE,I.Product.P2aElectricity="Yes",I.Developer.P2aC3=TRUE,I.Facility.StandardPart="Part 2",F25307=""),"Incomplete","Complete")</f>
        <v>Complete</v>
      </c>
      <c r="I25307" s="48" t="s">
        <v>4188</v>
      </c>
    </row>
    <row r="25308" spans="2:9" ht="15" customHeight="1" x14ac:dyDescent="0.25">
      <c r="B25308" s="55" t="s">
        <v>340</v>
      </c>
      <c r="C25308" s="46">
        <v>3</v>
      </c>
      <c r="D25308" s="69" t="s">
        <v>29477</v>
      </c>
      <c r="E25308" s="62"/>
      <c r="F25308" s="62" t="str">
        <f>IF(INDEX(I.Electricity.P2aC3,3)="","",INDEX(I.Electricity.P2aC3,3))</f>
        <v/>
      </c>
      <c r="G25308" s="62"/>
      <c r="H25308" s="46" t="str">
        <f>IF(AND(I.Developer.P2a=TRUE,I.Product.P2aElectricity="Yes",I.Developer.P2aC3=TRUE,I.Facility.StandardPart="Part 3",F25308=""),"Incomplete","Complete")</f>
        <v>Complete</v>
      </c>
      <c r="I25308" s="48" t="s">
        <v>4189</v>
      </c>
    </row>
    <row r="25309" spans="2:9" ht="15" customHeight="1" x14ac:dyDescent="0.25">
      <c r="B25309" s="55" t="s">
        <v>340</v>
      </c>
      <c r="C25309" s="46">
        <v>4</v>
      </c>
      <c r="D25309" s="69" t="s">
        <v>29477</v>
      </c>
      <c r="E25309" s="62"/>
      <c r="F25309" s="62" t="str">
        <f>IF(INDEX(I.Electricity.P2aC3,4)="","",INDEX(I.Electricity.P2aC3,4))</f>
        <v/>
      </c>
      <c r="G25309" s="62"/>
      <c r="H25309" s="46" t="str">
        <f>IF(AND(I.Developer.P2a=TRUE,I.Product.P2aElectricity="Yes",I.Developer.P2aC3=TRUE,I.Facility.StandardPart="Part 3",F25309=""),"Incomplete","Complete")</f>
        <v>Complete</v>
      </c>
      <c r="I25309" s="48" t="s">
        <v>4190</v>
      </c>
    </row>
    <row r="25310" spans="2:9" ht="15" customHeight="1" x14ac:dyDescent="0.25">
      <c r="B25310" s="56" t="s">
        <v>340</v>
      </c>
      <c r="C25310" s="57">
        <v>5</v>
      </c>
      <c r="D25310" s="71" t="s">
        <v>29477</v>
      </c>
      <c r="E25310" s="61"/>
      <c r="F25310" s="61" t="str">
        <f>IF(INDEX(I.Electricity.P2aC3,5)="","",INDEX(I.Electricity.P2aC3,5))</f>
        <v/>
      </c>
      <c r="G25310" s="61"/>
      <c r="H25310" s="57" t="str">
        <f>IF(AND(I.Developer.P2a=TRUE,I.Product.P2aElectricity="Yes",I.Developer.P2aC3=TRUE,I.Facility.StandardPart="Part 3",F25310=""),"Incomplete","Complete")</f>
        <v>Complete</v>
      </c>
      <c r="I25310" s="49" t="s">
        <v>4191</v>
      </c>
    </row>
    <row r="25311" spans="2:9" ht="15" customHeight="1" x14ac:dyDescent="0.25">
      <c r="B25311" s="55" t="s">
        <v>341</v>
      </c>
      <c r="C25311" s="46">
        <v>1</v>
      </c>
      <c r="D25311" s="69" t="s">
        <v>29478</v>
      </c>
      <c r="E25311" s="62"/>
      <c r="F25311" s="62" t="str">
        <f>IF(INDEX(I.Electricity.P2aC4,1)="","",INDEX(I.Electricity.P2aC4,1))</f>
        <v/>
      </c>
      <c r="G25311" s="62"/>
      <c r="H25311" s="46" t="str">
        <f>IF(AND(I.Developer.P2a=TRUE,I.Product.P2aElectricity="Yes",I.Developer.P2aC4=TRUE,F25311=""),"Incomplete","Complete")</f>
        <v>Complete</v>
      </c>
      <c r="I25311" s="48" t="s">
        <v>4192</v>
      </c>
    </row>
    <row r="25312" spans="2:9" ht="15" customHeight="1" x14ac:dyDescent="0.25">
      <c r="B25312" s="55" t="s">
        <v>341</v>
      </c>
      <c r="C25312" s="46">
        <v>2</v>
      </c>
      <c r="D25312" s="69" t="s">
        <v>29478</v>
      </c>
      <c r="E25312" s="62"/>
      <c r="F25312" s="62" t="str">
        <f>IF(INDEX(I.Electricity.P2aC4,2)="","",INDEX(I.Electricity.P2aC4,2))</f>
        <v/>
      </c>
      <c r="G25312" s="62"/>
      <c r="H25312" s="46" t="str">
        <f>IF(AND(I.Developer.P2a=TRUE,I.Product.P2aElectricity="Yes",I.Developer.P2aC4=TRUE,F25312=""),"Incomplete","Complete")</f>
        <v>Complete</v>
      </c>
      <c r="I25312" s="48" t="s">
        <v>4193</v>
      </c>
    </row>
    <row r="25313" spans="2:9" ht="15" customHeight="1" x14ac:dyDescent="0.25">
      <c r="B25313" s="56" t="s">
        <v>341</v>
      </c>
      <c r="C25313" s="57">
        <v>3</v>
      </c>
      <c r="D25313" s="71" t="s">
        <v>29478</v>
      </c>
      <c r="E25313" s="61"/>
      <c r="F25313" s="61" t="str">
        <f>IF(INDEX(I.Electricity.P2aC4,3)="","",INDEX(I.Electricity.P2aC4,3))</f>
        <v/>
      </c>
      <c r="G25313" s="61"/>
      <c r="H25313" s="57" t="str">
        <f>IF(AND(I.Developer.P2a=TRUE,I.Product.P2aElectricity="Yes",I.Developer.P2aC4=TRUE,F25313=""),"Incomplete","Complete")</f>
        <v>Complete</v>
      </c>
      <c r="I25313" s="49" t="s">
        <v>4194</v>
      </c>
    </row>
    <row r="25314" spans="2:9" ht="15" customHeight="1" x14ac:dyDescent="0.25">
      <c r="B25314" s="55" t="s">
        <v>342</v>
      </c>
      <c r="C25314" s="46">
        <v>1</v>
      </c>
      <c r="D25314" s="69" t="s">
        <v>29479</v>
      </c>
      <c r="E25314" s="62"/>
      <c r="F25314" s="62" t="str">
        <f>IF(INDEX(I.Electricity.P2bC1,1)="","",INDEX(I.Electricity.P2bC1,1))</f>
        <v/>
      </c>
      <c r="G25314" s="62"/>
      <c r="H25314" s="46" t="str">
        <f>IF(AND(I.Developer.P2b=TRUE,I.Product.P2bElectricity="Yes",I.Developer.P2bC1=TRUE,I.Facility.StandardPart="Part 2",F25314=""),"Incomplete","Complete")</f>
        <v>Complete</v>
      </c>
      <c r="I25314" s="48" t="s">
        <v>4195</v>
      </c>
    </row>
    <row r="25315" spans="2:9" ht="15" customHeight="1" x14ac:dyDescent="0.25">
      <c r="B25315" s="55" t="s">
        <v>342</v>
      </c>
      <c r="C25315" s="46">
        <v>2</v>
      </c>
      <c r="D25315" s="69" t="s">
        <v>29479</v>
      </c>
      <c r="E25315" s="62"/>
      <c r="F25315" s="62" t="str">
        <f>IF(INDEX(I.Electricity.P2bC1,2)="","",INDEX(I.Electricity.P2bC1,2))</f>
        <v/>
      </c>
      <c r="G25315" s="62"/>
      <c r="H25315" s="46" t="str">
        <f>IF(AND(I.Developer.P2b=TRUE,I.Product.P2bElectricity="Yes",I.Developer.P2bC1=TRUE,I.Developer.P2bC1V2=TRUE,I.Facility.StandardPart="Part 2",F25315=""),"Incomplete","Complete")</f>
        <v>Complete</v>
      </c>
      <c r="I25315" s="48" t="s">
        <v>4196</v>
      </c>
    </row>
    <row r="25316" spans="2:9" ht="15" customHeight="1" x14ac:dyDescent="0.25">
      <c r="B25316" s="55" t="s">
        <v>342</v>
      </c>
      <c r="C25316" s="46">
        <v>3</v>
      </c>
      <c r="D25316" s="69" t="s">
        <v>29479</v>
      </c>
      <c r="E25316" s="62"/>
      <c r="F25316" s="62" t="str">
        <f>IF(INDEX(I.Electricity.P2bC1,3)="","",INDEX(I.Electricity.P2bC1,3))</f>
        <v/>
      </c>
      <c r="G25316" s="62"/>
      <c r="H25316" s="46" t="str">
        <f>IF(AND(I.Developer.P2b=TRUE,I.Product.P2bElectricity="Yes",I.Developer.P2bC1=TRUE,I.Developer.P2bC1V3=TRUE,I.Facility.StandardPart="Part 2",F25316=""),"Incomplete","Complete")</f>
        <v>Complete</v>
      </c>
      <c r="I25316" s="48" t="s">
        <v>4197</v>
      </c>
    </row>
    <row r="25317" spans="2:9" ht="15" customHeight="1" x14ac:dyDescent="0.25">
      <c r="B25317" s="55" t="s">
        <v>342</v>
      </c>
      <c r="C25317" s="46">
        <v>4</v>
      </c>
      <c r="D25317" s="69" t="s">
        <v>29479</v>
      </c>
      <c r="E25317" s="62"/>
      <c r="F25317" s="62" t="str">
        <f>IF(INDEX(I.Electricity.P2bC1,4)="","",INDEX(I.Electricity.P2bC1,4))</f>
        <v/>
      </c>
      <c r="G25317" s="62"/>
      <c r="H25317" s="46" t="str">
        <f>IF(AND(I.Developer.P2b=TRUE,I.Product.P2bElectricity="Yes",I.Developer.P2bC1=TRUE,I.Developer.P2bC1V4=TRUE,I.Facility.StandardPart="Part 2",F25317=""),"Incomplete","Complete")</f>
        <v>Complete</v>
      </c>
      <c r="I25317" s="48" t="s">
        <v>4198</v>
      </c>
    </row>
    <row r="25318" spans="2:9" ht="15" customHeight="1" x14ac:dyDescent="0.25">
      <c r="B25318" s="55" t="s">
        <v>342</v>
      </c>
      <c r="C25318" s="46">
        <v>5</v>
      </c>
      <c r="D25318" s="69" t="s">
        <v>29479</v>
      </c>
      <c r="E25318" s="62"/>
      <c r="F25318" s="62" t="str">
        <f>IF(INDEX(I.Electricity.P2bC1,5)="","",INDEX(I.Electricity.P2bC1,5))</f>
        <v/>
      </c>
      <c r="G25318" s="62"/>
      <c r="H25318" s="46" t="str">
        <f>IF(AND(I.Developer.P2b=TRUE,I.Product.P2bElectricity="Yes",I.Developer.P2bC1=TRUE,I.Developer.P2bC1V5=TRUE,I.Facility.StandardPart="Part 2",F25318=""),"Incomplete","Complete")</f>
        <v>Complete</v>
      </c>
      <c r="I25318" s="48" t="s">
        <v>4199</v>
      </c>
    </row>
    <row r="25319" spans="2:9" ht="15" customHeight="1" x14ac:dyDescent="0.25">
      <c r="B25319" s="55" t="s">
        <v>342</v>
      </c>
      <c r="C25319" s="46">
        <v>6</v>
      </c>
      <c r="D25319" s="69" t="s">
        <v>29479</v>
      </c>
      <c r="E25319" s="62"/>
      <c r="F25319" s="62" t="str">
        <f>IF(INDEX(I.Electricity.P2bC1,6)="","",INDEX(I.Electricity.P2bC1,6))</f>
        <v/>
      </c>
      <c r="G25319" s="62"/>
      <c r="H25319" s="46" t="str">
        <f>IF(AND(I.Developer.P2b=TRUE,I.Product.P2bElectricity="Yes",I.Developer.P2bC1=TRUE,I.Developer.P2bC1V6=TRUE,I.Facility.StandardPart="Part 2",F25319=""),"Incomplete","Complete")</f>
        <v>Complete</v>
      </c>
      <c r="I25319" s="48" t="s">
        <v>4200</v>
      </c>
    </row>
    <row r="25320" spans="2:9" ht="15" customHeight="1" x14ac:dyDescent="0.25">
      <c r="B25320" s="55" t="s">
        <v>342</v>
      </c>
      <c r="C25320" s="46">
        <v>7</v>
      </c>
      <c r="D25320" s="69" t="s">
        <v>29479</v>
      </c>
      <c r="E25320" s="62"/>
      <c r="F25320" s="62" t="str">
        <f>IF(INDEX(I.Electricity.P2bC1,7)="","",INDEX(I.Electricity.P2bC1,7))</f>
        <v/>
      </c>
      <c r="G25320" s="62"/>
      <c r="H25320" s="46" t="str">
        <f>IF(AND(I.Developer.P2b=TRUE,I.Product.P2bElectricity="Yes",I.Developer.P2bC1=TRUE,I.Facility.StandardPart="Part 3",F25320=""),"Incomplete","Complete")</f>
        <v>Complete</v>
      </c>
      <c r="I25320" s="48" t="s">
        <v>4201</v>
      </c>
    </row>
    <row r="25321" spans="2:9" ht="15" customHeight="1" x14ac:dyDescent="0.25">
      <c r="B25321" s="55" t="s">
        <v>342</v>
      </c>
      <c r="C25321" s="46">
        <v>8</v>
      </c>
      <c r="D25321" s="69" t="s">
        <v>29479</v>
      </c>
      <c r="E25321" s="62"/>
      <c r="F25321" s="62" t="str">
        <f>IF(INDEX(I.Electricity.P2bC1,8)="","",INDEX(I.Electricity.P2bC1,8))</f>
        <v/>
      </c>
      <c r="G25321" s="62"/>
      <c r="H25321" s="46" t="str">
        <f>IF(AND(I.Developer.P2b=TRUE,I.Product.P2bElectricity="Yes",I.Developer.P2bC1=TRUE,I.Facility.StandardPart="Part 3",F25321=""),"Incomplete","Complete")</f>
        <v>Complete</v>
      </c>
      <c r="I25321" s="48" t="s">
        <v>4202</v>
      </c>
    </row>
    <row r="25322" spans="2:9" ht="15" customHeight="1" x14ac:dyDescent="0.25">
      <c r="B25322" s="56" t="s">
        <v>342</v>
      </c>
      <c r="C25322" s="57">
        <v>9</v>
      </c>
      <c r="D25322" s="71" t="s">
        <v>29479</v>
      </c>
      <c r="E25322" s="61"/>
      <c r="F25322" s="61" t="str">
        <f>IF(INDEX(I.Electricity.P2bC1,9)="","",INDEX(I.Electricity.P2bC1,9))</f>
        <v/>
      </c>
      <c r="G25322" s="61"/>
      <c r="H25322" s="57" t="str">
        <f>IF(AND(I.Developer.P2b=TRUE,I.Product.P2bElectricity="Yes",I.Developer.P2bC1=TRUE,I.Facility.StandardPart="Part 3",F25322=""),"Incomplete","Complete")</f>
        <v>Complete</v>
      </c>
      <c r="I25322" s="49" t="s">
        <v>4203</v>
      </c>
    </row>
    <row r="25323" spans="2:9" ht="15" customHeight="1" x14ac:dyDescent="0.25">
      <c r="B25323" s="55" t="s">
        <v>343</v>
      </c>
      <c r="C25323" s="46">
        <v>1</v>
      </c>
      <c r="D25323" s="69" t="s">
        <v>29480</v>
      </c>
      <c r="E25323" s="62"/>
      <c r="F25323" s="62" t="str">
        <f>IF(INDEX(I.Electricity.P2bC2,1)="","",INDEX(I.Electricity.P2bC2,1))</f>
        <v/>
      </c>
      <c r="G25323" s="62"/>
      <c r="H25323" s="46" t="str">
        <f>IF(AND(I.Developer.P2b=TRUE,I.Product.P2bElectricity="Yes",I.Developer.P2bC2=TRUE,F25323=""),"Incomplete","Complete")</f>
        <v>Complete</v>
      </c>
      <c r="I25323" s="48" t="s">
        <v>4204</v>
      </c>
    </row>
    <row r="25324" spans="2:9" ht="15" customHeight="1" x14ac:dyDescent="0.25">
      <c r="B25324" s="55" t="s">
        <v>343</v>
      </c>
      <c r="C25324" s="46">
        <v>2</v>
      </c>
      <c r="D25324" s="69" t="s">
        <v>29480</v>
      </c>
      <c r="E25324" s="62"/>
      <c r="F25324" s="62" t="str">
        <f>IF(INDEX(I.Electricity.P2bC2,2)="","",INDEX(I.Electricity.P2bC2,2))</f>
        <v/>
      </c>
      <c r="G25324" s="62"/>
      <c r="H25324" s="46" t="str">
        <f>IF(AND(I.Developer.P2b=TRUE,I.Product.P2bElectricity="Yes",I.Developer.P2bC2=TRUE,F25324=""),"Incomplete","Complete")</f>
        <v>Complete</v>
      </c>
      <c r="I25324" s="48" t="s">
        <v>4205</v>
      </c>
    </row>
    <row r="25325" spans="2:9" ht="15" customHeight="1" x14ac:dyDescent="0.25">
      <c r="B25325" s="55" t="s">
        <v>343</v>
      </c>
      <c r="C25325" s="46">
        <v>3</v>
      </c>
      <c r="D25325" s="69" t="s">
        <v>29480</v>
      </c>
      <c r="E25325" s="62"/>
      <c r="F25325" s="62" t="str">
        <f>IF(INDEX(I.Electricity.P2bC2,3)="","",INDEX(I.Electricity.P2bC2,3))</f>
        <v/>
      </c>
      <c r="G25325" s="62"/>
      <c r="H25325" s="46" t="str">
        <f>IF(AND(I.Developer.P2b=TRUE,I.Product.P2bElectricity="Yes",I.Developer.P2bC2=TRUE,F25325=""),"Incomplete","Complete")</f>
        <v>Complete</v>
      </c>
      <c r="I25325" s="48" t="s">
        <v>4206</v>
      </c>
    </row>
    <row r="25326" spans="2:9" ht="15" customHeight="1" x14ac:dyDescent="0.25">
      <c r="B25326" s="55" t="s">
        <v>343</v>
      </c>
      <c r="C25326" s="46">
        <v>4</v>
      </c>
      <c r="D25326" s="69" t="s">
        <v>29480</v>
      </c>
      <c r="E25326" s="62"/>
      <c r="F25326" s="62" t="str">
        <f>IF(INDEX(I.Electricity.P2bC2,4)="","",INDEX(I.Electricity.P2bC2,4))</f>
        <v/>
      </c>
      <c r="G25326" s="62"/>
      <c r="H25326" s="46" t="str">
        <f>IF(AND(I.Developer.P2b=TRUE,I.Product.P2bElectricity="Yes",I.Developer.P2bC2=TRUE,F25326=""),"Incomplete","Complete")</f>
        <v>Complete</v>
      </c>
      <c r="I25326" s="48" t="s">
        <v>4207</v>
      </c>
    </row>
    <row r="25327" spans="2:9" ht="15" customHeight="1" x14ac:dyDescent="0.25">
      <c r="B25327" s="55" t="s">
        <v>343</v>
      </c>
      <c r="C25327" s="46">
        <v>5</v>
      </c>
      <c r="D25327" s="69" t="s">
        <v>29480</v>
      </c>
      <c r="E25327" s="62"/>
      <c r="F25327" s="62" t="str">
        <f>IF(INDEX(I.Electricity.P2bC2,5)="","",INDEX(I.Electricity.P2bC2,5))</f>
        <v/>
      </c>
      <c r="G25327" s="62"/>
      <c r="H25327" s="46" t="str">
        <f>IF(AND(I.Developer.P2b=TRUE,I.Product.P2bElectricity="Yes",I.Developer.P2bC2=TRUE,F25327=""),"Incomplete","Complete")</f>
        <v>Complete</v>
      </c>
      <c r="I25327" s="48" t="s">
        <v>4208</v>
      </c>
    </row>
    <row r="25328" spans="2:9" ht="15" customHeight="1" x14ac:dyDescent="0.25">
      <c r="B25328" s="55" t="s">
        <v>343</v>
      </c>
      <c r="C25328" s="46">
        <v>6</v>
      </c>
      <c r="D25328" s="69" t="s">
        <v>29480</v>
      </c>
      <c r="E25328" s="62"/>
      <c r="F25328" s="62" t="str">
        <f>IF(INDEX(I.Electricity.P2bC2,6)="","",INDEX(I.Electricity.P2bC2,6))</f>
        <v/>
      </c>
      <c r="G25328" s="62"/>
      <c r="H25328" s="46" t="str">
        <f>IF(AND(I.Developer.P2b=TRUE,I.Product.P2bElectricity="Yes",I.Developer.P2bC2=TRUE,F25328=""),"Incomplete","Complete")</f>
        <v>Complete</v>
      </c>
      <c r="I25328" s="48" t="s">
        <v>4209</v>
      </c>
    </row>
    <row r="25329" spans="2:9" ht="15" customHeight="1" x14ac:dyDescent="0.25">
      <c r="B25329" s="55" t="s">
        <v>343</v>
      </c>
      <c r="C25329" s="46">
        <v>7</v>
      </c>
      <c r="D25329" s="69" t="s">
        <v>29480</v>
      </c>
      <c r="E25329" s="62"/>
      <c r="F25329" s="62" t="str">
        <f>IF(INDEX(I.Electricity.P2bC2,7)="","",INDEX(I.Electricity.P2bC2,7))</f>
        <v/>
      </c>
      <c r="G25329" s="62"/>
      <c r="H25329" s="46" t="str">
        <f>IF(AND(I.Developer.P2b=TRUE,I.Product.P2bElectricity="Yes",I.Developer.P2bC2=TRUE,F25329=""),"Incomplete","Complete")</f>
        <v>Complete</v>
      </c>
      <c r="I25329" s="48" t="s">
        <v>4210</v>
      </c>
    </row>
    <row r="25330" spans="2:9" ht="15" customHeight="1" x14ac:dyDescent="0.25">
      <c r="B25330" s="55" t="s">
        <v>343</v>
      </c>
      <c r="C25330" s="46">
        <v>8</v>
      </c>
      <c r="D25330" s="69" t="s">
        <v>29480</v>
      </c>
      <c r="E25330" s="62"/>
      <c r="F25330" s="62" t="str">
        <f>IF(INDEX(I.Electricity.P2bC2,8)="","",INDEX(I.Electricity.P2bC2,8))</f>
        <v/>
      </c>
      <c r="G25330" s="62"/>
      <c r="H25330" s="46" t="str">
        <f>IF(AND(I.Developer.P2b=TRUE,I.Product.P2bElectricity="Yes",I.Developer.P2bC2=TRUE,F25330=""),"Incomplete","Complete")</f>
        <v>Complete</v>
      </c>
      <c r="I25330" s="48" t="s">
        <v>4211</v>
      </c>
    </row>
    <row r="25331" spans="2:9" ht="15" customHeight="1" x14ac:dyDescent="0.25">
      <c r="B25331" s="55" t="s">
        <v>343</v>
      </c>
      <c r="C25331" s="46">
        <v>9</v>
      </c>
      <c r="D25331" s="69" t="s">
        <v>29480</v>
      </c>
      <c r="E25331" s="62"/>
      <c r="F25331" s="62" t="str">
        <f>IF(INDEX(I.Electricity.P2bC2,9)="","",INDEX(I.Electricity.P2bC2,9))</f>
        <v/>
      </c>
      <c r="G25331" s="62"/>
      <c r="H25331" s="46" t="str">
        <f>IF(AND(I.Developer.P2b=TRUE,I.Product.P2bElectricity="Yes",I.Developer.P2bC2=TRUE,F25331=""),"Incomplete","Complete")</f>
        <v>Complete</v>
      </c>
      <c r="I25331" s="48" t="s">
        <v>4212</v>
      </c>
    </row>
    <row r="25332" spans="2:9" ht="15" customHeight="1" x14ac:dyDescent="0.25">
      <c r="B25332" s="55" t="s">
        <v>343</v>
      </c>
      <c r="C25332" s="46">
        <v>10</v>
      </c>
      <c r="D25332" s="69" t="s">
        <v>29480</v>
      </c>
      <c r="E25332" s="62"/>
      <c r="F25332" s="62" t="str">
        <f>IF(INDEX(I.Electricity.P2bC2,10)="","",INDEX(I.Electricity.P2bC2,10))</f>
        <v/>
      </c>
      <c r="G25332" s="62"/>
      <c r="H25332" s="46" t="str">
        <f>IF(AND(I.Developer.P2b=TRUE,I.Product.P2bElectricity="Yes",I.Developer.P2bC2=TRUE,F25332=""),"Incomplete","Complete")</f>
        <v>Complete</v>
      </c>
      <c r="I25332" s="48" t="s">
        <v>4213</v>
      </c>
    </row>
    <row r="25333" spans="2:9" ht="15" customHeight="1" x14ac:dyDescent="0.25">
      <c r="B25333" s="55" t="s">
        <v>343</v>
      </c>
      <c r="C25333" s="46">
        <v>11</v>
      </c>
      <c r="D25333" s="69" t="s">
        <v>29480</v>
      </c>
      <c r="E25333" s="62"/>
      <c r="F25333" s="62" t="str">
        <f>IF(INDEX(I.Electricity.P2bC2,11)="","",INDEX(I.Electricity.P2bC2,11))</f>
        <v/>
      </c>
      <c r="G25333" s="62"/>
      <c r="H25333" s="46" t="str">
        <f>IF(AND(I.Developer.P2b=TRUE,I.Product.P2bElectricity="Yes",I.Developer.P2bC2=TRUE,F25333=""),"Incomplete","Complete")</f>
        <v>Complete</v>
      </c>
      <c r="I25333" s="48" t="s">
        <v>4214</v>
      </c>
    </row>
    <row r="25334" spans="2:9" ht="15" customHeight="1" x14ac:dyDescent="0.25">
      <c r="B25334" s="55" t="s">
        <v>343</v>
      </c>
      <c r="C25334" s="46">
        <v>12</v>
      </c>
      <c r="D25334" s="69" t="s">
        <v>29480</v>
      </c>
      <c r="E25334" s="62"/>
      <c r="F25334" s="62" t="str">
        <f>IF(INDEX(I.Electricity.P2bC2,12)="","",INDEX(I.Electricity.P2bC2,12))</f>
        <v/>
      </c>
      <c r="G25334" s="62"/>
      <c r="H25334" s="46" t="str">
        <f>IF(AND(I.Developer.P2b=TRUE,I.Product.P2bElectricity="Yes",I.Developer.P2bC2=TRUE,F25334=""),"Incomplete","Complete")</f>
        <v>Complete</v>
      </c>
      <c r="I25334" s="48" t="s">
        <v>4215</v>
      </c>
    </row>
    <row r="25335" spans="2:9" ht="15" customHeight="1" x14ac:dyDescent="0.25">
      <c r="B25335" s="55" t="s">
        <v>343</v>
      </c>
      <c r="C25335" s="46">
        <v>13</v>
      </c>
      <c r="D25335" s="69" t="s">
        <v>29480</v>
      </c>
      <c r="E25335" s="62"/>
      <c r="F25335" s="62" t="str">
        <f>IF(INDEX(I.Electricity.P2bC2,13)="","",INDEX(I.Electricity.P2bC2,13))</f>
        <v/>
      </c>
      <c r="G25335" s="62"/>
      <c r="H25335" s="46" t="str">
        <f>IF(AND(I.Developer.P2b=TRUE,I.Product.P2bElectricity="Yes",I.Developer.P2bC2=TRUE,F25335=""),"Incomplete","Complete")</f>
        <v>Complete</v>
      </c>
      <c r="I25335" s="48" t="s">
        <v>4216</v>
      </c>
    </row>
    <row r="25336" spans="2:9" ht="15" customHeight="1" x14ac:dyDescent="0.25">
      <c r="B25336" s="55" t="s">
        <v>343</v>
      </c>
      <c r="C25336" s="46">
        <v>14</v>
      </c>
      <c r="D25336" s="69" t="s">
        <v>29480</v>
      </c>
      <c r="E25336" s="62"/>
      <c r="F25336" s="62" t="str">
        <f>IF(INDEX(I.Electricity.P2bC2,14)="","",INDEX(I.Electricity.P2bC2,14))</f>
        <v/>
      </c>
      <c r="G25336" s="62"/>
      <c r="H25336" s="46" t="str">
        <f>IF(AND(I.Developer.P2b=TRUE,I.Product.P2bElectricity="Yes",I.Developer.P2bC2=TRUE,F25336=""),"Incomplete","Complete")</f>
        <v>Complete</v>
      </c>
      <c r="I25336" s="48" t="s">
        <v>4217</v>
      </c>
    </row>
    <row r="25337" spans="2:9" ht="15" customHeight="1" x14ac:dyDescent="0.25">
      <c r="B25337" s="55" t="s">
        <v>343</v>
      </c>
      <c r="C25337" s="46">
        <v>15</v>
      </c>
      <c r="D25337" s="69" t="s">
        <v>29480</v>
      </c>
      <c r="E25337" s="62"/>
      <c r="F25337" s="62" t="str">
        <f>IF(INDEX(I.Electricity.P2bC2,15)="","",INDEX(I.Electricity.P2bC2,15))</f>
        <v/>
      </c>
      <c r="G25337" s="62"/>
      <c r="H25337" s="46" t="str">
        <f>IF(AND(I.Developer.P2b=TRUE,I.Product.P2bElectricity="Yes",I.Developer.P2bC2=TRUE,F25337=""),"Incomplete","Complete")</f>
        <v>Complete</v>
      </c>
      <c r="I25337" s="48" t="s">
        <v>4218</v>
      </c>
    </row>
    <row r="25338" spans="2:9" ht="15" customHeight="1" x14ac:dyDescent="0.25">
      <c r="B25338" s="55" t="s">
        <v>343</v>
      </c>
      <c r="C25338" s="46">
        <v>16</v>
      </c>
      <c r="D25338" s="69" t="s">
        <v>29480</v>
      </c>
      <c r="E25338" s="62"/>
      <c r="F25338" s="62" t="str">
        <f>IF(INDEX(I.Electricity.P2bC2,16)="","",INDEX(I.Electricity.P2bC2,16))</f>
        <v/>
      </c>
      <c r="G25338" s="62"/>
      <c r="H25338" s="46" t="str">
        <f>IF(AND(I.Developer.P2b=TRUE,I.Product.P2bElectricity="Yes",I.Developer.P2bC2=TRUE,F25338=""),"Incomplete","Complete")</f>
        <v>Complete</v>
      </c>
      <c r="I25338" s="48" t="s">
        <v>4219</v>
      </c>
    </row>
    <row r="25339" spans="2:9" ht="15" customHeight="1" x14ac:dyDescent="0.25">
      <c r="B25339" s="55" t="s">
        <v>343</v>
      </c>
      <c r="C25339" s="46">
        <v>17</v>
      </c>
      <c r="D25339" s="69" t="s">
        <v>29480</v>
      </c>
      <c r="E25339" s="62"/>
      <c r="F25339" s="62" t="str">
        <f>IF(INDEX(I.Electricity.P2bC2,17)="","",INDEX(I.Electricity.P2bC2,17))</f>
        <v/>
      </c>
      <c r="G25339" s="62"/>
      <c r="H25339" s="46" t="str">
        <f>IF(AND(I.Developer.P2b=TRUE,I.Product.P2bElectricity="Yes",I.Developer.P2bC2=TRUE,F25339=""),"Incomplete","Complete")</f>
        <v>Complete</v>
      </c>
      <c r="I25339" s="48" t="s">
        <v>4220</v>
      </c>
    </row>
    <row r="25340" spans="2:9" ht="15" customHeight="1" x14ac:dyDescent="0.25">
      <c r="B25340" s="55" t="s">
        <v>343</v>
      </c>
      <c r="C25340" s="46">
        <v>18</v>
      </c>
      <c r="D25340" s="69" t="s">
        <v>29480</v>
      </c>
      <c r="E25340" s="62"/>
      <c r="F25340" s="62" t="str">
        <f>IF(INDEX(I.Electricity.P2bC2,18)="","",INDEX(I.Electricity.P2bC2,18))</f>
        <v/>
      </c>
      <c r="G25340" s="62"/>
      <c r="H25340" s="46" t="str">
        <f>IF(AND(I.Developer.P2b=TRUE,I.Product.P2bElectricity="Yes",I.Developer.P2bC2=TRUE,F25340=""),"Incomplete","Complete")</f>
        <v>Complete</v>
      </c>
      <c r="I25340" s="48" t="s">
        <v>4221</v>
      </c>
    </row>
    <row r="25341" spans="2:9" ht="15" customHeight="1" x14ac:dyDescent="0.25">
      <c r="B25341" s="55" t="s">
        <v>343</v>
      </c>
      <c r="C25341" s="46">
        <v>19</v>
      </c>
      <c r="D25341" s="69" t="s">
        <v>29480</v>
      </c>
      <c r="E25341" s="62"/>
      <c r="F25341" s="62" t="str">
        <f>IF(INDEX(I.Electricity.P2bC2,19)="","",INDEX(I.Electricity.P2bC2,19))</f>
        <v/>
      </c>
      <c r="G25341" s="62"/>
      <c r="H25341" s="46" t="str">
        <f>IF(AND(I.Developer.P2b=TRUE,I.Product.P2bElectricity="Yes",I.Developer.P2bC2=TRUE,F25341=""),"Incomplete","Complete")</f>
        <v>Complete</v>
      </c>
      <c r="I25341" s="48" t="s">
        <v>4222</v>
      </c>
    </row>
    <row r="25342" spans="2:9" ht="15" customHeight="1" x14ac:dyDescent="0.25">
      <c r="B25342" s="55" t="s">
        <v>343</v>
      </c>
      <c r="C25342" s="46">
        <v>20</v>
      </c>
      <c r="D25342" s="69" t="s">
        <v>29480</v>
      </c>
      <c r="E25342" s="62"/>
      <c r="F25342" s="62" t="str">
        <f>IF(INDEX(I.Electricity.P2bC2,20)="","",INDEX(I.Electricity.P2bC2,20))</f>
        <v/>
      </c>
      <c r="G25342" s="62"/>
      <c r="H25342" s="46" t="str">
        <f>IF(AND(I.Developer.P2b=TRUE,I.Product.P2bElectricity="Yes",I.Developer.P2bC2=TRUE,F25342=""),"Incomplete","Complete")</f>
        <v>Complete</v>
      </c>
      <c r="I25342" s="48" t="s">
        <v>4223</v>
      </c>
    </row>
    <row r="25343" spans="2:9" ht="15" customHeight="1" x14ac:dyDescent="0.25">
      <c r="B25343" s="56" t="s">
        <v>343</v>
      </c>
      <c r="C25343" s="57">
        <v>21</v>
      </c>
      <c r="D25343" s="71" t="s">
        <v>29480</v>
      </c>
      <c r="E25343" s="61"/>
      <c r="F25343" s="61" t="str">
        <f>IF(INDEX(I.Electricity.P2bC2,21)="","",INDEX(I.Electricity.P2bC2,21))</f>
        <v/>
      </c>
      <c r="G25343" s="61"/>
      <c r="H25343" s="57" t="str">
        <f>IF(AND(I.Developer.P2b=TRUE,I.Product.P2bElectricity="Yes",I.Developer.P2bC2=TRUE,F25343=""),"Incomplete","Complete")</f>
        <v>Complete</v>
      </c>
      <c r="I25343" s="49" t="s">
        <v>4224</v>
      </c>
    </row>
    <row r="25344" spans="2:9" ht="15" customHeight="1" x14ac:dyDescent="0.25">
      <c r="B25344" s="55" t="s">
        <v>344</v>
      </c>
      <c r="C25344" s="46">
        <v>1</v>
      </c>
      <c r="D25344" s="69" t="s">
        <v>29481</v>
      </c>
      <c r="E25344" s="62"/>
      <c r="F25344" s="62" t="str">
        <f>IF(INDEX(I.Electricity.P2bC3,1)="","",INDEX(I.Electricity.P2bC3,1))</f>
        <v/>
      </c>
      <c r="G25344" s="62"/>
      <c r="H25344" s="46" t="str">
        <f>IF(AND(I.Developer.P2b=TRUE,I.Product.P2bElectricity="Yes",I.Developer.P2bC3=TRUE,I.Facility.StandardPart="Part 2",F25344=""),"Incomplete","Complete")</f>
        <v>Complete</v>
      </c>
      <c r="I25344" s="48" t="s">
        <v>4225</v>
      </c>
    </row>
    <row r="25345" spans="2:9" ht="15" customHeight="1" x14ac:dyDescent="0.25">
      <c r="B25345" s="55" t="s">
        <v>344</v>
      </c>
      <c r="C25345" s="46">
        <v>2</v>
      </c>
      <c r="D25345" s="69" t="s">
        <v>29481</v>
      </c>
      <c r="E25345" s="62"/>
      <c r="F25345" s="62" t="str">
        <f>IF(INDEX(I.Electricity.P2bC3,2)="","",INDEX(I.Electricity.P2bC3,2))</f>
        <v/>
      </c>
      <c r="G25345" s="62"/>
      <c r="H25345" s="46" t="str">
        <f>IF(AND(I.Developer.P2b=TRUE,I.Product.P2bElectricity="Yes",I.Developer.P2bC3=TRUE,I.Facility.StandardPart="Part 2",F25345=""),"Incomplete","Complete")</f>
        <v>Complete</v>
      </c>
      <c r="I25345" s="48" t="s">
        <v>4226</v>
      </c>
    </row>
    <row r="25346" spans="2:9" ht="15" customHeight="1" x14ac:dyDescent="0.25">
      <c r="B25346" s="55" t="s">
        <v>344</v>
      </c>
      <c r="C25346" s="46">
        <v>3</v>
      </c>
      <c r="D25346" s="69" t="s">
        <v>29481</v>
      </c>
      <c r="E25346" s="62"/>
      <c r="F25346" s="62" t="str">
        <f>IF(INDEX(I.Electricity.P2bC3,3)="","",INDEX(I.Electricity.P2bC3,3))</f>
        <v/>
      </c>
      <c r="G25346" s="62"/>
      <c r="H25346" s="46" t="str">
        <f>IF(AND(I.Developer.P2b=TRUE,I.Product.P2bElectricity="Yes",I.Developer.P2bC3=TRUE,I.Facility.StandardPart="Part 3",F25346=""),"Incomplete","Complete")</f>
        <v>Complete</v>
      </c>
      <c r="I25346" s="48" t="s">
        <v>4227</v>
      </c>
    </row>
    <row r="25347" spans="2:9" ht="15" customHeight="1" x14ac:dyDescent="0.25">
      <c r="B25347" s="55" t="s">
        <v>344</v>
      </c>
      <c r="C25347" s="46">
        <v>4</v>
      </c>
      <c r="D25347" s="69" t="s">
        <v>29481</v>
      </c>
      <c r="E25347" s="62"/>
      <c r="F25347" s="62" t="str">
        <f>IF(INDEX(I.Electricity.P2bC3,4)="","",INDEX(I.Electricity.P2bC3,4))</f>
        <v/>
      </c>
      <c r="G25347" s="62"/>
      <c r="H25347" s="46" t="str">
        <f>IF(AND(I.Developer.P2b=TRUE,I.Product.P2bElectricity="Yes",I.Developer.P2bC3=TRUE,I.Facility.StandardPart="Part 3",F25347=""),"Incomplete","Complete")</f>
        <v>Complete</v>
      </c>
      <c r="I25347" s="48" t="s">
        <v>4228</v>
      </c>
    </row>
    <row r="25348" spans="2:9" ht="15" customHeight="1" x14ac:dyDescent="0.25">
      <c r="B25348" s="56" t="s">
        <v>344</v>
      </c>
      <c r="C25348" s="57">
        <v>5</v>
      </c>
      <c r="D25348" s="71" t="s">
        <v>29481</v>
      </c>
      <c r="E25348" s="61"/>
      <c r="F25348" s="61" t="str">
        <f>IF(INDEX(I.Electricity.P2bC3,5)="","",INDEX(I.Electricity.P2bC3,5))</f>
        <v/>
      </c>
      <c r="G25348" s="61"/>
      <c r="H25348" s="57" t="str">
        <f>IF(AND(I.Developer.P2b=TRUE,I.Product.P2bElectricity="Yes",I.Developer.P2bC3=TRUE,I.Facility.StandardPart="Part 3",F25348=""),"Incomplete","Complete")</f>
        <v>Complete</v>
      </c>
      <c r="I25348" s="49" t="s">
        <v>4229</v>
      </c>
    </row>
    <row r="25349" spans="2:9" ht="15" customHeight="1" x14ac:dyDescent="0.25">
      <c r="B25349" s="55" t="s">
        <v>345</v>
      </c>
      <c r="C25349" s="46">
        <v>1</v>
      </c>
      <c r="D25349" s="69" t="s">
        <v>29482</v>
      </c>
      <c r="E25349" s="62"/>
      <c r="F25349" s="62" t="str">
        <f>IF(INDEX(I.Electricity.P2bC4,1)="","",INDEX(I.Electricity.P2bC4,1))</f>
        <v/>
      </c>
      <c r="G25349" s="62"/>
      <c r="H25349" s="46" t="str">
        <f>IF(AND(I.Developer.P2b=TRUE,I.Product.P2bElectricity="Yes",I.Developer.P2bC4=TRUE,F25349=""),"Incomplete","Complete")</f>
        <v>Complete</v>
      </c>
      <c r="I25349" s="48" t="s">
        <v>4230</v>
      </c>
    </row>
    <row r="25350" spans="2:9" ht="15" customHeight="1" x14ac:dyDescent="0.25">
      <c r="B25350" s="55" t="s">
        <v>345</v>
      </c>
      <c r="C25350" s="46">
        <v>2</v>
      </c>
      <c r="D25350" s="69" t="s">
        <v>29482</v>
      </c>
      <c r="E25350" s="62"/>
      <c r="F25350" s="62" t="str">
        <f>IF(INDEX(I.Electricity.P2bC4,2)="","",INDEX(I.Electricity.P2bC4,2))</f>
        <v/>
      </c>
      <c r="G25350" s="62"/>
      <c r="H25350" s="46" t="str">
        <f>IF(AND(I.Developer.P2b=TRUE,I.Product.P2bElectricity="Yes",I.Developer.P2bC4=TRUE,F25350=""),"Incomplete","Complete")</f>
        <v>Complete</v>
      </c>
      <c r="I25350" s="48" t="s">
        <v>4231</v>
      </c>
    </row>
    <row r="25351" spans="2:9" ht="15" customHeight="1" x14ac:dyDescent="0.25">
      <c r="B25351" s="56" t="s">
        <v>345</v>
      </c>
      <c r="C25351" s="57">
        <v>3</v>
      </c>
      <c r="D25351" s="71" t="s">
        <v>29482</v>
      </c>
      <c r="E25351" s="61"/>
      <c r="F25351" s="61" t="str">
        <f>IF(INDEX(I.Electricity.P2bC4,3)="","",INDEX(I.Electricity.P2bC4,3))</f>
        <v/>
      </c>
      <c r="G25351" s="61"/>
      <c r="H25351" s="57" t="str">
        <f>IF(AND(I.Developer.P2b=TRUE,I.Product.P2bElectricity="Yes",I.Developer.P2bC4=TRUE,F25351=""),"Incomplete","Complete")</f>
        <v>Complete</v>
      </c>
      <c r="I25351" s="49" t="s">
        <v>4232</v>
      </c>
    </row>
    <row r="25352" spans="2:9" ht="15" customHeight="1" x14ac:dyDescent="0.25">
      <c r="B25352" s="55" t="s">
        <v>346</v>
      </c>
      <c r="C25352" s="46">
        <v>1</v>
      </c>
      <c r="D25352" s="69" t="s">
        <v>29483</v>
      </c>
      <c r="E25352" s="62"/>
      <c r="F25352" s="62" t="str">
        <f>IF(INDEX(I.Electricity.P3C1,1)="","",INDEX(I.Electricity.P3C1,1))</f>
        <v/>
      </c>
      <c r="G25352" s="62"/>
      <c r="H25352" s="46" t="str">
        <f>IF(AND(I.Developer.P3=TRUE,I.Product.P3Electricity="Yes",I.Developer.P3C1=TRUE,I.Facility.StandardPart="Part 2",F25352=""),"Incomplete","Complete")</f>
        <v>Complete</v>
      </c>
      <c r="I25352" s="48" t="s">
        <v>4233</v>
      </c>
    </row>
    <row r="25353" spans="2:9" ht="15" customHeight="1" x14ac:dyDescent="0.25">
      <c r="B25353" s="55" t="s">
        <v>346</v>
      </c>
      <c r="C25353" s="46">
        <v>2</v>
      </c>
      <c r="D25353" s="69" t="s">
        <v>29483</v>
      </c>
      <c r="E25353" s="62"/>
      <c r="F25353" s="62" t="str">
        <f>IF(INDEX(I.Electricity.P3C1,2)="","",INDEX(I.Electricity.P3C1,2))</f>
        <v/>
      </c>
      <c r="G25353" s="62"/>
      <c r="H25353" s="46" t="str">
        <f>IF(AND(I.Developer.P3=TRUE,I.Product.P3Electricity="Yes",I.Developer.P3C1=TRUE,I.Developer.P3C1V2=TRUE,I.Facility.StandardPart="Part 2",F25353=""),"Incomplete","Complete")</f>
        <v>Complete</v>
      </c>
      <c r="I25353" s="48" t="s">
        <v>4234</v>
      </c>
    </row>
    <row r="25354" spans="2:9" ht="15" customHeight="1" x14ac:dyDescent="0.25">
      <c r="B25354" s="55" t="s">
        <v>346</v>
      </c>
      <c r="C25354" s="46">
        <v>3</v>
      </c>
      <c r="D25354" s="69" t="s">
        <v>29483</v>
      </c>
      <c r="E25354" s="62"/>
      <c r="F25354" s="62" t="str">
        <f>IF(INDEX(I.Electricity.P3C1,3)="","",INDEX(I.Electricity.P3C1,3))</f>
        <v/>
      </c>
      <c r="G25354" s="62"/>
      <c r="H25354" s="46" t="str">
        <f>IF(AND(I.Developer.P3=TRUE,I.Product.P3Electricity="Yes",I.Developer.P3C1=TRUE,I.Developer.P3C1V3=TRUE,I.Facility.StandardPart="Part 2",F25354=""),"Incomplete","Complete")</f>
        <v>Complete</v>
      </c>
      <c r="I25354" s="48" t="s">
        <v>4235</v>
      </c>
    </row>
    <row r="25355" spans="2:9" ht="15" customHeight="1" x14ac:dyDescent="0.25">
      <c r="B25355" s="55" t="s">
        <v>346</v>
      </c>
      <c r="C25355" s="46">
        <v>4</v>
      </c>
      <c r="D25355" s="69" t="s">
        <v>29483</v>
      </c>
      <c r="E25355" s="62"/>
      <c r="F25355" s="62" t="str">
        <f>IF(INDEX(I.Electricity.P3C1,4)="","",INDEX(I.Electricity.P3C1,4))</f>
        <v/>
      </c>
      <c r="G25355" s="62"/>
      <c r="H25355" s="46" t="str">
        <f>IF(AND(I.Developer.P3=TRUE,I.Product.P3Electricity="Yes",I.Developer.P3C1=TRUE,I.Developer.P3C1V4=TRUE,I.Facility.StandardPart="Part 2",F25355=""),"Incomplete","Complete")</f>
        <v>Complete</v>
      </c>
      <c r="I25355" s="48" t="s">
        <v>4236</v>
      </c>
    </row>
    <row r="25356" spans="2:9" ht="15" customHeight="1" x14ac:dyDescent="0.25">
      <c r="B25356" s="55" t="s">
        <v>346</v>
      </c>
      <c r="C25356" s="46">
        <v>5</v>
      </c>
      <c r="D25356" s="69" t="s">
        <v>29483</v>
      </c>
      <c r="E25356" s="62"/>
      <c r="F25356" s="62" t="str">
        <f>IF(INDEX(I.Electricity.P3C1,5)="","",INDEX(I.Electricity.P3C1,5))</f>
        <v/>
      </c>
      <c r="G25356" s="62"/>
      <c r="H25356" s="46" t="str">
        <f>IF(AND(I.Developer.P3=TRUE,I.Product.P3Electricity="Yes",I.Developer.P3C1=TRUE,I.Developer.P3C1V5=TRUE,I.Facility.StandardPart="Part 2",F25356=""),"Incomplete","Complete")</f>
        <v>Complete</v>
      </c>
      <c r="I25356" s="48" t="s">
        <v>4237</v>
      </c>
    </row>
    <row r="25357" spans="2:9" ht="15" customHeight="1" x14ac:dyDescent="0.25">
      <c r="B25357" s="55" t="s">
        <v>346</v>
      </c>
      <c r="C25357" s="46">
        <v>6</v>
      </c>
      <c r="D25357" s="69" t="s">
        <v>29483</v>
      </c>
      <c r="E25357" s="62"/>
      <c r="F25357" s="62" t="str">
        <f>IF(INDEX(I.Electricity.P3C1,6)="","",INDEX(I.Electricity.P3C1,6))</f>
        <v/>
      </c>
      <c r="G25357" s="62"/>
      <c r="H25357" s="46" t="str">
        <f>IF(AND(I.Developer.P3=TRUE,I.Product.P3Electricity="Yes",I.Developer.P3C1=TRUE,I.Developer.P3C1V6=TRUE,I.Facility.StandardPart="Part 2",F25357=""),"Incomplete","Complete")</f>
        <v>Complete</v>
      </c>
      <c r="I25357" s="48" t="s">
        <v>4238</v>
      </c>
    </row>
    <row r="25358" spans="2:9" ht="15" customHeight="1" x14ac:dyDescent="0.25">
      <c r="B25358" s="55" t="s">
        <v>346</v>
      </c>
      <c r="C25358" s="46">
        <v>7</v>
      </c>
      <c r="D25358" s="69" t="s">
        <v>29483</v>
      </c>
      <c r="E25358" s="62"/>
      <c r="F25358" s="62" t="str">
        <f>IF(INDEX(I.Electricity.P3C1,7)="","",INDEX(I.Electricity.P3C1,7))</f>
        <v/>
      </c>
      <c r="G25358" s="62"/>
      <c r="H25358" s="46" t="str">
        <f>IF(AND(I.Developer.P3=TRUE,I.Product.P3Electricity="Yes",I.Developer.P3C1=TRUE,I.Facility.StandardPart="Part 3",F25358=""),"Incomplete","Complete")</f>
        <v>Complete</v>
      </c>
      <c r="I25358" s="48" t="s">
        <v>4239</v>
      </c>
    </row>
    <row r="25359" spans="2:9" ht="15" customHeight="1" x14ac:dyDescent="0.25">
      <c r="B25359" s="55" t="s">
        <v>346</v>
      </c>
      <c r="C25359" s="46">
        <v>8</v>
      </c>
      <c r="D25359" s="69" t="s">
        <v>29483</v>
      </c>
      <c r="E25359" s="62"/>
      <c r="F25359" s="62" t="str">
        <f>IF(INDEX(I.Electricity.P3C1,8)="","",INDEX(I.Electricity.P3C1,8))</f>
        <v/>
      </c>
      <c r="G25359" s="62"/>
      <c r="H25359" s="46" t="str">
        <f>IF(AND(I.Developer.P3=TRUE,I.Product.P3Electricity="Yes",I.Developer.P3C1=TRUE,I.Facility.StandardPart="Part 3",F25359=""),"Incomplete","Complete")</f>
        <v>Complete</v>
      </c>
      <c r="I25359" s="48" t="s">
        <v>4240</v>
      </c>
    </row>
    <row r="25360" spans="2:9" ht="15" customHeight="1" x14ac:dyDescent="0.25">
      <c r="B25360" s="56" t="s">
        <v>346</v>
      </c>
      <c r="C25360" s="57">
        <v>9</v>
      </c>
      <c r="D25360" s="71" t="s">
        <v>29483</v>
      </c>
      <c r="E25360" s="61"/>
      <c r="F25360" s="61" t="str">
        <f>IF(INDEX(I.Electricity.P3C1,9)="","",INDEX(I.Electricity.P3C1,9))</f>
        <v/>
      </c>
      <c r="G25360" s="61"/>
      <c r="H25360" s="57" t="str">
        <f>IF(AND(I.Developer.P3=TRUE,I.Product.P3Electricity="Yes",I.Developer.P3C1=TRUE,I.Facility.StandardPart="Part 3",F25360=""),"Incomplete","Complete")</f>
        <v>Complete</v>
      </c>
      <c r="I25360" s="49" t="s">
        <v>4241</v>
      </c>
    </row>
    <row r="25361" spans="2:9" ht="15" customHeight="1" x14ac:dyDescent="0.25">
      <c r="B25361" s="55" t="s">
        <v>347</v>
      </c>
      <c r="C25361" s="46">
        <v>1</v>
      </c>
      <c r="D25361" s="69" t="s">
        <v>29484</v>
      </c>
      <c r="E25361" s="62"/>
      <c r="F25361" s="62" t="str">
        <f>IF(INDEX(I.Electricity.P3C2,1)="","",INDEX(I.Electricity.P3C2,1))</f>
        <v/>
      </c>
      <c r="G25361" s="62"/>
      <c r="H25361" s="46" t="str">
        <f>IF(AND(I.Developer.P3=TRUE,I.Product.P3Electricity="Yes",I.Developer.P3C2=TRUE,F25361=""),"Incomplete","Complete")</f>
        <v>Complete</v>
      </c>
      <c r="I25361" s="48" t="s">
        <v>4242</v>
      </c>
    </row>
    <row r="25362" spans="2:9" ht="15" customHeight="1" x14ac:dyDescent="0.25">
      <c r="B25362" s="55" t="s">
        <v>347</v>
      </c>
      <c r="C25362" s="46">
        <v>2</v>
      </c>
      <c r="D25362" s="69" t="s">
        <v>29484</v>
      </c>
      <c r="E25362" s="62"/>
      <c r="F25362" s="62" t="str">
        <f>IF(INDEX(I.Electricity.P3C2,2)="","",INDEX(I.Electricity.P3C2,2))</f>
        <v/>
      </c>
      <c r="G25362" s="62"/>
      <c r="H25362" s="46" t="str">
        <f>IF(AND(I.Developer.P3=TRUE,I.Product.P3Electricity="Yes",I.Developer.P3C2=TRUE,F25362=""),"Incomplete","Complete")</f>
        <v>Complete</v>
      </c>
      <c r="I25362" s="48" t="s">
        <v>4243</v>
      </c>
    </row>
    <row r="25363" spans="2:9" ht="15" customHeight="1" x14ac:dyDescent="0.25">
      <c r="B25363" s="55" t="s">
        <v>347</v>
      </c>
      <c r="C25363" s="46">
        <v>3</v>
      </c>
      <c r="D25363" s="69" t="s">
        <v>29484</v>
      </c>
      <c r="E25363" s="62"/>
      <c r="F25363" s="62" t="str">
        <f>IF(INDEX(I.Electricity.P3C2,3)="","",INDEX(I.Electricity.P3C2,3))</f>
        <v/>
      </c>
      <c r="G25363" s="62"/>
      <c r="H25363" s="46" t="str">
        <f>IF(AND(I.Developer.P3=TRUE,I.Product.P3Electricity="Yes",I.Developer.P3C2=TRUE,F25363=""),"Incomplete","Complete")</f>
        <v>Complete</v>
      </c>
      <c r="I25363" s="48" t="s">
        <v>4244</v>
      </c>
    </row>
    <row r="25364" spans="2:9" ht="15" customHeight="1" x14ac:dyDescent="0.25">
      <c r="B25364" s="55" t="s">
        <v>347</v>
      </c>
      <c r="C25364" s="46">
        <v>4</v>
      </c>
      <c r="D25364" s="69" t="s">
        <v>29484</v>
      </c>
      <c r="E25364" s="62"/>
      <c r="F25364" s="62" t="str">
        <f>IF(INDEX(I.Electricity.P3C2,4)="","",INDEX(I.Electricity.P3C2,4))</f>
        <v/>
      </c>
      <c r="G25364" s="62"/>
      <c r="H25364" s="46" t="str">
        <f>IF(AND(I.Developer.P3=TRUE,I.Product.P3Electricity="Yes",I.Developer.P3C2=TRUE,F25364=""),"Incomplete","Complete")</f>
        <v>Complete</v>
      </c>
      <c r="I25364" s="48" t="s">
        <v>4245</v>
      </c>
    </row>
    <row r="25365" spans="2:9" ht="15" customHeight="1" x14ac:dyDescent="0.25">
      <c r="B25365" s="55" t="s">
        <v>347</v>
      </c>
      <c r="C25365" s="46">
        <v>5</v>
      </c>
      <c r="D25365" s="69" t="s">
        <v>29484</v>
      </c>
      <c r="E25365" s="62"/>
      <c r="F25365" s="62" t="str">
        <f>IF(INDEX(I.Electricity.P3C2,5)="","",INDEX(I.Electricity.P3C2,5))</f>
        <v/>
      </c>
      <c r="G25365" s="62"/>
      <c r="H25365" s="46" t="str">
        <f>IF(AND(I.Developer.P3=TRUE,I.Product.P3Electricity="Yes",I.Developer.P3C2=TRUE,F25365=""),"Incomplete","Complete")</f>
        <v>Complete</v>
      </c>
      <c r="I25365" s="48" t="s">
        <v>4246</v>
      </c>
    </row>
    <row r="25366" spans="2:9" ht="15" customHeight="1" x14ac:dyDescent="0.25">
      <c r="B25366" s="55" t="s">
        <v>347</v>
      </c>
      <c r="C25366" s="46">
        <v>6</v>
      </c>
      <c r="D25366" s="69" t="s">
        <v>29484</v>
      </c>
      <c r="E25366" s="62"/>
      <c r="F25366" s="62" t="str">
        <f>IF(INDEX(I.Electricity.P3C2,6)="","",INDEX(I.Electricity.P3C2,6))</f>
        <v/>
      </c>
      <c r="G25366" s="62"/>
      <c r="H25366" s="46" t="str">
        <f>IF(AND(I.Developer.P3=TRUE,I.Product.P3Electricity="Yes",I.Developer.P3C2=TRUE,F25366=""),"Incomplete","Complete")</f>
        <v>Complete</v>
      </c>
      <c r="I25366" s="48" t="s">
        <v>4247</v>
      </c>
    </row>
    <row r="25367" spans="2:9" ht="15" customHeight="1" x14ac:dyDescent="0.25">
      <c r="B25367" s="55" t="s">
        <v>347</v>
      </c>
      <c r="C25367" s="46">
        <v>7</v>
      </c>
      <c r="D25367" s="69" t="s">
        <v>29484</v>
      </c>
      <c r="E25367" s="62"/>
      <c r="F25367" s="62" t="str">
        <f>IF(INDEX(I.Electricity.P3C2,7)="","",INDEX(I.Electricity.P3C2,7))</f>
        <v/>
      </c>
      <c r="G25367" s="62"/>
      <c r="H25367" s="46" t="str">
        <f>IF(AND(I.Developer.P3=TRUE,I.Product.P3Electricity="Yes",I.Developer.P3C2=TRUE,F25367=""),"Incomplete","Complete")</f>
        <v>Complete</v>
      </c>
      <c r="I25367" s="48" t="s">
        <v>4248</v>
      </c>
    </row>
    <row r="25368" spans="2:9" ht="15" customHeight="1" x14ac:dyDescent="0.25">
      <c r="B25368" s="55" t="s">
        <v>347</v>
      </c>
      <c r="C25368" s="46">
        <v>8</v>
      </c>
      <c r="D25368" s="69" t="s">
        <v>29484</v>
      </c>
      <c r="E25368" s="62"/>
      <c r="F25368" s="62" t="str">
        <f>IF(INDEX(I.Electricity.P3C2,8)="","",INDEX(I.Electricity.P3C2,8))</f>
        <v/>
      </c>
      <c r="G25368" s="62"/>
      <c r="H25368" s="46" t="str">
        <f>IF(AND(I.Developer.P3=TRUE,I.Product.P3Electricity="Yes",I.Developer.P3C2=TRUE,F25368=""),"Incomplete","Complete")</f>
        <v>Complete</v>
      </c>
      <c r="I25368" s="48" t="s">
        <v>4249</v>
      </c>
    </row>
    <row r="25369" spans="2:9" ht="15" customHeight="1" x14ac:dyDescent="0.25">
      <c r="B25369" s="55" t="s">
        <v>347</v>
      </c>
      <c r="C25369" s="46">
        <v>9</v>
      </c>
      <c r="D25369" s="69" t="s">
        <v>29484</v>
      </c>
      <c r="E25369" s="62"/>
      <c r="F25369" s="62" t="str">
        <f>IF(INDEX(I.Electricity.P3C2,9)="","",INDEX(I.Electricity.P3C2,9))</f>
        <v/>
      </c>
      <c r="G25369" s="62"/>
      <c r="H25369" s="46" t="str">
        <f>IF(AND(I.Developer.P3=TRUE,I.Product.P3Electricity="Yes",I.Developer.P3C2=TRUE,F25369=""),"Incomplete","Complete")</f>
        <v>Complete</v>
      </c>
      <c r="I25369" s="48" t="s">
        <v>4250</v>
      </c>
    </row>
    <row r="25370" spans="2:9" ht="15" customHeight="1" x14ac:dyDescent="0.25">
      <c r="B25370" s="55" t="s">
        <v>347</v>
      </c>
      <c r="C25370" s="46">
        <v>10</v>
      </c>
      <c r="D25370" s="69" t="s">
        <v>29484</v>
      </c>
      <c r="E25370" s="62"/>
      <c r="F25370" s="62" t="str">
        <f>IF(INDEX(I.Electricity.P3C2,10)="","",INDEX(I.Electricity.P3C2,10))</f>
        <v/>
      </c>
      <c r="G25370" s="62"/>
      <c r="H25370" s="46" t="str">
        <f>IF(AND(I.Developer.P3=TRUE,I.Product.P3Electricity="Yes",I.Developer.P3C2=TRUE,F25370=""),"Incomplete","Complete")</f>
        <v>Complete</v>
      </c>
      <c r="I25370" s="48" t="s">
        <v>4251</v>
      </c>
    </row>
    <row r="25371" spans="2:9" ht="15" customHeight="1" x14ac:dyDescent="0.25">
      <c r="B25371" s="55" t="s">
        <v>347</v>
      </c>
      <c r="C25371" s="46">
        <v>11</v>
      </c>
      <c r="D25371" s="69" t="s">
        <v>29484</v>
      </c>
      <c r="E25371" s="62"/>
      <c r="F25371" s="62" t="str">
        <f>IF(INDEX(I.Electricity.P3C2,11)="","",INDEX(I.Electricity.P3C2,11))</f>
        <v/>
      </c>
      <c r="G25371" s="62"/>
      <c r="H25371" s="46" t="str">
        <f>IF(AND(I.Developer.P3=TRUE,I.Product.P3Electricity="Yes",I.Developer.P3C2=TRUE,F25371=""),"Incomplete","Complete")</f>
        <v>Complete</v>
      </c>
      <c r="I25371" s="48" t="s">
        <v>4252</v>
      </c>
    </row>
    <row r="25372" spans="2:9" ht="15" customHeight="1" x14ac:dyDescent="0.25">
      <c r="B25372" s="55" t="s">
        <v>347</v>
      </c>
      <c r="C25372" s="46">
        <v>12</v>
      </c>
      <c r="D25372" s="69" t="s">
        <v>29484</v>
      </c>
      <c r="E25372" s="62"/>
      <c r="F25372" s="62" t="str">
        <f>IF(INDEX(I.Electricity.P3C2,12)="","",INDEX(I.Electricity.P3C2,12))</f>
        <v/>
      </c>
      <c r="G25372" s="62"/>
      <c r="H25372" s="46" t="str">
        <f>IF(AND(I.Developer.P3=TRUE,I.Product.P3Electricity="Yes",I.Developer.P3C2=TRUE,F25372=""),"Incomplete","Complete")</f>
        <v>Complete</v>
      </c>
      <c r="I25372" s="48" t="s">
        <v>4253</v>
      </c>
    </row>
    <row r="25373" spans="2:9" ht="15" customHeight="1" x14ac:dyDescent="0.25">
      <c r="B25373" s="55" t="s">
        <v>347</v>
      </c>
      <c r="C25373" s="46">
        <v>13</v>
      </c>
      <c r="D25373" s="69" t="s">
        <v>29484</v>
      </c>
      <c r="E25373" s="62"/>
      <c r="F25373" s="62" t="str">
        <f>IF(INDEX(I.Electricity.P3C2,13)="","",INDEX(I.Electricity.P3C2,13))</f>
        <v/>
      </c>
      <c r="G25373" s="62"/>
      <c r="H25373" s="46" t="str">
        <f>IF(AND(I.Developer.P3=TRUE,I.Product.P3Electricity="Yes",I.Developer.P3C2=TRUE,F25373=""),"Incomplete","Complete")</f>
        <v>Complete</v>
      </c>
      <c r="I25373" s="48" t="s">
        <v>4254</v>
      </c>
    </row>
    <row r="25374" spans="2:9" ht="15" customHeight="1" x14ac:dyDescent="0.25">
      <c r="B25374" s="55" t="s">
        <v>347</v>
      </c>
      <c r="C25374" s="46">
        <v>14</v>
      </c>
      <c r="D25374" s="69" t="s">
        <v>29484</v>
      </c>
      <c r="E25374" s="62"/>
      <c r="F25374" s="62" t="str">
        <f>IF(INDEX(I.Electricity.P3C2,14)="","",INDEX(I.Electricity.P3C2,14))</f>
        <v/>
      </c>
      <c r="G25374" s="62"/>
      <c r="H25374" s="46" t="str">
        <f>IF(AND(I.Developer.P3=TRUE,I.Product.P3Electricity="Yes",I.Developer.P3C2=TRUE,F25374=""),"Incomplete","Complete")</f>
        <v>Complete</v>
      </c>
      <c r="I25374" s="48" t="s">
        <v>4255</v>
      </c>
    </row>
    <row r="25375" spans="2:9" ht="15" customHeight="1" x14ac:dyDescent="0.25">
      <c r="B25375" s="55" t="s">
        <v>347</v>
      </c>
      <c r="C25375" s="46">
        <v>15</v>
      </c>
      <c r="D25375" s="69" t="s">
        <v>29484</v>
      </c>
      <c r="E25375" s="62"/>
      <c r="F25375" s="62" t="str">
        <f>IF(INDEX(I.Electricity.P3C2,15)="","",INDEX(I.Electricity.P3C2,15))</f>
        <v/>
      </c>
      <c r="G25375" s="62"/>
      <c r="H25375" s="46" t="str">
        <f>IF(AND(I.Developer.P3=TRUE,I.Product.P3Electricity="Yes",I.Developer.P3C2=TRUE,F25375=""),"Incomplete","Complete")</f>
        <v>Complete</v>
      </c>
      <c r="I25375" s="48" t="s">
        <v>4256</v>
      </c>
    </row>
    <row r="25376" spans="2:9" ht="15" customHeight="1" x14ac:dyDescent="0.25">
      <c r="B25376" s="55" t="s">
        <v>347</v>
      </c>
      <c r="C25376" s="46">
        <v>16</v>
      </c>
      <c r="D25376" s="69" t="s">
        <v>29484</v>
      </c>
      <c r="E25376" s="62"/>
      <c r="F25376" s="62" t="str">
        <f>IF(INDEX(I.Electricity.P3C2,16)="","",INDEX(I.Electricity.P3C2,16))</f>
        <v/>
      </c>
      <c r="G25376" s="62"/>
      <c r="H25376" s="46" t="str">
        <f>IF(AND(I.Developer.P3=TRUE,I.Product.P3Electricity="Yes",I.Developer.P3C2=TRUE,F25376=""),"Incomplete","Complete")</f>
        <v>Complete</v>
      </c>
      <c r="I25376" s="48" t="s">
        <v>4257</v>
      </c>
    </row>
    <row r="25377" spans="2:9" ht="15" customHeight="1" x14ac:dyDescent="0.25">
      <c r="B25377" s="55" t="s">
        <v>347</v>
      </c>
      <c r="C25377" s="46">
        <v>17</v>
      </c>
      <c r="D25377" s="69" t="s">
        <v>29484</v>
      </c>
      <c r="E25377" s="62"/>
      <c r="F25377" s="62" t="str">
        <f>IF(INDEX(I.Electricity.P3C2,17)="","",INDEX(I.Electricity.P3C2,17))</f>
        <v/>
      </c>
      <c r="G25377" s="62"/>
      <c r="H25377" s="46" t="str">
        <f>IF(AND(I.Developer.P3=TRUE,I.Product.P3Electricity="Yes",I.Developer.P3C2=TRUE,F25377=""),"Incomplete","Complete")</f>
        <v>Complete</v>
      </c>
      <c r="I25377" s="48" t="s">
        <v>4258</v>
      </c>
    </row>
    <row r="25378" spans="2:9" ht="15" customHeight="1" x14ac:dyDescent="0.25">
      <c r="B25378" s="55" t="s">
        <v>347</v>
      </c>
      <c r="C25378" s="46">
        <v>18</v>
      </c>
      <c r="D25378" s="69" t="s">
        <v>29484</v>
      </c>
      <c r="E25378" s="62"/>
      <c r="F25378" s="62" t="str">
        <f>IF(INDEX(I.Electricity.P3C2,18)="","",INDEX(I.Electricity.P3C2,18))</f>
        <v/>
      </c>
      <c r="G25378" s="62"/>
      <c r="H25378" s="46" t="str">
        <f>IF(AND(I.Developer.P3=TRUE,I.Product.P3Electricity="Yes",I.Developer.P3C2=TRUE,F25378=""),"Incomplete","Complete")</f>
        <v>Complete</v>
      </c>
      <c r="I25378" s="48" t="s">
        <v>4259</v>
      </c>
    </row>
    <row r="25379" spans="2:9" ht="15" customHeight="1" x14ac:dyDescent="0.25">
      <c r="B25379" s="55" t="s">
        <v>347</v>
      </c>
      <c r="C25379" s="46">
        <v>19</v>
      </c>
      <c r="D25379" s="69" t="s">
        <v>29484</v>
      </c>
      <c r="E25379" s="62"/>
      <c r="F25379" s="62" t="str">
        <f>IF(INDEX(I.Electricity.P3C2,19)="","",INDEX(I.Electricity.P3C2,19))</f>
        <v/>
      </c>
      <c r="G25379" s="62"/>
      <c r="H25379" s="46" t="str">
        <f>IF(AND(I.Developer.P3=TRUE,I.Product.P3Electricity="Yes",I.Developer.P3C2=TRUE,F25379=""),"Incomplete","Complete")</f>
        <v>Complete</v>
      </c>
      <c r="I25379" s="48" t="s">
        <v>4260</v>
      </c>
    </row>
    <row r="25380" spans="2:9" ht="15" customHeight="1" x14ac:dyDescent="0.25">
      <c r="B25380" s="55" t="s">
        <v>347</v>
      </c>
      <c r="C25380" s="46">
        <v>20</v>
      </c>
      <c r="D25380" s="69" t="s">
        <v>29484</v>
      </c>
      <c r="E25380" s="62"/>
      <c r="F25380" s="62" t="str">
        <f>IF(INDEX(I.Electricity.P3C2,20)="","",INDEX(I.Electricity.P3C2,20))</f>
        <v/>
      </c>
      <c r="G25380" s="62"/>
      <c r="H25380" s="46" t="str">
        <f>IF(AND(I.Developer.P3=TRUE,I.Product.P3Electricity="Yes",I.Developer.P3C2=TRUE,F25380=""),"Incomplete","Complete")</f>
        <v>Complete</v>
      </c>
      <c r="I25380" s="48" t="s">
        <v>4261</v>
      </c>
    </row>
    <row r="25381" spans="2:9" ht="15" customHeight="1" x14ac:dyDescent="0.25">
      <c r="B25381" s="56" t="s">
        <v>347</v>
      </c>
      <c r="C25381" s="57">
        <v>21</v>
      </c>
      <c r="D25381" s="71" t="s">
        <v>29484</v>
      </c>
      <c r="E25381" s="61"/>
      <c r="F25381" s="61" t="str">
        <f>IF(INDEX(I.Electricity.P3C2,21)="","",INDEX(I.Electricity.P3C2,21))</f>
        <v/>
      </c>
      <c r="G25381" s="61"/>
      <c r="H25381" s="57" t="str">
        <f>IF(AND(I.Developer.P3=TRUE,I.Product.P3Electricity="Yes",I.Developer.P3C2=TRUE,F25381=""),"Incomplete","Complete")</f>
        <v>Complete</v>
      </c>
      <c r="I25381" s="49" t="s">
        <v>4262</v>
      </c>
    </row>
    <row r="25382" spans="2:9" ht="15" customHeight="1" x14ac:dyDescent="0.25">
      <c r="B25382" s="55" t="s">
        <v>348</v>
      </c>
      <c r="C25382" s="46">
        <v>1</v>
      </c>
      <c r="D25382" s="69" t="s">
        <v>29485</v>
      </c>
      <c r="E25382" s="62"/>
      <c r="F25382" s="62" t="str">
        <f>IF(INDEX(I.Electricity.P3C3,1)="","",INDEX(I.Electricity.P3C3,1))</f>
        <v/>
      </c>
      <c r="G25382" s="62"/>
      <c r="H25382" s="46" t="str">
        <f>IF(AND(I.Developer.P3=TRUE,I.Product.P3Electricity="Yes",I.Developer.P3C3=TRUE,I.Facility.StandardPart="Part 2",F25382=""),"Incomplete","Complete")</f>
        <v>Complete</v>
      </c>
      <c r="I25382" s="48" t="s">
        <v>4263</v>
      </c>
    </row>
    <row r="25383" spans="2:9" ht="15" customHeight="1" x14ac:dyDescent="0.25">
      <c r="B25383" s="55" t="s">
        <v>348</v>
      </c>
      <c r="C25383" s="46">
        <v>2</v>
      </c>
      <c r="D25383" s="69" t="s">
        <v>29485</v>
      </c>
      <c r="E25383" s="62"/>
      <c r="F25383" s="62" t="str">
        <f>IF(INDEX(I.Electricity.P3C3,2)="","",INDEX(I.Electricity.P3C3,2))</f>
        <v/>
      </c>
      <c r="G25383" s="62"/>
      <c r="H25383" s="46" t="str">
        <f>IF(AND(I.Developer.P3=TRUE,I.Product.P3Electricity="Yes",I.Developer.P3C3=TRUE,I.Facility.StandardPart="Part 2",F25383=""),"Incomplete","Complete")</f>
        <v>Complete</v>
      </c>
      <c r="I25383" s="48" t="s">
        <v>4264</v>
      </c>
    </row>
    <row r="25384" spans="2:9" ht="15" customHeight="1" x14ac:dyDescent="0.25">
      <c r="B25384" s="55" t="s">
        <v>348</v>
      </c>
      <c r="C25384" s="46">
        <v>3</v>
      </c>
      <c r="D25384" s="69" t="s">
        <v>29485</v>
      </c>
      <c r="E25384" s="62"/>
      <c r="F25384" s="62" t="str">
        <f>IF(INDEX(I.Electricity.P3C3,3)="","",INDEX(I.Electricity.P3C3,3))</f>
        <v/>
      </c>
      <c r="G25384" s="62"/>
      <c r="H25384" s="46" t="str">
        <f>IF(AND(I.Developer.P3=TRUE,I.Product.P3Electricity="Yes",I.Developer.P3C3=TRUE,I.Facility.StandardPart="Part 3",F25384=""),"Incomplete","Complete")</f>
        <v>Complete</v>
      </c>
      <c r="I25384" s="48" t="s">
        <v>4265</v>
      </c>
    </row>
    <row r="25385" spans="2:9" ht="15" customHeight="1" x14ac:dyDescent="0.25">
      <c r="B25385" s="55" t="s">
        <v>348</v>
      </c>
      <c r="C25385" s="46">
        <v>4</v>
      </c>
      <c r="D25385" s="69" t="s">
        <v>29485</v>
      </c>
      <c r="E25385" s="62"/>
      <c r="F25385" s="62" t="str">
        <f>IF(INDEX(I.Electricity.P3C3,4)="","",INDEX(I.Electricity.P3C3,4))</f>
        <v/>
      </c>
      <c r="G25385" s="62"/>
      <c r="H25385" s="46" t="str">
        <f>IF(AND(I.Developer.P3=TRUE,I.Product.P3Electricity="Yes",I.Developer.P3C3=TRUE,I.Facility.StandardPart="Part 3",F25385=""),"Incomplete","Complete")</f>
        <v>Complete</v>
      </c>
      <c r="I25385" s="48" t="s">
        <v>4266</v>
      </c>
    </row>
    <row r="25386" spans="2:9" ht="15" customHeight="1" x14ac:dyDescent="0.25">
      <c r="B25386" s="56" t="s">
        <v>348</v>
      </c>
      <c r="C25386" s="57">
        <v>5</v>
      </c>
      <c r="D25386" s="71" t="s">
        <v>29485</v>
      </c>
      <c r="E25386" s="61"/>
      <c r="F25386" s="61" t="str">
        <f>IF(INDEX(I.Electricity.P3C3,5)="","",INDEX(I.Electricity.P3C3,5))</f>
        <v/>
      </c>
      <c r="G25386" s="61"/>
      <c r="H25386" s="57" t="str">
        <f>IF(AND(I.Developer.P3=TRUE,I.Product.P3Electricity="Yes",I.Developer.P3C3=TRUE,I.Facility.StandardPart="Part 3",F25386=""),"Incomplete","Complete")</f>
        <v>Complete</v>
      </c>
      <c r="I25386" s="49" t="s">
        <v>4267</v>
      </c>
    </row>
    <row r="25387" spans="2:9" ht="15" customHeight="1" x14ac:dyDescent="0.25">
      <c r="B25387" s="55" t="s">
        <v>349</v>
      </c>
      <c r="C25387" s="46">
        <v>1</v>
      </c>
      <c r="D25387" s="69" t="s">
        <v>29486</v>
      </c>
      <c r="E25387" s="62"/>
      <c r="F25387" s="62" t="str">
        <f>IF(INDEX(I.Electricity.P3C4,1)="","",INDEX(I.Electricity.P3C4,1))</f>
        <v/>
      </c>
      <c r="G25387" s="62"/>
      <c r="H25387" s="46" t="str">
        <f>IF(AND(I.Developer.P3=TRUE,I.Product.P3Electricity="Yes",I.Developer.P3C4=TRUE,F25387=""),"Incomplete","Complete")</f>
        <v>Complete</v>
      </c>
      <c r="I25387" s="48" t="s">
        <v>4268</v>
      </c>
    </row>
    <row r="25388" spans="2:9" ht="15" customHeight="1" x14ac:dyDescent="0.25">
      <c r="B25388" s="55" t="s">
        <v>349</v>
      </c>
      <c r="C25388" s="46">
        <v>2</v>
      </c>
      <c r="D25388" s="69" t="s">
        <v>29486</v>
      </c>
      <c r="E25388" s="62"/>
      <c r="F25388" s="62" t="str">
        <f>IF(INDEX(I.Electricity.P3C4,2)="","",INDEX(I.Electricity.P3C4,2))</f>
        <v/>
      </c>
      <c r="G25388" s="62"/>
      <c r="H25388" s="46" t="str">
        <f>IF(AND(I.Developer.P3=TRUE,I.Product.P3Electricity="Yes",I.Developer.P3C4=TRUE,F25388=""),"Incomplete","Complete")</f>
        <v>Complete</v>
      </c>
      <c r="I25388" s="48" t="s">
        <v>4269</v>
      </c>
    </row>
    <row r="25389" spans="2:9" ht="15" customHeight="1" x14ac:dyDescent="0.25">
      <c r="B25389" s="56" t="s">
        <v>349</v>
      </c>
      <c r="C25389" s="57">
        <v>3</v>
      </c>
      <c r="D25389" s="71" t="s">
        <v>29486</v>
      </c>
      <c r="E25389" s="61"/>
      <c r="F25389" s="61" t="str">
        <f>IF(INDEX(I.Electricity.P3C4,3)="","",INDEX(I.Electricity.P3C4,3))</f>
        <v/>
      </c>
      <c r="G25389" s="61"/>
      <c r="H25389" s="57" t="str">
        <f>IF(AND(I.Developer.P3=TRUE,I.Product.P3Electricity="Yes",I.Developer.P3C4=TRUE,F25389=""),"Incomplete","Complete")</f>
        <v>Complete</v>
      </c>
      <c r="I25389" s="49" t="s">
        <v>4270</v>
      </c>
    </row>
    <row r="25390" spans="2:9" ht="15" customHeight="1" x14ac:dyDescent="0.25">
      <c r="B25390" s="55" t="s">
        <v>350</v>
      </c>
      <c r="C25390" s="46">
        <v>1</v>
      </c>
      <c r="D25390" s="69" t="s">
        <v>29487</v>
      </c>
      <c r="E25390" s="62"/>
      <c r="F25390" s="62" t="str">
        <f>IF(INDEX(I.Electricity.P4C1,1)="","",INDEX(I.Electricity.P4C1,1))</f>
        <v/>
      </c>
      <c r="G25390" s="62"/>
      <c r="H25390" s="46" t="str">
        <f>IF(AND(I.Developer.P4=TRUE,I.Product.P4Electricity="Yes",I.Developer.P4C1=TRUE,I.Facility.StandardPart="Part 2",F25390=""),"Incomplete","Complete")</f>
        <v>Complete</v>
      </c>
      <c r="I25390" s="48" t="s">
        <v>4271</v>
      </c>
    </row>
    <row r="25391" spans="2:9" ht="15" customHeight="1" x14ac:dyDescent="0.25">
      <c r="B25391" s="55" t="s">
        <v>350</v>
      </c>
      <c r="C25391" s="46">
        <v>2</v>
      </c>
      <c r="D25391" s="69" t="s">
        <v>29487</v>
      </c>
      <c r="E25391" s="62"/>
      <c r="F25391" s="62" t="str">
        <f>IF(INDEX(I.Electricity.P4C1,2)="","",INDEX(I.Electricity.P4C1,2))</f>
        <v/>
      </c>
      <c r="G25391" s="62"/>
      <c r="H25391" s="46" t="str">
        <f>IF(AND(I.Developer.P4=TRUE,I.Product.P4Electricity="Yes",I.Developer.P4C1=TRUE,I.Developer.P4C1V2=TRUE,I.Facility.StandardPart="Part 2",F25391=""),"Incomplete","Complete")</f>
        <v>Complete</v>
      </c>
      <c r="I25391" s="48" t="s">
        <v>4272</v>
      </c>
    </row>
    <row r="25392" spans="2:9" ht="15" customHeight="1" x14ac:dyDescent="0.25">
      <c r="B25392" s="55" t="s">
        <v>350</v>
      </c>
      <c r="C25392" s="46">
        <v>3</v>
      </c>
      <c r="D25392" s="69" t="s">
        <v>29487</v>
      </c>
      <c r="E25392" s="62"/>
      <c r="F25392" s="62" t="str">
        <f>IF(INDEX(I.Electricity.P4C1,3)="","",INDEX(I.Electricity.P4C1,3))</f>
        <v/>
      </c>
      <c r="G25392" s="62"/>
      <c r="H25392" s="46" t="str">
        <f>IF(AND(I.Developer.P4=TRUE,I.Product.P4Electricity="Yes",I.Developer.P4C1=TRUE,I.Developer.P4C1V3=TRUE,I.Facility.StandardPart="Part 2",F25392=""),"Incomplete","Complete")</f>
        <v>Complete</v>
      </c>
      <c r="I25392" s="48" t="s">
        <v>4273</v>
      </c>
    </row>
    <row r="25393" spans="2:9" ht="15" customHeight="1" x14ac:dyDescent="0.25">
      <c r="B25393" s="55" t="s">
        <v>350</v>
      </c>
      <c r="C25393" s="46">
        <v>4</v>
      </c>
      <c r="D25393" s="69" t="s">
        <v>29487</v>
      </c>
      <c r="E25393" s="62"/>
      <c r="F25393" s="62" t="str">
        <f>IF(INDEX(I.Electricity.P4C1,4)="","",INDEX(I.Electricity.P4C1,4))</f>
        <v/>
      </c>
      <c r="G25393" s="62"/>
      <c r="H25393" s="46" t="str">
        <f>IF(AND(I.Developer.P4=TRUE,I.Product.P4Electricity="Yes",I.Developer.P4C1=TRUE,I.Developer.P4C1V4=TRUE,I.Facility.StandardPart="Part 2",F25393=""),"Incomplete","Complete")</f>
        <v>Complete</v>
      </c>
      <c r="I25393" s="48" t="s">
        <v>4274</v>
      </c>
    </row>
    <row r="25394" spans="2:9" ht="15" customHeight="1" x14ac:dyDescent="0.25">
      <c r="B25394" s="55" t="s">
        <v>350</v>
      </c>
      <c r="C25394" s="46">
        <v>5</v>
      </c>
      <c r="D25394" s="69" t="s">
        <v>29487</v>
      </c>
      <c r="E25394" s="62"/>
      <c r="F25394" s="62" t="str">
        <f>IF(INDEX(I.Electricity.P4C1,5)="","",INDEX(I.Electricity.P4C1,5))</f>
        <v/>
      </c>
      <c r="G25394" s="62"/>
      <c r="H25394" s="46" t="str">
        <f>IF(AND(I.Developer.P4=TRUE,I.Product.P4Electricity="Yes",I.Developer.P4C1=TRUE,I.Developer.P4C1V5=TRUE,I.Facility.StandardPart="Part 2",F25394=""),"Incomplete","Complete")</f>
        <v>Complete</v>
      </c>
      <c r="I25394" s="48" t="s">
        <v>4275</v>
      </c>
    </row>
    <row r="25395" spans="2:9" ht="15" customHeight="1" x14ac:dyDescent="0.25">
      <c r="B25395" s="55" t="s">
        <v>350</v>
      </c>
      <c r="C25395" s="46">
        <v>6</v>
      </c>
      <c r="D25395" s="69" t="s">
        <v>29487</v>
      </c>
      <c r="E25395" s="62"/>
      <c r="F25395" s="62" t="str">
        <f>IF(INDEX(I.Electricity.P4C1,6)="","",INDEX(I.Electricity.P4C1,6))</f>
        <v/>
      </c>
      <c r="G25395" s="62"/>
      <c r="H25395" s="46" t="str">
        <f>IF(AND(I.Developer.P4=TRUE,I.Product.P4Electricity="Yes",I.Developer.P4C1=TRUE,I.Developer.P4C1V6=TRUE,I.Facility.StandardPart="Part 2",F25395=""),"Incomplete","Complete")</f>
        <v>Complete</v>
      </c>
      <c r="I25395" s="48" t="s">
        <v>4276</v>
      </c>
    </row>
    <row r="25396" spans="2:9" ht="15" customHeight="1" x14ac:dyDescent="0.25">
      <c r="B25396" s="55" t="s">
        <v>350</v>
      </c>
      <c r="C25396" s="46">
        <v>7</v>
      </c>
      <c r="D25396" s="69" t="s">
        <v>29487</v>
      </c>
      <c r="E25396" s="62"/>
      <c r="F25396" s="62" t="str">
        <f>IF(INDEX(I.Electricity.P4C1,7)="","",INDEX(I.Electricity.P4C1,7))</f>
        <v/>
      </c>
      <c r="G25396" s="62"/>
      <c r="H25396" s="46" t="str">
        <f>IF(AND(I.Developer.P4=TRUE,I.Product.P4Electricity="Yes",I.Developer.P4C1=TRUE,I.Facility.StandardPart="Part 3",F25396=""),"Incomplete","Complete")</f>
        <v>Complete</v>
      </c>
      <c r="I25396" s="48" t="s">
        <v>4277</v>
      </c>
    </row>
    <row r="25397" spans="2:9" ht="15" customHeight="1" x14ac:dyDescent="0.25">
      <c r="B25397" s="55" t="s">
        <v>350</v>
      </c>
      <c r="C25397" s="46">
        <v>8</v>
      </c>
      <c r="D25397" s="69" t="s">
        <v>29487</v>
      </c>
      <c r="E25397" s="62"/>
      <c r="F25397" s="62" t="str">
        <f>IF(INDEX(I.Electricity.P4C1,8)="","",INDEX(I.Electricity.P4C1,8))</f>
        <v/>
      </c>
      <c r="G25397" s="62"/>
      <c r="H25397" s="46" t="str">
        <f>IF(AND(I.Developer.P4=TRUE,I.Product.P4Electricity="Yes",I.Developer.P4C1=TRUE,I.Facility.StandardPart="Part 3",F25397=""),"Incomplete","Complete")</f>
        <v>Complete</v>
      </c>
      <c r="I25397" s="48" t="s">
        <v>4278</v>
      </c>
    </row>
    <row r="25398" spans="2:9" ht="15" customHeight="1" x14ac:dyDescent="0.25">
      <c r="B25398" s="56" t="s">
        <v>350</v>
      </c>
      <c r="C25398" s="57">
        <v>9</v>
      </c>
      <c r="D25398" s="71" t="s">
        <v>29487</v>
      </c>
      <c r="E25398" s="61"/>
      <c r="F25398" s="61" t="str">
        <f>IF(INDEX(I.Electricity.P4C1,9)="","",INDEX(I.Electricity.P4C1,9))</f>
        <v/>
      </c>
      <c r="G25398" s="61"/>
      <c r="H25398" s="57" t="str">
        <f>IF(AND(I.Developer.P4=TRUE,I.Product.P4Electricity="Yes",I.Developer.P4C1=TRUE,I.Facility.StandardPart="Part 3",F25398=""),"Incomplete","Complete")</f>
        <v>Complete</v>
      </c>
      <c r="I25398" s="49" t="s">
        <v>4279</v>
      </c>
    </row>
    <row r="25399" spans="2:9" ht="15" customHeight="1" x14ac:dyDescent="0.25">
      <c r="B25399" s="55" t="s">
        <v>351</v>
      </c>
      <c r="C25399" s="46">
        <v>1</v>
      </c>
      <c r="D25399" s="69" t="s">
        <v>29488</v>
      </c>
      <c r="E25399" s="62"/>
      <c r="F25399" s="62" t="str">
        <f>IF(INDEX(I.Electricity.P4C2,1)="","",INDEX(I.Electricity.P4C2,1))</f>
        <v/>
      </c>
      <c r="G25399" s="62"/>
      <c r="H25399" s="46" t="str">
        <f>IF(AND(I.Developer.P4=TRUE,I.Product.P4Electricity="Yes",I.Developer.P4C2=TRUE,F25399=""),"Incomplete","Complete")</f>
        <v>Complete</v>
      </c>
      <c r="I25399" s="48" t="s">
        <v>4280</v>
      </c>
    </row>
    <row r="25400" spans="2:9" ht="15" customHeight="1" x14ac:dyDescent="0.25">
      <c r="B25400" s="55" t="s">
        <v>351</v>
      </c>
      <c r="C25400" s="46">
        <v>2</v>
      </c>
      <c r="D25400" s="69" t="s">
        <v>29488</v>
      </c>
      <c r="E25400" s="62"/>
      <c r="F25400" s="62" t="str">
        <f>IF(INDEX(I.Electricity.P4C2,2)="","",INDEX(I.Electricity.P4C2,2))</f>
        <v/>
      </c>
      <c r="G25400" s="62"/>
      <c r="H25400" s="46" t="str">
        <f>IF(AND(I.Developer.P4=TRUE,I.Product.P4Electricity="Yes",I.Developer.P4C2=TRUE,F25400=""),"Incomplete","Complete")</f>
        <v>Complete</v>
      </c>
      <c r="I25400" s="48" t="s">
        <v>4281</v>
      </c>
    </row>
    <row r="25401" spans="2:9" ht="15" customHeight="1" x14ac:dyDescent="0.25">
      <c r="B25401" s="55" t="s">
        <v>351</v>
      </c>
      <c r="C25401" s="46">
        <v>3</v>
      </c>
      <c r="D25401" s="69" t="s">
        <v>29488</v>
      </c>
      <c r="E25401" s="62"/>
      <c r="F25401" s="62" t="str">
        <f>IF(INDEX(I.Electricity.P4C2,3)="","",INDEX(I.Electricity.P4C2,3))</f>
        <v/>
      </c>
      <c r="G25401" s="62"/>
      <c r="H25401" s="46" t="str">
        <f>IF(AND(I.Developer.P4=TRUE,I.Product.P4Electricity="Yes",I.Developer.P4C2=TRUE,F25401=""),"Incomplete","Complete")</f>
        <v>Complete</v>
      </c>
      <c r="I25401" s="48" t="s">
        <v>4282</v>
      </c>
    </row>
    <row r="25402" spans="2:9" ht="15" customHeight="1" x14ac:dyDescent="0.25">
      <c r="B25402" s="55" t="s">
        <v>351</v>
      </c>
      <c r="C25402" s="46">
        <v>4</v>
      </c>
      <c r="D25402" s="69" t="s">
        <v>29488</v>
      </c>
      <c r="E25402" s="62"/>
      <c r="F25402" s="62" t="str">
        <f>IF(INDEX(I.Electricity.P4C2,4)="","",INDEX(I.Electricity.P4C2,4))</f>
        <v/>
      </c>
      <c r="G25402" s="62"/>
      <c r="H25402" s="46" t="str">
        <f>IF(AND(I.Developer.P4=TRUE,I.Product.P4Electricity="Yes",I.Developer.P4C2=TRUE,F25402=""),"Incomplete","Complete")</f>
        <v>Complete</v>
      </c>
      <c r="I25402" s="48" t="s">
        <v>4283</v>
      </c>
    </row>
    <row r="25403" spans="2:9" ht="15" customHeight="1" x14ac:dyDescent="0.25">
      <c r="B25403" s="55" t="s">
        <v>351</v>
      </c>
      <c r="C25403" s="46">
        <v>5</v>
      </c>
      <c r="D25403" s="69" t="s">
        <v>29488</v>
      </c>
      <c r="E25403" s="62"/>
      <c r="F25403" s="62" t="str">
        <f>IF(INDEX(I.Electricity.P4C2,5)="","",INDEX(I.Electricity.P4C2,5))</f>
        <v/>
      </c>
      <c r="G25403" s="62"/>
      <c r="H25403" s="46" t="str">
        <f>IF(AND(I.Developer.P4=TRUE,I.Product.P4Electricity="Yes",I.Developer.P4C2=TRUE,F25403=""),"Incomplete","Complete")</f>
        <v>Complete</v>
      </c>
      <c r="I25403" s="48" t="s">
        <v>4284</v>
      </c>
    </row>
    <row r="25404" spans="2:9" ht="15" customHeight="1" x14ac:dyDescent="0.25">
      <c r="B25404" s="55" t="s">
        <v>351</v>
      </c>
      <c r="C25404" s="46">
        <v>6</v>
      </c>
      <c r="D25404" s="69" t="s">
        <v>29488</v>
      </c>
      <c r="E25404" s="62"/>
      <c r="F25404" s="62" t="str">
        <f>IF(INDEX(I.Electricity.P4C2,6)="","",INDEX(I.Electricity.P4C2,6))</f>
        <v/>
      </c>
      <c r="G25404" s="62"/>
      <c r="H25404" s="46" t="str">
        <f>IF(AND(I.Developer.P4=TRUE,I.Product.P4Electricity="Yes",I.Developer.P4C2=TRUE,F25404=""),"Incomplete","Complete")</f>
        <v>Complete</v>
      </c>
      <c r="I25404" s="48" t="s">
        <v>4285</v>
      </c>
    </row>
    <row r="25405" spans="2:9" ht="15" customHeight="1" x14ac:dyDescent="0.25">
      <c r="B25405" s="55" t="s">
        <v>351</v>
      </c>
      <c r="C25405" s="46">
        <v>7</v>
      </c>
      <c r="D25405" s="69" t="s">
        <v>29488</v>
      </c>
      <c r="E25405" s="62"/>
      <c r="F25405" s="62" t="str">
        <f>IF(INDEX(I.Electricity.P4C2,7)="","",INDEX(I.Electricity.P4C2,7))</f>
        <v/>
      </c>
      <c r="G25405" s="62"/>
      <c r="H25405" s="46" t="str">
        <f>IF(AND(I.Developer.P4=TRUE,I.Product.P4Electricity="Yes",I.Developer.P4C2=TRUE,F25405=""),"Incomplete","Complete")</f>
        <v>Complete</v>
      </c>
      <c r="I25405" s="48" t="s">
        <v>4286</v>
      </c>
    </row>
    <row r="25406" spans="2:9" ht="15" customHeight="1" x14ac:dyDescent="0.25">
      <c r="B25406" s="55" t="s">
        <v>351</v>
      </c>
      <c r="C25406" s="46">
        <v>8</v>
      </c>
      <c r="D25406" s="69" t="s">
        <v>29488</v>
      </c>
      <c r="E25406" s="62"/>
      <c r="F25406" s="62" t="str">
        <f>IF(INDEX(I.Electricity.P4C2,8)="","",INDEX(I.Electricity.P4C2,8))</f>
        <v/>
      </c>
      <c r="G25406" s="62"/>
      <c r="H25406" s="46" t="str">
        <f>IF(AND(I.Developer.P4=TRUE,I.Product.P4Electricity="Yes",I.Developer.P4C2=TRUE,F25406=""),"Incomplete","Complete")</f>
        <v>Complete</v>
      </c>
      <c r="I25406" s="48" t="s">
        <v>4287</v>
      </c>
    </row>
    <row r="25407" spans="2:9" ht="15" customHeight="1" x14ac:dyDescent="0.25">
      <c r="B25407" s="55" t="s">
        <v>351</v>
      </c>
      <c r="C25407" s="46">
        <v>9</v>
      </c>
      <c r="D25407" s="69" t="s">
        <v>29488</v>
      </c>
      <c r="E25407" s="62"/>
      <c r="F25407" s="62" t="str">
        <f>IF(INDEX(I.Electricity.P4C2,9)="","",INDEX(I.Electricity.P4C2,9))</f>
        <v/>
      </c>
      <c r="G25407" s="62"/>
      <c r="H25407" s="46" t="str">
        <f>IF(AND(I.Developer.P4=TRUE,I.Product.P4Electricity="Yes",I.Developer.P4C2=TRUE,F25407=""),"Incomplete","Complete")</f>
        <v>Complete</v>
      </c>
      <c r="I25407" s="48" t="s">
        <v>4288</v>
      </c>
    </row>
    <row r="25408" spans="2:9" ht="15" customHeight="1" x14ac:dyDescent="0.25">
      <c r="B25408" s="55" t="s">
        <v>351</v>
      </c>
      <c r="C25408" s="46">
        <v>10</v>
      </c>
      <c r="D25408" s="69" t="s">
        <v>29488</v>
      </c>
      <c r="E25408" s="62"/>
      <c r="F25408" s="62" t="str">
        <f>IF(INDEX(I.Electricity.P4C2,10)="","",INDEX(I.Electricity.P4C2,10))</f>
        <v/>
      </c>
      <c r="G25408" s="62"/>
      <c r="H25408" s="46" t="str">
        <f>IF(AND(I.Developer.P4=TRUE,I.Product.P4Electricity="Yes",I.Developer.P4C2=TRUE,F25408=""),"Incomplete","Complete")</f>
        <v>Complete</v>
      </c>
      <c r="I25408" s="48" t="s">
        <v>4289</v>
      </c>
    </row>
    <row r="25409" spans="2:9" ht="15" customHeight="1" x14ac:dyDescent="0.25">
      <c r="B25409" s="55" t="s">
        <v>351</v>
      </c>
      <c r="C25409" s="46">
        <v>11</v>
      </c>
      <c r="D25409" s="69" t="s">
        <v>29488</v>
      </c>
      <c r="E25409" s="62"/>
      <c r="F25409" s="62" t="str">
        <f>IF(INDEX(I.Electricity.P4C2,11)="","",INDEX(I.Electricity.P4C2,11))</f>
        <v/>
      </c>
      <c r="G25409" s="62"/>
      <c r="H25409" s="46" t="str">
        <f>IF(AND(I.Developer.P4=TRUE,I.Product.P4Electricity="Yes",I.Developer.P4C2=TRUE,F25409=""),"Incomplete","Complete")</f>
        <v>Complete</v>
      </c>
      <c r="I25409" s="48" t="s">
        <v>4290</v>
      </c>
    </row>
    <row r="25410" spans="2:9" ht="15" customHeight="1" x14ac:dyDescent="0.25">
      <c r="B25410" s="55" t="s">
        <v>351</v>
      </c>
      <c r="C25410" s="46">
        <v>12</v>
      </c>
      <c r="D25410" s="69" t="s">
        <v>29488</v>
      </c>
      <c r="E25410" s="62"/>
      <c r="F25410" s="62" t="str">
        <f>IF(INDEX(I.Electricity.P4C2,12)="","",INDEX(I.Electricity.P4C2,12))</f>
        <v/>
      </c>
      <c r="G25410" s="62"/>
      <c r="H25410" s="46" t="str">
        <f>IF(AND(I.Developer.P4=TRUE,I.Product.P4Electricity="Yes",I.Developer.P4C2=TRUE,F25410=""),"Incomplete","Complete")</f>
        <v>Complete</v>
      </c>
      <c r="I25410" s="48" t="s">
        <v>4291</v>
      </c>
    </row>
    <row r="25411" spans="2:9" ht="15" customHeight="1" x14ac:dyDescent="0.25">
      <c r="B25411" s="55" t="s">
        <v>351</v>
      </c>
      <c r="C25411" s="46">
        <v>13</v>
      </c>
      <c r="D25411" s="69" t="s">
        <v>29488</v>
      </c>
      <c r="E25411" s="62"/>
      <c r="F25411" s="62" t="str">
        <f>IF(INDEX(I.Electricity.P4C2,13)="","",INDEX(I.Electricity.P4C2,13))</f>
        <v/>
      </c>
      <c r="G25411" s="62"/>
      <c r="H25411" s="46" t="str">
        <f>IF(AND(I.Developer.P4=TRUE,I.Product.P4Electricity="Yes",I.Developer.P4C2=TRUE,F25411=""),"Incomplete","Complete")</f>
        <v>Complete</v>
      </c>
      <c r="I25411" s="48" t="s">
        <v>4292</v>
      </c>
    </row>
    <row r="25412" spans="2:9" ht="15" customHeight="1" x14ac:dyDescent="0.25">
      <c r="B25412" s="55" t="s">
        <v>351</v>
      </c>
      <c r="C25412" s="46">
        <v>14</v>
      </c>
      <c r="D25412" s="69" t="s">
        <v>29488</v>
      </c>
      <c r="E25412" s="62"/>
      <c r="F25412" s="62" t="str">
        <f>IF(INDEX(I.Electricity.P4C2,14)="","",INDEX(I.Electricity.P4C2,14))</f>
        <v/>
      </c>
      <c r="G25412" s="62"/>
      <c r="H25412" s="46" t="str">
        <f>IF(AND(I.Developer.P4=TRUE,I.Product.P4Electricity="Yes",I.Developer.P4C2=TRUE,F25412=""),"Incomplete","Complete")</f>
        <v>Complete</v>
      </c>
      <c r="I25412" s="48" t="s">
        <v>4293</v>
      </c>
    </row>
    <row r="25413" spans="2:9" ht="15" customHeight="1" x14ac:dyDescent="0.25">
      <c r="B25413" s="55" t="s">
        <v>351</v>
      </c>
      <c r="C25413" s="46">
        <v>15</v>
      </c>
      <c r="D25413" s="69" t="s">
        <v>29488</v>
      </c>
      <c r="E25413" s="62"/>
      <c r="F25413" s="62" t="str">
        <f>IF(INDEX(I.Electricity.P4C2,15)="","",INDEX(I.Electricity.P4C2,15))</f>
        <v/>
      </c>
      <c r="G25413" s="62"/>
      <c r="H25413" s="46" t="str">
        <f>IF(AND(I.Developer.P4=TRUE,I.Product.P4Electricity="Yes",I.Developer.P4C2=TRUE,F25413=""),"Incomplete","Complete")</f>
        <v>Complete</v>
      </c>
      <c r="I25413" s="48" t="s">
        <v>4294</v>
      </c>
    </row>
    <row r="25414" spans="2:9" ht="15" customHeight="1" x14ac:dyDescent="0.25">
      <c r="B25414" s="55" t="s">
        <v>351</v>
      </c>
      <c r="C25414" s="46">
        <v>16</v>
      </c>
      <c r="D25414" s="69" t="s">
        <v>29488</v>
      </c>
      <c r="E25414" s="62"/>
      <c r="F25414" s="62" t="str">
        <f>IF(INDEX(I.Electricity.P4C2,16)="","",INDEX(I.Electricity.P4C2,16))</f>
        <v/>
      </c>
      <c r="G25414" s="62"/>
      <c r="H25414" s="46" t="str">
        <f>IF(AND(I.Developer.P4=TRUE,I.Product.P4Electricity="Yes",I.Developer.P4C2=TRUE,F25414=""),"Incomplete","Complete")</f>
        <v>Complete</v>
      </c>
      <c r="I25414" s="48" t="s">
        <v>4295</v>
      </c>
    </row>
    <row r="25415" spans="2:9" ht="15" customHeight="1" x14ac:dyDescent="0.25">
      <c r="B25415" s="55" t="s">
        <v>351</v>
      </c>
      <c r="C25415" s="46">
        <v>17</v>
      </c>
      <c r="D25415" s="69" t="s">
        <v>29488</v>
      </c>
      <c r="E25415" s="62"/>
      <c r="F25415" s="62" t="str">
        <f>IF(INDEX(I.Electricity.P4C2,17)="","",INDEX(I.Electricity.P4C2,17))</f>
        <v/>
      </c>
      <c r="G25415" s="62"/>
      <c r="H25415" s="46" t="str">
        <f>IF(AND(I.Developer.P4=TRUE,I.Product.P4Electricity="Yes",I.Developer.P4C2=TRUE,F25415=""),"Incomplete","Complete")</f>
        <v>Complete</v>
      </c>
      <c r="I25415" s="48" t="s">
        <v>4296</v>
      </c>
    </row>
    <row r="25416" spans="2:9" ht="15" customHeight="1" x14ac:dyDescent="0.25">
      <c r="B25416" s="55" t="s">
        <v>351</v>
      </c>
      <c r="C25416" s="46">
        <v>18</v>
      </c>
      <c r="D25416" s="69" t="s">
        <v>29488</v>
      </c>
      <c r="E25416" s="62"/>
      <c r="F25416" s="62" t="str">
        <f>IF(INDEX(I.Electricity.P4C2,18)="","",INDEX(I.Electricity.P4C2,18))</f>
        <v/>
      </c>
      <c r="G25416" s="62"/>
      <c r="H25416" s="46" t="str">
        <f>IF(AND(I.Developer.P4=TRUE,I.Product.P4Electricity="Yes",I.Developer.P4C2=TRUE,F25416=""),"Incomplete","Complete")</f>
        <v>Complete</v>
      </c>
      <c r="I25416" s="48" t="s">
        <v>4297</v>
      </c>
    </row>
    <row r="25417" spans="2:9" ht="15" customHeight="1" x14ac:dyDescent="0.25">
      <c r="B25417" s="55" t="s">
        <v>351</v>
      </c>
      <c r="C25417" s="46">
        <v>19</v>
      </c>
      <c r="D25417" s="69" t="s">
        <v>29488</v>
      </c>
      <c r="E25417" s="62"/>
      <c r="F25417" s="62" t="str">
        <f>IF(INDEX(I.Electricity.P4C2,19)="","",INDEX(I.Electricity.P4C2,19))</f>
        <v/>
      </c>
      <c r="G25417" s="62"/>
      <c r="H25417" s="46" t="str">
        <f>IF(AND(I.Developer.P4=TRUE,I.Product.P4Electricity="Yes",I.Developer.P4C2=TRUE,F25417=""),"Incomplete","Complete")</f>
        <v>Complete</v>
      </c>
      <c r="I25417" s="48" t="s">
        <v>4298</v>
      </c>
    </row>
    <row r="25418" spans="2:9" ht="15" customHeight="1" x14ac:dyDescent="0.25">
      <c r="B25418" s="55" t="s">
        <v>351</v>
      </c>
      <c r="C25418" s="46">
        <v>20</v>
      </c>
      <c r="D25418" s="69" t="s">
        <v>29488</v>
      </c>
      <c r="E25418" s="62"/>
      <c r="F25418" s="62" t="str">
        <f>IF(INDEX(I.Electricity.P4C2,20)="","",INDEX(I.Electricity.P4C2,20))</f>
        <v/>
      </c>
      <c r="G25418" s="62"/>
      <c r="H25418" s="46" t="str">
        <f>IF(AND(I.Developer.P4=TRUE,I.Product.P4Electricity="Yes",I.Developer.P4C2=TRUE,F25418=""),"Incomplete","Complete")</f>
        <v>Complete</v>
      </c>
      <c r="I25418" s="48" t="s">
        <v>4299</v>
      </c>
    </row>
    <row r="25419" spans="2:9" ht="15" customHeight="1" x14ac:dyDescent="0.25">
      <c r="B25419" s="56" t="s">
        <v>351</v>
      </c>
      <c r="C25419" s="57">
        <v>21</v>
      </c>
      <c r="D25419" s="71" t="s">
        <v>29488</v>
      </c>
      <c r="E25419" s="61"/>
      <c r="F25419" s="61" t="str">
        <f>IF(INDEX(I.Electricity.P4C2,21)="","",INDEX(I.Electricity.P4C2,21))</f>
        <v/>
      </c>
      <c r="G25419" s="61"/>
      <c r="H25419" s="57" t="str">
        <f>IF(AND(I.Developer.P4=TRUE,I.Product.P4Electricity="Yes",I.Developer.P4C2=TRUE,F25419=""),"Incomplete","Complete")</f>
        <v>Complete</v>
      </c>
      <c r="I25419" s="49" t="s">
        <v>4300</v>
      </c>
    </row>
    <row r="25420" spans="2:9" ht="15" customHeight="1" x14ac:dyDescent="0.25">
      <c r="B25420" s="55" t="s">
        <v>352</v>
      </c>
      <c r="C25420" s="46">
        <v>1</v>
      </c>
      <c r="D25420" s="69" t="s">
        <v>29489</v>
      </c>
      <c r="E25420" s="62"/>
      <c r="F25420" s="62" t="str">
        <f>IF(INDEX(I.Electricity.P4C3,1)="","",INDEX(I.Electricity.P4C3,1))</f>
        <v/>
      </c>
      <c r="G25420" s="62"/>
      <c r="H25420" s="46" t="str">
        <f>IF(AND(I.Developer.P4=TRUE,I.Product.P4Electricity="Yes",I.Developer.P4C3=TRUE,I.Facility.StandardPart="Part 2",F25420=""),"Incomplete","Complete")</f>
        <v>Complete</v>
      </c>
      <c r="I25420" s="48" t="s">
        <v>4301</v>
      </c>
    </row>
    <row r="25421" spans="2:9" ht="15" customHeight="1" x14ac:dyDescent="0.25">
      <c r="B25421" s="55" t="s">
        <v>352</v>
      </c>
      <c r="C25421" s="46">
        <v>2</v>
      </c>
      <c r="D25421" s="69" t="s">
        <v>29489</v>
      </c>
      <c r="E25421" s="62"/>
      <c r="F25421" s="62" t="str">
        <f>IF(INDEX(I.Electricity.P4C3,2)="","",INDEX(I.Electricity.P4C3,2))</f>
        <v/>
      </c>
      <c r="G25421" s="62"/>
      <c r="H25421" s="46" t="str">
        <f>IF(AND(I.Developer.P4=TRUE,I.Product.P4Electricity="Yes",I.Developer.P4C3=TRUE,I.Facility.StandardPart="Part 2",F25421=""),"Incomplete","Complete")</f>
        <v>Complete</v>
      </c>
      <c r="I25421" s="48" t="s">
        <v>4302</v>
      </c>
    </row>
    <row r="25422" spans="2:9" ht="15" customHeight="1" x14ac:dyDescent="0.25">
      <c r="B25422" s="55" t="s">
        <v>352</v>
      </c>
      <c r="C25422" s="46">
        <v>3</v>
      </c>
      <c r="D25422" s="69" t="s">
        <v>29489</v>
      </c>
      <c r="E25422" s="62"/>
      <c r="F25422" s="62" t="str">
        <f>IF(INDEX(I.Electricity.P4C3,3)="","",INDEX(I.Electricity.P4C3,3))</f>
        <v/>
      </c>
      <c r="G25422" s="62"/>
      <c r="H25422" s="46" t="str">
        <f>IF(AND(I.Developer.P4=TRUE,I.Product.P4Electricity="Yes",I.Developer.P4C3=TRUE,I.Facility.StandardPart="Part 3",F25422=""),"Incomplete","Complete")</f>
        <v>Complete</v>
      </c>
      <c r="I25422" s="48" t="s">
        <v>4303</v>
      </c>
    </row>
    <row r="25423" spans="2:9" ht="15" customHeight="1" x14ac:dyDescent="0.25">
      <c r="B25423" s="55" t="s">
        <v>352</v>
      </c>
      <c r="C25423" s="46">
        <v>4</v>
      </c>
      <c r="D25423" s="69" t="s">
        <v>29489</v>
      </c>
      <c r="E25423" s="62"/>
      <c r="F25423" s="62" t="str">
        <f>IF(INDEX(I.Electricity.P4C3,4)="","",INDEX(I.Electricity.P4C3,4))</f>
        <v/>
      </c>
      <c r="G25423" s="62"/>
      <c r="H25423" s="46" t="str">
        <f>IF(AND(I.Developer.P4=TRUE,I.Product.P4Electricity="Yes",I.Developer.P4C3=TRUE,I.Facility.StandardPart="Part 3",F25423=""),"Incomplete","Complete")</f>
        <v>Complete</v>
      </c>
      <c r="I25423" s="48" t="s">
        <v>4304</v>
      </c>
    </row>
    <row r="25424" spans="2:9" ht="15" customHeight="1" x14ac:dyDescent="0.25">
      <c r="B25424" s="56" t="s">
        <v>352</v>
      </c>
      <c r="C25424" s="57">
        <v>5</v>
      </c>
      <c r="D25424" s="71" t="s">
        <v>29489</v>
      </c>
      <c r="E25424" s="61"/>
      <c r="F25424" s="61" t="str">
        <f>IF(INDEX(I.Electricity.P4C3,5)="","",INDEX(I.Electricity.P4C3,5))</f>
        <v/>
      </c>
      <c r="G25424" s="61"/>
      <c r="H25424" s="57" t="str">
        <f>IF(AND(I.Developer.P4=TRUE,I.Product.P4Electricity="Yes",I.Developer.P4C3=TRUE,I.Facility.StandardPart="Part 3",F25424=""),"Incomplete","Complete")</f>
        <v>Complete</v>
      </c>
      <c r="I25424" s="49" t="s">
        <v>4305</v>
      </c>
    </row>
    <row r="25425" spans="2:9" ht="15" customHeight="1" x14ac:dyDescent="0.25">
      <c r="B25425" s="55" t="s">
        <v>353</v>
      </c>
      <c r="C25425" s="46">
        <v>1</v>
      </c>
      <c r="D25425" s="69" t="s">
        <v>29490</v>
      </c>
      <c r="E25425" s="62"/>
      <c r="F25425" s="62" t="str">
        <f>IF(INDEX(I.Electricity.P4C4,1)="","",INDEX(I.Electricity.P4C4,1))</f>
        <v/>
      </c>
      <c r="G25425" s="62"/>
      <c r="H25425" s="46" t="str">
        <f>IF(AND(I.Developer.P4=TRUE,I.Product.P4Electricity="Yes",I.Developer.P4C4=TRUE,F25425=""),"Incomplete","Complete")</f>
        <v>Complete</v>
      </c>
      <c r="I25425" s="48" t="s">
        <v>4306</v>
      </c>
    </row>
    <row r="25426" spans="2:9" ht="15" customHeight="1" x14ac:dyDescent="0.25">
      <c r="B25426" s="55" t="s">
        <v>353</v>
      </c>
      <c r="C25426" s="46">
        <v>2</v>
      </c>
      <c r="D25426" s="69" t="s">
        <v>29490</v>
      </c>
      <c r="E25426" s="62"/>
      <c r="F25426" s="62" t="str">
        <f>IF(INDEX(I.Electricity.P4C4,2)="","",INDEX(I.Electricity.P4C4,2))</f>
        <v/>
      </c>
      <c r="G25426" s="62"/>
      <c r="H25426" s="46" t="str">
        <f>IF(AND(I.Developer.P4=TRUE,I.Product.P4Electricity="Yes",I.Developer.P4C4=TRUE,F25426=""),"Incomplete","Complete")</f>
        <v>Complete</v>
      </c>
      <c r="I25426" s="48" t="s">
        <v>4307</v>
      </c>
    </row>
    <row r="25427" spans="2:9" ht="15" customHeight="1" x14ac:dyDescent="0.25">
      <c r="B25427" s="56" t="s">
        <v>353</v>
      </c>
      <c r="C25427" s="57">
        <v>3</v>
      </c>
      <c r="D25427" s="71" t="s">
        <v>29490</v>
      </c>
      <c r="E25427" s="61"/>
      <c r="F25427" s="61" t="str">
        <f>IF(INDEX(I.Electricity.P4C4,3)="","",INDEX(I.Electricity.P4C4,3))</f>
        <v/>
      </c>
      <c r="G25427" s="61"/>
      <c r="H25427" s="57" t="str">
        <f>IF(AND(I.Developer.P4=TRUE,I.Product.P4Electricity="Yes",I.Developer.P4C4=TRUE,F25427=""),"Incomplete","Complete")</f>
        <v>Complete</v>
      </c>
      <c r="I25427" s="49" t="s">
        <v>4308</v>
      </c>
    </row>
    <row r="25428" spans="2:9" ht="15" customHeight="1" x14ac:dyDescent="0.25">
      <c r="B25428" s="56" t="s">
        <v>354</v>
      </c>
      <c r="C25428" s="57">
        <v>1</v>
      </c>
      <c r="D25428" s="71" t="s">
        <v>29491</v>
      </c>
      <c r="E25428" s="60"/>
      <c r="F25428" s="60" t="str">
        <f>IF(INDEX(I.Gas.P1Y1Count,1)="","",INDEX(I.Gas.P1Y1Count,1))</f>
        <v/>
      </c>
      <c r="G25428" s="60"/>
      <c r="H25428" s="57" t="str">
        <f>IF(I.Developer.P1=FALSE,"Complete",IF(I.Product.P1GasToPowerStatus&lt;&gt;"Yes","Complete",IF(I.Gas.P1Y1Count="","Incomplete","Complete")))</f>
        <v>Complete</v>
      </c>
      <c r="I25428" s="49" t="s">
        <v>607</v>
      </c>
    </row>
    <row r="25429" spans="2:9" ht="15" customHeight="1" x14ac:dyDescent="0.25">
      <c r="B25429" s="55" t="s">
        <v>355</v>
      </c>
      <c r="C25429" s="46">
        <v>1</v>
      </c>
      <c r="D25429" s="69" t="s">
        <v>29492</v>
      </c>
      <c r="E25429" s="62"/>
      <c r="F25429" s="62" t="str">
        <f>IF(INDEX(I.Gas.P1Y1AssociatedGasEnergy,1)="","",INDEX(I.Gas.P1Y1AssociatedGasEnergy,1))</f>
        <v/>
      </c>
      <c r="G25429" s="62"/>
      <c r="H25429" s="46" t="str">
        <f>IF(I.Developer.P1=FALSE,"Complete",IF(I.Product.P1GasToPowerStatus&lt;&gt;"Yes","Complete",IF(AND(I.Gas.P1Y1Count&gt;=1,F25429=""),"Incomplete","Complete")))</f>
        <v>Complete</v>
      </c>
      <c r="I25429" s="48" t="s">
        <v>608</v>
      </c>
    </row>
    <row r="25430" spans="2:9" ht="15" customHeight="1" x14ac:dyDescent="0.25">
      <c r="B25430" s="55" t="s">
        <v>355</v>
      </c>
      <c r="C25430" s="46">
        <v>2</v>
      </c>
      <c r="D25430" s="69" t="s">
        <v>29492</v>
      </c>
      <c r="E25430" s="62"/>
      <c r="F25430" s="62" t="str">
        <f>IF(INDEX(I.Gas.P1Y1AssociatedGasEnergy,2)="","",INDEX(I.Gas.P1Y1AssociatedGasEnergy,2))</f>
        <v/>
      </c>
      <c r="G25430" s="62"/>
      <c r="H25430" s="46" t="str">
        <f>IF(I.Developer.P1=FALSE,"Complete",IF(I.Product.P1GasToPowerStatus&lt;&gt;"Yes","Complete",IF(AND(I.Gas.P1Y1Count&gt;=2,F25430=""),"Incomplete","Complete")))</f>
        <v>Complete</v>
      </c>
      <c r="I25430" s="48" t="s">
        <v>609</v>
      </c>
    </row>
    <row r="25431" spans="2:9" ht="15" customHeight="1" x14ac:dyDescent="0.25">
      <c r="B25431" s="55" t="s">
        <v>355</v>
      </c>
      <c r="C25431" s="46">
        <v>3</v>
      </c>
      <c r="D25431" s="69" t="s">
        <v>29492</v>
      </c>
      <c r="E25431" s="62"/>
      <c r="F25431" s="62" t="str">
        <f>IF(INDEX(I.Gas.P1Y1AssociatedGasEnergy,3)="","",INDEX(I.Gas.P1Y1AssociatedGasEnergy,3))</f>
        <v/>
      </c>
      <c r="G25431" s="62"/>
      <c r="H25431" s="46" t="str">
        <f>IF(I.Developer.P1=FALSE,"Complete",IF(I.Product.P1GasToPowerStatus&lt;&gt;"Yes","Complete",IF(AND(I.Gas.P1Y1Count&gt;=3,F25431=""),"Incomplete","Complete")))</f>
        <v>Complete</v>
      </c>
      <c r="I25431" s="48" t="s">
        <v>610</v>
      </c>
    </row>
    <row r="25432" spans="2:9" ht="15" customHeight="1" x14ac:dyDescent="0.25">
      <c r="B25432" s="55" t="s">
        <v>355</v>
      </c>
      <c r="C25432" s="46">
        <v>4</v>
      </c>
      <c r="D25432" s="69" t="s">
        <v>29492</v>
      </c>
      <c r="E25432" s="62"/>
      <c r="F25432" s="62" t="str">
        <f>IF(INDEX(I.Gas.P1Y1AssociatedGasEnergy,4)="","",INDEX(I.Gas.P1Y1AssociatedGasEnergy,4))</f>
        <v/>
      </c>
      <c r="G25432" s="62"/>
      <c r="H25432" s="46" t="str">
        <f>IF(I.Developer.P1=FALSE,"Complete",IF(I.Product.P1GasToPowerStatus&lt;&gt;"Yes","Complete",IF(AND(I.Gas.P1Y1Count&gt;=4,F25432=""),"Incomplete","Complete")))</f>
        <v>Complete</v>
      </c>
      <c r="I25432" s="48" t="s">
        <v>611</v>
      </c>
    </row>
    <row r="25433" spans="2:9" ht="15" customHeight="1" x14ac:dyDescent="0.25">
      <c r="B25433" s="55" t="s">
        <v>355</v>
      </c>
      <c r="C25433" s="46">
        <v>5</v>
      </c>
      <c r="D25433" s="69" t="s">
        <v>29492</v>
      </c>
      <c r="E25433" s="62"/>
      <c r="F25433" s="62" t="str">
        <f>IF(INDEX(I.Gas.P1Y1AssociatedGasEnergy,5)="","",INDEX(I.Gas.P1Y1AssociatedGasEnergy,5))</f>
        <v/>
      </c>
      <c r="G25433" s="62"/>
      <c r="H25433" s="46" t="str">
        <f>IF(I.Developer.P1=FALSE,"Complete",IF(I.Product.P1GasToPowerStatus&lt;&gt;"Yes","Complete",IF(AND(I.Gas.P1Y1Count&gt;=5,F25433=""),"Incomplete","Complete")))</f>
        <v>Complete</v>
      </c>
      <c r="I25433" s="48" t="s">
        <v>612</v>
      </c>
    </row>
    <row r="25434" spans="2:9" ht="15" customHeight="1" x14ac:dyDescent="0.25">
      <c r="B25434" s="55" t="s">
        <v>355</v>
      </c>
      <c r="C25434" s="46">
        <v>6</v>
      </c>
      <c r="D25434" s="69" t="s">
        <v>29492</v>
      </c>
      <c r="E25434" s="62"/>
      <c r="F25434" s="62" t="str">
        <f>IF(INDEX(I.Gas.P1Y1AssociatedGasEnergy,6)="","",INDEX(I.Gas.P1Y1AssociatedGasEnergy,6))</f>
        <v/>
      </c>
      <c r="G25434" s="62"/>
      <c r="H25434" s="46" t="str">
        <f>IF(I.Developer.P1=FALSE,"Complete",IF(I.Product.P1GasToPowerStatus&lt;&gt;"Yes","Complete",IF(AND(I.Gas.P1Y1Count&gt;=6,F25434=""),"Incomplete","Complete")))</f>
        <v>Complete</v>
      </c>
      <c r="I25434" s="48" t="s">
        <v>613</v>
      </c>
    </row>
    <row r="25435" spans="2:9" ht="15" customHeight="1" x14ac:dyDescent="0.25">
      <c r="B25435" s="55" t="s">
        <v>355</v>
      </c>
      <c r="C25435" s="46">
        <v>7</v>
      </c>
      <c r="D25435" s="69" t="s">
        <v>29492</v>
      </c>
      <c r="E25435" s="62"/>
      <c r="F25435" s="62" t="str">
        <f>IF(INDEX(I.Gas.P1Y1AssociatedGasEnergy,7)="","",INDEX(I.Gas.P1Y1AssociatedGasEnergy,7))</f>
        <v/>
      </c>
      <c r="G25435" s="62"/>
      <c r="H25435" s="46" t="str">
        <f>IF(I.Developer.P1=FALSE,"Complete",IF(I.Product.P1GasToPowerStatus&lt;&gt;"Yes","Complete",IF(AND(I.Gas.P1Y1Count&gt;=7,F25435=""),"Incomplete","Complete")))</f>
        <v>Complete</v>
      </c>
      <c r="I25435" s="48" t="s">
        <v>614</v>
      </c>
    </row>
    <row r="25436" spans="2:9" ht="15" customHeight="1" x14ac:dyDescent="0.25">
      <c r="B25436" s="55" t="s">
        <v>355</v>
      </c>
      <c r="C25436" s="46">
        <v>8</v>
      </c>
      <c r="D25436" s="69" t="s">
        <v>29492</v>
      </c>
      <c r="E25436" s="62"/>
      <c r="F25436" s="62" t="str">
        <f>IF(INDEX(I.Gas.P1Y1AssociatedGasEnergy,8)="","",INDEX(I.Gas.P1Y1AssociatedGasEnergy,8))</f>
        <v/>
      </c>
      <c r="G25436" s="62"/>
      <c r="H25436" s="46" t="str">
        <f>IF(I.Developer.P1=FALSE,"Complete",IF(I.Product.P1GasToPowerStatus&lt;&gt;"Yes","Complete",IF(AND(I.Gas.P1Y1Count&gt;=8,F25436=""),"Incomplete","Complete")))</f>
        <v>Complete</v>
      </c>
      <c r="I25436" s="48" t="s">
        <v>615</v>
      </c>
    </row>
    <row r="25437" spans="2:9" ht="15" customHeight="1" x14ac:dyDescent="0.25">
      <c r="B25437" s="55" t="s">
        <v>355</v>
      </c>
      <c r="C25437" s="46">
        <v>9</v>
      </c>
      <c r="D25437" s="69" t="s">
        <v>29492</v>
      </c>
      <c r="E25437" s="62"/>
      <c r="F25437" s="62" t="str">
        <f>IF(INDEX(I.Gas.P1Y1AssociatedGasEnergy,9)="","",INDEX(I.Gas.P1Y1AssociatedGasEnergy,9))</f>
        <v/>
      </c>
      <c r="G25437" s="62"/>
      <c r="H25437" s="46" t="str">
        <f>IF(I.Developer.P1=FALSE,"Complete",IF(I.Product.P1GasToPowerStatus&lt;&gt;"Yes","Complete",IF(AND(I.Gas.P1Y1Count&gt;=9,F25437=""),"Incomplete","Complete")))</f>
        <v>Complete</v>
      </c>
      <c r="I25437" s="48" t="s">
        <v>616</v>
      </c>
    </row>
    <row r="25438" spans="2:9" ht="15" customHeight="1" x14ac:dyDescent="0.25">
      <c r="B25438" s="55" t="s">
        <v>355</v>
      </c>
      <c r="C25438" s="46">
        <v>10</v>
      </c>
      <c r="D25438" s="69" t="s">
        <v>29492</v>
      </c>
      <c r="E25438" s="62"/>
      <c r="F25438" s="62" t="str">
        <f>IF(INDEX(I.Gas.P1Y1AssociatedGasEnergy,10)="","",INDEX(I.Gas.P1Y1AssociatedGasEnergy,10))</f>
        <v/>
      </c>
      <c r="G25438" s="62"/>
      <c r="H25438" s="46" t="str">
        <f>IF(I.Developer.P1=FALSE,"Complete",IF(I.Product.P1GasToPowerStatus&lt;&gt;"Yes","Complete",IF(AND(I.Gas.P1Y1Count&gt;=10,F25438=""),"Incomplete","Complete")))</f>
        <v>Complete</v>
      </c>
      <c r="I25438" s="48" t="s">
        <v>617</v>
      </c>
    </row>
    <row r="25439" spans="2:9" ht="15" customHeight="1" x14ac:dyDescent="0.25">
      <c r="B25439" s="55" t="s">
        <v>355</v>
      </c>
      <c r="C25439" s="46">
        <v>11</v>
      </c>
      <c r="D25439" s="69" t="s">
        <v>29492</v>
      </c>
      <c r="E25439" s="62"/>
      <c r="F25439" s="62" t="str">
        <f>IF(INDEX(I.Gas.P1Y1AssociatedGasEnergy,11)="","",INDEX(I.Gas.P1Y1AssociatedGasEnergy,11))</f>
        <v/>
      </c>
      <c r="G25439" s="62"/>
      <c r="H25439" s="46" t="str">
        <f>IF(I.Developer.P1=FALSE,"Complete",IF(I.Product.P1GasToPowerStatus&lt;&gt;"Yes","Complete",IF(AND(I.Gas.P1Y1Count&gt;=11,F25439=""),"Incomplete","Complete")))</f>
        <v>Complete</v>
      </c>
      <c r="I25439" s="48" t="s">
        <v>618</v>
      </c>
    </row>
    <row r="25440" spans="2:9" ht="15" customHeight="1" x14ac:dyDescent="0.25">
      <c r="B25440" s="55" t="s">
        <v>355</v>
      </c>
      <c r="C25440" s="46">
        <v>12</v>
      </c>
      <c r="D25440" s="69" t="s">
        <v>29492</v>
      </c>
      <c r="E25440" s="62"/>
      <c r="F25440" s="62" t="str">
        <f>IF(INDEX(I.Gas.P1Y1AssociatedGasEnergy,12)="","",INDEX(I.Gas.P1Y1AssociatedGasEnergy,12))</f>
        <v/>
      </c>
      <c r="G25440" s="62"/>
      <c r="H25440" s="46" t="str">
        <f>IF(I.Developer.P1=FALSE,"Complete",IF(I.Product.P1GasToPowerStatus&lt;&gt;"Yes","Complete",IF(AND(I.Gas.P1Y1Count&gt;=12,F25440=""),"Incomplete","Complete")))</f>
        <v>Complete</v>
      </c>
      <c r="I25440" s="48" t="s">
        <v>619</v>
      </c>
    </row>
    <row r="25441" spans="2:9" ht="15" customHeight="1" x14ac:dyDescent="0.25">
      <c r="B25441" s="55" t="s">
        <v>355</v>
      </c>
      <c r="C25441" s="46">
        <v>13</v>
      </c>
      <c r="D25441" s="69" t="s">
        <v>29492</v>
      </c>
      <c r="E25441" s="62"/>
      <c r="F25441" s="62" t="str">
        <f>IF(INDEX(I.Gas.P1Y1AssociatedGasEnergy,13)="","",INDEX(I.Gas.P1Y1AssociatedGasEnergy,13))</f>
        <v/>
      </c>
      <c r="G25441" s="62"/>
      <c r="H25441" s="46" t="str">
        <f>IF(I.Developer.P1=FALSE,"Complete",IF(I.Product.P1GasToPowerStatus&lt;&gt;"Yes","Complete",IF(AND(I.Gas.P1Y1Count&gt;=13,F25441=""),"Incomplete","Complete")))</f>
        <v>Complete</v>
      </c>
      <c r="I25441" s="48" t="s">
        <v>620</v>
      </c>
    </row>
    <row r="25442" spans="2:9" ht="15" customHeight="1" x14ac:dyDescent="0.25">
      <c r="B25442" s="55" t="s">
        <v>355</v>
      </c>
      <c r="C25442" s="46">
        <v>14</v>
      </c>
      <c r="D25442" s="69" t="s">
        <v>29492</v>
      </c>
      <c r="E25442" s="62"/>
      <c r="F25442" s="62" t="str">
        <f>IF(INDEX(I.Gas.P1Y1AssociatedGasEnergy,14)="","",INDEX(I.Gas.P1Y1AssociatedGasEnergy,14))</f>
        <v/>
      </c>
      <c r="G25442" s="62"/>
      <c r="H25442" s="46" t="str">
        <f>IF(I.Developer.P1=FALSE,"Complete",IF(I.Product.P1GasToPowerStatus&lt;&gt;"Yes","Complete",IF(AND(I.Gas.P1Y1Count&gt;=14,F25442=""),"Incomplete","Complete")))</f>
        <v>Complete</v>
      </c>
      <c r="I25442" s="48" t="s">
        <v>621</v>
      </c>
    </row>
    <row r="25443" spans="2:9" ht="15" customHeight="1" x14ac:dyDescent="0.25">
      <c r="B25443" s="55" t="s">
        <v>355</v>
      </c>
      <c r="C25443" s="46">
        <v>15</v>
      </c>
      <c r="D25443" s="69" t="s">
        <v>29492</v>
      </c>
      <c r="E25443" s="62"/>
      <c r="F25443" s="62" t="str">
        <f>IF(INDEX(I.Gas.P1Y1AssociatedGasEnergy,15)="","",INDEX(I.Gas.P1Y1AssociatedGasEnergy,15))</f>
        <v/>
      </c>
      <c r="G25443" s="62"/>
      <c r="H25443" s="46" t="str">
        <f>IF(I.Developer.P1=FALSE,"Complete",IF(I.Product.P1GasToPowerStatus&lt;&gt;"Yes","Complete",IF(AND(I.Gas.P1Y1Count&gt;=15,F25443=""),"Incomplete","Complete")))</f>
        <v>Complete</v>
      </c>
      <c r="I25443" s="48" t="s">
        <v>622</v>
      </c>
    </row>
    <row r="25444" spans="2:9" ht="15" customHeight="1" x14ac:dyDescent="0.25">
      <c r="B25444" s="55" t="s">
        <v>355</v>
      </c>
      <c r="C25444" s="46">
        <v>16</v>
      </c>
      <c r="D25444" s="69" t="s">
        <v>29492</v>
      </c>
      <c r="E25444" s="62"/>
      <c r="F25444" s="62" t="str">
        <f>IF(INDEX(I.Gas.P1Y1AssociatedGasEnergy,16)="","",INDEX(I.Gas.P1Y1AssociatedGasEnergy,16))</f>
        <v/>
      </c>
      <c r="G25444" s="62"/>
      <c r="H25444" s="46" t="str">
        <f>IF(I.Developer.P1=FALSE,"Complete",IF(I.Product.P1GasToPowerStatus&lt;&gt;"Yes","Complete",IF(AND(I.Gas.P1Y1Count&gt;=16,F25444=""),"Incomplete","Complete")))</f>
        <v>Complete</v>
      </c>
      <c r="I25444" s="48" t="s">
        <v>623</v>
      </c>
    </row>
    <row r="25445" spans="2:9" ht="15" customHeight="1" x14ac:dyDescent="0.25">
      <c r="B25445" s="55" t="s">
        <v>355</v>
      </c>
      <c r="C25445" s="46">
        <v>17</v>
      </c>
      <c r="D25445" s="69" t="s">
        <v>29492</v>
      </c>
      <c r="E25445" s="62"/>
      <c r="F25445" s="62" t="str">
        <f>IF(INDEX(I.Gas.P1Y1AssociatedGasEnergy,17)="","",INDEX(I.Gas.P1Y1AssociatedGasEnergy,17))</f>
        <v/>
      </c>
      <c r="G25445" s="62"/>
      <c r="H25445" s="46" t="str">
        <f>IF(I.Developer.P1=FALSE,"Complete",IF(I.Product.P1GasToPowerStatus&lt;&gt;"Yes","Complete",IF(AND(I.Gas.P1Y1Count&gt;=17,F25445=""),"Incomplete","Complete")))</f>
        <v>Complete</v>
      </c>
      <c r="I25445" s="48" t="s">
        <v>624</v>
      </c>
    </row>
    <row r="25446" spans="2:9" ht="15" customHeight="1" x14ac:dyDescent="0.25">
      <c r="B25446" s="55" t="s">
        <v>355</v>
      </c>
      <c r="C25446" s="46">
        <v>18</v>
      </c>
      <c r="D25446" s="69" t="s">
        <v>29492</v>
      </c>
      <c r="E25446" s="62"/>
      <c r="F25446" s="62" t="str">
        <f>IF(INDEX(I.Gas.P1Y1AssociatedGasEnergy,18)="","",INDEX(I.Gas.P1Y1AssociatedGasEnergy,18))</f>
        <v/>
      </c>
      <c r="G25446" s="62"/>
      <c r="H25446" s="46" t="str">
        <f>IF(I.Developer.P1=FALSE,"Complete",IF(I.Product.P1GasToPowerStatus&lt;&gt;"Yes","Complete",IF(AND(I.Gas.P1Y1Count&gt;=18,F25446=""),"Incomplete","Complete")))</f>
        <v>Complete</v>
      </c>
      <c r="I25446" s="48" t="s">
        <v>625</v>
      </c>
    </row>
    <row r="25447" spans="2:9" ht="15" customHeight="1" x14ac:dyDescent="0.25">
      <c r="B25447" s="55" t="s">
        <v>355</v>
      </c>
      <c r="C25447" s="46">
        <v>19</v>
      </c>
      <c r="D25447" s="69" t="s">
        <v>29492</v>
      </c>
      <c r="E25447" s="62"/>
      <c r="F25447" s="62" t="str">
        <f>IF(INDEX(I.Gas.P1Y1AssociatedGasEnergy,19)="","",INDEX(I.Gas.P1Y1AssociatedGasEnergy,19))</f>
        <v/>
      </c>
      <c r="G25447" s="62"/>
      <c r="H25447" s="46" t="str">
        <f>IF(I.Developer.P1=FALSE,"Complete",IF(I.Product.P1GasToPowerStatus&lt;&gt;"Yes","Complete",IF(AND(I.Gas.P1Y1Count&gt;=19,F25447=""),"Incomplete","Complete")))</f>
        <v>Complete</v>
      </c>
      <c r="I25447" s="48" t="s">
        <v>626</v>
      </c>
    </row>
    <row r="25448" spans="2:9" ht="15" customHeight="1" x14ac:dyDescent="0.25">
      <c r="B25448" s="55" t="s">
        <v>355</v>
      </c>
      <c r="C25448" s="46">
        <v>20</v>
      </c>
      <c r="D25448" s="69" t="s">
        <v>29492</v>
      </c>
      <c r="E25448" s="62"/>
      <c r="F25448" s="62" t="str">
        <f>IF(INDEX(I.Gas.P1Y1AssociatedGasEnergy,20)="","",INDEX(I.Gas.P1Y1AssociatedGasEnergy,20))</f>
        <v/>
      </c>
      <c r="G25448" s="62"/>
      <c r="H25448" s="46" t="str">
        <f>IF(I.Developer.P1=FALSE,"Complete",IF(I.Product.P1GasToPowerStatus&lt;&gt;"Yes","Complete",IF(AND(I.Gas.P1Y1Count&gt;=20,F25448=""),"Incomplete","Complete")))</f>
        <v>Complete</v>
      </c>
      <c r="I25448" s="48" t="s">
        <v>627</v>
      </c>
    </row>
    <row r="25449" spans="2:9" ht="15" customHeight="1" x14ac:dyDescent="0.25">
      <c r="B25449" s="55" t="s">
        <v>355</v>
      </c>
      <c r="C25449" s="46">
        <v>21</v>
      </c>
      <c r="D25449" s="69" t="s">
        <v>29492</v>
      </c>
      <c r="E25449" s="62"/>
      <c r="F25449" s="62" t="str">
        <f>IF(INDEX(I.Gas.P1Y1AssociatedGasEnergy,21)="","",INDEX(I.Gas.P1Y1AssociatedGasEnergy,21))</f>
        <v/>
      </c>
      <c r="G25449" s="62"/>
      <c r="H25449" s="46" t="str">
        <f>IF(I.Developer.P1=FALSE,"Complete",IF(I.Product.P1GasToPowerStatus&lt;&gt;"Yes","Complete",IF(AND(I.Gas.P1Y1Count&gt;=21,F25449=""),"Incomplete","Complete")))</f>
        <v>Complete</v>
      </c>
      <c r="I25449" s="48" t="s">
        <v>628</v>
      </c>
    </row>
    <row r="25450" spans="2:9" ht="15" customHeight="1" x14ac:dyDescent="0.25">
      <c r="B25450" s="55" t="s">
        <v>355</v>
      </c>
      <c r="C25450" s="46">
        <v>22</v>
      </c>
      <c r="D25450" s="69" t="s">
        <v>29492</v>
      </c>
      <c r="E25450" s="62"/>
      <c r="F25450" s="62" t="str">
        <f>IF(INDEX(I.Gas.P1Y1AssociatedGasEnergy,22)="","",INDEX(I.Gas.P1Y1AssociatedGasEnergy,22))</f>
        <v/>
      </c>
      <c r="G25450" s="62"/>
      <c r="H25450" s="46" t="str">
        <f>IF(I.Developer.P1=FALSE,"Complete",IF(I.Product.P1GasToPowerStatus&lt;&gt;"Yes","Complete",IF(AND(I.Gas.P1Y1Count&gt;=22,F25450=""),"Incomplete","Complete")))</f>
        <v>Complete</v>
      </c>
      <c r="I25450" s="48" t="s">
        <v>629</v>
      </c>
    </row>
    <row r="25451" spans="2:9" ht="15" customHeight="1" x14ac:dyDescent="0.25">
      <c r="B25451" s="55" t="s">
        <v>355</v>
      </c>
      <c r="C25451" s="46">
        <v>23</v>
      </c>
      <c r="D25451" s="69" t="s">
        <v>29492</v>
      </c>
      <c r="E25451" s="62"/>
      <c r="F25451" s="62" t="str">
        <f>IF(INDEX(I.Gas.P1Y1AssociatedGasEnergy,23)="","",INDEX(I.Gas.P1Y1AssociatedGasEnergy,23))</f>
        <v/>
      </c>
      <c r="G25451" s="62"/>
      <c r="H25451" s="46" t="str">
        <f>IF(I.Developer.P1=FALSE,"Complete",IF(I.Product.P1GasToPowerStatus&lt;&gt;"Yes","Complete",IF(AND(I.Gas.P1Y1Count&gt;=23,F25451=""),"Incomplete","Complete")))</f>
        <v>Complete</v>
      </c>
      <c r="I25451" s="48" t="s">
        <v>630</v>
      </c>
    </row>
    <row r="25452" spans="2:9" ht="15" customHeight="1" x14ac:dyDescent="0.25">
      <c r="B25452" s="55" t="s">
        <v>355</v>
      </c>
      <c r="C25452" s="46">
        <v>24</v>
      </c>
      <c r="D25452" s="69" t="s">
        <v>29492</v>
      </c>
      <c r="E25452" s="62"/>
      <c r="F25452" s="62" t="str">
        <f>IF(INDEX(I.Gas.P1Y1AssociatedGasEnergy,24)="","",INDEX(I.Gas.P1Y1AssociatedGasEnergy,24))</f>
        <v/>
      </c>
      <c r="G25452" s="62"/>
      <c r="H25452" s="46" t="str">
        <f>IF(I.Developer.P1=FALSE,"Complete",IF(I.Product.P1GasToPowerStatus&lt;&gt;"Yes","Complete",IF(AND(I.Gas.P1Y1Count&gt;=24,F25452=""),"Incomplete","Complete")))</f>
        <v>Complete</v>
      </c>
      <c r="I25452" s="48" t="s">
        <v>631</v>
      </c>
    </row>
    <row r="25453" spans="2:9" ht="15" customHeight="1" x14ac:dyDescent="0.25">
      <c r="B25453" s="55" t="s">
        <v>355</v>
      </c>
      <c r="C25453" s="46">
        <v>25</v>
      </c>
      <c r="D25453" s="69" t="s">
        <v>29492</v>
      </c>
      <c r="E25453" s="62"/>
      <c r="F25453" s="62" t="str">
        <f>IF(INDEX(I.Gas.P1Y1AssociatedGasEnergy,25)="","",INDEX(I.Gas.P1Y1AssociatedGasEnergy,25))</f>
        <v/>
      </c>
      <c r="G25453" s="62"/>
      <c r="H25453" s="46" t="str">
        <f>IF(I.Developer.P1=FALSE,"Complete",IF(I.Product.P1GasToPowerStatus&lt;&gt;"Yes","Complete",IF(AND(I.Gas.P1Y1Count&gt;=25,F25453=""),"Incomplete","Complete")))</f>
        <v>Complete</v>
      </c>
      <c r="I25453" s="48" t="s">
        <v>632</v>
      </c>
    </row>
    <row r="25454" spans="2:9" ht="15" customHeight="1" x14ac:dyDescent="0.25">
      <c r="B25454" s="55" t="s">
        <v>355</v>
      </c>
      <c r="C25454" s="46">
        <v>26</v>
      </c>
      <c r="D25454" s="69" t="s">
        <v>29492</v>
      </c>
      <c r="E25454" s="62"/>
      <c r="F25454" s="62" t="str">
        <f>IF(INDEX(I.Gas.P1Y1AssociatedGasEnergy,26)="","",INDEX(I.Gas.P1Y1AssociatedGasEnergy,26))</f>
        <v/>
      </c>
      <c r="G25454" s="62"/>
      <c r="H25454" s="46" t="str">
        <f>IF(I.Developer.P1=FALSE,"Complete",IF(I.Product.P1GasToPowerStatus&lt;&gt;"Yes","Complete",IF(AND(I.Gas.P1Y1Count&gt;=26,F25454=""),"Incomplete","Complete")))</f>
        <v>Complete</v>
      </c>
      <c r="I25454" s="48" t="s">
        <v>633</v>
      </c>
    </row>
    <row r="25455" spans="2:9" ht="15" customHeight="1" x14ac:dyDescent="0.25">
      <c r="B25455" s="55" t="s">
        <v>355</v>
      </c>
      <c r="C25455" s="46">
        <v>27</v>
      </c>
      <c r="D25455" s="69" t="s">
        <v>29492</v>
      </c>
      <c r="E25455" s="62"/>
      <c r="F25455" s="62" t="str">
        <f>IF(INDEX(I.Gas.P1Y1AssociatedGasEnergy,27)="","",INDEX(I.Gas.P1Y1AssociatedGasEnergy,27))</f>
        <v/>
      </c>
      <c r="G25455" s="62"/>
      <c r="H25455" s="46" t="str">
        <f>IF(I.Developer.P1=FALSE,"Complete",IF(I.Product.P1GasToPowerStatus&lt;&gt;"Yes","Complete",IF(AND(I.Gas.P1Y1Count&gt;=27,F25455=""),"Incomplete","Complete")))</f>
        <v>Complete</v>
      </c>
      <c r="I25455" s="48" t="s">
        <v>634</v>
      </c>
    </row>
    <row r="25456" spans="2:9" ht="15" customHeight="1" x14ac:dyDescent="0.25">
      <c r="B25456" s="55" t="s">
        <v>355</v>
      </c>
      <c r="C25456" s="46">
        <v>28</v>
      </c>
      <c r="D25456" s="69" t="s">
        <v>29492</v>
      </c>
      <c r="E25456" s="62"/>
      <c r="F25456" s="62" t="str">
        <f>IF(INDEX(I.Gas.P1Y1AssociatedGasEnergy,28)="","",INDEX(I.Gas.P1Y1AssociatedGasEnergy,28))</f>
        <v/>
      </c>
      <c r="G25456" s="62"/>
      <c r="H25456" s="46" t="str">
        <f>IF(I.Developer.P1=FALSE,"Complete",IF(I.Product.P1GasToPowerStatus&lt;&gt;"Yes","Complete",IF(AND(I.Gas.P1Y1Count&gt;=28,F25456=""),"Incomplete","Complete")))</f>
        <v>Complete</v>
      </c>
      <c r="I25456" s="48" t="s">
        <v>635</v>
      </c>
    </row>
    <row r="25457" spans="2:9" ht="15" customHeight="1" x14ac:dyDescent="0.25">
      <c r="B25457" s="55" t="s">
        <v>355</v>
      </c>
      <c r="C25457" s="46">
        <v>29</v>
      </c>
      <c r="D25457" s="69" t="s">
        <v>29492</v>
      </c>
      <c r="E25457" s="62"/>
      <c r="F25457" s="62" t="str">
        <f>IF(INDEX(I.Gas.P1Y1AssociatedGasEnergy,29)="","",INDEX(I.Gas.P1Y1AssociatedGasEnergy,29))</f>
        <v/>
      </c>
      <c r="G25457" s="62"/>
      <c r="H25457" s="46" t="str">
        <f>IF(I.Developer.P1=FALSE,"Complete",IF(I.Product.P1GasToPowerStatus&lt;&gt;"Yes","Complete",IF(AND(I.Gas.P1Y1Count&gt;=29,F25457=""),"Incomplete","Complete")))</f>
        <v>Complete</v>
      </c>
      <c r="I25457" s="48" t="s">
        <v>636</v>
      </c>
    </row>
    <row r="25458" spans="2:9" ht="15" customHeight="1" x14ac:dyDescent="0.25">
      <c r="B25458" s="55" t="s">
        <v>355</v>
      </c>
      <c r="C25458" s="46">
        <v>30</v>
      </c>
      <c r="D25458" s="69" t="s">
        <v>29492</v>
      </c>
      <c r="E25458" s="62"/>
      <c r="F25458" s="62" t="str">
        <f>IF(INDEX(I.Gas.P1Y1AssociatedGasEnergy,30)="","",INDEX(I.Gas.P1Y1AssociatedGasEnergy,30))</f>
        <v/>
      </c>
      <c r="G25458" s="62"/>
      <c r="H25458" s="46" t="str">
        <f>IF(I.Developer.P1=FALSE,"Complete",IF(I.Product.P1GasToPowerStatus&lt;&gt;"Yes","Complete",IF(AND(I.Gas.P1Y1Count&gt;=30,F25458=""),"Incomplete","Complete")))</f>
        <v>Complete</v>
      </c>
      <c r="I25458" s="48" t="s">
        <v>637</v>
      </c>
    </row>
    <row r="25459" spans="2:9" ht="15" customHeight="1" x14ac:dyDescent="0.25">
      <c r="B25459" s="55" t="s">
        <v>355</v>
      </c>
      <c r="C25459" s="46">
        <v>31</v>
      </c>
      <c r="D25459" s="69" t="s">
        <v>29492</v>
      </c>
      <c r="E25459" s="62"/>
      <c r="F25459" s="62" t="str">
        <f>IF(INDEX(I.Gas.P1Y1AssociatedGasEnergy,31)="","",INDEX(I.Gas.P1Y1AssociatedGasEnergy,31))</f>
        <v/>
      </c>
      <c r="G25459" s="62"/>
      <c r="H25459" s="46" t="str">
        <f>IF(I.Developer.P1=FALSE,"Complete",IF(I.Product.P1GasToPowerStatus&lt;&gt;"Yes","Complete",IF(AND(I.Gas.P1Y1Count&gt;=31,F25459=""),"Incomplete","Complete")))</f>
        <v>Complete</v>
      </c>
      <c r="I25459" s="48" t="s">
        <v>638</v>
      </c>
    </row>
    <row r="25460" spans="2:9" ht="15" customHeight="1" x14ac:dyDescent="0.25">
      <c r="B25460" s="55" t="s">
        <v>355</v>
      </c>
      <c r="C25460" s="46">
        <v>32</v>
      </c>
      <c r="D25460" s="69" t="s">
        <v>29492</v>
      </c>
      <c r="E25460" s="62"/>
      <c r="F25460" s="62" t="str">
        <f>IF(INDEX(I.Gas.P1Y1AssociatedGasEnergy,32)="","",INDEX(I.Gas.P1Y1AssociatedGasEnergy,32))</f>
        <v/>
      </c>
      <c r="G25460" s="62"/>
      <c r="H25460" s="46" t="str">
        <f>IF(I.Developer.P1=FALSE,"Complete",IF(I.Product.P1GasToPowerStatus&lt;&gt;"Yes","Complete",IF(AND(I.Gas.P1Y1Count&gt;=32,F25460=""),"Incomplete","Complete")))</f>
        <v>Complete</v>
      </c>
      <c r="I25460" s="48" t="s">
        <v>639</v>
      </c>
    </row>
    <row r="25461" spans="2:9" ht="15" customHeight="1" x14ac:dyDescent="0.25">
      <c r="B25461" s="55" t="s">
        <v>355</v>
      </c>
      <c r="C25461" s="46">
        <v>33</v>
      </c>
      <c r="D25461" s="69" t="s">
        <v>29492</v>
      </c>
      <c r="E25461" s="62"/>
      <c r="F25461" s="62" t="str">
        <f>IF(INDEX(I.Gas.P1Y1AssociatedGasEnergy,33)="","",INDEX(I.Gas.P1Y1AssociatedGasEnergy,33))</f>
        <v/>
      </c>
      <c r="G25461" s="62"/>
      <c r="H25461" s="46" t="str">
        <f>IF(I.Developer.P1=FALSE,"Complete",IF(I.Product.P1GasToPowerStatus&lt;&gt;"Yes","Complete",IF(AND(I.Gas.P1Y1Count&gt;=33,F25461=""),"Incomplete","Complete")))</f>
        <v>Complete</v>
      </c>
      <c r="I25461" s="48" t="s">
        <v>640</v>
      </c>
    </row>
    <row r="25462" spans="2:9" ht="15" customHeight="1" x14ac:dyDescent="0.25">
      <c r="B25462" s="55" t="s">
        <v>355</v>
      </c>
      <c r="C25462" s="46">
        <v>34</v>
      </c>
      <c r="D25462" s="69" t="s">
        <v>29492</v>
      </c>
      <c r="E25462" s="62"/>
      <c r="F25462" s="62" t="str">
        <f>IF(INDEX(I.Gas.P1Y1AssociatedGasEnergy,34)="","",INDEX(I.Gas.P1Y1AssociatedGasEnergy,34))</f>
        <v/>
      </c>
      <c r="G25462" s="62"/>
      <c r="H25462" s="46" t="str">
        <f>IF(I.Developer.P1=FALSE,"Complete",IF(I.Product.P1GasToPowerStatus&lt;&gt;"Yes","Complete",IF(AND(I.Gas.P1Y1Count&gt;=34,F25462=""),"Incomplete","Complete")))</f>
        <v>Complete</v>
      </c>
      <c r="I25462" s="48" t="s">
        <v>641</v>
      </c>
    </row>
    <row r="25463" spans="2:9" ht="15" customHeight="1" x14ac:dyDescent="0.25">
      <c r="B25463" s="55" t="s">
        <v>355</v>
      </c>
      <c r="C25463" s="46">
        <v>35</v>
      </c>
      <c r="D25463" s="69" t="s">
        <v>29492</v>
      </c>
      <c r="E25463" s="62"/>
      <c r="F25463" s="62" t="str">
        <f>IF(INDEX(I.Gas.P1Y1AssociatedGasEnergy,35)="","",INDEX(I.Gas.P1Y1AssociatedGasEnergy,35))</f>
        <v/>
      </c>
      <c r="G25463" s="62"/>
      <c r="H25463" s="46" t="str">
        <f>IF(I.Developer.P1=FALSE,"Complete",IF(I.Product.P1GasToPowerStatus&lt;&gt;"Yes","Complete",IF(AND(I.Gas.P1Y1Count&gt;=35,F25463=""),"Incomplete","Complete")))</f>
        <v>Complete</v>
      </c>
      <c r="I25463" s="48" t="s">
        <v>642</v>
      </c>
    </row>
    <row r="25464" spans="2:9" ht="15" customHeight="1" x14ac:dyDescent="0.25">
      <c r="B25464" s="55" t="s">
        <v>355</v>
      </c>
      <c r="C25464" s="46">
        <v>36</v>
      </c>
      <c r="D25464" s="69" t="s">
        <v>29492</v>
      </c>
      <c r="E25464" s="62"/>
      <c r="F25464" s="62" t="str">
        <f>IF(INDEX(I.Gas.P1Y1AssociatedGasEnergy,36)="","",INDEX(I.Gas.P1Y1AssociatedGasEnergy,36))</f>
        <v/>
      </c>
      <c r="G25464" s="62"/>
      <c r="H25464" s="46" t="str">
        <f>IF(I.Developer.P1=FALSE,"Complete",IF(I.Product.P1GasToPowerStatus&lt;&gt;"Yes","Complete",IF(AND(I.Gas.P1Y1Count&gt;=36,F25464=""),"Incomplete","Complete")))</f>
        <v>Complete</v>
      </c>
      <c r="I25464" s="48" t="s">
        <v>643</v>
      </c>
    </row>
    <row r="25465" spans="2:9" ht="15" customHeight="1" x14ac:dyDescent="0.25">
      <c r="B25465" s="55" t="s">
        <v>355</v>
      </c>
      <c r="C25465" s="46">
        <v>37</v>
      </c>
      <c r="D25465" s="69" t="s">
        <v>29492</v>
      </c>
      <c r="E25465" s="62"/>
      <c r="F25465" s="62" t="str">
        <f>IF(INDEX(I.Gas.P1Y1AssociatedGasEnergy,37)="","",INDEX(I.Gas.P1Y1AssociatedGasEnergy,37))</f>
        <v/>
      </c>
      <c r="G25465" s="62"/>
      <c r="H25465" s="46" t="str">
        <f>IF(I.Developer.P1=FALSE,"Complete",IF(I.Product.P1GasToPowerStatus&lt;&gt;"Yes","Complete",IF(AND(I.Gas.P1Y1Count&gt;=37,F25465=""),"Incomplete","Complete")))</f>
        <v>Complete</v>
      </c>
      <c r="I25465" s="48" t="s">
        <v>644</v>
      </c>
    </row>
    <row r="25466" spans="2:9" ht="15" customHeight="1" x14ac:dyDescent="0.25">
      <c r="B25466" s="55" t="s">
        <v>355</v>
      </c>
      <c r="C25466" s="46">
        <v>38</v>
      </c>
      <c r="D25466" s="69" t="s">
        <v>29492</v>
      </c>
      <c r="E25466" s="62"/>
      <c r="F25466" s="62" t="str">
        <f>IF(INDEX(I.Gas.P1Y1AssociatedGasEnergy,38)="","",INDEX(I.Gas.P1Y1AssociatedGasEnergy,38))</f>
        <v/>
      </c>
      <c r="G25466" s="62"/>
      <c r="H25466" s="46" t="str">
        <f>IF(I.Developer.P1=FALSE,"Complete",IF(I.Product.P1GasToPowerStatus&lt;&gt;"Yes","Complete",IF(AND(I.Gas.P1Y1Count&gt;=38,F25466=""),"Incomplete","Complete")))</f>
        <v>Complete</v>
      </c>
      <c r="I25466" s="48" t="s">
        <v>645</v>
      </c>
    </row>
    <row r="25467" spans="2:9" ht="15" customHeight="1" x14ac:dyDescent="0.25">
      <c r="B25467" s="55" t="s">
        <v>355</v>
      </c>
      <c r="C25467" s="46">
        <v>39</v>
      </c>
      <c r="D25467" s="69" t="s">
        <v>29492</v>
      </c>
      <c r="E25467" s="62"/>
      <c r="F25467" s="62" t="str">
        <f>IF(INDEX(I.Gas.P1Y1AssociatedGasEnergy,39)="","",INDEX(I.Gas.P1Y1AssociatedGasEnergy,39))</f>
        <v/>
      </c>
      <c r="G25467" s="62"/>
      <c r="H25467" s="46" t="str">
        <f>IF(I.Developer.P1=FALSE,"Complete",IF(I.Product.P1GasToPowerStatus&lt;&gt;"Yes","Complete",IF(AND(I.Gas.P1Y1Count&gt;=39,F25467=""),"Incomplete","Complete")))</f>
        <v>Complete</v>
      </c>
      <c r="I25467" s="48" t="s">
        <v>646</v>
      </c>
    </row>
    <row r="25468" spans="2:9" ht="15" customHeight="1" x14ac:dyDescent="0.25">
      <c r="B25468" s="55" t="s">
        <v>355</v>
      </c>
      <c r="C25468" s="46">
        <v>40</v>
      </c>
      <c r="D25468" s="69" t="s">
        <v>29492</v>
      </c>
      <c r="E25468" s="62"/>
      <c r="F25468" s="62" t="str">
        <f>IF(INDEX(I.Gas.P1Y1AssociatedGasEnergy,40)="","",INDEX(I.Gas.P1Y1AssociatedGasEnergy,40))</f>
        <v/>
      </c>
      <c r="G25468" s="62"/>
      <c r="H25468" s="46" t="str">
        <f>IF(I.Developer.P1=FALSE,"Complete",IF(I.Product.P1GasToPowerStatus&lt;&gt;"Yes","Complete",IF(AND(I.Gas.P1Y1Count&gt;=40,F25468=""),"Incomplete","Complete")))</f>
        <v>Complete</v>
      </c>
      <c r="I25468" s="48" t="s">
        <v>647</v>
      </c>
    </row>
    <row r="25469" spans="2:9" ht="15" customHeight="1" x14ac:dyDescent="0.25">
      <c r="B25469" s="55" t="s">
        <v>355</v>
      </c>
      <c r="C25469" s="46">
        <v>41</v>
      </c>
      <c r="D25469" s="69" t="s">
        <v>29492</v>
      </c>
      <c r="E25469" s="62"/>
      <c r="F25469" s="62" t="str">
        <f>IF(INDEX(I.Gas.P1Y1AssociatedGasEnergy,41)="","",INDEX(I.Gas.P1Y1AssociatedGasEnergy,41))</f>
        <v/>
      </c>
      <c r="G25469" s="62"/>
      <c r="H25469" s="46" t="str">
        <f>IF(I.Developer.P1=FALSE,"Complete",IF(I.Product.P1GasToPowerStatus&lt;&gt;"Yes","Complete",IF(AND(I.Gas.P1Y1Count&gt;=41,F25469=""),"Incomplete","Complete")))</f>
        <v>Complete</v>
      </c>
      <c r="I25469" s="48" t="s">
        <v>648</v>
      </c>
    </row>
    <row r="25470" spans="2:9" ht="15" customHeight="1" x14ac:dyDescent="0.25">
      <c r="B25470" s="55" t="s">
        <v>355</v>
      </c>
      <c r="C25470" s="46">
        <v>42</v>
      </c>
      <c r="D25470" s="69" t="s">
        <v>29492</v>
      </c>
      <c r="E25470" s="62"/>
      <c r="F25470" s="62" t="str">
        <f>IF(INDEX(I.Gas.P1Y1AssociatedGasEnergy,42)="","",INDEX(I.Gas.P1Y1AssociatedGasEnergy,42))</f>
        <v/>
      </c>
      <c r="G25470" s="62"/>
      <c r="H25470" s="46" t="str">
        <f>IF(I.Developer.P1=FALSE,"Complete",IF(I.Product.P1GasToPowerStatus&lt;&gt;"Yes","Complete",IF(AND(I.Gas.P1Y1Count&gt;=42,F25470=""),"Incomplete","Complete")))</f>
        <v>Complete</v>
      </c>
      <c r="I25470" s="48" t="s">
        <v>649</v>
      </c>
    </row>
    <row r="25471" spans="2:9" ht="15" customHeight="1" x14ac:dyDescent="0.25">
      <c r="B25471" s="55" t="s">
        <v>355</v>
      </c>
      <c r="C25471" s="46">
        <v>43</v>
      </c>
      <c r="D25471" s="69" t="s">
        <v>29492</v>
      </c>
      <c r="E25471" s="62"/>
      <c r="F25471" s="62" t="str">
        <f>IF(INDEX(I.Gas.P1Y1AssociatedGasEnergy,43)="","",INDEX(I.Gas.P1Y1AssociatedGasEnergy,43))</f>
        <v/>
      </c>
      <c r="G25471" s="62"/>
      <c r="H25471" s="46" t="str">
        <f>IF(I.Developer.P1=FALSE,"Complete",IF(I.Product.P1GasToPowerStatus&lt;&gt;"Yes","Complete",IF(AND(I.Gas.P1Y1Count&gt;=43,F25471=""),"Incomplete","Complete")))</f>
        <v>Complete</v>
      </c>
      <c r="I25471" s="48" t="s">
        <v>650</v>
      </c>
    </row>
    <row r="25472" spans="2:9" ht="15" customHeight="1" x14ac:dyDescent="0.25">
      <c r="B25472" s="55" t="s">
        <v>355</v>
      </c>
      <c r="C25472" s="46">
        <v>44</v>
      </c>
      <c r="D25472" s="69" t="s">
        <v>29492</v>
      </c>
      <c r="E25472" s="62"/>
      <c r="F25472" s="62" t="str">
        <f>IF(INDEX(I.Gas.P1Y1AssociatedGasEnergy,44)="","",INDEX(I.Gas.P1Y1AssociatedGasEnergy,44))</f>
        <v/>
      </c>
      <c r="G25472" s="62"/>
      <c r="H25472" s="46" t="str">
        <f>IF(I.Developer.P1=FALSE,"Complete",IF(I.Product.P1GasToPowerStatus&lt;&gt;"Yes","Complete",IF(AND(I.Gas.P1Y1Count&gt;=44,F25472=""),"Incomplete","Complete")))</f>
        <v>Complete</v>
      </c>
      <c r="I25472" s="48" t="s">
        <v>651</v>
      </c>
    </row>
    <row r="25473" spans="2:9" ht="15" customHeight="1" x14ac:dyDescent="0.25">
      <c r="B25473" s="55" t="s">
        <v>355</v>
      </c>
      <c r="C25473" s="46">
        <v>45</v>
      </c>
      <c r="D25473" s="69" t="s">
        <v>29492</v>
      </c>
      <c r="E25473" s="62"/>
      <c r="F25473" s="62" t="str">
        <f>IF(INDEX(I.Gas.P1Y1AssociatedGasEnergy,45)="","",INDEX(I.Gas.P1Y1AssociatedGasEnergy,45))</f>
        <v/>
      </c>
      <c r="G25473" s="62"/>
      <c r="H25473" s="46" t="str">
        <f>IF(I.Developer.P1=FALSE,"Complete",IF(I.Product.P1GasToPowerStatus&lt;&gt;"Yes","Complete",IF(AND(I.Gas.P1Y1Count&gt;=45,F25473=""),"Incomplete","Complete")))</f>
        <v>Complete</v>
      </c>
      <c r="I25473" s="48" t="s">
        <v>652</v>
      </c>
    </row>
    <row r="25474" spans="2:9" ht="15" customHeight="1" x14ac:dyDescent="0.25">
      <c r="B25474" s="55" t="s">
        <v>355</v>
      </c>
      <c r="C25474" s="46">
        <v>46</v>
      </c>
      <c r="D25474" s="69" t="s">
        <v>29492</v>
      </c>
      <c r="E25474" s="62"/>
      <c r="F25474" s="62" t="str">
        <f>IF(INDEX(I.Gas.P1Y1AssociatedGasEnergy,46)="","",INDEX(I.Gas.P1Y1AssociatedGasEnergy,46))</f>
        <v/>
      </c>
      <c r="G25474" s="62"/>
      <c r="H25474" s="46" t="str">
        <f>IF(I.Developer.P1=FALSE,"Complete",IF(I.Product.P1GasToPowerStatus&lt;&gt;"Yes","Complete",IF(AND(I.Gas.P1Y1Count&gt;=46,F25474=""),"Incomplete","Complete")))</f>
        <v>Complete</v>
      </c>
      <c r="I25474" s="48" t="s">
        <v>653</v>
      </c>
    </row>
    <row r="25475" spans="2:9" ht="15" customHeight="1" x14ac:dyDescent="0.25">
      <c r="B25475" s="55" t="s">
        <v>355</v>
      </c>
      <c r="C25475" s="46">
        <v>47</v>
      </c>
      <c r="D25475" s="69" t="s">
        <v>29492</v>
      </c>
      <c r="E25475" s="62"/>
      <c r="F25475" s="62" t="str">
        <f>IF(INDEX(I.Gas.P1Y1AssociatedGasEnergy,47)="","",INDEX(I.Gas.P1Y1AssociatedGasEnergy,47))</f>
        <v/>
      </c>
      <c r="G25475" s="62"/>
      <c r="H25475" s="46" t="str">
        <f>IF(I.Developer.P1=FALSE,"Complete",IF(I.Product.P1GasToPowerStatus&lt;&gt;"Yes","Complete",IF(AND(I.Gas.P1Y1Count&gt;=47,F25475=""),"Incomplete","Complete")))</f>
        <v>Complete</v>
      </c>
      <c r="I25475" s="48" t="s">
        <v>654</v>
      </c>
    </row>
    <row r="25476" spans="2:9" ht="15" customHeight="1" x14ac:dyDescent="0.25">
      <c r="B25476" s="55" t="s">
        <v>355</v>
      </c>
      <c r="C25476" s="46">
        <v>48</v>
      </c>
      <c r="D25476" s="69" t="s">
        <v>29492</v>
      </c>
      <c r="E25476" s="62"/>
      <c r="F25476" s="62" t="str">
        <f>IF(INDEX(I.Gas.P1Y1AssociatedGasEnergy,48)="","",INDEX(I.Gas.P1Y1AssociatedGasEnergy,48))</f>
        <v/>
      </c>
      <c r="G25476" s="62"/>
      <c r="H25476" s="46" t="str">
        <f>IF(I.Developer.P1=FALSE,"Complete",IF(I.Product.P1GasToPowerStatus&lt;&gt;"Yes","Complete",IF(AND(I.Gas.P1Y1Count&gt;=48,F25476=""),"Incomplete","Complete")))</f>
        <v>Complete</v>
      </c>
      <c r="I25476" s="48" t="s">
        <v>655</v>
      </c>
    </row>
    <row r="25477" spans="2:9" ht="15" customHeight="1" x14ac:dyDescent="0.25">
      <c r="B25477" s="55" t="s">
        <v>355</v>
      </c>
      <c r="C25477" s="46">
        <v>49</v>
      </c>
      <c r="D25477" s="69" t="s">
        <v>29492</v>
      </c>
      <c r="E25477" s="62"/>
      <c r="F25477" s="62" t="str">
        <f>IF(INDEX(I.Gas.P1Y1AssociatedGasEnergy,49)="","",INDEX(I.Gas.P1Y1AssociatedGasEnergy,49))</f>
        <v/>
      </c>
      <c r="G25477" s="62"/>
      <c r="H25477" s="46" t="str">
        <f>IF(I.Developer.P1=FALSE,"Complete",IF(I.Product.P1GasToPowerStatus&lt;&gt;"Yes","Complete",IF(AND(I.Gas.P1Y1Count&gt;=49,F25477=""),"Incomplete","Complete")))</f>
        <v>Complete</v>
      </c>
      <c r="I25477" s="48" t="s">
        <v>656</v>
      </c>
    </row>
    <row r="25478" spans="2:9" ht="15" customHeight="1" x14ac:dyDescent="0.25">
      <c r="B25478" s="56" t="s">
        <v>355</v>
      </c>
      <c r="C25478" s="57">
        <v>50</v>
      </c>
      <c r="D25478" s="71" t="s">
        <v>29492</v>
      </c>
      <c r="E25478" s="61"/>
      <c r="F25478" s="61" t="str">
        <f>IF(INDEX(I.Gas.P1Y1AssociatedGasEnergy,50)="","",INDEX(I.Gas.P1Y1AssociatedGasEnergy,50))</f>
        <v/>
      </c>
      <c r="G25478" s="61"/>
      <c r="H25478" s="57" t="str">
        <f>IF(I.Developer.P1=FALSE,"Complete",IF(I.Product.P1GasToPowerStatus&lt;&gt;"Yes","Complete",IF(AND(I.Gas.P1Y1Count&gt;=50,F25478=""),"Incomplete","Complete")))</f>
        <v>Complete</v>
      </c>
      <c r="I25478" s="49" t="s">
        <v>657</v>
      </c>
    </row>
    <row r="25479" spans="2:9" ht="15" customHeight="1" x14ac:dyDescent="0.25">
      <c r="B25479" s="55" t="s">
        <v>356</v>
      </c>
      <c r="C25479" s="46">
        <v>1</v>
      </c>
      <c r="D25479" s="69" t="s">
        <v>29493</v>
      </c>
      <c r="E25479" s="62"/>
      <c r="F25479" s="62" t="str">
        <f>IF(INDEX(I.Gas.P1Y1TotalGasEnergy,1)="","",INDEX(I.Gas.P1Y1TotalGasEnergy,1))</f>
        <v/>
      </c>
      <c r="G25479" s="62"/>
      <c r="H25479" s="46" t="str">
        <f>IF(I.Developer.P1=FALSE,"Complete",IF(I.Product.P1GasToPowerStatus&lt;&gt;"Yes","Complete",IF(AND(I.Gas.P1Y1Count&gt;=1,F25479=""),"Incomplete","Complete")))</f>
        <v>Complete</v>
      </c>
      <c r="I25479" s="48" t="s">
        <v>658</v>
      </c>
    </row>
    <row r="25480" spans="2:9" ht="15" customHeight="1" x14ac:dyDescent="0.25">
      <c r="B25480" s="55" t="s">
        <v>356</v>
      </c>
      <c r="C25480" s="46">
        <v>2</v>
      </c>
      <c r="D25480" s="69" t="s">
        <v>29493</v>
      </c>
      <c r="E25480" s="62"/>
      <c r="F25480" s="62" t="str">
        <f>IF(INDEX(I.Gas.P1Y1TotalGasEnergy,2)="","",INDEX(I.Gas.P1Y1TotalGasEnergy,2))</f>
        <v/>
      </c>
      <c r="G25480" s="62"/>
      <c r="H25480" s="46" t="str">
        <f>IF(I.Developer.P1=FALSE,"Complete",IF(I.Product.P1GasToPowerStatus&lt;&gt;"Yes","Complete",IF(AND(I.Gas.P1Y1Count&gt;=2,F25480=""),"Incomplete","Complete")))</f>
        <v>Complete</v>
      </c>
      <c r="I25480" s="48" t="s">
        <v>659</v>
      </c>
    </row>
    <row r="25481" spans="2:9" ht="15" customHeight="1" x14ac:dyDescent="0.25">
      <c r="B25481" s="55" t="s">
        <v>356</v>
      </c>
      <c r="C25481" s="46">
        <v>3</v>
      </c>
      <c r="D25481" s="69" t="s">
        <v>29493</v>
      </c>
      <c r="E25481" s="62"/>
      <c r="F25481" s="62" t="str">
        <f>IF(INDEX(I.Gas.P1Y1TotalGasEnergy,3)="","",INDEX(I.Gas.P1Y1TotalGasEnergy,3))</f>
        <v/>
      </c>
      <c r="G25481" s="62"/>
      <c r="H25481" s="46" t="str">
        <f>IF(I.Developer.P1=FALSE,"Complete",IF(I.Product.P1GasToPowerStatus&lt;&gt;"Yes","Complete",IF(AND(I.Gas.P1Y1Count&gt;=3,F25481=""),"Incomplete","Complete")))</f>
        <v>Complete</v>
      </c>
      <c r="I25481" s="48" t="s">
        <v>660</v>
      </c>
    </row>
    <row r="25482" spans="2:9" ht="15" customHeight="1" x14ac:dyDescent="0.25">
      <c r="B25482" s="55" t="s">
        <v>356</v>
      </c>
      <c r="C25482" s="46">
        <v>4</v>
      </c>
      <c r="D25482" s="69" t="s">
        <v>29493</v>
      </c>
      <c r="E25482" s="62"/>
      <c r="F25482" s="62" t="str">
        <f>IF(INDEX(I.Gas.P1Y1TotalGasEnergy,4)="","",INDEX(I.Gas.P1Y1TotalGasEnergy,4))</f>
        <v/>
      </c>
      <c r="G25482" s="62"/>
      <c r="H25482" s="46" t="str">
        <f>IF(I.Developer.P1=FALSE,"Complete",IF(I.Product.P1GasToPowerStatus&lt;&gt;"Yes","Complete",IF(AND(I.Gas.P1Y1Count&gt;=4,F25482=""),"Incomplete","Complete")))</f>
        <v>Complete</v>
      </c>
      <c r="I25482" s="48" t="s">
        <v>661</v>
      </c>
    </row>
    <row r="25483" spans="2:9" ht="15" customHeight="1" x14ac:dyDescent="0.25">
      <c r="B25483" s="55" t="s">
        <v>356</v>
      </c>
      <c r="C25483" s="46">
        <v>5</v>
      </c>
      <c r="D25483" s="69" t="s">
        <v>29493</v>
      </c>
      <c r="E25483" s="62"/>
      <c r="F25483" s="62" t="str">
        <f>IF(INDEX(I.Gas.P1Y1TotalGasEnergy,5)="","",INDEX(I.Gas.P1Y1TotalGasEnergy,5))</f>
        <v/>
      </c>
      <c r="G25483" s="62"/>
      <c r="H25483" s="46" t="str">
        <f>IF(I.Developer.P1=FALSE,"Complete",IF(I.Product.P1GasToPowerStatus&lt;&gt;"Yes","Complete",IF(AND(I.Gas.P1Y1Count&gt;=5,F25483=""),"Incomplete","Complete")))</f>
        <v>Complete</v>
      </c>
      <c r="I25483" s="48" t="s">
        <v>662</v>
      </c>
    </row>
    <row r="25484" spans="2:9" ht="15" customHeight="1" x14ac:dyDescent="0.25">
      <c r="B25484" s="55" t="s">
        <v>356</v>
      </c>
      <c r="C25484" s="46">
        <v>6</v>
      </c>
      <c r="D25484" s="69" t="s">
        <v>29493</v>
      </c>
      <c r="E25484" s="62"/>
      <c r="F25484" s="62" t="str">
        <f>IF(INDEX(I.Gas.P1Y1TotalGasEnergy,6)="","",INDEX(I.Gas.P1Y1TotalGasEnergy,6))</f>
        <v/>
      </c>
      <c r="G25484" s="62"/>
      <c r="H25484" s="46" t="str">
        <f>IF(I.Developer.P1=FALSE,"Complete",IF(I.Product.P1GasToPowerStatus&lt;&gt;"Yes","Complete",IF(AND(I.Gas.P1Y1Count&gt;=6,F25484=""),"Incomplete","Complete")))</f>
        <v>Complete</v>
      </c>
      <c r="I25484" s="48" t="s">
        <v>663</v>
      </c>
    </row>
    <row r="25485" spans="2:9" ht="15" customHeight="1" x14ac:dyDescent="0.25">
      <c r="B25485" s="55" t="s">
        <v>356</v>
      </c>
      <c r="C25485" s="46">
        <v>7</v>
      </c>
      <c r="D25485" s="69" t="s">
        <v>29493</v>
      </c>
      <c r="E25485" s="62"/>
      <c r="F25485" s="62" t="str">
        <f>IF(INDEX(I.Gas.P1Y1TotalGasEnergy,7)="","",INDEX(I.Gas.P1Y1TotalGasEnergy,7))</f>
        <v/>
      </c>
      <c r="G25485" s="62"/>
      <c r="H25485" s="46" t="str">
        <f>IF(I.Developer.P1=FALSE,"Complete",IF(I.Product.P1GasToPowerStatus&lt;&gt;"Yes","Complete",IF(AND(I.Gas.P1Y1Count&gt;=7,F25485=""),"Incomplete","Complete")))</f>
        <v>Complete</v>
      </c>
      <c r="I25485" s="48" t="s">
        <v>664</v>
      </c>
    </row>
    <row r="25486" spans="2:9" ht="15" customHeight="1" x14ac:dyDescent="0.25">
      <c r="B25486" s="55" t="s">
        <v>356</v>
      </c>
      <c r="C25486" s="46">
        <v>8</v>
      </c>
      <c r="D25486" s="69" t="s">
        <v>29493</v>
      </c>
      <c r="E25486" s="62"/>
      <c r="F25486" s="62" t="str">
        <f>IF(INDEX(I.Gas.P1Y1TotalGasEnergy,8)="","",INDEX(I.Gas.P1Y1TotalGasEnergy,8))</f>
        <v/>
      </c>
      <c r="G25486" s="62"/>
      <c r="H25486" s="46" t="str">
        <f>IF(I.Developer.P1=FALSE,"Complete",IF(I.Product.P1GasToPowerStatus&lt;&gt;"Yes","Complete",IF(AND(I.Gas.P1Y1Count&gt;=8,F25486=""),"Incomplete","Complete")))</f>
        <v>Complete</v>
      </c>
      <c r="I25486" s="48" t="s">
        <v>665</v>
      </c>
    </row>
    <row r="25487" spans="2:9" ht="15" customHeight="1" x14ac:dyDescent="0.25">
      <c r="B25487" s="55" t="s">
        <v>356</v>
      </c>
      <c r="C25487" s="46">
        <v>9</v>
      </c>
      <c r="D25487" s="69" t="s">
        <v>29493</v>
      </c>
      <c r="E25487" s="62"/>
      <c r="F25487" s="62" t="str">
        <f>IF(INDEX(I.Gas.P1Y1TotalGasEnergy,9)="","",INDEX(I.Gas.P1Y1TotalGasEnergy,9))</f>
        <v/>
      </c>
      <c r="G25487" s="62"/>
      <c r="H25487" s="46" t="str">
        <f>IF(I.Developer.P1=FALSE,"Complete",IF(I.Product.P1GasToPowerStatus&lt;&gt;"Yes","Complete",IF(AND(I.Gas.P1Y1Count&gt;=9,F25487=""),"Incomplete","Complete")))</f>
        <v>Complete</v>
      </c>
      <c r="I25487" s="48" t="s">
        <v>666</v>
      </c>
    </row>
    <row r="25488" spans="2:9" ht="15" customHeight="1" x14ac:dyDescent="0.25">
      <c r="B25488" s="55" t="s">
        <v>356</v>
      </c>
      <c r="C25488" s="46">
        <v>10</v>
      </c>
      <c r="D25488" s="69" t="s">
        <v>29493</v>
      </c>
      <c r="E25488" s="62"/>
      <c r="F25488" s="62" t="str">
        <f>IF(INDEX(I.Gas.P1Y1TotalGasEnergy,10)="","",INDEX(I.Gas.P1Y1TotalGasEnergy,10))</f>
        <v/>
      </c>
      <c r="G25488" s="62"/>
      <c r="H25488" s="46" t="str">
        <f>IF(I.Developer.P1=FALSE,"Complete",IF(I.Product.P1GasToPowerStatus&lt;&gt;"Yes","Complete",IF(AND(I.Gas.P1Y1Count&gt;=10,F25488=""),"Incomplete","Complete")))</f>
        <v>Complete</v>
      </c>
      <c r="I25488" s="48" t="s">
        <v>667</v>
      </c>
    </row>
    <row r="25489" spans="2:9" ht="15" customHeight="1" x14ac:dyDescent="0.25">
      <c r="B25489" s="55" t="s">
        <v>356</v>
      </c>
      <c r="C25489" s="46">
        <v>11</v>
      </c>
      <c r="D25489" s="69" t="s">
        <v>29493</v>
      </c>
      <c r="E25489" s="62"/>
      <c r="F25489" s="62" t="str">
        <f>IF(INDEX(I.Gas.P1Y1TotalGasEnergy,11)="","",INDEX(I.Gas.P1Y1TotalGasEnergy,11))</f>
        <v/>
      </c>
      <c r="G25489" s="62"/>
      <c r="H25489" s="46" t="str">
        <f>IF(I.Developer.P1=FALSE,"Complete",IF(I.Product.P1GasToPowerStatus&lt;&gt;"Yes","Complete",IF(AND(I.Gas.P1Y1Count&gt;=11,F25489=""),"Incomplete","Complete")))</f>
        <v>Complete</v>
      </c>
      <c r="I25489" s="48" t="s">
        <v>668</v>
      </c>
    </row>
    <row r="25490" spans="2:9" ht="15" customHeight="1" x14ac:dyDescent="0.25">
      <c r="B25490" s="55" t="s">
        <v>356</v>
      </c>
      <c r="C25490" s="46">
        <v>12</v>
      </c>
      <c r="D25490" s="69" t="s">
        <v>29493</v>
      </c>
      <c r="E25490" s="62"/>
      <c r="F25490" s="62" t="str">
        <f>IF(INDEX(I.Gas.P1Y1TotalGasEnergy,12)="","",INDEX(I.Gas.P1Y1TotalGasEnergy,12))</f>
        <v/>
      </c>
      <c r="G25490" s="62"/>
      <c r="H25490" s="46" t="str">
        <f>IF(I.Developer.P1=FALSE,"Complete",IF(I.Product.P1GasToPowerStatus&lt;&gt;"Yes","Complete",IF(AND(I.Gas.P1Y1Count&gt;=12,F25490=""),"Incomplete","Complete")))</f>
        <v>Complete</v>
      </c>
      <c r="I25490" s="48" t="s">
        <v>669</v>
      </c>
    </row>
    <row r="25491" spans="2:9" ht="15" customHeight="1" x14ac:dyDescent="0.25">
      <c r="B25491" s="55" t="s">
        <v>356</v>
      </c>
      <c r="C25491" s="46">
        <v>13</v>
      </c>
      <c r="D25491" s="69" t="s">
        <v>29493</v>
      </c>
      <c r="E25491" s="62"/>
      <c r="F25491" s="62" t="str">
        <f>IF(INDEX(I.Gas.P1Y1TotalGasEnergy,13)="","",INDEX(I.Gas.P1Y1TotalGasEnergy,13))</f>
        <v/>
      </c>
      <c r="G25491" s="62"/>
      <c r="H25491" s="46" t="str">
        <f>IF(I.Developer.P1=FALSE,"Complete",IF(I.Product.P1GasToPowerStatus&lt;&gt;"Yes","Complete",IF(AND(I.Gas.P1Y1Count&gt;=13,F25491=""),"Incomplete","Complete")))</f>
        <v>Complete</v>
      </c>
      <c r="I25491" s="48" t="s">
        <v>670</v>
      </c>
    </row>
    <row r="25492" spans="2:9" ht="15" customHeight="1" x14ac:dyDescent="0.25">
      <c r="B25492" s="55" t="s">
        <v>356</v>
      </c>
      <c r="C25492" s="46">
        <v>14</v>
      </c>
      <c r="D25492" s="69" t="s">
        <v>29493</v>
      </c>
      <c r="E25492" s="62"/>
      <c r="F25492" s="62" t="str">
        <f>IF(INDEX(I.Gas.P1Y1TotalGasEnergy,14)="","",INDEX(I.Gas.P1Y1TotalGasEnergy,14))</f>
        <v/>
      </c>
      <c r="G25492" s="62"/>
      <c r="H25492" s="46" t="str">
        <f>IF(I.Developer.P1=FALSE,"Complete",IF(I.Product.P1GasToPowerStatus&lt;&gt;"Yes","Complete",IF(AND(I.Gas.P1Y1Count&gt;=14,F25492=""),"Incomplete","Complete")))</f>
        <v>Complete</v>
      </c>
      <c r="I25492" s="48" t="s">
        <v>671</v>
      </c>
    </row>
    <row r="25493" spans="2:9" ht="15" customHeight="1" x14ac:dyDescent="0.25">
      <c r="B25493" s="55" t="s">
        <v>356</v>
      </c>
      <c r="C25493" s="46">
        <v>15</v>
      </c>
      <c r="D25493" s="69" t="s">
        <v>29493</v>
      </c>
      <c r="E25493" s="62"/>
      <c r="F25493" s="62" t="str">
        <f>IF(INDEX(I.Gas.P1Y1TotalGasEnergy,15)="","",INDEX(I.Gas.P1Y1TotalGasEnergy,15))</f>
        <v/>
      </c>
      <c r="G25493" s="62"/>
      <c r="H25493" s="46" t="str">
        <f>IF(I.Developer.P1=FALSE,"Complete",IF(I.Product.P1GasToPowerStatus&lt;&gt;"Yes","Complete",IF(AND(I.Gas.P1Y1Count&gt;=15,F25493=""),"Incomplete","Complete")))</f>
        <v>Complete</v>
      </c>
      <c r="I25493" s="48" t="s">
        <v>672</v>
      </c>
    </row>
    <row r="25494" spans="2:9" ht="15" customHeight="1" x14ac:dyDescent="0.25">
      <c r="B25494" s="55" t="s">
        <v>356</v>
      </c>
      <c r="C25494" s="46">
        <v>16</v>
      </c>
      <c r="D25494" s="69" t="s">
        <v>29493</v>
      </c>
      <c r="E25494" s="62"/>
      <c r="F25494" s="62" t="str">
        <f>IF(INDEX(I.Gas.P1Y1TotalGasEnergy,16)="","",INDEX(I.Gas.P1Y1TotalGasEnergy,16))</f>
        <v/>
      </c>
      <c r="G25494" s="62"/>
      <c r="H25494" s="46" t="str">
        <f>IF(I.Developer.P1=FALSE,"Complete",IF(I.Product.P1GasToPowerStatus&lt;&gt;"Yes","Complete",IF(AND(I.Gas.P1Y1Count&gt;=16,F25494=""),"Incomplete","Complete")))</f>
        <v>Complete</v>
      </c>
      <c r="I25494" s="48" t="s">
        <v>673</v>
      </c>
    </row>
    <row r="25495" spans="2:9" ht="15" customHeight="1" x14ac:dyDescent="0.25">
      <c r="B25495" s="55" t="s">
        <v>356</v>
      </c>
      <c r="C25495" s="46">
        <v>17</v>
      </c>
      <c r="D25495" s="69" t="s">
        <v>29493</v>
      </c>
      <c r="E25495" s="62"/>
      <c r="F25495" s="62" t="str">
        <f>IF(INDEX(I.Gas.P1Y1TotalGasEnergy,17)="","",INDEX(I.Gas.P1Y1TotalGasEnergy,17))</f>
        <v/>
      </c>
      <c r="G25495" s="62"/>
      <c r="H25495" s="46" t="str">
        <f>IF(I.Developer.P1=FALSE,"Complete",IF(I.Product.P1GasToPowerStatus&lt;&gt;"Yes","Complete",IF(AND(I.Gas.P1Y1Count&gt;=17,F25495=""),"Incomplete","Complete")))</f>
        <v>Complete</v>
      </c>
      <c r="I25495" s="48" t="s">
        <v>674</v>
      </c>
    </row>
    <row r="25496" spans="2:9" ht="15" customHeight="1" x14ac:dyDescent="0.25">
      <c r="B25496" s="55" t="s">
        <v>356</v>
      </c>
      <c r="C25496" s="46">
        <v>18</v>
      </c>
      <c r="D25496" s="69" t="s">
        <v>29493</v>
      </c>
      <c r="E25496" s="62"/>
      <c r="F25496" s="62" t="str">
        <f>IF(INDEX(I.Gas.P1Y1TotalGasEnergy,18)="","",INDEX(I.Gas.P1Y1TotalGasEnergy,18))</f>
        <v/>
      </c>
      <c r="G25496" s="62"/>
      <c r="H25496" s="46" t="str">
        <f>IF(I.Developer.P1=FALSE,"Complete",IF(I.Product.P1GasToPowerStatus&lt;&gt;"Yes","Complete",IF(AND(I.Gas.P1Y1Count&gt;=18,F25496=""),"Incomplete","Complete")))</f>
        <v>Complete</v>
      </c>
      <c r="I25496" s="48" t="s">
        <v>675</v>
      </c>
    </row>
    <row r="25497" spans="2:9" ht="15" customHeight="1" x14ac:dyDescent="0.25">
      <c r="B25497" s="55" t="s">
        <v>356</v>
      </c>
      <c r="C25497" s="46">
        <v>19</v>
      </c>
      <c r="D25497" s="69" t="s">
        <v>29493</v>
      </c>
      <c r="E25497" s="62"/>
      <c r="F25497" s="62" t="str">
        <f>IF(INDEX(I.Gas.P1Y1TotalGasEnergy,19)="","",INDEX(I.Gas.P1Y1TotalGasEnergy,19))</f>
        <v/>
      </c>
      <c r="G25497" s="62"/>
      <c r="H25497" s="46" t="str">
        <f>IF(I.Developer.P1=FALSE,"Complete",IF(I.Product.P1GasToPowerStatus&lt;&gt;"Yes","Complete",IF(AND(I.Gas.P1Y1Count&gt;=19,F25497=""),"Incomplete","Complete")))</f>
        <v>Complete</v>
      </c>
      <c r="I25497" s="48" t="s">
        <v>676</v>
      </c>
    </row>
    <row r="25498" spans="2:9" ht="15" customHeight="1" x14ac:dyDescent="0.25">
      <c r="B25498" s="55" t="s">
        <v>356</v>
      </c>
      <c r="C25498" s="46">
        <v>20</v>
      </c>
      <c r="D25498" s="69" t="s">
        <v>29493</v>
      </c>
      <c r="E25498" s="62"/>
      <c r="F25498" s="62" t="str">
        <f>IF(INDEX(I.Gas.P1Y1TotalGasEnergy,20)="","",INDEX(I.Gas.P1Y1TotalGasEnergy,20))</f>
        <v/>
      </c>
      <c r="G25498" s="62"/>
      <c r="H25498" s="46" t="str">
        <f>IF(I.Developer.P1=FALSE,"Complete",IF(I.Product.P1GasToPowerStatus&lt;&gt;"Yes","Complete",IF(AND(I.Gas.P1Y1Count&gt;=20,F25498=""),"Incomplete","Complete")))</f>
        <v>Complete</v>
      </c>
      <c r="I25498" s="48" t="s">
        <v>677</v>
      </c>
    </row>
    <row r="25499" spans="2:9" ht="15" customHeight="1" x14ac:dyDescent="0.25">
      <c r="B25499" s="55" t="s">
        <v>356</v>
      </c>
      <c r="C25499" s="46">
        <v>21</v>
      </c>
      <c r="D25499" s="69" t="s">
        <v>29493</v>
      </c>
      <c r="E25499" s="62"/>
      <c r="F25499" s="62" t="str">
        <f>IF(INDEX(I.Gas.P1Y1TotalGasEnergy,21)="","",INDEX(I.Gas.P1Y1TotalGasEnergy,21))</f>
        <v/>
      </c>
      <c r="G25499" s="62"/>
      <c r="H25499" s="46" t="str">
        <f>IF(I.Developer.P1=FALSE,"Complete",IF(I.Product.P1GasToPowerStatus&lt;&gt;"Yes","Complete",IF(AND(I.Gas.P1Y1Count&gt;=21,F25499=""),"Incomplete","Complete")))</f>
        <v>Complete</v>
      </c>
      <c r="I25499" s="48" t="s">
        <v>678</v>
      </c>
    </row>
    <row r="25500" spans="2:9" ht="15" customHeight="1" x14ac:dyDescent="0.25">
      <c r="B25500" s="55" t="s">
        <v>356</v>
      </c>
      <c r="C25500" s="46">
        <v>22</v>
      </c>
      <c r="D25500" s="69" t="s">
        <v>29493</v>
      </c>
      <c r="E25500" s="62"/>
      <c r="F25500" s="62" t="str">
        <f>IF(INDEX(I.Gas.P1Y1TotalGasEnergy,22)="","",INDEX(I.Gas.P1Y1TotalGasEnergy,22))</f>
        <v/>
      </c>
      <c r="G25500" s="62"/>
      <c r="H25500" s="46" t="str">
        <f>IF(I.Developer.P1=FALSE,"Complete",IF(I.Product.P1GasToPowerStatus&lt;&gt;"Yes","Complete",IF(AND(I.Gas.P1Y1Count&gt;=22,F25500=""),"Incomplete","Complete")))</f>
        <v>Complete</v>
      </c>
      <c r="I25500" s="48" t="s">
        <v>679</v>
      </c>
    </row>
    <row r="25501" spans="2:9" ht="15" customHeight="1" x14ac:dyDescent="0.25">
      <c r="B25501" s="55" t="s">
        <v>356</v>
      </c>
      <c r="C25501" s="46">
        <v>23</v>
      </c>
      <c r="D25501" s="69" t="s">
        <v>29493</v>
      </c>
      <c r="E25501" s="62"/>
      <c r="F25501" s="62" t="str">
        <f>IF(INDEX(I.Gas.P1Y1TotalGasEnergy,23)="","",INDEX(I.Gas.P1Y1TotalGasEnergy,23))</f>
        <v/>
      </c>
      <c r="G25501" s="62"/>
      <c r="H25501" s="46" t="str">
        <f>IF(I.Developer.P1=FALSE,"Complete",IF(I.Product.P1GasToPowerStatus&lt;&gt;"Yes","Complete",IF(AND(I.Gas.P1Y1Count&gt;=23,F25501=""),"Incomplete","Complete")))</f>
        <v>Complete</v>
      </c>
      <c r="I25501" s="48" t="s">
        <v>680</v>
      </c>
    </row>
    <row r="25502" spans="2:9" ht="15" customHeight="1" x14ac:dyDescent="0.25">
      <c r="B25502" s="55" t="s">
        <v>356</v>
      </c>
      <c r="C25502" s="46">
        <v>24</v>
      </c>
      <c r="D25502" s="69" t="s">
        <v>29493</v>
      </c>
      <c r="E25502" s="62"/>
      <c r="F25502" s="62" t="str">
        <f>IF(INDEX(I.Gas.P1Y1TotalGasEnergy,24)="","",INDEX(I.Gas.P1Y1TotalGasEnergy,24))</f>
        <v/>
      </c>
      <c r="G25502" s="62"/>
      <c r="H25502" s="46" t="str">
        <f>IF(I.Developer.P1=FALSE,"Complete",IF(I.Product.P1GasToPowerStatus&lt;&gt;"Yes","Complete",IF(AND(I.Gas.P1Y1Count&gt;=24,F25502=""),"Incomplete","Complete")))</f>
        <v>Complete</v>
      </c>
      <c r="I25502" s="48" t="s">
        <v>681</v>
      </c>
    </row>
    <row r="25503" spans="2:9" ht="15" customHeight="1" x14ac:dyDescent="0.25">
      <c r="B25503" s="55" t="s">
        <v>356</v>
      </c>
      <c r="C25503" s="46">
        <v>25</v>
      </c>
      <c r="D25503" s="69" t="s">
        <v>29493</v>
      </c>
      <c r="E25503" s="62"/>
      <c r="F25503" s="62" t="str">
        <f>IF(INDEX(I.Gas.P1Y1TotalGasEnergy,25)="","",INDEX(I.Gas.P1Y1TotalGasEnergy,25))</f>
        <v/>
      </c>
      <c r="G25503" s="62"/>
      <c r="H25503" s="46" t="str">
        <f>IF(I.Developer.P1=FALSE,"Complete",IF(I.Product.P1GasToPowerStatus&lt;&gt;"Yes","Complete",IF(AND(I.Gas.P1Y1Count&gt;=25,F25503=""),"Incomplete","Complete")))</f>
        <v>Complete</v>
      </c>
      <c r="I25503" s="48" t="s">
        <v>682</v>
      </c>
    </row>
    <row r="25504" spans="2:9" ht="15" customHeight="1" x14ac:dyDescent="0.25">
      <c r="B25504" s="55" t="s">
        <v>356</v>
      </c>
      <c r="C25504" s="46">
        <v>26</v>
      </c>
      <c r="D25504" s="69" t="s">
        <v>29493</v>
      </c>
      <c r="E25504" s="62"/>
      <c r="F25504" s="62" t="str">
        <f>IF(INDEX(I.Gas.P1Y1TotalGasEnergy,26)="","",INDEX(I.Gas.P1Y1TotalGasEnergy,26))</f>
        <v/>
      </c>
      <c r="G25504" s="62"/>
      <c r="H25504" s="46" t="str">
        <f>IF(I.Developer.P1=FALSE,"Complete",IF(I.Product.P1GasToPowerStatus&lt;&gt;"Yes","Complete",IF(AND(I.Gas.P1Y1Count&gt;=26,F25504=""),"Incomplete","Complete")))</f>
        <v>Complete</v>
      </c>
      <c r="I25504" s="48" t="s">
        <v>683</v>
      </c>
    </row>
    <row r="25505" spans="2:9" ht="15" customHeight="1" x14ac:dyDescent="0.25">
      <c r="B25505" s="55" t="s">
        <v>356</v>
      </c>
      <c r="C25505" s="46">
        <v>27</v>
      </c>
      <c r="D25505" s="69" t="s">
        <v>29493</v>
      </c>
      <c r="E25505" s="62"/>
      <c r="F25505" s="62" t="str">
        <f>IF(INDEX(I.Gas.P1Y1TotalGasEnergy,27)="","",INDEX(I.Gas.P1Y1TotalGasEnergy,27))</f>
        <v/>
      </c>
      <c r="G25505" s="62"/>
      <c r="H25505" s="46" t="str">
        <f>IF(I.Developer.P1=FALSE,"Complete",IF(I.Product.P1GasToPowerStatus&lt;&gt;"Yes","Complete",IF(AND(I.Gas.P1Y1Count&gt;=27,F25505=""),"Incomplete","Complete")))</f>
        <v>Complete</v>
      </c>
      <c r="I25505" s="48" t="s">
        <v>684</v>
      </c>
    </row>
    <row r="25506" spans="2:9" ht="15" customHeight="1" x14ac:dyDescent="0.25">
      <c r="B25506" s="55" t="s">
        <v>356</v>
      </c>
      <c r="C25506" s="46">
        <v>28</v>
      </c>
      <c r="D25506" s="69" t="s">
        <v>29493</v>
      </c>
      <c r="E25506" s="62"/>
      <c r="F25506" s="62" t="str">
        <f>IF(INDEX(I.Gas.P1Y1TotalGasEnergy,28)="","",INDEX(I.Gas.P1Y1TotalGasEnergy,28))</f>
        <v/>
      </c>
      <c r="G25506" s="62"/>
      <c r="H25506" s="46" t="str">
        <f>IF(I.Developer.P1=FALSE,"Complete",IF(I.Product.P1GasToPowerStatus&lt;&gt;"Yes","Complete",IF(AND(I.Gas.P1Y1Count&gt;=28,F25506=""),"Incomplete","Complete")))</f>
        <v>Complete</v>
      </c>
      <c r="I25506" s="48" t="s">
        <v>685</v>
      </c>
    </row>
    <row r="25507" spans="2:9" ht="15" customHeight="1" x14ac:dyDescent="0.25">
      <c r="B25507" s="55" t="s">
        <v>356</v>
      </c>
      <c r="C25507" s="46">
        <v>29</v>
      </c>
      <c r="D25507" s="69" t="s">
        <v>29493</v>
      </c>
      <c r="E25507" s="62"/>
      <c r="F25507" s="62" t="str">
        <f>IF(INDEX(I.Gas.P1Y1TotalGasEnergy,29)="","",INDEX(I.Gas.P1Y1TotalGasEnergy,29))</f>
        <v/>
      </c>
      <c r="G25507" s="62"/>
      <c r="H25507" s="46" t="str">
        <f>IF(I.Developer.P1=FALSE,"Complete",IF(I.Product.P1GasToPowerStatus&lt;&gt;"Yes","Complete",IF(AND(I.Gas.P1Y1Count&gt;=29,F25507=""),"Incomplete","Complete")))</f>
        <v>Complete</v>
      </c>
      <c r="I25507" s="48" t="s">
        <v>686</v>
      </c>
    </row>
    <row r="25508" spans="2:9" ht="15" customHeight="1" x14ac:dyDescent="0.25">
      <c r="B25508" s="55" t="s">
        <v>356</v>
      </c>
      <c r="C25508" s="46">
        <v>30</v>
      </c>
      <c r="D25508" s="69" t="s">
        <v>29493</v>
      </c>
      <c r="E25508" s="62"/>
      <c r="F25508" s="62" t="str">
        <f>IF(INDEX(I.Gas.P1Y1TotalGasEnergy,30)="","",INDEX(I.Gas.P1Y1TotalGasEnergy,30))</f>
        <v/>
      </c>
      <c r="G25508" s="62"/>
      <c r="H25508" s="46" t="str">
        <f>IF(I.Developer.P1=FALSE,"Complete",IF(I.Product.P1GasToPowerStatus&lt;&gt;"Yes","Complete",IF(AND(I.Gas.P1Y1Count&gt;=30,F25508=""),"Incomplete","Complete")))</f>
        <v>Complete</v>
      </c>
      <c r="I25508" s="48" t="s">
        <v>687</v>
      </c>
    </row>
    <row r="25509" spans="2:9" ht="15" customHeight="1" x14ac:dyDescent="0.25">
      <c r="B25509" s="55" t="s">
        <v>356</v>
      </c>
      <c r="C25509" s="46">
        <v>31</v>
      </c>
      <c r="D25509" s="69" t="s">
        <v>29493</v>
      </c>
      <c r="E25509" s="62"/>
      <c r="F25509" s="62" t="str">
        <f>IF(INDEX(I.Gas.P1Y1TotalGasEnergy,31)="","",INDEX(I.Gas.P1Y1TotalGasEnergy,31))</f>
        <v/>
      </c>
      <c r="G25509" s="62"/>
      <c r="H25509" s="46" t="str">
        <f>IF(I.Developer.P1=FALSE,"Complete",IF(I.Product.P1GasToPowerStatus&lt;&gt;"Yes","Complete",IF(AND(I.Gas.P1Y1Count&gt;=31,F25509=""),"Incomplete","Complete")))</f>
        <v>Complete</v>
      </c>
      <c r="I25509" s="48" t="s">
        <v>688</v>
      </c>
    </row>
    <row r="25510" spans="2:9" ht="15" customHeight="1" x14ac:dyDescent="0.25">
      <c r="B25510" s="55" t="s">
        <v>356</v>
      </c>
      <c r="C25510" s="46">
        <v>32</v>
      </c>
      <c r="D25510" s="69" t="s">
        <v>29493</v>
      </c>
      <c r="E25510" s="62"/>
      <c r="F25510" s="62" t="str">
        <f>IF(INDEX(I.Gas.P1Y1TotalGasEnergy,32)="","",INDEX(I.Gas.P1Y1TotalGasEnergy,32))</f>
        <v/>
      </c>
      <c r="G25510" s="62"/>
      <c r="H25510" s="46" t="str">
        <f>IF(I.Developer.P1=FALSE,"Complete",IF(I.Product.P1GasToPowerStatus&lt;&gt;"Yes","Complete",IF(AND(I.Gas.P1Y1Count&gt;=32,F25510=""),"Incomplete","Complete")))</f>
        <v>Complete</v>
      </c>
      <c r="I25510" s="48" t="s">
        <v>689</v>
      </c>
    </row>
    <row r="25511" spans="2:9" ht="15" customHeight="1" x14ac:dyDescent="0.25">
      <c r="B25511" s="55" t="s">
        <v>356</v>
      </c>
      <c r="C25511" s="46">
        <v>33</v>
      </c>
      <c r="D25511" s="69" t="s">
        <v>29493</v>
      </c>
      <c r="E25511" s="62"/>
      <c r="F25511" s="62" t="str">
        <f>IF(INDEX(I.Gas.P1Y1TotalGasEnergy,33)="","",INDEX(I.Gas.P1Y1TotalGasEnergy,33))</f>
        <v/>
      </c>
      <c r="G25511" s="62"/>
      <c r="H25511" s="46" t="str">
        <f>IF(I.Developer.P1=FALSE,"Complete",IF(I.Product.P1GasToPowerStatus&lt;&gt;"Yes","Complete",IF(AND(I.Gas.P1Y1Count&gt;=33,F25511=""),"Incomplete","Complete")))</f>
        <v>Complete</v>
      </c>
      <c r="I25511" s="48" t="s">
        <v>690</v>
      </c>
    </row>
    <row r="25512" spans="2:9" ht="15" customHeight="1" x14ac:dyDescent="0.25">
      <c r="B25512" s="55" t="s">
        <v>356</v>
      </c>
      <c r="C25512" s="46">
        <v>34</v>
      </c>
      <c r="D25512" s="69" t="s">
        <v>29493</v>
      </c>
      <c r="E25512" s="62"/>
      <c r="F25512" s="62" t="str">
        <f>IF(INDEX(I.Gas.P1Y1TotalGasEnergy,34)="","",INDEX(I.Gas.P1Y1TotalGasEnergy,34))</f>
        <v/>
      </c>
      <c r="G25512" s="62"/>
      <c r="H25512" s="46" t="str">
        <f>IF(I.Developer.P1=FALSE,"Complete",IF(I.Product.P1GasToPowerStatus&lt;&gt;"Yes","Complete",IF(AND(I.Gas.P1Y1Count&gt;=34,F25512=""),"Incomplete","Complete")))</f>
        <v>Complete</v>
      </c>
      <c r="I25512" s="48" t="s">
        <v>691</v>
      </c>
    </row>
    <row r="25513" spans="2:9" ht="15" customHeight="1" x14ac:dyDescent="0.25">
      <c r="B25513" s="55" t="s">
        <v>356</v>
      </c>
      <c r="C25513" s="46">
        <v>35</v>
      </c>
      <c r="D25513" s="69" t="s">
        <v>29493</v>
      </c>
      <c r="E25513" s="62"/>
      <c r="F25513" s="62" t="str">
        <f>IF(INDEX(I.Gas.P1Y1TotalGasEnergy,35)="","",INDEX(I.Gas.P1Y1TotalGasEnergy,35))</f>
        <v/>
      </c>
      <c r="G25513" s="62"/>
      <c r="H25513" s="46" t="str">
        <f>IF(I.Developer.P1=FALSE,"Complete",IF(I.Product.P1GasToPowerStatus&lt;&gt;"Yes","Complete",IF(AND(I.Gas.P1Y1Count&gt;=35,F25513=""),"Incomplete","Complete")))</f>
        <v>Complete</v>
      </c>
      <c r="I25513" s="48" t="s">
        <v>692</v>
      </c>
    </row>
    <row r="25514" spans="2:9" ht="15" customHeight="1" x14ac:dyDescent="0.25">
      <c r="B25514" s="55" t="s">
        <v>356</v>
      </c>
      <c r="C25514" s="46">
        <v>36</v>
      </c>
      <c r="D25514" s="69" t="s">
        <v>29493</v>
      </c>
      <c r="E25514" s="62"/>
      <c r="F25514" s="62" t="str">
        <f>IF(INDEX(I.Gas.P1Y1TotalGasEnergy,36)="","",INDEX(I.Gas.P1Y1TotalGasEnergy,36))</f>
        <v/>
      </c>
      <c r="G25514" s="62"/>
      <c r="H25514" s="46" t="str">
        <f>IF(I.Developer.P1=FALSE,"Complete",IF(I.Product.P1GasToPowerStatus&lt;&gt;"Yes","Complete",IF(AND(I.Gas.P1Y1Count&gt;=36,F25514=""),"Incomplete","Complete")))</f>
        <v>Complete</v>
      </c>
      <c r="I25514" s="48" t="s">
        <v>693</v>
      </c>
    </row>
    <row r="25515" spans="2:9" ht="15" customHeight="1" x14ac:dyDescent="0.25">
      <c r="B25515" s="55" t="s">
        <v>356</v>
      </c>
      <c r="C25515" s="46">
        <v>37</v>
      </c>
      <c r="D25515" s="69" t="s">
        <v>29493</v>
      </c>
      <c r="E25515" s="62"/>
      <c r="F25515" s="62" t="str">
        <f>IF(INDEX(I.Gas.P1Y1TotalGasEnergy,37)="","",INDEX(I.Gas.P1Y1TotalGasEnergy,37))</f>
        <v/>
      </c>
      <c r="G25515" s="62"/>
      <c r="H25515" s="46" t="str">
        <f>IF(I.Developer.P1=FALSE,"Complete",IF(I.Product.P1GasToPowerStatus&lt;&gt;"Yes","Complete",IF(AND(I.Gas.P1Y1Count&gt;=37,F25515=""),"Incomplete","Complete")))</f>
        <v>Complete</v>
      </c>
      <c r="I25515" s="48" t="s">
        <v>694</v>
      </c>
    </row>
    <row r="25516" spans="2:9" ht="15" customHeight="1" x14ac:dyDescent="0.25">
      <c r="B25516" s="55" t="s">
        <v>356</v>
      </c>
      <c r="C25516" s="46">
        <v>38</v>
      </c>
      <c r="D25516" s="69" t="s">
        <v>29493</v>
      </c>
      <c r="E25516" s="62"/>
      <c r="F25516" s="62" t="str">
        <f>IF(INDEX(I.Gas.P1Y1TotalGasEnergy,38)="","",INDEX(I.Gas.P1Y1TotalGasEnergy,38))</f>
        <v/>
      </c>
      <c r="G25516" s="62"/>
      <c r="H25516" s="46" t="str">
        <f>IF(I.Developer.P1=FALSE,"Complete",IF(I.Product.P1GasToPowerStatus&lt;&gt;"Yes","Complete",IF(AND(I.Gas.P1Y1Count&gt;=38,F25516=""),"Incomplete","Complete")))</f>
        <v>Complete</v>
      </c>
      <c r="I25516" s="48" t="s">
        <v>695</v>
      </c>
    </row>
    <row r="25517" spans="2:9" ht="15" customHeight="1" x14ac:dyDescent="0.25">
      <c r="B25517" s="55" t="s">
        <v>356</v>
      </c>
      <c r="C25517" s="46">
        <v>39</v>
      </c>
      <c r="D25517" s="69" t="s">
        <v>29493</v>
      </c>
      <c r="E25517" s="62"/>
      <c r="F25517" s="62" t="str">
        <f>IF(INDEX(I.Gas.P1Y1TotalGasEnergy,39)="","",INDEX(I.Gas.P1Y1TotalGasEnergy,39))</f>
        <v/>
      </c>
      <c r="G25517" s="62"/>
      <c r="H25517" s="46" t="str">
        <f>IF(I.Developer.P1=FALSE,"Complete",IF(I.Product.P1GasToPowerStatus&lt;&gt;"Yes","Complete",IF(AND(I.Gas.P1Y1Count&gt;=39,F25517=""),"Incomplete","Complete")))</f>
        <v>Complete</v>
      </c>
      <c r="I25517" s="48" t="s">
        <v>696</v>
      </c>
    </row>
    <row r="25518" spans="2:9" ht="15" customHeight="1" x14ac:dyDescent="0.25">
      <c r="B25518" s="55" t="s">
        <v>356</v>
      </c>
      <c r="C25518" s="46">
        <v>40</v>
      </c>
      <c r="D25518" s="69" t="s">
        <v>29493</v>
      </c>
      <c r="E25518" s="62"/>
      <c r="F25518" s="62" t="str">
        <f>IF(INDEX(I.Gas.P1Y1TotalGasEnergy,40)="","",INDEX(I.Gas.P1Y1TotalGasEnergy,40))</f>
        <v/>
      </c>
      <c r="G25518" s="62"/>
      <c r="H25518" s="46" t="str">
        <f>IF(I.Developer.P1=FALSE,"Complete",IF(I.Product.P1GasToPowerStatus&lt;&gt;"Yes","Complete",IF(AND(I.Gas.P1Y1Count&gt;=40,F25518=""),"Incomplete","Complete")))</f>
        <v>Complete</v>
      </c>
      <c r="I25518" s="48" t="s">
        <v>697</v>
      </c>
    </row>
    <row r="25519" spans="2:9" ht="15" customHeight="1" x14ac:dyDescent="0.25">
      <c r="B25519" s="55" t="s">
        <v>356</v>
      </c>
      <c r="C25519" s="46">
        <v>41</v>
      </c>
      <c r="D25519" s="69" t="s">
        <v>29493</v>
      </c>
      <c r="E25519" s="62"/>
      <c r="F25519" s="62" t="str">
        <f>IF(INDEX(I.Gas.P1Y1TotalGasEnergy,41)="","",INDEX(I.Gas.P1Y1TotalGasEnergy,41))</f>
        <v/>
      </c>
      <c r="G25519" s="62"/>
      <c r="H25519" s="46" t="str">
        <f>IF(I.Developer.P1=FALSE,"Complete",IF(I.Product.P1GasToPowerStatus&lt;&gt;"Yes","Complete",IF(AND(I.Gas.P1Y1Count&gt;=41,F25519=""),"Incomplete","Complete")))</f>
        <v>Complete</v>
      </c>
      <c r="I25519" s="48" t="s">
        <v>698</v>
      </c>
    </row>
    <row r="25520" spans="2:9" ht="15" customHeight="1" x14ac:dyDescent="0.25">
      <c r="B25520" s="55" t="s">
        <v>356</v>
      </c>
      <c r="C25520" s="46">
        <v>42</v>
      </c>
      <c r="D25520" s="69" t="s">
        <v>29493</v>
      </c>
      <c r="E25520" s="62"/>
      <c r="F25520" s="62" t="str">
        <f>IF(INDEX(I.Gas.P1Y1TotalGasEnergy,42)="","",INDEX(I.Gas.P1Y1TotalGasEnergy,42))</f>
        <v/>
      </c>
      <c r="G25520" s="62"/>
      <c r="H25520" s="46" t="str">
        <f>IF(I.Developer.P1=FALSE,"Complete",IF(I.Product.P1GasToPowerStatus&lt;&gt;"Yes","Complete",IF(AND(I.Gas.P1Y1Count&gt;=42,F25520=""),"Incomplete","Complete")))</f>
        <v>Complete</v>
      </c>
      <c r="I25520" s="48" t="s">
        <v>699</v>
      </c>
    </row>
    <row r="25521" spans="2:9" ht="15" customHeight="1" x14ac:dyDescent="0.25">
      <c r="B25521" s="55" t="s">
        <v>356</v>
      </c>
      <c r="C25521" s="46">
        <v>43</v>
      </c>
      <c r="D25521" s="69" t="s">
        <v>29493</v>
      </c>
      <c r="E25521" s="62"/>
      <c r="F25521" s="62" t="str">
        <f>IF(INDEX(I.Gas.P1Y1TotalGasEnergy,43)="","",INDEX(I.Gas.P1Y1TotalGasEnergy,43))</f>
        <v/>
      </c>
      <c r="G25521" s="62"/>
      <c r="H25521" s="46" t="str">
        <f>IF(I.Developer.P1=FALSE,"Complete",IF(I.Product.P1GasToPowerStatus&lt;&gt;"Yes","Complete",IF(AND(I.Gas.P1Y1Count&gt;=43,F25521=""),"Incomplete","Complete")))</f>
        <v>Complete</v>
      </c>
      <c r="I25521" s="48" t="s">
        <v>700</v>
      </c>
    </row>
    <row r="25522" spans="2:9" ht="15" customHeight="1" x14ac:dyDescent="0.25">
      <c r="B25522" s="55" t="s">
        <v>356</v>
      </c>
      <c r="C25522" s="46">
        <v>44</v>
      </c>
      <c r="D25522" s="69" t="s">
        <v>29493</v>
      </c>
      <c r="E25522" s="62"/>
      <c r="F25522" s="62" t="str">
        <f>IF(INDEX(I.Gas.P1Y1TotalGasEnergy,44)="","",INDEX(I.Gas.P1Y1TotalGasEnergy,44))</f>
        <v/>
      </c>
      <c r="G25522" s="62"/>
      <c r="H25522" s="46" t="str">
        <f>IF(I.Developer.P1=FALSE,"Complete",IF(I.Product.P1GasToPowerStatus&lt;&gt;"Yes","Complete",IF(AND(I.Gas.P1Y1Count&gt;=44,F25522=""),"Incomplete","Complete")))</f>
        <v>Complete</v>
      </c>
      <c r="I25522" s="48" t="s">
        <v>701</v>
      </c>
    </row>
    <row r="25523" spans="2:9" ht="15" customHeight="1" x14ac:dyDescent="0.25">
      <c r="B25523" s="55" t="s">
        <v>356</v>
      </c>
      <c r="C25523" s="46">
        <v>45</v>
      </c>
      <c r="D25523" s="69" t="s">
        <v>29493</v>
      </c>
      <c r="E25523" s="62"/>
      <c r="F25523" s="62" t="str">
        <f>IF(INDEX(I.Gas.P1Y1TotalGasEnergy,45)="","",INDEX(I.Gas.P1Y1TotalGasEnergy,45))</f>
        <v/>
      </c>
      <c r="G25523" s="62"/>
      <c r="H25523" s="46" t="str">
        <f>IF(I.Developer.P1=FALSE,"Complete",IF(I.Product.P1GasToPowerStatus&lt;&gt;"Yes","Complete",IF(AND(I.Gas.P1Y1Count&gt;=45,F25523=""),"Incomplete","Complete")))</f>
        <v>Complete</v>
      </c>
      <c r="I25523" s="48" t="s">
        <v>702</v>
      </c>
    </row>
    <row r="25524" spans="2:9" ht="15" customHeight="1" x14ac:dyDescent="0.25">
      <c r="B25524" s="55" t="s">
        <v>356</v>
      </c>
      <c r="C25524" s="46">
        <v>46</v>
      </c>
      <c r="D25524" s="69" t="s">
        <v>29493</v>
      </c>
      <c r="E25524" s="62"/>
      <c r="F25524" s="62" t="str">
        <f>IF(INDEX(I.Gas.P1Y1TotalGasEnergy,46)="","",INDEX(I.Gas.P1Y1TotalGasEnergy,46))</f>
        <v/>
      </c>
      <c r="G25524" s="62"/>
      <c r="H25524" s="46" t="str">
        <f>IF(I.Developer.P1=FALSE,"Complete",IF(I.Product.P1GasToPowerStatus&lt;&gt;"Yes","Complete",IF(AND(I.Gas.P1Y1Count&gt;=46,F25524=""),"Incomplete","Complete")))</f>
        <v>Complete</v>
      </c>
      <c r="I25524" s="48" t="s">
        <v>703</v>
      </c>
    </row>
    <row r="25525" spans="2:9" ht="15" customHeight="1" x14ac:dyDescent="0.25">
      <c r="B25525" s="55" t="s">
        <v>356</v>
      </c>
      <c r="C25525" s="46">
        <v>47</v>
      </c>
      <c r="D25525" s="69" t="s">
        <v>29493</v>
      </c>
      <c r="E25525" s="62"/>
      <c r="F25525" s="62" t="str">
        <f>IF(INDEX(I.Gas.P1Y1TotalGasEnergy,47)="","",INDEX(I.Gas.P1Y1TotalGasEnergy,47))</f>
        <v/>
      </c>
      <c r="G25525" s="62"/>
      <c r="H25525" s="46" t="str">
        <f>IF(I.Developer.P1=FALSE,"Complete",IF(I.Product.P1GasToPowerStatus&lt;&gt;"Yes","Complete",IF(AND(I.Gas.P1Y1Count&gt;=47,F25525=""),"Incomplete","Complete")))</f>
        <v>Complete</v>
      </c>
      <c r="I25525" s="48" t="s">
        <v>704</v>
      </c>
    </row>
    <row r="25526" spans="2:9" ht="15" customHeight="1" x14ac:dyDescent="0.25">
      <c r="B25526" s="55" t="s">
        <v>356</v>
      </c>
      <c r="C25526" s="46">
        <v>48</v>
      </c>
      <c r="D25526" s="69" t="s">
        <v>29493</v>
      </c>
      <c r="E25526" s="62"/>
      <c r="F25526" s="62" t="str">
        <f>IF(INDEX(I.Gas.P1Y1TotalGasEnergy,48)="","",INDEX(I.Gas.P1Y1TotalGasEnergy,48))</f>
        <v/>
      </c>
      <c r="G25526" s="62"/>
      <c r="H25526" s="46" t="str">
        <f>IF(I.Developer.P1=FALSE,"Complete",IF(I.Product.P1GasToPowerStatus&lt;&gt;"Yes","Complete",IF(AND(I.Gas.P1Y1Count&gt;=48,F25526=""),"Incomplete","Complete")))</f>
        <v>Complete</v>
      </c>
      <c r="I25526" s="48" t="s">
        <v>705</v>
      </c>
    </row>
    <row r="25527" spans="2:9" ht="15" customHeight="1" x14ac:dyDescent="0.25">
      <c r="B25527" s="55" t="s">
        <v>356</v>
      </c>
      <c r="C25527" s="46">
        <v>49</v>
      </c>
      <c r="D25527" s="69" t="s">
        <v>29493</v>
      </c>
      <c r="E25527" s="62"/>
      <c r="F25527" s="62" t="str">
        <f>IF(INDEX(I.Gas.P1Y1TotalGasEnergy,49)="","",INDEX(I.Gas.P1Y1TotalGasEnergy,49))</f>
        <v/>
      </c>
      <c r="G25527" s="62"/>
      <c r="H25527" s="46" t="str">
        <f>IF(I.Developer.P1=FALSE,"Complete",IF(I.Product.P1GasToPowerStatus&lt;&gt;"Yes","Complete",IF(AND(I.Gas.P1Y1Count&gt;=49,F25527=""),"Incomplete","Complete")))</f>
        <v>Complete</v>
      </c>
      <c r="I25527" s="48" t="s">
        <v>706</v>
      </c>
    </row>
    <row r="25528" spans="2:9" ht="15" customHeight="1" x14ac:dyDescent="0.25">
      <c r="B25528" s="56" t="s">
        <v>356</v>
      </c>
      <c r="C25528" s="57">
        <v>50</v>
      </c>
      <c r="D25528" s="71" t="s">
        <v>29493</v>
      </c>
      <c r="E25528" s="61"/>
      <c r="F25528" s="61" t="str">
        <f>IF(INDEX(I.Gas.P1Y1TotalGasEnergy,50)="","",INDEX(I.Gas.P1Y1TotalGasEnergy,50))</f>
        <v/>
      </c>
      <c r="G25528" s="61"/>
      <c r="H25528" s="57" t="str">
        <f>IF(I.Developer.P1=FALSE,"Complete",IF(I.Product.P1GasToPowerStatus&lt;&gt;"Yes","Complete",IF(AND(I.Gas.P1Y1Count&gt;=50,F25528=""),"Incomplete","Complete")))</f>
        <v>Complete</v>
      </c>
      <c r="I25528" s="49" t="s">
        <v>707</v>
      </c>
    </row>
    <row r="25529" spans="2:9" ht="15" customHeight="1" x14ac:dyDescent="0.25">
      <c r="B25529" s="55" t="s">
        <v>357</v>
      </c>
      <c r="C25529" s="46">
        <v>1</v>
      </c>
      <c r="D25529" s="69" t="s">
        <v>29494</v>
      </c>
      <c r="E25529" s="62"/>
      <c r="F25529" s="62" t="str">
        <f>IF(INDEX(I.Gas.P1Y1ElectricityGeneration,1)="","",INDEX(I.Gas.P1Y1ElectricityGeneration,1))</f>
        <v/>
      </c>
      <c r="G25529" s="62"/>
      <c r="H25529" s="46" t="str">
        <f>IF(I.Developer.P1=FALSE,"Complete",IF(I.Product.P1GasToPowerStatus&lt;&gt;"Yes","Complete",IF(AND(I.Gas.P1Y1Count&gt;=1,F25529=""),"Incomplete","Complete")))</f>
        <v>Complete</v>
      </c>
      <c r="I25529" s="48" t="s">
        <v>708</v>
      </c>
    </row>
    <row r="25530" spans="2:9" ht="15" customHeight="1" x14ac:dyDescent="0.25">
      <c r="B25530" s="55" t="s">
        <v>357</v>
      </c>
      <c r="C25530" s="46">
        <v>2</v>
      </c>
      <c r="D25530" s="69" t="s">
        <v>29494</v>
      </c>
      <c r="E25530" s="62"/>
      <c r="F25530" s="62" t="str">
        <f>IF(INDEX(I.Gas.P1Y1ElectricityGeneration,2)="","",INDEX(I.Gas.P1Y1ElectricityGeneration,2))</f>
        <v/>
      </c>
      <c r="G25530" s="62"/>
      <c r="H25530" s="46" t="str">
        <f>IF(I.Developer.P1=FALSE,"Complete",IF(I.Product.P1GasToPowerStatus&lt;&gt;"Yes","Complete",IF(AND(I.Gas.P1Y1Count&gt;=2,F25530=""),"Incomplete","Complete")))</f>
        <v>Complete</v>
      </c>
      <c r="I25530" s="48" t="s">
        <v>709</v>
      </c>
    </row>
    <row r="25531" spans="2:9" ht="15" customHeight="1" x14ac:dyDescent="0.25">
      <c r="B25531" s="55" t="s">
        <v>357</v>
      </c>
      <c r="C25531" s="46">
        <v>3</v>
      </c>
      <c r="D25531" s="69" t="s">
        <v>29494</v>
      </c>
      <c r="E25531" s="62"/>
      <c r="F25531" s="62" t="str">
        <f>IF(INDEX(I.Gas.P1Y1ElectricityGeneration,3)="","",INDEX(I.Gas.P1Y1ElectricityGeneration,3))</f>
        <v/>
      </c>
      <c r="G25531" s="62"/>
      <c r="H25531" s="46" t="str">
        <f>IF(I.Developer.P1=FALSE,"Complete",IF(I.Product.P1GasToPowerStatus&lt;&gt;"Yes","Complete",IF(AND(I.Gas.P1Y1Count&gt;=3,F25531=""),"Incomplete","Complete")))</f>
        <v>Complete</v>
      </c>
      <c r="I25531" s="48" t="s">
        <v>710</v>
      </c>
    </row>
    <row r="25532" spans="2:9" ht="15" customHeight="1" x14ac:dyDescent="0.25">
      <c r="B25532" s="55" t="s">
        <v>357</v>
      </c>
      <c r="C25532" s="46">
        <v>4</v>
      </c>
      <c r="D25532" s="69" t="s">
        <v>29494</v>
      </c>
      <c r="E25532" s="62"/>
      <c r="F25532" s="62" t="str">
        <f>IF(INDEX(I.Gas.P1Y1ElectricityGeneration,4)="","",INDEX(I.Gas.P1Y1ElectricityGeneration,4))</f>
        <v/>
      </c>
      <c r="G25532" s="62"/>
      <c r="H25532" s="46" t="str">
        <f>IF(I.Developer.P1=FALSE,"Complete",IF(I.Product.P1GasToPowerStatus&lt;&gt;"Yes","Complete",IF(AND(I.Gas.P1Y1Count&gt;=4,F25532=""),"Incomplete","Complete")))</f>
        <v>Complete</v>
      </c>
      <c r="I25532" s="48" t="s">
        <v>711</v>
      </c>
    </row>
    <row r="25533" spans="2:9" ht="15" customHeight="1" x14ac:dyDescent="0.25">
      <c r="B25533" s="55" t="s">
        <v>357</v>
      </c>
      <c r="C25533" s="46">
        <v>5</v>
      </c>
      <c r="D25533" s="69" t="s">
        <v>29494</v>
      </c>
      <c r="E25533" s="62"/>
      <c r="F25533" s="62" t="str">
        <f>IF(INDEX(I.Gas.P1Y1ElectricityGeneration,5)="","",INDEX(I.Gas.P1Y1ElectricityGeneration,5))</f>
        <v/>
      </c>
      <c r="G25533" s="62"/>
      <c r="H25533" s="46" t="str">
        <f>IF(I.Developer.P1=FALSE,"Complete",IF(I.Product.P1GasToPowerStatus&lt;&gt;"Yes","Complete",IF(AND(I.Gas.P1Y1Count&gt;=5,F25533=""),"Incomplete","Complete")))</f>
        <v>Complete</v>
      </c>
      <c r="I25533" s="48" t="s">
        <v>712</v>
      </c>
    </row>
    <row r="25534" spans="2:9" ht="15" customHeight="1" x14ac:dyDescent="0.25">
      <c r="B25534" s="55" t="s">
        <v>357</v>
      </c>
      <c r="C25534" s="46">
        <v>6</v>
      </c>
      <c r="D25534" s="69" t="s">
        <v>29494</v>
      </c>
      <c r="E25534" s="62"/>
      <c r="F25534" s="62" t="str">
        <f>IF(INDEX(I.Gas.P1Y1ElectricityGeneration,6)="","",INDEX(I.Gas.P1Y1ElectricityGeneration,6))</f>
        <v/>
      </c>
      <c r="G25534" s="62"/>
      <c r="H25534" s="46" t="str">
        <f>IF(I.Developer.P1=FALSE,"Complete",IF(I.Product.P1GasToPowerStatus&lt;&gt;"Yes","Complete",IF(AND(I.Gas.P1Y1Count&gt;=6,F25534=""),"Incomplete","Complete")))</f>
        <v>Complete</v>
      </c>
      <c r="I25534" s="48" t="s">
        <v>713</v>
      </c>
    </row>
    <row r="25535" spans="2:9" ht="15" customHeight="1" x14ac:dyDescent="0.25">
      <c r="B25535" s="55" t="s">
        <v>357</v>
      </c>
      <c r="C25535" s="46">
        <v>7</v>
      </c>
      <c r="D25535" s="69" t="s">
        <v>29494</v>
      </c>
      <c r="E25535" s="62"/>
      <c r="F25535" s="62" t="str">
        <f>IF(INDEX(I.Gas.P1Y1ElectricityGeneration,7)="","",INDEX(I.Gas.P1Y1ElectricityGeneration,7))</f>
        <v/>
      </c>
      <c r="G25535" s="62"/>
      <c r="H25535" s="46" t="str">
        <f>IF(I.Developer.P1=FALSE,"Complete",IF(I.Product.P1GasToPowerStatus&lt;&gt;"Yes","Complete",IF(AND(I.Gas.P1Y1Count&gt;=7,F25535=""),"Incomplete","Complete")))</f>
        <v>Complete</v>
      </c>
      <c r="I25535" s="48" t="s">
        <v>714</v>
      </c>
    </row>
    <row r="25536" spans="2:9" ht="15" customHeight="1" x14ac:dyDescent="0.25">
      <c r="B25536" s="55" t="s">
        <v>357</v>
      </c>
      <c r="C25536" s="46">
        <v>8</v>
      </c>
      <c r="D25536" s="69" t="s">
        <v>29494</v>
      </c>
      <c r="E25536" s="62"/>
      <c r="F25536" s="62" t="str">
        <f>IF(INDEX(I.Gas.P1Y1ElectricityGeneration,8)="","",INDEX(I.Gas.P1Y1ElectricityGeneration,8))</f>
        <v/>
      </c>
      <c r="G25536" s="62"/>
      <c r="H25536" s="46" t="str">
        <f>IF(I.Developer.P1=FALSE,"Complete",IF(I.Product.P1GasToPowerStatus&lt;&gt;"Yes","Complete",IF(AND(I.Gas.P1Y1Count&gt;=8,F25536=""),"Incomplete","Complete")))</f>
        <v>Complete</v>
      </c>
      <c r="I25536" s="48" t="s">
        <v>715</v>
      </c>
    </row>
    <row r="25537" spans="2:9" ht="15" customHeight="1" x14ac:dyDescent="0.25">
      <c r="B25537" s="55" t="s">
        <v>357</v>
      </c>
      <c r="C25537" s="46">
        <v>9</v>
      </c>
      <c r="D25537" s="69" t="s">
        <v>29494</v>
      </c>
      <c r="E25537" s="62"/>
      <c r="F25537" s="62" t="str">
        <f>IF(INDEX(I.Gas.P1Y1ElectricityGeneration,9)="","",INDEX(I.Gas.P1Y1ElectricityGeneration,9))</f>
        <v/>
      </c>
      <c r="G25537" s="62"/>
      <c r="H25537" s="46" t="str">
        <f>IF(I.Developer.P1=FALSE,"Complete",IF(I.Product.P1GasToPowerStatus&lt;&gt;"Yes","Complete",IF(AND(I.Gas.P1Y1Count&gt;=9,F25537=""),"Incomplete","Complete")))</f>
        <v>Complete</v>
      </c>
      <c r="I25537" s="48" t="s">
        <v>716</v>
      </c>
    </row>
    <row r="25538" spans="2:9" ht="15" customHeight="1" x14ac:dyDescent="0.25">
      <c r="B25538" s="55" t="s">
        <v>357</v>
      </c>
      <c r="C25538" s="46">
        <v>10</v>
      </c>
      <c r="D25538" s="69" t="s">
        <v>29494</v>
      </c>
      <c r="E25538" s="62"/>
      <c r="F25538" s="62" t="str">
        <f>IF(INDEX(I.Gas.P1Y1ElectricityGeneration,10)="","",INDEX(I.Gas.P1Y1ElectricityGeneration,10))</f>
        <v/>
      </c>
      <c r="G25538" s="62"/>
      <c r="H25538" s="46" t="str">
        <f>IF(I.Developer.P1=FALSE,"Complete",IF(I.Product.P1GasToPowerStatus&lt;&gt;"Yes","Complete",IF(AND(I.Gas.P1Y1Count&gt;=10,F25538=""),"Incomplete","Complete")))</f>
        <v>Complete</v>
      </c>
      <c r="I25538" s="48" t="s">
        <v>717</v>
      </c>
    </row>
    <row r="25539" spans="2:9" ht="15" customHeight="1" x14ac:dyDescent="0.25">
      <c r="B25539" s="55" t="s">
        <v>357</v>
      </c>
      <c r="C25539" s="46">
        <v>11</v>
      </c>
      <c r="D25539" s="69" t="s">
        <v>29494</v>
      </c>
      <c r="E25539" s="62"/>
      <c r="F25539" s="62" t="str">
        <f>IF(INDEX(I.Gas.P1Y1ElectricityGeneration,11)="","",INDEX(I.Gas.P1Y1ElectricityGeneration,11))</f>
        <v/>
      </c>
      <c r="G25539" s="62"/>
      <c r="H25539" s="46" t="str">
        <f>IF(I.Developer.P1=FALSE,"Complete",IF(I.Product.P1GasToPowerStatus&lt;&gt;"Yes","Complete",IF(AND(I.Gas.P1Y1Count&gt;=11,F25539=""),"Incomplete","Complete")))</f>
        <v>Complete</v>
      </c>
      <c r="I25539" s="48" t="s">
        <v>718</v>
      </c>
    </row>
    <row r="25540" spans="2:9" ht="15" customHeight="1" x14ac:dyDescent="0.25">
      <c r="B25540" s="55" t="s">
        <v>357</v>
      </c>
      <c r="C25540" s="46">
        <v>12</v>
      </c>
      <c r="D25540" s="69" t="s">
        <v>29494</v>
      </c>
      <c r="E25540" s="62"/>
      <c r="F25540" s="62" t="str">
        <f>IF(INDEX(I.Gas.P1Y1ElectricityGeneration,12)="","",INDEX(I.Gas.P1Y1ElectricityGeneration,12))</f>
        <v/>
      </c>
      <c r="G25540" s="62"/>
      <c r="H25540" s="46" t="str">
        <f>IF(I.Developer.P1=FALSE,"Complete",IF(I.Product.P1GasToPowerStatus&lt;&gt;"Yes","Complete",IF(AND(I.Gas.P1Y1Count&gt;=12,F25540=""),"Incomplete","Complete")))</f>
        <v>Complete</v>
      </c>
      <c r="I25540" s="48" t="s">
        <v>719</v>
      </c>
    </row>
    <row r="25541" spans="2:9" ht="15" customHeight="1" x14ac:dyDescent="0.25">
      <c r="B25541" s="55" t="s">
        <v>357</v>
      </c>
      <c r="C25541" s="46">
        <v>13</v>
      </c>
      <c r="D25541" s="69" t="s">
        <v>29494</v>
      </c>
      <c r="E25541" s="62"/>
      <c r="F25541" s="62" t="str">
        <f>IF(INDEX(I.Gas.P1Y1ElectricityGeneration,13)="","",INDEX(I.Gas.P1Y1ElectricityGeneration,13))</f>
        <v/>
      </c>
      <c r="G25541" s="62"/>
      <c r="H25541" s="46" t="str">
        <f>IF(I.Developer.P1=FALSE,"Complete",IF(I.Product.P1GasToPowerStatus&lt;&gt;"Yes","Complete",IF(AND(I.Gas.P1Y1Count&gt;=13,F25541=""),"Incomplete","Complete")))</f>
        <v>Complete</v>
      </c>
      <c r="I25541" s="48" t="s">
        <v>720</v>
      </c>
    </row>
    <row r="25542" spans="2:9" ht="15" customHeight="1" x14ac:dyDescent="0.25">
      <c r="B25542" s="55" t="s">
        <v>357</v>
      </c>
      <c r="C25542" s="46">
        <v>14</v>
      </c>
      <c r="D25542" s="69" t="s">
        <v>29494</v>
      </c>
      <c r="E25542" s="62"/>
      <c r="F25542" s="62" t="str">
        <f>IF(INDEX(I.Gas.P1Y1ElectricityGeneration,14)="","",INDEX(I.Gas.P1Y1ElectricityGeneration,14))</f>
        <v/>
      </c>
      <c r="G25542" s="62"/>
      <c r="H25542" s="46" t="str">
        <f>IF(I.Developer.P1=FALSE,"Complete",IF(I.Product.P1GasToPowerStatus&lt;&gt;"Yes","Complete",IF(AND(I.Gas.P1Y1Count&gt;=14,F25542=""),"Incomplete","Complete")))</f>
        <v>Complete</v>
      </c>
      <c r="I25542" s="48" t="s">
        <v>721</v>
      </c>
    </row>
    <row r="25543" spans="2:9" ht="15" customHeight="1" x14ac:dyDescent="0.25">
      <c r="B25543" s="55" t="s">
        <v>357</v>
      </c>
      <c r="C25543" s="46">
        <v>15</v>
      </c>
      <c r="D25543" s="69" t="s">
        <v>29494</v>
      </c>
      <c r="E25543" s="62"/>
      <c r="F25543" s="62" t="str">
        <f>IF(INDEX(I.Gas.P1Y1ElectricityGeneration,15)="","",INDEX(I.Gas.P1Y1ElectricityGeneration,15))</f>
        <v/>
      </c>
      <c r="G25543" s="62"/>
      <c r="H25543" s="46" t="str">
        <f>IF(I.Developer.P1=FALSE,"Complete",IF(I.Product.P1GasToPowerStatus&lt;&gt;"Yes","Complete",IF(AND(I.Gas.P1Y1Count&gt;=15,F25543=""),"Incomplete","Complete")))</f>
        <v>Complete</v>
      </c>
      <c r="I25543" s="48" t="s">
        <v>722</v>
      </c>
    </row>
    <row r="25544" spans="2:9" ht="15" customHeight="1" x14ac:dyDescent="0.25">
      <c r="B25544" s="55" t="s">
        <v>357</v>
      </c>
      <c r="C25544" s="46">
        <v>16</v>
      </c>
      <c r="D25544" s="69" t="s">
        <v>29494</v>
      </c>
      <c r="E25544" s="62"/>
      <c r="F25544" s="62" t="str">
        <f>IF(INDEX(I.Gas.P1Y1ElectricityGeneration,16)="","",INDEX(I.Gas.P1Y1ElectricityGeneration,16))</f>
        <v/>
      </c>
      <c r="G25544" s="62"/>
      <c r="H25544" s="46" t="str">
        <f>IF(I.Developer.P1=FALSE,"Complete",IF(I.Product.P1GasToPowerStatus&lt;&gt;"Yes","Complete",IF(AND(I.Gas.P1Y1Count&gt;=16,F25544=""),"Incomplete","Complete")))</f>
        <v>Complete</v>
      </c>
      <c r="I25544" s="48" t="s">
        <v>723</v>
      </c>
    </row>
    <row r="25545" spans="2:9" ht="15" customHeight="1" x14ac:dyDescent="0.25">
      <c r="B25545" s="55" t="s">
        <v>357</v>
      </c>
      <c r="C25545" s="46">
        <v>17</v>
      </c>
      <c r="D25545" s="69" t="s">
        <v>29494</v>
      </c>
      <c r="E25545" s="62"/>
      <c r="F25545" s="62" t="str">
        <f>IF(INDEX(I.Gas.P1Y1ElectricityGeneration,17)="","",INDEX(I.Gas.P1Y1ElectricityGeneration,17))</f>
        <v/>
      </c>
      <c r="G25545" s="62"/>
      <c r="H25545" s="46" t="str">
        <f>IF(I.Developer.P1=FALSE,"Complete",IF(I.Product.P1GasToPowerStatus&lt;&gt;"Yes","Complete",IF(AND(I.Gas.P1Y1Count&gt;=17,F25545=""),"Incomplete","Complete")))</f>
        <v>Complete</v>
      </c>
      <c r="I25545" s="48" t="s">
        <v>724</v>
      </c>
    </row>
    <row r="25546" spans="2:9" ht="15" customHeight="1" x14ac:dyDescent="0.25">
      <c r="B25546" s="55" t="s">
        <v>357</v>
      </c>
      <c r="C25546" s="46">
        <v>18</v>
      </c>
      <c r="D25546" s="69" t="s">
        <v>29494</v>
      </c>
      <c r="E25546" s="62"/>
      <c r="F25546" s="62" t="str">
        <f>IF(INDEX(I.Gas.P1Y1ElectricityGeneration,18)="","",INDEX(I.Gas.P1Y1ElectricityGeneration,18))</f>
        <v/>
      </c>
      <c r="G25546" s="62"/>
      <c r="H25546" s="46" t="str">
        <f>IF(I.Developer.P1=FALSE,"Complete",IF(I.Product.P1GasToPowerStatus&lt;&gt;"Yes","Complete",IF(AND(I.Gas.P1Y1Count&gt;=18,F25546=""),"Incomplete","Complete")))</f>
        <v>Complete</v>
      </c>
      <c r="I25546" s="48" t="s">
        <v>725</v>
      </c>
    </row>
    <row r="25547" spans="2:9" ht="15" customHeight="1" x14ac:dyDescent="0.25">
      <c r="B25547" s="55" t="s">
        <v>357</v>
      </c>
      <c r="C25547" s="46">
        <v>19</v>
      </c>
      <c r="D25547" s="69" t="s">
        <v>29494</v>
      </c>
      <c r="E25547" s="62"/>
      <c r="F25547" s="62" t="str">
        <f>IF(INDEX(I.Gas.P1Y1ElectricityGeneration,19)="","",INDEX(I.Gas.P1Y1ElectricityGeneration,19))</f>
        <v/>
      </c>
      <c r="G25547" s="62"/>
      <c r="H25547" s="46" t="str">
        <f>IF(I.Developer.P1=FALSE,"Complete",IF(I.Product.P1GasToPowerStatus&lt;&gt;"Yes","Complete",IF(AND(I.Gas.P1Y1Count&gt;=19,F25547=""),"Incomplete","Complete")))</f>
        <v>Complete</v>
      </c>
      <c r="I25547" s="48" t="s">
        <v>726</v>
      </c>
    </row>
    <row r="25548" spans="2:9" ht="15" customHeight="1" x14ac:dyDescent="0.25">
      <c r="B25548" s="55" t="s">
        <v>357</v>
      </c>
      <c r="C25548" s="46">
        <v>20</v>
      </c>
      <c r="D25548" s="69" t="s">
        <v>29494</v>
      </c>
      <c r="E25548" s="62"/>
      <c r="F25548" s="62" t="str">
        <f>IF(INDEX(I.Gas.P1Y1ElectricityGeneration,20)="","",INDEX(I.Gas.P1Y1ElectricityGeneration,20))</f>
        <v/>
      </c>
      <c r="G25548" s="62"/>
      <c r="H25548" s="46" t="str">
        <f>IF(I.Developer.P1=FALSE,"Complete",IF(I.Product.P1GasToPowerStatus&lt;&gt;"Yes","Complete",IF(AND(I.Gas.P1Y1Count&gt;=20,F25548=""),"Incomplete","Complete")))</f>
        <v>Complete</v>
      </c>
      <c r="I25548" s="48" t="s">
        <v>727</v>
      </c>
    </row>
    <row r="25549" spans="2:9" ht="15" customHeight="1" x14ac:dyDescent="0.25">
      <c r="B25549" s="55" t="s">
        <v>357</v>
      </c>
      <c r="C25549" s="46">
        <v>21</v>
      </c>
      <c r="D25549" s="69" t="s">
        <v>29494</v>
      </c>
      <c r="E25549" s="62"/>
      <c r="F25549" s="62" t="str">
        <f>IF(INDEX(I.Gas.P1Y1ElectricityGeneration,21)="","",INDEX(I.Gas.P1Y1ElectricityGeneration,21))</f>
        <v/>
      </c>
      <c r="G25549" s="62"/>
      <c r="H25549" s="46" t="str">
        <f>IF(I.Developer.P1=FALSE,"Complete",IF(I.Product.P1GasToPowerStatus&lt;&gt;"Yes","Complete",IF(AND(I.Gas.P1Y1Count&gt;=21,F25549=""),"Incomplete","Complete")))</f>
        <v>Complete</v>
      </c>
      <c r="I25549" s="48" t="s">
        <v>728</v>
      </c>
    </row>
    <row r="25550" spans="2:9" ht="15" customHeight="1" x14ac:dyDescent="0.25">
      <c r="B25550" s="55" t="s">
        <v>357</v>
      </c>
      <c r="C25550" s="46">
        <v>22</v>
      </c>
      <c r="D25550" s="69" t="s">
        <v>29494</v>
      </c>
      <c r="E25550" s="62"/>
      <c r="F25550" s="62" t="str">
        <f>IF(INDEX(I.Gas.P1Y1ElectricityGeneration,22)="","",INDEX(I.Gas.P1Y1ElectricityGeneration,22))</f>
        <v/>
      </c>
      <c r="G25550" s="62"/>
      <c r="H25550" s="46" t="str">
        <f>IF(I.Developer.P1=FALSE,"Complete",IF(I.Product.P1GasToPowerStatus&lt;&gt;"Yes","Complete",IF(AND(I.Gas.P1Y1Count&gt;=22,F25550=""),"Incomplete","Complete")))</f>
        <v>Complete</v>
      </c>
      <c r="I25550" s="48" t="s">
        <v>729</v>
      </c>
    </row>
    <row r="25551" spans="2:9" ht="15" customHeight="1" x14ac:dyDescent="0.25">
      <c r="B25551" s="55" t="s">
        <v>357</v>
      </c>
      <c r="C25551" s="46">
        <v>23</v>
      </c>
      <c r="D25551" s="69" t="s">
        <v>29494</v>
      </c>
      <c r="E25551" s="62"/>
      <c r="F25551" s="62" t="str">
        <f>IF(INDEX(I.Gas.P1Y1ElectricityGeneration,23)="","",INDEX(I.Gas.P1Y1ElectricityGeneration,23))</f>
        <v/>
      </c>
      <c r="G25551" s="62"/>
      <c r="H25551" s="46" t="str">
        <f>IF(I.Developer.P1=FALSE,"Complete",IF(I.Product.P1GasToPowerStatus&lt;&gt;"Yes","Complete",IF(AND(I.Gas.P1Y1Count&gt;=23,F25551=""),"Incomplete","Complete")))</f>
        <v>Complete</v>
      </c>
      <c r="I25551" s="48" t="s">
        <v>730</v>
      </c>
    </row>
    <row r="25552" spans="2:9" ht="15" customHeight="1" x14ac:dyDescent="0.25">
      <c r="B25552" s="55" t="s">
        <v>357</v>
      </c>
      <c r="C25552" s="46">
        <v>24</v>
      </c>
      <c r="D25552" s="69" t="s">
        <v>29494</v>
      </c>
      <c r="E25552" s="62"/>
      <c r="F25552" s="62" t="str">
        <f>IF(INDEX(I.Gas.P1Y1ElectricityGeneration,24)="","",INDEX(I.Gas.P1Y1ElectricityGeneration,24))</f>
        <v/>
      </c>
      <c r="G25552" s="62"/>
      <c r="H25552" s="46" t="str">
        <f>IF(I.Developer.P1=FALSE,"Complete",IF(I.Product.P1GasToPowerStatus&lt;&gt;"Yes","Complete",IF(AND(I.Gas.P1Y1Count&gt;=24,F25552=""),"Incomplete","Complete")))</f>
        <v>Complete</v>
      </c>
      <c r="I25552" s="48" t="s">
        <v>731</v>
      </c>
    </row>
    <row r="25553" spans="2:9" ht="15" customHeight="1" x14ac:dyDescent="0.25">
      <c r="B25553" s="55" t="s">
        <v>357</v>
      </c>
      <c r="C25553" s="46">
        <v>25</v>
      </c>
      <c r="D25553" s="69" t="s">
        <v>29494</v>
      </c>
      <c r="E25553" s="62"/>
      <c r="F25553" s="62" t="str">
        <f>IF(INDEX(I.Gas.P1Y1ElectricityGeneration,25)="","",INDEX(I.Gas.P1Y1ElectricityGeneration,25))</f>
        <v/>
      </c>
      <c r="G25553" s="62"/>
      <c r="H25553" s="46" t="str">
        <f>IF(I.Developer.P1=FALSE,"Complete",IF(I.Product.P1GasToPowerStatus&lt;&gt;"Yes","Complete",IF(AND(I.Gas.P1Y1Count&gt;=25,F25553=""),"Incomplete","Complete")))</f>
        <v>Complete</v>
      </c>
      <c r="I25553" s="48" t="s">
        <v>732</v>
      </c>
    </row>
    <row r="25554" spans="2:9" ht="15" customHeight="1" x14ac:dyDescent="0.25">
      <c r="B25554" s="55" t="s">
        <v>357</v>
      </c>
      <c r="C25554" s="46">
        <v>26</v>
      </c>
      <c r="D25554" s="69" t="s">
        <v>29494</v>
      </c>
      <c r="E25554" s="62"/>
      <c r="F25554" s="62" t="str">
        <f>IF(INDEX(I.Gas.P1Y1ElectricityGeneration,26)="","",INDEX(I.Gas.P1Y1ElectricityGeneration,26))</f>
        <v/>
      </c>
      <c r="G25554" s="62"/>
      <c r="H25554" s="46" t="str">
        <f>IF(I.Developer.P1=FALSE,"Complete",IF(I.Product.P1GasToPowerStatus&lt;&gt;"Yes","Complete",IF(AND(I.Gas.P1Y1Count&gt;=26,F25554=""),"Incomplete","Complete")))</f>
        <v>Complete</v>
      </c>
      <c r="I25554" s="48" t="s">
        <v>733</v>
      </c>
    </row>
    <row r="25555" spans="2:9" ht="15" customHeight="1" x14ac:dyDescent="0.25">
      <c r="B25555" s="55" t="s">
        <v>357</v>
      </c>
      <c r="C25555" s="46">
        <v>27</v>
      </c>
      <c r="D25555" s="69" t="s">
        <v>29494</v>
      </c>
      <c r="E25555" s="62"/>
      <c r="F25555" s="62" t="str">
        <f>IF(INDEX(I.Gas.P1Y1ElectricityGeneration,27)="","",INDEX(I.Gas.P1Y1ElectricityGeneration,27))</f>
        <v/>
      </c>
      <c r="G25555" s="62"/>
      <c r="H25555" s="46" t="str">
        <f>IF(I.Developer.P1=FALSE,"Complete",IF(I.Product.P1GasToPowerStatus&lt;&gt;"Yes","Complete",IF(AND(I.Gas.P1Y1Count&gt;=27,F25555=""),"Incomplete","Complete")))</f>
        <v>Complete</v>
      </c>
      <c r="I25555" s="48" t="s">
        <v>734</v>
      </c>
    </row>
    <row r="25556" spans="2:9" ht="15" customHeight="1" x14ac:dyDescent="0.25">
      <c r="B25556" s="55" t="s">
        <v>357</v>
      </c>
      <c r="C25556" s="46">
        <v>28</v>
      </c>
      <c r="D25556" s="69" t="s">
        <v>29494</v>
      </c>
      <c r="E25556" s="62"/>
      <c r="F25556" s="62" t="str">
        <f>IF(INDEX(I.Gas.P1Y1ElectricityGeneration,28)="","",INDEX(I.Gas.P1Y1ElectricityGeneration,28))</f>
        <v/>
      </c>
      <c r="G25556" s="62"/>
      <c r="H25556" s="46" t="str">
        <f>IF(I.Developer.P1=FALSE,"Complete",IF(I.Product.P1GasToPowerStatus&lt;&gt;"Yes","Complete",IF(AND(I.Gas.P1Y1Count&gt;=28,F25556=""),"Incomplete","Complete")))</f>
        <v>Complete</v>
      </c>
      <c r="I25556" s="48" t="s">
        <v>735</v>
      </c>
    </row>
    <row r="25557" spans="2:9" ht="15" customHeight="1" x14ac:dyDescent="0.25">
      <c r="B25557" s="55" t="s">
        <v>357</v>
      </c>
      <c r="C25557" s="46">
        <v>29</v>
      </c>
      <c r="D25557" s="69" t="s">
        <v>29494</v>
      </c>
      <c r="E25557" s="62"/>
      <c r="F25557" s="62" t="str">
        <f>IF(INDEX(I.Gas.P1Y1ElectricityGeneration,29)="","",INDEX(I.Gas.P1Y1ElectricityGeneration,29))</f>
        <v/>
      </c>
      <c r="G25557" s="62"/>
      <c r="H25557" s="46" t="str">
        <f>IF(I.Developer.P1=FALSE,"Complete",IF(I.Product.P1GasToPowerStatus&lt;&gt;"Yes","Complete",IF(AND(I.Gas.P1Y1Count&gt;=29,F25557=""),"Incomplete","Complete")))</f>
        <v>Complete</v>
      </c>
      <c r="I25557" s="48" t="s">
        <v>736</v>
      </c>
    </row>
    <row r="25558" spans="2:9" ht="15" customHeight="1" x14ac:dyDescent="0.25">
      <c r="B25558" s="55" t="s">
        <v>357</v>
      </c>
      <c r="C25558" s="46">
        <v>30</v>
      </c>
      <c r="D25558" s="69" t="s">
        <v>29494</v>
      </c>
      <c r="E25558" s="62"/>
      <c r="F25558" s="62" t="str">
        <f>IF(INDEX(I.Gas.P1Y1ElectricityGeneration,30)="","",INDEX(I.Gas.P1Y1ElectricityGeneration,30))</f>
        <v/>
      </c>
      <c r="G25558" s="62"/>
      <c r="H25558" s="46" t="str">
        <f>IF(I.Developer.P1=FALSE,"Complete",IF(I.Product.P1GasToPowerStatus&lt;&gt;"Yes","Complete",IF(AND(I.Gas.P1Y1Count&gt;=30,F25558=""),"Incomplete","Complete")))</f>
        <v>Complete</v>
      </c>
      <c r="I25558" s="48" t="s">
        <v>737</v>
      </c>
    </row>
    <row r="25559" spans="2:9" ht="15" customHeight="1" x14ac:dyDescent="0.25">
      <c r="B25559" s="55" t="s">
        <v>357</v>
      </c>
      <c r="C25559" s="46">
        <v>31</v>
      </c>
      <c r="D25559" s="69" t="s">
        <v>29494</v>
      </c>
      <c r="E25559" s="62"/>
      <c r="F25559" s="62" t="str">
        <f>IF(INDEX(I.Gas.P1Y1ElectricityGeneration,31)="","",INDEX(I.Gas.P1Y1ElectricityGeneration,31))</f>
        <v/>
      </c>
      <c r="G25559" s="62"/>
      <c r="H25559" s="46" t="str">
        <f>IF(I.Developer.P1=FALSE,"Complete",IF(I.Product.P1GasToPowerStatus&lt;&gt;"Yes","Complete",IF(AND(I.Gas.P1Y1Count&gt;=31,F25559=""),"Incomplete","Complete")))</f>
        <v>Complete</v>
      </c>
      <c r="I25559" s="48" t="s">
        <v>738</v>
      </c>
    </row>
    <row r="25560" spans="2:9" ht="15" customHeight="1" x14ac:dyDescent="0.25">
      <c r="B25560" s="55" t="s">
        <v>357</v>
      </c>
      <c r="C25560" s="46">
        <v>32</v>
      </c>
      <c r="D25560" s="69" t="s">
        <v>29494</v>
      </c>
      <c r="E25560" s="62"/>
      <c r="F25560" s="62" t="str">
        <f>IF(INDEX(I.Gas.P1Y1ElectricityGeneration,32)="","",INDEX(I.Gas.P1Y1ElectricityGeneration,32))</f>
        <v/>
      </c>
      <c r="G25560" s="62"/>
      <c r="H25560" s="46" t="str">
        <f>IF(I.Developer.P1=FALSE,"Complete",IF(I.Product.P1GasToPowerStatus&lt;&gt;"Yes","Complete",IF(AND(I.Gas.P1Y1Count&gt;=32,F25560=""),"Incomplete","Complete")))</f>
        <v>Complete</v>
      </c>
      <c r="I25560" s="48" t="s">
        <v>739</v>
      </c>
    </row>
    <row r="25561" spans="2:9" ht="15" customHeight="1" x14ac:dyDescent="0.25">
      <c r="B25561" s="55" t="s">
        <v>357</v>
      </c>
      <c r="C25561" s="46">
        <v>33</v>
      </c>
      <c r="D25561" s="69" t="s">
        <v>29494</v>
      </c>
      <c r="E25561" s="62"/>
      <c r="F25561" s="62" t="str">
        <f>IF(INDEX(I.Gas.P1Y1ElectricityGeneration,33)="","",INDEX(I.Gas.P1Y1ElectricityGeneration,33))</f>
        <v/>
      </c>
      <c r="G25561" s="62"/>
      <c r="H25561" s="46" t="str">
        <f>IF(I.Developer.P1=FALSE,"Complete",IF(I.Product.P1GasToPowerStatus&lt;&gt;"Yes","Complete",IF(AND(I.Gas.P1Y1Count&gt;=33,F25561=""),"Incomplete","Complete")))</f>
        <v>Complete</v>
      </c>
      <c r="I25561" s="48" t="s">
        <v>740</v>
      </c>
    </row>
    <row r="25562" spans="2:9" ht="15" customHeight="1" x14ac:dyDescent="0.25">
      <c r="B25562" s="55" t="s">
        <v>357</v>
      </c>
      <c r="C25562" s="46">
        <v>34</v>
      </c>
      <c r="D25562" s="69" t="s">
        <v>29494</v>
      </c>
      <c r="E25562" s="62"/>
      <c r="F25562" s="62" t="str">
        <f>IF(INDEX(I.Gas.P1Y1ElectricityGeneration,34)="","",INDEX(I.Gas.P1Y1ElectricityGeneration,34))</f>
        <v/>
      </c>
      <c r="G25562" s="62"/>
      <c r="H25562" s="46" t="str">
        <f>IF(I.Developer.P1=FALSE,"Complete",IF(I.Product.P1GasToPowerStatus&lt;&gt;"Yes","Complete",IF(AND(I.Gas.P1Y1Count&gt;=34,F25562=""),"Incomplete","Complete")))</f>
        <v>Complete</v>
      </c>
      <c r="I25562" s="48" t="s">
        <v>741</v>
      </c>
    </row>
    <row r="25563" spans="2:9" ht="15" customHeight="1" x14ac:dyDescent="0.25">
      <c r="B25563" s="55" t="s">
        <v>357</v>
      </c>
      <c r="C25563" s="46">
        <v>35</v>
      </c>
      <c r="D25563" s="69" t="s">
        <v>29494</v>
      </c>
      <c r="E25563" s="62"/>
      <c r="F25563" s="62" t="str">
        <f>IF(INDEX(I.Gas.P1Y1ElectricityGeneration,35)="","",INDEX(I.Gas.P1Y1ElectricityGeneration,35))</f>
        <v/>
      </c>
      <c r="G25563" s="62"/>
      <c r="H25563" s="46" t="str">
        <f>IF(I.Developer.P1=FALSE,"Complete",IF(I.Product.P1GasToPowerStatus&lt;&gt;"Yes","Complete",IF(AND(I.Gas.P1Y1Count&gt;=35,F25563=""),"Incomplete","Complete")))</f>
        <v>Complete</v>
      </c>
      <c r="I25563" s="48" t="s">
        <v>742</v>
      </c>
    </row>
    <row r="25564" spans="2:9" ht="15" customHeight="1" x14ac:dyDescent="0.25">
      <c r="B25564" s="55" t="s">
        <v>357</v>
      </c>
      <c r="C25564" s="46">
        <v>36</v>
      </c>
      <c r="D25564" s="69" t="s">
        <v>29494</v>
      </c>
      <c r="E25564" s="62"/>
      <c r="F25564" s="62" t="str">
        <f>IF(INDEX(I.Gas.P1Y1ElectricityGeneration,36)="","",INDEX(I.Gas.P1Y1ElectricityGeneration,36))</f>
        <v/>
      </c>
      <c r="G25564" s="62"/>
      <c r="H25564" s="46" t="str">
        <f>IF(I.Developer.P1=FALSE,"Complete",IF(I.Product.P1GasToPowerStatus&lt;&gt;"Yes","Complete",IF(AND(I.Gas.P1Y1Count&gt;=36,F25564=""),"Incomplete","Complete")))</f>
        <v>Complete</v>
      </c>
      <c r="I25564" s="48" t="s">
        <v>743</v>
      </c>
    </row>
    <row r="25565" spans="2:9" ht="15" customHeight="1" x14ac:dyDescent="0.25">
      <c r="B25565" s="55" t="s">
        <v>357</v>
      </c>
      <c r="C25565" s="46">
        <v>37</v>
      </c>
      <c r="D25565" s="69" t="s">
        <v>29494</v>
      </c>
      <c r="E25565" s="62"/>
      <c r="F25565" s="62" t="str">
        <f>IF(INDEX(I.Gas.P1Y1ElectricityGeneration,37)="","",INDEX(I.Gas.P1Y1ElectricityGeneration,37))</f>
        <v/>
      </c>
      <c r="G25565" s="62"/>
      <c r="H25565" s="46" t="str">
        <f>IF(I.Developer.P1=FALSE,"Complete",IF(I.Product.P1GasToPowerStatus&lt;&gt;"Yes","Complete",IF(AND(I.Gas.P1Y1Count&gt;=37,F25565=""),"Incomplete","Complete")))</f>
        <v>Complete</v>
      </c>
      <c r="I25565" s="48" t="s">
        <v>744</v>
      </c>
    </row>
    <row r="25566" spans="2:9" ht="15" customHeight="1" x14ac:dyDescent="0.25">
      <c r="B25566" s="55" t="s">
        <v>357</v>
      </c>
      <c r="C25566" s="46">
        <v>38</v>
      </c>
      <c r="D25566" s="69" t="s">
        <v>29494</v>
      </c>
      <c r="E25566" s="62"/>
      <c r="F25566" s="62" t="str">
        <f>IF(INDEX(I.Gas.P1Y1ElectricityGeneration,38)="","",INDEX(I.Gas.P1Y1ElectricityGeneration,38))</f>
        <v/>
      </c>
      <c r="G25566" s="62"/>
      <c r="H25566" s="46" t="str">
        <f>IF(I.Developer.P1=FALSE,"Complete",IF(I.Product.P1GasToPowerStatus&lt;&gt;"Yes","Complete",IF(AND(I.Gas.P1Y1Count&gt;=38,F25566=""),"Incomplete","Complete")))</f>
        <v>Complete</v>
      </c>
      <c r="I25566" s="48" t="s">
        <v>745</v>
      </c>
    </row>
    <row r="25567" spans="2:9" ht="15" customHeight="1" x14ac:dyDescent="0.25">
      <c r="B25567" s="55" t="s">
        <v>357</v>
      </c>
      <c r="C25567" s="46">
        <v>39</v>
      </c>
      <c r="D25567" s="69" t="s">
        <v>29494</v>
      </c>
      <c r="E25567" s="62"/>
      <c r="F25567" s="62" t="str">
        <f>IF(INDEX(I.Gas.P1Y1ElectricityGeneration,39)="","",INDEX(I.Gas.P1Y1ElectricityGeneration,39))</f>
        <v/>
      </c>
      <c r="G25567" s="62"/>
      <c r="H25567" s="46" t="str">
        <f>IF(I.Developer.P1=FALSE,"Complete",IF(I.Product.P1GasToPowerStatus&lt;&gt;"Yes","Complete",IF(AND(I.Gas.P1Y1Count&gt;=39,F25567=""),"Incomplete","Complete")))</f>
        <v>Complete</v>
      </c>
      <c r="I25567" s="48" t="s">
        <v>746</v>
      </c>
    </row>
    <row r="25568" spans="2:9" ht="15" customHeight="1" x14ac:dyDescent="0.25">
      <c r="B25568" s="55" t="s">
        <v>357</v>
      </c>
      <c r="C25568" s="46">
        <v>40</v>
      </c>
      <c r="D25568" s="69" t="s">
        <v>29494</v>
      </c>
      <c r="E25568" s="62"/>
      <c r="F25568" s="62" t="str">
        <f>IF(INDEX(I.Gas.P1Y1ElectricityGeneration,40)="","",INDEX(I.Gas.P1Y1ElectricityGeneration,40))</f>
        <v/>
      </c>
      <c r="G25568" s="62"/>
      <c r="H25568" s="46" t="str">
        <f>IF(I.Developer.P1=FALSE,"Complete",IF(I.Product.P1GasToPowerStatus&lt;&gt;"Yes","Complete",IF(AND(I.Gas.P1Y1Count&gt;=40,F25568=""),"Incomplete","Complete")))</f>
        <v>Complete</v>
      </c>
      <c r="I25568" s="48" t="s">
        <v>747</v>
      </c>
    </row>
    <row r="25569" spans="2:9" ht="15" customHeight="1" x14ac:dyDescent="0.25">
      <c r="B25569" s="55" t="s">
        <v>357</v>
      </c>
      <c r="C25569" s="46">
        <v>41</v>
      </c>
      <c r="D25569" s="69" t="s">
        <v>29494</v>
      </c>
      <c r="E25569" s="62"/>
      <c r="F25569" s="62" t="str">
        <f>IF(INDEX(I.Gas.P1Y1ElectricityGeneration,41)="","",INDEX(I.Gas.P1Y1ElectricityGeneration,41))</f>
        <v/>
      </c>
      <c r="G25569" s="62"/>
      <c r="H25569" s="46" t="str">
        <f>IF(I.Developer.P1=FALSE,"Complete",IF(I.Product.P1GasToPowerStatus&lt;&gt;"Yes","Complete",IF(AND(I.Gas.P1Y1Count&gt;=41,F25569=""),"Incomplete","Complete")))</f>
        <v>Complete</v>
      </c>
      <c r="I25569" s="48" t="s">
        <v>748</v>
      </c>
    </row>
    <row r="25570" spans="2:9" ht="15" customHeight="1" x14ac:dyDescent="0.25">
      <c r="B25570" s="55" t="s">
        <v>357</v>
      </c>
      <c r="C25570" s="46">
        <v>42</v>
      </c>
      <c r="D25570" s="69" t="s">
        <v>29494</v>
      </c>
      <c r="E25570" s="62"/>
      <c r="F25570" s="62" t="str">
        <f>IF(INDEX(I.Gas.P1Y1ElectricityGeneration,42)="","",INDEX(I.Gas.P1Y1ElectricityGeneration,42))</f>
        <v/>
      </c>
      <c r="G25570" s="62"/>
      <c r="H25570" s="46" t="str">
        <f>IF(I.Developer.P1=FALSE,"Complete",IF(I.Product.P1GasToPowerStatus&lt;&gt;"Yes","Complete",IF(AND(I.Gas.P1Y1Count&gt;=42,F25570=""),"Incomplete","Complete")))</f>
        <v>Complete</v>
      </c>
      <c r="I25570" s="48" t="s">
        <v>749</v>
      </c>
    </row>
    <row r="25571" spans="2:9" ht="15" customHeight="1" x14ac:dyDescent="0.25">
      <c r="B25571" s="55" t="s">
        <v>357</v>
      </c>
      <c r="C25571" s="46">
        <v>43</v>
      </c>
      <c r="D25571" s="69" t="s">
        <v>29494</v>
      </c>
      <c r="E25571" s="62"/>
      <c r="F25571" s="62" t="str">
        <f>IF(INDEX(I.Gas.P1Y1ElectricityGeneration,43)="","",INDEX(I.Gas.P1Y1ElectricityGeneration,43))</f>
        <v/>
      </c>
      <c r="G25571" s="62"/>
      <c r="H25571" s="46" t="str">
        <f>IF(I.Developer.P1=FALSE,"Complete",IF(I.Product.P1GasToPowerStatus&lt;&gt;"Yes","Complete",IF(AND(I.Gas.P1Y1Count&gt;=43,F25571=""),"Incomplete","Complete")))</f>
        <v>Complete</v>
      </c>
      <c r="I25571" s="48" t="s">
        <v>750</v>
      </c>
    </row>
    <row r="25572" spans="2:9" ht="15" customHeight="1" x14ac:dyDescent="0.25">
      <c r="B25572" s="55" t="s">
        <v>357</v>
      </c>
      <c r="C25572" s="46">
        <v>44</v>
      </c>
      <c r="D25572" s="69" t="s">
        <v>29494</v>
      </c>
      <c r="E25572" s="62"/>
      <c r="F25572" s="62" t="str">
        <f>IF(INDEX(I.Gas.P1Y1ElectricityGeneration,44)="","",INDEX(I.Gas.P1Y1ElectricityGeneration,44))</f>
        <v/>
      </c>
      <c r="G25572" s="62"/>
      <c r="H25572" s="46" t="str">
        <f>IF(I.Developer.P1=FALSE,"Complete",IF(I.Product.P1GasToPowerStatus&lt;&gt;"Yes","Complete",IF(AND(I.Gas.P1Y1Count&gt;=44,F25572=""),"Incomplete","Complete")))</f>
        <v>Complete</v>
      </c>
      <c r="I25572" s="48" t="s">
        <v>751</v>
      </c>
    </row>
    <row r="25573" spans="2:9" ht="15" customHeight="1" x14ac:dyDescent="0.25">
      <c r="B25573" s="55" t="s">
        <v>357</v>
      </c>
      <c r="C25573" s="46">
        <v>45</v>
      </c>
      <c r="D25573" s="69" t="s">
        <v>29494</v>
      </c>
      <c r="E25573" s="62"/>
      <c r="F25573" s="62" t="str">
        <f>IF(INDEX(I.Gas.P1Y1ElectricityGeneration,45)="","",INDEX(I.Gas.P1Y1ElectricityGeneration,45))</f>
        <v/>
      </c>
      <c r="G25573" s="62"/>
      <c r="H25573" s="46" t="str">
        <f>IF(I.Developer.P1=FALSE,"Complete",IF(I.Product.P1GasToPowerStatus&lt;&gt;"Yes","Complete",IF(AND(I.Gas.P1Y1Count&gt;=45,F25573=""),"Incomplete","Complete")))</f>
        <v>Complete</v>
      </c>
      <c r="I25573" s="48" t="s">
        <v>752</v>
      </c>
    </row>
    <row r="25574" spans="2:9" ht="15" customHeight="1" x14ac:dyDescent="0.25">
      <c r="B25574" s="55" t="s">
        <v>357</v>
      </c>
      <c r="C25574" s="46">
        <v>46</v>
      </c>
      <c r="D25574" s="69" t="s">
        <v>29494</v>
      </c>
      <c r="E25574" s="62"/>
      <c r="F25574" s="62" t="str">
        <f>IF(INDEX(I.Gas.P1Y1ElectricityGeneration,46)="","",INDEX(I.Gas.P1Y1ElectricityGeneration,46))</f>
        <v/>
      </c>
      <c r="G25574" s="62"/>
      <c r="H25574" s="46" t="str">
        <f>IF(I.Developer.P1=FALSE,"Complete",IF(I.Product.P1GasToPowerStatus&lt;&gt;"Yes","Complete",IF(AND(I.Gas.P1Y1Count&gt;=46,F25574=""),"Incomplete","Complete")))</f>
        <v>Complete</v>
      </c>
      <c r="I25574" s="48" t="s">
        <v>753</v>
      </c>
    </row>
    <row r="25575" spans="2:9" ht="15" customHeight="1" x14ac:dyDescent="0.25">
      <c r="B25575" s="55" t="s">
        <v>357</v>
      </c>
      <c r="C25575" s="46">
        <v>47</v>
      </c>
      <c r="D25575" s="69" t="s">
        <v>29494</v>
      </c>
      <c r="E25575" s="62"/>
      <c r="F25575" s="62" t="str">
        <f>IF(INDEX(I.Gas.P1Y1ElectricityGeneration,47)="","",INDEX(I.Gas.P1Y1ElectricityGeneration,47))</f>
        <v/>
      </c>
      <c r="G25575" s="62"/>
      <c r="H25575" s="46" t="str">
        <f>IF(I.Developer.P1=FALSE,"Complete",IF(I.Product.P1GasToPowerStatus&lt;&gt;"Yes","Complete",IF(AND(I.Gas.P1Y1Count&gt;=47,F25575=""),"Incomplete","Complete")))</f>
        <v>Complete</v>
      </c>
      <c r="I25575" s="48" t="s">
        <v>754</v>
      </c>
    </row>
    <row r="25576" spans="2:9" ht="15" customHeight="1" x14ac:dyDescent="0.25">
      <c r="B25576" s="55" t="s">
        <v>357</v>
      </c>
      <c r="C25576" s="46">
        <v>48</v>
      </c>
      <c r="D25576" s="69" t="s">
        <v>29494</v>
      </c>
      <c r="E25576" s="62"/>
      <c r="F25576" s="62" t="str">
        <f>IF(INDEX(I.Gas.P1Y1ElectricityGeneration,48)="","",INDEX(I.Gas.P1Y1ElectricityGeneration,48))</f>
        <v/>
      </c>
      <c r="G25576" s="62"/>
      <c r="H25576" s="46" t="str">
        <f>IF(I.Developer.P1=FALSE,"Complete",IF(I.Product.P1GasToPowerStatus&lt;&gt;"Yes","Complete",IF(AND(I.Gas.P1Y1Count&gt;=48,F25576=""),"Incomplete","Complete")))</f>
        <v>Complete</v>
      </c>
      <c r="I25576" s="48" t="s">
        <v>755</v>
      </c>
    </row>
    <row r="25577" spans="2:9" ht="15" customHeight="1" x14ac:dyDescent="0.25">
      <c r="B25577" s="55" t="s">
        <v>357</v>
      </c>
      <c r="C25577" s="46">
        <v>49</v>
      </c>
      <c r="D25577" s="69" t="s">
        <v>29494</v>
      </c>
      <c r="E25577" s="62"/>
      <c r="F25577" s="62" t="str">
        <f>IF(INDEX(I.Gas.P1Y1ElectricityGeneration,49)="","",INDEX(I.Gas.P1Y1ElectricityGeneration,49))</f>
        <v/>
      </c>
      <c r="G25577" s="62"/>
      <c r="H25577" s="46" t="str">
        <f>IF(I.Developer.P1=FALSE,"Complete",IF(I.Product.P1GasToPowerStatus&lt;&gt;"Yes","Complete",IF(AND(I.Gas.P1Y1Count&gt;=49,F25577=""),"Incomplete","Complete")))</f>
        <v>Complete</v>
      </c>
      <c r="I25577" s="48" t="s">
        <v>756</v>
      </c>
    </row>
    <row r="25578" spans="2:9" ht="15" customHeight="1" x14ac:dyDescent="0.25">
      <c r="B25578" s="56" t="s">
        <v>357</v>
      </c>
      <c r="C25578" s="57">
        <v>50</v>
      </c>
      <c r="D25578" s="71" t="s">
        <v>29494</v>
      </c>
      <c r="E25578" s="61"/>
      <c r="F25578" s="61" t="str">
        <f>IF(INDEX(I.Gas.P1Y1ElectricityGeneration,50)="","",INDEX(I.Gas.P1Y1ElectricityGeneration,50))</f>
        <v/>
      </c>
      <c r="G25578" s="61"/>
      <c r="H25578" s="57" t="str">
        <f>IF(I.Developer.P1=FALSE,"Complete",IF(I.Product.P1GasToPowerStatus&lt;&gt;"Yes","Complete",IF(AND(I.Gas.P1Y1Count&gt;=50,F25578=""),"Incomplete","Complete")))</f>
        <v>Complete</v>
      </c>
      <c r="I25578" s="49" t="s">
        <v>757</v>
      </c>
    </row>
    <row r="25579" spans="2:9" ht="15" customHeight="1" x14ac:dyDescent="0.25">
      <c r="B25579" s="55" t="s">
        <v>358</v>
      </c>
      <c r="C25579" s="46">
        <v>1</v>
      </c>
      <c r="D25579" s="69" t="s">
        <v>29495</v>
      </c>
      <c r="E25579" s="62"/>
      <c r="F25579" s="62" t="str">
        <f>IF(INDEX(I.Gas.P1Y1C1V1,1)="","",INDEX(I.Gas.P1Y1C1V1,1))</f>
        <v/>
      </c>
      <c r="G25579" s="62"/>
      <c r="H25579" s="46" t="str">
        <f>IF(OR(I.Developer.P1=FALSE,I.Facility.StandardPart&lt;&gt;"Part 2"),"Complete",IF(I.Product.P1GasToPowerStatus&lt;&gt;"Yes","Complete",IF(AND(I.Gas.P1Y1Count&gt;=1,F25579=""),"Incomplete","Complete")))</f>
        <v>Complete</v>
      </c>
      <c r="I25579" s="48" t="s">
        <v>758</v>
      </c>
    </row>
    <row r="25580" spans="2:9" ht="15" customHeight="1" x14ac:dyDescent="0.25">
      <c r="B25580" s="55" t="s">
        <v>358</v>
      </c>
      <c r="C25580" s="46">
        <v>2</v>
      </c>
      <c r="D25580" s="69" t="s">
        <v>29495</v>
      </c>
      <c r="E25580" s="62"/>
      <c r="F25580" s="62" t="str">
        <f>IF(INDEX(I.Gas.P1Y1C1V1,2)="","",INDEX(I.Gas.P1Y1C1V1,2))</f>
        <v/>
      </c>
      <c r="G25580" s="62"/>
      <c r="H25580" s="46" t="str">
        <f>IF(OR(I.Developer.P1=FALSE,I.Facility.StandardPart&lt;&gt;"Part 2"),"Complete",IF(I.Product.P1GasToPowerStatus&lt;&gt;"Yes","Complete",IF(AND(I.Gas.P1Y1Count&gt;=2,F25580=""),"Incomplete","Complete")))</f>
        <v>Complete</v>
      </c>
      <c r="I25580" s="48" t="s">
        <v>759</v>
      </c>
    </row>
    <row r="25581" spans="2:9" ht="15" customHeight="1" x14ac:dyDescent="0.25">
      <c r="B25581" s="55" t="s">
        <v>358</v>
      </c>
      <c r="C25581" s="46">
        <v>3</v>
      </c>
      <c r="D25581" s="69" t="s">
        <v>29495</v>
      </c>
      <c r="E25581" s="62"/>
      <c r="F25581" s="62" t="str">
        <f>IF(INDEX(I.Gas.P1Y1C1V1,3)="","",INDEX(I.Gas.P1Y1C1V1,3))</f>
        <v/>
      </c>
      <c r="G25581" s="62"/>
      <c r="H25581" s="46" t="str">
        <f>IF(OR(I.Developer.P1=FALSE,I.Facility.StandardPart&lt;&gt;"Part 2"),"Complete",IF(I.Product.P1GasToPowerStatus&lt;&gt;"Yes","Complete",IF(AND(I.Gas.P1Y1Count&gt;=3,F25581=""),"Incomplete","Complete")))</f>
        <v>Complete</v>
      </c>
      <c r="I25581" s="48" t="s">
        <v>760</v>
      </c>
    </row>
    <row r="25582" spans="2:9" ht="15" customHeight="1" x14ac:dyDescent="0.25">
      <c r="B25582" s="55" t="s">
        <v>358</v>
      </c>
      <c r="C25582" s="46">
        <v>4</v>
      </c>
      <c r="D25582" s="69" t="s">
        <v>29495</v>
      </c>
      <c r="E25582" s="62"/>
      <c r="F25582" s="62" t="str">
        <f>IF(INDEX(I.Gas.P1Y1C1V1,4)="","",INDEX(I.Gas.P1Y1C1V1,4))</f>
        <v/>
      </c>
      <c r="G25582" s="62"/>
      <c r="H25582" s="46" t="str">
        <f>IF(OR(I.Developer.P1=FALSE,I.Facility.StandardPart&lt;&gt;"Part 2"),"Complete",IF(I.Product.P1GasToPowerStatus&lt;&gt;"Yes","Complete",IF(AND(I.Gas.P1Y1Count&gt;=4,F25582=""),"Incomplete","Complete")))</f>
        <v>Complete</v>
      </c>
      <c r="I25582" s="48" t="s">
        <v>761</v>
      </c>
    </row>
    <row r="25583" spans="2:9" ht="15" customHeight="1" x14ac:dyDescent="0.25">
      <c r="B25583" s="55" t="s">
        <v>358</v>
      </c>
      <c r="C25583" s="46">
        <v>5</v>
      </c>
      <c r="D25583" s="69" t="s">
        <v>29495</v>
      </c>
      <c r="E25583" s="62"/>
      <c r="F25583" s="62" t="str">
        <f>IF(INDEX(I.Gas.P1Y1C1V1,5)="","",INDEX(I.Gas.P1Y1C1V1,5))</f>
        <v/>
      </c>
      <c r="G25583" s="62"/>
      <c r="H25583" s="46" t="str">
        <f>IF(OR(I.Developer.P1=FALSE,I.Facility.StandardPart&lt;&gt;"Part 2"),"Complete",IF(I.Product.P1GasToPowerStatus&lt;&gt;"Yes","Complete",IF(AND(I.Gas.P1Y1Count&gt;=5,F25583=""),"Incomplete","Complete")))</f>
        <v>Complete</v>
      </c>
      <c r="I25583" s="48" t="s">
        <v>762</v>
      </c>
    </row>
    <row r="25584" spans="2:9" ht="15" customHeight="1" x14ac:dyDescent="0.25">
      <c r="B25584" s="55" t="s">
        <v>358</v>
      </c>
      <c r="C25584" s="46">
        <v>6</v>
      </c>
      <c r="D25584" s="69" t="s">
        <v>29495</v>
      </c>
      <c r="E25584" s="62"/>
      <c r="F25584" s="62" t="str">
        <f>IF(INDEX(I.Gas.P1Y1C1V1,6)="","",INDEX(I.Gas.P1Y1C1V1,6))</f>
        <v/>
      </c>
      <c r="G25584" s="62"/>
      <c r="H25584" s="46" t="str">
        <f>IF(OR(I.Developer.P1=FALSE,I.Facility.StandardPart&lt;&gt;"Part 2"),"Complete",IF(I.Product.P1GasToPowerStatus&lt;&gt;"Yes","Complete",IF(AND(I.Gas.P1Y1Count&gt;=6,F25584=""),"Incomplete","Complete")))</f>
        <v>Complete</v>
      </c>
      <c r="I25584" s="48" t="s">
        <v>763</v>
      </c>
    </row>
    <row r="25585" spans="2:9" ht="15" customHeight="1" x14ac:dyDescent="0.25">
      <c r="B25585" s="55" t="s">
        <v>358</v>
      </c>
      <c r="C25585" s="46">
        <v>7</v>
      </c>
      <c r="D25585" s="69" t="s">
        <v>29495</v>
      </c>
      <c r="E25585" s="62"/>
      <c r="F25585" s="62" t="str">
        <f>IF(INDEX(I.Gas.P1Y1C1V1,7)="","",INDEX(I.Gas.P1Y1C1V1,7))</f>
        <v/>
      </c>
      <c r="G25585" s="62"/>
      <c r="H25585" s="46" t="str">
        <f>IF(OR(I.Developer.P1=FALSE,I.Facility.StandardPart&lt;&gt;"Part 2"),"Complete",IF(I.Product.P1GasToPowerStatus&lt;&gt;"Yes","Complete",IF(AND(I.Gas.P1Y1Count&gt;=7,F25585=""),"Incomplete","Complete")))</f>
        <v>Complete</v>
      </c>
      <c r="I25585" s="48" t="s">
        <v>764</v>
      </c>
    </row>
    <row r="25586" spans="2:9" ht="15" customHeight="1" x14ac:dyDescent="0.25">
      <c r="B25586" s="55" t="s">
        <v>358</v>
      </c>
      <c r="C25586" s="46">
        <v>8</v>
      </c>
      <c r="D25586" s="69" t="s">
        <v>29495</v>
      </c>
      <c r="E25586" s="62"/>
      <c r="F25586" s="62" t="str">
        <f>IF(INDEX(I.Gas.P1Y1C1V1,8)="","",INDEX(I.Gas.P1Y1C1V1,8))</f>
        <v/>
      </c>
      <c r="G25586" s="62"/>
      <c r="H25586" s="46" t="str">
        <f>IF(OR(I.Developer.P1=FALSE,I.Facility.StandardPart&lt;&gt;"Part 2"),"Complete",IF(I.Product.P1GasToPowerStatus&lt;&gt;"Yes","Complete",IF(AND(I.Gas.P1Y1Count&gt;=8,F25586=""),"Incomplete","Complete")))</f>
        <v>Complete</v>
      </c>
      <c r="I25586" s="48" t="s">
        <v>765</v>
      </c>
    </row>
    <row r="25587" spans="2:9" ht="15" customHeight="1" x14ac:dyDescent="0.25">
      <c r="B25587" s="55" t="s">
        <v>358</v>
      </c>
      <c r="C25587" s="46">
        <v>9</v>
      </c>
      <c r="D25587" s="69" t="s">
        <v>29495</v>
      </c>
      <c r="E25587" s="62"/>
      <c r="F25587" s="62" t="str">
        <f>IF(INDEX(I.Gas.P1Y1C1V1,9)="","",INDEX(I.Gas.P1Y1C1V1,9))</f>
        <v/>
      </c>
      <c r="G25587" s="62"/>
      <c r="H25587" s="46" t="str">
        <f>IF(OR(I.Developer.P1=FALSE,I.Facility.StandardPart&lt;&gt;"Part 2"),"Complete",IF(I.Product.P1GasToPowerStatus&lt;&gt;"Yes","Complete",IF(AND(I.Gas.P1Y1Count&gt;=9,F25587=""),"Incomplete","Complete")))</f>
        <v>Complete</v>
      </c>
      <c r="I25587" s="48" t="s">
        <v>766</v>
      </c>
    </row>
    <row r="25588" spans="2:9" ht="15" customHeight="1" x14ac:dyDescent="0.25">
      <c r="B25588" s="55" t="s">
        <v>358</v>
      </c>
      <c r="C25588" s="46">
        <v>10</v>
      </c>
      <c r="D25588" s="69" t="s">
        <v>29495</v>
      </c>
      <c r="E25588" s="62"/>
      <c r="F25588" s="62" t="str">
        <f>IF(INDEX(I.Gas.P1Y1C1V1,10)="","",INDEX(I.Gas.P1Y1C1V1,10))</f>
        <v/>
      </c>
      <c r="G25588" s="62"/>
      <c r="H25588" s="46" t="str">
        <f>IF(OR(I.Developer.P1=FALSE,I.Facility.StandardPart&lt;&gt;"Part 2"),"Complete",IF(I.Product.P1GasToPowerStatus&lt;&gt;"Yes","Complete",IF(AND(I.Gas.P1Y1Count&gt;=10,F25588=""),"Incomplete","Complete")))</f>
        <v>Complete</v>
      </c>
      <c r="I25588" s="48" t="s">
        <v>767</v>
      </c>
    </row>
    <row r="25589" spans="2:9" ht="15" customHeight="1" x14ac:dyDescent="0.25">
      <c r="B25589" s="55" t="s">
        <v>358</v>
      </c>
      <c r="C25589" s="46">
        <v>11</v>
      </c>
      <c r="D25589" s="69" t="s">
        <v>29495</v>
      </c>
      <c r="E25589" s="62"/>
      <c r="F25589" s="62" t="str">
        <f>IF(INDEX(I.Gas.P1Y1C1V1,11)="","",INDEX(I.Gas.P1Y1C1V1,11))</f>
        <v/>
      </c>
      <c r="G25589" s="62"/>
      <c r="H25589" s="46" t="str">
        <f>IF(OR(I.Developer.P1=FALSE,I.Facility.StandardPart&lt;&gt;"Part 2"),"Complete",IF(I.Product.P1GasToPowerStatus&lt;&gt;"Yes","Complete",IF(AND(I.Gas.P1Y1Count&gt;=11,F25589=""),"Incomplete","Complete")))</f>
        <v>Complete</v>
      </c>
      <c r="I25589" s="48" t="s">
        <v>768</v>
      </c>
    </row>
    <row r="25590" spans="2:9" ht="15" customHeight="1" x14ac:dyDescent="0.25">
      <c r="B25590" s="55" t="s">
        <v>358</v>
      </c>
      <c r="C25590" s="46">
        <v>12</v>
      </c>
      <c r="D25590" s="69" t="s">
        <v>29495</v>
      </c>
      <c r="E25590" s="62"/>
      <c r="F25590" s="62" t="str">
        <f>IF(INDEX(I.Gas.P1Y1C1V1,12)="","",INDEX(I.Gas.P1Y1C1V1,12))</f>
        <v/>
      </c>
      <c r="G25590" s="62"/>
      <c r="H25590" s="46" t="str">
        <f>IF(OR(I.Developer.P1=FALSE,I.Facility.StandardPart&lt;&gt;"Part 2"),"Complete",IF(I.Product.P1GasToPowerStatus&lt;&gt;"Yes","Complete",IF(AND(I.Gas.P1Y1Count&gt;=12,F25590=""),"Incomplete","Complete")))</f>
        <v>Complete</v>
      </c>
      <c r="I25590" s="48" t="s">
        <v>769</v>
      </c>
    </row>
    <row r="25591" spans="2:9" ht="15" customHeight="1" x14ac:dyDescent="0.25">
      <c r="B25591" s="55" t="s">
        <v>358</v>
      </c>
      <c r="C25591" s="46">
        <v>13</v>
      </c>
      <c r="D25591" s="69" t="s">
        <v>29495</v>
      </c>
      <c r="E25591" s="62"/>
      <c r="F25591" s="62" t="str">
        <f>IF(INDEX(I.Gas.P1Y1C1V1,13)="","",INDEX(I.Gas.P1Y1C1V1,13))</f>
        <v/>
      </c>
      <c r="G25591" s="62"/>
      <c r="H25591" s="46" t="str">
        <f>IF(OR(I.Developer.P1=FALSE,I.Facility.StandardPart&lt;&gt;"Part 2"),"Complete",IF(I.Product.P1GasToPowerStatus&lt;&gt;"Yes","Complete",IF(AND(I.Gas.P1Y1Count&gt;=13,F25591=""),"Incomplete","Complete")))</f>
        <v>Complete</v>
      </c>
      <c r="I25591" s="48" t="s">
        <v>770</v>
      </c>
    </row>
    <row r="25592" spans="2:9" ht="15" customHeight="1" x14ac:dyDescent="0.25">
      <c r="B25592" s="55" t="s">
        <v>358</v>
      </c>
      <c r="C25592" s="46">
        <v>14</v>
      </c>
      <c r="D25592" s="69" t="s">
        <v>29495</v>
      </c>
      <c r="E25592" s="62"/>
      <c r="F25592" s="62" t="str">
        <f>IF(INDEX(I.Gas.P1Y1C1V1,14)="","",INDEX(I.Gas.P1Y1C1V1,14))</f>
        <v/>
      </c>
      <c r="G25592" s="62"/>
      <c r="H25592" s="46" t="str">
        <f>IF(OR(I.Developer.P1=FALSE,I.Facility.StandardPart&lt;&gt;"Part 2"),"Complete",IF(I.Product.P1GasToPowerStatus&lt;&gt;"Yes","Complete",IF(AND(I.Gas.P1Y1Count&gt;=14,F25592=""),"Incomplete","Complete")))</f>
        <v>Complete</v>
      </c>
      <c r="I25592" s="48" t="s">
        <v>771</v>
      </c>
    </row>
    <row r="25593" spans="2:9" ht="15" customHeight="1" x14ac:dyDescent="0.25">
      <c r="B25593" s="55" t="s">
        <v>358</v>
      </c>
      <c r="C25593" s="46">
        <v>15</v>
      </c>
      <c r="D25593" s="69" t="s">
        <v>29495</v>
      </c>
      <c r="E25593" s="62"/>
      <c r="F25593" s="62" t="str">
        <f>IF(INDEX(I.Gas.P1Y1C1V1,15)="","",INDEX(I.Gas.P1Y1C1V1,15))</f>
        <v/>
      </c>
      <c r="G25593" s="62"/>
      <c r="H25593" s="46" t="str">
        <f>IF(OR(I.Developer.P1=FALSE,I.Facility.StandardPart&lt;&gt;"Part 2"),"Complete",IF(I.Product.P1GasToPowerStatus&lt;&gt;"Yes","Complete",IF(AND(I.Gas.P1Y1Count&gt;=15,F25593=""),"Incomplete","Complete")))</f>
        <v>Complete</v>
      </c>
      <c r="I25593" s="48" t="s">
        <v>772</v>
      </c>
    </row>
    <row r="25594" spans="2:9" ht="15" customHeight="1" x14ac:dyDescent="0.25">
      <c r="B25594" s="55" t="s">
        <v>358</v>
      </c>
      <c r="C25594" s="46">
        <v>16</v>
      </c>
      <c r="D25594" s="69" t="s">
        <v>29495</v>
      </c>
      <c r="E25594" s="62"/>
      <c r="F25594" s="62" t="str">
        <f>IF(INDEX(I.Gas.P1Y1C1V1,16)="","",INDEX(I.Gas.P1Y1C1V1,16))</f>
        <v/>
      </c>
      <c r="G25594" s="62"/>
      <c r="H25594" s="46" t="str">
        <f>IF(OR(I.Developer.P1=FALSE,I.Facility.StandardPart&lt;&gt;"Part 2"),"Complete",IF(I.Product.P1GasToPowerStatus&lt;&gt;"Yes","Complete",IF(AND(I.Gas.P1Y1Count&gt;=16,F25594=""),"Incomplete","Complete")))</f>
        <v>Complete</v>
      </c>
      <c r="I25594" s="48" t="s">
        <v>773</v>
      </c>
    </row>
    <row r="25595" spans="2:9" ht="15" customHeight="1" x14ac:dyDescent="0.25">
      <c r="B25595" s="55" t="s">
        <v>358</v>
      </c>
      <c r="C25595" s="46">
        <v>17</v>
      </c>
      <c r="D25595" s="69" t="s">
        <v>29495</v>
      </c>
      <c r="E25595" s="62"/>
      <c r="F25595" s="62" t="str">
        <f>IF(INDEX(I.Gas.P1Y1C1V1,17)="","",INDEX(I.Gas.P1Y1C1V1,17))</f>
        <v/>
      </c>
      <c r="G25595" s="62"/>
      <c r="H25595" s="46" t="str">
        <f>IF(OR(I.Developer.P1=FALSE,I.Facility.StandardPart&lt;&gt;"Part 2"),"Complete",IF(I.Product.P1GasToPowerStatus&lt;&gt;"Yes","Complete",IF(AND(I.Gas.P1Y1Count&gt;=17,F25595=""),"Incomplete","Complete")))</f>
        <v>Complete</v>
      </c>
      <c r="I25595" s="48" t="s">
        <v>774</v>
      </c>
    </row>
    <row r="25596" spans="2:9" ht="15" customHeight="1" x14ac:dyDescent="0.25">
      <c r="B25596" s="55" t="s">
        <v>358</v>
      </c>
      <c r="C25596" s="46">
        <v>18</v>
      </c>
      <c r="D25596" s="69" t="s">
        <v>29495</v>
      </c>
      <c r="E25596" s="62"/>
      <c r="F25596" s="62" t="str">
        <f>IF(INDEX(I.Gas.P1Y1C1V1,18)="","",INDEX(I.Gas.P1Y1C1V1,18))</f>
        <v/>
      </c>
      <c r="G25596" s="62"/>
      <c r="H25596" s="46" t="str">
        <f>IF(OR(I.Developer.P1=FALSE,I.Facility.StandardPart&lt;&gt;"Part 2"),"Complete",IF(I.Product.P1GasToPowerStatus&lt;&gt;"Yes","Complete",IF(AND(I.Gas.P1Y1Count&gt;=18,F25596=""),"Incomplete","Complete")))</f>
        <v>Complete</v>
      </c>
      <c r="I25596" s="48" t="s">
        <v>775</v>
      </c>
    </row>
    <row r="25597" spans="2:9" ht="15" customHeight="1" x14ac:dyDescent="0.25">
      <c r="B25597" s="55" t="s">
        <v>358</v>
      </c>
      <c r="C25597" s="46">
        <v>19</v>
      </c>
      <c r="D25597" s="69" t="s">
        <v>29495</v>
      </c>
      <c r="E25597" s="62"/>
      <c r="F25597" s="62" t="str">
        <f>IF(INDEX(I.Gas.P1Y1C1V1,19)="","",INDEX(I.Gas.P1Y1C1V1,19))</f>
        <v/>
      </c>
      <c r="G25597" s="62"/>
      <c r="H25597" s="46" t="str">
        <f>IF(OR(I.Developer.P1=FALSE,I.Facility.StandardPart&lt;&gt;"Part 2"),"Complete",IF(I.Product.P1GasToPowerStatus&lt;&gt;"Yes","Complete",IF(AND(I.Gas.P1Y1Count&gt;=19,F25597=""),"Incomplete","Complete")))</f>
        <v>Complete</v>
      </c>
      <c r="I25597" s="48" t="s">
        <v>776</v>
      </c>
    </row>
    <row r="25598" spans="2:9" ht="15" customHeight="1" x14ac:dyDescent="0.25">
      <c r="B25598" s="55" t="s">
        <v>358</v>
      </c>
      <c r="C25598" s="46">
        <v>20</v>
      </c>
      <c r="D25598" s="69" t="s">
        <v>29495</v>
      </c>
      <c r="E25598" s="62"/>
      <c r="F25598" s="62" t="str">
        <f>IF(INDEX(I.Gas.P1Y1C1V1,20)="","",INDEX(I.Gas.P1Y1C1V1,20))</f>
        <v/>
      </c>
      <c r="G25598" s="62"/>
      <c r="H25598" s="46" t="str">
        <f>IF(OR(I.Developer.P1=FALSE,I.Facility.StandardPart&lt;&gt;"Part 2"),"Complete",IF(I.Product.P1GasToPowerStatus&lt;&gt;"Yes","Complete",IF(AND(I.Gas.P1Y1Count&gt;=20,F25598=""),"Incomplete","Complete")))</f>
        <v>Complete</v>
      </c>
      <c r="I25598" s="48" t="s">
        <v>777</v>
      </c>
    </row>
    <row r="25599" spans="2:9" ht="15" customHeight="1" x14ac:dyDescent="0.25">
      <c r="B25599" s="55" t="s">
        <v>358</v>
      </c>
      <c r="C25599" s="46">
        <v>21</v>
      </c>
      <c r="D25599" s="69" t="s">
        <v>29495</v>
      </c>
      <c r="E25599" s="62"/>
      <c r="F25599" s="62" t="str">
        <f>IF(INDEX(I.Gas.P1Y1C1V1,21)="","",INDEX(I.Gas.P1Y1C1V1,21))</f>
        <v/>
      </c>
      <c r="G25599" s="62"/>
      <c r="H25599" s="46" t="str">
        <f>IF(OR(I.Developer.P1=FALSE,I.Facility.StandardPart&lt;&gt;"Part 2"),"Complete",IF(I.Product.P1GasToPowerStatus&lt;&gt;"Yes","Complete",IF(AND(I.Gas.P1Y1Count&gt;=21,F25599=""),"Incomplete","Complete")))</f>
        <v>Complete</v>
      </c>
      <c r="I25599" s="48" t="s">
        <v>778</v>
      </c>
    </row>
    <row r="25600" spans="2:9" ht="15" customHeight="1" x14ac:dyDescent="0.25">
      <c r="B25600" s="55" t="s">
        <v>358</v>
      </c>
      <c r="C25600" s="46">
        <v>22</v>
      </c>
      <c r="D25600" s="69" t="s">
        <v>29495</v>
      </c>
      <c r="E25600" s="62"/>
      <c r="F25600" s="62" t="str">
        <f>IF(INDEX(I.Gas.P1Y1C1V1,22)="","",INDEX(I.Gas.P1Y1C1V1,22))</f>
        <v/>
      </c>
      <c r="G25600" s="62"/>
      <c r="H25600" s="46" t="str">
        <f>IF(OR(I.Developer.P1=FALSE,I.Facility.StandardPart&lt;&gt;"Part 2"),"Complete",IF(I.Product.P1GasToPowerStatus&lt;&gt;"Yes","Complete",IF(AND(I.Gas.P1Y1Count&gt;=22,F25600=""),"Incomplete","Complete")))</f>
        <v>Complete</v>
      </c>
      <c r="I25600" s="48" t="s">
        <v>779</v>
      </c>
    </row>
    <row r="25601" spans="2:9" ht="15" customHeight="1" x14ac:dyDescent="0.25">
      <c r="B25601" s="55" t="s">
        <v>358</v>
      </c>
      <c r="C25601" s="46">
        <v>23</v>
      </c>
      <c r="D25601" s="69" t="s">
        <v>29495</v>
      </c>
      <c r="E25601" s="62"/>
      <c r="F25601" s="62" t="str">
        <f>IF(INDEX(I.Gas.P1Y1C1V1,23)="","",INDEX(I.Gas.P1Y1C1V1,23))</f>
        <v/>
      </c>
      <c r="G25601" s="62"/>
      <c r="H25601" s="46" t="str">
        <f>IF(OR(I.Developer.P1=FALSE,I.Facility.StandardPart&lt;&gt;"Part 2"),"Complete",IF(I.Product.P1GasToPowerStatus&lt;&gt;"Yes","Complete",IF(AND(I.Gas.P1Y1Count&gt;=23,F25601=""),"Incomplete","Complete")))</f>
        <v>Complete</v>
      </c>
      <c r="I25601" s="48" t="s">
        <v>780</v>
      </c>
    </row>
    <row r="25602" spans="2:9" ht="15" customHeight="1" x14ac:dyDescent="0.25">
      <c r="B25602" s="55" t="s">
        <v>358</v>
      </c>
      <c r="C25602" s="46">
        <v>24</v>
      </c>
      <c r="D25602" s="69" t="s">
        <v>29495</v>
      </c>
      <c r="E25602" s="62"/>
      <c r="F25602" s="62" t="str">
        <f>IF(INDEX(I.Gas.P1Y1C1V1,24)="","",INDEX(I.Gas.P1Y1C1V1,24))</f>
        <v/>
      </c>
      <c r="G25602" s="62"/>
      <c r="H25602" s="46" t="str">
        <f>IF(OR(I.Developer.P1=FALSE,I.Facility.StandardPart&lt;&gt;"Part 2"),"Complete",IF(I.Product.P1GasToPowerStatus&lt;&gt;"Yes","Complete",IF(AND(I.Gas.P1Y1Count&gt;=24,F25602=""),"Incomplete","Complete")))</f>
        <v>Complete</v>
      </c>
      <c r="I25602" s="48" t="s">
        <v>781</v>
      </c>
    </row>
    <row r="25603" spans="2:9" ht="15" customHeight="1" x14ac:dyDescent="0.25">
      <c r="B25603" s="55" t="s">
        <v>358</v>
      </c>
      <c r="C25603" s="46">
        <v>25</v>
      </c>
      <c r="D25603" s="69" t="s">
        <v>29495</v>
      </c>
      <c r="E25603" s="62"/>
      <c r="F25603" s="62" t="str">
        <f>IF(INDEX(I.Gas.P1Y1C1V1,25)="","",INDEX(I.Gas.P1Y1C1V1,25))</f>
        <v/>
      </c>
      <c r="G25603" s="62"/>
      <c r="H25603" s="46" t="str">
        <f>IF(OR(I.Developer.P1=FALSE,I.Facility.StandardPart&lt;&gt;"Part 2"),"Complete",IF(I.Product.P1GasToPowerStatus&lt;&gt;"Yes","Complete",IF(AND(I.Gas.P1Y1Count&gt;=25,F25603=""),"Incomplete","Complete")))</f>
        <v>Complete</v>
      </c>
      <c r="I25603" s="48" t="s">
        <v>782</v>
      </c>
    </row>
    <row r="25604" spans="2:9" ht="15" customHeight="1" x14ac:dyDescent="0.25">
      <c r="B25604" s="55" t="s">
        <v>358</v>
      </c>
      <c r="C25604" s="46">
        <v>26</v>
      </c>
      <c r="D25604" s="69" t="s">
        <v>29495</v>
      </c>
      <c r="E25604" s="62"/>
      <c r="F25604" s="62" t="str">
        <f>IF(INDEX(I.Gas.P1Y1C1V1,26)="","",INDEX(I.Gas.P1Y1C1V1,26))</f>
        <v/>
      </c>
      <c r="G25604" s="62"/>
      <c r="H25604" s="46" t="str">
        <f>IF(OR(I.Developer.P1=FALSE,I.Facility.StandardPart&lt;&gt;"Part 2"),"Complete",IF(I.Product.P1GasToPowerStatus&lt;&gt;"Yes","Complete",IF(AND(I.Gas.P1Y1Count&gt;=26,F25604=""),"Incomplete","Complete")))</f>
        <v>Complete</v>
      </c>
      <c r="I25604" s="48" t="s">
        <v>783</v>
      </c>
    </row>
    <row r="25605" spans="2:9" ht="15" customHeight="1" x14ac:dyDescent="0.25">
      <c r="B25605" s="55" t="s">
        <v>358</v>
      </c>
      <c r="C25605" s="46">
        <v>27</v>
      </c>
      <c r="D25605" s="69" t="s">
        <v>29495</v>
      </c>
      <c r="E25605" s="62"/>
      <c r="F25605" s="62" t="str">
        <f>IF(INDEX(I.Gas.P1Y1C1V1,27)="","",INDEX(I.Gas.P1Y1C1V1,27))</f>
        <v/>
      </c>
      <c r="G25605" s="62"/>
      <c r="H25605" s="46" t="str">
        <f>IF(OR(I.Developer.P1=FALSE,I.Facility.StandardPart&lt;&gt;"Part 2"),"Complete",IF(I.Product.P1GasToPowerStatus&lt;&gt;"Yes","Complete",IF(AND(I.Gas.P1Y1Count&gt;=27,F25605=""),"Incomplete","Complete")))</f>
        <v>Complete</v>
      </c>
      <c r="I25605" s="48" t="s">
        <v>784</v>
      </c>
    </row>
    <row r="25606" spans="2:9" ht="15" customHeight="1" x14ac:dyDescent="0.25">
      <c r="B25606" s="55" t="s">
        <v>358</v>
      </c>
      <c r="C25606" s="46">
        <v>28</v>
      </c>
      <c r="D25606" s="69" t="s">
        <v>29495</v>
      </c>
      <c r="E25606" s="62"/>
      <c r="F25606" s="62" t="str">
        <f>IF(INDEX(I.Gas.P1Y1C1V1,28)="","",INDEX(I.Gas.P1Y1C1V1,28))</f>
        <v/>
      </c>
      <c r="G25606" s="62"/>
      <c r="H25606" s="46" t="str">
        <f>IF(OR(I.Developer.P1=FALSE,I.Facility.StandardPart&lt;&gt;"Part 2"),"Complete",IF(I.Product.P1GasToPowerStatus&lt;&gt;"Yes","Complete",IF(AND(I.Gas.P1Y1Count&gt;=28,F25606=""),"Incomplete","Complete")))</f>
        <v>Complete</v>
      </c>
      <c r="I25606" s="48" t="s">
        <v>785</v>
      </c>
    </row>
    <row r="25607" spans="2:9" ht="15" customHeight="1" x14ac:dyDescent="0.25">
      <c r="B25607" s="55" t="s">
        <v>358</v>
      </c>
      <c r="C25607" s="46">
        <v>29</v>
      </c>
      <c r="D25607" s="69" t="s">
        <v>29495</v>
      </c>
      <c r="E25607" s="62"/>
      <c r="F25607" s="62" t="str">
        <f>IF(INDEX(I.Gas.P1Y1C1V1,29)="","",INDEX(I.Gas.P1Y1C1V1,29))</f>
        <v/>
      </c>
      <c r="G25607" s="62"/>
      <c r="H25607" s="46" t="str">
        <f>IF(OR(I.Developer.P1=FALSE,I.Facility.StandardPart&lt;&gt;"Part 2"),"Complete",IF(I.Product.P1GasToPowerStatus&lt;&gt;"Yes","Complete",IF(AND(I.Gas.P1Y1Count&gt;=29,F25607=""),"Incomplete","Complete")))</f>
        <v>Complete</v>
      </c>
      <c r="I25607" s="48" t="s">
        <v>786</v>
      </c>
    </row>
    <row r="25608" spans="2:9" ht="15" customHeight="1" x14ac:dyDescent="0.25">
      <c r="B25608" s="55" t="s">
        <v>358</v>
      </c>
      <c r="C25608" s="46">
        <v>30</v>
      </c>
      <c r="D25608" s="69" t="s">
        <v>29495</v>
      </c>
      <c r="E25608" s="62"/>
      <c r="F25608" s="62" t="str">
        <f>IF(INDEX(I.Gas.P1Y1C1V1,30)="","",INDEX(I.Gas.P1Y1C1V1,30))</f>
        <v/>
      </c>
      <c r="G25608" s="62"/>
      <c r="H25608" s="46" t="str">
        <f>IF(OR(I.Developer.P1=FALSE,I.Facility.StandardPart&lt;&gt;"Part 2"),"Complete",IF(I.Product.P1GasToPowerStatus&lt;&gt;"Yes","Complete",IF(AND(I.Gas.P1Y1Count&gt;=30,F25608=""),"Incomplete","Complete")))</f>
        <v>Complete</v>
      </c>
      <c r="I25608" s="48" t="s">
        <v>787</v>
      </c>
    </row>
    <row r="25609" spans="2:9" ht="15" customHeight="1" x14ac:dyDescent="0.25">
      <c r="B25609" s="55" t="s">
        <v>358</v>
      </c>
      <c r="C25609" s="46">
        <v>31</v>
      </c>
      <c r="D25609" s="69" t="s">
        <v>29495</v>
      </c>
      <c r="E25609" s="62"/>
      <c r="F25609" s="62" t="str">
        <f>IF(INDEX(I.Gas.P1Y1C1V1,31)="","",INDEX(I.Gas.P1Y1C1V1,31))</f>
        <v/>
      </c>
      <c r="G25609" s="62"/>
      <c r="H25609" s="46" t="str">
        <f>IF(OR(I.Developer.P1=FALSE,I.Facility.StandardPart&lt;&gt;"Part 2"),"Complete",IF(I.Product.P1GasToPowerStatus&lt;&gt;"Yes","Complete",IF(AND(I.Gas.P1Y1Count&gt;=31,F25609=""),"Incomplete","Complete")))</f>
        <v>Complete</v>
      </c>
      <c r="I25609" s="48" t="s">
        <v>788</v>
      </c>
    </row>
    <row r="25610" spans="2:9" ht="15" customHeight="1" x14ac:dyDescent="0.25">
      <c r="B25610" s="55" t="s">
        <v>358</v>
      </c>
      <c r="C25610" s="46">
        <v>32</v>
      </c>
      <c r="D25610" s="69" t="s">
        <v>29495</v>
      </c>
      <c r="E25610" s="62"/>
      <c r="F25610" s="62" t="str">
        <f>IF(INDEX(I.Gas.P1Y1C1V1,32)="","",INDEX(I.Gas.P1Y1C1V1,32))</f>
        <v/>
      </c>
      <c r="G25610" s="62"/>
      <c r="H25610" s="46" t="str">
        <f>IF(OR(I.Developer.P1=FALSE,I.Facility.StandardPart&lt;&gt;"Part 2"),"Complete",IF(I.Product.P1GasToPowerStatus&lt;&gt;"Yes","Complete",IF(AND(I.Gas.P1Y1Count&gt;=32,F25610=""),"Incomplete","Complete")))</f>
        <v>Complete</v>
      </c>
      <c r="I25610" s="48" t="s">
        <v>789</v>
      </c>
    </row>
    <row r="25611" spans="2:9" ht="15" customHeight="1" x14ac:dyDescent="0.25">
      <c r="B25611" s="55" t="s">
        <v>358</v>
      </c>
      <c r="C25611" s="46">
        <v>33</v>
      </c>
      <c r="D25611" s="69" t="s">
        <v>29495</v>
      </c>
      <c r="E25611" s="62"/>
      <c r="F25611" s="62" t="str">
        <f>IF(INDEX(I.Gas.P1Y1C1V1,33)="","",INDEX(I.Gas.P1Y1C1V1,33))</f>
        <v/>
      </c>
      <c r="G25611" s="62"/>
      <c r="H25611" s="46" t="str">
        <f>IF(OR(I.Developer.P1=FALSE,I.Facility.StandardPart&lt;&gt;"Part 2"),"Complete",IF(I.Product.P1GasToPowerStatus&lt;&gt;"Yes","Complete",IF(AND(I.Gas.P1Y1Count&gt;=33,F25611=""),"Incomplete","Complete")))</f>
        <v>Complete</v>
      </c>
      <c r="I25611" s="48" t="s">
        <v>790</v>
      </c>
    </row>
    <row r="25612" spans="2:9" ht="15" customHeight="1" x14ac:dyDescent="0.25">
      <c r="B25612" s="55" t="s">
        <v>358</v>
      </c>
      <c r="C25612" s="46">
        <v>34</v>
      </c>
      <c r="D25612" s="69" t="s">
        <v>29495</v>
      </c>
      <c r="E25612" s="62"/>
      <c r="F25612" s="62" t="str">
        <f>IF(INDEX(I.Gas.P1Y1C1V1,34)="","",INDEX(I.Gas.P1Y1C1V1,34))</f>
        <v/>
      </c>
      <c r="G25612" s="62"/>
      <c r="H25612" s="46" t="str">
        <f>IF(OR(I.Developer.P1=FALSE,I.Facility.StandardPart&lt;&gt;"Part 2"),"Complete",IF(I.Product.P1GasToPowerStatus&lt;&gt;"Yes","Complete",IF(AND(I.Gas.P1Y1Count&gt;=34,F25612=""),"Incomplete","Complete")))</f>
        <v>Complete</v>
      </c>
      <c r="I25612" s="48" t="s">
        <v>791</v>
      </c>
    </row>
    <row r="25613" spans="2:9" ht="15" customHeight="1" x14ac:dyDescent="0.25">
      <c r="B25613" s="55" t="s">
        <v>358</v>
      </c>
      <c r="C25613" s="46">
        <v>35</v>
      </c>
      <c r="D25613" s="69" t="s">
        <v>29495</v>
      </c>
      <c r="E25613" s="62"/>
      <c r="F25613" s="62" t="str">
        <f>IF(INDEX(I.Gas.P1Y1C1V1,35)="","",INDEX(I.Gas.P1Y1C1V1,35))</f>
        <v/>
      </c>
      <c r="G25613" s="62"/>
      <c r="H25613" s="46" t="str">
        <f>IF(OR(I.Developer.P1=FALSE,I.Facility.StandardPart&lt;&gt;"Part 2"),"Complete",IF(I.Product.P1GasToPowerStatus&lt;&gt;"Yes","Complete",IF(AND(I.Gas.P1Y1Count&gt;=35,F25613=""),"Incomplete","Complete")))</f>
        <v>Complete</v>
      </c>
      <c r="I25613" s="48" t="s">
        <v>792</v>
      </c>
    </row>
    <row r="25614" spans="2:9" ht="15" customHeight="1" x14ac:dyDescent="0.25">
      <c r="B25614" s="55" t="s">
        <v>358</v>
      </c>
      <c r="C25614" s="46">
        <v>36</v>
      </c>
      <c r="D25614" s="69" t="s">
        <v>29495</v>
      </c>
      <c r="E25614" s="62"/>
      <c r="F25614" s="62" t="str">
        <f>IF(INDEX(I.Gas.P1Y1C1V1,36)="","",INDEX(I.Gas.P1Y1C1V1,36))</f>
        <v/>
      </c>
      <c r="G25614" s="62"/>
      <c r="H25614" s="46" t="str">
        <f>IF(OR(I.Developer.P1=FALSE,I.Facility.StandardPart&lt;&gt;"Part 2"),"Complete",IF(I.Product.P1GasToPowerStatus&lt;&gt;"Yes","Complete",IF(AND(I.Gas.P1Y1Count&gt;=36,F25614=""),"Incomplete","Complete")))</f>
        <v>Complete</v>
      </c>
      <c r="I25614" s="48" t="s">
        <v>793</v>
      </c>
    </row>
    <row r="25615" spans="2:9" ht="15" customHeight="1" x14ac:dyDescent="0.25">
      <c r="B25615" s="55" t="s">
        <v>358</v>
      </c>
      <c r="C25615" s="46">
        <v>37</v>
      </c>
      <c r="D25615" s="69" t="s">
        <v>29495</v>
      </c>
      <c r="E25615" s="62"/>
      <c r="F25615" s="62" t="str">
        <f>IF(INDEX(I.Gas.P1Y1C1V1,37)="","",INDEX(I.Gas.P1Y1C1V1,37))</f>
        <v/>
      </c>
      <c r="G25615" s="62"/>
      <c r="H25615" s="46" t="str">
        <f>IF(OR(I.Developer.P1=FALSE,I.Facility.StandardPart&lt;&gt;"Part 2"),"Complete",IF(I.Product.P1GasToPowerStatus&lt;&gt;"Yes","Complete",IF(AND(I.Gas.P1Y1Count&gt;=37,F25615=""),"Incomplete","Complete")))</f>
        <v>Complete</v>
      </c>
      <c r="I25615" s="48" t="s">
        <v>794</v>
      </c>
    </row>
    <row r="25616" spans="2:9" ht="15" customHeight="1" x14ac:dyDescent="0.25">
      <c r="B25616" s="55" t="s">
        <v>358</v>
      </c>
      <c r="C25616" s="46">
        <v>38</v>
      </c>
      <c r="D25616" s="69" t="s">
        <v>29495</v>
      </c>
      <c r="E25616" s="62"/>
      <c r="F25616" s="62" t="str">
        <f>IF(INDEX(I.Gas.P1Y1C1V1,38)="","",INDEX(I.Gas.P1Y1C1V1,38))</f>
        <v/>
      </c>
      <c r="G25616" s="62"/>
      <c r="H25616" s="46" t="str">
        <f>IF(OR(I.Developer.P1=FALSE,I.Facility.StandardPart&lt;&gt;"Part 2"),"Complete",IF(I.Product.P1GasToPowerStatus&lt;&gt;"Yes","Complete",IF(AND(I.Gas.P1Y1Count&gt;=38,F25616=""),"Incomplete","Complete")))</f>
        <v>Complete</v>
      </c>
      <c r="I25616" s="48" t="s">
        <v>795</v>
      </c>
    </row>
    <row r="25617" spans="2:9" ht="15" customHeight="1" x14ac:dyDescent="0.25">
      <c r="B25617" s="55" t="s">
        <v>358</v>
      </c>
      <c r="C25617" s="46">
        <v>39</v>
      </c>
      <c r="D25617" s="69" t="s">
        <v>29495</v>
      </c>
      <c r="E25617" s="62"/>
      <c r="F25617" s="62" t="str">
        <f>IF(INDEX(I.Gas.P1Y1C1V1,39)="","",INDEX(I.Gas.P1Y1C1V1,39))</f>
        <v/>
      </c>
      <c r="G25617" s="62"/>
      <c r="H25617" s="46" t="str">
        <f>IF(OR(I.Developer.P1=FALSE,I.Facility.StandardPart&lt;&gt;"Part 2"),"Complete",IF(I.Product.P1GasToPowerStatus&lt;&gt;"Yes","Complete",IF(AND(I.Gas.P1Y1Count&gt;=39,F25617=""),"Incomplete","Complete")))</f>
        <v>Complete</v>
      </c>
      <c r="I25617" s="48" t="s">
        <v>796</v>
      </c>
    </row>
    <row r="25618" spans="2:9" ht="15" customHeight="1" x14ac:dyDescent="0.25">
      <c r="B25618" s="55" t="s">
        <v>358</v>
      </c>
      <c r="C25618" s="46">
        <v>40</v>
      </c>
      <c r="D25618" s="69" t="s">
        <v>29495</v>
      </c>
      <c r="E25618" s="62"/>
      <c r="F25618" s="62" t="str">
        <f>IF(INDEX(I.Gas.P1Y1C1V1,40)="","",INDEX(I.Gas.P1Y1C1V1,40))</f>
        <v/>
      </c>
      <c r="G25618" s="62"/>
      <c r="H25618" s="46" t="str">
        <f>IF(OR(I.Developer.P1=FALSE,I.Facility.StandardPart&lt;&gt;"Part 2"),"Complete",IF(I.Product.P1GasToPowerStatus&lt;&gt;"Yes","Complete",IF(AND(I.Gas.P1Y1Count&gt;=40,F25618=""),"Incomplete","Complete")))</f>
        <v>Complete</v>
      </c>
      <c r="I25618" s="48" t="s">
        <v>797</v>
      </c>
    </row>
    <row r="25619" spans="2:9" ht="15" customHeight="1" x14ac:dyDescent="0.25">
      <c r="B25619" s="55" t="s">
        <v>358</v>
      </c>
      <c r="C25619" s="46">
        <v>41</v>
      </c>
      <c r="D25619" s="69" t="s">
        <v>29495</v>
      </c>
      <c r="E25619" s="62"/>
      <c r="F25619" s="62" t="str">
        <f>IF(INDEX(I.Gas.P1Y1C1V1,41)="","",INDEX(I.Gas.P1Y1C1V1,41))</f>
        <v/>
      </c>
      <c r="G25619" s="62"/>
      <c r="H25619" s="46" t="str">
        <f>IF(OR(I.Developer.P1=FALSE,I.Facility.StandardPart&lt;&gt;"Part 2"),"Complete",IF(I.Product.P1GasToPowerStatus&lt;&gt;"Yes","Complete",IF(AND(I.Gas.P1Y1Count&gt;=41,F25619=""),"Incomplete","Complete")))</f>
        <v>Complete</v>
      </c>
      <c r="I25619" s="48" t="s">
        <v>798</v>
      </c>
    </row>
    <row r="25620" spans="2:9" ht="15" customHeight="1" x14ac:dyDescent="0.25">
      <c r="B25620" s="55" t="s">
        <v>358</v>
      </c>
      <c r="C25620" s="46">
        <v>42</v>
      </c>
      <c r="D25620" s="69" t="s">
        <v>29495</v>
      </c>
      <c r="E25620" s="62"/>
      <c r="F25620" s="62" t="str">
        <f>IF(INDEX(I.Gas.P1Y1C1V1,42)="","",INDEX(I.Gas.P1Y1C1V1,42))</f>
        <v/>
      </c>
      <c r="G25620" s="62"/>
      <c r="H25620" s="46" t="str">
        <f>IF(OR(I.Developer.P1=FALSE,I.Facility.StandardPart&lt;&gt;"Part 2"),"Complete",IF(I.Product.P1GasToPowerStatus&lt;&gt;"Yes","Complete",IF(AND(I.Gas.P1Y1Count&gt;=42,F25620=""),"Incomplete","Complete")))</f>
        <v>Complete</v>
      </c>
      <c r="I25620" s="48" t="s">
        <v>799</v>
      </c>
    </row>
    <row r="25621" spans="2:9" ht="15" customHeight="1" x14ac:dyDescent="0.25">
      <c r="B25621" s="55" t="s">
        <v>358</v>
      </c>
      <c r="C25621" s="46">
        <v>43</v>
      </c>
      <c r="D25621" s="69" t="s">
        <v>29495</v>
      </c>
      <c r="E25621" s="62"/>
      <c r="F25621" s="62" t="str">
        <f>IF(INDEX(I.Gas.P1Y1C1V1,43)="","",INDEX(I.Gas.P1Y1C1V1,43))</f>
        <v/>
      </c>
      <c r="G25621" s="62"/>
      <c r="H25621" s="46" t="str">
        <f>IF(OR(I.Developer.P1=FALSE,I.Facility.StandardPart&lt;&gt;"Part 2"),"Complete",IF(I.Product.P1GasToPowerStatus&lt;&gt;"Yes","Complete",IF(AND(I.Gas.P1Y1Count&gt;=43,F25621=""),"Incomplete","Complete")))</f>
        <v>Complete</v>
      </c>
      <c r="I25621" s="48" t="s">
        <v>800</v>
      </c>
    </row>
    <row r="25622" spans="2:9" ht="15" customHeight="1" x14ac:dyDescent="0.25">
      <c r="B25622" s="55" t="s">
        <v>358</v>
      </c>
      <c r="C25622" s="46">
        <v>44</v>
      </c>
      <c r="D25622" s="69" t="s">
        <v>29495</v>
      </c>
      <c r="E25622" s="62"/>
      <c r="F25622" s="62" t="str">
        <f>IF(INDEX(I.Gas.P1Y1C1V1,44)="","",INDEX(I.Gas.P1Y1C1V1,44))</f>
        <v/>
      </c>
      <c r="G25622" s="62"/>
      <c r="H25622" s="46" t="str">
        <f>IF(OR(I.Developer.P1=FALSE,I.Facility.StandardPart&lt;&gt;"Part 2"),"Complete",IF(I.Product.P1GasToPowerStatus&lt;&gt;"Yes","Complete",IF(AND(I.Gas.P1Y1Count&gt;=44,F25622=""),"Incomplete","Complete")))</f>
        <v>Complete</v>
      </c>
      <c r="I25622" s="48" t="s">
        <v>801</v>
      </c>
    </row>
    <row r="25623" spans="2:9" ht="15" customHeight="1" x14ac:dyDescent="0.25">
      <c r="B25623" s="55" t="s">
        <v>358</v>
      </c>
      <c r="C25623" s="46">
        <v>45</v>
      </c>
      <c r="D25623" s="69" t="s">
        <v>29495</v>
      </c>
      <c r="E25623" s="62"/>
      <c r="F25623" s="62" t="str">
        <f>IF(INDEX(I.Gas.P1Y1C1V1,45)="","",INDEX(I.Gas.P1Y1C1V1,45))</f>
        <v/>
      </c>
      <c r="G25623" s="62"/>
      <c r="H25623" s="46" t="str">
        <f>IF(OR(I.Developer.P1=FALSE,I.Facility.StandardPart&lt;&gt;"Part 2"),"Complete",IF(I.Product.P1GasToPowerStatus&lt;&gt;"Yes","Complete",IF(AND(I.Gas.P1Y1Count&gt;=45,F25623=""),"Incomplete","Complete")))</f>
        <v>Complete</v>
      </c>
      <c r="I25623" s="48" t="s">
        <v>802</v>
      </c>
    </row>
    <row r="25624" spans="2:9" ht="15" customHeight="1" x14ac:dyDescent="0.25">
      <c r="B25624" s="55" t="s">
        <v>358</v>
      </c>
      <c r="C25624" s="46">
        <v>46</v>
      </c>
      <c r="D25624" s="69" t="s">
        <v>29495</v>
      </c>
      <c r="E25624" s="62"/>
      <c r="F25624" s="62" t="str">
        <f>IF(INDEX(I.Gas.P1Y1C1V1,46)="","",INDEX(I.Gas.P1Y1C1V1,46))</f>
        <v/>
      </c>
      <c r="G25624" s="62"/>
      <c r="H25624" s="46" t="str">
        <f>IF(OR(I.Developer.P1=FALSE,I.Facility.StandardPart&lt;&gt;"Part 2"),"Complete",IF(I.Product.P1GasToPowerStatus&lt;&gt;"Yes","Complete",IF(AND(I.Gas.P1Y1Count&gt;=46,F25624=""),"Incomplete","Complete")))</f>
        <v>Complete</v>
      </c>
      <c r="I25624" s="48" t="s">
        <v>803</v>
      </c>
    </row>
    <row r="25625" spans="2:9" ht="15" customHeight="1" x14ac:dyDescent="0.25">
      <c r="B25625" s="55" t="s">
        <v>358</v>
      </c>
      <c r="C25625" s="46">
        <v>47</v>
      </c>
      <c r="D25625" s="69" t="s">
        <v>29495</v>
      </c>
      <c r="E25625" s="62"/>
      <c r="F25625" s="62" t="str">
        <f>IF(INDEX(I.Gas.P1Y1C1V1,47)="","",INDEX(I.Gas.P1Y1C1V1,47))</f>
        <v/>
      </c>
      <c r="G25625" s="62"/>
      <c r="H25625" s="46" t="str">
        <f>IF(OR(I.Developer.P1=FALSE,I.Facility.StandardPart&lt;&gt;"Part 2"),"Complete",IF(I.Product.P1GasToPowerStatus&lt;&gt;"Yes","Complete",IF(AND(I.Gas.P1Y1Count&gt;=47,F25625=""),"Incomplete","Complete")))</f>
        <v>Complete</v>
      </c>
      <c r="I25625" s="48" t="s">
        <v>804</v>
      </c>
    </row>
    <row r="25626" spans="2:9" ht="15" customHeight="1" x14ac:dyDescent="0.25">
      <c r="B25626" s="55" t="s">
        <v>358</v>
      </c>
      <c r="C25626" s="46">
        <v>48</v>
      </c>
      <c r="D25626" s="69" t="s">
        <v>29495</v>
      </c>
      <c r="E25626" s="62"/>
      <c r="F25626" s="62" t="str">
        <f>IF(INDEX(I.Gas.P1Y1C1V1,48)="","",INDEX(I.Gas.P1Y1C1V1,48))</f>
        <v/>
      </c>
      <c r="G25626" s="62"/>
      <c r="H25626" s="46" t="str">
        <f>IF(OR(I.Developer.P1=FALSE,I.Facility.StandardPart&lt;&gt;"Part 2"),"Complete",IF(I.Product.P1GasToPowerStatus&lt;&gt;"Yes","Complete",IF(AND(I.Gas.P1Y1Count&gt;=48,F25626=""),"Incomplete","Complete")))</f>
        <v>Complete</v>
      </c>
      <c r="I25626" s="48" t="s">
        <v>805</v>
      </c>
    </row>
    <row r="25627" spans="2:9" ht="15" customHeight="1" x14ac:dyDescent="0.25">
      <c r="B25627" s="55" t="s">
        <v>358</v>
      </c>
      <c r="C25627" s="46">
        <v>49</v>
      </c>
      <c r="D25627" s="69" t="s">
        <v>29495</v>
      </c>
      <c r="E25627" s="62"/>
      <c r="F25627" s="62" t="str">
        <f>IF(INDEX(I.Gas.P1Y1C1V1,49)="","",INDEX(I.Gas.P1Y1C1V1,49))</f>
        <v/>
      </c>
      <c r="G25627" s="62"/>
      <c r="H25627" s="46" t="str">
        <f>IF(OR(I.Developer.P1=FALSE,I.Facility.StandardPart&lt;&gt;"Part 2"),"Complete",IF(I.Product.P1GasToPowerStatus&lt;&gt;"Yes","Complete",IF(AND(I.Gas.P1Y1Count&gt;=49,F25627=""),"Incomplete","Complete")))</f>
        <v>Complete</v>
      </c>
      <c r="I25627" s="48" t="s">
        <v>806</v>
      </c>
    </row>
    <row r="25628" spans="2:9" ht="15" customHeight="1" x14ac:dyDescent="0.25">
      <c r="B25628" s="56" t="s">
        <v>358</v>
      </c>
      <c r="C25628" s="57">
        <v>50</v>
      </c>
      <c r="D25628" s="71" t="s">
        <v>29495</v>
      </c>
      <c r="E25628" s="61"/>
      <c r="F25628" s="61" t="str">
        <f>IF(INDEX(I.Gas.P1Y1C1V1,50)="","",INDEX(I.Gas.P1Y1C1V1,50))</f>
        <v/>
      </c>
      <c r="G25628" s="61"/>
      <c r="H25628" s="57" t="str">
        <f>IF(OR(I.Developer.P1=FALSE,I.Facility.StandardPart&lt;&gt;"Part 2"),"Complete",IF(I.Product.P1GasToPowerStatus&lt;&gt;"Yes","Complete",IF(AND(I.Gas.P1Y1Count&gt;=50,F25628=""),"Incomplete","Complete")))</f>
        <v>Complete</v>
      </c>
      <c r="I25628" s="49" t="s">
        <v>807</v>
      </c>
    </row>
    <row r="25629" spans="2:9" ht="15" customHeight="1" x14ac:dyDescent="0.25">
      <c r="B25629" s="55" t="s">
        <v>359</v>
      </c>
      <c r="C25629" s="46">
        <v>1</v>
      </c>
      <c r="D25629" s="69" t="s">
        <v>29496</v>
      </c>
      <c r="E25629" s="62"/>
      <c r="F25629" s="62" t="str">
        <f>IF(INDEX(I.Gas.P1Y1C1E1,1)="","",INDEX(I.Gas.P1Y1C1E1,1))</f>
        <v/>
      </c>
      <c r="G25629" s="62"/>
      <c r="H25629" s="46" t="str">
        <f>IF(OR(I.Developer.P1=FALSE,I.Facility.StandardPart="Part 2"),"Complete",IF(I.Product.P1GasToPowerStatus&lt;&gt;"Yes","Complete",IF(AND(I.Gas.P1Y1Count&gt;=1,F25629=""),"Incomplete","Complete")))</f>
        <v>Complete</v>
      </c>
      <c r="I25629" s="48" t="s">
        <v>808</v>
      </c>
    </row>
    <row r="25630" spans="2:9" ht="15" customHeight="1" x14ac:dyDescent="0.25">
      <c r="B25630" s="55" t="s">
        <v>359</v>
      </c>
      <c r="C25630" s="46">
        <v>2</v>
      </c>
      <c r="D25630" s="69" t="s">
        <v>29496</v>
      </c>
      <c r="E25630" s="62"/>
      <c r="F25630" s="62" t="str">
        <f>IF(INDEX(I.Gas.P1Y1C1E1,2)="","",INDEX(I.Gas.P1Y1C1E1,2))</f>
        <v/>
      </c>
      <c r="G25630" s="62"/>
      <c r="H25630" s="46" t="str">
        <f>IF(OR(I.Developer.P1=FALSE,I.Facility.StandardPart="Part 2"),"Complete",IF(I.Product.P1GasToPowerStatus&lt;&gt;"Yes","Complete",IF(AND(I.Gas.P1Y1Count&gt;=2,F25630=""),"Incomplete","Complete")))</f>
        <v>Complete</v>
      </c>
      <c r="I25630" s="48" t="s">
        <v>809</v>
      </c>
    </row>
    <row r="25631" spans="2:9" ht="15" customHeight="1" x14ac:dyDescent="0.25">
      <c r="B25631" s="55" t="s">
        <v>359</v>
      </c>
      <c r="C25631" s="46">
        <v>3</v>
      </c>
      <c r="D25631" s="69" t="s">
        <v>29496</v>
      </c>
      <c r="E25631" s="62"/>
      <c r="F25631" s="62" t="str">
        <f>IF(INDEX(I.Gas.P1Y1C1E1,3)="","",INDEX(I.Gas.P1Y1C1E1,3))</f>
        <v/>
      </c>
      <c r="G25631" s="62"/>
      <c r="H25631" s="46" t="str">
        <f>IF(OR(I.Developer.P1=FALSE,I.Facility.StandardPart="Part 2"),"Complete",IF(I.Product.P1GasToPowerStatus&lt;&gt;"Yes","Complete",IF(AND(I.Gas.P1Y1Count&gt;=3,F25631=""),"Incomplete","Complete")))</f>
        <v>Complete</v>
      </c>
      <c r="I25631" s="48" t="s">
        <v>810</v>
      </c>
    </row>
    <row r="25632" spans="2:9" ht="15" customHeight="1" x14ac:dyDescent="0.25">
      <c r="B25632" s="55" t="s">
        <v>359</v>
      </c>
      <c r="C25632" s="46">
        <v>4</v>
      </c>
      <c r="D25632" s="69" t="s">
        <v>29496</v>
      </c>
      <c r="E25632" s="62"/>
      <c r="F25632" s="62" t="str">
        <f>IF(INDEX(I.Gas.P1Y1C1E1,4)="","",INDEX(I.Gas.P1Y1C1E1,4))</f>
        <v/>
      </c>
      <c r="G25632" s="62"/>
      <c r="H25632" s="46" t="str">
        <f>IF(OR(I.Developer.P1=FALSE,I.Facility.StandardPart="Part 2"),"Complete",IF(I.Product.P1GasToPowerStatus&lt;&gt;"Yes","Complete",IF(AND(I.Gas.P1Y1Count&gt;=4,F25632=""),"Incomplete","Complete")))</f>
        <v>Complete</v>
      </c>
      <c r="I25632" s="48" t="s">
        <v>811</v>
      </c>
    </row>
    <row r="25633" spans="2:9" ht="15" customHeight="1" x14ac:dyDescent="0.25">
      <c r="B25633" s="55" t="s">
        <v>359</v>
      </c>
      <c r="C25633" s="46">
        <v>5</v>
      </c>
      <c r="D25633" s="69" t="s">
        <v>29496</v>
      </c>
      <c r="E25633" s="62"/>
      <c r="F25633" s="62" t="str">
        <f>IF(INDEX(I.Gas.P1Y1C1E1,5)="","",INDEX(I.Gas.P1Y1C1E1,5))</f>
        <v/>
      </c>
      <c r="G25633" s="62"/>
      <c r="H25633" s="46" t="str">
        <f>IF(OR(I.Developer.P1=FALSE,I.Facility.StandardPart="Part 2"),"Complete",IF(I.Product.P1GasToPowerStatus&lt;&gt;"Yes","Complete",IF(AND(I.Gas.P1Y1Count&gt;=5,F25633=""),"Incomplete","Complete")))</f>
        <v>Complete</v>
      </c>
      <c r="I25633" s="48" t="s">
        <v>812</v>
      </c>
    </row>
    <row r="25634" spans="2:9" ht="15" customHeight="1" x14ac:dyDescent="0.25">
      <c r="B25634" s="55" t="s">
        <v>359</v>
      </c>
      <c r="C25634" s="46">
        <v>6</v>
      </c>
      <c r="D25634" s="69" t="s">
        <v>29496</v>
      </c>
      <c r="E25634" s="62"/>
      <c r="F25634" s="62" t="str">
        <f>IF(INDEX(I.Gas.P1Y1C1E1,6)="","",INDEX(I.Gas.P1Y1C1E1,6))</f>
        <v/>
      </c>
      <c r="G25634" s="62"/>
      <c r="H25634" s="46" t="str">
        <f>IF(OR(I.Developer.P1=FALSE,I.Facility.StandardPart="Part 2"),"Complete",IF(I.Product.P1GasToPowerStatus&lt;&gt;"Yes","Complete",IF(AND(I.Gas.P1Y1Count&gt;=6,F25634=""),"Incomplete","Complete")))</f>
        <v>Complete</v>
      </c>
      <c r="I25634" s="48" t="s">
        <v>813</v>
      </c>
    </row>
    <row r="25635" spans="2:9" ht="15" customHeight="1" x14ac:dyDescent="0.25">
      <c r="B25635" s="55" t="s">
        <v>359</v>
      </c>
      <c r="C25635" s="46">
        <v>7</v>
      </c>
      <c r="D25635" s="69" t="s">
        <v>29496</v>
      </c>
      <c r="E25635" s="62"/>
      <c r="F25635" s="62" t="str">
        <f>IF(INDEX(I.Gas.P1Y1C1E1,7)="","",INDEX(I.Gas.P1Y1C1E1,7))</f>
        <v/>
      </c>
      <c r="G25635" s="62"/>
      <c r="H25635" s="46" t="str">
        <f>IF(OR(I.Developer.P1=FALSE,I.Facility.StandardPart="Part 2"),"Complete",IF(I.Product.P1GasToPowerStatus&lt;&gt;"Yes","Complete",IF(AND(I.Gas.P1Y1Count&gt;=7,F25635=""),"Incomplete","Complete")))</f>
        <v>Complete</v>
      </c>
      <c r="I25635" s="48" t="s">
        <v>814</v>
      </c>
    </row>
    <row r="25636" spans="2:9" ht="15" customHeight="1" x14ac:dyDescent="0.25">
      <c r="B25636" s="55" t="s">
        <v>359</v>
      </c>
      <c r="C25636" s="46">
        <v>8</v>
      </c>
      <c r="D25636" s="69" t="s">
        <v>29496</v>
      </c>
      <c r="E25636" s="62"/>
      <c r="F25636" s="62" t="str">
        <f>IF(INDEX(I.Gas.P1Y1C1E1,8)="","",INDEX(I.Gas.P1Y1C1E1,8))</f>
        <v/>
      </c>
      <c r="G25636" s="62"/>
      <c r="H25636" s="46" t="str">
        <f>IF(OR(I.Developer.P1=FALSE,I.Facility.StandardPart="Part 2"),"Complete",IF(I.Product.P1GasToPowerStatus&lt;&gt;"Yes","Complete",IF(AND(I.Gas.P1Y1Count&gt;=8,F25636=""),"Incomplete","Complete")))</f>
        <v>Complete</v>
      </c>
      <c r="I25636" s="48" t="s">
        <v>815</v>
      </c>
    </row>
    <row r="25637" spans="2:9" ht="15" customHeight="1" x14ac:dyDescent="0.25">
      <c r="B25637" s="55" t="s">
        <v>359</v>
      </c>
      <c r="C25637" s="46">
        <v>9</v>
      </c>
      <c r="D25637" s="69" t="s">
        <v>29496</v>
      </c>
      <c r="E25637" s="62"/>
      <c r="F25637" s="62" t="str">
        <f>IF(INDEX(I.Gas.P1Y1C1E1,9)="","",INDEX(I.Gas.P1Y1C1E1,9))</f>
        <v/>
      </c>
      <c r="G25637" s="62"/>
      <c r="H25637" s="46" t="str">
        <f>IF(OR(I.Developer.P1=FALSE,I.Facility.StandardPart="Part 2"),"Complete",IF(I.Product.P1GasToPowerStatus&lt;&gt;"Yes","Complete",IF(AND(I.Gas.P1Y1Count&gt;=9,F25637=""),"Incomplete","Complete")))</f>
        <v>Complete</v>
      </c>
      <c r="I25637" s="48" t="s">
        <v>816</v>
      </c>
    </row>
    <row r="25638" spans="2:9" ht="15" customHeight="1" x14ac:dyDescent="0.25">
      <c r="B25638" s="55" t="s">
        <v>359</v>
      </c>
      <c r="C25638" s="46">
        <v>10</v>
      </c>
      <c r="D25638" s="69" t="s">
        <v>29496</v>
      </c>
      <c r="E25638" s="62"/>
      <c r="F25638" s="62" t="str">
        <f>IF(INDEX(I.Gas.P1Y1C1E1,10)="","",INDEX(I.Gas.P1Y1C1E1,10))</f>
        <v/>
      </c>
      <c r="G25638" s="62"/>
      <c r="H25638" s="46" t="str">
        <f>IF(OR(I.Developer.P1=FALSE,I.Facility.StandardPart="Part 2"),"Complete",IF(I.Product.P1GasToPowerStatus&lt;&gt;"Yes","Complete",IF(AND(I.Gas.P1Y1Count&gt;=10,F25638=""),"Incomplete","Complete")))</f>
        <v>Complete</v>
      </c>
      <c r="I25638" s="48" t="s">
        <v>817</v>
      </c>
    </row>
    <row r="25639" spans="2:9" ht="15" customHeight="1" x14ac:dyDescent="0.25">
      <c r="B25639" s="55" t="s">
        <v>359</v>
      </c>
      <c r="C25639" s="46">
        <v>11</v>
      </c>
      <c r="D25639" s="69" t="s">
        <v>29496</v>
      </c>
      <c r="E25639" s="62"/>
      <c r="F25639" s="62" t="str">
        <f>IF(INDEX(I.Gas.P1Y1C1E1,11)="","",INDEX(I.Gas.P1Y1C1E1,11))</f>
        <v/>
      </c>
      <c r="G25639" s="62"/>
      <c r="H25639" s="46" t="str">
        <f>IF(OR(I.Developer.P1=FALSE,I.Facility.StandardPart="Part 2"),"Complete",IF(I.Product.P1GasToPowerStatus&lt;&gt;"Yes","Complete",IF(AND(I.Gas.P1Y1Count&gt;=11,F25639=""),"Incomplete","Complete")))</f>
        <v>Complete</v>
      </c>
      <c r="I25639" s="48" t="s">
        <v>818</v>
      </c>
    </row>
    <row r="25640" spans="2:9" ht="15" customHeight="1" x14ac:dyDescent="0.25">
      <c r="B25640" s="55" t="s">
        <v>359</v>
      </c>
      <c r="C25640" s="46">
        <v>12</v>
      </c>
      <c r="D25640" s="69" t="s">
        <v>29496</v>
      </c>
      <c r="E25640" s="62"/>
      <c r="F25640" s="62" t="str">
        <f>IF(INDEX(I.Gas.P1Y1C1E1,12)="","",INDEX(I.Gas.P1Y1C1E1,12))</f>
        <v/>
      </c>
      <c r="G25640" s="62"/>
      <c r="H25640" s="46" t="str">
        <f>IF(OR(I.Developer.P1=FALSE,I.Facility.StandardPart="Part 2"),"Complete",IF(I.Product.P1GasToPowerStatus&lt;&gt;"Yes","Complete",IF(AND(I.Gas.P1Y1Count&gt;=12,F25640=""),"Incomplete","Complete")))</f>
        <v>Complete</v>
      </c>
      <c r="I25640" s="48" t="s">
        <v>819</v>
      </c>
    </row>
    <row r="25641" spans="2:9" ht="15" customHeight="1" x14ac:dyDescent="0.25">
      <c r="B25641" s="55" t="s">
        <v>359</v>
      </c>
      <c r="C25641" s="46">
        <v>13</v>
      </c>
      <c r="D25641" s="69" t="s">
        <v>29496</v>
      </c>
      <c r="E25641" s="62"/>
      <c r="F25641" s="62" t="str">
        <f>IF(INDEX(I.Gas.P1Y1C1E1,13)="","",INDEX(I.Gas.P1Y1C1E1,13))</f>
        <v/>
      </c>
      <c r="G25641" s="62"/>
      <c r="H25641" s="46" t="str">
        <f>IF(OR(I.Developer.P1=FALSE,I.Facility.StandardPart="Part 2"),"Complete",IF(I.Product.P1GasToPowerStatus&lt;&gt;"Yes","Complete",IF(AND(I.Gas.P1Y1Count&gt;=13,F25641=""),"Incomplete","Complete")))</f>
        <v>Complete</v>
      </c>
      <c r="I25641" s="48" t="s">
        <v>820</v>
      </c>
    </row>
    <row r="25642" spans="2:9" ht="15" customHeight="1" x14ac:dyDescent="0.25">
      <c r="B25642" s="55" t="s">
        <v>359</v>
      </c>
      <c r="C25642" s="46">
        <v>14</v>
      </c>
      <c r="D25642" s="69" t="s">
        <v>29496</v>
      </c>
      <c r="E25642" s="62"/>
      <c r="F25642" s="62" t="str">
        <f>IF(INDEX(I.Gas.P1Y1C1E1,14)="","",INDEX(I.Gas.P1Y1C1E1,14))</f>
        <v/>
      </c>
      <c r="G25642" s="62"/>
      <c r="H25642" s="46" t="str">
        <f>IF(OR(I.Developer.P1=FALSE,I.Facility.StandardPart="Part 2"),"Complete",IF(I.Product.P1GasToPowerStatus&lt;&gt;"Yes","Complete",IF(AND(I.Gas.P1Y1Count&gt;=14,F25642=""),"Incomplete","Complete")))</f>
        <v>Complete</v>
      </c>
      <c r="I25642" s="48" t="s">
        <v>821</v>
      </c>
    </row>
    <row r="25643" spans="2:9" ht="15" customHeight="1" x14ac:dyDescent="0.25">
      <c r="B25643" s="55" t="s">
        <v>359</v>
      </c>
      <c r="C25643" s="46">
        <v>15</v>
      </c>
      <c r="D25643" s="69" t="s">
        <v>29496</v>
      </c>
      <c r="E25643" s="62"/>
      <c r="F25643" s="62" t="str">
        <f>IF(INDEX(I.Gas.P1Y1C1E1,15)="","",INDEX(I.Gas.P1Y1C1E1,15))</f>
        <v/>
      </c>
      <c r="G25643" s="62"/>
      <c r="H25643" s="46" t="str">
        <f>IF(OR(I.Developer.P1=FALSE,I.Facility.StandardPart="Part 2"),"Complete",IF(I.Product.P1GasToPowerStatus&lt;&gt;"Yes","Complete",IF(AND(I.Gas.P1Y1Count&gt;=15,F25643=""),"Incomplete","Complete")))</f>
        <v>Complete</v>
      </c>
      <c r="I25643" s="48" t="s">
        <v>822</v>
      </c>
    </row>
    <row r="25644" spans="2:9" ht="15" customHeight="1" x14ac:dyDescent="0.25">
      <c r="B25644" s="55" t="s">
        <v>359</v>
      </c>
      <c r="C25644" s="46">
        <v>16</v>
      </c>
      <c r="D25644" s="69" t="s">
        <v>29496</v>
      </c>
      <c r="E25644" s="62"/>
      <c r="F25644" s="62" t="str">
        <f>IF(INDEX(I.Gas.P1Y1C1E1,16)="","",INDEX(I.Gas.P1Y1C1E1,16))</f>
        <v/>
      </c>
      <c r="G25644" s="62"/>
      <c r="H25644" s="46" t="str">
        <f>IF(OR(I.Developer.P1=FALSE,I.Facility.StandardPart="Part 2"),"Complete",IF(I.Product.P1GasToPowerStatus&lt;&gt;"Yes","Complete",IF(AND(I.Gas.P1Y1Count&gt;=16,F25644=""),"Incomplete","Complete")))</f>
        <v>Complete</v>
      </c>
      <c r="I25644" s="48" t="s">
        <v>823</v>
      </c>
    </row>
    <row r="25645" spans="2:9" ht="15" customHeight="1" x14ac:dyDescent="0.25">
      <c r="B25645" s="55" t="s">
        <v>359</v>
      </c>
      <c r="C25645" s="46">
        <v>17</v>
      </c>
      <c r="D25645" s="69" t="s">
        <v>29496</v>
      </c>
      <c r="E25645" s="62"/>
      <c r="F25645" s="62" t="str">
        <f>IF(INDEX(I.Gas.P1Y1C1E1,17)="","",INDEX(I.Gas.P1Y1C1E1,17))</f>
        <v/>
      </c>
      <c r="G25645" s="62"/>
      <c r="H25645" s="46" t="str">
        <f>IF(OR(I.Developer.P1=FALSE,I.Facility.StandardPart="Part 2"),"Complete",IF(I.Product.P1GasToPowerStatus&lt;&gt;"Yes","Complete",IF(AND(I.Gas.P1Y1Count&gt;=17,F25645=""),"Incomplete","Complete")))</f>
        <v>Complete</v>
      </c>
      <c r="I25645" s="48" t="s">
        <v>824</v>
      </c>
    </row>
    <row r="25646" spans="2:9" ht="15" customHeight="1" x14ac:dyDescent="0.25">
      <c r="B25646" s="55" t="s">
        <v>359</v>
      </c>
      <c r="C25646" s="46">
        <v>18</v>
      </c>
      <c r="D25646" s="69" t="s">
        <v>29496</v>
      </c>
      <c r="E25646" s="62"/>
      <c r="F25646" s="62" t="str">
        <f>IF(INDEX(I.Gas.P1Y1C1E1,18)="","",INDEX(I.Gas.P1Y1C1E1,18))</f>
        <v/>
      </c>
      <c r="G25646" s="62"/>
      <c r="H25646" s="46" t="str">
        <f>IF(OR(I.Developer.P1=FALSE,I.Facility.StandardPart="Part 2"),"Complete",IF(I.Product.P1GasToPowerStatus&lt;&gt;"Yes","Complete",IF(AND(I.Gas.P1Y1Count&gt;=18,F25646=""),"Incomplete","Complete")))</f>
        <v>Complete</v>
      </c>
      <c r="I25646" s="48" t="s">
        <v>825</v>
      </c>
    </row>
    <row r="25647" spans="2:9" ht="15" customHeight="1" x14ac:dyDescent="0.25">
      <c r="B25647" s="55" t="s">
        <v>359</v>
      </c>
      <c r="C25647" s="46">
        <v>19</v>
      </c>
      <c r="D25647" s="69" t="s">
        <v>29496</v>
      </c>
      <c r="E25647" s="62"/>
      <c r="F25647" s="62" t="str">
        <f>IF(INDEX(I.Gas.P1Y1C1E1,19)="","",INDEX(I.Gas.P1Y1C1E1,19))</f>
        <v/>
      </c>
      <c r="G25647" s="62"/>
      <c r="H25647" s="46" t="str">
        <f>IF(OR(I.Developer.P1=FALSE,I.Facility.StandardPart="Part 2"),"Complete",IF(I.Product.P1GasToPowerStatus&lt;&gt;"Yes","Complete",IF(AND(I.Gas.P1Y1Count&gt;=19,F25647=""),"Incomplete","Complete")))</f>
        <v>Complete</v>
      </c>
      <c r="I25647" s="48" t="s">
        <v>826</v>
      </c>
    </row>
    <row r="25648" spans="2:9" ht="15" customHeight="1" x14ac:dyDescent="0.25">
      <c r="B25648" s="55" t="s">
        <v>359</v>
      </c>
      <c r="C25648" s="46">
        <v>20</v>
      </c>
      <c r="D25648" s="69" t="s">
        <v>29496</v>
      </c>
      <c r="E25648" s="62"/>
      <c r="F25648" s="62" t="str">
        <f>IF(INDEX(I.Gas.P1Y1C1E1,20)="","",INDEX(I.Gas.P1Y1C1E1,20))</f>
        <v/>
      </c>
      <c r="G25648" s="62"/>
      <c r="H25648" s="46" t="str">
        <f>IF(OR(I.Developer.P1=FALSE,I.Facility.StandardPart="Part 2"),"Complete",IF(I.Product.P1GasToPowerStatus&lt;&gt;"Yes","Complete",IF(AND(I.Gas.P1Y1Count&gt;=20,F25648=""),"Incomplete","Complete")))</f>
        <v>Complete</v>
      </c>
      <c r="I25648" s="48" t="s">
        <v>827</v>
      </c>
    </row>
    <row r="25649" spans="2:9" ht="15" customHeight="1" x14ac:dyDescent="0.25">
      <c r="B25649" s="55" t="s">
        <v>359</v>
      </c>
      <c r="C25649" s="46">
        <v>21</v>
      </c>
      <c r="D25649" s="69" t="s">
        <v>29496</v>
      </c>
      <c r="E25649" s="62"/>
      <c r="F25649" s="62" t="str">
        <f>IF(INDEX(I.Gas.P1Y1C1E1,21)="","",INDEX(I.Gas.P1Y1C1E1,21))</f>
        <v/>
      </c>
      <c r="G25649" s="62"/>
      <c r="H25649" s="46" t="str">
        <f>IF(OR(I.Developer.P1=FALSE,I.Facility.StandardPart="Part 2"),"Complete",IF(I.Product.P1GasToPowerStatus&lt;&gt;"Yes","Complete",IF(AND(I.Gas.P1Y1Count&gt;=21,F25649=""),"Incomplete","Complete")))</f>
        <v>Complete</v>
      </c>
      <c r="I25649" s="48" t="s">
        <v>828</v>
      </c>
    </row>
    <row r="25650" spans="2:9" ht="15" customHeight="1" x14ac:dyDescent="0.25">
      <c r="B25650" s="55" t="s">
        <v>359</v>
      </c>
      <c r="C25650" s="46">
        <v>22</v>
      </c>
      <c r="D25650" s="69" t="s">
        <v>29496</v>
      </c>
      <c r="E25650" s="62"/>
      <c r="F25650" s="62" t="str">
        <f>IF(INDEX(I.Gas.P1Y1C1E1,22)="","",INDEX(I.Gas.P1Y1C1E1,22))</f>
        <v/>
      </c>
      <c r="G25650" s="62"/>
      <c r="H25650" s="46" t="str">
        <f>IF(OR(I.Developer.P1=FALSE,I.Facility.StandardPart="Part 2"),"Complete",IF(I.Product.P1GasToPowerStatus&lt;&gt;"Yes","Complete",IF(AND(I.Gas.P1Y1Count&gt;=22,F25650=""),"Incomplete","Complete")))</f>
        <v>Complete</v>
      </c>
      <c r="I25650" s="48" t="s">
        <v>829</v>
      </c>
    </row>
    <row r="25651" spans="2:9" ht="15" customHeight="1" x14ac:dyDescent="0.25">
      <c r="B25651" s="55" t="s">
        <v>359</v>
      </c>
      <c r="C25651" s="46">
        <v>23</v>
      </c>
      <c r="D25651" s="69" t="s">
        <v>29496</v>
      </c>
      <c r="E25651" s="62"/>
      <c r="F25651" s="62" t="str">
        <f>IF(INDEX(I.Gas.P1Y1C1E1,23)="","",INDEX(I.Gas.P1Y1C1E1,23))</f>
        <v/>
      </c>
      <c r="G25651" s="62"/>
      <c r="H25651" s="46" t="str">
        <f>IF(OR(I.Developer.P1=FALSE,I.Facility.StandardPart="Part 2"),"Complete",IF(I.Product.P1GasToPowerStatus&lt;&gt;"Yes","Complete",IF(AND(I.Gas.P1Y1Count&gt;=23,F25651=""),"Incomplete","Complete")))</f>
        <v>Complete</v>
      </c>
      <c r="I25651" s="48" t="s">
        <v>830</v>
      </c>
    </row>
    <row r="25652" spans="2:9" ht="15" customHeight="1" x14ac:dyDescent="0.25">
      <c r="B25652" s="55" t="s">
        <v>359</v>
      </c>
      <c r="C25652" s="46">
        <v>24</v>
      </c>
      <c r="D25652" s="69" t="s">
        <v>29496</v>
      </c>
      <c r="E25652" s="62"/>
      <c r="F25652" s="62" t="str">
        <f>IF(INDEX(I.Gas.P1Y1C1E1,24)="","",INDEX(I.Gas.P1Y1C1E1,24))</f>
        <v/>
      </c>
      <c r="G25652" s="62"/>
      <c r="H25652" s="46" t="str">
        <f>IF(OR(I.Developer.P1=FALSE,I.Facility.StandardPart="Part 2"),"Complete",IF(I.Product.P1GasToPowerStatus&lt;&gt;"Yes","Complete",IF(AND(I.Gas.P1Y1Count&gt;=24,F25652=""),"Incomplete","Complete")))</f>
        <v>Complete</v>
      </c>
      <c r="I25652" s="48" t="s">
        <v>831</v>
      </c>
    </row>
    <row r="25653" spans="2:9" ht="15" customHeight="1" x14ac:dyDescent="0.25">
      <c r="B25653" s="55" t="s">
        <v>359</v>
      </c>
      <c r="C25653" s="46">
        <v>25</v>
      </c>
      <c r="D25653" s="69" t="s">
        <v>29496</v>
      </c>
      <c r="E25653" s="62"/>
      <c r="F25653" s="62" t="str">
        <f>IF(INDEX(I.Gas.P1Y1C1E1,25)="","",INDEX(I.Gas.P1Y1C1E1,25))</f>
        <v/>
      </c>
      <c r="G25653" s="62"/>
      <c r="H25653" s="46" t="str">
        <f>IF(OR(I.Developer.P1=FALSE,I.Facility.StandardPart="Part 2"),"Complete",IF(I.Product.P1GasToPowerStatus&lt;&gt;"Yes","Complete",IF(AND(I.Gas.P1Y1Count&gt;=25,F25653=""),"Incomplete","Complete")))</f>
        <v>Complete</v>
      </c>
      <c r="I25653" s="48" t="s">
        <v>832</v>
      </c>
    </row>
    <row r="25654" spans="2:9" ht="15" customHeight="1" x14ac:dyDescent="0.25">
      <c r="B25654" s="55" t="s">
        <v>359</v>
      </c>
      <c r="C25654" s="46">
        <v>26</v>
      </c>
      <c r="D25654" s="69" t="s">
        <v>29496</v>
      </c>
      <c r="E25654" s="62"/>
      <c r="F25654" s="62" t="str">
        <f>IF(INDEX(I.Gas.P1Y1C1E1,26)="","",INDEX(I.Gas.P1Y1C1E1,26))</f>
        <v/>
      </c>
      <c r="G25654" s="62"/>
      <c r="H25654" s="46" t="str">
        <f>IF(OR(I.Developer.P1=FALSE,I.Facility.StandardPart="Part 2"),"Complete",IF(I.Product.P1GasToPowerStatus&lt;&gt;"Yes","Complete",IF(AND(I.Gas.P1Y1Count&gt;=26,F25654=""),"Incomplete","Complete")))</f>
        <v>Complete</v>
      </c>
      <c r="I25654" s="48" t="s">
        <v>833</v>
      </c>
    </row>
    <row r="25655" spans="2:9" ht="15" customHeight="1" x14ac:dyDescent="0.25">
      <c r="B25655" s="55" t="s">
        <v>359</v>
      </c>
      <c r="C25655" s="46">
        <v>27</v>
      </c>
      <c r="D25655" s="69" t="s">
        <v>29496</v>
      </c>
      <c r="E25655" s="62"/>
      <c r="F25655" s="62" t="str">
        <f>IF(INDEX(I.Gas.P1Y1C1E1,27)="","",INDEX(I.Gas.P1Y1C1E1,27))</f>
        <v/>
      </c>
      <c r="G25655" s="62"/>
      <c r="H25655" s="46" t="str">
        <f>IF(OR(I.Developer.P1=FALSE,I.Facility.StandardPart="Part 2"),"Complete",IF(I.Product.P1GasToPowerStatus&lt;&gt;"Yes","Complete",IF(AND(I.Gas.P1Y1Count&gt;=27,F25655=""),"Incomplete","Complete")))</f>
        <v>Complete</v>
      </c>
      <c r="I25655" s="48" t="s">
        <v>834</v>
      </c>
    </row>
    <row r="25656" spans="2:9" ht="15" customHeight="1" x14ac:dyDescent="0.25">
      <c r="B25656" s="55" t="s">
        <v>359</v>
      </c>
      <c r="C25656" s="46">
        <v>28</v>
      </c>
      <c r="D25656" s="69" t="s">
        <v>29496</v>
      </c>
      <c r="E25656" s="62"/>
      <c r="F25656" s="62" t="str">
        <f>IF(INDEX(I.Gas.P1Y1C1E1,28)="","",INDEX(I.Gas.P1Y1C1E1,28))</f>
        <v/>
      </c>
      <c r="G25656" s="62"/>
      <c r="H25656" s="46" t="str">
        <f>IF(OR(I.Developer.P1=FALSE,I.Facility.StandardPart="Part 2"),"Complete",IF(I.Product.P1GasToPowerStatus&lt;&gt;"Yes","Complete",IF(AND(I.Gas.P1Y1Count&gt;=28,F25656=""),"Incomplete","Complete")))</f>
        <v>Complete</v>
      </c>
      <c r="I25656" s="48" t="s">
        <v>835</v>
      </c>
    </row>
    <row r="25657" spans="2:9" ht="15" customHeight="1" x14ac:dyDescent="0.25">
      <c r="B25657" s="55" t="s">
        <v>359</v>
      </c>
      <c r="C25657" s="46">
        <v>29</v>
      </c>
      <c r="D25657" s="69" t="s">
        <v>29496</v>
      </c>
      <c r="E25657" s="62"/>
      <c r="F25657" s="62" t="str">
        <f>IF(INDEX(I.Gas.P1Y1C1E1,29)="","",INDEX(I.Gas.P1Y1C1E1,29))</f>
        <v/>
      </c>
      <c r="G25657" s="62"/>
      <c r="H25657" s="46" t="str">
        <f>IF(OR(I.Developer.P1=FALSE,I.Facility.StandardPart="Part 2"),"Complete",IF(I.Product.P1GasToPowerStatus&lt;&gt;"Yes","Complete",IF(AND(I.Gas.P1Y1Count&gt;=29,F25657=""),"Incomplete","Complete")))</f>
        <v>Complete</v>
      </c>
      <c r="I25657" s="48" t="s">
        <v>836</v>
      </c>
    </row>
    <row r="25658" spans="2:9" ht="15" customHeight="1" x14ac:dyDescent="0.25">
      <c r="B25658" s="55" t="s">
        <v>359</v>
      </c>
      <c r="C25658" s="46">
        <v>30</v>
      </c>
      <c r="D25658" s="69" t="s">
        <v>29496</v>
      </c>
      <c r="E25658" s="62"/>
      <c r="F25658" s="62" t="str">
        <f>IF(INDEX(I.Gas.P1Y1C1E1,30)="","",INDEX(I.Gas.P1Y1C1E1,30))</f>
        <v/>
      </c>
      <c r="G25658" s="62"/>
      <c r="H25658" s="46" t="str">
        <f>IF(OR(I.Developer.P1=FALSE,I.Facility.StandardPart="Part 2"),"Complete",IF(I.Product.P1GasToPowerStatus&lt;&gt;"Yes","Complete",IF(AND(I.Gas.P1Y1Count&gt;=30,F25658=""),"Incomplete","Complete")))</f>
        <v>Complete</v>
      </c>
      <c r="I25658" s="48" t="s">
        <v>837</v>
      </c>
    </row>
    <row r="25659" spans="2:9" ht="15" customHeight="1" x14ac:dyDescent="0.25">
      <c r="B25659" s="55" t="s">
        <v>359</v>
      </c>
      <c r="C25659" s="46">
        <v>31</v>
      </c>
      <c r="D25659" s="69" t="s">
        <v>29496</v>
      </c>
      <c r="E25659" s="62"/>
      <c r="F25659" s="62" t="str">
        <f>IF(INDEX(I.Gas.P1Y1C1E1,31)="","",INDEX(I.Gas.P1Y1C1E1,31))</f>
        <v/>
      </c>
      <c r="G25659" s="62"/>
      <c r="H25659" s="46" t="str">
        <f>IF(OR(I.Developer.P1=FALSE,I.Facility.StandardPart="Part 2"),"Complete",IF(I.Product.P1GasToPowerStatus&lt;&gt;"Yes","Complete",IF(AND(I.Gas.P1Y1Count&gt;=31,F25659=""),"Incomplete","Complete")))</f>
        <v>Complete</v>
      </c>
      <c r="I25659" s="48" t="s">
        <v>838</v>
      </c>
    </row>
    <row r="25660" spans="2:9" ht="15" customHeight="1" x14ac:dyDescent="0.25">
      <c r="B25660" s="55" t="s">
        <v>359</v>
      </c>
      <c r="C25660" s="46">
        <v>32</v>
      </c>
      <c r="D25660" s="69" t="s">
        <v>29496</v>
      </c>
      <c r="E25660" s="62"/>
      <c r="F25660" s="62" t="str">
        <f>IF(INDEX(I.Gas.P1Y1C1E1,32)="","",INDEX(I.Gas.P1Y1C1E1,32))</f>
        <v/>
      </c>
      <c r="G25660" s="62"/>
      <c r="H25660" s="46" t="str">
        <f>IF(OR(I.Developer.P1=FALSE,I.Facility.StandardPart="Part 2"),"Complete",IF(I.Product.P1GasToPowerStatus&lt;&gt;"Yes","Complete",IF(AND(I.Gas.P1Y1Count&gt;=32,F25660=""),"Incomplete","Complete")))</f>
        <v>Complete</v>
      </c>
      <c r="I25660" s="48" t="s">
        <v>839</v>
      </c>
    </row>
    <row r="25661" spans="2:9" ht="15" customHeight="1" x14ac:dyDescent="0.25">
      <c r="B25661" s="55" t="s">
        <v>359</v>
      </c>
      <c r="C25661" s="46">
        <v>33</v>
      </c>
      <c r="D25661" s="69" t="s">
        <v>29496</v>
      </c>
      <c r="E25661" s="62"/>
      <c r="F25661" s="62" t="str">
        <f>IF(INDEX(I.Gas.P1Y1C1E1,33)="","",INDEX(I.Gas.P1Y1C1E1,33))</f>
        <v/>
      </c>
      <c r="G25661" s="62"/>
      <c r="H25661" s="46" t="str">
        <f>IF(OR(I.Developer.P1=FALSE,I.Facility.StandardPart="Part 2"),"Complete",IF(I.Product.P1GasToPowerStatus&lt;&gt;"Yes","Complete",IF(AND(I.Gas.P1Y1Count&gt;=33,F25661=""),"Incomplete","Complete")))</f>
        <v>Complete</v>
      </c>
      <c r="I25661" s="48" t="s">
        <v>840</v>
      </c>
    </row>
    <row r="25662" spans="2:9" ht="15" customHeight="1" x14ac:dyDescent="0.25">
      <c r="B25662" s="55" t="s">
        <v>359</v>
      </c>
      <c r="C25662" s="46">
        <v>34</v>
      </c>
      <c r="D25662" s="69" t="s">
        <v>29496</v>
      </c>
      <c r="E25662" s="62"/>
      <c r="F25662" s="62" t="str">
        <f>IF(INDEX(I.Gas.P1Y1C1E1,34)="","",INDEX(I.Gas.P1Y1C1E1,34))</f>
        <v/>
      </c>
      <c r="G25662" s="62"/>
      <c r="H25662" s="46" t="str">
        <f>IF(OR(I.Developer.P1=FALSE,I.Facility.StandardPart="Part 2"),"Complete",IF(I.Product.P1GasToPowerStatus&lt;&gt;"Yes","Complete",IF(AND(I.Gas.P1Y1Count&gt;=34,F25662=""),"Incomplete","Complete")))</f>
        <v>Complete</v>
      </c>
      <c r="I25662" s="48" t="s">
        <v>841</v>
      </c>
    </row>
    <row r="25663" spans="2:9" ht="15" customHeight="1" x14ac:dyDescent="0.25">
      <c r="B25663" s="55" t="s">
        <v>359</v>
      </c>
      <c r="C25663" s="46">
        <v>35</v>
      </c>
      <c r="D25663" s="69" t="s">
        <v>29496</v>
      </c>
      <c r="E25663" s="62"/>
      <c r="F25663" s="62" t="str">
        <f>IF(INDEX(I.Gas.P1Y1C1E1,35)="","",INDEX(I.Gas.P1Y1C1E1,35))</f>
        <v/>
      </c>
      <c r="G25663" s="62"/>
      <c r="H25663" s="46" t="str">
        <f>IF(OR(I.Developer.P1=FALSE,I.Facility.StandardPart="Part 2"),"Complete",IF(I.Product.P1GasToPowerStatus&lt;&gt;"Yes","Complete",IF(AND(I.Gas.P1Y1Count&gt;=35,F25663=""),"Incomplete","Complete")))</f>
        <v>Complete</v>
      </c>
      <c r="I25663" s="48" t="s">
        <v>842</v>
      </c>
    </row>
    <row r="25664" spans="2:9" ht="15" customHeight="1" x14ac:dyDescent="0.25">
      <c r="B25664" s="55" t="s">
        <v>359</v>
      </c>
      <c r="C25664" s="46">
        <v>36</v>
      </c>
      <c r="D25664" s="69" t="s">
        <v>29496</v>
      </c>
      <c r="E25664" s="62"/>
      <c r="F25664" s="62" t="str">
        <f>IF(INDEX(I.Gas.P1Y1C1E1,36)="","",INDEX(I.Gas.P1Y1C1E1,36))</f>
        <v/>
      </c>
      <c r="G25664" s="62"/>
      <c r="H25664" s="46" t="str">
        <f>IF(OR(I.Developer.P1=FALSE,I.Facility.StandardPart="Part 2"),"Complete",IF(I.Product.P1GasToPowerStatus&lt;&gt;"Yes","Complete",IF(AND(I.Gas.P1Y1Count&gt;=36,F25664=""),"Incomplete","Complete")))</f>
        <v>Complete</v>
      </c>
      <c r="I25664" s="48" t="s">
        <v>843</v>
      </c>
    </row>
    <row r="25665" spans="2:9" ht="15" customHeight="1" x14ac:dyDescent="0.25">
      <c r="B25665" s="55" t="s">
        <v>359</v>
      </c>
      <c r="C25665" s="46">
        <v>37</v>
      </c>
      <c r="D25665" s="69" t="s">
        <v>29496</v>
      </c>
      <c r="E25665" s="62"/>
      <c r="F25665" s="62" t="str">
        <f>IF(INDEX(I.Gas.P1Y1C1E1,37)="","",INDEX(I.Gas.P1Y1C1E1,37))</f>
        <v/>
      </c>
      <c r="G25665" s="62"/>
      <c r="H25665" s="46" t="str">
        <f>IF(OR(I.Developer.P1=FALSE,I.Facility.StandardPart="Part 2"),"Complete",IF(I.Product.P1GasToPowerStatus&lt;&gt;"Yes","Complete",IF(AND(I.Gas.P1Y1Count&gt;=37,F25665=""),"Incomplete","Complete")))</f>
        <v>Complete</v>
      </c>
      <c r="I25665" s="48" t="s">
        <v>844</v>
      </c>
    </row>
    <row r="25666" spans="2:9" ht="15" customHeight="1" x14ac:dyDescent="0.25">
      <c r="B25666" s="55" t="s">
        <v>359</v>
      </c>
      <c r="C25666" s="46">
        <v>38</v>
      </c>
      <c r="D25666" s="69" t="s">
        <v>29496</v>
      </c>
      <c r="E25666" s="62"/>
      <c r="F25666" s="62" t="str">
        <f>IF(INDEX(I.Gas.P1Y1C1E1,38)="","",INDEX(I.Gas.P1Y1C1E1,38))</f>
        <v/>
      </c>
      <c r="G25666" s="62"/>
      <c r="H25666" s="46" t="str">
        <f>IF(OR(I.Developer.P1=FALSE,I.Facility.StandardPart="Part 2"),"Complete",IF(I.Product.P1GasToPowerStatus&lt;&gt;"Yes","Complete",IF(AND(I.Gas.P1Y1Count&gt;=38,F25666=""),"Incomplete","Complete")))</f>
        <v>Complete</v>
      </c>
      <c r="I25666" s="48" t="s">
        <v>845</v>
      </c>
    </row>
    <row r="25667" spans="2:9" ht="15" customHeight="1" x14ac:dyDescent="0.25">
      <c r="B25667" s="55" t="s">
        <v>359</v>
      </c>
      <c r="C25667" s="46">
        <v>39</v>
      </c>
      <c r="D25667" s="69" t="s">
        <v>29496</v>
      </c>
      <c r="E25667" s="62"/>
      <c r="F25667" s="62" t="str">
        <f>IF(INDEX(I.Gas.P1Y1C1E1,39)="","",INDEX(I.Gas.P1Y1C1E1,39))</f>
        <v/>
      </c>
      <c r="G25667" s="62"/>
      <c r="H25667" s="46" t="str">
        <f>IF(OR(I.Developer.P1=FALSE,I.Facility.StandardPart="Part 2"),"Complete",IF(I.Product.P1GasToPowerStatus&lt;&gt;"Yes","Complete",IF(AND(I.Gas.P1Y1Count&gt;=39,F25667=""),"Incomplete","Complete")))</f>
        <v>Complete</v>
      </c>
      <c r="I25667" s="48" t="s">
        <v>846</v>
      </c>
    </row>
    <row r="25668" spans="2:9" ht="15" customHeight="1" x14ac:dyDescent="0.25">
      <c r="B25668" s="55" t="s">
        <v>359</v>
      </c>
      <c r="C25668" s="46">
        <v>40</v>
      </c>
      <c r="D25668" s="69" t="s">
        <v>29496</v>
      </c>
      <c r="E25668" s="62"/>
      <c r="F25668" s="62" t="str">
        <f>IF(INDEX(I.Gas.P1Y1C1E1,40)="","",INDEX(I.Gas.P1Y1C1E1,40))</f>
        <v/>
      </c>
      <c r="G25668" s="62"/>
      <c r="H25668" s="46" t="str">
        <f>IF(OR(I.Developer.P1=FALSE,I.Facility.StandardPart="Part 2"),"Complete",IF(I.Product.P1GasToPowerStatus&lt;&gt;"Yes","Complete",IF(AND(I.Gas.P1Y1Count&gt;=40,F25668=""),"Incomplete","Complete")))</f>
        <v>Complete</v>
      </c>
      <c r="I25668" s="48" t="s">
        <v>847</v>
      </c>
    </row>
    <row r="25669" spans="2:9" ht="15" customHeight="1" x14ac:dyDescent="0.25">
      <c r="B25669" s="55" t="s">
        <v>359</v>
      </c>
      <c r="C25669" s="46">
        <v>41</v>
      </c>
      <c r="D25669" s="69" t="s">
        <v>29496</v>
      </c>
      <c r="E25669" s="62"/>
      <c r="F25669" s="62" t="str">
        <f>IF(INDEX(I.Gas.P1Y1C1E1,41)="","",INDEX(I.Gas.P1Y1C1E1,41))</f>
        <v/>
      </c>
      <c r="G25669" s="62"/>
      <c r="H25669" s="46" t="str">
        <f>IF(OR(I.Developer.P1=FALSE,I.Facility.StandardPart="Part 2"),"Complete",IF(I.Product.P1GasToPowerStatus&lt;&gt;"Yes","Complete",IF(AND(I.Gas.P1Y1Count&gt;=41,F25669=""),"Incomplete","Complete")))</f>
        <v>Complete</v>
      </c>
      <c r="I25669" s="48" t="s">
        <v>848</v>
      </c>
    </row>
    <row r="25670" spans="2:9" ht="15" customHeight="1" x14ac:dyDescent="0.25">
      <c r="B25670" s="55" t="s">
        <v>359</v>
      </c>
      <c r="C25670" s="46">
        <v>42</v>
      </c>
      <c r="D25670" s="69" t="s">
        <v>29496</v>
      </c>
      <c r="E25670" s="62"/>
      <c r="F25670" s="62" t="str">
        <f>IF(INDEX(I.Gas.P1Y1C1E1,42)="","",INDEX(I.Gas.P1Y1C1E1,42))</f>
        <v/>
      </c>
      <c r="G25670" s="62"/>
      <c r="H25670" s="46" t="str">
        <f>IF(OR(I.Developer.P1=FALSE,I.Facility.StandardPart="Part 2"),"Complete",IF(I.Product.P1GasToPowerStatus&lt;&gt;"Yes","Complete",IF(AND(I.Gas.P1Y1Count&gt;=42,F25670=""),"Incomplete","Complete")))</f>
        <v>Complete</v>
      </c>
      <c r="I25670" s="48" t="s">
        <v>849</v>
      </c>
    </row>
    <row r="25671" spans="2:9" ht="15" customHeight="1" x14ac:dyDescent="0.25">
      <c r="B25671" s="55" t="s">
        <v>359</v>
      </c>
      <c r="C25671" s="46">
        <v>43</v>
      </c>
      <c r="D25671" s="69" t="s">
        <v>29496</v>
      </c>
      <c r="E25671" s="62"/>
      <c r="F25671" s="62" t="str">
        <f>IF(INDEX(I.Gas.P1Y1C1E1,43)="","",INDEX(I.Gas.P1Y1C1E1,43))</f>
        <v/>
      </c>
      <c r="G25671" s="62"/>
      <c r="H25671" s="46" t="str">
        <f>IF(OR(I.Developer.P1=FALSE,I.Facility.StandardPart="Part 2"),"Complete",IF(I.Product.P1GasToPowerStatus&lt;&gt;"Yes","Complete",IF(AND(I.Gas.P1Y1Count&gt;=43,F25671=""),"Incomplete","Complete")))</f>
        <v>Complete</v>
      </c>
      <c r="I25671" s="48" t="s">
        <v>850</v>
      </c>
    </row>
    <row r="25672" spans="2:9" ht="15" customHeight="1" x14ac:dyDescent="0.25">
      <c r="B25672" s="55" t="s">
        <v>359</v>
      </c>
      <c r="C25672" s="46">
        <v>44</v>
      </c>
      <c r="D25672" s="69" t="s">
        <v>29496</v>
      </c>
      <c r="E25672" s="62"/>
      <c r="F25672" s="62" t="str">
        <f>IF(INDEX(I.Gas.P1Y1C1E1,44)="","",INDEX(I.Gas.P1Y1C1E1,44))</f>
        <v/>
      </c>
      <c r="G25672" s="62"/>
      <c r="H25672" s="46" t="str">
        <f>IF(OR(I.Developer.P1=FALSE,I.Facility.StandardPart="Part 2"),"Complete",IF(I.Product.P1GasToPowerStatus&lt;&gt;"Yes","Complete",IF(AND(I.Gas.P1Y1Count&gt;=44,F25672=""),"Incomplete","Complete")))</f>
        <v>Complete</v>
      </c>
      <c r="I25672" s="48" t="s">
        <v>851</v>
      </c>
    </row>
    <row r="25673" spans="2:9" ht="15" customHeight="1" x14ac:dyDescent="0.25">
      <c r="B25673" s="55" t="s">
        <v>359</v>
      </c>
      <c r="C25673" s="46">
        <v>45</v>
      </c>
      <c r="D25673" s="69" t="s">
        <v>29496</v>
      </c>
      <c r="E25673" s="62"/>
      <c r="F25673" s="62" t="str">
        <f>IF(INDEX(I.Gas.P1Y1C1E1,45)="","",INDEX(I.Gas.P1Y1C1E1,45))</f>
        <v/>
      </c>
      <c r="G25673" s="62"/>
      <c r="H25673" s="46" t="str">
        <f>IF(OR(I.Developer.P1=FALSE,I.Facility.StandardPart="Part 2"),"Complete",IF(I.Product.P1GasToPowerStatus&lt;&gt;"Yes","Complete",IF(AND(I.Gas.P1Y1Count&gt;=45,F25673=""),"Incomplete","Complete")))</f>
        <v>Complete</v>
      </c>
      <c r="I25673" s="48" t="s">
        <v>852</v>
      </c>
    </row>
    <row r="25674" spans="2:9" ht="15" customHeight="1" x14ac:dyDescent="0.25">
      <c r="B25674" s="55" t="s">
        <v>359</v>
      </c>
      <c r="C25674" s="46">
        <v>46</v>
      </c>
      <c r="D25674" s="69" t="s">
        <v>29496</v>
      </c>
      <c r="E25674" s="62"/>
      <c r="F25674" s="62" t="str">
        <f>IF(INDEX(I.Gas.P1Y1C1E1,46)="","",INDEX(I.Gas.P1Y1C1E1,46))</f>
        <v/>
      </c>
      <c r="G25674" s="62"/>
      <c r="H25674" s="46" t="str">
        <f>IF(OR(I.Developer.P1=FALSE,I.Facility.StandardPart="Part 2"),"Complete",IF(I.Product.P1GasToPowerStatus&lt;&gt;"Yes","Complete",IF(AND(I.Gas.P1Y1Count&gt;=46,F25674=""),"Incomplete","Complete")))</f>
        <v>Complete</v>
      </c>
      <c r="I25674" s="48" t="s">
        <v>853</v>
      </c>
    </row>
    <row r="25675" spans="2:9" ht="15" customHeight="1" x14ac:dyDescent="0.25">
      <c r="B25675" s="55" t="s">
        <v>359</v>
      </c>
      <c r="C25675" s="46">
        <v>47</v>
      </c>
      <c r="D25675" s="69" t="s">
        <v>29496</v>
      </c>
      <c r="E25675" s="62"/>
      <c r="F25675" s="62" t="str">
        <f>IF(INDEX(I.Gas.P1Y1C1E1,47)="","",INDEX(I.Gas.P1Y1C1E1,47))</f>
        <v/>
      </c>
      <c r="G25675" s="62"/>
      <c r="H25675" s="46" t="str">
        <f>IF(OR(I.Developer.P1=FALSE,I.Facility.StandardPart="Part 2"),"Complete",IF(I.Product.P1GasToPowerStatus&lt;&gt;"Yes","Complete",IF(AND(I.Gas.P1Y1Count&gt;=47,F25675=""),"Incomplete","Complete")))</f>
        <v>Complete</v>
      </c>
      <c r="I25675" s="48" t="s">
        <v>854</v>
      </c>
    </row>
    <row r="25676" spans="2:9" ht="15" customHeight="1" x14ac:dyDescent="0.25">
      <c r="B25676" s="55" t="s">
        <v>359</v>
      </c>
      <c r="C25676" s="46">
        <v>48</v>
      </c>
      <c r="D25676" s="69" t="s">
        <v>29496</v>
      </c>
      <c r="E25676" s="62"/>
      <c r="F25676" s="62" t="str">
        <f>IF(INDEX(I.Gas.P1Y1C1E1,48)="","",INDEX(I.Gas.P1Y1C1E1,48))</f>
        <v/>
      </c>
      <c r="G25676" s="62"/>
      <c r="H25676" s="46" t="str">
        <f>IF(OR(I.Developer.P1=FALSE,I.Facility.StandardPart="Part 2"),"Complete",IF(I.Product.P1GasToPowerStatus&lt;&gt;"Yes","Complete",IF(AND(I.Gas.P1Y1Count&gt;=48,F25676=""),"Incomplete","Complete")))</f>
        <v>Complete</v>
      </c>
      <c r="I25676" s="48" t="s">
        <v>855</v>
      </c>
    </row>
    <row r="25677" spans="2:9" ht="15" customHeight="1" x14ac:dyDescent="0.25">
      <c r="B25677" s="55" t="s">
        <v>359</v>
      </c>
      <c r="C25677" s="46">
        <v>49</v>
      </c>
      <c r="D25677" s="69" t="s">
        <v>29496</v>
      </c>
      <c r="E25677" s="62"/>
      <c r="F25677" s="62" t="str">
        <f>IF(INDEX(I.Gas.P1Y1C1E1,49)="","",INDEX(I.Gas.P1Y1C1E1,49))</f>
        <v/>
      </c>
      <c r="G25677" s="62"/>
      <c r="H25677" s="46" t="str">
        <f>IF(OR(I.Developer.P1=FALSE,I.Facility.StandardPart="Part 2"),"Complete",IF(I.Product.P1GasToPowerStatus&lt;&gt;"Yes","Complete",IF(AND(I.Gas.P1Y1Count&gt;=49,F25677=""),"Incomplete","Complete")))</f>
        <v>Complete</v>
      </c>
      <c r="I25677" s="48" t="s">
        <v>856</v>
      </c>
    </row>
    <row r="25678" spans="2:9" ht="15" customHeight="1" x14ac:dyDescent="0.25">
      <c r="B25678" s="56" t="s">
        <v>359</v>
      </c>
      <c r="C25678" s="57">
        <v>50</v>
      </c>
      <c r="D25678" s="71" t="s">
        <v>29496</v>
      </c>
      <c r="E25678" s="61"/>
      <c r="F25678" s="61" t="str">
        <f>IF(INDEX(I.Gas.P1Y1C1E1,50)="","",INDEX(I.Gas.P1Y1C1E1,50))</f>
        <v/>
      </c>
      <c r="G25678" s="61"/>
      <c r="H25678" s="57" t="str">
        <f>IF(OR(I.Developer.P1=FALSE,I.Facility.StandardPart="Part 2"),"Complete",IF(I.Product.P1GasToPowerStatus&lt;&gt;"Yes","Complete",IF(AND(I.Gas.P1Y1Count&gt;=50,F25678=""),"Incomplete","Complete")))</f>
        <v>Complete</v>
      </c>
      <c r="I25678" s="49" t="s">
        <v>857</v>
      </c>
    </row>
    <row r="25679" spans="2:9" ht="15" customHeight="1" x14ac:dyDescent="0.25">
      <c r="B25679" s="55" t="s">
        <v>360</v>
      </c>
      <c r="C25679" s="46">
        <v>1</v>
      </c>
      <c r="D25679" s="69" t="s">
        <v>29497</v>
      </c>
      <c r="E25679" s="62"/>
      <c r="F25679" s="62" t="str">
        <f>IF(INDEX(I.Gas.P1Y1C1E2,1)="","",INDEX(I.Gas.P1Y1C1E2,1))</f>
        <v/>
      </c>
      <c r="G25679" s="62"/>
      <c r="H25679" s="46" t="str">
        <f>IF(OR(I.Developer.P1=FALSE,I.Facility.StandardPart="Part 2"),"Complete",IF(I.Product.P1GasToPowerStatus&lt;&gt;"Yes","Complete",IF(AND(I.Gas.P1Y1Count&gt;=1,F25679=""),"Incomplete","Complete")))</f>
        <v>Complete</v>
      </c>
      <c r="I25679" s="48" t="s">
        <v>858</v>
      </c>
    </row>
    <row r="25680" spans="2:9" ht="15" customHeight="1" x14ac:dyDescent="0.25">
      <c r="B25680" s="55" t="s">
        <v>360</v>
      </c>
      <c r="C25680" s="46">
        <v>2</v>
      </c>
      <c r="D25680" s="69" t="s">
        <v>29497</v>
      </c>
      <c r="E25680" s="62"/>
      <c r="F25680" s="62" t="str">
        <f>IF(INDEX(I.Gas.P1Y1C1E2,2)="","",INDEX(I.Gas.P1Y1C1E2,2))</f>
        <v/>
      </c>
      <c r="G25680" s="62"/>
      <c r="H25680" s="46" t="str">
        <f>IF(OR(I.Developer.P1=FALSE,I.Facility.StandardPart="Part 2"),"Complete",IF(I.Product.P1GasToPowerStatus&lt;&gt;"Yes","Complete",IF(AND(I.Gas.P1Y1Count&gt;=2,F25680=""),"Incomplete","Complete")))</f>
        <v>Complete</v>
      </c>
      <c r="I25680" s="48" t="s">
        <v>859</v>
      </c>
    </row>
    <row r="25681" spans="2:9" ht="15" customHeight="1" x14ac:dyDescent="0.25">
      <c r="B25681" s="55" t="s">
        <v>360</v>
      </c>
      <c r="C25681" s="46">
        <v>3</v>
      </c>
      <c r="D25681" s="69" t="s">
        <v>29497</v>
      </c>
      <c r="E25681" s="62"/>
      <c r="F25681" s="62" t="str">
        <f>IF(INDEX(I.Gas.P1Y1C1E2,3)="","",INDEX(I.Gas.P1Y1C1E2,3))</f>
        <v/>
      </c>
      <c r="G25681" s="62"/>
      <c r="H25681" s="46" t="str">
        <f>IF(OR(I.Developer.P1=FALSE,I.Facility.StandardPart="Part 2"),"Complete",IF(I.Product.P1GasToPowerStatus&lt;&gt;"Yes","Complete",IF(AND(I.Gas.P1Y1Count&gt;=3,F25681=""),"Incomplete","Complete")))</f>
        <v>Complete</v>
      </c>
      <c r="I25681" s="48" t="s">
        <v>860</v>
      </c>
    </row>
    <row r="25682" spans="2:9" ht="15" customHeight="1" x14ac:dyDescent="0.25">
      <c r="B25682" s="55" t="s">
        <v>360</v>
      </c>
      <c r="C25682" s="46">
        <v>4</v>
      </c>
      <c r="D25682" s="69" t="s">
        <v>29497</v>
      </c>
      <c r="E25682" s="62"/>
      <c r="F25682" s="62" t="str">
        <f>IF(INDEX(I.Gas.P1Y1C1E2,4)="","",INDEX(I.Gas.P1Y1C1E2,4))</f>
        <v/>
      </c>
      <c r="G25682" s="62"/>
      <c r="H25682" s="46" t="str">
        <f>IF(OR(I.Developer.P1=FALSE,I.Facility.StandardPart="Part 2"),"Complete",IF(I.Product.P1GasToPowerStatus&lt;&gt;"Yes","Complete",IF(AND(I.Gas.P1Y1Count&gt;=4,F25682=""),"Incomplete","Complete")))</f>
        <v>Complete</v>
      </c>
      <c r="I25682" s="48" t="s">
        <v>861</v>
      </c>
    </row>
    <row r="25683" spans="2:9" ht="15" customHeight="1" x14ac:dyDescent="0.25">
      <c r="B25683" s="55" t="s">
        <v>360</v>
      </c>
      <c r="C25683" s="46">
        <v>5</v>
      </c>
      <c r="D25683" s="69" t="s">
        <v>29497</v>
      </c>
      <c r="E25683" s="62"/>
      <c r="F25683" s="62" t="str">
        <f>IF(INDEX(I.Gas.P1Y1C1E2,5)="","",INDEX(I.Gas.P1Y1C1E2,5))</f>
        <v/>
      </c>
      <c r="G25683" s="62"/>
      <c r="H25683" s="46" t="str">
        <f>IF(OR(I.Developer.P1=FALSE,I.Facility.StandardPart="Part 2"),"Complete",IF(I.Product.P1GasToPowerStatus&lt;&gt;"Yes","Complete",IF(AND(I.Gas.P1Y1Count&gt;=5,F25683=""),"Incomplete","Complete")))</f>
        <v>Complete</v>
      </c>
      <c r="I25683" s="48" t="s">
        <v>862</v>
      </c>
    </row>
    <row r="25684" spans="2:9" ht="15" customHeight="1" x14ac:dyDescent="0.25">
      <c r="B25684" s="55" t="s">
        <v>360</v>
      </c>
      <c r="C25684" s="46">
        <v>6</v>
      </c>
      <c r="D25684" s="69" t="s">
        <v>29497</v>
      </c>
      <c r="E25684" s="62"/>
      <c r="F25684" s="62" t="str">
        <f>IF(INDEX(I.Gas.P1Y1C1E2,6)="","",INDEX(I.Gas.P1Y1C1E2,6))</f>
        <v/>
      </c>
      <c r="G25684" s="62"/>
      <c r="H25684" s="46" t="str">
        <f>IF(OR(I.Developer.P1=FALSE,I.Facility.StandardPart="Part 2"),"Complete",IF(I.Product.P1GasToPowerStatus&lt;&gt;"Yes","Complete",IF(AND(I.Gas.P1Y1Count&gt;=6,F25684=""),"Incomplete","Complete")))</f>
        <v>Complete</v>
      </c>
      <c r="I25684" s="48" t="s">
        <v>863</v>
      </c>
    </row>
    <row r="25685" spans="2:9" ht="15" customHeight="1" x14ac:dyDescent="0.25">
      <c r="B25685" s="55" t="s">
        <v>360</v>
      </c>
      <c r="C25685" s="46">
        <v>7</v>
      </c>
      <c r="D25685" s="69" t="s">
        <v>29497</v>
      </c>
      <c r="E25685" s="62"/>
      <c r="F25685" s="62" t="str">
        <f>IF(INDEX(I.Gas.P1Y1C1E2,7)="","",INDEX(I.Gas.P1Y1C1E2,7))</f>
        <v/>
      </c>
      <c r="G25685" s="62"/>
      <c r="H25685" s="46" t="str">
        <f>IF(OR(I.Developer.P1=FALSE,I.Facility.StandardPart="Part 2"),"Complete",IF(I.Product.P1GasToPowerStatus&lt;&gt;"Yes","Complete",IF(AND(I.Gas.P1Y1Count&gt;=7,F25685=""),"Incomplete","Complete")))</f>
        <v>Complete</v>
      </c>
      <c r="I25685" s="48" t="s">
        <v>864</v>
      </c>
    </row>
    <row r="25686" spans="2:9" ht="15" customHeight="1" x14ac:dyDescent="0.25">
      <c r="B25686" s="55" t="s">
        <v>360</v>
      </c>
      <c r="C25686" s="46">
        <v>8</v>
      </c>
      <c r="D25686" s="69" t="s">
        <v>29497</v>
      </c>
      <c r="E25686" s="62"/>
      <c r="F25686" s="62" t="str">
        <f>IF(INDEX(I.Gas.P1Y1C1E2,8)="","",INDEX(I.Gas.P1Y1C1E2,8))</f>
        <v/>
      </c>
      <c r="G25686" s="62"/>
      <c r="H25686" s="46" t="str">
        <f>IF(OR(I.Developer.P1=FALSE,I.Facility.StandardPart="Part 2"),"Complete",IF(I.Product.P1GasToPowerStatus&lt;&gt;"Yes","Complete",IF(AND(I.Gas.P1Y1Count&gt;=8,F25686=""),"Incomplete","Complete")))</f>
        <v>Complete</v>
      </c>
      <c r="I25686" s="48" t="s">
        <v>865</v>
      </c>
    </row>
    <row r="25687" spans="2:9" ht="15" customHeight="1" x14ac:dyDescent="0.25">
      <c r="B25687" s="55" t="s">
        <v>360</v>
      </c>
      <c r="C25687" s="46">
        <v>9</v>
      </c>
      <c r="D25687" s="69" t="s">
        <v>29497</v>
      </c>
      <c r="E25687" s="62"/>
      <c r="F25687" s="62" t="str">
        <f>IF(INDEX(I.Gas.P1Y1C1E2,9)="","",INDEX(I.Gas.P1Y1C1E2,9))</f>
        <v/>
      </c>
      <c r="G25687" s="62"/>
      <c r="H25687" s="46" t="str">
        <f>IF(OR(I.Developer.P1=FALSE,I.Facility.StandardPart="Part 2"),"Complete",IF(I.Product.P1GasToPowerStatus&lt;&gt;"Yes","Complete",IF(AND(I.Gas.P1Y1Count&gt;=9,F25687=""),"Incomplete","Complete")))</f>
        <v>Complete</v>
      </c>
      <c r="I25687" s="48" t="s">
        <v>866</v>
      </c>
    </row>
    <row r="25688" spans="2:9" ht="15" customHeight="1" x14ac:dyDescent="0.25">
      <c r="B25688" s="55" t="s">
        <v>360</v>
      </c>
      <c r="C25688" s="46">
        <v>10</v>
      </c>
      <c r="D25688" s="69" t="s">
        <v>29497</v>
      </c>
      <c r="E25688" s="62"/>
      <c r="F25688" s="62" t="str">
        <f>IF(INDEX(I.Gas.P1Y1C1E2,10)="","",INDEX(I.Gas.P1Y1C1E2,10))</f>
        <v/>
      </c>
      <c r="G25688" s="62"/>
      <c r="H25688" s="46" t="str">
        <f>IF(OR(I.Developer.P1=FALSE,I.Facility.StandardPart="Part 2"),"Complete",IF(I.Product.P1GasToPowerStatus&lt;&gt;"Yes","Complete",IF(AND(I.Gas.P1Y1Count&gt;=10,F25688=""),"Incomplete","Complete")))</f>
        <v>Complete</v>
      </c>
      <c r="I25688" s="48" t="s">
        <v>867</v>
      </c>
    </row>
    <row r="25689" spans="2:9" ht="15" customHeight="1" x14ac:dyDescent="0.25">
      <c r="B25689" s="55" t="s">
        <v>360</v>
      </c>
      <c r="C25689" s="46">
        <v>11</v>
      </c>
      <c r="D25689" s="69" t="s">
        <v>29497</v>
      </c>
      <c r="E25689" s="62"/>
      <c r="F25689" s="62" t="str">
        <f>IF(INDEX(I.Gas.P1Y1C1E2,11)="","",INDEX(I.Gas.P1Y1C1E2,11))</f>
        <v/>
      </c>
      <c r="G25689" s="62"/>
      <c r="H25689" s="46" t="str">
        <f>IF(OR(I.Developer.P1=FALSE,I.Facility.StandardPart="Part 2"),"Complete",IF(I.Product.P1GasToPowerStatus&lt;&gt;"Yes","Complete",IF(AND(I.Gas.P1Y1Count&gt;=11,F25689=""),"Incomplete","Complete")))</f>
        <v>Complete</v>
      </c>
      <c r="I25689" s="48" t="s">
        <v>868</v>
      </c>
    </row>
    <row r="25690" spans="2:9" ht="15" customHeight="1" x14ac:dyDescent="0.25">
      <c r="B25690" s="55" t="s">
        <v>360</v>
      </c>
      <c r="C25690" s="46">
        <v>12</v>
      </c>
      <c r="D25690" s="69" t="s">
        <v>29497</v>
      </c>
      <c r="E25690" s="62"/>
      <c r="F25690" s="62" t="str">
        <f>IF(INDEX(I.Gas.P1Y1C1E2,12)="","",INDEX(I.Gas.P1Y1C1E2,12))</f>
        <v/>
      </c>
      <c r="G25690" s="62"/>
      <c r="H25690" s="46" t="str">
        <f>IF(OR(I.Developer.P1=FALSE,I.Facility.StandardPart="Part 2"),"Complete",IF(I.Product.P1GasToPowerStatus&lt;&gt;"Yes","Complete",IF(AND(I.Gas.P1Y1Count&gt;=12,F25690=""),"Incomplete","Complete")))</f>
        <v>Complete</v>
      </c>
      <c r="I25690" s="48" t="s">
        <v>869</v>
      </c>
    </row>
    <row r="25691" spans="2:9" ht="15" customHeight="1" x14ac:dyDescent="0.25">
      <c r="B25691" s="55" t="s">
        <v>360</v>
      </c>
      <c r="C25691" s="46">
        <v>13</v>
      </c>
      <c r="D25691" s="69" t="s">
        <v>29497</v>
      </c>
      <c r="E25691" s="62"/>
      <c r="F25691" s="62" t="str">
        <f>IF(INDEX(I.Gas.P1Y1C1E2,13)="","",INDEX(I.Gas.P1Y1C1E2,13))</f>
        <v/>
      </c>
      <c r="G25691" s="62"/>
      <c r="H25691" s="46" t="str">
        <f>IF(OR(I.Developer.P1=FALSE,I.Facility.StandardPart="Part 2"),"Complete",IF(I.Product.P1GasToPowerStatus&lt;&gt;"Yes","Complete",IF(AND(I.Gas.P1Y1Count&gt;=13,F25691=""),"Incomplete","Complete")))</f>
        <v>Complete</v>
      </c>
      <c r="I25691" s="48" t="s">
        <v>870</v>
      </c>
    </row>
    <row r="25692" spans="2:9" ht="15" customHeight="1" x14ac:dyDescent="0.25">
      <c r="B25692" s="55" t="s">
        <v>360</v>
      </c>
      <c r="C25692" s="46">
        <v>14</v>
      </c>
      <c r="D25692" s="69" t="s">
        <v>29497</v>
      </c>
      <c r="E25692" s="62"/>
      <c r="F25692" s="62" t="str">
        <f>IF(INDEX(I.Gas.P1Y1C1E2,14)="","",INDEX(I.Gas.P1Y1C1E2,14))</f>
        <v/>
      </c>
      <c r="G25692" s="62"/>
      <c r="H25692" s="46" t="str">
        <f>IF(OR(I.Developer.P1=FALSE,I.Facility.StandardPart="Part 2"),"Complete",IF(I.Product.P1GasToPowerStatus&lt;&gt;"Yes","Complete",IF(AND(I.Gas.P1Y1Count&gt;=14,F25692=""),"Incomplete","Complete")))</f>
        <v>Complete</v>
      </c>
      <c r="I25692" s="48" t="s">
        <v>871</v>
      </c>
    </row>
    <row r="25693" spans="2:9" ht="15" customHeight="1" x14ac:dyDescent="0.25">
      <c r="B25693" s="55" t="s">
        <v>360</v>
      </c>
      <c r="C25693" s="46">
        <v>15</v>
      </c>
      <c r="D25693" s="69" t="s">
        <v>29497</v>
      </c>
      <c r="E25693" s="62"/>
      <c r="F25693" s="62" t="str">
        <f>IF(INDEX(I.Gas.P1Y1C1E2,15)="","",INDEX(I.Gas.P1Y1C1E2,15))</f>
        <v/>
      </c>
      <c r="G25693" s="62"/>
      <c r="H25693" s="46" t="str">
        <f>IF(OR(I.Developer.P1=FALSE,I.Facility.StandardPart="Part 2"),"Complete",IF(I.Product.P1GasToPowerStatus&lt;&gt;"Yes","Complete",IF(AND(I.Gas.P1Y1Count&gt;=15,F25693=""),"Incomplete","Complete")))</f>
        <v>Complete</v>
      </c>
      <c r="I25693" s="48" t="s">
        <v>872</v>
      </c>
    </row>
    <row r="25694" spans="2:9" ht="15" customHeight="1" x14ac:dyDescent="0.25">
      <c r="B25694" s="55" t="s">
        <v>360</v>
      </c>
      <c r="C25694" s="46">
        <v>16</v>
      </c>
      <c r="D25694" s="69" t="s">
        <v>29497</v>
      </c>
      <c r="E25694" s="62"/>
      <c r="F25694" s="62" t="str">
        <f>IF(INDEX(I.Gas.P1Y1C1E2,16)="","",INDEX(I.Gas.P1Y1C1E2,16))</f>
        <v/>
      </c>
      <c r="G25694" s="62"/>
      <c r="H25694" s="46" t="str">
        <f>IF(OR(I.Developer.P1=FALSE,I.Facility.StandardPart="Part 2"),"Complete",IF(I.Product.P1GasToPowerStatus&lt;&gt;"Yes","Complete",IF(AND(I.Gas.P1Y1Count&gt;=16,F25694=""),"Incomplete","Complete")))</f>
        <v>Complete</v>
      </c>
      <c r="I25694" s="48" t="s">
        <v>873</v>
      </c>
    </row>
    <row r="25695" spans="2:9" ht="15" customHeight="1" x14ac:dyDescent="0.25">
      <c r="B25695" s="55" t="s">
        <v>360</v>
      </c>
      <c r="C25695" s="46">
        <v>17</v>
      </c>
      <c r="D25695" s="69" t="s">
        <v>29497</v>
      </c>
      <c r="E25695" s="62"/>
      <c r="F25695" s="62" t="str">
        <f>IF(INDEX(I.Gas.P1Y1C1E2,17)="","",INDEX(I.Gas.P1Y1C1E2,17))</f>
        <v/>
      </c>
      <c r="G25695" s="62"/>
      <c r="H25695" s="46" t="str">
        <f>IF(OR(I.Developer.P1=FALSE,I.Facility.StandardPart="Part 2"),"Complete",IF(I.Product.P1GasToPowerStatus&lt;&gt;"Yes","Complete",IF(AND(I.Gas.P1Y1Count&gt;=17,F25695=""),"Incomplete","Complete")))</f>
        <v>Complete</v>
      </c>
      <c r="I25695" s="48" t="s">
        <v>874</v>
      </c>
    </row>
    <row r="25696" spans="2:9" ht="15" customHeight="1" x14ac:dyDescent="0.25">
      <c r="B25696" s="55" t="s">
        <v>360</v>
      </c>
      <c r="C25696" s="46">
        <v>18</v>
      </c>
      <c r="D25696" s="69" t="s">
        <v>29497</v>
      </c>
      <c r="E25696" s="62"/>
      <c r="F25696" s="62" t="str">
        <f>IF(INDEX(I.Gas.P1Y1C1E2,18)="","",INDEX(I.Gas.P1Y1C1E2,18))</f>
        <v/>
      </c>
      <c r="G25696" s="62"/>
      <c r="H25696" s="46" t="str">
        <f>IF(OR(I.Developer.P1=FALSE,I.Facility.StandardPart="Part 2"),"Complete",IF(I.Product.P1GasToPowerStatus&lt;&gt;"Yes","Complete",IF(AND(I.Gas.P1Y1Count&gt;=18,F25696=""),"Incomplete","Complete")))</f>
        <v>Complete</v>
      </c>
      <c r="I25696" s="48" t="s">
        <v>875</v>
      </c>
    </row>
    <row r="25697" spans="2:9" ht="15" customHeight="1" x14ac:dyDescent="0.25">
      <c r="B25697" s="55" t="s">
        <v>360</v>
      </c>
      <c r="C25697" s="46">
        <v>19</v>
      </c>
      <c r="D25697" s="69" t="s">
        <v>29497</v>
      </c>
      <c r="E25697" s="62"/>
      <c r="F25697" s="62" t="str">
        <f>IF(INDEX(I.Gas.P1Y1C1E2,19)="","",INDEX(I.Gas.P1Y1C1E2,19))</f>
        <v/>
      </c>
      <c r="G25697" s="62"/>
      <c r="H25697" s="46" t="str">
        <f>IF(OR(I.Developer.P1=FALSE,I.Facility.StandardPart="Part 2"),"Complete",IF(I.Product.P1GasToPowerStatus&lt;&gt;"Yes","Complete",IF(AND(I.Gas.P1Y1Count&gt;=19,F25697=""),"Incomplete","Complete")))</f>
        <v>Complete</v>
      </c>
      <c r="I25697" s="48" t="s">
        <v>876</v>
      </c>
    </row>
    <row r="25698" spans="2:9" ht="15" customHeight="1" x14ac:dyDescent="0.25">
      <c r="B25698" s="55" t="s">
        <v>360</v>
      </c>
      <c r="C25698" s="46">
        <v>20</v>
      </c>
      <c r="D25698" s="69" t="s">
        <v>29497</v>
      </c>
      <c r="E25698" s="62"/>
      <c r="F25698" s="62" t="str">
        <f>IF(INDEX(I.Gas.P1Y1C1E2,20)="","",INDEX(I.Gas.P1Y1C1E2,20))</f>
        <v/>
      </c>
      <c r="G25698" s="62"/>
      <c r="H25698" s="46" t="str">
        <f>IF(OR(I.Developer.P1=FALSE,I.Facility.StandardPart="Part 2"),"Complete",IF(I.Product.P1GasToPowerStatus&lt;&gt;"Yes","Complete",IF(AND(I.Gas.P1Y1Count&gt;=20,F25698=""),"Incomplete","Complete")))</f>
        <v>Complete</v>
      </c>
      <c r="I25698" s="48" t="s">
        <v>877</v>
      </c>
    </row>
    <row r="25699" spans="2:9" ht="15" customHeight="1" x14ac:dyDescent="0.25">
      <c r="B25699" s="55" t="s">
        <v>360</v>
      </c>
      <c r="C25699" s="46">
        <v>21</v>
      </c>
      <c r="D25699" s="69" t="s">
        <v>29497</v>
      </c>
      <c r="E25699" s="62"/>
      <c r="F25699" s="62" t="str">
        <f>IF(INDEX(I.Gas.P1Y1C1E2,21)="","",INDEX(I.Gas.P1Y1C1E2,21))</f>
        <v/>
      </c>
      <c r="G25699" s="62"/>
      <c r="H25699" s="46" t="str">
        <f>IF(OR(I.Developer.P1=FALSE,I.Facility.StandardPart="Part 2"),"Complete",IF(I.Product.P1GasToPowerStatus&lt;&gt;"Yes","Complete",IF(AND(I.Gas.P1Y1Count&gt;=21,F25699=""),"Incomplete","Complete")))</f>
        <v>Complete</v>
      </c>
      <c r="I25699" s="48" t="s">
        <v>878</v>
      </c>
    </row>
    <row r="25700" spans="2:9" ht="15" customHeight="1" x14ac:dyDescent="0.25">
      <c r="B25700" s="55" t="s">
        <v>360</v>
      </c>
      <c r="C25700" s="46">
        <v>22</v>
      </c>
      <c r="D25700" s="69" t="s">
        <v>29497</v>
      </c>
      <c r="E25700" s="62"/>
      <c r="F25700" s="62" t="str">
        <f>IF(INDEX(I.Gas.P1Y1C1E2,22)="","",INDEX(I.Gas.P1Y1C1E2,22))</f>
        <v/>
      </c>
      <c r="G25700" s="62"/>
      <c r="H25700" s="46" t="str">
        <f>IF(OR(I.Developer.P1=FALSE,I.Facility.StandardPart="Part 2"),"Complete",IF(I.Product.P1GasToPowerStatus&lt;&gt;"Yes","Complete",IF(AND(I.Gas.P1Y1Count&gt;=22,F25700=""),"Incomplete","Complete")))</f>
        <v>Complete</v>
      </c>
      <c r="I25700" s="48" t="s">
        <v>879</v>
      </c>
    </row>
    <row r="25701" spans="2:9" ht="15" customHeight="1" x14ac:dyDescent="0.25">
      <c r="B25701" s="55" t="s">
        <v>360</v>
      </c>
      <c r="C25701" s="46">
        <v>23</v>
      </c>
      <c r="D25701" s="69" t="s">
        <v>29497</v>
      </c>
      <c r="E25701" s="62"/>
      <c r="F25701" s="62" t="str">
        <f>IF(INDEX(I.Gas.P1Y1C1E2,23)="","",INDEX(I.Gas.P1Y1C1E2,23))</f>
        <v/>
      </c>
      <c r="G25701" s="62"/>
      <c r="H25701" s="46" t="str">
        <f>IF(OR(I.Developer.P1=FALSE,I.Facility.StandardPart="Part 2"),"Complete",IF(I.Product.P1GasToPowerStatus&lt;&gt;"Yes","Complete",IF(AND(I.Gas.P1Y1Count&gt;=23,F25701=""),"Incomplete","Complete")))</f>
        <v>Complete</v>
      </c>
      <c r="I25701" s="48" t="s">
        <v>880</v>
      </c>
    </row>
    <row r="25702" spans="2:9" ht="15" customHeight="1" x14ac:dyDescent="0.25">
      <c r="B25702" s="55" t="s">
        <v>360</v>
      </c>
      <c r="C25702" s="46">
        <v>24</v>
      </c>
      <c r="D25702" s="69" t="s">
        <v>29497</v>
      </c>
      <c r="E25702" s="62"/>
      <c r="F25702" s="62" t="str">
        <f>IF(INDEX(I.Gas.P1Y1C1E2,24)="","",INDEX(I.Gas.P1Y1C1E2,24))</f>
        <v/>
      </c>
      <c r="G25702" s="62"/>
      <c r="H25702" s="46" t="str">
        <f>IF(OR(I.Developer.P1=FALSE,I.Facility.StandardPart="Part 2"),"Complete",IF(I.Product.P1GasToPowerStatus&lt;&gt;"Yes","Complete",IF(AND(I.Gas.P1Y1Count&gt;=24,F25702=""),"Incomplete","Complete")))</f>
        <v>Complete</v>
      </c>
      <c r="I25702" s="48" t="s">
        <v>881</v>
      </c>
    </row>
    <row r="25703" spans="2:9" ht="15" customHeight="1" x14ac:dyDescent="0.25">
      <c r="B25703" s="55" t="s">
        <v>360</v>
      </c>
      <c r="C25703" s="46">
        <v>25</v>
      </c>
      <c r="D25703" s="69" t="s">
        <v>29497</v>
      </c>
      <c r="E25703" s="62"/>
      <c r="F25703" s="62" t="str">
        <f>IF(INDEX(I.Gas.P1Y1C1E2,25)="","",INDEX(I.Gas.P1Y1C1E2,25))</f>
        <v/>
      </c>
      <c r="G25703" s="62"/>
      <c r="H25703" s="46" t="str">
        <f>IF(OR(I.Developer.P1=FALSE,I.Facility.StandardPart="Part 2"),"Complete",IF(I.Product.P1GasToPowerStatus&lt;&gt;"Yes","Complete",IF(AND(I.Gas.P1Y1Count&gt;=25,F25703=""),"Incomplete","Complete")))</f>
        <v>Complete</v>
      </c>
      <c r="I25703" s="48" t="s">
        <v>882</v>
      </c>
    </row>
    <row r="25704" spans="2:9" ht="15" customHeight="1" x14ac:dyDescent="0.25">
      <c r="B25704" s="55" t="s">
        <v>360</v>
      </c>
      <c r="C25704" s="46">
        <v>26</v>
      </c>
      <c r="D25704" s="69" t="s">
        <v>29497</v>
      </c>
      <c r="E25704" s="62"/>
      <c r="F25704" s="62" t="str">
        <f>IF(INDEX(I.Gas.P1Y1C1E2,26)="","",INDEX(I.Gas.P1Y1C1E2,26))</f>
        <v/>
      </c>
      <c r="G25704" s="62"/>
      <c r="H25704" s="46" t="str">
        <f>IF(OR(I.Developer.P1=FALSE,I.Facility.StandardPart="Part 2"),"Complete",IF(I.Product.P1GasToPowerStatus&lt;&gt;"Yes","Complete",IF(AND(I.Gas.P1Y1Count&gt;=26,F25704=""),"Incomplete","Complete")))</f>
        <v>Complete</v>
      </c>
      <c r="I25704" s="48" t="s">
        <v>883</v>
      </c>
    </row>
    <row r="25705" spans="2:9" ht="15" customHeight="1" x14ac:dyDescent="0.25">
      <c r="B25705" s="55" t="s">
        <v>360</v>
      </c>
      <c r="C25705" s="46">
        <v>27</v>
      </c>
      <c r="D25705" s="69" t="s">
        <v>29497</v>
      </c>
      <c r="E25705" s="62"/>
      <c r="F25705" s="62" t="str">
        <f>IF(INDEX(I.Gas.P1Y1C1E2,27)="","",INDEX(I.Gas.P1Y1C1E2,27))</f>
        <v/>
      </c>
      <c r="G25705" s="62"/>
      <c r="H25705" s="46" t="str">
        <f>IF(OR(I.Developer.P1=FALSE,I.Facility.StandardPart="Part 2"),"Complete",IF(I.Product.P1GasToPowerStatus&lt;&gt;"Yes","Complete",IF(AND(I.Gas.P1Y1Count&gt;=27,F25705=""),"Incomplete","Complete")))</f>
        <v>Complete</v>
      </c>
      <c r="I25705" s="48" t="s">
        <v>884</v>
      </c>
    </row>
    <row r="25706" spans="2:9" ht="15" customHeight="1" x14ac:dyDescent="0.25">
      <c r="B25706" s="55" t="s">
        <v>360</v>
      </c>
      <c r="C25706" s="46">
        <v>28</v>
      </c>
      <c r="D25706" s="69" t="s">
        <v>29497</v>
      </c>
      <c r="E25706" s="62"/>
      <c r="F25706" s="62" t="str">
        <f>IF(INDEX(I.Gas.P1Y1C1E2,28)="","",INDEX(I.Gas.P1Y1C1E2,28))</f>
        <v/>
      </c>
      <c r="G25706" s="62"/>
      <c r="H25706" s="46" t="str">
        <f>IF(OR(I.Developer.P1=FALSE,I.Facility.StandardPart="Part 2"),"Complete",IF(I.Product.P1GasToPowerStatus&lt;&gt;"Yes","Complete",IF(AND(I.Gas.P1Y1Count&gt;=28,F25706=""),"Incomplete","Complete")))</f>
        <v>Complete</v>
      </c>
      <c r="I25706" s="48" t="s">
        <v>885</v>
      </c>
    </row>
    <row r="25707" spans="2:9" ht="15" customHeight="1" x14ac:dyDescent="0.25">
      <c r="B25707" s="55" t="s">
        <v>360</v>
      </c>
      <c r="C25707" s="46">
        <v>29</v>
      </c>
      <c r="D25707" s="69" t="s">
        <v>29497</v>
      </c>
      <c r="E25707" s="62"/>
      <c r="F25707" s="62" t="str">
        <f>IF(INDEX(I.Gas.P1Y1C1E2,29)="","",INDEX(I.Gas.P1Y1C1E2,29))</f>
        <v/>
      </c>
      <c r="G25707" s="62"/>
      <c r="H25707" s="46" t="str">
        <f>IF(OR(I.Developer.P1=FALSE,I.Facility.StandardPart="Part 2"),"Complete",IF(I.Product.P1GasToPowerStatus&lt;&gt;"Yes","Complete",IF(AND(I.Gas.P1Y1Count&gt;=29,F25707=""),"Incomplete","Complete")))</f>
        <v>Complete</v>
      </c>
      <c r="I25707" s="48" t="s">
        <v>886</v>
      </c>
    </row>
    <row r="25708" spans="2:9" ht="15" customHeight="1" x14ac:dyDescent="0.25">
      <c r="B25708" s="55" t="s">
        <v>360</v>
      </c>
      <c r="C25708" s="46">
        <v>30</v>
      </c>
      <c r="D25708" s="69" t="s">
        <v>29497</v>
      </c>
      <c r="E25708" s="62"/>
      <c r="F25708" s="62" t="str">
        <f>IF(INDEX(I.Gas.P1Y1C1E2,30)="","",INDEX(I.Gas.P1Y1C1E2,30))</f>
        <v/>
      </c>
      <c r="G25708" s="62"/>
      <c r="H25708" s="46" t="str">
        <f>IF(OR(I.Developer.P1=FALSE,I.Facility.StandardPart="Part 2"),"Complete",IF(I.Product.P1GasToPowerStatus&lt;&gt;"Yes","Complete",IF(AND(I.Gas.P1Y1Count&gt;=30,F25708=""),"Incomplete","Complete")))</f>
        <v>Complete</v>
      </c>
      <c r="I25708" s="48" t="s">
        <v>887</v>
      </c>
    </row>
    <row r="25709" spans="2:9" ht="15" customHeight="1" x14ac:dyDescent="0.25">
      <c r="B25709" s="55" t="s">
        <v>360</v>
      </c>
      <c r="C25709" s="46">
        <v>31</v>
      </c>
      <c r="D25709" s="69" t="s">
        <v>29497</v>
      </c>
      <c r="E25709" s="62"/>
      <c r="F25709" s="62" t="str">
        <f>IF(INDEX(I.Gas.P1Y1C1E2,31)="","",INDEX(I.Gas.P1Y1C1E2,31))</f>
        <v/>
      </c>
      <c r="G25709" s="62"/>
      <c r="H25709" s="46" t="str">
        <f>IF(OR(I.Developer.P1=FALSE,I.Facility.StandardPart="Part 2"),"Complete",IF(I.Product.P1GasToPowerStatus&lt;&gt;"Yes","Complete",IF(AND(I.Gas.P1Y1Count&gt;=31,F25709=""),"Incomplete","Complete")))</f>
        <v>Complete</v>
      </c>
      <c r="I25709" s="48" t="s">
        <v>888</v>
      </c>
    </row>
    <row r="25710" spans="2:9" ht="15" customHeight="1" x14ac:dyDescent="0.25">
      <c r="B25710" s="55" t="s">
        <v>360</v>
      </c>
      <c r="C25710" s="46">
        <v>32</v>
      </c>
      <c r="D25710" s="69" t="s">
        <v>29497</v>
      </c>
      <c r="E25710" s="62"/>
      <c r="F25710" s="62" t="str">
        <f>IF(INDEX(I.Gas.P1Y1C1E2,32)="","",INDEX(I.Gas.P1Y1C1E2,32))</f>
        <v/>
      </c>
      <c r="G25710" s="62"/>
      <c r="H25710" s="46" t="str">
        <f>IF(OR(I.Developer.P1=FALSE,I.Facility.StandardPart="Part 2"),"Complete",IF(I.Product.P1GasToPowerStatus&lt;&gt;"Yes","Complete",IF(AND(I.Gas.P1Y1Count&gt;=32,F25710=""),"Incomplete","Complete")))</f>
        <v>Complete</v>
      </c>
      <c r="I25710" s="48" t="s">
        <v>889</v>
      </c>
    </row>
    <row r="25711" spans="2:9" ht="15" customHeight="1" x14ac:dyDescent="0.25">
      <c r="B25711" s="55" t="s">
        <v>360</v>
      </c>
      <c r="C25711" s="46">
        <v>33</v>
      </c>
      <c r="D25711" s="69" t="s">
        <v>29497</v>
      </c>
      <c r="E25711" s="62"/>
      <c r="F25711" s="62" t="str">
        <f>IF(INDEX(I.Gas.P1Y1C1E2,33)="","",INDEX(I.Gas.P1Y1C1E2,33))</f>
        <v/>
      </c>
      <c r="G25711" s="62"/>
      <c r="H25711" s="46" t="str">
        <f>IF(OR(I.Developer.P1=FALSE,I.Facility.StandardPart="Part 2"),"Complete",IF(I.Product.P1GasToPowerStatus&lt;&gt;"Yes","Complete",IF(AND(I.Gas.P1Y1Count&gt;=33,F25711=""),"Incomplete","Complete")))</f>
        <v>Complete</v>
      </c>
      <c r="I25711" s="48" t="s">
        <v>890</v>
      </c>
    </row>
    <row r="25712" spans="2:9" ht="15" customHeight="1" x14ac:dyDescent="0.25">
      <c r="B25712" s="55" t="s">
        <v>360</v>
      </c>
      <c r="C25712" s="46">
        <v>34</v>
      </c>
      <c r="D25712" s="69" t="s">
        <v>29497</v>
      </c>
      <c r="E25712" s="62"/>
      <c r="F25712" s="62" t="str">
        <f>IF(INDEX(I.Gas.P1Y1C1E2,34)="","",INDEX(I.Gas.P1Y1C1E2,34))</f>
        <v/>
      </c>
      <c r="G25712" s="62"/>
      <c r="H25712" s="46" t="str">
        <f>IF(OR(I.Developer.P1=FALSE,I.Facility.StandardPart="Part 2"),"Complete",IF(I.Product.P1GasToPowerStatus&lt;&gt;"Yes","Complete",IF(AND(I.Gas.P1Y1Count&gt;=34,F25712=""),"Incomplete","Complete")))</f>
        <v>Complete</v>
      </c>
      <c r="I25712" s="48" t="s">
        <v>891</v>
      </c>
    </row>
    <row r="25713" spans="2:9" ht="15" customHeight="1" x14ac:dyDescent="0.25">
      <c r="B25713" s="55" t="s">
        <v>360</v>
      </c>
      <c r="C25713" s="46">
        <v>35</v>
      </c>
      <c r="D25713" s="69" t="s">
        <v>29497</v>
      </c>
      <c r="E25713" s="62"/>
      <c r="F25713" s="62" t="str">
        <f>IF(INDEX(I.Gas.P1Y1C1E2,35)="","",INDEX(I.Gas.P1Y1C1E2,35))</f>
        <v/>
      </c>
      <c r="G25713" s="62"/>
      <c r="H25713" s="46" t="str">
        <f>IF(OR(I.Developer.P1=FALSE,I.Facility.StandardPart="Part 2"),"Complete",IF(I.Product.P1GasToPowerStatus&lt;&gt;"Yes","Complete",IF(AND(I.Gas.P1Y1Count&gt;=35,F25713=""),"Incomplete","Complete")))</f>
        <v>Complete</v>
      </c>
      <c r="I25713" s="48" t="s">
        <v>892</v>
      </c>
    </row>
    <row r="25714" spans="2:9" ht="15" customHeight="1" x14ac:dyDescent="0.25">
      <c r="B25714" s="55" t="s">
        <v>360</v>
      </c>
      <c r="C25714" s="46">
        <v>36</v>
      </c>
      <c r="D25714" s="69" t="s">
        <v>29497</v>
      </c>
      <c r="E25714" s="62"/>
      <c r="F25714" s="62" t="str">
        <f>IF(INDEX(I.Gas.P1Y1C1E2,36)="","",INDEX(I.Gas.P1Y1C1E2,36))</f>
        <v/>
      </c>
      <c r="G25714" s="62"/>
      <c r="H25714" s="46" t="str">
        <f>IF(OR(I.Developer.P1=FALSE,I.Facility.StandardPart="Part 2"),"Complete",IF(I.Product.P1GasToPowerStatus&lt;&gt;"Yes","Complete",IF(AND(I.Gas.P1Y1Count&gt;=36,F25714=""),"Incomplete","Complete")))</f>
        <v>Complete</v>
      </c>
      <c r="I25714" s="48" t="s">
        <v>893</v>
      </c>
    </row>
    <row r="25715" spans="2:9" ht="15" customHeight="1" x14ac:dyDescent="0.25">
      <c r="B25715" s="55" t="s">
        <v>360</v>
      </c>
      <c r="C25715" s="46">
        <v>37</v>
      </c>
      <c r="D25715" s="69" t="s">
        <v>29497</v>
      </c>
      <c r="E25715" s="62"/>
      <c r="F25715" s="62" t="str">
        <f>IF(INDEX(I.Gas.P1Y1C1E2,37)="","",INDEX(I.Gas.P1Y1C1E2,37))</f>
        <v/>
      </c>
      <c r="G25715" s="62"/>
      <c r="H25715" s="46" t="str">
        <f>IF(OR(I.Developer.P1=FALSE,I.Facility.StandardPart="Part 2"),"Complete",IF(I.Product.P1GasToPowerStatus&lt;&gt;"Yes","Complete",IF(AND(I.Gas.P1Y1Count&gt;=37,F25715=""),"Incomplete","Complete")))</f>
        <v>Complete</v>
      </c>
      <c r="I25715" s="48" t="s">
        <v>894</v>
      </c>
    </row>
    <row r="25716" spans="2:9" ht="15" customHeight="1" x14ac:dyDescent="0.25">
      <c r="B25716" s="55" t="s">
        <v>360</v>
      </c>
      <c r="C25716" s="46">
        <v>38</v>
      </c>
      <c r="D25716" s="69" t="s">
        <v>29497</v>
      </c>
      <c r="E25716" s="62"/>
      <c r="F25716" s="62" t="str">
        <f>IF(INDEX(I.Gas.P1Y1C1E2,38)="","",INDEX(I.Gas.P1Y1C1E2,38))</f>
        <v/>
      </c>
      <c r="G25716" s="62"/>
      <c r="H25716" s="46" t="str">
        <f>IF(OR(I.Developer.P1=FALSE,I.Facility.StandardPart="Part 2"),"Complete",IF(I.Product.P1GasToPowerStatus&lt;&gt;"Yes","Complete",IF(AND(I.Gas.P1Y1Count&gt;=38,F25716=""),"Incomplete","Complete")))</f>
        <v>Complete</v>
      </c>
      <c r="I25716" s="48" t="s">
        <v>895</v>
      </c>
    </row>
    <row r="25717" spans="2:9" ht="15" customHeight="1" x14ac:dyDescent="0.25">
      <c r="B25717" s="55" t="s">
        <v>360</v>
      </c>
      <c r="C25717" s="46">
        <v>39</v>
      </c>
      <c r="D25717" s="69" t="s">
        <v>29497</v>
      </c>
      <c r="E25717" s="62"/>
      <c r="F25717" s="62" t="str">
        <f>IF(INDEX(I.Gas.P1Y1C1E2,39)="","",INDEX(I.Gas.P1Y1C1E2,39))</f>
        <v/>
      </c>
      <c r="G25717" s="62"/>
      <c r="H25717" s="46" t="str">
        <f>IF(OR(I.Developer.P1=FALSE,I.Facility.StandardPart="Part 2"),"Complete",IF(I.Product.P1GasToPowerStatus&lt;&gt;"Yes","Complete",IF(AND(I.Gas.P1Y1Count&gt;=39,F25717=""),"Incomplete","Complete")))</f>
        <v>Complete</v>
      </c>
      <c r="I25717" s="48" t="s">
        <v>896</v>
      </c>
    </row>
    <row r="25718" spans="2:9" ht="15" customHeight="1" x14ac:dyDescent="0.25">
      <c r="B25718" s="55" t="s">
        <v>360</v>
      </c>
      <c r="C25718" s="46">
        <v>40</v>
      </c>
      <c r="D25718" s="69" t="s">
        <v>29497</v>
      </c>
      <c r="E25718" s="62"/>
      <c r="F25718" s="62" t="str">
        <f>IF(INDEX(I.Gas.P1Y1C1E2,40)="","",INDEX(I.Gas.P1Y1C1E2,40))</f>
        <v/>
      </c>
      <c r="G25718" s="62"/>
      <c r="H25718" s="46" t="str">
        <f>IF(OR(I.Developer.P1=FALSE,I.Facility.StandardPart="Part 2"),"Complete",IF(I.Product.P1GasToPowerStatus&lt;&gt;"Yes","Complete",IF(AND(I.Gas.P1Y1Count&gt;=40,F25718=""),"Incomplete","Complete")))</f>
        <v>Complete</v>
      </c>
      <c r="I25718" s="48" t="s">
        <v>897</v>
      </c>
    </row>
    <row r="25719" spans="2:9" ht="15" customHeight="1" x14ac:dyDescent="0.25">
      <c r="B25719" s="55" t="s">
        <v>360</v>
      </c>
      <c r="C25719" s="46">
        <v>41</v>
      </c>
      <c r="D25719" s="69" t="s">
        <v>29497</v>
      </c>
      <c r="E25719" s="62"/>
      <c r="F25719" s="62" t="str">
        <f>IF(INDEX(I.Gas.P1Y1C1E2,41)="","",INDEX(I.Gas.P1Y1C1E2,41))</f>
        <v/>
      </c>
      <c r="G25719" s="62"/>
      <c r="H25719" s="46" t="str">
        <f>IF(OR(I.Developer.P1=FALSE,I.Facility.StandardPart="Part 2"),"Complete",IF(I.Product.P1GasToPowerStatus&lt;&gt;"Yes","Complete",IF(AND(I.Gas.P1Y1Count&gt;=41,F25719=""),"Incomplete","Complete")))</f>
        <v>Complete</v>
      </c>
      <c r="I25719" s="48" t="s">
        <v>898</v>
      </c>
    </row>
    <row r="25720" spans="2:9" ht="15" customHeight="1" x14ac:dyDescent="0.25">
      <c r="B25720" s="55" t="s">
        <v>360</v>
      </c>
      <c r="C25720" s="46">
        <v>42</v>
      </c>
      <c r="D25720" s="69" t="s">
        <v>29497</v>
      </c>
      <c r="E25720" s="62"/>
      <c r="F25720" s="62" t="str">
        <f>IF(INDEX(I.Gas.P1Y1C1E2,42)="","",INDEX(I.Gas.P1Y1C1E2,42))</f>
        <v/>
      </c>
      <c r="G25720" s="62"/>
      <c r="H25720" s="46" t="str">
        <f>IF(OR(I.Developer.P1=FALSE,I.Facility.StandardPart="Part 2"),"Complete",IF(I.Product.P1GasToPowerStatus&lt;&gt;"Yes","Complete",IF(AND(I.Gas.P1Y1Count&gt;=42,F25720=""),"Incomplete","Complete")))</f>
        <v>Complete</v>
      </c>
      <c r="I25720" s="48" t="s">
        <v>899</v>
      </c>
    </row>
    <row r="25721" spans="2:9" ht="15" customHeight="1" x14ac:dyDescent="0.25">
      <c r="B25721" s="55" t="s">
        <v>360</v>
      </c>
      <c r="C25721" s="46">
        <v>43</v>
      </c>
      <c r="D25721" s="69" t="s">
        <v>29497</v>
      </c>
      <c r="E25721" s="62"/>
      <c r="F25721" s="62" t="str">
        <f>IF(INDEX(I.Gas.P1Y1C1E2,43)="","",INDEX(I.Gas.P1Y1C1E2,43))</f>
        <v/>
      </c>
      <c r="G25721" s="62"/>
      <c r="H25721" s="46" t="str">
        <f>IF(OR(I.Developer.P1=FALSE,I.Facility.StandardPart="Part 2"),"Complete",IF(I.Product.P1GasToPowerStatus&lt;&gt;"Yes","Complete",IF(AND(I.Gas.P1Y1Count&gt;=43,F25721=""),"Incomplete","Complete")))</f>
        <v>Complete</v>
      </c>
      <c r="I25721" s="48" t="s">
        <v>900</v>
      </c>
    </row>
    <row r="25722" spans="2:9" ht="15" customHeight="1" x14ac:dyDescent="0.25">
      <c r="B25722" s="55" t="s">
        <v>360</v>
      </c>
      <c r="C25722" s="46">
        <v>44</v>
      </c>
      <c r="D25722" s="69" t="s">
        <v>29497</v>
      </c>
      <c r="E25722" s="62"/>
      <c r="F25722" s="62" t="str">
        <f>IF(INDEX(I.Gas.P1Y1C1E2,44)="","",INDEX(I.Gas.P1Y1C1E2,44))</f>
        <v/>
      </c>
      <c r="G25722" s="62"/>
      <c r="H25722" s="46" t="str">
        <f>IF(OR(I.Developer.P1=FALSE,I.Facility.StandardPart="Part 2"),"Complete",IF(I.Product.P1GasToPowerStatus&lt;&gt;"Yes","Complete",IF(AND(I.Gas.P1Y1Count&gt;=44,F25722=""),"Incomplete","Complete")))</f>
        <v>Complete</v>
      </c>
      <c r="I25722" s="48" t="s">
        <v>901</v>
      </c>
    </row>
    <row r="25723" spans="2:9" ht="15" customHeight="1" x14ac:dyDescent="0.25">
      <c r="B25723" s="55" t="s">
        <v>360</v>
      </c>
      <c r="C25723" s="46">
        <v>45</v>
      </c>
      <c r="D25723" s="69" t="s">
        <v>29497</v>
      </c>
      <c r="E25723" s="62"/>
      <c r="F25723" s="62" t="str">
        <f>IF(INDEX(I.Gas.P1Y1C1E2,45)="","",INDEX(I.Gas.P1Y1C1E2,45))</f>
        <v/>
      </c>
      <c r="G25723" s="62"/>
      <c r="H25723" s="46" t="str">
        <f>IF(OR(I.Developer.P1=FALSE,I.Facility.StandardPart="Part 2"),"Complete",IF(I.Product.P1GasToPowerStatus&lt;&gt;"Yes","Complete",IF(AND(I.Gas.P1Y1Count&gt;=45,F25723=""),"Incomplete","Complete")))</f>
        <v>Complete</v>
      </c>
      <c r="I25723" s="48" t="s">
        <v>902</v>
      </c>
    </row>
    <row r="25724" spans="2:9" ht="15" customHeight="1" x14ac:dyDescent="0.25">
      <c r="B25724" s="55" t="s">
        <v>360</v>
      </c>
      <c r="C25724" s="46">
        <v>46</v>
      </c>
      <c r="D25724" s="69" t="s">
        <v>29497</v>
      </c>
      <c r="E25724" s="62"/>
      <c r="F25724" s="62" t="str">
        <f>IF(INDEX(I.Gas.P1Y1C1E2,46)="","",INDEX(I.Gas.P1Y1C1E2,46))</f>
        <v/>
      </c>
      <c r="G25724" s="62"/>
      <c r="H25724" s="46" t="str">
        <f>IF(OR(I.Developer.P1=FALSE,I.Facility.StandardPart="Part 2"),"Complete",IF(I.Product.P1GasToPowerStatus&lt;&gt;"Yes","Complete",IF(AND(I.Gas.P1Y1Count&gt;=46,F25724=""),"Incomplete","Complete")))</f>
        <v>Complete</v>
      </c>
      <c r="I25724" s="48" t="s">
        <v>903</v>
      </c>
    </row>
    <row r="25725" spans="2:9" ht="15" customHeight="1" x14ac:dyDescent="0.25">
      <c r="B25725" s="55" t="s">
        <v>360</v>
      </c>
      <c r="C25725" s="46">
        <v>47</v>
      </c>
      <c r="D25725" s="69" t="s">
        <v>29497</v>
      </c>
      <c r="E25725" s="62"/>
      <c r="F25725" s="62" t="str">
        <f>IF(INDEX(I.Gas.P1Y1C1E2,47)="","",INDEX(I.Gas.P1Y1C1E2,47))</f>
        <v/>
      </c>
      <c r="G25725" s="62"/>
      <c r="H25725" s="46" t="str">
        <f>IF(OR(I.Developer.P1=FALSE,I.Facility.StandardPart="Part 2"),"Complete",IF(I.Product.P1GasToPowerStatus&lt;&gt;"Yes","Complete",IF(AND(I.Gas.P1Y1Count&gt;=47,F25725=""),"Incomplete","Complete")))</f>
        <v>Complete</v>
      </c>
      <c r="I25725" s="48" t="s">
        <v>904</v>
      </c>
    </row>
    <row r="25726" spans="2:9" ht="15" customHeight="1" x14ac:dyDescent="0.25">
      <c r="B25726" s="55" t="s">
        <v>360</v>
      </c>
      <c r="C25726" s="46">
        <v>48</v>
      </c>
      <c r="D25726" s="69" t="s">
        <v>29497</v>
      </c>
      <c r="E25726" s="62"/>
      <c r="F25726" s="62" t="str">
        <f>IF(INDEX(I.Gas.P1Y1C1E2,48)="","",INDEX(I.Gas.P1Y1C1E2,48))</f>
        <v/>
      </c>
      <c r="G25726" s="62"/>
      <c r="H25726" s="46" t="str">
        <f>IF(OR(I.Developer.P1=FALSE,I.Facility.StandardPart="Part 2"),"Complete",IF(I.Product.P1GasToPowerStatus&lt;&gt;"Yes","Complete",IF(AND(I.Gas.P1Y1Count&gt;=48,F25726=""),"Incomplete","Complete")))</f>
        <v>Complete</v>
      </c>
      <c r="I25726" s="48" t="s">
        <v>905</v>
      </c>
    </row>
    <row r="25727" spans="2:9" ht="15" customHeight="1" x14ac:dyDescent="0.25">
      <c r="B25727" s="55" t="s">
        <v>360</v>
      </c>
      <c r="C25727" s="46">
        <v>49</v>
      </c>
      <c r="D25727" s="69" t="s">
        <v>29497</v>
      </c>
      <c r="E25727" s="62"/>
      <c r="F25727" s="62" t="str">
        <f>IF(INDEX(I.Gas.P1Y1C1E2,49)="","",INDEX(I.Gas.P1Y1C1E2,49))</f>
        <v/>
      </c>
      <c r="G25727" s="62"/>
      <c r="H25727" s="46" t="str">
        <f>IF(OR(I.Developer.P1=FALSE,I.Facility.StandardPart="Part 2"),"Complete",IF(I.Product.P1GasToPowerStatus&lt;&gt;"Yes","Complete",IF(AND(I.Gas.P1Y1Count&gt;=49,F25727=""),"Incomplete","Complete")))</f>
        <v>Complete</v>
      </c>
      <c r="I25727" s="48" t="s">
        <v>906</v>
      </c>
    </row>
    <row r="25728" spans="2:9" ht="15" customHeight="1" x14ac:dyDescent="0.25">
      <c r="B25728" s="56" t="s">
        <v>360</v>
      </c>
      <c r="C25728" s="57">
        <v>50</v>
      </c>
      <c r="D25728" s="71" t="s">
        <v>29497</v>
      </c>
      <c r="E25728" s="61"/>
      <c r="F25728" s="61" t="str">
        <f>IF(INDEX(I.Gas.P1Y1C1E2,50)="","",INDEX(I.Gas.P1Y1C1E2,50))</f>
        <v/>
      </c>
      <c r="G25728" s="61"/>
      <c r="H25728" s="57" t="str">
        <f>IF(OR(I.Developer.P1=FALSE,I.Facility.StandardPart="Part 2"),"Complete",IF(I.Product.P1GasToPowerStatus&lt;&gt;"Yes","Complete",IF(AND(I.Gas.P1Y1Count&gt;=50,F25728=""),"Incomplete","Complete")))</f>
        <v>Complete</v>
      </c>
      <c r="I25728" s="49" t="s">
        <v>907</v>
      </c>
    </row>
    <row r="25729" spans="2:9" ht="15" customHeight="1" x14ac:dyDescent="0.25">
      <c r="B25729" s="55" t="s">
        <v>361</v>
      </c>
      <c r="C25729" s="46">
        <v>1</v>
      </c>
      <c r="D25729" s="69" t="s">
        <v>29498</v>
      </c>
      <c r="E25729" s="62"/>
      <c r="F25729" s="62" t="str">
        <f>IF(INDEX(I.Gas.P1Y1C1E3,1)="","",INDEX(I.Gas.P1Y1C1E3,1))</f>
        <v/>
      </c>
      <c r="G25729" s="62"/>
      <c r="H25729" s="46" t="str">
        <f>IF(OR(I.Developer.P1=FALSE,I.Facility.StandardPart="Part 2"),"Complete",IF(I.Product.P1GasToPowerStatus&lt;&gt;"Yes","Complete",IF(AND(I.Gas.P1Y1Count&gt;=1,F25729=""),"Incomplete","Complete")))</f>
        <v>Complete</v>
      </c>
      <c r="I25729" s="48" t="s">
        <v>908</v>
      </c>
    </row>
    <row r="25730" spans="2:9" ht="15" customHeight="1" x14ac:dyDescent="0.25">
      <c r="B25730" s="55" t="s">
        <v>361</v>
      </c>
      <c r="C25730" s="46">
        <v>2</v>
      </c>
      <c r="D25730" s="69" t="s">
        <v>29498</v>
      </c>
      <c r="E25730" s="62"/>
      <c r="F25730" s="62" t="str">
        <f>IF(INDEX(I.Gas.P1Y1C1E3,2)="","",INDEX(I.Gas.P1Y1C1E3,2))</f>
        <v/>
      </c>
      <c r="G25730" s="62"/>
      <c r="H25730" s="46" t="str">
        <f>IF(OR(I.Developer.P1=FALSE,I.Facility.StandardPart="Part 2"),"Complete",IF(I.Product.P1GasToPowerStatus&lt;&gt;"Yes","Complete",IF(AND(I.Gas.P1Y1Count&gt;=2,F25730=""),"Incomplete","Complete")))</f>
        <v>Complete</v>
      </c>
      <c r="I25730" s="48" t="s">
        <v>909</v>
      </c>
    </row>
    <row r="25731" spans="2:9" ht="15" customHeight="1" x14ac:dyDescent="0.25">
      <c r="B25731" s="55" t="s">
        <v>361</v>
      </c>
      <c r="C25731" s="46">
        <v>3</v>
      </c>
      <c r="D25731" s="69" t="s">
        <v>29498</v>
      </c>
      <c r="E25731" s="62"/>
      <c r="F25731" s="62" t="str">
        <f>IF(INDEX(I.Gas.P1Y1C1E3,3)="","",INDEX(I.Gas.P1Y1C1E3,3))</f>
        <v/>
      </c>
      <c r="G25731" s="62"/>
      <c r="H25731" s="46" t="str">
        <f>IF(OR(I.Developer.P1=FALSE,I.Facility.StandardPart="Part 2"),"Complete",IF(I.Product.P1GasToPowerStatus&lt;&gt;"Yes","Complete",IF(AND(I.Gas.P1Y1Count&gt;=3,F25731=""),"Incomplete","Complete")))</f>
        <v>Complete</v>
      </c>
      <c r="I25731" s="48" t="s">
        <v>910</v>
      </c>
    </row>
    <row r="25732" spans="2:9" ht="15" customHeight="1" x14ac:dyDescent="0.25">
      <c r="B25732" s="55" t="s">
        <v>361</v>
      </c>
      <c r="C25732" s="46">
        <v>4</v>
      </c>
      <c r="D25732" s="69" t="s">
        <v>29498</v>
      </c>
      <c r="E25732" s="62"/>
      <c r="F25732" s="62" t="str">
        <f>IF(INDEX(I.Gas.P1Y1C1E3,4)="","",INDEX(I.Gas.P1Y1C1E3,4))</f>
        <v/>
      </c>
      <c r="G25732" s="62"/>
      <c r="H25732" s="46" t="str">
        <f>IF(OR(I.Developer.P1=FALSE,I.Facility.StandardPart="Part 2"),"Complete",IF(I.Product.P1GasToPowerStatus&lt;&gt;"Yes","Complete",IF(AND(I.Gas.P1Y1Count&gt;=4,F25732=""),"Incomplete","Complete")))</f>
        <v>Complete</v>
      </c>
      <c r="I25732" s="48" t="s">
        <v>911</v>
      </c>
    </row>
    <row r="25733" spans="2:9" ht="15" customHeight="1" x14ac:dyDescent="0.25">
      <c r="B25733" s="55" t="s">
        <v>361</v>
      </c>
      <c r="C25733" s="46">
        <v>5</v>
      </c>
      <c r="D25733" s="69" t="s">
        <v>29498</v>
      </c>
      <c r="E25733" s="62"/>
      <c r="F25733" s="62" t="str">
        <f>IF(INDEX(I.Gas.P1Y1C1E3,5)="","",INDEX(I.Gas.P1Y1C1E3,5))</f>
        <v/>
      </c>
      <c r="G25733" s="62"/>
      <c r="H25733" s="46" t="str">
        <f>IF(OR(I.Developer.P1=FALSE,I.Facility.StandardPart="Part 2"),"Complete",IF(I.Product.P1GasToPowerStatus&lt;&gt;"Yes","Complete",IF(AND(I.Gas.P1Y1Count&gt;=5,F25733=""),"Incomplete","Complete")))</f>
        <v>Complete</v>
      </c>
      <c r="I25733" s="48" t="s">
        <v>912</v>
      </c>
    </row>
    <row r="25734" spans="2:9" ht="15" customHeight="1" x14ac:dyDescent="0.25">
      <c r="B25734" s="55" t="s">
        <v>361</v>
      </c>
      <c r="C25734" s="46">
        <v>6</v>
      </c>
      <c r="D25734" s="69" t="s">
        <v>29498</v>
      </c>
      <c r="E25734" s="62"/>
      <c r="F25734" s="62" t="str">
        <f>IF(INDEX(I.Gas.P1Y1C1E3,6)="","",INDEX(I.Gas.P1Y1C1E3,6))</f>
        <v/>
      </c>
      <c r="G25734" s="62"/>
      <c r="H25734" s="46" t="str">
        <f>IF(OR(I.Developer.P1=FALSE,I.Facility.StandardPart="Part 2"),"Complete",IF(I.Product.P1GasToPowerStatus&lt;&gt;"Yes","Complete",IF(AND(I.Gas.P1Y1Count&gt;=6,F25734=""),"Incomplete","Complete")))</f>
        <v>Complete</v>
      </c>
      <c r="I25734" s="48" t="s">
        <v>913</v>
      </c>
    </row>
    <row r="25735" spans="2:9" ht="15" customHeight="1" x14ac:dyDescent="0.25">
      <c r="B25735" s="55" t="s">
        <v>361</v>
      </c>
      <c r="C25735" s="46">
        <v>7</v>
      </c>
      <c r="D25735" s="69" t="s">
        <v>29498</v>
      </c>
      <c r="E25735" s="62"/>
      <c r="F25735" s="62" t="str">
        <f>IF(INDEX(I.Gas.P1Y1C1E3,7)="","",INDEX(I.Gas.P1Y1C1E3,7))</f>
        <v/>
      </c>
      <c r="G25735" s="62"/>
      <c r="H25735" s="46" t="str">
        <f>IF(OR(I.Developer.P1=FALSE,I.Facility.StandardPart="Part 2"),"Complete",IF(I.Product.P1GasToPowerStatus&lt;&gt;"Yes","Complete",IF(AND(I.Gas.P1Y1Count&gt;=7,F25735=""),"Incomplete","Complete")))</f>
        <v>Complete</v>
      </c>
      <c r="I25735" s="48" t="s">
        <v>914</v>
      </c>
    </row>
    <row r="25736" spans="2:9" ht="15" customHeight="1" x14ac:dyDescent="0.25">
      <c r="B25736" s="55" t="s">
        <v>361</v>
      </c>
      <c r="C25736" s="46">
        <v>8</v>
      </c>
      <c r="D25736" s="69" t="s">
        <v>29498</v>
      </c>
      <c r="E25736" s="62"/>
      <c r="F25736" s="62" t="str">
        <f>IF(INDEX(I.Gas.P1Y1C1E3,8)="","",INDEX(I.Gas.P1Y1C1E3,8))</f>
        <v/>
      </c>
      <c r="G25736" s="62"/>
      <c r="H25736" s="46" t="str">
        <f>IF(OR(I.Developer.P1=FALSE,I.Facility.StandardPart="Part 2"),"Complete",IF(I.Product.P1GasToPowerStatus&lt;&gt;"Yes","Complete",IF(AND(I.Gas.P1Y1Count&gt;=8,F25736=""),"Incomplete","Complete")))</f>
        <v>Complete</v>
      </c>
      <c r="I25736" s="48" t="s">
        <v>915</v>
      </c>
    </row>
    <row r="25737" spans="2:9" ht="15" customHeight="1" x14ac:dyDescent="0.25">
      <c r="B25737" s="55" t="s">
        <v>361</v>
      </c>
      <c r="C25737" s="46">
        <v>9</v>
      </c>
      <c r="D25737" s="69" t="s">
        <v>29498</v>
      </c>
      <c r="E25737" s="62"/>
      <c r="F25737" s="62" t="str">
        <f>IF(INDEX(I.Gas.P1Y1C1E3,9)="","",INDEX(I.Gas.P1Y1C1E3,9))</f>
        <v/>
      </c>
      <c r="G25737" s="62"/>
      <c r="H25737" s="46" t="str">
        <f>IF(OR(I.Developer.P1=FALSE,I.Facility.StandardPart="Part 2"),"Complete",IF(I.Product.P1GasToPowerStatus&lt;&gt;"Yes","Complete",IF(AND(I.Gas.P1Y1Count&gt;=9,F25737=""),"Incomplete","Complete")))</f>
        <v>Complete</v>
      </c>
      <c r="I25737" s="48" t="s">
        <v>916</v>
      </c>
    </row>
    <row r="25738" spans="2:9" ht="15" customHeight="1" x14ac:dyDescent="0.25">
      <c r="B25738" s="55" t="s">
        <v>361</v>
      </c>
      <c r="C25738" s="46">
        <v>10</v>
      </c>
      <c r="D25738" s="69" t="s">
        <v>29498</v>
      </c>
      <c r="E25738" s="62"/>
      <c r="F25738" s="62" t="str">
        <f>IF(INDEX(I.Gas.P1Y1C1E3,10)="","",INDEX(I.Gas.P1Y1C1E3,10))</f>
        <v/>
      </c>
      <c r="G25738" s="62"/>
      <c r="H25738" s="46" t="str">
        <f>IF(OR(I.Developer.P1=FALSE,I.Facility.StandardPart="Part 2"),"Complete",IF(I.Product.P1GasToPowerStatus&lt;&gt;"Yes","Complete",IF(AND(I.Gas.P1Y1Count&gt;=10,F25738=""),"Incomplete","Complete")))</f>
        <v>Complete</v>
      </c>
      <c r="I25738" s="48" t="s">
        <v>917</v>
      </c>
    </row>
    <row r="25739" spans="2:9" ht="15" customHeight="1" x14ac:dyDescent="0.25">
      <c r="B25739" s="55" t="s">
        <v>361</v>
      </c>
      <c r="C25739" s="46">
        <v>11</v>
      </c>
      <c r="D25739" s="69" t="s">
        <v>29498</v>
      </c>
      <c r="E25739" s="62"/>
      <c r="F25739" s="62" t="str">
        <f>IF(INDEX(I.Gas.P1Y1C1E3,11)="","",INDEX(I.Gas.P1Y1C1E3,11))</f>
        <v/>
      </c>
      <c r="G25739" s="62"/>
      <c r="H25739" s="46" t="str">
        <f>IF(OR(I.Developer.P1=FALSE,I.Facility.StandardPart="Part 2"),"Complete",IF(I.Product.P1GasToPowerStatus&lt;&gt;"Yes","Complete",IF(AND(I.Gas.P1Y1Count&gt;=11,F25739=""),"Incomplete","Complete")))</f>
        <v>Complete</v>
      </c>
      <c r="I25739" s="48" t="s">
        <v>918</v>
      </c>
    </row>
    <row r="25740" spans="2:9" ht="15" customHeight="1" x14ac:dyDescent="0.25">
      <c r="B25740" s="55" t="s">
        <v>361</v>
      </c>
      <c r="C25740" s="46">
        <v>12</v>
      </c>
      <c r="D25740" s="69" t="s">
        <v>29498</v>
      </c>
      <c r="E25740" s="62"/>
      <c r="F25740" s="62" t="str">
        <f>IF(INDEX(I.Gas.P1Y1C1E3,12)="","",INDEX(I.Gas.P1Y1C1E3,12))</f>
        <v/>
      </c>
      <c r="G25740" s="62"/>
      <c r="H25740" s="46" t="str">
        <f>IF(OR(I.Developer.P1=FALSE,I.Facility.StandardPart="Part 2"),"Complete",IF(I.Product.P1GasToPowerStatus&lt;&gt;"Yes","Complete",IF(AND(I.Gas.P1Y1Count&gt;=12,F25740=""),"Incomplete","Complete")))</f>
        <v>Complete</v>
      </c>
      <c r="I25740" s="48" t="s">
        <v>919</v>
      </c>
    </row>
    <row r="25741" spans="2:9" ht="15" customHeight="1" x14ac:dyDescent="0.25">
      <c r="B25741" s="55" t="s">
        <v>361</v>
      </c>
      <c r="C25741" s="46">
        <v>13</v>
      </c>
      <c r="D25741" s="69" t="s">
        <v>29498</v>
      </c>
      <c r="E25741" s="62"/>
      <c r="F25741" s="62" t="str">
        <f>IF(INDEX(I.Gas.P1Y1C1E3,13)="","",INDEX(I.Gas.P1Y1C1E3,13))</f>
        <v/>
      </c>
      <c r="G25741" s="62"/>
      <c r="H25741" s="46" t="str">
        <f>IF(OR(I.Developer.P1=FALSE,I.Facility.StandardPart="Part 2"),"Complete",IF(I.Product.P1GasToPowerStatus&lt;&gt;"Yes","Complete",IF(AND(I.Gas.P1Y1Count&gt;=13,F25741=""),"Incomplete","Complete")))</f>
        <v>Complete</v>
      </c>
      <c r="I25741" s="48" t="s">
        <v>920</v>
      </c>
    </row>
    <row r="25742" spans="2:9" ht="15" customHeight="1" x14ac:dyDescent="0.25">
      <c r="B25742" s="55" t="s">
        <v>361</v>
      </c>
      <c r="C25742" s="46">
        <v>14</v>
      </c>
      <c r="D25742" s="69" t="s">
        <v>29498</v>
      </c>
      <c r="E25742" s="62"/>
      <c r="F25742" s="62" t="str">
        <f>IF(INDEX(I.Gas.P1Y1C1E3,14)="","",INDEX(I.Gas.P1Y1C1E3,14))</f>
        <v/>
      </c>
      <c r="G25742" s="62"/>
      <c r="H25742" s="46" t="str">
        <f>IF(OR(I.Developer.P1=FALSE,I.Facility.StandardPart="Part 2"),"Complete",IF(I.Product.P1GasToPowerStatus&lt;&gt;"Yes","Complete",IF(AND(I.Gas.P1Y1Count&gt;=14,F25742=""),"Incomplete","Complete")))</f>
        <v>Complete</v>
      </c>
      <c r="I25742" s="48" t="s">
        <v>921</v>
      </c>
    </row>
    <row r="25743" spans="2:9" ht="15" customHeight="1" x14ac:dyDescent="0.25">
      <c r="B25743" s="55" t="s">
        <v>361</v>
      </c>
      <c r="C25743" s="46">
        <v>15</v>
      </c>
      <c r="D25743" s="69" t="s">
        <v>29498</v>
      </c>
      <c r="E25743" s="62"/>
      <c r="F25743" s="62" t="str">
        <f>IF(INDEX(I.Gas.P1Y1C1E3,15)="","",INDEX(I.Gas.P1Y1C1E3,15))</f>
        <v/>
      </c>
      <c r="G25743" s="62"/>
      <c r="H25743" s="46" t="str">
        <f>IF(OR(I.Developer.P1=FALSE,I.Facility.StandardPart="Part 2"),"Complete",IF(I.Product.P1GasToPowerStatus&lt;&gt;"Yes","Complete",IF(AND(I.Gas.P1Y1Count&gt;=15,F25743=""),"Incomplete","Complete")))</f>
        <v>Complete</v>
      </c>
      <c r="I25743" s="48" t="s">
        <v>922</v>
      </c>
    </row>
    <row r="25744" spans="2:9" ht="15" customHeight="1" x14ac:dyDescent="0.25">
      <c r="B25744" s="55" t="s">
        <v>361</v>
      </c>
      <c r="C25744" s="46">
        <v>16</v>
      </c>
      <c r="D25744" s="69" t="s">
        <v>29498</v>
      </c>
      <c r="E25744" s="62"/>
      <c r="F25744" s="62" t="str">
        <f>IF(INDEX(I.Gas.P1Y1C1E3,16)="","",INDEX(I.Gas.P1Y1C1E3,16))</f>
        <v/>
      </c>
      <c r="G25744" s="62"/>
      <c r="H25744" s="46" t="str">
        <f>IF(OR(I.Developer.P1=FALSE,I.Facility.StandardPart="Part 2"),"Complete",IF(I.Product.P1GasToPowerStatus&lt;&gt;"Yes","Complete",IF(AND(I.Gas.P1Y1Count&gt;=16,F25744=""),"Incomplete","Complete")))</f>
        <v>Complete</v>
      </c>
      <c r="I25744" s="48" t="s">
        <v>923</v>
      </c>
    </row>
    <row r="25745" spans="2:9" ht="15" customHeight="1" x14ac:dyDescent="0.25">
      <c r="B25745" s="55" t="s">
        <v>361</v>
      </c>
      <c r="C25745" s="46">
        <v>17</v>
      </c>
      <c r="D25745" s="69" t="s">
        <v>29498</v>
      </c>
      <c r="E25745" s="62"/>
      <c r="F25745" s="62" t="str">
        <f>IF(INDEX(I.Gas.P1Y1C1E3,17)="","",INDEX(I.Gas.P1Y1C1E3,17))</f>
        <v/>
      </c>
      <c r="G25745" s="62"/>
      <c r="H25745" s="46" t="str">
        <f>IF(OR(I.Developer.P1=FALSE,I.Facility.StandardPart="Part 2"),"Complete",IF(I.Product.P1GasToPowerStatus&lt;&gt;"Yes","Complete",IF(AND(I.Gas.P1Y1Count&gt;=17,F25745=""),"Incomplete","Complete")))</f>
        <v>Complete</v>
      </c>
      <c r="I25745" s="48" t="s">
        <v>924</v>
      </c>
    </row>
    <row r="25746" spans="2:9" ht="15" customHeight="1" x14ac:dyDescent="0.25">
      <c r="B25746" s="55" t="s">
        <v>361</v>
      </c>
      <c r="C25746" s="46">
        <v>18</v>
      </c>
      <c r="D25746" s="69" t="s">
        <v>29498</v>
      </c>
      <c r="E25746" s="62"/>
      <c r="F25746" s="62" t="str">
        <f>IF(INDEX(I.Gas.P1Y1C1E3,18)="","",INDEX(I.Gas.P1Y1C1E3,18))</f>
        <v/>
      </c>
      <c r="G25746" s="62"/>
      <c r="H25746" s="46" t="str">
        <f>IF(OR(I.Developer.P1=FALSE,I.Facility.StandardPart="Part 2"),"Complete",IF(I.Product.P1GasToPowerStatus&lt;&gt;"Yes","Complete",IF(AND(I.Gas.P1Y1Count&gt;=18,F25746=""),"Incomplete","Complete")))</f>
        <v>Complete</v>
      </c>
      <c r="I25746" s="48" t="s">
        <v>925</v>
      </c>
    </row>
    <row r="25747" spans="2:9" ht="15" customHeight="1" x14ac:dyDescent="0.25">
      <c r="B25747" s="55" t="s">
        <v>361</v>
      </c>
      <c r="C25747" s="46">
        <v>19</v>
      </c>
      <c r="D25747" s="69" t="s">
        <v>29498</v>
      </c>
      <c r="E25747" s="62"/>
      <c r="F25747" s="62" t="str">
        <f>IF(INDEX(I.Gas.P1Y1C1E3,19)="","",INDEX(I.Gas.P1Y1C1E3,19))</f>
        <v/>
      </c>
      <c r="G25747" s="62"/>
      <c r="H25747" s="46" t="str">
        <f>IF(OR(I.Developer.P1=FALSE,I.Facility.StandardPart="Part 2"),"Complete",IF(I.Product.P1GasToPowerStatus&lt;&gt;"Yes","Complete",IF(AND(I.Gas.P1Y1Count&gt;=19,F25747=""),"Incomplete","Complete")))</f>
        <v>Complete</v>
      </c>
      <c r="I25747" s="48" t="s">
        <v>926</v>
      </c>
    </row>
    <row r="25748" spans="2:9" ht="15" customHeight="1" x14ac:dyDescent="0.25">
      <c r="B25748" s="55" t="s">
        <v>361</v>
      </c>
      <c r="C25748" s="46">
        <v>20</v>
      </c>
      <c r="D25748" s="69" t="s">
        <v>29498</v>
      </c>
      <c r="E25748" s="62"/>
      <c r="F25748" s="62" t="str">
        <f>IF(INDEX(I.Gas.P1Y1C1E3,20)="","",INDEX(I.Gas.P1Y1C1E3,20))</f>
        <v/>
      </c>
      <c r="G25748" s="62"/>
      <c r="H25748" s="46" t="str">
        <f>IF(OR(I.Developer.P1=FALSE,I.Facility.StandardPart="Part 2"),"Complete",IF(I.Product.P1GasToPowerStatus&lt;&gt;"Yes","Complete",IF(AND(I.Gas.P1Y1Count&gt;=20,F25748=""),"Incomplete","Complete")))</f>
        <v>Complete</v>
      </c>
      <c r="I25748" s="48" t="s">
        <v>927</v>
      </c>
    </row>
    <row r="25749" spans="2:9" ht="15" customHeight="1" x14ac:dyDescent="0.25">
      <c r="B25749" s="55" t="s">
        <v>361</v>
      </c>
      <c r="C25749" s="46">
        <v>21</v>
      </c>
      <c r="D25749" s="69" t="s">
        <v>29498</v>
      </c>
      <c r="E25749" s="62"/>
      <c r="F25749" s="62" t="str">
        <f>IF(INDEX(I.Gas.P1Y1C1E3,21)="","",INDEX(I.Gas.P1Y1C1E3,21))</f>
        <v/>
      </c>
      <c r="G25749" s="62"/>
      <c r="H25749" s="46" t="str">
        <f>IF(OR(I.Developer.P1=FALSE,I.Facility.StandardPart="Part 2"),"Complete",IF(I.Product.P1GasToPowerStatus&lt;&gt;"Yes","Complete",IF(AND(I.Gas.P1Y1Count&gt;=21,F25749=""),"Incomplete","Complete")))</f>
        <v>Complete</v>
      </c>
      <c r="I25749" s="48" t="s">
        <v>928</v>
      </c>
    </row>
    <row r="25750" spans="2:9" ht="15" customHeight="1" x14ac:dyDescent="0.25">
      <c r="B25750" s="55" t="s">
        <v>361</v>
      </c>
      <c r="C25750" s="46">
        <v>22</v>
      </c>
      <c r="D25750" s="69" t="s">
        <v>29498</v>
      </c>
      <c r="E25750" s="62"/>
      <c r="F25750" s="62" t="str">
        <f>IF(INDEX(I.Gas.P1Y1C1E3,22)="","",INDEX(I.Gas.P1Y1C1E3,22))</f>
        <v/>
      </c>
      <c r="G25750" s="62"/>
      <c r="H25750" s="46" t="str">
        <f>IF(OR(I.Developer.P1=FALSE,I.Facility.StandardPart="Part 2"),"Complete",IF(I.Product.P1GasToPowerStatus&lt;&gt;"Yes","Complete",IF(AND(I.Gas.P1Y1Count&gt;=22,F25750=""),"Incomplete","Complete")))</f>
        <v>Complete</v>
      </c>
      <c r="I25750" s="48" t="s">
        <v>929</v>
      </c>
    </row>
    <row r="25751" spans="2:9" ht="15" customHeight="1" x14ac:dyDescent="0.25">
      <c r="B25751" s="55" t="s">
        <v>361</v>
      </c>
      <c r="C25751" s="46">
        <v>23</v>
      </c>
      <c r="D25751" s="69" t="s">
        <v>29498</v>
      </c>
      <c r="E25751" s="62"/>
      <c r="F25751" s="62" t="str">
        <f>IF(INDEX(I.Gas.P1Y1C1E3,23)="","",INDEX(I.Gas.P1Y1C1E3,23))</f>
        <v/>
      </c>
      <c r="G25751" s="62"/>
      <c r="H25751" s="46" t="str">
        <f>IF(OR(I.Developer.P1=FALSE,I.Facility.StandardPart="Part 2"),"Complete",IF(I.Product.P1GasToPowerStatus&lt;&gt;"Yes","Complete",IF(AND(I.Gas.P1Y1Count&gt;=23,F25751=""),"Incomplete","Complete")))</f>
        <v>Complete</v>
      </c>
      <c r="I25751" s="48" t="s">
        <v>930</v>
      </c>
    </row>
    <row r="25752" spans="2:9" ht="15" customHeight="1" x14ac:dyDescent="0.25">
      <c r="B25752" s="55" t="s">
        <v>361</v>
      </c>
      <c r="C25752" s="46">
        <v>24</v>
      </c>
      <c r="D25752" s="69" t="s">
        <v>29498</v>
      </c>
      <c r="E25752" s="62"/>
      <c r="F25752" s="62" t="str">
        <f>IF(INDEX(I.Gas.P1Y1C1E3,24)="","",INDEX(I.Gas.P1Y1C1E3,24))</f>
        <v/>
      </c>
      <c r="G25752" s="62"/>
      <c r="H25752" s="46" t="str">
        <f>IF(OR(I.Developer.P1=FALSE,I.Facility.StandardPart="Part 2"),"Complete",IF(I.Product.P1GasToPowerStatus&lt;&gt;"Yes","Complete",IF(AND(I.Gas.P1Y1Count&gt;=24,F25752=""),"Incomplete","Complete")))</f>
        <v>Complete</v>
      </c>
      <c r="I25752" s="48" t="s">
        <v>931</v>
      </c>
    </row>
    <row r="25753" spans="2:9" ht="15" customHeight="1" x14ac:dyDescent="0.25">
      <c r="B25753" s="55" t="s">
        <v>361</v>
      </c>
      <c r="C25753" s="46">
        <v>25</v>
      </c>
      <c r="D25753" s="69" t="s">
        <v>29498</v>
      </c>
      <c r="E25753" s="62"/>
      <c r="F25753" s="62" t="str">
        <f>IF(INDEX(I.Gas.P1Y1C1E3,25)="","",INDEX(I.Gas.P1Y1C1E3,25))</f>
        <v/>
      </c>
      <c r="G25753" s="62"/>
      <c r="H25753" s="46" t="str">
        <f>IF(OR(I.Developer.P1=FALSE,I.Facility.StandardPart="Part 2"),"Complete",IF(I.Product.P1GasToPowerStatus&lt;&gt;"Yes","Complete",IF(AND(I.Gas.P1Y1Count&gt;=25,F25753=""),"Incomplete","Complete")))</f>
        <v>Complete</v>
      </c>
      <c r="I25753" s="48" t="s">
        <v>932</v>
      </c>
    </row>
    <row r="25754" spans="2:9" ht="15" customHeight="1" x14ac:dyDescent="0.25">
      <c r="B25754" s="55" t="s">
        <v>361</v>
      </c>
      <c r="C25754" s="46">
        <v>26</v>
      </c>
      <c r="D25754" s="69" t="s">
        <v>29498</v>
      </c>
      <c r="E25754" s="62"/>
      <c r="F25754" s="62" t="str">
        <f>IF(INDEX(I.Gas.P1Y1C1E3,26)="","",INDEX(I.Gas.P1Y1C1E3,26))</f>
        <v/>
      </c>
      <c r="G25754" s="62"/>
      <c r="H25754" s="46" t="str">
        <f>IF(OR(I.Developer.P1=FALSE,I.Facility.StandardPart="Part 2"),"Complete",IF(I.Product.P1GasToPowerStatus&lt;&gt;"Yes","Complete",IF(AND(I.Gas.P1Y1Count&gt;=26,F25754=""),"Incomplete","Complete")))</f>
        <v>Complete</v>
      </c>
      <c r="I25754" s="48" t="s">
        <v>933</v>
      </c>
    </row>
    <row r="25755" spans="2:9" ht="15" customHeight="1" x14ac:dyDescent="0.25">
      <c r="B25755" s="55" t="s">
        <v>361</v>
      </c>
      <c r="C25755" s="46">
        <v>27</v>
      </c>
      <c r="D25755" s="69" t="s">
        <v>29498</v>
      </c>
      <c r="E25755" s="62"/>
      <c r="F25755" s="62" t="str">
        <f>IF(INDEX(I.Gas.P1Y1C1E3,27)="","",INDEX(I.Gas.P1Y1C1E3,27))</f>
        <v/>
      </c>
      <c r="G25755" s="62"/>
      <c r="H25755" s="46" t="str">
        <f>IF(OR(I.Developer.P1=FALSE,I.Facility.StandardPart="Part 2"),"Complete",IF(I.Product.P1GasToPowerStatus&lt;&gt;"Yes","Complete",IF(AND(I.Gas.P1Y1Count&gt;=27,F25755=""),"Incomplete","Complete")))</f>
        <v>Complete</v>
      </c>
      <c r="I25755" s="48" t="s">
        <v>934</v>
      </c>
    </row>
    <row r="25756" spans="2:9" ht="15" customHeight="1" x14ac:dyDescent="0.25">
      <c r="B25756" s="55" t="s">
        <v>361</v>
      </c>
      <c r="C25756" s="46">
        <v>28</v>
      </c>
      <c r="D25756" s="69" t="s">
        <v>29498</v>
      </c>
      <c r="E25756" s="62"/>
      <c r="F25756" s="62" t="str">
        <f>IF(INDEX(I.Gas.P1Y1C1E3,28)="","",INDEX(I.Gas.P1Y1C1E3,28))</f>
        <v/>
      </c>
      <c r="G25756" s="62"/>
      <c r="H25756" s="46" t="str">
        <f>IF(OR(I.Developer.P1=FALSE,I.Facility.StandardPart="Part 2"),"Complete",IF(I.Product.P1GasToPowerStatus&lt;&gt;"Yes","Complete",IF(AND(I.Gas.P1Y1Count&gt;=28,F25756=""),"Incomplete","Complete")))</f>
        <v>Complete</v>
      </c>
      <c r="I25756" s="48" t="s">
        <v>935</v>
      </c>
    </row>
    <row r="25757" spans="2:9" ht="15" customHeight="1" x14ac:dyDescent="0.25">
      <c r="B25757" s="55" t="s">
        <v>361</v>
      </c>
      <c r="C25757" s="46">
        <v>29</v>
      </c>
      <c r="D25757" s="69" t="s">
        <v>29498</v>
      </c>
      <c r="E25757" s="62"/>
      <c r="F25757" s="62" t="str">
        <f>IF(INDEX(I.Gas.P1Y1C1E3,29)="","",INDEX(I.Gas.P1Y1C1E3,29))</f>
        <v/>
      </c>
      <c r="G25757" s="62"/>
      <c r="H25757" s="46" t="str">
        <f>IF(OR(I.Developer.P1=FALSE,I.Facility.StandardPart="Part 2"),"Complete",IF(I.Product.P1GasToPowerStatus&lt;&gt;"Yes","Complete",IF(AND(I.Gas.P1Y1Count&gt;=29,F25757=""),"Incomplete","Complete")))</f>
        <v>Complete</v>
      </c>
      <c r="I25757" s="48" t="s">
        <v>936</v>
      </c>
    </row>
    <row r="25758" spans="2:9" ht="15" customHeight="1" x14ac:dyDescent="0.25">
      <c r="B25758" s="55" t="s">
        <v>361</v>
      </c>
      <c r="C25758" s="46">
        <v>30</v>
      </c>
      <c r="D25758" s="69" t="s">
        <v>29498</v>
      </c>
      <c r="E25758" s="62"/>
      <c r="F25758" s="62" t="str">
        <f>IF(INDEX(I.Gas.P1Y1C1E3,30)="","",INDEX(I.Gas.P1Y1C1E3,30))</f>
        <v/>
      </c>
      <c r="G25758" s="62"/>
      <c r="H25758" s="46" t="str">
        <f>IF(OR(I.Developer.P1=FALSE,I.Facility.StandardPart="Part 2"),"Complete",IF(I.Product.P1GasToPowerStatus&lt;&gt;"Yes","Complete",IF(AND(I.Gas.P1Y1Count&gt;=30,F25758=""),"Incomplete","Complete")))</f>
        <v>Complete</v>
      </c>
      <c r="I25758" s="48" t="s">
        <v>937</v>
      </c>
    </row>
    <row r="25759" spans="2:9" ht="15" customHeight="1" x14ac:dyDescent="0.25">
      <c r="B25759" s="55" t="s">
        <v>361</v>
      </c>
      <c r="C25759" s="46">
        <v>31</v>
      </c>
      <c r="D25759" s="69" t="s">
        <v>29498</v>
      </c>
      <c r="E25759" s="62"/>
      <c r="F25759" s="62" t="str">
        <f>IF(INDEX(I.Gas.P1Y1C1E3,31)="","",INDEX(I.Gas.P1Y1C1E3,31))</f>
        <v/>
      </c>
      <c r="G25759" s="62"/>
      <c r="H25759" s="46" t="str">
        <f>IF(OR(I.Developer.P1=FALSE,I.Facility.StandardPart="Part 2"),"Complete",IF(I.Product.P1GasToPowerStatus&lt;&gt;"Yes","Complete",IF(AND(I.Gas.P1Y1Count&gt;=31,F25759=""),"Incomplete","Complete")))</f>
        <v>Complete</v>
      </c>
      <c r="I25759" s="48" t="s">
        <v>938</v>
      </c>
    </row>
    <row r="25760" spans="2:9" ht="15" customHeight="1" x14ac:dyDescent="0.25">
      <c r="B25760" s="55" t="s">
        <v>361</v>
      </c>
      <c r="C25760" s="46">
        <v>32</v>
      </c>
      <c r="D25760" s="69" t="s">
        <v>29498</v>
      </c>
      <c r="E25760" s="62"/>
      <c r="F25760" s="62" t="str">
        <f>IF(INDEX(I.Gas.P1Y1C1E3,32)="","",INDEX(I.Gas.P1Y1C1E3,32))</f>
        <v/>
      </c>
      <c r="G25760" s="62"/>
      <c r="H25760" s="46" t="str">
        <f>IF(OR(I.Developer.P1=FALSE,I.Facility.StandardPart="Part 2"),"Complete",IF(I.Product.P1GasToPowerStatus&lt;&gt;"Yes","Complete",IF(AND(I.Gas.P1Y1Count&gt;=32,F25760=""),"Incomplete","Complete")))</f>
        <v>Complete</v>
      </c>
      <c r="I25760" s="48" t="s">
        <v>939</v>
      </c>
    </row>
    <row r="25761" spans="2:9" ht="15" customHeight="1" x14ac:dyDescent="0.25">
      <c r="B25761" s="55" t="s">
        <v>361</v>
      </c>
      <c r="C25761" s="46">
        <v>33</v>
      </c>
      <c r="D25761" s="69" t="s">
        <v>29498</v>
      </c>
      <c r="E25761" s="62"/>
      <c r="F25761" s="62" t="str">
        <f>IF(INDEX(I.Gas.P1Y1C1E3,33)="","",INDEX(I.Gas.P1Y1C1E3,33))</f>
        <v/>
      </c>
      <c r="G25761" s="62"/>
      <c r="H25761" s="46" t="str">
        <f>IF(OR(I.Developer.P1=FALSE,I.Facility.StandardPart="Part 2"),"Complete",IF(I.Product.P1GasToPowerStatus&lt;&gt;"Yes","Complete",IF(AND(I.Gas.P1Y1Count&gt;=33,F25761=""),"Incomplete","Complete")))</f>
        <v>Complete</v>
      </c>
      <c r="I25761" s="48" t="s">
        <v>940</v>
      </c>
    </row>
    <row r="25762" spans="2:9" ht="15" customHeight="1" x14ac:dyDescent="0.25">
      <c r="B25762" s="55" t="s">
        <v>361</v>
      </c>
      <c r="C25762" s="46">
        <v>34</v>
      </c>
      <c r="D25762" s="69" t="s">
        <v>29498</v>
      </c>
      <c r="E25762" s="62"/>
      <c r="F25762" s="62" t="str">
        <f>IF(INDEX(I.Gas.P1Y1C1E3,34)="","",INDEX(I.Gas.P1Y1C1E3,34))</f>
        <v/>
      </c>
      <c r="G25762" s="62"/>
      <c r="H25762" s="46" t="str">
        <f>IF(OR(I.Developer.P1=FALSE,I.Facility.StandardPart="Part 2"),"Complete",IF(I.Product.P1GasToPowerStatus&lt;&gt;"Yes","Complete",IF(AND(I.Gas.P1Y1Count&gt;=34,F25762=""),"Incomplete","Complete")))</f>
        <v>Complete</v>
      </c>
      <c r="I25762" s="48" t="s">
        <v>941</v>
      </c>
    </row>
    <row r="25763" spans="2:9" ht="15" customHeight="1" x14ac:dyDescent="0.25">
      <c r="B25763" s="55" t="s">
        <v>361</v>
      </c>
      <c r="C25763" s="46">
        <v>35</v>
      </c>
      <c r="D25763" s="69" t="s">
        <v>29498</v>
      </c>
      <c r="E25763" s="62"/>
      <c r="F25763" s="62" t="str">
        <f>IF(INDEX(I.Gas.P1Y1C1E3,35)="","",INDEX(I.Gas.P1Y1C1E3,35))</f>
        <v/>
      </c>
      <c r="G25763" s="62"/>
      <c r="H25763" s="46" t="str">
        <f>IF(OR(I.Developer.P1=FALSE,I.Facility.StandardPart="Part 2"),"Complete",IF(I.Product.P1GasToPowerStatus&lt;&gt;"Yes","Complete",IF(AND(I.Gas.P1Y1Count&gt;=35,F25763=""),"Incomplete","Complete")))</f>
        <v>Complete</v>
      </c>
      <c r="I25763" s="48" t="s">
        <v>942</v>
      </c>
    </row>
    <row r="25764" spans="2:9" ht="15" customHeight="1" x14ac:dyDescent="0.25">
      <c r="B25764" s="55" t="s">
        <v>361</v>
      </c>
      <c r="C25764" s="46">
        <v>36</v>
      </c>
      <c r="D25764" s="69" t="s">
        <v>29498</v>
      </c>
      <c r="E25764" s="62"/>
      <c r="F25764" s="62" t="str">
        <f>IF(INDEX(I.Gas.P1Y1C1E3,36)="","",INDEX(I.Gas.P1Y1C1E3,36))</f>
        <v/>
      </c>
      <c r="G25764" s="62"/>
      <c r="H25764" s="46" t="str">
        <f>IF(OR(I.Developer.P1=FALSE,I.Facility.StandardPart="Part 2"),"Complete",IF(I.Product.P1GasToPowerStatus&lt;&gt;"Yes","Complete",IF(AND(I.Gas.P1Y1Count&gt;=36,F25764=""),"Incomplete","Complete")))</f>
        <v>Complete</v>
      </c>
      <c r="I25764" s="48" t="s">
        <v>943</v>
      </c>
    </row>
    <row r="25765" spans="2:9" ht="15" customHeight="1" x14ac:dyDescent="0.25">
      <c r="B25765" s="55" t="s">
        <v>361</v>
      </c>
      <c r="C25765" s="46">
        <v>37</v>
      </c>
      <c r="D25765" s="69" t="s">
        <v>29498</v>
      </c>
      <c r="E25765" s="62"/>
      <c r="F25765" s="62" t="str">
        <f>IF(INDEX(I.Gas.P1Y1C1E3,37)="","",INDEX(I.Gas.P1Y1C1E3,37))</f>
        <v/>
      </c>
      <c r="G25765" s="62"/>
      <c r="H25765" s="46" t="str">
        <f>IF(OR(I.Developer.P1=FALSE,I.Facility.StandardPart="Part 2"),"Complete",IF(I.Product.P1GasToPowerStatus&lt;&gt;"Yes","Complete",IF(AND(I.Gas.P1Y1Count&gt;=37,F25765=""),"Incomplete","Complete")))</f>
        <v>Complete</v>
      </c>
      <c r="I25765" s="48" t="s">
        <v>944</v>
      </c>
    </row>
    <row r="25766" spans="2:9" ht="15" customHeight="1" x14ac:dyDescent="0.25">
      <c r="B25766" s="55" t="s">
        <v>361</v>
      </c>
      <c r="C25766" s="46">
        <v>38</v>
      </c>
      <c r="D25766" s="69" t="s">
        <v>29498</v>
      </c>
      <c r="E25766" s="62"/>
      <c r="F25766" s="62" t="str">
        <f>IF(INDEX(I.Gas.P1Y1C1E3,38)="","",INDEX(I.Gas.P1Y1C1E3,38))</f>
        <v/>
      </c>
      <c r="G25766" s="62"/>
      <c r="H25766" s="46" t="str">
        <f>IF(OR(I.Developer.P1=FALSE,I.Facility.StandardPart="Part 2"),"Complete",IF(I.Product.P1GasToPowerStatus&lt;&gt;"Yes","Complete",IF(AND(I.Gas.P1Y1Count&gt;=38,F25766=""),"Incomplete","Complete")))</f>
        <v>Complete</v>
      </c>
      <c r="I25766" s="48" t="s">
        <v>945</v>
      </c>
    </row>
    <row r="25767" spans="2:9" ht="15" customHeight="1" x14ac:dyDescent="0.25">
      <c r="B25767" s="55" t="s">
        <v>361</v>
      </c>
      <c r="C25767" s="46">
        <v>39</v>
      </c>
      <c r="D25767" s="69" t="s">
        <v>29498</v>
      </c>
      <c r="E25767" s="62"/>
      <c r="F25767" s="62" t="str">
        <f>IF(INDEX(I.Gas.P1Y1C1E3,39)="","",INDEX(I.Gas.P1Y1C1E3,39))</f>
        <v/>
      </c>
      <c r="G25767" s="62"/>
      <c r="H25767" s="46" t="str">
        <f>IF(OR(I.Developer.P1=FALSE,I.Facility.StandardPart="Part 2"),"Complete",IF(I.Product.P1GasToPowerStatus&lt;&gt;"Yes","Complete",IF(AND(I.Gas.P1Y1Count&gt;=39,F25767=""),"Incomplete","Complete")))</f>
        <v>Complete</v>
      </c>
      <c r="I25767" s="48" t="s">
        <v>946</v>
      </c>
    </row>
    <row r="25768" spans="2:9" ht="15" customHeight="1" x14ac:dyDescent="0.25">
      <c r="B25768" s="55" t="s">
        <v>361</v>
      </c>
      <c r="C25768" s="46">
        <v>40</v>
      </c>
      <c r="D25768" s="69" t="s">
        <v>29498</v>
      </c>
      <c r="E25768" s="62"/>
      <c r="F25768" s="62" t="str">
        <f>IF(INDEX(I.Gas.P1Y1C1E3,40)="","",INDEX(I.Gas.P1Y1C1E3,40))</f>
        <v/>
      </c>
      <c r="G25768" s="62"/>
      <c r="H25768" s="46" t="str">
        <f>IF(OR(I.Developer.P1=FALSE,I.Facility.StandardPart="Part 2"),"Complete",IF(I.Product.P1GasToPowerStatus&lt;&gt;"Yes","Complete",IF(AND(I.Gas.P1Y1Count&gt;=40,F25768=""),"Incomplete","Complete")))</f>
        <v>Complete</v>
      </c>
      <c r="I25768" s="48" t="s">
        <v>947</v>
      </c>
    </row>
    <row r="25769" spans="2:9" ht="15" customHeight="1" x14ac:dyDescent="0.25">
      <c r="B25769" s="55" t="s">
        <v>361</v>
      </c>
      <c r="C25769" s="46">
        <v>41</v>
      </c>
      <c r="D25769" s="69" t="s">
        <v>29498</v>
      </c>
      <c r="E25769" s="62"/>
      <c r="F25769" s="62" t="str">
        <f>IF(INDEX(I.Gas.P1Y1C1E3,41)="","",INDEX(I.Gas.P1Y1C1E3,41))</f>
        <v/>
      </c>
      <c r="G25769" s="62"/>
      <c r="H25769" s="46" t="str">
        <f>IF(OR(I.Developer.P1=FALSE,I.Facility.StandardPart="Part 2"),"Complete",IF(I.Product.P1GasToPowerStatus&lt;&gt;"Yes","Complete",IF(AND(I.Gas.P1Y1Count&gt;=41,F25769=""),"Incomplete","Complete")))</f>
        <v>Complete</v>
      </c>
      <c r="I25769" s="48" t="s">
        <v>948</v>
      </c>
    </row>
    <row r="25770" spans="2:9" ht="15" customHeight="1" x14ac:dyDescent="0.25">
      <c r="B25770" s="55" t="s">
        <v>361</v>
      </c>
      <c r="C25770" s="46">
        <v>42</v>
      </c>
      <c r="D25770" s="69" t="s">
        <v>29498</v>
      </c>
      <c r="E25770" s="62"/>
      <c r="F25770" s="62" t="str">
        <f>IF(INDEX(I.Gas.P1Y1C1E3,42)="","",INDEX(I.Gas.P1Y1C1E3,42))</f>
        <v/>
      </c>
      <c r="G25770" s="62"/>
      <c r="H25770" s="46" t="str">
        <f>IF(OR(I.Developer.P1=FALSE,I.Facility.StandardPart="Part 2"),"Complete",IF(I.Product.P1GasToPowerStatus&lt;&gt;"Yes","Complete",IF(AND(I.Gas.P1Y1Count&gt;=42,F25770=""),"Incomplete","Complete")))</f>
        <v>Complete</v>
      </c>
      <c r="I25770" s="48" t="s">
        <v>949</v>
      </c>
    </row>
    <row r="25771" spans="2:9" ht="15" customHeight="1" x14ac:dyDescent="0.25">
      <c r="B25771" s="55" t="s">
        <v>361</v>
      </c>
      <c r="C25771" s="46">
        <v>43</v>
      </c>
      <c r="D25771" s="69" t="s">
        <v>29498</v>
      </c>
      <c r="E25771" s="62"/>
      <c r="F25771" s="62" t="str">
        <f>IF(INDEX(I.Gas.P1Y1C1E3,43)="","",INDEX(I.Gas.P1Y1C1E3,43))</f>
        <v/>
      </c>
      <c r="G25771" s="62"/>
      <c r="H25771" s="46" t="str">
        <f>IF(OR(I.Developer.P1=FALSE,I.Facility.StandardPart="Part 2"),"Complete",IF(I.Product.P1GasToPowerStatus&lt;&gt;"Yes","Complete",IF(AND(I.Gas.P1Y1Count&gt;=43,F25771=""),"Incomplete","Complete")))</f>
        <v>Complete</v>
      </c>
      <c r="I25771" s="48" t="s">
        <v>950</v>
      </c>
    </row>
    <row r="25772" spans="2:9" ht="15" customHeight="1" x14ac:dyDescent="0.25">
      <c r="B25772" s="55" t="s">
        <v>361</v>
      </c>
      <c r="C25772" s="46">
        <v>44</v>
      </c>
      <c r="D25772" s="69" t="s">
        <v>29498</v>
      </c>
      <c r="E25772" s="62"/>
      <c r="F25772" s="62" t="str">
        <f>IF(INDEX(I.Gas.P1Y1C1E3,44)="","",INDEX(I.Gas.P1Y1C1E3,44))</f>
        <v/>
      </c>
      <c r="G25772" s="62"/>
      <c r="H25772" s="46" t="str">
        <f>IF(OR(I.Developer.P1=FALSE,I.Facility.StandardPart="Part 2"),"Complete",IF(I.Product.P1GasToPowerStatus&lt;&gt;"Yes","Complete",IF(AND(I.Gas.P1Y1Count&gt;=44,F25772=""),"Incomplete","Complete")))</f>
        <v>Complete</v>
      </c>
      <c r="I25772" s="48" t="s">
        <v>951</v>
      </c>
    </row>
    <row r="25773" spans="2:9" ht="15" customHeight="1" x14ac:dyDescent="0.25">
      <c r="B25773" s="55" t="s">
        <v>361</v>
      </c>
      <c r="C25773" s="46">
        <v>45</v>
      </c>
      <c r="D25773" s="69" t="s">
        <v>29498</v>
      </c>
      <c r="E25773" s="62"/>
      <c r="F25773" s="62" t="str">
        <f>IF(INDEX(I.Gas.P1Y1C1E3,45)="","",INDEX(I.Gas.P1Y1C1E3,45))</f>
        <v/>
      </c>
      <c r="G25773" s="62"/>
      <c r="H25773" s="46" t="str">
        <f>IF(OR(I.Developer.P1=FALSE,I.Facility.StandardPart="Part 2"),"Complete",IF(I.Product.P1GasToPowerStatus&lt;&gt;"Yes","Complete",IF(AND(I.Gas.P1Y1Count&gt;=45,F25773=""),"Incomplete","Complete")))</f>
        <v>Complete</v>
      </c>
      <c r="I25773" s="48" t="s">
        <v>952</v>
      </c>
    </row>
    <row r="25774" spans="2:9" ht="15" customHeight="1" x14ac:dyDescent="0.25">
      <c r="B25774" s="55" t="s">
        <v>361</v>
      </c>
      <c r="C25774" s="46">
        <v>46</v>
      </c>
      <c r="D25774" s="69" t="s">
        <v>29498</v>
      </c>
      <c r="E25774" s="62"/>
      <c r="F25774" s="62" t="str">
        <f>IF(INDEX(I.Gas.P1Y1C1E3,46)="","",INDEX(I.Gas.P1Y1C1E3,46))</f>
        <v/>
      </c>
      <c r="G25774" s="62"/>
      <c r="H25774" s="46" t="str">
        <f>IF(OR(I.Developer.P1=FALSE,I.Facility.StandardPart="Part 2"),"Complete",IF(I.Product.P1GasToPowerStatus&lt;&gt;"Yes","Complete",IF(AND(I.Gas.P1Y1Count&gt;=46,F25774=""),"Incomplete","Complete")))</f>
        <v>Complete</v>
      </c>
      <c r="I25774" s="48" t="s">
        <v>953</v>
      </c>
    </row>
    <row r="25775" spans="2:9" ht="15" customHeight="1" x14ac:dyDescent="0.25">
      <c r="B25775" s="55" t="s">
        <v>361</v>
      </c>
      <c r="C25775" s="46">
        <v>47</v>
      </c>
      <c r="D25775" s="69" t="s">
        <v>29498</v>
      </c>
      <c r="E25775" s="62"/>
      <c r="F25775" s="62" t="str">
        <f>IF(INDEX(I.Gas.P1Y1C1E3,47)="","",INDEX(I.Gas.P1Y1C1E3,47))</f>
        <v/>
      </c>
      <c r="G25775" s="62"/>
      <c r="H25775" s="46" t="str">
        <f>IF(OR(I.Developer.P1=FALSE,I.Facility.StandardPart="Part 2"),"Complete",IF(I.Product.P1GasToPowerStatus&lt;&gt;"Yes","Complete",IF(AND(I.Gas.P1Y1Count&gt;=47,F25775=""),"Incomplete","Complete")))</f>
        <v>Complete</v>
      </c>
      <c r="I25775" s="48" t="s">
        <v>954</v>
      </c>
    </row>
    <row r="25776" spans="2:9" ht="15" customHeight="1" x14ac:dyDescent="0.25">
      <c r="B25776" s="55" t="s">
        <v>361</v>
      </c>
      <c r="C25776" s="46">
        <v>48</v>
      </c>
      <c r="D25776" s="69" t="s">
        <v>29498</v>
      </c>
      <c r="E25776" s="62"/>
      <c r="F25776" s="62" t="str">
        <f>IF(INDEX(I.Gas.P1Y1C1E3,48)="","",INDEX(I.Gas.P1Y1C1E3,48))</f>
        <v/>
      </c>
      <c r="G25776" s="62"/>
      <c r="H25776" s="46" t="str">
        <f>IF(OR(I.Developer.P1=FALSE,I.Facility.StandardPart="Part 2"),"Complete",IF(I.Product.P1GasToPowerStatus&lt;&gt;"Yes","Complete",IF(AND(I.Gas.P1Y1Count&gt;=48,F25776=""),"Incomplete","Complete")))</f>
        <v>Complete</v>
      </c>
      <c r="I25776" s="48" t="s">
        <v>955</v>
      </c>
    </row>
    <row r="25777" spans="2:9" ht="15" customHeight="1" x14ac:dyDescent="0.25">
      <c r="B25777" s="55" t="s">
        <v>361</v>
      </c>
      <c r="C25777" s="46">
        <v>49</v>
      </c>
      <c r="D25777" s="69" t="s">
        <v>29498</v>
      </c>
      <c r="E25777" s="62"/>
      <c r="F25777" s="62" t="str">
        <f>IF(INDEX(I.Gas.P1Y1C1E3,49)="","",INDEX(I.Gas.P1Y1C1E3,49))</f>
        <v/>
      </c>
      <c r="G25777" s="62"/>
      <c r="H25777" s="46" t="str">
        <f>IF(OR(I.Developer.P1=FALSE,I.Facility.StandardPart="Part 2"),"Complete",IF(I.Product.P1GasToPowerStatus&lt;&gt;"Yes","Complete",IF(AND(I.Gas.P1Y1Count&gt;=49,F25777=""),"Incomplete","Complete")))</f>
        <v>Complete</v>
      </c>
      <c r="I25777" s="48" t="s">
        <v>956</v>
      </c>
    </row>
    <row r="25778" spans="2:9" ht="15" customHeight="1" x14ac:dyDescent="0.25">
      <c r="B25778" s="56" t="s">
        <v>361</v>
      </c>
      <c r="C25778" s="57">
        <v>50</v>
      </c>
      <c r="D25778" s="71" t="s">
        <v>29498</v>
      </c>
      <c r="E25778" s="61"/>
      <c r="F25778" s="61" t="str">
        <f>IF(INDEX(I.Gas.P1Y1C1E3,50)="","",INDEX(I.Gas.P1Y1C1E3,50))</f>
        <v/>
      </c>
      <c r="G25778" s="61"/>
      <c r="H25778" s="57" t="str">
        <f>IF(OR(I.Developer.P1=FALSE,I.Facility.StandardPart="Part 2"),"Complete",IF(I.Product.P1GasToPowerStatus&lt;&gt;"Yes","Complete",IF(AND(I.Gas.P1Y1Count&gt;=50,F25778=""),"Incomplete","Complete")))</f>
        <v>Complete</v>
      </c>
      <c r="I25778" s="49" t="s">
        <v>957</v>
      </c>
    </row>
    <row r="25779" spans="2:9" ht="15" customHeight="1" x14ac:dyDescent="0.25">
      <c r="B25779" s="56" t="s">
        <v>362</v>
      </c>
      <c r="C25779" s="57">
        <v>1</v>
      </c>
      <c r="D25779" s="71" t="s">
        <v>29499</v>
      </c>
      <c r="E25779" s="60"/>
      <c r="F25779" s="60" t="str">
        <f>IF(INDEX(I.Gas.P1Y2Count,1)="","",INDEX(I.Gas.P1Y2Count,1))</f>
        <v/>
      </c>
      <c r="G25779" s="60"/>
      <c r="H25779" s="57" t="str">
        <f>IF(I.Developer.P1=FALSE,"Complete",IF(I.Product.P1GasToPowerStatus&lt;&gt;"Yes","Complete",IF(I.Gas.P1Y2Count="","Incomplete","Complete")))</f>
        <v>Complete</v>
      </c>
      <c r="I25779" s="49" t="s">
        <v>958</v>
      </c>
    </row>
    <row r="25780" spans="2:9" ht="15" customHeight="1" x14ac:dyDescent="0.25">
      <c r="B25780" s="55" t="s">
        <v>363</v>
      </c>
      <c r="C25780" s="46">
        <v>1</v>
      </c>
      <c r="D25780" s="69" t="s">
        <v>29500</v>
      </c>
      <c r="E25780" s="62"/>
      <c r="F25780" s="62" t="str">
        <f>IF(INDEX(I.Gas.P1Y2AssociatedGasEnergy,1)="","",INDEX(I.Gas.P1Y2AssociatedGasEnergy,1))</f>
        <v/>
      </c>
      <c r="G25780" s="62"/>
      <c r="H25780" s="46" t="str">
        <f>IF(I.Developer.P1=FALSE,"Complete",IF(I.Product.P1GasToPowerStatus&lt;&gt;"Yes","Complete",IF(AND(I.Gas.P1Y2Count&gt;=1,F25780=""),"Incomplete","Complete")))</f>
        <v>Complete</v>
      </c>
      <c r="I25780" s="48" t="s">
        <v>959</v>
      </c>
    </row>
    <row r="25781" spans="2:9" ht="15" customHeight="1" x14ac:dyDescent="0.25">
      <c r="B25781" s="55" t="s">
        <v>363</v>
      </c>
      <c r="C25781" s="46">
        <v>2</v>
      </c>
      <c r="D25781" s="69" t="s">
        <v>29500</v>
      </c>
      <c r="E25781" s="62"/>
      <c r="F25781" s="62" t="str">
        <f>IF(INDEX(I.Gas.P1Y2AssociatedGasEnergy,2)="","",INDEX(I.Gas.P1Y2AssociatedGasEnergy,2))</f>
        <v/>
      </c>
      <c r="G25781" s="62"/>
      <c r="H25781" s="46" t="str">
        <f>IF(I.Developer.P1=FALSE,"Complete",IF(I.Product.P1GasToPowerStatus&lt;&gt;"Yes","Complete",IF(AND(I.Gas.P1Y2Count&gt;=2,F25781=""),"Incomplete","Complete")))</f>
        <v>Complete</v>
      </c>
      <c r="I25781" s="48" t="s">
        <v>960</v>
      </c>
    </row>
    <row r="25782" spans="2:9" ht="15" customHeight="1" x14ac:dyDescent="0.25">
      <c r="B25782" s="55" t="s">
        <v>363</v>
      </c>
      <c r="C25782" s="46">
        <v>3</v>
      </c>
      <c r="D25782" s="69" t="s">
        <v>29500</v>
      </c>
      <c r="E25782" s="62"/>
      <c r="F25782" s="62" t="str">
        <f>IF(INDEX(I.Gas.P1Y2AssociatedGasEnergy,3)="","",INDEX(I.Gas.P1Y2AssociatedGasEnergy,3))</f>
        <v/>
      </c>
      <c r="G25782" s="62"/>
      <c r="H25782" s="46" t="str">
        <f>IF(I.Developer.P1=FALSE,"Complete",IF(I.Product.P1GasToPowerStatus&lt;&gt;"Yes","Complete",IF(AND(I.Gas.P1Y2Count&gt;=3,F25782=""),"Incomplete","Complete")))</f>
        <v>Complete</v>
      </c>
      <c r="I25782" s="48" t="s">
        <v>961</v>
      </c>
    </row>
    <row r="25783" spans="2:9" ht="15" customHeight="1" x14ac:dyDescent="0.25">
      <c r="B25783" s="55" t="s">
        <v>363</v>
      </c>
      <c r="C25783" s="46">
        <v>4</v>
      </c>
      <c r="D25783" s="69" t="s">
        <v>29500</v>
      </c>
      <c r="E25783" s="62"/>
      <c r="F25783" s="62" t="str">
        <f>IF(INDEX(I.Gas.P1Y2AssociatedGasEnergy,4)="","",INDEX(I.Gas.P1Y2AssociatedGasEnergy,4))</f>
        <v/>
      </c>
      <c r="G25783" s="62"/>
      <c r="H25783" s="46" t="str">
        <f>IF(I.Developer.P1=FALSE,"Complete",IF(I.Product.P1GasToPowerStatus&lt;&gt;"Yes","Complete",IF(AND(I.Gas.P1Y2Count&gt;=4,F25783=""),"Incomplete","Complete")))</f>
        <v>Complete</v>
      </c>
      <c r="I25783" s="48" t="s">
        <v>962</v>
      </c>
    </row>
    <row r="25784" spans="2:9" ht="15" customHeight="1" x14ac:dyDescent="0.25">
      <c r="B25784" s="55" t="s">
        <v>363</v>
      </c>
      <c r="C25784" s="46">
        <v>5</v>
      </c>
      <c r="D25784" s="69" t="s">
        <v>29500</v>
      </c>
      <c r="E25784" s="62"/>
      <c r="F25784" s="62" t="str">
        <f>IF(INDEX(I.Gas.P1Y2AssociatedGasEnergy,5)="","",INDEX(I.Gas.P1Y2AssociatedGasEnergy,5))</f>
        <v/>
      </c>
      <c r="G25784" s="62"/>
      <c r="H25784" s="46" t="str">
        <f>IF(I.Developer.P1=FALSE,"Complete",IF(I.Product.P1GasToPowerStatus&lt;&gt;"Yes","Complete",IF(AND(I.Gas.P1Y2Count&gt;=5,F25784=""),"Incomplete","Complete")))</f>
        <v>Complete</v>
      </c>
      <c r="I25784" s="48" t="s">
        <v>963</v>
      </c>
    </row>
    <row r="25785" spans="2:9" ht="15" customHeight="1" x14ac:dyDescent="0.25">
      <c r="B25785" s="55" t="s">
        <v>363</v>
      </c>
      <c r="C25785" s="46">
        <v>6</v>
      </c>
      <c r="D25785" s="69" t="s">
        <v>29500</v>
      </c>
      <c r="E25785" s="62"/>
      <c r="F25785" s="62" t="str">
        <f>IF(INDEX(I.Gas.P1Y2AssociatedGasEnergy,6)="","",INDEX(I.Gas.P1Y2AssociatedGasEnergy,6))</f>
        <v/>
      </c>
      <c r="G25785" s="62"/>
      <c r="H25785" s="46" t="str">
        <f>IF(I.Developer.P1=FALSE,"Complete",IF(I.Product.P1GasToPowerStatus&lt;&gt;"Yes","Complete",IF(AND(I.Gas.P1Y2Count&gt;=6,F25785=""),"Incomplete","Complete")))</f>
        <v>Complete</v>
      </c>
      <c r="I25785" s="48" t="s">
        <v>964</v>
      </c>
    </row>
    <row r="25786" spans="2:9" ht="15" customHeight="1" x14ac:dyDescent="0.25">
      <c r="B25786" s="55" t="s">
        <v>363</v>
      </c>
      <c r="C25786" s="46">
        <v>7</v>
      </c>
      <c r="D25786" s="69" t="s">
        <v>29500</v>
      </c>
      <c r="E25786" s="62"/>
      <c r="F25786" s="62" t="str">
        <f>IF(INDEX(I.Gas.P1Y2AssociatedGasEnergy,7)="","",INDEX(I.Gas.P1Y2AssociatedGasEnergy,7))</f>
        <v/>
      </c>
      <c r="G25786" s="62"/>
      <c r="H25786" s="46" t="str">
        <f>IF(I.Developer.P1=FALSE,"Complete",IF(I.Product.P1GasToPowerStatus&lt;&gt;"Yes","Complete",IF(AND(I.Gas.P1Y2Count&gt;=7,F25786=""),"Incomplete","Complete")))</f>
        <v>Complete</v>
      </c>
      <c r="I25786" s="48" t="s">
        <v>965</v>
      </c>
    </row>
    <row r="25787" spans="2:9" ht="15" customHeight="1" x14ac:dyDescent="0.25">
      <c r="B25787" s="55" t="s">
        <v>363</v>
      </c>
      <c r="C25787" s="46">
        <v>8</v>
      </c>
      <c r="D25787" s="69" t="s">
        <v>29500</v>
      </c>
      <c r="E25787" s="62"/>
      <c r="F25787" s="62" t="str">
        <f>IF(INDEX(I.Gas.P1Y2AssociatedGasEnergy,8)="","",INDEX(I.Gas.P1Y2AssociatedGasEnergy,8))</f>
        <v/>
      </c>
      <c r="G25787" s="62"/>
      <c r="H25787" s="46" t="str">
        <f>IF(I.Developer.P1=FALSE,"Complete",IF(I.Product.P1GasToPowerStatus&lt;&gt;"Yes","Complete",IF(AND(I.Gas.P1Y2Count&gt;=8,F25787=""),"Incomplete","Complete")))</f>
        <v>Complete</v>
      </c>
      <c r="I25787" s="48" t="s">
        <v>966</v>
      </c>
    </row>
    <row r="25788" spans="2:9" ht="15" customHeight="1" x14ac:dyDescent="0.25">
      <c r="B25788" s="55" t="s">
        <v>363</v>
      </c>
      <c r="C25788" s="46">
        <v>9</v>
      </c>
      <c r="D25788" s="69" t="s">
        <v>29500</v>
      </c>
      <c r="E25788" s="62"/>
      <c r="F25788" s="62" t="str">
        <f>IF(INDEX(I.Gas.P1Y2AssociatedGasEnergy,9)="","",INDEX(I.Gas.P1Y2AssociatedGasEnergy,9))</f>
        <v/>
      </c>
      <c r="G25788" s="62"/>
      <c r="H25788" s="46" t="str">
        <f>IF(I.Developer.P1=FALSE,"Complete",IF(I.Product.P1GasToPowerStatus&lt;&gt;"Yes","Complete",IF(AND(I.Gas.P1Y2Count&gt;=9,F25788=""),"Incomplete","Complete")))</f>
        <v>Complete</v>
      </c>
      <c r="I25788" s="48" t="s">
        <v>967</v>
      </c>
    </row>
    <row r="25789" spans="2:9" ht="15" customHeight="1" x14ac:dyDescent="0.25">
      <c r="B25789" s="55" t="s">
        <v>363</v>
      </c>
      <c r="C25789" s="46">
        <v>10</v>
      </c>
      <c r="D25789" s="69" t="s">
        <v>29500</v>
      </c>
      <c r="E25789" s="62"/>
      <c r="F25789" s="62" t="str">
        <f>IF(INDEX(I.Gas.P1Y2AssociatedGasEnergy,10)="","",INDEX(I.Gas.P1Y2AssociatedGasEnergy,10))</f>
        <v/>
      </c>
      <c r="G25789" s="62"/>
      <c r="H25789" s="46" t="str">
        <f>IF(I.Developer.P1=FALSE,"Complete",IF(I.Product.P1GasToPowerStatus&lt;&gt;"Yes","Complete",IF(AND(I.Gas.P1Y2Count&gt;=10,F25789=""),"Incomplete","Complete")))</f>
        <v>Complete</v>
      </c>
      <c r="I25789" s="48" t="s">
        <v>968</v>
      </c>
    </row>
    <row r="25790" spans="2:9" ht="15" customHeight="1" x14ac:dyDescent="0.25">
      <c r="B25790" s="55" t="s">
        <v>363</v>
      </c>
      <c r="C25790" s="46">
        <v>11</v>
      </c>
      <c r="D25790" s="69" t="s">
        <v>29500</v>
      </c>
      <c r="E25790" s="62"/>
      <c r="F25790" s="62" t="str">
        <f>IF(INDEX(I.Gas.P1Y2AssociatedGasEnergy,11)="","",INDEX(I.Gas.P1Y2AssociatedGasEnergy,11))</f>
        <v/>
      </c>
      <c r="G25790" s="62"/>
      <c r="H25790" s="46" t="str">
        <f>IF(I.Developer.P1=FALSE,"Complete",IF(I.Product.P1GasToPowerStatus&lt;&gt;"Yes","Complete",IF(AND(I.Gas.P1Y2Count&gt;=11,F25790=""),"Incomplete","Complete")))</f>
        <v>Complete</v>
      </c>
      <c r="I25790" s="48" t="s">
        <v>969</v>
      </c>
    </row>
    <row r="25791" spans="2:9" ht="15" customHeight="1" x14ac:dyDescent="0.25">
      <c r="B25791" s="55" t="s">
        <v>363</v>
      </c>
      <c r="C25791" s="46">
        <v>12</v>
      </c>
      <c r="D25791" s="69" t="s">
        <v>29500</v>
      </c>
      <c r="E25791" s="62"/>
      <c r="F25791" s="62" t="str">
        <f>IF(INDEX(I.Gas.P1Y2AssociatedGasEnergy,12)="","",INDEX(I.Gas.P1Y2AssociatedGasEnergy,12))</f>
        <v/>
      </c>
      <c r="G25791" s="62"/>
      <c r="H25791" s="46" t="str">
        <f>IF(I.Developer.P1=FALSE,"Complete",IF(I.Product.P1GasToPowerStatus&lt;&gt;"Yes","Complete",IF(AND(I.Gas.P1Y2Count&gt;=12,F25791=""),"Incomplete","Complete")))</f>
        <v>Complete</v>
      </c>
      <c r="I25791" s="48" t="s">
        <v>970</v>
      </c>
    </row>
    <row r="25792" spans="2:9" ht="15" customHeight="1" x14ac:dyDescent="0.25">
      <c r="B25792" s="55" t="s">
        <v>363</v>
      </c>
      <c r="C25792" s="46">
        <v>13</v>
      </c>
      <c r="D25792" s="69" t="s">
        <v>29500</v>
      </c>
      <c r="E25792" s="62"/>
      <c r="F25792" s="62" t="str">
        <f>IF(INDEX(I.Gas.P1Y2AssociatedGasEnergy,13)="","",INDEX(I.Gas.P1Y2AssociatedGasEnergy,13))</f>
        <v/>
      </c>
      <c r="G25792" s="62"/>
      <c r="H25792" s="46" t="str">
        <f>IF(I.Developer.P1=FALSE,"Complete",IF(I.Product.P1GasToPowerStatus&lt;&gt;"Yes","Complete",IF(AND(I.Gas.P1Y2Count&gt;=13,F25792=""),"Incomplete","Complete")))</f>
        <v>Complete</v>
      </c>
      <c r="I25792" s="48" t="s">
        <v>971</v>
      </c>
    </row>
    <row r="25793" spans="2:9" ht="15" customHeight="1" x14ac:dyDescent="0.25">
      <c r="B25793" s="55" t="s">
        <v>363</v>
      </c>
      <c r="C25793" s="46">
        <v>14</v>
      </c>
      <c r="D25793" s="69" t="s">
        <v>29500</v>
      </c>
      <c r="E25793" s="62"/>
      <c r="F25793" s="62" t="str">
        <f>IF(INDEX(I.Gas.P1Y2AssociatedGasEnergy,14)="","",INDEX(I.Gas.P1Y2AssociatedGasEnergy,14))</f>
        <v/>
      </c>
      <c r="G25793" s="62"/>
      <c r="H25793" s="46" t="str">
        <f>IF(I.Developer.P1=FALSE,"Complete",IF(I.Product.P1GasToPowerStatus&lt;&gt;"Yes","Complete",IF(AND(I.Gas.P1Y2Count&gt;=14,F25793=""),"Incomplete","Complete")))</f>
        <v>Complete</v>
      </c>
      <c r="I25793" s="48" t="s">
        <v>972</v>
      </c>
    </row>
    <row r="25794" spans="2:9" ht="15" customHeight="1" x14ac:dyDescent="0.25">
      <c r="B25794" s="55" t="s">
        <v>363</v>
      </c>
      <c r="C25794" s="46">
        <v>15</v>
      </c>
      <c r="D25794" s="69" t="s">
        <v>29500</v>
      </c>
      <c r="E25794" s="62"/>
      <c r="F25794" s="62" t="str">
        <f>IF(INDEX(I.Gas.P1Y2AssociatedGasEnergy,15)="","",INDEX(I.Gas.P1Y2AssociatedGasEnergy,15))</f>
        <v/>
      </c>
      <c r="G25794" s="62"/>
      <c r="H25794" s="46" t="str">
        <f>IF(I.Developer.P1=FALSE,"Complete",IF(I.Product.P1GasToPowerStatus&lt;&gt;"Yes","Complete",IF(AND(I.Gas.P1Y2Count&gt;=15,F25794=""),"Incomplete","Complete")))</f>
        <v>Complete</v>
      </c>
      <c r="I25794" s="48" t="s">
        <v>973</v>
      </c>
    </row>
    <row r="25795" spans="2:9" ht="15" customHeight="1" x14ac:dyDescent="0.25">
      <c r="B25795" s="55" t="s">
        <v>363</v>
      </c>
      <c r="C25795" s="46">
        <v>16</v>
      </c>
      <c r="D25795" s="69" t="s">
        <v>29500</v>
      </c>
      <c r="E25795" s="62"/>
      <c r="F25795" s="62" t="str">
        <f>IF(INDEX(I.Gas.P1Y2AssociatedGasEnergy,16)="","",INDEX(I.Gas.P1Y2AssociatedGasEnergy,16))</f>
        <v/>
      </c>
      <c r="G25795" s="62"/>
      <c r="H25795" s="46" t="str">
        <f>IF(I.Developer.P1=FALSE,"Complete",IF(I.Product.P1GasToPowerStatus&lt;&gt;"Yes","Complete",IF(AND(I.Gas.P1Y2Count&gt;=16,F25795=""),"Incomplete","Complete")))</f>
        <v>Complete</v>
      </c>
      <c r="I25795" s="48" t="s">
        <v>974</v>
      </c>
    </row>
    <row r="25796" spans="2:9" ht="15" customHeight="1" x14ac:dyDescent="0.25">
      <c r="B25796" s="55" t="s">
        <v>363</v>
      </c>
      <c r="C25796" s="46">
        <v>17</v>
      </c>
      <c r="D25796" s="69" t="s">
        <v>29500</v>
      </c>
      <c r="E25796" s="62"/>
      <c r="F25796" s="62" t="str">
        <f>IF(INDEX(I.Gas.P1Y2AssociatedGasEnergy,17)="","",INDEX(I.Gas.P1Y2AssociatedGasEnergy,17))</f>
        <v/>
      </c>
      <c r="G25796" s="62"/>
      <c r="H25796" s="46" t="str">
        <f>IF(I.Developer.P1=FALSE,"Complete",IF(I.Product.P1GasToPowerStatus&lt;&gt;"Yes","Complete",IF(AND(I.Gas.P1Y2Count&gt;=17,F25796=""),"Incomplete","Complete")))</f>
        <v>Complete</v>
      </c>
      <c r="I25796" s="48" t="s">
        <v>975</v>
      </c>
    </row>
    <row r="25797" spans="2:9" ht="15" customHeight="1" x14ac:dyDescent="0.25">
      <c r="B25797" s="55" t="s">
        <v>363</v>
      </c>
      <c r="C25797" s="46">
        <v>18</v>
      </c>
      <c r="D25797" s="69" t="s">
        <v>29500</v>
      </c>
      <c r="E25797" s="62"/>
      <c r="F25797" s="62" t="str">
        <f>IF(INDEX(I.Gas.P1Y2AssociatedGasEnergy,18)="","",INDEX(I.Gas.P1Y2AssociatedGasEnergy,18))</f>
        <v/>
      </c>
      <c r="G25797" s="62"/>
      <c r="H25797" s="46" t="str">
        <f>IF(I.Developer.P1=FALSE,"Complete",IF(I.Product.P1GasToPowerStatus&lt;&gt;"Yes","Complete",IF(AND(I.Gas.P1Y2Count&gt;=18,F25797=""),"Incomplete","Complete")))</f>
        <v>Complete</v>
      </c>
      <c r="I25797" s="48" t="s">
        <v>976</v>
      </c>
    </row>
    <row r="25798" spans="2:9" ht="15" customHeight="1" x14ac:dyDescent="0.25">
      <c r="B25798" s="55" t="s">
        <v>363</v>
      </c>
      <c r="C25798" s="46">
        <v>19</v>
      </c>
      <c r="D25798" s="69" t="s">
        <v>29500</v>
      </c>
      <c r="E25798" s="62"/>
      <c r="F25798" s="62" t="str">
        <f>IF(INDEX(I.Gas.P1Y2AssociatedGasEnergy,19)="","",INDEX(I.Gas.P1Y2AssociatedGasEnergy,19))</f>
        <v/>
      </c>
      <c r="G25798" s="62"/>
      <c r="H25798" s="46" t="str">
        <f>IF(I.Developer.P1=FALSE,"Complete",IF(I.Product.P1GasToPowerStatus&lt;&gt;"Yes","Complete",IF(AND(I.Gas.P1Y2Count&gt;=19,F25798=""),"Incomplete","Complete")))</f>
        <v>Complete</v>
      </c>
      <c r="I25798" s="48" t="s">
        <v>977</v>
      </c>
    </row>
    <row r="25799" spans="2:9" ht="15" customHeight="1" x14ac:dyDescent="0.25">
      <c r="B25799" s="55" t="s">
        <v>363</v>
      </c>
      <c r="C25799" s="46">
        <v>20</v>
      </c>
      <c r="D25799" s="69" t="s">
        <v>29500</v>
      </c>
      <c r="E25799" s="62"/>
      <c r="F25799" s="62" t="str">
        <f>IF(INDEX(I.Gas.P1Y2AssociatedGasEnergy,20)="","",INDEX(I.Gas.P1Y2AssociatedGasEnergy,20))</f>
        <v/>
      </c>
      <c r="G25799" s="62"/>
      <c r="H25799" s="46" t="str">
        <f>IF(I.Developer.P1=FALSE,"Complete",IF(I.Product.P1GasToPowerStatus&lt;&gt;"Yes","Complete",IF(AND(I.Gas.P1Y2Count&gt;=20,F25799=""),"Incomplete","Complete")))</f>
        <v>Complete</v>
      </c>
      <c r="I25799" s="48" t="s">
        <v>978</v>
      </c>
    </row>
    <row r="25800" spans="2:9" ht="15" customHeight="1" x14ac:dyDescent="0.25">
      <c r="B25800" s="55" t="s">
        <v>363</v>
      </c>
      <c r="C25800" s="46">
        <v>21</v>
      </c>
      <c r="D25800" s="69" t="s">
        <v>29500</v>
      </c>
      <c r="E25800" s="62"/>
      <c r="F25800" s="62" t="str">
        <f>IF(INDEX(I.Gas.P1Y2AssociatedGasEnergy,21)="","",INDEX(I.Gas.P1Y2AssociatedGasEnergy,21))</f>
        <v/>
      </c>
      <c r="G25800" s="62"/>
      <c r="H25800" s="46" t="str">
        <f>IF(I.Developer.P1=FALSE,"Complete",IF(I.Product.P1GasToPowerStatus&lt;&gt;"Yes","Complete",IF(AND(I.Gas.P1Y2Count&gt;=21,F25800=""),"Incomplete","Complete")))</f>
        <v>Complete</v>
      </c>
      <c r="I25800" s="48" t="s">
        <v>979</v>
      </c>
    </row>
    <row r="25801" spans="2:9" ht="15" customHeight="1" x14ac:dyDescent="0.25">
      <c r="B25801" s="55" t="s">
        <v>363</v>
      </c>
      <c r="C25801" s="46">
        <v>22</v>
      </c>
      <c r="D25801" s="69" t="s">
        <v>29500</v>
      </c>
      <c r="E25801" s="62"/>
      <c r="F25801" s="62" t="str">
        <f>IF(INDEX(I.Gas.P1Y2AssociatedGasEnergy,22)="","",INDEX(I.Gas.P1Y2AssociatedGasEnergy,22))</f>
        <v/>
      </c>
      <c r="G25801" s="62"/>
      <c r="H25801" s="46" t="str">
        <f>IF(I.Developer.P1=FALSE,"Complete",IF(I.Product.P1GasToPowerStatus&lt;&gt;"Yes","Complete",IF(AND(I.Gas.P1Y2Count&gt;=22,F25801=""),"Incomplete","Complete")))</f>
        <v>Complete</v>
      </c>
      <c r="I25801" s="48" t="s">
        <v>980</v>
      </c>
    </row>
    <row r="25802" spans="2:9" ht="15" customHeight="1" x14ac:dyDescent="0.25">
      <c r="B25802" s="55" t="s">
        <v>363</v>
      </c>
      <c r="C25802" s="46">
        <v>23</v>
      </c>
      <c r="D25802" s="69" t="s">
        <v>29500</v>
      </c>
      <c r="E25802" s="62"/>
      <c r="F25802" s="62" t="str">
        <f>IF(INDEX(I.Gas.P1Y2AssociatedGasEnergy,23)="","",INDEX(I.Gas.P1Y2AssociatedGasEnergy,23))</f>
        <v/>
      </c>
      <c r="G25802" s="62"/>
      <c r="H25802" s="46" t="str">
        <f>IF(I.Developer.P1=FALSE,"Complete",IF(I.Product.P1GasToPowerStatus&lt;&gt;"Yes","Complete",IF(AND(I.Gas.P1Y2Count&gt;=23,F25802=""),"Incomplete","Complete")))</f>
        <v>Complete</v>
      </c>
      <c r="I25802" s="48" t="s">
        <v>981</v>
      </c>
    </row>
    <row r="25803" spans="2:9" ht="15" customHeight="1" x14ac:dyDescent="0.25">
      <c r="B25803" s="55" t="s">
        <v>363</v>
      </c>
      <c r="C25803" s="46">
        <v>24</v>
      </c>
      <c r="D25803" s="69" t="s">
        <v>29500</v>
      </c>
      <c r="E25803" s="62"/>
      <c r="F25803" s="62" t="str">
        <f>IF(INDEX(I.Gas.P1Y2AssociatedGasEnergy,24)="","",INDEX(I.Gas.P1Y2AssociatedGasEnergy,24))</f>
        <v/>
      </c>
      <c r="G25803" s="62"/>
      <c r="H25803" s="46" t="str">
        <f>IF(I.Developer.P1=FALSE,"Complete",IF(I.Product.P1GasToPowerStatus&lt;&gt;"Yes","Complete",IF(AND(I.Gas.P1Y2Count&gt;=24,F25803=""),"Incomplete","Complete")))</f>
        <v>Complete</v>
      </c>
      <c r="I25803" s="48" t="s">
        <v>982</v>
      </c>
    </row>
    <row r="25804" spans="2:9" ht="15" customHeight="1" x14ac:dyDescent="0.25">
      <c r="B25804" s="55" t="s">
        <v>363</v>
      </c>
      <c r="C25804" s="46">
        <v>25</v>
      </c>
      <c r="D25804" s="69" t="s">
        <v>29500</v>
      </c>
      <c r="E25804" s="62"/>
      <c r="F25804" s="62" t="str">
        <f>IF(INDEX(I.Gas.P1Y2AssociatedGasEnergy,25)="","",INDEX(I.Gas.P1Y2AssociatedGasEnergy,25))</f>
        <v/>
      </c>
      <c r="G25804" s="62"/>
      <c r="H25804" s="46" t="str">
        <f>IF(I.Developer.P1=FALSE,"Complete",IF(I.Product.P1GasToPowerStatus&lt;&gt;"Yes","Complete",IF(AND(I.Gas.P1Y2Count&gt;=25,F25804=""),"Incomplete","Complete")))</f>
        <v>Complete</v>
      </c>
      <c r="I25804" s="48" t="s">
        <v>983</v>
      </c>
    </row>
    <row r="25805" spans="2:9" ht="15" customHeight="1" x14ac:dyDescent="0.25">
      <c r="B25805" s="55" t="s">
        <v>363</v>
      </c>
      <c r="C25805" s="46">
        <v>26</v>
      </c>
      <c r="D25805" s="69" t="s">
        <v>29500</v>
      </c>
      <c r="E25805" s="62"/>
      <c r="F25805" s="62" t="str">
        <f>IF(INDEX(I.Gas.P1Y2AssociatedGasEnergy,26)="","",INDEX(I.Gas.P1Y2AssociatedGasEnergy,26))</f>
        <v/>
      </c>
      <c r="G25805" s="62"/>
      <c r="H25805" s="46" t="str">
        <f>IF(I.Developer.P1=FALSE,"Complete",IF(I.Product.P1GasToPowerStatus&lt;&gt;"Yes","Complete",IF(AND(I.Gas.P1Y2Count&gt;=26,F25805=""),"Incomplete","Complete")))</f>
        <v>Complete</v>
      </c>
      <c r="I25805" s="48" t="s">
        <v>984</v>
      </c>
    </row>
    <row r="25806" spans="2:9" ht="15" customHeight="1" x14ac:dyDescent="0.25">
      <c r="B25806" s="55" t="s">
        <v>363</v>
      </c>
      <c r="C25806" s="46">
        <v>27</v>
      </c>
      <c r="D25806" s="69" t="s">
        <v>29500</v>
      </c>
      <c r="E25806" s="62"/>
      <c r="F25806" s="62" t="str">
        <f>IF(INDEX(I.Gas.P1Y2AssociatedGasEnergy,27)="","",INDEX(I.Gas.P1Y2AssociatedGasEnergy,27))</f>
        <v/>
      </c>
      <c r="G25806" s="62"/>
      <c r="H25806" s="46" t="str">
        <f>IF(I.Developer.P1=FALSE,"Complete",IF(I.Product.P1GasToPowerStatus&lt;&gt;"Yes","Complete",IF(AND(I.Gas.P1Y2Count&gt;=27,F25806=""),"Incomplete","Complete")))</f>
        <v>Complete</v>
      </c>
      <c r="I25806" s="48" t="s">
        <v>985</v>
      </c>
    </row>
    <row r="25807" spans="2:9" ht="15" customHeight="1" x14ac:dyDescent="0.25">
      <c r="B25807" s="55" t="s">
        <v>363</v>
      </c>
      <c r="C25807" s="46">
        <v>28</v>
      </c>
      <c r="D25807" s="69" t="s">
        <v>29500</v>
      </c>
      <c r="E25807" s="62"/>
      <c r="F25807" s="62" t="str">
        <f>IF(INDEX(I.Gas.P1Y2AssociatedGasEnergy,28)="","",INDEX(I.Gas.P1Y2AssociatedGasEnergy,28))</f>
        <v/>
      </c>
      <c r="G25807" s="62"/>
      <c r="H25807" s="46" t="str">
        <f>IF(I.Developer.P1=FALSE,"Complete",IF(I.Product.P1GasToPowerStatus&lt;&gt;"Yes","Complete",IF(AND(I.Gas.P1Y2Count&gt;=28,F25807=""),"Incomplete","Complete")))</f>
        <v>Complete</v>
      </c>
      <c r="I25807" s="48" t="s">
        <v>986</v>
      </c>
    </row>
    <row r="25808" spans="2:9" ht="15" customHeight="1" x14ac:dyDescent="0.25">
      <c r="B25808" s="55" t="s">
        <v>363</v>
      </c>
      <c r="C25808" s="46">
        <v>29</v>
      </c>
      <c r="D25808" s="69" t="s">
        <v>29500</v>
      </c>
      <c r="E25808" s="62"/>
      <c r="F25808" s="62" t="str">
        <f>IF(INDEX(I.Gas.P1Y2AssociatedGasEnergy,29)="","",INDEX(I.Gas.P1Y2AssociatedGasEnergy,29))</f>
        <v/>
      </c>
      <c r="G25808" s="62"/>
      <c r="H25808" s="46" t="str">
        <f>IF(I.Developer.P1=FALSE,"Complete",IF(I.Product.P1GasToPowerStatus&lt;&gt;"Yes","Complete",IF(AND(I.Gas.P1Y2Count&gt;=29,F25808=""),"Incomplete","Complete")))</f>
        <v>Complete</v>
      </c>
      <c r="I25808" s="48" t="s">
        <v>987</v>
      </c>
    </row>
    <row r="25809" spans="2:9" ht="15" customHeight="1" x14ac:dyDescent="0.25">
      <c r="B25809" s="55" t="s">
        <v>363</v>
      </c>
      <c r="C25809" s="46">
        <v>30</v>
      </c>
      <c r="D25809" s="69" t="s">
        <v>29500</v>
      </c>
      <c r="E25809" s="62"/>
      <c r="F25809" s="62" t="str">
        <f>IF(INDEX(I.Gas.P1Y2AssociatedGasEnergy,30)="","",INDEX(I.Gas.P1Y2AssociatedGasEnergy,30))</f>
        <v/>
      </c>
      <c r="G25809" s="62"/>
      <c r="H25809" s="46" t="str">
        <f>IF(I.Developer.P1=FALSE,"Complete",IF(I.Product.P1GasToPowerStatus&lt;&gt;"Yes","Complete",IF(AND(I.Gas.P1Y2Count&gt;=30,F25809=""),"Incomplete","Complete")))</f>
        <v>Complete</v>
      </c>
      <c r="I25809" s="48" t="s">
        <v>988</v>
      </c>
    </row>
    <row r="25810" spans="2:9" ht="15" customHeight="1" x14ac:dyDescent="0.25">
      <c r="B25810" s="55" t="s">
        <v>363</v>
      </c>
      <c r="C25810" s="46">
        <v>31</v>
      </c>
      <c r="D25810" s="69" t="s">
        <v>29500</v>
      </c>
      <c r="E25810" s="62"/>
      <c r="F25810" s="62" t="str">
        <f>IF(INDEX(I.Gas.P1Y2AssociatedGasEnergy,31)="","",INDEX(I.Gas.P1Y2AssociatedGasEnergy,31))</f>
        <v/>
      </c>
      <c r="G25810" s="62"/>
      <c r="H25810" s="46" t="str">
        <f>IF(I.Developer.P1=FALSE,"Complete",IF(I.Product.P1GasToPowerStatus&lt;&gt;"Yes","Complete",IF(AND(I.Gas.P1Y2Count&gt;=31,F25810=""),"Incomplete","Complete")))</f>
        <v>Complete</v>
      </c>
      <c r="I25810" s="48" t="s">
        <v>989</v>
      </c>
    </row>
    <row r="25811" spans="2:9" ht="15" customHeight="1" x14ac:dyDescent="0.25">
      <c r="B25811" s="55" t="s">
        <v>363</v>
      </c>
      <c r="C25811" s="46">
        <v>32</v>
      </c>
      <c r="D25811" s="69" t="s">
        <v>29500</v>
      </c>
      <c r="E25811" s="62"/>
      <c r="F25811" s="62" t="str">
        <f>IF(INDEX(I.Gas.P1Y2AssociatedGasEnergy,32)="","",INDEX(I.Gas.P1Y2AssociatedGasEnergy,32))</f>
        <v/>
      </c>
      <c r="G25811" s="62"/>
      <c r="H25811" s="46" t="str">
        <f>IF(I.Developer.P1=FALSE,"Complete",IF(I.Product.P1GasToPowerStatus&lt;&gt;"Yes","Complete",IF(AND(I.Gas.P1Y2Count&gt;=32,F25811=""),"Incomplete","Complete")))</f>
        <v>Complete</v>
      </c>
      <c r="I25811" s="48" t="s">
        <v>990</v>
      </c>
    </row>
    <row r="25812" spans="2:9" ht="15" customHeight="1" x14ac:dyDescent="0.25">
      <c r="B25812" s="55" t="s">
        <v>363</v>
      </c>
      <c r="C25812" s="46">
        <v>33</v>
      </c>
      <c r="D25812" s="69" t="s">
        <v>29500</v>
      </c>
      <c r="E25812" s="62"/>
      <c r="F25812" s="62" t="str">
        <f>IF(INDEX(I.Gas.P1Y2AssociatedGasEnergy,33)="","",INDEX(I.Gas.P1Y2AssociatedGasEnergy,33))</f>
        <v/>
      </c>
      <c r="G25812" s="62"/>
      <c r="H25812" s="46" t="str">
        <f>IF(I.Developer.P1=FALSE,"Complete",IF(I.Product.P1GasToPowerStatus&lt;&gt;"Yes","Complete",IF(AND(I.Gas.P1Y2Count&gt;=33,F25812=""),"Incomplete","Complete")))</f>
        <v>Complete</v>
      </c>
      <c r="I25812" s="48" t="s">
        <v>991</v>
      </c>
    </row>
    <row r="25813" spans="2:9" ht="15" customHeight="1" x14ac:dyDescent="0.25">
      <c r="B25813" s="55" t="s">
        <v>363</v>
      </c>
      <c r="C25813" s="46">
        <v>34</v>
      </c>
      <c r="D25813" s="69" t="s">
        <v>29500</v>
      </c>
      <c r="E25813" s="62"/>
      <c r="F25813" s="62" t="str">
        <f>IF(INDEX(I.Gas.P1Y2AssociatedGasEnergy,34)="","",INDEX(I.Gas.P1Y2AssociatedGasEnergy,34))</f>
        <v/>
      </c>
      <c r="G25813" s="62"/>
      <c r="H25813" s="46" t="str">
        <f>IF(I.Developer.P1=FALSE,"Complete",IF(I.Product.P1GasToPowerStatus&lt;&gt;"Yes","Complete",IF(AND(I.Gas.P1Y2Count&gt;=34,F25813=""),"Incomplete","Complete")))</f>
        <v>Complete</v>
      </c>
      <c r="I25813" s="48" t="s">
        <v>992</v>
      </c>
    </row>
    <row r="25814" spans="2:9" ht="15" customHeight="1" x14ac:dyDescent="0.25">
      <c r="B25814" s="55" t="s">
        <v>363</v>
      </c>
      <c r="C25814" s="46">
        <v>35</v>
      </c>
      <c r="D25814" s="69" t="s">
        <v>29500</v>
      </c>
      <c r="E25814" s="62"/>
      <c r="F25814" s="62" t="str">
        <f>IF(INDEX(I.Gas.P1Y2AssociatedGasEnergy,35)="","",INDEX(I.Gas.P1Y2AssociatedGasEnergy,35))</f>
        <v/>
      </c>
      <c r="G25814" s="62"/>
      <c r="H25814" s="46" t="str">
        <f>IF(I.Developer.P1=FALSE,"Complete",IF(I.Product.P1GasToPowerStatus&lt;&gt;"Yes","Complete",IF(AND(I.Gas.P1Y2Count&gt;=35,F25814=""),"Incomplete","Complete")))</f>
        <v>Complete</v>
      </c>
      <c r="I25814" s="48" t="s">
        <v>993</v>
      </c>
    </row>
    <row r="25815" spans="2:9" ht="15" customHeight="1" x14ac:dyDescent="0.25">
      <c r="B25815" s="55" t="s">
        <v>363</v>
      </c>
      <c r="C25815" s="46">
        <v>36</v>
      </c>
      <c r="D25815" s="69" t="s">
        <v>29500</v>
      </c>
      <c r="E25815" s="62"/>
      <c r="F25815" s="62" t="str">
        <f>IF(INDEX(I.Gas.P1Y2AssociatedGasEnergy,36)="","",INDEX(I.Gas.P1Y2AssociatedGasEnergy,36))</f>
        <v/>
      </c>
      <c r="G25815" s="62"/>
      <c r="H25815" s="46" t="str">
        <f>IF(I.Developer.P1=FALSE,"Complete",IF(I.Product.P1GasToPowerStatus&lt;&gt;"Yes","Complete",IF(AND(I.Gas.P1Y2Count&gt;=36,F25815=""),"Incomplete","Complete")))</f>
        <v>Complete</v>
      </c>
      <c r="I25815" s="48" t="s">
        <v>994</v>
      </c>
    </row>
    <row r="25816" spans="2:9" ht="15" customHeight="1" x14ac:dyDescent="0.25">
      <c r="B25816" s="55" t="s">
        <v>363</v>
      </c>
      <c r="C25816" s="46">
        <v>37</v>
      </c>
      <c r="D25816" s="69" t="s">
        <v>29500</v>
      </c>
      <c r="E25816" s="62"/>
      <c r="F25816" s="62" t="str">
        <f>IF(INDEX(I.Gas.P1Y2AssociatedGasEnergy,37)="","",INDEX(I.Gas.P1Y2AssociatedGasEnergy,37))</f>
        <v/>
      </c>
      <c r="G25816" s="62"/>
      <c r="H25816" s="46" t="str">
        <f>IF(I.Developer.P1=FALSE,"Complete",IF(I.Product.P1GasToPowerStatus&lt;&gt;"Yes","Complete",IF(AND(I.Gas.P1Y2Count&gt;=37,F25816=""),"Incomplete","Complete")))</f>
        <v>Complete</v>
      </c>
      <c r="I25816" s="48" t="s">
        <v>995</v>
      </c>
    </row>
    <row r="25817" spans="2:9" ht="15" customHeight="1" x14ac:dyDescent="0.25">
      <c r="B25817" s="55" t="s">
        <v>363</v>
      </c>
      <c r="C25817" s="46">
        <v>38</v>
      </c>
      <c r="D25817" s="69" t="s">
        <v>29500</v>
      </c>
      <c r="E25817" s="62"/>
      <c r="F25817" s="62" t="str">
        <f>IF(INDEX(I.Gas.P1Y2AssociatedGasEnergy,38)="","",INDEX(I.Gas.P1Y2AssociatedGasEnergy,38))</f>
        <v/>
      </c>
      <c r="G25817" s="62"/>
      <c r="H25817" s="46" t="str">
        <f>IF(I.Developer.P1=FALSE,"Complete",IF(I.Product.P1GasToPowerStatus&lt;&gt;"Yes","Complete",IF(AND(I.Gas.P1Y2Count&gt;=38,F25817=""),"Incomplete","Complete")))</f>
        <v>Complete</v>
      </c>
      <c r="I25817" s="48" t="s">
        <v>996</v>
      </c>
    </row>
    <row r="25818" spans="2:9" ht="15" customHeight="1" x14ac:dyDescent="0.25">
      <c r="B25818" s="55" t="s">
        <v>363</v>
      </c>
      <c r="C25818" s="46">
        <v>39</v>
      </c>
      <c r="D25818" s="69" t="s">
        <v>29500</v>
      </c>
      <c r="E25818" s="62"/>
      <c r="F25818" s="62" t="str">
        <f>IF(INDEX(I.Gas.P1Y2AssociatedGasEnergy,39)="","",INDEX(I.Gas.P1Y2AssociatedGasEnergy,39))</f>
        <v/>
      </c>
      <c r="G25818" s="62"/>
      <c r="H25818" s="46" t="str">
        <f>IF(I.Developer.P1=FALSE,"Complete",IF(I.Product.P1GasToPowerStatus&lt;&gt;"Yes","Complete",IF(AND(I.Gas.P1Y2Count&gt;=39,F25818=""),"Incomplete","Complete")))</f>
        <v>Complete</v>
      </c>
      <c r="I25818" s="48" t="s">
        <v>997</v>
      </c>
    </row>
    <row r="25819" spans="2:9" ht="15" customHeight="1" x14ac:dyDescent="0.25">
      <c r="B25819" s="55" t="s">
        <v>363</v>
      </c>
      <c r="C25819" s="46">
        <v>40</v>
      </c>
      <c r="D25819" s="69" t="s">
        <v>29500</v>
      </c>
      <c r="E25819" s="62"/>
      <c r="F25819" s="62" t="str">
        <f>IF(INDEX(I.Gas.P1Y2AssociatedGasEnergy,40)="","",INDEX(I.Gas.P1Y2AssociatedGasEnergy,40))</f>
        <v/>
      </c>
      <c r="G25819" s="62"/>
      <c r="H25819" s="46" t="str">
        <f>IF(I.Developer.P1=FALSE,"Complete",IF(I.Product.P1GasToPowerStatus&lt;&gt;"Yes","Complete",IF(AND(I.Gas.P1Y2Count&gt;=40,F25819=""),"Incomplete","Complete")))</f>
        <v>Complete</v>
      </c>
      <c r="I25819" s="48" t="s">
        <v>998</v>
      </c>
    </row>
    <row r="25820" spans="2:9" ht="15" customHeight="1" x14ac:dyDescent="0.25">
      <c r="B25820" s="55" t="s">
        <v>363</v>
      </c>
      <c r="C25820" s="46">
        <v>41</v>
      </c>
      <c r="D25820" s="69" t="s">
        <v>29500</v>
      </c>
      <c r="E25820" s="62"/>
      <c r="F25820" s="62" t="str">
        <f>IF(INDEX(I.Gas.P1Y2AssociatedGasEnergy,41)="","",INDEX(I.Gas.P1Y2AssociatedGasEnergy,41))</f>
        <v/>
      </c>
      <c r="G25820" s="62"/>
      <c r="H25820" s="46" t="str">
        <f>IF(I.Developer.P1=FALSE,"Complete",IF(I.Product.P1GasToPowerStatus&lt;&gt;"Yes","Complete",IF(AND(I.Gas.P1Y2Count&gt;=41,F25820=""),"Incomplete","Complete")))</f>
        <v>Complete</v>
      </c>
      <c r="I25820" s="48" t="s">
        <v>999</v>
      </c>
    </row>
    <row r="25821" spans="2:9" ht="15" customHeight="1" x14ac:dyDescent="0.25">
      <c r="B25821" s="55" t="s">
        <v>363</v>
      </c>
      <c r="C25821" s="46">
        <v>42</v>
      </c>
      <c r="D25821" s="69" t="s">
        <v>29500</v>
      </c>
      <c r="E25821" s="62"/>
      <c r="F25821" s="62" t="str">
        <f>IF(INDEX(I.Gas.P1Y2AssociatedGasEnergy,42)="","",INDEX(I.Gas.P1Y2AssociatedGasEnergy,42))</f>
        <v/>
      </c>
      <c r="G25821" s="62"/>
      <c r="H25821" s="46" t="str">
        <f>IF(I.Developer.P1=FALSE,"Complete",IF(I.Product.P1GasToPowerStatus&lt;&gt;"Yes","Complete",IF(AND(I.Gas.P1Y2Count&gt;=42,F25821=""),"Incomplete","Complete")))</f>
        <v>Complete</v>
      </c>
      <c r="I25821" s="48" t="s">
        <v>1000</v>
      </c>
    </row>
    <row r="25822" spans="2:9" ht="15" customHeight="1" x14ac:dyDescent="0.25">
      <c r="B25822" s="55" t="s">
        <v>363</v>
      </c>
      <c r="C25822" s="46">
        <v>43</v>
      </c>
      <c r="D25822" s="69" t="s">
        <v>29500</v>
      </c>
      <c r="E25822" s="62"/>
      <c r="F25822" s="62" t="str">
        <f>IF(INDEX(I.Gas.P1Y2AssociatedGasEnergy,43)="","",INDEX(I.Gas.P1Y2AssociatedGasEnergy,43))</f>
        <v/>
      </c>
      <c r="G25822" s="62"/>
      <c r="H25822" s="46" t="str">
        <f>IF(I.Developer.P1=FALSE,"Complete",IF(I.Product.P1GasToPowerStatus&lt;&gt;"Yes","Complete",IF(AND(I.Gas.P1Y2Count&gt;=43,F25822=""),"Incomplete","Complete")))</f>
        <v>Complete</v>
      </c>
      <c r="I25822" s="48" t="s">
        <v>1001</v>
      </c>
    </row>
    <row r="25823" spans="2:9" ht="15" customHeight="1" x14ac:dyDescent="0.25">
      <c r="B25823" s="55" t="s">
        <v>363</v>
      </c>
      <c r="C25823" s="46">
        <v>44</v>
      </c>
      <c r="D25823" s="69" t="s">
        <v>29500</v>
      </c>
      <c r="E25823" s="62"/>
      <c r="F25823" s="62" t="str">
        <f>IF(INDEX(I.Gas.P1Y2AssociatedGasEnergy,44)="","",INDEX(I.Gas.P1Y2AssociatedGasEnergy,44))</f>
        <v/>
      </c>
      <c r="G25823" s="62"/>
      <c r="H25823" s="46" t="str">
        <f>IF(I.Developer.P1=FALSE,"Complete",IF(I.Product.P1GasToPowerStatus&lt;&gt;"Yes","Complete",IF(AND(I.Gas.P1Y2Count&gt;=44,F25823=""),"Incomplete","Complete")))</f>
        <v>Complete</v>
      </c>
      <c r="I25823" s="48" t="s">
        <v>1002</v>
      </c>
    </row>
    <row r="25824" spans="2:9" ht="15" customHeight="1" x14ac:dyDescent="0.25">
      <c r="B25824" s="55" t="s">
        <v>363</v>
      </c>
      <c r="C25824" s="46">
        <v>45</v>
      </c>
      <c r="D25824" s="69" t="s">
        <v>29500</v>
      </c>
      <c r="E25824" s="62"/>
      <c r="F25824" s="62" t="str">
        <f>IF(INDEX(I.Gas.P1Y2AssociatedGasEnergy,45)="","",INDEX(I.Gas.P1Y2AssociatedGasEnergy,45))</f>
        <v/>
      </c>
      <c r="G25824" s="62"/>
      <c r="H25824" s="46" t="str">
        <f>IF(I.Developer.P1=FALSE,"Complete",IF(I.Product.P1GasToPowerStatus&lt;&gt;"Yes","Complete",IF(AND(I.Gas.P1Y2Count&gt;=45,F25824=""),"Incomplete","Complete")))</f>
        <v>Complete</v>
      </c>
      <c r="I25824" s="48" t="s">
        <v>1003</v>
      </c>
    </row>
    <row r="25825" spans="2:9" ht="15" customHeight="1" x14ac:dyDescent="0.25">
      <c r="B25825" s="55" t="s">
        <v>363</v>
      </c>
      <c r="C25825" s="46">
        <v>46</v>
      </c>
      <c r="D25825" s="69" t="s">
        <v>29500</v>
      </c>
      <c r="E25825" s="62"/>
      <c r="F25825" s="62" t="str">
        <f>IF(INDEX(I.Gas.P1Y2AssociatedGasEnergy,46)="","",INDEX(I.Gas.P1Y2AssociatedGasEnergy,46))</f>
        <v/>
      </c>
      <c r="G25825" s="62"/>
      <c r="H25825" s="46" t="str">
        <f>IF(I.Developer.P1=FALSE,"Complete",IF(I.Product.P1GasToPowerStatus&lt;&gt;"Yes","Complete",IF(AND(I.Gas.P1Y2Count&gt;=46,F25825=""),"Incomplete","Complete")))</f>
        <v>Complete</v>
      </c>
      <c r="I25825" s="48" t="s">
        <v>1004</v>
      </c>
    </row>
    <row r="25826" spans="2:9" ht="15" customHeight="1" x14ac:dyDescent="0.25">
      <c r="B25826" s="55" t="s">
        <v>363</v>
      </c>
      <c r="C25826" s="46">
        <v>47</v>
      </c>
      <c r="D25826" s="69" t="s">
        <v>29500</v>
      </c>
      <c r="E25826" s="62"/>
      <c r="F25826" s="62" t="str">
        <f>IF(INDEX(I.Gas.P1Y2AssociatedGasEnergy,47)="","",INDEX(I.Gas.P1Y2AssociatedGasEnergy,47))</f>
        <v/>
      </c>
      <c r="G25826" s="62"/>
      <c r="H25826" s="46" t="str">
        <f>IF(I.Developer.P1=FALSE,"Complete",IF(I.Product.P1GasToPowerStatus&lt;&gt;"Yes","Complete",IF(AND(I.Gas.P1Y2Count&gt;=47,F25826=""),"Incomplete","Complete")))</f>
        <v>Complete</v>
      </c>
      <c r="I25826" s="48" t="s">
        <v>1005</v>
      </c>
    </row>
    <row r="25827" spans="2:9" ht="15" customHeight="1" x14ac:dyDescent="0.25">
      <c r="B25827" s="55" t="s">
        <v>363</v>
      </c>
      <c r="C25827" s="46">
        <v>48</v>
      </c>
      <c r="D25827" s="69" t="s">
        <v>29500</v>
      </c>
      <c r="E25827" s="62"/>
      <c r="F25827" s="62" t="str">
        <f>IF(INDEX(I.Gas.P1Y2AssociatedGasEnergy,48)="","",INDEX(I.Gas.P1Y2AssociatedGasEnergy,48))</f>
        <v/>
      </c>
      <c r="G25827" s="62"/>
      <c r="H25827" s="46" t="str">
        <f>IF(I.Developer.P1=FALSE,"Complete",IF(I.Product.P1GasToPowerStatus&lt;&gt;"Yes","Complete",IF(AND(I.Gas.P1Y2Count&gt;=48,F25827=""),"Incomplete","Complete")))</f>
        <v>Complete</v>
      </c>
      <c r="I25827" s="48" t="s">
        <v>1006</v>
      </c>
    </row>
    <row r="25828" spans="2:9" ht="15" customHeight="1" x14ac:dyDescent="0.25">
      <c r="B25828" s="55" t="s">
        <v>363</v>
      </c>
      <c r="C25828" s="46">
        <v>49</v>
      </c>
      <c r="D25828" s="69" t="s">
        <v>29500</v>
      </c>
      <c r="E25828" s="62"/>
      <c r="F25828" s="62" t="str">
        <f>IF(INDEX(I.Gas.P1Y2AssociatedGasEnergy,49)="","",INDEX(I.Gas.P1Y2AssociatedGasEnergy,49))</f>
        <v/>
      </c>
      <c r="G25828" s="62"/>
      <c r="H25828" s="46" t="str">
        <f>IF(I.Developer.P1=FALSE,"Complete",IF(I.Product.P1GasToPowerStatus&lt;&gt;"Yes","Complete",IF(AND(I.Gas.P1Y2Count&gt;=49,F25828=""),"Incomplete","Complete")))</f>
        <v>Complete</v>
      </c>
      <c r="I25828" s="48" t="s">
        <v>1007</v>
      </c>
    </row>
    <row r="25829" spans="2:9" ht="15" customHeight="1" x14ac:dyDescent="0.25">
      <c r="B25829" s="56" t="s">
        <v>363</v>
      </c>
      <c r="C25829" s="57">
        <v>50</v>
      </c>
      <c r="D25829" s="71" t="s">
        <v>29500</v>
      </c>
      <c r="E25829" s="61"/>
      <c r="F25829" s="61" t="str">
        <f>IF(INDEX(I.Gas.P1Y2AssociatedGasEnergy,50)="","",INDEX(I.Gas.P1Y2AssociatedGasEnergy,50))</f>
        <v/>
      </c>
      <c r="G25829" s="61"/>
      <c r="H25829" s="57" t="str">
        <f>IF(I.Developer.P1=FALSE,"Complete",IF(I.Product.P1GasToPowerStatus&lt;&gt;"Yes","Complete",IF(AND(I.Gas.P1Y2Count&gt;=50,F25829=""),"Incomplete","Complete")))</f>
        <v>Complete</v>
      </c>
      <c r="I25829" s="49" t="s">
        <v>1008</v>
      </c>
    </row>
    <row r="25830" spans="2:9" ht="15" customHeight="1" x14ac:dyDescent="0.25">
      <c r="B25830" s="55" t="s">
        <v>364</v>
      </c>
      <c r="C25830" s="46">
        <v>1</v>
      </c>
      <c r="D25830" s="69" t="s">
        <v>29501</v>
      </c>
      <c r="E25830" s="62"/>
      <c r="F25830" s="62" t="str">
        <f>IF(INDEX(I.Gas.P1Y2TotalGasEnergy,1)="","",INDEX(I.Gas.P1Y2TotalGasEnergy,1))</f>
        <v/>
      </c>
      <c r="G25830" s="62"/>
      <c r="H25830" s="46" t="str">
        <f>IF(I.Developer.P1=FALSE,"Complete",IF(I.Product.P1GasToPowerStatus&lt;&gt;"Yes","Complete",IF(AND(I.Gas.P1Y2Count&gt;=1,F25830=""),"Incomplete","Complete")))</f>
        <v>Complete</v>
      </c>
      <c r="I25830" s="48" t="s">
        <v>1009</v>
      </c>
    </row>
    <row r="25831" spans="2:9" ht="15" customHeight="1" x14ac:dyDescent="0.25">
      <c r="B25831" s="55" t="s">
        <v>364</v>
      </c>
      <c r="C25831" s="46">
        <v>2</v>
      </c>
      <c r="D25831" s="69" t="s">
        <v>29501</v>
      </c>
      <c r="E25831" s="62"/>
      <c r="F25831" s="62" t="str">
        <f>IF(INDEX(I.Gas.P1Y2TotalGasEnergy,2)="","",INDEX(I.Gas.P1Y2TotalGasEnergy,2))</f>
        <v/>
      </c>
      <c r="G25831" s="62"/>
      <c r="H25831" s="46" t="str">
        <f>IF(I.Developer.P1=FALSE,"Complete",IF(I.Product.P1GasToPowerStatus&lt;&gt;"Yes","Complete",IF(AND(I.Gas.P1Y2Count&gt;=2,F25831=""),"Incomplete","Complete")))</f>
        <v>Complete</v>
      </c>
      <c r="I25831" s="48" t="s">
        <v>1010</v>
      </c>
    </row>
    <row r="25832" spans="2:9" ht="15" customHeight="1" x14ac:dyDescent="0.25">
      <c r="B25832" s="55" t="s">
        <v>364</v>
      </c>
      <c r="C25832" s="46">
        <v>3</v>
      </c>
      <c r="D25832" s="69" t="s">
        <v>29501</v>
      </c>
      <c r="E25832" s="62"/>
      <c r="F25832" s="62" t="str">
        <f>IF(INDEX(I.Gas.P1Y2TotalGasEnergy,3)="","",INDEX(I.Gas.P1Y2TotalGasEnergy,3))</f>
        <v/>
      </c>
      <c r="G25832" s="62"/>
      <c r="H25832" s="46" t="str">
        <f>IF(I.Developer.P1=FALSE,"Complete",IF(I.Product.P1GasToPowerStatus&lt;&gt;"Yes","Complete",IF(AND(I.Gas.P1Y2Count&gt;=3,F25832=""),"Incomplete","Complete")))</f>
        <v>Complete</v>
      </c>
      <c r="I25832" s="48" t="s">
        <v>1011</v>
      </c>
    </row>
    <row r="25833" spans="2:9" ht="15" customHeight="1" x14ac:dyDescent="0.25">
      <c r="B25833" s="55" t="s">
        <v>364</v>
      </c>
      <c r="C25833" s="46">
        <v>4</v>
      </c>
      <c r="D25833" s="69" t="s">
        <v>29501</v>
      </c>
      <c r="E25833" s="62"/>
      <c r="F25833" s="62" t="str">
        <f>IF(INDEX(I.Gas.P1Y2TotalGasEnergy,4)="","",INDEX(I.Gas.P1Y2TotalGasEnergy,4))</f>
        <v/>
      </c>
      <c r="G25833" s="62"/>
      <c r="H25833" s="46" t="str">
        <f>IF(I.Developer.P1=FALSE,"Complete",IF(I.Product.P1GasToPowerStatus&lt;&gt;"Yes","Complete",IF(AND(I.Gas.P1Y2Count&gt;=4,F25833=""),"Incomplete","Complete")))</f>
        <v>Complete</v>
      </c>
      <c r="I25833" s="48" t="s">
        <v>1012</v>
      </c>
    </row>
    <row r="25834" spans="2:9" ht="15" customHeight="1" x14ac:dyDescent="0.25">
      <c r="B25834" s="55" t="s">
        <v>364</v>
      </c>
      <c r="C25834" s="46">
        <v>5</v>
      </c>
      <c r="D25834" s="69" t="s">
        <v>29501</v>
      </c>
      <c r="E25834" s="62"/>
      <c r="F25834" s="62" t="str">
        <f>IF(INDEX(I.Gas.P1Y2TotalGasEnergy,5)="","",INDEX(I.Gas.P1Y2TotalGasEnergy,5))</f>
        <v/>
      </c>
      <c r="G25834" s="62"/>
      <c r="H25834" s="46" t="str">
        <f>IF(I.Developer.P1=FALSE,"Complete",IF(I.Product.P1GasToPowerStatus&lt;&gt;"Yes","Complete",IF(AND(I.Gas.P1Y2Count&gt;=5,F25834=""),"Incomplete","Complete")))</f>
        <v>Complete</v>
      </c>
      <c r="I25834" s="48" t="s">
        <v>1013</v>
      </c>
    </row>
    <row r="25835" spans="2:9" ht="15" customHeight="1" x14ac:dyDescent="0.25">
      <c r="B25835" s="55" t="s">
        <v>364</v>
      </c>
      <c r="C25835" s="46">
        <v>6</v>
      </c>
      <c r="D25835" s="69" t="s">
        <v>29501</v>
      </c>
      <c r="E25835" s="62"/>
      <c r="F25835" s="62" t="str">
        <f>IF(INDEX(I.Gas.P1Y2TotalGasEnergy,6)="","",INDEX(I.Gas.P1Y2TotalGasEnergy,6))</f>
        <v/>
      </c>
      <c r="G25835" s="62"/>
      <c r="H25835" s="46" t="str">
        <f>IF(I.Developer.P1=FALSE,"Complete",IF(I.Product.P1GasToPowerStatus&lt;&gt;"Yes","Complete",IF(AND(I.Gas.P1Y2Count&gt;=6,F25835=""),"Incomplete","Complete")))</f>
        <v>Complete</v>
      </c>
      <c r="I25835" s="48" t="s">
        <v>1014</v>
      </c>
    </row>
    <row r="25836" spans="2:9" ht="15" customHeight="1" x14ac:dyDescent="0.25">
      <c r="B25836" s="55" t="s">
        <v>364</v>
      </c>
      <c r="C25836" s="46">
        <v>7</v>
      </c>
      <c r="D25836" s="69" t="s">
        <v>29501</v>
      </c>
      <c r="E25836" s="62"/>
      <c r="F25836" s="62" t="str">
        <f>IF(INDEX(I.Gas.P1Y2TotalGasEnergy,7)="","",INDEX(I.Gas.P1Y2TotalGasEnergy,7))</f>
        <v/>
      </c>
      <c r="G25836" s="62"/>
      <c r="H25836" s="46" t="str">
        <f>IF(I.Developer.P1=FALSE,"Complete",IF(I.Product.P1GasToPowerStatus&lt;&gt;"Yes","Complete",IF(AND(I.Gas.P1Y2Count&gt;=7,F25836=""),"Incomplete","Complete")))</f>
        <v>Complete</v>
      </c>
      <c r="I25836" s="48" t="s">
        <v>1015</v>
      </c>
    </row>
    <row r="25837" spans="2:9" ht="15" customHeight="1" x14ac:dyDescent="0.25">
      <c r="B25837" s="55" t="s">
        <v>364</v>
      </c>
      <c r="C25837" s="46">
        <v>8</v>
      </c>
      <c r="D25837" s="69" t="s">
        <v>29501</v>
      </c>
      <c r="E25837" s="62"/>
      <c r="F25837" s="62" t="str">
        <f>IF(INDEX(I.Gas.P1Y2TotalGasEnergy,8)="","",INDEX(I.Gas.P1Y2TotalGasEnergy,8))</f>
        <v/>
      </c>
      <c r="G25837" s="62"/>
      <c r="H25837" s="46" t="str">
        <f>IF(I.Developer.P1=FALSE,"Complete",IF(I.Product.P1GasToPowerStatus&lt;&gt;"Yes","Complete",IF(AND(I.Gas.P1Y2Count&gt;=8,F25837=""),"Incomplete","Complete")))</f>
        <v>Complete</v>
      </c>
      <c r="I25837" s="48" t="s">
        <v>1016</v>
      </c>
    </row>
    <row r="25838" spans="2:9" ht="15" customHeight="1" x14ac:dyDescent="0.25">
      <c r="B25838" s="55" t="s">
        <v>364</v>
      </c>
      <c r="C25838" s="46">
        <v>9</v>
      </c>
      <c r="D25838" s="69" t="s">
        <v>29501</v>
      </c>
      <c r="E25838" s="62"/>
      <c r="F25838" s="62" t="str">
        <f>IF(INDEX(I.Gas.P1Y2TotalGasEnergy,9)="","",INDEX(I.Gas.P1Y2TotalGasEnergy,9))</f>
        <v/>
      </c>
      <c r="G25838" s="62"/>
      <c r="H25838" s="46" t="str">
        <f>IF(I.Developer.P1=FALSE,"Complete",IF(I.Product.P1GasToPowerStatus&lt;&gt;"Yes","Complete",IF(AND(I.Gas.P1Y2Count&gt;=9,F25838=""),"Incomplete","Complete")))</f>
        <v>Complete</v>
      </c>
      <c r="I25838" s="48" t="s">
        <v>1017</v>
      </c>
    </row>
    <row r="25839" spans="2:9" ht="15" customHeight="1" x14ac:dyDescent="0.25">
      <c r="B25839" s="55" t="s">
        <v>364</v>
      </c>
      <c r="C25839" s="46">
        <v>10</v>
      </c>
      <c r="D25839" s="69" t="s">
        <v>29501</v>
      </c>
      <c r="E25839" s="62"/>
      <c r="F25839" s="62" t="str">
        <f>IF(INDEX(I.Gas.P1Y2TotalGasEnergy,10)="","",INDEX(I.Gas.P1Y2TotalGasEnergy,10))</f>
        <v/>
      </c>
      <c r="G25839" s="62"/>
      <c r="H25839" s="46" t="str">
        <f>IF(I.Developer.P1=FALSE,"Complete",IF(I.Product.P1GasToPowerStatus&lt;&gt;"Yes","Complete",IF(AND(I.Gas.P1Y2Count&gt;=10,F25839=""),"Incomplete","Complete")))</f>
        <v>Complete</v>
      </c>
      <c r="I25839" s="48" t="s">
        <v>1018</v>
      </c>
    </row>
    <row r="25840" spans="2:9" ht="15" customHeight="1" x14ac:dyDescent="0.25">
      <c r="B25840" s="55" t="s">
        <v>364</v>
      </c>
      <c r="C25840" s="46">
        <v>11</v>
      </c>
      <c r="D25840" s="69" t="s">
        <v>29501</v>
      </c>
      <c r="E25840" s="62"/>
      <c r="F25840" s="62" t="str">
        <f>IF(INDEX(I.Gas.P1Y2TotalGasEnergy,11)="","",INDEX(I.Gas.P1Y2TotalGasEnergy,11))</f>
        <v/>
      </c>
      <c r="G25840" s="62"/>
      <c r="H25840" s="46" t="str">
        <f>IF(I.Developer.P1=FALSE,"Complete",IF(I.Product.P1GasToPowerStatus&lt;&gt;"Yes","Complete",IF(AND(I.Gas.P1Y2Count&gt;=11,F25840=""),"Incomplete","Complete")))</f>
        <v>Complete</v>
      </c>
      <c r="I25840" s="48" t="s">
        <v>1019</v>
      </c>
    </row>
    <row r="25841" spans="2:9" ht="15" customHeight="1" x14ac:dyDescent="0.25">
      <c r="B25841" s="55" t="s">
        <v>364</v>
      </c>
      <c r="C25841" s="46">
        <v>12</v>
      </c>
      <c r="D25841" s="69" t="s">
        <v>29501</v>
      </c>
      <c r="E25841" s="62"/>
      <c r="F25841" s="62" t="str">
        <f>IF(INDEX(I.Gas.P1Y2TotalGasEnergy,12)="","",INDEX(I.Gas.P1Y2TotalGasEnergy,12))</f>
        <v/>
      </c>
      <c r="G25841" s="62"/>
      <c r="H25841" s="46" t="str">
        <f>IF(I.Developer.P1=FALSE,"Complete",IF(I.Product.P1GasToPowerStatus&lt;&gt;"Yes","Complete",IF(AND(I.Gas.P1Y2Count&gt;=12,F25841=""),"Incomplete","Complete")))</f>
        <v>Complete</v>
      </c>
      <c r="I25841" s="48" t="s">
        <v>1020</v>
      </c>
    </row>
    <row r="25842" spans="2:9" ht="15" customHeight="1" x14ac:dyDescent="0.25">
      <c r="B25842" s="55" t="s">
        <v>364</v>
      </c>
      <c r="C25842" s="46">
        <v>13</v>
      </c>
      <c r="D25842" s="69" t="s">
        <v>29501</v>
      </c>
      <c r="E25842" s="62"/>
      <c r="F25842" s="62" t="str">
        <f>IF(INDEX(I.Gas.P1Y2TotalGasEnergy,13)="","",INDEX(I.Gas.P1Y2TotalGasEnergy,13))</f>
        <v/>
      </c>
      <c r="G25842" s="62"/>
      <c r="H25842" s="46" t="str">
        <f>IF(I.Developer.P1=FALSE,"Complete",IF(I.Product.P1GasToPowerStatus&lt;&gt;"Yes","Complete",IF(AND(I.Gas.P1Y2Count&gt;=13,F25842=""),"Incomplete","Complete")))</f>
        <v>Complete</v>
      </c>
      <c r="I25842" s="48" t="s">
        <v>1021</v>
      </c>
    </row>
    <row r="25843" spans="2:9" ht="15" customHeight="1" x14ac:dyDescent="0.25">
      <c r="B25843" s="55" t="s">
        <v>364</v>
      </c>
      <c r="C25843" s="46">
        <v>14</v>
      </c>
      <c r="D25843" s="69" t="s">
        <v>29501</v>
      </c>
      <c r="E25843" s="62"/>
      <c r="F25843" s="62" t="str">
        <f>IF(INDEX(I.Gas.P1Y2TotalGasEnergy,14)="","",INDEX(I.Gas.P1Y2TotalGasEnergy,14))</f>
        <v/>
      </c>
      <c r="G25843" s="62"/>
      <c r="H25843" s="46" t="str">
        <f>IF(I.Developer.P1=FALSE,"Complete",IF(I.Product.P1GasToPowerStatus&lt;&gt;"Yes","Complete",IF(AND(I.Gas.P1Y2Count&gt;=14,F25843=""),"Incomplete","Complete")))</f>
        <v>Complete</v>
      </c>
      <c r="I25843" s="48" t="s">
        <v>1022</v>
      </c>
    </row>
    <row r="25844" spans="2:9" ht="15" customHeight="1" x14ac:dyDescent="0.25">
      <c r="B25844" s="55" t="s">
        <v>364</v>
      </c>
      <c r="C25844" s="46">
        <v>15</v>
      </c>
      <c r="D25844" s="69" t="s">
        <v>29501</v>
      </c>
      <c r="E25844" s="62"/>
      <c r="F25844" s="62" t="str">
        <f>IF(INDEX(I.Gas.P1Y2TotalGasEnergy,15)="","",INDEX(I.Gas.P1Y2TotalGasEnergy,15))</f>
        <v/>
      </c>
      <c r="G25844" s="62"/>
      <c r="H25844" s="46" t="str">
        <f>IF(I.Developer.P1=FALSE,"Complete",IF(I.Product.P1GasToPowerStatus&lt;&gt;"Yes","Complete",IF(AND(I.Gas.P1Y2Count&gt;=15,F25844=""),"Incomplete","Complete")))</f>
        <v>Complete</v>
      </c>
      <c r="I25844" s="48" t="s">
        <v>1023</v>
      </c>
    </row>
    <row r="25845" spans="2:9" ht="15" customHeight="1" x14ac:dyDescent="0.25">
      <c r="B25845" s="55" t="s">
        <v>364</v>
      </c>
      <c r="C25845" s="46">
        <v>16</v>
      </c>
      <c r="D25845" s="69" t="s">
        <v>29501</v>
      </c>
      <c r="E25845" s="62"/>
      <c r="F25845" s="62" t="str">
        <f>IF(INDEX(I.Gas.P1Y2TotalGasEnergy,16)="","",INDEX(I.Gas.P1Y2TotalGasEnergy,16))</f>
        <v/>
      </c>
      <c r="G25845" s="62"/>
      <c r="H25845" s="46" t="str">
        <f>IF(I.Developer.P1=FALSE,"Complete",IF(I.Product.P1GasToPowerStatus&lt;&gt;"Yes","Complete",IF(AND(I.Gas.P1Y2Count&gt;=16,F25845=""),"Incomplete","Complete")))</f>
        <v>Complete</v>
      </c>
      <c r="I25845" s="48" t="s">
        <v>1024</v>
      </c>
    </row>
    <row r="25846" spans="2:9" ht="15" customHeight="1" x14ac:dyDescent="0.25">
      <c r="B25846" s="55" t="s">
        <v>364</v>
      </c>
      <c r="C25846" s="46">
        <v>17</v>
      </c>
      <c r="D25846" s="69" t="s">
        <v>29501</v>
      </c>
      <c r="E25846" s="62"/>
      <c r="F25846" s="62" t="str">
        <f>IF(INDEX(I.Gas.P1Y2TotalGasEnergy,17)="","",INDEX(I.Gas.P1Y2TotalGasEnergy,17))</f>
        <v/>
      </c>
      <c r="G25846" s="62"/>
      <c r="H25846" s="46" t="str">
        <f>IF(I.Developer.P1=FALSE,"Complete",IF(I.Product.P1GasToPowerStatus&lt;&gt;"Yes","Complete",IF(AND(I.Gas.P1Y2Count&gt;=17,F25846=""),"Incomplete","Complete")))</f>
        <v>Complete</v>
      </c>
      <c r="I25846" s="48" t="s">
        <v>1025</v>
      </c>
    </row>
    <row r="25847" spans="2:9" ht="15" customHeight="1" x14ac:dyDescent="0.25">
      <c r="B25847" s="55" t="s">
        <v>364</v>
      </c>
      <c r="C25847" s="46">
        <v>18</v>
      </c>
      <c r="D25847" s="69" t="s">
        <v>29501</v>
      </c>
      <c r="E25847" s="62"/>
      <c r="F25847" s="62" t="str">
        <f>IF(INDEX(I.Gas.P1Y2TotalGasEnergy,18)="","",INDEX(I.Gas.P1Y2TotalGasEnergy,18))</f>
        <v/>
      </c>
      <c r="G25847" s="62"/>
      <c r="H25847" s="46" t="str">
        <f>IF(I.Developer.P1=FALSE,"Complete",IF(I.Product.P1GasToPowerStatus&lt;&gt;"Yes","Complete",IF(AND(I.Gas.P1Y2Count&gt;=18,F25847=""),"Incomplete","Complete")))</f>
        <v>Complete</v>
      </c>
      <c r="I25847" s="48" t="s">
        <v>1026</v>
      </c>
    </row>
    <row r="25848" spans="2:9" ht="15" customHeight="1" x14ac:dyDescent="0.25">
      <c r="B25848" s="55" t="s">
        <v>364</v>
      </c>
      <c r="C25848" s="46">
        <v>19</v>
      </c>
      <c r="D25848" s="69" t="s">
        <v>29501</v>
      </c>
      <c r="E25848" s="62"/>
      <c r="F25848" s="62" t="str">
        <f>IF(INDEX(I.Gas.P1Y2TotalGasEnergy,19)="","",INDEX(I.Gas.P1Y2TotalGasEnergy,19))</f>
        <v/>
      </c>
      <c r="G25848" s="62"/>
      <c r="H25848" s="46" t="str">
        <f>IF(I.Developer.P1=FALSE,"Complete",IF(I.Product.P1GasToPowerStatus&lt;&gt;"Yes","Complete",IF(AND(I.Gas.P1Y2Count&gt;=19,F25848=""),"Incomplete","Complete")))</f>
        <v>Complete</v>
      </c>
      <c r="I25848" s="48" t="s">
        <v>1027</v>
      </c>
    </row>
    <row r="25849" spans="2:9" ht="15" customHeight="1" x14ac:dyDescent="0.25">
      <c r="B25849" s="55" t="s">
        <v>364</v>
      </c>
      <c r="C25849" s="46">
        <v>20</v>
      </c>
      <c r="D25849" s="69" t="s">
        <v>29501</v>
      </c>
      <c r="E25849" s="62"/>
      <c r="F25849" s="62" t="str">
        <f>IF(INDEX(I.Gas.P1Y2TotalGasEnergy,20)="","",INDEX(I.Gas.P1Y2TotalGasEnergy,20))</f>
        <v/>
      </c>
      <c r="G25849" s="62"/>
      <c r="H25849" s="46" t="str">
        <f>IF(I.Developer.P1=FALSE,"Complete",IF(I.Product.P1GasToPowerStatus&lt;&gt;"Yes","Complete",IF(AND(I.Gas.P1Y2Count&gt;=20,F25849=""),"Incomplete","Complete")))</f>
        <v>Complete</v>
      </c>
      <c r="I25849" s="48" t="s">
        <v>1028</v>
      </c>
    </row>
    <row r="25850" spans="2:9" ht="15" customHeight="1" x14ac:dyDescent="0.25">
      <c r="B25850" s="55" t="s">
        <v>364</v>
      </c>
      <c r="C25850" s="46">
        <v>21</v>
      </c>
      <c r="D25850" s="69" t="s">
        <v>29501</v>
      </c>
      <c r="E25850" s="62"/>
      <c r="F25850" s="62" t="str">
        <f>IF(INDEX(I.Gas.P1Y2TotalGasEnergy,21)="","",INDEX(I.Gas.P1Y2TotalGasEnergy,21))</f>
        <v/>
      </c>
      <c r="G25850" s="62"/>
      <c r="H25850" s="46" t="str">
        <f>IF(I.Developer.P1=FALSE,"Complete",IF(I.Product.P1GasToPowerStatus&lt;&gt;"Yes","Complete",IF(AND(I.Gas.P1Y2Count&gt;=21,F25850=""),"Incomplete","Complete")))</f>
        <v>Complete</v>
      </c>
      <c r="I25850" s="48" t="s">
        <v>1029</v>
      </c>
    </row>
    <row r="25851" spans="2:9" ht="15" customHeight="1" x14ac:dyDescent="0.25">
      <c r="B25851" s="55" t="s">
        <v>364</v>
      </c>
      <c r="C25851" s="46">
        <v>22</v>
      </c>
      <c r="D25851" s="69" t="s">
        <v>29501</v>
      </c>
      <c r="E25851" s="62"/>
      <c r="F25851" s="62" t="str">
        <f>IF(INDEX(I.Gas.P1Y2TotalGasEnergy,22)="","",INDEX(I.Gas.P1Y2TotalGasEnergy,22))</f>
        <v/>
      </c>
      <c r="G25851" s="62"/>
      <c r="H25851" s="46" t="str">
        <f>IF(I.Developer.P1=FALSE,"Complete",IF(I.Product.P1GasToPowerStatus&lt;&gt;"Yes","Complete",IF(AND(I.Gas.P1Y2Count&gt;=22,F25851=""),"Incomplete","Complete")))</f>
        <v>Complete</v>
      </c>
      <c r="I25851" s="48" t="s">
        <v>1030</v>
      </c>
    </row>
    <row r="25852" spans="2:9" ht="15" customHeight="1" x14ac:dyDescent="0.25">
      <c r="B25852" s="55" t="s">
        <v>364</v>
      </c>
      <c r="C25852" s="46">
        <v>23</v>
      </c>
      <c r="D25852" s="69" t="s">
        <v>29501</v>
      </c>
      <c r="E25852" s="62"/>
      <c r="F25852" s="62" t="str">
        <f>IF(INDEX(I.Gas.P1Y2TotalGasEnergy,23)="","",INDEX(I.Gas.P1Y2TotalGasEnergy,23))</f>
        <v/>
      </c>
      <c r="G25852" s="62"/>
      <c r="H25852" s="46" t="str">
        <f>IF(I.Developer.P1=FALSE,"Complete",IF(I.Product.P1GasToPowerStatus&lt;&gt;"Yes","Complete",IF(AND(I.Gas.P1Y2Count&gt;=23,F25852=""),"Incomplete","Complete")))</f>
        <v>Complete</v>
      </c>
      <c r="I25852" s="48" t="s">
        <v>1031</v>
      </c>
    </row>
    <row r="25853" spans="2:9" ht="15" customHeight="1" x14ac:dyDescent="0.25">
      <c r="B25853" s="55" t="s">
        <v>364</v>
      </c>
      <c r="C25853" s="46">
        <v>24</v>
      </c>
      <c r="D25853" s="69" t="s">
        <v>29501</v>
      </c>
      <c r="E25853" s="62"/>
      <c r="F25853" s="62" t="str">
        <f>IF(INDEX(I.Gas.P1Y2TotalGasEnergy,24)="","",INDEX(I.Gas.P1Y2TotalGasEnergy,24))</f>
        <v/>
      </c>
      <c r="G25853" s="62"/>
      <c r="H25853" s="46" t="str">
        <f>IF(I.Developer.P1=FALSE,"Complete",IF(I.Product.P1GasToPowerStatus&lt;&gt;"Yes","Complete",IF(AND(I.Gas.P1Y2Count&gt;=24,F25853=""),"Incomplete","Complete")))</f>
        <v>Complete</v>
      </c>
      <c r="I25853" s="48" t="s">
        <v>1032</v>
      </c>
    </row>
    <row r="25854" spans="2:9" ht="15" customHeight="1" x14ac:dyDescent="0.25">
      <c r="B25854" s="55" t="s">
        <v>364</v>
      </c>
      <c r="C25854" s="46">
        <v>25</v>
      </c>
      <c r="D25854" s="69" t="s">
        <v>29501</v>
      </c>
      <c r="E25854" s="62"/>
      <c r="F25854" s="62" t="str">
        <f>IF(INDEX(I.Gas.P1Y2TotalGasEnergy,25)="","",INDEX(I.Gas.P1Y2TotalGasEnergy,25))</f>
        <v/>
      </c>
      <c r="G25854" s="62"/>
      <c r="H25854" s="46" t="str">
        <f>IF(I.Developer.P1=FALSE,"Complete",IF(I.Product.P1GasToPowerStatus&lt;&gt;"Yes","Complete",IF(AND(I.Gas.P1Y2Count&gt;=25,F25854=""),"Incomplete","Complete")))</f>
        <v>Complete</v>
      </c>
      <c r="I25854" s="48" t="s">
        <v>1033</v>
      </c>
    </row>
    <row r="25855" spans="2:9" ht="15" customHeight="1" x14ac:dyDescent="0.25">
      <c r="B25855" s="55" t="s">
        <v>364</v>
      </c>
      <c r="C25855" s="46">
        <v>26</v>
      </c>
      <c r="D25855" s="69" t="s">
        <v>29501</v>
      </c>
      <c r="E25855" s="62"/>
      <c r="F25855" s="62" t="str">
        <f>IF(INDEX(I.Gas.P1Y2TotalGasEnergy,26)="","",INDEX(I.Gas.P1Y2TotalGasEnergy,26))</f>
        <v/>
      </c>
      <c r="G25855" s="62"/>
      <c r="H25855" s="46" t="str">
        <f>IF(I.Developer.P1=FALSE,"Complete",IF(I.Product.P1GasToPowerStatus&lt;&gt;"Yes","Complete",IF(AND(I.Gas.P1Y2Count&gt;=26,F25855=""),"Incomplete","Complete")))</f>
        <v>Complete</v>
      </c>
      <c r="I25855" s="48" t="s">
        <v>1034</v>
      </c>
    </row>
    <row r="25856" spans="2:9" ht="15" customHeight="1" x14ac:dyDescent="0.25">
      <c r="B25856" s="55" t="s">
        <v>364</v>
      </c>
      <c r="C25856" s="46">
        <v>27</v>
      </c>
      <c r="D25856" s="69" t="s">
        <v>29501</v>
      </c>
      <c r="E25856" s="62"/>
      <c r="F25856" s="62" t="str">
        <f>IF(INDEX(I.Gas.P1Y2TotalGasEnergy,27)="","",INDEX(I.Gas.P1Y2TotalGasEnergy,27))</f>
        <v/>
      </c>
      <c r="G25856" s="62"/>
      <c r="H25856" s="46" t="str">
        <f>IF(I.Developer.P1=FALSE,"Complete",IF(I.Product.P1GasToPowerStatus&lt;&gt;"Yes","Complete",IF(AND(I.Gas.P1Y2Count&gt;=27,F25856=""),"Incomplete","Complete")))</f>
        <v>Complete</v>
      </c>
      <c r="I25856" s="48" t="s">
        <v>1035</v>
      </c>
    </row>
    <row r="25857" spans="2:9" ht="15" customHeight="1" x14ac:dyDescent="0.25">
      <c r="B25857" s="55" t="s">
        <v>364</v>
      </c>
      <c r="C25857" s="46">
        <v>28</v>
      </c>
      <c r="D25857" s="69" t="s">
        <v>29501</v>
      </c>
      <c r="E25857" s="62"/>
      <c r="F25857" s="62" t="str">
        <f>IF(INDEX(I.Gas.P1Y2TotalGasEnergy,28)="","",INDEX(I.Gas.P1Y2TotalGasEnergy,28))</f>
        <v/>
      </c>
      <c r="G25857" s="62"/>
      <c r="H25857" s="46" t="str">
        <f>IF(I.Developer.P1=FALSE,"Complete",IF(I.Product.P1GasToPowerStatus&lt;&gt;"Yes","Complete",IF(AND(I.Gas.P1Y2Count&gt;=28,F25857=""),"Incomplete","Complete")))</f>
        <v>Complete</v>
      </c>
      <c r="I25857" s="48" t="s">
        <v>1036</v>
      </c>
    </row>
    <row r="25858" spans="2:9" ht="15" customHeight="1" x14ac:dyDescent="0.25">
      <c r="B25858" s="55" t="s">
        <v>364</v>
      </c>
      <c r="C25858" s="46">
        <v>29</v>
      </c>
      <c r="D25858" s="69" t="s">
        <v>29501</v>
      </c>
      <c r="E25858" s="62"/>
      <c r="F25858" s="62" t="str">
        <f>IF(INDEX(I.Gas.P1Y2TotalGasEnergy,29)="","",INDEX(I.Gas.P1Y2TotalGasEnergy,29))</f>
        <v/>
      </c>
      <c r="G25858" s="62"/>
      <c r="H25858" s="46" t="str">
        <f>IF(I.Developer.P1=FALSE,"Complete",IF(I.Product.P1GasToPowerStatus&lt;&gt;"Yes","Complete",IF(AND(I.Gas.P1Y2Count&gt;=29,F25858=""),"Incomplete","Complete")))</f>
        <v>Complete</v>
      </c>
      <c r="I25858" s="48" t="s">
        <v>1037</v>
      </c>
    </row>
    <row r="25859" spans="2:9" ht="15" customHeight="1" x14ac:dyDescent="0.25">
      <c r="B25859" s="55" t="s">
        <v>364</v>
      </c>
      <c r="C25859" s="46">
        <v>30</v>
      </c>
      <c r="D25859" s="69" t="s">
        <v>29501</v>
      </c>
      <c r="E25859" s="62"/>
      <c r="F25859" s="62" t="str">
        <f>IF(INDEX(I.Gas.P1Y2TotalGasEnergy,30)="","",INDEX(I.Gas.P1Y2TotalGasEnergy,30))</f>
        <v/>
      </c>
      <c r="G25859" s="62"/>
      <c r="H25859" s="46" t="str">
        <f>IF(I.Developer.P1=FALSE,"Complete",IF(I.Product.P1GasToPowerStatus&lt;&gt;"Yes","Complete",IF(AND(I.Gas.P1Y2Count&gt;=30,F25859=""),"Incomplete","Complete")))</f>
        <v>Complete</v>
      </c>
      <c r="I25859" s="48" t="s">
        <v>1038</v>
      </c>
    </row>
    <row r="25860" spans="2:9" ht="15" customHeight="1" x14ac:dyDescent="0.25">
      <c r="B25860" s="55" t="s">
        <v>364</v>
      </c>
      <c r="C25860" s="46">
        <v>31</v>
      </c>
      <c r="D25860" s="69" t="s">
        <v>29501</v>
      </c>
      <c r="E25860" s="62"/>
      <c r="F25860" s="62" t="str">
        <f>IF(INDEX(I.Gas.P1Y2TotalGasEnergy,31)="","",INDEX(I.Gas.P1Y2TotalGasEnergy,31))</f>
        <v/>
      </c>
      <c r="G25860" s="62"/>
      <c r="H25860" s="46" t="str">
        <f>IF(I.Developer.P1=FALSE,"Complete",IF(I.Product.P1GasToPowerStatus&lt;&gt;"Yes","Complete",IF(AND(I.Gas.P1Y2Count&gt;=31,F25860=""),"Incomplete","Complete")))</f>
        <v>Complete</v>
      </c>
      <c r="I25860" s="48" t="s">
        <v>1039</v>
      </c>
    </row>
    <row r="25861" spans="2:9" ht="15" customHeight="1" x14ac:dyDescent="0.25">
      <c r="B25861" s="55" t="s">
        <v>364</v>
      </c>
      <c r="C25861" s="46">
        <v>32</v>
      </c>
      <c r="D25861" s="69" t="s">
        <v>29501</v>
      </c>
      <c r="E25861" s="62"/>
      <c r="F25861" s="62" t="str">
        <f>IF(INDEX(I.Gas.P1Y2TotalGasEnergy,32)="","",INDEX(I.Gas.P1Y2TotalGasEnergy,32))</f>
        <v/>
      </c>
      <c r="G25861" s="62"/>
      <c r="H25861" s="46" t="str">
        <f>IF(I.Developer.P1=FALSE,"Complete",IF(I.Product.P1GasToPowerStatus&lt;&gt;"Yes","Complete",IF(AND(I.Gas.P1Y2Count&gt;=32,F25861=""),"Incomplete","Complete")))</f>
        <v>Complete</v>
      </c>
      <c r="I25861" s="48" t="s">
        <v>1040</v>
      </c>
    </row>
    <row r="25862" spans="2:9" ht="15" customHeight="1" x14ac:dyDescent="0.25">
      <c r="B25862" s="55" t="s">
        <v>364</v>
      </c>
      <c r="C25862" s="46">
        <v>33</v>
      </c>
      <c r="D25862" s="69" t="s">
        <v>29501</v>
      </c>
      <c r="E25862" s="62"/>
      <c r="F25862" s="62" t="str">
        <f>IF(INDEX(I.Gas.P1Y2TotalGasEnergy,33)="","",INDEX(I.Gas.P1Y2TotalGasEnergy,33))</f>
        <v/>
      </c>
      <c r="G25862" s="62"/>
      <c r="H25862" s="46" t="str">
        <f>IF(I.Developer.P1=FALSE,"Complete",IF(I.Product.P1GasToPowerStatus&lt;&gt;"Yes","Complete",IF(AND(I.Gas.P1Y2Count&gt;=33,F25862=""),"Incomplete","Complete")))</f>
        <v>Complete</v>
      </c>
      <c r="I25862" s="48" t="s">
        <v>1041</v>
      </c>
    </row>
    <row r="25863" spans="2:9" ht="15" customHeight="1" x14ac:dyDescent="0.25">
      <c r="B25863" s="55" t="s">
        <v>364</v>
      </c>
      <c r="C25863" s="46">
        <v>34</v>
      </c>
      <c r="D25863" s="69" t="s">
        <v>29501</v>
      </c>
      <c r="E25863" s="62"/>
      <c r="F25863" s="62" t="str">
        <f>IF(INDEX(I.Gas.P1Y2TotalGasEnergy,34)="","",INDEX(I.Gas.P1Y2TotalGasEnergy,34))</f>
        <v/>
      </c>
      <c r="G25863" s="62"/>
      <c r="H25863" s="46" t="str">
        <f>IF(I.Developer.P1=FALSE,"Complete",IF(I.Product.P1GasToPowerStatus&lt;&gt;"Yes","Complete",IF(AND(I.Gas.P1Y2Count&gt;=34,F25863=""),"Incomplete","Complete")))</f>
        <v>Complete</v>
      </c>
      <c r="I25863" s="48" t="s">
        <v>1042</v>
      </c>
    </row>
    <row r="25864" spans="2:9" ht="15" customHeight="1" x14ac:dyDescent="0.25">
      <c r="B25864" s="55" t="s">
        <v>364</v>
      </c>
      <c r="C25864" s="46">
        <v>35</v>
      </c>
      <c r="D25864" s="69" t="s">
        <v>29501</v>
      </c>
      <c r="E25864" s="62"/>
      <c r="F25864" s="62" t="str">
        <f>IF(INDEX(I.Gas.P1Y2TotalGasEnergy,35)="","",INDEX(I.Gas.P1Y2TotalGasEnergy,35))</f>
        <v/>
      </c>
      <c r="G25864" s="62"/>
      <c r="H25864" s="46" t="str">
        <f>IF(I.Developer.P1=FALSE,"Complete",IF(I.Product.P1GasToPowerStatus&lt;&gt;"Yes","Complete",IF(AND(I.Gas.P1Y2Count&gt;=35,F25864=""),"Incomplete","Complete")))</f>
        <v>Complete</v>
      </c>
      <c r="I25864" s="48" t="s">
        <v>1043</v>
      </c>
    </row>
    <row r="25865" spans="2:9" ht="15" customHeight="1" x14ac:dyDescent="0.25">
      <c r="B25865" s="55" t="s">
        <v>364</v>
      </c>
      <c r="C25865" s="46">
        <v>36</v>
      </c>
      <c r="D25865" s="69" t="s">
        <v>29501</v>
      </c>
      <c r="E25865" s="62"/>
      <c r="F25865" s="62" t="str">
        <f>IF(INDEX(I.Gas.P1Y2TotalGasEnergy,36)="","",INDEX(I.Gas.P1Y2TotalGasEnergy,36))</f>
        <v/>
      </c>
      <c r="G25865" s="62"/>
      <c r="H25865" s="46" t="str">
        <f>IF(I.Developer.P1=FALSE,"Complete",IF(I.Product.P1GasToPowerStatus&lt;&gt;"Yes","Complete",IF(AND(I.Gas.P1Y2Count&gt;=36,F25865=""),"Incomplete","Complete")))</f>
        <v>Complete</v>
      </c>
      <c r="I25865" s="48" t="s">
        <v>1044</v>
      </c>
    </row>
    <row r="25866" spans="2:9" ht="15" customHeight="1" x14ac:dyDescent="0.25">
      <c r="B25866" s="55" t="s">
        <v>364</v>
      </c>
      <c r="C25866" s="46">
        <v>37</v>
      </c>
      <c r="D25866" s="69" t="s">
        <v>29501</v>
      </c>
      <c r="E25866" s="62"/>
      <c r="F25866" s="62" t="str">
        <f>IF(INDEX(I.Gas.P1Y2TotalGasEnergy,37)="","",INDEX(I.Gas.P1Y2TotalGasEnergy,37))</f>
        <v/>
      </c>
      <c r="G25866" s="62"/>
      <c r="H25866" s="46" t="str">
        <f>IF(I.Developer.P1=FALSE,"Complete",IF(I.Product.P1GasToPowerStatus&lt;&gt;"Yes","Complete",IF(AND(I.Gas.P1Y2Count&gt;=37,F25866=""),"Incomplete","Complete")))</f>
        <v>Complete</v>
      </c>
      <c r="I25866" s="48" t="s">
        <v>1045</v>
      </c>
    </row>
    <row r="25867" spans="2:9" ht="15" customHeight="1" x14ac:dyDescent="0.25">
      <c r="B25867" s="55" t="s">
        <v>364</v>
      </c>
      <c r="C25867" s="46">
        <v>38</v>
      </c>
      <c r="D25867" s="69" t="s">
        <v>29501</v>
      </c>
      <c r="E25867" s="62"/>
      <c r="F25867" s="62" t="str">
        <f>IF(INDEX(I.Gas.P1Y2TotalGasEnergy,38)="","",INDEX(I.Gas.P1Y2TotalGasEnergy,38))</f>
        <v/>
      </c>
      <c r="G25867" s="62"/>
      <c r="H25867" s="46" t="str">
        <f>IF(I.Developer.P1=FALSE,"Complete",IF(I.Product.P1GasToPowerStatus&lt;&gt;"Yes","Complete",IF(AND(I.Gas.P1Y2Count&gt;=38,F25867=""),"Incomplete","Complete")))</f>
        <v>Complete</v>
      </c>
      <c r="I25867" s="48" t="s">
        <v>1046</v>
      </c>
    </row>
    <row r="25868" spans="2:9" ht="15" customHeight="1" x14ac:dyDescent="0.25">
      <c r="B25868" s="55" t="s">
        <v>364</v>
      </c>
      <c r="C25868" s="46">
        <v>39</v>
      </c>
      <c r="D25868" s="69" t="s">
        <v>29501</v>
      </c>
      <c r="E25868" s="62"/>
      <c r="F25868" s="62" t="str">
        <f>IF(INDEX(I.Gas.P1Y2TotalGasEnergy,39)="","",INDEX(I.Gas.P1Y2TotalGasEnergy,39))</f>
        <v/>
      </c>
      <c r="G25868" s="62"/>
      <c r="H25868" s="46" t="str">
        <f>IF(I.Developer.P1=FALSE,"Complete",IF(I.Product.P1GasToPowerStatus&lt;&gt;"Yes","Complete",IF(AND(I.Gas.P1Y2Count&gt;=39,F25868=""),"Incomplete","Complete")))</f>
        <v>Complete</v>
      </c>
      <c r="I25868" s="48" t="s">
        <v>1047</v>
      </c>
    </row>
    <row r="25869" spans="2:9" ht="15" customHeight="1" x14ac:dyDescent="0.25">
      <c r="B25869" s="55" t="s">
        <v>364</v>
      </c>
      <c r="C25869" s="46">
        <v>40</v>
      </c>
      <c r="D25869" s="69" t="s">
        <v>29501</v>
      </c>
      <c r="E25869" s="62"/>
      <c r="F25869" s="62" t="str">
        <f>IF(INDEX(I.Gas.P1Y2TotalGasEnergy,40)="","",INDEX(I.Gas.P1Y2TotalGasEnergy,40))</f>
        <v/>
      </c>
      <c r="G25869" s="62"/>
      <c r="H25869" s="46" t="str">
        <f>IF(I.Developer.P1=FALSE,"Complete",IF(I.Product.P1GasToPowerStatus&lt;&gt;"Yes","Complete",IF(AND(I.Gas.P1Y2Count&gt;=40,F25869=""),"Incomplete","Complete")))</f>
        <v>Complete</v>
      </c>
      <c r="I25869" s="48" t="s">
        <v>1048</v>
      </c>
    </row>
    <row r="25870" spans="2:9" ht="15" customHeight="1" x14ac:dyDescent="0.25">
      <c r="B25870" s="55" t="s">
        <v>364</v>
      </c>
      <c r="C25870" s="46">
        <v>41</v>
      </c>
      <c r="D25870" s="69" t="s">
        <v>29501</v>
      </c>
      <c r="E25870" s="62"/>
      <c r="F25870" s="62" t="str">
        <f>IF(INDEX(I.Gas.P1Y2TotalGasEnergy,41)="","",INDEX(I.Gas.P1Y2TotalGasEnergy,41))</f>
        <v/>
      </c>
      <c r="G25870" s="62"/>
      <c r="H25870" s="46" t="str">
        <f>IF(I.Developer.P1=FALSE,"Complete",IF(I.Product.P1GasToPowerStatus&lt;&gt;"Yes","Complete",IF(AND(I.Gas.P1Y2Count&gt;=41,F25870=""),"Incomplete","Complete")))</f>
        <v>Complete</v>
      </c>
      <c r="I25870" s="48" t="s">
        <v>1049</v>
      </c>
    </row>
    <row r="25871" spans="2:9" ht="15" customHeight="1" x14ac:dyDescent="0.25">
      <c r="B25871" s="55" t="s">
        <v>364</v>
      </c>
      <c r="C25871" s="46">
        <v>42</v>
      </c>
      <c r="D25871" s="69" t="s">
        <v>29501</v>
      </c>
      <c r="E25871" s="62"/>
      <c r="F25871" s="62" t="str">
        <f>IF(INDEX(I.Gas.P1Y2TotalGasEnergy,42)="","",INDEX(I.Gas.P1Y2TotalGasEnergy,42))</f>
        <v/>
      </c>
      <c r="G25871" s="62"/>
      <c r="H25871" s="46" t="str">
        <f>IF(I.Developer.P1=FALSE,"Complete",IF(I.Product.P1GasToPowerStatus&lt;&gt;"Yes","Complete",IF(AND(I.Gas.P1Y2Count&gt;=42,F25871=""),"Incomplete","Complete")))</f>
        <v>Complete</v>
      </c>
      <c r="I25871" s="48" t="s">
        <v>1050</v>
      </c>
    </row>
    <row r="25872" spans="2:9" ht="15" customHeight="1" x14ac:dyDescent="0.25">
      <c r="B25872" s="55" t="s">
        <v>364</v>
      </c>
      <c r="C25872" s="46">
        <v>43</v>
      </c>
      <c r="D25872" s="69" t="s">
        <v>29501</v>
      </c>
      <c r="E25872" s="62"/>
      <c r="F25872" s="62" t="str">
        <f>IF(INDEX(I.Gas.P1Y2TotalGasEnergy,43)="","",INDEX(I.Gas.P1Y2TotalGasEnergy,43))</f>
        <v/>
      </c>
      <c r="G25872" s="62"/>
      <c r="H25872" s="46" t="str">
        <f>IF(I.Developer.P1=FALSE,"Complete",IF(I.Product.P1GasToPowerStatus&lt;&gt;"Yes","Complete",IF(AND(I.Gas.P1Y2Count&gt;=43,F25872=""),"Incomplete","Complete")))</f>
        <v>Complete</v>
      </c>
      <c r="I25872" s="48" t="s">
        <v>1051</v>
      </c>
    </row>
    <row r="25873" spans="2:9" ht="15" customHeight="1" x14ac:dyDescent="0.25">
      <c r="B25873" s="55" t="s">
        <v>364</v>
      </c>
      <c r="C25873" s="46">
        <v>44</v>
      </c>
      <c r="D25873" s="69" t="s">
        <v>29501</v>
      </c>
      <c r="E25873" s="62"/>
      <c r="F25873" s="62" t="str">
        <f>IF(INDEX(I.Gas.P1Y2TotalGasEnergy,44)="","",INDEX(I.Gas.P1Y2TotalGasEnergy,44))</f>
        <v/>
      </c>
      <c r="G25873" s="62"/>
      <c r="H25873" s="46" t="str">
        <f>IF(I.Developer.P1=FALSE,"Complete",IF(I.Product.P1GasToPowerStatus&lt;&gt;"Yes","Complete",IF(AND(I.Gas.P1Y2Count&gt;=44,F25873=""),"Incomplete","Complete")))</f>
        <v>Complete</v>
      </c>
      <c r="I25873" s="48" t="s">
        <v>1052</v>
      </c>
    </row>
    <row r="25874" spans="2:9" ht="15" customHeight="1" x14ac:dyDescent="0.25">
      <c r="B25874" s="55" t="s">
        <v>364</v>
      </c>
      <c r="C25874" s="46">
        <v>45</v>
      </c>
      <c r="D25874" s="69" t="s">
        <v>29501</v>
      </c>
      <c r="E25874" s="62"/>
      <c r="F25874" s="62" t="str">
        <f>IF(INDEX(I.Gas.P1Y2TotalGasEnergy,45)="","",INDEX(I.Gas.P1Y2TotalGasEnergy,45))</f>
        <v/>
      </c>
      <c r="G25874" s="62"/>
      <c r="H25874" s="46" t="str">
        <f>IF(I.Developer.P1=FALSE,"Complete",IF(I.Product.P1GasToPowerStatus&lt;&gt;"Yes","Complete",IF(AND(I.Gas.P1Y2Count&gt;=45,F25874=""),"Incomplete","Complete")))</f>
        <v>Complete</v>
      </c>
      <c r="I25874" s="48" t="s">
        <v>1053</v>
      </c>
    </row>
    <row r="25875" spans="2:9" ht="15" customHeight="1" x14ac:dyDescent="0.25">
      <c r="B25875" s="55" t="s">
        <v>364</v>
      </c>
      <c r="C25875" s="46">
        <v>46</v>
      </c>
      <c r="D25875" s="69" t="s">
        <v>29501</v>
      </c>
      <c r="E25875" s="62"/>
      <c r="F25875" s="62" t="str">
        <f>IF(INDEX(I.Gas.P1Y2TotalGasEnergy,46)="","",INDEX(I.Gas.P1Y2TotalGasEnergy,46))</f>
        <v/>
      </c>
      <c r="G25875" s="62"/>
      <c r="H25875" s="46" t="str">
        <f>IF(I.Developer.P1=FALSE,"Complete",IF(I.Product.P1GasToPowerStatus&lt;&gt;"Yes","Complete",IF(AND(I.Gas.P1Y2Count&gt;=46,F25875=""),"Incomplete","Complete")))</f>
        <v>Complete</v>
      </c>
      <c r="I25875" s="48" t="s">
        <v>1054</v>
      </c>
    </row>
    <row r="25876" spans="2:9" ht="15" customHeight="1" x14ac:dyDescent="0.25">
      <c r="B25876" s="55" t="s">
        <v>364</v>
      </c>
      <c r="C25876" s="46">
        <v>47</v>
      </c>
      <c r="D25876" s="69" t="s">
        <v>29501</v>
      </c>
      <c r="E25876" s="62"/>
      <c r="F25876" s="62" t="str">
        <f>IF(INDEX(I.Gas.P1Y2TotalGasEnergy,47)="","",INDEX(I.Gas.P1Y2TotalGasEnergy,47))</f>
        <v/>
      </c>
      <c r="G25876" s="62"/>
      <c r="H25876" s="46" t="str">
        <f>IF(I.Developer.P1=FALSE,"Complete",IF(I.Product.P1GasToPowerStatus&lt;&gt;"Yes","Complete",IF(AND(I.Gas.P1Y2Count&gt;=47,F25876=""),"Incomplete","Complete")))</f>
        <v>Complete</v>
      </c>
      <c r="I25876" s="48" t="s">
        <v>1055</v>
      </c>
    </row>
    <row r="25877" spans="2:9" ht="15" customHeight="1" x14ac:dyDescent="0.25">
      <c r="B25877" s="55" t="s">
        <v>364</v>
      </c>
      <c r="C25877" s="46">
        <v>48</v>
      </c>
      <c r="D25877" s="69" t="s">
        <v>29501</v>
      </c>
      <c r="E25877" s="62"/>
      <c r="F25877" s="62" t="str">
        <f>IF(INDEX(I.Gas.P1Y2TotalGasEnergy,48)="","",INDEX(I.Gas.P1Y2TotalGasEnergy,48))</f>
        <v/>
      </c>
      <c r="G25877" s="62"/>
      <c r="H25877" s="46" t="str">
        <f>IF(I.Developer.P1=FALSE,"Complete",IF(I.Product.P1GasToPowerStatus&lt;&gt;"Yes","Complete",IF(AND(I.Gas.P1Y2Count&gt;=48,F25877=""),"Incomplete","Complete")))</f>
        <v>Complete</v>
      </c>
      <c r="I25877" s="48" t="s">
        <v>1056</v>
      </c>
    </row>
    <row r="25878" spans="2:9" ht="15" customHeight="1" x14ac:dyDescent="0.25">
      <c r="B25878" s="55" t="s">
        <v>364</v>
      </c>
      <c r="C25878" s="46">
        <v>49</v>
      </c>
      <c r="D25878" s="69" t="s">
        <v>29501</v>
      </c>
      <c r="E25878" s="62"/>
      <c r="F25878" s="62" t="str">
        <f>IF(INDEX(I.Gas.P1Y2TotalGasEnergy,49)="","",INDEX(I.Gas.P1Y2TotalGasEnergy,49))</f>
        <v/>
      </c>
      <c r="G25878" s="62"/>
      <c r="H25878" s="46" t="str">
        <f>IF(I.Developer.P1=FALSE,"Complete",IF(I.Product.P1GasToPowerStatus&lt;&gt;"Yes","Complete",IF(AND(I.Gas.P1Y2Count&gt;=49,F25878=""),"Incomplete","Complete")))</f>
        <v>Complete</v>
      </c>
      <c r="I25878" s="48" t="s">
        <v>1057</v>
      </c>
    </row>
    <row r="25879" spans="2:9" ht="15" customHeight="1" x14ac:dyDescent="0.25">
      <c r="B25879" s="56" t="s">
        <v>364</v>
      </c>
      <c r="C25879" s="57">
        <v>50</v>
      </c>
      <c r="D25879" s="71" t="s">
        <v>29501</v>
      </c>
      <c r="E25879" s="61"/>
      <c r="F25879" s="61" t="str">
        <f>IF(INDEX(I.Gas.P1Y2TotalGasEnergy,50)="","",INDEX(I.Gas.P1Y2TotalGasEnergy,50))</f>
        <v/>
      </c>
      <c r="G25879" s="61"/>
      <c r="H25879" s="57" t="str">
        <f>IF(I.Developer.P1=FALSE,"Complete",IF(I.Product.P1GasToPowerStatus&lt;&gt;"Yes","Complete",IF(AND(I.Gas.P1Y2Count&gt;=50,F25879=""),"Incomplete","Complete")))</f>
        <v>Complete</v>
      </c>
      <c r="I25879" s="49" t="s">
        <v>1058</v>
      </c>
    </row>
    <row r="25880" spans="2:9" ht="15" customHeight="1" x14ac:dyDescent="0.25">
      <c r="B25880" s="55" t="s">
        <v>365</v>
      </c>
      <c r="C25880" s="46">
        <v>1</v>
      </c>
      <c r="D25880" s="69" t="s">
        <v>29502</v>
      </c>
      <c r="E25880" s="62"/>
      <c r="F25880" s="62" t="str">
        <f>IF(INDEX(I.Gas.P1Y2ElectricityGeneration,1)="","",INDEX(I.Gas.P1Y2ElectricityGeneration,1))</f>
        <v/>
      </c>
      <c r="G25880" s="62"/>
      <c r="H25880" s="46" t="str">
        <f>IF(I.Developer.P1=FALSE,"Complete",IF(I.Product.P1GasToPowerStatus&lt;&gt;"Yes","Complete",IF(AND(I.Gas.P1Y2Count&gt;=1,F25880=""),"Incomplete","Complete")))</f>
        <v>Complete</v>
      </c>
      <c r="I25880" s="48" t="s">
        <v>1059</v>
      </c>
    </row>
    <row r="25881" spans="2:9" ht="15" customHeight="1" x14ac:dyDescent="0.25">
      <c r="B25881" s="55" t="s">
        <v>365</v>
      </c>
      <c r="C25881" s="46">
        <v>2</v>
      </c>
      <c r="D25881" s="69" t="s">
        <v>29502</v>
      </c>
      <c r="E25881" s="62"/>
      <c r="F25881" s="62" t="str">
        <f>IF(INDEX(I.Gas.P1Y2ElectricityGeneration,2)="","",INDEX(I.Gas.P1Y2ElectricityGeneration,2))</f>
        <v/>
      </c>
      <c r="G25881" s="62"/>
      <c r="H25881" s="46" t="str">
        <f>IF(I.Developer.P1=FALSE,"Complete",IF(I.Product.P1GasToPowerStatus&lt;&gt;"Yes","Complete",IF(AND(I.Gas.P1Y2Count&gt;=2,F25881=""),"Incomplete","Complete")))</f>
        <v>Complete</v>
      </c>
      <c r="I25881" s="48" t="s">
        <v>1060</v>
      </c>
    </row>
    <row r="25882" spans="2:9" ht="15" customHeight="1" x14ac:dyDescent="0.25">
      <c r="B25882" s="55" t="s">
        <v>365</v>
      </c>
      <c r="C25882" s="46">
        <v>3</v>
      </c>
      <c r="D25882" s="69" t="s">
        <v>29502</v>
      </c>
      <c r="E25882" s="62"/>
      <c r="F25882" s="62" t="str">
        <f>IF(INDEX(I.Gas.P1Y2ElectricityGeneration,3)="","",INDEX(I.Gas.P1Y2ElectricityGeneration,3))</f>
        <v/>
      </c>
      <c r="G25882" s="62"/>
      <c r="H25882" s="46" t="str">
        <f>IF(I.Developer.P1=FALSE,"Complete",IF(I.Product.P1GasToPowerStatus&lt;&gt;"Yes","Complete",IF(AND(I.Gas.P1Y2Count&gt;=3,F25882=""),"Incomplete","Complete")))</f>
        <v>Complete</v>
      </c>
      <c r="I25882" s="48" t="s">
        <v>1061</v>
      </c>
    </row>
    <row r="25883" spans="2:9" ht="15" customHeight="1" x14ac:dyDescent="0.25">
      <c r="B25883" s="55" t="s">
        <v>365</v>
      </c>
      <c r="C25883" s="46">
        <v>4</v>
      </c>
      <c r="D25883" s="69" t="s">
        <v>29502</v>
      </c>
      <c r="E25883" s="62"/>
      <c r="F25883" s="62" t="str">
        <f>IF(INDEX(I.Gas.P1Y2ElectricityGeneration,4)="","",INDEX(I.Gas.P1Y2ElectricityGeneration,4))</f>
        <v/>
      </c>
      <c r="G25883" s="62"/>
      <c r="H25883" s="46" t="str">
        <f>IF(I.Developer.P1=FALSE,"Complete",IF(I.Product.P1GasToPowerStatus&lt;&gt;"Yes","Complete",IF(AND(I.Gas.P1Y2Count&gt;=4,F25883=""),"Incomplete","Complete")))</f>
        <v>Complete</v>
      </c>
      <c r="I25883" s="48" t="s">
        <v>1062</v>
      </c>
    </row>
    <row r="25884" spans="2:9" ht="15" customHeight="1" x14ac:dyDescent="0.25">
      <c r="B25884" s="55" t="s">
        <v>365</v>
      </c>
      <c r="C25884" s="46">
        <v>5</v>
      </c>
      <c r="D25884" s="69" t="s">
        <v>29502</v>
      </c>
      <c r="E25884" s="62"/>
      <c r="F25884" s="62" t="str">
        <f>IF(INDEX(I.Gas.P1Y2ElectricityGeneration,5)="","",INDEX(I.Gas.P1Y2ElectricityGeneration,5))</f>
        <v/>
      </c>
      <c r="G25884" s="62"/>
      <c r="H25884" s="46" t="str">
        <f>IF(I.Developer.P1=FALSE,"Complete",IF(I.Product.P1GasToPowerStatus&lt;&gt;"Yes","Complete",IF(AND(I.Gas.P1Y2Count&gt;=5,F25884=""),"Incomplete","Complete")))</f>
        <v>Complete</v>
      </c>
      <c r="I25884" s="48" t="s">
        <v>1063</v>
      </c>
    </row>
    <row r="25885" spans="2:9" ht="15" customHeight="1" x14ac:dyDescent="0.25">
      <c r="B25885" s="55" t="s">
        <v>365</v>
      </c>
      <c r="C25885" s="46">
        <v>6</v>
      </c>
      <c r="D25885" s="69" t="s">
        <v>29502</v>
      </c>
      <c r="E25885" s="62"/>
      <c r="F25885" s="62" t="str">
        <f>IF(INDEX(I.Gas.P1Y2ElectricityGeneration,6)="","",INDEX(I.Gas.P1Y2ElectricityGeneration,6))</f>
        <v/>
      </c>
      <c r="G25885" s="62"/>
      <c r="H25885" s="46" t="str">
        <f>IF(I.Developer.P1=FALSE,"Complete",IF(I.Product.P1GasToPowerStatus&lt;&gt;"Yes","Complete",IF(AND(I.Gas.P1Y2Count&gt;=6,F25885=""),"Incomplete","Complete")))</f>
        <v>Complete</v>
      </c>
      <c r="I25885" s="48" t="s">
        <v>1064</v>
      </c>
    </row>
    <row r="25886" spans="2:9" ht="15" customHeight="1" x14ac:dyDescent="0.25">
      <c r="B25886" s="55" t="s">
        <v>365</v>
      </c>
      <c r="C25886" s="46">
        <v>7</v>
      </c>
      <c r="D25886" s="69" t="s">
        <v>29502</v>
      </c>
      <c r="E25886" s="62"/>
      <c r="F25886" s="62" t="str">
        <f>IF(INDEX(I.Gas.P1Y2ElectricityGeneration,7)="","",INDEX(I.Gas.P1Y2ElectricityGeneration,7))</f>
        <v/>
      </c>
      <c r="G25886" s="62"/>
      <c r="H25886" s="46" t="str">
        <f>IF(I.Developer.P1=FALSE,"Complete",IF(I.Product.P1GasToPowerStatus&lt;&gt;"Yes","Complete",IF(AND(I.Gas.P1Y2Count&gt;=7,F25886=""),"Incomplete","Complete")))</f>
        <v>Complete</v>
      </c>
      <c r="I25886" s="48" t="s">
        <v>1065</v>
      </c>
    </row>
    <row r="25887" spans="2:9" ht="15" customHeight="1" x14ac:dyDescent="0.25">
      <c r="B25887" s="55" t="s">
        <v>365</v>
      </c>
      <c r="C25887" s="46">
        <v>8</v>
      </c>
      <c r="D25887" s="69" t="s">
        <v>29502</v>
      </c>
      <c r="E25887" s="62"/>
      <c r="F25887" s="62" t="str">
        <f>IF(INDEX(I.Gas.P1Y2ElectricityGeneration,8)="","",INDEX(I.Gas.P1Y2ElectricityGeneration,8))</f>
        <v/>
      </c>
      <c r="G25887" s="62"/>
      <c r="H25887" s="46" t="str">
        <f>IF(I.Developer.P1=FALSE,"Complete",IF(I.Product.P1GasToPowerStatus&lt;&gt;"Yes","Complete",IF(AND(I.Gas.P1Y2Count&gt;=8,F25887=""),"Incomplete","Complete")))</f>
        <v>Complete</v>
      </c>
      <c r="I25887" s="48" t="s">
        <v>1066</v>
      </c>
    </row>
    <row r="25888" spans="2:9" ht="15" customHeight="1" x14ac:dyDescent="0.25">
      <c r="B25888" s="55" t="s">
        <v>365</v>
      </c>
      <c r="C25888" s="46">
        <v>9</v>
      </c>
      <c r="D25888" s="69" t="s">
        <v>29502</v>
      </c>
      <c r="E25888" s="62"/>
      <c r="F25888" s="62" t="str">
        <f>IF(INDEX(I.Gas.P1Y2ElectricityGeneration,9)="","",INDEX(I.Gas.P1Y2ElectricityGeneration,9))</f>
        <v/>
      </c>
      <c r="G25888" s="62"/>
      <c r="H25888" s="46" t="str">
        <f>IF(I.Developer.P1=FALSE,"Complete",IF(I.Product.P1GasToPowerStatus&lt;&gt;"Yes","Complete",IF(AND(I.Gas.P1Y2Count&gt;=9,F25888=""),"Incomplete","Complete")))</f>
        <v>Complete</v>
      </c>
      <c r="I25888" s="48" t="s">
        <v>1067</v>
      </c>
    </row>
    <row r="25889" spans="2:9" ht="15" customHeight="1" x14ac:dyDescent="0.25">
      <c r="B25889" s="55" t="s">
        <v>365</v>
      </c>
      <c r="C25889" s="46">
        <v>10</v>
      </c>
      <c r="D25889" s="69" t="s">
        <v>29502</v>
      </c>
      <c r="E25889" s="62"/>
      <c r="F25889" s="62" t="str">
        <f>IF(INDEX(I.Gas.P1Y2ElectricityGeneration,10)="","",INDEX(I.Gas.P1Y2ElectricityGeneration,10))</f>
        <v/>
      </c>
      <c r="G25889" s="62"/>
      <c r="H25889" s="46" t="str">
        <f>IF(I.Developer.P1=FALSE,"Complete",IF(I.Product.P1GasToPowerStatus&lt;&gt;"Yes","Complete",IF(AND(I.Gas.P1Y2Count&gt;=10,F25889=""),"Incomplete","Complete")))</f>
        <v>Complete</v>
      </c>
      <c r="I25889" s="48" t="s">
        <v>1068</v>
      </c>
    </row>
    <row r="25890" spans="2:9" ht="15" customHeight="1" x14ac:dyDescent="0.25">
      <c r="B25890" s="55" t="s">
        <v>365</v>
      </c>
      <c r="C25890" s="46">
        <v>11</v>
      </c>
      <c r="D25890" s="69" t="s">
        <v>29502</v>
      </c>
      <c r="E25890" s="62"/>
      <c r="F25890" s="62" t="str">
        <f>IF(INDEX(I.Gas.P1Y2ElectricityGeneration,11)="","",INDEX(I.Gas.P1Y2ElectricityGeneration,11))</f>
        <v/>
      </c>
      <c r="G25890" s="62"/>
      <c r="H25890" s="46" t="str">
        <f>IF(I.Developer.P1=FALSE,"Complete",IF(I.Product.P1GasToPowerStatus&lt;&gt;"Yes","Complete",IF(AND(I.Gas.P1Y2Count&gt;=11,F25890=""),"Incomplete","Complete")))</f>
        <v>Complete</v>
      </c>
      <c r="I25890" s="48" t="s">
        <v>1069</v>
      </c>
    </row>
    <row r="25891" spans="2:9" ht="15" customHeight="1" x14ac:dyDescent="0.25">
      <c r="B25891" s="55" t="s">
        <v>365</v>
      </c>
      <c r="C25891" s="46">
        <v>12</v>
      </c>
      <c r="D25891" s="69" t="s">
        <v>29502</v>
      </c>
      <c r="E25891" s="62"/>
      <c r="F25891" s="62" t="str">
        <f>IF(INDEX(I.Gas.P1Y2ElectricityGeneration,12)="","",INDEX(I.Gas.P1Y2ElectricityGeneration,12))</f>
        <v/>
      </c>
      <c r="G25891" s="62"/>
      <c r="H25891" s="46" t="str">
        <f>IF(I.Developer.P1=FALSE,"Complete",IF(I.Product.P1GasToPowerStatus&lt;&gt;"Yes","Complete",IF(AND(I.Gas.P1Y2Count&gt;=12,F25891=""),"Incomplete","Complete")))</f>
        <v>Complete</v>
      </c>
      <c r="I25891" s="48" t="s">
        <v>1070</v>
      </c>
    </row>
    <row r="25892" spans="2:9" ht="15" customHeight="1" x14ac:dyDescent="0.25">
      <c r="B25892" s="55" t="s">
        <v>365</v>
      </c>
      <c r="C25892" s="46">
        <v>13</v>
      </c>
      <c r="D25892" s="69" t="s">
        <v>29502</v>
      </c>
      <c r="E25892" s="62"/>
      <c r="F25892" s="62" t="str">
        <f>IF(INDEX(I.Gas.P1Y2ElectricityGeneration,13)="","",INDEX(I.Gas.P1Y2ElectricityGeneration,13))</f>
        <v/>
      </c>
      <c r="G25892" s="62"/>
      <c r="H25892" s="46" t="str">
        <f>IF(I.Developer.P1=FALSE,"Complete",IF(I.Product.P1GasToPowerStatus&lt;&gt;"Yes","Complete",IF(AND(I.Gas.P1Y2Count&gt;=13,F25892=""),"Incomplete","Complete")))</f>
        <v>Complete</v>
      </c>
      <c r="I25892" s="48" t="s">
        <v>1071</v>
      </c>
    </row>
    <row r="25893" spans="2:9" ht="15" customHeight="1" x14ac:dyDescent="0.25">
      <c r="B25893" s="55" t="s">
        <v>365</v>
      </c>
      <c r="C25893" s="46">
        <v>14</v>
      </c>
      <c r="D25893" s="69" t="s">
        <v>29502</v>
      </c>
      <c r="E25893" s="62"/>
      <c r="F25893" s="62" t="str">
        <f>IF(INDEX(I.Gas.P1Y2ElectricityGeneration,14)="","",INDEX(I.Gas.P1Y2ElectricityGeneration,14))</f>
        <v/>
      </c>
      <c r="G25893" s="62"/>
      <c r="H25893" s="46" t="str">
        <f>IF(I.Developer.P1=FALSE,"Complete",IF(I.Product.P1GasToPowerStatus&lt;&gt;"Yes","Complete",IF(AND(I.Gas.P1Y2Count&gt;=14,F25893=""),"Incomplete","Complete")))</f>
        <v>Complete</v>
      </c>
      <c r="I25893" s="48" t="s">
        <v>1072</v>
      </c>
    </row>
    <row r="25894" spans="2:9" ht="15" customHeight="1" x14ac:dyDescent="0.25">
      <c r="B25894" s="55" t="s">
        <v>365</v>
      </c>
      <c r="C25894" s="46">
        <v>15</v>
      </c>
      <c r="D25894" s="69" t="s">
        <v>29502</v>
      </c>
      <c r="E25894" s="62"/>
      <c r="F25894" s="62" t="str">
        <f>IF(INDEX(I.Gas.P1Y2ElectricityGeneration,15)="","",INDEX(I.Gas.P1Y2ElectricityGeneration,15))</f>
        <v/>
      </c>
      <c r="G25894" s="62"/>
      <c r="H25894" s="46" t="str">
        <f>IF(I.Developer.P1=FALSE,"Complete",IF(I.Product.P1GasToPowerStatus&lt;&gt;"Yes","Complete",IF(AND(I.Gas.P1Y2Count&gt;=15,F25894=""),"Incomplete","Complete")))</f>
        <v>Complete</v>
      </c>
      <c r="I25894" s="48" t="s">
        <v>1073</v>
      </c>
    </row>
    <row r="25895" spans="2:9" ht="15" customHeight="1" x14ac:dyDescent="0.25">
      <c r="B25895" s="55" t="s">
        <v>365</v>
      </c>
      <c r="C25895" s="46">
        <v>16</v>
      </c>
      <c r="D25895" s="69" t="s">
        <v>29502</v>
      </c>
      <c r="E25895" s="62"/>
      <c r="F25895" s="62" t="str">
        <f>IF(INDEX(I.Gas.P1Y2ElectricityGeneration,16)="","",INDEX(I.Gas.P1Y2ElectricityGeneration,16))</f>
        <v/>
      </c>
      <c r="G25895" s="62"/>
      <c r="H25895" s="46" t="str">
        <f>IF(I.Developer.P1=FALSE,"Complete",IF(I.Product.P1GasToPowerStatus&lt;&gt;"Yes","Complete",IF(AND(I.Gas.P1Y2Count&gt;=16,F25895=""),"Incomplete","Complete")))</f>
        <v>Complete</v>
      </c>
      <c r="I25895" s="48" t="s">
        <v>1074</v>
      </c>
    </row>
    <row r="25896" spans="2:9" ht="15" customHeight="1" x14ac:dyDescent="0.25">
      <c r="B25896" s="55" t="s">
        <v>365</v>
      </c>
      <c r="C25896" s="46">
        <v>17</v>
      </c>
      <c r="D25896" s="69" t="s">
        <v>29502</v>
      </c>
      <c r="E25896" s="62"/>
      <c r="F25896" s="62" t="str">
        <f>IF(INDEX(I.Gas.P1Y2ElectricityGeneration,17)="","",INDEX(I.Gas.P1Y2ElectricityGeneration,17))</f>
        <v/>
      </c>
      <c r="G25896" s="62"/>
      <c r="H25896" s="46" t="str">
        <f>IF(I.Developer.P1=FALSE,"Complete",IF(I.Product.P1GasToPowerStatus&lt;&gt;"Yes","Complete",IF(AND(I.Gas.P1Y2Count&gt;=17,F25896=""),"Incomplete","Complete")))</f>
        <v>Complete</v>
      </c>
      <c r="I25896" s="48" t="s">
        <v>1075</v>
      </c>
    </row>
    <row r="25897" spans="2:9" ht="15" customHeight="1" x14ac:dyDescent="0.25">
      <c r="B25897" s="55" t="s">
        <v>365</v>
      </c>
      <c r="C25897" s="46">
        <v>18</v>
      </c>
      <c r="D25897" s="69" t="s">
        <v>29502</v>
      </c>
      <c r="E25897" s="62"/>
      <c r="F25897" s="62" t="str">
        <f>IF(INDEX(I.Gas.P1Y2ElectricityGeneration,18)="","",INDEX(I.Gas.P1Y2ElectricityGeneration,18))</f>
        <v/>
      </c>
      <c r="G25897" s="62"/>
      <c r="H25897" s="46" t="str">
        <f>IF(I.Developer.P1=FALSE,"Complete",IF(I.Product.P1GasToPowerStatus&lt;&gt;"Yes","Complete",IF(AND(I.Gas.P1Y2Count&gt;=18,F25897=""),"Incomplete","Complete")))</f>
        <v>Complete</v>
      </c>
      <c r="I25897" s="48" t="s">
        <v>1076</v>
      </c>
    </row>
    <row r="25898" spans="2:9" ht="15" customHeight="1" x14ac:dyDescent="0.25">
      <c r="B25898" s="55" t="s">
        <v>365</v>
      </c>
      <c r="C25898" s="46">
        <v>19</v>
      </c>
      <c r="D25898" s="69" t="s">
        <v>29502</v>
      </c>
      <c r="E25898" s="62"/>
      <c r="F25898" s="62" t="str">
        <f>IF(INDEX(I.Gas.P1Y2ElectricityGeneration,19)="","",INDEX(I.Gas.P1Y2ElectricityGeneration,19))</f>
        <v/>
      </c>
      <c r="G25898" s="62"/>
      <c r="H25898" s="46" t="str">
        <f>IF(I.Developer.P1=FALSE,"Complete",IF(I.Product.P1GasToPowerStatus&lt;&gt;"Yes","Complete",IF(AND(I.Gas.P1Y2Count&gt;=19,F25898=""),"Incomplete","Complete")))</f>
        <v>Complete</v>
      </c>
      <c r="I25898" s="48" t="s">
        <v>1077</v>
      </c>
    </row>
    <row r="25899" spans="2:9" ht="15" customHeight="1" x14ac:dyDescent="0.25">
      <c r="B25899" s="55" t="s">
        <v>365</v>
      </c>
      <c r="C25899" s="46">
        <v>20</v>
      </c>
      <c r="D25899" s="69" t="s">
        <v>29502</v>
      </c>
      <c r="E25899" s="62"/>
      <c r="F25899" s="62" t="str">
        <f>IF(INDEX(I.Gas.P1Y2ElectricityGeneration,20)="","",INDEX(I.Gas.P1Y2ElectricityGeneration,20))</f>
        <v/>
      </c>
      <c r="G25899" s="62"/>
      <c r="H25899" s="46" t="str">
        <f>IF(I.Developer.P1=FALSE,"Complete",IF(I.Product.P1GasToPowerStatus&lt;&gt;"Yes","Complete",IF(AND(I.Gas.P1Y2Count&gt;=20,F25899=""),"Incomplete","Complete")))</f>
        <v>Complete</v>
      </c>
      <c r="I25899" s="48" t="s">
        <v>1078</v>
      </c>
    </row>
    <row r="25900" spans="2:9" ht="15" customHeight="1" x14ac:dyDescent="0.25">
      <c r="B25900" s="55" t="s">
        <v>365</v>
      </c>
      <c r="C25900" s="46">
        <v>21</v>
      </c>
      <c r="D25900" s="69" t="s">
        <v>29502</v>
      </c>
      <c r="E25900" s="62"/>
      <c r="F25900" s="62" t="str">
        <f>IF(INDEX(I.Gas.P1Y2ElectricityGeneration,21)="","",INDEX(I.Gas.P1Y2ElectricityGeneration,21))</f>
        <v/>
      </c>
      <c r="G25900" s="62"/>
      <c r="H25900" s="46" t="str">
        <f>IF(I.Developer.P1=FALSE,"Complete",IF(I.Product.P1GasToPowerStatus&lt;&gt;"Yes","Complete",IF(AND(I.Gas.P1Y2Count&gt;=21,F25900=""),"Incomplete","Complete")))</f>
        <v>Complete</v>
      </c>
      <c r="I25900" s="48" t="s">
        <v>1079</v>
      </c>
    </row>
    <row r="25901" spans="2:9" ht="15" customHeight="1" x14ac:dyDescent="0.25">
      <c r="B25901" s="55" t="s">
        <v>365</v>
      </c>
      <c r="C25901" s="46">
        <v>22</v>
      </c>
      <c r="D25901" s="69" t="s">
        <v>29502</v>
      </c>
      <c r="E25901" s="62"/>
      <c r="F25901" s="62" t="str">
        <f>IF(INDEX(I.Gas.P1Y2ElectricityGeneration,22)="","",INDEX(I.Gas.P1Y2ElectricityGeneration,22))</f>
        <v/>
      </c>
      <c r="G25901" s="62"/>
      <c r="H25901" s="46" t="str">
        <f>IF(I.Developer.P1=FALSE,"Complete",IF(I.Product.P1GasToPowerStatus&lt;&gt;"Yes","Complete",IF(AND(I.Gas.P1Y2Count&gt;=22,F25901=""),"Incomplete","Complete")))</f>
        <v>Complete</v>
      </c>
      <c r="I25901" s="48" t="s">
        <v>1080</v>
      </c>
    </row>
    <row r="25902" spans="2:9" ht="15" customHeight="1" x14ac:dyDescent="0.25">
      <c r="B25902" s="55" t="s">
        <v>365</v>
      </c>
      <c r="C25902" s="46">
        <v>23</v>
      </c>
      <c r="D25902" s="69" t="s">
        <v>29502</v>
      </c>
      <c r="E25902" s="62"/>
      <c r="F25902" s="62" t="str">
        <f>IF(INDEX(I.Gas.P1Y2ElectricityGeneration,23)="","",INDEX(I.Gas.P1Y2ElectricityGeneration,23))</f>
        <v/>
      </c>
      <c r="G25902" s="62"/>
      <c r="H25902" s="46" t="str">
        <f>IF(I.Developer.P1=FALSE,"Complete",IF(I.Product.P1GasToPowerStatus&lt;&gt;"Yes","Complete",IF(AND(I.Gas.P1Y2Count&gt;=23,F25902=""),"Incomplete","Complete")))</f>
        <v>Complete</v>
      </c>
      <c r="I25902" s="48" t="s">
        <v>1081</v>
      </c>
    </row>
    <row r="25903" spans="2:9" ht="15" customHeight="1" x14ac:dyDescent="0.25">
      <c r="B25903" s="55" t="s">
        <v>365</v>
      </c>
      <c r="C25903" s="46">
        <v>24</v>
      </c>
      <c r="D25903" s="69" t="s">
        <v>29502</v>
      </c>
      <c r="E25903" s="62"/>
      <c r="F25903" s="62" t="str">
        <f>IF(INDEX(I.Gas.P1Y2ElectricityGeneration,24)="","",INDEX(I.Gas.P1Y2ElectricityGeneration,24))</f>
        <v/>
      </c>
      <c r="G25903" s="62"/>
      <c r="H25903" s="46" t="str">
        <f>IF(I.Developer.P1=FALSE,"Complete",IF(I.Product.P1GasToPowerStatus&lt;&gt;"Yes","Complete",IF(AND(I.Gas.P1Y2Count&gt;=24,F25903=""),"Incomplete","Complete")))</f>
        <v>Complete</v>
      </c>
      <c r="I25903" s="48" t="s">
        <v>1082</v>
      </c>
    </row>
    <row r="25904" spans="2:9" ht="15" customHeight="1" x14ac:dyDescent="0.25">
      <c r="B25904" s="55" t="s">
        <v>365</v>
      </c>
      <c r="C25904" s="46">
        <v>25</v>
      </c>
      <c r="D25904" s="69" t="s">
        <v>29502</v>
      </c>
      <c r="E25904" s="62"/>
      <c r="F25904" s="62" t="str">
        <f>IF(INDEX(I.Gas.P1Y2ElectricityGeneration,25)="","",INDEX(I.Gas.P1Y2ElectricityGeneration,25))</f>
        <v/>
      </c>
      <c r="G25904" s="62"/>
      <c r="H25904" s="46" t="str">
        <f>IF(I.Developer.P1=FALSE,"Complete",IF(I.Product.P1GasToPowerStatus&lt;&gt;"Yes","Complete",IF(AND(I.Gas.P1Y2Count&gt;=25,F25904=""),"Incomplete","Complete")))</f>
        <v>Complete</v>
      </c>
      <c r="I25904" s="48" t="s">
        <v>1083</v>
      </c>
    </row>
    <row r="25905" spans="2:9" ht="15" customHeight="1" x14ac:dyDescent="0.25">
      <c r="B25905" s="55" t="s">
        <v>365</v>
      </c>
      <c r="C25905" s="46">
        <v>26</v>
      </c>
      <c r="D25905" s="69" t="s">
        <v>29502</v>
      </c>
      <c r="E25905" s="62"/>
      <c r="F25905" s="62" t="str">
        <f>IF(INDEX(I.Gas.P1Y2ElectricityGeneration,26)="","",INDEX(I.Gas.P1Y2ElectricityGeneration,26))</f>
        <v/>
      </c>
      <c r="G25905" s="62"/>
      <c r="H25905" s="46" t="str">
        <f>IF(I.Developer.P1=FALSE,"Complete",IF(I.Product.P1GasToPowerStatus&lt;&gt;"Yes","Complete",IF(AND(I.Gas.P1Y2Count&gt;=26,F25905=""),"Incomplete","Complete")))</f>
        <v>Complete</v>
      </c>
      <c r="I25905" s="48" t="s">
        <v>1084</v>
      </c>
    </row>
    <row r="25906" spans="2:9" ht="15" customHeight="1" x14ac:dyDescent="0.25">
      <c r="B25906" s="55" t="s">
        <v>365</v>
      </c>
      <c r="C25906" s="46">
        <v>27</v>
      </c>
      <c r="D25906" s="69" t="s">
        <v>29502</v>
      </c>
      <c r="E25906" s="62"/>
      <c r="F25906" s="62" t="str">
        <f>IF(INDEX(I.Gas.P1Y2ElectricityGeneration,27)="","",INDEX(I.Gas.P1Y2ElectricityGeneration,27))</f>
        <v/>
      </c>
      <c r="G25906" s="62"/>
      <c r="H25906" s="46" t="str">
        <f>IF(I.Developer.P1=FALSE,"Complete",IF(I.Product.P1GasToPowerStatus&lt;&gt;"Yes","Complete",IF(AND(I.Gas.P1Y2Count&gt;=27,F25906=""),"Incomplete","Complete")))</f>
        <v>Complete</v>
      </c>
      <c r="I25906" s="48" t="s">
        <v>1085</v>
      </c>
    </row>
    <row r="25907" spans="2:9" ht="15" customHeight="1" x14ac:dyDescent="0.25">
      <c r="B25907" s="55" t="s">
        <v>365</v>
      </c>
      <c r="C25907" s="46">
        <v>28</v>
      </c>
      <c r="D25907" s="69" t="s">
        <v>29502</v>
      </c>
      <c r="E25907" s="62"/>
      <c r="F25907" s="62" t="str">
        <f>IF(INDEX(I.Gas.P1Y2ElectricityGeneration,28)="","",INDEX(I.Gas.P1Y2ElectricityGeneration,28))</f>
        <v/>
      </c>
      <c r="G25907" s="62"/>
      <c r="H25907" s="46" t="str">
        <f>IF(I.Developer.P1=FALSE,"Complete",IF(I.Product.P1GasToPowerStatus&lt;&gt;"Yes","Complete",IF(AND(I.Gas.P1Y2Count&gt;=28,F25907=""),"Incomplete","Complete")))</f>
        <v>Complete</v>
      </c>
      <c r="I25907" s="48" t="s">
        <v>1086</v>
      </c>
    </row>
    <row r="25908" spans="2:9" ht="15" customHeight="1" x14ac:dyDescent="0.25">
      <c r="B25908" s="55" t="s">
        <v>365</v>
      </c>
      <c r="C25908" s="46">
        <v>29</v>
      </c>
      <c r="D25908" s="69" t="s">
        <v>29502</v>
      </c>
      <c r="E25908" s="62"/>
      <c r="F25908" s="62" t="str">
        <f>IF(INDEX(I.Gas.P1Y2ElectricityGeneration,29)="","",INDEX(I.Gas.P1Y2ElectricityGeneration,29))</f>
        <v/>
      </c>
      <c r="G25908" s="62"/>
      <c r="H25908" s="46" t="str">
        <f>IF(I.Developer.P1=FALSE,"Complete",IF(I.Product.P1GasToPowerStatus&lt;&gt;"Yes","Complete",IF(AND(I.Gas.P1Y2Count&gt;=29,F25908=""),"Incomplete","Complete")))</f>
        <v>Complete</v>
      </c>
      <c r="I25908" s="48" t="s">
        <v>1087</v>
      </c>
    </row>
    <row r="25909" spans="2:9" ht="15" customHeight="1" x14ac:dyDescent="0.25">
      <c r="B25909" s="55" t="s">
        <v>365</v>
      </c>
      <c r="C25909" s="46">
        <v>30</v>
      </c>
      <c r="D25909" s="69" t="s">
        <v>29502</v>
      </c>
      <c r="E25909" s="62"/>
      <c r="F25909" s="62" t="str">
        <f>IF(INDEX(I.Gas.P1Y2ElectricityGeneration,30)="","",INDEX(I.Gas.P1Y2ElectricityGeneration,30))</f>
        <v/>
      </c>
      <c r="G25909" s="62"/>
      <c r="H25909" s="46" t="str">
        <f>IF(I.Developer.P1=FALSE,"Complete",IF(I.Product.P1GasToPowerStatus&lt;&gt;"Yes","Complete",IF(AND(I.Gas.P1Y2Count&gt;=30,F25909=""),"Incomplete","Complete")))</f>
        <v>Complete</v>
      </c>
      <c r="I25909" s="48" t="s">
        <v>1088</v>
      </c>
    </row>
    <row r="25910" spans="2:9" ht="15" customHeight="1" x14ac:dyDescent="0.25">
      <c r="B25910" s="55" t="s">
        <v>365</v>
      </c>
      <c r="C25910" s="46">
        <v>31</v>
      </c>
      <c r="D25910" s="69" t="s">
        <v>29502</v>
      </c>
      <c r="E25910" s="62"/>
      <c r="F25910" s="62" t="str">
        <f>IF(INDEX(I.Gas.P1Y2ElectricityGeneration,31)="","",INDEX(I.Gas.P1Y2ElectricityGeneration,31))</f>
        <v/>
      </c>
      <c r="G25910" s="62"/>
      <c r="H25910" s="46" t="str">
        <f>IF(I.Developer.P1=FALSE,"Complete",IF(I.Product.P1GasToPowerStatus&lt;&gt;"Yes","Complete",IF(AND(I.Gas.P1Y2Count&gt;=31,F25910=""),"Incomplete","Complete")))</f>
        <v>Complete</v>
      </c>
      <c r="I25910" s="48" t="s">
        <v>1089</v>
      </c>
    </row>
    <row r="25911" spans="2:9" ht="15" customHeight="1" x14ac:dyDescent="0.25">
      <c r="B25911" s="55" t="s">
        <v>365</v>
      </c>
      <c r="C25911" s="46">
        <v>32</v>
      </c>
      <c r="D25911" s="69" t="s">
        <v>29502</v>
      </c>
      <c r="E25911" s="62"/>
      <c r="F25911" s="62" t="str">
        <f>IF(INDEX(I.Gas.P1Y2ElectricityGeneration,32)="","",INDEX(I.Gas.P1Y2ElectricityGeneration,32))</f>
        <v/>
      </c>
      <c r="G25911" s="62"/>
      <c r="H25911" s="46" t="str">
        <f>IF(I.Developer.P1=FALSE,"Complete",IF(I.Product.P1GasToPowerStatus&lt;&gt;"Yes","Complete",IF(AND(I.Gas.P1Y2Count&gt;=32,F25911=""),"Incomplete","Complete")))</f>
        <v>Complete</v>
      </c>
      <c r="I25911" s="48" t="s">
        <v>1090</v>
      </c>
    </row>
    <row r="25912" spans="2:9" ht="15" customHeight="1" x14ac:dyDescent="0.25">
      <c r="B25912" s="55" t="s">
        <v>365</v>
      </c>
      <c r="C25912" s="46">
        <v>33</v>
      </c>
      <c r="D25912" s="69" t="s">
        <v>29502</v>
      </c>
      <c r="E25912" s="62"/>
      <c r="F25912" s="62" t="str">
        <f>IF(INDEX(I.Gas.P1Y2ElectricityGeneration,33)="","",INDEX(I.Gas.P1Y2ElectricityGeneration,33))</f>
        <v/>
      </c>
      <c r="G25912" s="62"/>
      <c r="H25912" s="46" t="str">
        <f>IF(I.Developer.P1=FALSE,"Complete",IF(I.Product.P1GasToPowerStatus&lt;&gt;"Yes","Complete",IF(AND(I.Gas.P1Y2Count&gt;=33,F25912=""),"Incomplete","Complete")))</f>
        <v>Complete</v>
      </c>
      <c r="I25912" s="48" t="s">
        <v>1091</v>
      </c>
    </row>
    <row r="25913" spans="2:9" ht="15" customHeight="1" x14ac:dyDescent="0.25">
      <c r="B25913" s="55" t="s">
        <v>365</v>
      </c>
      <c r="C25913" s="46">
        <v>34</v>
      </c>
      <c r="D25913" s="69" t="s">
        <v>29502</v>
      </c>
      <c r="E25913" s="62"/>
      <c r="F25913" s="62" t="str">
        <f>IF(INDEX(I.Gas.P1Y2ElectricityGeneration,34)="","",INDEX(I.Gas.P1Y2ElectricityGeneration,34))</f>
        <v/>
      </c>
      <c r="G25913" s="62"/>
      <c r="H25913" s="46" t="str">
        <f>IF(I.Developer.P1=FALSE,"Complete",IF(I.Product.P1GasToPowerStatus&lt;&gt;"Yes","Complete",IF(AND(I.Gas.P1Y2Count&gt;=34,F25913=""),"Incomplete","Complete")))</f>
        <v>Complete</v>
      </c>
      <c r="I25913" s="48" t="s">
        <v>1092</v>
      </c>
    </row>
    <row r="25914" spans="2:9" ht="15" customHeight="1" x14ac:dyDescent="0.25">
      <c r="B25914" s="55" t="s">
        <v>365</v>
      </c>
      <c r="C25914" s="46">
        <v>35</v>
      </c>
      <c r="D25914" s="69" t="s">
        <v>29502</v>
      </c>
      <c r="E25914" s="62"/>
      <c r="F25914" s="62" t="str">
        <f>IF(INDEX(I.Gas.P1Y2ElectricityGeneration,35)="","",INDEX(I.Gas.P1Y2ElectricityGeneration,35))</f>
        <v/>
      </c>
      <c r="G25914" s="62"/>
      <c r="H25914" s="46" t="str">
        <f>IF(I.Developer.P1=FALSE,"Complete",IF(I.Product.P1GasToPowerStatus&lt;&gt;"Yes","Complete",IF(AND(I.Gas.P1Y2Count&gt;=35,F25914=""),"Incomplete","Complete")))</f>
        <v>Complete</v>
      </c>
      <c r="I25914" s="48" t="s">
        <v>1093</v>
      </c>
    </row>
    <row r="25915" spans="2:9" ht="15" customHeight="1" x14ac:dyDescent="0.25">
      <c r="B25915" s="55" t="s">
        <v>365</v>
      </c>
      <c r="C25915" s="46">
        <v>36</v>
      </c>
      <c r="D25915" s="69" t="s">
        <v>29502</v>
      </c>
      <c r="E25915" s="62"/>
      <c r="F25915" s="62" t="str">
        <f>IF(INDEX(I.Gas.P1Y2ElectricityGeneration,36)="","",INDEX(I.Gas.P1Y2ElectricityGeneration,36))</f>
        <v/>
      </c>
      <c r="G25915" s="62"/>
      <c r="H25915" s="46" t="str">
        <f>IF(I.Developer.P1=FALSE,"Complete",IF(I.Product.P1GasToPowerStatus&lt;&gt;"Yes","Complete",IF(AND(I.Gas.P1Y2Count&gt;=36,F25915=""),"Incomplete","Complete")))</f>
        <v>Complete</v>
      </c>
      <c r="I25915" s="48" t="s">
        <v>1094</v>
      </c>
    </row>
    <row r="25916" spans="2:9" ht="15" customHeight="1" x14ac:dyDescent="0.25">
      <c r="B25916" s="55" t="s">
        <v>365</v>
      </c>
      <c r="C25916" s="46">
        <v>37</v>
      </c>
      <c r="D25916" s="69" t="s">
        <v>29502</v>
      </c>
      <c r="E25916" s="62"/>
      <c r="F25916" s="62" t="str">
        <f>IF(INDEX(I.Gas.P1Y2ElectricityGeneration,37)="","",INDEX(I.Gas.P1Y2ElectricityGeneration,37))</f>
        <v/>
      </c>
      <c r="G25916" s="62"/>
      <c r="H25916" s="46" t="str">
        <f>IF(I.Developer.P1=FALSE,"Complete",IF(I.Product.P1GasToPowerStatus&lt;&gt;"Yes","Complete",IF(AND(I.Gas.P1Y2Count&gt;=37,F25916=""),"Incomplete","Complete")))</f>
        <v>Complete</v>
      </c>
      <c r="I25916" s="48" t="s">
        <v>1095</v>
      </c>
    </row>
    <row r="25917" spans="2:9" ht="15" customHeight="1" x14ac:dyDescent="0.25">
      <c r="B25917" s="55" t="s">
        <v>365</v>
      </c>
      <c r="C25917" s="46">
        <v>38</v>
      </c>
      <c r="D25917" s="69" t="s">
        <v>29502</v>
      </c>
      <c r="E25917" s="62"/>
      <c r="F25917" s="62" t="str">
        <f>IF(INDEX(I.Gas.P1Y2ElectricityGeneration,38)="","",INDEX(I.Gas.P1Y2ElectricityGeneration,38))</f>
        <v/>
      </c>
      <c r="G25917" s="62"/>
      <c r="H25917" s="46" t="str">
        <f>IF(I.Developer.P1=FALSE,"Complete",IF(I.Product.P1GasToPowerStatus&lt;&gt;"Yes","Complete",IF(AND(I.Gas.P1Y2Count&gt;=38,F25917=""),"Incomplete","Complete")))</f>
        <v>Complete</v>
      </c>
      <c r="I25917" s="48" t="s">
        <v>1096</v>
      </c>
    </row>
    <row r="25918" spans="2:9" ht="15" customHeight="1" x14ac:dyDescent="0.25">
      <c r="B25918" s="55" t="s">
        <v>365</v>
      </c>
      <c r="C25918" s="46">
        <v>39</v>
      </c>
      <c r="D25918" s="69" t="s">
        <v>29502</v>
      </c>
      <c r="E25918" s="62"/>
      <c r="F25918" s="62" t="str">
        <f>IF(INDEX(I.Gas.P1Y2ElectricityGeneration,39)="","",INDEX(I.Gas.P1Y2ElectricityGeneration,39))</f>
        <v/>
      </c>
      <c r="G25918" s="62"/>
      <c r="H25918" s="46" t="str">
        <f>IF(I.Developer.P1=FALSE,"Complete",IF(I.Product.P1GasToPowerStatus&lt;&gt;"Yes","Complete",IF(AND(I.Gas.P1Y2Count&gt;=39,F25918=""),"Incomplete","Complete")))</f>
        <v>Complete</v>
      </c>
      <c r="I25918" s="48" t="s">
        <v>1097</v>
      </c>
    </row>
    <row r="25919" spans="2:9" ht="15" customHeight="1" x14ac:dyDescent="0.25">
      <c r="B25919" s="55" t="s">
        <v>365</v>
      </c>
      <c r="C25919" s="46">
        <v>40</v>
      </c>
      <c r="D25919" s="69" t="s">
        <v>29502</v>
      </c>
      <c r="E25919" s="62"/>
      <c r="F25919" s="62" t="str">
        <f>IF(INDEX(I.Gas.P1Y2ElectricityGeneration,40)="","",INDEX(I.Gas.P1Y2ElectricityGeneration,40))</f>
        <v/>
      </c>
      <c r="G25919" s="62"/>
      <c r="H25919" s="46" t="str">
        <f>IF(I.Developer.P1=FALSE,"Complete",IF(I.Product.P1GasToPowerStatus&lt;&gt;"Yes","Complete",IF(AND(I.Gas.P1Y2Count&gt;=40,F25919=""),"Incomplete","Complete")))</f>
        <v>Complete</v>
      </c>
      <c r="I25919" s="48" t="s">
        <v>1098</v>
      </c>
    </row>
    <row r="25920" spans="2:9" ht="15" customHeight="1" x14ac:dyDescent="0.25">
      <c r="B25920" s="55" t="s">
        <v>365</v>
      </c>
      <c r="C25920" s="46">
        <v>41</v>
      </c>
      <c r="D25920" s="69" t="s">
        <v>29502</v>
      </c>
      <c r="E25920" s="62"/>
      <c r="F25920" s="62" t="str">
        <f>IF(INDEX(I.Gas.P1Y2ElectricityGeneration,41)="","",INDEX(I.Gas.P1Y2ElectricityGeneration,41))</f>
        <v/>
      </c>
      <c r="G25920" s="62"/>
      <c r="H25920" s="46" t="str">
        <f>IF(I.Developer.P1=FALSE,"Complete",IF(I.Product.P1GasToPowerStatus&lt;&gt;"Yes","Complete",IF(AND(I.Gas.P1Y2Count&gt;=41,F25920=""),"Incomplete","Complete")))</f>
        <v>Complete</v>
      </c>
      <c r="I25920" s="48" t="s">
        <v>1099</v>
      </c>
    </row>
    <row r="25921" spans="2:9" ht="15" customHeight="1" x14ac:dyDescent="0.25">
      <c r="B25921" s="55" t="s">
        <v>365</v>
      </c>
      <c r="C25921" s="46">
        <v>42</v>
      </c>
      <c r="D25921" s="69" t="s">
        <v>29502</v>
      </c>
      <c r="E25921" s="62"/>
      <c r="F25921" s="62" t="str">
        <f>IF(INDEX(I.Gas.P1Y2ElectricityGeneration,42)="","",INDEX(I.Gas.P1Y2ElectricityGeneration,42))</f>
        <v/>
      </c>
      <c r="G25921" s="62"/>
      <c r="H25921" s="46" t="str">
        <f>IF(I.Developer.P1=FALSE,"Complete",IF(I.Product.P1GasToPowerStatus&lt;&gt;"Yes","Complete",IF(AND(I.Gas.P1Y2Count&gt;=42,F25921=""),"Incomplete","Complete")))</f>
        <v>Complete</v>
      </c>
      <c r="I25921" s="48" t="s">
        <v>1100</v>
      </c>
    </row>
    <row r="25922" spans="2:9" ht="15" customHeight="1" x14ac:dyDescent="0.25">
      <c r="B25922" s="55" t="s">
        <v>365</v>
      </c>
      <c r="C25922" s="46">
        <v>43</v>
      </c>
      <c r="D25922" s="69" t="s">
        <v>29502</v>
      </c>
      <c r="E25922" s="62"/>
      <c r="F25922" s="62" t="str">
        <f>IF(INDEX(I.Gas.P1Y2ElectricityGeneration,43)="","",INDEX(I.Gas.P1Y2ElectricityGeneration,43))</f>
        <v/>
      </c>
      <c r="G25922" s="62"/>
      <c r="H25922" s="46" t="str">
        <f>IF(I.Developer.P1=FALSE,"Complete",IF(I.Product.P1GasToPowerStatus&lt;&gt;"Yes","Complete",IF(AND(I.Gas.P1Y2Count&gt;=43,F25922=""),"Incomplete","Complete")))</f>
        <v>Complete</v>
      </c>
      <c r="I25922" s="48" t="s">
        <v>1101</v>
      </c>
    </row>
    <row r="25923" spans="2:9" ht="15" customHeight="1" x14ac:dyDescent="0.25">
      <c r="B25923" s="55" t="s">
        <v>365</v>
      </c>
      <c r="C25923" s="46">
        <v>44</v>
      </c>
      <c r="D25923" s="69" t="s">
        <v>29502</v>
      </c>
      <c r="E25923" s="62"/>
      <c r="F25923" s="62" t="str">
        <f>IF(INDEX(I.Gas.P1Y2ElectricityGeneration,44)="","",INDEX(I.Gas.P1Y2ElectricityGeneration,44))</f>
        <v/>
      </c>
      <c r="G25923" s="62"/>
      <c r="H25923" s="46" t="str">
        <f>IF(I.Developer.P1=FALSE,"Complete",IF(I.Product.P1GasToPowerStatus&lt;&gt;"Yes","Complete",IF(AND(I.Gas.P1Y2Count&gt;=44,F25923=""),"Incomplete","Complete")))</f>
        <v>Complete</v>
      </c>
      <c r="I25923" s="48" t="s">
        <v>1102</v>
      </c>
    </row>
    <row r="25924" spans="2:9" ht="15" customHeight="1" x14ac:dyDescent="0.25">
      <c r="B25924" s="55" t="s">
        <v>365</v>
      </c>
      <c r="C25924" s="46">
        <v>45</v>
      </c>
      <c r="D25924" s="69" t="s">
        <v>29502</v>
      </c>
      <c r="E25924" s="62"/>
      <c r="F25924" s="62" t="str">
        <f>IF(INDEX(I.Gas.P1Y2ElectricityGeneration,45)="","",INDEX(I.Gas.P1Y2ElectricityGeneration,45))</f>
        <v/>
      </c>
      <c r="G25924" s="62"/>
      <c r="H25924" s="46" t="str">
        <f>IF(I.Developer.P1=FALSE,"Complete",IF(I.Product.P1GasToPowerStatus&lt;&gt;"Yes","Complete",IF(AND(I.Gas.P1Y2Count&gt;=45,F25924=""),"Incomplete","Complete")))</f>
        <v>Complete</v>
      </c>
      <c r="I25924" s="48" t="s">
        <v>1103</v>
      </c>
    </row>
    <row r="25925" spans="2:9" ht="15" customHeight="1" x14ac:dyDescent="0.25">
      <c r="B25925" s="55" t="s">
        <v>365</v>
      </c>
      <c r="C25925" s="46">
        <v>46</v>
      </c>
      <c r="D25925" s="69" t="s">
        <v>29502</v>
      </c>
      <c r="E25925" s="62"/>
      <c r="F25925" s="62" t="str">
        <f>IF(INDEX(I.Gas.P1Y2ElectricityGeneration,46)="","",INDEX(I.Gas.P1Y2ElectricityGeneration,46))</f>
        <v/>
      </c>
      <c r="G25925" s="62"/>
      <c r="H25925" s="46" t="str">
        <f>IF(I.Developer.P1=FALSE,"Complete",IF(I.Product.P1GasToPowerStatus&lt;&gt;"Yes","Complete",IF(AND(I.Gas.P1Y2Count&gt;=46,F25925=""),"Incomplete","Complete")))</f>
        <v>Complete</v>
      </c>
      <c r="I25925" s="48" t="s">
        <v>1104</v>
      </c>
    </row>
    <row r="25926" spans="2:9" ht="15" customHeight="1" x14ac:dyDescent="0.25">
      <c r="B25926" s="55" t="s">
        <v>365</v>
      </c>
      <c r="C25926" s="46">
        <v>47</v>
      </c>
      <c r="D25926" s="69" t="s">
        <v>29502</v>
      </c>
      <c r="E25926" s="62"/>
      <c r="F25926" s="62" t="str">
        <f>IF(INDEX(I.Gas.P1Y2ElectricityGeneration,47)="","",INDEX(I.Gas.P1Y2ElectricityGeneration,47))</f>
        <v/>
      </c>
      <c r="G25926" s="62"/>
      <c r="H25926" s="46" t="str">
        <f>IF(I.Developer.P1=FALSE,"Complete",IF(I.Product.P1GasToPowerStatus&lt;&gt;"Yes","Complete",IF(AND(I.Gas.P1Y2Count&gt;=47,F25926=""),"Incomplete","Complete")))</f>
        <v>Complete</v>
      </c>
      <c r="I25926" s="48" t="s">
        <v>1105</v>
      </c>
    </row>
    <row r="25927" spans="2:9" ht="15" customHeight="1" x14ac:dyDescent="0.25">
      <c r="B25927" s="55" t="s">
        <v>365</v>
      </c>
      <c r="C25927" s="46">
        <v>48</v>
      </c>
      <c r="D25927" s="69" t="s">
        <v>29502</v>
      </c>
      <c r="E25927" s="62"/>
      <c r="F25927" s="62" t="str">
        <f>IF(INDEX(I.Gas.P1Y2ElectricityGeneration,48)="","",INDEX(I.Gas.P1Y2ElectricityGeneration,48))</f>
        <v/>
      </c>
      <c r="G25927" s="62"/>
      <c r="H25927" s="46" t="str">
        <f>IF(I.Developer.P1=FALSE,"Complete",IF(I.Product.P1GasToPowerStatus&lt;&gt;"Yes","Complete",IF(AND(I.Gas.P1Y2Count&gt;=48,F25927=""),"Incomplete","Complete")))</f>
        <v>Complete</v>
      </c>
      <c r="I25927" s="48" t="s">
        <v>1106</v>
      </c>
    </row>
    <row r="25928" spans="2:9" ht="15" customHeight="1" x14ac:dyDescent="0.25">
      <c r="B25928" s="55" t="s">
        <v>365</v>
      </c>
      <c r="C25928" s="46">
        <v>49</v>
      </c>
      <c r="D25928" s="69" t="s">
        <v>29502</v>
      </c>
      <c r="E25928" s="62"/>
      <c r="F25928" s="62" t="str">
        <f>IF(INDEX(I.Gas.P1Y2ElectricityGeneration,49)="","",INDEX(I.Gas.P1Y2ElectricityGeneration,49))</f>
        <v/>
      </c>
      <c r="G25928" s="62"/>
      <c r="H25928" s="46" t="str">
        <f>IF(I.Developer.P1=FALSE,"Complete",IF(I.Product.P1GasToPowerStatus&lt;&gt;"Yes","Complete",IF(AND(I.Gas.P1Y2Count&gt;=49,F25928=""),"Incomplete","Complete")))</f>
        <v>Complete</v>
      </c>
      <c r="I25928" s="48" t="s">
        <v>1107</v>
      </c>
    </row>
    <row r="25929" spans="2:9" ht="15" customHeight="1" x14ac:dyDescent="0.25">
      <c r="B25929" s="56" t="s">
        <v>365</v>
      </c>
      <c r="C25929" s="57">
        <v>50</v>
      </c>
      <c r="D25929" s="71" t="s">
        <v>29502</v>
      </c>
      <c r="E25929" s="61"/>
      <c r="F25929" s="61" t="str">
        <f>IF(INDEX(I.Gas.P1Y2ElectricityGeneration,50)="","",INDEX(I.Gas.P1Y2ElectricityGeneration,50))</f>
        <v/>
      </c>
      <c r="G25929" s="61"/>
      <c r="H25929" s="57" t="str">
        <f>IF(I.Developer.P1=FALSE,"Complete",IF(I.Product.P1GasToPowerStatus&lt;&gt;"Yes","Complete",IF(AND(I.Gas.P1Y2Count&gt;=50,F25929=""),"Incomplete","Complete")))</f>
        <v>Complete</v>
      </c>
      <c r="I25929" s="49" t="s">
        <v>1108</v>
      </c>
    </row>
    <row r="25930" spans="2:9" ht="15" customHeight="1" x14ac:dyDescent="0.25">
      <c r="B25930" s="55" t="s">
        <v>366</v>
      </c>
      <c r="C25930" s="46">
        <v>1</v>
      </c>
      <c r="D25930" s="69" t="s">
        <v>29503</v>
      </c>
      <c r="E25930" s="62"/>
      <c r="F25930" s="62" t="str">
        <f>IF(INDEX(I.Gas.P1Y2C1V1,1)="","",INDEX(I.Gas.P1Y2C1V1,1))</f>
        <v/>
      </c>
      <c r="G25930" s="62"/>
      <c r="H25930" s="46" t="str">
        <f>IF(OR(I.Developer.P1=FALSE,I.Facility.StandardPart&lt;&gt;"Part 2"),"Complete",IF(I.Product.P1GasToPowerStatus&lt;&gt;"Yes","Complete",IF(AND(I.Gas.P1Y2Count&gt;=1,F25930=""),"Incomplete","Complete")))</f>
        <v>Complete</v>
      </c>
      <c r="I25930" s="48" t="s">
        <v>1109</v>
      </c>
    </row>
    <row r="25931" spans="2:9" ht="15" customHeight="1" x14ac:dyDescent="0.25">
      <c r="B25931" s="55" t="s">
        <v>366</v>
      </c>
      <c r="C25931" s="46">
        <v>2</v>
      </c>
      <c r="D25931" s="69" t="s">
        <v>29503</v>
      </c>
      <c r="E25931" s="62"/>
      <c r="F25931" s="62" t="str">
        <f>IF(INDEX(I.Gas.P1Y2C1V1,2)="","",INDEX(I.Gas.P1Y2C1V1,2))</f>
        <v/>
      </c>
      <c r="G25931" s="62"/>
      <c r="H25931" s="46" t="str">
        <f>IF(OR(I.Developer.P1=FALSE,I.Facility.StandardPart&lt;&gt;"Part 2"),"Complete",IF(I.Product.P1GasToPowerStatus&lt;&gt;"Yes","Complete",IF(AND(I.Gas.P1Y2Count&gt;=2,F25931=""),"Incomplete","Complete")))</f>
        <v>Complete</v>
      </c>
      <c r="I25931" s="48" t="s">
        <v>1110</v>
      </c>
    </row>
    <row r="25932" spans="2:9" ht="15" customHeight="1" x14ac:dyDescent="0.25">
      <c r="B25932" s="55" t="s">
        <v>366</v>
      </c>
      <c r="C25932" s="46">
        <v>3</v>
      </c>
      <c r="D25932" s="69" t="s">
        <v>29503</v>
      </c>
      <c r="E25932" s="62"/>
      <c r="F25932" s="62" t="str">
        <f>IF(INDEX(I.Gas.P1Y2C1V1,3)="","",INDEX(I.Gas.P1Y2C1V1,3))</f>
        <v/>
      </c>
      <c r="G25932" s="62"/>
      <c r="H25932" s="46" t="str">
        <f>IF(OR(I.Developer.P1=FALSE,I.Facility.StandardPart&lt;&gt;"Part 2"),"Complete",IF(I.Product.P1GasToPowerStatus&lt;&gt;"Yes","Complete",IF(AND(I.Gas.P1Y2Count&gt;=3,F25932=""),"Incomplete","Complete")))</f>
        <v>Complete</v>
      </c>
      <c r="I25932" s="48" t="s">
        <v>1111</v>
      </c>
    </row>
    <row r="25933" spans="2:9" ht="15" customHeight="1" x14ac:dyDescent="0.25">
      <c r="B25933" s="55" t="s">
        <v>366</v>
      </c>
      <c r="C25933" s="46">
        <v>4</v>
      </c>
      <c r="D25933" s="69" t="s">
        <v>29503</v>
      </c>
      <c r="E25933" s="62"/>
      <c r="F25933" s="62" t="str">
        <f>IF(INDEX(I.Gas.P1Y2C1V1,4)="","",INDEX(I.Gas.P1Y2C1V1,4))</f>
        <v/>
      </c>
      <c r="G25933" s="62"/>
      <c r="H25933" s="46" t="str">
        <f>IF(OR(I.Developer.P1=FALSE,I.Facility.StandardPart&lt;&gt;"Part 2"),"Complete",IF(I.Product.P1GasToPowerStatus&lt;&gt;"Yes","Complete",IF(AND(I.Gas.P1Y2Count&gt;=4,F25933=""),"Incomplete","Complete")))</f>
        <v>Complete</v>
      </c>
      <c r="I25933" s="48" t="s">
        <v>1112</v>
      </c>
    </row>
    <row r="25934" spans="2:9" ht="15" customHeight="1" x14ac:dyDescent="0.25">
      <c r="B25934" s="55" t="s">
        <v>366</v>
      </c>
      <c r="C25934" s="46">
        <v>5</v>
      </c>
      <c r="D25934" s="69" t="s">
        <v>29503</v>
      </c>
      <c r="E25934" s="62"/>
      <c r="F25934" s="62" t="str">
        <f>IF(INDEX(I.Gas.P1Y2C1V1,5)="","",INDEX(I.Gas.P1Y2C1V1,5))</f>
        <v/>
      </c>
      <c r="G25934" s="62"/>
      <c r="H25934" s="46" t="str">
        <f>IF(OR(I.Developer.P1=FALSE,I.Facility.StandardPart&lt;&gt;"Part 2"),"Complete",IF(I.Product.P1GasToPowerStatus&lt;&gt;"Yes","Complete",IF(AND(I.Gas.P1Y2Count&gt;=5,F25934=""),"Incomplete","Complete")))</f>
        <v>Complete</v>
      </c>
      <c r="I25934" s="48" t="s">
        <v>1113</v>
      </c>
    </row>
    <row r="25935" spans="2:9" ht="15" customHeight="1" x14ac:dyDescent="0.25">
      <c r="B25935" s="55" t="s">
        <v>366</v>
      </c>
      <c r="C25935" s="46">
        <v>6</v>
      </c>
      <c r="D25935" s="69" t="s">
        <v>29503</v>
      </c>
      <c r="E25935" s="62"/>
      <c r="F25935" s="62" t="str">
        <f>IF(INDEX(I.Gas.P1Y2C1V1,6)="","",INDEX(I.Gas.P1Y2C1V1,6))</f>
        <v/>
      </c>
      <c r="G25935" s="62"/>
      <c r="H25935" s="46" t="str">
        <f>IF(OR(I.Developer.P1=FALSE,I.Facility.StandardPart&lt;&gt;"Part 2"),"Complete",IF(I.Product.P1GasToPowerStatus&lt;&gt;"Yes","Complete",IF(AND(I.Gas.P1Y2Count&gt;=6,F25935=""),"Incomplete","Complete")))</f>
        <v>Complete</v>
      </c>
      <c r="I25935" s="48" t="s">
        <v>1114</v>
      </c>
    </row>
    <row r="25936" spans="2:9" ht="15" customHeight="1" x14ac:dyDescent="0.25">
      <c r="B25936" s="55" t="s">
        <v>366</v>
      </c>
      <c r="C25936" s="46">
        <v>7</v>
      </c>
      <c r="D25936" s="69" t="s">
        <v>29503</v>
      </c>
      <c r="E25936" s="62"/>
      <c r="F25936" s="62" t="str">
        <f>IF(INDEX(I.Gas.P1Y2C1V1,7)="","",INDEX(I.Gas.P1Y2C1V1,7))</f>
        <v/>
      </c>
      <c r="G25936" s="62"/>
      <c r="H25936" s="46" t="str">
        <f>IF(OR(I.Developer.P1=FALSE,I.Facility.StandardPart&lt;&gt;"Part 2"),"Complete",IF(I.Product.P1GasToPowerStatus&lt;&gt;"Yes","Complete",IF(AND(I.Gas.P1Y2Count&gt;=7,F25936=""),"Incomplete","Complete")))</f>
        <v>Complete</v>
      </c>
      <c r="I25936" s="48" t="s">
        <v>1115</v>
      </c>
    </row>
    <row r="25937" spans="2:9" ht="15" customHeight="1" x14ac:dyDescent="0.25">
      <c r="B25937" s="55" t="s">
        <v>366</v>
      </c>
      <c r="C25937" s="46">
        <v>8</v>
      </c>
      <c r="D25937" s="69" t="s">
        <v>29503</v>
      </c>
      <c r="E25937" s="62"/>
      <c r="F25937" s="62" t="str">
        <f>IF(INDEX(I.Gas.P1Y2C1V1,8)="","",INDEX(I.Gas.P1Y2C1V1,8))</f>
        <v/>
      </c>
      <c r="G25937" s="62"/>
      <c r="H25937" s="46" t="str">
        <f>IF(OR(I.Developer.P1=FALSE,I.Facility.StandardPart&lt;&gt;"Part 2"),"Complete",IF(I.Product.P1GasToPowerStatus&lt;&gt;"Yes","Complete",IF(AND(I.Gas.P1Y2Count&gt;=8,F25937=""),"Incomplete","Complete")))</f>
        <v>Complete</v>
      </c>
      <c r="I25937" s="48" t="s">
        <v>1116</v>
      </c>
    </row>
    <row r="25938" spans="2:9" ht="15" customHeight="1" x14ac:dyDescent="0.25">
      <c r="B25938" s="55" t="s">
        <v>366</v>
      </c>
      <c r="C25938" s="46">
        <v>9</v>
      </c>
      <c r="D25938" s="69" t="s">
        <v>29503</v>
      </c>
      <c r="E25938" s="62"/>
      <c r="F25938" s="62" t="str">
        <f>IF(INDEX(I.Gas.P1Y2C1V1,9)="","",INDEX(I.Gas.P1Y2C1V1,9))</f>
        <v/>
      </c>
      <c r="G25938" s="62"/>
      <c r="H25938" s="46" t="str">
        <f>IF(OR(I.Developer.P1=FALSE,I.Facility.StandardPart&lt;&gt;"Part 2"),"Complete",IF(I.Product.P1GasToPowerStatus&lt;&gt;"Yes","Complete",IF(AND(I.Gas.P1Y2Count&gt;=9,F25938=""),"Incomplete","Complete")))</f>
        <v>Complete</v>
      </c>
      <c r="I25938" s="48" t="s">
        <v>1117</v>
      </c>
    </row>
    <row r="25939" spans="2:9" ht="15" customHeight="1" x14ac:dyDescent="0.25">
      <c r="B25939" s="55" t="s">
        <v>366</v>
      </c>
      <c r="C25939" s="46">
        <v>10</v>
      </c>
      <c r="D25939" s="69" t="s">
        <v>29503</v>
      </c>
      <c r="E25939" s="62"/>
      <c r="F25939" s="62" t="str">
        <f>IF(INDEX(I.Gas.P1Y2C1V1,10)="","",INDEX(I.Gas.P1Y2C1V1,10))</f>
        <v/>
      </c>
      <c r="G25939" s="62"/>
      <c r="H25939" s="46" t="str">
        <f>IF(OR(I.Developer.P1=FALSE,I.Facility.StandardPart&lt;&gt;"Part 2"),"Complete",IF(I.Product.P1GasToPowerStatus&lt;&gt;"Yes","Complete",IF(AND(I.Gas.P1Y2Count&gt;=10,F25939=""),"Incomplete","Complete")))</f>
        <v>Complete</v>
      </c>
      <c r="I25939" s="48" t="s">
        <v>1118</v>
      </c>
    </row>
    <row r="25940" spans="2:9" ht="15" customHeight="1" x14ac:dyDescent="0.25">
      <c r="B25940" s="55" t="s">
        <v>366</v>
      </c>
      <c r="C25940" s="46">
        <v>11</v>
      </c>
      <c r="D25940" s="69" t="s">
        <v>29503</v>
      </c>
      <c r="E25940" s="62"/>
      <c r="F25940" s="62" t="str">
        <f>IF(INDEX(I.Gas.P1Y2C1V1,11)="","",INDEX(I.Gas.P1Y2C1V1,11))</f>
        <v/>
      </c>
      <c r="G25940" s="62"/>
      <c r="H25940" s="46" t="str">
        <f>IF(OR(I.Developer.P1=FALSE,I.Facility.StandardPart&lt;&gt;"Part 2"),"Complete",IF(I.Product.P1GasToPowerStatus&lt;&gt;"Yes","Complete",IF(AND(I.Gas.P1Y2Count&gt;=11,F25940=""),"Incomplete","Complete")))</f>
        <v>Complete</v>
      </c>
      <c r="I25940" s="48" t="s">
        <v>1119</v>
      </c>
    </row>
    <row r="25941" spans="2:9" ht="15" customHeight="1" x14ac:dyDescent="0.25">
      <c r="B25941" s="55" t="s">
        <v>366</v>
      </c>
      <c r="C25941" s="46">
        <v>12</v>
      </c>
      <c r="D25941" s="69" t="s">
        <v>29503</v>
      </c>
      <c r="E25941" s="62"/>
      <c r="F25941" s="62" t="str">
        <f>IF(INDEX(I.Gas.P1Y2C1V1,12)="","",INDEX(I.Gas.P1Y2C1V1,12))</f>
        <v/>
      </c>
      <c r="G25941" s="62"/>
      <c r="H25941" s="46" t="str">
        <f>IF(OR(I.Developer.P1=FALSE,I.Facility.StandardPart&lt;&gt;"Part 2"),"Complete",IF(I.Product.P1GasToPowerStatus&lt;&gt;"Yes","Complete",IF(AND(I.Gas.P1Y2Count&gt;=12,F25941=""),"Incomplete","Complete")))</f>
        <v>Complete</v>
      </c>
      <c r="I25941" s="48" t="s">
        <v>1120</v>
      </c>
    </row>
    <row r="25942" spans="2:9" ht="15" customHeight="1" x14ac:dyDescent="0.25">
      <c r="B25942" s="55" t="s">
        <v>366</v>
      </c>
      <c r="C25942" s="46">
        <v>13</v>
      </c>
      <c r="D25942" s="69" t="s">
        <v>29503</v>
      </c>
      <c r="E25942" s="62"/>
      <c r="F25942" s="62" t="str">
        <f>IF(INDEX(I.Gas.P1Y2C1V1,13)="","",INDEX(I.Gas.P1Y2C1V1,13))</f>
        <v/>
      </c>
      <c r="G25942" s="62"/>
      <c r="H25942" s="46" t="str">
        <f>IF(OR(I.Developer.P1=FALSE,I.Facility.StandardPart&lt;&gt;"Part 2"),"Complete",IF(I.Product.P1GasToPowerStatus&lt;&gt;"Yes","Complete",IF(AND(I.Gas.P1Y2Count&gt;=13,F25942=""),"Incomplete","Complete")))</f>
        <v>Complete</v>
      </c>
      <c r="I25942" s="48" t="s">
        <v>1121</v>
      </c>
    </row>
    <row r="25943" spans="2:9" ht="15" customHeight="1" x14ac:dyDescent="0.25">
      <c r="B25943" s="55" t="s">
        <v>366</v>
      </c>
      <c r="C25943" s="46">
        <v>14</v>
      </c>
      <c r="D25943" s="69" t="s">
        <v>29503</v>
      </c>
      <c r="E25943" s="62"/>
      <c r="F25943" s="62" t="str">
        <f>IF(INDEX(I.Gas.P1Y2C1V1,14)="","",INDEX(I.Gas.P1Y2C1V1,14))</f>
        <v/>
      </c>
      <c r="G25943" s="62"/>
      <c r="H25943" s="46" t="str">
        <f>IF(OR(I.Developer.P1=FALSE,I.Facility.StandardPart&lt;&gt;"Part 2"),"Complete",IF(I.Product.P1GasToPowerStatus&lt;&gt;"Yes","Complete",IF(AND(I.Gas.P1Y2Count&gt;=14,F25943=""),"Incomplete","Complete")))</f>
        <v>Complete</v>
      </c>
      <c r="I25943" s="48" t="s">
        <v>1122</v>
      </c>
    </row>
    <row r="25944" spans="2:9" ht="15" customHeight="1" x14ac:dyDescent="0.25">
      <c r="B25944" s="55" t="s">
        <v>366</v>
      </c>
      <c r="C25944" s="46">
        <v>15</v>
      </c>
      <c r="D25944" s="69" t="s">
        <v>29503</v>
      </c>
      <c r="E25944" s="62"/>
      <c r="F25944" s="62" t="str">
        <f>IF(INDEX(I.Gas.P1Y2C1V1,15)="","",INDEX(I.Gas.P1Y2C1V1,15))</f>
        <v/>
      </c>
      <c r="G25944" s="62"/>
      <c r="H25944" s="46" t="str">
        <f>IF(OR(I.Developer.P1=FALSE,I.Facility.StandardPart&lt;&gt;"Part 2"),"Complete",IF(I.Product.P1GasToPowerStatus&lt;&gt;"Yes","Complete",IF(AND(I.Gas.P1Y2Count&gt;=15,F25944=""),"Incomplete","Complete")))</f>
        <v>Complete</v>
      </c>
      <c r="I25944" s="48" t="s">
        <v>1123</v>
      </c>
    </row>
    <row r="25945" spans="2:9" ht="15" customHeight="1" x14ac:dyDescent="0.25">
      <c r="B25945" s="55" t="s">
        <v>366</v>
      </c>
      <c r="C25945" s="46">
        <v>16</v>
      </c>
      <c r="D25945" s="69" t="s">
        <v>29503</v>
      </c>
      <c r="E25945" s="62"/>
      <c r="F25945" s="62" t="str">
        <f>IF(INDEX(I.Gas.P1Y2C1V1,16)="","",INDEX(I.Gas.P1Y2C1V1,16))</f>
        <v/>
      </c>
      <c r="G25945" s="62"/>
      <c r="H25945" s="46" t="str">
        <f>IF(OR(I.Developer.P1=FALSE,I.Facility.StandardPart&lt;&gt;"Part 2"),"Complete",IF(I.Product.P1GasToPowerStatus&lt;&gt;"Yes","Complete",IF(AND(I.Gas.P1Y2Count&gt;=16,F25945=""),"Incomplete","Complete")))</f>
        <v>Complete</v>
      </c>
      <c r="I25945" s="48" t="s">
        <v>1124</v>
      </c>
    </row>
    <row r="25946" spans="2:9" ht="15" customHeight="1" x14ac:dyDescent="0.25">
      <c r="B25946" s="55" t="s">
        <v>366</v>
      </c>
      <c r="C25946" s="46">
        <v>17</v>
      </c>
      <c r="D25946" s="69" t="s">
        <v>29503</v>
      </c>
      <c r="E25946" s="62"/>
      <c r="F25946" s="62" t="str">
        <f>IF(INDEX(I.Gas.P1Y2C1V1,17)="","",INDEX(I.Gas.P1Y2C1V1,17))</f>
        <v/>
      </c>
      <c r="G25946" s="62"/>
      <c r="H25946" s="46" t="str">
        <f>IF(OR(I.Developer.P1=FALSE,I.Facility.StandardPart&lt;&gt;"Part 2"),"Complete",IF(I.Product.P1GasToPowerStatus&lt;&gt;"Yes","Complete",IF(AND(I.Gas.P1Y2Count&gt;=17,F25946=""),"Incomplete","Complete")))</f>
        <v>Complete</v>
      </c>
      <c r="I25946" s="48" t="s">
        <v>1125</v>
      </c>
    </row>
    <row r="25947" spans="2:9" ht="15" customHeight="1" x14ac:dyDescent="0.25">
      <c r="B25947" s="55" t="s">
        <v>366</v>
      </c>
      <c r="C25947" s="46">
        <v>18</v>
      </c>
      <c r="D25947" s="69" t="s">
        <v>29503</v>
      </c>
      <c r="E25947" s="62"/>
      <c r="F25947" s="62" t="str">
        <f>IF(INDEX(I.Gas.P1Y2C1V1,18)="","",INDEX(I.Gas.P1Y2C1V1,18))</f>
        <v/>
      </c>
      <c r="G25947" s="62"/>
      <c r="H25947" s="46" t="str">
        <f>IF(OR(I.Developer.P1=FALSE,I.Facility.StandardPart&lt;&gt;"Part 2"),"Complete",IF(I.Product.P1GasToPowerStatus&lt;&gt;"Yes","Complete",IF(AND(I.Gas.P1Y2Count&gt;=18,F25947=""),"Incomplete","Complete")))</f>
        <v>Complete</v>
      </c>
      <c r="I25947" s="48" t="s">
        <v>1126</v>
      </c>
    </row>
    <row r="25948" spans="2:9" ht="15" customHeight="1" x14ac:dyDescent="0.25">
      <c r="B25948" s="55" t="s">
        <v>366</v>
      </c>
      <c r="C25948" s="46">
        <v>19</v>
      </c>
      <c r="D25948" s="69" t="s">
        <v>29503</v>
      </c>
      <c r="E25948" s="62"/>
      <c r="F25948" s="62" t="str">
        <f>IF(INDEX(I.Gas.P1Y2C1V1,19)="","",INDEX(I.Gas.P1Y2C1V1,19))</f>
        <v/>
      </c>
      <c r="G25948" s="62"/>
      <c r="H25948" s="46" t="str">
        <f>IF(OR(I.Developer.P1=FALSE,I.Facility.StandardPart&lt;&gt;"Part 2"),"Complete",IF(I.Product.P1GasToPowerStatus&lt;&gt;"Yes","Complete",IF(AND(I.Gas.P1Y2Count&gt;=19,F25948=""),"Incomplete","Complete")))</f>
        <v>Complete</v>
      </c>
      <c r="I25948" s="48" t="s">
        <v>1127</v>
      </c>
    </row>
    <row r="25949" spans="2:9" ht="15" customHeight="1" x14ac:dyDescent="0.25">
      <c r="B25949" s="55" t="s">
        <v>366</v>
      </c>
      <c r="C25949" s="46">
        <v>20</v>
      </c>
      <c r="D25949" s="69" t="s">
        <v>29503</v>
      </c>
      <c r="E25949" s="62"/>
      <c r="F25949" s="62" t="str">
        <f>IF(INDEX(I.Gas.P1Y2C1V1,20)="","",INDEX(I.Gas.P1Y2C1V1,20))</f>
        <v/>
      </c>
      <c r="G25949" s="62"/>
      <c r="H25949" s="46" t="str">
        <f>IF(OR(I.Developer.P1=FALSE,I.Facility.StandardPart&lt;&gt;"Part 2"),"Complete",IF(I.Product.P1GasToPowerStatus&lt;&gt;"Yes","Complete",IF(AND(I.Gas.P1Y2Count&gt;=20,F25949=""),"Incomplete","Complete")))</f>
        <v>Complete</v>
      </c>
      <c r="I25949" s="48" t="s">
        <v>1128</v>
      </c>
    </row>
    <row r="25950" spans="2:9" ht="15" customHeight="1" x14ac:dyDescent="0.25">
      <c r="B25950" s="55" t="s">
        <v>366</v>
      </c>
      <c r="C25950" s="46">
        <v>21</v>
      </c>
      <c r="D25950" s="69" t="s">
        <v>29503</v>
      </c>
      <c r="E25950" s="62"/>
      <c r="F25950" s="62" t="str">
        <f>IF(INDEX(I.Gas.P1Y2C1V1,21)="","",INDEX(I.Gas.P1Y2C1V1,21))</f>
        <v/>
      </c>
      <c r="G25950" s="62"/>
      <c r="H25950" s="46" t="str">
        <f>IF(OR(I.Developer.P1=FALSE,I.Facility.StandardPart&lt;&gt;"Part 2"),"Complete",IF(I.Product.P1GasToPowerStatus&lt;&gt;"Yes","Complete",IF(AND(I.Gas.P1Y2Count&gt;=21,F25950=""),"Incomplete","Complete")))</f>
        <v>Complete</v>
      </c>
      <c r="I25950" s="48" t="s">
        <v>1129</v>
      </c>
    </row>
    <row r="25951" spans="2:9" ht="15" customHeight="1" x14ac:dyDescent="0.25">
      <c r="B25951" s="55" t="s">
        <v>366</v>
      </c>
      <c r="C25951" s="46">
        <v>22</v>
      </c>
      <c r="D25951" s="69" t="s">
        <v>29503</v>
      </c>
      <c r="E25951" s="62"/>
      <c r="F25951" s="62" t="str">
        <f>IF(INDEX(I.Gas.P1Y2C1V1,22)="","",INDEX(I.Gas.P1Y2C1V1,22))</f>
        <v/>
      </c>
      <c r="G25951" s="62"/>
      <c r="H25951" s="46" t="str">
        <f>IF(OR(I.Developer.P1=FALSE,I.Facility.StandardPart&lt;&gt;"Part 2"),"Complete",IF(I.Product.P1GasToPowerStatus&lt;&gt;"Yes","Complete",IF(AND(I.Gas.P1Y2Count&gt;=22,F25951=""),"Incomplete","Complete")))</f>
        <v>Complete</v>
      </c>
      <c r="I25951" s="48" t="s">
        <v>1130</v>
      </c>
    </row>
    <row r="25952" spans="2:9" ht="15" customHeight="1" x14ac:dyDescent="0.25">
      <c r="B25952" s="55" t="s">
        <v>366</v>
      </c>
      <c r="C25952" s="46">
        <v>23</v>
      </c>
      <c r="D25952" s="69" t="s">
        <v>29503</v>
      </c>
      <c r="E25952" s="62"/>
      <c r="F25952" s="62" t="str">
        <f>IF(INDEX(I.Gas.P1Y2C1V1,23)="","",INDEX(I.Gas.P1Y2C1V1,23))</f>
        <v/>
      </c>
      <c r="G25952" s="62"/>
      <c r="H25952" s="46" t="str">
        <f>IF(OR(I.Developer.P1=FALSE,I.Facility.StandardPart&lt;&gt;"Part 2"),"Complete",IF(I.Product.P1GasToPowerStatus&lt;&gt;"Yes","Complete",IF(AND(I.Gas.P1Y2Count&gt;=23,F25952=""),"Incomplete","Complete")))</f>
        <v>Complete</v>
      </c>
      <c r="I25952" s="48" t="s">
        <v>1131</v>
      </c>
    </row>
    <row r="25953" spans="2:9" ht="15" customHeight="1" x14ac:dyDescent="0.25">
      <c r="B25953" s="55" t="s">
        <v>366</v>
      </c>
      <c r="C25953" s="46">
        <v>24</v>
      </c>
      <c r="D25953" s="69" t="s">
        <v>29503</v>
      </c>
      <c r="E25953" s="62"/>
      <c r="F25953" s="62" t="str">
        <f>IF(INDEX(I.Gas.P1Y2C1V1,24)="","",INDEX(I.Gas.P1Y2C1V1,24))</f>
        <v/>
      </c>
      <c r="G25953" s="62"/>
      <c r="H25953" s="46" t="str">
        <f>IF(OR(I.Developer.P1=FALSE,I.Facility.StandardPart&lt;&gt;"Part 2"),"Complete",IF(I.Product.P1GasToPowerStatus&lt;&gt;"Yes","Complete",IF(AND(I.Gas.P1Y2Count&gt;=24,F25953=""),"Incomplete","Complete")))</f>
        <v>Complete</v>
      </c>
      <c r="I25953" s="48" t="s">
        <v>1132</v>
      </c>
    </row>
    <row r="25954" spans="2:9" ht="15" customHeight="1" x14ac:dyDescent="0.25">
      <c r="B25954" s="55" t="s">
        <v>366</v>
      </c>
      <c r="C25954" s="46">
        <v>25</v>
      </c>
      <c r="D25954" s="69" t="s">
        <v>29503</v>
      </c>
      <c r="E25954" s="62"/>
      <c r="F25954" s="62" t="str">
        <f>IF(INDEX(I.Gas.P1Y2C1V1,25)="","",INDEX(I.Gas.P1Y2C1V1,25))</f>
        <v/>
      </c>
      <c r="G25954" s="62"/>
      <c r="H25954" s="46" t="str">
        <f>IF(OR(I.Developer.P1=FALSE,I.Facility.StandardPart&lt;&gt;"Part 2"),"Complete",IF(I.Product.P1GasToPowerStatus&lt;&gt;"Yes","Complete",IF(AND(I.Gas.P1Y2Count&gt;=25,F25954=""),"Incomplete","Complete")))</f>
        <v>Complete</v>
      </c>
      <c r="I25954" s="48" t="s">
        <v>1133</v>
      </c>
    </row>
    <row r="25955" spans="2:9" ht="15" customHeight="1" x14ac:dyDescent="0.25">
      <c r="B25955" s="55" t="s">
        <v>366</v>
      </c>
      <c r="C25955" s="46">
        <v>26</v>
      </c>
      <c r="D25955" s="69" t="s">
        <v>29503</v>
      </c>
      <c r="E25955" s="62"/>
      <c r="F25955" s="62" t="str">
        <f>IF(INDEX(I.Gas.P1Y2C1V1,26)="","",INDEX(I.Gas.P1Y2C1V1,26))</f>
        <v/>
      </c>
      <c r="G25955" s="62"/>
      <c r="H25955" s="46" t="str">
        <f>IF(OR(I.Developer.P1=FALSE,I.Facility.StandardPart&lt;&gt;"Part 2"),"Complete",IF(I.Product.P1GasToPowerStatus&lt;&gt;"Yes","Complete",IF(AND(I.Gas.P1Y2Count&gt;=26,F25955=""),"Incomplete","Complete")))</f>
        <v>Complete</v>
      </c>
      <c r="I25955" s="48" t="s">
        <v>1134</v>
      </c>
    </row>
    <row r="25956" spans="2:9" ht="15" customHeight="1" x14ac:dyDescent="0.25">
      <c r="B25956" s="55" t="s">
        <v>366</v>
      </c>
      <c r="C25956" s="46">
        <v>27</v>
      </c>
      <c r="D25956" s="69" t="s">
        <v>29503</v>
      </c>
      <c r="E25956" s="62"/>
      <c r="F25956" s="62" t="str">
        <f>IF(INDEX(I.Gas.P1Y2C1V1,27)="","",INDEX(I.Gas.P1Y2C1V1,27))</f>
        <v/>
      </c>
      <c r="G25956" s="62"/>
      <c r="H25956" s="46" t="str">
        <f>IF(OR(I.Developer.P1=FALSE,I.Facility.StandardPart&lt;&gt;"Part 2"),"Complete",IF(I.Product.P1GasToPowerStatus&lt;&gt;"Yes","Complete",IF(AND(I.Gas.P1Y2Count&gt;=27,F25956=""),"Incomplete","Complete")))</f>
        <v>Complete</v>
      </c>
      <c r="I25956" s="48" t="s">
        <v>1135</v>
      </c>
    </row>
    <row r="25957" spans="2:9" ht="15" customHeight="1" x14ac:dyDescent="0.25">
      <c r="B25957" s="55" t="s">
        <v>366</v>
      </c>
      <c r="C25957" s="46">
        <v>28</v>
      </c>
      <c r="D25957" s="69" t="s">
        <v>29503</v>
      </c>
      <c r="E25957" s="62"/>
      <c r="F25957" s="62" t="str">
        <f>IF(INDEX(I.Gas.P1Y2C1V1,28)="","",INDEX(I.Gas.P1Y2C1V1,28))</f>
        <v/>
      </c>
      <c r="G25957" s="62"/>
      <c r="H25957" s="46" t="str">
        <f>IF(OR(I.Developer.P1=FALSE,I.Facility.StandardPart&lt;&gt;"Part 2"),"Complete",IF(I.Product.P1GasToPowerStatus&lt;&gt;"Yes","Complete",IF(AND(I.Gas.P1Y2Count&gt;=28,F25957=""),"Incomplete","Complete")))</f>
        <v>Complete</v>
      </c>
      <c r="I25957" s="48" t="s">
        <v>1136</v>
      </c>
    </row>
    <row r="25958" spans="2:9" ht="15" customHeight="1" x14ac:dyDescent="0.25">
      <c r="B25958" s="55" t="s">
        <v>366</v>
      </c>
      <c r="C25958" s="46">
        <v>29</v>
      </c>
      <c r="D25958" s="69" t="s">
        <v>29503</v>
      </c>
      <c r="E25958" s="62"/>
      <c r="F25958" s="62" t="str">
        <f>IF(INDEX(I.Gas.P1Y2C1V1,29)="","",INDEX(I.Gas.P1Y2C1V1,29))</f>
        <v/>
      </c>
      <c r="G25958" s="62"/>
      <c r="H25958" s="46" t="str">
        <f>IF(OR(I.Developer.P1=FALSE,I.Facility.StandardPart&lt;&gt;"Part 2"),"Complete",IF(I.Product.P1GasToPowerStatus&lt;&gt;"Yes","Complete",IF(AND(I.Gas.P1Y2Count&gt;=29,F25958=""),"Incomplete","Complete")))</f>
        <v>Complete</v>
      </c>
      <c r="I25958" s="48" t="s">
        <v>1137</v>
      </c>
    </row>
    <row r="25959" spans="2:9" ht="15" customHeight="1" x14ac:dyDescent="0.25">
      <c r="B25959" s="55" t="s">
        <v>366</v>
      </c>
      <c r="C25959" s="46">
        <v>30</v>
      </c>
      <c r="D25959" s="69" t="s">
        <v>29503</v>
      </c>
      <c r="E25959" s="62"/>
      <c r="F25959" s="62" t="str">
        <f>IF(INDEX(I.Gas.P1Y2C1V1,30)="","",INDEX(I.Gas.P1Y2C1V1,30))</f>
        <v/>
      </c>
      <c r="G25959" s="62"/>
      <c r="H25959" s="46" t="str">
        <f>IF(OR(I.Developer.P1=FALSE,I.Facility.StandardPart&lt;&gt;"Part 2"),"Complete",IF(I.Product.P1GasToPowerStatus&lt;&gt;"Yes","Complete",IF(AND(I.Gas.P1Y2Count&gt;=30,F25959=""),"Incomplete","Complete")))</f>
        <v>Complete</v>
      </c>
      <c r="I25959" s="48" t="s">
        <v>1138</v>
      </c>
    </row>
    <row r="25960" spans="2:9" ht="15" customHeight="1" x14ac:dyDescent="0.25">
      <c r="B25960" s="55" t="s">
        <v>366</v>
      </c>
      <c r="C25960" s="46">
        <v>31</v>
      </c>
      <c r="D25960" s="69" t="s">
        <v>29503</v>
      </c>
      <c r="E25960" s="62"/>
      <c r="F25960" s="62" t="str">
        <f>IF(INDEX(I.Gas.P1Y2C1V1,31)="","",INDEX(I.Gas.P1Y2C1V1,31))</f>
        <v/>
      </c>
      <c r="G25960" s="62"/>
      <c r="H25960" s="46" t="str">
        <f>IF(OR(I.Developer.P1=FALSE,I.Facility.StandardPart&lt;&gt;"Part 2"),"Complete",IF(I.Product.P1GasToPowerStatus&lt;&gt;"Yes","Complete",IF(AND(I.Gas.P1Y2Count&gt;=31,F25960=""),"Incomplete","Complete")))</f>
        <v>Complete</v>
      </c>
      <c r="I25960" s="48" t="s">
        <v>1139</v>
      </c>
    </row>
    <row r="25961" spans="2:9" ht="15" customHeight="1" x14ac:dyDescent="0.25">
      <c r="B25961" s="55" t="s">
        <v>366</v>
      </c>
      <c r="C25961" s="46">
        <v>32</v>
      </c>
      <c r="D25961" s="69" t="s">
        <v>29503</v>
      </c>
      <c r="E25961" s="62"/>
      <c r="F25961" s="62" t="str">
        <f>IF(INDEX(I.Gas.P1Y2C1V1,32)="","",INDEX(I.Gas.P1Y2C1V1,32))</f>
        <v/>
      </c>
      <c r="G25961" s="62"/>
      <c r="H25961" s="46" t="str">
        <f>IF(OR(I.Developer.P1=FALSE,I.Facility.StandardPart&lt;&gt;"Part 2"),"Complete",IF(I.Product.P1GasToPowerStatus&lt;&gt;"Yes","Complete",IF(AND(I.Gas.P1Y2Count&gt;=32,F25961=""),"Incomplete","Complete")))</f>
        <v>Complete</v>
      </c>
      <c r="I25961" s="48" t="s">
        <v>1140</v>
      </c>
    </row>
    <row r="25962" spans="2:9" ht="15" customHeight="1" x14ac:dyDescent="0.25">
      <c r="B25962" s="55" t="s">
        <v>366</v>
      </c>
      <c r="C25962" s="46">
        <v>33</v>
      </c>
      <c r="D25962" s="69" t="s">
        <v>29503</v>
      </c>
      <c r="E25962" s="62"/>
      <c r="F25962" s="62" t="str">
        <f>IF(INDEX(I.Gas.P1Y2C1V1,33)="","",INDEX(I.Gas.P1Y2C1V1,33))</f>
        <v/>
      </c>
      <c r="G25962" s="62"/>
      <c r="H25962" s="46" t="str">
        <f>IF(OR(I.Developer.P1=FALSE,I.Facility.StandardPart&lt;&gt;"Part 2"),"Complete",IF(I.Product.P1GasToPowerStatus&lt;&gt;"Yes","Complete",IF(AND(I.Gas.P1Y2Count&gt;=33,F25962=""),"Incomplete","Complete")))</f>
        <v>Complete</v>
      </c>
      <c r="I25962" s="48" t="s">
        <v>1141</v>
      </c>
    </row>
    <row r="25963" spans="2:9" ht="15" customHeight="1" x14ac:dyDescent="0.25">
      <c r="B25963" s="55" t="s">
        <v>366</v>
      </c>
      <c r="C25963" s="46">
        <v>34</v>
      </c>
      <c r="D25963" s="69" t="s">
        <v>29503</v>
      </c>
      <c r="E25963" s="62"/>
      <c r="F25963" s="62" t="str">
        <f>IF(INDEX(I.Gas.P1Y2C1V1,34)="","",INDEX(I.Gas.P1Y2C1V1,34))</f>
        <v/>
      </c>
      <c r="G25963" s="62"/>
      <c r="H25963" s="46" t="str">
        <f>IF(OR(I.Developer.P1=FALSE,I.Facility.StandardPart&lt;&gt;"Part 2"),"Complete",IF(I.Product.P1GasToPowerStatus&lt;&gt;"Yes","Complete",IF(AND(I.Gas.P1Y2Count&gt;=34,F25963=""),"Incomplete","Complete")))</f>
        <v>Complete</v>
      </c>
      <c r="I25963" s="48" t="s">
        <v>1142</v>
      </c>
    </row>
    <row r="25964" spans="2:9" ht="15" customHeight="1" x14ac:dyDescent="0.25">
      <c r="B25964" s="55" t="s">
        <v>366</v>
      </c>
      <c r="C25964" s="46">
        <v>35</v>
      </c>
      <c r="D25964" s="69" t="s">
        <v>29503</v>
      </c>
      <c r="E25964" s="62"/>
      <c r="F25964" s="62" t="str">
        <f>IF(INDEX(I.Gas.P1Y2C1V1,35)="","",INDEX(I.Gas.P1Y2C1V1,35))</f>
        <v/>
      </c>
      <c r="G25964" s="62"/>
      <c r="H25964" s="46" t="str">
        <f>IF(OR(I.Developer.P1=FALSE,I.Facility.StandardPart&lt;&gt;"Part 2"),"Complete",IF(I.Product.P1GasToPowerStatus&lt;&gt;"Yes","Complete",IF(AND(I.Gas.P1Y2Count&gt;=35,F25964=""),"Incomplete","Complete")))</f>
        <v>Complete</v>
      </c>
      <c r="I25964" s="48" t="s">
        <v>1143</v>
      </c>
    </row>
    <row r="25965" spans="2:9" ht="15" customHeight="1" x14ac:dyDescent="0.25">
      <c r="B25965" s="55" t="s">
        <v>366</v>
      </c>
      <c r="C25965" s="46">
        <v>36</v>
      </c>
      <c r="D25965" s="69" t="s">
        <v>29503</v>
      </c>
      <c r="E25965" s="62"/>
      <c r="F25965" s="62" t="str">
        <f>IF(INDEX(I.Gas.P1Y2C1V1,36)="","",INDEX(I.Gas.P1Y2C1V1,36))</f>
        <v/>
      </c>
      <c r="G25965" s="62"/>
      <c r="H25965" s="46" t="str">
        <f>IF(OR(I.Developer.P1=FALSE,I.Facility.StandardPart&lt;&gt;"Part 2"),"Complete",IF(I.Product.P1GasToPowerStatus&lt;&gt;"Yes","Complete",IF(AND(I.Gas.P1Y2Count&gt;=36,F25965=""),"Incomplete","Complete")))</f>
        <v>Complete</v>
      </c>
      <c r="I25965" s="48" t="s">
        <v>1144</v>
      </c>
    </row>
    <row r="25966" spans="2:9" ht="15" customHeight="1" x14ac:dyDescent="0.25">
      <c r="B25966" s="55" t="s">
        <v>366</v>
      </c>
      <c r="C25966" s="46">
        <v>37</v>
      </c>
      <c r="D25966" s="69" t="s">
        <v>29503</v>
      </c>
      <c r="E25966" s="62"/>
      <c r="F25966" s="62" t="str">
        <f>IF(INDEX(I.Gas.P1Y2C1V1,37)="","",INDEX(I.Gas.P1Y2C1V1,37))</f>
        <v/>
      </c>
      <c r="G25966" s="62"/>
      <c r="H25966" s="46" t="str">
        <f>IF(OR(I.Developer.P1=FALSE,I.Facility.StandardPart&lt;&gt;"Part 2"),"Complete",IF(I.Product.P1GasToPowerStatus&lt;&gt;"Yes","Complete",IF(AND(I.Gas.P1Y2Count&gt;=37,F25966=""),"Incomplete","Complete")))</f>
        <v>Complete</v>
      </c>
      <c r="I25966" s="48" t="s">
        <v>1145</v>
      </c>
    </row>
    <row r="25967" spans="2:9" ht="15" customHeight="1" x14ac:dyDescent="0.25">
      <c r="B25967" s="55" t="s">
        <v>366</v>
      </c>
      <c r="C25967" s="46">
        <v>38</v>
      </c>
      <c r="D25967" s="69" t="s">
        <v>29503</v>
      </c>
      <c r="E25967" s="62"/>
      <c r="F25967" s="62" t="str">
        <f>IF(INDEX(I.Gas.P1Y2C1V1,38)="","",INDEX(I.Gas.P1Y2C1V1,38))</f>
        <v/>
      </c>
      <c r="G25967" s="62"/>
      <c r="H25967" s="46" t="str">
        <f>IF(OR(I.Developer.P1=FALSE,I.Facility.StandardPart&lt;&gt;"Part 2"),"Complete",IF(I.Product.P1GasToPowerStatus&lt;&gt;"Yes","Complete",IF(AND(I.Gas.P1Y2Count&gt;=38,F25967=""),"Incomplete","Complete")))</f>
        <v>Complete</v>
      </c>
      <c r="I25967" s="48" t="s">
        <v>1146</v>
      </c>
    </row>
    <row r="25968" spans="2:9" ht="15" customHeight="1" x14ac:dyDescent="0.25">
      <c r="B25968" s="55" t="s">
        <v>366</v>
      </c>
      <c r="C25968" s="46">
        <v>39</v>
      </c>
      <c r="D25968" s="69" t="s">
        <v>29503</v>
      </c>
      <c r="E25968" s="62"/>
      <c r="F25968" s="62" t="str">
        <f>IF(INDEX(I.Gas.P1Y2C1V1,39)="","",INDEX(I.Gas.P1Y2C1V1,39))</f>
        <v/>
      </c>
      <c r="G25968" s="62"/>
      <c r="H25968" s="46" t="str">
        <f>IF(OR(I.Developer.P1=FALSE,I.Facility.StandardPart&lt;&gt;"Part 2"),"Complete",IF(I.Product.P1GasToPowerStatus&lt;&gt;"Yes","Complete",IF(AND(I.Gas.P1Y2Count&gt;=39,F25968=""),"Incomplete","Complete")))</f>
        <v>Complete</v>
      </c>
      <c r="I25968" s="48" t="s">
        <v>1147</v>
      </c>
    </row>
    <row r="25969" spans="2:9" ht="15" customHeight="1" x14ac:dyDescent="0.25">
      <c r="B25969" s="55" t="s">
        <v>366</v>
      </c>
      <c r="C25969" s="46">
        <v>40</v>
      </c>
      <c r="D25969" s="69" t="s">
        <v>29503</v>
      </c>
      <c r="E25969" s="62"/>
      <c r="F25969" s="62" t="str">
        <f>IF(INDEX(I.Gas.P1Y2C1V1,40)="","",INDEX(I.Gas.P1Y2C1V1,40))</f>
        <v/>
      </c>
      <c r="G25969" s="62"/>
      <c r="H25969" s="46" t="str">
        <f>IF(OR(I.Developer.P1=FALSE,I.Facility.StandardPart&lt;&gt;"Part 2"),"Complete",IF(I.Product.P1GasToPowerStatus&lt;&gt;"Yes","Complete",IF(AND(I.Gas.P1Y2Count&gt;=40,F25969=""),"Incomplete","Complete")))</f>
        <v>Complete</v>
      </c>
      <c r="I25969" s="48" t="s">
        <v>1148</v>
      </c>
    </row>
    <row r="25970" spans="2:9" ht="15" customHeight="1" x14ac:dyDescent="0.25">
      <c r="B25970" s="55" t="s">
        <v>366</v>
      </c>
      <c r="C25970" s="46">
        <v>41</v>
      </c>
      <c r="D25970" s="69" t="s">
        <v>29503</v>
      </c>
      <c r="E25970" s="62"/>
      <c r="F25970" s="62" t="str">
        <f>IF(INDEX(I.Gas.P1Y2C1V1,41)="","",INDEX(I.Gas.P1Y2C1V1,41))</f>
        <v/>
      </c>
      <c r="G25970" s="62"/>
      <c r="H25970" s="46" t="str">
        <f>IF(OR(I.Developer.P1=FALSE,I.Facility.StandardPart&lt;&gt;"Part 2"),"Complete",IF(I.Product.P1GasToPowerStatus&lt;&gt;"Yes","Complete",IF(AND(I.Gas.P1Y2Count&gt;=41,F25970=""),"Incomplete","Complete")))</f>
        <v>Complete</v>
      </c>
      <c r="I25970" s="48" t="s">
        <v>1149</v>
      </c>
    </row>
    <row r="25971" spans="2:9" ht="15" customHeight="1" x14ac:dyDescent="0.25">
      <c r="B25971" s="55" t="s">
        <v>366</v>
      </c>
      <c r="C25971" s="46">
        <v>42</v>
      </c>
      <c r="D25971" s="69" t="s">
        <v>29503</v>
      </c>
      <c r="E25971" s="62"/>
      <c r="F25971" s="62" t="str">
        <f>IF(INDEX(I.Gas.P1Y2C1V1,42)="","",INDEX(I.Gas.P1Y2C1V1,42))</f>
        <v/>
      </c>
      <c r="G25971" s="62"/>
      <c r="H25971" s="46" t="str">
        <f>IF(OR(I.Developer.P1=FALSE,I.Facility.StandardPart&lt;&gt;"Part 2"),"Complete",IF(I.Product.P1GasToPowerStatus&lt;&gt;"Yes","Complete",IF(AND(I.Gas.P1Y2Count&gt;=42,F25971=""),"Incomplete","Complete")))</f>
        <v>Complete</v>
      </c>
      <c r="I25971" s="48" t="s">
        <v>1150</v>
      </c>
    </row>
    <row r="25972" spans="2:9" ht="15" customHeight="1" x14ac:dyDescent="0.25">
      <c r="B25972" s="55" t="s">
        <v>366</v>
      </c>
      <c r="C25972" s="46">
        <v>43</v>
      </c>
      <c r="D25972" s="69" t="s">
        <v>29503</v>
      </c>
      <c r="E25972" s="62"/>
      <c r="F25972" s="62" t="str">
        <f>IF(INDEX(I.Gas.P1Y2C1V1,43)="","",INDEX(I.Gas.P1Y2C1V1,43))</f>
        <v/>
      </c>
      <c r="G25972" s="62"/>
      <c r="H25972" s="46" t="str">
        <f>IF(OR(I.Developer.P1=FALSE,I.Facility.StandardPart&lt;&gt;"Part 2"),"Complete",IF(I.Product.P1GasToPowerStatus&lt;&gt;"Yes","Complete",IF(AND(I.Gas.P1Y2Count&gt;=43,F25972=""),"Incomplete","Complete")))</f>
        <v>Complete</v>
      </c>
      <c r="I25972" s="48" t="s">
        <v>1151</v>
      </c>
    </row>
    <row r="25973" spans="2:9" ht="15" customHeight="1" x14ac:dyDescent="0.25">
      <c r="B25973" s="55" t="s">
        <v>366</v>
      </c>
      <c r="C25973" s="46">
        <v>44</v>
      </c>
      <c r="D25973" s="69" t="s">
        <v>29503</v>
      </c>
      <c r="E25973" s="62"/>
      <c r="F25973" s="62" t="str">
        <f>IF(INDEX(I.Gas.P1Y2C1V1,44)="","",INDEX(I.Gas.P1Y2C1V1,44))</f>
        <v/>
      </c>
      <c r="G25973" s="62"/>
      <c r="H25973" s="46" t="str">
        <f>IF(OR(I.Developer.P1=FALSE,I.Facility.StandardPart&lt;&gt;"Part 2"),"Complete",IF(I.Product.P1GasToPowerStatus&lt;&gt;"Yes","Complete",IF(AND(I.Gas.P1Y2Count&gt;=44,F25973=""),"Incomplete","Complete")))</f>
        <v>Complete</v>
      </c>
      <c r="I25973" s="48" t="s">
        <v>1152</v>
      </c>
    </row>
    <row r="25974" spans="2:9" ht="15" customHeight="1" x14ac:dyDescent="0.25">
      <c r="B25974" s="55" t="s">
        <v>366</v>
      </c>
      <c r="C25974" s="46">
        <v>45</v>
      </c>
      <c r="D25974" s="69" t="s">
        <v>29503</v>
      </c>
      <c r="E25974" s="62"/>
      <c r="F25974" s="62" t="str">
        <f>IF(INDEX(I.Gas.P1Y2C1V1,45)="","",INDEX(I.Gas.P1Y2C1V1,45))</f>
        <v/>
      </c>
      <c r="G25974" s="62"/>
      <c r="H25974" s="46" t="str">
        <f>IF(OR(I.Developer.P1=FALSE,I.Facility.StandardPart&lt;&gt;"Part 2"),"Complete",IF(I.Product.P1GasToPowerStatus&lt;&gt;"Yes","Complete",IF(AND(I.Gas.P1Y2Count&gt;=45,F25974=""),"Incomplete","Complete")))</f>
        <v>Complete</v>
      </c>
      <c r="I25974" s="48" t="s">
        <v>1153</v>
      </c>
    </row>
    <row r="25975" spans="2:9" ht="15" customHeight="1" x14ac:dyDescent="0.25">
      <c r="B25975" s="55" t="s">
        <v>366</v>
      </c>
      <c r="C25975" s="46">
        <v>46</v>
      </c>
      <c r="D25975" s="69" t="s">
        <v>29503</v>
      </c>
      <c r="E25975" s="62"/>
      <c r="F25975" s="62" t="str">
        <f>IF(INDEX(I.Gas.P1Y2C1V1,46)="","",INDEX(I.Gas.P1Y2C1V1,46))</f>
        <v/>
      </c>
      <c r="G25975" s="62"/>
      <c r="H25975" s="46" t="str">
        <f>IF(OR(I.Developer.P1=FALSE,I.Facility.StandardPart&lt;&gt;"Part 2"),"Complete",IF(I.Product.P1GasToPowerStatus&lt;&gt;"Yes","Complete",IF(AND(I.Gas.P1Y2Count&gt;=46,F25975=""),"Incomplete","Complete")))</f>
        <v>Complete</v>
      </c>
      <c r="I25975" s="48" t="s">
        <v>1154</v>
      </c>
    </row>
    <row r="25976" spans="2:9" ht="15" customHeight="1" x14ac:dyDescent="0.25">
      <c r="B25976" s="55" t="s">
        <v>366</v>
      </c>
      <c r="C25976" s="46">
        <v>47</v>
      </c>
      <c r="D25976" s="69" t="s">
        <v>29503</v>
      </c>
      <c r="E25976" s="62"/>
      <c r="F25976" s="62" t="str">
        <f>IF(INDEX(I.Gas.P1Y2C1V1,47)="","",INDEX(I.Gas.P1Y2C1V1,47))</f>
        <v/>
      </c>
      <c r="G25976" s="62"/>
      <c r="H25976" s="46" t="str">
        <f>IF(OR(I.Developer.P1=FALSE,I.Facility.StandardPart&lt;&gt;"Part 2"),"Complete",IF(I.Product.P1GasToPowerStatus&lt;&gt;"Yes","Complete",IF(AND(I.Gas.P1Y2Count&gt;=47,F25976=""),"Incomplete","Complete")))</f>
        <v>Complete</v>
      </c>
      <c r="I25976" s="48" t="s">
        <v>1155</v>
      </c>
    </row>
    <row r="25977" spans="2:9" ht="15" customHeight="1" x14ac:dyDescent="0.25">
      <c r="B25977" s="55" t="s">
        <v>366</v>
      </c>
      <c r="C25977" s="46">
        <v>48</v>
      </c>
      <c r="D25977" s="69" t="s">
        <v>29503</v>
      </c>
      <c r="E25977" s="62"/>
      <c r="F25977" s="62" t="str">
        <f>IF(INDEX(I.Gas.P1Y2C1V1,48)="","",INDEX(I.Gas.P1Y2C1V1,48))</f>
        <v/>
      </c>
      <c r="G25977" s="62"/>
      <c r="H25977" s="46" t="str">
        <f>IF(OR(I.Developer.P1=FALSE,I.Facility.StandardPart&lt;&gt;"Part 2"),"Complete",IF(I.Product.P1GasToPowerStatus&lt;&gt;"Yes","Complete",IF(AND(I.Gas.P1Y2Count&gt;=48,F25977=""),"Incomplete","Complete")))</f>
        <v>Complete</v>
      </c>
      <c r="I25977" s="48" t="s">
        <v>1156</v>
      </c>
    </row>
    <row r="25978" spans="2:9" ht="15" customHeight="1" x14ac:dyDescent="0.25">
      <c r="B25978" s="55" t="s">
        <v>366</v>
      </c>
      <c r="C25978" s="46">
        <v>49</v>
      </c>
      <c r="D25978" s="69" t="s">
        <v>29503</v>
      </c>
      <c r="E25978" s="62"/>
      <c r="F25978" s="62" t="str">
        <f>IF(INDEX(I.Gas.P1Y2C1V1,49)="","",INDEX(I.Gas.P1Y2C1V1,49))</f>
        <v/>
      </c>
      <c r="G25978" s="62"/>
      <c r="H25978" s="46" t="str">
        <f>IF(OR(I.Developer.P1=FALSE,I.Facility.StandardPart&lt;&gt;"Part 2"),"Complete",IF(I.Product.P1GasToPowerStatus&lt;&gt;"Yes","Complete",IF(AND(I.Gas.P1Y2Count&gt;=49,F25978=""),"Incomplete","Complete")))</f>
        <v>Complete</v>
      </c>
      <c r="I25978" s="48" t="s">
        <v>1157</v>
      </c>
    </row>
    <row r="25979" spans="2:9" ht="15" customHeight="1" x14ac:dyDescent="0.25">
      <c r="B25979" s="56" t="s">
        <v>366</v>
      </c>
      <c r="C25979" s="57">
        <v>50</v>
      </c>
      <c r="D25979" s="71" t="s">
        <v>29503</v>
      </c>
      <c r="E25979" s="61"/>
      <c r="F25979" s="61" t="str">
        <f>IF(INDEX(I.Gas.P1Y2C1V1,50)="","",INDEX(I.Gas.P1Y2C1V1,50))</f>
        <v/>
      </c>
      <c r="G25979" s="61"/>
      <c r="H25979" s="57" t="str">
        <f>IF(OR(I.Developer.P1=FALSE,I.Facility.StandardPart&lt;&gt;"Part 2"),"Complete",IF(I.Product.P1GasToPowerStatus&lt;&gt;"Yes","Complete",IF(AND(I.Gas.P1Y2Count&gt;=50,F25979=""),"Incomplete","Complete")))</f>
        <v>Complete</v>
      </c>
      <c r="I25979" s="49" t="s">
        <v>1158</v>
      </c>
    </row>
    <row r="25980" spans="2:9" ht="15" customHeight="1" x14ac:dyDescent="0.25">
      <c r="B25980" s="55" t="s">
        <v>367</v>
      </c>
      <c r="C25980" s="46">
        <v>1</v>
      </c>
      <c r="D25980" s="69" t="s">
        <v>29504</v>
      </c>
      <c r="E25980" s="62"/>
      <c r="F25980" s="62" t="str">
        <f>IF(INDEX(I.Gas.P1Y2C1E1,1)="","",INDEX(I.Gas.P1Y2C1E1,1))</f>
        <v/>
      </c>
      <c r="G25980" s="62"/>
      <c r="H25980" s="46" t="str">
        <f>IF(OR(I.Developer.P1=FALSE,I.Facility.StandardPart="Part 2"),"Complete",IF(I.Product.P1GasToPowerStatus&lt;&gt;"Yes","Complete",IF(AND(I.Gas.P1Y2Count&gt;=1,F25980=""),"Incomplete","Complete")))</f>
        <v>Complete</v>
      </c>
      <c r="I25980" s="48" t="s">
        <v>1159</v>
      </c>
    </row>
    <row r="25981" spans="2:9" ht="15" customHeight="1" x14ac:dyDescent="0.25">
      <c r="B25981" s="55" t="s">
        <v>367</v>
      </c>
      <c r="C25981" s="46">
        <v>2</v>
      </c>
      <c r="D25981" s="69" t="s">
        <v>29504</v>
      </c>
      <c r="E25981" s="62"/>
      <c r="F25981" s="62" t="str">
        <f>IF(INDEX(I.Gas.P1Y2C1E1,2)="","",INDEX(I.Gas.P1Y2C1E1,2))</f>
        <v/>
      </c>
      <c r="G25981" s="62"/>
      <c r="H25981" s="46" t="str">
        <f>IF(OR(I.Developer.P1=FALSE,I.Facility.StandardPart="Part 2"),"Complete",IF(I.Product.P1GasToPowerStatus&lt;&gt;"Yes","Complete",IF(AND(I.Gas.P1Y2Count&gt;=2,F25981=""),"Incomplete","Complete")))</f>
        <v>Complete</v>
      </c>
      <c r="I25981" s="48" t="s">
        <v>1160</v>
      </c>
    </row>
    <row r="25982" spans="2:9" ht="15" customHeight="1" x14ac:dyDescent="0.25">
      <c r="B25982" s="55" t="s">
        <v>367</v>
      </c>
      <c r="C25982" s="46">
        <v>3</v>
      </c>
      <c r="D25982" s="69" t="s">
        <v>29504</v>
      </c>
      <c r="E25982" s="62"/>
      <c r="F25982" s="62" t="str">
        <f>IF(INDEX(I.Gas.P1Y2C1E1,3)="","",INDEX(I.Gas.P1Y2C1E1,3))</f>
        <v/>
      </c>
      <c r="G25982" s="62"/>
      <c r="H25982" s="46" t="str">
        <f>IF(OR(I.Developer.P1=FALSE,I.Facility.StandardPart="Part 2"),"Complete",IF(I.Product.P1GasToPowerStatus&lt;&gt;"Yes","Complete",IF(AND(I.Gas.P1Y2Count&gt;=3,F25982=""),"Incomplete","Complete")))</f>
        <v>Complete</v>
      </c>
      <c r="I25982" s="48" t="s">
        <v>1161</v>
      </c>
    </row>
    <row r="25983" spans="2:9" ht="15" customHeight="1" x14ac:dyDescent="0.25">
      <c r="B25983" s="55" t="s">
        <v>367</v>
      </c>
      <c r="C25983" s="46">
        <v>4</v>
      </c>
      <c r="D25983" s="69" t="s">
        <v>29504</v>
      </c>
      <c r="E25983" s="62"/>
      <c r="F25983" s="62" t="str">
        <f>IF(INDEX(I.Gas.P1Y2C1E1,4)="","",INDEX(I.Gas.P1Y2C1E1,4))</f>
        <v/>
      </c>
      <c r="G25983" s="62"/>
      <c r="H25983" s="46" t="str">
        <f>IF(OR(I.Developer.P1=FALSE,I.Facility.StandardPart="Part 2"),"Complete",IF(I.Product.P1GasToPowerStatus&lt;&gt;"Yes","Complete",IF(AND(I.Gas.P1Y2Count&gt;=4,F25983=""),"Incomplete","Complete")))</f>
        <v>Complete</v>
      </c>
      <c r="I25983" s="48" t="s">
        <v>1162</v>
      </c>
    </row>
    <row r="25984" spans="2:9" ht="15" customHeight="1" x14ac:dyDescent="0.25">
      <c r="B25984" s="55" t="s">
        <v>367</v>
      </c>
      <c r="C25984" s="46">
        <v>5</v>
      </c>
      <c r="D25984" s="69" t="s">
        <v>29504</v>
      </c>
      <c r="E25984" s="62"/>
      <c r="F25984" s="62" t="str">
        <f>IF(INDEX(I.Gas.P1Y2C1E1,5)="","",INDEX(I.Gas.P1Y2C1E1,5))</f>
        <v/>
      </c>
      <c r="G25984" s="62"/>
      <c r="H25984" s="46" t="str">
        <f>IF(OR(I.Developer.P1=FALSE,I.Facility.StandardPart="Part 2"),"Complete",IF(I.Product.P1GasToPowerStatus&lt;&gt;"Yes","Complete",IF(AND(I.Gas.P1Y2Count&gt;=5,F25984=""),"Incomplete","Complete")))</f>
        <v>Complete</v>
      </c>
      <c r="I25984" s="48" t="s">
        <v>1163</v>
      </c>
    </row>
    <row r="25985" spans="2:9" ht="15" customHeight="1" x14ac:dyDescent="0.25">
      <c r="B25985" s="55" t="s">
        <v>367</v>
      </c>
      <c r="C25985" s="46">
        <v>6</v>
      </c>
      <c r="D25985" s="69" t="s">
        <v>29504</v>
      </c>
      <c r="E25985" s="62"/>
      <c r="F25985" s="62" t="str">
        <f>IF(INDEX(I.Gas.P1Y2C1E1,6)="","",INDEX(I.Gas.P1Y2C1E1,6))</f>
        <v/>
      </c>
      <c r="G25985" s="62"/>
      <c r="H25985" s="46" t="str">
        <f>IF(OR(I.Developer.P1=FALSE,I.Facility.StandardPart="Part 2"),"Complete",IF(I.Product.P1GasToPowerStatus&lt;&gt;"Yes","Complete",IF(AND(I.Gas.P1Y2Count&gt;=6,F25985=""),"Incomplete","Complete")))</f>
        <v>Complete</v>
      </c>
      <c r="I25985" s="48" t="s">
        <v>1164</v>
      </c>
    </row>
    <row r="25986" spans="2:9" ht="15" customHeight="1" x14ac:dyDescent="0.25">
      <c r="B25986" s="55" t="s">
        <v>367</v>
      </c>
      <c r="C25986" s="46">
        <v>7</v>
      </c>
      <c r="D25986" s="69" t="s">
        <v>29504</v>
      </c>
      <c r="E25986" s="62"/>
      <c r="F25986" s="62" t="str">
        <f>IF(INDEX(I.Gas.P1Y2C1E1,7)="","",INDEX(I.Gas.P1Y2C1E1,7))</f>
        <v/>
      </c>
      <c r="G25986" s="62"/>
      <c r="H25986" s="46" t="str">
        <f>IF(OR(I.Developer.P1=FALSE,I.Facility.StandardPart="Part 2"),"Complete",IF(I.Product.P1GasToPowerStatus&lt;&gt;"Yes","Complete",IF(AND(I.Gas.P1Y2Count&gt;=7,F25986=""),"Incomplete","Complete")))</f>
        <v>Complete</v>
      </c>
      <c r="I25986" s="48" t="s">
        <v>1165</v>
      </c>
    </row>
    <row r="25987" spans="2:9" ht="15" customHeight="1" x14ac:dyDescent="0.25">
      <c r="B25987" s="55" t="s">
        <v>367</v>
      </c>
      <c r="C25987" s="46">
        <v>8</v>
      </c>
      <c r="D25987" s="69" t="s">
        <v>29504</v>
      </c>
      <c r="E25987" s="62"/>
      <c r="F25987" s="62" t="str">
        <f>IF(INDEX(I.Gas.P1Y2C1E1,8)="","",INDEX(I.Gas.P1Y2C1E1,8))</f>
        <v/>
      </c>
      <c r="G25987" s="62"/>
      <c r="H25987" s="46" t="str">
        <f>IF(OR(I.Developer.P1=FALSE,I.Facility.StandardPart="Part 2"),"Complete",IF(I.Product.P1GasToPowerStatus&lt;&gt;"Yes","Complete",IF(AND(I.Gas.P1Y2Count&gt;=8,F25987=""),"Incomplete","Complete")))</f>
        <v>Complete</v>
      </c>
      <c r="I25987" s="48" t="s">
        <v>1166</v>
      </c>
    </row>
    <row r="25988" spans="2:9" ht="15" customHeight="1" x14ac:dyDescent="0.25">
      <c r="B25988" s="55" t="s">
        <v>367</v>
      </c>
      <c r="C25988" s="46">
        <v>9</v>
      </c>
      <c r="D25988" s="69" t="s">
        <v>29504</v>
      </c>
      <c r="E25988" s="62"/>
      <c r="F25988" s="62" t="str">
        <f>IF(INDEX(I.Gas.P1Y2C1E1,9)="","",INDEX(I.Gas.P1Y2C1E1,9))</f>
        <v/>
      </c>
      <c r="G25988" s="62"/>
      <c r="H25988" s="46" t="str">
        <f>IF(OR(I.Developer.P1=FALSE,I.Facility.StandardPart="Part 2"),"Complete",IF(I.Product.P1GasToPowerStatus&lt;&gt;"Yes","Complete",IF(AND(I.Gas.P1Y2Count&gt;=9,F25988=""),"Incomplete","Complete")))</f>
        <v>Complete</v>
      </c>
      <c r="I25988" s="48" t="s">
        <v>1167</v>
      </c>
    </row>
    <row r="25989" spans="2:9" ht="15" customHeight="1" x14ac:dyDescent="0.25">
      <c r="B25989" s="55" t="s">
        <v>367</v>
      </c>
      <c r="C25989" s="46">
        <v>10</v>
      </c>
      <c r="D25989" s="69" t="s">
        <v>29504</v>
      </c>
      <c r="E25989" s="62"/>
      <c r="F25989" s="62" t="str">
        <f>IF(INDEX(I.Gas.P1Y2C1E1,10)="","",INDEX(I.Gas.P1Y2C1E1,10))</f>
        <v/>
      </c>
      <c r="G25989" s="62"/>
      <c r="H25989" s="46" t="str">
        <f>IF(OR(I.Developer.P1=FALSE,I.Facility.StandardPart="Part 2"),"Complete",IF(I.Product.P1GasToPowerStatus&lt;&gt;"Yes","Complete",IF(AND(I.Gas.P1Y2Count&gt;=10,F25989=""),"Incomplete","Complete")))</f>
        <v>Complete</v>
      </c>
      <c r="I25989" s="48" t="s">
        <v>1168</v>
      </c>
    </row>
    <row r="25990" spans="2:9" ht="15" customHeight="1" x14ac:dyDescent="0.25">
      <c r="B25990" s="55" t="s">
        <v>367</v>
      </c>
      <c r="C25990" s="46">
        <v>11</v>
      </c>
      <c r="D25990" s="69" t="s">
        <v>29504</v>
      </c>
      <c r="E25990" s="62"/>
      <c r="F25990" s="62" t="str">
        <f>IF(INDEX(I.Gas.P1Y2C1E1,11)="","",INDEX(I.Gas.P1Y2C1E1,11))</f>
        <v/>
      </c>
      <c r="G25990" s="62"/>
      <c r="H25990" s="46" t="str">
        <f>IF(OR(I.Developer.P1=FALSE,I.Facility.StandardPart="Part 2"),"Complete",IF(I.Product.P1GasToPowerStatus&lt;&gt;"Yes","Complete",IF(AND(I.Gas.P1Y2Count&gt;=11,F25990=""),"Incomplete","Complete")))</f>
        <v>Complete</v>
      </c>
      <c r="I25990" s="48" t="s">
        <v>1169</v>
      </c>
    </row>
    <row r="25991" spans="2:9" ht="15" customHeight="1" x14ac:dyDescent="0.25">
      <c r="B25991" s="55" t="s">
        <v>367</v>
      </c>
      <c r="C25991" s="46">
        <v>12</v>
      </c>
      <c r="D25991" s="69" t="s">
        <v>29504</v>
      </c>
      <c r="E25991" s="62"/>
      <c r="F25991" s="62" t="str">
        <f>IF(INDEX(I.Gas.P1Y2C1E1,12)="","",INDEX(I.Gas.P1Y2C1E1,12))</f>
        <v/>
      </c>
      <c r="G25991" s="62"/>
      <c r="H25991" s="46" t="str">
        <f>IF(OR(I.Developer.P1=FALSE,I.Facility.StandardPart="Part 2"),"Complete",IF(I.Product.P1GasToPowerStatus&lt;&gt;"Yes","Complete",IF(AND(I.Gas.P1Y2Count&gt;=12,F25991=""),"Incomplete","Complete")))</f>
        <v>Complete</v>
      </c>
      <c r="I25991" s="48" t="s">
        <v>1170</v>
      </c>
    </row>
    <row r="25992" spans="2:9" ht="15" customHeight="1" x14ac:dyDescent="0.25">
      <c r="B25992" s="55" t="s">
        <v>367</v>
      </c>
      <c r="C25992" s="46">
        <v>13</v>
      </c>
      <c r="D25992" s="69" t="s">
        <v>29504</v>
      </c>
      <c r="E25992" s="62"/>
      <c r="F25992" s="62" t="str">
        <f>IF(INDEX(I.Gas.P1Y2C1E1,13)="","",INDEX(I.Gas.P1Y2C1E1,13))</f>
        <v/>
      </c>
      <c r="G25992" s="62"/>
      <c r="H25992" s="46" t="str">
        <f>IF(OR(I.Developer.P1=FALSE,I.Facility.StandardPart="Part 2"),"Complete",IF(I.Product.P1GasToPowerStatus&lt;&gt;"Yes","Complete",IF(AND(I.Gas.P1Y2Count&gt;=13,F25992=""),"Incomplete","Complete")))</f>
        <v>Complete</v>
      </c>
      <c r="I25992" s="48" t="s">
        <v>1171</v>
      </c>
    </row>
    <row r="25993" spans="2:9" ht="15" customHeight="1" x14ac:dyDescent="0.25">
      <c r="B25993" s="55" t="s">
        <v>367</v>
      </c>
      <c r="C25993" s="46">
        <v>14</v>
      </c>
      <c r="D25993" s="69" t="s">
        <v>29504</v>
      </c>
      <c r="E25993" s="62"/>
      <c r="F25993" s="62" t="str">
        <f>IF(INDEX(I.Gas.P1Y2C1E1,14)="","",INDEX(I.Gas.P1Y2C1E1,14))</f>
        <v/>
      </c>
      <c r="G25993" s="62"/>
      <c r="H25993" s="46" t="str">
        <f>IF(OR(I.Developer.P1=FALSE,I.Facility.StandardPart="Part 2"),"Complete",IF(I.Product.P1GasToPowerStatus&lt;&gt;"Yes","Complete",IF(AND(I.Gas.P1Y2Count&gt;=14,F25993=""),"Incomplete","Complete")))</f>
        <v>Complete</v>
      </c>
      <c r="I25993" s="48" t="s">
        <v>1172</v>
      </c>
    </row>
    <row r="25994" spans="2:9" ht="15" customHeight="1" x14ac:dyDescent="0.25">
      <c r="B25994" s="55" t="s">
        <v>367</v>
      </c>
      <c r="C25994" s="46">
        <v>15</v>
      </c>
      <c r="D25994" s="69" t="s">
        <v>29504</v>
      </c>
      <c r="E25994" s="62"/>
      <c r="F25994" s="62" t="str">
        <f>IF(INDEX(I.Gas.P1Y2C1E1,15)="","",INDEX(I.Gas.P1Y2C1E1,15))</f>
        <v/>
      </c>
      <c r="G25994" s="62"/>
      <c r="H25994" s="46" t="str">
        <f>IF(OR(I.Developer.P1=FALSE,I.Facility.StandardPart="Part 2"),"Complete",IF(I.Product.P1GasToPowerStatus&lt;&gt;"Yes","Complete",IF(AND(I.Gas.P1Y2Count&gt;=15,F25994=""),"Incomplete","Complete")))</f>
        <v>Complete</v>
      </c>
      <c r="I25994" s="48" t="s">
        <v>1173</v>
      </c>
    </row>
    <row r="25995" spans="2:9" ht="15" customHeight="1" x14ac:dyDescent="0.25">
      <c r="B25995" s="55" t="s">
        <v>367</v>
      </c>
      <c r="C25995" s="46">
        <v>16</v>
      </c>
      <c r="D25995" s="69" t="s">
        <v>29504</v>
      </c>
      <c r="E25995" s="62"/>
      <c r="F25995" s="62" t="str">
        <f>IF(INDEX(I.Gas.P1Y2C1E1,16)="","",INDEX(I.Gas.P1Y2C1E1,16))</f>
        <v/>
      </c>
      <c r="G25995" s="62"/>
      <c r="H25995" s="46" t="str">
        <f>IF(OR(I.Developer.P1=FALSE,I.Facility.StandardPart="Part 2"),"Complete",IF(I.Product.P1GasToPowerStatus&lt;&gt;"Yes","Complete",IF(AND(I.Gas.P1Y2Count&gt;=16,F25995=""),"Incomplete","Complete")))</f>
        <v>Complete</v>
      </c>
      <c r="I25995" s="48" t="s">
        <v>1174</v>
      </c>
    </row>
    <row r="25996" spans="2:9" ht="15" customHeight="1" x14ac:dyDescent="0.25">
      <c r="B25996" s="55" t="s">
        <v>367</v>
      </c>
      <c r="C25996" s="46">
        <v>17</v>
      </c>
      <c r="D25996" s="69" t="s">
        <v>29504</v>
      </c>
      <c r="E25996" s="62"/>
      <c r="F25996" s="62" t="str">
        <f>IF(INDEX(I.Gas.P1Y2C1E1,17)="","",INDEX(I.Gas.P1Y2C1E1,17))</f>
        <v/>
      </c>
      <c r="G25996" s="62"/>
      <c r="H25996" s="46" t="str">
        <f>IF(OR(I.Developer.P1=FALSE,I.Facility.StandardPart="Part 2"),"Complete",IF(I.Product.P1GasToPowerStatus&lt;&gt;"Yes","Complete",IF(AND(I.Gas.P1Y2Count&gt;=17,F25996=""),"Incomplete","Complete")))</f>
        <v>Complete</v>
      </c>
      <c r="I25996" s="48" t="s">
        <v>1175</v>
      </c>
    </row>
    <row r="25997" spans="2:9" ht="15" customHeight="1" x14ac:dyDescent="0.25">
      <c r="B25997" s="55" t="s">
        <v>367</v>
      </c>
      <c r="C25997" s="46">
        <v>18</v>
      </c>
      <c r="D25997" s="69" t="s">
        <v>29504</v>
      </c>
      <c r="E25997" s="62"/>
      <c r="F25997" s="62" t="str">
        <f>IF(INDEX(I.Gas.P1Y2C1E1,18)="","",INDEX(I.Gas.P1Y2C1E1,18))</f>
        <v/>
      </c>
      <c r="G25997" s="62"/>
      <c r="H25997" s="46" t="str">
        <f>IF(OR(I.Developer.P1=FALSE,I.Facility.StandardPart="Part 2"),"Complete",IF(I.Product.P1GasToPowerStatus&lt;&gt;"Yes","Complete",IF(AND(I.Gas.P1Y2Count&gt;=18,F25997=""),"Incomplete","Complete")))</f>
        <v>Complete</v>
      </c>
      <c r="I25997" s="48" t="s">
        <v>1176</v>
      </c>
    </row>
    <row r="25998" spans="2:9" ht="15" customHeight="1" x14ac:dyDescent="0.25">
      <c r="B25998" s="55" t="s">
        <v>367</v>
      </c>
      <c r="C25998" s="46">
        <v>19</v>
      </c>
      <c r="D25998" s="69" t="s">
        <v>29504</v>
      </c>
      <c r="E25998" s="62"/>
      <c r="F25998" s="62" t="str">
        <f>IF(INDEX(I.Gas.P1Y2C1E1,19)="","",INDEX(I.Gas.P1Y2C1E1,19))</f>
        <v/>
      </c>
      <c r="G25998" s="62"/>
      <c r="H25998" s="46" t="str">
        <f>IF(OR(I.Developer.P1=FALSE,I.Facility.StandardPart="Part 2"),"Complete",IF(I.Product.P1GasToPowerStatus&lt;&gt;"Yes","Complete",IF(AND(I.Gas.P1Y2Count&gt;=19,F25998=""),"Incomplete","Complete")))</f>
        <v>Complete</v>
      </c>
      <c r="I25998" s="48" t="s">
        <v>1177</v>
      </c>
    </row>
    <row r="25999" spans="2:9" ht="15" customHeight="1" x14ac:dyDescent="0.25">
      <c r="B25999" s="55" t="s">
        <v>367</v>
      </c>
      <c r="C25999" s="46">
        <v>20</v>
      </c>
      <c r="D25999" s="69" t="s">
        <v>29504</v>
      </c>
      <c r="E25999" s="62"/>
      <c r="F25999" s="62" t="str">
        <f>IF(INDEX(I.Gas.P1Y2C1E1,20)="","",INDEX(I.Gas.P1Y2C1E1,20))</f>
        <v/>
      </c>
      <c r="G25999" s="62"/>
      <c r="H25999" s="46" t="str">
        <f>IF(OR(I.Developer.P1=FALSE,I.Facility.StandardPart="Part 2"),"Complete",IF(I.Product.P1GasToPowerStatus&lt;&gt;"Yes","Complete",IF(AND(I.Gas.P1Y2Count&gt;=20,F25999=""),"Incomplete","Complete")))</f>
        <v>Complete</v>
      </c>
      <c r="I25999" s="48" t="s">
        <v>1178</v>
      </c>
    </row>
    <row r="26000" spans="2:9" ht="15" customHeight="1" x14ac:dyDescent="0.25">
      <c r="B26000" s="55" t="s">
        <v>367</v>
      </c>
      <c r="C26000" s="46">
        <v>21</v>
      </c>
      <c r="D26000" s="69" t="s">
        <v>29504</v>
      </c>
      <c r="E26000" s="62"/>
      <c r="F26000" s="62" t="str">
        <f>IF(INDEX(I.Gas.P1Y2C1E1,21)="","",INDEX(I.Gas.P1Y2C1E1,21))</f>
        <v/>
      </c>
      <c r="G26000" s="62"/>
      <c r="H26000" s="46" t="str">
        <f>IF(OR(I.Developer.P1=FALSE,I.Facility.StandardPart="Part 2"),"Complete",IF(I.Product.P1GasToPowerStatus&lt;&gt;"Yes","Complete",IF(AND(I.Gas.P1Y2Count&gt;=21,F26000=""),"Incomplete","Complete")))</f>
        <v>Complete</v>
      </c>
      <c r="I26000" s="48" t="s">
        <v>1179</v>
      </c>
    </row>
    <row r="26001" spans="2:9" ht="15" customHeight="1" x14ac:dyDescent="0.25">
      <c r="B26001" s="55" t="s">
        <v>367</v>
      </c>
      <c r="C26001" s="46">
        <v>22</v>
      </c>
      <c r="D26001" s="69" t="s">
        <v>29504</v>
      </c>
      <c r="E26001" s="62"/>
      <c r="F26001" s="62" t="str">
        <f>IF(INDEX(I.Gas.P1Y2C1E1,22)="","",INDEX(I.Gas.P1Y2C1E1,22))</f>
        <v/>
      </c>
      <c r="G26001" s="62"/>
      <c r="H26001" s="46" t="str">
        <f>IF(OR(I.Developer.P1=FALSE,I.Facility.StandardPart="Part 2"),"Complete",IF(I.Product.P1GasToPowerStatus&lt;&gt;"Yes","Complete",IF(AND(I.Gas.P1Y2Count&gt;=22,F26001=""),"Incomplete","Complete")))</f>
        <v>Complete</v>
      </c>
      <c r="I26001" s="48" t="s">
        <v>1180</v>
      </c>
    </row>
    <row r="26002" spans="2:9" ht="15" customHeight="1" x14ac:dyDescent="0.25">
      <c r="B26002" s="55" t="s">
        <v>367</v>
      </c>
      <c r="C26002" s="46">
        <v>23</v>
      </c>
      <c r="D26002" s="69" t="s">
        <v>29504</v>
      </c>
      <c r="E26002" s="62"/>
      <c r="F26002" s="62" t="str">
        <f>IF(INDEX(I.Gas.P1Y2C1E1,23)="","",INDEX(I.Gas.P1Y2C1E1,23))</f>
        <v/>
      </c>
      <c r="G26002" s="62"/>
      <c r="H26002" s="46" t="str">
        <f>IF(OR(I.Developer.P1=FALSE,I.Facility.StandardPart="Part 2"),"Complete",IF(I.Product.P1GasToPowerStatus&lt;&gt;"Yes","Complete",IF(AND(I.Gas.P1Y2Count&gt;=23,F26002=""),"Incomplete","Complete")))</f>
        <v>Complete</v>
      </c>
      <c r="I26002" s="48" t="s">
        <v>1181</v>
      </c>
    </row>
    <row r="26003" spans="2:9" ht="15" customHeight="1" x14ac:dyDescent="0.25">
      <c r="B26003" s="55" t="s">
        <v>367</v>
      </c>
      <c r="C26003" s="46">
        <v>24</v>
      </c>
      <c r="D26003" s="69" t="s">
        <v>29504</v>
      </c>
      <c r="E26003" s="62"/>
      <c r="F26003" s="62" t="str">
        <f>IF(INDEX(I.Gas.P1Y2C1E1,24)="","",INDEX(I.Gas.P1Y2C1E1,24))</f>
        <v/>
      </c>
      <c r="G26003" s="62"/>
      <c r="H26003" s="46" t="str">
        <f>IF(OR(I.Developer.P1=FALSE,I.Facility.StandardPart="Part 2"),"Complete",IF(I.Product.P1GasToPowerStatus&lt;&gt;"Yes","Complete",IF(AND(I.Gas.P1Y2Count&gt;=24,F26003=""),"Incomplete","Complete")))</f>
        <v>Complete</v>
      </c>
      <c r="I26003" s="48" t="s">
        <v>1182</v>
      </c>
    </row>
    <row r="26004" spans="2:9" ht="15" customHeight="1" x14ac:dyDescent="0.25">
      <c r="B26004" s="55" t="s">
        <v>367</v>
      </c>
      <c r="C26004" s="46">
        <v>25</v>
      </c>
      <c r="D26004" s="69" t="s">
        <v>29504</v>
      </c>
      <c r="E26004" s="62"/>
      <c r="F26004" s="62" t="str">
        <f>IF(INDEX(I.Gas.P1Y2C1E1,25)="","",INDEX(I.Gas.P1Y2C1E1,25))</f>
        <v/>
      </c>
      <c r="G26004" s="62"/>
      <c r="H26004" s="46" t="str">
        <f>IF(OR(I.Developer.P1=FALSE,I.Facility.StandardPart="Part 2"),"Complete",IF(I.Product.P1GasToPowerStatus&lt;&gt;"Yes","Complete",IF(AND(I.Gas.P1Y2Count&gt;=25,F26004=""),"Incomplete","Complete")))</f>
        <v>Complete</v>
      </c>
      <c r="I26004" s="48" t="s">
        <v>1183</v>
      </c>
    </row>
    <row r="26005" spans="2:9" ht="15" customHeight="1" x14ac:dyDescent="0.25">
      <c r="B26005" s="55" t="s">
        <v>367</v>
      </c>
      <c r="C26005" s="46">
        <v>26</v>
      </c>
      <c r="D26005" s="69" t="s">
        <v>29504</v>
      </c>
      <c r="E26005" s="62"/>
      <c r="F26005" s="62" t="str">
        <f>IF(INDEX(I.Gas.P1Y2C1E1,26)="","",INDEX(I.Gas.P1Y2C1E1,26))</f>
        <v/>
      </c>
      <c r="G26005" s="62"/>
      <c r="H26005" s="46" t="str">
        <f>IF(OR(I.Developer.P1=FALSE,I.Facility.StandardPart="Part 2"),"Complete",IF(I.Product.P1GasToPowerStatus&lt;&gt;"Yes","Complete",IF(AND(I.Gas.P1Y2Count&gt;=26,F26005=""),"Incomplete","Complete")))</f>
        <v>Complete</v>
      </c>
      <c r="I26005" s="48" t="s">
        <v>1184</v>
      </c>
    </row>
    <row r="26006" spans="2:9" ht="15" customHeight="1" x14ac:dyDescent="0.25">
      <c r="B26006" s="55" t="s">
        <v>367</v>
      </c>
      <c r="C26006" s="46">
        <v>27</v>
      </c>
      <c r="D26006" s="69" t="s">
        <v>29504</v>
      </c>
      <c r="E26006" s="62"/>
      <c r="F26006" s="62" t="str">
        <f>IF(INDEX(I.Gas.P1Y2C1E1,27)="","",INDEX(I.Gas.P1Y2C1E1,27))</f>
        <v/>
      </c>
      <c r="G26006" s="62"/>
      <c r="H26006" s="46" t="str">
        <f>IF(OR(I.Developer.P1=FALSE,I.Facility.StandardPart="Part 2"),"Complete",IF(I.Product.P1GasToPowerStatus&lt;&gt;"Yes","Complete",IF(AND(I.Gas.P1Y2Count&gt;=27,F26006=""),"Incomplete","Complete")))</f>
        <v>Complete</v>
      </c>
      <c r="I26006" s="48" t="s">
        <v>1185</v>
      </c>
    </row>
    <row r="26007" spans="2:9" ht="15" customHeight="1" x14ac:dyDescent="0.25">
      <c r="B26007" s="55" t="s">
        <v>367</v>
      </c>
      <c r="C26007" s="46">
        <v>28</v>
      </c>
      <c r="D26007" s="69" t="s">
        <v>29504</v>
      </c>
      <c r="E26007" s="62"/>
      <c r="F26007" s="62" t="str">
        <f>IF(INDEX(I.Gas.P1Y2C1E1,28)="","",INDEX(I.Gas.P1Y2C1E1,28))</f>
        <v/>
      </c>
      <c r="G26007" s="62"/>
      <c r="H26007" s="46" t="str">
        <f>IF(OR(I.Developer.P1=FALSE,I.Facility.StandardPart="Part 2"),"Complete",IF(I.Product.P1GasToPowerStatus&lt;&gt;"Yes","Complete",IF(AND(I.Gas.P1Y2Count&gt;=28,F26007=""),"Incomplete","Complete")))</f>
        <v>Complete</v>
      </c>
      <c r="I26007" s="48" t="s">
        <v>1186</v>
      </c>
    </row>
    <row r="26008" spans="2:9" ht="15" customHeight="1" x14ac:dyDescent="0.25">
      <c r="B26008" s="55" t="s">
        <v>367</v>
      </c>
      <c r="C26008" s="46">
        <v>29</v>
      </c>
      <c r="D26008" s="69" t="s">
        <v>29504</v>
      </c>
      <c r="E26008" s="62"/>
      <c r="F26008" s="62" t="str">
        <f>IF(INDEX(I.Gas.P1Y2C1E1,29)="","",INDEX(I.Gas.P1Y2C1E1,29))</f>
        <v/>
      </c>
      <c r="G26008" s="62"/>
      <c r="H26008" s="46" t="str">
        <f>IF(OR(I.Developer.P1=FALSE,I.Facility.StandardPart="Part 2"),"Complete",IF(I.Product.P1GasToPowerStatus&lt;&gt;"Yes","Complete",IF(AND(I.Gas.P1Y2Count&gt;=29,F26008=""),"Incomplete","Complete")))</f>
        <v>Complete</v>
      </c>
      <c r="I26008" s="48" t="s">
        <v>1187</v>
      </c>
    </row>
    <row r="26009" spans="2:9" ht="15" customHeight="1" x14ac:dyDescent="0.25">
      <c r="B26009" s="55" t="s">
        <v>367</v>
      </c>
      <c r="C26009" s="46">
        <v>30</v>
      </c>
      <c r="D26009" s="69" t="s">
        <v>29504</v>
      </c>
      <c r="E26009" s="62"/>
      <c r="F26009" s="62" t="str">
        <f>IF(INDEX(I.Gas.P1Y2C1E1,30)="","",INDEX(I.Gas.P1Y2C1E1,30))</f>
        <v/>
      </c>
      <c r="G26009" s="62"/>
      <c r="H26009" s="46" t="str">
        <f>IF(OR(I.Developer.P1=FALSE,I.Facility.StandardPart="Part 2"),"Complete",IF(I.Product.P1GasToPowerStatus&lt;&gt;"Yes","Complete",IF(AND(I.Gas.P1Y2Count&gt;=30,F26009=""),"Incomplete","Complete")))</f>
        <v>Complete</v>
      </c>
      <c r="I26009" s="48" t="s">
        <v>1188</v>
      </c>
    </row>
    <row r="26010" spans="2:9" ht="15" customHeight="1" x14ac:dyDescent="0.25">
      <c r="B26010" s="55" t="s">
        <v>367</v>
      </c>
      <c r="C26010" s="46">
        <v>31</v>
      </c>
      <c r="D26010" s="69" t="s">
        <v>29504</v>
      </c>
      <c r="E26010" s="62"/>
      <c r="F26010" s="62" t="str">
        <f>IF(INDEX(I.Gas.P1Y2C1E1,31)="","",INDEX(I.Gas.P1Y2C1E1,31))</f>
        <v/>
      </c>
      <c r="G26010" s="62"/>
      <c r="H26010" s="46" t="str">
        <f>IF(OR(I.Developer.P1=FALSE,I.Facility.StandardPart="Part 2"),"Complete",IF(I.Product.P1GasToPowerStatus&lt;&gt;"Yes","Complete",IF(AND(I.Gas.P1Y2Count&gt;=31,F26010=""),"Incomplete","Complete")))</f>
        <v>Complete</v>
      </c>
      <c r="I26010" s="48" t="s">
        <v>1189</v>
      </c>
    </row>
    <row r="26011" spans="2:9" ht="15" customHeight="1" x14ac:dyDescent="0.25">
      <c r="B26011" s="55" t="s">
        <v>367</v>
      </c>
      <c r="C26011" s="46">
        <v>32</v>
      </c>
      <c r="D26011" s="69" t="s">
        <v>29504</v>
      </c>
      <c r="E26011" s="62"/>
      <c r="F26011" s="62" t="str">
        <f>IF(INDEX(I.Gas.P1Y2C1E1,32)="","",INDEX(I.Gas.P1Y2C1E1,32))</f>
        <v/>
      </c>
      <c r="G26011" s="62"/>
      <c r="H26011" s="46" t="str">
        <f>IF(OR(I.Developer.P1=FALSE,I.Facility.StandardPart="Part 2"),"Complete",IF(I.Product.P1GasToPowerStatus&lt;&gt;"Yes","Complete",IF(AND(I.Gas.P1Y2Count&gt;=32,F26011=""),"Incomplete","Complete")))</f>
        <v>Complete</v>
      </c>
      <c r="I26011" s="48" t="s">
        <v>1190</v>
      </c>
    </row>
    <row r="26012" spans="2:9" ht="15" customHeight="1" x14ac:dyDescent="0.25">
      <c r="B26012" s="55" t="s">
        <v>367</v>
      </c>
      <c r="C26012" s="46">
        <v>33</v>
      </c>
      <c r="D26012" s="69" t="s">
        <v>29504</v>
      </c>
      <c r="E26012" s="62"/>
      <c r="F26012" s="62" t="str">
        <f>IF(INDEX(I.Gas.P1Y2C1E1,33)="","",INDEX(I.Gas.P1Y2C1E1,33))</f>
        <v/>
      </c>
      <c r="G26012" s="62"/>
      <c r="H26012" s="46" t="str">
        <f>IF(OR(I.Developer.P1=FALSE,I.Facility.StandardPart="Part 2"),"Complete",IF(I.Product.P1GasToPowerStatus&lt;&gt;"Yes","Complete",IF(AND(I.Gas.P1Y2Count&gt;=33,F26012=""),"Incomplete","Complete")))</f>
        <v>Complete</v>
      </c>
      <c r="I26012" s="48" t="s">
        <v>1191</v>
      </c>
    </row>
    <row r="26013" spans="2:9" ht="15" customHeight="1" x14ac:dyDescent="0.25">
      <c r="B26013" s="55" t="s">
        <v>367</v>
      </c>
      <c r="C26013" s="46">
        <v>34</v>
      </c>
      <c r="D26013" s="69" t="s">
        <v>29504</v>
      </c>
      <c r="E26013" s="62"/>
      <c r="F26013" s="62" t="str">
        <f>IF(INDEX(I.Gas.P1Y2C1E1,34)="","",INDEX(I.Gas.P1Y2C1E1,34))</f>
        <v/>
      </c>
      <c r="G26013" s="62"/>
      <c r="H26013" s="46" t="str">
        <f>IF(OR(I.Developer.P1=FALSE,I.Facility.StandardPart="Part 2"),"Complete",IF(I.Product.P1GasToPowerStatus&lt;&gt;"Yes","Complete",IF(AND(I.Gas.P1Y2Count&gt;=34,F26013=""),"Incomplete","Complete")))</f>
        <v>Complete</v>
      </c>
      <c r="I26013" s="48" t="s">
        <v>1192</v>
      </c>
    </row>
    <row r="26014" spans="2:9" ht="15" customHeight="1" x14ac:dyDescent="0.25">
      <c r="B26014" s="55" t="s">
        <v>367</v>
      </c>
      <c r="C26014" s="46">
        <v>35</v>
      </c>
      <c r="D26014" s="69" t="s">
        <v>29504</v>
      </c>
      <c r="E26014" s="62"/>
      <c r="F26014" s="62" t="str">
        <f>IF(INDEX(I.Gas.P1Y2C1E1,35)="","",INDEX(I.Gas.P1Y2C1E1,35))</f>
        <v/>
      </c>
      <c r="G26014" s="62"/>
      <c r="H26014" s="46" t="str">
        <f>IF(OR(I.Developer.P1=FALSE,I.Facility.StandardPart="Part 2"),"Complete",IF(I.Product.P1GasToPowerStatus&lt;&gt;"Yes","Complete",IF(AND(I.Gas.P1Y2Count&gt;=35,F26014=""),"Incomplete","Complete")))</f>
        <v>Complete</v>
      </c>
      <c r="I26014" s="48" t="s">
        <v>1193</v>
      </c>
    </row>
    <row r="26015" spans="2:9" ht="15" customHeight="1" x14ac:dyDescent="0.25">
      <c r="B26015" s="55" t="s">
        <v>367</v>
      </c>
      <c r="C26015" s="46">
        <v>36</v>
      </c>
      <c r="D26015" s="69" t="s">
        <v>29504</v>
      </c>
      <c r="E26015" s="62"/>
      <c r="F26015" s="62" t="str">
        <f>IF(INDEX(I.Gas.P1Y2C1E1,36)="","",INDEX(I.Gas.P1Y2C1E1,36))</f>
        <v/>
      </c>
      <c r="G26015" s="62"/>
      <c r="H26015" s="46" t="str">
        <f>IF(OR(I.Developer.P1=FALSE,I.Facility.StandardPart="Part 2"),"Complete",IF(I.Product.P1GasToPowerStatus&lt;&gt;"Yes","Complete",IF(AND(I.Gas.P1Y2Count&gt;=36,F26015=""),"Incomplete","Complete")))</f>
        <v>Complete</v>
      </c>
      <c r="I26015" s="48" t="s">
        <v>1194</v>
      </c>
    </row>
    <row r="26016" spans="2:9" ht="15" customHeight="1" x14ac:dyDescent="0.25">
      <c r="B26016" s="55" t="s">
        <v>367</v>
      </c>
      <c r="C26016" s="46">
        <v>37</v>
      </c>
      <c r="D26016" s="69" t="s">
        <v>29504</v>
      </c>
      <c r="E26016" s="62"/>
      <c r="F26016" s="62" t="str">
        <f>IF(INDEX(I.Gas.P1Y2C1E1,37)="","",INDEX(I.Gas.P1Y2C1E1,37))</f>
        <v/>
      </c>
      <c r="G26016" s="62"/>
      <c r="H26016" s="46" t="str">
        <f>IF(OR(I.Developer.P1=FALSE,I.Facility.StandardPart="Part 2"),"Complete",IF(I.Product.P1GasToPowerStatus&lt;&gt;"Yes","Complete",IF(AND(I.Gas.P1Y2Count&gt;=37,F26016=""),"Incomplete","Complete")))</f>
        <v>Complete</v>
      </c>
      <c r="I26016" s="48" t="s">
        <v>1195</v>
      </c>
    </row>
    <row r="26017" spans="2:9" ht="15" customHeight="1" x14ac:dyDescent="0.25">
      <c r="B26017" s="55" t="s">
        <v>367</v>
      </c>
      <c r="C26017" s="46">
        <v>38</v>
      </c>
      <c r="D26017" s="69" t="s">
        <v>29504</v>
      </c>
      <c r="E26017" s="62"/>
      <c r="F26017" s="62" t="str">
        <f>IF(INDEX(I.Gas.P1Y2C1E1,38)="","",INDEX(I.Gas.P1Y2C1E1,38))</f>
        <v/>
      </c>
      <c r="G26017" s="62"/>
      <c r="H26017" s="46" t="str">
        <f>IF(OR(I.Developer.P1=FALSE,I.Facility.StandardPart="Part 2"),"Complete",IF(I.Product.P1GasToPowerStatus&lt;&gt;"Yes","Complete",IF(AND(I.Gas.P1Y2Count&gt;=38,F26017=""),"Incomplete","Complete")))</f>
        <v>Complete</v>
      </c>
      <c r="I26017" s="48" t="s">
        <v>1196</v>
      </c>
    </row>
    <row r="26018" spans="2:9" ht="15" customHeight="1" x14ac:dyDescent="0.25">
      <c r="B26018" s="55" t="s">
        <v>367</v>
      </c>
      <c r="C26018" s="46">
        <v>39</v>
      </c>
      <c r="D26018" s="69" t="s">
        <v>29504</v>
      </c>
      <c r="E26018" s="62"/>
      <c r="F26018" s="62" t="str">
        <f>IF(INDEX(I.Gas.P1Y2C1E1,39)="","",INDEX(I.Gas.P1Y2C1E1,39))</f>
        <v/>
      </c>
      <c r="G26018" s="62"/>
      <c r="H26018" s="46" t="str">
        <f>IF(OR(I.Developer.P1=FALSE,I.Facility.StandardPart="Part 2"),"Complete",IF(I.Product.P1GasToPowerStatus&lt;&gt;"Yes","Complete",IF(AND(I.Gas.P1Y2Count&gt;=39,F26018=""),"Incomplete","Complete")))</f>
        <v>Complete</v>
      </c>
      <c r="I26018" s="48" t="s">
        <v>1197</v>
      </c>
    </row>
    <row r="26019" spans="2:9" ht="15" customHeight="1" x14ac:dyDescent="0.25">
      <c r="B26019" s="55" t="s">
        <v>367</v>
      </c>
      <c r="C26019" s="46">
        <v>40</v>
      </c>
      <c r="D26019" s="69" t="s">
        <v>29504</v>
      </c>
      <c r="E26019" s="62"/>
      <c r="F26019" s="62" t="str">
        <f>IF(INDEX(I.Gas.P1Y2C1E1,40)="","",INDEX(I.Gas.P1Y2C1E1,40))</f>
        <v/>
      </c>
      <c r="G26019" s="62"/>
      <c r="H26019" s="46" t="str">
        <f>IF(OR(I.Developer.P1=FALSE,I.Facility.StandardPart="Part 2"),"Complete",IF(I.Product.P1GasToPowerStatus&lt;&gt;"Yes","Complete",IF(AND(I.Gas.P1Y2Count&gt;=40,F26019=""),"Incomplete","Complete")))</f>
        <v>Complete</v>
      </c>
      <c r="I26019" s="48" t="s">
        <v>1198</v>
      </c>
    </row>
    <row r="26020" spans="2:9" ht="15" customHeight="1" x14ac:dyDescent="0.25">
      <c r="B26020" s="55" t="s">
        <v>367</v>
      </c>
      <c r="C26020" s="46">
        <v>41</v>
      </c>
      <c r="D26020" s="69" t="s">
        <v>29504</v>
      </c>
      <c r="E26020" s="62"/>
      <c r="F26020" s="62" t="str">
        <f>IF(INDEX(I.Gas.P1Y2C1E1,41)="","",INDEX(I.Gas.P1Y2C1E1,41))</f>
        <v/>
      </c>
      <c r="G26020" s="62"/>
      <c r="H26020" s="46" t="str">
        <f>IF(OR(I.Developer.P1=FALSE,I.Facility.StandardPart="Part 2"),"Complete",IF(I.Product.P1GasToPowerStatus&lt;&gt;"Yes","Complete",IF(AND(I.Gas.P1Y2Count&gt;=41,F26020=""),"Incomplete","Complete")))</f>
        <v>Complete</v>
      </c>
      <c r="I26020" s="48" t="s">
        <v>1199</v>
      </c>
    </row>
    <row r="26021" spans="2:9" ht="15" customHeight="1" x14ac:dyDescent="0.25">
      <c r="B26021" s="55" t="s">
        <v>367</v>
      </c>
      <c r="C26021" s="46">
        <v>42</v>
      </c>
      <c r="D26021" s="69" t="s">
        <v>29504</v>
      </c>
      <c r="E26021" s="62"/>
      <c r="F26021" s="62" t="str">
        <f>IF(INDEX(I.Gas.P1Y2C1E1,42)="","",INDEX(I.Gas.P1Y2C1E1,42))</f>
        <v/>
      </c>
      <c r="G26021" s="62"/>
      <c r="H26021" s="46" t="str">
        <f>IF(OR(I.Developer.P1=FALSE,I.Facility.StandardPart="Part 2"),"Complete",IF(I.Product.P1GasToPowerStatus&lt;&gt;"Yes","Complete",IF(AND(I.Gas.P1Y2Count&gt;=42,F26021=""),"Incomplete","Complete")))</f>
        <v>Complete</v>
      </c>
      <c r="I26021" s="48" t="s">
        <v>1200</v>
      </c>
    </row>
    <row r="26022" spans="2:9" ht="15" customHeight="1" x14ac:dyDescent="0.25">
      <c r="B26022" s="55" t="s">
        <v>367</v>
      </c>
      <c r="C26022" s="46">
        <v>43</v>
      </c>
      <c r="D26022" s="69" t="s">
        <v>29504</v>
      </c>
      <c r="E26022" s="62"/>
      <c r="F26022" s="62" t="str">
        <f>IF(INDEX(I.Gas.P1Y2C1E1,43)="","",INDEX(I.Gas.P1Y2C1E1,43))</f>
        <v/>
      </c>
      <c r="G26022" s="62"/>
      <c r="H26022" s="46" t="str">
        <f>IF(OR(I.Developer.P1=FALSE,I.Facility.StandardPart="Part 2"),"Complete",IF(I.Product.P1GasToPowerStatus&lt;&gt;"Yes","Complete",IF(AND(I.Gas.P1Y2Count&gt;=43,F26022=""),"Incomplete","Complete")))</f>
        <v>Complete</v>
      </c>
      <c r="I26022" s="48" t="s">
        <v>1201</v>
      </c>
    </row>
    <row r="26023" spans="2:9" ht="15" customHeight="1" x14ac:dyDescent="0.25">
      <c r="B26023" s="55" t="s">
        <v>367</v>
      </c>
      <c r="C26023" s="46">
        <v>44</v>
      </c>
      <c r="D26023" s="69" t="s">
        <v>29504</v>
      </c>
      <c r="E26023" s="62"/>
      <c r="F26023" s="62" t="str">
        <f>IF(INDEX(I.Gas.P1Y2C1E1,44)="","",INDEX(I.Gas.P1Y2C1E1,44))</f>
        <v/>
      </c>
      <c r="G26023" s="62"/>
      <c r="H26023" s="46" t="str">
        <f>IF(OR(I.Developer.P1=FALSE,I.Facility.StandardPart="Part 2"),"Complete",IF(I.Product.P1GasToPowerStatus&lt;&gt;"Yes","Complete",IF(AND(I.Gas.P1Y2Count&gt;=44,F26023=""),"Incomplete","Complete")))</f>
        <v>Complete</v>
      </c>
      <c r="I26023" s="48" t="s">
        <v>1202</v>
      </c>
    </row>
    <row r="26024" spans="2:9" ht="15" customHeight="1" x14ac:dyDescent="0.25">
      <c r="B26024" s="55" t="s">
        <v>367</v>
      </c>
      <c r="C26024" s="46">
        <v>45</v>
      </c>
      <c r="D26024" s="69" t="s">
        <v>29504</v>
      </c>
      <c r="E26024" s="62"/>
      <c r="F26024" s="62" t="str">
        <f>IF(INDEX(I.Gas.P1Y2C1E1,45)="","",INDEX(I.Gas.P1Y2C1E1,45))</f>
        <v/>
      </c>
      <c r="G26024" s="62"/>
      <c r="H26024" s="46" t="str">
        <f>IF(OR(I.Developer.P1=FALSE,I.Facility.StandardPart="Part 2"),"Complete",IF(I.Product.P1GasToPowerStatus&lt;&gt;"Yes","Complete",IF(AND(I.Gas.P1Y2Count&gt;=45,F26024=""),"Incomplete","Complete")))</f>
        <v>Complete</v>
      </c>
      <c r="I26024" s="48" t="s">
        <v>1203</v>
      </c>
    </row>
    <row r="26025" spans="2:9" ht="15" customHeight="1" x14ac:dyDescent="0.25">
      <c r="B26025" s="55" t="s">
        <v>367</v>
      </c>
      <c r="C26025" s="46">
        <v>46</v>
      </c>
      <c r="D26025" s="69" t="s">
        <v>29504</v>
      </c>
      <c r="E26025" s="62"/>
      <c r="F26025" s="62" t="str">
        <f>IF(INDEX(I.Gas.P1Y2C1E1,46)="","",INDEX(I.Gas.P1Y2C1E1,46))</f>
        <v/>
      </c>
      <c r="G26025" s="62"/>
      <c r="H26025" s="46" t="str">
        <f>IF(OR(I.Developer.P1=FALSE,I.Facility.StandardPart="Part 2"),"Complete",IF(I.Product.P1GasToPowerStatus&lt;&gt;"Yes","Complete",IF(AND(I.Gas.P1Y2Count&gt;=46,F26025=""),"Incomplete","Complete")))</f>
        <v>Complete</v>
      </c>
      <c r="I26025" s="48" t="s">
        <v>1204</v>
      </c>
    </row>
    <row r="26026" spans="2:9" ht="15" customHeight="1" x14ac:dyDescent="0.25">
      <c r="B26026" s="55" t="s">
        <v>367</v>
      </c>
      <c r="C26026" s="46">
        <v>47</v>
      </c>
      <c r="D26026" s="69" t="s">
        <v>29504</v>
      </c>
      <c r="E26026" s="62"/>
      <c r="F26026" s="62" t="str">
        <f>IF(INDEX(I.Gas.P1Y2C1E1,47)="","",INDEX(I.Gas.P1Y2C1E1,47))</f>
        <v/>
      </c>
      <c r="G26026" s="62"/>
      <c r="H26026" s="46" t="str">
        <f>IF(OR(I.Developer.P1=FALSE,I.Facility.StandardPart="Part 2"),"Complete",IF(I.Product.P1GasToPowerStatus&lt;&gt;"Yes","Complete",IF(AND(I.Gas.P1Y2Count&gt;=47,F26026=""),"Incomplete","Complete")))</f>
        <v>Complete</v>
      </c>
      <c r="I26026" s="48" t="s">
        <v>1205</v>
      </c>
    </row>
    <row r="26027" spans="2:9" ht="15" customHeight="1" x14ac:dyDescent="0.25">
      <c r="B26027" s="55" t="s">
        <v>367</v>
      </c>
      <c r="C26027" s="46">
        <v>48</v>
      </c>
      <c r="D26027" s="69" t="s">
        <v>29504</v>
      </c>
      <c r="E26027" s="62"/>
      <c r="F26027" s="62" t="str">
        <f>IF(INDEX(I.Gas.P1Y2C1E1,48)="","",INDEX(I.Gas.P1Y2C1E1,48))</f>
        <v/>
      </c>
      <c r="G26027" s="62"/>
      <c r="H26027" s="46" t="str">
        <f>IF(OR(I.Developer.P1=FALSE,I.Facility.StandardPart="Part 2"),"Complete",IF(I.Product.P1GasToPowerStatus&lt;&gt;"Yes","Complete",IF(AND(I.Gas.P1Y2Count&gt;=48,F26027=""),"Incomplete","Complete")))</f>
        <v>Complete</v>
      </c>
      <c r="I26027" s="48" t="s">
        <v>1206</v>
      </c>
    </row>
    <row r="26028" spans="2:9" ht="15" customHeight="1" x14ac:dyDescent="0.25">
      <c r="B26028" s="55" t="s">
        <v>367</v>
      </c>
      <c r="C26028" s="46">
        <v>49</v>
      </c>
      <c r="D26028" s="69" t="s">
        <v>29504</v>
      </c>
      <c r="E26028" s="62"/>
      <c r="F26028" s="62" t="str">
        <f>IF(INDEX(I.Gas.P1Y2C1E1,49)="","",INDEX(I.Gas.P1Y2C1E1,49))</f>
        <v/>
      </c>
      <c r="G26028" s="62"/>
      <c r="H26028" s="46" t="str">
        <f>IF(OR(I.Developer.P1=FALSE,I.Facility.StandardPart="Part 2"),"Complete",IF(I.Product.P1GasToPowerStatus&lt;&gt;"Yes","Complete",IF(AND(I.Gas.P1Y2Count&gt;=49,F26028=""),"Incomplete","Complete")))</f>
        <v>Complete</v>
      </c>
      <c r="I26028" s="48" t="s">
        <v>1207</v>
      </c>
    </row>
    <row r="26029" spans="2:9" ht="15" customHeight="1" x14ac:dyDescent="0.25">
      <c r="B26029" s="56" t="s">
        <v>367</v>
      </c>
      <c r="C26029" s="57">
        <v>50</v>
      </c>
      <c r="D26029" s="71" t="s">
        <v>29504</v>
      </c>
      <c r="E26029" s="61"/>
      <c r="F26029" s="61" t="str">
        <f>IF(INDEX(I.Gas.P1Y2C1E1,50)="","",INDEX(I.Gas.P1Y2C1E1,50))</f>
        <v/>
      </c>
      <c r="G26029" s="61"/>
      <c r="H26029" s="57" t="str">
        <f>IF(OR(I.Developer.P1=FALSE,I.Facility.StandardPart="Part 2"),"Complete",IF(I.Product.P1GasToPowerStatus&lt;&gt;"Yes","Complete",IF(AND(I.Gas.P1Y2Count&gt;=50,F26029=""),"Incomplete","Complete")))</f>
        <v>Complete</v>
      </c>
      <c r="I26029" s="49" t="s">
        <v>1208</v>
      </c>
    </row>
    <row r="26030" spans="2:9" ht="15" customHeight="1" x14ac:dyDescent="0.25">
      <c r="B26030" s="55" t="s">
        <v>368</v>
      </c>
      <c r="C26030" s="46">
        <v>1</v>
      </c>
      <c r="D26030" s="69" t="s">
        <v>29505</v>
      </c>
      <c r="E26030" s="62"/>
      <c r="F26030" s="62" t="str">
        <f>IF(INDEX(I.Gas.P1Y2C1E2,1)="","",INDEX(I.Gas.P1Y2C1E2,1))</f>
        <v/>
      </c>
      <c r="G26030" s="62"/>
      <c r="H26030" s="46" t="str">
        <f>IF(OR(I.Developer.P1=FALSE,I.Facility.StandardPart="Part 2"),"Complete",IF(I.Product.P1GasToPowerStatus&lt;&gt;"Yes","Complete",IF(AND(I.Gas.P1Y2Count&gt;=1,F26030=""),"Incomplete","Complete")))</f>
        <v>Complete</v>
      </c>
      <c r="I26030" s="48" t="s">
        <v>1209</v>
      </c>
    </row>
    <row r="26031" spans="2:9" ht="15" customHeight="1" x14ac:dyDescent="0.25">
      <c r="B26031" s="55" t="s">
        <v>368</v>
      </c>
      <c r="C26031" s="46">
        <v>2</v>
      </c>
      <c r="D26031" s="69" t="s">
        <v>29505</v>
      </c>
      <c r="E26031" s="62"/>
      <c r="F26031" s="62" t="str">
        <f>IF(INDEX(I.Gas.P1Y2C1E2,2)="","",INDEX(I.Gas.P1Y2C1E2,2))</f>
        <v/>
      </c>
      <c r="G26031" s="62"/>
      <c r="H26031" s="46" t="str">
        <f>IF(OR(I.Developer.P1=FALSE,I.Facility.StandardPart="Part 2"),"Complete",IF(I.Product.P1GasToPowerStatus&lt;&gt;"Yes","Complete",IF(AND(I.Gas.P1Y2Count&gt;=2,F26031=""),"Incomplete","Complete")))</f>
        <v>Complete</v>
      </c>
      <c r="I26031" s="48" t="s">
        <v>1210</v>
      </c>
    </row>
    <row r="26032" spans="2:9" ht="15" customHeight="1" x14ac:dyDescent="0.25">
      <c r="B26032" s="55" t="s">
        <v>368</v>
      </c>
      <c r="C26032" s="46">
        <v>3</v>
      </c>
      <c r="D26032" s="69" t="s">
        <v>29505</v>
      </c>
      <c r="E26032" s="62"/>
      <c r="F26032" s="62" t="str">
        <f>IF(INDEX(I.Gas.P1Y2C1E2,3)="","",INDEX(I.Gas.P1Y2C1E2,3))</f>
        <v/>
      </c>
      <c r="G26032" s="62"/>
      <c r="H26032" s="46" t="str">
        <f>IF(OR(I.Developer.P1=FALSE,I.Facility.StandardPart="Part 2"),"Complete",IF(I.Product.P1GasToPowerStatus&lt;&gt;"Yes","Complete",IF(AND(I.Gas.P1Y2Count&gt;=3,F26032=""),"Incomplete","Complete")))</f>
        <v>Complete</v>
      </c>
      <c r="I26032" s="48" t="s">
        <v>1211</v>
      </c>
    </row>
    <row r="26033" spans="2:9" ht="15" customHeight="1" x14ac:dyDescent="0.25">
      <c r="B26033" s="55" t="s">
        <v>368</v>
      </c>
      <c r="C26033" s="46">
        <v>4</v>
      </c>
      <c r="D26033" s="69" t="s">
        <v>29505</v>
      </c>
      <c r="E26033" s="62"/>
      <c r="F26033" s="62" t="str">
        <f>IF(INDEX(I.Gas.P1Y2C1E2,4)="","",INDEX(I.Gas.P1Y2C1E2,4))</f>
        <v/>
      </c>
      <c r="G26033" s="62"/>
      <c r="H26033" s="46" t="str">
        <f>IF(OR(I.Developer.P1=FALSE,I.Facility.StandardPart="Part 2"),"Complete",IF(I.Product.P1GasToPowerStatus&lt;&gt;"Yes","Complete",IF(AND(I.Gas.P1Y2Count&gt;=4,F26033=""),"Incomplete","Complete")))</f>
        <v>Complete</v>
      </c>
      <c r="I26033" s="48" t="s">
        <v>1212</v>
      </c>
    </row>
    <row r="26034" spans="2:9" ht="15" customHeight="1" x14ac:dyDescent="0.25">
      <c r="B26034" s="55" t="s">
        <v>368</v>
      </c>
      <c r="C26034" s="46">
        <v>5</v>
      </c>
      <c r="D26034" s="69" t="s">
        <v>29505</v>
      </c>
      <c r="E26034" s="62"/>
      <c r="F26034" s="62" t="str">
        <f>IF(INDEX(I.Gas.P1Y2C1E2,5)="","",INDEX(I.Gas.P1Y2C1E2,5))</f>
        <v/>
      </c>
      <c r="G26034" s="62"/>
      <c r="H26034" s="46" t="str">
        <f>IF(OR(I.Developer.P1=FALSE,I.Facility.StandardPart="Part 2"),"Complete",IF(I.Product.P1GasToPowerStatus&lt;&gt;"Yes","Complete",IF(AND(I.Gas.P1Y2Count&gt;=5,F26034=""),"Incomplete","Complete")))</f>
        <v>Complete</v>
      </c>
      <c r="I26034" s="48" t="s">
        <v>1213</v>
      </c>
    </row>
    <row r="26035" spans="2:9" ht="15" customHeight="1" x14ac:dyDescent="0.25">
      <c r="B26035" s="55" t="s">
        <v>368</v>
      </c>
      <c r="C26035" s="46">
        <v>6</v>
      </c>
      <c r="D26035" s="69" t="s">
        <v>29505</v>
      </c>
      <c r="E26035" s="62"/>
      <c r="F26035" s="62" t="str">
        <f>IF(INDEX(I.Gas.P1Y2C1E2,6)="","",INDEX(I.Gas.P1Y2C1E2,6))</f>
        <v/>
      </c>
      <c r="G26035" s="62"/>
      <c r="H26035" s="46" t="str">
        <f>IF(OR(I.Developer.P1=FALSE,I.Facility.StandardPart="Part 2"),"Complete",IF(I.Product.P1GasToPowerStatus&lt;&gt;"Yes","Complete",IF(AND(I.Gas.P1Y2Count&gt;=6,F26035=""),"Incomplete","Complete")))</f>
        <v>Complete</v>
      </c>
      <c r="I26035" s="48" t="s">
        <v>1214</v>
      </c>
    </row>
    <row r="26036" spans="2:9" ht="15" customHeight="1" x14ac:dyDescent="0.25">
      <c r="B26036" s="55" t="s">
        <v>368</v>
      </c>
      <c r="C26036" s="46">
        <v>7</v>
      </c>
      <c r="D26036" s="69" t="s">
        <v>29505</v>
      </c>
      <c r="E26036" s="62"/>
      <c r="F26036" s="62" t="str">
        <f>IF(INDEX(I.Gas.P1Y2C1E2,7)="","",INDEX(I.Gas.P1Y2C1E2,7))</f>
        <v/>
      </c>
      <c r="G26036" s="62"/>
      <c r="H26036" s="46" t="str">
        <f>IF(OR(I.Developer.P1=FALSE,I.Facility.StandardPart="Part 2"),"Complete",IF(I.Product.P1GasToPowerStatus&lt;&gt;"Yes","Complete",IF(AND(I.Gas.P1Y2Count&gt;=7,F26036=""),"Incomplete","Complete")))</f>
        <v>Complete</v>
      </c>
      <c r="I26036" s="48" t="s">
        <v>1215</v>
      </c>
    </row>
    <row r="26037" spans="2:9" ht="15" customHeight="1" x14ac:dyDescent="0.25">
      <c r="B26037" s="55" t="s">
        <v>368</v>
      </c>
      <c r="C26037" s="46">
        <v>8</v>
      </c>
      <c r="D26037" s="69" t="s">
        <v>29505</v>
      </c>
      <c r="E26037" s="62"/>
      <c r="F26037" s="62" t="str">
        <f>IF(INDEX(I.Gas.P1Y2C1E2,8)="","",INDEX(I.Gas.P1Y2C1E2,8))</f>
        <v/>
      </c>
      <c r="G26037" s="62"/>
      <c r="H26037" s="46" t="str">
        <f>IF(OR(I.Developer.P1=FALSE,I.Facility.StandardPart="Part 2"),"Complete",IF(I.Product.P1GasToPowerStatus&lt;&gt;"Yes","Complete",IF(AND(I.Gas.P1Y2Count&gt;=8,F26037=""),"Incomplete","Complete")))</f>
        <v>Complete</v>
      </c>
      <c r="I26037" s="48" t="s">
        <v>1216</v>
      </c>
    </row>
    <row r="26038" spans="2:9" ht="15" customHeight="1" x14ac:dyDescent="0.25">
      <c r="B26038" s="55" t="s">
        <v>368</v>
      </c>
      <c r="C26038" s="46">
        <v>9</v>
      </c>
      <c r="D26038" s="69" t="s">
        <v>29505</v>
      </c>
      <c r="E26038" s="62"/>
      <c r="F26038" s="62" t="str">
        <f>IF(INDEX(I.Gas.P1Y2C1E2,9)="","",INDEX(I.Gas.P1Y2C1E2,9))</f>
        <v/>
      </c>
      <c r="G26038" s="62"/>
      <c r="H26038" s="46" t="str">
        <f>IF(OR(I.Developer.P1=FALSE,I.Facility.StandardPart="Part 2"),"Complete",IF(I.Product.P1GasToPowerStatus&lt;&gt;"Yes","Complete",IF(AND(I.Gas.P1Y2Count&gt;=9,F26038=""),"Incomplete","Complete")))</f>
        <v>Complete</v>
      </c>
      <c r="I26038" s="48" t="s">
        <v>1217</v>
      </c>
    </row>
    <row r="26039" spans="2:9" ht="15" customHeight="1" x14ac:dyDescent="0.25">
      <c r="B26039" s="55" t="s">
        <v>368</v>
      </c>
      <c r="C26039" s="46">
        <v>10</v>
      </c>
      <c r="D26039" s="69" t="s">
        <v>29505</v>
      </c>
      <c r="E26039" s="62"/>
      <c r="F26039" s="62" t="str">
        <f>IF(INDEX(I.Gas.P1Y2C1E2,10)="","",INDEX(I.Gas.P1Y2C1E2,10))</f>
        <v/>
      </c>
      <c r="G26039" s="62"/>
      <c r="H26039" s="46" t="str">
        <f>IF(OR(I.Developer.P1=FALSE,I.Facility.StandardPart="Part 2"),"Complete",IF(I.Product.P1GasToPowerStatus&lt;&gt;"Yes","Complete",IF(AND(I.Gas.P1Y2Count&gt;=10,F26039=""),"Incomplete","Complete")))</f>
        <v>Complete</v>
      </c>
      <c r="I26039" s="48" t="s">
        <v>1218</v>
      </c>
    </row>
    <row r="26040" spans="2:9" ht="15" customHeight="1" x14ac:dyDescent="0.25">
      <c r="B26040" s="55" t="s">
        <v>368</v>
      </c>
      <c r="C26040" s="46">
        <v>11</v>
      </c>
      <c r="D26040" s="69" t="s">
        <v>29505</v>
      </c>
      <c r="E26040" s="62"/>
      <c r="F26040" s="62" t="str">
        <f>IF(INDEX(I.Gas.P1Y2C1E2,11)="","",INDEX(I.Gas.P1Y2C1E2,11))</f>
        <v/>
      </c>
      <c r="G26040" s="62"/>
      <c r="H26040" s="46" t="str">
        <f>IF(OR(I.Developer.P1=FALSE,I.Facility.StandardPart="Part 2"),"Complete",IF(I.Product.P1GasToPowerStatus&lt;&gt;"Yes","Complete",IF(AND(I.Gas.P1Y2Count&gt;=11,F26040=""),"Incomplete","Complete")))</f>
        <v>Complete</v>
      </c>
      <c r="I26040" s="48" t="s">
        <v>1219</v>
      </c>
    </row>
    <row r="26041" spans="2:9" ht="15" customHeight="1" x14ac:dyDescent="0.25">
      <c r="B26041" s="55" t="s">
        <v>368</v>
      </c>
      <c r="C26041" s="46">
        <v>12</v>
      </c>
      <c r="D26041" s="69" t="s">
        <v>29505</v>
      </c>
      <c r="E26041" s="62"/>
      <c r="F26041" s="62" t="str">
        <f>IF(INDEX(I.Gas.P1Y2C1E2,12)="","",INDEX(I.Gas.P1Y2C1E2,12))</f>
        <v/>
      </c>
      <c r="G26041" s="62"/>
      <c r="H26041" s="46" t="str">
        <f>IF(OR(I.Developer.P1=FALSE,I.Facility.StandardPart="Part 2"),"Complete",IF(I.Product.P1GasToPowerStatus&lt;&gt;"Yes","Complete",IF(AND(I.Gas.P1Y2Count&gt;=12,F26041=""),"Incomplete","Complete")))</f>
        <v>Complete</v>
      </c>
      <c r="I26041" s="48" t="s">
        <v>1220</v>
      </c>
    </row>
    <row r="26042" spans="2:9" ht="15" customHeight="1" x14ac:dyDescent="0.25">
      <c r="B26042" s="55" t="s">
        <v>368</v>
      </c>
      <c r="C26042" s="46">
        <v>13</v>
      </c>
      <c r="D26042" s="69" t="s">
        <v>29505</v>
      </c>
      <c r="E26042" s="62"/>
      <c r="F26042" s="62" t="str">
        <f>IF(INDEX(I.Gas.P1Y2C1E2,13)="","",INDEX(I.Gas.P1Y2C1E2,13))</f>
        <v/>
      </c>
      <c r="G26042" s="62"/>
      <c r="H26042" s="46" t="str">
        <f>IF(OR(I.Developer.P1=FALSE,I.Facility.StandardPart="Part 2"),"Complete",IF(I.Product.P1GasToPowerStatus&lt;&gt;"Yes","Complete",IF(AND(I.Gas.P1Y2Count&gt;=13,F26042=""),"Incomplete","Complete")))</f>
        <v>Complete</v>
      </c>
      <c r="I26042" s="48" t="s">
        <v>1221</v>
      </c>
    </row>
    <row r="26043" spans="2:9" ht="15" customHeight="1" x14ac:dyDescent="0.25">
      <c r="B26043" s="55" t="s">
        <v>368</v>
      </c>
      <c r="C26043" s="46">
        <v>14</v>
      </c>
      <c r="D26043" s="69" t="s">
        <v>29505</v>
      </c>
      <c r="E26043" s="62"/>
      <c r="F26043" s="62" t="str">
        <f>IF(INDEX(I.Gas.P1Y2C1E2,14)="","",INDEX(I.Gas.P1Y2C1E2,14))</f>
        <v/>
      </c>
      <c r="G26043" s="62"/>
      <c r="H26043" s="46" t="str">
        <f>IF(OR(I.Developer.P1=FALSE,I.Facility.StandardPart="Part 2"),"Complete",IF(I.Product.P1GasToPowerStatus&lt;&gt;"Yes","Complete",IF(AND(I.Gas.P1Y2Count&gt;=14,F26043=""),"Incomplete","Complete")))</f>
        <v>Complete</v>
      </c>
      <c r="I26043" s="48" t="s">
        <v>1222</v>
      </c>
    </row>
    <row r="26044" spans="2:9" ht="15" customHeight="1" x14ac:dyDescent="0.25">
      <c r="B26044" s="55" t="s">
        <v>368</v>
      </c>
      <c r="C26044" s="46">
        <v>15</v>
      </c>
      <c r="D26044" s="69" t="s">
        <v>29505</v>
      </c>
      <c r="E26044" s="62"/>
      <c r="F26044" s="62" t="str">
        <f>IF(INDEX(I.Gas.P1Y2C1E2,15)="","",INDEX(I.Gas.P1Y2C1E2,15))</f>
        <v/>
      </c>
      <c r="G26044" s="62"/>
      <c r="H26044" s="46" t="str">
        <f>IF(OR(I.Developer.P1=FALSE,I.Facility.StandardPart="Part 2"),"Complete",IF(I.Product.P1GasToPowerStatus&lt;&gt;"Yes","Complete",IF(AND(I.Gas.P1Y2Count&gt;=15,F26044=""),"Incomplete","Complete")))</f>
        <v>Complete</v>
      </c>
      <c r="I26044" s="48" t="s">
        <v>1223</v>
      </c>
    </row>
    <row r="26045" spans="2:9" ht="15" customHeight="1" x14ac:dyDescent="0.25">
      <c r="B26045" s="55" t="s">
        <v>368</v>
      </c>
      <c r="C26045" s="46">
        <v>16</v>
      </c>
      <c r="D26045" s="69" t="s">
        <v>29505</v>
      </c>
      <c r="E26045" s="62"/>
      <c r="F26045" s="62" t="str">
        <f>IF(INDEX(I.Gas.P1Y2C1E2,16)="","",INDEX(I.Gas.P1Y2C1E2,16))</f>
        <v/>
      </c>
      <c r="G26045" s="62"/>
      <c r="H26045" s="46" t="str">
        <f>IF(OR(I.Developer.P1=FALSE,I.Facility.StandardPart="Part 2"),"Complete",IF(I.Product.P1GasToPowerStatus&lt;&gt;"Yes","Complete",IF(AND(I.Gas.P1Y2Count&gt;=16,F26045=""),"Incomplete","Complete")))</f>
        <v>Complete</v>
      </c>
      <c r="I26045" s="48" t="s">
        <v>1224</v>
      </c>
    </row>
    <row r="26046" spans="2:9" ht="15" customHeight="1" x14ac:dyDescent="0.25">
      <c r="B26046" s="55" t="s">
        <v>368</v>
      </c>
      <c r="C26046" s="46">
        <v>17</v>
      </c>
      <c r="D26046" s="69" t="s">
        <v>29505</v>
      </c>
      <c r="E26046" s="62"/>
      <c r="F26046" s="62" t="str">
        <f>IF(INDEX(I.Gas.P1Y2C1E2,17)="","",INDEX(I.Gas.P1Y2C1E2,17))</f>
        <v/>
      </c>
      <c r="G26046" s="62"/>
      <c r="H26046" s="46" t="str">
        <f>IF(OR(I.Developer.P1=FALSE,I.Facility.StandardPart="Part 2"),"Complete",IF(I.Product.P1GasToPowerStatus&lt;&gt;"Yes","Complete",IF(AND(I.Gas.P1Y2Count&gt;=17,F26046=""),"Incomplete","Complete")))</f>
        <v>Complete</v>
      </c>
      <c r="I26046" s="48" t="s">
        <v>1225</v>
      </c>
    </row>
    <row r="26047" spans="2:9" ht="15" customHeight="1" x14ac:dyDescent="0.25">
      <c r="B26047" s="55" t="s">
        <v>368</v>
      </c>
      <c r="C26047" s="46">
        <v>18</v>
      </c>
      <c r="D26047" s="69" t="s">
        <v>29505</v>
      </c>
      <c r="E26047" s="62"/>
      <c r="F26047" s="62" t="str">
        <f>IF(INDEX(I.Gas.P1Y2C1E2,18)="","",INDEX(I.Gas.P1Y2C1E2,18))</f>
        <v/>
      </c>
      <c r="G26047" s="62"/>
      <c r="H26047" s="46" t="str">
        <f>IF(OR(I.Developer.P1=FALSE,I.Facility.StandardPart="Part 2"),"Complete",IF(I.Product.P1GasToPowerStatus&lt;&gt;"Yes","Complete",IF(AND(I.Gas.P1Y2Count&gt;=18,F26047=""),"Incomplete","Complete")))</f>
        <v>Complete</v>
      </c>
      <c r="I26047" s="48" t="s">
        <v>1226</v>
      </c>
    </row>
    <row r="26048" spans="2:9" ht="15" customHeight="1" x14ac:dyDescent="0.25">
      <c r="B26048" s="55" t="s">
        <v>368</v>
      </c>
      <c r="C26048" s="46">
        <v>19</v>
      </c>
      <c r="D26048" s="69" t="s">
        <v>29505</v>
      </c>
      <c r="E26048" s="62"/>
      <c r="F26048" s="62" t="str">
        <f>IF(INDEX(I.Gas.P1Y2C1E2,19)="","",INDEX(I.Gas.P1Y2C1E2,19))</f>
        <v/>
      </c>
      <c r="G26048" s="62"/>
      <c r="H26048" s="46" t="str">
        <f>IF(OR(I.Developer.P1=FALSE,I.Facility.StandardPart="Part 2"),"Complete",IF(I.Product.P1GasToPowerStatus&lt;&gt;"Yes","Complete",IF(AND(I.Gas.P1Y2Count&gt;=19,F26048=""),"Incomplete","Complete")))</f>
        <v>Complete</v>
      </c>
      <c r="I26048" s="48" t="s">
        <v>1227</v>
      </c>
    </row>
    <row r="26049" spans="2:9" ht="15" customHeight="1" x14ac:dyDescent="0.25">
      <c r="B26049" s="55" t="s">
        <v>368</v>
      </c>
      <c r="C26049" s="46">
        <v>20</v>
      </c>
      <c r="D26049" s="69" t="s">
        <v>29505</v>
      </c>
      <c r="E26049" s="62"/>
      <c r="F26049" s="62" t="str">
        <f>IF(INDEX(I.Gas.P1Y2C1E2,20)="","",INDEX(I.Gas.P1Y2C1E2,20))</f>
        <v/>
      </c>
      <c r="G26049" s="62"/>
      <c r="H26049" s="46" t="str">
        <f>IF(OR(I.Developer.P1=FALSE,I.Facility.StandardPart="Part 2"),"Complete",IF(I.Product.P1GasToPowerStatus&lt;&gt;"Yes","Complete",IF(AND(I.Gas.P1Y2Count&gt;=20,F26049=""),"Incomplete","Complete")))</f>
        <v>Complete</v>
      </c>
      <c r="I26049" s="48" t="s">
        <v>1228</v>
      </c>
    </row>
    <row r="26050" spans="2:9" ht="15" customHeight="1" x14ac:dyDescent="0.25">
      <c r="B26050" s="55" t="s">
        <v>368</v>
      </c>
      <c r="C26050" s="46">
        <v>21</v>
      </c>
      <c r="D26050" s="69" t="s">
        <v>29505</v>
      </c>
      <c r="E26050" s="62"/>
      <c r="F26050" s="62" t="str">
        <f>IF(INDEX(I.Gas.P1Y2C1E2,21)="","",INDEX(I.Gas.P1Y2C1E2,21))</f>
        <v/>
      </c>
      <c r="G26050" s="62"/>
      <c r="H26050" s="46" t="str">
        <f>IF(OR(I.Developer.P1=FALSE,I.Facility.StandardPart="Part 2"),"Complete",IF(I.Product.P1GasToPowerStatus&lt;&gt;"Yes","Complete",IF(AND(I.Gas.P1Y2Count&gt;=21,F26050=""),"Incomplete","Complete")))</f>
        <v>Complete</v>
      </c>
      <c r="I26050" s="48" t="s">
        <v>1229</v>
      </c>
    </row>
    <row r="26051" spans="2:9" ht="15" customHeight="1" x14ac:dyDescent="0.25">
      <c r="B26051" s="55" t="s">
        <v>368</v>
      </c>
      <c r="C26051" s="46">
        <v>22</v>
      </c>
      <c r="D26051" s="69" t="s">
        <v>29505</v>
      </c>
      <c r="E26051" s="62"/>
      <c r="F26051" s="62" t="str">
        <f>IF(INDEX(I.Gas.P1Y2C1E2,22)="","",INDEX(I.Gas.P1Y2C1E2,22))</f>
        <v/>
      </c>
      <c r="G26051" s="62"/>
      <c r="H26051" s="46" t="str">
        <f>IF(OR(I.Developer.P1=FALSE,I.Facility.StandardPart="Part 2"),"Complete",IF(I.Product.P1GasToPowerStatus&lt;&gt;"Yes","Complete",IF(AND(I.Gas.P1Y2Count&gt;=22,F26051=""),"Incomplete","Complete")))</f>
        <v>Complete</v>
      </c>
      <c r="I26051" s="48" t="s">
        <v>1230</v>
      </c>
    </row>
    <row r="26052" spans="2:9" ht="15" customHeight="1" x14ac:dyDescent="0.25">
      <c r="B26052" s="55" t="s">
        <v>368</v>
      </c>
      <c r="C26052" s="46">
        <v>23</v>
      </c>
      <c r="D26052" s="69" t="s">
        <v>29505</v>
      </c>
      <c r="E26052" s="62"/>
      <c r="F26052" s="62" t="str">
        <f>IF(INDEX(I.Gas.P1Y2C1E2,23)="","",INDEX(I.Gas.P1Y2C1E2,23))</f>
        <v/>
      </c>
      <c r="G26052" s="62"/>
      <c r="H26052" s="46" t="str">
        <f>IF(OR(I.Developer.P1=FALSE,I.Facility.StandardPart="Part 2"),"Complete",IF(I.Product.P1GasToPowerStatus&lt;&gt;"Yes","Complete",IF(AND(I.Gas.P1Y2Count&gt;=23,F26052=""),"Incomplete","Complete")))</f>
        <v>Complete</v>
      </c>
      <c r="I26052" s="48" t="s">
        <v>1231</v>
      </c>
    </row>
    <row r="26053" spans="2:9" ht="15" customHeight="1" x14ac:dyDescent="0.25">
      <c r="B26053" s="55" t="s">
        <v>368</v>
      </c>
      <c r="C26053" s="46">
        <v>24</v>
      </c>
      <c r="D26053" s="69" t="s">
        <v>29505</v>
      </c>
      <c r="E26053" s="62"/>
      <c r="F26053" s="62" t="str">
        <f>IF(INDEX(I.Gas.P1Y2C1E2,24)="","",INDEX(I.Gas.P1Y2C1E2,24))</f>
        <v/>
      </c>
      <c r="G26053" s="62"/>
      <c r="H26053" s="46" t="str">
        <f>IF(OR(I.Developer.P1=FALSE,I.Facility.StandardPart="Part 2"),"Complete",IF(I.Product.P1GasToPowerStatus&lt;&gt;"Yes","Complete",IF(AND(I.Gas.P1Y2Count&gt;=24,F26053=""),"Incomplete","Complete")))</f>
        <v>Complete</v>
      </c>
      <c r="I26053" s="48" t="s">
        <v>1232</v>
      </c>
    </row>
    <row r="26054" spans="2:9" ht="15" customHeight="1" x14ac:dyDescent="0.25">
      <c r="B26054" s="55" t="s">
        <v>368</v>
      </c>
      <c r="C26054" s="46">
        <v>25</v>
      </c>
      <c r="D26054" s="69" t="s">
        <v>29505</v>
      </c>
      <c r="E26054" s="62"/>
      <c r="F26054" s="62" t="str">
        <f>IF(INDEX(I.Gas.P1Y2C1E2,25)="","",INDEX(I.Gas.P1Y2C1E2,25))</f>
        <v/>
      </c>
      <c r="G26054" s="62"/>
      <c r="H26054" s="46" t="str">
        <f>IF(OR(I.Developer.P1=FALSE,I.Facility.StandardPart="Part 2"),"Complete",IF(I.Product.P1GasToPowerStatus&lt;&gt;"Yes","Complete",IF(AND(I.Gas.P1Y2Count&gt;=25,F26054=""),"Incomplete","Complete")))</f>
        <v>Complete</v>
      </c>
      <c r="I26054" s="48" t="s">
        <v>1233</v>
      </c>
    </row>
    <row r="26055" spans="2:9" ht="15" customHeight="1" x14ac:dyDescent="0.25">
      <c r="B26055" s="55" t="s">
        <v>368</v>
      </c>
      <c r="C26055" s="46">
        <v>26</v>
      </c>
      <c r="D26055" s="69" t="s">
        <v>29505</v>
      </c>
      <c r="E26055" s="62"/>
      <c r="F26055" s="62" t="str">
        <f>IF(INDEX(I.Gas.P1Y2C1E2,26)="","",INDEX(I.Gas.P1Y2C1E2,26))</f>
        <v/>
      </c>
      <c r="G26055" s="62"/>
      <c r="H26055" s="46" t="str">
        <f>IF(OR(I.Developer.P1=FALSE,I.Facility.StandardPart="Part 2"),"Complete",IF(I.Product.P1GasToPowerStatus&lt;&gt;"Yes","Complete",IF(AND(I.Gas.P1Y2Count&gt;=26,F26055=""),"Incomplete","Complete")))</f>
        <v>Complete</v>
      </c>
      <c r="I26055" s="48" t="s">
        <v>1234</v>
      </c>
    </row>
    <row r="26056" spans="2:9" ht="15" customHeight="1" x14ac:dyDescent="0.25">
      <c r="B26056" s="55" t="s">
        <v>368</v>
      </c>
      <c r="C26056" s="46">
        <v>27</v>
      </c>
      <c r="D26056" s="69" t="s">
        <v>29505</v>
      </c>
      <c r="E26056" s="62"/>
      <c r="F26056" s="62" t="str">
        <f>IF(INDEX(I.Gas.P1Y2C1E2,27)="","",INDEX(I.Gas.P1Y2C1E2,27))</f>
        <v/>
      </c>
      <c r="G26056" s="62"/>
      <c r="H26056" s="46" t="str">
        <f>IF(OR(I.Developer.P1=FALSE,I.Facility.StandardPart="Part 2"),"Complete",IF(I.Product.P1GasToPowerStatus&lt;&gt;"Yes","Complete",IF(AND(I.Gas.P1Y2Count&gt;=27,F26056=""),"Incomplete","Complete")))</f>
        <v>Complete</v>
      </c>
      <c r="I26056" s="48" t="s">
        <v>1235</v>
      </c>
    </row>
    <row r="26057" spans="2:9" ht="15" customHeight="1" x14ac:dyDescent="0.25">
      <c r="B26057" s="55" t="s">
        <v>368</v>
      </c>
      <c r="C26057" s="46">
        <v>28</v>
      </c>
      <c r="D26057" s="69" t="s">
        <v>29505</v>
      </c>
      <c r="E26057" s="62"/>
      <c r="F26057" s="62" t="str">
        <f>IF(INDEX(I.Gas.P1Y2C1E2,28)="","",INDEX(I.Gas.P1Y2C1E2,28))</f>
        <v/>
      </c>
      <c r="G26057" s="62"/>
      <c r="H26057" s="46" t="str">
        <f>IF(OR(I.Developer.P1=FALSE,I.Facility.StandardPart="Part 2"),"Complete",IF(I.Product.P1GasToPowerStatus&lt;&gt;"Yes","Complete",IF(AND(I.Gas.P1Y2Count&gt;=28,F26057=""),"Incomplete","Complete")))</f>
        <v>Complete</v>
      </c>
      <c r="I26057" s="48" t="s">
        <v>1236</v>
      </c>
    </row>
    <row r="26058" spans="2:9" ht="15" customHeight="1" x14ac:dyDescent="0.25">
      <c r="B26058" s="55" t="s">
        <v>368</v>
      </c>
      <c r="C26058" s="46">
        <v>29</v>
      </c>
      <c r="D26058" s="69" t="s">
        <v>29505</v>
      </c>
      <c r="E26058" s="62"/>
      <c r="F26058" s="62" t="str">
        <f>IF(INDEX(I.Gas.P1Y2C1E2,29)="","",INDEX(I.Gas.P1Y2C1E2,29))</f>
        <v/>
      </c>
      <c r="G26058" s="62"/>
      <c r="H26058" s="46" t="str">
        <f>IF(OR(I.Developer.P1=FALSE,I.Facility.StandardPart="Part 2"),"Complete",IF(I.Product.P1GasToPowerStatus&lt;&gt;"Yes","Complete",IF(AND(I.Gas.P1Y2Count&gt;=29,F26058=""),"Incomplete","Complete")))</f>
        <v>Complete</v>
      </c>
      <c r="I26058" s="48" t="s">
        <v>1237</v>
      </c>
    </row>
    <row r="26059" spans="2:9" ht="15" customHeight="1" x14ac:dyDescent="0.25">
      <c r="B26059" s="55" t="s">
        <v>368</v>
      </c>
      <c r="C26059" s="46">
        <v>30</v>
      </c>
      <c r="D26059" s="69" t="s">
        <v>29505</v>
      </c>
      <c r="E26059" s="62"/>
      <c r="F26059" s="62" t="str">
        <f>IF(INDEX(I.Gas.P1Y2C1E2,30)="","",INDEX(I.Gas.P1Y2C1E2,30))</f>
        <v/>
      </c>
      <c r="G26059" s="62"/>
      <c r="H26059" s="46" t="str">
        <f>IF(OR(I.Developer.P1=FALSE,I.Facility.StandardPart="Part 2"),"Complete",IF(I.Product.P1GasToPowerStatus&lt;&gt;"Yes","Complete",IF(AND(I.Gas.P1Y2Count&gt;=30,F26059=""),"Incomplete","Complete")))</f>
        <v>Complete</v>
      </c>
      <c r="I26059" s="48" t="s">
        <v>1238</v>
      </c>
    </row>
    <row r="26060" spans="2:9" ht="15" customHeight="1" x14ac:dyDescent="0.25">
      <c r="B26060" s="55" t="s">
        <v>368</v>
      </c>
      <c r="C26060" s="46">
        <v>31</v>
      </c>
      <c r="D26060" s="69" t="s">
        <v>29505</v>
      </c>
      <c r="E26060" s="62"/>
      <c r="F26060" s="62" t="str">
        <f>IF(INDEX(I.Gas.P1Y2C1E2,31)="","",INDEX(I.Gas.P1Y2C1E2,31))</f>
        <v/>
      </c>
      <c r="G26060" s="62"/>
      <c r="H26060" s="46" t="str">
        <f>IF(OR(I.Developer.P1=FALSE,I.Facility.StandardPart="Part 2"),"Complete",IF(I.Product.P1GasToPowerStatus&lt;&gt;"Yes","Complete",IF(AND(I.Gas.P1Y2Count&gt;=31,F26060=""),"Incomplete","Complete")))</f>
        <v>Complete</v>
      </c>
      <c r="I26060" s="48" t="s">
        <v>1239</v>
      </c>
    </row>
    <row r="26061" spans="2:9" ht="15" customHeight="1" x14ac:dyDescent="0.25">
      <c r="B26061" s="55" t="s">
        <v>368</v>
      </c>
      <c r="C26061" s="46">
        <v>32</v>
      </c>
      <c r="D26061" s="69" t="s">
        <v>29505</v>
      </c>
      <c r="E26061" s="62"/>
      <c r="F26061" s="62" t="str">
        <f>IF(INDEX(I.Gas.P1Y2C1E2,32)="","",INDEX(I.Gas.P1Y2C1E2,32))</f>
        <v/>
      </c>
      <c r="G26061" s="62"/>
      <c r="H26061" s="46" t="str">
        <f>IF(OR(I.Developer.P1=FALSE,I.Facility.StandardPart="Part 2"),"Complete",IF(I.Product.P1GasToPowerStatus&lt;&gt;"Yes","Complete",IF(AND(I.Gas.P1Y2Count&gt;=32,F26061=""),"Incomplete","Complete")))</f>
        <v>Complete</v>
      </c>
      <c r="I26061" s="48" t="s">
        <v>1240</v>
      </c>
    </row>
    <row r="26062" spans="2:9" ht="15" customHeight="1" x14ac:dyDescent="0.25">
      <c r="B26062" s="55" t="s">
        <v>368</v>
      </c>
      <c r="C26062" s="46">
        <v>33</v>
      </c>
      <c r="D26062" s="69" t="s">
        <v>29505</v>
      </c>
      <c r="E26062" s="62"/>
      <c r="F26062" s="62" t="str">
        <f>IF(INDEX(I.Gas.P1Y2C1E2,33)="","",INDEX(I.Gas.P1Y2C1E2,33))</f>
        <v/>
      </c>
      <c r="G26062" s="62"/>
      <c r="H26062" s="46" t="str">
        <f>IF(OR(I.Developer.P1=FALSE,I.Facility.StandardPart="Part 2"),"Complete",IF(I.Product.P1GasToPowerStatus&lt;&gt;"Yes","Complete",IF(AND(I.Gas.P1Y2Count&gt;=33,F26062=""),"Incomplete","Complete")))</f>
        <v>Complete</v>
      </c>
      <c r="I26062" s="48" t="s">
        <v>1241</v>
      </c>
    </row>
    <row r="26063" spans="2:9" ht="15" customHeight="1" x14ac:dyDescent="0.25">
      <c r="B26063" s="55" t="s">
        <v>368</v>
      </c>
      <c r="C26063" s="46">
        <v>34</v>
      </c>
      <c r="D26063" s="69" t="s">
        <v>29505</v>
      </c>
      <c r="E26063" s="62"/>
      <c r="F26063" s="62" t="str">
        <f>IF(INDEX(I.Gas.P1Y2C1E2,34)="","",INDEX(I.Gas.P1Y2C1E2,34))</f>
        <v/>
      </c>
      <c r="G26063" s="62"/>
      <c r="H26063" s="46" t="str">
        <f>IF(OR(I.Developer.P1=FALSE,I.Facility.StandardPart="Part 2"),"Complete",IF(I.Product.P1GasToPowerStatus&lt;&gt;"Yes","Complete",IF(AND(I.Gas.P1Y2Count&gt;=34,F26063=""),"Incomplete","Complete")))</f>
        <v>Complete</v>
      </c>
      <c r="I26063" s="48" t="s">
        <v>1242</v>
      </c>
    </row>
    <row r="26064" spans="2:9" ht="15" customHeight="1" x14ac:dyDescent="0.25">
      <c r="B26064" s="55" t="s">
        <v>368</v>
      </c>
      <c r="C26064" s="46">
        <v>35</v>
      </c>
      <c r="D26064" s="69" t="s">
        <v>29505</v>
      </c>
      <c r="E26064" s="62"/>
      <c r="F26064" s="62" t="str">
        <f>IF(INDEX(I.Gas.P1Y2C1E2,35)="","",INDEX(I.Gas.P1Y2C1E2,35))</f>
        <v/>
      </c>
      <c r="G26064" s="62"/>
      <c r="H26064" s="46" t="str">
        <f>IF(OR(I.Developer.P1=FALSE,I.Facility.StandardPart="Part 2"),"Complete",IF(I.Product.P1GasToPowerStatus&lt;&gt;"Yes","Complete",IF(AND(I.Gas.P1Y2Count&gt;=35,F26064=""),"Incomplete","Complete")))</f>
        <v>Complete</v>
      </c>
      <c r="I26064" s="48" t="s">
        <v>1243</v>
      </c>
    </row>
    <row r="26065" spans="2:9" ht="15" customHeight="1" x14ac:dyDescent="0.25">
      <c r="B26065" s="55" t="s">
        <v>368</v>
      </c>
      <c r="C26065" s="46">
        <v>36</v>
      </c>
      <c r="D26065" s="69" t="s">
        <v>29505</v>
      </c>
      <c r="E26065" s="62"/>
      <c r="F26065" s="62" t="str">
        <f>IF(INDEX(I.Gas.P1Y2C1E2,36)="","",INDEX(I.Gas.P1Y2C1E2,36))</f>
        <v/>
      </c>
      <c r="G26065" s="62"/>
      <c r="H26065" s="46" t="str">
        <f>IF(OR(I.Developer.P1=FALSE,I.Facility.StandardPart="Part 2"),"Complete",IF(I.Product.P1GasToPowerStatus&lt;&gt;"Yes","Complete",IF(AND(I.Gas.P1Y2Count&gt;=36,F26065=""),"Incomplete","Complete")))</f>
        <v>Complete</v>
      </c>
      <c r="I26065" s="48" t="s">
        <v>1244</v>
      </c>
    </row>
    <row r="26066" spans="2:9" ht="15" customHeight="1" x14ac:dyDescent="0.25">
      <c r="B26066" s="55" t="s">
        <v>368</v>
      </c>
      <c r="C26066" s="46">
        <v>37</v>
      </c>
      <c r="D26066" s="69" t="s">
        <v>29505</v>
      </c>
      <c r="E26066" s="62"/>
      <c r="F26066" s="62" t="str">
        <f>IF(INDEX(I.Gas.P1Y2C1E2,37)="","",INDEX(I.Gas.P1Y2C1E2,37))</f>
        <v/>
      </c>
      <c r="G26066" s="62"/>
      <c r="H26066" s="46" t="str">
        <f>IF(OR(I.Developer.P1=FALSE,I.Facility.StandardPart="Part 2"),"Complete",IF(I.Product.P1GasToPowerStatus&lt;&gt;"Yes","Complete",IF(AND(I.Gas.P1Y2Count&gt;=37,F26066=""),"Incomplete","Complete")))</f>
        <v>Complete</v>
      </c>
      <c r="I26066" s="48" t="s">
        <v>1245</v>
      </c>
    </row>
    <row r="26067" spans="2:9" ht="15" customHeight="1" x14ac:dyDescent="0.25">
      <c r="B26067" s="55" t="s">
        <v>368</v>
      </c>
      <c r="C26067" s="46">
        <v>38</v>
      </c>
      <c r="D26067" s="69" t="s">
        <v>29505</v>
      </c>
      <c r="E26067" s="62"/>
      <c r="F26067" s="62" t="str">
        <f>IF(INDEX(I.Gas.P1Y2C1E2,38)="","",INDEX(I.Gas.P1Y2C1E2,38))</f>
        <v/>
      </c>
      <c r="G26067" s="62"/>
      <c r="H26067" s="46" t="str">
        <f>IF(OR(I.Developer.P1=FALSE,I.Facility.StandardPart="Part 2"),"Complete",IF(I.Product.P1GasToPowerStatus&lt;&gt;"Yes","Complete",IF(AND(I.Gas.P1Y2Count&gt;=38,F26067=""),"Incomplete","Complete")))</f>
        <v>Complete</v>
      </c>
      <c r="I26067" s="48" t="s">
        <v>1246</v>
      </c>
    </row>
    <row r="26068" spans="2:9" ht="15" customHeight="1" x14ac:dyDescent="0.25">
      <c r="B26068" s="55" t="s">
        <v>368</v>
      </c>
      <c r="C26068" s="46">
        <v>39</v>
      </c>
      <c r="D26068" s="69" t="s">
        <v>29505</v>
      </c>
      <c r="E26068" s="62"/>
      <c r="F26068" s="62" t="str">
        <f>IF(INDEX(I.Gas.P1Y2C1E2,39)="","",INDEX(I.Gas.P1Y2C1E2,39))</f>
        <v/>
      </c>
      <c r="G26068" s="62"/>
      <c r="H26068" s="46" t="str">
        <f>IF(OR(I.Developer.P1=FALSE,I.Facility.StandardPart="Part 2"),"Complete",IF(I.Product.P1GasToPowerStatus&lt;&gt;"Yes","Complete",IF(AND(I.Gas.P1Y2Count&gt;=39,F26068=""),"Incomplete","Complete")))</f>
        <v>Complete</v>
      </c>
      <c r="I26068" s="48" t="s">
        <v>1247</v>
      </c>
    </row>
    <row r="26069" spans="2:9" ht="15" customHeight="1" x14ac:dyDescent="0.25">
      <c r="B26069" s="55" t="s">
        <v>368</v>
      </c>
      <c r="C26069" s="46">
        <v>40</v>
      </c>
      <c r="D26069" s="69" t="s">
        <v>29505</v>
      </c>
      <c r="E26069" s="62"/>
      <c r="F26069" s="62" t="str">
        <f>IF(INDEX(I.Gas.P1Y2C1E2,40)="","",INDEX(I.Gas.P1Y2C1E2,40))</f>
        <v/>
      </c>
      <c r="G26069" s="62"/>
      <c r="H26069" s="46" t="str">
        <f>IF(OR(I.Developer.P1=FALSE,I.Facility.StandardPart="Part 2"),"Complete",IF(I.Product.P1GasToPowerStatus&lt;&gt;"Yes","Complete",IF(AND(I.Gas.P1Y2Count&gt;=40,F26069=""),"Incomplete","Complete")))</f>
        <v>Complete</v>
      </c>
      <c r="I26069" s="48" t="s">
        <v>1248</v>
      </c>
    </row>
    <row r="26070" spans="2:9" ht="15" customHeight="1" x14ac:dyDescent="0.25">
      <c r="B26070" s="55" t="s">
        <v>368</v>
      </c>
      <c r="C26070" s="46">
        <v>41</v>
      </c>
      <c r="D26070" s="69" t="s">
        <v>29505</v>
      </c>
      <c r="E26070" s="62"/>
      <c r="F26070" s="62" t="str">
        <f>IF(INDEX(I.Gas.P1Y2C1E2,41)="","",INDEX(I.Gas.P1Y2C1E2,41))</f>
        <v/>
      </c>
      <c r="G26070" s="62"/>
      <c r="H26070" s="46" t="str">
        <f>IF(OR(I.Developer.P1=FALSE,I.Facility.StandardPart="Part 2"),"Complete",IF(I.Product.P1GasToPowerStatus&lt;&gt;"Yes","Complete",IF(AND(I.Gas.P1Y2Count&gt;=41,F26070=""),"Incomplete","Complete")))</f>
        <v>Complete</v>
      </c>
      <c r="I26070" s="48" t="s">
        <v>1249</v>
      </c>
    </row>
    <row r="26071" spans="2:9" ht="15" customHeight="1" x14ac:dyDescent="0.25">
      <c r="B26071" s="55" t="s">
        <v>368</v>
      </c>
      <c r="C26071" s="46">
        <v>42</v>
      </c>
      <c r="D26071" s="69" t="s">
        <v>29505</v>
      </c>
      <c r="E26071" s="62"/>
      <c r="F26071" s="62" t="str">
        <f>IF(INDEX(I.Gas.P1Y2C1E2,42)="","",INDEX(I.Gas.P1Y2C1E2,42))</f>
        <v/>
      </c>
      <c r="G26071" s="62"/>
      <c r="H26071" s="46" t="str">
        <f>IF(OR(I.Developer.P1=FALSE,I.Facility.StandardPart="Part 2"),"Complete",IF(I.Product.P1GasToPowerStatus&lt;&gt;"Yes","Complete",IF(AND(I.Gas.P1Y2Count&gt;=42,F26071=""),"Incomplete","Complete")))</f>
        <v>Complete</v>
      </c>
      <c r="I26071" s="48" t="s">
        <v>1250</v>
      </c>
    </row>
    <row r="26072" spans="2:9" ht="15" customHeight="1" x14ac:dyDescent="0.25">
      <c r="B26072" s="55" t="s">
        <v>368</v>
      </c>
      <c r="C26072" s="46">
        <v>43</v>
      </c>
      <c r="D26072" s="69" t="s">
        <v>29505</v>
      </c>
      <c r="E26072" s="62"/>
      <c r="F26072" s="62" t="str">
        <f>IF(INDEX(I.Gas.P1Y2C1E2,43)="","",INDEX(I.Gas.P1Y2C1E2,43))</f>
        <v/>
      </c>
      <c r="G26072" s="62"/>
      <c r="H26072" s="46" t="str">
        <f>IF(OR(I.Developer.P1=FALSE,I.Facility.StandardPart="Part 2"),"Complete",IF(I.Product.P1GasToPowerStatus&lt;&gt;"Yes","Complete",IF(AND(I.Gas.P1Y2Count&gt;=43,F26072=""),"Incomplete","Complete")))</f>
        <v>Complete</v>
      </c>
      <c r="I26072" s="48" t="s">
        <v>1251</v>
      </c>
    </row>
    <row r="26073" spans="2:9" ht="15" customHeight="1" x14ac:dyDescent="0.25">
      <c r="B26073" s="55" t="s">
        <v>368</v>
      </c>
      <c r="C26073" s="46">
        <v>44</v>
      </c>
      <c r="D26073" s="69" t="s">
        <v>29505</v>
      </c>
      <c r="E26073" s="62"/>
      <c r="F26073" s="62" t="str">
        <f>IF(INDEX(I.Gas.P1Y2C1E2,44)="","",INDEX(I.Gas.P1Y2C1E2,44))</f>
        <v/>
      </c>
      <c r="G26073" s="62"/>
      <c r="H26073" s="46" t="str">
        <f>IF(OR(I.Developer.P1=FALSE,I.Facility.StandardPart="Part 2"),"Complete",IF(I.Product.P1GasToPowerStatus&lt;&gt;"Yes","Complete",IF(AND(I.Gas.P1Y2Count&gt;=44,F26073=""),"Incomplete","Complete")))</f>
        <v>Complete</v>
      </c>
      <c r="I26073" s="48" t="s">
        <v>1252</v>
      </c>
    </row>
    <row r="26074" spans="2:9" ht="15" customHeight="1" x14ac:dyDescent="0.25">
      <c r="B26074" s="55" t="s">
        <v>368</v>
      </c>
      <c r="C26074" s="46">
        <v>45</v>
      </c>
      <c r="D26074" s="69" t="s">
        <v>29505</v>
      </c>
      <c r="E26074" s="62"/>
      <c r="F26074" s="62" t="str">
        <f>IF(INDEX(I.Gas.P1Y2C1E2,45)="","",INDEX(I.Gas.P1Y2C1E2,45))</f>
        <v/>
      </c>
      <c r="G26074" s="62"/>
      <c r="H26074" s="46" t="str">
        <f>IF(OR(I.Developer.P1=FALSE,I.Facility.StandardPart="Part 2"),"Complete",IF(I.Product.P1GasToPowerStatus&lt;&gt;"Yes","Complete",IF(AND(I.Gas.P1Y2Count&gt;=45,F26074=""),"Incomplete","Complete")))</f>
        <v>Complete</v>
      </c>
      <c r="I26074" s="48" t="s">
        <v>1253</v>
      </c>
    </row>
    <row r="26075" spans="2:9" ht="15" customHeight="1" x14ac:dyDescent="0.25">
      <c r="B26075" s="55" t="s">
        <v>368</v>
      </c>
      <c r="C26075" s="46">
        <v>46</v>
      </c>
      <c r="D26075" s="69" t="s">
        <v>29505</v>
      </c>
      <c r="E26075" s="62"/>
      <c r="F26075" s="62" t="str">
        <f>IF(INDEX(I.Gas.P1Y2C1E2,46)="","",INDEX(I.Gas.P1Y2C1E2,46))</f>
        <v/>
      </c>
      <c r="G26075" s="62"/>
      <c r="H26075" s="46" t="str">
        <f>IF(OR(I.Developer.P1=FALSE,I.Facility.StandardPart="Part 2"),"Complete",IF(I.Product.P1GasToPowerStatus&lt;&gt;"Yes","Complete",IF(AND(I.Gas.P1Y2Count&gt;=46,F26075=""),"Incomplete","Complete")))</f>
        <v>Complete</v>
      </c>
      <c r="I26075" s="48" t="s">
        <v>1254</v>
      </c>
    </row>
    <row r="26076" spans="2:9" ht="15" customHeight="1" x14ac:dyDescent="0.25">
      <c r="B26076" s="55" t="s">
        <v>368</v>
      </c>
      <c r="C26076" s="46">
        <v>47</v>
      </c>
      <c r="D26076" s="69" t="s">
        <v>29505</v>
      </c>
      <c r="E26076" s="62"/>
      <c r="F26076" s="62" t="str">
        <f>IF(INDEX(I.Gas.P1Y2C1E2,47)="","",INDEX(I.Gas.P1Y2C1E2,47))</f>
        <v/>
      </c>
      <c r="G26076" s="62"/>
      <c r="H26076" s="46" t="str">
        <f>IF(OR(I.Developer.P1=FALSE,I.Facility.StandardPart="Part 2"),"Complete",IF(I.Product.P1GasToPowerStatus&lt;&gt;"Yes","Complete",IF(AND(I.Gas.P1Y2Count&gt;=47,F26076=""),"Incomplete","Complete")))</f>
        <v>Complete</v>
      </c>
      <c r="I26076" s="48" t="s">
        <v>1255</v>
      </c>
    </row>
    <row r="26077" spans="2:9" ht="15" customHeight="1" x14ac:dyDescent="0.25">
      <c r="B26077" s="55" t="s">
        <v>368</v>
      </c>
      <c r="C26077" s="46">
        <v>48</v>
      </c>
      <c r="D26077" s="69" t="s">
        <v>29505</v>
      </c>
      <c r="E26077" s="62"/>
      <c r="F26077" s="62" t="str">
        <f>IF(INDEX(I.Gas.P1Y2C1E2,48)="","",INDEX(I.Gas.P1Y2C1E2,48))</f>
        <v/>
      </c>
      <c r="G26077" s="62"/>
      <c r="H26077" s="46" t="str">
        <f>IF(OR(I.Developer.P1=FALSE,I.Facility.StandardPart="Part 2"),"Complete",IF(I.Product.P1GasToPowerStatus&lt;&gt;"Yes","Complete",IF(AND(I.Gas.P1Y2Count&gt;=48,F26077=""),"Incomplete","Complete")))</f>
        <v>Complete</v>
      </c>
      <c r="I26077" s="48" t="s">
        <v>1256</v>
      </c>
    </row>
    <row r="26078" spans="2:9" ht="15" customHeight="1" x14ac:dyDescent="0.25">
      <c r="B26078" s="55" t="s">
        <v>368</v>
      </c>
      <c r="C26078" s="46">
        <v>49</v>
      </c>
      <c r="D26078" s="69" t="s">
        <v>29505</v>
      </c>
      <c r="E26078" s="62"/>
      <c r="F26078" s="62" t="str">
        <f>IF(INDEX(I.Gas.P1Y2C1E2,49)="","",INDEX(I.Gas.P1Y2C1E2,49))</f>
        <v/>
      </c>
      <c r="G26078" s="62"/>
      <c r="H26078" s="46" t="str">
        <f>IF(OR(I.Developer.P1=FALSE,I.Facility.StandardPart="Part 2"),"Complete",IF(I.Product.P1GasToPowerStatus&lt;&gt;"Yes","Complete",IF(AND(I.Gas.P1Y2Count&gt;=49,F26078=""),"Incomplete","Complete")))</f>
        <v>Complete</v>
      </c>
      <c r="I26078" s="48" t="s">
        <v>1257</v>
      </c>
    </row>
    <row r="26079" spans="2:9" ht="15" customHeight="1" x14ac:dyDescent="0.25">
      <c r="B26079" s="56" t="s">
        <v>368</v>
      </c>
      <c r="C26079" s="57">
        <v>50</v>
      </c>
      <c r="D26079" s="71" t="s">
        <v>29505</v>
      </c>
      <c r="E26079" s="61"/>
      <c r="F26079" s="61" t="str">
        <f>IF(INDEX(I.Gas.P1Y2C1E2,50)="","",INDEX(I.Gas.P1Y2C1E2,50))</f>
        <v/>
      </c>
      <c r="G26079" s="61"/>
      <c r="H26079" s="57" t="str">
        <f>IF(OR(I.Developer.P1=FALSE,I.Facility.StandardPart="Part 2"),"Complete",IF(I.Product.P1GasToPowerStatus&lt;&gt;"Yes","Complete",IF(AND(I.Gas.P1Y2Count&gt;=50,F26079=""),"Incomplete","Complete")))</f>
        <v>Complete</v>
      </c>
      <c r="I26079" s="49" t="s">
        <v>1258</v>
      </c>
    </row>
    <row r="26080" spans="2:9" ht="15" customHeight="1" x14ac:dyDescent="0.25">
      <c r="B26080" s="55" t="s">
        <v>369</v>
      </c>
      <c r="C26080" s="46">
        <v>1</v>
      </c>
      <c r="D26080" s="69" t="s">
        <v>29506</v>
      </c>
      <c r="E26080" s="62"/>
      <c r="F26080" s="62" t="str">
        <f>IF(INDEX(I.Gas.P1Y2C1E3,1)="","",INDEX(I.Gas.P1Y2C1E3,1))</f>
        <v/>
      </c>
      <c r="G26080" s="62"/>
      <c r="H26080" s="46" t="str">
        <f>IF(OR(I.Developer.P1=FALSE,I.Facility.StandardPart="Part 2"),"Complete",IF(I.Product.P1GasToPowerStatus&lt;&gt;"Yes","Complete",IF(AND(I.Gas.P1Y2Count&gt;=1,F26080=""),"Incomplete","Complete")))</f>
        <v>Complete</v>
      </c>
      <c r="I26080" s="48" t="s">
        <v>1259</v>
      </c>
    </row>
    <row r="26081" spans="2:9" ht="15" customHeight="1" x14ac:dyDescent="0.25">
      <c r="B26081" s="55" t="s">
        <v>369</v>
      </c>
      <c r="C26081" s="46">
        <v>2</v>
      </c>
      <c r="D26081" s="69" t="s">
        <v>29506</v>
      </c>
      <c r="E26081" s="62"/>
      <c r="F26081" s="62" t="str">
        <f>IF(INDEX(I.Gas.P1Y2C1E3,2)="","",INDEX(I.Gas.P1Y2C1E3,2))</f>
        <v/>
      </c>
      <c r="G26081" s="62"/>
      <c r="H26081" s="46" t="str">
        <f>IF(OR(I.Developer.P1=FALSE,I.Facility.StandardPart="Part 2"),"Complete",IF(I.Product.P1GasToPowerStatus&lt;&gt;"Yes","Complete",IF(AND(I.Gas.P1Y2Count&gt;=2,F26081=""),"Incomplete","Complete")))</f>
        <v>Complete</v>
      </c>
      <c r="I26081" s="48" t="s">
        <v>1260</v>
      </c>
    </row>
    <row r="26082" spans="2:9" ht="15" customHeight="1" x14ac:dyDescent="0.25">
      <c r="B26082" s="55" t="s">
        <v>369</v>
      </c>
      <c r="C26082" s="46">
        <v>3</v>
      </c>
      <c r="D26082" s="69" t="s">
        <v>29506</v>
      </c>
      <c r="E26082" s="62"/>
      <c r="F26082" s="62" t="str">
        <f>IF(INDEX(I.Gas.P1Y2C1E3,3)="","",INDEX(I.Gas.P1Y2C1E3,3))</f>
        <v/>
      </c>
      <c r="G26082" s="62"/>
      <c r="H26082" s="46" t="str">
        <f>IF(OR(I.Developer.P1=FALSE,I.Facility.StandardPart="Part 2"),"Complete",IF(I.Product.P1GasToPowerStatus&lt;&gt;"Yes","Complete",IF(AND(I.Gas.P1Y2Count&gt;=3,F26082=""),"Incomplete","Complete")))</f>
        <v>Complete</v>
      </c>
      <c r="I26082" s="48" t="s">
        <v>1261</v>
      </c>
    </row>
    <row r="26083" spans="2:9" ht="15" customHeight="1" x14ac:dyDescent="0.25">
      <c r="B26083" s="55" t="s">
        <v>369</v>
      </c>
      <c r="C26083" s="46">
        <v>4</v>
      </c>
      <c r="D26083" s="69" t="s">
        <v>29506</v>
      </c>
      <c r="E26083" s="62"/>
      <c r="F26083" s="62" t="str">
        <f>IF(INDEX(I.Gas.P1Y2C1E3,4)="","",INDEX(I.Gas.P1Y2C1E3,4))</f>
        <v/>
      </c>
      <c r="G26083" s="62"/>
      <c r="H26083" s="46" t="str">
        <f>IF(OR(I.Developer.P1=FALSE,I.Facility.StandardPart="Part 2"),"Complete",IF(I.Product.P1GasToPowerStatus&lt;&gt;"Yes","Complete",IF(AND(I.Gas.P1Y2Count&gt;=4,F26083=""),"Incomplete","Complete")))</f>
        <v>Complete</v>
      </c>
      <c r="I26083" s="48" t="s">
        <v>1262</v>
      </c>
    </row>
    <row r="26084" spans="2:9" ht="15" customHeight="1" x14ac:dyDescent="0.25">
      <c r="B26084" s="55" t="s">
        <v>369</v>
      </c>
      <c r="C26084" s="46">
        <v>5</v>
      </c>
      <c r="D26084" s="69" t="s">
        <v>29506</v>
      </c>
      <c r="E26084" s="62"/>
      <c r="F26084" s="62" t="str">
        <f>IF(INDEX(I.Gas.P1Y2C1E3,5)="","",INDEX(I.Gas.P1Y2C1E3,5))</f>
        <v/>
      </c>
      <c r="G26084" s="62"/>
      <c r="H26084" s="46" t="str">
        <f>IF(OR(I.Developer.P1=FALSE,I.Facility.StandardPart="Part 2"),"Complete",IF(I.Product.P1GasToPowerStatus&lt;&gt;"Yes","Complete",IF(AND(I.Gas.P1Y2Count&gt;=5,F26084=""),"Incomplete","Complete")))</f>
        <v>Complete</v>
      </c>
      <c r="I26084" s="48" t="s">
        <v>1263</v>
      </c>
    </row>
    <row r="26085" spans="2:9" ht="15" customHeight="1" x14ac:dyDescent="0.25">
      <c r="B26085" s="55" t="s">
        <v>369</v>
      </c>
      <c r="C26085" s="46">
        <v>6</v>
      </c>
      <c r="D26085" s="69" t="s">
        <v>29506</v>
      </c>
      <c r="E26085" s="62"/>
      <c r="F26085" s="62" t="str">
        <f>IF(INDEX(I.Gas.P1Y2C1E3,6)="","",INDEX(I.Gas.P1Y2C1E3,6))</f>
        <v/>
      </c>
      <c r="G26085" s="62"/>
      <c r="H26085" s="46" t="str">
        <f>IF(OR(I.Developer.P1=FALSE,I.Facility.StandardPart="Part 2"),"Complete",IF(I.Product.P1GasToPowerStatus&lt;&gt;"Yes","Complete",IF(AND(I.Gas.P1Y2Count&gt;=6,F26085=""),"Incomplete","Complete")))</f>
        <v>Complete</v>
      </c>
      <c r="I26085" s="48" t="s">
        <v>1264</v>
      </c>
    </row>
    <row r="26086" spans="2:9" ht="15" customHeight="1" x14ac:dyDescent="0.25">
      <c r="B26086" s="55" t="s">
        <v>369</v>
      </c>
      <c r="C26086" s="46">
        <v>7</v>
      </c>
      <c r="D26086" s="69" t="s">
        <v>29506</v>
      </c>
      <c r="E26086" s="62"/>
      <c r="F26086" s="62" t="str">
        <f>IF(INDEX(I.Gas.P1Y2C1E3,7)="","",INDEX(I.Gas.P1Y2C1E3,7))</f>
        <v/>
      </c>
      <c r="G26086" s="62"/>
      <c r="H26086" s="46" t="str">
        <f>IF(OR(I.Developer.P1=FALSE,I.Facility.StandardPart="Part 2"),"Complete",IF(I.Product.P1GasToPowerStatus&lt;&gt;"Yes","Complete",IF(AND(I.Gas.P1Y2Count&gt;=7,F26086=""),"Incomplete","Complete")))</f>
        <v>Complete</v>
      </c>
      <c r="I26086" s="48" t="s">
        <v>1265</v>
      </c>
    </row>
    <row r="26087" spans="2:9" ht="15" customHeight="1" x14ac:dyDescent="0.25">
      <c r="B26087" s="55" t="s">
        <v>369</v>
      </c>
      <c r="C26087" s="46">
        <v>8</v>
      </c>
      <c r="D26087" s="69" t="s">
        <v>29506</v>
      </c>
      <c r="E26087" s="62"/>
      <c r="F26087" s="62" t="str">
        <f>IF(INDEX(I.Gas.P1Y2C1E3,8)="","",INDEX(I.Gas.P1Y2C1E3,8))</f>
        <v/>
      </c>
      <c r="G26087" s="62"/>
      <c r="H26087" s="46" t="str">
        <f>IF(OR(I.Developer.P1=FALSE,I.Facility.StandardPart="Part 2"),"Complete",IF(I.Product.P1GasToPowerStatus&lt;&gt;"Yes","Complete",IF(AND(I.Gas.P1Y2Count&gt;=8,F26087=""),"Incomplete","Complete")))</f>
        <v>Complete</v>
      </c>
      <c r="I26087" s="48" t="s">
        <v>1266</v>
      </c>
    </row>
    <row r="26088" spans="2:9" ht="15" customHeight="1" x14ac:dyDescent="0.25">
      <c r="B26088" s="55" t="s">
        <v>369</v>
      </c>
      <c r="C26088" s="46">
        <v>9</v>
      </c>
      <c r="D26088" s="69" t="s">
        <v>29506</v>
      </c>
      <c r="E26088" s="62"/>
      <c r="F26088" s="62" t="str">
        <f>IF(INDEX(I.Gas.P1Y2C1E3,9)="","",INDEX(I.Gas.P1Y2C1E3,9))</f>
        <v/>
      </c>
      <c r="G26088" s="62"/>
      <c r="H26088" s="46" t="str">
        <f>IF(OR(I.Developer.P1=FALSE,I.Facility.StandardPart="Part 2"),"Complete",IF(I.Product.P1GasToPowerStatus&lt;&gt;"Yes","Complete",IF(AND(I.Gas.P1Y2Count&gt;=9,F26088=""),"Incomplete","Complete")))</f>
        <v>Complete</v>
      </c>
      <c r="I26088" s="48" t="s">
        <v>1267</v>
      </c>
    </row>
    <row r="26089" spans="2:9" ht="15" customHeight="1" x14ac:dyDescent="0.25">
      <c r="B26089" s="55" t="s">
        <v>369</v>
      </c>
      <c r="C26089" s="46">
        <v>10</v>
      </c>
      <c r="D26089" s="69" t="s">
        <v>29506</v>
      </c>
      <c r="E26089" s="62"/>
      <c r="F26089" s="62" t="str">
        <f>IF(INDEX(I.Gas.P1Y2C1E3,10)="","",INDEX(I.Gas.P1Y2C1E3,10))</f>
        <v/>
      </c>
      <c r="G26089" s="62"/>
      <c r="H26089" s="46" t="str">
        <f>IF(OR(I.Developer.P1=FALSE,I.Facility.StandardPart="Part 2"),"Complete",IF(I.Product.P1GasToPowerStatus&lt;&gt;"Yes","Complete",IF(AND(I.Gas.P1Y2Count&gt;=10,F26089=""),"Incomplete","Complete")))</f>
        <v>Complete</v>
      </c>
      <c r="I26089" s="48" t="s">
        <v>1268</v>
      </c>
    </row>
    <row r="26090" spans="2:9" ht="15" customHeight="1" x14ac:dyDescent="0.25">
      <c r="B26090" s="55" t="s">
        <v>369</v>
      </c>
      <c r="C26090" s="46">
        <v>11</v>
      </c>
      <c r="D26090" s="69" t="s">
        <v>29506</v>
      </c>
      <c r="E26090" s="62"/>
      <c r="F26090" s="62" t="str">
        <f>IF(INDEX(I.Gas.P1Y2C1E3,11)="","",INDEX(I.Gas.P1Y2C1E3,11))</f>
        <v/>
      </c>
      <c r="G26090" s="62"/>
      <c r="H26090" s="46" t="str">
        <f>IF(OR(I.Developer.P1=FALSE,I.Facility.StandardPart="Part 2"),"Complete",IF(I.Product.P1GasToPowerStatus&lt;&gt;"Yes","Complete",IF(AND(I.Gas.P1Y2Count&gt;=11,F26090=""),"Incomplete","Complete")))</f>
        <v>Complete</v>
      </c>
      <c r="I26090" s="48" t="s">
        <v>1269</v>
      </c>
    </row>
    <row r="26091" spans="2:9" ht="15" customHeight="1" x14ac:dyDescent="0.25">
      <c r="B26091" s="55" t="s">
        <v>369</v>
      </c>
      <c r="C26091" s="46">
        <v>12</v>
      </c>
      <c r="D26091" s="69" t="s">
        <v>29506</v>
      </c>
      <c r="E26091" s="62"/>
      <c r="F26091" s="62" t="str">
        <f>IF(INDEX(I.Gas.P1Y2C1E3,12)="","",INDEX(I.Gas.P1Y2C1E3,12))</f>
        <v/>
      </c>
      <c r="G26091" s="62"/>
      <c r="H26091" s="46" t="str">
        <f>IF(OR(I.Developer.P1=FALSE,I.Facility.StandardPart="Part 2"),"Complete",IF(I.Product.P1GasToPowerStatus&lt;&gt;"Yes","Complete",IF(AND(I.Gas.P1Y2Count&gt;=12,F26091=""),"Incomplete","Complete")))</f>
        <v>Complete</v>
      </c>
      <c r="I26091" s="48" t="s">
        <v>1270</v>
      </c>
    </row>
    <row r="26092" spans="2:9" ht="15" customHeight="1" x14ac:dyDescent="0.25">
      <c r="B26092" s="55" t="s">
        <v>369</v>
      </c>
      <c r="C26092" s="46">
        <v>13</v>
      </c>
      <c r="D26092" s="69" t="s">
        <v>29506</v>
      </c>
      <c r="E26092" s="62"/>
      <c r="F26092" s="62" t="str">
        <f>IF(INDEX(I.Gas.P1Y2C1E3,13)="","",INDEX(I.Gas.P1Y2C1E3,13))</f>
        <v/>
      </c>
      <c r="G26092" s="62"/>
      <c r="H26092" s="46" t="str">
        <f>IF(OR(I.Developer.P1=FALSE,I.Facility.StandardPart="Part 2"),"Complete",IF(I.Product.P1GasToPowerStatus&lt;&gt;"Yes","Complete",IF(AND(I.Gas.P1Y2Count&gt;=13,F26092=""),"Incomplete","Complete")))</f>
        <v>Complete</v>
      </c>
      <c r="I26092" s="48" t="s">
        <v>1271</v>
      </c>
    </row>
    <row r="26093" spans="2:9" ht="15" customHeight="1" x14ac:dyDescent="0.25">
      <c r="B26093" s="55" t="s">
        <v>369</v>
      </c>
      <c r="C26093" s="46">
        <v>14</v>
      </c>
      <c r="D26093" s="69" t="s">
        <v>29506</v>
      </c>
      <c r="E26093" s="62"/>
      <c r="F26093" s="62" t="str">
        <f>IF(INDEX(I.Gas.P1Y2C1E3,14)="","",INDEX(I.Gas.P1Y2C1E3,14))</f>
        <v/>
      </c>
      <c r="G26093" s="62"/>
      <c r="H26093" s="46" t="str">
        <f>IF(OR(I.Developer.P1=FALSE,I.Facility.StandardPart="Part 2"),"Complete",IF(I.Product.P1GasToPowerStatus&lt;&gt;"Yes","Complete",IF(AND(I.Gas.P1Y2Count&gt;=14,F26093=""),"Incomplete","Complete")))</f>
        <v>Complete</v>
      </c>
      <c r="I26093" s="48" t="s">
        <v>1272</v>
      </c>
    </row>
    <row r="26094" spans="2:9" ht="15" customHeight="1" x14ac:dyDescent="0.25">
      <c r="B26094" s="55" t="s">
        <v>369</v>
      </c>
      <c r="C26094" s="46">
        <v>15</v>
      </c>
      <c r="D26094" s="69" t="s">
        <v>29506</v>
      </c>
      <c r="E26094" s="62"/>
      <c r="F26094" s="62" t="str">
        <f>IF(INDEX(I.Gas.P1Y2C1E3,15)="","",INDEX(I.Gas.P1Y2C1E3,15))</f>
        <v/>
      </c>
      <c r="G26094" s="62"/>
      <c r="H26094" s="46" t="str">
        <f>IF(OR(I.Developer.P1=FALSE,I.Facility.StandardPart="Part 2"),"Complete",IF(I.Product.P1GasToPowerStatus&lt;&gt;"Yes","Complete",IF(AND(I.Gas.P1Y2Count&gt;=15,F26094=""),"Incomplete","Complete")))</f>
        <v>Complete</v>
      </c>
      <c r="I26094" s="48" t="s">
        <v>1273</v>
      </c>
    </row>
    <row r="26095" spans="2:9" ht="15" customHeight="1" x14ac:dyDescent="0.25">
      <c r="B26095" s="55" t="s">
        <v>369</v>
      </c>
      <c r="C26095" s="46">
        <v>16</v>
      </c>
      <c r="D26095" s="69" t="s">
        <v>29506</v>
      </c>
      <c r="E26095" s="62"/>
      <c r="F26095" s="62" t="str">
        <f>IF(INDEX(I.Gas.P1Y2C1E3,16)="","",INDEX(I.Gas.P1Y2C1E3,16))</f>
        <v/>
      </c>
      <c r="G26095" s="62"/>
      <c r="H26095" s="46" t="str">
        <f>IF(OR(I.Developer.P1=FALSE,I.Facility.StandardPart="Part 2"),"Complete",IF(I.Product.P1GasToPowerStatus&lt;&gt;"Yes","Complete",IF(AND(I.Gas.P1Y2Count&gt;=16,F26095=""),"Incomplete","Complete")))</f>
        <v>Complete</v>
      </c>
      <c r="I26095" s="48" t="s">
        <v>1274</v>
      </c>
    </row>
    <row r="26096" spans="2:9" ht="15" customHeight="1" x14ac:dyDescent="0.25">
      <c r="B26096" s="55" t="s">
        <v>369</v>
      </c>
      <c r="C26096" s="46">
        <v>17</v>
      </c>
      <c r="D26096" s="69" t="s">
        <v>29506</v>
      </c>
      <c r="E26096" s="62"/>
      <c r="F26096" s="62" t="str">
        <f>IF(INDEX(I.Gas.P1Y2C1E3,17)="","",INDEX(I.Gas.P1Y2C1E3,17))</f>
        <v/>
      </c>
      <c r="G26096" s="62"/>
      <c r="H26096" s="46" t="str">
        <f>IF(OR(I.Developer.P1=FALSE,I.Facility.StandardPart="Part 2"),"Complete",IF(I.Product.P1GasToPowerStatus&lt;&gt;"Yes","Complete",IF(AND(I.Gas.P1Y2Count&gt;=17,F26096=""),"Incomplete","Complete")))</f>
        <v>Complete</v>
      </c>
      <c r="I26096" s="48" t="s">
        <v>1275</v>
      </c>
    </row>
    <row r="26097" spans="2:9" ht="15" customHeight="1" x14ac:dyDescent="0.25">
      <c r="B26097" s="55" t="s">
        <v>369</v>
      </c>
      <c r="C26097" s="46">
        <v>18</v>
      </c>
      <c r="D26097" s="69" t="s">
        <v>29506</v>
      </c>
      <c r="E26097" s="62"/>
      <c r="F26097" s="62" t="str">
        <f>IF(INDEX(I.Gas.P1Y2C1E3,18)="","",INDEX(I.Gas.P1Y2C1E3,18))</f>
        <v/>
      </c>
      <c r="G26097" s="62"/>
      <c r="H26097" s="46" t="str">
        <f>IF(OR(I.Developer.P1=FALSE,I.Facility.StandardPart="Part 2"),"Complete",IF(I.Product.P1GasToPowerStatus&lt;&gt;"Yes","Complete",IF(AND(I.Gas.P1Y2Count&gt;=18,F26097=""),"Incomplete","Complete")))</f>
        <v>Complete</v>
      </c>
      <c r="I26097" s="48" t="s">
        <v>1276</v>
      </c>
    </row>
    <row r="26098" spans="2:9" ht="15" customHeight="1" x14ac:dyDescent="0.25">
      <c r="B26098" s="55" t="s">
        <v>369</v>
      </c>
      <c r="C26098" s="46">
        <v>19</v>
      </c>
      <c r="D26098" s="69" t="s">
        <v>29506</v>
      </c>
      <c r="E26098" s="62"/>
      <c r="F26098" s="62" t="str">
        <f>IF(INDEX(I.Gas.P1Y2C1E3,19)="","",INDEX(I.Gas.P1Y2C1E3,19))</f>
        <v/>
      </c>
      <c r="G26098" s="62"/>
      <c r="H26098" s="46" t="str">
        <f>IF(OR(I.Developer.P1=FALSE,I.Facility.StandardPart="Part 2"),"Complete",IF(I.Product.P1GasToPowerStatus&lt;&gt;"Yes","Complete",IF(AND(I.Gas.P1Y2Count&gt;=19,F26098=""),"Incomplete","Complete")))</f>
        <v>Complete</v>
      </c>
      <c r="I26098" s="48" t="s">
        <v>1277</v>
      </c>
    </row>
    <row r="26099" spans="2:9" ht="15" customHeight="1" x14ac:dyDescent="0.25">
      <c r="B26099" s="55" t="s">
        <v>369</v>
      </c>
      <c r="C26099" s="46">
        <v>20</v>
      </c>
      <c r="D26099" s="69" t="s">
        <v>29506</v>
      </c>
      <c r="E26099" s="62"/>
      <c r="F26099" s="62" t="str">
        <f>IF(INDEX(I.Gas.P1Y2C1E3,20)="","",INDEX(I.Gas.P1Y2C1E3,20))</f>
        <v/>
      </c>
      <c r="G26099" s="62"/>
      <c r="H26099" s="46" t="str">
        <f>IF(OR(I.Developer.P1=FALSE,I.Facility.StandardPart="Part 2"),"Complete",IF(I.Product.P1GasToPowerStatus&lt;&gt;"Yes","Complete",IF(AND(I.Gas.P1Y2Count&gt;=20,F26099=""),"Incomplete","Complete")))</f>
        <v>Complete</v>
      </c>
      <c r="I26099" s="48" t="s">
        <v>1278</v>
      </c>
    </row>
    <row r="26100" spans="2:9" ht="15" customHeight="1" x14ac:dyDescent="0.25">
      <c r="B26100" s="55" t="s">
        <v>369</v>
      </c>
      <c r="C26100" s="46">
        <v>21</v>
      </c>
      <c r="D26100" s="69" t="s">
        <v>29506</v>
      </c>
      <c r="E26100" s="62"/>
      <c r="F26100" s="62" t="str">
        <f>IF(INDEX(I.Gas.P1Y2C1E3,21)="","",INDEX(I.Gas.P1Y2C1E3,21))</f>
        <v/>
      </c>
      <c r="G26100" s="62"/>
      <c r="H26100" s="46" t="str">
        <f>IF(OR(I.Developer.P1=FALSE,I.Facility.StandardPart="Part 2"),"Complete",IF(I.Product.P1GasToPowerStatus&lt;&gt;"Yes","Complete",IF(AND(I.Gas.P1Y2Count&gt;=21,F26100=""),"Incomplete","Complete")))</f>
        <v>Complete</v>
      </c>
      <c r="I26100" s="48" t="s">
        <v>1279</v>
      </c>
    </row>
    <row r="26101" spans="2:9" ht="15" customHeight="1" x14ac:dyDescent="0.25">
      <c r="B26101" s="55" t="s">
        <v>369</v>
      </c>
      <c r="C26101" s="46">
        <v>22</v>
      </c>
      <c r="D26101" s="69" t="s">
        <v>29506</v>
      </c>
      <c r="E26101" s="62"/>
      <c r="F26101" s="62" t="str">
        <f>IF(INDEX(I.Gas.P1Y2C1E3,22)="","",INDEX(I.Gas.P1Y2C1E3,22))</f>
        <v/>
      </c>
      <c r="G26101" s="62"/>
      <c r="H26101" s="46" t="str">
        <f>IF(OR(I.Developer.P1=FALSE,I.Facility.StandardPart="Part 2"),"Complete",IF(I.Product.P1GasToPowerStatus&lt;&gt;"Yes","Complete",IF(AND(I.Gas.P1Y2Count&gt;=22,F26101=""),"Incomplete","Complete")))</f>
        <v>Complete</v>
      </c>
      <c r="I26101" s="48" t="s">
        <v>1280</v>
      </c>
    </row>
    <row r="26102" spans="2:9" ht="15" customHeight="1" x14ac:dyDescent="0.25">
      <c r="B26102" s="55" t="s">
        <v>369</v>
      </c>
      <c r="C26102" s="46">
        <v>23</v>
      </c>
      <c r="D26102" s="69" t="s">
        <v>29506</v>
      </c>
      <c r="E26102" s="62"/>
      <c r="F26102" s="62" t="str">
        <f>IF(INDEX(I.Gas.P1Y2C1E3,23)="","",INDEX(I.Gas.P1Y2C1E3,23))</f>
        <v/>
      </c>
      <c r="G26102" s="62"/>
      <c r="H26102" s="46" t="str">
        <f>IF(OR(I.Developer.P1=FALSE,I.Facility.StandardPart="Part 2"),"Complete",IF(I.Product.P1GasToPowerStatus&lt;&gt;"Yes","Complete",IF(AND(I.Gas.P1Y2Count&gt;=23,F26102=""),"Incomplete","Complete")))</f>
        <v>Complete</v>
      </c>
      <c r="I26102" s="48" t="s">
        <v>1281</v>
      </c>
    </row>
    <row r="26103" spans="2:9" ht="15" customHeight="1" x14ac:dyDescent="0.25">
      <c r="B26103" s="55" t="s">
        <v>369</v>
      </c>
      <c r="C26103" s="46">
        <v>24</v>
      </c>
      <c r="D26103" s="69" t="s">
        <v>29506</v>
      </c>
      <c r="E26103" s="62"/>
      <c r="F26103" s="62" t="str">
        <f>IF(INDEX(I.Gas.P1Y2C1E3,24)="","",INDEX(I.Gas.P1Y2C1E3,24))</f>
        <v/>
      </c>
      <c r="G26103" s="62"/>
      <c r="H26103" s="46" t="str">
        <f>IF(OR(I.Developer.P1=FALSE,I.Facility.StandardPart="Part 2"),"Complete",IF(I.Product.P1GasToPowerStatus&lt;&gt;"Yes","Complete",IF(AND(I.Gas.P1Y2Count&gt;=24,F26103=""),"Incomplete","Complete")))</f>
        <v>Complete</v>
      </c>
      <c r="I26103" s="48" t="s">
        <v>1282</v>
      </c>
    </row>
    <row r="26104" spans="2:9" ht="15" customHeight="1" x14ac:dyDescent="0.25">
      <c r="B26104" s="55" t="s">
        <v>369</v>
      </c>
      <c r="C26104" s="46">
        <v>25</v>
      </c>
      <c r="D26104" s="69" t="s">
        <v>29506</v>
      </c>
      <c r="E26104" s="62"/>
      <c r="F26104" s="62" t="str">
        <f>IF(INDEX(I.Gas.P1Y2C1E3,25)="","",INDEX(I.Gas.P1Y2C1E3,25))</f>
        <v/>
      </c>
      <c r="G26104" s="62"/>
      <c r="H26104" s="46" t="str">
        <f>IF(OR(I.Developer.P1=FALSE,I.Facility.StandardPart="Part 2"),"Complete",IF(I.Product.P1GasToPowerStatus&lt;&gt;"Yes","Complete",IF(AND(I.Gas.P1Y2Count&gt;=25,F26104=""),"Incomplete","Complete")))</f>
        <v>Complete</v>
      </c>
      <c r="I26104" s="48" t="s">
        <v>1283</v>
      </c>
    </row>
    <row r="26105" spans="2:9" ht="15" customHeight="1" x14ac:dyDescent="0.25">
      <c r="B26105" s="55" t="s">
        <v>369</v>
      </c>
      <c r="C26105" s="46">
        <v>26</v>
      </c>
      <c r="D26105" s="69" t="s">
        <v>29506</v>
      </c>
      <c r="E26105" s="62"/>
      <c r="F26105" s="62" t="str">
        <f>IF(INDEX(I.Gas.P1Y2C1E3,26)="","",INDEX(I.Gas.P1Y2C1E3,26))</f>
        <v/>
      </c>
      <c r="G26105" s="62"/>
      <c r="H26105" s="46" t="str">
        <f>IF(OR(I.Developer.P1=FALSE,I.Facility.StandardPart="Part 2"),"Complete",IF(I.Product.P1GasToPowerStatus&lt;&gt;"Yes","Complete",IF(AND(I.Gas.P1Y2Count&gt;=26,F26105=""),"Incomplete","Complete")))</f>
        <v>Complete</v>
      </c>
      <c r="I26105" s="48" t="s">
        <v>1284</v>
      </c>
    </row>
    <row r="26106" spans="2:9" ht="15" customHeight="1" x14ac:dyDescent="0.25">
      <c r="B26106" s="55" t="s">
        <v>369</v>
      </c>
      <c r="C26106" s="46">
        <v>27</v>
      </c>
      <c r="D26106" s="69" t="s">
        <v>29506</v>
      </c>
      <c r="E26106" s="62"/>
      <c r="F26106" s="62" t="str">
        <f>IF(INDEX(I.Gas.P1Y2C1E3,27)="","",INDEX(I.Gas.P1Y2C1E3,27))</f>
        <v/>
      </c>
      <c r="G26106" s="62"/>
      <c r="H26106" s="46" t="str">
        <f>IF(OR(I.Developer.P1=FALSE,I.Facility.StandardPart="Part 2"),"Complete",IF(I.Product.P1GasToPowerStatus&lt;&gt;"Yes","Complete",IF(AND(I.Gas.P1Y2Count&gt;=27,F26106=""),"Incomplete","Complete")))</f>
        <v>Complete</v>
      </c>
      <c r="I26106" s="48" t="s">
        <v>1285</v>
      </c>
    </row>
    <row r="26107" spans="2:9" ht="15" customHeight="1" x14ac:dyDescent="0.25">
      <c r="B26107" s="55" t="s">
        <v>369</v>
      </c>
      <c r="C26107" s="46">
        <v>28</v>
      </c>
      <c r="D26107" s="69" t="s">
        <v>29506</v>
      </c>
      <c r="E26107" s="62"/>
      <c r="F26107" s="62" t="str">
        <f>IF(INDEX(I.Gas.P1Y2C1E3,28)="","",INDEX(I.Gas.P1Y2C1E3,28))</f>
        <v/>
      </c>
      <c r="G26107" s="62"/>
      <c r="H26107" s="46" t="str">
        <f>IF(OR(I.Developer.P1=FALSE,I.Facility.StandardPart="Part 2"),"Complete",IF(I.Product.P1GasToPowerStatus&lt;&gt;"Yes","Complete",IF(AND(I.Gas.P1Y2Count&gt;=28,F26107=""),"Incomplete","Complete")))</f>
        <v>Complete</v>
      </c>
      <c r="I26107" s="48" t="s">
        <v>1286</v>
      </c>
    </row>
    <row r="26108" spans="2:9" ht="15" customHeight="1" x14ac:dyDescent="0.25">
      <c r="B26108" s="55" t="s">
        <v>369</v>
      </c>
      <c r="C26108" s="46">
        <v>29</v>
      </c>
      <c r="D26108" s="69" t="s">
        <v>29506</v>
      </c>
      <c r="E26108" s="62"/>
      <c r="F26108" s="62" t="str">
        <f>IF(INDEX(I.Gas.P1Y2C1E3,29)="","",INDEX(I.Gas.P1Y2C1E3,29))</f>
        <v/>
      </c>
      <c r="G26108" s="62"/>
      <c r="H26108" s="46" t="str">
        <f>IF(OR(I.Developer.P1=FALSE,I.Facility.StandardPart="Part 2"),"Complete",IF(I.Product.P1GasToPowerStatus&lt;&gt;"Yes","Complete",IF(AND(I.Gas.P1Y2Count&gt;=29,F26108=""),"Incomplete","Complete")))</f>
        <v>Complete</v>
      </c>
      <c r="I26108" s="48" t="s">
        <v>1287</v>
      </c>
    </row>
    <row r="26109" spans="2:9" ht="15" customHeight="1" x14ac:dyDescent="0.25">
      <c r="B26109" s="55" t="s">
        <v>369</v>
      </c>
      <c r="C26109" s="46">
        <v>30</v>
      </c>
      <c r="D26109" s="69" t="s">
        <v>29506</v>
      </c>
      <c r="E26109" s="62"/>
      <c r="F26109" s="62" t="str">
        <f>IF(INDEX(I.Gas.P1Y2C1E3,30)="","",INDEX(I.Gas.P1Y2C1E3,30))</f>
        <v/>
      </c>
      <c r="G26109" s="62"/>
      <c r="H26109" s="46" t="str">
        <f>IF(OR(I.Developer.P1=FALSE,I.Facility.StandardPart="Part 2"),"Complete",IF(I.Product.P1GasToPowerStatus&lt;&gt;"Yes","Complete",IF(AND(I.Gas.P1Y2Count&gt;=30,F26109=""),"Incomplete","Complete")))</f>
        <v>Complete</v>
      </c>
      <c r="I26109" s="48" t="s">
        <v>1288</v>
      </c>
    </row>
    <row r="26110" spans="2:9" ht="15" customHeight="1" x14ac:dyDescent="0.25">
      <c r="B26110" s="55" t="s">
        <v>369</v>
      </c>
      <c r="C26110" s="46">
        <v>31</v>
      </c>
      <c r="D26110" s="69" t="s">
        <v>29506</v>
      </c>
      <c r="E26110" s="62"/>
      <c r="F26110" s="62" t="str">
        <f>IF(INDEX(I.Gas.P1Y2C1E3,31)="","",INDEX(I.Gas.P1Y2C1E3,31))</f>
        <v/>
      </c>
      <c r="G26110" s="62"/>
      <c r="H26110" s="46" t="str">
        <f>IF(OR(I.Developer.P1=FALSE,I.Facility.StandardPart="Part 2"),"Complete",IF(I.Product.P1GasToPowerStatus&lt;&gt;"Yes","Complete",IF(AND(I.Gas.P1Y2Count&gt;=31,F26110=""),"Incomplete","Complete")))</f>
        <v>Complete</v>
      </c>
      <c r="I26110" s="48" t="s">
        <v>1289</v>
      </c>
    </row>
    <row r="26111" spans="2:9" ht="15" customHeight="1" x14ac:dyDescent="0.25">
      <c r="B26111" s="55" t="s">
        <v>369</v>
      </c>
      <c r="C26111" s="46">
        <v>32</v>
      </c>
      <c r="D26111" s="69" t="s">
        <v>29506</v>
      </c>
      <c r="E26111" s="62"/>
      <c r="F26111" s="62" t="str">
        <f>IF(INDEX(I.Gas.P1Y2C1E3,32)="","",INDEX(I.Gas.P1Y2C1E3,32))</f>
        <v/>
      </c>
      <c r="G26111" s="62"/>
      <c r="H26111" s="46" t="str">
        <f>IF(OR(I.Developer.P1=FALSE,I.Facility.StandardPart="Part 2"),"Complete",IF(I.Product.P1GasToPowerStatus&lt;&gt;"Yes","Complete",IF(AND(I.Gas.P1Y2Count&gt;=32,F26111=""),"Incomplete","Complete")))</f>
        <v>Complete</v>
      </c>
      <c r="I26111" s="48" t="s">
        <v>1290</v>
      </c>
    </row>
    <row r="26112" spans="2:9" ht="15" customHeight="1" x14ac:dyDescent="0.25">
      <c r="B26112" s="55" t="s">
        <v>369</v>
      </c>
      <c r="C26112" s="46">
        <v>33</v>
      </c>
      <c r="D26112" s="69" t="s">
        <v>29506</v>
      </c>
      <c r="E26112" s="62"/>
      <c r="F26112" s="62" t="str">
        <f>IF(INDEX(I.Gas.P1Y2C1E3,33)="","",INDEX(I.Gas.P1Y2C1E3,33))</f>
        <v/>
      </c>
      <c r="G26112" s="62"/>
      <c r="H26112" s="46" t="str">
        <f>IF(OR(I.Developer.P1=FALSE,I.Facility.StandardPart="Part 2"),"Complete",IF(I.Product.P1GasToPowerStatus&lt;&gt;"Yes","Complete",IF(AND(I.Gas.P1Y2Count&gt;=33,F26112=""),"Incomplete","Complete")))</f>
        <v>Complete</v>
      </c>
      <c r="I26112" s="48" t="s">
        <v>1291</v>
      </c>
    </row>
    <row r="26113" spans="2:9" ht="15" customHeight="1" x14ac:dyDescent="0.25">
      <c r="B26113" s="55" t="s">
        <v>369</v>
      </c>
      <c r="C26113" s="46">
        <v>34</v>
      </c>
      <c r="D26113" s="69" t="s">
        <v>29506</v>
      </c>
      <c r="E26113" s="62"/>
      <c r="F26113" s="62" t="str">
        <f>IF(INDEX(I.Gas.P1Y2C1E3,34)="","",INDEX(I.Gas.P1Y2C1E3,34))</f>
        <v/>
      </c>
      <c r="G26113" s="62"/>
      <c r="H26113" s="46" t="str">
        <f>IF(OR(I.Developer.P1=FALSE,I.Facility.StandardPart="Part 2"),"Complete",IF(I.Product.P1GasToPowerStatus&lt;&gt;"Yes","Complete",IF(AND(I.Gas.P1Y2Count&gt;=34,F26113=""),"Incomplete","Complete")))</f>
        <v>Complete</v>
      </c>
      <c r="I26113" s="48" t="s">
        <v>1292</v>
      </c>
    </row>
    <row r="26114" spans="2:9" ht="15" customHeight="1" x14ac:dyDescent="0.25">
      <c r="B26114" s="55" t="s">
        <v>369</v>
      </c>
      <c r="C26114" s="46">
        <v>35</v>
      </c>
      <c r="D26114" s="69" t="s">
        <v>29506</v>
      </c>
      <c r="E26114" s="62"/>
      <c r="F26114" s="62" t="str">
        <f>IF(INDEX(I.Gas.P1Y2C1E3,35)="","",INDEX(I.Gas.P1Y2C1E3,35))</f>
        <v/>
      </c>
      <c r="G26114" s="62"/>
      <c r="H26114" s="46" t="str">
        <f>IF(OR(I.Developer.P1=FALSE,I.Facility.StandardPart="Part 2"),"Complete",IF(I.Product.P1GasToPowerStatus&lt;&gt;"Yes","Complete",IF(AND(I.Gas.P1Y2Count&gt;=35,F26114=""),"Incomplete","Complete")))</f>
        <v>Complete</v>
      </c>
      <c r="I26114" s="48" t="s">
        <v>1293</v>
      </c>
    </row>
    <row r="26115" spans="2:9" ht="15" customHeight="1" x14ac:dyDescent="0.25">
      <c r="B26115" s="55" t="s">
        <v>369</v>
      </c>
      <c r="C26115" s="46">
        <v>36</v>
      </c>
      <c r="D26115" s="69" t="s">
        <v>29506</v>
      </c>
      <c r="E26115" s="62"/>
      <c r="F26115" s="62" t="str">
        <f>IF(INDEX(I.Gas.P1Y2C1E3,36)="","",INDEX(I.Gas.P1Y2C1E3,36))</f>
        <v/>
      </c>
      <c r="G26115" s="62"/>
      <c r="H26115" s="46" t="str">
        <f>IF(OR(I.Developer.P1=FALSE,I.Facility.StandardPart="Part 2"),"Complete",IF(I.Product.P1GasToPowerStatus&lt;&gt;"Yes","Complete",IF(AND(I.Gas.P1Y2Count&gt;=36,F26115=""),"Incomplete","Complete")))</f>
        <v>Complete</v>
      </c>
      <c r="I26115" s="48" t="s">
        <v>1294</v>
      </c>
    </row>
    <row r="26116" spans="2:9" ht="15" customHeight="1" x14ac:dyDescent="0.25">
      <c r="B26116" s="55" t="s">
        <v>369</v>
      </c>
      <c r="C26116" s="46">
        <v>37</v>
      </c>
      <c r="D26116" s="69" t="s">
        <v>29506</v>
      </c>
      <c r="E26116" s="62"/>
      <c r="F26116" s="62" t="str">
        <f>IF(INDEX(I.Gas.P1Y2C1E3,37)="","",INDEX(I.Gas.P1Y2C1E3,37))</f>
        <v/>
      </c>
      <c r="G26116" s="62"/>
      <c r="H26116" s="46" t="str">
        <f>IF(OR(I.Developer.P1=FALSE,I.Facility.StandardPart="Part 2"),"Complete",IF(I.Product.P1GasToPowerStatus&lt;&gt;"Yes","Complete",IF(AND(I.Gas.P1Y2Count&gt;=37,F26116=""),"Incomplete","Complete")))</f>
        <v>Complete</v>
      </c>
      <c r="I26116" s="48" t="s">
        <v>1295</v>
      </c>
    </row>
    <row r="26117" spans="2:9" ht="15" customHeight="1" x14ac:dyDescent="0.25">
      <c r="B26117" s="55" t="s">
        <v>369</v>
      </c>
      <c r="C26117" s="46">
        <v>38</v>
      </c>
      <c r="D26117" s="69" t="s">
        <v>29506</v>
      </c>
      <c r="E26117" s="62"/>
      <c r="F26117" s="62" t="str">
        <f>IF(INDEX(I.Gas.P1Y2C1E3,38)="","",INDEX(I.Gas.P1Y2C1E3,38))</f>
        <v/>
      </c>
      <c r="G26117" s="62"/>
      <c r="H26117" s="46" t="str">
        <f>IF(OR(I.Developer.P1=FALSE,I.Facility.StandardPart="Part 2"),"Complete",IF(I.Product.P1GasToPowerStatus&lt;&gt;"Yes","Complete",IF(AND(I.Gas.P1Y2Count&gt;=38,F26117=""),"Incomplete","Complete")))</f>
        <v>Complete</v>
      </c>
      <c r="I26117" s="48" t="s">
        <v>1296</v>
      </c>
    </row>
    <row r="26118" spans="2:9" ht="15" customHeight="1" x14ac:dyDescent="0.25">
      <c r="B26118" s="55" t="s">
        <v>369</v>
      </c>
      <c r="C26118" s="46">
        <v>39</v>
      </c>
      <c r="D26118" s="69" t="s">
        <v>29506</v>
      </c>
      <c r="E26118" s="62"/>
      <c r="F26118" s="62" t="str">
        <f>IF(INDEX(I.Gas.P1Y2C1E3,39)="","",INDEX(I.Gas.P1Y2C1E3,39))</f>
        <v/>
      </c>
      <c r="G26118" s="62"/>
      <c r="H26118" s="46" t="str">
        <f>IF(OR(I.Developer.P1=FALSE,I.Facility.StandardPart="Part 2"),"Complete",IF(I.Product.P1GasToPowerStatus&lt;&gt;"Yes","Complete",IF(AND(I.Gas.P1Y2Count&gt;=39,F26118=""),"Incomplete","Complete")))</f>
        <v>Complete</v>
      </c>
      <c r="I26118" s="48" t="s">
        <v>1297</v>
      </c>
    </row>
    <row r="26119" spans="2:9" ht="15" customHeight="1" x14ac:dyDescent="0.25">
      <c r="B26119" s="55" t="s">
        <v>369</v>
      </c>
      <c r="C26119" s="46">
        <v>40</v>
      </c>
      <c r="D26119" s="69" t="s">
        <v>29506</v>
      </c>
      <c r="E26119" s="62"/>
      <c r="F26119" s="62" t="str">
        <f>IF(INDEX(I.Gas.P1Y2C1E3,40)="","",INDEX(I.Gas.P1Y2C1E3,40))</f>
        <v/>
      </c>
      <c r="G26119" s="62"/>
      <c r="H26119" s="46" t="str">
        <f>IF(OR(I.Developer.P1=FALSE,I.Facility.StandardPart="Part 2"),"Complete",IF(I.Product.P1GasToPowerStatus&lt;&gt;"Yes","Complete",IF(AND(I.Gas.P1Y2Count&gt;=40,F26119=""),"Incomplete","Complete")))</f>
        <v>Complete</v>
      </c>
      <c r="I26119" s="48" t="s">
        <v>1298</v>
      </c>
    </row>
    <row r="26120" spans="2:9" ht="15" customHeight="1" x14ac:dyDescent="0.25">
      <c r="B26120" s="55" t="s">
        <v>369</v>
      </c>
      <c r="C26120" s="46">
        <v>41</v>
      </c>
      <c r="D26120" s="69" t="s">
        <v>29506</v>
      </c>
      <c r="E26120" s="62"/>
      <c r="F26120" s="62" t="str">
        <f>IF(INDEX(I.Gas.P1Y2C1E3,41)="","",INDEX(I.Gas.P1Y2C1E3,41))</f>
        <v/>
      </c>
      <c r="G26120" s="62"/>
      <c r="H26120" s="46" t="str">
        <f>IF(OR(I.Developer.P1=FALSE,I.Facility.StandardPart="Part 2"),"Complete",IF(I.Product.P1GasToPowerStatus&lt;&gt;"Yes","Complete",IF(AND(I.Gas.P1Y2Count&gt;=41,F26120=""),"Incomplete","Complete")))</f>
        <v>Complete</v>
      </c>
      <c r="I26120" s="48" t="s">
        <v>1299</v>
      </c>
    </row>
    <row r="26121" spans="2:9" ht="15" customHeight="1" x14ac:dyDescent="0.25">
      <c r="B26121" s="55" t="s">
        <v>369</v>
      </c>
      <c r="C26121" s="46">
        <v>42</v>
      </c>
      <c r="D26121" s="69" t="s">
        <v>29506</v>
      </c>
      <c r="E26121" s="62"/>
      <c r="F26121" s="62" t="str">
        <f>IF(INDEX(I.Gas.P1Y2C1E3,42)="","",INDEX(I.Gas.P1Y2C1E3,42))</f>
        <v/>
      </c>
      <c r="G26121" s="62"/>
      <c r="H26121" s="46" t="str">
        <f>IF(OR(I.Developer.P1=FALSE,I.Facility.StandardPart="Part 2"),"Complete",IF(I.Product.P1GasToPowerStatus&lt;&gt;"Yes","Complete",IF(AND(I.Gas.P1Y2Count&gt;=42,F26121=""),"Incomplete","Complete")))</f>
        <v>Complete</v>
      </c>
      <c r="I26121" s="48" t="s">
        <v>1300</v>
      </c>
    </row>
    <row r="26122" spans="2:9" ht="15" customHeight="1" x14ac:dyDescent="0.25">
      <c r="B26122" s="55" t="s">
        <v>369</v>
      </c>
      <c r="C26122" s="46">
        <v>43</v>
      </c>
      <c r="D26122" s="69" t="s">
        <v>29506</v>
      </c>
      <c r="E26122" s="62"/>
      <c r="F26122" s="62" t="str">
        <f>IF(INDEX(I.Gas.P1Y2C1E3,43)="","",INDEX(I.Gas.P1Y2C1E3,43))</f>
        <v/>
      </c>
      <c r="G26122" s="62"/>
      <c r="H26122" s="46" t="str">
        <f>IF(OR(I.Developer.P1=FALSE,I.Facility.StandardPart="Part 2"),"Complete",IF(I.Product.P1GasToPowerStatus&lt;&gt;"Yes","Complete",IF(AND(I.Gas.P1Y2Count&gt;=43,F26122=""),"Incomplete","Complete")))</f>
        <v>Complete</v>
      </c>
      <c r="I26122" s="48" t="s">
        <v>1301</v>
      </c>
    </row>
    <row r="26123" spans="2:9" ht="15" customHeight="1" x14ac:dyDescent="0.25">
      <c r="B26123" s="55" t="s">
        <v>369</v>
      </c>
      <c r="C26123" s="46">
        <v>44</v>
      </c>
      <c r="D26123" s="69" t="s">
        <v>29506</v>
      </c>
      <c r="E26123" s="62"/>
      <c r="F26123" s="62" t="str">
        <f>IF(INDEX(I.Gas.P1Y2C1E3,44)="","",INDEX(I.Gas.P1Y2C1E3,44))</f>
        <v/>
      </c>
      <c r="G26123" s="62"/>
      <c r="H26123" s="46" t="str">
        <f>IF(OR(I.Developer.P1=FALSE,I.Facility.StandardPart="Part 2"),"Complete",IF(I.Product.P1GasToPowerStatus&lt;&gt;"Yes","Complete",IF(AND(I.Gas.P1Y2Count&gt;=44,F26123=""),"Incomplete","Complete")))</f>
        <v>Complete</v>
      </c>
      <c r="I26123" s="48" t="s">
        <v>1302</v>
      </c>
    </row>
    <row r="26124" spans="2:9" ht="15" customHeight="1" x14ac:dyDescent="0.25">
      <c r="B26124" s="55" t="s">
        <v>369</v>
      </c>
      <c r="C26124" s="46">
        <v>45</v>
      </c>
      <c r="D26124" s="69" t="s">
        <v>29506</v>
      </c>
      <c r="E26124" s="62"/>
      <c r="F26124" s="62" t="str">
        <f>IF(INDEX(I.Gas.P1Y2C1E3,45)="","",INDEX(I.Gas.P1Y2C1E3,45))</f>
        <v/>
      </c>
      <c r="G26124" s="62"/>
      <c r="H26124" s="46" t="str">
        <f>IF(OR(I.Developer.P1=FALSE,I.Facility.StandardPart="Part 2"),"Complete",IF(I.Product.P1GasToPowerStatus&lt;&gt;"Yes","Complete",IF(AND(I.Gas.P1Y2Count&gt;=45,F26124=""),"Incomplete","Complete")))</f>
        <v>Complete</v>
      </c>
      <c r="I26124" s="48" t="s">
        <v>1303</v>
      </c>
    </row>
    <row r="26125" spans="2:9" ht="15" customHeight="1" x14ac:dyDescent="0.25">
      <c r="B26125" s="55" t="s">
        <v>369</v>
      </c>
      <c r="C26125" s="46">
        <v>46</v>
      </c>
      <c r="D26125" s="69" t="s">
        <v>29506</v>
      </c>
      <c r="E26125" s="62"/>
      <c r="F26125" s="62" t="str">
        <f>IF(INDEX(I.Gas.P1Y2C1E3,46)="","",INDEX(I.Gas.P1Y2C1E3,46))</f>
        <v/>
      </c>
      <c r="G26125" s="62"/>
      <c r="H26125" s="46" t="str">
        <f>IF(OR(I.Developer.P1=FALSE,I.Facility.StandardPart="Part 2"),"Complete",IF(I.Product.P1GasToPowerStatus&lt;&gt;"Yes","Complete",IF(AND(I.Gas.P1Y2Count&gt;=46,F26125=""),"Incomplete","Complete")))</f>
        <v>Complete</v>
      </c>
      <c r="I26125" s="48" t="s">
        <v>1304</v>
      </c>
    </row>
    <row r="26126" spans="2:9" ht="15" customHeight="1" x14ac:dyDescent="0.25">
      <c r="B26126" s="55" t="s">
        <v>369</v>
      </c>
      <c r="C26126" s="46">
        <v>47</v>
      </c>
      <c r="D26126" s="69" t="s">
        <v>29506</v>
      </c>
      <c r="E26126" s="62"/>
      <c r="F26126" s="62" t="str">
        <f>IF(INDEX(I.Gas.P1Y2C1E3,47)="","",INDEX(I.Gas.P1Y2C1E3,47))</f>
        <v/>
      </c>
      <c r="G26126" s="62"/>
      <c r="H26126" s="46" t="str">
        <f>IF(OR(I.Developer.P1=FALSE,I.Facility.StandardPart="Part 2"),"Complete",IF(I.Product.P1GasToPowerStatus&lt;&gt;"Yes","Complete",IF(AND(I.Gas.P1Y2Count&gt;=47,F26126=""),"Incomplete","Complete")))</f>
        <v>Complete</v>
      </c>
      <c r="I26126" s="48" t="s">
        <v>1305</v>
      </c>
    </row>
    <row r="26127" spans="2:9" ht="15" customHeight="1" x14ac:dyDescent="0.25">
      <c r="B26127" s="55" t="s">
        <v>369</v>
      </c>
      <c r="C26127" s="46">
        <v>48</v>
      </c>
      <c r="D26127" s="69" t="s">
        <v>29506</v>
      </c>
      <c r="E26127" s="62"/>
      <c r="F26127" s="62" t="str">
        <f>IF(INDEX(I.Gas.P1Y2C1E3,48)="","",INDEX(I.Gas.P1Y2C1E3,48))</f>
        <v/>
      </c>
      <c r="G26127" s="62"/>
      <c r="H26127" s="46" t="str">
        <f>IF(OR(I.Developer.P1=FALSE,I.Facility.StandardPart="Part 2"),"Complete",IF(I.Product.P1GasToPowerStatus&lt;&gt;"Yes","Complete",IF(AND(I.Gas.P1Y2Count&gt;=48,F26127=""),"Incomplete","Complete")))</f>
        <v>Complete</v>
      </c>
      <c r="I26127" s="48" t="s">
        <v>1306</v>
      </c>
    </row>
    <row r="26128" spans="2:9" ht="15" customHeight="1" x14ac:dyDescent="0.25">
      <c r="B26128" s="55" t="s">
        <v>369</v>
      </c>
      <c r="C26128" s="46">
        <v>49</v>
      </c>
      <c r="D26128" s="69" t="s">
        <v>29506</v>
      </c>
      <c r="E26128" s="62"/>
      <c r="F26128" s="62" t="str">
        <f>IF(INDEX(I.Gas.P1Y2C1E3,49)="","",INDEX(I.Gas.P1Y2C1E3,49))</f>
        <v/>
      </c>
      <c r="G26128" s="62"/>
      <c r="H26128" s="46" t="str">
        <f>IF(OR(I.Developer.P1=FALSE,I.Facility.StandardPart="Part 2"),"Complete",IF(I.Product.P1GasToPowerStatus&lt;&gt;"Yes","Complete",IF(AND(I.Gas.P1Y2Count&gt;=49,F26128=""),"Incomplete","Complete")))</f>
        <v>Complete</v>
      </c>
      <c r="I26128" s="48" t="s">
        <v>1307</v>
      </c>
    </row>
    <row r="26129" spans="2:9" ht="15" customHeight="1" x14ac:dyDescent="0.25">
      <c r="B26129" s="56" t="s">
        <v>369</v>
      </c>
      <c r="C26129" s="57">
        <v>50</v>
      </c>
      <c r="D26129" s="71" t="s">
        <v>29506</v>
      </c>
      <c r="E26129" s="61"/>
      <c r="F26129" s="61" t="str">
        <f>IF(INDEX(I.Gas.P1Y2C1E3,50)="","",INDEX(I.Gas.P1Y2C1E3,50))</f>
        <v/>
      </c>
      <c r="G26129" s="61"/>
      <c r="H26129" s="57" t="str">
        <f>IF(OR(I.Developer.P1=FALSE,I.Facility.StandardPart="Part 2"),"Complete",IF(I.Product.P1GasToPowerStatus&lt;&gt;"Yes","Complete",IF(AND(I.Gas.P1Y2Count&gt;=50,F26129=""),"Incomplete","Complete")))</f>
        <v>Complete</v>
      </c>
      <c r="I26129" s="49" t="s">
        <v>1308</v>
      </c>
    </row>
    <row r="26130" spans="2:9" ht="15" customHeight="1" x14ac:dyDescent="0.25">
      <c r="B26130" s="56" t="s">
        <v>370</v>
      </c>
      <c r="C26130" s="57">
        <v>1</v>
      </c>
      <c r="D26130" s="71" t="s">
        <v>29507</v>
      </c>
      <c r="E26130" s="60"/>
      <c r="F26130" s="60" t="str">
        <f>IF(INDEX(I.Gas.P2aY1Count,1)="","",INDEX(I.Gas.P2aY1Count,1))</f>
        <v/>
      </c>
      <c r="G26130" s="60"/>
      <c r="H26130" s="57" t="str">
        <f>IF(I.Developer.P2a=FALSE,"Complete",IF(I.Product.P2aGasToPowerStatus&lt;&gt;"Yes","Complete",IF(I.Gas.P2aY1Count="","Incomplete","Complete")))</f>
        <v>Complete</v>
      </c>
      <c r="I26130" s="49" t="s">
        <v>1309</v>
      </c>
    </row>
    <row r="26131" spans="2:9" ht="15" customHeight="1" x14ac:dyDescent="0.25">
      <c r="B26131" s="55" t="s">
        <v>371</v>
      </c>
      <c r="C26131" s="46">
        <v>1</v>
      </c>
      <c r="D26131" s="69" t="s">
        <v>29508</v>
      </c>
      <c r="E26131" s="62"/>
      <c r="F26131" s="62" t="str">
        <f>IF(INDEX(I.Gas.P2aY1AssociatedGasEnergy,1)="","",INDEX(I.Gas.P2aY1AssociatedGasEnergy,1))</f>
        <v/>
      </c>
      <c r="G26131" s="62"/>
      <c r="H26131" s="46" t="str">
        <f>IF(I.Developer.P2a=FALSE,"Complete",IF(I.Product.P2aGasToPowerStatus&lt;&gt;"Yes","Complete",IF(AND(I.Gas.P2aY1Count&gt;=1,F26131=""),"Incomplete","Complete")))</f>
        <v>Complete</v>
      </c>
      <c r="I26131" s="48" t="s">
        <v>1310</v>
      </c>
    </row>
    <row r="26132" spans="2:9" ht="15" customHeight="1" x14ac:dyDescent="0.25">
      <c r="B26132" s="55" t="s">
        <v>371</v>
      </c>
      <c r="C26132" s="46">
        <v>2</v>
      </c>
      <c r="D26132" s="69" t="s">
        <v>29508</v>
      </c>
      <c r="E26132" s="62"/>
      <c r="F26132" s="62" t="str">
        <f>IF(INDEX(I.Gas.P2aY1AssociatedGasEnergy,2)="","",INDEX(I.Gas.P2aY1AssociatedGasEnergy,2))</f>
        <v/>
      </c>
      <c r="G26132" s="62"/>
      <c r="H26132" s="46" t="str">
        <f>IF(I.Developer.P2a=FALSE,"Complete",IF(I.Product.P2aGasToPowerStatus&lt;&gt;"Yes","Complete",IF(AND(I.Gas.P2aY1Count&gt;=2,F26132=""),"Incomplete","Complete")))</f>
        <v>Complete</v>
      </c>
      <c r="I26132" s="48" t="s">
        <v>1311</v>
      </c>
    </row>
    <row r="26133" spans="2:9" ht="15" customHeight="1" x14ac:dyDescent="0.25">
      <c r="B26133" s="55" t="s">
        <v>371</v>
      </c>
      <c r="C26133" s="46">
        <v>3</v>
      </c>
      <c r="D26133" s="69" t="s">
        <v>29508</v>
      </c>
      <c r="E26133" s="62"/>
      <c r="F26133" s="62" t="str">
        <f>IF(INDEX(I.Gas.P2aY1AssociatedGasEnergy,3)="","",INDEX(I.Gas.P2aY1AssociatedGasEnergy,3))</f>
        <v/>
      </c>
      <c r="G26133" s="62"/>
      <c r="H26133" s="46" t="str">
        <f>IF(I.Developer.P2a=FALSE,"Complete",IF(I.Product.P2aGasToPowerStatus&lt;&gt;"Yes","Complete",IF(AND(I.Gas.P2aY1Count&gt;=3,F26133=""),"Incomplete","Complete")))</f>
        <v>Complete</v>
      </c>
      <c r="I26133" s="48" t="s">
        <v>1312</v>
      </c>
    </row>
    <row r="26134" spans="2:9" ht="15" customHeight="1" x14ac:dyDescent="0.25">
      <c r="B26134" s="55" t="s">
        <v>371</v>
      </c>
      <c r="C26134" s="46">
        <v>4</v>
      </c>
      <c r="D26134" s="69" t="s">
        <v>29508</v>
      </c>
      <c r="E26134" s="62"/>
      <c r="F26134" s="62" t="str">
        <f>IF(INDEX(I.Gas.P2aY1AssociatedGasEnergy,4)="","",INDEX(I.Gas.P2aY1AssociatedGasEnergy,4))</f>
        <v/>
      </c>
      <c r="G26134" s="62"/>
      <c r="H26134" s="46" t="str">
        <f>IF(I.Developer.P2a=FALSE,"Complete",IF(I.Product.P2aGasToPowerStatus&lt;&gt;"Yes","Complete",IF(AND(I.Gas.P2aY1Count&gt;=4,F26134=""),"Incomplete","Complete")))</f>
        <v>Complete</v>
      </c>
      <c r="I26134" s="48" t="s">
        <v>1313</v>
      </c>
    </row>
    <row r="26135" spans="2:9" ht="15" customHeight="1" x14ac:dyDescent="0.25">
      <c r="B26135" s="55" t="s">
        <v>371</v>
      </c>
      <c r="C26135" s="46">
        <v>5</v>
      </c>
      <c r="D26135" s="69" t="s">
        <v>29508</v>
      </c>
      <c r="E26135" s="62"/>
      <c r="F26135" s="62" t="str">
        <f>IF(INDEX(I.Gas.P2aY1AssociatedGasEnergy,5)="","",INDEX(I.Gas.P2aY1AssociatedGasEnergy,5))</f>
        <v/>
      </c>
      <c r="G26135" s="62"/>
      <c r="H26135" s="46" t="str">
        <f>IF(I.Developer.P2a=FALSE,"Complete",IF(I.Product.P2aGasToPowerStatus&lt;&gt;"Yes","Complete",IF(AND(I.Gas.P2aY1Count&gt;=5,F26135=""),"Incomplete","Complete")))</f>
        <v>Complete</v>
      </c>
      <c r="I26135" s="48" t="s">
        <v>1314</v>
      </c>
    </row>
    <row r="26136" spans="2:9" ht="15" customHeight="1" x14ac:dyDescent="0.25">
      <c r="B26136" s="55" t="s">
        <v>371</v>
      </c>
      <c r="C26136" s="46">
        <v>6</v>
      </c>
      <c r="D26136" s="69" t="s">
        <v>29508</v>
      </c>
      <c r="E26136" s="62"/>
      <c r="F26136" s="62" t="str">
        <f>IF(INDEX(I.Gas.P2aY1AssociatedGasEnergy,6)="","",INDEX(I.Gas.P2aY1AssociatedGasEnergy,6))</f>
        <v/>
      </c>
      <c r="G26136" s="62"/>
      <c r="H26136" s="46" t="str">
        <f>IF(I.Developer.P2a=FALSE,"Complete",IF(I.Product.P2aGasToPowerStatus&lt;&gt;"Yes","Complete",IF(AND(I.Gas.P2aY1Count&gt;=6,F26136=""),"Incomplete","Complete")))</f>
        <v>Complete</v>
      </c>
      <c r="I26136" s="48" t="s">
        <v>1315</v>
      </c>
    </row>
    <row r="26137" spans="2:9" ht="15" customHeight="1" x14ac:dyDescent="0.25">
      <c r="B26137" s="55" t="s">
        <v>371</v>
      </c>
      <c r="C26137" s="46">
        <v>7</v>
      </c>
      <c r="D26137" s="69" t="s">
        <v>29508</v>
      </c>
      <c r="E26137" s="62"/>
      <c r="F26137" s="62" t="str">
        <f>IF(INDEX(I.Gas.P2aY1AssociatedGasEnergy,7)="","",INDEX(I.Gas.P2aY1AssociatedGasEnergy,7))</f>
        <v/>
      </c>
      <c r="G26137" s="62"/>
      <c r="H26137" s="46" t="str">
        <f>IF(I.Developer.P2a=FALSE,"Complete",IF(I.Product.P2aGasToPowerStatus&lt;&gt;"Yes","Complete",IF(AND(I.Gas.P2aY1Count&gt;=7,F26137=""),"Incomplete","Complete")))</f>
        <v>Complete</v>
      </c>
      <c r="I26137" s="48" t="s">
        <v>1316</v>
      </c>
    </row>
    <row r="26138" spans="2:9" ht="15" customHeight="1" x14ac:dyDescent="0.25">
      <c r="B26138" s="55" t="s">
        <v>371</v>
      </c>
      <c r="C26138" s="46">
        <v>8</v>
      </c>
      <c r="D26138" s="69" t="s">
        <v>29508</v>
      </c>
      <c r="E26138" s="62"/>
      <c r="F26138" s="62" t="str">
        <f>IF(INDEX(I.Gas.P2aY1AssociatedGasEnergy,8)="","",INDEX(I.Gas.P2aY1AssociatedGasEnergy,8))</f>
        <v/>
      </c>
      <c r="G26138" s="62"/>
      <c r="H26138" s="46" t="str">
        <f>IF(I.Developer.P2a=FALSE,"Complete",IF(I.Product.P2aGasToPowerStatus&lt;&gt;"Yes","Complete",IF(AND(I.Gas.P2aY1Count&gt;=8,F26138=""),"Incomplete","Complete")))</f>
        <v>Complete</v>
      </c>
      <c r="I26138" s="48" t="s">
        <v>1317</v>
      </c>
    </row>
    <row r="26139" spans="2:9" ht="15" customHeight="1" x14ac:dyDescent="0.25">
      <c r="B26139" s="55" t="s">
        <v>371</v>
      </c>
      <c r="C26139" s="46">
        <v>9</v>
      </c>
      <c r="D26139" s="69" t="s">
        <v>29508</v>
      </c>
      <c r="E26139" s="62"/>
      <c r="F26139" s="62" t="str">
        <f>IF(INDEX(I.Gas.P2aY1AssociatedGasEnergy,9)="","",INDEX(I.Gas.P2aY1AssociatedGasEnergy,9))</f>
        <v/>
      </c>
      <c r="G26139" s="62"/>
      <c r="H26139" s="46" t="str">
        <f>IF(I.Developer.P2a=FALSE,"Complete",IF(I.Product.P2aGasToPowerStatus&lt;&gt;"Yes","Complete",IF(AND(I.Gas.P2aY1Count&gt;=9,F26139=""),"Incomplete","Complete")))</f>
        <v>Complete</v>
      </c>
      <c r="I26139" s="48" t="s">
        <v>1318</v>
      </c>
    </row>
    <row r="26140" spans="2:9" ht="15" customHeight="1" x14ac:dyDescent="0.25">
      <c r="B26140" s="55" t="s">
        <v>371</v>
      </c>
      <c r="C26140" s="46">
        <v>10</v>
      </c>
      <c r="D26140" s="69" t="s">
        <v>29508</v>
      </c>
      <c r="E26140" s="62"/>
      <c r="F26140" s="62" t="str">
        <f>IF(INDEX(I.Gas.P2aY1AssociatedGasEnergy,10)="","",INDEX(I.Gas.P2aY1AssociatedGasEnergy,10))</f>
        <v/>
      </c>
      <c r="G26140" s="62"/>
      <c r="H26140" s="46" t="str">
        <f>IF(I.Developer.P2a=FALSE,"Complete",IF(I.Product.P2aGasToPowerStatus&lt;&gt;"Yes","Complete",IF(AND(I.Gas.P2aY1Count&gt;=10,F26140=""),"Incomplete","Complete")))</f>
        <v>Complete</v>
      </c>
      <c r="I26140" s="48" t="s">
        <v>1319</v>
      </c>
    </row>
    <row r="26141" spans="2:9" ht="15" customHeight="1" x14ac:dyDescent="0.25">
      <c r="B26141" s="55" t="s">
        <v>371</v>
      </c>
      <c r="C26141" s="46">
        <v>11</v>
      </c>
      <c r="D26141" s="69" t="s">
        <v>29508</v>
      </c>
      <c r="E26141" s="62"/>
      <c r="F26141" s="62" t="str">
        <f>IF(INDEX(I.Gas.P2aY1AssociatedGasEnergy,11)="","",INDEX(I.Gas.P2aY1AssociatedGasEnergy,11))</f>
        <v/>
      </c>
      <c r="G26141" s="62"/>
      <c r="H26141" s="46" t="str">
        <f>IF(I.Developer.P2a=FALSE,"Complete",IF(I.Product.P2aGasToPowerStatus&lt;&gt;"Yes","Complete",IF(AND(I.Gas.P2aY1Count&gt;=11,F26141=""),"Incomplete","Complete")))</f>
        <v>Complete</v>
      </c>
      <c r="I26141" s="48" t="s">
        <v>1320</v>
      </c>
    </row>
    <row r="26142" spans="2:9" ht="15" customHeight="1" x14ac:dyDescent="0.25">
      <c r="B26142" s="55" t="s">
        <v>371</v>
      </c>
      <c r="C26142" s="46">
        <v>12</v>
      </c>
      <c r="D26142" s="69" t="s">
        <v>29508</v>
      </c>
      <c r="E26142" s="62"/>
      <c r="F26142" s="62" t="str">
        <f>IF(INDEX(I.Gas.P2aY1AssociatedGasEnergy,12)="","",INDEX(I.Gas.P2aY1AssociatedGasEnergy,12))</f>
        <v/>
      </c>
      <c r="G26142" s="62"/>
      <c r="H26142" s="46" t="str">
        <f>IF(I.Developer.P2a=FALSE,"Complete",IF(I.Product.P2aGasToPowerStatus&lt;&gt;"Yes","Complete",IF(AND(I.Gas.P2aY1Count&gt;=12,F26142=""),"Incomplete","Complete")))</f>
        <v>Complete</v>
      </c>
      <c r="I26142" s="48" t="s">
        <v>1321</v>
      </c>
    </row>
    <row r="26143" spans="2:9" ht="15" customHeight="1" x14ac:dyDescent="0.25">
      <c r="B26143" s="55" t="s">
        <v>371</v>
      </c>
      <c r="C26143" s="46">
        <v>13</v>
      </c>
      <c r="D26143" s="69" t="s">
        <v>29508</v>
      </c>
      <c r="E26143" s="62"/>
      <c r="F26143" s="62" t="str">
        <f>IF(INDEX(I.Gas.P2aY1AssociatedGasEnergy,13)="","",INDEX(I.Gas.P2aY1AssociatedGasEnergy,13))</f>
        <v/>
      </c>
      <c r="G26143" s="62"/>
      <c r="H26143" s="46" t="str">
        <f>IF(I.Developer.P2a=FALSE,"Complete",IF(I.Product.P2aGasToPowerStatus&lt;&gt;"Yes","Complete",IF(AND(I.Gas.P2aY1Count&gt;=13,F26143=""),"Incomplete","Complete")))</f>
        <v>Complete</v>
      </c>
      <c r="I26143" s="48" t="s">
        <v>1322</v>
      </c>
    </row>
    <row r="26144" spans="2:9" ht="15" customHeight="1" x14ac:dyDescent="0.25">
      <c r="B26144" s="55" t="s">
        <v>371</v>
      </c>
      <c r="C26144" s="46">
        <v>14</v>
      </c>
      <c r="D26144" s="69" t="s">
        <v>29508</v>
      </c>
      <c r="E26144" s="62"/>
      <c r="F26144" s="62" t="str">
        <f>IF(INDEX(I.Gas.P2aY1AssociatedGasEnergy,14)="","",INDEX(I.Gas.P2aY1AssociatedGasEnergy,14))</f>
        <v/>
      </c>
      <c r="G26144" s="62"/>
      <c r="H26144" s="46" t="str">
        <f>IF(I.Developer.P2a=FALSE,"Complete",IF(I.Product.P2aGasToPowerStatus&lt;&gt;"Yes","Complete",IF(AND(I.Gas.P2aY1Count&gt;=14,F26144=""),"Incomplete","Complete")))</f>
        <v>Complete</v>
      </c>
      <c r="I26144" s="48" t="s">
        <v>1323</v>
      </c>
    </row>
    <row r="26145" spans="2:9" ht="15" customHeight="1" x14ac:dyDescent="0.25">
      <c r="B26145" s="55" t="s">
        <v>371</v>
      </c>
      <c r="C26145" s="46">
        <v>15</v>
      </c>
      <c r="D26145" s="69" t="s">
        <v>29508</v>
      </c>
      <c r="E26145" s="62"/>
      <c r="F26145" s="62" t="str">
        <f>IF(INDEX(I.Gas.P2aY1AssociatedGasEnergy,15)="","",INDEX(I.Gas.P2aY1AssociatedGasEnergy,15))</f>
        <v/>
      </c>
      <c r="G26145" s="62"/>
      <c r="H26145" s="46" t="str">
        <f>IF(I.Developer.P2a=FALSE,"Complete",IF(I.Product.P2aGasToPowerStatus&lt;&gt;"Yes","Complete",IF(AND(I.Gas.P2aY1Count&gt;=15,F26145=""),"Incomplete","Complete")))</f>
        <v>Complete</v>
      </c>
      <c r="I26145" s="48" t="s">
        <v>1324</v>
      </c>
    </row>
    <row r="26146" spans="2:9" ht="15" customHeight="1" x14ac:dyDescent="0.25">
      <c r="B26146" s="55" t="s">
        <v>371</v>
      </c>
      <c r="C26146" s="46">
        <v>16</v>
      </c>
      <c r="D26146" s="69" t="s">
        <v>29508</v>
      </c>
      <c r="E26146" s="62"/>
      <c r="F26146" s="62" t="str">
        <f>IF(INDEX(I.Gas.P2aY1AssociatedGasEnergy,16)="","",INDEX(I.Gas.P2aY1AssociatedGasEnergy,16))</f>
        <v/>
      </c>
      <c r="G26146" s="62"/>
      <c r="H26146" s="46" t="str">
        <f>IF(I.Developer.P2a=FALSE,"Complete",IF(I.Product.P2aGasToPowerStatus&lt;&gt;"Yes","Complete",IF(AND(I.Gas.P2aY1Count&gt;=16,F26146=""),"Incomplete","Complete")))</f>
        <v>Complete</v>
      </c>
      <c r="I26146" s="48" t="s">
        <v>1325</v>
      </c>
    </row>
    <row r="26147" spans="2:9" ht="15" customHeight="1" x14ac:dyDescent="0.25">
      <c r="B26147" s="55" t="s">
        <v>371</v>
      </c>
      <c r="C26147" s="46">
        <v>17</v>
      </c>
      <c r="D26147" s="69" t="s">
        <v>29508</v>
      </c>
      <c r="E26147" s="62"/>
      <c r="F26147" s="62" t="str">
        <f>IF(INDEX(I.Gas.P2aY1AssociatedGasEnergy,17)="","",INDEX(I.Gas.P2aY1AssociatedGasEnergy,17))</f>
        <v/>
      </c>
      <c r="G26147" s="62"/>
      <c r="H26147" s="46" t="str">
        <f>IF(I.Developer.P2a=FALSE,"Complete",IF(I.Product.P2aGasToPowerStatus&lt;&gt;"Yes","Complete",IF(AND(I.Gas.P2aY1Count&gt;=17,F26147=""),"Incomplete","Complete")))</f>
        <v>Complete</v>
      </c>
      <c r="I26147" s="48" t="s">
        <v>1326</v>
      </c>
    </row>
    <row r="26148" spans="2:9" ht="15" customHeight="1" x14ac:dyDescent="0.25">
      <c r="B26148" s="55" t="s">
        <v>371</v>
      </c>
      <c r="C26148" s="46">
        <v>18</v>
      </c>
      <c r="D26148" s="69" t="s">
        <v>29508</v>
      </c>
      <c r="E26148" s="62"/>
      <c r="F26148" s="62" t="str">
        <f>IF(INDEX(I.Gas.P2aY1AssociatedGasEnergy,18)="","",INDEX(I.Gas.P2aY1AssociatedGasEnergy,18))</f>
        <v/>
      </c>
      <c r="G26148" s="62"/>
      <c r="H26148" s="46" t="str">
        <f>IF(I.Developer.P2a=FALSE,"Complete",IF(I.Product.P2aGasToPowerStatus&lt;&gt;"Yes","Complete",IF(AND(I.Gas.P2aY1Count&gt;=18,F26148=""),"Incomplete","Complete")))</f>
        <v>Complete</v>
      </c>
      <c r="I26148" s="48" t="s">
        <v>1327</v>
      </c>
    </row>
    <row r="26149" spans="2:9" ht="15" customHeight="1" x14ac:dyDescent="0.25">
      <c r="B26149" s="55" t="s">
        <v>371</v>
      </c>
      <c r="C26149" s="46">
        <v>19</v>
      </c>
      <c r="D26149" s="69" t="s">
        <v>29508</v>
      </c>
      <c r="E26149" s="62"/>
      <c r="F26149" s="62" t="str">
        <f>IF(INDEX(I.Gas.P2aY1AssociatedGasEnergy,19)="","",INDEX(I.Gas.P2aY1AssociatedGasEnergy,19))</f>
        <v/>
      </c>
      <c r="G26149" s="62"/>
      <c r="H26149" s="46" t="str">
        <f>IF(I.Developer.P2a=FALSE,"Complete",IF(I.Product.P2aGasToPowerStatus&lt;&gt;"Yes","Complete",IF(AND(I.Gas.P2aY1Count&gt;=19,F26149=""),"Incomplete","Complete")))</f>
        <v>Complete</v>
      </c>
      <c r="I26149" s="48" t="s">
        <v>1328</v>
      </c>
    </row>
    <row r="26150" spans="2:9" ht="15" customHeight="1" x14ac:dyDescent="0.25">
      <c r="B26150" s="55" t="s">
        <v>371</v>
      </c>
      <c r="C26150" s="46">
        <v>20</v>
      </c>
      <c r="D26150" s="69" t="s">
        <v>29508</v>
      </c>
      <c r="E26150" s="62"/>
      <c r="F26150" s="62" t="str">
        <f>IF(INDEX(I.Gas.P2aY1AssociatedGasEnergy,20)="","",INDEX(I.Gas.P2aY1AssociatedGasEnergy,20))</f>
        <v/>
      </c>
      <c r="G26150" s="62"/>
      <c r="H26150" s="46" t="str">
        <f>IF(I.Developer.P2a=FALSE,"Complete",IF(I.Product.P2aGasToPowerStatus&lt;&gt;"Yes","Complete",IF(AND(I.Gas.P2aY1Count&gt;=20,F26150=""),"Incomplete","Complete")))</f>
        <v>Complete</v>
      </c>
      <c r="I26150" s="48" t="s">
        <v>1329</v>
      </c>
    </row>
    <row r="26151" spans="2:9" ht="15" customHeight="1" x14ac:dyDescent="0.25">
      <c r="B26151" s="55" t="s">
        <v>371</v>
      </c>
      <c r="C26151" s="46">
        <v>21</v>
      </c>
      <c r="D26151" s="69" t="s">
        <v>29508</v>
      </c>
      <c r="E26151" s="62"/>
      <c r="F26151" s="62" t="str">
        <f>IF(INDEX(I.Gas.P2aY1AssociatedGasEnergy,21)="","",INDEX(I.Gas.P2aY1AssociatedGasEnergy,21))</f>
        <v/>
      </c>
      <c r="G26151" s="62"/>
      <c r="H26151" s="46" t="str">
        <f>IF(I.Developer.P2a=FALSE,"Complete",IF(I.Product.P2aGasToPowerStatus&lt;&gt;"Yes","Complete",IF(AND(I.Gas.P2aY1Count&gt;=21,F26151=""),"Incomplete","Complete")))</f>
        <v>Complete</v>
      </c>
      <c r="I26151" s="48" t="s">
        <v>1330</v>
      </c>
    </row>
    <row r="26152" spans="2:9" ht="15" customHeight="1" x14ac:dyDescent="0.25">
      <c r="B26152" s="55" t="s">
        <v>371</v>
      </c>
      <c r="C26152" s="46">
        <v>22</v>
      </c>
      <c r="D26152" s="69" t="s">
        <v>29508</v>
      </c>
      <c r="E26152" s="62"/>
      <c r="F26152" s="62" t="str">
        <f>IF(INDEX(I.Gas.P2aY1AssociatedGasEnergy,22)="","",INDEX(I.Gas.P2aY1AssociatedGasEnergy,22))</f>
        <v/>
      </c>
      <c r="G26152" s="62"/>
      <c r="H26152" s="46" t="str">
        <f>IF(I.Developer.P2a=FALSE,"Complete",IF(I.Product.P2aGasToPowerStatus&lt;&gt;"Yes","Complete",IF(AND(I.Gas.P2aY1Count&gt;=22,F26152=""),"Incomplete","Complete")))</f>
        <v>Complete</v>
      </c>
      <c r="I26152" s="48" t="s">
        <v>1331</v>
      </c>
    </row>
    <row r="26153" spans="2:9" ht="15" customHeight="1" x14ac:dyDescent="0.25">
      <c r="B26153" s="55" t="s">
        <v>371</v>
      </c>
      <c r="C26153" s="46">
        <v>23</v>
      </c>
      <c r="D26153" s="69" t="s">
        <v>29508</v>
      </c>
      <c r="E26153" s="62"/>
      <c r="F26153" s="62" t="str">
        <f>IF(INDEX(I.Gas.P2aY1AssociatedGasEnergy,23)="","",INDEX(I.Gas.P2aY1AssociatedGasEnergy,23))</f>
        <v/>
      </c>
      <c r="G26153" s="62"/>
      <c r="H26153" s="46" t="str">
        <f>IF(I.Developer.P2a=FALSE,"Complete",IF(I.Product.P2aGasToPowerStatus&lt;&gt;"Yes","Complete",IF(AND(I.Gas.P2aY1Count&gt;=23,F26153=""),"Incomplete","Complete")))</f>
        <v>Complete</v>
      </c>
      <c r="I26153" s="48" t="s">
        <v>1332</v>
      </c>
    </row>
    <row r="26154" spans="2:9" ht="15" customHeight="1" x14ac:dyDescent="0.25">
      <c r="B26154" s="55" t="s">
        <v>371</v>
      </c>
      <c r="C26154" s="46">
        <v>24</v>
      </c>
      <c r="D26154" s="69" t="s">
        <v>29508</v>
      </c>
      <c r="E26154" s="62"/>
      <c r="F26154" s="62" t="str">
        <f>IF(INDEX(I.Gas.P2aY1AssociatedGasEnergy,24)="","",INDEX(I.Gas.P2aY1AssociatedGasEnergy,24))</f>
        <v/>
      </c>
      <c r="G26154" s="62"/>
      <c r="H26154" s="46" t="str">
        <f>IF(I.Developer.P2a=FALSE,"Complete",IF(I.Product.P2aGasToPowerStatus&lt;&gt;"Yes","Complete",IF(AND(I.Gas.P2aY1Count&gt;=24,F26154=""),"Incomplete","Complete")))</f>
        <v>Complete</v>
      </c>
      <c r="I26154" s="48" t="s">
        <v>1333</v>
      </c>
    </row>
    <row r="26155" spans="2:9" ht="15" customHeight="1" x14ac:dyDescent="0.25">
      <c r="B26155" s="55" t="s">
        <v>371</v>
      </c>
      <c r="C26155" s="46">
        <v>25</v>
      </c>
      <c r="D26155" s="69" t="s">
        <v>29508</v>
      </c>
      <c r="E26155" s="62"/>
      <c r="F26155" s="62" t="str">
        <f>IF(INDEX(I.Gas.P2aY1AssociatedGasEnergy,25)="","",INDEX(I.Gas.P2aY1AssociatedGasEnergy,25))</f>
        <v/>
      </c>
      <c r="G26155" s="62"/>
      <c r="H26155" s="46" t="str">
        <f>IF(I.Developer.P2a=FALSE,"Complete",IF(I.Product.P2aGasToPowerStatus&lt;&gt;"Yes","Complete",IF(AND(I.Gas.P2aY1Count&gt;=25,F26155=""),"Incomplete","Complete")))</f>
        <v>Complete</v>
      </c>
      <c r="I26155" s="48" t="s">
        <v>1334</v>
      </c>
    </row>
    <row r="26156" spans="2:9" ht="15" customHeight="1" x14ac:dyDescent="0.25">
      <c r="B26156" s="55" t="s">
        <v>371</v>
      </c>
      <c r="C26156" s="46">
        <v>26</v>
      </c>
      <c r="D26156" s="69" t="s">
        <v>29508</v>
      </c>
      <c r="E26156" s="62"/>
      <c r="F26156" s="62" t="str">
        <f>IF(INDEX(I.Gas.P2aY1AssociatedGasEnergy,26)="","",INDEX(I.Gas.P2aY1AssociatedGasEnergy,26))</f>
        <v/>
      </c>
      <c r="G26156" s="62"/>
      <c r="H26156" s="46" t="str">
        <f>IF(I.Developer.P2a=FALSE,"Complete",IF(I.Product.P2aGasToPowerStatus&lt;&gt;"Yes","Complete",IF(AND(I.Gas.P2aY1Count&gt;=26,F26156=""),"Incomplete","Complete")))</f>
        <v>Complete</v>
      </c>
      <c r="I26156" s="48" t="s">
        <v>1335</v>
      </c>
    </row>
    <row r="26157" spans="2:9" ht="15" customHeight="1" x14ac:dyDescent="0.25">
      <c r="B26157" s="55" t="s">
        <v>371</v>
      </c>
      <c r="C26157" s="46">
        <v>27</v>
      </c>
      <c r="D26157" s="69" t="s">
        <v>29508</v>
      </c>
      <c r="E26157" s="62"/>
      <c r="F26157" s="62" t="str">
        <f>IF(INDEX(I.Gas.P2aY1AssociatedGasEnergy,27)="","",INDEX(I.Gas.P2aY1AssociatedGasEnergy,27))</f>
        <v/>
      </c>
      <c r="G26157" s="62"/>
      <c r="H26157" s="46" t="str">
        <f>IF(I.Developer.P2a=FALSE,"Complete",IF(I.Product.P2aGasToPowerStatus&lt;&gt;"Yes","Complete",IF(AND(I.Gas.P2aY1Count&gt;=27,F26157=""),"Incomplete","Complete")))</f>
        <v>Complete</v>
      </c>
      <c r="I26157" s="48" t="s">
        <v>1336</v>
      </c>
    </row>
    <row r="26158" spans="2:9" ht="15" customHeight="1" x14ac:dyDescent="0.25">
      <c r="B26158" s="55" t="s">
        <v>371</v>
      </c>
      <c r="C26158" s="46">
        <v>28</v>
      </c>
      <c r="D26158" s="69" t="s">
        <v>29508</v>
      </c>
      <c r="E26158" s="62"/>
      <c r="F26158" s="62" t="str">
        <f>IF(INDEX(I.Gas.P2aY1AssociatedGasEnergy,28)="","",INDEX(I.Gas.P2aY1AssociatedGasEnergy,28))</f>
        <v/>
      </c>
      <c r="G26158" s="62"/>
      <c r="H26158" s="46" t="str">
        <f>IF(I.Developer.P2a=FALSE,"Complete",IF(I.Product.P2aGasToPowerStatus&lt;&gt;"Yes","Complete",IF(AND(I.Gas.P2aY1Count&gt;=28,F26158=""),"Incomplete","Complete")))</f>
        <v>Complete</v>
      </c>
      <c r="I26158" s="48" t="s">
        <v>1337</v>
      </c>
    </row>
    <row r="26159" spans="2:9" ht="15" customHeight="1" x14ac:dyDescent="0.25">
      <c r="B26159" s="55" t="s">
        <v>371</v>
      </c>
      <c r="C26159" s="46">
        <v>29</v>
      </c>
      <c r="D26159" s="69" t="s">
        <v>29508</v>
      </c>
      <c r="E26159" s="62"/>
      <c r="F26159" s="62" t="str">
        <f>IF(INDEX(I.Gas.P2aY1AssociatedGasEnergy,29)="","",INDEX(I.Gas.P2aY1AssociatedGasEnergy,29))</f>
        <v/>
      </c>
      <c r="G26159" s="62"/>
      <c r="H26159" s="46" t="str">
        <f>IF(I.Developer.P2a=FALSE,"Complete",IF(I.Product.P2aGasToPowerStatus&lt;&gt;"Yes","Complete",IF(AND(I.Gas.P2aY1Count&gt;=29,F26159=""),"Incomplete","Complete")))</f>
        <v>Complete</v>
      </c>
      <c r="I26159" s="48" t="s">
        <v>1338</v>
      </c>
    </row>
    <row r="26160" spans="2:9" ht="15" customHeight="1" x14ac:dyDescent="0.25">
      <c r="B26160" s="55" t="s">
        <v>371</v>
      </c>
      <c r="C26160" s="46">
        <v>30</v>
      </c>
      <c r="D26160" s="69" t="s">
        <v>29508</v>
      </c>
      <c r="E26160" s="62"/>
      <c r="F26160" s="62" t="str">
        <f>IF(INDEX(I.Gas.P2aY1AssociatedGasEnergy,30)="","",INDEX(I.Gas.P2aY1AssociatedGasEnergy,30))</f>
        <v/>
      </c>
      <c r="G26160" s="62"/>
      <c r="H26160" s="46" t="str">
        <f>IF(I.Developer.P2a=FALSE,"Complete",IF(I.Product.P2aGasToPowerStatus&lt;&gt;"Yes","Complete",IF(AND(I.Gas.P2aY1Count&gt;=30,F26160=""),"Incomplete","Complete")))</f>
        <v>Complete</v>
      </c>
      <c r="I26160" s="48" t="s">
        <v>1339</v>
      </c>
    </row>
    <row r="26161" spans="2:9" ht="15" customHeight="1" x14ac:dyDescent="0.25">
      <c r="B26161" s="55" t="s">
        <v>371</v>
      </c>
      <c r="C26161" s="46">
        <v>31</v>
      </c>
      <c r="D26161" s="69" t="s">
        <v>29508</v>
      </c>
      <c r="E26161" s="62"/>
      <c r="F26161" s="62" t="str">
        <f>IF(INDEX(I.Gas.P2aY1AssociatedGasEnergy,31)="","",INDEX(I.Gas.P2aY1AssociatedGasEnergy,31))</f>
        <v/>
      </c>
      <c r="G26161" s="62"/>
      <c r="H26161" s="46" t="str">
        <f>IF(I.Developer.P2a=FALSE,"Complete",IF(I.Product.P2aGasToPowerStatus&lt;&gt;"Yes","Complete",IF(AND(I.Gas.P2aY1Count&gt;=31,F26161=""),"Incomplete","Complete")))</f>
        <v>Complete</v>
      </c>
      <c r="I26161" s="48" t="s">
        <v>1340</v>
      </c>
    </row>
    <row r="26162" spans="2:9" ht="15" customHeight="1" x14ac:dyDescent="0.25">
      <c r="B26162" s="55" t="s">
        <v>371</v>
      </c>
      <c r="C26162" s="46">
        <v>32</v>
      </c>
      <c r="D26162" s="69" t="s">
        <v>29508</v>
      </c>
      <c r="E26162" s="62"/>
      <c r="F26162" s="62" t="str">
        <f>IF(INDEX(I.Gas.P2aY1AssociatedGasEnergy,32)="","",INDEX(I.Gas.P2aY1AssociatedGasEnergy,32))</f>
        <v/>
      </c>
      <c r="G26162" s="62"/>
      <c r="H26162" s="46" t="str">
        <f>IF(I.Developer.P2a=FALSE,"Complete",IF(I.Product.P2aGasToPowerStatus&lt;&gt;"Yes","Complete",IF(AND(I.Gas.P2aY1Count&gt;=32,F26162=""),"Incomplete","Complete")))</f>
        <v>Complete</v>
      </c>
      <c r="I26162" s="48" t="s">
        <v>1341</v>
      </c>
    </row>
    <row r="26163" spans="2:9" ht="15" customHeight="1" x14ac:dyDescent="0.25">
      <c r="B26163" s="55" t="s">
        <v>371</v>
      </c>
      <c r="C26163" s="46">
        <v>33</v>
      </c>
      <c r="D26163" s="69" t="s">
        <v>29508</v>
      </c>
      <c r="E26163" s="62"/>
      <c r="F26163" s="62" t="str">
        <f>IF(INDEX(I.Gas.P2aY1AssociatedGasEnergy,33)="","",INDEX(I.Gas.P2aY1AssociatedGasEnergy,33))</f>
        <v/>
      </c>
      <c r="G26163" s="62"/>
      <c r="H26163" s="46" t="str">
        <f>IF(I.Developer.P2a=FALSE,"Complete",IF(I.Product.P2aGasToPowerStatus&lt;&gt;"Yes","Complete",IF(AND(I.Gas.P2aY1Count&gt;=33,F26163=""),"Incomplete","Complete")))</f>
        <v>Complete</v>
      </c>
      <c r="I26163" s="48" t="s">
        <v>1342</v>
      </c>
    </row>
    <row r="26164" spans="2:9" ht="15" customHeight="1" x14ac:dyDescent="0.25">
      <c r="B26164" s="55" t="s">
        <v>371</v>
      </c>
      <c r="C26164" s="46">
        <v>34</v>
      </c>
      <c r="D26164" s="69" t="s">
        <v>29508</v>
      </c>
      <c r="E26164" s="62"/>
      <c r="F26164" s="62" t="str">
        <f>IF(INDEX(I.Gas.P2aY1AssociatedGasEnergy,34)="","",INDEX(I.Gas.P2aY1AssociatedGasEnergy,34))</f>
        <v/>
      </c>
      <c r="G26164" s="62"/>
      <c r="H26164" s="46" t="str">
        <f>IF(I.Developer.P2a=FALSE,"Complete",IF(I.Product.P2aGasToPowerStatus&lt;&gt;"Yes","Complete",IF(AND(I.Gas.P2aY1Count&gt;=34,F26164=""),"Incomplete","Complete")))</f>
        <v>Complete</v>
      </c>
      <c r="I26164" s="48" t="s">
        <v>1343</v>
      </c>
    </row>
    <row r="26165" spans="2:9" ht="15" customHeight="1" x14ac:dyDescent="0.25">
      <c r="B26165" s="55" t="s">
        <v>371</v>
      </c>
      <c r="C26165" s="46">
        <v>35</v>
      </c>
      <c r="D26165" s="69" t="s">
        <v>29508</v>
      </c>
      <c r="E26165" s="62"/>
      <c r="F26165" s="62" t="str">
        <f>IF(INDEX(I.Gas.P2aY1AssociatedGasEnergy,35)="","",INDEX(I.Gas.P2aY1AssociatedGasEnergy,35))</f>
        <v/>
      </c>
      <c r="G26165" s="62"/>
      <c r="H26165" s="46" t="str">
        <f>IF(I.Developer.P2a=FALSE,"Complete",IF(I.Product.P2aGasToPowerStatus&lt;&gt;"Yes","Complete",IF(AND(I.Gas.P2aY1Count&gt;=35,F26165=""),"Incomplete","Complete")))</f>
        <v>Complete</v>
      </c>
      <c r="I26165" s="48" t="s">
        <v>1344</v>
      </c>
    </row>
    <row r="26166" spans="2:9" ht="15" customHeight="1" x14ac:dyDescent="0.25">
      <c r="B26166" s="55" t="s">
        <v>371</v>
      </c>
      <c r="C26166" s="46">
        <v>36</v>
      </c>
      <c r="D26166" s="69" t="s">
        <v>29508</v>
      </c>
      <c r="E26166" s="62"/>
      <c r="F26166" s="62" t="str">
        <f>IF(INDEX(I.Gas.P2aY1AssociatedGasEnergy,36)="","",INDEX(I.Gas.P2aY1AssociatedGasEnergy,36))</f>
        <v/>
      </c>
      <c r="G26166" s="62"/>
      <c r="H26166" s="46" t="str">
        <f>IF(I.Developer.P2a=FALSE,"Complete",IF(I.Product.P2aGasToPowerStatus&lt;&gt;"Yes","Complete",IF(AND(I.Gas.P2aY1Count&gt;=36,F26166=""),"Incomplete","Complete")))</f>
        <v>Complete</v>
      </c>
      <c r="I26166" s="48" t="s">
        <v>1345</v>
      </c>
    </row>
    <row r="26167" spans="2:9" ht="15" customHeight="1" x14ac:dyDescent="0.25">
      <c r="B26167" s="55" t="s">
        <v>371</v>
      </c>
      <c r="C26167" s="46">
        <v>37</v>
      </c>
      <c r="D26167" s="69" t="s">
        <v>29508</v>
      </c>
      <c r="E26167" s="62"/>
      <c r="F26167" s="62" t="str">
        <f>IF(INDEX(I.Gas.P2aY1AssociatedGasEnergy,37)="","",INDEX(I.Gas.P2aY1AssociatedGasEnergy,37))</f>
        <v/>
      </c>
      <c r="G26167" s="62"/>
      <c r="H26167" s="46" t="str">
        <f>IF(I.Developer.P2a=FALSE,"Complete",IF(I.Product.P2aGasToPowerStatus&lt;&gt;"Yes","Complete",IF(AND(I.Gas.P2aY1Count&gt;=37,F26167=""),"Incomplete","Complete")))</f>
        <v>Complete</v>
      </c>
      <c r="I26167" s="48" t="s">
        <v>1346</v>
      </c>
    </row>
    <row r="26168" spans="2:9" ht="15" customHeight="1" x14ac:dyDescent="0.25">
      <c r="B26168" s="55" t="s">
        <v>371</v>
      </c>
      <c r="C26168" s="46">
        <v>38</v>
      </c>
      <c r="D26168" s="69" t="s">
        <v>29508</v>
      </c>
      <c r="E26168" s="62"/>
      <c r="F26168" s="62" t="str">
        <f>IF(INDEX(I.Gas.P2aY1AssociatedGasEnergy,38)="","",INDEX(I.Gas.P2aY1AssociatedGasEnergy,38))</f>
        <v/>
      </c>
      <c r="G26168" s="62"/>
      <c r="H26168" s="46" t="str">
        <f>IF(I.Developer.P2a=FALSE,"Complete",IF(I.Product.P2aGasToPowerStatus&lt;&gt;"Yes","Complete",IF(AND(I.Gas.P2aY1Count&gt;=38,F26168=""),"Incomplete","Complete")))</f>
        <v>Complete</v>
      </c>
      <c r="I26168" s="48" t="s">
        <v>1347</v>
      </c>
    </row>
    <row r="26169" spans="2:9" ht="15" customHeight="1" x14ac:dyDescent="0.25">
      <c r="B26169" s="55" t="s">
        <v>371</v>
      </c>
      <c r="C26169" s="46">
        <v>39</v>
      </c>
      <c r="D26169" s="69" t="s">
        <v>29508</v>
      </c>
      <c r="E26169" s="62"/>
      <c r="F26169" s="62" t="str">
        <f>IF(INDEX(I.Gas.P2aY1AssociatedGasEnergy,39)="","",INDEX(I.Gas.P2aY1AssociatedGasEnergy,39))</f>
        <v/>
      </c>
      <c r="G26169" s="62"/>
      <c r="H26169" s="46" t="str">
        <f>IF(I.Developer.P2a=FALSE,"Complete",IF(I.Product.P2aGasToPowerStatus&lt;&gt;"Yes","Complete",IF(AND(I.Gas.P2aY1Count&gt;=39,F26169=""),"Incomplete","Complete")))</f>
        <v>Complete</v>
      </c>
      <c r="I26169" s="48" t="s">
        <v>1348</v>
      </c>
    </row>
    <row r="26170" spans="2:9" ht="15" customHeight="1" x14ac:dyDescent="0.25">
      <c r="B26170" s="55" t="s">
        <v>371</v>
      </c>
      <c r="C26170" s="46">
        <v>40</v>
      </c>
      <c r="D26170" s="69" t="s">
        <v>29508</v>
      </c>
      <c r="E26170" s="62"/>
      <c r="F26170" s="62" t="str">
        <f>IF(INDEX(I.Gas.P2aY1AssociatedGasEnergy,40)="","",INDEX(I.Gas.P2aY1AssociatedGasEnergy,40))</f>
        <v/>
      </c>
      <c r="G26170" s="62"/>
      <c r="H26170" s="46" t="str">
        <f>IF(I.Developer.P2a=FALSE,"Complete",IF(I.Product.P2aGasToPowerStatus&lt;&gt;"Yes","Complete",IF(AND(I.Gas.P2aY1Count&gt;=40,F26170=""),"Incomplete","Complete")))</f>
        <v>Complete</v>
      </c>
      <c r="I26170" s="48" t="s">
        <v>1349</v>
      </c>
    </row>
    <row r="26171" spans="2:9" ht="15" customHeight="1" x14ac:dyDescent="0.25">
      <c r="B26171" s="55" t="s">
        <v>371</v>
      </c>
      <c r="C26171" s="46">
        <v>41</v>
      </c>
      <c r="D26171" s="69" t="s">
        <v>29508</v>
      </c>
      <c r="E26171" s="62"/>
      <c r="F26171" s="62" t="str">
        <f>IF(INDEX(I.Gas.P2aY1AssociatedGasEnergy,41)="","",INDEX(I.Gas.P2aY1AssociatedGasEnergy,41))</f>
        <v/>
      </c>
      <c r="G26171" s="62"/>
      <c r="H26171" s="46" t="str">
        <f>IF(I.Developer.P2a=FALSE,"Complete",IF(I.Product.P2aGasToPowerStatus&lt;&gt;"Yes","Complete",IF(AND(I.Gas.P2aY1Count&gt;=41,F26171=""),"Incomplete","Complete")))</f>
        <v>Complete</v>
      </c>
      <c r="I26171" s="48" t="s">
        <v>1350</v>
      </c>
    </row>
    <row r="26172" spans="2:9" ht="15" customHeight="1" x14ac:dyDescent="0.25">
      <c r="B26172" s="55" t="s">
        <v>371</v>
      </c>
      <c r="C26172" s="46">
        <v>42</v>
      </c>
      <c r="D26172" s="69" t="s">
        <v>29508</v>
      </c>
      <c r="E26172" s="62"/>
      <c r="F26172" s="62" t="str">
        <f>IF(INDEX(I.Gas.P2aY1AssociatedGasEnergy,42)="","",INDEX(I.Gas.P2aY1AssociatedGasEnergy,42))</f>
        <v/>
      </c>
      <c r="G26172" s="62"/>
      <c r="H26172" s="46" t="str">
        <f>IF(I.Developer.P2a=FALSE,"Complete",IF(I.Product.P2aGasToPowerStatus&lt;&gt;"Yes","Complete",IF(AND(I.Gas.P2aY1Count&gt;=42,F26172=""),"Incomplete","Complete")))</f>
        <v>Complete</v>
      </c>
      <c r="I26172" s="48" t="s">
        <v>1351</v>
      </c>
    </row>
    <row r="26173" spans="2:9" ht="15" customHeight="1" x14ac:dyDescent="0.25">
      <c r="B26173" s="55" t="s">
        <v>371</v>
      </c>
      <c r="C26173" s="46">
        <v>43</v>
      </c>
      <c r="D26173" s="69" t="s">
        <v>29508</v>
      </c>
      <c r="E26173" s="62"/>
      <c r="F26173" s="62" t="str">
        <f>IF(INDEX(I.Gas.P2aY1AssociatedGasEnergy,43)="","",INDEX(I.Gas.P2aY1AssociatedGasEnergy,43))</f>
        <v/>
      </c>
      <c r="G26173" s="62"/>
      <c r="H26173" s="46" t="str">
        <f>IF(I.Developer.P2a=FALSE,"Complete",IF(I.Product.P2aGasToPowerStatus&lt;&gt;"Yes","Complete",IF(AND(I.Gas.P2aY1Count&gt;=43,F26173=""),"Incomplete","Complete")))</f>
        <v>Complete</v>
      </c>
      <c r="I26173" s="48" t="s">
        <v>1352</v>
      </c>
    </row>
    <row r="26174" spans="2:9" ht="15" customHeight="1" x14ac:dyDescent="0.25">
      <c r="B26174" s="55" t="s">
        <v>371</v>
      </c>
      <c r="C26174" s="46">
        <v>44</v>
      </c>
      <c r="D26174" s="69" t="s">
        <v>29508</v>
      </c>
      <c r="E26174" s="62"/>
      <c r="F26174" s="62" t="str">
        <f>IF(INDEX(I.Gas.P2aY1AssociatedGasEnergy,44)="","",INDEX(I.Gas.P2aY1AssociatedGasEnergy,44))</f>
        <v/>
      </c>
      <c r="G26174" s="62"/>
      <c r="H26174" s="46" t="str">
        <f>IF(I.Developer.P2a=FALSE,"Complete",IF(I.Product.P2aGasToPowerStatus&lt;&gt;"Yes","Complete",IF(AND(I.Gas.P2aY1Count&gt;=44,F26174=""),"Incomplete","Complete")))</f>
        <v>Complete</v>
      </c>
      <c r="I26174" s="48" t="s">
        <v>1353</v>
      </c>
    </row>
    <row r="26175" spans="2:9" ht="15" customHeight="1" x14ac:dyDescent="0.25">
      <c r="B26175" s="55" t="s">
        <v>371</v>
      </c>
      <c r="C26175" s="46">
        <v>45</v>
      </c>
      <c r="D26175" s="69" t="s">
        <v>29508</v>
      </c>
      <c r="E26175" s="62"/>
      <c r="F26175" s="62" t="str">
        <f>IF(INDEX(I.Gas.P2aY1AssociatedGasEnergy,45)="","",INDEX(I.Gas.P2aY1AssociatedGasEnergy,45))</f>
        <v/>
      </c>
      <c r="G26175" s="62"/>
      <c r="H26175" s="46" t="str">
        <f>IF(I.Developer.P2a=FALSE,"Complete",IF(I.Product.P2aGasToPowerStatus&lt;&gt;"Yes","Complete",IF(AND(I.Gas.P2aY1Count&gt;=45,F26175=""),"Incomplete","Complete")))</f>
        <v>Complete</v>
      </c>
      <c r="I26175" s="48" t="s">
        <v>1354</v>
      </c>
    </row>
    <row r="26176" spans="2:9" ht="15" customHeight="1" x14ac:dyDescent="0.25">
      <c r="B26176" s="55" t="s">
        <v>371</v>
      </c>
      <c r="C26176" s="46">
        <v>46</v>
      </c>
      <c r="D26176" s="69" t="s">
        <v>29508</v>
      </c>
      <c r="E26176" s="62"/>
      <c r="F26176" s="62" t="str">
        <f>IF(INDEX(I.Gas.P2aY1AssociatedGasEnergy,46)="","",INDEX(I.Gas.P2aY1AssociatedGasEnergy,46))</f>
        <v/>
      </c>
      <c r="G26176" s="62"/>
      <c r="H26176" s="46" t="str">
        <f>IF(I.Developer.P2a=FALSE,"Complete",IF(I.Product.P2aGasToPowerStatus&lt;&gt;"Yes","Complete",IF(AND(I.Gas.P2aY1Count&gt;=46,F26176=""),"Incomplete","Complete")))</f>
        <v>Complete</v>
      </c>
      <c r="I26176" s="48" t="s">
        <v>1355</v>
      </c>
    </row>
    <row r="26177" spans="2:9" ht="15" customHeight="1" x14ac:dyDescent="0.25">
      <c r="B26177" s="55" t="s">
        <v>371</v>
      </c>
      <c r="C26177" s="46">
        <v>47</v>
      </c>
      <c r="D26177" s="69" t="s">
        <v>29508</v>
      </c>
      <c r="E26177" s="62"/>
      <c r="F26177" s="62" t="str">
        <f>IF(INDEX(I.Gas.P2aY1AssociatedGasEnergy,47)="","",INDEX(I.Gas.P2aY1AssociatedGasEnergy,47))</f>
        <v/>
      </c>
      <c r="G26177" s="62"/>
      <c r="H26177" s="46" t="str">
        <f>IF(I.Developer.P2a=FALSE,"Complete",IF(I.Product.P2aGasToPowerStatus&lt;&gt;"Yes","Complete",IF(AND(I.Gas.P2aY1Count&gt;=47,F26177=""),"Incomplete","Complete")))</f>
        <v>Complete</v>
      </c>
      <c r="I26177" s="48" t="s">
        <v>1356</v>
      </c>
    </row>
    <row r="26178" spans="2:9" ht="15" customHeight="1" x14ac:dyDescent="0.25">
      <c r="B26178" s="55" t="s">
        <v>371</v>
      </c>
      <c r="C26178" s="46">
        <v>48</v>
      </c>
      <c r="D26178" s="69" t="s">
        <v>29508</v>
      </c>
      <c r="E26178" s="62"/>
      <c r="F26178" s="62" t="str">
        <f>IF(INDEX(I.Gas.P2aY1AssociatedGasEnergy,48)="","",INDEX(I.Gas.P2aY1AssociatedGasEnergy,48))</f>
        <v/>
      </c>
      <c r="G26178" s="62"/>
      <c r="H26178" s="46" t="str">
        <f>IF(I.Developer.P2a=FALSE,"Complete",IF(I.Product.P2aGasToPowerStatus&lt;&gt;"Yes","Complete",IF(AND(I.Gas.P2aY1Count&gt;=48,F26178=""),"Incomplete","Complete")))</f>
        <v>Complete</v>
      </c>
      <c r="I26178" s="48" t="s">
        <v>1357</v>
      </c>
    </row>
    <row r="26179" spans="2:9" ht="15" customHeight="1" x14ac:dyDescent="0.25">
      <c r="B26179" s="55" t="s">
        <v>371</v>
      </c>
      <c r="C26179" s="46">
        <v>49</v>
      </c>
      <c r="D26179" s="69" t="s">
        <v>29508</v>
      </c>
      <c r="E26179" s="62"/>
      <c r="F26179" s="62" t="str">
        <f>IF(INDEX(I.Gas.P2aY1AssociatedGasEnergy,49)="","",INDEX(I.Gas.P2aY1AssociatedGasEnergy,49))</f>
        <v/>
      </c>
      <c r="G26179" s="62"/>
      <c r="H26179" s="46" t="str">
        <f>IF(I.Developer.P2a=FALSE,"Complete",IF(I.Product.P2aGasToPowerStatus&lt;&gt;"Yes","Complete",IF(AND(I.Gas.P2aY1Count&gt;=49,F26179=""),"Incomplete","Complete")))</f>
        <v>Complete</v>
      </c>
      <c r="I26179" s="48" t="s">
        <v>1358</v>
      </c>
    </row>
    <row r="26180" spans="2:9" ht="15" customHeight="1" x14ac:dyDescent="0.25">
      <c r="B26180" s="56" t="s">
        <v>371</v>
      </c>
      <c r="C26180" s="57">
        <v>50</v>
      </c>
      <c r="D26180" s="71" t="s">
        <v>29508</v>
      </c>
      <c r="E26180" s="61"/>
      <c r="F26180" s="61" t="str">
        <f>IF(INDEX(I.Gas.P2aY1AssociatedGasEnergy,50)="","",INDEX(I.Gas.P2aY1AssociatedGasEnergy,50))</f>
        <v/>
      </c>
      <c r="G26180" s="61"/>
      <c r="H26180" s="57" t="str">
        <f>IF(I.Developer.P2a=FALSE,"Complete",IF(I.Product.P2aGasToPowerStatus&lt;&gt;"Yes","Complete",IF(AND(I.Gas.P2aY1Count&gt;=50,F26180=""),"Incomplete","Complete")))</f>
        <v>Complete</v>
      </c>
      <c r="I26180" s="49" t="s">
        <v>1359</v>
      </c>
    </row>
    <row r="26181" spans="2:9" ht="15" customHeight="1" x14ac:dyDescent="0.25">
      <c r="B26181" s="55" t="s">
        <v>372</v>
      </c>
      <c r="C26181" s="46">
        <v>1</v>
      </c>
      <c r="D26181" s="69" t="s">
        <v>29509</v>
      </c>
      <c r="E26181" s="62"/>
      <c r="F26181" s="62" t="str">
        <f>IF(INDEX(I.Gas.P2aY1TotalGasEnergy,1)="","",INDEX(I.Gas.P2aY1TotalGasEnergy,1))</f>
        <v/>
      </c>
      <c r="G26181" s="62"/>
      <c r="H26181" s="46" t="str">
        <f>IF(I.Developer.P2a=FALSE,"Complete",IF(I.Product.P2aGasToPowerStatus&lt;&gt;"Yes","Complete",IF(AND(I.Gas.P2aY1Count&gt;=1,F26181=""),"Incomplete","Complete")))</f>
        <v>Complete</v>
      </c>
      <c r="I26181" s="48" t="s">
        <v>1360</v>
      </c>
    </row>
    <row r="26182" spans="2:9" ht="15" customHeight="1" x14ac:dyDescent="0.25">
      <c r="B26182" s="55" t="s">
        <v>372</v>
      </c>
      <c r="C26182" s="46">
        <v>2</v>
      </c>
      <c r="D26182" s="69" t="s">
        <v>29509</v>
      </c>
      <c r="E26182" s="62"/>
      <c r="F26182" s="62" t="str">
        <f>IF(INDEX(I.Gas.P2aY1TotalGasEnergy,2)="","",INDEX(I.Gas.P2aY1TotalGasEnergy,2))</f>
        <v/>
      </c>
      <c r="G26182" s="62"/>
      <c r="H26182" s="46" t="str">
        <f>IF(I.Developer.P2a=FALSE,"Complete",IF(I.Product.P2aGasToPowerStatus&lt;&gt;"Yes","Complete",IF(AND(I.Gas.P2aY1Count&gt;=2,F26182=""),"Incomplete","Complete")))</f>
        <v>Complete</v>
      </c>
      <c r="I26182" s="48" t="s">
        <v>1361</v>
      </c>
    </row>
    <row r="26183" spans="2:9" ht="15" customHeight="1" x14ac:dyDescent="0.25">
      <c r="B26183" s="55" t="s">
        <v>372</v>
      </c>
      <c r="C26183" s="46">
        <v>3</v>
      </c>
      <c r="D26183" s="69" t="s">
        <v>29509</v>
      </c>
      <c r="E26183" s="62"/>
      <c r="F26183" s="62" t="str">
        <f>IF(INDEX(I.Gas.P2aY1TotalGasEnergy,3)="","",INDEX(I.Gas.P2aY1TotalGasEnergy,3))</f>
        <v/>
      </c>
      <c r="G26183" s="62"/>
      <c r="H26183" s="46" t="str">
        <f>IF(I.Developer.P2a=FALSE,"Complete",IF(I.Product.P2aGasToPowerStatus&lt;&gt;"Yes","Complete",IF(AND(I.Gas.P2aY1Count&gt;=3,F26183=""),"Incomplete","Complete")))</f>
        <v>Complete</v>
      </c>
      <c r="I26183" s="48" t="s">
        <v>1362</v>
      </c>
    </row>
    <row r="26184" spans="2:9" ht="15" customHeight="1" x14ac:dyDescent="0.25">
      <c r="B26184" s="55" t="s">
        <v>372</v>
      </c>
      <c r="C26184" s="46">
        <v>4</v>
      </c>
      <c r="D26184" s="69" t="s">
        <v>29509</v>
      </c>
      <c r="E26184" s="62"/>
      <c r="F26184" s="62" t="str">
        <f>IF(INDEX(I.Gas.P2aY1TotalGasEnergy,4)="","",INDEX(I.Gas.P2aY1TotalGasEnergy,4))</f>
        <v/>
      </c>
      <c r="G26184" s="62"/>
      <c r="H26184" s="46" t="str">
        <f>IF(I.Developer.P2a=FALSE,"Complete",IF(I.Product.P2aGasToPowerStatus&lt;&gt;"Yes","Complete",IF(AND(I.Gas.P2aY1Count&gt;=4,F26184=""),"Incomplete","Complete")))</f>
        <v>Complete</v>
      </c>
      <c r="I26184" s="48" t="s">
        <v>1363</v>
      </c>
    </row>
    <row r="26185" spans="2:9" ht="15" customHeight="1" x14ac:dyDescent="0.25">
      <c r="B26185" s="55" t="s">
        <v>372</v>
      </c>
      <c r="C26185" s="46">
        <v>5</v>
      </c>
      <c r="D26185" s="69" t="s">
        <v>29509</v>
      </c>
      <c r="E26185" s="62"/>
      <c r="F26185" s="62" t="str">
        <f>IF(INDEX(I.Gas.P2aY1TotalGasEnergy,5)="","",INDEX(I.Gas.P2aY1TotalGasEnergy,5))</f>
        <v/>
      </c>
      <c r="G26185" s="62"/>
      <c r="H26185" s="46" t="str">
        <f>IF(I.Developer.P2a=FALSE,"Complete",IF(I.Product.P2aGasToPowerStatus&lt;&gt;"Yes","Complete",IF(AND(I.Gas.P2aY1Count&gt;=5,F26185=""),"Incomplete","Complete")))</f>
        <v>Complete</v>
      </c>
      <c r="I26185" s="48" t="s">
        <v>1364</v>
      </c>
    </row>
    <row r="26186" spans="2:9" ht="15" customHeight="1" x14ac:dyDescent="0.25">
      <c r="B26186" s="55" t="s">
        <v>372</v>
      </c>
      <c r="C26186" s="46">
        <v>6</v>
      </c>
      <c r="D26186" s="69" t="s">
        <v>29509</v>
      </c>
      <c r="E26186" s="62"/>
      <c r="F26186" s="62" t="str">
        <f>IF(INDEX(I.Gas.P2aY1TotalGasEnergy,6)="","",INDEX(I.Gas.P2aY1TotalGasEnergy,6))</f>
        <v/>
      </c>
      <c r="G26186" s="62"/>
      <c r="H26186" s="46" t="str">
        <f>IF(I.Developer.P2a=FALSE,"Complete",IF(I.Product.P2aGasToPowerStatus&lt;&gt;"Yes","Complete",IF(AND(I.Gas.P2aY1Count&gt;=6,F26186=""),"Incomplete","Complete")))</f>
        <v>Complete</v>
      </c>
      <c r="I26186" s="48" t="s">
        <v>1365</v>
      </c>
    </row>
    <row r="26187" spans="2:9" ht="15" customHeight="1" x14ac:dyDescent="0.25">
      <c r="B26187" s="55" t="s">
        <v>372</v>
      </c>
      <c r="C26187" s="46">
        <v>7</v>
      </c>
      <c r="D26187" s="69" t="s">
        <v>29509</v>
      </c>
      <c r="E26187" s="62"/>
      <c r="F26187" s="62" t="str">
        <f>IF(INDEX(I.Gas.P2aY1TotalGasEnergy,7)="","",INDEX(I.Gas.P2aY1TotalGasEnergy,7))</f>
        <v/>
      </c>
      <c r="G26187" s="62"/>
      <c r="H26187" s="46" t="str">
        <f>IF(I.Developer.P2a=FALSE,"Complete",IF(I.Product.P2aGasToPowerStatus&lt;&gt;"Yes","Complete",IF(AND(I.Gas.P2aY1Count&gt;=7,F26187=""),"Incomplete","Complete")))</f>
        <v>Complete</v>
      </c>
      <c r="I26187" s="48" t="s">
        <v>1366</v>
      </c>
    </row>
    <row r="26188" spans="2:9" ht="15" customHeight="1" x14ac:dyDescent="0.25">
      <c r="B26188" s="55" t="s">
        <v>372</v>
      </c>
      <c r="C26188" s="46">
        <v>8</v>
      </c>
      <c r="D26188" s="69" t="s">
        <v>29509</v>
      </c>
      <c r="E26188" s="62"/>
      <c r="F26188" s="62" t="str">
        <f>IF(INDEX(I.Gas.P2aY1TotalGasEnergy,8)="","",INDEX(I.Gas.P2aY1TotalGasEnergy,8))</f>
        <v/>
      </c>
      <c r="G26188" s="62"/>
      <c r="H26188" s="46" t="str">
        <f>IF(I.Developer.P2a=FALSE,"Complete",IF(I.Product.P2aGasToPowerStatus&lt;&gt;"Yes","Complete",IF(AND(I.Gas.P2aY1Count&gt;=8,F26188=""),"Incomplete","Complete")))</f>
        <v>Complete</v>
      </c>
      <c r="I26188" s="48" t="s">
        <v>1367</v>
      </c>
    </row>
    <row r="26189" spans="2:9" ht="15" customHeight="1" x14ac:dyDescent="0.25">
      <c r="B26189" s="55" t="s">
        <v>372</v>
      </c>
      <c r="C26189" s="46">
        <v>9</v>
      </c>
      <c r="D26189" s="69" t="s">
        <v>29509</v>
      </c>
      <c r="E26189" s="62"/>
      <c r="F26189" s="62" t="str">
        <f>IF(INDEX(I.Gas.P2aY1TotalGasEnergy,9)="","",INDEX(I.Gas.P2aY1TotalGasEnergy,9))</f>
        <v/>
      </c>
      <c r="G26189" s="62"/>
      <c r="H26189" s="46" t="str">
        <f>IF(I.Developer.P2a=FALSE,"Complete",IF(I.Product.P2aGasToPowerStatus&lt;&gt;"Yes","Complete",IF(AND(I.Gas.P2aY1Count&gt;=9,F26189=""),"Incomplete","Complete")))</f>
        <v>Complete</v>
      </c>
      <c r="I26189" s="48" t="s">
        <v>1368</v>
      </c>
    </row>
    <row r="26190" spans="2:9" ht="15" customHeight="1" x14ac:dyDescent="0.25">
      <c r="B26190" s="55" t="s">
        <v>372</v>
      </c>
      <c r="C26190" s="46">
        <v>10</v>
      </c>
      <c r="D26190" s="69" t="s">
        <v>29509</v>
      </c>
      <c r="E26190" s="62"/>
      <c r="F26190" s="62" t="str">
        <f>IF(INDEX(I.Gas.P2aY1TotalGasEnergy,10)="","",INDEX(I.Gas.P2aY1TotalGasEnergy,10))</f>
        <v/>
      </c>
      <c r="G26190" s="62"/>
      <c r="H26190" s="46" t="str">
        <f>IF(I.Developer.P2a=FALSE,"Complete",IF(I.Product.P2aGasToPowerStatus&lt;&gt;"Yes","Complete",IF(AND(I.Gas.P2aY1Count&gt;=10,F26190=""),"Incomplete","Complete")))</f>
        <v>Complete</v>
      </c>
      <c r="I26190" s="48" t="s">
        <v>1369</v>
      </c>
    </row>
    <row r="26191" spans="2:9" ht="15" customHeight="1" x14ac:dyDescent="0.25">
      <c r="B26191" s="55" t="s">
        <v>372</v>
      </c>
      <c r="C26191" s="46">
        <v>11</v>
      </c>
      <c r="D26191" s="69" t="s">
        <v>29509</v>
      </c>
      <c r="E26191" s="62"/>
      <c r="F26191" s="62" t="str">
        <f>IF(INDEX(I.Gas.P2aY1TotalGasEnergy,11)="","",INDEX(I.Gas.P2aY1TotalGasEnergy,11))</f>
        <v/>
      </c>
      <c r="G26191" s="62"/>
      <c r="H26191" s="46" t="str">
        <f>IF(I.Developer.P2a=FALSE,"Complete",IF(I.Product.P2aGasToPowerStatus&lt;&gt;"Yes","Complete",IF(AND(I.Gas.P2aY1Count&gt;=11,F26191=""),"Incomplete","Complete")))</f>
        <v>Complete</v>
      </c>
      <c r="I26191" s="48" t="s">
        <v>1370</v>
      </c>
    </row>
    <row r="26192" spans="2:9" ht="15" customHeight="1" x14ac:dyDescent="0.25">
      <c r="B26192" s="55" t="s">
        <v>372</v>
      </c>
      <c r="C26192" s="46">
        <v>12</v>
      </c>
      <c r="D26192" s="69" t="s">
        <v>29509</v>
      </c>
      <c r="E26192" s="62"/>
      <c r="F26192" s="62" t="str">
        <f>IF(INDEX(I.Gas.P2aY1TotalGasEnergy,12)="","",INDEX(I.Gas.P2aY1TotalGasEnergy,12))</f>
        <v/>
      </c>
      <c r="G26192" s="62"/>
      <c r="H26192" s="46" t="str">
        <f>IF(I.Developer.P2a=FALSE,"Complete",IF(I.Product.P2aGasToPowerStatus&lt;&gt;"Yes","Complete",IF(AND(I.Gas.P2aY1Count&gt;=12,F26192=""),"Incomplete","Complete")))</f>
        <v>Complete</v>
      </c>
      <c r="I26192" s="48" t="s">
        <v>1371</v>
      </c>
    </row>
    <row r="26193" spans="2:9" ht="15" customHeight="1" x14ac:dyDescent="0.25">
      <c r="B26193" s="55" t="s">
        <v>372</v>
      </c>
      <c r="C26193" s="46">
        <v>13</v>
      </c>
      <c r="D26193" s="69" t="s">
        <v>29509</v>
      </c>
      <c r="E26193" s="62"/>
      <c r="F26193" s="62" t="str">
        <f>IF(INDEX(I.Gas.P2aY1TotalGasEnergy,13)="","",INDEX(I.Gas.P2aY1TotalGasEnergy,13))</f>
        <v/>
      </c>
      <c r="G26193" s="62"/>
      <c r="H26193" s="46" t="str">
        <f>IF(I.Developer.P2a=FALSE,"Complete",IF(I.Product.P2aGasToPowerStatus&lt;&gt;"Yes","Complete",IF(AND(I.Gas.P2aY1Count&gt;=13,F26193=""),"Incomplete","Complete")))</f>
        <v>Complete</v>
      </c>
      <c r="I26193" s="48" t="s">
        <v>1372</v>
      </c>
    </row>
    <row r="26194" spans="2:9" ht="15" customHeight="1" x14ac:dyDescent="0.25">
      <c r="B26194" s="55" t="s">
        <v>372</v>
      </c>
      <c r="C26194" s="46">
        <v>14</v>
      </c>
      <c r="D26194" s="69" t="s">
        <v>29509</v>
      </c>
      <c r="E26194" s="62"/>
      <c r="F26194" s="62" t="str">
        <f>IF(INDEX(I.Gas.P2aY1TotalGasEnergy,14)="","",INDEX(I.Gas.P2aY1TotalGasEnergy,14))</f>
        <v/>
      </c>
      <c r="G26194" s="62"/>
      <c r="H26194" s="46" t="str">
        <f>IF(I.Developer.P2a=FALSE,"Complete",IF(I.Product.P2aGasToPowerStatus&lt;&gt;"Yes","Complete",IF(AND(I.Gas.P2aY1Count&gt;=14,F26194=""),"Incomplete","Complete")))</f>
        <v>Complete</v>
      </c>
      <c r="I26194" s="48" t="s">
        <v>1373</v>
      </c>
    </row>
    <row r="26195" spans="2:9" ht="15" customHeight="1" x14ac:dyDescent="0.25">
      <c r="B26195" s="55" t="s">
        <v>372</v>
      </c>
      <c r="C26195" s="46">
        <v>15</v>
      </c>
      <c r="D26195" s="69" t="s">
        <v>29509</v>
      </c>
      <c r="E26195" s="62"/>
      <c r="F26195" s="62" t="str">
        <f>IF(INDEX(I.Gas.P2aY1TotalGasEnergy,15)="","",INDEX(I.Gas.P2aY1TotalGasEnergy,15))</f>
        <v/>
      </c>
      <c r="G26195" s="62"/>
      <c r="H26195" s="46" t="str">
        <f>IF(I.Developer.P2a=FALSE,"Complete",IF(I.Product.P2aGasToPowerStatus&lt;&gt;"Yes","Complete",IF(AND(I.Gas.P2aY1Count&gt;=15,F26195=""),"Incomplete","Complete")))</f>
        <v>Complete</v>
      </c>
      <c r="I26195" s="48" t="s">
        <v>1374</v>
      </c>
    </row>
    <row r="26196" spans="2:9" ht="15" customHeight="1" x14ac:dyDescent="0.25">
      <c r="B26196" s="55" t="s">
        <v>372</v>
      </c>
      <c r="C26196" s="46">
        <v>16</v>
      </c>
      <c r="D26196" s="69" t="s">
        <v>29509</v>
      </c>
      <c r="E26196" s="62"/>
      <c r="F26196" s="62" t="str">
        <f>IF(INDEX(I.Gas.P2aY1TotalGasEnergy,16)="","",INDEX(I.Gas.P2aY1TotalGasEnergy,16))</f>
        <v/>
      </c>
      <c r="G26196" s="62"/>
      <c r="H26196" s="46" t="str">
        <f>IF(I.Developer.P2a=FALSE,"Complete",IF(I.Product.P2aGasToPowerStatus&lt;&gt;"Yes","Complete",IF(AND(I.Gas.P2aY1Count&gt;=16,F26196=""),"Incomplete","Complete")))</f>
        <v>Complete</v>
      </c>
      <c r="I26196" s="48" t="s">
        <v>1375</v>
      </c>
    </row>
    <row r="26197" spans="2:9" ht="15" customHeight="1" x14ac:dyDescent="0.25">
      <c r="B26197" s="55" t="s">
        <v>372</v>
      </c>
      <c r="C26197" s="46">
        <v>17</v>
      </c>
      <c r="D26197" s="69" t="s">
        <v>29509</v>
      </c>
      <c r="E26197" s="62"/>
      <c r="F26197" s="62" t="str">
        <f>IF(INDEX(I.Gas.P2aY1TotalGasEnergy,17)="","",INDEX(I.Gas.P2aY1TotalGasEnergy,17))</f>
        <v/>
      </c>
      <c r="G26197" s="62"/>
      <c r="H26197" s="46" t="str">
        <f>IF(I.Developer.P2a=FALSE,"Complete",IF(I.Product.P2aGasToPowerStatus&lt;&gt;"Yes","Complete",IF(AND(I.Gas.P2aY1Count&gt;=17,F26197=""),"Incomplete","Complete")))</f>
        <v>Complete</v>
      </c>
      <c r="I26197" s="48" t="s">
        <v>1376</v>
      </c>
    </row>
    <row r="26198" spans="2:9" ht="15" customHeight="1" x14ac:dyDescent="0.25">
      <c r="B26198" s="55" t="s">
        <v>372</v>
      </c>
      <c r="C26198" s="46">
        <v>18</v>
      </c>
      <c r="D26198" s="69" t="s">
        <v>29509</v>
      </c>
      <c r="E26198" s="62"/>
      <c r="F26198" s="62" t="str">
        <f>IF(INDEX(I.Gas.P2aY1TotalGasEnergy,18)="","",INDEX(I.Gas.P2aY1TotalGasEnergy,18))</f>
        <v/>
      </c>
      <c r="G26198" s="62"/>
      <c r="H26198" s="46" t="str">
        <f>IF(I.Developer.P2a=FALSE,"Complete",IF(I.Product.P2aGasToPowerStatus&lt;&gt;"Yes","Complete",IF(AND(I.Gas.P2aY1Count&gt;=18,F26198=""),"Incomplete","Complete")))</f>
        <v>Complete</v>
      </c>
      <c r="I26198" s="48" t="s">
        <v>1377</v>
      </c>
    </row>
    <row r="26199" spans="2:9" ht="15" customHeight="1" x14ac:dyDescent="0.25">
      <c r="B26199" s="55" t="s">
        <v>372</v>
      </c>
      <c r="C26199" s="46">
        <v>19</v>
      </c>
      <c r="D26199" s="69" t="s">
        <v>29509</v>
      </c>
      <c r="E26199" s="62"/>
      <c r="F26199" s="62" t="str">
        <f>IF(INDEX(I.Gas.P2aY1TotalGasEnergy,19)="","",INDEX(I.Gas.P2aY1TotalGasEnergy,19))</f>
        <v/>
      </c>
      <c r="G26199" s="62"/>
      <c r="H26199" s="46" t="str">
        <f>IF(I.Developer.P2a=FALSE,"Complete",IF(I.Product.P2aGasToPowerStatus&lt;&gt;"Yes","Complete",IF(AND(I.Gas.P2aY1Count&gt;=19,F26199=""),"Incomplete","Complete")))</f>
        <v>Complete</v>
      </c>
      <c r="I26199" s="48" t="s">
        <v>1378</v>
      </c>
    </row>
    <row r="26200" spans="2:9" ht="15" customHeight="1" x14ac:dyDescent="0.25">
      <c r="B26200" s="55" t="s">
        <v>372</v>
      </c>
      <c r="C26200" s="46">
        <v>20</v>
      </c>
      <c r="D26200" s="69" t="s">
        <v>29509</v>
      </c>
      <c r="E26200" s="62"/>
      <c r="F26200" s="62" t="str">
        <f>IF(INDEX(I.Gas.P2aY1TotalGasEnergy,20)="","",INDEX(I.Gas.P2aY1TotalGasEnergy,20))</f>
        <v/>
      </c>
      <c r="G26200" s="62"/>
      <c r="H26200" s="46" t="str">
        <f>IF(I.Developer.P2a=FALSE,"Complete",IF(I.Product.P2aGasToPowerStatus&lt;&gt;"Yes","Complete",IF(AND(I.Gas.P2aY1Count&gt;=20,F26200=""),"Incomplete","Complete")))</f>
        <v>Complete</v>
      </c>
      <c r="I26200" s="48" t="s">
        <v>1379</v>
      </c>
    </row>
    <row r="26201" spans="2:9" ht="15" customHeight="1" x14ac:dyDescent="0.25">
      <c r="B26201" s="55" t="s">
        <v>372</v>
      </c>
      <c r="C26201" s="46">
        <v>21</v>
      </c>
      <c r="D26201" s="69" t="s">
        <v>29509</v>
      </c>
      <c r="E26201" s="62"/>
      <c r="F26201" s="62" t="str">
        <f>IF(INDEX(I.Gas.P2aY1TotalGasEnergy,21)="","",INDEX(I.Gas.P2aY1TotalGasEnergy,21))</f>
        <v/>
      </c>
      <c r="G26201" s="62"/>
      <c r="H26201" s="46" t="str">
        <f>IF(I.Developer.P2a=FALSE,"Complete",IF(I.Product.P2aGasToPowerStatus&lt;&gt;"Yes","Complete",IF(AND(I.Gas.P2aY1Count&gt;=21,F26201=""),"Incomplete","Complete")))</f>
        <v>Complete</v>
      </c>
      <c r="I26201" s="48" t="s">
        <v>1380</v>
      </c>
    </row>
    <row r="26202" spans="2:9" ht="15" customHeight="1" x14ac:dyDescent="0.25">
      <c r="B26202" s="55" t="s">
        <v>372</v>
      </c>
      <c r="C26202" s="46">
        <v>22</v>
      </c>
      <c r="D26202" s="69" t="s">
        <v>29509</v>
      </c>
      <c r="E26202" s="62"/>
      <c r="F26202" s="62" t="str">
        <f>IF(INDEX(I.Gas.P2aY1TotalGasEnergy,22)="","",INDEX(I.Gas.P2aY1TotalGasEnergy,22))</f>
        <v/>
      </c>
      <c r="G26202" s="62"/>
      <c r="H26202" s="46" t="str">
        <f>IF(I.Developer.P2a=FALSE,"Complete",IF(I.Product.P2aGasToPowerStatus&lt;&gt;"Yes","Complete",IF(AND(I.Gas.P2aY1Count&gt;=22,F26202=""),"Incomplete","Complete")))</f>
        <v>Complete</v>
      </c>
      <c r="I26202" s="48" t="s">
        <v>1381</v>
      </c>
    </row>
    <row r="26203" spans="2:9" ht="15" customHeight="1" x14ac:dyDescent="0.25">
      <c r="B26203" s="55" t="s">
        <v>372</v>
      </c>
      <c r="C26203" s="46">
        <v>23</v>
      </c>
      <c r="D26203" s="69" t="s">
        <v>29509</v>
      </c>
      <c r="E26203" s="62"/>
      <c r="F26203" s="62" t="str">
        <f>IF(INDEX(I.Gas.P2aY1TotalGasEnergy,23)="","",INDEX(I.Gas.P2aY1TotalGasEnergy,23))</f>
        <v/>
      </c>
      <c r="G26203" s="62"/>
      <c r="H26203" s="46" t="str">
        <f>IF(I.Developer.P2a=FALSE,"Complete",IF(I.Product.P2aGasToPowerStatus&lt;&gt;"Yes","Complete",IF(AND(I.Gas.P2aY1Count&gt;=23,F26203=""),"Incomplete","Complete")))</f>
        <v>Complete</v>
      </c>
      <c r="I26203" s="48" t="s">
        <v>1382</v>
      </c>
    </row>
    <row r="26204" spans="2:9" ht="15" customHeight="1" x14ac:dyDescent="0.25">
      <c r="B26204" s="55" t="s">
        <v>372</v>
      </c>
      <c r="C26204" s="46">
        <v>24</v>
      </c>
      <c r="D26204" s="69" t="s">
        <v>29509</v>
      </c>
      <c r="E26204" s="62"/>
      <c r="F26204" s="62" t="str">
        <f>IF(INDEX(I.Gas.P2aY1TotalGasEnergy,24)="","",INDEX(I.Gas.P2aY1TotalGasEnergy,24))</f>
        <v/>
      </c>
      <c r="G26204" s="62"/>
      <c r="H26204" s="46" t="str">
        <f>IF(I.Developer.P2a=FALSE,"Complete",IF(I.Product.P2aGasToPowerStatus&lt;&gt;"Yes","Complete",IF(AND(I.Gas.P2aY1Count&gt;=24,F26204=""),"Incomplete","Complete")))</f>
        <v>Complete</v>
      </c>
      <c r="I26204" s="48" t="s">
        <v>1383</v>
      </c>
    </row>
    <row r="26205" spans="2:9" ht="15" customHeight="1" x14ac:dyDescent="0.25">
      <c r="B26205" s="55" t="s">
        <v>372</v>
      </c>
      <c r="C26205" s="46">
        <v>25</v>
      </c>
      <c r="D26205" s="69" t="s">
        <v>29509</v>
      </c>
      <c r="E26205" s="62"/>
      <c r="F26205" s="62" t="str">
        <f>IF(INDEX(I.Gas.P2aY1TotalGasEnergy,25)="","",INDEX(I.Gas.P2aY1TotalGasEnergy,25))</f>
        <v/>
      </c>
      <c r="G26205" s="62"/>
      <c r="H26205" s="46" t="str">
        <f>IF(I.Developer.P2a=FALSE,"Complete",IF(I.Product.P2aGasToPowerStatus&lt;&gt;"Yes","Complete",IF(AND(I.Gas.P2aY1Count&gt;=25,F26205=""),"Incomplete","Complete")))</f>
        <v>Complete</v>
      </c>
      <c r="I26205" s="48" t="s">
        <v>1384</v>
      </c>
    </row>
    <row r="26206" spans="2:9" ht="15" customHeight="1" x14ac:dyDescent="0.25">
      <c r="B26206" s="55" t="s">
        <v>372</v>
      </c>
      <c r="C26206" s="46">
        <v>26</v>
      </c>
      <c r="D26206" s="69" t="s">
        <v>29509</v>
      </c>
      <c r="E26206" s="62"/>
      <c r="F26206" s="62" t="str">
        <f>IF(INDEX(I.Gas.P2aY1TotalGasEnergy,26)="","",INDEX(I.Gas.P2aY1TotalGasEnergy,26))</f>
        <v/>
      </c>
      <c r="G26206" s="62"/>
      <c r="H26206" s="46" t="str">
        <f>IF(I.Developer.P2a=FALSE,"Complete",IF(I.Product.P2aGasToPowerStatus&lt;&gt;"Yes","Complete",IF(AND(I.Gas.P2aY1Count&gt;=26,F26206=""),"Incomplete","Complete")))</f>
        <v>Complete</v>
      </c>
      <c r="I26206" s="48" t="s">
        <v>1385</v>
      </c>
    </row>
    <row r="26207" spans="2:9" ht="15" customHeight="1" x14ac:dyDescent="0.25">
      <c r="B26207" s="55" t="s">
        <v>372</v>
      </c>
      <c r="C26207" s="46">
        <v>27</v>
      </c>
      <c r="D26207" s="69" t="s">
        <v>29509</v>
      </c>
      <c r="E26207" s="62"/>
      <c r="F26207" s="62" t="str">
        <f>IF(INDEX(I.Gas.P2aY1TotalGasEnergy,27)="","",INDEX(I.Gas.P2aY1TotalGasEnergy,27))</f>
        <v/>
      </c>
      <c r="G26207" s="62"/>
      <c r="H26207" s="46" t="str">
        <f>IF(I.Developer.P2a=FALSE,"Complete",IF(I.Product.P2aGasToPowerStatus&lt;&gt;"Yes","Complete",IF(AND(I.Gas.P2aY1Count&gt;=27,F26207=""),"Incomplete","Complete")))</f>
        <v>Complete</v>
      </c>
      <c r="I26207" s="48" t="s">
        <v>1386</v>
      </c>
    </row>
    <row r="26208" spans="2:9" ht="15" customHeight="1" x14ac:dyDescent="0.25">
      <c r="B26208" s="55" t="s">
        <v>372</v>
      </c>
      <c r="C26208" s="46">
        <v>28</v>
      </c>
      <c r="D26208" s="69" t="s">
        <v>29509</v>
      </c>
      <c r="E26208" s="62"/>
      <c r="F26208" s="62" t="str">
        <f>IF(INDEX(I.Gas.P2aY1TotalGasEnergy,28)="","",INDEX(I.Gas.P2aY1TotalGasEnergy,28))</f>
        <v/>
      </c>
      <c r="G26208" s="62"/>
      <c r="H26208" s="46" t="str">
        <f>IF(I.Developer.P2a=FALSE,"Complete",IF(I.Product.P2aGasToPowerStatus&lt;&gt;"Yes","Complete",IF(AND(I.Gas.P2aY1Count&gt;=28,F26208=""),"Incomplete","Complete")))</f>
        <v>Complete</v>
      </c>
      <c r="I26208" s="48" t="s">
        <v>1387</v>
      </c>
    </row>
    <row r="26209" spans="2:9" ht="15" customHeight="1" x14ac:dyDescent="0.25">
      <c r="B26209" s="55" t="s">
        <v>372</v>
      </c>
      <c r="C26209" s="46">
        <v>29</v>
      </c>
      <c r="D26209" s="69" t="s">
        <v>29509</v>
      </c>
      <c r="E26209" s="62"/>
      <c r="F26209" s="62" t="str">
        <f>IF(INDEX(I.Gas.P2aY1TotalGasEnergy,29)="","",INDEX(I.Gas.P2aY1TotalGasEnergy,29))</f>
        <v/>
      </c>
      <c r="G26209" s="62"/>
      <c r="H26209" s="46" t="str">
        <f>IF(I.Developer.P2a=FALSE,"Complete",IF(I.Product.P2aGasToPowerStatus&lt;&gt;"Yes","Complete",IF(AND(I.Gas.P2aY1Count&gt;=29,F26209=""),"Incomplete","Complete")))</f>
        <v>Complete</v>
      </c>
      <c r="I26209" s="48" t="s">
        <v>1388</v>
      </c>
    </row>
    <row r="26210" spans="2:9" ht="15" customHeight="1" x14ac:dyDescent="0.25">
      <c r="B26210" s="55" t="s">
        <v>372</v>
      </c>
      <c r="C26210" s="46">
        <v>30</v>
      </c>
      <c r="D26210" s="69" t="s">
        <v>29509</v>
      </c>
      <c r="E26210" s="62"/>
      <c r="F26210" s="62" t="str">
        <f>IF(INDEX(I.Gas.P2aY1TotalGasEnergy,30)="","",INDEX(I.Gas.P2aY1TotalGasEnergy,30))</f>
        <v/>
      </c>
      <c r="G26210" s="62"/>
      <c r="H26210" s="46" t="str">
        <f>IF(I.Developer.P2a=FALSE,"Complete",IF(I.Product.P2aGasToPowerStatus&lt;&gt;"Yes","Complete",IF(AND(I.Gas.P2aY1Count&gt;=30,F26210=""),"Incomplete","Complete")))</f>
        <v>Complete</v>
      </c>
      <c r="I26210" s="48" t="s">
        <v>1389</v>
      </c>
    </row>
    <row r="26211" spans="2:9" ht="15" customHeight="1" x14ac:dyDescent="0.25">
      <c r="B26211" s="55" t="s">
        <v>372</v>
      </c>
      <c r="C26211" s="46">
        <v>31</v>
      </c>
      <c r="D26211" s="69" t="s">
        <v>29509</v>
      </c>
      <c r="E26211" s="62"/>
      <c r="F26211" s="62" t="str">
        <f>IF(INDEX(I.Gas.P2aY1TotalGasEnergy,31)="","",INDEX(I.Gas.P2aY1TotalGasEnergy,31))</f>
        <v/>
      </c>
      <c r="G26211" s="62"/>
      <c r="H26211" s="46" t="str">
        <f>IF(I.Developer.P2a=FALSE,"Complete",IF(I.Product.P2aGasToPowerStatus&lt;&gt;"Yes","Complete",IF(AND(I.Gas.P2aY1Count&gt;=31,F26211=""),"Incomplete","Complete")))</f>
        <v>Complete</v>
      </c>
      <c r="I26211" s="48" t="s">
        <v>1390</v>
      </c>
    </row>
    <row r="26212" spans="2:9" ht="15" customHeight="1" x14ac:dyDescent="0.25">
      <c r="B26212" s="55" t="s">
        <v>372</v>
      </c>
      <c r="C26212" s="46">
        <v>32</v>
      </c>
      <c r="D26212" s="69" t="s">
        <v>29509</v>
      </c>
      <c r="E26212" s="62"/>
      <c r="F26212" s="62" t="str">
        <f>IF(INDEX(I.Gas.P2aY1TotalGasEnergy,32)="","",INDEX(I.Gas.P2aY1TotalGasEnergy,32))</f>
        <v/>
      </c>
      <c r="G26212" s="62"/>
      <c r="H26212" s="46" t="str">
        <f>IF(I.Developer.P2a=FALSE,"Complete",IF(I.Product.P2aGasToPowerStatus&lt;&gt;"Yes","Complete",IF(AND(I.Gas.P2aY1Count&gt;=32,F26212=""),"Incomplete","Complete")))</f>
        <v>Complete</v>
      </c>
      <c r="I26212" s="48" t="s">
        <v>1391</v>
      </c>
    </row>
    <row r="26213" spans="2:9" ht="15" customHeight="1" x14ac:dyDescent="0.25">
      <c r="B26213" s="55" t="s">
        <v>372</v>
      </c>
      <c r="C26213" s="46">
        <v>33</v>
      </c>
      <c r="D26213" s="69" t="s">
        <v>29509</v>
      </c>
      <c r="E26213" s="62"/>
      <c r="F26213" s="62" t="str">
        <f>IF(INDEX(I.Gas.P2aY1TotalGasEnergy,33)="","",INDEX(I.Gas.P2aY1TotalGasEnergy,33))</f>
        <v/>
      </c>
      <c r="G26213" s="62"/>
      <c r="H26213" s="46" t="str">
        <f>IF(I.Developer.P2a=FALSE,"Complete",IF(I.Product.P2aGasToPowerStatus&lt;&gt;"Yes","Complete",IF(AND(I.Gas.P2aY1Count&gt;=33,F26213=""),"Incomplete","Complete")))</f>
        <v>Complete</v>
      </c>
      <c r="I26213" s="48" t="s">
        <v>1392</v>
      </c>
    </row>
    <row r="26214" spans="2:9" ht="15" customHeight="1" x14ac:dyDescent="0.25">
      <c r="B26214" s="55" t="s">
        <v>372</v>
      </c>
      <c r="C26214" s="46">
        <v>34</v>
      </c>
      <c r="D26214" s="69" t="s">
        <v>29509</v>
      </c>
      <c r="E26214" s="62"/>
      <c r="F26214" s="62" t="str">
        <f>IF(INDEX(I.Gas.P2aY1TotalGasEnergy,34)="","",INDEX(I.Gas.P2aY1TotalGasEnergy,34))</f>
        <v/>
      </c>
      <c r="G26214" s="62"/>
      <c r="H26214" s="46" t="str">
        <f>IF(I.Developer.P2a=FALSE,"Complete",IF(I.Product.P2aGasToPowerStatus&lt;&gt;"Yes","Complete",IF(AND(I.Gas.P2aY1Count&gt;=34,F26214=""),"Incomplete","Complete")))</f>
        <v>Complete</v>
      </c>
      <c r="I26214" s="48" t="s">
        <v>1393</v>
      </c>
    </row>
    <row r="26215" spans="2:9" ht="15" customHeight="1" x14ac:dyDescent="0.25">
      <c r="B26215" s="55" t="s">
        <v>372</v>
      </c>
      <c r="C26215" s="46">
        <v>35</v>
      </c>
      <c r="D26215" s="69" t="s">
        <v>29509</v>
      </c>
      <c r="E26215" s="62"/>
      <c r="F26215" s="62" t="str">
        <f>IF(INDEX(I.Gas.P2aY1TotalGasEnergy,35)="","",INDEX(I.Gas.P2aY1TotalGasEnergy,35))</f>
        <v/>
      </c>
      <c r="G26215" s="62"/>
      <c r="H26215" s="46" t="str">
        <f>IF(I.Developer.P2a=FALSE,"Complete",IF(I.Product.P2aGasToPowerStatus&lt;&gt;"Yes","Complete",IF(AND(I.Gas.P2aY1Count&gt;=35,F26215=""),"Incomplete","Complete")))</f>
        <v>Complete</v>
      </c>
      <c r="I26215" s="48" t="s">
        <v>1394</v>
      </c>
    </row>
    <row r="26216" spans="2:9" ht="15" customHeight="1" x14ac:dyDescent="0.25">
      <c r="B26216" s="55" t="s">
        <v>372</v>
      </c>
      <c r="C26216" s="46">
        <v>36</v>
      </c>
      <c r="D26216" s="69" t="s">
        <v>29509</v>
      </c>
      <c r="E26216" s="62"/>
      <c r="F26216" s="62" t="str">
        <f>IF(INDEX(I.Gas.P2aY1TotalGasEnergy,36)="","",INDEX(I.Gas.P2aY1TotalGasEnergy,36))</f>
        <v/>
      </c>
      <c r="G26216" s="62"/>
      <c r="H26216" s="46" t="str">
        <f>IF(I.Developer.P2a=FALSE,"Complete",IF(I.Product.P2aGasToPowerStatus&lt;&gt;"Yes","Complete",IF(AND(I.Gas.P2aY1Count&gt;=36,F26216=""),"Incomplete","Complete")))</f>
        <v>Complete</v>
      </c>
      <c r="I26216" s="48" t="s">
        <v>1395</v>
      </c>
    </row>
    <row r="26217" spans="2:9" ht="15" customHeight="1" x14ac:dyDescent="0.25">
      <c r="B26217" s="55" t="s">
        <v>372</v>
      </c>
      <c r="C26217" s="46">
        <v>37</v>
      </c>
      <c r="D26217" s="69" t="s">
        <v>29509</v>
      </c>
      <c r="E26217" s="62"/>
      <c r="F26217" s="62" t="str">
        <f>IF(INDEX(I.Gas.P2aY1TotalGasEnergy,37)="","",INDEX(I.Gas.P2aY1TotalGasEnergy,37))</f>
        <v/>
      </c>
      <c r="G26217" s="62"/>
      <c r="H26217" s="46" t="str">
        <f>IF(I.Developer.P2a=FALSE,"Complete",IF(I.Product.P2aGasToPowerStatus&lt;&gt;"Yes","Complete",IF(AND(I.Gas.P2aY1Count&gt;=37,F26217=""),"Incomplete","Complete")))</f>
        <v>Complete</v>
      </c>
      <c r="I26217" s="48" t="s">
        <v>1396</v>
      </c>
    </row>
    <row r="26218" spans="2:9" ht="15" customHeight="1" x14ac:dyDescent="0.25">
      <c r="B26218" s="55" t="s">
        <v>372</v>
      </c>
      <c r="C26218" s="46">
        <v>38</v>
      </c>
      <c r="D26218" s="69" t="s">
        <v>29509</v>
      </c>
      <c r="E26218" s="62"/>
      <c r="F26218" s="62" t="str">
        <f>IF(INDEX(I.Gas.P2aY1TotalGasEnergy,38)="","",INDEX(I.Gas.P2aY1TotalGasEnergy,38))</f>
        <v/>
      </c>
      <c r="G26218" s="62"/>
      <c r="H26218" s="46" t="str">
        <f>IF(I.Developer.P2a=FALSE,"Complete",IF(I.Product.P2aGasToPowerStatus&lt;&gt;"Yes","Complete",IF(AND(I.Gas.P2aY1Count&gt;=38,F26218=""),"Incomplete","Complete")))</f>
        <v>Complete</v>
      </c>
      <c r="I26218" s="48" t="s">
        <v>1397</v>
      </c>
    </row>
    <row r="26219" spans="2:9" ht="15" customHeight="1" x14ac:dyDescent="0.25">
      <c r="B26219" s="55" t="s">
        <v>372</v>
      </c>
      <c r="C26219" s="46">
        <v>39</v>
      </c>
      <c r="D26219" s="69" t="s">
        <v>29509</v>
      </c>
      <c r="E26219" s="62"/>
      <c r="F26219" s="62" t="str">
        <f>IF(INDEX(I.Gas.P2aY1TotalGasEnergy,39)="","",INDEX(I.Gas.P2aY1TotalGasEnergy,39))</f>
        <v/>
      </c>
      <c r="G26219" s="62"/>
      <c r="H26219" s="46" t="str">
        <f>IF(I.Developer.P2a=FALSE,"Complete",IF(I.Product.P2aGasToPowerStatus&lt;&gt;"Yes","Complete",IF(AND(I.Gas.P2aY1Count&gt;=39,F26219=""),"Incomplete","Complete")))</f>
        <v>Complete</v>
      </c>
      <c r="I26219" s="48" t="s">
        <v>1398</v>
      </c>
    </row>
    <row r="26220" spans="2:9" ht="15" customHeight="1" x14ac:dyDescent="0.25">
      <c r="B26220" s="55" t="s">
        <v>372</v>
      </c>
      <c r="C26220" s="46">
        <v>40</v>
      </c>
      <c r="D26220" s="69" t="s">
        <v>29509</v>
      </c>
      <c r="E26220" s="62"/>
      <c r="F26220" s="62" t="str">
        <f>IF(INDEX(I.Gas.P2aY1TotalGasEnergy,40)="","",INDEX(I.Gas.P2aY1TotalGasEnergy,40))</f>
        <v/>
      </c>
      <c r="G26220" s="62"/>
      <c r="H26220" s="46" t="str">
        <f>IF(I.Developer.P2a=FALSE,"Complete",IF(I.Product.P2aGasToPowerStatus&lt;&gt;"Yes","Complete",IF(AND(I.Gas.P2aY1Count&gt;=40,F26220=""),"Incomplete","Complete")))</f>
        <v>Complete</v>
      </c>
      <c r="I26220" s="48" t="s">
        <v>1399</v>
      </c>
    </row>
    <row r="26221" spans="2:9" ht="15" customHeight="1" x14ac:dyDescent="0.25">
      <c r="B26221" s="55" t="s">
        <v>372</v>
      </c>
      <c r="C26221" s="46">
        <v>41</v>
      </c>
      <c r="D26221" s="69" t="s">
        <v>29509</v>
      </c>
      <c r="E26221" s="62"/>
      <c r="F26221" s="62" t="str">
        <f>IF(INDEX(I.Gas.P2aY1TotalGasEnergy,41)="","",INDEX(I.Gas.P2aY1TotalGasEnergy,41))</f>
        <v/>
      </c>
      <c r="G26221" s="62"/>
      <c r="H26221" s="46" t="str">
        <f>IF(I.Developer.P2a=FALSE,"Complete",IF(I.Product.P2aGasToPowerStatus&lt;&gt;"Yes","Complete",IF(AND(I.Gas.P2aY1Count&gt;=41,F26221=""),"Incomplete","Complete")))</f>
        <v>Complete</v>
      </c>
      <c r="I26221" s="48" t="s">
        <v>1400</v>
      </c>
    </row>
    <row r="26222" spans="2:9" ht="15" customHeight="1" x14ac:dyDescent="0.25">
      <c r="B26222" s="55" t="s">
        <v>372</v>
      </c>
      <c r="C26222" s="46">
        <v>42</v>
      </c>
      <c r="D26222" s="69" t="s">
        <v>29509</v>
      </c>
      <c r="E26222" s="62"/>
      <c r="F26222" s="62" t="str">
        <f>IF(INDEX(I.Gas.P2aY1TotalGasEnergy,42)="","",INDEX(I.Gas.P2aY1TotalGasEnergy,42))</f>
        <v/>
      </c>
      <c r="G26222" s="62"/>
      <c r="H26222" s="46" t="str">
        <f>IF(I.Developer.P2a=FALSE,"Complete",IF(I.Product.P2aGasToPowerStatus&lt;&gt;"Yes","Complete",IF(AND(I.Gas.P2aY1Count&gt;=42,F26222=""),"Incomplete","Complete")))</f>
        <v>Complete</v>
      </c>
      <c r="I26222" s="48" t="s">
        <v>1401</v>
      </c>
    </row>
    <row r="26223" spans="2:9" ht="15" customHeight="1" x14ac:dyDescent="0.25">
      <c r="B26223" s="55" t="s">
        <v>372</v>
      </c>
      <c r="C26223" s="46">
        <v>43</v>
      </c>
      <c r="D26223" s="69" t="s">
        <v>29509</v>
      </c>
      <c r="E26223" s="62"/>
      <c r="F26223" s="62" t="str">
        <f>IF(INDEX(I.Gas.P2aY1TotalGasEnergy,43)="","",INDEX(I.Gas.P2aY1TotalGasEnergy,43))</f>
        <v/>
      </c>
      <c r="G26223" s="62"/>
      <c r="H26223" s="46" t="str">
        <f>IF(I.Developer.P2a=FALSE,"Complete",IF(I.Product.P2aGasToPowerStatus&lt;&gt;"Yes","Complete",IF(AND(I.Gas.P2aY1Count&gt;=43,F26223=""),"Incomplete","Complete")))</f>
        <v>Complete</v>
      </c>
      <c r="I26223" s="48" t="s">
        <v>1402</v>
      </c>
    </row>
    <row r="26224" spans="2:9" ht="15" customHeight="1" x14ac:dyDescent="0.25">
      <c r="B26224" s="55" t="s">
        <v>372</v>
      </c>
      <c r="C26224" s="46">
        <v>44</v>
      </c>
      <c r="D26224" s="69" t="s">
        <v>29509</v>
      </c>
      <c r="E26224" s="62"/>
      <c r="F26224" s="62" t="str">
        <f>IF(INDEX(I.Gas.P2aY1TotalGasEnergy,44)="","",INDEX(I.Gas.P2aY1TotalGasEnergy,44))</f>
        <v/>
      </c>
      <c r="G26224" s="62"/>
      <c r="H26224" s="46" t="str">
        <f>IF(I.Developer.P2a=FALSE,"Complete",IF(I.Product.P2aGasToPowerStatus&lt;&gt;"Yes","Complete",IF(AND(I.Gas.P2aY1Count&gt;=44,F26224=""),"Incomplete","Complete")))</f>
        <v>Complete</v>
      </c>
      <c r="I26224" s="48" t="s">
        <v>1403</v>
      </c>
    </row>
    <row r="26225" spans="2:9" ht="15" customHeight="1" x14ac:dyDescent="0.25">
      <c r="B26225" s="55" t="s">
        <v>372</v>
      </c>
      <c r="C26225" s="46">
        <v>45</v>
      </c>
      <c r="D26225" s="69" t="s">
        <v>29509</v>
      </c>
      <c r="E26225" s="62"/>
      <c r="F26225" s="62" t="str">
        <f>IF(INDEX(I.Gas.P2aY1TotalGasEnergy,45)="","",INDEX(I.Gas.P2aY1TotalGasEnergy,45))</f>
        <v/>
      </c>
      <c r="G26225" s="62"/>
      <c r="H26225" s="46" t="str">
        <f>IF(I.Developer.P2a=FALSE,"Complete",IF(I.Product.P2aGasToPowerStatus&lt;&gt;"Yes","Complete",IF(AND(I.Gas.P2aY1Count&gt;=45,F26225=""),"Incomplete","Complete")))</f>
        <v>Complete</v>
      </c>
      <c r="I26225" s="48" t="s">
        <v>1404</v>
      </c>
    </row>
    <row r="26226" spans="2:9" ht="15" customHeight="1" x14ac:dyDescent="0.25">
      <c r="B26226" s="55" t="s">
        <v>372</v>
      </c>
      <c r="C26226" s="46">
        <v>46</v>
      </c>
      <c r="D26226" s="69" t="s">
        <v>29509</v>
      </c>
      <c r="E26226" s="62"/>
      <c r="F26226" s="62" t="str">
        <f>IF(INDEX(I.Gas.P2aY1TotalGasEnergy,46)="","",INDEX(I.Gas.P2aY1TotalGasEnergy,46))</f>
        <v/>
      </c>
      <c r="G26226" s="62"/>
      <c r="H26226" s="46" t="str">
        <f>IF(I.Developer.P2a=FALSE,"Complete",IF(I.Product.P2aGasToPowerStatus&lt;&gt;"Yes","Complete",IF(AND(I.Gas.P2aY1Count&gt;=46,F26226=""),"Incomplete","Complete")))</f>
        <v>Complete</v>
      </c>
      <c r="I26226" s="48" t="s">
        <v>1405</v>
      </c>
    </row>
    <row r="26227" spans="2:9" ht="15" customHeight="1" x14ac:dyDescent="0.25">
      <c r="B26227" s="55" t="s">
        <v>372</v>
      </c>
      <c r="C26227" s="46">
        <v>47</v>
      </c>
      <c r="D26227" s="69" t="s">
        <v>29509</v>
      </c>
      <c r="E26227" s="62"/>
      <c r="F26227" s="62" t="str">
        <f>IF(INDEX(I.Gas.P2aY1TotalGasEnergy,47)="","",INDEX(I.Gas.P2aY1TotalGasEnergy,47))</f>
        <v/>
      </c>
      <c r="G26227" s="62"/>
      <c r="H26227" s="46" t="str">
        <f>IF(I.Developer.P2a=FALSE,"Complete",IF(I.Product.P2aGasToPowerStatus&lt;&gt;"Yes","Complete",IF(AND(I.Gas.P2aY1Count&gt;=47,F26227=""),"Incomplete","Complete")))</f>
        <v>Complete</v>
      </c>
      <c r="I26227" s="48" t="s">
        <v>1406</v>
      </c>
    </row>
    <row r="26228" spans="2:9" ht="15" customHeight="1" x14ac:dyDescent="0.25">
      <c r="B26228" s="55" t="s">
        <v>372</v>
      </c>
      <c r="C26228" s="46">
        <v>48</v>
      </c>
      <c r="D26228" s="69" t="s">
        <v>29509</v>
      </c>
      <c r="E26228" s="62"/>
      <c r="F26228" s="62" t="str">
        <f>IF(INDEX(I.Gas.P2aY1TotalGasEnergy,48)="","",INDEX(I.Gas.P2aY1TotalGasEnergy,48))</f>
        <v/>
      </c>
      <c r="G26228" s="62"/>
      <c r="H26228" s="46" t="str">
        <f>IF(I.Developer.P2a=FALSE,"Complete",IF(I.Product.P2aGasToPowerStatus&lt;&gt;"Yes","Complete",IF(AND(I.Gas.P2aY1Count&gt;=48,F26228=""),"Incomplete","Complete")))</f>
        <v>Complete</v>
      </c>
      <c r="I26228" s="48" t="s">
        <v>1407</v>
      </c>
    </row>
    <row r="26229" spans="2:9" ht="15" customHeight="1" x14ac:dyDescent="0.25">
      <c r="B26229" s="55" t="s">
        <v>372</v>
      </c>
      <c r="C26229" s="46">
        <v>49</v>
      </c>
      <c r="D26229" s="69" t="s">
        <v>29509</v>
      </c>
      <c r="E26229" s="62"/>
      <c r="F26229" s="62" t="str">
        <f>IF(INDEX(I.Gas.P2aY1TotalGasEnergy,49)="","",INDEX(I.Gas.P2aY1TotalGasEnergy,49))</f>
        <v/>
      </c>
      <c r="G26229" s="62"/>
      <c r="H26229" s="46" t="str">
        <f>IF(I.Developer.P2a=FALSE,"Complete",IF(I.Product.P2aGasToPowerStatus&lt;&gt;"Yes","Complete",IF(AND(I.Gas.P2aY1Count&gt;=49,F26229=""),"Incomplete","Complete")))</f>
        <v>Complete</v>
      </c>
      <c r="I26229" s="48" t="s">
        <v>1408</v>
      </c>
    </row>
    <row r="26230" spans="2:9" ht="15" customHeight="1" x14ac:dyDescent="0.25">
      <c r="B26230" s="56" t="s">
        <v>372</v>
      </c>
      <c r="C26230" s="57">
        <v>50</v>
      </c>
      <c r="D26230" s="71" t="s">
        <v>29509</v>
      </c>
      <c r="E26230" s="61"/>
      <c r="F26230" s="61" t="str">
        <f>IF(INDEX(I.Gas.P2aY1TotalGasEnergy,50)="","",INDEX(I.Gas.P2aY1TotalGasEnergy,50))</f>
        <v/>
      </c>
      <c r="G26230" s="61"/>
      <c r="H26230" s="57" t="str">
        <f>IF(I.Developer.P2a=FALSE,"Complete",IF(I.Product.P2aGasToPowerStatus&lt;&gt;"Yes","Complete",IF(AND(I.Gas.P2aY1Count&gt;=50,F26230=""),"Incomplete","Complete")))</f>
        <v>Complete</v>
      </c>
      <c r="I26230" s="49" t="s">
        <v>1409</v>
      </c>
    </row>
    <row r="26231" spans="2:9" ht="15" customHeight="1" x14ac:dyDescent="0.25">
      <c r="B26231" s="55" t="s">
        <v>373</v>
      </c>
      <c r="C26231" s="46">
        <v>1</v>
      </c>
      <c r="D26231" s="69" t="s">
        <v>29510</v>
      </c>
      <c r="E26231" s="62"/>
      <c r="F26231" s="62" t="str">
        <f>IF(INDEX(I.Gas.P2aY1ElectricityGeneration,1)="","",INDEX(I.Gas.P2aY1ElectricityGeneration,1))</f>
        <v/>
      </c>
      <c r="G26231" s="62"/>
      <c r="H26231" s="46" t="str">
        <f>IF(I.Developer.P2a=FALSE,"Complete",IF(I.Product.P2aGasToPowerStatus&lt;&gt;"Yes","Complete",IF(AND(I.Gas.P2aY1Count&gt;=1,F26231=""),"Incomplete","Complete")))</f>
        <v>Complete</v>
      </c>
      <c r="I26231" s="48" t="s">
        <v>1410</v>
      </c>
    </row>
    <row r="26232" spans="2:9" ht="15" customHeight="1" x14ac:dyDescent="0.25">
      <c r="B26232" s="55" t="s">
        <v>373</v>
      </c>
      <c r="C26232" s="46">
        <v>2</v>
      </c>
      <c r="D26232" s="69" t="s">
        <v>29510</v>
      </c>
      <c r="E26232" s="62"/>
      <c r="F26232" s="62" t="str">
        <f>IF(INDEX(I.Gas.P2aY1ElectricityGeneration,2)="","",INDEX(I.Gas.P2aY1ElectricityGeneration,2))</f>
        <v/>
      </c>
      <c r="G26232" s="62"/>
      <c r="H26232" s="46" t="str">
        <f>IF(I.Developer.P2a=FALSE,"Complete",IF(I.Product.P2aGasToPowerStatus&lt;&gt;"Yes","Complete",IF(AND(I.Gas.P2aY1Count&gt;=2,F26232=""),"Incomplete","Complete")))</f>
        <v>Complete</v>
      </c>
      <c r="I26232" s="48" t="s">
        <v>1411</v>
      </c>
    </row>
    <row r="26233" spans="2:9" ht="15" customHeight="1" x14ac:dyDescent="0.25">
      <c r="B26233" s="55" t="s">
        <v>373</v>
      </c>
      <c r="C26233" s="46">
        <v>3</v>
      </c>
      <c r="D26233" s="69" t="s">
        <v>29510</v>
      </c>
      <c r="E26233" s="62"/>
      <c r="F26233" s="62" t="str">
        <f>IF(INDEX(I.Gas.P2aY1ElectricityGeneration,3)="","",INDEX(I.Gas.P2aY1ElectricityGeneration,3))</f>
        <v/>
      </c>
      <c r="G26233" s="62"/>
      <c r="H26233" s="46" t="str">
        <f>IF(I.Developer.P2a=FALSE,"Complete",IF(I.Product.P2aGasToPowerStatus&lt;&gt;"Yes","Complete",IF(AND(I.Gas.P2aY1Count&gt;=3,F26233=""),"Incomplete","Complete")))</f>
        <v>Complete</v>
      </c>
      <c r="I26233" s="48" t="s">
        <v>1412</v>
      </c>
    </row>
    <row r="26234" spans="2:9" ht="15" customHeight="1" x14ac:dyDescent="0.25">
      <c r="B26234" s="55" t="s">
        <v>373</v>
      </c>
      <c r="C26234" s="46">
        <v>4</v>
      </c>
      <c r="D26234" s="69" t="s">
        <v>29510</v>
      </c>
      <c r="E26234" s="62"/>
      <c r="F26234" s="62" t="str">
        <f>IF(INDEX(I.Gas.P2aY1ElectricityGeneration,4)="","",INDEX(I.Gas.P2aY1ElectricityGeneration,4))</f>
        <v/>
      </c>
      <c r="G26234" s="62"/>
      <c r="H26234" s="46" t="str">
        <f>IF(I.Developer.P2a=FALSE,"Complete",IF(I.Product.P2aGasToPowerStatus&lt;&gt;"Yes","Complete",IF(AND(I.Gas.P2aY1Count&gt;=4,F26234=""),"Incomplete","Complete")))</f>
        <v>Complete</v>
      </c>
      <c r="I26234" s="48" t="s">
        <v>1413</v>
      </c>
    </row>
    <row r="26235" spans="2:9" ht="15" customHeight="1" x14ac:dyDescent="0.25">
      <c r="B26235" s="55" t="s">
        <v>373</v>
      </c>
      <c r="C26235" s="46">
        <v>5</v>
      </c>
      <c r="D26235" s="69" t="s">
        <v>29510</v>
      </c>
      <c r="E26235" s="62"/>
      <c r="F26235" s="62" t="str">
        <f>IF(INDEX(I.Gas.P2aY1ElectricityGeneration,5)="","",INDEX(I.Gas.P2aY1ElectricityGeneration,5))</f>
        <v/>
      </c>
      <c r="G26235" s="62"/>
      <c r="H26235" s="46" t="str">
        <f>IF(I.Developer.P2a=FALSE,"Complete",IF(I.Product.P2aGasToPowerStatus&lt;&gt;"Yes","Complete",IF(AND(I.Gas.P2aY1Count&gt;=5,F26235=""),"Incomplete","Complete")))</f>
        <v>Complete</v>
      </c>
      <c r="I26235" s="48" t="s">
        <v>1414</v>
      </c>
    </row>
    <row r="26236" spans="2:9" ht="15" customHeight="1" x14ac:dyDescent="0.25">
      <c r="B26236" s="55" t="s">
        <v>373</v>
      </c>
      <c r="C26236" s="46">
        <v>6</v>
      </c>
      <c r="D26236" s="69" t="s">
        <v>29510</v>
      </c>
      <c r="E26236" s="62"/>
      <c r="F26236" s="62" t="str">
        <f>IF(INDEX(I.Gas.P2aY1ElectricityGeneration,6)="","",INDEX(I.Gas.P2aY1ElectricityGeneration,6))</f>
        <v/>
      </c>
      <c r="G26236" s="62"/>
      <c r="H26236" s="46" t="str">
        <f>IF(I.Developer.P2a=FALSE,"Complete",IF(I.Product.P2aGasToPowerStatus&lt;&gt;"Yes","Complete",IF(AND(I.Gas.P2aY1Count&gt;=6,F26236=""),"Incomplete","Complete")))</f>
        <v>Complete</v>
      </c>
      <c r="I26236" s="48" t="s">
        <v>1415</v>
      </c>
    </row>
    <row r="26237" spans="2:9" ht="15" customHeight="1" x14ac:dyDescent="0.25">
      <c r="B26237" s="55" t="s">
        <v>373</v>
      </c>
      <c r="C26237" s="46">
        <v>7</v>
      </c>
      <c r="D26237" s="69" t="s">
        <v>29510</v>
      </c>
      <c r="E26237" s="62"/>
      <c r="F26237" s="62" t="str">
        <f>IF(INDEX(I.Gas.P2aY1ElectricityGeneration,7)="","",INDEX(I.Gas.P2aY1ElectricityGeneration,7))</f>
        <v/>
      </c>
      <c r="G26237" s="62"/>
      <c r="H26237" s="46" t="str">
        <f>IF(I.Developer.P2a=FALSE,"Complete",IF(I.Product.P2aGasToPowerStatus&lt;&gt;"Yes","Complete",IF(AND(I.Gas.P2aY1Count&gt;=7,F26237=""),"Incomplete","Complete")))</f>
        <v>Complete</v>
      </c>
      <c r="I26237" s="48" t="s">
        <v>1416</v>
      </c>
    </row>
    <row r="26238" spans="2:9" ht="15" customHeight="1" x14ac:dyDescent="0.25">
      <c r="B26238" s="55" t="s">
        <v>373</v>
      </c>
      <c r="C26238" s="46">
        <v>8</v>
      </c>
      <c r="D26238" s="69" t="s">
        <v>29510</v>
      </c>
      <c r="E26238" s="62"/>
      <c r="F26238" s="62" t="str">
        <f>IF(INDEX(I.Gas.P2aY1ElectricityGeneration,8)="","",INDEX(I.Gas.P2aY1ElectricityGeneration,8))</f>
        <v/>
      </c>
      <c r="G26238" s="62"/>
      <c r="H26238" s="46" t="str">
        <f>IF(I.Developer.P2a=FALSE,"Complete",IF(I.Product.P2aGasToPowerStatus&lt;&gt;"Yes","Complete",IF(AND(I.Gas.P2aY1Count&gt;=8,F26238=""),"Incomplete","Complete")))</f>
        <v>Complete</v>
      </c>
      <c r="I26238" s="48" t="s">
        <v>1417</v>
      </c>
    </row>
    <row r="26239" spans="2:9" ht="15" customHeight="1" x14ac:dyDescent="0.25">
      <c r="B26239" s="55" t="s">
        <v>373</v>
      </c>
      <c r="C26239" s="46">
        <v>9</v>
      </c>
      <c r="D26239" s="69" t="s">
        <v>29510</v>
      </c>
      <c r="E26239" s="62"/>
      <c r="F26239" s="62" t="str">
        <f>IF(INDEX(I.Gas.P2aY1ElectricityGeneration,9)="","",INDEX(I.Gas.P2aY1ElectricityGeneration,9))</f>
        <v/>
      </c>
      <c r="G26239" s="62"/>
      <c r="H26239" s="46" t="str">
        <f>IF(I.Developer.P2a=FALSE,"Complete",IF(I.Product.P2aGasToPowerStatus&lt;&gt;"Yes","Complete",IF(AND(I.Gas.P2aY1Count&gt;=9,F26239=""),"Incomplete","Complete")))</f>
        <v>Complete</v>
      </c>
      <c r="I26239" s="48" t="s">
        <v>1418</v>
      </c>
    </row>
    <row r="26240" spans="2:9" ht="15" customHeight="1" x14ac:dyDescent="0.25">
      <c r="B26240" s="55" t="s">
        <v>373</v>
      </c>
      <c r="C26240" s="46">
        <v>10</v>
      </c>
      <c r="D26240" s="69" t="s">
        <v>29510</v>
      </c>
      <c r="E26240" s="62"/>
      <c r="F26240" s="62" t="str">
        <f>IF(INDEX(I.Gas.P2aY1ElectricityGeneration,10)="","",INDEX(I.Gas.P2aY1ElectricityGeneration,10))</f>
        <v/>
      </c>
      <c r="G26240" s="62"/>
      <c r="H26240" s="46" t="str">
        <f>IF(I.Developer.P2a=FALSE,"Complete",IF(I.Product.P2aGasToPowerStatus&lt;&gt;"Yes","Complete",IF(AND(I.Gas.P2aY1Count&gt;=10,F26240=""),"Incomplete","Complete")))</f>
        <v>Complete</v>
      </c>
      <c r="I26240" s="48" t="s">
        <v>1419</v>
      </c>
    </row>
    <row r="26241" spans="2:9" ht="15" customHeight="1" x14ac:dyDescent="0.25">
      <c r="B26241" s="55" t="s">
        <v>373</v>
      </c>
      <c r="C26241" s="46">
        <v>11</v>
      </c>
      <c r="D26241" s="69" t="s">
        <v>29510</v>
      </c>
      <c r="E26241" s="62"/>
      <c r="F26241" s="62" t="str">
        <f>IF(INDEX(I.Gas.P2aY1ElectricityGeneration,11)="","",INDEX(I.Gas.P2aY1ElectricityGeneration,11))</f>
        <v/>
      </c>
      <c r="G26241" s="62"/>
      <c r="H26241" s="46" t="str">
        <f>IF(I.Developer.P2a=FALSE,"Complete",IF(I.Product.P2aGasToPowerStatus&lt;&gt;"Yes","Complete",IF(AND(I.Gas.P2aY1Count&gt;=11,F26241=""),"Incomplete","Complete")))</f>
        <v>Complete</v>
      </c>
      <c r="I26241" s="48" t="s">
        <v>1420</v>
      </c>
    </row>
    <row r="26242" spans="2:9" ht="15" customHeight="1" x14ac:dyDescent="0.25">
      <c r="B26242" s="55" t="s">
        <v>373</v>
      </c>
      <c r="C26242" s="46">
        <v>12</v>
      </c>
      <c r="D26242" s="69" t="s">
        <v>29510</v>
      </c>
      <c r="E26242" s="62"/>
      <c r="F26242" s="62" t="str">
        <f>IF(INDEX(I.Gas.P2aY1ElectricityGeneration,12)="","",INDEX(I.Gas.P2aY1ElectricityGeneration,12))</f>
        <v/>
      </c>
      <c r="G26242" s="62"/>
      <c r="H26242" s="46" t="str">
        <f>IF(I.Developer.P2a=FALSE,"Complete",IF(I.Product.P2aGasToPowerStatus&lt;&gt;"Yes","Complete",IF(AND(I.Gas.P2aY1Count&gt;=12,F26242=""),"Incomplete","Complete")))</f>
        <v>Complete</v>
      </c>
      <c r="I26242" s="48" t="s">
        <v>1421</v>
      </c>
    </row>
    <row r="26243" spans="2:9" ht="15" customHeight="1" x14ac:dyDescent="0.25">
      <c r="B26243" s="55" t="s">
        <v>373</v>
      </c>
      <c r="C26243" s="46">
        <v>13</v>
      </c>
      <c r="D26243" s="69" t="s">
        <v>29510</v>
      </c>
      <c r="E26243" s="62"/>
      <c r="F26243" s="62" t="str">
        <f>IF(INDEX(I.Gas.P2aY1ElectricityGeneration,13)="","",INDEX(I.Gas.P2aY1ElectricityGeneration,13))</f>
        <v/>
      </c>
      <c r="G26243" s="62"/>
      <c r="H26243" s="46" t="str">
        <f>IF(I.Developer.P2a=FALSE,"Complete",IF(I.Product.P2aGasToPowerStatus&lt;&gt;"Yes","Complete",IF(AND(I.Gas.P2aY1Count&gt;=13,F26243=""),"Incomplete","Complete")))</f>
        <v>Complete</v>
      </c>
      <c r="I26243" s="48" t="s">
        <v>1422</v>
      </c>
    </row>
    <row r="26244" spans="2:9" ht="15" customHeight="1" x14ac:dyDescent="0.25">
      <c r="B26244" s="55" t="s">
        <v>373</v>
      </c>
      <c r="C26244" s="46">
        <v>14</v>
      </c>
      <c r="D26244" s="69" t="s">
        <v>29510</v>
      </c>
      <c r="E26244" s="62"/>
      <c r="F26244" s="62" t="str">
        <f>IF(INDEX(I.Gas.P2aY1ElectricityGeneration,14)="","",INDEX(I.Gas.P2aY1ElectricityGeneration,14))</f>
        <v/>
      </c>
      <c r="G26244" s="62"/>
      <c r="H26244" s="46" t="str">
        <f>IF(I.Developer.P2a=FALSE,"Complete",IF(I.Product.P2aGasToPowerStatus&lt;&gt;"Yes","Complete",IF(AND(I.Gas.P2aY1Count&gt;=14,F26244=""),"Incomplete","Complete")))</f>
        <v>Complete</v>
      </c>
      <c r="I26244" s="48" t="s">
        <v>1423</v>
      </c>
    </row>
    <row r="26245" spans="2:9" ht="15" customHeight="1" x14ac:dyDescent="0.25">
      <c r="B26245" s="55" t="s">
        <v>373</v>
      </c>
      <c r="C26245" s="46">
        <v>15</v>
      </c>
      <c r="D26245" s="69" t="s">
        <v>29510</v>
      </c>
      <c r="E26245" s="62"/>
      <c r="F26245" s="62" t="str">
        <f>IF(INDEX(I.Gas.P2aY1ElectricityGeneration,15)="","",INDEX(I.Gas.P2aY1ElectricityGeneration,15))</f>
        <v/>
      </c>
      <c r="G26245" s="62"/>
      <c r="H26245" s="46" t="str">
        <f>IF(I.Developer.P2a=FALSE,"Complete",IF(I.Product.P2aGasToPowerStatus&lt;&gt;"Yes","Complete",IF(AND(I.Gas.P2aY1Count&gt;=15,F26245=""),"Incomplete","Complete")))</f>
        <v>Complete</v>
      </c>
      <c r="I26245" s="48" t="s">
        <v>1424</v>
      </c>
    </row>
    <row r="26246" spans="2:9" ht="15" customHeight="1" x14ac:dyDescent="0.25">
      <c r="B26246" s="55" t="s">
        <v>373</v>
      </c>
      <c r="C26246" s="46">
        <v>16</v>
      </c>
      <c r="D26246" s="69" t="s">
        <v>29510</v>
      </c>
      <c r="E26246" s="62"/>
      <c r="F26246" s="62" t="str">
        <f>IF(INDEX(I.Gas.P2aY1ElectricityGeneration,16)="","",INDEX(I.Gas.P2aY1ElectricityGeneration,16))</f>
        <v/>
      </c>
      <c r="G26246" s="62"/>
      <c r="H26246" s="46" t="str">
        <f>IF(I.Developer.P2a=FALSE,"Complete",IF(I.Product.P2aGasToPowerStatus&lt;&gt;"Yes","Complete",IF(AND(I.Gas.P2aY1Count&gt;=16,F26246=""),"Incomplete","Complete")))</f>
        <v>Complete</v>
      </c>
      <c r="I26246" s="48" t="s">
        <v>1425</v>
      </c>
    </row>
    <row r="26247" spans="2:9" ht="15" customHeight="1" x14ac:dyDescent="0.25">
      <c r="B26247" s="55" t="s">
        <v>373</v>
      </c>
      <c r="C26247" s="46">
        <v>17</v>
      </c>
      <c r="D26247" s="69" t="s">
        <v>29510</v>
      </c>
      <c r="E26247" s="62"/>
      <c r="F26247" s="62" t="str">
        <f>IF(INDEX(I.Gas.P2aY1ElectricityGeneration,17)="","",INDEX(I.Gas.P2aY1ElectricityGeneration,17))</f>
        <v/>
      </c>
      <c r="G26247" s="62"/>
      <c r="H26247" s="46" t="str">
        <f>IF(I.Developer.P2a=FALSE,"Complete",IF(I.Product.P2aGasToPowerStatus&lt;&gt;"Yes","Complete",IF(AND(I.Gas.P2aY1Count&gt;=17,F26247=""),"Incomplete","Complete")))</f>
        <v>Complete</v>
      </c>
      <c r="I26247" s="48" t="s">
        <v>1426</v>
      </c>
    </row>
    <row r="26248" spans="2:9" ht="15" customHeight="1" x14ac:dyDescent="0.25">
      <c r="B26248" s="55" t="s">
        <v>373</v>
      </c>
      <c r="C26248" s="46">
        <v>18</v>
      </c>
      <c r="D26248" s="69" t="s">
        <v>29510</v>
      </c>
      <c r="E26248" s="62"/>
      <c r="F26248" s="62" t="str">
        <f>IF(INDEX(I.Gas.P2aY1ElectricityGeneration,18)="","",INDEX(I.Gas.P2aY1ElectricityGeneration,18))</f>
        <v/>
      </c>
      <c r="G26248" s="62"/>
      <c r="H26248" s="46" t="str">
        <f>IF(I.Developer.P2a=FALSE,"Complete",IF(I.Product.P2aGasToPowerStatus&lt;&gt;"Yes","Complete",IF(AND(I.Gas.P2aY1Count&gt;=18,F26248=""),"Incomplete","Complete")))</f>
        <v>Complete</v>
      </c>
      <c r="I26248" s="48" t="s">
        <v>1427</v>
      </c>
    </row>
    <row r="26249" spans="2:9" ht="15" customHeight="1" x14ac:dyDescent="0.25">
      <c r="B26249" s="55" t="s">
        <v>373</v>
      </c>
      <c r="C26249" s="46">
        <v>19</v>
      </c>
      <c r="D26249" s="69" t="s">
        <v>29510</v>
      </c>
      <c r="E26249" s="62"/>
      <c r="F26249" s="62" t="str">
        <f>IF(INDEX(I.Gas.P2aY1ElectricityGeneration,19)="","",INDEX(I.Gas.P2aY1ElectricityGeneration,19))</f>
        <v/>
      </c>
      <c r="G26249" s="62"/>
      <c r="H26249" s="46" t="str">
        <f>IF(I.Developer.P2a=FALSE,"Complete",IF(I.Product.P2aGasToPowerStatus&lt;&gt;"Yes","Complete",IF(AND(I.Gas.P2aY1Count&gt;=19,F26249=""),"Incomplete","Complete")))</f>
        <v>Complete</v>
      </c>
      <c r="I26249" s="48" t="s">
        <v>1428</v>
      </c>
    </row>
    <row r="26250" spans="2:9" ht="15" customHeight="1" x14ac:dyDescent="0.25">
      <c r="B26250" s="55" t="s">
        <v>373</v>
      </c>
      <c r="C26250" s="46">
        <v>20</v>
      </c>
      <c r="D26250" s="69" t="s">
        <v>29510</v>
      </c>
      <c r="E26250" s="62"/>
      <c r="F26250" s="62" t="str">
        <f>IF(INDEX(I.Gas.P2aY1ElectricityGeneration,20)="","",INDEX(I.Gas.P2aY1ElectricityGeneration,20))</f>
        <v/>
      </c>
      <c r="G26250" s="62"/>
      <c r="H26250" s="46" t="str">
        <f>IF(I.Developer.P2a=FALSE,"Complete",IF(I.Product.P2aGasToPowerStatus&lt;&gt;"Yes","Complete",IF(AND(I.Gas.P2aY1Count&gt;=20,F26250=""),"Incomplete","Complete")))</f>
        <v>Complete</v>
      </c>
      <c r="I26250" s="48" t="s">
        <v>1429</v>
      </c>
    </row>
    <row r="26251" spans="2:9" ht="15" customHeight="1" x14ac:dyDescent="0.25">
      <c r="B26251" s="55" t="s">
        <v>373</v>
      </c>
      <c r="C26251" s="46">
        <v>21</v>
      </c>
      <c r="D26251" s="69" t="s">
        <v>29510</v>
      </c>
      <c r="E26251" s="62"/>
      <c r="F26251" s="62" t="str">
        <f>IF(INDEX(I.Gas.P2aY1ElectricityGeneration,21)="","",INDEX(I.Gas.P2aY1ElectricityGeneration,21))</f>
        <v/>
      </c>
      <c r="G26251" s="62"/>
      <c r="H26251" s="46" t="str">
        <f>IF(I.Developer.P2a=FALSE,"Complete",IF(I.Product.P2aGasToPowerStatus&lt;&gt;"Yes","Complete",IF(AND(I.Gas.P2aY1Count&gt;=21,F26251=""),"Incomplete","Complete")))</f>
        <v>Complete</v>
      </c>
      <c r="I26251" s="48" t="s">
        <v>1430</v>
      </c>
    </row>
    <row r="26252" spans="2:9" ht="15" customHeight="1" x14ac:dyDescent="0.25">
      <c r="B26252" s="55" t="s">
        <v>373</v>
      </c>
      <c r="C26252" s="46">
        <v>22</v>
      </c>
      <c r="D26252" s="69" t="s">
        <v>29510</v>
      </c>
      <c r="E26252" s="62"/>
      <c r="F26252" s="62" t="str">
        <f>IF(INDEX(I.Gas.P2aY1ElectricityGeneration,22)="","",INDEX(I.Gas.P2aY1ElectricityGeneration,22))</f>
        <v/>
      </c>
      <c r="G26252" s="62"/>
      <c r="H26252" s="46" t="str">
        <f>IF(I.Developer.P2a=FALSE,"Complete",IF(I.Product.P2aGasToPowerStatus&lt;&gt;"Yes","Complete",IF(AND(I.Gas.P2aY1Count&gt;=22,F26252=""),"Incomplete","Complete")))</f>
        <v>Complete</v>
      </c>
      <c r="I26252" s="48" t="s">
        <v>1431</v>
      </c>
    </row>
    <row r="26253" spans="2:9" ht="15" customHeight="1" x14ac:dyDescent="0.25">
      <c r="B26253" s="55" t="s">
        <v>373</v>
      </c>
      <c r="C26253" s="46">
        <v>23</v>
      </c>
      <c r="D26253" s="69" t="s">
        <v>29510</v>
      </c>
      <c r="E26253" s="62"/>
      <c r="F26253" s="62" t="str">
        <f>IF(INDEX(I.Gas.P2aY1ElectricityGeneration,23)="","",INDEX(I.Gas.P2aY1ElectricityGeneration,23))</f>
        <v/>
      </c>
      <c r="G26253" s="62"/>
      <c r="H26253" s="46" t="str">
        <f>IF(I.Developer.P2a=FALSE,"Complete",IF(I.Product.P2aGasToPowerStatus&lt;&gt;"Yes","Complete",IF(AND(I.Gas.P2aY1Count&gt;=23,F26253=""),"Incomplete","Complete")))</f>
        <v>Complete</v>
      </c>
      <c r="I26253" s="48" t="s">
        <v>1432</v>
      </c>
    </row>
    <row r="26254" spans="2:9" ht="15" customHeight="1" x14ac:dyDescent="0.25">
      <c r="B26254" s="55" t="s">
        <v>373</v>
      </c>
      <c r="C26254" s="46">
        <v>24</v>
      </c>
      <c r="D26254" s="69" t="s">
        <v>29510</v>
      </c>
      <c r="E26254" s="62"/>
      <c r="F26254" s="62" t="str">
        <f>IF(INDEX(I.Gas.P2aY1ElectricityGeneration,24)="","",INDEX(I.Gas.P2aY1ElectricityGeneration,24))</f>
        <v/>
      </c>
      <c r="G26254" s="62"/>
      <c r="H26254" s="46" t="str">
        <f>IF(I.Developer.P2a=FALSE,"Complete",IF(I.Product.P2aGasToPowerStatus&lt;&gt;"Yes","Complete",IF(AND(I.Gas.P2aY1Count&gt;=24,F26254=""),"Incomplete","Complete")))</f>
        <v>Complete</v>
      </c>
      <c r="I26254" s="48" t="s">
        <v>1433</v>
      </c>
    </row>
    <row r="26255" spans="2:9" ht="15" customHeight="1" x14ac:dyDescent="0.25">
      <c r="B26255" s="55" t="s">
        <v>373</v>
      </c>
      <c r="C26255" s="46">
        <v>25</v>
      </c>
      <c r="D26255" s="69" t="s">
        <v>29510</v>
      </c>
      <c r="E26255" s="62"/>
      <c r="F26255" s="62" t="str">
        <f>IF(INDEX(I.Gas.P2aY1ElectricityGeneration,25)="","",INDEX(I.Gas.P2aY1ElectricityGeneration,25))</f>
        <v/>
      </c>
      <c r="G26255" s="62"/>
      <c r="H26255" s="46" t="str">
        <f>IF(I.Developer.P2a=FALSE,"Complete",IF(I.Product.P2aGasToPowerStatus&lt;&gt;"Yes","Complete",IF(AND(I.Gas.P2aY1Count&gt;=25,F26255=""),"Incomplete","Complete")))</f>
        <v>Complete</v>
      </c>
      <c r="I26255" s="48" t="s">
        <v>1434</v>
      </c>
    </row>
    <row r="26256" spans="2:9" ht="15" customHeight="1" x14ac:dyDescent="0.25">
      <c r="B26256" s="55" t="s">
        <v>373</v>
      </c>
      <c r="C26256" s="46">
        <v>26</v>
      </c>
      <c r="D26256" s="69" t="s">
        <v>29510</v>
      </c>
      <c r="E26256" s="62"/>
      <c r="F26256" s="62" t="str">
        <f>IF(INDEX(I.Gas.P2aY1ElectricityGeneration,26)="","",INDEX(I.Gas.P2aY1ElectricityGeneration,26))</f>
        <v/>
      </c>
      <c r="G26256" s="62"/>
      <c r="H26256" s="46" t="str">
        <f>IF(I.Developer.P2a=FALSE,"Complete",IF(I.Product.P2aGasToPowerStatus&lt;&gt;"Yes","Complete",IF(AND(I.Gas.P2aY1Count&gt;=26,F26256=""),"Incomplete","Complete")))</f>
        <v>Complete</v>
      </c>
      <c r="I26256" s="48" t="s">
        <v>1435</v>
      </c>
    </row>
    <row r="26257" spans="2:9" ht="15" customHeight="1" x14ac:dyDescent="0.25">
      <c r="B26257" s="55" t="s">
        <v>373</v>
      </c>
      <c r="C26257" s="46">
        <v>27</v>
      </c>
      <c r="D26257" s="69" t="s">
        <v>29510</v>
      </c>
      <c r="E26257" s="62"/>
      <c r="F26257" s="62" t="str">
        <f>IF(INDEX(I.Gas.P2aY1ElectricityGeneration,27)="","",INDEX(I.Gas.P2aY1ElectricityGeneration,27))</f>
        <v/>
      </c>
      <c r="G26257" s="62"/>
      <c r="H26257" s="46" t="str">
        <f>IF(I.Developer.P2a=FALSE,"Complete",IF(I.Product.P2aGasToPowerStatus&lt;&gt;"Yes","Complete",IF(AND(I.Gas.P2aY1Count&gt;=27,F26257=""),"Incomplete","Complete")))</f>
        <v>Complete</v>
      </c>
      <c r="I26257" s="48" t="s">
        <v>1436</v>
      </c>
    </row>
    <row r="26258" spans="2:9" ht="15" customHeight="1" x14ac:dyDescent="0.25">
      <c r="B26258" s="55" t="s">
        <v>373</v>
      </c>
      <c r="C26258" s="46">
        <v>28</v>
      </c>
      <c r="D26258" s="69" t="s">
        <v>29510</v>
      </c>
      <c r="E26258" s="62"/>
      <c r="F26258" s="62" t="str">
        <f>IF(INDEX(I.Gas.P2aY1ElectricityGeneration,28)="","",INDEX(I.Gas.P2aY1ElectricityGeneration,28))</f>
        <v/>
      </c>
      <c r="G26258" s="62"/>
      <c r="H26258" s="46" t="str">
        <f>IF(I.Developer.P2a=FALSE,"Complete",IF(I.Product.P2aGasToPowerStatus&lt;&gt;"Yes","Complete",IF(AND(I.Gas.P2aY1Count&gt;=28,F26258=""),"Incomplete","Complete")))</f>
        <v>Complete</v>
      </c>
      <c r="I26258" s="48" t="s">
        <v>1437</v>
      </c>
    </row>
    <row r="26259" spans="2:9" ht="15" customHeight="1" x14ac:dyDescent="0.25">
      <c r="B26259" s="55" t="s">
        <v>373</v>
      </c>
      <c r="C26259" s="46">
        <v>29</v>
      </c>
      <c r="D26259" s="69" t="s">
        <v>29510</v>
      </c>
      <c r="E26259" s="62"/>
      <c r="F26259" s="62" t="str">
        <f>IF(INDEX(I.Gas.P2aY1ElectricityGeneration,29)="","",INDEX(I.Gas.P2aY1ElectricityGeneration,29))</f>
        <v/>
      </c>
      <c r="G26259" s="62"/>
      <c r="H26259" s="46" t="str">
        <f>IF(I.Developer.P2a=FALSE,"Complete",IF(I.Product.P2aGasToPowerStatus&lt;&gt;"Yes","Complete",IF(AND(I.Gas.P2aY1Count&gt;=29,F26259=""),"Incomplete","Complete")))</f>
        <v>Complete</v>
      </c>
      <c r="I26259" s="48" t="s">
        <v>1438</v>
      </c>
    </row>
    <row r="26260" spans="2:9" ht="15" customHeight="1" x14ac:dyDescent="0.25">
      <c r="B26260" s="55" t="s">
        <v>373</v>
      </c>
      <c r="C26260" s="46">
        <v>30</v>
      </c>
      <c r="D26260" s="69" t="s">
        <v>29510</v>
      </c>
      <c r="E26260" s="62"/>
      <c r="F26260" s="62" t="str">
        <f>IF(INDEX(I.Gas.P2aY1ElectricityGeneration,30)="","",INDEX(I.Gas.P2aY1ElectricityGeneration,30))</f>
        <v/>
      </c>
      <c r="G26260" s="62"/>
      <c r="H26260" s="46" t="str">
        <f>IF(I.Developer.P2a=FALSE,"Complete",IF(I.Product.P2aGasToPowerStatus&lt;&gt;"Yes","Complete",IF(AND(I.Gas.P2aY1Count&gt;=30,F26260=""),"Incomplete","Complete")))</f>
        <v>Complete</v>
      </c>
      <c r="I26260" s="48" t="s">
        <v>1439</v>
      </c>
    </row>
    <row r="26261" spans="2:9" ht="15" customHeight="1" x14ac:dyDescent="0.25">
      <c r="B26261" s="55" t="s">
        <v>373</v>
      </c>
      <c r="C26261" s="46">
        <v>31</v>
      </c>
      <c r="D26261" s="69" t="s">
        <v>29510</v>
      </c>
      <c r="E26261" s="62"/>
      <c r="F26261" s="62" t="str">
        <f>IF(INDEX(I.Gas.P2aY1ElectricityGeneration,31)="","",INDEX(I.Gas.P2aY1ElectricityGeneration,31))</f>
        <v/>
      </c>
      <c r="G26261" s="62"/>
      <c r="H26261" s="46" t="str">
        <f>IF(I.Developer.P2a=FALSE,"Complete",IF(I.Product.P2aGasToPowerStatus&lt;&gt;"Yes","Complete",IF(AND(I.Gas.P2aY1Count&gt;=31,F26261=""),"Incomplete","Complete")))</f>
        <v>Complete</v>
      </c>
      <c r="I26261" s="48" t="s">
        <v>1440</v>
      </c>
    </row>
    <row r="26262" spans="2:9" ht="15" customHeight="1" x14ac:dyDescent="0.25">
      <c r="B26262" s="55" t="s">
        <v>373</v>
      </c>
      <c r="C26262" s="46">
        <v>32</v>
      </c>
      <c r="D26262" s="69" t="s">
        <v>29510</v>
      </c>
      <c r="E26262" s="62"/>
      <c r="F26262" s="62" t="str">
        <f>IF(INDEX(I.Gas.P2aY1ElectricityGeneration,32)="","",INDEX(I.Gas.P2aY1ElectricityGeneration,32))</f>
        <v/>
      </c>
      <c r="G26262" s="62"/>
      <c r="H26262" s="46" t="str">
        <f>IF(I.Developer.P2a=FALSE,"Complete",IF(I.Product.P2aGasToPowerStatus&lt;&gt;"Yes","Complete",IF(AND(I.Gas.P2aY1Count&gt;=32,F26262=""),"Incomplete","Complete")))</f>
        <v>Complete</v>
      </c>
      <c r="I26262" s="48" t="s">
        <v>1441</v>
      </c>
    </row>
    <row r="26263" spans="2:9" ht="15" customHeight="1" x14ac:dyDescent="0.25">
      <c r="B26263" s="55" t="s">
        <v>373</v>
      </c>
      <c r="C26263" s="46">
        <v>33</v>
      </c>
      <c r="D26263" s="69" t="s">
        <v>29510</v>
      </c>
      <c r="E26263" s="62"/>
      <c r="F26263" s="62" t="str">
        <f>IF(INDEX(I.Gas.P2aY1ElectricityGeneration,33)="","",INDEX(I.Gas.P2aY1ElectricityGeneration,33))</f>
        <v/>
      </c>
      <c r="G26263" s="62"/>
      <c r="H26263" s="46" t="str">
        <f>IF(I.Developer.P2a=FALSE,"Complete",IF(I.Product.P2aGasToPowerStatus&lt;&gt;"Yes","Complete",IF(AND(I.Gas.P2aY1Count&gt;=33,F26263=""),"Incomplete","Complete")))</f>
        <v>Complete</v>
      </c>
      <c r="I26263" s="48" t="s">
        <v>1442</v>
      </c>
    </row>
    <row r="26264" spans="2:9" ht="15" customHeight="1" x14ac:dyDescent="0.25">
      <c r="B26264" s="55" t="s">
        <v>373</v>
      </c>
      <c r="C26264" s="46">
        <v>34</v>
      </c>
      <c r="D26264" s="69" t="s">
        <v>29510</v>
      </c>
      <c r="E26264" s="62"/>
      <c r="F26264" s="62" t="str">
        <f>IF(INDEX(I.Gas.P2aY1ElectricityGeneration,34)="","",INDEX(I.Gas.P2aY1ElectricityGeneration,34))</f>
        <v/>
      </c>
      <c r="G26264" s="62"/>
      <c r="H26264" s="46" t="str">
        <f>IF(I.Developer.P2a=FALSE,"Complete",IF(I.Product.P2aGasToPowerStatus&lt;&gt;"Yes","Complete",IF(AND(I.Gas.P2aY1Count&gt;=34,F26264=""),"Incomplete","Complete")))</f>
        <v>Complete</v>
      </c>
      <c r="I26264" s="48" t="s">
        <v>1443</v>
      </c>
    </row>
    <row r="26265" spans="2:9" ht="15" customHeight="1" x14ac:dyDescent="0.25">
      <c r="B26265" s="55" t="s">
        <v>373</v>
      </c>
      <c r="C26265" s="46">
        <v>35</v>
      </c>
      <c r="D26265" s="69" t="s">
        <v>29510</v>
      </c>
      <c r="E26265" s="62"/>
      <c r="F26265" s="62" t="str">
        <f>IF(INDEX(I.Gas.P2aY1ElectricityGeneration,35)="","",INDEX(I.Gas.P2aY1ElectricityGeneration,35))</f>
        <v/>
      </c>
      <c r="G26265" s="62"/>
      <c r="H26265" s="46" t="str">
        <f>IF(I.Developer.P2a=FALSE,"Complete",IF(I.Product.P2aGasToPowerStatus&lt;&gt;"Yes","Complete",IF(AND(I.Gas.P2aY1Count&gt;=35,F26265=""),"Incomplete","Complete")))</f>
        <v>Complete</v>
      </c>
      <c r="I26265" s="48" t="s">
        <v>1444</v>
      </c>
    </row>
    <row r="26266" spans="2:9" ht="15" customHeight="1" x14ac:dyDescent="0.25">
      <c r="B26266" s="55" t="s">
        <v>373</v>
      </c>
      <c r="C26266" s="46">
        <v>36</v>
      </c>
      <c r="D26266" s="69" t="s">
        <v>29510</v>
      </c>
      <c r="E26266" s="62"/>
      <c r="F26266" s="62" t="str">
        <f>IF(INDEX(I.Gas.P2aY1ElectricityGeneration,36)="","",INDEX(I.Gas.P2aY1ElectricityGeneration,36))</f>
        <v/>
      </c>
      <c r="G26266" s="62"/>
      <c r="H26266" s="46" t="str">
        <f>IF(I.Developer.P2a=FALSE,"Complete",IF(I.Product.P2aGasToPowerStatus&lt;&gt;"Yes","Complete",IF(AND(I.Gas.P2aY1Count&gt;=36,F26266=""),"Incomplete","Complete")))</f>
        <v>Complete</v>
      </c>
      <c r="I26266" s="48" t="s">
        <v>1445</v>
      </c>
    </row>
    <row r="26267" spans="2:9" ht="15" customHeight="1" x14ac:dyDescent="0.25">
      <c r="B26267" s="55" t="s">
        <v>373</v>
      </c>
      <c r="C26267" s="46">
        <v>37</v>
      </c>
      <c r="D26267" s="69" t="s">
        <v>29510</v>
      </c>
      <c r="E26267" s="62"/>
      <c r="F26267" s="62" t="str">
        <f>IF(INDEX(I.Gas.P2aY1ElectricityGeneration,37)="","",INDEX(I.Gas.P2aY1ElectricityGeneration,37))</f>
        <v/>
      </c>
      <c r="G26267" s="62"/>
      <c r="H26267" s="46" t="str">
        <f>IF(I.Developer.P2a=FALSE,"Complete",IF(I.Product.P2aGasToPowerStatus&lt;&gt;"Yes","Complete",IF(AND(I.Gas.P2aY1Count&gt;=37,F26267=""),"Incomplete","Complete")))</f>
        <v>Complete</v>
      </c>
      <c r="I26267" s="48" t="s">
        <v>1446</v>
      </c>
    </row>
    <row r="26268" spans="2:9" ht="15" customHeight="1" x14ac:dyDescent="0.25">
      <c r="B26268" s="55" t="s">
        <v>373</v>
      </c>
      <c r="C26268" s="46">
        <v>38</v>
      </c>
      <c r="D26268" s="69" t="s">
        <v>29510</v>
      </c>
      <c r="E26268" s="62"/>
      <c r="F26268" s="62" t="str">
        <f>IF(INDEX(I.Gas.P2aY1ElectricityGeneration,38)="","",INDEX(I.Gas.P2aY1ElectricityGeneration,38))</f>
        <v/>
      </c>
      <c r="G26268" s="62"/>
      <c r="H26268" s="46" t="str">
        <f>IF(I.Developer.P2a=FALSE,"Complete",IF(I.Product.P2aGasToPowerStatus&lt;&gt;"Yes","Complete",IF(AND(I.Gas.P2aY1Count&gt;=38,F26268=""),"Incomplete","Complete")))</f>
        <v>Complete</v>
      </c>
      <c r="I26268" s="48" t="s">
        <v>1447</v>
      </c>
    </row>
    <row r="26269" spans="2:9" ht="15" customHeight="1" x14ac:dyDescent="0.25">
      <c r="B26269" s="55" t="s">
        <v>373</v>
      </c>
      <c r="C26269" s="46">
        <v>39</v>
      </c>
      <c r="D26269" s="69" t="s">
        <v>29510</v>
      </c>
      <c r="E26269" s="62"/>
      <c r="F26269" s="62" t="str">
        <f>IF(INDEX(I.Gas.P2aY1ElectricityGeneration,39)="","",INDEX(I.Gas.P2aY1ElectricityGeneration,39))</f>
        <v/>
      </c>
      <c r="G26269" s="62"/>
      <c r="H26269" s="46" t="str">
        <f>IF(I.Developer.P2a=FALSE,"Complete",IF(I.Product.P2aGasToPowerStatus&lt;&gt;"Yes","Complete",IF(AND(I.Gas.P2aY1Count&gt;=39,F26269=""),"Incomplete","Complete")))</f>
        <v>Complete</v>
      </c>
      <c r="I26269" s="48" t="s">
        <v>1448</v>
      </c>
    </row>
    <row r="26270" spans="2:9" ht="15" customHeight="1" x14ac:dyDescent="0.25">
      <c r="B26270" s="55" t="s">
        <v>373</v>
      </c>
      <c r="C26270" s="46">
        <v>40</v>
      </c>
      <c r="D26270" s="69" t="s">
        <v>29510</v>
      </c>
      <c r="E26270" s="62"/>
      <c r="F26270" s="62" t="str">
        <f>IF(INDEX(I.Gas.P2aY1ElectricityGeneration,40)="","",INDEX(I.Gas.P2aY1ElectricityGeneration,40))</f>
        <v/>
      </c>
      <c r="G26270" s="62"/>
      <c r="H26270" s="46" t="str">
        <f>IF(I.Developer.P2a=FALSE,"Complete",IF(I.Product.P2aGasToPowerStatus&lt;&gt;"Yes","Complete",IF(AND(I.Gas.P2aY1Count&gt;=40,F26270=""),"Incomplete","Complete")))</f>
        <v>Complete</v>
      </c>
      <c r="I26270" s="48" t="s">
        <v>1449</v>
      </c>
    </row>
    <row r="26271" spans="2:9" ht="15" customHeight="1" x14ac:dyDescent="0.25">
      <c r="B26271" s="55" t="s">
        <v>373</v>
      </c>
      <c r="C26271" s="46">
        <v>41</v>
      </c>
      <c r="D26271" s="69" t="s">
        <v>29510</v>
      </c>
      <c r="E26271" s="62"/>
      <c r="F26271" s="62" t="str">
        <f>IF(INDEX(I.Gas.P2aY1ElectricityGeneration,41)="","",INDEX(I.Gas.P2aY1ElectricityGeneration,41))</f>
        <v/>
      </c>
      <c r="G26271" s="62"/>
      <c r="H26271" s="46" t="str">
        <f>IF(I.Developer.P2a=FALSE,"Complete",IF(I.Product.P2aGasToPowerStatus&lt;&gt;"Yes","Complete",IF(AND(I.Gas.P2aY1Count&gt;=41,F26271=""),"Incomplete","Complete")))</f>
        <v>Complete</v>
      </c>
      <c r="I26271" s="48" t="s">
        <v>1450</v>
      </c>
    </row>
    <row r="26272" spans="2:9" ht="15" customHeight="1" x14ac:dyDescent="0.25">
      <c r="B26272" s="55" t="s">
        <v>373</v>
      </c>
      <c r="C26272" s="46">
        <v>42</v>
      </c>
      <c r="D26272" s="69" t="s">
        <v>29510</v>
      </c>
      <c r="E26272" s="62"/>
      <c r="F26272" s="62" t="str">
        <f>IF(INDEX(I.Gas.P2aY1ElectricityGeneration,42)="","",INDEX(I.Gas.P2aY1ElectricityGeneration,42))</f>
        <v/>
      </c>
      <c r="G26272" s="62"/>
      <c r="H26272" s="46" t="str">
        <f>IF(I.Developer.P2a=FALSE,"Complete",IF(I.Product.P2aGasToPowerStatus&lt;&gt;"Yes","Complete",IF(AND(I.Gas.P2aY1Count&gt;=42,F26272=""),"Incomplete","Complete")))</f>
        <v>Complete</v>
      </c>
      <c r="I26272" s="48" t="s">
        <v>1451</v>
      </c>
    </row>
    <row r="26273" spans="2:9" ht="15" customHeight="1" x14ac:dyDescent="0.25">
      <c r="B26273" s="55" t="s">
        <v>373</v>
      </c>
      <c r="C26273" s="46">
        <v>43</v>
      </c>
      <c r="D26273" s="69" t="s">
        <v>29510</v>
      </c>
      <c r="E26273" s="62"/>
      <c r="F26273" s="62" t="str">
        <f>IF(INDEX(I.Gas.P2aY1ElectricityGeneration,43)="","",INDEX(I.Gas.P2aY1ElectricityGeneration,43))</f>
        <v/>
      </c>
      <c r="G26273" s="62"/>
      <c r="H26273" s="46" t="str">
        <f>IF(I.Developer.P2a=FALSE,"Complete",IF(I.Product.P2aGasToPowerStatus&lt;&gt;"Yes","Complete",IF(AND(I.Gas.P2aY1Count&gt;=43,F26273=""),"Incomplete","Complete")))</f>
        <v>Complete</v>
      </c>
      <c r="I26273" s="48" t="s">
        <v>1452</v>
      </c>
    </row>
    <row r="26274" spans="2:9" ht="15" customHeight="1" x14ac:dyDescent="0.25">
      <c r="B26274" s="55" t="s">
        <v>373</v>
      </c>
      <c r="C26274" s="46">
        <v>44</v>
      </c>
      <c r="D26274" s="69" t="s">
        <v>29510</v>
      </c>
      <c r="E26274" s="62"/>
      <c r="F26274" s="62" t="str">
        <f>IF(INDEX(I.Gas.P2aY1ElectricityGeneration,44)="","",INDEX(I.Gas.P2aY1ElectricityGeneration,44))</f>
        <v/>
      </c>
      <c r="G26274" s="62"/>
      <c r="H26274" s="46" t="str">
        <f>IF(I.Developer.P2a=FALSE,"Complete",IF(I.Product.P2aGasToPowerStatus&lt;&gt;"Yes","Complete",IF(AND(I.Gas.P2aY1Count&gt;=44,F26274=""),"Incomplete","Complete")))</f>
        <v>Complete</v>
      </c>
      <c r="I26274" s="48" t="s">
        <v>1453</v>
      </c>
    </row>
    <row r="26275" spans="2:9" ht="15" customHeight="1" x14ac:dyDescent="0.25">
      <c r="B26275" s="55" t="s">
        <v>373</v>
      </c>
      <c r="C26275" s="46">
        <v>45</v>
      </c>
      <c r="D26275" s="69" t="s">
        <v>29510</v>
      </c>
      <c r="E26275" s="62"/>
      <c r="F26275" s="62" t="str">
        <f>IF(INDEX(I.Gas.P2aY1ElectricityGeneration,45)="","",INDEX(I.Gas.P2aY1ElectricityGeneration,45))</f>
        <v/>
      </c>
      <c r="G26275" s="62"/>
      <c r="H26275" s="46" t="str">
        <f>IF(I.Developer.P2a=FALSE,"Complete",IF(I.Product.P2aGasToPowerStatus&lt;&gt;"Yes","Complete",IF(AND(I.Gas.P2aY1Count&gt;=45,F26275=""),"Incomplete","Complete")))</f>
        <v>Complete</v>
      </c>
      <c r="I26275" s="48" t="s">
        <v>1454</v>
      </c>
    </row>
    <row r="26276" spans="2:9" ht="15" customHeight="1" x14ac:dyDescent="0.25">
      <c r="B26276" s="55" t="s">
        <v>373</v>
      </c>
      <c r="C26276" s="46">
        <v>46</v>
      </c>
      <c r="D26276" s="69" t="s">
        <v>29510</v>
      </c>
      <c r="E26276" s="62"/>
      <c r="F26276" s="62" t="str">
        <f>IF(INDEX(I.Gas.P2aY1ElectricityGeneration,46)="","",INDEX(I.Gas.P2aY1ElectricityGeneration,46))</f>
        <v/>
      </c>
      <c r="G26276" s="62"/>
      <c r="H26276" s="46" t="str">
        <f>IF(I.Developer.P2a=FALSE,"Complete",IF(I.Product.P2aGasToPowerStatus&lt;&gt;"Yes","Complete",IF(AND(I.Gas.P2aY1Count&gt;=46,F26276=""),"Incomplete","Complete")))</f>
        <v>Complete</v>
      </c>
      <c r="I26276" s="48" t="s">
        <v>1455</v>
      </c>
    </row>
    <row r="26277" spans="2:9" ht="15" customHeight="1" x14ac:dyDescent="0.25">
      <c r="B26277" s="55" t="s">
        <v>373</v>
      </c>
      <c r="C26277" s="46">
        <v>47</v>
      </c>
      <c r="D26277" s="69" t="s">
        <v>29510</v>
      </c>
      <c r="E26277" s="62"/>
      <c r="F26277" s="62" t="str">
        <f>IF(INDEX(I.Gas.P2aY1ElectricityGeneration,47)="","",INDEX(I.Gas.P2aY1ElectricityGeneration,47))</f>
        <v/>
      </c>
      <c r="G26277" s="62"/>
      <c r="H26277" s="46" t="str">
        <f>IF(I.Developer.P2a=FALSE,"Complete",IF(I.Product.P2aGasToPowerStatus&lt;&gt;"Yes","Complete",IF(AND(I.Gas.P2aY1Count&gt;=47,F26277=""),"Incomplete","Complete")))</f>
        <v>Complete</v>
      </c>
      <c r="I26277" s="48" t="s">
        <v>1456</v>
      </c>
    </row>
    <row r="26278" spans="2:9" ht="15" customHeight="1" x14ac:dyDescent="0.25">
      <c r="B26278" s="55" t="s">
        <v>373</v>
      </c>
      <c r="C26278" s="46">
        <v>48</v>
      </c>
      <c r="D26278" s="69" t="s">
        <v>29510</v>
      </c>
      <c r="E26278" s="62"/>
      <c r="F26278" s="62" t="str">
        <f>IF(INDEX(I.Gas.P2aY1ElectricityGeneration,48)="","",INDEX(I.Gas.P2aY1ElectricityGeneration,48))</f>
        <v/>
      </c>
      <c r="G26278" s="62"/>
      <c r="H26278" s="46" t="str">
        <f>IF(I.Developer.P2a=FALSE,"Complete",IF(I.Product.P2aGasToPowerStatus&lt;&gt;"Yes","Complete",IF(AND(I.Gas.P2aY1Count&gt;=48,F26278=""),"Incomplete","Complete")))</f>
        <v>Complete</v>
      </c>
      <c r="I26278" s="48" t="s">
        <v>1457</v>
      </c>
    </row>
    <row r="26279" spans="2:9" ht="15" customHeight="1" x14ac:dyDescent="0.25">
      <c r="B26279" s="55" t="s">
        <v>373</v>
      </c>
      <c r="C26279" s="46">
        <v>49</v>
      </c>
      <c r="D26279" s="69" t="s">
        <v>29510</v>
      </c>
      <c r="E26279" s="62"/>
      <c r="F26279" s="62" t="str">
        <f>IF(INDEX(I.Gas.P2aY1ElectricityGeneration,49)="","",INDEX(I.Gas.P2aY1ElectricityGeneration,49))</f>
        <v/>
      </c>
      <c r="G26279" s="62"/>
      <c r="H26279" s="46" t="str">
        <f>IF(I.Developer.P2a=FALSE,"Complete",IF(I.Product.P2aGasToPowerStatus&lt;&gt;"Yes","Complete",IF(AND(I.Gas.P2aY1Count&gt;=49,F26279=""),"Incomplete","Complete")))</f>
        <v>Complete</v>
      </c>
      <c r="I26279" s="48" t="s">
        <v>1458</v>
      </c>
    </row>
    <row r="26280" spans="2:9" ht="15" customHeight="1" x14ac:dyDescent="0.25">
      <c r="B26280" s="56" t="s">
        <v>373</v>
      </c>
      <c r="C26280" s="57">
        <v>50</v>
      </c>
      <c r="D26280" s="71" t="s">
        <v>29510</v>
      </c>
      <c r="E26280" s="61"/>
      <c r="F26280" s="61" t="str">
        <f>IF(INDEX(I.Gas.P2aY1ElectricityGeneration,50)="","",INDEX(I.Gas.P2aY1ElectricityGeneration,50))</f>
        <v/>
      </c>
      <c r="G26280" s="61"/>
      <c r="H26280" s="57" t="str">
        <f>IF(I.Developer.P2a=FALSE,"Complete",IF(I.Product.P2aGasToPowerStatus&lt;&gt;"Yes","Complete",IF(AND(I.Gas.P2aY1Count&gt;=50,F26280=""),"Incomplete","Complete")))</f>
        <v>Complete</v>
      </c>
      <c r="I26280" s="49" t="s">
        <v>1459</v>
      </c>
    </row>
    <row r="26281" spans="2:9" ht="15" customHeight="1" x14ac:dyDescent="0.25">
      <c r="B26281" s="55" t="s">
        <v>374</v>
      </c>
      <c r="C26281" s="46">
        <v>1</v>
      </c>
      <c r="D26281" s="69" t="s">
        <v>29511</v>
      </c>
      <c r="E26281" s="62"/>
      <c r="F26281" s="62" t="str">
        <f>IF(INDEX(I.Gas.P2aY1C1V1,1)="","",INDEX(I.Gas.P2aY1C1V1,1))</f>
        <v/>
      </c>
      <c r="G26281" s="62"/>
      <c r="H26281" s="46" t="str">
        <f>IF(OR(I.Developer.P2a=FALSE,I.Facility.StandardPart&lt;&gt;"Part 2"),"Complete",IF(I.Product.P2aGasToPowerStatus&lt;&gt;"Yes","Complete",IF(AND(I.Gas.P2aY1Count&gt;=1,F26281=""),"Incomplete","Complete")))</f>
        <v>Complete</v>
      </c>
      <c r="I26281" s="48" t="s">
        <v>1460</v>
      </c>
    </row>
    <row r="26282" spans="2:9" ht="15" customHeight="1" x14ac:dyDescent="0.25">
      <c r="B26282" s="55" t="s">
        <v>374</v>
      </c>
      <c r="C26282" s="46">
        <v>2</v>
      </c>
      <c r="D26282" s="69" t="s">
        <v>29511</v>
      </c>
      <c r="E26282" s="62"/>
      <c r="F26282" s="62" t="str">
        <f>IF(INDEX(I.Gas.P2aY1C1V1,2)="","",INDEX(I.Gas.P2aY1C1V1,2))</f>
        <v/>
      </c>
      <c r="G26282" s="62"/>
      <c r="H26282" s="46" t="str">
        <f>IF(OR(I.Developer.P2a=FALSE,I.Facility.StandardPart&lt;&gt;"Part 2"),"Complete",IF(I.Product.P2aGasToPowerStatus&lt;&gt;"Yes","Complete",IF(AND(I.Gas.P2aY1Count&gt;=2,F26282=""),"Incomplete","Complete")))</f>
        <v>Complete</v>
      </c>
      <c r="I26282" s="48" t="s">
        <v>1461</v>
      </c>
    </row>
    <row r="26283" spans="2:9" ht="15" customHeight="1" x14ac:dyDescent="0.25">
      <c r="B26283" s="55" t="s">
        <v>374</v>
      </c>
      <c r="C26283" s="46">
        <v>3</v>
      </c>
      <c r="D26283" s="69" t="s">
        <v>29511</v>
      </c>
      <c r="E26283" s="62"/>
      <c r="F26283" s="62" t="str">
        <f>IF(INDEX(I.Gas.P2aY1C1V1,3)="","",INDEX(I.Gas.P2aY1C1V1,3))</f>
        <v/>
      </c>
      <c r="G26283" s="62"/>
      <c r="H26283" s="46" t="str">
        <f>IF(OR(I.Developer.P2a=FALSE,I.Facility.StandardPart&lt;&gt;"Part 2"),"Complete",IF(I.Product.P2aGasToPowerStatus&lt;&gt;"Yes","Complete",IF(AND(I.Gas.P2aY1Count&gt;=3,F26283=""),"Incomplete","Complete")))</f>
        <v>Complete</v>
      </c>
      <c r="I26283" s="48" t="s">
        <v>1462</v>
      </c>
    </row>
    <row r="26284" spans="2:9" ht="15" customHeight="1" x14ac:dyDescent="0.25">
      <c r="B26284" s="55" t="s">
        <v>374</v>
      </c>
      <c r="C26284" s="46">
        <v>4</v>
      </c>
      <c r="D26284" s="69" t="s">
        <v>29511</v>
      </c>
      <c r="E26284" s="62"/>
      <c r="F26284" s="62" t="str">
        <f>IF(INDEX(I.Gas.P2aY1C1V1,4)="","",INDEX(I.Gas.P2aY1C1V1,4))</f>
        <v/>
      </c>
      <c r="G26284" s="62"/>
      <c r="H26284" s="46" t="str">
        <f>IF(OR(I.Developer.P2a=FALSE,I.Facility.StandardPart&lt;&gt;"Part 2"),"Complete",IF(I.Product.P2aGasToPowerStatus&lt;&gt;"Yes","Complete",IF(AND(I.Gas.P2aY1Count&gt;=4,F26284=""),"Incomplete","Complete")))</f>
        <v>Complete</v>
      </c>
      <c r="I26284" s="48" t="s">
        <v>1463</v>
      </c>
    </row>
    <row r="26285" spans="2:9" ht="15" customHeight="1" x14ac:dyDescent="0.25">
      <c r="B26285" s="55" t="s">
        <v>374</v>
      </c>
      <c r="C26285" s="46">
        <v>5</v>
      </c>
      <c r="D26285" s="69" t="s">
        <v>29511</v>
      </c>
      <c r="E26285" s="62"/>
      <c r="F26285" s="62" t="str">
        <f>IF(INDEX(I.Gas.P2aY1C1V1,5)="","",INDEX(I.Gas.P2aY1C1V1,5))</f>
        <v/>
      </c>
      <c r="G26285" s="62"/>
      <c r="H26285" s="46" t="str">
        <f>IF(OR(I.Developer.P2a=FALSE,I.Facility.StandardPart&lt;&gt;"Part 2"),"Complete",IF(I.Product.P2aGasToPowerStatus&lt;&gt;"Yes","Complete",IF(AND(I.Gas.P2aY1Count&gt;=5,F26285=""),"Incomplete","Complete")))</f>
        <v>Complete</v>
      </c>
      <c r="I26285" s="48" t="s">
        <v>1464</v>
      </c>
    </row>
    <row r="26286" spans="2:9" ht="15" customHeight="1" x14ac:dyDescent="0.25">
      <c r="B26286" s="55" t="s">
        <v>374</v>
      </c>
      <c r="C26286" s="46">
        <v>6</v>
      </c>
      <c r="D26286" s="69" t="s">
        <v>29511</v>
      </c>
      <c r="E26286" s="62"/>
      <c r="F26286" s="62" t="str">
        <f>IF(INDEX(I.Gas.P2aY1C1V1,6)="","",INDEX(I.Gas.P2aY1C1V1,6))</f>
        <v/>
      </c>
      <c r="G26286" s="62"/>
      <c r="H26286" s="46" t="str">
        <f>IF(OR(I.Developer.P2a=FALSE,I.Facility.StandardPart&lt;&gt;"Part 2"),"Complete",IF(I.Product.P2aGasToPowerStatus&lt;&gt;"Yes","Complete",IF(AND(I.Gas.P2aY1Count&gt;=6,F26286=""),"Incomplete","Complete")))</f>
        <v>Complete</v>
      </c>
      <c r="I26286" s="48" t="s">
        <v>1465</v>
      </c>
    </row>
    <row r="26287" spans="2:9" ht="15" customHeight="1" x14ac:dyDescent="0.25">
      <c r="B26287" s="55" t="s">
        <v>374</v>
      </c>
      <c r="C26287" s="46">
        <v>7</v>
      </c>
      <c r="D26287" s="69" t="s">
        <v>29511</v>
      </c>
      <c r="E26287" s="62"/>
      <c r="F26287" s="62" t="str">
        <f>IF(INDEX(I.Gas.P2aY1C1V1,7)="","",INDEX(I.Gas.P2aY1C1V1,7))</f>
        <v/>
      </c>
      <c r="G26287" s="62"/>
      <c r="H26287" s="46" t="str">
        <f>IF(OR(I.Developer.P2a=FALSE,I.Facility.StandardPart&lt;&gt;"Part 2"),"Complete",IF(I.Product.P2aGasToPowerStatus&lt;&gt;"Yes","Complete",IF(AND(I.Gas.P2aY1Count&gt;=7,F26287=""),"Incomplete","Complete")))</f>
        <v>Complete</v>
      </c>
      <c r="I26287" s="48" t="s">
        <v>1466</v>
      </c>
    </row>
    <row r="26288" spans="2:9" ht="15" customHeight="1" x14ac:dyDescent="0.25">
      <c r="B26288" s="55" t="s">
        <v>374</v>
      </c>
      <c r="C26288" s="46">
        <v>8</v>
      </c>
      <c r="D26288" s="69" t="s">
        <v>29511</v>
      </c>
      <c r="E26288" s="62"/>
      <c r="F26288" s="62" t="str">
        <f>IF(INDEX(I.Gas.P2aY1C1V1,8)="","",INDEX(I.Gas.P2aY1C1V1,8))</f>
        <v/>
      </c>
      <c r="G26288" s="62"/>
      <c r="H26288" s="46" t="str">
        <f>IF(OR(I.Developer.P2a=FALSE,I.Facility.StandardPart&lt;&gt;"Part 2"),"Complete",IF(I.Product.P2aGasToPowerStatus&lt;&gt;"Yes","Complete",IF(AND(I.Gas.P2aY1Count&gt;=8,F26288=""),"Incomplete","Complete")))</f>
        <v>Complete</v>
      </c>
      <c r="I26288" s="48" t="s">
        <v>1467</v>
      </c>
    </row>
    <row r="26289" spans="2:9" ht="15" customHeight="1" x14ac:dyDescent="0.25">
      <c r="B26289" s="55" t="s">
        <v>374</v>
      </c>
      <c r="C26289" s="46">
        <v>9</v>
      </c>
      <c r="D26289" s="69" t="s">
        <v>29511</v>
      </c>
      <c r="E26289" s="62"/>
      <c r="F26289" s="62" t="str">
        <f>IF(INDEX(I.Gas.P2aY1C1V1,9)="","",INDEX(I.Gas.P2aY1C1V1,9))</f>
        <v/>
      </c>
      <c r="G26289" s="62"/>
      <c r="H26289" s="46" t="str">
        <f>IF(OR(I.Developer.P2a=FALSE,I.Facility.StandardPart&lt;&gt;"Part 2"),"Complete",IF(I.Product.P2aGasToPowerStatus&lt;&gt;"Yes","Complete",IF(AND(I.Gas.P2aY1Count&gt;=9,F26289=""),"Incomplete","Complete")))</f>
        <v>Complete</v>
      </c>
      <c r="I26289" s="48" t="s">
        <v>1468</v>
      </c>
    </row>
    <row r="26290" spans="2:9" ht="15" customHeight="1" x14ac:dyDescent="0.25">
      <c r="B26290" s="55" t="s">
        <v>374</v>
      </c>
      <c r="C26290" s="46">
        <v>10</v>
      </c>
      <c r="D26290" s="69" t="s">
        <v>29511</v>
      </c>
      <c r="E26290" s="62"/>
      <c r="F26290" s="62" t="str">
        <f>IF(INDEX(I.Gas.P2aY1C1V1,10)="","",INDEX(I.Gas.P2aY1C1V1,10))</f>
        <v/>
      </c>
      <c r="G26290" s="62"/>
      <c r="H26290" s="46" t="str">
        <f>IF(OR(I.Developer.P2a=FALSE,I.Facility.StandardPart&lt;&gt;"Part 2"),"Complete",IF(I.Product.P2aGasToPowerStatus&lt;&gt;"Yes","Complete",IF(AND(I.Gas.P2aY1Count&gt;=10,F26290=""),"Incomplete","Complete")))</f>
        <v>Complete</v>
      </c>
      <c r="I26290" s="48" t="s">
        <v>1469</v>
      </c>
    </row>
    <row r="26291" spans="2:9" ht="15" customHeight="1" x14ac:dyDescent="0.25">
      <c r="B26291" s="55" t="s">
        <v>374</v>
      </c>
      <c r="C26291" s="46">
        <v>11</v>
      </c>
      <c r="D26291" s="69" t="s">
        <v>29511</v>
      </c>
      <c r="E26291" s="62"/>
      <c r="F26291" s="62" t="str">
        <f>IF(INDEX(I.Gas.P2aY1C1V1,11)="","",INDEX(I.Gas.P2aY1C1V1,11))</f>
        <v/>
      </c>
      <c r="G26291" s="62"/>
      <c r="H26291" s="46" t="str">
        <f>IF(OR(I.Developer.P2a=FALSE,I.Facility.StandardPart&lt;&gt;"Part 2"),"Complete",IF(I.Product.P2aGasToPowerStatus&lt;&gt;"Yes","Complete",IF(AND(I.Gas.P2aY1Count&gt;=11,F26291=""),"Incomplete","Complete")))</f>
        <v>Complete</v>
      </c>
      <c r="I26291" s="48" t="s">
        <v>1470</v>
      </c>
    </row>
    <row r="26292" spans="2:9" ht="15" customHeight="1" x14ac:dyDescent="0.25">
      <c r="B26292" s="55" t="s">
        <v>374</v>
      </c>
      <c r="C26292" s="46">
        <v>12</v>
      </c>
      <c r="D26292" s="69" t="s">
        <v>29511</v>
      </c>
      <c r="E26292" s="62"/>
      <c r="F26292" s="62" t="str">
        <f>IF(INDEX(I.Gas.P2aY1C1V1,12)="","",INDEX(I.Gas.P2aY1C1V1,12))</f>
        <v/>
      </c>
      <c r="G26292" s="62"/>
      <c r="H26292" s="46" t="str">
        <f>IF(OR(I.Developer.P2a=FALSE,I.Facility.StandardPart&lt;&gt;"Part 2"),"Complete",IF(I.Product.P2aGasToPowerStatus&lt;&gt;"Yes","Complete",IF(AND(I.Gas.P2aY1Count&gt;=12,F26292=""),"Incomplete","Complete")))</f>
        <v>Complete</v>
      </c>
      <c r="I26292" s="48" t="s">
        <v>1471</v>
      </c>
    </row>
    <row r="26293" spans="2:9" ht="15" customHeight="1" x14ac:dyDescent="0.25">
      <c r="B26293" s="55" t="s">
        <v>374</v>
      </c>
      <c r="C26293" s="46">
        <v>13</v>
      </c>
      <c r="D26293" s="69" t="s">
        <v>29511</v>
      </c>
      <c r="E26293" s="62"/>
      <c r="F26293" s="62" t="str">
        <f>IF(INDEX(I.Gas.P2aY1C1V1,13)="","",INDEX(I.Gas.P2aY1C1V1,13))</f>
        <v/>
      </c>
      <c r="G26293" s="62"/>
      <c r="H26293" s="46" t="str">
        <f>IF(OR(I.Developer.P2a=FALSE,I.Facility.StandardPart&lt;&gt;"Part 2"),"Complete",IF(I.Product.P2aGasToPowerStatus&lt;&gt;"Yes","Complete",IF(AND(I.Gas.P2aY1Count&gt;=13,F26293=""),"Incomplete","Complete")))</f>
        <v>Complete</v>
      </c>
      <c r="I26293" s="48" t="s">
        <v>1472</v>
      </c>
    </row>
    <row r="26294" spans="2:9" ht="15" customHeight="1" x14ac:dyDescent="0.25">
      <c r="B26294" s="55" t="s">
        <v>374</v>
      </c>
      <c r="C26294" s="46">
        <v>14</v>
      </c>
      <c r="D26294" s="69" t="s">
        <v>29511</v>
      </c>
      <c r="E26294" s="62"/>
      <c r="F26294" s="62" t="str">
        <f>IF(INDEX(I.Gas.P2aY1C1V1,14)="","",INDEX(I.Gas.P2aY1C1V1,14))</f>
        <v/>
      </c>
      <c r="G26294" s="62"/>
      <c r="H26294" s="46" t="str">
        <f>IF(OR(I.Developer.P2a=FALSE,I.Facility.StandardPart&lt;&gt;"Part 2"),"Complete",IF(I.Product.P2aGasToPowerStatus&lt;&gt;"Yes","Complete",IF(AND(I.Gas.P2aY1Count&gt;=14,F26294=""),"Incomplete","Complete")))</f>
        <v>Complete</v>
      </c>
      <c r="I26294" s="48" t="s">
        <v>1473</v>
      </c>
    </row>
    <row r="26295" spans="2:9" ht="15" customHeight="1" x14ac:dyDescent="0.25">
      <c r="B26295" s="55" t="s">
        <v>374</v>
      </c>
      <c r="C26295" s="46">
        <v>15</v>
      </c>
      <c r="D26295" s="69" t="s">
        <v>29511</v>
      </c>
      <c r="E26295" s="62"/>
      <c r="F26295" s="62" t="str">
        <f>IF(INDEX(I.Gas.P2aY1C1V1,15)="","",INDEX(I.Gas.P2aY1C1V1,15))</f>
        <v/>
      </c>
      <c r="G26295" s="62"/>
      <c r="H26295" s="46" t="str">
        <f>IF(OR(I.Developer.P2a=FALSE,I.Facility.StandardPart&lt;&gt;"Part 2"),"Complete",IF(I.Product.P2aGasToPowerStatus&lt;&gt;"Yes","Complete",IF(AND(I.Gas.P2aY1Count&gt;=15,F26295=""),"Incomplete","Complete")))</f>
        <v>Complete</v>
      </c>
      <c r="I26295" s="48" t="s">
        <v>1474</v>
      </c>
    </row>
    <row r="26296" spans="2:9" ht="15" customHeight="1" x14ac:dyDescent="0.25">
      <c r="B26296" s="55" t="s">
        <v>374</v>
      </c>
      <c r="C26296" s="46">
        <v>16</v>
      </c>
      <c r="D26296" s="69" t="s">
        <v>29511</v>
      </c>
      <c r="E26296" s="62"/>
      <c r="F26296" s="62" t="str">
        <f>IF(INDEX(I.Gas.P2aY1C1V1,16)="","",INDEX(I.Gas.P2aY1C1V1,16))</f>
        <v/>
      </c>
      <c r="G26296" s="62"/>
      <c r="H26296" s="46" t="str">
        <f>IF(OR(I.Developer.P2a=FALSE,I.Facility.StandardPart&lt;&gt;"Part 2"),"Complete",IF(I.Product.P2aGasToPowerStatus&lt;&gt;"Yes","Complete",IF(AND(I.Gas.P2aY1Count&gt;=16,F26296=""),"Incomplete","Complete")))</f>
        <v>Complete</v>
      </c>
      <c r="I26296" s="48" t="s">
        <v>1475</v>
      </c>
    </row>
    <row r="26297" spans="2:9" ht="15" customHeight="1" x14ac:dyDescent="0.25">
      <c r="B26297" s="55" t="s">
        <v>374</v>
      </c>
      <c r="C26297" s="46">
        <v>17</v>
      </c>
      <c r="D26297" s="69" t="s">
        <v>29511</v>
      </c>
      <c r="E26297" s="62"/>
      <c r="F26297" s="62" t="str">
        <f>IF(INDEX(I.Gas.P2aY1C1V1,17)="","",INDEX(I.Gas.P2aY1C1V1,17))</f>
        <v/>
      </c>
      <c r="G26297" s="62"/>
      <c r="H26297" s="46" t="str">
        <f>IF(OR(I.Developer.P2a=FALSE,I.Facility.StandardPart&lt;&gt;"Part 2"),"Complete",IF(I.Product.P2aGasToPowerStatus&lt;&gt;"Yes","Complete",IF(AND(I.Gas.P2aY1Count&gt;=17,F26297=""),"Incomplete","Complete")))</f>
        <v>Complete</v>
      </c>
      <c r="I26297" s="48" t="s">
        <v>1476</v>
      </c>
    </row>
    <row r="26298" spans="2:9" ht="15" customHeight="1" x14ac:dyDescent="0.25">
      <c r="B26298" s="55" t="s">
        <v>374</v>
      </c>
      <c r="C26298" s="46">
        <v>18</v>
      </c>
      <c r="D26298" s="69" t="s">
        <v>29511</v>
      </c>
      <c r="E26298" s="62"/>
      <c r="F26298" s="62" t="str">
        <f>IF(INDEX(I.Gas.P2aY1C1V1,18)="","",INDEX(I.Gas.P2aY1C1V1,18))</f>
        <v/>
      </c>
      <c r="G26298" s="62"/>
      <c r="H26298" s="46" t="str">
        <f>IF(OR(I.Developer.P2a=FALSE,I.Facility.StandardPart&lt;&gt;"Part 2"),"Complete",IF(I.Product.P2aGasToPowerStatus&lt;&gt;"Yes","Complete",IF(AND(I.Gas.P2aY1Count&gt;=18,F26298=""),"Incomplete","Complete")))</f>
        <v>Complete</v>
      </c>
      <c r="I26298" s="48" t="s">
        <v>1477</v>
      </c>
    </row>
    <row r="26299" spans="2:9" ht="15" customHeight="1" x14ac:dyDescent="0.25">
      <c r="B26299" s="55" t="s">
        <v>374</v>
      </c>
      <c r="C26299" s="46">
        <v>19</v>
      </c>
      <c r="D26299" s="69" t="s">
        <v>29511</v>
      </c>
      <c r="E26299" s="62"/>
      <c r="F26299" s="62" t="str">
        <f>IF(INDEX(I.Gas.P2aY1C1V1,19)="","",INDEX(I.Gas.P2aY1C1V1,19))</f>
        <v/>
      </c>
      <c r="G26299" s="62"/>
      <c r="H26299" s="46" t="str">
        <f>IF(OR(I.Developer.P2a=FALSE,I.Facility.StandardPart&lt;&gt;"Part 2"),"Complete",IF(I.Product.P2aGasToPowerStatus&lt;&gt;"Yes","Complete",IF(AND(I.Gas.P2aY1Count&gt;=19,F26299=""),"Incomplete","Complete")))</f>
        <v>Complete</v>
      </c>
      <c r="I26299" s="48" t="s">
        <v>1478</v>
      </c>
    </row>
    <row r="26300" spans="2:9" ht="15" customHeight="1" x14ac:dyDescent="0.25">
      <c r="B26300" s="55" t="s">
        <v>374</v>
      </c>
      <c r="C26300" s="46">
        <v>20</v>
      </c>
      <c r="D26300" s="69" t="s">
        <v>29511</v>
      </c>
      <c r="E26300" s="62"/>
      <c r="F26300" s="62" t="str">
        <f>IF(INDEX(I.Gas.P2aY1C1V1,20)="","",INDEX(I.Gas.P2aY1C1V1,20))</f>
        <v/>
      </c>
      <c r="G26300" s="62"/>
      <c r="H26300" s="46" t="str">
        <f>IF(OR(I.Developer.P2a=FALSE,I.Facility.StandardPart&lt;&gt;"Part 2"),"Complete",IF(I.Product.P2aGasToPowerStatus&lt;&gt;"Yes","Complete",IF(AND(I.Gas.P2aY1Count&gt;=20,F26300=""),"Incomplete","Complete")))</f>
        <v>Complete</v>
      </c>
      <c r="I26300" s="48" t="s">
        <v>1479</v>
      </c>
    </row>
    <row r="26301" spans="2:9" ht="15" customHeight="1" x14ac:dyDescent="0.25">
      <c r="B26301" s="55" t="s">
        <v>374</v>
      </c>
      <c r="C26301" s="46">
        <v>21</v>
      </c>
      <c r="D26301" s="69" t="s">
        <v>29511</v>
      </c>
      <c r="E26301" s="62"/>
      <c r="F26301" s="62" t="str">
        <f>IF(INDEX(I.Gas.P2aY1C1V1,21)="","",INDEX(I.Gas.P2aY1C1V1,21))</f>
        <v/>
      </c>
      <c r="G26301" s="62"/>
      <c r="H26301" s="46" t="str">
        <f>IF(OR(I.Developer.P2a=FALSE,I.Facility.StandardPart&lt;&gt;"Part 2"),"Complete",IF(I.Product.P2aGasToPowerStatus&lt;&gt;"Yes","Complete",IF(AND(I.Gas.P2aY1Count&gt;=21,F26301=""),"Incomplete","Complete")))</f>
        <v>Complete</v>
      </c>
      <c r="I26301" s="48" t="s">
        <v>1480</v>
      </c>
    </row>
    <row r="26302" spans="2:9" ht="15" customHeight="1" x14ac:dyDescent="0.25">
      <c r="B26302" s="55" t="s">
        <v>374</v>
      </c>
      <c r="C26302" s="46">
        <v>22</v>
      </c>
      <c r="D26302" s="69" t="s">
        <v>29511</v>
      </c>
      <c r="E26302" s="62"/>
      <c r="F26302" s="62" t="str">
        <f>IF(INDEX(I.Gas.P2aY1C1V1,22)="","",INDEX(I.Gas.P2aY1C1V1,22))</f>
        <v/>
      </c>
      <c r="G26302" s="62"/>
      <c r="H26302" s="46" t="str">
        <f>IF(OR(I.Developer.P2a=FALSE,I.Facility.StandardPart&lt;&gt;"Part 2"),"Complete",IF(I.Product.P2aGasToPowerStatus&lt;&gt;"Yes","Complete",IF(AND(I.Gas.P2aY1Count&gt;=22,F26302=""),"Incomplete","Complete")))</f>
        <v>Complete</v>
      </c>
      <c r="I26302" s="48" t="s">
        <v>1481</v>
      </c>
    </row>
    <row r="26303" spans="2:9" ht="15" customHeight="1" x14ac:dyDescent="0.25">
      <c r="B26303" s="55" t="s">
        <v>374</v>
      </c>
      <c r="C26303" s="46">
        <v>23</v>
      </c>
      <c r="D26303" s="69" t="s">
        <v>29511</v>
      </c>
      <c r="E26303" s="62"/>
      <c r="F26303" s="62" t="str">
        <f>IF(INDEX(I.Gas.P2aY1C1V1,23)="","",INDEX(I.Gas.P2aY1C1V1,23))</f>
        <v/>
      </c>
      <c r="G26303" s="62"/>
      <c r="H26303" s="46" t="str">
        <f>IF(OR(I.Developer.P2a=FALSE,I.Facility.StandardPart&lt;&gt;"Part 2"),"Complete",IF(I.Product.P2aGasToPowerStatus&lt;&gt;"Yes","Complete",IF(AND(I.Gas.P2aY1Count&gt;=23,F26303=""),"Incomplete","Complete")))</f>
        <v>Complete</v>
      </c>
      <c r="I26303" s="48" t="s">
        <v>1482</v>
      </c>
    </row>
    <row r="26304" spans="2:9" ht="15" customHeight="1" x14ac:dyDescent="0.25">
      <c r="B26304" s="55" t="s">
        <v>374</v>
      </c>
      <c r="C26304" s="46">
        <v>24</v>
      </c>
      <c r="D26304" s="69" t="s">
        <v>29511</v>
      </c>
      <c r="E26304" s="62"/>
      <c r="F26304" s="62" t="str">
        <f>IF(INDEX(I.Gas.P2aY1C1V1,24)="","",INDEX(I.Gas.P2aY1C1V1,24))</f>
        <v/>
      </c>
      <c r="G26304" s="62"/>
      <c r="H26304" s="46" t="str">
        <f>IF(OR(I.Developer.P2a=FALSE,I.Facility.StandardPart&lt;&gt;"Part 2"),"Complete",IF(I.Product.P2aGasToPowerStatus&lt;&gt;"Yes","Complete",IF(AND(I.Gas.P2aY1Count&gt;=24,F26304=""),"Incomplete","Complete")))</f>
        <v>Complete</v>
      </c>
      <c r="I26304" s="48" t="s">
        <v>1483</v>
      </c>
    </row>
    <row r="26305" spans="2:9" ht="15" customHeight="1" x14ac:dyDescent="0.25">
      <c r="B26305" s="55" t="s">
        <v>374</v>
      </c>
      <c r="C26305" s="46">
        <v>25</v>
      </c>
      <c r="D26305" s="69" t="s">
        <v>29511</v>
      </c>
      <c r="E26305" s="62"/>
      <c r="F26305" s="62" t="str">
        <f>IF(INDEX(I.Gas.P2aY1C1V1,25)="","",INDEX(I.Gas.P2aY1C1V1,25))</f>
        <v/>
      </c>
      <c r="G26305" s="62"/>
      <c r="H26305" s="46" t="str">
        <f>IF(OR(I.Developer.P2a=FALSE,I.Facility.StandardPart&lt;&gt;"Part 2"),"Complete",IF(I.Product.P2aGasToPowerStatus&lt;&gt;"Yes","Complete",IF(AND(I.Gas.P2aY1Count&gt;=25,F26305=""),"Incomplete","Complete")))</f>
        <v>Complete</v>
      </c>
      <c r="I26305" s="48" t="s">
        <v>1484</v>
      </c>
    </row>
    <row r="26306" spans="2:9" ht="15" customHeight="1" x14ac:dyDescent="0.25">
      <c r="B26306" s="55" t="s">
        <v>374</v>
      </c>
      <c r="C26306" s="46">
        <v>26</v>
      </c>
      <c r="D26306" s="69" t="s">
        <v>29511</v>
      </c>
      <c r="E26306" s="62"/>
      <c r="F26306" s="62" t="str">
        <f>IF(INDEX(I.Gas.P2aY1C1V1,26)="","",INDEX(I.Gas.P2aY1C1V1,26))</f>
        <v/>
      </c>
      <c r="G26306" s="62"/>
      <c r="H26306" s="46" t="str">
        <f>IF(OR(I.Developer.P2a=FALSE,I.Facility.StandardPart&lt;&gt;"Part 2"),"Complete",IF(I.Product.P2aGasToPowerStatus&lt;&gt;"Yes","Complete",IF(AND(I.Gas.P2aY1Count&gt;=26,F26306=""),"Incomplete","Complete")))</f>
        <v>Complete</v>
      </c>
      <c r="I26306" s="48" t="s">
        <v>1485</v>
      </c>
    </row>
    <row r="26307" spans="2:9" ht="15" customHeight="1" x14ac:dyDescent="0.25">
      <c r="B26307" s="55" t="s">
        <v>374</v>
      </c>
      <c r="C26307" s="46">
        <v>27</v>
      </c>
      <c r="D26307" s="69" t="s">
        <v>29511</v>
      </c>
      <c r="E26307" s="62"/>
      <c r="F26307" s="62" t="str">
        <f>IF(INDEX(I.Gas.P2aY1C1V1,27)="","",INDEX(I.Gas.P2aY1C1V1,27))</f>
        <v/>
      </c>
      <c r="G26307" s="62"/>
      <c r="H26307" s="46" t="str">
        <f>IF(OR(I.Developer.P2a=FALSE,I.Facility.StandardPart&lt;&gt;"Part 2"),"Complete",IF(I.Product.P2aGasToPowerStatus&lt;&gt;"Yes","Complete",IF(AND(I.Gas.P2aY1Count&gt;=27,F26307=""),"Incomplete","Complete")))</f>
        <v>Complete</v>
      </c>
      <c r="I26307" s="48" t="s">
        <v>1486</v>
      </c>
    </row>
    <row r="26308" spans="2:9" ht="15" customHeight="1" x14ac:dyDescent="0.25">
      <c r="B26308" s="55" t="s">
        <v>374</v>
      </c>
      <c r="C26308" s="46">
        <v>28</v>
      </c>
      <c r="D26308" s="69" t="s">
        <v>29511</v>
      </c>
      <c r="E26308" s="62"/>
      <c r="F26308" s="62" t="str">
        <f>IF(INDEX(I.Gas.P2aY1C1V1,28)="","",INDEX(I.Gas.P2aY1C1V1,28))</f>
        <v/>
      </c>
      <c r="G26308" s="62"/>
      <c r="H26308" s="46" t="str">
        <f>IF(OR(I.Developer.P2a=FALSE,I.Facility.StandardPart&lt;&gt;"Part 2"),"Complete",IF(I.Product.P2aGasToPowerStatus&lt;&gt;"Yes","Complete",IF(AND(I.Gas.P2aY1Count&gt;=28,F26308=""),"Incomplete","Complete")))</f>
        <v>Complete</v>
      </c>
      <c r="I26308" s="48" t="s">
        <v>1487</v>
      </c>
    </row>
    <row r="26309" spans="2:9" ht="15" customHeight="1" x14ac:dyDescent="0.25">
      <c r="B26309" s="55" t="s">
        <v>374</v>
      </c>
      <c r="C26309" s="46">
        <v>29</v>
      </c>
      <c r="D26309" s="69" t="s">
        <v>29511</v>
      </c>
      <c r="E26309" s="62"/>
      <c r="F26309" s="62" t="str">
        <f>IF(INDEX(I.Gas.P2aY1C1V1,29)="","",INDEX(I.Gas.P2aY1C1V1,29))</f>
        <v/>
      </c>
      <c r="G26309" s="62"/>
      <c r="H26309" s="46" t="str">
        <f>IF(OR(I.Developer.P2a=FALSE,I.Facility.StandardPart&lt;&gt;"Part 2"),"Complete",IF(I.Product.P2aGasToPowerStatus&lt;&gt;"Yes","Complete",IF(AND(I.Gas.P2aY1Count&gt;=29,F26309=""),"Incomplete","Complete")))</f>
        <v>Complete</v>
      </c>
      <c r="I26309" s="48" t="s">
        <v>1488</v>
      </c>
    </row>
    <row r="26310" spans="2:9" ht="15" customHeight="1" x14ac:dyDescent="0.25">
      <c r="B26310" s="55" t="s">
        <v>374</v>
      </c>
      <c r="C26310" s="46">
        <v>30</v>
      </c>
      <c r="D26310" s="69" t="s">
        <v>29511</v>
      </c>
      <c r="E26310" s="62"/>
      <c r="F26310" s="62" t="str">
        <f>IF(INDEX(I.Gas.P2aY1C1V1,30)="","",INDEX(I.Gas.P2aY1C1V1,30))</f>
        <v/>
      </c>
      <c r="G26310" s="62"/>
      <c r="H26310" s="46" t="str">
        <f>IF(OR(I.Developer.P2a=FALSE,I.Facility.StandardPart&lt;&gt;"Part 2"),"Complete",IF(I.Product.P2aGasToPowerStatus&lt;&gt;"Yes","Complete",IF(AND(I.Gas.P2aY1Count&gt;=30,F26310=""),"Incomplete","Complete")))</f>
        <v>Complete</v>
      </c>
      <c r="I26310" s="48" t="s">
        <v>1489</v>
      </c>
    </row>
    <row r="26311" spans="2:9" ht="15" customHeight="1" x14ac:dyDescent="0.25">
      <c r="B26311" s="55" t="s">
        <v>374</v>
      </c>
      <c r="C26311" s="46">
        <v>31</v>
      </c>
      <c r="D26311" s="69" t="s">
        <v>29511</v>
      </c>
      <c r="E26311" s="62"/>
      <c r="F26311" s="62" t="str">
        <f>IF(INDEX(I.Gas.P2aY1C1V1,31)="","",INDEX(I.Gas.P2aY1C1V1,31))</f>
        <v/>
      </c>
      <c r="G26311" s="62"/>
      <c r="H26311" s="46" t="str">
        <f>IF(OR(I.Developer.P2a=FALSE,I.Facility.StandardPart&lt;&gt;"Part 2"),"Complete",IF(I.Product.P2aGasToPowerStatus&lt;&gt;"Yes","Complete",IF(AND(I.Gas.P2aY1Count&gt;=31,F26311=""),"Incomplete","Complete")))</f>
        <v>Complete</v>
      </c>
      <c r="I26311" s="48" t="s">
        <v>1490</v>
      </c>
    </row>
    <row r="26312" spans="2:9" ht="15" customHeight="1" x14ac:dyDescent="0.25">
      <c r="B26312" s="55" t="s">
        <v>374</v>
      </c>
      <c r="C26312" s="46">
        <v>32</v>
      </c>
      <c r="D26312" s="69" t="s">
        <v>29511</v>
      </c>
      <c r="E26312" s="62"/>
      <c r="F26312" s="62" t="str">
        <f>IF(INDEX(I.Gas.P2aY1C1V1,32)="","",INDEX(I.Gas.P2aY1C1V1,32))</f>
        <v/>
      </c>
      <c r="G26312" s="62"/>
      <c r="H26312" s="46" t="str">
        <f>IF(OR(I.Developer.P2a=FALSE,I.Facility.StandardPart&lt;&gt;"Part 2"),"Complete",IF(I.Product.P2aGasToPowerStatus&lt;&gt;"Yes","Complete",IF(AND(I.Gas.P2aY1Count&gt;=32,F26312=""),"Incomplete","Complete")))</f>
        <v>Complete</v>
      </c>
      <c r="I26312" s="48" t="s">
        <v>1491</v>
      </c>
    </row>
    <row r="26313" spans="2:9" ht="15" customHeight="1" x14ac:dyDescent="0.25">
      <c r="B26313" s="55" t="s">
        <v>374</v>
      </c>
      <c r="C26313" s="46">
        <v>33</v>
      </c>
      <c r="D26313" s="69" t="s">
        <v>29511</v>
      </c>
      <c r="E26313" s="62"/>
      <c r="F26313" s="62" t="str">
        <f>IF(INDEX(I.Gas.P2aY1C1V1,33)="","",INDEX(I.Gas.P2aY1C1V1,33))</f>
        <v/>
      </c>
      <c r="G26313" s="62"/>
      <c r="H26313" s="46" t="str">
        <f>IF(OR(I.Developer.P2a=FALSE,I.Facility.StandardPart&lt;&gt;"Part 2"),"Complete",IF(I.Product.P2aGasToPowerStatus&lt;&gt;"Yes","Complete",IF(AND(I.Gas.P2aY1Count&gt;=33,F26313=""),"Incomplete","Complete")))</f>
        <v>Complete</v>
      </c>
      <c r="I26313" s="48" t="s">
        <v>1492</v>
      </c>
    </row>
    <row r="26314" spans="2:9" ht="15" customHeight="1" x14ac:dyDescent="0.25">
      <c r="B26314" s="55" t="s">
        <v>374</v>
      </c>
      <c r="C26314" s="46">
        <v>34</v>
      </c>
      <c r="D26314" s="69" t="s">
        <v>29511</v>
      </c>
      <c r="E26314" s="62"/>
      <c r="F26314" s="62" t="str">
        <f>IF(INDEX(I.Gas.P2aY1C1V1,34)="","",INDEX(I.Gas.P2aY1C1V1,34))</f>
        <v/>
      </c>
      <c r="G26314" s="62"/>
      <c r="H26314" s="46" t="str">
        <f>IF(OR(I.Developer.P2a=FALSE,I.Facility.StandardPart&lt;&gt;"Part 2"),"Complete",IF(I.Product.P2aGasToPowerStatus&lt;&gt;"Yes","Complete",IF(AND(I.Gas.P2aY1Count&gt;=34,F26314=""),"Incomplete","Complete")))</f>
        <v>Complete</v>
      </c>
      <c r="I26314" s="48" t="s">
        <v>1493</v>
      </c>
    </row>
    <row r="26315" spans="2:9" ht="15" customHeight="1" x14ac:dyDescent="0.25">
      <c r="B26315" s="55" t="s">
        <v>374</v>
      </c>
      <c r="C26315" s="46">
        <v>35</v>
      </c>
      <c r="D26315" s="69" t="s">
        <v>29511</v>
      </c>
      <c r="E26315" s="62"/>
      <c r="F26315" s="62" t="str">
        <f>IF(INDEX(I.Gas.P2aY1C1V1,35)="","",INDEX(I.Gas.P2aY1C1V1,35))</f>
        <v/>
      </c>
      <c r="G26315" s="62"/>
      <c r="H26315" s="46" t="str">
        <f>IF(OR(I.Developer.P2a=FALSE,I.Facility.StandardPart&lt;&gt;"Part 2"),"Complete",IF(I.Product.P2aGasToPowerStatus&lt;&gt;"Yes","Complete",IF(AND(I.Gas.P2aY1Count&gt;=35,F26315=""),"Incomplete","Complete")))</f>
        <v>Complete</v>
      </c>
      <c r="I26315" s="48" t="s">
        <v>1494</v>
      </c>
    </row>
    <row r="26316" spans="2:9" ht="15" customHeight="1" x14ac:dyDescent="0.25">
      <c r="B26316" s="55" t="s">
        <v>374</v>
      </c>
      <c r="C26316" s="46">
        <v>36</v>
      </c>
      <c r="D26316" s="69" t="s">
        <v>29511</v>
      </c>
      <c r="E26316" s="62"/>
      <c r="F26316" s="62" t="str">
        <f>IF(INDEX(I.Gas.P2aY1C1V1,36)="","",INDEX(I.Gas.P2aY1C1V1,36))</f>
        <v/>
      </c>
      <c r="G26316" s="62"/>
      <c r="H26316" s="46" t="str">
        <f>IF(OR(I.Developer.P2a=FALSE,I.Facility.StandardPart&lt;&gt;"Part 2"),"Complete",IF(I.Product.P2aGasToPowerStatus&lt;&gt;"Yes","Complete",IF(AND(I.Gas.P2aY1Count&gt;=36,F26316=""),"Incomplete","Complete")))</f>
        <v>Complete</v>
      </c>
      <c r="I26316" s="48" t="s">
        <v>1495</v>
      </c>
    </row>
    <row r="26317" spans="2:9" ht="15" customHeight="1" x14ac:dyDescent="0.25">
      <c r="B26317" s="55" t="s">
        <v>374</v>
      </c>
      <c r="C26317" s="46">
        <v>37</v>
      </c>
      <c r="D26317" s="69" t="s">
        <v>29511</v>
      </c>
      <c r="E26317" s="62"/>
      <c r="F26317" s="62" t="str">
        <f>IF(INDEX(I.Gas.P2aY1C1V1,37)="","",INDEX(I.Gas.P2aY1C1V1,37))</f>
        <v/>
      </c>
      <c r="G26317" s="62"/>
      <c r="H26317" s="46" t="str">
        <f>IF(OR(I.Developer.P2a=FALSE,I.Facility.StandardPart&lt;&gt;"Part 2"),"Complete",IF(I.Product.P2aGasToPowerStatus&lt;&gt;"Yes","Complete",IF(AND(I.Gas.P2aY1Count&gt;=37,F26317=""),"Incomplete","Complete")))</f>
        <v>Complete</v>
      </c>
      <c r="I26317" s="48" t="s">
        <v>1496</v>
      </c>
    </row>
    <row r="26318" spans="2:9" ht="15" customHeight="1" x14ac:dyDescent="0.25">
      <c r="B26318" s="55" t="s">
        <v>374</v>
      </c>
      <c r="C26318" s="46">
        <v>38</v>
      </c>
      <c r="D26318" s="69" t="s">
        <v>29511</v>
      </c>
      <c r="E26318" s="62"/>
      <c r="F26318" s="62" t="str">
        <f>IF(INDEX(I.Gas.P2aY1C1V1,38)="","",INDEX(I.Gas.P2aY1C1V1,38))</f>
        <v/>
      </c>
      <c r="G26318" s="62"/>
      <c r="H26318" s="46" t="str">
        <f>IF(OR(I.Developer.P2a=FALSE,I.Facility.StandardPart&lt;&gt;"Part 2"),"Complete",IF(I.Product.P2aGasToPowerStatus&lt;&gt;"Yes","Complete",IF(AND(I.Gas.P2aY1Count&gt;=38,F26318=""),"Incomplete","Complete")))</f>
        <v>Complete</v>
      </c>
      <c r="I26318" s="48" t="s">
        <v>1497</v>
      </c>
    </row>
    <row r="26319" spans="2:9" ht="15" customHeight="1" x14ac:dyDescent="0.25">
      <c r="B26319" s="55" t="s">
        <v>374</v>
      </c>
      <c r="C26319" s="46">
        <v>39</v>
      </c>
      <c r="D26319" s="69" t="s">
        <v>29511</v>
      </c>
      <c r="E26319" s="62"/>
      <c r="F26319" s="62" t="str">
        <f>IF(INDEX(I.Gas.P2aY1C1V1,39)="","",INDEX(I.Gas.P2aY1C1V1,39))</f>
        <v/>
      </c>
      <c r="G26319" s="62"/>
      <c r="H26319" s="46" t="str">
        <f>IF(OR(I.Developer.P2a=FALSE,I.Facility.StandardPart&lt;&gt;"Part 2"),"Complete",IF(I.Product.P2aGasToPowerStatus&lt;&gt;"Yes","Complete",IF(AND(I.Gas.P2aY1Count&gt;=39,F26319=""),"Incomplete","Complete")))</f>
        <v>Complete</v>
      </c>
      <c r="I26319" s="48" t="s">
        <v>1498</v>
      </c>
    </row>
    <row r="26320" spans="2:9" ht="15" customHeight="1" x14ac:dyDescent="0.25">
      <c r="B26320" s="55" t="s">
        <v>374</v>
      </c>
      <c r="C26320" s="46">
        <v>40</v>
      </c>
      <c r="D26320" s="69" t="s">
        <v>29511</v>
      </c>
      <c r="E26320" s="62"/>
      <c r="F26320" s="62" t="str">
        <f>IF(INDEX(I.Gas.P2aY1C1V1,40)="","",INDEX(I.Gas.P2aY1C1V1,40))</f>
        <v/>
      </c>
      <c r="G26320" s="62"/>
      <c r="H26320" s="46" t="str">
        <f>IF(OR(I.Developer.P2a=FALSE,I.Facility.StandardPart&lt;&gt;"Part 2"),"Complete",IF(I.Product.P2aGasToPowerStatus&lt;&gt;"Yes","Complete",IF(AND(I.Gas.P2aY1Count&gt;=40,F26320=""),"Incomplete","Complete")))</f>
        <v>Complete</v>
      </c>
      <c r="I26320" s="48" t="s">
        <v>1499</v>
      </c>
    </row>
    <row r="26321" spans="2:9" ht="15" customHeight="1" x14ac:dyDescent="0.25">
      <c r="B26321" s="55" t="s">
        <v>374</v>
      </c>
      <c r="C26321" s="46">
        <v>41</v>
      </c>
      <c r="D26321" s="69" t="s">
        <v>29511</v>
      </c>
      <c r="E26321" s="62"/>
      <c r="F26321" s="62" t="str">
        <f>IF(INDEX(I.Gas.P2aY1C1V1,41)="","",INDEX(I.Gas.P2aY1C1V1,41))</f>
        <v/>
      </c>
      <c r="G26321" s="62"/>
      <c r="H26321" s="46" t="str">
        <f>IF(OR(I.Developer.P2a=FALSE,I.Facility.StandardPart&lt;&gt;"Part 2"),"Complete",IF(I.Product.P2aGasToPowerStatus&lt;&gt;"Yes","Complete",IF(AND(I.Gas.P2aY1Count&gt;=41,F26321=""),"Incomplete","Complete")))</f>
        <v>Complete</v>
      </c>
      <c r="I26321" s="48" t="s">
        <v>1500</v>
      </c>
    </row>
    <row r="26322" spans="2:9" ht="15" customHeight="1" x14ac:dyDescent="0.25">
      <c r="B26322" s="55" t="s">
        <v>374</v>
      </c>
      <c r="C26322" s="46">
        <v>42</v>
      </c>
      <c r="D26322" s="69" t="s">
        <v>29511</v>
      </c>
      <c r="E26322" s="62"/>
      <c r="F26322" s="62" t="str">
        <f>IF(INDEX(I.Gas.P2aY1C1V1,42)="","",INDEX(I.Gas.P2aY1C1V1,42))</f>
        <v/>
      </c>
      <c r="G26322" s="62"/>
      <c r="H26322" s="46" t="str">
        <f>IF(OR(I.Developer.P2a=FALSE,I.Facility.StandardPart&lt;&gt;"Part 2"),"Complete",IF(I.Product.P2aGasToPowerStatus&lt;&gt;"Yes","Complete",IF(AND(I.Gas.P2aY1Count&gt;=42,F26322=""),"Incomplete","Complete")))</f>
        <v>Complete</v>
      </c>
      <c r="I26322" s="48" t="s">
        <v>1501</v>
      </c>
    </row>
    <row r="26323" spans="2:9" ht="15" customHeight="1" x14ac:dyDescent="0.25">
      <c r="B26323" s="55" t="s">
        <v>374</v>
      </c>
      <c r="C26323" s="46">
        <v>43</v>
      </c>
      <c r="D26323" s="69" t="s">
        <v>29511</v>
      </c>
      <c r="E26323" s="62"/>
      <c r="F26323" s="62" t="str">
        <f>IF(INDEX(I.Gas.P2aY1C1V1,43)="","",INDEX(I.Gas.P2aY1C1V1,43))</f>
        <v/>
      </c>
      <c r="G26323" s="62"/>
      <c r="H26323" s="46" t="str">
        <f>IF(OR(I.Developer.P2a=FALSE,I.Facility.StandardPart&lt;&gt;"Part 2"),"Complete",IF(I.Product.P2aGasToPowerStatus&lt;&gt;"Yes","Complete",IF(AND(I.Gas.P2aY1Count&gt;=43,F26323=""),"Incomplete","Complete")))</f>
        <v>Complete</v>
      </c>
      <c r="I26323" s="48" t="s">
        <v>1502</v>
      </c>
    </row>
    <row r="26324" spans="2:9" ht="15" customHeight="1" x14ac:dyDescent="0.25">
      <c r="B26324" s="55" t="s">
        <v>374</v>
      </c>
      <c r="C26324" s="46">
        <v>44</v>
      </c>
      <c r="D26324" s="69" t="s">
        <v>29511</v>
      </c>
      <c r="E26324" s="62"/>
      <c r="F26324" s="62" t="str">
        <f>IF(INDEX(I.Gas.P2aY1C1V1,44)="","",INDEX(I.Gas.P2aY1C1V1,44))</f>
        <v/>
      </c>
      <c r="G26324" s="62"/>
      <c r="H26324" s="46" t="str">
        <f>IF(OR(I.Developer.P2a=FALSE,I.Facility.StandardPart&lt;&gt;"Part 2"),"Complete",IF(I.Product.P2aGasToPowerStatus&lt;&gt;"Yes","Complete",IF(AND(I.Gas.P2aY1Count&gt;=44,F26324=""),"Incomplete","Complete")))</f>
        <v>Complete</v>
      </c>
      <c r="I26324" s="48" t="s">
        <v>1503</v>
      </c>
    </row>
    <row r="26325" spans="2:9" ht="15" customHeight="1" x14ac:dyDescent="0.25">
      <c r="B26325" s="55" t="s">
        <v>374</v>
      </c>
      <c r="C26325" s="46">
        <v>45</v>
      </c>
      <c r="D26325" s="69" t="s">
        <v>29511</v>
      </c>
      <c r="E26325" s="62"/>
      <c r="F26325" s="62" t="str">
        <f>IF(INDEX(I.Gas.P2aY1C1V1,45)="","",INDEX(I.Gas.P2aY1C1V1,45))</f>
        <v/>
      </c>
      <c r="G26325" s="62"/>
      <c r="H26325" s="46" t="str">
        <f>IF(OR(I.Developer.P2a=FALSE,I.Facility.StandardPart&lt;&gt;"Part 2"),"Complete",IF(I.Product.P2aGasToPowerStatus&lt;&gt;"Yes","Complete",IF(AND(I.Gas.P2aY1Count&gt;=45,F26325=""),"Incomplete","Complete")))</f>
        <v>Complete</v>
      </c>
      <c r="I26325" s="48" t="s">
        <v>1504</v>
      </c>
    </row>
    <row r="26326" spans="2:9" ht="15" customHeight="1" x14ac:dyDescent="0.25">
      <c r="B26326" s="55" t="s">
        <v>374</v>
      </c>
      <c r="C26326" s="46">
        <v>46</v>
      </c>
      <c r="D26326" s="69" t="s">
        <v>29511</v>
      </c>
      <c r="E26326" s="62"/>
      <c r="F26326" s="62" t="str">
        <f>IF(INDEX(I.Gas.P2aY1C1V1,46)="","",INDEX(I.Gas.P2aY1C1V1,46))</f>
        <v/>
      </c>
      <c r="G26326" s="62"/>
      <c r="H26326" s="46" t="str">
        <f>IF(OR(I.Developer.P2a=FALSE,I.Facility.StandardPart&lt;&gt;"Part 2"),"Complete",IF(I.Product.P2aGasToPowerStatus&lt;&gt;"Yes","Complete",IF(AND(I.Gas.P2aY1Count&gt;=46,F26326=""),"Incomplete","Complete")))</f>
        <v>Complete</v>
      </c>
      <c r="I26326" s="48" t="s">
        <v>1505</v>
      </c>
    </row>
    <row r="26327" spans="2:9" ht="15" customHeight="1" x14ac:dyDescent="0.25">
      <c r="B26327" s="55" t="s">
        <v>374</v>
      </c>
      <c r="C26327" s="46">
        <v>47</v>
      </c>
      <c r="D26327" s="69" t="s">
        <v>29511</v>
      </c>
      <c r="E26327" s="62"/>
      <c r="F26327" s="62" t="str">
        <f>IF(INDEX(I.Gas.P2aY1C1V1,47)="","",INDEX(I.Gas.P2aY1C1V1,47))</f>
        <v/>
      </c>
      <c r="G26327" s="62"/>
      <c r="H26327" s="46" t="str">
        <f>IF(OR(I.Developer.P2a=FALSE,I.Facility.StandardPart&lt;&gt;"Part 2"),"Complete",IF(I.Product.P2aGasToPowerStatus&lt;&gt;"Yes","Complete",IF(AND(I.Gas.P2aY1Count&gt;=47,F26327=""),"Incomplete","Complete")))</f>
        <v>Complete</v>
      </c>
      <c r="I26327" s="48" t="s">
        <v>1506</v>
      </c>
    </row>
    <row r="26328" spans="2:9" ht="15" customHeight="1" x14ac:dyDescent="0.25">
      <c r="B26328" s="55" t="s">
        <v>374</v>
      </c>
      <c r="C26328" s="46">
        <v>48</v>
      </c>
      <c r="D26328" s="69" t="s">
        <v>29511</v>
      </c>
      <c r="E26328" s="62"/>
      <c r="F26328" s="62" t="str">
        <f>IF(INDEX(I.Gas.P2aY1C1V1,48)="","",INDEX(I.Gas.P2aY1C1V1,48))</f>
        <v/>
      </c>
      <c r="G26328" s="62"/>
      <c r="H26328" s="46" t="str">
        <f>IF(OR(I.Developer.P2a=FALSE,I.Facility.StandardPart&lt;&gt;"Part 2"),"Complete",IF(I.Product.P2aGasToPowerStatus&lt;&gt;"Yes","Complete",IF(AND(I.Gas.P2aY1Count&gt;=48,F26328=""),"Incomplete","Complete")))</f>
        <v>Complete</v>
      </c>
      <c r="I26328" s="48" t="s">
        <v>1507</v>
      </c>
    </row>
    <row r="26329" spans="2:9" ht="15" customHeight="1" x14ac:dyDescent="0.25">
      <c r="B26329" s="55" t="s">
        <v>374</v>
      </c>
      <c r="C26329" s="46">
        <v>49</v>
      </c>
      <c r="D26329" s="69" t="s">
        <v>29511</v>
      </c>
      <c r="E26329" s="62"/>
      <c r="F26329" s="62" t="str">
        <f>IF(INDEX(I.Gas.P2aY1C1V1,49)="","",INDEX(I.Gas.P2aY1C1V1,49))</f>
        <v/>
      </c>
      <c r="G26329" s="62"/>
      <c r="H26329" s="46" t="str">
        <f>IF(OR(I.Developer.P2a=FALSE,I.Facility.StandardPart&lt;&gt;"Part 2"),"Complete",IF(I.Product.P2aGasToPowerStatus&lt;&gt;"Yes","Complete",IF(AND(I.Gas.P2aY1Count&gt;=49,F26329=""),"Incomplete","Complete")))</f>
        <v>Complete</v>
      </c>
      <c r="I26329" s="48" t="s">
        <v>1508</v>
      </c>
    </row>
    <row r="26330" spans="2:9" ht="15" customHeight="1" x14ac:dyDescent="0.25">
      <c r="B26330" s="56" t="s">
        <v>374</v>
      </c>
      <c r="C26330" s="57">
        <v>50</v>
      </c>
      <c r="D26330" s="71" t="s">
        <v>29511</v>
      </c>
      <c r="E26330" s="61"/>
      <c r="F26330" s="61" t="str">
        <f>IF(INDEX(I.Gas.P2aY1C1V1,50)="","",INDEX(I.Gas.P2aY1C1V1,50))</f>
        <v/>
      </c>
      <c r="G26330" s="61"/>
      <c r="H26330" s="57" t="str">
        <f>IF(OR(I.Developer.P2a=FALSE,I.Facility.StandardPart&lt;&gt;"Part 2"),"Complete",IF(I.Product.P2aGasToPowerStatus&lt;&gt;"Yes","Complete",IF(AND(I.Gas.P2aY1Count&gt;=50,F26330=""),"Incomplete","Complete")))</f>
        <v>Complete</v>
      </c>
      <c r="I26330" s="49" t="s">
        <v>1509</v>
      </c>
    </row>
    <row r="26331" spans="2:9" ht="15" customHeight="1" x14ac:dyDescent="0.25">
      <c r="B26331" s="55" t="s">
        <v>375</v>
      </c>
      <c r="C26331" s="46">
        <v>1</v>
      </c>
      <c r="D26331" s="69" t="s">
        <v>29512</v>
      </c>
      <c r="E26331" s="62"/>
      <c r="F26331" s="62" t="str">
        <f>IF(INDEX(I.Gas.P2aY1C1E1,1)="","",INDEX(I.Gas.P2aY1C1E1,1))</f>
        <v/>
      </c>
      <c r="G26331" s="62"/>
      <c r="H26331" s="46" t="str">
        <f>IF(OR(I.Developer.P2a=FALSE,I.Facility.StandardPart="Part 2"),"Complete",IF(I.Product.P2aGasToPowerStatus&lt;&gt;"Yes","Complete",IF(AND(I.Gas.P2aY1Count&gt;=1,F26331=""),"Incomplete","Complete")))</f>
        <v>Complete</v>
      </c>
      <c r="I26331" s="48" t="s">
        <v>1510</v>
      </c>
    </row>
    <row r="26332" spans="2:9" ht="15" customHeight="1" x14ac:dyDescent="0.25">
      <c r="B26332" s="55" t="s">
        <v>375</v>
      </c>
      <c r="C26332" s="46">
        <v>2</v>
      </c>
      <c r="D26332" s="69" t="s">
        <v>29512</v>
      </c>
      <c r="E26332" s="62"/>
      <c r="F26332" s="62" t="str">
        <f>IF(INDEX(I.Gas.P2aY1C1E1,2)="","",INDEX(I.Gas.P2aY1C1E1,2))</f>
        <v/>
      </c>
      <c r="G26332" s="62"/>
      <c r="H26332" s="46" t="str">
        <f>IF(OR(I.Developer.P2a=FALSE,I.Facility.StandardPart="Part 2"),"Complete",IF(I.Product.P2aGasToPowerStatus&lt;&gt;"Yes","Complete",IF(AND(I.Gas.P2aY1Count&gt;=2,F26332=""),"Incomplete","Complete")))</f>
        <v>Complete</v>
      </c>
      <c r="I26332" s="48" t="s">
        <v>1511</v>
      </c>
    </row>
    <row r="26333" spans="2:9" ht="15" customHeight="1" x14ac:dyDescent="0.25">
      <c r="B26333" s="55" t="s">
        <v>375</v>
      </c>
      <c r="C26333" s="46">
        <v>3</v>
      </c>
      <c r="D26333" s="69" t="s">
        <v>29512</v>
      </c>
      <c r="E26333" s="62"/>
      <c r="F26333" s="62" t="str">
        <f>IF(INDEX(I.Gas.P2aY1C1E1,3)="","",INDEX(I.Gas.P2aY1C1E1,3))</f>
        <v/>
      </c>
      <c r="G26333" s="62"/>
      <c r="H26333" s="46" t="str">
        <f>IF(OR(I.Developer.P2a=FALSE,I.Facility.StandardPart="Part 2"),"Complete",IF(I.Product.P2aGasToPowerStatus&lt;&gt;"Yes","Complete",IF(AND(I.Gas.P2aY1Count&gt;=3,F26333=""),"Incomplete","Complete")))</f>
        <v>Complete</v>
      </c>
      <c r="I26333" s="48" t="s">
        <v>1512</v>
      </c>
    </row>
    <row r="26334" spans="2:9" ht="15" customHeight="1" x14ac:dyDescent="0.25">
      <c r="B26334" s="55" t="s">
        <v>375</v>
      </c>
      <c r="C26334" s="46">
        <v>4</v>
      </c>
      <c r="D26334" s="69" t="s">
        <v>29512</v>
      </c>
      <c r="E26334" s="62"/>
      <c r="F26334" s="62" t="str">
        <f>IF(INDEX(I.Gas.P2aY1C1E1,4)="","",INDEX(I.Gas.P2aY1C1E1,4))</f>
        <v/>
      </c>
      <c r="G26334" s="62"/>
      <c r="H26334" s="46" t="str">
        <f>IF(OR(I.Developer.P2a=FALSE,I.Facility.StandardPart="Part 2"),"Complete",IF(I.Product.P2aGasToPowerStatus&lt;&gt;"Yes","Complete",IF(AND(I.Gas.P2aY1Count&gt;=4,F26334=""),"Incomplete","Complete")))</f>
        <v>Complete</v>
      </c>
      <c r="I26334" s="48" t="s">
        <v>1513</v>
      </c>
    </row>
    <row r="26335" spans="2:9" ht="15" customHeight="1" x14ac:dyDescent="0.25">
      <c r="B26335" s="55" t="s">
        <v>375</v>
      </c>
      <c r="C26335" s="46">
        <v>5</v>
      </c>
      <c r="D26335" s="69" t="s">
        <v>29512</v>
      </c>
      <c r="E26335" s="62"/>
      <c r="F26335" s="62" t="str">
        <f>IF(INDEX(I.Gas.P2aY1C1E1,5)="","",INDEX(I.Gas.P2aY1C1E1,5))</f>
        <v/>
      </c>
      <c r="G26335" s="62"/>
      <c r="H26335" s="46" t="str">
        <f>IF(OR(I.Developer.P2a=FALSE,I.Facility.StandardPart="Part 2"),"Complete",IF(I.Product.P2aGasToPowerStatus&lt;&gt;"Yes","Complete",IF(AND(I.Gas.P2aY1Count&gt;=5,F26335=""),"Incomplete","Complete")))</f>
        <v>Complete</v>
      </c>
      <c r="I26335" s="48" t="s">
        <v>1514</v>
      </c>
    </row>
    <row r="26336" spans="2:9" ht="15" customHeight="1" x14ac:dyDescent="0.25">
      <c r="B26336" s="55" t="s">
        <v>375</v>
      </c>
      <c r="C26336" s="46">
        <v>6</v>
      </c>
      <c r="D26336" s="69" t="s">
        <v>29512</v>
      </c>
      <c r="E26336" s="62"/>
      <c r="F26336" s="62" t="str">
        <f>IF(INDEX(I.Gas.P2aY1C1E1,6)="","",INDEX(I.Gas.P2aY1C1E1,6))</f>
        <v/>
      </c>
      <c r="G26336" s="62"/>
      <c r="H26336" s="46" t="str">
        <f>IF(OR(I.Developer.P2a=FALSE,I.Facility.StandardPart="Part 2"),"Complete",IF(I.Product.P2aGasToPowerStatus&lt;&gt;"Yes","Complete",IF(AND(I.Gas.P2aY1Count&gt;=6,F26336=""),"Incomplete","Complete")))</f>
        <v>Complete</v>
      </c>
      <c r="I26336" s="48" t="s">
        <v>1515</v>
      </c>
    </row>
    <row r="26337" spans="2:9" ht="15" customHeight="1" x14ac:dyDescent="0.25">
      <c r="B26337" s="55" t="s">
        <v>375</v>
      </c>
      <c r="C26337" s="46">
        <v>7</v>
      </c>
      <c r="D26337" s="69" t="s">
        <v>29512</v>
      </c>
      <c r="E26337" s="62"/>
      <c r="F26337" s="62" t="str">
        <f>IF(INDEX(I.Gas.P2aY1C1E1,7)="","",INDEX(I.Gas.P2aY1C1E1,7))</f>
        <v/>
      </c>
      <c r="G26337" s="62"/>
      <c r="H26337" s="46" t="str">
        <f>IF(OR(I.Developer.P2a=FALSE,I.Facility.StandardPart="Part 2"),"Complete",IF(I.Product.P2aGasToPowerStatus&lt;&gt;"Yes","Complete",IF(AND(I.Gas.P2aY1Count&gt;=7,F26337=""),"Incomplete","Complete")))</f>
        <v>Complete</v>
      </c>
      <c r="I26337" s="48" t="s">
        <v>1516</v>
      </c>
    </row>
    <row r="26338" spans="2:9" ht="15" customHeight="1" x14ac:dyDescent="0.25">
      <c r="B26338" s="55" t="s">
        <v>375</v>
      </c>
      <c r="C26338" s="46">
        <v>8</v>
      </c>
      <c r="D26338" s="69" t="s">
        <v>29512</v>
      </c>
      <c r="E26338" s="62"/>
      <c r="F26338" s="62" t="str">
        <f>IF(INDEX(I.Gas.P2aY1C1E1,8)="","",INDEX(I.Gas.P2aY1C1E1,8))</f>
        <v/>
      </c>
      <c r="G26338" s="62"/>
      <c r="H26338" s="46" t="str">
        <f>IF(OR(I.Developer.P2a=FALSE,I.Facility.StandardPart="Part 2"),"Complete",IF(I.Product.P2aGasToPowerStatus&lt;&gt;"Yes","Complete",IF(AND(I.Gas.P2aY1Count&gt;=8,F26338=""),"Incomplete","Complete")))</f>
        <v>Complete</v>
      </c>
      <c r="I26338" s="48" t="s">
        <v>1517</v>
      </c>
    </row>
    <row r="26339" spans="2:9" ht="15" customHeight="1" x14ac:dyDescent="0.25">
      <c r="B26339" s="55" t="s">
        <v>375</v>
      </c>
      <c r="C26339" s="46">
        <v>9</v>
      </c>
      <c r="D26339" s="69" t="s">
        <v>29512</v>
      </c>
      <c r="E26339" s="62"/>
      <c r="F26339" s="62" t="str">
        <f>IF(INDEX(I.Gas.P2aY1C1E1,9)="","",INDEX(I.Gas.P2aY1C1E1,9))</f>
        <v/>
      </c>
      <c r="G26339" s="62"/>
      <c r="H26339" s="46" t="str">
        <f>IF(OR(I.Developer.P2a=FALSE,I.Facility.StandardPart="Part 2"),"Complete",IF(I.Product.P2aGasToPowerStatus&lt;&gt;"Yes","Complete",IF(AND(I.Gas.P2aY1Count&gt;=9,F26339=""),"Incomplete","Complete")))</f>
        <v>Complete</v>
      </c>
      <c r="I26339" s="48" t="s">
        <v>1518</v>
      </c>
    </row>
    <row r="26340" spans="2:9" ht="15" customHeight="1" x14ac:dyDescent="0.25">
      <c r="B26340" s="55" t="s">
        <v>375</v>
      </c>
      <c r="C26340" s="46">
        <v>10</v>
      </c>
      <c r="D26340" s="69" t="s">
        <v>29512</v>
      </c>
      <c r="E26340" s="62"/>
      <c r="F26340" s="62" t="str">
        <f>IF(INDEX(I.Gas.P2aY1C1E1,10)="","",INDEX(I.Gas.P2aY1C1E1,10))</f>
        <v/>
      </c>
      <c r="G26340" s="62"/>
      <c r="H26340" s="46" t="str">
        <f>IF(OR(I.Developer.P2a=FALSE,I.Facility.StandardPart="Part 2"),"Complete",IF(I.Product.P2aGasToPowerStatus&lt;&gt;"Yes","Complete",IF(AND(I.Gas.P2aY1Count&gt;=10,F26340=""),"Incomplete","Complete")))</f>
        <v>Complete</v>
      </c>
      <c r="I26340" s="48" t="s">
        <v>1519</v>
      </c>
    </row>
    <row r="26341" spans="2:9" ht="15" customHeight="1" x14ac:dyDescent="0.25">
      <c r="B26341" s="55" t="s">
        <v>375</v>
      </c>
      <c r="C26341" s="46">
        <v>11</v>
      </c>
      <c r="D26341" s="69" t="s">
        <v>29512</v>
      </c>
      <c r="E26341" s="62"/>
      <c r="F26341" s="62" t="str">
        <f>IF(INDEX(I.Gas.P2aY1C1E1,11)="","",INDEX(I.Gas.P2aY1C1E1,11))</f>
        <v/>
      </c>
      <c r="G26341" s="62"/>
      <c r="H26341" s="46" t="str">
        <f>IF(OR(I.Developer.P2a=FALSE,I.Facility.StandardPart="Part 2"),"Complete",IF(I.Product.P2aGasToPowerStatus&lt;&gt;"Yes","Complete",IF(AND(I.Gas.P2aY1Count&gt;=11,F26341=""),"Incomplete","Complete")))</f>
        <v>Complete</v>
      </c>
      <c r="I26341" s="48" t="s">
        <v>1520</v>
      </c>
    </row>
    <row r="26342" spans="2:9" ht="15" customHeight="1" x14ac:dyDescent="0.25">
      <c r="B26342" s="55" t="s">
        <v>375</v>
      </c>
      <c r="C26342" s="46">
        <v>12</v>
      </c>
      <c r="D26342" s="69" t="s">
        <v>29512</v>
      </c>
      <c r="E26342" s="62"/>
      <c r="F26342" s="62" t="str">
        <f>IF(INDEX(I.Gas.P2aY1C1E1,12)="","",INDEX(I.Gas.P2aY1C1E1,12))</f>
        <v/>
      </c>
      <c r="G26342" s="62"/>
      <c r="H26342" s="46" t="str">
        <f>IF(OR(I.Developer.P2a=FALSE,I.Facility.StandardPart="Part 2"),"Complete",IF(I.Product.P2aGasToPowerStatus&lt;&gt;"Yes","Complete",IF(AND(I.Gas.P2aY1Count&gt;=12,F26342=""),"Incomplete","Complete")))</f>
        <v>Complete</v>
      </c>
      <c r="I26342" s="48" t="s">
        <v>1521</v>
      </c>
    </row>
    <row r="26343" spans="2:9" ht="15" customHeight="1" x14ac:dyDescent="0.25">
      <c r="B26343" s="55" t="s">
        <v>375</v>
      </c>
      <c r="C26343" s="46">
        <v>13</v>
      </c>
      <c r="D26343" s="69" t="s">
        <v>29512</v>
      </c>
      <c r="E26343" s="62"/>
      <c r="F26343" s="62" t="str">
        <f>IF(INDEX(I.Gas.P2aY1C1E1,13)="","",INDEX(I.Gas.P2aY1C1E1,13))</f>
        <v/>
      </c>
      <c r="G26343" s="62"/>
      <c r="H26343" s="46" t="str">
        <f>IF(OR(I.Developer.P2a=FALSE,I.Facility.StandardPart="Part 2"),"Complete",IF(I.Product.P2aGasToPowerStatus&lt;&gt;"Yes","Complete",IF(AND(I.Gas.P2aY1Count&gt;=13,F26343=""),"Incomplete","Complete")))</f>
        <v>Complete</v>
      </c>
      <c r="I26343" s="48" t="s">
        <v>1522</v>
      </c>
    </row>
    <row r="26344" spans="2:9" ht="15" customHeight="1" x14ac:dyDescent="0.25">
      <c r="B26344" s="55" t="s">
        <v>375</v>
      </c>
      <c r="C26344" s="46">
        <v>14</v>
      </c>
      <c r="D26344" s="69" t="s">
        <v>29512</v>
      </c>
      <c r="E26344" s="62"/>
      <c r="F26344" s="62" t="str">
        <f>IF(INDEX(I.Gas.P2aY1C1E1,14)="","",INDEX(I.Gas.P2aY1C1E1,14))</f>
        <v/>
      </c>
      <c r="G26344" s="62"/>
      <c r="H26344" s="46" t="str">
        <f>IF(OR(I.Developer.P2a=FALSE,I.Facility.StandardPart="Part 2"),"Complete",IF(I.Product.P2aGasToPowerStatus&lt;&gt;"Yes","Complete",IF(AND(I.Gas.P2aY1Count&gt;=14,F26344=""),"Incomplete","Complete")))</f>
        <v>Complete</v>
      </c>
      <c r="I26344" s="48" t="s">
        <v>1523</v>
      </c>
    </row>
    <row r="26345" spans="2:9" ht="15" customHeight="1" x14ac:dyDescent="0.25">
      <c r="B26345" s="55" t="s">
        <v>375</v>
      </c>
      <c r="C26345" s="46">
        <v>15</v>
      </c>
      <c r="D26345" s="69" t="s">
        <v>29512</v>
      </c>
      <c r="E26345" s="62"/>
      <c r="F26345" s="62" t="str">
        <f>IF(INDEX(I.Gas.P2aY1C1E1,15)="","",INDEX(I.Gas.P2aY1C1E1,15))</f>
        <v/>
      </c>
      <c r="G26345" s="62"/>
      <c r="H26345" s="46" t="str">
        <f>IF(OR(I.Developer.P2a=FALSE,I.Facility.StandardPart="Part 2"),"Complete",IF(I.Product.P2aGasToPowerStatus&lt;&gt;"Yes","Complete",IF(AND(I.Gas.P2aY1Count&gt;=15,F26345=""),"Incomplete","Complete")))</f>
        <v>Complete</v>
      </c>
      <c r="I26345" s="48" t="s">
        <v>1524</v>
      </c>
    </row>
    <row r="26346" spans="2:9" ht="15" customHeight="1" x14ac:dyDescent="0.25">
      <c r="B26346" s="55" t="s">
        <v>375</v>
      </c>
      <c r="C26346" s="46">
        <v>16</v>
      </c>
      <c r="D26346" s="69" t="s">
        <v>29512</v>
      </c>
      <c r="E26346" s="62"/>
      <c r="F26346" s="62" t="str">
        <f>IF(INDEX(I.Gas.P2aY1C1E1,16)="","",INDEX(I.Gas.P2aY1C1E1,16))</f>
        <v/>
      </c>
      <c r="G26346" s="62"/>
      <c r="H26346" s="46" t="str">
        <f>IF(OR(I.Developer.P2a=FALSE,I.Facility.StandardPart="Part 2"),"Complete",IF(I.Product.P2aGasToPowerStatus&lt;&gt;"Yes","Complete",IF(AND(I.Gas.P2aY1Count&gt;=16,F26346=""),"Incomplete","Complete")))</f>
        <v>Complete</v>
      </c>
      <c r="I26346" s="48" t="s">
        <v>1525</v>
      </c>
    </row>
    <row r="26347" spans="2:9" ht="15" customHeight="1" x14ac:dyDescent="0.25">
      <c r="B26347" s="55" t="s">
        <v>375</v>
      </c>
      <c r="C26347" s="46">
        <v>17</v>
      </c>
      <c r="D26347" s="69" t="s">
        <v>29512</v>
      </c>
      <c r="E26347" s="62"/>
      <c r="F26347" s="62" t="str">
        <f>IF(INDEX(I.Gas.P2aY1C1E1,17)="","",INDEX(I.Gas.P2aY1C1E1,17))</f>
        <v/>
      </c>
      <c r="G26347" s="62"/>
      <c r="H26347" s="46" t="str">
        <f>IF(OR(I.Developer.P2a=FALSE,I.Facility.StandardPart="Part 2"),"Complete",IF(I.Product.P2aGasToPowerStatus&lt;&gt;"Yes","Complete",IF(AND(I.Gas.P2aY1Count&gt;=17,F26347=""),"Incomplete","Complete")))</f>
        <v>Complete</v>
      </c>
      <c r="I26347" s="48" t="s">
        <v>1526</v>
      </c>
    </row>
    <row r="26348" spans="2:9" ht="15" customHeight="1" x14ac:dyDescent="0.25">
      <c r="B26348" s="55" t="s">
        <v>375</v>
      </c>
      <c r="C26348" s="46">
        <v>18</v>
      </c>
      <c r="D26348" s="69" t="s">
        <v>29512</v>
      </c>
      <c r="E26348" s="62"/>
      <c r="F26348" s="62" t="str">
        <f>IF(INDEX(I.Gas.P2aY1C1E1,18)="","",INDEX(I.Gas.P2aY1C1E1,18))</f>
        <v/>
      </c>
      <c r="G26348" s="62"/>
      <c r="H26348" s="46" t="str">
        <f>IF(OR(I.Developer.P2a=FALSE,I.Facility.StandardPart="Part 2"),"Complete",IF(I.Product.P2aGasToPowerStatus&lt;&gt;"Yes","Complete",IF(AND(I.Gas.P2aY1Count&gt;=18,F26348=""),"Incomplete","Complete")))</f>
        <v>Complete</v>
      </c>
      <c r="I26348" s="48" t="s">
        <v>1527</v>
      </c>
    </row>
    <row r="26349" spans="2:9" ht="15" customHeight="1" x14ac:dyDescent="0.25">
      <c r="B26349" s="55" t="s">
        <v>375</v>
      </c>
      <c r="C26349" s="46">
        <v>19</v>
      </c>
      <c r="D26349" s="69" t="s">
        <v>29512</v>
      </c>
      <c r="E26349" s="62"/>
      <c r="F26349" s="62" t="str">
        <f>IF(INDEX(I.Gas.P2aY1C1E1,19)="","",INDEX(I.Gas.P2aY1C1E1,19))</f>
        <v/>
      </c>
      <c r="G26349" s="62"/>
      <c r="H26349" s="46" t="str">
        <f>IF(OR(I.Developer.P2a=FALSE,I.Facility.StandardPart="Part 2"),"Complete",IF(I.Product.P2aGasToPowerStatus&lt;&gt;"Yes","Complete",IF(AND(I.Gas.P2aY1Count&gt;=19,F26349=""),"Incomplete","Complete")))</f>
        <v>Complete</v>
      </c>
      <c r="I26349" s="48" t="s">
        <v>1528</v>
      </c>
    </row>
    <row r="26350" spans="2:9" ht="15" customHeight="1" x14ac:dyDescent="0.25">
      <c r="B26350" s="55" t="s">
        <v>375</v>
      </c>
      <c r="C26350" s="46">
        <v>20</v>
      </c>
      <c r="D26350" s="69" t="s">
        <v>29512</v>
      </c>
      <c r="E26350" s="62"/>
      <c r="F26350" s="62" t="str">
        <f>IF(INDEX(I.Gas.P2aY1C1E1,20)="","",INDEX(I.Gas.P2aY1C1E1,20))</f>
        <v/>
      </c>
      <c r="G26350" s="62"/>
      <c r="H26350" s="46" t="str">
        <f>IF(OR(I.Developer.P2a=FALSE,I.Facility.StandardPart="Part 2"),"Complete",IF(I.Product.P2aGasToPowerStatus&lt;&gt;"Yes","Complete",IF(AND(I.Gas.P2aY1Count&gt;=20,F26350=""),"Incomplete","Complete")))</f>
        <v>Complete</v>
      </c>
      <c r="I26350" s="48" t="s">
        <v>1529</v>
      </c>
    </row>
    <row r="26351" spans="2:9" ht="15" customHeight="1" x14ac:dyDescent="0.25">
      <c r="B26351" s="55" t="s">
        <v>375</v>
      </c>
      <c r="C26351" s="46">
        <v>21</v>
      </c>
      <c r="D26351" s="69" t="s">
        <v>29512</v>
      </c>
      <c r="E26351" s="62"/>
      <c r="F26351" s="62" t="str">
        <f>IF(INDEX(I.Gas.P2aY1C1E1,21)="","",INDEX(I.Gas.P2aY1C1E1,21))</f>
        <v/>
      </c>
      <c r="G26351" s="62"/>
      <c r="H26351" s="46" t="str">
        <f>IF(OR(I.Developer.P2a=FALSE,I.Facility.StandardPart="Part 2"),"Complete",IF(I.Product.P2aGasToPowerStatus&lt;&gt;"Yes","Complete",IF(AND(I.Gas.P2aY1Count&gt;=21,F26351=""),"Incomplete","Complete")))</f>
        <v>Complete</v>
      </c>
      <c r="I26351" s="48" t="s">
        <v>1530</v>
      </c>
    </row>
    <row r="26352" spans="2:9" ht="15" customHeight="1" x14ac:dyDescent="0.25">
      <c r="B26352" s="55" t="s">
        <v>375</v>
      </c>
      <c r="C26352" s="46">
        <v>22</v>
      </c>
      <c r="D26352" s="69" t="s">
        <v>29512</v>
      </c>
      <c r="E26352" s="62"/>
      <c r="F26352" s="62" t="str">
        <f>IF(INDEX(I.Gas.P2aY1C1E1,22)="","",INDEX(I.Gas.P2aY1C1E1,22))</f>
        <v/>
      </c>
      <c r="G26352" s="62"/>
      <c r="H26352" s="46" t="str">
        <f>IF(OR(I.Developer.P2a=FALSE,I.Facility.StandardPart="Part 2"),"Complete",IF(I.Product.P2aGasToPowerStatus&lt;&gt;"Yes","Complete",IF(AND(I.Gas.P2aY1Count&gt;=22,F26352=""),"Incomplete","Complete")))</f>
        <v>Complete</v>
      </c>
      <c r="I26352" s="48" t="s">
        <v>1531</v>
      </c>
    </row>
    <row r="26353" spans="2:9" ht="15" customHeight="1" x14ac:dyDescent="0.25">
      <c r="B26353" s="55" t="s">
        <v>375</v>
      </c>
      <c r="C26353" s="46">
        <v>23</v>
      </c>
      <c r="D26353" s="69" t="s">
        <v>29512</v>
      </c>
      <c r="E26353" s="62"/>
      <c r="F26353" s="62" t="str">
        <f>IF(INDEX(I.Gas.P2aY1C1E1,23)="","",INDEX(I.Gas.P2aY1C1E1,23))</f>
        <v/>
      </c>
      <c r="G26353" s="62"/>
      <c r="H26353" s="46" t="str">
        <f>IF(OR(I.Developer.P2a=FALSE,I.Facility.StandardPart="Part 2"),"Complete",IF(I.Product.P2aGasToPowerStatus&lt;&gt;"Yes","Complete",IF(AND(I.Gas.P2aY1Count&gt;=23,F26353=""),"Incomplete","Complete")))</f>
        <v>Complete</v>
      </c>
      <c r="I26353" s="48" t="s">
        <v>1532</v>
      </c>
    </row>
    <row r="26354" spans="2:9" ht="15" customHeight="1" x14ac:dyDescent="0.25">
      <c r="B26354" s="55" t="s">
        <v>375</v>
      </c>
      <c r="C26354" s="46">
        <v>24</v>
      </c>
      <c r="D26354" s="69" t="s">
        <v>29512</v>
      </c>
      <c r="E26354" s="62"/>
      <c r="F26354" s="62" t="str">
        <f>IF(INDEX(I.Gas.P2aY1C1E1,24)="","",INDEX(I.Gas.P2aY1C1E1,24))</f>
        <v/>
      </c>
      <c r="G26354" s="62"/>
      <c r="H26354" s="46" t="str">
        <f>IF(OR(I.Developer.P2a=FALSE,I.Facility.StandardPart="Part 2"),"Complete",IF(I.Product.P2aGasToPowerStatus&lt;&gt;"Yes","Complete",IF(AND(I.Gas.P2aY1Count&gt;=24,F26354=""),"Incomplete","Complete")))</f>
        <v>Complete</v>
      </c>
      <c r="I26354" s="48" t="s">
        <v>1533</v>
      </c>
    </row>
    <row r="26355" spans="2:9" ht="15" customHeight="1" x14ac:dyDescent="0.25">
      <c r="B26355" s="55" t="s">
        <v>375</v>
      </c>
      <c r="C26355" s="46">
        <v>25</v>
      </c>
      <c r="D26355" s="69" t="s">
        <v>29512</v>
      </c>
      <c r="E26355" s="62"/>
      <c r="F26355" s="62" t="str">
        <f>IF(INDEX(I.Gas.P2aY1C1E1,25)="","",INDEX(I.Gas.P2aY1C1E1,25))</f>
        <v/>
      </c>
      <c r="G26355" s="62"/>
      <c r="H26355" s="46" t="str">
        <f>IF(OR(I.Developer.P2a=FALSE,I.Facility.StandardPart="Part 2"),"Complete",IF(I.Product.P2aGasToPowerStatus&lt;&gt;"Yes","Complete",IF(AND(I.Gas.P2aY1Count&gt;=25,F26355=""),"Incomplete","Complete")))</f>
        <v>Complete</v>
      </c>
      <c r="I26355" s="48" t="s">
        <v>1534</v>
      </c>
    </row>
    <row r="26356" spans="2:9" ht="15" customHeight="1" x14ac:dyDescent="0.25">
      <c r="B26356" s="55" t="s">
        <v>375</v>
      </c>
      <c r="C26356" s="46">
        <v>26</v>
      </c>
      <c r="D26356" s="69" t="s">
        <v>29512</v>
      </c>
      <c r="E26356" s="62"/>
      <c r="F26356" s="62" t="str">
        <f>IF(INDEX(I.Gas.P2aY1C1E1,26)="","",INDEX(I.Gas.P2aY1C1E1,26))</f>
        <v/>
      </c>
      <c r="G26356" s="62"/>
      <c r="H26356" s="46" t="str">
        <f>IF(OR(I.Developer.P2a=FALSE,I.Facility.StandardPart="Part 2"),"Complete",IF(I.Product.P2aGasToPowerStatus&lt;&gt;"Yes","Complete",IF(AND(I.Gas.P2aY1Count&gt;=26,F26356=""),"Incomplete","Complete")))</f>
        <v>Complete</v>
      </c>
      <c r="I26356" s="48" t="s">
        <v>1535</v>
      </c>
    </row>
    <row r="26357" spans="2:9" ht="15" customHeight="1" x14ac:dyDescent="0.25">
      <c r="B26357" s="55" t="s">
        <v>375</v>
      </c>
      <c r="C26357" s="46">
        <v>27</v>
      </c>
      <c r="D26357" s="69" t="s">
        <v>29512</v>
      </c>
      <c r="E26357" s="62"/>
      <c r="F26357" s="62" t="str">
        <f>IF(INDEX(I.Gas.P2aY1C1E1,27)="","",INDEX(I.Gas.P2aY1C1E1,27))</f>
        <v/>
      </c>
      <c r="G26357" s="62"/>
      <c r="H26357" s="46" t="str">
        <f>IF(OR(I.Developer.P2a=FALSE,I.Facility.StandardPart="Part 2"),"Complete",IF(I.Product.P2aGasToPowerStatus&lt;&gt;"Yes","Complete",IF(AND(I.Gas.P2aY1Count&gt;=27,F26357=""),"Incomplete","Complete")))</f>
        <v>Complete</v>
      </c>
      <c r="I26357" s="48" t="s">
        <v>1536</v>
      </c>
    </row>
    <row r="26358" spans="2:9" ht="15" customHeight="1" x14ac:dyDescent="0.25">
      <c r="B26358" s="55" t="s">
        <v>375</v>
      </c>
      <c r="C26358" s="46">
        <v>28</v>
      </c>
      <c r="D26358" s="69" t="s">
        <v>29512</v>
      </c>
      <c r="E26358" s="62"/>
      <c r="F26358" s="62" t="str">
        <f>IF(INDEX(I.Gas.P2aY1C1E1,28)="","",INDEX(I.Gas.P2aY1C1E1,28))</f>
        <v/>
      </c>
      <c r="G26358" s="62"/>
      <c r="H26358" s="46" t="str">
        <f>IF(OR(I.Developer.P2a=FALSE,I.Facility.StandardPart="Part 2"),"Complete",IF(I.Product.P2aGasToPowerStatus&lt;&gt;"Yes","Complete",IF(AND(I.Gas.P2aY1Count&gt;=28,F26358=""),"Incomplete","Complete")))</f>
        <v>Complete</v>
      </c>
      <c r="I26358" s="48" t="s">
        <v>1537</v>
      </c>
    </row>
    <row r="26359" spans="2:9" ht="15" customHeight="1" x14ac:dyDescent="0.25">
      <c r="B26359" s="55" t="s">
        <v>375</v>
      </c>
      <c r="C26359" s="46">
        <v>29</v>
      </c>
      <c r="D26359" s="69" t="s">
        <v>29512</v>
      </c>
      <c r="E26359" s="62"/>
      <c r="F26359" s="62" t="str">
        <f>IF(INDEX(I.Gas.P2aY1C1E1,29)="","",INDEX(I.Gas.P2aY1C1E1,29))</f>
        <v/>
      </c>
      <c r="G26359" s="62"/>
      <c r="H26359" s="46" t="str">
        <f>IF(OR(I.Developer.P2a=FALSE,I.Facility.StandardPart="Part 2"),"Complete",IF(I.Product.P2aGasToPowerStatus&lt;&gt;"Yes","Complete",IF(AND(I.Gas.P2aY1Count&gt;=29,F26359=""),"Incomplete","Complete")))</f>
        <v>Complete</v>
      </c>
      <c r="I26359" s="48" t="s">
        <v>1538</v>
      </c>
    </row>
    <row r="26360" spans="2:9" ht="15" customHeight="1" x14ac:dyDescent="0.25">
      <c r="B26360" s="55" t="s">
        <v>375</v>
      </c>
      <c r="C26360" s="46">
        <v>30</v>
      </c>
      <c r="D26360" s="69" t="s">
        <v>29512</v>
      </c>
      <c r="E26360" s="62"/>
      <c r="F26360" s="62" t="str">
        <f>IF(INDEX(I.Gas.P2aY1C1E1,30)="","",INDEX(I.Gas.P2aY1C1E1,30))</f>
        <v/>
      </c>
      <c r="G26360" s="62"/>
      <c r="H26360" s="46" t="str">
        <f>IF(OR(I.Developer.P2a=FALSE,I.Facility.StandardPart="Part 2"),"Complete",IF(I.Product.P2aGasToPowerStatus&lt;&gt;"Yes","Complete",IF(AND(I.Gas.P2aY1Count&gt;=30,F26360=""),"Incomplete","Complete")))</f>
        <v>Complete</v>
      </c>
      <c r="I26360" s="48" t="s">
        <v>1539</v>
      </c>
    </row>
    <row r="26361" spans="2:9" ht="15" customHeight="1" x14ac:dyDescent="0.25">
      <c r="B26361" s="55" t="s">
        <v>375</v>
      </c>
      <c r="C26361" s="46">
        <v>31</v>
      </c>
      <c r="D26361" s="69" t="s">
        <v>29512</v>
      </c>
      <c r="E26361" s="62"/>
      <c r="F26361" s="62" t="str">
        <f>IF(INDEX(I.Gas.P2aY1C1E1,31)="","",INDEX(I.Gas.P2aY1C1E1,31))</f>
        <v/>
      </c>
      <c r="G26361" s="62"/>
      <c r="H26361" s="46" t="str">
        <f>IF(OR(I.Developer.P2a=FALSE,I.Facility.StandardPart="Part 2"),"Complete",IF(I.Product.P2aGasToPowerStatus&lt;&gt;"Yes","Complete",IF(AND(I.Gas.P2aY1Count&gt;=31,F26361=""),"Incomplete","Complete")))</f>
        <v>Complete</v>
      </c>
      <c r="I26361" s="48" t="s">
        <v>1540</v>
      </c>
    </row>
    <row r="26362" spans="2:9" ht="15" customHeight="1" x14ac:dyDescent="0.25">
      <c r="B26362" s="55" t="s">
        <v>375</v>
      </c>
      <c r="C26362" s="46">
        <v>32</v>
      </c>
      <c r="D26362" s="69" t="s">
        <v>29512</v>
      </c>
      <c r="E26362" s="62"/>
      <c r="F26362" s="62" t="str">
        <f>IF(INDEX(I.Gas.P2aY1C1E1,32)="","",INDEX(I.Gas.P2aY1C1E1,32))</f>
        <v/>
      </c>
      <c r="G26362" s="62"/>
      <c r="H26362" s="46" t="str">
        <f>IF(OR(I.Developer.P2a=FALSE,I.Facility.StandardPart="Part 2"),"Complete",IF(I.Product.P2aGasToPowerStatus&lt;&gt;"Yes","Complete",IF(AND(I.Gas.P2aY1Count&gt;=32,F26362=""),"Incomplete","Complete")))</f>
        <v>Complete</v>
      </c>
      <c r="I26362" s="48" t="s">
        <v>1541</v>
      </c>
    </row>
    <row r="26363" spans="2:9" ht="15" customHeight="1" x14ac:dyDescent="0.25">
      <c r="B26363" s="55" t="s">
        <v>375</v>
      </c>
      <c r="C26363" s="46">
        <v>33</v>
      </c>
      <c r="D26363" s="69" t="s">
        <v>29512</v>
      </c>
      <c r="E26363" s="62"/>
      <c r="F26363" s="62" t="str">
        <f>IF(INDEX(I.Gas.P2aY1C1E1,33)="","",INDEX(I.Gas.P2aY1C1E1,33))</f>
        <v/>
      </c>
      <c r="G26363" s="62"/>
      <c r="H26363" s="46" t="str">
        <f>IF(OR(I.Developer.P2a=FALSE,I.Facility.StandardPart="Part 2"),"Complete",IF(I.Product.P2aGasToPowerStatus&lt;&gt;"Yes","Complete",IF(AND(I.Gas.P2aY1Count&gt;=33,F26363=""),"Incomplete","Complete")))</f>
        <v>Complete</v>
      </c>
      <c r="I26363" s="48" t="s">
        <v>1542</v>
      </c>
    </row>
    <row r="26364" spans="2:9" ht="15" customHeight="1" x14ac:dyDescent="0.25">
      <c r="B26364" s="55" t="s">
        <v>375</v>
      </c>
      <c r="C26364" s="46">
        <v>34</v>
      </c>
      <c r="D26364" s="69" t="s">
        <v>29512</v>
      </c>
      <c r="E26364" s="62"/>
      <c r="F26364" s="62" t="str">
        <f>IF(INDEX(I.Gas.P2aY1C1E1,34)="","",INDEX(I.Gas.P2aY1C1E1,34))</f>
        <v/>
      </c>
      <c r="G26364" s="62"/>
      <c r="H26364" s="46" t="str">
        <f>IF(OR(I.Developer.P2a=FALSE,I.Facility.StandardPart="Part 2"),"Complete",IF(I.Product.P2aGasToPowerStatus&lt;&gt;"Yes","Complete",IF(AND(I.Gas.P2aY1Count&gt;=34,F26364=""),"Incomplete","Complete")))</f>
        <v>Complete</v>
      </c>
      <c r="I26364" s="48" t="s">
        <v>1543</v>
      </c>
    </row>
    <row r="26365" spans="2:9" ht="15" customHeight="1" x14ac:dyDescent="0.25">
      <c r="B26365" s="55" t="s">
        <v>375</v>
      </c>
      <c r="C26365" s="46">
        <v>35</v>
      </c>
      <c r="D26365" s="69" t="s">
        <v>29512</v>
      </c>
      <c r="E26365" s="62"/>
      <c r="F26365" s="62" t="str">
        <f>IF(INDEX(I.Gas.P2aY1C1E1,35)="","",INDEX(I.Gas.P2aY1C1E1,35))</f>
        <v/>
      </c>
      <c r="G26365" s="62"/>
      <c r="H26365" s="46" t="str">
        <f>IF(OR(I.Developer.P2a=FALSE,I.Facility.StandardPart="Part 2"),"Complete",IF(I.Product.P2aGasToPowerStatus&lt;&gt;"Yes","Complete",IF(AND(I.Gas.P2aY1Count&gt;=35,F26365=""),"Incomplete","Complete")))</f>
        <v>Complete</v>
      </c>
      <c r="I26365" s="48" t="s">
        <v>1544</v>
      </c>
    </row>
    <row r="26366" spans="2:9" ht="15" customHeight="1" x14ac:dyDescent="0.25">
      <c r="B26366" s="55" t="s">
        <v>375</v>
      </c>
      <c r="C26366" s="46">
        <v>36</v>
      </c>
      <c r="D26366" s="69" t="s">
        <v>29512</v>
      </c>
      <c r="E26366" s="62"/>
      <c r="F26366" s="62" t="str">
        <f>IF(INDEX(I.Gas.P2aY1C1E1,36)="","",INDEX(I.Gas.P2aY1C1E1,36))</f>
        <v/>
      </c>
      <c r="G26366" s="62"/>
      <c r="H26366" s="46" t="str">
        <f>IF(OR(I.Developer.P2a=FALSE,I.Facility.StandardPart="Part 2"),"Complete",IF(I.Product.P2aGasToPowerStatus&lt;&gt;"Yes","Complete",IF(AND(I.Gas.P2aY1Count&gt;=36,F26366=""),"Incomplete","Complete")))</f>
        <v>Complete</v>
      </c>
      <c r="I26366" s="48" t="s">
        <v>1545</v>
      </c>
    </row>
    <row r="26367" spans="2:9" ht="15" customHeight="1" x14ac:dyDescent="0.25">
      <c r="B26367" s="55" t="s">
        <v>375</v>
      </c>
      <c r="C26367" s="46">
        <v>37</v>
      </c>
      <c r="D26367" s="69" t="s">
        <v>29512</v>
      </c>
      <c r="E26367" s="62"/>
      <c r="F26367" s="62" t="str">
        <f>IF(INDEX(I.Gas.P2aY1C1E1,37)="","",INDEX(I.Gas.P2aY1C1E1,37))</f>
        <v/>
      </c>
      <c r="G26367" s="62"/>
      <c r="H26367" s="46" t="str">
        <f>IF(OR(I.Developer.P2a=FALSE,I.Facility.StandardPart="Part 2"),"Complete",IF(I.Product.P2aGasToPowerStatus&lt;&gt;"Yes","Complete",IF(AND(I.Gas.P2aY1Count&gt;=37,F26367=""),"Incomplete","Complete")))</f>
        <v>Complete</v>
      </c>
      <c r="I26367" s="48" t="s">
        <v>1546</v>
      </c>
    </row>
    <row r="26368" spans="2:9" ht="15" customHeight="1" x14ac:dyDescent="0.25">
      <c r="B26368" s="55" t="s">
        <v>375</v>
      </c>
      <c r="C26368" s="46">
        <v>38</v>
      </c>
      <c r="D26368" s="69" t="s">
        <v>29512</v>
      </c>
      <c r="E26368" s="62"/>
      <c r="F26368" s="62" t="str">
        <f>IF(INDEX(I.Gas.P2aY1C1E1,38)="","",INDEX(I.Gas.P2aY1C1E1,38))</f>
        <v/>
      </c>
      <c r="G26368" s="62"/>
      <c r="H26368" s="46" t="str">
        <f>IF(OR(I.Developer.P2a=FALSE,I.Facility.StandardPart="Part 2"),"Complete",IF(I.Product.P2aGasToPowerStatus&lt;&gt;"Yes","Complete",IF(AND(I.Gas.P2aY1Count&gt;=38,F26368=""),"Incomplete","Complete")))</f>
        <v>Complete</v>
      </c>
      <c r="I26368" s="48" t="s">
        <v>1547</v>
      </c>
    </row>
    <row r="26369" spans="2:9" ht="15" customHeight="1" x14ac:dyDescent="0.25">
      <c r="B26369" s="55" t="s">
        <v>375</v>
      </c>
      <c r="C26369" s="46">
        <v>39</v>
      </c>
      <c r="D26369" s="69" t="s">
        <v>29512</v>
      </c>
      <c r="E26369" s="62"/>
      <c r="F26369" s="62" t="str">
        <f>IF(INDEX(I.Gas.P2aY1C1E1,39)="","",INDEX(I.Gas.P2aY1C1E1,39))</f>
        <v/>
      </c>
      <c r="G26369" s="62"/>
      <c r="H26369" s="46" t="str">
        <f>IF(OR(I.Developer.P2a=FALSE,I.Facility.StandardPart="Part 2"),"Complete",IF(I.Product.P2aGasToPowerStatus&lt;&gt;"Yes","Complete",IF(AND(I.Gas.P2aY1Count&gt;=39,F26369=""),"Incomplete","Complete")))</f>
        <v>Complete</v>
      </c>
      <c r="I26369" s="48" t="s">
        <v>1548</v>
      </c>
    </row>
    <row r="26370" spans="2:9" ht="15" customHeight="1" x14ac:dyDescent="0.25">
      <c r="B26370" s="55" t="s">
        <v>375</v>
      </c>
      <c r="C26370" s="46">
        <v>40</v>
      </c>
      <c r="D26370" s="69" t="s">
        <v>29512</v>
      </c>
      <c r="E26370" s="62"/>
      <c r="F26370" s="62" t="str">
        <f>IF(INDEX(I.Gas.P2aY1C1E1,40)="","",INDEX(I.Gas.P2aY1C1E1,40))</f>
        <v/>
      </c>
      <c r="G26370" s="62"/>
      <c r="H26370" s="46" t="str">
        <f>IF(OR(I.Developer.P2a=FALSE,I.Facility.StandardPart="Part 2"),"Complete",IF(I.Product.P2aGasToPowerStatus&lt;&gt;"Yes","Complete",IF(AND(I.Gas.P2aY1Count&gt;=40,F26370=""),"Incomplete","Complete")))</f>
        <v>Complete</v>
      </c>
      <c r="I26370" s="48" t="s">
        <v>1549</v>
      </c>
    </row>
    <row r="26371" spans="2:9" ht="15" customHeight="1" x14ac:dyDescent="0.25">
      <c r="B26371" s="55" t="s">
        <v>375</v>
      </c>
      <c r="C26371" s="46">
        <v>41</v>
      </c>
      <c r="D26371" s="69" t="s">
        <v>29512</v>
      </c>
      <c r="E26371" s="62"/>
      <c r="F26371" s="62" t="str">
        <f>IF(INDEX(I.Gas.P2aY1C1E1,41)="","",INDEX(I.Gas.P2aY1C1E1,41))</f>
        <v/>
      </c>
      <c r="G26371" s="62"/>
      <c r="H26371" s="46" t="str">
        <f>IF(OR(I.Developer.P2a=FALSE,I.Facility.StandardPart="Part 2"),"Complete",IF(I.Product.P2aGasToPowerStatus&lt;&gt;"Yes","Complete",IF(AND(I.Gas.P2aY1Count&gt;=41,F26371=""),"Incomplete","Complete")))</f>
        <v>Complete</v>
      </c>
      <c r="I26371" s="48" t="s">
        <v>1550</v>
      </c>
    </row>
    <row r="26372" spans="2:9" ht="15" customHeight="1" x14ac:dyDescent="0.25">
      <c r="B26372" s="55" t="s">
        <v>375</v>
      </c>
      <c r="C26372" s="46">
        <v>42</v>
      </c>
      <c r="D26372" s="69" t="s">
        <v>29512</v>
      </c>
      <c r="E26372" s="62"/>
      <c r="F26372" s="62" t="str">
        <f>IF(INDEX(I.Gas.P2aY1C1E1,42)="","",INDEX(I.Gas.P2aY1C1E1,42))</f>
        <v/>
      </c>
      <c r="G26372" s="62"/>
      <c r="H26372" s="46" t="str">
        <f>IF(OR(I.Developer.P2a=FALSE,I.Facility.StandardPart="Part 2"),"Complete",IF(I.Product.P2aGasToPowerStatus&lt;&gt;"Yes","Complete",IF(AND(I.Gas.P2aY1Count&gt;=42,F26372=""),"Incomplete","Complete")))</f>
        <v>Complete</v>
      </c>
      <c r="I26372" s="48" t="s">
        <v>1551</v>
      </c>
    </row>
    <row r="26373" spans="2:9" ht="15" customHeight="1" x14ac:dyDescent="0.25">
      <c r="B26373" s="55" t="s">
        <v>375</v>
      </c>
      <c r="C26373" s="46">
        <v>43</v>
      </c>
      <c r="D26373" s="69" t="s">
        <v>29512</v>
      </c>
      <c r="E26373" s="62"/>
      <c r="F26373" s="62" t="str">
        <f>IF(INDEX(I.Gas.P2aY1C1E1,43)="","",INDEX(I.Gas.P2aY1C1E1,43))</f>
        <v/>
      </c>
      <c r="G26373" s="62"/>
      <c r="H26373" s="46" t="str">
        <f>IF(OR(I.Developer.P2a=FALSE,I.Facility.StandardPart="Part 2"),"Complete",IF(I.Product.P2aGasToPowerStatus&lt;&gt;"Yes","Complete",IF(AND(I.Gas.P2aY1Count&gt;=43,F26373=""),"Incomplete","Complete")))</f>
        <v>Complete</v>
      </c>
      <c r="I26373" s="48" t="s">
        <v>1552</v>
      </c>
    </row>
    <row r="26374" spans="2:9" ht="15" customHeight="1" x14ac:dyDescent="0.25">
      <c r="B26374" s="55" t="s">
        <v>375</v>
      </c>
      <c r="C26374" s="46">
        <v>44</v>
      </c>
      <c r="D26374" s="69" t="s">
        <v>29512</v>
      </c>
      <c r="E26374" s="62"/>
      <c r="F26374" s="62" t="str">
        <f>IF(INDEX(I.Gas.P2aY1C1E1,44)="","",INDEX(I.Gas.P2aY1C1E1,44))</f>
        <v/>
      </c>
      <c r="G26374" s="62"/>
      <c r="H26374" s="46" t="str">
        <f>IF(OR(I.Developer.P2a=FALSE,I.Facility.StandardPart="Part 2"),"Complete",IF(I.Product.P2aGasToPowerStatus&lt;&gt;"Yes","Complete",IF(AND(I.Gas.P2aY1Count&gt;=44,F26374=""),"Incomplete","Complete")))</f>
        <v>Complete</v>
      </c>
      <c r="I26374" s="48" t="s">
        <v>1553</v>
      </c>
    </row>
    <row r="26375" spans="2:9" ht="15" customHeight="1" x14ac:dyDescent="0.25">
      <c r="B26375" s="55" t="s">
        <v>375</v>
      </c>
      <c r="C26375" s="46">
        <v>45</v>
      </c>
      <c r="D26375" s="69" t="s">
        <v>29512</v>
      </c>
      <c r="E26375" s="62"/>
      <c r="F26375" s="62" t="str">
        <f>IF(INDEX(I.Gas.P2aY1C1E1,45)="","",INDEX(I.Gas.P2aY1C1E1,45))</f>
        <v/>
      </c>
      <c r="G26375" s="62"/>
      <c r="H26375" s="46" t="str">
        <f>IF(OR(I.Developer.P2a=FALSE,I.Facility.StandardPart="Part 2"),"Complete",IF(I.Product.P2aGasToPowerStatus&lt;&gt;"Yes","Complete",IF(AND(I.Gas.P2aY1Count&gt;=45,F26375=""),"Incomplete","Complete")))</f>
        <v>Complete</v>
      </c>
      <c r="I26375" s="48" t="s">
        <v>1554</v>
      </c>
    </row>
    <row r="26376" spans="2:9" ht="15" customHeight="1" x14ac:dyDescent="0.25">
      <c r="B26376" s="55" t="s">
        <v>375</v>
      </c>
      <c r="C26376" s="46">
        <v>46</v>
      </c>
      <c r="D26376" s="69" t="s">
        <v>29512</v>
      </c>
      <c r="E26376" s="62"/>
      <c r="F26376" s="62" t="str">
        <f>IF(INDEX(I.Gas.P2aY1C1E1,46)="","",INDEX(I.Gas.P2aY1C1E1,46))</f>
        <v/>
      </c>
      <c r="G26376" s="62"/>
      <c r="H26376" s="46" t="str">
        <f>IF(OR(I.Developer.P2a=FALSE,I.Facility.StandardPart="Part 2"),"Complete",IF(I.Product.P2aGasToPowerStatus&lt;&gt;"Yes","Complete",IF(AND(I.Gas.P2aY1Count&gt;=46,F26376=""),"Incomplete","Complete")))</f>
        <v>Complete</v>
      </c>
      <c r="I26376" s="48" t="s">
        <v>1555</v>
      </c>
    </row>
    <row r="26377" spans="2:9" ht="15" customHeight="1" x14ac:dyDescent="0.25">
      <c r="B26377" s="55" t="s">
        <v>375</v>
      </c>
      <c r="C26377" s="46">
        <v>47</v>
      </c>
      <c r="D26377" s="69" t="s">
        <v>29512</v>
      </c>
      <c r="E26377" s="62"/>
      <c r="F26377" s="62" t="str">
        <f>IF(INDEX(I.Gas.P2aY1C1E1,47)="","",INDEX(I.Gas.P2aY1C1E1,47))</f>
        <v/>
      </c>
      <c r="G26377" s="62"/>
      <c r="H26377" s="46" t="str">
        <f>IF(OR(I.Developer.P2a=FALSE,I.Facility.StandardPart="Part 2"),"Complete",IF(I.Product.P2aGasToPowerStatus&lt;&gt;"Yes","Complete",IF(AND(I.Gas.P2aY1Count&gt;=47,F26377=""),"Incomplete","Complete")))</f>
        <v>Complete</v>
      </c>
      <c r="I26377" s="48" t="s">
        <v>1556</v>
      </c>
    </row>
    <row r="26378" spans="2:9" ht="15" customHeight="1" x14ac:dyDescent="0.25">
      <c r="B26378" s="55" t="s">
        <v>375</v>
      </c>
      <c r="C26378" s="46">
        <v>48</v>
      </c>
      <c r="D26378" s="69" t="s">
        <v>29512</v>
      </c>
      <c r="E26378" s="62"/>
      <c r="F26378" s="62" t="str">
        <f>IF(INDEX(I.Gas.P2aY1C1E1,48)="","",INDEX(I.Gas.P2aY1C1E1,48))</f>
        <v/>
      </c>
      <c r="G26378" s="62"/>
      <c r="H26378" s="46" t="str">
        <f>IF(OR(I.Developer.P2a=FALSE,I.Facility.StandardPart="Part 2"),"Complete",IF(I.Product.P2aGasToPowerStatus&lt;&gt;"Yes","Complete",IF(AND(I.Gas.P2aY1Count&gt;=48,F26378=""),"Incomplete","Complete")))</f>
        <v>Complete</v>
      </c>
      <c r="I26378" s="48" t="s">
        <v>1557</v>
      </c>
    </row>
    <row r="26379" spans="2:9" ht="15" customHeight="1" x14ac:dyDescent="0.25">
      <c r="B26379" s="55" t="s">
        <v>375</v>
      </c>
      <c r="C26379" s="46">
        <v>49</v>
      </c>
      <c r="D26379" s="69" t="s">
        <v>29512</v>
      </c>
      <c r="E26379" s="62"/>
      <c r="F26379" s="62" t="str">
        <f>IF(INDEX(I.Gas.P2aY1C1E1,49)="","",INDEX(I.Gas.P2aY1C1E1,49))</f>
        <v/>
      </c>
      <c r="G26379" s="62"/>
      <c r="H26379" s="46" t="str">
        <f>IF(OR(I.Developer.P2a=FALSE,I.Facility.StandardPart="Part 2"),"Complete",IF(I.Product.P2aGasToPowerStatus&lt;&gt;"Yes","Complete",IF(AND(I.Gas.P2aY1Count&gt;=49,F26379=""),"Incomplete","Complete")))</f>
        <v>Complete</v>
      </c>
      <c r="I26379" s="48" t="s">
        <v>1558</v>
      </c>
    </row>
    <row r="26380" spans="2:9" ht="15" customHeight="1" x14ac:dyDescent="0.25">
      <c r="B26380" s="56" t="s">
        <v>375</v>
      </c>
      <c r="C26380" s="57">
        <v>50</v>
      </c>
      <c r="D26380" s="71" t="s">
        <v>29512</v>
      </c>
      <c r="E26380" s="61"/>
      <c r="F26380" s="61" t="str">
        <f>IF(INDEX(I.Gas.P2aY1C1E1,50)="","",INDEX(I.Gas.P2aY1C1E1,50))</f>
        <v/>
      </c>
      <c r="G26380" s="61"/>
      <c r="H26380" s="57" t="str">
        <f>IF(OR(I.Developer.P2a=FALSE,I.Facility.StandardPart="Part 2"),"Complete",IF(I.Product.P2aGasToPowerStatus&lt;&gt;"Yes","Complete",IF(AND(I.Gas.P2aY1Count&gt;=50,F26380=""),"Incomplete","Complete")))</f>
        <v>Complete</v>
      </c>
      <c r="I26380" s="49" t="s">
        <v>1559</v>
      </c>
    </row>
    <row r="26381" spans="2:9" ht="15" customHeight="1" x14ac:dyDescent="0.25">
      <c r="B26381" s="55" t="s">
        <v>376</v>
      </c>
      <c r="C26381" s="46">
        <v>1</v>
      </c>
      <c r="D26381" s="69" t="s">
        <v>29513</v>
      </c>
      <c r="E26381" s="62"/>
      <c r="F26381" s="62" t="str">
        <f>IF(INDEX(I.Gas.P2aY1C1E2,1)="","",INDEX(I.Gas.P2aY1C1E2,1))</f>
        <v/>
      </c>
      <c r="G26381" s="62"/>
      <c r="H26381" s="46" t="str">
        <f>IF(OR(I.Developer.P2a=FALSE,I.Facility.StandardPart="Part 2"),"Complete",IF(I.Product.P2aGasToPowerStatus&lt;&gt;"Yes","Complete",IF(AND(I.Gas.P2aY1Count&gt;=1,F26381=""),"Incomplete","Complete")))</f>
        <v>Complete</v>
      </c>
      <c r="I26381" s="48" t="s">
        <v>1560</v>
      </c>
    </row>
    <row r="26382" spans="2:9" ht="15" customHeight="1" x14ac:dyDescent="0.25">
      <c r="B26382" s="55" t="s">
        <v>376</v>
      </c>
      <c r="C26382" s="46">
        <v>2</v>
      </c>
      <c r="D26382" s="69" t="s">
        <v>29513</v>
      </c>
      <c r="E26382" s="62"/>
      <c r="F26382" s="62" t="str">
        <f>IF(INDEX(I.Gas.P2aY1C1E2,2)="","",INDEX(I.Gas.P2aY1C1E2,2))</f>
        <v/>
      </c>
      <c r="G26382" s="62"/>
      <c r="H26382" s="46" t="str">
        <f>IF(OR(I.Developer.P2a=FALSE,I.Facility.StandardPart="Part 2"),"Complete",IF(I.Product.P2aGasToPowerStatus&lt;&gt;"Yes","Complete",IF(AND(I.Gas.P2aY1Count&gt;=2,F26382=""),"Incomplete","Complete")))</f>
        <v>Complete</v>
      </c>
      <c r="I26382" s="48" t="s">
        <v>1561</v>
      </c>
    </row>
    <row r="26383" spans="2:9" ht="15" customHeight="1" x14ac:dyDescent="0.25">
      <c r="B26383" s="55" t="s">
        <v>376</v>
      </c>
      <c r="C26383" s="46">
        <v>3</v>
      </c>
      <c r="D26383" s="69" t="s">
        <v>29513</v>
      </c>
      <c r="E26383" s="62"/>
      <c r="F26383" s="62" t="str">
        <f>IF(INDEX(I.Gas.P2aY1C1E2,3)="","",INDEX(I.Gas.P2aY1C1E2,3))</f>
        <v/>
      </c>
      <c r="G26383" s="62"/>
      <c r="H26383" s="46" t="str">
        <f>IF(OR(I.Developer.P2a=FALSE,I.Facility.StandardPart="Part 2"),"Complete",IF(I.Product.P2aGasToPowerStatus&lt;&gt;"Yes","Complete",IF(AND(I.Gas.P2aY1Count&gt;=3,F26383=""),"Incomplete","Complete")))</f>
        <v>Complete</v>
      </c>
      <c r="I26383" s="48" t="s">
        <v>1562</v>
      </c>
    </row>
    <row r="26384" spans="2:9" ht="15" customHeight="1" x14ac:dyDescent="0.25">
      <c r="B26384" s="55" t="s">
        <v>376</v>
      </c>
      <c r="C26384" s="46">
        <v>4</v>
      </c>
      <c r="D26384" s="69" t="s">
        <v>29513</v>
      </c>
      <c r="E26384" s="62"/>
      <c r="F26384" s="62" t="str">
        <f>IF(INDEX(I.Gas.P2aY1C1E2,4)="","",INDEX(I.Gas.P2aY1C1E2,4))</f>
        <v/>
      </c>
      <c r="G26384" s="62"/>
      <c r="H26384" s="46" t="str">
        <f>IF(OR(I.Developer.P2a=FALSE,I.Facility.StandardPart="Part 2"),"Complete",IF(I.Product.P2aGasToPowerStatus&lt;&gt;"Yes","Complete",IF(AND(I.Gas.P2aY1Count&gt;=4,F26384=""),"Incomplete","Complete")))</f>
        <v>Complete</v>
      </c>
      <c r="I26384" s="48" t="s">
        <v>1563</v>
      </c>
    </row>
    <row r="26385" spans="2:9" ht="15" customHeight="1" x14ac:dyDescent="0.25">
      <c r="B26385" s="55" t="s">
        <v>376</v>
      </c>
      <c r="C26385" s="46">
        <v>5</v>
      </c>
      <c r="D26385" s="69" t="s">
        <v>29513</v>
      </c>
      <c r="E26385" s="62"/>
      <c r="F26385" s="62" t="str">
        <f>IF(INDEX(I.Gas.P2aY1C1E2,5)="","",INDEX(I.Gas.P2aY1C1E2,5))</f>
        <v/>
      </c>
      <c r="G26385" s="62"/>
      <c r="H26385" s="46" t="str">
        <f>IF(OR(I.Developer.P2a=FALSE,I.Facility.StandardPart="Part 2"),"Complete",IF(I.Product.P2aGasToPowerStatus&lt;&gt;"Yes","Complete",IF(AND(I.Gas.P2aY1Count&gt;=5,F26385=""),"Incomplete","Complete")))</f>
        <v>Complete</v>
      </c>
      <c r="I26385" s="48" t="s">
        <v>1564</v>
      </c>
    </row>
    <row r="26386" spans="2:9" ht="15" customHeight="1" x14ac:dyDescent="0.25">
      <c r="B26386" s="55" t="s">
        <v>376</v>
      </c>
      <c r="C26386" s="46">
        <v>6</v>
      </c>
      <c r="D26386" s="69" t="s">
        <v>29513</v>
      </c>
      <c r="E26386" s="62"/>
      <c r="F26386" s="62" t="str">
        <f>IF(INDEX(I.Gas.P2aY1C1E2,6)="","",INDEX(I.Gas.P2aY1C1E2,6))</f>
        <v/>
      </c>
      <c r="G26386" s="62"/>
      <c r="H26386" s="46" t="str">
        <f>IF(OR(I.Developer.P2a=FALSE,I.Facility.StandardPart="Part 2"),"Complete",IF(I.Product.P2aGasToPowerStatus&lt;&gt;"Yes","Complete",IF(AND(I.Gas.P2aY1Count&gt;=6,F26386=""),"Incomplete","Complete")))</f>
        <v>Complete</v>
      </c>
      <c r="I26386" s="48" t="s">
        <v>1565</v>
      </c>
    </row>
    <row r="26387" spans="2:9" ht="15" customHeight="1" x14ac:dyDescent="0.25">
      <c r="B26387" s="55" t="s">
        <v>376</v>
      </c>
      <c r="C26387" s="46">
        <v>7</v>
      </c>
      <c r="D26387" s="69" t="s">
        <v>29513</v>
      </c>
      <c r="E26387" s="62"/>
      <c r="F26387" s="62" t="str">
        <f>IF(INDEX(I.Gas.P2aY1C1E2,7)="","",INDEX(I.Gas.P2aY1C1E2,7))</f>
        <v/>
      </c>
      <c r="G26387" s="62"/>
      <c r="H26387" s="46" t="str">
        <f>IF(OR(I.Developer.P2a=FALSE,I.Facility.StandardPart="Part 2"),"Complete",IF(I.Product.P2aGasToPowerStatus&lt;&gt;"Yes","Complete",IF(AND(I.Gas.P2aY1Count&gt;=7,F26387=""),"Incomplete","Complete")))</f>
        <v>Complete</v>
      </c>
      <c r="I26387" s="48" t="s">
        <v>1566</v>
      </c>
    </row>
    <row r="26388" spans="2:9" ht="15" customHeight="1" x14ac:dyDescent="0.25">
      <c r="B26388" s="55" t="s">
        <v>376</v>
      </c>
      <c r="C26388" s="46">
        <v>8</v>
      </c>
      <c r="D26388" s="69" t="s">
        <v>29513</v>
      </c>
      <c r="E26388" s="62"/>
      <c r="F26388" s="62" t="str">
        <f>IF(INDEX(I.Gas.P2aY1C1E2,8)="","",INDEX(I.Gas.P2aY1C1E2,8))</f>
        <v/>
      </c>
      <c r="G26388" s="62"/>
      <c r="H26388" s="46" t="str">
        <f>IF(OR(I.Developer.P2a=FALSE,I.Facility.StandardPart="Part 2"),"Complete",IF(I.Product.P2aGasToPowerStatus&lt;&gt;"Yes","Complete",IF(AND(I.Gas.P2aY1Count&gt;=8,F26388=""),"Incomplete","Complete")))</f>
        <v>Complete</v>
      </c>
      <c r="I26388" s="48" t="s">
        <v>1567</v>
      </c>
    </row>
    <row r="26389" spans="2:9" ht="15" customHeight="1" x14ac:dyDescent="0.25">
      <c r="B26389" s="55" t="s">
        <v>376</v>
      </c>
      <c r="C26389" s="46">
        <v>9</v>
      </c>
      <c r="D26389" s="69" t="s">
        <v>29513</v>
      </c>
      <c r="E26389" s="62"/>
      <c r="F26389" s="62" t="str">
        <f>IF(INDEX(I.Gas.P2aY1C1E2,9)="","",INDEX(I.Gas.P2aY1C1E2,9))</f>
        <v/>
      </c>
      <c r="G26389" s="62"/>
      <c r="H26389" s="46" t="str">
        <f>IF(OR(I.Developer.P2a=FALSE,I.Facility.StandardPart="Part 2"),"Complete",IF(I.Product.P2aGasToPowerStatus&lt;&gt;"Yes","Complete",IF(AND(I.Gas.P2aY1Count&gt;=9,F26389=""),"Incomplete","Complete")))</f>
        <v>Complete</v>
      </c>
      <c r="I26389" s="48" t="s">
        <v>1568</v>
      </c>
    </row>
    <row r="26390" spans="2:9" ht="15" customHeight="1" x14ac:dyDescent="0.25">
      <c r="B26390" s="55" t="s">
        <v>376</v>
      </c>
      <c r="C26390" s="46">
        <v>10</v>
      </c>
      <c r="D26390" s="69" t="s">
        <v>29513</v>
      </c>
      <c r="E26390" s="62"/>
      <c r="F26390" s="62" t="str">
        <f>IF(INDEX(I.Gas.P2aY1C1E2,10)="","",INDEX(I.Gas.P2aY1C1E2,10))</f>
        <v/>
      </c>
      <c r="G26390" s="62"/>
      <c r="H26390" s="46" t="str">
        <f>IF(OR(I.Developer.P2a=FALSE,I.Facility.StandardPart="Part 2"),"Complete",IF(I.Product.P2aGasToPowerStatus&lt;&gt;"Yes","Complete",IF(AND(I.Gas.P2aY1Count&gt;=10,F26390=""),"Incomplete","Complete")))</f>
        <v>Complete</v>
      </c>
      <c r="I26390" s="48" t="s">
        <v>1569</v>
      </c>
    </row>
    <row r="26391" spans="2:9" ht="15" customHeight="1" x14ac:dyDescent="0.25">
      <c r="B26391" s="55" t="s">
        <v>376</v>
      </c>
      <c r="C26391" s="46">
        <v>11</v>
      </c>
      <c r="D26391" s="69" t="s">
        <v>29513</v>
      </c>
      <c r="E26391" s="62"/>
      <c r="F26391" s="62" t="str">
        <f>IF(INDEX(I.Gas.P2aY1C1E2,11)="","",INDEX(I.Gas.P2aY1C1E2,11))</f>
        <v/>
      </c>
      <c r="G26391" s="62"/>
      <c r="H26391" s="46" t="str">
        <f>IF(OR(I.Developer.P2a=FALSE,I.Facility.StandardPart="Part 2"),"Complete",IF(I.Product.P2aGasToPowerStatus&lt;&gt;"Yes","Complete",IF(AND(I.Gas.P2aY1Count&gt;=11,F26391=""),"Incomplete","Complete")))</f>
        <v>Complete</v>
      </c>
      <c r="I26391" s="48" t="s">
        <v>1570</v>
      </c>
    </row>
    <row r="26392" spans="2:9" ht="15" customHeight="1" x14ac:dyDescent="0.25">
      <c r="B26392" s="55" t="s">
        <v>376</v>
      </c>
      <c r="C26392" s="46">
        <v>12</v>
      </c>
      <c r="D26392" s="69" t="s">
        <v>29513</v>
      </c>
      <c r="E26392" s="62"/>
      <c r="F26392" s="62" t="str">
        <f>IF(INDEX(I.Gas.P2aY1C1E2,12)="","",INDEX(I.Gas.P2aY1C1E2,12))</f>
        <v/>
      </c>
      <c r="G26392" s="62"/>
      <c r="H26392" s="46" t="str">
        <f>IF(OR(I.Developer.P2a=FALSE,I.Facility.StandardPart="Part 2"),"Complete",IF(I.Product.P2aGasToPowerStatus&lt;&gt;"Yes","Complete",IF(AND(I.Gas.P2aY1Count&gt;=12,F26392=""),"Incomplete","Complete")))</f>
        <v>Complete</v>
      </c>
      <c r="I26392" s="48" t="s">
        <v>1571</v>
      </c>
    </row>
    <row r="26393" spans="2:9" ht="15" customHeight="1" x14ac:dyDescent="0.25">
      <c r="B26393" s="55" t="s">
        <v>376</v>
      </c>
      <c r="C26393" s="46">
        <v>13</v>
      </c>
      <c r="D26393" s="69" t="s">
        <v>29513</v>
      </c>
      <c r="E26393" s="62"/>
      <c r="F26393" s="62" t="str">
        <f>IF(INDEX(I.Gas.P2aY1C1E2,13)="","",INDEX(I.Gas.P2aY1C1E2,13))</f>
        <v/>
      </c>
      <c r="G26393" s="62"/>
      <c r="H26393" s="46" t="str">
        <f>IF(OR(I.Developer.P2a=FALSE,I.Facility.StandardPart="Part 2"),"Complete",IF(I.Product.P2aGasToPowerStatus&lt;&gt;"Yes","Complete",IF(AND(I.Gas.P2aY1Count&gt;=13,F26393=""),"Incomplete","Complete")))</f>
        <v>Complete</v>
      </c>
      <c r="I26393" s="48" t="s">
        <v>1572</v>
      </c>
    </row>
    <row r="26394" spans="2:9" ht="15" customHeight="1" x14ac:dyDescent="0.25">
      <c r="B26394" s="55" t="s">
        <v>376</v>
      </c>
      <c r="C26394" s="46">
        <v>14</v>
      </c>
      <c r="D26394" s="69" t="s">
        <v>29513</v>
      </c>
      <c r="E26394" s="62"/>
      <c r="F26394" s="62" t="str">
        <f>IF(INDEX(I.Gas.P2aY1C1E2,14)="","",INDEX(I.Gas.P2aY1C1E2,14))</f>
        <v/>
      </c>
      <c r="G26394" s="62"/>
      <c r="H26394" s="46" t="str">
        <f>IF(OR(I.Developer.P2a=FALSE,I.Facility.StandardPart="Part 2"),"Complete",IF(I.Product.P2aGasToPowerStatus&lt;&gt;"Yes","Complete",IF(AND(I.Gas.P2aY1Count&gt;=14,F26394=""),"Incomplete","Complete")))</f>
        <v>Complete</v>
      </c>
      <c r="I26394" s="48" t="s">
        <v>1573</v>
      </c>
    </row>
    <row r="26395" spans="2:9" ht="15" customHeight="1" x14ac:dyDescent="0.25">
      <c r="B26395" s="55" t="s">
        <v>376</v>
      </c>
      <c r="C26395" s="46">
        <v>15</v>
      </c>
      <c r="D26395" s="69" t="s">
        <v>29513</v>
      </c>
      <c r="E26395" s="62"/>
      <c r="F26395" s="62" t="str">
        <f>IF(INDEX(I.Gas.P2aY1C1E2,15)="","",INDEX(I.Gas.P2aY1C1E2,15))</f>
        <v/>
      </c>
      <c r="G26395" s="62"/>
      <c r="H26395" s="46" t="str">
        <f>IF(OR(I.Developer.P2a=FALSE,I.Facility.StandardPart="Part 2"),"Complete",IF(I.Product.P2aGasToPowerStatus&lt;&gt;"Yes","Complete",IF(AND(I.Gas.P2aY1Count&gt;=15,F26395=""),"Incomplete","Complete")))</f>
        <v>Complete</v>
      </c>
      <c r="I26395" s="48" t="s">
        <v>1574</v>
      </c>
    </row>
    <row r="26396" spans="2:9" ht="15" customHeight="1" x14ac:dyDescent="0.25">
      <c r="B26396" s="55" t="s">
        <v>376</v>
      </c>
      <c r="C26396" s="46">
        <v>16</v>
      </c>
      <c r="D26396" s="69" t="s">
        <v>29513</v>
      </c>
      <c r="E26396" s="62"/>
      <c r="F26396" s="62" t="str">
        <f>IF(INDEX(I.Gas.P2aY1C1E2,16)="","",INDEX(I.Gas.P2aY1C1E2,16))</f>
        <v/>
      </c>
      <c r="G26396" s="62"/>
      <c r="H26396" s="46" t="str">
        <f>IF(OR(I.Developer.P2a=FALSE,I.Facility.StandardPart="Part 2"),"Complete",IF(I.Product.P2aGasToPowerStatus&lt;&gt;"Yes","Complete",IF(AND(I.Gas.P2aY1Count&gt;=16,F26396=""),"Incomplete","Complete")))</f>
        <v>Complete</v>
      </c>
      <c r="I26396" s="48" t="s">
        <v>1575</v>
      </c>
    </row>
    <row r="26397" spans="2:9" ht="15" customHeight="1" x14ac:dyDescent="0.25">
      <c r="B26397" s="55" t="s">
        <v>376</v>
      </c>
      <c r="C26397" s="46">
        <v>17</v>
      </c>
      <c r="D26397" s="69" t="s">
        <v>29513</v>
      </c>
      <c r="E26397" s="62"/>
      <c r="F26397" s="62" t="str">
        <f>IF(INDEX(I.Gas.P2aY1C1E2,17)="","",INDEX(I.Gas.P2aY1C1E2,17))</f>
        <v/>
      </c>
      <c r="G26397" s="62"/>
      <c r="H26397" s="46" t="str">
        <f>IF(OR(I.Developer.P2a=FALSE,I.Facility.StandardPart="Part 2"),"Complete",IF(I.Product.P2aGasToPowerStatus&lt;&gt;"Yes","Complete",IF(AND(I.Gas.P2aY1Count&gt;=17,F26397=""),"Incomplete","Complete")))</f>
        <v>Complete</v>
      </c>
      <c r="I26397" s="48" t="s">
        <v>1576</v>
      </c>
    </row>
    <row r="26398" spans="2:9" ht="15" customHeight="1" x14ac:dyDescent="0.25">
      <c r="B26398" s="55" t="s">
        <v>376</v>
      </c>
      <c r="C26398" s="46">
        <v>18</v>
      </c>
      <c r="D26398" s="69" t="s">
        <v>29513</v>
      </c>
      <c r="E26398" s="62"/>
      <c r="F26398" s="62" t="str">
        <f>IF(INDEX(I.Gas.P2aY1C1E2,18)="","",INDEX(I.Gas.P2aY1C1E2,18))</f>
        <v/>
      </c>
      <c r="G26398" s="62"/>
      <c r="H26398" s="46" t="str">
        <f>IF(OR(I.Developer.P2a=FALSE,I.Facility.StandardPart="Part 2"),"Complete",IF(I.Product.P2aGasToPowerStatus&lt;&gt;"Yes","Complete",IF(AND(I.Gas.P2aY1Count&gt;=18,F26398=""),"Incomplete","Complete")))</f>
        <v>Complete</v>
      </c>
      <c r="I26398" s="48" t="s">
        <v>1577</v>
      </c>
    </row>
    <row r="26399" spans="2:9" ht="15" customHeight="1" x14ac:dyDescent="0.25">
      <c r="B26399" s="55" t="s">
        <v>376</v>
      </c>
      <c r="C26399" s="46">
        <v>19</v>
      </c>
      <c r="D26399" s="69" t="s">
        <v>29513</v>
      </c>
      <c r="E26399" s="62"/>
      <c r="F26399" s="62" t="str">
        <f>IF(INDEX(I.Gas.P2aY1C1E2,19)="","",INDEX(I.Gas.P2aY1C1E2,19))</f>
        <v/>
      </c>
      <c r="G26399" s="62"/>
      <c r="H26399" s="46" t="str">
        <f>IF(OR(I.Developer.P2a=FALSE,I.Facility.StandardPart="Part 2"),"Complete",IF(I.Product.P2aGasToPowerStatus&lt;&gt;"Yes","Complete",IF(AND(I.Gas.P2aY1Count&gt;=19,F26399=""),"Incomplete","Complete")))</f>
        <v>Complete</v>
      </c>
      <c r="I26399" s="48" t="s">
        <v>1578</v>
      </c>
    </row>
    <row r="26400" spans="2:9" ht="15" customHeight="1" x14ac:dyDescent="0.25">
      <c r="B26400" s="55" t="s">
        <v>376</v>
      </c>
      <c r="C26400" s="46">
        <v>20</v>
      </c>
      <c r="D26400" s="69" t="s">
        <v>29513</v>
      </c>
      <c r="E26400" s="62"/>
      <c r="F26400" s="62" t="str">
        <f>IF(INDEX(I.Gas.P2aY1C1E2,20)="","",INDEX(I.Gas.P2aY1C1E2,20))</f>
        <v/>
      </c>
      <c r="G26400" s="62"/>
      <c r="H26400" s="46" t="str">
        <f>IF(OR(I.Developer.P2a=FALSE,I.Facility.StandardPart="Part 2"),"Complete",IF(I.Product.P2aGasToPowerStatus&lt;&gt;"Yes","Complete",IF(AND(I.Gas.P2aY1Count&gt;=20,F26400=""),"Incomplete","Complete")))</f>
        <v>Complete</v>
      </c>
      <c r="I26400" s="48" t="s">
        <v>1579</v>
      </c>
    </row>
    <row r="26401" spans="2:9" ht="15" customHeight="1" x14ac:dyDescent="0.25">
      <c r="B26401" s="55" t="s">
        <v>376</v>
      </c>
      <c r="C26401" s="46">
        <v>21</v>
      </c>
      <c r="D26401" s="69" t="s">
        <v>29513</v>
      </c>
      <c r="E26401" s="62"/>
      <c r="F26401" s="62" t="str">
        <f>IF(INDEX(I.Gas.P2aY1C1E2,21)="","",INDEX(I.Gas.P2aY1C1E2,21))</f>
        <v/>
      </c>
      <c r="G26401" s="62"/>
      <c r="H26401" s="46" t="str">
        <f>IF(OR(I.Developer.P2a=FALSE,I.Facility.StandardPart="Part 2"),"Complete",IF(I.Product.P2aGasToPowerStatus&lt;&gt;"Yes","Complete",IF(AND(I.Gas.P2aY1Count&gt;=21,F26401=""),"Incomplete","Complete")))</f>
        <v>Complete</v>
      </c>
      <c r="I26401" s="48" t="s">
        <v>1580</v>
      </c>
    </row>
    <row r="26402" spans="2:9" ht="15" customHeight="1" x14ac:dyDescent="0.25">
      <c r="B26402" s="55" t="s">
        <v>376</v>
      </c>
      <c r="C26402" s="46">
        <v>22</v>
      </c>
      <c r="D26402" s="69" t="s">
        <v>29513</v>
      </c>
      <c r="E26402" s="62"/>
      <c r="F26402" s="62" t="str">
        <f>IF(INDEX(I.Gas.P2aY1C1E2,22)="","",INDEX(I.Gas.P2aY1C1E2,22))</f>
        <v/>
      </c>
      <c r="G26402" s="62"/>
      <c r="H26402" s="46" t="str">
        <f>IF(OR(I.Developer.P2a=FALSE,I.Facility.StandardPart="Part 2"),"Complete",IF(I.Product.P2aGasToPowerStatus&lt;&gt;"Yes","Complete",IF(AND(I.Gas.P2aY1Count&gt;=22,F26402=""),"Incomplete","Complete")))</f>
        <v>Complete</v>
      </c>
      <c r="I26402" s="48" t="s">
        <v>1581</v>
      </c>
    </row>
    <row r="26403" spans="2:9" ht="15" customHeight="1" x14ac:dyDescent="0.25">
      <c r="B26403" s="55" t="s">
        <v>376</v>
      </c>
      <c r="C26403" s="46">
        <v>23</v>
      </c>
      <c r="D26403" s="69" t="s">
        <v>29513</v>
      </c>
      <c r="E26403" s="62"/>
      <c r="F26403" s="62" t="str">
        <f>IF(INDEX(I.Gas.P2aY1C1E2,23)="","",INDEX(I.Gas.P2aY1C1E2,23))</f>
        <v/>
      </c>
      <c r="G26403" s="62"/>
      <c r="H26403" s="46" t="str">
        <f>IF(OR(I.Developer.P2a=FALSE,I.Facility.StandardPart="Part 2"),"Complete",IF(I.Product.P2aGasToPowerStatus&lt;&gt;"Yes","Complete",IF(AND(I.Gas.P2aY1Count&gt;=23,F26403=""),"Incomplete","Complete")))</f>
        <v>Complete</v>
      </c>
      <c r="I26403" s="48" t="s">
        <v>1582</v>
      </c>
    </row>
    <row r="26404" spans="2:9" ht="15" customHeight="1" x14ac:dyDescent="0.25">
      <c r="B26404" s="55" t="s">
        <v>376</v>
      </c>
      <c r="C26404" s="46">
        <v>24</v>
      </c>
      <c r="D26404" s="69" t="s">
        <v>29513</v>
      </c>
      <c r="E26404" s="62"/>
      <c r="F26404" s="62" t="str">
        <f>IF(INDEX(I.Gas.P2aY1C1E2,24)="","",INDEX(I.Gas.P2aY1C1E2,24))</f>
        <v/>
      </c>
      <c r="G26404" s="62"/>
      <c r="H26404" s="46" t="str">
        <f>IF(OR(I.Developer.P2a=FALSE,I.Facility.StandardPart="Part 2"),"Complete",IF(I.Product.P2aGasToPowerStatus&lt;&gt;"Yes","Complete",IF(AND(I.Gas.P2aY1Count&gt;=24,F26404=""),"Incomplete","Complete")))</f>
        <v>Complete</v>
      </c>
      <c r="I26404" s="48" t="s">
        <v>1583</v>
      </c>
    </row>
    <row r="26405" spans="2:9" ht="15" customHeight="1" x14ac:dyDescent="0.25">
      <c r="B26405" s="55" t="s">
        <v>376</v>
      </c>
      <c r="C26405" s="46">
        <v>25</v>
      </c>
      <c r="D26405" s="69" t="s">
        <v>29513</v>
      </c>
      <c r="E26405" s="62"/>
      <c r="F26405" s="62" t="str">
        <f>IF(INDEX(I.Gas.P2aY1C1E2,25)="","",INDEX(I.Gas.P2aY1C1E2,25))</f>
        <v/>
      </c>
      <c r="G26405" s="62"/>
      <c r="H26405" s="46" t="str">
        <f>IF(OR(I.Developer.P2a=FALSE,I.Facility.StandardPart="Part 2"),"Complete",IF(I.Product.P2aGasToPowerStatus&lt;&gt;"Yes","Complete",IF(AND(I.Gas.P2aY1Count&gt;=25,F26405=""),"Incomplete","Complete")))</f>
        <v>Complete</v>
      </c>
      <c r="I26405" s="48" t="s">
        <v>1584</v>
      </c>
    </row>
    <row r="26406" spans="2:9" ht="15" customHeight="1" x14ac:dyDescent="0.25">
      <c r="B26406" s="55" t="s">
        <v>376</v>
      </c>
      <c r="C26406" s="46">
        <v>26</v>
      </c>
      <c r="D26406" s="69" t="s">
        <v>29513</v>
      </c>
      <c r="E26406" s="62"/>
      <c r="F26406" s="62" t="str">
        <f>IF(INDEX(I.Gas.P2aY1C1E2,26)="","",INDEX(I.Gas.P2aY1C1E2,26))</f>
        <v/>
      </c>
      <c r="G26406" s="62"/>
      <c r="H26406" s="46" t="str">
        <f>IF(OR(I.Developer.P2a=FALSE,I.Facility.StandardPart="Part 2"),"Complete",IF(I.Product.P2aGasToPowerStatus&lt;&gt;"Yes","Complete",IF(AND(I.Gas.P2aY1Count&gt;=26,F26406=""),"Incomplete","Complete")))</f>
        <v>Complete</v>
      </c>
      <c r="I26406" s="48" t="s">
        <v>1585</v>
      </c>
    </row>
    <row r="26407" spans="2:9" ht="15" customHeight="1" x14ac:dyDescent="0.25">
      <c r="B26407" s="55" t="s">
        <v>376</v>
      </c>
      <c r="C26407" s="46">
        <v>27</v>
      </c>
      <c r="D26407" s="69" t="s">
        <v>29513</v>
      </c>
      <c r="E26407" s="62"/>
      <c r="F26407" s="62" t="str">
        <f>IF(INDEX(I.Gas.P2aY1C1E2,27)="","",INDEX(I.Gas.P2aY1C1E2,27))</f>
        <v/>
      </c>
      <c r="G26407" s="62"/>
      <c r="H26407" s="46" t="str">
        <f>IF(OR(I.Developer.P2a=FALSE,I.Facility.StandardPart="Part 2"),"Complete",IF(I.Product.P2aGasToPowerStatus&lt;&gt;"Yes","Complete",IF(AND(I.Gas.P2aY1Count&gt;=27,F26407=""),"Incomplete","Complete")))</f>
        <v>Complete</v>
      </c>
      <c r="I26407" s="48" t="s">
        <v>1586</v>
      </c>
    </row>
    <row r="26408" spans="2:9" ht="15" customHeight="1" x14ac:dyDescent="0.25">
      <c r="B26408" s="55" t="s">
        <v>376</v>
      </c>
      <c r="C26408" s="46">
        <v>28</v>
      </c>
      <c r="D26408" s="69" t="s">
        <v>29513</v>
      </c>
      <c r="E26408" s="62"/>
      <c r="F26408" s="62" t="str">
        <f>IF(INDEX(I.Gas.P2aY1C1E2,28)="","",INDEX(I.Gas.P2aY1C1E2,28))</f>
        <v/>
      </c>
      <c r="G26408" s="62"/>
      <c r="H26408" s="46" t="str">
        <f>IF(OR(I.Developer.P2a=FALSE,I.Facility.StandardPart="Part 2"),"Complete",IF(I.Product.P2aGasToPowerStatus&lt;&gt;"Yes","Complete",IF(AND(I.Gas.P2aY1Count&gt;=28,F26408=""),"Incomplete","Complete")))</f>
        <v>Complete</v>
      </c>
      <c r="I26408" s="48" t="s">
        <v>1587</v>
      </c>
    </row>
    <row r="26409" spans="2:9" ht="15" customHeight="1" x14ac:dyDescent="0.25">
      <c r="B26409" s="55" t="s">
        <v>376</v>
      </c>
      <c r="C26409" s="46">
        <v>29</v>
      </c>
      <c r="D26409" s="69" t="s">
        <v>29513</v>
      </c>
      <c r="E26409" s="62"/>
      <c r="F26409" s="62" t="str">
        <f>IF(INDEX(I.Gas.P2aY1C1E2,29)="","",INDEX(I.Gas.P2aY1C1E2,29))</f>
        <v/>
      </c>
      <c r="G26409" s="62"/>
      <c r="H26409" s="46" t="str">
        <f>IF(OR(I.Developer.P2a=FALSE,I.Facility.StandardPart="Part 2"),"Complete",IF(I.Product.P2aGasToPowerStatus&lt;&gt;"Yes","Complete",IF(AND(I.Gas.P2aY1Count&gt;=29,F26409=""),"Incomplete","Complete")))</f>
        <v>Complete</v>
      </c>
      <c r="I26409" s="48" t="s">
        <v>1588</v>
      </c>
    </row>
    <row r="26410" spans="2:9" ht="15" customHeight="1" x14ac:dyDescent="0.25">
      <c r="B26410" s="55" t="s">
        <v>376</v>
      </c>
      <c r="C26410" s="46">
        <v>30</v>
      </c>
      <c r="D26410" s="69" t="s">
        <v>29513</v>
      </c>
      <c r="E26410" s="62"/>
      <c r="F26410" s="62" t="str">
        <f>IF(INDEX(I.Gas.P2aY1C1E2,30)="","",INDEX(I.Gas.P2aY1C1E2,30))</f>
        <v/>
      </c>
      <c r="G26410" s="62"/>
      <c r="H26410" s="46" t="str">
        <f>IF(OR(I.Developer.P2a=FALSE,I.Facility.StandardPart="Part 2"),"Complete",IF(I.Product.P2aGasToPowerStatus&lt;&gt;"Yes","Complete",IF(AND(I.Gas.P2aY1Count&gt;=30,F26410=""),"Incomplete","Complete")))</f>
        <v>Complete</v>
      </c>
      <c r="I26410" s="48" t="s">
        <v>1589</v>
      </c>
    </row>
    <row r="26411" spans="2:9" ht="15" customHeight="1" x14ac:dyDescent="0.25">
      <c r="B26411" s="55" t="s">
        <v>376</v>
      </c>
      <c r="C26411" s="46">
        <v>31</v>
      </c>
      <c r="D26411" s="69" t="s">
        <v>29513</v>
      </c>
      <c r="E26411" s="62"/>
      <c r="F26411" s="62" t="str">
        <f>IF(INDEX(I.Gas.P2aY1C1E2,31)="","",INDEX(I.Gas.P2aY1C1E2,31))</f>
        <v/>
      </c>
      <c r="G26411" s="62"/>
      <c r="H26411" s="46" t="str">
        <f>IF(OR(I.Developer.P2a=FALSE,I.Facility.StandardPart="Part 2"),"Complete",IF(I.Product.P2aGasToPowerStatus&lt;&gt;"Yes","Complete",IF(AND(I.Gas.P2aY1Count&gt;=31,F26411=""),"Incomplete","Complete")))</f>
        <v>Complete</v>
      </c>
      <c r="I26411" s="48" t="s">
        <v>1590</v>
      </c>
    </row>
    <row r="26412" spans="2:9" ht="15" customHeight="1" x14ac:dyDescent="0.25">
      <c r="B26412" s="55" t="s">
        <v>376</v>
      </c>
      <c r="C26412" s="46">
        <v>32</v>
      </c>
      <c r="D26412" s="69" t="s">
        <v>29513</v>
      </c>
      <c r="E26412" s="62"/>
      <c r="F26412" s="62" t="str">
        <f>IF(INDEX(I.Gas.P2aY1C1E2,32)="","",INDEX(I.Gas.P2aY1C1E2,32))</f>
        <v/>
      </c>
      <c r="G26412" s="62"/>
      <c r="H26412" s="46" t="str">
        <f>IF(OR(I.Developer.P2a=FALSE,I.Facility.StandardPart="Part 2"),"Complete",IF(I.Product.P2aGasToPowerStatus&lt;&gt;"Yes","Complete",IF(AND(I.Gas.P2aY1Count&gt;=32,F26412=""),"Incomplete","Complete")))</f>
        <v>Complete</v>
      </c>
      <c r="I26412" s="48" t="s">
        <v>1591</v>
      </c>
    </row>
    <row r="26413" spans="2:9" ht="15" customHeight="1" x14ac:dyDescent="0.25">
      <c r="B26413" s="55" t="s">
        <v>376</v>
      </c>
      <c r="C26413" s="46">
        <v>33</v>
      </c>
      <c r="D26413" s="69" t="s">
        <v>29513</v>
      </c>
      <c r="E26413" s="62"/>
      <c r="F26413" s="62" t="str">
        <f>IF(INDEX(I.Gas.P2aY1C1E2,33)="","",INDEX(I.Gas.P2aY1C1E2,33))</f>
        <v/>
      </c>
      <c r="G26413" s="62"/>
      <c r="H26413" s="46" t="str">
        <f>IF(OR(I.Developer.P2a=FALSE,I.Facility.StandardPart="Part 2"),"Complete",IF(I.Product.P2aGasToPowerStatus&lt;&gt;"Yes","Complete",IF(AND(I.Gas.P2aY1Count&gt;=33,F26413=""),"Incomplete","Complete")))</f>
        <v>Complete</v>
      </c>
      <c r="I26413" s="48" t="s">
        <v>1592</v>
      </c>
    </row>
    <row r="26414" spans="2:9" ht="15" customHeight="1" x14ac:dyDescent="0.25">
      <c r="B26414" s="55" t="s">
        <v>376</v>
      </c>
      <c r="C26414" s="46">
        <v>34</v>
      </c>
      <c r="D26414" s="69" t="s">
        <v>29513</v>
      </c>
      <c r="E26414" s="62"/>
      <c r="F26414" s="62" t="str">
        <f>IF(INDEX(I.Gas.P2aY1C1E2,34)="","",INDEX(I.Gas.P2aY1C1E2,34))</f>
        <v/>
      </c>
      <c r="G26414" s="62"/>
      <c r="H26414" s="46" t="str">
        <f>IF(OR(I.Developer.P2a=FALSE,I.Facility.StandardPart="Part 2"),"Complete",IF(I.Product.P2aGasToPowerStatus&lt;&gt;"Yes","Complete",IF(AND(I.Gas.P2aY1Count&gt;=34,F26414=""),"Incomplete","Complete")))</f>
        <v>Complete</v>
      </c>
      <c r="I26414" s="48" t="s">
        <v>1593</v>
      </c>
    </row>
    <row r="26415" spans="2:9" ht="15" customHeight="1" x14ac:dyDescent="0.25">
      <c r="B26415" s="55" t="s">
        <v>376</v>
      </c>
      <c r="C26415" s="46">
        <v>35</v>
      </c>
      <c r="D26415" s="69" t="s">
        <v>29513</v>
      </c>
      <c r="E26415" s="62"/>
      <c r="F26415" s="62" t="str">
        <f>IF(INDEX(I.Gas.P2aY1C1E2,35)="","",INDEX(I.Gas.P2aY1C1E2,35))</f>
        <v/>
      </c>
      <c r="G26415" s="62"/>
      <c r="H26415" s="46" t="str">
        <f>IF(OR(I.Developer.P2a=FALSE,I.Facility.StandardPart="Part 2"),"Complete",IF(I.Product.P2aGasToPowerStatus&lt;&gt;"Yes","Complete",IF(AND(I.Gas.P2aY1Count&gt;=35,F26415=""),"Incomplete","Complete")))</f>
        <v>Complete</v>
      </c>
      <c r="I26415" s="48" t="s">
        <v>1594</v>
      </c>
    </row>
    <row r="26416" spans="2:9" ht="15" customHeight="1" x14ac:dyDescent="0.25">
      <c r="B26416" s="55" t="s">
        <v>376</v>
      </c>
      <c r="C26416" s="46">
        <v>36</v>
      </c>
      <c r="D26416" s="69" t="s">
        <v>29513</v>
      </c>
      <c r="E26416" s="62"/>
      <c r="F26416" s="62" t="str">
        <f>IF(INDEX(I.Gas.P2aY1C1E2,36)="","",INDEX(I.Gas.P2aY1C1E2,36))</f>
        <v/>
      </c>
      <c r="G26416" s="62"/>
      <c r="H26416" s="46" t="str">
        <f>IF(OR(I.Developer.P2a=FALSE,I.Facility.StandardPart="Part 2"),"Complete",IF(I.Product.P2aGasToPowerStatus&lt;&gt;"Yes","Complete",IF(AND(I.Gas.P2aY1Count&gt;=36,F26416=""),"Incomplete","Complete")))</f>
        <v>Complete</v>
      </c>
      <c r="I26416" s="48" t="s">
        <v>1595</v>
      </c>
    </row>
    <row r="26417" spans="2:9" ht="15" customHeight="1" x14ac:dyDescent="0.25">
      <c r="B26417" s="55" t="s">
        <v>376</v>
      </c>
      <c r="C26417" s="46">
        <v>37</v>
      </c>
      <c r="D26417" s="69" t="s">
        <v>29513</v>
      </c>
      <c r="E26417" s="62"/>
      <c r="F26417" s="62" t="str">
        <f>IF(INDEX(I.Gas.P2aY1C1E2,37)="","",INDEX(I.Gas.P2aY1C1E2,37))</f>
        <v/>
      </c>
      <c r="G26417" s="62"/>
      <c r="H26417" s="46" t="str">
        <f>IF(OR(I.Developer.P2a=FALSE,I.Facility.StandardPart="Part 2"),"Complete",IF(I.Product.P2aGasToPowerStatus&lt;&gt;"Yes","Complete",IF(AND(I.Gas.P2aY1Count&gt;=37,F26417=""),"Incomplete","Complete")))</f>
        <v>Complete</v>
      </c>
      <c r="I26417" s="48" t="s">
        <v>1596</v>
      </c>
    </row>
    <row r="26418" spans="2:9" ht="15" customHeight="1" x14ac:dyDescent="0.25">
      <c r="B26418" s="55" t="s">
        <v>376</v>
      </c>
      <c r="C26418" s="46">
        <v>38</v>
      </c>
      <c r="D26418" s="69" t="s">
        <v>29513</v>
      </c>
      <c r="E26418" s="62"/>
      <c r="F26418" s="62" t="str">
        <f>IF(INDEX(I.Gas.P2aY1C1E2,38)="","",INDEX(I.Gas.P2aY1C1E2,38))</f>
        <v/>
      </c>
      <c r="G26418" s="62"/>
      <c r="H26418" s="46" t="str">
        <f>IF(OR(I.Developer.P2a=FALSE,I.Facility.StandardPart="Part 2"),"Complete",IF(I.Product.P2aGasToPowerStatus&lt;&gt;"Yes","Complete",IF(AND(I.Gas.P2aY1Count&gt;=38,F26418=""),"Incomplete","Complete")))</f>
        <v>Complete</v>
      </c>
      <c r="I26418" s="48" t="s">
        <v>1597</v>
      </c>
    </row>
    <row r="26419" spans="2:9" ht="15" customHeight="1" x14ac:dyDescent="0.25">
      <c r="B26419" s="55" t="s">
        <v>376</v>
      </c>
      <c r="C26419" s="46">
        <v>39</v>
      </c>
      <c r="D26419" s="69" t="s">
        <v>29513</v>
      </c>
      <c r="E26419" s="62"/>
      <c r="F26419" s="62" t="str">
        <f>IF(INDEX(I.Gas.P2aY1C1E2,39)="","",INDEX(I.Gas.P2aY1C1E2,39))</f>
        <v/>
      </c>
      <c r="G26419" s="62"/>
      <c r="H26419" s="46" t="str">
        <f>IF(OR(I.Developer.P2a=FALSE,I.Facility.StandardPart="Part 2"),"Complete",IF(I.Product.P2aGasToPowerStatus&lt;&gt;"Yes","Complete",IF(AND(I.Gas.P2aY1Count&gt;=39,F26419=""),"Incomplete","Complete")))</f>
        <v>Complete</v>
      </c>
      <c r="I26419" s="48" t="s">
        <v>1598</v>
      </c>
    </row>
    <row r="26420" spans="2:9" ht="15" customHeight="1" x14ac:dyDescent="0.25">
      <c r="B26420" s="55" t="s">
        <v>376</v>
      </c>
      <c r="C26420" s="46">
        <v>40</v>
      </c>
      <c r="D26420" s="69" t="s">
        <v>29513</v>
      </c>
      <c r="E26420" s="62"/>
      <c r="F26420" s="62" t="str">
        <f>IF(INDEX(I.Gas.P2aY1C1E2,40)="","",INDEX(I.Gas.P2aY1C1E2,40))</f>
        <v/>
      </c>
      <c r="G26420" s="62"/>
      <c r="H26420" s="46" t="str">
        <f>IF(OR(I.Developer.P2a=FALSE,I.Facility.StandardPart="Part 2"),"Complete",IF(I.Product.P2aGasToPowerStatus&lt;&gt;"Yes","Complete",IF(AND(I.Gas.P2aY1Count&gt;=40,F26420=""),"Incomplete","Complete")))</f>
        <v>Complete</v>
      </c>
      <c r="I26420" s="48" t="s">
        <v>1599</v>
      </c>
    </row>
    <row r="26421" spans="2:9" ht="15" customHeight="1" x14ac:dyDescent="0.25">
      <c r="B26421" s="55" t="s">
        <v>376</v>
      </c>
      <c r="C26421" s="46">
        <v>41</v>
      </c>
      <c r="D26421" s="69" t="s">
        <v>29513</v>
      </c>
      <c r="E26421" s="62"/>
      <c r="F26421" s="62" t="str">
        <f>IF(INDEX(I.Gas.P2aY1C1E2,41)="","",INDEX(I.Gas.P2aY1C1E2,41))</f>
        <v/>
      </c>
      <c r="G26421" s="62"/>
      <c r="H26421" s="46" t="str">
        <f>IF(OR(I.Developer.P2a=FALSE,I.Facility.StandardPart="Part 2"),"Complete",IF(I.Product.P2aGasToPowerStatus&lt;&gt;"Yes","Complete",IF(AND(I.Gas.P2aY1Count&gt;=41,F26421=""),"Incomplete","Complete")))</f>
        <v>Complete</v>
      </c>
      <c r="I26421" s="48" t="s">
        <v>1600</v>
      </c>
    </row>
    <row r="26422" spans="2:9" ht="15" customHeight="1" x14ac:dyDescent="0.25">
      <c r="B26422" s="55" t="s">
        <v>376</v>
      </c>
      <c r="C26422" s="46">
        <v>42</v>
      </c>
      <c r="D26422" s="69" t="s">
        <v>29513</v>
      </c>
      <c r="E26422" s="62"/>
      <c r="F26422" s="62" t="str">
        <f>IF(INDEX(I.Gas.P2aY1C1E2,42)="","",INDEX(I.Gas.P2aY1C1E2,42))</f>
        <v/>
      </c>
      <c r="G26422" s="62"/>
      <c r="H26422" s="46" t="str">
        <f>IF(OR(I.Developer.P2a=FALSE,I.Facility.StandardPart="Part 2"),"Complete",IF(I.Product.P2aGasToPowerStatus&lt;&gt;"Yes","Complete",IF(AND(I.Gas.P2aY1Count&gt;=42,F26422=""),"Incomplete","Complete")))</f>
        <v>Complete</v>
      </c>
      <c r="I26422" s="48" t="s">
        <v>1601</v>
      </c>
    </row>
    <row r="26423" spans="2:9" ht="15" customHeight="1" x14ac:dyDescent="0.25">
      <c r="B26423" s="55" t="s">
        <v>376</v>
      </c>
      <c r="C26423" s="46">
        <v>43</v>
      </c>
      <c r="D26423" s="69" t="s">
        <v>29513</v>
      </c>
      <c r="E26423" s="62"/>
      <c r="F26423" s="62" t="str">
        <f>IF(INDEX(I.Gas.P2aY1C1E2,43)="","",INDEX(I.Gas.P2aY1C1E2,43))</f>
        <v/>
      </c>
      <c r="G26423" s="62"/>
      <c r="H26423" s="46" t="str">
        <f>IF(OR(I.Developer.P2a=FALSE,I.Facility.StandardPart="Part 2"),"Complete",IF(I.Product.P2aGasToPowerStatus&lt;&gt;"Yes","Complete",IF(AND(I.Gas.P2aY1Count&gt;=43,F26423=""),"Incomplete","Complete")))</f>
        <v>Complete</v>
      </c>
      <c r="I26423" s="48" t="s">
        <v>1602</v>
      </c>
    </row>
    <row r="26424" spans="2:9" ht="15" customHeight="1" x14ac:dyDescent="0.25">
      <c r="B26424" s="55" t="s">
        <v>376</v>
      </c>
      <c r="C26424" s="46">
        <v>44</v>
      </c>
      <c r="D26424" s="69" t="s">
        <v>29513</v>
      </c>
      <c r="E26424" s="62"/>
      <c r="F26424" s="62" t="str">
        <f>IF(INDEX(I.Gas.P2aY1C1E2,44)="","",INDEX(I.Gas.P2aY1C1E2,44))</f>
        <v/>
      </c>
      <c r="G26424" s="62"/>
      <c r="H26424" s="46" t="str">
        <f>IF(OR(I.Developer.P2a=FALSE,I.Facility.StandardPart="Part 2"),"Complete",IF(I.Product.P2aGasToPowerStatus&lt;&gt;"Yes","Complete",IF(AND(I.Gas.P2aY1Count&gt;=44,F26424=""),"Incomplete","Complete")))</f>
        <v>Complete</v>
      </c>
      <c r="I26424" s="48" t="s">
        <v>1603</v>
      </c>
    </row>
    <row r="26425" spans="2:9" ht="15" customHeight="1" x14ac:dyDescent="0.25">
      <c r="B26425" s="55" t="s">
        <v>376</v>
      </c>
      <c r="C26425" s="46">
        <v>45</v>
      </c>
      <c r="D26425" s="69" t="s">
        <v>29513</v>
      </c>
      <c r="E26425" s="62"/>
      <c r="F26425" s="62" t="str">
        <f>IF(INDEX(I.Gas.P2aY1C1E2,45)="","",INDEX(I.Gas.P2aY1C1E2,45))</f>
        <v/>
      </c>
      <c r="G26425" s="62"/>
      <c r="H26425" s="46" t="str">
        <f>IF(OR(I.Developer.P2a=FALSE,I.Facility.StandardPart="Part 2"),"Complete",IF(I.Product.P2aGasToPowerStatus&lt;&gt;"Yes","Complete",IF(AND(I.Gas.P2aY1Count&gt;=45,F26425=""),"Incomplete","Complete")))</f>
        <v>Complete</v>
      </c>
      <c r="I26425" s="48" t="s">
        <v>1604</v>
      </c>
    </row>
    <row r="26426" spans="2:9" ht="15" customHeight="1" x14ac:dyDescent="0.25">
      <c r="B26426" s="55" t="s">
        <v>376</v>
      </c>
      <c r="C26426" s="46">
        <v>46</v>
      </c>
      <c r="D26426" s="69" t="s">
        <v>29513</v>
      </c>
      <c r="E26426" s="62"/>
      <c r="F26426" s="62" t="str">
        <f>IF(INDEX(I.Gas.P2aY1C1E2,46)="","",INDEX(I.Gas.P2aY1C1E2,46))</f>
        <v/>
      </c>
      <c r="G26426" s="62"/>
      <c r="H26426" s="46" t="str">
        <f>IF(OR(I.Developer.P2a=FALSE,I.Facility.StandardPart="Part 2"),"Complete",IF(I.Product.P2aGasToPowerStatus&lt;&gt;"Yes","Complete",IF(AND(I.Gas.P2aY1Count&gt;=46,F26426=""),"Incomplete","Complete")))</f>
        <v>Complete</v>
      </c>
      <c r="I26426" s="48" t="s">
        <v>1605</v>
      </c>
    </row>
    <row r="26427" spans="2:9" ht="15" customHeight="1" x14ac:dyDescent="0.25">
      <c r="B26427" s="55" t="s">
        <v>376</v>
      </c>
      <c r="C26427" s="46">
        <v>47</v>
      </c>
      <c r="D26427" s="69" t="s">
        <v>29513</v>
      </c>
      <c r="E26427" s="62"/>
      <c r="F26427" s="62" t="str">
        <f>IF(INDEX(I.Gas.P2aY1C1E2,47)="","",INDEX(I.Gas.P2aY1C1E2,47))</f>
        <v/>
      </c>
      <c r="G26427" s="62"/>
      <c r="H26427" s="46" t="str">
        <f>IF(OR(I.Developer.P2a=FALSE,I.Facility.StandardPart="Part 2"),"Complete",IF(I.Product.P2aGasToPowerStatus&lt;&gt;"Yes","Complete",IF(AND(I.Gas.P2aY1Count&gt;=47,F26427=""),"Incomplete","Complete")))</f>
        <v>Complete</v>
      </c>
      <c r="I26427" s="48" t="s">
        <v>1606</v>
      </c>
    </row>
    <row r="26428" spans="2:9" ht="15" customHeight="1" x14ac:dyDescent="0.25">
      <c r="B26428" s="55" t="s">
        <v>376</v>
      </c>
      <c r="C26428" s="46">
        <v>48</v>
      </c>
      <c r="D26428" s="69" t="s">
        <v>29513</v>
      </c>
      <c r="E26428" s="62"/>
      <c r="F26428" s="62" t="str">
        <f>IF(INDEX(I.Gas.P2aY1C1E2,48)="","",INDEX(I.Gas.P2aY1C1E2,48))</f>
        <v/>
      </c>
      <c r="G26428" s="62"/>
      <c r="H26428" s="46" t="str">
        <f>IF(OR(I.Developer.P2a=FALSE,I.Facility.StandardPart="Part 2"),"Complete",IF(I.Product.P2aGasToPowerStatus&lt;&gt;"Yes","Complete",IF(AND(I.Gas.P2aY1Count&gt;=48,F26428=""),"Incomplete","Complete")))</f>
        <v>Complete</v>
      </c>
      <c r="I26428" s="48" t="s">
        <v>1607</v>
      </c>
    </row>
    <row r="26429" spans="2:9" ht="15" customHeight="1" x14ac:dyDescent="0.25">
      <c r="B26429" s="55" t="s">
        <v>376</v>
      </c>
      <c r="C26429" s="46">
        <v>49</v>
      </c>
      <c r="D26429" s="69" t="s">
        <v>29513</v>
      </c>
      <c r="E26429" s="62"/>
      <c r="F26429" s="62" t="str">
        <f>IF(INDEX(I.Gas.P2aY1C1E2,49)="","",INDEX(I.Gas.P2aY1C1E2,49))</f>
        <v/>
      </c>
      <c r="G26429" s="62"/>
      <c r="H26429" s="46" t="str">
        <f>IF(OR(I.Developer.P2a=FALSE,I.Facility.StandardPart="Part 2"),"Complete",IF(I.Product.P2aGasToPowerStatus&lt;&gt;"Yes","Complete",IF(AND(I.Gas.P2aY1Count&gt;=49,F26429=""),"Incomplete","Complete")))</f>
        <v>Complete</v>
      </c>
      <c r="I26429" s="48" t="s">
        <v>1608</v>
      </c>
    </row>
    <row r="26430" spans="2:9" ht="15" customHeight="1" x14ac:dyDescent="0.25">
      <c r="B26430" s="56" t="s">
        <v>376</v>
      </c>
      <c r="C26430" s="57">
        <v>50</v>
      </c>
      <c r="D26430" s="71" t="s">
        <v>29513</v>
      </c>
      <c r="E26430" s="61"/>
      <c r="F26430" s="61" t="str">
        <f>IF(INDEX(I.Gas.P2aY1C1E2,50)="","",INDEX(I.Gas.P2aY1C1E2,50))</f>
        <v/>
      </c>
      <c r="G26430" s="61"/>
      <c r="H26430" s="57" t="str">
        <f>IF(OR(I.Developer.P2a=FALSE,I.Facility.StandardPart="Part 2"),"Complete",IF(I.Product.P2aGasToPowerStatus&lt;&gt;"Yes","Complete",IF(AND(I.Gas.P2aY1Count&gt;=50,F26430=""),"Incomplete","Complete")))</f>
        <v>Complete</v>
      </c>
      <c r="I26430" s="49" t="s">
        <v>1609</v>
      </c>
    </row>
    <row r="26431" spans="2:9" ht="15" customHeight="1" x14ac:dyDescent="0.25">
      <c r="B26431" s="55" t="s">
        <v>377</v>
      </c>
      <c r="C26431" s="46">
        <v>1</v>
      </c>
      <c r="D26431" s="69" t="s">
        <v>29514</v>
      </c>
      <c r="E26431" s="62"/>
      <c r="F26431" s="62" t="str">
        <f>IF(INDEX(I.Gas.P2aY1C1E3,1)="","",INDEX(I.Gas.P2aY1C1E3,1))</f>
        <v/>
      </c>
      <c r="G26431" s="62"/>
      <c r="H26431" s="46" t="str">
        <f>IF(OR(I.Developer.P2a=FALSE,I.Facility.StandardPart="Part 2"),"Complete",IF(I.Product.P2aGasToPowerStatus&lt;&gt;"Yes","Complete",IF(AND(I.Gas.P2aY1Count&gt;=1,F26431=""),"Incomplete","Complete")))</f>
        <v>Complete</v>
      </c>
      <c r="I26431" s="48" t="s">
        <v>1610</v>
      </c>
    </row>
    <row r="26432" spans="2:9" ht="15" customHeight="1" x14ac:dyDescent="0.25">
      <c r="B26432" s="55" t="s">
        <v>377</v>
      </c>
      <c r="C26432" s="46">
        <v>2</v>
      </c>
      <c r="D26432" s="69" t="s">
        <v>29514</v>
      </c>
      <c r="E26432" s="62"/>
      <c r="F26432" s="62" t="str">
        <f>IF(INDEX(I.Gas.P2aY1C1E3,2)="","",INDEX(I.Gas.P2aY1C1E3,2))</f>
        <v/>
      </c>
      <c r="G26432" s="62"/>
      <c r="H26432" s="46" t="str">
        <f>IF(OR(I.Developer.P2a=FALSE,I.Facility.StandardPart="Part 2"),"Complete",IF(I.Product.P2aGasToPowerStatus&lt;&gt;"Yes","Complete",IF(AND(I.Gas.P2aY1Count&gt;=2,F26432=""),"Incomplete","Complete")))</f>
        <v>Complete</v>
      </c>
      <c r="I26432" s="48" t="s">
        <v>1611</v>
      </c>
    </row>
    <row r="26433" spans="2:9" ht="15" customHeight="1" x14ac:dyDescent="0.25">
      <c r="B26433" s="55" t="s">
        <v>377</v>
      </c>
      <c r="C26433" s="46">
        <v>3</v>
      </c>
      <c r="D26433" s="69" t="s">
        <v>29514</v>
      </c>
      <c r="E26433" s="62"/>
      <c r="F26433" s="62" t="str">
        <f>IF(INDEX(I.Gas.P2aY1C1E3,3)="","",INDEX(I.Gas.P2aY1C1E3,3))</f>
        <v/>
      </c>
      <c r="G26433" s="62"/>
      <c r="H26433" s="46" t="str">
        <f>IF(OR(I.Developer.P2a=FALSE,I.Facility.StandardPart="Part 2"),"Complete",IF(I.Product.P2aGasToPowerStatus&lt;&gt;"Yes","Complete",IF(AND(I.Gas.P2aY1Count&gt;=3,F26433=""),"Incomplete","Complete")))</f>
        <v>Complete</v>
      </c>
      <c r="I26433" s="48" t="s">
        <v>1612</v>
      </c>
    </row>
    <row r="26434" spans="2:9" ht="15" customHeight="1" x14ac:dyDescent="0.25">
      <c r="B26434" s="55" t="s">
        <v>377</v>
      </c>
      <c r="C26434" s="46">
        <v>4</v>
      </c>
      <c r="D26434" s="69" t="s">
        <v>29514</v>
      </c>
      <c r="E26434" s="62"/>
      <c r="F26434" s="62" t="str">
        <f>IF(INDEX(I.Gas.P2aY1C1E3,4)="","",INDEX(I.Gas.P2aY1C1E3,4))</f>
        <v/>
      </c>
      <c r="G26434" s="62"/>
      <c r="H26434" s="46" t="str">
        <f>IF(OR(I.Developer.P2a=FALSE,I.Facility.StandardPart="Part 2"),"Complete",IF(I.Product.P2aGasToPowerStatus&lt;&gt;"Yes","Complete",IF(AND(I.Gas.P2aY1Count&gt;=4,F26434=""),"Incomplete","Complete")))</f>
        <v>Complete</v>
      </c>
      <c r="I26434" s="48" t="s">
        <v>1613</v>
      </c>
    </row>
    <row r="26435" spans="2:9" ht="15" customHeight="1" x14ac:dyDescent="0.25">
      <c r="B26435" s="55" t="s">
        <v>377</v>
      </c>
      <c r="C26435" s="46">
        <v>5</v>
      </c>
      <c r="D26435" s="69" t="s">
        <v>29514</v>
      </c>
      <c r="E26435" s="62"/>
      <c r="F26435" s="62" t="str">
        <f>IF(INDEX(I.Gas.P2aY1C1E3,5)="","",INDEX(I.Gas.P2aY1C1E3,5))</f>
        <v/>
      </c>
      <c r="G26435" s="62"/>
      <c r="H26435" s="46" t="str">
        <f>IF(OR(I.Developer.P2a=FALSE,I.Facility.StandardPart="Part 2"),"Complete",IF(I.Product.P2aGasToPowerStatus&lt;&gt;"Yes","Complete",IF(AND(I.Gas.P2aY1Count&gt;=5,F26435=""),"Incomplete","Complete")))</f>
        <v>Complete</v>
      </c>
      <c r="I26435" s="48" t="s">
        <v>1614</v>
      </c>
    </row>
    <row r="26436" spans="2:9" ht="15" customHeight="1" x14ac:dyDescent="0.25">
      <c r="B26436" s="55" t="s">
        <v>377</v>
      </c>
      <c r="C26436" s="46">
        <v>6</v>
      </c>
      <c r="D26436" s="69" t="s">
        <v>29514</v>
      </c>
      <c r="E26436" s="62"/>
      <c r="F26436" s="62" t="str">
        <f>IF(INDEX(I.Gas.P2aY1C1E3,6)="","",INDEX(I.Gas.P2aY1C1E3,6))</f>
        <v/>
      </c>
      <c r="G26436" s="62"/>
      <c r="H26436" s="46" t="str">
        <f>IF(OR(I.Developer.P2a=FALSE,I.Facility.StandardPart="Part 2"),"Complete",IF(I.Product.P2aGasToPowerStatus&lt;&gt;"Yes","Complete",IF(AND(I.Gas.P2aY1Count&gt;=6,F26436=""),"Incomplete","Complete")))</f>
        <v>Complete</v>
      </c>
      <c r="I26436" s="48" t="s">
        <v>1615</v>
      </c>
    </row>
    <row r="26437" spans="2:9" ht="15" customHeight="1" x14ac:dyDescent="0.25">
      <c r="B26437" s="55" t="s">
        <v>377</v>
      </c>
      <c r="C26437" s="46">
        <v>7</v>
      </c>
      <c r="D26437" s="69" t="s">
        <v>29514</v>
      </c>
      <c r="E26437" s="62"/>
      <c r="F26437" s="62" t="str">
        <f>IF(INDEX(I.Gas.P2aY1C1E3,7)="","",INDEX(I.Gas.P2aY1C1E3,7))</f>
        <v/>
      </c>
      <c r="G26437" s="62"/>
      <c r="H26437" s="46" t="str">
        <f>IF(OR(I.Developer.P2a=FALSE,I.Facility.StandardPart="Part 2"),"Complete",IF(I.Product.P2aGasToPowerStatus&lt;&gt;"Yes","Complete",IF(AND(I.Gas.P2aY1Count&gt;=7,F26437=""),"Incomplete","Complete")))</f>
        <v>Complete</v>
      </c>
      <c r="I26437" s="48" t="s">
        <v>1616</v>
      </c>
    </row>
    <row r="26438" spans="2:9" ht="15" customHeight="1" x14ac:dyDescent="0.25">
      <c r="B26438" s="55" t="s">
        <v>377</v>
      </c>
      <c r="C26438" s="46">
        <v>8</v>
      </c>
      <c r="D26438" s="69" t="s">
        <v>29514</v>
      </c>
      <c r="E26438" s="62"/>
      <c r="F26438" s="62" t="str">
        <f>IF(INDEX(I.Gas.P2aY1C1E3,8)="","",INDEX(I.Gas.P2aY1C1E3,8))</f>
        <v/>
      </c>
      <c r="G26438" s="62"/>
      <c r="H26438" s="46" t="str">
        <f>IF(OR(I.Developer.P2a=FALSE,I.Facility.StandardPart="Part 2"),"Complete",IF(I.Product.P2aGasToPowerStatus&lt;&gt;"Yes","Complete",IF(AND(I.Gas.P2aY1Count&gt;=8,F26438=""),"Incomplete","Complete")))</f>
        <v>Complete</v>
      </c>
      <c r="I26438" s="48" t="s">
        <v>1617</v>
      </c>
    </row>
    <row r="26439" spans="2:9" ht="15" customHeight="1" x14ac:dyDescent="0.25">
      <c r="B26439" s="55" t="s">
        <v>377</v>
      </c>
      <c r="C26439" s="46">
        <v>9</v>
      </c>
      <c r="D26439" s="69" t="s">
        <v>29514</v>
      </c>
      <c r="E26439" s="62"/>
      <c r="F26439" s="62" t="str">
        <f>IF(INDEX(I.Gas.P2aY1C1E3,9)="","",INDEX(I.Gas.P2aY1C1E3,9))</f>
        <v/>
      </c>
      <c r="G26439" s="62"/>
      <c r="H26439" s="46" t="str">
        <f>IF(OR(I.Developer.P2a=FALSE,I.Facility.StandardPart="Part 2"),"Complete",IF(I.Product.P2aGasToPowerStatus&lt;&gt;"Yes","Complete",IF(AND(I.Gas.P2aY1Count&gt;=9,F26439=""),"Incomplete","Complete")))</f>
        <v>Complete</v>
      </c>
      <c r="I26439" s="48" t="s">
        <v>1618</v>
      </c>
    </row>
    <row r="26440" spans="2:9" ht="15" customHeight="1" x14ac:dyDescent="0.25">
      <c r="B26440" s="55" t="s">
        <v>377</v>
      </c>
      <c r="C26440" s="46">
        <v>10</v>
      </c>
      <c r="D26440" s="69" t="s">
        <v>29514</v>
      </c>
      <c r="E26440" s="62"/>
      <c r="F26440" s="62" t="str">
        <f>IF(INDEX(I.Gas.P2aY1C1E3,10)="","",INDEX(I.Gas.P2aY1C1E3,10))</f>
        <v/>
      </c>
      <c r="G26440" s="62"/>
      <c r="H26440" s="46" t="str">
        <f>IF(OR(I.Developer.P2a=FALSE,I.Facility.StandardPart="Part 2"),"Complete",IF(I.Product.P2aGasToPowerStatus&lt;&gt;"Yes","Complete",IF(AND(I.Gas.P2aY1Count&gt;=10,F26440=""),"Incomplete","Complete")))</f>
        <v>Complete</v>
      </c>
      <c r="I26440" s="48" t="s">
        <v>1619</v>
      </c>
    </row>
    <row r="26441" spans="2:9" ht="15" customHeight="1" x14ac:dyDescent="0.25">
      <c r="B26441" s="55" t="s">
        <v>377</v>
      </c>
      <c r="C26441" s="46">
        <v>11</v>
      </c>
      <c r="D26441" s="69" t="s">
        <v>29514</v>
      </c>
      <c r="E26441" s="62"/>
      <c r="F26441" s="62" t="str">
        <f>IF(INDEX(I.Gas.P2aY1C1E3,11)="","",INDEX(I.Gas.P2aY1C1E3,11))</f>
        <v/>
      </c>
      <c r="G26441" s="62"/>
      <c r="H26441" s="46" t="str">
        <f>IF(OR(I.Developer.P2a=FALSE,I.Facility.StandardPart="Part 2"),"Complete",IF(I.Product.P2aGasToPowerStatus&lt;&gt;"Yes","Complete",IF(AND(I.Gas.P2aY1Count&gt;=11,F26441=""),"Incomplete","Complete")))</f>
        <v>Complete</v>
      </c>
      <c r="I26441" s="48" t="s">
        <v>1620</v>
      </c>
    </row>
    <row r="26442" spans="2:9" ht="15" customHeight="1" x14ac:dyDescent="0.25">
      <c r="B26442" s="55" t="s">
        <v>377</v>
      </c>
      <c r="C26442" s="46">
        <v>12</v>
      </c>
      <c r="D26442" s="69" t="s">
        <v>29514</v>
      </c>
      <c r="E26442" s="62"/>
      <c r="F26442" s="62" t="str">
        <f>IF(INDEX(I.Gas.P2aY1C1E3,12)="","",INDEX(I.Gas.P2aY1C1E3,12))</f>
        <v/>
      </c>
      <c r="G26442" s="62"/>
      <c r="H26442" s="46" t="str">
        <f>IF(OR(I.Developer.P2a=FALSE,I.Facility.StandardPart="Part 2"),"Complete",IF(I.Product.P2aGasToPowerStatus&lt;&gt;"Yes","Complete",IF(AND(I.Gas.P2aY1Count&gt;=12,F26442=""),"Incomplete","Complete")))</f>
        <v>Complete</v>
      </c>
      <c r="I26442" s="48" t="s">
        <v>1621</v>
      </c>
    </row>
    <row r="26443" spans="2:9" ht="15" customHeight="1" x14ac:dyDescent="0.25">
      <c r="B26443" s="55" t="s">
        <v>377</v>
      </c>
      <c r="C26443" s="46">
        <v>13</v>
      </c>
      <c r="D26443" s="69" t="s">
        <v>29514</v>
      </c>
      <c r="E26443" s="62"/>
      <c r="F26443" s="62" t="str">
        <f>IF(INDEX(I.Gas.P2aY1C1E3,13)="","",INDEX(I.Gas.P2aY1C1E3,13))</f>
        <v/>
      </c>
      <c r="G26443" s="62"/>
      <c r="H26443" s="46" t="str">
        <f>IF(OR(I.Developer.P2a=FALSE,I.Facility.StandardPart="Part 2"),"Complete",IF(I.Product.P2aGasToPowerStatus&lt;&gt;"Yes","Complete",IF(AND(I.Gas.P2aY1Count&gt;=13,F26443=""),"Incomplete","Complete")))</f>
        <v>Complete</v>
      </c>
      <c r="I26443" s="48" t="s">
        <v>1622</v>
      </c>
    </row>
    <row r="26444" spans="2:9" ht="15" customHeight="1" x14ac:dyDescent="0.25">
      <c r="B26444" s="55" t="s">
        <v>377</v>
      </c>
      <c r="C26444" s="46">
        <v>14</v>
      </c>
      <c r="D26444" s="69" t="s">
        <v>29514</v>
      </c>
      <c r="E26444" s="62"/>
      <c r="F26444" s="62" t="str">
        <f>IF(INDEX(I.Gas.P2aY1C1E3,14)="","",INDEX(I.Gas.P2aY1C1E3,14))</f>
        <v/>
      </c>
      <c r="G26444" s="62"/>
      <c r="H26444" s="46" t="str">
        <f>IF(OR(I.Developer.P2a=FALSE,I.Facility.StandardPart="Part 2"),"Complete",IF(I.Product.P2aGasToPowerStatus&lt;&gt;"Yes","Complete",IF(AND(I.Gas.P2aY1Count&gt;=14,F26444=""),"Incomplete","Complete")))</f>
        <v>Complete</v>
      </c>
      <c r="I26444" s="48" t="s">
        <v>1623</v>
      </c>
    </row>
    <row r="26445" spans="2:9" ht="15" customHeight="1" x14ac:dyDescent="0.25">
      <c r="B26445" s="55" t="s">
        <v>377</v>
      </c>
      <c r="C26445" s="46">
        <v>15</v>
      </c>
      <c r="D26445" s="69" t="s">
        <v>29514</v>
      </c>
      <c r="E26445" s="62"/>
      <c r="F26445" s="62" t="str">
        <f>IF(INDEX(I.Gas.P2aY1C1E3,15)="","",INDEX(I.Gas.P2aY1C1E3,15))</f>
        <v/>
      </c>
      <c r="G26445" s="62"/>
      <c r="H26445" s="46" t="str">
        <f>IF(OR(I.Developer.P2a=FALSE,I.Facility.StandardPart="Part 2"),"Complete",IF(I.Product.P2aGasToPowerStatus&lt;&gt;"Yes","Complete",IF(AND(I.Gas.P2aY1Count&gt;=15,F26445=""),"Incomplete","Complete")))</f>
        <v>Complete</v>
      </c>
      <c r="I26445" s="48" t="s">
        <v>1624</v>
      </c>
    </row>
    <row r="26446" spans="2:9" ht="15" customHeight="1" x14ac:dyDescent="0.25">
      <c r="B26446" s="55" t="s">
        <v>377</v>
      </c>
      <c r="C26446" s="46">
        <v>16</v>
      </c>
      <c r="D26446" s="69" t="s">
        <v>29514</v>
      </c>
      <c r="E26446" s="62"/>
      <c r="F26446" s="62" t="str">
        <f>IF(INDEX(I.Gas.P2aY1C1E3,16)="","",INDEX(I.Gas.P2aY1C1E3,16))</f>
        <v/>
      </c>
      <c r="G26446" s="62"/>
      <c r="H26446" s="46" t="str">
        <f>IF(OR(I.Developer.P2a=FALSE,I.Facility.StandardPart="Part 2"),"Complete",IF(I.Product.P2aGasToPowerStatus&lt;&gt;"Yes","Complete",IF(AND(I.Gas.P2aY1Count&gt;=16,F26446=""),"Incomplete","Complete")))</f>
        <v>Complete</v>
      </c>
      <c r="I26446" s="48" t="s">
        <v>1625</v>
      </c>
    </row>
    <row r="26447" spans="2:9" ht="15" customHeight="1" x14ac:dyDescent="0.25">
      <c r="B26447" s="55" t="s">
        <v>377</v>
      </c>
      <c r="C26447" s="46">
        <v>17</v>
      </c>
      <c r="D26447" s="69" t="s">
        <v>29514</v>
      </c>
      <c r="E26447" s="62"/>
      <c r="F26447" s="62" t="str">
        <f>IF(INDEX(I.Gas.P2aY1C1E3,17)="","",INDEX(I.Gas.P2aY1C1E3,17))</f>
        <v/>
      </c>
      <c r="G26447" s="62"/>
      <c r="H26447" s="46" t="str">
        <f>IF(OR(I.Developer.P2a=FALSE,I.Facility.StandardPart="Part 2"),"Complete",IF(I.Product.P2aGasToPowerStatus&lt;&gt;"Yes","Complete",IF(AND(I.Gas.P2aY1Count&gt;=17,F26447=""),"Incomplete","Complete")))</f>
        <v>Complete</v>
      </c>
      <c r="I26447" s="48" t="s">
        <v>1626</v>
      </c>
    </row>
    <row r="26448" spans="2:9" ht="15" customHeight="1" x14ac:dyDescent="0.25">
      <c r="B26448" s="55" t="s">
        <v>377</v>
      </c>
      <c r="C26448" s="46">
        <v>18</v>
      </c>
      <c r="D26448" s="69" t="s">
        <v>29514</v>
      </c>
      <c r="E26448" s="62"/>
      <c r="F26448" s="62" t="str">
        <f>IF(INDEX(I.Gas.P2aY1C1E3,18)="","",INDEX(I.Gas.P2aY1C1E3,18))</f>
        <v/>
      </c>
      <c r="G26448" s="62"/>
      <c r="H26448" s="46" t="str">
        <f>IF(OR(I.Developer.P2a=FALSE,I.Facility.StandardPart="Part 2"),"Complete",IF(I.Product.P2aGasToPowerStatus&lt;&gt;"Yes","Complete",IF(AND(I.Gas.P2aY1Count&gt;=18,F26448=""),"Incomplete","Complete")))</f>
        <v>Complete</v>
      </c>
      <c r="I26448" s="48" t="s">
        <v>1627</v>
      </c>
    </row>
    <row r="26449" spans="2:9" ht="15" customHeight="1" x14ac:dyDescent="0.25">
      <c r="B26449" s="55" t="s">
        <v>377</v>
      </c>
      <c r="C26449" s="46">
        <v>19</v>
      </c>
      <c r="D26449" s="69" t="s">
        <v>29514</v>
      </c>
      <c r="E26449" s="62"/>
      <c r="F26449" s="62" t="str">
        <f>IF(INDEX(I.Gas.P2aY1C1E3,19)="","",INDEX(I.Gas.P2aY1C1E3,19))</f>
        <v/>
      </c>
      <c r="G26449" s="62"/>
      <c r="H26449" s="46" t="str">
        <f>IF(OR(I.Developer.P2a=FALSE,I.Facility.StandardPart="Part 2"),"Complete",IF(I.Product.P2aGasToPowerStatus&lt;&gt;"Yes","Complete",IF(AND(I.Gas.P2aY1Count&gt;=19,F26449=""),"Incomplete","Complete")))</f>
        <v>Complete</v>
      </c>
      <c r="I26449" s="48" t="s">
        <v>1628</v>
      </c>
    </row>
    <row r="26450" spans="2:9" ht="15" customHeight="1" x14ac:dyDescent="0.25">
      <c r="B26450" s="55" t="s">
        <v>377</v>
      </c>
      <c r="C26450" s="46">
        <v>20</v>
      </c>
      <c r="D26450" s="69" t="s">
        <v>29514</v>
      </c>
      <c r="E26450" s="62"/>
      <c r="F26450" s="62" t="str">
        <f>IF(INDEX(I.Gas.P2aY1C1E3,20)="","",INDEX(I.Gas.P2aY1C1E3,20))</f>
        <v/>
      </c>
      <c r="G26450" s="62"/>
      <c r="H26450" s="46" t="str">
        <f>IF(OR(I.Developer.P2a=FALSE,I.Facility.StandardPart="Part 2"),"Complete",IF(I.Product.P2aGasToPowerStatus&lt;&gt;"Yes","Complete",IF(AND(I.Gas.P2aY1Count&gt;=20,F26450=""),"Incomplete","Complete")))</f>
        <v>Complete</v>
      </c>
      <c r="I26450" s="48" t="s">
        <v>1629</v>
      </c>
    </row>
    <row r="26451" spans="2:9" ht="15" customHeight="1" x14ac:dyDescent="0.25">
      <c r="B26451" s="55" t="s">
        <v>377</v>
      </c>
      <c r="C26451" s="46">
        <v>21</v>
      </c>
      <c r="D26451" s="69" t="s">
        <v>29514</v>
      </c>
      <c r="E26451" s="62"/>
      <c r="F26451" s="62" t="str">
        <f>IF(INDEX(I.Gas.P2aY1C1E3,21)="","",INDEX(I.Gas.P2aY1C1E3,21))</f>
        <v/>
      </c>
      <c r="G26451" s="62"/>
      <c r="H26451" s="46" t="str">
        <f>IF(OR(I.Developer.P2a=FALSE,I.Facility.StandardPart="Part 2"),"Complete",IF(I.Product.P2aGasToPowerStatus&lt;&gt;"Yes","Complete",IF(AND(I.Gas.P2aY1Count&gt;=21,F26451=""),"Incomplete","Complete")))</f>
        <v>Complete</v>
      </c>
      <c r="I26451" s="48" t="s">
        <v>1630</v>
      </c>
    </row>
    <row r="26452" spans="2:9" ht="15" customHeight="1" x14ac:dyDescent="0.25">
      <c r="B26452" s="55" t="s">
        <v>377</v>
      </c>
      <c r="C26452" s="46">
        <v>22</v>
      </c>
      <c r="D26452" s="69" t="s">
        <v>29514</v>
      </c>
      <c r="E26452" s="62"/>
      <c r="F26452" s="62" t="str">
        <f>IF(INDEX(I.Gas.P2aY1C1E3,22)="","",INDEX(I.Gas.P2aY1C1E3,22))</f>
        <v/>
      </c>
      <c r="G26452" s="62"/>
      <c r="H26452" s="46" t="str">
        <f>IF(OR(I.Developer.P2a=FALSE,I.Facility.StandardPart="Part 2"),"Complete",IF(I.Product.P2aGasToPowerStatus&lt;&gt;"Yes","Complete",IF(AND(I.Gas.P2aY1Count&gt;=22,F26452=""),"Incomplete","Complete")))</f>
        <v>Complete</v>
      </c>
      <c r="I26452" s="48" t="s">
        <v>1631</v>
      </c>
    </row>
    <row r="26453" spans="2:9" ht="15" customHeight="1" x14ac:dyDescent="0.25">
      <c r="B26453" s="55" t="s">
        <v>377</v>
      </c>
      <c r="C26453" s="46">
        <v>23</v>
      </c>
      <c r="D26453" s="69" t="s">
        <v>29514</v>
      </c>
      <c r="E26453" s="62"/>
      <c r="F26453" s="62" t="str">
        <f>IF(INDEX(I.Gas.P2aY1C1E3,23)="","",INDEX(I.Gas.P2aY1C1E3,23))</f>
        <v/>
      </c>
      <c r="G26453" s="62"/>
      <c r="H26453" s="46" t="str">
        <f>IF(OR(I.Developer.P2a=FALSE,I.Facility.StandardPart="Part 2"),"Complete",IF(I.Product.P2aGasToPowerStatus&lt;&gt;"Yes","Complete",IF(AND(I.Gas.P2aY1Count&gt;=23,F26453=""),"Incomplete","Complete")))</f>
        <v>Complete</v>
      </c>
      <c r="I26453" s="48" t="s">
        <v>1632</v>
      </c>
    </row>
    <row r="26454" spans="2:9" ht="15" customHeight="1" x14ac:dyDescent="0.25">
      <c r="B26454" s="55" t="s">
        <v>377</v>
      </c>
      <c r="C26454" s="46">
        <v>24</v>
      </c>
      <c r="D26454" s="69" t="s">
        <v>29514</v>
      </c>
      <c r="E26454" s="62"/>
      <c r="F26454" s="62" t="str">
        <f>IF(INDEX(I.Gas.P2aY1C1E3,24)="","",INDEX(I.Gas.P2aY1C1E3,24))</f>
        <v/>
      </c>
      <c r="G26454" s="62"/>
      <c r="H26454" s="46" t="str">
        <f>IF(OR(I.Developer.P2a=FALSE,I.Facility.StandardPart="Part 2"),"Complete",IF(I.Product.P2aGasToPowerStatus&lt;&gt;"Yes","Complete",IF(AND(I.Gas.P2aY1Count&gt;=24,F26454=""),"Incomplete","Complete")))</f>
        <v>Complete</v>
      </c>
      <c r="I26454" s="48" t="s">
        <v>1633</v>
      </c>
    </row>
    <row r="26455" spans="2:9" ht="15" customHeight="1" x14ac:dyDescent="0.25">
      <c r="B26455" s="55" t="s">
        <v>377</v>
      </c>
      <c r="C26455" s="46">
        <v>25</v>
      </c>
      <c r="D26455" s="69" t="s">
        <v>29514</v>
      </c>
      <c r="E26455" s="62"/>
      <c r="F26455" s="62" t="str">
        <f>IF(INDEX(I.Gas.P2aY1C1E3,25)="","",INDEX(I.Gas.P2aY1C1E3,25))</f>
        <v/>
      </c>
      <c r="G26455" s="62"/>
      <c r="H26455" s="46" t="str">
        <f>IF(OR(I.Developer.P2a=FALSE,I.Facility.StandardPart="Part 2"),"Complete",IF(I.Product.P2aGasToPowerStatus&lt;&gt;"Yes","Complete",IF(AND(I.Gas.P2aY1Count&gt;=25,F26455=""),"Incomplete","Complete")))</f>
        <v>Complete</v>
      </c>
      <c r="I26455" s="48" t="s">
        <v>1634</v>
      </c>
    </row>
    <row r="26456" spans="2:9" ht="15" customHeight="1" x14ac:dyDescent="0.25">
      <c r="B26456" s="55" t="s">
        <v>377</v>
      </c>
      <c r="C26456" s="46">
        <v>26</v>
      </c>
      <c r="D26456" s="69" t="s">
        <v>29514</v>
      </c>
      <c r="E26456" s="62"/>
      <c r="F26456" s="62" t="str">
        <f>IF(INDEX(I.Gas.P2aY1C1E3,26)="","",INDEX(I.Gas.P2aY1C1E3,26))</f>
        <v/>
      </c>
      <c r="G26456" s="62"/>
      <c r="H26456" s="46" t="str">
        <f>IF(OR(I.Developer.P2a=FALSE,I.Facility.StandardPart="Part 2"),"Complete",IF(I.Product.P2aGasToPowerStatus&lt;&gt;"Yes","Complete",IF(AND(I.Gas.P2aY1Count&gt;=26,F26456=""),"Incomplete","Complete")))</f>
        <v>Complete</v>
      </c>
      <c r="I26456" s="48" t="s">
        <v>1635</v>
      </c>
    </row>
    <row r="26457" spans="2:9" ht="15" customHeight="1" x14ac:dyDescent="0.25">
      <c r="B26457" s="55" t="s">
        <v>377</v>
      </c>
      <c r="C26457" s="46">
        <v>27</v>
      </c>
      <c r="D26457" s="69" t="s">
        <v>29514</v>
      </c>
      <c r="E26457" s="62"/>
      <c r="F26457" s="62" t="str">
        <f>IF(INDEX(I.Gas.P2aY1C1E3,27)="","",INDEX(I.Gas.P2aY1C1E3,27))</f>
        <v/>
      </c>
      <c r="G26457" s="62"/>
      <c r="H26457" s="46" t="str">
        <f>IF(OR(I.Developer.P2a=FALSE,I.Facility.StandardPart="Part 2"),"Complete",IF(I.Product.P2aGasToPowerStatus&lt;&gt;"Yes","Complete",IF(AND(I.Gas.P2aY1Count&gt;=27,F26457=""),"Incomplete","Complete")))</f>
        <v>Complete</v>
      </c>
      <c r="I26457" s="48" t="s">
        <v>1636</v>
      </c>
    </row>
    <row r="26458" spans="2:9" ht="15" customHeight="1" x14ac:dyDescent="0.25">
      <c r="B26458" s="55" t="s">
        <v>377</v>
      </c>
      <c r="C26458" s="46">
        <v>28</v>
      </c>
      <c r="D26458" s="69" t="s">
        <v>29514</v>
      </c>
      <c r="E26458" s="62"/>
      <c r="F26458" s="62" t="str">
        <f>IF(INDEX(I.Gas.P2aY1C1E3,28)="","",INDEX(I.Gas.P2aY1C1E3,28))</f>
        <v/>
      </c>
      <c r="G26458" s="62"/>
      <c r="H26458" s="46" t="str">
        <f>IF(OR(I.Developer.P2a=FALSE,I.Facility.StandardPart="Part 2"),"Complete",IF(I.Product.P2aGasToPowerStatus&lt;&gt;"Yes","Complete",IF(AND(I.Gas.P2aY1Count&gt;=28,F26458=""),"Incomplete","Complete")))</f>
        <v>Complete</v>
      </c>
      <c r="I26458" s="48" t="s">
        <v>1637</v>
      </c>
    </row>
    <row r="26459" spans="2:9" ht="15" customHeight="1" x14ac:dyDescent="0.25">
      <c r="B26459" s="55" t="s">
        <v>377</v>
      </c>
      <c r="C26459" s="46">
        <v>29</v>
      </c>
      <c r="D26459" s="69" t="s">
        <v>29514</v>
      </c>
      <c r="E26459" s="62"/>
      <c r="F26459" s="62" t="str">
        <f>IF(INDEX(I.Gas.P2aY1C1E3,29)="","",INDEX(I.Gas.P2aY1C1E3,29))</f>
        <v/>
      </c>
      <c r="G26459" s="62"/>
      <c r="H26459" s="46" t="str">
        <f>IF(OR(I.Developer.P2a=FALSE,I.Facility.StandardPart="Part 2"),"Complete",IF(I.Product.P2aGasToPowerStatus&lt;&gt;"Yes","Complete",IF(AND(I.Gas.P2aY1Count&gt;=29,F26459=""),"Incomplete","Complete")))</f>
        <v>Complete</v>
      </c>
      <c r="I26459" s="48" t="s">
        <v>1638</v>
      </c>
    </row>
    <row r="26460" spans="2:9" ht="15" customHeight="1" x14ac:dyDescent="0.25">
      <c r="B26460" s="55" t="s">
        <v>377</v>
      </c>
      <c r="C26460" s="46">
        <v>30</v>
      </c>
      <c r="D26460" s="69" t="s">
        <v>29514</v>
      </c>
      <c r="E26460" s="62"/>
      <c r="F26460" s="62" t="str">
        <f>IF(INDEX(I.Gas.P2aY1C1E3,30)="","",INDEX(I.Gas.P2aY1C1E3,30))</f>
        <v/>
      </c>
      <c r="G26460" s="62"/>
      <c r="H26460" s="46" t="str">
        <f>IF(OR(I.Developer.P2a=FALSE,I.Facility.StandardPart="Part 2"),"Complete",IF(I.Product.P2aGasToPowerStatus&lt;&gt;"Yes","Complete",IF(AND(I.Gas.P2aY1Count&gt;=30,F26460=""),"Incomplete","Complete")))</f>
        <v>Complete</v>
      </c>
      <c r="I26460" s="48" t="s">
        <v>1639</v>
      </c>
    </row>
    <row r="26461" spans="2:9" ht="15" customHeight="1" x14ac:dyDescent="0.25">
      <c r="B26461" s="55" t="s">
        <v>377</v>
      </c>
      <c r="C26461" s="46">
        <v>31</v>
      </c>
      <c r="D26461" s="69" t="s">
        <v>29514</v>
      </c>
      <c r="E26461" s="62"/>
      <c r="F26461" s="62" t="str">
        <f>IF(INDEX(I.Gas.P2aY1C1E3,31)="","",INDEX(I.Gas.P2aY1C1E3,31))</f>
        <v/>
      </c>
      <c r="G26461" s="62"/>
      <c r="H26461" s="46" t="str">
        <f>IF(OR(I.Developer.P2a=FALSE,I.Facility.StandardPart="Part 2"),"Complete",IF(I.Product.P2aGasToPowerStatus&lt;&gt;"Yes","Complete",IF(AND(I.Gas.P2aY1Count&gt;=31,F26461=""),"Incomplete","Complete")))</f>
        <v>Complete</v>
      </c>
      <c r="I26461" s="48" t="s">
        <v>1640</v>
      </c>
    </row>
    <row r="26462" spans="2:9" ht="15" customHeight="1" x14ac:dyDescent="0.25">
      <c r="B26462" s="55" t="s">
        <v>377</v>
      </c>
      <c r="C26462" s="46">
        <v>32</v>
      </c>
      <c r="D26462" s="69" t="s">
        <v>29514</v>
      </c>
      <c r="E26462" s="62"/>
      <c r="F26462" s="62" t="str">
        <f>IF(INDEX(I.Gas.P2aY1C1E3,32)="","",INDEX(I.Gas.P2aY1C1E3,32))</f>
        <v/>
      </c>
      <c r="G26462" s="62"/>
      <c r="H26462" s="46" t="str">
        <f>IF(OR(I.Developer.P2a=FALSE,I.Facility.StandardPart="Part 2"),"Complete",IF(I.Product.P2aGasToPowerStatus&lt;&gt;"Yes","Complete",IF(AND(I.Gas.P2aY1Count&gt;=32,F26462=""),"Incomplete","Complete")))</f>
        <v>Complete</v>
      </c>
      <c r="I26462" s="48" t="s">
        <v>1641</v>
      </c>
    </row>
    <row r="26463" spans="2:9" ht="15" customHeight="1" x14ac:dyDescent="0.25">
      <c r="B26463" s="55" t="s">
        <v>377</v>
      </c>
      <c r="C26463" s="46">
        <v>33</v>
      </c>
      <c r="D26463" s="69" t="s">
        <v>29514</v>
      </c>
      <c r="E26463" s="62"/>
      <c r="F26463" s="62" t="str">
        <f>IF(INDEX(I.Gas.P2aY1C1E3,33)="","",INDEX(I.Gas.P2aY1C1E3,33))</f>
        <v/>
      </c>
      <c r="G26463" s="62"/>
      <c r="H26463" s="46" t="str">
        <f>IF(OR(I.Developer.P2a=FALSE,I.Facility.StandardPart="Part 2"),"Complete",IF(I.Product.P2aGasToPowerStatus&lt;&gt;"Yes","Complete",IF(AND(I.Gas.P2aY1Count&gt;=33,F26463=""),"Incomplete","Complete")))</f>
        <v>Complete</v>
      </c>
      <c r="I26463" s="48" t="s">
        <v>1642</v>
      </c>
    </row>
    <row r="26464" spans="2:9" ht="15" customHeight="1" x14ac:dyDescent="0.25">
      <c r="B26464" s="55" t="s">
        <v>377</v>
      </c>
      <c r="C26464" s="46">
        <v>34</v>
      </c>
      <c r="D26464" s="69" t="s">
        <v>29514</v>
      </c>
      <c r="E26464" s="62"/>
      <c r="F26464" s="62" t="str">
        <f>IF(INDEX(I.Gas.P2aY1C1E3,34)="","",INDEX(I.Gas.P2aY1C1E3,34))</f>
        <v/>
      </c>
      <c r="G26464" s="62"/>
      <c r="H26464" s="46" t="str">
        <f>IF(OR(I.Developer.P2a=FALSE,I.Facility.StandardPart="Part 2"),"Complete",IF(I.Product.P2aGasToPowerStatus&lt;&gt;"Yes","Complete",IF(AND(I.Gas.P2aY1Count&gt;=34,F26464=""),"Incomplete","Complete")))</f>
        <v>Complete</v>
      </c>
      <c r="I26464" s="48" t="s">
        <v>1643</v>
      </c>
    </row>
    <row r="26465" spans="2:9" ht="15" customHeight="1" x14ac:dyDescent="0.25">
      <c r="B26465" s="55" t="s">
        <v>377</v>
      </c>
      <c r="C26465" s="46">
        <v>35</v>
      </c>
      <c r="D26465" s="69" t="s">
        <v>29514</v>
      </c>
      <c r="E26465" s="62"/>
      <c r="F26465" s="62" t="str">
        <f>IF(INDEX(I.Gas.P2aY1C1E3,35)="","",INDEX(I.Gas.P2aY1C1E3,35))</f>
        <v/>
      </c>
      <c r="G26465" s="62"/>
      <c r="H26465" s="46" t="str">
        <f>IF(OR(I.Developer.P2a=FALSE,I.Facility.StandardPart="Part 2"),"Complete",IF(I.Product.P2aGasToPowerStatus&lt;&gt;"Yes","Complete",IF(AND(I.Gas.P2aY1Count&gt;=35,F26465=""),"Incomplete","Complete")))</f>
        <v>Complete</v>
      </c>
      <c r="I26465" s="48" t="s">
        <v>1644</v>
      </c>
    </row>
    <row r="26466" spans="2:9" ht="15" customHeight="1" x14ac:dyDescent="0.25">
      <c r="B26466" s="55" t="s">
        <v>377</v>
      </c>
      <c r="C26466" s="46">
        <v>36</v>
      </c>
      <c r="D26466" s="69" t="s">
        <v>29514</v>
      </c>
      <c r="E26466" s="62"/>
      <c r="F26466" s="62" t="str">
        <f>IF(INDEX(I.Gas.P2aY1C1E3,36)="","",INDEX(I.Gas.P2aY1C1E3,36))</f>
        <v/>
      </c>
      <c r="G26466" s="62"/>
      <c r="H26466" s="46" t="str">
        <f>IF(OR(I.Developer.P2a=FALSE,I.Facility.StandardPart="Part 2"),"Complete",IF(I.Product.P2aGasToPowerStatus&lt;&gt;"Yes","Complete",IF(AND(I.Gas.P2aY1Count&gt;=36,F26466=""),"Incomplete","Complete")))</f>
        <v>Complete</v>
      </c>
      <c r="I26466" s="48" t="s">
        <v>1645</v>
      </c>
    </row>
    <row r="26467" spans="2:9" ht="15" customHeight="1" x14ac:dyDescent="0.25">
      <c r="B26467" s="55" t="s">
        <v>377</v>
      </c>
      <c r="C26467" s="46">
        <v>37</v>
      </c>
      <c r="D26467" s="69" t="s">
        <v>29514</v>
      </c>
      <c r="E26467" s="62"/>
      <c r="F26467" s="62" t="str">
        <f>IF(INDEX(I.Gas.P2aY1C1E3,37)="","",INDEX(I.Gas.P2aY1C1E3,37))</f>
        <v/>
      </c>
      <c r="G26467" s="62"/>
      <c r="H26467" s="46" t="str">
        <f>IF(OR(I.Developer.P2a=FALSE,I.Facility.StandardPart="Part 2"),"Complete",IF(I.Product.P2aGasToPowerStatus&lt;&gt;"Yes","Complete",IF(AND(I.Gas.P2aY1Count&gt;=37,F26467=""),"Incomplete","Complete")))</f>
        <v>Complete</v>
      </c>
      <c r="I26467" s="48" t="s">
        <v>1646</v>
      </c>
    </row>
    <row r="26468" spans="2:9" ht="15" customHeight="1" x14ac:dyDescent="0.25">
      <c r="B26468" s="55" t="s">
        <v>377</v>
      </c>
      <c r="C26468" s="46">
        <v>38</v>
      </c>
      <c r="D26468" s="69" t="s">
        <v>29514</v>
      </c>
      <c r="E26468" s="62"/>
      <c r="F26468" s="62" t="str">
        <f>IF(INDEX(I.Gas.P2aY1C1E3,38)="","",INDEX(I.Gas.P2aY1C1E3,38))</f>
        <v/>
      </c>
      <c r="G26468" s="62"/>
      <c r="H26468" s="46" t="str">
        <f>IF(OR(I.Developer.P2a=FALSE,I.Facility.StandardPart="Part 2"),"Complete",IF(I.Product.P2aGasToPowerStatus&lt;&gt;"Yes","Complete",IF(AND(I.Gas.P2aY1Count&gt;=38,F26468=""),"Incomplete","Complete")))</f>
        <v>Complete</v>
      </c>
      <c r="I26468" s="48" t="s">
        <v>1647</v>
      </c>
    </row>
    <row r="26469" spans="2:9" ht="15" customHeight="1" x14ac:dyDescent="0.25">
      <c r="B26469" s="55" t="s">
        <v>377</v>
      </c>
      <c r="C26469" s="46">
        <v>39</v>
      </c>
      <c r="D26469" s="69" t="s">
        <v>29514</v>
      </c>
      <c r="E26469" s="62"/>
      <c r="F26469" s="62" t="str">
        <f>IF(INDEX(I.Gas.P2aY1C1E3,39)="","",INDEX(I.Gas.P2aY1C1E3,39))</f>
        <v/>
      </c>
      <c r="G26469" s="62"/>
      <c r="H26469" s="46" t="str">
        <f>IF(OR(I.Developer.P2a=FALSE,I.Facility.StandardPart="Part 2"),"Complete",IF(I.Product.P2aGasToPowerStatus&lt;&gt;"Yes","Complete",IF(AND(I.Gas.P2aY1Count&gt;=39,F26469=""),"Incomplete","Complete")))</f>
        <v>Complete</v>
      </c>
      <c r="I26469" s="48" t="s">
        <v>1648</v>
      </c>
    </row>
    <row r="26470" spans="2:9" ht="15" customHeight="1" x14ac:dyDescent="0.25">
      <c r="B26470" s="55" t="s">
        <v>377</v>
      </c>
      <c r="C26470" s="46">
        <v>40</v>
      </c>
      <c r="D26470" s="69" t="s">
        <v>29514</v>
      </c>
      <c r="E26470" s="62"/>
      <c r="F26470" s="62" t="str">
        <f>IF(INDEX(I.Gas.P2aY1C1E3,40)="","",INDEX(I.Gas.P2aY1C1E3,40))</f>
        <v/>
      </c>
      <c r="G26470" s="62"/>
      <c r="H26470" s="46" t="str">
        <f>IF(OR(I.Developer.P2a=FALSE,I.Facility.StandardPart="Part 2"),"Complete",IF(I.Product.P2aGasToPowerStatus&lt;&gt;"Yes","Complete",IF(AND(I.Gas.P2aY1Count&gt;=40,F26470=""),"Incomplete","Complete")))</f>
        <v>Complete</v>
      </c>
      <c r="I26470" s="48" t="s">
        <v>1649</v>
      </c>
    </row>
    <row r="26471" spans="2:9" ht="15" customHeight="1" x14ac:dyDescent="0.25">
      <c r="B26471" s="55" t="s">
        <v>377</v>
      </c>
      <c r="C26471" s="46">
        <v>41</v>
      </c>
      <c r="D26471" s="69" t="s">
        <v>29514</v>
      </c>
      <c r="E26471" s="62"/>
      <c r="F26471" s="62" t="str">
        <f>IF(INDEX(I.Gas.P2aY1C1E3,41)="","",INDEX(I.Gas.P2aY1C1E3,41))</f>
        <v/>
      </c>
      <c r="G26471" s="62"/>
      <c r="H26471" s="46" t="str">
        <f>IF(OR(I.Developer.P2a=FALSE,I.Facility.StandardPart="Part 2"),"Complete",IF(I.Product.P2aGasToPowerStatus&lt;&gt;"Yes","Complete",IF(AND(I.Gas.P2aY1Count&gt;=41,F26471=""),"Incomplete","Complete")))</f>
        <v>Complete</v>
      </c>
      <c r="I26471" s="48" t="s">
        <v>1650</v>
      </c>
    </row>
    <row r="26472" spans="2:9" ht="15" customHeight="1" x14ac:dyDescent="0.25">
      <c r="B26472" s="55" t="s">
        <v>377</v>
      </c>
      <c r="C26472" s="46">
        <v>42</v>
      </c>
      <c r="D26472" s="69" t="s">
        <v>29514</v>
      </c>
      <c r="E26472" s="62"/>
      <c r="F26472" s="62" t="str">
        <f>IF(INDEX(I.Gas.P2aY1C1E3,42)="","",INDEX(I.Gas.P2aY1C1E3,42))</f>
        <v/>
      </c>
      <c r="G26472" s="62"/>
      <c r="H26472" s="46" t="str">
        <f>IF(OR(I.Developer.P2a=FALSE,I.Facility.StandardPart="Part 2"),"Complete",IF(I.Product.P2aGasToPowerStatus&lt;&gt;"Yes","Complete",IF(AND(I.Gas.P2aY1Count&gt;=42,F26472=""),"Incomplete","Complete")))</f>
        <v>Complete</v>
      </c>
      <c r="I26472" s="48" t="s">
        <v>1651</v>
      </c>
    </row>
    <row r="26473" spans="2:9" ht="15" customHeight="1" x14ac:dyDescent="0.25">
      <c r="B26473" s="55" t="s">
        <v>377</v>
      </c>
      <c r="C26473" s="46">
        <v>43</v>
      </c>
      <c r="D26473" s="69" t="s">
        <v>29514</v>
      </c>
      <c r="E26473" s="62"/>
      <c r="F26473" s="62" t="str">
        <f>IF(INDEX(I.Gas.P2aY1C1E3,43)="","",INDEX(I.Gas.P2aY1C1E3,43))</f>
        <v/>
      </c>
      <c r="G26473" s="62"/>
      <c r="H26473" s="46" t="str">
        <f>IF(OR(I.Developer.P2a=FALSE,I.Facility.StandardPart="Part 2"),"Complete",IF(I.Product.P2aGasToPowerStatus&lt;&gt;"Yes","Complete",IF(AND(I.Gas.P2aY1Count&gt;=43,F26473=""),"Incomplete","Complete")))</f>
        <v>Complete</v>
      </c>
      <c r="I26473" s="48" t="s">
        <v>1652</v>
      </c>
    </row>
    <row r="26474" spans="2:9" ht="15" customHeight="1" x14ac:dyDescent="0.25">
      <c r="B26474" s="55" t="s">
        <v>377</v>
      </c>
      <c r="C26474" s="46">
        <v>44</v>
      </c>
      <c r="D26474" s="69" t="s">
        <v>29514</v>
      </c>
      <c r="E26474" s="62"/>
      <c r="F26474" s="62" t="str">
        <f>IF(INDEX(I.Gas.P2aY1C1E3,44)="","",INDEX(I.Gas.P2aY1C1E3,44))</f>
        <v/>
      </c>
      <c r="G26474" s="62"/>
      <c r="H26474" s="46" t="str">
        <f>IF(OR(I.Developer.P2a=FALSE,I.Facility.StandardPart="Part 2"),"Complete",IF(I.Product.P2aGasToPowerStatus&lt;&gt;"Yes","Complete",IF(AND(I.Gas.P2aY1Count&gt;=44,F26474=""),"Incomplete","Complete")))</f>
        <v>Complete</v>
      </c>
      <c r="I26474" s="48" t="s">
        <v>1653</v>
      </c>
    </row>
    <row r="26475" spans="2:9" ht="15" customHeight="1" x14ac:dyDescent="0.25">
      <c r="B26475" s="55" t="s">
        <v>377</v>
      </c>
      <c r="C26475" s="46">
        <v>45</v>
      </c>
      <c r="D26475" s="69" t="s">
        <v>29514</v>
      </c>
      <c r="E26475" s="62"/>
      <c r="F26475" s="62" t="str">
        <f>IF(INDEX(I.Gas.P2aY1C1E3,45)="","",INDEX(I.Gas.P2aY1C1E3,45))</f>
        <v/>
      </c>
      <c r="G26475" s="62"/>
      <c r="H26475" s="46" t="str">
        <f>IF(OR(I.Developer.P2a=FALSE,I.Facility.StandardPart="Part 2"),"Complete",IF(I.Product.P2aGasToPowerStatus&lt;&gt;"Yes","Complete",IF(AND(I.Gas.P2aY1Count&gt;=45,F26475=""),"Incomplete","Complete")))</f>
        <v>Complete</v>
      </c>
      <c r="I26475" s="48" t="s">
        <v>1654</v>
      </c>
    </row>
    <row r="26476" spans="2:9" ht="15" customHeight="1" x14ac:dyDescent="0.25">
      <c r="B26476" s="55" t="s">
        <v>377</v>
      </c>
      <c r="C26476" s="46">
        <v>46</v>
      </c>
      <c r="D26476" s="69" t="s">
        <v>29514</v>
      </c>
      <c r="E26476" s="62"/>
      <c r="F26476" s="62" t="str">
        <f>IF(INDEX(I.Gas.P2aY1C1E3,46)="","",INDEX(I.Gas.P2aY1C1E3,46))</f>
        <v/>
      </c>
      <c r="G26476" s="62"/>
      <c r="H26476" s="46" t="str">
        <f>IF(OR(I.Developer.P2a=FALSE,I.Facility.StandardPart="Part 2"),"Complete",IF(I.Product.P2aGasToPowerStatus&lt;&gt;"Yes","Complete",IF(AND(I.Gas.P2aY1Count&gt;=46,F26476=""),"Incomplete","Complete")))</f>
        <v>Complete</v>
      </c>
      <c r="I26476" s="48" t="s">
        <v>1655</v>
      </c>
    </row>
    <row r="26477" spans="2:9" ht="15" customHeight="1" x14ac:dyDescent="0.25">
      <c r="B26477" s="55" t="s">
        <v>377</v>
      </c>
      <c r="C26477" s="46">
        <v>47</v>
      </c>
      <c r="D26477" s="69" t="s">
        <v>29514</v>
      </c>
      <c r="E26477" s="62"/>
      <c r="F26477" s="62" t="str">
        <f>IF(INDEX(I.Gas.P2aY1C1E3,47)="","",INDEX(I.Gas.P2aY1C1E3,47))</f>
        <v/>
      </c>
      <c r="G26477" s="62"/>
      <c r="H26477" s="46" t="str">
        <f>IF(OR(I.Developer.P2a=FALSE,I.Facility.StandardPart="Part 2"),"Complete",IF(I.Product.P2aGasToPowerStatus&lt;&gt;"Yes","Complete",IF(AND(I.Gas.P2aY1Count&gt;=47,F26477=""),"Incomplete","Complete")))</f>
        <v>Complete</v>
      </c>
      <c r="I26477" s="48" t="s">
        <v>1656</v>
      </c>
    </row>
    <row r="26478" spans="2:9" ht="15" customHeight="1" x14ac:dyDescent="0.25">
      <c r="B26478" s="55" t="s">
        <v>377</v>
      </c>
      <c r="C26478" s="46">
        <v>48</v>
      </c>
      <c r="D26478" s="69" t="s">
        <v>29514</v>
      </c>
      <c r="E26478" s="62"/>
      <c r="F26478" s="62" t="str">
        <f>IF(INDEX(I.Gas.P2aY1C1E3,48)="","",INDEX(I.Gas.P2aY1C1E3,48))</f>
        <v/>
      </c>
      <c r="G26478" s="62"/>
      <c r="H26478" s="46" t="str">
        <f>IF(OR(I.Developer.P2a=FALSE,I.Facility.StandardPart="Part 2"),"Complete",IF(I.Product.P2aGasToPowerStatus&lt;&gt;"Yes","Complete",IF(AND(I.Gas.P2aY1Count&gt;=48,F26478=""),"Incomplete","Complete")))</f>
        <v>Complete</v>
      </c>
      <c r="I26478" s="48" t="s">
        <v>1657</v>
      </c>
    </row>
    <row r="26479" spans="2:9" ht="15" customHeight="1" x14ac:dyDescent="0.25">
      <c r="B26479" s="55" t="s">
        <v>377</v>
      </c>
      <c r="C26479" s="46">
        <v>49</v>
      </c>
      <c r="D26479" s="69" t="s">
        <v>29514</v>
      </c>
      <c r="E26479" s="62"/>
      <c r="F26479" s="62" t="str">
        <f>IF(INDEX(I.Gas.P2aY1C1E3,49)="","",INDEX(I.Gas.P2aY1C1E3,49))</f>
        <v/>
      </c>
      <c r="G26479" s="62"/>
      <c r="H26479" s="46" t="str">
        <f>IF(OR(I.Developer.P2a=FALSE,I.Facility.StandardPart="Part 2"),"Complete",IF(I.Product.P2aGasToPowerStatus&lt;&gt;"Yes","Complete",IF(AND(I.Gas.P2aY1Count&gt;=49,F26479=""),"Incomplete","Complete")))</f>
        <v>Complete</v>
      </c>
      <c r="I26479" s="48" t="s">
        <v>1658</v>
      </c>
    </row>
    <row r="26480" spans="2:9" ht="15" customHeight="1" x14ac:dyDescent="0.25">
      <c r="B26480" s="56" t="s">
        <v>377</v>
      </c>
      <c r="C26480" s="57">
        <v>50</v>
      </c>
      <c r="D26480" s="71" t="s">
        <v>29514</v>
      </c>
      <c r="E26480" s="61"/>
      <c r="F26480" s="61" t="str">
        <f>IF(INDEX(I.Gas.P2aY1C1E3,50)="","",INDEX(I.Gas.P2aY1C1E3,50))</f>
        <v/>
      </c>
      <c r="G26480" s="61"/>
      <c r="H26480" s="57" t="str">
        <f>IF(OR(I.Developer.P2a=FALSE,I.Facility.StandardPart="Part 2"),"Complete",IF(I.Product.P2aGasToPowerStatus&lt;&gt;"Yes","Complete",IF(AND(I.Gas.P2aY1Count&gt;=50,F26480=""),"Incomplete","Complete")))</f>
        <v>Complete</v>
      </c>
      <c r="I26480" s="49" t="s">
        <v>1659</v>
      </c>
    </row>
    <row r="26481" spans="2:9" ht="15" customHeight="1" x14ac:dyDescent="0.25">
      <c r="B26481" s="56" t="s">
        <v>378</v>
      </c>
      <c r="C26481" s="57">
        <v>1</v>
      </c>
      <c r="D26481" s="71" t="s">
        <v>29515</v>
      </c>
      <c r="E26481" s="60"/>
      <c r="F26481" s="60" t="str">
        <f>IF(INDEX(I.Gas.P2aY2Count,1)="","",INDEX(I.Gas.P2aY2Count,1))</f>
        <v/>
      </c>
      <c r="G26481" s="60"/>
      <c r="H26481" s="57" t="str">
        <f>IF(I.Developer.P2a=FALSE,"Complete",IF(I.Product.P2aGasToPowerStatus&lt;&gt;"Yes","Complete",IF(I.Gas.P2aY2Count="","Incomplete","Complete")))</f>
        <v>Complete</v>
      </c>
      <c r="I26481" s="49" t="s">
        <v>1660</v>
      </c>
    </row>
    <row r="26482" spans="2:9" ht="15" customHeight="1" x14ac:dyDescent="0.25">
      <c r="B26482" s="55" t="s">
        <v>379</v>
      </c>
      <c r="C26482" s="46">
        <v>1</v>
      </c>
      <c r="D26482" s="69" t="s">
        <v>29516</v>
      </c>
      <c r="E26482" s="62"/>
      <c r="F26482" s="62" t="str">
        <f>IF(INDEX(I.Gas.P2aY2AssociatedGasEnergy,1)="","",INDEX(I.Gas.P2aY2AssociatedGasEnergy,1))</f>
        <v/>
      </c>
      <c r="G26482" s="62"/>
      <c r="H26482" s="46" t="str">
        <f>IF(I.Developer.P2a=FALSE,"Complete",IF(I.Product.P2aGasToPowerStatus&lt;&gt;"Yes","Complete",IF(AND(I.Gas.P2aY2Count&gt;=1,F26482=""),"Incomplete","Complete")))</f>
        <v>Complete</v>
      </c>
      <c r="I26482" s="48" t="s">
        <v>1661</v>
      </c>
    </row>
    <row r="26483" spans="2:9" ht="15" customHeight="1" x14ac:dyDescent="0.25">
      <c r="B26483" s="55" t="s">
        <v>379</v>
      </c>
      <c r="C26483" s="46">
        <v>2</v>
      </c>
      <c r="D26483" s="69" t="s">
        <v>29516</v>
      </c>
      <c r="E26483" s="62"/>
      <c r="F26483" s="62" t="str">
        <f>IF(INDEX(I.Gas.P2aY2AssociatedGasEnergy,2)="","",INDEX(I.Gas.P2aY2AssociatedGasEnergy,2))</f>
        <v/>
      </c>
      <c r="G26483" s="62"/>
      <c r="H26483" s="46" t="str">
        <f>IF(I.Developer.P2a=FALSE,"Complete",IF(I.Product.P2aGasToPowerStatus&lt;&gt;"Yes","Complete",IF(AND(I.Gas.P2aY2Count&gt;=2,F26483=""),"Incomplete","Complete")))</f>
        <v>Complete</v>
      </c>
      <c r="I26483" s="48" t="s">
        <v>1662</v>
      </c>
    </row>
    <row r="26484" spans="2:9" ht="15" customHeight="1" x14ac:dyDescent="0.25">
      <c r="B26484" s="55" t="s">
        <v>379</v>
      </c>
      <c r="C26484" s="46">
        <v>3</v>
      </c>
      <c r="D26484" s="69" t="s">
        <v>29516</v>
      </c>
      <c r="E26484" s="62"/>
      <c r="F26484" s="62" t="str">
        <f>IF(INDEX(I.Gas.P2aY2AssociatedGasEnergy,3)="","",INDEX(I.Gas.P2aY2AssociatedGasEnergy,3))</f>
        <v/>
      </c>
      <c r="G26484" s="62"/>
      <c r="H26484" s="46" t="str">
        <f>IF(I.Developer.P2a=FALSE,"Complete",IF(I.Product.P2aGasToPowerStatus&lt;&gt;"Yes","Complete",IF(AND(I.Gas.P2aY2Count&gt;=3,F26484=""),"Incomplete","Complete")))</f>
        <v>Complete</v>
      </c>
      <c r="I26484" s="48" t="s">
        <v>1663</v>
      </c>
    </row>
    <row r="26485" spans="2:9" ht="15" customHeight="1" x14ac:dyDescent="0.25">
      <c r="B26485" s="55" t="s">
        <v>379</v>
      </c>
      <c r="C26485" s="46">
        <v>4</v>
      </c>
      <c r="D26485" s="69" t="s">
        <v>29516</v>
      </c>
      <c r="E26485" s="62"/>
      <c r="F26485" s="62" t="str">
        <f>IF(INDEX(I.Gas.P2aY2AssociatedGasEnergy,4)="","",INDEX(I.Gas.P2aY2AssociatedGasEnergy,4))</f>
        <v/>
      </c>
      <c r="G26485" s="62"/>
      <c r="H26485" s="46" t="str">
        <f>IF(I.Developer.P2a=FALSE,"Complete",IF(I.Product.P2aGasToPowerStatus&lt;&gt;"Yes","Complete",IF(AND(I.Gas.P2aY2Count&gt;=4,F26485=""),"Incomplete","Complete")))</f>
        <v>Complete</v>
      </c>
      <c r="I26485" s="48" t="s">
        <v>1664</v>
      </c>
    </row>
    <row r="26486" spans="2:9" ht="15" customHeight="1" x14ac:dyDescent="0.25">
      <c r="B26486" s="55" t="s">
        <v>379</v>
      </c>
      <c r="C26486" s="46">
        <v>5</v>
      </c>
      <c r="D26486" s="69" t="s">
        <v>29516</v>
      </c>
      <c r="E26486" s="62"/>
      <c r="F26486" s="62" t="str">
        <f>IF(INDEX(I.Gas.P2aY2AssociatedGasEnergy,5)="","",INDEX(I.Gas.P2aY2AssociatedGasEnergy,5))</f>
        <v/>
      </c>
      <c r="G26486" s="62"/>
      <c r="H26486" s="46" t="str">
        <f>IF(I.Developer.P2a=FALSE,"Complete",IF(I.Product.P2aGasToPowerStatus&lt;&gt;"Yes","Complete",IF(AND(I.Gas.P2aY2Count&gt;=5,F26486=""),"Incomplete","Complete")))</f>
        <v>Complete</v>
      </c>
      <c r="I26486" s="48" t="s">
        <v>1665</v>
      </c>
    </row>
    <row r="26487" spans="2:9" ht="15" customHeight="1" x14ac:dyDescent="0.25">
      <c r="B26487" s="55" t="s">
        <v>379</v>
      </c>
      <c r="C26487" s="46">
        <v>6</v>
      </c>
      <c r="D26487" s="69" t="s">
        <v>29516</v>
      </c>
      <c r="E26487" s="62"/>
      <c r="F26487" s="62" t="str">
        <f>IF(INDEX(I.Gas.P2aY2AssociatedGasEnergy,6)="","",INDEX(I.Gas.P2aY2AssociatedGasEnergy,6))</f>
        <v/>
      </c>
      <c r="G26487" s="62"/>
      <c r="H26487" s="46" t="str">
        <f>IF(I.Developer.P2a=FALSE,"Complete",IF(I.Product.P2aGasToPowerStatus&lt;&gt;"Yes","Complete",IF(AND(I.Gas.P2aY2Count&gt;=6,F26487=""),"Incomplete","Complete")))</f>
        <v>Complete</v>
      </c>
      <c r="I26487" s="48" t="s">
        <v>1666</v>
      </c>
    </row>
    <row r="26488" spans="2:9" ht="15" customHeight="1" x14ac:dyDescent="0.25">
      <c r="B26488" s="55" t="s">
        <v>379</v>
      </c>
      <c r="C26488" s="46">
        <v>7</v>
      </c>
      <c r="D26488" s="69" t="s">
        <v>29516</v>
      </c>
      <c r="E26488" s="62"/>
      <c r="F26488" s="62" t="str">
        <f>IF(INDEX(I.Gas.P2aY2AssociatedGasEnergy,7)="","",INDEX(I.Gas.P2aY2AssociatedGasEnergy,7))</f>
        <v/>
      </c>
      <c r="G26488" s="62"/>
      <c r="H26488" s="46" t="str">
        <f>IF(I.Developer.P2a=FALSE,"Complete",IF(I.Product.P2aGasToPowerStatus&lt;&gt;"Yes","Complete",IF(AND(I.Gas.P2aY2Count&gt;=7,F26488=""),"Incomplete","Complete")))</f>
        <v>Complete</v>
      </c>
      <c r="I26488" s="48" t="s">
        <v>1667</v>
      </c>
    </row>
    <row r="26489" spans="2:9" ht="15" customHeight="1" x14ac:dyDescent="0.25">
      <c r="B26489" s="55" t="s">
        <v>379</v>
      </c>
      <c r="C26489" s="46">
        <v>8</v>
      </c>
      <c r="D26489" s="69" t="s">
        <v>29516</v>
      </c>
      <c r="E26489" s="62"/>
      <c r="F26489" s="62" t="str">
        <f>IF(INDEX(I.Gas.P2aY2AssociatedGasEnergy,8)="","",INDEX(I.Gas.P2aY2AssociatedGasEnergy,8))</f>
        <v/>
      </c>
      <c r="G26489" s="62"/>
      <c r="H26489" s="46" t="str">
        <f>IF(I.Developer.P2a=FALSE,"Complete",IF(I.Product.P2aGasToPowerStatus&lt;&gt;"Yes","Complete",IF(AND(I.Gas.P2aY2Count&gt;=8,F26489=""),"Incomplete","Complete")))</f>
        <v>Complete</v>
      </c>
      <c r="I26489" s="48" t="s">
        <v>1668</v>
      </c>
    </row>
    <row r="26490" spans="2:9" ht="15" customHeight="1" x14ac:dyDescent="0.25">
      <c r="B26490" s="55" t="s">
        <v>379</v>
      </c>
      <c r="C26490" s="46">
        <v>9</v>
      </c>
      <c r="D26490" s="69" t="s">
        <v>29516</v>
      </c>
      <c r="E26490" s="62"/>
      <c r="F26490" s="62" t="str">
        <f>IF(INDEX(I.Gas.P2aY2AssociatedGasEnergy,9)="","",INDEX(I.Gas.P2aY2AssociatedGasEnergy,9))</f>
        <v/>
      </c>
      <c r="G26490" s="62"/>
      <c r="H26490" s="46" t="str">
        <f>IF(I.Developer.P2a=FALSE,"Complete",IF(I.Product.P2aGasToPowerStatus&lt;&gt;"Yes","Complete",IF(AND(I.Gas.P2aY2Count&gt;=9,F26490=""),"Incomplete","Complete")))</f>
        <v>Complete</v>
      </c>
      <c r="I26490" s="48" t="s">
        <v>1669</v>
      </c>
    </row>
    <row r="26491" spans="2:9" ht="15" customHeight="1" x14ac:dyDescent="0.25">
      <c r="B26491" s="55" t="s">
        <v>379</v>
      </c>
      <c r="C26491" s="46">
        <v>10</v>
      </c>
      <c r="D26491" s="69" t="s">
        <v>29516</v>
      </c>
      <c r="E26491" s="62"/>
      <c r="F26491" s="62" t="str">
        <f>IF(INDEX(I.Gas.P2aY2AssociatedGasEnergy,10)="","",INDEX(I.Gas.P2aY2AssociatedGasEnergy,10))</f>
        <v/>
      </c>
      <c r="G26491" s="62"/>
      <c r="H26491" s="46" t="str">
        <f>IF(I.Developer.P2a=FALSE,"Complete",IF(I.Product.P2aGasToPowerStatus&lt;&gt;"Yes","Complete",IF(AND(I.Gas.P2aY2Count&gt;=10,F26491=""),"Incomplete","Complete")))</f>
        <v>Complete</v>
      </c>
      <c r="I26491" s="48" t="s">
        <v>1670</v>
      </c>
    </row>
    <row r="26492" spans="2:9" ht="15" customHeight="1" x14ac:dyDescent="0.25">
      <c r="B26492" s="55" t="s">
        <v>379</v>
      </c>
      <c r="C26492" s="46">
        <v>11</v>
      </c>
      <c r="D26492" s="69" t="s">
        <v>29516</v>
      </c>
      <c r="E26492" s="62"/>
      <c r="F26492" s="62" t="str">
        <f>IF(INDEX(I.Gas.P2aY2AssociatedGasEnergy,11)="","",INDEX(I.Gas.P2aY2AssociatedGasEnergy,11))</f>
        <v/>
      </c>
      <c r="G26492" s="62"/>
      <c r="H26492" s="46" t="str">
        <f>IF(I.Developer.P2a=FALSE,"Complete",IF(I.Product.P2aGasToPowerStatus&lt;&gt;"Yes","Complete",IF(AND(I.Gas.P2aY2Count&gt;=11,F26492=""),"Incomplete","Complete")))</f>
        <v>Complete</v>
      </c>
      <c r="I26492" s="48" t="s">
        <v>1671</v>
      </c>
    </row>
    <row r="26493" spans="2:9" ht="15" customHeight="1" x14ac:dyDescent="0.25">
      <c r="B26493" s="55" t="s">
        <v>379</v>
      </c>
      <c r="C26493" s="46">
        <v>12</v>
      </c>
      <c r="D26493" s="69" t="s">
        <v>29516</v>
      </c>
      <c r="E26493" s="62"/>
      <c r="F26493" s="62" t="str">
        <f>IF(INDEX(I.Gas.P2aY2AssociatedGasEnergy,12)="","",INDEX(I.Gas.P2aY2AssociatedGasEnergy,12))</f>
        <v/>
      </c>
      <c r="G26493" s="62"/>
      <c r="H26493" s="46" t="str">
        <f>IF(I.Developer.P2a=FALSE,"Complete",IF(I.Product.P2aGasToPowerStatus&lt;&gt;"Yes","Complete",IF(AND(I.Gas.P2aY2Count&gt;=12,F26493=""),"Incomplete","Complete")))</f>
        <v>Complete</v>
      </c>
      <c r="I26493" s="48" t="s">
        <v>1672</v>
      </c>
    </row>
    <row r="26494" spans="2:9" ht="15" customHeight="1" x14ac:dyDescent="0.25">
      <c r="B26494" s="55" t="s">
        <v>379</v>
      </c>
      <c r="C26494" s="46">
        <v>13</v>
      </c>
      <c r="D26494" s="69" t="s">
        <v>29516</v>
      </c>
      <c r="E26494" s="62"/>
      <c r="F26494" s="62" t="str">
        <f>IF(INDEX(I.Gas.P2aY2AssociatedGasEnergy,13)="","",INDEX(I.Gas.P2aY2AssociatedGasEnergy,13))</f>
        <v/>
      </c>
      <c r="G26494" s="62"/>
      <c r="H26494" s="46" t="str">
        <f>IF(I.Developer.P2a=FALSE,"Complete",IF(I.Product.P2aGasToPowerStatus&lt;&gt;"Yes","Complete",IF(AND(I.Gas.P2aY2Count&gt;=13,F26494=""),"Incomplete","Complete")))</f>
        <v>Complete</v>
      </c>
      <c r="I26494" s="48" t="s">
        <v>1673</v>
      </c>
    </row>
    <row r="26495" spans="2:9" ht="15" customHeight="1" x14ac:dyDescent="0.25">
      <c r="B26495" s="55" t="s">
        <v>379</v>
      </c>
      <c r="C26495" s="46">
        <v>14</v>
      </c>
      <c r="D26495" s="69" t="s">
        <v>29516</v>
      </c>
      <c r="E26495" s="62"/>
      <c r="F26495" s="62" t="str">
        <f>IF(INDEX(I.Gas.P2aY2AssociatedGasEnergy,14)="","",INDEX(I.Gas.P2aY2AssociatedGasEnergy,14))</f>
        <v/>
      </c>
      <c r="G26495" s="62"/>
      <c r="H26495" s="46" t="str">
        <f>IF(I.Developer.P2a=FALSE,"Complete",IF(I.Product.P2aGasToPowerStatus&lt;&gt;"Yes","Complete",IF(AND(I.Gas.P2aY2Count&gt;=14,F26495=""),"Incomplete","Complete")))</f>
        <v>Complete</v>
      </c>
      <c r="I26495" s="48" t="s">
        <v>1674</v>
      </c>
    </row>
    <row r="26496" spans="2:9" ht="15" customHeight="1" x14ac:dyDescent="0.25">
      <c r="B26496" s="55" t="s">
        <v>379</v>
      </c>
      <c r="C26496" s="46">
        <v>15</v>
      </c>
      <c r="D26496" s="69" t="s">
        <v>29516</v>
      </c>
      <c r="E26496" s="62"/>
      <c r="F26496" s="62" t="str">
        <f>IF(INDEX(I.Gas.P2aY2AssociatedGasEnergy,15)="","",INDEX(I.Gas.P2aY2AssociatedGasEnergy,15))</f>
        <v/>
      </c>
      <c r="G26496" s="62"/>
      <c r="H26496" s="46" t="str">
        <f>IF(I.Developer.P2a=FALSE,"Complete",IF(I.Product.P2aGasToPowerStatus&lt;&gt;"Yes","Complete",IF(AND(I.Gas.P2aY2Count&gt;=15,F26496=""),"Incomplete","Complete")))</f>
        <v>Complete</v>
      </c>
      <c r="I26496" s="48" t="s">
        <v>1675</v>
      </c>
    </row>
    <row r="26497" spans="2:9" ht="15" customHeight="1" x14ac:dyDescent="0.25">
      <c r="B26497" s="55" t="s">
        <v>379</v>
      </c>
      <c r="C26497" s="46">
        <v>16</v>
      </c>
      <c r="D26497" s="69" t="s">
        <v>29516</v>
      </c>
      <c r="E26497" s="62"/>
      <c r="F26497" s="62" t="str">
        <f>IF(INDEX(I.Gas.P2aY2AssociatedGasEnergy,16)="","",INDEX(I.Gas.P2aY2AssociatedGasEnergy,16))</f>
        <v/>
      </c>
      <c r="G26497" s="62"/>
      <c r="H26497" s="46" t="str">
        <f>IF(I.Developer.P2a=FALSE,"Complete",IF(I.Product.P2aGasToPowerStatus&lt;&gt;"Yes","Complete",IF(AND(I.Gas.P2aY2Count&gt;=16,F26497=""),"Incomplete","Complete")))</f>
        <v>Complete</v>
      </c>
      <c r="I26497" s="48" t="s">
        <v>1676</v>
      </c>
    </row>
    <row r="26498" spans="2:9" ht="15" customHeight="1" x14ac:dyDescent="0.25">
      <c r="B26498" s="55" t="s">
        <v>379</v>
      </c>
      <c r="C26498" s="46">
        <v>17</v>
      </c>
      <c r="D26498" s="69" t="s">
        <v>29516</v>
      </c>
      <c r="E26498" s="62"/>
      <c r="F26498" s="62" t="str">
        <f>IF(INDEX(I.Gas.P2aY2AssociatedGasEnergy,17)="","",INDEX(I.Gas.P2aY2AssociatedGasEnergy,17))</f>
        <v/>
      </c>
      <c r="G26498" s="62"/>
      <c r="H26498" s="46" t="str">
        <f>IF(I.Developer.P2a=FALSE,"Complete",IF(I.Product.P2aGasToPowerStatus&lt;&gt;"Yes","Complete",IF(AND(I.Gas.P2aY2Count&gt;=17,F26498=""),"Incomplete","Complete")))</f>
        <v>Complete</v>
      </c>
      <c r="I26498" s="48" t="s">
        <v>1677</v>
      </c>
    </row>
    <row r="26499" spans="2:9" ht="15" customHeight="1" x14ac:dyDescent="0.25">
      <c r="B26499" s="55" t="s">
        <v>379</v>
      </c>
      <c r="C26499" s="46">
        <v>18</v>
      </c>
      <c r="D26499" s="69" t="s">
        <v>29516</v>
      </c>
      <c r="E26499" s="62"/>
      <c r="F26499" s="62" t="str">
        <f>IF(INDEX(I.Gas.P2aY2AssociatedGasEnergy,18)="","",INDEX(I.Gas.P2aY2AssociatedGasEnergy,18))</f>
        <v/>
      </c>
      <c r="G26499" s="62"/>
      <c r="H26499" s="46" t="str">
        <f>IF(I.Developer.P2a=FALSE,"Complete",IF(I.Product.P2aGasToPowerStatus&lt;&gt;"Yes","Complete",IF(AND(I.Gas.P2aY2Count&gt;=18,F26499=""),"Incomplete","Complete")))</f>
        <v>Complete</v>
      </c>
      <c r="I26499" s="48" t="s">
        <v>1678</v>
      </c>
    </row>
    <row r="26500" spans="2:9" ht="15" customHeight="1" x14ac:dyDescent="0.25">
      <c r="B26500" s="55" t="s">
        <v>379</v>
      </c>
      <c r="C26500" s="46">
        <v>19</v>
      </c>
      <c r="D26500" s="69" t="s">
        <v>29516</v>
      </c>
      <c r="E26500" s="62"/>
      <c r="F26500" s="62" t="str">
        <f>IF(INDEX(I.Gas.P2aY2AssociatedGasEnergy,19)="","",INDEX(I.Gas.P2aY2AssociatedGasEnergy,19))</f>
        <v/>
      </c>
      <c r="G26500" s="62"/>
      <c r="H26500" s="46" t="str">
        <f>IF(I.Developer.P2a=FALSE,"Complete",IF(I.Product.P2aGasToPowerStatus&lt;&gt;"Yes","Complete",IF(AND(I.Gas.P2aY2Count&gt;=19,F26500=""),"Incomplete","Complete")))</f>
        <v>Complete</v>
      </c>
      <c r="I26500" s="48" t="s">
        <v>1679</v>
      </c>
    </row>
    <row r="26501" spans="2:9" ht="15" customHeight="1" x14ac:dyDescent="0.25">
      <c r="B26501" s="55" t="s">
        <v>379</v>
      </c>
      <c r="C26501" s="46">
        <v>20</v>
      </c>
      <c r="D26501" s="69" t="s">
        <v>29516</v>
      </c>
      <c r="E26501" s="62"/>
      <c r="F26501" s="62" t="str">
        <f>IF(INDEX(I.Gas.P2aY2AssociatedGasEnergy,20)="","",INDEX(I.Gas.P2aY2AssociatedGasEnergy,20))</f>
        <v/>
      </c>
      <c r="G26501" s="62"/>
      <c r="H26501" s="46" t="str">
        <f>IF(I.Developer.P2a=FALSE,"Complete",IF(I.Product.P2aGasToPowerStatus&lt;&gt;"Yes","Complete",IF(AND(I.Gas.P2aY2Count&gt;=20,F26501=""),"Incomplete","Complete")))</f>
        <v>Complete</v>
      </c>
      <c r="I26501" s="48" t="s">
        <v>1680</v>
      </c>
    </row>
    <row r="26502" spans="2:9" ht="15" customHeight="1" x14ac:dyDescent="0.25">
      <c r="B26502" s="55" t="s">
        <v>379</v>
      </c>
      <c r="C26502" s="46">
        <v>21</v>
      </c>
      <c r="D26502" s="69" t="s">
        <v>29516</v>
      </c>
      <c r="E26502" s="62"/>
      <c r="F26502" s="62" t="str">
        <f>IF(INDEX(I.Gas.P2aY2AssociatedGasEnergy,21)="","",INDEX(I.Gas.P2aY2AssociatedGasEnergy,21))</f>
        <v/>
      </c>
      <c r="G26502" s="62"/>
      <c r="H26502" s="46" t="str">
        <f>IF(I.Developer.P2a=FALSE,"Complete",IF(I.Product.P2aGasToPowerStatus&lt;&gt;"Yes","Complete",IF(AND(I.Gas.P2aY2Count&gt;=21,F26502=""),"Incomplete","Complete")))</f>
        <v>Complete</v>
      </c>
      <c r="I26502" s="48" t="s">
        <v>1681</v>
      </c>
    </row>
    <row r="26503" spans="2:9" ht="15" customHeight="1" x14ac:dyDescent="0.25">
      <c r="B26503" s="55" t="s">
        <v>379</v>
      </c>
      <c r="C26503" s="46">
        <v>22</v>
      </c>
      <c r="D26503" s="69" t="s">
        <v>29516</v>
      </c>
      <c r="E26503" s="62"/>
      <c r="F26503" s="62" t="str">
        <f>IF(INDEX(I.Gas.P2aY2AssociatedGasEnergy,22)="","",INDEX(I.Gas.P2aY2AssociatedGasEnergy,22))</f>
        <v/>
      </c>
      <c r="G26503" s="62"/>
      <c r="H26503" s="46" t="str">
        <f>IF(I.Developer.P2a=FALSE,"Complete",IF(I.Product.P2aGasToPowerStatus&lt;&gt;"Yes","Complete",IF(AND(I.Gas.P2aY2Count&gt;=22,F26503=""),"Incomplete","Complete")))</f>
        <v>Complete</v>
      </c>
      <c r="I26503" s="48" t="s">
        <v>1682</v>
      </c>
    </row>
    <row r="26504" spans="2:9" ht="15" customHeight="1" x14ac:dyDescent="0.25">
      <c r="B26504" s="55" t="s">
        <v>379</v>
      </c>
      <c r="C26504" s="46">
        <v>23</v>
      </c>
      <c r="D26504" s="69" t="s">
        <v>29516</v>
      </c>
      <c r="E26504" s="62"/>
      <c r="F26504" s="62" t="str">
        <f>IF(INDEX(I.Gas.P2aY2AssociatedGasEnergy,23)="","",INDEX(I.Gas.P2aY2AssociatedGasEnergy,23))</f>
        <v/>
      </c>
      <c r="G26504" s="62"/>
      <c r="H26504" s="46" t="str">
        <f>IF(I.Developer.P2a=FALSE,"Complete",IF(I.Product.P2aGasToPowerStatus&lt;&gt;"Yes","Complete",IF(AND(I.Gas.P2aY2Count&gt;=23,F26504=""),"Incomplete","Complete")))</f>
        <v>Complete</v>
      </c>
      <c r="I26504" s="48" t="s">
        <v>1683</v>
      </c>
    </row>
    <row r="26505" spans="2:9" ht="15" customHeight="1" x14ac:dyDescent="0.25">
      <c r="B26505" s="55" t="s">
        <v>379</v>
      </c>
      <c r="C26505" s="46">
        <v>24</v>
      </c>
      <c r="D26505" s="69" t="s">
        <v>29516</v>
      </c>
      <c r="E26505" s="62"/>
      <c r="F26505" s="62" t="str">
        <f>IF(INDEX(I.Gas.P2aY2AssociatedGasEnergy,24)="","",INDEX(I.Gas.P2aY2AssociatedGasEnergy,24))</f>
        <v/>
      </c>
      <c r="G26505" s="62"/>
      <c r="H26505" s="46" t="str">
        <f>IF(I.Developer.P2a=FALSE,"Complete",IF(I.Product.P2aGasToPowerStatus&lt;&gt;"Yes","Complete",IF(AND(I.Gas.P2aY2Count&gt;=24,F26505=""),"Incomplete","Complete")))</f>
        <v>Complete</v>
      </c>
      <c r="I26505" s="48" t="s">
        <v>1684</v>
      </c>
    </row>
    <row r="26506" spans="2:9" ht="15" customHeight="1" x14ac:dyDescent="0.25">
      <c r="B26506" s="55" t="s">
        <v>379</v>
      </c>
      <c r="C26506" s="46">
        <v>25</v>
      </c>
      <c r="D26506" s="69" t="s">
        <v>29516</v>
      </c>
      <c r="E26506" s="62"/>
      <c r="F26506" s="62" t="str">
        <f>IF(INDEX(I.Gas.P2aY2AssociatedGasEnergy,25)="","",INDEX(I.Gas.P2aY2AssociatedGasEnergy,25))</f>
        <v/>
      </c>
      <c r="G26506" s="62"/>
      <c r="H26506" s="46" t="str">
        <f>IF(I.Developer.P2a=FALSE,"Complete",IF(I.Product.P2aGasToPowerStatus&lt;&gt;"Yes","Complete",IF(AND(I.Gas.P2aY2Count&gt;=25,F26506=""),"Incomplete","Complete")))</f>
        <v>Complete</v>
      </c>
      <c r="I26506" s="48" t="s">
        <v>1685</v>
      </c>
    </row>
    <row r="26507" spans="2:9" ht="15" customHeight="1" x14ac:dyDescent="0.25">
      <c r="B26507" s="55" t="s">
        <v>379</v>
      </c>
      <c r="C26507" s="46">
        <v>26</v>
      </c>
      <c r="D26507" s="69" t="s">
        <v>29516</v>
      </c>
      <c r="E26507" s="62"/>
      <c r="F26507" s="62" t="str">
        <f>IF(INDEX(I.Gas.P2aY2AssociatedGasEnergy,26)="","",INDEX(I.Gas.P2aY2AssociatedGasEnergy,26))</f>
        <v/>
      </c>
      <c r="G26507" s="62"/>
      <c r="H26507" s="46" t="str">
        <f>IF(I.Developer.P2a=FALSE,"Complete",IF(I.Product.P2aGasToPowerStatus&lt;&gt;"Yes","Complete",IF(AND(I.Gas.P2aY2Count&gt;=26,F26507=""),"Incomplete","Complete")))</f>
        <v>Complete</v>
      </c>
      <c r="I26507" s="48" t="s">
        <v>1686</v>
      </c>
    </row>
    <row r="26508" spans="2:9" ht="15" customHeight="1" x14ac:dyDescent="0.25">
      <c r="B26508" s="55" t="s">
        <v>379</v>
      </c>
      <c r="C26508" s="46">
        <v>27</v>
      </c>
      <c r="D26508" s="69" t="s">
        <v>29516</v>
      </c>
      <c r="E26508" s="62"/>
      <c r="F26508" s="62" t="str">
        <f>IF(INDEX(I.Gas.P2aY2AssociatedGasEnergy,27)="","",INDEX(I.Gas.P2aY2AssociatedGasEnergy,27))</f>
        <v/>
      </c>
      <c r="G26508" s="62"/>
      <c r="H26508" s="46" t="str">
        <f>IF(I.Developer.P2a=FALSE,"Complete",IF(I.Product.P2aGasToPowerStatus&lt;&gt;"Yes","Complete",IF(AND(I.Gas.P2aY2Count&gt;=27,F26508=""),"Incomplete","Complete")))</f>
        <v>Complete</v>
      </c>
      <c r="I26508" s="48" t="s">
        <v>1687</v>
      </c>
    </row>
    <row r="26509" spans="2:9" ht="15" customHeight="1" x14ac:dyDescent="0.25">
      <c r="B26509" s="55" t="s">
        <v>379</v>
      </c>
      <c r="C26509" s="46">
        <v>28</v>
      </c>
      <c r="D26509" s="69" t="s">
        <v>29516</v>
      </c>
      <c r="E26509" s="62"/>
      <c r="F26509" s="62" t="str">
        <f>IF(INDEX(I.Gas.P2aY2AssociatedGasEnergy,28)="","",INDEX(I.Gas.P2aY2AssociatedGasEnergy,28))</f>
        <v/>
      </c>
      <c r="G26509" s="62"/>
      <c r="H26509" s="46" t="str">
        <f>IF(I.Developer.P2a=FALSE,"Complete",IF(I.Product.P2aGasToPowerStatus&lt;&gt;"Yes","Complete",IF(AND(I.Gas.P2aY2Count&gt;=28,F26509=""),"Incomplete","Complete")))</f>
        <v>Complete</v>
      </c>
      <c r="I26509" s="48" t="s">
        <v>1688</v>
      </c>
    </row>
    <row r="26510" spans="2:9" ht="15" customHeight="1" x14ac:dyDescent="0.25">
      <c r="B26510" s="55" t="s">
        <v>379</v>
      </c>
      <c r="C26510" s="46">
        <v>29</v>
      </c>
      <c r="D26510" s="69" t="s">
        <v>29516</v>
      </c>
      <c r="E26510" s="62"/>
      <c r="F26510" s="62" t="str">
        <f>IF(INDEX(I.Gas.P2aY2AssociatedGasEnergy,29)="","",INDEX(I.Gas.P2aY2AssociatedGasEnergy,29))</f>
        <v/>
      </c>
      <c r="G26510" s="62"/>
      <c r="H26510" s="46" t="str">
        <f>IF(I.Developer.P2a=FALSE,"Complete",IF(I.Product.P2aGasToPowerStatus&lt;&gt;"Yes","Complete",IF(AND(I.Gas.P2aY2Count&gt;=29,F26510=""),"Incomplete","Complete")))</f>
        <v>Complete</v>
      </c>
      <c r="I26510" s="48" t="s">
        <v>1689</v>
      </c>
    </row>
    <row r="26511" spans="2:9" ht="15" customHeight="1" x14ac:dyDescent="0.25">
      <c r="B26511" s="55" t="s">
        <v>379</v>
      </c>
      <c r="C26511" s="46">
        <v>30</v>
      </c>
      <c r="D26511" s="69" t="s">
        <v>29516</v>
      </c>
      <c r="E26511" s="62"/>
      <c r="F26511" s="62" t="str">
        <f>IF(INDEX(I.Gas.P2aY2AssociatedGasEnergy,30)="","",INDEX(I.Gas.P2aY2AssociatedGasEnergy,30))</f>
        <v/>
      </c>
      <c r="G26511" s="62"/>
      <c r="H26511" s="46" t="str">
        <f>IF(I.Developer.P2a=FALSE,"Complete",IF(I.Product.P2aGasToPowerStatus&lt;&gt;"Yes","Complete",IF(AND(I.Gas.P2aY2Count&gt;=30,F26511=""),"Incomplete","Complete")))</f>
        <v>Complete</v>
      </c>
      <c r="I26511" s="48" t="s">
        <v>1690</v>
      </c>
    </row>
    <row r="26512" spans="2:9" ht="15" customHeight="1" x14ac:dyDescent="0.25">
      <c r="B26512" s="55" t="s">
        <v>379</v>
      </c>
      <c r="C26512" s="46">
        <v>31</v>
      </c>
      <c r="D26512" s="69" t="s">
        <v>29516</v>
      </c>
      <c r="E26512" s="62"/>
      <c r="F26512" s="62" t="str">
        <f>IF(INDEX(I.Gas.P2aY2AssociatedGasEnergy,31)="","",INDEX(I.Gas.P2aY2AssociatedGasEnergy,31))</f>
        <v/>
      </c>
      <c r="G26512" s="62"/>
      <c r="H26512" s="46" t="str">
        <f>IF(I.Developer.P2a=FALSE,"Complete",IF(I.Product.P2aGasToPowerStatus&lt;&gt;"Yes","Complete",IF(AND(I.Gas.P2aY2Count&gt;=31,F26512=""),"Incomplete","Complete")))</f>
        <v>Complete</v>
      </c>
      <c r="I26512" s="48" t="s">
        <v>1691</v>
      </c>
    </row>
    <row r="26513" spans="2:9" ht="15" customHeight="1" x14ac:dyDescent="0.25">
      <c r="B26513" s="55" t="s">
        <v>379</v>
      </c>
      <c r="C26513" s="46">
        <v>32</v>
      </c>
      <c r="D26513" s="69" t="s">
        <v>29516</v>
      </c>
      <c r="E26513" s="62"/>
      <c r="F26513" s="62" t="str">
        <f>IF(INDEX(I.Gas.P2aY2AssociatedGasEnergy,32)="","",INDEX(I.Gas.P2aY2AssociatedGasEnergy,32))</f>
        <v/>
      </c>
      <c r="G26513" s="62"/>
      <c r="H26513" s="46" t="str">
        <f>IF(I.Developer.P2a=FALSE,"Complete",IF(I.Product.P2aGasToPowerStatus&lt;&gt;"Yes","Complete",IF(AND(I.Gas.P2aY2Count&gt;=32,F26513=""),"Incomplete","Complete")))</f>
        <v>Complete</v>
      </c>
      <c r="I26513" s="48" t="s">
        <v>1692</v>
      </c>
    </row>
    <row r="26514" spans="2:9" ht="15" customHeight="1" x14ac:dyDescent="0.25">
      <c r="B26514" s="55" t="s">
        <v>379</v>
      </c>
      <c r="C26514" s="46">
        <v>33</v>
      </c>
      <c r="D26514" s="69" t="s">
        <v>29516</v>
      </c>
      <c r="E26514" s="62"/>
      <c r="F26514" s="62" t="str">
        <f>IF(INDEX(I.Gas.P2aY2AssociatedGasEnergy,33)="","",INDEX(I.Gas.P2aY2AssociatedGasEnergy,33))</f>
        <v/>
      </c>
      <c r="G26514" s="62"/>
      <c r="H26514" s="46" t="str">
        <f>IF(I.Developer.P2a=FALSE,"Complete",IF(I.Product.P2aGasToPowerStatus&lt;&gt;"Yes","Complete",IF(AND(I.Gas.P2aY2Count&gt;=33,F26514=""),"Incomplete","Complete")))</f>
        <v>Complete</v>
      </c>
      <c r="I26514" s="48" t="s">
        <v>1693</v>
      </c>
    </row>
    <row r="26515" spans="2:9" ht="15" customHeight="1" x14ac:dyDescent="0.25">
      <c r="B26515" s="55" t="s">
        <v>379</v>
      </c>
      <c r="C26515" s="46">
        <v>34</v>
      </c>
      <c r="D26515" s="69" t="s">
        <v>29516</v>
      </c>
      <c r="E26515" s="62"/>
      <c r="F26515" s="62" t="str">
        <f>IF(INDEX(I.Gas.P2aY2AssociatedGasEnergy,34)="","",INDEX(I.Gas.P2aY2AssociatedGasEnergy,34))</f>
        <v/>
      </c>
      <c r="G26515" s="62"/>
      <c r="H26515" s="46" t="str">
        <f>IF(I.Developer.P2a=FALSE,"Complete",IF(I.Product.P2aGasToPowerStatus&lt;&gt;"Yes","Complete",IF(AND(I.Gas.P2aY2Count&gt;=34,F26515=""),"Incomplete","Complete")))</f>
        <v>Complete</v>
      </c>
      <c r="I26515" s="48" t="s">
        <v>1694</v>
      </c>
    </row>
    <row r="26516" spans="2:9" ht="15" customHeight="1" x14ac:dyDescent="0.25">
      <c r="B26516" s="55" t="s">
        <v>379</v>
      </c>
      <c r="C26516" s="46">
        <v>35</v>
      </c>
      <c r="D26516" s="69" t="s">
        <v>29516</v>
      </c>
      <c r="E26516" s="62"/>
      <c r="F26516" s="62" t="str">
        <f>IF(INDEX(I.Gas.P2aY2AssociatedGasEnergy,35)="","",INDEX(I.Gas.P2aY2AssociatedGasEnergy,35))</f>
        <v/>
      </c>
      <c r="G26516" s="62"/>
      <c r="H26516" s="46" t="str">
        <f>IF(I.Developer.P2a=FALSE,"Complete",IF(I.Product.P2aGasToPowerStatus&lt;&gt;"Yes","Complete",IF(AND(I.Gas.P2aY2Count&gt;=35,F26516=""),"Incomplete","Complete")))</f>
        <v>Complete</v>
      </c>
      <c r="I26516" s="48" t="s">
        <v>1695</v>
      </c>
    </row>
    <row r="26517" spans="2:9" ht="15" customHeight="1" x14ac:dyDescent="0.25">
      <c r="B26517" s="55" t="s">
        <v>379</v>
      </c>
      <c r="C26517" s="46">
        <v>36</v>
      </c>
      <c r="D26517" s="69" t="s">
        <v>29516</v>
      </c>
      <c r="E26517" s="62"/>
      <c r="F26517" s="62" t="str">
        <f>IF(INDEX(I.Gas.P2aY2AssociatedGasEnergy,36)="","",INDEX(I.Gas.P2aY2AssociatedGasEnergy,36))</f>
        <v/>
      </c>
      <c r="G26517" s="62"/>
      <c r="H26517" s="46" t="str">
        <f>IF(I.Developer.P2a=FALSE,"Complete",IF(I.Product.P2aGasToPowerStatus&lt;&gt;"Yes","Complete",IF(AND(I.Gas.P2aY2Count&gt;=36,F26517=""),"Incomplete","Complete")))</f>
        <v>Complete</v>
      </c>
      <c r="I26517" s="48" t="s">
        <v>1696</v>
      </c>
    </row>
    <row r="26518" spans="2:9" ht="15" customHeight="1" x14ac:dyDescent="0.25">
      <c r="B26518" s="55" t="s">
        <v>379</v>
      </c>
      <c r="C26518" s="46">
        <v>37</v>
      </c>
      <c r="D26518" s="69" t="s">
        <v>29516</v>
      </c>
      <c r="E26518" s="62"/>
      <c r="F26518" s="62" t="str">
        <f>IF(INDEX(I.Gas.P2aY2AssociatedGasEnergy,37)="","",INDEX(I.Gas.P2aY2AssociatedGasEnergy,37))</f>
        <v/>
      </c>
      <c r="G26518" s="62"/>
      <c r="H26518" s="46" t="str">
        <f>IF(I.Developer.P2a=FALSE,"Complete",IF(I.Product.P2aGasToPowerStatus&lt;&gt;"Yes","Complete",IF(AND(I.Gas.P2aY2Count&gt;=37,F26518=""),"Incomplete","Complete")))</f>
        <v>Complete</v>
      </c>
      <c r="I26518" s="48" t="s">
        <v>1697</v>
      </c>
    </row>
    <row r="26519" spans="2:9" ht="15" customHeight="1" x14ac:dyDescent="0.25">
      <c r="B26519" s="55" t="s">
        <v>379</v>
      </c>
      <c r="C26519" s="46">
        <v>38</v>
      </c>
      <c r="D26519" s="69" t="s">
        <v>29516</v>
      </c>
      <c r="E26519" s="62"/>
      <c r="F26519" s="62" t="str">
        <f>IF(INDEX(I.Gas.P2aY2AssociatedGasEnergy,38)="","",INDEX(I.Gas.P2aY2AssociatedGasEnergy,38))</f>
        <v/>
      </c>
      <c r="G26519" s="62"/>
      <c r="H26519" s="46" t="str">
        <f>IF(I.Developer.P2a=FALSE,"Complete",IF(I.Product.P2aGasToPowerStatus&lt;&gt;"Yes","Complete",IF(AND(I.Gas.P2aY2Count&gt;=38,F26519=""),"Incomplete","Complete")))</f>
        <v>Complete</v>
      </c>
      <c r="I26519" s="48" t="s">
        <v>1698</v>
      </c>
    </row>
    <row r="26520" spans="2:9" ht="15" customHeight="1" x14ac:dyDescent="0.25">
      <c r="B26520" s="55" t="s">
        <v>379</v>
      </c>
      <c r="C26520" s="46">
        <v>39</v>
      </c>
      <c r="D26520" s="69" t="s">
        <v>29516</v>
      </c>
      <c r="E26520" s="62"/>
      <c r="F26520" s="62" t="str">
        <f>IF(INDEX(I.Gas.P2aY2AssociatedGasEnergy,39)="","",INDEX(I.Gas.P2aY2AssociatedGasEnergy,39))</f>
        <v/>
      </c>
      <c r="G26520" s="62"/>
      <c r="H26520" s="46" t="str">
        <f>IF(I.Developer.P2a=FALSE,"Complete",IF(I.Product.P2aGasToPowerStatus&lt;&gt;"Yes","Complete",IF(AND(I.Gas.P2aY2Count&gt;=39,F26520=""),"Incomplete","Complete")))</f>
        <v>Complete</v>
      </c>
      <c r="I26520" s="48" t="s">
        <v>1699</v>
      </c>
    </row>
    <row r="26521" spans="2:9" ht="15" customHeight="1" x14ac:dyDescent="0.25">
      <c r="B26521" s="55" t="s">
        <v>379</v>
      </c>
      <c r="C26521" s="46">
        <v>40</v>
      </c>
      <c r="D26521" s="69" t="s">
        <v>29516</v>
      </c>
      <c r="E26521" s="62"/>
      <c r="F26521" s="62" t="str">
        <f>IF(INDEX(I.Gas.P2aY2AssociatedGasEnergy,40)="","",INDEX(I.Gas.P2aY2AssociatedGasEnergy,40))</f>
        <v/>
      </c>
      <c r="G26521" s="62"/>
      <c r="H26521" s="46" t="str">
        <f>IF(I.Developer.P2a=FALSE,"Complete",IF(I.Product.P2aGasToPowerStatus&lt;&gt;"Yes","Complete",IF(AND(I.Gas.P2aY2Count&gt;=40,F26521=""),"Incomplete","Complete")))</f>
        <v>Complete</v>
      </c>
      <c r="I26521" s="48" t="s">
        <v>1700</v>
      </c>
    </row>
    <row r="26522" spans="2:9" ht="15" customHeight="1" x14ac:dyDescent="0.25">
      <c r="B26522" s="55" t="s">
        <v>379</v>
      </c>
      <c r="C26522" s="46">
        <v>41</v>
      </c>
      <c r="D26522" s="69" t="s">
        <v>29516</v>
      </c>
      <c r="E26522" s="62"/>
      <c r="F26522" s="62" t="str">
        <f>IF(INDEX(I.Gas.P2aY2AssociatedGasEnergy,41)="","",INDEX(I.Gas.P2aY2AssociatedGasEnergy,41))</f>
        <v/>
      </c>
      <c r="G26522" s="62"/>
      <c r="H26522" s="46" t="str">
        <f>IF(I.Developer.P2a=FALSE,"Complete",IF(I.Product.P2aGasToPowerStatus&lt;&gt;"Yes","Complete",IF(AND(I.Gas.P2aY2Count&gt;=41,F26522=""),"Incomplete","Complete")))</f>
        <v>Complete</v>
      </c>
      <c r="I26522" s="48" t="s">
        <v>1701</v>
      </c>
    </row>
    <row r="26523" spans="2:9" ht="15" customHeight="1" x14ac:dyDescent="0.25">
      <c r="B26523" s="55" t="s">
        <v>379</v>
      </c>
      <c r="C26523" s="46">
        <v>42</v>
      </c>
      <c r="D26523" s="69" t="s">
        <v>29516</v>
      </c>
      <c r="E26523" s="62"/>
      <c r="F26523" s="62" t="str">
        <f>IF(INDEX(I.Gas.P2aY2AssociatedGasEnergy,42)="","",INDEX(I.Gas.P2aY2AssociatedGasEnergy,42))</f>
        <v/>
      </c>
      <c r="G26523" s="62"/>
      <c r="H26523" s="46" t="str">
        <f>IF(I.Developer.P2a=FALSE,"Complete",IF(I.Product.P2aGasToPowerStatus&lt;&gt;"Yes","Complete",IF(AND(I.Gas.P2aY2Count&gt;=42,F26523=""),"Incomplete","Complete")))</f>
        <v>Complete</v>
      </c>
      <c r="I26523" s="48" t="s">
        <v>1702</v>
      </c>
    </row>
    <row r="26524" spans="2:9" ht="15" customHeight="1" x14ac:dyDescent="0.25">
      <c r="B26524" s="55" t="s">
        <v>379</v>
      </c>
      <c r="C26524" s="46">
        <v>43</v>
      </c>
      <c r="D26524" s="69" t="s">
        <v>29516</v>
      </c>
      <c r="E26524" s="62"/>
      <c r="F26524" s="62" t="str">
        <f>IF(INDEX(I.Gas.P2aY2AssociatedGasEnergy,43)="","",INDEX(I.Gas.P2aY2AssociatedGasEnergy,43))</f>
        <v/>
      </c>
      <c r="G26524" s="62"/>
      <c r="H26524" s="46" t="str">
        <f>IF(I.Developer.P2a=FALSE,"Complete",IF(I.Product.P2aGasToPowerStatus&lt;&gt;"Yes","Complete",IF(AND(I.Gas.P2aY2Count&gt;=43,F26524=""),"Incomplete","Complete")))</f>
        <v>Complete</v>
      </c>
      <c r="I26524" s="48" t="s">
        <v>1703</v>
      </c>
    </row>
    <row r="26525" spans="2:9" ht="15" customHeight="1" x14ac:dyDescent="0.25">
      <c r="B26525" s="55" t="s">
        <v>379</v>
      </c>
      <c r="C26525" s="46">
        <v>44</v>
      </c>
      <c r="D26525" s="69" t="s">
        <v>29516</v>
      </c>
      <c r="E26525" s="62"/>
      <c r="F26525" s="62" t="str">
        <f>IF(INDEX(I.Gas.P2aY2AssociatedGasEnergy,44)="","",INDEX(I.Gas.P2aY2AssociatedGasEnergy,44))</f>
        <v/>
      </c>
      <c r="G26525" s="62"/>
      <c r="H26525" s="46" t="str">
        <f>IF(I.Developer.P2a=FALSE,"Complete",IF(I.Product.P2aGasToPowerStatus&lt;&gt;"Yes","Complete",IF(AND(I.Gas.P2aY2Count&gt;=44,F26525=""),"Incomplete","Complete")))</f>
        <v>Complete</v>
      </c>
      <c r="I26525" s="48" t="s">
        <v>1704</v>
      </c>
    </row>
    <row r="26526" spans="2:9" ht="15" customHeight="1" x14ac:dyDescent="0.25">
      <c r="B26526" s="55" t="s">
        <v>379</v>
      </c>
      <c r="C26526" s="46">
        <v>45</v>
      </c>
      <c r="D26526" s="69" t="s">
        <v>29516</v>
      </c>
      <c r="E26526" s="62"/>
      <c r="F26526" s="62" t="str">
        <f>IF(INDEX(I.Gas.P2aY2AssociatedGasEnergy,45)="","",INDEX(I.Gas.P2aY2AssociatedGasEnergy,45))</f>
        <v/>
      </c>
      <c r="G26526" s="62"/>
      <c r="H26526" s="46" t="str">
        <f>IF(I.Developer.P2a=FALSE,"Complete",IF(I.Product.P2aGasToPowerStatus&lt;&gt;"Yes","Complete",IF(AND(I.Gas.P2aY2Count&gt;=45,F26526=""),"Incomplete","Complete")))</f>
        <v>Complete</v>
      </c>
      <c r="I26526" s="48" t="s">
        <v>1705</v>
      </c>
    </row>
    <row r="26527" spans="2:9" ht="15" customHeight="1" x14ac:dyDescent="0.25">
      <c r="B26527" s="55" t="s">
        <v>379</v>
      </c>
      <c r="C26527" s="46">
        <v>46</v>
      </c>
      <c r="D26527" s="69" t="s">
        <v>29516</v>
      </c>
      <c r="E26527" s="62"/>
      <c r="F26527" s="62" t="str">
        <f>IF(INDEX(I.Gas.P2aY2AssociatedGasEnergy,46)="","",INDEX(I.Gas.P2aY2AssociatedGasEnergy,46))</f>
        <v/>
      </c>
      <c r="G26527" s="62"/>
      <c r="H26527" s="46" t="str">
        <f>IF(I.Developer.P2a=FALSE,"Complete",IF(I.Product.P2aGasToPowerStatus&lt;&gt;"Yes","Complete",IF(AND(I.Gas.P2aY2Count&gt;=46,F26527=""),"Incomplete","Complete")))</f>
        <v>Complete</v>
      </c>
      <c r="I26527" s="48" t="s">
        <v>1706</v>
      </c>
    </row>
    <row r="26528" spans="2:9" ht="15" customHeight="1" x14ac:dyDescent="0.25">
      <c r="B26528" s="55" t="s">
        <v>379</v>
      </c>
      <c r="C26528" s="46">
        <v>47</v>
      </c>
      <c r="D26528" s="69" t="s">
        <v>29516</v>
      </c>
      <c r="E26528" s="62"/>
      <c r="F26528" s="62" t="str">
        <f>IF(INDEX(I.Gas.P2aY2AssociatedGasEnergy,47)="","",INDEX(I.Gas.P2aY2AssociatedGasEnergy,47))</f>
        <v/>
      </c>
      <c r="G26528" s="62"/>
      <c r="H26528" s="46" t="str">
        <f>IF(I.Developer.P2a=FALSE,"Complete",IF(I.Product.P2aGasToPowerStatus&lt;&gt;"Yes","Complete",IF(AND(I.Gas.P2aY2Count&gt;=47,F26528=""),"Incomplete","Complete")))</f>
        <v>Complete</v>
      </c>
      <c r="I26528" s="48" t="s">
        <v>1707</v>
      </c>
    </row>
    <row r="26529" spans="2:9" ht="15" customHeight="1" x14ac:dyDescent="0.25">
      <c r="B26529" s="55" t="s">
        <v>379</v>
      </c>
      <c r="C26529" s="46">
        <v>48</v>
      </c>
      <c r="D26529" s="69" t="s">
        <v>29516</v>
      </c>
      <c r="E26529" s="62"/>
      <c r="F26529" s="62" t="str">
        <f>IF(INDEX(I.Gas.P2aY2AssociatedGasEnergy,48)="","",INDEX(I.Gas.P2aY2AssociatedGasEnergy,48))</f>
        <v/>
      </c>
      <c r="G26529" s="62"/>
      <c r="H26529" s="46" t="str">
        <f>IF(I.Developer.P2a=FALSE,"Complete",IF(I.Product.P2aGasToPowerStatus&lt;&gt;"Yes","Complete",IF(AND(I.Gas.P2aY2Count&gt;=48,F26529=""),"Incomplete","Complete")))</f>
        <v>Complete</v>
      </c>
      <c r="I26529" s="48" t="s">
        <v>1708</v>
      </c>
    </row>
    <row r="26530" spans="2:9" ht="15" customHeight="1" x14ac:dyDescent="0.25">
      <c r="B26530" s="55" t="s">
        <v>379</v>
      </c>
      <c r="C26530" s="46">
        <v>49</v>
      </c>
      <c r="D26530" s="69" t="s">
        <v>29516</v>
      </c>
      <c r="E26530" s="62"/>
      <c r="F26530" s="62" t="str">
        <f>IF(INDEX(I.Gas.P2aY2AssociatedGasEnergy,49)="","",INDEX(I.Gas.P2aY2AssociatedGasEnergy,49))</f>
        <v/>
      </c>
      <c r="G26530" s="62"/>
      <c r="H26530" s="46" t="str">
        <f>IF(I.Developer.P2a=FALSE,"Complete",IF(I.Product.P2aGasToPowerStatus&lt;&gt;"Yes","Complete",IF(AND(I.Gas.P2aY2Count&gt;=49,F26530=""),"Incomplete","Complete")))</f>
        <v>Complete</v>
      </c>
      <c r="I26530" s="48" t="s">
        <v>1709</v>
      </c>
    </row>
    <row r="26531" spans="2:9" ht="15" customHeight="1" x14ac:dyDescent="0.25">
      <c r="B26531" s="56" t="s">
        <v>379</v>
      </c>
      <c r="C26531" s="57">
        <v>50</v>
      </c>
      <c r="D26531" s="71" t="s">
        <v>29516</v>
      </c>
      <c r="E26531" s="61"/>
      <c r="F26531" s="61" t="str">
        <f>IF(INDEX(I.Gas.P2aY2AssociatedGasEnergy,50)="","",INDEX(I.Gas.P2aY2AssociatedGasEnergy,50))</f>
        <v/>
      </c>
      <c r="G26531" s="61"/>
      <c r="H26531" s="57" t="str">
        <f>IF(I.Developer.P2a=FALSE,"Complete",IF(I.Product.P2aGasToPowerStatus&lt;&gt;"Yes","Complete",IF(AND(I.Gas.P2aY2Count&gt;=50,F26531=""),"Incomplete","Complete")))</f>
        <v>Complete</v>
      </c>
      <c r="I26531" s="49" t="s">
        <v>1710</v>
      </c>
    </row>
    <row r="26532" spans="2:9" ht="15" customHeight="1" x14ac:dyDescent="0.25">
      <c r="B26532" s="55" t="s">
        <v>380</v>
      </c>
      <c r="C26532" s="46">
        <v>1</v>
      </c>
      <c r="D26532" s="69" t="s">
        <v>29517</v>
      </c>
      <c r="E26532" s="62"/>
      <c r="F26532" s="62" t="str">
        <f>IF(INDEX(I.Gas.P2aY2TotalGasEnergy,1)="","",INDEX(I.Gas.P2aY2TotalGasEnergy,1))</f>
        <v/>
      </c>
      <c r="G26532" s="62"/>
      <c r="H26532" s="46" t="str">
        <f>IF(I.Developer.P2a=FALSE,"Complete",IF(I.Product.P2aGasToPowerStatus&lt;&gt;"Yes","Complete",IF(AND(I.Gas.P2aY2Count&gt;=1,F26532=""),"Incomplete","Complete")))</f>
        <v>Complete</v>
      </c>
      <c r="I26532" s="48" t="s">
        <v>1711</v>
      </c>
    </row>
    <row r="26533" spans="2:9" ht="15" customHeight="1" x14ac:dyDescent="0.25">
      <c r="B26533" s="55" t="s">
        <v>380</v>
      </c>
      <c r="C26533" s="46">
        <v>2</v>
      </c>
      <c r="D26533" s="69" t="s">
        <v>29517</v>
      </c>
      <c r="E26533" s="62"/>
      <c r="F26533" s="62" t="str">
        <f>IF(INDEX(I.Gas.P2aY2TotalGasEnergy,2)="","",INDEX(I.Gas.P2aY2TotalGasEnergy,2))</f>
        <v/>
      </c>
      <c r="G26533" s="62"/>
      <c r="H26533" s="46" t="str">
        <f>IF(I.Developer.P2a=FALSE,"Complete",IF(I.Product.P2aGasToPowerStatus&lt;&gt;"Yes","Complete",IF(AND(I.Gas.P2aY2Count&gt;=2,F26533=""),"Incomplete","Complete")))</f>
        <v>Complete</v>
      </c>
      <c r="I26533" s="48" t="s">
        <v>1712</v>
      </c>
    </row>
    <row r="26534" spans="2:9" ht="15" customHeight="1" x14ac:dyDescent="0.25">
      <c r="B26534" s="55" t="s">
        <v>380</v>
      </c>
      <c r="C26534" s="46">
        <v>3</v>
      </c>
      <c r="D26534" s="69" t="s">
        <v>29517</v>
      </c>
      <c r="E26534" s="62"/>
      <c r="F26534" s="62" t="str">
        <f>IF(INDEX(I.Gas.P2aY2TotalGasEnergy,3)="","",INDEX(I.Gas.P2aY2TotalGasEnergy,3))</f>
        <v/>
      </c>
      <c r="G26534" s="62"/>
      <c r="H26534" s="46" t="str">
        <f>IF(I.Developer.P2a=FALSE,"Complete",IF(I.Product.P2aGasToPowerStatus&lt;&gt;"Yes","Complete",IF(AND(I.Gas.P2aY2Count&gt;=3,F26534=""),"Incomplete","Complete")))</f>
        <v>Complete</v>
      </c>
      <c r="I26534" s="48" t="s">
        <v>1713</v>
      </c>
    </row>
    <row r="26535" spans="2:9" ht="15" customHeight="1" x14ac:dyDescent="0.25">
      <c r="B26535" s="55" t="s">
        <v>380</v>
      </c>
      <c r="C26535" s="46">
        <v>4</v>
      </c>
      <c r="D26535" s="69" t="s">
        <v>29517</v>
      </c>
      <c r="E26535" s="62"/>
      <c r="F26535" s="62" t="str">
        <f>IF(INDEX(I.Gas.P2aY2TotalGasEnergy,4)="","",INDEX(I.Gas.P2aY2TotalGasEnergy,4))</f>
        <v/>
      </c>
      <c r="G26535" s="62"/>
      <c r="H26535" s="46" t="str">
        <f>IF(I.Developer.P2a=FALSE,"Complete",IF(I.Product.P2aGasToPowerStatus&lt;&gt;"Yes","Complete",IF(AND(I.Gas.P2aY2Count&gt;=4,F26535=""),"Incomplete","Complete")))</f>
        <v>Complete</v>
      </c>
      <c r="I26535" s="48" t="s">
        <v>1714</v>
      </c>
    </row>
    <row r="26536" spans="2:9" ht="15" customHeight="1" x14ac:dyDescent="0.25">
      <c r="B26536" s="55" t="s">
        <v>380</v>
      </c>
      <c r="C26536" s="46">
        <v>5</v>
      </c>
      <c r="D26536" s="69" t="s">
        <v>29517</v>
      </c>
      <c r="E26536" s="62"/>
      <c r="F26536" s="62" t="str">
        <f>IF(INDEX(I.Gas.P2aY2TotalGasEnergy,5)="","",INDEX(I.Gas.P2aY2TotalGasEnergy,5))</f>
        <v/>
      </c>
      <c r="G26536" s="62"/>
      <c r="H26536" s="46" t="str">
        <f>IF(I.Developer.P2a=FALSE,"Complete",IF(I.Product.P2aGasToPowerStatus&lt;&gt;"Yes","Complete",IF(AND(I.Gas.P2aY2Count&gt;=5,F26536=""),"Incomplete","Complete")))</f>
        <v>Complete</v>
      </c>
      <c r="I26536" s="48" t="s">
        <v>1715</v>
      </c>
    </row>
    <row r="26537" spans="2:9" ht="15" customHeight="1" x14ac:dyDescent="0.25">
      <c r="B26537" s="55" t="s">
        <v>380</v>
      </c>
      <c r="C26537" s="46">
        <v>6</v>
      </c>
      <c r="D26537" s="69" t="s">
        <v>29517</v>
      </c>
      <c r="E26537" s="62"/>
      <c r="F26537" s="62" t="str">
        <f>IF(INDEX(I.Gas.P2aY2TotalGasEnergy,6)="","",INDEX(I.Gas.P2aY2TotalGasEnergy,6))</f>
        <v/>
      </c>
      <c r="G26537" s="62"/>
      <c r="H26537" s="46" t="str">
        <f>IF(I.Developer.P2a=FALSE,"Complete",IF(I.Product.P2aGasToPowerStatus&lt;&gt;"Yes","Complete",IF(AND(I.Gas.P2aY2Count&gt;=6,F26537=""),"Incomplete","Complete")))</f>
        <v>Complete</v>
      </c>
      <c r="I26537" s="48" t="s">
        <v>1716</v>
      </c>
    </row>
    <row r="26538" spans="2:9" ht="15" customHeight="1" x14ac:dyDescent="0.25">
      <c r="B26538" s="55" t="s">
        <v>380</v>
      </c>
      <c r="C26538" s="46">
        <v>7</v>
      </c>
      <c r="D26538" s="69" t="s">
        <v>29517</v>
      </c>
      <c r="E26538" s="62"/>
      <c r="F26538" s="62" t="str">
        <f>IF(INDEX(I.Gas.P2aY2TotalGasEnergy,7)="","",INDEX(I.Gas.P2aY2TotalGasEnergy,7))</f>
        <v/>
      </c>
      <c r="G26538" s="62"/>
      <c r="H26538" s="46" t="str">
        <f>IF(I.Developer.P2a=FALSE,"Complete",IF(I.Product.P2aGasToPowerStatus&lt;&gt;"Yes","Complete",IF(AND(I.Gas.P2aY2Count&gt;=7,F26538=""),"Incomplete","Complete")))</f>
        <v>Complete</v>
      </c>
      <c r="I26538" s="48" t="s">
        <v>1717</v>
      </c>
    </row>
    <row r="26539" spans="2:9" ht="15" customHeight="1" x14ac:dyDescent="0.25">
      <c r="B26539" s="55" t="s">
        <v>380</v>
      </c>
      <c r="C26539" s="46">
        <v>8</v>
      </c>
      <c r="D26539" s="69" t="s">
        <v>29517</v>
      </c>
      <c r="E26539" s="62"/>
      <c r="F26539" s="62" t="str">
        <f>IF(INDEX(I.Gas.P2aY2TotalGasEnergy,8)="","",INDEX(I.Gas.P2aY2TotalGasEnergy,8))</f>
        <v/>
      </c>
      <c r="G26539" s="62"/>
      <c r="H26539" s="46" t="str">
        <f>IF(I.Developer.P2a=FALSE,"Complete",IF(I.Product.P2aGasToPowerStatus&lt;&gt;"Yes","Complete",IF(AND(I.Gas.P2aY2Count&gt;=8,F26539=""),"Incomplete","Complete")))</f>
        <v>Complete</v>
      </c>
      <c r="I26539" s="48" t="s">
        <v>1718</v>
      </c>
    </row>
    <row r="26540" spans="2:9" ht="15" customHeight="1" x14ac:dyDescent="0.25">
      <c r="B26540" s="55" t="s">
        <v>380</v>
      </c>
      <c r="C26540" s="46">
        <v>9</v>
      </c>
      <c r="D26540" s="69" t="s">
        <v>29517</v>
      </c>
      <c r="E26540" s="62"/>
      <c r="F26540" s="62" t="str">
        <f>IF(INDEX(I.Gas.P2aY2TotalGasEnergy,9)="","",INDEX(I.Gas.P2aY2TotalGasEnergy,9))</f>
        <v/>
      </c>
      <c r="G26540" s="62"/>
      <c r="H26540" s="46" t="str">
        <f>IF(I.Developer.P2a=FALSE,"Complete",IF(I.Product.P2aGasToPowerStatus&lt;&gt;"Yes","Complete",IF(AND(I.Gas.P2aY2Count&gt;=9,F26540=""),"Incomplete","Complete")))</f>
        <v>Complete</v>
      </c>
      <c r="I26540" s="48" t="s">
        <v>1719</v>
      </c>
    </row>
    <row r="26541" spans="2:9" ht="15" customHeight="1" x14ac:dyDescent="0.25">
      <c r="B26541" s="55" t="s">
        <v>380</v>
      </c>
      <c r="C26541" s="46">
        <v>10</v>
      </c>
      <c r="D26541" s="69" t="s">
        <v>29517</v>
      </c>
      <c r="E26541" s="62"/>
      <c r="F26541" s="62" t="str">
        <f>IF(INDEX(I.Gas.P2aY2TotalGasEnergy,10)="","",INDEX(I.Gas.P2aY2TotalGasEnergy,10))</f>
        <v/>
      </c>
      <c r="G26541" s="62"/>
      <c r="H26541" s="46" t="str">
        <f>IF(I.Developer.P2a=FALSE,"Complete",IF(I.Product.P2aGasToPowerStatus&lt;&gt;"Yes","Complete",IF(AND(I.Gas.P2aY2Count&gt;=10,F26541=""),"Incomplete","Complete")))</f>
        <v>Complete</v>
      </c>
      <c r="I26541" s="48" t="s">
        <v>1720</v>
      </c>
    </row>
    <row r="26542" spans="2:9" ht="15" customHeight="1" x14ac:dyDescent="0.25">
      <c r="B26542" s="55" t="s">
        <v>380</v>
      </c>
      <c r="C26542" s="46">
        <v>11</v>
      </c>
      <c r="D26542" s="69" t="s">
        <v>29517</v>
      </c>
      <c r="E26542" s="62"/>
      <c r="F26542" s="62" t="str">
        <f>IF(INDEX(I.Gas.P2aY2TotalGasEnergy,11)="","",INDEX(I.Gas.P2aY2TotalGasEnergy,11))</f>
        <v/>
      </c>
      <c r="G26542" s="62"/>
      <c r="H26542" s="46" t="str">
        <f>IF(I.Developer.P2a=FALSE,"Complete",IF(I.Product.P2aGasToPowerStatus&lt;&gt;"Yes","Complete",IF(AND(I.Gas.P2aY2Count&gt;=11,F26542=""),"Incomplete","Complete")))</f>
        <v>Complete</v>
      </c>
      <c r="I26542" s="48" t="s">
        <v>1721</v>
      </c>
    </row>
    <row r="26543" spans="2:9" ht="15" customHeight="1" x14ac:dyDescent="0.25">
      <c r="B26543" s="55" t="s">
        <v>380</v>
      </c>
      <c r="C26543" s="46">
        <v>12</v>
      </c>
      <c r="D26543" s="69" t="s">
        <v>29517</v>
      </c>
      <c r="E26543" s="62"/>
      <c r="F26543" s="62" t="str">
        <f>IF(INDEX(I.Gas.P2aY2TotalGasEnergy,12)="","",INDEX(I.Gas.P2aY2TotalGasEnergy,12))</f>
        <v/>
      </c>
      <c r="G26543" s="62"/>
      <c r="H26543" s="46" t="str">
        <f>IF(I.Developer.P2a=FALSE,"Complete",IF(I.Product.P2aGasToPowerStatus&lt;&gt;"Yes","Complete",IF(AND(I.Gas.P2aY2Count&gt;=12,F26543=""),"Incomplete","Complete")))</f>
        <v>Complete</v>
      </c>
      <c r="I26543" s="48" t="s">
        <v>1722</v>
      </c>
    </row>
    <row r="26544" spans="2:9" ht="15" customHeight="1" x14ac:dyDescent="0.25">
      <c r="B26544" s="55" t="s">
        <v>380</v>
      </c>
      <c r="C26544" s="46">
        <v>13</v>
      </c>
      <c r="D26544" s="69" t="s">
        <v>29517</v>
      </c>
      <c r="E26544" s="62"/>
      <c r="F26544" s="62" t="str">
        <f>IF(INDEX(I.Gas.P2aY2TotalGasEnergy,13)="","",INDEX(I.Gas.P2aY2TotalGasEnergy,13))</f>
        <v/>
      </c>
      <c r="G26544" s="62"/>
      <c r="H26544" s="46" t="str">
        <f>IF(I.Developer.P2a=FALSE,"Complete",IF(I.Product.P2aGasToPowerStatus&lt;&gt;"Yes","Complete",IF(AND(I.Gas.P2aY2Count&gt;=13,F26544=""),"Incomplete","Complete")))</f>
        <v>Complete</v>
      </c>
      <c r="I26544" s="48" t="s">
        <v>1723</v>
      </c>
    </row>
    <row r="26545" spans="2:9" ht="15" customHeight="1" x14ac:dyDescent="0.25">
      <c r="B26545" s="55" t="s">
        <v>380</v>
      </c>
      <c r="C26545" s="46">
        <v>14</v>
      </c>
      <c r="D26545" s="69" t="s">
        <v>29517</v>
      </c>
      <c r="E26545" s="62"/>
      <c r="F26545" s="62" t="str">
        <f>IF(INDEX(I.Gas.P2aY2TotalGasEnergy,14)="","",INDEX(I.Gas.P2aY2TotalGasEnergy,14))</f>
        <v/>
      </c>
      <c r="G26545" s="62"/>
      <c r="H26545" s="46" t="str">
        <f>IF(I.Developer.P2a=FALSE,"Complete",IF(I.Product.P2aGasToPowerStatus&lt;&gt;"Yes","Complete",IF(AND(I.Gas.P2aY2Count&gt;=14,F26545=""),"Incomplete","Complete")))</f>
        <v>Complete</v>
      </c>
      <c r="I26545" s="48" t="s">
        <v>1724</v>
      </c>
    </row>
    <row r="26546" spans="2:9" ht="15" customHeight="1" x14ac:dyDescent="0.25">
      <c r="B26546" s="55" t="s">
        <v>380</v>
      </c>
      <c r="C26546" s="46">
        <v>15</v>
      </c>
      <c r="D26546" s="69" t="s">
        <v>29517</v>
      </c>
      <c r="E26546" s="62"/>
      <c r="F26546" s="62" t="str">
        <f>IF(INDEX(I.Gas.P2aY2TotalGasEnergy,15)="","",INDEX(I.Gas.P2aY2TotalGasEnergy,15))</f>
        <v/>
      </c>
      <c r="G26546" s="62"/>
      <c r="H26546" s="46" t="str">
        <f>IF(I.Developer.P2a=FALSE,"Complete",IF(I.Product.P2aGasToPowerStatus&lt;&gt;"Yes","Complete",IF(AND(I.Gas.P2aY2Count&gt;=15,F26546=""),"Incomplete","Complete")))</f>
        <v>Complete</v>
      </c>
      <c r="I26546" s="48" t="s">
        <v>1725</v>
      </c>
    </row>
    <row r="26547" spans="2:9" ht="15" customHeight="1" x14ac:dyDescent="0.25">
      <c r="B26547" s="55" t="s">
        <v>380</v>
      </c>
      <c r="C26547" s="46">
        <v>16</v>
      </c>
      <c r="D26547" s="69" t="s">
        <v>29517</v>
      </c>
      <c r="E26547" s="62"/>
      <c r="F26547" s="62" t="str">
        <f>IF(INDEX(I.Gas.P2aY2TotalGasEnergy,16)="","",INDEX(I.Gas.P2aY2TotalGasEnergy,16))</f>
        <v/>
      </c>
      <c r="G26547" s="62"/>
      <c r="H26547" s="46" t="str">
        <f>IF(I.Developer.P2a=FALSE,"Complete",IF(I.Product.P2aGasToPowerStatus&lt;&gt;"Yes","Complete",IF(AND(I.Gas.P2aY2Count&gt;=16,F26547=""),"Incomplete","Complete")))</f>
        <v>Complete</v>
      </c>
      <c r="I26547" s="48" t="s">
        <v>1726</v>
      </c>
    </row>
    <row r="26548" spans="2:9" ht="15" customHeight="1" x14ac:dyDescent="0.25">
      <c r="B26548" s="55" t="s">
        <v>380</v>
      </c>
      <c r="C26548" s="46">
        <v>17</v>
      </c>
      <c r="D26548" s="69" t="s">
        <v>29517</v>
      </c>
      <c r="E26548" s="62"/>
      <c r="F26548" s="62" t="str">
        <f>IF(INDEX(I.Gas.P2aY2TotalGasEnergy,17)="","",INDEX(I.Gas.P2aY2TotalGasEnergy,17))</f>
        <v/>
      </c>
      <c r="G26548" s="62"/>
      <c r="H26548" s="46" t="str">
        <f>IF(I.Developer.P2a=FALSE,"Complete",IF(I.Product.P2aGasToPowerStatus&lt;&gt;"Yes","Complete",IF(AND(I.Gas.P2aY2Count&gt;=17,F26548=""),"Incomplete","Complete")))</f>
        <v>Complete</v>
      </c>
      <c r="I26548" s="48" t="s">
        <v>1727</v>
      </c>
    </row>
    <row r="26549" spans="2:9" ht="15" customHeight="1" x14ac:dyDescent="0.25">
      <c r="B26549" s="55" t="s">
        <v>380</v>
      </c>
      <c r="C26549" s="46">
        <v>18</v>
      </c>
      <c r="D26549" s="69" t="s">
        <v>29517</v>
      </c>
      <c r="E26549" s="62"/>
      <c r="F26549" s="62" t="str">
        <f>IF(INDEX(I.Gas.P2aY2TotalGasEnergy,18)="","",INDEX(I.Gas.P2aY2TotalGasEnergy,18))</f>
        <v/>
      </c>
      <c r="G26549" s="62"/>
      <c r="H26549" s="46" t="str">
        <f>IF(I.Developer.P2a=FALSE,"Complete",IF(I.Product.P2aGasToPowerStatus&lt;&gt;"Yes","Complete",IF(AND(I.Gas.P2aY2Count&gt;=18,F26549=""),"Incomplete","Complete")))</f>
        <v>Complete</v>
      </c>
      <c r="I26549" s="48" t="s">
        <v>1728</v>
      </c>
    </row>
    <row r="26550" spans="2:9" ht="15" customHeight="1" x14ac:dyDescent="0.25">
      <c r="B26550" s="55" t="s">
        <v>380</v>
      </c>
      <c r="C26550" s="46">
        <v>19</v>
      </c>
      <c r="D26550" s="69" t="s">
        <v>29517</v>
      </c>
      <c r="E26550" s="62"/>
      <c r="F26550" s="62" t="str">
        <f>IF(INDEX(I.Gas.P2aY2TotalGasEnergy,19)="","",INDEX(I.Gas.P2aY2TotalGasEnergy,19))</f>
        <v/>
      </c>
      <c r="G26550" s="62"/>
      <c r="H26550" s="46" t="str">
        <f>IF(I.Developer.P2a=FALSE,"Complete",IF(I.Product.P2aGasToPowerStatus&lt;&gt;"Yes","Complete",IF(AND(I.Gas.P2aY2Count&gt;=19,F26550=""),"Incomplete","Complete")))</f>
        <v>Complete</v>
      </c>
      <c r="I26550" s="48" t="s">
        <v>1729</v>
      </c>
    </row>
    <row r="26551" spans="2:9" ht="15" customHeight="1" x14ac:dyDescent="0.25">
      <c r="B26551" s="55" t="s">
        <v>380</v>
      </c>
      <c r="C26551" s="46">
        <v>20</v>
      </c>
      <c r="D26551" s="69" t="s">
        <v>29517</v>
      </c>
      <c r="E26551" s="62"/>
      <c r="F26551" s="62" t="str">
        <f>IF(INDEX(I.Gas.P2aY2TotalGasEnergy,20)="","",INDEX(I.Gas.P2aY2TotalGasEnergy,20))</f>
        <v/>
      </c>
      <c r="G26551" s="62"/>
      <c r="H26551" s="46" t="str">
        <f>IF(I.Developer.P2a=FALSE,"Complete",IF(I.Product.P2aGasToPowerStatus&lt;&gt;"Yes","Complete",IF(AND(I.Gas.P2aY2Count&gt;=20,F26551=""),"Incomplete","Complete")))</f>
        <v>Complete</v>
      </c>
      <c r="I26551" s="48" t="s">
        <v>1730</v>
      </c>
    </row>
    <row r="26552" spans="2:9" ht="15" customHeight="1" x14ac:dyDescent="0.25">
      <c r="B26552" s="55" t="s">
        <v>380</v>
      </c>
      <c r="C26552" s="46">
        <v>21</v>
      </c>
      <c r="D26552" s="69" t="s">
        <v>29517</v>
      </c>
      <c r="E26552" s="62"/>
      <c r="F26552" s="62" t="str">
        <f>IF(INDEX(I.Gas.P2aY2TotalGasEnergy,21)="","",INDEX(I.Gas.P2aY2TotalGasEnergy,21))</f>
        <v/>
      </c>
      <c r="G26552" s="62"/>
      <c r="H26552" s="46" t="str">
        <f>IF(I.Developer.P2a=FALSE,"Complete",IF(I.Product.P2aGasToPowerStatus&lt;&gt;"Yes","Complete",IF(AND(I.Gas.P2aY2Count&gt;=21,F26552=""),"Incomplete","Complete")))</f>
        <v>Complete</v>
      </c>
      <c r="I26552" s="48" t="s">
        <v>1731</v>
      </c>
    </row>
    <row r="26553" spans="2:9" ht="15" customHeight="1" x14ac:dyDescent="0.25">
      <c r="B26553" s="55" t="s">
        <v>380</v>
      </c>
      <c r="C26553" s="46">
        <v>22</v>
      </c>
      <c r="D26553" s="69" t="s">
        <v>29517</v>
      </c>
      <c r="E26553" s="62"/>
      <c r="F26553" s="62" t="str">
        <f>IF(INDEX(I.Gas.P2aY2TotalGasEnergy,22)="","",INDEX(I.Gas.P2aY2TotalGasEnergy,22))</f>
        <v/>
      </c>
      <c r="G26553" s="62"/>
      <c r="H26553" s="46" t="str">
        <f>IF(I.Developer.P2a=FALSE,"Complete",IF(I.Product.P2aGasToPowerStatus&lt;&gt;"Yes","Complete",IF(AND(I.Gas.P2aY2Count&gt;=22,F26553=""),"Incomplete","Complete")))</f>
        <v>Complete</v>
      </c>
      <c r="I26553" s="48" t="s">
        <v>1732</v>
      </c>
    </row>
    <row r="26554" spans="2:9" ht="15" customHeight="1" x14ac:dyDescent="0.25">
      <c r="B26554" s="55" t="s">
        <v>380</v>
      </c>
      <c r="C26554" s="46">
        <v>23</v>
      </c>
      <c r="D26554" s="69" t="s">
        <v>29517</v>
      </c>
      <c r="E26554" s="62"/>
      <c r="F26554" s="62" t="str">
        <f>IF(INDEX(I.Gas.P2aY2TotalGasEnergy,23)="","",INDEX(I.Gas.P2aY2TotalGasEnergy,23))</f>
        <v/>
      </c>
      <c r="G26554" s="62"/>
      <c r="H26554" s="46" t="str">
        <f>IF(I.Developer.P2a=FALSE,"Complete",IF(I.Product.P2aGasToPowerStatus&lt;&gt;"Yes","Complete",IF(AND(I.Gas.P2aY2Count&gt;=23,F26554=""),"Incomplete","Complete")))</f>
        <v>Complete</v>
      </c>
      <c r="I26554" s="48" t="s">
        <v>1733</v>
      </c>
    </row>
    <row r="26555" spans="2:9" ht="15" customHeight="1" x14ac:dyDescent="0.25">
      <c r="B26555" s="55" t="s">
        <v>380</v>
      </c>
      <c r="C26555" s="46">
        <v>24</v>
      </c>
      <c r="D26555" s="69" t="s">
        <v>29517</v>
      </c>
      <c r="E26555" s="62"/>
      <c r="F26555" s="62" t="str">
        <f>IF(INDEX(I.Gas.P2aY2TotalGasEnergy,24)="","",INDEX(I.Gas.P2aY2TotalGasEnergy,24))</f>
        <v/>
      </c>
      <c r="G26555" s="62"/>
      <c r="H26555" s="46" t="str">
        <f>IF(I.Developer.P2a=FALSE,"Complete",IF(I.Product.P2aGasToPowerStatus&lt;&gt;"Yes","Complete",IF(AND(I.Gas.P2aY2Count&gt;=24,F26555=""),"Incomplete","Complete")))</f>
        <v>Complete</v>
      </c>
      <c r="I26555" s="48" t="s">
        <v>1734</v>
      </c>
    </row>
    <row r="26556" spans="2:9" ht="15" customHeight="1" x14ac:dyDescent="0.25">
      <c r="B26556" s="55" t="s">
        <v>380</v>
      </c>
      <c r="C26556" s="46">
        <v>25</v>
      </c>
      <c r="D26556" s="69" t="s">
        <v>29517</v>
      </c>
      <c r="E26556" s="62"/>
      <c r="F26556" s="62" t="str">
        <f>IF(INDEX(I.Gas.P2aY2TotalGasEnergy,25)="","",INDEX(I.Gas.P2aY2TotalGasEnergy,25))</f>
        <v/>
      </c>
      <c r="G26556" s="62"/>
      <c r="H26556" s="46" t="str">
        <f>IF(I.Developer.P2a=FALSE,"Complete",IF(I.Product.P2aGasToPowerStatus&lt;&gt;"Yes","Complete",IF(AND(I.Gas.P2aY2Count&gt;=25,F26556=""),"Incomplete","Complete")))</f>
        <v>Complete</v>
      </c>
      <c r="I26556" s="48" t="s">
        <v>1735</v>
      </c>
    </row>
    <row r="26557" spans="2:9" ht="15" customHeight="1" x14ac:dyDescent="0.25">
      <c r="B26557" s="55" t="s">
        <v>380</v>
      </c>
      <c r="C26557" s="46">
        <v>26</v>
      </c>
      <c r="D26557" s="69" t="s">
        <v>29517</v>
      </c>
      <c r="E26557" s="62"/>
      <c r="F26557" s="62" t="str">
        <f>IF(INDEX(I.Gas.P2aY2TotalGasEnergy,26)="","",INDEX(I.Gas.P2aY2TotalGasEnergy,26))</f>
        <v/>
      </c>
      <c r="G26557" s="62"/>
      <c r="H26557" s="46" t="str">
        <f>IF(I.Developer.P2a=FALSE,"Complete",IF(I.Product.P2aGasToPowerStatus&lt;&gt;"Yes","Complete",IF(AND(I.Gas.P2aY2Count&gt;=26,F26557=""),"Incomplete","Complete")))</f>
        <v>Complete</v>
      </c>
      <c r="I26557" s="48" t="s">
        <v>1736</v>
      </c>
    </row>
    <row r="26558" spans="2:9" ht="15" customHeight="1" x14ac:dyDescent="0.25">
      <c r="B26558" s="55" t="s">
        <v>380</v>
      </c>
      <c r="C26558" s="46">
        <v>27</v>
      </c>
      <c r="D26558" s="69" t="s">
        <v>29517</v>
      </c>
      <c r="E26558" s="62"/>
      <c r="F26558" s="62" t="str">
        <f>IF(INDEX(I.Gas.P2aY2TotalGasEnergy,27)="","",INDEX(I.Gas.P2aY2TotalGasEnergy,27))</f>
        <v/>
      </c>
      <c r="G26558" s="62"/>
      <c r="H26558" s="46" t="str">
        <f>IF(I.Developer.P2a=FALSE,"Complete",IF(I.Product.P2aGasToPowerStatus&lt;&gt;"Yes","Complete",IF(AND(I.Gas.P2aY2Count&gt;=27,F26558=""),"Incomplete","Complete")))</f>
        <v>Complete</v>
      </c>
      <c r="I26558" s="48" t="s">
        <v>1737</v>
      </c>
    </row>
    <row r="26559" spans="2:9" ht="15" customHeight="1" x14ac:dyDescent="0.25">
      <c r="B26559" s="55" t="s">
        <v>380</v>
      </c>
      <c r="C26559" s="46">
        <v>28</v>
      </c>
      <c r="D26559" s="69" t="s">
        <v>29517</v>
      </c>
      <c r="E26559" s="62"/>
      <c r="F26559" s="62" t="str">
        <f>IF(INDEX(I.Gas.P2aY2TotalGasEnergy,28)="","",INDEX(I.Gas.P2aY2TotalGasEnergy,28))</f>
        <v/>
      </c>
      <c r="G26559" s="62"/>
      <c r="H26559" s="46" t="str">
        <f>IF(I.Developer.P2a=FALSE,"Complete",IF(I.Product.P2aGasToPowerStatus&lt;&gt;"Yes","Complete",IF(AND(I.Gas.P2aY2Count&gt;=28,F26559=""),"Incomplete","Complete")))</f>
        <v>Complete</v>
      </c>
      <c r="I26559" s="48" t="s">
        <v>1738</v>
      </c>
    </row>
    <row r="26560" spans="2:9" ht="15" customHeight="1" x14ac:dyDescent="0.25">
      <c r="B26560" s="55" t="s">
        <v>380</v>
      </c>
      <c r="C26560" s="46">
        <v>29</v>
      </c>
      <c r="D26560" s="69" t="s">
        <v>29517</v>
      </c>
      <c r="E26560" s="62"/>
      <c r="F26560" s="62" t="str">
        <f>IF(INDEX(I.Gas.P2aY2TotalGasEnergy,29)="","",INDEX(I.Gas.P2aY2TotalGasEnergy,29))</f>
        <v/>
      </c>
      <c r="G26560" s="62"/>
      <c r="H26560" s="46" t="str">
        <f>IF(I.Developer.P2a=FALSE,"Complete",IF(I.Product.P2aGasToPowerStatus&lt;&gt;"Yes","Complete",IF(AND(I.Gas.P2aY2Count&gt;=29,F26560=""),"Incomplete","Complete")))</f>
        <v>Complete</v>
      </c>
      <c r="I26560" s="48" t="s">
        <v>1739</v>
      </c>
    </row>
    <row r="26561" spans="2:9" ht="15" customHeight="1" x14ac:dyDescent="0.25">
      <c r="B26561" s="55" t="s">
        <v>380</v>
      </c>
      <c r="C26561" s="46">
        <v>30</v>
      </c>
      <c r="D26561" s="69" t="s">
        <v>29517</v>
      </c>
      <c r="E26561" s="62"/>
      <c r="F26561" s="62" t="str">
        <f>IF(INDEX(I.Gas.P2aY2TotalGasEnergy,30)="","",INDEX(I.Gas.P2aY2TotalGasEnergy,30))</f>
        <v/>
      </c>
      <c r="G26561" s="62"/>
      <c r="H26561" s="46" t="str">
        <f>IF(I.Developer.P2a=FALSE,"Complete",IF(I.Product.P2aGasToPowerStatus&lt;&gt;"Yes","Complete",IF(AND(I.Gas.P2aY2Count&gt;=30,F26561=""),"Incomplete","Complete")))</f>
        <v>Complete</v>
      </c>
      <c r="I26561" s="48" t="s">
        <v>1740</v>
      </c>
    </row>
    <row r="26562" spans="2:9" ht="15" customHeight="1" x14ac:dyDescent="0.25">
      <c r="B26562" s="55" t="s">
        <v>380</v>
      </c>
      <c r="C26562" s="46">
        <v>31</v>
      </c>
      <c r="D26562" s="69" t="s">
        <v>29517</v>
      </c>
      <c r="E26562" s="62"/>
      <c r="F26562" s="62" t="str">
        <f>IF(INDEX(I.Gas.P2aY2TotalGasEnergy,31)="","",INDEX(I.Gas.P2aY2TotalGasEnergy,31))</f>
        <v/>
      </c>
      <c r="G26562" s="62"/>
      <c r="H26562" s="46" t="str">
        <f>IF(I.Developer.P2a=FALSE,"Complete",IF(I.Product.P2aGasToPowerStatus&lt;&gt;"Yes","Complete",IF(AND(I.Gas.P2aY2Count&gt;=31,F26562=""),"Incomplete","Complete")))</f>
        <v>Complete</v>
      </c>
      <c r="I26562" s="48" t="s">
        <v>1741</v>
      </c>
    </row>
    <row r="26563" spans="2:9" ht="15" customHeight="1" x14ac:dyDescent="0.25">
      <c r="B26563" s="55" t="s">
        <v>380</v>
      </c>
      <c r="C26563" s="46">
        <v>32</v>
      </c>
      <c r="D26563" s="69" t="s">
        <v>29517</v>
      </c>
      <c r="E26563" s="62"/>
      <c r="F26563" s="62" t="str">
        <f>IF(INDEX(I.Gas.P2aY2TotalGasEnergy,32)="","",INDEX(I.Gas.P2aY2TotalGasEnergy,32))</f>
        <v/>
      </c>
      <c r="G26563" s="62"/>
      <c r="H26563" s="46" t="str">
        <f>IF(I.Developer.P2a=FALSE,"Complete",IF(I.Product.P2aGasToPowerStatus&lt;&gt;"Yes","Complete",IF(AND(I.Gas.P2aY2Count&gt;=32,F26563=""),"Incomplete","Complete")))</f>
        <v>Complete</v>
      </c>
      <c r="I26563" s="48" t="s">
        <v>1742</v>
      </c>
    </row>
    <row r="26564" spans="2:9" ht="15" customHeight="1" x14ac:dyDescent="0.25">
      <c r="B26564" s="55" t="s">
        <v>380</v>
      </c>
      <c r="C26564" s="46">
        <v>33</v>
      </c>
      <c r="D26564" s="69" t="s">
        <v>29517</v>
      </c>
      <c r="E26564" s="62"/>
      <c r="F26564" s="62" t="str">
        <f>IF(INDEX(I.Gas.P2aY2TotalGasEnergy,33)="","",INDEX(I.Gas.P2aY2TotalGasEnergy,33))</f>
        <v/>
      </c>
      <c r="G26564" s="62"/>
      <c r="H26564" s="46" t="str">
        <f>IF(I.Developer.P2a=FALSE,"Complete",IF(I.Product.P2aGasToPowerStatus&lt;&gt;"Yes","Complete",IF(AND(I.Gas.P2aY2Count&gt;=33,F26564=""),"Incomplete","Complete")))</f>
        <v>Complete</v>
      </c>
      <c r="I26564" s="48" t="s">
        <v>1743</v>
      </c>
    </row>
    <row r="26565" spans="2:9" ht="15" customHeight="1" x14ac:dyDescent="0.25">
      <c r="B26565" s="55" t="s">
        <v>380</v>
      </c>
      <c r="C26565" s="46">
        <v>34</v>
      </c>
      <c r="D26565" s="69" t="s">
        <v>29517</v>
      </c>
      <c r="E26565" s="62"/>
      <c r="F26565" s="62" t="str">
        <f>IF(INDEX(I.Gas.P2aY2TotalGasEnergy,34)="","",INDEX(I.Gas.P2aY2TotalGasEnergy,34))</f>
        <v/>
      </c>
      <c r="G26565" s="62"/>
      <c r="H26565" s="46" t="str">
        <f>IF(I.Developer.P2a=FALSE,"Complete",IF(I.Product.P2aGasToPowerStatus&lt;&gt;"Yes","Complete",IF(AND(I.Gas.P2aY2Count&gt;=34,F26565=""),"Incomplete","Complete")))</f>
        <v>Complete</v>
      </c>
      <c r="I26565" s="48" t="s">
        <v>1744</v>
      </c>
    </row>
    <row r="26566" spans="2:9" ht="15" customHeight="1" x14ac:dyDescent="0.25">
      <c r="B26566" s="55" t="s">
        <v>380</v>
      </c>
      <c r="C26566" s="46">
        <v>35</v>
      </c>
      <c r="D26566" s="69" t="s">
        <v>29517</v>
      </c>
      <c r="E26566" s="62"/>
      <c r="F26566" s="62" t="str">
        <f>IF(INDEX(I.Gas.P2aY2TotalGasEnergy,35)="","",INDEX(I.Gas.P2aY2TotalGasEnergy,35))</f>
        <v/>
      </c>
      <c r="G26566" s="62"/>
      <c r="H26566" s="46" t="str">
        <f>IF(I.Developer.P2a=FALSE,"Complete",IF(I.Product.P2aGasToPowerStatus&lt;&gt;"Yes","Complete",IF(AND(I.Gas.P2aY2Count&gt;=35,F26566=""),"Incomplete","Complete")))</f>
        <v>Complete</v>
      </c>
      <c r="I26566" s="48" t="s">
        <v>1745</v>
      </c>
    </row>
    <row r="26567" spans="2:9" ht="15" customHeight="1" x14ac:dyDescent="0.25">
      <c r="B26567" s="55" t="s">
        <v>380</v>
      </c>
      <c r="C26567" s="46">
        <v>36</v>
      </c>
      <c r="D26567" s="69" t="s">
        <v>29517</v>
      </c>
      <c r="E26567" s="62"/>
      <c r="F26567" s="62" t="str">
        <f>IF(INDEX(I.Gas.P2aY2TotalGasEnergy,36)="","",INDEX(I.Gas.P2aY2TotalGasEnergy,36))</f>
        <v/>
      </c>
      <c r="G26567" s="62"/>
      <c r="H26567" s="46" t="str">
        <f>IF(I.Developer.P2a=FALSE,"Complete",IF(I.Product.P2aGasToPowerStatus&lt;&gt;"Yes","Complete",IF(AND(I.Gas.P2aY2Count&gt;=36,F26567=""),"Incomplete","Complete")))</f>
        <v>Complete</v>
      </c>
      <c r="I26567" s="48" t="s">
        <v>1746</v>
      </c>
    </row>
    <row r="26568" spans="2:9" ht="15" customHeight="1" x14ac:dyDescent="0.25">
      <c r="B26568" s="55" t="s">
        <v>380</v>
      </c>
      <c r="C26568" s="46">
        <v>37</v>
      </c>
      <c r="D26568" s="69" t="s">
        <v>29517</v>
      </c>
      <c r="E26568" s="62"/>
      <c r="F26568" s="62" t="str">
        <f>IF(INDEX(I.Gas.P2aY2TotalGasEnergy,37)="","",INDEX(I.Gas.P2aY2TotalGasEnergy,37))</f>
        <v/>
      </c>
      <c r="G26568" s="62"/>
      <c r="H26568" s="46" t="str">
        <f>IF(I.Developer.P2a=FALSE,"Complete",IF(I.Product.P2aGasToPowerStatus&lt;&gt;"Yes","Complete",IF(AND(I.Gas.P2aY2Count&gt;=37,F26568=""),"Incomplete","Complete")))</f>
        <v>Complete</v>
      </c>
      <c r="I26568" s="48" t="s">
        <v>1747</v>
      </c>
    </row>
    <row r="26569" spans="2:9" ht="15" customHeight="1" x14ac:dyDescent="0.25">
      <c r="B26569" s="55" t="s">
        <v>380</v>
      </c>
      <c r="C26569" s="46">
        <v>38</v>
      </c>
      <c r="D26569" s="69" t="s">
        <v>29517</v>
      </c>
      <c r="E26569" s="62"/>
      <c r="F26569" s="62" t="str">
        <f>IF(INDEX(I.Gas.P2aY2TotalGasEnergy,38)="","",INDEX(I.Gas.P2aY2TotalGasEnergy,38))</f>
        <v/>
      </c>
      <c r="G26569" s="62"/>
      <c r="H26569" s="46" t="str">
        <f>IF(I.Developer.P2a=FALSE,"Complete",IF(I.Product.P2aGasToPowerStatus&lt;&gt;"Yes","Complete",IF(AND(I.Gas.P2aY2Count&gt;=38,F26569=""),"Incomplete","Complete")))</f>
        <v>Complete</v>
      </c>
      <c r="I26569" s="48" t="s">
        <v>1748</v>
      </c>
    </row>
    <row r="26570" spans="2:9" ht="15" customHeight="1" x14ac:dyDescent="0.25">
      <c r="B26570" s="55" t="s">
        <v>380</v>
      </c>
      <c r="C26570" s="46">
        <v>39</v>
      </c>
      <c r="D26570" s="69" t="s">
        <v>29517</v>
      </c>
      <c r="E26570" s="62"/>
      <c r="F26570" s="62" t="str">
        <f>IF(INDEX(I.Gas.P2aY2TotalGasEnergy,39)="","",INDEX(I.Gas.P2aY2TotalGasEnergy,39))</f>
        <v/>
      </c>
      <c r="G26570" s="62"/>
      <c r="H26570" s="46" t="str">
        <f>IF(I.Developer.P2a=FALSE,"Complete",IF(I.Product.P2aGasToPowerStatus&lt;&gt;"Yes","Complete",IF(AND(I.Gas.P2aY2Count&gt;=39,F26570=""),"Incomplete","Complete")))</f>
        <v>Complete</v>
      </c>
      <c r="I26570" s="48" t="s">
        <v>1749</v>
      </c>
    </row>
    <row r="26571" spans="2:9" ht="15" customHeight="1" x14ac:dyDescent="0.25">
      <c r="B26571" s="55" t="s">
        <v>380</v>
      </c>
      <c r="C26571" s="46">
        <v>40</v>
      </c>
      <c r="D26571" s="69" t="s">
        <v>29517</v>
      </c>
      <c r="E26571" s="62"/>
      <c r="F26571" s="62" t="str">
        <f>IF(INDEX(I.Gas.P2aY2TotalGasEnergy,40)="","",INDEX(I.Gas.P2aY2TotalGasEnergy,40))</f>
        <v/>
      </c>
      <c r="G26571" s="62"/>
      <c r="H26571" s="46" t="str">
        <f>IF(I.Developer.P2a=FALSE,"Complete",IF(I.Product.P2aGasToPowerStatus&lt;&gt;"Yes","Complete",IF(AND(I.Gas.P2aY2Count&gt;=40,F26571=""),"Incomplete","Complete")))</f>
        <v>Complete</v>
      </c>
      <c r="I26571" s="48" t="s">
        <v>1750</v>
      </c>
    </row>
    <row r="26572" spans="2:9" ht="15" customHeight="1" x14ac:dyDescent="0.25">
      <c r="B26572" s="55" t="s">
        <v>380</v>
      </c>
      <c r="C26572" s="46">
        <v>41</v>
      </c>
      <c r="D26572" s="69" t="s">
        <v>29517</v>
      </c>
      <c r="E26572" s="62"/>
      <c r="F26572" s="62" t="str">
        <f>IF(INDEX(I.Gas.P2aY2TotalGasEnergy,41)="","",INDEX(I.Gas.P2aY2TotalGasEnergy,41))</f>
        <v/>
      </c>
      <c r="G26572" s="62"/>
      <c r="H26572" s="46" t="str">
        <f>IF(I.Developer.P2a=FALSE,"Complete",IF(I.Product.P2aGasToPowerStatus&lt;&gt;"Yes","Complete",IF(AND(I.Gas.P2aY2Count&gt;=41,F26572=""),"Incomplete","Complete")))</f>
        <v>Complete</v>
      </c>
      <c r="I26572" s="48" t="s">
        <v>1751</v>
      </c>
    </row>
    <row r="26573" spans="2:9" ht="15" customHeight="1" x14ac:dyDescent="0.25">
      <c r="B26573" s="55" t="s">
        <v>380</v>
      </c>
      <c r="C26573" s="46">
        <v>42</v>
      </c>
      <c r="D26573" s="69" t="s">
        <v>29517</v>
      </c>
      <c r="E26573" s="62"/>
      <c r="F26573" s="62" t="str">
        <f>IF(INDEX(I.Gas.P2aY2TotalGasEnergy,42)="","",INDEX(I.Gas.P2aY2TotalGasEnergy,42))</f>
        <v/>
      </c>
      <c r="G26573" s="62"/>
      <c r="H26573" s="46" t="str">
        <f>IF(I.Developer.P2a=FALSE,"Complete",IF(I.Product.P2aGasToPowerStatus&lt;&gt;"Yes","Complete",IF(AND(I.Gas.P2aY2Count&gt;=42,F26573=""),"Incomplete","Complete")))</f>
        <v>Complete</v>
      </c>
      <c r="I26573" s="48" t="s">
        <v>1752</v>
      </c>
    </row>
    <row r="26574" spans="2:9" ht="15" customHeight="1" x14ac:dyDescent="0.25">
      <c r="B26574" s="55" t="s">
        <v>380</v>
      </c>
      <c r="C26574" s="46">
        <v>43</v>
      </c>
      <c r="D26574" s="69" t="s">
        <v>29517</v>
      </c>
      <c r="E26574" s="62"/>
      <c r="F26574" s="62" t="str">
        <f>IF(INDEX(I.Gas.P2aY2TotalGasEnergy,43)="","",INDEX(I.Gas.P2aY2TotalGasEnergy,43))</f>
        <v/>
      </c>
      <c r="G26574" s="62"/>
      <c r="H26574" s="46" t="str">
        <f>IF(I.Developer.P2a=FALSE,"Complete",IF(I.Product.P2aGasToPowerStatus&lt;&gt;"Yes","Complete",IF(AND(I.Gas.P2aY2Count&gt;=43,F26574=""),"Incomplete","Complete")))</f>
        <v>Complete</v>
      </c>
      <c r="I26574" s="48" t="s">
        <v>1753</v>
      </c>
    </row>
    <row r="26575" spans="2:9" ht="15" customHeight="1" x14ac:dyDescent="0.25">
      <c r="B26575" s="55" t="s">
        <v>380</v>
      </c>
      <c r="C26575" s="46">
        <v>44</v>
      </c>
      <c r="D26575" s="69" t="s">
        <v>29517</v>
      </c>
      <c r="E26575" s="62"/>
      <c r="F26575" s="62" t="str">
        <f>IF(INDEX(I.Gas.P2aY2TotalGasEnergy,44)="","",INDEX(I.Gas.P2aY2TotalGasEnergy,44))</f>
        <v/>
      </c>
      <c r="G26575" s="62"/>
      <c r="H26575" s="46" t="str">
        <f>IF(I.Developer.P2a=FALSE,"Complete",IF(I.Product.P2aGasToPowerStatus&lt;&gt;"Yes","Complete",IF(AND(I.Gas.P2aY2Count&gt;=44,F26575=""),"Incomplete","Complete")))</f>
        <v>Complete</v>
      </c>
      <c r="I26575" s="48" t="s">
        <v>1754</v>
      </c>
    </row>
    <row r="26576" spans="2:9" ht="15" customHeight="1" x14ac:dyDescent="0.25">
      <c r="B26576" s="55" t="s">
        <v>380</v>
      </c>
      <c r="C26576" s="46">
        <v>45</v>
      </c>
      <c r="D26576" s="69" t="s">
        <v>29517</v>
      </c>
      <c r="E26576" s="62"/>
      <c r="F26576" s="62" t="str">
        <f>IF(INDEX(I.Gas.P2aY2TotalGasEnergy,45)="","",INDEX(I.Gas.P2aY2TotalGasEnergy,45))</f>
        <v/>
      </c>
      <c r="G26576" s="62"/>
      <c r="H26576" s="46" t="str">
        <f>IF(I.Developer.P2a=FALSE,"Complete",IF(I.Product.P2aGasToPowerStatus&lt;&gt;"Yes","Complete",IF(AND(I.Gas.P2aY2Count&gt;=45,F26576=""),"Incomplete","Complete")))</f>
        <v>Complete</v>
      </c>
      <c r="I26576" s="48" t="s">
        <v>1755</v>
      </c>
    </row>
    <row r="26577" spans="2:9" ht="15" customHeight="1" x14ac:dyDescent="0.25">
      <c r="B26577" s="55" t="s">
        <v>380</v>
      </c>
      <c r="C26577" s="46">
        <v>46</v>
      </c>
      <c r="D26577" s="69" t="s">
        <v>29517</v>
      </c>
      <c r="E26577" s="62"/>
      <c r="F26577" s="62" t="str">
        <f>IF(INDEX(I.Gas.P2aY2TotalGasEnergy,46)="","",INDEX(I.Gas.P2aY2TotalGasEnergy,46))</f>
        <v/>
      </c>
      <c r="G26577" s="62"/>
      <c r="H26577" s="46" t="str">
        <f>IF(I.Developer.P2a=FALSE,"Complete",IF(I.Product.P2aGasToPowerStatus&lt;&gt;"Yes","Complete",IF(AND(I.Gas.P2aY2Count&gt;=46,F26577=""),"Incomplete","Complete")))</f>
        <v>Complete</v>
      </c>
      <c r="I26577" s="48" t="s">
        <v>1756</v>
      </c>
    </row>
    <row r="26578" spans="2:9" ht="15" customHeight="1" x14ac:dyDescent="0.25">
      <c r="B26578" s="55" t="s">
        <v>380</v>
      </c>
      <c r="C26578" s="46">
        <v>47</v>
      </c>
      <c r="D26578" s="69" t="s">
        <v>29517</v>
      </c>
      <c r="E26578" s="62"/>
      <c r="F26578" s="62" t="str">
        <f>IF(INDEX(I.Gas.P2aY2TotalGasEnergy,47)="","",INDEX(I.Gas.P2aY2TotalGasEnergy,47))</f>
        <v/>
      </c>
      <c r="G26578" s="62"/>
      <c r="H26578" s="46" t="str">
        <f>IF(I.Developer.P2a=FALSE,"Complete",IF(I.Product.P2aGasToPowerStatus&lt;&gt;"Yes","Complete",IF(AND(I.Gas.P2aY2Count&gt;=47,F26578=""),"Incomplete","Complete")))</f>
        <v>Complete</v>
      </c>
      <c r="I26578" s="48" t="s">
        <v>1757</v>
      </c>
    </row>
    <row r="26579" spans="2:9" ht="15" customHeight="1" x14ac:dyDescent="0.25">
      <c r="B26579" s="55" t="s">
        <v>380</v>
      </c>
      <c r="C26579" s="46">
        <v>48</v>
      </c>
      <c r="D26579" s="69" t="s">
        <v>29517</v>
      </c>
      <c r="E26579" s="62"/>
      <c r="F26579" s="62" t="str">
        <f>IF(INDEX(I.Gas.P2aY2TotalGasEnergy,48)="","",INDEX(I.Gas.P2aY2TotalGasEnergy,48))</f>
        <v/>
      </c>
      <c r="G26579" s="62"/>
      <c r="H26579" s="46" t="str">
        <f>IF(I.Developer.P2a=FALSE,"Complete",IF(I.Product.P2aGasToPowerStatus&lt;&gt;"Yes","Complete",IF(AND(I.Gas.P2aY2Count&gt;=48,F26579=""),"Incomplete","Complete")))</f>
        <v>Complete</v>
      </c>
      <c r="I26579" s="48" t="s">
        <v>1758</v>
      </c>
    </row>
    <row r="26580" spans="2:9" ht="15" customHeight="1" x14ac:dyDescent="0.25">
      <c r="B26580" s="55" t="s">
        <v>380</v>
      </c>
      <c r="C26580" s="46">
        <v>49</v>
      </c>
      <c r="D26580" s="69" t="s">
        <v>29517</v>
      </c>
      <c r="E26580" s="62"/>
      <c r="F26580" s="62" t="str">
        <f>IF(INDEX(I.Gas.P2aY2TotalGasEnergy,49)="","",INDEX(I.Gas.P2aY2TotalGasEnergy,49))</f>
        <v/>
      </c>
      <c r="G26580" s="62"/>
      <c r="H26580" s="46" t="str">
        <f>IF(I.Developer.P2a=FALSE,"Complete",IF(I.Product.P2aGasToPowerStatus&lt;&gt;"Yes","Complete",IF(AND(I.Gas.P2aY2Count&gt;=49,F26580=""),"Incomplete","Complete")))</f>
        <v>Complete</v>
      </c>
      <c r="I26580" s="48" t="s">
        <v>1759</v>
      </c>
    </row>
    <row r="26581" spans="2:9" ht="15" customHeight="1" x14ac:dyDescent="0.25">
      <c r="B26581" s="56" t="s">
        <v>380</v>
      </c>
      <c r="C26581" s="57">
        <v>50</v>
      </c>
      <c r="D26581" s="71" t="s">
        <v>29517</v>
      </c>
      <c r="E26581" s="61"/>
      <c r="F26581" s="61" t="str">
        <f>IF(INDEX(I.Gas.P2aY2TotalGasEnergy,50)="","",INDEX(I.Gas.P2aY2TotalGasEnergy,50))</f>
        <v/>
      </c>
      <c r="G26581" s="61"/>
      <c r="H26581" s="57" t="str">
        <f>IF(I.Developer.P2a=FALSE,"Complete",IF(I.Product.P2aGasToPowerStatus&lt;&gt;"Yes","Complete",IF(AND(I.Gas.P2aY2Count&gt;=50,F26581=""),"Incomplete","Complete")))</f>
        <v>Complete</v>
      </c>
      <c r="I26581" s="49" t="s">
        <v>1760</v>
      </c>
    </row>
    <row r="26582" spans="2:9" ht="15" customHeight="1" x14ac:dyDescent="0.25">
      <c r="B26582" s="55" t="s">
        <v>381</v>
      </c>
      <c r="C26582" s="46">
        <v>1</v>
      </c>
      <c r="D26582" s="69" t="s">
        <v>29518</v>
      </c>
      <c r="E26582" s="62"/>
      <c r="F26582" s="62" t="str">
        <f>IF(INDEX(I.Gas.P2aY2ElectricityGeneration,1)="","",INDEX(I.Gas.P2aY2ElectricityGeneration,1))</f>
        <v/>
      </c>
      <c r="G26582" s="62"/>
      <c r="H26582" s="46" t="str">
        <f>IF(I.Developer.P2a=FALSE,"Complete",IF(I.Product.P2aGasToPowerStatus&lt;&gt;"Yes","Complete",IF(AND(I.Gas.P2aY2Count&gt;=1,F26582=""),"Incomplete","Complete")))</f>
        <v>Complete</v>
      </c>
      <c r="I26582" s="48" t="s">
        <v>1761</v>
      </c>
    </row>
    <row r="26583" spans="2:9" ht="15" customHeight="1" x14ac:dyDescent="0.25">
      <c r="B26583" s="55" t="s">
        <v>381</v>
      </c>
      <c r="C26583" s="46">
        <v>2</v>
      </c>
      <c r="D26583" s="69" t="s">
        <v>29518</v>
      </c>
      <c r="E26583" s="62"/>
      <c r="F26583" s="62" t="str">
        <f>IF(INDEX(I.Gas.P2aY2ElectricityGeneration,2)="","",INDEX(I.Gas.P2aY2ElectricityGeneration,2))</f>
        <v/>
      </c>
      <c r="G26583" s="62"/>
      <c r="H26583" s="46" t="str">
        <f>IF(I.Developer.P2a=FALSE,"Complete",IF(I.Product.P2aGasToPowerStatus&lt;&gt;"Yes","Complete",IF(AND(I.Gas.P2aY2Count&gt;=2,F26583=""),"Incomplete","Complete")))</f>
        <v>Complete</v>
      </c>
      <c r="I26583" s="48" t="s">
        <v>1762</v>
      </c>
    </row>
    <row r="26584" spans="2:9" ht="15" customHeight="1" x14ac:dyDescent="0.25">
      <c r="B26584" s="55" t="s">
        <v>381</v>
      </c>
      <c r="C26584" s="46">
        <v>3</v>
      </c>
      <c r="D26584" s="69" t="s">
        <v>29518</v>
      </c>
      <c r="E26584" s="62"/>
      <c r="F26584" s="62" t="str">
        <f>IF(INDEX(I.Gas.P2aY2ElectricityGeneration,3)="","",INDEX(I.Gas.P2aY2ElectricityGeneration,3))</f>
        <v/>
      </c>
      <c r="G26584" s="62"/>
      <c r="H26584" s="46" t="str">
        <f>IF(I.Developer.P2a=FALSE,"Complete",IF(I.Product.P2aGasToPowerStatus&lt;&gt;"Yes","Complete",IF(AND(I.Gas.P2aY2Count&gt;=3,F26584=""),"Incomplete","Complete")))</f>
        <v>Complete</v>
      </c>
      <c r="I26584" s="48" t="s">
        <v>1763</v>
      </c>
    </row>
    <row r="26585" spans="2:9" ht="15" customHeight="1" x14ac:dyDescent="0.25">
      <c r="B26585" s="55" t="s">
        <v>381</v>
      </c>
      <c r="C26585" s="46">
        <v>4</v>
      </c>
      <c r="D26585" s="69" t="s">
        <v>29518</v>
      </c>
      <c r="E26585" s="62"/>
      <c r="F26585" s="62" t="str">
        <f>IF(INDEX(I.Gas.P2aY2ElectricityGeneration,4)="","",INDEX(I.Gas.P2aY2ElectricityGeneration,4))</f>
        <v/>
      </c>
      <c r="G26585" s="62"/>
      <c r="H26585" s="46" t="str">
        <f>IF(I.Developer.P2a=FALSE,"Complete",IF(I.Product.P2aGasToPowerStatus&lt;&gt;"Yes","Complete",IF(AND(I.Gas.P2aY2Count&gt;=4,F26585=""),"Incomplete","Complete")))</f>
        <v>Complete</v>
      </c>
      <c r="I26585" s="48" t="s">
        <v>1764</v>
      </c>
    </row>
    <row r="26586" spans="2:9" ht="15" customHeight="1" x14ac:dyDescent="0.25">
      <c r="B26586" s="55" t="s">
        <v>381</v>
      </c>
      <c r="C26586" s="46">
        <v>5</v>
      </c>
      <c r="D26586" s="69" t="s">
        <v>29518</v>
      </c>
      <c r="E26586" s="62"/>
      <c r="F26586" s="62" t="str">
        <f>IF(INDEX(I.Gas.P2aY2ElectricityGeneration,5)="","",INDEX(I.Gas.P2aY2ElectricityGeneration,5))</f>
        <v/>
      </c>
      <c r="G26586" s="62"/>
      <c r="H26586" s="46" t="str">
        <f>IF(I.Developer.P2a=FALSE,"Complete",IF(I.Product.P2aGasToPowerStatus&lt;&gt;"Yes","Complete",IF(AND(I.Gas.P2aY2Count&gt;=5,F26586=""),"Incomplete","Complete")))</f>
        <v>Complete</v>
      </c>
      <c r="I26586" s="48" t="s">
        <v>1765</v>
      </c>
    </row>
    <row r="26587" spans="2:9" ht="15" customHeight="1" x14ac:dyDescent="0.25">
      <c r="B26587" s="55" t="s">
        <v>381</v>
      </c>
      <c r="C26587" s="46">
        <v>6</v>
      </c>
      <c r="D26587" s="69" t="s">
        <v>29518</v>
      </c>
      <c r="E26587" s="62"/>
      <c r="F26587" s="62" t="str">
        <f>IF(INDEX(I.Gas.P2aY2ElectricityGeneration,6)="","",INDEX(I.Gas.P2aY2ElectricityGeneration,6))</f>
        <v/>
      </c>
      <c r="G26587" s="62"/>
      <c r="H26587" s="46" t="str">
        <f>IF(I.Developer.P2a=FALSE,"Complete",IF(I.Product.P2aGasToPowerStatus&lt;&gt;"Yes","Complete",IF(AND(I.Gas.P2aY2Count&gt;=6,F26587=""),"Incomplete","Complete")))</f>
        <v>Complete</v>
      </c>
      <c r="I26587" s="48" t="s">
        <v>1766</v>
      </c>
    </row>
    <row r="26588" spans="2:9" ht="15" customHeight="1" x14ac:dyDescent="0.25">
      <c r="B26588" s="55" t="s">
        <v>381</v>
      </c>
      <c r="C26588" s="46">
        <v>7</v>
      </c>
      <c r="D26588" s="69" t="s">
        <v>29518</v>
      </c>
      <c r="E26588" s="62"/>
      <c r="F26588" s="62" t="str">
        <f>IF(INDEX(I.Gas.P2aY2ElectricityGeneration,7)="","",INDEX(I.Gas.P2aY2ElectricityGeneration,7))</f>
        <v/>
      </c>
      <c r="G26588" s="62"/>
      <c r="H26588" s="46" t="str">
        <f>IF(I.Developer.P2a=FALSE,"Complete",IF(I.Product.P2aGasToPowerStatus&lt;&gt;"Yes","Complete",IF(AND(I.Gas.P2aY2Count&gt;=7,F26588=""),"Incomplete","Complete")))</f>
        <v>Complete</v>
      </c>
      <c r="I26588" s="48" t="s">
        <v>1767</v>
      </c>
    </row>
    <row r="26589" spans="2:9" ht="15" customHeight="1" x14ac:dyDescent="0.25">
      <c r="B26589" s="55" t="s">
        <v>381</v>
      </c>
      <c r="C26589" s="46">
        <v>8</v>
      </c>
      <c r="D26589" s="69" t="s">
        <v>29518</v>
      </c>
      <c r="E26589" s="62"/>
      <c r="F26589" s="62" t="str">
        <f>IF(INDEX(I.Gas.P2aY2ElectricityGeneration,8)="","",INDEX(I.Gas.P2aY2ElectricityGeneration,8))</f>
        <v/>
      </c>
      <c r="G26589" s="62"/>
      <c r="H26589" s="46" t="str">
        <f>IF(I.Developer.P2a=FALSE,"Complete",IF(I.Product.P2aGasToPowerStatus&lt;&gt;"Yes","Complete",IF(AND(I.Gas.P2aY2Count&gt;=8,F26589=""),"Incomplete","Complete")))</f>
        <v>Complete</v>
      </c>
      <c r="I26589" s="48" t="s">
        <v>1768</v>
      </c>
    </row>
    <row r="26590" spans="2:9" ht="15" customHeight="1" x14ac:dyDescent="0.25">
      <c r="B26590" s="55" t="s">
        <v>381</v>
      </c>
      <c r="C26590" s="46">
        <v>9</v>
      </c>
      <c r="D26590" s="69" t="s">
        <v>29518</v>
      </c>
      <c r="E26590" s="62"/>
      <c r="F26590" s="62" t="str">
        <f>IF(INDEX(I.Gas.P2aY2ElectricityGeneration,9)="","",INDEX(I.Gas.P2aY2ElectricityGeneration,9))</f>
        <v/>
      </c>
      <c r="G26590" s="62"/>
      <c r="H26590" s="46" t="str">
        <f>IF(I.Developer.P2a=FALSE,"Complete",IF(I.Product.P2aGasToPowerStatus&lt;&gt;"Yes","Complete",IF(AND(I.Gas.P2aY2Count&gt;=9,F26590=""),"Incomplete","Complete")))</f>
        <v>Complete</v>
      </c>
      <c r="I26590" s="48" t="s">
        <v>1769</v>
      </c>
    </row>
    <row r="26591" spans="2:9" ht="15" customHeight="1" x14ac:dyDescent="0.25">
      <c r="B26591" s="55" t="s">
        <v>381</v>
      </c>
      <c r="C26591" s="46">
        <v>10</v>
      </c>
      <c r="D26591" s="69" t="s">
        <v>29518</v>
      </c>
      <c r="E26591" s="62"/>
      <c r="F26591" s="62" t="str">
        <f>IF(INDEX(I.Gas.P2aY2ElectricityGeneration,10)="","",INDEX(I.Gas.P2aY2ElectricityGeneration,10))</f>
        <v/>
      </c>
      <c r="G26591" s="62"/>
      <c r="H26591" s="46" t="str">
        <f>IF(I.Developer.P2a=FALSE,"Complete",IF(I.Product.P2aGasToPowerStatus&lt;&gt;"Yes","Complete",IF(AND(I.Gas.P2aY2Count&gt;=10,F26591=""),"Incomplete","Complete")))</f>
        <v>Complete</v>
      </c>
      <c r="I26591" s="48" t="s">
        <v>1770</v>
      </c>
    </row>
    <row r="26592" spans="2:9" ht="15" customHeight="1" x14ac:dyDescent="0.25">
      <c r="B26592" s="55" t="s">
        <v>381</v>
      </c>
      <c r="C26592" s="46">
        <v>11</v>
      </c>
      <c r="D26592" s="69" t="s">
        <v>29518</v>
      </c>
      <c r="E26592" s="62"/>
      <c r="F26592" s="62" t="str">
        <f>IF(INDEX(I.Gas.P2aY2ElectricityGeneration,11)="","",INDEX(I.Gas.P2aY2ElectricityGeneration,11))</f>
        <v/>
      </c>
      <c r="G26592" s="62"/>
      <c r="H26592" s="46" t="str">
        <f>IF(I.Developer.P2a=FALSE,"Complete",IF(I.Product.P2aGasToPowerStatus&lt;&gt;"Yes","Complete",IF(AND(I.Gas.P2aY2Count&gt;=11,F26592=""),"Incomplete","Complete")))</f>
        <v>Complete</v>
      </c>
      <c r="I26592" s="48" t="s">
        <v>1771</v>
      </c>
    </row>
    <row r="26593" spans="2:9" ht="15" customHeight="1" x14ac:dyDescent="0.25">
      <c r="B26593" s="55" t="s">
        <v>381</v>
      </c>
      <c r="C26593" s="46">
        <v>12</v>
      </c>
      <c r="D26593" s="69" t="s">
        <v>29518</v>
      </c>
      <c r="E26593" s="62"/>
      <c r="F26593" s="62" t="str">
        <f>IF(INDEX(I.Gas.P2aY2ElectricityGeneration,12)="","",INDEX(I.Gas.P2aY2ElectricityGeneration,12))</f>
        <v/>
      </c>
      <c r="G26593" s="62"/>
      <c r="H26593" s="46" t="str">
        <f>IF(I.Developer.P2a=FALSE,"Complete",IF(I.Product.P2aGasToPowerStatus&lt;&gt;"Yes","Complete",IF(AND(I.Gas.P2aY2Count&gt;=12,F26593=""),"Incomplete","Complete")))</f>
        <v>Complete</v>
      </c>
      <c r="I26593" s="48" t="s">
        <v>1772</v>
      </c>
    </row>
    <row r="26594" spans="2:9" ht="15" customHeight="1" x14ac:dyDescent="0.25">
      <c r="B26594" s="55" t="s">
        <v>381</v>
      </c>
      <c r="C26594" s="46">
        <v>13</v>
      </c>
      <c r="D26594" s="69" t="s">
        <v>29518</v>
      </c>
      <c r="E26594" s="62"/>
      <c r="F26594" s="62" t="str">
        <f>IF(INDEX(I.Gas.P2aY2ElectricityGeneration,13)="","",INDEX(I.Gas.P2aY2ElectricityGeneration,13))</f>
        <v/>
      </c>
      <c r="G26594" s="62"/>
      <c r="H26594" s="46" t="str">
        <f>IF(I.Developer.P2a=FALSE,"Complete",IF(I.Product.P2aGasToPowerStatus&lt;&gt;"Yes","Complete",IF(AND(I.Gas.P2aY2Count&gt;=13,F26594=""),"Incomplete","Complete")))</f>
        <v>Complete</v>
      </c>
      <c r="I26594" s="48" t="s">
        <v>1773</v>
      </c>
    </row>
    <row r="26595" spans="2:9" ht="15" customHeight="1" x14ac:dyDescent="0.25">
      <c r="B26595" s="55" t="s">
        <v>381</v>
      </c>
      <c r="C26595" s="46">
        <v>14</v>
      </c>
      <c r="D26595" s="69" t="s">
        <v>29518</v>
      </c>
      <c r="E26595" s="62"/>
      <c r="F26595" s="62" t="str">
        <f>IF(INDEX(I.Gas.P2aY2ElectricityGeneration,14)="","",INDEX(I.Gas.P2aY2ElectricityGeneration,14))</f>
        <v/>
      </c>
      <c r="G26595" s="62"/>
      <c r="H26595" s="46" t="str">
        <f>IF(I.Developer.P2a=FALSE,"Complete",IF(I.Product.P2aGasToPowerStatus&lt;&gt;"Yes","Complete",IF(AND(I.Gas.P2aY2Count&gt;=14,F26595=""),"Incomplete","Complete")))</f>
        <v>Complete</v>
      </c>
      <c r="I26595" s="48" t="s">
        <v>1774</v>
      </c>
    </row>
    <row r="26596" spans="2:9" ht="15" customHeight="1" x14ac:dyDescent="0.25">
      <c r="B26596" s="55" t="s">
        <v>381</v>
      </c>
      <c r="C26596" s="46">
        <v>15</v>
      </c>
      <c r="D26596" s="69" t="s">
        <v>29518</v>
      </c>
      <c r="E26596" s="62"/>
      <c r="F26596" s="62" t="str">
        <f>IF(INDEX(I.Gas.P2aY2ElectricityGeneration,15)="","",INDEX(I.Gas.P2aY2ElectricityGeneration,15))</f>
        <v/>
      </c>
      <c r="G26596" s="62"/>
      <c r="H26596" s="46" t="str">
        <f>IF(I.Developer.P2a=FALSE,"Complete",IF(I.Product.P2aGasToPowerStatus&lt;&gt;"Yes","Complete",IF(AND(I.Gas.P2aY2Count&gt;=15,F26596=""),"Incomplete","Complete")))</f>
        <v>Complete</v>
      </c>
      <c r="I26596" s="48" t="s">
        <v>1775</v>
      </c>
    </row>
    <row r="26597" spans="2:9" ht="15" customHeight="1" x14ac:dyDescent="0.25">
      <c r="B26597" s="55" t="s">
        <v>381</v>
      </c>
      <c r="C26597" s="46">
        <v>16</v>
      </c>
      <c r="D26597" s="69" t="s">
        <v>29518</v>
      </c>
      <c r="E26597" s="62"/>
      <c r="F26597" s="62" t="str">
        <f>IF(INDEX(I.Gas.P2aY2ElectricityGeneration,16)="","",INDEX(I.Gas.P2aY2ElectricityGeneration,16))</f>
        <v/>
      </c>
      <c r="G26597" s="62"/>
      <c r="H26597" s="46" t="str">
        <f>IF(I.Developer.P2a=FALSE,"Complete",IF(I.Product.P2aGasToPowerStatus&lt;&gt;"Yes","Complete",IF(AND(I.Gas.P2aY2Count&gt;=16,F26597=""),"Incomplete","Complete")))</f>
        <v>Complete</v>
      </c>
      <c r="I26597" s="48" t="s">
        <v>1776</v>
      </c>
    </row>
    <row r="26598" spans="2:9" ht="15" customHeight="1" x14ac:dyDescent="0.25">
      <c r="B26598" s="55" t="s">
        <v>381</v>
      </c>
      <c r="C26598" s="46">
        <v>17</v>
      </c>
      <c r="D26598" s="69" t="s">
        <v>29518</v>
      </c>
      <c r="E26598" s="62"/>
      <c r="F26598" s="62" t="str">
        <f>IF(INDEX(I.Gas.P2aY2ElectricityGeneration,17)="","",INDEX(I.Gas.P2aY2ElectricityGeneration,17))</f>
        <v/>
      </c>
      <c r="G26598" s="62"/>
      <c r="H26598" s="46" t="str">
        <f>IF(I.Developer.P2a=FALSE,"Complete",IF(I.Product.P2aGasToPowerStatus&lt;&gt;"Yes","Complete",IF(AND(I.Gas.P2aY2Count&gt;=17,F26598=""),"Incomplete","Complete")))</f>
        <v>Complete</v>
      </c>
      <c r="I26598" s="48" t="s">
        <v>1777</v>
      </c>
    </row>
    <row r="26599" spans="2:9" ht="15" customHeight="1" x14ac:dyDescent="0.25">
      <c r="B26599" s="55" t="s">
        <v>381</v>
      </c>
      <c r="C26599" s="46">
        <v>18</v>
      </c>
      <c r="D26599" s="69" t="s">
        <v>29518</v>
      </c>
      <c r="E26599" s="62"/>
      <c r="F26599" s="62" t="str">
        <f>IF(INDEX(I.Gas.P2aY2ElectricityGeneration,18)="","",INDEX(I.Gas.P2aY2ElectricityGeneration,18))</f>
        <v/>
      </c>
      <c r="G26599" s="62"/>
      <c r="H26599" s="46" t="str">
        <f>IF(I.Developer.P2a=FALSE,"Complete",IF(I.Product.P2aGasToPowerStatus&lt;&gt;"Yes","Complete",IF(AND(I.Gas.P2aY2Count&gt;=18,F26599=""),"Incomplete","Complete")))</f>
        <v>Complete</v>
      </c>
      <c r="I26599" s="48" t="s">
        <v>1778</v>
      </c>
    </row>
    <row r="26600" spans="2:9" ht="15" customHeight="1" x14ac:dyDescent="0.25">
      <c r="B26600" s="55" t="s">
        <v>381</v>
      </c>
      <c r="C26600" s="46">
        <v>19</v>
      </c>
      <c r="D26600" s="69" t="s">
        <v>29518</v>
      </c>
      <c r="E26600" s="62"/>
      <c r="F26600" s="62" t="str">
        <f>IF(INDEX(I.Gas.P2aY2ElectricityGeneration,19)="","",INDEX(I.Gas.P2aY2ElectricityGeneration,19))</f>
        <v/>
      </c>
      <c r="G26600" s="62"/>
      <c r="H26600" s="46" t="str">
        <f>IF(I.Developer.P2a=FALSE,"Complete",IF(I.Product.P2aGasToPowerStatus&lt;&gt;"Yes","Complete",IF(AND(I.Gas.P2aY2Count&gt;=19,F26600=""),"Incomplete","Complete")))</f>
        <v>Complete</v>
      </c>
      <c r="I26600" s="48" t="s">
        <v>1779</v>
      </c>
    </row>
    <row r="26601" spans="2:9" ht="15" customHeight="1" x14ac:dyDescent="0.25">
      <c r="B26601" s="55" t="s">
        <v>381</v>
      </c>
      <c r="C26601" s="46">
        <v>20</v>
      </c>
      <c r="D26601" s="69" t="s">
        <v>29518</v>
      </c>
      <c r="E26601" s="62"/>
      <c r="F26601" s="62" t="str">
        <f>IF(INDEX(I.Gas.P2aY2ElectricityGeneration,20)="","",INDEX(I.Gas.P2aY2ElectricityGeneration,20))</f>
        <v/>
      </c>
      <c r="G26601" s="62"/>
      <c r="H26601" s="46" t="str">
        <f>IF(I.Developer.P2a=FALSE,"Complete",IF(I.Product.P2aGasToPowerStatus&lt;&gt;"Yes","Complete",IF(AND(I.Gas.P2aY2Count&gt;=20,F26601=""),"Incomplete","Complete")))</f>
        <v>Complete</v>
      </c>
      <c r="I26601" s="48" t="s">
        <v>1780</v>
      </c>
    </row>
    <row r="26602" spans="2:9" ht="15" customHeight="1" x14ac:dyDescent="0.25">
      <c r="B26602" s="55" t="s">
        <v>381</v>
      </c>
      <c r="C26602" s="46">
        <v>21</v>
      </c>
      <c r="D26602" s="69" t="s">
        <v>29518</v>
      </c>
      <c r="E26602" s="62"/>
      <c r="F26602" s="62" t="str">
        <f>IF(INDEX(I.Gas.P2aY2ElectricityGeneration,21)="","",INDEX(I.Gas.P2aY2ElectricityGeneration,21))</f>
        <v/>
      </c>
      <c r="G26602" s="62"/>
      <c r="H26602" s="46" t="str">
        <f>IF(I.Developer.P2a=FALSE,"Complete",IF(I.Product.P2aGasToPowerStatus&lt;&gt;"Yes","Complete",IF(AND(I.Gas.P2aY2Count&gt;=21,F26602=""),"Incomplete","Complete")))</f>
        <v>Complete</v>
      </c>
      <c r="I26602" s="48" t="s">
        <v>1781</v>
      </c>
    </row>
    <row r="26603" spans="2:9" ht="15" customHeight="1" x14ac:dyDescent="0.25">
      <c r="B26603" s="55" t="s">
        <v>381</v>
      </c>
      <c r="C26603" s="46">
        <v>22</v>
      </c>
      <c r="D26603" s="69" t="s">
        <v>29518</v>
      </c>
      <c r="E26603" s="62"/>
      <c r="F26603" s="62" t="str">
        <f>IF(INDEX(I.Gas.P2aY2ElectricityGeneration,22)="","",INDEX(I.Gas.P2aY2ElectricityGeneration,22))</f>
        <v/>
      </c>
      <c r="G26603" s="62"/>
      <c r="H26603" s="46" t="str">
        <f>IF(I.Developer.P2a=FALSE,"Complete",IF(I.Product.P2aGasToPowerStatus&lt;&gt;"Yes","Complete",IF(AND(I.Gas.P2aY2Count&gt;=22,F26603=""),"Incomplete","Complete")))</f>
        <v>Complete</v>
      </c>
      <c r="I26603" s="48" t="s">
        <v>1782</v>
      </c>
    </row>
    <row r="26604" spans="2:9" ht="15" customHeight="1" x14ac:dyDescent="0.25">
      <c r="B26604" s="55" t="s">
        <v>381</v>
      </c>
      <c r="C26604" s="46">
        <v>23</v>
      </c>
      <c r="D26604" s="69" t="s">
        <v>29518</v>
      </c>
      <c r="E26604" s="62"/>
      <c r="F26604" s="62" t="str">
        <f>IF(INDEX(I.Gas.P2aY2ElectricityGeneration,23)="","",INDEX(I.Gas.P2aY2ElectricityGeneration,23))</f>
        <v/>
      </c>
      <c r="G26604" s="62"/>
      <c r="H26604" s="46" t="str">
        <f>IF(I.Developer.P2a=FALSE,"Complete",IF(I.Product.P2aGasToPowerStatus&lt;&gt;"Yes","Complete",IF(AND(I.Gas.P2aY2Count&gt;=23,F26604=""),"Incomplete","Complete")))</f>
        <v>Complete</v>
      </c>
      <c r="I26604" s="48" t="s">
        <v>1783</v>
      </c>
    </row>
    <row r="26605" spans="2:9" ht="15" customHeight="1" x14ac:dyDescent="0.25">
      <c r="B26605" s="55" t="s">
        <v>381</v>
      </c>
      <c r="C26605" s="46">
        <v>24</v>
      </c>
      <c r="D26605" s="69" t="s">
        <v>29518</v>
      </c>
      <c r="E26605" s="62"/>
      <c r="F26605" s="62" t="str">
        <f>IF(INDEX(I.Gas.P2aY2ElectricityGeneration,24)="","",INDEX(I.Gas.P2aY2ElectricityGeneration,24))</f>
        <v/>
      </c>
      <c r="G26605" s="62"/>
      <c r="H26605" s="46" t="str">
        <f>IF(I.Developer.P2a=FALSE,"Complete",IF(I.Product.P2aGasToPowerStatus&lt;&gt;"Yes","Complete",IF(AND(I.Gas.P2aY2Count&gt;=24,F26605=""),"Incomplete","Complete")))</f>
        <v>Complete</v>
      </c>
      <c r="I26605" s="48" t="s">
        <v>1784</v>
      </c>
    </row>
    <row r="26606" spans="2:9" ht="15" customHeight="1" x14ac:dyDescent="0.25">
      <c r="B26606" s="55" t="s">
        <v>381</v>
      </c>
      <c r="C26606" s="46">
        <v>25</v>
      </c>
      <c r="D26606" s="69" t="s">
        <v>29518</v>
      </c>
      <c r="E26606" s="62"/>
      <c r="F26606" s="62" t="str">
        <f>IF(INDEX(I.Gas.P2aY2ElectricityGeneration,25)="","",INDEX(I.Gas.P2aY2ElectricityGeneration,25))</f>
        <v/>
      </c>
      <c r="G26606" s="62"/>
      <c r="H26606" s="46" t="str">
        <f>IF(I.Developer.P2a=FALSE,"Complete",IF(I.Product.P2aGasToPowerStatus&lt;&gt;"Yes","Complete",IF(AND(I.Gas.P2aY2Count&gt;=25,F26606=""),"Incomplete","Complete")))</f>
        <v>Complete</v>
      </c>
      <c r="I26606" s="48" t="s">
        <v>1785</v>
      </c>
    </row>
    <row r="26607" spans="2:9" ht="15" customHeight="1" x14ac:dyDescent="0.25">
      <c r="B26607" s="55" t="s">
        <v>381</v>
      </c>
      <c r="C26607" s="46">
        <v>26</v>
      </c>
      <c r="D26607" s="69" t="s">
        <v>29518</v>
      </c>
      <c r="E26607" s="62"/>
      <c r="F26607" s="62" t="str">
        <f>IF(INDEX(I.Gas.P2aY2ElectricityGeneration,26)="","",INDEX(I.Gas.P2aY2ElectricityGeneration,26))</f>
        <v/>
      </c>
      <c r="G26607" s="62"/>
      <c r="H26607" s="46" t="str">
        <f>IF(I.Developer.P2a=FALSE,"Complete",IF(I.Product.P2aGasToPowerStatus&lt;&gt;"Yes","Complete",IF(AND(I.Gas.P2aY2Count&gt;=26,F26607=""),"Incomplete","Complete")))</f>
        <v>Complete</v>
      </c>
      <c r="I26607" s="48" t="s">
        <v>1786</v>
      </c>
    </row>
    <row r="26608" spans="2:9" ht="15" customHeight="1" x14ac:dyDescent="0.25">
      <c r="B26608" s="55" t="s">
        <v>381</v>
      </c>
      <c r="C26608" s="46">
        <v>27</v>
      </c>
      <c r="D26608" s="69" t="s">
        <v>29518</v>
      </c>
      <c r="E26608" s="62"/>
      <c r="F26608" s="62" t="str">
        <f>IF(INDEX(I.Gas.P2aY2ElectricityGeneration,27)="","",INDEX(I.Gas.P2aY2ElectricityGeneration,27))</f>
        <v/>
      </c>
      <c r="G26608" s="62"/>
      <c r="H26608" s="46" t="str">
        <f>IF(I.Developer.P2a=FALSE,"Complete",IF(I.Product.P2aGasToPowerStatus&lt;&gt;"Yes","Complete",IF(AND(I.Gas.P2aY2Count&gt;=27,F26608=""),"Incomplete","Complete")))</f>
        <v>Complete</v>
      </c>
      <c r="I26608" s="48" t="s">
        <v>1787</v>
      </c>
    </row>
    <row r="26609" spans="2:9" ht="15" customHeight="1" x14ac:dyDescent="0.25">
      <c r="B26609" s="55" t="s">
        <v>381</v>
      </c>
      <c r="C26609" s="46">
        <v>28</v>
      </c>
      <c r="D26609" s="69" t="s">
        <v>29518</v>
      </c>
      <c r="E26609" s="62"/>
      <c r="F26609" s="62" t="str">
        <f>IF(INDEX(I.Gas.P2aY2ElectricityGeneration,28)="","",INDEX(I.Gas.P2aY2ElectricityGeneration,28))</f>
        <v/>
      </c>
      <c r="G26609" s="62"/>
      <c r="H26609" s="46" t="str">
        <f>IF(I.Developer.P2a=FALSE,"Complete",IF(I.Product.P2aGasToPowerStatus&lt;&gt;"Yes","Complete",IF(AND(I.Gas.P2aY2Count&gt;=28,F26609=""),"Incomplete","Complete")))</f>
        <v>Complete</v>
      </c>
      <c r="I26609" s="48" t="s">
        <v>1788</v>
      </c>
    </row>
    <row r="26610" spans="2:9" ht="15" customHeight="1" x14ac:dyDescent="0.25">
      <c r="B26610" s="55" t="s">
        <v>381</v>
      </c>
      <c r="C26610" s="46">
        <v>29</v>
      </c>
      <c r="D26610" s="69" t="s">
        <v>29518</v>
      </c>
      <c r="E26610" s="62"/>
      <c r="F26610" s="62" t="str">
        <f>IF(INDEX(I.Gas.P2aY2ElectricityGeneration,29)="","",INDEX(I.Gas.P2aY2ElectricityGeneration,29))</f>
        <v/>
      </c>
      <c r="G26610" s="62"/>
      <c r="H26610" s="46" t="str">
        <f>IF(I.Developer.P2a=FALSE,"Complete",IF(I.Product.P2aGasToPowerStatus&lt;&gt;"Yes","Complete",IF(AND(I.Gas.P2aY2Count&gt;=29,F26610=""),"Incomplete","Complete")))</f>
        <v>Complete</v>
      </c>
      <c r="I26610" s="48" t="s">
        <v>1789</v>
      </c>
    </row>
    <row r="26611" spans="2:9" ht="15" customHeight="1" x14ac:dyDescent="0.25">
      <c r="B26611" s="55" t="s">
        <v>381</v>
      </c>
      <c r="C26611" s="46">
        <v>30</v>
      </c>
      <c r="D26611" s="69" t="s">
        <v>29518</v>
      </c>
      <c r="E26611" s="62"/>
      <c r="F26611" s="62" t="str">
        <f>IF(INDEX(I.Gas.P2aY2ElectricityGeneration,30)="","",INDEX(I.Gas.P2aY2ElectricityGeneration,30))</f>
        <v/>
      </c>
      <c r="G26611" s="62"/>
      <c r="H26611" s="46" t="str">
        <f>IF(I.Developer.P2a=FALSE,"Complete",IF(I.Product.P2aGasToPowerStatus&lt;&gt;"Yes","Complete",IF(AND(I.Gas.P2aY2Count&gt;=30,F26611=""),"Incomplete","Complete")))</f>
        <v>Complete</v>
      </c>
      <c r="I26611" s="48" t="s">
        <v>1790</v>
      </c>
    </row>
    <row r="26612" spans="2:9" ht="15" customHeight="1" x14ac:dyDescent="0.25">
      <c r="B26612" s="55" t="s">
        <v>381</v>
      </c>
      <c r="C26612" s="46">
        <v>31</v>
      </c>
      <c r="D26612" s="69" t="s">
        <v>29518</v>
      </c>
      <c r="E26612" s="62"/>
      <c r="F26612" s="62" t="str">
        <f>IF(INDEX(I.Gas.P2aY2ElectricityGeneration,31)="","",INDEX(I.Gas.P2aY2ElectricityGeneration,31))</f>
        <v/>
      </c>
      <c r="G26612" s="62"/>
      <c r="H26612" s="46" t="str">
        <f>IF(I.Developer.P2a=FALSE,"Complete",IF(I.Product.P2aGasToPowerStatus&lt;&gt;"Yes","Complete",IF(AND(I.Gas.P2aY2Count&gt;=31,F26612=""),"Incomplete","Complete")))</f>
        <v>Complete</v>
      </c>
      <c r="I26612" s="48" t="s">
        <v>1791</v>
      </c>
    </row>
    <row r="26613" spans="2:9" ht="15" customHeight="1" x14ac:dyDescent="0.25">
      <c r="B26613" s="55" t="s">
        <v>381</v>
      </c>
      <c r="C26613" s="46">
        <v>32</v>
      </c>
      <c r="D26613" s="69" t="s">
        <v>29518</v>
      </c>
      <c r="E26613" s="62"/>
      <c r="F26613" s="62" t="str">
        <f>IF(INDEX(I.Gas.P2aY2ElectricityGeneration,32)="","",INDEX(I.Gas.P2aY2ElectricityGeneration,32))</f>
        <v/>
      </c>
      <c r="G26613" s="62"/>
      <c r="H26613" s="46" t="str">
        <f>IF(I.Developer.P2a=FALSE,"Complete",IF(I.Product.P2aGasToPowerStatus&lt;&gt;"Yes","Complete",IF(AND(I.Gas.P2aY2Count&gt;=32,F26613=""),"Incomplete","Complete")))</f>
        <v>Complete</v>
      </c>
      <c r="I26613" s="48" t="s">
        <v>1792</v>
      </c>
    </row>
    <row r="26614" spans="2:9" ht="15" customHeight="1" x14ac:dyDescent="0.25">
      <c r="B26614" s="55" t="s">
        <v>381</v>
      </c>
      <c r="C26614" s="46">
        <v>33</v>
      </c>
      <c r="D26614" s="69" t="s">
        <v>29518</v>
      </c>
      <c r="E26614" s="62"/>
      <c r="F26614" s="62" t="str">
        <f>IF(INDEX(I.Gas.P2aY2ElectricityGeneration,33)="","",INDEX(I.Gas.P2aY2ElectricityGeneration,33))</f>
        <v/>
      </c>
      <c r="G26614" s="62"/>
      <c r="H26614" s="46" t="str">
        <f>IF(I.Developer.P2a=FALSE,"Complete",IF(I.Product.P2aGasToPowerStatus&lt;&gt;"Yes","Complete",IF(AND(I.Gas.P2aY2Count&gt;=33,F26614=""),"Incomplete","Complete")))</f>
        <v>Complete</v>
      </c>
      <c r="I26614" s="48" t="s">
        <v>1793</v>
      </c>
    </row>
    <row r="26615" spans="2:9" ht="15" customHeight="1" x14ac:dyDescent="0.25">
      <c r="B26615" s="55" t="s">
        <v>381</v>
      </c>
      <c r="C26615" s="46">
        <v>34</v>
      </c>
      <c r="D26615" s="69" t="s">
        <v>29518</v>
      </c>
      <c r="E26615" s="62"/>
      <c r="F26615" s="62" t="str">
        <f>IF(INDEX(I.Gas.P2aY2ElectricityGeneration,34)="","",INDEX(I.Gas.P2aY2ElectricityGeneration,34))</f>
        <v/>
      </c>
      <c r="G26615" s="62"/>
      <c r="H26615" s="46" t="str">
        <f>IF(I.Developer.P2a=FALSE,"Complete",IF(I.Product.P2aGasToPowerStatus&lt;&gt;"Yes","Complete",IF(AND(I.Gas.P2aY2Count&gt;=34,F26615=""),"Incomplete","Complete")))</f>
        <v>Complete</v>
      </c>
      <c r="I26615" s="48" t="s">
        <v>1794</v>
      </c>
    </row>
    <row r="26616" spans="2:9" ht="15" customHeight="1" x14ac:dyDescent="0.25">
      <c r="B26616" s="55" t="s">
        <v>381</v>
      </c>
      <c r="C26616" s="46">
        <v>35</v>
      </c>
      <c r="D26616" s="69" t="s">
        <v>29518</v>
      </c>
      <c r="E26616" s="62"/>
      <c r="F26616" s="62" t="str">
        <f>IF(INDEX(I.Gas.P2aY2ElectricityGeneration,35)="","",INDEX(I.Gas.P2aY2ElectricityGeneration,35))</f>
        <v/>
      </c>
      <c r="G26616" s="62"/>
      <c r="H26616" s="46" t="str">
        <f>IF(I.Developer.P2a=FALSE,"Complete",IF(I.Product.P2aGasToPowerStatus&lt;&gt;"Yes","Complete",IF(AND(I.Gas.P2aY2Count&gt;=35,F26616=""),"Incomplete","Complete")))</f>
        <v>Complete</v>
      </c>
      <c r="I26616" s="48" t="s">
        <v>1795</v>
      </c>
    </row>
    <row r="26617" spans="2:9" ht="15" customHeight="1" x14ac:dyDescent="0.25">
      <c r="B26617" s="55" t="s">
        <v>381</v>
      </c>
      <c r="C26617" s="46">
        <v>36</v>
      </c>
      <c r="D26617" s="69" t="s">
        <v>29518</v>
      </c>
      <c r="E26617" s="62"/>
      <c r="F26617" s="62" t="str">
        <f>IF(INDEX(I.Gas.P2aY2ElectricityGeneration,36)="","",INDEX(I.Gas.P2aY2ElectricityGeneration,36))</f>
        <v/>
      </c>
      <c r="G26617" s="62"/>
      <c r="H26617" s="46" t="str">
        <f>IF(I.Developer.P2a=FALSE,"Complete",IF(I.Product.P2aGasToPowerStatus&lt;&gt;"Yes","Complete",IF(AND(I.Gas.P2aY2Count&gt;=36,F26617=""),"Incomplete","Complete")))</f>
        <v>Complete</v>
      </c>
      <c r="I26617" s="48" t="s">
        <v>1796</v>
      </c>
    </row>
    <row r="26618" spans="2:9" ht="15" customHeight="1" x14ac:dyDescent="0.25">
      <c r="B26618" s="55" t="s">
        <v>381</v>
      </c>
      <c r="C26618" s="46">
        <v>37</v>
      </c>
      <c r="D26618" s="69" t="s">
        <v>29518</v>
      </c>
      <c r="E26618" s="62"/>
      <c r="F26618" s="62" t="str">
        <f>IF(INDEX(I.Gas.P2aY2ElectricityGeneration,37)="","",INDEX(I.Gas.P2aY2ElectricityGeneration,37))</f>
        <v/>
      </c>
      <c r="G26618" s="62"/>
      <c r="H26618" s="46" t="str">
        <f>IF(I.Developer.P2a=FALSE,"Complete",IF(I.Product.P2aGasToPowerStatus&lt;&gt;"Yes","Complete",IF(AND(I.Gas.P2aY2Count&gt;=37,F26618=""),"Incomplete","Complete")))</f>
        <v>Complete</v>
      </c>
      <c r="I26618" s="48" t="s">
        <v>1797</v>
      </c>
    </row>
    <row r="26619" spans="2:9" ht="15" customHeight="1" x14ac:dyDescent="0.25">
      <c r="B26619" s="55" t="s">
        <v>381</v>
      </c>
      <c r="C26619" s="46">
        <v>38</v>
      </c>
      <c r="D26619" s="69" t="s">
        <v>29518</v>
      </c>
      <c r="E26619" s="62"/>
      <c r="F26619" s="62" t="str">
        <f>IF(INDEX(I.Gas.P2aY2ElectricityGeneration,38)="","",INDEX(I.Gas.P2aY2ElectricityGeneration,38))</f>
        <v/>
      </c>
      <c r="G26619" s="62"/>
      <c r="H26619" s="46" t="str">
        <f>IF(I.Developer.P2a=FALSE,"Complete",IF(I.Product.P2aGasToPowerStatus&lt;&gt;"Yes","Complete",IF(AND(I.Gas.P2aY2Count&gt;=38,F26619=""),"Incomplete","Complete")))</f>
        <v>Complete</v>
      </c>
      <c r="I26619" s="48" t="s">
        <v>1798</v>
      </c>
    </row>
    <row r="26620" spans="2:9" ht="15" customHeight="1" x14ac:dyDescent="0.25">
      <c r="B26620" s="55" t="s">
        <v>381</v>
      </c>
      <c r="C26620" s="46">
        <v>39</v>
      </c>
      <c r="D26620" s="69" t="s">
        <v>29518</v>
      </c>
      <c r="E26620" s="62"/>
      <c r="F26620" s="62" t="str">
        <f>IF(INDEX(I.Gas.P2aY2ElectricityGeneration,39)="","",INDEX(I.Gas.P2aY2ElectricityGeneration,39))</f>
        <v/>
      </c>
      <c r="G26620" s="62"/>
      <c r="H26620" s="46" t="str">
        <f>IF(I.Developer.P2a=FALSE,"Complete",IF(I.Product.P2aGasToPowerStatus&lt;&gt;"Yes","Complete",IF(AND(I.Gas.P2aY2Count&gt;=39,F26620=""),"Incomplete","Complete")))</f>
        <v>Complete</v>
      </c>
      <c r="I26620" s="48" t="s">
        <v>1799</v>
      </c>
    </row>
    <row r="26621" spans="2:9" ht="15" customHeight="1" x14ac:dyDescent="0.25">
      <c r="B26621" s="55" t="s">
        <v>381</v>
      </c>
      <c r="C26621" s="46">
        <v>40</v>
      </c>
      <c r="D26621" s="69" t="s">
        <v>29518</v>
      </c>
      <c r="E26621" s="62"/>
      <c r="F26621" s="62" t="str">
        <f>IF(INDEX(I.Gas.P2aY2ElectricityGeneration,40)="","",INDEX(I.Gas.P2aY2ElectricityGeneration,40))</f>
        <v/>
      </c>
      <c r="G26621" s="62"/>
      <c r="H26621" s="46" t="str">
        <f>IF(I.Developer.P2a=FALSE,"Complete",IF(I.Product.P2aGasToPowerStatus&lt;&gt;"Yes","Complete",IF(AND(I.Gas.P2aY2Count&gt;=40,F26621=""),"Incomplete","Complete")))</f>
        <v>Complete</v>
      </c>
      <c r="I26621" s="48" t="s">
        <v>1800</v>
      </c>
    </row>
    <row r="26622" spans="2:9" ht="15" customHeight="1" x14ac:dyDescent="0.25">
      <c r="B26622" s="55" t="s">
        <v>381</v>
      </c>
      <c r="C26622" s="46">
        <v>41</v>
      </c>
      <c r="D26622" s="69" t="s">
        <v>29518</v>
      </c>
      <c r="E26622" s="62"/>
      <c r="F26622" s="62" t="str">
        <f>IF(INDEX(I.Gas.P2aY2ElectricityGeneration,41)="","",INDEX(I.Gas.P2aY2ElectricityGeneration,41))</f>
        <v/>
      </c>
      <c r="G26622" s="62"/>
      <c r="H26622" s="46" t="str">
        <f>IF(I.Developer.P2a=FALSE,"Complete",IF(I.Product.P2aGasToPowerStatus&lt;&gt;"Yes","Complete",IF(AND(I.Gas.P2aY2Count&gt;=41,F26622=""),"Incomplete","Complete")))</f>
        <v>Complete</v>
      </c>
      <c r="I26622" s="48" t="s">
        <v>1801</v>
      </c>
    </row>
    <row r="26623" spans="2:9" ht="15" customHeight="1" x14ac:dyDescent="0.25">
      <c r="B26623" s="55" t="s">
        <v>381</v>
      </c>
      <c r="C26623" s="46">
        <v>42</v>
      </c>
      <c r="D26623" s="69" t="s">
        <v>29518</v>
      </c>
      <c r="E26623" s="62"/>
      <c r="F26623" s="62" t="str">
        <f>IF(INDEX(I.Gas.P2aY2ElectricityGeneration,42)="","",INDEX(I.Gas.P2aY2ElectricityGeneration,42))</f>
        <v/>
      </c>
      <c r="G26623" s="62"/>
      <c r="H26623" s="46" t="str">
        <f>IF(I.Developer.P2a=FALSE,"Complete",IF(I.Product.P2aGasToPowerStatus&lt;&gt;"Yes","Complete",IF(AND(I.Gas.P2aY2Count&gt;=42,F26623=""),"Incomplete","Complete")))</f>
        <v>Complete</v>
      </c>
      <c r="I26623" s="48" t="s">
        <v>1802</v>
      </c>
    </row>
    <row r="26624" spans="2:9" ht="15" customHeight="1" x14ac:dyDescent="0.25">
      <c r="B26624" s="55" t="s">
        <v>381</v>
      </c>
      <c r="C26624" s="46">
        <v>43</v>
      </c>
      <c r="D26624" s="69" t="s">
        <v>29518</v>
      </c>
      <c r="E26624" s="62"/>
      <c r="F26624" s="62" t="str">
        <f>IF(INDEX(I.Gas.P2aY2ElectricityGeneration,43)="","",INDEX(I.Gas.P2aY2ElectricityGeneration,43))</f>
        <v/>
      </c>
      <c r="G26624" s="62"/>
      <c r="H26624" s="46" t="str">
        <f>IF(I.Developer.P2a=FALSE,"Complete",IF(I.Product.P2aGasToPowerStatus&lt;&gt;"Yes","Complete",IF(AND(I.Gas.P2aY2Count&gt;=43,F26624=""),"Incomplete","Complete")))</f>
        <v>Complete</v>
      </c>
      <c r="I26624" s="48" t="s">
        <v>1803</v>
      </c>
    </row>
    <row r="26625" spans="2:9" ht="15" customHeight="1" x14ac:dyDescent="0.25">
      <c r="B26625" s="55" t="s">
        <v>381</v>
      </c>
      <c r="C26625" s="46">
        <v>44</v>
      </c>
      <c r="D26625" s="69" t="s">
        <v>29518</v>
      </c>
      <c r="E26625" s="62"/>
      <c r="F26625" s="62" t="str">
        <f>IF(INDEX(I.Gas.P2aY2ElectricityGeneration,44)="","",INDEX(I.Gas.P2aY2ElectricityGeneration,44))</f>
        <v/>
      </c>
      <c r="G26625" s="62"/>
      <c r="H26625" s="46" t="str">
        <f>IF(I.Developer.P2a=FALSE,"Complete",IF(I.Product.P2aGasToPowerStatus&lt;&gt;"Yes","Complete",IF(AND(I.Gas.P2aY2Count&gt;=44,F26625=""),"Incomplete","Complete")))</f>
        <v>Complete</v>
      </c>
      <c r="I26625" s="48" t="s">
        <v>1804</v>
      </c>
    </row>
    <row r="26626" spans="2:9" ht="15" customHeight="1" x14ac:dyDescent="0.25">
      <c r="B26626" s="55" t="s">
        <v>381</v>
      </c>
      <c r="C26626" s="46">
        <v>45</v>
      </c>
      <c r="D26626" s="69" t="s">
        <v>29518</v>
      </c>
      <c r="E26626" s="62"/>
      <c r="F26626" s="62" t="str">
        <f>IF(INDEX(I.Gas.P2aY2ElectricityGeneration,45)="","",INDEX(I.Gas.P2aY2ElectricityGeneration,45))</f>
        <v/>
      </c>
      <c r="G26626" s="62"/>
      <c r="H26626" s="46" t="str">
        <f>IF(I.Developer.P2a=FALSE,"Complete",IF(I.Product.P2aGasToPowerStatus&lt;&gt;"Yes","Complete",IF(AND(I.Gas.P2aY2Count&gt;=45,F26626=""),"Incomplete","Complete")))</f>
        <v>Complete</v>
      </c>
      <c r="I26626" s="48" t="s">
        <v>1805</v>
      </c>
    </row>
    <row r="26627" spans="2:9" ht="15" customHeight="1" x14ac:dyDescent="0.25">
      <c r="B26627" s="55" t="s">
        <v>381</v>
      </c>
      <c r="C26627" s="46">
        <v>46</v>
      </c>
      <c r="D26627" s="69" t="s">
        <v>29518</v>
      </c>
      <c r="E26627" s="62"/>
      <c r="F26627" s="62" t="str">
        <f>IF(INDEX(I.Gas.P2aY2ElectricityGeneration,46)="","",INDEX(I.Gas.P2aY2ElectricityGeneration,46))</f>
        <v/>
      </c>
      <c r="G26627" s="62"/>
      <c r="H26627" s="46" t="str">
        <f>IF(I.Developer.P2a=FALSE,"Complete",IF(I.Product.P2aGasToPowerStatus&lt;&gt;"Yes","Complete",IF(AND(I.Gas.P2aY2Count&gt;=46,F26627=""),"Incomplete","Complete")))</f>
        <v>Complete</v>
      </c>
      <c r="I26627" s="48" t="s">
        <v>1806</v>
      </c>
    </row>
    <row r="26628" spans="2:9" ht="15" customHeight="1" x14ac:dyDescent="0.25">
      <c r="B26628" s="55" t="s">
        <v>381</v>
      </c>
      <c r="C26628" s="46">
        <v>47</v>
      </c>
      <c r="D26628" s="69" t="s">
        <v>29518</v>
      </c>
      <c r="E26628" s="62"/>
      <c r="F26628" s="62" t="str">
        <f>IF(INDEX(I.Gas.P2aY2ElectricityGeneration,47)="","",INDEX(I.Gas.P2aY2ElectricityGeneration,47))</f>
        <v/>
      </c>
      <c r="G26628" s="62"/>
      <c r="H26628" s="46" t="str">
        <f>IF(I.Developer.P2a=FALSE,"Complete",IF(I.Product.P2aGasToPowerStatus&lt;&gt;"Yes","Complete",IF(AND(I.Gas.P2aY2Count&gt;=47,F26628=""),"Incomplete","Complete")))</f>
        <v>Complete</v>
      </c>
      <c r="I26628" s="48" t="s">
        <v>1807</v>
      </c>
    </row>
    <row r="26629" spans="2:9" ht="15" customHeight="1" x14ac:dyDescent="0.25">
      <c r="B26629" s="55" t="s">
        <v>381</v>
      </c>
      <c r="C26629" s="46">
        <v>48</v>
      </c>
      <c r="D26629" s="69" t="s">
        <v>29518</v>
      </c>
      <c r="E26629" s="62"/>
      <c r="F26629" s="62" t="str">
        <f>IF(INDEX(I.Gas.P2aY2ElectricityGeneration,48)="","",INDEX(I.Gas.P2aY2ElectricityGeneration,48))</f>
        <v/>
      </c>
      <c r="G26629" s="62"/>
      <c r="H26629" s="46" t="str">
        <f>IF(I.Developer.P2a=FALSE,"Complete",IF(I.Product.P2aGasToPowerStatus&lt;&gt;"Yes","Complete",IF(AND(I.Gas.P2aY2Count&gt;=48,F26629=""),"Incomplete","Complete")))</f>
        <v>Complete</v>
      </c>
      <c r="I26629" s="48" t="s">
        <v>1808</v>
      </c>
    </row>
    <row r="26630" spans="2:9" ht="15" customHeight="1" x14ac:dyDescent="0.25">
      <c r="B26630" s="55" t="s">
        <v>381</v>
      </c>
      <c r="C26630" s="46">
        <v>49</v>
      </c>
      <c r="D26630" s="69" t="s">
        <v>29518</v>
      </c>
      <c r="E26630" s="62"/>
      <c r="F26630" s="62" t="str">
        <f>IF(INDEX(I.Gas.P2aY2ElectricityGeneration,49)="","",INDEX(I.Gas.P2aY2ElectricityGeneration,49))</f>
        <v/>
      </c>
      <c r="G26630" s="62"/>
      <c r="H26630" s="46" t="str">
        <f>IF(I.Developer.P2a=FALSE,"Complete",IF(I.Product.P2aGasToPowerStatus&lt;&gt;"Yes","Complete",IF(AND(I.Gas.P2aY2Count&gt;=49,F26630=""),"Incomplete","Complete")))</f>
        <v>Complete</v>
      </c>
      <c r="I26630" s="48" t="s">
        <v>1809</v>
      </c>
    </row>
    <row r="26631" spans="2:9" ht="15" customHeight="1" x14ac:dyDescent="0.25">
      <c r="B26631" s="56" t="s">
        <v>381</v>
      </c>
      <c r="C26631" s="57">
        <v>50</v>
      </c>
      <c r="D26631" s="71" t="s">
        <v>29518</v>
      </c>
      <c r="E26631" s="61"/>
      <c r="F26631" s="61" t="str">
        <f>IF(INDEX(I.Gas.P2aY2ElectricityGeneration,50)="","",INDEX(I.Gas.P2aY2ElectricityGeneration,50))</f>
        <v/>
      </c>
      <c r="G26631" s="61"/>
      <c r="H26631" s="57" t="str">
        <f>IF(I.Developer.P2a=FALSE,"Complete",IF(I.Product.P2aGasToPowerStatus&lt;&gt;"Yes","Complete",IF(AND(I.Gas.P2aY2Count&gt;=50,F26631=""),"Incomplete","Complete")))</f>
        <v>Complete</v>
      </c>
      <c r="I26631" s="49" t="s">
        <v>1810</v>
      </c>
    </row>
    <row r="26632" spans="2:9" ht="15" customHeight="1" x14ac:dyDescent="0.25">
      <c r="B26632" s="55" t="s">
        <v>382</v>
      </c>
      <c r="C26632" s="46">
        <v>1</v>
      </c>
      <c r="D26632" s="69" t="s">
        <v>29519</v>
      </c>
      <c r="E26632" s="62"/>
      <c r="F26632" s="62" t="str">
        <f>IF(INDEX(I.Gas.P2aY2C1V1,1)="","",INDEX(I.Gas.P2aY2C1V1,1))</f>
        <v/>
      </c>
      <c r="G26632" s="62"/>
      <c r="H26632" s="46" t="str">
        <f>IF(OR(I.Developer.P2a=FALSE,I.Facility.StandardPart&lt;&gt;"Part 2"),"Complete",IF(I.Product.P2aGasToPowerStatus&lt;&gt;"Yes","Complete",IF(AND(I.Gas.P2aY2Count&gt;=1,F26632=""),"Incomplete","Complete")))</f>
        <v>Complete</v>
      </c>
      <c r="I26632" s="48" t="s">
        <v>1811</v>
      </c>
    </row>
    <row r="26633" spans="2:9" ht="15" customHeight="1" x14ac:dyDescent="0.25">
      <c r="B26633" s="55" t="s">
        <v>382</v>
      </c>
      <c r="C26633" s="46">
        <v>2</v>
      </c>
      <c r="D26633" s="69" t="s">
        <v>29519</v>
      </c>
      <c r="E26633" s="62"/>
      <c r="F26633" s="62" t="str">
        <f>IF(INDEX(I.Gas.P2aY2C1V1,2)="","",INDEX(I.Gas.P2aY2C1V1,2))</f>
        <v/>
      </c>
      <c r="G26633" s="62"/>
      <c r="H26633" s="46" t="str">
        <f>IF(OR(I.Developer.P2a=FALSE,I.Facility.StandardPart&lt;&gt;"Part 2"),"Complete",IF(I.Product.P2aGasToPowerStatus&lt;&gt;"Yes","Complete",IF(AND(I.Gas.P2aY2Count&gt;=2,F26633=""),"Incomplete","Complete")))</f>
        <v>Complete</v>
      </c>
      <c r="I26633" s="48" t="s">
        <v>1812</v>
      </c>
    </row>
    <row r="26634" spans="2:9" ht="15" customHeight="1" x14ac:dyDescent="0.25">
      <c r="B26634" s="55" t="s">
        <v>382</v>
      </c>
      <c r="C26634" s="46">
        <v>3</v>
      </c>
      <c r="D26634" s="69" t="s">
        <v>29519</v>
      </c>
      <c r="E26634" s="62"/>
      <c r="F26634" s="62" t="str">
        <f>IF(INDEX(I.Gas.P2aY2C1V1,3)="","",INDEX(I.Gas.P2aY2C1V1,3))</f>
        <v/>
      </c>
      <c r="G26634" s="62"/>
      <c r="H26634" s="46" t="str">
        <f>IF(OR(I.Developer.P2a=FALSE,I.Facility.StandardPart&lt;&gt;"Part 2"),"Complete",IF(I.Product.P2aGasToPowerStatus&lt;&gt;"Yes","Complete",IF(AND(I.Gas.P2aY2Count&gt;=3,F26634=""),"Incomplete","Complete")))</f>
        <v>Complete</v>
      </c>
      <c r="I26634" s="48" t="s">
        <v>1813</v>
      </c>
    </row>
    <row r="26635" spans="2:9" ht="15" customHeight="1" x14ac:dyDescent="0.25">
      <c r="B26635" s="55" t="s">
        <v>382</v>
      </c>
      <c r="C26635" s="46">
        <v>4</v>
      </c>
      <c r="D26635" s="69" t="s">
        <v>29519</v>
      </c>
      <c r="E26635" s="62"/>
      <c r="F26635" s="62" t="str">
        <f>IF(INDEX(I.Gas.P2aY2C1V1,4)="","",INDEX(I.Gas.P2aY2C1V1,4))</f>
        <v/>
      </c>
      <c r="G26635" s="62"/>
      <c r="H26635" s="46" t="str">
        <f>IF(OR(I.Developer.P2a=FALSE,I.Facility.StandardPart&lt;&gt;"Part 2"),"Complete",IF(I.Product.P2aGasToPowerStatus&lt;&gt;"Yes","Complete",IF(AND(I.Gas.P2aY2Count&gt;=4,F26635=""),"Incomplete","Complete")))</f>
        <v>Complete</v>
      </c>
      <c r="I26635" s="48" t="s">
        <v>1814</v>
      </c>
    </row>
    <row r="26636" spans="2:9" ht="15" customHeight="1" x14ac:dyDescent="0.25">
      <c r="B26636" s="55" t="s">
        <v>382</v>
      </c>
      <c r="C26636" s="46">
        <v>5</v>
      </c>
      <c r="D26636" s="69" t="s">
        <v>29519</v>
      </c>
      <c r="E26636" s="62"/>
      <c r="F26636" s="62" t="str">
        <f>IF(INDEX(I.Gas.P2aY2C1V1,5)="","",INDEX(I.Gas.P2aY2C1V1,5))</f>
        <v/>
      </c>
      <c r="G26636" s="62"/>
      <c r="H26636" s="46" t="str">
        <f>IF(OR(I.Developer.P2a=FALSE,I.Facility.StandardPart&lt;&gt;"Part 2"),"Complete",IF(I.Product.P2aGasToPowerStatus&lt;&gt;"Yes","Complete",IF(AND(I.Gas.P2aY2Count&gt;=5,F26636=""),"Incomplete","Complete")))</f>
        <v>Complete</v>
      </c>
      <c r="I26636" s="48" t="s">
        <v>1815</v>
      </c>
    </row>
    <row r="26637" spans="2:9" ht="15" customHeight="1" x14ac:dyDescent="0.25">
      <c r="B26637" s="55" t="s">
        <v>382</v>
      </c>
      <c r="C26637" s="46">
        <v>6</v>
      </c>
      <c r="D26637" s="69" t="s">
        <v>29519</v>
      </c>
      <c r="E26637" s="62"/>
      <c r="F26637" s="62" t="str">
        <f>IF(INDEX(I.Gas.P2aY2C1V1,6)="","",INDEX(I.Gas.P2aY2C1V1,6))</f>
        <v/>
      </c>
      <c r="G26637" s="62"/>
      <c r="H26637" s="46" t="str">
        <f>IF(OR(I.Developer.P2a=FALSE,I.Facility.StandardPart&lt;&gt;"Part 2"),"Complete",IF(I.Product.P2aGasToPowerStatus&lt;&gt;"Yes","Complete",IF(AND(I.Gas.P2aY2Count&gt;=6,F26637=""),"Incomplete","Complete")))</f>
        <v>Complete</v>
      </c>
      <c r="I26637" s="48" t="s">
        <v>1816</v>
      </c>
    </row>
    <row r="26638" spans="2:9" ht="15" customHeight="1" x14ac:dyDescent="0.25">
      <c r="B26638" s="55" t="s">
        <v>382</v>
      </c>
      <c r="C26638" s="46">
        <v>7</v>
      </c>
      <c r="D26638" s="69" t="s">
        <v>29519</v>
      </c>
      <c r="E26638" s="62"/>
      <c r="F26638" s="62" t="str">
        <f>IF(INDEX(I.Gas.P2aY2C1V1,7)="","",INDEX(I.Gas.P2aY2C1V1,7))</f>
        <v/>
      </c>
      <c r="G26638" s="62"/>
      <c r="H26638" s="46" t="str">
        <f>IF(OR(I.Developer.P2a=FALSE,I.Facility.StandardPart&lt;&gt;"Part 2"),"Complete",IF(I.Product.P2aGasToPowerStatus&lt;&gt;"Yes","Complete",IF(AND(I.Gas.P2aY2Count&gt;=7,F26638=""),"Incomplete","Complete")))</f>
        <v>Complete</v>
      </c>
      <c r="I26638" s="48" t="s">
        <v>1817</v>
      </c>
    </row>
    <row r="26639" spans="2:9" ht="15" customHeight="1" x14ac:dyDescent="0.25">
      <c r="B26639" s="55" t="s">
        <v>382</v>
      </c>
      <c r="C26639" s="46">
        <v>8</v>
      </c>
      <c r="D26639" s="69" t="s">
        <v>29519</v>
      </c>
      <c r="E26639" s="62"/>
      <c r="F26639" s="62" t="str">
        <f>IF(INDEX(I.Gas.P2aY2C1V1,8)="","",INDEX(I.Gas.P2aY2C1V1,8))</f>
        <v/>
      </c>
      <c r="G26639" s="62"/>
      <c r="H26639" s="46" t="str">
        <f>IF(OR(I.Developer.P2a=FALSE,I.Facility.StandardPart&lt;&gt;"Part 2"),"Complete",IF(I.Product.P2aGasToPowerStatus&lt;&gt;"Yes","Complete",IF(AND(I.Gas.P2aY2Count&gt;=8,F26639=""),"Incomplete","Complete")))</f>
        <v>Complete</v>
      </c>
      <c r="I26639" s="48" t="s">
        <v>1818</v>
      </c>
    </row>
    <row r="26640" spans="2:9" ht="15" customHeight="1" x14ac:dyDescent="0.25">
      <c r="B26640" s="55" t="s">
        <v>382</v>
      </c>
      <c r="C26640" s="46">
        <v>9</v>
      </c>
      <c r="D26640" s="69" t="s">
        <v>29519</v>
      </c>
      <c r="E26640" s="62"/>
      <c r="F26640" s="62" t="str">
        <f>IF(INDEX(I.Gas.P2aY2C1V1,9)="","",INDEX(I.Gas.P2aY2C1V1,9))</f>
        <v/>
      </c>
      <c r="G26640" s="62"/>
      <c r="H26640" s="46" t="str">
        <f>IF(OR(I.Developer.P2a=FALSE,I.Facility.StandardPart&lt;&gt;"Part 2"),"Complete",IF(I.Product.P2aGasToPowerStatus&lt;&gt;"Yes","Complete",IF(AND(I.Gas.P2aY2Count&gt;=9,F26640=""),"Incomplete","Complete")))</f>
        <v>Complete</v>
      </c>
      <c r="I26640" s="48" t="s">
        <v>1819</v>
      </c>
    </row>
    <row r="26641" spans="2:9" ht="15" customHeight="1" x14ac:dyDescent="0.25">
      <c r="B26641" s="55" t="s">
        <v>382</v>
      </c>
      <c r="C26641" s="46">
        <v>10</v>
      </c>
      <c r="D26641" s="69" t="s">
        <v>29519</v>
      </c>
      <c r="E26641" s="62"/>
      <c r="F26641" s="62" t="str">
        <f>IF(INDEX(I.Gas.P2aY2C1V1,10)="","",INDEX(I.Gas.P2aY2C1V1,10))</f>
        <v/>
      </c>
      <c r="G26641" s="62"/>
      <c r="H26641" s="46" t="str">
        <f>IF(OR(I.Developer.P2a=FALSE,I.Facility.StandardPart&lt;&gt;"Part 2"),"Complete",IF(I.Product.P2aGasToPowerStatus&lt;&gt;"Yes","Complete",IF(AND(I.Gas.P2aY2Count&gt;=10,F26641=""),"Incomplete","Complete")))</f>
        <v>Complete</v>
      </c>
      <c r="I26641" s="48" t="s">
        <v>1820</v>
      </c>
    </row>
    <row r="26642" spans="2:9" ht="15" customHeight="1" x14ac:dyDescent="0.25">
      <c r="B26642" s="55" t="s">
        <v>382</v>
      </c>
      <c r="C26642" s="46">
        <v>11</v>
      </c>
      <c r="D26642" s="69" t="s">
        <v>29519</v>
      </c>
      <c r="E26642" s="62"/>
      <c r="F26642" s="62" t="str">
        <f>IF(INDEX(I.Gas.P2aY2C1V1,11)="","",INDEX(I.Gas.P2aY2C1V1,11))</f>
        <v/>
      </c>
      <c r="G26642" s="62"/>
      <c r="H26642" s="46" t="str">
        <f>IF(OR(I.Developer.P2a=FALSE,I.Facility.StandardPart&lt;&gt;"Part 2"),"Complete",IF(I.Product.P2aGasToPowerStatus&lt;&gt;"Yes","Complete",IF(AND(I.Gas.P2aY2Count&gt;=11,F26642=""),"Incomplete","Complete")))</f>
        <v>Complete</v>
      </c>
      <c r="I26642" s="48" t="s">
        <v>1821</v>
      </c>
    </row>
    <row r="26643" spans="2:9" ht="15" customHeight="1" x14ac:dyDescent="0.25">
      <c r="B26643" s="55" t="s">
        <v>382</v>
      </c>
      <c r="C26643" s="46">
        <v>12</v>
      </c>
      <c r="D26643" s="69" t="s">
        <v>29519</v>
      </c>
      <c r="E26643" s="62"/>
      <c r="F26643" s="62" t="str">
        <f>IF(INDEX(I.Gas.P2aY2C1V1,12)="","",INDEX(I.Gas.P2aY2C1V1,12))</f>
        <v/>
      </c>
      <c r="G26643" s="62"/>
      <c r="H26643" s="46" t="str">
        <f>IF(OR(I.Developer.P2a=FALSE,I.Facility.StandardPart&lt;&gt;"Part 2"),"Complete",IF(I.Product.P2aGasToPowerStatus&lt;&gt;"Yes","Complete",IF(AND(I.Gas.P2aY2Count&gt;=12,F26643=""),"Incomplete","Complete")))</f>
        <v>Complete</v>
      </c>
      <c r="I26643" s="48" t="s">
        <v>1822</v>
      </c>
    </row>
    <row r="26644" spans="2:9" ht="15" customHeight="1" x14ac:dyDescent="0.25">
      <c r="B26644" s="55" t="s">
        <v>382</v>
      </c>
      <c r="C26644" s="46">
        <v>13</v>
      </c>
      <c r="D26644" s="69" t="s">
        <v>29519</v>
      </c>
      <c r="E26644" s="62"/>
      <c r="F26644" s="62" t="str">
        <f>IF(INDEX(I.Gas.P2aY2C1V1,13)="","",INDEX(I.Gas.P2aY2C1V1,13))</f>
        <v/>
      </c>
      <c r="G26644" s="62"/>
      <c r="H26644" s="46" t="str">
        <f>IF(OR(I.Developer.P2a=FALSE,I.Facility.StandardPart&lt;&gt;"Part 2"),"Complete",IF(I.Product.P2aGasToPowerStatus&lt;&gt;"Yes","Complete",IF(AND(I.Gas.P2aY2Count&gt;=13,F26644=""),"Incomplete","Complete")))</f>
        <v>Complete</v>
      </c>
      <c r="I26644" s="48" t="s">
        <v>1823</v>
      </c>
    </row>
    <row r="26645" spans="2:9" ht="15" customHeight="1" x14ac:dyDescent="0.25">
      <c r="B26645" s="55" t="s">
        <v>382</v>
      </c>
      <c r="C26645" s="46">
        <v>14</v>
      </c>
      <c r="D26645" s="69" t="s">
        <v>29519</v>
      </c>
      <c r="E26645" s="62"/>
      <c r="F26645" s="62" t="str">
        <f>IF(INDEX(I.Gas.P2aY2C1V1,14)="","",INDEX(I.Gas.P2aY2C1V1,14))</f>
        <v/>
      </c>
      <c r="G26645" s="62"/>
      <c r="H26645" s="46" t="str">
        <f>IF(OR(I.Developer.P2a=FALSE,I.Facility.StandardPart&lt;&gt;"Part 2"),"Complete",IF(I.Product.P2aGasToPowerStatus&lt;&gt;"Yes","Complete",IF(AND(I.Gas.P2aY2Count&gt;=14,F26645=""),"Incomplete","Complete")))</f>
        <v>Complete</v>
      </c>
      <c r="I26645" s="48" t="s">
        <v>1824</v>
      </c>
    </row>
    <row r="26646" spans="2:9" ht="15" customHeight="1" x14ac:dyDescent="0.25">
      <c r="B26646" s="55" t="s">
        <v>382</v>
      </c>
      <c r="C26646" s="46">
        <v>15</v>
      </c>
      <c r="D26646" s="69" t="s">
        <v>29519</v>
      </c>
      <c r="E26646" s="62"/>
      <c r="F26646" s="62" t="str">
        <f>IF(INDEX(I.Gas.P2aY2C1V1,15)="","",INDEX(I.Gas.P2aY2C1V1,15))</f>
        <v/>
      </c>
      <c r="G26646" s="62"/>
      <c r="H26646" s="46" t="str">
        <f>IF(OR(I.Developer.P2a=FALSE,I.Facility.StandardPart&lt;&gt;"Part 2"),"Complete",IF(I.Product.P2aGasToPowerStatus&lt;&gt;"Yes","Complete",IF(AND(I.Gas.P2aY2Count&gt;=15,F26646=""),"Incomplete","Complete")))</f>
        <v>Complete</v>
      </c>
      <c r="I26646" s="48" t="s">
        <v>1825</v>
      </c>
    </row>
    <row r="26647" spans="2:9" ht="15" customHeight="1" x14ac:dyDescent="0.25">
      <c r="B26647" s="55" t="s">
        <v>382</v>
      </c>
      <c r="C26647" s="46">
        <v>16</v>
      </c>
      <c r="D26647" s="69" t="s">
        <v>29519</v>
      </c>
      <c r="E26647" s="62"/>
      <c r="F26647" s="62" t="str">
        <f>IF(INDEX(I.Gas.P2aY2C1V1,16)="","",INDEX(I.Gas.P2aY2C1V1,16))</f>
        <v/>
      </c>
      <c r="G26647" s="62"/>
      <c r="H26647" s="46" t="str">
        <f>IF(OR(I.Developer.P2a=FALSE,I.Facility.StandardPart&lt;&gt;"Part 2"),"Complete",IF(I.Product.P2aGasToPowerStatus&lt;&gt;"Yes","Complete",IF(AND(I.Gas.P2aY2Count&gt;=16,F26647=""),"Incomplete","Complete")))</f>
        <v>Complete</v>
      </c>
      <c r="I26647" s="48" t="s">
        <v>1826</v>
      </c>
    </row>
    <row r="26648" spans="2:9" ht="15" customHeight="1" x14ac:dyDescent="0.25">
      <c r="B26648" s="55" t="s">
        <v>382</v>
      </c>
      <c r="C26648" s="46">
        <v>17</v>
      </c>
      <c r="D26648" s="69" t="s">
        <v>29519</v>
      </c>
      <c r="E26648" s="62"/>
      <c r="F26648" s="62" t="str">
        <f>IF(INDEX(I.Gas.P2aY2C1V1,17)="","",INDEX(I.Gas.P2aY2C1V1,17))</f>
        <v/>
      </c>
      <c r="G26648" s="62"/>
      <c r="H26648" s="46" t="str">
        <f>IF(OR(I.Developer.P2a=FALSE,I.Facility.StandardPart&lt;&gt;"Part 2"),"Complete",IF(I.Product.P2aGasToPowerStatus&lt;&gt;"Yes","Complete",IF(AND(I.Gas.P2aY2Count&gt;=17,F26648=""),"Incomplete","Complete")))</f>
        <v>Complete</v>
      </c>
      <c r="I26648" s="48" t="s">
        <v>1827</v>
      </c>
    </row>
    <row r="26649" spans="2:9" ht="15" customHeight="1" x14ac:dyDescent="0.25">
      <c r="B26649" s="55" t="s">
        <v>382</v>
      </c>
      <c r="C26649" s="46">
        <v>18</v>
      </c>
      <c r="D26649" s="69" t="s">
        <v>29519</v>
      </c>
      <c r="E26649" s="62"/>
      <c r="F26649" s="62" t="str">
        <f>IF(INDEX(I.Gas.P2aY2C1V1,18)="","",INDEX(I.Gas.P2aY2C1V1,18))</f>
        <v/>
      </c>
      <c r="G26649" s="62"/>
      <c r="H26649" s="46" t="str">
        <f>IF(OR(I.Developer.P2a=FALSE,I.Facility.StandardPart&lt;&gt;"Part 2"),"Complete",IF(I.Product.P2aGasToPowerStatus&lt;&gt;"Yes","Complete",IF(AND(I.Gas.P2aY2Count&gt;=18,F26649=""),"Incomplete","Complete")))</f>
        <v>Complete</v>
      </c>
      <c r="I26649" s="48" t="s">
        <v>1828</v>
      </c>
    </row>
    <row r="26650" spans="2:9" ht="15" customHeight="1" x14ac:dyDescent="0.25">
      <c r="B26650" s="55" t="s">
        <v>382</v>
      </c>
      <c r="C26650" s="46">
        <v>19</v>
      </c>
      <c r="D26650" s="69" t="s">
        <v>29519</v>
      </c>
      <c r="E26650" s="62"/>
      <c r="F26650" s="62" t="str">
        <f>IF(INDEX(I.Gas.P2aY2C1V1,19)="","",INDEX(I.Gas.P2aY2C1V1,19))</f>
        <v/>
      </c>
      <c r="G26650" s="62"/>
      <c r="H26650" s="46" t="str">
        <f>IF(OR(I.Developer.P2a=FALSE,I.Facility.StandardPart&lt;&gt;"Part 2"),"Complete",IF(I.Product.P2aGasToPowerStatus&lt;&gt;"Yes","Complete",IF(AND(I.Gas.P2aY2Count&gt;=19,F26650=""),"Incomplete","Complete")))</f>
        <v>Complete</v>
      </c>
      <c r="I26650" s="48" t="s">
        <v>1829</v>
      </c>
    </row>
    <row r="26651" spans="2:9" ht="15" customHeight="1" x14ac:dyDescent="0.25">
      <c r="B26651" s="55" t="s">
        <v>382</v>
      </c>
      <c r="C26651" s="46">
        <v>20</v>
      </c>
      <c r="D26651" s="69" t="s">
        <v>29519</v>
      </c>
      <c r="E26651" s="62"/>
      <c r="F26651" s="62" t="str">
        <f>IF(INDEX(I.Gas.P2aY2C1V1,20)="","",INDEX(I.Gas.P2aY2C1V1,20))</f>
        <v/>
      </c>
      <c r="G26651" s="62"/>
      <c r="H26651" s="46" t="str">
        <f>IF(OR(I.Developer.P2a=FALSE,I.Facility.StandardPart&lt;&gt;"Part 2"),"Complete",IF(I.Product.P2aGasToPowerStatus&lt;&gt;"Yes","Complete",IF(AND(I.Gas.P2aY2Count&gt;=20,F26651=""),"Incomplete","Complete")))</f>
        <v>Complete</v>
      </c>
      <c r="I26651" s="48" t="s">
        <v>1830</v>
      </c>
    </row>
    <row r="26652" spans="2:9" ht="15" customHeight="1" x14ac:dyDescent="0.25">
      <c r="B26652" s="55" t="s">
        <v>382</v>
      </c>
      <c r="C26652" s="46">
        <v>21</v>
      </c>
      <c r="D26652" s="69" t="s">
        <v>29519</v>
      </c>
      <c r="E26652" s="62"/>
      <c r="F26652" s="62" t="str">
        <f>IF(INDEX(I.Gas.P2aY2C1V1,21)="","",INDEX(I.Gas.P2aY2C1V1,21))</f>
        <v/>
      </c>
      <c r="G26652" s="62"/>
      <c r="H26652" s="46" t="str">
        <f>IF(OR(I.Developer.P2a=FALSE,I.Facility.StandardPart&lt;&gt;"Part 2"),"Complete",IF(I.Product.P2aGasToPowerStatus&lt;&gt;"Yes","Complete",IF(AND(I.Gas.P2aY2Count&gt;=21,F26652=""),"Incomplete","Complete")))</f>
        <v>Complete</v>
      </c>
      <c r="I26652" s="48" t="s">
        <v>1831</v>
      </c>
    </row>
    <row r="26653" spans="2:9" ht="15" customHeight="1" x14ac:dyDescent="0.25">
      <c r="B26653" s="55" t="s">
        <v>382</v>
      </c>
      <c r="C26653" s="46">
        <v>22</v>
      </c>
      <c r="D26653" s="69" t="s">
        <v>29519</v>
      </c>
      <c r="E26653" s="62"/>
      <c r="F26653" s="62" t="str">
        <f>IF(INDEX(I.Gas.P2aY2C1V1,22)="","",INDEX(I.Gas.P2aY2C1V1,22))</f>
        <v/>
      </c>
      <c r="G26653" s="62"/>
      <c r="H26653" s="46" t="str">
        <f>IF(OR(I.Developer.P2a=FALSE,I.Facility.StandardPart&lt;&gt;"Part 2"),"Complete",IF(I.Product.P2aGasToPowerStatus&lt;&gt;"Yes","Complete",IF(AND(I.Gas.P2aY2Count&gt;=22,F26653=""),"Incomplete","Complete")))</f>
        <v>Complete</v>
      </c>
      <c r="I26653" s="48" t="s">
        <v>1832</v>
      </c>
    </row>
    <row r="26654" spans="2:9" ht="15" customHeight="1" x14ac:dyDescent="0.25">
      <c r="B26654" s="55" t="s">
        <v>382</v>
      </c>
      <c r="C26654" s="46">
        <v>23</v>
      </c>
      <c r="D26654" s="69" t="s">
        <v>29519</v>
      </c>
      <c r="E26654" s="62"/>
      <c r="F26654" s="62" t="str">
        <f>IF(INDEX(I.Gas.P2aY2C1V1,23)="","",INDEX(I.Gas.P2aY2C1V1,23))</f>
        <v/>
      </c>
      <c r="G26654" s="62"/>
      <c r="H26654" s="46" t="str">
        <f>IF(OR(I.Developer.P2a=FALSE,I.Facility.StandardPart&lt;&gt;"Part 2"),"Complete",IF(I.Product.P2aGasToPowerStatus&lt;&gt;"Yes","Complete",IF(AND(I.Gas.P2aY2Count&gt;=23,F26654=""),"Incomplete","Complete")))</f>
        <v>Complete</v>
      </c>
      <c r="I26654" s="48" t="s">
        <v>1833</v>
      </c>
    </row>
    <row r="26655" spans="2:9" ht="15" customHeight="1" x14ac:dyDescent="0.25">
      <c r="B26655" s="55" t="s">
        <v>382</v>
      </c>
      <c r="C26655" s="46">
        <v>24</v>
      </c>
      <c r="D26655" s="69" t="s">
        <v>29519</v>
      </c>
      <c r="E26655" s="62"/>
      <c r="F26655" s="62" t="str">
        <f>IF(INDEX(I.Gas.P2aY2C1V1,24)="","",INDEX(I.Gas.P2aY2C1V1,24))</f>
        <v/>
      </c>
      <c r="G26655" s="62"/>
      <c r="H26655" s="46" t="str">
        <f>IF(OR(I.Developer.P2a=FALSE,I.Facility.StandardPart&lt;&gt;"Part 2"),"Complete",IF(I.Product.P2aGasToPowerStatus&lt;&gt;"Yes","Complete",IF(AND(I.Gas.P2aY2Count&gt;=24,F26655=""),"Incomplete","Complete")))</f>
        <v>Complete</v>
      </c>
      <c r="I26655" s="48" t="s">
        <v>1834</v>
      </c>
    </row>
    <row r="26656" spans="2:9" ht="15" customHeight="1" x14ac:dyDescent="0.25">
      <c r="B26656" s="55" t="s">
        <v>382</v>
      </c>
      <c r="C26656" s="46">
        <v>25</v>
      </c>
      <c r="D26656" s="69" t="s">
        <v>29519</v>
      </c>
      <c r="E26656" s="62"/>
      <c r="F26656" s="62" t="str">
        <f>IF(INDEX(I.Gas.P2aY2C1V1,25)="","",INDEX(I.Gas.P2aY2C1V1,25))</f>
        <v/>
      </c>
      <c r="G26656" s="62"/>
      <c r="H26656" s="46" t="str">
        <f>IF(OR(I.Developer.P2a=FALSE,I.Facility.StandardPart&lt;&gt;"Part 2"),"Complete",IF(I.Product.P2aGasToPowerStatus&lt;&gt;"Yes","Complete",IF(AND(I.Gas.P2aY2Count&gt;=25,F26656=""),"Incomplete","Complete")))</f>
        <v>Complete</v>
      </c>
      <c r="I26656" s="48" t="s">
        <v>1835</v>
      </c>
    </row>
    <row r="26657" spans="2:9" ht="15" customHeight="1" x14ac:dyDescent="0.25">
      <c r="B26657" s="55" t="s">
        <v>382</v>
      </c>
      <c r="C26657" s="46">
        <v>26</v>
      </c>
      <c r="D26657" s="69" t="s">
        <v>29519</v>
      </c>
      <c r="E26657" s="62"/>
      <c r="F26657" s="62" t="str">
        <f>IF(INDEX(I.Gas.P2aY2C1V1,26)="","",INDEX(I.Gas.P2aY2C1V1,26))</f>
        <v/>
      </c>
      <c r="G26657" s="62"/>
      <c r="H26657" s="46" t="str">
        <f>IF(OR(I.Developer.P2a=FALSE,I.Facility.StandardPart&lt;&gt;"Part 2"),"Complete",IF(I.Product.P2aGasToPowerStatus&lt;&gt;"Yes","Complete",IF(AND(I.Gas.P2aY2Count&gt;=26,F26657=""),"Incomplete","Complete")))</f>
        <v>Complete</v>
      </c>
      <c r="I26657" s="48" t="s">
        <v>1836</v>
      </c>
    </row>
    <row r="26658" spans="2:9" ht="15" customHeight="1" x14ac:dyDescent="0.25">
      <c r="B26658" s="55" t="s">
        <v>382</v>
      </c>
      <c r="C26658" s="46">
        <v>27</v>
      </c>
      <c r="D26658" s="69" t="s">
        <v>29519</v>
      </c>
      <c r="E26658" s="62"/>
      <c r="F26658" s="62" t="str">
        <f>IF(INDEX(I.Gas.P2aY2C1V1,27)="","",INDEX(I.Gas.P2aY2C1V1,27))</f>
        <v/>
      </c>
      <c r="G26658" s="62"/>
      <c r="H26658" s="46" t="str">
        <f>IF(OR(I.Developer.P2a=FALSE,I.Facility.StandardPart&lt;&gt;"Part 2"),"Complete",IF(I.Product.P2aGasToPowerStatus&lt;&gt;"Yes","Complete",IF(AND(I.Gas.P2aY2Count&gt;=27,F26658=""),"Incomplete","Complete")))</f>
        <v>Complete</v>
      </c>
      <c r="I26658" s="48" t="s">
        <v>1837</v>
      </c>
    </row>
    <row r="26659" spans="2:9" ht="15" customHeight="1" x14ac:dyDescent="0.25">
      <c r="B26659" s="55" t="s">
        <v>382</v>
      </c>
      <c r="C26659" s="46">
        <v>28</v>
      </c>
      <c r="D26659" s="69" t="s">
        <v>29519</v>
      </c>
      <c r="E26659" s="62"/>
      <c r="F26659" s="62" t="str">
        <f>IF(INDEX(I.Gas.P2aY2C1V1,28)="","",INDEX(I.Gas.P2aY2C1V1,28))</f>
        <v/>
      </c>
      <c r="G26659" s="62"/>
      <c r="H26659" s="46" t="str">
        <f>IF(OR(I.Developer.P2a=FALSE,I.Facility.StandardPart&lt;&gt;"Part 2"),"Complete",IF(I.Product.P2aGasToPowerStatus&lt;&gt;"Yes","Complete",IF(AND(I.Gas.P2aY2Count&gt;=28,F26659=""),"Incomplete","Complete")))</f>
        <v>Complete</v>
      </c>
      <c r="I26659" s="48" t="s">
        <v>1838</v>
      </c>
    </row>
    <row r="26660" spans="2:9" ht="15" customHeight="1" x14ac:dyDescent="0.25">
      <c r="B26660" s="55" t="s">
        <v>382</v>
      </c>
      <c r="C26660" s="46">
        <v>29</v>
      </c>
      <c r="D26660" s="69" t="s">
        <v>29519</v>
      </c>
      <c r="E26660" s="62"/>
      <c r="F26660" s="62" t="str">
        <f>IF(INDEX(I.Gas.P2aY2C1V1,29)="","",INDEX(I.Gas.P2aY2C1V1,29))</f>
        <v/>
      </c>
      <c r="G26660" s="62"/>
      <c r="H26660" s="46" t="str">
        <f>IF(OR(I.Developer.P2a=FALSE,I.Facility.StandardPart&lt;&gt;"Part 2"),"Complete",IF(I.Product.P2aGasToPowerStatus&lt;&gt;"Yes","Complete",IF(AND(I.Gas.P2aY2Count&gt;=29,F26660=""),"Incomplete","Complete")))</f>
        <v>Complete</v>
      </c>
      <c r="I26660" s="48" t="s">
        <v>1839</v>
      </c>
    </row>
    <row r="26661" spans="2:9" ht="15" customHeight="1" x14ac:dyDescent="0.25">
      <c r="B26661" s="55" t="s">
        <v>382</v>
      </c>
      <c r="C26661" s="46">
        <v>30</v>
      </c>
      <c r="D26661" s="69" t="s">
        <v>29519</v>
      </c>
      <c r="E26661" s="62"/>
      <c r="F26661" s="62" t="str">
        <f>IF(INDEX(I.Gas.P2aY2C1V1,30)="","",INDEX(I.Gas.P2aY2C1V1,30))</f>
        <v/>
      </c>
      <c r="G26661" s="62"/>
      <c r="H26661" s="46" t="str">
        <f>IF(OR(I.Developer.P2a=FALSE,I.Facility.StandardPart&lt;&gt;"Part 2"),"Complete",IF(I.Product.P2aGasToPowerStatus&lt;&gt;"Yes","Complete",IF(AND(I.Gas.P2aY2Count&gt;=30,F26661=""),"Incomplete","Complete")))</f>
        <v>Complete</v>
      </c>
      <c r="I26661" s="48" t="s">
        <v>1840</v>
      </c>
    </row>
    <row r="26662" spans="2:9" ht="15" customHeight="1" x14ac:dyDescent="0.25">
      <c r="B26662" s="55" t="s">
        <v>382</v>
      </c>
      <c r="C26662" s="46">
        <v>31</v>
      </c>
      <c r="D26662" s="69" t="s">
        <v>29519</v>
      </c>
      <c r="E26662" s="62"/>
      <c r="F26662" s="62" t="str">
        <f>IF(INDEX(I.Gas.P2aY2C1V1,31)="","",INDEX(I.Gas.P2aY2C1V1,31))</f>
        <v/>
      </c>
      <c r="G26662" s="62"/>
      <c r="H26662" s="46" t="str">
        <f>IF(OR(I.Developer.P2a=FALSE,I.Facility.StandardPart&lt;&gt;"Part 2"),"Complete",IF(I.Product.P2aGasToPowerStatus&lt;&gt;"Yes","Complete",IF(AND(I.Gas.P2aY2Count&gt;=31,F26662=""),"Incomplete","Complete")))</f>
        <v>Complete</v>
      </c>
      <c r="I26662" s="48" t="s">
        <v>1841</v>
      </c>
    </row>
    <row r="26663" spans="2:9" ht="15" customHeight="1" x14ac:dyDescent="0.25">
      <c r="B26663" s="55" t="s">
        <v>382</v>
      </c>
      <c r="C26663" s="46">
        <v>32</v>
      </c>
      <c r="D26663" s="69" t="s">
        <v>29519</v>
      </c>
      <c r="E26663" s="62"/>
      <c r="F26663" s="62" t="str">
        <f>IF(INDEX(I.Gas.P2aY2C1V1,32)="","",INDEX(I.Gas.P2aY2C1V1,32))</f>
        <v/>
      </c>
      <c r="G26663" s="62"/>
      <c r="H26663" s="46" t="str">
        <f>IF(OR(I.Developer.P2a=FALSE,I.Facility.StandardPart&lt;&gt;"Part 2"),"Complete",IF(I.Product.P2aGasToPowerStatus&lt;&gt;"Yes","Complete",IF(AND(I.Gas.P2aY2Count&gt;=32,F26663=""),"Incomplete","Complete")))</f>
        <v>Complete</v>
      </c>
      <c r="I26663" s="48" t="s">
        <v>1842</v>
      </c>
    </row>
    <row r="26664" spans="2:9" ht="15" customHeight="1" x14ac:dyDescent="0.25">
      <c r="B26664" s="55" t="s">
        <v>382</v>
      </c>
      <c r="C26664" s="46">
        <v>33</v>
      </c>
      <c r="D26664" s="69" t="s">
        <v>29519</v>
      </c>
      <c r="E26664" s="62"/>
      <c r="F26664" s="62" t="str">
        <f>IF(INDEX(I.Gas.P2aY2C1V1,33)="","",INDEX(I.Gas.P2aY2C1V1,33))</f>
        <v/>
      </c>
      <c r="G26664" s="62"/>
      <c r="H26664" s="46" t="str">
        <f>IF(OR(I.Developer.P2a=FALSE,I.Facility.StandardPart&lt;&gt;"Part 2"),"Complete",IF(I.Product.P2aGasToPowerStatus&lt;&gt;"Yes","Complete",IF(AND(I.Gas.P2aY2Count&gt;=33,F26664=""),"Incomplete","Complete")))</f>
        <v>Complete</v>
      </c>
      <c r="I26664" s="48" t="s">
        <v>1843</v>
      </c>
    </row>
    <row r="26665" spans="2:9" ht="15" customHeight="1" x14ac:dyDescent="0.25">
      <c r="B26665" s="55" t="s">
        <v>382</v>
      </c>
      <c r="C26665" s="46">
        <v>34</v>
      </c>
      <c r="D26665" s="69" t="s">
        <v>29519</v>
      </c>
      <c r="E26665" s="62"/>
      <c r="F26665" s="62" t="str">
        <f>IF(INDEX(I.Gas.P2aY2C1V1,34)="","",INDEX(I.Gas.P2aY2C1V1,34))</f>
        <v/>
      </c>
      <c r="G26665" s="62"/>
      <c r="H26665" s="46" t="str">
        <f>IF(OR(I.Developer.P2a=FALSE,I.Facility.StandardPart&lt;&gt;"Part 2"),"Complete",IF(I.Product.P2aGasToPowerStatus&lt;&gt;"Yes","Complete",IF(AND(I.Gas.P2aY2Count&gt;=34,F26665=""),"Incomplete","Complete")))</f>
        <v>Complete</v>
      </c>
      <c r="I26665" s="48" t="s">
        <v>1844</v>
      </c>
    </row>
    <row r="26666" spans="2:9" ht="15" customHeight="1" x14ac:dyDescent="0.25">
      <c r="B26666" s="55" t="s">
        <v>382</v>
      </c>
      <c r="C26666" s="46">
        <v>35</v>
      </c>
      <c r="D26666" s="69" t="s">
        <v>29519</v>
      </c>
      <c r="E26666" s="62"/>
      <c r="F26666" s="62" t="str">
        <f>IF(INDEX(I.Gas.P2aY2C1V1,35)="","",INDEX(I.Gas.P2aY2C1V1,35))</f>
        <v/>
      </c>
      <c r="G26666" s="62"/>
      <c r="H26666" s="46" t="str">
        <f>IF(OR(I.Developer.P2a=FALSE,I.Facility.StandardPart&lt;&gt;"Part 2"),"Complete",IF(I.Product.P2aGasToPowerStatus&lt;&gt;"Yes","Complete",IF(AND(I.Gas.P2aY2Count&gt;=35,F26666=""),"Incomplete","Complete")))</f>
        <v>Complete</v>
      </c>
      <c r="I26666" s="48" t="s">
        <v>1845</v>
      </c>
    </row>
    <row r="26667" spans="2:9" ht="15" customHeight="1" x14ac:dyDescent="0.25">
      <c r="B26667" s="55" t="s">
        <v>382</v>
      </c>
      <c r="C26667" s="46">
        <v>36</v>
      </c>
      <c r="D26667" s="69" t="s">
        <v>29519</v>
      </c>
      <c r="E26667" s="62"/>
      <c r="F26667" s="62" t="str">
        <f>IF(INDEX(I.Gas.P2aY2C1V1,36)="","",INDEX(I.Gas.P2aY2C1V1,36))</f>
        <v/>
      </c>
      <c r="G26667" s="62"/>
      <c r="H26667" s="46" t="str">
        <f>IF(OR(I.Developer.P2a=FALSE,I.Facility.StandardPart&lt;&gt;"Part 2"),"Complete",IF(I.Product.P2aGasToPowerStatus&lt;&gt;"Yes","Complete",IF(AND(I.Gas.P2aY2Count&gt;=36,F26667=""),"Incomplete","Complete")))</f>
        <v>Complete</v>
      </c>
      <c r="I26667" s="48" t="s">
        <v>1846</v>
      </c>
    </row>
    <row r="26668" spans="2:9" ht="15" customHeight="1" x14ac:dyDescent="0.25">
      <c r="B26668" s="55" t="s">
        <v>382</v>
      </c>
      <c r="C26668" s="46">
        <v>37</v>
      </c>
      <c r="D26668" s="69" t="s">
        <v>29519</v>
      </c>
      <c r="E26668" s="62"/>
      <c r="F26668" s="62" t="str">
        <f>IF(INDEX(I.Gas.P2aY2C1V1,37)="","",INDEX(I.Gas.P2aY2C1V1,37))</f>
        <v/>
      </c>
      <c r="G26668" s="62"/>
      <c r="H26668" s="46" t="str">
        <f>IF(OR(I.Developer.P2a=FALSE,I.Facility.StandardPart&lt;&gt;"Part 2"),"Complete",IF(I.Product.P2aGasToPowerStatus&lt;&gt;"Yes","Complete",IF(AND(I.Gas.P2aY2Count&gt;=37,F26668=""),"Incomplete","Complete")))</f>
        <v>Complete</v>
      </c>
      <c r="I26668" s="48" t="s">
        <v>1847</v>
      </c>
    </row>
    <row r="26669" spans="2:9" ht="15" customHeight="1" x14ac:dyDescent="0.25">
      <c r="B26669" s="55" t="s">
        <v>382</v>
      </c>
      <c r="C26669" s="46">
        <v>38</v>
      </c>
      <c r="D26669" s="69" t="s">
        <v>29519</v>
      </c>
      <c r="E26669" s="62"/>
      <c r="F26669" s="62" t="str">
        <f>IF(INDEX(I.Gas.P2aY2C1V1,38)="","",INDEX(I.Gas.P2aY2C1V1,38))</f>
        <v/>
      </c>
      <c r="G26669" s="62"/>
      <c r="H26669" s="46" t="str">
        <f>IF(OR(I.Developer.P2a=FALSE,I.Facility.StandardPart&lt;&gt;"Part 2"),"Complete",IF(I.Product.P2aGasToPowerStatus&lt;&gt;"Yes","Complete",IF(AND(I.Gas.P2aY2Count&gt;=38,F26669=""),"Incomplete","Complete")))</f>
        <v>Complete</v>
      </c>
      <c r="I26669" s="48" t="s">
        <v>1848</v>
      </c>
    </row>
    <row r="26670" spans="2:9" ht="15" customHeight="1" x14ac:dyDescent="0.25">
      <c r="B26670" s="55" t="s">
        <v>382</v>
      </c>
      <c r="C26670" s="46">
        <v>39</v>
      </c>
      <c r="D26670" s="69" t="s">
        <v>29519</v>
      </c>
      <c r="E26670" s="62"/>
      <c r="F26670" s="62" t="str">
        <f>IF(INDEX(I.Gas.P2aY2C1V1,39)="","",INDEX(I.Gas.P2aY2C1V1,39))</f>
        <v/>
      </c>
      <c r="G26670" s="62"/>
      <c r="H26670" s="46" t="str">
        <f>IF(OR(I.Developer.P2a=FALSE,I.Facility.StandardPart&lt;&gt;"Part 2"),"Complete",IF(I.Product.P2aGasToPowerStatus&lt;&gt;"Yes","Complete",IF(AND(I.Gas.P2aY2Count&gt;=39,F26670=""),"Incomplete","Complete")))</f>
        <v>Complete</v>
      </c>
      <c r="I26670" s="48" t="s">
        <v>1849</v>
      </c>
    </row>
    <row r="26671" spans="2:9" ht="15" customHeight="1" x14ac:dyDescent="0.25">
      <c r="B26671" s="55" t="s">
        <v>382</v>
      </c>
      <c r="C26671" s="46">
        <v>40</v>
      </c>
      <c r="D26671" s="69" t="s">
        <v>29519</v>
      </c>
      <c r="E26671" s="62"/>
      <c r="F26671" s="62" t="str">
        <f>IF(INDEX(I.Gas.P2aY2C1V1,40)="","",INDEX(I.Gas.P2aY2C1V1,40))</f>
        <v/>
      </c>
      <c r="G26671" s="62"/>
      <c r="H26671" s="46" t="str">
        <f>IF(OR(I.Developer.P2a=FALSE,I.Facility.StandardPart&lt;&gt;"Part 2"),"Complete",IF(I.Product.P2aGasToPowerStatus&lt;&gt;"Yes","Complete",IF(AND(I.Gas.P2aY2Count&gt;=40,F26671=""),"Incomplete","Complete")))</f>
        <v>Complete</v>
      </c>
      <c r="I26671" s="48" t="s">
        <v>1850</v>
      </c>
    </row>
    <row r="26672" spans="2:9" ht="15" customHeight="1" x14ac:dyDescent="0.25">
      <c r="B26672" s="55" t="s">
        <v>382</v>
      </c>
      <c r="C26672" s="46">
        <v>41</v>
      </c>
      <c r="D26672" s="69" t="s">
        <v>29519</v>
      </c>
      <c r="E26672" s="62"/>
      <c r="F26672" s="62" t="str">
        <f>IF(INDEX(I.Gas.P2aY2C1V1,41)="","",INDEX(I.Gas.P2aY2C1V1,41))</f>
        <v/>
      </c>
      <c r="G26672" s="62"/>
      <c r="H26672" s="46" t="str">
        <f>IF(OR(I.Developer.P2a=FALSE,I.Facility.StandardPart&lt;&gt;"Part 2"),"Complete",IF(I.Product.P2aGasToPowerStatus&lt;&gt;"Yes","Complete",IF(AND(I.Gas.P2aY2Count&gt;=41,F26672=""),"Incomplete","Complete")))</f>
        <v>Complete</v>
      </c>
      <c r="I26672" s="48" t="s">
        <v>1851</v>
      </c>
    </row>
    <row r="26673" spans="2:9" ht="15" customHeight="1" x14ac:dyDescent="0.25">
      <c r="B26673" s="55" t="s">
        <v>382</v>
      </c>
      <c r="C26673" s="46">
        <v>42</v>
      </c>
      <c r="D26673" s="69" t="s">
        <v>29519</v>
      </c>
      <c r="E26673" s="62"/>
      <c r="F26673" s="62" t="str">
        <f>IF(INDEX(I.Gas.P2aY2C1V1,42)="","",INDEX(I.Gas.P2aY2C1V1,42))</f>
        <v/>
      </c>
      <c r="G26673" s="62"/>
      <c r="H26673" s="46" t="str">
        <f>IF(OR(I.Developer.P2a=FALSE,I.Facility.StandardPart&lt;&gt;"Part 2"),"Complete",IF(I.Product.P2aGasToPowerStatus&lt;&gt;"Yes","Complete",IF(AND(I.Gas.P2aY2Count&gt;=42,F26673=""),"Incomplete","Complete")))</f>
        <v>Complete</v>
      </c>
      <c r="I26673" s="48" t="s">
        <v>1852</v>
      </c>
    </row>
    <row r="26674" spans="2:9" ht="15" customHeight="1" x14ac:dyDescent="0.25">
      <c r="B26674" s="55" t="s">
        <v>382</v>
      </c>
      <c r="C26674" s="46">
        <v>43</v>
      </c>
      <c r="D26674" s="69" t="s">
        <v>29519</v>
      </c>
      <c r="E26674" s="62"/>
      <c r="F26674" s="62" t="str">
        <f>IF(INDEX(I.Gas.P2aY2C1V1,43)="","",INDEX(I.Gas.P2aY2C1V1,43))</f>
        <v/>
      </c>
      <c r="G26674" s="62"/>
      <c r="H26674" s="46" t="str">
        <f>IF(OR(I.Developer.P2a=FALSE,I.Facility.StandardPart&lt;&gt;"Part 2"),"Complete",IF(I.Product.P2aGasToPowerStatus&lt;&gt;"Yes","Complete",IF(AND(I.Gas.P2aY2Count&gt;=43,F26674=""),"Incomplete","Complete")))</f>
        <v>Complete</v>
      </c>
      <c r="I26674" s="48" t="s">
        <v>1853</v>
      </c>
    </row>
    <row r="26675" spans="2:9" ht="15" customHeight="1" x14ac:dyDescent="0.25">
      <c r="B26675" s="55" t="s">
        <v>382</v>
      </c>
      <c r="C26675" s="46">
        <v>44</v>
      </c>
      <c r="D26675" s="69" t="s">
        <v>29519</v>
      </c>
      <c r="E26675" s="62"/>
      <c r="F26675" s="62" t="str">
        <f>IF(INDEX(I.Gas.P2aY2C1V1,44)="","",INDEX(I.Gas.P2aY2C1V1,44))</f>
        <v/>
      </c>
      <c r="G26675" s="62"/>
      <c r="H26675" s="46" t="str">
        <f>IF(OR(I.Developer.P2a=FALSE,I.Facility.StandardPart&lt;&gt;"Part 2"),"Complete",IF(I.Product.P2aGasToPowerStatus&lt;&gt;"Yes","Complete",IF(AND(I.Gas.P2aY2Count&gt;=44,F26675=""),"Incomplete","Complete")))</f>
        <v>Complete</v>
      </c>
      <c r="I26675" s="48" t="s">
        <v>1854</v>
      </c>
    </row>
    <row r="26676" spans="2:9" ht="15" customHeight="1" x14ac:dyDescent="0.25">
      <c r="B26676" s="55" t="s">
        <v>382</v>
      </c>
      <c r="C26676" s="46">
        <v>45</v>
      </c>
      <c r="D26676" s="69" t="s">
        <v>29519</v>
      </c>
      <c r="E26676" s="62"/>
      <c r="F26676" s="62" t="str">
        <f>IF(INDEX(I.Gas.P2aY2C1V1,45)="","",INDEX(I.Gas.P2aY2C1V1,45))</f>
        <v/>
      </c>
      <c r="G26676" s="62"/>
      <c r="H26676" s="46" t="str">
        <f>IF(OR(I.Developer.P2a=FALSE,I.Facility.StandardPart&lt;&gt;"Part 2"),"Complete",IF(I.Product.P2aGasToPowerStatus&lt;&gt;"Yes","Complete",IF(AND(I.Gas.P2aY2Count&gt;=45,F26676=""),"Incomplete","Complete")))</f>
        <v>Complete</v>
      </c>
      <c r="I26676" s="48" t="s">
        <v>1855</v>
      </c>
    </row>
    <row r="26677" spans="2:9" ht="15" customHeight="1" x14ac:dyDescent="0.25">
      <c r="B26677" s="55" t="s">
        <v>382</v>
      </c>
      <c r="C26677" s="46">
        <v>46</v>
      </c>
      <c r="D26677" s="69" t="s">
        <v>29519</v>
      </c>
      <c r="E26677" s="62"/>
      <c r="F26677" s="62" t="str">
        <f>IF(INDEX(I.Gas.P2aY2C1V1,46)="","",INDEX(I.Gas.P2aY2C1V1,46))</f>
        <v/>
      </c>
      <c r="G26677" s="62"/>
      <c r="H26677" s="46" t="str">
        <f>IF(OR(I.Developer.P2a=FALSE,I.Facility.StandardPart&lt;&gt;"Part 2"),"Complete",IF(I.Product.P2aGasToPowerStatus&lt;&gt;"Yes","Complete",IF(AND(I.Gas.P2aY2Count&gt;=46,F26677=""),"Incomplete","Complete")))</f>
        <v>Complete</v>
      </c>
      <c r="I26677" s="48" t="s">
        <v>1856</v>
      </c>
    </row>
    <row r="26678" spans="2:9" ht="15" customHeight="1" x14ac:dyDescent="0.25">
      <c r="B26678" s="55" t="s">
        <v>382</v>
      </c>
      <c r="C26678" s="46">
        <v>47</v>
      </c>
      <c r="D26678" s="69" t="s">
        <v>29519</v>
      </c>
      <c r="E26678" s="62"/>
      <c r="F26678" s="62" t="str">
        <f>IF(INDEX(I.Gas.P2aY2C1V1,47)="","",INDEX(I.Gas.P2aY2C1V1,47))</f>
        <v/>
      </c>
      <c r="G26678" s="62"/>
      <c r="H26678" s="46" t="str">
        <f>IF(OR(I.Developer.P2a=FALSE,I.Facility.StandardPart&lt;&gt;"Part 2"),"Complete",IF(I.Product.P2aGasToPowerStatus&lt;&gt;"Yes","Complete",IF(AND(I.Gas.P2aY2Count&gt;=47,F26678=""),"Incomplete","Complete")))</f>
        <v>Complete</v>
      </c>
      <c r="I26678" s="48" t="s">
        <v>1857</v>
      </c>
    </row>
    <row r="26679" spans="2:9" ht="15" customHeight="1" x14ac:dyDescent="0.25">
      <c r="B26679" s="55" t="s">
        <v>382</v>
      </c>
      <c r="C26679" s="46">
        <v>48</v>
      </c>
      <c r="D26679" s="69" t="s">
        <v>29519</v>
      </c>
      <c r="E26679" s="62"/>
      <c r="F26679" s="62" t="str">
        <f>IF(INDEX(I.Gas.P2aY2C1V1,48)="","",INDEX(I.Gas.P2aY2C1V1,48))</f>
        <v/>
      </c>
      <c r="G26679" s="62"/>
      <c r="H26679" s="46" t="str">
        <f>IF(OR(I.Developer.P2a=FALSE,I.Facility.StandardPart&lt;&gt;"Part 2"),"Complete",IF(I.Product.P2aGasToPowerStatus&lt;&gt;"Yes","Complete",IF(AND(I.Gas.P2aY2Count&gt;=48,F26679=""),"Incomplete","Complete")))</f>
        <v>Complete</v>
      </c>
      <c r="I26679" s="48" t="s">
        <v>1858</v>
      </c>
    </row>
    <row r="26680" spans="2:9" ht="15" customHeight="1" x14ac:dyDescent="0.25">
      <c r="B26680" s="55" t="s">
        <v>382</v>
      </c>
      <c r="C26680" s="46">
        <v>49</v>
      </c>
      <c r="D26680" s="69" t="s">
        <v>29519</v>
      </c>
      <c r="E26680" s="62"/>
      <c r="F26680" s="62" t="str">
        <f>IF(INDEX(I.Gas.P2aY2C1V1,49)="","",INDEX(I.Gas.P2aY2C1V1,49))</f>
        <v/>
      </c>
      <c r="G26680" s="62"/>
      <c r="H26680" s="46" t="str">
        <f>IF(OR(I.Developer.P2a=FALSE,I.Facility.StandardPart&lt;&gt;"Part 2"),"Complete",IF(I.Product.P2aGasToPowerStatus&lt;&gt;"Yes","Complete",IF(AND(I.Gas.P2aY2Count&gt;=49,F26680=""),"Incomplete","Complete")))</f>
        <v>Complete</v>
      </c>
      <c r="I26680" s="48" t="s">
        <v>1859</v>
      </c>
    </row>
    <row r="26681" spans="2:9" ht="15" customHeight="1" x14ac:dyDescent="0.25">
      <c r="B26681" s="56" t="s">
        <v>382</v>
      </c>
      <c r="C26681" s="57">
        <v>50</v>
      </c>
      <c r="D26681" s="71" t="s">
        <v>29519</v>
      </c>
      <c r="E26681" s="61"/>
      <c r="F26681" s="61" t="str">
        <f>IF(INDEX(I.Gas.P2aY2C1V1,50)="","",INDEX(I.Gas.P2aY2C1V1,50))</f>
        <v/>
      </c>
      <c r="G26681" s="61"/>
      <c r="H26681" s="57" t="str">
        <f>IF(OR(I.Developer.P2a=FALSE,I.Facility.StandardPart&lt;&gt;"Part 2"),"Complete",IF(I.Product.P2aGasToPowerStatus&lt;&gt;"Yes","Complete",IF(AND(I.Gas.P2aY2Count&gt;=50,F26681=""),"Incomplete","Complete")))</f>
        <v>Complete</v>
      </c>
      <c r="I26681" s="49" t="s">
        <v>1860</v>
      </c>
    </row>
    <row r="26682" spans="2:9" ht="15" customHeight="1" x14ac:dyDescent="0.25">
      <c r="B26682" s="55" t="s">
        <v>383</v>
      </c>
      <c r="C26682" s="46">
        <v>1</v>
      </c>
      <c r="D26682" s="69" t="s">
        <v>29520</v>
      </c>
      <c r="E26682" s="62"/>
      <c r="F26682" s="62" t="str">
        <f>IF(INDEX(I.Gas.P2aY2C1E1,1)="","",INDEX(I.Gas.P2aY2C1E1,1))</f>
        <v/>
      </c>
      <c r="G26682" s="62"/>
      <c r="H26682" s="46" t="str">
        <f>IF(OR(I.Developer.P2a=FALSE,I.Facility.StandardPart="Part 2"),"Complete",IF(I.Product.P2aGasToPowerStatus&lt;&gt;"Yes","Complete",IF(AND(I.Gas.P2aY2Count&gt;=1,F26682=""),"Incomplete","Complete")))</f>
        <v>Complete</v>
      </c>
      <c r="I26682" s="48" t="s">
        <v>1861</v>
      </c>
    </row>
    <row r="26683" spans="2:9" ht="15" customHeight="1" x14ac:dyDescent="0.25">
      <c r="B26683" s="55" t="s">
        <v>383</v>
      </c>
      <c r="C26683" s="46">
        <v>2</v>
      </c>
      <c r="D26683" s="69" t="s">
        <v>29520</v>
      </c>
      <c r="E26683" s="62"/>
      <c r="F26683" s="62" t="str">
        <f>IF(INDEX(I.Gas.P2aY2C1E1,2)="","",INDEX(I.Gas.P2aY2C1E1,2))</f>
        <v/>
      </c>
      <c r="G26683" s="62"/>
      <c r="H26683" s="46" t="str">
        <f>IF(OR(I.Developer.P2a=FALSE,I.Facility.StandardPart="Part 2"),"Complete",IF(I.Product.P2aGasToPowerStatus&lt;&gt;"Yes","Complete",IF(AND(I.Gas.P2aY2Count&gt;=2,F26683=""),"Incomplete","Complete")))</f>
        <v>Complete</v>
      </c>
      <c r="I26683" s="48" t="s">
        <v>1862</v>
      </c>
    </row>
    <row r="26684" spans="2:9" ht="15" customHeight="1" x14ac:dyDescent="0.25">
      <c r="B26684" s="55" t="s">
        <v>383</v>
      </c>
      <c r="C26684" s="46">
        <v>3</v>
      </c>
      <c r="D26684" s="69" t="s">
        <v>29520</v>
      </c>
      <c r="E26684" s="62"/>
      <c r="F26684" s="62" t="str">
        <f>IF(INDEX(I.Gas.P2aY2C1E1,3)="","",INDEX(I.Gas.P2aY2C1E1,3))</f>
        <v/>
      </c>
      <c r="G26684" s="62"/>
      <c r="H26684" s="46" t="str">
        <f>IF(OR(I.Developer.P2a=FALSE,I.Facility.StandardPart="Part 2"),"Complete",IF(I.Product.P2aGasToPowerStatus&lt;&gt;"Yes","Complete",IF(AND(I.Gas.P2aY2Count&gt;=3,F26684=""),"Incomplete","Complete")))</f>
        <v>Complete</v>
      </c>
      <c r="I26684" s="48" t="s">
        <v>1863</v>
      </c>
    </row>
    <row r="26685" spans="2:9" ht="15" customHeight="1" x14ac:dyDescent="0.25">
      <c r="B26685" s="55" t="s">
        <v>383</v>
      </c>
      <c r="C26685" s="46">
        <v>4</v>
      </c>
      <c r="D26685" s="69" t="s">
        <v>29520</v>
      </c>
      <c r="E26685" s="62"/>
      <c r="F26685" s="62" t="str">
        <f>IF(INDEX(I.Gas.P2aY2C1E1,4)="","",INDEX(I.Gas.P2aY2C1E1,4))</f>
        <v/>
      </c>
      <c r="G26685" s="62"/>
      <c r="H26685" s="46" t="str">
        <f>IF(OR(I.Developer.P2a=FALSE,I.Facility.StandardPart="Part 2"),"Complete",IF(I.Product.P2aGasToPowerStatus&lt;&gt;"Yes","Complete",IF(AND(I.Gas.P2aY2Count&gt;=4,F26685=""),"Incomplete","Complete")))</f>
        <v>Complete</v>
      </c>
      <c r="I26685" s="48" t="s">
        <v>1864</v>
      </c>
    </row>
    <row r="26686" spans="2:9" ht="15" customHeight="1" x14ac:dyDescent="0.25">
      <c r="B26686" s="55" t="s">
        <v>383</v>
      </c>
      <c r="C26686" s="46">
        <v>5</v>
      </c>
      <c r="D26686" s="69" t="s">
        <v>29520</v>
      </c>
      <c r="E26686" s="62"/>
      <c r="F26686" s="62" t="str">
        <f>IF(INDEX(I.Gas.P2aY2C1E1,5)="","",INDEX(I.Gas.P2aY2C1E1,5))</f>
        <v/>
      </c>
      <c r="G26686" s="62"/>
      <c r="H26686" s="46" t="str">
        <f>IF(OR(I.Developer.P2a=FALSE,I.Facility.StandardPart="Part 2"),"Complete",IF(I.Product.P2aGasToPowerStatus&lt;&gt;"Yes","Complete",IF(AND(I.Gas.P2aY2Count&gt;=5,F26686=""),"Incomplete","Complete")))</f>
        <v>Complete</v>
      </c>
      <c r="I26686" s="48" t="s">
        <v>1865</v>
      </c>
    </row>
    <row r="26687" spans="2:9" ht="15" customHeight="1" x14ac:dyDescent="0.25">
      <c r="B26687" s="55" t="s">
        <v>383</v>
      </c>
      <c r="C26687" s="46">
        <v>6</v>
      </c>
      <c r="D26687" s="69" t="s">
        <v>29520</v>
      </c>
      <c r="E26687" s="62"/>
      <c r="F26687" s="62" t="str">
        <f>IF(INDEX(I.Gas.P2aY2C1E1,6)="","",INDEX(I.Gas.P2aY2C1E1,6))</f>
        <v/>
      </c>
      <c r="G26687" s="62"/>
      <c r="H26687" s="46" t="str">
        <f>IF(OR(I.Developer.P2a=FALSE,I.Facility.StandardPart="Part 2"),"Complete",IF(I.Product.P2aGasToPowerStatus&lt;&gt;"Yes","Complete",IF(AND(I.Gas.P2aY2Count&gt;=6,F26687=""),"Incomplete","Complete")))</f>
        <v>Complete</v>
      </c>
      <c r="I26687" s="48" t="s">
        <v>1866</v>
      </c>
    </row>
    <row r="26688" spans="2:9" ht="15" customHeight="1" x14ac:dyDescent="0.25">
      <c r="B26688" s="55" t="s">
        <v>383</v>
      </c>
      <c r="C26688" s="46">
        <v>7</v>
      </c>
      <c r="D26688" s="69" t="s">
        <v>29520</v>
      </c>
      <c r="E26688" s="62"/>
      <c r="F26688" s="62" t="str">
        <f>IF(INDEX(I.Gas.P2aY2C1E1,7)="","",INDEX(I.Gas.P2aY2C1E1,7))</f>
        <v/>
      </c>
      <c r="G26688" s="62"/>
      <c r="H26688" s="46" t="str">
        <f>IF(OR(I.Developer.P2a=FALSE,I.Facility.StandardPart="Part 2"),"Complete",IF(I.Product.P2aGasToPowerStatus&lt;&gt;"Yes","Complete",IF(AND(I.Gas.P2aY2Count&gt;=7,F26688=""),"Incomplete","Complete")))</f>
        <v>Complete</v>
      </c>
      <c r="I26688" s="48" t="s">
        <v>1867</v>
      </c>
    </row>
    <row r="26689" spans="2:9" ht="15" customHeight="1" x14ac:dyDescent="0.25">
      <c r="B26689" s="55" t="s">
        <v>383</v>
      </c>
      <c r="C26689" s="46">
        <v>8</v>
      </c>
      <c r="D26689" s="69" t="s">
        <v>29520</v>
      </c>
      <c r="E26689" s="62"/>
      <c r="F26689" s="62" t="str">
        <f>IF(INDEX(I.Gas.P2aY2C1E1,8)="","",INDEX(I.Gas.P2aY2C1E1,8))</f>
        <v/>
      </c>
      <c r="G26689" s="62"/>
      <c r="H26689" s="46" t="str">
        <f>IF(OR(I.Developer.P2a=FALSE,I.Facility.StandardPart="Part 2"),"Complete",IF(I.Product.P2aGasToPowerStatus&lt;&gt;"Yes","Complete",IF(AND(I.Gas.P2aY2Count&gt;=8,F26689=""),"Incomplete","Complete")))</f>
        <v>Complete</v>
      </c>
      <c r="I26689" s="48" t="s">
        <v>1868</v>
      </c>
    </row>
    <row r="26690" spans="2:9" ht="15" customHeight="1" x14ac:dyDescent="0.25">
      <c r="B26690" s="55" t="s">
        <v>383</v>
      </c>
      <c r="C26690" s="46">
        <v>9</v>
      </c>
      <c r="D26690" s="69" t="s">
        <v>29520</v>
      </c>
      <c r="E26690" s="62"/>
      <c r="F26690" s="62" t="str">
        <f>IF(INDEX(I.Gas.P2aY2C1E1,9)="","",INDEX(I.Gas.P2aY2C1E1,9))</f>
        <v/>
      </c>
      <c r="G26690" s="62"/>
      <c r="H26690" s="46" t="str">
        <f>IF(OR(I.Developer.P2a=FALSE,I.Facility.StandardPart="Part 2"),"Complete",IF(I.Product.P2aGasToPowerStatus&lt;&gt;"Yes","Complete",IF(AND(I.Gas.P2aY2Count&gt;=9,F26690=""),"Incomplete","Complete")))</f>
        <v>Complete</v>
      </c>
      <c r="I26690" s="48" t="s">
        <v>1869</v>
      </c>
    </row>
    <row r="26691" spans="2:9" ht="15" customHeight="1" x14ac:dyDescent="0.25">
      <c r="B26691" s="55" t="s">
        <v>383</v>
      </c>
      <c r="C26691" s="46">
        <v>10</v>
      </c>
      <c r="D26691" s="69" t="s">
        <v>29520</v>
      </c>
      <c r="E26691" s="62"/>
      <c r="F26691" s="62" t="str">
        <f>IF(INDEX(I.Gas.P2aY2C1E1,10)="","",INDEX(I.Gas.P2aY2C1E1,10))</f>
        <v/>
      </c>
      <c r="G26691" s="62"/>
      <c r="H26691" s="46" t="str">
        <f>IF(OR(I.Developer.P2a=FALSE,I.Facility.StandardPart="Part 2"),"Complete",IF(I.Product.P2aGasToPowerStatus&lt;&gt;"Yes","Complete",IF(AND(I.Gas.P2aY2Count&gt;=10,F26691=""),"Incomplete","Complete")))</f>
        <v>Complete</v>
      </c>
      <c r="I26691" s="48" t="s">
        <v>1870</v>
      </c>
    </row>
    <row r="26692" spans="2:9" ht="15" customHeight="1" x14ac:dyDescent="0.25">
      <c r="B26692" s="55" t="s">
        <v>383</v>
      </c>
      <c r="C26692" s="46">
        <v>11</v>
      </c>
      <c r="D26692" s="69" t="s">
        <v>29520</v>
      </c>
      <c r="E26692" s="62"/>
      <c r="F26692" s="62" t="str">
        <f>IF(INDEX(I.Gas.P2aY2C1E1,11)="","",INDEX(I.Gas.P2aY2C1E1,11))</f>
        <v/>
      </c>
      <c r="G26692" s="62"/>
      <c r="H26692" s="46" t="str">
        <f>IF(OR(I.Developer.P2a=FALSE,I.Facility.StandardPart="Part 2"),"Complete",IF(I.Product.P2aGasToPowerStatus&lt;&gt;"Yes","Complete",IF(AND(I.Gas.P2aY2Count&gt;=11,F26692=""),"Incomplete","Complete")))</f>
        <v>Complete</v>
      </c>
      <c r="I26692" s="48" t="s">
        <v>1871</v>
      </c>
    </row>
    <row r="26693" spans="2:9" ht="15" customHeight="1" x14ac:dyDescent="0.25">
      <c r="B26693" s="55" t="s">
        <v>383</v>
      </c>
      <c r="C26693" s="46">
        <v>12</v>
      </c>
      <c r="D26693" s="69" t="s">
        <v>29520</v>
      </c>
      <c r="E26693" s="62"/>
      <c r="F26693" s="62" t="str">
        <f>IF(INDEX(I.Gas.P2aY2C1E1,12)="","",INDEX(I.Gas.P2aY2C1E1,12))</f>
        <v/>
      </c>
      <c r="G26693" s="62"/>
      <c r="H26693" s="46" t="str">
        <f>IF(OR(I.Developer.P2a=FALSE,I.Facility.StandardPart="Part 2"),"Complete",IF(I.Product.P2aGasToPowerStatus&lt;&gt;"Yes","Complete",IF(AND(I.Gas.P2aY2Count&gt;=12,F26693=""),"Incomplete","Complete")))</f>
        <v>Complete</v>
      </c>
      <c r="I26693" s="48" t="s">
        <v>1872</v>
      </c>
    </row>
    <row r="26694" spans="2:9" ht="15" customHeight="1" x14ac:dyDescent="0.25">
      <c r="B26694" s="55" t="s">
        <v>383</v>
      </c>
      <c r="C26694" s="46">
        <v>13</v>
      </c>
      <c r="D26694" s="69" t="s">
        <v>29520</v>
      </c>
      <c r="E26694" s="62"/>
      <c r="F26694" s="62" t="str">
        <f>IF(INDEX(I.Gas.P2aY2C1E1,13)="","",INDEX(I.Gas.P2aY2C1E1,13))</f>
        <v/>
      </c>
      <c r="G26694" s="62"/>
      <c r="H26694" s="46" t="str">
        <f>IF(OR(I.Developer.P2a=FALSE,I.Facility.StandardPart="Part 2"),"Complete",IF(I.Product.P2aGasToPowerStatus&lt;&gt;"Yes","Complete",IF(AND(I.Gas.P2aY2Count&gt;=13,F26694=""),"Incomplete","Complete")))</f>
        <v>Complete</v>
      </c>
      <c r="I26694" s="48" t="s">
        <v>1873</v>
      </c>
    </row>
    <row r="26695" spans="2:9" ht="15" customHeight="1" x14ac:dyDescent="0.25">
      <c r="B26695" s="55" t="s">
        <v>383</v>
      </c>
      <c r="C26695" s="46">
        <v>14</v>
      </c>
      <c r="D26695" s="69" t="s">
        <v>29520</v>
      </c>
      <c r="E26695" s="62"/>
      <c r="F26695" s="62" t="str">
        <f>IF(INDEX(I.Gas.P2aY2C1E1,14)="","",INDEX(I.Gas.P2aY2C1E1,14))</f>
        <v/>
      </c>
      <c r="G26695" s="62"/>
      <c r="H26695" s="46" t="str">
        <f>IF(OR(I.Developer.P2a=FALSE,I.Facility.StandardPart="Part 2"),"Complete",IF(I.Product.P2aGasToPowerStatus&lt;&gt;"Yes","Complete",IF(AND(I.Gas.P2aY2Count&gt;=14,F26695=""),"Incomplete","Complete")))</f>
        <v>Complete</v>
      </c>
      <c r="I26695" s="48" t="s">
        <v>1874</v>
      </c>
    </row>
    <row r="26696" spans="2:9" ht="15" customHeight="1" x14ac:dyDescent="0.25">
      <c r="B26696" s="55" t="s">
        <v>383</v>
      </c>
      <c r="C26696" s="46">
        <v>15</v>
      </c>
      <c r="D26696" s="69" t="s">
        <v>29520</v>
      </c>
      <c r="E26696" s="62"/>
      <c r="F26696" s="62" t="str">
        <f>IF(INDEX(I.Gas.P2aY2C1E1,15)="","",INDEX(I.Gas.P2aY2C1E1,15))</f>
        <v/>
      </c>
      <c r="G26696" s="62"/>
      <c r="H26696" s="46" t="str">
        <f>IF(OR(I.Developer.P2a=FALSE,I.Facility.StandardPart="Part 2"),"Complete",IF(I.Product.P2aGasToPowerStatus&lt;&gt;"Yes","Complete",IF(AND(I.Gas.P2aY2Count&gt;=15,F26696=""),"Incomplete","Complete")))</f>
        <v>Complete</v>
      </c>
      <c r="I26696" s="48" t="s">
        <v>1875</v>
      </c>
    </row>
    <row r="26697" spans="2:9" ht="15" customHeight="1" x14ac:dyDescent="0.25">
      <c r="B26697" s="55" t="s">
        <v>383</v>
      </c>
      <c r="C26697" s="46">
        <v>16</v>
      </c>
      <c r="D26697" s="69" t="s">
        <v>29520</v>
      </c>
      <c r="E26697" s="62"/>
      <c r="F26697" s="62" t="str">
        <f>IF(INDEX(I.Gas.P2aY2C1E1,16)="","",INDEX(I.Gas.P2aY2C1E1,16))</f>
        <v/>
      </c>
      <c r="G26697" s="62"/>
      <c r="H26697" s="46" t="str">
        <f>IF(OR(I.Developer.P2a=FALSE,I.Facility.StandardPart="Part 2"),"Complete",IF(I.Product.P2aGasToPowerStatus&lt;&gt;"Yes","Complete",IF(AND(I.Gas.P2aY2Count&gt;=16,F26697=""),"Incomplete","Complete")))</f>
        <v>Complete</v>
      </c>
      <c r="I26697" s="48" t="s">
        <v>1876</v>
      </c>
    </row>
    <row r="26698" spans="2:9" ht="15" customHeight="1" x14ac:dyDescent="0.25">
      <c r="B26698" s="55" t="s">
        <v>383</v>
      </c>
      <c r="C26698" s="46">
        <v>17</v>
      </c>
      <c r="D26698" s="69" t="s">
        <v>29520</v>
      </c>
      <c r="E26698" s="62"/>
      <c r="F26698" s="62" t="str">
        <f>IF(INDEX(I.Gas.P2aY2C1E1,17)="","",INDEX(I.Gas.P2aY2C1E1,17))</f>
        <v/>
      </c>
      <c r="G26698" s="62"/>
      <c r="H26698" s="46" t="str">
        <f>IF(OR(I.Developer.P2a=FALSE,I.Facility.StandardPart="Part 2"),"Complete",IF(I.Product.P2aGasToPowerStatus&lt;&gt;"Yes","Complete",IF(AND(I.Gas.P2aY2Count&gt;=17,F26698=""),"Incomplete","Complete")))</f>
        <v>Complete</v>
      </c>
      <c r="I26698" s="48" t="s">
        <v>1877</v>
      </c>
    </row>
    <row r="26699" spans="2:9" ht="15" customHeight="1" x14ac:dyDescent="0.25">
      <c r="B26699" s="55" t="s">
        <v>383</v>
      </c>
      <c r="C26699" s="46">
        <v>18</v>
      </c>
      <c r="D26699" s="69" t="s">
        <v>29520</v>
      </c>
      <c r="E26699" s="62"/>
      <c r="F26699" s="62" t="str">
        <f>IF(INDEX(I.Gas.P2aY2C1E1,18)="","",INDEX(I.Gas.P2aY2C1E1,18))</f>
        <v/>
      </c>
      <c r="G26699" s="62"/>
      <c r="H26699" s="46" t="str">
        <f>IF(OR(I.Developer.P2a=FALSE,I.Facility.StandardPart="Part 2"),"Complete",IF(I.Product.P2aGasToPowerStatus&lt;&gt;"Yes","Complete",IF(AND(I.Gas.P2aY2Count&gt;=18,F26699=""),"Incomplete","Complete")))</f>
        <v>Complete</v>
      </c>
      <c r="I26699" s="48" t="s">
        <v>1878</v>
      </c>
    </row>
    <row r="26700" spans="2:9" ht="15" customHeight="1" x14ac:dyDescent="0.25">
      <c r="B26700" s="55" t="s">
        <v>383</v>
      </c>
      <c r="C26700" s="46">
        <v>19</v>
      </c>
      <c r="D26700" s="69" t="s">
        <v>29520</v>
      </c>
      <c r="E26700" s="62"/>
      <c r="F26700" s="62" t="str">
        <f>IF(INDEX(I.Gas.P2aY2C1E1,19)="","",INDEX(I.Gas.P2aY2C1E1,19))</f>
        <v/>
      </c>
      <c r="G26700" s="62"/>
      <c r="H26700" s="46" t="str">
        <f>IF(OR(I.Developer.P2a=FALSE,I.Facility.StandardPart="Part 2"),"Complete",IF(I.Product.P2aGasToPowerStatus&lt;&gt;"Yes","Complete",IF(AND(I.Gas.P2aY2Count&gt;=19,F26700=""),"Incomplete","Complete")))</f>
        <v>Complete</v>
      </c>
      <c r="I26700" s="48" t="s">
        <v>1879</v>
      </c>
    </row>
    <row r="26701" spans="2:9" ht="15" customHeight="1" x14ac:dyDescent="0.25">
      <c r="B26701" s="55" t="s">
        <v>383</v>
      </c>
      <c r="C26701" s="46">
        <v>20</v>
      </c>
      <c r="D26701" s="69" t="s">
        <v>29520</v>
      </c>
      <c r="E26701" s="62"/>
      <c r="F26701" s="62" t="str">
        <f>IF(INDEX(I.Gas.P2aY2C1E1,20)="","",INDEX(I.Gas.P2aY2C1E1,20))</f>
        <v/>
      </c>
      <c r="G26701" s="62"/>
      <c r="H26701" s="46" t="str">
        <f>IF(OR(I.Developer.P2a=FALSE,I.Facility.StandardPart="Part 2"),"Complete",IF(I.Product.P2aGasToPowerStatus&lt;&gt;"Yes","Complete",IF(AND(I.Gas.P2aY2Count&gt;=20,F26701=""),"Incomplete","Complete")))</f>
        <v>Complete</v>
      </c>
      <c r="I26701" s="48" t="s">
        <v>1880</v>
      </c>
    </row>
    <row r="26702" spans="2:9" ht="15" customHeight="1" x14ac:dyDescent="0.25">
      <c r="B26702" s="55" t="s">
        <v>383</v>
      </c>
      <c r="C26702" s="46">
        <v>21</v>
      </c>
      <c r="D26702" s="69" t="s">
        <v>29520</v>
      </c>
      <c r="E26702" s="62"/>
      <c r="F26702" s="62" t="str">
        <f>IF(INDEX(I.Gas.P2aY2C1E1,21)="","",INDEX(I.Gas.P2aY2C1E1,21))</f>
        <v/>
      </c>
      <c r="G26702" s="62"/>
      <c r="H26702" s="46" t="str">
        <f>IF(OR(I.Developer.P2a=FALSE,I.Facility.StandardPart="Part 2"),"Complete",IF(I.Product.P2aGasToPowerStatus&lt;&gt;"Yes","Complete",IF(AND(I.Gas.P2aY2Count&gt;=21,F26702=""),"Incomplete","Complete")))</f>
        <v>Complete</v>
      </c>
      <c r="I26702" s="48" t="s">
        <v>1881</v>
      </c>
    </row>
    <row r="26703" spans="2:9" ht="15" customHeight="1" x14ac:dyDescent="0.25">
      <c r="B26703" s="55" t="s">
        <v>383</v>
      </c>
      <c r="C26703" s="46">
        <v>22</v>
      </c>
      <c r="D26703" s="69" t="s">
        <v>29520</v>
      </c>
      <c r="E26703" s="62"/>
      <c r="F26703" s="62" t="str">
        <f>IF(INDEX(I.Gas.P2aY2C1E1,22)="","",INDEX(I.Gas.P2aY2C1E1,22))</f>
        <v/>
      </c>
      <c r="G26703" s="62"/>
      <c r="H26703" s="46" t="str">
        <f>IF(OR(I.Developer.P2a=FALSE,I.Facility.StandardPart="Part 2"),"Complete",IF(I.Product.P2aGasToPowerStatus&lt;&gt;"Yes","Complete",IF(AND(I.Gas.P2aY2Count&gt;=22,F26703=""),"Incomplete","Complete")))</f>
        <v>Complete</v>
      </c>
      <c r="I26703" s="48" t="s">
        <v>1882</v>
      </c>
    </row>
    <row r="26704" spans="2:9" ht="15" customHeight="1" x14ac:dyDescent="0.25">
      <c r="B26704" s="55" t="s">
        <v>383</v>
      </c>
      <c r="C26704" s="46">
        <v>23</v>
      </c>
      <c r="D26704" s="69" t="s">
        <v>29520</v>
      </c>
      <c r="E26704" s="62"/>
      <c r="F26704" s="62" t="str">
        <f>IF(INDEX(I.Gas.P2aY2C1E1,23)="","",INDEX(I.Gas.P2aY2C1E1,23))</f>
        <v/>
      </c>
      <c r="G26704" s="62"/>
      <c r="H26704" s="46" t="str">
        <f>IF(OR(I.Developer.P2a=FALSE,I.Facility.StandardPart="Part 2"),"Complete",IF(I.Product.P2aGasToPowerStatus&lt;&gt;"Yes","Complete",IF(AND(I.Gas.P2aY2Count&gt;=23,F26704=""),"Incomplete","Complete")))</f>
        <v>Complete</v>
      </c>
      <c r="I26704" s="48" t="s">
        <v>1883</v>
      </c>
    </row>
    <row r="26705" spans="2:9" ht="15" customHeight="1" x14ac:dyDescent="0.25">
      <c r="B26705" s="55" t="s">
        <v>383</v>
      </c>
      <c r="C26705" s="46">
        <v>24</v>
      </c>
      <c r="D26705" s="69" t="s">
        <v>29520</v>
      </c>
      <c r="E26705" s="62"/>
      <c r="F26705" s="62" t="str">
        <f>IF(INDEX(I.Gas.P2aY2C1E1,24)="","",INDEX(I.Gas.P2aY2C1E1,24))</f>
        <v/>
      </c>
      <c r="G26705" s="62"/>
      <c r="H26705" s="46" t="str">
        <f>IF(OR(I.Developer.P2a=FALSE,I.Facility.StandardPart="Part 2"),"Complete",IF(I.Product.P2aGasToPowerStatus&lt;&gt;"Yes","Complete",IF(AND(I.Gas.P2aY2Count&gt;=24,F26705=""),"Incomplete","Complete")))</f>
        <v>Complete</v>
      </c>
      <c r="I26705" s="48" t="s">
        <v>1884</v>
      </c>
    </row>
    <row r="26706" spans="2:9" ht="15" customHeight="1" x14ac:dyDescent="0.25">
      <c r="B26706" s="55" t="s">
        <v>383</v>
      </c>
      <c r="C26706" s="46">
        <v>25</v>
      </c>
      <c r="D26706" s="69" t="s">
        <v>29520</v>
      </c>
      <c r="E26706" s="62"/>
      <c r="F26706" s="62" t="str">
        <f>IF(INDEX(I.Gas.P2aY2C1E1,25)="","",INDEX(I.Gas.P2aY2C1E1,25))</f>
        <v/>
      </c>
      <c r="G26706" s="62"/>
      <c r="H26706" s="46" t="str">
        <f>IF(OR(I.Developer.P2a=FALSE,I.Facility.StandardPart="Part 2"),"Complete",IF(I.Product.P2aGasToPowerStatus&lt;&gt;"Yes","Complete",IF(AND(I.Gas.P2aY2Count&gt;=25,F26706=""),"Incomplete","Complete")))</f>
        <v>Complete</v>
      </c>
      <c r="I26706" s="48" t="s">
        <v>1885</v>
      </c>
    </row>
    <row r="26707" spans="2:9" ht="15" customHeight="1" x14ac:dyDescent="0.25">
      <c r="B26707" s="55" t="s">
        <v>383</v>
      </c>
      <c r="C26707" s="46">
        <v>26</v>
      </c>
      <c r="D26707" s="69" t="s">
        <v>29520</v>
      </c>
      <c r="E26707" s="62"/>
      <c r="F26707" s="62" t="str">
        <f>IF(INDEX(I.Gas.P2aY2C1E1,26)="","",INDEX(I.Gas.P2aY2C1E1,26))</f>
        <v/>
      </c>
      <c r="G26707" s="62"/>
      <c r="H26707" s="46" t="str">
        <f>IF(OR(I.Developer.P2a=FALSE,I.Facility.StandardPart="Part 2"),"Complete",IF(I.Product.P2aGasToPowerStatus&lt;&gt;"Yes","Complete",IF(AND(I.Gas.P2aY2Count&gt;=26,F26707=""),"Incomplete","Complete")))</f>
        <v>Complete</v>
      </c>
      <c r="I26707" s="48" t="s">
        <v>1886</v>
      </c>
    </row>
    <row r="26708" spans="2:9" ht="15" customHeight="1" x14ac:dyDescent="0.25">
      <c r="B26708" s="55" t="s">
        <v>383</v>
      </c>
      <c r="C26708" s="46">
        <v>27</v>
      </c>
      <c r="D26708" s="69" t="s">
        <v>29520</v>
      </c>
      <c r="E26708" s="62"/>
      <c r="F26708" s="62" t="str">
        <f>IF(INDEX(I.Gas.P2aY2C1E1,27)="","",INDEX(I.Gas.P2aY2C1E1,27))</f>
        <v/>
      </c>
      <c r="G26708" s="62"/>
      <c r="H26708" s="46" t="str">
        <f>IF(OR(I.Developer.P2a=FALSE,I.Facility.StandardPart="Part 2"),"Complete",IF(I.Product.P2aGasToPowerStatus&lt;&gt;"Yes","Complete",IF(AND(I.Gas.P2aY2Count&gt;=27,F26708=""),"Incomplete","Complete")))</f>
        <v>Complete</v>
      </c>
      <c r="I26708" s="48" t="s">
        <v>1887</v>
      </c>
    </row>
    <row r="26709" spans="2:9" ht="15" customHeight="1" x14ac:dyDescent="0.25">
      <c r="B26709" s="55" t="s">
        <v>383</v>
      </c>
      <c r="C26709" s="46">
        <v>28</v>
      </c>
      <c r="D26709" s="69" t="s">
        <v>29520</v>
      </c>
      <c r="E26709" s="62"/>
      <c r="F26709" s="62" t="str">
        <f>IF(INDEX(I.Gas.P2aY2C1E1,28)="","",INDEX(I.Gas.P2aY2C1E1,28))</f>
        <v/>
      </c>
      <c r="G26709" s="62"/>
      <c r="H26709" s="46" t="str">
        <f>IF(OR(I.Developer.P2a=FALSE,I.Facility.StandardPart="Part 2"),"Complete",IF(I.Product.P2aGasToPowerStatus&lt;&gt;"Yes","Complete",IF(AND(I.Gas.P2aY2Count&gt;=28,F26709=""),"Incomplete","Complete")))</f>
        <v>Complete</v>
      </c>
      <c r="I26709" s="48" t="s">
        <v>1888</v>
      </c>
    </row>
    <row r="26710" spans="2:9" ht="15" customHeight="1" x14ac:dyDescent="0.25">
      <c r="B26710" s="55" t="s">
        <v>383</v>
      </c>
      <c r="C26710" s="46">
        <v>29</v>
      </c>
      <c r="D26710" s="69" t="s">
        <v>29520</v>
      </c>
      <c r="E26710" s="62"/>
      <c r="F26710" s="62" t="str">
        <f>IF(INDEX(I.Gas.P2aY2C1E1,29)="","",INDEX(I.Gas.P2aY2C1E1,29))</f>
        <v/>
      </c>
      <c r="G26710" s="62"/>
      <c r="H26710" s="46" t="str">
        <f>IF(OR(I.Developer.P2a=FALSE,I.Facility.StandardPart="Part 2"),"Complete",IF(I.Product.P2aGasToPowerStatus&lt;&gt;"Yes","Complete",IF(AND(I.Gas.P2aY2Count&gt;=29,F26710=""),"Incomplete","Complete")))</f>
        <v>Complete</v>
      </c>
      <c r="I26710" s="48" t="s">
        <v>1889</v>
      </c>
    </row>
    <row r="26711" spans="2:9" ht="15" customHeight="1" x14ac:dyDescent="0.25">
      <c r="B26711" s="55" t="s">
        <v>383</v>
      </c>
      <c r="C26711" s="46">
        <v>30</v>
      </c>
      <c r="D26711" s="69" t="s">
        <v>29520</v>
      </c>
      <c r="E26711" s="62"/>
      <c r="F26711" s="62" t="str">
        <f>IF(INDEX(I.Gas.P2aY2C1E1,30)="","",INDEX(I.Gas.P2aY2C1E1,30))</f>
        <v/>
      </c>
      <c r="G26711" s="62"/>
      <c r="H26711" s="46" t="str">
        <f>IF(OR(I.Developer.P2a=FALSE,I.Facility.StandardPart="Part 2"),"Complete",IF(I.Product.P2aGasToPowerStatus&lt;&gt;"Yes","Complete",IF(AND(I.Gas.P2aY2Count&gt;=30,F26711=""),"Incomplete","Complete")))</f>
        <v>Complete</v>
      </c>
      <c r="I26711" s="48" t="s">
        <v>1890</v>
      </c>
    </row>
    <row r="26712" spans="2:9" ht="15" customHeight="1" x14ac:dyDescent="0.25">
      <c r="B26712" s="55" t="s">
        <v>383</v>
      </c>
      <c r="C26712" s="46">
        <v>31</v>
      </c>
      <c r="D26712" s="69" t="s">
        <v>29520</v>
      </c>
      <c r="E26712" s="62"/>
      <c r="F26712" s="62" t="str">
        <f>IF(INDEX(I.Gas.P2aY2C1E1,31)="","",INDEX(I.Gas.P2aY2C1E1,31))</f>
        <v/>
      </c>
      <c r="G26712" s="62"/>
      <c r="H26712" s="46" t="str">
        <f>IF(OR(I.Developer.P2a=FALSE,I.Facility.StandardPart="Part 2"),"Complete",IF(I.Product.P2aGasToPowerStatus&lt;&gt;"Yes","Complete",IF(AND(I.Gas.P2aY2Count&gt;=31,F26712=""),"Incomplete","Complete")))</f>
        <v>Complete</v>
      </c>
      <c r="I26712" s="48" t="s">
        <v>1891</v>
      </c>
    </row>
    <row r="26713" spans="2:9" ht="15" customHeight="1" x14ac:dyDescent="0.25">
      <c r="B26713" s="55" t="s">
        <v>383</v>
      </c>
      <c r="C26713" s="46">
        <v>32</v>
      </c>
      <c r="D26713" s="69" t="s">
        <v>29520</v>
      </c>
      <c r="E26713" s="62"/>
      <c r="F26713" s="62" t="str">
        <f>IF(INDEX(I.Gas.P2aY2C1E1,32)="","",INDEX(I.Gas.P2aY2C1E1,32))</f>
        <v/>
      </c>
      <c r="G26713" s="62"/>
      <c r="H26713" s="46" t="str">
        <f>IF(OR(I.Developer.P2a=FALSE,I.Facility.StandardPart="Part 2"),"Complete",IF(I.Product.P2aGasToPowerStatus&lt;&gt;"Yes","Complete",IF(AND(I.Gas.P2aY2Count&gt;=32,F26713=""),"Incomplete","Complete")))</f>
        <v>Complete</v>
      </c>
      <c r="I26713" s="48" t="s">
        <v>1892</v>
      </c>
    </row>
    <row r="26714" spans="2:9" ht="15" customHeight="1" x14ac:dyDescent="0.25">
      <c r="B26714" s="55" t="s">
        <v>383</v>
      </c>
      <c r="C26714" s="46">
        <v>33</v>
      </c>
      <c r="D26714" s="69" t="s">
        <v>29520</v>
      </c>
      <c r="E26714" s="62"/>
      <c r="F26714" s="62" t="str">
        <f>IF(INDEX(I.Gas.P2aY2C1E1,33)="","",INDEX(I.Gas.P2aY2C1E1,33))</f>
        <v/>
      </c>
      <c r="G26714" s="62"/>
      <c r="H26714" s="46" t="str">
        <f>IF(OR(I.Developer.P2a=FALSE,I.Facility.StandardPart="Part 2"),"Complete",IF(I.Product.P2aGasToPowerStatus&lt;&gt;"Yes","Complete",IF(AND(I.Gas.P2aY2Count&gt;=33,F26714=""),"Incomplete","Complete")))</f>
        <v>Complete</v>
      </c>
      <c r="I26714" s="48" t="s">
        <v>1893</v>
      </c>
    </row>
    <row r="26715" spans="2:9" ht="15" customHeight="1" x14ac:dyDescent="0.25">
      <c r="B26715" s="55" t="s">
        <v>383</v>
      </c>
      <c r="C26715" s="46">
        <v>34</v>
      </c>
      <c r="D26715" s="69" t="s">
        <v>29520</v>
      </c>
      <c r="E26715" s="62"/>
      <c r="F26715" s="62" t="str">
        <f>IF(INDEX(I.Gas.P2aY2C1E1,34)="","",INDEX(I.Gas.P2aY2C1E1,34))</f>
        <v/>
      </c>
      <c r="G26715" s="62"/>
      <c r="H26715" s="46" t="str">
        <f>IF(OR(I.Developer.P2a=FALSE,I.Facility.StandardPart="Part 2"),"Complete",IF(I.Product.P2aGasToPowerStatus&lt;&gt;"Yes","Complete",IF(AND(I.Gas.P2aY2Count&gt;=34,F26715=""),"Incomplete","Complete")))</f>
        <v>Complete</v>
      </c>
      <c r="I26715" s="48" t="s">
        <v>1894</v>
      </c>
    </row>
    <row r="26716" spans="2:9" ht="15" customHeight="1" x14ac:dyDescent="0.25">
      <c r="B26716" s="55" t="s">
        <v>383</v>
      </c>
      <c r="C26716" s="46">
        <v>35</v>
      </c>
      <c r="D26716" s="69" t="s">
        <v>29520</v>
      </c>
      <c r="E26716" s="62"/>
      <c r="F26716" s="62" t="str">
        <f>IF(INDEX(I.Gas.P2aY2C1E1,35)="","",INDEX(I.Gas.P2aY2C1E1,35))</f>
        <v/>
      </c>
      <c r="G26716" s="62"/>
      <c r="H26716" s="46" t="str">
        <f>IF(OR(I.Developer.P2a=FALSE,I.Facility.StandardPart="Part 2"),"Complete",IF(I.Product.P2aGasToPowerStatus&lt;&gt;"Yes","Complete",IF(AND(I.Gas.P2aY2Count&gt;=35,F26716=""),"Incomplete","Complete")))</f>
        <v>Complete</v>
      </c>
      <c r="I26716" s="48" t="s">
        <v>1895</v>
      </c>
    </row>
    <row r="26717" spans="2:9" ht="15" customHeight="1" x14ac:dyDescent="0.25">
      <c r="B26717" s="55" t="s">
        <v>383</v>
      </c>
      <c r="C26717" s="46">
        <v>36</v>
      </c>
      <c r="D26717" s="69" t="s">
        <v>29520</v>
      </c>
      <c r="E26717" s="62"/>
      <c r="F26717" s="62" t="str">
        <f>IF(INDEX(I.Gas.P2aY2C1E1,36)="","",INDEX(I.Gas.P2aY2C1E1,36))</f>
        <v/>
      </c>
      <c r="G26717" s="62"/>
      <c r="H26717" s="46" t="str">
        <f>IF(OR(I.Developer.P2a=FALSE,I.Facility.StandardPart="Part 2"),"Complete",IF(I.Product.P2aGasToPowerStatus&lt;&gt;"Yes","Complete",IF(AND(I.Gas.P2aY2Count&gt;=36,F26717=""),"Incomplete","Complete")))</f>
        <v>Complete</v>
      </c>
      <c r="I26717" s="48" t="s">
        <v>1896</v>
      </c>
    </row>
    <row r="26718" spans="2:9" ht="15" customHeight="1" x14ac:dyDescent="0.25">
      <c r="B26718" s="55" t="s">
        <v>383</v>
      </c>
      <c r="C26718" s="46">
        <v>37</v>
      </c>
      <c r="D26718" s="69" t="s">
        <v>29520</v>
      </c>
      <c r="E26718" s="62"/>
      <c r="F26718" s="62" t="str">
        <f>IF(INDEX(I.Gas.P2aY2C1E1,37)="","",INDEX(I.Gas.P2aY2C1E1,37))</f>
        <v/>
      </c>
      <c r="G26718" s="62"/>
      <c r="H26718" s="46" t="str">
        <f>IF(OR(I.Developer.P2a=FALSE,I.Facility.StandardPart="Part 2"),"Complete",IF(I.Product.P2aGasToPowerStatus&lt;&gt;"Yes","Complete",IF(AND(I.Gas.P2aY2Count&gt;=37,F26718=""),"Incomplete","Complete")))</f>
        <v>Complete</v>
      </c>
      <c r="I26718" s="48" t="s">
        <v>1897</v>
      </c>
    </row>
    <row r="26719" spans="2:9" ht="15" customHeight="1" x14ac:dyDescent="0.25">
      <c r="B26719" s="55" t="s">
        <v>383</v>
      </c>
      <c r="C26719" s="46">
        <v>38</v>
      </c>
      <c r="D26719" s="69" t="s">
        <v>29520</v>
      </c>
      <c r="E26719" s="62"/>
      <c r="F26719" s="62" t="str">
        <f>IF(INDEX(I.Gas.P2aY2C1E1,38)="","",INDEX(I.Gas.P2aY2C1E1,38))</f>
        <v/>
      </c>
      <c r="G26719" s="62"/>
      <c r="H26719" s="46" t="str">
        <f>IF(OR(I.Developer.P2a=FALSE,I.Facility.StandardPart="Part 2"),"Complete",IF(I.Product.P2aGasToPowerStatus&lt;&gt;"Yes","Complete",IF(AND(I.Gas.P2aY2Count&gt;=38,F26719=""),"Incomplete","Complete")))</f>
        <v>Complete</v>
      </c>
      <c r="I26719" s="48" t="s">
        <v>1898</v>
      </c>
    </row>
    <row r="26720" spans="2:9" ht="15" customHeight="1" x14ac:dyDescent="0.25">
      <c r="B26720" s="55" t="s">
        <v>383</v>
      </c>
      <c r="C26720" s="46">
        <v>39</v>
      </c>
      <c r="D26720" s="69" t="s">
        <v>29520</v>
      </c>
      <c r="E26720" s="62"/>
      <c r="F26720" s="62" t="str">
        <f>IF(INDEX(I.Gas.P2aY2C1E1,39)="","",INDEX(I.Gas.P2aY2C1E1,39))</f>
        <v/>
      </c>
      <c r="G26720" s="62"/>
      <c r="H26720" s="46" t="str">
        <f>IF(OR(I.Developer.P2a=FALSE,I.Facility.StandardPart="Part 2"),"Complete",IF(I.Product.P2aGasToPowerStatus&lt;&gt;"Yes","Complete",IF(AND(I.Gas.P2aY2Count&gt;=39,F26720=""),"Incomplete","Complete")))</f>
        <v>Complete</v>
      </c>
      <c r="I26720" s="48" t="s">
        <v>1899</v>
      </c>
    </row>
    <row r="26721" spans="2:9" ht="15" customHeight="1" x14ac:dyDescent="0.25">
      <c r="B26721" s="55" t="s">
        <v>383</v>
      </c>
      <c r="C26721" s="46">
        <v>40</v>
      </c>
      <c r="D26721" s="69" t="s">
        <v>29520</v>
      </c>
      <c r="E26721" s="62"/>
      <c r="F26721" s="62" t="str">
        <f>IF(INDEX(I.Gas.P2aY2C1E1,40)="","",INDEX(I.Gas.P2aY2C1E1,40))</f>
        <v/>
      </c>
      <c r="G26721" s="62"/>
      <c r="H26721" s="46" t="str">
        <f>IF(OR(I.Developer.P2a=FALSE,I.Facility.StandardPart="Part 2"),"Complete",IF(I.Product.P2aGasToPowerStatus&lt;&gt;"Yes","Complete",IF(AND(I.Gas.P2aY2Count&gt;=40,F26721=""),"Incomplete","Complete")))</f>
        <v>Complete</v>
      </c>
      <c r="I26721" s="48" t="s">
        <v>1900</v>
      </c>
    </row>
    <row r="26722" spans="2:9" ht="15" customHeight="1" x14ac:dyDescent="0.25">
      <c r="B26722" s="55" t="s">
        <v>383</v>
      </c>
      <c r="C26722" s="46">
        <v>41</v>
      </c>
      <c r="D26722" s="69" t="s">
        <v>29520</v>
      </c>
      <c r="E26722" s="62"/>
      <c r="F26722" s="62" t="str">
        <f>IF(INDEX(I.Gas.P2aY2C1E1,41)="","",INDEX(I.Gas.P2aY2C1E1,41))</f>
        <v/>
      </c>
      <c r="G26722" s="62"/>
      <c r="H26722" s="46" t="str">
        <f>IF(OR(I.Developer.P2a=FALSE,I.Facility.StandardPart="Part 2"),"Complete",IF(I.Product.P2aGasToPowerStatus&lt;&gt;"Yes","Complete",IF(AND(I.Gas.P2aY2Count&gt;=41,F26722=""),"Incomplete","Complete")))</f>
        <v>Complete</v>
      </c>
      <c r="I26722" s="48" t="s">
        <v>1901</v>
      </c>
    </row>
    <row r="26723" spans="2:9" ht="15" customHeight="1" x14ac:dyDescent="0.25">
      <c r="B26723" s="55" t="s">
        <v>383</v>
      </c>
      <c r="C26723" s="46">
        <v>42</v>
      </c>
      <c r="D26723" s="69" t="s">
        <v>29520</v>
      </c>
      <c r="E26723" s="62"/>
      <c r="F26723" s="62" t="str">
        <f>IF(INDEX(I.Gas.P2aY2C1E1,42)="","",INDEX(I.Gas.P2aY2C1E1,42))</f>
        <v/>
      </c>
      <c r="G26723" s="62"/>
      <c r="H26723" s="46" t="str">
        <f>IF(OR(I.Developer.P2a=FALSE,I.Facility.StandardPart="Part 2"),"Complete",IF(I.Product.P2aGasToPowerStatus&lt;&gt;"Yes","Complete",IF(AND(I.Gas.P2aY2Count&gt;=42,F26723=""),"Incomplete","Complete")))</f>
        <v>Complete</v>
      </c>
      <c r="I26723" s="48" t="s">
        <v>1902</v>
      </c>
    </row>
    <row r="26724" spans="2:9" ht="15" customHeight="1" x14ac:dyDescent="0.25">
      <c r="B26724" s="55" t="s">
        <v>383</v>
      </c>
      <c r="C26724" s="46">
        <v>43</v>
      </c>
      <c r="D26724" s="69" t="s">
        <v>29520</v>
      </c>
      <c r="E26724" s="62"/>
      <c r="F26724" s="62" t="str">
        <f>IF(INDEX(I.Gas.P2aY2C1E1,43)="","",INDEX(I.Gas.P2aY2C1E1,43))</f>
        <v/>
      </c>
      <c r="G26724" s="62"/>
      <c r="H26724" s="46" t="str">
        <f>IF(OR(I.Developer.P2a=FALSE,I.Facility.StandardPart="Part 2"),"Complete",IF(I.Product.P2aGasToPowerStatus&lt;&gt;"Yes","Complete",IF(AND(I.Gas.P2aY2Count&gt;=43,F26724=""),"Incomplete","Complete")))</f>
        <v>Complete</v>
      </c>
      <c r="I26724" s="48" t="s">
        <v>1903</v>
      </c>
    </row>
    <row r="26725" spans="2:9" ht="15" customHeight="1" x14ac:dyDescent="0.25">
      <c r="B26725" s="55" t="s">
        <v>383</v>
      </c>
      <c r="C26725" s="46">
        <v>44</v>
      </c>
      <c r="D26725" s="69" t="s">
        <v>29520</v>
      </c>
      <c r="E26725" s="62"/>
      <c r="F26725" s="62" t="str">
        <f>IF(INDEX(I.Gas.P2aY2C1E1,44)="","",INDEX(I.Gas.P2aY2C1E1,44))</f>
        <v/>
      </c>
      <c r="G26725" s="62"/>
      <c r="H26725" s="46" t="str">
        <f>IF(OR(I.Developer.P2a=FALSE,I.Facility.StandardPart="Part 2"),"Complete",IF(I.Product.P2aGasToPowerStatus&lt;&gt;"Yes","Complete",IF(AND(I.Gas.P2aY2Count&gt;=44,F26725=""),"Incomplete","Complete")))</f>
        <v>Complete</v>
      </c>
      <c r="I26725" s="48" t="s">
        <v>1904</v>
      </c>
    </row>
    <row r="26726" spans="2:9" ht="15" customHeight="1" x14ac:dyDescent="0.25">
      <c r="B26726" s="55" t="s">
        <v>383</v>
      </c>
      <c r="C26726" s="46">
        <v>45</v>
      </c>
      <c r="D26726" s="69" t="s">
        <v>29520</v>
      </c>
      <c r="E26726" s="62"/>
      <c r="F26726" s="62" t="str">
        <f>IF(INDEX(I.Gas.P2aY2C1E1,45)="","",INDEX(I.Gas.P2aY2C1E1,45))</f>
        <v/>
      </c>
      <c r="G26726" s="62"/>
      <c r="H26726" s="46" t="str">
        <f>IF(OR(I.Developer.P2a=FALSE,I.Facility.StandardPart="Part 2"),"Complete",IF(I.Product.P2aGasToPowerStatus&lt;&gt;"Yes","Complete",IF(AND(I.Gas.P2aY2Count&gt;=45,F26726=""),"Incomplete","Complete")))</f>
        <v>Complete</v>
      </c>
      <c r="I26726" s="48" t="s">
        <v>1905</v>
      </c>
    </row>
    <row r="26727" spans="2:9" ht="15" customHeight="1" x14ac:dyDescent="0.25">
      <c r="B26727" s="55" t="s">
        <v>383</v>
      </c>
      <c r="C26727" s="46">
        <v>46</v>
      </c>
      <c r="D26727" s="69" t="s">
        <v>29520</v>
      </c>
      <c r="E26727" s="62"/>
      <c r="F26727" s="62" t="str">
        <f>IF(INDEX(I.Gas.P2aY2C1E1,46)="","",INDEX(I.Gas.P2aY2C1E1,46))</f>
        <v/>
      </c>
      <c r="G26727" s="62"/>
      <c r="H26727" s="46" t="str">
        <f>IF(OR(I.Developer.P2a=FALSE,I.Facility.StandardPart="Part 2"),"Complete",IF(I.Product.P2aGasToPowerStatus&lt;&gt;"Yes","Complete",IF(AND(I.Gas.P2aY2Count&gt;=46,F26727=""),"Incomplete","Complete")))</f>
        <v>Complete</v>
      </c>
      <c r="I26727" s="48" t="s">
        <v>1906</v>
      </c>
    </row>
    <row r="26728" spans="2:9" ht="15" customHeight="1" x14ac:dyDescent="0.25">
      <c r="B26728" s="55" t="s">
        <v>383</v>
      </c>
      <c r="C26728" s="46">
        <v>47</v>
      </c>
      <c r="D26728" s="69" t="s">
        <v>29520</v>
      </c>
      <c r="E26728" s="62"/>
      <c r="F26728" s="62" t="str">
        <f>IF(INDEX(I.Gas.P2aY2C1E1,47)="","",INDEX(I.Gas.P2aY2C1E1,47))</f>
        <v/>
      </c>
      <c r="G26728" s="62"/>
      <c r="H26728" s="46" t="str">
        <f>IF(OR(I.Developer.P2a=FALSE,I.Facility.StandardPart="Part 2"),"Complete",IF(I.Product.P2aGasToPowerStatus&lt;&gt;"Yes","Complete",IF(AND(I.Gas.P2aY2Count&gt;=47,F26728=""),"Incomplete","Complete")))</f>
        <v>Complete</v>
      </c>
      <c r="I26728" s="48" t="s">
        <v>1907</v>
      </c>
    </row>
    <row r="26729" spans="2:9" ht="15" customHeight="1" x14ac:dyDescent="0.25">
      <c r="B26729" s="55" t="s">
        <v>383</v>
      </c>
      <c r="C26729" s="46">
        <v>48</v>
      </c>
      <c r="D26729" s="69" t="s">
        <v>29520</v>
      </c>
      <c r="E26729" s="62"/>
      <c r="F26729" s="62" t="str">
        <f>IF(INDEX(I.Gas.P2aY2C1E1,48)="","",INDEX(I.Gas.P2aY2C1E1,48))</f>
        <v/>
      </c>
      <c r="G26729" s="62"/>
      <c r="H26729" s="46" t="str">
        <f>IF(OR(I.Developer.P2a=FALSE,I.Facility.StandardPart="Part 2"),"Complete",IF(I.Product.P2aGasToPowerStatus&lt;&gt;"Yes","Complete",IF(AND(I.Gas.P2aY2Count&gt;=48,F26729=""),"Incomplete","Complete")))</f>
        <v>Complete</v>
      </c>
      <c r="I26729" s="48" t="s">
        <v>1908</v>
      </c>
    </row>
    <row r="26730" spans="2:9" ht="15" customHeight="1" x14ac:dyDescent="0.25">
      <c r="B26730" s="55" t="s">
        <v>383</v>
      </c>
      <c r="C26730" s="46">
        <v>49</v>
      </c>
      <c r="D26730" s="69" t="s">
        <v>29520</v>
      </c>
      <c r="E26730" s="62"/>
      <c r="F26730" s="62" t="str">
        <f>IF(INDEX(I.Gas.P2aY2C1E1,49)="","",INDEX(I.Gas.P2aY2C1E1,49))</f>
        <v/>
      </c>
      <c r="G26730" s="62"/>
      <c r="H26730" s="46" t="str">
        <f>IF(OR(I.Developer.P2a=FALSE,I.Facility.StandardPart="Part 2"),"Complete",IF(I.Product.P2aGasToPowerStatus&lt;&gt;"Yes","Complete",IF(AND(I.Gas.P2aY2Count&gt;=49,F26730=""),"Incomplete","Complete")))</f>
        <v>Complete</v>
      </c>
      <c r="I26730" s="48" t="s">
        <v>1909</v>
      </c>
    </row>
    <row r="26731" spans="2:9" ht="15" customHeight="1" x14ac:dyDescent="0.25">
      <c r="B26731" s="56" t="s">
        <v>383</v>
      </c>
      <c r="C26731" s="57">
        <v>50</v>
      </c>
      <c r="D26731" s="71" t="s">
        <v>29520</v>
      </c>
      <c r="E26731" s="61"/>
      <c r="F26731" s="61" t="str">
        <f>IF(INDEX(I.Gas.P2aY2C1E1,50)="","",INDEX(I.Gas.P2aY2C1E1,50))</f>
        <v/>
      </c>
      <c r="G26731" s="61"/>
      <c r="H26731" s="57" t="str">
        <f>IF(OR(I.Developer.P2a=FALSE,I.Facility.StandardPart="Part 2"),"Complete",IF(I.Product.P2aGasToPowerStatus&lt;&gt;"Yes","Complete",IF(AND(I.Gas.P2aY2Count&gt;=50,F26731=""),"Incomplete","Complete")))</f>
        <v>Complete</v>
      </c>
      <c r="I26731" s="49" t="s">
        <v>1910</v>
      </c>
    </row>
    <row r="26732" spans="2:9" ht="15" customHeight="1" x14ac:dyDescent="0.25">
      <c r="B26732" s="55" t="s">
        <v>384</v>
      </c>
      <c r="C26732" s="46">
        <v>1</v>
      </c>
      <c r="D26732" s="69" t="s">
        <v>29521</v>
      </c>
      <c r="E26732" s="62"/>
      <c r="F26732" s="62" t="str">
        <f>IF(INDEX(I.Gas.P2aY2C1E2,1)="","",INDEX(I.Gas.P2aY2C1E2,1))</f>
        <v/>
      </c>
      <c r="G26732" s="62"/>
      <c r="H26732" s="46" t="str">
        <f>IF(OR(I.Developer.P2a=FALSE,I.Facility.StandardPart="Part 2"),"Complete",IF(I.Product.P2aGasToPowerStatus&lt;&gt;"Yes","Complete",IF(AND(I.Gas.P2aY2Count&gt;=1,F26732=""),"Incomplete","Complete")))</f>
        <v>Complete</v>
      </c>
      <c r="I26732" s="48" t="s">
        <v>1911</v>
      </c>
    </row>
    <row r="26733" spans="2:9" ht="15" customHeight="1" x14ac:dyDescent="0.25">
      <c r="B26733" s="55" t="s">
        <v>384</v>
      </c>
      <c r="C26733" s="46">
        <v>2</v>
      </c>
      <c r="D26733" s="69" t="s">
        <v>29521</v>
      </c>
      <c r="E26733" s="62"/>
      <c r="F26733" s="62" t="str">
        <f>IF(INDEX(I.Gas.P2aY2C1E2,2)="","",INDEX(I.Gas.P2aY2C1E2,2))</f>
        <v/>
      </c>
      <c r="G26733" s="62"/>
      <c r="H26733" s="46" t="str">
        <f>IF(OR(I.Developer.P2a=FALSE,I.Facility.StandardPart="Part 2"),"Complete",IF(I.Product.P2aGasToPowerStatus&lt;&gt;"Yes","Complete",IF(AND(I.Gas.P2aY2Count&gt;=2,F26733=""),"Incomplete","Complete")))</f>
        <v>Complete</v>
      </c>
      <c r="I26733" s="48" t="s">
        <v>1912</v>
      </c>
    </row>
    <row r="26734" spans="2:9" ht="15" customHeight="1" x14ac:dyDescent="0.25">
      <c r="B26734" s="55" t="s">
        <v>384</v>
      </c>
      <c r="C26734" s="46">
        <v>3</v>
      </c>
      <c r="D26734" s="69" t="s">
        <v>29521</v>
      </c>
      <c r="E26734" s="62"/>
      <c r="F26734" s="62" t="str">
        <f>IF(INDEX(I.Gas.P2aY2C1E2,3)="","",INDEX(I.Gas.P2aY2C1E2,3))</f>
        <v/>
      </c>
      <c r="G26734" s="62"/>
      <c r="H26734" s="46" t="str">
        <f>IF(OR(I.Developer.P2a=FALSE,I.Facility.StandardPart="Part 2"),"Complete",IF(I.Product.P2aGasToPowerStatus&lt;&gt;"Yes","Complete",IF(AND(I.Gas.P2aY2Count&gt;=3,F26734=""),"Incomplete","Complete")))</f>
        <v>Complete</v>
      </c>
      <c r="I26734" s="48" t="s">
        <v>1913</v>
      </c>
    </row>
    <row r="26735" spans="2:9" ht="15" customHeight="1" x14ac:dyDescent="0.25">
      <c r="B26735" s="55" t="s">
        <v>384</v>
      </c>
      <c r="C26735" s="46">
        <v>4</v>
      </c>
      <c r="D26735" s="69" t="s">
        <v>29521</v>
      </c>
      <c r="E26735" s="62"/>
      <c r="F26735" s="62" t="str">
        <f>IF(INDEX(I.Gas.P2aY2C1E2,4)="","",INDEX(I.Gas.P2aY2C1E2,4))</f>
        <v/>
      </c>
      <c r="G26735" s="62"/>
      <c r="H26735" s="46" t="str">
        <f>IF(OR(I.Developer.P2a=FALSE,I.Facility.StandardPart="Part 2"),"Complete",IF(I.Product.P2aGasToPowerStatus&lt;&gt;"Yes","Complete",IF(AND(I.Gas.P2aY2Count&gt;=4,F26735=""),"Incomplete","Complete")))</f>
        <v>Complete</v>
      </c>
      <c r="I26735" s="48" t="s">
        <v>1914</v>
      </c>
    </row>
    <row r="26736" spans="2:9" ht="15" customHeight="1" x14ac:dyDescent="0.25">
      <c r="B26736" s="55" t="s">
        <v>384</v>
      </c>
      <c r="C26736" s="46">
        <v>5</v>
      </c>
      <c r="D26736" s="69" t="s">
        <v>29521</v>
      </c>
      <c r="E26736" s="62"/>
      <c r="F26736" s="62" t="str">
        <f>IF(INDEX(I.Gas.P2aY2C1E2,5)="","",INDEX(I.Gas.P2aY2C1E2,5))</f>
        <v/>
      </c>
      <c r="G26736" s="62"/>
      <c r="H26736" s="46" t="str">
        <f>IF(OR(I.Developer.P2a=FALSE,I.Facility.StandardPart="Part 2"),"Complete",IF(I.Product.P2aGasToPowerStatus&lt;&gt;"Yes","Complete",IF(AND(I.Gas.P2aY2Count&gt;=5,F26736=""),"Incomplete","Complete")))</f>
        <v>Complete</v>
      </c>
      <c r="I26736" s="48" t="s">
        <v>1915</v>
      </c>
    </row>
    <row r="26737" spans="2:9" ht="15" customHeight="1" x14ac:dyDescent="0.25">
      <c r="B26737" s="55" t="s">
        <v>384</v>
      </c>
      <c r="C26737" s="46">
        <v>6</v>
      </c>
      <c r="D26737" s="69" t="s">
        <v>29521</v>
      </c>
      <c r="E26737" s="62"/>
      <c r="F26737" s="62" t="str">
        <f>IF(INDEX(I.Gas.P2aY2C1E2,6)="","",INDEX(I.Gas.P2aY2C1E2,6))</f>
        <v/>
      </c>
      <c r="G26737" s="62"/>
      <c r="H26737" s="46" t="str">
        <f>IF(OR(I.Developer.P2a=FALSE,I.Facility.StandardPart="Part 2"),"Complete",IF(I.Product.P2aGasToPowerStatus&lt;&gt;"Yes","Complete",IF(AND(I.Gas.P2aY2Count&gt;=6,F26737=""),"Incomplete","Complete")))</f>
        <v>Complete</v>
      </c>
      <c r="I26737" s="48" t="s">
        <v>1916</v>
      </c>
    </row>
    <row r="26738" spans="2:9" ht="15" customHeight="1" x14ac:dyDescent="0.25">
      <c r="B26738" s="55" t="s">
        <v>384</v>
      </c>
      <c r="C26738" s="46">
        <v>7</v>
      </c>
      <c r="D26738" s="69" t="s">
        <v>29521</v>
      </c>
      <c r="E26738" s="62"/>
      <c r="F26738" s="62" t="str">
        <f>IF(INDEX(I.Gas.P2aY2C1E2,7)="","",INDEX(I.Gas.P2aY2C1E2,7))</f>
        <v/>
      </c>
      <c r="G26738" s="62"/>
      <c r="H26738" s="46" t="str">
        <f>IF(OR(I.Developer.P2a=FALSE,I.Facility.StandardPart="Part 2"),"Complete",IF(I.Product.P2aGasToPowerStatus&lt;&gt;"Yes","Complete",IF(AND(I.Gas.P2aY2Count&gt;=7,F26738=""),"Incomplete","Complete")))</f>
        <v>Complete</v>
      </c>
      <c r="I26738" s="48" t="s">
        <v>1917</v>
      </c>
    </row>
    <row r="26739" spans="2:9" ht="15" customHeight="1" x14ac:dyDescent="0.25">
      <c r="B26739" s="55" t="s">
        <v>384</v>
      </c>
      <c r="C26739" s="46">
        <v>8</v>
      </c>
      <c r="D26739" s="69" t="s">
        <v>29521</v>
      </c>
      <c r="E26739" s="62"/>
      <c r="F26739" s="62" t="str">
        <f>IF(INDEX(I.Gas.P2aY2C1E2,8)="","",INDEX(I.Gas.P2aY2C1E2,8))</f>
        <v/>
      </c>
      <c r="G26739" s="62"/>
      <c r="H26739" s="46" t="str">
        <f>IF(OR(I.Developer.P2a=FALSE,I.Facility.StandardPart="Part 2"),"Complete",IF(I.Product.P2aGasToPowerStatus&lt;&gt;"Yes","Complete",IF(AND(I.Gas.P2aY2Count&gt;=8,F26739=""),"Incomplete","Complete")))</f>
        <v>Complete</v>
      </c>
      <c r="I26739" s="48" t="s">
        <v>1918</v>
      </c>
    </row>
    <row r="26740" spans="2:9" ht="15" customHeight="1" x14ac:dyDescent="0.25">
      <c r="B26740" s="55" t="s">
        <v>384</v>
      </c>
      <c r="C26740" s="46">
        <v>9</v>
      </c>
      <c r="D26740" s="69" t="s">
        <v>29521</v>
      </c>
      <c r="E26740" s="62"/>
      <c r="F26740" s="62" t="str">
        <f>IF(INDEX(I.Gas.P2aY2C1E2,9)="","",INDEX(I.Gas.P2aY2C1E2,9))</f>
        <v/>
      </c>
      <c r="G26740" s="62"/>
      <c r="H26740" s="46" t="str">
        <f>IF(OR(I.Developer.P2a=FALSE,I.Facility.StandardPart="Part 2"),"Complete",IF(I.Product.P2aGasToPowerStatus&lt;&gt;"Yes","Complete",IF(AND(I.Gas.P2aY2Count&gt;=9,F26740=""),"Incomplete","Complete")))</f>
        <v>Complete</v>
      </c>
      <c r="I26740" s="48" t="s">
        <v>1919</v>
      </c>
    </row>
    <row r="26741" spans="2:9" ht="15" customHeight="1" x14ac:dyDescent="0.25">
      <c r="B26741" s="55" t="s">
        <v>384</v>
      </c>
      <c r="C26741" s="46">
        <v>10</v>
      </c>
      <c r="D26741" s="69" t="s">
        <v>29521</v>
      </c>
      <c r="E26741" s="62"/>
      <c r="F26741" s="62" t="str">
        <f>IF(INDEX(I.Gas.P2aY2C1E2,10)="","",INDEX(I.Gas.P2aY2C1E2,10))</f>
        <v/>
      </c>
      <c r="G26741" s="62"/>
      <c r="H26741" s="46" t="str">
        <f>IF(OR(I.Developer.P2a=FALSE,I.Facility.StandardPart="Part 2"),"Complete",IF(I.Product.P2aGasToPowerStatus&lt;&gt;"Yes","Complete",IF(AND(I.Gas.P2aY2Count&gt;=10,F26741=""),"Incomplete","Complete")))</f>
        <v>Complete</v>
      </c>
      <c r="I26741" s="48" t="s">
        <v>1920</v>
      </c>
    </row>
    <row r="26742" spans="2:9" ht="15" customHeight="1" x14ac:dyDescent="0.25">
      <c r="B26742" s="55" t="s">
        <v>384</v>
      </c>
      <c r="C26742" s="46">
        <v>11</v>
      </c>
      <c r="D26742" s="69" t="s">
        <v>29521</v>
      </c>
      <c r="E26742" s="62"/>
      <c r="F26742" s="62" t="str">
        <f>IF(INDEX(I.Gas.P2aY2C1E2,11)="","",INDEX(I.Gas.P2aY2C1E2,11))</f>
        <v/>
      </c>
      <c r="G26742" s="62"/>
      <c r="H26742" s="46" t="str">
        <f>IF(OR(I.Developer.P2a=FALSE,I.Facility.StandardPart="Part 2"),"Complete",IF(I.Product.P2aGasToPowerStatus&lt;&gt;"Yes","Complete",IF(AND(I.Gas.P2aY2Count&gt;=11,F26742=""),"Incomplete","Complete")))</f>
        <v>Complete</v>
      </c>
      <c r="I26742" s="48" t="s">
        <v>1921</v>
      </c>
    </row>
    <row r="26743" spans="2:9" ht="15" customHeight="1" x14ac:dyDescent="0.25">
      <c r="B26743" s="55" t="s">
        <v>384</v>
      </c>
      <c r="C26743" s="46">
        <v>12</v>
      </c>
      <c r="D26743" s="69" t="s">
        <v>29521</v>
      </c>
      <c r="E26743" s="62"/>
      <c r="F26743" s="62" t="str">
        <f>IF(INDEX(I.Gas.P2aY2C1E2,12)="","",INDEX(I.Gas.P2aY2C1E2,12))</f>
        <v/>
      </c>
      <c r="G26743" s="62"/>
      <c r="H26743" s="46" t="str">
        <f>IF(OR(I.Developer.P2a=FALSE,I.Facility.StandardPart="Part 2"),"Complete",IF(I.Product.P2aGasToPowerStatus&lt;&gt;"Yes","Complete",IF(AND(I.Gas.P2aY2Count&gt;=12,F26743=""),"Incomplete","Complete")))</f>
        <v>Complete</v>
      </c>
      <c r="I26743" s="48" t="s">
        <v>1922</v>
      </c>
    </row>
    <row r="26744" spans="2:9" ht="15" customHeight="1" x14ac:dyDescent="0.25">
      <c r="B26744" s="55" t="s">
        <v>384</v>
      </c>
      <c r="C26744" s="46">
        <v>13</v>
      </c>
      <c r="D26744" s="69" t="s">
        <v>29521</v>
      </c>
      <c r="E26744" s="62"/>
      <c r="F26744" s="62" t="str">
        <f>IF(INDEX(I.Gas.P2aY2C1E2,13)="","",INDEX(I.Gas.P2aY2C1E2,13))</f>
        <v/>
      </c>
      <c r="G26744" s="62"/>
      <c r="H26744" s="46" t="str">
        <f>IF(OR(I.Developer.P2a=FALSE,I.Facility.StandardPart="Part 2"),"Complete",IF(I.Product.P2aGasToPowerStatus&lt;&gt;"Yes","Complete",IF(AND(I.Gas.P2aY2Count&gt;=13,F26744=""),"Incomplete","Complete")))</f>
        <v>Complete</v>
      </c>
      <c r="I26744" s="48" t="s">
        <v>1923</v>
      </c>
    </row>
    <row r="26745" spans="2:9" ht="15" customHeight="1" x14ac:dyDescent="0.25">
      <c r="B26745" s="55" t="s">
        <v>384</v>
      </c>
      <c r="C26745" s="46">
        <v>14</v>
      </c>
      <c r="D26745" s="69" t="s">
        <v>29521</v>
      </c>
      <c r="E26745" s="62"/>
      <c r="F26745" s="62" t="str">
        <f>IF(INDEX(I.Gas.P2aY2C1E2,14)="","",INDEX(I.Gas.P2aY2C1E2,14))</f>
        <v/>
      </c>
      <c r="G26745" s="62"/>
      <c r="H26745" s="46" t="str">
        <f>IF(OR(I.Developer.P2a=FALSE,I.Facility.StandardPart="Part 2"),"Complete",IF(I.Product.P2aGasToPowerStatus&lt;&gt;"Yes","Complete",IF(AND(I.Gas.P2aY2Count&gt;=14,F26745=""),"Incomplete","Complete")))</f>
        <v>Complete</v>
      </c>
      <c r="I26745" s="48" t="s">
        <v>1924</v>
      </c>
    </row>
    <row r="26746" spans="2:9" ht="15" customHeight="1" x14ac:dyDescent="0.25">
      <c r="B26746" s="55" t="s">
        <v>384</v>
      </c>
      <c r="C26746" s="46">
        <v>15</v>
      </c>
      <c r="D26746" s="69" t="s">
        <v>29521</v>
      </c>
      <c r="E26746" s="62"/>
      <c r="F26746" s="62" t="str">
        <f>IF(INDEX(I.Gas.P2aY2C1E2,15)="","",INDEX(I.Gas.P2aY2C1E2,15))</f>
        <v/>
      </c>
      <c r="G26746" s="62"/>
      <c r="H26746" s="46" t="str">
        <f>IF(OR(I.Developer.P2a=FALSE,I.Facility.StandardPart="Part 2"),"Complete",IF(I.Product.P2aGasToPowerStatus&lt;&gt;"Yes","Complete",IF(AND(I.Gas.P2aY2Count&gt;=15,F26746=""),"Incomplete","Complete")))</f>
        <v>Complete</v>
      </c>
      <c r="I26746" s="48" t="s">
        <v>1925</v>
      </c>
    </row>
    <row r="26747" spans="2:9" ht="15" customHeight="1" x14ac:dyDescent="0.25">
      <c r="B26747" s="55" t="s">
        <v>384</v>
      </c>
      <c r="C26747" s="46">
        <v>16</v>
      </c>
      <c r="D26747" s="69" t="s">
        <v>29521</v>
      </c>
      <c r="E26747" s="62"/>
      <c r="F26747" s="62" t="str">
        <f>IF(INDEX(I.Gas.P2aY2C1E2,16)="","",INDEX(I.Gas.P2aY2C1E2,16))</f>
        <v/>
      </c>
      <c r="G26747" s="62"/>
      <c r="H26747" s="46" t="str">
        <f>IF(OR(I.Developer.P2a=FALSE,I.Facility.StandardPart="Part 2"),"Complete",IF(I.Product.P2aGasToPowerStatus&lt;&gt;"Yes","Complete",IF(AND(I.Gas.P2aY2Count&gt;=16,F26747=""),"Incomplete","Complete")))</f>
        <v>Complete</v>
      </c>
      <c r="I26747" s="48" t="s">
        <v>1926</v>
      </c>
    </row>
    <row r="26748" spans="2:9" ht="15" customHeight="1" x14ac:dyDescent="0.25">
      <c r="B26748" s="55" t="s">
        <v>384</v>
      </c>
      <c r="C26748" s="46">
        <v>17</v>
      </c>
      <c r="D26748" s="69" t="s">
        <v>29521</v>
      </c>
      <c r="E26748" s="62"/>
      <c r="F26748" s="62" t="str">
        <f>IF(INDEX(I.Gas.P2aY2C1E2,17)="","",INDEX(I.Gas.P2aY2C1E2,17))</f>
        <v/>
      </c>
      <c r="G26748" s="62"/>
      <c r="H26748" s="46" t="str">
        <f>IF(OR(I.Developer.P2a=FALSE,I.Facility.StandardPart="Part 2"),"Complete",IF(I.Product.P2aGasToPowerStatus&lt;&gt;"Yes","Complete",IF(AND(I.Gas.P2aY2Count&gt;=17,F26748=""),"Incomplete","Complete")))</f>
        <v>Complete</v>
      </c>
      <c r="I26748" s="48" t="s">
        <v>1927</v>
      </c>
    </row>
    <row r="26749" spans="2:9" ht="15" customHeight="1" x14ac:dyDescent="0.25">
      <c r="B26749" s="55" t="s">
        <v>384</v>
      </c>
      <c r="C26749" s="46">
        <v>18</v>
      </c>
      <c r="D26749" s="69" t="s">
        <v>29521</v>
      </c>
      <c r="E26749" s="62"/>
      <c r="F26749" s="62" t="str">
        <f>IF(INDEX(I.Gas.P2aY2C1E2,18)="","",INDEX(I.Gas.P2aY2C1E2,18))</f>
        <v/>
      </c>
      <c r="G26749" s="62"/>
      <c r="H26749" s="46" t="str">
        <f>IF(OR(I.Developer.P2a=FALSE,I.Facility.StandardPart="Part 2"),"Complete",IF(I.Product.P2aGasToPowerStatus&lt;&gt;"Yes","Complete",IF(AND(I.Gas.P2aY2Count&gt;=18,F26749=""),"Incomplete","Complete")))</f>
        <v>Complete</v>
      </c>
      <c r="I26749" s="48" t="s">
        <v>1928</v>
      </c>
    </row>
    <row r="26750" spans="2:9" ht="15" customHeight="1" x14ac:dyDescent="0.25">
      <c r="B26750" s="55" t="s">
        <v>384</v>
      </c>
      <c r="C26750" s="46">
        <v>19</v>
      </c>
      <c r="D26750" s="69" t="s">
        <v>29521</v>
      </c>
      <c r="E26750" s="62"/>
      <c r="F26750" s="62" t="str">
        <f>IF(INDEX(I.Gas.P2aY2C1E2,19)="","",INDEX(I.Gas.P2aY2C1E2,19))</f>
        <v/>
      </c>
      <c r="G26750" s="62"/>
      <c r="H26750" s="46" t="str">
        <f>IF(OR(I.Developer.P2a=FALSE,I.Facility.StandardPart="Part 2"),"Complete",IF(I.Product.P2aGasToPowerStatus&lt;&gt;"Yes","Complete",IF(AND(I.Gas.P2aY2Count&gt;=19,F26750=""),"Incomplete","Complete")))</f>
        <v>Complete</v>
      </c>
      <c r="I26750" s="48" t="s">
        <v>1929</v>
      </c>
    </row>
    <row r="26751" spans="2:9" ht="15" customHeight="1" x14ac:dyDescent="0.25">
      <c r="B26751" s="55" t="s">
        <v>384</v>
      </c>
      <c r="C26751" s="46">
        <v>20</v>
      </c>
      <c r="D26751" s="69" t="s">
        <v>29521</v>
      </c>
      <c r="E26751" s="62"/>
      <c r="F26751" s="62" t="str">
        <f>IF(INDEX(I.Gas.P2aY2C1E2,20)="","",INDEX(I.Gas.P2aY2C1E2,20))</f>
        <v/>
      </c>
      <c r="G26751" s="62"/>
      <c r="H26751" s="46" t="str">
        <f>IF(OR(I.Developer.P2a=FALSE,I.Facility.StandardPart="Part 2"),"Complete",IF(I.Product.P2aGasToPowerStatus&lt;&gt;"Yes","Complete",IF(AND(I.Gas.P2aY2Count&gt;=20,F26751=""),"Incomplete","Complete")))</f>
        <v>Complete</v>
      </c>
      <c r="I26751" s="48" t="s">
        <v>1930</v>
      </c>
    </row>
    <row r="26752" spans="2:9" ht="15" customHeight="1" x14ac:dyDescent="0.25">
      <c r="B26752" s="55" t="s">
        <v>384</v>
      </c>
      <c r="C26752" s="46">
        <v>21</v>
      </c>
      <c r="D26752" s="69" t="s">
        <v>29521</v>
      </c>
      <c r="E26752" s="62"/>
      <c r="F26752" s="62" t="str">
        <f>IF(INDEX(I.Gas.P2aY2C1E2,21)="","",INDEX(I.Gas.P2aY2C1E2,21))</f>
        <v/>
      </c>
      <c r="G26752" s="62"/>
      <c r="H26752" s="46" t="str">
        <f>IF(OR(I.Developer.P2a=FALSE,I.Facility.StandardPart="Part 2"),"Complete",IF(I.Product.P2aGasToPowerStatus&lt;&gt;"Yes","Complete",IF(AND(I.Gas.P2aY2Count&gt;=21,F26752=""),"Incomplete","Complete")))</f>
        <v>Complete</v>
      </c>
      <c r="I26752" s="48" t="s">
        <v>1931</v>
      </c>
    </row>
    <row r="26753" spans="2:9" ht="15" customHeight="1" x14ac:dyDescent="0.25">
      <c r="B26753" s="55" t="s">
        <v>384</v>
      </c>
      <c r="C26753" s="46">
        <v>22</v>
      </c>
      <c r="D26753" s="69" t="s">
        <v>29521</v>
      </c>
      <c r="E26753" s="62"/>
      <c r="F26753" s="62" t="str">
        <f>IF(INDEX(I.Gas.P2aY2C1E2,22)="","",INDEX(I.Gas.P2aY2C1E2,22))</f>
        <v/>
      </c>
      <c r="G26753" s="62"/>
      <c r="H26753" s="46" t="str">
        <f>IF(OR(I.Developer.P2a=FALSE,I.Facility.StandardPart="Part 2"),"Complete",IF(I.Product.P2aGasToPowerStatus&lt;&gt;"Yes","Complete",IF(AND(I.Gas.P2aY2Count&gt;=22,F26753=""),"Incomplete","Complete")))</f>
        <v>Complete</v>
      </c>
      <c r="I26753" s="48" t="s">
        <v>1932</v>
      </c>
    </row>
    <row r="26754" spans="2:9" ht="15" customHeight="1" x14ac:dyDescent="0.25">
      <c r="B26754" s="55" t="s">
        <v>384</v>
      </c>
      <c r="C26754" s="46">
        <v>23</v>
      </c>
      <c r="D26754" s="69" t="s">
        <v>29521</v>
      </c>
      <c r="E26754" s="62"/>
      <c r="F26754" s="62" t="str">
        <f>IF(INDEX(I.Gas.P2aY2C1E2,23)="","",INDEX(I.Gas.P2aY2C1E2,23))</f>
        <v/>
      </c>
      <c r="G26754" s="62"/>
      <c r="H26754" s="46" t="str">
        <f>IF(OR(I.Developer.P2a=FALSE,I.Facility.StandardPart="Part 2"),"Complete",IF(I.Product.P2aGasToPowerStatus&lt;&gt;"Yes","Complete",IF(AND(I.Gas.P2aY2Count&gt;=23,F26754=""),"Incomplete","Complete")))</f>
        <v>Complete</v>
      </c>
      <c r="I26754" s="48" t="s">
        <v>1933</v>
      </c>
    </row>
    <row r="26755" spans="2:9" ht="15" customHeight="1" x14ac:dyDescent="0.25">
      <c r="B26755" s="55" t="s">
        <v>384</v>
      </c>
      <c r="C26755" s="46">
        <v>24</v>
      </c>
      <c r="D26755" s="69" t="s">
        <v>29521</v>
      </c>
      <c r="E26755" s="62"/>
      <c r="F26755" s="62" t="str">
        <f>IF(INDEX(I.Gas.P2aY2C1E2,24)="","",INDEX(I.Gas.P2aY2C1E2,24))</f>
        <v/>
      </c>
      <c r="G26755" s="62"/>
      <c r="H26755" s="46" t="str">
        <f>IF(OR(I.Developer.P2a=FALSE,I.Facility.StandardPart="Part 2"),"Complete",IF(I.Product.P2aGasToPowerStatus&lt;&gt;"Yes","Complete",IF(AND(I.Gas.P2aY2Count&gt;=24,F26755=""),"Incomplete","Complete")))</f>
        <v>Complete</v>
      </c>
      <c r="I26755" s="48" t="s">
        <v>1934</v>
      </c>
    </row>
    <row r="26756" spans="2:9" ht="15" customHeight="1" x14ac:dyDescent="0.25">
      <c r="B26756" s="55" t="s">
        <v>384</v>
      </c>
      <c r="C26756" s="46">
        <v>25</v>
      </c>
      <c r="D26756" s="69" t="s">
        <v>29521</v>
      </c>
      <c r="E26756" s="62"/>
      <c r="F26756" s="62" t="str">
        <f>IF(INDEX(I.Gas.P2aY2C1E2,25)="","",INDEX(I.Gas.P2aY2C1E2,25))</f>
        <v/>
      </c>
      <c r="G26756" s="62"/>
      <c r="H26756" s="46" t="str">
        <f>IF(OR(I.Developer.P2a=FALSE,I.Facility.StandardPart="Part 2"),"Complete",IF(I.Product.P2aGasToPowerStatus&lt;&gt;"Yes","Complete",IF(AND(I.Gas.P2aY2Count&gt;=25,F26756=""),"Incomplete","Complete")))</f>
        <v>Complete</v>
      </c>
      <c r="I26756" s="48" t="s">
        <v>1935</v>
      </c>
    </row>
    <row r="26757" spans="2:9" ht="15" customHeight="1" x14ac:dyDescent="0.25">
      <c r="B26757" s="55" t="s">
        <v>384</v>
      </c>
      <c r="C26757" s="46">
        <v>26</v>
      </c>
      <c r="D26757" s="69" t="s">
        <v>29521</v>
      </c>
      <c r="E26757" s="62"/>
      <c r="F26757" s="62" t="str">
        <f>IF(INDEX(I.Gas.P2aY2C1E2,26)="","",INDEX(I.Gas.P2aY2C1E2,26))</f>
        <v/>
      </c>
      <c r="G26757" s="62"/>
      <c r="H26757" s="46" t="str">
        <f>IF(OR(I.Developer.P2a=FALSE,I.Facility.StandardPart="Part 2"),"Complete",IF(I.Product.P2aGasToPowerStatus&lt;&gt;"Yes","Complete",IF(AND(I.Gas.P2aY2Count&gt;=26,F26757=""),"Incomplete","Complete")))</f>
        <v>Complete</v>
      </c>
      <c r="I26757" s="48" t="s">
        <v>1936</v>
      </c>
    </row>
    <row r="26758" spans="2:9" ht="15" customHeight="1" x14ac:dyDescent="0.25">
      <c r="B26758" s="55" t="s">
        <v>384</v>
      </c>
      <c r="C26758" s="46">
        <v>27</v>
      </c>
      <c r="D26758" s="69" t="s">
        <v>29521</v>
      </c>
      <c r="E26758" s="62"/>
      <c r="F26758" s="62" t="str">
        <f>IF(INDEX(I.Gas.P2aY2C1E2,27)="","",INDEX(I.Gas.P2aY2C1E2,27))</f>
        <v/>
      </c>
      <c r="G26758" s="62"/>
      <c r="H26758" s="46" t="str">
        <f>IF(OR(I.Developer.P2a=FALSE,I.Facility.StandardPart="Part 2"),"Complete",IF(I.Product.P2aGasToPowerStatus&lt;&gt;"Yes","Complete",IF(AND(I.Gas.P2aY2Count&gt;=27,F26758=""),"Incomplete","Complete")))</f>
        <v>Complete</v>
      </c>
      <c r="I26758" s="48" t="s">
        <v>1937</v>
      </c>
    </row>
    <row r="26759" spans="2:9" ht="15" customHeight="1" x14ac:dyDescent="0.25">
      <c r="B26759" s="55" t="s">
        <v>384</v>
      </c>
      <c r="C26759" s="46">
        <v>28</v>
      </c>
      <c r="D26759" s="69" t="s">
        <v>29521</v>
      </c>
      <c r="E26759" s="62"/>
      <c r="F26759" s="62" t="str">
        <f>IF(INDEX(I.Gas.P2aY2C1E2,28)="","",INDEX(I.Gas.P2aY2C1E2,28))</f>
        <v/>
      </c>
      <c r="G26759" s="62"/>
      <c r="H26759" s="46" t="str">
        <f>IF(OR(I.Developer.P2a=FALSE,I.Facility.StandardPart="Part 2"),"Complete",IF(I.Product.P2aGasToPowerStatus&lt;&gt;"Yes","Complete",IF(AND(I.Gas.P2aY2Count&gt;=28,F26759=""),"Incomplete","Complete")))</f>
        <v>Complete</v>
      </c>
      <c r="I26759" s="48" t="s">
        <v>1938</v>
      </c>
    </row>
    <row r="26760" spans="2:9" ht="15" customHeight="1" x14ac:dyDescent="0.25">
      <c r="B26760" s="55" t="s">
        <v>384</v>
      </c>
      <c r="C26760" s="46">
        <v>29</v>
      </c>
      <c r="D26760" s="69" t="s">
        <v>29521</v>
      </c>
      <c r="E26760" s="62"/>
      <c r="F26760" s="62" t="str">
        <f>IF(INDEX(I.Gas.P2aY2C1E2,29)="","",INDEX(I.Gas.P2aY2C1E2,29))</f>
        <v/>
      </c>
      <c r="G26760" s="62"/>
      <c r="H26760" s="46" t="str">
        <f>IF(OR(I.Developer.P2a=FALSE,I.Facility.StandardPart="Part 2"),"Complete",IF(I.Product.P2aGasToPowerStatus&lt;&gt;"Yes","Complete",IF(AND(I.Gas.P2aY2Count&gt;=29,F26760=""),"Incomplete","Complete")))</f>
        <v>Complete</v>
      </c>
      <c r="I26760" s="48" t="s">
        <v>1939</v>
      </c>
    </row>
    <row r="26761" spans="2:9" ht="15" customHeight="1" x14ac:dyDescent="0.25">
      <c r="B26761" s="55" t="s">
        <v>384</v>
      </c>
      <c r="C26761" s="46">
        <v>30</v>
      </c>
      <c r="D26761" s="69" t="s">
        <v>29521</v>
      </c>
      <c r="E26761" s="62"/>
      <c r="F26761" s="62" t="str">
        <f>IF(INDEX(I.Gas.P2aY2C1E2,30)="","",INDEX(I.Gas.P2aY2C1E2,30))</f>
        <v/>
      </c>
      <c r="G26761" s="62"/>
      <c r="H26761" s="46" t="str">
        <f>IF(OR(I.Developer.P2a=FALSE,I.Facility.StandardPart="Part 2"),"Complete",IF(I.Product.P2aGasToPowerStatus&lt;&gt;"Yes","Complete",IF(AND(I.Gas.P2aY2Count&gt;=30,F26761=""),"Incomplete","Complete")))</f>
        <v>Complete</v>
      </c>
      <c r="I26761" s="48" t="s">
        <v>1940</v>
      </c>
    </row>
    <row r="26762" spans="2:9" ht="15" customHeight="1" x14ac:dyDescent="0.25">
      <c r="B26762" s="55" t="s">
        <v>384</v>
      </c>
      <c r="C26762" s="46">
        <v>31</v>
      </c>
      <c r="D26762" s="69" t="s">
        <v>29521</v>
      </c>
      <c r="E26762" s="62"/>
      <c r="F26762" s="62" t="str">
        <f>IF(INDEX(I.Gas.P2aY2C1E2,31)="","",INDEX(I.Gas.P2aY2C1E2,31))</f>
        <v/>
      </c>
      <c r="G26762" s="62"/>
      <c r="H26762" s="46" t="str">
        <f>IF(OR(I.Developer.P2a=FALSE,I.Facility.StandardPart="Part 2"),"Complete",IF(I.Product.P2aGasToPowerStatus&lt;&gt;"Yes","Complete",IF(AND(I.Gas.P2aY2Count&gt;=31,F26762=""),"Incomplete","Complete")))</f>
        <v>Complete</v>
      </c>
      <c r="I26762" s="48" t="s">
        <v>1941</v>
      </c>
    </row>
    <row r="26763" spans="2:9" ht="15" customHeight="1" x14ac:dyDescent="0.25">
      <c r="B26763" s="55" t="s">
        <v>384</v>
      </c>
      <c r="C26763" s="46">
        <v>32</v>
      </c>
      <c r="D26763" s="69" t="s">
        <v>29521</v>
      </c>
      <c r="E26763" s="62"/>
      <c r="F26763" s="62" t="str">
        <f>IF(INDEX(I.Gas.P2aY2C1E2,32)="","",INDEX(I.Gas.P2aY2C1E2,32))</f>
        <v/>
      </c>
      <c r="G26763" s="62"/>
      <c r="H26763" s="46" t="str">
        <f>IF(OR(I.Developer.P2a=FALSE,I.Facility.StandardPart="Part 2"),"Complete",IF(I.Product.P2aGasToPowerStatus&lt;&gt;"Yes","Complete",IF(AND(I.Gas.P2aY2Count&gt;=32,F26763=""),"Incomplete","Complete")))</f>
        <v>Complete</v>
      </c>
      <c r="I26763" s="48" t="s">
        <v>1942</v>
      </c>
    </row>
    <row r="26764" spans="2:9" ht="15" customHeight="1" x14ac:dyDescent="0.25">
      <c r="B26764" s="55" t="s">
        <v>384</v>
      </c>
      <c r="C26764" s="46">
        <v>33</v>
      </c>
      <c r="D26764" s="69" t="s">
        <v>29521</v>
      </c>
      <c r="E26764" s="62"/>
      <c r="F26764" s="62" t="str">
        <f>IF(INDEX(I.Gas.P2aY2C1E2,33)="","",INDEX(I.Gas.P2aY2C1E2,33))</f>
        <v/>
      </c>
      <c r="G26764" s="62"/>
      <c r="H26764" s="46" t="str">
        <f>IF(OR(I.Developer.P2a=FALSE,I.Facility.StandardPart="Part 2"),"Complete",IF(I.Product.P2aGasToPowerStatus&lt;&gt;"Yes","Complete",IF(AND(I.Gas.P2aY2Count&gt;=33,F26764=""),"Incomplete","Complete")))</f>
        <v>Complete</v>
      </c>
      <c r="I26764" s="48" t="s">
        <v>1943</v>
      </c>
    </row>
    <row r="26765" spans="2:9" ht="15" customHeight="1" x14ac:dyDescent="0.25">
      <c r="B26765" s="55" t="s">
        <v>384</v>
      </c>
      <c r="C26765" s="46">
        <v>34</v>
      </c>
      <c r="D26765" s="69" t="s">
        <v>29521</v>
      </c>
      <c r="E26765" s="62"/>
      <c r="F26765" s="62" t="str">
        <f>IF(INDEX(I.Gas.P2aY2C1E2,34)="","",INDEX(I.Gas.P2aY2C1E2,34))</f>
        <v/>
      </c>
      <c r="G26765" s="62"/>
      <c r="H26765" s="46" t="str">
        <f>IF(OR(I.Developer.P2a=FALSE,I.Facility.StandardPart="Part 2"),"Complete",IF(I.Product.P2aGasToPowerStatus&lt;&gt;"Yes","Complete",IF(AND(I.Gas.P2aY2Count&gt;=34,F26765=""),"Incomplete","Complete")))</f>
        <v>Complete</v>
      </c>
      <c r="I26765" s="48" t="s">
        <v>1944</v>
      </c>
    </row>
    <row r="26766" spans="2:9" ht="15" customHeight="1" x14ac:dyDescent="0.25">
      <c r="B26766" s="55" t="s">
        <v>384</v>
      </c>
      <c r="C26766" s="46">
        <v>35</v>
      </c>
      <c r="D26766" s="69" t="s">
        <v>29521</v>
      </c>
      <c r="E26766" s="62"/>
      <c r="F26766" s="62" t="str">
        <f>IF(INDEX(I.Gas.P2aY2C1E2,35)="","",INDEX(I.Gas.P2aY2C1E2,35))</f>
        <v/>
      </c>
      <c r="G26766" s="62"/>
      <c r="H26766" s="46" t="str">
        <f>IF(OR(I.Developer.P2a=FALSE,I.Facility.StandardPart="Part 2"),"Complete",IF(I.Product.P2aGasToPowerStatus&lt;&gt;"Yes","Complete",IF(AND(I.Gas.P2aY2Count&gt;=35,F26766=""),"Incomplete","Complete")))</f>
        <v>Complete</v>
      </c>
      <c r="I26766" s="48" t="s">
        <v>1945</v>
      </c>
    </row>
    <row r="26767" spans="2:9" ht="15" customHeight="1" x14ac:dyDescent="0.25">
      <c r="B26767" s="55" t="s">
        <v>384</v>
      </c>
      <c r="C26767" s="46">
        <v>36</v>
      </c>
      <c r="D26767" s="69" t="s">
        <v>29521</v>
      </c>
      <c r="E26767" s="62"/>
      <c r="F26767" s="62" t="str">
        <f>IF(INDEX(I.Gas.P2aY2C1E2,36)="","",INDEX(I.Gas.P2aY2C1E2,36))</f>
        <v/>
      </c>
      <c r="G26767" s="62"/>
      <c r="H26767" s="46" t="str">
        <f>IF(OR(I.Developer.P2a=FALSE,I.Facility.StandardPart="Part 2"),"Complete",IF(I.Product.P2aGasToPowerStatus&lt;&gt;"Yes","Complete",IF(AND(I.Gas.P2aY2Count&gt;=36,F26767=""),"Incomplete","Complete")))</f>
        <v>Complete</v>
      </c>
      <c r="I26767" s="48" t="s">
        <v>1946</v>
      </c>
    </row>
    <row r="26768" spans="2:9" ht="15" customHeight="1" x14ac:dyDescent="0.25">
      <c r="B26768" s="55" t="s">
        <v>384</v>
      </c>
      <c r="C26768" s="46">
        <v>37</v>
      </c>
      <c r="D26768" s="69" t="s">
        <v>29521</v>
      </c>
      <c r="E26768" s="62"/>
      <c r="F26768" s="62" t="str">
        <f>IF(INDEX(I.Gas.P2aY2C1E2,37)="","",INDEX(I.Gas.P2aY2C1E2,37))</f>
        <v/>
      </c>
      <c r="G26768" s="62"/>
      <c r="H26768" s="46" t="str">
        <f>IF(OR(I.Developer.P2a=FALSE,I.Facility.StandardPart="Part 2"),"Complete",IF(I.Product.P2aGasToPowerStatus&lt;&gt;"Yes","Complete",IF(AND(I.Gas.P2aY2Count&gt;=37,F26768=""),"Incomplete","Complete")))</f>
        <v>Complete</v>
      </c>
      <c r="I26768" s="48" t="s">
        <v>1947</v>
      </c>
    </row>
    <row r="26769" spans="2:9" ht="15" customHeight="1" x14ac:dyDescent="0.25">
      <c r="B26769" s="55" t="s">
        <v>384</v>
      </c>
      <c r="C26769" s="46">
        <v>38</v>
      </c>
      <c r="D26769" s="69" t="s">
        <v>29521</v>
      </c>
      <c r="E26769" s="62"/>
      <c r="F26769" s="62" t="str">
        <f>IF(INDEX(I.Gas.P2aY2C1E2,38)="","",INDEX(I.Gas.P2aY2C1E2,38))</f>
        <v/>
      </c>
      <c r="G26769" s="62"/>
      <c r="H26769" s="46" t="str">
        <f>IF(OR(I.Developer.P2a=FALSE,I.Facility.StandardPart="Part 2"),"Complete",IF(I.Product.P2aGasToPowerStatus&lt;&gt;"Yes","Complete",IF(AND(I.Gas.P2aY2Count&gt;=38,F26769=""),"Incomplete","Complete")))</f>
        <v>Complete</v>
      </c>
      <c r="I26769" s="48" t="s">
        <v>1948</v>
      </c>
    </row>
    <row r="26770" spans="2:9" ht="15" customHeight="1" x14ac:dyDescent="0.25">
      <c r="B26770" s="55" t="s">
        <v>384</v>
      </c>
      <c r="C26770" s="46">
        <v>39</v>
      </c>
      <c r="D26770" s="69" t="s">
        <v>29521</v>
      </c>
      <c r="E26770" s="62"/>
      <c r="F26770" s="62" t="str">
        <f>IF(INDEX(I.Gas.P2aY2C1E2,39)="","",INDEX(I.Gas.P2aY2C1E2,39))</f>
        <v/>
      </c>
      <c r="G26770" s="62"/>
      <c r="H26770" s="46" t="str">
        <f>IF(OR(I.Developer.P2a=FALSE,I.Facility.StandardPart="Part 2"),"Complete",IF(I.Product.P2aGasToPowerStatus&lt;&gt;"Yes","Complete",IF(AND(I.Gas.P2aY2Count&gt;=39,F26770=""),"Incomplete","Complete")))</f>
        <v>Complete</v>
      </c>
      <c r="I26770" s="48" t="s">
        <v>1949</v>
      </c>
    </row>
    <row r="26771" spans="2:9" ht="15" customHeight="1" x14ac:dyDescent="0.25">
      <c r="B26771" s="55" t="s">
        <v>384</v>
      </c>
      <c r="C26771" s="46">
        <v>40</v>
      </c>
      <c r="D26771" s="69" t="s">
        <v>29521</v>
      </c>
      <c r="E26771" s="62"/>
      <c r="F26771" s="62" t="str">
        <f>IF(INDEX(I.Gas.P2aY2C1E2,40)="","",INDEX(I.Gas.P2aY2C1E2,40))</f>
        <v/>
      </c>
      <c r="G26771" s="62"/>
      <c r="H26771" s="46" t="str">
        <f>IF(OR(I.Developer.P2a=FALSE,I.Facility.StandardPart="Part 2"),"Complete",IF(I.Product.P2aGasToPowerStatus&lt;&gt;"Yes","Complete",IF(AND(I.Gas.P2aY2Count&gt;=40,F26771=""),"Incomplete","Complete")))</f>
        <v>Complete</v>
      </c>
      <c r="I26771" s="48" t="s">
        <v>1950</v>
      </c>
    </row>
    <row r="26772" spans="2:9" ht="15" customHeight="1" x14ac:dyDescent="0.25">
      <c r="B26772" s="55" t="s">
        <v>384</v>
      </c>
      <c r="C26772" s="46">
        <v>41</v>
      </c>
      <c r="D26772" s="69" t="s">
        <v>29521</v>
      </c>
      <c r="E26772" s="62"/>
      <c r="F26772" s="62" t="str">
        <f>IF(INDEX(I.Gas.P2aY2C1E2,41)="","",INDEX(I.Gas.P2aY2C1E2,41))</f>
        <v/>
      </c>
      <c r="G26772" s="62"/>
      <c r="H26772" s="46" t="str">
        <f>IF(OR(I.Developer.P2a=FALSE,I.Facility.StandardPart="Part 2"),"Complete",IF(I.Product.P2aGasToPowerStatus&lt;&gt;"Yes","Complete",IF(AND(I.Gas.P2aY2Count&gt;=41,F26772=""),"Incomplete","Complete")))</f>
        <v>Complete</v>
      </c>
      <c r="I26772" s="48" t="s">
        <v>1951</v>
      </c>
    </row>
    <row r="26773" spans="2:9" ht="15" customHeight="1" x14ac:dyDescent="0.25">
      <c r="B26773" s="55" t="s">
        <v>384</v>
      </c>
      <c r="C26773" s="46">
        <v>42</v>
      </c>
      <c r="D26773" s="69" t="s">
        <v>29521</v>
      </c>
      <c r="E26773" s="62"/>
      <c r="F26773" s="62" t="str">
        <f>IF(INDEX(I.Gas.P2aY2C1E2,42)="","",INDEX(I.Gas.P2aY2C1E2,42))</f>
        <v/>
      </c>
      <c r="G26773" s="62"/>
      <c r="H26773" s="46" t="str">
        <f>IF(OR(I.Developer.P2a=FALSE,I.Facility.StandardPart="Part 2"),"Complete",IF(I.Product.P2aGasToPowerStatus&lt;&gt;"Yes","Complete",IF(AND(I.Gas.P2aY2Count&gt;=42,F26773=""),"Incomplete","Complete")))</f>
        <v>Complete</v>
      </c>
      <c r="I26773" s="48" t="s">
        <v>1952</v>
      </c>
    </row>
    <row r="26774" spans="2:9" ht="15" customHeight="1" x14ac:dyDescent="0.25">
      <c r="B26774" s="55" t="s">
        <v>384</v>
      </c>
      <c r="C26774" s="46">
        <v>43</v>
      </c>
      <c r="D26774" s="69" t="s">
        <v>29521</v>
      </c>
      <c r="E26774" s="62"/>
      <c r="F26774" s="62" t="str">
        <f>IF(INDEX(I.Gas.P2aY2C1E2,43)="","",INDEX(I.Gas.P2aY2C1E2,43))</f>
        <v/>
      </c>
      <c r="G26774" s="62"/>
      <c r="H26774" s="46" t="str">
        <f>IF(OR(I.Developer.P2a=FALSE,I.Facility.StandardPart="Part 2"),"Complete",IF(I.Product.P2aGasToPowerStatus&lt;&gt;"Yes","Complete",IF(AND(I.Gas.P2aY2Count&gt;=43,F26774=""),"Incomplete","Complete")))</f>
        <v>Complete</v>
      </c>
      <c r="I26774" s="48" t="s">
        <v>1953</v>
      </c>
    </row>
    <row r="26775" spans="2:9" ht="15" customHeight="1" x14ac:dyDescent="0.25">
      <c r="B26775" s="55" t="s">
        <v>384</v>
      </c>
      <c r="C26775" s="46">
        <v>44</v>
      </c>
      <c r="D26775" s="69" t="s">
        <v>29521</v>
      </c>
      <c r="E26775" s="62"/>
      <c r="F26775" s="62" t="str">
        <f>IF(INDEX(I.Gas.P2aY2C1E2,44)="","",INDEX(I.Gas.P2aY2C1E2,44))</f>
        <v/>
      </c>
      <c r="G26775" s="62"/>
      <c r="H26775" s="46" t="str">
        <f>IF(OR(I.Developer.P2a=FALSE,I.Facility.StandardPart="Part 2"),"Complete",IF(I.Product.P2aGasToPowerStatus&lt;&gt;"Yes","Complete",IF(AND(I.Gas.P2aY2Count&gt;=44,F26775=""),"Incomplete","Complete")))</f>
        <v>Complete</v>
      </c>
      <c r="I26775" s="48" t="s">
        <v>1954</v>
      </c>
    </row>
    <row r="26776" spans="2:9" ht="15" customHeight="1" x14ac:dyDescent="0.25">
      <c r="B26776" s="55" t="s">
        <v>384</v>
      </c>
      <c r="C26776" s="46">
        <v>45</v>
      </c>
      <c r="D26776" s="69" t="s">
        <v>29521</v>
      </c>
      <c r="E26776" s="62"/>
      <c r="F26776" s="62" t="str">
        <f>IF(INDEX(I.Gas.P2aY2C1E2,45)="","",INDEX(I.Gas.P2aY2C1E2,45))</f>
        <v/>
      </c>
      <c r="G26776" s="62"/>
      <c r="H26776" s="46" t="str">
        <f>IF(OR(I.Developer.P2a=FALSE,I.Facility.StandardPart="Part 2"),"Complete",IF(I.Product.P2aGasToPowerStatus&lt;&gt;"Yes","Complete",IF(AND(I.Gas.P2aY2Count&gt;=45,F26776=""),"Incomplete","Complete")))</f>
        <v>Complete</v>
      </c>
      <c r="I26776" s="48" t="s">
        <v>1955</v>
      </c>
    </row>
    <row r="26777" spans="2:9" ht="15" customHeight="1" x14ac:dyDescent="0.25">
      <c r="B26777" s="55" t="s">
        <v>384</v>
      </c>
      <c r="C26777" s="46">
        <v>46</v>
      </c>
      <c r="D26777" s="69" t="s">
        <v>29521</v>
      </c>
      <c r="E26777" s="62"/>
      <c r="F26777" s="62" t="str">
        <f>IF(INDEX(I.Gas.P2aY2C1E2,46)="","",INDEX(I.Gas.P2aY2C1E2,46))</f>
        <v/>
      </c>
      <c r="G26777" s="62"/>
      <c r="H26777" s="46" t="str">
        <f>IF(OR(I.Developer.P2a=FALSE,I.Facility.StandardPart="Part 2"),"Complete",IF(I.Product.P2aGasToPowerStatus&lt;&gt;"Yes","Complete",IF(AND(I.Gas.P2aY2Count&gt;=46,F26777=""),"Incomplete","Complete")))</f>
        <v>Complete</v>
      </c>
      <c r="I26777" s="48" t="s">
        <v>1956</v>
      </c>
    </row>
    <row r="26778" spans="2:9" ht="15" customHeight="1" x14ac:dyDescent="0.25">
      <c r="B26778" s="55" t="s">
        <v>384</v>
      </c>
      <c r="C26778" s="46">
        <v>47</v>
      </c>
      <c r="D26778" s="69" t="s">
        <v>29521</v>
      </c>
      <c r="E26778" s="62"/>
      <c r="F26778" s="62" t="str">
        <f>IF(INDEX(I.Gas.P2aY2C1E2,47)="","",INDEX(I.Gas.P2aY2C1E2,47))</f>
        <v/>
      </c>
      <c r="G26778" s="62"/>
      <c r="H26778" s="46" t="str">
        <f>IF(OR(I.Developer.P2a=FALSE,I.Facility.StandardPart="Part 2"),"Complete",IF(I.Product.P2aGasToPowerStatus&lt;&gt;"Yes","Complete",IF(AND(I.Gas.P2aY2Count&gt;=47,F26778=""),"Incomplete","Complete")))</f>
        <v>Complete</v>
      </c>
      <c r="I26778" s="48" t="s">
        <v>1957</v>
      </c>
    </row>
    <row r="26779" spans="2:9" ht="15" customHeight="1" x14ac:dyDescent="0.25">
      <c r="B26779" s="55" t="s">
        <v>384</v>
      </c>
      <c r="C26779" s="46">
        <v>48</v>
      </c>
      <c r="D26779" s="69" t="s">
        <v>29521</v>
      </c>
      <c r="E26779" s="62"/>
      <c r="F26779" s="62" t="str">
        <f>IF(INDEX(I.Gas.P2aY2C1E2,48)="","",INDEX(I.Gas.P2aY2C1E2,48))</f>
        <v/>
      </c>
      <c r="G26779" s="62"/>
      <c r="H26779" s="46" t="str">
        <f>IF(OR(I.Developer.P2a=FALSE,I.Facility.StandardPart="Part 2"),"Complete",IF(I.Product.P2aGasToPowerStatus&lt;&gt;"Yes","Complete",IF(AND(I.Gas.P2aY2Count&gt;=48,F26779=""),"Incomplete","Complete")))</f>
        <v>Complete</v>
      </c>
      <c r="I26779" s="48" t="s">
        <v>1958</v>
      </c>
    </row>
    <row r="26780" spans="2:9" ht="15" customHeight="1" x14ac:dyDescent="0.25">
      <c r="B26780" s="55" t="s">
        <v>384</v>
      </c>
      <c r="C26780" s="46">
        <v>49</v>
      </c>
      <c r="D26780" s="69" t="s">
        <v>29521</v>
      </c>
      <c r="E26780" s="62"/>
      <c r="F26780" s="62" t="str">
        <f>IF(INDEX(I.Gas.P2aY2C1E2,49)="","",INDEX(I.Gas.P2aY2C1E2,49))</f>
        <v/>
      </c>
      <c r="G26780" s="62"/>
      <c r="H26780" s="46" t="str">
        <f>IF(OR(I.Developer.P2a=FALSE,I.Facility.StandardPart="Part 2"),"Complete",IF(I.Product.P2aGasToPowerStatus&lt;&gt;"Yes","Complete",IF(AND(I.Gas.P2aY2Count&gt;=49,F26780=""),"Incomplete","Complete")))</f>
        <v>Complete</v>
      </c>
      <c r="I26780" s="48" t="s">
        <v>1959</v>
      </c>
    </row>
    <row r="26781" spans="2:9" ht="15" customHeight="1" x14ac:dyDescent="0.25">
      <c r="B26781" s="56" t="s">
        <v>384</v>
      </c>
      <c r="C26781" s="57">
        <v>50</v>
      </c>
      <c r="D26781" s="71" t="s">
        <v>29521</v>
      </c>
      <c r="E26781" s="61"/>
      <c r="F26781" s="61" t="str">
        <f>IF(INDEX(I.Gas.P2aY2C1E2,50)="","",INDEX(I.Gas.P2aY2C1E2,50))</f>
        <v/>
      </c>
      <c r="G26781" s="61"/>
      <c r="H26781" s="57" t="str">
        <f>IF(OR(I.Developer.P2a=FALSE,I.Facility.StandardPart="Part 2"),"Complete",IF(I.Product.P2aGasToPowerStatus&lt;&gt;"Yes","Complete",IF(AND(I.Gas.P2aY2Count&gt;=50,F26781=""),"Incomplete","Complete")))</f>
        <v>Complete</v>
      </c>
      <c r="I26781" s="49" t="s">
        <v>1960</v>
      </c>
    </row>
    <row r="26782" spans="2:9" ht="15" customHeight="1" x14ac:dyDescent="0.25">
      <c r="B26782" s="55" t="s">
        <v>385</v>
      </c>
      <c r="C26782" s="46">
        <v>1</v>
      </c>
      <c r="D26782" s="69" t="s">
        <v>29522</v>
      </c>
      <c r="E26782" s="62"/>
      <c r="F26782" s="62" t="str">
        <f>IF(INDEX(I.Gas.P2aY2C1E3,1)="","",INDEX(I.Gas.P2aY2C1E3,1))</f>
        <v/>
      </c>
      <c r="G26782" s="62"/>
      <c r="H26782" s="46" t="str">
        <f>IF(OR(I.Developer.P2a=FALSE,I.Facility.StandardPart="Part 2"),"Complete",IF(I.Product.P2aGasToPowerStatus&lt;&gt;"Yes","Complete",IF(AND(I.Gas.P2aY2Count&gt;=1,F26782=""),"Incomplete","Complete")))</f>
        <v>Complete</v>
      </c>
      <c r="I26782" s="48" t="s">
        <v>1961</v>
      </c>
    </row>
    <row r="26783" spans="2:9" ht="15" customHeight="1" x14ac:dyDescent="0.25">
      <c r="B26783" s="55" t="s">
        <v>385</v>
      </c>
      <c r="C26783" s="46">
        <v>2</v>
      </c>
      <c r="D26783" s="69" t="s">
        <v>29522</v>
      </c>
      <c r="E26783" s="62"/>
      <c r="F26783" s="62" t="str">
        <f>IF(INDEX(I.Gas.P2aY2C1E3,2)="","",INDEX(I.Gas.P2aY2C1E3,2))</f>
        <v/>
      </c>
      <c r="G26783" s="62"/>
      <c r="H26783" s="46" t="str">
        <f>IF(OR(I.Developer.P2a=FALSE,I.Facility.StandardPart="Part 2"),"Complete",IF(I.Product.P2aGasToPowerStatus&lt;&gt;"Yes","Complete",IF(AND(I.Gas.P2aY2Count&gt;=2,F26783=""),"Incomplete","Complete")))</f>
        <v>Complete</v>
      </c>
      <c r="I26783" s="48" t="s">
        <v>1962</v>
      </c>
    </row>
    <row r="26784" spans="2:9" ht="15" customHeight="1" x14ac:dyDescent="0.25">
      <c r="B26784" s="55" t="s">
        <v>385</v>
      </c>
      <c r="C26784" s="46">
        <v>3</v>
      </c>
      <c r="D26784" s="69" t="s">
        <v>29522</v>
      </c>
      <c r="E26784" s="62"/>
      <c r="F26784" s="62" t="str">
        <f>IF(INDEX(I.Gas.P2aY2C1E3,3)="","",INDEX(I.Gas.P2aY2C1E3,3))</f>
        <v/>
      </c>
      <c r="G26784" s="62"/>
      <c r="H26784" s="46" t="str">
        <f>IF(OR(I.Developer.P2a=FALSE,I.Facility.StandardPart="Part 2"),"Complete",IF(I.Product.P2aGasToPowerStatus&lt;&gt;"Yes","Complete",IF(AND(I.Gas.P2aY2Count&gt;=3,F26784=""),"Incomplete","Complete")))</f>
        <v>Complete</v>
      </c>
      <c r="I26784" s="48" t="s">
        <v>1963</v>
      </c>
    </row>
    <row r="26785" spans="2:9" ht="15" customHeight="1" x14ac:dyDescent="0.25">
      <c r="B26785" s="55" t="s">
        <v>385</v>
      </c>
      <c r="C26785" s="46">
        <v>4</v>
      </c>
      <c r="D26785" s="69" t="s">
        <v>29522</v>
      </c>
      <c r="E26785" s="62"/>
      <c r="F26785" s="62" t="str">
        <f>IF(INDEX(I.Gas.P2aY2C1E3,4)="","",INDEX(I.Gas.P2aY2C1E3,4))</f>
        <v/>
      </c>
      <c r="G26785" s="62"/>
      <c r="H26785" s="46" t="str">
        <f>IF(OR(I.Developer.P2a=FALSE,I.Facility.StandardPart="Part 2"),"Complete",IF(I.Product.P2aGasToPowerStatus&lt;&gt;"Yes","Complete",IF(AND(I.Gas.P2aY2Count&gt;=4,F26785=""),"Incomplete","Complete")))</f>
        <v>Complete</v>
      </c>
      <c r="I26785" s="48" t="s">
        <v>1964</v>
      </c>
    </row>
    <row r="26786" spans="2:9" ht="15" customHeight="1" x14ac:dyDescent="0.25">
      <c r="B26786" s="55" t="s">
        <v>385</v>
      </c>
      <c r="C26786" s="46">
        <v>5</v>
      </c>
      <c r="D26786" s="69" t="s">
        <v>29522</v>
      </c>
      <c r="E26786" s="62"/>
      <c r="F26786" s="62" t="str">
        <f>IF(INDEX(I.Gas.P2aY2C1E3,5)="","",INDEX(I.Gas.P2aY2C1E3,5))</f>
        <v/>
      </c>
      <c r="G26786" s="62"/>
      <c r="H26786" s="46" t="str">
        <f>IF(OR(I.Developer.P2a=FALSE,I.Facility.StandardPart="Part 2"),"Complete",IF(I.Product.P2aGasToPowerStatus&lt;&gt;"Yes","Complete",IF(AND(I.Gas.P2aY2Count&gt;=5,F26786=""),"Incomplete","Complete")))</f>
        <v>Complete</v>
      </c>
      <c r="I26786" s="48" t="s">
        <v>1965</v>
      </c>
    </row>
    <row r="26787" spans="2:9" ht="15" customHeight="1" x14ac:dyDescent="0.25">
      <c r="B26787" s="55" t="s">
        <v>385</v>
      </c>
      <c r="C26787" s="46">
        <v>6</v>
      </c>
      <c r="D26787" s="69" t="s">
        <v>29522</v>
      </c>
      <c r="E26787" s="62"/>
      <c r="F26787" s="62" t="str">
        <f>IF(INDEX(I.Gas.P2aY2C1E3,6)="","",INDEX(I.Gas.P2aY2C1E3,6))</f>
        <v/>
      </c>
      <c r="G26787" s="62"/>
      <c r="H26787" s="46" t="str">
        <f>IF(OR(I.Developer.P2a=FALSE,I.Facility.StandardPart="Part 2"),"Complete",IF(I.Product.P2aGasToPowerStatus&lt;&gt;"Yes","Complete",IF(AND(I.Gas.P2aY2Count&gt;=6,F26787=""),"Incomplete","Complete")))</f>
        <v>Complete</v>
      </c>
      <c r="I26787" s="48" t="s">
        <v>1966</v>
      </c>
    </row>
    <row r="26788" spans="2:9" ht="15" customHeight="1" x14ac:dyDescent="0.25">
      <c r="B26788" s="55" t="s">
        <v>385</v>
      </c>
      <c r="C26788" s="46">
        <v>7</v>
      </c>
      <c r="D26788" s="69" t="s">
        <v>29522</v>
      </c>
      <c r="E26788" s="62"/>
      <c r="F26788" s="62" t="str">
        <f>IF(INDEX(I.Gas.P2aY2C1E3,7)="","",INDEX(I.Gas.P2aY2C1E3,7))</f>
        <v/>
      </c>
      <c r="G26788" s="62"/>
      <c r="H26788" s="46" t="str">
        <f>IF(OR(I.Developer.P2a=FALSE,I.Facility.StandardPart="Part 2"),"Complete",IF(I.Product.P2aGasToPowerStatus&lt;&gt;"Yes","Complete",IF(AND(I.Gas.P2aY2Count&gt;=7,F26788=""),"Incomplete","Complete")))</f>
        <v>Complete</v>
      </c>
      <c r="I26788" s="48" t="s">
        <v>1967</v>
      </c>
    </row>
    <row r="26789" spans="2:9" ht="15" customHeight="1" x14ac:dyDescent="0.25">
      <c r="B26789" s="55" t="s">
        <v>385</v>
      </c>
      <c r="C26789" s="46">
        <v>8</v>
      </c>
      <c r="D26789" s="69" t="s">
        <v>29522</v>
      </c>
      <c r="E26789" s="62"/>
      <c r="F26789" s="62" t="str">
        <f>IF(INDEX(I.Gas.P2aY2C1E3,8)="","",INDEX(I.Gas.P2aY2C1E3,8))</f>
        <v/>
      </c>
      <c r="G26789" s="62"/>
      <c r="H26789" s="46" t="str">
        <f>IF(OR(I.Developer.P2a=FALSE,I.Facility.StandardPart="Part 2"),"Complete",IF(I.Product.P2aGasToPowerStatus&lt;&gt;"Yes","Complete",IF(AND(I.Gas.P2aY2Count&gt;=8,F26789=""),"Incomplete","Complete")))</f>
        <v>Complete</v>
      </c>
      <c r="I26789" s="48" t="s">
        <v>1968</v>
      </c>
    </row>
    <row r="26790" spans="2:9" ht="15" customHeight="1" x14ac:dyDescent="0.25">
      <c r="B26790" s="55" t="s">
        <v>385</v>
      </c>
      <c r="C26790" s="46">
        <v>9</v>
      </c>
      <c r="D26790" s="69" t="s">
        <v>29522</v>
      </c>
      <c r="E26790" s="62"/>
      <c r="F26790" s="62" t="str">
        <f>IF(INDEX(I.Gas.P2aY2C1E3,9)="","",INDEX(I.Gas.P2aY2C1E3,9))</f>
        <v/>
      </c>
      <c r="G26790" s="62"/>
      <c r="H26790" s="46" t="str">
        <f>IF(OR(I.Developer.P2a=FALSE,I.Facility.StandardPart="Part 2"),"Complete",IF(I.Product.P2aGasToPowerStatus&lt;&gt;"Yes","Complete",IF(AND(I.Gas.P2aY2Count&gt;=9,F26790=""),"Incomplete","Complete")))</f>
        <v>Complete</v>
      </c>
      <c r="I26790" s="48" t="s">
        <v>1969</v>
      </c>
    </row>
    <row r="26791" spans="2:9" ht="15" customHeight="1" x14ac:dyDescent="0.25">
      <c r="B26791" s="55" t="s">
        <v>385</v>
      </c>
      <c r="C26791" s="46">
        <v>10</v>
      </c>
      <c r="D26791" s="69" t="s">
        <v>29522</v>
      </c>
      <c r="E26791" s="62"/>
      <c r="F26791" s="62" t="str">
        <f>IF(INDEX(I.Gas.P2aY2C1E3,10)="","",INDEX(I.Gas.P2aY2C1E3,10))</f>
        <v/>
      </c>
      <c r="G26791" s="62"/>
      <c r="H26791" s="46" t="str">
        <f>IF(OR(I.Developer.P2a=FALSE,I.Facility.StandardPart="Part 2"),"Complete",IF(I.Product.P2aGasToPowerStatus&lt;&gt;"Yes","Complete",IF(AND(I.Gas.P2aY2Count&gt;=10,F26791=""),"Incomplete","Complete")))</f>
        <v>Complete</v>
      </c>
      <c r="I26791" s="48" t="s">
        <v>1970</v>
      </c>
    </row>
    <row r="26792" spans="2:9" ht="15" customHeight="1" x14ac:dyDescent="0.25">
      <c r="B26792" s="55" t="s">
        <v>385</v>
      </c>
      <c r="C26792" s="46">
        <v>11</v>
      </c>
      <c r="D26792" s="69" t="s">
        <v>29522</v>
      </c>
      <c r="E26792" s="62"/>
      <c r="F26792" s="62" t="str">
        <f>IF(INDEX(I.Gas.P2aY2C1E3,11)="","",INDEX(I.Gas.P2aY2C1E3,11))</f>
        <v/>
      </c>
      <c r="G26792" s="62"/>
      <c r="H26792" s="46" t="str">
        <f>IF(OR(I.Developer.P2a=FALSE,I.Facility.StandardPart="Part 2"),"Complete",IF(I.Product.P2aGasToPowerStatus&lt;&gt;"Yes","Complete",IF(AND(I.Gas.P2aY2Count&gt;=11,F26792=""),"Incomplete","Complete")))</f>
        <v>Complete</v>
      </c>
      <c r="I26792" s="48" t="s">
        <v>1971</v>
      </c>
    </row>
    <row r="26793" spans="2:9" ht="15" customHeight="1" x14ac:dyDescent="0.25">
      <c r="B26793" s="55" t="s">
        <v>385</v>
      </c>
      <c r="C26793" s="46">
        <v>12</v>
      </c>
      <c r="D26793" s="69" t="s">
        <v>29522</v>
      </c>
      <c r="E26793" s="62"/>
      <c r="F26793" s="62" t="str">
        <f>IF(INDEX(I.Gas.P2aY2C1E3,12)="","",INDEX(I.Gas.P2aY2C1E3,12))</f>
        <v/>
      </c>
      <c r="G26793" s="62"/>
      <c r="H26793" s="46" t="str">
        <f>IF(OR(I.Developer.P2a=FALSE,I.Facility.StandardPart="Part 2"),"Complete",IF(I.Product.P2aGasToPowerStatus&lt;&gt;"Yes","Complete",IF(AND(I.Gas.P2aY2Count&gt;=12,F26793=""),"Incomplete","Complete")))</f>
        <v>Complete</v>
      </c>
      <c r="I26793" s="48" t="s">
        <v>1972</v>
      </c>
    </row>
    <row r="26794" spans="2:9" ht="15" customHeight="1" x14ac:dyDescent="0.25">
      <c r="B26794" s="55" t="s">
        <v>385</v>
      </c>
      <c r="C26794" s="46">
        <v>13</v>
      </c>
      <c r="D26794" s="69" t="s">
        <v>29522</v>
      </c>
      <c r="E26794" s="62"/>
      <c r="F26794" s="62" t="str">
        <f>IF(INDEX(I.Gas.P2aY2C1E3,13)="","",INDEX(I.Gas.P2aY2C1E3,13))</f>
        <v/>
      </c>
      <c r="G26794" s="62"/>
      <c r="H26794" s="46" t="str">
        <f>IF(OR(I.Developer.P2a=FALSE,I.Facility.StandardPart="Part 2"),"Complete",IF(I.Product.P2aGasToPowerStatus&lt;&gt;"Yes","Complete",IF(AND(I.Gas.P2aY2Count&gt;=13,F26794=""),"Incomplete","Complete")))</f>
        <v>Complete</v>
      </c>
      <c r="I26794" s="48" t="s">
        <v>1973</v>
      </c>
    </row>
    <row r="26795" spans="2:9" ht="15" customHeight="1" x14ac:dyDescent="0.25">
      <c r="B26795" s="55" t="s">
        <v>385</v>
      </c>
      <c r="C26795" s="46">
        <v>14</v>
      </c>
      <c r="D26795" s="69" t="s">
        <v>29522</v>
      </c>
      <c r="E26795" s="62"/>
      <c r="F26795" s="62" t="str">
        <f>IF(INDEX(I.Gas.P2aY2C1E3,14)="","",INDEX(I.Gas.P2aY2C1E3,14))</f>
        <v/>
      </c>
      <c r="G26795" s="62"/>
      <c r="H26795" s="46" t="str">
        <f>IF(OR(I.Developer.P2a=FALSE,I.Facility.StandardPart="Part 2"),"Complete",IF(I.Product.P2aGasToPowerStatus&lt;&gt;"Yes","Complete",IF(AND(I.Gas.P2aY2Count&gt;=14,F26795=""),"Incomplete","Complete")))</f>
        <v>Complete</v>
      </c>
      <c r="I26795" s="48" t="s">
        <v>1974</v>
      </c>
    </row>
    <row r="26796" spans="2:9" ht="15" customHeight="1" x14ac:dyDescent="0.25">
      <c r="B26796" s="55" t="s">
        <v>385</v>
      </c>
      <c r="C26796" s="46">
        <v>15</v>
      </c>
      <c r="D26796" s="69" t="s">
        <v>29522</v>
      </c>
      <c r="E26796" s="62"/>
      <c r="F26796" s="62" t="str">
        <f>IF(INDEX(I.Gas.P2aY2C1E3,15)="","",INDEX(I.Gas.P2aY2C1E3,15))</f>
        <v/>
      </c>
      <c r="G26796" s="62"/>
      <c r="H26796" s="46" t="str">
        <f>IF(OR(I.Developer.P2a=FALSE,I.Facility.StandardPart="Part 2"),"Complete",IF(I.Product.P2aGasToPowerStatus&lt;&gt;"Yes","Complete",IF(AND(I.Gas.P2aY2Count&gt;=15,F26796=""),"Incomplete","Complete")))</f>
        <v>Complete</v>
      </c>
      <c r="I26796" s="48" t="s">
        <v>1975</v>
      </c>
    </row>
    <row r="26797" spans="2:9" ht="15" customHeight="1" x14ac:dyDescent="0.25">
      <c r="B26797" s="55" t="s">
        <v>385</v>
      </c>
      <c r="C26797" s="46">
        <v>16</v>
      </c>
      <c r="D26797" s="69" t="s">
        <v>29522</v>
      </c>
      <c r="E26797" s="62"/>
      <c r="F26797" s="62" t="str">
        <f>IF(INDEX(I.Gas.P2aY2C1E3,16)="","",INDEX(I.Gas.P2aY2C1E3,16))</f>
        <v/>
      </c>
      <c r="G26797" s="62"/>
      <c r="H26797" s="46" t="str">
        <f>IF(OR(I.Developer.P2a=FALSE,I.Facility.StandardPart="Part 2"),"Complete",IF(I.Product.P2aGasToPowerStatus&lt;&gt;"Yes","Complete",IF(AND(I.Gas.P2aY2Count&gt;=16,F26797=""),"Incomplete","Complete")))</f>
        <v>Complete</v>
      </c>
      <c r="I26797" s="48" t="s">
        <v>1976</v>
      </c>
    </row>
    <row r="26798" spans="2:9" ht="15" customHeight="1" x14ac:dyDescent="0.25">
      <c r="B26798" s="55" t="s">
        <v>385</v>
      </c>
      <c r="C26798" s="46">
        <v>17</v>
      </c>
      <c r="D26798" s="69" t="s">
        <v>29522</v>
      </c>
      <c r="E26798" s="62"/>
      <c r="F26798" s="62" t="str">
        <f>IF(INDEX(I.Gas.P2aY2C1E3,17)="","",INDEX(I.Gas.P2aY2C1E3,17))</f>
        <v/>
      </c>
      <c r="G26798" s="62"/>
      <c r="H26798" s="46" t="str">
        <f>IF(OR(I.Developer.P2a=FALSE,I.Facility.StandardPart="Part 2"),"Complete",IF(I.Product.P2aGasToPowerStatus&lt;&gt;"Yes","Complete",IF(AND(I.Gas.P2aY2Count&gt;=17,F26798=""),"Incomplete","Complete")))</f>
        <v>Complete</v>
      </c>
      <c r="I26798" s="48" t="s">
        <v>1977</v>
      </c>
    </row>
    <row r="26799" spans="2:9" ht="15" customHeight="1" x14ac:dyDescent="0.25">
      <c r="B26799" s="55" t="s">
        <v>385</v>
      </c>
      <c r="C26799" s="46">
        <v>18</v>
      </c>
      <c r="D26799" s="69" t="s">
        <v>29522</v>
      </c>
      <c r="E26799" s="62"/>
      <c r="F26799" s="62" t="str">
        <f>IF(INDEX(I.Gas.P2aY2C1E3,18)="","",INDEX(I.Gas.P2aY2C1E3,18))</f>
        <v/>
      </c>
      <c r="G26799" s="62"/>
      <c r="H26799" s="46" t="str">
        <f>IF(OR(I.Developer.P2a=FALSE,I.Facility.StandardPart="Part 2"),"Complete",IF(I.Product.P2aGasToPowerStatus&lt;&gt;"Yes","Complete",IF(AND(I.Gas.P2aY2Count&gt;=18,F26799=""),"Incomplete","Complete")))</f>
        <v>Complete</v>
      </c>
      <c r="I26799" s="48" t="s">
        <v>1978</v>
      </c>
    </row>
    <row r="26800" spans="2:9" ht="15" customHeight="1" x14ac:dyDescent="0.25">
      <c r="B26800" s="55" t="s">
        <v>385</v>
      </c>
      <c r="C26800" s="46">
        <v>19</v>
      </c>
      <c r="D26800" s="69" t="s">
        <v>29522</v>
      </c>
      <c r="E26800" s="62"/>
      <c r="F26800" s="62" t="str">
        <f>IF(INDEX(I.Gas.P2aY2C1E3,19)="","",INDEX(I.Gas.P2aY2C1E3,19))</f>
        <v/>
      </c>
      <c r="G26800" s="62"/>
      <c r="H26800" s="46" t="str">
        <f>IF(OR(I.Developer.P2a=FALSE,I.Facility.StandardPart="Part 2"),"Complete",IF(I.Product.P2aGasToPowerStatus&lt;&gt;"Yes","Complete",IF(AND(I.Gas.P2aY2Count&gt;=19,F26800=""),"Incomplete","Complete")))</f>
        <v>Complete</v>
      </c>
      <c r="I26800" s="48" t="s">
        <v>1979</v>
      </c>
    </row>
    <row r="26801" spans="2:9" ht="15" customHeight="1" x14ac:dyDescent="0.25">
      <c r="B26801" s="55" t="s">
        <v>385</v>
      </c>
      <c r="C26801" s="46">
        <v>20</v>
      </c>
      <c r="D26801" s="69" t="s">
        <v>29522</v>
      </c>
      <c r="E26801" s="62"/>
      <c r="F26801" s="62" t="str">
        <f>IF(INDEX(I.Gas.P2aY2C1E3,20)="","",INDEX(I.Gas.P2aY2C1E3,20))</f>
        <v/>
      </c>
      <c r="G26801" s="62"/>
      <c r="H26801" s="46" t="str">
        <f>IF(OR(I.Developer.P2a=FALSE,I.Facility.StandardPart="Part 2"),"Complete",IF(I.Product.P2aGasToPowerStatus&lt;&gt;"Yes","Complete",IF(AND(I.Gas.P2aY2Count&gt;=20,F26801=""),"Incomplete","Complete")))</f>
        <v>Complete</v>
      </c>
      <c r="I26801" s="48" t="s">
        <v>1980</v>
      </c>
    </row>
    <row r="26802" spans="2:9" ht="15" customHeight="1" x14ac:dyDescent="0.25">
      <c r="B26802" s="55" t="s">
        <v>385</v>
      </c>
      <c r="C26802" s="46">
        <v>21</v>
      </c>
      <c r="D26802" s="69" t="s">
        <v>29522</v>
      </c>
      <c r="E26802" s="62"/>
      <c r="F26802" s="62" t="str">
        <f>IF(INDEX(I.Gas.P2aY2C1E3,21)="","",INDEX(I.Gas.P2aY2C1E3,21))</f>
        <v/>
      </c>
      <c r="G26802" s="62"/>
      <c r="H26802" s="46" t="str">
        <f>IF(OR(I.Developer.P2a=FALSE,I.Facility.StandardPart="Part 2"),"Complete",IF(I.Product.P2aGasToPowerStatus&lt;&gt;"Yes","Complete",IF(AND(I.Gas.P2aY2Count&gt;=21,F26802=""),"Incomplete","Complete")))</f>
        <v>Complete</v>
      </c>
      <c r="I26802" s="48" t="s">
        <v>1981</v>
      </c>
    </row>
    <row r="26803" spans="2:9" ht="15" customHeight="1" x14ac:dyDescent="0.25">
      <c r="B26803" s="55" t="s">
        <v>385</v>
      </c>
      <c r="C26803" s="46">
        <v>22</v>
      </c>
      <c r="D26803" s="69" t="s">
        <v>29522</v>
      </c>
      <c r="E26803" s="62"/>
      <c r="F26803" s="62" t="str">
        <f>IF(INDEX(I.Gas.P2aY2C1E3,22)="","",INDEX(I.Gas.P2aY2C1E3,22))</f>
        <v/>
      </c>
      <c r="G26803" s="62"/>
      <c r="H26803" s="46" t="str">
        <f>IF(OR(I.Developer.P2a=FALSE,I.Facility.StandardPart="Part 2"),"Complete",IF(I.Product.P2aGasToPowerStatus&lt;&gt;"Yes","Complete",IF(AND(I.Gas.P2aY2Count&gt;=22,F26803=""),"Incomplete","Complete")))</f>
        <v>Complete</v>
      </c>
      <c r="I26803" s="48" t="s">
        <v>1982</v>
      </c>
    </row>
    <row r="26804" spans="2:9" ht="15" customHeight="1" x14ac:dyDescent="0.25">
      <c r="B26804" s="55" t="s">
        <v>385</v>
      </c>
      <c r="C26804" s="46">
        <v>23</v>
      </c>
      <c r="D26804" s="69" t="s">
        <v>29522</v>
      </c>
      <c r="E26804" s="62"/>
      <c r="F26804" s="62" t="str">
        <f>IF(INDEX(I.Gas.P2aY2C1E3,23)="","",INDEX(I.Gas.P2aY2C1E3,23))</f>
        <v/>
      </c>
      <c r="G26804" s="62"/>
      <c r="H26804" s="46" t="str">
        <f>IF(OR(I.Developer.P2a=FALSE,I.Facility.StandardPart="Part 2"),"Complete",IF(I.Product.P2aGasToPowerStatus&lt;&gt;"Yes","Complete",IF(AND(I.Gas.P2aY2Count&gt;=23,F26804=""),"Incomplete","Complete")))</f>
        <v>Complete</v>
      </c>
      <c r="I26804" s="48" t="s">
        <v>1983</v>
      </c>
    </row>
    <row r="26805" spans="2:9" ht="15" customHeight="1" x14ac:dyDescent="0.25">
      <c r="B26805" s="55" t="s">
        <v>385</v>
      </c>
      <c r="C26805" s="46">
        <v>24</v>
      </c>
      <c r="D26805" s="69" t="s">
        <v>29522</v>
      </c>
      <c r="E26805" s="62"/>
      <c r="F26805" s="62" t="str">
        <f>IF(INDEX(I.Gas.P2aY2C1E3,24)="","",INDEX(I.Gas.P2aY2C1E3,24))</f>
        <v/>
      </c>
      <c r="G26805" s="62"/>
      <c r="H26805" s="46" t="str">
        <f>IF(OR(I.Developer.P2a=FALSE,I.Facility.StandardPart="Part 2"),"Complete",IF(I.Product.P2aGasToPowerStatus&lt;&gt;"Yes","Complete",IF(AND(I.Gas.P2aY2Count&gt;=24,F26805=""),"Incomplete","Complete")))</f>
        <v>Complete</v>
      </c>
      <c r="I26805" s="48" t="s">
        <v>1984</v>
      </c>
    </row>
    <row r="26806" spans="2:9" ht="15" customHeight="1" x14ac:dyDescent="0.25">
      <c r="B26806" s="55" t="s">
        <v>385</v>
      </c>
      <c r="C26806" s="46">
        <v>25</v>
      </c>
      <c r="D26806" s="69" t="s">
        <v>29522</v>
      </c>
      <c r="E26806" s="62"/>
      <c r="F26806" s="62" t="str">
        <f>IF(INDEX(I.Gas.P2aY2C1E3,25)="","",INDEX(I.Gas.P2aY2C1E3,25))</f>
        <v/>
      </c>
      <c r="G26806" s="62"/>
      <c r="H26806" s="46" t="str">
        <f>IF(OR(I.Developer.P2a=FALSE,I.Facility.StandardPart="Part 2"),"Complete",IF(I.Product.P2aGasToPowerStatus&lt;&gt;"Yes","Complete",IF(AND(I.Gas.P2aY2Count&gt;=25,F26806=""),"Incomplete","Complete")))</f>
        <v>Complete</v>
      </c>
      <c r="I26806" s="48" t="s">
        <v>1985</v>
      </c>
    </row>
    <row r="26807" spans="2:9" ht="15" customHeight="1" x14ac:dyDescent="0.25">
      <c r="B26807" s="55" t="s">
        <v>385</v>
      </c>
      <c r="C26807" s="46">
        <v>26</v>
      </c>
      <c r="D26807" s="69" t="s">
        <v>29522</v>
      </c>
      <c r="E26807" s="62"/>
      <c r="F26807" s="62" t="str">
        <f>IF(INDEX(I.Gas.P2aY2C1E3,26)="","",INDEX(I.Gas.P2aY2C1E3,26))</f>
        <v/>
      </c>
      <c r="G26807" s="62"/>
      <c r="H26807" s="46" t="str">
        <f>IF(OR(I.Developer.P2a=FALSE,I.Facility.StandardPart="Part 2"),"Complete",IF(I.Product.P2aGasToPowerStatus&lt;&gt;"Yes","Complete",IF(AND(I.Gas.P2aY2Count&gt;=26,F26807=""),"Incomplete","Complete")))</f>
        <v>Complete</v>
      </c>
      <c r="I26807" s="48" t="s">
        <v>1986</v>
      </c>
    </row>
    <row r="26808" spans="2:9" ht="15" customHeight="1" x14ac:dyDescent="0.25">
      <c r="B26808" s="55" t="s">
        <v>385</v>
      </c>
      <c r="C26808" s="46">
        <v>27</v>
      </c>
      <c r="D26808" s="69" t="s">
        <v>29522</v>
      </c>
      <c r="E26808" s="62"/>
      <c r="F26808" s="62" t="str">
        <f>IF(INDEX(I.Gas.P2aY2C1E3,27)="","",INDEX(I.Gas.P2aY2C1E3,27))</f>
        <v/>
      </c>
      <c r="G26808" s="62"/>
      <c r="H26808" s="46" t="str">
        <f>IF(OR(I.Developer.P2a=FALSE,I.Facility.StandardPart="Part 2"),"Complete",IF(I.Product.P2aGasToPowerStatus&lt;&gt;"Yes","Complete",IF(AND(I.Gas.P2aY2Count&gt;=27,F26808=""),"Incomplete","Complete")))</f>
        <v>Complete</v>
      </c>
      <c r="I26808" s="48" t="s">
        <v>1987</v>
      </c>
    </row>
    <row r="26809" spans="2:9" ht="15" customHeight="1" x14ac:dyDescent="0.25">
      <c r="B26809" s="55" t="s">
        <v>385</v>
      </c>
      <c r="C26809" s="46">
        <v>28</v>
      </c>
      <c r="D26809" s="69" t="s">
        <v>29522</v>
      </c>
      <c r="E26809" s="62"/>
      <c r="F26809" s="62" t="str">
        <f>IF(INDEX(I.Gas.P2aY2C1E3,28)="","",INDEX(I.Gas.P2aY2C1E3,28))</f>
        <v/>
      </c>
      <c r="G26809" s="62"/>
      <c r="H26809" s="46" t="str">
        <f>IF(OR(I.Developer.P2a=FALSE,I.Facility.StandardPart="Part 2"),"Complete",IF(I.Product.P2aGasToPowerStatus&lt;&gt;"Yes","Complete",IF(AND(I.Gas.P2aY2Count&gt;=28,F26809=""),"Incomplete","Complete")))</f>
        <v>Complete</v>
      </c>
      <c r="I26809" s="48" t="s">
        <v>1988</v>
      </c>
    </row>
    <row r="26810" spans="2:9" ht="15" customHeight="1" x14ac:dyDescent="0.25">
      <c r="B26810" s="55" t="s">
        <v>385</v>
      </c>
      <c r="C26810" s="46">
        <v>29</v>
      </c>
      <c r="D26810" s="69" t="s">
        <v>29522</v>
      </c>
      <c r="E26810" s="62"/>
      <c r="F26810" s="62" t="str">
        <f>IF(INDEX(I.Gas.P2aY2C1E3,29)="","",INDEX(I.Gas.P2aY2C1E3,29))</f>
        <v/>
      </c>
      <c r="G26810" s="62"/>
      <c r="H26810" s="46" t="str">
        <f>IF(OR(I.Developer.P2a=FALSE,I.Facility.StandardPart="Part 2"),"Complete",IF(I.Product.P2aGasToPowerStatus&lt;&gt;"Yes","Complete",IF(AND(I.Gas.P2aY2Count&gt;=29,F26810=""),"Incomplete","Complete")))</f>
        <v>Complete</v>
      </c>
      <c r="I26810" s="48" t="s">
        <v>1989</v>
      </c>
    </row>
    <row r="26811" spans="2:9" ht="15" customHeight="1" x14ac:dyDescent="0.25">
      <c r="B26811" s="55" t="s">
        <v>385</v>
      </c>
      <c r="C26811" s="46">
        <v>30</v>
      </c>
      <c r="D26811" s="69" t="s">
        <v>29522</v>
      </c>
      <c r="E26811" s="62"/>
      <c r="F26811" s="62" t="str">
        <f>IF(INDEX(I.Gas.P2aY2C1E3,30)="","",INDEX(I.Gas.P2aY2C1E3,30))</f>
        <v/>
      </c>
      <c r="G26811" s="62"/>
      <c r="H26811" s="46" t="str">
        <f>IF(OR(I.Developer.P2a=FALSE,I.Facility.StandardPart="Part 2"),"Complete",IF(I.Product.P2aGasToPowerStatus&lt;&gt;"Yes","Complete",IF(AND(I.Gas.P2aY2Count&gt;=30,F26811=""),"Incomplete","Complete")))</f>
        <v>Complete</v>
      </c>
      <c r="I26811" s="48" t="s">
        <v>1990</v>
      </c>
    </row>
    <row r="26812" spans="2:9" ht="15" customHeight="1" x14ac:dyDescent="0.25">
      <c r="B26812" s="55" t="s">
        <v>385</v>
      </c>
      <c r="C26812" s="46">
        <v>31</v>
      </c>
      <c r="D26812" s="69" t="s">
        <v>29522</v>
      </c>
      <c r="E26812" s="62"/>
      <c r="F26812" s="62" t="str">
        <f>IF(INDEX(I.Gas.P2aY2C1E3,31)="","",INDEX(I.Gas.P2aY2C1E3,31))</f>
        <v/>
      </c>
      <c r="G26812" s="62"/>
      <c r="H26812" s="46" t="str">
        <f>IF(OR(I.Developer.P2a=FALSE,I.Facility.StandardPart="Part 2"),"Complete",IF(I.Product.P2aGasToPowerStatus&lt;&gt;"Yes","Complete",IF(AND(I.Gas.P2aY2Count&gt;=31,F26812=""),"Incomplete","Complete")))</f>
        <v>Complete</v>
      </c>
      <c r="I26812" s="48" t="s">
        <v>1991</v>
      </c>
    </row>
    <row r="26813" spans="2:9" ht="15" customHeight="1" x14ac:dyDescent="0.25">
      <c r="B26813" s="55" t="s">
        <v>385</v>
      </c>
      <c r="C26813" s="46">
        <v>32</v>
      </c>
      <c r="D26813" s="69" t="s">
        <v>29522</v>
      </c>
      <c r="E26813" s="62"/>
      <c r="F26813" s="62" t="str">
        <f>IF(INDEX(I.Gas.P2aY2C1E3,32)="","",INDEX(I.Gas.P2aY2C1E3,32))</f>
        <v/>
      </c>
      <c r="G26813" s="62"/>
      <c r="H26813" s="46" t="str">
        <f>IF(OR(I.Developer.P2a=FALSE,I.Facility.StandardPart="Part 2"),"Complete",IF(I.Product.P2aGasToPowerStatus&lt;&gt;"Yes","Complete",IF(AND(I.Gas.P2aY2Count&gt;=32,F26813=""),"Incomplete","Complete")))</f>
        <v>Complete</v>
      </c>
      <c r="I26813" s="48" t="s">
        <v>1992</v>
      </c>
    </row>
    <row r="26814" spans="2:9" ht="15" customHeight="1" x14ac:dyDescent="0.25">
      <c r="B26814" s="55" t="s">
        <v>385</v>
      </c>
      <c r="C26814" s="46">
        <v>33</v>
      </c>
      <c r="D26814" s="69" t="s">
        <v>29522</v>
      </c>
      <c r="E26814" s="62"/>
      <c r="F26814" s="62" t="str">
        <f>IF(INDEX(I.Gas.P2aY2C1E3,33)="","",INDEX(I.Gas.P2aY2C1E3,33))</f>
        <v/>
      </c>
      <c r="G26814" s="62"/>
      <c r="H26814" s="46" t="str">
        <f>IF(OR(I.Developer.P2a=FALSE,I.Facility.StandardPart="Part 2"),"Complete",IF(I.Product.P2aGasToPowerStatus&lt;&gt;"Yes","Complete",IF(AND(I.Gas.P2aY2Count&gt;=33,F26814=""),"Incomplete","Complete")))</f>
        <v>Complete</v>
      </c>
      <c r="I26814" s="48" t="s">
        <v>1993</v>
      </c>
    </row>
    <row r="26815" spans="2:9" ht="15" customHeight="1" x14ac:dyDescent="0.25">
      <c r="B26815" s="55" t="s">
        <v>385</v>
      </c>
      <c r="C26815" s="46">
        <v>34</v>
      </c>
      <c r="D26815" s="69" t="s">
        <v>29522</v>
      </c>
      <c r="E26815" s="62"/>
      <c r="F26815" s="62" t="str">
        <f>IF(INDEX(I.Gas.P2aY2C1E3,34)="","",INDEX(I.Gas.P2aY2C1E3,34))</f>
        <v/>
      </c>
      <c r="G26815" s="62"/>
      <c r="H26815" s="46" t="str">
        <f>IF(OR(I.Developer.P2a=FALSE,I.Facility.StandardPart="Part 2"),"Complete",IF(I.Product.P2aGasToPowerStatus&lt;&gt;"Yes","Complete",IF(AND(I.Gas.P2aY2Count&gt;=34,F26815=""),"Incomplete","Complete")))</f>
        <v>Complete</v>
      </c>
      <c r="I26815" s="48" t="s">
        <v>1994</v>
      </c>
    </row>
    <row r="26816" spans="2:9" ht="15" customHeight="1" x14ac:dyDescent="0.25">
      <c r="B26816" s="55" t="s">
        <v>385</v>
      </c>
      <c r="C26816" s="46">
        <v>35</v>
      </c>
      <c r="D26816" s="69" t="s">
        <v>29522</v>
      </c>
      <c r="E26816" s="62"/>
      <c r="F26816" s="62" t="str">
        <f>IF(INDEX(I.Gas.P2aY2C1E3,35)="","",INDEX(I.Gas.P2aY2C1E3,35))</f>
        <v/>
      </c>
      <c r="G26816" s="62"/>
      <c r="H26816" s="46" t="str">
        <f>IF(OR(I.Developer.P2a=FALSE,I.Facility.StandardPart="Part 2"),"Complete",IF(I.Product.P2aGasToPowerStatus&lt;&gt;"Yes","Complete",IF(AND(I.Gas.P2aY2Count&gt;=35,F26816=""),"Incomplete","Complete")))</f>
        <v>Complete</v>
      </c>
      <c r="I26816" s="48" t="s">
        <v>1995</v>
      </c>
    </row>
    <row r="26817" spans="2:9" ht="15" customHeight="1" x14ac:dyDescent="0.25">
      <c r="B26817" s="55" t="s">
        <v>385</v>
      </c>
      <c r="C26817" s="46">
        <v>36</v>
      </c>
      <c r="D26817" s="69" t="s">
        <v>29522</v>
      </c>
      <c r="E26817" s="62"/>
      <c r="F26817" s="62" t="str">
        <f>IF(INDEX(I.Gas.P2aY2C1E3,36)="","",INDEX(I.Gas.P2aY2C1E3,36))</f>
        <v/>
      </c>
      <c r="G26817" s="62"/>
      <c r="H26817" s="46" t="str">
        <f>IF(OR(I.Developer.P2a=FALSE,I.Facility.StandardPart="Part 2"),"Complete",IF(I.Product.P2aGasToPowerStatus&lt;&gt;"Yes","Complete",IF(AND(I.Gas.P2aY2Count&gt;=36,F26817=""),"Incomplete","Complete")))</f>
        <v>Complete</v>
      </c>
      <c r="I26817" s="48" t="s">
        <v>1996</v>
      </c>
    </row>
    <row r="26818" spans="2:9" ht="15" customHeight="1" x14ac:dyDescent="0.25">
      <c r="B26818" s="55" t="s">
        <v>385</v>
      </c>
      <c r="C26818" s="46">
        <v>37</v>
      </c>
      <c r="D26818" s="69" t="s">
        <v>29522</v>
      </c>
      <c r="E26818" s="62"/>
      <c r="F26818" s="62" t="str">
        <f>IF(INDEX(I.Gas.P2aY2C1E3,37)="","",INDEX(I.Gas.P2aY2C1E3,37))</f>
        <v/>
      </c>
      <c r="G26818" s="62"/>
      <c r="H26818" s="46" t="str">
        <f>IF(OR(I.Developer.P2a=FALSE,I.Facility.StandardPart="Part 2"),"Complete",IF(I.Product.P2aGasToPowerStatus&lt;&gt;"Yes","Complete",IF(AND(I.Gas.P2aY2Count&gt;=37,F26818=""),"Incomplete","Complete")))</f>
        <v>Complete</v>
      </c>
      <c r="I26818" s="48" t="s">
        <v>1997</v>
      </c>
    </row>
    <row r="26819" spans="2:9" ht="15" customHeight="1" x14ac:dyDescent="0.25">
      <c r="B26819" s="55" t="s">
        <v>385</v>
      </c>
      <c r="C26819" s="46">
        <v>38</v>
      </c>
      <c r="D26819" s="69" t="s">
        <v>29522</v>
      </c>
      <c r="E26819" s="62"/>
      <c r="F26819" s="62" t="str">
        <f>IF(INDEX(I.Gas.P2aY2C1E3,38)="","",INDEX(I.Gas.P2aY2C1E3,38))</f>
        <v/>
      </c>
      <c r="G26819" s="62"/>
      <c r="H26819" s="46" t="str">
        <f>IF(OR(I.Developer.P2a=FALSE,I.Facility.StandardPart="Part 2"),"Complete",IF(I.Product.P2aGasToPowerStatus&lt;&gt;"Yes","Complete",IF(AND(I.Gas.P2aY2Count&gt;=38,F26819=""),"Incomplete","Complete")))</f>
        <v>Complete</v>
      </c>
      <c r="I26819" s="48" t="s">
        <v>1998</v>
      </c>
    </row>
    <row r="26820" spans="2:9" ht="15" customHeight="1" x14ac:dyDescent="0.25">
      <c r="B26820" s="55" t="s">
        <v>385</v>
      </c>
      <c r="C26820" s="46">
        <v>39</v>
      </c>
      <c r="D26820" s="69" t="s">
        <v>29522</v>
      </c>
      <c r="E26820" s="62"/>
      <c r="F26820" s="62" t="str">
        <f>IF(INDEX(I.Gas.P2aY2C1E3,39)="","",INDEX(I.Gas.P2aY2C1E3,39))</f>
        <v/>
      </c>
      <c r="G26820" s="62"/>
      <c r="H26820" s="46" t="str">
        <f>IF(OR(I.Developer.P2a=FALSE,I.Facility.StandardPart="Part 2"),"Complete",IF(I.Product.P2aGasToPowerStatus&lt;&gt;"Yes","Complete",IF(AND(I.Gas.P2aY2Count&gt;=39,F26820=""),"Incomplete","Complete")))</f>
        <v>Complete</v>
      </c>
      <c r="I26820" s="48" t="s">
        <v>1999</v>
      </c>
    </row>
    <row r="26821" spans="2:9" ht="15" customHeight="1" x14ac:dyDescent="0.25">
      <c r="B26821" s="55" t="s">
        <v>385</v>
      </c>
      <c r="C26821" s="46">
        <v>40</v>
      </c>
      <c r="D26821" s="69" t="s">
        <v>29522</v>
      </c>
      <c r="E26821" s="62"/>
      <c r="F26821" s="62" t="str">
        <f>IF(INDEX(I.Gas.P2aY2C1E3,40)="","",INDEX(I.Gas.P2aY2C1E3,40))</f>
        <v/>
      </c>
      <c r="G26821" s="62"/>
      <c r="H26821" s="46" t="str">
        <f>IF(OR(I.Developer.P2a=FALSE,I.Facility.StandardPart="Part 2"),"Complete",IF(I.Product.P2aGasToPowerStatus&lt;&gt;"Yes","Complete",IF(AND(I.Gas.P2aY2Count&gt;=40,F26821=""),"Incomplete","Complete")))</f>
        <v>Complete</v>
      </c>
      <c r="I26821" s="48" t="s">
        <v>2000</v>
      </c>
    </row>
    <row r="26822" spans="2:9" ht="15" customHeight="1" x14ac:dyDescent="0.25">
      <c r="B26822" s="55" t="s">
        <v>385</v>
      </c>
      <c r="C26822" s="46">
        <v>41</v>
      </c>
      <c r="D26822" s="69" t="s">
        <v>29522</v>
      </c>
      <c r="E26822" s="62"/>
      <c r="F26822" s="62" t="str">
        <f>IF(INDEX(I.Gas.P2aY2C1E3,41)="","",INDEX(I.Gas.P2aY2C1E3,41))</f>
        <v/>
      </c>
      <c r="G26822" s="62"/>
      <c r="H26822" s="46" t="str">
        <f>IF(OR(I.Developer.P2a=FALSE,I.Facility.StandardPart="Part 2"),"Complete",IF(I.Product.P2aGasToPowerStatus&lt;&gt;"Yes","Complete",IF(AND(I.Gas.P2aY2Count&gt;=41,F26822=""),"Incomplete","Complete")))</f>
        <v>Complete</v>
      </c>
      <c r="I26822" s="48" t="s">
        <v>2001</v>
      </c>
    </row>
    <row r="26823" spans="2:9" ht="15" customHeight="1" x14ac:dyDescent="0.25">
      <c r="B26823" s="55" t="s">
        <v>385</v>
      </c>
      <c r="C26823" s="46">
        <v>42</v>
      </c>
      <c r="D26823" s="69" t="s">
        <v>29522</v>
      </c>
      <c r="E26823" s="62"/>
      <c r="F26823" s="62" t="str">
        <f>IF(INDEX(I.Gas.P2aY2C1E3,42)="","",INDEX(I.Gas.P2aY2C1E3,42))</f>
        <v/>
      </c>
      <c r="G26823" s="62"/>
      <c r="H26823" s="46" t="str">
        <f>IF(OR(I.Developer.P2a=FALSE,I.Facility.StandardPart="Part 2"),"Complete",IF(I.Product.P2aGasToPowerStatus&lt;&gt;"Yes","Complete",IF(AND(I.Gas.P2aY2Count&gt;=42,F26823=""),"Incomplete","Complete")))</f>
        <v>Complete</v>
      </c>
      <c r="I26823" s="48" t="s">
        <v>2002</v>
      </c>
    </row>
    <row r="26824" spans="2:9" ht="15" customHeight="1" x14ac:dyDescent="0.25">
      <c r="B26824" s="55" t="s">
        <v>385</v>
      </c>
      <c r="C26824" s="46">
        <v>43</v>
      </c>
      <c r="D26824" s="69" t="s">
        <v>29522</v>
      </c>
      <c r="E26824" s="62"/>
      <c r="F26824" s="62" t="str">
        <f>IF(INDEX(I.Gas.P2aY2C1E3,43)="","",INDEX(I.Gas.P2aY2C1E3,43))</f>
        <v/>
      </c>
      <c r="G26824" s="62"/>
      <c r="H26824" s="46" t="str">
        <f>IF(OR(I.Developer.P2a=FALSE,I.Facility.StandardPart="Part 2"),"Complete",IF(I.Product.P2aGasToPowerStatus&lt;&gt;"Yes","Complete",IF(AND(I.Gas.P2aY2Count&gt;=43,F26824=""),"Incomplete","Complete")))</f>
        <v>Complete</v>
      </c>
      <c r="I26824" s="48" t="s">
        <v>2003</v>
      </c>
    </row>
    <row r="26825" spans="2:9" ht="15" customHeight="1" x14ac:dyDescent="0.25">
      <c r="B26825" s="55" t="s">
        <v>385</v>
      </c>
      <c r="C26825" s="46">
        <v>44</v>
      </c>
      <c r="D26825" s="69" t="s">
        <v>29522</v>
      </c>
      <c r="E26825" s="62"/>
      <c r="F26825" s="62" t="str">
        <f>IF(INDEX(I.Gas.P2aY2C1E3,44)="","",INDEX(I.Gas.P2aY2C1E3,44))</f>
        <v/>
      </c>
      <c r="G26825" s="62"/>
      <c r="H26825" s="46" t="str">
        <f>IF(OR(I.Developer.P2a=FALSE,I.Facility.StandardPart="Part 2"),"Complete",IF(I.Product.P2aGasToPowerStatus&lt;&gt;"Yes","Complete",IF(AND(I.Gas.P2aY2Count&gt;=44,F26825=""),"Incomplete","Complete")))</f>
        <v>Complete</v>
      </c>
      <c r="I26825" s="48" t="s">
        <v>2004</v>
      </c>
    </row>
    <row r="26826" spans="2:9" ht="15" customHeight="1" x14ac:dyDescent="0.25">
      <c r="B26826" s="55" t="s">
        <v>385</v>
      </c>
      <c r="C26826" s="46">
        <v>45</v>
      </c>
      <c r="D26826" s="69" t="s">
        <v>29522</v>
      </c>
      <c r="E26826" s="62"/>
      <c r="F26826" s="62" t="str">
        <f>IF(INDEX(I.Gas.P2aY2C1E3,45)="","",INDEX(I.Gas.P2aY2C1E3,45))</f>
        <v/>
      </c>
      <c r="G26826" s="62"/>
      <c r="H26826" s="46" t="str">
        <f>IF(OR(I.Developer.P2a=FALSE,I.Facility.StandardPart="Part 2"),"Complete",IF(I.Product.P2aGasToPowerStatus&lt;&gt;"Yes","Complete",IF(AND(I.Gas.P2aY2Count&gt;=45,F26826=""),"Incomplete","Complete")))</f>
        <v>Complete</v>
      </c>
      <c r="I26826" s="48" t="s">
        <v>2005</v>
      </c>
    </row>
    <row r="26827" spans="2:9" ht="15" customHeight="1" x14ac:dyDescent="0.25">
      <c r="B26827" s="55" t="s">
        <v>385</v>
      </c>
      <c r="C26827" s="46">
        <v>46</v>
      </c>
      <c r="D26827" s="69" t="s">
        <v>29522</v>
      </c>
      <c r="E26827" s="62"/>
      <c r="F26827" s="62" t="str">
        <f>IF(INDEX(I.Gas.P2aY2C1E3,46)="","",INDEX(I.Gas.P2aY2C1E3,46))</f>
        <v/>
      </c>
      <c r="G26827" s="62"/>
      <c r="H26827" s="46" t="str">
        <f>IF(OR(I.Developer.P2a=FALSE,I.Facility.StandardPart="Part 2"),"Complete",IF(I.Product.P2aGasToPowerStatus&lt;&gt;"Yes","Complete",IF(AND(I.Gas.P2aY2Count&gt;=46,F26827=""),"Incomplete","Complete")))</f>
        <v>Complete</v>
      </c>
      <c r="I26827" s="48" t="s">
        <v>2006</v>
      </c>
    </row>
    <row r="26828" spans="2:9" ht="15" customHeight="1" x14ac:dyDescent="0.25">
      <c r="B26828" s="55" t="s">
        <v>385</v>
      </c>
      <c r="C26828" s="46">
        <v>47</v>
      </c>
      <c r="D26828" s="69" t="s">
        <v>29522</v>
      </c>
      <c r="E26828" s="62"/>
      <c r="F26828" s="62" t="str">
        <f>IF(INDEX(I.Gas.P2aY2C1E3,47)="","",INDEX(I.Gas.P2aY2C1E3,47))</f>
        <v/>
      </c>
      <c r="G26828" s="62"/>
      <c r="H26828" s="46" t="str">
        <f>IF(OR(I.Developer.P2a=FALSE,I.Facility.StandardPart="Part 2"),"Complete",IF(I.Product.P2aGasToPowerStatus&lt;&gt;"Yes","Complete",IF(AND(I.Gas.P2aY2Count&gt;=47,F26828=""),"Incomplete","Complete")))</f>
        <v>Complete</v>
      </c>
      <c r="I26828" s="48" t="s">
        <v>2007</v>
      </c>
    </row>
    <row r="26829" spans="2:9" ht="15" customHeight="1" x14ac:dyDescent="0.25">
      <c r="B26829" s="55" t="s">
        <v>385</v>
      </c>
      <c r="C26829" s="46">
        <v>48</v>
      </c>
      <c r="D26829" s="69" t="s">
        <v>29522</v>
      </c>
      <c r="E26829" s="62"/>
      <c r="F26829" s="62" t="str">
        <f>IF(INDEX(I.Gas.P2aY2C1E3,48)="","",INDEX(I.Gas.P2aY2C1E3,48))</f>
        <v/>
      </c>
      <c r="G26829" s="62"/>
      <c r="H26829" s="46" t="str">
        <f>IF(OR(I.Developer.P2a=FALSE,I.Facility.StandardPart="Part 2"),"Complete",IF(I.Product.P2aGasToPowerStatus&lt;&gt;"Yes","Complete",IF(AND(I.Gas.P2aY2Count&gt;=48,F26829=""),"Incomplete","Complete")))</f>
        <v>Complete</v>
      </c>
      <c r="I26829" s="48" t="s">
        <v>2008</v>
      </c>
    </row>
    <row r="26830" spans="2:9" ht="15" customHeight="1" x14ac:dyDescent="0.25">
      <c r="B26830" s="55" t="s">
        <v>385</v>
      </c>
      <c r="C26830" s="46">
        <v>49</v>
      </c>
      <c r="D26830" s="69" t="s">
        <v>29522</v>
      </c>
      <c r="E26830" s="62"/>
      <c r="F26830" s="62" t="str">
        <f>IF(INDEX(I.Gas.P2aY2C1E3,49)="","",INDEX(I.Gas.P2aY2C1E3,49))</f>
        <v/>
      </c>
      <c r="G26830" s="62"/>
      <c r="H26830" s="46" t="str">
        <f>IF(OR(I.Developer.P2a=FALSE,I.Facility.StandardPart="Part 2"),"Complete",IF(I.Product.P2aGasToPowerStatus&lt;&gt;"Yes","Complete",IF(AND(I.Gas.P2aY2Count&gt;=49,F26830=""),"Incomplete","Complete")))</f>
        <v>Complete</v>
      </c>
      <c r="I26830" s="48" t="s">
        <v>2009</v>
      </c>
    </row>
    <row r="26831" spans="2:9" ht="15" customHeight="1" x14ac:dyDescent="0.25">
      <c r="B26831" s="56" t="s">
        <v>385</v>
      </c>
      <c r="C26831" s="57">
        <v>50</v>
      </c>
      <c r="D26831" s="71" t="s">
        <v>29522</v>
      </c>
      <c r="E26831" s="61"/>
      <c r="F26831" s="61" t="str">
        <f>IF(INDEX(I.Gas.P2aY2C1E3,50)="","",INDEX(I.Gas.P2aY2C1E3,50))</f>
        <v/>
      </c>
      <c r="G26831" s="61"/>
      <c r="H26831" s="57" t="str">
        <f>IF(OR(I.Developer.P2a=FALSE,I.Facility.StandardPart="Part 2"),"Complete",IF(I.Product.P2aGasToPowerStatus&lt;&gt;"Yes","Complete",IF(AND(I.Gas.P2aY2Count&gt;=50,F26831=""),"Incomplete","Complete")))</f>
        <v>Complete</v>
      </c>
      <c r="I26831" s="49" t="s">
        <v>2010</v>
      </c>
    </row>
    <row r="26832" spans="2:9" ht="15" customHeight="1" x14ac:dyDescent="0.25">
      <c r="B26832" s="56" t="s">
        <v>386</v>
      </c>
      <c r="C26832" s="57">
        <v>1</v>
      </c>
      <c r="D26832" s="71" t="s">
        <v>29523</v>
      </c>
      <c r="E26832" s="60"/>
      <c r="F26832" s="60" t="str">
        <f>IF(INDEX(I.Gas.P2bY1Count,1)="","",INDEX(I.Gas.P2bY1Count,1))</f>
        <v/>
      </c>
      <c r="G26832" s="60"/>
      <c r="H26832" s="57" t="str">
        <f>IF(I.Developer.P2b=FALSE,"Complete",IF(I.Product.P2bGasToPowerStatus&lt;&gt;"Yes","Complete",IF(I.Gas.P2bY1Count="","Incomplete","Complete")))</f>
        <v>Complete</v>
      </c>
      <c r="I26832" s="49" t="s">
        <v>2011</v>
      </c>
    </row>
    <row r="26833" spans="2:9" ht="15" customHeight="1" x14ac:dyDescent="0.25">
      <c r="B26833" s="55" t="s">
        <v>387</v>
      </c>
      <c r="C26833" s="46">
        <v>1</v>
      </c>
      <c r="D26833" s="69" t="s">
        <v>29524</v>
      </c>
      <c r="E26833" s="62"/>
      <c r="F26833" s="62" t="str">
        <f>IF(INDEX(I.Gas.P2bY1AssociatedGasEnergy,1)="","",INDEX(I.Gas.P2bY1AssociatedGasEnergy,1))</f>
        <v/>
      </c>
      <c r="G26833" s="62"/>
      <c r="H26833" s="46" t="str">
        <f>IF(I.Developer.P2b=FALSE,"Complete",IF(I.Product.P2bGasToPowerStatus&lt;&gt;"Yes","Complete",IF(AND(I.Gas.P2bY1Count&gt;=1,F26833=""),"Incomplete","Complete")))</f>
        <v>Complete</v>
      </c>
      <c r="I26833" s="48" t="s">
        <v>2012</v>
      </c>
    </row>
    <row r="26834" spans="2:9" ht="15" customHeight="1" x14ac:dyDescent="0.25">
      <c r="B26834" s="55" t="s">
        <v>387</v>
      </c>
      <c r="C26834" s="46">
        <v>2</v>
      </c>
      <c r="D26834" s="69" t="s">
        <v>29524</v>
      </c>
      <c r="E26834" s="62"/>
      <c r="F26834" s="62" t="str">
        <f>IF(INDEX(I.Gas.P2bY1AssociatedGasEnergy,2)="","",INDEX(I.Gas.P2bY1AssociatedGasEnergy,2))</f>
        <v/>
      </c>
      <c r="G26834" s="62"/>
      <c r="H26834" s="46" t="str">
        <f>IF(I.Developer.P2b=FALSE,"Complete",IF(I.Product.P2bGasToPowerStatus&lt;&gt;"Yes","Complete",IF(AND(I.Gas.P2bY1Count&gt;=2,F26834=""),"Incomplete","Complete")))</f>
        <v>Complete</v>
      </c>
      <c r="I26834" s="48" t="s">
        <v>2013</v>
      </c>
    </row>
    <row r="26835" spans="2:9" ht="15" customHeight="1" x14ac:dyDescent="0.25">
      <c r="B26835" s="55" t="s">
        <v>387</v>
      </c>
      <c r="C26835" s="46">
        <v>3</v>
      </c>
      <c r="D26835" s="69" t="s">
        <v>29524</v>
      </c>
      <c r="E26835" s="62"/>
      <c r="F26835" s="62" t="str">
        <f>IF(INDEX(I.Gas.P2bY1AssociatedGasEnergy,3)="","",INDEX(I.Gas.P2bY1AssociatedGasEnergy,3))</f>
        <v/>
      </c>
      <c r="G26835" s="62"/>
      <c r="H26835" s="46" t="str">
        <f>IF(I.Developer.P2b=FALSE,"Complete",IF(I.Product.P2bGasToPowerStatus&lt;&gt;"Yes","Complete",IF(AND(I.Gas.P2bY1Count&gt;=3,F26835=""),"Incomplete","Complete")))</f>
        <v>Complete</v>
      </c>
      <c r="I26835" s="48" t="s">
        <v>2014</v>
      </c>
    </row>
    <row r="26836" spans="2:9" ht="15" customHeight="1" x14ac:dyDescent="0.25">
      <c r="B26836" s="55" t="s">
        <v>387</v>
      </c>
      <c r="C26836" s="46">
        <v>4</v>
      </c>
      <c r="D26836" s="69" t="s">
        <v>29524</v>
      </c>
      <c r="E26836" s="62"/>
      <c r="F26836" s="62" t="str">
        <f>IF(INDEX(I.Gas.P2bY1AssociatedGasEnergy,4)="","",INDEX(I.Gas.P2bY1AssociatedGasEnergy,4))</f>
        <v/>
      </c>
      <c r="G26836" s="62"/>
      <c r="H26836" s="46" t="str">
        <f>IF(I.Developer.P2b=FALSE,"Complete",IF(I.Product.P2bGasToPowerStatus&lt;&gt;"Yes","Complete",IF(AND(I.Gas.P2bY1Count&gt;=4,F26836=""),"Incomplete","Complete")))</f>
        <v>Complete</v>
      </c>
      <c r="I26836" s="48" t="s">
        <v>2015</v>
      </c>
    </row>
    <row r="26837" spans="2:9" ht="15" customHeight="1" x14ac:dyDescent="0.25">
      <c r="B26837" s="55" t="s">
        <v>387</v>
      </c>
      <c r="C26837" s="46">
        <v>5</v>
      </c>
      <c r="D26837" s="69" t="s">
        <v>29524</v>
      </c>
      <c r="E26837" s="62"/>
      <c r="F26837" s="62" t="str">
        <f>IF(INDEX(I.Gas.P2bY1AssociatedGasEnergy,5)="","",INDEX(I.Gas.P2bY1AssociatedGasEnergy,5))</f>
        <v/>
      </c>
      <c r="G26837" s="62"/>
      <c r="H26837" s="46" t="str">
        <f>IF(I.Developer.P2b=FALSE,"Complete",IF(I.Product.P2bGasToPowerStatus&lt;&gt;"Yes","Complete",IF(AND(I.Gas.P2bY1Count&gt;=5,F26837=""),"Incomplete","Complete")))</f>
        <v>Complete</v>
      </c>
      <c r="I26837" s="48" t="s">
        <v>2016</v>
      </c>
    </row>
    <row r="26838" spans="2:9" ht="15" customHeight="1" x14ac:dyDescent="0.25">
      <c r="B26838" s="55" t="s">
        <v>387</v>
      </c>
      <c r="C26838" s="46">
        <v>6</v>
      </c>
      <c r="D26838" s="69" t="s">
        <v>29524</v>
      </c>
      <c r="E26838" s="62"/>
      <c r="F26838" s="62" t="str">
        <f>IF(INDEX(I.Gas.P2bY1AssociatedGasEnergy,6)="","",INDEX(I.Gas.P2bY1AssociatedGasEnergy,6))</f>
        <v/>
      </c>
      <c r="G26838" s="62"/>
      <c r="H26838" s="46" t="str">
        <f>IF(I.Developer.P2b=FALSE,"Complete",IF(I.Product.P2bGasToPowerStatus&lt;&gt;"Yes","Complete",IF(AND(I.Gas.P2bY1Count&gt;=6,F26838=""),"Incomplete","Complete")))</f>
        <v>Complete</v>
      </c>
      <c r="I26838" s="48" t="s">
        <v>2017</v>
      </c>
    </row>
    <row r="26839" spans="2:9" ht="15" customHeight="1" x14ac:dyDescent="0.25">
      <c r="B26839" s="55" t="s">
        <v>387</v>
      </c>
      <c r="C26839" s="46">
        <v>7</v>
      </c>
      <c r="D26839" s="69" t="s">
        <v>29524</v>
      </c>
      <c r="E26839" s="62"/>
      <c r="F26839" s="62" t="str">
        <f>IF(INDEX(I.Gas.P2bY1AssociatedGasEnergy,7)="","",INDEX(I.Gas.P2bY1AssociatedGasEnergy,7))</f>
        <v/>
      </c>
      <c r="G26839" s="62"/>
      <c r="H26839" s="46" t="str">
        <f>IF(I.Developer.P2b=FALSE,"Complete",IF(I.Product.P2bGasToPowerStatus&lt;&gt;"Yes","Complete",IF(AND(I.Gas.P2bY1Count&gt;=7,F26839=""),"Incomplete","Complete")))</f>
        <v>Complete</v>
      </c>
      <c r="I26839" s="48" t="s">
        <v>2018</v>
      </c>
    </row>
    <row r="26840" spans="2:9" ht="15" customHeight="1" x14ac:dyDescent="0.25">
      <c r="B26840" s="55" t="s">
        <v>387</v>
      </c>
      <c r="C26840" s="46">
        <v>8</v>
      </c>
      <c r="D26840" s="69" t="s">
        <v>29524</v>
      </c>
      <c r="E26840" s="62"/>
      <c r="F26840" s="62" t="str">
        <f>IF(INDEX(I.Gas.P2bY1AssociatedGasEnergy,8)="","",INDEX(I.Gas.P2bY1AssociatedGasEnergy,8))</f>
        <v/>
      </c>
      <c r="G26840" s="62"/>
      <c r="H26840" s="46" t="str">
        <f>IF(I.Developer.P2b=FALSE,"Complete",IF(I.Product.P2bGasToPowerStatus&lt;&gt;"Yes","Complete",IF(AND(I.Gas.P2bY1Count&gt;=8,F26840=""),"Incomplete","Complete")))</f>
        <v>Complete</v>
      </c>
      <c r="I26840" s="48" t="s">
        <v>2019</v>
      </c>
    </row>
    <row r="26841" spans="2:9" ht="15" customHeight="1" x14ac:dyDescent="0.25">
      <c r="B26841" s="55" t="s">
        <v>387</v>
      </c>
      <c r="C26841" s="46">
        <v>9</v>
      </c>
      <c r="D26841" s="69" t="s">
        <v>29524</v>
      </c>
      <c r="E26841" s="62"/>
      <c r="F26841" s="62" t="str">
        <f>IF(INDEX(I.Gas.P2bY1AssociatedGasEnergy,9)="","",INDEX(I.Gas.P2bY1AssociatedGasEnergy,9))</f>
        <v/>
      </c>
      <c r="G26841" s="62"/>
      <c r="H26841" s="46" t="str">
        <f>IF(I.Developer.P2b=FALSE,"Complete",IF(I.Product.P2bGasToPowerStatus&lt;&gt;"Yes","Complete",IF(AND(I.Gas.P2bY1Count&gt;=9,F26841=""),"Incomplete","Complete")))</f>
        <v>Complete</v>
      </c>
      <c r="I26841" s="48" t="s">
        <v>2020</v>
      </c>
    </row>
    <row r="26842" spans="2:9" ht="15" customHeight="1" x14ac:dyDescent="0.25">
      <c r="B26842" s="55" t="s">
        <v>387</v>
      </c>
      <c r="C26842" s="46">
        <v>10</v>
      </c>
      <c r="D26842" s="69" t="s">
        <v>29524</v>
      </c>
      <c r="E26842" s="62"/>
      <c r="F26842" s="62" t="str">
        <f>IF(INDEX(I.Gas.P2bY1AssociatedGasEnergy,10)="","",INDEX(I.Gas.P2bY1AssociatedGasEnergy,10))</f>
        <v/>
      </c>
      <c r="G26842" s="62"/>
      <c r="H26842" s="46" t="str">
        <f>IF(I.Developer.P2b=FALSE,"Complete",IF(I.Product.P2bGasToPowerStatus&lt;&gt;"Yes","Complete",IF(AND(I.Gas.P2bY1Count&gt;=10,F26842=""),"Incomplete","Complete")))</f>
        <v>Complete</v>
      </c>
      <c r="I26842" s="48" t="s">
        <v>2021</v>
      </c>
    </row>
    <row r="26843" spans="2:9" ht="15" customHeight="1" x14ac:dyDescent="0.25">
      <c r="B26843" s="55" t="s">
        <v>387</v>
      </c>
      <c r="C26843" s="46">
        <v>11</v>
      </c>
      <c r="D26843" s="69" t="s">
        <v>29524</v>
      </c>
      <c r="E26843" s="62"/>
      <c r="F26843" s="62" t="str">
        <f>IF(INDEX(I.Gas.P2bY1AssociatedGasEnergy,11)="","",INDEX(I.Gas.P2bY1AssociatedGasEnergy,11))</f>
        <v/>
      </c>
      <c r="G26843" s="62"/>
      <c r="H26843" s="46" t="str">
        <f>IF(I.Developer.P2b=FALSE,"Complete",IF(I.Product.P2bGasToPowerStatus&lt;&gt;"Yes","Complete",IF(AND(I.Gas.P2bY1Count&gt;=11,F26843=""),"Incomplete","Complete")))</f>
        <v>Complete</v>
      </c>
      <c r="I26843" s="48" t="s">
        <v>2022</v>
      </c>
    </row>
    <row r="26844" spans="2:9" ht="15" customHeight="1" x14ac:dyDescent="0.25">
      <c r="B26844" s="55" t="s">
        <v>387</v>
      </c>
      <c r="C26844" s="46">
        <v>12</v>
      </c>
      <c r="D26844" s="69" t="s">
        <v>29524</v>
      </c>
      <c r="E26844" s="62"/>
      <c r="F26844" s="62" t="str">
        <f>IF(INDEX(I.Gas.P2bY1AssociatedGasEnergy,12)="","",INDEX(I.Gas.P2bY1AssociatedGasEnergy,12))</f>
        <v/>
      </c>
      <c r="G26844" s="62"/>
      <c r="H26844" s="46" t="str">
        <f>IF(I.Developer.P2b=FALSE,"Complete",IF(I.Product.P2bGasToPowerStatus&lt;&gt;"Yes","Complete",IF(AND(I.Gas.P2bY1Count&gt;=12,F26844=""),"Incomplete","Complete")))</f>
        <v>Complete</v>
      </c>
      <c r="I26844" s="48" t="s">
        <v>2023</v>
      </c>
    </row>
    <row r="26845" spans="2:9" ht="15" customHeight="1" x14ac:dyDescent="0.25">
      <c r="B26845" s="55" t="s">
        <v>387</v>
      </c>
      <c r="C26845" s="46">
        <v>13</v>
      </c>
      <c r="D26845" s="69" t="s">
        <v>29524</v>
      </c>
      <c r="E26845" s="62"/>
      <c r="F26845" s="62" t="str">
        <f>IF(INDEX(I.Gas.P2bY1AssociatedGasEnergy,13)="","",INDEX(I.Gas.P2bY1AssociatedGasEnergy,13))</f>
        <v/>
      </c>
      <c r="G26845" s="62"/>
      <c r="H26845" s="46" t="str">
        <f>IF(I.Developer.P2b=FALSE,"Complete",IF(I.Product.P2bGasToPowerStatus&lt;&gt;"Yes","Complete",IF(AND(I.Gas.P2bY1Count&gt;=13,F26845=""),"Incomplete","Complete")))</f>
        <v>Complete</v>
      </c>
      <c r="I26845" s="48" t="s">
        <v>2024</v>
      </c>
    </row>
    <row r="26846" spans="2:9" ht="15" customHeight="1" x14ac:dyDescent="0.25">
      <c r="B26846" s="55" t="s">
        <v>387</v>
      </c>
      <c r="C26846" s="46">
        <v>14</v>
      </c>
      <c r="D26846" s="69" t="s">
        <v>29524</v>
      </c>
      <c r="E26846" s="62"/>
      <c r="F26846" s="62" t="str">
        <f>IF(INDEX(I.Gas.P2bY1AssociatedGasEnergy,14)="","",INDEX(I.Gas.P2bY1AssociatedGasEnergy,14))</f>
        <v/>
      </c>
      <c r="G26846" s="62"/>
      <c r="H26846" s="46" t="str">
        <f>IF(I.Developer.P2b=FALSE,"Complete",IF(I.Product.P2bGasToPowerStatus&lt;&gt;"Yes","Complete",IF(AND(I.Gas.P2bY1Count&gt;=14,F26846=""),"Incomplete","Complete")))</f>
        <v>Complete</v>
      </c>
      <c r="I26846" s="48" t="s">
        <v>2025</v>
      </c>
    </row>
    <row r="26847" spans="2:9" ht="15" customHeight="1" x14ac:dyDescent="0.25">
      <c r="B26847" s="55" t="s">
        <v>387</v>
      </c>
      <c r="C26847" s="46">
        <v>15</v>
      </c>
      <c r="D26847" s="69" t="s">
        <v>29524</v>
      </c>
      <c r="E26847" s="62"/>
      <c r="F26847" s="62" t="str">
        <f>IF(INDEX(I.Gas.P2bY1AssociatedGasEnergy,15)="","",INDEX(I.Gas.P2bY1AssociatedGasEnergy,15))</f>
        <v/>
      </c>
      <c r="G26847" s="62"/>
      <c r="H26847" s="46" t="str">
        <f>IF(I.Developer.P2b=FALSE,"Complete",IF(I.Product.P2bGasToPowerStatus&lt;&gt;"Yes","Complete",IF(AND(I.Gas.P2bY1Count&gt;=15,F26847=""),"Incomplete","Complete")))</f>
        <v>Complete</v>
      </c>
      <c r="I26847" s="48" t="s">
        <v>2026</v>
      </c>
    </row>
    <row r="26848" spans="2:9" ht="15" customHeight="1" x14ac:dyDescent="0.25">
      <c r="B26848" s="55" t="s">
        <v>387</v>
      </c>
      <c r="C26848" s="46">
        <v>16</v>
      </c>
      <c r="D26848" s="69" t="s">
        <v>29524</v>
      </c>
      <c r="E26848" s="62"/>
      <c r="F26848" s="62" t="str">
        <f>IF(INDEX(I.Gas.P2bY1AssociatedGasEnergy,16)="","",INDEX(I.Gas.P2bY1AssociatedGasEnergy,16))</f>
        <v/>
      </c>
      <c r="G26848" s="62"/>
      <c r="H26848" s="46" t="str">
        <f>IF(I.Developer.P2b=FALSE,"Complete",IF(I.Product.P2bGasToPowerStatus&lt;&gt;"Yes","Complete",IF(AND(I.Gas.P2bY1Count&gt;=16,F26848=""),"Incomplete","Complete")))</f>
        <v>Complete</v>
      </c>
      <c r="I26848" s="48" t="s">
        <v>2027</v>
      </c>
    </row>
    <row r="26849" spans="2:9" ht="15" customHeight="1" x14ac:dyDescent="0.25">
      <c r="B26849" s="55" t="s">
        <v>387</v>
      </c>
      <c r="C26849" s="46">
        <v>17</v>
      </c>
      <c r="D26849" s="69" t="s">
        <v>29524</v>
      </c>
      <c r="E26849" s="62"/>
      <c r="F26849" s="62" t="str">
        <f>IF(INDEX(I.Gas.P2bY1AssociatedGasEnergy,17)="","",INDEX(I.Gas.P2bY1AssociatedGasEnergy,17))</f>
        <v/>
      </c>
      <c r="G26849" s="62"/>
      <c r="H26849" s="46" t="str">
        <f>IF(I.Developer.P2b=FALSE,"Complete",IF(I.Product.P2bGasToPowerStatus&lt;&gt;"Yes","Complete",IF(AND(I.Gas.P2bY1Count&gt;=17,F26849=""),"Incomplete","Complete")))</f>
        <v>Complete</v>
      </c>
      <c r="I26849" s="48" t="s">
        <v>2028</v>
      </c>
    </row>
    <row r="26850" spans="2:9" ht="15" customHeight="1" x14ac:dyDescent="0.25">
      <c r="B26850" s="55" t="s">
        <v>387</v>
      </c>
      <c r="C26850" s="46">
        <v>18</v>
      </c>
      <c r="D26850" s="69" t="s">
        <v>29524</v>
      </c>
      <c r="E26850" s="62"/>
      <c r="F26850" s="62" t="str">
        <f>IF(INDEX(I.Gas.P2bY1AssociatedGasEnergy,18)="","",INDEX(I.Gas.P2bY1AssociatedGasEnergy,18))</f>
        <v/>
      </c>
      <c r="G26850" s="62"/>
      <c r="H26850" s="46" t="str">
        <f>IF(I.Developer.P2b=FALSE,"Complete",IF(I.Product.P2bGasToPowerStatus&lt;&gt;"Yes","Complete",IF(AND(I.Gas.P2bY1Count&gt;=18,F26850=""),"Incomplete","Complete")))</f>
        <v>Complete</v>
      </c>
      <c r="I26850" s="48" t="s">
        <v>2029</v>
      </c>
    </row>
    <row r="26851" spans="2:9" ht="15" customHeight="1" x14ac:dyDescent="0.25">
      <c r="B26851" s="55" t="s">
        <v>387</v>
      </c>
      <c r="C26851" s="46">
        <v>19</v>
      </c>
      <c r="D26851" s="69" t="s">
        <v>29524</v>
      </c>
      <c r="E26851" s="62"/>
      <c r="F26851" s="62" t="str">
        <f>IF(INDEX(I.Gas.P2bY1AssociatedGasEnergy,19)="","",INDEX(I.Gas.P2bY1AssociatedGasEnergy,19))</f>
        <v/>
      </c>
      <c r="G26851" s="62"/>
      <c r="H26851" s="46" t="str">
        <f>IF(I.Developer.P2b=FALSE,"Complete",IF(I.Product.P2bGasToPowerStatus&lt;&gt;"Yes","Complete",IF(AND(I.Gas.P2bY1Count&gt;=19,F26851=""),"Incomplete","Complete")))</f>
        <v>Complete</v>
      </c>
      <c r="I26851" s="48" t="s">
        <v>2030</v>
      </c>
    </row>
    <row r="26852" spans="2:9" ht="15" customHeight="1" x14ac:dyDescent="0.25">
      <c r="B26852" s="55" t="s">
        <v>387</v>
      </c>
      <c r="C26852" s="46">
        <v>20</v>
      </c>
      <c r="D26852" s="69" t="s">
        <v>29524</v>
      </c>
      <c r="E26852" s="62"/>
      <c r="F26852" s="62" t="str">
        <f>IF(INDEX(I.Gas.P2bY1AssociatedGasEnergy,20)="","",INDEX(I.Gas.P2bY1AssociatedGasEnergy,20))</f>
        <v/>
      </c>
      <c r="G26852" s="62"/>
      <c r="H26852" s="46" t="str">
        <f>IF(I.Developer.P2b=FALSE,"Complete",IF(I.Product.P2bGasToPowerStatus&lt;&gt;"Yes","Complete",IF(AND(I.Gas.P2bY1Count&gt;=20,F26852=""),"Incomplete","Complete")))</f>
        <v>Complete</v>
      </c>
      <c r="I26852" s="48" t="s">
        <v>2031</v>
      </c>
    </row>
    <row r="26853" spans="2:9" ht="15" customHeight="1" x14ac:dyDescent="0.25">
      <c r="B26853" s="55" t="s">
        <v>387</v>
      </c>
      <c r="C26853" s="46">
        <v>21</v>
      </c>
      <c r="D26853" s="69" t="s">
        <v>29524</v>
      </c>
      <c r="E26853" s="62"/>
      <c r="F26853" s="62" t="str">
        <f>IF(INDEX(I.Gas.P2bY1AssociatedGasEnergy,21)="","",INDEX(I.Gas.P2bY1AssociatedGasEnergy,21))</f>
        <v/>
      </c>
      <c r="G26853" s="62"/>
      <c r="H26853" s="46" t="str">
        <f>IF(I.Developer.P2b=FALSE,"Complete",IF(I.Product.P2bGasToPowerStatus&lt;&gt;"Yes","Complete",IF(AND(I.Gas.P2bY1Count&gt;=21,F26853=""),"Incomplete","Complete")))</f>
        <v>Complete</v>
      </c>
      <c r="I26853" s="48" t="s">
        <v>2032</v>
      </c>
    </row>
    <row r="26854" spans="2:9" ht="15" customHeight="1" x14ac:dyDescent="0.25">
      <c r="B26854" s="55" t="s">
        <v>387</v>
      </c>
      <c r="C26854" s="46">
        <v>22</v>
      </c>
      <c r="D26854" s="69" t="s">
        <v>29524</v>
      </c>
      <c r="E26854" s="62"/>
      <c r="F26854" s="62" t="str">
        <f>IF(INDEX(I.Gas.P2bY1AssociatedGasEnergy,22)="","",INDEX(I.Gas.P2bY1AssociatedGasEnergy,22))</f>
        <v/>
      </c>
      <c r="G26854" s="62"/>
      <c r="H26854" s="46" t="str">
        <f>IF(I.Developer.P2b=FALSE,"Complete",IF(I.Product.P2bGasToPowerStatus&lt;&gt;"Yes","Complete",IF(AND(I.Gas.P2bY1Count&gt;=22,F26854=""),"Incomplete","Complete")))</f>
        <v>Complete</v>
      </c>
      <c r="I26854" s="48" t="s">
        <v>2033</v>
      </c>
    </row>
    <row r="26855" spans="2:9" ht="15" customHeight="1" x14ac:dyDescent="0.25">
      <c r="B26855" s="55" t="s">
        <v>387</v>
      </c>
      <c r="C26855" s="46">
        <v>23</v>
      </c>
      <c r="D26855" s="69" t="s">
        <v>29524</v>
      </c>
      <c r="E26855" s="62"/>
      <c r="F26855" s="62" t="str">
        <f>IF(INDEX(I.Gas.P2bY1AssociatedGasEnergy,23)="","",INDEX(I.Gas.P2bY1AssociatedGasEnergy,23))</f>
        <v/>
      </c>
      <c r="G26855" s="62"/>
      <c r="H26855" s="46" t="str">
        <f>IF(I.Developer.P2b=FALSE,"Complete",IF(I.Product.P2bGasToPowerStatus&lt;&gt;"Yes","Complete",IF(AND(I.Gas.P2bY1Count&gt;=23,F26855=""),"Incomplete","Complete")))</f>
        <v>Complete</v>
      </c>
      <c r="I26855" s="48" t="s">
        <v>2034</v>
      </c>
    </row>
    <row r="26856" spans="2:9" ht="15" customHeight="1" x14ac:dyDescent="0.25">
      <c r="B26856" s="55" t="s">
        <v>387</v>
      </c>
      <c r="C26856" s="46">
        <v>24</v>
      </c>
      <c r="D26856" s="69" t="s">
        <v>29524</v>
      </c>
      <c r="E26856" s="62"/>
      <c r="F26856" s="62" t="str">
        <f>IF(INDEX(I.Gas.P2bY1AssociatedGasEnergy,24)="","",INDEX(I.Gas.P2bY1AssociatedGasEnergy,24))</f>
        <v/>
      </c>
      <c r="G26856" s="62"/>
      <c r="H26856" s="46" t="str">
        <f>IF(I.Developer.P2b=FALSE,"Complete",IF(I.Product.P2bGasToPowerStatus&lt;&gt;"Yes","Complete",IF(AND(I.Gas.P2bY1Count&gt;=24,F26856=""),"Incomplete","Complete")))</f>
        <v>Complete</v>
      </c>
      <c r="I26856" s="48" t="s">
        <v>2035</v>
      </c>
    </row>
    <row r="26857" spans="2:9" ht="15" customHeight="1" x14ac:dyDescent="0.25">
      <c r="B26857" s="55" t="s">
        <v>387</v>
      </c>
      <c r="C26857" s="46">
        <v>25</v>
      </c>
      <c r="D26857" s="69" t="s">
        <v>29524</v>
      </c>
      <c r="E26857" s="62"/>
      <c r="F26857" s="62" t="str">
        <f>IF(INDEX(I.Gas.P2bY1AssociatedGasEnergy,25)="","",INDEX(I.Gas.P2bY1AssociatedGasEnergy,25))</f>
        <v/>
      </c>
      <c r="G26857" s="62"/>
      <c r="H26857" s="46" t="str">
        <f>IF(I.Developer.P2b=FALSE,"Complete",IF(I.Product.P2bGasToPowerStatus&lt;&gt;"Yes","Complete",IF(AND(I.Gas.P2bY1Count&gt;=25,F26857=""),"Incomplete","Complete")))</f>
        <v>Complete</v>
      </c>
      <c r="I26857" s="48" t="s">
        <v>2036</v>
      </c>
    </row>
    <row r="26858" spans="2:9" ht="15" customHeight="1" x14ac:dyDescent="0.25">
      <c r="B26858" s="55" t="s">
        <v>387</v>
      </c>
      <c r="C26858" s="46">
        <v>26</v>
      </c>
      <c r="D26858" s="69" t="s">
        <v>29524</v>
      </c>
      <c r="E26858" s="62"/>
      <c r="F26858" s="62" t="str">
        <f>IF(INDEX(I.Gas.P2bY1AssociatedGasEnergy,26)="","",INDEX(I.Gas.P2bY1AssociatedGasEnergy,26))</f>
        <v/>
      </c>
      <c r="G26858" s="62"/>
      <c r="H26858" s="46" t="str">
        <f>IF(I.Developer.P2b=FALSE,"Complete",IF(I.Product.P2bGasToPowerStatus&lt;&gt;"Yes","Complete",IF(AND(I.Gas.P2bY1Count&gt;=26,F26858=""),"Incomplete","Complete")))</f>
        <v>Complete</v>
      </c>
      <c r="I26858" s="48" t="s">
        <v>2037</v>
      </c>
    </row>
    <row r="26859" spans="2:9" ht="15" customHeight="1" x14ac:dyDescent="0.25">
      <c r="B26859" s="55" t="s">
        <v>387</v>
      </c>
      <c r="C26859" s="46">
        <v>27</v>
      </c>
      <c r="D26859" s="69" t="s">
        <v>29524</v>
      </c>
      <c r="E26859" s="62"/>
      <c r="F26859" s="62" t="str">
        <f>IF(INDEX(I.Gas.P2bY1AssociatedGasEnergy,27)="","",INDEX(I.Gas.P2bY1AssociatedGasEnergy,27))</f>
        <v/>
      </c>
      <c r="G26859" s="62"/>
      <c r="H26859" s="46" t="str">
        <f>IF(I.Developer.P2b=FALSE,"Complete",IF(I.Product.P2bGasToPowerStatus&lt;&gt;"Yes","Complete",IF(AND(I.Gas.P2bY1Count&gt;=27,F26859=""),"Incomplete","Complete")))</f>
        <v>Complete</v>
      </c>
      <c r="I26859" s="48" t="s">
        <v>2038</v>
      </c>
    </row>
    <row r="26860" spans="2:9" ht="15" customHeight="1" x14ac:dyDescent="0.25">
      <c r="B26860" s="55" t="s">
        <v>387</v>
      </c>
      <c r="C26860" s="46">
        <v>28</v>
      </c>
      <c r="D26860" s="69" t="s">
        <v>29524</v>
      </c>
      <c r="E26860" s="62"/>
      <c r="F26860" s="62" t="str">
        <f>IF(INDEX(I.Gas.P2bY1AssociatedGasEnergy,28)="","",INDEX(I.Gas.P2bY1AssociatedGasEnergy,28))</f>
        <v/>
      </c>
      <c r="G26860" s="62"/>
      <c r="H26860" s="46" t="str">
        <f>IF(I.Developer.P2b=FALSE,"Complete",IF(I.Product.P2bGasToPowerStatus&lt;&gt;"Yes","Complete",IF(AND(I.Gas.P2bY1Count&gt;=28,F26860=""),"Incomplete","Complete")))</f>
        <v>Complete</v>
      </c>
      <c r="I26860" s="48" t="s">
        <v>2039</v>
      </c>
    </row>
    <row r="26861" spans="2:9" ht="15" customHeight="1" x14ac:dyDescent="0.25">
      <c r="B26861" s="55" t="s">
        <v>387</v>
      </c>
      <c r="C26861" s="46">
        <v>29</v>
      </c>
      <c r="D26861" s="69" t="s">
        <v>29524</v>
      </c>
      <c r="E26861" s="62"/>
      <c r="F26861" s="62" t="str">
        <f>IF(INDEX(I.Gas.P2bY1AssociatedGasEnergy,29)="","",INDEX(I.Gas.P2bY1AssociatedGasEnergy,29))</f>
        <v/>
      </c>
      <c r="G26861" s="62"/>
      <c r="H26861" s="46" t="str">
        <f>IF(I.Developer.P2b=FALSE,"Complete",IF(I.Product.P2bGasToPowerStatus&lt;&gt;"Yes","Complete",IF(AND(I.Gas.P2bY1Count&gt;=29,F26861=""),"Incomplete","Complete")))</f>
        <v>Complete</v>
      </c>
      <c r="I26861" s="48" t="s">
        <v>2040</v>
      </c>
    </row>
    <row r="26862" spans="2:9" ht="15" customHeight="1" x14ac:dyDescent="0.25">
      <c r="B26862" s="55" t="s">
        <v>387</v>
      </c>
      <c r="C26862" s="46">
        <v>30</v>
      </c>
      <c r="D26862" s="69" t="s">
        <v>29524</v>
      </c>
      <c r="E26862" s="62"/>
      <c r="F26862" s="62" t="str">
        <f>IF(INDEX(I.Gas.P2bY1AssociatedGasEnergy,30)="","",INDEX(I.Gas.P2bY1AssociatedGasEnergy,30))</f>
        <v/>
      </c>
      <c r="G26862" s="62"/>
      <c r="H26862" s="46" t="str">
        <f>IF(I.Developer.P2b=FALSE,"Complete",IF(I.Product.P2bGasToPowerStatus&lt;&gt;"Yes","Complete",IF(AND(I.Gas.P2bY1Count&gt;=30,F26862=""),"Incomplete","Complete")))</f>
        <v>Complete</v>
      </c>
      <c r="I26862" s="48" t="s">
        <v>2041</v>
      </c>
    </row>
    <row r="26863" spans="2:9" ht="15" customHeight="1" x14ac:dyDescent="0.25">
      <c r="B26863" s="55" t="s">
        <v>387</v>
      </c>
      <c r="C26863" s="46">
        <v>31</v>
      </c>
      <c r="D26863" s="69" t="s">
        <v>29524</v>
      </c>
      <c r="E26863" s="62"/>
      <c r="F26863" s="62" t="str">
        <f>IF(INDEX(I.Gas.P2bY1AssociatedGasEnergy,31)="","",INDEX(I.Gas.P2bY1AssociatedGasEnergy,31))</f>
        <v/>
      </c>
      <c r="G26863" s="62"/>
      <c r="H26863" s="46" t="str">
        <f>IF(I.Developer.P2b=FALSE,"Complete",IF(I.Product.P2bGasToPowerStatus&lt;&gt;"Yes","Complete",IF(AND(I.Gas.P2bY1Count&gt;=31,F26863=""),"Incomplete","Complete")))</f>
        <v>Complete</v>
      </c>
      <c r="I26863" s="48" t="s">
        <v>2042</v>
      </c>
    </row>
    <row r="26864" spans="2:9" ht="15" customHeight="1" x14ac:dyDescent="0.25">
      <c r="B26864" s="55" t="s">
        <v>387</v>
      </c>
      <c r="C26864" s="46">
        <v>32</v>
      </c>
      <c r="D26864" s="69" t="s">
        <v>29524</v>
      </c>
      <c r="E26864" s="62"/>
      <c r="F26864" s="62" t="str">
        <f>IF(INDEX(I.Gas.P2bY1AssociatedGasEnergy,32)="","",INDEX(I.Gas.P2bY1AssociatedGasEnergy,32))</f>
        <v/>
      </c>
      <c r="G26864" s="62"/>
      <c r="H26864" s="46" t="str">
        <f>IF(I.Developer.P2b=FALSE,"Complete",IF(I.Product.P2bGasToPowerStatus&lt;&gt;"Yes","Complete",IF(AND(I.Gas.P2bY1Count&gt;=32,F26864=""),"Incomplete","Complete")))</f>
        <v>Complete</v>
      </c>
      <c r="I26864" s="48" t="s">
        <v>2043</v>
      </c>
    </row>
    <row r="26865" spans="2:9" ht="15" customHeight="1" x14ac:dyDescent="0.25">
      <c r="B26865" s="55" t="s">
        <v>387</v>
      </c>
      <c r="C26865" s="46">
        <v>33</v>
      </c>
      <c r="D26865" s="69" t="s">
        <v>29524</v>
      </c>
      <c r="E26865" s="62"/>
      <c r="F26865" s="62" t="str">
        <f>IF(INDEX(I.Gas.P2bY1AssociatedGasEnergy,33)="","",INDEX(I.Gas.P2bY1AssociatedGasEnergy,33))</f>
        <v/>
      </c>
      <c r="G26865" s="62"/>
      <c r="H26865" s="46" t="str">
        <f>IF(I.Developer.P2b=FALSE,"Complete",IF(I.Product.P2bGasToPowerStatus&lt;&gt;"Yes","Complete",IF(AND(I.Gas.P2bY1Count&gt;=33,F26865=""),"Incomplete","Complete")))</f>
        <v>Complete</v>
      </c>
      <c r="I26865" s="48" t="s">
        <v>2044</v>
      </c>
    </row>
    <row r="26866" spans="2:9" ht="15" customHeight="1" x14ac:dyDescent="0.25">
      <c r="B26866" s="55" t="s">
        <v>387</v>
      </c>
      <c r="C26866" s="46">
        <v>34</v>
      </c>
      <c r="D26866" s="69" t="s">
        <v>29524</v>
      </c>
      <c r="E26866" s="62"/>
      <c r="F26866" s="62" t="str">
        <f>IF(INDEX(I.Gas.P2bY1AssociatedGasEnergy,34)="","",INDEX(I.Gas.P2bY1AssociatedGasEnergy,34))</f>
        <v/>
      </c>
      <c r="G26866" s="62"/>
      <c r="H26866" s="46" t="str">
        <f>IF(I.Developer.P2b=FALSE,"Complete",IF(I.Product.P2bGasToPowerStatus&lt;&gt;"Yes","Complete",IF(AND(I.Gas.P2bY1Count&gt;=34,F26866=""),"Incomplete","Complete")))</f>
        <v>Complete</v>
      </c>
      <c r="I26866" s="48" t="s">
        <v>2045</v>
      </c>
    </row>
    <row r="26867" spans="2:9" ht="15" customHeight="1" x14ac:dyDescent="0.25">
      <c r="B26867" s="55" t="s">
        <v>387</v>
      </c>
      <c r="C26867" s="46">
        <v>35</v>
      </c>
      <c r="D26867" s="69" t="s">
        <v>29524</v>
      </c>
      <c r="E26867" s="62"/>
      <c r="F26867" s="62" t="str">
        <f>IF(INDEX(I.Gas.P2bY1AssociatedGasEnergy,35)="","",INDEX(I.Gas.P2bY1AssociatedGasEnergy,35))</f>
        <v/>
      </c>
      <c r="G26867" s="62"/>
      <c r="H26867" s="46" t="str">
        <f>IF(I.Developer.P2b=FALSE,"Complete",IF(I.Product.P2bGasToPowerStatus&lt;&gt;"Yes","Complete",IF(AND(I.Gas.P2bY1Count&gt;=35,F26867=""),"Incomplete","Complete")))</f>
        <v>Complete</v>
      </c>
      <c r="I26867" s="48" t="s">
        <v>2046</v>
      </c>
    </row>
    <row r="26868" spans="2:9" ht="15" customHeight="1" x14ac:dyDescent="0.25">
      <c r="B26868" s="55" t="s">
        <v>387</v>
      </c>
      <c r="C26868" s="46">
        <v>36</v>
      </c>
      <c r="D26868" s="69" t="s">
        <v>29524</v>
      </c>
      <c r="E26868" s="62"/>
      <c r="F26868" s="62" t="str">
        <f>IF(INDEX(I.Gas.P2bY1AssociatedGasEnergy,36)="","",INDEX(I.Gas.P2bY1AssociatedGasEnergy,36))</f>
        <v/>
      </c>
      <c r="G26868" s="62"/>
      <c r="H26868" s="46" t="str">
        <f>IF(I.Developer.P2b=FALSE,"Complete",IF(I.Product.P2bGasToPowerStatus&lt;&gt;"Yes","Complete",IF(AND(I.Gas.P2bY1Count&gt;=36,F26868=""),"Incomplete","Complete")))</f>
        <v>Complete</v>
      </c>
      <c r="I26868" s="48" t="s">
        <v>2047</v>
      </c>
    </row>
    <row r="26869" spans="2:9" ht="15" customHeight="1" x14ac:dyDescent="0.25">
      <c r="B26869" s="55" t="s">
        <v>387</v>
      </c>
      <c r="C26869" s="46">
        <v>37</v>
      </c>
      <c r="D26869" s="69" t="s">
        <v>29524</v>
      </c>
      <c r="E26869" s="62"/>
      <c r="F26869" s="62" t="str">
        <f>IF(INDEX(I.Gas.P2bY1AssociatedGasEnergy,37)="","",INDEX(I.Gas.P2bY1AssociatedGasEnergy,37))</f>
        <v/>
      </c>
      <c r="G26869" s="62"/>
      <c r="H26869" s="46" t="str">
        <f>IF(I.Developer.P2b=FALSE,"Complete",IF(I.Product.P2bGasToPowerStatus&lt;&gt;"Yes","Complete",IF(AND(I.Gas.P2bY1Count&gt;=37,F26869=""),"Incomplete","Complete")))</f>
        <v>Complete</v>
      </c>
      <c r="I26869" s="48" t="s">
        <v>2048</v>
      </c>
    </row>
    <row r="26870" spans="2:9" ht="15" customHeight="1" x14ac:dyDescent="0.25">
      <c r="B26870" s="55" t="s">
        <v>387</v>
      </c>
      <c r="C26870" s="46">
        <v>38</v>
      </c>
      <c r="D26870" s="69" t="s">
        <v>29524</v>
      </c>
      <c r="E26870" s="62"/>
      <c r="F26870" s="62" t="str">
        <f>IF(INDEX(I.Gas.P2bY1AssociatedGasEnergy,38)="","",INDEX(I.Gas.P2bY1AssociatedGasEnergy,38))</f>
        <v/>
      </c>
      <c r="G26870" s="62"/>
      <c r="H26870" s="46" t="str">
        <f>IF(I.Developer.P2b=FALSE,"Complete",IF(I.Product.P2bGasToPowerStatus&lt;&gt;"Yes","Complete",IF(AND(I.Gas.P2bY1Count&gt;=38,F26870=""),"Incomplete","Complete")))</f>
        <v>Complete</v>
      </c>
      <c r="I26870" s="48" t="s">
        <v>2049</v>
      </c>
    </row>
    <row r="26871" spans="2:9" ht="15" customHeight="1" x14ac:dyDescent="0.25">
      <c r="B26871" s="55" t="s">
        <v>387</v>
      </c>
      <c r="C26871" s="46">
        <v>39</v>
      </c>
      <c r="D26871" s="69" t="s">
        <v>29524</v>
      </c>
      <c r="E26871" s="62"/>
      <c r="F26871" s="62" t="str">
        <f>IF(INDEX(I.Gas.P2bY1AssociatedGasEnergy,39)="","",INDEX(I.Gas.P2bY1AssociatedGasEnergy,39))</f>
        <v/>
      </c>
      <c r="G26871" s="62"/>
      <c r="H26871" s="46" t="str">
        <f>IF(I.Developer.P2b=FALSE,"Complete",IF(I.Product.P2bGasToPowerStatus&lt;&gt;"Yes","Complete",IF(AND(I.Gas.P2bY1Count&gt;=39,F26871=""),"Incomplete","Complete")))</f>
        <v>Complete</v>
      </c>
      <c r="I26871" s="48" t="s">
        <v>2050</v>
      </c>
    </row>
    <row r="26872" spans="2:9" ht="15" customHeight="1" x14ac:dyDescent="0.25">
      <c r="B26872" s="55" t="s">
        <v>387</v>
      </c>
      <c r="C26872" s="46">
        <v>40</v>
      </c>
      <c r="D26872" s="69" t="s">
        <v>29524</v>
      </c>
      <c r="E26872" s="62"/>
      <c r="F26872" s="62" t="str">
        <f>IF(INDEX(I.Gas.P2bY1AssociatedGasEnergy,40)="","",INDEX(I.Gas.P2bY1AssociatedGasEnergy,40))</f>
        <v/>
      </c>
      <c r="G26872" s="62"/>
      <c r="H26872" s="46" t="str">
        <f>IF(I.Developer.P2b=FALSE,"Complete",IF(I.Product.P2bGasToPowerStatus&lt;&gt;"Yes","Complete",IF(AND(I.Gas.P2bY1Count&gt;=40,F26872=""),"Incomplete","Complete")))</f>
        <v>Complete</v>
      </c>
      <c r="I26872" s="48" t="s">
        <v>2051</v>
      </c>
    </row>
    <row r="26873" spans="2:9" ht="15" customHeight="1" x14ac:dyDescent="0.25">
      <c r="B26873" s="55" t="s">
        <v>387</v>
      </c>
      <c r="C26873" s="46">
        <v>41</v>
      </c>
      <c r="D26873" s="69" t="s">
        <v>29524</v>
      </c>
      <c r="E26873" s="62"/>
      <c r="F26873" s="62" t="str">
        <f>IF(INDEX(I.Gas.P2bY1AssociatedGasEnergy,41)="","",INDEX(I.Gas.P2bY1AssociatedGasEnergy,41))</f>
        <v/>
      </c>
      <c r="G26873" s="62"/>
      <c r="H26873" s="46" t="str">
        <f>IF(I.Developer.P2b=FALSE,"Complete",IF(I.Product.P2bGasToPowerStatus&lt;&gt;"Yes","Complete",IF(AND(I.Gas.P2bY1Count&gt;=41,F26873=""),"Incomplete","Complete")))</f>
        <v>Complete</v>
      </c>
      <c r="I26873" s="48" t="s">
        <v>2052</v>
      </c>
    </row>
    <row r="26874" spans="2:9" ht="15" customHeight="1" x14ac:dyDescent="0.25">
      <c r="B26874" s="55" t="s">
        <v>387</v>
      </c>
      <c r="C26874" s="46">
        <v>42</v>
      </c>
      <c r="D26874" s="69" t="s">
        <v>29524</v>
      </c>
      <c r="E26874" s="62"/>
      <c r="F26874" s="62" t="str">
        <f>IF(INDEX(I.Gas.P2bY1AssociatedGasEnergy,42)="","",INDEX(I.Gas.P2bY1AssociatedGasEnergy,42))</f>
        <v/>
      </c>
      <c r="G26874" s="62"/>
      <c r="H26874" s="46" t="str">
        <f>IF(I.Developer.P2b=FALSE,"Complete",IF(I.Product.P2bGasToPowerStatus&lt;&gt;"Yes","Complete",IF(AND(I.Gas.P2bY1Count&gt;=42,F26874=""),"Incomplete","Complete")))</f>
        <v>Complete</v>
      </c>
      <c r="I26874" s="48" t="s">
        <v>2053</v>
      </c>
    </row>
    <row r="26875" spans="2:9" ht="15" customHeight="1" x14ac:dyDescent="0.25">
      <c r="B26875" s="55" t="s">
        <v>387</v>
      </c>
      <c r="C26875" s="46">
        <v>43</v>
      </c>
      <c r="D26875" s="69" t="s">
        <v>29524</v>
      </c>
      <c r="E26875" s="62"/>
      <c r="F26875" s="62" t="str">
        <f>IF(INDEX(I.Gas.P2bY1AssociatedGasEnergy,43)="","",INDEX(I.Gas.P2bY1AssociatedGasEnergy,43))</f>
        <v/>
      </c>
      <c r="G26875" s="62"/>
      <c r="H26875" s="46" t="str">
        <f>IF(I.Developer.P2b=FALSE,"Complete",IF(I.Product.P2bGasToPowerStatus&lt;&gt;"Yes","Complete",IF(AND(I.Gas.P2bY1Count&gt;=43,F26875=""),"Incomplete","Complete")))</f>
        <v>Complete</v>
      </c>
      <c r="I26875" s="48" t="s">
        <v>2054</v>
      </c>
    </row>
    <row r="26876" spans="2:9" ht="15" customHeight="1" x14ac:dyDescent="0.25">
      <c r="B26876" s="55" t="s">
        <v>387</v>
      </c>
      <c r="C26876" s="46">
        <v>44</v>
      </c>
      <c r="D26876" s="69" t="s">
        <v>29524</v>
      </c>
      <c r="E26876" s="62"/>
      <c r="F26876" s="62" t="str">
        <f>IF(INDEX(I.Gas.P2bY1AssociatedGasEnergy,44)="","",INDEX(I.Gas.P2bY1AssociatedGasEnergy,44))</f>
        <v/>
      </c>
      <c r="G26876" s="62"/>
      <c r="H26876" s="46" t="str">
        <f>IF(I.Developer.P2b=FALSE,"Complete",IF(I.Product.P2bGasToPowerStatus&lt;&gt;"Yes","Complete",IF(AND(I.Gas.P2bY1Count&gt;=44,F26876=""),"Incomplete","Complete")))</f>
        <v>Complete</v>
      </c>
      <c r="I26876" s="48" t="s">
        <v>2055</v>
      </c>
    </row>
    <row r="26877" spans="2:9" ht="15" customHeight="1" x14ac:dyDescent="0.25">
      <c r="B26877" s="55" t="s">
        <v>387</v>
      </c>
      <c r="C26877" s="46">
        <v>45</v>
      </c>
      <c r="D26877" s="69" t="s">
        <v>29524</v>
      </c>
      <c r="E26877" s="62"/>
      <c r="F26877" s="62" t="str">
        <f>IF(INDEX(I.Gas.P2bY1AssociatedGasEnergy,45)="","",INDEX(I.Gas.P2bY1AssociatedGasEnergy,45))</f>
        <v/>
      </c>
      <c r="G26877" s="62"/>
      <c r="H26877" s="46" t="str">
        <f>IF(I.Developer.P2b=FALSE,"Complete",IF(I.Product.P2bGasToPowerStatus&lt;&gt;"Yes","Complete",IF(AND(I.Gas.P2bY1Count&gt;=45,F26877=""),"Incomplete","Complete")))</f>
        <v>Complete</v>
      </c>
      <c r="I26877" s="48" t="s">
        <v>2056</v>
      </c>
    </row>
    <row r="26878" spans="2:9" ht="15" customHeight="1" x14ac:dyDescent="0.25">
      <c r="B26878" s="55" t="s">
        <v>387</v>
      </c>
      <c r="C26878" s="46">
        <v>46</v>
      </c>
      <c r="D26878" s="69" t="s">
        <v>29524</v>
      </c>
      <c r="E26878" s="62"/>
      <c r="F26878" s="62" t="str">
        <f>IF(INDEX(I.Gas.P2bY1AssociatedGasEnergy,46)="","",INDEX(I.Gas.P2bY1AssociatedGasEnergy,46))</f>
        <v/>
      </c>
      <c r="G26878" s="62"/>
      <c r="H26878" s="46" t="str">
        <f>IF(I.Developer.P2b=FALSE,"Complete",IF(I.Product.P2bGasToPowerStatus&lt;&gt;"Yes","Complete",IF(AND(I.Gas.P2bY1Count&gt;=46,F26878=""),"Incomplete","Complete")))</f>
        <v>Complete</v>
      </c>
      <c r="I26878" s="48" t="s">
        <v>2057</v>
      </c>
    </row>
    <row r="26879" spans="2:9" ht="15" customHeight="1" x14ac:dyDescent="0.25">
      <c r="B26879" s="55" t="s">
        <v>387</v>
      </c>
      <c r="C26879" s="46">
        <v>47</v>
      </c>
      <c r="D26879" s="69" t="s">
        <v>29524</v>
      </c>
      <c r="E26879" s="62"/>
      <c r="F26879" s="62" t="str">
        <f>IF(INDEX(I.Gas.P2bY1AssociatedGasEnergy,47)="","",INDEX(I.Gas.P2bY1AssociatedGasEnergy,47))</f>
        <v/>
      </c>
      <c r="G26879" s="62"/>
      <c r="H26879" s="46" t="str">
        <f>IF(I.Developer.P2b=FALSE,"Complete",IF(I.Product.P2bGasToPowerStatus&lt;&gt;"Yes","Complete",IF(AND(I.Gas.P2bY1Count&gt;=47,F26879=""),"Incomplete","Complete")))</f>
        <v>Complete</v>
      </c>
      <c r="I26879" s="48" t="s">
        <v>2058</v>
      </c>
    </row>
    <row r="26880" spans="2:9" ht="15" customHeight="1" x14ac:dyDescent="0.25">
      <c r="B26880" s="55" t="s">
        <v>387</v>
      </c>
      <c r="C26880" s="46">
        <v>48</v>
      </c>
      <c r="D26880" s="69" t="s">
        <v>29524</v>
      </c>
      <c r="E26880" s="62"/>
      <c r="F26880" s="62" t="str">
        <f>IF(INDEX(I.Gas.P2bY1AssociatedGasEnergy,48)="","",INDEX(I.Gas.P2bY1AssociatedGasEnergy,48))</f>
        <v/>
      </c>
      <c r="G26880" s="62"/>
      <c r="H26880" s="46" t="str">
        <f>IF(I.Developer.P2b=FALSE,"Complete",IF(I.Product.P2bGasToPowerStatus&lt;&gt;"Yes","Complete",IF(AND(I.Gas.P2bY1Count&gt;=48,F26880=""),"Incomplete","Complete")))</f>
        <v>Complete</v>
      </c>
      <c r="I26880" s="48" t="s">
        <v>2059</v>
      </c>
    </row>
    <row r="26881" spans="2:9" ht="15" customHeight="1" x14ac:dyDescent="0.25">
      <c r="B26881" s="55" t="s">
        <v>387</v>
      </c>
      <c r="C26881" s="46">
        <v>49</v>
      </c>
      <c r="D26881" s="69" t="s">
        <v>29524</v>
      </c>
      <c r="E26881" s="62"/>
      <c r="F26881" s="62" t="str">
        <f>IF(INDEX(I.Gas.P2bY1AssociatedGasEnergy,49)="","",INDEX(I.Gas.P2bY1AssociatedGasEnergy,49))</f>
        <v/>
      </c>
      <c r="G26881" s="62"/>
      <c r="H26881" s="46" t="str">
        <f>IF(I.Developer.P2b=FALSE,"Complete",IF(I.Product.P2bGasToPowerStatus&lt;&gt;"Yes","Complete",IF(AND(I.Gas.P2bY1Count&gt;=49,F26881=""),"Incomplete","Complete")))</f>
        <v>Complete</v>
      </c>
      <c r="I26881" s="48" t="s">
        <v>2060</v>
      </c>
    </row>
    <row r="26882" spans="2:9" ht="15" customHeight="1" x14ac:dyDescent="0.25">
      <c r="B26882" s="56" t="s">
        <v>387</v>
      </c>
      <c r="C26882" s="57">
        <v>50</v>
      </c>
      <c r="D26882" s="71" t="s">
        <v>29524</v>
      </c>
      <c r="E26882" s="61"/>
      <c r="F26882" s="61" t="str">
        <f>IF(INDEX(I.Gas.P2bY1AssociatedGasEnergy,50)="","",INDEX(I.Gas.P2bY1AssociatedGasEnergy,50))</f>
        <v/>
      </c>
      <c r="G26882" s="61"/>
      <c r="H26882" s="57" t="str">
        <f>IF(I.Developer.P2b=FALSE,"Complete",IF(I.Product.P2bGasToPowerStatus&lt;&gt;"Yes","Complete",IF(AND(I.Gas.P2bY1Count&gt;=50,F26882=""),"Incomplete","Complete")))</f>
        <v>Complete</v>
      </c>
      <c r="I26882" s="49" t="s">
        <v>2061</v>
      </c>
    </row>
    <row r="26883" spans="2:9" ht="15" customHeight="1" x14ac:dyDescent="0.25">
      <c r="B26883" s="55" t="s">
        <v>388</v>
      </c>
      <c r="C26883" s="46">
        <v>1</v>
      </c>
      <c r="D26883" s="69" t="s">
        <v>29525</v>
      </c>
      <c r="E26883" s="62"/>
      <c r="F26883" s="62" t="str">
        <f>IF(INDEX(I.Gas.P2bY1TotalGasEnergy,1)="","",INDEX(I.Gas.P2bY1TotalGasEnergy,1))</f>
        <v/>
      </c>
      <c r="G26883" s="62"/>
      <c r="H26883" s="46" t="str">
        <f>IF(I.Developer.P2b=FALSE,"Complete",IF(I.Product.P2bGasToPowerStatus&lt;&gt;"Yes","Complete",IF(AND(I.Gas.P2bY1Count&gt;=1,F26883=""),"Incomplete","Complete")))</f>
        <v>Complete</v>
      </c>
      <c r="I26883" s="48" t="s">
        <v>2062</v>
      </c>
    </row>
    <row r="26884" spans="2:9" ht="15" customHeight="1" x14ac:dyDescent="0.25">
      <c r="B26884" s="55" t="s">
        <v>388</v>
      </c>
      <c r="C26884" s="46">
        <v>2</v>
      </c>
      <c r="D26884" s="69" t="s">
        <v>29525</v>
      </c>
      <c r="E26884" s="62"/>
      <c r="F26884" s="62" t="str">
        <f>IF(INDEX(I.Gas.P2bY1TotalGasEnergy,2)="","",INDEX(I.Gas.P2bY1TotalGasEnergy,2))</f>
        <v/>
      </c>
      <c r="G26884" s="62"/>
      <c r="H26884" s="46" t="str">
        <f>IF(I.Developer.P2b=FALSE,"Complete",IF(I.Product.P2bGasToPowerStatus&lt;&gt;"Yes","Complete",IF(AND(I.Gas.P2bY1Count&gt;=2,F26884=""),"Incomplete","Complete")))</f>
        <v>Complete</v>
      </c>
      <c r="I26884" s="48" t="s">
        <v>2063</v>
      </c>
    </row>
    <row r="26885" spans="2:9" ht="15" customHeight="1" x14ac:dyDescent="0.25">
      <c r="B26885" s="55" t="s">
        <v>388</v>
      </c>
      <c r="C26885" s="46">
        <v>3</v>
      </c>
      <c r="D26885" s="69" t="s">
        <v>29525</v>
      </c>
      <c r="E26885" s="62"/>
      <c r="F26885" s="62" t="str">
        <f>IF(INDEX(I.Gas.P2bY1TotalGasEnergy,3)="","",INDEX(I.Gas.P2bY1TotalGasEnergy,3))</f>
        <v/>
      </c>
      <c r="G26885" s="62"/>
      <c r="H26885" s="46" t="str">
        <f>IF(I.Developer.P2b=FALSE,"Complete",IF(I.Product.P2bGasToPowerStatus&lt;&gt;"Yes","Complete",IF(AND(I.Gas.P2bY1Count&gt;=3,F26885=""),"Incomplete","Complete")))</f>
        <v>Complete</v>
      </c>
      <c r="I26885" s="48" t="s">
        <v>2064</v>
      </c>
    </row>
    <row r="26886" spans="2:9" ht="15" customHeight="1" x14ac:dyDescent="0.25">
      <c r="B26886" s="55" t="s">
        <v>388</v>
      </c>
      <c r="C26886" s="46">
        <v>4</v>
      </c>
      <c r="D26886" s="69" t="s">
        <v>29525</v>
      </c>
      <c r="E26886" s="62"/>
      <c r="F26886" s="62" t="str">
        <f>IF(INDEX(I.Gas.P2bY1TotalGasEnergy,4)="","",INDEX(I.Gas.P2bY1TotalGasEnergy,4))</f>
        <v/>
      </c>
      <c r="G26886" s="62"/>
      <c r="H26886" s="46" t="str">
        <f>IF(I.Developer.P2b=FALSE,"Complete",IF(I.Product.P2bGasToPowerStatus&lt;&gt;"Yes","Complete",IF(AND(I.Gas.P2bY1Count&gt;=4,F26886=""),"Incomplete","Complete")))</f>
        <v>Complete</v>
      </c>
      <c r="I26886" s="48" t="s">
        <v>2065</v>
      </c>
    </row>
    <row r="26887" spans="2:9" ht="15" customHeight="1" x14ac:dyDescent="0.25">
      <c r="B26887" s="55" t="s">
        <v>388</v>
      </c>
      <c r="C26887" s="46">
        <v>5</v>
      </c>
      <c r="D26887" s="69" t="s">
        <v>29525</v>
      </c>
      <c r="E26887" s="62"/>
      <c r="F26887" s="62" t="str">
        <f>IF(INDEX(I.Gas.P2bY1TotalGasEnergy,5)="","",INDEX(I.Gas.P2bY1TotalGasEnergy,5))</f>
        <v/>
      </c>
      <c r="G26887" s="62"/>
      <c r="H26887" s="46" t="str">
        <f>IF(I.Developer.P2b=FALSE,"Complete",IF(I.Product.P2bGasToPowerStatus&lt;&gt;"Yes","Complete",IF(AND(I.Gas.P2bY1Count&gt;=5,F26887=""),"Incomplete","Complete")))</f>
        <v>Complete</v>
      </c>
      <c r="I26887" s="48" t="s">
        <v>2066</v>
      </c>
    </row>
    <row r="26888" spans="2:9" ht="15" customHeight="1" x14ac:dyDescent="0.25">
      <c r="B26888" s="55" t="s">
        <v>388</v>
      </c>
      <c r="C26888" s="46">
        <v>6</v>
      </c>
      <c r="D26888" s="69" t="s">
        <v>29525</v>
      </c>
      <c r="E26888" s="62"/>
      <c r="F26888" s="62" t="str">
        <f>IF(INDEX(I.Gas.P2bY1TotalGasEnergy,6)="","",INDEX(I.Gas.P2bY1TotalGasEnergy,6))</f>
        <v/>
      </c>
      <c r="G26888" s="62"/>
      <c r="H26888" s="46" t="str">
        <f>IF(I.Developer.P2b=FALSE,"Complete",IF(I.Product.P2bGasToPowerStatus&lt;&gt;"Yes","Complete",IF(AND(I.Gas.P2bY1Count&gt;=6,F26888=""),"Incomplete","Complete")))</f>
        <v>Complete</v>
      </c>
      <c r="I26888" s="48" t="s">
        <v>2067</v>
      </c>
    </row>
    <row r="26889" spans="2:9" ht="15" customHeight="1" x14ac:dyDescent="0.25">
      <c r="B26889" s="55" t="s">
        <v>388</v>
      </c>
      <c r="C26889" s="46">
        <v>7</v>
      </c>
      <c r="D26889" s="69" t="s">
        <v>29525</v>
      </c>
      <c r="E26889" s="62"/>
      <c r="F26889" s="62" t="str">
        <f>IF(INDEX(I.Gas.P2bY1TotalGasEnergy,7)="","",INDEX(I.Gas.P2bY1TotalGasEnergy,7))</f>
        <v/>
      </c>
      <c r="G26889" s="62"/>
      <c r="H26889" s="46" t="str">
        <f>IF(I.Developer.P2b=FALSE,"Complete",IF(I.Product.P2bGasToPowerStatus&lt;&gt;"Yes","Complete",IF(AND(I.Gas.P2bY1Count&gt;=7,F26889=""),"Incomplete","Complete")))</f>
        <v>Complete</v>
      </c>
      <c r="I26889" s="48" t="s">
        <v>2068</v>
      </c>
    </row>
    <row r="26890" spans="2:9" ht="15" customHeight="1" x14ac:dyDescent="0.25">
      <c r="B26890" s="55" t="s">
        <v>388</v>
      </c>
      <c r="C26890" s="46">
        <v>8</v>
      </c>
      <c r="D26890" s="69" t="s">
        <v>29525</v>
      </c>
      <c r="E26890" s="62"/>
      <c r="F26890" s="62" t="str">
        <f>IF(INDEX(I.Gas.P2bY1TotalGasEnergy,8)="","",INDEX(I.Gas.P2bY1TotalGasEnergy,8))</f>
        <v/>
      </c>
      <c r="G26890" s="62"/>
      <c r="H26890" s="46" t="str">
        <f>IF(I.Developer.P2b=FALSE,"Complete",IF(I.Product.P2bGasToPowerStatus&lt;&gt;"Yes","Complete",IF(AND(I.Gas.P2bY1Count&gt;=8,F26890=""),"Incomplete","Complete")))</f>
        <v>Complete</v>
      </c>
      <c r="I26890" s="48" t="s">
        <v>2069</v>
      </c>
    </row>
    <row r="26891" spans="2:9" ht="15" customHeight="1" x14ac:dyDescent="0.25">
      <c r="B26891" s="55" t="s">
        <v>388</v>
      </c>
      <c r="C26891" s="46">
        <v>9</v>
      </c>
      <c r="D26891" s="69" t="s">
        <v>29525</v>
      </c>
      <c r="E26891" s="62"/>
      <c r="F26891" s="62" t="str">
        <f>IF(INDEX(I.Gas.P2bY1TotalGasEnergy,9)="","",INDEX(I.Gas.P2bY1TotalGasEnergy,9))</f>
        <v/>
      </c>
      <c r="G26891" s="62"/>
      <c r="H26891" s="46" t="str">
        <f>IF(I.Developer.P2b=FALSE,"Complete",IF(I.Product.P2bGasToPowerStatus&lt;&gt;"Yes","Complete",IF(AND(I.Gas.P2bY1Count&gt;=9,F26891=""),"Incomplete","Complete")))</f>
        <v>Complete</v>
      </c>
      <c r="I26891" s="48" t="s">
        <v>2070</v>
      </c>
    </row>
    <row r="26892" spans="2:9" ht="15" customHeight="1" x14ac:dyDescent="0.25">
      <c r="B26892" s="55" t="s">
        <v>388</v>
      </c>
      <c r="C26892" s="46">
        <v>10</v>
      </c>
      <c r="D26892" s="69" t="s">
        <v>29525</v>
      </c>
      <c r="E26892" s="62"/>
      <c r="F26892" s="62" t="str">
        <f>IF(INDEX(I.Gas.P2bY1TotalGasEnergy,10)="","",INDEX(I.Gas.P2bY1TotalGasEnergy,10))</f>
        <v/>
      </c>
      <c r="G26892" s="62"/>
      <c r="H26892" s="46" t="str">
        <f>IF(I.Developer.P2b=FALSE,"Complete",IF(I.Product.P2bGasToPowerStatus&lt;&gt;"Yes","Complete",IF(AND(I.Gas.P2bY1Count&gt;=10,F26892=""),"Incomplete","Complete")))</f>
        <v>Complete</v>
      </c>
      <c r="I26892" s="48" t="s">
        <v>2071</v>
      </c>
    </row>
    <row r="26893" spans="2:9" ht="15" customHeight="1" x14ac:dyDescent="0.25">
      <c r="B26893" s="55" t="s">
        <v>388</v>
      </c>
      <c r="C26893" s="46">
        <v>11</v>
      </c>
      <c r="D26893" s="69" t="s">
        <v>29525</v>
      </c>
      <c r="E26893" s="62"/>
      <c r="F26893" s="62" t="str">
        <f>IF(INDEX(I.Gas.P2bY1TotalGasEnergy,11)="","",INDEX(I.Gas.P2bY1TotalGasEnergy,11))</f>
        <v/>
      </c>
      <c r="G26893" s="62"/>
      <c r="H26893" s="46" t="str">
        <f>IF(I.Developer.P2b=FALSE,"Complete",IF(I.Product.P2bGasToPowerStatus&lt;&gt;"Yes","Complete",IF(AND(I.Gas.P2bY1Count&gt;=11,F26893=""),"Incomplete","Complete")))</f>
        <v>Complete</v>
      </c>
      <c r="I26893" s="48" t="s">
        <v>2072</v>
      </c>
    </row>
    <row r="26894" spans="2:9" ht="15" customHeight="1" x14ac:dyDescent="0.25">
      <c r="B26894" s="55" t="s">
        <v>388</v>
      </c>
      <c r="C26894" s="46">
        <v>12</v>
      </c>
      <c r="D26894" s="69" t="s">
        <v>29525</v>
      </c>
      <c r="E26894" s="62"/>
      <c r="F26894" s="62" t="str">
        <f>IF(INDEX(I.Gas.P2bY1TotalGasEnergy,12)="","",INDEX(I.Gas.P2bY1TotalGasEnergy,12))</f>
        <v/>
      </c>
      <c r="G26894" s="62"/>
      <c r="H26894" s="46" t="str">
        <f>IF(I.Developer.P2b=FALSE,"Complete",IF(I.Product.P2bGasToPowerStatus&lt;&gt;"Yes","Complete",IF(AND(I.Gas.P2bY1Count&gt;=12,F26894=""),"Incomplete","Complete")))</f>
        <v>Complete</v>
      </c>
      <c r="I26894" s="48" t="s">
        <v>2073</v>
      </c>
    </row>
    <row r="26895" spans="2:9" ht="15" customHeight="1" x14ac:dyDescent="0.25">
      <c r="B26895" s="55" t="s">
        <v>388</v>
      </c>
      <c r="C26895" s="46">
        <v>13</v>
      </c>
      <c r="D26895" s="69" t="s">
        <v>29525</v>
      </c>
      <c r="E26895" s="62"/>
      <c r="F26895" s="62" t="str">
        <f>IF(INDEX(I.Gas.P2bY1TotalGasEnergy,13)="","",INDEX(I.Gas.P2bY1TotalGasEnergy,13))</f>
        <v/>
      </c>
      <c r="G26895" s="62"/>
      <c r="H26895" s="46" t="str">
        <f>IF(I.Developer.P2b=FALSE,"Complete",IF(I.Product.P2bGasToPowerStatus&lt;&gt;"Yes","Complete",IF(AND(I.Gas.P2bY1Count&gt;=13,F26895=""),"Incomplete","Complete")))</f>
        <v>Complete</v>
      </c>
      <c r="I26895" s="48" t="s">
        <v>2074</v>
      </c>
    </row>
    <row r="26896" spans="2:9" ht="15" customHeight="1" x14ac:dyDescent="0.25">
      <c r="B26896" s="55" t="s">
        <v>388</v>
      </c>
      <c r="C26896" s="46">
        <v>14</v>
      </c>
      <c r="D26896" s="69" t="s">
        <v>29525</v>
      </c>
      <c r="E26896" s="62"/>
      <c r="F26896" s="62" t="str">
        <f>IF(INDEX(I.Gas.P2bY1TotalGasEnergy,14)="","",INDEX(I.Gas.P2bY1TotalGasEnergy,14))</f>
        <v/>
      </c>
      <c r="G26896" s="62"/>
      <c r="H26896" s="46" t="str">
        <f>IF(I.Developer.P2b=FALSE,"Complete",IF(I.Product.P2bGasToPowerStatus&lt;&gt;"Yes","Complete",IF(AND(I.Gas.P2bY1Count&gt;=14,F26896=""),"Incomplete","Complete")))</f>
        <v>Complete</v>
      </c>
      <c r="I26896" s="48" t="s">
        <v>2075</v>
      </c>
    </row>
    <row r="26897" spans="2:9" ht="15" customHeight="1" x14ac:dyDescent="0.25">
      <c r="B26897" s="55" t="s">
        <v>388</v>
      </c>
      <c r="C26897" s="46">
        <v>15</v>
      </c>
      <c r="D26897" s="69" t="s">
        <v>29525</v>
      </c>
      <c r="E26897" s="62"/>
      <c r="F26897" s="62" t="str">
        <f>IF(INDEX(I.Gas.P2bY1TotalGasEnergy,15)="","",INDEX(I.Gas.P2bY1TotalGasEnergy,15))</f>
        <v/>
      </c>
      <c r="G26897" s="62"/>
      <c r="H26897" s="46" t="str">
        <f>IF(I.Developer.P2b=FALSE,"Complete",IF(I.Product.P2bGasToPowerStatus&lt;&gt;"Yes","Complete",IF(AND(I.Gas.P2bY1Count&gt;=15,F26897=""),"Incomplete","Complete")))</f>
        <v>Complete</v>
      </c>
      <c r="I26897" s="48" t="s">
        <v>2076</v>
      </c>
    </row>
    <row r="26898" spans="2:9" ht="15" customHeight="1" x14ac:dyDescent="0.25">
      <c r="B26898" s="55" t="s">
        <v>388</v>
      </c>
      <c r="C26898" s="46">
        <v>16</v>
      </c>
      <c r="D26898" s="69" t="s">
        <v>29525</v>
      </c>
      <c r="E26898" s="62"/>
      <c r="F26898" s="62" t="str">
        <f>IF(INDEX(I.Gas.P2bY1TotalGasEnergy,16)="","",INDEX(I.Gas.P2bY1TotalGasEnergy,16))</f>
        <v/>
      </c>
      <c r="G26898" s="62"/>
      <c r="H26898" s="46" t="str">
        <f>IF(I.Developer.P2b=FALSE,"Complete",IF(I.Product.P2bGasToPowerStatus&lt;&gt;"Yes","Complete",IF(AND(I.Gas.P2bY1Count&gt;=16,F26898=""),"Incomplete","Complete")))</f>
        <v>Complete</v>
      </c>
      <c r="I26898" s="48" t="s">
        <v>2077</v>
      </c>
    </row>
    <row r="26899" spans="2:9" ht="15" customHeight="1" x14ac:dyDescent="0.25">
      <c r="B26899" s="55" t="s">
        <v>388</v>
      </c>
      <c r="C26899" s="46">
        <v>17</v>
      </c>
      <c r="D26899" s="69" t="s">
        <v>29525</v>
      </c>
      <c r="E26899" s="62"/>
      <c r="F26899" s="62" t="str">
        <f>IF(INDEX(I.Gas.P2bY1TotalGasEnergy,17)="","",INDEX(I.Gas.P2bY1TotalGasEnergy,17))</f>
        <v/>
      </c>
      <c r="G26899" s="62"/>
      <c r="H26899" s="46" t="str">
        <f>IF(I.Developer.P2b=FALSE,"Complete",IF(I.Product.P2bGasToPowerStatus&lt;&gt;"Yes","Complete",IF(AND(I.Gas.P2bY1Count&gt;=17,F26899=""),"Incomplete","Complete")))</f>
        <v>Complete</v>
      </c>
      <c r="I26899" s="48" t="s">
        <v>2078</v>
      </c>
    </row>
    <row r="26900" spans="2:9" ht="15" customHeight="1" x14ac:dyDescent="0.25">
      <c r="B26900" s="55" t="s">
        <v>388</v>
      </c>
      <c r="C26900" s="46">
        <v>18</v>
      </c>
      <c r="D26900" s="69" t="s">
        <v>29525</v>
      </c>
      <c r="E26900" s="62"/>
      <c r="F26900" s="62" t="str">
        <f>IF(INDEX(I.Gas.P2bY1TotalGasEnergy,18)="","",INDEX(I.Gas.P2bY1TotalGasEnergy,18))</f>
        <v/>
      </c>
      <c r="G26900" s="62"/>
      <c r="H26900" s="46" t="str">
        <f>IF(I.Developer.P2b=FALSE,"Complete",IF(I.Product.P2bGasToPowerStatus&lt;&gt;"Yes","Complete",IF(AND(I.Gas.P2bY1Count&gt;=18,F26900=""),"Incomplete","Complete")))</f>
        <v>Complete</v>
      </c>
      <c r="I26900" s="48" t="s">
        <v>2079</v>
      </c>
    </row>
    <row r="26901" spans="2:9" ht="15" customHeight="1" x14ac:dyDescent="0.25">
      <c r="B26901" s="55" t="s">
        <v>388</v>
      </c>
      <c r="C26901" s="46">
        <v>19</v>
      </c>
      <c r="D26901" s="69" t="s">
        <v>29525</v>
      </c>
      <c r="E26901" s="62"/>
      <c r="F26901" s="62" t="str">
        <f>IF(INDEX(I.Gas.P2bY1TotalGasEnergy,19)="","",INDEX(I.Gas.P2bY1TotalGasEnergy,19))</f>
        <v/>
      </c>
      <c r="G26901" s="62"/>
      <c r="H26901" s="46" t="str">
        <f>IF(I.Developer.P2b=FALSE,"Complete",IF(I.Product.P2bGasToPowerStatus&lt;&gt;"Yes","Complete",IF(AND(I.Gas.P2bY1Count&gt;=19,F26901=""),"Incomplete","Complete")))</f>
        <v>Complete</v>
      </c>
      <c r="I26901" s="48" t="s">
        <v>2080</v>
      </c>
    </row>
    <row r="26902" spans="2:9" ht="15" customHeight="1" x14ac:dyDescent="0.25">
      <c r="B26902" s="55" t="s">
        <v>388</v>
      </c>
      <c r="C26902" s="46">
        <v>20</v>
      </c>
      <c r="D26902" s="69" t="s">
        <v>29525</v>
      </c>
      <c r="E26902" s="62"/>
      <c r="F26902" s="62" t="str">
        <f>IF(INDEX(I.Gas.P2bY1TotalGasEnergy,20)="","",INDEX(I.Gas.P2bY1TotalGasEnergy,20))</f>
        <v/>
      </c>
      <c r="G26902" s="62"/>
      <c r="H26902" s="46" t="str">
        <f>IF(I.Developer.P2b=FALSE,"Complete",IF(I.Product.P2bGasToPowerStatus&lt;&gt;"Yes","Complete",IF(AND(I.Gas.P2bY1Count&gt;=20,F26902=""),"Incomplete","Complete")))</f>
        <v>Complete</v>
      </c>
      <c r="I26902" s="48" t="s">
        <v>2081</v>
      </c>
    </row>
    <row r="26903" spans="2:9" ht="15" customHeight="1" x14ac:dyDescent="0.25">
      <c r="B26903" s="55" t="s">
        <v>388</v>
      </c>
      <c r="C26903" s="46">
        <v>21</v>
      </c>
      <c r="D26903" s="69" t="s">
        <v>29525</v>
      </c>
      <c r="E26903" s="62"/>
      <c r="F26903" s="62" t="str">
        <f>IF(INDEX(I.Gas.P2bY1TotalGasEnergy,21)="","",INDEX(I.Gas.P2bY1TotalGasEnergy,21))</f>
        <v/>
      </c>
      <c r="G26903" s="62"/>
      <c r="H26903" s="46" t="str">
        <f>IF(I.Developer.P2b=FALSE,"Complete",IF(I.Product.P2bGasToPowerStatus&lt;&gt;"Yes","Complete",IF(AND(I.Gas.P2bY1Count&gt;=21,F26903=""),"Incomplete","Complete")))</f>
        <v>Complete</v>
      </c>
      <c r="I26903" s="48" t="s">
        <v>2082</v>
      </c>
    </row>
    <row r="26904" spans="2:9" ht="15" customHeight="1" x14ac:dyDescent="0.25">
      <c r="B26904" s="55" t="s">
        <v>388</v>
      </c>
      <c r="C26904" s="46">
        <v>22</v>
      </c>
      <c r="D26904" s="69" t="s">
        <v>29525</v>
      </c>
      <c r="E26904" s="62"/>
      <c r="F26904" s="62" t="str">
        <f>IF(INDEX(I.Gas.P2bY1TotalGasEnergy,22)="","",INDEX(I.Gas.P2bY1TotalGasEnergy,22))</f>
        <v/>
      </c>
      <c r="G26904" s="62"/>
      <c r="H26904" s="46" t="str">
        <f>IF(I.Developer.P2b=FALSE,"Complete",IF(I.Product.P2bGasToPowerStatus&lt;&gt;"Yes","Complete",IF(AND(I.Gas.P2bY1Count&gt;=22,F26904=""),"Incomplete","Complete")))</f>
        <v>Complete</v>
      </c>
      <c r="I26904" s="48" t="s">
        <v>2083</v>
      </c>
    </row>
    <row r="26905" spans="2:9" ht="15" customHeight="1" x14ac:dyDescent="0.25">
      <c r="B26905" s="55" t="s">
        <v>388</v>
      </c>
      <c r="C26905" s="46">
        <v>23</v>
      </c>
      <c r="D26905" s="69" t="s">
        <v>29525</v>
      </c>
      <c r="E26905" s="62"/>
      <c r="F26905" s="62" t="str">
        <f>IF(INDEX(I.Gas.P2bY1TotalGasEnergy,23)="","",INDEX(I.Gas.P2bY1TotalGasEnergy,23))</f>
        <v/>
      </c>
      <c r="G26905" s="62"/>
      <c r="H26905" s="46" t="str">
        <f>IF(I.Developer.P2b=FALSE,"Complete",IF(I.Product.P2bGasToPowerStatus&lt;&gt;"Yes","Complete",IF(AND(I.Gas.P2bY1Count&gt;=23,F26905=""),"Incomplete","Complete")))</f>
        <v>Complete</v>
      </c>
      <c r="I26905" s="48" t="s">
        <v>2084</v>
      </c>
    </row>
    <row r="26906" spans="2:9" ht="15" customHeight="1" x14ac:dyDescent="0.25">
      <c r="B26906" s="55" t="s">
        <v>388</v>
      </c>
      <c r="C26906" s="46">
        <v>24</v>
      </c>
      <c r="D26906" s="69" t="s">
        <v>29525</v>
      </c>
      <c r="E26906" s="62"/>
      <c r="F26906" s="62" t="str">
        <f>IF(INDEX(I.Gas.P2bY1TotalGasEnergy,24)="","",INDEX(I.Gas.P2bY1TotalGasEnergy,24))</f>
        <v/>
      </c>
      <c r="G26906" s="62"/>
      <c r="H26906" s="46" t="str">
        <f>IF(I.Developer.P2b=FALSE,"Complete",IF(I.Product.P2bGasToPowerStatus&lt;&gt;"Yes","Complete",IF(AND(I.Gas.P2bY1Count&gt;=24,F26906=""),"Incomplete","Complete")))</f>
        <v>Complete</v>
      </c>
      <c r="I26906" s="48" t="s">
        <v>2085</v>
      </c>
    </row>
    <row r="26907" spans="2:9" ht="15" customHeight="1" x14ac:dyDescent="0.25">
      <c r="B26907" s="55" t="s">
        <v>388</v>
      </c>
      <c r="C26907" s="46">
        <v>25</v>
      </c>
      <c r="D26907" s="69" t="s">
        <v>29525</v>
      </c>
      <c r="E26907" s="62"/>
      <c r="F26907" s="62" t="str">
        <f>IF(INDEX(I.Gas.P2bY1TotalGasEnergy,25)="","",INDEX(I.Gas.P2bY1TotalGasEnergy,25))</f>
        <v/>
      </c>
      <c r="G26907" s="62"/>
      <c r="H26907" s="46" t="str">
        <f>IF(I.Developer.P2b=FALSE,"Complete",IF(I.Product.P2bGasToPowerStatus&lt;&gt;"Yes","Complete",IF(AND(I.Gas.P2bY1Count&gt;=25,F26907=""),"Incomplete","Complete")))</f>
        <v>Complete</v>
      </c>
      <c r="I26907" s="48" t="s">
        <v>2086</v>
      </c>
    </row>
    <row r="26908" spans="2:9" ht="15" customHeight="1" x14ac:dyDescent="0.25">
      <c r="B26908" s="55" t="s">
        <v>388</v>
      </c>
      <c r="C26908" s="46">
        <v>26</v>
      </c>
      <c r="D26908" s="69" t="s">
        <v>29525</v>
      </c>
      <c r="E26908" s="62"/>
      <c r="F26908" s="62" t="str">
        <f>IF(INDEX(I.Gas.P2bY1TotalGasEnergy,26)="","",INDEX(I.Gas.P2bY1TotalGasEnergy,26))</f>
        <v/>
      </c>
      <c r="G26908" s="62"/>
      <c r="H26908" s="46" t="str">
        <f>IF(I.Developer.P2b=FALSE,"Complete",IF(I.Product.P2bGasToPowerStatus&lt;&gt;"Yes","Complete",IF(AND(I.Gas.P2bY1Count&gt;=26,F26908=""),"Incomplete","Complete")))</f>
        <v>Complete</v>
      </c>
      <c r="I26908" s="48" t="s">
        <v>2087</v>
      </c>
    </row>
    <row r="26909" spans="2:9" ht="15" customHeight="1" x14ac:dyDescent="0.25">
      <c r="B26909" s="55" t="s">
        <v>388</v>
      </c>
      <c r="C26909" s="46">
        <v>27</v>
      </c>
      <c r="D26909" s="69" t="s">
        <v>29525</v>
      </c>
      <c r="E26909" s="62"/>
      <c r="F26909" s="62" t="str">
        <f>IF(INDEX(I.Gas.P2bY1TotalGasEnergy,27)="","",INDEX(I.Gas.P2bY1TotalGasEnergy,27))</f>
        <v/>
      </c>
      <c r="G26909" s="62"/>
      <c r="H26909" s="46" t="str">
        <f>IF(I.Developer.P2b=FALSE,"Complete",IF(I.Product.P2bGasToPowerStatus&lt;&gt;"Yes","Complete",IF(AND(I.Gas.P2bY1Count&gt;=27,F26909=""),"Incomplete","Complete")))</f>
        <v>Complete</v>
      </c>
      <c r="I26909" s="48" t="s">
        <v>2088</v>
      </c>
    </row>
    <row r="26910" spans="2:9" ht="15" customHeight="1" x14ac:dyDescent="0.25">
      <c r="B26910" s="55" t="s">
        <v>388</v>
      </c>
      <c r="C26910" s="46">
        <v>28</v>
      </c>
      <c r="D26910" s="69" t="s">
        <v>29525</v>
      </c>
      <c r="E26910" s="62"/>
      <c r="F26910" s="62" t="str">
        <f>IF(INDEX(I.Gas.P2bY1TotalGasEnergy,28)="","",INDEX(I.Gas.P2bY1TotalGasEnergy,28))</f>
        <v/>
      </c>
      <c r="G26910" s="62"/>
      <c r="H26910" s="46" t="str">
        <f>IF(I.Developer.P2b=FALSE,"Complete",IF(I.Product.P2bGasToPowerStatus&lt;&gt;"Yes","Complete",IF(AND(I.Gas.P2bY1Count&gt;=28,F26910=""),"Incomplete","Complete")))</f>
        <v>Complete</v>
      </c>
      <c r="I26910" s="48" t="s">
        <v>2089</v>
      </c>
    </row>
    <row r="26911" spans="2:9" ht="15" customHeight="1" x14ac:dyDescent="0.25">
      <c r="B26911" s="55" t="s">
        <v>388</v>
      </c>
      <c r="C26911" s="46">
        <v>29</v>
      </c>
      <c r="D26911" s="69" t="s">
        <v>29525</v>
      </c>
      <c r="E26911" s="62"/>
      <c r="F26911" s="62" t="str">
        <f>IF(INDEX(I.Gas.P2bY1TotalGasEnergy,29)="","",INDEX(I.Gas.P2bY1TotalGasEnergy,29))</f>
        <v/>
      </c>
      <c r="G26911" s="62"/>
      <c r="H26911" s="46" t="str">
        <f>IF(I.Developer.P2b=FALSE,"Complete",IF(I.Product.P2bGasToPowerStatus&lt;&gt;"Yes","Complete",IF(AND(I.Gas.P2bY1Count&gt;=29,F26911=""),"Incomplete","Complete")))</f>
        <v>Complete</v>
      </c>
      <c r="I26911" s="48" t="s">
        <v>2090</v>
      </c>
    </row>
    <row r="26912" spans="2:9" ht="15" customHeight="1" x14ac:dyDescent="0.25">
      <c r="B26912" s="55" t="s">
        <v>388</v>
      </c>
      <c r="C26912" s="46">
        <v>30</v>
      </c>
      <c r="D26912" s="69" t="s">
        <v>29525</v>
      </c>
      <c r="E26912" s="62"/>
      <c r="F26912" s="62" t="str">
        <f>IF(INDEX(I.Gas.P2bY1TotalGasEnergy,30)="","",INDEX(I.Gas.P2bY1TotalGasEnergy,30))</f>
        <v/>
      </c>
      <c r="G26912" s="62"/>
      <c r="H26912" s="46" t="str">
        <f>IF(I.Developer.P2b=FALSE,"Complete",IF(I.Product.P2bGasToPowerStatus&lt;&gt;"Yes","Complete",IF(AND(I.Gas.P2bY1Count&gt;=30,F26912=""),"Incomplete","Complete")))</f>
        <v>Complete</v>
      </c>
      <c r="I26912" s="48" t="s">
        <v>2091</v>
      </c>
    </row>
    <row r="26913" spans="2:9" ht="15" customHeight="1" x14ac:dyDescent="0.25">
      <c r="B26913" s="55" t="s">
        <v>388</v>
      </c>
      <c r="C26913" s="46">
        <v>31</v>
      </c>
      <c r="D26913" s="69" t="s">
        <v>29525</v>
      </c>
      <c r="E26913" s="62"/>
      <c r="F26913" s="62" t="str">
        <f>IF(INDEX(I.Gas.P2bY1TotalGasEnergy,31)="","",INDEX(I.Gas.P2bY1TotalGasEnergy,31))</f>
        <v/>
      </c>
      <c r="G26913" s="62"/>
      <c r="H26913" s="46" t="str">
        <f>IF(I.Developer.P2b=FALSE,"Complete",IF(I.Product.P2bGasToPowerStatus&lt;&gt;"Yes","Complete",IF(AND(I.Gas.P2bY1Count&gt;=31,F26913=""),"Incomplete","Complete")))</f>
        <v>Complete</v>
      </c>
      <c r="I26913" s="48" t="s">
        <v>2092</v>
      </c>
    </row>
    <row r="26914" spans="2:9" ht="15" customHeight="1" x14ac:dyDescent="0.25">
      <c r="B26914" s="55" t="s">
        <v>388</v>
      </c>
      <c r="C26914" s="46">
        <v>32</v>
      </c>
      <c r="D26914" s="69" t="s">
        <v>29525</v>
      </c>
      <c r="E26914" s="62"/>
      <c r="F26914" s="62" t="str">
        <f>IF(INDEX(I.Gas.P2bY1TotalGasEnergy,32)="","",INDEX(I.Gas.P2bY1TotalGasEnergy,32))</f>
        <v/>
      </c>
      <c r="G26914" s="62"/>
      <c r="H26914" s="46" t="str">
        <f>IF(I.Developer.P2b=FALSE,"Complete",IF(I.Product.P2bGasToPowerStatus&lt;&gt;"Yes","Complete",IF(AND(I.Gas.P2bY1Count&gt;=32,F26914=""),"Incomplete","Complete")))</f>
        <v>Complete</v>
      </c>
      <c r="I26914" s="48" t="s">
        <v>2093</v>
      </c>
    </row>
    <row r="26915" spans="2:9" ht="15" customHeight="1" x14ac:dyDescent="0.25">
      <c r="B26915" s="55" t="s">
        <v>388</v>
      </c>
      <c r="C26915" s="46">
        <v>33</v>
      </c>
      <c r="D26915" s="69" t="s">
        <v>29525</v>
      </c>
      <c r="E26915" s="62"/>
      <c r="F26915" s="62" t="str">
        <f>IF(INDEX(I.Gas.P2bY1TotalGasEnergy,33)="","",INDEX(I.Gas.P2bY1TotalGasEnergy,33))</f>
        <v/>
      </c>
      <c r="G26915" s="62"/>
      <c r="H26915" s="46" t="str">
        <f>IF(I.Developer.P2b=FALSE,"Complete",IF(I.Product.P2bGasToPowerStatus&lt;&gt;"Yes","Complete",IF(AND(I.Gas.P2bY1Count&gt;=33,F26915=""),"Incomplete","Complete")))</f>
        <v>Complete</v>
      </c>
      <c r="I26915" s="48" t="s">
        <v>2094</v>
      </c>
    </row>
    <row r="26916" spans="2:9" ht="15" customHeight="1" x14ac:dyDescent="0.25">
      <c r="B26916" s="55" t="s">
        <v>388</v>
      </c>
      <c r="C26916" s="46">
        <v>34</v>
      </c>
      <c r="D26916" s="69" t="s">
        <v>29525</v>
      </c>
      <c r="E26916" s="62"/>
      <c r="F26916" s="62" t="str">
        <f>IF(INDEX(I.Gas.P2bY1TotalGasEnergy,34)="","",INDEX(I.Gas.P2bY1TotalGasEnergy,34))</f>
        <v/>
      </c>
      <c r="G26916" s="62"/>
      <c r="H26916" s="46" t="str">
        <f>IF(I.Developer.P2b=FALSE,"Complete",IF(I.Product.P2bGasToPowerStatus&lt;&gt;"Yes","Complete",IF(AND(I.Gas.P2bY1Count&gt;=34,F26916=""),"Incomplete","Complete")))</f>
        <v>Complete</v>
      </c>
      <c r="I26916" s="48" t="s">
        <v>2095</v>
      </c>
    </row>
    <row r="26917" spans="2:9" ht="15" customHeight="1" x14ac:dyDescent="0.25">
      <c r="B26917" s="55" t="s">
        <v>388</v>
      </c>
      <c r="C26917" s="46">
        <v>35</v>
      </c>
      <c r="D26917" s="69" t="s">
        <v>29525</v>
      </c>
      <c r="E26917" s="62"/>
      <c r="F26917" s="62" t="str">
        <f>IF(INDEX(I.Gas.P2bY1TotalGasEnergy,35)="","",INDEX(I.Gas.P2bY1TotalGasEnergy,35))</f>
        <v/>
      </c>
      <c r="G26917" s="62"/>
      <c r="H26917" s="46" t="str">
        <f>IF(I.Developer.P2b=FALSE,"Complete",IF(I.Product.P2bGasToPowerStatus&lt;&gt;"Yes","Complete",IF(AND(I.Gas.P2bY1Count&gt;=35,F26917=""),"Incomplete","Complete")))</f>
        <v>Complete</v>
      </c>
      <c r="I26917" s="48" t="s">
        <v>2096</v>
      </c>
    </row>
    <row r="26918" spans="2:9" ht="15" customHeight="1" x14ac:dyDescent="0.25">
      <c r="B26918" s="55" t="s">
        <v>388</v>
      </c>
      <c r="C26918" s="46">
        <v>36</v>
      </c>
      <c r="D26918" s="69" t="s">
        <v>29525</v>
      </c>
      <c r="E26918" s="62"/>
      <c r="F26918" s="62" t="str">
        <f>IF(INDEX(I.Gas.P2bY1TotalGasEnergy,36)="","",INDEX(I.Gas.P2bY1TotalGasEnergy,36))</f>
        <v/>
      </c>
      <c r="G26918" s="62"/>
      <c r="H26918" s="46" t="str">
        <f>IF(I.Developer.P2b=FALSE,"Complete",IF(I.Product.P2bGasToPowerStatus&lt;&gt;"Yes","Complete",IF(AND(I.Gas.P2bY1Count&gt;=36,F26918=""),"Incomplete","Complete")))</f>
        <v>Complete</v>
      </c>
      <c r="I26918" s="48" t="s">
        <v>2097</v>
      </c>
    </row>
    <row r="26919" spans="2:9" ht="15" customHeight="1" x14ac:dyDescent="0.25">
      <c r="B26919" s="55" t="s">
        <v>388</v>
      </c>
      <c r="C26919" s="46">
        <v>37</v>
      </c>
      <c r="D26919" s="69" t="s">
        <v>29525</v>
      </c>
      <c r="E26919" s="62"/>
      <c r="F26919" s="62" t="str">
        <f>IF(INDEX(I.Gas.P2bY1TotalGasEnergy,37)="","",INDEX(I.Gas.P2bY1TotalGasEnergy,37))</f>
        <v/>
      </c>
      <c r="G26919" s="62"/>
      <c r="H26919" s="46" t="str">
        <f>IF(I.Developer.P2b=FALSE,"Complete",IF(I.Product.P2bGasToPowerStatus&lt;&gt;"Yes","Complete",IF(AND(I.Gas.P2bY1Count&gt;=37,F26919=""),"Incomplete","Complete")))</f>
        <v>Complete</v>
      </c>
      <c r="I26919" s="48" t="s">
        <v>2098</v>
      </c>
    </row>
    <row r="26920" spans="2:9" ht="15" customHeight="1" x14ac:dyDescent="0.25">
      <c r="B26920" s="55" t="s">
        <v>388</v>
      </c>
      <c r="C26920" s="46">
        <v>38</v>
      </c>
      <c r="D26920" s="69" t="s">
        <v>29525</v>
      </c>
      <c r="E26920" s="62"/>
      <c r="F26920" s="62" t="str">
        <f>IF(INDEX(I.Gas.P2bY1TotalGasEnergy,38)="","",INDEX(I.Gas.P2bY1TotalGasEnergy,38))</f>
        <v/>
      </c>
      <c r="G26920" s="62"/>
      <c r="H26920" s="46" t="str">
        <f>IF(I.Developer.P2b=FALSE,"Complete",IF(I.Product.P2bGasToPowerStatus&lt;&gt;"Yes","Complete",IF(AND(I.Gas.P2bY1Count&gt;=38,F26920=""),"Incomplete","Complete")))</f>
        <v>Complete</v>
      </c>
      <c r="I26920" s="48" t="s">
        <v>2099</v>
      </c>
    </row>
    <row r="26921" spans="2:9" ht="15" customHeight="1" x14ac:dyDescent="0.25">
      <c r="B26921" s="55" t="s">
        <v>388</v>
      </c>
      <c r="C26921" s="46">
        <v>39</v>
      </c>
      <c r="D26921" s="69" t="s">
        <v>29525</v>
      </c>
      <c r="E26921" s="62"/>
      <c r="F26921" s="62" t="str">
        <f>IF(INDEX(I.Gas.P2bY1TotalGasEnergy,39)="","",INDEX(I.Gas.P2bY1TotalGasEnergy,39))</f>
        <v/>
      </c>
      <c r="G26921" s="62"/>
      <c r="H26921" s="46" t="str">
        <f>IF(I.Developer.P2b=FALSE,"Complete",IF(I.Product.P2bGasToPowerStatus&lt;&gt;"Yes","Complete",IF(AND(I.Gas.P2bY1Count&gt;=39,F26921=""),"Incomplete","Complete")))</f>
        <v>Complete</v>
      </c>
      <c r="I26921" s="48" t="s">
        <v>2100</v>
      </c>
    </row>
    <row r="26922" spans="2:9" ht="15" customHeight="1" x14ac:dyDescent="0.25">
      <c r="B26922" s="55" t="s">
        <v>388</v>
      </c>
      <c r="C26922" s="46">
        <v>40</v>
      </c>
      <c r="D26922" s="69" t="s">
        <v>29525</v>
      </c>
      <c r="E26922" s="62"/>
      <c r="F26922" s="62" t="str">
        <f>IF(INDEX(I.Gas.P2bY1TotalGasEnergy,40)="","",INDEX(I.Gas.P2bY1TotalGasEnergy,40))</f>
        <v/>
      </c>
      <c r="G26922" s="62"/>
      <c r="H26922" s="46" t="str">
        <f>IF(I.Developer.P2b=FALSE,"Complete",IF(I.Product.P2bGasToPowerStatus&lt;&gt;"Yes","Complete",IF(AND(I.Gas.P2bY1Count&gt;=40,F26922=""),"Incomplete","Complete")))</f>
        <v>Complete</v>
      </c>
      <c r="I26922" s="48" t="s">
        <v>2101</v>
      </c>
    </row>
    <row r="26923" spans="2:9" ht="15" customHeight="1" x14ac:dyDescent="0.25">
      <c r="B26923" s="55" t="s">
        <v>388</v>
      </c>
      <c r="C26923" s="46">
        <v>41</v>
      </c>
      <c r="D26923" s="69" t="s">
        <v>29525</v>
      </c>
      <c r="E26923" s="62"/>
      <c r="F26923" s="62" t="str">
        <f>IF(INDEX(I.Gas.P2bY1TotalGasEnergy,41)="","",INDEX(I.Gas.P2bY1TotalGasEnergy,41))</f>
        <v/>
      </c>
      <c r="G26923" s="62"/>
      <c r="H26923" s="46" t="str">
        <f>IF(I.Developer.P2b=FALSE,"Complete",IF(I.Product.P2bGasToPowerStatus&lt;&gt;"Yes","Complete",IF(AND(I.Gas.P2bY1Count&gt;=41,F26923=""),"Incomplete","Complete")))</f>
        <v>Complete</v>
      </c>
      <c r="I26923" s="48" t="s">
        <v>2102</v>
      </c>
    </row>
    <row r="26924" spans="2:9" ht="15" customHeight="1" x14ac:dyDescent="0.25">
      <c r="B26924" s="55" t="s">
        <v>388</v>
      </c>
      <c r="C26924" s="46">
        <v>42</v>
      </c>
      <c r="D26924" s="69" t="s">
        <v>29525</v>
      </c>
      <c r="E26924" s="62"/>
      <c r="F26924" s="62" t="str">
        <f>IF(INDEX(I.Gas.P2bY1TotalGasEnergy,42)="","",INDEX(I.Gas.P2bY1TotalGasEnergy,42))</f>
        <v/>
      </c>
      <c r="G26924" s="62"/>
      <c r="H26924" s="46" t="str">
        <f>IF(I.Developer.P2b=FALSE,"Complete",IF(I.Product.P2bGasToPowerStatus&lt;&gt;"Yes","Complete",IF(AND(I.Gas.P2bY1Count&gt;=42,F26924=""),"Incomplete","Complete")))</f>
        <v>Complete</v>
      </c>
      <c r="I26924" s="48" t="s">
        <v>2103</v>
      </c>
    </row>
    <row r="26925" spans="2:9" ht="15" customHeight="1" x14ac:dyDescent="0.25">
      <c r="B26925" s="55" t="s">
        <v>388</v>
      </c>
      <c r="C26925" s="46">
        <v>43</v>
      </c>
      <c r="D26925" s="69" t="s">
        <v>29525</v>
      </c>
      <c r="E26925" s="62"/>
      <c r="F26925" s="62" t="str">
        <f>IF(INDEX(I.Gas.P2bY1TotalGasEnergy,43)="","",INDEX(I.Gas.P2bY1TotalGasEnergy,43))</f>
        <v/>
      </c>
      <c r="G26925" s="62"/>
      <c r="H26925" s="46" t="str">
        <f>IF(I.Developer.P2b=FALSE,"Complete",IF(I.Product.P2bGasToPowerStatus&lt;&gt;"Yes","Complete",IF(AND(I.Gas.P2bY1Count&gt;=43,F26925=""),"Incomplete","Complete")))</f>
        <v>Complete</v>
      </c>
      <c r="I26925" s="48" t="s">
        <v>2104</v>
      </c>
    </row>
    <row r="26926" spans="2:9" ht="15" customHeight="1" x14ac:dyDescent="0.25">
      <c r="B26926" s="55" t="s">
        <v>388</v>
      </c>
      <c r="C26926" s="46">
        <v>44</v>
      </c>
      <c r="D26926" s="69" t="s">
        <v>29525</v>
      </c>
      <c r="E26926" s="62"/>
      <c r="F26926" s="62" t="str">
        <f>IF(INDEX(I.Gas.P2bY1TotalGasEnergy,44)="","",INDEX(I.Gas.P2bY1TotalGasEnergy,44))</f>
        <v/>
      </c>
      <c r="G26926" s="62"/>
      <c r="H26926" s="46" t="str">
        <f>IF(I.Developer.P2b=FALSE,"Complete",IF(I.Product.P2bGasToPowerStatus&lt;&gt;"Yes","Complete",IF(AND(I.Gas.P2bY1Count&gt;=44,F26926=""),"Incomplete","Complete")))</f>
        <v>Complete</v>
      </c>
      <c r="I26926" s="48" t="s">
        <v>2105</v>
      </c>
    </row>
    <row r="26927" spans="2:9" ht="15" customHeight="1" x14ac:dyDescent="0.25">
      <c r="B26927" s="55" t="s">
        <v>388</v>
      </c>
      <c r="C26927" s="46">
        <v>45</v>
      </c>
      <c r="D26927" s="69" t="s">
        <v>29525</v>
      </c>
      <c r="E26927" s="62"/>
      <c r="F26927" s="62" t="str">
        <f>IF(INDEX(I.Gas.P2bY1TotalGasEnergy,45)="","",INDEX(I.Gas.P2bY1TotalGasEnergy,45))</f>
        <v/>
      </c>
      <c r="G26927" s="62"/>
      <c r="H26927" s="46" t="str">
        <f>IF(I.Developer.P2b=FALSE,"Complete",IF(I.Product.P2bGasToPowerStatus&lt;&gt;"Yes","Complete",IF(AND(I.Gas.P2bY1Count&gt;=45,F26927=""),"Incomplete","Complete")))</f>
        <v>Complete</v>
      </c>
      <c r="I26927" s="48" t="s">
        <v>2106</v>
      </c>
    </row>
    <row r="26928" spans="2:9" ht="15" customHeight="1" x14ac:dyDescent="0.25">
      <c r="B26928" s="55" t="s">
        <v>388</v>
      </c>
      <c r="C26928" s="46">
        <v>46</v>
      </c>
      <c r="D26928" s="69" t="s">
        <v>29525</v>
      </c>
      <c r="E26928" s="62"/>
      <c r="F26928" s="62" t="str">
        <f>IF(INDEX(I.Gas.P2bY1TotalGasEnergy,46)="","",INDEX(I.Gas.P2bY1TotalGasEnergy,46))</f>
        <v/>
      </c>
      <c r="G26928" s="62"/>
      <c r="H26928" s="46" t="str">
        <f>IF(I.Developer.P2b=FALSE,"Complete",IF(I.Product.P2bGasToPowerStatus&lt;&gt;"Yes","Complete",IF(AND(I.Gas.P2bY1Count&gt;=46,F26928=""),"Incomplete","Complete")))</f>
        <v>Complete</v>
      </c>
      <c r="I26928" s="48" t="s">
        <v>2107</v>
      </c>
    </row>
    <row r="26929" spans="2:9" ht="15" customHeight="1" x14ac:dyDescent="0.25">
      <c r="B26929" s="55" t="s">
        <v>388</v>
      </c>
      <c r="C26929" s="46">
        <v>47</v>
      </c>
      <c r="D26929" s="69" t="s">
        <v>29525</v>
      </c>
      <c r="E26929" s="62"/>
      <c r="F26929" s="62" t="str">
        <f>IF(INDEX(I.Gas.P2bY1TotalGasEnergy,47)="","",INDEX(I.Gas.P2bY1TotalGasEnergy,47))</f>
        <v/>
      </c>
      <c r="G26929" s="62"/>
      <c r="H26929" s="46" t="str">
        <f>IF(I.Developer.P2b=FALSE,"Complete",IF(I.Product.P2bGasToPowerStatus&lt;&gt;"Yes","Complete",IF(AND(I.Gas.P2bY1Count&gt;=47,F26929=""),"Incomplete","Complete")))</f>
        <v>Complete</v>
      </c>
      <c r="I26929" s="48" t="s">
        <v>2108</v>
      </c>
    </row>
    <row r="26930" spans="2:9" ht="15" customHeight="1" x14ac:dyDescent="0.25">
      <c r="B26930" s="55" t="s">
        <v>388</v>
      </c>
      <c r="C26930" s="46">
        <v>48</v>
      </c>
      <c r="D26930" s="69" t="s">
        <v>29525</v>
      </c>
      <c r="E26930" s="62"/>
      <c r="F26930" s="62" t="str">
        <f>IF(INDEX(I.Gas.P2bY1TotalGasEnergy,48)="","",INDEX(I.Gas.P2bY1TotalGasEnergy,48))</f>
        <v/>
      </c>
      <c r="G26930" s="62"/>
      <c r="H26930" s="46" t="str">
        <f>IF(I.Developer.P2b=FALSE,"Complete",IF(I.Product.P2bGasToPowerStatus&lt;&gt;"Yes","Complete",IF(AND(I.Gas.P2bY1Count&gt;=48,F26930=""),"Incomplete","Complete")))</f>
        <v>Complete</v>
      </c>
      <c r="I26930" s="48" t="s">
        <v>2109</v>
      </c>
    </row>
    <row r="26931" spans="2:9" ht="15" customHeight="1" x14ac:dyDescent="0.25">
      <c r="B26931" s="55" t="s">
        <v>388</v>
      </c>
      <c r="C26931" s="46">
        <v>49</v>
      </c>
      <c r="D26931" s="69" t="s">
        <v>29525</v>
      </c>
      <c r="E26931" s="62"/>
      <c r="F26931" s="62" t="str">
        <f>IF(INDEX(I.Gas.P2bY1TotalGasEnergy,49)="","",INDEX(I.Gas.P2bY1TotalGasEnergy,49))</f>
        <v/>
      </c>
      <c r="G26931" s="62"/>
      <c r="H26931" s="46" t="str">
        <f>IF(I.Developer.P2b=FALSE,"Complete",IF(I.Product.P2bGasToPowerStatus&lt;&gt;"Yes","Complete",IF(AND(I.Gas.P2bY1Count&gt;=49,F26931=""),"Incomplete","Complete")))</f>
        <v>Complete</v>
      </c>
      <c r="I26931" s="48" t="s">
        <v>2110</v>
      </c>
    </row>
    <row r="26932" spans="2:9" ht="15" customHeight="1" x14ac:dyDescent="0.25">
      <c r="B26932" s="56" t="s">
        <v>388</v>
      </c>
      <c r="C26932" s="57">
        <v>50</v>
      </c>
      <c r="D26932" s="71" t="s">
        <v>29525</v>
      </c>
      <c r="E26932" s="61"/>
      <c r="F26932" s="61" t="str">
        <f>IF(INDEX(I.Gas.P2bY1TotalGasEnergy,50)="","",INDEX(I.Gas.P2bY1TotalGasEnergy,50))</f>
        <v/>
      </c>
      <c r="G26932" s="61"/>
      <c r="H26932" s="57" t="str">
        <f>IF(I.Developer.P2b=FALSE,"Complete",IF(I.Product.P2bGasToPowerStatus&lt;&gt;"Yes","Complete",IF(AND(I.Gas.P2bY1Count&gt;=50,F26932=""),"Incomplete","Complete")))</f>
        <v>Complete</v>
      </c>
      <c r="I26932" s="49" t="s">
        <v>2111</v>
      </c>
    </row>
    <row r="26933" spans="2:9" ht="15" customHeight="1" x14ac:dyDescent="0.25">
      <c r="B26933" s="55" t="s">
        <v>389</v>
      </c>
      <c r="C26933" s="46">
        <v>1</v>
      </c>
      <c r="D26933" s="69" t="s">
        <v>29526</v>
      </c>
      <c r="E26933" s="62"/>
      <c r="F26933" s="62" t="str">
        <f>IF(INDEX(I.Gas.P2bY1ElectricityGeneration,1)="","",INDEX(I.Gas.P2bY1ElectricityGeneration,1))</f>
        <v/>
      </c>
      <c r="G26933" s="62"/>
      <c r="H26933" s="46" t="str">
        <f>IF(I.Developer.P2b=FALSE,"Complete",IF(I.Product.P2bGasToPowerStatus&lt;&gt;"Yes","Complete",IF(AND(I.Gas.P2bY1Count&gt;=1,F26933=""),"Incomplete","Complete")))</f>
        <v>Complete</v>
      </c>
      <c r="I26933" s="48" t="s">
        <v>2112</v>
      </c>
    </row>
    <row r="26934" spans="2:9" ht="15" customHeight="1" x14ac:dyDescent="0.25">
      <c r="B26934" s="55" t="s">
        <v>389</v>
      </c>
      <c r="C26934" s="46">
        <v>2</v>
      </c>
      <c r="D26934" s="69" t="s">
        <v>29526</v>
      </c>
      <c r="E26934" s="62"/>
      <c r="F26934" s="62" t="str">
        <f>IF(INDEX(I.Gas.P2bY1ElectricityGeneration,2)="","",INDEX(I.Gas.P2bY1ElectricityGeneration,2))</f>
        <v/>
      </c>
      <c r="G26934" s="62"/>
      <c r="H26934" s="46" t="str">
        <f>IF(I.Developer.P2b=FALSE,"Complete",IF(I.Product.P2bGasToPowerStatus&lt;&gt;"Yes","Complete",IF(AND(I.Gas.P2bY1Count&gt;=2,F26934=""),"Incomplete","Complete")))</f>
        <v>Complete</v>
      </c>
      <c r="I26934" s="48" t="s">
        <v>2113</v>
      </c>
    </row>
    <row r="26935" spans="2:9" ht="15" customHeight="1" x14ac:dyDescent="0.25">
      <c r="B26935" s="55" t="s">
        <v>389</v>
      </c>
      <c r="C26935" s="46">
        <v>3</v>
      </c>
      <c r="D26935" s="69" t="s">
        <v>29526</v>
      </c>
      <c r="E26935" s="62"/>
      <c r="F26935" s="62" t="str">
        <f>IF(INDEX(I.Gas.P2bY1ElectricityGeneration,3)="","",INDEX(I.Gas.P2bY1ElectricityGeneration,3))</f>
        <v/>
      </c>
      <c r="G26935" s="62"/>
      <c r="H26935" s="46" t="str">
        <f>IF(I.Developer.P2b=FALSE,"Complete",IF(I.Product.P2bGasToPowerStatus&lt;&gt;"Yes","Complete",IF(AND(I.Gas.P2bY1Count&gt;=3,F26935=""),"Incomplete","Complete")))</f>
        <v>Complete</v>
      </c>
      <c r="I26935" s="48" t="s">
        <v>2114</v>
      </c>
    </row>
    <row r="26936" spans="2:9" ht="15" customHeight="1" x14ac:dyDescent="0.25">
      <c r="B26936" s="55" t="s">
        <v>389</v>
      </c>
      <c r="C26936" s="46">
        <v>4</v>
      </c>
      <c r="D26936" s="69" t="s">
        <v>29526</v>
      </c>
      <c r="E26936" s="62"/>
      <c r="F26936" s="62" t="str">
        <f>IF(INDEX(I.Gas.P2bY1ElectricityGeneration,4)="","",INDEX(I.Gas.P2bY1ElectricityGeneration,4))</f>
        <v/>
      </c>
      <c r="G26936" s="62"/>
      <c r="H26936" s="46" t="str">
        <f>IF(I.Developer.P2b=FALSE,"Complete",IF(I.Product.P2bGasToPowerStatus&lt;&gt;"Yes","Complete",IF(AND(I.Gas.P2bY1Count&gt;=4,F26936=""),"Incomplete","Complete")))</f>
        <v>Complete</v>
      </c>
      <c r="I26936" s="48" t="s">
        <v>2115</v>
      </c>
    </row>
    <row r="26937" spans="2:9" ht="15" customHeight="1" x14ac:dyDescent="0.25">
      <c r="B26937" s="55" t="s">
        <v>389</v>
      </c>
      <c r="C26937" s="46">
        <v>5</v>
      </c>
      <c r="D26937" s="69" t="s">
        <v>29526</v>
      </c>
      <c r="E26937" s="62"/>
      <c r="F26937" s="62" t="str">
        <f>IF(INDEX(I.Gas.P2bY1ElectricityGeneration,5)="","",INDEX(I.Gas.P2bY1ElectricityGeneration,5))</f>
        <v/>
      </c>
      <c r="G26937" s="62"/>
      <c r="H26937" s="46" t="str">
        <f>IF(I.Developer.P2b=FALSE,"Complete",IF(I.Product.P2bGasToPowerStatus&lt;&gt;"Yes","Complete",IF(AND(I.Gas.P2bY1Count&gt;=5,F26937=""),"Incomplete","Complete")))</f>
        <v>Complete</v>
      </c>
      <c r="I26937" s="48" t="s">
        <v>2116</v>
      </c>
    </row>
    <row r="26938" spans="2:9" ht="15" customHeight="1" x14ac:dyDescent="0.25">
      <c r="B26938" s="55" t="s">
        <v>389</v>
      </c>
      <c r="C26938" s="46">
        <v>6</v>
      </c>
      <c r="D26938" s="69" t="s">
        <v>29526</v>
      </c>
      <c r="E26938" s="62"/>
      <c r="F26938" s="62" t="str">
        <f>IF(INDEX(I.Gas.P2bY1ElectricityGeneration,6)="","",INDEX(I.Gas.P2bY1ElectricityGeneration,6))</f>
        <v/>
      </c>
      <c r="G26938" s="62"/>
      <c r="H26938" s="46" t="str">
        <f>IF(I.Developer.P2b=FALSE,"Complete",IF(I.Product.P2bGasToPowerStatus&lt;&gt;"Yes","Complete",IF(AND(I.Gas.P2bY1Count&gt;=6,F26938=""),"Incomplete","Complete")))</f>
        <v>Complete</v>
      </c>
      <c r="I26938" s="48" t="s">
        <v>2117</v>
      </c>
    </row>
    <row r="26939" spans="2:9" ht="15" customHeight="1" x14ac:dyDescent="0.25">
      <c r="B26939" s="55" t="s">
        <v>389</v>
      </c>
      <c r="C26939" s="46">
        <v>7</v>
      </c>
      <c r="D26939" s="69" t="s">
        <v>29526</v>
      </c>
      <c r="E26939" s="62"/>
      <c r="F26939" s="62" t="str">
        <f>IF(INDEX(I.Gas.P2bY1ElectricityGeneration,7)="","",INDEX(I.Gas.P2bY1ElectricityGeneration,7))</f>
        <v/>
      </c>
      <c r="G26939" s="62"/>
      <c r="H26939" s="46" t="str">
        <f>IF(I.Developer.P2b=FALSE,"Complete",IF(I.Product.P2bGasToPowerStatus&lt;&gt;"Yes","Complete",IF(AND(I.Gas.P2bY1Count&gt;=7,F26939=""),"Incomplete","Complete")))</f>
        <v>Complete</v>
      </c>
      <c r="I26939" s="48" t="s">
        <v>2118</v>
      </c>
    </row>
    <row r="26940" spans="2:9" ht="15" customHeight="1" x14ac:dyDescent="0.25">
      <c r="B26940" s="55" t="s">
        <v>389</v>
      </c>
      <c r="C26940" s="46">
        <v>8</v>
      </c>
      <c r="D26940" s="69" t="s">
        <v>29526</v>
      </c>
      <c r="E26940" s="62"/>
      <c r="F26940" s="62" t="str">
        <f>IF(INDEX(I.Gas.P2bY1ElectricityGeneration,8)="","",INDEX(I.Gas.P2bY1ElectricityGeneration,8))</f>
        <v/>
      </c>
      <c r="G26940" s="62"/>
      <c r="H26940" s="46" t="str">
        <f>IF(I.Developer.P2b=FALSE,"Complete",IF(I.Product.P2bGasToPowerStatus&lt;&gt;"Yes","Complete",IF(AND(I.Gas.P2bY1Count&gt;=8,F26940=""),"Incomplete","Complete")))</f>
        <v>Complete</v>
      </c>
      <c r="I26940" s="48" t="s">
        <v>2119</v>
      </c>
    </row>
    <row r="26941" spans="2:9" ht="15" customHeight="1" x14ac:dyDescent="0.25">
      <c r="B26941" s="55" t="s">
        <v>389</v>
      </c>
      <c r="C26941" s="46">
        <v>9</v>
      </c>
      <c r="D26941" s="69" t="s">
        <v>29526</v>
      </c>
      <c r="E26941" s="62"/>
      <c r="F26941" s="62" t="str">
        <f>IF(INDEX(I.Gas.P2bY1ElectricityGeneration,9)="","",INDEX(I.Gas.P2bY1ElectricityGeneration,9))</f>
        <v/>
      </c>
      <c r="G26941" s="62"/>
      <c r="H26941" s="46" t="str">
        <f>IF(I.Developer.P2b=FALSE,"Complete",IF(I.Product.P2bGasToPowerStatus&lt;&gt;"Yes","Complete",IF(AND(I.Gas.P2bY1Count&gt;=9,F26941=""),"Incomplete","Complete")))</f>
        <v>Complete</v>
      </c>
      <c r="I26941" s="48" t="s">
        <v>2120</v>
      </c>
    </row>
    <row r="26942" spans="2:9" ht="15" customHeight="1" x14ac:dyDescent="0.25">
      <c r="B26942" s="55" t="s">
        <v>389</v>
      </c>
      <c r="C26942" s="46">
        <v>10</v>
      </c>
      <c r="D26942" s="69" t="s">
        <v>29526</v>
      </c>
      <c r="E26942" s="62"/>
      <c r="F26942" s="62" t="str">
        <f>IF(INDEX(I.Gas.P2bY1ElectricityGeneration,10)="","",INDEX(I.Gas.P2bY1ElectricityGeneration,10))</f>
        <v/>
      </c>
      <c r="G26942" s="62"/>
      <c r="H26942" s="46" t="str">
        <f>IF(I.Developer.P2b=FALSE,"Complete",IF(I.Product.P2bGasToPowerStatus&lt;&gt;"Yes","Complete",IF(AND(I.Gas.P2bY1Count&gt;=10,F26942=""),"Incomplete","Complete")))</f>
        <v>Complete</v>
      </c>
      <c r="I26942" s="48" t="s">
        <v>2121</v>
      </c>
    </row>
    <row r="26943" spans="2:9" ht="15" customHeight="1" x14ac:dyDescent="0.25">
      <c r="B26943" s="55" t="s">
        <v>389</v>
      </c>
      <c r="C26943" s="46">
        <v>11</v>
      </c>
      <c r="D26943" s="69" t="s">
        <v>29526</v>
      </c>
      <c r="E26943" s="62"/>
      <c r="F26943" s="62" t="str">
        <f>IF(INDEX(I.Gas.P2bY1ElectricityGeneration,11)="","",INDEX(I.Gas.P2bY1ElectricityGeneration,11))</f>
        <v/>
      </c>
      <c r="G26943" s="62"/>
      <c r="H26943" s="46" t="str">
        <f>IF(I.Developer.P2b=FALSE,"Complete",IF(I.Product.P2bGasToPowerStatus&lt;&gt;"Yes","Complete",IF(AND(I.Gas.P2bY1Count&gt;=11,F26943=""),"Incomplete","Complete")))</f>
        <v>Complete</v>
      </c>
      <c r="I26943" s="48" t="s">
        <v>2122</v>
      </c>
    </row>
    <row r="26944" spans="2:9" ht="15" customHeight="1" x14ac:dyDescent="0.25">
      <c r="B26944" s="55" t="s">
        <v>389</v>
      </c>
      <c r="C26944" s="46">
        <v>12</v>
      </c>
      <c r="D26944" s="69" t="s">
        <v>29526</v>
      </c>
      <c r="E26944" s="62"/>
      <c r="F26944" s="62" t="str">
        <f>IF(INDEX(I.Gas.P2bY1ElectricityGeneration,12)="","",INDEX(I.Gas.P2bY1ElectricityGeneration,12))</f>
        <v/>
      </c>
      <c r="G26944" s="62"/>
      <c r="H26944" s="46" t="str">
        <f>IF(I.Developer.P2b=FALSE,"Complete",IF(I.Product.P2bGasToPowerStatus&lt;&gt;"Yes","Complete",IF(AND(I.Gas.P2bY1Count&gt;=12,F26944=""),"Incomplete","Complete")))</f>
        <v>Complete</v>
      </c>
      <c r="I26944" s="48" t="s">
        <v>2123</v>
      </c>
    </row>
    <row r="26945" spans="2:9" ht="15" customHeight="1" x14ac:dyDescent="0.25">
      <c r="B26945" s="55" t="s">
        <v>389</v>
      </c>
      <c r="C26945" s="46">
        <v>13</v>
      </c>
      <c r="D26945" s="69" t="s">
        <v>29526</v>
      </c>
      <c r="E26945" s="62"/>
      <c r="F26945" s="62" t="str">
        <f>IF(INDEX(I.Gas.P2bY1ElectricityGeneration,13)="","",INDEX(I.Gas.P2bY1ElectricityGeneration,13))</f>
        <v/>
      </c>
      <c r="G26945" s="62"/>
      <c r="H26945" s="46" t="str">
        <f>IF(I.Developer.P2b=FALSE,"Complete",IF(I.Product.P2bGasToPowerStatus&lt;&gt;"Yes","Complete",IF(AND(I.Gas.P2bY1Count&gt;=13,F26945=""),"Incomplete","Complete")))</f>
        <v>Complete</v>
      </c>
      <c r="I26945" s="48" t="s">
        <v>2124</v>
      </c>
    </row>
    <row r="26946" spans="2:9" ht="15" customHeight="1" x14ac:dyDescent="0.25">
      <c r="B26946" s="55" t="s">
        <v>389</v>
      </c>
      <c r="C26946" s="46">
        <v>14</v>
      </c>
      <c r="D26946" s="69" t="s">
        <v>29526</v>
      </c>
      <c r="E26946" s="62"/>
      <c r="F26946" s="62" t="str">
        <f>IF(INDEX(I.Gas.P2bY1ElectricityGeneration,14)="","",INDEX(I.Gas.P2bY1ElectricityGeneration,14))</f>
        <v/>
      </c>
      <c r="G26946" s="62"/>
      <c r="H26946" s="46" t="str">
        <f>IF(I.Developer.P2b=FALSE,"Complete",IF(I.Product.P2bGasToPowerStatus&lt;&gt;"Yes","Complete",IF(AND(I.Gas.P2bY1Count&gt;=14,F26946=""),"Incomplete","Complete")))</f>
        <v>Complete</v>
      </c>
      <c r="I26946" s="48" t="s">
        <v>2125</v>
      </c>
    </row>
    <row r="26947" spans="2:9" ht="15" customHeight="1" x14ac:dyDescent="0.25">
      <c r="B26947" s="55" t="s">
        <v>389</v>
      </c>
      <c r="C26947" s="46">
        <v>15</v>
      </c>
      <c r="D26947" s="69" t="s">
        <v>29526</v>
      </c>
      <c r="E26947" s="62"/>
      <c r="F26947" s="62" t="str">
        <f>IF(INDEX(I.Gas.P2bY1ElectricityGeneration,15)="","",INDEX(I.Gas.P2bY1ElectricityGeneration,15))</f>
        <v/>
      </c>
      <c r="G26947" s="62"/>
      <c r="H26947" s="46" t="str">
        <f>IF(I.Developer.P2b=FALSE,"Complete",IF(I.Product.P2bGasToPowerStatus&lt;&gt;"Yes","Complete",IF(AND(I.Gas.P2bY1Count&gt;=15,F26947=""),"Incomplete","Complete")))</f>
        <v>Complete</v>
      </c>
      <c r="I26947" s="48" t="s">
        <v>2126</v>
      </c>
    </row>
    <row r="26948" spans="2:9" ht="15" customHeight="1" x14ac:dyDescent="0.25">
      <c r="B26948" s="55" t="s">
        <v>389</v>
      </c>
      <c r="C26948" s="46">
        <v>16</v>
      </c>
      <c r="D26948" s="69" t="s">
        <v>29526</v>
      </c>
      <c r="E26948" s="62"/>
      <c r="F26948" s="62" t="str">
        <f>IF(INDEX(I.Gas.P2bY1ElectricityGeneration,16)="","",INDEX(I.Gas.P2bY1ElectricityGeneration,16))</f>
        <v/>
      </c>
      <c r="G26948" s="62"/>
      <c r="H26948" s="46" t="str">
        <f>IF(I.Developer.P2b=FALSE,"Complete",IF(I.Product.P2bGasToPowerStatus&lt;&gt;"Yes","Complete",IF(AND(I.Gas.P2bY1Count&gt;=16,F26948=""),"Incomplete","Complete")))</f>
        <v>Complete</v>
      </c>
      <c r="I26948" s="48" t="s">
        <v>2127</v>
      </c>
    </row>
    <row r="26949" spans="2:9" ht="15" customHeight="1" x14ac:dyDescent="0.25">
      <c r="B26949" s="55" t="s">
        <v>389</v>
      </c>
      <c r="C26949" s="46">
        <v>17</v>
      </c>
      <c r="D26949" s="69" t="s">
        <v>29526</v>
      </c>
      <c r="E26949" s="62"/>
      <c r="F26949" s="62" t="str">
        <f>IF(INDEX(I.Gas.P2bY1ElectricityGeneration,17)="","",INDEX(I.Gas.P2bY1ElectricityGeneration,17))</f>
        <v/>
      </c>
      <c r="G26949" s="62"/>
      <c r="H26949" s="46" t="str">
        <f>IF(I.Developer.P2b=FALSE,"Complete",IF(I.Product.P2bGasToPowerStatus&lt;&gt;"Yes","Complete",IF(AND(I.Gas.P2bY1Count&gt;=17,F26949=""),"Incomplete","Complete")))</f>
        <v>Complete</v>
      </c>
      <c r="I26949" s="48" t="s">
        <v>2128</v>
      </c>
    </row>
    <row r="26950" spans="2:9" ht="15" customHeight="1" x14ac:dyDescent="0.25">
      <c r="B26950" s="55" t="s">
        <v>389</v>
      </c>
      <c r="C26950" s="46">
        <v>18</v>
      </c>
      <c r="D26950" s="69" t="s">
        <v>29526</v>
      </c>
      <c r="E26950" s="62"/>
      <c r="F26950" s="62" t="str">
        <f>IF(INDEX(I.Gas.P2bY1ElectricityGeneration,18)="","",INDEX(I.Gas.P2bY1ElectricityGeneration,18))</f>
        <v/>
      </c>
      <c r="G26950" s="62"/>
      <c r="H26950" s="46" t="str">
        <f>IF(I.Developer.P2b=FALSE,"Complete",IF(I.Product.P2bGasToPowerStatus&lt;&gt;"Yes","Complete",IF(AND(I.Gas.P2bY1Count&gt;=18,F26950=""),"Incomplete","Complete")))</f>
        <v>Complete</v>
      </c>
      <c r="I26950" s="48" t="s">
        <v>2129</v>
      </c>
    </row>
    <row r="26951" spans="2:9" ht="15" customHeight="1" x14ac:dyDescent="0.25">
      <c r="B26951" s="55" t="s">
        <v>389</v>
      </c>
      <c r="C26951" s="46">
        <v>19</v>
      </c>
      <c r="D26951" s="69" t="s">
        <v>29526</v>
      </c>
      <c r="E26951" s="62"/>
      <c r="F26951" s="62" t="str">
        <f>IF(INDEX(I.Gas.P2bY1ElectricityGeneration,19)="","",INDEX(I.Gas.P2bY1ElectricityGeneration,19))</f>
        <v/>
      </c>
      <c r="G26951" s="62"/>
      <c r="H26951" s="46" t="str">
        <f>IF(I.Developer.P2b=FALSE,"Complete",IF(I.Product.P2bGasToPowerStatus&lt;&gt;"Yes","Complete",IF(AND(I.Gas.P2bY1Count&gt;=19,F26951=""),"Incomplete","Complete")))</f>
        <v>Complete</v>
      </c>
      <c r="I26951" s="48" t="s">
        <v>2130</v>
      </c>
    </row>
    <row r="26952" spans="2:9" ht="15" customHeight="1" x14ac:dyDescent="0.25">
      <c r="B26952" s="55" t="s">
        <v>389</v>
      </c>
      <c r="C26952" s="46">
        <v>20</v>
      </c>
      <c r="D26952" s="69" t="s">
        <v>29526</v>
      </c>
      <c r="E26952" s="62"/>
      <c r="F26952" s="62" t="str">
        <f>IF(INDEX(I.Gas.P2bY1ElectricityGeneration,20)="","",INDEX(I.Gas.P2bY1ElectricityGeneration,20))</f>
        <v/>
      </c>
      <c r="G26952" s="62"/>
      <c r="H26952" s="46" t="str">
        <f>IF(I.Developer.P2b=FALSE,"Complete",IF(I.Product.P2bGasToPowerStatus&lt;&gt;"Yes","Complete",IF(AND(I.Gas.P2bY1Count&gt;=20,F26952=""),"Incomplete","Complete")))</f>
        <v>Complete</v>
      </c>
      <c r="I26952" s="48" t="s">
        <v>2131</v>
      </c>
    </row>
    <row r="26953" spans="2:9" ht="15" customHeight="1" x14ac:dyDescent="0.25">
      <c r="B26953" s="55" t="s">
        <v>389</v>
      </c>
      <c r="C26953" s="46">
        <v>21</v>
      </c>
      <c r="D26953" s="69" t="s">
        <v>29526</v>
      </c>
      <c r="E26953" s="62"/>
      <c r="F26953" s="62" t="str">
        <f>IF(INDEX(I.Gas.P2bY1ElectricityGeneration,21)="","",INDEX(I.Gas.P2bY1ElectricityGeneration,21))</f>
        <v/>
      </c>
      <c r="G26953" s="62"/>
      <c r="H26953" s="46" t="str">
        <f>IF(I.Developer.P2b=FALSE,"Complete",IF(I.Product.P2bGasToPowerStatus&lt;&gt;"Yes","Complete",IF(AND(I.Gas.P2bY1Count&gt;=21,F26953=""),"Incomplete","Complete")))</f>
        <v>Complete</v>
      </c>
      <c r="I26953" s="48" t="s">
        <v>2132</v>
      </c>
    </row>
    <row r="26954" spans="2:9" ht="15" customHeight="1" x14ac:dyDescent="0.25">
      <c r="B26954" s="55" t="s">
        <v>389</v>
      </c>
      <c r="C26954" s="46">
        <v>22</v>
      </c>
      <c r="D26954" s="69" t="s">
        <v>29526</v>
      </c>
      <c r="E26954" s="62"/>
      <c r="F26954" s="62" t="str">
        <f>IF(INDEX(I.Gas.P2bY1ElectricityGeneration,22)="","",INDEX(I.Gas.P2bY1ElectricityGeneration,22))</f>
        <v/>
      </c>
      <c r="G26954" s="62"/>
      <c r="H26954" s="46" t="str">
        <f>IF(I.Developer.P2b=FALSE,"Complete",IF(I.Product.P2bGasToPowerStatus&lt;&gt;"Yes","Complete",IF(AND(I.Gas.P2bY1Count&gt;=22,F26954=""),"Incomplete","Complete")))</f>
        <v>Complete</v>
      </c>
      <c r="I26954" s="48" t="s">
        <v>2133</v>
      </c>
    </row>
    <row r="26955" spans="2:9" ht="15" customHeight="1" x14ac:dyDescent="0.25">
      <c r="B26955" s="55" t="s">
        <v>389</v>
      </c>
      <c r="C26955" s="46">
        <v>23</v>
      </c>
      <c r="D26955" s="69" t="s">
        <v>29526</v>
      </c>
      <c r="E26955" s="62"/>
      <c r="F26955" s="62" t="str">
        <f>IF(INDEX(I.Gas.P2bY1ElectricityGeneration,23)="","",INDEX(I.Gas.P2bY1ElectricityGeneration,23))</f>
        <v/>
      </c>
      <c r="G26955" s="62"/>
      <c r="H26955" s="46" t="str">
        <f>IF(I.Developer.P2b=FALSE,"Complete",IF(I.Product.P2bGasToPowerStatus&lt;&gt;"Yes","Complete",IF(AND(I.Gas.P2bY1Count&gt;=23,F26955=""),"Incomplete","Complete")))</f>
        <v>Complete</v>
      </c>
      <c r="I26955" s="48" t="s">
        <v>2134</v>
      </c>
    </row>
    <row r="26956" spans="2:9" ht="15" customHeight="1" x14ac:dyDescent="0.25">
      <c r="B26956" s="55" t="s">
        <v>389</v>
      </c>
      <c r="C26956" s="46">
        <v>24</v>
      </c>
      <c r="D26956" s="69" t="s">
        <v>29526</v>
      </c>
      <c r="E26956" s="62"/>
      <c r="F26956" s="62" t="str">
        <f>IF(INDEX(I.Gas.P2bY1ElectricityGeneration,24)="","",INDEX(I.Gas.P2bY1ElectricityGeneration,24))</f>
        <v/>
      </c>
      <c r="G26956" s="62"/>
      <c r="H26956" s="46" t="str">
        <f>IF(I.Developer.P2b=FALSE,"Complete",IF(I.Product.P2bGasToPowerStatus&lt;&gt;"Yes","Complete",IF(AND(I.Gas.P2bY1Count&gt;=24,F26956=""),"Incomplete","Complete")))</f>
        <v>Complete</v>
      </c>
      <c r="I26956" s="48" t="s">
        <v>2135</v>
      </c>
    </row>
    <row r="26957" spans="2:9" ht="15" customHeight="1" x14ac:dyDescent="0.25">
      <c r="B26957" s="55" t="s">
        <v>389</v>
      </c>
      <c r="C26957" s="46">
        <v>25</v>
      </c>
      <c r="D26957" s="69" t="s">
        <v>29526</v>
      </c>
      <c r="E26957" s="62"/>
      <c r="F26957" s="62" t="str">
        <f>IF(INDEX(I.Gas.P2bY1ElectricityGeneration,25)="","",INDEX(I.Gas.P2bY1ElectricityGeneration,25))</f>
        <v/>
      </c>
      <c r="G26957" s="62"/>
      <c r="H26957" s="46" t="str">
        <f>IF(I.Developer.P2b=FALSE,"Complete",IF(I.Product.P2bGasToPowerStatus&lt;&gt;"Yes","Complete",IF(AND(I.Gas.P2bY1Count&gt;=25,F26957=""),"Incomplete","Complete")))</f>
        <v>Complete</v>
      </c>
      <c r="I26957" s="48" t="s">
        <v>2136</v>
      </c>
    </row>
    <row r="26958" spans="2:9" ht="15" customHeight="1" x14ac:dyDescent="0.25">
      <c r="B26958" s="55" t="s">
        <v>389</v>
      </c>
      <c r="C26958" s="46">
        <v>26</v>
      </c>
      <c r="D26958" s="69" t="s">
        <v>29526</v>
      </c>
      <c r="E26958" s="62"/>
      <c r="F26958" s="62" t="str">
        <f>IF(INDEX(I.Gas.P2bY1ElectricityGeneration,26)="","",INDEX(I.Gas.P2bY1ElectricityGeneration,26))</f>
        <v/>
      </c>
      <c r="G26958" s="62"/>
      <c r="H26958" s="46" t="str">
        <f>IF(I.Developer.P2b=FALSE,"Complete",IF(I.Product.P2bGasToPowerStatus&lt;&gt;"Yes","Complete",IF(AND(I.Gas.P2bY1Count&gt;=26,F26958=""),"Incomplete","Complete")))</f>
        <v>Complete</v>
      </c>
      <c r="I26958" s="48" t="s">
        <v>2137</v>
      </c>
    </row>
    <row r="26959" spans="2:9" ht="15" customHeight="1" x14ac:dyDescent="0.25">
      <c r="B26959" s="55" t="s">
        <v>389</v>
      </c>
      <c r="C26959" s="46">
        <v>27</v>
      </c>
      <c r="D26959" s="69" t="s">
        <v>29526</v>
      </c>
      <c r="E26959" s="62"/>
      <c r="F26959" s="62" t="str">
        <f>IF(INDEX(I.Gas.P2bY1ElectricityGeneration,27)="","",INDEX(I.Gas.P2bY1ElectricityGeneration,27))</f>
        <v/>
      </c>
      <c r="G26959" s="62"/>
      <c r="H26959" s="46" t="str">
        <f>IF(I.Developer.P2b=FALSE,"Complete",IF(I.Product.P2bGasToPowerStatus&lt;&gt;"Yes","Complete",IF(AND(I.Gas.P2bY1Count&gt;=27,F26959=""),"Incomplete","Complete")))</f>
        <v>Complete</v>
      </c>
      <c r="I26959" s="48" t="s">
        <v>2138</v>
      </c>
    </row>
    <row r="26960" spans="2:9" ht="15" customHeight="1" x14ac:dyDescent="0.25">
      <c r="B26960" s="55" t="s">
        <v>389</v>
      </c>
      <c r="C26960" s="46">
        <v>28</v>
      </c>
      <c r="D26960" s="69" t="s">
        <v>29526</v>
      </c>
      <c r="E26960" s="62"/>
      <c r="F26960" s="62" t="str">
        <f>IF(INDEX(I.Gas.P2bY1ElectricityGeneration,28)="","",INDEX(I.Gas.P2bY1ElectricityGeneration,28))</f>
        <v/>
      </c>
      <c r="G26960" s="62"/>
      <c r="H26960" s="46" t="str">
        <f>IF(I.Developer.P2b=FALSE,"Complete",IF(I.Product.P2bGasToPowerStatus&lt;&gt;"Yes","Complete",IF(AND(I.Gas.P2bY1Count&gt;=28,F26960=""),"Incomplete","Complete")))</f>
        <v>Complete</v>
      </c>
      <c r="I26960" s="48" t="s">
        <v>2139</v>
      </c>
    </row>
    <row r="26961" spans="2:9" ht="15" customHeight="1" x14ac:dyDescent="0.25">
      <c r="B26961" s="55" t="s">
        <v>389</v>
      </c>
      <c r="C26961" s="46">
        <v>29</v>
      </c>
      <c r="D26961" s="69" t="s">
        <v>29526</v>
      </c>
      <c r="E26961" s="62"/>
      <c r="F26961" s="62" t="str">
        <f>IF(INDEX(I.Gas.P2bY1ElectricityGeneration,29)="","",INDEX(I.Gas.P2bY1ElectricityGeneration,29))</f>
        <v/>
      </c>
      <c r="G26961" s="62"/>
      <c r="H26961" s="46" t="str">
        <f>IF(I.Developer.P2b=FALSE,"Complete",IF(I.Product.P2bGasToPowerStatus&lt;&gt;"Yes","Complete",IF(AND(I.Gas.P2bY1Count&gt;=29,F26961=""),"Incomplete","Complete")))</f>
        <v>Complete</v>
      </c>
      <c r="I26961" s="48" t="s">
        <v>2140</v>
      </c>
    </row>
    <row r="26962" spans="2:9" ht="15" customHeight="1" x14ac:dyDescent="0.25">
      <c r="B26962" s="55" t="s">
        <v>389</v>
      </c>
      <c r="C26962" s="46">
        <v>30</v>
      </c>
      <c r="D26962" s="69" t="s">
        <v>29526</v>
      </c>
      <c r="E26962" s="62"/>
      <c r="F26962" s="62" t="str">
        <f>IF(INDEX(I.Gas.P2bY1ElectricityGeneration,30)="","",INDEX(I.Gas.P2bY1ElectricityGeneration,30))</f>
        <v/>
      </c>
      <c r="G26962" s="62"/>
      <c r="H26962" s="46" t="str">
        <f>IF(I.Developer.P2b=FALSE,"Complete",IF(I.Product.P2bGasToPowerStatus&lt;&gt;"Yes","Complete",IF(AND(I.Gas.P2bY1Count&gt;=30,F26962=""),"Incomplete","Complete")))</f>
        <v>Complete</v>
      </c>
      <c r="I26962" s="48" t="s">
        <v>2141</v>
      </c>
    </row>
    <row r="26963" spans="2:9" ht="15" customHeight="1" x14ac:dyDescent="0.25">
      <c r="B26963" s="55" t="s">
        <v>389</v>
      </c>
      <c r="C26963" s="46">
        <v>31</v>
      </c>
      <c r="D26963" s="69" t="s">
        <v>29526</v>
      </c>
      <c r="E26963" s="62"/>
      <c r="F26963" s="62" t="str">
        <f>IF(INDEX(I.Gas.P2bY1ElectricityGeneration,31)="","",INDEX(I.Gas.P2bY1ElectricityGeneration,31))</f>
        <v/>
      </c>
      <c r="G26963" s="62"/>
      <c r="H26963" s="46" t="str">
        <f>IF(I.Developer.P2b=FALSE,"Complete",IF(I.Product.P2bGasToPowerStatus&lt;&gt;"Yes","Complete",IF(AND(I.Gas.P2bY1Count&gt;=31,F26963=""),"Incomplete","Complete")))</f>
        <v>Complete</v>
      </c>
      <c r="I26963" s="48" t="s">
        <v>2142</v>
      </c>
    </row>
    <row r="26964" spans="2:9" ht="15" customHeight="1" x14ac:dyDescent="0.25">
      <c r="B26964" s="55" t="s">
        <v>389</v>
      </c>
      <c r="C26964" s="46">
        <v>32</v>
      </c>
      <c r="D26964" s="69" t="s">
        <v>29526</v>
      </c>
      <c r="E26964" s="62"/>
      <c r="F26964" s="62" t="str">
        <f>IF(INDEX(I.Gas.P2bY1ElectricityGeneration,32)="","",INDEX(I.Gas.P2bY1ElectricityGeneration,32))</f>
        <v/>
      </c>
      <c r="G26964" s="62"/>
      <c r="H26964" s="46" t="str">
        <f>IF(I.Developer.P2b=FALSE,"Complete",IF(I.Product.P2bGasToPowerStatus&lt;&gt;"Yes","Complete",IF(AND(I.Gas.P2bY1Count&gt;=32,F26964=""),"Incomplete","Complete")))</f>
        <v>Complete</v>
      </c>
      <c r="I26964" s="48" t="s">
        <v>2143</v>
      </c>
    </row>
    <row r="26965" spans="2:9" ht="15" customHeight="1" x14ac:dyDescent="0.25">
      <c r="B26965" s="55" t="s">
        <v>389</v>
      </c>
      <c r="C26965" s="46">
        <v>33</v>
      </c>
      <c r="D26965" s="69" t="s">
        <v>29526</v>
      </c>
      <c r="E26965" s="62"/>
      <c r="F26965" s="62" t="str">
        <f>IF(INDEX(I.Gas.P2bY1ElectricityGeneration,33)="","",INDEX(I.Gas.P2bY1ElectricityGeneration,33))</f>
        <v/>
      </c>
      <c r="G26965" s="62"/>
      <c r="H26965" s="46" t="str">
        <f>IF(I.Developer.P2b=FALSE,"Complete",IF(I.Product.P2bGasToPowerStatus&lt;&gt;"Yes","Complete",IF(AND(I.Gas.P2bY1Count&gt;=33,F26965=""),"Incomplete","Complete")))</f>
        <v>Complete</v>
      </c>
      <c r="I26965" s="48" t="s">
        <v>2144</v>
      </c>
    </row>
    <row r="26966" spans="2:9" ht="15" customHeight="1" x14ac:dyDescent="0.25">
      <c r="B26966" s="55" t="s">
        <v>389</v>
      </c>
      <c r="C26966" s="46">
        <v>34</v>
      </c>
      <c r="D26966" s="69" t="s">
        <v>29526</v>
      </c>
      <c r="E26966" s="62"/>
      <c r="F26966" s="62" t="str">
        <f>IF(INDEX(I.Gas.P2bY1ElectricityGeneration,34)="","",INDEX(I.Gas.P2bY1ElectricityGeneration,34))</f>
        <v/>
      </c>
      <c r="G26966" s="62"/>
      <c r="H26966" s="46" t="str">
        <f>IF(I.Developer.P2b=FALSE,"Complete",IF(I.Product.P2bGasToPowerStatus&lt;&gt;"Yes","Complete",IF(AND(I.Gas.P2bY1Count&gt;=34,F26966=""),"Incomplete","Complete")))</f>
        <v>Complete</v>
      </c>
      <c r="I26966" s="48" t="s">
        <v>2145</v>
      </c>
    </row>
    <row r="26967" spans="2:9" ht="15" customHeight="1" x14ac:dyDescent="0.25">
      <c r="B26967" s="55" t="s">
        <v>389</v>
      </c>
      <c r="C26967" s="46">
        <v>35</v>
      </c>
      <c r="D26967" s="69" t="s">
        <v>29526</v>
      </c>
      <c r="E26967" s="62"/>
      <c r="F26967" s="62" t="str">
        <f>IF(INDEX(I.Gas.P2bY1ElectricityGeneration,35)="","",INDEX(I.Gas.P2bY1ElectricityGeneration,35))</f>
        <v/>
      </c>
      <c r="G26967" s="62"/>
      <c r="H26967" s="46" t="str">
        <f>IF(I.Developer.P2b=FALSE,"Complete",IF(I.Product.P2bGasToPowerStatus&lt;&gt;"Yes","Complete",IF(AND(I.Gas.P2bY1Count&gt;=35,F26967=""),"Incomplete","Complete")))</f>
        <v>Complete</v>
      </c>
      <c r="I26967" s="48" t="s">
        <v>2146</v>
      </c>
    </row>
    <row r="26968" spans="2:9" ht="15" customHeight="1" x14ac:dyDescent="0.25">
      <c r="B26968" s="55" t="s">
        <v>389</v>
      </c>
      <c r="C26968" s="46">
        <v>36</v>
      </c>
      <c r="D26968" s="69" t="s">
        <v>29526</v>
      </c>
      <c r="E26968" s="62"/>
      <c r="F26968" s="62" t="str">
        <f>IF(INDEX(I.Gas.P2bY1ElectricityGeneration,36)="","",INDEX(I.Gas.P2bY1ElectricityGeneration,36))</f>
        <v/>
      </c>
      <c r="G26968" s="62"/>
      <c r="H26968" s="46" t="str">
        <f>IF(I.Developer.P2b=FALSE,"Complete",IF(I.Product.P2bGasToPowerStatus&lt;&gt;"Yes","Complete",IF(AND(I.Gas.P2bY1Count&gt;=36,F26968=""),"Incomplete","Complete")))</f>
        <v>Complete</v>
      </c>
      <c r="I26968" s="48" t="s">
        <v>2147</v>
      </c>
    </row>
    <row r="26969" spans="2:9" ht="15" customHeight="1" x14ac:dyDescent="0.25">
      <c r="B26969" s="55" t="s">
        <v>389</v>
      </c>
      <c r="C26969" s="46">
        <v>37</v>
      </c>
      <c r="D26969" s="69" t="s">
        <v>29526</v>
      </c>
      <c r="E26969" s="62"/>
      <c r="F26969" s="62" t="str">
        <f>IF(INDEX(I.Gas.P2bY1ElectricityGeneration,37)="","",INDEX(I.Gas.P2bY1ElectricityGeneration,37))</f>
        <v/>
      </c>
      <c r="G26969" s="62"/>
      <c r="H26969" s="46" t="str">
        <f>IF(I.Developer.P2b=FALSE,"Complete",IF(I.Product.P2bGasToPowerStatus&lt;&gt;"Yes","Complete",IF(AND(I.Gas.P2bY1Count&gt;=37,F26969=""),"Incomplete","Complete")))</f>
        <v>Complete</v>
      </c>
      <c r="I26969" s="48" t="s">
        <v>2148</v>
      </c>
    </row>
    <row r="26970" spans="2:9" ht="15" customHeight="1" x14ac:dyDescent="0.25">
      <c r="B26970" s="55" t="s">
        <v>389</v>
      </c>
      <c r="C26970" s="46">
        <v>38</v>
      </c>
      <c r="D26970" s="69" t="s">
        <v>29526</v>
      </c>
      <c r="E26970" s="62"/>
      <c r="F26970" s="62" t="str">
        <f>IF(INDEX(I.Gas.P2bY1ElectricityGeneration,38)="","",INDEX(I.Gas.P2bY1ElectricityGeneration,38))</f>
        <v/>
      </c>
      <c r="G26970" s="62"/>
      <c r="H26970" s="46" t="str">
        <f>IF(I.Developer.P2b=FALSE,"Complete",IF(I.Product.P2bGasToPowerStatus&lt;&gt;"Yes","Complete",IF(AND(I.Gas.P2bY1Count&gt;=38,F26970=""),"Incomplete","Complete")))</f>
        <v>Complete</v>
      </c>
      <c r="I26970" s="48" t="s">
        <v>2149</v>
      </c>
    </row>
    <row r="26971" spans="2:9" ht="15" customHeight="1" x14ac:dyDescent="0.25">
      <c r="B26971" s="55" t="s">
        <v>389</v>
      </c>
      <c r="C26971" s="46">
        <v>39</v>
      </c>
      <c r="D26971" s="69" t="s">
        <v>29526</v>
      </c>
      <c r="E26971" s="62"/>
      <c r="F26971" s="62" t="str">
        <f>IF(INDEX(I.Gas.P2bY1ElectricityGeneration,39)="","",INDEX(I.Gas.P2bY1ElectricityGeneration,39))</f>
        <v/>
      </c>
      <c r="G26971" s="62"/>
      <c r="H26971" s="46" t="str">
        <f>IF(I.Developer.P2b=FALSE,"Complete",IF(I.Product.P2bGasToPowerStatus&lt;&gt;"Yes","Complete",IF(AND(I.Gas.P2bY1Count&gt;=39,F26971=""),"Incomplete","Complete")))</f>
        <v>Complete</v>
      </c>
      <c r="I26971" s="48" t="s">
        <v>2150</v>
      </c>
    </row>
    <row r="26972" spans="2:9" ht="15" customHeight="1" x14ac:dyDescent="0.25">
      <c r="B26972" s="55" t="s">
        <v>389</v>
      </c>
      <c r="C26972" s="46">
        <v>40</v>
      </c>
      <c r="D26972" s="69" t="s">
        <v>29526</v>
      </c>
      <c r="E26972" s="62"/>
      <c r="F26972" s="62" t="str">
        <f>IF(INDEX(I.Gas.P2bY1ElectricityGeneration,40)="","",INDEX(I.Gas.P2bY1ElectricityGeneration,40))</f>
        <v/>
      </c>
      <c r="G26972" s="62"/>
      <c r="H26972" s="46" t="str">
        <f>IF(I.Developer.P2b=FALSE,"Complete",IF(I.Product.P2bGasToPowerStatus&lt;&gt;"Yes","Complete",IF(AND(I.Gas.P2bY1Count&gt;=40,F26972=""),"Incomplete","Complete")))</f>
        <v>Complete</v>
      </c>
      <c r="I26972" s="48" t="s">
        <v>2151</v>
      </c>
    </row>
    <row r="26973" spans="2:9" ht="15" customHeight="1" x14ac:dyDescent="0.25">
      <c r="B26973" s="55" t="s">
        <v>389</v>
      </c>
      <c r="C26973" s="46">
        <v>41</v>
      </c>
      <c r="D26973" s="69" t="s">
        <v>29526</v>
      </c>
      <c r="E26973" s="62"/>
      <c r="F26973" s="62" t="str">
        <f>IF(INDEX(I.Gas.P2bY1ElectricityGeneration,41)="","",INDEX(I.Gas.P2bY1ElectricityGeneration,41))</f>
        <v/>
      </c>
      <c r="G26973" s="62"/>
      <c r="H26973" s="46" t="str">
        <f>IF(I.Developer.P2b=FALSE,"Complete",IF(I.Product.P2bGasToPowerStatus&lt;&gt;"Yes","Complete",IF(AND(I.Gas.P2bY1Count&gt;=41,F26973=""),"Incomplete","Complete")))</f>
        <v>Complete</v>
      </c>
      <c r="I26973" s="48" t="s">
        <v>2152</v>
      </c>
    </row>
    <row r="26974" spans="2:9" ht="15" customHeight="1" x14ac:dyDescent="0.25">
      <c r="B26974" s="55" t="s">
        <v>389</v>
      </c>
      <c r="C26974" s="46">
        <v>42</v>
      </c>
      <c r="D26974" s="69" t="s">
        <v>29526</v>
      </c>
      <c r="E26974" s="62"/>
      <c r="F26974" s="62" t="str">
        <f>IF(INDEX(I.Gas.P2bY1ElectricityGeneration,42)="","",INDEX(I.Gas.P2bY1ElectricityGeneration,42))</f>
        <v/>
      </c>
      <c r="G26974" s="62"/>
      <c r="H26974" s="46" t="str">
        <f>IF(I.Developer.P2b=FALSE,"Complete",IF(I.Product.P2bGasToPowerStatus&lt;&gt;"Yes","Complete",IF(AND(I.Gas.P2bY1Count&gt;=42,F26974=""),"Incomplete","Complete")))</f>
        <v>Complete</v>
      </c>
      <c r="I26974" s="48" t="s">
        <v>2153</v>
      </c>
    </row>
    <row r="26975" spans="2:9" ht="15" customHeight="1" x14ac:dyDescent="0.25">
      <c r="B26975" s="55" t="s">
        <v>389</v>
      </c>
      <c r="C26975" s="46">
        <v>43</v>
      </c>
      <c r="D26975" s="69" t="s">
        <v>29526</v>
      </c>
      <c r="E26975" s="62"/>
      <c r="F26975" s="62" t="str">
        <f>IF(INDEX(I.Gas.P2bY1ElectricityGeneration,43)="","",INDEX(I.Gas.P2bY1ElectricityGeneration,43))</f>
        <v/>
      </c>
      <c r="G26975" s="62"/>
      <c r="H26975" s="46" t="str">
        <f>IF(I.Developer.P2b=FALSE,"Complete",IF(I.Product.P2bGasToPowerStatus&lt;&gt;"Yes","Complete",IF(AND(I.Gas.P2bY1Count&gt;=43,F26975=""),"Incomplete","Complete")))</f>
        <v>Complete</v>
      </c>
      <c r="I26975" s="48" t="s">
        <v>2154</v>
      </c>
    </row>
    <row r="26976" spans="2:9" ht="15" customHeight="1" x14ac:dyDescent="0.25">
      <c r="B26976" s="55" t="s">
        <v>389</v>
      </c>
      <c r="C26976" s="46">
        <v>44</v>
      </c>
      <c r="D26976" s="69" t="s">
        <v>29526</v>
      </c>
      <c r="E26976" s="62"/>
      <c r="F26976" s="62" t="str">
        <f>IF(INDEX(I.Gas.P2bY1ElectricityGeneration,44)="","",INDEX(I.Gas.P2bY1ElectricityGeneration,44))</f>
        <v/>
      </c>
      <c r="G26976" s="62"/>
      <c r="H26976" s="46" t="str">
        <f>IF(I.Developer.P2b=FALSE,"Complete",IF(I.Product.P2bGasToPowerStatus&lt;&gt;"Yes","Complete",IF(AND(I.Gas.P2bY1Count&gt;=44,F26976=""),"Incomplete","Complete")))</f>
        <v>Complete</v>
      </c>
      <c r="I26976" s="48" t="s">
        <v>2155</v>
      </c>
    </row>
    <row r="26977" spans="2:9" ht="15" customHeight="1" x14ac:dyDescent="0.25">
      <c r="B26977" s="55" t="s">
        <v>389</v>
      </c>
      <c r="C26977" s="46">
        <v>45</v>
      </c>
      <c r="D26977" s="69" t="s">
        <v>29526</v>
      </c>
      <c r="E26977" s="62"/>
      <c r="F26977" s="62" t="str">
        <f>IF(INDEX(I.Gas.P2bY1ElectricityGeneration,45)="","",INDEX(I.Gas.P2bY1ElectricityGeneration,45))</f>
        <v/>
      </c>
      <c r="G26977" s="62"/>
      <c r="H26977" s="46" t="str">
        <f>IF(I.Developer.P2b=FALSE,"Complete",IF(I.Product.P2bGasToPowerStatus&lt;&gt;"Yes","Complete",IF(AND(I.Gas.P2bY1Count&gt;=45,F26977=""),"Incomplete","Complete")))</f>
        <v>Complete</v>
      </c>
      <c r="I26977" s="48" t="s">
        <v>2156</v>
      </c>
    </row>
    <row r="26978" spans="2:9" ht="15" customHeight="1" x14ac:dyDescent="0.25">
      <c r="B26978" s="55" t="s">
        <v>389</v>
      </c>
      <c r="C26978" s="46">
        <v>46</v>
      </c>
      <c r="D26978" s="69" t="s">
        <v>29526</v>
      </c>
      <c r="E26978" s="62"/>
      <c r="F26978" s="62" t="str">
        <f>IF(INDEX(I.Gas.P2bY1ElectricityGeneration,46)="","",INDEX(I.Gas.P2bY1ElectricityGeneration,46))</f>
        <v/>
      </c>
      <c r="G26978" s="62"/>
      <c r="H26978" s="46" t="str">
        <f>IF(I.Developer.P2b=FALSE,"Complete",IF(I.Product.P2bGasToPowerStatus&lt;&gt;"Yes","Complete",IF(AND(I.Gas.P2bY1Count&gt;=46,F26978=""),"Incomplete","Complete")))</f>
        <v>Complete</v>
      </c>
      <c r="I26978" s="48" t="s">
        <v>2157</v>
      </c>
    </row>
    <row r="26979" spans="2:9" ht="15" customHeight="1" x14ac:dyDescent="0.25">
      <c r="B26979" s="55" t="s">
        <v>389</v>
      </c>
      <c r="C26979" s="46">
        <v>47</v>
      </c>
      <c r="D26979" s="69" t="s">
        <v>29526</v>
      </c>
      <c r="E26979" s="62"/>
      <c r="F26979" s="62" t="str">
        <f>IF(INDEX(I.Gas.P2bY1ElectricityGeneration,47)="","",INDEX(I.Gas.P2bY1ElectricityGeneration,47))</f>
        <v/>
      </c>
      <c r="G26979" s="62"/>
      <c r="H26979" s="46" t="str">
        <f>IF(I.Developer.P2b=FALSE,"Complete",IF(I.Product.P2bGasToPowerStatus&lt;&gt;"Yes","Complete",IF(AND(I.Gas.P2bY1Count&gt;=47,F26979=""),"Incomplete","Complete")))</f>
        <v>Complete</v>
      </c>
      <c r="I26979" s="48" t="s">
        <v>2158</v>
      </c>
    </row>
    <row r="26980" spans="2:9" ht="15" customHeight="1" x14ac:dyDescent="0.25">
      <c r="B26980" s="55" t="s">
        <v>389</v>
      </c>
      <c r="C26980" s="46">
        <v>48</v>
      </c>
      <c r="D26980" s="69" t="s">
        <v>29526</v>
      </c>
      <c r="E26980" s="62"/>
      <c r="F26980" s="62" t="str">
        <f>IF(INDEX(I.Gas.P2bY1ElectricityGeneration,48)="","",INDEX(I.Gas.P2bY1ElectricityGeneration,48))</f>
        <v/>
      </c>
      <c r="G26980" s="62"/>
      <c r="H26980" s="46" t="str">
        <f>IF(I.Developer.P2b=FALSE,"Complete",IF(I.Product.P2bGasToPowerStatus&lt;&gt;"Yes","Complete",IF(AND(I.Gas.P2bY1Count&gt;=48,F26980=""),"Incomplete","Complete")))</f>
        <v>Complete</v>
      </c>
      <c r="I26980" s="48" t="s">
        <v>2159</v>
      </c>
    </row>
    <row r="26981" spans="2:9" ht="15" customHeight="1" x14ac:dyDescent="0.25">
      <c r="B26981" s="55" t="s">
        <v>389</v>
      </c>
      <c r="C26981" s="46">
        <v>49</v>
      </c>
      <c r="D26981" s="69" t="s">
        <v>29526</v>
      </c>
      <c r="E26981" s="62"/>
      <c r="F26981" s="62" t="str">
        <f>IF(INDEX(I.Gas.P2bY1ElectricityGeneration,49)="","",INDEX(I.Gas.P2bY1ElectricityGeneration,49))</f>
        <v/>
      </c>
      <c r="G26981" s="62"/>
      <c r="H26981" s="46" t="str">
        <f>IF(I.Developer.P2b=FALSE,"Complete",IF(I.Product.P2bGasToPowerStatus&lt;&gt;"Yes","Complete",IF(AND(I.Gas.P2bY1Count&gt;=49,F26981=""),"Incomplete","Complete")))</f>
        <v>Complete</v>
      </c>
      <c r="I26981" s="48" t="s">
        <v>2160</v>
      </c>
    </row>
    <row r="26982" spans="2:9" ht="15" customHeight="1" x14ac:dyDescent="0.25">
      <c r="B26982" s="56" t="s">
        <v>389</v>
      </c>
      <c r="C26982" s="57">
        <v>50</v>
      </c>
      <c r="D26982" s="71" t="s">
        <v>29526</v>
      </c>
      <c r="E26982" s="61"/>
      <c r="F26982" s="61" t="str">
        <f>IF(INDEX(I.Gas.P2bY1ElectricityGeneration,50)="","",INDEX(I.Gas.P2bY1ElectricityGeneration,50))</f>
        <v/>
      </c>
      <c r="G26982" s="61"/>
      <c r="H26982" s="57" t="str">
        <f>IF(I.Developer.P2b=FALSE,"Complete",IF(I.Product.P2bGasToPowerStatus&lt;&gt;"Yes","Complete",IF(AND(I.Gas.P2bY1Count&gt;=50,F26982=""),"Incomplete","Complete")))</f>
        <v>Complete</v>
      </c>
      <c r="I26982" s="49" t="s">
        <v>2161</v>
      </c>
    </row>
    <row r="26983" spans="2:9" ht="15" customHeight="1" x14ac:dyDescent="0.25">
      <c r="B26983" s="55" t="s">
        <v>390</v>
      </c>
      <c r="C26983" s="46">
        <v>1</v>
      </c>
      <c r="D26983" s="69" t="s">
        <v>29527</v>
      </c>
      <c r="E26983" s="62"/>
      <c r="F26983" s="62" t="str">
        <f>IF(INDEX(I.Gas.P2bY1C1V1,1)="","",INDEX(I.Gas.P2bY1C1V1,1))</f>
        <v/>
      </c>
      <c r="G26983" s="62"/>
      <c r="H26983" s="46" t="str">
        <f>IF(OR(I.Developer.P2b=FALSE,I.Facility.StandardPart&lt;&gt;"Part 2"),"Complete",IF(I.Product.P2bGasToPowerStatus&lt;&gt;"Yes","Complete",IF(AND(I.Gas.P2bY1Count&gt;=1,F26983=""),"Incomplete","Complete")))</f>
        <v>Complete</v>
      </c>
      <c r="I26983" s="48" t="s">
        <v>2162</v>
      </c>
    </row>
    <row r="26984" spans="2:9" ht="15" customHeight="1" x14ac:dyDescent="0.25">
      <c r="B26984" s="55" t="s">
        <v>390</v>
      </c>
      <c r="C26984" s="46">
        <v>2</v>
      </c>
      <c r="D26984" s="69" t="s">
        <v>29527</v>
      </c>
      <c r="E26984" s="62"/>
      <c r="F26984" s="62" t="str">
        <f>IF(INDEX(I.Gas.P2bY1C1V1,2)="","",INDEX(I.Gas.P2bY1C1V1,2))</f>
        <v/>
      </c>
      <c r="G26984" s="62"/>
      <c r="H26984" s="46" t="str">
        <f>IF(OR(I.Developer.P2b=FALSE,I.Facility.StandardPart&lt;&gt;"Part 2"),"Complete",IF(I.Product.P2bGasToPowerStatus&lt;&gt;"Yes","Complete",IF(AND(I.Gas.P2bY1Count&gt;=2,F26984=""),"Incomplete","Complete")))</f>
        <v>Complete</v>
      </c>
      <c r="I26984" s="48" t="s">
        <v>2163</v>
      </c>
    </row>
    <row r="26985" spans="2:9" ht="15" customHeight="1" x14ac:dyDescent="0.25">
      <c r="B26985" s="55" t="s">
        <v>390</v>
      </c>
      <c r="C26985" s="46">
        <v>3</v>
      </c>
      <c r="D26985" s="69" t="s">
        <v>29527</v>
      </c>
      <c r="E26985" s="62"/>
      <c r="F26985" s="62" t="str">
        <f>IF(INDEX(I.Gas.P2bY1C1V1,3)="","",INDEX(I.Gas.P2bY1C1V1,3))</f>
        <v/>
      </c>
      <c r="G26985" s="62"/>
      <c r="H26985" s="46" t="str">
        <f>IF(OR(I.Developer.P2b=FALSE,I.Facility.StandardPart&lt;&gt;"Part 2"),"Complete",IF(I.Product.P2bGasToPowerStatus&lt;&gt;"Yes","Complete",IF(AND(I.Gas.P2bY1Count&gt;=3,F26985=""),"Incomplete","Complete")))</f>
        <v>Complete</v>
      </c>
      <c r="I26985" s="48" t="s">
        <v>2164</v>
      </c>
    </row>
    <row r="26986" spans="2:9" ht="15" customHeight="1" x14ac:dyDescent="0.25">
      <c r="B26986" s="55" t="s">
        <v>390</v>
      </c>
      <c r="C26986" s="46">
        <v>4</v>
      </c>
      <c r="D26986" s="69" t="s">
        <v>29527</v>
      </c>
      <c r="E26986" s="62"/>
      <c r="F26986" s="62" t="str">
        <f>IF(INDEX(I.Gas.P2bY1C1V1,4)="","",INDEX(I.Gas.P2bY1C1V1,4))</f>
        <v/>
      </c>
      <c r="G26986" s="62"/>
      <c r="H26986" s="46" t="str">
        <f>IF(OR(I.Developer.P2b=FALSE,I.Facility.StandardPart&lt;&gt;"Part 2"),"Complete",IF(I.Product.P2bGasToPowerStatus&lt;&gt;"Yes","Complete",IF(AND(I.Gas.P2bY1Count&gt;=4,F26986=""),"Incomplete","Complete")))</f>
        <v>Complete</v>
      </c>
      <c r="I26986" s="48" t="s">
        <v>2165</v>
      </c>
    </row>
    <row r="26987" spans="2:9" ht="15" customHeight="1" x14ac:dyDescent="0.25">
      <c r="B26987" s="55" t="s">
        <v>390</v>
      </c>
      <c r="C26987" s="46">
        <v>5</v>
      </c>
      <c r="D26987" s="69" t="s">
        <v>29527</v>
      </c>
      <c r="E26987" s="62"/>
      <c r="F26987" s="62" t="str">
        <f>IF(INDEX(I.Gas.P2bY1C1V1,5)="","",INDEX(I.Gas.P2bY1C1V1,5))</f>
        <v/>
      </c>
      <c r="G26987" s="62"/>
      <c r="H26987" s="46" t="str">
        <f>IF(OR(I.Developer.P2b=FALSE,I.Facility.StandardPart&lt;&gt;"Part 2"),"Complete",IF(I.Product.P2bGasToPowerStatus&lt;&gt;"Yes","Complete",IF(AND(I.Gas.P2bY1Count&gt;=5,F26987=""),"Incomplete","Complete")))</f>
        <v>Complete</v>
      </c>
      <c r="I26987" s="48" t="s">
        <v>2166</v>
      </c>
    </row>
    <row r="26988" spans="2:9" ht="15" customHeight="1" x14ac:dyDescent="0.25">
      <c r="B26988" s="55" t="s">
        <v>390</v>
      </c>
      <c r="C26988" s="46">
        <v>6</v>
      </c>
      <c r="D26988" s="69" t="s">
        <v>29527</v>
      </c>
      <c r="E26988" s="62"/>
      <c r="F26988" s="62" t="str">
        <f>IF(INDEX(I.Gas.P2bY1C1V1,6)="","",INDEX(I.Gas.P2bY1C1V1,6))</f>
        <v/>
      </c>
      <c r="G26988" s="62"/>
      <c r="H26988" s="46" t="str">
        <f>IF(OR(I.Developer.P2b=FALSE,I.Facility.StandardPart&lt;&gt;"Part 2"),"Complete",IF(I.Product.P2bGasToPowerStatus&lt;&gt;"Yes","Complete",IF(AND(I.Gas.P2bY1Count&gt;=6,F26988=""),"Incomplete","Complete")))</f>
        <v>Complete</v>
      </c>
      <c r="I26988" s="48" t="s">
        <v>2167</v>
      </c>
    </row>
    <row r="26989" spans="2:9" ht="15" customHeight="1" x14ac:dyDescent="0.25">
      <c r="B26989" s="55" t="s">
        <v>390</v>
      </c>
      <c r="C26989" s="46">
        <v>7</v>
      </c>
      <c r="D26989" s="69" t="s">
        <v>29527</v>
      </c>
      <c r="E26989" s="62"/>
      <c r="F26989" s="62" t="str">
        <f>IF(INDEX(I.Gas.P2bY1C1V1,7)="","",INDEX(I.Gas.P2bY1C1V1,7))</f>
        <v/>
      </c>
      <c r="G26989" s="62"/>
      <c r="H26989" s="46" t="str">
        <f>IF(OR(I.Developer.P2b=FALSE,I.Facility.StandardPart&lt;&gt;"Part 2"),"Complete",IF(I.Product.P2bGasToPowerStatus&lt;&gt;"Yes","Complete",IF(AND(I.Gas.P2bY1Count&gt;=7,F26989=""),"Incomplete","Complete")))</f>
        <v>Complete</v>
      </c>
      <c r="I26989" s="48" t="s">
        <v>2168</v>
      </c>
    </row>
    <row r="26990" spans="2:9" ht="15" customHeight="1" x14ac:dyDescent="0.25">
      <c r="B26990" s="55" t="s">
        <v>390</v>
      </c>
      <c r="C26990" s="46">
        <v>8</v>
      </c>
      <c r="D26990" s="69" t="s">
        <v>29527</v>
      </c>
      <c r="E26990" s="62"/>
      <c r="F26990" s="62" t="str">
        <f>IF(INDEX(I.Gas.P2bY1C1V1,8)="","",INDEX(I.Gas.P2bY1C1V1,8))</f>
        <v/>
      </c>
      <c r="G26990" s="62"/>
      <c r="H26990" s="46" t="str">
        <f>IF(OR(I.Developer.P2b=FALSE,I.Facility.StandardPart&lt;&gt;"Part 2"),"Complete",IF(I.Product.P2bGasToPowerStatus&lt;&gt;"Yes","Complete",IF(AND(I.Gas.P2bY1Count&gt;=8,F26990=""),"Incomplete","Complete")))</f>
        <v>Complete</v>
      </c>
      <c r="I26990" s="48" t="s">
        <v>2169</v>
      </c>
    </row>
    <row r="26991" spans="2:9" ht="15" customHeight="1" x14ac:dyDescent="0.25">
      <c r="B26991" s="55" t="s">
        <v>390</v>
      </c>
      <c r="C26991" s="46">
        <v>9</v>
      </c>
      <c r="D26991" s="69" t="s">
        <v>29527</v>
      </c>
      <c r="E26991" s="62"/>
      <c r="F26991" s="62" t="str">
        <f>IF(INDEX(I.Gas.P2bY1C1V1,9)="","",INDEX(I.Gas.P2bY1C1V1,9))</f>
        <v/>
      </c>
      <c r="G26991" s="62"/>
      <c r="H26991" s="46" t="str">
        <f>IF(OR(I.Developer.P2b=FALSE,I.Facility.StandardPart&lt;&gt;"Part 2"),"Complete",IF(I.Product.P2bGasToPowerStatus&lt;&gt;"Yes","Complete",IF(AND(I.Gas.P2bY1Count&gt;=9,F26991=""),"Incomplete","Complete")))</f>
        <v>Complete</v>
      </c>
      <c r="I26991" s="48" t="s">
        <v>2170</v>
      </c>
    </row>
    <row r="26992" spans="2:9" ht="15" customHeight="1" x14ac:dyDescent="0.25">
      <c r="B26992" s="55" t="s">
        <v>390</v>
      </c>
      <c r="C26992" s="46">
        <v>10</v>
      </c>
      <c r="D26992" s="69" t="s">
        <v>29527</v>
      </c>
      <c r="E26992" s="62"/>
      <c r="F26992" s="62" t="str">
        <f>IF(INDEX(I.Gas.P2bY1C1V1,10)="","",INDEX(I.Gas.P2bY1C1V1,10))</f>
        <v/>
      </c>
      <c r="G26992" s="62"/>
      <c r="H26992" s="46" t="str">
        <f>IF(OR(I.Developer.P2b=FALSE,I.Facility.StandardPart&lt;&gt;"Part 2"),"Complete",IF(I.Product.P2bGasToPowerStatus&lt;&gt;"Yes","Complete",IF(AND(I.Gas.P2bY1Count&gt;=10,F26992=""),"Incomplete","Complete")))</f>
        <v>Complete</v>
      </c>
      <c r="I26992" s="48" t="s">
        <v>2171</v>
      </c>
    </row>
    <row r="26993" spans="2:9" ht="15" customHeight="1" x14ac:dyDescent="0.25">
      <c r="B26993" s="55" t="s">
        <v>390</v>
      </c>
      <c r="C26993" s="46">
        <v>11</v>
      </c>
      <c r="D26993" s="69" t="s">
        <v>29527</v>
      </c>
      <c r="E26993" s="62"/>
      <c r="F26993" s="62" t="str">
        <f>IF(INDEX(I.Gas.P2bY1C1V1,11)="","",INDEX(I.Gas.P2bY1C1V1,11))</f>
        <v/>
      </c>
      <c r="G26993" s="62"/>
      <c r="H26993" s="46" t="str">
        <f>IF(OR(I.Developer.P2b=FALSE,I.Facility.StandardPart&lt;&gt;"Part 2"),"Complete",IF(I.Product.P2bGasToPowerStatus&lt;&gt;"Yes","Complete",IF(AND(I.Gas.P2bY1Count&gt;=11,F26993=""),"Incomplete","Complete")))</f>
        <v>Complete</v>
      </c>
      <c r="I26993" s="48" t="s">
        <v>2172</v>
      </c>
    </row>
    <row r="26994" spans="2:9" ht="15" customHeight="1" x14ac:dyDescent="0.25">
      <c r="B26994" s="55" t="s">
        <v>390</v>
      </c>
      <c r="C26994" s="46">
        <v>12</v>
      </c>
      <c r="D26994" s="69" t="s">
        <v>29527</v>
      </c>
      <c r="E26994" s="62"/>
      <c r="F26994" s="62" t="str">
        <f>IF(INDEX(I.Gas.P2bY1C1V1,12)="","",INDEX(I.Gas.P2bY1C1V1,12))</f>
        <v/>
      </c>
      <c r="G26994" s="62"/>
      <c r="H26994" s="46" t="str">
        <f>IF(OR(I.Developer.P2b=FALSE,I.Facility.StandardPart&lt;&gt;"Part 2"),"Complete",IF(I.Product.P2bGasToPowerStatus&lt;&gt;"Yes","Complete",IF(AND(I.Gas.P2bY1Count&gt;=12,F26994=""),"Incomplete","Complete")))</f>
        <v>Complete</v>
      </c>
      <c r="I26994" s="48" t="s">
        <v>2173</v>
      </c>
    </row>
    <row r="26995" spans="2:9" ht="15" customHeight="1" x14ac:dyDescent="0.25">
      <c r="B26995" s="55" t="s">
        <v>390</v>
      </c>
      <c r="C26995" s="46">
        <v>13</v>
      </c>
      <c r="D26995" s="69" t="s">
        <v>29527</v>
      </c>
      <c r="E26995" s="62"/>
      <c r="F26995" s="62" t="str">
        <f>IF(INDEX(I.Gas.P2bY1C1V1,13)="","",INDEX(I.Gas.P2bY1C1V1,13))</f>
        <v/>
      </c>
      <c r="G26995" s="62"/>
      <c r="H26995" s="46" t="str">
        <f>IF(OR(I.Developer.P2b=FALSE,I.Facility.StandardPart&lt;&gt;"Part 2"),"Complete",IF(I.Product.P2bGasToPowerStatus&lt;&gt;"Yes","Complete",IF(AND(I.Gas.P2bY1Count&gt;=13,F26995=""),"Incomplete","Complete")))</f>
        <v>Complete</v>
      </c>
      <c r="I26995" s="48" t="s">
        <v>2174</v>
      </c>
    </row>
    <row r="26996" spans="2:9" ht="15" customHeight="1" x14ac:dyDescent="0.25">
      <c r="B26996" s="55" t="s">
        <v>390</v>
      </c>
      <c r="C26996" s="46">
        <v>14</v>
      </c>
      <c r="D26996" s="69" t="s">
        <v>29527</v>
      </c>
      <c r="E26996" s="62"/>
      <c r="F26996" s="62" t="str">
        <f>IF(INDEX(I.Gas.P2bY1C1V1,14)="","",INDEX(I.Gas.P2bY1C1V1,14))</f>
        <v/>
      </c>
      <c r="G26996" s="62"/>
      <c r="H26996" s="46" t="str">
        <f>IF(OR(I.Developer.P2b=FALSE,I.Facility.StandardPart&lt;&gt;"Part 2"),"Complete",IF(I.Product.P2bGasToPowerStatus&lt;&gt;"Yes","Complete",IF(AND(I.Gas.P2bY1Count&gt;=14,F26996=""),"Incomplete","Complete")))</f>
        <v>Complete</v>
      </c>
      <c r="I26996" s="48" t="s">
        <v>2175</v>
      </c>
    </row>
    <row r="26997" spans="2:9" ht="15" customHeight="1" x14ac:dyDescent="0.25">
      <c r="B26997" s="55" t="s">
        <v>390</v>
      </c>
      <c r="C26997" s="46">
        <v>15</v>
      </c>
      <c r="D26997" s="69" t="s">
        <v>29527</v>
      </c>
      <c r="E26997" s="62"/>
      <c r="F26997" s="62" t="str">
        <f>IF(INDEX(I.Gas.P2bY1C1V1,15)="","",INDEX(I.Gas.P2bY1C1V1,15))</f>
        <v/>
      </c>
      <c r="G26997" s="62"/>
      <c r="H26997" s="46" t="str">
        <f>IF(OR(I.Developer.P2b=FALSE,I.Facility.StandardPart&lt;&gt;"Part 2"),"Complete",IF(I.Product.P2bGasToPowerStatus&lt;&gt;"Yes","Complete",IF(AND(I.Gas.P2bY1Count&gt;=15,F26997=""),"Incomplete","Complete")))</f>
        <v>Complete</v>
      </c>
      <c r="I26997" s="48" t="s">
        <v>2176</v>
      </c>
    </row>
    <row r="26998" spans="2:9" ht="15" customHeight="1" x14ac:dyDescent="0.25">
      <c r="B26998" s="55" t="s">
        <v>390</v>
      </c>
      <c r="C26998" s="46">
        <v>16</v>
      </c>
      <c r="D26998" s="69" t="s">
        <v>29527</v>
      </c>
      <c r="E26998" s="62"/>
      <c r="F26998" s="62" t="str">
        <f>IF(INDEX(I.Gas.P2bY1C1V1,16)="","",INDEX(I.Gas.P2bY1C1V1,16))</f>
        <v/>
      </c>
      <c r="G26998" s="62"/>
      <c r="H26998" s="46" t="str">
        <f>IF(OR(I.Developer.P2b=FALSE,I.Facility.StandardPart&lt;&gt;"Part 2"),"Complete",IF(I.Product.P2bGasToPowerStatus&lt;&gt;"Yes","Complete",IF(AND(I.Gas.P2bY1Count&gt;=16,F26998=""),"Incomplete","Complete")))</f>
        <v>Complete</v>
      </c>
      <c r="I26998" s="48" t="s">
        <v>2177</v>
      </c>
    </row>
    <row r="26999" spans="2:9" ht="15" customHeight="1" x14ac:dyDescent="0.25">
      <c r="B26999" s="55" t="s">
        <v>390</v>
      </c>
      <c r="C26999" s="46">
        <v>17</v>
      </c>
      <c r="D26999" s="69" t="s">
        <v>29527</v>
      </c>
      <c r="E26999" s="62"/>
      <c r="F26999" s="62" t="str">
        <f>IF(INDEX(I.Gas.P2bY1C1V1,17)="","",INDEX(I.Gas.P2bY1C1V1,17))</f>
        <v/>
      </c>
      <c r="G26999" s="62"/>
      <c r="H26999" s="46" t="str">
        <f>IF(OR(I.Developer.P2b=FALSE,I.Facility.StandardPart&lt;&gt;"Part 2"),"Complete",IF(I.Product.P2bGasToPowerStatus&lt;&gt;"Yes","Complete",IF(AND(I.Gas.P2bY1Count&gt;=17,F26999=""),"Incomplete","Complete")))</f>
        <v>Complete</v>
      </c>
      <c r="I26999" s="48" t="s">
        <v>2178</v>
      </c>
    </row>
    <row r="27000" spans="2:9" ht="15" customHeight="1" x14ac:dyDescent="0.25">
      <c r="B27000" s="55" t="s">
        <v>390</v>
      </c>
      <c r="C27000" s="46">
        <v>18</v>
      </c>
      <c r="D27000" s="69" t="s">
        <v>29527</v>
      </c>
      <c r="E27000" s="62"/>
      <c r="F27000" s="62" t="str">
        <f>IF(INDEX(I.Gas.P2bY1C1V1,18)="","",INDEX(I.Gas.P2bY1C1V1,18))</f>
        <v/>
      </c>
      <c r="G27000" s="62"/>
      <c r="H27000" s="46" t="str">
        <f>IF(OR(I.Developer.P2b=FALSE,I.Facility.StandardPart&lt;&gt;"Part 2"),"Complete",IF(I.Product.P2bGasToPowerStatus&lt;&gt;"Yes","Complete",IF(AND(I.Gas.P2bY1Count&gt;=18,F27000=""),"Incomplete","Complete")))</f>
        <v>Complete</v>
      </c>
      <c r="I27000" s="48" t="s">
        <v>2179</v>
      </c>
    </row>
    <row r="27001" spans="2:9" ht="15" customHeight="1" x14ac:dyDescent="0.25">
      <c r="B27001" s="55" t="s">
        <v>390</v>
      </c>
      <c r="C27001" s="46">
        <v>19</v>
      </c>
      <c r="D27001" s="69" t="s">
        <v>29527</v>
      </c>
      <c r="E27001" s="62"/>
      <c r="F27001" s="62" t="str">
        <f>IF(INDEX(I.Gas.P2bY1C1V1,19)="","",INDEX(I.Gas.P2bY1C1V1,19))</f>
        <v/>
      </c>
      <c r="G27001" s="62"/>
      <c r="H27001" s="46" t="str">
        <f>IF(OR(I.Developer.P2b=FALSE,I.Facility.StandardPart&lt;&gt;"Part 2"),"Complete",IF(I.Product.P2bGasToPowerStatus&lt;&gt;"Yes","Complete",IF(AND(I.Gas.P2bY1Count&gt;=19,F27001=""),"Incomplete","Complete")))</f>
        <v>Complete</v>
      </c>
      <c r="I27001" s="48" t="s">
        <v>2180</v>
      </c>
    </row>
    <row r="27002" spans="2:9" ht="15" customHeight="1" x14ac:dyDescent="0.25">
      <c r="B27002" s="55" t="s">
        <v>390</v>
      </c>
      <c r="C27002" s="46">
        <v>20</v>
      </c>
      <c r="D27002" s="69" t="s">
        <v>29527</v>
      </c>
      <c r="E27002" s="62"/>
      <c r="F27002" s="62" t="str">
        <f>IF(INDEX(I.Gas.P2bY1C1V1,20)="","",INDEX(I.Gas.P2bY1C1V1,20))</f>
        <v/>
      </c>
      <c r="G27002" s="62"/>
      <c r="H27002" s="46" t="str">
        <f>IF(OR(I.Developer.P2b=FALSE,I.Facility.StandardPart&lt;&gt;"Part 2"),"Complete",IF(I.Product.P2bGasToPowerStatus&lt;&gt;"Yes","Complete",IF(AND(I.Gas.P2bY1Count&gt;=20,F27002=""),"Incomplete","Complete")))</f>
        <v>Complete</v>
      </c>
      <c r="I27002" s="48" t="s">
        <v>2181</v>
      </c>
    </row>
    <row r="27003" spans="2:9" ht="15" customHeight="1" x14ac:dyDescent="0.25">
      <c r="B27003" s="55" t="s">
        <v>390</v>
      </c>
      <c r="C27003" s="46">
        <v>21</v>
      </c>
      <c r="D27003" s="69" t="s">
        <v>29527</v>
      </c>
      <c r="E27003" s="62"/>
      <c r="F27003" s="62" t="str">
        <f>IF(INDEX(I.Gas.P2bY1C1V1,21)="","",INDEX(I.Gas.P2bY1C1V1,21))</f>
        <v/>
      </c>
      <c r="G27003" s="62"/>
      <c r="H27003" s="46" t="str">
        <f>IF(OR(I.Developer.P2b=FALSE,I.Facility.StandardPart&lt;&gt;"Part 2"),"Complete",IF(I.Product.P2bGasToPowerStatus&lt;&gt;"Yes","Complete",IF(AND(I.Gas.P2bY1Count&gt;=21,F27003=""),"Incomplete","Complete")))</f>
        <v>Complete</v>
      </c>
      <c r="I27003" s="48" t="s">
        <v>2182</v>
      </c>
    </row>
    <row r="27004" spans="2:9" ht="15" customHeight="1" x14ac:dyDescent="0.25">
      <c r="B27004" s="55" t="s">
        <v>390</v>
      </c>
      <c r="C27004" s="46">
        <v>22</v>
      </c>
      <c r="D27004" s="69" t="s">
        <v>29527</v>
      </c>
      <c r="E27004" s="62"/>
      <c r="F27004" s="62" t="str">
        <f>IF(INDEX(I.Gas.P2bY1C1V1,22)="","",INDEX(I.Gas.P2bY1C1V1,22))</f>
        <v/>
      </c>
      <c r="G27004" s="62"/>
      <c r="H27004" s="46" t="str">
        <f>IF(OR(I.Developer.P2b=FALSE,I.Facility.StandardPart&lt;&gt;"Part 2"),"Complete",IF(I.Product.P2bGasToPowerStatus&lt;&gt;"Yes","Complete",IF(AND(I.Gas.P2bY1Count&gt;=22,F27004=""),"Incomplete","Complete")))</f>
        <v>Complete</v>
      </c>
      <c r="I27004" s="48" t="s">
        <v>2183</v>
      </c>
    </row>
    <row r="27005" spans="2:9" ht="15" customHeight="1" x14ac:dyDescent="0.25">
      <c r="B27005" s="55" t="s">
        <v>390</v>
      </c>
      <c r="C27005" s="46">
        <v>23</v>
      </c>
      <c r="D27005" s="69" t="s">
        <v>29527</v>
      </c>
      <c r="E27005" s="62"/>
      <c r="F27005" s="62" t="str">
        <f>IF(INDEX(I.Gas.P2bY1C1V1,23)="","",INDEX(I.Gas.P2bY1C1V1,23))</f>
        <v/>
      </c>
      <c r="G27005" s="62"/>
      <c r="H27005" s="46" t="str">
        <f>IF(OR(I.Developer.P2b=FALSE,I.Facility.StandardPart&lt;&gt;"Part 2"),"Complete",IF(I.Product.P2bGasToPowerStatus&lt;&gt;"Yes","Complete",IF(AND(I.Gas.P2bY1Count&gt;=23,F27005=""),"Incomplete","Complete")))</f>
        <v>Complete</v>
      </c>
      <c r="I27005" s="48" t="s">
        <v>2184</v>
      </c>
    </row>
    <row r="27006" spans="2:9" ht="15" customHeight="1" x14ac:dyDescent="0.25">
      <c r="B27006" s="55" t="s">
        <v>390</v>
      </c>
      <c r="C27006" s="46">
        <v>24</v>
      </c>
      <c r="D27006" s="69" t="s">
        <v>29527</v>
      </c>
      <c r="E27006" s="62"/>
      <c r="F27006" s="62" t="str">
        <f>IF(INDEX(I.Gas.P2bY1C1V1,24)="","",INDEX(I.Gas.P2bY1C1V1,24))</f>
        <v/>
      </c>
      <c r="G27006" s="62"/>
      <c r="H27006" s="46" t="str">
        <f>IF(OR(I.Developer.P2b=FALSE,I.Facility.StandardPart&lt;&gt;"Part 2"),"Complete",IF(I.Product.P2bGasToPowerStatus&lt;&gt;"Yes","Complete",IF(AND(I.Gas.P2bY1Count&gt;=24,F27006=""),"Incomplete","Complete")))</f>
        <v>Complete</v>
      </c>
      <c r="I27006" s="48" t="s">
        <v>2185</v>
      </c>
    </row>
    <row r="27007" spans="2:9" ht="15" customHeight="1" x14ac:dyDescent="0.25">
      <c r="B27007" s="55" t="s">
        <v>390</v>
      </c>
      <c r="C27007" s="46">
        <v>25</v>
      </c>
      <c r="D27007" s="69" t="s">
        <v>29527</v>
      </c>
      <c r="E27007" s="62"/>
      <c r="F27007" s="62" t="str">
        <f>IF(INDEX(I.Gas.P2bY1C1V1,25)="","",INDEX(I.Gas.P2bY1C1V1,25))</f>
        <v/>
      </c>
      <c r="G27007" s="62"/>
      <c r="H27007" s="46" t="str">
        <f>IF(OR(I.Developer.P2b=FALSE,I.Facility.StandardPart&lt;&gt;"Part 2"),"Complete",IF(I.Product.P2bGasToPowerStatus&lt;&gt;"Yes","Complete",IF(AND(I.Gas.P2bY1Count&gt;=25,F27007=""),"Incomplete","Complete")))</f>
        <v>Complete</v>
      </c>
      <c r="I27007" s="48" t="s">
        <v>2186</v>
      </c>
    </row>
    <row r="27008" spans="2:9" ht="15" customHeight="1" x14ac:dyDescent="0.25">
      <c r="B27008" s="55" t="s">
        <v>390</v>
      </c>
      <c r="C27008" s="46">
        <v>26</v>
      </c>
      <c r="D27008" s="69" t="s">
        <v>29527</v>
      </c>
      <c r="E27008" s="62"/>
      <c r="F27008" s="62" t="str">
        <f>IF(INDEX(I.Gas.P2bY1C1V1,26)="","",INDEX(I.Gas.P2bY1C1V1,26))</f>
        <v/>
      </c>
      <c r="G27008" s="62"/>
      <c r="H27008" s="46" t="str">
        <f>IF(OR(I.Developer.P2b=FALSE,I.Facility.StandardPart&lt;&gt;"Part 2"),"Complete",IF(I.Product.P2bGasToPowerStatus&lt;&gt;"Yes","Complete",IF(AND(I.Gas.P2bY1Count&gt;=26,F27008=""),"Incomplete","Complete")))</f>
        <v>Complete</v>
      </c>
      <c r="I27008" s="48" t="s">
        <v>2187</v>
      </c>
    </row>
    <row r="27009" spans="2:9" ht="15" customHeight="1" x14ac:dyDescent="0.25">
      <c r="B27009" s="55" t="s">
        <v>390</v>
      </c>
      <c r="C27009" s="46">
        <v>27</v>
      </c>
      <c r="D27009" s="69" t="s">
        <v>29527</v>
      </c>
      <c r="E27009" s="62"/>
      <c r="F27009" s="62" t="str">
        <f>IF(INDEX(I.Gas.P2bY1C1V1,27)="","",INDEX(I.Gas.P2bY1C1V1,27))</f>
        <v/>
      </c>
      <c r="G27009" s="62"/>
      <c r="H27009" s="46" t="str">
        <f>IF(OR(I.Developer.P2b=FALSE,I.Facility.StandardPart&lt;&gt;"Part 2"),"Complete",IF(I.Product.P2bGasToPowerStatus&lt;&gt;"Yes","Complete",IF(AND(I.Gas.P2bY1Count&gt;=27,F27009=""),"Incomplete","Complete")))</f>
        <v>Complete</v>
      </c>
      <c r="I27009" s="48" t="s">
        <v>2188</v>
      </c>
    </row>
    <row r="27010" spans="2:9" ht="15" customHeight="1" x14ac:dyDescent="0.25">
      <c r="B27010" s="55" t="s">
        <v>390</v>
      </c>
      <c r="C27010" s="46">
        <v>28</v>
      </c>
      <c r="D27010" s="69" t="s">
        <v>29527</v>
      </c>
      <c r="E27010" s="62"/>
      <c r="F27010" s="62" t="str">
        <f>IF(INDEX(I.Gas.P2bY1C1V1,28)="","",INDEX(I.Gas.P2bY1C1V1,28))</f>
        <v/>
      </c>
      <c r="G27010" s="62"/>
      <c r="H27010" s="46" t="str">
        <f>IF(OR(I.Developer.P2b=FALSE,I.Facility.StandardPart&lt;&gt;"Part 2"),"Complete",IF(I.Product.P2bGasToPowerStatus&lt;&gt;"Yes","Complete",IF(AND(I.Gas.P2bY1Count&gt;=28,F27010=""),"Incomplete","Complete")))</f>
        <v>Complete</v>
      </c>
      <c r="I27010" s="48" t="s">
        <v>2189</v>
      </c>
    </row>
    <row r="27011" spans="2:9" ht="15" customHeight="1" x14ac:dyDescent="0.25">
      <c r="B27011" s="55" t="s">
        <v>390</v>
      </c>
      <c r="C27011" s="46">
        <v>29</v>
      </c>
      <c r="D27011" s="69" t="s">
        <v>29527</v>
      </c>
      <c r="E27011" s="62"/>
      <c r="F27011" s="62" t="str">
        <f>IF(INDEX(I.Gas.P2bY1C1V1,29)="","",INDEX(I.Gas.P2bY1C1V1,29))</f>
        <v/>
      </c>
      <c r="G27011" s="62"/>
      <c r="H27011" s="46" t="str">
        <f>IF(OR(I.Developer.P2b=FALSE,I.Facility.StandardPart&lt;&gt;"Part 2"),"Complete",IF(I.Product.P2bGasToPowerStatus&lt;&gt;"Yes","Complete",IF(AND(I.Gas.P2bY1Count&gt;=29,F27011=""),"Incomplete","Complete")))</f>
        <v>Complete</v>
      </c>
      <c r="I27011" s="48" t="s">
        <v>2190</v>
      </c>
    </row>
    <row r="27012" spans="2:9" ht="15" customHeight="1" x14ac:dyDescent="0.25">
      <c r="B27012" s="55" t="s">
        <v>390</v>
      </c>
      <c r="C27012" s="46">
        <v>30</v>
      </c>
      <c r="D27012" s="69" t="s">
        <v>29527</v>
      </c>
      <c r="E27012" s="62"/>
      <c r="F27012" s="62" t="str">
        <f>IF(INDEX(I.Gas.P2bY1C1V1,30)="","",INDEX(I.Gas.P2bY1C1V1,30))</f>
        <v/>
      </c>
      <c r="G27012" s="62"/>
      <c r="H27012" s="46" t="str">
        <f>IF(OR(I.Developer.P2b=FALSE,I.Facility.StandardPart&lt;&gt;"Part 2"),"Complete",IF(I.Product.P2bGasToPowerStatus&lt;&gt;"Yes","Complete",IF(AND(I.Gas.P2bY1Count&gt;=30,F27012=""),"Incomplete","Complete")))</f>
        <v>Complete</v>
      </c>
      <c r="I27012" s="48" t="s">
        <v>2191</v>
      </c>
    </row>
    <row r="27013" spans="2:9" ht="15" customHeight="1" x14ac:dyDescent="0.25">
      <c r="B27013" s="55" t="s">
        <v>390</v>
      </c>
      <c r="C27013" s="46">
        <v>31</v>
      </c>
      <c r="D27013" s="69" t="s">
        <v>29527</v>
      </c>
      <c r="E27013" s="62"/>
      <c r="F27013" s="62" t="str">
        <f>IF(INDEX(I.Gas.P2bY1C1V1,31)="","",INDEX(I.Gas.P2bY1C1V1,31))</f>
        <v/>
      </c>
      <c r="G27013" s="62"/>
      <c r="H27013" s="46" t="str">
        <f>IF(OR(I.Developer.P2b=FALSE,I.Facility.StandardPart&lt;&gt;"Part 2"),"Complete",IF(I.Product.P2bGasToPowerStatus&lt;&gt;"Yes","Complete",IF(AND(I.Gas.P2bY1Count&gt;=31,F27013=""),"Incomplete","Complete")))</f>
        <v>Complete</v>
      </c>
      <c r="I27013" s="48" t="s">
        <v>2192</v>
      </c>
    </row>
    <row r="27014" spans="2:9" ht="15" customHeight="1" x14ac:dyDescent="0.25">
      <c r="B27014" s="55" t="s">
        <v>390</v>
      </c>
      <c r="C27014" s="46">
        <v>32</v>
      </c>
      <c r="D27014" s="69" t="s">
        <v>29527</v>
      </c>
      <c r="E27014" s="62"/>
      <c r="F27014" s="62" t="str">
        <f>IF(INDEX(I.Gas.P2bY1C1V1,32)="","",INDEX(I.Gas.P2bY1C1V1,32))</f>
        <v/>
      </c>
      <c r="G27014" s="62"/>
      <c r="H27014" s="46" t="str">
        <f>IF(OR(I.Developer.P2b=FALSE,I.Facility.StandardPart&lt;&gt;"Part 2"),"Complete",IF(I.Product.P2bGasToPowerStatus&lt;&gt;"Yes","Complete",IF(AND(I.Gas.P2bY1Count&gt;=32,F27014=""),"Incomplete","Complete")))</f>
        <v>Complete</v>
      </c>
      <c r="I27014" s="48" t="s">
        <v>2193</v>
      </c>
    </row>
    <row r="27015" spans="2:9" ht="15" customHeight="1" x14ac:dyDescent="0.25">
      <c r="B27015" s="55" t="s">
        <v>390</v>
      </c>
      <c r="C27015" s="46">
        <v>33</v>
      </c>
      <c r="D27015" s="69" t="s">
        <v>29527</v>
      </c>
      <c r="E27015" s="62"/>
      <c r="F27015" s="62" t="str">
        <f>IF(INDEX(I.Gas.P2bY1C1V1,33)="","",INDEX(I.Gas.P2bY1C1V1,33))</f>
        <v/>
      </c>
      <c r="G27015" s="62"/>
      <c r="H27015" s="46" t="str">
        <f>IF(OR(I.Developer.P2b=FALSE,I.Facility.StandardPart&lt;&gt;"Part 2"),"Complete",IF(I.Product.P2bGasToPowerStatus&lt;&gt;"Yes","Complete",IF(AND(I.Gas.P2bY1Count&gt;=33,F27015=""),"Incomplete","Complete")))</f>
        <v>Complete</v>
      </c>
      <c r="I27015" s="48" t="s">
        <v>2194</v>
      </c>
    </row>
    <row r="27016" spans="2:9" ht="15" customHeight="1" x14ac:dyDescent="0.25">
      <c r="B27016" s="55" t="s">
        <v>390</v>
      </c>
      <c r="C27016" s="46">
        <v>34</v>
      </c>
      <c r="D27016" s="69" t="s">
        <v>29527</v>
      </c>
      <c r="E27016" s="62"/>
      <c r="F27016" s="62" t="str">
        <f>IF(INDEX(I.Gas.P2bY1C1V1,34)="","",INDEX(I.Gas.P2bY1C1V1,34))</f>
        <v/>
      </c>
      <c r="G27016" s="62"/>
      <c r="H27016" s="46" t="str">
        <f>IF(OR(I.Developer.P2b=FALSE,I.Facility.StandardPart&lt;&gt;"Part 2"),"Complete",IF(I.Product.P2bGasToPowerStatus&lt;&gt;"Yes","Complete",IF(AND(I.Gas.P2bY1Count&gt;=34,F27016=""),"Incomplete","Complete")))</f>
        <v>Complete</v>
      </c>
      <c r="I27016" s="48" t="s">
        <v>2195</v>
      </c>
    </row>
    <row r="27017" spans="2:9" ht="15" customHeight="1" x14ac:dyDescent="0.25">
      <c r="B27017" s="55" t="s">
        <v>390</v>
      </c>
      <c r="C27017" s="46">
        <v>35</v>
      </c>
      <c r="D27017" s="69" t="s">
        <v>29527</v>
      </c>
      <c r="E27017" s="62"/>
      <c r="F27017" s="62" t="str">
        <f>IF(INDEX(I.Gas.P2bY1C1V1,35)="","",INDEX(I.Gas.P2bY1C1V1,35))</f>
        <v/>
      </c>
      <c r="G27017" s="62"/>
      <c r="H27017" s="46" t="str">
        <f>IF(OR(I.Developer.P2b=FALSE,I.Facility.StandardPart&lt;&gt;"Part 2"),"Complete",IF(I.Product.P2bGasToPowerStatus&lt;&gt;"Yes","Complete",IF(AND(I.Gas.P2bY1Count&gt;=35,F27017=""),"Incomplete","Complete")))</f>
        <v>Complete</v>
      </c>
      <c r="I27017" s="48" t="s">
        <v>2196</v>
      </c>
    </row>
    <row r="27018" spans="2:9" ht="15" customHeight="1" x14ac:dyDescent="0.25">
      <c r="B27018" s="55" t="s">
        <v>390</v>
      </c>
      <c r="C27018" s="46">
        <v>36</v>
      </c>
      <c r="D27018" s="69" t="s">
        <v>29527</v>
      </c>
      <c r="E27018" s="62"/>
      <c r="F27018" s="62" t="str">
        <f>IF(INDEX(I.Gas.P2bY1C1V1,36)="","",INDEX(I.Gas.P2bY1C1V1,36))</f>
        <v/>
      </c>
      <c r="G27018" s="62"/>
      <c r="H27018" s="46" t="str">
        <f>IF(OR(I.Developer.P2b=FALSE,I.Facility.StandardPart&lt;&gt;"Part 2"),"Complete",IF(I.Product.P2bGasToPowerStatus&lt;&gt;"Yes","Complete",IF(AND(I.Gas.P2bY1Count&gt;=36,F27018=""),"Incomplete","Complete")))</f>
        <v>Complete</v>
      </c>
      <c r="I27018" s="48" t="s">
        <v>2197</v>
      </c>
    </row>
    <row r="27019" spans="2:9" ht="15" customHeight="1" x14ac:dyDescent="0.25">
      <c r="B27019" s="55" t="s">
        <v>390</v>
      </c>
      <c r="C27019" s="46">
        <v>37</v>
      </c>
      <c r="D27019" s="69" t="s">
        <v>29527</v>
      </c>
      <c r="E27019" s="62"/>
      <c r="F27019" s="62" t="str">
        <f>IF(INDEX(I.Gas.P2bY1C1V1,37)="","",INDEX(I.Gas.P2bY1C1V1,37))</f>
        <v/>
      </c>
      <c r="G27019" s="62"/>
      <c r="H27019" s="46" t="str">
        <f>IF(OR(I.Developer.P2b=FALSE,I.Facility.StandardPart&lt;&gt;"Part 2"),"Complete",IF(I.Product.P2bGasToPowerStatus&lt;&gt;"Yes","Complete",IF(AND(I.Gas.P2bY1Count&gt;=37,F27019=""),"Incomplete","Complete")))</f>
        <v>Complete</v>
      </c>
      <c r="I27019" s="48" t="s">
        <v>2198</v>
      </c>
    </row>
    <row r="27020" spans="2:9" ht="15" customHeight="1" x14ac:dyDescent="0.25">
      <c r="B27020" s="55" t="s">
        <v>390</v>
      </c>
      <c r="C27020" s="46">
        <v>38</v>
      </c>
      <c r="D27020" s="69" t="s">
        <v>29527</v>
      </c>
      <c r="E27020" s="62"/>
      <c r="F27020" s="62" t="str">
        <f>IF(INDEX(I.Gas.P2bY1C1V1,38)="","",INDEX(I.Gas.P2bY1C1V1,38))</f>
        <v/>
      </c>
      <c r="G27020" s="62"/>
      <c r="H27020" s="46" t="str">
        <f>IF(OR(I.Developer.P2b=FALSE,I.Facility.StandardPart&lt;&gt;"Part 2"),"Complete",IF(I.Product.P2bGasToPowerStatus&lt;&gt;"Yes","Complete",IF(AND(I.Gas.P2bY1Count&gt;=38,F27020=""),"Incomplete","Complete")))</f>
        <v>Complete</v>
      </c>
      <c r="I27020" s="48" t="s">
        <v>2199</v>
      </c>
    </row>
    <row r="27021" spans="2:9" ht="15" customHeight="1" x14ac:dyDescent="0.25">
      <c r="B27021" s="55" t="s">
        <v>390</v>
      </c>
      <c r="C27021" s="46">
        <v>39</v>
      </c>
      <c r="D27021" s="69" t="s">
        <v>29527</v>
      </c>
      <c r="E27021" s="62"/>
      <c r="F27021" s="62" t="str">
        <f>IF(INDEX(I.Gas.P2bY1C1V1,39)="","",INDEX(I.Gas.P2bY1C1V1,39))</f>
        <v/>
      </c>
      <c r="G27021" s="62"/>
      <c r="H27021" s="46" t="str">
        <f>IF(OR(I.Developer.P2b=FALSE,I.Facility.StandardPart&lt;&gt;"Part 2"),"Complete",IF(I.Product.P2bGasToPowerStatus&lt;&gt;"Yes","Complete",IF(AND(I.Gas.P2bY1Count&gt;=39,F27021=""),"Incomplete","Complete")))</f>
        <v>Complete</v>
      </c>
      <c r="I27021" s="48" t="s">
        <v>2200</v>
      </c>
    </row>
    <row r="27022" spans="2:9" ht="15" customHeight="1" x14ac:dyDescent="0.25">
      <c r="B27022" s="55" t="s">
        <v>390</v>
      </c>
      <c r="C27022" s="46">
        <v>40</v>
      </c>
      <c r="D27022" s="69" t="s">
        <v>29527</v>
      </c>
      <c r="E27022" s="62"/>
      <c r="F27022" s="62" t="str">
        <f>IF(INDEX(I.Gas.P2bY1C1V1,40)="","",INDEX(I.Gas.P2bY1C1V1,40))</f>
        <v/>
      </c>
      <c r="G27022" s="62"/>
      <c r="H27022" s="46" t="str">
        <f>IF(OR(I.Developer.P2b=FALSE,I.Facility.StandardPart&lt;&gt;"Part 2"),"Complete",IF(I.Product.P2bGasToPowerStatus&lt;&gt;"Yes","Complete",IF(AND(I.Gas.P2bY1Count&gt;=40,F27022=""),"Incomplete","Complete")))</f>
        <v>Complete</v>
      </c>
      <c r="I27022" s="48" t="s">
        <v>2201</v>
      </c>
    </row>
    <row r="27023" spans="2:9" ht="15" customHeight="1" x14ac:dyDescent="0.25">
      <c r="B27023" s="55" t="s">
        <v>390</v>
      </c>
      <c r="C27023" s="46">
        <v>41</v>
      </c>
      <c r="D27023" s="69" t="s">
        <v>29527</v>
      </c>
      <c r="E27023" s="62"/>
      <c r="F27023" s="62" t="str">
        <f>IF(INDEX(I.Gas.P2bY1C1V1,41)="","",INDEX(I.Gas.P2bY1C1V1,41))</f>
        <v/>
      </c>
      <c r="G27023" s="62"/>
      <c r="H27023" s="46" t="str">
        <f>IF(OR(I.Developer.P2b=FALSE,I.Facility.StandardPart&lt;&gt;"Part 2"),"Complete",IF(I.Product.P2bGasToPowerStatus&lt;&gt;"Yes","Complete",IF(AND(I.Gas.P2bY1Count&gt;=41,F27023=""),"Incomplete","Complete")))</f>
        <v>Complete</v>
      </c>
      <c r="I27023" s="48" t="s">
        <v>2202</v>
      </c>
    </row>
    <row r="27024" spans="2:9" ht="15" customHeight="1" x14ac:dyDescent="0.25">
      <c r="B27024" s="55" t="s">
        <v>390</v>
      </c>
      <c r="C27024" s="46">
        <v>42</v>
      </c>
      <c r="D27024" s="69" t="s">
        <v>29527</v>
      </c>
      <c r="E27024" s="62"/>
      <c r="F27024" s="62" t="str">
        <f>IF(INDEX(I.Gas.P2bY1C1V1,42)="","",INDEX(I.Gas.P2bY1C1V1,42))</f>
        <v/>
      </c>
      <c r="G27024" s="62"/>
      <c r="H27024" s="46" t="str">
        <f>IF(OR(I.Developer.P2b=FALSE,I.Facility.StandardPart&lt;&gt;"Part 2"),"Complete",IF(I.Product.P2bGasToPowerStatus&lt;&gt;"Yes","Complete",IF(AND(I.Gas.P2bY1Count&gt;=42,F27024=""),"Incomplete","Complete")))</f>
        <v>Complete</v>
      </c>
      <c r="I27024" s="48" t="s">
        <v>2203</v>
      </c>
    </row>
    <row r="27025" spans="2:9" ht="15" customHeight="1" x14ac:dyDescent="0.25">
      <c r="B27025" s="55" t="s">
        <v>390</v>
      </c>
      <c r="C27025" s="46">
        <v>43</v>
      </c>
      <c r="D27025" s="69" t="s">
        <v>29527</v>
      </c>
      <c r="E27025" s="62"/>
      <c r="F27025" s="62" t="str">
        <f>IF(INDEX(I.Gas.P2bY1C1V1,43)="","",INDEX(I.Gas.P2bY1C1V1,43))</f>
        <v/>
      </c>
      <c r="G27025" s="62"/>
      <c r="H27025" s="46" t="str">
        <f>IF(OR(I.Developer.P2b=FALSE,I.Facility.StandardPart&lt;&gt;"Part 2"),"Complete",IF(I.Product.P2bGasToPowerStatus&lt;&gt;"Yes","Complete",IF(AND(I.Gas.P2bY1Count&gt;=43,F27025=""),"Incomplete","Complete")))</f>
        <v>Complete</v>
      </c>
      <c r="I27025" s="48" t="s">
        <v>2204</v>
      </c>
    </row>
    <row r="27026" spans="2:9" ht="15" customHeight="1" x14ac:dyDescent="0.25">
      <c r="B27026" s="55" t="s">
        <v>390</v>
      </c>
      <c r="C27026" s="46">
        <v>44</v>
      </c>
      <c r="D27026" s="69" t="s">
        <v>29527</v>
      </c>
      <c r="E27026" s="62"/>
      <c r="F27026" s="62" t="str">
        <f>IF(INDEX(I.Gas.P2bY1C1V1,44)="","",INDEX(I.Gas.P2bY1C1V1,44))</f>
        <v/>
      </c>
      <c r="G27026" s="62"/>
      <c r="H27026" s="46" t="str">
        <f>IF(OR(I.Developer.P2b=FALSE,I.Facility.StandardPart&lt;&gt;"Part 2"),"Complete",IF(I.Product.P2bGasToPowerStatus&lt;&gt;"Yes","Complete",IF(AND(I.Gas.P2bY1Count&gt;=44,F27026=""),"Incomplete","Complete")))</f>
        <v>Complete</v>
      </c>
      <c r="I27026" s="48" t="s">
        <v>2205</v>
      </c>
    </row>
    <row r="27027" spans="2:9" ht="15" customHeight="1" x14ac:dyDescent="0.25">
      <c r="B27027" s="55" t="s">
        <v>390</v>
      </c>
      <c r="C27027" s="46">
        <v>45</v>
      </c>
      <c r="D27027" s="69" t="s">
        <v>29527</v>
      </c>
      <c r="E27027" s="62"/>
      <c r="F27027" s="62" t="str">
        <f>IF(INDEX(I.Gas.P2bY1C1V1,45)="","",INDEX(I.Gas.P2bY1C1V1,45))</f>
        <v/>
      </c>
      <c r="G27027" s="62"/>
      <c r="H27027" s="46" t="str">
        <f>IF(OR(I.Developer.P2b=FALSE,I.Facility.StandardPart&lt;&gt;"Part 2"),"Complete",IF(I.Product.P2bGasToPowerStatus&lt;&gt;"Yes","Complete",IF(AND(I.Gas.P2bY1Count&gt;=45,F27027=""),"Incomplete","Complete")))</f>
        <v>Complete</v>
      </c>
      <c r="I27027" s="48" t="s">
        <v>2206</v>
      </c>
    </row>
    <row r="27028" spans="2:9" ht="15" customHeight="1" x14ac:dyDescent="0.25">
      <c r="B27028" s="55" t="s">
        <v>390</v>
      </c>
      <c r="C27028" s="46">
        <v>46</v>
      </c>
      <c r="D27028" s="69" t="s">
        <v>29527</v>
      </c>
      <c r="E27028" s="62"/>
      <c r="F27028" s="62" t="str">
        <f>IF(INDEX(I.Gas.P2bY1C1V1,46)="","",INDEX(I.Gas.P2bY1C1V1,46))</f>
        <v/>
      </c>
      <c r="G27028" s="62"/>
      <c r="H27028" s="46" t="str">
        <f>IF(OR(I.Developer.P2b=FALSE,I.Facility.StandardPart&lt;&gt;"Part 2"),"Complete",IF(I.Product.P2bGasToPowerStatus&lt;&gt;"Yes","Complete",IF(AND(I.Gas.P2bY1Count&gt;=46,F27028=""),"Incomplete","Complete")))</f>
        <v>Complete</v>
      </c>
      <c r="I27028" s="48" t="s">
        <v>2207</v>
      </c>
    </row>
    <row r="27029" spans="2:9" ht="15" customHeight="1" x14ac:dyDescent="0.25">
      <c r="B27029" s="55" t="s">
        <v>390</v>
      </c>
      <c r="C27029" s="46">
        <v>47</v>
      </c>
      <c r="D27029" s="69" t="s">
        <v>29527</v>
      </c>
      <c r="E27029" s="62"/>
      <c r="F27029" s="62" t="str">
        <f>IF(INDEX(I.Gas.P2bY1C1V1,47)="","",INDEX(I.Gas.P2bY1C1V1,47))</f>
        <v/>
      </c>
      <c r="G27029" s="62"/>
      <c r="H27029" s="46" t="str">
        <f>IF(OR(I.Developer.P2b=FALSE,I.Facility.StandardPart&lt;&gt;"Part 2"),"Complete",IF(I.Product.P2bGasToPowerStatus&lt;&gt;"Yes","Complete",IF(AND(I.Gas.P2bY1Count&gt;=47,F27029=""),"Incomplete","Complete")))</f>
        <v>Complete</v>
      </c>
      <c r="I27029" s="48" t="s">
        <v>2208</v>
      </c>
    </row>
    <row r="27030" spans="2:9" ht="15" customHeight="1" x14ac:dyDescent="0.25">
      <c r="B27030" s="55" t="s">
        <v>390</v>
      </c>
      <c r="C27030" s="46">
        <v>48</v>
      </c>
      <c r="D27030" s="69" t="s">
        <v>29527</v>
      </c>
      <c r="E27030" s="62"/>
      <c r="F27030" s="62" t="str">
        <f>IF(INDEX(I.Gas.P2bY1C1V1,48)="","",INDEX(I.Gas.P2bY1C1V1,48))</f>
        <v/>
      </c>
      <c r="G27030" s="62"/>
      <c r="H27030" s="46" t="str">
        <f>IF(OR(I.Developer.P2b=FALSE,I.Facility.StandardPart&lt;&gt;"Part 2"),"Complete",IF(I.Product.P2bGasToPowerStatus&lt;&gt;"Yes","Complete",IF(AND(I.Gas.P2bY1Count&gt;=48,F27030=""),"Incomplete","Complete")))</f>
        <v>Complete</v>
      </c>
      <c r="I27030" s="48" t="s">
        <v>2209</v>
      </c>
    </row>
    <row r="27031" spans="2:9" ht="15" customHeight="1" x14ac:dyDescent="0.25">
      <c r="B27031" s="55" t="s">
        <v>390</v>
      </c>
      <c r="C27031" s="46">
        <v>49</v>
      </c>
      <c r="D27031" s="69" t="s">
        <v>29527</v>
      </c>
      <c r="E27031" s="62"/>
      <c r="F27031" s="62" t="str">
        <f>IF(INDEX(I.Gas.P2bY1C1V1,49)="","",INDEX(I.Gas.P2bY1C1V1,49))</f>
        <v/>
      </c>
      <c r="G27031" s="62"/>
      <c r="H27031" s="46" t="str">
        <f>IF(OR(I.Developer.P2b=FALSE,I.Facility.StandardPart&lt;&gt;"Part 2"),"Complete",IF(I.Product.P2bGasToPowerStatus&lt;&gt;"Yes","Complete",IF(AND(I.Gas.P2bY1Count&gt;=49,F27031=""),"Incomplete","Complete")))</f>
        <v>Complete</v>
      </c>
      <c r="I27031" s="48" t="s">
        <v>2210</v>
      </c>
    </row>
    <row r="27032" spans="2:9" ht="15" customHeight="1" x14ac:dyDescent="0.25">
      <c r="B27032" s="56" t="s">
        <v>390</v>
      </c>
      <c r="C27032" s="57">
        <v>50</v>
      </c>
      <c r="D27032" s="71" t="s">
        <v>29527</v>
      </c>
      <c r="E27032" s="61"/>
      <c r="F27032" s="61" t="str">
        <f>IF(INDEX(I.Gas.P2bY1C1V1,50)="","",INDEX(I.Gas.P2bY1C1V1,50))</f>
        <v/>
      </c>
      <c r="G27032" s="61"/>
      <c r="H27032" s="57" t="str">
        <f>IF(OR(I.Developer.P2b=FALSE,I.Facility.StandardPart&lt;&gt;"Part 2"),"Complete",IF(I.Product.P2bGasToPowerStatus&lt;&gt;"Yes","Complete",IF(AND(I.Gas.P2bY1Count&gt;=50,F27032=""),"Incomplete","Complete")))</f>
        <v>Complete</v>
      </c>
      <c r="I27032" s="49" t="s">
        <v>2211</v>
      </c>
    </row>
    <row r="27033" spans="2:9" ht="15" customHeight="1" x14ac:dyDescent="0.25">
      <c r="B27033" s="55" t="s">
        <v>391</v>
      </c>
      <c r="C27033" s="46">
        <v>1</v>
      </c>
      <c r="D27033" s="69" t="s">
        <v>29528</v>
      </c>
      <c r="E27033" s="62"/>
      <c r="F27033" s="62" t="str">
        <f>IF(INDEX(I.Gas.P2bY1C1E1,1)="","",INDEX(I.Gas.P2bY1C1E1,1))</f>
        <v/>
      </c>
      <c r="G27033" s="62"/>
      <c r="H27033" s="46" t="str">
        <f>IF(OR(I.Developer.P2b=FALSE,I.Facility.StandardPart="Part 2"),"Complete",IF(I.Product.P2bGasToPowerStatus&lt;&gt;"Yes","Complete",IF(AND(I.Gas.P2bY1Count&gt;=1,F27033=""),"Incomplete","Complete")))</f>
        <v>Complete</v>
      </c>
      <c r="I27033" s="48" t="s">
        <v>2212</v>
      </c>
    </row>
    <row r="27034" spans="2:9" ht="15" customHeight="1" x14ac:dyDescent="0.25">
      <c r="B27034" s="55" t="s">
        <v>391</v>
      </c>
      <c r="C27034" s="46">
        <v>2</v>
      </c>
      <c r="D27034" s="69" t="s">
        <v>29528</v>
      </c>
      <c r="E27034" s="62"/>
      <c r="F27034" s="62" t="str">
        <f>IF(INDEX(I.Gas.P2bY1C1E1,2)="","",INDEX(I.Gas.P2bY1C1E1,2))</f>
        <v/>
      </c>
      <c r="G27034" s="62"/>
      <c r="H27034" s="46" t="str">
        <f>IF(OR(I.Developer.P2b=FALSE,I.Facility.StandardPart="Part 2"),"Complete",IF(I.Product.P2bGasToPowerStatus&lt;&gt;"Yes","Complete",IF(AND(I.Gas.P2bY1Count&gt;=2,F27034=""),"Incomplete","Complete")))</f>
        <v>Complete</v>
      </c>
      <c r="I27034" s="48" t="s">
        <v>2213</v>
      </c>
    </row>
    <row r="27035" spans="2:9" ht="15" customHeight="1" x14ac:dyDescent="0.25">
      <c r="B27035" s="55" t="s">
        <v>391</v>
      </c>
      <c r="C27035" s="46">
        <v>3</v>
      </c>
      <c r="D27035" s="69" t="s">
        <v>29528</v>
      </c>
      <c r="E27035" s="62"/>
      <c r="F27035" s="62" t="str">
        <f>IF(INDEX(I.Gas.P2bY1C1E1,3)="","",INDEX(I.Gas.P2bY1C1E1,3))</f>
        <v/>
      </c>
      <c r="G27035" s="62"/>
      <c r="H27035" s="46" t="str">
        <f>IF(OR(I.Developer.P2b=FALSE,I.Facility.StandardPart="Part 2"),"Complete",IF(I.Product.P2bGasToPowerStatus&lt;&gt;"Yes","Complete",IF(AND(I.Gas.P2bY1Count&gt;=3,F27035=""),"Incomplete","Complete")))</f>
        <v>Complete</v>
      </c>
      <c r="I27035" s="48" t="s">
        <v>2214</v>
      </c>
    </row>
    <row r="27036" spans="2:9" ht="15" customHeight="1" x14ac:dyDescent="0.25">
      <c r="B27036" s="55" t="s">
        <v>391</v>
      </c>
      <c r="C27036" s="46">
        <v>4</v>
      </c>
      <c r="D27036" s="69" t="s">
        <v>29528</v>
      </c>
      <c r="E27036" s="62"/>
      <c r="F27036" s="62" t="str">
        <f>IF(INDEX(I.Gas.P2bY1C1E1,4)="","",INDEX(I.Gas.P2bY1C1E1,4))</f>
        <v/>
      </c>
      <c r="G27036" s="62"/>
      <c r="H27036" s="46" t="str">
        <f>IF(OR(I.Developer.P2b=FALSE,I.Facility.StandardPart="Part 2"),"Complete",IF(I.Product.P2bGasToPowerStatus&lt;&gt;"Yes","Complete",IF(AND(I.Gas.P2bY1Count&gt;=4,F27036=""),"Incomplete","Complete")))</f>
        <v>Complete</v>
      </c>
      <c r="I27036" s="48" t="s">
        <v>2215</v>
      </c>
    </row>
    <row r="27037" spans="2:9" ht="15" customHeight="1" x14ac:dyDescent="0.25">
      <c r="B27037" s="55" t="s">
        <v>391</v>
      </c>
      <c r="C27037" s="46">
        <v>5</v>
      </c>
      <c r="D27037" s="69" t="s">
        <v>29528</v>
      </c>
      <c r="E27037" s="62"/>
      <c r="F27037" s="62" t="str">
        <f>IF(INDEX(I.Gas.P2bY1C1E1,5)="","",INDEX(I.Gas.P2bY1C1E1,5))</f>
        <v/>
      </c>
      <c r="G27037" s="62"/>
      <c r="H27037" s="46" t="str">
        <f>IF(OR(I.Developer.P2b=FALSE,I.Facility.StandardPart="Part 2"),"Complete",IF(I.Product.P2bGasToPowerStatus&lt;&gt;"Yes","Complete",IF(AND(I.Gas.P2bY1Count&gt;=5,F27037=""),"Incomplete","Complete")))</f>
        <v>Complete</v>
      </c>
      <c r="I27037" s="48" t="s">
        <v>2216</v>
      </c>
    </row>
    <row r="27038" spans="2:9" ht="15" customHeight="1" x14ac:dyDescent="0.25">
      <c r="B27038" s="55" t="s">
        <v>391</v>
      </c>
      <c r="C27038" s="46">
        <v>6</v>
      </c>
      <c r="D27038" s="69" t="s">
        <v>29528</v>
      </c>
      <c r="E27038" s="62"/>
      <c r="F27038" s="62" t="str">
        <f>IF(INDEX(I.Gas.P2bY1C1E1,6)="","",INDEX(I.Gas.P2bY1C1E1,6))</f>
        <v/>
      </c>
      <c r="G27038" s="62"/>
      <c r="H27038" s="46" t="str">
        <f>IF(OR(I.Developer.P2b=FALSE,I.Facility.StandardPart="Part 2"),"Complete",IF(I.Product.P2bGasToPowerStatus&lt;&gt;"Yes","Complete",IF(AND(I.Gas.P2bY1Count&gt;=6,F27038=""),"Incomplete","Complete")))</f>
        <v>Complete</v>
      </c>
      <c r="I27038" s="48" t="s">
        <v>2217</v>
      </c>
    </row>
    <row r="27039" spans="2:9" ht="15" customHeight="1" x14ac:dyDescent="0.25">
      <c r="B27039" s="55" t="s">
        <v>391</v>
      </c>
      <c r="C27039" s="46">
        <v>7</v>
      </c>
      <c r="D27039" s="69" t="s">
        <v>29528</v>
      </c>
      <c r="E27039" s="62"/>
      <c r="F27039" s="62" t="str">
        <f>IF(INDEX(I.Gas.P2bY1C1E1,7)="","",INDEX(I.Gas.P2bY1C1E1,7))</f>
        <v/>
      </c>
      <c r="G27039" s="62"/>
      <c r="H27039" s="46" t="str">
        <f>IF(OR(I.Developer.P2b=FALSE,I.Facility.StandardPart="Part 2"),"Complete",IF(I.Product.P2bGasToPowerStatus&lt;&gt;"Yes","Complete",IF(AND(I.Gas.P2bY1Count&gt;=7,F27039=""),"Incomplete","Complete")))</f>
        <v>Complete</v>
      </c>
      <c r="I27039" s="48" t="s">
        <v>2218</v>
      </c>
    </row>
    <row r="27040" spans="2:9" ht="15" customHeight="1" x14ac:dyDescent="0.25">
      <c r="B27040" s="55" t="s">
        <v>391</v>
      </c>
      <c r="C27040" s="46">
        <v>8</v>
      </c>
      <c r="D27040" s="69" t="s">
        <v>29528</v>
      </c>
      <c r="E27040" s="62"/>
      <c r="F27040" s="62" t="str">
        <f>IF(INDEX(I.Gas.P2bY1C1E1,8)="","",INDEX(I.Gas.P2bY1C1E1,8))</f>
        <v/>
      </c>
      <c r="G27040" s="62"/>
      <c r="H27040" s="46" t="str">
        <f>IF(OR(I.Developer.P2b=FALSE,I.Facility.StandardPart="Part 2"),"Complete",IF(I.Product.P2bGasToPowerStatus&lt;&gt;"Yes","Complete",IF(AND(I.Gas.P2bY1Count&gt;=8,F27040=""),"Incomplete","Complete")))</f>
        <v>Complete</v>
      </c>
      <c r="I27040" s="48" t="s">
        <v>2219</v>
      </c>
    </row>
    <row r="27041" spans="2:9" ht="15" customHeight="1" x14ac:dyDescent="0.25">
      <c r="B27041" s="55" t="s">
        <v>391</v>
      </c>
      <c r="C27041" s="46">
        <v>9</v>
      </c>
      <c r="D27041" s="69" t="s">
        <v>29528</v>
      </c>
      <c r="E27041" s="62"/>
      <c r="F27041" s="62" t="str">
        <f>IF(INDEX(I.Gas.P2bY1C1E1,9)="","",INDEX(I.Gas.P2bY1C1E1,9))</f>
        <v/>
      </c>
      <c r="G27041" s="62"/>
      <c r="H27041" s="46" t="str">
        <f>IF(OR(I.Developer.P2b=FALSE,I.Facility.StandardPart="Part 2"),"Complete",IF(I.Product.P2bGasToPowerStatus&lt;&gt;"Yes","Complete",IF(AND(I.Gas.P2bY1Count&gt;=9,F27041=""),"Incomplete","Complete")))</f>
        <v>Complete</v>
      </c>
      <c r="I27041" s="48" t="s">
        <v>2220</v>
      </c>
    </row>
    <row r="27042" spans="2:9" ht="15" customHeight="1" x14ac:dyDescent="0.25">
      <c r="B27042" s="55" t="s">
        <v>391</v>
      </c>
      <c r="C27042" s="46">
        <v>10</v>
      </c>
      <c r="D27042" s="69" t="s">
        <v>29528</v>
      </c>
      <c r="E27042" s="62"/>
      <c r="F27042" s="62" t="str">
        <f>IF(INDEX(I.Gas.P2bY1C1E1,10)="","",INDEX(I.Gas.P2bY1C1E1,10))</f>
        <v/>
      </c>
      <c r="G27042" s="62"/>
      <c r="H27042" s="46" t="str">
        <f>IF(OR(I.Developer.P2b=FALSE,I.Facility.StandardPart="Part 2"),"Complete",IF(I.Product.P2bGasToPowerStatus&lt;&gt;"Yes","Complete",IF(AND(I.Gas.P2bY1Count&gt;=10,F27042=""),"Incomplete","Complete")))</f>
        <v>Complete</v>
      </c>
      <c r="I27042" s="48" t="s">
        <v>2221</v>
      </c>
    </row>
    <row r="27043" spans="2:9" ht="15" customHeight="1" x14ac:dyDescent="0.25">
      <c r="B27043" s="55" t="s">
        <v>391</v>
      </c>
      <c r="C27043" s="46">
        <v>11</v>
      </c>
      <c r="D27043" s="69" t="s">
        <v>29528</v>
      </c>
      <c r="E27043" s="62"/>
      <c r="F27043" s="62" t="str">
        <f>IF(INDEX(I.Gas.P2bY1C1E1,11)="","",INDEX(I.Gas.P2bY1C1E1,11))</f>
        <v/>
      </c>
      <c r="G27043" s="62"/>
      <c r="H27043" s="46" t="str">
        <f>IF(OR(I.Developer.P2b=FALSE,I.Facility.StandardPart="Part 2"),"Complete",IF(I.Product.P2bGasToPowerStatus&lt;&gt;"Yes","Complete",IF(AND(I.Gas.P2bY1Count&gt;=11,F27043=""),"Incomplete","Complete")))</f>
        <v>Complete</v>
      </c>
      <c r="I27043" s="48" t="s">
        <v>2222</v>
      </c>
    </row>
    <row r="27044" spans="2:9" ht="15" customHeight="1" x14ac:dyDescent="0.25">
      <c r="B27044" s="55" t="s">
        <v>391</v>
      </c>
      <c r="C27044" s="46">
        <v>12</v>
      </c>
      <c r="D27044" s="69" t="s">
        <v>29528</v>
      </c>
      <c r="E27044" s="62"/>
      <c r="F27044" s="62" t="str">
        <f>IF(INDEX(I.Gas.P2bY1C1E1,12)="","",INDEX(I.Gas.P2bY1C1E1,12))</f>
        <v/>
      </c>
      <c r="G27044" s="62"/>
      <c r="H27044" s="46" t="str">
        <f>IF(OR(I.Developer.P2b=FALSE,I.Facility.StandardPart="Part 2"),"Complete",IF(I.Product.P2bGasToPowerStatus&lt;&gt;"Yes","Complete",IF(AND(I.Gas.P2bY1Count&gt;=12,F27044=""),"Incomplete","Complete")))</f>
        <v>Complete</v>
      </c>
      <c r="I27044" s="48" t="s">
        <v>2223</v>
      </c>
    </row>
    <row r="27045" spans="2:9" ht="15" customHeight="1" x14ac:dyDescent="0.25">
      <c r="B27045" s="55" t="s">
        <v>391</v>
      </c>
      <c r="C27045" s="46">
        <v>13</v>
      </c>
      <c r="D27045" s="69" t="s">
        <v>29528</v>
      </c>
      <c r="E27045" s="62"/>
      <c r="F27045" s="62" t="str">
        <f>IF(INDEX(I.Gas.P2bY1C1E1,13)="","",INDEX(I.Gas.P2bY1C1E1,13))</f>
        <v/>
      </c>
      <c r="G27045" s="62"/>
      <c r="H27045" s="46" t="str">
        <f>IF(OR(I.Developer.P2b=FALSE,I.Facility.StandardPart="Part 2"),"Complete",IF(I.Product.P2bGasToPowerStatus&lt;&gt;"Yes","Complete",IF(AND(I.Gas.P2bY1Count&gt;=13,F27045=""),"Incomplete","Complete")))</f>
        <v>Complete</v>
      </c>
      <c r="I27045" s="48" t="s">
        <v>2224</v>
      </c>
    </row>
    <row r="27046" spans="2:9" ht="15" customHeight="1" x14ac:dyDescent="0.25">
      <c r="B27046" s="55" t="s">
        <v>391</v>
      </c>
      <c r="C27046" s="46">
        <v>14</v>
      </c>
      <c r="D27046" s="69" t="s">
        <v>29528</v>
      </c>
      <c r="E27046" s="62"/>
      <c r="F27046" s="62" t="str">
        <f>IF(INDEX(I.Gas.P2bY1C1E1,14)="","",INDEX(I.Gas.P2bY1C1E1,14))</f>
        <v/>
      </c>
      <c r="G27046" s="62"/>
      <c r="H27046" s="46" t="str">
        <f>IF(OR(I.Developer.P2b=FALSE,I.Facility.StandardPart="Part 2"),"Complete",IF(I.Product.P2bGasToPowerStatus&lt;&gt;"Yes","Complete",IF(AND(I.Gas.P2bY1Count&gt;=14,F27046=""),"Incomplete","Complete")))</f>
        <v>Complete</v>
      </c>
      <c r="I27046" s="48" t="s">
        <v>2225</v>
      </c>
    </row>
    <row r="27047" spans="2:9" ht="15" customHeight="1" x14ac:dyDescent="0.25">
      <c r="B27047" s="55" t="s">
        <v>391</v>
      </c>
      <c r="C27047" s="46">
        <v>15</v>
      </c>
      <c r="D27047" s="69" t="s">
        <v>29528</v>
      </c>
      <c r="E27047" s="62"/>
      <c r="F27047" s="62" t="str">
        <f>IF(INDEX(I.Gas.P2bY1C1E1,15)="","",INDEX(I.Gas.P2bY1C1E1,15))</f>
        <v/>
      </c>
      <c r="G27047" s="62"/>
      <c r="H27047" s="46" t="str">
        <f>IF(OR(I.Developer.P2b=FALSE,I.Facility.StandardPart="Part 2"),"Complete",IF(I.Product.P2bGasToPowerStatus&lt;&gt;"Yes","Complete",IF(AND(I.Gas.P2bY1Count&gt;=15,F27047=""),"Incomplete","Complete")))</f>
        <v>Complete</v>
      </c>
      <c r="I27047" s="48" t="s">
        <v>2226</v>
      </c>
    </row>
    <row r="27048" spans="2:9" ht="15" customHeight="1" x14ac:dyDescent="0.25">
      <c r="B27048" s="55" t="s">
        <v>391</v>
      </c>
      <c r="C27048" s="46">
        <v>16</v>
      </c>
      <c r="D27048" s="69" t="s">
        <v>29528</v>
      </c>
      <c r="E27048" s="62"/>
      <c r="F27048" s="62" t="str">
        <f>IF(INDEX(I.Gas.P2bY1C1E1,16)="","",INDEX(I.Gas.P2bY1C1E1,16))</f>
        <v/>
      </c>
      <c r="G27048" s="62"/>
      <c r="H27048" s="46" t="str">
        <f>IF(OR(I.Developer.P2b=FALSE,I.Facility.StandardPart="Part 2"),"Complete",IF(I.Product.P2bGasToPowerStatus&lt;&gt;"Yes","Complete",IF(AND(I.Gas.P2bY1Count&gt;=16,F27048=""),"Incomplete","Complete")))</f>
        <v>Complete</v>
      </c>
      <c r="I27048" s="48" t="s">
        <v>2227</v>
      </c>
    </row>
    <row r="27049" spans="2:9" ht="15" customHeight="1" x14ac:dyDescent="0.25">
      <c r="B27049" s="55" t="s">
        <v>391</v>
      </c>
      <c r="C27049" s="46">
        <v>17</v>
      </c>
      <c r="D27049" s="69" t="s">
        <v>29528</v>
      </c>
      <c r="E27049" s="62"/>
      <c r="F27049" s="62" t="str">
        <f>IF(INDEX(I.Gas.P2bY1C1E1,17)="","",INDEX(I.Gas.P2bY1C1E1,17))</f>
        <v/>
      </c>
      <c r="G27049" s="62"/>
      <c r="H27049" s="46" t="str">
        <f>IF(OR(I.Developer.P2b=FALSE,I.Facility.StandardPart="Part 2"),"Complete",IF(I.Product.P2bGasToPowerStatus&lt;&gt;"Yes","Complete",IF(AND(I.Gas.P2bY1Count&gt;=17,F27049=""),"Incomplete","Complete")))</f>
        <v>Complete</v>
      </c>
      <c r="I27049" s="48" t="s">
        <v>2228</v>
      </c>
    </row>
    <row r="27050" spans="2:9" ht="15" customHeight="1" x14ac:dyDescent="0.25">
      <c r="B27050" s="55" t="s">
        <v>391</v>
      </c>
      <c r="C27050" s="46">
        <v>18</v>
      </c>
      <c r="D27050" s="69" t="s">
        <v>29528</v>
      </c>
      <c r="E27050" s="62"/>
      <c r="F27050" s="62" t="str">
        <f>IF(INDEX(I.Gas.P2bY1C1E1,18)="","",INDEX(I.Gas.P2bY1C1E1,18))</f>
        <v/>
      </c>
      <c r="G27050" s="62"/>
      <c r="H27050" s="46" t="str">
        <f>IF(OR(I.Developer.P2b=FALSE,I.Facility.StandardPart="Part 2"),"Complete",IF(I.Product.P2bGasToPowerStatus&lt;&gt;"Yes","Complete",IF(AND(I.Gas.P2bY1Count&gt;=18,F27050=""),"Incomplete","Complete")))</f>
        <v>Complete</v>
      </c>
      <c r="I27050" s="48" t="s">
        <v>2229</v>
      </c>
    </row>
    <row r="27051" spans="2:9" ht="15" customHeight="1" x14ac:dyDescent="0.25">
      <c r="B27051" s="55" t="s">
        <v>391</v>
      </c>
      <c r="C27051" s="46">
        <v>19</v>
      </c>
      <c r="D27051" s="69" t="s">
        <v>29528</v>
      </c>
      <c r="E27051" s="62"/>
      <c r="F27051" s="62" t="str">
        <f>IF(INDEX(I.Gas.P2bY1C1E1,19)="","",INDEX(I.Gas.P2bY1C1E1,19))</f>
        <v/>
      </c>
      <c r="G27051" s="62"/>
      <c r="H27051" s="46" t="str">
        <f>IF(OR(I.Developer.P2b=FALSE,I.Facility.StandardPart="Part 2"),"Complete",IF(I.Product.P2bGasToPowerStatus&lt;&gt;"Yes","Complete",IF(AND(I.Gas.P2bY1Count&gt;=19,F27051=""),"Incomplete","Complete")))</f>
        <v>Complete</v>
      </c>
      <c r="I27051" s="48" t="s">
        <v>2230</v>
      </c>
    </row>
    <row r="27052" spans="2:9" ht="15" customHeight="1" x14ac:dyDescent="0.25">
      <c r="B27052" s="55" t="s">
        <v>391</v>
      </c>
      <c r="C27052" s="46">
        <v>20</v>
      </c>
      <c r="D27052" s="69" t="s">
        <v>29528</v>
      </c>
      <c r="E27052" s="62"/>
      <c r="F27052" s="62" t="str">
        <f>IF(INDEX(I.Gas.P2bY1C1E1,20)="","",INDEX(I.Gas.P2bY1C1E1,20))</f>
        <v/>
      </c>
      <c r="G27052" s="62"/>
      <c r="H27052" s="46" t="str">
        <f>IF(OR(I.Developer.P2b=FALSE,I.Facility.StandardPart="Part 2"),"Complete",IF(I.Product.P2bGasToPowerStatus&lt;&gt;"Yes","Complete",IF(AND(I.Gas.P2bY1Count&gt;=20,F27052=""),"Incomplete","Complete")))</f>
        <v>Complete</v>
      </c>
      <c r="I27052" s="48" t="s">
        <v>2231</v>
      </c>
    </row>
    <row r="27053" spans="2:9" ht="15" customHeight="1" x14ac:dyDescent="0.25">
      <c r="B27053" s="55" t="s">
        <v>391</v>
      </c>
      <c r="C27053" s="46">
        <v>21</v>
      </c>
      <c r="D27053" s="69" t="s">
        <v>29528</v>
      </c>
      <c r="E27053" s="62"/>
      <c r="F27053" s="62" t="str">
        <f>IF(INDEX(I.Gas.P2bY1C1E1,21)="","",INDEX(I.Gas.P2bY1C1E1,21))</f>
        <v/>
      </c>
      <c r="G27053" s="62"/>
      <c r="H27053" s="46" t="str">
        <f>IF(OR(I.Developer.P2b=FALSE,I.Facility.StandardPart="Part 2"),"Complete",IF(I.Product.P2bGasToPowerStatus&lt;&gt;"Yes","Complete",IF(AND(I.Gas.P2bY1Count&gt;=21,F27053=""),"Incomplete","Complete")))</f>
        <v>Complete</v>
      </c>
      <c r="I27053" s="48" t="s">
        <v>2232</v>
      </c>
    </row>
    <row r="27054" spans="2:9" ht="15" customHeight="1" x14ac:dyDescent="0.25">
      <c r="B27054" s="55" t="s">
        <v>391</v>
      </c>
      <c r="C27054" s="46">
        <v>22</v>
      </c>
      <c r="D27054" s="69" t="s">
        <v>29528</v>
      </c>
      <c r="E27054" s="62"/>
      <c r="F27054" s="62" t="str">
        <f>IF(INDEX(I.Gas.P2bY1C1E1,22)="","",INDEX(I.Gas.P2bY1C1E1,22))</f>
        <v/>
      </c>
      <c r="G27054" s="62"/>
      <c r="H27054" s="46" t="str">
        <f>IF(OR(I.Developer.P2b=FALSE,I.Facility.StandardPart="Part 2"),"Complete",IF(I.Product.P2bGasToPowerStatus&lt;&gt;"Yes","Complete",IF(AND(I.Gas.P2bY1Count&gt;=22,F27054=""),"Incomplete","Complete")))</f>
        <v>Complete</v>
      </c>
      <c r="I27054" s="48" t="s">
        <v>2233</v>
      </c>
    </row>
    <row r="27055" spans="2:9" ht="15" customHeight="1" x14ac:dyDescent="0.25">
      <c r="B27055" s="55" t="s">
        <v>391</v>
      </c>
      <c r="C27055" s="46">
        <v>23</v>
      </c>
      <c r="D27055" s="69" t="s">
        <v>29528</v>
      </c>
      <c r="E27055" s="62"/>
      <c r="F27055" s="62" t="str">
        <f>IF(INDEX(I.Gas.P2bY1C1E1,23)="","",INDEX(I.Gas.P2bY1C1E1,23))</f>
        <v/>
      </c>
      <c r="G27055" s="62"/>
      <c r="H27055" s="46" t="str">
        <f>IF(OR(I.Developer.P2b=FALSE,I.Facility.StandardPart="Part 2"),"Complete",IF(I.Product.P2bGasToPowerStatus&lt;&gt;"Yes","Complete",IF(AND(I.Gas.P2bY1Count&gt;=23,F27055=""),"Incomplete","Complete")))</f>
        <v>Complete</v>
      </c>
      <c r="I27055" s="48" t="s">
        <v>2234</v>
      </c>
    </row>
    <row r="27056" spans="2:9" ht="15" customHeight="1" x14ac:dyDescent="0.25">
      <c r="B27056" s="55" t="s">
        <v>391</v>
      </c>
      <c r="C27056" s="46">
        <v>24</v>
      </c>
      <c r="D27056" s="69" t="s">
        <v>29528</v>
      </c>
      <c r="E27056" s="62"/>
      <c r="F27056" s="62" t="str">
        <f>IF(INDEX(I.Gas.P2bY1C1E1,24)="","",INDEX(I.Gas.P2bY1C1E1,24))</f>
        <v/>
      </c>
      <c r="G27056" s="62"/>
      <c r="H27056" s="46" t="str">
        <f>IF(OR(I.Developer.P2b=FALSE,I.Facility.StandardPart="Part 2"),"Complete",IF(I.Product.P2bGasToPowerStatus&lt;&gt;"Yes","Complete",IF(AND(I.Gas.P2bY1Count&gt;=24,F27056=""),"Incomplete","Complete")))</f>
        <v>Complete</v>
      </c>
      <c r="I27056" s="48" t="s">
        <v>2235</v>
      </c>
    </row>
    <row r="27057" spans="2:9" ht="15" customHeight="1" x14ac:dyDescent="0.25">
      <c r="B27057" s="55" t="s">
        <v>391</v>
      </c>
      <c r="C27057" s="46">
        <v>25</v>
      </c>
      <c r="D27057" s="69" t="s">
        <v>29528</v>
      </c>
      <c r="E27057" s="62"/>
      <c r="F27057" s="62" t="str">
        <f>IF(INDEX(I.Gas.P2bY1C1E1,25)="","",INDEX(I.Gas.P2bY1C1E1,25))</f>
        <v/>
      </c>
      <c r="G27057" s="62"/>
      <c r="H27057" s="46" t="str">
        <f>IF(OR(I.Developer.P2b=FALSE,I.Facility.StandardPart="Part 2"),"Complete",IF(I.Product.P2bGasToPowerStatus&lt;&gt;"Yes","Complete",IF(AND(I.Gas.P2bY1Count&gt;=25,F27057=""),"Incomplete","Complete")))</f>
        <v>Complete</v>
      </c>
      <c r="I27057" s="48" t="s">
        <v>2236</v>
      </c>
    </row>
    <row r="27058" spans="2:9" ht="15" customHeight="1" x14ac:dyDescent="0.25">
      <c r="B27058" s="55" t="s">
        <v>391</v>
      </c>
      <c r="C27058" s="46">
        <v>26</v>
      </c>
      <c r="D27058" s="69" t="s">
        <v>29528</v>
      </c>
      <c r="E27058" s="62"/>
      <c r="F27058" s="62" t="str">
        <f>IF(INDEX(I.Gas.P2bY1C1E1,26)="","",INDEX(I.Gas.P2bY1C1E1,26))</f>
        <v/>
      </c>
      <c r="G27058" s="62"/>
      <c r="H27058" s="46" t="str">
        <f>IF(OR(I.Developer.P2b=FALSE,I.Facility.StandardPart="Part 2"),"Complete",IF(I.Product.P2bGasToPowerStatus&lt;&gt;"Yes","Complete",IF(AND(I.Gas.P2bY1Count&gt;=26,F27058=""),"Incomplete","Complete")))</f>
        <v>Complete</v>
      </c>
      <c r="I27058" s="48" t="s">
        <v>2237</v>
      </c>
    </row>
    <row r="27059" spans="2:9" ht="15" customHeight="1" x14ac:dyDescent="0.25">
      <c r="B27059" s="55" t="s">
        <v>391</v>
      </c>
      <c r="C27059" s="46">
        <v>27</v>
      </c>
      <c r="D27059" s="69" t="s">
        <v>29528</v>
      </c>
      <c r="E27059" s="62"/>
      <c r="F27059" s="62" t="str">
        <f>IF(INDEX(I.Gas.P2bY1C1E1,27)="","",INDEX(I.Gas.P2bY1C1E1,27))</f>
        <v/>
      </c>
      <c r="G27059" s="62"/>
      <c r="H27059" s="46" t="str">
        <f>IF(OR(I.Developer.P2b=FALSE,I.Facility.StandardPart="Part 2"),"Complete",IF(I.Product.P2bGasToPowerStatus&lt;&gt;"Yes","Complete",IF(AND(I.Gas.P2bY1Count&gt;=27,F27059=""),"Incomplete","Complete")))</f>
        <v>Complete</v>
      </c>
      <c r="I27059" s="48" t="s">
        <v>2238</v>
      </c>
    </row>
    <row r="27060" spans="2:9" ht="15" customHeight="1" x14ac:dyDescent="0.25">
      <c r="B27060" s="55" t="s">
        <v>391</v>
      </c>
      <c r="C27060" s="46">
        <v>28</v>
      </c>
      <c r="D27060" s="69" t="s">
        <v>29528</v>
      </c>
      <c r="E27060" s="62"/>
      <c r="F27060" s="62" t="str">
        <f>IF(INDEX(I.Gas.P2bY1C1E1,28)="","",INDEX(I.Gas.P2bY1C1E1,28))</f>
        <v/>
      </c>
      <c r="G27060" s="62"/>
      <c r="H27060" s="46" t="str">
        <f>IF(OR(I.Developer.P2b=FALSE,I.Facility.StandardPart="Part 2"),"Complete",IF(I.Product.P2bGasToPowerStatus&lt;&gt;"Yes","Complete",IF(AND(I.Gas.P2bY1Count&gt;=28,F27060=""),"Incomplete","Complete")))</f>
        <v>Complete</v>
      </c>
      <c r="I27060" s="48" t="s">
        <v>2239</v>
      </c>
    </row>
    <row r="27061" spans="2:9" ht="15" customHeight="1" x14ac:dyDescent="0.25">
      <c r="B27061" s="55" t="s">
        <v>391</v>
      </c>
      <c r="C27061" s="46">
        <v>29</v>
      </c>
      <c r="D27061" s="69" t="s">
        <v>29528</v>
      </c>
      <c r="E27061" s="62"/>
      <c r="F27061" s="62" t="str">
        <f>IF(INDEX(I.Gas.P2bY1C1E1,29)="","",INDEX(I.Gas.P2bY1C1E1,29))</f>
        <v/>
      </c>
      <c r="G27061" s="62"/>
      <c r="H27061" s="46" t="str">
        <f>IF(OR(I.Developer.P2b=FALSE,I.Facility.StandardPart="Part 2"),"Complete",IF(I.Product.P2bGasToPowerStatus&lt;&gt;"Yes","Complete",IF(AND(I.Gas.P2bY1Count&gt;=29,F27061=""),"Incomplete","Complete")))</f>
        <v>Complete</v>
      </c>
      <c r="I27061" s="48" t="s">
        <v>2240</v>
      </c>
    </row>
    <row r="27062" spans="2:9" ht="15" customHeight="1" x14ac:dyDescent="0.25">
      <c r="B27062" s="55" t="s">
        <v>391</v>
      </c>
      <c r="C27062" s="46">
        <v>30</v>
      </c>
      <c r="D27062" s="69" t="s">
        <v>29528</v>
      </c>
      <c r="E27062" s="62"/>
      <c r="F27062" s="62" t="str">
        <f>IF(INDEX(I.Gas.P2bY1C1E1,30)="","",INDEX(I.Gas.P2bY1C1E1,30))</f>
        <v/>
      </c>
      <c r="G27062" s="62"/>
      <c r="H27062" s="46" t="str">
        <f>IF(OR(I.Developer.P2b=FALSE,I.Facility.StandardPart="Part 2"),"Complete",IF(I.Product.P2bGasToPowerStatus&lt;&gt;"Yes","Complete",IF(AND(I.Gas.P2bY1Count&gt;=30,F27062=""),"Incomplete","Complete")))</f>
        <v>Complete</v>
      </c>
      <c r="I27062" s="48" t="s">
        <v>2241</v>
      </c>
    </row>
    <row r="27063" spans="2:9" ht="15" customHeight="1" x14ac:dyDescent="0.25">
      <c r="B27063" s="55" t="s">
        <v>391</v>
      </c>
      <c r="C27063" s="46">
        <v>31</v>
      </c>
      <c r="D27063" s="69" t="s">
        <v>29528</v>
      </c>
      <c r="E27063" s="62"/>
      <c r="F27063" s="62" t="str">
        <f>IF(INDEX(I.Gas.P2bY1C1E1,31)="","",INDEX(I.Gas.P2bY1C1E1,31))</f>
        <v/>
      </c>
      <c r="G27063" s="62"/>
      <c r="H27063" s="46" t="str">
        <f>IF(OR(I.Developer.P2b=FALSE,I.Facility.StandardPart="Part 2"),"Complete",IF(I.Product.P2bGasToPowerStatus&lt;&gt;"Yes","Complete",IF(AND(I.Gas.P2bY1Count&gt;=31,F27063=""),"Incomplete","Complete")))</f>
        <v>Complete</v>
      </c>
      <c r="I27063" s="48" t="s">
        <v>2242</v>
      </c>
    </row>
    <row r="27064" spans="2:9" ht="15" customHeight="1" x14ac:dyDescent="0.25">
      <c r="B27064" s="55" t="s">
        <v>391</v>
      </c>
      <c r="C27064" s="46">
        <v>32</v>
      </c>
      <c r="D27064" s="69" t="s">
        <v>29528</v>
      </c>
      <c r="E27064" s="62"/>
      <c r="F27064" s="62" t="str">
        <f>IF(INDEX(I.Gas.P2bY1C1E1,32)="","",INDEX(I.Gas.P2bY1C1E1,32))</f>
        <v/>
      </c>
      <c r="G27064" s="62"/>
      <c r="H27064" s="46" t="str">
        <f>IF(OR(I.Developer.P2b=FALSE,I.Facility.StandardPart="Part 2"),"Complete",IF(I.Product.P2bGasToPowerStatus&lt;&gt;"Yes","Complete",IF(AND(I.Gas.P2bY1Count&gt;=32,F27064=""),"Incomplete","Complete")))</f>
        <v>Complete</v>
      </c>
      <c r="I27064" s="48" t="s">
        <v>2243</v>
      </c>
    </row>
    <row r="27065" spans="2:9" ht="15" customHeight="1" x14ac:dyDescent="0.25">
      <c r="B27065" s="55" t="s">
        <v>391</v>
      </c>
      <c r="C27065" s="46">
        <v>33</v>
      </c>
      <c r="D27065" s="69" t="s">
        <v>29528</v>
      </c>
      <c r="E27065" s="62"/>
      <c r="F27065" s="62" t="str">
        <f>IF(INDEX(I.Gas.P2bY1C1E1,33)="","",INDEX(I.Gas.P2bY1C1E1,33))</f>
        <v/>
      </c>
      <c r="G27065" s="62"/>
      <c r="H27065" s="46" t="str">
        <f>IF(OR(I.Developer.P2b=FALSE,I.Facility.StandardPart="Part 2"),"Complete",IF(I.Product.P2bGasToPowerStatus&lt;&gt;"Yes","Complete",IF(AND(I.Gas.P2bY1Count&gt;=33,F27065=""),"Incomplete","Complete")))</f>
        <v>Complete</v>
      </c>
      <c r="I27065" s="48" t="s">
        <v>2244</v>
      </c>
    </row>
    <row r="27066" spans="2:9" ht="15" customHeight="1" x14ac:dyDescent="0.25">
      <c r="B27066" s="55" t="s">
        <v>391</v>
      </c>
      <c r="C27066" s="46">
        <v>34</v>
      </c>
      <c r="D27066" s="69" t="s">
        <v>29528</v>
      </c>
      <c r="E27066" s="62"/>
      <c r="F27066" s="62" t="str">
        <f>IF(INDEX(I.Gas.P2bY1C1E1,34)="","",INDEX(I.Gas.P2bY1C1E1,34))</f>
        <v/>
      </c>
      <c r="G27066" s="62"/>
      <c r="H27066" s="46" t="str">
        <f>IF(OR(I.Developer.P2b=FALSE,I.Facility.StandardPart="Part 2"),"Complete",IF(I.Product.P2bGasToPowerStatus&lt;&gt;"Yes","Complete",IF(AND(I.Gas.P2bY1Count&gt;=34,F27066=""),"Incomplete","Complete")))</f>
        <v>Complete</v>
      </c>
      <c r="I27066" s="48" t="s">
        <v>2245</v>
      </c>
    </row>
    <row r="27067" spans="2:9" ht="15" customHeight="1" x14ac:dyDescent="0.25">
      <c r="B27067" s="55" t="s">
        <v>391</v>
      </c>
      <c r="C27067" s="46">
        <v>35</v>
      </c>
      <c r="D27067" s="69" t="s">
        <v>29528</v>
      </c>
      <c r="E27067" s="62"/>
      <c r="F27067" s="62" t="str">
        <f>IF(INDEX(I.Gas.P2bY1C1E1,35)="","",INDEX(I.Gas.P2bY1C1E1,35))</f>
        <v/>
      </c>
      <c r="G27067" s="62"/>
      <c r="H27067" s="46" t="str">
        <f>IF(OR(I.Developer.P2b=FALSE,I.Facility.StandardPart="Part 2"),"Complete",IF(I.Product.P2bGasToPowerStatus&lt;&gt;"Yes","Complete",IF(AND(I.Gas.P2bY1Count&gt;=35,F27067=""),"Incomplete","Complete")))</f>
        <v>Complete</v>
      </c>
      <c r="I27067" s="48" t="s">
        <v>2246</v>
      </c>
    </row>
    <row r="27068" spans="2:9" ht="15" customHeight="1" x14ac:dyDescent="0.25">
      <c r="B27068" s="55" t="s">
        <v>391</v>
      </c>
      <c r="C27068" s="46">
        <v>36</v>
      </c>
      <c r="D27068" s="69" t="s">
        <v>29528</v>
      </c>
      <c r="E27068" s="62"/>
      <c r="F27068" s="62" t="str">
        <f>IF(INDEX(I.Gas.P2bY1C1E1,36)="","",INDEX(I.Gas.P2bY1C1E1,36))</f>
        <v/>
      </c>
      <c r="G27068" s="62"/>
      <c r="H27068" s="46" t="str">
        <f>IF(OR(I.Developer.P2b=FALSE,I.Facility.StandardPart="Part 2"),"Complete",IF(I.Product.P2bGasToPowerStatus&lt;&gt;"Yes","Complete",IF(AND(I.Gas.P2bY1Count&gt;=36,F27068=""),"Incomplete","Complete")))</f>
        <v>Complete</v>
      </c>
      <c r="I27068" s="48" t="s">
        <v>2247</v>
      </c>
    </row>
    <row r="27069" spans="2:9" ht="15" customHeight="1" x14ac:dyDescent="0.25">
      <c r="B27069" s="55" t="s">
        <v>391</v>
      </c>
      <c r="C27069" s="46">
        <v>37</v>
      </c>
      <c r="D27069" s="69" t="s">
        <v>29528</v>
      </c>
      <c r="E27069" s="62"/>
      <c r="F27069" s="62" t="str">
        <f>IF(INDEX(I.Gas.P2bY1C1E1,37)="","",INDEX(I.Gas.P2bY1C1E1,37))</f>
        <v/>
      </c>
      <c r="G27069" s="62"/>
      <c r="H27069" s="46" t="str">
        <f>IF(OR(I.Developer.P2b=FALSE,I.Facility.StandardPart="Part 2"),"Complete",IF(I.Product.P2bGasToPowerStatus&lt;&gt;"Yes","Complete",IF(AND(I.Gas.P2bY1Count&gt;=37,F27069=""),"Incomplete","Complete")))</f>
        <v>Complete</v>
      </c>
      <c r="I27069" s="48" t="s">
        <v>2248</v>
      </c>
    </row>
    <row r="27070" spans="2:9" ht="15" customHeight="1" x14ac:dyDescent="0.25">
      <c r="B27070" s="55" t="s">
        <v>391</v>
      </c>
      <c r="C27070" s="46">
        <v>38</v>
      </c>
      <c r="D27070" s="69" t="s">
        <v>29528</v>
      </c>
      <c r="E27070" s="62"/>
      <c r="F27070" s="62" t="str">
        <f>IF(INDEX(I.Gas.P2bY1C1E1,38)="","",INDEX(I.Gas.P2bY1C1E1,38))</f>
        <v/>
      </c>
      <c r="G27070" s="62"/>
      <c r="H27070" s="46" t="str">
        <f>IF(OR(I.Developer.P2b=FALSE,I.Facility.StandardPart="Part 2"),"Complete",IF(I.Product.P2bGasToPowerStatus&lt;&gt;"Yes","Complete",IF(AND(I.Gas.P2bY1Count&gt;=38,F27070=""),"Incomplete","Complete")))</f>
        <v>Complete</v>
      </c>
      <c r="I27070" s="48" t="s">
        <v>2249</v>
      </c>
    </row>
    <row r="27071" spans="2:9" ht="15" customHeight="1" x14ac:dyDescent="0.25">
      <c r="B27071" s="55" t="s">
        <v>391</v>
      </c>
      <c r="C27071" s="46">
        <v>39</v>
      </c>
      <c r="D27071" s="69" t="s">
        <v>29528</v>
      </c>
      <c r="E27071" s="62"/>
      <c r="F27071" s="62" t="str">
        <f>IF(INDEX(I.Gas.P2bY1C1E1,39)="","",INDEX(I.Gas.P2bY1C1E1,39))</f>
        <v/>
      </c>
      <c r="G27071" s="62"/>
      <c r="H27071" s="46" t="str">
        <f>IF(OR(I.Developer.P2b=FALSE,I.Facility.StandardPart="Part 2"),"Complete",IF(I.Product.P2bGasToPowerStatus&lt;&gt;"Yes","Complete",IF(AND(I.Gas.P2bY1Count&gt;=39,F27071=""),"Incomplete","Complete")))</f>
        <v>Complete</v>
      </c>
      <c r="I27071" s="48" t="s">
        <v>2250</v>
      </c>
    </row>
    <row r="27072" spans="2:9" ht="15" customHeight="1" x14ac:dyDescent="0.25">
      <c r="B27072" s="55" t="s">
        <v>391</v>
      </c>
      <c r="C27072" s="46">
        <v>40</v>
      </c>
      <c r="D27072" s="69" t="s">
        <v>29528</v>
      </c>
      <c r="E27072" s="62"/>
      <c r="F27072" s="62" t="str">
        <f>IF(INDEX(I.Gas.P2bY1C1E1,40)="","",INDEX(I.Gas.P2bY1C1E1,40))</f>
        <v/>
      </c>
      <c r="G27072" s="62"/>
      <c r="H27072" s="46" t="str">
        <f>IF(OR(I.Developer.P2b=FALSE,I.Facility.StandardPart="Part 2"),"Complete",IF(I.Product.P2bGasToPowerStatus&lt;&gt;"Yes","Complete",IF(AND(I.Gas.P2bY1Count&gt;=40,F27072=""),"Incomplete","Complete")))</f>
        <v>Complete</v>
      </c>
      <c r="I27072" s="48" t="s">
        <v>2251</v>
      </c>
    </row>
    <row r="27073" spans="2:9" ht="15" customHeight="1" x14ac:dyDescent="0.25">
      <c r="B27073" s="55" t="s">
        <v>391</v>
      </c>
      <c r="C27073" s="46">
        <v>41</v>
      </c>
      <c r="D27073" s="69" t="s">
        <v>29528</v>
      </c>
      <c r="E27073" s="62"/>
      <c r="F27073" s="62" t="str">
        <f>IF(INDEX(I.Gas.P2bY1C1E1,41)="","",INDEX(I.Gas.P2bY1C1E1,41))</f>
        <v/>
      </c>
      <c r="G27073" s="62"/>
      <c r="H27073" s="46" t="str">
        <f>IF(OR(I.Developer.P2b=FALSE,I.Facility.StandardPart="Part 2"),"Complete",IF(I.Product.P2bGasToPowerStatus&lt;&gt;"Yes","Complete",IF(AND(I.Gas.P2bY1Count&gt;=41,F27073=""),"Incomplete","Complete")))</f>
        <v>Complete</v>
      </c>
      <c r="I27073" s="48" t="s">
        <v>2252</v>
      </c>
    </row>
    <row r="27074" spans="2:9" ht="15" customHeight="1" x14ac:dyDescent="0.25">
      <c r="B27074" s="55" t="s">
        <v>391</v>
      </c>
      <c r="C27074" s="46">
        <v>42</v>
      </c>
      <c r="D27074" s="69" t="s">
        <v>29528</v>
      </c>
      <c r="E27074" s="62"/>
      <c r="F27074" s="62" t="str">
        <f>IF(INDEX(I.Gas.P2bY1C1E1,42)="","",INDEX(I.Gas.P2bY1C1E1,42))</f>
        <v/>
      </c>
      <c r="G27074" s="62"/>
      <c r="H27074" s="46" t="str">
        <f>IF(OR(I.Developer.P2b=FALSE,I.Facility.StandardPart="Part 2"),"Complete",IF(I.Product.P2bGasToPowerStatus&lt;&gt;"Yes","Complete",IF(AND(I.Gas.P2bY1Count&gt;=42,F27074=""),"Incomplete","Complete")))</f>
        <v>Complete</v>
      </c>
      <c r="I27074" s="48" t="s">
        <v>2253</v>
      </c>
    </row>
    <row r="27075" spans="2:9" ht="15" customHeight="1" x14ac:dyDescent="0.25">
      <c r="B27075" s="55" t="s">
        <v>391</v>
      </c>
      <c r="C27075" s="46">
        <v>43</v>
      </c>
      <c r="D27075" s="69" t="s">
        <v>29528</v>
      </c>
      <c r="E27075" s="62"/>
      <c r="F27075" s="62" t="str">
        <f>IF(INDEX(I.Gas.P2bY1C1E1,43)="","",INDEX(I.Gas.P2bY1C1E1,43))</f>
        <v/>
      </c>
      <c r="G27075" s="62"/>
      <c r="H27075" s="46" t="str">
        <f>IF(OR(I.Developer.P2b=FALSE,I.Facility.StandardPart="Part 2"),"Complete",IF(I.Product.P2bGasToPowerStatus&lt;&gt;"Yes","Complete",IF(AND(I.Gas.P2bY1Count&gt;=43,F27075=""),"Incomplete","Complete")))</f>
        <v>Complete</v>
      </c>
      <c r="I27075" s="48" t="s">
        <v>2254</v>
      </c>
    </row>
    <row r="27076" spans="2:9" ht="15" customHeight="1" x14ac:dyDescent="0.25">
      <c r="B27076" s="55" t="s">
        <v>391</v>
      </c>
      <c r="C27076" s="46">
        <v>44</v>
      </c>
      <c r="D27076" s="69" t="s">
        <v>29528</v>
      </c>
      <c r="E27076" s="62"/>
      <c r="F27076" s="62" t="str">
        <f>IF(INDEX(I.Gas.P2bY1C1E1,44)="","",INDEX(I.Gas.P2bY1C1E1,44))</f>
        <v/>
      </c>
      <c r="G27076" s="62"/>
      <c r="H27076" s="46" t="str">
        <f>IF(OR(I.Developer.P2b=FALSE,I.Facility.StandardPart="Part 2"),"Complete",IF(I.Product.P2bGasToPowerStatus&lt;&gt;"Yes","Complete",IF(AND(I.Gas.P2bY1Count&gt;=44,F27076=""),"Incomplete","Complete")))</f>
        <v>Complete</v>
      </c>
      <c r="I27076" s="48" t="s">
        <v>2255</v>
      </c>
    </row>
    <row r="27077" spans="2:9" ht="15" customHeight="1" x14ac:dyDescent="0.25">
      <c r="B27077" s="55" t="s">
        <v>391</v>
      </c>
      <c r="C27077" s="46">
        <v>45</v>
      </c>
      <c r="D27077" s="69" t="s">
        <v>29528</v>
      </c>
      <c r="E27077" s="62"/>
      <c r="F27077" s="62" t="str">
        <f>IF(INDEX(I.Gas.P2bY1C1E1,45)="","",INDEX(I.Gas.P2bY1C1E1,45))</f>
        <v/>
      </c>
      <c r="G27077" s="62"/>
      <c r="H27077" s="46" t="str">
        <f>IF(OR(I.Developer.P2b=FALSE,I.Facility.StandardPart="Part 2"),"Complete",IF(I.Product.P2bGasToPowerStatus&lt;&gt;"Yes","Complete",IF(AND(I.Gas.P2bY1Count&gt;=45,F27077=""),"Incomplete","Complete")))</f>
        <v>Complete</v>
      </c>
      <c r="I27077" s="48" t="s">
        <v>2256</v>
      </c>
    </row>
    <row r="27078" spans="2:9" ht="15" customHeight="1" x14ac:dyDescent="0.25">
      <c r="B27078" s="55" t="s">
        <v>391</v>
      </c>
      <c r="C27078" s="46">
        <v>46</v>
      </c>
      <c r="D27078" s="69" t="s">
        <v>29528</v>
      </c>
      <c r="E27078" s="62"/>
      <c r="F27078" s="62" t="str">
        <f>IF(INDEX(I.Gas.P2bY1C1E1,46)="","",INDEX(I.Gas.P2bY1C1E1,46))</f>
        <v/>
      </c>
      <c r="G27078" s="62"/>
      <c r="H27078" s="46" t="str">
        <f>IF(OR(I.Developer.P2b=FALSE,I.Facility.StandardPart="Part 2"),"Complete",IF(I.Product.P2bGasToPowerStatus&lt;&gt;"Yes","Complete",IF(AND(I.Gas.P2bY1Count&gt;=46,F27078=""),"Incomplete","Complete")))</f>
        <v>Complete</v>
      </c>
      <c r="I27078" s="48" t="s">
        <v>2257</v>
      </c>
    </row>
    <row r="27079" spans="2:9" ht="15" customHeight="1" x14ac:dyDescent="0.25">
      <c r="B27079" s="55" t="s">
        <v>391</v>
      </c>
      <c r="C27079" s="46">
        <v>47</v>
      </c>
      <c r="D27079" s="69" t="s">
        <v>29528</v>
      </c>
      <c r="E27079" s="62"/>
      <c r="F27079" s="62" t="str">
        <f>IF(INDEX(I.Gas.P2bY1C1E1,47)="","",INDEX(I.Gas.P2bY1C1E1,47))</f>
        <v/>
      </c>
      <c r="G27079" s="62"/>
      <c r="H27079" s="46" t="str">
        <f>IF(OR(I.Developer.P2b=FALSE,I.Facility.StandardPart="Part 2"),"Complete",IF(I.Product.P2bGasToPowerStatus&lt;&gt;"Yes","Complete",IF(AND(I.Gas.P2bY1Count&gt;=47,F27079=""),"Incomplete","Complete")))</f>
        <v>Complete</v>
      </c>
      <c r="I27079" s="48" t="s">
        <v>2258</v>
      </c>
    </row>
    <row r="27080" spans="2:9" ht="15" customHeight="1" x14ac:dyDescent="0.25">
      <c r="B27080" s="55" t="s">
        <v>391</v>
      </c>
      <c r="C27080" s="46">
        <v>48</v>
      </c>
      <c r="D27080" s="69" t="s">
        <v>29528</v>
      </c>
      <c r="E27080" s="62"/>
      <c r="F27080" s="62" t="str">
        <f>IF(INDEX(I.Gas.P2bY1C1E1,48)="","",INDEX(I.Gas.P2bY1C1E1,48))</f>
        <v/>
      </c>
      <c r="G27080" s="62"/>
      <c r="H27080" s="46" t="str">
        <f>IF(OR(I.Developer.P2b=FALSE,I.Facility.StandardPart="Part 2"),"Complete",IF(I.Product.P2bGasToPowerStatus&lt;&gt;"Yes","Complete",IF(AND(I.Gas.P2bY1Count&gt;=48,F27080=""),"Incomplete","Complete")))</f>
        <v>Complete</v>
      </c>
      <c r="I27080" s="48" t="s">
        <v>2259</v>
      </c>
    </row>
    <row r="27081" spans="2:9" ht="15" customHeight="1" x14ac:dyDescent="0.25">
      <c r="B27081" s="55" t="s">
        <v>391</v>
      </c>
      <c r="C27081" s="46">
        <v>49</v>
      </c>
      <c r="D27081" s="69" t="s">
        <v>29528</v>
      </c>
      <c r="E27081" s="62"/>
      <c r="F27081" s="62" t="str">
        <f>IF(INDEX(I.Gas.P2bY1C1E1,49)="","",INDEX(I.Gas.P2bY1C1E1,49))</f>
        <v/>
      </c>
      <c r="G27081" s="62"/>
      <c r="H27081" s="46" t="str">
        <f>IF(OR(I.Developer.P2b=FALSE,I.Facility.StandardPart="Part 2"),"Complete",IF(I.Product.P2bGasToPowerStatus&lt;&gt;"Yes","Complete",IF(AND(I.Gas.P2bY1Count&gt;=49,F27081=""),"Incomplete","Complete")))</f>
        <v>Complete</v>
      </c>
      <c r="I27081" s="48" t="s">
        <v>2260</v>
      </c>
    </row>
    <row r="27082" spans="2:9" ht="15" customHeight="1" x14ac:dyDescent="0.25">
      <c r="B27082" s="56" t="s">
        <v>391</v>
      </c>
      <c r="C27082" s="57">
        <v>50</v>
      </c>
      <c r="D27082" s="71" t="s">
        <v>29528</v>
      </c>
      <c r="E27082" s="61"/>
      <c r="F27082" s="61" t="str">
        <f>IF(INDEX(I.Gas.P2bY1C1E1,50)="","",INDEX(I.Gas.P2bY1C1E1,50))</f>
        <v/>
      </c>
      <c r="G27082" s="61"/>
      <c r="H27082" s="57" t="str">
        <f>IF(OR(I.Developer.P2b=FALSE,I.Facility.StandardPart="Part 2"),"Complete",IF(I.Product.P2bGasToPowerStatus&lt;&gt;"Yes","Complete",IF(AND(I.Gas.P2bY1Count&gt;=50,F27082=""),"Incomplete","Complete")))</f>
        <v>Complete</v>
      </c>
      <c r="I27082" s="49" t="s">
        <v>2261</v>
      </c>
    </row>
    <row r="27083" spans="2:9" ht="15" customHeight="1" x14ac:dyDescent="0.25">
      <c r="B27083" s="55" t="s">
        <v>392</v>
      </c>
      <c r="C27083" s="46">
        <v>1</v>
      </c>
      <c r="D27083" s="69" t="s">
        <v>29529</v>
      </c>
      <c r="E27083" s="62"/>
      <c r="F27083" s="62" t="str">
        <f>IF(INDEX(I.Gas.P2bY1C1E2,1)="","",INDEX(I.Gas.P2bY1C1E2,1))</f>
        <v/>
      </c>
      <c r="G27083" s="62"/>
      <c r="H27083" s="46" t="str">
        <f>IF(OR(I.Developer.P2b=FALSE,I.Facility.StandardPart="Part 2"),"Complete",IF(I.Product.P2bGasToPowerStatus&lt;&gt;"Yes","Complete",IF(AND(I.Gas.P2bY1Count&gt;=1,F27083=""),"Incomplete","Complete")))</f>
        <v>Complete</v>
      </c>
      <c r="I27083" s="48" t="s">
        <v>2262</v>
      </c>
    </row>
    <row r="27084" spans="2:9" ht="15" customHeight="1" x14ac:dyDescent="0.25">
      <c r="B27084" s="55" t="s">
        <v>392</v>
      </c>
      <c r="C27084" s="46">
        <v>2</v>
      </c>
      <c r="D27084" s="69" t="s">
        <v>29529</v>
      </c>
      <c r="E27084" s="62"/>
      <c r="F27084" s="62" t="str">
        <f>IF(INDEX(I.Gas.P2bY1C1E2,2)="","",INDEX(I.Gas.P2bY1C1E2,2))</f>
        <v/>
      </c>
      <c r="G27084" s="62"/>
      <c r="H27084" s="46" t="str">
        <f>IF(OR(I.Developer.P2b=FALSE,I.Facility.StandardPart="Part 2"),"Complete",IF(I.Product.P2bGasToPowerStatus&lt;&gt;"Yes","Complete",IF(AND(I.Gas.P2bY1Count&gt;=2,F27084=""),"Incomplete","Complete")))</f>
        <v>Complete</v>
      </c>
      <c r="I27084" s="48" t="s">
        <v>2263</v>
      </c>
    </row>
    <row r="27085" spans="2:9" ht="15" customHeight="1" x14ac:dyDescent="0.25">
      <c r="B27085" s="55" t="s">
        <v>392</v>
      </c>
      <c r="C27085" s="46">
        <v>3</v>
      </c>
      <c r="D27085" s="69" t="s">
        <v>29529</v>
      </c>
      <c r="E27085" s="62"/>
      <c r="F27085" s="62" t="str">
        <f>IF(INDEX(I.Gas.P2bY1C1E2,3)="","",INDEX(I.Gas.P2bY1C1E2,3))</f>
        <v/>
      </c>
      <c r="G27085" s="62"/>
      <c r="H27085" s="46" t="str">
        <f>IF(OR(I.Developer.P2b=FALSE,I.Facility.StandardPart="Part 2"),"Complete",IF(I.Product.P2bGasToPowerStatus&lt;&gt;"Yes","Complete",IF(AND(I.Gas.P2bY1Count&gt;=3,F27085=""),"Incomplete","Complete")))</f>
        <v>Complete</v>
      </c>
      <c r="I27085" s="48" t="s">
        <v>2264</v>
      </c>
    </row>
    <row r="27086" spans="2:9" ht="15" customHeight="1" x14ac:dyDescent="0.25">
      <c r="B27086" s="55" t="s">
        <v>392</v>
      </c>
      <c r="C27086" s="46">
        <v>4</v>
      </c>
      <c r="D27086" s="69" t="s">
        <v>29529</v>
      </c>
      <c r="E27086" s="62"/>
      <c r="F27086" s="62" t="str">
        <f>IF(INDEX(I.Gas.P2bY1C1E2,4)="","",INDEX(I.Gas.P2bY1C1E2,4))</f>
        <v/>
      </c>
      <c r="G27086" s="62"/>
      <c r="H27086" s="46" t="str">
        <f>IF(OR(I.Developer.P2b=FALSE,I.Facility.StandardPart="Part 2"),"Complete",IF(I.Product.P2bGasToPowerStatus&lt;&gt;"Yes","Complete",IF(AND(I.Gas.P2bY1Count&gt;=4,F27086=""),"Incomplete","Complete")))</f>
        <v>Complete</v>
      </c>
      <c r="I27086" s="48" t="s">
        <v>2265</v>
      </c>
    </row>
    <row r="27087" spans="2:9" ht="15" customHeight="1" x14ac:dyDescent="0.25">
      <c r="B27087" s="55" t="s">
        <v>392</v>
      </c>
      <c r="C27087" s="46">
        <v>5</v>
      </c>
      <c r="D27087" s="69" t="s">
        <v>29529</v>
      </c>
      <c r="E27087" s="62"/>
      <c r="F27087" s="62" t="str">
        <f>IF(INDEX(I.Gas.P2bY1C1E2,5)="","",INDEX(I.Gas.P2bY1C1E2,5))</f>
        <v/>
      </c>
      <c r="G27087" s="62"/>
      <c r="H27087" s="46" t="str">
        <f>IF(OR(I.Developer.P2b=FALSE,I.Facility.StandardPart="Part 2"),"Complete",IF(I.Product.P2bGasToPowerStatus&lt;&gt;"Yes","Complete",IF(AND(I.Gas.P2bY1Count&gt;=5,F27087=""),"Incomplete","Complete")))</f>
        <v>Complete</v>
      </c>
      <c r="I27087" s="48" t="s">
        <v>2266</v>
      </c>
    </row>
    <row r="27088" spans="2:9" ht="15" customHeight="1" x14ac:dyDescent="0.25">
      <c r="B27088" s="55" t="s">
        <v>392</v>
      </c>
      <c r="C27088" s="46">
        <v>6</v>
      </c>
      <c r="D27088" s="69" t="s">
        <v>29529</v>
      </c>
      <c r="E27088" s="62"/>
      <c r="F27088" s="62" t="str">
        <f>IF(INDEX(I.Gas.P2bY1C1E2,6)="","",INDEX(I.Gas.P2bY1C1E2,6))</f>
        <v/>
      </c>
      <c r="G27088" s="62"/>
      <c r="H27088" s="46" t="str">
        <f>IF(OR(I.Developer.P2b=FALSE,I.Facility.StandardPart="Part 2"),"Complete",IF(I.Product.P2bGasToPowerStatus&lt;&gt;"Yes","Complete",IF(AND(I.Gas.P2bY1Count&gt;=6,F27088=""),"Incomplete","Complete")))</f>
        <v>Complete</v>
      </c>
      <c r="I27088" s="48" t="s">
        <v>2267</v>
      </c>
    </row>
    <row r="27089" spans="2:9" ht="15" customHeight="1" x14ac:dyDescent="0.25">
      <c r="B27089" s="55" t="s">
        <v>392</v>
      </c>
      <c r="C27089" s="46">
        <v>7</v>
      </c>
      <c r="D27089" s="69" t="s">
        <v>29529</v>
      </c>
      <c r="E27089" s="62"/>
      <c r="F27089" s="62" t="str">
        <f>IF(INDEX(I.Gas.P2bY1C1E2,7)="","",INDEX(I.Gas.P2bY1C1E2,7))</f>
        <v/>
      </c>
      <c r="G27089" s="62"/>
      <c r="H27089" s="46" t="str">
        <f>IF(OR(I.Developer.P2b=FALSE,I.Facility.StandardPart="Part 2"),"Complete",IF(I.Product.P2bGasToPowerStatus&lt;&gt;"Yes","Complete",IF(AND(I.Gas.P2bY1Count&gt;=7,F27089=""),"Incomplete","Complete")))</f>
        <v>Complete</v>
      </c>
      <c r="I27089" s="48" t="s">
        <v>2268</v>
      </c>
    </row>
    <row r="27090" spans="2:9" ht="15" customHeight="1" x14ac:dyDescent="0.25">
      <c r="B27090" s="55" t="s">
        <v>392</v>
      </c>
      <c r="C27090" s="46">
        <v>8</v>
      </c>
      <c r="D27090" s="69" t="s">
        <v>29529</v>
      </c>
      <c r="E27090" s="62"/>
      <c r="F27090" s="62" t="str">
        <f>IF(INDEX(I.Gas.P2bY1C1E2,8)="","",INDEX(I.Gas.P2bY1C1E2,8))</f>
        <v/>
      </c>
      <c r="G27090" s="62"/>
      <c r="H27090" s="46" t="str">
        <f>IF(OR(I.Developer.P2b=FALSE,I.Facility.StandardPart="Part 2"),"Complete",IF(I.Product.P2bGasToPowerStatus&lt;&gt;"Yes","Complete",IF(AND(I.Gas.P2bY1Count&gt;=8,F27090=""),"Incomplete","Complete")))</f>
        <v>Complete</v>
      </c>
      <c r="I27090" s="48" t="s">
        <v>2269</v>
      </c>
    </row>
    <row r="27091" spans="2:9" ht="15" customHeight="1" x14ac:dyDescent="0.25">
      <c r="B27091" s="55" t="s">
        <v>392</v>
      </c>
      <c r="C27091" s="46">
        <v>9</v>
      </c>
      <c r="D27091" s="69" t="s">
        <v>29529</v>
      </c>
      <c r="E27091" s="62"/>
      <c r="F27091" s="62" t="str">
        <f>IF(INDEX(I.Gas.P2bY1C1E2,9)="","",INDEX(I.Gas.P2bY1C1E2,9))</f>
        <v/>
      </c>
      <c r="G27091" s="62"/>
      <c r="H27091" s="46" t="str">
        <f>IF(OR(I.Developer.P2b=FALSE,I.Facility.StandardPart="Part 2"),"Complete",IF(I.Product.P2bGasToPowerStatus&lt;&gt;"Yes","Complete",IF(AND(I.Gas.P2bY1Count&gt;=9,F27091=""),"Incomplete","Complete")))</f>
        <v>Complete</v>
      </c>
      <c r="I27091" s="48" t="s">
        <v>2270</v>
      </c>
    </row>
    <row r="27092" spans="2:9" ht="15" customHeight="1" x14ac:dyDescent="0.25">
      <c r="B27092" s="55" t="s">
        <v>392</v>
      </c>
      <c r="C27092" s="46">
        <v>10</v>
      </c>
      <c r="D27092" s="69" t="s">
        <v>29529</v>
      </c>
      <c r="E27092" s="62"/>
      <c r="F27092" s="62" t="str">
        <f>IF(INDEX(I.Gas.P2bY1C1E2,10)="","",INDEX(I.Gas.P2bY1C1E2,10))</f>
        <v/>
      </c>
      <c r="G27092" s="62"/>
      <c r="H27092" s="46" t="str">
        <f>IF(OR(I.Developer.P2b=FALSE,I.Facility.StandardPart="Part 2"),"Complete",IF(I.Product.P2bGasToPowerStatus&lt;&gt;"Yes","Complete",IF(AND(I.Gas.P2bY1Count&gt;=10,F27092=""),"Incomplete","Complete")))</f>
        <v>Complete</v>
      </c>
      <c r="I27092" s="48" t="s">
        <v>2271</v>
      </c>
    </row>
    <row r="27093" spans="2:9" ht="15" customHeight="1" x14ac:dyDescent="0.25">
      <c r="B27093" s="55" t="s">
        <v>392</v>
      </c>
      <c r="C27093" s="46">
        <v>11</v>
      </c>
      <c r="D27093" s="69" t="s">
        <v>29529</v>
      </c>
      <c r="E27093" s="62"/>
      <c r="F27093" s="62" t="str">
        <f>IF(INDEX(I.Gas.P2bY1C1E2,11)="","",INDEX(I.Gas.P2bY1C1E2,11))</f>
        <v/>
      </c>
      <c r="G27093" s="62"/>
      <c r="H27093" s="46" t="str">
        <f>IF(OR(I.Developer.P2b=FALSE,I.Facility.StandardPart="Part 2"),"Complete",IF(I.Product.P2bGasToPowerStatus&lt;&gt;"Yes","Complete",IF(AND(I.Gas.P2bY1Count&gt;=11,F27093=""),"Incomplete","Complete")))</f>
        <v>Complete</v>
      </c>
      <c r="I27093" s="48" t="s">
        <v>2272</v>
      </c>
    </row>
    <row r="27094" spans="2:9" ht="15" customHeight="1" x14ac:dyDescent="0.25">
      <c r="B27094" s="55" t="s">
        <v>392</v>
      </c>
      <c r="C27094" s="46">
        <v>12</v>
      </c>
      <c r="D27094" s="69" t="s">
        <v>29529</v>
      </c>
      <c r="E27094" s="62"/>
      <c r="F27094" s="62" t="str">
        <f>IF(INDEX(I.Gas.P2bY1C1E2,12)="","",INDEX(I.Gas.P2bY1C1E2,12))</f>
        <v/>
      </c>
      <c r="G27094" s="62"/>
      <c r="H27094" s="46" t="str">
        <f>IF(OR(I.Developer.P2b=FALSE,I.Facility.StandardPart="Part 2"),"Complete",IF(I.Product.P2bGasToPowerStatus&lt;&gt;"Yes","Complete",IF(AND(I.Gas.P2bY1Count&gt;=12,F27094=""),"Incomplete","Complete")))</f>
        <v>Complete</v>
      </c>
      <c r="I27094" s="48" t="s">
        <v>2273</v>
      </c>
    </row>
    <row r="27095" spans="2:9" ht="15" customHeight="1" x14ac:dyDescent="0.25">
      <c r="B27095" s="55" t="s">
        <v>392</v>
      </c>
      <c r="C27095" s="46">
        <v>13</v>
      </c>
      <c r="D27095" s="69" t="s">
        <v>29529</v>
      </c>
      <c r="E27095" s="62"/>
      <c r="F27095" s="62" t="str">
        <f>IF(INDEX(I.Gas.P2bY1C1E2,13)="","",INDEX(I.Gas.P2bY1C1E2,13))</f>
        <v/>
      </c>
      <c r="G27095" s="62"/>
      <c r="H27095" s="46" t="str">
        <f>IF(OR(I.Developer.P2b=FALSE,I.Facility.StandardPart="Part 2"),"Complete",IF(I.Product.P2bGasToPowerStatus&lt;&gt;"Yes","Complete",IF(AND(I.Gas.P2bY1Count&gt;=13,F27095=""),"Incomplete","Complete")))</f>
        <v>Complete</v>
      </c>
      <c r="I27095" s="48" t="s">
        <v>2274</v>
      </c>
    </row>
    <row r="27096" spans="2:9" ht="15" customHeight="1" x14ac:dyDescent="0.25">
      <c r="B27096" s="55" t="s">
        <v>392</v>
      </c>
      <c r="C27096" s="46">
        <v>14</v>
      </c>
      <c r="D27096" s="69" t="s">
        <v>29529</v>
      </c>
      <c r="E27096" s="62"/>
      <c r="F27096" s="62" t="str">
        <f>IF(INDEX(I.Gas.P2bY1C1E2,14)="","",INDEX(I.Gas.P2bY1C1E2,14))</f>
        <v/>
      </c>
      <c r="G27096" s="62"/>
      <c r="H27096" s="46" t="str">
        <f>IF(OR(I.Developer.P2b=FALSE,I.Facility.StandardPart="Part 2"),"Complete",IF(I.Product.P2bGasToPowerStatus&lt;&gt;"Yes","Complete",IF(AND(I.Gas.P2bY1Count&gt;=14,F27096=""),"Incomplete","Complete")))</f>
        <v>Complete</v>
      </c>
      <c r="I27096" s="48" t="s">
        <v>2275</v>
      </c>
    </row>
    <row r="27097" spans="2:9" ht="15" customHeight="1" x14ac:dyDescent="0.25">
      <c r="B27097" s="55" t="s">
        <v>392</v>
      </c>
      <c r="C27097" s="46">
        <v>15</v>
      </c>
      <c r="D27097" s="69" t="s">
        <v>29529</v>
      </c>
      <c r="E27097" s="62"/>
      <c r="F27097" s="62" t="str">
        <f>IF(INDEX(I.Gas.P2bY1C1E2,15)="","",INDEX(I.Gas.P2bY1C1E2,15))</f>
        <v/>
      </c>
      <c r="G27097" s="62"/>
      <c r="H27097" s="46" t="str">
        <f>IF(OR(I.Developer.P2b=FALSE,I.Facility.StandardPart="Part 2"),"Complete",IF(I.Product.P2bGasToPowerStatus&lt;&gt;"Yes","Complete",IF(AND(I.Gas.P2bY1Count&gt;=15,F27097=""),"Incomplete","Complete")))</f>
        <v>Complete</v>
      </c>
      <c r="I27097" s="48" t="s">
        <v>2276</v>
      </c>
    </row>
    <row r="27098" spans="2:9" ht="15" customHeight="1" x14ac:dyDescent="0.25">
      <c r="B27098" s="55" t="s">
        <v>392</v>
      </c>
      <c r="C27098" s="46">
        <v>16</v>
      </c>
      <c r="D27098" s="69" t="s">
        <v>29529</v>
      </c>
      <c r="E27098" s="62"/>
      <c r="F27098" s="62" t="str">
        <f>IF(INDEX(I.Gas.P2bY1C1E2,16)="","",INDEX(I.Gas.P2bY1C1E2,16))</f>
        <v/>
      </c>
      <c r="G27098" s="62"/>
      <c r="H27098" s="46" t="str">
        <f>IF(OR(I.Developer.P2b=FALSE,I.Facility.StandardPart="Part 2"),"Complete",IF(I.Product.P2bGasToPowerStatus&lt;&gt;"Yes","Complete",IF(AND(I.Gas.P2bY1Count&gt;=16,F27098=""),"Incomplete","Complete")))</f>
        <v>Complete</v>
      </c>
      <c r="I27098" s="48" t="s">
        <v>2277</v>
      </c>
    </row>
    <row r="27099" spans="2:9" ht="15" customHeight="1" x14ac:dyDescent="0.25">
      <c r="B27099" s="55" t="s">
        <v>392</v>
      </c>
      <c r="C27099" s="46">
        <v>17</v>
      </c>
      <c r="D27099" s="69" t="s">
        <v>29529</v>
      </c>
      <c r="E27099" s="62"/>
      <c r="F27099" s="62" t="str">
        <f>IF(INDEX(I.Gas.P2bY1C1E2,17)="","",INDEX(I.Gas.P2bY1C1E2,17))</f>
        <v/>
      </c>
      <c r="G27099" s="62"/>
      <c r="H27099" s="46" t="str">
        <f>IF(OR(I.Developer.P2b=FALSE,I.Facility.StandardPart="Part 2"),"Complete",IF(I.Product.P2bGasToPowerStatus&lt;&gt;"Yes","Complete",IF(AND(I.Gas.P2bY1Count&gt;=17,F27099=""),"Incomplete","Complete")))</f>
        <v>Complete</v>
      </c>
      <c r="I27099" s="48" t="s">
        <v>2278</v>
      </c>
    </row>
    <row r="27100" spans="2:9" ht="15" customHeight="1" x14ac:dyDescent="0.25">
      <c r="B27100" s="55" t="s">
        <v>392</v>
      </c>
      <c r="C27100" s="46">
        <v>18</v>
      </c>
      <c r="D27100" s="69" t="s">
        <v>29529</v>
      </c>
      <c r="E27100" s="62"/>
      <c r="F27100" s="62" t="str">
        <f>IF(INDEX(I.Gas.P2bY1C1E2,18)="","",INDEX(I.Gas.P2bY1C1E2,18))</f>
        <v/>
      </c>
      <c r="G27100" s="62"/>
      <c r="H27100" s="46" t="str">
        <f>IF(OR(I.Developer.P2b=FALSE,I.Facility.StandardPart="Part 2"),"Complete",IF(I.Product.P2bGasToPowerStatus&lt;&gt;"Yes","Complete",IF(AND(I.Gas.P2bY1Count&gt;=18,F27100=""),"Incomplete","Complete")))</f>
        <v>Complete</v>
      </c>
      <c r="I27100" s="48" t="s">
        <v>2279</v>
      </c>
    </row>
    <row r="27101" spans="2:9" ht="15" customHeight="1" x14ac:dyDescent="0.25">
      <c r="B27101" s="55" t="s">
        <v>392</v>
      </c>
      <c r="C27101" s="46">
        <v>19</v>
      </c>
      <c r="D27101" s="69" t="s">
        <v>29529</v>
      </c>
      <c r="E27101" s="62"/>
      <c r="F27101" s="62" t="str">
        <f>IF(INDEX(I.Gas.P2bY1C1E2,19)="","",INDEX(I.Gas.P2bY1C1E2,19))</f>
        <v/>
      </c>
      <c r="G27101" s="62"/>
      <c r="H27101" s="46" t="str">
        <f>IF(OR(I.Developer.P2b=FALSE,I.Facility.StandardPart="Part 2"),"Complete",IF(I.Product.P2bGasToPowerStatus&lt;&gt;"Yes","Complete",IF(AND(I.Gas.P2bY1Count&gt;=19,F27101=""),"Incomplete","Complete")))</f>
        <v>Complete</v>
      </c>
      <c r="I27101" s="48" t="s">
        <v>2280</v>
      </c>
    </row>
    <row r="27102" spans="2:9" ht="15" customHeight="1" x14ac:dyDescent="0.25">
      <c r="B27102" s="55" t="s">
        <v>392</v>
      </c>
      <c r="C27102" s="46">
        <v>20</v>
      </c>
      <c r="D27102" s="69" t="s">
        <v>29529</v>
      </c>
      <c r="E27102" s="62"/>
      <c r="F27102" s="62" t="str">
        <f>IF(INDEX(I.Gas.P2bY1C1E2,20)="","",INDEX(I.Gas.P2bY1C1E2,20))</f>
        <v/>
      </c>
      <c r="G27102" s="62"/>
      <c r="H27102" s="46" t="str">
        <f>IF(OR(I.Developer.P2b=FALSE,I.Facility.StandardPart="Part 2"),"Complete",IF(I.Product.P2bGasToPowerStatus&lt;&gt;"Yes","Complete",IF(AND(I.Gas.P2bY1Count&gt;=20,F27102=""),"Incomplete","Complete")))</f>
        <v>Complete</v>
      </c>
      <c r="I27102" s="48" t="s">
        <v>2281</v>
      </c>
    </row>
    <row r="27103" spans="2:9" ht="15" customHeight="1" x14ac:dyDescent="0.25">
      <c r="B27103" s="55" t="s">
        <v>392</v>
      </c>
      <c r="C27103" s="46">
        <v>21</v>
      </c>
      <c r="D27103" s="69" t="s">
        <v>29529</v>
      </c>
      <c r="E27103" s="62"/>
      <c r="F27103" s="62" t="str">
        <f>IF(INDEX(I.Gas.P2bY1C1E2,21)="","",INDEX(I.Gas.P2bY1C1E2,21))</f>
        <v/>
      </c>
      <c r="G27103" s="62"/>
      <c r="H27103" s="46" t="str">
        <f>IF(OR(I.Developer.P2b=FALSE,I.Facility.StandardPart="Part 2"),"Complete",IF(I.Product.P2bGasToPowerStatus&lt;&gt;"Yes","Complete",IF(AND(I.Gas.P2bY1Count&gt;=21,F27103=""),"Incomplete","Complete")))</f>
        <v>Complete</v>
      </c>
      <c r="I27103" s="48" t="s">
        <v>2282</v>
      </c>
    </row>
    <row r="27104" spans="2:9" ht="15" customHeight="1" x14ac:dyDescent="0.25">
      <c r="B27104" s="55" t="s">
        <v>392</v>
      </c>
      <c r="C27104" s="46">
        <v>22</v>
      </c>
      <c r="D27104" s="69" t="s">
        <v>29529</v>
      </c>
      <c r="E27104" s="62"/>
      <c r="F27104" s="62" t="str">
        <f>IF(INDEX(I.Gas.P2bY1C1E2,22)="","",INDEX(I.Gas.P2bY1C1E2,22))</f>
        <v/>
      </c>
      <c r="G27104" s="62"/>
      <c r="H27104" s="46" t="str">
        <f>IF(OR(I.Developer.P2b=FALSE,I.Facility.StandardPart="Part 2"),"Complete",IF(I.Product.P2bGasToPowerStatus&lt;&gt;"Yes","Complete",IF(AND(I.Gas.P2bY1Count&gt;=22,F27104=""),"Incomplete","Complete")))</f>
        <v>Complete</v>
      </c>
      <c r="I27104" s="48" t="s">
        <v>2283</v>
      </c>
    </row>
    <row r="27105" spans="2:9" ht="15" customHeight="1" x14ac:dyDescent="0.25">
      <c r="B27105" s="55" t="s">
        <v>392</v>
      </c>
      <c r="C27105" s="46">
        <v>23</v>
      </c>
      <c r="D27105" s="69" t="s">
        <v>29529</v>
      </c>
      <c r="E27105" s="62"/>
      <c r="F27105" s="62" t="str">
        <f>IF(INDEX(I.Gas.P2bY1C1E2,23)="","",INDEX(I.Gas.P2bY1C1E2,23))</f>
        <v/>
      </c>
      <c r="G27105" s="62"/>
      <c r="H27105" s="46" t="str">
        <f>IF(OR(I.Developer.P2b=FALSE,I.Facility.StandardPart="Part 2"),"Complete",IF(I.Product.P2bGasToPowerStatus&lt;&gt;"Yes","Complete",IF(AND(I.Gas.P2bY1Count&gt;=23,F27105=""),"Incomplete","Complete")))</f>
        <v>Complete</v>
      </c>
      <c r="I27105" s="48" t="s">
        <v>2284</v>
      </c>
    </row>
    <row r="27106" spans="2:9" ht="15" customHeight="1" x14ac:dyDescent="0.25">
      <c r="B27106" s="55" t="s">
        <v>392</v>
      </c>
      <c r="C27106" s="46">
        <v>24</v>
      </c>
      <c r="D27106" s="69" t="s">
        <v>29529</v>
      </c>
      <c r="E27106" s="62"/>
      <c r="F27106" s="62" t="str">
        <f>IF(INDEX(I.Gas.P2bY1C1E2,24)="","",INDEX(I.Gas.P2bY1C1E2,24))</f>
        <v/>
      </c>
      <c r="G27106" s="62"/>
      <c r="H27106" s="46" t="str">
        <f>IF(OR(I.Developer.P2b=FALSE,I.Facility.StandardPart="Part 2"),"Complete",IF(I.Product.P2bGasToPowerStatus&lt;&gt;"Yes","Complete",IF(AND(I.Gas.P2bY1Count&gt;=24,F27106=""),"Incomplete","Complete")))</f>
        <v>Complete</v>
      </c>
      <c r="I27106" s="48" t="s">
        <v>2285</v>
      </c>
    </row>
    <row r="27107" spans="2:9" ht="15" customHeight="1" x14ac:dyDescent="0.25">
      <c r="B27107" s="55" t="s">
        <v>392</v>
      </c>
      <c r="C27107" s="46">
        <v>25</v>
      </c>
      <c r="D27107" s="69" t="s">
        <v>29529</v>
      </c>
      <c r="E27107" s="62"/>
      <c r="F27107" s="62" t="str">
        <f>IF(INDEX(I.Gas.P2bY1C1E2,25)="","",INDEX(I.Gas.P2bY1C1E2,25))</f>
        <v/>
      </c>
      <c r="G27107" s="62"/>
      <c r="H27107" s="46" t="str">
        <f>IF(OR(I.Developer.P2b=FALSE,I.Facility.StandardPart="Part 2"),"Complete",IF(I.Product.P2bGasToPowerStatus&lt;&gt;"Yes","Complete",IF(AND(I.Gas.P2bY1Count&gt;=25,F27107=""),"Incomplete","Complete")))</f>
        <v>Complete</v>
      </c>
      <c r="I27107" s="48" t="s">
        <v>2286</v>
      </c>
    </row>
    <row r="27108" spans="2:9" ht="15" customHeight="1" x14ac:dyDescent="0.25">
      <c r="B27108" s="55" t="s">
        <v>392</v>
      </c>
      <c r="C27108" s="46">
        <v>26</v>
      </c>
      <c r="D27108" s="69" t="s">
        <v>29529</v>
      </c>
      <c r="E27108" s="62"/>
      <c r="F27108" s="62" t="str">
        <f>IF(INDEX(I.Gas.P2bY1C1E2,26)="","",INDEX(I.Gas.P2bY1C1E2,26))</f>
        <v/>
      </c>
      <c r="G27108" s="62"/>
      <c r="H27108" s="46" t="str">
        <f>IF(OR(I.Developer.P2b=FALSE,I.Facility.StandardPart="Part 2"),"Complete",IF(I.Product.P2bGasToPowerStatus&lt;&gt;"Yes","Complete",IF(AND(I.Gas.P2bY1Count&gt;=26,F27108=""),"Incomplete","Complete")))</f>
        <v>Complete</v>
      </c>
      <c r="I27108" s="48" t="s">
        <v>2287</v>
      </c>
    </row>
    <row r="27109" spans="2:9" ht="15" customHeight="1" x14ac:dyDescent="0.25">
      <c r="B27109" s="55" t="s">
        <v>392</v>
      </c>
      <c r="C27109" s="46">
        <v>27</v>
      </c>
      <c r="D27109" s="69" t="s">
        <v>29529</v>
      </c>
      <c r="E27109" s="62"/>
      <c r="F27109" s="62" t="str">
        <f>IF(INDEX(I.Gas.P2bY1C1E2,27)="","",INDEX(I.Gas.P2bY1C1E2,27))</f>
        <v/>
      </c>
      <c r="G27109" s="62"/>
      <c r="H27109" s="46" t="str">
        <f>IF(OR(I.Developer.P2b=FALSE,I.Facility.StandardPart="Part 2"),"Complete",IF(I.Product.P2bGasToPowerStatus&lt;&gt;"Yes","Complete",IF(AND(I.Gas.P2bY1Count&gt;=27,F27109=""),"Incomplete","Complete")))</f>
        <v>Complete</v>
      </c>
      <c r="I27109" s="48" t="s">
        <v>2288</v>
      </c>
    </row>
    <row r="27110" spans="2:9" ht="15" customHeight="1" x14ac:dyDescent="0.25">
      <c r="B27110" s="55" t="s">
        <v>392</v>
      </c>
      <c r="C27110" s="46">
        <v>28</v>
      </c>
      <c r="D27110" s="69" t="s">
        <v>29529</v>
      </c>
      <c r="E27110" s="62"/>
      <c r="F27110" s="62" t="str">
        <f>IF(INDEX(I.Gas.P2bY1C1E2,28)="","",INDEX(I.Gas.P2bY1C1E2,28))</f>
        <v/>
      </c>
      <c r="G27110" s="62"/>
      <c r="H27110" s="46" t="str">
        <f>IF(OR(I.Developer.P2b=FALSE,I.Facility.StandardPart="Part 2"),"Complete",IF(I.Product.P2bGasToPowerStatus&lt;&gt;"Yes","Complete",IF(AND(I.Gas.P2bY1Count&gt;=28,F27110=""),"Incomplete","Complete")))</f>
        <v>Complete</v>
      </c>
      <c r="I27110" s="48" t="s">
        <v>2289</v>
      </c>
    </row>
    <row r="27111" spans="2:9" ht="15" customHeight="1" x14ac:dyDescent="0.25">
      <c r="B27111" s="55" t="s">
        <v>392</v>
      </c>
      <c r="C27111" s="46">
        <v>29</v>
      </c>
      <c r="D27111" s="69" t="s">
        <v>29529</v>
      </c>
      <c r="E27111" s="62"/>
      <c r="F27111" s="62" t="str">
        <f>IF(INDEX(I.Gas.P2bY1C1E2,29)="","",INDEX(I.Gas.P2bY1C1E2,29))</f>
        <v/>
      </c>
      <c r="G27111" s="62"/>
      <c r="H27111" s="46" t="str">
        <f>IF(OR(I.Developer.P2b=FALSE,I.Facility.StandardPart="Part 2"),"Complete",IF(I.Product.P2bGasToPowerStatus&lt;&gt;"Yes","Complete",IF(AND(I.Gas.P2bY1Count&gt;=29,F27111=""),"Incomplete","Complete")))</f>
        <v>Complete</v>
      </c>
      <c r="I27111" s="48" t="s">
        <v>2290</v>
      </c>
    </row>
    <row r="27112" spans="2:9" ht="15" customHeight="1" x14ac:dyDescent="0.25">
      <c r="B27112" s="55" t="s">
        <v>392</v>
      </c>
      <c r="C27112" s="46">
        <v>30</v>
      </c>
      <c r="D27112" s="69" t="s">
        <v>29529</v>
      </c>
      <c r="E27112" s="62"/>
      <c r="F27112" s="62" t="str">
        <f>IF(INDEX(I.Gas.P2bY1C1E2,30)="","",INDEX(I.Gas.P2bY1C1E2,30))</f>
        <v/>
      </c>
      <c r="G27112" s="62"/>
      <c r="H27112" s="46" t="str">
        <f>IF(OR(I.Developer.P2b=FALSE,I.Facility.StandardPart="Part 2"),"Complete",IF(I.Product.P2bGasToPowerStatus&lt;&gt;"Yes","Complete",IF(AND(I.Gas.P2bY1Count&gt;=30,F27112=""),"Incomplete","Complete")))</f>
        <v>Complete</v>
      </c>
      <c r="I27112" s="48" t="s">
        <v>2291</v>
      </c>
    </row>
    <row r="27113" spans="2:9" ht="15" customHeight="1" x14ac:dyDescent="0.25">
      <c r="B27113" s="55" t="s">
        <v>392</v>
      </c>
      <c r="C27113" s="46">
        <v>31</v>
      </c>
      <c r="D27113" s="69" t="s">
        <v>29529</v>
      </c>
      <c r="E27113" s="62"/>
      <c r="F27113" s="62" t="str">
        <f>IF(INDEX(I.Gas.P2bY1C1E2,31)="","",INDEX(I.Gas.P2bY1C1E2,31))</f>
        <v/>
      </c>
      <c r="G27113" s="62"/>
      <c r="H27113" s="46" t="str">
        <f>IF(OR(I.Developer.P2b=FALSE,I.Facility.StandardPart="Part 2"),"Complete",IF(I.Product.P2bGasToPowerStatus&lt;&gt;"Yes","Complete",IF(AND(I.Gas.P2bY1Count&gt;=31,F27113=""),"Incomplete","Complete")))</f>
        <v>Complete</v>
      </c>
      <c r="I27113" s="48" t="s">
        <v>2292</v>
      </c>
    </row>
    <row r="27114" spans="2:9" ht="15" customHeight="1" x14ac:dyDescent="0.25">
      <c r="B27114" s="55" t="s">
        <v>392</v>
      </c>
      <c r="C27114" s="46">
        <v>32</v>
      </c>
      <c r="D27114" s="69" t="s">
        <v>29529</v>
      </c>
      <c r="E27114" s="62"/>
      <c r="F27114" s="62" t="str">
        <f>IF(INDEX(I.Gas.P2bY1C1E2,32)="","",INDEX(I.Gas.P2bY1C1E2,32))</f>
        <v/>
      </c>
      <c r="G27114" s="62"/>
      <c r="H27114" s="46" t="str">
        <f>IF(OR(I.Developer.P2b=FALSE,I.Facility.StandardPart="Part 2"),"Complete",IF(I.Product.P2bGasToPowerStatus&lt;&gt;"Yes","Complete",IF(AND(I.Gas.P2bY1Count&gt;=32,F27114=""),"Incomplete","Complete")))</f>
        <v>Complete</v>
      </c>
      <c r="I27114" s="48" t="s">
        <v>2293</v>
      </c>
    </row>
    <row r="27115" spans="2:9" ht="15" customHeight="1" x14ac:dyDescent="0.25">
      <c r="B27115" s="55" t="s">
        <v>392</v>
      </c>
      <c r="C27115" s="46">
        <v>33</v>
      </c>
      <c r="D27115" s="69" t="s">
        <v>29529</v>
      </c>
      <c r="E27115" s="62"/>
      <c r="F27115" s="62" t="str">
        <f>IF(INDEX(I.Gas.P2bY1C1E2,33)="","",INDEX(I.Gas.P2bY1C1E2,33))</f>
        <v/>
      </c>
      <c r="G27115" s="62"/>
      <c r="H27115" s="46" t="str">
        <f>IF(OR(I.Developer.P2b=FALSE,I.Facility.StandardPart="Part 2"),"Complete",IF(I.Product.P2bGasToPowerStatus&lt;&gt;"Yes","Complete",IF(AND(I.Gas.P2bY1Count&gt;=33,F27115=""),"Incomplete","Complete")))</f>
        <v>Complete</v>
      </c>
      <c r="I27115" s="48" t="s">
        <v>2294</v>
      </c>
    </row>
    <row r="27116" spans="2:9" ht="15" customHeight="1" x14ac:dyDescent="0.25">
      <c r="B27116" s="55" t="s">
        <v>392</v>
      </c>
      <c r="C27116" s="46">
        <v>34</v>
      </c>
      <c r="D27116" s="69" t="s">
        <v>29529</v>
      </c>
      <c r="E27116" s="62"/>
      <c r="F27116" s="62" t="str">
        <f>IF(INDEX(I.Gas.P2bY1C1E2,34)="","",INDEX(I.Gas.P2bY1C1E2,34))</f>
        <v/>
      </c>
      <c r="G27116" s="62"/>
      <c r="H27116" s="46" t="str">
        <f>IF(OR(I.Developer.P2b=FALSE,I.Facility.StandardPart="Part 2"),"Complete",IF(I.Product.P2bGasToPowerStatus&lt;&gt;"Yes","Complete",IF(AND(I.Gas.P2bY1Count&gt;=34,F27116=""),"Incomplete","Complete")))</f>
        <v>Complete</v>
      </c>
      <c r="I27116" s="48" t="s">
        <v>2295</v>
      </c>
    </row>
    <row r="27117" spans="2:9" ht="15" customHeight="1" x14ac:dyDescent="0.25">
      <c r="B27117" s="55" t="s">
        <v>392</v>
      </c>
      <c r="C27117" s="46">
        <v>35</v>
      </c>
      <c r="D27117" s="69" t="s">
        <v>29529</v>
      </c>
      <c r="E27117" s="62"/>
      <c r="F27117" s="62" t="str">
        <f>IF(INDEX(I.Gas.P2bY1C1E2,35)="","",INDEX(I.Gas.P2bY1C1E2,35))</f>
        <v/>
      </c>
      <c r="G27117" s="62"/>
      <c r="H27117" s="46" t="str">
        <f>IF(OR(I.Developer.P2b=FALSE,I.Facility.StandardPart="Part 2"),"Complete",IF(I.Product.P2bGasToPowerStatus&lt;&gt;"Yes","Complete",IF(AND(I.Gas.P2bY1Count&gt;=35,F27117=""),"Incomplete","Complete")))</f>
        <v>Complete</v>
      </c>
      <c r="I27117" s="48" t="s">
        <v>2296</v>
      </c>
    </row>
    <row r="27118" spans="2:9" ht="15" customHeight="1" x14ac:dyDescent="0.25">
      <c r="B27118" s="55" t="s">
        <v>392</v>
      </c>
      <c r="C27118" s="46">
        <v>36</v>
      </c>
      <c r="D27118" s="69" t="s">
        <v>29529</v>
      </c>
      <c r="E27118" s="62"/>
      <c r="F27118" s="62" t="str">
        <f>IF(INDEX(I.Gas.P2bY1C1E2,36)="","",INDEX(I.Gas.P2bY1C1E2,36))</f>
        <v/>
      </c>
      <c r="G27118" s="62"/>
      <c r="H27118" s="46" t="str">
        <f>IF(OR(I.Developer.P2b=FALSE,I.Facility.StandardPart="Part 2"),"Complete",IF(I.Product.P2bGasToPowerStatus&lt;&gt;"Yes","Complete",IF(AND(I.Gas.P2bY1Count&gt;=36,F27118=""),"Incomplete","Complete")))</f>
        <v>Complete</v>
      </c>
      <c r="I27118" s="48" t="s">
        <v>2297</v>
      </c>
    </row>
    <row r="27119" spans="2:9" ht="15" customHeight="1" x14ac:dyDescent="0.25">
      <c r="B27119" s="55" t="s">
        <v>392</v>
      </c>
      <c r="C27119" s="46">
        <v>37</v>
      </c>
      <c r="D27119" s="69" t="s">
        <v>29529</v>
      </c>
      <c r="E27119" s="62"/>
      <c r="F27119" s="62" t="str">
        <f>IF(INDEX(I.Gas.P2bY1C1E2,37)="","",INDEX(I.Gas.P2bY1C1E2,37))</f>
        <v/>
      </c>
      <c r="G27119" s="62"/>
      <c r="H27119" s="46" t="str">
        <f>IF(OR(I.Developer.P2b=FALSE,I.Facility.StandardPart="Part 2"),"Complete",IF(I.Product.P2bGasToPowerStatus&lt;&gt;"Yes","Complete",IF(AND(I.Gas.P2bY1Count&gt;=37,F27119=""),"Incomplete","Complete")))</f>
        <v>Complete</v>
      </c>
      <c r="I27119" s="48" t="s">
        <v>2298</v>
      </c>
    </row>
    <row r="27120" spans="2:9" ht="15" customHeight="1" x14ac:dyDescent="0.25">
      <c r="B27120" s="55" t="s">
        <v>392</v>
      </c>
      <c r="C27120" s="46">
        <v>38</v>
      </c>
      <c r="D27120" s="69" t="s">
        <v>29529</v>
      </c>
      <c r="E27120" s="62"/>
      <c r="F27120" s="62" t="str">
        <f>IF(INDEX(I.Gas.P2bY1C1E2,38)="","",INDEX(I.Gas.P2bY1C1E2,38))</f>
        <v/>
      </c>
      <c r="G27120" s="62"/>
      <c r="H27120" s="46" t="str">
        <f>IF(OR(I.Developer.P2b=FALSE,I.Facility.StandardPart="Part 2"),"Complete",IF(I.Product.P2bGasToPowerStatus&lt;&gt;"Yes","Complete",IF(AND(I.Gas.P2bY1Count&gt;=38,F27120=""),"Incomplete","Complete")))</f>
        <v>Complete</v>
      </c>
      <c r="I27120" s="48" t="s">
        <v>2299</v>
      </c>
    </row>
    <row r="27121" spans="2:9" ht="15" customHeight="1" x14ac:dyDescent="0.25">
      <c r="B27121" s="55" t="s">
        <v>392</v>
      </c>
      <c r="C27121" s="46">
        <v>39</v>
      </c>
      <c r="D27121" s="69" t="s">
        <v>29529</v>
      </c>
      <c r="E27121" s="62"/>
      <c r="F27121" s="62" t="str">
        <f>IF(INDEX(I.Gas.P2bY1C1E2,39)="","",INDEX(I.Gas.P2bY1C1E2,39))</f>
        <v/>
      </c>
      <c r="G27121" s="62"/>
      <c r="H27121" s="46" t="str">
        <f>IF(OR(I.Developer.P2b=FALSE,I.Facility.StandardPart="Part 2"),"Complete",IF(I.Product.P2bGasToPowerStatus&lt;&gt;"Yes","Complete",IF(AND(I.Gas.P2bY1Count&gt;=39,F27121=""),"Incomplete","Complete")))</f>
        <v>Complete</v>
      </c>
      <c r="I27121" s="48" t="s">
        <v>2300</v>
      </c>
    </row>
    <row r="27122" spans="2:9" ht="15" customHeight="1" x14ac:dyDescent="0.25">
      <c r="B27122" s="55" t="s">
        <v>392</v>
      </c>
      <c r="C27122" s="46">
        <v>40</v>
      </c>
      <c r="D27122" s="69" t="s">
        <v>29529</v>
      </c>
      <c r="E27122" s="62"/>
      <c r="F27122" s="62" t="str">
        <f>IF(INDEX(I.Gas.P2bY1C1E2,40)="","",INDEX(I.Gas.P2bY1C1E2,40))</f>
        <v/>
      </c>
      <c r="G27122" s="62"/>
      <c r="H27122" s="46" t="str">
        <f>IF(OR(I.Developer.P2b=FALSE,I.Facility.StandardPart="Part 2"),"Complete",IF(I.Product.P2bGasToPowerStatus&lt;&gt;"Yes","Complete",IF(AND(I.Gas.P2bY1Count&gt;=40,F27122=""),"Incomplete","Complete")))</f>
        <v>Complete</v>
      </c>
      <c r="I27122" s="48" t="s">
        <v>2301</v>
      </c>
    </row>
    <row r="27123" spans="2:9" ht="15" customHeight="1" x14ac:dyDescent="0.25">
      <c r="B27123" s="55" t="s">
        <v>392</v>
      </c>
      <c r="C27123" s="46">
        <v>41</v>
      </c>
      <c r="D27123" s="69" t="s">
        <v>29529</v>
      </c>
      <c r="E27123" s="62"/>
      <c r="F27123" s="62" t="str">
        <f>IF(INDEX(I.Gas.P2bY1C1E2,41)="","",INDEX(I.Gas.P2bY1C1E2,41))</f>
        <v/>
      </c>
      <c r="G27123" s="62"/>
      <c r="H27123" s="46" t="str">
        <f>IF(OR(I.Developer.P2b=FALSE,I.Facility.StandardPart="Part 2"),"Complete",IF(I.Product.P2bGasToPowerStatus&lt;&gt;"Yes","Complete",IF(AND(I.Gas.P2bY1Count&gt;=41,F27123=""),"Incomplete","Complete")))</f>
        <v>Complete</v>
      </c>
      <c r="I27123" s="48" t="s">
        <v>2302</v>
      </c>
    </row>
    <row r="27124" spans="2:9" ht="15" customHeight="1" x14ac:dyDescent="0.25">
      <c r="B27124" s="55" t="s">
        <v>392</v>
      </c>
      <c r="C27124" s="46">
        <v>42</v>
      </c>
      <c r="D27124" s="69" t="s">
        <v>29529</v>
      </c>
      <c r="E27124" s="62"/>
      <c r="F27124" s="62" t="str">
        <f>IF(INDEX(I.Gas.P2bY1C1E2,42)="","",INDEX(I.Gas.P2bY1C1E2,42))</f>
        <v/>
      </c>
      <c r="G27124" s="62"/>
      <c r="H27124" s="46" t="str">
        <f>IF(OR(I.Developer.P2b=FALSE,I.Facility.StandardPart="Part 2"),"Complete",IF(I.Product.P2bGasToPowerStatus&lt;&gt;"Yes","Complete",IF(AND(I.Gas.P2bY1Count&gt;=42,F27124=""),"Incomplete","Complete")))</f>
        <v>Complete</v>
      </c>
      <c r="I27124" s="48" t="s">
        <v>2303</v>
      </c>
    </row>
    <row r="27125" spans="2:9" ht="15" customHeight="1" x14ac:dyDescent="0.25">
      <c r="B27125" s="55" t="s">
        <v>392</v>
      </c>
      <c r="C27125" s="46">
        <v>43</v>
      </c>
      <c r="D27125" s="69" t="s">
        <v>29529</v>
      </c>
      <c r="E27125" s="62"/>
      <c r="F27125" s="62" t="str">
        <f>IF(INDEX(I.Gas.P2bY1C1E2,43)="","",INDEX(I.Gas.P2bY1C1E2,43))</f>
        <v/>
      </c>
      <c r="G27125" s="62"/>
      <c r="H27125" s="46" t="str">
        <f>IF(OR(I.Developer.P2b=FALSE,I.Facility.StandardPart="Part 2"),"Complete",IF(I.Product.P2bGasToPowerStatus&lt;&gt;"Yes","Complete",IF(AND(I.Gas.P2bY1Count&gt;=43,F27125=""),"Incomplete","Complete")))</f>
        <v>Complete</v>
      </c>
      <c r="I27125" s="48" t="s">
        <v>2304</v>
      </c>
    </row>
    <row r="27126" spans="2:9" ht="15" customHeight="1" x14ac:dyDescent="0.25">
      <c r="B27126" s="55" t="s">
        <v>392</v>
      </c>
      <c r="C27126" s="46">
        <v>44</v>
      </c>
      <c r="D27126" s="69" t="s">
        <v>29529</v>
      </c>
      <c r="E27126" s="62"/>
      <c r="F27126" s="62" t="str">
        <f>IF(INDEX(I.Gas.P2bY1C1E2,44)="","",INDEX(I.Gas.P2bY1C1E2,44))</f>
        <v/>
      </c>
      <c r="G27126" s="62"/>
      <c r="H27126" s="46" t="str">
        <f>IF(OR(I.Developer.P2b=FALSE,I.Facility.StandardPart="Part 2"),"Complete",IF(I.Product.P2bGasToPowerStatus&lt;&gt;"Yes","Complete",IF(AND(I.Gas.P2bY1Count&gt;=44,F27126=""),"Incomplete","Complete")))</f>
        <v>Complete</v>
      </c>
      <c r="I27126" s="48" t="s">
        <v>2305</v>
      </c>
    </row>
    <row r="27127" spans="2:9" ht="15" customHeight="1" x14ac:dyDescent="0.25">
      <c r="B27127" s="55" t="s">
        <v>392</v>
      </c>
      <c r="C27127" s="46">
        <v>45</v>
      </c>
      <c r="D27127" s="69" t="s">
        <v>29529</v>
      </c>
      <c r="E27127" s="62"/>
      <c r="F27127" s="62" t="str">
        <f>IF(INDEX(I.Gas.P2bY1C1E2,45)="","",INDEX(I.Gas.P2bY1C1E2,45))</f>
        <v/>
      </c>
      <c r="G27127" s="62"/>
      <c r="H27127" s="46" t="str">
        <f>IF(OR(I.Developer.P2b=FALSE,I.Facility.StandardPart="Part 2"),"Complete",IF(I.Product.P2bGasToPowerStatus&lt;&gt;"Yes","Complete",IF(AND(I.Gas.P2bY1Count&gt;=45,F27127=""),"Incomplete","Complete")))</f>
        <v>Complete</v>
      </c>
      <c r="I27127" s="48" t="s">
        <v>2306</v>
      </c>
    </row>
    <row r="27128" spans="2:9" ht="15" customHeight="1" x14ac:dyDescent="0.25">
      <c r="B27128" s="55" t="s">
        <v>392</v>
      </c>
      <c r="C27128" s="46">
        <v>46</v>
      </c>
      <c r="D27128" s="69" t="s">
        <v>29529</v>
      </c>
      <c r="E27128" s="62"/>
      <c r="F27128" s="62" t="str">
        <f>IF(INDEX(I.Gas.P2bY1C1E2,46)="","",INDEX(I.Gas.P2bY1C1E2,46))</f>
        <v/>
      </c>
      <c r="G27128" s="62"/>
      <c r="H27128" s="46" t="str">
        <f>IF(OR(I.Developer.P2b=FALSE,I.Facility.StandardPart="Part 2"),"Complete",IF(I.Product.P2bGasToPowerStatus&lt;&gt;"Yes","Complete",IF(AND(I.Gas.P2bY1Count&gt;=46,F27128=""),"Incomplete","Complete")))</f>
        <v>Complete</v>
      </c>
      <c r="I27128" s="48" t="s">
        <v>2307</v>
      </c>
    </row>
    <row r="27129" spans="2:9" ht="15" customHeight="1" x14ac:dyDescent="0.25">
      <c r="B27129" s="55" t="s">
        <v>392</v>
      </c>
      <c r="C27129" s="46">
        <v>47</v>
      </c>
      <c r="D27129" s="69" t="s">
        <v>29529</v>
      </c>
      <c r="E27129" s="62"/>
      <c r="F27129" s="62" t="str">
        <f>IF(INDEX(I.Gas.P2bY1C1E2,47)="","",INDEX(I.Gas.P2bY1C1E2,47))</f>
        <v/>
      </c>
      <c r="G27129" s="62"/>
      <c r="H27129" s="46" t="str">
        <f>IF(OR(I.Developer.P2b=FALSE,I.Facility.StandardPart="Part 2"),"Complete",IF(I.Product.P2bGasToPowerStatus&lt;&gt;"Yes","Complete",IF(AND(I.Gas.P2bY1Count&gt;=47,F27129=""),"Incomplete","Complete")))</f>
        <v>Complete</v>
      </c>
      <c r="I27129" s="48" t="s">
        <v>2308</v>
      </c>
    </row>
    <row r="27130" spans="2:9" ht="15" customHeight="1" x14ac:dyDescent="0.25">
      <c r="B27130" s="55" t="s">
        <v>392</v>
      </c>
      <c r="C27130" s="46">
        <v>48</v>
      </c>
      <c r="D27130" s="69" t="s">
        <v>29529</v>
      </c>
      <c r="E27130" s="62"/>
      <c r="F27130" s="62" t="str">
        <f>IF(INDEX(I.Gas.P2bY1C1E2,48)="","",INDEX(I.Gas.P2bY1C1E2,48))</f>
        <v/>
      </c>
      <c r="G27130" s="62"/>
      <c r="H27130" s="46" t="str">
        <f>IF(OR(I.Developer.P2b=FALSE,I.Facility.StandardPart="Part 2"),"Complete",IF(I.Product.P2bGasToPowerStatus&lt;&gt;"Yes","Complete",IF(AND(I.Gas.P2bY1Count&gt;=48,F27130=""),"Incomplete","Complete")))</f>
        <v>Complete</v>
      </c>
      <c r="I27130" s="48" t="s">
        <v>2309</v>
      </c>
    </row>
    <row r="27131" spans="2:9" ht="15" customHeight="1" x14ac:dyDescent="0.25">
      <c r="B27131" s="55" t="s">
        <v>392</v>
      </c>
      <c r="C27131" s="46">
        <v>49</v>
      </c>
      <c r="D27131" s="69" t="s">
        <v>29529</v>
      </c>
      <c r="E27131" s="62"/>
      <c r="F27131" s="62" t="str">
        <f>IF(INDEX(I.Gas.P2bY1C1E2,49)="","",INDEX(I.Gas.P2bY1C1E2,49))</f>
        <v/>
      </c>
      <c r="G27131" s="62"/>
      <c r="H27131" s="46" t="str">
        <f>IF(OR(I.Developer.P2b=FALSE,I.Facility.StandardPart="Part 2"),"Complete",IF(I.Product.P2bGasToPowerStatus&lt;&gt;"Yes","Complete",IF(AND(I.Gas.P2bY1Count&gt;=49,F27131=""),"Incomplete","Complete")))</f>
        <v>Complete</v>
      </c>
      <c r="I27131" s="48" t="s">
        <v>2310</v>
      </c>
    </row>
    <row r="27132" spans="2:9" ht="15" customHeight="1" x14ac:dyDescent="0.25">
      <c r="B27132" s="56" t="s">
        <v>392</v>
      </c>
      <c r="C27132" s="57">
        <v>50</v>
      </c>
      <c r="D27132" s="71" t="s">
        <v>29529</v>
      </c>
      <c r="E27132" s="61"/>
      <c r="F27132" s="61" t="str">
        <f>IF(INDEX(I.Gas.P2bY1C1E2,50)="","",INDEX(I.Gas.P2bY1C1E2,50))</f>
        <v/>
      </c>
      <c r="G27132" s="61"/>
      <c r="H27132" s="57" t="str">
        <f>IF(OR(I.Developer.P2b=FALSE,I.Facility.StandardPart="Part 2"),"Complete",IF(I.Product.P2bGasToPowerStatus&lt;&gt;"Yes","Complete",IF(AND(I.Gas.P2bY1Count&gt;=50,F27132=""),"Incomplete","Complete")))</f>
        <v>Complete</v>
      </c>
      <c r="I27132" s="49" t="s">
        <v>2311</v>
      </c>
    </row>
    <row r="27133" spans="2:9" ht="15" customHeight="1" x14ac:dyDescent="0.25">
      <c r="B27133" s="55" t="s">
        <v>393</v>
      </c>
      <c r="C27133" s="46">
        <v>1</v>
      </c>
      <c r="D27133" s="69" t="s">
        <v>29530</v>
      </c>
      <c r="E27133" s="62"/>
      <c r="F27133" s="62" t="str">
        <f>IF(INDEX(I.Gas.P2bY1C1E3,1)="","",INDEX(I.Gas.P2bY1C1E3,1))</f>
        <v/>
      </c>
      <c r="G27133" s="62"/>
      <c r="H27133" s="46" t="str">
        <f>IF(OR(I.Developer.P2b=FALSE,I.Facility.StandardPart="Part 2"),"Complete",IF(I.Product.P2bGasToPowerStatus&lt;&gt;"Yes","Complete",IF(AND(I.Gas.P2bY1Count&gt;=1,F27133=""),"Incomplete","Complete")))</f>
        <v>Complete</v>
      </c>
      <c r="I27133" s="48" t="s">
        <v>2312</v>
      </c>
    </row>
    <row r="27134" spans="2:9" ht="15" customHeight="1" x14ac:dyDescent="0.25">
      <c r="B27134" s="55" t="s">
        <v>393</v>
      </c>
      <c r="C27134" s="46">
        <v>2</v>
      </c>
      <c r="D27134" s="69" t="s">
        <v>29530</v>
      </c>
      <c r="E27134" s="62"/>
      <c r="F27134" s="62" t="str">
        <f>IF(INDEX(I.Gas.P2bY1C1E3,2)="","",INDEX(I.Gas.P2bY1C1E3,2))</f>
        <v/>
      </c>
      <c r="G27134" s="62"/>
      <c r="H27134" s="46" t="str">
        <f>IF(OR(I.Developer.P2b=FALSE,I.Facility.StandardPart="Part 2"),"Complete",IF(I.Product.P2bGasToPowerStatus&lt;&gt;"Yes","Complete",IF(AND(I.Gas.P2bY1Count&gt;=2,F27134=""),"Incomplete","Complete")))</f>
        <v>Complete</v>
      </c>
      <c r="I27134" s="48" t="s">
        <v>2313</v>
      </c>
    </row>
    <row r="27135" spans="2:9" ht="15" customHeight="1" x14ac:dyDescent="0.25">
      <c r="B27135" s="55" t="s">
        <v>393</v>
      </c>
      <c r="C27135" s="46">
        <v>3</v>
      </c>
      <c r="D27135" s="69" t="s">
        <v>29530</v>
      </c>
      <c r="E27135" s="62"/>
      <c r="F27135" s="62" t="str">
        <f>IF(INDEX(I.Gas.P2bY1C1E3,3)="","",INDEX(I.Gas.P2bY1C1E3,3))</f>
        <v/>
      </c>
      <c r="G27135" s="62"/>
      <c r="H27135" s="46" t="str">
        <f>IF(OR(I.Developer.P2b=FALSE,I.Facility.StandardPart="Part 2"),"Complete",IF(I.Product.P2bGasToPowerStatus&lt;&gt;"Yes","Complete",IF(AND(I.Gas.P2bY1Count&gt;=3,F27135=""),"Incomplete","Complete")))</f>
        <v>Complete</v>
      </c>
      <c r="I27135" s="48" t="s">
        <v>2314</v>
      </c>
    </row>
    <row r="27136" spans="2:9" ht="15" customHeight="1" x14ac:dyDescent="0.25">
      <c r="B27136" s="55" t="s">
        <v>393</v>
      </c>
      <c r="C27136" s="46">
        <v>4</v>
      </c>
      <c r="D27136" s="69" t="s">
        <v>29530</v>
      </c>
      <c r="E27136" s="62"/>
      <c r="F27136" s="62" t="str">
        <f>IF(INDEX(I.Gas.P2bY1C1E3,4)="","",INDEX(I.Gas.P2bY1C1E3,4))</f>
        <v/>
      </c>
      <c r="G27136" s="62"/>
      <c r="H27136" s="46" t="str">
        <f>IF(OR(I.Developer.P2b=FALSE,I.Facility.StandardPart="Part 2"),"Complete",IF(I.Product.P2bGasToPowerStatus&lt;&gt;"Yes","Complete",IF(AND(I.Gas.P2bY1Count&gt;=4,F27136=""),"Incomplete","Complete")))</f>
        <v>Complete</v>
      </c>
      <c r="I27136" s="48" t="s">
        <v>2315</v>
      </c>
    </row>
    <row r="27137" spans="2:9" ht="15" customHeight="1" x14ac:dyDescent="0.25">
      <c r="B27137" s="55" t="s">
        <v>393</v>
      </c>
      <c r="C27137" s="46">
        <v>5</v>
      </c>
      <c r="D27137" s="69" t="s">
        <v>29530</v>
      </c>
      <c r="E27137" s="62"/>
      <c r="F27137" s="62" t="str">
        <f>IF(INDEX(I.Gas.P2bY1C1E3,5)="","",INDEX(I.Gas.P2bY1C1E3,5))</f>
        <v/>
      </c>
      <c r="G27137" s="62"/>
      <c r="H27137" s="46" t="str">
        <f>IF(OR(I.Developer.P2b=FALSE,I.Facility.StandardPart="Part 2"),"Complete",IF(I.Product.P2bGasToPowerStatus&lt;&gt;"Yes","Complete",IF(AND(I.Gas.P2bY1Count&gt;=5,F27137=""),"Incomplete","Complete")))</f>
        <v>Complete</v>
      </c>
      <c r="I27137" s="48" t="s">
        <v>2316</v>
      </c>
    </row>
    <row r="27138" spans="2:9" ht="15" customHeight="1" x14ac:dyDescent="0.25">
      <c r="B27138" s="55" t="s">
        <v>393</v>
      </c>
      <c r="C27138" s="46">
        <v>6</v>
      </c>
      <c r="D27138" s="69" t="s">
        <v>29530</v>
      </c>
      <c r="E27138" s="62"/>
      <c r="F27138" s="62" t="str">
        <f>IF(INDEX(I.Gas.P2bY1C1E3,6)="","",INDEX(I.Gas.P2bY1C1E3,6))</f>
        <v/>
      </c>
      <c r="G27138" s="62"/>
      <c r="H27138" s="46" t="str">
        <f>IF(OR(I.Developer.P2b=FALSE,I.Facility.StandardPart="Part 2"),"Complete",IF(I.Product.P2bGasToPowerStatus&lt;&gt;"Yes","Complete",IF(AND(I.Gas.P2bY1Count&gt;=6,F27138=""),"Incomplete","Complete")))</f>
        <v>Complete</v>
      </c>
      <c r="I27138" s="48" t="s">
        <v>2317</v>
      </c>
    </row>
    <row r="27139" spans="2:9" ht="15" customHeight="1" x14ac:dyDescent="0.25">
      <c r="B27139" s="55" t="s">
        <v>393</v>
      </c>
      <c r="C27139" s="46">
        <v>7</v>
      </c>
      <c r="D27139" s="69" t="s">
        <v>29530</v>
      </c>
      <c r="E27139" s="62"/>
      <c r="F27139" s="62" t="str">
        <f>IF(INDEX(I.Gas.P2bY1C1E3,7)="","",INDEX(I.Gas.P2bY1C1E3,7))</f>
        <v/>
      </c>
      <c r="G27139" s="62"/>
      <c r="H27139" s="46" t="str">
        <f>IF(OR(I.Developer.P2b=FALSE,I.Facility.StandardPart="Part 2"),"Complete",IF(I.Product.P2bGasToPowerStatus&lt;&gt;"Yes","Complete",IF(AND(I.Gas.P2bY1Count&gt;=7,F27139=""),"Incomplete","Complete")))</f>
        <v>Complete</v>
      </c>
      <c r="I27139" s="48" t="s">
        <v>2318</v>
      </c>
    </row>
    <row r="27140" spans="2:9" ht="15" customHeight="1" x14ac:dyDescent="0.25">
      <c r="B27140" s="55" t="s">
        <v>393</v>
      </c>
      <c r="C27140" s="46">
        <v>8</v>
      </c>
      <c r="D27140" s="69" t="s">
        <v>29530</v>
      </c>
      <c r="E27140" s="62"/>
      <c r="F27140" s="62" t="str">
        <f>IF(INDEX(I.Gas.P2bY1C1E3,8)="","",INDEX(I.Gas.P2bY1C1E3,8))</f>
        <v/>
      </c>
      <c r="G27140" s="62"/>
      <c r="H27140" s="46" t="str">
        <f>IF(OR(I.Developer.P2b=FALSE,I.Facility.StandardPart="Part 2"),"Complete",IF(I.Product.P2bGasToPowerStatus&lt;&gt;"Yes","Complete",IF(AND(I.Gas.P2bY1Count&gt;=8,F27140=""),"Incomplete","Complete")))</f>
        <v>Complete</v>
      </c>
      <c r="I27140" s="48" t="s">
        <v>2319</v>
      </c>
    </row>
    <row r="27141" spans="2:9" ht="15" customHeight="1" x14ac:dyDescent="0.25">
      <c r="B27141" s="55" t="s">
        <v>393</v>
      </c>
      <c r="C27141" s="46">
        <v>9</v>
      </c>
      <c r="D27141" s="69" t="s">
        <v>29530</v>
      </c>
      <c r="E27141" s="62"/>
      <c r="F27141" s="62" t="str">
        <f>IF(INDEX(I.Gas.P2bY1C1E3,9)="","",INDEX(I.Gas.P2bY1C1E3,9))</f>
        <v/>
      </c>
      <c r="G27141" s="62"/>
      <c r="H27141" s="46" t="str">
        <f>IF(OR(I.Developer.P2b=FALSE,I.Facility.StandardPart="Part 2"),"Complete",IF(I.Product.P2bGasToPowerStatus&lt;&gt;"Yes","Complete",IF(AND(I.Gas.P2bY1Count&gt;=9,F27141=""),"Incomplete","Complete")))</f>
        <v>Complete</v>
      </c>
      <c r="I27141" s="48" t="s">
        <v>2320</v>
      </c>
    </row>
    <row r="27142" spans="2:9" ht="15" customHeight="1" x14ac:dyDescent="0.25">
      <c r="B27142" s="55" t="s">
        <v>393</v>
      </c>
      <c r="C27142" s="46">
        <v>10</v>
      </c>
      <c r="D27142" s="69" t="s">
        <v>29530</v>
      </c>
      <c r="E27142" s="62"/>
      <c r="F27142" s="62" t="str">
        <f>IF(INDEX(I.Gas.P2bY1C1E3,10)="","",INDEX(I.Gas.P2bY1C1E3,10))</f>
        <v/>
      </c>
      <c r="G27142" s="62"/>
      <c r="H27142" s="46" t="str">
        <f>IF(OR(I.Developer.P2b=FALSE,I.Facility.StandardPart="Part 2"),"Complete",IF(I.Product.P2bGasToPowerStatus&lt;&gt;"Yes","Complete",IF(AND(I.Gas.P2bY1Count&gt;=10,F27142=""),"Incomplete","Complete")))</f>
        <v>Complete</v>
      </c>
      <c r="I27142" s="48" t="s">
        <v>2321</v>
      </c>
    </row>
    <row r="27143" spans="2:9" ht="15" customHeight="1" x14ac:dyDescent="0.25">
      <c r="B27143" s="55" t="s">
        <v>393</v>
      </c>
      <c r="C27143" s="46">
        <v>11</v>
      </c>
      <c r="D27143" s="69" t="s">
        <v>29530</v>
      </c>
      <c r="E27143" s="62"/>
      <c r="F27143" s="62" t="str">
        <f>IF(INDEX(I.Gas.P2bY1C1E3,11)="","",INDEX(I.Gas.P2bY1C1E3,11))</f>
        <v/>
      </c>
      <c r="G27143" s="62"/>
      <c r="H27143" s="46" t="str">
        <f>IF(OR(I.Developer.P2b=FALSE,I.Facility.StandardPart="Part 2"),"Complete",IF(I.Product.P2bGasToPowerStatus&lt;&gt;"Yes","Complete",IF(AND(I.Gas.P2bY1Count&gt;=11,F27143=""),"Incomplete","Complete")))</f>
        <v>Complete</v>
      </c>
      <c r="I27143" s="48" t="s">
        <v>2322</v>
      </c>
    </row>
    <row r="27144" spans="2:9" ht="15" customHeight="1" x14ac:dyDescent="0.25">
      <c r="B27144" s="55" t="s">
        <v>393</v>
      </c>
      <c r="C27144" s="46">
        <v>12</v>
      </c>
      <c r="D27144" s="69" t="s">
        <v>29530</v>
      </c>
      <c r="E27144" s="62"/>
      <c r="F27144" s="62" t="str">
        <f>IF(INDEX(I.Gas.P2bY1C1E3,12)="","",INDEX(I.Gas.P2bY1C1E3,12))</f>
        <v/>
      </c>
      <c r="G27144" s="62"/>
      <c r="H27144" s="46" t="str">
        <f>IF(OR(I.Developer.P2b=FALSE,I.Facility.StandardPart="Part 2"),"Complete",IF(I.Product.P2bGasToPowerStatus&lt;&gt;"Yes","Complete",IF(AND(I.Gas.P2bY1Count&gt;=12,F27144=""),"Incomplete","Complete")))</f>
        <v>Complete</v>
      </c>
      <c r="I27144" s="48" t="s">
        <v>2323</v>
      </c>
    </row>
    <row r="27145" spans="2:9" ht="15" customHeight="1" x14ac:dyDescent="0.25">
      <c r="B27145" s="55" t="s">
        <v>393</v>
      </c>
      <c r="C27145" s="46">
        <v>13</v>
      </c>
      <c r="D27145" s="69" t="s">
        <v>29530</v>
      </c>
      <c r="E27145" s="62"/>
      <c r="F27145" s="62" t="str">
        <f>IF(INDEX(I.Gas.P2bY1C1E3,13)="","",INDEX(I.Gas.P2bY1C1E3,13))</f>
        <v/>
      </c>
      <c r="G27145" s="62"/>
      <c r="H27145" s="46" t="str">
        <f>IF(OR(I.Developer.P2b=FALSE,I.Facility.StandardPart="Part 2"),"Complete",IF(I.Product.P2bGasToPowerStatus&lt;&gt;"Yes","Complete",IF(AND(I.Gas.P2bY1Count&gt;=13,F27145=""),"Incomplete","Complete")))</f>
        <v>Complete</v>
      </c>
      <c r="I27145" s="48" t="s">
        <v>2324</v>
      </c>
    </row>
    <row r="27146" spans="2:9" ht="15" customHeight="1" x14ac:dyDescent="0.25">
      <c r="B27146" s="55" t="s">
        <v>393</v>
      </c>
      <c r="C27146" s="46">
        <v>14</v>
      </c>
      <c r="D27146" s="69" t="s">
        <v>29530</v>
      </c>
      <c r="E27146" s="62"/>
      <c r="F27146" s="62" t="str">
        <f>IF(INDEX(I.Gas.P2bY1C1E3,14)="","",INDEX(I.Gas.P2bY1C1E3,14))</f>
        <v/>
      </c>
      <c r="G27146" s="62"/>
      <c r="H27146" s="46" t="str">
        <f>IF(OR(I.Developer.P2b=FALSE,I.Facility.StandardPart="Part 2"),"Complete",IF(I.Product.P2bGasToPowerStatus&lt;&gt;"Yes","Complete",IF(AND(I.Gas.P2bY1Count&gt;=14,F27146=""),"Incomplete","Complete")))</f>
        <v>Complete</v>
      </c>
      <c r="I27146" s="48" t="s">
        <v>2325</v>
      </c>
    </row>
    <row r="27147" spans="2:9" ht="15" customHeight="1" x14ac:dyDescent="0.25">
      <c r="B27147" s="55" t="s">
        <v>393</v>
      </c>
      <c r="C27147" s="46">
        <v>15</v>
      </c>
      <c r="D27147" s="69" t="s">
        <v>29530</v>
      </c>
      <c r="E27147" s="62"/>
      <c r="F27147" s="62" t="str">
        <f>IF(INDEX(I.Gas.P2bY1C1E3,15)="","",INDEX(I.Gas.P2bY1C1E3,15))</f>
        <v/>
      </c>
      <c r="G27147" s="62"/>
      <c r="H27147" s="46" t="str">
        <f>IF(OR(I.Developer.P2b=FALSE,I.Facility.StandardPart="Part 2"),"Complete",IF(I.Product.P2bGasToPowerStatus&lt;&gt;"Yes","Complete",IF(AND(I.Gas.P2bY1Count&gt;=15,F27147=""),"Incomplete","Complete")))</f>
        <v>Complete</v>
      </c>
      <c r="I27147" s="48" t="s">
        <v>2326</v>
      </c>
    </row>
    <row r="27148" spans="2:9" ht="15" customHeight="1" x14ac:dyDescent="0.25">
      <c r="B27148" s="55" t="s">
        <v>393</v>
      </c>
      <c r="C27148" s="46">
        <v>16</v>
      </c>
      <c r="D27148" s="69" t="s">
        <v>29530</v>
      </c>
      <c r="E27148" s="62"/>
      <c r="F27148" s="62" t="str">
        <f>IF(INDEX(I.Gas.P2bY1C1E3,16)="","",INDEX(I.Gas.P2bY1C1E3,16))</f>
        <v/>
      </c>
      <c r="G27148" s="62"/>
      <c r="H27148" s="46" t="str">
        <f>IF(OR(I.Developer.P2b=FALSE,I.Facility.StandardPart="Part 2"),"Complete",IF(I.Product.P2bGasToPowerStatus&lt;&gt;"Yes","Complete",IF(AND(I.Gas.P2bY1Count&gt;=16,F27148=""),"Incomplete","Complete")))</f>
        <v>Complete</v>
      </c>
      <c r="I27148" s="48" t="s">
        <v>2327</v>
      </c>
    </row>
    <row r="27149" spans="2:9" ht="15" customHeight="1" x14ac:dyDescent="0.25">
      <c r="B27149" s="55" t="s">
        <v>393</v>
      </c>
      <c r="C27149" s="46">
        <v>17</v>
      </c>
      <c r="D27149" s="69" t="s">
        <v>29530</v>
      </c>
      <c r="E27149" s="62"/>
      <c r="F27149" s="62" t="str">
        <f>IF(INDEX(I.Gas.P2bY1C1E3,17)="","",INDEX(I.Gas.P2bY1C1E3,17))</f>
        <v/>
      </c>
      <c r="G27149" s="62"/>
      <c r="H27149" s="46" t="str">
        <f>IF(OR(I.Developer.P2b=FALSE,I.Facility.StandardPart="Part 2"),"Complete",IF(I.Product.P2bGasToPowerStatus&lt;&gt;"Yes","Complete",IF(AND(I.Gas.P2bY1Count&gt;=17,F27149=""),"Incomplete","Complete")))</f>
        <v>Complete</v>
      </c>
      <c r="I27149" s="48" t="s">
        <v>2328</v>
      </c>
    </row>
    <row r="27150" spans="2:9" ht="15" customHeight="1" x14ac:dyDescent="0.25">
      <c r="B27150" s="55" t="s">
        <v>393</v>
      </c>
      <c r="C27150" s="46">
        <v>18</v>
      </c>
      <c r="D27150" s="69" t="s">
        <v>29530</v>
      </c>
      <c r="E27150" s="62"/>
      <c r="F27150" s="62" t="str">
        <f>IF(INDEX(I.Gas.P2bY1C1E3,18)="","",INDEX(I.Gas.P2bY1C1E3,18))</f>
        <v/>
      </c>
      <c r="G27150" s="62"/>
      <c r="H27150" s="46" t="str">
        <f>IF(OR(I.Developer.P2b=FALSE,I.Facility.StandardPart="Part 2"),"Complete",IF(I.Product.P2bGasToPowerStatus&lt;&gt;"Yes","Complete",IF(AND(I.Gas.P2bY1Count&gt;=18,F27150=""),"Incomplete","Complete")))</f>
        <v>Complete</v>
      </c>
      <c r="I27150" s="48" t="s">
        <v>2329</v>
      </c>
    </row>
    <row r="27151" spans="2:9" ht="15" customHeight="1" x14ac:dyDescent="0.25">
      <c r="B27151" s="55" t="s">
        <v>393</v>
      </c>
      <c r="C27151" s="46">
        <v>19</v>
      </c>
      <c r="D27151" s="69" t="s">
        <v>29530</v>
      </c>
      <c r="E27151" s="62"/>
      <c r="F27151" s="62" t="str">
        <f>IF(INDEX(I.Gas.P2bY1C1E3,19)="","",INDEX(I.Gas.P2bY1C1E3,19))</f>
        <v/>
      </c>
      <c r="G27151" s="62"/>
      <c r="H27151" s="46" t="str">
        <f>IF(OR(I.Developer.P2b=FALSE,I.Facility.StandardPart="Part 2"),"Complete",IF(I.Product.P2bGasToPowerStatus&lt;&gt;"Yes","Complete",IF(AND(I.Gas.P2bY1Count&gt;=19,F27151=""),"Incomplete","Complete")))</f>
        <v>Complete</v>
      </c>
      <c r="I27151" s="48" t="s">
        <v>2330</v>
      </c>
    </row>
    <row r="27152" spans="2:9" ht="15" customHeight="1" x14ac:dyDescent="0.25">
      <c r="B27152" s="55" t="s">
        <v>393</v>
      </c>
      <c r="C27152" s="46">
        <v>20</v>
      </c>
      <c r="D27152" s="69" t="s">
        <v>29530</v>
      </c>
      <c r="E27152" s="62"/>
      <c r="F27152" s="62" t="str">
        <f>IF(INDEX(I.Gas.P2bY1C1E3,20)="","",INDEX(I.Gas.P2bY1C1E3,20))</f>
        <v/>
      </c>
      <c r="G27152" s="62"/>
      <c r="H27152" s="46" t="str">
        <f>IF(OR(I.Developer.P2b=FALSE,I.Facility.StandardPart="Part 2"),"Complete",IF(I.Product.P2bGasToPowerStatus&lt;&gt;"Yes","Complete",IF(AND(I.Gas.P2bY1Count&gt;=20,F27152=""),"Incomplete","Complete")))</f>
        <v>Complete</v>
      </c>
      <c r="I27152" s="48" t="s">
        <v>2331</v>
      </c>
    </row>
    <row r="27153" spans="2:9" ht="15" customHeight="1" x14ac:dyDescent="0.25">
      <c r="B27153" s="55" t="s">
        <v>393</v>
      </c>
      <c r="C27153" s="46">
        <v>21</v>
      </c>
      <c r="D27153" s="69" t="s">
        <v>29530</v>
      </c>
      <c r="E27153" s="62"/>
      <c r="F27153" s="62" t="str">
        <f>IF(INDEX(I.Gas.P2bY1C1E3,21)="","",INDEX(I.Gas.P2bY1C1E3,21))</f>
        <v/>
      </c>
      <c r="G27153" s="62"/>
      <c r="H27153" s="46" t="str">
        <f>IF(OR(I.Developer.P2b=FALSE,I.Facility.StandardPart="Part 2"),"Complete",IF(I.Product.P2bGasToPowerStatus&lt;&gt;"Yes","Complete",IF(AND(I.Gas.P2bY1Count&gt;=21,F27153=""),"Incomplete","Complete")))</f>
        <v>Complete</v>
      </c>
      <c r="I27153" s="48" t="s">
        <v>2332</v>
      </c>
    </row>
    <row r="27154" spans="2:9" ht="15" customHeight="1" x14ac:dyDescent="0.25">
      <c r="B27154" s="55" t="s">
        <v>393</v>
      </c>
      <c r="C27154" s="46">
        <v>22</v>
      </c>
      <c r="D27154" s="69" t="s">
        <v>29530</v>
      </c>
      <c r="E27154" s="62"/>
      <c r="F27154" s="62" t="str">
        <f>IF(INDEX(I.Gas.P2bY1C1E3,22)="","",INDEX(I.Gas.P2bY1C1E3,22))</f>
        <v/>
      </c>
      <c r="G27154" s="62"/>
      <c r="H27154" s="46" t="str">
        <f>IF(OR(I.Developer.P2b=FALSE,I.Facility.StandardPart="Part 2"),"Complete",IF(I.Product.P2bGasToPowerStatus&lt;&gt;"Yes","Complete",IF(AND(I.Gas.P2bY1Count&gt;=22,F27154=""),"Incomplete","Complete")))</f>
        <v>Complete</v>
      </c>
      <c r="I27154" s="48" t="s">
        <v>2333</v>
      </c>
    </row>
    <row r="27155" spans="2:9" ht="15" customHeight="1" x14ac:dyDescent="0.25">
      <c r="B27155" s="55" t="s">
        <v>393</v>
      </c>
      <c r="C27155" s="46">
        <v>23</v>
      </c>
      <c r="D27155" s="69" t="s">
        <v>29530</v>
      </c>
      <c r="E27155" s="62"/>
      <c r="F27155" s="62" t="str">
        <f>IF(INDEX(I.Gas.P2bY1C1E3,23)="","",INDEX(I.Gas.P2bY1C1E3,23))</f>
        <v/>
      </c>
      <c r="G27155" s="62"/>
      <c r="H27155" s="46" t="str">
        <f>IF(OR(I.Developer.P2b=FALSE,I.Facility.StandardPart="Part 2"),"Complete",IF(I.Product.P2bGasToPowerStatus&lt;&gt;"Yes","Complete",IF(AND(I.Gas.P2bY1Count&gt;=23,F27155=""),"Incomplete","Complete")))</f>
        <v>Complete</v>
      </c>
      <c r="I27155" s="48" t="s">
        <v>2334</v>
      </c>
    </row>
    <row r="27156" spans="2:9" ht="15" customHeight="1" x14ac:dyDescent="0.25">
      <c r="B27156" s="55" t="s">
        <v>393</v>
      </c>
      <c r="C27156" s="46">
        <v>24</v>
      </c>
      <c r="D27156" s="69" t="s">
        <v>29530</v>
      </c>
      <c r="E27156" s="62"/>
      <c r="F27156" s="62" t="str">
        <f>IF(INDEX(I.Gas.P2bY1C1E3,24)="","",INDEX(I.Gas.P2bY1C1E3,24))</f>
        <v/>
      </c>
      <c r="G27156" s="62"/>
      <c r="H27156" s="46" t="str">
        <f>IF(OR(I.Developer.P2b=FALSE,I.Facility.StandardPart="Part 2"),"Complete",IF(I.Product.P2bGasToPowerStatus&lt;&gt;"Yes","Complete",IF(AND(I.Gas.P2bY1Count&gt;=24,F27156=""),"Incomplete","Complete")))</f>
        <v>Complete</v>
      </c>
      <c r="I27156" s="48" t="s">
        <v>2335</v>
      </c>
    </row>
    <row r="27157" spans="2:9" ht="15" customHeight="1" x14ac:dyDescent="0.25">
      <c r="B27157" s="55" t="s">
        <v>393</v>
      </c>
      <c r="C27157" s="46">
        <v>25</v>
      </c>
      <c r="D27157" s="69" t="s">
        <v>29530</v>
      </c>
      <c r="E27157" s="62"/>
      <c r="F27157" s="62" t="str">
        <f>IF(INDEX(I.Gas.P2bY1C1E3,25)="","",INDEX(I.Gas.P2bY1C1E3,25))</f>
        <v/>
      </c>
      <c r="G27157" s="62"/>
      <c r="H27157" s="46" t="str">
        <f>IF(OR(I.Developer.P2b=FALSE,I.Facility.StandardPart="Part 2"),"Complete",IF(I.Product.P2bGasToPowerStatus&lt;&gt;"Yes","Complete",IF(AND(I.Gas.P2bY1Count&gt;=25,F27157=""),"Incomplete","Complete")))</f>
        <v>Complete</v>
      </c>
      <c r="I27157" s="48" t="s">
        <v>2336</v>
      </c>
    </row>
    <row r="27158" spans="2:9" ht="15" customHeight="1" x14ac:dyDescent="0.25">
      <c r="B27158" s="55" t="s">
        <v>393</v>
      </c>
      <c r="C27158" s="46">
        <v>26</v>
      </c>
      <c r="D27158" s="69" t="s">
        <v>29530</v>
      </c>
      <c r="E27158" s="62"/>
      <c r="F27158" s="62" t="str">
        <f>IF(INDEX(I.Gas.P2bY1C1E3,26)="","",INDEX(I.Gas.P2bY1C1E3,26))</f>
        <v/>
      </c>
      <c r="G27158" s="62"/>
      <c r="H27158" s="46" t="str">
        <f>IF(OR(I.Developer.P2b=FALSE,I.Facility.StandardPart="Part 2"),"Complete",IF(I.Product.P2bGasToPowerStatus&lt;&gt;"Yes","Complete",IF(AND(I.Gas.P2bY1Count&gt;=26,F27158=""),"Incomplete","Complete")))</f>
        <v>Complete</v>
      </c>
      <c r="I27158" s="48" t="s">
        <v>2337</v>
      </c>
    </row>
    <row r="27159" spans="2:9" ht="15" customHeight="1" x14ac:dyDescent="0.25">
      <c r="B27159" s="55" t="s">
        <v>393</v>
      </c>
      <c r="C27159" s="46">
        <v>27</v>
      </c>
      <c r="D27159" s="69" t="s">
        <v>29530</v>
      </c>
      <c r="E27159" s="62"/>
      <c r="F27159" s="62" t="str">
        <f>IF(INDEX(I.Gas.P2bY1C1E3,27)="","",INDEX(I.Gas.P2bY1C1E3,27))</f>
        <v/>
      </c>
      <c r="G27159" s="62"/>
      <c r="H27159" s="46" t="str">
        <f>IF(OR(I.Developer.P2b=FALSE,I.Facility.StandardPart="Part 2"),"Complete",IF(I.Product.P2bGasToPowerStatus&lt;&gt;"Yes","Complete",IF(AND(I.Gas.P2bY1Count&gt;=27,F27159=""),"Incomplete","Complete")))</f>
        <v>Complete</v>
      </c>
      <c r="I27159" s="48" t="s">
        <v>2338</v>
      </c>
    </row>
    <row r="27160" spans="2:9" ht="15" customHeight="1" x14ac:dyDescent="0.25">
      <c r="B27160" s="55" t="s">
        <v>393</v>
      </c>
      <c r="C27160" s="46">
        <v>28</v>
      </c>
      <c r="D27160" s="69" t="s">
        <v>29530</v>
      </c>
      <c r="E27160" s="62"/>
      <c r="F27160" s="62" t="str">
        <f>IF(INDEX(I.Gas.P2bY1C1E3,28)="","",INDEX(I.Gas.P2bY1C1E3,28))</f>
        <v/>
      </c>
      <c r="G27160" s="62"/>
      <c r="H27160" s="46" t="str">
        <f>IF(OR(I.Developer.P2b=FALSE,I.Facility.StandardPart="Part 2"),"Complete",IF(I.Product.P2bGasToPowerStatus&lt;&gt;"Yes","Complete",IF(AND(I.Gas.P2bY1Count&gt;=28,F27160=""),"Incomplete","Complete")))</f>
        <v>Complete</v>
      </c>
      <c r="I27160" s="48" t="s">
        <v>2339</v>
      </c>
    </row>
    <row r="27161" spans="2:9" ht="15" customHeight="1" x14ac:dyDescent="0.25">
      <c r="B27161" s="55" t="s">
        <v>393</v>
      </c>
      <c r="C27161" s="46">
        <v>29</v>
      </c>
      <c r="D27161" s="69" t="s">
        <v>29530</v>
      </c>
      <c r="E27161" s="62"/>
      <c r="F27161" s="62" t="str">
        <f>IF(INDEX(I.Gas.P2bY1C1E3,29)="","",INDEX(I.Gas.P2bY1C1E3,29))</f>
        <v/>
      </c>
      <c r="G27161" s="62"/>
      <c r="H27161" s="46" t="str">
        <f>IF(OR(I.Developer.P2b=FALSE,I.Facility.StandardPart="Part 2"),"Complete",IF(I.Product.P2bGasToPowerStatus&lt;&gt;"Yes","Complete",IF(AND(I.Gas.P2bY1Count&gt;=29,F27161=""),"Incomplete","Complete")))</f>
        <v>Complete</v>
      </c>
      <c r="I27161" s="48" t="s">
        <v>2340</v>
      </c>
    </row>
    <row r="27162" spans="2:9" ht="15" customHeight="1" x14ac:dyDescent="0.25">
      <c r="B27162" s="55" t="s">
        <v>393</v>
      </c>
      <c r="C27162" s="46">
        <v>30</v>
      </c>
      <c r="D27162" s="69" t="s">
        <v>29530</v>
      </c>
      <c r="E27162" s="62"/>
      <c r="F27162" s="62" t="str">
        <f>IF(INDEX(I.Gas.P2bY1C1E3,30)="","",INDEX(I.Gas.P2bY1C1E3,30))</f>
        <v/>
      </c>
      <c r="G27162" s="62"/>
      <c r="H27162" s="46" t="str">
        <f>IF(OR(I.Developer.P2b=FALSE,I.Facility.StandardPart="Part 2"),"Complete",IF(I.Product.P2bGasToPowerStatus&lt;&gt;"Yes","Complete",IF(AND(I.Gas.P2bY1Count&gt;=30,F27162=""),"Incomplete","Complete")))</f>
        <v>Complete</v>
      </c>
      <c r="I27162" s="48" t="s">
        <v>2341</v>
      </c>
    </row>
    <row r="27163" spans="2:9" ht="15" customHeight="1" x14ac:dyDescent="0.25">
      <c r="B27163" s="55" t="s">
        <v>393</v>
      </c>
      <c r="C27163" s="46">
        <v>31</v>
      </c>
      <c r="D27163" s="69" t="s">
        <v>29530</v>
      </c>
      <c r="E27163" s="62"/>
      <c r="F27163" s="62" t="str">
        <f>IF(INDEX(I.Gas.P2bY1C1E3,31)="","",INDEX(I.Gas.P2bY1C1E3,31))</f>
        <v/>
      </c>
      <c r="G27163" s="62"/>
      <c r="H27163" s="46" t="str">
        <f>IF(OR(I.Developer.P2b=FALSE,I.Facility.StandardPart="Part 2"),"Complete",IF(I.Product.P2bGasToPowerStatus&lt;&gt;"Yes","Complete",IF(AND(I.Gas.P2bY1Count&gt;=31,F27163=""),"Incomplete","Complete")))</f>
        <v>Complete</v>
      </c>
      <c r="I27163" s="48" t="s">
        <v>2342</v>
      </c>
    </row>
    <row r="27164" spans="2:9" ht="15" customHeight="1" x14ac:dyDescent="0.25">
      <c r="B27164" s="55" t="s">
        <v>393</v>
      </c>
      <c r="C27164" s="46">
        <v>32</v>
      </c>
      <c r="D27164" s="69" t="s">
        <v>29530</v>
      </c>
      <c r="E27164" s="62"/>
      <c r="F27164" s="62" t="str">
        <f>IF(INDEX(I.Gas.P2bY1C1E3,32)="","",INDEX(I.Gas.P2bY1C1E3,32))</f>
        <v/>
      </c>
      <c r="G27164" s="62"/>
      <c r="H27164" s="46" t="str">
        <f>IF(OR(I.Developer.P2b=FALSE,I.Facility.StandardPart="Part 2"),"Complete",IF(I.Product.P2bGasToPowerStatus&lt;&gt;"Yes","Complete",IF(AND(I.Gas.P2bY1Count&gt;=32,F27164=""),"Incomplete","Complete")))</f>
        <v>Complete</v>
      </c>
      <c r="I27164" s="48" t="s">
        <v>2343</v>
      </c>
    </row>
    <row r="27165" spans="2:9" ht="15" customHeight="1" x14ac:dyDescent="0.25">
      <c r="B27165" s="55" t="s">
        <v>393</v>
      </c>
      <c r="C27165" s="46">
        <v>33</v>
      </c>
      <c r="D27165" s="69" t="s">
        <v>29530</v>
      </c>
      <c r="E27165" s="62"/>
      <c r="F27165" s="62" t="str">
        <f>IF(INDEX(I.Gas.P2bY1C1E3,33)="","",INDEX(I.Gas.P2bY1C1E3,33))</f>
        <v/>
      </c>
      <c r="G27165" s="62"/>
      <c r="H27165" s="46" t="str">
        <f>IF(OR(I.Developer.P2b=FALSE,I.Facility.StandardPart="Part 2"),"Complete",IF(I.Product.P2bGasToPowerStatus&lt;&gt;"Yes","Complete",IF(AND(I.Gas.P2bY1Count&gt;=33,F27165=""),"Incomplete","Complete")))</f>
        <v>Complete</v>
      </c>
      <c r="I27165" s="48" t="s">
        <v>2344</v>
      </c>
    </row>
    <row r="27166" spans="2:9" ht="15" customHeight="1" x14ac:dyDescent="0.25">
      <c r="B27166" s="55" t="s">
        <v>393</v>
      </c>
      <c r="C27166" s="46">
        <v>34</v>
      </c>
      <c r="D27166" s="69" t="s">
        <v>29530</v>
      </c>
      <c r="E27166" s="62"/>
      <c r="F27166" s="62" t="str">
        <f>IF(INDEX(I.Gas.P2bY1C1E3,34)="","",INDEX(I.Gas.P2bY1C1E3,34))</f>
        <v/>
      </c>
      <c r="G27166" s="62"/>
      <c r="H27166" s="46" t="str">
        <f>IF(OR(I.Developer.P2b=FALSE,I.Facility.StandardPart="Part 2"),"Complete",IF(I.Product.P2bGasToPowerStatus&lt;&gt;"Yes","Complete",IF(AND(I.Gas.P2bY1Count&gt;=34,F27166=""),"Incomplete","Complete")))</f>
        <v>Complete</v>
      </c>
      <c r="I27166" s="48" t="s">
        <v>2345</v>
      </c>
    </row>
    <row r="27167" spans="2:9" ht="15" customHeight="1" x14ac:dyDescent="0.25">
      <c r="B27167" s="55" t="s">
        <v>393</v>
      </c>
      <c r="C27167" s="46">
        <v>35</v>
      </c>
      <c r="D27167" s="69" t="s">
        <v>29530</v>
      </c>
      <c r="E27167" s="62"/>
      <c r="F27167" s="62" t="str">
        <f>IF(INDEX(I.Gas.P2bY1C1E3,35)="","",INDEX(I.Gas.P2bY1C1E3,35))</f>
        <v/>
      </c>
      <c r="G27167" s="62"/>
      <c r="H27167" s="46" t="str">
        <f>IF(OR(I.Developer.P2b=FALSE,I.Facility.StandardPart="Part 2"),"Complete",IF(I.Product.P2bGasToPowerStatus&lt;&gt;"Yes","Complete",IF(AND(I.Gas.P2bY1Count&gt;=35,F27167=""),"Incomplete","Complete")))</f>
        <v>Complete</v>
      </c>
      <c r="I27167" s="48" t="s">
        <v>2346</v>
      </c>
    </row>
    <row r="27168" spans="2:9" ht="15" customHeight="1" x14ac:dyDescent="0.25">
      <c r="B27168" s="55" t="s">
        <v>393</v>
      </c>
      <c r="C27168" s="46">
        <v>36</v>
      </c>
      <c r="D27168" s="69" t="s">
        <v>29530</v>
      </c>
      <c r="E27168" s="62"/>
      <c r="F27168" s="62" t="str">
        <f>IF(INDEX(I.Gas.P2bY1C1E3,36)="","",INDEX(I.Gas.P2bY1C1E3,36))</f>
        <v/>
      </c>
      <c r="G27168" s="62"/>
      <c r="H27168" s="46" t="str">
        <f>IF(OR(I.Developer.P2b=FALSE,I.Facility.StandardPart="Part 2"),"Complete",IF(I.Product.P2bGasToPowerStatus&lt;&gt;"Yes","Complete",IF(AND(I.Gas.P2bY1Count&gt;=36,F27168=""),"Incomplete","Complete")))</f>
        <v>Complete</v>
      </c>
      <c r="I27168" s="48" t="s">
        <v>2347</v>
      </c>
    </row>
    <row r="27169" spans="2:9" ht="15" customHeight="1" x14ac:dyDescent="0.25">
      <c r="B27169" s="55" t="s">
        <v>393</v>
      </c>
      <c r="C27169" s="46">
        <v>37</v>
      </c>
      <c r="D27169" s="69" t="s">
        <v>29530</v>
      </c>
      <c r="E27169" s="62"/>
      <c r="F27169" s="62" t="str">
        <f>IF(INDEX(I.Gas.P2bY1C1E3,37)="","",INDEX(I.Gas.P2bY1C1E3,37))</f>
        <v/>
      </c>
      <c r="G27169" s="62"/>
      <c r="H27169" s="46" t="str">
        <f>IF(OR(I.Developer.P2b=FALSE,I.Facility.StandardPart="Part 2"),"Complete",IF(I.Product.P2bGasToPowerStatus&lt;&gt;"Yes","Complete",IF(AND(I.Gas.P2bY1Count&gt;=37,F27169=""),"Incomplete","Complete")))</f>
        <v>Complete</v>
      </c>
      <c r="I27169" s="48" t="s">
        <v>2348</v>
      </c>
    </row>
    <row r="27170" spans="2:9" ht="15" customHeight="1" x14ac:dyDescent="0.25">
      <c r="B27170" s="55" t="s">
        <v>393</v>
      </c>
      <c r="C27170" s="46">
        <v>38</v>
      </c>
      <c r="D27170" s="69" t="s">
        <v>29530</v>
      </c>
      <c r="E27170" s="62"/>
      <c r="F27170" s="62" t="str">
        <f>IF(INDEX(I.Gas.P2bY1C1E3,38)="","",INDEX(I.Gas.P2bY1C1E3,38))</f>
        <v/>
      </c>
      <c r="G27170" s="62"/>
      <c r="H27170" s="46" t="str">
        <f>IF(OR(I.Developer.P2b=FALSE,I.Facility.StandardPart="Part 2"),"Complete",IF(I.Product.P2bGasToPowerStatus&lt;&gt;"Yes","Complete",IF(AND(I.Gas.P2bY1Count&gt;=38,F27170=""),"Incomplete","Complete")))</f>
        <v>Complete</v>
      </c>
      <c r="I27170" s="48" t="s">
        <v>2349</v>
      </c>
    </row>
    <row r="27171" spans="2:9" ht="15" customHeight="1" x14ac:dyDescent="0.25">
      <c r="B27171" s="55" t="s">
        <v>393</v>
      </c>
      <c r="C27171" s="46">
        <v>39</v>
      </c>
      <c r="D27171" s="69" t="s">
        <v>29530</v>
      </c>
      <c r="E27171" s="62"/>
      <c r="F27171" s="62" t="str">
        <f>IF(INDEX(I.Gas.P2bY1C1E3,39)="","",INDEX(I.Gas.P2bY1C1E3,39))</f>
        <v/>
      </c>
      <c r="G27171" s="62"/>
      <c r="H27171" s="46" t="str">
        <f>IF(OR(I.Developer.P2b=FALSE,I.Facility.StandardPart="Part 2"),"Complete",IF(I.Product.P2bGasToPowerStatus&lt;&gt;"Yes","Complete",IF(AND(I.Gas.P2bY1Count&gt;=39,F27171=""),"Incomplete","Complete")))</f>
        <v>Complete</v>
      </c>
      <c r="I27171" s="48" t="s">
        <v>2350</v>
      </c>
    </row>
    <row r="27172" spans="2:9" ht="15" customHeight="1" x14ac:dyDescent="0.25">
      <c r="B27172" s="55" t="s">
        <v>393</v>
      </c>
      <c r="C27172" s="46">
        <v>40</v>
      </c>
      <c r="D27172" s="69" t="s">
        <v>29530</v>
      </c>
      <c r="E27172" s="62"/>
      <c r="F27172" s="62" t="str">
        <f>IF(INDEX(I.Gas.P2bY1C1E3,40)="","",INDEX(I.Gas.P2bY1C1E3,40))</f>
        <v/>
      </c>
      <c r="G27172" s="62"/>
      <c r="H27172" s="46" t="str">
        <f>IF(OR(I.Developer.P2b=FALSE,I.Facility.StandardPart="Part 2"),"Complete",IF(I.Product.P2bGasToPowerStatus&lt;&gt;"Yes","Complete",IF(AND(I.Gas.P2bY1Count&gt;=40,F27172=""),"Incomplete","Complete")))</f>
        <v>Complete</v>
      </c>
      <c r="I27172" s="48" t="s">
        <v>2351</v>
      </c>
    </row>
    <row r="27173" spans="2:9" ht="15" customHeight="1" x14ac:dyDescent="0.25">
      <c r="B27173" s="55" t="s">
        <v>393</v>
      </c>
      <c r="C27173" s="46">
        <v>41</v>
      </c>
      <c r="D27173" s="69" t="s">
        <v>29530</v>
      </c>
      <c r="E27173" s="62"/>
      <c r="F27173" s="62" t="str">
        <f>IF(INDEX(I.Gas.P2bY1C1E3,41)="","",INDEX(I.Gas.P2bY1C1E3,41))</f>
        <v/>
      </c>
      <c r="G27173" s="62"/>
      <c r="H27173" s="46" t="str">
        <f>IF(OR(I.Developer.P2b=FALSE,I.Facility.StandardPart="Part 2"),"Complete",IF(I.Product.P2bGasToPowerStatus&lt;&gt;"Yes","Complete",IF(AND(I.Gas.P2bY1Count&gt;=41,F27173=""),"Incomplete","Complete")))</f>
        <v>Complete</v>
      </c>
      <c r="I27173" s="48" t="s">
        <v>2352</v>
      </c>
    </row>
    <row r="27174" spans="2:9" ht="15" customHeight="1" x14ac:dyDescent="0.25">
      <c r="B27174" s="55" t="s">
        <v>393</v>
      </c>
      <c r="C27174" s="46">
        <v>42</v>
      </c>
      <c r="D27174" s="69" t="s">
        <v>29530</v>
      </c>
      <c r="E27174" s="62"/>
      <c r="F27174" s="62" t="str">
        <f>IF(INDEX(I.Gas.P2bY1C1E3,42)="","",INDEX(I.Gas.P2bY1C1E3,42))</f>
        <v/>
      </c>
      <c r="G27174" s="62"/>
      <c r="H27174" s="46" t="str">
        <f>IF(OR(I.Developer.P2b=FALSE,I.Facility.StandardPart="Part 2"),"Complete",IF(I.Product.P2bGasToPowerStatus&lt;&gt;"Yes","Complete",IF(AND(I.Gas.P2bY1Count&gt;=42,F27174=""),"Incomplete","Complete")))</f>
        <v>Complete</v>
      </c>
      <c r="I27174" s="48" t="s">
        <v>2353</v>
      </c>
    </row>
    <row r="27175" spans="2:9" ht="15" customHeight="1" x14ac:dyDescent="0.25">
      <c r="B27175" s="55" t="s">
        <v>393</v>
      </c>
      <c r="C27175" s="46">
        <v>43</v>
      </c>
      <c r="D27175" s="69" t="s">
        <v>29530</v>
      </c>
      <c r="E27175" s="62"/>
      <c r="F27175" s="62" t="str">
        <f>IF(INDEX(I.Gas.P2bY1C1E3,43)="","",INDEX(I.Gas.P2bY1C1E3,43))</f>
        <v/>
      </c>
      <c r="G27175" s="62"/>
      <c r="H27175" s="46" t="str">
        <f>IF(OR(I.Developer.P2b=FALSE,I.Facility.StandardPart="Part 2"),"Complete",IF(I.Product.P2bGasToPowerStatus&lt;&gt;"Yes","Complete",IF(AND(I.Gas.P2bY1Count&gt;=43,F27175=""),"Incomplete","Complete")))</f>
        <v>Complete</v>
      </c>
      <c r="I27175" s="48" t="s">
        <v>2354</v>
      </c>
    </row>
    <row r="27176" spans="2:9" ht="15" customHeight="1" x14ac:dyDescent="0.25">
      <c r="B27176" s="55" t="s">
        <v>393</v>
      </c>
      <c r="C27176" s="46">
        <v>44</v>
      </c>
      <c r="D27176" s="69" t="s">
        <v>29530</v>
      </c>
      <c r="E27176" s="62"/>
      <c r="F27176" s="62" t="str">
        <f>IF(INDEX(I.Gas.P2bY1C1E3,44)="","",INDEX(I.Gas.P2bY1C1E3,44))</f>
        <v/>
      </c>
      <c r="G27176" s="62"/>
      <c r="H27176" s="46" t="str">
        <f>IF(OR(I.Developer.P2b=FALSE,I.Facility.StandardPart="Part 2"),"Complete",IF(I.Product.P2bGasToPowerStatus&lt;&gt;"Yes","Complete",IF(AND(I.Gas.P2bY1Count&gt;=44,F27176=""),"Incomplete","Complete")))</f>
        <v>Complete</v>
      </c>
      <c r="I27176" s="48" t="s">
        <v>2355</v>
      </c>
    </row>
    <row r="27177" spans="2:9" ht="15" customHeight="1" x14ac:dyDescent="0.25">
      <c r="B27177" s="55" t="s">
        <v>393</v>
      </c>
      <c r="C27177" s="46">
        <v>45</v>
      </c>
      <c r="D27177" s="69" t="s">
        <v>29530</v>
      </c>
      <c r="E27177" s="62"/>
      <c r="F27177" s="62" t="str">
        <f>IF(INDEX(I.Gas.P2bY1C1E3,45)="","",INDEX(I.Gas.P2bY1C1E3,45))</f>
        <v/>
      </c>
      <c r="G27177" s="62"/>
      <c r="H27177" s="46" t="str">
        <f>IF(OR(I.Developer.P2b=FALSE,I.Facility.StandardPart="Part 2"),"Complete",IF(I.Product.P2bGasToPowerStatus&lt;&gt;"Yes","Complete",IF(AND(I.Gas.P2bY1Count&gt;=45,F27177=""),"Incomplete","Complete")))</f>
        <v>Complete</v>
      </c>
      <c r="I27177" s="48" t="s">
        <v>2356</v>
      </c>
    </row>
    <row r="27178" spans="2:9" ht="15" customHeight="1" x14ac:dyDescent="0.25">
      <c r="B27178" s="55" t="s">
        <v>393</v>
      </c>
      <c r="C27178" s="46">
        <v>46</v>
      </c>
      <c r="D27178" s="69" t="s">
        <v>29530</v>
      </c>
      <c r="E27178" s="62"/>
      <c r="F27178" s="62" t="str">
        <f>IF(INDEX(I.Gas.P2bY1C1E3,46)="","",INDEX(I.Gas.P2bY1C1E3,46))</f>
        <v/>
      </c>
      <c r="G27178" s="62"/>
      <c r="H27178" s="46" t="str">
        <f>IF(OR(I.Developer.P2b=FALSE,I.Facility.StandardPart="Part 2"),"Complete",IF(I.Product.P2bGasToPowerStatus&lt;&gt;"Yes","Complete",IF(AND(I.Gas.P2bY1Count&gt;=46,F27178=""),"Incomplete","Complete")))</f>
        <v>Complete</v>
      </c>
      <c r="I27178" s="48" t="s">
        <v>2357</v>
      </c>
    </row>
    <row r="27179" spans="2:9" ht="15" customHeight="1" x14ac:dyDescent="0.25">
      <c r="B27179" s="55" t="s">
        <v>393</v>
      </c>
      <c r="C27179" s="46">
        <v>47</v>
      </c>
      <c r="D27179" s="69" t="s">
        <v>29530</v>
      </c>
      <c r="E27179" s="62"/>
      <c r="F27179" s="62" t="str">
        <f>IF(INDEX(I.Gas.P2bY1C1E3,47)="","",INDEX(I.Gas.P2bY1C1E3,47))</f>
        <v/>
      </c>
      <c r="G27179" s="62"/>
      <c r="H27179" s="46" t="str">
        <f>IF(OR(I.Developer.P2b=FALSE,I.Facility.StandardPart="Part 2"),"Complete",IF(I.Product.P2bGasToPowerStatus&lt;&gt;"Yes","Complete",IF(AND(I.Gas.P2bY1Count&gt;=47,F27179=""),"Incomplete","Complete")))</f>
        <v>Complete</v>
      </c>
      <c r="I27179" s="48" t="s">
        <v>2358</v>
      </c>
    </row>
    <row r="27180" spans="2:9" ht="15" customHeight="1" x14ac:dyDescent="0.25">
      <c r="B27180" s="55" t="s">
        <v>393</v>
      </c>
      <c r="C27180" s="46">
        <v>48</v>
      </c>
      <c r="D27180" s="69" t="s">
        <v>29530</v>
      </c>
      <c r="E27180" s="62"/>
      <c r="F27180" s="62" t="str">
        <f>IF(INDEX(I.Gas.P2bY1C1E3,48)="","",INDEX(I.Gas.P2bY1C1E3,48))</f>
        <v/>
      </c>
      <c r="G27180" s="62"/>
      <c r="H27180" s="46" t="str">
        <f>IF(OR(I.Developer.P2b=FALSE,I.Facility.StandardPart="Part 2"),"Complete",IF(I.Product.P2bGasToPowerStatus&lt;&gt;"Yes","Complete",IF(AND(I.Gas.P2bY1Count&gt;=48,F27180=""),"Incomplete","Complete")))</f>
        <v>Complete</v>
      </c>
      <c r="I27180" s="48" t="s">
        <v>2359</v>
      </c>
    </row>
    <row r="27181" spans="2:9" ht="15" customHeight="1" x14ac:dyDescent="0.25">
      <c r="B27181" s="55" t="s">
        <v>393</v>
      </c>
      <c r="C27181" s="46">
        <v>49</v>
      </c>
      <c r="D27181" s="69" t="s">
        <v>29530</v>
      </c>
      <c r="E27181" s="62"/>
      <c r="F27181" s="62" t="str">
        <f>IF(INDEX(I.Gas.P2bY1C1E3,49)="","",INDEX(I.Gas.P2bY1C1E3,49))</f>
        <v/>
      </c>
      <c r="G27181" s="62"/>
      <c r="H27181" s="46" t="str">
        <f>IF(OR(I.Developer.P2b=FALSE,I.Facility.StandardPart="Part 2"),"Complete",IF(I.Product.P2bGasToPowerStatus&lt;&gt;"Yes","Complete",IF(AND(I.Gas.P2bY1Count&gt;=49,F27181=""),"Incomplete","Complete")))</f>
        <v>Complete</v>
      </c>
      <c r="I27181" s="48" t="s">
        <v>2360</v>
      </c>
    </row>
    <row r="27182" spans="2:9" ht="15" customHeight="1" x14ac:dyDescent="0.25">
      <c r="B27182" s="56" t="s">
        <v>393</v>
      </c>
      <c r="C27182" s="57">
        <v>50</v>
      </c>
      <c r="D27182" s="71" t="s">
        <v>29530</v>
      </c>
      <c r="E27182" s="61"/>
      <c r="F27182" s="61" t="str">
        <f>IF(INDEX(I.Gas.P2bY1C1E3,50)="","",INDEX(I.Gas.P2bY1C1E3,50))</f>
        <v/>
      </c>
      <c r="G27182" s="61"/>
      <c r="H27182" s="57" t="str">
        <f>IF(OR(I.Developer.P2b=FALSE,I.Facility.StandardPart="Part 2"),"Complete",IF(I.Product.P2bGasToPowerStatus&lt;&gt;"Yes","Complete",IF(AND(I.Gas.P2bY1Count&gt;=50,F27182=""),"Incomplete","Complete")))</f>
        <v>Complete</v>
      </c>
      <c r="I27182" s="49" t="s">
        <v>2361</v>
      </c>
    </row>
    <row r="27183" spans="2:9" ht="15" customHeight="1" x14ac:dyDescent="0.25">
      <c r="B27183" s="56" t="s">
        <v>394</v>
      </c>
      <c r="C27183" s="57">
        <v>1</v>
      </c>
      <c r="D27183" s="71" t="s">
        <v>29531</v>
      </c>
      <c r="E27183" s="60"/>
      <c r="F27183" s="60" t="str">
        <f>IF(INDEX(I.Gas.P2bY2Count,1)="","",INDEX(I.Gas.P2bY2Count,1))</f>
        <v/>
      </c>
      <c r="G27183" s="60"/>
      <c r="H27183" s="57" t="str">
        <f>IF(I.Developer.P2b=FALSE,"Complete",IF(I.Product.P2bGasToPowerStatus&lt;&gt;"Yes","Complete",IF(I.Gas.P2bY2Count="","Incomplete","Complete")))</f>
        <v>Complete</v>
      </c>
      <c r="I27183" s="49" t="s">
        <v>2362</v>
      </c>
    </row>
    <row r="27184" spans="2:9" ht="15" customHeight="1" x14ac:dyDescent="0.25">
      <c r="B27184" s="55" t="s">
        <v>395</v>
      </c>
      <c r="C27184" s="46">
        <v>1</v>
      </c>
      <c r="D27184" s="69" t="s">
        <v>29532</v>
      </c>
      <c r="E27184" s="62"/>
      <c r="F27184" s="62" t="str">
        <f>IF(INDEX(I.Gas.P2bY2AssociatedGasEnergy,1)="","",INDEX(I.Gas.P2bY2AssociatedGasEnergy,1))</f>
        <v/>
      </c>
      <c r="G27184" s="62"/>
      <c r="H27184" s="46" t="str">
        <f>IF(I.Developer.P2b=FALSE,"Complete",IF(I.Product.P2bGasToPowerStatus&lt;&gt;"Yes","Complete",IF(AND(I.Gas.P2bY2Count&gt;=1,F27184=""),"Incomplete","Complete")))</f>
        <v>Complete</v>
      </c>
      <c r="I27184" s="48" t="s">
        <v>2363</v>
      </c>
    </row>
    <row r="27185" spans="2:9" ht="15" customHeight="1" x14ac:dyDescent="0.25">
      <c r="B27185" s="55" t="s">
        <v>395</v>
      </c>
      <c r="C27185" s="46">
        <v>2</v>
      </c>
      <c r="D27185" s="69" t="s">
        <v>29532</v>
      </c>
      <c r="E27185" s="62"/>
      <c r="F27185" s="62" t="str">
        <f>IF(INDEX(I.Gas.P2bY2AssociatedGasEnergy,2)="","",INDEX(I.Gas.P2bY2AssociatedGasEnergy,2))</f>
        <v/>
      </c>
      <c r="G27185" s="62"/>
      <c r="H27185" s="46" t="str">
        <f>IF(I.Developer.P2b=FALSE,"Complete",IF(I.Product.P2bGasToPowerStatus&lt;&gt;"Yes","Complete",IF(AND(I.Gas.P2bY2Count&gt;=2,F27185=""),"Incomplete","Complete")))</f>
        <v>Complete</v>
      </c>
      <c r="I27185" s="48" t="s">
        <v>2364</v>
      </c>
    </row>
    <row r="27186" spans="2:9" ht="15" customHeight="1" x14ac:dyDescent="0.25">
      <c r="B27186" s="55" t="s">
        <v>395</v>
      </c>
      <c r="C27186" s="46">
        <v>3</v>
      </c>
      <c r="D27186" s="69" t="s">
        <v>29532</v>
      </c>
      <c r="E27186" s="62"/>
      <c r="F27186" s="62" t="str">
        <f>IF(INDEX(I.Gas.P2bY2AssociatedGasEnergy,3)="","",INDEX(I.Gas.P2bY2AssociatedGasEnergy,3))</f>
        <v/>
      </c>
      <c r="G27186" s="62"/>
      <c r="H27186" s="46" t="str">
        <f>IF(I.Developer.P2b=FALSE,"Complete",IF(I.Product.P2bGasToPowerStatus&lt;&gt;"Yes","Complete",IF(AND(I.Gas.P2bY2Count&gt;=3,F27186=""),"Incomplete","Complete")))</f>
        <v>Complete</v>
      </c>
      <c r="I27186" s="48" t="s">
        <v>2365</v>
      </c>
    </row>
    <row r="27187" spans="2:9" ht="15" customHeight="1" x14ac:dyDescent="0.25">
      <c r="B27187" s="55" t="s">
        <v>395</v>
      </c>
      <c r="C27187" s="46">
        <v>4</v>
      </c>
      <c r="D27187" s="69" t="s">
        <v>29532</v>
      </c>
      <c r="E27187" s="62"/>
      <c r="F27187" s="62" t="str">
        <f>IF(INDEX(I.Gas.P2bY2AssociatedGasEnergy,4)="","",INDEX(I.Gas.P2bY2AssociatedGasEnergy,4))</f>
        <v/>
      </c>
      <c r="G27187" s="62"/>
      <c r="H27187" s="46" t="str">
        <f>IF(I.Developer.P2b=FALSE,"Complete",IF(I.Product.P2bGasToPowerStatus&lt;&gt;"Yes","Complete",IF(AND(I.Gas.P2bY2Count&gt;=4,F27187=""),"Incomplete","Complete")))</f>
        <v>Complete</v>
      </c>
      <c r="I27187" s="48" t="s">
        <v>2366</v>
      </c>
    </row>
    <row r="27188" spans="2:9" ht="15" customHeight="1" x14ac:dyDescent="0.25">
      <c r="B27188" s="55" t="s">
        <v>395</v>
      </c>
      <c r="C27188" s="46">
        <v>5</v>
      </c>
      <c r="D27188" s="69" t="s">
        <v>29532</v>
      </c>
      <c r="E27188" s="62"/>
      <c r="F27188" s="62" t="str">
        <f>IF(INDEX(I.Gas.P2bY2AssociatedGasEnergy,5)="","",INDEX(I.Gas.P2bY2AssociatedGasEnergy,5))</f>
        <v/>
      </c>
      <c r="G27188" s="62"/>
      <c r="H27188" s="46" t="str">
        <f>IF(I.Developer.P2b=FALSE,"Complete",IF(I.Product.P2bGasToPowerStatus&lt;&gt;"Yes","Complete",IF(AND(I.Gas.P2bY2Count&gt;=5,F27188=""),"Incomplete","Complete")))</f>
        <v>Complete</v>
      </c>
      <c r="I27188" s="48" t="s">
        <v>2367</v>
      </c>
    </row>
    <row r="27189" spans="2:9" ht="15" customHeight="1" x14ac:dyDescent="0.25">
      <c r="B27189" s="55" t="s">
        <v>395</v>
      </c>
      <c r="C27189" s="46">
        <v>6</v>
      </c>
      <c r="D27189" s="69" t="s">
        <v>29532</v>
      </c>
      <c r="E27189" s="62"/>
      <c r="F27189" s="62" t="str">
        <f>IF(INDEX(I.Gas.P2bY2AssociatedGasEnergy,6)="","",INDEX(I.Gas.P2bY2AssociatedGasEnergy,6))</f>
        <v/>
      </c>
      <c r="G27189" s="62"/>
      <c r="H27189" s="46" t="str">
        <f>IF(I.Developer.P2b=FALSE,"Complete",IF(I.Product.P2bGasToPowerStatus&lt;&gt;"Yes","Complete",IF(AND(I.Gas.P2bY2Count&gt;=6,F27189=""),"Incomplete","Complete")))</f>
        <v>Complete</v>
      </c>
      <c r="I27189" s="48" t="s">
        <v>2368</v>
      </c>
    </row>
    <row r="27190" spans="2:9" ht="15" customHeight="1" x14ac:dyDescent="0.25">
      <c r="B27190" s="55" t="s">
        <v>395</v>
      </c>
      <c r="C27190" s="46">
        <v>7</v>
      </c>
      <c r="D27190" s="69" t="s">
        <v>29532</v>
      </c>
      <c r="E27190" s="62"/>
      <c r="F27190" s="62" t="str">
        <f>IF(INDEX(I.Gas.P2bY2AssociatedGasEnergy,7)="","",INDEX(I.Gas.P2bY2AssociatedGasEnergy,7))</f>
        <v/>
      </c>
      <c r="G27190" s="62"/>
      <c r="H27190" s="46" t="str">
        <f>IF(I.Developer.P2b=FALSE,"Complete",IF(I.Product.P2bGasToPowerStatus&lt;&gt;"Yes","Complete",IF(AND(I.Gas.P2bY2Count&gt;=7,F27190=""),"Incomplete","Complete")))</f>
        <v>Complete</v>
      </c>
      <c r="I27190" s="48" t="s">
        <v>2369</v>
      </c>
    </row>
    <row r="27191" spans="2:9" ht="15" customHeight="1" x14ac:dyDescent="0.25">
      <c r="B27191" s="55" t="s">
        <v>395</v>
      </c>
      <c r="C27191" s="46">
        <v>8</v>
      </c>
      <c r="D27191" s="69" t="s">
        <v>29532</v>
      </c>
      <c r="E27191" s="62"/>
      <c r="F27191" s="62" t="str">
        <f>IF(INDEX(I.Gas.P2bY2AssociatedGasEnergy,8)="","",INDEX(I.Gas.P2bY2AssociatedGasEnergy,8))</f>
        <v/>
      </c>
      <c r="G27191" s="62"/>
      <c r="H27191" s="46" t="str">
        <f>IF(I.Developer.P2b=FALSE,"Complete",IF(I.Product.P2bGasToPowerStatus&lt;&gt;"Yes","Complete",IF(AND(I.Gas.P2bY2Count&gt;=8,F27191=""),"Incomplete","Complete")))</f>
        <v>Complete</v>
      </c>
      <c r="I27191" s="48" t="s">
        <v>2370</v>
      </c>
    </row>
    <row r="27192" spans="2:9" ht="15" customHeight="1" x14ac:dyDescent="0.25">
      <c r="B27192" s="55" t="s">
        <v>395</v>
      </c>
      <c r="C27192" s="46">
        <v>9</v>
      </c>
      <c r="D27192" s="69" t="s">
        <v>29532</v>
      </c>
      <c r="E27192" s="62"/>
      <c r="F27192" s="62" t="str">
        <f>IF(INDEX(I.Gas.P2bY2AssociatedGasEnergy,9)="","",INDEX(I.Gas.P2bY2AssociatedGasEnergy,9))</f>
        <v/>
      </c>
      <c r="G27192" s="62"/>
      <c r="H27192" s="46" t="str">
        <f>IF(I.Developer.P2b=FALSE,"Complete",IF(I.Product.P2bGasToPowerStatus&lt;&gt;"Yes","Complete",IF(AND(I.Gas.P2bY2Count&gt;=9,F27192=""),"Incomplete","Complete")))</f>
        <v>Complete</v>
      </c>
      <c r="I27192" s="48" t="s">
        <v>2371</v>
      </c>
    </row>
    <row r="27193" spans="2:9" ht="15" customHeight="1" x14ac:dyDescent="0.25">
      <c r="B27193" s="55" t="s">
        <v>395</v>
      </c>
      <c r="C27193" s="46">
        <v>10</v>
      </c>
      <c r="D27193" s="69" t="s">
        <v>29532</v>
      </c>
      <c r="E27193" s="62"/>
      <c r="F27193" s="62" t="str">
        <f>IF(INDEX(I.Gas.P2bY2AssociatedGasEnergy,10)="","",INDEX(I.Gas.P2bY2AssociatedGasEnergy,10))</f>
        <v/>
      </c>
      <c r="G27193" s="62"/>
      <c r="H27193" s="46" t="str">
        <f>IF(I.Developer.P2b=FALSE,"Complete",IF(I.Product.P2bGasToPowerStatus&lt;&gt;"Yes","Complete",IF(AND(I.Gas.P2bY2Count&gt;=10,F27193=""),"Incomplete","Complete")))</f>
        <v>Complete</v>
      </c>
      <c r="I27193" s="48" t="s">
        <v>2372</v>
      </c>
    </row>
    <row r="27194" spans="2:9" ht="15" customHeight="1" x14ac:dyDescent="0.25">
      <c r="B27194" s="55" t="s">
        <v>395</v>
      </c>
      <c r="C27194" s="46">
        <v>11</v>
      </c>
      <c r="D27194" s="69" t="s">
        <v>29532</v>
      </c>
      <c r="E27194" s="62"/>
      <c r="F27194" s="62" t="str">
        <f>IF(INDEX(I.Gas.P2bY2AssociatedGasEnergy,11)="","",INDEX(I.Gas.P2bY2AssociatedGasEnergy,11))</f>
        <v/>
      </c>
      <c r="G27194" s="62"/>
      <c r="H27194" s="46" t="str">
        <f>IF(I.Developer.P2b=FALSE,"Complete",IF(I.Product.P2bGasToPowerStatus&lt;&gt;"Yes","Complete",IF(AND(I.Gas.P2bY2Count&gt;=11,F27194=""),"Incomplete","Complete")))</f>
        <v>Complete</v>
      </c>
      <c r="I27194" s="48" t="s">
        <v>2373</v>
      </c>
    </row>
    <row r="27195" spans="2:9" ht="15" customHeight="1" x14ac:dyDescent="0.25">
      <c r="B27195" s="55" t="s">
        <v>395</v>
      </c>
      <c r="C27195" s="46">
        <v>12</v>
      </c>
      <c r="D27195" s="69" t="s">
        <v>29532</v>
      </c>
      <c r="E27195" s="62"/>
      <c r="F27195" s="62" t="str">
        <f>IF(INDEX(I.Gas.P2bY2AssociatedGasEnergy,12)="","",INDEX(I.Gas.P2bY2AssociatedGasEnergy,12))</f>
        <v/>
      </c>
      <c r="G27195" s="62"/>
      <c r="H27195" s="46" t="str">
        <f>IF(I.Developer.P2b=FALSE,"Complete",IF(I.Product.P2bGasToPowerStatus&lt;&gt;"Yes","Complete",IF(AND(I.Gas.P2bY2Count&gt;=12,F27195=""),"Incomplete","Complete")))</f>
        <v>Complete</v>
      </c>
      <c r="I27195" s="48" t="s">
        <v>2374</v>
      </c>
    </row>
    <row r="27196" spans="2:9" ht="15" customHeight="1" x14ac:dyDescent="0.25">
      <c r="B27196" s="55" t="s">
        <v>395</v>
      </c>
      <c r="C27196" s="46">
        <v>13</v>
      </c>
      <c r="D27196" s="69" t="s">
        <v>29532</v>
      </c>
      <c r="E27196" s="62"/>
      <c r="F27196" s="62" t="str">
        <f>IF(INDEX(I.Gas.P2bY2AssociatedGasEnergy,13)="","",INDEX(I.Gas.P2bY2AssociatedGasEnergy,13))</f>
        <v/>
      </c>
      <c r="G27196" s="62"/>
      <c r="H27196" s="46" t="str">
        <f>IF(I.Developer.P2b=FALSE,"Complete",IF(I.Product.P2bGasToPowerStatus&lt;&gt;"Yes","Complete",IF(AND(I.Gas.P2bY2Count&gt;=13,F27196=""),"Incomplete","Complete")))</f>
        <v>Complete</v>
      </c>
      <c r="I27196" s="48" t="s">
        <v>2375</v>
      </c>
    </row>
    <row r="27197" spans="2:9" ht="15" customHeight="1" x14ac:dyDescent="0.25">
      <c r="B27197" s="55" t="s">
        <v>395</v>
      </c>
      <c r="C27197" s="46">
        <v>14</v>
      </c>
      <c r="D27197" s="69" t="s">
        <v>29532</v>
      </c>
      <c r="E27197" s="62"/>
      <c r="F27197" s="62" t="str">
        <f>IF(INDEX(I.Gas.P2bY2AssociatedGasEnergy,14)="","",INDEX(I.Gas.P2bY2AssociatedGasEnergy,14))</f>
        <v/>
      </c>
      <c r="G27197" s="62"/>
      <c r="H27197" s="46" t="str">
        <f>IF(I.Developer.P2b=FALSE,"Complete",IF(I.Product.P2bGasToPowerStatus&lt;&gt;"Yes","Complete",IF(AND(I.Gas.P2bY2Count&gt;=14,F27197=""),"Incomplete","Complete")))</f>
        <v>Complete</v>
      </c>
      <c r="I27197" s="48" t="s">
        <v>2376</v>
      </c>
    </row>
    <row r="27198" spans="2:9" ht="15" customHeight="1" x14ac:dyDescent="0.25">
      <c r="B27198" s="55" t="s">
        <v>395</v>
      </c>
      <c r="C27198" s="46">
        <v>15</v>
      </c>
      <c r="D27198" s="69" t="s">
        <v>29532</v>
      </c>
      <c r="E27198" s="62"/>
      <c r="F27198" s="62" t="str">
        <f>IF(INDEX(I.Gas.P2bY2AssociatedGasEnergy,15)="","",INDEX(I.Gas.P2bY2AssociatedGasEnergy,15))</f>
        <v/>
      </c>
      <c r="G27198" s="62"/>
      <c r="H27198" s="46" t="str">
        <f>IF(I.Developer.P2b=FALSE,"Complete",IF(I.Product.P2bGasToPowerStatus&lt;&gt;"Yes","Complete",IF(AND(I.Gas.P2bY2Count&gt;=15,F27198=""),"Incomplete","Complete")))</f>
        <v>Complete</v>
      </c>
      <c r="I27198" s="48" t="s">
        <v>2377</v>
      </c>
    </row>
    <row r="27199" spans="2:9" ht="15" customHeight="1" x14ac:dyDescent="0.25">
      <c r="B27199" s="55" t="s">
        <v>395</v>
      </c>
      <c r="C27199" s="46">
        <v>16</v>
      </c>
      <c r="D27199" s="69" t="s">
        <v>29532</v>
      </c>
      <c r="E27199" s="62"/>
      <c r="F27199" s="62" t="str">
        <f>IF(INDEX(I.Gas.P2bY2AssociatedGasEnergy,16)="","",INDEX(I.Gas.P2bY2AssociatedGasEnergy,16))</f>
        <v/>
      </c>
      <c r="G27199" s="62"/>
      <c r="H27199" s="46" t="str">
        <f>IF(I.Developer.P2b=FALSE,"Complete",IF(I.Product.P2bGasToPowerStatus&lt;&gt;"Yes","Complete",IF(AND(I.Gas.P2bY2Count&gt;=16,F27199=""),"Incomplete","Complete")))</f>
        <v>Complete</v>
      </c>
      <c r="I27199" s="48" t="s">
        <v>2378</v>
      </c>
    </row>
    <row r="27200" spans="2:9" ht="15" customHeight="1" x14ac:dyDescent="0.25">
      <c r="B27200" s="55" t="s">
        <v>395</v>
      </c>
      <c r="C27200" s="46">
        <v>17</v>
      </c>
      <c r="D27200" s="69" t="s">
        <v>29532</v>
      </c>
      <c r="E27200" s="62"/>
      <c r="F27200" s="62" t="str">
        <f>IF(INDEX(I.Gas.P2bY2AssociatedGasEnergy,17)="","",INDEX(I.Gas.P2bY2AssociatedGasEnergy,17))</f>
        <v/>
      </c>
      <c r="G27200" s="62"/>
      <c r="H27200" s="46" t="str">
        <f>IF(I.Developer.P2b=FALSE,"Complete",IF(I.Product.P2bGasToPowerStatus&lt;&gt;"Yes","Complete",IF(AND(I.Gas.P2bY2Count&gt;=17,F27200=""),"Incomplete","Complete")))</f>
        <v>Complete</v>
      </c>
      <c r="I27200" s="48" t="s">
        <v>2379</v>
      </c>
    </row>
    <row r="27201" spans="2:9" ht="15" customHeight="1" x14ac:dyDescent="0.25">
      <c r="B27201" s="55" t="s">
        <v>395</v>
      </c>
      <c r="C27201" s="46">
        <v>18</v>
      </c>
      <c r="D27201" s="69" t="s">
        <v>29532</v>
      </c>
      <c r="E27201" s="62"/>
      <c r="F27201" s="62" t="str">
        <f>IF(INDEX(I.Gas.P2bY2AssociatedGasEnergy,18)="","",INDEX(I.Gas.P2bY2AssociatedGasEnergy,18))</f>
        <v/>
      </c>
      <c r="G27201" s="62"/>
      <c r="H27201" s="46" t="str">
        <f>IF(I.Developer.P2b=FALSE,"Complete",IF(I.Product.P2bGasToPowerStatus&lt;&gt;"Yes","Complete",IF(AND(I.Gas.P2bY2Count&gt;=18,F27201=""),"Incomplete","Complete")))</f>
        <v>Complete</v>
      </c>
      <c r="I27201" s="48" t="s">
        <v>2380</v>
      </c>
    </row>
    <row r="27202" spans="2:9" ht="15" customHeight="1" x14ac:dyDescent="0.25">
      <c r="B27202" s="55" t="s">
        <v>395</v>
      </c>
      <c r="C27202" s="46">
        <v>19</v>
      </c>
      <c r="D27202" s="69" t="s">
        <v>29532</v>
      </c>
      <c r="E27202" s="62"/>
      <c r="F27202" s="62" t="str">
        <f>IF(INDEX(I.Gas.P2bY2AssociatedGasEnergy,19)="","",INDEX(I.Gas.P2bY2AssociatedGasEnergy,19))</f>
        <v/>
      </c>
      <c r="G27202" s="62"/>
      <c r="H27202" s="46" t="str">
        <f>IF(I.Developer.P2b=FALSE,"Complete",IF(I.Product.P2bGasToPowerStatus&lt;&gt;"Yes","Complete",IF(AND(I.Gas.P2bY2Count&gt;=19,F27202=""),"Incomplete","Complete")))</f>
        <v>Complete</v>
      </c>
      <c r="I27202" s="48" t="s">
        <v>2381</v>
      </c>
    </row>
    <row r="27203" spans="2:9" ht="15" customHeight="1" x14ac:dyDescent="0.25">
      <c r="B27203" s="55" t="s">
        <v>395</v>
      </c>
      <c r="C27203" s="46">
        <v>20</v>
      </c>
      <c r="D27203" s="69" t="s">
        <v>29532</v>
      </c>
      <c r="E27203" s="62"/>
      <c r="F27203" s="62" t="str">
        <f>IF(INDEX(I.Gas.P2bY2AssociatedGasEnergy,20)="","",INDEX(I.Gas.P2bY2AssociatedGasEnergy,20))</f>
        <v/>
      </c>
      <c r="G27203" s="62"/>
      <c r="H27203" s="46" t="str">
        <f>IF(I.Developer.P2b=FALSE,"Complete",IF(I.Product.P2bGasToPowerStatus&lt;&gt;"Yes","Complete",IF(AND(I.Gas.P2bY2Count&gt;=20,F27203=""),"Incomplete","Complete")))</f>
        <v>Complete</v>
      </c>
      <c r="I27203" s="48" t="s">
        <v>2382</v>
      </c>
    </row>
    <row r="27204" spans="2:9" ht="15" customHeight="1" x14ac:dyDescent="0.25">
      <c r="B27204" s="55" t="s">
        <v>395</v>
      </c>
      <c r="C27204" s="46">
        <v>21</v>
      </c>
      <c r="D27204" s="69" t="s">
        <v>29532</v>
      </c>
      <c r="E27204" s="62"/>
      <c r="F27204" s="62" t="str">
        <f>IF(INDEX(I.Gas.P2bY2AssociatedGasEnergy,21)="","",INDEX(I.Gas.P2bY2AssociatedGasEnergy,21))</f>
        <v/>
      </c>
      <c r="G27204" s="62"/>
      <c r="H27204" s="46" t="str">
        <f>IF(I.Developer.P2b=FALSE,"Complete",IF(I.Product.P2bGasToPowerStatus&lt;&gt;"Yes","Complete",IF(AND(I.Gas.P2bY2Count&gt;=21,F27204=""),"Incomplete","Complete")))</f>
        <v>Complete</v>
      </c>
      <c r="I27204" s="48" t="s">
        <v>2383</v>
      </c>
    </row>
    <row r="27205" spans="2:9" ht="15" customHeight="1" x14ac:dyDescent="0.25">
      <c r="B27205" s="55" t="s">
        <v>395</v>
      </c>
      <c r="C27205" s="46">
        <v>22</v>
      </c>
      <c r="D27205" s="69" t="s">
        <v>29532</v>
      </c>
      <c r="E27205" s="62"/>
      <c r="F27205" s="62" t="str">
        <f>IF(INDEX(I.Gas.P2bY2AssociatedGasEnergy,22)="","",INDEX(I.Gas.P2bY2AssociatedGasEnergy,22))</f>
        <v/>
      </c>
      <c r="G27205" s="62"/>
      <c r="H27205" s="46" t="str">
        <f>IF(I.Developer.P2b=FALSE,"Complete",IF(I.Product.P2bGasToPowerStatus&lt;&gt;"Yes","Complete",IF(AND(I.Gas.P2bY2Count&gt;=22,F27205=""),"Incomplete","Complete")))</f>
        <v>Complete</v>
      </c>
      <c r="I27205" s="48" t="s">
        <v>2384</v>
      </c>
    </row>
    <row r="27206" spans="2:9" ht="15" customHeight="1" x14ac:dyDescent="0.25">
      <c r="B27206" s="55" t="s">
        <v>395</v>
      </c>
      <c r="C27206" s="46">
        <v>23</v>
      </c>
      <c r="D27206" s="69" t="s">
        <v>29532</v>
      </c>
      <c r="E27206" s="62"/>
      <c r="F27206" s="62" t="str">
        <f>IF(INDEX(I.Gas.P2bY2AssociatedGasEnergy,23)="","",INDEX(I.Gas.P2bY2AssociatedGasEnergy,23))</f>
        <v/>
      </c>
      <c r="G27206" s="62"/>
      <c r="H27206" s="46" t="str">
        <f>IF(I.Developer.P2b=FALSE,"Complete",IF(I.Product.P2bGasToPowerStatus&lt;&gt;"Yes","Complete",IF(AND(I.Gas.P2bY2Count&gt;=23,F27206=""),"Incomplete","Complete")))</f>
        <v>Complete</v>
      </c>
      <c r="I27206" s="48" t="s">
        <v>2385</v>
      </c>
    </row>
    <row r="27207" spans="2:9" ht="15" customHeight="1" x14ac:dyDescent="0.25">
      <c r="B27207" s="55" t="s">
        <v>395</v>
      </c>
      <c r="C27207" s="46">
        <v>24</v>
      </c>
      <c r="D27207" s="69" t="s">
        <v>29532</v>
      </c>
      <c r="E27207" s="62"/>
      <c r="F27207" s="62" t="str">
        <f>IF(INDEX(I.Gas.P2bY2AssociatedGasEnergy,24)="","",INDEX(I.Gas.P2bY2AssociatedGasEnergy,24))</f>
        <v/>
      </c>
      <c r="G27207" s="62"/>
      <c r="H27207" s="46" t="str">
        <f>IF(I.Developer.P2b=FALSE,"Complete",IF(I.Product.P2bGasToPowerStatus&lt;&gt;"Yes","Complete",IF(AND(I.Gas.P2bY2Count&gt;=24,F27207=""),"Incomplete","Complete")))</f>
        <v>Complete</v>
      </c>
      <c r="I27207" s="48" t="s">
        <v>2386</v>
      </c>
    </row>
    <row r="27208" spans="2:9" ht="15" customHeight="1" x14ac:dyDescent="0.25">
      <c r="B27208" s="55" t="s">
        <v>395</v>
      </c>
      <c r="C27208" s="46">
        <v>25</v>
      </c>
      <c r="D27208" s="69" t="s">
        <v>29532</v>
      </c>
      <c r="E27208" s="62"/>
      <c r="F27208" s="62" t="str">
        <f>IF(INDEX(I.Gas.P2bY2AssociatedGasEnergy,25)="","",INDEX(I.Gas.P2bY2AssociatedGasEnergy,25))</f>
        <v/>
      </c>
      <c r="G27208" s="62"/>
      <c r="H27208" s="46" t="str">
        <f>IF(I.Developer.P2b=FALSE,"Complete",IF(I.Product.P2bGasToPowerStatus&lt;&gt;"Yes","Complete",IF(AND(I.Gas.P2bY2Count&gt;=25,F27208=""),"Incomplete","Complete")))</f>
        <v>Complete</v>
      </c>
      <c r="I27208" s="48" t="s">
        <v>2387</v>
      </c>
    </row>
    <row r="27209" spans="2:9" ht="15" customHeight="1" x14ac:dyDescent="0.25">
      <c r="B27209" s="55" t="s">
        <v>395</v>
      </c>
      <c r="C27209" s="46">
        <v>26</v>
      </c>
      <c r="D27209" s="69" t="s">
        <v>29532</v>
      </c>
      <c r="E27209" s="62"/>
      <c r="F27209" s="62" t="str">
        <f>IF(INDEX(I.Gas.P2bY2AssociatedGasEnergy,26)="","",INDEX(I.Gas.P2bY2AssociatedGasEnergy,26))</f>
        <v/>
      </c>
      <c r="G27209" s="62"/>
      <c r="H27209" s="46" t="str">
        <f>IF(I.Developer.P2b=FALSE,"Complete",IF(I.Product.P2bGasToPowerStatus&lt;&gt;"Yes","Complete",IF(AND(I.Gas.P2bY2Count&gt;=26,F27209=""),"Incomplete","Complete")))</f>
        <v>Complete</v>
      </c>
      <c r="I27209" s="48" t="s">
        <v>2388</v>
      </c>
    </row>
    <row r="27210" spans="2:9" ht="15" customHeight="1" x14ac:dyDescent="0.25">
      <c r="B27210" s="55" t="s">
        <v>395</v>
      </c>
      <c r="C27210" s="46">
        <v>27</v>
      </c>
      <c r="D27210" s="69" t="s">
        <v>29532</v>
      </c>
      <c r="E27210" s="62"/>
      <c r="F27210" s="62" t="str">
        <f>IF(INDEX(I.Gas.P2bY2AssociatedGasEnergy,27)="","",INDEX(I.Gas.P2bY2AssociatedGasEnergy,27))</f>
        <v/>
      </c>
      <c r="G27210" s="62"/>
      <c r="H27210" s="46" t="str">
        <f>IF(I.Developer.P2b=FALSE,"Complete",IF(I.Product.P2bGasToPowerStatus&lt;&gt;"Yes","Complete",IF(AND(I.Gas.P2bY2Count&gt;=27,F27210=""),"Incomplete","Complete")))</f>
        <v>Complete</v>
      </c>
      <c r="I27210" s="48" t="s">
        <v>2389</v>
      </c>
    </row>
    <row r="27211" spans="2:9" ht="15" customHeight="1" x14ac:dyDescent="0.25">
      <c r="B27211" s="55" t="s">
        <v>395</v>
      </c>
      <c r="C27211" s="46">
        <v>28</v>
      </c>
      <c r="D27211" s="69" t="s">
        <v>29532</v>
      </c>
      <c r="E27211" s="62"/>
      <c r="F27211" s="62" t="str">
        <f>IF(INDEX(I.Gas.P2bY2AssociatedGasEnergy,28)="","",INDEX(I.Gas.P2bY2AssociatedGasEnergy,28))</f>
        <v/>
      </c>
      <c r="G27211" s="62"/>
      <c r="H27211" s="46" t="str">
        <f>IF(I.Developer.P2b=FALSE,"Complete",IF(I.Product.P2bGasToPowerStatus&lt;&gt;"Yes","Complete",IF(AND(I.Gas.P2bY2Count&gt;=28,F27211=""),"Incomplete","Complete")))</f>
        <v>Complete</v>
      </c>
      <c r="I27211" s="48" t="s">
        <v>2390</v>
      </c>
    </row>
    <row r="27212" spans="2:9" ht="15" customHeight="1" x14ac:dyDescent="0.25">
      <c r="B27212" s="55" t="s">
        <v>395</v>
      </c>
      <c r="C27212" s="46">
        <v>29</v>
      </c>
      <c r="D27212" s="69" t="s">
        <v>29532</v>
      </c>
      <c r="E27212" s="62"/>
      <c r="F27212" s="62" t="str">
        <f>IF(INDEX(I.Gas.P2bY2AssociatedGasEnergy,29)="","",INDEX(I.Gas.P2bY2AssociatedGasEnergy,29))</f>
        <v/>
      </c>
      <c r="G27212" s="62"/>
      <c r="H27212" s="46" t="str">
        <f>IF(I.Developer.P2b=FALSE,"Complete",IF(I.Product.P2bGasToPowerStatus&lt;&gt;"Yes","Complete",IF(AND(I.Gas.P2bY2Count&gt;=29,F27212=""),"Incomplete","Complete")))</f>
        <v>Complete</v>
      </c>
      <c r="I27212" s="48" t="s">
        <v>2391</v>
      </c>
    </row>
    <row r="27213" spans="2:9" ht="15" customHeight="1" x14ac:dyDescent="0.25">
      <c r="B27213" s="55" t="s">
        <v>395</v>
      </c>
      <c r="C27213" s="46">
        <v>30</v>
      </c>
      <c r="D27213" s="69" t="s">
        <v>29532</v>
      </c>
      <c r="E27213" s="62"/>
      <c r="F27213" s="62" t="str">
        <f>IF(INDEX(I.Gas.P2bY2AssociatedGasEnergy,30)="","",INDEX(I.Gas.P2bY2AssociatedGasEnergy,30))</f>
        <v/>
      </c>
      <c r="G27213" s="62"/>
      <c r="H27213" s="46" t="str">
        <f>IF(I.Developer.P2b=FALSE,"Complete",IF(I.Product.P2bGasToPowerStatus&lt;&gt;"Yes","Complete",IF(AND(I.Gas.P2bY2Count&gt;=30,F27213=""),"Incomplete","Complete")))</f>
        <v>Complete</v>
      </c>
      <c r="I27213" s="48" t="s">
        <v>2392</v>
      </c>
    </row>
    <row r="27214" spans="2:9" ht="15" customHeight="1" x14ac:dyDescent="0.25">
      <c r="B27214" s="55" t="s">
        <v>395</v>
      </c>
      <c r="C27214" s="46">
        <v>31</v>
      </c>
      <c r="D27214" s="69" t="s">
        <v>29532</v>
      </c>
      <c r="E27214" s="62"/>
      <c r="F27214" s="62" t="str">
        <f>IF(INDEX(I.Gas.P2bY2AssociatedGasEnergy,31)="","",INDEX(I.Gas.P2bY2AssociatedGasEnergy,31))</f>
        <v/>
      </c>
      <c r="G27214" s="62"/>
      <c r="H27214" s="46" t="str">
        <f>IF(I.Developer.P2b=FALSE,"Complete",IF(I.Product.P2bGasToPowerStatus&lt;&gt;"Yes","Complete",IF(AND(I.Gas.P2bY2Count&gt;=31,F27214=""),"Incomplete","Complete")))</f>
        <v>Complete</v>
      </c>
      <c r="I27214" s="48" t="s">
        <v>2393</v>
      </c>
    </row>
    <row r="27215" spans="2:9" ht="15" customHeight="1" x14ac:dyDescent="0.25">
      <c r="B27215" s="55" t="s">
        <v>395</v>
      </c>
      <c r="C27215" s="46">
        <v>32</v>
      </c>
      <c r="D27215" s="69" t="s">
        <v>29532</v>
      </c>
      <c r="E27215" s="62"/>
      <c r="F27215" s="62" t="str">
        <f>IF(INDEX(I.Gas.P2bY2AssociatedGasEnergy,32)="","",INDEX(I.Gas.P2bY2AssociatedGasEnergy,32))</f>
        <v/>
      </c>
      <c r="G27215" s="62"/>
      <c r="H27215" s="46" t="str">
        <f>IF(I.Developer.P2b=FALSE,"Complete",IF(I.Product.P2bGasToPowerStatus&lt;&gt;"Yes","Complete",IF(AND(I.Gas.P2bY2Count&gt;=32,F27215=""),"Incomplete","Complete")))</f>
        <v>Complete</v>
      </c>
      <c r="I27215" s="48" t="s">
        <v>2394</v>
      </c>
    </row>
    <row r="27216" spans="2:9" ht="15" customHeight="1" x14ac:dyDescent="0.25">
      <c r="B27216" s="55" t="s">
        <v>395</v>
      </c>
      <c r="C27216" s="46">
        <v>33</v>
      </c>
      <c r="D27216" s="69" t="s">
        <v>29532</v>
      </c>
      <c r="E27216" s="62"/>
      <c r="F27216" s="62" t="str">
        <f>IF(INDEX(I.Gas.P2bY2AssociatedGasEnergy,33)="","",INDEX(I.Gas.P2bY2AssociatedGasEnergy,33))</f>
        <v/>
      </c>
      <c r="G27216" s="62"/>
      <c r="H27216" s="46" t="str">
        <f>IF(I.Developer.P2b=FALSE,"Complete",IF(I.Product.P2bGasToPowerStatus&lt;&gt;"Yes","Complete",IF(AND(I.Gas.P2bY2Count&gt;=33,F27216=""),"Incomplete","Complete")))</f>
        <v>Complete</v>
      </c>
      <c r="I27216" s="48" t="s">
        <v>2395</v>
      </c>
    </row>
    <row r="27217" spans="2:9" ht="15" customHeight="1" x14ac:dyDescent="0.25">
      <c r="B27217" s="55" t="s">
        <v>395</v>
      </c>
      <c r="C27217" s="46">
        <v>34</v>
      </c>
      <c r="D27217" s="69" t="s">
        <v>29532</v>
      </c>
      <c r="E27217" s="62"/>
      <c r="F27217" s="62" t="str">
        <f>IF(INDEX(I.Gas.P2bY2AssociatedGasEnergy,34)="","",INDEX(I.Gas.P2bY2AssociatedGasEnergy,34))</f>
        <v/>
      </c>
      <c r="G27217" s="62"/>
      <c r="H27217" s="46" t="str">
        <f>IF(I.Developer.P2b=FALSE,"Complete",IF(I.Product.P2bGasToPowerStatus&lt;&gt;"Yes","Complete",IF(AND(I.Gas.P2bY2Count&gt;=34,F27217=""),"Incomplete","Complete")))</f>
        <v>Complete</v>
      </c>
      <c r="I27217" s="48" t="s">
        <v>2396</v>
      </c>
    </row>
    <row r="27218" spans="2:9" ht="15" customHeight="1" x14ac:dyDescent="0.25">
      <c r="B27218" s="55" t="s">
        <v>395</v>
      </c>
      <c r="C27218" s="46">
        <v>35</v>
      </c>
      <c r="D27218" s="69" t="s">
        <v>29532</v>
      </c>
      <c r="E27218" s="62"/>
      <c r="F27218" s="62" t="str">
        <f>IF(INDEX(I.Gas.P2bY2AssociatedGasEnergy,35)="","",INDEX(I.Gas.P2bY2AssociatedGasEnergy,35))</f>
        <v/>
      </c>
      <c r="G27218" s="62"/>
      <c r="H27218" s="46" t="str">
        <f>IF(I.Developer.P2b=FALSE,"Complete",IF(I.Product.P2bGasToPowerStatus&lt;&gt;"Yes","Complete",IF(AND(I.Gas.P2bY2Count&gt;=35,F27218=""),"Incomplete","Complete")))</f>
        <v>Complete</v>
      </c>
      <c r="I27218" s="48" t="s">
        <v>2397</v>
      </c>
    </row>
    <row r="27219" spans="2:9" ht="15" customHeight="1" x14ac:dyDescent="0.25">
      <c r="B27219" s="55" t="s">
        <v>395</v>
      </c>
      <c r="C27219" s="46">
        <v>36</v>
      </c>
      <c r="D27219" s="69" t="s">
        <v>29532</v>
      </c>
      <c r="E27219" s="62"/>
      <c r="F27219" s="62" t="str">
        <f>IF(INDEX(I.Gas.P2bY2AssociatedGasEnergy,36)="","",INDEX(I.Gas.P2bY2AssociatedGasEnergy,36))</f>
        <v/>
      </c>
      <c r="G27219" s="62"/>
      <c r="H27219" s="46" t="str">
        <f>IF(I.Developer.P2b=FALSE,"Complete",IF(I.Product.P2bGasToPowerStatus&lt;&gt;"Yes","Complete",IF(AND(I.Gas.P2bY2Count&gt;=36,F27219=""),"Incomplete","Complete")))</f>
        <v>Complete</v>
      </c>
      <c r="I27219" s="48" t="s">
        <v>2398</v>
      </c>
    </row>
    <row r="27220" spans="2:9" ht="15" customHeight="1" x14ac:dyDescent="0.25">
      <c r="B27220" s="55" t="s">
        <v>395</v>
      </c>
      <c r="C27220" s="46">
        <v>37</v>
      </c>
      <c r="D27220" s="69" t="s">
        <v>29532</v>
      </c>
      <c r="E27220" s="62"/>
      <c r="F27220" s="62" t="str">
        <f>IF(INDEX(I.Gas.P2bY2AssociatedGasEnergy,37)="","",INDEX(I.Gas.P2bY2AssociatedGasEnergy,37))</f>
        <v/>
      </c>
      <c r="G27220" s="62"/>
      <c r="H27220" s="46" t="str">
        <f>IF(I.Developer.P2b=FALSE,"Complete",IF(I.Product.P2bGasToPowerStatus&lt;&gt;"Yes","Complete",IF(AND(I.Gas.P2bY2Count&gt;=37,F27220=""),"Incomplete","Complete")))</f>
        <v>Complete</v>
      </c>
      <c r="I27220" s="48" t="s">
        <v>2399</v>
      </c>
    </row>
    <row r="27221" spans="2:9" ht="15" customHeight="1" x14ac:dyDescent="0.25">
      <c r="B27221" s="55" t="s">
        <v>395</v>
      </c>
      <c r="C27221" s="46">
        <v>38</v>
      </c>
      <c r="D27221" s="69" t="s">
        <v>29532</v>
      </c>
      <c r="E27221" s="62"/>
      <c r="F27221" s="62" t="str">
        <f>IF(INDEX(I.Gas.P2bY2AssociatedGasEnergy,38)="","",INDEX(I.Gas.P2bY2AssociatedGasEnergy,38))</f>
        <v/>
      </c>
      <c r="G27221" s="62"/>
      <c r="H27221" s="46" t="str">
        <f>IF(I.Developer.P2b=FALSE,"Complete",IF(I.Product.P2bGasToPowerStatus&lt;&gt;"Yes","Complete",IF(AND(I.Gas.P2bY2Count&gt;=38,F27221=""),"Incomplete","Complete")))</f>
        <v>Complete</v>
      </c>
      <c r="I27221" s="48" t="s">
        <v>2400</v>
      </c>
    </row>
    <row r="27222" spans="2:9" ht="15" customHeight="1" x14ac:dyDescent="0.25">
      <c r="B27222" s="55" t="s">
        <v>395</v>
      </c>
      <c r="C27222" s="46">
        <v>39</v>
      </c>
      <c r="D27222" s="69" t="s">
        <v>29532</v>
      </c>
      <c r="E27222" s="62"/>
      <c r="F27222" s="62" t="str">
        <f>IF(INDEX(I.Gas.P2bY2AssociatedGasEnergy,39)="","",INDEX(I.Gas.P2bY2AssociatedGasEnergy,39))</f>
        <v/>
      </c>
      <c r="G27222" s="62"/>
      <c r="H27222" s="46" t="str">
        <f>IF(I.Developer.P2b=FALSE,"Complete",IF(I.Product.P2bGasToPowerStatus&lt;&gt;"Yes","Complete",IF(AND(I.Gas.P2bY2Count&gt;=39,F27222=""),"Incomplete","Complete")))</f>
        <v>Complete</v>
      </c>
      <c r="I27222" s="48" t="s">
        <v>2401</v>
      </c>
    </row>
    <row r="27223" spans="2:9" ht="15" customHeight="1" x14ac:dyDescent="0.25">
      <c r="B27223" s="55" t="s">
        <v>395</v>
      </c>
      <c r="C27223" s="46">
        <v>40</v>
      </c>
      <c r="D27223" s="69" t="s">
        <v>29532</v>
      </c>
      <c r="E27223" s="62"/>
      <c r="F27223" s="62" t="str">
        <f>IF(INDEX(I.Gas.P2bY2AssociatedGasEnergy,40)="","",INDEX(I.Gas.P2bY2AssociatedGasEnergy,40))</f>
        <v/>
      </c>
      <c r="G27223" s="62"/>
      <c r="H27223" s="46" t="str">
        <f>IF(I.Developer.P2b=FALSE,"Complete",IF(I.Product.P2bGasToPowerStatus&lt;&gt;"Yes","Complete",IF(AND(I.Gas.P2bY2Count&gt;=40,F27223=""),"Incomplete","Complete")))</f>
        <v>Complete</v>
      </c>
      <c r="I27223" s="48" t="s">
        <v>2402</v>
      </c>
    </row>
    <row r="27224" spans="2:9" ht="15" customHeight="1" x14ac:dyDescent="0.25">
      <c r="B27224" s="55" t="s">
        <v>395</v>
      </c>
      <c r="C27224" s="46">
        <v>41</v>
      </c>
      <c r="D27224" s="69" t="s">
        <v>29532</v>
      </c>
      <c r="E27224" s="62"/>
      <c r="F27224" s="62" t="str">
        <f>IF(INDEX(I.Gas.P2bY2AssociatedGasEnergy,41)="","",INDEX(I.Gas.P2bY2AssociatedGasEnergy,41))</f>
        <v/>
      </c>
      <c r="G27224" s="62"/>
      <c r="H27224" s="46" t="str">
        <f>IF(I.Developer.P2b=FALSE,"Complete",IF(I.Product.P2bGasToPowerStatus&lt;&gt;"Yes","Complete",IF(AND(I.Gas.P2bY2Count&gt;=41,F27224=""),"Incomplete","Complete")))</f>
        <v>Complete</v>
      </c>
      <c r="I27224" s="48" t="s">
        <v>2403</v>
      </c>
    </row>
    <row r="27225" spans="2:9" ht="15" customHeight="1" x14ac:dyDescent="0.25">
      <c r="B27225" s="55" t="s">
        <v>395</v>
      </c>
      <c r="C27225" s="46">
        <v>42</v>
      </c>
      <c r="D27225" s="69" t="s">
        <v>29532</v>
      </c>
      <c r="E27225" s="62"/>
      <c r="F27225" s="62" t="str">
        <f>IF(INDEX(I.Gas.P2bY2AssociatedGasEnergy,42)="","",INDEX(I.Gas.P2bY2AssociatedGasEnergy,42))</f>
        <v/>
      </c>
      <c r="G27225" s="62"/>
      <c r="H27225" s="46" t="str">
        <f>IF(I.Developer.P2b=FALSE,"Complete",IF(I.Product.P2bGasToPowerStatus&lt;&gt;"Yes","Complete",IF(AND(I.Gas.P2bY2Count&gt;=42,F27225=""),"Incomplete","Complete")))</f>
        <v>Complete</v>
      </c>
      <c r="I27225" s="48" t="s">
        <v>2404</v>
      </c>
    </row>
    <row r="27226" spans="2:9" ht="15" customHeight="1" x14ac:dyDescent="0.25">
      <c r="B27226" s="55" t="s">
        <v>395</v>
      </c>
      <c r="C27226" s="46">
        <v>43</v>
      </c>
      <c r="D27226" s="69" t="s">
        <v>29532</v>
      </c>
      <c r="E27226" s="62"/>
      <c r="F27226" s="62" t="str">
        <f>IF(INDEX(I.Gas.P2bY2AssociatedGasEnergy,43)="","",INDEX(I.Gas.P2bY2AssociatedGasEnergy,43))</f>
        <v/>
      </c>
      <c r="G27226" s="62"/>
      <c r="H27226" s="46" t="str">
        <f>IF(I.Developer.P2b=FALSE,"Complete",IF(I.Product.P2bGasToPowerStatus&lt;&gt;"Yes","Complete",IF(AND(I.Gas.P2bY2Count&gt;=43,F27226=""),"Incomplete","Complete")))</f>
        <v>Complete</v>
      </c>
      <c r="I27226" s="48" t="s">
        <v>2405</v>
      </c>
    </row>
    <row r="27227" spans="2:9" ht="15" customHeight="1" x14ac:dyDescent="0.25">
      <c r="B27227" s="55" t="s">
        <v>395</v>
      </c>
      <c r="C27227" s="46">
        <v>44</v>
      </c>
      <c r="D27227" s="69" t="s">
        <v>29532</v>
      </c>
      <c r="E27227" s="62"/>
      <c r="F27227" s="62" t="str">
        <f>IF(INDEX(I.Gas.P2bY2AssociatedGasEnergy,44)="","",INDEX(I.Gas.P2bY2AssociatedGasEnergy,44))</f>
        <v/>
      </c>
      <c r="G27227" s="62"/>
      <c r="H27227" s="46" t="str">
        <f>IF(I.Developer.P2b=FALSE,"Complete",IF(I.Product.P2bGasToPowerStatus&lt;&gt;"Yes","Complete",IF(AND(I.Gas.P2bY2Count&gt;=44,F27227=""),"Incomplete","Complete")))</f>
        <v>Complete</v>
      </c>
      <c r="I27227" s="48" t="s">
        <v>2406</v>
      </c>
    </row>
    <row r="27228" spans="2:9" ht="15" customHeight="1" x14ac:dyDescent="0.25">
      <c r="B27228" s="55" t="s">
        <v>395</v>
      </c>
      <c r="C27228" s="46">
        <v>45</v>
      </c>
      <c r="D27228" s="69" t="s">
        <v>29532</v>
      </c>
      <c r="E27228" s="62"/>
      <c r="F27228" s="62" t="str">
        <f>IF(INDEX(I.Gas.P2bY2AssociatedGasEnergy,45)="","",INDEX(I.Gas.P2bY2AssociatedGasEnergy,45))</f>
        <v/>
      </c>
      <c r="G27228" s="62"/>
      <c r="H27228" s="46" t="str">
        <f>IF(I.Developer.P2b=FALSE,"Complete",IF(I.Product.P2bGasToPowerStatus&lt;&gt;"Yes","Complete",IF(AND(I.Gas.P2bY2Count&gt;=45,F27228=""),"Incomplete","Complete")))</f>
        <v>Complete</v>
      </c>
      <c r="I27228" s="48" t="s">
        <v>2407</v>
      </c>
    </row>
    <row r="27229" spans="2:9" ht="15" customHeight="1" x14ac:dyDescent="0.25">
      <c r="B27229" s="55" t="s">
        <v>395</v>
      </c>
      <c r="C27229" s="46">
        <v>46</v>
      </c>
      <c r="D27229" s="69" t="s">
        <v>29532</v>
      </c>
      <c r="E27229" s="62"/>
      <c r="F27229" s="62" t="str">
        <f>IF(INDEX(I.Gas.P2bY2AssociatedGasEnergy,46)="","",INDEX(I.Gas.P2bY2AssociatedGasEnergy,46))</f>
        <v/>
      </c>
      <c r="G27229" s="62"/>
      <c r="H27229" s="46" t="str">
        <f>IF(I.Developer.P2b=FALSE,"Complete",IF(I.Product.P2bGasToPowerStatus&lt;&gt;"Yes","Complete",IF(AND(I.Gas.P2bY2Count&gt;=46,F27229=""),"Incomplete","Complete")))</f>
        <v>Complete</v>
      </c>
      <c r="I27229" s="48" t="s">
        <v>2408</v>
      </c>
    </row>
    <row r="27230" spans="2:9" ht="15" customHeight="1" x14ac:dyDescent="0.25">
      <c r="B27230" s="55" t="s">
        <v>395</v>
      </c>
      <c r="C27230" s="46">
        <v>47</v>
      </c>
      <c r="D27230" s="69" t="s">
        <v>29532</v>
      </c>
      <c r="E27230" s="62"/>
      <c r="F27230" s="62" t="str">
        <f>IF(INDEX(I.Gas.P2bY2AssociatedGasEnergy,47)="","",INDEX(I.Gas.P2bY2AssociatedGasEnergy,47))</f>
        <v/>
      </c>
      <c r="G27230" s="62"/>
      <c r="H27230" s="46" t="str">
        <f>IF(I.Developer.P2b=FALSE,"Complete",IF(I.Product.P2bGasToPowerStatus&lt;&gt;"Yes","Complete",IF(AND(I.Gas.P2bY2Count&gt;=47,F27230=""),"Incomplete","Complete")))</f>
        <v>Complete</v>
      </c>
      <c r="I27230" s="48" t="s">
        <v>2409</v>
      </c>
    </row>
    <row r="27231" spans="2:9" ht="15" customHeight="1" x14ac:dyDescent="0.25">
      <c r="B27231" s="55" t="s">
        <v>395</v>
      </c>
      <c r="C27231" s="46">
        <v>48</v>
      </c>
      <c r="D27231" s="69" t="s">
        <v>29532</v>
      </c>
      <c r="E27231" s="62"/>
      <c r="F27231" s="62" t="str">
        <f>IF(INDEX(I.Gas.P2bY2AssociatedGasEnergy,48)="","",INDEX(I.Gas.P2bY2AssociatedGasEnergy,48))</f>
        <v/>
      </c>
      <c r="G27231" s="62"/>
      <c r="H27231" s="46" t="str">
        <f>IF(I.Developer.P2b=FALSE,"Complete",IF(I.Product.P2bGasToPowerStatus&lt;&gt;"Yes","Complete",IF(AND(I.Gas.P2bY2Count&gt;=48,F27231=""),"Incomplete","Complete")))</f>
        <v>Complete</v>
      </c>
      <c r="I27231" s="48" t="s">
        <v>2410</v>
      </c>
    </row>
    <row r="27232" spans="2:9" ht="15" customHeight="1" x14ac:dyDescent="0.25">
      <c r="B27232" s="55" t="s">
        <v>395</v>
      </c>
      <c r="C27232" s="46">
        <v>49</v>
      </c>
      <c r="D27232" s="69" t="s">
        <v>29532</v>
      </c>
      <c r="E27232" s="62"/>
      <c r="F27232" s="62" t="str">
        <f>IF(INDEX(I.Gas.P2bY2AssociatedGasEnergy,49)="","",INDEX(I.Gas.P2bY2AssociatedGasEnergy,49))</f>
        <v/>
      </c>
      <c r="G27232" s="62"/>
      <c r="H27232" s="46" t="str">
        <f>IF(I.Developer.P2b=FALSE,"Complete",IF(I.Product.P2bGasToPowerStatus&lt;&gt;"Yes","Complete",IF(AND(I.Gas.P2bY2Count&gt;=49,F27232=""),"Incomplete","Complete")))</f>
        <v>Complete</v>
      </c>
      <c r="I27232" s="48" t="s">
        <v>2411</v>
      </c>
    </row>
    <row r="27233" spans="2:9" ht="15" customHeight="1" x14ac:dyDescent="0.25">
      <c r="B27233" s="56" t="s">
        <v>395</v>
      </c>
      <c r="C27233" s="57">
        <v>50</v>
      </c>
      <c r="D27233" s="71" t="s">
        <v>29532</v>
      </c>
      <c r="E27233" s="61"/>
      <c r="F27233" s="61" t="str">
        <f>IF(INDEX(I.Gas.P2bY2AssociatedGasEnergy,50)="","",INDEX(I.Gas.P2bY2AssociatedGasEnergy,50))</f>
        <v/>
      </c>
      <c r="G27233" s="61"/>
      <c r="H27233" s="57" t="str">
        <f>IF(I.Developer.P2b=FALSE,"Complete",IF(I.Product.P2bGasToPowerStatus&lt;&gt;"Yes","Complete",IF(AND(I.Gas.P2bY2Count&gt;=50,F27233=""),"Incomplete","Complete")))</f>
        <v>Complete</v>
      </c>
      <c r="I27233" s="49" t="s">
        <v>2412</v>
      </c>
    </row>
    <row r="27234" spans="2:9" ht="15" customHeight="1" x14ac:dyDescent="0.25">
      <c r="B27234" s="55" t="s">
        <v>396</v>
      </c>
      <c r="C27234" s="46">
        <v>1</v>
      </c>
      <c r="D27234" s="69" t="s">
        <v>29533</v>
      </c>
      <c r="E27234" s="62"/>
      <c r="F27234" s="62" t="str">
        <f>IF(INDEX(I.Gas.P2bY2TotalGasEnergy,1)="","",INDEX(I.Gas.P2bY2TotalGasEnergy,1))</f>
        <v/>
      </c>
      <c r="G27234" s="62"/>
      <c r="H27234" s="46" t="str">
        <f>IF(I.Developer.P2b=FALSE,"Complete",IF(I.Product.P2bGasToPowerStatus&lt;&gt;"Yes","Complete",IF(AND(I.Gas.P2bY2Count&gt;=1,F27234=""),"Incomplete","Complete")))</f>
        <v>Complete</v>
      </c>
      <c r="I27234" s="48" t="s">
        <v>2413</v>
      </c>
    </row>
    <row r="27235" spans="2:9" ht="15" customHeight="1" x14ac:dyDescent="0.25">
      <c r="B27235" s="55" t="s">
        <v>396</v>
      </c>
      <c r="C27235" s="46">
        <v>2</v>
      </c>
      <c r="D27235" s="69" t="s">
        <v>29533</v>
      </c>
      <c r="E27235" s="62"/>
      <c r="F27235" s="62" t="str">
        <f>IF(INDEX(I.Gas.P2bY2TotalGasEnergy,2)="","",INDEX(I.Gas.P2bY2TotalGasEnergy,2))</f>
        <v/>
      </c>
      <c r="G27235" s="62"/>
      <c r="H27235" s="46" t="str">
        <f>IF(I.Developer.P2b=FALSE,"Complete",IF(I.Product.P2bGasToPowerStatus&lt;&gt;"Yes","Complete",IF(AND(I.Gas.P2bY2Count&gt;=2,F27235=""),"Incomplete","Complete")))</f>
        <v>Complete</v>
      </c>
      <c r="I27235" s="48" t="s">
        <v>2414</v>
      </c>
    </row>
    <row r="27236" spans="2:9" ht="15" customHeight="1" x14ac:dyDescent="0.25">
      <c r="B27236" s="55" t="s">
        <v>396</v>
      </c>
      <c r="C27236" s="46">
        <v>3</v>
      </c>
      <c r="D27236" s="69" t="s">
        <v>29533</v>
      </c>
      <c r="E27236" s="62"/>
      <c r="F27236" s="62" t="str">
        <f>IF(INDEX(I.Gas.P2bY2TotalGasEnergy,3)="","",INDEX(I.Gas.P2bY2TotalGasEnergy,3))</f>
        <v/>
      </c>
      <c r="G27236" s="62"/>
      <c r="H27236" s="46" t="str">
        <f>IF(I.Developer.P2b=FALSE,"Complete",IF(I.Product.P2bGasToPowerStatus&lt;&gt;"Yes","Complete",IF(AND(I.Gas.P2bY2Count&gt;=3,F27236=""),"Incomplete","Complete")))</f>
        <v>Complete</v>
      </c>
      <c r="I27236" s="48" t="s">
        <v>2415</v>
      </c>
    </row>
    <row r="27237" spans="2:9" ht="15" customHeight="1" x14ac:dyDescent="0.25">
      <c r="B27237" s="55" t="s">
        <v>396</v>
      </c>
      <c r="C27237" s="46">
        <v>4</v>
      </c>
      <c r="D27237" s="69" t="s">
        <v>29533</v>
      </c>
      <c r="E27237" s="62"/>
      <c r="F27237" s="62" t="str">
        <f>IF(INDEX(I.Gas.P2bY2TotalGasEnergy,4)="","",INDEX(I.Gas.P2bY2TotalGasEnergy,4))</f>
        <v/>
      </c>
      <c r="G27237" s="62"/>
      <c r="H27237" s="46" t="str">
        <f>IF(I.Developer.P2b=FALSE,"Complete",IF(I.Product.P2bGasToPowerStatus&lt;&gt;"Yes","Complete",IF(AND(I.Gas.P2bY2Count&gt;=4,F27237=""),"Incomplete","Complete")))</f>
        <v>Complete</v>
      </c>
      <c r="I27237" s="48" t="s">
        <v>2416</v>
      </c>
    </row>
    <row r="27238" spans="2:9" ht="15" customHeight="1" x14ac:dyDescent="0.25">
      <c r="B27238" s="55" t="s">
        <v>396</v>
      </c>
      <c r="C27238" s="46">
        <v>5</v>
      </c>
      <c r="D27238" s="69" t="s">
        <v>29533</v>
      </c>
      <c r="E27238" s="62"/>
      <c r="F27238" s="62" t="str">
        <f>IF(INDEX(I.Gas.P2bY2TotalGasEnergy,5)="","",INDEX(I.Gas.P2bY2TotalGasEnergy,5))</f>
        <v/>
      </c>
      <c r="G27238" s="62"/>
      <c r="H27238" s="46" t="str">
        <f>IF(I.Developer.P2b=FALSE,"Complete",IF(I.Product.P2bGasToPowerStatus&lt;&gt;"Yes","Complete",IF(AND(I.Gas.P2bY2Count&gt;=5,F27238=""),"Incomplete","Complete")))</f>
        <v>Complete</v>
      </c>
      <c r="I27238" s="48" t="s">
        <v>2417</v>
      </c>
    </row>
    <row r="27239" spans="2:9" ht="15" customHeight="1" x14ac:dyDescent="0.25">
      <c r="B27239" s="55" t="s">
        <v>396</v>
      </c>
      <c r="C27239" s="46">
        <v>6</v>
      </c>
      <c r="D27239" s="69" t="s">
        <v>29533</v>
      </c>
      <c r="E27239" s="62"/>
      <c r="F27239" s="62" t="str">
        <f>IF(INDEX(I.Gas.P2bY2TotalGasEnergy,6)="","",INDEX(I.Gas.P2bY2TotalGasEnergy,6))</f>
        <v/>
      </c>
      <c r="G27239" s="62"/>
      <c r="H27239" s="46" t="str">
        <f>IF(I.Developer.P2b=FALSE,"Complete",IF(I.Product.P2bGasToPowerStatus&lt;&gt;"Yes","Complete",IF(AND(I.Gas.P2bY2Count&gt;=6,F27239=""),"Incomplete","Complete")))</f>
        <v>Complete</v>
      </c>
      <c r="I27239" s="48" t="s">
        <v>2418</v>
      </c>
    </row>
    <row r="27240" spans="2:9" ht="15" customHeight="1" x14ac:dyDescent="0.25">
      <c r="B27240" s="55" t="s">
        <v>396</v>
      </c>
      <c r="C27240" s="46">
        <v>7</v>
      </c>
      <c r="D27240" s="69" t="s">
        <v>29533</v>
      </c>
      <c r="E27240" s="62"/>
      <c r="F27240" s="62" t="str">
        <f>IF(INDEX(I.Gas.P2bY2TotalGasEnergy,7)="","",INDEX(I.Gas.P2bY2TotalGasEnergy,7))</f>
        <v/>
      </c>
      <c r="G27240" s="62"/>
      <c r="H27240" s="46" t="str">
        <f>IF(I.Developer.P2b=FALSE,"Complete",IF(I.Product.P2bGasToPowerStatus&lt;&gt;"Yes","Complete",IF(AND(I.Gas.P2bY2Count&gt;=7,F27240=""),"Incomplete","Complete")))</f>
        <v>Complete</v>
      </c>
      <c r="I27240" s="48" t="s">
        <v>2419</v>
      </c>
    </row>
    <row r="27241" spans="2:9" ht="15" customHeight="1" x14ac:dyDescent="0.25">
      <c r="B27241" s="55" t="s">
        <v>396</v>
      </c>
      <c r="C27241" s="46">
        <v>8</v>
      </c>
      <c r="D27241" s="69" t="s">
        <v>29533</v>
      </c>
      <c r="E27241" s="62"/>
      <c r="F27241" s="62" t="str">
        <f>IF(INDEX(I.Gas.P2bY2TotalGasEnergy,8)="","",INDEX(I.Gas.P2bY2TotalGasEnergy,8))</f>
        <v/>
      </c>
      <c r="G27241" s="62"/>
      <c r="H27241" s="46" t="str">
        <f>IF(I.Developer.P2b=FALSE,"Complete",IF(I.Product.P2bGasToPowerStatus&lt;&gt;"Yes","Complete",IF(AND(I.Gas.P2bY2Count&gt;=8,F27241=""),"Incomplete","Complete")))</f>
        <v>Complete</v>
      </c>
      <c r="I27241" s="48" t="s">
        <v>2420</v>
      </c>
    </row>
    <row r="27242" spans="2:9" ht="15" customHeight="1" x14ac:dyDescent="0.25">
      <c r="B27242" s="55" t="s">
        <v>396</v>
      </c>
      <c r="C27242" s="46">
        <v>9</v>
      </c>
      <c r="D27242" s="69" t="s">
        <v>29533</v>
      </c>
      <c r="E27242" s="62"/>
      <c r="F27242" s="62" t="str">
        <f>IF(INDEX(I.Gas.P2bY2TotalGasEnergy,9)="","",INDEX(I.Gas.P2bY2TotalGasEnergy,9))</f>
        <v/>
      </c>
      <c r="G27242" s="62"/>
      <c r="H27242" s="46" t="str">
        <f>IF(I.Developer.P2b=FALSE,"Complete",IF(I.Product.P2bGasToPowerStatus&lt;&gt;"Yes","Complete",IF(AND(I.Gas.P2bY2Count&gt;=9,F27242=""),"Incomplete","Complete")))</f>
        <v>Complete</v>
      </c>
      <c r="I27242" s="48" t="s">
        <v>2421</v>
      </c>
    </row>
    <row r="27243" spans="2:9" ht="15" customHeight="1" x14ac:dyDescent="0.25">
      <c r="B27243" s="55" t="s">
        <v>396</v>
      </c>
      <c r="C27243" s="46">
        <v>10</v>
      </c>
      <c r="D27243" s="69" t="s">
        <v>29533</v>
      </c>
      <c r="E27243" s="62"/>
      <c r="F27243" s="62" t="str">
        <f>IF(INDEX(I.Gas.P2bY2TotalGasEnergy,10)="","",INDEX(I.Gas.P2bY2TotalGasEnergy,10))</f>
        <v/>
      </c>
      <c r="G27243" s="62"/>
      <c r="H27243" s="46" t="str">
        <f>IF(I.Developer.P2b=FALSE,"Complete",IF(I.Product.P2bGasToPowerStatus&lt;&gt;"Yes","Complete",IF(AND(I.Gas.P2bY2Count&gt;=10,F27243=""),"Incomplete","Complete")))</f>
        <v>Complete</v>
      </c>
      <c r="I27243" s="48" t="s">
        <v>2422</v>
      </c>
    </row>
    <row r="27244" spans="2:9" ht="15" customHeight="1" x14ac:dyDescent="0.25">
      <c r="B27244" s="55" t="s">
        <v>396</v>
      </c>
      <c r="C27244" s="46">
        <v>11</v>
      </c>
      <c r="D27244" s="69" t="s">
        <v>29533</v>
      </c>
      <c r="E27244" s="62"/>
      <c r="F27244" s="62" t="str">
        <f>IF(INDEX(I.Gas.P2bY2TotalGasEnergy,11)="","",INDEX(I.Gas.P2bY2TotalGasEnergy,11))</f>
        <v/>
      </c>
      <c r="G27244" s="62"/>
      <c r="H27244" s="46" t="str">
        <f>IF(I.Developer.P2b=FALSE,"Complete",IF(I.Product.P2bGasToPowerStatus&lt;&gt;"Yes","Complete",IF(AND(I.Gas.P2bY2Count&gt;=11,F27244=""),"Incomplete","Complete")))</f>
        <v>Complete</v>
      </c>
      <c r="I27244" s="48" t="s">
        <v>2423</v>
      </c>
    </row>
    <row r="27245" spans="2:9" ht="15" customHeight="1" x14ac:dyDescent="0.25">
      <c r="B27245" s="55" t="s">
        <v>396</v>
      </c>
      <c r="C27245" s="46">
        <v>12</v>
      </c>
      <c r="D27245" s="69" t="s">
        <v>29533</v>
      </c>
      <c r="E27245" s="62"/>
      <c r="F27245" s="62" t="str">
        <f>IF(INDEX(I.Gas.P2bY2TotalGasEnergy,12)="","",INDEX(I.Gas.P2bY2TotalGasEnergy,12))</f>
        <v/>
      </c>
      <c r="G27245" s="62"/>
      <c r="H27245" s="46" t="str">
        <f>IF(I.Developer.P2b=FALSE,"Complete",IF(I.Product.P2bGasToPowerStatus&lt;&gt;"Yes","Complete",IF(AND(I.Gas.P2bY2Count&gt;=12,F27245=""),"Incomplete","Complete")))</f>
        <v>Complete</v>
      </c>
      <c r="I27245" s="48" t="s">
        <v>2424</v>
      </c>
    </row>
    <row r="27246" spans="2:9" ht="15" customHeight="1" x14ac:dyDescent="0.25">
      <c r="B27246" s="55" t="s">
        <v>396</v>
      </c>
      <c r="C27246" s="46">
        <v>13</v>
      </c>
      <c r="D27246" s="69" t="s">
        <v>29533</v>
      </c>
      <c r="E27246" s="62"/>
      <c r="F27246" s="62" t="str">
        <f>IF(INDEX(I.Gas.P2bY2TotalGasEnergy,13)="","",INDEX(I.Gas.P2bY2TotalGasEnergy,13))</f>
        <v/>
      </c>
      <c r="G27246" s="62"/>
      <c r="H27246" s="46" t="str">
        <f>IF(I.Developer.P2b=FALSE,"Complete",IF(I.Product.P2bGasToPowerStatus&lt;&gt;"Yes","Complete",IF(AND(I.Gas.P2bY2Count&gt;=13,F27246=""),"Incomplete","Complete")))</f>
        <v>Complete</v>
      </c>
      <c r="I27246" s="48" t="s">
        <v>2425</v>
      </c>
    </row>
    <row r="27247" spans="2:9" ht="15" customHeight="1" x14ac:dyDescent="0.25">
      <c r="B27247" s="55" t="s">
        <v>396</v>
      </c>
      <c r="C27247" s="46">
        <v>14</v>
      </c>
      <c r="D27247" s="69" t="s">
        <v>29533</v>
      </c>
      <c r="E27247" s="62"/>
      <c r="F27247" s="62" t="str">
        <f>IF(INDEX(I.Gas.P2bY2TotalGasEnergy,14)="","",INDEX(I.Gas.P2bY2TotalGasEnergy,14))</f>
        <v/>
      </c>
      <c r="G27247" s="62"/>
      <c r="H27247" s="46" t="str">
        <f>IF(I.Developer.P2b=FALSE,"Complete",IF(I.Product.P2bGasToPowerStatus&lt;&gt;"Yes","Complete",IF(AND(I.Gas.P2bY2Count&gt;=14,F27247=""),"Incomplete","Complete")))</f>
        <v>Complete</v>
      </c>
      <c r="I27247" s="48" t="s">
        <v>2426</v>
      </c>
    </row>
    <row r="27248" spans="2:9" ht="15" customHeight="1" x14ac:dyDescent="0.25">
      <c r="B27248" s="55" t="s">
        <v>396</v>
      </c>
      <c r="C27248" s="46">
        <v>15</v>
      </c>
      <c r="D27248" s="69" t="s">
        <v>29533</v>
      </c>
      <c r="E27248" s="62"/>
      <c r="F27248" s="62" t="str">
        <f>IF(INDEX(I.Gas.P2bY2TotalGasEnergy,15)="","",INDEX(I.Gas.P2bY2TotalGasEnergy,15))</f>
        <v/>
      </c>
      <c r="G27248" s="62"/>
      <c r="H27248" s="46" t="str">
        <f>IF(I.Developer.P2b=FALSE,"Complete",IF(I.Product.P2bGasToPowerStatus&lt;&gt;"Yes","Complete",IF(AND(I.Gas.P2bY2Count&gt;=15,F27248=""),"Incomplete","Complete")))</f>
        <v>Complete</v>
      </c>
      <c r="I27248" s="48" t="s">
        <v>2427</v>
      </c>
    </row>
    <row r="27249" spans="2:9" ht="15" customHeight="1" x14ac:dyDescent="0.25">
      <c r="B27249" s="55" t="s">
        <v>396</v>
      </c>
      <c r="C27249" s="46">
        <v>16</v>
      </c>
      <c r="D27249" s="69" t="s">
        <v>29533</v>
      </c>
      <c r="E27249" s="62"/>
      <c r="F27249" s="62" t="str">
        <f>IF(INDEX(I.Gas.P2bY2TotalGasEnergy,16)="","",INDEX(I.Gas.P2bY2TotalGasEnergy,16))</f>
        <v/>
      </c>
      <c r="G27249" s="62"/>
      <c r="H27249" s="46" t="str">
        <f>IF(I.Developer.P2b=FALSE,"Complete",IF(I.Product.P2bGasToPowerStatus&lt;&gt;"Yes","Complete",IF(AND(I.Gas.P2bY2Count&gt;=16,F27249=""),"Incomplete","Complete")))</f>
        <v>Complete</v>
      </c>
      <c r="I27249" s="48" t="s">
        <v>2428</v>
      </c>
    </row>
    <row r="27250" spans="2:9" ht="15" customHeight="1" x14ac:dyDescent="0.25">
      <c r="B27250" s="55" t="s">
        <v>396</v>
      </c>
      <c r="C27250" s="46">
        <v>17</v>
      </c>
      <c r="D27250" s="69" t="s">
        <v>29533</v>
      </c>
      <c r="E27250" s="62"/>
      <c r="F27250" s="62" t="str">
        <f>IF(INDEX(I.Gas.P2bY2TotalGasEnergy,17)="","",INDEX(I.Gas.P2bY2TotalGasEnergy,17))</f>
        <v/>
      </c>
      <c r="G27250" s="62"/>
      <c r="H27250" s="46" t="str">
        <f>IF(I.Developer.P2b=FALSE,"Complete",IF(I.Product.P2bGasToPowerStatus&lt;&gt;"Yes","Complete",IF(AND(I.Gas.P2bY2Count&gt;=17,F27250=""),"Incomplete","Complete")))</f>
        <v>Complete</v>
      </c>
      <c r="I27250" s="48" t="s">
        <v>2429</v>
      </c>
    </row>
    <row r="27251" spans="2:9" ht="15" customHeight="1" x14ac:dyDescent="0.25">
      <c r="B27251" s="55" t="s">
        <v>396</v>
      </c>
      <c r="C27251" s="46">
        <v>18</v>
      </c>
      <c r="D27251" s="69" t="s">
        <v>29533</v>
      </c>
      <c r="E27251" s="62"/>
      <c r="F27251" s="62" t="str">
        <f>IF(INDEX(I.Gas.P2bY2TotalGasEnergy,18)="","",INDEX(I.Gas.P2bY2TotalGasEnergy,18))</f>
        <v/>
      </c>
      <c r="G27251" s="62"/>
      <c r="H27251" s="46" t="str">
        <f>IF(I.Developer.P2b=FALSE,"Complete",IF(I.Product.P2bGasToPowerStatus&lt;&gt;"Yes","Complete",IF(AND(I.Gas.P2bY2Count&gt;=18,F27251=""),"Incomplete","Complete")))</f>
        <v>Complete</v>
      </c>
      <c r="I27251" s="48" t="s">
        <v>2430</v>
      </c>
    </row>
    <row r="27252" spans="2:9" ht="15" customHeight="1" x14ac:dyDescent="0.25">
      <c r="B27252" s="55" t="s">
        <v>396</v>
      </c>
      <c r="C27252" s="46">
        <v>19</v>
      </c>
      <c r="D27252" s="69" t="s">
        <v>29533</v>
      </c>
      <c r="E27252" s="62"/>
      <c r="F27252" s="62" t="str">
        <f>IF(INDEX(I.Gas.P2bY2TotalGasEnergy,19)="","",INDEX(I.Gas.P2bY2TotalGasEnergy,19))</f>
        <v/>
      </c>
      <c r="G27252" s="62"/>
      <c r="H27252" s="46" t="str">
        <f>IF(I.Developer.P2b=FALSE,"Complete",IF(I.Product.P2bGasToPowerStatus&lt;&gt;"Yes","Complete",IF(AND(I.Gas.P2bY2Count&gt;=19,F27252=""),"Incomplete","Complete")))</f>
        <v>Complete</v>
      </c>
      <c r="I27252" s="48" t="s">
        <v>2431</v>
      </c>
    </row>
    <row r="27253" spans="2:9" ht="15" customHeight="1" x14ac:dyDescent="0.25">
      <c r="B27253" s="55" t="s">
        <v>396</v>
      </c>
      <c r="C27253" s="46">
        <v>20</v>
      </c>
      <c r="D27253" s="69" t="s">
        <v>29533</v>
      </c>
      <c r="E27253" s="62"/>
      <c r="F27253" s="62" t="str">
        <f>IF(INDEX(I.Gas.P2bY2TotalGasEnergy,20)="","",INDEX(I.Gas.P2bY2TotalGasEnergy,20))</f>
        <v/>
      </c>
      <c r="G27253" s="62"/>
      <c r="H27253" s="46" t="str">
        <f>IF(I.Developer.P2b=FALSE,"Complete",IF(I.Product.P2bGasToPowerStatus&lt;&gt;"Yes","Complete",IF(AND(I.Gas.P2bY2Count&gt;=20,F27253=""),"Incomplete","Complete")))</f>
        <v>Complete</v>
      </c>
      <c r="I27253" s="48" t="s">
        <v>2432</v>
      </c>
    </row>
    <row r="27254" spans="2:9" ht="15" customHeight="1" x14ac:dyDescent="0.25">
      <c r="B27254" s="55" t="s">
        <v>396</v>
      </c>
      <c r="C27254" s="46">
        <v>21</v>
      </c>
      <c r="D27254" s="69" t="s">
        <v>29533</v>
      </c>
      <c r="E27254" s="62"/>
      <c r="F27254" s="62" t="str">
        <f>IF(INDEX(I.Gas.P2bY2TotalGasEnergy,21)="","",INDEX(I.Gas.P2bY2TotalGasEnergy,21))</f>
        <v/>
      </c>
      <c r="G27254" s="62"/>
      <c r="H27254" s="46" t="str">
        <f>IF(I.Developer.P2b=FALSE,"Complete",IF(I.Product.P2bGasToPowerStatus&lt;&gt;"Yes","Complete",IF(AND(I.Gas.P2bY2Count&gt;=21,F27254=""),"Incomplete","Complete")))</f>
        <v>Complete</v>
      </c>
      <c r="I27254" s="48" t="s">
        <v>2433</v>
      </c>
    </row>
    <row r="27255" spans="2:9" ht="15" customHeight="1" x14ac:dyDescent="0.25">
      <c r="B27255" s="55" t="s">
        <v>396</v>
      </c>
      <c r="C27255" s="46">
        <v>22</v>
      </c>
      <c r="D27255" s="69" t="s">
        <v>29533</v>
      </c>
      <c r="E27255" s="62"/>
      <c r="F27255" s="62" t="str">
        <f>IF(INDEX(I.Gas.P2bY2TotalGasEnergy,22)="","",INDEX(I.Gas.P2bY2TotalGasEnergy,22))</f>
        <v/>
      </c>
      <c r="G27255" s="62"/>
      <c r="H27255" s="46" t="str">
        <f>IF(I.Developer.P2b=FALSE,"Complete",IF(I.Product.P2bGasToPowerStatus&lt;&gt;"Yes","Complete",IF(AND(I.Gas.P2bY2Count&gt;=22,F27255=""),"Incomplete","Complete")))</f>
        <v>Complete</v>
      </c>
      <c r="I27255" s="48" t="s">
        <v>2434</v>
      </c>
    </row>
    <row r="27256" spans="2:9" ht="15" customHeight="1" x14ac:dyDescent="0.25">
      <c r="B27256" s="55" t="s">
        <v>396</v>
      </c>
      <c r="C27256" s="46">
        <v>23</v>
      </c>
      <c r="D27256" s="69" t="s">
        <v>29533</v>
      </c>
      <c r="E27256" s="62"/>
      <c r="F27256" s="62" t="str">
        <f>IF(INDEX(I.Gas.P2bY2TotalGasEnergy,23)="","",INDEX(I.Gas.P2bY2TotalGasEnergy,23))</f>
        <v/>
      </c>
      <c r="G27256" s="62"/>
      <c r="H27256" s="46" t="str">
        <f>IF(I.Developer.P2b=FALSE,"Complete",IF(I.Product.P2bGasToPowerStatus&lt;&gt;"Yes","Complete",IF(AND(I.Gas.P2bY2Count&gt;=23,F27256=""),"Incomplete","Complete")))</f>
        <v>Complete</v>
      </c>
      <c r="I27256" s="48" t="s">
        <v>2435</v>
      </c>
    </row>
    <row r="27257" spans="2:9" ht="15" customHeight="1" x14ac:dyDescent="0.25">
      <c r="B27257" s="55" t="s">
        <v>396</v>
      </c>
      <c r="C27257" s="46">
        <v>24</v>
      </c>
      <c r="D27257" s="69" t="s">
        <v>29533</v>
      </c>
      <c r="E27257" s="62"/>
      <c r="F27257" s="62" t="str">
        <f>IF(INDEX(I.Gas.P2bY2TotalGasEnergy,24)="","",INDEX(I.Gas.P2bY2TotalGasEnergy,24))</f>
        <v/>
      </c>
      <c r="G27257" s="62"/>
      <c r="H27257" s="46" t="str">
        <f>IF(I.Developer.P2b=FALSE,"Complete",IF(I.Product.P2bGasToPowerStatus&lt;&gt;"Yes","Complete",IF(AND(I.Gas.P2bY2Count&gt;=24,F27257=""),"Incomplete","Complete")))</f>
        <v>Complete</v>
      </c>
      <c r="I27257" s="48" t="s">
        <v>2436</v>
      </c>
    </row>
    <row r="27258" spans="2:9" ht="15" customHeight="1" x14ac:dyDescent="0.25">
      <c r="B27258" s="55" t="s">
        <v>396</v>
      </c>
      <c r="C27258" s="46">
        <v>25</v>
      </c>
      <c r="D27258" s="69" t="s">
        <v>29533</v>
      </c>
      <c r="E27258" s="62"/>
      <c r="F27258" s="62" t="str">
        <f>IF(INDEX(I.Gas.P2bY2TotalGasEnergy,25)="","",INDEX(I.Gas.P2bY2TotalGasEnergy,25))</f>
        <v/>
      </c>
      <c r="G27258" s="62"/>
      <c r="H27258" s="46" t="str">
        <f>IF(I.Developer.P2b=FALSE,"Complete",IF(I.Product.P2bGasToPowerStatus&lt;&gt;"Yes","Complete",IF(AND(I.Gas.P2bY2Count&gt;=25,F27258=""),"Incomplete","Complete")))</f>
        <v>Complete</v>
      </c>
      <c r="I27258" s="48" t="s">
        <v>2437</v>
      </c>
    </row>
    <row r="27259" spans="2:9" ht="15" customHeight="1" x14ac:dyDescent="0.25">
      <c r="B27259" s="55" t="s">
        <v>396</v>
      </c>
      <c r="C27259" s="46">
        <v>26</v>
      </c>
      <c r="D27259" s="69" t="s">
        <v>29533</v>
      </c>
      <c r="E27259" s="62"/>
      <c r="F27259" s="62" t="str">
        <f>IF(INDEX(I.Gas.P2bY2TotalGasEnergy,26)="","",INDEX(I.Gas.P2bY2TotalGasEnergy,26))</f>
        <v/>
      </c>
      <c r="G27259" s="62"/>
      <c r="H27259" s="46" t="str">
        <f>IF(I.Developer.P2b=FALSE,"Complete",IF(I.Product.P2bGasToPowerStatus&lt;&gt;"Yes","Complete",IF(AND(I.Gas.P2bY2Count&gt;=26,F27259=""),"Incomplete","Complete")))</f>
        <v>Complete</v>
      </c>
      <c r="I27259" s="48" t="s">
        <v>2438</v>
      </c>
    </row>
    <row r="27260" spans="2:9" ht="15" customHeight="1" x14ac:dyDescent="0.25">
      <c r="B27260" s="55" t="s">
        <v>396</v>
      </c>
      <c r="C27260" s="46">
        <v>27</v>
      </c>
      <c r="D27260" s="69" t="s">
        <v>29533</v>
      </c>
      <c r="E27260" s="62"/>
      <c r="F27260" s="62" t="str">
        <f>IF(INDEX(I.Gas.P2bY2TotalGasEnergy,27)="","",INDEX(I.Gas.P2bY2TotalGasEnergy,27))</f>
        <v/>
      </c>
      <c r="G27260" s="62"/>
      <c r="H27260" s="46" t="str">
        <f>IF(I.Developer.P2b=FALSE,"Complete",IF(I.Product.P2bGasToPowerStatus&lt;&gt;"Yes","Complete",IF(AND(I.Gas.P2bY2Count&gt;=27,F27260=""),"Incomplete","Complete")))</f>
        <v>Complete</v>
      </c>
      <c r="I27260" s="48" t="s">
        <v>2439</v>
      </c>
    </row>
    <row r="27261" spans="2:9" ht="15" customHeight="1" x14ac:dyDescent="0.25">
      <c r="B27261" s="55" t="s">
        <v>396</v>
      </c>
      <c r="C27261" s="46">
        <v>28</v>
      </c>
      <c r="D27261" s="69" t="s">
        <v>29533</v>
      </c>
      <c r="E27261" s="62"/>
      <c r="F27261" s="62" t="str">
        <f>IF(INDEX(I.Gas.P2bY2TotalGasEnergy,28)="","",INDEX(I.Gas.P2bY2TotalGasEnergy,28))</f>
        <v/>
      </c>
      <c r="G27261" s="62"/>
      <c r="H27261" s="46" t="str">
        <f>IF(I.Developer.P2b=FALSE,"Complete",IF(I.Product.P2bGasToPowerStatus&lt;&gt;"Yes","Complete",IF(AND(I.Gas.P2bY2Count&gt;=28,F27261=""),"Incomplete","Complete")))</f>
        <v>Complete</v>
      </c>
      <c r="I27261" s="48" t="s">
        <v>2440</v>
      </c>
    </row>
    <row r="27262" spans="2:9" ht="15" customHeight="1" x14ac:dyDescent="0.25">
      <c r="B27262" s="55" t="s">
        <v>396</v>
      </c>
      <c r="C27262" s="46">
        <v>29</v>
      </c>
      <c r="D27262" s="69" t="s">
        <v>29533</v>
      </c>
      <c r="E27262" s="62"/>
      <c r="F27262" s="62" t="str">
        <f>IF(INDEX(I.Gas.P2bY2TotalGasEnergy,29)="","",INDEX(I.Gas.P2bY2TotalGasEnergy,29))</f>
        <v/>
      </c>
      <c r="G27262" s="62"/>
      <c r="H27262" s="46" t="str">
        <f>IF(I.Developer.P2b=FALSE,"Complete",IF(I.Product.P2bGasToPowerStatus&lt;&gt;"Yes","Complete",IF(AND(I.Gas.P2bY2Count&gt;=29,F27262=""),"Incomplete","Complete")))</f>
        <v>Complete</v>
      </c>
      <c r="I27262" s="48" t="s">
        <v>2441</v>
      </c>
    </row>
    <row r="27263" spans="2:9" ht="15" customHeight="1" x14ac:dyDescent="0.25">
      <c r="B27263" s="55" t="s">
        <v>396</v>
      </c>
      <c r="C27263" s="46">
        <v>30</v>
      </c>
      <c r="D27263" s="69" t="s">
        <v>29533</v>
      </c>
      <c r="E27263" s="62"/>
      <c r="F27263" s="62" t="str">
        <f>IF(INDEX(I.Gas.P2bY2TotalGasEnergy,30)="","",INDEX(I.Gas.P2bY2TotalGasEnergy,30))</f>
        <v/>
      </c>
      <c r="G27263" s="62"/>
      <c r="H27263" s="46" t="str">
        <f>IF(I.Developer.P2b=FALSE,"Complete",IF(I.Product.P2bGasToPowerStatus&lt;&gt;"Yes","Complete",IF(AND(I.Gas.P2bY2Count&gt;=30,F27263=""),"Incomplete","Complete")))</f>
        <v>Complete</v>
      </c>
      <c r="I27263" s="48" t="s">
        <v>2442</v>
      </c>
    </row>
    <row r="27264" spans="2:9" ht="15" customHeight="1" x14ac:dyDescent="0.25">
      <c r="B27264" s="55" t="s">
        <v>396</v>
      </c>
      <c r="C27264" s="46">
        <v>31</v>
      </c>
      <c r="D27264" s="69" t="s">
        <v>29533</v>
      </c>
      <c r="E27264" s="62"/>
      <c r="F27264" s="62" t="str">
        <f>IF(INDEX(I.Gas.P2bY2TotalGasEnergy,31)="","",INDEX(I.Gas.P2bY2TotalGasEnergy,31))</f>
        <v/>
      </c>
      <c r="G27264" s="62"/>
      <c r="H27264" s="46" t="str">
        <f>IF(I.Developer.P2b=FALSE,"Complete",IF(I.Product.P2bGasToPowerStatus&lt;&gt;"Yes","Complete",IF(AND(I.Gas.P2bY2Count&gt;=31,F27264=""),"Incomplete","Complete")))</f>
        <v>Complete</v>
      </c>
      <c r="I27264" s="48" t="s">
        <v>2443</v>
      </c>
    </row>
    <row r="27265" spans="2:9" ht="15" customHeight="1" x14ac:dyDescent="0.25">
      <c r="B27265" s="55" t="s">
        <v>396</v>
      </c>
      <c r="C27265" s="46">
        <v>32</v>
      </c>
      <c r="D27265" s="69" t="s">
        <v>29533</v>
      </c>
      <c r="E27265" s="62"/>
      <c r="F27265" s="62" t="str">
        <f>IF(INDEX(I.Gas.P2bY2TotalGasEnergy,32)="","",INDEX(I.Gas.P2bY2TotalGasEnergy,32))</f>
        <v/>
      </c>
      <c r="G27265" s="62"/>
      <c r="H27265" s="46" t="str">
        <f>IF(I.Developer.P2b=FALSE,"Complete",IF(I.Product.P2bGasToPowerStatus&lt;&gt;"Yes","Complete",IF(AND(I.Gas.P2bY2Count&gt;=32,F27265=""),"Incomplete","Complete")))</f>
        <v>Complete</v>
      </c>
      <c r="I27265" s="48" t="s">
        <v>2444</v>
      </c>
    </row>
    <row r="27266" spans="2:9" ht="15" customHeight="1" x14ac:dyDescent="0.25">
      <c r="B27266" s="55" t="s">
        <v>396</v>
      </c>
      <c r="C27266" s="46">
        <v>33</v>
      </c>
      <c r="D27266" s="69" t="s">
        <v>29533</v>
      </c>
      <c r="E27266" s="62"/>
      <c r="F27266" s="62" t="str">
        <f>IF(INDEX(I.Gas.P2bY2TotalGasEnergy,33)="","",INDEX(I.Gas.P2bY2TotalGasEnergy,33))</f>
        <v/>
      </c>
      <c r="G27266" s="62"/>
      <c r="H27266" s="46" t="str">
        <f>IF(I.Developer.P2b=FALSE,"Complete",IF(I.Product.P2bGasToPowerStatus&lt;&gt;"Yes","Complete",IF(AND(I.Gas.P2bY2Count&gt;=33,F27266=""),"Incomplete","Complete")))</f>
        <v>Complete</v>
      </c>
      <c r="I27266" s="48" t="s">
        <v>2445</v>
      </c>
    </row>
    <row r="27267" spans="2:9" ht="15" customHeight="1" x14ac:dyDescent="0.25">
      <c r="B27267" s="55" t="s">
        <v>396</v>
      </c>
      <c r="C27267" s="46">
        <v>34</v>
      </c>
      <c r="D27267" s="69" t="s">
        <v>29533</v>
      </c>
      <c r="E27267" s="62"/>
      <c r="F27267" s="62" t="str">
        <f>IF(INDEX(I.Gas.P2bY2TotalGasEnergy,34)="","",INDEX(I.Gas.P2bY2TotalGasEnergy,34))</f>
        <v/>
      </c>
      <c r="G27267" s="62"/>
      <c r="H27267" s="46" t="str">
        <f>IF(I.Developer.P2b=FALSE,"Complete",IF(I.Product.P2bGasToPowerStatus&lt;&gt;"Yes","Complete",IF(AND(I.Gas.P2bY2Count&gt;=34,F27267=""),"Incomplete","Complete")))</f>
        <v>Complete</v>
      </c>
      <c r="I27267" s="48" t="s">
        <v>2446</v>
      </c>
    </row>
    <row r="27268" spans="2:9" ht="15" customHeight="1" x14ac:dyDescent="0.25">
      <c r="B27268" s="55" t="s">
        <v>396</v>
      </c>
      <c r="C27268" s="46">
        <v>35</v>
      </c>
      <c r="D27268" s="69" t="s">
        <v>29533</v>
      </c>
      <c r="E27268" s="62"/>
      <c r="F27268" s="62" t="str">
        <f>IF(INDEX(I.Gas.P2bY2TotalGasEnergy,35)="","",INDEX(I.Gas.P2bY2TotalGasEnergy,35))</f>
        <v/>
      </c>
      <c r="G27268" s="62"/>
      <c r="H27268" s="46" t="str">
        <f>IF(I.Developer.P2b=FALSE,"Complete",IF(I.Product.P2bGasToPowerStatus&lt;&gt;"Yes","Complete",IF(AND(I.Gas.P2bY2Count&gt;=35,F27268=""),"Incomplete","Complete")))</f>
        <v>Complete</v>
      </c>
      <c r="I27268" s="48" t="s">
        <v>2447</v>
      </c>
    </row>
    <row r="27269" spans="2:9" ht="15" customHeight="1" x14ac:dyDescent="0.25">
      <c r="B27269" s="55" t="s">
        <v>396</v>
      </c>
      <c r="C27269" s="46">
        <v>36</v>
      </c>
      <c r="D27269" s="69" t="s">
        <v>29533</v>
      </c>
      <c r="E27269" s="62"/>
      <c r="F27269" s="62" t="str">
        <f>IF(INDEX(I.Gas.P2bY2TotalGasEnergy,36)="","",INDEX(I.Gas.P2bY2TotalGasEnergy,36))</f>
        <v/>
      </c>
      <c r="G27269" s="62"/>
      <c r="H27269" s="46" t="str">
        <f>IF(I.Developer.P2b=FALSE,"Complete",IF(I.Product.P2bGasToPowerStatus&lt;&gt;"Yes","Complete",IF(AND(I.Gas.P2bY2Count&gt;=36,F27269=""),"Incomplete","Complete")))</f>
        <v>Complete</v>
      </c>
      <c r="I27269" s="48" t="s">
        <v>2448</v>
      </c>
    </row>
    <row r="27270" spans="2:9" ht="15" customHeight="1" x14ac:dyDescent="0.25">
      <c r="B27270" s="55" t="s">
        <v>396</v>
      </c>
      <c r="C27270" s="46">
        <v>37</v>
      </c>
      <c r="D27270" s="69" t="s">
        <v>29533</v>
      </c>
      <c r="E27270" s="62"/>
      <c r="F27270" s="62" t="str">
        <f>IF(INDEX(I.Gas.P2bY2TotalGasEnergy,37)="","",INDEX(I.Gas.P2bY2TotalGasEnergy,37))</f>
        <v/>
      </c>
      <c r="G27270" s="62"/>
      <c r="H27270" s="46" t="str">
        <f>IF(I.Developer.P2b=FALSE,"Complete",IF(I.Product.P2bGasToPowerStatus&lt;&gt;"Yes","Complete",IF(AND(I.Gas.P2bY2Count&gt;=37,F27270=""),"Incomplete","Complete")))</f>
        <v>Complete</v>
      </c>
      <c r="I27270" s="48" t="s">
        <v>2449</v>
      </c>
    </row>
    <row r="27271" spans="2:9" ht="15" customHeight="1" x14ac:dyDescent="0.25">
      <c r="B27271" s="55" t="s">
        <v>396</v>
      </c>
      <c r="C27271" s="46">
        <v>38</v>
      </c>
      <c r="D27271" s="69" t="s">
        <v>29533</v>
      </c>
      <c r="E27271" s="62"/>
      <c r="F27271" s="62" t="str">
        <f>IF(INDEX(I.Gas.P2bY2TotalGasEnergy,38)="","",INDEX(I.Gas.P2bY2TotalGasEnergy,38))</f>
        <v/>
      </c>
      <c r="G27271" s="62"/>
      <c r="H27271" s="46" t="str">
        <f>IF(I.Developer.P2b=FALSE,"Complete",IF(I.Product.P2bGasToPowerStatus&lt;&gt;"Yes","Complete",IF(AND(I.Gas.P2bY2Count&gt;=38,F27271=""),"Incomplete","Complete")))</f>
        <v>Complete</v>
      </c>
      <c r="I27271" s="48" t="s">
        <v>2450</v>
      </c>
    </row>
    <row r="27272" spans="2:9" ht="15" customHeight="1" x14ac:dyDescent="0.25">
      <c r="B27272" s="55" t="s">
        <v>396</v>
      </c>
      <c r="C27272" s="46">
        <v>39</v>
      </c>
      <c r="D27272" s="69" t="s">
        <v>29533</v>
      </c>
      <c r="E27272" s="62"/>
      <c r="F27272" s="62" t="str">
        <f>IF(INDEX(I.Gas.P2bY2TotalGasEnergy,39)="","",INDEX(I.Gas.P2bY2TotalGasEnergy,39))</f>
        <v/>
      </c>
      <c r="G27272" s="62"/>
      <c r="H27272" s="46" t="str">
        <f>IF(I.Developer.P2b=FALSE,"Complete",IF(I.Product.P2bGasToPowerStatus&lt;&gt;"Yes","Complete",IF(AND(I.Gas.P2bY2Count&gt;=39,F27272=""),"Incomplete","Complete")))</f>
        <v>Complete</v>
      </c>
      <c r="I27272" s="48" t="s">
        <v>2451</v>
      </c>
    </row>
    <row r="27273" spans="2:9" ht="15" customHeight="1" x14ac:dyDescent="0.25">
      <c r="B27273" s="55" t="s">
        <v>396</v>
      </c>
      <c r="C27273" s="46">
        <v>40</v>
      </c>
      <c r="D27273" s="69" t="s">
        <v>29533</v>
      </c>
      <c r="E27273" s="62"/>
      <c r="F27273" s="62" t="str">
        <f>IF(INDEX(I.Gas.P2bY2TotalGasEnergy,40)="","",INDEX(I.Gas.P2bY2TotalGasEnergy,40))</f>
        <v/>
      </c>
      <c r="G27273" s="62"/>
      <c r="H27273" s="46" t="str">
        <f>IF(I.Developer.P2b=FALSE,"Complete",IF(I.Product.P2bGasToPowerStatus&lt;&gt;"Yes","Complete",IF(AND(I.Gas.P2bY2Count&gt;=40,F27273=""),"Incomplete","Complete")))</f>
        <v>Complete</v>
      </c>
      <c r="I27273" s="48" t="s">
        <v>2452</v>
      </c>
    </row>
    <row r="27274" spans="2:9" ht="15" customHeight="1" x14ac:dyDescent="0.25">
      <c r="B27274" s="55" t="s">
        <v>396</v>
      </c>
      <c r="C27274" s="46">
        <v>41</v>
      </c>
      <c r="D27274" s="69" t="s">
        <v>29533</v>
      </c>
      <c r="E27274" s="62"/>
      <c r="F27274" s="62" t="str">
        <f>IF(INDEX(I.Gas.P2bY2TotalGasEnergy,41)="","",INDEX(I.Gas.P2bY2TotalGasEnergy,41))</f>
        <v/>
      </c>
      <c r="G27274" s="62"/>
      <c r="H27274" s="46" t="str">
        <f>IF(I.Developer.P2b=FALSE,"Complete",IF(I.Product.P2bGasToPowerStatus&lt;&gt;"Yes","Complete",IF(AND(I.Gas.P2bY2Count&gt;=41,F27274=""),"Incomplete","Complete")))</f>
        <v>Complete</v>
      </c>
      <c r="I27274" s="48" t="s">
        <v>2453</v>
      </c>
    </row>
    <row r="27275" spans="2:9" ht="15" customHeight="1" x14ac:dyDescent="0.25">
      <c r="B27275" s="55" t="s">
        <v>396</v>
      </c>
      <c r="C27275" s="46">
        <v>42</v>
      </c>
      <c r="D27275" s="69" t="s">
        <v>29533</v>
      </c>
      <c r="E27275" s="62"/>
      <c r="F27275" s="62" t="str">
        <f>IF(INDEX(I.Gas.P2bY2TotalGasEnergy,42)="","",INDEX(I.Gas.P2bY2TotalGasEnergy,42))</f>
        <v/>
      </c>
      <c r="G27275" s="62"/>
      <c r="H27275" s="46" t="str">
        <f>IF(I.Developer.P2b=FALSE,"Complete",IF(I.Product.P2bGasToPowerStatus&lt;&gt;"Yes","Complete",IF(AND(I.Gas.P2bY2Count&gt;=42,F27275=""),"Incomplete","Complete")))</f>
        <v>Complete</v>
      </c>
      <c r="I27275" s="48" t="s">
        <v>2454</v>
      </c>
    </row>
    <row r="27276" spans="2:9" ht="15" customHeight="1" x14ac:dyDescent="0.25">
      <c r="B27276" s="55" t="s">
        <v>396</v>
      </c>
      <c r="C27276" s="46">
        <v>43</v>
      </c>
      <c r="D27276" s="69" t="s">
        <v>29533</v>
      </c>
      <c r="E27276" s="62"/>
      <c r="F27276" s="62" t="str">
        <f>IF(INDEX(I.Gas.P2bY2TotalGasEnergy,43)="","",INDEX(I.Gas.P2bY2TotalGasEnergy,43))</f>
        <v/>
      </c>
      <c r="G27276" s="62"/>
      <c r="H27276" s="46" t="str">
        <f>IF(I.Developer.P2b=FALSE,"Complete",IF(I.Product.P2bGasToPowerStatus&lt;&gt;"Yes","Complete",IF(AND(I.Gas.P2bY2Count&gt;=43,F27276=""),"Incomplete","Complete")))</f>
        <v>Complete</v>
      </c>
      <c r="I27276" s="48" t="s">
        <v>2455</v>
      </c>
    </row>
    <row r="27277" spans="2:9" ht="15" customHeight="1" x14ac:dyDescent="0.25">
      <c r="B27277" s="55" t="s">
        <v>396</v>
      </c>
      <c r="C27277" s="46">
        <v>44</v>
      </c>
      <c r="D27277" s="69" t="s">
        <v>29533</v>
      </c>
      <c r="E27277" s="62"/>
      <c r="F27277" s="62" t="str">
        <f>IF(INDEX(I.Gas.P2bY2TotalGasEnergy,44)="","",INDEX(I.Gas.P2bY2TotalGasEnergy,44))</f>
        <v/>
      </c>
      <c r="G27277" s="62"/>
      <c r="H27277" s="46" t="str">
        <f>IF(I.Developer.P2b=FALSE,"Complete",IF(I.Product.P2bGasToPowerStatus&lt;&gt;"Yes","Complete",IF(AND(I.Gas.P2bY2Count&gt;=44,F27277=""),"Incomplete","Complete")))</f>
        <v>Complete</v>
      </c>
      <c r="I27277" s="48" t="s">
        <v>2456</v>
      </c>
    </row>
    <row r="27278" spans="2:9" ht="15" customHeight="1" x14ac:dyDescent="0.25">
      <c r="B27278" s="55" t="s">
        <v>396</v>
      </c>
      <c r="C27278" s="46">
        <v>45</v>
      </c>
      <c r="D27278" s="69" t="s">
        <v>29533</v>
      </c>
      <c r="E27278" s="62"/>
      <c r="F27278" s="62" t="str">
        <f>IF(INDEX(I.Gas.P2bY2TotalGasEnergy,45)="","",INDEX(I.Gas.P2bY2TotalGasEnergy,45))</f>
        <v/>
      </c>
      <c r="G27278" s="62"/>
      <c r="H27278" s="46" t="str">
        <f>IF(I.Developer.P2b=FALSE,"Complete",IF(I.Product.P2bGasToPowerStatus&lt;&gt;"Yes","Complete",IF(AND(I.Gas.P2bY2Count&gt;=45,F27278=""),"Incomplete","Complete")))</f>
        <v>Complete</v>
      </c>
      <c r="I27278" s="48" t="s">
        <v>2457</v>
      </c>
    </row>
    <row r="27279" spans="2:9" ht="15" customHeight="1" x14ac:dyDescent="0.25">
      <c r="B27279" s="55" t="s">
        <v>396</v>
      </c>
      <c r="C27279" s="46">
        <v>46</v>
      </c>
      <c r="D27279" s="69" t="s">
        <v>29533</v>
      </c>
      <c r="E27279" s="62"/>
      <c r="F27279" s="62" t="str">
        <f>IF(INDEX(I.Gas.P2bY2TotalGasEnergy,46)="","",INDEX(I.Gas.P2bY2TotalGasEnergy,46))</f>
        <v/>
      </c>
      <c r="G27279" s="62"/>
      <c r="H27279" s="46" t="str">
        <f>IF(I.Developer.P2b=FALSE,"Complete",IF(I.Product.P2bGasToPowerStatus&lt;&gt;"Yes","Complete",IF(AND(I.Gas.P2bY2Count&gt;=46,F27279=""),"Incomplete","Complete")))</f>
        <v>Complete</v>
      </c>
      <c r="I27279" s="48" t="s">
        <v>2458</v>
      </c>
    </row>
    <row r="27280" spans="2:9" ht="15" customHeight="1" x14ac:dyDescent="0.25">
      <c r="B27280" s="55" t="s">
        <v>396</v>
      </c>
      <c r="C27280" s="46">
        <v>47</v>
      </c>
      <c r="D27280" s="69" t="s">
        <v>29533</v>
      </c>
      <c r="E27280" s="62"/>
      <c r="F27280" s="62" t="str">
        <f>IF(INDEX(I.Gas.P2bY2TotalGasEnergy,47)="","",INDEX(I.Gas.P2bY2TotalGasEnergy,47))</f>
        <v/>
      </c>
      <c r="G27280" s="62"/>
      <c r="H27280" s="46" t="str">
        <f>IF(I.Developer.P2b=FALSE,"Complete",IF(I.Product.P2bGasToPowerStatus&lt;&gt;"Yes","Complete",IF(AND(I.Gas.P2bY2Count&gt;=47,F27280=""),"Incomplete","Complete")))</f>
        <v>Complete</v>
      </c>
      <c r="I27280" s="48" t="s">
        <v>2459</v>
      </c>
    </row>
    <row r="27281" spans="2:9" ht="15" customHeight="1" x14ac:dyDescent="0.25">
      <c r="B27281" s="55" t="s">
        <v>396</v>
      </c>
      <c r="C27281" s="46">
        <v>48</v>
      </c>
      <c r="D27281" s="69" t="s">
        <v>29533</v>
      </c>
      <c r="E27281" s="62"/>
      <c r="F27281" s="62" t="str">
        <f>IF(INDEX(I.Gas.P2bY2TotalGasEnergy,48)="","",INDEX(I.Gas.P2bY2TotalGasEnergy,48))</f>
        <v/>
      </c>
      <c r="G27281" s="62"/>
      <c r="H27281" s="46" t="str">
        <f>IF(I.Developer.P2b=FALSE,"Complete",IF(I.Product.P2bGasToPowerStatus&lt;&gt;"Yes","Complete",IF(AND(I.Gas.P2bY2Count&gt;=48,F27281=""),"Incomplete","Complete")))</f>
        <v>Complete</v>
      </c>
      <c r="I27281" s="48" t="s">
        <v>2460</v>
      </c>
    </row>
    <row r="27282" spans="2:9" ht="15" customHeight="1" x14ac:dyDescent="0.25">
      <c r="B27282" s="55" t="s">
        <v>396</v>
      </c>
      <c r="C27282" s="46">
        <v>49</v>
      </c>
      <c r="D27282" s="69" t="s">
        <v>29533</v>
      </c>
      <c r="E27282" s="62"/>
      <c r="F27282" s="62" t="str">
        <f>IF(INDEX(I.Gas.P2bY2TotalGasEnergy,49)="","",INDEX(I.Gas.P2bY2TotalGasEnergy,49))</f>
        <v/>
      </c>
      <c r="G27282" s="62"/>
      <c r="H27282" s="46" t="str">
        <f>IF(I.Developer.P2b=FALSE,"Complete",IF(I.Product.P2bGasToPowerStatus&lt;&gt;"Yes","Complete",IF(AND(I.Gas.P2bY2Count&gt;=49,F27282=""),"Incomplete","Complete")))</f>
        <v>Complete</v>
      </c>
      <c r="I27282" s="48" t="s">
        <v>2461</v>
      </c>
    </row>
    <row r="27283" spans="2:9" ht="15" customHeight="1" x14ac:dyDescent="0.25">
      <c r="B27283" s="56" t="s">
        <v>396</v>
      </c>
      <c r="C27283" s="57">
        <v>50</v>
      </c>
      <c r="D27283" s="71" t="s">
        <v>29533</v>
      </c>
      <c r="E27283" s="61"/>
      <c r="F27283" s="61" t="str">
        <f>IF(INDEX(I.Gas.P2bY2TotalGasEnergy,50)="","",INDEX(I.Gas.P2bY2TotalGasEnergy,50))</f>
        <v/>
      </c>
      <c r="G27283" s="61"/>
      <c r="H27283" s="57" t="str">
        <f>IF(I.Developer.P2b=FALSE,"Complete",IF(I.Product.P2bGasToPowerStatus&lt;&gt;"Yes","Complete",IF(AND(I.Gas.P2bY2Count&gt;=50,F27283=""),"Incomplete","Complete")))</f>
        <v>Complete</v>
      </c>
      <c r="I27283" s="49" t="s">
        <v>2462</v>
      </c>
    </row>
    <row r="27284" spans="2:9" ht="15" customHeight="1" x14ac:dyDescent="0.25">
      <c r="B27284" s="55" t="s">
        <v>397</v>
      </c>
      <c r="C27284" s="46">
        <v>1</v>
      </c>
      <c r="D27284" s="69" t="s">
        <v>29534</v>
      </c>
      <c r="E27284" s="62"/>
      <c r="F27284" s="62" t="str">
        <f>IF(INDEX(I.Gas.P2bY2ElectricityGeneration,1)="","",INDEX(I.Gas.P2bY2ElectricityGeneration,1))</f>
        <v/>
      </c>
      <c r="G27284" s="62"/>
      <c r="H27284" s="46" t="str">
        <f>IF(I.Developer.P2b=FALSE,"Complete",IF(I.Product.P2bGasToPowerStatus&lt;&gt;"Yes","Complete",IF(AND(I.Gas.P2bY2Count&gt;=1,F27284=""),"Incomplete","Complete")))</f>
        <v>Complete</v>
      </c>
      <c r="I27284" s="48" t="s">
        <v>2463</v>
      </c>
    </row>
    <row r="27285" spans="2:9" ht="15" customHeight="1" x14ac:dyDescent="0.25">
      <c r="B27285" s="55" t="s">
        <v>397</v>
      </c>
      <c r="C27285" s="46">
        <v>2</v>
      </c>
      <c r="D27285" s="69" t="s">
        <v>29534</v>
      </c>
      <c r="E27285" s="62"/>
      <c r="F27285" s="62" t="str">
        <f>IF(INDEX(I.Gas.P2bY2ElectricityGeneration,2)="","",INDEX(I.Gas.P2bY2ElectricityGeneration,2))</f>
        <v/>
      </c>
      <c r="G27285" s="62"/>
      <c r="H27285" s="46" t="str">
        <f>IF(I.Developer.P2b=FALSE,"Complete",IF(I.Product.P2bGasToPowerStatus&lt;&gt;"Yes","Complete",IF(AND(I.Gas.P2bY2Count&gt;=2,F27285=""),"Incomplete","Complete")))</f>
        <v>Complete</v>
      </c>
      <c r="I27285" s="48" t="s">
        <v>2464</v>
      </c>
    </row>
    <row r="27286" spans="2:9" ht="15" customHeight="1" x14ac:dyDescent="0.25">
      <c r="B27286" s="55" t="s">
        <v>397</v>
      </c>
      <c r="C27286" s="46">
        <v>3</v>
      </c>
      <c r="D27286" s="69" t="s">
        <v>29534</v>
      </c>
      <c r="E27286" s="62"/>
      <c r="F27286" s="62" t="str">
        <f>IF(INDEX(I.Gas.P2bY2ElectricityGeneration,3)="","",INDEX(I.Gas.P2bY2ElectricityGeneration,3))</f>
        <v/>
      </c>
      <c r="G27286" s="62"/>
      <c r="H27286" s="46" t="str">
        <f>IF(I.Developer.P2b=FALSE,"Complete",IF(I.Product.P2bGasToPowerStatus&lt;&gt;"Yes","Complete",IF(AND(I.Gas.P2bY2Count&gt;=3,F27286=""),"Incomplete","Complete")))</f>
        <v>Complete</v>
      </c>
      <c r="I27286" s="48" t="s">
        <v>2465</v>
      </c>
    </row>
    <row r="27287" spans="2:9" ht="15" customHeight="1" x14ac:dyDescent="0.25">
      <c r="B27287" s="55" t="s">
        <v>397</v>
      </c>
      <c r="C27287" s="46">
        <v>4</v>
      </c>
      <c r="D27287" s="69" t="s">
        <v>29534</v>
      </c>
      <c r="E27287" s="62"/>
      <c r="F27287" s="62" t="str">
        <f>IF(INDEX(I.Gas.P2bY2ElectricityGeneration,4)="","",INDEX(I.Gas.P2bY2ElectricityGeneration,4))</f>
        <v/>
      </c>
      <c r="G27287" s="62"/>
      <c r="H27287" s="46" t="str">
        <f>IF(I.Developer.P2b=FALSE,"Complete",IF(I.Product.P2bGasToPowerStatus&lt;&gt;"Yes","Complete",IF(AND(I.Gas.P2bY2Count&gt;=4,F27287=""),"Incomplete","Complete")))</f>
        <v>Complete</v>
      </c>
      <c r="I27287" s="48" t="s">
        <v>2466</v>
      </c>
    </row>
    <row r="27288" spans="2:9" ht="15" customHeight="1" x14ac:dyDescent="0.25">
      <c r="B27288" s="55" t="s">
        <v>397</v>
      </c>
      <c r="C27288" s="46">
        <v>5</v>
      </c>
      <c r="D27288" s="69" t="s">
        <v>29534</v>
      </c>
      <c r="E27288" s="62"/>
      <c r="F27288" s="62" t="str">
        <f>IF(INDEX(I.Gas.P2bY2ElectricityGeneration,5)="","",INDEX(I.Gas.P2bY2ElectricityGeneration,5))</f>
        <v/>
      </c>
      <c r="G27288" s="62"/>
      <c r="H27288" s="46" t="str">
        <f>IF(I.Developer.P2b=FALSE,"Complete",IF(I.Product.P2bGasToPowerStatus&lt;&gt;"Yes","Complete",IF(AND(I.Gas.P2bY2Count&gt;=5,F27288=""),"Incomplete","Complete")))</f>
        <v>Complete</v>
      </c>
      <c r="I27288" s="48" t="s">
        <v>2467</v>
      </c>
    </row>
    <row r="27289" spans="2:9" ht="15" customHeight="1" x14ac:dyDescent="0.25">
      <c r="B27289" s="55" t="s">
        <v>397</v>
      </c>
      <c r="C27289" s="46">
        <v>6</v>
      </c>
      <c r="D27289" s="69" t="s">
        <v>29534</v>
      </c>
      <c r="E27289" s="62"/>
      <c r="F27289" s="62" t="str">
        <f>IF(INDEX(I.Gas.P2bY2ElectricityGeneration,6)="","",INDEX(I.Gas.P2bY2ElectricityGeneration,6))</f>
        <v/>
      </c>
      <c r="G27289" s="62"/>
      <c r="H27289" s="46" t="str">
        <f>IF(I.Developer.P2b=FALSE,"Complete",IF(I.Product.P2bGasToPowerStatus&lt;&gt;"Yes","Complete",IF(AND(I.Gas.P2bY2Count&gt;=6,F27289=""),"Incomplete","Complete")))</f>
        <v>Complete</v>
      </c>
      <c r="I27289" s="48" t="s">
        <v>2468</v>
      </c>
    </row>
    <row r="27290" spans="2:9" ht="15" customHeight="1" x14ac:dyDescent="0.25">
      <c r="B27290" s="55" t="s">
        <v>397</v>
      </c>
      <c r="C27290" s="46">
        <v>7</v>
      </c>
      <c r="D27290" s="69" t="s">
        <v>29534</v>
      </c>
      <c r="E27290" s="62"/>
      <c r="F27290" s="62" t="str">
        <f>IF(INDEX(I.Gas.P2bY2ElectricityGeneration,7)="","",INDEX(I.Gas.P2bY2ElectricityGeneration,7))</f>
        <v/>
      </c>
      <c r="G27290" s="62"/>
      <c r="H27290" s="46" t="str">
        <f>IF(I.Developer.P2b=FALSE,"Complete",IF(I.Product.P2bGasToPowerStatus&lt;&gt;"Yes","Complete",IF(AND(I.Gas.P2bY2Count&gt;=7,F27290=""),"Incomplete","Complete")))</f>
        <v>Complete</v>
      </c>
      <c r="I27290" s="48" t="s">
        <v>2469</v>
      </c>
    </row>
    <row r="27291" spans="2:9" ht="15" customHeight="1" x14ac:dyDescent="0.25">
      <c r="B27291" s="55" t="s">
        <v>397</v>
      </c>
      <c r="C27291" s="46">
        <v>8</v>
      </c>
      <c r="D27291" s="69" t="s">
        <v>29534</v>
      </c>
      <c r="E27291" s="62"/>
      <c r="F27291" s="62" t="str">
        <f>IF(INDEX(I.Gas.P2bY2ElectricityGeneration,8)="","",INDEX(I.Gas.P2bY2ElectricityGeneration,8))</f>
        <v/>
      </c>
      <c r="G27291" s="62"/>
      <c r="H27291" s="46" t="str">
        <f>IF(I.Developer.P2b=FALSE,"Complete",IF(I.Product.P2bGasToPowerStatus&lt;&gt;"Yes","Complete",IF(AND(I.Gas.P2bY2Count&gt;=8,F27291=""),"Incomplete","Complete")))</f>
        <v>Complete</v>
      </c>
      <c r="I27291" s="48" t="s">
        <v>2470</v>
      </c>
    </row>
    <row r="27292" spans="2:9" ht="15" customHeight="1" x14ac:dyDescent="0.25">
      <c r="B27292" s="55" t="s">
        <v>397</v>
      </c>
      <c r="C27292" s="46">
        <v>9</v>
      </c>
      <c r="D27292" s="69" t="s">
        <v>29534</v>
      </c>
      <c r="E27292" s="62"/>
      <c r="F27292" s="62" t="str">
        <f>IF(INDEX(I.Gas.P2bY2ElectricityGeneration,9)="","",INDEX(I.Gas.P2bY2ElectricityGeneration,9))</f>
        <v/>
      </c>
      <c r="G27292" s="62"/>
      <c r="H27292" s="46" t="str">
        <f>IF(I.Developer.P2b=FALSE,"Complete",IF(I.Product.P2bGasToPowerStatus&lt;&gt;"Yes","Complete",IF(AND(I.Gas.P2bY2Count&gt;=9,F27292=""),"Incomplete","Complete")))</f>
        <v>Complete</v>
      </c>
      <c r="I27292" s="48" t="s">
        <v>2471</v>
      </c>
    </row>
    <row r="27293" spans="2:9" ht="15" customHeight="1" x14ac:dyDescent="0.25">
      <c r="B27293" s="55" t="s">
        <v>397</v>
      </c>
      <c r="C27293" s="46">
        <v>10</v>
      </c>
      <c r="D27293" s="69" t="s">
        <v>29534</v>
      </c>
      <c r="E27293" s="62"/>
      <c r="F27293" s="62" t="str">
        <f>IF(INDEX(I.Gas.P2bY2ElectricityGeneration,10)="","",INDEX(I.Gas.P2bY2ElectricityGeneration,10))</f>
        <v/>
      </c>
      <c r="G27293" s="62"/>
      <c r="H27293" s="46" t="str">
        <f>IF(I.Developer.P2b=FALSE,"Complete",IF(I.Product.P2bGasToPowerStatus&lt;&gt;"Yes","Complete",IF(AND(I.Gas.P2bY2Count&gt;=10,F27293=""),"Incomplete","Complete")))</f>
        <v>Complete</v>
      </c>
      <c r="I27293" s="48" t="s">
        <v>2472</v>
      </c>
    </row>
    <row r="27294" spans="2:9" ht="15" customHeight="1" x14ac:dyDescent="0.25">
      <c r="B27294" s="55" t="s">
        <v>397</v>
      </c>
      <c r="C27294" s="46">
        <v>11</v>
      </c>
      <c r="D27294" s="69" t="s">
        <v>29534</v>
      </c>
      <c r="E27294" s="62"/>
      <c r="F27294" s="62" t="str">
        <f>IF(INDEX(I.Gas.P2bY2ElectricityGeneration,11)="","",INDEX(I.Gas.P2bY2ElectricityGeneration,11))</f>
        <v/>
      </c>
      <c r="G27294" s="62"/>
      <c r="H27294" s="46" t="str">
        <f>IF(I.Developer.P2b=FALSE,"Complete",IF(I.Product.P2bGasToPowerStatus&lt;&gt;"Yes","Complete",IF(AND(I.Gas.P2bY2Count&gt;=11,F27294=""),"Incomplete","Complete")))</f>
        <v>Complete</v>
      </c>
      <c r="I27294" s="48" t="s">
        <v>2473</v>
      </c>
    </row>
    <row r="27295" spans="2:9" ht="15" customHeight="1" x14ac:dyDescent="0.25">
      <c r="B27295" s="55" t="s">
        <v>397</v>
      </c>
      <c r="C27295" s="46">
        <v>12</v>
      </c>
      <c r="D27295" s="69" t="s">
        <v>29534</v>
      </c>
      <c r="E27295" s="62"/>
      <c r="F27295" s="62" t="str">
        <f>IF(INDEX(I.Gas.P2bY2ElectricityGeneration,12)="","",INDEX(I.Gas.P2bY2ElectricityGeneration,12))</f>
        <v/>
      </c>
      <c r="G27295" s="62"/>
      <c r="H27295" s="46" t="str">
        <f>IF(I.Developer.P2b=FALSE,"Complete",IF(I.Product.P2bGasToPowerStatus&lt;&gt;"Yes","Complete",IF(AND(I.Gas.P2bY2Count&gt;=12,F27295=""),"Incomplete","Complete")))</f>
        <v>Complete</v>
      </c>
      <c r="I27295" s="48" t="s">
        <v>2474</v>
      </c>
    </row>
    <row r="27296" spans="2:9" ht="15" customHeight="1" x14ac:dyDescent="0.25">
      <c r="B27296" s="55" t="s">
        <v>397</v>
      </c>
      <c r="C27296" s="46">
        <v>13</v>
      </c>
      <c r="D27296" s="69" t="s">
        <v>29534</v>
      </c>
      <c r="E27296" s="62"/>
      <c r="F27296" s="62" t="str">
        <f>IF(INDEX(I.Gas.P2bY2ElectricityGeneration,13)="","",INDEX(I.Gas.P2bY2ElectricityGeneration,13))</f>
        <v/>
      </c>
      <c r="G27296" s="62"/>
      <c r="H27296" s="46" t="str">
        <f>IF(I.Developer.P2b=FALSE,"Complete",IF(I.Product.P2bGasToPowerStatus&lt;&gt;"Yes","Complete",IF(AND(I.Gas.P2bY2Count&gt;=13,F27296=""),"Incomplete","Complete")))</f>
        <v>Complete</v>
      </c>
      <c r="I27296" s="48" t="s">
        <v>2475</v>
      </c>
    </row>
    <row r="27297" spans="2:9" ht="15" customHeight="1" x14ac:dyDescent="0.25">
      <c r="B27297" s="55" t="s">
        <v>397</v>
      </c>
      <c r="C27297" s="46">
        <v>14</v>
      </c>
      <c r="D27297" s="69" t="s">
        <v>29534</v>
      </c>
      <c r="E27297" s="62"/>
      <c r="F27297" s="62" t="str">
        <f>IF(INDEX(I.Gas.P2bY2ElectricityGeneration,14)="","",INDEX(I.Gas.P2bY2ElectricityGeneration,14))</f>
        <v/>
      </c>
      <c r="G27297" s="62"/>
      <c r="H27297" s="46" t="str">
        <f>IF(I.Developer.P2b=FALSE,"Complete",IF(I.Product.P2bGasToPowerStatus&lt;&gt;"Yes","Complete",IF(AND(I.Gas.P2bY2Count&gt;=14,F27297=""),"Incomplete","Complete")))</f>
        <v>Complete</v>
      </c>
      <c r="I27297" s="48" t="s">
        <v>2476</v>
      </c>
    </row>
    <row r="27298" spans="2:9" ht="15" customHeight="1" x14ac:dyDescent="0.25">
      <c r="B27298" s="55" t="s">
        <v>397</v>
      </c>
      <c r="C27298" s="46">
        <v>15</v>
      </c>
      <c r="D27298" s="69" t="s">
        <v>29534</v>
      </c>
      <c r="E27298" s="62"/>
      <c r="F27298" s="62" t="str">
        <f>IF(INDEX(I.Gas.P2bY2ElectricityGeneration,15)="","",INDEX(I.Gas.P2bY2ElectricityGeneration,15))</f>
        <v/>
      </c>
      <c r="G27298" s="62"/>
      <c r="H27298" s="46" t="str">
        <f>IF(I.Developer.P2b=FALSE,"Complete",IF(I.Product.P2bGasToPowerStatus&lt;&gt;"Yes","Complete",IF(AND(I.Gas.P2bY2Count&gt;=15,F27298=""),"Incomplete","Complete")))</f>
        <v>Complete</v>
      </c>
      <c r="I27298" s="48" t="s">
        <v>2477</v>
      </c>
    </row>
    <row r="27299" spans="2:9" ht="15" customHeight="1" x14ac:dyDescent="0.25">
      <c r="B27299" s="55" t="s">
        <v>397</v>
      </c>
      <c r="C27299" s="46">
        <v>16</v>
      </c>
      <c r="D27299" s="69" t="s">
        <v>29534</v>
      </c>
      <c r="E27299" s="62"/>
      <c r="F27299" s="62" t="str">
        <f>IF(INDEX(I.Gas.P2bY2ElectricityGeneration,16)="","",INDEX(I.Gas.P2bY2ElectricityGeneration,16))</f>
        <v/>
      </c>
      <c r="G27299" s="62"/>
      <c r="H27299" s="46" t="str">
        <f>IF(I.Developer.P2b=FALSE,"Complete",IF(I.Product.P2bGasToPowerStatus&lt;&gt;"Yes","Complete",IF(AND(I.Gas.P2bY2Count&gt;=16,F27299=""),"Incomplete","Complete")))</f>
        <v>Complete</v>
      </c>
      <c r="I27299" s="48" t="s">
        <v>2478</v>
      </c>
    </row>
    <row r="27300" spans="2:9" ht="15" customHeight="1" x14ac:dyDescent="0.25">
      <c r="B27300" s="55" t="s">
        <v>397</v>
      </c>
      <c r="C27300" s="46">
        <v>17</v>
      </c>
      <c r="D27300" s="69" t="s">
        <v>29534</v>
      </c>
      <c r="E27300" s="62"/>
      <c r="F27300" s="62" t="str">
        <f>IF(INDEX(I.Gas.P2bY2ElectricityGeneration,17)="","",INDEX(I.Gas.P2bY2ElectricityGeneration,17))</f>
        <v/>
      </c>
      <c r="G27300" s="62"/>
      <c r="H27300" s="46" t="str">
        <f>IF(I.Developer.P2b=FALSE,"Complete",IF(I.Product.P2bGasToPowerStatus&lt;&gt;"Yes","Complete",IF(AND(I.Gas.P2bY2Count&gt;=17,F27300=""),"Incomplete","Complete")))</f>
        <v>Complete</v>
      </c>
      <c r="I27300" s="48" t="s">
        <v>2479</v>
      </c>
    </row>
    <row r="27301" spans="2:9" ht="15" customHeight="1" x14ac:dyDescent="0.25">
      <c r="B27301" s="55" t="s">
        <v>397</v>
      </c>
      <c r="C27301" s="46">
        <v>18</v>
      </c>
      <c r="D27301" s="69" t="s">
        <v>29534</v>
      </c>
      <c r="E27301" s="62"/>
      <c r="F27301" s="62" t="str">
        <f>IF(INDEX(I.Gas.P2bY2ElectricityGeneration,18)="","",INDEX(I.Gas.P2bY2ElectricityGeneration,18))</f>
        <v/>
      </c>
      <c r="G27301" s="62"/>
      <c r="H27301" s="46" t="str">
        <f>IF(I.Developer.P2b=FALSE,"Complete",IF(I.Product.P2bGasToPowerStatus&lt;&gt;"Yes","Complete",IF(AND(I.Gas.P2bY2Count&gt;=18,F27301=""),"Incomplete","Complete")))</f>
        <v>Complete</v>
      </c>
      <c r="I27301" s="48" t="s">
        <v>2480</v>
      </c>
    </row>
    <row r="27302" spans="2:9" ht="15" customHeight="1" x14ac:dyDescent="0.25">
      <c r="B27302" s="55" t="s">
        <v>397</v>
      </c>
      <c r="C27302" s="46">
        <v>19</v>
      </c>
      <c r="D27302" s="69" t="s">
        <v>29534</v>
      </c>
      <c r="E27302" s="62"/>
      <c r="F27302" s="62" t="str">
        <f>IF(INDEX(I.Gas.P2bY2ElectricityGeneration,19)="","",INDEX(I.Gas.P2bY2ElectricityGeneration,19))</f>
        <v/>
      </c>
      <c r="G27302" s="62"/>
      <c r="H27302" s="46" t="str">
        <f>IF(I.Developer.P2b=FALSE,"Complete",IF(I.Product.P2bGasToPowerStatus&lt;&gt;"Yes","Complete",IF(AND(I.Gas.P2bY2Count&gt;=19,F27302=""),"Incomplete","Complete")))</f>
        <v>Complete</v>
      </c>
      <c r="I27302" s="48" t="s">
        <v>2481</v>
      </c>
    </row>
    <row r="27303" spans="2:9" ht="15" customHeight="1" x14ac:dyDescent="0.25">
      <c r="B27303" s="55" t="s">
        <v>397</v>
      </c>
      <c r="C27303" s="46">
        <v>20</v>
      </c>
      <c r="D27303" s="69" t="s">
        <v>29534</v>
      </c>
      <c r="E27303" s="62"/>
      <c r="F27303" s="62" t="str">
        <f>IF(INDEX(I.Gas.P2bY2ElectricityGeneration,20)="","",INDEX(I.Gas.P2bY2ElectricityGeneration,20))</f>
        <v/>
      </c>
      <c r="G27303" s="62"/>
      <c r="H27303" s="46" t="str">
        <f>IF(I.Developer.P2b=FALSE,"Complete",IF(I.Product.P2bGasToPowerStatus&lt;&gt;"Yes","Complete",IF(AND(I.Gas.P2bY2Count&gt;=20,F27303=""),"Incomplete","Complete")))</f>
        <v>Complete</v>
      </c>
      <c r="I27303" s="48" t="s">
        <v>2482</v>
      </c>
    </row>
    <row r="27304" spans="2:9" ht="15" customHeight="1" x14ac:dyDescent="0.25">
      <c r="B27304" s="55" t="s">
        <v>397</v>
      </c>
      <c r="C27304" s="46">
        <v>21</v>
      </c>
      <c r="D27304" s="69" t="s">
        <v>29534</v>
      </c>
      <c r="E27304" s="62"/>
      <c r="F27304" s="62" t="str">
        <f>IF(INDEX(I.Gas.P2bY2ElectricityGeneration,21)="","",INDEX(I.Gas.P2bY2ElectricityGeneration,21))</f>
        <v/>
      </c>
      <c r="G27304" s="62"/>
      <c r="H27304" s="46" t="str">
        <f>IF(I.Developer.P2b=FALSE,"Complete",IF(I.Product.P2bGasToPowerStatus&lt;&gt;"Yes","Complete",IF(AND(I.Gas.P2bY2Count&gt;=21,F27304=""),"Incomplete","Complete")))</f>
        <v>Complete</v>
      </c>
      <c r="I27304" s="48" t="s">
        <v>2483</v>
      </c>
    </row>
    <row r="27305" spans="2:9" ht="15" customHeight="1" x14ac:dyDescent="0.25">
      <c r="B27305" s="55" t="s">
        <v>397</v>
      </c>
      <c r="C27305" s="46">
        <v>22</v>
      </c>
      <c r="D27305" s="69" t="s">
        <v>29534</v>
      </c>
      <c r="E27305" s="62"/>
      <c r="F27305" s="62" t="str">
        <f>IF(INDEX(I.Gas.P2bY2ElectricityGeneration,22)="","",INDEX(I.Gas.P2bY2ElectricityGeneration,22))</f>
        <v/>
      </c>
      <c r="G27305" s="62"/>
      <c r="H27305" s="46" t="str">
        <f>IF(I.Developer.P2b=FALSE,"Complete",IF(I.Product.P2bGasToPowerStatus&lt;&gt;"Yes","Complete",IF(AND(I.Gas.P2bY2Count&gt;=22,F27305=""),"Incomplete","Complete")))</f>
        <v>Complete</v>
      </c>
      <c r="I27305" s="48" t="s">
        <v>2484</v>
      </c>
    </row>
    <row r="27306" spans="2:9" ht="15" customHeight="1" x14ac:dyDescent="0.25">
      <c r="B27306" s="55" t="s">
        <v>397</v>
      </c>
      <c r="C27306" s="46">
        <v>23</v>
      </c>
      <c r="D27306" s="69" t="s">
        <v>29534</v>
      </c>
      <c r="E27306" s="62"/>
      <c r="F27306" s="62" t="str">
        <f>IF(INDEX(I.Gas.P2bY2ElectricityGeneration,23)="","",INDEX(I.Gas.P2bY2ElectricityGeneration,23))</f>
        <v/>
      </c>
      <c r="G27306" s="62"/>
      <c r="H27306" s="46" t="str">
        <f>IF(I.Developer.P2b=FALSE,"Complete",IF(I.Product.P2bGasToPowerStatus&lt;&gt;"Yes","Complete",IF(AND(I.Gas.P2bY2Count&gt;=23,F27306=""),"Incomplete","Complete")))</f>
        <v>Complete</v>
      </c>
      <c r="I27306" s="48" t="s">
        <v>2485</v>
      </c>
    </row>
    <row r="27307" spans="2:9" ht="15" customHeight="1" x14ac:dyDescent="0.25">
      <c r="B27307" s="55" t="s">
        <v>397</v>
      </c>
      <c r="C27307" s="46">
        <v>24</v>
      </c>
      <c r="D27307" s="69" t="s">
        <v>29534</v>
      </c>
      <c r="E27307" s="62"/>
      <c r="F27307" s="62" t="str">
        <f>IF(INDEX(I.Gas.P2bY2ElectricityGeneration,24)="","",INDEX(I.Gas.P2bY2ElectricityGeneration,24))</f>
        <v/>
      </c>
      <c r="G27307" s="62"/>
      <c r="H27307" s="46" t="str">
        <f>IF(I.Developer.P2b=FALSE,"Complete",IF(I.Product.P2bGasToPowerStatus&lt;&gt;"Yes","Complete",IF(AND(I.Gas.P2bY2Count&gt;=24,F27307=""),"Incomplete","Complete")))</f>
        <v>Complete</v>
      </c>
      <c r="I27307" s="48" t="s">
        <v>2486</v>
      </c>
    </row>
    <row r="27308" spans="2:9" ht="15" customHeight="1" x14ac:dyDescent="0.25">
      <c r="B27308" s="55" t="s">
        <v>397</v>
      </c>
      <c r="C27308" s="46">
        <v>25</v>
      </c>
      <c r="D27308" s="69" t="s">
        <v>29534</v>
      </c>
      <c r="E27308" s="62"/>
      <c r="F27308" s="62" t="str">
        <f>IF(INDEX(I.Gas.P2bY2ElectricityGeneration,25)="","",INDEX(I.Gas.P2bY2ElectricityGeneration,25))</f>
        <v/>
      </c>
      <c r="G27308" s="62"/>
      <c r="H27308" s="46" t="str">
        <f>IF(I.Developer.P2b=FALSE,"Complete",IF(I.Product.P2bGasToPowerStatus&lt;&gt;"Yes","Complete",IF(AND(I.Gas.P2bY2Count&gt;=25,F27308=""),"Incomplete","Complete")))</f>
        <v>Complete</v>
      </c>
      <c r="I27308" s="48" t="s">
        <v>2487</v>
      </c>
    </row>
    <row r="27309" spans="2:9" ht="15" customHeight="1" x14ac:dyDescent="0.25">
      <c r="B27309" s="55" t="s">
        <v>397</v>
      </c>
      <c r="C27309" s="46">
        <v>26</v>
      </c>
      <c r="D27309" s="69" t="s">
        <v>29534</v>
      </c>
      <c r="E27309" s="62"/>
      <c r="F27309" s="62" t="str">
        <f>IF(INDEX(I.Gas.P2bY2ElectricityGeneration,26)="","",INDEX(I.Gas.P2bY2ElectricityGeneration,26))</f>
        <v/>
      </c>
      <c r="G27309" s="62"/>
      <c r="H27309" s="46" t="str">
        <f>IF(I.Developer.P2b=FALSE,"Complete",IF(I.Product.P2bGasToPowerStatus&lt;&gt;"Yes","Complete",IF(AND(I.Gas.P2bY2Count&gt;=26,F27309=""),"Incomplete","Complete")))</f>
        <v>Complete</v>
      </c>
      <c r="I27309" s="48" t="s">
        <v>2488</v>
      </c>
    </row>
    <row r="27310" spans="2:9" ht="15" customHeight="1" x14ac:dyDescent="0.25">
      <c r="B27310" s="55" t="s">
        <v>397</v>
      </c>
      <c r="C27310" s="46">
        <v>27</v>
      </c>
      <c r="D27310" s="69" t="s">
        <v>29534</v>
      </c>
      <c r="E27310" s="62"/>
      <c r="F27310" s="62" t="str">
        <f>IF(INDEX(I.Gas.P2bY2ElectricityGeneration,27)="","",INDEX(I.Gas.P2bY2ElectricityGeneration,27))</f>
        <v/>
      </c>
      <c r="G27310" s="62"/>
      <c r="H27310" s="46" t="str">
        <f>IF(I.Developer.P2b=FALSE,"Complete",IF(I.Product.P2bGasToPowerStatus&lt;&gt;"Yes","Complete",IF(AND(I.Gas.P2bY2Count&gt;=27,F27310=""),"Incomplete","Complete")))</f>
        <v>Complete</v>
      </c>
      <c r="I27310" s="48" t="s">
        <v>2489</v>
      </c>
    </row>
    <row r="27311" spans="2:9" ht="15" customHeight="1" x14ac:dyDescent="0.25">
      <c r="B27311" s="55" t="s">
        <v>397</v>
      </c>
      <c r="C27311" s="46">
        <v>28</v>
      </c>
      <c r="D27311" s="69" t="s">
        <v>29534</v>
      </c>
      <c r="E27311" s="62"/>
      <c r="F27311" s="62" t="str">
        <f>IF(INDEX(I.Gas.P2bY2ElectricityGeneration,28)="","",INDEX(I.Gas.P2bY2ElectricityGeneration,28))</f>
        <v/>
      </c>
      <c r="G27311" s="62"/>
      <c r="H27311" s="46" t="str">
        <f>IF(I.Developer.P2b=FALSE,"Complete",IF(I.Product.P2bGasToPowerStatus&lt;&gt;"Yes","Complete",IF(AND(I.Gas.P2bY2Count&gt;=28,F27311=""),"Incomplete","Complete")))</f>
        <v>Complete</v>
      </c>
      <c r="I27311" s="48" t="s">
        <v>2490</v>
      </c>
    </row>
    <row r="27312" spans="2:9" ht="15" customHeight="1" x14ac:dyDescent="0.25">
      <c r="B27312" s="55" t="s">
        <v>397</v>
      </c>
      <c r="C27312" s="46">
        <v>29</v>
      </c>
      <c r="D27312" s="69" t="s">
        <v>29534</v>
      </c>
      <c r="E27312" s="62"/>
      <c r="F27312" s="62" t="str">
        <f>IF(INDEX(I.Gas.P2bY2ElectricityGeneration,29)="","",INDEX(I.Gas.P2bY2ElectricityGeneration,29))</f>
        <v/>
      </c>
      <c r="G27312" s="62"/>
      <c r="H27312" s="46" t="str">
        <f>IF(I.Developer.P2b=FALSE,"Complete",IF(I.Product.P2bGasToPowerStatus&lt;&gt;"Yes","Complete",IF(AND(I.Gas.P2bY2Count&gt;=29,F27312=""),"Incomplete","Complete")))</f>
        <v>Complete</v>
      </c>
      <c r="I27312" s="48" t="s">
        <v>2491</v>
      </c>
    </row>
    <row r="27313" spans="2:9" ht="15" customHeight="1" x14ac:dyDescent="0.25">
      <c r="B27313" s="55" t="s">
        <v>397</v>
      </c>
      <c r="C27313" s="46">
        <v>30</v>
      </c>
      <c r="D27313" s="69" t="s">
        <v>29534</v>
      </c>
      <c r="E27313" s="62"/>
      <c r="F27313" s="62" t="str">
        <f>IF(INDEX(I.Gas.P2bY2ElectricityGeneration,30)="","",INDEX(I.Gas.P2bY2ElectricityGeneration,30))</f>
        <v/>
      </c>
      <c r="G27313" s="62"/>
      <c r="H27313" s="46" t="str">
        <f>IF(I.Developer.P2b=FALSE,"Complete",IF(I.Product.P2bGasToPowerStatus&lt;&gt;"Yes","Complete",IF(AND(I.Gas.P2bY2Count&gt;=30,F27313=""),"Incomplete","Complete")))</f>
        <v>Complete</v>
      </c>
      <c r="I27313" s="48" t="s">
        <v>2492</v>
      </c>
    </row>
    <row r="27314" spans="2:9" ht="15" customHeight="1" x14ac:dyDescent="0.25">
      <c r="B27314" s="55" t="s">
        <v>397</v>
      </c>
      <c r="C27314" s="46">
        <v>31</v>
      </c>
      <c r="D27314" s="69" t="s">
        <v>29534</v>
      </c>
      <c r="E27314" s="62"/>
      <c r="F27314" s="62" t="str">
        <f>IF(INDEX(I.Gas.P2bY2ElectricityGeneration,31)="","",INDEX(I.Gas.P2bY2ElectricityGeneration,31))</f>
        <v/>
      </c>
      <c r="G27314" s="62"/>
      <c r="H27314" s="46" t="str">
        <f>IF(I.Developer.P2b=FALSE,"Complete",IF(I.Product.P2bGasToPowerStatus&lt;&gt;"Yes","Complete",IF(AND(I.Gas.P2bY2Count&gt;=31,F27314=""),"Incomplete","Complete")))</f>
        <v>Complete</v>
      </c>
      <c r="I27314" s="48" t="s">
        <v>2493</v>
      </c>
    </row>
    <row r="27315" spans="2:9" ht="15" customHeight="1" x14ac:dyDescent="0.25">
      <c r="B27315" s="55" t="s">
        <v>397</v>
      </c>
      <c r="C27315" s="46">
        <v>32</v>
      </c>
      <c r="D27315" s="69" t="s">
        <v>29534</v>
      </c>
      <c r="E27315" s="62"/>
      <c r="F27315" s="62" t="str">
        <f>IF(INDEX(I.Gas.P2bY2ElectricityGeneration,32)="","",INDEX(I.Gas.P2bY2ElectricityGeneration,32))</f>
        <v/>
      </c>
      <c r="G27315" s="62"/>
      <c r="H27315" s="46" t="str">
        <f>IF(I.Developer.P2b=FALSE,"Complete",IF(I.Product.P2bGasToPowerStatus&lt;&gt;"Yes","Complete",IF(AND(I.Gas.P2bY2Count&gt;=32,F27315=""),"Incomplete","Complete")))</f>
        <v>Complete</v>
      </c>
      <c r="I27315" s="48" t="s">
        <v>2494</v>
      </c>
    </row>
    <row r="27316" spans="2:9" ht="15" customHeight="1" x14ac:dyDescent="0.25">
      <c r="B27316" s="55" t="s">
        <v>397</v>
      </c>
      <c r="C27316" s="46">
        <v>33</v>
      </c>
      <c r="D27316" s="69" t="s">
        <v>29534</v>
      </c>
      <c r="E27316" s="62"/>
      <c r="F27316" s="62" t="str">
        <f>IF(INDEX(I.Gas.P2bY2ElectricityGeneration,33)="","",INDEX(I.Gas.P2bY2ElectricityGeneration,33))</f>
        <v/>
      </c>
      <c r="G27316" s="62"/>
      <c r="H27316" s="46" t="str">
        <f>IF(I.Developer.P2b=FALSE,"Complete",IF(I.Product.P2bGasToPowerStatus&lt;&gt;"Yes","Complete",IF(AND(I.Gas.P2bY2Count&gt;=33,F27316=""),"Incomplete","Complete")))</f>
        <v>Complete</v>
      </c>
      <c r="I27316" s="48" t="s">
        <v>2495</v>
      </c>
    </row>
    <row r="27317" spans="2:9" ht="15" customHeight="1" x14ac:dyDescent="0.25">
      <c r="B27317" s="55" t="s">
        <v>397</v>
      </c>
      <c r="C27317" s="46">
        <v>34</v>
      </c>
      <c r="D27317" s="69" t="s">
        <v>29534</v>
      </c>
      <c r="E27317" s="62"/>
      <c r="F27317" s="62" t="str">
        <f>IF(INDEX(I.Gas.P2bY2ElectricityGeneration,34)="","",INDEX(I.Gas.P2bY2ElectricityGeneration,34))</f>
        <v/>
      </c>
      <c r="G27317" s="62"/>
      <c r="H27317" s="46" t="str">
        <f>IF(I.Developer.P2b=FALSE,"Complete",IF(I.Product.P2bGasToPowerStatus&lt;&gt;"Yes","Complete",IF(AND(I.Gas.P2bY2Count&gt;=34,F27317=""),"Incomplete","Complete")))</f>
        <v>Complete</v>
      </c>
      <c r="I27317" s="48" t="s">
        <v>2496</v>
      </c>
    </row>
    <row r="27318" spans="2:9" ht="15" customHeight="1" x14ac:dyDescent="0.25">
      <c r="B27318" s="55" t="s">
        <v>397</v>
      </c>
      <c r="C27318" s="46">
        <v>35</v>
      </c>
      <c r="D27318" s="69" t="s">
        <v>29534</v>
      </c>
      <c r="E27318" s="62"/>
      <c r="F27318" s="62" t="str">
        <f>IF(INDEX(I.Gas.P2bY2ElectricityGeneration,35)="","",INDEX(I.Gas.P2bY2ElectricityGeneration,35))</f>
        <v/>
      </c>
      <c r="G27318" s="62"/>
      <c r="H27318" s="46" t="str">
        <f>IF(I.Developer.P2b=FALSE,"Complete",IF(I.Product.P2bGasToPowerStatus&lt;&gt;"Yes","Complete",IF(AND(I.Gas.P2bY2Count&gt;=35,F27318=""),"Incomplete","Complete")))</f>
        <v>Complete</v>
      </c>
      <c r="I27318" s="48" t="s">
        <v>2497</v>
      </c>
    </row>
    <row r="27319" spans="2:9" ht="15" customHeight="1" x14ac:dyDescent="0.25">
      <c r="B27319" s="55" t="s">
        <v>397</v>
      </c>
      <c r="C27319" s="46">
        <v>36</v>
      </c>
      <c r="D27319" s="69" t="s">
        <v>29534</v>
      </c>
      <c r="E27319" s="62"/>
      <c r="F27319" s="62" t="str">
        <f>IF(INDEX(I.Gas.P2bY2ElectricityGeneration,36)="","",INDEX(I.Gas.P2bY2ElectricityGeneration,36))</f>
        <v/>
      </c>
      <c r="G27319" s="62"/>
      <c r="H27319" s="46" t="str">
        <f>IF(I.Developer.P2b=FALSE,"Complete",IF(I.Product.P2bGasToPowerStatus&lt;&gt;"Yes","Complete",IF(AND(I.Gas.P2bY2Count&gt;=36,F27319=""),"Incomplete","Complete")))</f>
        <v>Complete</v>
      </c>
      <c r="I27319" s="48" t="s">
        <v>2498</v>
      </c>
    </row>
    <row r="27320" spans="2:9" ht="15" customHeight="1" x14ac:dyDescent="0.25">
      <c r="B27320" s="55" t="s">
        <v>397</v>
      </c>
      <c r="C27320" s="46">
        <v>37</v>
      </c>
      <c r="D27320" s="69" t="s">
        <v>29534</v>
      </c>
      <c r="E27320" s="62"/>
      <c r="F27320" s="62" t="str">
        <f>IF(INDEX(I.Gas.P2bY2ElectricityGeneration,37)="","",INDEX(I.Gas.P2bY2ElectricityGeneration,37))</f>
        <v/>
      </c>
      <c r="G27320" s="62"/>
      <c r="H27320" s="46" t="str">
        <f>IF(I.Developer.P2b=FALSE,"Complete",IF(I.Product.P2bGasToPowerStatus&lt;&gt;"Yes","Complete",IF(AND(I.Gas.P2bY2Count&gt;=37,F27320=""),"Incomplete","Complete")))</f>
        <v>Complete</v>
      </c>
      <c r="I27320" s="48" t="s">
        <v>2499</v>
      </c>
    </row>
    <row r="27321" spans="2:9" ht="15" customHeight="1" x14ac:dyDescent="0.25">
      <c r="B27321" s="55" t="s">
        <v>397</v>
      </c>
      <c r="C27321" s="46">
        <v>38</v>
      </c>
      <c r="D27321" s="69" t="s">
        <v>29534</v>
      </c>
      <c r="E27321" s="62"/>
      <c r="F27321" s="62" t="str">
        <f>IF(INDEX(I.Gas.P2bY2ElectricityGeneration,38)="","",INDEX(I.Gas.P2bY2ElectricityGeneration,38))</f>
        <v/>
      </c>
      <c r="G27321" s="62"/>
      <c r="H27321" s="46" t="str">
        <f>IF(I.Developer.P2b=FALSE,"Complete",IF(I.Product.P2bGasToPowerStatus&lt;&gt;"Yes","Complete",IF(AND(I.Gas.P2bY2Count&gt;=38,F27321=""),"Incomplete","Complete")))</f>
        <v>Complete</v>
      </c>
      <c r="I27321" s="48" t="s">
        <v>2500</v>
      </c>
    </row>
    <row r="27322" spans="2:9" ht="15" customHeight="1" x14ac:dyDescent="0.25">
      <c r="B27322" s="55" t="s">
        <v>397</v>
      </c>
      <c r="C27322" s="46">
        <v>39</v>
      </c>
      <c r="D27322" s="69" t="s">
        <v>29534</v>
      </c>
      <c r="E27322" s="62"/>
      <c r="F27322" s="62" t="str">
        <f>IF(INDEX(I.Gas.P2bY2ElectricityGeneration,39)="","",INDEX(I.Gas.P2bY2ElectricityGeneration,39))</f>
        <v/>
      </c>
      <c r="G27322" s="62"/>
      <c r="H27322" s="46" t="str">
        <f>IF(I.Developer.P2b=FALSE,"Complete",IF(I.Product.P2bGasToPowerStatus&lt;&gt;"Yes","Complete",IF(AND(I.Gas.P2bY2Count&gt;=39,F27322=""),"Incomplete","Complete")))</f>
        <v>Complete</v>
      </c>
      <c r="I27322" s="48" t="s">
        <v>2501</v>
      </c>
    </row>
    <row r="27323" spans="2:9" ht="15" customHeight="1" x14ac:dyDescent="0.25">
      <c r="B27323" s="55" t="s">
        <v>397</v>
      </c>
      <c r="C27323" s="46">
        <v>40</v>
      </c>
      <c r="D27323" s="69" t="s">
        <v>29534</v>
      </c>
      <c r="E27323" s="62"/>
      <c r="F27323" s="62" t="str">
        <f>IF(INDEX(I.Gas.P2bY2ElectricityGeneration,40)="","",INDEX(I.Gas.P2bY2ElectricityGeneration,40))</f>
        <v/>
      </c>
      <c r="G27323" s="62"/>
      <c r="H27323" s="46" t="str">
        <f>IF(I.Developer.P2b=FALSE,"Complete",IF(I.Product.P2bGasToPowerStatus&lt;&gt;"Yes","Complete",IF(AND(I.Gas.P2bY2Count&gt;=40,F27323=""),"Incomplete","Complete")))</f>
        <v>Complete</v>
      </c>
      <c r="I27323" s="48" t="s">
        <v>2502</v>
      </c>
    </row>
    <row r="27324" spans="2:9" ht="15" customHeight="1" x14ac:dyDescent="0.25">
      <c r="B27324" s="55" t="s">
        <v>397</v>
      </c>
      <c r="C27324" s="46">
        <v>41</v>
      </c>
      <c r="D27324" s="69" t="s">
        <v>29534</v>
      </c>
      <c r="E27324" s="62"/>
      <c r="F27324" s="62" t="str">
        <f>IF(INDEX(I.Gas.P2bY2ElectricityGeneration,41)="","",INDEX(I.Gas.P2bY2ElectricityGeneration,41))</f>
        <v/>
      </c>
      <c r="G27324" s="62"/>
      <c r="H27324" s="46" t="str">
        <f>IF(I.Developer.P2b=FALSE,"Complete",IF(I.Product.P2bGasToPowerStatus&lt;&gt;"Yes","Complete",IF(AND(I.Gas.P2bY2Count&gt;=41,F27324=""),"Incomplete","Complete")))</f>
        <v>Complete</v>
      </c>
      <c r="I27324" s="48" t="s">
        <v>2503</v>
      </c>
    </row>
    <row r="27325" spans="2:9" ht="15" customHeight="1" x14ac:dyDescent="0.25">
      <c r="B27325" s="55" t="s">
        <v>397</v>
      </c>
      <c r="C27325" s="46">
        <v>42</v>
      </c>
      <c r="D27325" s="69" t="s">
        <v>29534</v>
      </c>
      <c r="E27325" s="62"/>
      <c r="F27325" s="62" t="str">
        <f>IF(INDEX(I.Gas.P2bY2ElectricityGeneration,42)="","",INDEX(I.Gas.P2bY2ElectricityGeneration,42))</f>
        <v/>
      </c>
      <c r="G27325" s="62"/>
      <c r="H27325" s="46" t="str">
        <f>IF(I.Developer.P2b=FALSE,"Complete",IF(I.Product.P2bGasToPowerStatus&lt;&gt;"Yes","Complete",IF(AND(I.Gas.P2bY2Count&gt;=42,F27325=""),"Incomplete","Complete")))</f>
        <v>Complete</v>
      </c>
      <c r="I27325" s="48" t="s">
        <v>2504</v>
      </c>
    </row>
    <row r="27326" spans="2:9" ht="15" customHeight="1" x14ac:dyDescent="0.25">
      <c r="B27326" s="55" t="s">
        <v>397</v>
      </c>
      <c r="C27326" s="46">
        <v>43</v>
      </c>
      <c r="D27326" s="69" t="s">
        <v>29534</v>
      </c>
      <c r="E27326" s="62"/>
      <c r="F27326" s="62" t="str">
        <f>IF(INDEX(I.Gas.P2bY2ElectricityGeneration,43)="","",INDEX(I.Gas.P2bY2ElectricityGeneration,43))</f>
        <v/>
      </c>
      <c r="G27326" s="62"/>
      <c r="H27326" s="46" t="str">
        <f>IF(I.Developer.P2b=FALSE,"Complete",IF(I.Product.P2bGasToPowerStatus&lt;&gt;"Yes","Complete",IF(AND(I.Gas.P2bY2Count&gt;=43,F27326=""),"Incomplete","Complete")))</f>
        <v>Complete</v>
      </c>
      <c r="I27326" s="48" t="s">
        <v>2505</v>
      </c>
    </row>
    <row r="27327" spans="2:9" ht="15" customHeight="1" x14ac:dyDescent="0.25">
      <c r="B27327" s="55" t="s">
        <v>397</v>
      </c>
      <c r="C27327" s="46">
        <v>44</v>
      </c>
      <c r="D27327" s="69" t="s">
        <v>29534</v>
      </c>
      <c r="E27327" s="62"/>
      <c r="F27327" s="62" t="str">
        <f>IF(INDEX(I.Gas.P2bY2ElectricityGeneration,44)="","",INDEX(I.Gas.P2bY2ElectricityGeneration,44))</f>
        <v/>
      </c>
      <c r="G27327" s="62"/>
      <c r="H27327" s="46" t="str">
        <f>IF(I.Developer.P2b=FALSE,"Complete",IF(I.Product.P2bGasToPowerStatus&lt;&gt;"Yes","Complete",IF(AND(I.Gas.P2bY2Count&gt;=44,F27327=""),"Incomplete","Complete")))</f>
        <v>Complete</v>
      </c>
      <c r="I27327" s="48" t="s">
        <v>2506</v>
      </c>
    </row>
    <row r="27328" spans="2:9" ht="15" customHeight="1" x14ac:dyDescent="0.25">
      <c r="B27328" s="55" t="s">
        <v>397</v>
      </c>
      <c r="C27328" s="46">
        <v>45</v>
      </c>
      <c r="D27328" s="69" t="s">
        <v>29534</v>
      </c>
      <c r="E27328" s="62"/>
      <c r="F27328" s="62" t="str">
        <f>IF(INDEX(I.Gas.P2bY2ElectricityGeneration,45)="","",INDEX(I.Gas.P2bY2ElectricityGeneration,45))</f>
        <v/>
      </c>
      <c r="G27328" s="62"/>
      <c r="H27328" s="46" t="str">
        <f>IF(I.Developer.P2b=FALSE,"Complete",IF(I.Product.P2bGasToPowerStatus&lt;&gt;"Yes","Complete",IF(AND(I.Gas.P2bY2Count&gt;=45,F27328=""),"Incomplete","Complete")))</f>
        <v>Complete</v>
      </c>
      <c r="I27328" s="48" t="s">
        <v>2507</v>
      </c>
    </row>
    <row r="27329" spans="2:9" ht="15" customHeight="1" x14ac:dyDescent="0.25">
      <c r="B27329" s="55" t="s">
        <v>397</v>
      </c>
      <c r="C27329" s="46">
        <v>46</v>
      </c>
      <c r="D27329" s="69" t="s">
        <v>29534</v>
      </c>
      <c r="E27329" s="62"/>
      <c r="F27329" s="62" t="str">
        <f>IF(INDEX(I.Gas.P2bY2ElectricityGeneration,46)="","",INDEX(I.Gas.P2bY2ElectricityGeneration,46))</f>
        <v/>
      </c>
      <c r="G27329" s="62"/>
      <c r="H27329" s="46" t="str">
        <f>IF(I.Developer.P2b=FALSE,"Complete",IF(I.Product.P2bGasToPowerStatus&lt;&gt;"Yes","Complete",IF(AND(I.Gas.P2bY2Count&gt;=46,F27329=""),"Incomplete","Complete")))</f>
        <v>Complete</v>
      </c>
      <c r="I27329" s="48" t="s">
        <v>2508</v>
      </c>
    </row>
    <row r="27330" spans="2:9" ht="15" customHeight="1" x14ac:dyDescent="0.25">
      <c r="B27330" s="55" t="s">
        <v>397</v>
      </c>
      <c r="C27330" s="46">
        <v>47</v>
      </c>
      <c r="D27330" s="69" t="s">
        <v>29534</v>
      </c>
      <c r="E27330" s="62"/>
      <c r="F27330" s="62" t="str">
        <f>IF(INDEX(I.Gas.P2bY2ElectricityGeneration,47)="","",INDEX(I.Gas.P2bY2ElectricityGeneration,47))</f>
        <v/>
      </c>
      <c r="G27330" s="62"/>
      <c r="H27330" s="46" t="str">
        <f>IF(I.Developer.P2b=FALSE,"Complete",IF(I.Product.P2bGasToPowerStatus&lt;&gt;"Yes","Complete",IF(AND(I.Gas.P2bY2Count&gt;=47,F27330=""),"Incomplete","Complete")))</f>
        <v>Complete</v>
      </c>
      <c r="I27330" s="48" t="s">
        <v>2509</v>
      </c>
    </row>
    <row r="27331" spans="2:9" ht="15" customHeight="1" x14ac:dyDescent="0.25">
      <c r="B27331" s="55" t="s">
        <v>397</v>
      </c>
      <c r="C27331" s="46">
        <v>48</v>
      </c>
      <c r="D27331" s="69" t="s">
        <v>29534</v>
      </c>
      <c r="E27331" s="62"/>
      <c r="F27331" s="62" t="str">
        <f>IF(INDEX(I.Gas.P2bY2ElectricityGeneration,48)="","",INDEX(I.Gas.P2bY2ElectricityGeneration,48))</f>
        <v/>
      </c>
      <c r="G27331" s="62"/>
      <c r="H27331" s="46" t="str">
        <f>IF(I.Developer.P2b=FALSE,"Complete",IF(I.Product.P2bGasToPowerStatus&lt;&gt;"Yes","Complete",IF(AND(I.Gas.P2bY2Count&gt;=48,F27331=""),"Incomplete","Complete")))</f>
        <v>Complete</v>
      </c>
      <c r="I27331" s="48" t="s">
        <v>2510</v>
      </c>
    </row>
    <row r="27332" spans="2:9" ht="15" customHeight="1" x14ac:dyDescent="0.25">
      <c r="B27332" s="55" t="s">
        <v>397</v>
      </c>
      <c r="C27332" s="46">
        <v>49</v>
      </c>
      <c r="D27332" s="69" t="s">
        <v>29534</v>
      </c>
      <c r="E27332" s="62"/>
      <c r="F27332" s="62" t="str">
        <f>IF(INDEX(I.Gas.P2bY2ElectricityGeneration,49)="","",INDEX(I.Gas.P2bY2ElectricityGeneration,49))</f>
        <v/>
      </c>
      <c r="G27332" s="62"/>
      <c r="H27332" s="46" t="str">
        <f>IF(I.Developer.P2b=FALSE,"Complete",IF(I.Product.P2bGasToPowerStatus&lt;&gt;"Yes","Complete",IF(AND(I.Gas.P2bY2Count&gt;=49,F27332=""),"Incomplete","Complete")))</f>
        <v>Complete</v>
      </c>
      <c r="I27332" s="48" t="s">
        <v>2511</v>
      </c>
    </row>
    <row r="27333" spans="2:9" ht="15" customHeight="1" x14ac:dyDescent="0.25">
      <c r="B27333" s="56" t="s">
        <v>397</v>
      </c>
      <c r="C27333" s="57">
        <v>50</v>
      </c>
      <c r="D27333" s="71" t="s">
        <v>29534</v>
      </c>
      <c r="E27333" s="61"/>
      <c r="F27333" s="61" t="str">
        <f>IF(INDEX(I.Gas.P2bY2ElectricityGeneration,50)="","",INDEX(I.Gas.P2bY2ElectricityGeneration,50))</f>
        <v/>
      </c>
      <c r="G27333" s="61"/>
      <c r="H27333" s="57" t="str">
        <f>IF(I.Developer.P2b=FALSE,"Complete",IF(I.Product.P2bGasToPowerStatus&lt;&gt;"Yes","Complete",IF(AND(I.Gas.P2bY2Count&gt;=50,F27333=""),"Incomplete","Complete")))</f>
        <v>Complete</v>
      </c>
      <c r="I27333" s="49" t="s">
        <v>2512</v>
      </c>
    </row>
    <row r="27334" spans="2:9" ht="15" customHeight="1" x14ac:dyDescent="0.25">
      <c r="B27334" s="55" t="s">
        <v>398</v>
      </c>
      <c r="C27334" s="46">
        <v>1</v>
      </c>
      <c r="D27334" s="69" t="s">
        <v>29535</v>
      </c>
      <c r="E27334" s="62"/>
      <c r="F27334" s="62" t="str">
        <f>IF(INDEX(I.Gas.P2bY2C1V1,1)="","",INDEX(I.Gas.P2bY2C1V1,1))</f>
        <v/>
      </c>
      <c r="G27334" s="62"/>
      <c r="H27334" s="46" t="str">
        <f>IF(OR(I.Developer.P2b=FALSE,I.Facility.StandardPart&lt;&gt;"Part 2"),"Complete",IF(I.Product.P2bGasToPowerStatus&lt;&gt;"Yes","Complete",IF(AND(I.Gas.P2bY2Count&gt;=1,F27334=""),"Incomplete","Complete")))</f>
        <v>Complete</v>
      </c>
      <c r="I27334" s="48" t="s">
        <v>2513</v>
      </c>
    </row>
    <row r="27335" spans="2:9" ht="15" customHeight="1" x14ac:dyDescent="0.25">
      <c r="B27335" s="55" t="s">
        <v>398</v>
      </c>
      <c r="C27335" s="46">
        <v>2</v>
      </c>
      <c r="D27335" s="69" t="s">
        <v>29535</v>
      </c>
      <c r="E27335" s="62"/>
      <c r="F27335" s="62" t="str">
        <f>IF(INDEX(I.Gas.P2bY2C1V1,2)="","",INDEX(I.Gas.P2bY2C1V1,2))</f>
        <v/>
      </c>
      <c r="G27335" s="62"/>
      <c r="H27335" s="46" t="str">
        <f>IF(OR(I.Developer.P2b=FALSE,I.Facility.StandardPart&lt;&gt;"Part 2"),"Complete",IF(I.Product.P2bGasToPowerStatus&lt;&gt;"Yes","Complete",IF(AND(I.Gas.P2bY2Count&gt;=2,F27335=""),"Incomplete","Complete")))</f>
        <v>Complete</v>
      </c>
      <c r="I27335" s="48" t="s">
        <v>2514</v>
      </c>
    </row>
    <row r="27336" spans="2:9" ht="15" customHeight="1" x14ac:dyDescent="0.25">
      <c r="B27336" s="55" t="s">
        <v>398</v>
      </c>
      <c r="C27336" s="46">
        <v>3</v>
      </c>
      <c r="D27336" s="69" t="s">
        <v>29535</v>
      </c>
      <c r="E27336" s="62"/>
      <c r="F27336" s="62" t="str">
        <f>IF(INDEX(I.Gas.P2bY2C1V1,3)="","",INDEX(I.Gas.P2bY2C1V1,3))</f>
        <v/>
      </c>
      <c r="G27336" s="62"/>
      <c r="H27336" s="46" t="str">
        <f>IF(OR(I.Developer.P2b=FALSE,I.Facility.StandardPart&lt;&gt;"Part 2"),"Complete",IF(I.Product.P2bGasToPowerStatus&lt;&gt;"Yes","Complete",IF(AND(I.Gas.P2bY2Count&gt;=3,F27336=""),"Incomplete","Complete")))</f>
        <v>Complete</v>
      </c>
      <c r="I27336" s="48" t="s">
        <v>2515</v>
      </c>
    </row>
    <row r="27337" spans="2:9" ht="15" customHeight="1" x14ac:dyDescent="0.25">
      <c r="B27337" s="55" t="s">
        <v>398</v>
      </c>
      <c r="C27337" s="46">
        <v>4</v>
      </c>
      <c r="D27337" s="69" t="s">
        <v>29535</v>
      </c>
      <c r="E27337" s="62"/>
      <c r="F27337" s="62" t="str">
        <f>IF(INDEX(I.Gas.P2bY2C1V1,4)="","",INDEX(I.Gas.P2bY2C1V1,4))</f>
        <v/>
      </c>
      <c r="G27337" s="62"/>
      <c r="H27337" s="46" t="str">
        <f>IF(OR(I.Developer.P2b=FALSE,I.Facility.StandardPart&lt;&gt;"Part 2"),"Complete",IF(I.Product.P2bGasToPowerStatus&lt;&gt;"Yes","Complete",IF(AND(I.Gas.P2bY2Count&gt;=4,F27337=""),"Incomplete","Complete")))</f>
        <v>Complete</v>
      </c>
      <c r="I27337" s="48" t="s">
        <v>2516</v>
      </c>
    </row>
    <row r="27338" spans="2:9" ht="15" customHeight="1" x14ac:dyDescent="0.25">
      <c r="B27338" s="55" t="s">
        <v>398</v>
      </c>
      <c r="C27338" s="46">
        <v>5</v>
      </c>
      <c r="D27338" s="69" t="s">
        <v>29535</v>
      </c>
      <c r="E27338" s="62"/>
      <c r="F27338" s="62" t="str">
        <f>IF(INDEX(I.Gas.P2bY2C1V1,5)="","",INDEX(I.Gas.P2bY2C1V1,5))</f>
        <v/>
      </c>
      <c r="G27338" s="62"/>
      <c r="H27338" s="46" t="str">
        <f>IF(OR(I.Developer.P2b=FALSE,I.Facility.StandardPart&lt;&gt;"Part 2"),"Complete",IF(I.Product.P2bGasToPowerStatus&lt;&gt;"Yes","Complete",IF(AND(I.Gas.P2bY2Count&gt;=5,F27338=""),"Incomplete","Complete")))</f>
        <v>Complete</v>
      </c>
      <c r="I27338" s="48" t="s">
        <v>2517</v>
      </c>
    </row>
    <row r="27339" spans="2:9" ht="15" customHeight="1" x14ac:dyDescent="0.25">
      <c r="B27339" s="55" t="s">
        <v>398</v>
      </c>
      <c r="C27339" s="46">
        <v>6</v>
      </c>
      <c r="D27339" s="69" t="s">
        <v>29535</v>
      </c>
      <c r="E27339" s="62"/>
      <c r="F27339" s="62" t="str">
        <f>IF(INDEX(I.Gas.P2bY2C1V1,6)="","",INDEX(I.Gas.P2bY2C1V1,6))</f>
        <v/>
      </c>
      <c r="G27339" s="62"/>
      <c r="H27339" s="46" t="str">
        <f>IF(OR(I.Developer.P2b=FALSE,I.Facility.StandardPart&lt;&gt;"Part 2"),"Complete",IF(I.Product.P2bGasToPowerStatus&lt;&gt;"Yes","Complete",IF(AND(I.Gas.P2bY2Count&gt;=6,F27339=""),"Incomplete","Complete")))</f>
        <v>Complete</v>
      </c>
      <c r="I27339" s="48" t="s">
        <v>2518</v>
      </c>
    </row>
    <row r="27340" spans="2:9" ht="15" customHeight="1" x14ac:dyDescent="0.25">
      <c r="B27340" s="55" t="s">
        <v>398</v>
      </c>
      <c r="C27340" s="46">
        <v>7</v>
      </c>
      <c r="D27340" s="69" t="s">
        <v>29535</v>
      </c>
      <c r="E27340" s="62"/>
      <c r="F27340" s="62" t="str">
        <f>IF(INDEX(I.Gas.P2bY2C1V1,7)="","",INDEX(I.Gas.P2bY2C1V1,7))</f>
        <v/>
      </c>
      <c r="G27340" s="62"/>
      <c r="H27340" s="46" t="str">
        <f>IF(OR(I.Developer.P2b=FALSE,I.Facility.StandardPart&lt;&gt;"Part 2"),"Complete",IF(I.Product.P2bGasToPowerStatus&lt;&gt;"Yes","Complete",IF(AND(I.Gas.P2bY2Count&gt;=7,F27340=""),"Incomplete","Complete")))</f>
        <v>Complete</v>
      </c>
      <c r="I27340" s="48" t="s">
        <v>2519</v>
      </c>
    </row>
    <row r="27341" spans="2:9" ht="15" customHeight="1" x14ac:dyDescent="0.25">
      <c r="B27341" s="55" t="s">
        <v>398</v>
      </c>
      <c r="C27341" s="46">
        <v>8</v>
      </c>
      <c r="D27341" s="69" t="s">
        <v>29535</v>
      </c>
      <c r="E27341" s="62"/>
      <c r="F27341" s="62" t="str">
        <f>IF(INDEX(I.Gas.P2bY2C1V1,8)="","",INDEX(I.Gas.P2bY2C1V1,8))</f>
        <v/>
      </c>
      <c r="G27341" s="62"/>
      <c r="H27341" s="46" t="str">
        <f>IF(OR(I.Developer.P2b=FALSE,I.Facility.StandardPart&lt;&gt;"Part 2"),"Complete",IF(I.Product.P2bGasToPowerStatus&lt;&gt;"Yes","Complete",IF(AND(I.Gas.P2bY2Count&gt;=8,F27341=""),"Incomplete","Complete")))</f>
        <v>Complete</v>
      </c>
      <c r="I27341" s="48" t="s">
        <v>2520</v>
      </c>
    </row>
    <row r="27342" spans="2:9" ht="15" customHeight="1" x14ac:dyDescent="0.25">
      <c r="B27342" s="55" t="s">
        <v>398</v>
      </c>
      <c r="C27342" s="46">
        <v>9</v>
      </c>
      <c r="D27342" s="69" t="s">
        <v>29535</v>
      </c>
      <c r="E27342" s="62"/>
      <c r="F27342" s="62" t="str">
        <f>IF(INDEX(I.Gas.P2bY2C1V1,9)="","",INDEX(I.Gas.P2bY2C1V1,9))</f>
        <v/>
      </c>
      <c r="G27342" s="62"/>
      <c r="H27342" s="46" t="str">
        <f>IF(OR(I.Developer.P2b=FALSE,I.Facility.StandardPart&lt;&gt;"Part 2"),"Complete",IF(I.Product.P2bGasToPowerStatus&lt;&gt;"Yes","Complete",IF(AND(I.Gas.P2bY2Count&gt;=9,F27342=""),"Incomplete","Complete")))</f>
        <v>Complete</v>
      </c>
      <c r="I27342" s="48" t="s">
        <v>2521</v>
      </c>
    </row>
    <row r="27343" spans="2:9" ht="15" customHeight="1" x14ac:dyDescent="0.25">
      <c r="B27343" s="55" t="s">
        <v>398</v>
      </c>
      <c r="C27343" s="46">
        <v>10</v>
      </c>
      <c r="D27343" s="69" t="s">
        <v>29535</v>
      </c>
      <c r="E27343" s="62"/>
      <c r="F27343" s="62" t="str">
        <f>IF(INDEX(I.Gas.P2bY2C1V1,10)="","",INDEX(I.Gas.P2bY2C1V1,10))</f>
        <v/>
      </c>
      <c r="G27343" s="62"/>
      <c r="H27343" s="46" t="str">
        <f>IF(OR(I.Developer.P2b=FALSE,I.Facility.StandardPart&lt;&gt;"Part 2"),"Complete",IF(I.Product.P2bGasToPowerStatus&lt;&gt;"Yes","Complete",IF(AND(I.Gas.P2bY2Count&gt;=10,F27343=""),"Incomplete","Complete")))</f>
        <v>Complete</v>
      </c>
      <c r="I27343" s="48" t="s">
        <v>2522</v>
      </c>
    </row>
    <row r="27344" spans="2:9" ht="15" customHeight="1" x14ac:dyDescent="0.25">
      <c r="B27344" s="55" t="s">
        <v>398</v>
      </c>
      <c r="C27344" s="46">
        <v>11</v>
      </c>
      <c r="D27344" s="69" t="s">
        <v>29535</v>
      </c>
      <c r="E27344" s="62"/>
      <c r="F27344" s="62" t="str">
        <f>IF(INDEX(I.Gas.P2bY2C1V1,11)="","",INDEX(I.Gas.P2bY2C1V1,11))</f>
        <v/>
      </c>
      <c r="G27344" s="62"/>
      <c r="H27344" s="46" t="str">
        <f>IF(OR(I.Developer.P2b=FALSE,I.Facility.StandardPart&lt;&gt;"Part 2"),"Complete",IF(I.Product.P2bGasToPowerStatus&lt;&gt;"Yes","Complete",IF(AND(I.Gas.P2bY2Count&gt;=11,F27344=""),"Incomplete","Complete")))</f>
        <v>Complete</v>
      </c>
      <c r="I27344" s="48" t="s">
        <v>2523</v>
      </c>
    </row>
    <row r="27345" spans="2:9" ht="15" customHeight="1" x14ac:dyDescent="0.25">
      <c r="B27345" s="55" t="s">
        <v>398</v>
      </c>
      <c r="C27345" s="46">
        <v>12</v>
      </c>
      <c r="D27345" s="69" t="s">
        <v>29535</v>
      </c>
      <c r="E27345" s="62"/>
      <c r="F27345" s="62" t="str">
        <f>IF(INDEX(I.Gas.P2bY2C1V1,12)="","",INDEX(I.Gas.P2bY2C1V1,12))</f>
        <v/>
      </c>
      <c r="G27345" s="62"/>
      <c r="H27345" s="46" t="str">
        <f>IF(OR(I.Developer.P2b=FALSE,I.Facility.StandardPart&lt;&gt;"Part 2"),"Complete",IF(I.Product.P2bGasToPowerStatus&lt;&gt;"Yes","Complete",IF(AND(I.Gas.P2bY2Count&gt;=12,F27345=""),"Incomplete","Complete")))</f>
        <v>Complete</v>
      </c>
      <c r="I27345" s="48" t="s">
        <v>2524</v>
      </c>
    </row>
    <row r="27346" spans="2:9" ht="15" customHeight="1" x14ac:dyDescent="0.25">
      <c r="B27346" s="55" t="s">
        <v>398</v>
      </c>
      <c r="C27346" s="46">
        <v>13</v>
      </c>
      <c r="D27346" s="69" t="s">
        <v>29535</v>
      </c>
      <c r="E27346" s="62"/>
      <c r="F27346" s="62" t="str">
        <f>IF(INDEX(I.Gas.P2bY2C1V1,13)="","",INDEX(I.Gas.P2bY2C1V1,13))</f>
        <v/>
      </c>
      <c r="G27346" s="62"/>
      <c r="H27346" s="46" t="str">
        <f>IF(OR(I.Developer.P2b=FALSE,I.Facility.StandardPart&lt;&gt;"Part 2"),"Complete",IF(I.Product.P2bGasToPowerStatus&lt;&gt;"Yes","Complete",IF(AND(I.Gas.P2bY2Count&gt;=13,F27346=""),"Incomplete","Complete")))</f>
        <v>Complete</v>
      </c>
      <c r="I27346" s="48" t="s">
        <v>2525</v>
      </c>
    </row>
    <row r="27347" spans="2:9" ht="15" customHeight="1" x14ac:dyDescent="0.25">
      <c r="B27347" s="55" t="s">
        <v>398</v>
      </c>
      <c r="C27347" s="46">
        <v>14</v>
      </c>
      <c r="D27347" s="69" t="s">
        <v>29535</v>
      </c>
      <c r="E27347" s="62"/>
      <c r="F27347" s="62" t="str">
        <f>IF(INDEX(I.Gas.P2bY2C1V1,14)="","",INDEX(I.Gas.P2bY2C1V1,14))</f>
        <v/>
      </c>
      <c r="G27347" s="62"/>
      <c r="H27347" s="46" t="str">
        <f>IF(OR(I.Developer.P2b=FALSE,I.Facility.StandardPart&lt;&gt;"Part 2"),"Complete",IF(I.Product.P2bGasToPowerStatus&lt;&gt;"Yes","Complete",IF(AND(I.Gas.P2bY2Count&gt;=14,F27347=""),"Incomplete","Complete")))</f>
        <v>Complete</v>
      </c>
      <c r="I27347" s="48" t="s">
        <v>2526</v>
      </c>
    </row>
    <row r="27348" spans="2:9" ht="15" customHeight="1" x14ac:dyDescent="0.25">
      <c r="B27348" s="55" t="s">
        <v>398</v>
      </c>
      <c r="C27348" s="46">
        <v>15</v>
      </c>
      <c r="D27348" s="69" t="s">
        <v>29535</v>
      </c>
      <c r="E27348" s="62"/>
      <c r="F27348" s="62" t="str">
        <f>IF(INDEX(I.Gas.P2bY2C1V1,15)="","",INDEX(I.Gas.P2bY2C1V1,15))</f>
        <v/>
      </c>
      <c r="G27348" s="62"/>
      <c r="H27348" s="46" t="str">
        <f>IF(OR(I.Developer.P2b=FALSE,I.Facility.StandardPart&lt;&gt;"Part 2"),"Complete",IF(I.Product.P2bGasToPowerStatus&lt;&gt;"Yes","Complete",IF(AND(I.Gas.P2bY2Count&gt;=15,F27348=""),"Incomplete","Complete")))</f>
        <v>Complete</v>
      </c>
      <c r="I27348" s="48" t="s">
        <v>2527</v>
      </c>
    </row>
    <row r="27349" spans="2:9" ht="15" customHeight="1" x14ac:dyDescent="0.25">
      <c r="B27349" s="55" t="s">
        <v>398</v>
      </c>
      <c r="C27349" s="46">
        <v>16</v>
      </c>
      <c r="D27349" s="69" t="s">
        <v>29535</v>
      </c>
      <c r="E27349" s="62"/>
      <c r="F27349" s="62" t="str">
        <f>IF(INDEX(I.Gas.P2bY2C1V1,16)="","",INDEX(I.Gas.P2bY2C1V1,16))</f>
        <v/>
      </c>
      <c r="G27349" s="62"/>
      <c r="H27349" s="46" t="str">
        <f>IF(OR(I.Developer.P2b=FALSE,I.Facility.StandardPart&lt;&gt;"Part 2"),"Complete",IF(I.Product.P2bGasToPowerStatus&lt;&gt;"Yes","Complete",IF(AND(I.Gas.P2bY2Count&gt;=16,F27349=""),"Incomplete","Complete")))</f>
        <v>Complete</v>
      </c>
      <c r="I27349" s="48" t="s">
        <v>2528</v>
      </c>
    </row>
    <row r="27350" spans="2:9" ht="15" customHeight="1" x14ac:dyDescent="0.25">
      <c r="B27350" s="55" t="s">
        <v>398</v>
      </c>
      <c r="C27350" s="46">
        <v>17</v>
      </c>
      <c r="D27350" s="69" t="s">
        <v>29535</v>
      </c>
      <c r="E27350" s="62"/>
      <c r="F27350" s="62" t="str">
        <f>IF(INDEX(I.Gas.P2bY2C1V1,17)="","",INDEX(I.Gas.P2bY2C1V1,17))</f>
        <v/>
      </c>
      <c r="G27350" s="62"/>
      <c r="H27350" s="46" t="str">
        <f>IF(OR(I.Developer.P2b=FALSE,I.Facility.StandardPart&lt;&gt;"Part 2"),"Complete",IF(I.Product.P2bGasToPowerStatus&lt;&gt;"Yes","Complete",IF(AND(I.Gas.P2bY2Count&gt;=17,F27350=""),"Incomplete","Complete")))</f>
        <v>Complete</v>
      </c>
      <c r="I27350" s="48" t="s">
        <v>2529</v>
      </c>
    </row>
    <row r="27351" spans="2:9" ht="15" customHeight="1" x14ac:dyDescent="0.25">
      <c r="B27351" s="55" t="s">
        <v>398</v>
      </c>
      <c r="C27351" s="46">
        <v>18</v>
      </c>
      <c r="D27351" s="69" t="s">
        <v>29535</v>
      </c>
      <c r="E27351" s="62"/>
      <c r="F27351" s="62" t="str">
        <f>IF(INDEX(I.Gas.P2bY2C1V1,18)="","",INDEX(I.Gas.P2bY2C1V1,18))</f>
        <v/>
      </c>
      <c r="G27351" s="62"/>
      <c r="H27351" s="46" t="str">
        <f>IF(OR(I.Developer.P2b=FALSE,I.Facility.StandardPart&lt;&gt;"Part 2"),"Complete",IF(I.Product.P2bGasToPowerStatus&lt;&gt;"Yes","Complete",IF(AND(I.Gas.P2bY2Count&gt;=18,F27351=""),"Incomplete","Complete")))</f>
        <v>Complete</v>
      </c>
      <c r="I27351" s="48" t="s">
        <v>2530</v>
      </c>
    </row>
    <row r="27352" spans="2:9" ht="15" customHeight="1" x14ac:dyDescent="0.25">
      <c r="B27352" s="55" t="s">
        <v>398</v>
      </c>
      <c r="C27352" s="46">
        <v>19</v>
      </c>
      <c r="D27352" s="69" t="s">
        <v>29535</v>
      </c>
      <c r="E27352" s="62"/>
      <c r="F27352" s="62" t="str">
        <f>IF(INDEX(I.Gas.P2bY2C1V1,19)="","",INDEX(I.Gas.P2bY2C1V1,19))</f>
        <v/>
      </c>
      <c r="G27352" s="62"/>
      <c r="H27352" s="46" t="str">
        <f>IF(OR(I.Developer.P2b=FALSE,I.Facility.StandardPart&lt;&gt;"Part 2"),"Complete",IF(I.Product.P2bGasToPowerStatus&lt;&gt;"Yes","Complete",IF(AND(I.Gas.P2bY2Count&gt;=19,F27352=""),"Incomplete","Complete")))</f>
        <v>Complete</v>
      </c>
      <c r="I27352" s="48" t="s">
        <v>2531</v>
      </c>
    </row>
    <row r="27353" spans="2:9" ht="15" customHeight="1" x14ac:dyDescent="0.25">
      <c r="B27353" s="55" t="s">
        <v>398</v>
      </c>
      <c r="C27353" s="46">
        <v>20</v>
      </c>
      <c r="D27353" s="69" t="s">
        <v>29535</v>
      </c>
      <c r="E27353" s="62"/>
      <c r="F27353" s="62" t="str">
        <f>IF(INDEX(I.Gas.P2bY2C1V1,20)="","",INDEX(I.Gas.P2bY2C1V1,20))</f>
        <v/>
      </c>
      <c r="G27353" s="62"/>
      <c r="H27353" s="46" t="str">
        <f>IF(OR(I.Developer.P2b=FALSE,I.Facility.StandardPart&lt;&gt;"Part 2"),"Complete",IF(I.Product.P2bGasToPowerStatus&lt;&gt;"Yes","Complete",IF(AND(I.Gas.P2bY2Count&gt;=20,F27353=""),"Incomplete","Complete")))</f>
        <v>Complete</v>
      </c>
      <c r="I27353" s="48" t="s">
        <v>2532</v>
      </c>
    </row>
    <row r="27354" spans="2:9" ht="15" customHeight="1" x14ac:dyDescent="0.25">
      <c r="B27354" s="55" t="s">
        <v>398</v>
      </c>
      <c r="C27354" s="46">
        <v>21</v>
      </c>
      <c r="D27354" s="69" t="s">
        <v>29535</v>
      </c>
      <c r="E27354" s="62"/>
      <c r="F27354" s="62" t="str">
        <f>IF(INDEX(I.Gas.P2bY2C1V1,21)="","",INDEX(I.Gas.P2bY2C1V1,21))</f>
        <v/>
      </c>
      <c r="G27354" s="62"/>
      <c r="H27354" s="46" t="str">
        <f>IF(OR(I.Developer.P2b=FALSE,I.Facility.StandardPart&lt;&gt;"Part 2"),"Complete",IF(I.Product.P2bGasToPowerStatus&lt;&gt;"Yes","Complete",IF(AND(I.Gas.P2bY2Count&gt;=21,F27354=""),"Incomplete","Complete")))</f>
        <v>Complete</v>
      </c>
      <c r="I27354" s="48" t="s">
        <v>2533</v>
      </c>
    </row>
    <row r="27355" spans="2:9" ht="15" customHeight="1" x14ac:dyDescent="0.25">
      <c r="B27355" s="55" t="s">
        <v>398</v>
      </c>
      <c r="C27355" s="46">
        <v>22</v>
      </c>
      <c r="D27355" s="69" t="s">
        <v>29535</v>
      </c>
      <c r="E27355" s="62"/>
      <c r="F27355" s="62" t="str">
        <f>IF(INDEX(I.Gas.P2bY2C1V1,22)="","",INDEX(I.Gas.P2bY2C1V1,22))</f>
        <v/>
      </c>
      <c r="G27355" s="62"/>
      <c r="H27355" s="46" t="str">
        <f>IF(OR(I.Developer.P2b=FALSE,I.Facility.StandardPart&lt;&gt;"Part 2"),"Complete",IF(I.Product.P2bGasToPowerStatus&lt;&gt;"Yes","Complete",IF(AND(I.Gas.P2bY2Count&gt;=22,F27355=""),"Incomplete","Complete")))</f>
        <v>Complete</v>
      </c>
      <c r="I27355" s="48" t="s">
        <v>2534</v>
      </c>
    </row>
    <row r="27356" spans="2:9" ht="15" customHeight="1" x14ac:dyDescent="0.25">
      <c r="B27356" s="55" t="s">
        <v>398</v>
      </c>
      <c r="C27356" s="46">
        <v>23</v>
      </c>
      <c r="D27356" s="69" t="s">
        <v>29535</v>
      </c>
      <c r="E27356" s="62"/>
      <c r="F27356" s="62" t="str">
        <f>IF(INDEX(I.Gas.P2bY2C1V1,23)="","",INDEX(I.Gas.P2bY2C1V1,23))</f>
        <v/>
      </c>
      <c r="G27356" s="62"/>
      <c r="H27356" s="46" t="str">
        <f>IF(OR(I.Developer.P2b=FALSE,I.Facility.StandardPart&lt;&gt;"Part 2"),"Complete",IF(I.Product.P2bGasToPowerStatus&lt;&gt;"Yes","Complete",IF(AND(I.Gas.P2bY2Count&gt;=23,F27356=""),"Incomplete","Complete")))</f>
        <v>Complete</v>
      </c>
      <c r="I27356" s="48" t="s">
        <v>2535</v>
      </c>
    </row>
    <row r="27357" spans="2:9" ht="15" customHeight="1" x14ac:dyDescent="0.25">
      <c r="B27357" s="55" t="s">
        <v>398</v>
      </c>
      <c r="C27357" s="46">
        <v>24</v>
      </c>
      <c r="D27357" s="69" t="s">
        <v>29535</v>
      </c>
      <c r="E27357" s="62"/>
      <c r="F27357" s="62" t="str">
        <f>IF(INDEX(I.Gas.P2bY2C1V1,24)="","",INDEX(I.Gas.P2bY2C1V1,24))</f>
        <v/>
      </c>
      <c r="G27357" s="62"/>
      <c r="H27357" s="46" t="str">
        <f>IF(OR(I.Developer.P2b=FALSE,I.Facility.StandardPart&lt;&gt;"Part 2"),"Complete",IF(I.Product.P2bGasToPowerStatus&lt;&gt;"Yes","Complete",IF(AND(I.Gas.P2bY2Count&gt;=24,F27357=""),"Incomplete","Complete")))</f>
        <v>Complete</v>
      </c>
      <c r="I27357" s="48" t="s">
        <v>2536</v>
      </c>
    </row>
    <row r="27358" spans="2:9" ht="15" customHeight="1" x14ac:dyDescent="0.25">
      <c r="B27358" s="55" t="s">
        <v>398</v>
      </c>
      <c r="C27358" s="46">
        <v>25</v>
      </c>
      <c r="D27358" s="69" t="s">
        <v>29535</v>
      </c>
      <c r="E27358" s="62"/>
      <c r="F27358" s="62" t="str">
        <f>IF(INDEX(I.Gas.P2bY2C1V1,25)="","",INDEX(I.Gas.P2bY2C1V1,25))</f>
        <v/>
      </c>
      <c r="G27358" s="62"/>
      <c r="H27358" s="46" t="str">
        <f>IF(OR(I.Developer.P2b=FALSE,I.Facility.StandardPart&lt;&gt;"Part 2"),"Complete",IF(I.Product.P2bGasToPowerStatus&lt;&gt;"Yes","Complete",IF(AND(I.Gas.P2bY2Count&gt;=25,F27358=""),"Incomplete","Complete")))</f>
        <v>Complete</v>
      </c>
      <c r="I27358" s="48" t="s">
        <v>2537</v>
      </c>
    </row>
    <row r="27359" spans="2:9" ht="15" customHeight="1" x14ac:dyDescent="0.25">
      <c r="B27359" s="55" t="s">
        <v>398</v>
      </c>
      <c r="C27359" s="46">
        <v>26</v>
      </c>
      <c r="D27359" s="69" t="s">
        <v>29535</v>
      </c>
      <c r="E27359" s="62"/>
      <c r="F27359" s="62" t="str">
        <f>IF(INDEX(I.Gas.P2bY2C1V1,26)="","",INDEX(I.Gas.P2bY2C1V1,26))</f>
        <v/>
      </c>
      <c r="G27359" s="62"/>
      <c r="H27359" s="46" t="str">
        <f>IF(OR(I.Developer.P2b=FALSE,I.Facility.StandardPart&lt;&gt;"Part 2"),"Complete",IF(I.Product.P2bGasToPowerStatus&lt;&gt;"Yes","Complete",IF(AND(I.Gas.P2bY2Count&gt;=26,F27359=""),"Incomplete","Complete")))</f>
        <v>Complete</v>
      </c>
      <c r="I27359" s="48" t="s">
        <v>2538</v>
      </c>
    </row>
    <row r="27360" spans="2:9" ht="15" customHeight="1" x14ac:dyDescent="0.25">
      <c r="B27360" s="55" t="s">
        <v>398</v>
      </c>
      <c r="C27360" s="46">
        <v>27</v>
      </c>
      <c r="D27360" s="69" t="s">
        <v>29535</v>
      </c>
      <c r="E27360" s="62"/>
      <c r="F27360" s="62" t="str">
        <f>IF(INDEX(I.Gas.P2bY2C1V1,27)="","",INDEX(I.Gas.P2bY2C1V1,27))</f>
        <v/>
      </c>
      <c r="G27360" s="62"/>
      <c r="H27360" s="46" t="str">
        <f>IF(OR(I.Developer.P2b=FALSE,I.Facility.StandardPart&lt;&gt;"Part 2"),"Complete",IF(I.Product.P2bGasToPowerStatus&lt;&gt;"Yes","Complete",IF(AND(I.Gas.P2bY2Count&gt;=27,F27360=""),"Incomplete","Complete")))</f>
        <v>Complete</v>
      </c>
      <c r="I27360" s="48" t="s">
        <v>2539</v>
      </c>
    </row>
    <row r="27361" spans="2:9" ht="15" customHeight="1" x14ac:dyDescent="0.25">
      <c r="B27361" s="55" t="s">
        <v>398</v>
      </c>
      <c r="C27361" s="46">
        <v>28</v>
      </c>
      <c r="D27361" s="69" t="s">
        <v>29535</v>
      </c>
      <c r="E27361" s="62"/>
      <c r="F27361" s="62" t="str">
        <f>IF(INDEX(I.Gas.P2bY2C1V1,28)="","",INDEX(I.Gas.P2bY2C1V1,28))</f>
        <v/>
      </c>
      <c r="G27361" s="62"/>
      <c r="H27361" s="46" t="str">
        <f>IF(OR(I.Developer.P2b=FALSE,I.Facility.StandardPart&lt;&gt;"Part 2"),"Complete",IF(I.Product.P2bGasToPowerStatus&lt;&gt;"Yes","Complete",IF(AND(I.Gas.P2bY2Count&gt;=28,F27361=""),"Incomplete","Complete")))</f>
        <v>Complete</v>
      </c>
      <c r="I27361" s="48" t="s">
        <v>2540</v>
      </c>
    </row>
    <row r="27362" spans="2:9" ht="15" customHeight="1" x14ac:dyDescent="0.25">
      <c r="B27362" s="55" t="s">
        <v>398</v>
      </c>
      <c r="C27362" s="46">
        <v>29</v>
      </c>
      <c r="D27362" s="69" t="s">
        <v>29535</v>
      </c>
      <c r="E27362" s="62"/>
      <c r="F27362" s="62" t="str">
        <f>IF(INDEX(I.Gas.P2bY2C1V1,29)="","",INDEX(I.Gas.P2bY2C1V1,29))</f>
        <v/>
      </c>
      <c r="G27362" s="62"/>
      <c r="H27362" s="46" t="str">
        <f>IF(OR(I.Developer.P2b=FALSE,I.Facility.StandardPart&lt;&gt;"Part 2"),"Complete",IF(I.Product.P2bGasToPowerStatus&lt;&gt;"Yes","Complete",IF(AND(I.Gas.P2bY2Count&gt;=29,F27362=""),"Incomplete","Complete")))</f>
        <v>Complete</v>
      </c>
      <c r="I27362" s="48" t="s">
        <v>2541</v>
      </c>
    </row>
    <row r="27363" spans="2:9" ht="15" customHeight="1" x14ac:dyDescent="0.25">
      <c r="B27363" s="55" t="s">
        <v>398</v>
      </c>
      <c r="C27363" s="46">
        <v>30</v>
      </c>
      <c r="D27363" s="69" t="s">
        <v>29535</v>
      </c>
      <c r="E27363" s="62"/>
      <c r="F27363" s="62" t="str">
        <f>IF(INDEX(I.Gas.P2bY2C1V1,30)="","",INDEX(I.Gas.P2bY2C1V1,30))</f>
        <v/>
      </c>
      <c r="G27363" s="62"/>
      <c r="H27363" s="46" t="str">
        <f>IF(OR(I.Developer.P2b=FALSE,I.Facility.StandardPart&lt;&gt;"Part 2"),"Complete",IF(I.Product.P2bGasToPowerStatus&lt;&gt;"Yes","Complete",IF(AND(I.Gas.P2bY2Count&gt;=30,F27363=""),"Incomplete","Complete")))</f>
        <v>Complete</v>
      </c>
      <c r="I27363" s="48" t="s">
        <v>2542</v>
      </c>
    </row>
    <row r="27364" spans="2:9" ht="15" customHeight="1" x14ac:dyDescent="0.25">
      <c r="B27364" s="55" t="s">
        <v>398</v>
      </c>
      <c r="C27364" s="46">
        <v>31</v>
      </c>
      <c r="D27364" s="69" t="s">
        <v>29535</v>
      </c>
      <c r="E27364" s="62"/>
      <c r="F27364" s="62" t="str">
        <f>IF(INDEX(I.Gas.P2bY2C1V1,31)="","",INDEX(I.Gas.P2bY2C1V1,31))</f>
        <v/>
      </c>
      <c r="G27364" s="62"/>
      <c r="H27364" s="46" t="str">
        <f>IF(OR(I.Developer.P2b=FALSE,I.Facility.StandardPart&lt;&gt;"Part 2"),"Complete",IF(I.Product.P2bGasToPowerStatus&lt;&gt;"Yes","Complete",IF(AND(I.Gas.P2bY2Count&gt;=31,F27364=""),"Incomplete","Complete")))</f>
        <v>Complete</v>
      </c>
      <c r="I27364" s="48" t="s">
        <v>2543</v>
      </c>
    </row>
    <row r="27365" spans="2:9" ht="15" customHeight="1" x14ac:dyDescent="0.25">
      <c r="B27365" s="55" t="s">
        <v>398</v>
      </c>
      <c r="C27365" s="46">
        <v>32</v>
      </c>
      <c r="D27365" s="69" t="s">
        <v>29535</v>
      </c>
      <c r="E27365" s="62"/>
      <c r="F27365" s="62" t="str">
        <f>IF(INDEX(I.Gas.P2bY2C1V1,32)="","",INDEX(I.Gas.P2bY2C1V1,32))</f>
        <v/>
      </c>
      <c r="G27365" s="62"/>
      <c r="H27365" s="46" t="str">
        <f>IF(OR(I.Developer.P2b=FALSE,I.Facility.StandardPart&lt;&gt;"Part 2"),"Complete",IF(I.Product.P2bGasToPowerStatus&lt;&gt;"Yes","Complete",IF(AND(I.Gas.P2bY2Count&gt;=32,F27365=""),"Incomplete","Complete")))</f>
        <v>Complete</v>
      </c>
      <c r="I27365" s="48" t="s">
        <v>2544</v>
      </c>
    </row>
    <row r="27366" spans="2:9" ht="15" customHeight="1" x14ac:dyDescent="0.25">
      <c r="B27366" s="55" t="s">
        <v>398</v>
      </c>
      <c r="C27366" s="46">
        <v>33</v>
      </c>
      <c r="D27366" s="69" t="s">
        <v>29535</v>
      </c>
      <c r="E27366" s="62"/>
      <c r="F27366" s="62" t="str">
        <f>IF(INDEX(I.Gas.P2bY2C1V1,33)="","",INDEX(I.Gas.P2bY2C1V1,33))</f>
        <v/>
      </c>
      <c r="G27366" s="62"/>
      <c r="H27366" s="46" t="str">
        <f>IF(OR(I.Developer.P2b=FALSE,I.Facility.StandardPart&lt;&gt;"Part 2"),"Complete",IF(I.Product.P2bGasToPowerStatus&lt;&gt;"Yes","Complete",IF(AND(I.Gas.P2bY2Count&gt;=33,F27366=""),"Incomplete","Complete")))</f>
        <v>Complete</v>
      </c>
      <c r="I27366" s="48" t="s">
        <v>2545</v>
      </c>
    </row>
    <row r="27367" spans="2:9" ht="15" customHeight="1" x14ac:dyDescent="0.25">
      <c r="B27367" s="55" t="s">
        <v>398</v>
      </c>
      <c r="C27367" s="46">
        <v>34</v>
      </c>
      <c r="D27367" s="69" t="s">
        <v>29535</v>
      </c>
      <c r="E27367" s="62"/>
      <c r="F27367" s="62" t="str">
        <f>IF(INDEX(I.Gas.P2bY2C1V1,34)="","",INDEX(I.Gas.P2bY2C1V1,34))</f>
        <v/>
      </c>
      <c r="G27367" s="62"/>
      <c r="H27367" s="46" t="str">
        <f>IF(OR(I.Developer.P2b=FALSE,I.Facility.StandardPart&lt;&gt;"Part 2"),"Complete",IF(I.Product.P2bGasToPowerStatus&lt;&gt;"Yes","Complete",IF(AND(I.Gas.P2bY2Count&gt;=34,F27367=""),"Incomplete","Complete")))</f>
        <v>Complete</v>
      </c>
      <c r="I27367" s="48" t="s">
        <v>2546</v>
      </c>
    </row>
    <row r="27368" spans="2:9" ht="15" customHeight="1" x14ac:dyDescent="0.25">
      <c r="B27368" s="55" t="s">
        <v>398</v>
      </c>
      <c r="C27368" s="46">
        <v>35</v>
      </c>
      <c r="D27368" s="69" t="s">
        <v>29535</v>
      </c>
      <c r="E27368" s="62"/>
      <c r="F27368" s="62" t="str">
        <f>IF(INDEX(I.Gas.P2bY2C1V1,35)="","",INDEX(I.Gas.P2bY2C1V1,35))</f>
        <v/>
      </c>
      <c r="G27368" s="62"/>
      <c r="H27368" s="46" t="str">
        <f>IF(OR(I.Developer.P2b=FALSE,I.Facility.StandardPart&lt;&gt;"Part 2"),"Complete",IF(I.Product.P2bGasToPowerStatus&lt;&gt;"Yes","Complete",IF(AND(I.Gas.P2bY2Count&gt;=35,F27368=""),"Incomplete","Complete")))</f>
        <v>Complete</v>
      </c>
      <c r="I27368" s="48" t="s">
        <v>2547</v>
      </c>
    </row>
    <row r="27369" spans="2:9" ht="15" customHeight="1" x14ac:dyDescent="0.25">
      <c r="B27369" s="55" t="s">
        <v>398</v>
      </c>
      <c r="C27369" s="46">
        <v>36</v>
      </c>
      <c r="D27369" s="69" t="s">
        <v>29535</v>
      </c>
      <c r="E27369" s="62"/>
      <c r="F27369" s="62" t="str">
        <f>IF(INDEX(I.Gas.P2bY2C1V1,36)="","",INDEX(I.Gas.P2bY2C1V1,36))</f>
        <v/>
      </c>
      <c r="G27369" s="62"/>
      <c r="H27369" s="46" t="str">
        <f>IF(OR(I.Developer.P2b=FALSE,I.Facility.StandardPart&lt;&gt;"Part 2"),"Complete",IF(I.Product.P2bGasToPowerStatus&lt;&gt;"Yes","Complete",IF(AND(I.Gas.P2bY2Count&gt;=36,F27369=""),"Incomplete","Complete")))</f>
        <v>Complete</v>
      </c>
      <c r="I27369" s="48" t="s">
        <v>2548</v>
      </c>
    </row>
    <row r="27370" spans="2:9" ht="15" customHeight="1" x14ac:dyDescent="0.25">
      <c r="B27370" s="55" t="s">
        <v>398</v>
      </c>
      <c r="C27370" s="46">
        <v>37</v>
      </c>
      <c r="D27370" s="69" t="s">
        <v>29535</v>
      </c>
      <c r="E27370" s="62"/>
      <c r="F27370" s="62" t="str">
        <f>IF(INDEX(I.Gas.P2bY2C1V1,37)="","",INDEX(I.Gas.P2bY2C1V1,37))</f>
        <v/>
      </c>
      <c r="G27370" s="62"/>
      <c r="H27370" s="46" t="str">
        <f>IF(OR(I.Developer.P2b=FALSE,I.Facility.StandardPart&lt;&gt;"Part 2"),"Complete",IF(I.Product.P2bGasToPowerStatus&lt;&gt;"Yes","Complete",IF(AND(I.Gas.P2bY2Count&gt;=37,F27370=""),"Incomplete","Complete")))</f>
        <v>Complete</v>
      </c>
      <c r="I27370" s="48" t="s">
        <v>2549</v>
      </c>
    </row>
    <row r="27371" spans="2:9" ht="15" customHeight="1" x14ac:dyDescent="0.25">
      <c r="B27371" s="55" t="s">
        <v>398</v>
      </c>
      <c r="C27371" s="46">
        <v>38</v>
      </c>
      <c r="D27371" s="69" t="s">
        <v>29535</v>
      </c>
      <c r="E27371" s="62"/>
      <c r="F27371" s="62" t="str">
        <f>IF(INDEX(I.Gas.P2bY2C1V1,38)="","",INDEX(I.Gas.P2bY2C1V1,38))</f>
        <v/>
      </c>
      <c r="G27371" s="62"/>
      <c r="H27371" s="46" t="str">
        <f>IF(OR(I.Developer.P2b=FALSE,I.Facility.StandardPart&lt;&gt;"Part 2"),"Complete",IF(I.Product.P2bGasToPowerStatus&lt;&gt;"Yes","Complete",IF(AND(I.Gas.P2bY2Count&gt;=38,F27371=""),"Incomplete","Complete")))</f>
        <v>Complete</v>
      </c>
      <c r="I27371" s="48" t="s">
        <v>2550</v>
      </c>
    </row>
    <row r="27372" spans="2:9" ht="15" customHeight="1" x14ac:dyDescent="0.25">
      <c r="B27372" s="55" t="s">
        <v>398</v>
      </c>
      <c r="C27372" s="46">
        <v>39</v>
      </c>
      <c r="D27372" s="69" t="s">
        <v>29535</v>
      </c>
      <c r="E27372" s="62"/>
      <c r="F27372" s="62" t="str">
        <f>IF(INDEX(I.Gas.P2bY2C1V1,39)="","",INDEX(I.Gas.P2bY2C1V1,39))</f>
        <v/>
      </c>
      <c r="G27372" s="62"/>
      <c r="H27372" s="46" t="str">
        <f>IF(OR(I.Developer.P2b=FALSE,I.Facility.StandardPart&lt;&gt;"Part 2"),"Complete",IF(I.Product.P2bGasToPowerStatus&lt;&gt;"Yes","Complete",IF(AND(I.Gas.P2bY2Count&gt;=39,F27372=""),"Incomplete","Complete")))</f>
        <v>Complete</v>
      </c>
      <c r="I27372" s="48" t="s">
        <v>2551</v>
      </c>
    </row>
    <row r="27373" spans="2:9" ht="15" customHeight="1" x14ac:dyDescent="0.25">
      <c r="B27373" s="55" t="s">
        <v>398</v>
      </c>
      <c r="C27373" s="46">
        <v>40</v>
      </c>
      <c r="D27373" s="69" t="s">
        <v>29535</v>
      </c>
      <c r="E27373" s="62"/>
      <c r="F27373" s="62" t="str">
        <f>IF(INDEX(I.Gas.P2bY2C1V1,40)="","",INDEX(I.Gas.P2bY2C1V1,40))</f>
        <v/>
      </c>
      <c r="G27373" s="62"/>
      <c r="H27373" s="46" t="str">
        <f>IF(OR(I.Developer.P2b=FALSE,I.Facility.StandardPart&lt;&gt;"Part 2"),"Complete",IF(I.Product.P2bGasToPowerStatus&lt;&gt;"Yes","Complete",IF(AND(I.Gas.P2bY2Count&gt;=40,F27373=""),"Incomplete","Complete")))</f>
        <v>Complete</v>
      </c>
      <c r="I27373" s="48" t="s">
        <v>2552</v>
      </c>
    </row>
    <row r="27374" spans="2:9" ht="15" customHeight="1" x14ac:dyDescent="0.25">
      <c r="B27374" s="55" t="s">
        <v>398</v>
      </c>
      <c r="C27374" s="46">
        <v>41</v>
      </c>
      <c r="D27374" s="69" t="s">
        <v>29535</v>
      </c>
      <c r="E27374" s="62"/>
      <c r="F27374" s="62" t="str">
        <f>IF(INDEX(I.Gas.P2bY2C1V1,41)="","",INDEX(I.Gas.P2bY2C1V1,41))</f>
        <v/>
      </c>
      <c r="G27374" s="62"/>
      <c r="H27374" s="46" t="str">
        <f>IF(OR(I.Developer.P2b=FALSE,I.Facility.StandardPart&lt;&gt;"Part 2"),"Complete",IF(I.Product.P2bGasToPowerStatus&lt;&gt;"Yes","Complete",IF(AND(I.Gas.P2bY2Count&gt;=41,F27374=""),"Incomplete","Complete")))</f>
        <v>Complete</v>
      </c>
      <c r="I27374" s="48" t="s">
        <v>2553</v>
      </c>
    </row>
    <row r="27375" spans="2:9" ht="15" customHeight="1" x14ac:dyDescent="0.25">
      <c r="B27375" s="55" t="s">
        <v>398</v>
      </c>
      <c r="C27375" s="46">
        <v>42</v>
      </c>
      <c r="D27375" s="69" t="s">
        <v>29535</v>
      </c>
      <c r="E27375" s="62"/>
      <c r="F27375" s="62" t="str">
        <f>IF(INDEX(I.Gas.P2bY2C1V1,42)="","",INDEX(I.Gas.P2bY2C1V1,42))</f>
        <v/>
      </c>
      <c r="G27375" s="62"/>
      <c r="H27375" s="46" t="str">
        <f>IF(OR(I.Developer.P2b=FALSE,I.Facility.StandardPart&lt;&gt;"Part 2"),"Complete",IF(I.Product.P2bGasToPowerStatus&lt;&gt;"Yes","Complete",IF(AND(I.Gas.P2bY2Count&gt;=42,F27375=""),"Incomplete","Complete")))</f>
        <v>Complete</v>
      </c>
      <c r="I27375" s="48" t="s">
        <v>2554</v>
      </c>
    </row>
    <row r="27376" spans="2:9" ht="15" customHeight="1" x14ac:dyDescent="0.25">
      <c r="B27376" s="55" t="s">
        <v>398</v>
      </c>
      <c r="C27376" s="46">
        <v>43</v>
      </c>
      <c r="D27376" s="69" t="s">
        <v>29535</v>
      </c>
      <c r="E27376" s="62"/>
      <c r="F27376" s="62" t="str">
        <f>IF(INDEX(I.Gas.P2bY2C1V1,43)="","",INDEX(I.Gas.P2bY2C1V1,43))</f>
        <v/>
      </c>
      <c r="G27376" s="62"/>
      <c r="H27376" s="46" t="str">
        <f>IF(OR(I.Developer.P2b=FALSE,I.Facility.StandardPart&lt;&gt;"Part 2"),"Complete",IF(I.Product.P2bGasToPowerStatus&lt;&gt;"Yes","Complete",IF(AND(I.Gas.P2bY2Count&gt;=43,F27376=""),"Incomplete","Complete")))</f>
        <v>Complete</v>
      </c>
      <c r="I27376" s="48" t="s">
        <v>2555</v>
      </c>
    </row>
    <row r="27377" spans="2:9" ht="15" customHeight="1" x14ac:dyDescent="0.25">
      <c r="B27377" s="55" t="s">
        <v>398</v>
      </c>
      <c r="C27377" s="46">
        <v>44</v>
      </c>
      <c r="D27377" s="69" t="s">
        <v>29535</v>
      </c>
      <c r="E27377" s="62"/>
      <c r="F27377" s="62" t="str">
        <f>IF(INDEX(I.Gas.P2bY2C1V1,44)="","",INDEX(I.Gas.P2bY2C1V1,44))</f>
        <v/>
      </c>
      <c r="G27377" s="62"/>
      <c r="H27377" s="46" t="str">
        <f>IF(OR(I.Developer.P2b=FALSE,I.Facility.StandardPart&lt;&gt;"Part 2"),"Complete",IF(I.Product.P2bGasToPowerStatus&lt;&gt;"Yes","Complete",IF(AND(I.Gas.P2bY2Count&gt;=44,F27377=""),"Incomplete","Complete")))</f>
        <v>Complete</v>
      </c>
      <c r="I27377" s="48" t="s">
        <v>2556</v>
      </c>
    </row>
    <row r="27378" spans="2:9" ht="15" customHeight="1" x14ac:dyDescent="0.25">
      <c r="B27378" s="55" t="s">
        <v>398</v>
      </c>
      <c r="C27378" s="46">
        <v>45</v>
      </c>
      <c r="D27378" s="69" t="s">
        <v>29535</v>
      </c>
      <c r="E27378" s="62"/>
      <c r="F27378" s="62" t="str">
        <f>IF(INDEX(I.Gas.P2bY2C1V1,45)="","",INDEX(I.Gas.P2bY2C1V1,45))</f>
        <v/>
      </c>
      <c r="G27378" s="62"/>
      <c r="H27378" s="46" t="str">
        <f>IF(OR(I.Developer.P2b=FALSE,I.Facility.StandardPart&lt;&gt;"Part 2"),"Complete",IF(I.Product.P2bGasToPowerStatus&lt;&gt;"Yes","Complete",IF(AND(I.Gas.P2bY2Count&gt;=45,F27378=""),"Incomplete","Complete")))</f>
        <v>Complete</v>
      </c>
      <c r="I27378" s="48" t="s">
        <v>2557</v>
      </c>
    </row>
    <row r="27379" spans="2:9" ht="15" customHeight="1" x14ac:dyDescent="0.25">
      <c r="B27379" s="55" t="s">
        <v>398</v>
      </c>
      <c r="C27379" s="46">
        <v>46</v>
      </c>
      <c r="D27379" s="69" t="s">
        <v>29535</v>
      </c>
      <c r="E27379" s="62"/>
      <c r="F27379" s="62" t="str">
        <f>IF(INDEX(I.Gas.P2bY2C1V1,46)="","",INDEX(I.Gas.P2bY2C1V1,46))</f>
        <v/>
      </c>
      <c r="G27379" s="62"/>
      <c r="H27379" s="46" t="str">
        <f>IF(OR(I.Developer.P2b=FALSE,I.Facility.StandardPart&lt;&gt;"Part 2"),"Complete",IF(I.Product.P2bGasToPowerStatus&lt;&gt;"Yes","Complete",IF(AND(I.Gas.P2bY2Count&gt;=46,F27379=""),"Incomplete","Complete")))</f>
        <v>Complete</v>
      </c>
      <c r="I27379" s="48" t="s">
        <v>2558</v>
      </c>
    </row>
    <row r="27380" spans="2:9" ht="15" customHeight="1" x14ac:dyDescent="0.25">
      <c r="B27380" s="55" t="s">
        <v>398</v>
      </c>
      <c r="C27380" s="46">
        <v>47</v>
      </c>
      <c r="D27380" s="69" t="s">
        <v>29535</v>
      </c>
      <c r="E27380" s="62"/>
      <c r="F27380" s="62" t="str">
        <f>IF(INDEX(I.Gas.P2bY2C1V1,47)="","",INDEX(I.Gas.P2bY2C1V1,47))</f>
        <v/>
      </c>
      <c r="G27380" s="62"/>
      <c r="H27380" s="46" t="str">
        <f>IF(OR(I.Developer.P2b=FALSE,I.Facility.StandardPart&lt;&gt;"Part 2"),"Complete",IF(I.Product.P2bGasToPowerStatus&lt;&gt;"Yes","Complete",IF(AND(I.Gas.P2bY2Count&gt;=47,F27380=""),"Incomplete","Complete")))</f>
        <v>Complete</v>
      </c>
      <c r="I27380" s="48" t="s">
        <v>2559</v>
      </c>
    </row>
    <row r="27381" spans="2:9" ht="15" customHeight="1" x14ac:dyDescent="0.25">
      <c r="B27381" s="55" t="s">
        <v>398</v>
      </c>
      <c r="C27381" s="46">
        <v>48</v>
      </c>
      <c r="D27381" s="69" t="s">
        <v>29535</v>
      </c>
      <c r="E27381" s="62"/>
      <c r="F27381" s="62" t="str">
        <f>IF(INDEX(I.Gas.P2bY2C1V1,48)="","",INDEX(I.Gas.P2bY2C1V1,48))</f>
        <v/>
      </c>
      <c r="G27381" s="62"/>
      <c r="H27381" s="46" t="str">
        <f>IF(OR(I.Developer.P2b=FALSE,I.Facility.StandardPart&lt;&gt;"Part 2"),"Complete",IF(I.Product.P2bGasToPowerStatus&lt;&gt;"Yes","Complete",IF(AND(I.Gas.P2bY2Count&gt;=48,F27381=""),"Incomplete","Complete")))</f>
        <v>Complete</v>
      </c>
      <c r="I27381" s="48" t="s">
        <v>2560</v>
      </c>
    </row>
    <row r="27382" spans="2:9" ht="15" customHeight="1" x14ac:dyDescent="0.25">
      <c r="B27382" s="55" t="s">
        <v>398</v>
      </c>
      <c r="C27382" s="46">
        <v>49</v>
      </c>
      <c r="D27382" s="69" t="s">
        <v>29535</v>
      </c>
      <c r="E27382" s="62"/>
      <c r="F27382" s="62" t="str">
        <f>IF(INDEX(I.Gas.P2bY2C1V1,49)="","",INDEX(I.Gas.P2bY2C1V1,49))</f>
        <v/>
      </c>
      <c r="G27382" s="62"/>
      <c r="H27382" s="46" t="str">
        <f>IF(OR(I.Developer.P2b=FALSE,I.Facility.StandardPart&lt;&gt;"Part 2"),"Complete",IF(I.Product.P2bGasToPowerStatus&lt;&gt;"Yes","Complete",IF(AND(I.Gas.P2bY2Count&gt;=49,F27382=""),"Incomplete","Complete")))</f>
        <v>Complete</v>
      </c>
      <c r="I27382" s="48" t="s">
        <v>2561</v>
      </c>
    </row>
    <row r="27383" spans="2:9" ht="15" customHeight="1" x14ac:dyDescent="0.25">
      <c r="B27383" s="56" t="s">
        <v>398</v>
      </c>
      <c r="C27383" s="57">
        <v>50</v>
      </c>
      <c r="D27383" s="71" t="s">
        <v>29535</v>
      </c>
      <c r="E27383" s="61"/>
      <c r="F27383" s="61" t="str">
        <f>IF(INDEX(I.Gas.P2bY2C1V1,50)="","",INDEX(I.Gas.P2bY2C1V1,50))</f>
        <v/>
      </c>
      <c r="G27383" s="61"/>
      <c r="H27383" s="57" t="str">
        <f>IF(OR(I.Developer.P2b=FALSE,I.Facility.StandardPart&lt;&gt;"Part 2"),"Complete",IF(I.Product.P2bGasToPowerStatus&lt;&gt;"Yes","Complete",IF(AND(I.Gas.P2bY2Count&gt;=50,F27383=""),"Incomplete","Complete")))</f>
        <v>Complete</v>
      </c>
      <c r="I27383" s="49" t="s">
        <v>2562</v>
      </c>
    </row>
    <row r="27384" spans="2:9" ht="15" customHeight="1" x14ac:dyDescent="0.25">
      <c r="B27384" s="55" t="s">
        <v>399</v>
      </c>
      <c r="C27384" s="46">
        <v>1</v>
      </c>
      <c r="D27384" s="69" t="s">
        <v>29536</v>
      </c>
      <c r="E27384" s="62"/>
      <c r="F27384" s="62" t="str">
        <f>IF(INDEX(I.Gas.P2bY2C1E1,1)="","",INDEX(I.Gas.P2bY2C1E1,1))</f>
        <v/>
      </c>
      <c r="G27384" s="62"/>
      <c r="H27384" s="46" t="str">
        <f>IF(OR(I.Developer.P2b=FALSE,I.Facility.StandardPart="Part 2"),"Complete",IF(I.Product.P2bGasToPowerStatus&lt;&gt;"Yes","Complete",IF(AND(I.Gas.P2bY2Count&gt;=1,F27384=""),"Incomplete","Complete")))</f>
        <v>Complete</v>
      </c>
      <c r="I27384" s="48" t="s">
        <v>2563</v>
      </c>
    </row>
    <row r="27385" spans="2:9" ht="15" customHeight="1" x14ac:dyDescent="0.25">
      <c r="B27385" s="55" t="s">
        <v>399</v>
      </c>
      <c r="C27385" s="46">
        <v>2</v>
      </c>
      <c r="D27385" s="69" t="s">
        <v>29536</v>
      </c>
      <c r="E27385" s="62"/>
      <c r="F27385" s="62" t="str">
        <f>IF(INDEX(I.Gas.P2bY2C1E1,2)="","",INDEX(I.Gas.P2bY2C1E1,2))</f>
        <v/>
      </c>
      <c r="G27385" s="62"/>
      <c r="H27385" s="46" t="str">
        <f>IF(OR(I.Developer.P2b=FALSE,I.Facility.StandardPart="Part 2"),"Complete",IF(I.Product.P2bGasToPowerStatus&lt;&gt;"Yes","Complete",IF(AND(I.Gas.P2bY2Count&gt;=2,F27385=""),"Incomplete","Complete")))</f>
        <v>Complete</v>
      </c>
      <c r="I27385" s="48" t="s">
        <v>2564</v>
      </c>
    </row>
    <row r="27386" spans="2:9" ht="15" customHeight="1" x14ac:dyDescent="0.25">
      <c r="B27386" s="55" t="s">
        <v>399</v>
      </c>
      <c r="C27386" s="46">
        <v>3</v>
      </c>
      <c r="D27386" s="69" t="s">
        <v>29536</v>
      </c>
      <c r="E27386" s="62"/>
      <c r="F27386" s="62" t="str">
        <f>IF(INDEX(I.Gas.P2bY2C1E1,3)="","",INDEX(I.Gas.P2bY2C1E1,3))</f>
        <v/>
      </c>
      <c r="G27386" s="62"/>
      <c r="H27386" s="46" t="str">
        <f>IF(OR(I.Developer.P2b=FALSE,I.Facility.StandardPart="Part 2"),"Complete",IF(I.Product.P2bGasToPowerStatus&lt;&gt;"Yes","Complete",IF(AND(I.Gas.P2bY2Count&gt;=3,F27386=""),"Incomplete","Complete")))</f>
        <v>Complete</v>
      </c>
      <c r="I27386" s="48" t="s">
        <v>2565</v>
      </c>
    </row>
    <row r="27387" spans="2:9" ht="15" customHeight="1" x14ac:dyDescent="0.25">
      <c r="B27387" s="55" t="s">
        <v>399</v>
      </c>
      <c r="C27387" s="46">
        <v>4</v>
      </c>
      <c r="D27387" s="69" t="s">
        <v>29536</v>
      </c>
      <c r="E27387" s="62"/>
      <c r="F27387" s="62" t="str">
        <f>IF(INDEX(I.Gas.P2bY2C1E1,4)="","",INDEX(I.Gas.P2bY2C1E1,4))</f>
        <v/>
      </c>
      <c r="G27387" s="62"/>
      <c r="H27387" s="46" t="str">
        <f>IF(OR(I.Developer.P2b=FALSE,I.Facility.StandardPart="Part 2"),"Complete",IF(I.Product.P2bGasToPowerStatus&lt;&gt;"Yes","Complete",IF(AND(I.Gas.P2bY2Count&gt;=4,F27387=""),"Incomplete","Complete")))</f>
        <v>Complete</v>
      </c>
      <c r="I27387" s="48" t="s">
        <v>2566</v>
      </c>
    </row>
    <row r="27388" spans="2:9" ht="15" customHeight="1" x14ac:dyDescent="0.25">
      <c r="B27388" s="55" t="s">
        <v>399</v>
      </c>
      <c r="C27388" s="46">
        <v>5</v>
      </c>
      <c r="D27388" s="69" t="s">
        <v>29536</v>
      </c>
      <c r="E27388" s="62"/>
      <c r="F27388" s="62" t="str">
        <f>IF(INDEX(I.Gas.P2bY2C1E1,5)="","",INDEX(I.Gas.P2bY2C1E1,5))</f>
        <v/>
      </c>
      <c r="G27388" s="62"/>
      <c r="H27388" s="46" t="str">
        <f>IF(OR(I.Developer.P2b=FALSE,I.Facility.StandardPart="Part 2"),"Complete",IF(I.Product.P2bGasToPowerStatus&lt;&gt;"Yes","Complete",IF(AND(I.Gas.P2bY2Count&gt;=5,F27388=""),"Incomplete","Complete")))</f>
        <v>Complete</v>
      </c>
      <c r="I27388" s="48" t="s">
        <v>2567</v>
      </c>
    </row>
    <row r="27389" spans="2:9" ht="15" customHeight="1" x14ac:dyDescent="0.25">
      <c r="B27389" s="55" t="s">
        <v>399</v>
      </c>
      <c r="C27389" s="46">
        <v>6</v>
      </c>
      <c r="D27389" s="69" t="s">
        <v>29536</v>
      </c>
      <c r="E27389" s="62"/>
      <c r="F27389" s="62" t="str">
        <f>IF(INDEX(I.Gas.P2bY2C1E1,6)="","",INDEX(I.Gas.P2bY2C1E1,6))</f>
        <v/>
      </c>
      <c r="G27389" s="62"/>
      <c r="H27389" s="46" t="str">
        <f>IF(OR(I.Developer.P2b=FALSE,I.Facility.StandardPart="Part 2"),"Complete",IF(I.Product.P2bGasToPowerStatus&lt;&gt;"Yes","Complete",IF(AND(I.Gas.P2bY2Count&gt;=6,F27389=""),"Incomplete","Complete")))</f>
        <v>Complete</v>
      </c>
      <c r="I27389" s="48" t="s">
        <v>2568</v>
      </c>
    </row>
    <row r="27390" spans="2:9" ht="15" customHeight="1" x14ac:dyDescent="0.25">
      <c r="B27390" s="55" t="s">
        <v>399</v>
      </c>
      <c r="C27390" s="46">
        <v>7</v>
      </c>
      <c r="D27390" s="69" t="s">
        <v>29536</v>
      </c>
      <c r="E27390" s="62"/>
      <c r="F27390" s="62" t="str">
        <f>IF(INDEX(I.Gas.P2bY2C1E1,7)="","",INDEX(I.Gas.P2bY2C1E1,7))</f>
        <v/>
      </c>
      <c r="G27390" s="62"/>
      <c r="H27390" s="46" t="str">
        <f>IF(OR(I.Developer.P2b=FALSE,I.Facility.StandardPart="Part 2"),"Complete",IF(I.Product.P2bGasToPowerStatus&lt;&gt;"Yes","Complete",IF(AND(I.Gas.P2bY2Count&gt;=7,F27390=""),"Incomplete","Complete")))</f>
        <v>Complete</v>
      </c>
      <c r="I27390" s="48" t="s">
        <v>2569</v>
      </c>
    </row>
    <row r="27391" spans="2:9" ht="15" customHeight="1" x14ac:dyDescent="0.25">
      <c r="B27391" s="55" t="s">
        <v>399</v>
      </c>
      <c r="C27391" s="46">
        <v>8</v>
      </c>
      <c r="D27391" s="69" t="s">
        <v>29536</v>
      </c>
      <c r="E27391" s="62"/>
      <c r="F27391" s="62" t="str">
        <f>IF(INDEX(I.Gas.P2bY2C1E1,8)="","",INDEX(I.Gas.P2bY2C1E1,8))</f>
        <v/>
      </c>
      <c r="G27391" s="62"/>
      <c r="H27391" s="46" t="str">
        <f>IF(OR(I.Developer.P2b=FALSE,I.Facility.StandardPart="Part 2"),"Complete",IF(I.Product.P2bGasToPowerStatus&lt;&gt;"Yes","Complete",IF(AND(I.Gas.P2bY2Count&gt;=8,F27391=""),"Incomplete","Complete")))</f>
        <v>Complete</v>
      </c>
      <c r="I27391" s="48" t="s">
        <v>2570</v>
      </c>
    </row>
    <row r="27392" spans="2:9" ht="15" customHeight="1" x14ac:dyDescent="0.25">
      <c r="B27392" s="55" t="s">
        <v>399</v>
      </c>
      <c r="C27392" s="46">
        <v>9</v>
      </c>
      <c r="D27392" s="69" t="s">
        <v>29536</v>
      </c>
      <c r="E27392" s="62"/>
      <c r="F27392" s="62" t="str">
        <f>IF(INDEX(I.Gas.P2bY2C1E1,9)="","",INDEX(I.Gas.P2bY2C1E1,9))</f>
        <v/>
      </c>
      <c r="G27392" s="62"/>
      <c r="H27392" s="46" t="str">
        <f>IF(OR(I.Developer.P2b=FALSE,I.Facility.StandardPart="Part 2"),"Complete",IF(I.Product.P2bGasToPowerStatus&lt;&gt;"Yes","Complete",IF(AND(I.Gas.P2bY2Count&gt;=9,F27392=""),"Incomplete","Complete")))</f>
        <v>Complete</v>
      </c>
      <c r="I27392" s="48" t="s">
        <v>2571</v>
      </c>
    </row>
    <row r="27393" spans="2:9" ht="15" customHeight="1" x14ac:dyDescent="0.25">
      <c r="B27393" s="55" t="s">
        <v>399</v>
      </c>
      <c r="C27393" s="46">
        <v>10</v>
      </c>
      <c r="D27393" s="69" t="s">
        <v>29536</v>
      </c>
      <c r="E27393" s="62"/>
      <c r="F27393" s="62" t="str">
        <f>IF(INDEX(I.Gas.P2bY2C1E1,10)="","",INDEX(I.Gas.P2bY2C1E1,10))</f>
        <v/>
      </c>
      <c r="G27393" s="62"/>
      <c r="H27393" s="46" t="str">
        <f>IF(OR(I.Developer.P2b=FALSE,I.Facility.StandardPart="Part 2"),"Complete",IF(I.Product.P2bGasToPowerStatus&lt;&gt;"Yes","Complete",IF(AND(I.Gas.P2bY2Count&gt;=10,F27393=""),"Incomplete","Complete")))</f>
        <v>Complete</v>
      </c>
      <c r="I27393" s="48" t="s">
        <v>2572</v>
      </c>
    </row>
    <row r="27394" spans="2:9" ht="15" customHeight="1" x14ac:dyDescent="0.25">
      <c r="B27394" s="55" t="s">
        <v>399</v>
      </c>
      <c r="C27394" s="46">
        <v>11</v>
      </c>
      <c r="D27394" s="69" t="s">
        <v>29536</v>
      </c>
      <c r="E27394" s="62"/>
      <c r="F27394" s="62" t="str">
        <f>IF(INDEX(I.Gas.P2bY2C1E1,11)="","",INDEX(I.Gas.P2bY2C1E1,11))</f>
        <v/>
      </c>
      <c r="G27394" s="62"/>
      <c r="H27394" s="46" t="str">
        <f>IF(OR(I.Developer.P2b=FALSE,I.Facility.StandardPart="Part 2"),"Complete",IF(I.Product.P2bGasToPowerStatus&lt;&gt;"Yes","Complete",IF(AND(I.Gas.P2bY2Count&gt;=11,F27394=""),"Incomplete","Complete")))</f>
        <v>Complete</v>
      </c>
      <c r="I27394" s="48" t="s">
        <v>2573</v>
      </c>
    </row>
    <row r="27395" spans="2:9" ht="15" customHeight="1" x14ac:dyDescent="0.25">
      <c r="B27395" s="55" t="s">
        <v>399</v>
      </c>
      <c r="C27395" s="46">
        <v>12</v>
      </c>
      <c r="D27395" s="69" t="s">
        <v>29536</v>
      </c>
      <c r="E27395" s="62"/>
      <c r="F27395" s="62" t="str">
        <f>IF(INDEX(I.Gas.P2bY2C1E1,12)="","",INDEX(I.Gas.P2bY2C1E1,12))</f>
        <v/>
      </c>
      <c r="G27395" s="62"/>
      <c r="H27395" s="46" t="str">
        <f>IF(OR(I.Developer.P2b=FALSE,I.Facility.StandardPart="Part 2"),"Complete",IF(I.Product.P2bGasToPowerStatus&lt;&gt;"Yes","Complete",IF(AND(I.Gas.P2bY2Count&gt;=12,F27395=""),"Incomplete","Complete")))</f>
        <v>Complete</v>
      </c>
      <c r="I27395" s="48" t="s">
        <v>2574</v>
      </c>
    </row>
    <row r="27396" spans="2:9" ht="15" customHeight="1" x14ac:dyDescent="0.25">
      <c r="B27396" s="55" t="s">
        <v>399</v>
      </c>
      <c r="C27396" s="46">
        <v>13</v>
      </c>
      <c r="D27396" s="69" t="s">
        <v>29536</v>
      </c>
      <c r="E27396" s="62"/>
      <c r="F27396" s="62" t="str">
        <f>IF(INDEX(I.Gas.P2bY2C1E1,13)="","",INDEX(I.Gas.P2bY2C1E1,13))</f>
        <v/>
      </c>
      <c r="G27396" s="62"/>
      <c r="H27396" s="46" t="str">
        <f>IF(OR(I.Developer.P2b=FALSE,I.Facility.StandardPart="Part 2"),"Complete",IF(I.Product.P2bGasToPowerStatus&lt;&gt;"Yes","Complete",IF(AND(I.Gas.P2bY2Count&gt;=13,F27396=""),"Incomplete","Complete")))</f>
        <v>Complete</v>
      </c>
      <c r="I27396" s="48" t="s">
        <v>2575</v>
      </c>
    </row>
    <row r="27397" spans="2:9" ht="15" customHeight="1" x14ac:dyDescent="0.25">
      <c r="B27397" s="55" t="s">
        <v>399</v>
      </c>
      <c r="C27397" s="46">
        <v>14</v>
      </c>
      <c r="D27397" s="69" t="s">
        <v>29536</v>
      </c>
      <c r="E27397" s="62"/>
      <c r="F27397" s="62" t="str">
        <f>IF(INDEX(I.Gas.P2bY2C1E1,14)="","",INDEX(I.Gas.P2bY2C1E1,14))</f>
        <v/>
      </c>
      <c r="G27397" s="62"/>
      <c r="H27397" s="46" t="str">
        <f>IF(OR(I.Developer.P2b=FALSE,I.Facility.StandardPart="Part 2"),"Complete",IF(I.Product.P2bGasToPowerStatus&lt;&gt;"Yes","Complete",IF(AND(I.Gas.P2bY2Count&gt;=14,F27397=""),"Incomplete","Complete")))</f>
        <v>Complete</v>
      </c>
      <c r="I27397" s="48" t="s">
        <v>2576</v>
      </c>
    </row>
    <row r="27398" spans="2:9" ht="15" customHeight="1" x14ac:dyDescent="0.25">
      <c r="B27398" s="55" t="s">
        <v>399</v>
      </c>
      <c r="C27398" s="46">
        <v>15</v>
      </c>
      <c r="D27398" s="69" t="s">
        <v>29536</v>
      </c>
      <c r="E27398" s="62"/>
      <c r="F27398" s="62" t="str">
        <f>IF(INDEX(I.Gas.P2bY2C1E1,15)="","",INDEX(I.Gas.P2bY2C1E1,15))</f>
        <v/>
      </c>
      <c r="G27398" s="62"/>
      <c r="H27398" s="46" t="str">
        <f>IF(OR(I.Developer.P2b=FALSE,I.Facility.StandardPart="Part 2"),"Complete",IF(I.Product.P2bGasToPowerStatus&lt;&gt;"Yes","Complete",IF(AND(I.Gas.P2bY2Count&gt;=15,F27398=""),"Incomplete","Complete")))</f>
        <v>Complete</v>
      </c>
      <c r="I27398" s="48" t="s">
        <v>2577</v>
      </c>
    </row>
    <row r="27399" spans="2:9" ht="15" customHeight="1" x14ac:dyDescent="0.25">
      <c r="B27399" s="55" t="s">
        <v>399</v>
      </c>
      <c r="C27399" s="46">
        <v>16</v>
      </c>
      <c r="D27399" s="69" t="s">
        <v>29536</v>
      </c>
      <c r="E27399" s="62"/>
      <c r="F27399" s="62" t="str">
        <f>IF(INDEX(I.Gas.P2bY2C1E1,16)="","",INDEX(I.Gas.P2bY2C1E1,16))</f>
        <v/>
      </c>
      <c r="G27399" s="62"/>
      <c r="H27399" s="46" t="str">
        <f>IF(OR(I.Developer.P2b=FALSE,I.Facility.StandardPart="Part 2"),"Complete",IF(I.Product.P2bGasToPowerStatus&lt;&gt;"Yes","Complete",IF(AND(I.Gas.P2bY2Count&gt;=16,F27399=""),"Incomplete","Complete")))</f>
        <v>Complete</v>
      </c>
      <c r="I27399" s="48" t="s">
        <v>2578</v>
      </c>
    </row>
    <row r="27400" spans="2:9" ht="15" customHeight="1" x14ac:dyDescent="0.25">
      <c r="B27400" s="55" t="s">
        <v>399</v>
      </c>
      <c r="C27400" s="46">
        <v>17</v>
      </c>
      <c r="D27400" s="69" t="s">
        <v>29536</v>
      </c>
      <c r="E27400" s="62"/>
      <c r="F27400" s="62" t="str">
        <f>IF(INDEX(I.Gas.P2bY2C1E1,17)="","",INDEX(I.Gas.P2bY2C1E1,17))</f>
        <v/>
      </c>
      <c r="G27400" s="62"/>
      <c r="H27400" s="46" t="str">
        <f>IF(OR(I.Developer.P2b=FALSE,I.Facility.StandardPart="Part 2"),"Complete",IF(I.Product.P2bGasToPowerStatus&lt;&gt;"Yes","Complete",IF(AND(I.Gas.P2bY2Count&gt;=17,F27400=""),"Incomplete","Complete")))</f>
        <v>Complete</v>
      </c>
      <c r="I27400" s="48" t="s">
        <v>2579</v>
      </c>
    </row>
    <row r="27401" spans="2:9" ht="15" customHeight="1" x14ac:dyDescent="0.25">
      <c r="B27401" s="55" t="s">
        <v>399</v>
      </c>
      <c r="C27401" s="46">
        <v>18</v>
      </c>
      <c r="D27401" s="69" t="s">
        <v>29536</v>
      </c>
      <c r="E27401" s="62"/>
      <c r="F27401" s="62" t="str">
        <f>IF(INDEX(I.Gas.P2bY2C1E1,18)="","",INDEX(I.Gas.P2bY2C1E1,18))</f>
        <v/>
      </c>
      <c r="G27401" s="62"/>
      <c r="H27401" s="46" t="str">
        <f>IF(OR(I.Developer.P2b=FALSE,I.Facility.StandardPart="Part 2"),"Complete",IF(I.Product.P2bGasToPowerStatus&lt;&gt;"Yes","Complete",IF(AND(I.Gas.P2bY2Count&gt;=18,F27401=""),"Incomplete","Complete")))</f>
        <v>Complete</v>
      </c>
      <c r="I27401" s="48" t="s">
        <v>2580</v>
      </c>
    </row>
    <row r="27402" spans="2:9" ht="15" customHeight="1" x14ac:dyDescent="0.25">
      <c r="B27402" s="55" t="s">
        <v>399</v>
      </c>
      <c r="C27402" s="46">
        <v>19</v>
      </c>
      <c r="D27402" s="69" t="s">
        <v>29536</v>
      </c>
      <c r="E27402" s="62"/>
      <c r="F27402" s="62" t="str">
        <f>IF(INDEX(I.Gas.P2bY2C1E1,19)="","",INDEX(I.Gas.P2bY2C1E1,19))</f>
        <v/>
      </c>
      <c r="G27402" s="62"/>
      <c r="H27402" s="46" t="str">
        <f>IF(OR(I.Developer.P2b=FALSE,I.Facility.StandardPart="Part 2"),"Complete",IF(I.Product.P2bGasToPowerStatus&lt;&gt;"Yes","Complete",IF(AND(I.Gas.P2bY2Count&gt;=19,F27402=""),"Incomplete","Complete")))</f>
        <v>Complete</v>
      </c>
      <c r="I27402" s="48" t="s">
        <v>2581</v>
      </c>
    </row>
    <row r="27403" spans="2:9" ht="15" customHeight="1" x14ac:dyDescent="0.25">
      <c r="B27403" s="55" t="s">
        <v>399</v>
      </c>
      <c r="C27403" s="46">
        <v>20</v>
      </c>
      <c r="D27403" s="69" t="s">
        <v>29536</v>
      </c>
      <c r="E27403" s="62"/>
      <c r="F27403" s="62" t="str">
        <f>IF(INDEX(I.Gas.P2bY2C1E1,20)="","",INDEX(I.Gas.P2bY2C1E1,20))</f>
        <v/>
      </c>
      <c r="G27403" s="62"/>
      <c r="H27403" s="46" t="str">
        <f>IF(OR(I.Developer.P2b=FALSE,I.Facility.StandardPart="Part 2"),"Complete",IF(I.Product.P2bGasToPowerStatus&lt;&gt;"Yes","Complete",IF(AND(I.Gas.P2bY2Count&gt;=20,F27403=""),"Incomplete","Complete")))</f>
        <v>Complete</v>
      </c>
      <c r="I27403" s="48" t="s">
        <v>2582</v>
      </c>
    </row>
    <row r="27404" spans="2:9" ht="15" customHeight="1" x14ac:dyDescent="0.25">
      <c r="B27404" s="55" t="s">
        <v>399</v>
      </c>
      <c r="C27404" s="46">
        <v>21</v>
      </c>
      <c r="D27404" s="69" t="s">
        <v>29536</v>
      </c>
      <c r="E27404" s="62"/>
      <c r="F27404" s="62" t="str">
        <f>IF(INDEX(I.Gas.P2bY2C1E1,21)="","",INDEX(I.Gas.P2bY2C1E1,21))</f>
        <v/>
      </c>
      <c r="G27404" s="62"/>
      <c r="H27404" s="46" t="str">
        <f>IF(OR(I.Developer.P2b=FALSE,I.Facility.StandardPart="Part 2"),"Complete",IF(I.Product.P2bGasToPowerStatus&lt;&gt;"Yes","Complete",IF(AND(I.Gas.P2bY2Count&gt;=21,F27404=""),"Incomplete","Complete")))</f>
        <v>Complete</v>
      </c>
      <c r="I27404" s="48" t="s">
        <v>2583</v>
      </c>
    </row>
    <row r="27405" spans="2:9" ht="15" customHeight="1" x14ac:dyDescent="0.25">
      <c r="B27405" s="55" t="s">
        <v>399</v>
      </c>
      <c r="C27405" s="46">
        <v>22</v>
      </c>
      <c r="D27405" s="69" t="s">
        <v>29536</v>
      </c>
      <c r="E27405" s="62"/>
      <c r="F27405" s="62" t="str">
        <f>IF(INDEX(I.Gas.P2bY2C1E1,22)="","",INDEX(I.Gas.P2bY2C1E1,22))</f>
        <v/>
      </c>
      <c r="G27405" s="62"/>
      <c r="H27405" s="46" t="str">
        <f>IF(OR(I.Developer.P2b=FALSE,I.Facility.StandardPart="Part 2"),"Complete",IF(I.Product.P2bGasToPowerStatus&lt;&gt;"Yes","Complete",IF(AND(I.Gas.P2bY2Count&gt;=22,F27405=""),"Incomplete","Complete")))</f>
        <v>Complete</v>
      </c>
      <c r="I27405" s="48" t="s">
        <v>2584</v>
      </c>
    </row>
    <row r="27406" spans="2:9" ht="15" customHeight="1" x14ac:dyDescent="0.25">
      <c r="B27406" s="55" t="s">
        <v>399</v>
      </c>
      <c r="C27406" s="46">
        <v>23</v>
      </c>
      <c r="D27406" s="69" t="s">
        <v>29536</v>
      </c>
      <c r="E27406" s="62"/>
      <c r="F27406" s="62" t="str">
        <f>IF(INDEX(I.Gas.P2bY2C1E1,23)="","",INDEX(I.Gas.P2bY2C1E1,23))</f>
        <v/>
      </c>
      <c r="G27406" s="62"/>
      <c r="H27406" s="46" t="str">
        <f>IF(OR(I.Developer.P2b=FALSE,I.Facility.StandardPart="Part 2"),"Complete",IF(I.Product.P2bGasToPowerStatus&lt;&gt;"Yes","Complete",IF(AND(I.Gas.P2bY2Count&gt;=23,F27406=""),"Incomplete","Complete")))</f>
        <v>Complete</v>
      </c>
      <c r="I27406" s="48" t="s">
        <v>2585</v>
      </c>
    </row>
    <row r="27407" spans="2:9" ht="15" customHeight="1" x14ac:dyDescent="0.25">
      <c r="B27407" s="55" t="s">
        <v>399</v>
      </c>
      <c r="C27407" s="46">
        <v>24</v>
      </c>
      <c r="D27407" s="69" t="s">
        <v>29536</v>
      </c>
      <c r="E27407" s="62"/>
      <c r="F27407" s="62" t="str">
        <f>IF(INDEX(I.Gas.P2bY2C1E1,24)="","",INDEX(I.Gas.P2bY2C1E1,24))</f>
        <v/>
      </c>
      <c r="G27407" s="62"/>
      <c r="H27407" s="46" t="str">
        <f>IF(OR(I.Developer.P2b=FALSE,I.Facility.StandardPart="Part 2"),"Complete",IF(I.Product.P2bGasToPowerStatus&lt;&gt;"Yes","Complete",IF(AND(I.Gas.P2bY2Count&gt;=24,F27407=""),"Incomplete","Complete")))</f>
        <v>Complete</v>
      </c>
      <c r="I27407" s="48" t="s">
        <v>2586</v>
      </c>
    </row>
    <row r="27408" spans="2:9" ht="15" customHeight="1" x14ac:dyDescent="0.25">
      <c r="B27408" s="55" t="s">
        <v>399</v>
      </c>
      <c r="C27408" s="46">
        <v>25</v>
      </c>
      <c r="D27408" s="69" t="s">
        <v>29536</v>
      </c>
      <c r="E27408" s="62"/>
      <c r="F27408" s="62" t="str">
        <f>IF(INDEX(I.Gas.P2bY2C1E1,25)="","",INDEX(I.Gas.P2bY2C1E1,25))</f>
        <v/>
      </c>
      <c r="G27408" s="62"/>
      <c r="H27408" s="46" t="str">
        <f>IF(OR(I.Developer.P2b=FALSE,I.Facility.StandardPart="Part 2"),"Complete",IF(I.Product.P2bGasToPowerStatus&lt;&gt;"Yes","Complete",IF(AND(I.Gas.P2bY2Count&gt;=25,F27408=""),"Incomplete","Complete")))</f>
        <v>Complete</v>
      </c>
      <c r="I27408" s="48" t="s">
        <v>2587</v>
      </c>
    </row>
    <row r="27409" spans="2:9" ht="15" customHeight="1" x14ac:dyDescent="0.25">
      <c r="B27409" s="55" t="s">
        <v>399</v>
      </c>
      <c r="C27409" s="46">
        <v>26</v>
      </c>
      <c r="D27409" s="69" t="s">
        <v>29536</v>
      </c>
      <c r="E27409" s="62"/>
      <c r="F27409" s="62" t="str">
        <f>IF(INDEX(I.Gas.P2bY2C1E1,26)="","",INDEX(I.Gas.P2bY2C1E1,26))</f>
        <v/>
      </c>
      <c r="G27409" s="62"/>
      <c r="H27409" s="46" t="str">
        <f>IF(OR(I.Developer.P2b=FALSE,I.Facility.StandardPart="Part 2"),"Complete",IF(I.Product.P2bGasToPowerStatus&lt;&gt;"Yes","Complete",IF(AND(I.Gas.P2bY2Count&gt;=26,F27409=""),"Incomplete","Complete")))</f>
        <v>Complete</v>
      </c>
      <c r="I27409" s="48" t="s">
        <v>2588</v>
      </c>
    </row>
    <row r="27410" spans="2:9" ht="15" customHeight="1" x14ac:dyDescent="0.25">
      <c r="B27410" s="55" t="s">
        <v>399</v>
      </c>
      <c r="C27410" s="46">
        <v>27</v>
      </c>
      <c r="D27410" s="69" t="s">
        <v>29536</v>
      </c>
      <c r="E27410" s="62"/>
      <c r="F27410" s="62" t="str">
        <f>IF(INDEX(I.Gas.P2bY2C1E1,27)="","",INDEX(I.Gas.P2bY2C1E1,27))</f>
        <v/>
      </c>
      <c r="G27410" s="62"/>
      <c r="H27410" s="46" t="str">
        <f>IF(OR(I.Developer.P2b=FALSE,I.Facility.StandardPart="Part 2"),"Complete",IF(I.Product.P2bGasToPowerStatus&lt;&gt;"Yes","Complete",IF(AND(I.Gas.P2bY2Count&gt;=27,F27410=""),"Incomplete","Complete")))</f>
        <v>Complete</v>
      </c>
      <c r="I27410" s="48" t="s">
        <v>2589</v>
      </c>
    </row>
    <row r="27411" spans="2:9" ht="15" customHeight="1" x14ac:dyDescent="0.25">
      <c r="B27411" s="55" t="s">
        <v>399</v>
      </c>
      <c r="C27411" s="46">
        <v>28</v>
      </c>
      <c r="D27411" s="69" t="s">
        <v>29536</v>
      </c>
      <c r="E27411" s="62"/>
      <c r="F27411" s="62" t="str">
        <f>IF(INDEX(I.Gas.P2bY2C1E1,28)="","",INDEX(I.Gas.P2bY2C1E1,28))</f>
        <v/>
      </c>
      <c r="G27411" s="62"/>
      <c r="H27411" s="46" t="str">
        <f>IF(OR(I.Developer.P2b=FALSE,I.Facility.StandardPart="Part 2"),"Complete",IF(I.Product.P2bGasToPowerStatus&lt;&gt;"Yes","Complete",IF(AND(I.Gas.P2bY2Count&gt;=28,F27411=""),"Incomplete","Complete")))</f>
        <v>Complete</v>
      </c>
      <c r="I27411" s="48" t="s">
        <v>2590</v>
      </c>
    </row>
    <row r="27412" spans="2:9" ht="15" customHeight="1" x14ac:dyDescent="0.25">
      <c r="B27412" s="55" t="s">
        <v>399</v>
      </c>
      <c r="C27412" s="46">
        <v>29</v>
      </c>
      <c r="D27412" s="69" t="s">
        <v>29536</v>
      </c>
      <c r="E27412" s="62"/>
      <c r="F27412" s="62" t="str">
        <f>IF(INDEX(I.Gas.P2bY2C1E1,29)="","",INDEX(I.Gas.P2bY2C1E1,29))</f>
        <v/>
      </c>
      <c r="G27412" s="62"/>
      <c r="H27412" s="46" t="str">
        <f>IF(OR(I.Developer.P2b=FALSE,I.Facility.StandardPart="Part 2"),"Complete",IF(I.Product.P2bGasToPowerStatus&lt;&gt;"Yes","Complete",IF(AND(I.Gas.P2bY2Count&gt;=29,F27412=""),"Incomplete","Complete")))</f>
        <v>Complete</v>
      </c>
      <c r="I27412" s="48" t="s">
        <v>2591</v>
      </c>
    </row>
    <row r="27413" spans="2:9" ht="15" customHeight="1" x14ac:dyDescent="0.25">
      <c r="B27413" s="55" t="s">
        <v>399</v>
      </c>
      <c r="C27413" s="46">
        <v>30</v>
      </c>
      <c r="D27413" s="69" t="s">
        <v>29536</v>
      </c>
      <c r="E27413" s="62"/>
      <c r="F27413" s="62" t="str">
        <f>IF(INDEX(I.Gas.P2bY2C1E1,30)="","",INDEX(I.Gas.P2bY2C1E1,30))</f>
        <v/>
      </c>
      <c r="G27413" s="62"/>
      <c r="H27413" s="46" t="str">
        <f>IF(OR(I.Developer.P2b=FALSE,I.Facility.StandardPart="Part 2"),"Complete",IF(I.Product.P2bGasToPowerStatus&lt;&gt;"Yes","Complete",IF(AND(I.Gas.P2bY2Count&gt;=30,F27413=""),"Incomplete","Complete")))</f>
        <v>Complete</v>
      </c>
      <c r="I27413" s="48" t="s">
        <v>2592</v>
      </c>
    </row>
    <row r="27414" spans="2:9" ht="15" customHeight="1" x14ac:dyDescent="0.25">
      <c r="B27414" s="55" t="s">
        <v>399</v>
      </c>
      <c r="C27414" s="46">
        <v>31</v>
      </c>
      <c r="D27414" s="69" t="s">
        <v>29536</v>
      </c>
      <c r="E27414" s="62"/>
      <c r="F27414" s="62" t="str">
        <f>IF(INDEX(I.Gas.P2bY2C1E1,31)="","",INDEX(I.Gas.P2bY2C1E1,31))</f>
        <v/>
      </c>
      <c r="G27414" s="62"/>
      <c r="H27414" s="46" t="str">
        <f>IF(OR(I.Developer.P2b=FALSE,I.Facility.StandardPart="Part 2"),"Complete",IF(I.Product.P2bGasToPowerStatus&lt;&gt;"Yes","Complete",IF(AND(I.Gas.P2bY2Count&gt;=31,F27414=""),"Incomplete","Complete")))</f>
        <v>Complete</v>
      </c>
      <c r="I27414" s="48" t="s">
        <v>2593</v>
      </c>
    </row>
    <row r="27415" spans="2:9" ht="15" customHeight="1" x14ac:dyDescent="0.25">
      <c r="B27415" s="55" t="s">
        <v>399</v>
      </c>
      <c r="C27415" s="46">
        <v>32</v>
      </c>
      <c r="D27415" s="69" t="s">
        <v>29536</v>
      </c>
      <c r="E27415" s="62"/>
      <c r="F27415" s="62" t="str">
        <f>IF(INDEX(I.Gas.P2bY2C1E1,32)="","",INDEX(I.Gas.P2bY2C1E1,32))</f>
        <v/>
      </c>
      <c r="G27415" s="62"/>
      <c r="H27415" s="46" t="str">
        <f>IF(OR(I.Developer.P2b=FALSE,I.Facility.StandardPart="Part 2"),"Complete",IF(I.Product.P2bGasToPowerStatus&lt;&gt;"Yes","Complete",IF(AND(I.Gas.P2bY2Count&gt;=32,F27415=""),"Incomplete","Complete")))</f>
        <v>Complete</v>
      </c>
      <c r="I27415" s="48" t="s">
        <v>2594</v>
      </c>
    </row>
    <row r="27416" spans="2:9" ht="15" customHeight="1" x14ac:dyDescent="0.25">
      <c r="B27416" s="55" t="s">
        <v>399</v>
      </c>
      <c r="C27416" s="46">
        <v>33</v>
      </c>
      <c r="D27416" s="69" t="s">
        <v>29536</v>
      </c>
      <c r="E27416" s="62"/>
      <c r="F27416" s="62" t="str">
        <f>IF(INDEX(I.Gas.P2bY2C1E1,33)="","",INDEX(I.Gas.P2bY2C1E1,33))</f>
        <v/>
      </c>
      <c r="G27416" s="62"/>
      <c r="H27416" s="46" t="str">
        <f>IF(OR(I.Developer.P2b=FALSE,I.Facility.StandardPart="Part 2"),"Complete",IF(I.Product.P2bGasToPowerStatus&lt;&gt;"Yes","Complete",IF(AND(I.Gas.P2bY2Count&gt;=33,F27416=""),"Incomplete","Complete")))</f>
        <v>Complete</v>
      </c>
      <c r="I27416" s="48" t="s">
        <v>2595</v>
      </c>
    </row>
    <row r="27417" spans="2:9" ht="15" customHeight="1" x14ac:dyDescent="0.25">
      <c r="B27417" s="55" t="s">
        <v>399</v>
      </c>
      <c r="C27417" s="46">
        <v>34</v>
      </c>
      <c r="D27417" s="69" t="s">
        <v>29536</v>
      </c>
      <c r="E27417" s="62"/>
      <c r="F27417" s="62" t="str">
        <f>IF(INDEX(I.Gas.P2bY2C1E1,34)="","",INDEX(I.Gas.P2bY2C1E1,34))</f>
        <v/>
      </c>
      <c r="G27417" s="62"/>
      <c r="H27417" s="46" t="str">
        <f>IF(OR(I.Developer.P2b=FALSE,I.Facility.StandardPart="Part 2"),"Complete",IF(I.Product.P2bGasToPowerStatus&lt;&gt;"Yes","Complete",IF(AND(I.Gas.P2bY2Count&gt;=34,F27417=""),"Incomplete","Complete")))</f>
        <v>Complete</v>
      </c>
      <c r="I27417" s="48" t="s">
        <v>2596</v>
      </c>
    </row>
    <row r="27418" spans="2:9" ht="15" customHeight="1" x14ac:dyDescent="0.25">
      <c r="B27418" s="55" t="s">
        <v>399</v>
      </c>
      <c r="C27418" s="46">
        <v>35</v>
      </c>
      <c r="D27418" s="69" t="s">
        <v>29536</v>
      </c>
      <c r="E27418" s="62"/>
      <c r="F27418" s="62" t="str">
        <f>IF(INDEX(I.Gas.P2bY2C1E1,35)="","",INDEX(I.Gas.P2bY2C1E1,35))</f>
        <v/>
      </c>
      <c r="G27418" s="62"/>
      <c r="H27418" s="46" t="str">
        <f>IF(OR(I.Developer.P2b=FALSE,I.Facility.StandardPart="Part 2"),"Complete",IF(I.Product.P2bGasToPowerStatus&lt;&gt;"Yes","Complete",IF(AND(I.Gas.P2bY2Count&gt;=35,F27418=""),"Incomplete","Complete")))</f>
        <v>Complete</v>
      </c>
      <c r="I27418" s="48" t="s">
        <v>2597</v>
      </c>
    </row>
    <row r="27419" spans="2:9" ht="15" customHeight="1" x14ac:dyDescent="0.25">
      <c r="B27419" s="55" t="s">
        <v>399</v>
      </c>
      <c r="C27419" s="46">
        <v>36</v>
      </c>
      <c r="D27419" s="69" t="s">
        <v>29536</v>
      </c>
      <c r="E27419" s="62"/>
      <c r="F27419" s="62" t="str">
        <f>IF(INDEX(I.Gas.P2bY2C1E1,36)="","",INDEX(I.Gas.P2bY2C1E1,36))</f>
        <v/>
      </c>
      <c r="G27419" s="62"/>
      <c r="H27419" s="46" t="str">
        <f>IF(OR(I.Developer.P2b=FALSE,I.Facility.StandardPart="Part 2"),"Complete",IF(I.Product.P2bGasToPowerStatus&lt;&gt;"Yes","Complete",IF(AND(I.Gas.P2bY2Count&gt;=36,F27419=""),"Incomplete","Complete")))</f>
        <v>Complete</v>
      </c>
      <c r="I27419" s="48" t="s">
        <v>2598</v>
      </c>
    </row>
    <row r="27420" spans="2:9" ht="15" customHeight="1" x14ac:dyDescent="0.25">
      <c r="B27420" s="55" t="s">
        <v>399</v>
      </c>
      <c r="C27420" s="46">
        <v>37</v>
      </c>
      <c r="D27420" s="69" t="s">
        <v>29536</v>
      </c>
      <c r="E27420" s="62"/>
      <c r="F27420" s="62" t="str">
        <f>IF(INDEX(I.Gas.P2bY2C1E1,37)="","",INDEX(I.Gas.P2bY2C1E1,37))</f>
        <v/>
      </c>
      <c r="G27420" s="62"/>
      <c r="H27420" s="46" t="str">
        <f>IF(OR(I.Developer.P2b=FALSE,I.Facility.StandardPart="Part 2"),"Complete",IF(I.Product.P2bGasToPowerStatus&lt;&gt;"Yes","Complete",IF(AND(I.Gas.P2bY2Count&gt;=37,F27420=""),"Incomplete","Complete")))</f>
        <v>Complete</v>
      </c>
      <c r="I27420" s="48" t="s">
        <v>2599</v>
      </c>
    </row>
    <row r="27421" spans="2:9" ht="15" customHeight="1" x14ac:dyDescent="0.25">
      <c r="B27421" s="55" t="s">
        <v>399</v>
      </c>
      <c r="C27421" s="46">
        <v>38</v>
      </c>
      <c r="D27421" s="69" t="s">
        <v>29536</v>
      </c>
      <c r="E27421" s="62"/>
      <c r="F27421" s="62" t="str">
        <f>IF(INDEX(I.Gas.P2bY2C1E1,38)="","",INDEX(I.Gas.P2bY2C1E1,38))</f>
        <v/>
      </c>
      <c r="G27421" s="62"/>
      <c r="H27421" s="46" t="str">
        <f>IF(OR(I.Developer.P2b=FALSE,I.Facility.StandardPart="Part 2"),"Complete",IF(I.Product.P2bGasToPowerStatus&lt;&gt;"Yes","Complete",IF(AND(I.Gas.P2bY2Count&gt;=38,F27421=""),"Incomplete","Complete")))</f>
        <v>Complete</v>
      </c>
      <c r="I27421" s="48" t="s">
        <v>2600</v>
      </c>
    </row>
    <row r="27422" spans="2:9" ht="15" customHeight="1" x14ac:dyDescent="0.25">
      <c r="B27422" s="55" t="s">
        <v>399</v>
      </c>
      <c r="C27422" s="46">
        <v>39</v>
      </c>
      <c r="D27422" s="69" t="s">
        <v>29536</v>
      </c>
      <c r="E27422" s="62"/>
      <c r="F27422" s="62" t="str">
        <f>IF(INDEX(I.Gas.P2bY2C1E1,39)="","",INDEX(I.Gas.P2bY2C1E1,39))</f>
        <v/>
      </c>
      <c r="G27422" s="62"/>
      <c r="H27422" s="46" t="str">
        <f>IF(OR(I.Developer.P2b=FALSE,I.Facility.StandardPart="Part 2"),"Complete",IF(I.Product.P2bGasToPowerStatus&lt;&gt;"Yes","Complete",IF(AND(I.Gas.P2bY2Count&gt;=39,F27422=""),"Incomplete","Complete")))</f>
        <v>Complete</v>
      </c>
      <c r="I27422" s="48" t="s">
        <v>2601</v>
      </c>
    </row>
    <row r="27423" spans="2:9" ht="15" customHeight="1" x14ac:dyDescent="0.25">
      <c r="B27423" s="55" t="s">
        <v>399</v>
      </c>
      <c r="C27423" s="46">
        <v>40</v>
      </c>
      <c r="D27423" s="69" t="s">
        <v>29536</v>
      </c>
      <c r="E27423" s="62"/>
      <c r="F27423" s="62" t="str">
        <f>IF(INDEX(I.Gas.P2bY2C1E1,40)="","",INDEX(I.Gas.P2bY2C1E1,40))</f>
        <v/>
      </c>
      <c r="G27423" s="62"/>
      <c r="H27423" s="46" t="str">
        <f>IF(OR(I.Developer.P2b=FALSE,I.Facility.StandardPart="Part 2"),"Complete",IF(I.Product.P2bGasToPowerStatus&lt;&gt;"Yes","Complete",IF(AND(I.Gas.P2bY2Count&gt;=40,F27423=""),"Incomplete","Complete")))</f>
        <v>Complete</v>
      </c>
      <c r="I27423" s="48" t="s">
        <v>2602</v>
      </c>
    </row>
    <row r="27424" spans="2:9" ht="15" customHeight="1" x14ac:dyDescent="0.25">
      <c r="B27424" s="55" t="s">
        <v>399</v>
      </c>
      <c r="C27424" s="46">
        <v>41</v>
      </c>
      <c r="D27424" s="69" t="s">
        <v>29536</v>
      </c>
      <c r="E27424" s="62"/>
      <c r="F27424" s="62" t="str">
        <f>IF(INDEX(I.Gas.P2bY2C1E1,41)="","",INDEX(I.Gas.P2bY2C1E1,41))</f>
        <v/>
      </c>
      <c r="G27424" s="62"/>
      <c r="H27424" s="46" t="str">
        <f>IF(OR(I.Developer.P2b=FALSE,I.Facility.StandardPart="Part 2"),"Complete",IF(I.Product.P2bGasToPowerStatus&lt;&gt;"Yes","Complete",IF(AND(I.Gas.P2bY2Count&gt;=41,F27424=""),"Incomplete","Complete")))</f>
        <v>Complete</v>
      </c>
      <c r="I27424" s="48" t="s">
        <v>2603</v>
      </c>
    </row>
    <row r="27425" spans="2:9" ht="15" customHeight="1" x14ac:dyDescent="0.25">
      <c r="B27425" s="55" t="s">
        <v>399</v>
      </c>
      <c r="C27425" s="46">
        <v>42</v>
      </c>
      <c r="D27425" s="69" t="s">
        <v>29536</v>
      </c>
      <c r="E27425" s="62"/>
      <c r="F27425" s="62" t="str">
        <f>IF(INDEX(I.Gas.P2bY2C1E1,42)="","",INDEX(I.Gas.P2bY2C1E1,42))</f>
        <v/>
      </c>
      <c r="G27425" s="62"/>
      <c r="H27425" s="46" t="str">
        <f>IF(OR(I.Developer.P2b=FALSE,I.Facility.StandardPart="Part 2"),"Complete",IF(I.Product.P2bGasToPowerStatus&lt;&gt;"Yes","Complete",IF(AND(I.Gas.P2bY2Count&gt;=42,F27425=""),"Incomplete","Complete")))</f>
        <v>Complete</v>
      </c>
      <c r="I27425" s="48" t="s">
        <v>2604</v>
      </c>
    </row>
    <row r="27426" spans="2:9" ht="15" customHeight="1" x14ac:dyDescent="0.25">
      <c r="B27426" s="55" t="s">
        <v>399</v>
      </c>
      <c r="C27426" s="46">
        <v>43</v>
      </c>
      <c r="D27426" s="69" t="s">
        <v>29536</v>
      </c>
      <c r="E27426" s="62"/>
      <c r="F27426" s="62" t="str">
        <f>IF(INDEX(I.Gas.P2bY2C1E1,43)="","",INDEX(I.Gas.P2bY2C1E1,43))</f>
        <v/>
      </c>
      <c r="G27426" s="62"/>
      <c r="H27426" s="46" t="str">
        <f>IF(OR(I.Developer.P2b=FALSE,I.Facility.StandardPart="Part 2"),"Complete",IF(I.Product.P2bGasToPowerStatus&lt;&gt;"Yes","Complete",IF(AND(I.Gas.P2bY2Count&gt;=43,F27426=""),"Incomplete","Complete")))</f>
        <v>Complete</v>
      </c>
      <c r="I27426" s="48" t="s">
        <v>2605</v>
      </c>
    </row>
    <row r="27427" spans="2:9" ht="15" customHeight="1" x14ac:dyDescent="0.25">
      <c r="B27427" s="55" t="s">
        <v>399</v>
      </c>
      <c r="C27427" s="46">
        <v>44</v>
      </c>
      <c r="D27427" s="69" t="s">
        <v>29536</v>
      </c>
      <c r="E27427" s="62"/>
      <c r="F27427" s="62" t="str">
        <f>IF(INDEX(I.Gas.P2bY2C1E1,44)="","",INDEX(I.Gas.P2bY2C1E1,44))</f>
        <v/>
      </c>
      <c r="G27427" s="62"/>
      <c r="H27427" s="46" t="str">
        <f>IF(OR(I.Developer.P2b=FALSE,I.Facility.StandardPart="Part 2"),"Complete",IF(I.Product.P2bGasToPowerStatus&lt;&gt;"Yes","Complete",IF(AND(I.Gas.P2bY2Count&gt;=44,F27427=""),"Incomplete","Complete")))</f>
        <v>Complete</v>
      </c>
      <c r="I27427" s="48" t="s">
        <v>2606</v>
      </c>
    </row>
    <row r="27428" spans="2:9" ht="15" customHeight="1" x14ac:dyDescent="0.25">
      <c r="B27428" s="55" t="s">
        <v>399</v>
      </c>
      <c r="C27428" s="46">
        <v>45</v>
      </c>
      <c r="D27428" s="69" t="s">
        <v>29536</v>
      </c>
      <c r="E27428" s="62"/>
      <c r="F27428" s="62" t="str">
        <f>IF(INDEX(I.Gas.P2bY2C1E1,45)="","",INDEX(I.Gas.P2bY2C1E1,45))</f>
        <v/>
      </c>
      <c r="G27428" s="62"/>
      <c r="H27428" s="46" t="str">
        <f>IF(OR(I.Developer.P2b=FALSE,I.Facility.StandardPart="Part 2"),"Complete",IF(I.Product.P2bGasToPowerStatus&lt;&gt;"Yes","Complete",IF(AND(I.Gas.P2bY2Count&gt;=45,F27428=""),"Incomplete","Complete")))</f>
        <v>Complete</v>
      </c>
      <c r="I27428" s="48" t="s">
        <v>2607</v>
      </c>
    </row>
    <row r="27429" spans="2:9" ht="15" customHeight="1" x14ac:dyDescent="0.25">
      <c r="B27429" s="55" t="s">
        <v>399</v>
      </c>
      <c r="C27429" s="46">
        <v>46</v>
      </c>
      <c r="D27429" s="69" t="s">
        <v>29536</v>
      </c>
      <c r="E27429" s="62"/>
      <c r="F27429" s="62" t="str">
        <f>IF(INDEX(I.Gas.P2bY2C1E1,46)="","",INDEX(I.Gas.P2bY2C1E1,46))</f>
        <v/>
      </c>
      <c r="G27429" s="62"/>
      <c r="H27429" s="46" t="str">
        <f>IF(OR(I.Developer.P2b=FALSE,I.Facility.StandardPart="Part 2"),"Complete",IF(I.Product.P2bGasToPowerStatus&lt;&gt;"Yes","Complete",IF(AND(I.Gas.P2bY2Count&gt;=46,F27429=""),"Incomplete","Complete")))</f>
        <v>Complete</v>
      </c>
      <c r="I27429" s="48" t="s">
        <v>2608</v>
      </c>
    </row>
    <row r="27430" spans="2:9" ht="15" customHeight="1" x14ac:dyDescent="0.25">
      <c r="B27430" s="55" t="s">
        <v>399</v>
      </c>
      <c r="C27430" s="46">
        <v>47</v>
      </c>
      <c r="D27430" s="69" t="s">
        <v>29536</v>
      </c>
      <c r="E27430" s="62"/>
      <c r="F27430" s="62" t="str">
        <f>IF(INDEX(I.Gas.P2bY2C1E1,47)="","",INDEX(I.Gas.P2bY2C1E1,47))</f>
        <v/>
      </c>
      <c r="G27430" s="62"/>
      <c r="H27430" s="46" t="str">
        <f>IF(OR(I.Developer.P2b=FALSE,I.Facility.StandardPart="Part 2"),"Complete",IF(I.Product.P2bGasToPowerStatus&lt;&gt;"Yes","Complete",IF(AND(I.Gas.P2bY2Count&gt;=47,F27430=""),"Incomplete","Complete")))</f>
        <v>Complete</v>
      </c>
      <c r="I27430" s="48" t="s">
        <v>2609</v>
      </c>
    </row>
    <row r="27431" spans="2:9" ht="15" customHeight="1" x14ac:dyDescent="0.25">
      <c r="B27431" s="55" t="s">
        <v>399</v>
      </c>
      <c r="C27431" s="46">
        <v>48</v>
      </c>
      <c r="D27431" s="69" t="s">
        <v>29536</v>
      </c>
      <c r="E27431" s="62"/>
      <c r="F27431" s="62" t="str">
        <f>IF(INDEX(I.Gas.P2bY2C1E1,48)="","",INDEX(I.Gas.P2bY2C1E1,48))</f>
        <v/>
      </c>
      <c r="G27431" s="62"/>
      <c r="H27431" s="46" t="str">
        <f>IF(OR(I.Developer.P2b=FALSE,I.Facility.StandardPart="Part 2"),"Complete",IF(I.Product.P2bGasToPowerStatus&lt;&gt;"Yes","Complete",IF(AND(I.Gas.P2bY2Count&gt;=48,F27431=""),"Incomplete","Complete")))</f>
        <v>Complete</v>
      </c>
      <c r="I27431" s="48" t="s">
        <v>2610</v>
      </c>
    </row>
    <row r="27432" spans="2:9" ht="15" customHeight="1" x14ac:dyDescent="0.25">
      <c r="B27432" s="55" t="s">
        <v>399</v>
      </c>
      <c r="C27432" s="46">
        <v>49</v>
      </c>
      <c r="D27432" s="69" t="s">
        <v>29536</v>
      </c>
      <c r="E27432" s="62"/>
      <c r="F27432" s="62" t="str">
        <f>IF(INDEX(I.Gas.P2bY2C1E1,49)="","",INDEX(I.Gas.P2bY2C1E1,49))</f>
        <v/>
      </c>
      <c r="G27432" s="62"/>
      <c r="H27432" s="46" t="str">
        <f>IF(OR(I.Developer.P2b=FALSE,I.Facility.StandardPart="Part 2"),"Complete",IF(I.Product.P2bGasToPowerStatus&lt;&gt;"Yes","Complete",IF(AND(I.Gas.P2bY2Count&gt;=49,F27432=""),"Incomplete","Complete")))</f>
        <v>Complete</v>
      </c>
      <c r="I27432" s="48" t="s">
        <v>2611</v>
      </c>
    </row>
    <row r="27433" spans="2:9" ht="15" customHeight="1" x14ac:dyDescent="0.25">
      <c r="B27433" s="56" t="s">
        <v>399</v>
      </c>
      <c r="C27433" s="57">
        <v>50</v>
      </c>
      <c r="D27433" s="71" t="s">
        <v>29536</v>
      </c>
      <c r="E27433" s="61"/>
      <c r="F27433" s="61" t="str">
        <f>IF(INDEX(I.Gas.P2bY2C1E1,50)="","",INDEX(I.Gas.P2bY2C1E1,50))</f>
        <v/>
      </c>
      <c r="G27433" s="61"/>
      <c r="H27433" s="57" t="str">
        <f>IF(OR(I.Developer.P2b=FALSE,I.Facility.StandardPart="Part 2"),"Complete",IF(I.Product.P2bGasToPowerStatus&lt;&gt;"Yes","Complete",IF(AND(I.Gas.P2bY2Count&gt;=50,F27433=""),"Incomplete","Complete")))</f>
        <v>Complete</v>
      </c>
      <c r="I27433" s="49" t="s">
        <v>2612</v>
      </c>
    </row>
    <row r="27434" spans="2:9" ht="15" customHeight="1" x14ac:dyDescent="0.25">
      <c r="B27434" s="55" t="s">
        <v>400</v>
      </c>
      <c r="C27434" s="46">
        <v>1</v>
      </c>
      <c r="D27434" s="69" t="s">
        <v>29537</v>
      </c>
      <c r="E27434" s="62"/>
      <c r="F27434" s="62" t="str">
        <f>IF(INDEX(I.Gas.P2bY2C1E2,1)="","",INDEX(I.Gas.P2bY2C1E2,1))</f>
        <v/>
      </c>
      <c r="G27434" s="62"/>
      <c r="H27434" s="46" t="str">
        <f>IF(OR(I.Developer.P2b=FALSE,I.Facility.StandardPart="Part 2"),"Complete",IF(I.Product.P2bGasToPowerStatus&lt;&gt;"Yes","Complete",IF(AND(I.Gas.P2bY2Count&gt;=1,F27434=""),"Incomplete","Complete")))</f>
        <v>Complete</v>
      </c>
      <c r="I27434" s="48" t="s">
        <v>2613</v>
      </c>
    </row>
    <row r="27435" spans="2:9" ht="15" customHeight="1" x14ac:dyDescent="0.25">
      <c r="B27435" s="55" t="s">
        <v>400</v>
      </c>
      <c r="C27435" s="46">
        <v>2</v>
      </c>
      <c r="D27435" s="69" t="s">
        <v>29537</v>
      </c>
      <c r="E27435" s="62"/>
      <c r="F27435" s="62" t="str">
        <f>IF(INDEX(I.Gas.P2bY2C1E2,2)="","",INDEX(I.Gas.P2bY2C1E2,2))</f>
        <v/>
      </c>
      <c r="G27435" s="62"/>
      <c r="H27435" s="46" t="str">
        <f>IF(OR(I.Developer.P2b=FALSE,I.Facility.StandardPart="Part 2"),"Complete",IF(I.Product.P2bGasToPowerStatus&lt;&gt;"Yes","Complete",IF(AND(I.Gas.P2bY2Count&gt;=2,F27435=""),"Incomplete","Complete")))</f>
        <v>Complete</v>
      </c>
      <c r="I27435" s="48" t="s">
        <v>2614</v>
      </c>
    </row>
    <row r="27436" spans="2:9" ht="15" customHeight="1" x14ac:dyDescent="0.25">
      <c r="B27436" s="55" t="s">
        <v>400</v>
      </c>
      <c r="C27436" s="46">
        <v>3</v>
      </c>
      <c r="D27436" s="69" t="s">
        <v>29537</v>
      </c>
      <c r="E27436" s="62"/>
      <c r="F27436" s="62" t="str">
        <f>IF(INDEX(I.Gas.P2bY2C1E2,3)="","",INDEX(I.Gas.P2bY2C1E2,3))</f>
        <v/>
      </c>
      <c r="G27436" s="62"/>
      <c r="H27436" s="46" t="str">
        <f>IF(OR(I.Developer.P2b=FALSE,I.Facility.StandardPart="Part 2"),"Complete",IF(I.Product.P2bGasToPowerStatus&lt;&gt;"Yes","Complete",IF(AND(I.Gas.P2bY2Count&gt;=3,F27436=""),"Incomplete","Complete")))</f>
        <v>Complete</v>
      </c>
      <c r="I27436" s="48" t="s">
        <v>2615</v>
      </c>
    </row>
    <row r="27437" spans="2:9" ht="15" customHeight="1" x14ac:dyDescent="0.25">
      <c r="B27437" s="55" t="s">
        <v>400</v>
      </c>
      <c r="C27437" s="46">
        <v>4</v>
      </c>
      <c r="D27437" s="69" t="s">
        <v>29537</v>
      </c>
      <c r="E27437" s="62"/>
      <c r="F27437" s="62" t="str">
        <f>IF(INDEX(I.Gas.P2bY2C1E2,4)="","",INDEX(I.Gas.P2bY2C1E2,4))</f>
        <v/>
      </c>
      <c r="G27437" s="62"/>
      <c r="H27437" s="46" t="str">
        <f>IF(OR(I.Developer.P2b=FALSE,I.Facility.StandardPart="Part 2"),"Complete",IF(I.Product.P2bGasToPowerStatus&lt;&gt;"Yes","Complete",IF(AND(I.Gas.P2bY2Count&gt;=4,F27437=""),"Incomplete","Complete")))</f>
        <v>Complete</v>
      </c>
      <c r="I27437" s="48" t="s">
        <v>2616</v>
      </c>
    </row>
    <row r="27438" spans="2:9" ht="15" customHeight="1" x14ac:dyDescent="0.25">
      <c r="B27438" s="55" t="s">
        <v>400</v>
      </c>
      <c r="C27438" s="46">
        <v>5</v>
      </c>
      <c r="D27438" s="69" t="s">
        <v>29537</v>
      </c>
      <c r="E27438" s="62"/>
      <c r="F27438" s="62" t="str">
        <f>IF(INDEX(I.Gas.P2bY2C1E2,5)="","",INDEX(I.Gas.P2bY2C1E2,5))</f>
        <v/>
      </c>
      <c r="G27438" s="62"/>
      <c r="H27438" s="46" t="str">
        <f>IF(OR(I.Developer.P2b=FALSE,I.Facility.StandardPart="Part 2"),"Complete",IF(I.Product.P2bGasToPowerStatus&lt;&gt;"Yes","Complete",IF(AND(I.Gas.P2bY2Count&gt;=5,F27438=""),"Incomplete","Complete")))</f>
        <v>Complete</v>
      </c>
      <c r="I27438" s="48" t="s">
        <v>2617</v>
      </c>
    </row>
    <row r="27439" spans="2:9" ht="15" customHeight="1" x14ac:dyDescent="0.25">
      <c r="B27439" s="55" t="s">
        <v>400</v>
      </c>
      <c r="C27439" s="46">
        <v>6</v>
      </c>
      <c r="D27439" s="69" t="s">
        <v>29537</v>
      </c>
      <c r="E27439" s="62"/>
      <c r="F27439" s="62" t="str">
        <f>IF(INDEX(I.Gas.P2bY2C1E2,6)="","",INDEX(I.Gas.P2bY2C1E2,6))</f>
        <v/>
      </c>
      <c r="G27439" s="62"/>
      <c r="H27439" s="46" t="str">
        <f>IF(OR(I.Developer.P2b=FALSE,I.Facility.StandardPart="Part 2"),"Complete",IF(I.Product.P2bGasToPowerStatus&lt;&gt;"Yes","Complete",IF(AND(I.Gas.P2bY2Count&gt;=6,F27439=""),"Incomplete","Complete")))</f>
        <v>Complete</v>
      </c>
      <c r="I27439" s="48" t="s">
        <v>2618</v>
      </c>
    </row>
    <row r="27440" spans="2:9" ht="15" customHeight="1" x14ac:dyDescent="0.25">
      <c r="B27440" s="55" t="s">
        <v>400</v>
      </c>
      <c r="C27440" s="46">
        <v>7</v>
      </c>
      <c r="D27440" s="69" t="s">
        <v>29537</v>
      </c>
      <c r="E27440" s="62"/>
      <c r="F27440" s="62" t="str">
        <f>IF(INDEX(I.Gas.P2bY2C1E2,7)="","",INDEX(I.Gas.P2bY2C1E2,7))</f>
        <v/>
      </c>
      <c r="G27440" s="62"/>
      <c r="H27440" s="46" t="str">
        <f>IF(OR(I.Developer.P2b=FALSE,I.Facility.StandardPart="Part 2"),"Complete",IF(I.Product.P2bGasToPowerStatus&lt;&gt;"Yes","Complete",IF(AND(I.Gas.P2bY2Count&gt;=7,F27440=""),"Incomplete","Complete")))</f>
        <v>Complete</v>
      </c>
      <c r="I27440" s="48" t="s">
        <v>2619</v>
      </c>
    </row>
    <row r="27441" spans="2:9" ht="15" customHeight="1" x14ac:dyDescent="0.25">
      <c r="B27441" s="55" t="s">
        <v>400</v>
      </c>
      <c r="C27441" s="46">
        <v>8</v>
      </c>
      <c r="D27441" s="69" t="s">
        <v>29537</v>
      </c>
      <c r="E27441" s="62"/>
      <c r="F27441" s="62" t="str">
        <f>IF(INDEX(I.Gas.P2bY2C1E2,8)="","",INDEX(I.Gas.P2bY2C1E2,8))</f>
        <v/>
      </c>
      <c r="G27441" s="62"/>
      <c r="H27441" s="46" t="str">
        <f>IF(OR(I.Developer.P2b=FALSE,I.Facility.StandardPart="Part 2"),"Complete",IF(I.Product.P2bGasToPowerStatus&lt;&gt;"Yes","Complete",IF(AND(I.Gas.P2bY2Count&gt;=8,F27441=""),"Incomplete","Complete")))</f>
        <v>Complete</v>
      </c>
      <c r="I27441" s="48" t="s">
        <v>2620</v>
      </c>
    </row>
    <row r="27442" spans="2:9" ht="15" customHeight="1" x14ac:dyDescent="0.25">
      <c r="B27442" s="55" t="s">
        <v>400</v>
      </c>
      <c r="C27442" s="46">
        <v>9</v>
      </c>
      <c r="D27442" s="69" t="s">
        <v>29537</v>
      </c>
      <c r="E27442" s="62"/>
      <c r="F27442" s="62" t="str">
        <f>IF(INDEX(I.Gas.P2bY2C1E2,9)="","",INDEX(I.Gas.P2bY2C1E2,9))</f>
        <v/>
      </c>
      <c r="G27442" s="62"/>
      <c r="H27442" s="46" t="str">
        <f>IF(OR(I.Developer.P2b=FALSE,I.Facility.StandardPart="Part 2"),"Complete",IF(I.Product.P2bGasToPowerStatus&lt;&gt;"Yes","Complete",IF(AND(I.Gas.P2bY2Count&gt;=9,F27442=""),"Incomplete","Complete")))</f>
        <v>Complete</v>
      </c>
      <c r="I27442" s="48" t="s">
        <v>2621</v>
      </c>
    </row>
    <row r="27443" spans="2:9" ht="15" customHeight="1" x14ac:dyDescent="0.25">
      <c r="B27443" s="55" t="s">
        <v>400</v>
      </c>
      <c r="C27443" s="46">
        <v>10</v>
      </c>
      <c r="D27443" s="69" t="s">
        <v>29537</v>
      </c>
      <c r="E27443" s="62"/>
      <c r="F27443" s="62" t="str">
        <f>IF(INDEX(I.Gas.P2bY2C1E2,10)="","",INDEX(I.Gas.P2bY2C1E2,10))</f>
        <v/>
      </c>
      <c r="G27443" s="62"/>
      <c r="H27443" s="46" t="str">
        <f>IF(OR(I.Developer.P2b=FALSE,I.Facility.StandardPart="Part 2"),"Complete",IF(I.Product.P2bGasToPowerStatus&lt;&gt;"Yes","Complete",IF(AND(I.Gas.P2bY2Count&gt;=10,F27443=""),"Incomplete","Complete")))</f>
        <v>Complete</v>
      </c>
      <c r="I27443" s="48" t="s">
        <v>2622</v>
      </c>
    </row>
    <row r="27444" spans="2:9" ht="15" customHeight="1" x14ac:dyDescent="0.25">
      <c r="B27444" s="55" t="s">
        <v>400</v>
      </c>
      <c r="C27444" s="46">
        <v>11</v>
      </c>
      <c r="D27444" s="69" t="s">
        <v>29537</v>
      </c>
      <c r="E27444" s="62"/>
      <c r="F27444" s="62" t="str">
        <f>IF(INDEX(I.Gas.P2bY2C1E2,11)="","",INDEX(I.Gas.P2bY2C1E2,11))</f>
        <v/>
      </c>
      <c r="G27444" s="62"/>
      <c r="H27444" s="46" t="str">
        <f>IF(OR(I.Developer.P2b=FALSE,I.Facility.StandardPart="Part 2"),"Complete",IF(I.Product.P2bGasToPowerStatus&lt;&gt;"Yes","Complete",IF(AND(I.Gas.P2bY2Count&gt;=11,F27444=""),"Incomplete","Complete")))</f>
        <v>Complete</v>
      </c>
      <c r="I27444" s="48" t="s">
        <v>2623</v>
      </c>
    </row>
    <row r="27445" spans="2:9" ht="15" customHeight="1" x14ac:dyDescent="0.25">
      <c r="B27445" s="55" t="s">
        <v>400</v>
      </c>
      <c r="C27445" s="46">
        <v>12</v>
      </c>
      <c r="D27445" s="69" t="s">
        <v>29537</v>
      </c>
      <c r="E27445" s="62"/>
      <c r="F27445" s="62" t="str">
        <f>IF(INDEX(I.Gas.P2bY2C1E2,12)="","",INDEX(I.Gas.P2bY2C1E2,12))</f>
        <v/>
      </c>
      <c r="G27445" s="62"/>
      <c r="H27445" s="46" t="str">
        <f>IF(OR(I.Developer.P2b=FALSE,I.Facility.StandardPart="Part 2"),"Complete",IF(I.Product.P2bGasToPowerStatus&lt;&gt;"Yes","Complete",IF(AND(I.Gas.P2bY2Count&gt;=12,F27445=""),"Incomplete","Complete")))</f>
        <v>Complete</v>
      </c>
      <c r="I27445" s="48" t="s">
        <v>2624</v>
      </c>
    </row>
    <row r="27446" spans="2:9" ht="15" customHeight="1" x14ac:dyDescent="0.25">
      <c r="B27446" s="55" t="s">
        <v>400</v>
      </c>
      <c r="C27446" s="46">
        <v>13</v>
      </c>
      <c r="D27446" s="69" t="s">
        <v>29537</v>
      </c>
      <c r="E27446" s="62"/>
      <c r="F27446" s="62" t="str">
        <f>IF(INDEX(I.Gas.P2bY2C1E2,13)="","",INDEX(I.Gas.P2bY2C1E2,13))</f>
        <v/>
      </c>
      <c r="G27446" s="62"/>
      <c r="H27446" s="46" t="str">
        <f>IF(OR(I.Developer.P2b=FALSE,I.Facility.StandardPart="Part 2"),"Complete",IF(I.Product.P2bGasToPowerStatus&lt;&gt;"Yes","Complete",IF(AND(I.Gas.P2bY2Count&gt;=13,F27446=""),"Incomplete","Complete")))</f>
        <v>Complete</v>
      </c>
      <c r="I27446" s="48" t="s">
        <v>2625</v>
      </c>
    </row>
    <row r="27447" spans="2:9" ht="15" customHeight="1" x14ac:dyDescent="0.25">
      <c r="B27447" s="55" t="s">
        <v>400</v>
      </c>
      <c r="C27447" s="46">
        <v>14</v>
      </c>
      <c r="D27447" s="69" t="s">
        <v>29537</v>
      </c>
      <c r="E27447" s="62"/>
      <c r="F27447" s="62" t="str">
        <f>IF(INDEX(I.Gas.P2bY2C1E2,14)="","",INDEX(I.Gas.P2bY2C1E2,14))</f>
        <v/>
      </c>
      <c r="G27447" s="62"/>
      <c r="H27447" s="46" t="str">
        <f>IF(OR(I.Developer.P2b=FALSE,I.Facility.StandardPart="Part 2"),"Complete",IF(I.Product.P2bGasToPowerStatus&lt;&gt;"Yes","Complete",IF(AND(I.Gas.P2bY2Count&gt;=14,F27447=""),"Incomplete","Complete")))</f>
        <v>Complete</v>
      </c>
      <c r="I27447" s="48" t="s">
        <v>2626</v>
      </c>
    </row>
    <row r="27448" spans="2:9" ht="15" customHeight="1" x14ac:dyDescent="0.25">
      <c r="B27448" s="55" t="s">
        <v>400</v>
      </c>
      <c r="C27448" s="46">
        <v>15</v>
      </c>
      <c r="D27448" s="69" t="s">
        <v>29537</v>
      </c>
      <c r="E27448" s="62"/>
      <c r="F27448" s="62" t="str">
        <f>IF(INDEX(I.Gas.P2bY2C1E2,15)="","",INDEX(I.Gas.P2bY2C1E2,15))</f>
        <v/>
      </c>
      <c r="G27448" s="62"/>
      <c r="H27448" s="46" t="str">
        <f>IF(OR(I.Developer.P2b=FALSE,I.Facility.StandardPart="Part 2"),"Complete",IF(I.Product.P2bGasToPowerStatus&lt;&gt;"Yes","Complete",IF(AND(I.Gas.P2bY2Count&gt;=15,F27448=""),"Incomplete","Complete")))</f>
        <v>Complete</v>
      </c>
      <c r="I27448" s="48" t="s">
        <v>2627</v>
      </c>
    </row>
    <row r="27449" spans="2:9" ht="15" customHeight="1" x14ac:dyDescent="0.25">
      <c r="B27449" s="55" t="s">
        <v>400</v>
      </c>
      <c r="C27449" s="46">
        <v>16</v>
      </c>
      <c r="D27449" s="69" t="s">
        <v>29537</v>
      </c>
      <c r="E27449" s="62"/>
      <c r="F27449" s="62" t="str">
        <f>IF(INDEX(I.Gas.P2bY2C1E2,16)="","",INDEX(I.Gas.P2bY2C1E2,16))</f>
        <v/>
      </c>
      <c r="G27449" s="62"/>
      <c r="H27449" s="46" t="str">
        <f>IF(OR(I.Developer.P2b=FALSE,I.Facility.StandardPart="Part 2"),"Complete",IF(I.Product.P2bGasToPowerStatus&lt;&gt;"Yes","Complete",IF(AND(I.Gas.P2bY2Count&gt;=16,F27449=""),"Incomplete","Complete")))</f>
        <v>Complete</v>
      </c>
      <c r="I27449" s="48" t="s">
        <v>2628</v>
      </c>
    </row>
    <row r="27450" spans="2:9" ht="15" customHeight="1" x14ac:dyDescent="0.25">
      <c r="B27450" s="55" t="s">
        <v>400</v>
      </c>
      <c r="C27450" s="46">
        <v>17</v>
      </c>
      <c r="D27450" s="69" t="s">
        <v>29537</v>
      </c>
      <c r="E27450" s="62"/>
      <c r="F27450" s="62" t="str">
        <f>IF(INDEX(I.Gas.P2bY2C1E2,17)="","",INDEX(I.Gas.P2bY2C1E2,17))</f>
        <v/>
      </c>
      <c r="G27450" s="62"/>
      <c r="H27450" s="46" t="str">
        <f>IF(OR(I.Developer.P2b=FALSE,I.Facility.StandardPart="Part 2"),"Complete",IF(I.Product.P2bGasToPowerStatus&lt;&gt;"Yes","Complete",IF(AND(I.Gas.P2bY2Count&gt;=17,F27450=""),"Incomplete","Complete")))</f>
        <v>Complete</v>
      </c>
      <c r="I27450" s="48" t="s">
        <v>2629</v>
      </c>
    </row>
    <row r="27451" spans="2:9" ht="15" customHeight="1" x14ac:dyDescent="0.25">
      <c r="B27451" s="55" t="s">
        <v>400</v>
      </c>
      <c r="C27451" s="46">
        <v>18</v>
      </c>
      <c r="D27451" s="69" t="s">
        <v>29537</v>
      </c>
      <c r="E27451" s="62"/>
      <c r="F27451" s="62" t="str">
        <f>IF(INDEX(I.Gas.P2bY2C1E2,18)="","",INDEX(I.Gas.P2bY2C1E2,18))</f>
        <v/>
      </c>
      <c r="G27451" s="62"/>
      <c r="H27451" s="46" t="str">
        <f>IF(OR(I.Developer.P2b=FALSE,I.Facility.StandardPart="Part 2"),"Complete",IF(I.Product.P2bGasToPowerStatus&lt;&gt;"Yes","Complete",IF(AND(I.Gas.P2bY2Count&gt;=18,F27451=""),"Incomplete","Complete")))</f>
        <v>Complete</v>
      </c>
      <c r="I27451" s="48" t="s">
        <v>2630</v>
      </c>
    </row>
    <row r="27452" spans="2:9" ht="15" customHeight="1" x14ac:dyDescent="0.25">
      <c r="B27452" s="55" t="s">
        <v>400</v>
      </c>
      <c r="C27452" s="46">
        <v>19</v>
      </c>
      <c r="D27452" s="69" t="s">
        <v>29537</v>
      </c>
      <c r="E27452" s="62"/>
      <c r="F27452" s="62" t="str">
        <f>IF(INDEX(I.Gas.P2bY2C1E2,19)="","",INDEX(I.Gas.P2bY2C1E2,19))</f>
        <v/>
      </c>
      <c r="G27452" s="62"/>
      <c r="H27452" s="46" t="str">
        <f>IF(OR(I.Developer.P2b=FALSE,I.Facility.StandardPart="Part 2"),"Complete",IF(I.Product.P2bGasToPowerStatus&lt;&gt;"Yes","Complete",IF(AND(I.Gas.P2bY2Count&gt;=19,F27452=""),"Incomplete","Complete")))</f>
        <v>Complete</v>
      </c>
      <c r="I27452" s="48" t="s">
        <v>2631</v>
      </c>
    </row>
    <row r="27453" spans="2:9" ht="15" customHeight="1" x14ac:dyDescent="0.25">
      <c r="B27453" s="55" t="s">
        <v>400</v>
      </c>
      <c r="C27453" s="46">
        <v>20</v>
      </c>
      <c r="D27453" s="69" t="s">
        <v>29537</v>
      </c>
      <c r="E27453" s="62"/>
      <c r="F27453" s="62" t="str">
        <f>IF(INDEX(I.Gas.P2bY2C1E2,20)="","",INDEX(I.Gas.P2bY2C1E2,20))</f>
        <v/>
      </c>
      <c r="G27453" s="62"/>
      <c r="H27453" s="46" t="str">
        <f>IF(OR(I.Developer.P2b=FALSE,I.Facility.StandardPart="Part 2"),"Complete",IF(I.Product.P2bGasToPowerStatus&lt;&gt;"Yes","Complete",IF(AND(I.Gas.P2bY2Count&gt;=20,F27453=""),"Incomplete","Complete")))</f>
        <v>Complete</v>
      </c>
      <c r="I27453" s="48" t="s">
        <v>2632</v>
      </c>
    </row>
    <row r="27454" spans="2:9" ht="15" customHeight="1" x14ac:dyDescent="0.25">
      <c r="B27454" s="55" t="s">
        <v>400</v>
      </c>
      <c r="C27454" s="46">
        <v>21</v>
      </c>
      <c r="D27454" s="69" t="s">
        <v>29537</v>
      </c>
      <c r="E27454" s="62"/>
      <c r="F27454" s="62" t="str">
        <f>IF(INDEX(I.Gas.P2bY2C1E2,21)="","",INDEX(I.Gas.P2bY2C1E2,21))</f>
        <v/>
      </c>
      <c r="G27454" s="62"/>
      <c r="H27454" s="46" t="str">
        <f>IF(OR(I.Developer.P2b=FALSE,I.Facility.StandardPart="Part 2"),"Complete",IF(I.Product.P2bGasToPowerStatus&lt;&gt;"Yes","Complete",IF(AND(I.Gas.P2bY2Count&gt;=21,F27454=""),"Incomplete","Complete")))</f>
        <v>Complete</v>
      </c>
      <c r="I27454" s="48" t="s">
        <v>2633</v>
      </c>
    </row>
    <row r="27455" spans="2:9" ht="15" customHeight="1" x14ac:dyDescent="0.25">
      <c r="B27455" s="55" t="s">
        <v>400</v>
      </c>
      <c r="C27455" s="46">
        <v>22</v>
      </c>
      <c r="D27455" s="69" t="s">
        <v>29537</v>
      </c>
      <c r="E27455" s="62"/>
      <c r="F27455" s="62" t="str">
        <f>IF(INDEX(I.Gas.P2bY2C1E2,22)="","",INDEX(I.Gas.P2bY2C1E2,22))</f>
        <v/>
      </c>
      <c r="G27455" s="62"/>
      <c r="H27455" s="46" t="str">
        <f>IF(OR(I.Developer.P2b=FALSE,I.Facility.StandardPart="Part 2"),"Complete",IF(I.Product.P2bGasToPowerStatus&lt;&gt;"Yes","Complete",IF(AND(I.Gas.P2bY2Count&gt;=22,F27455=""),"Incomplete","Complete")))</f>
        <v>Complete</v>
      </c>
      <c r="I27455" s="48" t="s">
        <v>2634</v>
      </c>
    </row>
    <row r="27456" spans="2:9" ht="15" customHeight="1" x14ac:dyDescent="0.25">
      <c r="B27456" s="55" t="s">
        <v>400</v>
      </c>
      <c r="C27456" s="46">
        <v>23</v>
      </c>
      <c r="D27456" s="69" t="s">
        <v>29537</v>
      </c>
      <c r="E27456" s="62"/>
      <c r="F27456" s="62" t="str">
        <f>IF(INDEX(I.Gas.P2bY2C1E2,23)="","",INDEX(I.Gas.P2bY2C1E2,23))</f>
        <v/>
      </c>
      <c r="G27456" s="62"/>
      <c r="H27456" s="46" t="str">
        <f>IF(OR(I.Developer.P2b=FALSE,I.Facility.StandardPart="Part 2"),"Complete",IF(I.Product.P2bGasToPowerStatus&lt;&gt;"Yes","Complete",IF(AND(I.Gas.P2bY2Count&gt;=23,F27456=""),"Incomplete","Complete")))</f>
        <v>Complete</v>
      </c>
      <c r="I27456" s="48" t="s">
        <v>2635</v>
      </c>
    </row>
    <row r="27457" spans="2:9" ht="15" customHeight="1" x14ac:dyDescent="0.25">
      <c r="B27457" s="55" t="s">
        <v>400</v>
      </c>
      <c r="C27457" s="46">
        <v>24</v>
      </c>
      <c r="D27457" s="69" t="s">
        <v>29537</v>
      </c>
      <c r="E27457" s="62"/>
      <c r="F27457" s="62" t="str">
        <f>IF(INDEX(I.Gas.P2bY2C1E2,24)="","",INDEX(I.Gas.P2bY2C1E2,24))</f>
        <v/>
      </c>
      <c r="G27457" s="62"/>
      <c r="H27457" s="46" t="str">
        <f>IF(OR(I.Developer.P2b=FALSE,I.Facility.StandardPart="Part 2"),"Complete",IF(I.Product.P2bGasToPowerStatus&lt;&gt;"Yes","Complete",IF(AND(I.Gas.P2bY2Count&gt;=24,F27457=""),"Incomplete","Complete")))</f>
        <v>Complete</v>
      </c>
      <c r="I27457" s="48" t="s">
        <v>2636</v>
      </c>
    </row>
    <row r="27458" spans="2:9" ht="15" customHeight="1" x14ac:dyDescent="0.25">
      <c r="B27458" s="55" t="s">
        <v>400</v>
      </c>
      <c r="C27458" s="46">
        <v>25</v>
      </c>
      <c r="D27458" s="69" t="s">
        <v>29537</v>
      </c>
      <c r="E27458" s="62"/>
      <c r="F27458" s="62" t="str">
        <f>IF(INDEX(I.Gas.P2bY2C1E2,25)="","",INDEX(I.Gas.P2bY2C1E2,25))</f>
        <v/>
      </c>
      <c r="G27458" s="62"/>
      <c r="H27458" s="46" t="str">
        <f>IF(OR(I.Developer.P2b=FALSE,I.Facility.StandardPart="Part 2"),"Complete",IF(I.Product.P2bGasToPowerStatus&lt;&gt;"Yes","Complete",IF(AND(I.Gas.P2bY2Count&gt;=25,F27458=""),"Incomplete","Complete")))</f>
        <v>Complete</v>
      </c>
      <c r="I27458" s="48" t="s">
        <v>2637</v>
      </c>
    </row>
    <row r="27459" spans="2:9" ht="15" customHeight="1" x14ac:dyDescent="0.25">
      <c r="B27459" s="55" t="s">
        <v>400</v>
      </c>
      <c r="C27459" s="46">
        <v>26</v>
      </c>
      <c r="D27459" s="69" t="s">
        <v>29537</v>
      </c>
      <c r="E27459" s="62"/>
      <c r="F27459" s="62" t="str">
        <f>IF(INDEX(I.Gas.P2bY2C1E2,26)="","",INDEX(I.Gas.P2bY2C1E2,26))</f>
        <v/>
      </c>
      <c r="G27459" s="62"/>
      <c r="H27459" s="46" t="str">
        <f>IF(OR(I.Developer.P2b=FALSE,I.Facility.StandardPart="Part 2"),"Complete",IF(I.Product.P2bGasToPowerStatus&lt;&gt;"Yes","Complete",IF(AND(I.Gas.P2bY2Count&gt;=26,F27459=""),"Incomplete","Complete")))</f>
        <v>Complete</v>
      </c>
      <c r="I27459" s="48" t="s">
        <v>2638</v>
      </c>
    </row>
    <row r="27460" spans="2:9" ht="15" customHeight="1" x14ac:dyDescent="0.25">
      <c r="B27460" s="55" t="s">
        <v>400</v>
      </c>
      <c r="C27460" s="46">
        <v>27</v>
      </c>
      <c r="D27460" s="69" t="s">
        <v>29537</v>
      </c>
      <c r="E27460" s="62"/>
      <c r="F27460" s="62" t="str">
        <f>IF(INDEX(I.Gas.P2bY2C1E2,27)="","",INDEX(I.Gas.P2bY2C1E2,27))</f>
        <v/>
      </c>
      <c r="G27460" s="62"/>
      <c r="H27460" s="46" t="str">
        <f>IF(OR(I.Developer.P2b=FALSE,I.Facility.StandardPart="Part 2"),"Complete",IF(I.Product.P2bGasToPowerStatus&lt;&gt;"Yes","Complete",IF(AND(I.Gas.P2bY2Count&gt;=27,F27460=""),"Incomplete","Complete")))</f>
        <v>Complete</v>
      </c>
      <c r="I27460" s="48" t="s">
        <v>2639</v>
      </c>
    </row>
    <row r="27461" spans="2:9" ht="15" customHeight="1" x14ac:dyDescent="0.25">
      <c r="B27461" s="55" t="s">
        <v>400</v>
      </c>
      <c r="C27461" s="46">
        <v>28</v>
      </c>
      <c r="D27461" s="69" t="s">
        <v>29537</v>
      </c>
      <c r="E27461" s="62"/>
      <c r="F27461" s="62" t="str">
        <f>IF(INDEX(I.Gas.P2bY2C1E2,28)="","",INDEX(I.Gas.P2bY2C1E2,28))</f>
        <v/>
      </c>
      <c r="G27461" s="62"/>
      <c r="H27461" s="46" t="str">
        <f>IF(OR(I.Developer.P2b=FALSE,I.Facility.StandardPart="Part 2"),"Complete",IF(I.Product.P2bGasToPowerStatus&lt;&gt;"Yes","Complete",IF(AND(I.Gas.P2bY2Count&gt;=28,F27461=""),"Incomplete","Complete")))</f>
        <v>Complete</v>
      </c>
      <c r="I27461" s="48" t="s">
        <v>2640</v>
      </c>
    </row>
    <row r="27462" spans="2:9" ht="15" customHeight="1" x14ac:dyDescent="0.25">
      <c r="B27462" s="55" t="s">
        <v>400</v>
      </c>
      <c r="C27462" s="46">
        <v>29</v>
      </c>
      <c r="D27462" s="69" t="s">
        <v>29537</v>
      </c>
      <c r="E27462" s="62"/>
      <c r="F27462" s="62" t="str">
        <f>IF(INDEX(I.Gas.P2bY2C1E2,29)="","",INDEX(I.Gas.P2bY2C1E2,29))</f>
        <v/>
      </c>
      <c r="G27462" s="62"/>
      <c r="H27462" s="46" t="str">
        <f>IF(OR(I.Developer.P2b=FALSE,I.Facility.StandardPart="Part 2"),"Complete",IF(I.Product.P2bGasToPowerStatus&lt;&gt;"Yes","Complete",IF(AND(I.Gas.P2bY2Count&gt;=29,F27462=""),"Incomplete","Complete")))</f>
        <v>Complete</v>
      </c>
      <c r="I27462" s="48" t="s">
        <v>2641</v>
      </c>
    </row>
    <row r="27463" spans="2:9" ht="15" customHeight="1" x14ac:dyDescent="0.25">
      <c r="B27463" s="55" t="s">
        <v>400</v>
      </c>
      <c r="C27463" s="46">
        <v>30</v>
      </c>
      <c r="D27463" s="69" t="s">
        <v>29537</v>
      </c>
      <c r="E27463" s="62"/>
      <c r="F27463" s="62" t="str">
        <f>IF(INDEX(I.Gas.P2bY2C1E2,30)="","",INDEX(I.Gas.P2bY2C1E2,30))</f>
        <v/>
      </c>
      <c r="G27463" s="62"/>
      <c r="H27463" s="46" t="str">
        <f>IF(OR(I.Developer.P2b=FALSE,I.Facility.StandardPart="Part 2"),"Complete",IF(I.Product.P2bGasToPowerStatus&lt;&gt;"Yes","Complete",IF(AND(I.Gas.P2bY2Count&gt;=30,F27463=""),"Incomplete","Complete")))</f>
        <v>Complete</v>
      </c>
      <c r="I27463" s="48" t="s">
        <v>2642</v>
      </c>
    </row>
    <row r="27464" spans="2:9" ht="15" customHeight="1" x14ac:dyDescent="0.25">
      <c r="B27464" s="55" t="s">
        <v>400</v>
      </c>
      <c r="C27464" s="46">
        <v>31</v>
      </c>
      <c r="D27464" s="69" t="s">
        <v>29537</v>
      </c>
      <c r="E27464" s="62"/>
      <c r="F27464" s="62" t="str">
        <f>IF(INDEX(I.Gas.P2bY2C1E2,31)="","",INDEX(I.Gas.P2bY2C1E2,31))</f>
        <v/>
      </c>
      <c r="G27464" s="62"/>
      <c r="H27464" s="46" t="str">
        <f>IF(OR(I.Developer.P2b=FALSE,I.Facility.StandardPart="Part 2"),"Complete",IF(I.Product.P2bGasToPowerStatus&lt;&gt;"Yes","Complete",IF(AND(I.Gas.P2bY2Count&gt;=31,F27464=""),"Incomplete","Complete")))</f>
        <v>Complete</v>
      </c>
      <c r="I27464" s="48" t="s">
        <v>2643</v>
      </c>
    </row>
    <row r="27465" spans="2:9" ht="15" customHeight="1" x14ac:dyDescent="0.25">
      <c r="B27465" s="55" t="s">
        <v>400</v>
      </c>
      <c r="C27465" s="46">
        <v>32</v>
      </c>
      <c r="D27465" s="69" t="s">
        <v>29537</v>
      </c>
      <c r="E27465" s="62"/>
      <c r="F27465" s="62" t="str">
        <f>IF(INDEX(I.Gas.P2bY2C1E2,32)="","",INDEX(I.Gas.P2bY2C1E2,32))</f>
        <v/>
      </c>
      <c r="G27465" s="62"/>
      <c r="H27465" s="46" t="str">
        <f>IF(OR(I.Developer.P2b=FALSE,I.Facility.StandardPart="Part 2"),"Complete",IF(I.Product.P2bGasToPowerStatus&lt;&gt;"Yes","Complete",IF(AND(I.Gas.P2bY2Count&gt;=32,F27465=""),"Incomplete","Complete")))</f>
        <v>Complete</v>
      </c>
      <c r="I27465" s="48" t="s">
        <v>2644</v>
      </c>
    </row>
    <row r="27466" spans="2:9" ht="15" customHeight="1" x14ac:dyDescent="0.25">
      <c r="B27466" s="55" t="s">
        <v>400</v>
      </c>
      <c r="C27466" s="46">
        <v>33</v>
      </c>
      <c r="D27466" s="69" t="s">
        <v>29537</v>
      </c>
      <c r="E27466" s="62"/>
      <c r="F27466" s="62" t="str">
        <f>IF(INDEX(I.Gas.P2bY2C1E2,33)="","",INDEX(I.Gas.P2bY2C1E2,33))</f>
        <v/>
      </c>
      <c r="G27466" s="62"/>
      <c r="H27466" s="46" t="str">
        <f>IF(OR(I.Developer.P2b=FALSE,I.Facility.StandardPart="Part 2"),"Complete",IF(I.Product.P2bGasToPowerStatus&lt;&gt;"Yes","Complete",IF(AND(I.Gas.P2bY2Count&gt;=33,F27466=""),"Incomplete","Complete")))</f>
        <v>Complete</v>
      </c>
      <c r="I27466" s="48" t="s">
        <v>2645</v>
      </c>
    </row>
    <row r="27467" spans="2:9" ht="15" customHeight="1" x14ac:dyDescent="0.25">
      <c r="B27467" s="55" t="s">
        <v>400</v>
      </c>
      <c r="C27467" s="46">
        <v>34</v>
      </c>
      <c r="D27467" s="69" t="s">
        <v>29537</v>
      </c>
      <c r="E27467" s="62"/>
      <c r="F27467" s="62" t="str">
        <f>IF(INDEX(I.Gas.P2bY2C1E2,34)="","",INDEX(I.Gas.P2bY2C1E2,34))</f>
        <v/>
      </c>
      <c r="G27467" s="62"/>
      <c r="H27467" s="46" t="str">
        <f>IF(OR(I.Developer.P2b=FALSE,I.Facility.StandardPart="Part 2"),"Complete",IF(I.Product.P2bGasToPowerStatus&lt;&gt;"Yes","Complete",IF(AND(I.Gas.P2bY2Count&gt;=34,F27467=""),"Incomplete","Complete")))</f>
        <v>Complete</v>
      </c>
      <c r="I27467" s="48" t="s">
        <v>2646</v>
      </c>
    </row>
    <row r="27468" spans="2:9" ht="15" customHeight="1" x14ac:dyDescent="0.25">
      <c r="B27468" s="55" t="s">
        <v>400</v>
      </c>
      <c r="C27468" s="46">
        <v>35</v>
      </c>
      <c r="D27468" s="69" t="s">
        <v>29537</v>
      </c>
      <c r="E27468" s="62"/>
      <c r="F27468" s="62" t="str">
        <f>IF(INDEX(I.Gas.P2bY2C1E2,35)="","",INDEX(I.Gas.P2bY2C1E2,35))</f>
        <v/>
      </c>
      <c r="G27468" s="62"/>
      <c r="H27468" s="46" t="str">
        <f>IF(OR(I.Developer.P2b=FALSE,I.Facility.StandardPart="Part 2"),"Complete",IF(I.Product.P2bGasToPowerStatus&lt;&gt;"Yes","Complete",IF(AND(I.Gas.P2bY2Count&gt;=35,F27468=""),"Incomplete","Complete")))</f>
        <v>Complete</v>
      </c>
      <c r="I27468" s="48" t="s">
        <v>2647</v>
      </c>
    </row>
    <row r="27469" spans="2:9" ht="15" customHeight="1" x14ac:dyDescent="0.25">
      <c r="B27469" s="55" t="s">
        <v>400</v>
      </c>
      <c r="C27469" s="46">
        <v>36</v>
      </c>
      <c r="D27469" s="69" t="s">
        <v>29537</v>
      </c>
      <c r="E27469" s="62"/>
      <c r="F27469" s="62" t="str">
        <f>IF(INDEX(I.Gas.P2bY2C1E2,36)="","",INDEX(I.Gas.P2bY2C1E2,36))</f>
        <v/>
      </c>
      <c r="G27469" s="62"/>
      <c r="H27469" s="46" t="str">
        <f>IF(OR(I.Developer.P2b=FALSE,I.Facility.StandardPart="Part 2"),"Complete",IF(I.Product.P2bGasToPowerStatus&lt;&gt;"Yes","Complete",IF(AND(I.Gas.P2bY2Count&gt;=36,F27469=""),"Incomplete","Complete")))</f>
        <v>Complete</v>
      </c>
      <c r="I27469" s="48" t="s">
        <v>2648</v>
      </c>
    </row>
    <row r="27470" spans="2:9" ht="15" customHeight="1" x14ac:dyDescent="0.25">
      <c r="B27470" s="55" t="s">
        <v>400</v>
      </c>
      <c r="C27470" s="46">
        <v>37</v>
      </c>
      <c r="D27470" s="69" t="s">
        <v>29537</v>
      </c>
      <c r="E27470" s="62"/>
      <c r="F27470" s="62" t="str">
        <f>IF(INDEX(I.Gas.P2bY2C1E2,37)="","",INDEX(I.Gas.P2bY2C1E2,37))</f>
        <v/>
      </c>
      <c r="G27470" s="62"/>
      <c r="H27470" s="46" t="str">
        <f>IF(OR(I.Developer.P2b=FALSE,I.Facility.StandardPart="Part 2"),"Complete",IF(I.Product.P2bGasToPowerStatus&lt;&gt;"Yes","Complete",IF(AND(I.Gas.P2bY2Count&gt;=37,F27470=""),"Incomplete","Complete")))</f>
        <v>Complete</v>
      </c>
      <c r="I27470" s="48" t="s">
        <v>2649</v>
      </c>
    </row>
    <row r="27471" spans="2:9" ht="15" customHeight="1" x14ac:dyDescent="0.25">
      <c r="B27471" s="55" t="s">
        <v>400</v>
      </c>
      <c r="C27471" s="46">
        <v>38</v>
      </c>
      <c r="D27471" s="69" t="s">
        <v>29537</v>
      </c>
      <c r="E27471" s="62"/>
      <c r="F27471" s="62" t="str">
        <f>IF(INDEX(I.Gas.P2bY2C1E2,38)="","",INDEX(I.Gas.P2bY2C1E2,38))</f>
        <v/>
      </c>
      <c r="G27471" s="62"/>
      <c r="H27471" s="46" t="str">
        <f>IF(OR(I.Developer.P2b=FALSE,I.Facility.StandardPart="Part 2"),"Complete",IF(I.Product.P2bGasToPowerStatus&lt;&gt;"Yes","Complete",IF(AND(I.Gas.P2bY2Count&gt;=38,F27471=""),"Incomplete","Complete")))</f>
        <v>Complete</v>
      </c>
      <c r="I27471" s="48" t="s">
        <v>2650</v>
      </c>
    </row>
    <row r="27472" spans="2:9" ht="15" customHeight="1" x14ac:dyDescent="0.25">
      <c r="B27472" s="55" t="s">
        <v>400</v>
      </c>
      <c r="C27472" s="46">
        <v>39</v>
      </c>
      <c r="D27472" s="69" t="s">
        <v>29537</v>
      </c>
      <c r="E27472" s="62"/>
      <c r="F27472" s="62" t="str">
        <f>IF(INDEX(I.Gas.P2bY2C1E2,39)="","",INDEX(I.Gas.P2bY2C1E2,39))</f>
        <v/>
      </c>
      <c r="G27472" s="62"/>
      <c r="H27472" s="46" t="str">
        <f>IF(OR(I.Developer.P2b=FALSE,I.Facility.StandardPart="Part 2"),"Complete",IF(I.Product.P2bGasToPowerStatus&lt;&gt;"Yes","Complete",IF(AND(I.Gas.P2bY2Count&gt;=39,F27472=""),"Incomplete","Complete")))</f>
        <v>Complete</v>
      </c>
      <c r="I27472" s="48" t="s">
        <v>2651</v>
      </c>
    </row>
    <row r="27473" spans="2:9" ht="15" customHeight="1" x14ac:dyDescent="0.25">
      <c r="B27473" s="55" t="s">
        <v>400</v>
      </c>
      <c r="C27473" s="46">
        <v>40</v>
      </c>
      <c r="D27473" s="69" t="s">
        <v>29537</v>
      </c>
      <c r="E27473" s="62"/>
      <c r="F27473" s="62" t="str">
        <f>IF(INDEX(I.Gas.P2bY2C1E2,40)="","",INDEX(I.Gas.P2bY2C1E2,40))</f>
        <v/>
      </c>
      <c r="G27473" s="62"/>
      <c r="H27473" s="46" t="str">
        <f>IF(OR(I.Developer.P2b=FALSE,I.Facility.StandardPart="Part 2"),"Complete",IF(I.Product.P2bGasToPowerStatus&lt;&gt;"Yes","Complete",IF(AND(I.Gas.P2bY2Count&gt;=40,F27473=""),"Incomplete","Complete")))</f>
        <v>Complete</v>
      </c>
      <c r="I27473" s="48" t="s">
        <v>2652</v>
      </c>
    </row>
    <row r="27474" spans="2:9" ht="15" customHeight="1" x14ac:dyDescent="0.25">
      <c r="B27474" s="55" t="s">
        <v>400</v>
      </c>
      <c r="C27474" s="46">
        <v>41</v>
      </c>
      <c r="D27474" s="69" t="s">
        <v>29537</v>
      </c>
      <c r="E27474" s="62"/>
      <c r="F27474" s="62" t="str">
        <f>IF(INDEX(I.Gas.P2bY2C1E2,41)="","",INDEX(I.Gas.P2bY2C1E2,41))</f>
        <v/>
      </c>
      <c r="G27474" s="62"/>
      <c r="H27474" s="46" t="str">
        <f>IF(OR(I.Developer.P2b=FALSE,I.Facility.StandardPart="Part 2"),"Complete",IF(I.Product.P2bGasToPowerStatus&lt;&gt;"Yes","Complete",IF(AND(I.Gas.P2bY2Count&gt;=41,F27474=""),"Incomplete","Complete")))</f>
        <v>Complete</v>
      </c>
      <c r="I27474" s="48" t="s">
        <v>2653</v>
      </c>
    </row>
    <row r="27475" spans="2:9" ht="15" customHeight="1" x14ac:dyDescent="0.25">
      <c r="B27475" s="55" t="s">
        <v>400</v>
      </c>
      <c r="C27475" s="46">
        <v>42</v>
      </c>
      <c r="D27475" s="69" t="s">
        <v>29537</v>
      </c>
      <c r="E27475" s="62"/>
      <c r="F27475" s="62" t="str">
        <f>IF(INDEX(I.Gas.P2bY2C1E2,42)="","",INDEX(I.Gas.P2bY2C1E2,42))</f>
        <v/>
      </c>
      <c r="G27475" s="62"/>
      <c r="H27475" s="46" t="str">
        <f>IF(OR(I.Developer.P2b=FALSE,I.Facility.StandardPart="Part 2"),"Complete",IF(I.Product.P2bGasToPowerStatus&lt;&gt;"Yes","Complete",IF(AND(I.Gas.P2bY2Count&gt;=42,F27475=""),"Incomplete","Complete")))</f>
        <v>Complete</v>
      </c>
      <c r="I27475" s="48" t="s">
        <v>2654</v>
      </c>
    </row>
    <row r="27476" spans="2:9" ht="15" customHeight="1" x14ac:dyDescent="0.25">
      <c r="B27476" s="55" t="s">
        <v>400</v>
      </c>
      <c r="C27476" s="46">
        <v>43</v>
      </c>
      <c r="D27476" s="69" t="s">
        <v>29537</v>
      </c>
      <c r="E27476" s="62"/>
      <c r="F27476" s="62" t="str">
        <f>IF(INDEX(I.Gas.P2bY2C1E2,43)="","",INDEX(I.Gas.P2bY2C1E2,43))</f>
        <v/>
      </c>
      <c r="G27476" s="62"/>
      <c r="H27476" s="46" t="str">
        <f>IF(OR(I.Developer.P2b=FALSE,I.Facility.StandardPart="Part 2"),"Complete",IF(I.Product.P2bGasToPowerStatus&lt;&gt;"Yes","Complete",IF(AND(I.Gas.P2bY2Count&gt;=43,F27476=""),"Incomplete","Complete")))</f>
        <v>Complete</v>
      </c>
      <c r="I27476" s="48" t="s">
        <v>2655</v>
      </c>
    </row>
    <row r="27477" spans="2:9" ht="15" customHeight="1" x14ac:dyDescent="0.25">
      <c r="B27477" s="55" t="s">
        <v>400</v>
      </c>
      <c r="C27477" s="46">
        <v>44</v>
      </c>
      <c r="D27477" s="69" t="s">
        <v>29537</v>
      </c>
      <c r="E27477" s="62"/>
      <c r="F27477" s="62" t="str">
        <f>IF(INDEX(I.Gas.P2bY2C1E2,44)="","",INDEX(I.Gas.P2bY2C1E2,44))</f>
        <v/>
      </c>
      <c r="G27477" s="62"/>
      <c r="H27477" s="46" t="str">
        <f>IF(OR(I.Developer.P2b=FALSE,I.Facility.StandardPart="Part 2"),"Complete",IF(I.Product.P2bGasToPowerStatus&lt;&gt;"Yes","Complete",IF(AND(I.Gas.P2bY2Count&gt;=44,F27477=""),"Incomplete","Complete")))</f>
        <v>Complete</v>
      </c>
      <c r="I27477" s="48" t="s">
        <v>2656</v>
      </c>
    </row>
    <row r="27478" spans="2:9" ht="15" customHeight="1" x14ac:dyDescent="0.25">
      <c r="B27478" s="55" t="s">
        <v>400</v>
      </c>
      <c r="C27478" s="46">
        <v>45</v>
      </c>
      <c r="D27478" s="69" t="s">
        <v>29537</v>
      </c>
      <c r="E27478" s="62"/>
      <c r="F27478" s="62" t="str">
        <f>IF(INDEX(I.Gas.P2bY2C1E2,45)="","",INDEX(I.Gas.P2bY2C1E2,45))</f>
        <v/>
      </c>
      <c r="G27478" s="62"/>
      <c r="H27478" s="46" t="str">
        <f>IF(OR(I.Developer.P2b=FALSE,I.Facility.StandardPart="Part 2"),"Complete",IF(I.Product.P2bGasToPowerStatus&lt;&gt;"Yes","Complete",IF(AND(I.Gas.P2bY2Count&gt;=45,F27478=""),"Incomplete","Complete")))</f>
        <v>Complete</v>
      </c>
      <c r="I27478" s="48" t="s">
        <v>2657</v>
      </c>
    </row>
    <row r="27479" spans="2:9" ht="15" customHeight="1" x14ac:dyDescent="0.25">
      <c r="B27479" s="55" t="s">
        <v>400</v>
      </c>
      <c r="C27479" s="46">
        <v>46</v>
      </c>
      <c r="D27479" s="69" t="s">
        <v>29537</v>
      </c>
      <c r="E27479" s="62"/>
      <c r="F27479" s="62" t="str">
        <f>IF(INDEX(I.Gas.P2bY2C1E2,46)="","",INDEX(I.Gas.P2bY2C1E2,46))</f>
        <v/>
      </c>
      <c r="G27479" s="62"/>
      <c r="H27479" s="46" t="str">
        <f>IF(OR(I.Developer.P2b=FALSE,I.Facility.StandardPart="Part 2"),"Complete",IF(I.Product.P2bGasToPowerStatus&lt;&gt;"Yes","Complete",IF(AND(I.Gas.P2bY2Count&gt;=46,F27479=""),"Incomplete","Complete")))</f>
        <v>Complete</v>
      </c>
      <c r="I27479" s="48" t="s">
        <v>2658</v>
      </c>
    </row>
    <row r="27480" spans="2:9" ht="15" customHeight="1" x14ac:dyDescent="0.25">
      <c r="B27480" s="55" t="s">
        <v>400</v>
      </c>
      <c r="C27480" s="46">
        <v>47</v>
      </c>
      <c r="D27480" s="69" t="s">
        <v>29537</v>
      </c>
      <c r="E27480" s="62"/>
      <c r="F27480" s="62" t="str">
        <f>IF(INDEX(I.Gas.P2bY2C1E2,47)="","",INDEX(I.Gas.P2bY2C1E2,47))</f>
        <v/>
      </c>
      <c r="G27480" s="62"/>
      <c r="H27480" s="46" t="str">
        <f>IF(OR(I.Developer.P2b=FALSE,I.Facility.StandardPart="Part 2"),"Complete",IF(I.Product.P2bGasToPowerStatus&lt;&gt;"Yes","Complete",IF(AND(I.Gas.P2bY2Count&gt;=47,F27480=""),"Incomplete","Complete")))</f>
        <v>Complete</v>
      </c>
      <c r="I27480" s="48" t="s">
        <v>2659</v>
      </c>
    </row>
    <row r="27481" spans="2:9" ht="15" customHeight="1" x14ac:dyDescent="0.25">
      <c r="B27481" s="55" t="s">
        <v>400</v>
      </c>
      <c r="C27481" s="46">
        <v>48</v>
      </c>
      <c r="D27481" s="69" t="s">
        <v>29537</v>
      </c>
      <c r="E27481" s="62"/>
      <c r="F27481" s="62" t="str">
        <f>IF(INDEX(I.Gas.P2bY2C1E2,48)="","",INDEX(I.Gas.P2bY2C1E2,48))</f>
        <v/>
      </c>
      <c r="G27481" s="62"/>
      <c r="H27481" s="46" t="str">
        <f>IF(OR(I.Developer.P2b=FALSE,I.Facility.StandardPart="Part 2"),"Complete",IF(I.Product.P2bGasToPowerStatus&lt;&gt;"Yes","Complete",IF(AND(I.Gas.P2bY2Count&gt;=48,F27481=""),"Incomplete","Complete")))</f>
        <v>Complete</v>
      </c>
      <c r="I27481" s="48" t="s">
        <v>2660</v>
      </c>
    </row>
    <row r="27482" spans="2:9" ht="15" customHeight="1" x14ac:dyDescent="0.25">
      <c r="B27482" s="55" t="s">
        <v>400</v>
      </c>
      <c r="C27482" s="46">
        <v>49</v>
      </c>
      <c r="D27482" s="69" t="s">
        <v>29537</v>
      </c>
      <c r="E27482" s="62"/>
      <c r="F27482" s="62" t="str">
        <f>IF(INDEX(I.Gas.P2bY2C1E2,49)="","",INDEX(I.Gas.P2bY2C1E2,49))</f>
        <v/>
      </c>
      <c r="G27482" s="62"/>
      <c r="H27482" s="46" t="str">
        <f>IF(OR(I.Developer.P2b=FALSE,I.Facility.StandardPart="Part 2"),"Complete",IF(I.Product.P2bGasToPowerStatus&lt;&gt;"Yes","Complete",IF(AND(I.Gas.P2bY2Count&gt;=49,F27482=""),"Incomplete","Complete")))</f>
        <v>Complete</v>
      </c>
      <c r="I27482" s="48" t="s">
        <v>2661</v>
      </c>
    </row>
    <row r="27483" spans="2:9" ht="15" customHeight="1" x14ac:dyDescent="0.25">
      <c r="B27483" s="56" t="s">
        <v>400</v>
      </c>
      <c r="C27483" s="57">
        <v>50</v>
      </c>
      <c r="D27483" s="71" t="s">
        <v>29537</v>
      </c>
      <c r="E27483" s="61"/>
      <c r="F27483" s="61" t="str">
        <f>IF(INDEX(I.Gas.P2bY2C1E2,50)="","",INDEX(I.Gas.P2bY2C1E2,50))</f>
        <v/>
      </c>
      <c r="G27483" s="61"/>
      <c r="H27483" s="57" t="str">
        <f>IF(OR(I.Developer.P2b=FALSE,I.Facility.StandardPart="Part 2"),"Complete",IF(I.Product.P2bGasToPowerStatus&lt;&gt;"Yes","Complete",IF(AND(I.Gas.P2bY2Count&gt;=50,F27483=""),"Incomplete","Complete")))</f>
        <v>Complete</v>
      </c>
      <c r="I27483" s="49" t="s">
        <v>2662</v>
      </c>
    </row>
    <row r="27484" spans="2:9" ht="15" customHeight="1" x14ac:dyDescent="0.25">
      <c r="B27484" s="55" t="s">
        <v>401</v>
      </c>
      <c r="C27484" s="46">
        <v>1</v>
      </c>
      <c r="D27484" s="69" t="s">
        <v>29538</v>
      </c>
      <c r="E27484" s="62"/>
      <c r="F27484" s="62" t="str">
        <f>IF(INDEX(I.Gas.P2bY2C1E3,1)="","",INDEX(I.Gas.P2bY2C1E3,1))</f>
        <v/>
      </c>
      <c r="G27484" s="62"/>
      <c r="H27484" s="46" t="str">
        <f>IF(OR(I.Developer.P2b=FALSE,I.Facility.StandardPart="Part 2"),"Complete",IF(I.Product.P2bGasToPowerStatus&lt;&gt;"Yes","Complete",IF(AND(I.Gas.P2bY2Count&gt;=1,F27484=""),"Incomplete","Complete")))</f>
        <v>Complete</v>
      </c>
      <c r="I27484" s="48" t="s">
        <v>2663</v>
      </c>
    </row>
    <row r="27485" spans="2:9" ht="15" customHeight="1" x14ac:dyDescent="0.25">
      <c r="B27485" s="55" t="s">
        <v>401</v>
      </c>
      <c r="C27485" s="46">
        <v>2</v>
      </c>
      <c r="D27485" s="69" t="s">
        <v>29538</v>
      </c>
      <c r="E27485" s="62"/>
      <c r="F27485" s="62" t="str">
        <f>IF(INDEX(I.Gas.P2bY2C1E3,2)="","",INDEX(I.Gas.P2bY2C1E3,2))</f>
        <v/>
      </c>
      <c r="G27485" s="62"/>
      <c r="H27485" s="46" t="str">
        <f>IF(OR(I.Developer.P2b=FALSE,I.Facility.StandardPart="Part 2"),"Complete",IF(I.Product.P2bGasToPowerStatus&lt;&gt;"Yes","Complete",IF(AND(I.Gas.P2bY2Count&gt;=2,F27485=""),"Incomplete","Complete")))</f>
        <v>Complete</v>
      </c>
      <c r="I27485" s="48" t="s">
        <v>2664</v>
      </c>
    </row>
    <row r="27486" spans="2:9" ht="15" customHeight="1" x14ac:dyDescent="0.25">
      <c r="B27486" s="55" t="s">
        <v>401</v>
      </c>
      <c r="C27486" s="46">
        <v>3</v>
      </c>
      <c r="D27486" s="69" t="s">
        <v>29538</v>
      </c>
      <c r="E27486" s="62"/>
      <c r="F27486" s="62" t="str">
        <f>IF(INDEX(I.Gas.P2bY2C1E3,3)="","",INDEX(I.Gas.P2bY2C1E3,3))</f>
        <v/>
      </c>
      <c r="G27486" s="62"/>
      <c r="H27486" s="46" t="str">
        <f>IF(OR(I.Developer.P2b=FALSE,I.Facility.StandardPart="Part 2"),"Complete",IF(I.Product.P2bGasToPowerStatus&lt;&gt;"Yes","Complete",IF(AND(I.Gas.P2bY2Count&gt;=3,F27486=""),"Incomplete","Complete")))</f>
        <v>Complete</v>
      </c>
      <c r="I27486" s="48" t="s">
        <v>2665</v>
      </c>
    </row>
    <row r="27487" spans="2:9" ht="15" customHeight="1" x14ac:dyDescent="0.25">
      <c r="B27487" s="55" t="s">
        <v>401</v>
      </c>
      <c r="C27487" s="46">
        <v>4</v>
      </c>
      <c r="D27487" s="69" t="s">
        <v>29538</v>
      </c>
      <c r="E27487" s="62"/>
      <c r="F27487" s="62" t="str">
        <f>IF(INDEX(I.Gas.P2bY2C1E3,4)="","",INDEX(I.Gas.P2bY2C1E3,4))</f>
        <v/>
      </c>
      <c r="G27487" s="62"/>
      <c r="H27487" s="46" t="str">
        <f>IF(OR(I.Developer.P2b=FALSE,I.Facility.StandardPart="Part 2"),"Complete",IF(I.Product.P2bGasToPowerStatus&lt;&gt;"Yes","Complete",IF(AND(I.Gas.P2bY2Count&gt;=4,F27487=""),"Incomplete","Complete")))</f>
        <v>Complete</v>
      </c>
      <c r="I27487" s="48" t="s">
        <v>2666</v>
      </c>
    </row>
    <row r="27488" spans="2:9" ht="15" customHeight="1" x14ac:dyDescent="0.25">
      <c r="B27488" s="55" t="s">
        <v>401</v>
      </c>
      <c r="C27488" s="46">
        <v>5</v>
      </c>
      <c r="D27488" s="69" t="s">
        <v>29538</v>
      </c>
      <c r="E27488" s="62"/>
      <c r="F27488" s="62" t="str">
        <f>IF(INDEX(I.Gas.P2bY2C1E3,5)="","",INDEX(I.Gas.P2bY2C1E3,5))</f>
        <v/>
      </c>
      <c r="G27488" s="62"/>
      <c r="H27488" s="46" t="str">
        <f>IF(OR(I.Developer.P2b=FALSE,I.Facility.StandardPart="Part 2"),"Complete",IF(I.Product.P2bGasToPowerStatus&lt;&gt;"Yes","Complete",IF(AND(I.Gas.P2bY2Count&gt;=5,F27488=""),"Incomplete","Complete")))</f>
        <v>Complete</v>
      </c>
      <c r="I27488" s="48" t="s">
        <v>2667</v>
      </c>
    </row>
    <row r="27489" spans="2:9" ht="15" customHeight="1" x14ac:dyDescent="0.25">
      <c r="B27489" s="55" t="s">
        <v>401</v>
      </c>
      <c r="C27489" s="46">
        <v>6</v>
      </c>
      <c r="D27489" s="69" t="s">
        <v>29538</v>
      </c>
      <c r="E27489" s="62"/>
      <c r="F27489" s="62" t="str">
        <f>IF(INDEX(I.Gas.P2bY2C1E3,6)="","",INDEX(I.Gas.P2bY2C1E3,6))</f>
        <v/>
      </c>
      <c r="G27489" s="62"/>
      <c r="H27489" s="46" t="str">
        <f>IF(OR(I.Developer.P2b=FALSE,I.Facility.StandardPart="Part 2"),"Complete",IF(I.Product.P2bGasToPowerStatus&lt;&gt;"Yes","Complete",IF(AND(I.Gas.P2bY2Count&gt;=6,F27489=""),"Incomplete","Complete")))</f>
        <v>Complete</v>
      </c>
      <c r="I27489" s="48" t="s">
        <v>2668</v>
      </c>
    </row>
    <row r="27490" spans="2:9" ht="15" customHeight="1" x14ac:dyDescent="0.25">
      <c r="B27490" s="55" t="s">
        <v>401</v>
      </c>
      <c r="C27490" s="46">
        <v>7</v>
      </c>
      <c r="D27490" s="69" t="s">
        <v>29538</v>
      </c>
      <c r="E27490" s="62"/>
      <c r="F27490" s="62" t="str">
        <f>IF(INDEX(I.Gas.P2bY2C1E3,7)="","",INDEX(I.Gas.P2bY2C1E3,7))</f>
        <v/>
      </c>
      <c r="G27490" s="62"/>
      <c r="H27490" s="46" t="str">
        <f>IF(OR(I.Developer.P2b=FALSE,I.Facility.StandardPart="Part 2"),"Complete",IF(I.Product.P2bGasToPowerStatus&lt;&gt;"Yes","Complete",IF(AND(I.Gas.P2bY2Count&gt;=7,F27490=""),"Incomplete","Complete")))</f>
        <v>Complete</v>
      </c>
      <c r="I27490" s="48" t="s">
        <v>2669</v>
      </c>
    </row>
    <row r="27491" spans="2:9" ht="15" customHeight="1" x14ac:dyDescent="0.25">
      <c r="B27491" s="55" t="s">
        <v>401</v>
      </c>
      <c r="C27491" s="46">
        <v>8</v>
      </c>
      <c r="D27491" s="69" t="s">
        <v>29538</v>
      </c>
      <c r="E27491" s="62"/>
      <c r="F27491" s="62" t="str">
        <f>IF(INDEX(I.Gas.P2bY2C1E3,8)="","",INDEX(I.Gas.P2bY2C1E3,8))</f>
        <v/>
      </c>
      <c r="G27491" s="62"/>
      <c r="H27491" s="46" t="str">
        <f>IF(OR(I.Developer.P2b=FALSE,I.Facility.StandardPart="Part 2"),"Complete",IF(I.Product.P2bGasToPowerStatus&lt;&gt;"Yes","Complete",IF(AND(I.Gas.P2bY2Count&gt;=8,F27491=""),"Incomplete","Complete")))</f>
        <v>Complete</v>
      </c>
      <c r="I27491" s="48" t="s">
        <v>2670</v>
      </c>
    </row>
    <row r="27492" spans="2:9" ht="15" customHeight="1" x14ac:dyDescent="0.25">
      <c r="B27492" s="55" t="s">
        <v>401</v>
      </c>
      <c r="C27492" s="46">
        <v>9</v>
      </c>
      <c r="D27492" s="69" t="s">
        <v>29538</v>
      </c>
      <c r="E27492" s="62"/>
      <c r="F27492" s="62" t="str">
        <f>IF(INDEX(I.Gas.P2bY2C1E3,9)="","",INDEX(I.Gas.P2bY2C1E3,9))</f>
        <v/>
      </c>
      <c r="G27492" s="62"/>
      <c r="H27492" s="46" t="str">
        <f>IF(OR(I.Developer.P2b=FALSE,I.Facility.StandardPart="Part 2"),"Complete",IF(I.Product.P2bGasToPowerStatus&lt;&gt;"Yes","Complete",IF(AND(I.Gas.P2bY2Count&gt;=9,F27492=""),"Incomplete","Complete")))</f>
        <v>Complete</v>
      </c>
      <c r="I27492" s="48" t="s">
        <v>2671</v>
      </c>
    </row>
    <row r="27493" spans="2:9" ht="15" customHeight="1" x14ac:dyDescent="0.25">
      <c r="B27493" s="55" t="s">
        <v>401</v>
      </c>
      <c r="C27493" s="46">
        <v>10</v>
      </c>
      <c r="D27493" s="69" t="s">
        <v>29538</v>
      </c>
      <c r="E27493" s="62"/>
      <c r="F27493" s="62" t="str">
        <f>IF(INDEX(I.Gas.P2bY2C1E3,10)="","",INDEX(I.Gas.P2bY2C1E3,10))</f>
        <v/>
      </c>
      <c r="G27493" s="62"/>
      <c r="H27493" s="46" t="str">
        <f>IF(OR(I.Developer.P2b=FALSE,I.Facility.StandardPart="Part 2"),"Complete",IF(I.Product.P2bGasToPowerStatus&lt;&gt;"Yes","Complete",IF(AND(I.Gas.P2bY2Count&gt;=10,F27493=""),"Incomplete","Complete")))</f>
        <v>Complete</v>
      </c>
      <c r="I27493" s="48" t="s">
        <v>2672</v>
      </c>
    </row>
    <row r="27494" spans="2:9" ht="15" customHeight="1" x14ac:dyDescent="0.25">
      <c r="B27494" s="55" t="s">
        <v>401</v>
      </c>
      <c r="C27494" s="46">
        <v>11</v>
      </c>
      <c r="D27494" s="69" t="s">
        <v>29538</v>
      </c>
      <c r="E27494" s="62"/>
      <c r="F27494" s="62" t="str">
        <f>IF(INDEX(I.Gas.P2bY2C1E3,11)="","",INDEX(I.Gas.P2bY2C1E3,11))</f>
        <v/>
      </c>
      <c r="G27494" s="62"/>
      <c r="H27494" s="46" t="str">
        <f>IF(OR(I.Developer.P2b=FALSE,I.Facility.StandardPart="Part 2"),"Complete",IF(I.Product.P2bGasToPowerStatus&lt;&gt;"Yes","Complete",IF(AND(I.Gas.P2bY2Count&gt;=11,F27494=""),"Incomplete","Complete")))</f>
        <v>Complete</v>
      </c>
      <c r="I27494" s="48" t="s">
        <v>2673</v>
      </c>
    </row>
    <row r="27495" spans="2:9" ht="15" customHeight="1" x14ac:dyDescent="0.25">
      <c r="B27495" s="55" t="s">
        <v>401</v>
      </c>
      <c r="C27495" s="46">
        <v>12</v>
      </c>
      <c r="D27495" s="69" t="s">
        <v>29538</v>
      </c>
      <c r="E27495" s="62"/>
      <c r="F27495" s="62" t="str">
        <f>IF(INDEX(I.Gas.P2bY2C1E3,12)="","",INDEX(I.Gas.P2bY2C1E3,12))</f>
        <v/>
      </c>
      <c r="G27495" s="62"/>
      <c r="H27495" s="46" t="str">
        <f>IF(OR(I.Developer.P2b=FALSE,I.Facility.StandardPart="Part 2"),"Complete",IF(I.Product.P2bGasToPowerStatus&lt;&gt;"Yes","Complete",IF(AND(I.Gas.P2bY2Count&gt;=12,F27495=""),"Incomplete","Complete")))</f>
        <v>Complete</v>
      </c>
      <c r="I27495" s="48" t="s">
        <v>2674</v>
      </c>
    </row>
    <row r="27496" spans="2:9" ht="15" customHeight="1" x14ac:dyDescent="0.25">
      <c r="B27496" s="55" t="s">
        <v>401</v>
      </c>
      <c r="C27496" s="46">
        <v>13</v>
      </c>
      <c r="D27496" s="69" t="s">
        <v>29538</v>
      </c>
      <c r="E27496" s="62"/>
      <c r="F27496" s="62" t="str">
        <f>IF(INDEX(I.Gas.P2bY2C1E3,13)="","",INDEX(I.Gas.P2bY2C1E3,13))</f>
        <v/>
      </c>
      <c r="G27496" s="62"/>
      <c r="H27496" s="46" t="str">
        <f>IF(OR(I.Developer.P2b=FALSE,I.Facility.StandardPart="Part 2"),"Complete",IF(I.Product.P2bGasToPowerStatus&lt;&gt;"Yes","Complete",IF(AND(I.Gas.P2bY2Count&gt;=13,F27496=""),"Incomplete","Complete")))</f>
        <v>Complete</v>
      </c>
      <c r="I27496" s="48" t="s">
        <v>2675</v>
      </c>
    </row>
    <row r="27497" spans="2:9" ht="15" customHeight="1" x14ac:dyDescent="0.25">
      <c r="B27497" s="55" t="s">
        <v>401</v>
      </c>
      <c r="C27497" s="46">
        <v>14</v>
      </c>
      <c r="D27497" s="69" t="s">
        <v>29538</v>
      </c>
      <c r="E27497" s="62"/>
      <c r="F27497" s="62" t="str">
        <f>IF(INDEX(I.Gas.P2bY2C1E3,14)="","",INDEX(I.Gas.P2bY2C1E3,14))</f>
        <v/>
      </c>
      <c r="G27497" s="62"/>
      <c r="H27497" s="46" t="str">
        <f>IF(OR(I.Developer.P2b=FALSE,I.Facility.StandardPart="Part 2"),"Complete",IF(I.Product.P2bGasToPowerStatus&lt;&gt;"Yes","Complete",IF(AND(I.Gas.P2bY2Count&gt;=14,F27497=""),"Incomplete","Complete")))</f>
        <v>Complete</v>
      </c>
      <c r="I27497" s="48" t="s">
        <v>2676</v>
      </c>
    </row>
    <row r="27498" spans="2:9" ht="15" customHeight="1" x14ac:dyDescent="0.25">
      <c r="B27498" s="55" t="s">
        <v>401</v>
      </c>
      <c r="C27498" s="46">
        <v>15</v>
      </c>
      <c r="D27498" s="69" t="s">
        <v>29538</v>
      </c>
      <c r="E27498" s="62"/>
      <c r="F27498" s="62" t="str">
        <f>IF(INDEX(I.Gas.P2bY2C1E3,15)="","",INDEX(I.Gas.P2bY2C1E3,15))</f>
        <v/>
      </c>
      <c r="G27498" s="62"/>
      <c r="H27498" s="46" t="str">
        <f>IF(OR(I.Developer.P2b=FALSE,I.Facility.StandardPart="Part 2"),"Complete",IF(I.Product.P2bGasToPowerStatus&lt;&gt;"Yes","Complete",IF(AND(I.Gas.P2bY2Count&gt;=15,F27498=""),"Incomplete","Complete")))</f>
        <v>Complete</v>
      </c>
      <c r="I27498" s="48" t="s">
        <v>2677</v>
      </c>
    </row>
    <row r="27499" spans="2:9" ht="15" customHeight="1" x14ac:dyDescent="0.25">
      <c r="B27499" s="55" t="s">
        <v>401</v>
      </c>
      <c r="C27499" s="46">
        <v>16</v>
      </c>
      <c r="D27499" s="69" t="s">
        <v>29538</v>
      </c>
      <c r="E27499" s="62"/>
      <c r="F27499" s="62" t="str">
        <f>IF(INDEX(I.Gas.P2bY2C1E3,16)="","",INDEX(I.Gas.P2bY2C1E3,16))</f>
        <v/>
      </c>
      <c r="G27499" s="62"/>
      <c r="H27499" s="46" t="str">
        <f>IF(OR(I.Developer.P2b=FALSE,I.Facility.StandardPart="Part 2"),"Complete",IF(I.Product.P2bGasToPowerStatus&lt;&gt;"Yes","Complete",IF(AND(I.Gas.P2bY2Count&gt;=16,F27499=""),"Incomplete","Complete")))</f>
        <v>Complete</v>
      </c>
      <c r="I27499" s="48" t="s">
        <v>2678</v>
      </c>
    </row>
    <row r="27500" spans="2:9" ht="15" customHeight="1" x14ac:dyDescent="0.25">
      <c r="B27500" s="55" t="s">
        <v>401</v>
      </c>
      <c r="C27500" s="46">
        <v>17</v>
      </c>
      <c r="D27500" s="69" t="s">
        <v>29538</v>
      </c>
      <c r="E27500" s="62"/>
      <c r="F27500" s="62" t="str">
        <f>IF(INDEX(I.Gas.P2bY2C1E3,17)="","",INDEX(I.Gas.P2bY2C1E3,17))</f>
        <v/>
      </c>
      <c r="G27500" s="62"/>
      <c r="H27500" s="46" t="str">
        <f>IF(OR(I.Developer.P2b=FALSE,I.Facility.StandardPart="Part 2"),"Complete",IF(I.Product.P2bGasToPowerStatus&lt;&gt;"Yes","Complete",IF(AND(I.Gas.P2bY2Count&gt;=17,F27500=""),"Incomplete","Complete")))</f>
        <v>Complete</v>
      </c>
      <c r="I27500" s="48" t="s">
        <v>2679</v>
      </c>
    </row>
    <row r="27501" spans="2:9" ht="15" customHeight="1" x14ac:dyDescent="0.25">
      <c r="B27501" s="55" t="s">
        <v>401</v>
      </c>
      <c r="C27501" s="46">
        <v>18</v>
      </c>
      <c r="D27501" s="69" t="s">
        <v>29538</v>
      </c>
      <c r="E27501" s="62"/>
      <c r="F27501" s="62" t="str">
        <f>IF(INDEX(I.Gas.P2bY2C1E3,18)="","",INDEX(I.Gas.P2bY2C1E3,18))</f>
        <v/>
      </c>
      <c r="G27501" s="62"/>
      <c r="H27501" s="46" t="str">
        <f>IF(OR(I.Developer.P2b=FALSE,I.Facility.StandardPart="Part 2"),"Complete",IF(I.Product.P2bGasToPowerStatus&lt;&gt;"Yes","Complete",IF(AND(I.Gas.P2bY2Count&gt;=18,F27501=""),"Incomplete","Complete")))</f>
        <v>Complete</v>
      </c>
      <c r="I27501" s="48" t="s">
        <v>2680</v>
      </c>
    </row>
    <row r="27502" spans="2:9" ht="15" customHeight="1" x14ac:dyDescent="0.25">
      <c r="B27502" s="55" t="s">
        <v>401</v>
      </c>
      <c r="C27502" s="46">
        <v>19</v>
      </c>
      <c r="D27502" s="69" t="s">
        <v>29538</v>
      </c>
      <c r="E27502" s="62"/>
      <c r="F27502" s="62" t="str">
        <f>IF(INDEX(I.Gas.P2bY2C1E3,19)="","",INDEX(I.Gas.P2bY2C1E3,19))</f>
        <v/>
      </c>
      <c r="G27502" s="62"/>
      <c r="H27502" s="46" t="str">
        <f>IF(OR(I.Developer.P2b=FALSE,I.Facility.StandardPart="Part 2"),"Complete",IF(I.Product.P2bGasToPowerStatus&lt;&gt;"Yes","Complete",IF(AND(I.Gas.P2bY2Count&gt;=19,F27502=""),"Incomplete","Complete")))</f>
        <v>Complete</v>
      </c>
      <c r="I27502" s="48" t="s">
        <v>2681</v>
      </c>
    </row>
    <row r="27503" spans="2:9" ht="15" customHeight="1" x14ac:dyDescent="0.25">
      <c r="B27503" s="55" t="s">
        <v>401</v>
      </c>
      <c r="C27503" s="46">
        <v>20</v>
      </c>
      <c r="D27503" s="69" t="s">
        <v>29538</v>
      </c>
      <c r="E27503" s="62"/>
      <c r="F27503" s="62" t="str">
        <f>IF(INDEX(I.Gas.P2bY2C1E3,20)="","",INDEX(I.Gas.P2bY2C1E3,20))</f>
        <v/>
      </c>
      <c r="G27503" s="62"/>
      <c r="H27503" s="46" t="str">
        <f>IF(OR(I.Developer.P2b=FALSE,I.Facility.StandardPart="Part 2"),"Complete",IF(I.Product.P2bGasToPowerStatus&lt;&gt;"Yes","Complete",IF(AND(I.Gas.P2bY2Count&gt;=20,F27503=""),"Incomplete","Complete")))</f>
        <v>Complete</v>
      </c>
      <c r="I27503" s="48" t="s">
        <v>2682</v>
      </c>
    </row>
    <row r="27504" spans="2:9" ht="15" customHeight="1" x14ac:dyDescent="0.25">
      <c r="B27504" s="55" t="s">
        <v>401</v>
      </c>
      <c r="C27504" s="46">
        <v>21</v>
      </c>
      <c r="D27504" s="69" t="s">
        <v>29538</v>
      </c>
      <c r="E27504" s="62"/>
      <c r="F27504" s="62" t="str">
        <f>IF(INDEX(I.Gas.P2bY2C1E3,21)="","",INDEX(I.Gas.P2bY2C1E3,21))</f>
        <v/>
      </c>
      <c r="G27504" s="62"/>
      <c r="H27504" s="46" t="str">
        <f>IF(OR(I.Developer.P2b=FALSE,I.Facility.StandardPart="Part 2"),"Complete",IF(I.Product.P2bGasToPowerStatus&lt;&gt;"Yes","Complete",IF(AND(I.Gas.P2bY2Count&gt;=21,F27504=""),"Incomplete","Complete")))</f>
        <v>Complete</v>
      </c>
      <c r="I27504" s="48" t="s">
        <v>2683</v>
      </c>
    </row>
    <row r="27505" spans="2:9" ht="15" customHeight="1" x14ac:dyDescent="0.25">
      <c r="B27505" s="55" t="s">
        <v>401</v>
      </c>
      <c r="C27505" s="46">
        <v>22</v>
      </c>
      <c r="D27505" s="69" t="s">
        <v>29538</v>
      </c>
      <c r="E27505" s="62"/>
      <c r="F27505" s="62" t="str">
        <f>IF(INDEX(I.Gas.P2bY2C1E3,22)="","",INDEX(I.Gas.P2bY2C1E3,22))</f>
        <v/>
      </c>
      <c r="G27505" s="62"/>
      <c r="H27505" s="46" t="str">
        <f>IF(OR(I.Developer.P2b=FALSE,I.Facility.StandardPart="Part 2"),"Complete",IF(I.Product.P2bGasToPowerStatus&lt;&gt;"Yes","Complete",IF(AND(I.Gas.P2bY2Count&gt;=22,F27505=""),"Incomplete","Complete")))</f>
        <v>Complete</v>
      </c>
      <c r="I27505" s="48" t="s">
        <v>2684</v>
      </c>
    </row>
    <row r="27506" spans="2:9" ht="15" customHeight="1" x14ac:dyDescent="0.25">
      <c r="B27506" s="55" t="s">
        <v>401</v>
      </c>
      <c r="C27506" s="46">
        <v>23</v>
      </c>
      <c r="D27506" s="69" t="s">
        <v>29538</v>
      </c>
      <c r="E27506" s="62"/>
      <c r="F27506" s="62" t="str">
        <f>IF(INDEX(I.Gas.P2bY2C1E3,23)="","",INDEX(I.Gas.P2bY2C1E3,23))</f>
        <v/>
      </c>
      <c r="G27506" s="62"/>
      <c r="H27506" s="46" t="str">
        <f>IF(OR(I.Developer.P2b=FALSE,I.Facility.StandardPart="Part 2"),"Complete",IF(I.Product.P2bGasToPowerStatus&lt;&gt;"Yes","Complete",IF(AND(I.Gas.P2bY2Count&gt;=23,F27506=""),"Incomplete","Complete")))</f>
        <v>Complete</v>
      </c>
      <c r="I27506" s="48" t="s">
        <v>2685</v>
      </c>
    </row>
    <row r="27507" spans="2:9" ht="15" customHeight="1" x14ac:dyDescent="0.25">
      <c r="B27507" s="55" t="s">
        <v>401</v>
      </c>
      <c r="C27507" s="46">
        <v>24</v>
      </c>
      <c r="D27507" s="69" t="s">
        <v>29538</v>
      </c>
      <c r="E27507" s="62"/>
      <c r="F27507" s="62" t="str">
        <f>IF(INDEX(I.Gas.P2bY2C1E3,24)="","",INDEX(I.Gas.P2bY2C1E3,24))</f>
        <v/>
      </c>
      <c r="G27507" s="62"/>
      <c r="H27507" s="46" t="str">
        <f>IF(OR(I.Developer.P2b=FALSE,I.Facility.StandardPart="Part 2"),"Complete",IF(I.Product.P2bGasToPowerStatus&lt;&gt;"Yes","Complete",IF(AND(I.Gas.P2bY2Count&gt;=24,F27507=""),"Incomplete","Complete")))</f>
        <v>Complete</v>
      </c>
      <c r="I27507" s="48" t="s">
        <v>2686</v>
      </c>
    </row>
    <row r="27508" spans="2:9" ht="15" customHeight="1" x14ac:dyDescent="0.25">
      <c r="B27508" s="55" t="s">
        <v>401</v>
      </c>
      <c r="C27508" s="46">
        <v>25</v>
      </c>
      <c r="D27508" s="69" t="s">
        <v>29538</v>
      </c>
      <c r="E27508" s="62"/>
      <c r="F27508" s="62" t="str">
        <f>IF(INDEX(I.Gas.P2bY2C1E3,25)="","",INDEX(I.Gas.P2bY2C1E3,25))</f>
        <v/>
      </c>
      <c r="G27508" s="62"/>
      <c r="H27508" s="46" t="str">
        <f>IF(OR(I.Developer.P2b=FALSE,I.Facility.StandardPart="Part 2"),"Complete",IF(I.Product.P2bGasToPowerStatus&lt;&gt;"Yes","Complete",IF(AND(I.Gas.P2bY2Count&gt;=25,F27508=""),"Incomplete","Complete")))</f>
        <v>Complete</v>
      </c>
      <c r="I27508" s="48" t="s">
        <v>2687</v>
      </c>
    </row>
    <row r="27509" spans="2:9" ht="15" customHeight="1" x14ac:dyDescent="0.25">
      <c r="B27509" s="55" t="s">
        <v>401</v>
      </c>
      <c r="C27509" s="46">
        <v>26</v>
      </c>
      <c r="D27509" s="69" t="s">
        <v>29538</v>
      </c>
      <c r="E27509" s="62"/>
      <c r="F27509" s="62" t="str">
        <f>IF(INDEX(I.Gas.P2bY2C1E3,26)="","",INDEX(I.Gas.P2bY2C1E3,26))</f>
        <v/>
      </c>
      <c r="G27509" s="62"/>
      <c r="H27509" s="46" t="str">
        <f>IF(OR(I.Developer.P2b=FALSE,I.Facility.StandardPart="Part 2"),"Complete",IF(I.Product.P2bGasToPowerStatus&lt;&gt;"Yes","Complete",IF(AND(I.Gas.P2bY2Count&gt;=26,F27509=""),"Incomplete","Complete")))</f>
        <v>Complete</v>
      </c>
      <c r="I27509" s="48" t="s">
        <v>2688</v>
      </c>
    </row>
    <row r="27510" spans="2:9" ht="15" customHeight="1" x14ac:dyDescent="0.25">
      <c r="B27510" s="55" t="s">
        <v>401</v>
      </c>
      <c r="C27510" s="46">
        <v>27</v>
      </c>
      <c r="D27510" s="69" t="s">
        <v>29538</v>
      </c>
      <c r="E27510" s="62"/>
      <c r="F27510" s="62" t="str">
        <f>IF(INDEX(I.Gas.P2bY2C1E3,27)="","",INDEX(I.Gas.P2bY2C1E3,27))</f>
        <v/>
      </c>
      <c r="G27510" s="62"/>
      <c r="H27510" s="46" t="str">
        <f>IF(OR(I.Developer.P2b=FALSE,I.Facility.StandardPart="Part 2"),"Complete",IF(I.Product.P2bGasToPowerStatus&lt;&gt;"Yes","Complete",IF(AND(I.Gas.P2bY2Count&gt;=27,F27510=""),"Incomplete","Complete")))</f>
        <v>Complete</v>
      </c>
      <c r="I27510" s="48" t="s">
        <v>2689</v>
      </c>
    </row>
    <row r="27511" spans="2:9" ht="15" customHeight="1" x14ac:dyDescent="0.25">
      <c r="B27511" s="55" t="s">
        <v>401</v>
      </c>
      <c r="C27511" s="46">
        <v>28</v>
      </c>
      <c r="D27511" s="69" t="s">
        <v>29538</v>
      </c>
      <c r="E27511" s="62"/>
      <c r="F27511" s="62" t="str">
        <f>IF(INDEX(I.Gas.P2bY2C1E3,28)="","",INDEX(I.Gas.P2bY2C1E3,28))</f>
        <v/>
      </c>
      <c r="G27511" s="62"/>
      <c r="H27511" s="46" t="str">
        <f>IF(OR(I.Developer.P2b=FALSE,I.Facility.StandardPart="Part 2"),"Complete",IF(I.Product.P2bGasToPowerStatus&lt;&gt;"Yes","Complete",IF(AND(I.Gas.P2bY2Count&gt;=28,F27511=""),"Incomplete","Complete")))</f>
        <v>Complete</v>
      </c>
      <c r="I27511" s="48" t="s">
        <v>2690</v>
      </c>
    </row>
    <row r="27512" spans="2:9" ht="15" customHeight="1" x14ac:dyDescent="0.25">
      <c r="B27512" s="55" t="s">
        <v>401</v>
      </c>
      <c r="C27512" s="46">
        <v>29</v>
      </c>
      <c r="D27512" s="69" t="s">
        <v>29538</v>
      </c>
      <c r="E27512" s="62"/>
      <c r="F27512" s="62" t="str">
        <f>IF(INDEX(I.Gas.P2bY2C1E3,29)="","",INDEX(I.Gas.P2bY2C1E3,29))</f>
        <v/>
      </c>
      <c r="G27512" s="62"/>
      <c r="H27512" s="46" t="str">
        <f>IF(OR(I.Developer.P2b=FALSE,I.Facility.StandardPart="Part 2"),"Complete",IF(I.Product.P2bGasToPowerStatus&lt;&gt;"Yes","Complete",IF(AND(I.Gas.P2bY2Count&gt;=29,F27512=""),"Incomplete","Complete")))</f>
        <v>Complete</v>
      </c>
      <c r="I27512" s="48" t="s">
        <v>2691</v>
      </c>
    </row>
    <row r="27513" spans="2:9" ht="15" customHeight="1" x14ac:dyDescent="0.25">
      <c r="B27513" s="55" t="s">
        <v>401</v>
      </c>
      <c r="C27513" s="46">
        <v>30</v>
      </c>
      <c r="D27513" s="69" t="s">
        <v>29538</v>
      </c>
      <c r="E27513" s="62"/>
      <c r="F27513" s="62" t="str">
        <f>IF(INDEX(I.Gas.P2bY2C1E3,30)="","",INDEX(I.Gas.P2bY2C1E3,30))</f>
        <v/>
      </c>
      <c r="G27513" s="62"/>
      <c r="H27513" s="46" t="str">
        <f>IF(OR(I.Developer.P2b=FALSE,I.Facility.StandardPart="Part 2"),"Complete",IF(I.Product.P2bGasToPowerStatus&lt;&gt;"Yes","Complete",IF(AND(I.Gas.P2bY2Count&gt;=30,F27513=""),"Incomplete","Complete")))</f>
        <v>Complete</v>
      </c>
      <c r="I27513" s="48" t="s">
        <v>2692</v>
      </c>
    </row>
    <row r="27514" spans="2:9" ht="15" customHeight="1" x14ac:dyDescent="0.25">
      <c r="B27514" s="55" t="s">
        <v>401</v>
      </c>
      <c r="C27514" s="46">
        <v>31</v>
      </c>
      <c r="D27514" s="69" t="s">
        <v>29538</v>
      </c>
      <c r="E27514" s="62"/>
      <c r="F27514" s="62" t="str">
        <f>IF(INDEX(I.Gas.P2bY2C1E3,31)="","",INDEX(I.Gas.P2bY2C1E3,31))</f>
        <v/>
      </c>
      <c r="G27514" s="62"/>
      <c r="H27514" s="46" t="str">
        <f>IF(OR(I.Developer.P2b=FALSE,I.Facility.StandardPart="Part 2"),"Complete",IF(I.Product.P2bGasToPowerStatus&lt;&gt;"Yes","Complete",IF(AND(I.Gas.P2bY2Count&gt;=31,F27514=""),"Incomplete","Complete")))</f>
        <v>Complete</v>
      </c>
      <c r="I27514" s="48" t="s">
        <v>2693</v>
      </c>
    </row>
    <row r="27515" spans="2:9" ht="15" customHeight="1" x14ac:dyDescent="0.25">
      <c r="B27515" s="55" t="s">
        <v>401</v>
      </c>
      <c r="C27515" s="46">
        <v>32</v>
      </c>
      <c r="D27515" s="69" t="s">
        <v>29538</v>
      </c>
      <c r="E27515" s="62"/>
      <c r="F27515" s="62" t="str">
        <f>IF(INDEX(I.Gas.P2bY2C1E3,32)="","",INDEX(I.Gas.P2bY2C1E3,32))</f>
        <v/>
      </c>
      <c r="G27515" s="62"/>
      <c r="H27515" s="46" t="str">
        <f>IF(OR(I.Developer.P2b=FALSE,I.Facility.StandardPart="Part 2"),"Complete",IF(I.Product.P2bGasToPowerStatus&lt;&gt;"Yes","Complete",IF(AND(I.Gas.P2bY2Count&gt;=32,F27515=""),"Incomplete","Complete")))</f>
        <v>Complete</v>
      </c>
      <c r="I27515" s="48" t="s">
        <v>2694</v>
      </c>
    </row>
    <row r="27516" spans="2:9" ht="15" customHeight="1" x14ac:dyDescent="0.25">
      <c r="B27516" s="55" t="s">
        <v>401</v>
      </c>
      <c r="C27516" s="46">
        <v>33</v>
      </c>
      <c r="D27516" s="69" t="s">
        <v>29538</v>
      </c>
      <c r="E27516" s="62"/>
      <c r="F27516" s="62" t="str">
        <f>IF(INDEX(I.Gas.P2bY2C1E3,33)="","",INDEX(I.Gas.P2bY2C1E3,33))</f>
        <v/>
      </c>
      <c r="G27516" s="62"/>
      <c r="H27516" s="46" t="str">
        <f>IF(OR(I.Developer.P2b=FALSE,I.Facility.StandardPart="Part 2"),"Complete",IF(I.Product.P2bGasToPowerStatus&lt;&gt;"Yes","Complete",IF(AND(I.Gas.P2bY2Count&gt;=33,F27516=""),"Incomplete","Complete")))</f>
        <v>Complete</v>
      </c>
      <c r="I27516" s="48" t="s">
        <v>2695</v>
      </c>
    </row>
    <row r="27517" spans="2:9" ht="15" customHeight="1" x14ac:dyDescent="0.25">
      <c r="B27517" s="55" t="s">
        <v>401</v>
      </c>
      <c r="C27517" s="46">
        <v>34</v>
      </c>
      <c r="D27517" s="69" t="s">
        <v>29538</v>
      </c>
      <c r="E27517" s="62"/>
      <c r="F27517" s="62" t="str">
        <f>IF(INDEX(I.Gas.P2bY2C1E3,34)="","",INDEX(I.Gas.P2bY2C1E3,34))</f>
        <v/>
      </c>
      <c r="G27517" s="62"/>
      <c r="H27517" s="46" t="str">
        <f>IF(OR(I.Developer.P2b=FALSE,I.Facility.StandardPart="Part 2"),"Complete",IF(I.Product.P2bGasToPowerStatus&lt;&gt;"Yes","Complete",IF(AND(I.Gas.P2bY2Count&gt;=34,F27517=""),"Incomplete","Complete")))</f>
        <v>Complete</v>
      </c>
      <c r="I27517" s="48" t="s">
        <v>2696</v>
      </c>
    </row>
    <row r="27518" spans="2:9" ht="15" customHeight="1" x14ac:dyDescent="0.25">
      <c r="B27518" s="55" t="s">
        <v>401</v>
      </c>
      <c r="C27518" s="46">
        <v>35</v>
      </c>
      <c r="D27518" s="69" t="s">
        <v>29538</v>
      </c>
      <c r="E27518" s="62"/>
      <c r="F27518" s="62" t="str">
        <f>IF(INDEX(I.Gas.P2bY2C1E3,35)="","",INDEX(I.Gas.P2bY2C1E3,35))</f>
        <v/>
      </c>
      <c r="G27518" s="62"/>
      <c r="H27518" s="46" t="str">
        <f>IF(OR(I.Developer.P2b=FALSE,I.Facility.StandardPart="Part 2"),"Complete",IF(I.Product.P2bGasToPowerStatus&lt;&gt;"Yes","Complete",IF(AND(I.Gas.P2bY2Count&gt;=35,F27518=""),"Incomplete","Complete")))</f>
        <v>Complete</v>
      </c>
      <c r="I27518" s="48" t="s">
        <v>2697</v>
      </c>
    </row>
    <row r="27519" spans="2:9" ht="15" customHeight="1" x14ac:dyDescent="0.25">
      <c r="B27519" s="55" t="s">
        <v>401</v>
      </c>
      <c r="C27519" s="46">
        <v>36</v>
      </c>
      <c r="D27519" s="69" t="s">
        <v>29538</v>
      </c>
      <c r="E27519" s="62"/>
      <c r="F27519" s="62" t="str">
        <f>IF(INDEX(I.Gas.P2bY2C1E3,36)="","",INDEX(I.Gas.P2bY2C1E3,36))</f>
        <v/>
      </c>
      <c r="G27519" s="62"/>
      <c r="H27519" s="46" t="str">
        <f>IF(OR(I.Developer.P2b=FALSE,I.Facility.StandardPart="Part 2"),"Complete",IF(I.Product.P2bGasToPowerStatus&lt;&gt;"Yes","Complete",IF(AND(I.Gas.P2bY2Count&gt;=36,F27519=""),"Incomplete","Complete")))</f>
        <v>Complete</v>
      </c>
      <c r="I27519" s="48" t="s">
        <v>2698</v>
      </c>
    </row>
    <row r="27520" spans="2:9" ht="15" customHeight="1" x14ac:dyDescent="0.25">
      <c r="B27520" s="55" t="s">
        <v>401</v>
      </c>
      <c r="C27520" s="46">
        <v>37</v>
      </c>
      <c r="D27520" s="69" t="s">
        <v>29538</v>
      </c>
      <c r="E27520" s="62"/>
      <c r="F27520" s="62" t="str">
        <f>IF(INDEX(I.Gas.P2bY2C1E3,37)="","",INDEX(I.Gas.P2bY2C1E3,37))</f>
        <v/>
      </c>
      <c r="G27520" s="62"/>
      <c r="H27520" s="46" t="str">
        <f>IF(OR(I.Developer.P2b=FALSE,I.Facility.StandardPart="Part 2"),"Complete",IF(I.Product.P2bGasToPowerStatus&lt;&gt;"Yes","Complete",IF(AND(I.Gas.P2bY2Count&gt;=37,F27520=""),"Incomplete","Complete")))</f>
        <v>Complete</v>
      </c>
      <c r="I27520" s="48" t="s">
        <v>2699</v>
      </c>
    </row>
    <row r="27521" spans="2:9" ht="15" customHeight="1" x14ac:dyDescent="0.25">
      <c r="B27521" s="55" t="s">
        <v>401</v>
      </c>
      <c r="C27521" s="46">
        <v>38</v>
      </c>
      <c r="D27521" s="69" t="s">
        <v>29538</v>
      </c>
      <c r="E27521" s="62"/>
      <c r="F27521" s="62" t="str">
        <f>IF(INDEX(I.Gas.P2bY2C1E3,38)="","",INDEX(I.Gas.P2bY2C1E3,38))</f>
        <v/>
      </c>
      <c r="G27521" s="62"/>
      <c r="H27521" s="46" t="str">
        <f>IF(OR(I.Developer.P2b=FALSE,I.Facility.StandardPart="Part 2"),"Complete",IF(I.Product.P2bGasToPowerStatus&lt;&gt;"Yes","Complete",IF(AND(I.Gas.P2bY2Count&gt;=38,F27521=""),"Incomplete","Complete")))</f>
        <v>Complete</v>
      </c>
      <c r="I27521" s="48" t="s">
        <v>2700</v>
      </c>
    </row>
    <row r="27522" spans="2:9" ht="15" customHeight="1" x14ac:dyDescent="0.25">
      <c r="B27522" s="55" t="s">
        <v>401</v>
      </c>
      <c r="C27522" s="46">
        <v>39</v>
      </c>
      <c r="D27522" s="69" t="s">
        <v>29538</v>
      </c>
      <c r="E27522" s="62"/>
      <c r="F27522" s="62" t="str">
        <f>IF(INDEX(I.Gas.P2bY2C1E3,39)="","",INDEX(I.Gas.P2bY2C1E3,39))</f>
        <v/>
      </c>
      <c r="G27522" s="62"/>
      <c r="H27522" s="46" t="str">
        <f>IF(OR(I.Developer.P2b=FALSE,I.Facility.StandardPart="Part 2"),"Complete",IF(I.Product.P2bGasToPowerStatus&lt;&gt;"Yes","Complete",IF(AND(I.Gas.P2bY2Count&gt;=39,F27522=""),"Incomplete","Complete")))</f>
        <v>Complete</v>
      </c>
      <c r="I27522" s="48" t="s">
        <v>2701</v>
      </c>
    </row>
    <row r="27523" spans="2:9" ht="15" customHeight="1" x14ac:dyDescent="0.25">
      <c r="B27523" s="55" t="s">
        <v>401</v>
      </c>
      <c r="C27523" s="46">
        <v>40</v>
      </c>
      <c r="D27523" s="69" t="s">
        <v>29538</v>
      </c>
      <c r="E27523" s="62"/>
      <c r="F27523" s="62" t="str">
        <f>IF(INDEX(I.Gas.P2bY2C1E3,40)="","",INDEX(I.Gas.P2bY2C1E3,40))</f>
        <v/>
      </c>
      <c r="G27523" s="62"/>
      <c r="H27523" s="46" t="str">
        <f>IF(OR(I.Developer.P2b=FALSE,I.Facility.StandardPart="Part 2"),"Complete",IF(I.Product.P2bGasToPowerStatus&lt;&gt;"Yes","Complete",IF(AND(I.Gas.P2bY2Count&gt;=40,F27523=""),"Incomplete","Complete")))</f>
        <v>Complete</v>
      </c>
      <c r="I27523" s="48" t="s">
        <v>2702</v>
      </c>
    </row>
    <row r="27524" spans="2:9" ht="15" customHeight="1" x14ac:dyDescent="0.25">
      <c r="B27524" s="55" t="s">
        <v>401</v>
      </c>
      <c r="C27524" s="46">
        <v>41</v>
      </c>
      <c r="D27524" s="69" t="s">
        <v>29538</v>
      </c>
      <c r="E27524" s="62"/>
      <c r="F27524" s="62" t="str">
        <f>IF(INDEX(I.Gas.P2bY2C1E3,41)="","",INDEX(I.Gas.P2bY2C1E3,41))</f>
        <v/>
      </c>
      <c r="G27524" s="62"/>
      <c r="H27524" s="46" t="str">
        <f>IF(OR(I.Developer.P2b=FALSE,I.Facility.StandardPart="Part 2"),"Complete",IF(I.Product.P2bGasToPowerStatus&lt;&gt;"Yes","Complete",IF(AND(I.Gas.P2bY2Count&gt;=41,F27524=""),"Incomplete","Complete")))</f>
        <v>Complete</v>
      </c>
      <c r="I27524" s="48" t="s">
        <v>2703</v>
      </c>
    </row>
    <row r="27525" spans="2:9" ht="15" customHeight="1" x14ac:dyDescent="0.25">
      <c r="B27525" s="55" t="s">
        <v>401</v>
      </c>
      <c r="C27525" s="46">
        <v>42</v>
      </c>
      <c r="D27525" s="69" t="s">
        <v>29538</v>
      </c>
      <c r="E27525" s="62"/>
      <c r="F27525" s="62" t="str">
        <f>IF(INDEX(I.Gas.P2bY2C1E3,42)="","",INDEX(I.Gas.P2bY2C1E3,42))</f>
        <v/>
      </c>
      <c r="G27525" s="62"/>
      <c r="H27525" s="46" t="str">
        <f>IF(OR(I.Developer.P2b=FALSE,I.Facility.StandardPart="Part 2"),"Complete",IF(I.Product.P2bGasToPowerStatus&lt;&gt;"Yes","Complete",IF(AND(I.Gas.P2bY2Count&gt;=42,F27525=""),"Incomplete","Complete")))</f>
        <v>Complete</v>
      </c>
      <c r="I27525" s="48" t="s">
        <v>2704</v>
      </c>
    </row>
    <row r="27526" spans="2:9" ht="15" customHeight="1" x14ac:dyDescent="0.25">
      <c r="B27526" s="55" t="s">
        <v>401</v>
      </c>
      <c r="C27526" s="46">
        <v>43</v>
      </c>
      <c r="D27526" s="69" t="s">
        <v>29538</v>
      </c>
      <c r="E27526" s="62"/>
      <c r="F27526" s="62" t="str">
        <f>IF(INDEX(I.Gas.P2bY2C1E3,43)="","",INDEX(I.Gas.P2bY2C1E3,43))</f>
        <v/>
      </c>
      <c r="G27526" s="62"/>
      <c r="H27526" s="46" t="str">
        <f>IF(OR(I.Developer.P2b=FALSE,I.Facility.StandardPart="Part 2"),"Complete",IF(I.Product.P2bGasToPowerStatus&lt;&gt;"Yes","Complete",IF(AND(I.Gas.P2bY2Count&gt;=43,F27526=""),"Incomplete","Complete")))</f>
        <v>Complete</v>
      </c>
      <c r="I27526" s="48" t="s">
        <v>2705</v>
      </c>
    </row>
    <row r="27527" spans="2:9" ht="15" customHeight="1" x14ac:dyDescent="0.25">
      <c r="B27527" s="55" t="s">
        <v>401</v>
      </c>
      <c r="C27527" s="46">
        <v>44</v>
      </c>
      <c r="D27527" s="69" t="s">
        <v>29538</v>
      </c>
      <c r="E27527" s="62"/>
      <c r="F27527" s="62" t="str">
        <f>IF(INDEX(I.Gas.P2bY2C1E3,44)="","",INDEX(I.Gas.P2bY2C1E3,44))</f>
        <v/>
      </c>
      <c r="G27527" s="62"/>
      <c r="H27527" s="46" t="str">
        <f>IF(OR(I.Developer.P2b=FALSE,I.Facility.StandardPart="Part 2"),"Complete",IF(I.Product.P2bGasToPowerStatus&lt;&gt;"Yes","Complete",IF(AND(I.Gas.P2bY2Count&gt;=44,F27527=""),"Incomplete","Complete")))</f>
        <v>Complete</v>
      </c>
      <c r="I27527" s="48" t="s">
        <v>2706</v>
      </c>
    </row>
    <row r="27528" spans="2:9" ht="15" customHeight="1" x14ac:dyDescent="0.25">
      <c r="B27528" s="55" t="s">
        <v>401</v>
      </c>
      <c r="C27528" s="46">
        <v>45</v>
      </c>
      <c r="D27528" s="69" t="s">
        <v>29538</v>
      </c>
      <c r="E27528" s="62"/>
      <c r="F27528" s="62" t="str">
        <f>IF(INDEX(I.Gas.P2bY2C1E3,45)="","",INDEX(I.Gas.P2bY2C1E3,45))</f>
        <v/>
      </c>
      <c r="G27528" s="62"/>
      <c r="H27528" s="46" t="str">
        <f>IF(OR(I.Developer.P2b=FALSE,I.Facility.StandardPart="Part 2"),"Complete",IF(I.Product.P2bGasToPowerStatus&lt;&gt;"Yes","Complete",IF(AND(I.Gas.P2bY2Count&gt;=45,F27528=""),"Incomplete","Complete")))</f>
        <v>Complete</v>
      </c>
      <c r="I27528" s="48" t="s">
        <v>2707</v>
      </c>
    </row>
    <row r="27529" spans="2:9" ht="15" customHeight="1" x14ac:dyDescent="0.25">
      <c r="B27529" s="55" t="s">
        <v>401</v>
      </c>
      <c r="C27529" s="46">
        <v>46</v>
      </c>
      <c r="D27529" s="69" t="s">
        <v>29538</v>
      </c>
      <c r="E27529" s="62"/>
      <c r="F27529" s="62" t="str">
        <f>IF(INDEX(I.Gas.P2bY2C1E3,46)="","",INDEX(I.Gas.P2bY2C1E3,46))</f>
        <v/>
      </c>
      <c r="G27529" s="62"/>
      <c r="H27529" s="46" t="str">
        <f>IF(OR(I.Developer.P2b=FALSE,I.Facility.StandardPart="Part 2"),"Complete",IF(I.Product.P2bGasToPowerStatus&lt;&gt;"Yes","Complete",IF(AND(I.Gas.P2bY2Count&gt;=46,F27529=""),"Incomplete","Complete")))</f>
        <v>Complete</v>
      </c>
      <c r="I27529" s="48" t="s">
        <v>2708</v>
      </c>
    </row>
    <row r="27530" spans="2:9" ht="15" customHeight="1" x14ac:dyDescent="0.25">
      <c r="B27530" s="55" t="s">
        <v>401</v>
      </c>
      <c r="C27530" s="46">
        <v>47</v>
      </c>
      <c r="D27530" s="69" t="s">
        <v>29538</v>
      </c>
      <c r="E27530" s="62"/>
      <c r="F27530" s="62" t="str">
        <f>IF(INDEX(I.Gas.P2bY2C1E3,47)="","",INDEX(I.Gas.P2bY2C1E3,47))</f>
        <v/>
      </c>
      <c r="G27530" s="62"/>
      <c r="H27530" s="46" t="str">
        <f>IF(OR(I.Developer.P2b=FALSE,I.Facility.StandardPart="Part 2"),"Complete",IF(I.Product.P2bGasToPowerStatus&lt;&gt;"Yes","Complete",IF(AND(I.Gas.P2bY2Count&gt;=47,F27530=""),"Incomplete","Complete")))</f>
        <v>Complete</v>
      </c>
      <c r="I27530" s="48" t="s">
        <v>2709</v>
      </c>
    </row>
    <row r="27531" spans="2:9" ht="15" customHeight="1" x14ac:dyDescent="0.25">
      <c r="B27531" s="55" t="s">
        <v>401</v>
      </c>
      <c r="C27531" s="46">
        <v>48</v>
      </c>
      <c r="D27531" s="69" t="s">
        <v>29538</v>
      </c>
      <c r="E27531" s="62"/>
      <c r="F27531" s="62" t="str">
        <f>IF(INDEX(I.Gas.P2bY2C1E3,48)="","",INDEX(I.Gas.P2bY2C1E3,48))</f>
        <v/>
      </c>
      <c r="G27531" s="62"/>
      <c r="H27531" s="46" t="str">
        <f>IF(OR(I.Developer.P2b=FALSE,I.Facility.StandardPart="Part 2"),"Complete",IF(I.Product.P2bGasToPowerStatus&lt;&gt;"Yes","Complete",IF(AND(I.Gas.P2bY2Count&gt;=48,F27531=""),"Incomplete","Complete")))</f>
        <v>Complete</v>
      </c>
      <c r="I27531" s="48" t="s">
        <v>2710</v>
      </c>
    </row>
    <row r="27532" spans="2:9" ht="15" customHeight="1" x14ac:dyDescent="0.25">
      <c r="B27532" s="55" t="s">
        <v>401</v>
      </c>
      <c r="C27532" s="46">
        <v>49</v>
      </c>
      <c r="D27532" s="69" t="s">
        <v>29538</v>
      </c>
      <c r="E27532" s="62"/>
      <c r="F27532" s="62" t="str">
        <f>IF(INDEX(I.Gas.P2bY2C1E3,49)="","",INDEX(I.Gas.P2bY2C1E3,49))</f>
        <v/>
      </c>
      <c r="G27532" s="62"/>
      <c r="H27532" s="46" t="str">
        <f>IF(OR(I.Developer.P2b=FALSE,I.Facility.StandardPart="Part 2"),"Complete",IF(I.Product.P2bGasToPowerStatus&lt;&gt;"Yes","Complete",IF(AND(I.Gas.P2bY2Count&gt;=49,F27532=""),"Incomplete","Complete")))</f>
        <v>Complete</v>
      </c>
      <c r="I27532" s="48" t="s">
        <v>2711</v>
      </c>
    </row>
    <row r="27533" spans="2:9" ht="15" customHeight="1" x14ac:dyDescent="0.25">
      <c r="B27533" s="56" t="s">
        <v>401</v>
      </c>
      <c r="C27533" s="57">
        <v>50</v>
      </c>
      <c r="D27533" s="71" t="s">
        <v>29538</v>
      </c>
      <c r="E27533" s="61"/>
      <c r="F27533" s="61" t="str">
        <f>IF(INDEX(I.Gas.P2bY2C1E3,50)="","",INDEX(I.Gas.P2bY2C1E3,50))</f>
        <v/>
      </c>
      <c r="G27533" s="61"/>
      <c r="H27533" s="57" t="str">
        <f>IF(OR(I.Developer.P2b=FALSE,I.Facility.StandardPart="Part 2"),"Complete",IF(I.Product.P2bGasToPowerStatus&lt;&gt;"Yes","Complete",IF(AND(I.Gas.P2bY2Count&gt;=50,F27533=""),"Incomplete","Complete")))</f>
        <v>Complete</v>
      </c>
      <c r="I27533" s="49" t="s">
        <v>2712</v>
      </c>
    </row>
    <row r="27534" spans="2:9" ht="15" customHeight="1" x14ac:dyDescent="0.25">
      <c r="B27534" s="56" t="s">
        <v>402</v>
      </c>
      <c r="C27534" s="57">
        <v>1</v>
      </c>
      <c r="D27534" s="71" t="s">
        <v>29539</v>
      </c>
      <c r="E27534" s="60"/>
      <c r="F27534" s="60" t="str">
        <f>IF(INDEX(I.Gas.P3Y1Count,1)="","",INDEX(I.Gas.P3Y1Count,1))</f>
        <v/>
      </c>
      <c r="G27534" s="60"/>
      <c r="H27534" s="57" t="str">
        <f>IF(I.Developer.P3=FALSE,"Complete",IF(I.Product.P3GasToPowerStatus&lt;&gt;"Yes","Complete",IF(I.Gas.P3Y1Count="","Incomplete","Complete")))</f>
        <v>Complete</v>
      </c>
      <c r="I27534" s="49" t="s">
        <v>2713</v>
      </c>
    </row>
    <row r="27535" spans="2:9" ht="15" customHeight="1" x14ac:dyDescent="0.25">
      <c r="B27535" s="55" t="s">
        <v>403</v>
      </c>
      <c r="C27535" s="46">
        <v>1</v>
      </c>
      <c r="D27535" s="69" t="s">
        <v>29540</v>
      </c>
      <c r="E27535" s="62"/>
      <c r="F27535" s="62" t="str">
        <f>IF(INDEX(I.Gas.P3Y1AssociatedGasEnergy,1)="","",INDEX(I.Gas.P3Y1AssociatedGasEnergy,1))</f>
        <v/>
      </c>
      <c r="G27535" s="62"/>
      <c r="H27535" s="46" t="str">
        <f>IF(I.Developer.P3=FALSE,"Complete",IF(I.Product.P3GasToPowerStatus&lt;&gt;"Yes","Complete",IF(AND(I.Gas.P3Y1Count&gt;=1,F27535=""),"Incomplete","Complete")))</f>
        <v>Complete</v>
      </c>
      <c r="I27535" s="48" t="s">
        <v>2714</v>
      </c>
    </row>
    <row r="27536" spans="2:9" ht="15" customHeight="1" x14ac:dyDescent="0.25">
      <c r="B27536" s="55" t="s">
        <v>403</v>
      </c>
      <c r="C27536" s="46">
        <v>2</v>
      </c>
      <c r="D27536" s="69" t="s">
        <v>29540</v>
      </c>
      <c r="E27536" s="62"/>
      <c r="F27536" s="62" t="str">
        <f>IF(INDEX(I.Gas.P3Y1AssociatedGasEnergy,2)="","",INDEX(I.Gas.P3Y1AssociatedGasEnergy,2))</f>
        <v/>
      </c>
      <c r="G27536" s="62"/>
      <c r="H27536" s="46" t="str">
        <f>IF(I.Developer.P3=FALSE,"Complete",IF(I.Product.P3GasToPowerStatus&lt;&gt;"Yes","Complete",IF(AND(I.Gas.P3Y1Count&gt;=2,F27536=""),"Incomplete","Complete")))</f>
        <v>Complete</v>
      </c>
      <c r="I27536" s="48" t="s">
        <v>2715</v>
      </c>
    </row>
    <row r="27537" spans="2:9" ht="15" customHeight="1" x14ac:dyDescent="0.25">
      <c r="B27537" s="55" t="s">
        <v>403</v>
      </c>
      <c r="C27537" s="46">
        <v>3</v>
      </c>
      <c r="D27537" s="69" t="s">
        <v>29540</v>
      </c>
      <c r="E27537" s="62"/>
      <c r="F27537" s="62" t="str">
        <f>IF(INDEX(I.Gas.P3Y1AssociatedGasEnergy,3)="","",INDEX(I.Gas.P3Y1AssociatedGasEnergy,3))</f>
        <v/>
      </c>
      <c r="G27537" s="62"/>
      <c r="H27537" s="46" t="str">
        <f>IF(I.Developer.P3=FALSE,"Complete",IF(I.Product.P3GasToPowerStatus&lt;&gt;"Yes","Complete",IF(AND(I.Gas.P3Y1Count&gt;=3,F27537=""),"Incomplete","Complete")))</f>
        <v>Complete</v>
      </c>
      <c r="I27537" s="48" t="s">
        <v>2716</v>
      </c>
    </row>
    <row r="27538" spans="2:9" ht="15" customHeight="1" x14ac:dyDescent="0.25">
      <c r="B27538" s="55" t="s">
        <v>403</v>
      </c>
      <c r="C27538" s="46">
        <v>4</v>
      </c>
      <c r="D27538" s="69" t="s">
        <v>29540</v>
      </c>
      <c r="E27538" s="62"/>
      <c r="F27538" s="62" t="str">
        <f>IF(INDEX(I.Gas.P3Y1AssociatedGasEnergy,4)="","",INDEX(I.Gas.P3Y1AssociatedGasEnergy,4))</f>
        <v/>
      </c>
      <c r="G27538" s="62"/>
      <c r="H27538" s="46" t="str">
        <f>IF(I.Developer.P3=FALSE,"Complete",IF(I.Product.P3GasToPowerStatus&lt;&gt;"Yes","Complete",IF(AND(I.Gas.P3Y1Count&gt;=4,F27538=""),"Incomplete","Complete")))</f>
        <v>Complete</v>
      </c>
      <c r="I27538" s="48" t="s">
        <v>2717</v>
      </c>
    </row>
    <row r="27539" spans="2:9" ht="15" customHeight="1" x14ac:dyDescent="0.25">
      <c r="B27539" s="55" t="s">
        <v>403</v>
      </c>
      <c r="C27539" s="46">
        <v>5</v>
      </c>
      <c r="D27539" s="69" t="s">
        <v>29540</v>
      </c>
      <c r="E27539" s="62"/>
      <c r="F27539" s="62" t="str">
        <f>IF(INDEX(I.Gas.P3Y1AssociatedGasEnergy,5)="","",INDEX(I.Gas.P3Y1AssociatedGasEnergy,5))</f>
        <v/>
      </c>
      <c r="G27539" s="62"/>
      <c r="H27539" s="46" t="str">
        <f>IF(I.Developer.P3=FALSE,"Complete",IF(I.Product.P3GasToPowerStatus&lt;&gt;"Yes","Complete",IF(AND(I.Gas.P3Y1Count&gt;=5,F27539=""),"Incomplete","Complete")))</f>
        <v>Complete</v>
      </c>
      <c r="I27539" s="48" t="s">
        <v>2718</v>
      </c>
    </row>
    <row r="27540" spans="2:9" ht="15" customHeight="1" x14ac:dyDescent="0.25">
      <c r="B27540" s="55" t="s">
        <v>403</v>
      </c>
      <c r="C27540" s="46">
        <v>6</v>
      </c>
      <c r="D27540" s="69" t="s">
        <v>29540</v>
      </c>
      <c r="E27540" s="62"/>
      <c r="F27540" s="62" t="str">
        <f>IF(INDEX(I.Gas.P3Y1AssociatedGasEnergy,6)="","",INDEX(I.Gas.P3Y1AssociatedGasEnergy,6))</f>
        <v/>
      </c>
      <c r="G27540" s="62"/>
      <c r="H27540" s="46" t="str">
        <f>IF(I.Developer.P3=FALSE,"Complete",IF(I.Product.P3GasToPowerStatus&lt;&gt;"Yes","Complete",IF(AND(I.Gas.P3Y1Count&gt;=6,F27540=""),"Incomplete","Complete")))</f>
        <v>Complete</v>
      </c>
      <c r="I27540" s="48" t="s">
        <v>2719</v>
      </c>
    </row>
    <row r="27541" spans="2:9" ht="15" customHeight="1" x14ac:dyDescent="0.25">
      <c r="B27541" s="55" t="s">
        <v>403</v>
      </c>
      <c r="C27541" s="46">
        <v>7</v>
      </c>
      <c r="D27541" s="69" t="s">
        <v>29540</v>
      </c>
      <c r="E27541" s="62"/>
      <c r="F27541" s="62" t="str">
        <f>IF(INDEX(I.Gas.P3Y1AssociatedGasEnergy,7)="","",INDEX(I.Gas.P3Y1AssociatedGasEnergy,7))</f>
        <v/>
      </c>
      <c r="G27541" s="62"/>
      <c r="H27541" s="46" t="str">
        <f>IF(I.Developer.P3=FALSE,"Complete",IF(I.Product.P3GasToPowerStatus&lt;&gt;"Yes","Complete",IF(AND(I.Gas.P3Y1Count&gt;=7,F27541=""),"Incomplete","Complete")))</f>
        <v>Complete</v>
      </c>
      <c r="I27541" s="48" t="s">
        <v>2720</v>
      </c>
    </row>
    <row r="27542" spans="2:9" ht="15" customHeight="1" x14ac:dyDescent="0.25">
      <c r="B27542" s="55" t="s">
        <v>403</v>
      </c>
      <c r="C27542" s="46">
        <v>8</v>
      </c>
      <c r="D27542" s="69" t="s">
        <v>29540</v>
      </c>
      <c r="E27542" s="62"/>
      <c r="F27542" s="62" t="str">
        <f>IF(INDEX(I.Gas.P3Y1AssociatedGasEnergy,8)="","",INDEX(I.Gas.P3Y1AssociatedGasEnergy,8))</f>
        <v/>
      </c>
      <c r="G27542" s="62"/>
      <c r="H27542" s="46" t="str">
        <f>IF(I.Developer.P3=FALSE,"Complete",IF(I.Product.P3GasToPowerStatus&lt;&gt;"Yes","Complete",IF(AND(I.Gas.P3Y1Count&gt;=8,F27542=""),"Incomplete","Complete")))</f>
        <v>Complete</v>
      </c>
      <c r="I27542" s="48" t="s">
        <v>2721</v>
      </c>
    </row>
    <row r="27543" spans="2:9" ht="15" customHeight="1" x14ac:dyDescent="0.25">
      <c r="B27543" s="55" t="s">
        <v>403</v>
      </c>
      <c r="C27543" s="46">
        <v>9</v>
      </c>
      <c r="D27543" s="69" t="s">
        <v>29540</v>
      </c>
      <c r="E27543" s="62"/>
      <c r="F27543" s="62" t="str">
        <f>IF(INDEX(I.Gas.P3Y1AssociatedGasEnergy,9)="","",INDEX(I.Gas.P3Y1AssociatedGasEnergy,9))</f>
        <v/>
      </c>
      <c r="G27543" s="62"/>
      <c r="H27543" s="46" t="str">
        <f>IF(I.Developer.P3=FALSE,"Complete",IF(I.Product.P3GasToPowerStatus&lt;&gt;"Yes","Complete",IF(AND(I.Gas.P3Y1Count&gt;=9,F27543=""),"Incomplete","Complete")))</f>
        <v>Complete</v>
      </c>
      <c r="I27543" s="48" t="s">
        <v>2722</v>
      </c>
    </row>
    <row r="27544" spans="2:9" ht="15" customHeight="1" x14ac:dyDescent="0.25">
      <c r="B27544" s="55" t="s">
        <v>403</v>
      </c>
      <c r="C27544" s="46">
        <v>10</v>
      </c>
      <c r="D27544" s="69" t="s">
        <v>29540</v>
      </c>
      <c r="E27544" s="62"/>
      <c r="F27544" s="62" t="str">
        <f>IF(INDEX(I.Gas.P3Y1AssociatedGasEnergy,10)="","",INDEX(I.Gas.P3Y1AssociatedGasEnergy,10))</f>
        <v/>
      </c>
      <c r="G27544" s="62"/>
      <c r="H27544" s="46" t="str">
        <f>IF(I.Developer.P3=FALSE,"Complete",IF(I.Product.P3GasToPowerStatus&lt;&gt;"Yes","Complete",IF(AND(I.Gas.P3Y1Count&gt;=10,F27544=""),"Incomplete","Complete")))</f>
        <v>Complete</v>
      </c>
      <c r="I27544" s="48" t="s">
        <v>2723</v>
      </c>
    </row>
    <row r="27545" spans="2:9" ht="15" customHeight="1" x14ac:dyDescent="0.25">
      <c r="B27545" s="55" t="s">
        <v>403</v>
      </c>
      <c r="C27545" s="46">
        <v>11</v>
      </c>
      <c r="D27545" s="69" t="s">
        <v>29540</v>
      </c>
      <c r="E27545" s="62"/>
      <c r="F27545" s="62" t="str">
        <f>IF(INDEX(I.Gas.P3Y1AssociatedGasEnergy,11)="","",INDEX(I.Gas.P3Y1AssociatedGasEnergy,11))</f>
        <v/>
      </c>
      <c r="G27545" s="62"/>
      <c r="H27545" s="46" t="str">
        <f>IF(I.Developer.P3=FALSE,"Complete",IF(I.Product.P3GasToPowerStatus&lt;&gt;"Yes","Complete",IF(AND(I.Gas.P3Y1Count&gt;=11,F27545=""),"Incomplete","Complete")))</f>
        <v>Complete</v>
      </c>
      <c r="I27545" s="48" t="s">
        <v>2724</v>
      </c>
    </row>
    <row r="27546" spans="2:9" ht="15" customHeight="1" x14ac:dyDescent="0.25">
      <c r="B27546" s="55" t="s">
        <v>403</v>
      </c>
      <c r="C27546" s="46">
        <v>12</v>
      </c>
      <c r="D27546" s="69" t="s">
        <v>29540</v>
      </c>
      <c r="E27546" s="62"/>
      <c r="F27546" s="62" t="str">
        <f>IF(INDEX(I.Gas.P3Y1AssociatedGasEnergy,12)="","",INDEX(I.Gas.P3Y1AssociatedGasEnergy,12))</f>
        <v/>
      </c>
      <c r="G27546" s="62"/>
      <c r="H27546" s="46" t="str">
        <f>IF(I.Developer.P3=FALSE,"Complete",IF(I.Product.P3GasToPowerStatus&lt;&gt;"Yes","Complete",IF(AND(I.Gas.P3Y1Count&gt;=12,F27546=""),"Incomplete","Complete")))</f>
        <v>Complete</v>
      </c>
      <c r="I27546" s="48" t="s">
        <v>2725</v>
      </c>
    </row>
    <row r="27547" spans="2:9" ht="15" customHeight="1" x14ac:dyDescent="0.25">
      <c r="B27547" s="55" t="s">
        <v>403</v>
      </c>
      <c r="C27547" s="46">
        <v>13</v>
      </c>
      <c r="D27547" s="69" t="s">
        <v>29540</v>
      </c>
      <c r="E27547" s="62"/>
      <c r="F27547" s="62" t="str">
        <f>IF(INDEX(I.Gas.P3Y1AssociatedGasEnergy,13)="","",INDEX(I.Gas.P3Y1AssociatedGasEnergy,13))</f>
        <v/>
      </c>
      <c r="G27547" s="62"/>
      <c r="H27547" s="46" t="str">
        <f>IF(I.Developer.P3=FALSE,"Complete",IF(I.Product.P3GasToPowerStatus&lt;&gt;"Yes","Complete",IF(AND(I.Gas.P3Y1Count&gt;=13,F27547=""),"Incomplete","Complete")))</f>
        <v>Complete</v>
      </c>
      <c r="I27547" s="48" t="s">
        <v>2726</v>
      </c>
    </row>
    <row r="27548" spans="2:9" ht="15" customHeight="1" x14ac:dyDescent="0.25">
      <c r="B27548" s="55" t="s">
        <v>403</v>
      </c>
      <c r="C27548" s="46">
        <v>14</v>
      </c>
      <c r="D27548" s="69" t="s">
        <v>29540</v>
      </c>
      <c r="E27548" s="62"/>
      <c r="F27548" s="62" t="str">
        <f>IF(INDEX(I.Gas.P3Y1AssociatedGasEnergy,14)="","",INDEX(I.Gas.P3Y1AssociatedGasEnergy,14))</f>
        <v/>
      </c>
      <c r="G27548" s="62"/>
      <c r="H27548" s="46" t="str">
        <f>IF(I.Developer.P3=FALSE,"Complete",IF(I.Product.P3GasToPowerStatus&lt;&gt;"Yes","Complete",IF(AND(I.Gas.P3Y1Count&gt;=14,F27548=""),"Incomplete","Complete")))</f>
        <v>Complete</v>
      </c>
      <c r="I27548" s="48" t="s">
        <v>2727</v>
      </c>
    </row>
    <row r="27549" spans="2:9" ht="15" customHeight="1" x14ac:dyDescent="0.25">
      <c r="B27549" s="55" t="s">
        <v>403</v>
      </c>
      <c r="C27549" s="46">
        <v>15</v>
      </c>
      <c r="D27549" s="69" t="s">
        <v>29540</v>
      </c>
      <c r="E27549" s="62"/>
      <c r="F27549" s="62" t="str">
        <f>IF(INDEX(I.Gas.P3Y1AssociatedGasEnergy,15)="","",INDEX(I.Gas.P3Y1AssociatedGasEnergy,15))</f>
        <v/>
      </c>
      <c r="G27549" s="62"/>
      <c r="H27549" s="46" t="str">
        <f>IF(I.Developer.P3=FALSE,"Complete",IF(I.Product.P3GasToPowerStatus&lt;&gt;"Yes","Complete",IF(AND(I.Gas.P3Y1Count&gt;=15,F27549=""),"Incomplete","Complete")))</f>
        <v>Complete</v>
      </c>
      <c r="I27549" s="48" t="s">
        <v>2728</v>
      </c>
    </row>
    <row r="27550" spans="2:9" ht="15" customHeight="1" x14ac:dyDescent="0.25">
      <c r="B27550" s="55" t="s">
        <v>403</v>
      </c>
      <c r="C27550" s="46">
        <v>16</v>
      </c>
      <c r="D27550" s="69" t="s">
        <v>29540</v>
      </c>
      <c r="E27550" s="62"/>
      <c r="F27550" s="62" t="str">
        <f>IF(INDEX(I.Gas.P3Y1AssociatedGasEnergy,16)="","",INDEX(I.Gas.P3Y1AssociatedGasEnergy,16))</f>
        <v/>
      </c>
      <c r="G27550" s="62"/>
      <c r="H27550" s="46" t="str">
        <f>IF(I.Developer.P3=FALSE,"Complete",IF(I.Product.P3GasToPowerStatus&lt;&gt;"Yes","Complete",IF(AND(I.Gas.P3Y1Count&gt;=16,F27550=""),"Incomplete","Complete")))</f>
        <v>Complete</v>
      </c>
      <c r="I27550" s="48" t="s">
        <v>2729</v>
      </c>
    </row>
    <row r="27551" spans="2:9" ht="15" customHeight="1" x14ac:dyDescent="0.25">
      <c r="B27551" s="55" t="s">
        <v>403</v>
      </c>
      <c r="C27551" s="46">
        <v>17</v>
      </c>
      <c r="D27551" s="69" t="s">
        <v>29540</v>
      </c>
      <c r="E27551" s="62"/>
      <c r="F27551" s="62" t="str">
        <f>IF(INDEX(I.Gas.P3Y1AssociatedGasEnergy,17)="","",INDEX(I.Gas.P3Y1AssociatedGasEnergy,17))</f>
        <v/>
      </c>
      <c r="G27551" s="62"/>
      <c r="H27551" s="46" t="str">
        <f>IF(I.Developer.P3=FALSE,"Complete",IF(I.Product.P3GasToPowerStatus&lt;&gt;"Yes","Complete",IF(AND(I.Gas.P3Y1Count&gt;=17,F27551=""),"Incomplete","Complete")))</f>
        <v>Complete</v>
      </c>
      <c r="I27551" s="48" t="s">
        <v>2730</v>
      </c>
    </row>
    <row r="27552" spans="2:9" ht="15" customHeight="1" x14ac:dyDescent="0.25">
      <c r="B27552" s="55" t="s">
        <v>403</v>
      </c>
      <c r="C27552" s="46">
        <v>18</v>
      </c>
      <c r="D27552" s="69" t="s">
        <v>29540</v>
      </c>
      <c r="E27552" s="62"/>
      <c r="F27552" s="62" t="str">
        <f>IF(INDEX(I.Gas.P3Y1AssociatedGasEnergy,18)="","",INDEX(I.Gas.P3Y1AssociatedGasEnergy,18))</f>
        <v/>
      </c>
      <c r="G27552" s="62"/>
      <c r="H27552" s="46" t="str">
        <f>IF(I.Developer.P3=FALSE,"Complete",IF(I.Product.P3GasToPowerStatus&lt;&gt;"Yes","Complete",IF(AND(I.Gas.P3Y1Count&gt;=18,F27552=""),"Incomplete","Complete")))</f>
        <v>Complete</v>
      </c>
      <c r="I27552" s="48" t="s">
        <v>2731</v>
      </c>
    </row>
    <row r="27553" spans="2:9" ht="15" customHeight="1" x14ac:dyDescent="0.25">
      <c r="B27553" s="55" t="s">
        <v>403</v>
      </c>
      <c r="C27553" s="46">
        <v>19</v>
      </c>
      <c r="D27553" s="69" t="s">
        <v>29540</v>
      </c>
      <c r="E27553" s="62"/>
      <c r="F27553" s="62" t="str">
        <f>IF(INDEX(I.Gas.P3Y1AssociatedGasEnergy,19)="","",INDEX(I.Gas.P3Y1AssociatedGasEnergy,19))</f>
        <v/>
      </c>
      <c r="G27553" s="62"/>
      <c r="H27553" s="46" t="str">
        <f>IF(I.Developer.P3=FALSE,"Complete",IF(I.Product.P3GasToPowerStatus&lt;&gt;"Yes","Complete",IF(AND(I.Gas.P3Y1Count&gt;=19,F27553=""),"Incomplete","Complete")))</f>
        <v>Complete</v>
      </c>
      <c r="I27553" s="48" t="s">
        <v>2732</v>
      </c>
    </row>
    <row r="27554" spans="2:9" ht="15" customHeight="1" x14ac:dyDescent="0.25">
      <c r="B27554" s="55" t="s">
        <v>403</v>
      </c>
      <c r="C27554" s="46">
        <v>20</v>
      </c>
      <c r="D27554" s="69" t="s">
        <v>29540</v>
      </c>
      <c r="E27554" s="62"/>
      <c r="F27554" s="62" t="str">
        <f>IF(INDEX(I.Gas.P3Y1AssociatedGasEnergy,20)="","",INDEX(I.Gas.P3Y1AssociatedGasEnergy,20))</f>
        <v/>
      </c>
      <c r="G27554" s="62"/>
      <c r="H27554" s="46" t="str">
        <f>IF(I.Developer.P3=FALSE,"Complete",IF(I.Product.P3GasToPowerStatus&lt;&gt;"Yes","Complete",IF(AND(I.Gas.P3Y1Count&gt;=20,F27554=""),"Incomplete","Complete")))</f>
        <v>Complete</v>
      </c>
      <c r="I27554" s="48" t="s">
        <v>2733</v>
      </c>
    </row>
    <row r="27555" spans="2:9" ht="15" customHeight="1" x14ac:dyDescent="0.25">
      <c r="B27555" s="55" t="s">
        <v>403</v>
      </c>
      <c r="C27555" s="46">
        <v>21</v>
      </c>
      <c r="D27555" s="69" t="s">
        <v>29540</v>
      </c>
      <c r="E27555" s="62"/>
      <c r="F27555" s="62" t="str">
        <f>IF(INDEX(I.Gas.P3Y1AssociatedGasEnergy,21)="","",INDEX(I.Gas.P3Y1AssociatedGasEnergy,21))</f>
        <v/>
      </c>
      <c r="G27555" s="62"/>
      <c r="H27555" s="46" t="str">
        <f>IF(I.Developer.P3=FALSE,"Complete",IF(I.Product.P3GasToPowerStatus&lt;&gt;"Yes","Complete",IF(AND(I.Gas.P3Y1Count&gt;=21,F27555=""),"Incomplete","Complete")))</f>
        <v>Complete</v>
      </c>
      <c r="I27555" s="48" t="s">
        <v>2734</v>
      </c>
    </row>
    <row r="27556" spans="2:9" ht="15" customHeight="1" x14ac:dyDescent="0.25">
      <c r="B27556" s="55" t="s">
        <v>403</v>
      </c>
      <c r="C27556" s="46">
        <v>22</v>
      </c>
      <c r="D27556" s="69" t="s">
        <v>29540</v>
      </c>
      <c r="E27556" s="62"/>
      <c r="F27556" s="62" t="str">
        <f>IF(INDEX(I.Gas.P3Y1AssociatedGasEnergy,22)="","",INDEX(I.Gas.P3Y1AssociatedGasEnergy,22))</f>
        <v/>
      </c>
      <c r="G27556" s="62"/>
      <c r="H27556" s="46" t="str">
        <f>IF(I.Developer.P3=FALSE,"Complete",IF(I.Product.P3GasToPowerStatus&lt;&gt;"Yes","Complete",IF(AND(I.Gas.P3Y1Count&gt;=22,F27556=""),"Incomplete","Complete")))</f>
        <v>Complete</v>
      </c>
      <c r="I27556" s="48" t="s">
        <v>2735</v>
      </c>
    </row>
    <row r="27557" spans="2:9" ht="15" customHeight="1" x14ac:dyDescent="0.25">
      <c r="B27557" s="55" t="s">
        <v>403</v>
      </c>
      <c r="C27557" s="46">
        <v>23</v>
      </c>
      <c r="D27557" s="69" t="s">
        <v>29540</v>
      </c>
      <c r="E27557" s="62"/>
      <c r="F27557" s="62" t="str">
        <f>IF(INDEX(I.Gas.P3Y1AssociatedGasEnergy,23)="","",INDEX(I.Gas.P3Y1AssociatedGasEnergy,23))</f>
        <v/>
      </c>
      <c r="G27557" s="62"/>
      <c r="H27557" s="46" t="str">
        <f>IF(I.Developer.P3=FALSE,"Complete",IF(I.Product.P3GasToPowerStatus&lt;&gt;"Yes","Complete",IF(AND(I.Gas.P3Y1Count&gt;=23,F27557=""),"Incomplete","Complete")))</f>
        <v>Complete</v>
      </c>
      <c r="I27557" s="48" t="s">
        <v>2736</v>
      </c>
    </row>
    <row r="27558" spans="2:9" ht="15" customHeight="1" x14ac:dyDescent="0.25">
      <c r="B27558" s="55" t="s">
        <v>403</v>
      </c>
      <c r="C27558" s="46">
        <v>24</v>
      </c>
      <c r="D27558" s="69" t="s">
        <v>29540</v>
      </c>
      <c r="E27558" s="62"/>
      <c r="F27558" s="62" t="str">
        <f>IF(INDEX(I.Gas.P3Y1AssociatedGasEnergy,24)="","",INDEX(I.Gas.P3Y1AssociatedGasEnergy,24))</f>
        <v/>
      </c>
      <c r="G27558" s="62"/>
      <c r="H27558" s="46" t="str">
        <f>IF(I.Developer.P3=FALSE,"Complete",IF(I.Product.P3GasToPowerStatus&lt;&gt;"Yes","Complete",IF(AND(I.Gas.P3Y1Count&gt;=24,F27558=""),"Incomplete","Complete")))</f>
        <v>Complete</v>
      </c>
      <c r="I27558" s="48" t="s">
        <v>2737</v>
      </c>
    </row>
    <row r="27559" spans="2:9" ht="15" customHeight="1" x14ac:dyDescent="0.25">
      <c r="B27559" s="55" t="s">
        <v>403</v>
      </c>
      <c r="C27559" s="46">
        <v>25</v>
      </c>
      <c r="D27559" s="69" t="s">
        <v>29540</v>
      </c>
      <c r="E27559" s="62"/>
      <c r="F27559" s="62" t="str">
        <f>IF(INDEX(I.Gas.P3Y1AssociatedGasEnergy,25)="","",INDEX(I.Gas.P3Y1AssociatedGasEnergy,25))</f>
        <v/>
      </c>
      <c r="G27559" s="62"/>
      <c r="H27559" s="46" t="str">
        <f>IF(I.Developer.P3=FALSE,"Complete",IF(I.Product.P3GasToPowerStatus&lt;&gt;"Yes","Complete",IF(AND(I.Gas.P3Y1Count&gt;=25,F27559=""),"Incomplete","Complete")))</f>
        <v>Complete</v>
      </c>
      <c r="I27559" s="48" t="s">
        <v>2738</v>
      </c>
    </row>
    <row r="27560" spans="2:9" ht="15" customHeight="1" x14ac:dyDescent="0.25">
      <c r="B27560" s="55" t="s">
        <v>403</v>
      </c>
      <c r="C27560" s="46">
        <v>26</v>
      </c>
      <c r="D27560" s="69" t="s">
        <v>29540</v>
      </c>
      <c r="E27560" s="62"/>
      <c r="F27560" s="62" t="str">
        <f>IF(INDEX(I.Gas.P3Y1AssociatedGasEnergy,26)="","",INDEX(I.Gas.P3Y1AssociatedGasEnergy,26))</f>
        <v/>
      </c>
      <c r="G27560" s="62"/>
      <c r="H27560" s="46" t="str">
        <f>IF(I.Developer.P3=FALSE,"Complete",IF(I.Product.P3GasToPowerStatus&lt;&gt;"Yes","Complete",IF(AND(I.Gas.P3Y1Count&gt;=26,F27560=""),"Incomplete","Complete")))</f>
        <v>Complete</v>
      </c>
      <c r="I27560" s="48" t="s">
        <v>2739</v>
      </c>
    </row>
    <row r="27561" spans="2:9" ht="15" customHeight="1" x14ac:dyDescent="0.25">
      <c r="B27561" s="55" t="s">
        <v>403</v>
      </c>
      <c r="C27561" s="46">
        <v>27</v>
      </c>
      <c r="D27561" s="69" t="s">
        <v>29540</v>
      </c>
      <c r="E27561" s="62"/>
      <c r="F27561" s="62" t="str">
        <f>IF(INDEX(I.Gas.P3Y1AssociatedGasEnergy,27)="","",INDEX(I.Gas.P3Y1AssociatedGasEnergy,27))</f>
        <v/>
      </c>
      <c r="G27561" s="62"/>
      <c r="H27561" s="46" t="str">
        <f>IF(I.Developer.P3=FALSE,"Complete",IF(I.Product.P3GasToPowerStatus&lt;&gt;"Yes","Complete",IF(AND(I.Gas.P3Y1Count&gt;=27,F27561=""),"Incomplete","Complete")))</f>
        <v>Complete</v>
      </c>
      <c r="I27561" s="48" t="s">
        <v>2740</v>
      </c>
    </row>
    <row r="27562" spans="2:9" ht="15" customHeight="1" x14ac:dyDescent="0.25">
      <c r="B27562" s="55" t="s">
        <v>403</v>
      </c>
      <c r="C27562" s="46">
        <v>28</v>
      </c>
      <c r="D27562" s="69" t="s">
        <v>29540</v>
      </c>
      <c r="E27562" s="62"/>
      <c r="F27562" s="62" t="str">
        <f>IF(INDEX(I.Gas.P3Y1AssociatedGasEnergy,28)="","",INDEX(I.Gas.P3Y1AssociatedGasEnergy,28))</f>
        <v/>
      </c>
      <c r="G27562" s="62"/>
      <c r="H27562" s="46" t="str">
        <f>IF(I.Developer.P3=FALSE,"Complete",IF(I.Product.P3GasToPowerStatus&lt;&gt;"Yes","Complete",IF(AND(I.Gas.P3Y1Count&gt;=28,F27562=""),"Incomplete","Complete")))</f>
        <v>Complete</v>
      </c>
      <c r="I27562" s="48" t="s">
        <v>2741</v>
      </c>
    </row>
    <row r="27563" spans="2:9" ht="15" customHeight="1" x14ac:dyDescent="0.25">
      <c r="B27563" s="55" t="s">
        <v>403</v>
      </c>
      <c r="C27563" s="46">
        <v>29</v>
      </c>
      <c r="D27563" s="69" t="s">
        <v>29540</v>
      </c>
      <c r="E27563" s="62"/>
      <c r="F27563" s="62" t="str">
        <f>IF(INDEX(I.Gas.P3Y1AssociatedGasEnergy,29)="","",INDEX(I.Gas.P3Y1AssociatedGasEnergy,29))</f>
        <v/>
      </c>
      <c r="G27563" s="62"/>
      <c r="H27563" s="46" t="str">
        <f>IF(I.Developer.P3=FALSE,"Complete",IF(I.Product.P3GasToPowerStatus&lt;&gt;"Yes","Complete",IF(AND(I.Gas.P3Y1Count&gt;=29,F27563=""),"Incomplete","Complete")))</f>
        <v>Complete</v>
      </c>
      <c r="I27563" s="48" t="s">
        <v>2742</v>
      </c>
    </row>
    <row r="27564" spans="2:9" ht="15" customHeight="1" x14ac:dyDescent="0.25">
      <c r="B27564" s="55" t="s">
        <v>403</v>
      </c>
      <c r="C27564" s="46">
        <v>30</v>
      </c>
      <c r="D27564" s="69" t="s">
        <v>29540</v>
      </c>
      <c r="E27564" s="62"/>
      <c r="F27564" s="62" t="str">
        <f>IF(INDEX(I.Gas.P3Y1AssociatedGasEnergy,30)="","",INDEX(I.Gas.P3Y1AssociatedGasEnergy,30))</f>
        <v/>
      </c>
      <c r="G27564" s="62"/>
      <c r="H27564" s="46" t="str">
        <f>IF(I.Developer.P3=FALSE,"Complete",IF(I.Product.P3GasToPowerStatus&lt;&gt;"Yes","Complete",IF(AND(I.Gas.P3Y1Count&gt;=30,F27564=""),"Incomplete","Complete")))</f>
        <v>Complete</v>
      </c>
      <c r="I27564" s="48" t="s">
        <v>2743</v>
      </c>
    </row>
    <row r="27565" spans="2:9" ht="15" customHeight="1" x14ac:dyDescent="0.25">
      <c r="B27565" s="55" t="s">
        <v>403</v>
      </c>
      <c r="C27565" s="46">
        <v>31</v>
      </c>
      <c r="D27565" s="69" t="s">
        <v>29540</v>
      </c>
      <c r="E27565" s="62"/>
      <c r="F27565" s="62" t="str">
        <f>IF(INDEX(I.Gas.P3Y1AssociatedGasEnergy,31)="","",INDEX(I.Gas.P3Y1AssociatedGasEnergy,31))</f>
        <v/>
      </c>
      <c r="G27565" s="62"/>
      <c r="H27565" s="46" t="str">
        <f>IF(I.Developer.P3=FALSE,"Complete",IF(I.Product.P3GasToPowerStatus&lt;&gt;"Yes","Complete",IF(AND(I.Gas.P3Y1Count&gt;=31,F27565=""),"Incomplete","Complete")))</f>
        <v>Complete</v>
      </c>
      <c r="I27565" s="48" t="s">
        <v>2744</v>
      </c>
    </row>
    <row r="27566" spans="2:9" ht="15" customHeight="1" x14ac:dyDescent="0.25">
      <c r="B27566" s="55" t="s">
        <v>403</v>
      </c>
      <c r="C27566" s="46">
        <v>32</v>
      </c>
      <c r="D27566" s="69" t="s">
        <v>29540</v>
      </c>
      <c r="E27566" s="62"/>
      <c r="F27566" s="62" t="str">
        <f>IF(INDEX(I.Gas.P3Y1AssociatedGasEnergy,32)="","",INDEX(I.Gas.P3Y1AssociatedGasEnergy,32))</f>
        <v/>
      </c>
      <c r="G27566" s="62"/>
      <c r="H27566" s="46" t="str">
        <f>IF(I.Developer.P3=FALSE,"Complete",IF(I.Product.P3GasToPowerStatus&lt;&gt;"Yes","Complete",IF(AND(I.Gas.P3Y1Count&gt;=32,F27566=""),"Incomplete","Complete")))</f>
        <v>Complete</v>
      </c>
      <c r="I27566" s="48" t="s">
        <v>2745</v>
      </c>
    </row>
    <row r="27567" spans="2:9" ht="15" customHeight="1" x14ac:dyDescent="0.25">
      <c r="B27567" s="55" t="s">
        <v>403</v>
      </c>
      <c r="C27567" s="46">
        <v>33</v>
      </c>
      <c r="D27567" s="69" t="s">
        <v>29540</v>
      </c>
      <c r="E27567" s="62"/>
      <c r="F27567" s="62" t="str">
        <f>IF(INDEX(I.Gas.P3Y1AssociatedGasEnergy,33)="","",INDEX(I.Gas.P3Y1AssociatedGasEnergy,33))</f>
        <v/>
      </c>
      <c r="G27567" s="62"/>
      <c r="H27567" s="46" t="str">
        <f>IF(I.Developer.P3=FALSE,"Complete",IF(I.Product.P3GasToPowerStatus&lt;&gt;"Yes","Complete",IF(AND(I.Gas.P3Y1Count&gt;=33,F27567=""),"Incomplete","Complete")))</f>
        <v>Complete</v>
      </c>
      <c r="I27567" s="48" t="s">
        <v>2746</v>
      </c>
    </row>
    <row r="27568" spans="2:9" ht="15" customHeight="1" x14ac:dyDescent="0.25">
      <c r="B27568" s="55" t="s">
        <v>403</v>
      </c>
      <c r="C27568" s="46">
        <v>34</v>
      </c>
      <c r="D27568" s="69" t="s">
        <v>29540</v>
      </c>
      <c r="E27568" s="62"/>
      <c r="F27568" s="62" t="str">
        <f>IF(INDEX(I.Gas.P3Y1AssociatedGasEnergy,34)="","",INDEX(I.Gas.P3Y1AssociatedGasEnergy,34))</f>
        <v/>
      </c>
      <c r="G27568" s="62"/>
      <c r="H27568" s="46" t="str">
        <f>IF(I.Developer.P3=FALSE,"Complete",IF(I.Product.P3GasToPowerStatus&lt;&gt;"Yes","Complete",IF(AND(I.Gas.P3Y1Count&gt;=34,F27568=""),"Incomplete","Complete")))</f>
        <v>Complete</v>
      </c>
      <c r="I27568" s="48" t="s">
        <v>2747</v>
      </c>
    </row>
    <row r="27569" spans="2:9" ht="15" customHeight="1" x14ac:dyDescent="0.25">
      <c r="B27569" s="55" t="s">
        <v>403</v>
      </c>
      <c r="C27569" s="46">
        <v>35</v>
      </c>
      <c r="D27569" s="69" t="s">
        <v>29540</v>
      </c>
      <c r="E27569" s="62"/>
      <c r="F27569" s="62" t="str">
        <f>IF(INDEX(I.Gas.P3Y1AssociatedGasEnergy,35)="","",INDEX(I.Gas.P3Y1AssociatedGasEnergy,35))</f>
        <v/>
      </c>
      <c r="G27569" s="62"/>
      <c r="H27569" s="46" t="str">
        <f>IF(I.Developer.P3=FALSE,"Complete",IF(I.Product.P3GasToPowerStatus&lt;&gt;"Yes","Complete",IF(AND(I.Gas.P3Y1Count&gt;=35,F27569=""),"Incomplete","Complete")))</f>
        <v>Complete</v>
      </c>
      <c r="I27569" s="48" t="s">
        <v>2748</v>
      </c>
    </row>
    <row r="27570" spans="2:9" ht="15" customHeight="1" x14ac:dyDescent="0.25">
      <c r="B27570" s="55" t="s">
        <v>403</v>
      </c>
      <c r="C27570" s="46">
        <v>36</v>
      </c>
      <c r="D27570" s="69" t="s">
        <v>29540</v>
      </c>
      <c r="E27570" s="62"/>
      <c r="F27570" s="62" t="str">
        <f>IF(INDEX(I.Gas.P3Y1AssociatedGasEnergy,36)="","",INDEX(I.Gas.P3Y1AssociatedGasEnergy,36))</f>
        <v/>
      </c>
      <c r="G27570" s="62"/>
      <c r="H27570" s="46" t="str">
        <f>IF(I.Developer.P3=FALSE,"Complete",IF(I.Product.P3GasToPowerStatus&lt;&gt;"Yes","Complete",IF(AND(I.Gas.P3Y1Count&gt;=36,F27570=""),"Incomplete","Complete")))</f>
        <v>Complete</v>
      </c>
      <c r="I27570" s="48" t="s">
        <v>2749</v>
      </c>
    </row>
    <row r="27571" spans="2:9" ht="15" customHeight="1" x14ac:dyDescent="0.25">
      <c r="B27571" s="55" t="s">
        <v>403</v>
      </c>
      <c r="C27571" s="46">
        <v>37</v>
      </c>
      <c r="D27571" s="69" t="s">
        <v>29540</v>
      </c>
      <c r="E27571" s="62"/>
      <c r="F27571" s="62" t="str">
        <f>IF(INDEX(I.Gas.P3Y1AssociatedGasEnergy,37)="","",INDEX(I.Gas.P3Y1AssociatedGasEnergy,37))</f>
        <v/>
      </c>
      <c r="G27571" s="62"/>
      <c r="H27571" s="46" t="str">
        <f>IF(I.Developer.P3=FALSE,"Complete",IF(I.Product.P3GasToPowerStatus&lt;&gt;"Yes","Complete",IF(AND(I.Gas.P3Y1Count&gt;=37,F27571=""),"Incomplete","Complete")))</f>
        <v>Complete</v>
      </c>
      <c r="I27571" s="48" t="s">
        <v>2750</v>
      </c>
    </row>
    <row r="27572" spans="2:9" ht="15" customHeight="1" x14ac:dyDescent="0.25">
      <c r="B27572" s="55" t="s">
        <v>403</v>
      </c>
      <c r="C27572" s="46">
        <v>38</v>
      </c>
      <c r="D27572" s="69" t="s">
        <v>29540</v>
      </c>
      <c r="E27572" s="62"/>
      <c r="F27572" s="62" t="str">
        <f>IF(INDEX(I.Gas.P3Y1AssociatedGasEnergy,38)="","",INDEX(I.Gas.P3Y1AssociatedGasEnergy,38))</f>
        <v/>
      </c>
      <c r="G27572" s="62"/>
      <c r="H27572" s="46" t="str">
        <f>IF(I.Developer.P3=FALSE,"Complete",IF(I.Product.P3GasToPowerStatus&lt;&gt;"Yes","Complete",IF(AND(I.Gas.P3Y1Count&gt;=38,F27572=""),"Incomplete","Complete")))</f>
        <v>Complete</v>
      </c>
      <c r="I27572" s="48" t="s">
        <v>2751</v>
      </c>
    </row>
    <row r="27573" spans="2:9" ht="15" customHeight="1" x14ac:dyDescent="0.25">
      <c r="B27573" s="55" t="s">
        <v>403</v>
      </c>
      <c r="C27573" s="46">
        <v>39</v>
      </c>
      <c r="D27573" s="69" t="s">
        <v>29540</v>
      </c>
      <c r="E27573" s="62"/>
      <c r="F27573" s="62" t="str">
        <f>IF(INDEX(I.Gas.P3Y1AssociatedGasEnergy,39)="","",INDEX(I.Gas.P3Y1AssociatedGasEnergy,39))</f>
        <v/>
      </c>
      <c r="G27573" s="62"/>
      <c r="H27573" s="46" t="str">
        <f>IF(I.Developer.P3=FALSE,"Complete",IF(I.Product.P3GasToPowerStatus&lt;&gt;"Yes","Complete",IF(AND(I.Gas.P3Y1Count&gt;=39,F27573=""),"Incomplete","Complete")))</f>
        <v>Complete</v>
      </c>
      <c r="I27573" s="48" t="s">
        <v>2752</v>
      </c>
    </row>
    <row r="27574" spans="2:9" ht="15" customHeight="1" x14ac:dyDescent="0.25">
      <c r="B27574" s="55" t="s">
        <v>403</v>
      </c>
      <c r="C27574" s="46">
        <v>40</v>
      </c>
      <c r="D27574" s="69" t="s">
        <v>29540</v>
      </c>
      <c r="E27574" s="62"/>
      <c r="F27574" s="62" t="str">
        <f>IF(INDEX(I.Gas.P3Y1AssociatedGasEnergy,40)="","",INDEX(I.Gas.P3Y1AssociatedGasEnergy,40))</f>
        <v/>
      </c>
      <c r="G27574" s="62"/>
      <c r="H27574" s="46" t="str">
        <f>IF(I.Developer.P3=FALSE,"Complete",IF(I.Product.P3GasToPowerStatus&lt;&gt;"Yes","Complete",IF(AND(I.Gas.P3Y1Count&gt;=40,F27574=""),"Incomplete","Complete")))</f>
        <v>Complete</v>
      </c>
      <c r="I27574" s="48" t="s">
        <v>2753</v>
      </c>
    </row>
    <row r="27575" spans="2:9" ht="15" customHeight="1" x14ac:dyDescent="0.25">
      <c r="B27575" s="55" t="s">
        <v>403</v>
      </c>
      <c r="C27575" s="46">
        <v>41</v>
      </c>
      <c r="D27575" s="69" t="s">
        <v>29540</v>
      </c>
      <c r="E27575" s="62"/>
      <c r="F27575" s="62" t="str">
        <f>IF(INDEX(I.Gas.P3Y1AssociatedGasEnergy,41)="","",INDEX(I.Gas.P3Y1AssociatedGasEnergy,41))</f>
        <v/>
      </c>
      <c r="G27575" s="62"/>
      <c r="H27575" s="46" t="str">
        <f>IF(I.Developer.P3=FALSE,"Complete",IF(I.Product.P3GasToPowerStatus&lt;&gt;"Yes","Complete",IF(AND(I.Gas.P3Y1Count&gt;=41,F27575=""),"Incomplete","Complete")))</f>
        <v>Complete</v>
      </c>
      <c r="I27575" s="48" t="s">
        <v>2754</v>
      </c>
    </row>
    <row r="27576" spans="2:9" ht="15" customHeight="1" x14ac:dyDescent="0.25">
      <c r="B27576" s="55" t="s">
        <v>403</v>
      </c>
      <c r="C27576" s="46">
        <v>42</v>
      </c>
      <c r="D27576" s="69" t="s">
        <v>29540</v>
      </c>
      <c r="E27576" s="62"/>
      <c r="F27576" s="62" t="str">
        <f>IF(INDEX(I.Gas.P3Y1AssociatedGasEnergy,42)="","",INDEX(I.Gas.P3Y1AssociatedGasEnergy,42))</f>
        <v/>
      </c>
      <c r="G27576" s="62"/>
      <c r="H27576" s="46" t="str">
        <f>IF(I.Developer.P3=FALSE,"Complete",IF(I.Product.P3GasToPowerStatus&lt;&gt;"Yes","Complete",IF(AND(I.Gas.P3Y1Count&gt;=42,F27576=""),"Incomplete","Complete")))</f>
        <v>Complete</v>
      </c>
      <c r="I27576" s="48" t="s">
        <v>2755</v>
      </c>
    </row>
    <row r="27577" spans="2:9" ht="15" customHeight="1" x14ac:dyDescent="0.25">
      <c r="B27577" s="55" t="s">
        <v>403</v>
      </c>
      <c r="C27577" s="46">
        <v>43</v>
      </c>
      <c r="D27577" s="69" t="s">
        <v>29540</v>
      </c>
      <c r="E27577" s="62"/>
      <c r="F27577" s="62" t="str">
        <f>IF(INDEX(I.Gas.P3Y1AssociatedGasEnergy,43)="","",INDEX(I.Gas.P3Y1AssociatedGasEnergy,43))</f>
        <v/>
      </c>
      <c r="G27577" s="62"/>
      <c r="H27577" s="46" t="str">
        <f>IF(I.Developer.P3=FALSE,"Complete",IF(I.Product.P3GasToPowerStatus&lt;&gt;"Yes","Complete",IF(AND(I.Gas.P3Y1Count&gt;=43,F27577=""),"Incomplete","Complete")))</f>
        <v>Complete</v>
      </c>
      <c r="I27577" s="48" t="s">
        <v>2756</v>
      </c>
    </row>
    <row r="27578" spans="2:9" ht="15" customHeight="1" x14ac:dyDescent="0.25">
      <c r="B27578" s="55" t="s">
        <v>403</v>
      </c>
      <c r="C27578" s="46">
        <v>44</v>
      </c>
      <c r="D27578" s="69" t="s">
        <v>29540</v>
      </c>
      <c r="E27578" s="62"/>
      <c r="F27578" s="62" t="str">
        <f>IF(INDEX(I.Gas.P3Y1AssociatedGasEnergy,44)="","",INDEX(I.Gas.P3Y1AssociatedGasEnergy,44))</f>
        <v/>
      </c>
      <c r="G27578" s="62"/>
      <c r="H27578" s="46" t="str">
        <f>IF(I.Developer.P3=FALSE,"Complete",IF(I.Product.P3GasToPowerStatus&lt;&gt;"Yes","Complete",IF(AND(I.Gas.P3Y1Count&gt;=44,F27578=""),"Incomplete","Complete")))</f>
        <v>Complete</v>
      </c>
      <c r="I27578" s="48" t="s">
        <v>2757</v>
      </c>
    </row>
    <row r="27579" spans="2:9" ht="15" customHeight="1" x14ac:dyDescent="0.25">
      <c r="B27579" s="55" t="s">
        <v>403</v>
      </c>
      <c r="C27579" s="46">
        <v>45</v>
      </c>
      <c r="D27579" s="69" t="s">
        <v>29540</v>
      </c>
      <c r="E27579" s="62"/>
      <c r="F27579" s="62" t="str">
        <f>IF(INDEX(I.Gas.P3Y1AssociatedGasEnergy,45)="","",INDEX(I.Gas.P3Y1AssociatedGasEnergy,45))</f>
        <v/>
      </c>
      <c r="G27579" s="62"/>
      <c r="H27579" s="46" t="str">
        <f>IF(I.Developer.P3=FALSE,"Complete",IF(I.Product.P3GasToPowerStatus&lt;&gt;"Yes","Complete",IF(AND(I.Gas.P3Y1Count&gt;=45,F27579=""),"Incomplete","Complete")))</f>
        <v>Complete</v>
      </c>
      <c r="I27579" s="48" t="s">
        <v>2758</v>
      </c>
    </row>
    <row r="27580" spans="2:9" ht="15" customHeight="1" x14ac:dyDescent="0.25">
      <c r="B27580" s="55" t="s">
        <v>403</v>
      </c>
      <c r="C27580" s="46">
        <v>46</v>
      </c>
      <c r="D27580" s="69" t="s">
        <v>29540</v>
      </c>
      <c r="E27580" s="62"/>
      <c r="F27580" s="62" t="str">
        <f>IF(INDEX(I.Gas.P3Y1AssociatedGasEnergy,46)="","",INDEX(I.Gas.P3Y1AssociatedGasEnergy,46))</f>
        <v/>
      </c>
      <c r="G27580" s="62"/>
      <c r="H27580" s="46" t="str">
        <f>IF(I.Developer.P3=FALSE,"Complete",IF(I.Product.P3GasToPowerStatus&lt;&gt;"Yes","Complete",IF(AND(I.Gas.P3Y1Count&gt;=46,F27580=""),"Incomplete","Complete")))</f>
        <v>Complete</v>
      </c>
      <c r="I27580" s="48" t="s">
        <v>2759</v>
      </c>
    </row>
    <row r="27581" spans="2:9" ht="15" customHeight="1" x14ac:dyDescent="0.25">
      <c r="B27581" s="55" t="s">
        <v>403</v>
      </c>
      <c r="C27581" s="46">
        <v>47</v>
      </c>
      <c r="D27581" s="69" t="s">
        <v>29540</v>
      </c>
      <c r="E27581" s="62"/>
      <c r="F27581" s="62" t="str">
        <f>IF(INDEX(I.Gas.P3Y1AssociatedGasEnergy,47)="","",INDEX(I.Gas.P3Y1AssociatedGasEnergy,47))</f>
        <v/>
      </c>
      <c r="G27581" s="62"/>
      <c r="H27581" s="46" t="str">
        <f>IF(I.Developer.P3=FALSE,"Complete",IF(I.Product.P3GasToPowerStatus&lt;&gt;"Yes","Complete",IF(AND(I.Gas.P3Y1Count&gt;=47,F27581=""),"Incomplete","Complete")))</f>
        <v>Complete</v>
      </c>
      <c r="I27581" s="48" t="s">
        <v>2760</v>
      </c>
    </row>
    <row r="27582" spans="2:9" ht="15" customHeight="1" x14ac:dyDescent="0.25">
      <c r="B27582" s="55" t="s">
        <v>403</v>
      </c>
      <c r="C27582" s="46">
        <v>48</v>
      </c>
      <c r="D27582" s="69" t="s">
        <v>29540</v>
      </c>
      <c r="E27582" s="62"/>
      <c r="F27582" s="62" t="str">
        <f>IF(INDEX(I.Gas.P3Y1AssociatedGasEnergy,48)="","",INDEX(I.Gas.P3Y1AssociatedGasEnergy,48))</f>
        <v/>
      </c>
      <c r="G27582" s="62"/>
      <c r="H27582" s="46" t="str">
        <f>IF(I.Developer.P3=FALSE,"Complete",IF(I.Product.P3GasToPowerStatus&lt;&gt;"Yes","Complete",IF(AND(I.Gas.P3Y1Count&gt;=48,F27582=""),"Incomplete","Complete")))</f>
        <v>Complete</v>
      </c>
      <c r="I27582" s="48" t="s">
        <v>2761</v>
      </c>
    </row>
    <row r="27583" spans="2:9" ht="15" customHeight="1" x14ac:dyDescent="0.25">
      <c r="B27583" s="55" t="s">
        <v>403</v>
      </c>
      <c r="C27583" s="46">
        <v>49</v>
      </c>
      <c r="D27583" s="69" t="s">
        <v>29540</v>
      </c>
      <c r="E27583" s="62"/>
      <c r="F27583" s="62" t="str">
        <f>IF(INDEX(I.Gas.P3Y1AssociatedGasEnergy,49)="","",INDEX(I.Gas.P3Y1AssociatedGasEnergy,49))</f>
        <v/>
      </c>
      <c r="G27583" s="62"/>
      <c r="H27583" s="46" t="str">
        <f>IF(I.Developer.P3=FALSE,"Complete",IF(I.Product.P3GasToPowerStatus&lt;&gt;"Yes","Complete",IF(AND(I.Gas.P3Y1Count&gt;=49,F27583=""),"Incomplete","Complete")))</f>
        <v>Complete</v>
      </c>
      <c r="I27583" s="48" t="s">
        <v>2762</v>
      </c>
    </row>
    <row r="27584" spans="2:9" ht="15" customHeight="1" x14ac:dyDescent="0.25">
      <c r="B27584" s="56" t="s">
        <v>403</v>
      </c>
      <c r="C27584" s="57">
        <v>50</v>
      </c>
      <c r="D27584" s="71" t="s">
        <v>29540</v>
      </c>
      <c r="E27584" s="61"/>
      <c r="F27584" s="61" t="str">
        <f>IF(INDEX(I.Gas.P3Y1AssociatedGasEnergy,50)="","",INDEX(I.Gas.P3Y1AssociatedGasEnergy,50))</f>
        <v/>
      </c>
      <c r="G27584" s="61"/>
      <c r="H27584" s="57" t="str">
        <f>IF(I.Developer.P3=FALSE,"Complete",IF(I.Product.P3GasToPowerStatus&lt;&gt;"Yes","Complete",IF(AND(I.Gas.P3Y1Count&gt;=50,F27584=""),"Incomplete","Complete")))</f>
        <v>Complete</v>
      </c>
      <c r="I27584" s="49" t="s">
        <v>2763</v>
      </c>
    </row>
    <row r="27585" spans="2:9" ht="15" customHeight="1" x14ac:dyDescent="0.25">
      <c r="B27585" s="55" t="s">
        <v>404</v>
      </c>
      <c r="C27585" s="46">
        <v>1</v>
      </c>
      <c r="D27585" s="69" t="s">
        <v>29541</v>
      </c>
      <c r="E27585" s="62"/>
      <c r="F27585" s="62" t="str">
        <f>IF(INDEX(I.Gas.P3Y1TotalGasEnergy,1)="","",INDEX(I.Gas.P3Y1TotalGasEnergy,1))</f>
        <v/>
      </c>
      <c r="G27585" s="62"/>
      <c r="H27585" s="46" t="str">
        <f>IF(I.Developer.P3=FALSE,"Complete",IF(I.Product.P3GasToPowerStatus&lt;&gt;"Yes","Complete",IF(AND(I.Gas.P3Y1Count&gt;=1,F27585=""),"Incomplete","Complete")))</f>
        <v>Complete</v>
      </c>
      <c r="I27585" s="48" t="s">
        <v>2764</v>
      </c>
    </row>
    <row r="27586" spans="2:9" ht="15" customHeight="1" x14ac:dyDescent="0.25">
      <c r="B27586" s="55" t="s">
        <v>404</v>
      </c>
      <c r="C27586" s="46">
        <v>2</v>
      </c>
      <c r="D27586" s="69" t="s">
        <v>29541</v>
      </c>
      <c r="E27586" s="62"/>
      <c r="F27586" s="62" t="str">
        <f>IF(INDEX(I.Gas.P3Y1TotalGasEnergy,2)="","",INDEX(I.Gas.P3Y1TotalGasEnergy,2))</f>
        <v/>
      </c>
      <c r="G27586" s="62"/>
      <c r="H27586" s="46" t="str">
        <f>IF(I.Developer.P3=FALSE,"Complete",IF(I.Product.P3GasToPowerStatus&lt;&gt;"Yes","Complete",IF(AND(I.Gas.P3Y1Count&gt;=2,F27586=""),"Incomplete","Complete")))</f>
        <v>Complete</v>
      </c>
      <c r="I27586" s="48" t="s">
        <v>2765</v>
      </c>
    </row>
    <row r="27587" spans="2:9" ht="15" customHeight="1" x14ac:dyDescent="0.25">
      <c r="B27587" s="55" t="s">
        <v>404</v>
      </c>
      <c r="C27587" s="46">
        <v>3</v>
      </c>
      <c r="D27587" s="69" t="s">
        <v>29541</v>
      </c>
      <c r="E27587" s="62"/>
      <c r="F27587" s="62" t="str">
        <f>IF(INDEX(I.Gas.P3Y1TotalGasEnergy,3)="","",INDEX(I.Gas.P3Y1TotalGasEnergy,3))</f>
        <v/>
      </c>
      <c r="G27587" s="62"/>
      <c r="H27587" s="46" t="str">
        <f>IF(I.Developer.P3=FALSE,"Complete",IF(I.Product.P3GasToPowerStatus&lt;&gt;"Yes","Complete",IF(AND(I.Gas.P3Y1Count&gt;=3,F27587=""),"Incomplete","Complete")))</f>
        <v>Complete</v>
      </c>
      <c r="I27587" s="48" t="s">
        <v>2766</v>
      </c>
    </row>
    <row r="27588" spans="2:9" ht="15" customHeight="1" x14ac:dyDescent="0.25">
      <c r="B27588" s="55" t="s">
        <v>404</v>
      </c>
      <c r="C27588" s="46">
        <v>4</v>
      </c>
      <c r="D27588" s="69" t="s">
        <v>29541</v>
      </c>
      <c r="E27588" s="62"/>
      <c r="F27588" s="62" t="str">
        <f>IF(INDEX(I.Gas.P3Y1TotalGasEnergy,4)="","",INDEX(I.Gas.P3Y1TotalGasEnergy,4))</f>
        <v/>
      </c>
      <c r="G27588" s="62"/>
      <c r="H27588" s="46" t="str">
        <f>IF(I.Developer.P3=FALSE,"Complete",IF(I.Product.P3GasToPowerStatus&lt;&gt;"Yes","Complete",IF(AND(I.Gas.P3Y1Count&gt;=4,F27588=""),"Incomplete","Complete")))</f>
        <v>Complete</v>
      </c>
      <c r="I27588" s="48" t="s">
        <v>2767</v>
      </c>
    </row>
    <row r="27589" spans="2:9" ht="15" customHeight="1" x14ac:dyDescent="0.25">
      <c r="B27589" s="55" t="s">
        <v>404</v>
      </c>
      <c r="C27589" s="46">
        <v>5</v>
      </c>
      <c r="D27589" s="69" t="s">
        <v>29541</v>
      </c>
      <c r="E27589" s="62"/>
      <c r="F27589" s="62" t="str">
        <f>IF(INDEX(I.Gas.P3Y1TotalGasEnergy,5)="","",INDEX(I.Gas.P3Y1TotalGasEnergy,5))</f>
        <v/>
      </c>
      <c r="G27589" s="62"/>
      <c r="H27589" s="46" t="str">
        <f>IF(I.Developer.P3=FALSE,"Complete",IF(I.Product.P3GasToPowerStatus&lt;&gt;"Yes","Complete",IF(AND(I.Gas.P3Y1Count&gt;=5,F27589=""),"Incomplete","Complete")))</f>
        <v>Complete</v>
      </c>
      <c r="I27589" s="48" t="s">
        <v>2768</v>
      </c>
    </row>
    <row r="27590" spans="2:9" ht="15" customHeight="1" x14ac:dyDescent="0.25">
      <c r="B27590" s="55" t="s">
        <v>404</v>
      </c>
      <c r="C27590" s="46">
        <v>6</v>
      </c>
      <c r="D27590" s="69" t="s">
        <v>29541</v>
      </c>
      <c r="E27590" s="62"/>
      <c r="F27590" s="62" t="str">
        <f>IF(INDEX(I.Gas.P3Y1TotalGasEnergy,6)="","",INDEX(I.Gas.P3Y1TotalGasEnergy,6))</f>
        <v/>
      </c>
      <c r="G27590" s="62"/>
      <c r="H27590" s="46" t="str">
        <f>IF(I.Developer.P3=FALSE,"Complete",IF(I.Product.P3GasToPowerStatus&lt;&gt;"Yes","Complete",IF(AND(I.Gas.P3Y1Count&gt;=6,F27590=""),"Incomplete","Complete")))</f>
        <v>Complete</v>
      </c>
      <c r="I27590" s="48" t="s">
        <v>2769</v>
      </c>
    </row>
    <row r="27591" spans="2:9" ht="15" customHeight="1" x14ac:dyDescent="0.25">
      <c r="B27591" s="55" t="s">
        <v>404</v>
      </c>
      <c r="C27591" s="46">
        <v>7</v>
      </c>
      <c r="D27591" s="69" t="s">
        <v>29541</v>
      </c>
      <c r="E27591" s="62"/>
      <c r="F27591" s="62" t="str">
        <f>IF(INDEX(I.Gas.P3Y1TotalGasEnergy,7)="","",INDEX(I.Gas.P3Y1TotalGasEnergy,7))</f>
        <v/>
      </c>
      <c r="G27591" s="62"/>
      <c r="H27591" s="46" t="str">
        <f>IF(I.Developer.P3=FALSE,"Complete",IF(I.Product.P3GasToPowerStatus&lt;&gt;"Yes","Complete",IF(AND(I.Gas.P3Y1Count&gt;=7,F27591=""),"Incomplete","Complete")))</f>
        <v>Complete</v>
      </c>
      <c r="I27591" s="48" t="s">
        <v>2770</v>
      </c>
    </row>
    <row r="27592" spans="2:9" ht="15" customHeight="1" x14ac:dyDescent="0.25">
      <c r="B27592" s="55" t="s">
        <v>404</v>
      </c>
      <c r="C27592" s="46">
        <v>8</v>
      </c>
      <c r="D27592" s="69" t="s">
        <v>29541</v>
      </c>
      <c r="E27592" s="62"/>
      <c r="F27592" s="62" t="str">
        <f>IF(INDEX(I.Gas.P3Y1TotalGasEnergy,8)="","",INDEX(I.Gas.P3Y1TotalGasEnergy,8))</f>
        <v/>
      </c>
      <c r="G27592" s="62"/>
      <c r="H27592" s="46" t="str">
        <f>IF(I.Developer.P3=FALSE,"Complete",IF(I.Product.P3GasToPowerStatus&lt;&gt;"Yes","Complete",IF(AND(I.Gas.P3Y1Count&gt;=8,F27592=""),"Incomplete","Complete")))</f>
        <v>Complete</v>
      </c>
      <c r="I27592" s="48" t="s">
        <v>2771</v>
      </c>
    </row>
    <row r="27593" spans="2:9" ht="15" customHeight="1" x14ac:dyDescent="0.25">
      <c r="B27593" s="55" t="s">
        <v>404</v>
      </c>
      <c r="C27593" s="46">
        <v>9</v>
      </c>
      <c r="D27593" s="69" t="s">
        <v>29541</v>
      </c>
      <c r="E27593" s="62"/>
      <c r="F27593" s="62" t="str">
        <f>IF(INDEX(I.Gas.P3Y1TotalGasEnergy,9)="","",INDEX(I.Gas.P3Y1TotalGasEnergy,9))</f>
        <v/>
      </c>
      <c r="G27593" s="62"/>
      <c r="H27593" s="46" t="str">
        <f>IF(I.Developer.P3=FALSE,"Complete",IF(I.Product.P3GasToPowerStatus&lt;&gt;"Yes","Complete",IF(AND(I.Gas.P3Y1Count&gt;=9,F27593=""),"Incomplete","Complete")))</f>
        <v>Complete</v>
      </c>
      <c r="I27593" s="48" t="s">
        <v>2772</v>
      </c>
    </row>
    <row r="27594" spans="2:9" ht="15" customHeight="1" x14ac:dyDescent="0.25">
      <c r="B27594" s="55" t="s">
        <v>404</v>
      </c>
      <c r="C27594" s="46">
        <v>10</v>
      </c>
      <c r="D27594" s="69" t="s">
        <v>29541</v>
      </c>
      <c r="E27594" s="62"/>
      <c r="F27594" s="62" t="str">
        <f>IF(INDEX(I.Gas.P3Y1TotalGasEnergy,10)="","",INDEX(I.Gas.P3Y1TotalGasEnergy,10))</f>
        <v/>
      </c>
      <c r="G27594" s="62"/>
      <c r="H27594" s="46" t="str">
        <f>IF(I.Developer.P3=FALSE,"Complete",IF(I.Product.P3GasToPowerStatus&lt;&gt;"Yes","Complete",IF(AND(I.Gas.P3Y1Count&gt;=10,F27594=""),"Incomplete","Complete")))</f>
        <v>Complete</v>
      </c>
      <c r="I27594" s="48" t="s">
        <v>2773</v>
      </c>
    </row>
    <row r="27595" spans="2:9" ht="15" customHeight="1" x14ac:dyDescent="0.25">
      <c r="B27595" s="55" t="s">
        <v>404</v>
      </c>
      <c r="C27595" s="46">
        <v>11</v>
      </c>
      <c r="D27595" s="69" t="s">
        <v>29541</v>
      </c>
      <c r="E27595" s="62"/>
      <c r="F27595" s="62" t="str">
        <f>IF(INDEX(I.Gas.P3Y1TotalGasEnergy,11)="","",INDEX(I.Gas.P3Y1TotalGasEnergy,11))</f>
        <v/>
      </c>
      <c r="G27595" s="62"/>
      <c r="H27595" s="46" t="str">
        <f>IF(I.Developer.P3=FALSE,"Complete",IF(I.Product.P3GasToPowerStatus&lt;&gt;"Yes","Complete",IF(AND(I.Gas.P3Y1Count&gt;=11,F27595=""),"Incomplete","Complete")))</f>
        <v>Complete</v>
      </c>
      <c r="I27595" s="48" t="s">
        <v>2774</v>
      </c>
    </row>
    <row r="27596" spans="2:9" ht="15" customHeight="1" x14ac:dyDescent="0.25">
      <c r="B27596" s="55" t="s">
        <v>404</v>
      </c>
      <c r="C27596" s="46">
        <v>12</v>
      </c>
      <c r="D27596" s="69" t="s">
        <v>29541</v>
      </c>
      <c r="E27596" s="62"/>
      <c r="F27596" s="62" t="str">
        <f>IF(INDEX(I.Gas.P3Y1TotalGasEnergy,12)="","",INDEX(I.Gas.P3Y1TotalGasEnergy,12))</f>
        <v/>
      </c>
      <c r="G27596" s="62"/>
      <c r="H27596" s="46" t="str">
        <f>IF(I.Developer.P3=FALSE,"Complete",IF(I.Product.P3GasToPowerStatus&lt;&gt;"Yes","Complete",IF(AND(I.Gas.P3Y1Count&gt;=12,F27596=""),"Incomplete","Complete")))</f>
        <v>Complete</v>
      </c>
      <c r="I27596" s="48" t="s">
        <v>2775</v>
      </c>
    </row>
    <row r="27597" spans="2:9" ht="15" customHeight="1" x14ac:dyDescent="0.25">
      <c r="B27597" s="55" t="s">
        <v>404</v>
      </c>
      <c r="C27597" s="46">
        <v>13</v>
      </c>
      <c r="D27597" s="69" t="s">
        <v>29541</v>
      </c>
      <c r="E27597" s="62"/>
      <c r="F27597" s="62" t="str">
        <f>IF(INDEX(I.Gas.P3Y1TotalGasEnergy,13)="","",INDEX(I.Gas.P3Y1TotalGasEnergy,13))</f>
        <v/>
      </c>
      <c r="G27597" s="62"/>
      <c r="H27597" s="46" t="str">
        <f>IF(I.Developer.P3=FALSE,"Complete",IF(I.Product.P3GasToPowerStatus&lt;&gt;"Yes","Complete",IF(AND(I.Gas.P3Y1Count&gt;=13,F27597=""),"Incomplete","Complete")))</f>
        <v>Complete</v>
      </c>
      <c r="I27597" s="48" t="s">
        <v>2776</v>
      </c>
    </row>
    <row r="27598" spans="2:9" ht="15" customHeight="1" x14ac:dyDescent="0.25">
      <c r="B27598" s="55" t="s">
        <v>404</v>
      </c>
      <c r="C27598" s="46">
        <v>14</v>
      </c>
      <c r="D27598" s="69" t="s">
        <v>29541</v>
      </c>
      <c r="E27598" s="62"/>
      <c r="F27598" s="62" t="str">
        <f>IF(INDEX(I.Gas.P3Y1TotalGasEnergy,14)="","",INDEX(I.Gas.P3Y1TotalGasEnergy,14))</f>
        <v/>
      </c>
      <c r="G27598" s="62"/>
      <c r="H27598" s="46" t="str">
        <f>IF(I.Developer.P3=FALSE,"Complete",IF(I.Product.P3GasToPowerStatus&lt;&gt;"Yes","Complete",IF(AND(I.Gas.P3Y1Count&gt;=14,F27598=""),"Incomplete","Complete")))</f>
        <v>Complete</v>
      </c>
      <c r="I27598" s="48" t="s">
        <v>2777</v>
      </c>
    </row>
    <row r="27599" spans="2:9" ht="15" customHeight="1" x14ac:dyDescent="0.25">
      <c r="B27599" s="55" t="s">
        <v>404</v>
      </c>
      <c r="C27599" s="46">
        <v>15</v>
      </c>
      <c r="D27599" s="69" t="s">
        <v>29541</v>
      </c>
      <c r="E27599" s="62"/>
      <c r="F27599" s="62" t="str">
        <f>IF(INDEX(I.Gas.P3Y1TotalGasEnergy,15)="","",INDEX(I.Gas.P3Y1TotalGasEnergy,15))</f>
        <v/>
      </c>
      <c r="G27599" s="62"/>
      <c r="H27599" s="46" t="str">
        <f>IF(I.Developer.P3=FALSE,"Complete",IF(I.Product.P3GasToPowerStatus&lt;&gt;"Yes","Complete",IF(AND(I.Gas.P3Y1Count&gt;=15,F27599=""),"Incomplete","Complete")))</f>
        <v>Complete</v>
      </c>
      <c r="I27599" s="48" t="s">
        <v>2778</v>
      </c>
    </row>
    <row r="27600" spans="2:9" ht="15" customHeight="1" x14ac:dyDescent="0.25">
      <c r="B27600" s="55" t="s">
        <v>404</v>
      </c>
      <c r="C27600" s="46">
        <v>16</v>
      </c>
      <c r="D27600" s="69" t="s">
        <v>29541</v>
      </c>
      <c r="E27600" s="62"/>
      <c r="F27600" s="62" t="str">
        <f>IF(INDEX(I.Gas.P3Y1TotalGasEnergy,16)="","",INDEX(I.Gas.P3Y1TotalGasEnergy,16))</f>
        <v/>
      </c>
      <c r="G27600" s="62"/>
      <c r="H27600" s="46" t="str">
        <f>IF(I.Developer.P3=FALSE,"Complete",IF(I.Product.P3GasToPowerStatus&lt;&gt;"Yes","Complete",IF(AND(I.Gas.P3Y1Count&gt;=16,F27600=""),"Incomplete","Complete")))</f>
        <v>Complete</v>
      </c>
      <c r="I27600" s="48" t="s">
        <v>2779</v>
      </c>
    </row>
    <row r="27601" spans="2:9" ht="15" customHeight="1" x14ac:dyDescent="0.25">
      <c r="B27601" s="55" t="s">
        <v>404</v>
      </c>
      <c r="C27601" s="46">
        <v>17</v>
      </c>
      <c r="D27601" s="69" t="s">
        <v>29541</v>
      </c>
      <c r="E27601" s="62"/>
      <c r="F27601" s="62" t="str">
        <f>IF(INDEX(I.Gas.P3Y1TotalGasEnergy,17)="","",INDEX(I.Gas.P3Y1TotalGasEnergy,17))</f>
        <v/>
      </c>
      <c r="G27601" s="62"/>
      <c r="H27601" s="46" t="str">
        <f>IF(I.Developer.P3=FALSE,"Complete",IF(I.Product.P3GasToPowerStatus&lt;&gt;"Yes","Complete",IF(AND(I.Gas.P3Y1Count&gt;=17,F27601=""),"Incomplete","Complete")))</f>
        <v>Complete</v>
      </c>
      <c r="I27601" s="48" t="s">
        <v>2780</v>
      </c>
    </row>
    <row r="27602" spans="2:9" ht="15" customHeight="1" x14ac:dyDescent="0.25">
      <c r="B27602" s="55" t="s">
        <v>404</v>
      </c>
      <c r="C27602" s="46">
        <v>18</v>
      </c>
      <c r="D27602" s="69" t="s">
        <v>29541</v>
      </c>
      <c r="E27602" s="62"/>
      <c r="F27602" s="62" t="str">
        <f>IF(INDEX(I.Gas.P3Y1TotalGasEnergy,18)="","",INDEX(I.Gas.P3Y1TotalGasEnergy,18))</f>
        <v/>
      </c>
      <c r="G27602" s="62"/>
      <c r="H27602" s="46" t="str">
        <f>IF(I.Developer.P3=FALSE,"Complete",IF(I.Product.P3GasToPowerStatus&lt;&gt;"Yes","Complete",IF(AND(I.Gas.P3Y1Count&gt;=18,F27602=""),"Incomplete","Complete")))</f>
        <v>Complete</v>
      </c>
      <c r="I27602" s="48" t="s">
        <v>2781</v>
      </c>
    </row>
    <row r="27603" spans="2:9" ht="15" customHeight="1" x14ac:dyDescent="0.25">
      <c r="B27603" s="55" t="s">
        <v>404</v>
      </c>
      <c r="C27603" s="46">
        <v>19</v>
      </c>
      <c r="D27603" s="69" t="s">
        <v>29541</v>
      </c>
      <c r="E27603" s="62"/>
      <c r="F27603" s="62" t="str">
        <f>IF(INDEX(I.Gas.P3Y1TotalGasEnergy,19)="","",INDEX(I.Gas.P3Y1TotalGasEnergy,19))</f>
        <v/>
      </c>
      <c r="G27603" s="62"/>
      <c r="H27603" s="46" t="str">
        <f>IF(I.Developer.P3=FALSE,"Complete",IF(I.Product.P3GasToPowerStatus&lt;&gt;"Yes","Complete",IF(AND(I.Gas.P3Y1Count&gt;=19,F27603=""),"Incomplete","Complete")))</f>
        <v>Complete</v>
      </c>
      <c r="I27603" s="48" t="s">
        <v>2782</v>
      </c>
    </row>
    <row r="27604" spans="2:9" ht="15" customHeight="1" x14ac:dyDescent="0.25">
      <c r="B27604" s="55" t="s">
        <v>404</v>
      </c>
      <c r="C27604" s="46">
        <v>20</v>
      </c>
      <c r="D27604" s="69" t="s">
        <v>29541</v>
      </c>
      <c r="E27604" s="62"/>
      <c r="F27604" s="62" t="str">
        <f>IF(INDEX(I.Gas.P3Y1TotalGasEnergy,20)="","",INDEX(I.Gas.P3Y1TotalGasEnergy,20))</f>
        <v/>
      </c>
      <c r="G27604" s="62"/>
      <c r="H27604" s="46" t="str">
        <f>IF(I.Developer.P3=FALSE,"Complete",IF(I.Product.P3GasToPowerStatus&lt;&gt;"Yes","Complete",IF(AND(I.Gas.P3Y1Count&gt;=20,F27604=""),"Incomplete","Complete")))</f>
        <v>Complete</v>
      </c>
      <c r="I27604" s="48" t="s">
        <v>2783</v>
      </c>
    </row>
    <row r="27605" spans="2:9" ht="15" customHeight="1" x14ac:dyDescent="0.25">
      <c r="B27605" s="55" t="s">
        <v>404</v>
      </c>
      <c r="C27605" s="46">
        <v>21</v>
      </c>
      <c r="D27605" s="69" t="s">
        <v>29541</v>
      </c>
      <c r="E27605" s="62"/>
      <c r="F27605" s="62" t="str">
        <f>IF(INDEX(I.Gas.P3Y1TotalGasEnergy,21)="","",INDEX(I.Gas.P3Y1TotalGasEnergy,21))</f>
        <v/>
      </c>
      <c r="G27605" s="62"/>
      <c r="H27605" s="46" t="str">
        <f>IF(I.Developer.P3=FALSE,"Complete",IF(I.Product.P3GasToPowerStatus&lt;&gt;"Yes","Complete",IF(AND(I.Gas.P3Y1Count&gt;=21,F27605=""),"Incomplete","Complete")))</f>
        <v>Complete</v>
      </c>
      <c r="I27605" s="48" t="s">
        <v>2784</v>
      </c>
    </row>
    <row r="27606" spans="2:9" ht="15" customHeight="1" x14ac:dyDescent="0.25">
      <c r="B27606" s="55" t="s">
        <v>404</v>
      </c>
      <c r="C27606" s="46">
        <v>22</v>
      </c>
      <c r="D27606" s="69" t="s">
        <v>29541</v>
      </c>
      <c r="E27606" s="62"/>
      <c r="F27606" s="62" t="str">
        <f>IF(INDEX(I.Gas.P3Y1TotalGasEnergy,22)="","",INDEX(I.Gas.P3Y1TotalGasEnergy,22))</f>
        <v/>
      </c>
      <c r="G27606" s="62"/>
      <c r="H27606" s="46" t="str">
        <f>IF(I.Developer.P3=FALSE,"Complete",IF(I.Product.P3GasToPowerStatus&lt;&gt;"Yes","Complete",IF(AND(I.Gas.P3Y1Count&gt;=22,F27606=""),"Incomplete","Complete")))</f>
        <v>Complete</v>
      </c>
      <c r="I27606" s="48" t="s">
        <v>2785</v>
      </c>
    </row>
    <row r="27607" spans="2:9" ht="15" customHeight="1" x14ac:dyDescent="0.25">
      <c r="B27607" s="55" t="s">
        <v>404</v>
      </c>
      <c r="C27607" s="46">
        <v>23</v>
      </c>
      <c r="D27607" s="69" t="s">
        <v>29541</v>
      </c>
      <c r="E27607" s="62"/>
      <c r="F27607" s="62" t="str">
        <f>IF(INDEX(I.Gas.P3Y1TotalGasEnergy,23)="","",INDEX(I.Gas.P3Y1TotalGasEnergy,23))</f>
        <v/>
      </c>
      <c r="G27607" s="62"/>
      <c r="H27607" s="46" t="str">
        <f>IF(I.Developer.P3=FALSE,"Complete",IF(I.Product.P3GasToPowerStatus&lt;&gt;"Yes","Complete",IF(AND(I.Gas.P3Y1Count&gt;=23,F27607=""),"Incomplete","Complete")))</f>
        <v>Complete</v>
      </c>
      <c r="I27607" s="48" t="s">
        <v>2786</v>
      </c>
    </row>
    <row r="27608" spans="2:9" ht="15" customHeight="1" x14ac:dyDescent="0.25">
      <c r="B27608" s="55" t="s">
        <v>404</v>
      </c>
      <c r="C27608" s="46">
        <v>24</v>
      </c>
      <c r="D27608" s="69" t="s">
        <v>29541</v>
      </c>
      <c r="E27608" s="62"/>
      <c r="F27608" s="62" t="str">
        <f>IF(INDEX(I.Gas.P3Y1TotalGasEnergy,24)="","",INDEX(I.Gas.P3Y1TotalGasEnergy,24))</f>
        <v/>
      </c>
      <c r="G27608" s="62"/>
      <c r="H27608" s="46" t="str">
        <f>IF(I.Developer.P3=FALSE,"Complete",IF(I.Product.P3GasToPowerStatus&lt;&gt;"Yes","Complete",IF(AND(I.Gas.P3Y1Count&gt;=24,F27608=""),"Incomplete","Complete")))</f>
        <v>Complete</v>
      </c>
      <c r="I27608" s="48" t="s">
        <v>2787</v>
      </c>
    </row>
    <row r="27609" spans="2:9" ht="15" customHeight="1" x14ac:dyDescent="0.25">
      <c r="B27609" s="55" t="s">
        <v>404</v>
      </c>
      <c r="C27609" s="46">
        <v>25</v>
      </c>
      <c r="D27609" s="69" t="s">
        <v>29541</v>
      </c>
      <c r="E27609" s="62"/>
      <c r="F27609" s="62" t="str">
        <f>IF(INDEX(I.Gas.P3Y1TotalGasEnergy,25)="","",INDEX(I.Gas.P3Y1TotalGasEnergy,25))</f>
        <v/>
      </c>
      <c r="G27609" s="62"/>
      <c r="H27609" s="46" t="str">
        <f>IF(I.Developer.P3=FALSE,"Complete",IF(I.Product.P3GasToPowerStatus&lt;&gt;"Yes","Complete",IF(AND(I.Gas.P3Y1Count&gt;=25,F27609=""),"Incomplete","Complete")))</f>
        <v>Complete</v>
      </c>
      <c r="I27609" s="48" t="s">
        <v>2788</v>
      </c>
    </row>
    <row r="27610" spans="2:9" ht="15" customHeight="1" x14ac:dyDescent="0.25">
      <c r="B27610" s="55" t="s">
        <v>404</v>
      </c>
      <c r="C27610" s="46">
        <v>26</v>
      </c>
      <c r="D27610" s="69" t="s">
        <v>29541</v>
      </c>
      <c r="E27610" s="62"/>
      <c r="F27610" s="62" t="str">
        <f>IF(INDEX(I.Gas.P3Y1TotalGasEnergy,26)="","",INDEX(I.Gas.P3Y1TotalGasEnergy,26))</f>
        <v/>
      </c>
      <c r="G27610" s="62"/>
      <c r="H27610" s="46" t="str">
        <f>IF(I.Developer.P3=FALSE,"Complete",IF(I.Product.P3GasToPowerStatus&lt;&gt;"Yes","Complete",IF(AND(I.Gas.P3Y1Count&gt;=26,F27610=""),"Incomplete","Complete")))</f>
        <v>Complete</v>
      </c>
      <c r="I27610" s="48" t="s">
        <v>2789</v>
      </c>
    </row>
    <row r="27611" spans="2:9" ht="15" customHeight="1" x14ac:dyDescent="0.25">
      <c r="B27611" s="55" t="s">
        <v>404</v>
      </c>
      <c r="C27611" s="46">
        <v>27</v>
      </c>
      <c r="D27611" s="69" t="s">
        <v>29541</v>
      </c>
      <c r="E27611" s="62"/>
      <c r="F27611" s="62" t="str">
        <f>IF(INDEX(I.Gas.P3Y1TotalGasEnergy,27)="","",INDEX(I.Gas.P3Y1TotalGasEnergy,27))</f>
        <v/>
      </c>
      <c r="G27611" s="62"/>
      <c r="H27611" s="46" t="str">
        <f>IF(I.Developer.P3=FALSE,"Complete",IF(I.Product.P3GasToPowerStatus&lt;&gt;"Yes","Complete",IF(AND(I.Gas.P3Y1Count&gt;=27,F27611=""),"Incomplete","Complete")))</f>
        <v>Complete</v>
      </c>
      <c r="I27611" s="48" t="s">
        <v>2790</v>
      </c>
    </row>
    <row r="27612" spans="2:9" ht="15" customHeight="1" x14ac:dyDescent="0.25">
      <c r="B27612" s="55" t="s">
        <v>404</v>
      </c>
      <c r="C27612" s="46">
        <v>28</v>
      </c>
      <c r="D27612" s="69" t="s">
        <v>29541</v>
      </c>
      <c r="E27612" s="62"/>
      <c r="F27612" s="62" t="str">
        <f>IF(INDEX(I.Gas.P3Y1TotalGasEnergy,28)="","",INDEX(I.Gas.P3Y1TotalGasEnergy,28))</f>
        <v/>
      </c>
      <c r="G27612" s="62"/>
      <c r="H27612" s="46" t="str">
        <f>IF(I.Developer.P3=FALSE,"Complete",IF(I.Product.P3GasToPowerStatus&lt;&gt;"Yes","Complete",IF(AND(I.Gas.P3Y1Count&gt;=28,F27612=""),"Incomplete","Complete")))</f>
        <v>Complete</v>
      </c>
      <c r="I27612" s="48" t="s">
        <v>2791</v>
      </c>
    </row>
    <row r="27613" spans="2:9" ht="15" customHeight="1" x14ac:dyDescent="0.25">
      <c r="B27613" s="55" t="s">
        <v>404</v>
      </c>
      <c r="C27613" s="46">
        <v>29</v>
      </c>
      <c r="D27613" s="69" t="s">
        <v>29541</v>
      </c>
      <c r="E27613" s="62"/>
      <c r="F27613" s="62" t="str">
        <f>IF(INDEX(I.Gas.P3Y1TotalGasEnergy,29)="","",INDEX(I.Gas.P3Y1TotalGasEnergy,29))</f>
        <v/>
      </c>
      <c r="G27613" s="62"/>
      <c r="H27613" s="46" t="str">
        <f>IF(I.Developer.P3=FALSE,"Complete",IF(I.Product.P3GasToPowerStatus&lt;&gt;"Yes","Complete",IF(AND(I.Gas.P3Y1Count&gt;=29,F27613=""),"Incomplete","Complete")))</f>
        <v>Complete</v>
      </c>
      <c r="I27613" s="48" t="s">
        <v>2792</v>
      </c>
    </row>
    <row r="27614" spans="2:9" ht="15" customHeight="1" x14ac:dyDescent="0.25">
      <c r="B27614" s="55" t="s">
        <v>404</v>
      </c>
      <c r="C27614" s="46">
        <v>30</v>
      </c>
      <c r="D27614" s="69" t="s">
        <v>29541</v>
      </c>
      <c r="E27614" s="62"/>
      <c r="F27614" s="62" t="str">
        <f>IF(INDEX(I.Gas.P3Y1TotalGasEnergy,30)="","",INDEX(I.Gas.P3Y1TotalGasEnergy,30))</f>
        <v/>
      </c>
      <c r="G27614" s="62"/>
      <c r="H27614" s="46" t="str">
        <f>IF(I.Developer.P3=FALSE,"Complete",IF(I.Product.P3GasToPowerStatus&lt;&gt;"Yes","Complete",IF(AND(I.Gas.P3Y1Count&gt;=30,F27614=""),"Incomplete","Complete")))</f>
        <v>Complete</v>
      </c>
      <c r="I27614" s="48" t="s">
        <v>2793</v>
      </c>
    </row>
    <row r="27615" spans="2:9" ht="15" customHeight="1" x14ac:dyDescent="0.25">
      <c r="B27615" s="55" t="s">
        <v>404</v>
      </c>
      <c r="C27615" s="46">
        <v>31</v>
      </c>
      <c r="D27615" s="69" t="s">
        <v>29541</v>
      </c>
      <c r="E27615" s="62"/>
      <c r="F27615" s="62" t="str">
        <f>IF(INDEX(I.Gas.P3Y1TotalGasEnergy,31)="","",INDEX(I.Gas.P3Y1TotalGasEnergy,31))</f>
        <v/>
      </c>
      <c r="G27615" s="62"/>
      <c r="H27615" s="46" t="str">
        <f>IF(I.Developer.P3=FALSE,"Complete",IF(I.Product.P3GasToPowerStatus&lt;&gt;"Yes","Complete",IF(AND(I.Gas.P3Y1Count&gt;=31,F27615=""),"Incomplete","Complete")))</f>
        <v>Complete</v>
      </c>
      <c r="I27615" s="48" t="s">
        <v>2794</v>
      </c>
    </row>
    <row r="27616" spans="2:9" ht="15" customHeight="1" x14ac:dyDescent="0.25">
      <c r="B27616" s="55" t="s">
        <v>404</v>
      </c>
      <c r="C27616" s="46">
        <v>32</v>
      </c>
      <c r="D27616" s="69" t="s">
        <v>29541</v>
      </c>
      <c r="E27616" s="62"/>
      <c r="F27616" s="62" t="str">
        <f>IF(INDEX(I.Gas.P3Y1TotalGasEnergy,32)="","",INDEX(I.Gas.P3Y1TotalGasEnergy,32))</f>
        <v/>
      </c>
      <c r="G27616" s="62"/>
      <c r="H27616" s="46" t="str">
        <f>IF(I.Developer.P3=FALSE,"Complete",IF(I.Product.P3GasToPowerStatus&lt;&gt;"Yes","Complete",IF(AND(I.Gas.P3Y1Count&gt;=32,F27616=""),"Incomplete","Complete")))</f>
        <v>Complete</v>
      </c>
      <c r="I27616" s="48" t="s">
        <v>2795</v>
      </c>
    </row>
    <row r="27617" spans="2:9" ht="15" customHeight="1" x14ac:dyDescent="0.25">
      <c r="B27617" s="55" t="s">
        <v>404</v>
      </c>
      <c r="C27617" s="46">
        <v>33</v>
      </c>
      <c r="D27617" s="69" t="s">
        <v>29541</v>
      </c>
      <c r="E27617" s="62"/>
      <c r="F27617" s="62" t="str">
        <f>IF(INDEX(I.Gas.P3Y1TotalGasEnergy,33)="","",INDEX(I.Gas.P3Y1TotalGasEnergy,33))</f>
        <v/>
      </c>
      <c r="G27617" s="62"/>
      <c r="H27617" s="46" t="str">
        <f>IF(I.Developer.P3=FALSE,"Complete",IF(I.Product.P3GasToPowerStatus&lt;&gt;"Yes","Complete",IF(AND(I.Gas.P3Y1Count&gt;=33,F27617=""),"Incomplete","Complete")))</f>
        <v>Complete</v>
      </c>
      <c r="I27617" s="48" t="s">
        <v>2796</v>
      </c>
    </row>
    <row r="27618" spans="2:9" ht="15" customHeight="1" x14ac:dyDescent="0.25">
      <c r="B27618" s="55" t="s">
        <v>404</v>
      </c>
      <c r="C27618" s="46">
        <v>34</v>
      </c>
      <c r="D27618" s="69" t="s">
        <v>29541</v>
      </c>
      <c r="E27618" s="62"/>
      <c r="F27618" s="62" t="str">
        <f>IF(INDEX(I.Gas.P3Y1TotalGasEnergy,34)="","",INDEX(I.Gas.P3Y1TotalGasEnergy,34))</f>
        <v/>
      </c>
      <c r="G27618" s="62"/>
      <c r="H27618" s="46" t="str">
        <f>IF(I.Developer.P3=FALSE,"Complete",IF(I.Product.P3GasToPowerStatus&lt;&gt;"Yes","Complete",IF(AND(I.Gas.P3Y1Count&gt;=34,F27618=""),"Incomplete","Complete")))</f>
        <v>Complete</v>
      </c>
      <c r="I27618" s="48" t="s">
        <v>2797</v>
      </c>
    </row>
    <row r="27619" spans="2:9" ht="15" customHeight="1" x14ac:dyDescent="0.25">
      <c r="B27619" s="55" t="s">
        <v>404</v>
      </c>
      <c r="C27619" s="46">
        <v>35</v>
      </c>
      <c r="D27619" s="69" t="s">
        <v>29541</v>
      </c>
      <c r="E27619" s="62"/>
      <c r="F27619" s="62" t="str">
        <f>IF(INDEX(I.Gas.P3Y1TotalGasEnergy,35)="","",INDEX(I.Gas.P3Y1TotalGasEnergy,35))</f>
        <v/>
      </c>
      <c r="G27619" s="62"/>
      <c r="H27619" s="46" t="str">
        <f>IF(I.Developer.P3=FALSE,"Complete",IF(I.Product.P3GasToPowerStatus&lt;&gt;"Yes","Complete",IF(AND(I.Gas.P3Y1Count&gt;=35,F27619=""),"Incomplete","Complete")))</f>
        <v>Complete</v>
      </c>
      <c r="I27619" s="48" t="s">
        <v>2798</v>
      </c>
    </row>
    <row r="27620" spans="2:9" ht="15" customHeight="1" x14ac:dyDescent="0.25">
      <c r="B27620" s="55" t="s">
        <v>404</v>
      </c>
      <c r="C27620" s="46">
        <v>36</v>
      </c>
      <c r="D27620" s="69" t="s">
        <v>29541</v>
      </c>
      <c r="E27620" s="62"/>
      <c r="F27620" s="62" t="str">
        <f>IF(INDEX(I.Gas.P3Y1TotalGasEnergy,36)="","",INDEX(I.Gas.P3Y1TotalGasEnergy,36))</f>
        <v/>
      </c>
      <c r="G27620" s="62"/>
      <c r="H27620" s="46" t="str">
        <f>IF(I.Developer.P3=FALSE,"Complete",IF(I.Product.P3GasToPowerStatus&lt;&gt;"Yes","Complete",IF(AND(I.Gas.P3Y1Count&gt;=36,F27620=""),"Incomplete","Complete")))</f>
        <v>Complete</v>
      </c>
      <c r="I27620" s="48" t="s">
        <v>2799</v>
      </c>
    </row>
    <row r="27621" spans="2:9" ht="15" customHeight="1" x14ac:dyDescent="0.25">
      <c r="B27621" s="55" t="s">
        <v>404</v>
      </c>
      <c r="C27621" s="46">
        <v>37</v>
      </c>
      <c r="D27621" s="69" t="s">
        <v>29541</v>
      </c>
      <c r="E27621" s="62"/>
      <c r="F27621" s="62" t="str">
        <f>IF(INDEX(I.Gas.P3Y1TotalGasEnergy,37)="","",INDEX(I.Gas.P3Y1TotalGasEnergy,37))</f>
        <v/>
      </c>
      <c r="G27621" s="62"/>
      <c r="H27621" s="46" t="str">
        <f>IF(I.Developer.P3=FALSE,"Complete",IF(I.Product.P3GasToPowerStatus&lt;&gt;"Yes","Complete",IF(AND(I.Gas.P3Y1Count&gt;=37,F27621=""),"Incomplete","Complete")))</f>
        <v>Complete</v>
      </c>
      <c r="I27621" s="48" t="s">
        <v>2800</v>
      </c>
    </row>
    <row r="27622" spans="2:9" ht="15" customHeight="1" x14ac:dyDescent="0.25">
      <c r="B27622" s="55" t="s">
        <v>404</v>
      </c>
      <c r="C27622" s="46">
        <v>38</v>
      </c>
      <c r="D27622" s="69" t="s">
        <v>29541</v>
      </c>
      <c r="E27622" s="62"/>
      <c r="F27622" s="62" t="str">
        <f>IF(INDEX(I.Gas.P3Y1TotalGasEnergy,38)="","",INDEX(I.Gas.P3Y1TotalGasEnergy,38))</f>
        <v/>
      </c>
      <c r="G27622" s="62"/>
      <c r="H27622" s="46" t="str">
        <f>IF(I.Developer.P3=FALSE,"Complete",IF(I.Product.P3GasToPowerStatus&lt;&gt;"Yes","Complete",IF(AND(I.Gas.P3Y1Count&gt;=38,F27622=""),"Incomplete","Complete")))</f>
        <v>Complete</v>
      </c>
      <c r="I27622" s="48" t="s">
        <v>2801</v>
      </c>
    </row>
    <row r="27623" spans="2:9" ht="15" customHeight="1" x14ac:dyDescent="0.25">
      <c r="B27623" s="55" t="s">
        <v>404</v>
      </c>
      <c r="C27623" s="46">
        <v>39</v>
      </c>
      <c r="D27623" s="69" t="s">
        <v>29541</v>
      </c>
      <c r="E27623" s="62"/>
      <c r="F27623" s="62" t="str">
        <f>IF(INDEX(I.Gas.P3Y1TotalGasEnergy,39)="","",INDEX(I.Gas.P3Y1TotalGasEnergy,39))</f>
        <v/>
      </c>
      <c r="G27623" s="62"/>
      <c r="H27623" s="46" t="str">
        <f>IF(I.Developer.P3=FALSE,"Complete",IF(I.Product.P3GasToPowerStatus&lt;&gt;"Yes","Complete",IF(AND(I.Gas.P3Y1Count&gt;=39,F27623=""),"Incomplete","Complete")))</f>
        <v>Complete</v>
      </c>
      <c r="I27623" s="48" t="s">
        <v>2802</v>
      </c>
    </row>
    <row r="27624" spans="2:9" ht="15" customHeight="1" x14ac:dyDescent="0.25">
      <c r="B27624" s="55" t="s">
        <v>404</v>
      </c>
      <c r="C27624" s="46">
        <v>40</v>
      </c>
      <c r="D27624" s="69" t="s">
        <v>29541</v>
      </c>
      <c r="E27624" s="62"/>
      <c r="F27624" s="62" t="str">
        <f>IF(INDEX(I.Gas.P3Y1TotalGasEnergy,40)="","",INDEX(I.Gas.P3Y1TotalGasEnergy,40))</f>
        <v/>
      </c>
      <c r="G27624" s="62"/>
      <c r="H27624" s="46" t="str">
        <f>IF(I.Developer.P3=FALSE,"Complete",IF(I.Product.P3GasToPowerStatus&lt;&gt;"Yes","Complete",IF(AND(I.Gas.P3Y1Count&gt;=40,F27624=""),"Incomplete","Complete")))</f>
        <v>Complete</v>
      </c>
      <c r="I27624" s="48" t="s">
        <v>2803</v>
      </c>
    </row>
    <row r="27625" spans="2:9" ht="15" customHeight="1" x14ac:dyDescent="0.25">
      <c r="B27625" s="55" t="s">
        <v>404</v>
      </c>
      <c r="C27625" s="46">
        <v>41</v>
      </c>
      <c r="D27625" s="69" t="s">
        <v>29541</v>
      </c>
      <c r="E27625" s="62"/>
      <c r="F27625" s="62" t="str">
        <f>IF(INDEX(I.Gas.P3Y1TotalGasEnergy,41)="","",INDEX(I.Gas.P3Y1TotalGasEnergy,41))</f>
        <v/>
      </c>
      <c r="G27625" s="62"/>
      <c r="H27625" s="46" t="str">
        <f>IF(I.Developer.P3=FALSE,"Complete",IF(I.Product.P3GasToPowerStatus&lt;&gt;"Yes","Complete",IF(AND(I.Gas.P3Y1Count&gt;=41,F27625=""),"Incomplete","Complete")))</f>
        <v>Complete</v>
      </c>
      <c r="I27625" s="48" t="s">
        <v>2804</v>
      </c>
    </row>
    <row r="27626" spans="2:9" ht="15" customHeight="1" x14ac:dyDescent="0.25">
      <c r="B27626" s="55" t="s">
        <v>404</v>
      </c>
      <c r="C27626" s="46">
        <v>42</v>
      </c>
      <c r="D27626" s="69" t="s">
        <v>29541</v>
      </c>
      <c r="E27626" s="62"/>
      <c r="F27626" s="62" t="str">
        <f>IF(INDEX(I.Gas.P3Y1TotalGasEnergy,42)="","",INDEX(I.Gas.P3Y1TotalGasEnergy,42))</f>
        <v/>
      </c>
      <c r="G27626" s="62"/>
      <c r="H27626" s="46" t="str">
        <f>IF(I.Developer.P3=FALSE,"Complete",IF(I.Product.P3GasToPowerStatus&lt;&gt;"Yes","Complete",IF(AND(I.Gas.P3Y1Count&gt;=42,F27626=""),"Incomplete","Complete")))</f>
        <v>Complete</v>
      </c>
      <c r="I27626" s="48" t="s">
        <v>2805</v>
      </c>
    </row>
    <row r="27627" spans="2:9" ht="15" customHeight="1" x14ac:dyDescent="0.25">
      <c r="B27627" s="55" t="s">
        <v>404</v>
      </c>
      <c r="C27627" s="46">
        <v>43</v>
      </c>
      <c r="D27627" s="69" t="s">
        <v>29541</v>
      </c>
      <c r="E27627" s="62"/>
      <c r="F27627" s="62" t="str">
        <f>IF(INDEX(I.Gas.P3Y1TotalGasEnergy,43)="","",INDEX(I.Gas.P3Y1TotalGasEnergy,43))</f>
        <v/>
      </c>
      <c r="G27627" s="62"/>
      <c r="H27627" s="46" t="str">
        <f>IF(I.Developer.P3=FALSE,"Complete",IF(I.Product.P3GasToPowerStatus&lt;&gt;"Yes","Complete",IF(AND(I.Gas.P3Y1Count&gt;=43,F27627=""),"Incomplete","Complete")))</f>
        <v>Complete</v>
      </c>
      <c r="I27627" s="48" t="s">
        <v>2806</v>
      </c>
    </row>
    <row r="27628" spans="2:9" ht="15" customHeight="1" x14ac:dyDescent="0.25">
      <c r="B27628" s="55" t="s">
        <v>404</v>
      </c>
      <c r="C27628" s="46">
        <v>44</v>
      </c>
      <c r="D27628" s="69" t="s">
        <v>29541</v>
      </c>
      <c r="E27628" s="62"/>
      <c r="F27628" s="62" t="str">
        <f>IF(INDEX(I.Gas.P3Y1TotalGasEnergy,44)="","",INDEX(I.Gas.P3Y1TotalGasEnergy,44))</f>
        <v/>
      </c>
      <c r="G27628" s="62"/>
      <c r="H27628" s="46" t="str">
        <f>IF(I.Developer.P3=FALSE,"Complete",IF(I.Product.P3GasToPowerStatus&lt;&gt;"Yes","Complete",IF(AND(I.Gas.P3Y1Count&gt;=44,F27628=""),"Incomplete","Complete")))</f>
        <v>Complete</v>
      </c>
      <c r="I27628" s="48" t="s">
        <v>2807</v>
      </c>
    </row>
    <row r="27629" spans="2:9" ht="15" customHeight="1" x14ac:dyDescent="0.25">
      <c r="B27629" s="55" t="s">
        <v>404</v>
      </c>
      <c r="C27629" s="46">
        <v>45</v>
      </c>
      <c r="D27629" s="69" t="s">
        <v>29541</v>
      </c>
      <c r="E27629" s="62"/>
      <c r="F27629" s="62" t="str">
        <f>IF(INDEX(I.Gas.P3Y1TotalGasEnergy,45)="","",INDEX(I.Gas.P3Y1TotalGasEnergy,45))</f>
        <v/>
      </c>
      <c r="G27629" s="62"/>
      <c r="H27629" s="46" t="str">
        <f>IF(I.Developer.P3=FALSE,"Complete",IF(I.Product.P3GasToPowerStatus&lt;&gt;"Yes","Complete",IF(AND(I.Gas.P3Y1Count&gt;=45,F27629=""),"Incomplete","Complete")))</f>
        <v>Complete</v>
      </c>
      <c r="I27629" s="48" t="s">
        <v>2808</v>
      </c>
    </row>
    <row r="27630" spans="2:9" ht="15" customHeight="1" x14ac:dyDescent="0.25">
      <c r="B27630" s="55" t="s">
        <v>404</v>
      </c>
      <c r="C27630" s="46">
        <v>46</v>
      </c>
      <c r="D27630" s="69" t="s">
        <v>29541</v>
      </c>
      <c r="E27630" s="62"/>
      <c r="F27630" s="62" t="str">
        <f>IF(INDEX(I.Gas.P3Y1TotalGasEnergy,46)="","",INDEX(I.Gas.P3Y1TotalGasEnergy,46))</f>
        <v/>
      </c>
      <c r="G27630" s="62"/>
      <c r="H27630" s="46" t="str">
        <f>IF(I.Developer.P3=FALSE,"Complete",IF(I.Product.P3GasToPowerStatus&lt;&gt;"Yes","Complete",IF(AND(I.Gas.P3Y1Count&gt;=46,F27630=""),"Incomplete","Complete")))</f>
        <v>Complete</v>
      </c>
      <c r="I27630" s="48" t="s">
        <v>2809</v>
      </c>
    </row>
    <row r="27631" spans="2:9" ht="15" customHeight="1" x14ac:dyDescent="0.25">
      <c r="B27631" s="55" t="s">
        <v>404</v>
      </c>
      <c r="C27631" s="46">
        <v>47</v>
      </c>
      <c r="D27631" s="69" t="s">
        <v>29541</v>
      </c>
      <c r="E27631" s="62"/>
      <c r="F27631" s="62" t="str">
        <f>IF(INDEX(I.Gas.P3Y1TotalGasEnergy,47)="","",INDEX(I.Gas.P3Y1TotalGasEnergy,47))</f>
        <v/>
      </c>
      <c r="G27631" s="62"/>
      <c r="H27631" s="46" t="str">
        <f>IF(I.Developer.P3=FALSE,"Complete",IF(I.Product.P3GasToPowerStatus&lt;&gt;"Yes","Complete",IF(AND(I.Gas.P3Y1Count&gt;=47,F27631=""),"Incomplete","Complete")))</f>
        <v>Complete</v>
      </c>
      <c r="I27631" s="48" t="s">
        <v>2810</v>
      </c>
    </row>
    <row r="27632" spans="2:9" ht="15" customHeight="1" x14ac:dyDescent="0.25">
      <c r="B27632" s="55" t="s">
        <v>404</v>
      </c>
      <c r="C27632" s="46">
        <v>48</v>
      </c>
      <c r="D27632" s="69" t="s">
        <v>29541</v>
      </c>
      <c r="E27632" s="62"/>
      <c r="F27632" s="62" t="str">
        <f>IF(INDEX(I.Gas.P3Y1TotalGasEnergy,48)="","",INDEX(I.Gas.P3Y1TotalGasEnergy,48))</f>
        <v/>
      </c>
      <c r="G27632" s="62"/>
      <c r="H27632" s="46" t="str">
        <f>IF(I.Developer.P3=FALSE,"Complete",IF(I.Product.P3GasToPowerStatus&lt;&gt;"Yes","Complete",IF(AND(I.Gas.P3Y1Count&gt;=48,F27632=""),"Incomplete","Complete")))</f>
        <v>Complete</v>
      </c>
      <c r="I27632" s="48" t="s">
        <v>2811</v>
      </c>
    </row>
    <row r="27633" spans="2:9" ht="15" customHeight="1" x14ac:dyDescent="0.25">
      <c r="B27633" s="55" t="s">
        <v>404</v>
      </c>
      <c r="C27633" s="46">
        <v>49</v>
      </c>
      <c r="D27633" s="69" t="s">
        <v>29541</v>
      </c>
      <c r="E27633" s="62"/>
      <c r="F27633" s="62" t="str">
        <f>IF(INDEX(I.Gas.P3Y1TotalGasEnergy,49)="","",INDEX(I.Gas.P3Y1TotalGasEnergy,49))</f>
        <v/>
      </c>
      <c r="G27633" s="62"/>
      <c r="H27633" s="46" t="str">
        <f>IF(I.Developer.P3=FALSE,"Complete",IF(I.Product.P3GasToPowerStatus&lt;&gt;"Yes","Complete",IF(AND(I.Gas.P3Y1Count&gt;=49,F27633=""),"Incomplete","Complete")))</f>
        <v>Complete</v>
      </c>
      <c r="I27633" s="48" t="s">
        <v>2812</v>
      </c>
    </row>
    <row r="27634" spans="2:9" ht="15" customHeight="1" x14ac:dyDescent="0.25">
      <c r="B27634" s="56" t="s">
        <v>404</v>
      </c>
      <c r="C27634" s="57">
        <v>50</v>
      </c>
      <c r="D27634" s="71" t="s">
        <v>29541</v>
      </c>
      <c r="E27634" s="61"/>
      <c r="F27634" s="61" t="str">
        <f>IF(INDEX(I.Gas.P3Y1TotalGasEnergy,50)="","",INDEX(I.Gas.P3Y1TotalGasEnergy,50))</f>
        <v/>
      </c>
      <c r="G27634" s="61"/>
      <c r="H27634" s="57" t="str">
        <f>IF(I.Developer.P3=FALSE,"Complete",IF(I.Product.P3GasToPowerStatus&lt;&gt;"Yes","Complete",IF(AND(I.Gas.P3Y1Count&gt;=50,F27634=""),"Incomplete","Complete")))</f>
        <v>Complete</v>
      </c>
      <c r="I27634" s="49" t="s">
        <v>2813</v>
      </c>
    </row>
    <row r="27635" spans="2:9" ht="15" customHeight="1" x14ac:dyDescent="0.25">
      <c r="B27635" s="55" t="s">
        <v>405</v>
      </c>
      <c r="C27635" s="46">
        <v>1</v>
      </c>
      <c r="D27635" s="69" t="s">
        <v>29542</v>
      </c>
      <c r="E27635" s="62"/>
      <c r="F27635" s="62" t="str">
        <f>IF(INDEX(I.Gas.P3Y1ElectricityGeneration,1)="","",INDEX(I.Gas.P3Y1ElectricityGeneration,1))</f>
        <v/>
      </c>
      <c r="G27635" s="62"/>
      <c r="H27635" s="46" t="str">
        <f>IF(I.Developer.P3=FALSE,"Complete",IF(I.Product.P3GasToPowerStatus&lt;&gt;"Yes","Complete",IF(AND(I.Gas.P3Y1Count&gt;=1,F27635=""),"Incomplete","Complete")))</f>
        <v>Complete</v>
      </c>
      <c r="I27635" s="48" t="s">
        <v>2814</v>
      </c>
    </row>
    <row r="27636" spans="2:9" ht="15" customHeight="1" x14ac:dyDescent="0.25">
      <c r="B27636" s="55" t="s">
        <v>405</v>
      </c>
      <c r="C27636" s="46">
        <v>2</v>
      </c>
      <c r="D27636" s="69" t="s">
        <v>29542</v>
      </c>
      <c r="E27636" s="62"/>
      <c r="F27636" s="62" t="str">
        <f>IF(INDEX(I.Gas.P3Y1ElectricityGeneration,2)="","",INDEX(I.Gas.P3Y1ElectricityGeneration,2))</f>
        <v/>
      </c>
      <c r="G27636" s="62"/>
      <c r="H27636" s="46" t="str">
        <f>IF(I.Developer.P3=FALSE,"Complete",IF(I.Product.P3GasToPowerStatus&lt;&gt;"Yes","Complete",IF(AND(I.Gas.P3Y1Count&gt;=2,F27636=""),"Incomplete","Complete")))</f>
        <v>Complete</v>
      </c>
      <c r="I27636" s="48" t="s">
        <v>2815</v>
      </c>
    </row>
    <row r="27637" spans="2:9" ht="15" customHeight="1" x14ac:dyDescent="0.25">
      <c r="B27637" s="55" t="s">
        <v>405</v>
      </c>
      <c r="C27637" s="46">
        <v>3</v>
      </c>
      <c r="D27637" s="69" t="s">
        <v>29542</v>
      </c>
      <c r="E27637" s="62"/>
      <c r="F27637" s="62" t="str">
        <f>IF(INDEX(I.Gas.P3Y1ElectricityGeneration,3)="","",INDEX(I.Gas.P3Y1ElectricityGeneration,3))</f>
        <v/>
      </c>
      <c r="G27637" s="62"/>
      <c r="H27637" s="46" t="str">
        <f>IF(I.Developer.P3=FALSE,"Complete",IF(I.Product.P3GasToPowerStatus&lt;&gt;"Yes","Complete",IF(AND(I.Gas.P3Y1Count&gt;=3,F27637=""),"Incomplete","Complete")))</f>
        <v>Complete</v>
      </c>
      <c r="I27637" s="48" t="s">
        <v>2816</v>
      </c>
    </row>
    <row r="27638" spans="2:9" ht="15" customHeight="1" x14ac:dyDescent="0.25">
      <c r="B27638" s="55" t="s">
        <v>405</v>
      </c>
      <c r="C27638" s="46">
        <v>4</v>
      </c>
      <c r="D27638" s="69" t="s">
        <v>29542</v>
      </c>
      <c r="E27638" s="62"/>
      <c r="F27638" s="62" t="str">
        <f>IF(INDEX(I.Gas.P3Y1ElectricityGeneration,4)="","",INDEX(I.Gas.P3Y1ElectricityGeneration,4))</f>
        <v/>
      </c>
      <c r="G27638" s="62"/>
      <c r="H27638" s="46" t="str">
        <f>IF(I.Developer.P3=FALSE,"Complete",IF(I.Product.P3GasToPowerStatus&lt;&gt;"Yes","Complete",IF(AND(I.Gas.P3Y1Count&gt;=4,F27638=""),"Incomplete","Complete")))</f>
        <v>Complete</v>
      </c>
      <c r="I27638" s="48" t="s">
        <v>2817</v>
      </c>
    </row>
    <row r="27639" spans="2:9" ht="15" customHeight="1" x14ac:dyDescent="0.25">
      <c r="B27639" s="55" t="s">
        <v>405</v>
      </c>
      <c r="C27639" s="46">
        <v>5</v>
      </c>
      <c r="D27639" s="69" t="s">
        <v>29542</v>
      </c>
      <c r="E27639" s="62"/>
      <c r="F27639" s="62" t="str">
        <f>IF(INDEX(I.Gas.P3Y1ElectricityGeneration,5)="","",INDEX(I.Gas.P3Y1ElectricityGeneration,5))</f>
        <v/>
      </c>
      <c r="G27639" s="62"/>
      <c r="H27639" s="46" t="str">
        <f>IF(I.Developer.P3=FALSE,"Complete",IF(I.Product.P3GasToPowerStatus&lt;&gt;"Yes","Complete",IF(AND(I.Gas.P3Y1Count&gt;=5,F27639=""),"Incomplete","Complete")))</f>
        <v>Complete</v>
      </c>
      <c r="I27639" s="48" t="s">
        <v>2818</v>
      </c>
    </row>
    <row r="27640" spans="2:9" ht="15" customHeight="1" x14ac:dyDescent="0.25">
      <c r="B27640" s="55" t="s">
        <v>405</v>
      </c>
      <c r="C27640" s="46">
        <v>6</v>
      </c>
      <c r="D27640" s="69" t="s">
        <v>29542</v>
      </c>
      <c r="E27640" s="62"/>
      <c r="F27640" s="62" t="str">
        <f>IF(INDEX(I.Gas.P3Y1ElectricityGeneration,6)="","",INDEX(I.Gas.P3Y1ElectricityGeneration,6))</f>
        <v/>
      </c>
      <c r="G27640" s="62"/>
      <c r="H27640" s="46" t="str">
        <f>IF(I.Developer.P3=FALSE,"Complete",IF(I.Product.P3GasToPowerStatus&lt;&gt;"Yes","Complete",IF(AND(I.Gas.P3Y1Count&gt;=6,F27640=""),"Incomplete","Complete")))</f>
        <v>Complete</v>
      </c>
      <c r="I27640" s="48" t="s">
        <v>2819</v>
      </c>
    </row>
    <row r="27641" spans="2:9" ht="15" customHeight="1" x14ac:dyDescent="0.25">
      <c r="B27641" s="55" t="s">
        <v>405</v>
      </c>
      <c r="C27641" s="46">
        <v>7</v>
      </c>
      <c r="D27641" s="69" t="s">
        <v>29542</v>
      </c>
      <c r="E27641" s="62"/>
      <c r="F27641" s="62" t="str">
        <f>IF(INDEX(I.Gas.P3Y1ElectricityGeneration,7)="","",INDEX(I.Gas.P3Y1ElectricityGeneration,7))</f>
        <v/>
      </c>
      <c r="G27641" s="62"/>
      <c r="H27641" s="46" t="str">
        <f>IF(I.Developer.P3=FALSE,"Complete",IF(I.Product.P3GasToPowerStatus&lt;&gt;"Yes","Complete",IF(AND(I.Gas.P3Y1Count&gt;=7,F27641=""),"Incomplete","Complete")))</f>
        <v>Complete</v>
      </c>
      <c r="I27641" s="48" t="s">
        <v>2820</v>
      </c>
    </row>
    <row r="27642" spans="2:9" ht="15" customHeight="1" x14ac:dyDescent="0.25">
      <c r="B27642" s="55" t="s">
        <v>405</v>
      </c>
      <c r="C27642" s="46">
        <v>8</v>
      </c>
      <c r="D27642" s="69" t="s">
        <v>29542</v>
      </c>
      <c r="E27642" s="62"/>
      <c r="F27642" s="62" t="str">
        <f>IF(INDEX(I.Gas.P3Y1ElectricityGeneration,8)="","",INDEX(I.Gas.P3Y1ElectricityGeneration,8))</f>
        <v/>
      </c>
      <c r="G27642" s="62"/>
      <c r="H27642" s="46" t="str">
        <f>IF(I.Developer.P3=FALSE,"Complete",IF(I.Product.P3GasToPowerStatus&lt;&gt;"Yes","Complete",IF(AND(I.Gas.P3Y1Count&gt;=8,F27642=""),"Incomplete","Complete")))</f>
        <v>Complete</v>
      </c>
      <c r="I27642" s="48" t="s">
        <v>2821</v>
      </c>
    </row>
    <row r="27643" spans="2:9" ht="15" customHeight="1" x14ac:dyDescent="0.25">
      <c r="B27643" s="55" t="s">
        <v>405</v>
      </c>
      <c r="C27643" s="46">
        <v>9</v>
      </c>
      <c r="D27643" s="69" t="s">
        <v>29542</v>
      </c>
      <c r="E27643" s="62"/>
      <c r="F27643" s="62" t="str">
        <f>IF(INDEX(I.Gas.P3Y1ElectricityGeneration,9)="","",INDEX(I.Gas.P3Y1ElectricityGeneration,9))</f>
        <v/>
      </c>
      <c r="G27643" s="62"/>
      <c r="H27643" s="46" t="str">
        <f>IF(I.Developer.P3=FALSE,"Complete",IF(I.Product.P3GasToPowerStatus&lt;&gt;"Yes","Complete",IF(AND(I.Gas.P3Y1Count&gt;=9,F27643=""),"Incomplete","Complete")))</f>
        <v>Complete</v>
      </c>
      <c r="I27643" s="48" t="s">
        <v>2822</v>
      </c>
    </row>
    <row r="27644" spans="2:9" ht="15" customHeight="1" x14ac:dyDescent="0.25">
      <c r="B27644" s="55" t="s">
        <v>405</v>
      </c>
      <c r="C27644" s="46">
        <v>10</v>
      </c>
      <c r="D27644" s="69" t="s">
        <v>29542</v>
      </c>
      <c r="E27644" s="62"/>
      <c r="F27644" s="62" t="str">
        <f>IF(INDEX(I.Gas.P3Y1ElectricityGeneration,10)="","",INDEX(I.Gas.P3Y1ElectricityGeneration,10))</f>
        <v/>
      </c>
      <c r="G27644" s="62"/>
      <c r="H27644" s="46" t="str">
        <f>IF(I.Developer.P3=FALSE,"Complete",IF(I.Product.P3GasToPowerStatus&lt;&gt;"Yes","Complete",IF(AND(I.Gas.P3Y1Count&gt;=10,F27644=""),"Incomplete","Complete")))</f>
        <v>Complete</v>
      </c>
      <c r="I27644" s="48" t="s">
        <v>2823</v>
      </c>
    </row>
    <row r="27645" spans="2:9" ht="15" customHeight="1" x14ac:dyDescent="0.25">
      <c r="B27645" s="55" t="s">
        <v>405</v>
      </c>
      <c r="C27645" s="46">
        <v>11</v>
      </c>
      <c r="D27645" s="69" t="s">
        <v>29542</v>
      </c>
      <c r="E27645" s="62"/>
      <c r="F27645" s="62" t="str">
        <f>IF(INDEX(I.Gas.P3Y1ElectricityGeneration,11)="","",INDEX(I.Gas.P3Y1ElectricityGeneration,11))</f>
        <v/>
      </c>
      <c r="G27645" s="62"/>
      <c r="H27645" s="46" t="str">
        <f>IF(I.Developer.P3=FALSE,"Complete",IF(I.Product.P3GasToPowerStatus&lt;&gt;"Yes","Complete",IF(AND(I.Gas.P3Y1Count&gt;=11,F27645=""),"Incomplete","Complete")))</f>
        <v>Complete</v>
      </c>
      <c r="I27645" s="48" t="s">
        <v>2824</v>
      </c>
    </row>
    <row r="27646" spans="2:9" ht="15" customHeight="1" x14ac:dyDescent="0.25">
      <c r="B27646" s="55" t="s">
        <v>405</v>
      </c>
      <c r="C27646" s="46">
        <v>12</v>
      </c>
      <c r="D27646" s="69" t="s">
        <v>29542</v>
      </c>
      <c r="E27646" s="62"/>
      <c r="F27646" s="62" t="str">
        <f>IF(INDEX(I.Gas.P3Y1ElectricityGeneration,12)="","",INDEX(I.Gas.P3Y1ElectricityGeneration,12))</f>
        <v/>
      </c>
      <c r="G27646" s="62"/>
      <c r="H27646" s="46" t="str">
        <f>IF(I.Developer.P3=FALSE,"Complete",IF(I.Product.P3GasToPowerStatus&lt;&gt;"Yes","Complete",IF(AND(I.Gas.P3Y1Count&gt;=12,F27646=""),"Incomplete","Complete")))</f>
        <v>Complete</v>
      </c>
      <c r="I27646" s="48" t="s">
        <v>2825</v>
      </c>
    </row>
    <row r="27647" spans="2:9" ht="15" customHeight="1" x14ac:dyDescent="0.25">
      <c r="B27647" s="55" t="s">
        <v>405</v>
      </c>
      <c r="C27647" s="46">
        <v>13</v>
      </c>
      <c r="D27647" s="69" t="s">
        <v>29542</v>
      </c>
      <c r="E27647" s="62"/>
      <c r="F27647" s="62" t="str">
        <f>IF(INDEX(I.Gas.P3Y1ElectricityGeneration,13)="","",INDEX(I.Gas.P3Y1ElectricityGeneration,13))</f>
        <v/>
      </c>
      <c r="G27647" s="62"/>
      <c r="H27647" s="46" t="str">
        <f>IF(I.Developer.P3=FALSE,"Complete",IF(I.Product.P3GasToPowerStatus&lt;&gt;"Yes","Complete",IF(AND(I.Gas.P3Y1Count&gt;=13,F27647=""),"Incomplete","Complete")))</f>
        <v>Complete</v>
      </c>
      <c r="I27647" s="48" t="s">
        <v>2826</v>
      </c>
    </row>
    <row r="27648" spans="2:9" ht="15" customHeight="1" x14ac:dyDescent="0.25">
      <c r="B27648" s="55" t="s">
        <v>405</v>
      </c>
      <c r="C27648" s="46">
        <v>14</v>
      </c>
      <c r="D27648" s="69" t="s">
        <v>29542</v>
      </c>
      <c r="E27648" s="62"/>
      <c r="F27648" s="62" t="str">
        <f>IF(INDEX(I.Gas.P3Y1ElectricityGeneration,14)="","",INDEX(I.Gas.P3Y1ElectricityGeneration,14))</f>
        <v/>
      </c>
      <c r="G27648" s="62"/>
      <c r="H27648" s="46" t="str">
        <f>IF(I.Developer.P3=FALSE,"Complete",IF(I.Product.P3GasToPowerStatus&lt;&gt;"Yes","Complete",IF(AND(I.Gas.P3Y1Count&gt;=14,F27648=""),"Incomplete","Complete")))</f>
        <v>Complete</v>
      </c>
      <c r="I27648" s="48" t="s">
        <v>2827</v>
      </c>
    </row>
    <row r="27649" spans="2:9" ht="15" customHeight="1" x14ac:dyDescent="0.25">
      <c r="B27649" s="55" t="s">
        <v>405</v>
      </c>
      <c r="C27649" s="46">
        <v>15</v>
      </c>
      <c r="D27649" s="69" t="s">
        <v>29542</v>
      </c>
      <c r="E27649" s="62"/>
      <c r="F27649" s="62" t="str">
        <f>IF(INDEX(I.Gas.P3Y1ElectricityGeneration,15)="","",INDEX(I.Gas.P3Y1ElectricityGeneration,15))</f>
        <v/>
      </c>
      <c r="G27649" s="62"/>
      <c r="H27649" s="46" t="str">
        <f>IF(I.Developer.P3=FALSE,"Complete",IF(I.Product.P3GasToPowerStatus&lt;&gt;"Yes","Complete",IF(AND(I.Gas.P3Y1Count&gt;=15,F27649=""),"Incomplete","Complete")))</f>
        <v>Complete</v>
      </c>
      <c r="I27649" s="48" t="s">
        <v>2828</v>
      </c>
    </row>
    <row r="27650" spans="2:9" ht="15" customHeight="1" x14ac:dyDescent="0.25">
      <c r="B27650" s="55" t="s">
        <v>405</v>
      </c>
      <c r="C27650" s="46">
        <v>16</v>
      </c>
      <c r="D27650" s="69" t="s">
        <v>29542</v>
      </c>
      <c r="E27650" s="62"/>
      <c r="F27650" s="62" t="str">
        <f>IF(INDEX(I.Gas.P3Y1ElectricityGeneration,16)="","",INDEX(I.Gas.P3Y1ElectricityGeneration,16))</f>
        <v/>
      </c>
      <c r="G27650" s="62"/>
      <c r="H27650" s="46" t="str">
        <f>IF(I.Developer.P3=FALSE,"Complete",IF(I.Product.P3GasToPowerStatus&lt;&gt;"Yes","Complete",IF(AND(I.Gas.P3Y1Count&gt;=16,F27650=""),"Incomplete","Complete")))</f>
        <v>Complete</v>
      </c>
      <c r="I27650" s="48" t="s">
        <v>2829</v>
      </c>
    </row>
    <row r="27651" spans="2:9" ht="15" customHeight="1" x14ac:dyDescent="0.25">
      <c r="B27651" s="55" t="s">
        <v>405</v>
      </c>
      <c r="C27651" s="46">
        <v>17</v>
      </c>
      <c r="D27651" s="69" t="s">
        <v>29542</v>
      </c>
      <c r="E27651" s="62"/>
      <c r="F27651" s="62" t="str">
        <f>IF(INDEX(I.Gas.P3Y1ElectricityGeneration,17)="","",INDEX(I.Gas.P3Y1ElectricityGeneration,17))</f>
        <v/>
      </c>
      <c r="G27651" s="62"/>
      <c r="H27651" s="46" t="str">
        <f>IF(I.Developer.P3=FALSE,"Complete",IF(I.Product.P3GasToPowerStatus&lt;&gt;"Yes","Complete",IF(AND(I.Gas.P3Y1Count&gt;=17,F27651=""),"Incomplete","Complete")))</f>
        <v>Complete</v>
      </c>
      <c r="I27651" s="48" t="s">
        <v>2830</v>
      </c>
    </row>
    <row r="27652" spans="2:9" ht="15" customHeight="1" x14ac:dyDescent="0.25">
      <c r="B27652" s="55" t="s">
        <v>405</v>
      </c>
      <c r="C27652" s="46">
        <v>18</v>
      </c>
      <c r="D27652" s="69" t="s">
        <v>29542</v>
      </c>
      <c r="E27652" s="62"/>
      <c r="F27652" s="62" t="str">
        <f>IF(INDEX(I.Gas.P3Y1ElectricityGeneration,18)="","",INDEX(I.Gas.P3Y1ElectricityGeneration,18))</f>
        <v/>
      </c>
      <c r="G27652" s="62"/>
      <c r="H27652" s="46" t="str">
        <f>IF(I.Developer.P3=FALSE,"Complete",IF(I.Product.P3GasToPowerStatus&lt;&gt;"Yes","Complete",IF(AND(I.Gas.P3Y1Count&gt;=18,F27652=""),"Incomplete","Complete")))</f>
        <v>Complete</v>
      </c>
      <c r="I27652" s="48" t="s">
        <v>2831</v>
      </c>
    </row>
    <row r="27653" spans="2:9" ht="15" customHeight="1" x14ac:dyDescent="0.25">
      <c r="B27653" s="55" t="s">
        <v>405</v>
      </c>
      <c r="C27653" s="46">
        <v>19</v>
      </c>
      <c r="D27653" s="69" t="s">
        <v>29542</v>
      </c>
      <c r="E27653" s="62"/>
      <c r="F27653" s="62" t="str">
        <f>IF(INDEX(I.Gas.P3Y1ElectricityGeneration,19)="","",INDEX(I.Gas.P3Y1ElectricityGeneration,19))</f>
        <v/>
      </c>
      <c r="G27653" s="62"/>
      <c r="H27653" s="46" t="str">
        <f>IF(I.Developer.P3=FALSE,"Complete",IF(I.Product.P3GasToPowerStatus&lt;&gt;"Yes","Complete",IF(AND(I.Gas.P3Y1Count&gt;=19,F27653=""),"Incomplete","Complete")))</f>
        <v>Complete</v>
      </c>
      <c r="I27653" s="48" t="s">
        <v>2832</v>
      </c>
    </row>
    <row r="27654" spans="2:9" ht="15" customHeight="1" x14ac:dyDescent="0.25">
      <c r="B27654" s="55" t="s">
        <v>405</v>
      </c>
      <c r="C27654" s="46">
        <v>20</v>
      </c>
      <c r="D27654" s="69" t="s">
        <v>29542</v>
      </c>
      <c r="E27654" s="62"/>
      <c r="F27654" s="62" t="str">
        <f>IF(INDEX(I.Gas.P3Y1ElectricityGeneration,20)="","",INDEX(I.Gas.P3Y1ElectricityGeneration,20))</f>
        <v/>
      </c>
      <c r="G27654" s="62"/>
      <c r="H27654" s="46" t="str">
        <f>IF(I.Developer.P3=FALSE,"Complete",IF(I.Product.P3GasToPowerStatus&lt;&gt;"Yes","Complete",IF(AND(I.Gas.P3Y1Count&gt;=20,F27654=""),"Incomplete","Complete")))</f>
        <v>Complete</v>
      </c>
      <c r="I27654" s="48" t="s">
        <v>2833</v>
      </c>
    </row>
    <row r="27655" spans="2:9" ht="15" customHeight="1" x14ac:dyDescent="0.25">
      <c r="B27655" s="55" t="s">
        <v>405</v>
      </c>
      <c r="C27655" s="46">
        <v>21</v>
      </c>
      <c r="D27655" s="69" t="s">
        <v>29542</v>
      </c>
      <c r="E27655" s="62"/>
      <c r="F27655" s="62" t="str">
        <f>IF(INDEX(I.Gas.P3Y1ElectricityGeneration,21)="","",INDEX(I.Gas.P3Y1ElectricityGeneration,21))</f>
        <v/>
      </c>
      <c r="G27655" s="62"/>
      <c r="H27655" s="46" t="str">
        <f>IF(I.Developer.P3=FALSE,"Complete",IF(I.Product.P3GasToPowerStatus&lt;&gt;"Yes","Complete",IF(AND(I.Gas.P3Y1Count&gt;=21,F27655=""),"Incomplete","Complete")))</f>
        <v>Complete</v>
      </c>
      <c r="I27655" s="48" t="s">
        <v>2834</v>
      </c>
    </row>
    <row r="27656" spans="2:9" ht="15" customHeight="1" x14ac:dyDescent="0.25">
      <c r="B27656" s="55" t="s">
        <v>405</v>
      </c>
      <c r="C27656" s="46">
        <v>22</v>
      </c>
      <c r="D27656" s="69" t="s">
        <v>29542</v>
      </c>
      <c r="E27656" s="62"/>
      <c r="F27656" s="62" t="str">
        <f>IF(INDEX(I.Gas.P3Y1ElectricityGeneration,22)="","",INDEX(I.Gas.P3Y1ElectricityGeneration,22))</f>
        <v/>
      </c>
      <c r="G27656" s="62"/>
      <c r="H27656" s="46" t="str">
        <f>IF(I.Developer.P3=FALSE,"Complete",IF(I.Product.P3GasToPowerStatus&lt;&gt;"Yes","Complete",IF(AND(I.Gas.P3Y1Count&gt;=22,F27656=""),"Incomplete","Complete")))</f>
        <v>Complete</v>
      </c>
      <c r="I27656" s="48" t="s">
        <v>2835</v>
      </c>
    </row>
    <row r="27657" spans="2:9" ht="15" customHeight="1" x14ac:dyDescent="0.25">
      <c r="B27657" s="55" t="s">
        <v>405</v>
      </c>
      <c r="C27657" s="46">
        <v>23</v>
      </c>
      <c r="D27657" s="69" t="s">
        <v>29542</v>
      </c>
      <c r="E27657" s="62"/>
      <c r="F27657" s="62" t="str">
        <f>IF(INDEX(I.Gas.P3Y1ElectricityGeneration,23)="","",INDEX(I.Gas.P3Y1ElectricityGeneration,23))</f>
        <v/>
      </c>
      <c r="G27657" s="62"/>
      <c r="H27657" s="46" t="str">
        <f>IF(I.Developer.P3=FALSE,"Complete",IF(I.Product.P3GasToPowerStatus&lt;&gt;"Yes","Complete",IF(AND(I.Gas.P3Y1Count&gt;=23,F27657=""),"Incomplete","Complete")))</f>
        <v>Complete</v>
      </c>
      <c r="I27657" s="48" t="s">
        <v>2836</v>
      </c>
    </row>
    <row r="27658" spans="2:9" ht="15" customHeight="1" x14ac:dyDescent="0.25">
      <c r="B27658" s="55" t="s">
        <v>405</v>
      </c>
      <c r="C27658" s="46">
        <v>24</v>
      </c>
      <c r="D27658" s="69" t="s">
        <v>29542</v>
      </c>
      <c r="E27658" s="62"/>
      <c r="F27658" s="62" t="str">
        <f>IF(INDEX(I.Gas.P3Y1ElectricityGeneration,24)="","",INDEX(I.Gas.P3Y1ElectricityGeneration,24))</f>
        <v/>
      </c>
      <c r="G27658" s="62"/>
      <c r="H27658" s="46" t="str">
        <f>IF(I.Developer.P3=FALSE,"Complete",IF(I.Product.P3GasToPowerStatus&lt;&gt;"Yes","Complete",IF(AND(I.Gas.P3Y1Count&gt;=24,F27658=""),"Incomplete","Complete")))</f>
        <v>Complete</v>
      </c>
      <c r="I27658" s="48" t="s">
        <v>2837</v>
      </c>
    </row>
    <row r="27659" spans="2:9" ht="15" customHeight="1" x14ac:dyDescent="0.25">
      <c r="B27659" s="55" t="s">
        <v>405</v>
      </c>
      <c r="C27659" s="46">
        <v>25</v>
      </c>
      <c r="D27659" s="69" t="s">
        <v>29542</v>
      </c>
      <c r="E27659" s="62"/>
      <c r="F27659" s="62" t="str">
        <f>IF(INDEX(I.Gas.P3Y1ElectricityGeneration,25)="","",INDEX(I.Gas.P3Y1ElectricityGeneration,25))</f>
        <v/>
      </c>
      <c r="G27659" s="62"/>
      <c r="H27659" s="46" t="str">
        <f>IF(I.Developer.P3=FALSE,"Complete",IF(I.Product.P3GasToPowerStatus&lt;&gt;"Yes","Complete",IF(AND(I.Gas.P3Y1Count&gt;=25,F27659=""),"Incomplete","Complete")))</f>
        <v>Complete</v>
      </c>
      <c r="I27659" s="48" t="s">
        <v>2838</v>
      </c>
    </row>
    <row r="27660" spans="2:9" ht="15" customHeight="1" x14ac:dyDescent="0.25">
      <c r="B27660" s="55" t="s">
        <v>405</v>
      </c>
      <c r="C27660" s="46">
        <v>26</v>
      </c>
      <c r="D27660" s="69" t="s">
        <v>29542</v>
      </c>
      <c r="E27660" s="62"/>
      <c r="F27660" s="62" t="str">
        <f>IF(INDEX(I.Gas.P3Y1ElectricityGeneration,26)="","",INDEX(I.Gas.P3Y1ElectricityGeneration,26))</f>
        <v/>
      </c>
      <c r="G27660" s="62"/>
      <c r="H27660" s="46" t="str">
        <f>IF(I.Developer.P3=FALSE,"Complete",IF(I.Product.P3GasToPowerStatus&lt;&gt;"Yes","Complete",IF(AND(I.Gas.P3Y1Count&gt;=26,F27660=""),"Incomplete","Complete")))</f>
        <v>Complete</v>
      </c>
      <c r="I27660" s="48" t="s">
        <v>2839</v>
      </c>
    </row>
    <row r="27661" spans="2:9" ht="15" customHeight="1" x14ac:dyDescent="0.25">
      <c r="B27661" s="55" t="s">
        <v>405</v>
      </c>
      <c r="C27661" s="46">
        <v>27</v>
      </c>
      <c r="D27661" s="69" t="s">
        <v>29542</v>
      </c>
      <c r="E27661" s="62"/>
      <c r="F27661" s="62" t="str">
        <f>IF(INDEX(I.Gas.P3Y1ElectricityGeneration,27)="","",INDEX(I.Gas.P3Y1ElectricityGeneration,27))</f>
        <v/>
      </c>
      <c r="G27661" s="62"/>
      <c r="H27661" s="46" t="str">
        <f>IF(I.Developer.P3=FALSE,"Complete",IF(I.Product.P3GasToPowerStatus&lt;&gt;"Yes","Complete",IF(AND(I.Gas.P3Y1Count&gt;=27,F27661=""),"Incomplete","Complete")))</f>
        <v>Complete</v>
      </c>
      <c r="I27661" s="48" t="s">
        <v>2840</v>
      </c>
    </row>
    <row r="27662" spans="2:9" ht="15" customHeight="1" x14ac:dyDescent="0.25">
      <c r="B27662" s="55" t="s">
        <v>405</v>
      </c>
      <c r="C27662" s="46">
        <v>28</v>
      </c>
      <c r="D27662" s="69" t="s">
        <v>29542</v>
      </c>
      <c r="E27662" s="62"/>
      <c r="F27662" s="62" t="str">
        <f>IF(INDEX(I.Gas.P3Y1ElectricityGeneration,28)="","",INDEX(I.Gas.P3Y1ElectricityGeneration,28))</f>
        <v/>
      </c>
      <c r="G27662" s="62"/>
      <c r="H27662" s="46" t="str">
        <f>IF(I.Developer.P3=FALSE,"Complete",IF(I.Product.P3GasToPowerStatus&lt;&gt;"Yes","Complete",IF(AND(I.Gas.P3Y1Count&gt;=28,F27662=""),"Incomplete","Complete")))</f>
        <v>Complete</v>
      </c>
      <c r="I27662" s="48" t="s">
        <v>2841</v>
      </c>
    </row>
    <row r="27663" spans="2:9" ht="15" customHeight="1" x14ac:dyDescent="0.25">
      <c r="B27663" s="55" t="s">
        <v>405</v>
      </c>
      <c r="C27663" s="46">
        <v>29</v>
      </c>
      <c r="D27663" s="69" t="s">
        <v>29542</v>
      </c>
      <c r="E27663" s="62"/>
      <c r="F27663" s="62" t="str">
        <f>IF(INDEX(I.Gas.P3Y1ElectricityGeneration,29)="","",INDEX(I.Gas.P3Y1ElectricityGeneration,29))</f>
        <v/>
      </c>
      <c r="G27663" s="62"/>
      <c r="H27663" s="46" t="str">
        <f>IF(I.Developer.P3=FALSE,"Complete",IF(I.Product.P3GasToPowerStatus&lt;&gt;"Yes","Complete",IF(AND(I.Gas.P3Y1Count&gt;=29,F27663=""),"Incomplete","Complete")))</f>
        <v>Complete</v>
      </c>
      <c r="I27663" s="48" t="s">
        <v>2842</v>
      </c>
    </row>
    <row r="27664" spans="2:9" ht="15" customHeight="1" x14ac:dyDescent="0.25">
      <c r="B27664" s="55" t="s">
        <v>405</v>
      </c>
      <c r="C27664" s="46">
        <v>30</v>
      </c>
      <c r="D27664" s="69" t="s">
        <v>29542</v>
      </c>
      <c r="E27664" s="62"/>
      <c r="F27664" s="62" t="str">
        <f>IF(INDEX(I.Gas.P3Y1ElectricityGeneration,30)="","",INDEX(I.Gas.P3Y1ElectricityGeneration,30))</f>
        <v/>
      </c>
      <c r="G27664" s="62"/>
      <c r="H27664" s="46" t="str">
        <f>IF(I.Developer.P3=FALSE,"Complete",IF(I.Product.P3GasToPowerStatus&lt;&gt;"Yes","Complete",IF(AND(I.Gas.P3Y1Count&gt;=30,F27664=""),"Incomplete","Complete")))</f>
        <v>Complete</v>
      </c>
      <c r="I27664" s="48" t="s">
        <v>2843</v>
      </c>
    </row>
    <row r="27665" spans="2:9" ht="15" customHeight="1" x14ac:dyDescent="0.25">
      <c r="B27665" s="55" t="s">
        <v>405</v>
      </c>
      <c r="C27665" s="46">
        <v>31</v>
      </c>
      <c r="D27665" s="69" t="s">
        <v>29542</v>
      </c>
      <c r="E27665" s="62"/>
      <c r="F27665" s="62" t="str">
        <f>IF(INDEX(I.Gas.P3Y1ElectricityGeneration,31)="","",INDEX(I.Gas.P3Y1ElectricityGeneration,31))</f>
        <v/>
      </c>
      <c r="G27665" s="62"/>
      <c r="H27665" s="46" t="str">
        <f>IF(I.Developer.P3=FALSE,"Complete",IF(I.Product.P3GasToPowerStatus&lt;&gt;"Yes","Complete",IF(AND(I.Gas.P3Y1Count&gt;=31,F27665=""),"Incomplete","Complete")))</f>
        <v>Complete</v>
      </c>
      <c r="I27665" s="48" t="s">
        <v>2844</v>
      </c>
    </row>
    <row r="27666" spans="2:9" ht="15" customHeight="1" x14ac:dyDescent="0.25">
      <c r="B27666" s="55" t="s">
        <v>405</v>
      </c>
      <c r="C27666" s="46">
        <v>32</v>
      </c>
      <c r="D27666" s="69" t="s">
        <v>29542</v>
      </c>
      <c r="E27666" s="62"/>
      <c r="F27666" s="62" t="str">
        <f>IF(INDEX(I.Gas.P3Y1ElectricityGeneration,32)="","",INDEX(I.Gas.P3Y1ElectricityGeneration,32))</f>
        <v/>
      </c>
      <c r="G27666" s="62"/>
      <c r="H27666" s="46" t="str">
        <f>IF(I.Developer.P3=FALSE,"Complete",IF(I.Product.P3GasToPowerStatus&lt;&gt;"Yes","Complete",IF(AND(I.Gas.P3Y1Count&gt;=32,F27666=""),"Incomplete","Complete")))</f>
        <v>Complete</v>
      </c>
      <c r="I27666" s="48" t="s">
        <v>2845</v>
      </c>
    </row>
    <row r="27667" spans="2:9" ht="15" customHeight="1" x14ac:dyDescent="0.25">
      <c r="B27667" s="55" t="s">
        <v>405</v>
      </c>
      <c r="C27667" s="46">
        <v>33</v>
      </c>
      <c r="D27667" s="69" t="s">
        <v>29542</v>
      </c>
      <c r="E27667" s="62"/>
      <c r="F27667" s="62" t="str">
        <f>IF(INDEX(I.Gas.P3Y1ElectricityGeneration,33)="","",INDEX(I.Gas.P3Y1ElectricityGeneration,33))</f>
        <v/>
      </c>
      <c r="G27667" s="62"/>
      <c r="H27667" s="46" t="str">
        <f>IF(I.Developer.P3=FALSE,"Complete",IF(I.Product.P3GasToPowerStatus&lt;&gt;"Yes","Complete",IF(AND(I.Gas.P3Y1Count&gt;=33,F27667=""),"Incomplete","Complete")))</f>
        <v>Complete</v>
      </c>
      <c r="I27667" s="48" t="s">
        <v>2846</v>
      </c>
    </row>
    <row r="27668" spans="2:9" ht="15" customHeight="1" x14ac:dyDescent="0.25">
      <c r="B27668" s="55" t="s">
        <v>405</v>
      </c>
      <c r="C27668" s="46">
        <v>34</v>
      </c>
      <c r="D27668" s="69" t="s">
        <v>29542</v>
      </c>
      <c r="E27668" s="62"/>
      <c r="F27668" s="62" t="str">
        <f>IF(INDEX(I.Gas.P3Y1ElectricityGeneration,34)="","",INDEX(I.Gas.P3Y1ElectricityGeneration,34))</f>
        <v/>
      </c>
      <c r="G27668" s="62"/>
      <c r="H27668" s="46" t="str">
        <f>IF(I.Developer.P3=FALSE,"Complete",IF(I.Product.P3GasToPowerStatus&lt;&gt;"Yes","Complete",IF(AND(I.Gas.P3Y1Count&gt;=34,F27668=""),"Incomplete","Complete")))</f>
        <v>Complete</v>
      </c>
      <c r="I27668" s="48" t="s">
        <v>2847</v>
      </c>
    </row>
    <row r="27669" spans="2:9" ht="15" customHeight="1" x14ac:dyDescent="0.25">
      <c r="B27669" s="55" t="s">
        <v>405</v>
      </c>
      <c r="C27669" s="46">
        <v>35</v>
      </c>
      <c r="D27669" s="69" t="s">
        <v>29542</v>
      </c>
      <c r="E27669" s="62"/>
      <c r="F27669" s="62" t="str">
        <f>IF(INDEX(I.Gas.P3Y1ElectricityGeneration,35)="","",INDEX(I.Gas.P3Y1ElectricityGeneration,35))</f>
        <v/>
      </c>
      <c r="G27669" s="62"/>
      <c r="H27669" s="46" t="str">
        <f>IF(I.Developer.P3=FALSE,"Complete",IF(I.Product.P3GasToPowerStatus&lt;&gt;"Yes","Complete",IF(AND(I.Gas.P3Y1Count&gt;=35,F27669=""),"Incomplete","Complete")))</f>
        <v>Complete</v>
      </c>
      <c r="I27669" s="48" t="s">
        <v>2848</v>
      </c>
    </row>
    <row r="27670" spans="2:9" ht="15" customHeight="1" x14ac:dyDescent="0.25">
      <c r="B27670" s="55" t="s">
        <v>405</v>
      </c>
      <c r="C27670" s="46">
        <v>36</v>
      </c>
      <c r="D27670" s="69" t="s">
        <v>29542</v>
      </c>
      <c r="E27670" s="62"/>
      <c r="F27670" s="62" t="str">
        <f>IF(INDEX(I.Gas.P3Y1ElectricityGeneration,36)="","",INDEX(I.Gas.P3Y1ElectricityGeneration,36))</f>
        <v/>
      </c>
      <c r="G27670" s="62"/>
      <c r="H27670" s="46" t="str">
        <f>IF(I.Developer.P3=FALSE,"Complete",IF(I.Product.P3GasToPowerStatus&lt;&gt;"Yes","Complete",IF(AND(I.Gas.P3Y1Count&gt;=36,F27670=""),"Incomplete","Complete")))</f>
        <v>Complete</v>
      </c>
      <c r="I27670" s="48" t="s">
        <v>2849</v>
      </c>
    </row>
    <row r="27671" spans="2:9" ht="15" customHeight="1" x14ac:dyDescent="0.25">
      <c r="B27671" s="55" t="s">
        <v>405</v>
      </c>
      <c r="C27671" s="46">
        <v>37</v>
      </c>
      <c r="D27671" s="69" t="s">
        <v>29542</v>
      </c>
      <c r="E27671" s="62"/>
      <c r="F27671" s="62" t="str">
        <f>IF(INDEX(I.Gas.P3Y1ElectricityGeneration,37)="","",INDEX(I.Gas.P3Y1ElectricityGeneration,37))</f>
        <v/>
      </c>
      <c r="G27671" s="62"/>
      <c r="H27671" s="46" t="str">
        <f>IF(I.Developer.P3=FALSE,"Complete",IF(I.Product.P3GasToPowerStatus&lt;&gt;"Yes","Complete",IF(AND(I.Gas.P3Y1Count&gt;=37,F27671=""),"Incomplete","Complete")))</f>
        <v>Complete</v>
      </c>
      <c r="I27671" s="48" t="s">
        <v>2850</v>
      </c>
    </row>
    <row r="27672" spans="2:9" ht="15" customHeight="1" x14ac:dyDescent="0.25">
      <c r="B27672" s="55" t="s">
        <v>405</v>
      </c>
      <c r="C27672" s="46">
        <v>38</v>
      </c>
      <c r="D27672" s="69" t="s">
        <v>29542</v>
      </c>
      <c r="E27672" s="62"/>
      <c r="F27672" s="62" t="str">
        <f>IF(INDEX(I.Gas.P3Y1ElectricityGeneration,38)="","",INDEX(I.Gas.P3Y1ElectricityGeneration,38))</f>
        <v/>
      </c>
      <c r="G27672" s="62"/>
      <c r="H27672" s="46" t="str">
        <f>IF(I.Developer.P3=FALSE,"Complete",IF(I.Product.P3GasToPowerStatus&lt;&gt;"Yes","Complete",IF(AND(I.Gas.P3Y1Count&gt;=38,F27672=""),"Incomplete","Complete")))</f>
        <v>Complete</v>
      </c>
      <c r="I27672" s="48" t="s">
        <v>2851</v>
      </c>
    </row>
    <row r="27673" spans="2:9" ht="15" customHeight="1" x14ac:dyDescent="0.25">
      <c r="B27673" s="55" t="s">
        <v>405</v>
      </c>
      <c r="C27673" s="46">
        <v>39</v>
      </c>
      <c r="D27673" s="69" t="s">
        <v>29542</v>
      </c>
      <c r="E27673" s="62"/>
      <c r="F27673" s="62" t="str">
        <f>IF(INDEX(I.Gas.P3Y1ElectricityGeneration,39)="","",INDEX(I.Gas.P3Y1ElectricityGeneration,39))</f>
        <v/>
      </c>
      <c r="G27673" s="62"/>
      <c r="H27673" s="46" t="str">
        <f>IF(I.Developer.P3=FALSE,"Complete",IF(I.Product.P3GasToPowerStatus&lt;&gt;"Yes","Complete",IF(AND(I.Gas.P3Y1Count&gt;=39,F27673=""),"Incomplete","Complete")))</f>
        <v>Complete</v>
      </c>
      <c r="I27673" s="48" t="s">
        <v>2852</v>
      </c>
    </row>
    <row r="27674" spans="2:9" ht="15" customHeight="1" x14ac:dyDescent="0.25">
      <c r="B27674" s="55" t="s">
        <v>405</v>
      </c>
      <c r="C27674" s="46">
        <v>40</v>
      </c>
      <c r="D27674" s="69" t="s">
        <v>29542</v>
      </c>
      <c r="E27674" s="62"/>
      <c r="F27674" s="62" t="str">
        <f>IF(INDEX(I.Gas.P3Y1ElectricityGeneration,40)="","",INDEX(I.Gas.P3Y1ElectricityGeneration,40))</f>
        <v/>
      </c>
      <c r="G27674" s="62"/>
      <c r="H27674" s="46" t="str">
        <f>IF(I.Developer.P3=FALSE,"Complete",IF(I.Product.P3GasToPowerStatus&lt;&gt;"Yes","Complete",IF(AND(I.Gas.P3Y1Count&gt;=40,F27674=""),"Incomplete","Complete")))</f>
        <v>Complete</v>
      </c>
      <c r="I27674" s="48" t="s">
        <v>2853</v>
      </c>
    </row>
    <row r="27675" spans="2:9" ht="15" customHeight="1" x14ac:dyDescent="0.25">
      <c r="B27675" s="55" t="s">
        <v>405</v>
      </c>
      <c r="C27675" s="46">
        <v>41</v>
      </c>
      <c r="D27675" s="69" t="s">
        <v>29542</v>
      </c>
      <c r="E27675" s="62"/>
      <c r="F27675" s="62" t="str">
        <f>IF(INDEX(I.Gas.P3Y1ElectricityGeneration,41)="","",INDEX(I.Gas.P3Y1ElectricityGeneration,41))</f>
        <v/>
      </c>
      <c r="G27675" s="62"/>
      <c r="H27675" s="46" t="str">
        <f>IF(I.Developer.P3=FALSE,"Complete",IF(I.Product.P3GasToPowerStatus&lt;&gt;"Yes","Complete",IF(AND(I.Gas.P3Y1Count&gt;=41,F27675=""),"Incomplete","Complete")))</f>
        <v>Complete</v>
      </c>
      <c r="I27675" s="48" t="s">
        <v>2854</v>
      </c>
    </row>
    <row r="27676" spans="2:9" ht="15" customHeight="1" x14ac:dyDescent="0.25">
      <c r="B27676" s="55" t="s">
        <v>405</v>
      </c>
      <c r="C27676" s="46">
        <v>42</v>
      </c>
      <c r="D27676" s="69" t="s">
        <v>29542</v>
      </c>
      <c r="E27676" s="62"/>
      <c r="F27676" s="62" t="str">
        <f>IF(INDEX(I.Gas.P3Y1ElectricityGeneration,42)="","",INDEX(I.Gas.P3Y1ElectricityGeneration,42))</f>
        <v/>
      </c>
      <c r="G27676" s="62"/>
      <c r="H27676" s="46" t="str">
        <f>IF(I.Developer.P3=FALSE,"Complete",IF(I.Product.P3GasToPowerStatus&lt;&gt;"Yes","Complete",IF(AND(I.Gas.P3Y1Count&gt;=42,F27676=""),"Incomplete","Complete")))</f>
        <v>Complete</v>
      </c>
      <c r="I27676" s="48" t="s">
        <v>2855</v>
      </c>
    </row>
    <row r="27677" spans="2:9" ht="15" customHeight="1" x14ac:dyDescent="0.25">
      <c r="B27677" s="55" t="s">
        <v>405</v>
      </c>
      <c r="C27677" s="46">
        <v>43</v>
      </c>
      <c r="D27677" s="69" t="s">
        <v>29542</v>
      </c>
      <c r="E27677" s="62"/>
      <c r="F27677" s="62" t="str">
        <f>IF(INDEX(I.Gas.P3Y1ElectricityGeneration,43)="","",INDEX(I.Gas.P3Y1ElectricityGeneration,43))</f>
        <v/>
      </c>
      <c r="G27677" s="62"/>
      <c r="H27677" s="46" t="str">
        <f>IF(I.Developer.P3=FALSE,"Complete",IF(I.Product.P3GasToPowerStatus&lt;&gt;"Yes","Complete",IF(AND(I.Gas.P3Y1Count&gt;=43,F27677=""),"Incomplete","Complete")))</f>
        <v>Complete</v>
      </c>
      <c r="I27677" s="48" t="s">
        <v>2856</v>
      </c>
    </row>
    <row r="27678" spans="2:9" ht="15" customHeight="1" x14ac:dyDescent="0.25">
      <c r="B27678" s="55" t="s">
        <v>405</v>
      </c>
      <c r="C27678" s="46">
        <v>44</v>
      </c>
      <c r="D27678" s="69" t="s">
        <v>29542</v>
      </c>
      <c r="E27678" s="62"/>
      <c r="F27678" s="62" t="str">
        <f>IF(INDEX(I.Gas.P3Y1ElectricityGeneration,44)="","",INDEX(I.Gas.P3Y1ElectricityGeneration,44))</f>
        <v/>
      </c>
      <c r="G27678" s="62"/>
      <c r="H27678" s="46" t="str">
        <f>IF(I.Developer.P3=FALSE,"Complete",IF(I.Product.P3GasToPowerStatus&lt;&gt;"Yes","Complete",IF(AND(I.Gas.P3Y1Count&gt;=44,F27678=""),"Incomplete","Complete")))</f>
        <v>Complete</v>
      </c>
      <c r="I27678" s="48" t="s">
        <v>2857</v>
      </c>
    </row>
    <row r="27679" spans="2:9" ht="15" customHeight="1" x14ac:dyDescent="0.25">
      <c r="B27679" s="55" t="s">
        <v>405</v>
      </c>
      <c r="C27679" s="46">
        <v>45</v>
      </c>
      <c r="D27679" s="69" t="s">
        <v>29542</v>
      </c>
      <c r="E27679" s="62"/>
      <c r="F27679" s="62" t="str">
        <f>IF(INDEX(I.Gas.P3Y1ElectricityGeneration,45)="","",INDEX(I.Gas.P3Y1ElectricityGeneration,45))</f>
        <v/>
      </c>
      <c r="G27679" s="62"/>
      <c r="H27679" s="46" t="str">
        <f>IF(I.Developer.P3=FALSE,"Complete",IF(I.Product.P3GasToPowerStatus&lt;&gt;"Yes","Complete",IF(AND(I.Gas.P3Y1Count&gt;=45,F27679=""),"Incomplete","Complete")))</f>
        <v>Complete</v>
      </c>
      <c r="I27679" s="48" t="s">
        <v>2858</v>
      </c>
    </row>
    <row r="27680" spans="2:9" ht="15" customHeight="1" x14ac:dyDescent="0.25">
      <c r="B27680" s="55" t="s">
        <v>405</v>
      </c>
      <c r="C27680" s="46">
        <v>46</v>
      </c>
      <c r="D27680" s="69" t="s">
        <v>29542</v>
      </c>
      <c r="E27680" s="62"/>
      <c r="F27680" s="62" t="str">
        <f>IF(INDEX(I.Gas.P3Y1ElectricityGeneration,46)="","",INDEX(I.Gas.P3Y1ElectricityGeneration,46))</f>
        <v/>
      </c>
      <c r="G27680" s="62"/>
      <c r="H27680" s="46" t="str">
        <f>IF(I.Developer.P3=FALSE,"Complete",IF(I.Product.P3GasToPowerStatus&lt;&gt;"Yes","Complete",IF(AND(I.Gas.P3Y1Count&gt;=46,F27680=""),"Incomplete","Complete")))</f>
        <v>Complete</v>
      </c>
      <c r="I27680" s="48" t="s">
        <v>2859</v>
      </c>
    </row>
    <row r="27681" spans="2:9" ht="15" customHeight="1" x14ac:dyDescent="0.25">
      <c r="B27681" s="55" t="s">
        <v>405</v>
      </c>
      <c r="C27681" s="46">
        <v>47</v>
      </c>
      <c r="D27681" s="69" t="s">
        <v>29542</v>
      </c>
      <c r="E27681" s="62"/>
      <c r="F27681" s="62" t="str">
        <f>IF(INDEX(I.Gas.P3Y1ElectricityGeneration,47)="","",INDEX(I.Gas.P3Y1ElectricityGeneration,47))</f>
        <v/>
      </c>
      <c r="G27681" s="62"/>
      <c r="H27681" s="46" t="str">
        <f>IF(I.Developer.P3=FALSE,"Complete",IF(I.Product.P3GasToPowerStatus&lt;&gt;"Yes","Complete",IF(AND(I.Gas.P3Y1Count&gt;=47,F27681=""),"Incomplete","Complete")))</f>
        <v>Complete</v>
      </c>
      <c r="I27681" s="48" t="s">
        <v>2860</v>
      </c>
    </row>
    <row r="27682" spans="2:9" ht="15" customHeight="1" x14ac:dyDescent="0.25">
      <c r="B27682" s="55" t="s">
        <v>405</v>
      </c>
      <c r="C27682" s="46">
        <v>48</v>
      </c>
      <c r="D27682" s="69" t="s">
        <v>29542</v>
      </c>
      <c r="E27682" s="62"/>
      <c r="F27682" s="62" t="str">
        <f>IF(INDEX(I.Gas.P3Y1ElectricityGeneration,48)="","",INDEX(I.Gas.P3Y1ElectricityGeneration,48))</f>
        <v/>
      </c>
      <c r="G27682" s="62"/>
      <c r="H27682" s="46" t="str">
        <f>IF(I.Developer.P3=FALSE,"Complete",IF(I.Product.P3GasToPowerStatus&lt;&gt;"Yes","Complete",IF(AND(I.Gas.P3Y1Count&gt;=48,F27682=""),"Incomplete","Complete")))</f>
        <v>Complete</v>
      </c>
      <c r="I27682" s="48" t="s">
        <v>2861</v>
      </c>
    </row>
    <row r="27683" spans="2:9" ht="15" customHeight="1" x14ac:dyDescent="0.25">
      <c r="B27683" s="55" t="s">
        <v>405</v>
      </c>
      <c r="C27683" s="46">
        <v>49</v>
      </c>
      <c r="D27683" s="69" t="s">
        <v>29542</v>
      </c>
      <c r="E27683" s="62"/>
      <c r="F27683" s="62" t="str">
        <f>IF(INDEX(I.Gas.P3Y1ElectricityGeneration,49)="","",INDEX(I.Gas.P3Y1ElectricityGeneration,49))</f>
        <v/>
      </c>
      <c r="G27683" s="62"/>
      <c r="H27683" s="46" t="str">
        <f>IF(I.Developer.P3=FALSE,"Complete",IF(I.Product.P3GasToPowerStatus&lt;&gt;"Yes","Complete",IF(AND(I.Gas.P3Y1Count&gt;=49,F27683=""),"Incomplete","Complete")))</f>
        <v>Complete</v>
      </c>
      <c r="I27683" s="48" t="s">
        <v>2862</v>
      </c>
    </row>
    <row r="27684" spans="2:9" ht="15" customHeight="1" x14ac:dyDescent="0.25">
      <c r="B27684" s="56" t="s">
        <v>405</v>
      </c>
      <c r="C27684" s="57">
        <v>50</v>
      </c>
      <c r="D27684" s="71" t="s">
        <v>29542</v>
      </c>
      <c r="E27684" s="61"/>
      <c r="F27684" s="61" t="str">
        <f>IF(INDEX(I.Gas.P3Y1ElectricityGeneration,50)="","",INDEX(I.Gas.P3Y1ElectricityGeneration,50))</f>
        <v/>
      </c>
      <c r="G27684" s="61"/>
      <c r="H27684" s="57" t="str">
        <f>IF(I.Developer.P3=FALSE,"Complete",IF(I.Product.P3GasToPowerStatus&lt;&gt;"Yes","Complete",IF(AND(I.Gas.P3Y1Count&gt;=50,F27684=""),"Incomplete","Complete")))</f>
        <v>Complete</v>
      </c>
      <c r="I27684" s="49" t="s">
        <v>2863</v>
      </c>
    </row>
    <row r="27685" spans="2:9" ht="15" customHeight="1" x14ac:dyDescent="0.25">
      <c r="B27685" s="55" t="s">
        <v>406</v>
      </c>
      <c r="C27685" s="46">
        <v>1</v>
      </c>
      <c r="D27685" s="69" t="s">
        <v>29543</v>
      </c>
      <c r="E27685" s="62"/>
      <c r="F27685" s="62" t="str">
        <f>IF(INDEX(I.Gas.P3Y1C1V1,1)="","",INDEX(I.Gas.P3Y1C1V1,1))</f>
        <v/>
      </c>
      <c r="G27685" s="62"/>
      <c r="H27685" s="46" t="str">
        <f>IF(OR(I.Developer.P3=FALSE,I.Facility.StandardPart&lt;&gt;"Part 2"),"Complete",IF(I.Product.P3GasToPowerStatus&lt;&gt;"Yes","Complete",IF(AND(I.Gas.P3Y1Count&gt;=1,F27685=""),"Incomplete","Complete")))</f>
        <v>Complete</v>
      </c>
      <c r="I27685" s="48" t="s">
        <v>2864</v>
      </c>
    </row>
    <row r="27686" spans="2:9" ht="15" customHeight="1" x14ac:dyDescent="0.25">
      <c r="B27686" s="55" t="s">
        <v>406</v>
      </c>
      <c r="C27686" s="46">
        <v>2</v>
      </c>
      <c r="D27686" s="69" t="s">
        <v>29543</v>
      </c>
      <c r="E27686" s="62"/>
      <c r="F27686" s="62" t="str">
        <f>IF(INDEX(I.Gas.P3Y1C1V1,2)="","",INDEX(I.Gas.P3Y1C1V1,2))</f>
        <v/>
      </c>
      <c r="G27686" s="62"/>
      <c r="H27686" s="46" t="str">
        <f>IF(OR(I.Developer.P3=FALSE,I.Facility.StandardPart&lt;&gt;"Part 2"),"Complete",IF(I.Product.P3GasToPowerStatus&lt;&gt;"Yes","Complete",IF(AND(I.Gas.P3Y1Count&gt;=2,F27686=""),"Incomplete","Complete")))</f>
        <v>Complete</v>
      </c>
      <c r="I27686" s="48" t="s">
        <v>2865</v>
      </c>
    </row>
    <row r="27687" spans="2:9" ht="15" customHeight="1" x14ac:dyDescent="0.25">
      <c r="B27687" s="55" t="s">
        <v>406</v>
      </c>
      <c r="C27687" s="46">
        <v>3</v>
      </c>
      <c r="D27687" s="69" t="s">
        <v>29543</v>
      </c>
      <c r="E27687" s="62"/>
      <c r="F27687" s="62" t="str">
        <f>IF(INDEX(I.Gas.P3Y1C1V1,3)="","",INDEX(I.Gas.P3Y1C1V1,3))</f>
        <v/>
      </c>
      <c r="G27687" s="62"/>
      <c r="H27687" s="46" t="str">
        <f>IF(OR(I.Developer.P3=FALSE,I.Facility.StandardPart&lt;&gt;"Part 2"),"Complete",IF(I.Product.P3GasToPowerStatus&lt;&gt;"Yes","Complete",IF(AND(I.Gas.P3Y1Count&gt;=3,F27687=""),"Incomplete","Complete")))</f>
        <v>Complete</v>
      </c>
      <c r="I27687" s="48" t="s">
        <v>2866</v>
      </c>
    </row>
    <row r="27688" spans="2:9" ht="15" customHeight="1" x14ac:dyDescent="0.25">
      <c r="B27688" s="55" t="s">
        <v>406</v>
      </c>
      <c r="C27688" s="46">
        <v>4</v>
      </c>
      <c r="D27688" s="69" t="s">
        <v>29543</v>
      </c>
      <c r="E27688" s="62"/>
      <c r="F27688" s="62" t="str">
        <f>IF(INDEX(I.Gas.P3Y1C1V1,4)="","",INDEX(I.Gas.P3Y1C1V1,4))</f>
        <v/>
      </c>
      <c r="G27688" s="62"/>
      <c r="H27688" s="46" t="str">
        <f>IF(OR(I.Developer.P3=FALSE,I.Facility.StandardPart&lt;&gt;"Part 2"),"Complete",IF(I.Product.P3GasToPowerStatus&lt;&gt;"Yes","Complete",IF(AND(I.Gas.P3Y1Count&gt;=4,F27688=""),"Incomplete","Complete")))</f>
        <v>Complete</v>
      </c>
      <c r="I27688" s="48" t="s">
        <v>2867</v>
      </c>
    </row>
    <row r="27689" spans="2:9" ht="15" customHeight="1" x14ac:dyDescent="0.25">
      <c r="B27689" s="55" t="s">
        <v>406</v>
      </c>
      <c r="C27689" s="46">
        <v>5</v>
      </c>
      <c r="D27689" s="69" t="s">
        <v>29543</v>
      </c>
      <c r="E27689" s="62"/>
      <c r="F27689" s="62" t="str">
        <f>IF(INDEX(I.Gas.P3Y1C1V1,5)="","",INDEX(I.Gas.P3Y1C1V1,5))</f>
        <v/>
      </c>
      <c r="G27689" s="62"/>
      <c r="H27689" s="46" t="str">
        <f>IF(OR(I.Developer.P3=FALSE,I.Facility.StandardPart&lt;&gt;"Part 2"),"Complete",IF(I.Product.P3GasToPowerStatus&lt;&gt;"Yes","Complete",IF(AND(I.Gas.P3Y1Count&gt;=5,F27689=""),"Incomplete","Complete")))</f>
        <v>Complete</v>
      </c>
      <c r="I27689" s="48" t="s">
        <v>2868</v>
      </c>
    </row>
    <row r="27690" spans="2:9" ht="15" customHeight="1" x14ac:dyDescent="0.25">
      <c r="B27690" s="55" t="s">
        <v>406</v>
      </c>
      <c r="C27690" s="46">
        <v>6</v>
      </c>
      <c r="D27690" s="69" t="s">
        <v>29543</v>
      </c>
      <c r="E27690" s="62"/>
      <c r="F27690" s="62" t="str">
        <f>IF(INDEX(I.Gas.P3Y1C1V1,6)="","",INDEX(I.Gas.P3Y1C1V1,6))</f>
        <v/>
      </c>
      <c r="G27690" s="62"/>
      <c r="H27690" s="46" t="str">
        <f>IF(OR(I.Developer.P3=FALSE,I.Facility.StandardPart&lt;&gt;"Part 2"),"Complete",IF(I.Product.P3GasToPowerStatus&lt;&gt;"Yes","Complete",IF(AND(I.Gas.P3Y1Count&gt;=6,F27690=""),"Incomplete","Complete")))</f>
        <v>Complete</v>
      </c>
      <c r="I27690" s="48" t="s">
        <v>2869</v>
      </c>
    </row>
    <row r="27691" spans="2:9" ht="15" customHeight="1" x14ac:dyDescent="0.25">
      <c r="B27691" s="55" t="s">
        <v>406</v>
      </c>
      <c r="C27691" s="46">
        <v>7</v>
      </c>
      <c r="D27691" s="69" t="s">
        <v>29543</v>
      </c>
      <c r="E27691" s="62"/>
      <c r="F27691" s="62" t="str">
        <f>IF(INDEX(I.Gas.P3Y1C1V1,7)="","",INDEX(I.Gas.P3Y1C1V1,7))</f>
        <v/>
      </c>
      <c r="G27691" s="62"/>
      <c r="H27691" s="46" t="str">
        <f>IF(OR(I.Developer.P3=FALSE,I.Facility.StandardPart&lt;&gt;"Part 2"),"Complete",IF(I.Product.P3GasToPowerStatus&lt;&gt;"Yes","Complete",IF(AND(I.Gas.P3Y1Count&gt;=7,F27691=""),"Incomplete","Complete")))</f>
        <v>Complete</v>
      </c>
      <c r="I27691" s="48" t="s">
        <v>2870</v>
      </c>
    </row>
    <row r="27692" spans="2:9" ht="15" customHeight="1" x14ac:dyDescent="0.25">
      <c r="B27692" s="55" t="s">
        <v>406</v>
      </c>
      <c r="C27692" s="46">
        <v>8</v>
      </c>
      <c r="D27692" s="69" t="s">
        <v>29543</v>
      </c>
      <c r="E27692" s="62"/>
      <c r="F27692" s="62" t="str">
        <f>IF(INDEX(I.Gas.P3Y1C1V1,8)="","",INDEX(I.Gas.P3Y1C1V1,8))</f>
        <v/>
      </c>
      <c r="G27692" s="62"/>
      <c r="H27692" s="46" t="str">
        <f>IF(OR(I.Developer.P3=FALSE,I.Facility.StandardPart&lt;&gt;"Part 2"),"Complete",IF(I.Product.P3GasToPowerStatus&lt;&gt;"Yes","Complete",IF(AND(I.Gas.P3Y1Count&gt;=8,F27692=""),"Incomplete","Complete")))</f>
        <v>Complete</v>
      </c>
      <c r="I27692" s="48" t="s">
        <v>2871</v>
      </c>
    </row>
    <row r="27693" spans="2:9" ht="15" customHeight="1" x14ac:dyDescent="0.25">
      <c r="B27693" s="55" t="s">
        <v>406</v>
      </c>
      <c r="C27693" s="46">
        <v>9</v>
      </c>
      <c r="D27693" s="69" t="s">
        <v>29543</v>
      </c>
      <c r="E27693" s="62"/>
      <c r="F27693" s="62" t="str">
        <f>IF(INDEX(I.Gas.P3Y1C1V1,9)="","",INDEX(I.Gas.P3Y1C1V1,9))</f>
        <v/>
      </c>
      <c r="G27693" s="62"/>
      <c r="H27693" s="46" t="str">
        <f>IF(OR(I.Developer.P3=FALSE,I.Facility.StandardPart&lt;&gt;"Part 2"),"Complete",IF(I.Product.P3GasToPowerStatus&lt;&gt;"Yes","Complete",IF(AND(I.Gas.P3Y1Count&gt;=9,F27693=""),"Incomplete","Complete")))</f>
        <v>Complete</v>
      </c>
      <c r="I27693" s="48" t="s">
        <v>2872</v>
      </c>
    </row>
    <row r="27694" spans="2:9" ht="15" customHeight="1" x14ac:dyDescent="0.25">
      <c r="B27694" s="55" t="s">
        <v>406</v>
      </c>
      <c r="C27694" s="46">
        <v>10</v>
      </c>
      <c r="D27694" s="69" t="s">
        <v>29543</v>
      </c>
      <c r="E27694" s="62"/>
      <c r="F27694" s="62" t="str">
        <f>IF(INDEX(I.Gas.P3Y1C1V1,10)="","",INDEX(I.Gas.P3Y1C1V1,10))</f>
        <v/>
      </c>
      <c r="G27694" s="62"/>
      <c r="H27694" s="46" t="str">
        <f>IF(OR(I.Developer.P3=FALSE,I.Facility.StandardPart&lt;&gt;"Part 2"),"Complete",IF(I.Product.P3GasToPowerStatus&lt;&gt;"Yes","Complete",IF(AND(I.Gas.P3Y1Count&gt;=10,F27694=""),"Incomplete","Complete")))</f>
        <v>Complete</v>
      </c>
      <c r="I27694" s="48" t="s">
        <v>2873</v>
      </c>
    </row>
    <row r="27695" spans="2:9" ht="15" customHeight="1" x14ac:dyDescent="0.25">
      <c r="B27695" s="55" t="s">
        <v>406</v>
      </c>
      <c r="C27695" s="46">
        <v>11</v>
      </c>
      <c r="D27695" s="69" t="s">
        <v>29543</v>
      </c>
      <c r="E27695" s="62"/>
      <c r="F27695" s="62" t="str">
        <f>IF(INDEX(I.Gas.P3Y1C1V1,11)="","",INDEX(I.Gas.P3Y1C1V1,11))</f>
        <v/>
      </c>
      <c r="G27695" s="62"/>
      <c r="H27695" s="46" t="str">
        <f>IF(OR(I.Developer.P3=FALSE,I.Facility.StandardPart&lt;&gt;"Part 2"),"Complete",IF(I.Product.P3GasToPowerStatus&lt;&gt;"Yes","Complete",IF(AND(I.Gas.P3Y1Count&gt;=11,F27695=""),"Incomplete","Complete")))</f>
        <v>Complete</v>
      </c>
      <c r="I27695" s="48" t="s">
        <v>2874</v>
      </c>
    </row>
    <row r="27696" spans="2:9" ht="15" customHeight="1" x14ac:dyDescent="0.25">
      <c r="B27696" s="55" t="s">
        <v>406</v>
      </c>
      <c r="C27696" s="46">
        <v>12</v>
      </c>
      <c r="D27696" s="69" t="s">
        <v>29543</v>
      </c>
      <c r="E27696" s="62"/>
      <c r="F27696" s="62" t="str">
        <f>IF(INDEX(I.Gas.P3Y1C1V1,12)="","",INDEX(I.Gas.P3Y1C1V1,12))</f>
        <v/>
      </c>
      <c r="G27696" s="62"/>
      <c r="H27696" s="46" t="str">
        <f>IF(OR(I.Developer.P3=FALSE,I.Facility.StandardPart&lt;&gt;"Part 2"),"Complete",IF(I.Product.P3GasToPowerStatus&lt;&gt;"Yes","Complete",IF(AND(I.Gas.P3Y1Count&gt;=12,F27696=""),"Incomplete","Complete")))</f>
        <v>Complete</v>
      </c>
      <c r="I27696" s="48" t="s">
        <v>2875</v>
      </c>
    </row>
    <row r="27697" spans="2:9" ht="15" customHeight="1" x14ac:dyDescent="0.25">
      <c r="B27697" s="55" t="s">
        <v>406</v>
      </c>
      <c r="C27697" s="46">
        <v>13</v>
      </c>
      <c r="D27697" s="69" t="s">
        <v>29543</v>
      </c>
      <c r="E27697" s="62"/>
      <c r="F27697" s="62" t="str">
        <f>IF(INDEX(I.Gas.P3Y1C1V1,13)="","",INDEX(I.Gas.P3Y1C1V1,13))</f>
        <v/>
      </c>
      <c r="G27697" s="62"/>
      <c r="H27697" s="46" t="str">
        <f>IF(OR(I.Developer.P3=FALSE,I.Facility.StandardPart&lt;&gt;"Part 2"),"Complete",IF(I.Product.P3GasToPowerStatus&lt;&gt;"Yes","Complete",IF(AND(I.Gas.P3Y1Count&gt;=13,F27697=""),"Incomplete","Complete")))</f>
        <v>Complete</v>
      </c>
      <c r="I27697" s="48" t="s">
        <v>2876</v>
      </c>
    </row>
    <row r="27698" spans="2:9" ht="15" customHeight="1" x14ac:dyDescent="0.25">
      <c r="B27698" s="55" t="s">
        <v>406</v>
      </c>
      <c r="C27698" s="46">
        <v>14</v>
      </c>
      <c r="D27698" s="69" t="s">
        <v>29543</v>
      </c>
      <c r="E27698" s="62"/>
      <c r="F27698" s="62" t="str">
        <f>IF(INDEX(I.Gas.P3Y1C1V1,14)="","",INDEX(I.Gas.P3Y1C1V1,14))</f>
        <v/>
      </c>
      <c r="G27698" s="62"/>
      <c r="H27698" s="46" t="str">
        <f>IF(OR(I.Developer.P3=FALSE,I.Facility.StandardPart&lt;&gt;"Part 2"),"Complete",IF(I.Product.P3GasToPowerStatus&lt;&gt;"Yes","Complete",IF(AND(I.Gas.P3Y1Count&gt;=14,F27698=""),"Incomplete","Complete")))</f>
        <v>Complete</v>
      </c>
      <c r="I27698" s="48" t="s">
        <v>2877</v>
      </c>
    </row>
    <row r="27699" spans="2:9" ht="15" customHeight="1" x14ac:dyDescent="0.25">
      <c r="B27699" s="55" t="s">
        <v>406</v>
      </c>
      <c r="C27699" s="46">
        <v>15</v>
      </c>
      <c r="D27699" s="69" t="s">
        <v>29543</v>
      </c>
      <c r="E27699" s="62"/>
      <c r="F27699" s="62" t="str">
        <f>IF(INDEX(I.Gas.P3Y1C1V1,15)="","",INDEX(I.Gas.P3Y1C1V1,15))</f>
        <v/>
      </c>
      <c r="G27699" s="62"/>
      <c r="H27699" s="46" t="str">
        <f>IF(OR(I.Developer.P3=FALSE,I.Facility.StandardPart&lt;&gt;"Part 2"),"Complete",IF(I.Product.P3GasToPowerStatus&lt;&gt;"Yes","Complete",IF(AND(I.Gas.P3Y1Count&gt;=15,F27699=""),"Incomplete","Complete")))</f>
        <v>Complete</v>
      </c>
      <c r="I27699" s="48" t="s">
        <v>2878</v>
      </c>
    </row>
    <row r="27700" spans="2:9" ht="15" customHeight="1" x14ac:dyDescent="0.25">
      <c r="B27700" s="55" t="s">
        <v>406</v>
      </c>
      <c r="C27700" s="46">
        <v>16</v>
      </c>
      <c r="D27700" s="69" t="s">
        <v>29543</v>
      </c>
      <c r="E27700" s="62"/>
      <c r="F27700" s="62" t="str">
        <f>IF(INDEX(I.Gas.P3Y1C1V1,16)="","",INDEX(I.Gas.P3Y1C1V1,16))</f>
        <v/>
      </c>
      <c r="G27700" s="62"/>
      <c r="H27700" s="46" t="str">
        <f>IF(OR(I.Developer.P3=FALSE,I.Facility.StandardPart&lt;&gt;"Part 2"),"Complete",IF(I.Product.P3GasToPowerStatus&lt;&gt;"Yes","Complete",IF(AND(I.Gas.P3Y1Count&gt;=16,F27700=""),"Incomplete","Complete")))</f>
        <v>Complete</v>
      </c>
      <c r="I27700" s="48" t="s">
        <v>2879</v>
      </c>
    </row>
    <row r="27701" spans="2:9" ht="15" customHeight="1" x14ac:dyDescent="0.25">
      <c r="B27701" s="55" t="s">
        <v>406</v>
      </c>
      <c r="C27701" s="46">
        <v>17</v>
      </c>
      <c r="D27701" s="69" t="s">
        <v>29543</v>
      </c>
      <c r="E27701" s="62"/>
      <c r="F27701" s="62" t="str">
        <f>IF(INDEX(I.Gas.P3Y1C1V1,17)="","",INDEX(I.Gas.P3Y1C1V1,17))</f>
        <v/>
      </c>
      <c r="G27701" s="62"/>
      <c r="H27701" s="46" t="str">
        <f>IF(OR(I.Developer.P3=FALSE,I.Facility.StandardPart&lt;&gt;"Part 2"),"Complete",IF(I.Product.P3GasToPowerStatus&lt;&gt;"Yes","Complete",IF(AND(I.Gas.P3Y1Count&gt;=17,F27701=""),"Incomplete","Complete")))</f>
        <v>Complete</v>
      </c>
      <c r="I27701" s="48" t="s">
        <v>2880</v>
      </c>
    </row>
    <row r="27702" spans="2:9" ht="15" customHeight="1" x14ac:dyDescent="0.25">
      <c r="B27702" s="55" t="s">
        <v>406</v>
      </c>
      <c r="C27702" s="46">
        <v>18</v>
      </c>
      <c r="D27702" s="69" t="s">
        <v>29543</v>
      </c>
      <c r="E27702" s="62"/>
      <c r="F27702" s="62" t="str">
        <f>IF(INDEX(I.Gas.P3Y1C1V1,18)="","",INDEX(I.Gas.P3Y1C1V1,18))</f>
        <v/>
      </c>
      <c r="G27702" s="62"/>
      <c r="H27702" s="46" t="str">
        <f>IF(OR(I.Developer.P3=FALSE,I.Facility.StandardPart&lt;&gt;"Part 2"),"Complete",IF(I.Product.P3GasToPowerStatus&lt;&gt;"Yes","Complete",IF(AND(I.Gas.P3Y1Count&gt;=18,F27702=""),"Incomplete","Complete")))</f>
        <v>Complete</v>
      </c>
      <c r="I27702" s="48" t="s">
        <v>2881</v>
      </c>
    </row>
    <row r="27703" spans="2:9" ht="15" customHeight="1" x14ac:dyDescent="0.25">
      <c r="B27703" s="55" t="s">
        <v>406</v>
      </c>
      <c r="C27703" s="46">
        <v>19</v>
      </c>
      <c r="D27703" s="69" t="s">
        <v>29543</v>
      </c>
      <c r="E27703" s="62"/>
      <c r="F27703" s="62" t="str">
        <f>IF(INDEX(I.Gas.P3Y1C1V1,19)="","",INDEX(I.Gas.P3Y1C1V1,19))</f>
        <v/>
      </c>
      <c r="G27703" s="62"/>
      <c r="H27703" s="46" t="str">
        <f>IF(OR(I.Developer.P3=FALSE,I.Facility.StandardPart&lt;&gt;"Part 2"),"Complete",IF(I.Product.P3GasToPowerStatus&lt;&gt;"Yes","Complete",IF(AND(I.Gas.P3Y1Count&gt;=19,F27703=""),"Incomplete","Complete")))</f>
        <v>Complete</v>
      </c>
      <c r="I27703" s="48" t="s">
        <v>2882</v>
      </c>
    </row>
    <row r="27704" spans="2:9" ht="15" customHeight="1" x14ac:dyDescent="0.25">
      <c r="B27704" s="55" t="s">
        <v>406</v>
      </c>
      <c r="C27704" s="46">
        <v>20</v>
      </c>
      <c r="D27704" s="69" t="s">
        <v>29543</v>
      </c>
      <c r="E27704" s="62"/>
      <c r="F27704" s="62" t="str">
        <f>IF(INDEX(I.Gas.P3Y1C1V1,20)="","",INDEX(I.Gas.P3Y1C1V1,20))</f>
        <v/>
      </c>
      <c r="G27704" s="62"/>
      <c r="H27704" s="46" t="str">
        <f>IF(OR(I.Developer.P3=FALSE,I.Facility.StandardPart&lt;&gt;"Part 2"),"Complete",IF(I.Product.P3GasToPowerStatus&lt;&gt;"Yes","Complete",IF(AND(I.Gas.P3Y1Count&gt;=20,F27704=""),"Incomplete","Complete")))</f>
        <v>Complete</v>
      </c>
      <c r="I27704" s="48" t="s">
        <v>2883</v>
      </c>
    </row>
    <row r="27705" spans="2:9" ht="15" customHeight="1" x14ac:dyDescent="0.25">
      <c r="B27705" s="55" t="s">
        <v>406</v>
      </c>
      <c r="C27705" s="46">
        <v>21</v>
      </c>
      <c r="D27705" s="69" t="s">
        <v>29543</v>
      </c>
      <c r="E27705" s="62"/>
      <c r="F27705" s="62" t="str">
        <f>IF(INDEX(I.Gas.P3Y1C1V1,21)="","",INDEX(I.Gas.P3Y1C1V1,21))</f>
        <v/>
      </c>
      <c r="G27705" s="62"/>
      <c r="H27705" s="46" t="str">
        <f>IF(OR(I.Developer.P3=FALSE,I.Facility.StandardPart&lt;&gt;"Part 2"),"Complete",IF(I.Product.P3GasToPowerStatus&lt;&gt;"Yes","Complete",IF(AND(I.Gas.P3Y1Count&gt;=21,F27705=""),"Incomplete","Complete")))</f>
        <v>Complete</v>
      </c>
      <c r="I27705" s="48" t="s">
        <v>2884</v>
      </c>
    </row>
    <row r="27706" spans="2:9" ht="15" customHeight="1" x14ac:dyDescent="0.25">
      <c r="B27706" s="55" t="s">
        <v>406</v>
      </c>
      <c r="C27706" s="46">
        <v>22</v>
      </c>
      <c r="D27706" s="69" t="s">
        <v>29543</v>
      </c>
      <c r="E27706" s="62"/>
      <c r="F27706" s="62" t="str">
        <f>IF(INDEX(I.Gas.P3Y1C1V1,22)="","",INDEX(I.Gas.P3Y1C1V1,22))</f>
        <v/>
      </c>
      <c r="G27706" s="62"/>
      <c r="H27706" s="46" t="str">
        <f>IF(OR(I.Developer.P3=FALSE,I.Facility.StandardPart&lt;&gt;"Part 2"),"Complete",IF(I.Product.P3GasToPowerStatus&lt;&gt;"Yes","Complete",IF(AND(I.Gas.P3Y1Count&gt;=22,F27706=""),"Incomplete","Complete")))</f>
        <v>Complete</v>
      </c>
      <c r="I27706" s="48" t="s">
        <v>2885</v>
      </c>
    </row>
    <row r="27707" spans="2:9" ht="15" customHeight="1" x14ac:dyDescent="0.25">
      <c r="B27707" s="55" t="s">
        <v>406</v>
      </c>
      <c r="C27707" s="46">
        <v>23</v>
      </c>
      <c r="D27707" s="69" t="s">
        <v>29543</v>
      </c>
      <c r="E27707" s="62"/>
      <c r="F27707" s="62" t="str">
        <f>IF(INDEX(I.Gas.P3Y1C1V1,23)="","",INDEX(I.Gas.P3Y1C1V1,23))</f>
        <v/>
      </c>
      <c r="G27707" s="62"/>
      <c r="H27707" s="46" t="str">
        <f>IF(OR(I.Developer.P3=FALSE,I.Facility.StandardPart&lt;&gt;"Part 2"),"Complete",IF(I.Product.P3GasToPowerStatus&lt;&gt;"Yes","Complete",IF(AND(I.Gas.P3Y1Count&gt;=23,F27707=""),"Incomplete","Complete")))</f>
        <v>Complete</v>
      </c>
      <c r="I27707" s="48" t="s">
        <v>2886</v>
      </c>
    </row>
    <row r="27708" spans="2:9" ht="15" customHeight="1" x14ac:dyDescent="0.25">
      <c r="B27708" s="55" t="s">
        <v>406</v>
      </c>
      <c r="C27708" s="46">
        <v>24</v>
      </c>
      <c r="D27708" s="69" t="s">
        <v>29543</v>
      </c>
      <c r="E27708" s="62"/>
      <c r="F27708" s="62" t="str">
        <f>IF(INDEX(I.Gas.P3Y1C1V1,24)="","",INDEX(I.Gas.P3Y1C1V1,24))</f>
        <v/>
      </c>
      <c r="G27708" s="62"/>
      <c r="H27708" s="46" t="str">
        <f>IF(OR(I.Developer.P3=FALSE,I.Facility.StandardPart&lt;&gt;"Part 2"),"Complete",IF(I.Product.P3GasToPowerStatus&lt;&gt;"Yes","Complete",IF(AND(I.Gas.P3Y1Count&gt;=24,F27708=""),"Incomplete","Complete")))</f>
        <v>Complete</v>
      </c>
      <c r="I27708" s="48" t="s">
        <v>2887</v>
      </c>
    </row>
    <row r="27709" spans="2:9" ht="15" customHeight="1" x14ac:dyDescent="0.25">
      <c r="B27709" s="55" t="s">
        <v>406</v>
      </c>
      <c r="C27709" s="46">
        <v>25</v>
      </c>
      <c r="D27709" s="69" t="s">
        <v>29543</v>
      </c>
      <c r="E27709" s="62"/>
      <c r="F27709" s="62" t="str">
        <f>IF(INDEX(I.Gas.P3Y1C1V1,25)="","",INDEX(I.Gas.P3Y1C1V1,25))</f>
        <v/>
      </c>
      <c r="G27709" s="62"/>
      <c r="H27709" s="46" t="str">
        <f>IF(OR(I.Developer.P3=FALSE,I.Facility.StandardPart&lt;&gt;"Part 2"),"Complete",IF(I.Product.P3GasToPowerStatus&lt;&gt;"Yes","Complete",IF(AND(I.Gas.P3Y1Count&gt;=25,F27709=""),"Incomplete","Complete")))</f>
        <v>Complete</v>
      </c>
      <c r="I27709" s="48" t="s">
        <v>2888</v>
      </c>
    </row>
    <row r="27710" spans="2:9" ht="15" customHeight="1" x14ac:dyDescent="0.25">
      <c r="B27710" s="55" t="s">
        <v>406</v>
      </c>
      <c r="C27710" s="46">
        <v>26</v>
      </c>
      <c r="D27710" s="69" t="s">
        <v>29543</v>
      </c>
      <c r="E27710" s="62"/>
      <c r="F27710" s="62" t="str">
        <f>IF(INDEX(I.Gas.P3Y1C1V1,26)="","",INDEX(I.Gas.P3Y1C1V1,26))</f>
        <v/>
      </c>
      <c r="G27710" s="62"/>
      <c r="H27710" s="46" t="str">
        <f>IF(OR(I.Developer.P3=FALSE,I.Facility.StandardPart&lt;&gt;"Part 2"),"Complete",IF(I.Product.P3GasToPowerStatus&lt;&gt;"Yes","Complete",IF(AND(I.Gas.P3Y1Count&gt;=26,F27710=""),"Incomplete","Complete")))</f>
        <v>Complete</v>
      </c>
      <c r="I27710" s="48" t="s">
        <v>2889</v>
      </c>
    </row>
    <row r="27711" spans="2:9" ht="15" customHeight="1" x14ac:dyDescent="0.25">
      <c r="B27711" s="55" t="s">
        <v>406</v>
      </c>
      <c r="C27711" s="46">
        <v>27</v>
      </c>
      <c r="D27711" s="69" t="s">
        <v>29543</v>
      </c>
      <c r="E27711" s="62"/>
      <c r="F27711" s="62" t="str">
        <f>IF(INDEX(I.Gas.P3Y1C1V1,27)="","",INDEX(I.Gas.P3Y1C1V1,27))</f>
        <v/>
      </c>
      <c r="G27711" s="62"/>
      <c r="H27711" s="46" t="str">
        <f>IF(OR(I.Developer.P3=FALSE,I.Facility.StandardPart&lt;&gt;"Part 2"),"Complete",IF(I.Product.P3GasToPowerStatus&lt;&gt;"Yes","Complete",IF(AND(I.Gas.P3Y1Count&gt;=27,F27711=""),"Incomplete","Complete")))</f>
        <v>Complete</v>
      </c>
      <c r="I27711" s="48" t="s">
        <v>2890</v>
      </c>
    </row>
    <row r="27712" spans="2:9" ht="15" customHeight="1" x14ac:dyDescent="0.25">
      <c r="B27712" s="55" t="s">
        <v>406</v>
      </c>
      <c r="C27712" s="46">
        <v>28</v>
      </c>
      <c r="D27712" s="69" t="s">
        <v>29543</v>
      </c>
      <c r="E27712" s="62"/>
      <c r="F27712" s="62" t="str">
        <f>IF(INDEX(I.Gas.P3Y1C1V1,28)="","",INDEX(I.Gas.P3Y1C1V1,28))</f>
        <v/>
      </c>
      <c r="G27712" s="62"/>
      <c r="H27712" s="46" t="str">
        <f>IF(OR(I.Developer.P3=FALSE,I.Facility.StandardPart&lt;&gt;"Part 2"),"Complete",IF(I.Product.P3GasToPowerStatus&lt;&gt;"Yes","Complete",IF(AND(I.Gas.P3Y1Count&gt;=28,F27712=""),"Incomplete","Complete")))</f>
        <v>Complete</v>
      </c>
      <c r="I27712" s="48" t="s">
        <v>2891</v>
      </c>
    </row>
    <row r="27713" spans="2:9" ht="15" customHeight="1" x14ac:dyDescent="0.25">
      <c r="B27713" s="55" t="s">
        <v>406</v>
      </c>
      <c r="C27713" s="46">
        <v>29</v>
      </c>
      <c r="D27713" s="69" t="s">
        <v>29543</v>
      </c>
      <c r="E27713" s="62"/>
      <c r="F27713" s="62" t="str">
        <f>IF(INDEX(I.Gas.P3Y1C1V1,29)="","",INDEX(I.Gas.P3Y1C1V1,29))</f>
        <v/>
      </c>
      <c r="G27713" s="62"/>
      <c r="H27713" s="46" t="str">
        <f>IF(OR(I.Developer.P3=FALSE,I.Facility.StandardPart&lt;&gt;"Part 2"),"Complete",IF(I.Product.P3GasToPowerStatus&lt;&gt;"Yes","Complete",IF(AND(I.Gas.P3Y1Count&gt;=29,F27713=""),"Incomplete","Complete")))</f>
        <v>Complete</v>
      </c>
      <c r="I27713" s="48" t="s">
        <v>2892</v>
      </c>
    </row>
    <row r="27714" spans="2:9" ht="15" customHeight="1" x14ac:dyDescent="0.25">
      <c r="B27714" s="55" t="s">
        <v>406</v>
      </c>
      <c r="C27714" s="46">
        <v>30</v>
      </c>
      <c r="D27714" s="69" t="s">
        <v>29543</v>
      </c>
      <c r="E27714" s="62"/>
      <c r="F27714" s="62" t="str">
        <f>IF(INDEX(I.Gas.P3Y1C1V1,30)="","",INDEX(I.Gas.P3Y1C1V1,30))</f>
        <v/>
      </c>
      <c r="G27714" s="62"/>
      <c r="H27714" s="46" t="str">
        <f>IF(OR(I.Developer.P3=FALSE,I.Facility.StandardPart&lt;&gt;"Part 2"),"Complete",IF(I.Product.P3GasToPowerStatus&lt;&gt;"Yes","Complete",IF(AND(I.Gas.P3Y1Count&gt;=30,F27714=""),"Incomplete","Complete")))</f>
        <v>Complete</v>
      </c>
      <c r="I27714" s="48" t="s">
        <v>2893</v>
      </c>
    </row>
    <row r="27715" spans="2:9" ht="15" customHeight="1" x14ac:dyDescent="0.25">
      <c r="B27715" s="55" t="s">
        <v>406</v>
      </c>
      <c r="C27715" s="46">
        <v>31</v>
      </c>
      <c r="D27715" s="69" t="s">
        <v>29543</v>
      </c>
      <c r="E27715" s="62"/>
      <c r="F27715" s="62" t="str">
        <f>IF(INDEX(I.Gas.P3Y1C1V1,31)="","",INDEX(I.Gas.P3Y1C1V1,31))</f>
        <v/>
      </c>
      <c r="G27715" s="62"/>
      <c r="H27715" s="46" t="str">
        <f>IF(OR(I.Developer.P3=FALSE,I.Facility.StandardPart&lt;&gt;"Part 2"),"Complete",IF(I.Product.P3GasToPowerStatus&lt;&gt;"Yes","Complete",IF(AND(I.Gas.P3Y1Count&gt;=31,F27715=""),"Incomplete","Complete")))</f>
        <v>Complete</v>
      </c>
      <c r="I27715" s="48" t="s">
        <v>2894</v>
      </c>
    </row>
    <row r="27716" spans="2:9" ht="15" customHeight="1" x14ac:dyDescent="0.25">
      <c r="B27716" s="55" t="s">
        <v>406</v>
      </c>
      <c r="C27716" s="46">
        <v>32</v>
      </c>
      <c r="D27716" s="69" t="s">
        <v>29543</v>
      </c>
      <c r="E27716" s="62"/>
      <c r="F27716" s="62" t="str">
        <f>IF(INDEX(I.Gas.P3Y1C1V1,32)="","",INDEX(I.Gas.P3Y1C1V1,32))</f>
        <v/>
      </c>
      <c r="G27716" s="62"/>
      <c r="H27716" s="46" t="str">
        <f>IF(OR(I.Developer.P3=FALSE,I.Facility.StandardPart&lt;&gt;"Part 2"),"Complete",IF(I.Product.P3GasToPowerStatus&lt;&gt;"Yes","Complete",IF(AND(I.Gas.P3Y1Count&gt;=32,F27716=""),"Incomplete","Complete")))</f>
        <v>Complete</v>
      </c>
      <c r="I27716" s="48" t="s">
        <v>2895</v>
      </c>
    </row>
    <row r="27717" spans="2:9" ht="15" customHeight="1" x14ac:dyDescent="0.25">
      <c r="B27717" s="55" t="s">
        <v>406</v>
      </c>
      <c r="C27717" s="46">
        <v>33</v>
      </c>
      <c r="D27717" s="69" t="s">
        <v>29543</v>
      </c>
      <c r="E27717" s="62"/>
      <c r="F27717" s="62" t="str">
        <f>IF(INDEX(I.Gas.P3Y1C1V1,33)="","",INDEX(I.Gas.P3Y1C1V1,33))</f>
        <v/>
      </c>
      <c r="G27717" s="62"/>
      <c r="H27717" s="46" t="str">
        <f>IF(OR(I.Developer.P3=FALSE,I.Facility.StandardPart&lt;&gt;"Part 2"),"Complete",IF(I.Product.P3GasToPowerStatus&lt;&gt;"Yes","Complete",IF(AND(I.Gas.P3Y1Count&gt;=33,F27717=""),"Incomplete","Complete")))</f>
        <v>Complete</v>
      </c>
      <c r="I27717" s="48" t="s">
        <v>2896</v>
      </c>
    </row>
    <row r="27718" spans="2:9" ht="15" customHeight="1" x14ac:dyDescent="0.25">
      <c r="B27718" s="55" t="s">
        <v>406</v>
      </c>
      <c r="C27718" s="46">
        <v>34</v>
      </c>
      <c r="D27718" s="69" t="s">
        <v>29543</v>
      </c>
      <c r="E27718" s="62"/>
      <c r="F27718" s="62" t="str">
        <f>IF(INDEX(I.Gas.P3Y1C1V1,34)="","",INDEX(I.Gas.P3Y1C1V1,34))</f>
        <v/>
      </c>
      <c r="G27718" s="62"/>
      <c r="H27718" s="46" t="str">
        <f>IF(OR(I.Developer.P3=FALSE,I.Facility.StandardPart&lt;&gt;"Part 2"),"Complete",IF(I.Product.P3GasToPowerStatus&lt;&gt;"Yes","Complete",IF(AND(I.Gas.P3Y1Count&gt;=34,F27718=""),"Incomplete","Complete")))</f>
        <v>Complete</v>
      </c>
      <c r="I27718" s="48" t="s">
        <v>2897</v>
      </c>
    </row>
    <row r="27719" spans="2:9" ht="15" customHeight="1" x14ac:dyDescent="0.25">
      <c r="B27719" s="55" t="s">
        <v>406</v>
      </c>
      <c r="C27719" s="46">
        <v>35</v>
      </c>
      <c r="D27719" s="69" t="s">
        <v>29543</v>
      </c>
      <c r="E27719" s="62"/>
      <c r="F27719" s="62" t="str">
        <f>IF(INDEX(I.Gas.P3Y1C1V1,35)="","",INDEX(I.Gas.P3Y1C1V1,35))</f>
        <v/>
      </c>
      <c r="G27719" s="62"/>
      <c r="H27719" s="46" t="str">
        <f>IF(OR(I.Developer.P3=FALSE,I.Facility.StandardPart&lt;&gt;"Part 2"),"Complete",IF(I.Product.P3GasToPowerStatus&lt;&gt;"Yes","Complete",IF(AND(I.Gas.P3Y1Count&gt;=35,F27719=""),"Incomplete","Complete")))</f>
        <v>Complete</v>
      </c>
      <c r="I27719" s="48" t="s">
        <v>2898</v>
      </c>
    </row>
    <row r="27720" spans="2:9" ht="15" customHeight="1" x14ac:dyDescent="0.25">
      <c r="B27720" s="55" t="s">
        <v>406</v>
      </c>
      <c r="C27720" s="46">
        <v>36</v>
      </c>
      <c r="D27720" s="69" t="s">
        <v>29543</v>
      </c>
      <c r="E27720" s="62"/>
      <c r="F27720" s="62" t="str">
        <f>IF(INDEX(I.Gas.P3Y1C1V1,36)="","",INDEX(I.Gas.P3Y1C1V1,36))</f>
        <v/>
      </c>
      <c r="G27720" s="62"/>
      <c r="H27720" s="46" t="str">
        <f>IF(OR(I.Developer.P3=FALSE,I.Facility.StandardPart&lt;&gt;"Part 2"),"Complete",IF(I.Product.P3GasToPowerStatus&lt;&gt;"Yes","Complete",IF(AND(I.Gas.P3Y1Count&gt;=36,F27720=""),"Incomplete","Complete")))</f>
        <v>Complete</v>
      </c>
      <c r="I27720" s="48" t="s">
        <v>2899</v>
      </c>
    </row>
    <row r="27721" spans="2:9" ht="15" customHeight="1" x14ac:dyDescent="0.25">
      <c r="B27721" s="55" t="s">
        <v>406</v>
      </c>
      <c r="C27721" s="46">
        <v>37</v>
      </c>
      <c r="D27721" s="69" t="s">
        <v>29543</v>
      </c>
      <c r="E27721" s="62"/>
      <c r="F27721" s="62" t="str">
        <f>IF(INDEX(I.Gas.P3Y1C1V1,37)="","",INDEX(I.Gas.P3Y1C1V1,37))</f>
        <v/>
      </c>
      <c r="G27721" s="62"/>
      <c r="H27721" s="46" t="str">
        <f>IF(OR(I.Developer.P3=FALSE,I.Facility.StandardPart&lt;&gt;"Part 2"),"Complete",IF(I.Product.P3GasToPowerStatus&lt;&gt;"Yes","Complete",IF(AND(I.Gas.P3Y1Count&gt;=37,F27721=""),"Incomplete","Complete")))</f>
        <v>Complete</v>
      </c>
      <c r="I27721" s="48" t="s">
        <v>2900</v>
      </c>
    </row>
    <row r="27722" spans="2:9" ht="15" customHeight="1" x14ac:dyDescent="0.25">
      <c r="B27722" s="55" t="s">
        <v>406</v>
      </c>
      <c r="C27722" s="46">
        <v>38</v>
      </c>
      <c r="D27722" s="69" t="s">
        <v>29543</v>
      </c>
      <c r="E27722" s="62"/>
      <c r="F27722" s="62" t="str">
        <f>IF(INDEX(I.Gas.P3Y1C1V1,38)="","",INDEX(I.Gas.P3Y1C1V1,38))</f>
        <v/>
      </c>
      <c r="G27722" s="62"/>
      <c r="H27722" s="46" t="str">
        <f>IF(OR(I.Developer.P3=FALSE,I.Facility.StandardPart&lt;&gt;"Part 2"),"Complete",IF(I.Product.P3GasToPowerStatus&lt;&gt;"Yes","Complete",IF(AND(I.Gas.P3Y1Count&gt;=38,F27722=""),"Incomplete","Complete")))</f>
        <v>Complete</v>
      </c>
      <c r="I27722" s="48" t="s">
        <v>2901</v>
      </c>
    </row>
    <row r="27723" spans="2:9" ht="15" customHeight="1" x14ac:dyDescent="0.25">
      <c r="B27723" s="55" t="s">
        <v>406</v>
      </c>
      <c r="C27723" s="46">
        <v>39</v>
      </c>
      <c r="D27723" s="69" t="s">
        <v>29543</v>
      </c>
      <c r="E27723" s="62"/>
      <c r="F27723" s="62" t="str">
        <f>IF(INDEX(I.Gas.P3Y1C1V1,39)="","",INDEX(I.Gas.P3Y1C1V1,39))</f>
        <v/>
      </c>
      <c r="G27723" s="62"/>
      <c r="H27723" s="46" t="str">
        <f>IF(OR(I.Developer.P3=FALSE,I.Facility.StandardPart&lt;&gt;"Part 2"),"Complete",IF(I.Product.P3GasToPowerStatus&lt;&gt;"Yes","Complete",IF(AND(I.Gas.P3Y1Count&gt;=39,F27723=""),"Incomplete","Complete")))</f>
        <v>Complete</v>
      </c>
      <c r="I27723" s="48" t="s">
        <v>2902</v>
      </c>
    </row>
    <row r="27724" spans="2:9" ht="15" customHeight="1" x14ac:dyDescent="0.25">
      <c r="B27724" s="55" t="s">
        <v>406</v>
      </c>
      <c r="C27724" s="46">
        <v>40</v>
      </c>
      <c r="D27724" s="69" t="s">
        <v>29543</v>
      </c>
      <c r="E27724" s="62"/>
      <c r="F27724" s="62" t="str">
        <f>IF(INDEX(I.Gas.P3Y1C1V1,40)="","",INDEX(I.Gas.P3Y1C1V1,40))</f>
        <v/>
      </c>
      <c r="G27724" s="62"/>
      <c r="H27724" s="46" t="str">
        <f>IF(OR(I.Developer.P3=FALSE,I.Facility.StandardPart&lt;&gt;"Part 2"),"Complete",IF(I.Product.P3GasToPowerStatus&lt;&gt;"Yes","Complete",IF(AND(I.Gas.P3Y1Count&gt;=40,F27724=""),"Incomplete","Complete")))</f>
        <v>Complete</v>
      </c>
      <c r="I27724" s="48" t="s">
        <v>2903</v>
      </c>
    </row>
    <row r="27725" spans="2:9" ht="15" customHeight="1" x14ac:dyDescent="0.25">
      <c r="B27725" s="55" t="s">
        <v>406</v>
      </c>
      <c r="C27725" s="46">
        <v>41</v>
      </c>
      <c r="D27725" s="69" t="s">
        <v>29543</v>
      </c>
      <c r="E27725" s="62"/>
      <c r="F27725" s="62" t="str">
        <f>IF(INDEX(I.Gas.P3Y1C1V1,41)="","",INDEX(I.Gas.P3Y1C1V1,41))</f>
        <v/>
      </c>
      <c r="G27725" s="62"/>
      <c r="H27725" s="46" t="str">
        <f>IF(OR(I.Developer.P3=FALSE,I.Facility.StandardPart&lt;&gt;"Part 2"),"Complete",IF(I.Product.P3GasToPowerStatus&lt;&gt;"Yes","Complete",IF(AND(I.Gas.P3Y1Count&gt;=41,F27725=""),"Incomplete","Complete")))</f>
        <v>Complete</v>
      </c>
      <c r="I27725" s="48" t="s">
        <v>2904</v>
      </c>
    </row>
    <row r="27726" spans="2:9" ht="15" customHeight="1" x14ac:dyDescent="0.25">
      <c r="B27726" s="55" t="s">
        <v>406</v>
      </c>
      <c r="C27726" s="46">
        <v>42</v>
      </c>
      <c r="D27726" s="69" t="s">
        <v>29543</v>
      </c>
      <c r="E27726" s="62"/>
      <c r="F27726" s="62" t="str">
        <f>IF(INDEX(I.Gas.P3Y1C1V1,42)="","",INDEX(I.Gas.P3Y1C1V1,42))</f>
        <v/>
      </c>
      <c r="G27726" s="62"/>
      <c r="H27726" s="46" t="str">
        <f>IF(OR(I.Developer.P3=FALSE,I.Facility.StandardPart&lt;&gt;"Part 2"),"Complete",IF(I.Product.P3GasToPowerStatus&lt;&gt;"Yes","Complete",IF(AND(I.Gas.P3Y1Count&gt;=42,F27726=""),"Incomplete","Complete")))</f>
        <v>Complete</v>
      </c>
      <c r="I27726" s="48" t="s">
        <v>2905</v>
      </c>
    </row>
    <row r="27727" spans="2:9" ht="15" customHeight="1" x14ac:dyDescent="0.25">
      <c r="B27727" s="55" t="s">
        <v>406</v>
      </c>
      <c r="C27727" s="46">
        <v>43</v>
      </c>
      <c r="D27727" s="69" t="s">
        <v>29543</v>
      </c>
      <c r="E27727" s="62"/>
      <c r="F27727" s="62" t="str">
        <f>IF(INDEX(I.Gas.P3Y1C1V1,43)="","",INDEX(I.Gas.P3Y1C1V1,43))</f>
        <v/>
      </c>
      <c r="G27727" s="62"/>
      <c r="H27727" s="46" t="str">
        <f>IF(OR(I.Developer.P3=FALSE,I.Facility.StandardPart&lt;&gt;"Part 2"),"Complete",IF(I.Product.P3GasToPowerStatus&lt;&gt;"Yes","Complete",IF(AND(I.Gas.P3Y1Count&gt;=43,F27727=""),"Incomplete","Complete")))</f>
        <v>Complete</v>
      </c>
      <c r="I27727" s="48" t="s">
        <v>2906</v>
      </c>
    </row>
    <row r="27728" spans="2:9" ht="15" customHeight="1" x14ac:dyDescent="0.25">
      <c r="B27728" s="55" t="s">
        <v>406</v>
      </c>
      <c r="C27728" s="46">
        <v>44</v>
      </c>
      <c r="D27728" s="69" t="s">
        <v>29543</v>
      </c>
      <c r="E27728" s="62"/>
      <c r="F27728" s="62" t="str">
        <f>IF(INDEX(I.Gas.P3Y1C1V1,44)="","",INDEX(I.Gas.P3Y1C1V1,44))</f>
        <v/>
      </c>
      <c r="G27728" s="62"/>
      <c r="H27728" s="46" t="str">
        <f>IF(OR(I.Developer.P3=FALSE,I.Facility.StandardPart&lt;&gt;"Part 2"),"Complete",IF(I.Product.P3GasToPowerStatus&lt;&gt;"Yes","Complete",IF(AND(I.Gas.P3Y1Count&gt;=44,F27728=""),"Incomplete","Complete")))</f>
        <v>Complete</v>
      </c>
      <c r="I27728" s="48" t="s">
        <v>2907</v>
      </c>
    </row>
    <row r="27729" spans="2:9" ht="15" customHeight="1" x14ac:dyDescent="0.25">
      <c r="B27729" s="55" t="s">
        <v>406</v>
      </c>
      <c r="C27729" s="46">
        <v>45</v>
      </c>
      <c r="D27729" s="69" t="s">
        <v>29543</v>
      </c>
      <c r="E27729" s="62"/>
      <c r="F27729" s="62" t="str">
        <f>IF(INDEX(I.Gas.P3Y1C1V1,45)="","",INDEX(I.Gas.P3Y1C1V1,45))</f>
        <v/>
      </c>
      <c r="G27729" s="62"/>
      <c r="H27729" s="46" t="str">
        <f>IF(OR(I.Developer.P3=FALSE,I.Facility.StandardPart&lt;&gt;"Part 2"),"Complete",IF(I.Product.P3GasToPowerStatus&lt;&gt;"Yes","Complete",IF(AND(I.Gas.P3Y1Count&gt;=45,F27729=""),"Incomplete","Complete")))</f>
        <v>Complete</v>
      </c>
      <c r="I27729" s="48" t="s">
        <v>2908</v>
      </c>
    </row>
    <row r="27730" spans="2:9" ht="15" customHeight="1" x14ac:dyDescent="0.25">
      <c r="B27730" s="55" t="s">
        <v>406</v>
      </c>
      <c r="C27730" s="46">
        <v>46</v>
      </c>
      <c r="D27730" s="69" t="s">
        <v>29543</v>
      </c>
      <c r="E27730" s="62"/>
      <c r="F27730" s="62" t="str">
        <f>IF(INDEX(I.Gas.P3Y1C1V1,46)="","",INDEX(I.Gas.P3Y1C1V1,46))</f>
        <v/>
      </c>
      <c r="G27730" s="62"/>
      <c r="H27730" s="46" t="str">
        <f>IF(OR(I.Developer.P3=FALSE,I.Facility.StandardPart&lt;&gt;"Part 2"),"Complete",IF(I.Product.P3GasToPowerStatus&lt;&gt;"Yes","Complete",IF(AND(I.Gas.P3Y1Count&gt;=46,F27730=""),"Incomplete","Complete")))</f>
        <v>Complete</v>
      </c>
      <c r="I27730" s="48" t="s">
        <v>2909</v>
      </c>
    </row>
    <row r="27731" spans="2:9" ht="15" customHeight="1" x14ac:dyDescent="0.25">
      <c r="B27731" s="55" t="s">
        <v>406</v>
      </c>
      <c r="C27731" s="46">
        <v>47</v>
      </c>
      <c r="D27731" s="69" t="s">
        <v>29543</v>
      </c>
      <c r="E27731" s="62"/>
      <c r="F27731" s="62" t="str">
        <f>IF(INDEX(I.Gas.P3Y1C1V1,47)="","",INDEX(I.Gas.P3Y1C1V1,47))</f>
        <v/>
      </c>
      <c r="G27731" s="62"/>
      <c r="H27731" s="46" t="str">
        <f>IF(OR(I.Developer.P3=FALSE,I.Facility.StandardPart&lt;&gt;"Part 2"),"Complete",IF(I.Product.P3GasToPowerStatus&lt;&gt;"Yes","Complete",IF(AND(I.Gas.P3Y1Count&gt;=47,F27731=""),"Incomplete","Complete")))</f>
        <v>Complete</v>
      </c>
      <c r="I27731" s="48" t="s">
        <v>2910</v>
      </c>
    </row>
    <row r="27732" spans="2:9" ht="15" customHeight="1" x14ac:dyDescent="0.25">
      <c r="B27732" s="55" t="s">
        <v>406</v>
      </c>
      <c r="C27732" s="46">
        <v>48</v>
      </c>
      <c r="D27732" s="69" t="s">
        <v>29543</v>
      </c>
      <c r="E27732" s="62"/>
      <c r="F27732" s="62" t="str">
        <f>IF(INDEX(I.Gas.P3Y1C1V1,48)="","",INDEX(I.Gas.P3Y1C1V1,48))</f>
        <v/>
      </c>
      <c r="G27732" s="62"/>
      <c r="H27732" s="46" t="str">
        <f>IF(OR(I.Developer.P3=FALSE,I.Facility.StandardPart&lt;&gt;"Part 2"),"Complete",IF(I.Product.P3GasToPowerStatus&lt;&gt;"Yes","Complete",IF(AND(I.Gas.P3Y1Count&gt;=48,F27732=""),"Incomplete","Complete")))</f>
        <v>Complete</v>
      </c>
      <c r="I27732" s="48" t="s">
        <v>2911</v>
      </c>
    </row>
    <row r="27733" spans="2:9" ht="15" customHeight="1" x14ac:dyDescent="0.25">
      <c r="B27733" s="55" t="s">
        <v>406</v>
      </c>
      <c r="C27733" s="46">
        <v>49</v>
      </c>
      <c r="D27733" s="69" t="s">
        <v>29543</v>
      </c>
      <c r="E27733" s="62"/>
      <c r="F27733" s="62" t="str">
        <f>IF(INDEX(I.Gas.P3Y1C1V1,49)="","",INDEX(I.Gas.P3Y1C1V1,49))</f>
        <v/>
      </c>
      <c r="G27733" s="62"/>
      <c r="H27733" s="46" t="str">
        <f>IF(OR(I.Developer.P3=FALSE,I.Facility.StandardPart&lt;&gt;"Part 2"),"Complete",IF(I.Product.P3GasToPowerStatus&lt;&gt;"Yes","Complete",IF(AND(I.Gas.P3Y1Count&gt;=49,F27733=""),"Incomplete","Complete")))</f>
        <v>Complete</v>
      </c>
      <c r="I27733" s="48" t="s">
        <v>2912</v>
      </c>
    </row>
    <row r="27734" spans="2:9" ht="15" customHeight="1" x14ac:dyDescent="0.25">
      <c r="B27734" s="56" t="s">
        <v>406</v>
      </c>
      <c r="C27734" s="57">
        <v>50</v>
      </c>
      <c r="D27734" s="71" t="s">
        <v>29543</v>
      </c>
      <c r="E27734" s="61"/>
      <c r="F27734" s="61" t="str">
        <f>IF(INDEX(I.Gas.P3Y1C1V1,50)="","",INDEX(I.Gas.P3Y1C1V1,50))</f>
        <v/>
      </c>
      <c r="G27734" s="61"/>
      <c r="H27734" s="57" t="str">
        <f>IF(OR(I.Developer.P3=FALSE,I.Facility.StandardPart&lt;&gt;"Part 2"),"Complete",IF(I.Product.P3GasToPowerStatus&lt;&gt;"Yes","Complete",IF(AND(I.Gas.P3Y1Count&gt;=50,F27734=""),"Incomplete","Complete")))</f>
        <v>Complete</v>
      </c>
      <c r="I27734" s="49" t="s">
        <v>2913</v>
      </c>
    </row>
    <row r="27735" spans="2:9" ht="15" customHeight="1" x14ac:dyDescent="0.25">
      <c r="B27735" s="55" t="s">
        <v>407</v>
      </c>
      <c r="C27735" s="46">
        <v>1</v>
      </c>
      <c r="D27735" s="69" t="s">
        <v>29544</v>
      </c>
      <c r="E27735" s="62"/>
      <c r="F27735" s="62" t="str">
        <f>IF(INDEX(I.Gas.P3Y1C1E1,1)="","",INDEX(I.Gas.P3Y1C1E1,1))</f>
        <v/>
      </c>
      <c r="G27735" s="62"/>
      <c r="H27735" s="46" t="str">
        <f>IF(OR(I.Developer.P3=FALSE,I.Facility.StandardPart="Part 2"),"Complete",IF(I.Product.P3GasToPowerStatus&lt;&gt;"Yes","Complete",IF(AND(I.Gas.P3Y1Count&gt;=1,F27735=""),"Incomplete","Complete")))</f>
        <v>Complete</v>
      </c>
      <c r="I27735" s="48" t="s">
        <v>2914</v>
      </c>
    </row>
    <row r="27736" spans="2:9" ht="15" customHeight="1" x14ac:dyDescent="0.25">
      <c r="B27736" s="55" t="s">
        <v>407</v>
      </c>
      <c r="C27736" s="46">
        <v>2</v>
      </c>
      <c r="D27736" s="69" t="s">
        <v>29544</v>
      </c>
      <c r="E27736" s="62"/>
      <c r="F27736" s="62" t="str">
        <f>IF(INDEX(I.Gas.P3Y1C1E1,2)="","",INDEX(I.Gas.P3Y1C1E1,2))</f>
        <v/>
      </c>
      <c r="G27736" s="62"/>
      <c r="H27736" s="46" t="str">
        <f>IF(OR(I.Developer.P3=FALSE,I.Facility.StandardPart="Part 2"),"Complete",IF(I.Product.P3GasToPowerStatus&lt;&gt;"Yes","Complete",IF(AND(I.Gas.P3Y1Count&gt;=2,F27736=""),"Incomplete","Complete")))</f>
        <v>Complete</v>
      </c>
      <c r="I27736" s="48" t="s">
        <v>2915</v>
      </c>
    </row>
    <row r="27737" spans="2:9" ht="15" customHeight="1" x14ac:dyDescent="0.25">
      <c r="B27737" s="55" t="s">
        <v>407</v>
      </c>
      <c r="C27737" s="46">
        <v>3</v>
      </c>
      <c r="D27737" s="69" t="s">
        <v>29544</v>
      </c>
      <c r="E27737" s="62"/>
      <c r="F27737" s="62" t="str">
        <f>IF(INDEX(I.Gas.P3Y1C1E1,3)="","",INDEX(I.Gas.P3Y1C1E1,3))</f>
        <v/>
      </c>
      <c r="G27737" s="62"/>
      <c r="H27737" s="46" t="str">
        <f>IF(OR(I.Developer.P3=FALSE,I.Facility.StandardPart="Part 2"),"Complete",IF(I.Product.P3GasToPowerStatus&lt;&gt;"Yes","Complete",IF(AND(I.Gas.P3Y1Count&gt;=3,F27737=""),"Incomplete","Complete")))</f>
        <v>Complete</v>
      </c>
      <c r="I27737" s="48" t="s">
        <v>2916</v>
      </c>
    </row>
    <row r="27738" spans="2:9" ht="15" customHeight="1" x14ac:dyDescent="0.25">
      <c r="B27738" s="55" t="s">
        <v>407</v>
      </c>
      <c r="C27738" s="46">
        <v>4</v>
      </c>
      <c r="D27738" s="69" t="s">
        <v>29544</v>
      </c>
      <c r="E27738" s="62"/>
      <c r="F27738" s="62" t="str">
        <f>IF(INDEX(I.Gas.P3Y1C1E1,4)="","",INDEX(I.Gas.P3Y1C1E1,4))</f>
        <v/>
      </c>
      <c r="G27738" s="62"/>
      <c r="H27738" s="46" t="str">
        <f>IF(OR(I.Developer.P3=FALSE,I.Facility.StandardPart="Part 2"),"Complete",IF(I.Product.P3GasToPowerStatus&lt;&gt;"Yes","Complete",IF(AND(I.Gas.P3Y1Count&gt;=4,F27738=""),"Incomplete","Complete")))</f>
        <v>Complete</v>
      </c>
      <c r="I27738" s="48" t="s">
        <v>2917</v>
      </c>
    </row>
    <row r="27739" spans="2:9" ht="15" customHeight="1" x14ac:dyDescent="0.25">
      <c r="B27739" s="55" t="s">
        <v>407</v>
      </c>
      <c r="C27739" s="46">
        <v>5</v>
      </c>
      <c r="D27739" s="69" t="s">
        <v>29544</v>
      </c>
      <c r="E27739" s="62"/>
      <c r="F27739" s="62" t="str">
        <f>IF(INDEX(I.Gas.P3Y1C1E1,5)="","",INDEX(I.Gas.P3Y1C1E1,5))</f>
        <v/>
      </c>
      <c r="G27739" s="62"/>
      <c r="H27739" s="46" t="str">
        <f>IF(OR(I.Developer.P3=FALSE,I.Facility.StandardPart="Part 2"),"Complete",IF(I.Product.P3GasToPowerStatus&lt;&gt;"Yes","Complete",IF(AND(I.Gas.P3Y1Count&gt;=5,F27739=""),"Incomplete","Complete")))</f>
        <v>Complete</v>
      </c>
      <c r="I27739" s="48" t="s">
        <v>2918</v>
      </c>
    </row>
    <row r="27740" spans="2:9" ht="15" customHeight="1" x14ac:dyDescent="0.25">
      <c r="B27740" s="55" t="s">
        <v>407</v>
      </c>
      <c r="C27740" s="46">
        <v>6</v>
      </c>
      <c r="D27740" s="69" t="s">
        <v>29544</v>
      </c>
      <c r="E27740" s="62"/>
      <c r="F27740" s="62" t="str">
        <f>IF(INDEX(I.Gas.P3Y1C1E1,6)="","",INDEX(I.Gas.P3Y1C1E1,6))</f>
        <v/>
      </c>
      <c r="G27740" s="62"/>
      <c r="H27740" s="46" t="str">
        <f>IF(OR(I.Developer.P3=FALSE,I.Facility.StandardPart="Part 2"),"Complete",IF(I.Product.P3GasToPowerStatus&lt;&gt;"Yes","Complete",IF(AND(I.Gas.P3Y1Count&gt;=6,F27740=""),"Incomplete","Complete")))</f>
        <v>Complete</v>
      </c>
      <c r="I27740" s="48" t="s">
        <v>2919</v>
      </c>
    </row>
    <row r="27741" spans="2:9" ht="15" customHeight="1" x14ac:dyDescent="0.25">
      <c r="B27741" s="55" t="s">
        <v>407</v>
      </c>
      <c r="C27741" s="46">
        <v>7</v>
      </c>
      <c r="D27741" s="69" t="s">
        <v>29544</v>
      </c>
      <c r="E27741" s="62"/>
      <c r="F27741" s="62" t="str">
        <f>IF(INDEX(I.Gas.P3Y1C1E1,7)="","",INDEX(I.Gas.P3Y1C1E1,7))</f>
        <v/>
      </c>
      <c r="G27741" s="62"/>
      <c r="H27741" s="46" t="str">
        <f>IF(OR(I.Developer.P3=FALSE,I.Facility.StandardPart="Part 2"),"Complete",IF(I.Product.P3GasToPowerStatus&lt;&gt;"Yes","Complete",IF(AND(I.Gas.P3Y1Count&gt;=7,F27741=""),"Incomplete","Complete")))</f>
        <v>Complete</v>
      </c>
      <c r="I27741" s="48" t="s">
        <v>2920</v>
      </c>
    </row>
    <row r="27742" spans="2:9" ht="15" customHeight="1" x14ac:dyDescent="0.25">
      <c r="B27742" s="55" t="s">
        <v>407</v>
      </c>
      <c r="C27742" s="46">
        <v>8</v>
      </c>
      <c r="D27742" s="69" t="s">
        <v>29544</v>
      </c>
      <c r="E27742" s="62"/>
      <c r="F27742" s="62" t="str">
        <f>IF(INDEX(I.Gas.P3Y1C1E1,8)="","",INDEX(I.Gas.P3Y1C1E1,8))</f>
        <v/>
      </c>
      <c r="G27742" s="62"/>
      <c r="H27742" s="46" t="str">
        <f>IF(OR(I.Developer.P3=FALSE,I.Facility.StandardPart="Part 2"),"Complete",IF(I.Product.P3GasToPowerStatus&lt;&gt;"Yes","Complete",IF(AND(I.Gas.P3Y1Count&gt;=8,F27742=""),"Incomplete","Complete")))</f>
        <v>Complete</v>
      </c>
      <c r="I27742" s="48" t="s">
        <v>2921</v>
      </c>
    </row>
    <row r="27743" spans="2:9" ht="15" customHeight="1" x14ac:dyDescent="0.25">
      <c r="B27743" s="55" t="s">
        <v>407</v>
      </c>
      <c r="C27743" s="46">
        <v>9</v>
      </c>
      <c r="D27743" s="69" t="s">
        <v>29544</v>
      </c>
      <c r="E27743" s="62"/>
      <c r="F27743" s="62" t="str">
        <f>IF(INDEX(I.Gas.P3Y1C1E1,9)="","",INDEX(I.Gas.P3Y1C1E1,9))</f>
        <v/>
      </c>
      <c r="G27743" s="62"/>
      <c r="H27743" s="46" t="str">
        <f>IF(OR(I.Developer.P3=FALSE,I.Facility.StandardPart="Part 2"),"Complete",IF(I.Product.P3GasToPowerStatus&lt;&gt;"Yes","Complete",IF(AND(I.Gas.P3Y1Count&gt;=9,F27743=""),"Incomplete","Complete")))</f>
        <v>Complete</v>
      </c>
      <c r="I27743" s="48" t="s">
        <v>2922</v>
      </c>
    </row>
    <row r="27744" spans="2:9" ht="15" customHeight="1" x14ac:dyDescent="0.25">
      <c r="B27744" s="55" t="s">
        <v>407</v>
      </c>
      <c r="C27744" s="46">
        <v>10</v>
      </c>
      <c r="D27744" s="69" t="s">
        <v>29544</v>
      </c>
      <c r="E27744" s="62"/>
      <c r="F27744" s="62" t="str">
        <f>IF(INDEX(I.Gas.P3Y1C1E1,10)="","",INDEX(I.Gas.P3Y1C1E1,10))</f>
        <v/>
      </c>
      <c r="G27744" s="62"/>
      <c r="H27744" s="46" t="str">
        <f>IF(OR(I.Developer.P3=FALSE,I.Facility.StandardPart="Part 2"),"Complete",IF(I.Product.P3GasToPowerStatus&lt;&gt;"Yes","Complete",IF(AND(I.Gas.P3Y1Count&gt;=10,F27744=""),"Incomplete","Complete")))</f>
        <v>Complete</v>
      </c>
      <c r="I27744" s="48" t="s">
        <v>2923</v>
      </c>
    </row>
    <row r="27745" spans="2:9" ht="15" customHeight="1" x14ac:dyDescent="0.25">
      <c r="B27745" s="55" t="s">
        <v>407</v>
      </c>
      <c r="C27745" s="46">
        <v>11</v>
      </c>
      <c r="D27745" s="69" t="s">
        <v>29544</v>
      </c>
      <c r="E27745" s="62"/>
      <c r="F27745" s="62" t="str">
        <f>IF(INDEX(I.Gas.P3Y1C1E1,11)="","",INDEX(I.Gas.P3Y1C1E1,11))</f>
        <v/>
      </c>
      <c r="G27745" s="62"/>
      <c r="H27745" s="46" t="str">
        <f>IF(OR(I.Developer.P3=FALSE,I.Facility.StandardPart="Part 2"),"Complete",IF(I.Product.P3GasToPowerStatus&lt;&gt;"Yes","Complete",IF(AND(I.Gas.P3Y1Count&gt;=11,F27745=""),"Incomplete","Complete")))</f>
        <v>Complete</v>
      </c>
      <c r="I27745" s="48" t="s">
        <v>2924</v>
      </c>
    </row>
    <row r="27746" spans="2:9" ht="15" customHeight="1" x14ac:dyDescent="0.25">
      <c r="B27746" s="55" t="s">
        <v>407</v>
      </c>
      <c r="C27746" s="46">
        <v>12</v>
      </c>
      <c r="D27746" s="69" t="s">
        <v>29544</v>
      </c>
      <c r="E27746" s="62"/>
      <c r="F27746" s="62" t="str">
        <f>IF(INDEX(I.Gas.P3Y1C1E1,12)="","",INDEX(I.Gas.P3Y1C1E1,12))</f>
        <v/>
      </c>
      <c r="G27746" s="62"/>
      <c r="H27746" s="46" t="str">
        <f>IF(OR(I.Developer.P3=FALSE,I.Facility.StandardPart="Part 2"),"Complete",IF(I.Product.P3GasToPowerStatus&lt;&gt;"Yes","Complete",IF(AND(I.Gas.P3Y1Count&gt;=12,F27746=""),"Incomplete","Complete")))</f>
        <v>Complete</v>
      </c>
      <c r="I27746" s="48" t="s">
        <v>2925</v>
      </c>
    </row>
    <row r="27747" spans="2:9" ht="15" customHeight="1" x14ac:dyDescent="0.25">
      <c r="B27747" s="55" t="s">
        <v>407</v>
      </c>
      <c r="C27747" s="46">
        <v>13</v>
      </c>
      <c r="D27747" s="69" t="s">
        <v>29544</v>
      </c>
      <c r="E27747" s="62"/>
      <c r="F27747" s="62" t="str">
        <f>IF(INDEX(I.Gas.P3Y1C1E1,13)="","",INDEX(I.Gas.P3Y1C1E1,13))</f>
        <v/>
      </c>
      <c r="G27747" s="62"/>
      <c r="H27747" s="46" t="str">
        <f>IF(OR(I.Developer.P3=FALSE,I.Facility.StandardPart="Part 2"),"Complete",IF(I.Product.P3GasToPowerStatus&lt;&gt;"Yes","Complete",IF(AND(I.Gas.P3Y1Count&gt;=13,F27747=""),"Incomplete","Complete")))</f>
        <v>Complete</v>
      </c>
      <c r="I27747" s="48" t="s">
        <v>2926</v>
      </c>
    </row>
    <row r="27748" spans="2:9" ht="15" customHeight="1" x14ac:dyDescent="0.25">
      <c r="B27748" s="55" t="s">
        <v>407</v>
      </c>
      <c r="C27748" s="46">
        <v>14</v>
      </c>
      <c r="D27748" s="69" t="s">
        <v>29544</v>
      </c>
      <c r="E27748" s="62"/>
      <c r="F27748" s="62" t="str">
        <f>IF(INDEX(I.Gas.P3Y1C1E1,14)="","",INDEX(I.Gas.P3Y1C1E1,14))</f>
        <v/>
      </c>
      <c r="G27748" s="62"/>
      <c r="H27748" s="46" t="str">
        <f>IF(OR(I.Developer.P3=FALSE,I.Facility.StandardPart="Part 2"),"Complete",IF(I.Product.P3GasToPowerStatus&lt;&gt;"Yes","Complete",IF(AND(I.Gas.P3Y1Count&gt;=14,F27748=""),"Incomplete","Complete")))</f>
        <v>Complete</v>
      </c>
      <c r="I27748" s="48" t="s">
        <v>2927</v>
      </c>
    </row>
    <row r="27749" spans="2:9" ht="15" customHeight="1" x14ac:dyDescent="0.25">
      <c r="B27749" s="55" t="s">
        <v>407</v>
      </c>
      <c r="C27749" s="46">
        <v>15</v>
      </c>
      <c r="D27749" s="69" t="s">
        <v>29544</v>
      </c>
      <c r="E27749" s="62"/>
      <c r="F27749" s="62" t="str">
        <f>IF(INDEX(I.Gas.P3Y1C1E1,15)="","",INDEX(I.Gas.P3Y1C1E1,15))</f>
        <v/>
      </c>
      <c r="G27749" s="62"/>
      <c r="H27749" s="46" t="str">
        <f>IF(OR(I.Developer.P3=FALSE,I.Facility.StandardPart="Part 2"),"Complete",IF(I.Product.P3GasToPowerStatus&lt;&gt;"Yes","Complete",IF(AND(I.Gas.P3Y1Count&gt;=15,F27749=""),"Incomplete","Complete")))</f>
        <v>Complete</v>
      </c>
      <c r="I27749" s="48" t="s">
        <v>2928</v>
      </c>
    </row>
    <row r="27750" spans="2:9" ht="15" customHeight="1" x14ac:dyDescent="0.25">
      <c r="B27750" s="55" t="s">
        <v>407</v>
      </c>
      <c r="C27750" s="46">
        <v>16</v>
      </c>
      <c r="D27750" s="69" t="s">
        <v>29544</v>
      </c>
      <c r="E27750" s="62"/>
      <c r="F27750" s="62" t="str">
        <f>IF(INDEX(I.Gas.P3Y1C1E1,16)="","",INDEX(I.Gas.P3Y1C1E1,16))</f>
        <v/>
      </c>
      <c r="G27750" s="62"/>
      <c r="H27750" s="46" t="str">
        <f>IF(OR(I.Developer.P3=FALSE,I.Facility.StandardPart="Part 2"),"Complete",IF(I.Product.P3GasToPowerStatus&lt;&gt;"Yes","Complete",IF(AND(I.Gas.P3Y1Count&gt;=16,F27750=""),"Incomplete","Complete")))</f>
        <v>Complete</v>
      </c>
      <c r="I27750" s="48" t="s">
        <v>2929</v>
      </c>
    </row>
    <row r="27751" spans="2:9" ht="15" customHeight="1" x14ac:dyDescent="0.25">
      <c r="B27751" s="55" t="s">
        <v>407</v>
      </c>
      <c r="C27751" s="46">
        <v>17</v>
      </c>
      <c r="D27751" s="69" t="s">
        <v>29544</v>
      </c>
      <c r="E27751" s="62"/>
      <c r="F27751" s="62" t="str">
        <f>IF(INDEX(I.Gas.P3Y1C1E1,17)="","",INDEX(I.Gas.P3Y1C1E1,17))</f>
        <v/>
      </c>
      <c r="G27751" s="62"/>
      <c r="H27751" s="46" t="str">
        <f>IF(OR(I.Developer.P3=FALSE,I.Facility.StandardPart="Part 2"),"Complete",IF(I.Product.P3GasToPowerStatus&lt;&gt;"Yes","Complete",IF(AND(I.Gas.P3Y1Count&gt;=17,F27751=""),"Incomplete","Complete")))</f>
        <v>Complete</v>
      </c>
      <c r="I27751" s="48" t="s">
        <v>2930</v>
      </c>
    </row>
    <row r="27752" spans="2:9" ht="15" customHeight="1" x14ac:dyDescent="0.25">
      <c r="B27752" s="55" t="s">
        <v>407</v>
      </c>
      <c r="C27752" s="46">
        <v>18</v>
      </c>
      <c r="D27752" s="69" t="s">
        <v>29544</v>
      </c>
      <c r="E27752" s="62"/>
      <c r="F27752" s="62" t="str">
        <f>IF(INDEX(I.Gas.P3Y1C1E1,18)="","",INDEX(I.Gas.P3Y1C1E1,18))</f>
        <v/>
      </c>
      <c r="G27752" s="62"/>
      <c r="H27752" s="46" t="str">
        <f>IF(OR(I.Developer.P3=FALSE,I.Facility.StandardPart="Part 2"),"Complete",IF(I.Product.P3GasToPowerStatus&lt;&gt;"Yes","Complete",IF(AND(I.Gas.P3Y1Count&gt;=18,F27752=""),"Incomplete","Complete")))</f>
        <v>Complete</v>
      </c>
      <c r="I27752" s="48" t="s">
        <v>2931</v>
      </c>
    </row>
    <row r="27753" spans="2:9" ht="15" customHeight="1" x14ac:dyDescent="0.25">
      <c r="B27753" s="55" t="s">
        <v>407</v>
      </c>
      <c r="C27753" s="46">
        <v>19</v>
      </c>
      <c r="D27753" s="69" t="s">
        <v>29544</v>
      </c>
      <c r="E27753" s="62"/>
      <c r="F27753" s="62" t="str">
        <f>IF(INDEX(I.Gas.P3Y1C1E1,19)="","",INDEX(I.Gas.P3Y1C1E1,19))</f>
        <v/>
      </c>
      <c r="G27753" s="62"/>
      <c r="H27753" s="46" t="str">
        <f>IF(OR(I.Developer.P3=FALSE,I.Facility.StandardPart="Part 2"),"Complete",IF(I.Product.P3GasToPowerStatus&lt;&gt;"Yes","Complete",IF(AND(I.Gas.P3Y1Count&gt;=19,F27753=""),"Incomplete","Complete")))</f>
        <v>Complete</v>
      </c>
      <c r="I27753" s="48" t="s">
        <v>2932</v>
      </c>
    </row>
    <row r="27754" spans="2:9" ht="15" customHeight="1" x14ac:dyDescent="0.25">
      <c r="B27754" s="55" t="s">
        <v>407</v>
      </c>
      <c r="C27754" s="46">
        <v>20</v>
      </c>
      <c r="D27754" s="69" t="s">
        <v>29544</v>
      </c>
      <c r="E27754" s="62"/>
      <c r="F27754" s="62" t="str">
        <f>IF(INDEX(I.Gas.P3Y1C1E1,20)="","",INDEX(I.Gas.P3Y1C1E1,20))</f>
        <v/>
      </c>
      <c r="G27754" s="62"/>
      <c r="H27754" s="46" t="str">
        <f>IF(OR(I.Developer.P3=FALSE,I.Facility.StandardPart="Part 2"),"Complete",IF(I.Product.P3GasToPowerStatus&lt;&gt;"Yes","Complete",IF(AND(I.Gas.P3Y1Count&gt;=20,F27754=""),"Incomplete","Complete")))</f>
        <v>Complete</v>
      </c>
      <c r="I27754" s="48" t="s">
        <v>2933</v>
      </c>
    </row>
    <row r="27755" spans="2:9" ht="15" customHeight="1" x14ac:dyDescent="0.25">
      <c r="B27755" s="55" t="s">
        <v>407</v>
      </c>
      <c r="C27755" s="46">
        <v>21</v>
      </c>
      <c r="D27755" s="69" t="s">
        <v>29544</v>
      </c>
      <c r="E27755" s="62"/>
      <c r="F27755" s="62" t="str">
        <f>IF(INDEX(I.Gas.P3Y1C1E1,21)="","",INDEX(I.Gas.P3Y1C1E1,21))</f>
        <v/>
      </c>
      <c r="G27755" s="62"/>
      <c r="H27755" s="46" t="str">
        <f>IF(OR(I.Developer.P3=FALSE,I.Facility.StandardPart="Part 2"),"Complete",IF(I.Product.P3GasToPowerStatus&lt;&gt;"Yes","Complete",IF(AND(I.Gas.P3Y1Count&gt;=21,F27755=""),"Incomplete","Complete")))</f>
        <v>Complete</v>
      </c>
      <c r="I27755" s="48" t="s">
        <v>2934</v>
      </c>
    </row>
    <row r="27756" spans="2:9" ht="15" customHeight="1" x14ac:dyDescent="0.25">
      <c r="B27756" s="55" t="s">
        <v>407</v>
      </c>
      <c r="C27756" s="46">
        <v>22</v>
      </c>
      <c r="D27756" s="69" t="s">
        <v>29544</v>
      </c>
      <c r="E27756" s="62"/>
      <c r="F27756" s="62" t="str">
        <f>IF(INDEX(I.Gas.P3Y1C1E1,22)="","",INDEX(I.Gas.P3Y1C1E1,22))</f>
        <v/>
      </c>
      <c r="G27756" s="62"/>
      <c r="H27756" s="46" t="str">
        <f>IF(OR(I.Developer.P3=FALSE,I.Facility.StandardPart="Part 2"),"Complete",IF(I.Product.P3GasToPowerStatus&lt;&gt;"Yes","Complete",IF(AND(I.Gas.P3Y1Count&gt;=22,F27756=""),"Incomplete","Complete")))</f>
        <v>Complete</v>
      </c>
      <c r="I27756" s="48" t="s">
        <v>2935</v>
      </c>
    </row>
    <row r="27757" spans="2:9" ht="15" customHeight="1" x14ac:dyDescent="0.25">
      <c r="B27757" s="55" t="s">
        <v>407</v>
      </c>
      <c r="C27757" s="46">
        <v>23</v>
      </c>
      <c r="D27757" s="69" t="s">
        <v>29544</v>
      </c>
      <c r="E27757" s="62"/>
      <c r="F27757" s="62" t="str">
        <f>IF(INDEX(I.Gas.P3Y1C1E1,23)="","",INDEX(I.Gas.P3Y1C1E1,23))</f>
        <v/>
      </c>
      <c r="G27757" s="62"/>
      <c r="H27757" s="46" t="str">
        <f>IF(OR(I.Developer.P3=FALSE,I.Facility.StandardPart="Part 2"),"Complete",IF(I.Product.P3GasToPowerStatus&lt;&gt;"Yes","Complete",IF(AND(I.Gas.P3Y1Count&gt;=23,F27757=""),"Incomplete","Complete")))</f>
        <v>Complete</v>
      </c>
      <c r="I27757" s="48" t="s">
        <v>2936</v>
      </c>
    </row>
    <row r="27758" spans="2:9" ht="15" customHeight="1" x14ac:dyDescent="0.25">
      <c r="B27758" s="55" t="s">
        <v>407</v>
      </c>
      <c r="C27758" s="46">
        <v>24</v>
      </c>
      <c r="D27758" s="69" t="s">
        <v>29544</v>
      </c>
      <c r="E27758" s="62"/>
      <c r="F27758" s="62" t="str">
        <f>IF(INDEX(I.Gas.P3Y1C1E1,24)="","",INDEX(I.Gas.P3Y1C1E1,24))</f>
        <v/>
      </c>
      <c r="G27758" s="62"/>
      <c r="H27758" s="46" t="str">
        <f>IF(OR(I.Developer.P3=FALSE,I.Facility.StandardPart="Part 2"),"Complete",IF(I.Product.P3GasToPowerStatus&lt;&gt;"Yes","Complete",IF(AND(I.Gas.P3Y1Count&gt;=24,F27758=""),"Incomplete","Complete")))</f>
        <v>Complete</v>
      </c>
      <c r="I27758" s="48" t="s">
        <v>2937</v>
      </c>
    </row>
    <row r="27759" spans="2:9" ht="15" customHeight="1" x14ac:dyDescent="0.25">
      <c r="B27759" s="55" t="s">
        <v>407</v>
      </c>
      <c r="C27759" s="46">
        <v>25</v>
      </c>
      <c r="D27759" s="69" t="s">
        <v>29544</v>
      </c>
      <c r="E27759" s="62"/>
      <c r="F27759" s="62" t="str">
        <f>IF(INDEX(I.Gas.P3Y1C1E1,25)="","",INDEX(I.Gas.P3Y1C1E1,25))</f>
        <v/>
      </c>
      <c r="G27759" s="62"/>
      <c r="H27759" s="46" t="str">
        <f>IF(OR(I.Developer.P3=FALSE,I.Facility.StandardPart="Part 2"),"Complete",IF(I.Product.P3GasToPowerStatus&lt;&gt;"Yes","Complete",IF(AND(I.Gas.P3Y1Count&gt;=25,F27759=""),"Incomplete","Complete")))</f>
        <v>Complete</v>
      </c>
      <c r="I27759" s="48" t="s">
        <v>2938</v>
      </c>
    </row>
    <row r="27760" spans="2:9" ht="15" customHeight="1" x14ac:dyDescent="0.25">
      <c r="B27760" s="55" t="s">
        <v>407</v>
      </c>
      <c r="C27760" s="46">
        <v>26</v>
      </c>
      <c r="D27760" s="69" t="s">
        <v>29544</v>
      </c>
      <c r="E27760" s="62"/>
      <c r="F27760" s="62" t="str">
        <f>IF(INDEX(I.Gas.P3Y1C1E1,26)="","",INDEX(I.Gas.P3Y1C1E1,26))</f>
        <v/>
      </c>
      <c r="G27760" s="62"/>
      <c r="H27760" s="46" t="str">
        <f>IF(OR(I.Developer.P3=FALSE,I.Facility.StandardPart="Part 2"),"Complete",IF(I.Product.P3GasToPowerStatus&lt;&gt;"Yes","Complete",IF(AND(I.Gas.P3Y1Count&gt;=26,F27760=""),"Incomplete","Complete")))</f>
        <v>Complete</v>
      </c>
      <c r="I27760" s="48" t="s">
        <v>2939</v>
      </c>
    </row>
    <row r="27761" spans="2:9" ht="15" customHeight="1" x14ac:dyDescent="0.25">
      <c r="B27761" s="55" t="s">
        <v>407</v>
      </c>
      <c r="C27761" s="46">
        <v>27</v>
      </c>
      <c r="D27761" s="69" t="s">
        <v>29544</v>
      </c>
      <c r="E27761" s="62"/>
      <c r="F27761" s="62" t="str">
        <f>IF(INDEX(I.Gas.P3Y1C1E1,27)="","",INDEX(I.Gas.P3Y1C1E1,27))</f>
        <v/>
      </c>
      <c r="G27761" s="62"/>
      <c r="H27761" s="46" t="str">
        <f>IF(OR(I.Developer.P3=FALSE,I.Facility.StandardPart="Part 2"),"Complete",IF(I.Product.P3GasToPowerStatus&lt;&gt;"Yes","Complete",IF(AND(I.Gas.P3Y1Count&gt;=27,F27761=""),"Incomplete","Complete")))</f>
        <v>Complete</v>
      </c>
      <c r="I27761" s="48" t="s">
        <v>2940</v>
      </c>
    </row>
    <row r="27762" spans="2:9" ht="15" customHeight="1" x14ac:dyDescent="0.25">
      <c r="B27762" s="55" t="s">
        <v>407</v>
      </c>
      <c r="C27762" s="46">
        <v>28</v>
      </c>
      <c r="D27762" s="69" t="s">
        <v>29544</v>
      </c>
      <c r="E27762" s="62"/>
      <c r="F27762" s="62" t="str">
        <f>IF(INDEX(I.Gas.P3Y1C1E1,28)="","",INDEX(I.Gas.P3Y1C1E1,28))</f>
        <v/>
      </c>
      <c r="G27762" s="62"/>
      <c r="H27762" s="46" t="str">
        <f>IF(OR(I.Developer.P3=FALSE,I.Facility.StandardPart="Part 2"),"Complete",IF(I.Product.P3GasToPowerStatus&lt;&gt;"Yes","Complete",IF(AND(I.Gas.P3Y1Count&gt;=28,F27762=""),"Incomplete","Complete")))</f>
        <v>Complete</v>
      </c>
      <c r="I27762" s="48" t="s">
        <v>2941</v>
      </c>
    </row>
    <row r="27763" spans="2:9" ht="15" customHeight="1" x14ac:dyDescent="0.25">
      <c r="B27763" s="55" t="s">
        <v>407</v>
      </c>
      <c r="C27763" s="46">
        <v>29</v>
      </c>
      <c r="D27763" s="69" t="s">
        <v>29544</v>
      </c>
      <c r="E27763" s="62"/>
      <c r="F27763" s="62" t="str">
        <f>IF(INDEX(I.Gas.P3Y1C1E1,29)="","",INDEX(I.Gas.P3Y1C1E1,29))</f>
        <v/>
      </c>
      <c r="G27763" s="62"/>
      <c r="H27763" s="46" t="str">
        <f>IF(OR(I.Developer.P3=FALSE,I.Facility.StandardPart="Part 2"),"Complete",IF(I.Product.P3GasToPowerStatus&lt;&gt;"Yes","Complete",IF(AND(I.Gas.P3Y1Count&gt;=29,F27763=""),"Incomplete","Complete")))</f>
        <v>Complete</v>
      </c>
      <c r="I27763" s="48" t="s">
        <v>2942</v>
      </c>
    </row>
    <row r="27764" spans="2:9" ht="15" customHeight="1" x14ac:dyDescent="0.25">
      <c r="B27764" s="55" t="s">
        <v>407</v>
      </c>
      <c r="C27764" s="46">
        <v>30</v>
      </c>
      <c r="D27764" s="69" t="s">
        <v>29544</v>
      </c>
      <c r="E27764" s="62"/>
      <c r="F27764" s="62" t="str">
        <f>IF(INDEX(I.Gas.P3Y1C1E1,30)="","",INDEX(I.Gas.P3Y1C1E1,30))</f>
        <v/>
      </c>
      <c r="G27764" s="62"/>
      <c r="H27764" s="46" t="str">
        <f>IF(OR(I.Developer.P3=FALSE,I.Facility.StandardPart="Part 2"),"Complete",IF(I.Product.P3GasToPowerStatus&lt;&gt;"Yes","Complete",IF(AND(I.Gas.P3Y1Count&gt;=30,F27764=""),"Incomplete","Complete")))</f>
        <v>Complete</v>
      </c>
      <c r="I27764" s="48" t="s">
        <v>2943</v>
      </c>
    </row>
    <row r="27765" spans="2:9" ht="15" customHeight="1" x14ac:dyDescent="0.25">
      <c r="B27765" s="55" t="s">
        <v>407</v>
      </c>
      <c r="C27765" s="46">
        <v>31</v>
      </c>
      <c r="D27765" s="69" t="s">
        <v>29544</v>
      </c>
      <c r="E27765" s="62"/>
      <c r="F27765" s="62" t="str">
        <f>IF(INDEX(I.Gas.P3Y1C1E1,31)="","",INDEX(I.Gas.P3Y1C1E1,31))</f>
        <v/>
      </c>
      <c r="G27765" s="62"/>
      <c r="H27765" s="46" t="str">
        <f>IF(OR(I.Developer.P3=FALSE,I.Facility.StandardPart="Part 2"),"Complete",IF(I.Product.P3GasToPowerStatus&lt;&gt;"Yes","Complete",IF(AND(I.Gas.P3Y1Count&gt;=31,F27765=""),"Incomplete","Complete")))</f>
        <v>Complete</v>
      </c>
      <c r="I27765" s="48" t="s">
        <v>2944</v>
      </c>
    </row>
    <row r="27766" spans="2:9" ht="15" customHeight="1" x14ac:dyDescent="0.25">
      <c r="B27766" s="55" t="s">
        <v>407</v>
      </c>
      <c r="C27766" s="46">
        <v>32</v>
      </c>
      <c r="D27766" s="69" t="s">
        <v>29544</v>
      </c>
      <c r="E27766" s="62"/>
      <c r="F27766" s="62" t="str">
        <f>IF(INDEX(I.Gas.P3Y1C1E1,32)="","",INDEX(I.Gas.P3Y1C1E1,32))</f>
        <v/>
      </c>
      <c r="G27766" s="62"/>
      <c r="H27766" s="46" t="str">
        <f>IF(OR(I.Developer.P3=FALSE,I.Facility.StandardPart="Part 2"),"Complete",IF(I.Product.P3GasToPowerStatus&lt;&gt;"Yes","Complete",IF(AND(I.Gas.P3Y1Count&gt;=32,F27766=""),"Incomplete","Complete")))</f>
        <v>Complete</v>
      </c>
      <c r="I27766" s="48" t="s">
        <v>2945</v>
      </c>
    </row>
    <row r="27767" spans="2:9" ht="15" customHeight="1" x14ac:dyDescent="0.25">
      <c r="B27767" s="55" t="s">
        <v>407</v>
      </c>
      <c r="C27767" s="46">
        <v>33</v>
      </c>
      <c r="D27767" s="69" t="s">
        <v>29544</v>
      </c>
      <c r="E27767" s="62"/>
      <c r="F27767" s="62" t="str">
        <f>IF(INDEX(I.Gas.P3Y1C1E1,33)="","",INDEX(I.Gas.P3Y1C1E1,33))</f>
        <v/>
      </c>
      <c r="G27767" s="62"/>
      <c r="H27767" s="46" t="str">
        <f>IF(OR(I.Developer.P3=FALSE,I.Facility.StandardPart="Part 2"),"Complete",IF(I.Product.P3GasToPowerStatus&lt;&gt;"Yes","Complete",IF(AND(I.Gas.P3Y1Count&gt;=33,F27767=""),"Incomplete","Complete")))</f>
        <v>Complete</v>
      </c>
      <c r="I27767" s="48" t="s">
        <v>2946</v>
      </c>
    </row>
    <row r="27768" spans="2:9" ht="15" customHeight="1" x14ac:dyDescent="0.25">
      <c r="B27768" s="55" t="s">
        <v>407</v>
      </c>
      <c r="C27768" s="46">
        <v>34</v>
      </c>
      <c r="D27768" s="69" t="s">
        <v>29544</v>
      </c>
      <c r="E27768" s="62"/>
      <c r="F27768" s="62" t="str">
        <f>IF(INDEX(I.Gas.P3Y1C1E1,34)="","",INDEX(I.Gas.P3Y1C1E1,34))</f>
        <v/>
      </c>
      <c r="G27768" s="62"/>
      <c r="H27768" s="46" t="str">
        <f>IF(OR(I.Developer.P3=FALSE,I.Facility.StandardPart="Part 2"),"Complete",IF(I.Product.P3GasToPowerStatus&lt;&gt;"Yes","Complete",IF(AND(I.Gas.P3Y1Count&gt;=34,F27768=""),"Incomplete","Complete")))</f>
        <v>Complete</v>
      </c>
      <c r="I27768" s="48" t="s">
        <v>2947</v>
      </c>
    </row>
    <row r="27769" spans="2:9" ht="15" customHeight="1" x14ac:dyDescent="0.25">
      <c r="B27769" s="55" t="s">
        <v>407</v>
      </c>
      <c r="C27769" s="46">
        <v>35</v>
      </c>
      <c r="D27769" s="69" t="s">
        <v>29544</v>
      </c>
      <c r="E27769" s="62"/>
      <c r="F27769" s="62" t="str">
        <f>IF(INDEX(I.Gas.P3Y1C1E1,35)="","",INDEX(I.Gas.P3Y1C1E1,35))</f>
        <v/>
      </c>
      <c r="G27769" s="62"/>
      <c r="H27769" s="46" t="str">
        <f>IF(OR(I.Developer.P3=FALSE,I.Facility.StandardPart="Part 2"),"Complete",IF(I.Product.P3GasToPowerStatus&lt;&gt;"Yes","Complete",IF(AND(I.Gas.P3Y1Count&gt;=35,F27769=""),"Incomplete","Complete")))</f>
        <v>Complete</v>
      </c>
      <c r="I27769" s="48" t="s">
        <v>2948</v>
      </c>
    </row>
    <row r="27770" spans="2:9" ht="15" customHeight="1" x14ac:dyDescent="0.25">
      <c r="B27770" s="55" t="s">
        <v>407</v>
      </c>
      <c r="C27770" s="46">
        <v>36</v>
      </c>
      <c r="D27770" s="69" t="s">
        <v>29544</v>
      </c>
      <c r="E27770" s="62"/>
      <c r="F27770" s="62" t="str">
        <f>IF(INDEX(I.Gas.P3Y1C1E1,36)="","",INDEX(I.Gas.P3Y1C1E1,36))</f>
        <v/>
      </c>
      <c r="G27770" s="62"/>
      <c r="H27770" s="46" t="str">
        <f>IF(OR(I.Developer.P3=FALSE,I.Facility.StandardPart="Part 2"),"Complete",IF(I.Product.P3GasToPowerStatus&lt;&gt;"Yes","Complete",IF(AND(I.Gas.P3Y1Count&gt;=36,F27770=""),"Incomplete","Complete")))</f>
        <v>Complete</v>
      </c>
      <c r="I27770" s="48" t="s">
        <v>2949</v>
      </c>
    </row>
    <row r="27771" spans="2:9" ht="15" customHeight="1" x14ac:dyDescent="0.25">
      <c r="B27771" s="55" t="s">
        <v>407</v>
      </c>
      <c r="C27771" s="46">
        <v>37</v>
      </c>
      <c r="D27771" s="69" t="s">
        <v>29544</v>
      </c>
      <c r="E27771" s="62"/>
      <c r="F27771" s="62" t="str">
        <f>IF(INDEX(I.Gas.P3Y1C1E1,37)="","",INDEX(I.Gas.P3Y1C1E1,37))</f>
        <v/>
      </c>
      <c r="G27771" s="62"/>
      <c r="H27771" s="46" t="str">
        <f>IF(OR(I.Developer.P3=FALSE,I.Facility.StandardPart="Part 2"),"Complete",IF(I.Product.P3GasToPowerStatus&lt;&gt;"Yes","Complete",IF(AND(I.Gas.P3Y1Count&gt;=37,F27771=""),"Incomplete","Complete")))</f>
        <v>Complete</v>
      </c>
      <c r="I27771" s="48" t="s">
        <v>2950</v>
      </c>
    </row>
    <row r="27772" spans="2:9" ht="15" customHeight="1" x14ac:dyDescent="0.25">
      <c r="B27772" s="55" t="s">
        <v>407</v>
      </c>
      <c r="C27772" s="46">
        <v>38</v>
      </c>
      <c r="D27772" s="69" t="s">
        <v>29544</v>
      </c>
      <c r="E27772" s="62"/>
      <c r="F27772" s="62" t="str">
        <f>IF(INDEX(I.Gas.P3Y1C1E1,38)="","",INDEX(I.Gas.P3Y1C1E1,38))</f>
        <v/>
      </c>
      <c r="G27772" s="62"/>
      <c r="H27772" s="46" t="str">
        <f>IF(OR(I.Developer.P3=FALSE,I.Facility.StandardPart="Part 2"),"Complete",IF(I.Product.P3GasToPowerStatus&lt;&gt;"Yes","Complete",IF(AND(I.Gas.P3Y1Count&gt;=38,F27772=""),"Incomplete","Complete")))</f>
        <v>Complete</v>
      </c>
      <c r="I27772" s="48" t="s">
        <v>2951</v>
      </c>
    </row>
    <row r="27773" spans="2:9" ht="15" customHeight="1" x14ac:dyDescent="0.25">
      <c r="B27773" s="55" t="s">
        <v>407</v>
      </c>
      <c r="C27773" s="46">
        <v>39</v>
      </c>
      <c r="D27773" s="69" t="s">
        <v>29544</v>
      </c>
      <c r="E27773" s="62"/>
      <c r="F27773" s="62" t="str">
        <f>IF(INDEX(I.Gas.P3Y1C1E1,39)="","",INDEX(I.Gas.P3Y1C1E1,39))</f>
        <v/>
      </c>
      <c r="G27773" s="62"/>
      <c r="H27773" s="46" t="str">
        <f>IF(OR(I.Developer.P3=FALSE,I.Facility.StandardPart="Part 2"),"Complete",IF(I.Product.P3GasToPowerStatus&lt;&gt;"Yes","Complete",IF(AND(I.Gas.P3Y1Count&gt;=39,F27773=""),"Incomplete","Complete")))</f>
        <v>Complete</v>
      </c>
      <c r="I27773" s="48" t="s">
        <v>2952</v>
      </c>
    </row>
    <row r="27774" spans="2:9" ht="15" customHeight="1" x14ac:dyDescent="0.25">
      <c r="B27774" s="55" t="s">
        <v>407</v>
      </c>
      <c r="C27774" s="46">
        <v>40</v>
      </c>
      <c r="D27774" s="69" t="s">
        <v>29544</v>
      </c>
      <c r="E27774" s="62"/>
      <c r="F27774" s="62" t="str">
        <f>IF(INDEX(I.Gas.P3Y1C1E1,40)="","",INDEX(I.Gas.P3Y1C1E1,40))</f>
        <v/>
      </c>
      <c r="G27774" s="62"/>
      <c r="H27774" s="46" t="str">
        <f>IF(OR(I.Developer.P3=FALSE,I.Facility.StandardPart="Part 2"),"Complete",IF(I.Product.P3GasToPowerStatus&lt;&gt;"Yes","Complete",IF(AND(I.Gas.P3Y1Count&gt;=40,F27774=""),"Incomplete","Complete")))</f>
        <v>Complete</v>
      </c>
      <c r="I27774" s="48" t="s">
        <v>2953</v>
      </c>
    </row>
    <row r="27775" spans="2:9" ht="15" customHeight="1" x14ac:dyDescent="0.25">
      <c r="B27775" s="55" t="s">
        <v>407</v>
      </c>
      <c r="C27775" s="46">
        <v>41</v>
      </c>
      <c r="D27775" s="69" t="s">
        <v>29544</v>
      </c>
      <c r="E27775" s="62"/>
      <c r="F27775" s="62" t="str">
        <f>IF(INDEX(I.Gas.P3Y1C1E1,41)="","",INDEX(I.Gas.P3Y1C1E1,41))</f>
        <v/>
      </c>
      <c r="G27775" s="62"/>
      <c r="H27775" s="46" t="str">
        <f>IF(OR(I.Developer.P3=FALSE,I.Facility.StandardPart="Part 2"),"Complete",IF(I.Product.P3GasToPowerStatus&lt;&gt;"Yes","Complete",IF(AND(I.Gas.P3Y1Count&gt;=41,F27775=""),"Incomplete","Complete")))</f>
        <v>Complete</v>
      </c>
      <c r="I27775" s="48" t="s">
        <v>2954</v>
      </c>
    </row>
    <row r="27776" spans="2:9" ht="15" customHeight="1" x14ac:dyDescent="0.25">
      <c r="B27776" s="55" t="s">
        <v>407</v>
      </c>
      <c r="C27776" s="46">
        <v>42</v>
      </c>
      <c r="D27776" s="69" t="s">
        <v>29544</v>
      </c>
      <c r="E27776" s="62"/>
      <c r="F27776" s="62" t="str">
        <f>IF(INDEX(I.Gas.P3Y1C1E1,42)="","",INDEX(I.Gas.P3Y1C1E1,42))</f>
        <v/>
      </c>
      <c r="G27776" s="62"/>
      <c r="H27776" s="46" t="str">
        <f>IF(OR(I.Developer.P3=FALSE,I.Facility.StandardPart="Part 2"),"Complete",IF(I.Product.P3GasToPowerStatus&lt;&gt;"Yes","Complete",IF(AND(I.Gas.P3Y1Count&gt;=42,F27776=""),"Incomplete","Complete")))</f>
        <v>Complete</v>
      </c>
      <c r="I27776" s="48" t="s">
        <v>2955</v>
      </c>
    </row>
    <row r="27777" spans="2:9" ht="15" customHeight="1" x14ac:dyDescent="0.25">
      <c r="B27777" s="55" t="s">
        <v>407</v>
      </c>
      <c r="C27777" s="46">
        <v>43</v>
      </c>
      <c r="D27777" s="69" t="s">
        <v>29544</v>
      </c>
      <c r="E27777" s="62"/>
      <c r="F27777" s="62" t="str">
        <f>IF(INDEX(I.Gas.P3Y1C1E1,43)="","",INDEX(I.Gas.P3Y1C1E1,43))</f>
        <v/>
      </c>
      <c r="G27777" s="62"/>
      <c r="H27777" s="46" t="str">
        <f>IF(OR(I.Developer.P3=FALSE,I.Facility.StandardPart="Part 2"),"Complete",IF(I.Product.P3GasToPowerStatus&lt;&gt;"Yes","Complete",IF(AND(I.Gas.P3Y1Count&gt;=43,F27777=""),"Incomplete","Complete")))</f>
        <v>Complete</v>
      </c>
      <c r="I27777" s="48" t="s">
        <v>2956</v>
      </c>
    </row>
    <row r="27778" spans="2:9" ht="15" customHeight="1" x14ac:dyDescent="0.25">
      <c r="B27778" s="55" t="s">
        <v>407</v>
      </c>
      <c r="C27778" s="46">
        <v>44</v>
      </c>
      <c r="D27778" s="69" t="s">
        <v>29544</v>
      </c>
      <c r="E27778" s="62"/>
      <c r="F27778" s="62" t="str">
        <f>IF(INDEX(I.Gas.P3Y1C1E1,44)="","",INDEX(I.Gas.P3Y1C1E1,44))</f>
        <v/>
      </c>
      <c r="G27778" s="62"/>
      <c r="H27778" s="46" t="str">
        <f>IF(OR(I.Developer.P3=FALSE,I.Facility.StandardPart="Part 2"),"Complete",IF(I.Product.P3GasToPowerStatus&lt;&gt;"Yes","Complete",IF(AND(I.Gas.P3Y1Count&gt;=44,F27778=""),"Incomplete","Complete")))</f>
        <v>Complete</v>
      </c>
      <c r="I27778" s="48" t="s">
        <v>2957</v>
      </c>
    </row>
    <row r="27779" spans="2:9" ht="15" customHeight="1" x14ac:dyDescent="0.25">
      <c r="B27779" s="55" t="s">
        <v>407</v>
      </c>
      <c r="C27779" s="46">
        <v>45</v>
      </c>
      <c r="D27779" s="69" t="s">
        <v>29544</v>
      </c>
      <c r="E27779" s="62"/>
      <c r="F27779" s="62" t="str">
        <f>IF(INDEX(I.Gas.P3Y1C1E1,45)="","",INDEX(I.Gas.P3Y1C1E1,45))</f>
        <v/>
      </c>
      <c r="G27779" s="62"/>
      <c r="H27779" s="46" t="str">
        <f>IF(OR(I.Developer.P3=FALSE,I.Facility.StandardPart="Part 2"),"Complete",IF(I.Product.P3GasToPowerStatus&lt;&gt;"Yes","Complete",IF(AND(I.Gas.P3Y1Count&gt;=45,F27779=""),"Incomplete","Complete")))</f>
        <v>Complete</v>
      </c>
      <c r="I27779" s="48" t="s">
        <v>2958</v>
      </c>
    </row>
    <row r="27780" spans="2:9" ht="15" customHeight="1" x14ac:dyDescent="0.25">
      <c r="B27780" s="55" t="s">
        <v>407</v>
      </c>
      <c r="C27780" s="46">
        <v>46</v>
      </c>
      <c r="D27780" s="69" t="s">
        <v>29544</v>
      </c>
      <c r="E27780" s="62"/>
      <c r="F27780" s="62" t="str">
        <f>IF(INDEX(I.Gas.P3Y1C1E1,46)="","",INDEX(I.Gas.P3Y1C1E1,46))</f>
        <v/>
      </c>
      <c r="G27780" s="62"/>
      <c r="H27780" s="46" t="str">
        <f>IF(OR(I.Developer.P3=FALSE,I.Facility.StandardPart="Part 2"),"Complete",IF(I.Product.P3GasToPowerStatus&lt;&gt;"Yes","Complete",IF(AND(I.Gas.P3Y1Count&gt;=46,F27780=""),"Incomplete","Complete")))</f>
        <v>Complete</v>
      </c>
      <c r="I27780" s="48" t="s">
        <v>2959</v>
      </c>
    </row>
    <row r="27781" spans="2:9" ht="15" customHeight="1" x14ac:dyDescent="0.25">
      <c r="B27781" s="55" t="s">
        <v>407</v>
      </c>
      <c r="C27781" s="46">
        <v>47</v>
      </c>
      <c r="D27781" s="69" t="s">
        <v>29544</v>
      </c>
      <c r="E27781" s="62"/>
      <c r="F27781" s="62" t="str">
        <f>IF(INDEX(I.Gas.P3Y1C1E1,47)="","",INDEX(I.Gas.P3Y1C1E1,47))</f>
        <v/>
      </c>
      <c r="G27781" s="62"/>
      <c r="H27781" s="46" t="str">
        <f>IF(OR(I.Developer.P3=FALSE,I.Facility.StandardPart="Part 2"),"Complete",IF(I.Product.P3GasToPowerStatus&lt;&gt;"Yes","Complete",IF(AND(I.Gas.P3Y1Count&gt;=47,F27781=""),"Incomplete","Complete")))</f>
        <v>Complete</v>
      </c>
      <c r="I27781" s="48" t="s">
        <v>2960</v>
      </c>
    </row>
    <row r="27782" spans="2:9" ht="15" customHeight="1" x14ac:dyDescent="0.25">
      <c r="B27782" s="55" t="s">
        <v>407</v>
      </c>
      <c r="C27782" s="46">
        <v>48</v>
      </c>
      <c r="D27782" s="69" t="s">
        <v>29544</v>
      </c>
      <c r="E27782" s="62"/>
      <c r="F27782" s="62" t="str">
        <f>IF(INDEX(I.Gas.P3Y1C1E1,48)="","",INDEX(I.Gas.P3Y1C1E1,48))</f>
        <v/>
      </c>
      <c r="G27782" s="62"/>
      <c r="H27782" s="46" t="str">
        <f>IF(OR(I.Developer.P3=FALSE,I.Facility.StandardPart="Part 2"),"Complete",IF(I.Product.P3GasToPowerStatus&lt;&gt;"Yes","Complete",IF(AND(I.Gas.P3Y1Count&gt;=48,F27782=""),"Incomplete","Complete")))</f>
        <v>Complete</v>
      </c>
      <c r="I27782" s="48" t="s">
        <v>2961</v>
      </c>
    </row>
    <row r="27783" spans="2:9" ht="15" customHeight="1" x14ac:dyDescent="0.25">
      <c r="B27783" s="55" t="s">
        <v>407</v>
      </c>
      <c r="C27783" s="46">
        <v>49</v>
      </c>
      <c r="D27783" s="69" t="s">
        <v>29544</v>
      </c>
      <c r="E27783" s="62"/>
      <c r="F27783" s="62" t="str">
        <f>IF(INDEX(I.Gas.P3Y1C1E1,49)="","",INDEX(I.Gas.P3Y1C1E1,49))</f>
        <v/>
      </c>
      <c r="G27783" s="62"/>
      <c r="H27783" s="46" t="str">
        <f>IF(OR(I.Developer.P3=FALSE,I.Facility.StandardPart="Part 2"),"Complete",IF(I.Product.P3GasToPowerStatus&lt;&gt;"Yes","Complete",IF(AND(I.Gas.P3Y1Count&gt;=49,F27783=""),"Incomplete","Complete")))</f>
        <v>Complete</v>
      </c>
      <c r="I27783" s="48" t="s">
        <v>2962</v>
      </c>
    </row>
    <row r="27784" spans="2:9" ht="15" customHeight="1" x14ac:dyDescent="0.25">
      <c r="B27784" s="56" t="s">
        <v>407</v>
      </c>
      <c r="C27784" s="57">
        <v>50</v>
      </c>
      <c r="D27784" s="71" t="s">
        <v>29544</v>
      </c>
      <c r="E27784" s="61"/>
      <c r="F27784" s="61" t="str">
        <f>IF(INDEX(I.Gas.P3Y1C1E1,50)="","",INDEX(I.Gas.P3Y1C1E1,50))</f>
        <v/>
      </c>
      <c r="G27784" s="61"/>
      <c r="H27784" s="57" t="str">
        <f>IF(OR(I.Developer.P3=FALSE,I.Facility.StandardPart="Part 2"),"Complete",IF(I.Product.P3GasToPowerStatus&lt;&gt;"Yes","Complete",IF(AND(I.Gas.P3Y1Count&gt;=50,F27784=""),"Incomplete","Complete")))</f>
        <v>Complete</v>
      </c>
      <c r="I27784" s="49" t="s">
        <v>2963</v>
      </c>
    </row>
    <row r="27785" spans="2:9" ht="15" customHeight="1" x14ac:dyDescent="0.25">
      <c r="B27785" s="55" t="s">
        <v>408</v>
      </c>
      <c r="C27785" s="46">
        <v>1</v>
      </c>
      <c r="D27785" s="69" t="s">
        <v>29545</v>
      </c>
      <c r="E27785" s="62"/>
      <c r="F27785" s="62" t="str">
        <f>IF(INDEX(I.Gas.P3Y1C1E2,1)="","",INDEX(I.Gas.P3Y1C1E2,1))</f>
        <v/>
      </c>
      <c r="G27785" s="62"/>
      <c r="H27785" s="46" t="str">
        <f>IF(OR(I.Developer.P3=FALSE,I.Facility.StandardPart="Part 2"),"Complete",IF(I.Product.P3GasToPowerStatus&lt;&gt;"Yes","Complete",IF(AND(I.Gas.P3Y1Count&gt;=1,F27785=""),"Incomplete","Complete")))</f>
        <v>Complete</v>
      </c>
      <c r="I27785" s="48" t="s">
        <v>2964</v>
      </c>
    </row>
    <row r="27786" spans="2:9" ht="15" customHeight="1" x14ac:dyDescent="0.25">
      <c r="B27786" s="55" t="s">
        <v>408</v>
      </c>
      <c r="C27786" s="46">
        <v>2</v>
      </c>
      <c r="D27786" s="69" t="s">
        <v>29545</v>
      </c>
      <c r="E27786" s="62"/>
      <c r="F27786" s="62" t="str">
        <f>IF(INDEX(I.Gas.P3Y1C1E2,2)="","",INDEX(I.Gas.P3Y1C1E2,2))</f>
        <v/>
      </c>
      <c r="G27786" s="62"/>
      <c r="H27786" s="46" t="str">
        <f>IF(OR(I.Developer.P3=FALSE,I.Facility.StandardPart="Part 2"),"Complete",IF(I.Product.P3GasToPowerStatus&lt;&gt;"Yes","Complete",IF(AND(I.Gas.P3Y1Count&gt;=2,F27786=""),"Incomplete","Complete")))</f>
        <v>Complete</v>
      </c>
      <c r="I27786" s="48" t="s">
        <v>2965</v>
      </c>
    </row>
    <row r="27787" spans="2:9" ht="15" customHeight="1" x14ac:dyDescent="0.25">
      <c r="B27787" s="55" t="s">
        <v>408</v>
      </c>
      <c r="C27787" s="46">
        <v>3</v>
      </c>
      <c r="D27787" s="69" t="s">
        <v>29545</v>
      </c>
      <c r="E27787" s="62"/>
      <c r="F27787" s="62" t="str">
        <f>IF(INDEX(I.Gas.P3Y1C1E2,3)="","",INDEX(I.Gas.P3Y1C1E2,3))</f>
        <v/>
      </c>
      <c r="G27787" s="62"/>
      <c r="H27787" s="46" t="str">
        <f>IF(OR(I.Developer.P3=FALSE,I.Facility.StandardPart="Part 2"),"Complete",IF(I.Product.P3GasToPowerStatus&lt;&gt;"Yes","Complete",IF(AND(I.Gas.P3Y1Count&gt;=3,F27787=""),"Incomplete","Complete")))</f>
        <v>Complete</v>
      </c>
      <c r="I27787" s="48" t="s">
        <v>2966</v>
      </c>
    </row>
    <row r="27788" spans="2:9" ht="15" customHeight="1" x14ac:dyDescent="0.25">
      <c r="B27788" s="55" t="s">
        <v>408</v>
      </c>
      <c r="C27788" s="46">
        <v>4</v>
      </c>
      <c r="D27788" s="69" t="s">
        <v>29545</v>
      </c>
      <c r="E27788" s="62"/>
      <c r="F27788" s="62" t="str">
        <f>IF(INDEX(I.Gas.P3Y1C1E2,4)="","",INDEX(I.Gas.P3Y1C1E2,4))</f>
        <v/>
      </c>
      <c r="G27788" s="62"/>
      <c r="H27788" s="46" t="str">
        <f>IF(OR(I.Developer.P3=FALSE,I.Facility.StandardPart="Part 2"),"Complete",IF(I.Product.P3GasToPowerStatus&lt;&gt;"Yes","Complete",IF(AND(I.Gas.P3Y1Count&gt;=4,F27788=""),"Incomplete","Complete")))</f>
        <v>Complete</v>
      </c>
      <c r="I27788" s="48" t="s">
        <v>2967</v>
      </c>
    </row>
    <row r="27789" spans="2:9" ht="15" customHeight="1" x14ac:dyDescent="0.25">
      <c r="B27789" s="55" t="s">
        <v>408</v>
      </c>
      <c r="C27789" s="46">
        <v>5</v>
      </c>
      <c r="D27789" s="69" t="s">
        <v>29545</v>
      </c>
      <c r="E27789" s="62"/>
      <c r="F27789" s="62" t="str">
        <f>IF(INDEX(I.Gas.P3Y1C1E2,5)="","",INDEX(I.Gas.P3Y1C1E2,5))</f>
        <v/>
      </c>
      <c r="G27789" s="62"/>
      <c r="H27789" s="46" t="str">
        <f>IF(OR(I.Developer.P3=FALSE,I.Facility.StandardPart="Part 2"),"Complete",IF(I.Product.P3GasToPowerStatus&lt;&gt;"Yes","Complete",IF(AND(I.Gas.P3Y1Count&gt;=5,F27789=""),"Incomplete","Complete")))</f>
        <v>Complete</v>
      </c>
      <c r="I27789" s="48" t="s">
        <v>2968</v>
      </c>
    </row>
    <row r="27790" spans="2:9" ht="15" customHeight="1" x14ac:dyDescent="0.25">
      <c r="B27790" s="55" t="s">
        <v>408</v>
      </c>
      <c r="C27790" s="46">
        <v>6</v>
      </c>
      <c r="D27790" s="69" t="s">
        <v>29545</v>
      </c>
      <c r="E27790" s="62"/>
      <c r="F27790" s="62" t="str">
        <f>IF(INDEX(I.Gas.P3Y1C1E2,6)="","",INDEX(I.Gas.P3Y1C1E2,6))</f>
        <v/>
      </c>
      <c r="G27790" s="62"/>
      <c r="H27790" s="46" t="str">
        <f>IF(OR(I.Developer.P3=FALSE,I.Facility.StandardPart="Part 2"),"Complete",IF(I.Product.P3GasToPowerStatus&lt;&gt;"Yes","Complete",IF(AND(I.Gas.P3Y1Count&gt;=6,F27790=""),"Incomplete","Complete")))</f>
        <v>Complete</v>
      </c>
      <c r="I27790" s="48" t="s">
        <v>2969</v>
      </c>
    </row>
    <row r="27791" spans="2:9" ht="15" customHeight="1" x14ac:dyDescent="0.25">
      <c r="B27791" s="55" t="s">
        <v>408</v>
      </c>
      <c r="C27791" s="46">
        <v>7</v>
      </c>
      <c r="D27791" s="69" t="s">
        <v>29545</v>
      </c>
      <c r="E27791" s="62"/>
      <c r="F27791" s="62" t="str">
        <f>IF(INDEX(I.Gas.P3Y1C1E2,7)="","",INDEX(I.Gas.P3Y1C1E2,7))</f>
        <v/>
      </c>
      <c r="G27791" s="62"/>
      <c r="H27791" s="46" t="str">
        <f>IF(OR(I.Developer.P3=FALSE,I.Facility.StandardPart="Part 2"),"Complete",IF(I.Product.P3GasToPowerStatus&lt;&gt;"Yes","Complete",IF(AND(I.Gas.P3Y1Count&gt;=7,F27791=""),"Incomplete","Complete")))</f>
        <v>Complete</v>
      </c>
      <c r="I27791" s="48" t="s">
        <v>2970</v>
      </c>
    </row>
    <row r="27792" spans="2:9" ht="15" customHeight="1" x14ac:dyDescent="0.25">
      <c r="B27792" s="55" t="s">
        <v>408</v>
      </c>
      <c r="C27792" s="46">
        <v>8</v>
      </c>
      <c r="D27792" s="69" t="s">
        <v>29545</v>
      </c>
      <c r="E27792" s="62"/>
      <c r="F27792" s="62" t="str">
        <f>IF(INDEX(I.Gas.P3Y1C1E2,8)="","",INDEX(I.Gas.P3Y1C1E2,8))</f>
        <v/>
      </c>
      <c r="G27792" s="62"/>
      <c r="H27792" s="46" t="str">
        <f>IF(OR(I.Developer.P3=FALSE,I.Facility.StandardPart="Part 2"),"Complete",IF(I.Product.P3GasToPowerStatus&lt;&gt;"Yes","Complete",IF(AND(I.Gas.P3Y1Count&gt;=8,F27792=""),"Incomplete","Complete")))</f>
        <v>Complete</v>
      </c>
      <c r="I27792" s="48" t="s">
        <v>2971</v>
      </c>
    </row>
    <row r="27793" spans="2:9" ht="15" customHeight="1" x14ac:dyDescent="0.25">
      <c r="B27793" s="55" t="s">
        <v>408</v>
      </c>
      <c r="C27793" s="46">
        <v>9</v>
      </c>
      <c r="D27793" s="69" t="s">
        <v>29545</v>
      </c>
      <c r="E27793" s="62"/>
      <c r="F27793" s="62" t="str">
        <f>IF(INDEX(I.Gas.P3Y1C1E2,9)="","",INDEX(I.Gas.P3Y1C1E2,9))</f>
        <v/>
      </c>
      <c r="G27793" s="62"/>
      <c r="H27793" s="46" t="str">
        <f>IF(OR(I.Developer.P3=FALSE,I.Facility.StandardPart="Part 2"),"Complete",IF(I.Product.P3GasToPowerStatus&lt;&gt;"Yes","Complete",IF(AND(I.Gas.P3Y1Count&gt;=9,F27793=""),"Incomplete","Complete")))</f>
        <v>Complete</v>
      </c>
      <c r="I27793" s="48" t="s">
        <v>2972</v>
      </c>
    </row>
    <row r="27794" spans="2:9" ht="15" customHeight="1" x14ac:dyDescent="0.25">
      <c r="B27794" s="55" t="s">
        <v>408</v>
      </c>
      <c r="C27794" s="46">
        <v>10</v>
      </c>
      <c r="D27794" s="69" t="s">
        <v>29545</v>
      </c>
      <c r="E27794" s="62"/>
      <c r="F27794" s="62" t="str">
        <f>IF(INDEX(I.Gas.P3Y1C1E2,10)="","",INDEX(I.Gas.P3Y1C1E2,10))</f>
        <v/>
      </c>
      <c r="G27794" s="62"/>
      <c r="H27794" s="46" t="str">
        <f>IF(OR(I.Developer.P3=FALSE,I.Facility.StandardPart="Part 2"),"Complete",IF(I.Product.P3GasToPowerStatus&lt;&gt;"Yes","Complete",IF(AND(I.Gas.P3Y1Count&gt;=10,F27794=""),"Incomplete","Complete")))</f>
        <v>Complete</v>
      </c>
      <c r="I27794" s="48" t="s">
        <v>2973</v>
      </c>
    </row>
    <row r="27795" spans="2:9" ht="15" customHeight="1" x14ac:dyDescent="0.25">
      <c r="B27795" s="55" t="s">
        <v>408</v>
      </c>
      <c r="C27795" s="46">
        <v>11</v>
      </c>
      <c r="D27795" s="69" t="s">
        <v>29545</v>
      </c>
      <c r="E27795" s="62"/>
      <c r="F27795" s="62" t="str">
        <f>IF(INDEX(I.Gas.P3Y1C1E2,11)="","",INDEX(I.Gas.P3Y1C1E2,11))</f>
        <v/>
      </c>
      <c r="G27795" s="62"/>
      <c r="H27795" s="46" t="str">
        <f>IF(OR(I.Developer.P3=FALSE,I.Facility.StandardPart="Part 2"),"Complete",IF(I.Product.P3GasToPowerStatus&lt;&gt;"Yes","Complete",IF(AND(I.Gas.P3Y1Count&gt;=11,F27795=""),"Incomplete","Complete")))</f>
        <v>Complete</v>
      </c>
      <c r="I27795" s="48" t="s">
        <v>2974</v>
      </c>
    </row>
    <row r="27796" spans="2:9" ht="15" customHeight="1" x14ac:dyDescent="0.25">
      <c r="B27796" s="55" t="s">
        <v>408</v>
      </c>
      <c r="C27796" s="46">
        <v>12</v>
      </c>
      <c r="D27796" s="69" t="s">
        <v>29545</v>
      </c>
      <c r="E27796" s="62"/>
      <c r="F27796" s="62" t="str">
        <f>IF(INDEX(I.Gas.P3Y1C1E2,12)="","",INDEX(I.Gas.P3Y1C1E2,12))</f>
        <v/>
      </c>
      <c r="G27796" s="62"/>
      <c r="H27796" s="46" t="str">
        <f>IF(OR(I.Developer.P3=FALSE,I.Facility.StandardPart="Part 2"),"Complete",IF(I.Product.P3GasToPowerStatus&lt;&gt;"Yes","Complete",IF(AND(I.Gas.P3Y1Count&gt;=12,F27796=""),"Incomplete","Complete")))</f>
        <v>Complete</v>
      </c>
      <c r="I27796" s="48" t="s">
        <v>2975</v>
      </c>
    </row>
    <row r="27797" spans="2:9" ht="15" customHeight="1" x14ac:dyDescent="0.25">
      <c r="B27797" s="55" t="s">
        <v>408</v>
      </c>
      <c r="C27797" s="46">
        <v>13</v>
      </c>
      <c r="D27797" s="69" t="s">
        <v>29545</v>
      </c>
      <c r="E27797" s="62"/>
      <c r="F27797" s="62" t="str">
        <f>IF(INDEX(I.Gas.P3Y1C1E2,13)="","",INDEX(I.Gas.P3Y1C1E2,13))</f>
        <v/>
      </c>
      <c r="G27797" s="62"/>
      <c r="H27797" s="46" t="str">
        <f>IF(OR(I.Developer.P3=FALSE,I.Facility.StandardPart="Part 2"),"Complete",IF(I.Product.P3GasToPowerStatus&lt;&gt;"Yes","Complete",IF(AND(I.Gas.P3Y1Count&gt;=13,F27797=""),"Incomplete","Complete")))</f>
        <v>Complete</v>
      </c>
      <c r="I27797" s="48" t="s">
        <v>2976</v>
      </c>
    </row>
    <row r="27798" spans="2:9" ht="15" customHeight="1" x14ac:dyDescent="0.25">
      <c r="B27798" s="55" t="s">
        <v>408</v>
      </c>
      <c r="C27798" s="46">
        <v>14</v>
      </c>
      <c r="D27798" s="69" t="s">
        <v>29545</v>
      </c>
      <c r="E27798" s="62"/>
      <c r="F27798" s="62" t="str">
        <f>IF(INDEX(I.Gas.P3Y1C1E2,14)="","",INDEX(I.Gas.P3Y1C1E2,14))</f>
        <v/>
      </c>
      <c r="G27798" s="62"/>
      <c r="H27798" s="46" t="str">
        <f>IF(OR(I.Developer.P3=FALSE,I.Facility.StandardPart="Part 2"),"Complete",IF(I.Product.P3GasToPowerStatus&lt;&gt;"Yes","Complete",IF(AND(I.Gas.P3Y1Count&gt;=14,F27798=""),"Incomplete","Complete")))</f>
        <v>Complete</v>
      </c>
      <c r="I27798" s="48" t="s">
        <v>2977</v>
      </c>
    </row>
    <row r="27799" spans="2:9" ht="15" customHeight="1" x14ac:dyDescent="0.25">
      <c r="B27799" s="55" t="s">
        <v>408</v>
      </c>
      <c r="C27799" s="46">
        <v>15</v>
      </c>
      <c r="D27799" s="69" t="s">
        <v>29545</v>
      </c>
      <c r="E27799" s="62"/>
      <c r="F27799" s="62" t="str">
        <f>IF(INDEX(I.Gas.P3Y1C1E2,15)="","",INDEX(I.Gas.P3Y1C1E2,15))</f>
        <v/>
      </c>
      <c r="G27799" s="62"/>
      <c r="H27799" s="46" t="str">
        <f>IF(OR(I.Developer.P3=FALSE,I.Facility.StandardPart="Part 2"),"Complete",IF(I.Product.P3GasToPowerStatus&lt;&gt;"Yes","Complete",IF(AND(I.Gas.P3Y1Count&gt;=15,F27799=""),"Incomplete","Complete")))</f>
        <v>Complete</v>
      </c>
      <c r="I27799" s="48" t="s">
        <v>2978</v>
      </c>
    </row>
    <row r="27800" spans="2:9" ht="15" customHeight="1" x14ac:dyDescent="0.25">
      <c r="B27800" s="55" t="s">
        <v>408</v>
      </c>
      <c r="C27800" s="46">
        <v>16</v>
      </c>
      <c r="D27800" s="69" t="s">
        <v>29545</v>
      </c>
      <c r="E27800" s="62"/>
      <c r="F27800" s="62" t="str">
        <f>IF(INDEX(I.Gas.P3Y1C1E2,16)="","",INDEX(I.Gas.P3Y1C1E2,16))</f>
        <v/>
      </c>
      <c r="G27800" s="62"/>
      <c r="H27800" s="46" t="str">
        <f>IF(OR(I.Developer.P3=FALSE,I.Facility.StandardPart="Part 2"),"Complete",IF(I.Product.P3GasToPowerStatus&lt;&gt;"Yes","Complete",IF(AND(I.Gas.P3Y1Count&gt;=16,F27800=""),"Incomplete","Complete")))</f>
        <v>Complete</v>
      </c>
      <c r="I27800" s="48" t="s">
        <v>2979</v>
      </c>
    </row>
    <row r="27801" spans="2:9" ht="15" customHeight="1" x14ac:dyDescent="0.25">
      <c r="B27801" s="55" t="s">
        <v>408</v>
      </c>
      <c r="C27801" s="46">
        <v>17</v>
      </c>
      <c r="D27801" s="69" t="s">
        <v>29545</v>
      </c>
      <c r="E27801" s="62"/>
      <c r="F27801" s="62" t="str">
        <f>IF(INDEX(I.Gas.P3Y1C1E2,17)="","",INDEX(I.Gas.P3Y1C1E2,17))</f>
        <v/>
      </c>
      <c r="G27801" s="62"/>
      <c r="H27801" s="46" t="str">
        <f>IF(OR(I.Developer.P3=FALSE,I.Facility.StandardPart="Part 2"),"Complete",IF(I.Product.P3GasToPowerStatus&lt;&gt;"Yes","Complete",IF(AND(I.Gas.P3Y1Count&gt;=17,F27801=""),"Incomplete","Complete")))</f>
        <v>Complete</v>
      </c>
      <c r="I27801" s="48" t="s">
        <v>2980</v>
      </c>
    </row>
    <row r="27802" spans="2:9" ht="15" customHeight="1" x14ac:dyDescent="0.25">
      <c r="B27802" s="55" t="s">
        <v>408</v>
      </c>
      <c r="C27802" s="46">
        <v>18</v>
      </c>
      <c r="D27802" s="69" t="s">
        <v>29545</v>
      </c>
      <c r="E27802" s="62"/>
      <c r="F27802" s="62" t="str">
        <f>IF(INDEX(I.Gas.P3Y1C1E2,18)="","",INDEX(I.Gas.P3Y1C1E2,18))</f>
        <v/>
      </c>
      <c r="G27802" s="62"/>
      <c r="H27802" s="46" t="str">
        <f>IF(OR(I.Developer.P3=FALSE,I.Facility.StandardPart="Part 2"),"Complete",IF(I.Product.P3GasToPowerStatus&lt;&gt;"Yes","Complete",IF(AND(I.Gas.P3Y1Count&gt;=18,F27802=""),"Incomplete","Complete")))</f>
        <v>Complete</v>
      </c>
      <c r="I27802" s="48" t="s">
        <v>2981</v>
      </c>
    </row>
    <row r="27803" spans="2:9" ht="15" customHeight="1" x14ac:dyDescent="0.25">
      <c r="B27803" s="55" t="s">
        <v>408</v>
      </c>
      <c r="C27803" s="46">
        <v>19</v>
      </c>
      <c r="D27803" s="69" t="s">
        <v>29545</v>
      </c>
      <c r="E27803" s="62"/>
      <c r="F27803" s="62" t="str">
        <f>IF(INDEX(I.Gas.P3Y1C1E2,19)="","",INDEX(I.Gas.P3Y1C1E2,19))</f>
        <v/>
      </c>
      <c r="G27803" s="62"/>
      <c r="H27803" s="46" t="str">
        <f>IF(OR(I.Developer.P3=FALSE,I.Facility.StandardPart="Part 2"),"Complete",IF(I.Product.P3GasToPowerStatus&lt;&gt;"Yes","Complete",IF(AND(I.Gas.P3Y1Count&gt;=19,F27803=""),"Incomplete","Complete")))</f>
        <v>Complete</v>
      </c>
      <c r="I27803" s="48" t="s">
        <v>2982</v>
      </c>
    </row>
    <row r="27804" spans="2:9" ht="15" customHeight="1" x14ac:dyDescent="0.25">
      <c r="B27804" s="55" t="s">
        <v>408</v>
      </c>
      <c r="C27804" s="46">
        <v>20</v>
      </c>
      <c r="D27804" s="69" t="s">
        <v>29545</v>
      </c>
      <c r="E27804" s="62"/>
      <c r="F27804" s="62" t="str">
        <f>IF(INDEX(I.Gas.P3Y1C1E2,20)="","",INDEX(I.Gas.P3Y1C1E2,20))</f>
        <v/>
      </c>
      <c r="G27804" s="62"/>
      <c r="H27804" s="46" t="str">
        <f>IF(OR(I.Developer.P3=FALSE,I.Facility.StandardPart="Part 2"),"Complete",IF(I.Product.P3GasToPowerStatus&lt;&gt;"Yes","Complete",IF(AND(I.Gas.P3Y1Count&gt;=20,F27804=""),"Incomplete","Complete")))</f>
        <v>Complete</v>
      </c>
      <c r="I27804" s="48" t="s">
        <v>2983</v>
      </c>
    </row>
    <row r="27805" spans="2:9" ht="15" customHeight="1" x14ac:dyDescent="0.25">
      <c r="B27805" s="55" t="s">
        <v>408</v>
      </c>
      <c r="C27805" s="46">
        <v>21</v>
      </c>
      <c r="D27805" s="69" t="s">
        <v>29545</v>
      </c>
      <c r="E27805" s="62"/>
      <c r="F27805" s="62" t="str">
        <f>IF(INDEX(I.Gas.P3Y1C1E2,21)="","",INDEX(I.Gas.P3Y1C1E2,21))</f>
        <v/>
      </c>
      <c r="G27805" s="62"/>
      <c r="H27805" s="46" t="str">
        <f>IF(OR(I.Developer.P3=FALSE,I.Facility.StandardPart="Part 2"),"Complete",IF(I.Product.P3GasToPowerStatus&lt;&gt;"Yes","Complete",IF(AND(I.Gas.P3Y1Count&gt;=21,F27805=""),"Incomplete","Complete")))</f>
        <v>Complete</v>
      </c>
      <c r="I27805" s="48" t="s">
        <v>2984</v>
      </c>
    </row>
    <row r="27806" spans="2:9" ht="15" customHeight="1" x14ac:dyDescent="0.25">
      <c r="B27806" s="55" t="s">
        <v>408</v>
      </c>
      <c r="C27806" s="46">
        <v>22</v>
      </c>
      <c r="D27806" s="69" t="s">
        <v>29545</v>
      </c>
      <c r="E27806" s="62"/>
      <c r="F27806" s="62" t="str">
        <f>IF(INDEX(I.Gas.P3Y1C1E2,22)="","",INDEX(I.Gas.P3Y1C1E2,22))</f>
        <v/>
      </c>
      <c r="G27806" s="62"/>
      <c r="H27806" s="46" t="str">
        <f>IF(OR(I.Developer.P3=FALSE,I.Facility.StandardPart="Part 2"),"Complete",IF(I.Product.P3GasToPowerStatus&lt;&gt;"Yes","Complete",IF(AND(I.Gas.P3Y1Count&gt;=22,F27806=""),"Incomplete","Complete")))</f>
        <v>Complete</v>
      </c>
      <c r="I27806" s="48" t="s">
        <v>2985</v>
      </c>
    </row>
    <row r="27807" spans="2:9" ht="15" customHeight="1" x14ac:dyDescent="0.25">
      <c r="B27807" s="55" t="s">
        <v>408</v>
      </c>
      <c r="C27807" s="46">
        <v>23</v>
      </c>
      <c r="D27807" s="69" t="s">
        <v>29545</v>
      </c>
      <c r="E27807" s="62"/>
      <c r="F27807" s="62" t="str">
        <f>IF(INDEX(I.Gas.P3Y1C1E2,23)="","",INDEX(I.Gas.P3Y1C1E2,23))</f>
        <v/>
      </c>
      <c r="G27807" s="62"/>
      <c r="H27807" s="46" t="str">
        <f>IF(OR(I.Developer.P3=FALSE,I.Facility.StandardPart="Part 2"),"Complete",IF(I.Product.P3GasToPowerStatus&lt;&gt;"Yes","Complete",IF(AND(I.Gas.P3Y1Count&gt;=23,F27807=""),"Incomplete","Complete")))</f>
        <v>Complete</v>
      </c>
      <c r="I27807" s="48" t="s">
        <v>2986</v>
      </c>
    </row>
    <row r="27808" spans="2:9" ht="15" customHeight="1" x14ac:dyDescent="0.25">
      <c r="B27808" s="55" t="s">
        <v>408</v>
      </c>
      <c r="C27808" s="46">
        <v>24</v>
      </c>
      <c r="D27808" s="69" t="s">
        <v>29545</v>
      </c>
      <c r="E27808" s="62"/>
      <c r="F27808" s="62" t="str">
        <f>IF(INDEX(I.Gas.P3Y1C1E2,24)="","",INDEX(I.Gas.P3Y1C1E2,24))</f>
        <v/>
      </c>
      <c r="G27808" s="62"/>
      <c r="H27808" s="46" t="str">
        <f>IF(OR(I.Developer.P3=FALSE,I.Facility.StandardPart="Part 2"),"Complete",IF(I.Product.P3GasToPowerStatus&lt;&gt;"Yes","Complete",IF(AND(I.Gas.P3Y1Count&gt;=24,F27808=""),"Incomplete","Complete")))</f>
        <v>Complete</v>
      </c>
      <c r="I27808" s="48" t="s">
        <v>2987</v>
      </c>
    </row>
    <row r="27809" spans="2:9" ht="15" customHeight="1" x14ac:dyDescent="0.25">
      <c r="B27809" s="55" t="s">
        <v>408</v>
      </c>
      <c r="C27809" s="46">
        <v>25</v>
      </c>
      <c r="D27809" s="69" t="s">
        <v>29545</v>
      </c>
      <c r="E27809" s="62"/>
      <c r="F27809" s="62" t="str">
        <f>IF(INDEX(I.Gas.P3Y1C1E2,25)="","",INDEX(I.Gas.P3Y1C1E2,25))</f>
        <v/>
      </c>
      <c r="G27809" s="62"/>
      <c r="H27809" s="46" t="str">
        <f>IF(OR(I.Developer.P3=FALSE,I.Facility.StandardPart="Part 2"),"Complete",IF(I.Product.P3GasToPowerStatus&lt;&gt;"Yes","Complete",IF(AND(I.Gas.P3Y1Count&gt;=25,F27809=""),"Incomplete","Complete")))</f>
        <v>Complete</v>
      </c>
      <c r="I27809" s="48" t="s">
        <v>2988</v>
      </c>
    </row>
    <row r="27810" spans="2:9" ht="15" customHeight="1" x14ac:dyDescent="0.25">
      <c r="B27810" s="55" t="s">
        <v>408</v>
      </c>
      <c r="C27810" s="46">
        <v>26</v>
      </c>
      <c r="D27810" s="69" t="s">
        <v>29545</v>
      </c>
      <c r="E27810" s="62"/>
      <c r="F27810" s="62" t="str">
        <f>IF(INDEX(I.Gas.P3Y1C1E2,26)="","",INDEX(I.Gas.P3Y1C1E2,26))</f>
        <v/>
      </c>
      <c r="G27810" s="62"/>
      <c r="H27810" s="46" t="str">
        <f>IF(OR(I.Developer.P3=FALSE,I.Facility.StandardPart="Part 2"),"Complete",IF(I.Product.P3GasToPowerStatus&lt;&gt;"Yes","Complete",IF(AND(I.Gas.P3Y1Count&gt;=26,F27810=""),"Incomplete","Complete")))</f>
        <v>Complete</v>
      </c>
      <c r="I27810" s="48" t="s">
        <v>2989</v>
      </c>
    </row>
    <row r="27811" spans="2:9" ht="15" customHeight="1" x14ac:dyDescent="0.25">
      <c r="B27811" s="55" t="s">
        <v>408</v>
      </c>
      <c r="C27811" s="46">
        <v>27</v>
      </c>
      <c r="D27811" s="69" t="s">
        <v>29545</v>
      </c>
      <c r="E27811" s="62"/>
      <c r="F27811" s="62" t="str">
        <f>IF(INDEX(I.Gas.P3Y1C1E2,27)="","",INDEX(I.Gas.P3Y1C1E2,27))</f>
        <v/>
      </c>
      <c r="G27811" s="62"/>
      <c r="H27811" s="46" t="str">
        <f>IF(OR(I.Developer.P3=FALSE,I.Facility.StandardPart="Part 2"),"Complete",IF(I.Product.P3GasToPowerStatus&lt;&gt;"Yes","Complete",IF(AND(I.Gas.P3Y1Count&gt;=27,F27811=""),"Incomplete","Complete")))</f>
        <v>Complete</v>
      </c>
      <c r="I27811" s="48" t="s">
        <v>2990</v>
      </c>
    </row>
    <row r="27812" spans="2:9" ht="15" customHeight="1" x14ac:dyDescent="0.25">
      <c r="B27812" s="55" t="s">
        <v>408</v>
      </c>
      <c r="C27812" s="46">
        <v>28</v>
      </c>
      <c r="D27812" s="69" t="s">
        <v>29545</v>
      </c>
      <c r="E27812" s="62"/>
      <c r="F27812" s="62" t="str">
        <f>IF(INDEX(I.Gas.P3Y1C1E2,28)="","",INDEX(I.Gas.P3Y1C1E2,28))</f>
        <v/>
      </c>
      <c r="G27812" s="62"/>
      <c r="H27812" s="46" t="str">
        <f>IF(OR(I.Developer.P3=FALSE,I.Facility.StandardPart="Part 2"),"Complete",IF(I.Product.P3GasToPowerStatus&lt;&gt;"Yes","Complete",IF(AND(I.Gas.P3Y1Count&gt;=28,F27812=""),"Incomplete","Complete")))</f>
        <v>Complete</v>
      </c>
      <c r="I27812" s="48" t="s">
        <v>2991</v>
      </c>
    </row>
    <row r="27813" spans="2:9" ht="15" customHeight="1" x14ac:dyDescent="0.25">
      <c r="B27813" s="55" t="s">
        <v>408</v>
      </c>
      <c r="C27813" s="46">
        <v>29</v>
      </c>
      <c r="D27813" s="69" t="s">
        <v>29545</v>
      </c>
      <c r="E27813" s="62"/>
      <c r="F27813" s="62" t="str">
        <f>IF(INDEX(I.Gas.P3Y1C1E2,29)="","",INDEX(I.Gas.P3Y1C1E2,29))</f>
        <v/>
      </c>
      <c r="G27813" s="62"/>
      <c r="H27813" s="46" t="str">
        <f>IF(OR(I.Developer.P3=FALSE,I.Facility.StandardPart="Part 2"),"Complete",IF(I.Product.P3GasToPowerStatus&lt;&gt;"Yes","Complete",IF(AND(I.Gas.P3Y1Count&gt;=29,F27813=""),"Incomplete","Complete")))</f>
        <v>Complete</v>
      </c>
      <c r="I27813" s="48" t="s">
        <v>2992</v>
      </c>
    </row>
    <row r="27814" spans="2:9" ht="15" customHeight="1" x14ac:dyDescent="0.25">
      <c r="B27814" s="55" t="s">
        <v>408</v>
      </c>
      <c r="C27814" s="46">
        <v>30</v>
      </c>
      <c r="D27814" s="69" t="s">
        <v>29545</v>
      </c>
      <c r="E27814" s="62"/>
      <c r="F27814" s="62" t="str">
        <f>IF(INDEX(I.Gas.P3Y1C1E2,30)="","",INDEX(I.Gas.P3Y1C1E2,30))</f>
        <v/>
      </c>
      <c r="G27814" s="62"/>
      <c r="H27814" s="46" t="str">
        <f>IF(OR(I.Developer.P3=FALSE,I.Facility.StandardPart="Part 2"),"Complete",IF(I.Product.P3GasToPowerStatus&lt;&gt;"Yes","Complete",IF(AND(I.Gas.P3Y1Count&gt;=30,F27814=""),"Incomplete","Complete")))</f>
        <v>Complete</v>
      </c>
      <c r="I27814" s="48" t="s">
        <v>2993</v>
      </c>
    </row>
    <row r="27815" spans="2:9" ht="15" customHeight="1" x14ac:dyDescent="0.25">
      <c r="B27815" s="55" t="s">
        <v>408</v>
      </c>
      <c r="C27815" s="46">
        <v>31</v>
      </c>
      <c r="D27815" s="69" t="s">
        <v>29545</v>
      </c>
      <c r="E27815" s="62"/>
      <c r="F27815" s="62" t="str">
        <f>IF(INDEX(I.Gas.P3Y1C1E2,31)="","",INDEX(I.Gas.P3Y1C1E2,31))</f>
        <v/>
      </c>
      <c r="G27815" s="62"/>
      <c r="H27815" s="46" t="str">
        <f>IF(OR(I.Developer.P3=FALSE,I.Facility.StandardPart="Part 2"),"Complete",IF(I.Product.P3GasToPowerStatus&lt;&gt;"Yes","Complete",IF(AND(I.Gas.P3Y1Count&gt;=31,F27815=""),"Incomplete","Complete")))</f>
        <v>Complete</v>
      </c>
      <c r="I27815" s="48" t="s">
        <v>2994</v>
      </c>
    </row>
    <row r="27816" spans="2:9" ht="15" customHeight="1" x14ac:dyDescent="0.25">
      <c r="B27816" s="55" t="s">
        <v>408</v>
      </c>
      <c r="C27816" s="46">
        <v>32</v>
      </c>
      <c r="D27816" s="69" t="s">
        <v>29545</v>
      </c>
      <c r="E27816" s="62"/>
      <c r="F27816" s="62" t="str">
        <f>IF(INDEX(I.Gas.P3Y1C1E2,32)="","",INDEX(I.Gas.P3Y1C1E2,32))</f>
        <v/>
      </c>
      <c r="G27816" s="62"/>
      <c r="H27816" s="46" t="str">
        <f>IF(OR(I.Developer.P3=FALSE,I.Facility.StandardPart="Part 2"),"Complete",IF(I.Product.P3GasToPowerStatus&lt;&gt;"Yes","Complete",IF(AND(I.Gas.P3Y1Count&gt;=32,F27816=""),"Incomplete","Complete")))</f>
        <v>Complete</v>
      </c>
      <c r="I27816" s="48" t="s">
        <v>2995</v>
      </c>
    </row>
    <row r="27817" spans="2:9" ht="15" customHeight="1" x14ac:dyDescent="0.25">
      <c r="B27817" s="55" t="s">
        <v>408</v>
      </c>
      <c r="C27817" s="46">
        <v>33</v>
      </c>
      <c r="D27817" s="69" t="s">
        <v>29545</v>
      </c>
      <c r="E27817" s="62"/>
      <c r="F27817" s="62" t="str">
        <f>IF(INDEX(I.Gas.P3Y1C1E2,33)="","",INDEX(I.Gas.P3Y1C1E2,33))</f>
        <v/>
      </c>
      <c r="G27817" s="62"/>
      <c r="H27817" s="46" t="str">
        <f>IF(OR(I.Developer.P3=FALSE,I.Facility.StandardPart="Part 2"),"Complete",IF(I.Product.P3GasToPowerStatus&lt;&gt;"Yes","Complete",IF(AND(I.Gas.P3Y1Count&gt;=33,F27817=""),"Incomplete","Complete")))</f>
        <v>Complete</v>
      </c>
      <c r="I27817" s="48" t="s">
        <v>2996</v>
      </c>
    </row>
    <row r="27818" spans="2:9" ht="15" customHeight="1" x14ac:dyDescent="0.25">
      <c r="B27818" s="55" t="s">
        <v>408</v>
      </c>
      <c r="C27818" s="46">
        <v>34</v>
      </c>
      <c r="D27818" s="69" t="s">
        <v>29545</v>
      </c>
      <c r="E27818" s="62"/>
      <c r="F27818" s="62" t="str">
        <f>IF(INDEX(I.Gas.P3Y1C1E2,34)="","",INDEX(I.Gas.P3Y1C1E2,34))</f>
        <v/>
      </c>
      <c r="G27818" s="62"/>
      <c r="H27818" s="46" t="str">
        <f>IF(OR(I.Developer.P3=FALSE,I.Facility.StandardPart="Part 2"),"Complete",IF(I.Product.P3GasToPowerStatus&lt;&gt;"Yes","Complete",IF(AND(I.Gas.P3Y1Count&gt;=34,F27818=""),"Incomplete","Complete")))</f>
        <v>Complete</v>
      </c>
      <c r="I27818" s="48" t="s">
        <v>2997</v>
      </c>
    </row>
    <row r="27819" spans="2:9" ht="15" customHeight="1" x14ac:dyDescent="0.25">
      <c r="B27819" s="55" t="s">
        <v>408</v>
      </c>
      <c r="C27819" s="46">
        <v>35</v>
      </c>
      <c r="D27819" s="69" t="s">
        <v>29545</v>
      </c>
      <c r="E27819" s="62"/>
      <c r="F27819" s="62" t="str">
        <f>IF(INDEX(I.Gas.P3Y1C1E2,35)="","",INDEX(I.Gas.P3Y1C1E2,35))</f>
        <v/>
      </c>
      <c r="G27819" s="62"/>
      <c r="H27819" s="46" t="str">
        <f>IF(OR(I.Developer.P3=FALSE,I.Facility.StandardPart="Part 2"),"Complete",IF(I.Product.P3GasToPowerStatus&lt;&gt;"Yes","Complete",IF(AND(I.Gas.P3Y1Count&gt;=35,F27819=""),"Incomplete","Complete")))</f>
        <v>Complete</v>
      </c>
      <c r="I27819" s="48" t="s">
        <v>2998</v>
      </c>
    </row>
    <row r="27820" spans="2:9" ht="15" customHeight="1" x14ac:dyDescent="0.25">
      <c r="B27820" s="55" t="s">
        <v>408</v>
      </c>
      <c r="C27820" s="46">
        <v>36</v>
      </c>
      <c r="D27820" s="69" t="s">
        <v>29545</v>
      </c>
      <c r="E27820" s="62"/>
      <c r="F27820" s="62" t="str">
        <f>IF(INDEX(I.Gas.P3Y1C1E2,36)="","",INDEX(I.Gas.P3Y1C1E2,36))</f>
        <v/>
      </c>
      <c r="G27820" s="62"/>
      <c r="H27820" s="46" t="str">
        <f>IF(OR(I.Developer.P3=FALSE,I.Facility.StandardPart="Part 2"),"Complete",IF(I.Product.P3GasToPowerStatus&lt;&gt;"Yes","Complete",IF(AND(I.Gas.P3Y1Count&gt;=36,F27820=""),"Incomplete","Complete")))</f>
        <v>Complete</v>
      </c>
      <c r="I27820" s="48" t="s">
        <v>2999</v>
      </c>
    </row>
    <row r="27821" spans="2:9" ht="15" customHeight="1" x14ac:dyDescent="0.25">
      <c r="B27821" s="55" t="s">
        <v>408</v>
      </c>
      <c r="C27821" s="46">
        <v>37</v>
      </c>
      <c r="D27821" s="69" t="s">
        <v>29545</v>
      </c>
      <c r="E27821" s="62"/>
      <c r="F27821" s="62" t="str">
        <f>IF(INDEX(I.Gas.P3Y1C1E2,37)="","",INDEX(I.Gas.P3Y1C1E2,37))</f>
        <v/>
      </c>
      <c r="G27821" s="62"/>
      <c r="H27821" s="46" t="str">
        <f>IF(OR(I.Developer.P3=FALSE,I.Facility.StandardPart="Part 2"),"Complete",IF(I.Product.P3GasToPowerStatus&lt;&gt;"Yes","Complete",IF(AND(I.Gas.P3Y1Count&gt;=37,F27821=""),"Incomplete","Complete")))</f>
        <v>Complete</v>
      </c>
      <c r="I27821" s="48" t="s">
        <v>3000</v>
      </c>
    </row>
    <row r="27822" spans="2:9" ht="15" customHeight="1" x14ac:dyDescent="0.25">
      <c r="B27822" s="55" t="s">
        <v>408</v>
      </c>
      <c r="C27822" s="46">
        <v>38</v>
      </c>
      <c r="D27822" s="69" t="s">
        <v>29545</v>
      </c>
      <c r="E27822" s="62"/>
      <c r="F27822" s="62" t="str">
        <f>IF(INDEX(I.Gas.P3Y1C1E2,38)="","",INDEX(I.Gas.P3Y1C1E2,38))</f>
        <v/>
      </c>
      <c r="G27822" s="62"/>
      <c r="H27822" s="46" t="str">
        <f>IF(OR(I.Developer.P3=FALSE,I.Facility.StandardPart="Part 2"),"Complete",IF(I.Product.P3GasToPowerStatus&lt;&gt;"Yes","Complete",IF(AND(I.Gas.P3Y1Count&gt;=38,F27822=""),"Incomplete","Complete")))</f>
        <v>Complete</v>
      </c>
      <c r="I27822" s="48" t="s">
        <v>3001</v>
      </c>
    </row>
    <row r="27823" spans="2:9" ht="15" customHeight="1" x14ac:dyDescent="0.25">
      <c r="B27823" s="55" t="s">
        <v>408</v>
      </c>
      <c r="C27823" s="46">
        <v>39</v>
      </c>
      <c r="D27823" s="69" t="s">
        <v>29545</v>
      </c>
      <c r="E27823" s="62"/>
      <c r="F27823" s="62" t="str">
        <f>IF(INDEX(I.Gas.P3Y1C1E2,39)="","",INDEX(I.Gas.P3Y1C1E2,39))</f>
        <v/>
      </c>
      <c r="G27823" s="62"/>
      <c r="H27823" s="46" t="str">
        <f>IF(OR(I.Developer.P3=FALSE,I.Facility.StandardPart="Part 2"),"Complete",IF(I.Product.P3GasToPowerStatus&lt;&gt;"Yes","Complete",IF(AND(I.Gas.P3Y1Count&gt;=39,F27823=""),"Incomplete","Complete")))</f>
        <v>Complete</v>
      </c>
      <c r="I27823" s="48" t="s">
        <v>3002</v>
      </c>
    </row>
    <row r="27824" spans="2:9" ht="15" customHeight="1" x14ac:dyDescent="0.25">
      <c r="B27824" s="55" t="s">
        <v>408</v>
      </c>
      <c r="C27824" s="46">
        <v>40</v>
      </c>
      <c r="D27824" s="69" t="s">
        <v>29545</v>
      </c>
      <c r="E27824" s="62"/>
      <c r="F27824" s="62" t="str">
        <f>IF(INDEX(I.Gas.P3Y1C1E2,40)="","",INDEX(I.Gas.P3Y1C1E2,40))</f>
        <v/>
      </c>
      <c r="G27824" s="62"/>
      <c r="H27824" s="46" t="str">
        <f>IF(OR(I.Developer.P3=FALSE,I.Facility.StandardPart="Part 2"),"Complete",IF(I.Product.P3GasToPowerStatus&lt;&gt;"Yes","Complete",IF(AND(I.Gas.P3Y1Count&gt;=40,F27824=""),"Incomplete","Complete")))</f>
        <v>Complete</v>
      </c>
      <c r="I27824" s="48" t="s">
        <v>3003</v>
      </c>
    </row>
    <row r="27825" spans="2:9" ht="15" customHeight="1" x14ac:dyDescent="0.25">
      <c r="B27825" s="55" t="s">
        <v>408</v>
      </c>
      <c r="C27825" s="46">
        <v>41</v>
      </c>
      <c r="D27825" s="69" t="s">
        <v>29545</v>
      </c>
      <c r="E27825" s="62"/>
      <c r="F27825" s="62" t="str">
        <f>IF(INDEX(I.Gas.P3Y1C1E2,41)="","",INDEX(I.Gas.P3Y1C1E2,41))</f>
        <v/>
      </c>
      <c r="G27825" s="62"/>
      <c r="H27825" s="46" t="str">
        <f>IF(OR(I.Developer.P3=FALSE,I.Facility.StandardPart="Part 2"),"Complete",IF(I.Product.P3GasToPowerStatus&lt;&gt;"Yes","Complete",IF(AND(I.Gas.P3Y1Count&gt;=41,F27825=""),"Incomplete","Complete")))</f>
        <v>Complete</v>
      </c>
      <c r="I27825" s="48" t="s">
        <v>3004</v>
      </c>
    </row>
    <row r="27826" spans="2:9" ht="15" customHeight="1" x14ac:dyDescent="0.25">
      <c r="B27826" s="55" t="s">
        <v>408</v>
      </c>
      <c r="C27826" s="46">
        <v>42</v>
      </c>
      <c r="D27826" s="69" t="s">
        <v>29545</v>
      </c>
      <c r="E27826" s="62"/>
      <c r="F27826" s="62" t="str">
        <f>IF(INDEX(I.Gas.P3Y1C1E2,42)="","",INDEX(I.Gas.P3Y1C1E2,42))</f>
        <v/>
      </c>
      <c r="G27826" s="62"/>
      <c r="H27826" s="46" t="str">
        <f>IF(OR(I.Developer.P3=FALSE,I.Facility.StandardPart="Part 2"),"Complete",IF(I.Product.P3GasToPowerStatus&lt;&gt;"Yes","Complete",IF(AND(I.Gas.P3Y1Count&gt;=42,F27826=""),"Incomplete","Complete")))</f>
        <v>Complete</v>
      </c>
      <c r="I27826" s="48" t="s">
        <v>3005</v>
      </c>
    </row>
    <row r="27827" spans="2:9" ht="15" customHeight="1" x14ac:dyDescent="0.25">
      <c r="B27827" s="55" t="s">
        <v>408</v>
      </c>
      <c r="C27827" s="46">
        <v>43</v>
      </c>
      <c r="D27827" s="69" t="s">
        <v>29545</v>
      </c>
      <c r="E27827" s="62"/>
      <c r="F27827" s="62" t="str">
        <f>IF(INDEX(I.Gas.P3Y1C1E2,43)="","",INDEX(I.Gas.P3Y1C1E2,43))</f>
        <v/>
      </c>
      <c r="G27827" s="62"/>
      <c r="H27827" s="46" t="str">
        <f>IF(OR(I.Developer.P3=FALSE,I.Facility.StandardPart="Part 2"),"Complete",IF(I.Product.P3GasToPowerStatus&lt;&gt;"Yes","Complete",IF(AND(I.Gas.P3Y1Count&gt;=43,F27827=""),"Incomplete","Complete")))</f>
        <v>Complete</v>
      </c>
      <c r="I27827" s="48" t="s">
        <v>3006</v>
      </c>
    </row>
    <row r="27828" spans="2:9" ht="15" customHeight="1" x14ac:dyDescent="0.25">
      <c r="B27828" s="55" t="s">
        <v>408</v>
      </c>
      <c r="C27828" s="46">
        <v>44</v>
      </c>
      <c r="D27828" s="69" t="s">
        <v>29545</v>
      </c>
      <c r="E27828" s="62"/>
      <c r="F27828" s="62" t="str">
        <f>IF(INDEX(I.Gas.P3Y1C1E2,44)="","",INDEX(I.Gas.P3Y1C1E2,44))</f>
        <v/>
      </c>
      <c r="G27828" s="62"/>
      <c r="H27828" s="46" t="str">
        <f>IF(OR(I.Developer.P3=FALSE,I.Facility.StandardPart="Part 2"),"Complete",IF(I.Product.P3GasToPowerStatus&lt;&gt;"Yes","Complete",IF(AND(I.Gas.P3Y1Count&gt;=44,F27828=""),"Incomplete","Complete")))</f>
        <v>Complete</v>
      </c>
      <c r="I27828" s="48" t="s">
        <v>3007</v>
      </c>
    </row>
    <row r="27829" spans="2:9" ht="15" customHeight="1" x14ac:dyDescent="0.25">
      <c r="B27829" s="55" t="s">
        <v>408</v>
      </c>
      <c r="C27829" s="46">
        <v>45</v>
      </c>
      <c r="D27829" s="69" t="s">
        <v>29545</v>
      </c>
      <c r="E27829" s="62"/>
      <c r="F27829" s="62" t="str">
        <f>IF(INDEX(I.Gas.P3Y1C1E2,45)="","",INDEX(I.Gas.P3Y1C1E2,45))</f>
        <v/>
      </c>
      <c r="G27829" s="62"/>
      <c r="H27829" s="46" t="str">
        <f>IF(OR(I.Developer.P3=FALSE,I.Facility.StandardPart="Part 2"),"Complete",IF(I.Product.P3GasToPowerStatus&lt;&gt;"Yes","Complete",IF(AND(I.Gas.P3Y1Count&gt;=45,F27829=""),"Incomplete","Complete")))</f>
        <v>Complete</v>
      </c>
      <c r="I27829" s="48" t="s">
        <v>3008</v>
      </c>
    </row>
    <row r="27830" spans="2:9" ht="15" customHeight="1" x14ac:dyDescent="0.25">
      <c r="B27830" s="55" t="s">
        <v>408</v>
      </c>
      <c r="C27830" s="46">
        <v>46</v>
      </c>
      <c r="D27830" s="69" t="s">
        <v>29545</v>
      </c>
      <c r="E27830" s="62"/>
      <c r="F27830" s="62" t="str">
        <f>IF(INDEX(I.Gas.P3Y1C1E2,46)="","",INDEX(I.Gas.P3Y1C1E2,46))</f>
        <v/>
      </c>
      <c r="G27830" s="62"/>
      <c r="H27830" s="46" t="str">
        <f>IF(OR(I.Developer.P3=FALSE,I.Facility.StandardPart="Part 2"),"Complete",IF(I.Product.P3GasToPowerStatus&lt;&gt;"Yes","Complete",IF(AND(I.Gas.P3Y1Count&gt;=46,F27830=""),"Incomplete","Complete")))</f>
        <v>Complete</v>
      </c>
      <c r="I27830" s="48" t="s">
        <v>3009</v>
      </c>
    </row>
    <row r="27831" spans="2:9" ht="15" customHeight="1" x14ac:dyDescent="0.25">
      <c r="B27831" s="55" t="s">
        <v>408</v>
      </c>
      <c r="C27831" s="46">
        <v>47</v>
      </c>
      <c r="D27831" s="69" t="s">
        <v>29545</v>
      </c>
      <c r="E27831" s="62"/>
      <c r="F27831" s="62" t="str">
        <f>IF(INDEX(I.Gas.P3Y1C1E2,47)="","",INDEX(I.Gas.P3Y1C1E2,47))</f>
        <v/>
      </c>
      <c r="G27831" s="62"/>
      <c r="H27831" s="46" t="str">
        <f>IF(OR(I.Developer.P3=FALSE,I.Facility.StandardPart="Part 2"),"Complete",IF(I.Product.P3GasToPowerStatus&lt;&gt;"Yes","Complete",IF(AND(I.Gas.P3Y1Count&gt;=47,F27831=""),"Incomplete","Complete")))</f>
        <v>Complete</v>
      </c>
      <c r="I27831" s="48" t="s">
        <v>3010</v>
      </c>
    </row>
    <row r="27832" spans="2:9" ht="15" customHeight="1" x14ac:dyDescent="0.25">
      <c r="B27832" s="55" t="s">
        <v>408</v>
      </c>
      <c r="C27832" s="46">
        <v>48</v>
      </c>
      <c r="D27832" s="69" t="s">
        <v>29545</v>
      </c>
      <c r="E27832" s="62"/>
      <c r="F27832" s="62" t="str">
        <f>IF(INDEX(I.Gas.P3Y1C1E2,48)="","",INDEX(I.Gas.P3Y1C1E2,48))</f>
        <v/>
      </c>
      <c r="G27832" s="62"/>
      <c r="H27832" s="46" t="str">
        <f>IF(OR(I.Developer.P3=FALSE,I.Facility.StandardPart="Part 2"),"Complete",IF(I.Product.P3GasToPowerStatus&lt;&gt;"Yes","Complete",IF(AND(I.Gas.P3Y1Count&gt;=48,F27832=""),"Incomplete","Complete")))</f>
        <v>Complete</v>
      </c>
      <c r="I27832" s="48" t="s">
        <v>3011</v>
      </c>
    </row>
    <row r="27833" spans="2:9" ht="15" customHeight="1" x14ac:dyDescent="0.25">
      <c r="B27833" s="55" t="s">
        <v>408</v>
      </c>
      <c r="C27833" s="46">
        <v>49</v>
      </c>
      <c r="D27833" s="69" t="s">
        <v>29545</v>
      </c>
      <c r="E27833" s="62"/>
      <c r="F27833" s="62" t="str">
        <f>IF(INDEX(I.Gas.P3Y1C1E2,49)="","",INDEX(I.Gas.P3Y1C1E2,49))</f>
        <v/>
      </c>
      <c r="G27833" s="62"/>
      <c r="H27833" s="46" t="str">
        <f>IF(OR(I.Developer.P3=FALSE,I.Facility.StandardPart="Part 2"),"Complete",IF(I.Product.P3GasToPowerStatus&lt;&gt;"Yes","Complete",IF(AND(I.Gas.P3Y1Count&gt;=49,F27833=""),"Incomplete","Complete")))</f>
        <v>Complete</v>
      </c>
      <c r="I27833" s="48" t="s">
        <v>3012</v>
      </c>
    </row>
    <row r="27834" spans="2:9" ht="15" customHeight="1" x14ac:dyDescent="0.25">
      <c r="B27834" s="56" t="s">
        <v>408</v>
      </c>
      <c r="C27834" s="57">
        <v>50</v>
      </c>
      <c r="D27834" s="71" t="s">
        <v>29545</v>
      </c>
      <c r="E27834" s="61"/>
      <c r="F27834" s="61" t="str">
        <f>IF(INDEX(I.Gas.P3Y1C1E2,50)="","",INDEX(I.Gas.P3Y1C1E2,50))</f>
        <v/>
      </c>
      <c r="G27834" s="61"/>
      <c r="H27834" s="57" t="str">
        <f>IF(OR(I.Developer.P3=FALSE,I.Facility.StandardPart="Part 2"),"Complete",IF(I.Product.P3GasToPowerStatus&lt;&gt;"Yes","Complete",IF(AND(I.Gas.P3Y1Count&gt;=50,F27834=""),"Incomplete","Complete")))</f>
        <v>Complete</v>
      </c>
      <c r="I27834" s="49" t="s">
        <v>3013</v>
      </c>
    </row>
    <row r="27835" spans="2:9" ht="15" customHeight="1" x14ac:dyDescent="0.25">
      <c r="B27835" s="55" t="s">
        <v>409</v>
      </c>
      <c r="C27835" s="46">
        <v>1</v>
      </c>
      <c r="D27835" s="69" t="s">
        <v>29546</v>
      </c>
      <c r="E27835" s="62"/>
      <c r="F27835" s="62" t="str">
        <f>IF(INDEX(I.Gas.P3Y1C1E3,1)="","",INDEX(I.Gas.P3Y1C1E3,1))</f>
        <v/>
      </c>
      <c r="G27835" s="62"/>
      <c r="H27835" s="46" t="str">
        <f>IF(OR(I.Developer.P3=FALSE,I.Facility.StandardPart="Part 2"),"Complete",IF(I.Product.P3GasToPowerStatus&lt;&gt;"Yes","Complete",IF(AND(I.Gas.P3Y1Count&gt;=1,F27835=""),"Incomplete","Complete")))</f>
        <v>Complete</v>
      </c>
      <c r="I27835" s="48" t="s">
        <v>3014</v>
      </c>
    </row>
    <row r="27836" spans="2:9" ht="15" customHeight="1" x14ac:dyDescent="0.25">
      <c r="B27836" s="55" t="s">
        <v>409</v>
      </c>
      <c r="C27836" s="46">
        <v>2</v>
      </c>
      <c r="D27836" s="69" t="s">
        <v>29546</v>
      </c>
      <c r="E27836" s="62"/>
      <c r="F27836" s="62" t="str">
        <f>IF(INDEX(I.Gas.P3Y1C1E3,2)="","",INDEX(I.Gas.P3Y1C1E3,2))</f>
        <v/>
      </c>
      <c r="G27836" s="62"/>
      <c r="H27836" s="46" t="str">
        <f>IF(OR(I.Developer.P3=FALSE,I.Facility.StandardPart="Part 2"),"Complete",IF(I.Product.P3GasToPowerStatus&lt;&gt;"Yes","Complete",IF(AND(I.Gas.P3Y1Count&gt;=2,F27836=""),"Incomplete","Complete")))</f>
        <v>Complete</v>
      </c>
      <c r="I27836" s="48" t="s">
        <v>3015</v>
      </c>
    </row>
    <row r="27837" spans="2:9" ht="15" customHeight="1" x14ac:dyDescent="0.25">
      <c r="B27837" s="55" t="s">
        <v>409</v>
      </c>
      <c r="C27837" s="46">
        <v>3</v>
      </c>
      <c r="D27837" s="69" t="s">
        <v>29546</v>
      </c>
      <c r="E27837" s="62"/>
      <c r="F27837" s="62" t="str">
        <f>IF(INDEX(I.Gas.P3Y1C1E3,3)="","",INDEX(I.Gas.P3Y1C1E3,3))</f>
        <v/>
      </c>
      <c r="G27837" s="62"/>
      <c r="H27837" s="46" t="str">
        <f>IF(OR(I.Developer.P3=FALSE,I.Facility.StandardPart="Part 2"),"Complete",IF(I.Product.P3GasToPowerStatus&lt;&gt;"Yes","Complete",IF(AND(I.Gas.P3Y1Count&gt;=3,F27837=""),"Incomplete","Complete")))</f>
        <v>Complete</v>
      </c>
      <c r="I27837" s="48" t="s">
        <v>3016</v>
      </c>
    </row>
    <row r="27838" spans="2:9" ht="15" customHeight="1" x14ac:dyDescent="0.25">
      <c r="B27838" s="55" t="s">
        <v>409</v>
      </c>
      <c r="C27838" s="46">
        <v>4</v>
      </c>
      <c r="D27838" s="69" t="s">
        <v>29546</v>
      </c>
      <c r="E27838" s="62"/>
      <c r="F27838" s="62" t="str">
        <f>IF(INDEX(I.Gas.P3Y1C1E3,4)="","",INDEX(I.Gas.P3Y1C1E3,4))</f>
        <v/>
      </c>
      <c r="G27838" s="62"/>
      <c r="H27838" s="46" t="str">
        <f>IF(OR(I.Developer.P3=FALSE,I.Facility.StandardPart="Part 2"),"Complete",IF(I.Product.P3GasToPowerStatus&lt;&gt;"Yes","Complete",IF(AND(I.Gas.P3Y1Count&gt;=4,F27838=""),"Incomplete","Complete")))</f>
        <v>Complete</v>
      </c>
      <c r="I27838" s="48" t="s">
        <v>3017</v>
      </c>
    </row>
    <row r="27839" spans="2:9" ht="15" customHeight="1" x14ac:dyDescent="0.25">
      <c r="B27839" s="55" t="s">
        <v>409</v>
      </c>
      <c r="C27839" s="46">
        <v>5</v>
      </c>
      <c r="D27839" s="69" t="s">
        <v>29546</v>
      </c>
      <c r="E27839" s="62"/>
      <c r="F27839" s="62" t="str">
        <f>IF(INDEX(I.Gas.P3Y1C1E3,5)="","",INDEX(I.Gas.P3Y1C1E3,5))</f>
        <v/>
      </c>
      <c r="G27839" s="62"/>
      <c r="H27839" s="46" t="str">
        <f>IF(OR(I.Developer.P3=FALSE,I.Facility.StandardPart="Part 2"),"Complete",IF(I.Product.P3GasToPowerStatus&lt;&gt;"Yes","Complete",IF(AND(I.Gas.P3Y1Count&gt;=5,F27839=""),"Incomplete","Complete")))</f>
        <v>Complete</v>
      </c>
      <c r="I27839" s="48" t="s">
        <v>3018</v>
      </c>
    </row>
    <row r="27840" spans="2:9" ht="15" customHeight="1" x14ac:dyDescent="0.25">
      <c r="B27840" s="55" t="s">
        <v>409</v>
      </c>
      <c r="C27840" s="46">
        <v>6</v>
      </c>
      <c r="D27840" s="69" t="s">
        <v>29546</v>
      </c>
      <c r="E27840" s="62"/>
      <c r="F27840" s="62" t="str">
        <f>IF(INDEX(I.Gas.P3Y1C1E3,6)="","",INDEX(I.Gas.P3Y1C1E3,6))</f>
        <v/>
      </c>
      <c r="G27840" s="62"/>
      <c r="H27840" s="46" t="str">
        <f>IF(OR(I.Developer.P3=FALSE,I.Facility.StandardPart="Part 2"),"Complete",IF(I.Product.P3GasToPowerStatus&lt;&gt;"Yes","Complete",IF(AND(I.Gas.P3Y1Count&gt;=6,F27840=""),"Incomplete","Complete")))</f>
        <v>Complete</v>
      </c>
      <c r="I27840" s="48" t="s">
        <v>3019</v>
      </c>
    </row>
    <row r="27841" spans="2:9" ht="15" customHeight="1" x14ac:dyDescent="0.25">
      <c r="B27841" s="55" t="s">
        <v>409</v>
      </c>
      <c r="C27841" s="46">
        <v>7</v>
      </c>
      <c r="D27841" s="69" t="s">
        <v>29546</v>
      </c>
      <c r="E27841" s="62"/>
      <c r="F27841" s="62" t="str">
        <f>IF(INDEX(I.Gas.P3Y1C1E3,7)="","",INDEX(I.Gas.P3Y1C1E3,7))</f>
        <v/>
      </c>
      <c r="G27841" s="62"/>
      <c r="H27841" s="46" t="str">
        <f>IF(OR(I.Developer.P3=FALSE,I.Facility.StandardPart="Part 2"),"Complete",IF(I.Product.P3GasToPowerStatus&lt;&gt;"Yes","Complete",IF(AND(I.Gas.P3Y1Count&gt;=7,F27841=""),"Incomplete","Complete")))</f>
        <v>Complete</v>
      </c>
      <c r="I27841" s="48" t="s">
        <v>3020</v>
      </c>
    </row>
    <row r="27842" spans="2:9" ht="15" customHeight="1" x14ac:dyDescent="0.25">
      <c r="B27842" s="55" t="s">
        <v>409</v>
      </c>
      <c r="C27842" s="46">
        <v>8</v>
      </c>
      <c r="D27842" s="69" t="s">
        <v>29546</v>
      </c>
      <c r="E27842" s="62"/>
      <c r="F27842" s="62" t="str">
        <f>IF(INDEX(I.Gas.P3Y1C1E3,8)="","",INDEX(I.Gas.P3Y1C1E3,8))</f>
        <v/>
      </c>
      <c r="G27842" s="62"/>
      <c r="H27842" s="46" t="str">
        <f>IF(OR(I.Developer.P3=FALSE,I.Facility.StandardPart="Part 2"),"Complete",IF(I.Product.P3GasToPowerStatus&lt;&gt;"Yes","Complete",IF(AND(I.Gas.P3Y1Count&gt;=8,F27842=""),"Incomplete","Complete")))</f>
        <v>Complete</v>
      </c>
      <c r="I27842" s="48" t="s">
        <v>3021</v>
      </c>
    </row>
    <row r="27843" spans="2:9" ht="15" customHeight="1" x14ac:dyDescent="0.25">
      <c r="B27843" s="55" t="s">
        <v>409</v>
      </c>
      <c r="C27843" s="46">
        <v>9</v>
      </c>
      <c r="D27843" s="69" t="s">
        <v>29546</v>
      </c>
      <c r="E27843" s="62"/>
      <c r="F27843" s="62" t="str">
        <f>IF(INDEX(I.Gas.P3Y1C1E3,9)="","",INDEX(I.Gas.P3Y1C1E3,9))</f>
        <v/>
      </c>
      <c r="G27843" s="62"/>
      <c r="H27843" s="46" t="str">
        <f>IF(OR(I.Developer.P3=FALSE,I.Facility.StandardPart="Part 2"),"Complete",IF(I.Product.P3GasToPowerStatus&lt;&gt;"Yes","Complete",IF(AND(I.Gas.P3Y1Count&gt;=9,F27843=""),"Incomplete","Complete")))</f>
        <v>Complete</v>
      </c>
      <c r="I27843" s="48" t="s">
        <v>3022</v>
      </c>
    </row>
    <row r="27844" spans="2:9" ht="15" customHeight="1" x14ac:dyDescent="0.25">
      <c r="B27844" s="55" t="s">
        <v>409</v>
      </c>
      <c r="C27844" s="46">
        <v>10</v>
      </c>
      <c r="D27844" s="69" t="s">
        <v>29546</v>
      </c>
      <c r="E27844" s="62"/>
      <c r="F27844" s="62" t="str">
        <f>IF(INDEX(I.Gas.P3Y1C1E3,10)="","",INDEX(I.Gas.P3Y1C1E3,10))</f>
        <v/>
      </c>
      <c r="G27844" s="62"/>
      <c r="H27844" s="46" t="str">
        <f>IF(OR(I.Developer.P3=FALSE,I.Facility.StandardPart="Part 2"),"Complete",IF(I.Product.P3GasToPowerStatus&lt;&gt;"Yes","Complete",IF(AND(I.Gas.P3Y1Count&gt;=10,F27844=""),"Incomplete","Complete")))</f>
        <v>Complete</v>
      </c>
      <c r="I27844" s="48" t="s">
        <v>3023</v>
      </c>
    </row>
    <row r="27845" spans="2:9" ht="15" customHeight="1" x14ac:dyDescent="0.25">
      <c r="B27845" s="55" t="s">
        <v>409</v>
      </c>
      <c r="C27845" s="46">
        <v>11</v>
      </c>
      <c r="D27845" s="69" t="s">
        <v>29546</v>
      </c>
      <c r="E27845" s="62"/>
      <c r="F27845" s="62" t="str">
        <f>IF(INDEX(I.Gas.P3Y1C1E3,11)="","",INDEX(I.Gas.P3Y1C1E3,11))</f>
        <v/>
      </c>
      <c r="G27845" s="62"/>
      <c r="H27845" s="46" t="str">
        <f>IF(OR(I.Developer.P3=FALSE,I.Facility.StandardPart="Part 2"),"Complete",IF(I.Product.P3GasToPowerStatus&lt;&gt;"Yes","Complete",IF(AND(I.Gas.P3Y1Count&gt;=11,F27845=""),"Incomplete","Complete")))</f>
        <v>Complete</v>
      </c>
      <c r="I27845" s="48" t="s">
        <v>3024</v>
      </c>
    </row>
    <row r="27846" spans="2:9" ht="15" customHeight="1" x14ac:dyDescent="0.25">
      <c r="B27846" s="55" t="s">
        <v>409</v>
      </c>
      <c r="C27846" s="46">
        <v>12</v>
      </c>
      <c r="D27846" s="69" t="s">
        <v>29546</v>
      </c>
      <c r="E27846" s="62"/>
      <c r="F27846" s="62" t="str">
        <f>IF(INDEX(I.Gas.P3Y1C1E3,12)="","",INDEX(I.Gas.P3Y1C1E3,12))</f>
        <v/>
      </c>
      <c r="G27846" s="62"/>
      <c r="H27846" s="46" t="str">
        <f>IF(OR(I.Developer.P3=FALSE,I.Facility.StandardPart="Part 2"),"Complete",IF(I.Product.P3GasToPowerStatus&lt;&gt;"Yes","Complete",IF(AND(I.Gas.P3Y1Count&gt;=12,F27846=""),"Incomplete","Complete")))</f>
        <v>Complete</v>
      </c>
      <c r="I27846" s="48" t="s">
        <v>3025</v>
      </c>
    </row>
    <row r="27847" spans="2:9" ht="15" customHeight="1" x14ac:dyDescent="0.25">
      <c r="B27847" s="55" t="s">
        <v>409</v>
      </c>
      <c r="C27847" s="46">
        <v>13</v>
      </c>
      <c r="D27847" s="69" t="s">
        <v>29546</v>
      </c>
      <c r="E27847" s="62"/>
      <c r="F27847" s="62" t="str">
        <f>IF(INDEX(I.Gas.P3Y1C1E3,13)="","",INDEX(I.Gas.P3Y1C1E3,13))</f>
        <v/>
      </c>
      <c r="G27847" s="62"/>
      <c r="H27847" s="46" t="str">
        <f>IF(OR(I.Developer.P3=FALSE,I.Facility.StandardPart="Part 2"),"Complete",IF(I.Product.P3GasToPowerStatus&lt;&gt;"Yes","Complete",IF(AND(I.Gas.P3Y1Count&gt;=13,F27847=""),"Incomplete","Complete")))</f>
        <v>Complete</v>
      </c>
      <c r="I27847" s="48" t="s">
        <v>3026</v>
      </c>
    </row>
    <row r="27848" spans="2:9" ht="15" customHeight="1" x14ac:dyDescent="0.25">
      <c r="B27848" s="55" t="s">
        <v>409</v>
      </c>
      <c r="C27848" s="46">
        <v>14</v>
      </c>
      <c r="D27848" s="69" t="s">
        <v>29546</v>
      </c>
      <c r="E27848" s="62"/>
      <c r="F27848" s="62" t="str">
        <f>IF(INDEX(I.Gas.P3Y1C1E3,14)="","",INDEX(I.Gas.P3Y1C1E3,14))</f>
        <v/>
      </c>
      <c r="G27848" s="62"/>
      <c r="H27848" s="46" t="str">
        <f>IF(OR(I.Developer.P3=FALSE,I.Facility.StandardPart="Part 2"),"Complete",IF(I.Product.P3GasToPowerStatus&lt;&gt;"Yes","Complete",IF(AND(I.Gas.P3Y1Count&gt;=14,F27848=""),"Incomplete","Complete")))</f>
        <v>Complete</v>
      </c>
      <c r="I27848" s="48" t="s">
        <v>3027</v>
      </c>
    </row>
    <row r="27849" spans="2:9" ht="15" customHeight="1" x14ac:dyDescent="0.25">
      <c r="B27849" s="55" t="s">
        <v>409</v>
      </c>
      <c r="C27849" s="46">
        <v>15</v>
      </c>
      <c r="D27849" s="69" t="s">
        <v>29546</v>
      </c>
      <c r="E27849" s="62"/>
      <c r="F27849" s="62" t="str">
        <f>IF(INDEX(I.Gas.P3Y1C1E3,15)="","",INDEX(I.Gas.P3Y1C1E3,15))</f>
        <v/>
      </c>
      <c r="G27849" s="62"/>
      <c r="H27849" s="46" t="str">
        <f>IF(OR(I.Developer.P3=FALSE,I.Facility.StandardPart="Part 2"),"Complete",IF(I.Product.P3GasToPowerStatus&lt;&gt;"Yes","Complete",IF(AND(I.Gas.P3Y1Count&gt;=15,F27849=""),"Incomplete","Complete")))</f>
        <v>Complete</v>
      </c>
      <c r="I27849" s="48" t="s">
        <v>3028</v>
      </c>
    </row>
    <row r="27850" spans="2:9" ht="15" customHeight="1" x14ac:dyDescent="0.25">
      <c r="B27850" s="55" t="s">
        <v>409</v>
      </c>
      <c r="C27850" s="46">
        <v>16</v>
      </c>
      <c r="D27850" s="69" t="s">
        <v>29546</v>
      </c>
      <c r="E27850" s="62"/>
      <c r="F27850" s="62" t="str">
        <f>IF(INDEX(I.Gas.P3Y1C1E3,16)="","",INDEX(I.Gas.P3Y1C1E3,16))</f>
        <v/>
      </c>
      <c r="G27850" s="62"/>
      <c r="H27850" s="46" t="str">
        <f>IF(OR(I.Developer.P3=FALSE,I.Facility.StandardPart="Part 2"),"Complete",IF(I.Product.P3GasToPowerStatus&lt;&gt;"Yes","Complete",IF(AND(I.Gas.P3Y1Count&gt;=16,F27850=""),"Incomplete","Complete")))</f>
        <v>Complete</v>
      </c>
      <c r="I27850" s="48" t="s">
        <v>3029</v>
      </c>
    </row>
    <row r="27851" spans="2:9" ht="15" customHeight="1" x14ac:dyDescent="0.25">
      <c r="B27851" s="55" t="s">
        <v>409</v>
      </c>
      <c r="C27851" s="46">
        <v>17</v>
      </c>
      <c r="D27851" s="69" t="s">
        <v>29546</v>
      </c>
      <c r="E27851" s="62"/>
      <c r="F27851" s="62" t="str">
        <f>IF(INDEX(I.Gas.P3Y1C1E3,17)="","",INDEX(I.Gas.P3Y1C1E3,17))</f>
        <v/>
      </c>
      <c r="G27851" s="62"/>
      <c r="H27851" s="46" t="str">
        <f>IF(OR(I.Developer.P3=FALSE,I.Facility.StandardPart="Part 2"),"Complete",IF(I.Product.P3GasToPowerStatus&lt;&gt;"Yes","Complete",IF(AND(I.Gas.P3Y1Count&gt;=17,F27851=""),"Incomplete","Complete")))</f>
        <v>Complete</v>
      </c>
      <c r="I27851" s="48" t="s">
        <v>3030</v>
      </c>
    </row>
    <row r="27852" spans="2:9" ht="15" customHeight="1" x14ac:dyDescent="0.25">
      <c r="B27852" s="55" t="s">
        <v>409</v>
      </c>
      <c r="C27852" s="46">
        <v>18</v>
      </c>
      <c r="D27852" s="69" t="s">
        <v>29546</v>
      </c>
      <c r="E27852" s="62"/>
      <c r="F27852" s="62" t="str">
        <f>IF(INDEX(I.Gas.P3Y1C1E3,18)="","",INDEX(I.Gas.P3Y1C1E3,18))</f>
        <v/>
      </c>
      <c r="G27852" s="62"/>
      <c r="H27852" s="46" t="str">
        <f>IF(OR(I.Developer.P3=FALSE,I.Facility.StandardPart="Part 2"),"Complete",IF(I.Product.P3GasToPowerStatus&lt;&gt;"Yes","Complete",IF(AND(I.Gas.P3Y1Count&gt;=18,F27852=""),"Incomplete","Complete")))</f>
        <v>Complete</v>
      </c>
      <c r="I27852" s="48" t="s">
        <v>3031</v>
      </c>
    </row>
    <row r="27853" spans="2:9" ht="15" customHeight="1" x14ac:dyDescent="0.25">
      <c r="B27853" s="55" t="s">
        <v>409</v>
      </c>
      <c r="C27853" s="46">
        <v>19</v>
      </c>
      <c r="D27853" s="69" t="s">
        <v>29546</v>
      </c>
      <c r="E27853" s="62"/>
      <c r="F27853" s="62" t="str">
        <f>IF(INDEX(I.Gas.P3Y1C1E3,19)="","",INDEX(I.Gas.P3Y1C1E3,19))</f>
        <v/>
      </c>
      <c r="G27853" s="62"/>
      <c r="H27853" s="46" t="str">
        <f>IF(OR(I.Developer.P3=FALSE,I.Facility.StandardPart="Part 2"),"Complete",IF(I.Product.P3GasToPowerStatus&lt;&gt;"Yes","Complete",IF(AND(I.Gas.P3Y1Count&gt;=19,F27853=""),"Incomplete","Complete")))</f>
        <v>Complete</v>
      </c>
      <c r="I27853" s="48" t="s">
        <v>3032</v>
      </c>
    </row>
    <row r="27854" spans="2:9" ht="15" customHeight="1" x14ac:dyDescent="0.25">
      <c r="B27854" s="55" t="s">
        <v>409</v>
      </c>
      <c r="C27854" s="46">
        <v>20</v>
      </c>
      <c r="D27854" s="69" t="s">
        <v>29546</v>
      </c>
      <c r="E27854" s="62"/>
      <c r="F27854" s="62" t="str">
        <f>IF(INDEX(I.Gas.P3Y1C1E3,20)="","",INDEX(I.Gas.P3Y1C1E3,20))</f>
        <v/>
      </c>
      <c r="G27854" s="62"/>
      <c r="H27854" s="46" t="str">
        <f>IF(OR(I.Developer.P3=FALSE,I.Facility.StandardPart="Part 2"),"Complete",IF(I.Product.P3GasToPowerStatus&lt;&gt;"Yes","Complete",IF(AND(I.Gas.P3Y1Count&gt;=20,F27854=""),"Incomplete","Complete")))</f>
        <v>Complete</v>
      </c>
      <c r="I27854" s="48" t="s">
        <v>3033</v>
      </c>
    </row>
    <row r="27855" spans="2:9" ht="15" customHeight="1" x14ac:dyDescent="0.25">
      <c r="B27855" s="55" t="s">
        <v>409</v>
      </c>
      <c r="C27855" s="46">
        <v>21</v>
      </c>
      <c r="D27855" s="69" t="s">
        <v>29546</v>
      </c>
      <c r="E27855" s="62"/>
      <c r="F27855" s="62" t="str">
        <f>IF(INDEX(I.Gas.P3Y1C1E3,21)="","",INDEX(I.Gas.P3Y1C1E3,21))</f>
        <v/>
      </c>
      <c r="G27855" s="62"/>
      <c r="H27855" s="46" t="str">
        <f>IF(OR(I.Developer.P3=FALSE,I.Facility.StandardPart="Part 2"),"Complete",IF(I.Product.P3GasToPowerStatus&lt;&gt;"Yes","Complete",IF(AND(I.Gas.P3Y1Count&gt;=21,F27855=""),"Incomplete","Complete")))</f>
        <v>Complete</v>
      </c>
      <c r="I27855" s="48" t="s">
        <v>3034</v>
      </c>
    </row>
    <row r="27856" spans="2:9" ht="15" customHeight="1" x14ac:dyDescent="0.25">
      <c r="B27856" s="55" t="s">
        <v>409</v>
      </c>
      <c r="C27856" s="46">
        <v>22</v>
      </c>
      <c r="D27856" s="69" t="s">
        <v>29546</v>
      </c>
      <c r="E27856" s="62"/>
      <c r="F27856" s="62" t="str">
        <f>IF(INDEX(I.Gas.P3Y1C1E3,22)="","",INDEX(I.Gas.P3Y1C1E3,22))</f>
        <v/>
      </c>
      <c r="G27856" s="62"/>
      <c r="H27856" s="46" t="str">
        <f>IF(OR(I.Developer.P3=FALSE,I.Facility.StandardPart="Part 2"),"Complete",IF(I.Product.P3GasToPowerStatus&lt;&gt;"Yes","Complete",IF(AND(I.Gas.P3Y1Count&gt;=22,F27856=""),"Incomplete","Complete")))</f>
        <v>Complete</v>
      </c>
      <c r="I27856" s="48" t="s">
        <v>3035</v>
      </c>
    </row>
    <row r="27857" spans="2:9" ht="15" customHeight="1" x14ac:dyDescent="0.25">
      <c r="B27857" s="55" t="s">
        <v>409</v>
      </c>
      <c r="C27857" s="46">
        <v>23</v>
      </c>
      <c r="D27857" s="69" t="s">
        <v>29546</v>
      </c>
      <c r="E27857" s="62"/>
      <c r="F27857" s="62" t="str">
        <f>IF(INDEX(I.Gas.P3Y1C1E3,23)="","",INDEX(I.Gas.P3Y1C1E3,23))</f>
        <v/>
      </c>
      <c r="G27857" s="62"/>
      <c r="H27857" s="46" t="str">
        <f>IF(OR(I.Developer.P3=FALSE,I.Facility.StandardPart="Part 2"),"Complete",IF(I.Product.P3GasToPowerStatus&lt;&gt;"Yes","Complete",IF(AND(I.Gas.P3Y1Count&gt;=23,F27857=""),"Incomplete","Complete")))</f>
        <v>Complete</v>
      </c>
      <c r="I27857" s="48" t="s">
        <v>3036</v>
      </c>
    </row>
    <row r="27858" spans="2:9" ht="15" customHeight="1" x14ac:dyDescent="0.25">
      <c r="B27858" s="55" t="s">
        <v>409</v>
      </c>
      <c r="C27858" s="46">
        <v>24</v>
      </c>
      <c r="D27858" s="69" t="s">
        <v>29546</v>
      </c>
      <c r="E27858" s="62"/>
      <c r="F27858" s="62" t="str">
        <f>IF(INDEX(I.Gas.P3Y1C1E3,24)="","",INDEX(I.Gas.P3Y1C1E3,24))</f>
        <v/>
      </c>
      <c r="G27858" s="62"/>
      <c r="H27858" s="46" t="str">
        <f>IF(OR(I.Developer.P3=FALSE,I.Facility.StandardPart="Part 2"),"Complete",IF(I.Product.P3GasToPowerStatus&lt;&gt;"Yes","Complete",IF(AND(I.Gas.P3Y1Count&gt;=24,F27858=""),"Incomplete","Complete")))</f>
        <v>Complete</v>
      </c>
      <c r="I27858" s="48" t="s">
        <v>3037</v>
      </c>
    </row>
    <row r="27859" spans="2:9" ht="15" customHeight="1" x14ac:dyDescent="0.25">
      <c r="B27859" s="55" t="s">
        <v>409</v>
      </c>
      <c r="C27859" s="46">
        <v>25</v>
      </c>
      <c r="D27859" s="69" t="s">
        <v>29546</v>
      </c>
      <c r="E27859" s="62"/>
      <c r="F27859" s="62" t="str">
        <f>IF(INDEX(I.Gas.P3Y1C1E3,25)="","",INDEX(I.Gas.P3Y1C1E3,25))</f>
        <v/>
      </c>
      <c r="G27859" s="62"/>
      <c r="H27859" s="46" t="str">
        <f>IF(OR(I.Developer.P3=FALSE,I.Facility.StandardPart="Part 2"),"Complete",IF(I.Product.P3GasToPowerStatus&lt;&gt;"Yes","Complete",IF(AND(I.Gas.P3Y1Count&gt;=25,F27859=""),"Incomplete","Complete")))</f>
        <v>Complete</v>
      </c>
      <c r="I27859" s="48" t="s">
        <v>3038</v>
      </c>
    </row>
    <row r="27860" spans="2:9" ht="15" customHeight="1" x14ac:dyDescent="0.25">
      <c r="B27860" s="55" t="s">
        <v>409</v>
      </c>
      <c r="C27860" s="46">
        <v>26</v>
      </c>
      <c r="D27860" s="69" t="s">
        <v>29546</v>
      </c>
      <c r="E27860" s="62"/>
      <c r="F27860" s="62" t="str">
        <f>IF(INDEX(I.Gas.P3Y1C1E3,26)="","",INDEX(I.Gas.P3Y1C1E3,26))</f>
        <v/>
      </c>
      <c r="G27860" s="62"/>
      <c r="H27860" s="46" t="str">
        <f>IF(OR(I.Developer.P3=FALSE,I.Facility.StandardPart="Part 2"),"Complete",IF(I.Product.P3GasToPowerStatus&lt;&gt;"Yes","Complete",IF(AND(I.Gas.P3Y1Count&gt;=26,F27860=""),"Incomplete","Complete")))</f>
        <v>Complete</v>
      </c>
      <c r="I27860" s="48" t="s">
        <v>3039</v>
      </c>
    </row>
    <row r="27861" spans="2:9" ht="15" customHeight="1" x14ac:dyDescent="0.25">
      <c r="B27861" s="55" t="s">
        <v>409</v>
      </c>
      <c r="C27861" s="46">
        <v>27</v>
      </c>
      <c r="D27861" s="69" t="s">
        <v>29546</v>
      </c>
      <c r="E27861" s="62"/>
      <c r="F27861" s="62" t="str">
        <f>IF(INDEX(I.Gas.P3Y1C1E3,27)="","",INDEX(I.Gas.P3Y1C1E3,27))</f>
        <v/>
      </c>
      <c r="G27861" s="62"/>
      <c r="H27861" s="46" t="str">
        <f>IF(OR(I.Developer.P3=FALSE,I.Facility.StandardPart="Part 2"),"Complete",IF(I.Product.P3GasToPowerStatus&lt;&gt;"Yes","Complete",IF(AND(I.Gas.P3Y1Count&gt;=27,F27861=""),"Incomplete","Complete")))</f>
        <v>Complete</v>
      </c>
      <c r="I27861" s="48" t="s">
        <v>3040</v>
      </c>
    </row>
    <row r="27862" spans="2:9" ht="15" customHeight="1" x14ac:dyDescent="0.25">
      <c r="B27862" s="55" t="s">
        <v>409</v>
      </c>
      <c r="C27862" s="46">
        <v>28</v>
      </c>
      <c r="D27862" s="69" t="s">
        <v>29546</v>
      </c>
      <c r="E27862" s="62"/>
      <c r="F27862" s="62" t="str">
        <f>IF(INDEX(I.Gas.P3Y1C1E3,28)="","",INDEX(I.Gas.P3Y1C1E3,28))</f>
        <v/>
      </c>
      <c r="G27862" s="62"/>
      <c r="H27862" s="46" t="str">
        <f>IF(OR(I.Developer.P3=FALSE,I.Facility.StandardPart="Part 2"),"Complete",IF(I.Product.P3GasToPowerStatus&lt;&gt;"Yes","Complete",IF(AND(I.Gas.P3Y1Count&gt;=28,F27862=""),"Incomplete","Complete")))</f>
        <v>Complete</v>
      </c>
      <c r="I27862" s="48" t="s">
        <v>3041</v>
      </c>
    </row>
    <row r="27863" spans="2:9" ht="15" customHeight="1" x14ac:dyDescent="0.25">
      <c r="B27863" s="55" t="s">
        <v>409</v>
      </c>
      <c r="C27863" s="46">
        <v>29</v>
      </c>
      <c r="D27863" s="69" t="s">
        <v>29546</v>
      </c>
      <c r="E27863" s="62"/>
      <c r="F27863" s="62" t="str">
        <f>IF(INDEX(I.Gas.P3Y1C1E3,29)="","",INDEX(I.Gas.P3Y1C1E3,29))</f>
        <v/>
      </c>
      <c r="G27863" s="62"/>
      <c r="H27863" s="46" t="str">
        <f>IF(OR(I.Developer.P3=FALSE,I.Facility.StandardPart="Part 2"),"Complete",IF(I.Product.P3GasToPowerStatus&lt;&gt;"Yes","Complete",IF(AND(I.Gas.P3Y1Count&gt;=29,F27863=""),"Incomplete","Complete")))</f>
        <v>Complete</v>
      </c>
      <c r="I27863" s="48" t="s">
        <v>3042</v>
      </c>
    </row>
    <row r="27864" spans="2:9" ht="15" customHeight="1" x14ac:dyDescent="0.25">
      <c r="B27864" s="55" t="s">
        <v>409</v>
      </c>
      <c r="C27864" s="46">
        <v>30</v>
      </c>
      <c r="D27864" s="69" t="s">
        <v>29546</v>
      </c>
      <c r="E27864" s="62"/>
      <c r="F27864" s="62" t="str">
        <f>IF(INDEX(I.Gas.P3Y1C1E3,30)="","",INDEX(I.Gas.P3Y1C1E3,30))</f>
        <v/>
      </c>
      <c r="G27864" s="62"/>
      <c r="H27864" s="46" t="str">
        <f>IF(OR(I.Developer.P3=FALSE,I.Facility.StandardPart="Part 2"),"Complete",IF(I.Product.P3GasToPowerStatus&lt;&gt;"Yes","Complete",IF(AND(I.Gas.P3Y1Count&gt;=30,F27864=""),"Incomplete","Complete")))</f>
        <v>Complete</v>
      </c>
      <c r="I27864" s="48" t="s">
        <v>3043</v>
      </c>
    </row>
    <row r="27865" spans="2:9" ht="15" customHeight="1" x14ac:dyDescent="0.25">
      <c r="B27865" s="55" t="s">
        <v>409</v>
      </c>
      <c r="C27865" s="46">
        <v>31</v>
      </c>
      <c r="D27865" s="69" t="s">
        <v>29546</v>
      </c>
      <c r="E27865" s="62"/>
      <c r="F27865" s="62" t="str">
        <f>IF(INDEX(I.Gas.P3Y1C1E3,31)="","",INDEX(I.Gas.P3Y1C1E3,31))</f>
        <v/>
      </c>
      <c r="G27865" s="62"/>
      <c r="H27865" s="46" t="str">
        <f>IF(OR(I.Developer.P3=FALSE,I.Facility.StandardPart="Part 2"),"Complete",IF(I.Product.P3GasToPowerStatus&lt;&gt;"Yes","Complete",IF(AND(I.Gas.P3Y1Count&gt;=31,F27865=""),"Incomplete","Complete")))</f>
        <v>Complete</v>
      </c>
      <c r="I27865" s="48" t="s">
        <v>3044</v>
      </c>
    </row>
    <row r="27866" spans="2:9" ht="15" customHeight="1" x14ac:dyDescent="0.25">
      <c r="B27866" s="55" t="s">
        <v>409</v>
      </c>
      <c r="C27866" s="46">
        <v>32</v>
      </c>
      <c r="D27866" s="69" t="s">
        <v>29546</v>
      </c>
      <c r="E27866" s="62"/>
      <c r="F27866" s="62" t="str">
        <f>IF(INDEX(I.Gas.P3Y1C1E3,32)="","",INDEX(I.Gas.P3Y1C1E3,32))</f>
        <v/>
      </c>
      <c r="G27866" s="62"/>
      <c r="H27866" s="46" t="str">
        <f>IF(OR(I.Developer.P3=FALSE,I.Facility.StandardPart="Part 2"),"Complete",IF(I.Product.P3GasToPowerStatus&lt;&gt;"Yes","Complete",IF(AND(I.Gas.P3Y1Count&gt;=32,F27866=""),"Incomplete","Complete")))</f>
        <v>Complete</v>
      </c>
      <c r="I27866" s="48" t="s">
        <v>3045</v>
      </c>
    </row>
    <row r="27867" spans="2:9" ht="15" customHeight="1" x14ac:dyDescent="0.25">
      <c r="B27867" s="55" t="s">
        <v>409</v>
      </c>
      <c r="C27867" s="46">
        <v>33</v>
      </c>
      <c r="D27867" s="69" t="s">
        <v>29546</v>
      </c>
      <c r="E27867" s="62"/>
      <c r="F27867" s="62" t="str">
        <f>IF(INDEX(I.Gas.P3Y1C1E3,33)="","",INDEX(I.Gas.P3Y1C1E3,33))</f>
        <v/>
      </c>
      <c r="G27867" s="62"/>
      <c r="H27867" s="46" t="str">
        <f>IF(OR(I.Developer.P3=FALSE,I.Facility.StandardPart="Part 2"),"Complete",IF(I.Product.P3GasToPowerStatus&lt;&gt;"Yes","Complete",IF(AND(I.Gas.P3Y1Count&gt;=33,F27867=""),"Incomplete","Complete")))</f>
        <v>Complete</v>
      </c>
      <c r="I27867" s="48" t="s">
        <v>3046</v>
      </c>
    </row>
    <row r="27868" spans="2:9" ht="15" customHeight="1" x14ac:dyDescent="0.25">
      <c r="B27868" s="55" t="s">
        <v>409</v>
      </c>
      <c r="C27868" s="46">
        <v>34</v>
      </c>
      <c r="D27868" s="69" t="s">
        <v>29546</v>
      </c>
      <c r="E27868" s="62"/>
      <c r="F27868" s="62" t="str">
        <f>IF(INDEX(I.Gas.P3Y1C1E3,34)="","",INDEX(I.Gas.P3Y1C1E3,34))</f>
        <v/>
      </c>
      <c r="G27868" s="62"/>
      <c r="H27868" s="46" t="str">
        <f>IF(OR(I.Developer.P3=FALSE,I.Facility.StandardPart="Part 2"),"Complete",IF(I.Product.P3GasToPowerStatus&lt;&gt;"Yes","Complete",IF(AND(I.Gas.P3Y1Count&gt;=34,F27868=""),"Incomplete","Complete")))</f>
        <v>Complete</v>
      </c>
      <c r="I27868" s="48" t="s">
        <v>3047</v>
      </c>
    </row>
    <row r="27869" spans="2:9" ht="15" customHeight="1" x14ac:dyDescent="0.25">
      <c r="B27869" s="55" t="s">
        <v>409</v>
      </c>
      <c r="C27869" s="46">
        <v>35</v>
      </c>
      <c r="D27869" s="69" t="s">
        <v>29546</v>
      </c>
      <c r="E27869" s="62"/>
      <c r="F27869" s="62" t="str">
        <f>IF(INDEX(I.Gas.P3Y1C1E3,35)="","",INDEX(I.Gas.P3Y1C1E3,35))</f>
        <v/>
      </c>
      <c r="G27869" s="62"/>
      <c r="H27869" s="46" t="str">
        <f>IF(OR(I.Developer.P3=FALSE,I.Facility.StandardPart="Part 2"),"Complete",IF(I.Product.P3GasToPowerStatus&lt;&gt;"Yes","Complete",IF(AND(I.Gas.P3Y1Count&gt;=35,F27869=""),"Incomplete","Complete")))</f>
        <v>Complete</v>
      </c>
      <c r="I27869" s="48" t="s">
        <v>3048</v>
      </c>
    </row>
    <row r="27870" spans="2:9" ht="15" customHeight="1" x14ac:dyDescent="0.25">
      <c r="B27870" s="55" t="s">
        <v>409</v>
      </c>
      <c r="C27870" s="46">
        <v>36</v>
      </c>
      <c r="D27870" s="69" t="s">
        <v>29546</v>
      </c>
      <c r="E27870" s="62"/>
      <c r="F27870" s="62" t="str">
        <f>IF(INDEX(I.Gas.P3Y1C1E3,36)="","",INDEX(I.Gas.P3Y1C1E3,36))</f>
        <v/>
      </c>
      <c r="G27870" s="62"/>
      <c r="H27870" s="46" t="str">
        <f>IF(OR(I.Developer.P3=FALSE,I.Facility.StandardPart="Part 2"),"Complete",IF(I.Product.P3GasToPowerStatus&lt;&gt;"Yes","Complete",IF(AND(I.Gas.P3Y1Count&gt;=36,F27870=""),"Incomplete","Complete")))</f>
        <v>Complete</v>
      </c>
      <c r="I27870" s="48" t="s">
        <v>3049</v>
      </c>
    </row>
    <row r="27871" spans="2:9" ht="15" customHeight="1" x14ac:dyDescent="0.25">
      <c r="B27871" s="55" t="s">
        <v>409</v>
      </c>
      <c r="C27871" s="46">
        <v>37</v>
      </c>
      <c r="D27871" s="69" t="s">
        <v>29546</v>
      </c>
      <c r="E27871" s="62"/>
      <c r="F27871" s="62" t="str">
        <f>IF(INDEX(I.Gas.P3Y1C1E3,37)="","",INDEX(I.Gas.P3Y1C1E3,37))</f>
        <v/>
      </c>
      <c r="G27871" s="62"/>
      <c r="H27871" s="46" t="str">
        <f>IF(OR(I.Developer.P3=FALSE,I.Facility.StandardPart="Part 2"),"Complete",IF(I.Product.P3GasToPowerStatus&lt;&gt;"Yes","Complete",IF(AND(I.Gas.P3Y1Count&gt;=37,F27871=""),"Incomplete","Complete")))</f>
        <v>Complete</v>
      </c>
      <c r="I27871" s="48" t="s">
        <v>3050</v>
      </c>
    </row>
    <row r="27872" spans="2:9" ht="15" customHeight="1" x14ac:dyDescent="0.25">
      <c r="B27872" s="55" t="s">
        <v>409</v>
      </c>
      <c r="C27872" s="46">
        <v>38</v>
      </c>
      <c r="D27872" s="69" t="s">
        <v>29546</v>
      </c>
      <c r="E27872" s="62"/>
      <c r="F27872" s="62" t="str">
        <f>IF(INDEX(I.Gas.P3Y1C1E3,38)="","",INDEX(I.Gas.P3Y1C1E3,38))</f>
        <v/>
      </c>
      <c r="G27872" s="62"/>
      <c r="H27872" s="46" t="str">
        <f>IF(OR(I.Developer.P3=FALSE,I.Facility.StandardPart="Part 2"),"Complete",IF(I.Product.P3GasToPowerStatus&lt;&gt;"Yes","Complete",IF(AND(I.Gas.P3Y1Count&gt;=38,F27872=""),"Incomplete","Complete")))</f>
        <v>Complete</v>
      </c>
      <c r="I27872" s="48" t="s">
        <v>3051</v>
      </c>
    </row>
    <row r="27873" spans="2:9" ht="15" customHeight="1" x14ac:dyDescent="0.25">
      <c r="B27873" s="55" t="s">
        <v>409</v>
      </c>
      <c r="C27873" s="46">
        <v>39</v>
      </c>
      <c r="D27873" s="69" t="s">
        <v>29546</v>
      </c>
      <c r="E27873" s="62"/>
      <c r="F27873" s="62" t="str">
        <f>IF(INDEX(I.Gas.P3Y1C1E3,39)="","",INDEX(I.Gas.P3Y1C1E3,39))</f>
        <v/>
      </c>
      <c r="G27873" s="62"/>
      <c r="H27873" s="46" t="str">
        <f>IF(OR(I.Developer.P3=FALSE,I.Facility.StandardPart="Part 2"),"Complete",IF(I.Product.P3GasToPowerStatus&lt;&gt;"Yes","Complete",IF(AND(I.Gas.P3Y1Count&gt;=39,F27873=""),"Incomplete","Complete")))</f>
        <v>Complete</v>
      </c>
      <c r="I27873" s="48" t="s">
        <v>3052</v>
      </c>
    </row>
    <row r="27874" spans="2:9" ht="15" customHeight="1" x14ac:dyDescent="0.25">
      <c r="B27874" s="55" t="s">
        <v>409</v>
      </c>
      <c r="C27874" s="46">
        <v>40</v>
      </c>
      <c r="D27874" s="69" t="s">
        <v>29546</v>
      </c>
      <c r="E27874" s="62"/>
      <c r="F27874" s="62" t="str">
        <f>IF(INDEX(I.Gas.P3Y1C1E3,40)="","",INDEX(I.Gas.P3Y1C1E3,40))</f>
        <v/>
      </c>
      <c r="G27874" s="62"/>
      <c r="H27874" s="46" t="str">
        <f>IF(OR(I.Developer.P3=FALSE,I.Facility.StandardPart="Part 2"),"Complete",IF(I.Product.P3GasToPowerStatus&lt;&gt;"Yes","Complete",IF(AND(I.Gas.P3Y1Count&gt;=40,F27874=""),"Incomplete","Complete")))</f>
        <v>Complete</v>
      </c>
      <c r="I27874" s="48" t="s">
        <v>3053</v>
      </c>
    </row>
    <row r="27875" spans="2:9" ht="15" customHeight="1" x14ac:dyDescent="0.25">
      <c r="B27875" s="55" t="s">
        <v>409</v>
      </c>
      <c r="C27875" s="46">
        <v>41</v>
      </c>
      <c r="D27875" s="69" t="s">
        <v>29546</v>
      </c>
      <c r="E27875" s="62"/>
      <c r="F27875" s="62" t="str">
        <f>IF(INDEX(I.Gas.P3Y1C1E3,41)="","",INDEX(I.Gas.P3Y1C1E3,41))</f>
        <v/>
      </c>
      <c r="G27875" s="62"/>
      <c r="H27875" s="46" t="str">
        <f>IF(OR(I.Developer.P3=FALSE,I.Facility.StandardPart="Part 2"),"Complete",IF(I.Product.P3GasToPowerStatus&lt;&gt;"Yes","Complete",IF(AND(I.Gas.P3Y1Count&gt;=41,F27875=""),"Incomplete","Complete")))</f>
        <v>Complete</v>
      </c>
      <c r="I27875" s="48" t="s">
        <v>3054</v>
      </c>
    </row>
    <row r="27876" spans="2:9" ht="15" customHeight="1" x14ac:dyDescent="0.25">
      <c r="B27876" s="55" t="s">
        <v>409</v>
      </c>
      <c r="C27876" s="46">
        <v>42</v>
      </c>
      <c r="D27876" s="69" t="s">
        <v>29546</v>
      </c>
      <c r="E27876" s="62"/>
      <c r="F27876" s="62" t="str">
        <f>IF(INDEX(I.Gas.P3Y1C1E3,42)="","",INDEX(I.Gas.P3Y1C1E3,42))</f>
        <v/>
      </c>
      <c r="G27876" s="62"/>
      <c r="H27876" s="46" t="str">
        <f>IF(OR(I.Developer.P3=FALSE,I.Facility.StandardPart="Part 2"),"Complete",IF(I.Product.P3GasToPowerStatus&lt;&gt;"Yes","Complete",IF(AND(I.Gas.P3Y1Count&gt;=42,F27876=""),"Incomplete","Complete")))</f>
        <v>Complete</v>
      </c>
      <c r="I27876" s="48" t="s">
        <v>3055</v>
      </c>
    </row>
    <row r="27877" spans="2:9" ht="15" customHeight="1" x14ac:dyDescent="0.25">
      <c r="B27877" s="55" t="s">
        <v>409</v>
      </c>
      <c r="C27877" s="46">
        <v>43</v>
      </c>
      <c r="D27877" s="69" t="s">
        <v>29546</v>
      </c>
      <c r="E27877" s="62"/>
      <c r="F27877" s="62" t="str">
        <f>IF(INDEX(I.Gas.P3Y1C1E3,43)="","",INDEX(I.Gas.P3Y1C1E3,43))</f>
        <v/>
      </c>
      <c r="G27877" s="62"/>
      <c r="H27877" s="46" t="str">
        <f>IF(OR(I.Developer.P3=FALSE,I.Facility.StandardPart="Part 2"),"Complete",IF(I.Product.P3GasToPowerStatus&lt;&gt;"Yes","Complete",IF(AND(I.Gas.P3Y1Count&gt;=43,F27877=""),"Incomplete","Complete")))</f>
        <v>Complete</v>
      </c>
      <c r="I27877" s="48" t="s">
        <v>3056</v>
      </c>
    </row>
    <row r="27878" spans="2:9" ht="15" customHeight="1" x14ac:dyDescent="0.25">
      <c r="B27878" s="55" t="s">
        <v>409</v>
      </c>
      <c r="C27878" s="46">
        <v>44</v>
      </c>
      <c r="D27878" s="69" t="s">
        <v>29546</v>
      </c>
      <c r="E27878" s="62"/>
      <c r="F27878" s="62" t="str">
        <f>IF(INDEX(I.Gas.P3Y1C1E3,44)="","",INDEX(I.Gas.P3Y1C1E3,44))</f>
        <v/>
      </c>
      <c r="G27878" s="62"/>
      <c r="H27878" s="46" t="str">
        <f>IF(OR(I.Developer.P3=FALSE,I.Facility.StandardPart="Part 2"),"Complete",IF(I.Product.P3GasToPowerStatus&lt;&gt;"Yes","Complete",IF(AND(I.Gas.P3Y1Count&gt;=44,F27878=""),"Incomplete","Complete")))</f>
        <v>Complete</v>
      </c>
      <c r="I27878" s="48" t="s">
        <v>3057</v>
      </c>
    </row>
    <row r="27879" spans="2:9" ht="15" customHeight="1" x14ac:dyDescent="0.25">
      <c r="B27879" s="55" t="s">
        <v>409</v>
      </c>
      <c r="C27879" s="46">
        <v>45</v>
      </c>
      <c r="D27879" s="69" t="s">
        <v>29546</v>
      </c>
      <c r="E27879" s="62"/>
      <c r="F27879" s="62" t="str">
        <f>IF(INDEX(I.Gas.P3Y1C1E3,45)="","",INDEX(I.Gas.P3Y1C1E3,45))</f>
        <v/>
      </c>
      <c r="G27879" s="62"/>
      <c r="H27879" s="46" t="str">
        <f>IF(OR(I.Developer.P3=FALSE,I.Facility.StandardPart="Part 2"),"Complete",IF(I.Product.P3GasToPowerStatus&lt;&gt;"Yes","Complete",IF(AND(I.Gas.P3Y1Count&gt;=45,F27879=""),"Incomplete","Complete")))</f>
        <v>Complete</v>
      </c>
      <c r="I27879" s="48" t="s">
        <v>3058</v>
      </c>
    </row>
    <row r="27880" spans="2:9" ht="15" customHeight="1" x14ac:dyDescent="0.25">
      <c r="B27880" s="55" t="s">
        <v>409</v>
      </c>
      <c r="C27880" s="46">
        <v>46</v>
      </c>
      <c r="D27880" s="69" t="s">
        <v>29546</v>
      </c>
      <c r="E27880" s="62"/>
      <c r="F27880" s="62" t="str">
        <f>IF(INDEX(I.Gas.P3Y1C1E3,46)="","",INDEX(I.Gas.P3Y1C1E3,46))</f>
        <v/>
      </c>
      <c r="G27880" s="62"/>
      <c r="H27880" s="46" t="str">
        <f>IF(OR(I.Developer.P3=FALSE,I.Facility.StandardPart="Part 2"),"Complete",IF(I.Product.P3GasToPowerStatus&lt;&gt;"Yes","Complete",IF(AND(I.Gas.P3Y1Count&gt;=46,F27880=""),"Incomplete","Complete")))</f>
        <v>Complete</v>
      </c>
      <c r="I27880" s="48" t="s">
        <v>3059</v>
      </c>
    </row>
    <row r="27881" spans="2:9" ht="15" customHeight="1" x14ac:dyDescent="0.25">
      <c r="B27881" s="55" t="s">
        <v>409</v>
      </c>
      <c r="C27881" s="46">
        <v>47</v>
      </c>
      <c r="D27881" s="69" t="s">
        <v>29546</v>
      </c>
      <c r="E27881" s="62"/>
      <c r="F27881" s="62" t="str">
        <f>IF(INDEX(I.Gas.P3Y1C1E3,47)="","",INDEX(I.Gas.P3Y1C1E3,47))</f>
        <v/>
      </c>
      <c r="G27881" s="62"/>
      <c r="H27881" s="46" t="str">
        <f>IF(OR(I.Developer.P3=FALSE,I.Facility.StandardPart="Part 2"),"Complete",IF(I.Product.P3GasToPowerStatus&lt;&gt;"Yes","Complete",IF(AND(I.Gas.P3Y1Count&gt;=47,F27881=""),"Incomplete","Complete")))</f>
        <v>Complete</v>
      </c>
      <c r="I27881" s="48" t="s">
        <v>3060</v>
      </c>
    </row>
    <row r="27882" spans="2:9" ht="15" customHeight="1" x14ac:dyDescent="0.25">
      <c r="B27882" s="55" t="s">
        <v>409</v>
      </c>
      <c r="C27882" s="46">
        <v>48</v>
      </c>
      <c r="D27882" s="69" t="s">
        <v>29546</v>
      </c>
      <c r="E27882" s="62"/>
      <c r="F27882" s="62" t="str">
        <f>IF(INDEX(I.Gas.P3Y1C1E3,48)="","",INDEX(I.Gas.P3Y1C1E3,48))</f>
        <v/>
      </c>
      <c r="G27882" s="62"/>
      <c r="H27882" s="46" t="str">
        <f>IF(OR(I.Developer.P3=FALSE,I.Facility.StandardPart="Part 2"),"Complete",IF(I.Product.P3GasToPowerStatus&lt;&gt;"Yes","Complete",IF(AND(I.Gas.P3Y1Count&gt;=48,F27882=""),"Incomplete","Complete")))</f>
        <v>Complete</v>
      </c>
      <c r="I27882" s="48" t="s">
        <v>3061</v>
      </c>
    </row>
    <row r="27883" spans="2:9" ht="15" customHeight="1" x14ac:dyDescent="0.25">
      <c r="B27883" s="55" t="s">
        <v>409</v>
      </c>
      <c r="C27883" s="46">
        <v>49</v>
      </c>
      <c r="D27883" s="69" t="s">
        <v>29546</v>
      </c>
      <c r="E27883" s="62"/>
      <c r="F27883" s="62" t="str">
        <f>IF(INDEX(I.Gas.P3Y1C1E3,49)="","",INDEX(I.Gas.P3Y1C1E3,49))</f>
        <v/>
      </c>
      <c r="G27883" s="62"/>
      <c r="H27883" s="46" t="str">
        <f>IF(OR(I.Developer.P3=FALSE,I.Facility.StandardPart="Part 2"),"Complete",IF(I.Product.P3GasToPowerStatus&lt;&gt;"Yes","Complete",IF(AND(I.Gas.P3Y1Count&gt;=49,F27883=""),"Incomplete","Complete")))</f>
        <v>Complete</v>
      </c>
      <c r="I27883" s="48" t="s">
        <v>3062</v>
      </c>
    </row>
    <row r="27884" spans="2:9" ht="15" customHeight="1" x14ac:dyDescent="0.25">
      <c r="B27884" s="56" t="s">
        <v>409</v>
      </c>
      <c r="C27884" s="57">
        <v>50</v>
      </c>
      <c r="D27884" s="71" t="s">
        <v>29546</v>
      </c>
      <c r="E27884" s="61"/>
      <c r="F27884" s="61" t="str">
        <f>IF(INDEX(I.Gas.P3Y1C1E3,50)="","",INDEX(I.Gas.P3Y1C1E3,50))</f>
        <v/>
      </c>
      <c r="G27884" s="61"/>
      <c r="H27884" s="57" t="str">
        <f>IF(OR(I.Developer.P3=FALSE,I.Facility.StandardPart="Part 2"),"Complete",IF(I.Product.P3GasToPowerStatus&lt;&gt;"Yes","Complete",IF(AND(I.Gas.P3Y1Count&gt;=50,F27884=""),"Incomplete","Complete")))</f>
        <v>Complete</v>
      </c>
      <c r="I27884" s="49" t="s">
        <v>3063</v>
      </c>
    </row>
    <row r="27885" spans="2:9" ht="15" customHeight="1" x14ac:dyDescent="0.25">
      <c r="B27885" s="56" t="s">
        <v>410</v>
      </c>
      <c r="C27885" s="57">
        <v>1</v>
      </c>
      <c r="D27885" s="71" t="s">
        <v>29547</v>
      </c>
      <c r="E27885" s="60"/>
      <c r="F27885" s="60" t="str">
        <f>IF(INDEX(I.Gas.P3Y2Count,1)="","",INDEX(I.Gas.P3Y2Count,1))</f>
        <v/>
      </c>
      <c r="G27885" s="60"/>
      <c r="H27885" s="57" t="str">
        <f>IF(I.Developer.P3=FALSE,"Complete",IF(I.Product.P3GasToPowerStatus&lt;&gt;"Yes","Complete",IF(I.Gas.P3Y2Count="","Incomplete","Complete")))</f>
        <v>Complete</v>
      </c>
      <c r="I27885" s="49" t="s">
        <v>3064</v>
      </c>
    </row>
    <row r="27886" spans="2:9" ht="15" customHeight="1" x14ac:dyDescent="0.25">
      <c r="B27886" s="55" t="s">
        <v>411</v>
      </c>
      <c r="C27886" s="46">
        <v>1</v>
      </c>
      <c r="D27886" s="69" t="s">
        <v>29548</v>
      </c>
      <c r="E27886" s="62"/>
      <c r="F27886" s="62" t="str">
        <f>IF(INDEX(I.Gas.P3Y2AssociatedGasEnergy,1)="","",INDEX(I.Gas.P3Y2AssociatedGasEnergy,1))</f>
        <v/>
      </c>
      <c r="G27886" s="62"/>
      <c r="H27886" s="46" t="str">
        <f>IF(I.Developer.P3=FALSE,"Complete",IF(I.Product.P3GasToPowerStatus&lt;&gt;"Yes","Complete",IF(AND(I.Gas.P3Y2Count&gt;=1,F27886=""),"Incomplete","Complete")))</f>
        <v>Complete</v>
      </c>
      <c r="I27886" s="48" t="s">
        <v>3065</v>
      </c>
    </row>
    <row r="27887" spans="2:9" ht="15" customHeight="1" x14ac:dyDescent="0.25">
      <c r="B27887" s="55" t="s">
        <v>411</v>
      </c>
      <c r="C27887" s="46">
        <v>2</v>
      </c>
      <c r="D27887" s="69" t="s">
        <v>29548</v>
      </c>
      <c r="E27887" s="62"/>
      <c r="F27887" s="62" t="str">
        <f>IF(INDEX(I.Gas.P3Y2AssociatedGasEnergy,2)="","",INDEX(I.Gas.P3Y2AssociatedGasEnergy,2))</f>
        <v/>
      </c>
      <c r="G27887" s="62"/>
      <c r="H27887" s="46" t="str">
        <f>IF(I.Developer.P3=FALSE,"Complete",IF(I.Product.P3GasToPowerStatus&lt;&gt;"Yes","Complete",IF(AND(I.Gas.P3Y2Count&gt;=2,F27887=""),"Incomplete","Complete")))</f>
        <v>Complete</v>
      </c>
      <c r="I27887" s="48" t="s">
        <v>3066</v>
      </c>
    </row>
    <row r="27888" spans="2:9" ht="15" customHeight="1" x14ac:dyDescent="0.25">
      <c r="B27888" s="55" t="s">
        <v>411</v>
      </c>
      <c r="C27888" s="46">
        <v>3</v>
      </c>
      <c r="D27888" s="69" t="s">
        <v>29548</v>
      </c>
      <c r="E27888" s="62"/>
      <c r="F27888" s="62" t="str">
        <f>IF(INDEX(I.Gas.P3Y2AssociatedGasEnergy,3)="","",INDEX(I.Gas.P3Y2AssociatedGasEnergy,3))</f>
        <v/>
      </c>
      <c r="G27888" s="62"/>
      <c r="H27888" s="46" t="str">
        <f>IF(I.Developer.P3=FALSE,"Complete",IF(I.Product.P3GasToPowerStatus&lt;&gt;"Yes","Complete",IF(AND(I.Gas.P3Y2Count&gt;=3,F27888=""),"Incomplete","Complete")))</f>
        <v>Complete</v>
      </c>
      <c r="I27888" s="48" t="s">
        <v>3067</v>
      </c>
    </row>
    <row r="27889" spans="2:9" ht="15" customHeight="1" x14ac:dyDescent="0.25">
      <c r="B27889" s="55" t="s">
        <v>411</v>
      </c>
      <c r="C27889" s="46">
        <v>4</v>
      </c>
      <c r="D27889" s="69" t="s">
        <v>29548</v>
      </c>
      <c r="E27889" s="62"/>
      <c r="F27889" s="62" t="str">
        <f>IF(INDEX(I.Gas.P3Y2AssociatedGasEnergy,4)="","",INDEX(I.Gas.P3Y2AssociatedGasEnergy,4))</f>
        <v/>
      </c>
      <c r="G27889" s="62"/>
      <c r="H27889" s="46" t="str">
        <f>IF(I.Developer.P3=FALSE,"Complete",IF(I.Product.P3GasToPowerStatus&lt;&gt;"Yes","Complete",IF(AND(I.Gas.P3Y2Count&gt;=4,F27889=""),"Incomplete","Complete")))</f>
        <v>Complete</v>
      </c>
      <c r="I27889" s="48" t="s">
        <v>3068</v>
      </c>
    </row>
    <row r="27890" spans="2:9" ht="15" customHeight="1" x14ac:dyDescent="0.25">
      <c r="B27890" s="55" t="s">
        <v>411</v>
      </c>
      <c r="C27890" s="46">
        <v>5</v>
      </c>
      <c r="D27890" s="69" t="s">
        <v>29548</v>
      </c>
      <c r="E27890" s="62"/>
      <c r="F27890" s="62" t="str">
        <f>IF(INDEX(I.Gas.P3Y2AssociatedGasEnergy,5)="","",INDEX(I.Gas.P3Y2AssociatedGasEnergy,5))</f>
        <v/>
      </c>
      <c r="G27890" s="62"/>
      <c r="H27890" s="46" t="str">
        <f>IF(I.Developer.P3=FALSE,"Complete",IF(I.Product.P3GasToPowerStatus&lt;&gt;"Yes","Complete",IF(AND(I.Gas.P3Y2Count&gt;=5,F27890=""),"Incomplete","Complete")))</f>
        <v>Complete</v>
      </c>
      <c r="I27890" s="48" t="s">
        <v>3069</v>
      </c>
    </row>
    <row r="27891" spans="2:9" ht="15" customHeight="1" x14ac:dyDescent="0.25">
      <c r="B27891" s="55" t="s">
        <v>411</v>
      </c>
      <c r="C27891" s="46">
        <v>6</v>
      </c>
      <c r="D27891" s="69" t="s">
        <v>29548</v>
      </c>
      <c r="E27891" s="62"/>
      <c r="F27891" s="62" t="str">
        <f>IF(INDEX(I.Gas.P3Y2AssociatedGasEnergy,6)="","",INDEX(I.Gas.P3Y2AssociatedGasEnergy,6))</f>
        <v/>
      </c>
      <c r="G27891" s="62"/>
      <c r="H27891" s="46" t="str">
        <f>IF(I.Developer.P3=FALSE,"Complete",IF(I.Product.P3GasToPowerStatus&lt;&gt;"Yes","Complete",IF(AND(I.Gas.P3Y2Count&gt;=6,F27891=""),"Incomplete","Complete")))</f>
        <v>Complete</v>
      </c>
      <c r="I27891" s="48" t="s">
        <v>3070</v>
      </c>
    </row>
    <row r="27892" spans="2:9" ht="15" customHeight="1" x14ac:dyDescent="0.25">
      <c r="B27892" s="55" t="s">
        <v>411</v>
      </c>
      <c r="C27892" s="46">
        <v>7</v>
      </c>
      <c r="D27892" s="69" t="s">
        <v>29548</v>
      </c>
      <c r="E27892" s="62"/>
      <c r="F27892" s="62" t="str">
        <f>IF(INDEX(I.Gas.P3Y2AssociatedGasEnergy,7)="","",INDEX(I.Gas.P3Y2AssociatedGasEnergy,7))</f>
        <v/>
      </c>
      <c r="G27892" s="62"/>
      <c r="H27892" s="46" t="str">
        <f>IF(I.Developer.P3=FALSE,"Complete",IF(I.Product.P3GasToPowerStatus&lt;&gt;"Yes","Complete",IF(AND(I.Gas.P3Y2Count&gt;=7,F27892=""),"Incomplete","Complete")))</f>
        <v>Complete</v>
      </c>
      <c r="I27892" s="48" t="s">
        <v>3071</v>
      </c>
    </row>
    <row r="27893" spans="2:9" ht="15" customHeight="1" x14ac:dyDescent="0.25">
      <c r="B27893" s="55" t="s">
        <v>411</v>
      </c>
      <c r="C27893" s="46">
        <v>8</v>
      </c>
      <c r="D27893" s="69" t="s">
        <v>29548</v>
      </c>
      <c r="E27893" s="62"/>
      <c r="F27893" s="62" t="str">
        <f>IF(INDEX(I.Gas.P3Y2AssociatedGasEnergy,8)="","",INDEX(I.Gas.P3Y2AssociatedGasEnergy,8))</f>
        <v/>
      </c>
      <c r="G27893" s="62"/>
      <c r="H27893" s="46" t="str">
        <f>IF(I.Developer.P3=FALSE,"Complete",IF(I.Product.P3GasToPowerStatus&lt;&gt;"Yes","Complete",IF(AND(I.Gas.P3Y2Count&gt;=8,F27893=""),"Incomplete","Complete")))</f>
        <v>Complete</v>
      </c>
      <c r="I27893" s="48" t="s">
        <v>3072</v>
      </c>
    </row>
    <row r="27894" spans="2:9" ht="15" customHeight="1" x14ac:dyDescent="0.25">
      <c r="B27894" s="55" t="s">
        <v>411</v>
      </c>
      <c r="C27894" s="46">
        <v>9</v>
      </c>
      <c r="D27894" s="69" t="s">
        <v>29548</v>
      </c>
      <c r="E27894" s="62"/>
      <c r="F27894" s="62" t="str">
        <f>IF(INDEX(I.Gas.P3Y2AssociatedGasEnergy,9)="","",INDEX(I.Gas.P3Y2AssociatedGasEnergy,9))</f>
        <v/>
      </c>
      <c r="G27894" s="62"/>
      <c r="H27894" s="46" t="str">
        <f>IF(I.Developer.P3=FALSE,"Complete",IF(I.Product.P3GasToPowerStatus&lt;&gt;"Yes","Complete",IF(AND(I.Gas.P3Y2Count&gt;=9,F27894=""),"Incomplete","Complete")))</f>
        <v>Complete</v>
      </c>
      <c r="I27894" s="48" t="s">
        <v>3073</v>
      </c>
    </row>
    <row r="27895" spans="2:9" ht="15" customHeight="1" x14ac:dyDescent="0.25">
      <c r="B27895" s="55" t="s">
        <v>411</v>
      </c>
      <c r="C27895" s="46">
        <v>10</v>
      </c>
      <c r="D27895" s="69" t="s">
        <v>29548</v>
      </c>
      <c r="E27895" s="62"/>
      <c r="F27895" s="62" t="str">
        <f>IF(INDEX(I.Gas.P3Y2AssociatedGasEnergy,10)="","",INDEX(I.Gas.P3Y2AssociatedGasEnergy,10))</f>
        <v/>
      </c>
      <c r="G27895" s="62"/>
      <c r="H27895" s="46" t="str">
        <f>IF(I.Developer.P3=FALSE,"Complete",IF(I.Product.P3GasToPowerStatus&lt;&gt;"Yes","Complete",IF(AND(I.Gas.P3Y2Count&gt;=10,F27895=""),"Incomplete","Complete")))</f>
        <v>Complete</v>
      </c>
      <c r="I27895" s="48" t="s">
        <v>3074</v>
      </c>
    </row>
    <row r="27896" spans="2:9" ht="15" customHeight="1" x14ac:dyDescent="0.25">
      <c r="B27896" s="55" t="s">
        <v>411</v>
      </c>
      <c r="C27896" s="46">
        <v>11</v>
      </c>
      <c r="D27896" s="69" t="s">
        <v>29548</v>
      </c>
      <c r="E27896" s="62"/>
      <c r="F27896" s="62" t="str">
        <f>IF(INDEX(I.Gas.P3Y2AssociatedGasEnergy,11)="","",INDEX(I.Gas.P3Y2AssociatedGasEnergy,11))</f>
        <v/>
      </c>
      <c r="G27896" s="62"/>
      <c r="H27896" s="46" t="str">
        <f>IF(I.Developer.P3=FALSE,"Complete",IF(I.Product.P3GasToPowerStatus&lt;&gt;"Yes","Complete",IF(AND(I.Gas.P3Y2Count&gt;=11,F27896=""),"Incomplete","Complete")))</f>
        <v>Complete</v>
      </c>
      <c r="I27896" s="48" t="s">
        <v>3075</v>
      </c>
    </row>
    <row r="27897" spans="2:9" ht="15" customHeight="1" x14ac:dyDescent="0.25">
      <c r="B27897" s="55" t="s">
        <v>411</v>
      </c>
      <c r="C27897" s="46">
        <v>12</v>
      </c>
      <c r="D27897" s="69" t="s">
        <v>29548</v>
      </c>
      <c r="E27897" s="62"/>
      <c r="F27897" s="62" t="str">
        <f>IF(INDEX(I.Gas.P3Y2AssociatedGasEnergy,12)="","",INDEX(I.Gas.P3Y2AssociatedGasEnergy,12))</f>
        <v/>
      </c>
      <c r="G27897" s="62"/>
      <c r="H27897" s="46" t="str">
        <f>IF(I.Developer.P3=FALSE,"Complete",IF(I.Product.P3GasToPowerStatus&lt;&gt;"Yes","Complete",IF(AND(I.Gas.P3Y2Count&gt;=12,F27897=""),"Incomplete","Complete")))</f>
        <v>Complete</v>
      </c>
      <c r="I27897" s="48" t="s">
        <v>3076</v>
      </c>
    </row>
    <row r="27898" spans="2:9" ht="15" customHeight="1" x14ac:dyDescent="0.25">
      <c r="B27898" s="55" t="s">
        <v>411</v>
      </c>
      <c r="C27898" s="46">
        <v>13</v>
      </c>
      <c r="D27898" s="69" t="s">
        <v>29548</v>
      </c>
      <c r="E27898" s="62"/>
      <c r="F27898" s="62" t="str">
        <f>IF(INDEX(I.Gas.P3Y2AssociatedGasEnergy,13)="","",INDEX(I.Gas.P3Y2AssociatedGasEnergy,13))</f>
        <v/>
      </c>
      <c r="G27898" s="62"/>
      <c r="H27898" s="46" t="str">
        <f>IF(I.Developer.P3=FALSE,"Complete",IF(I.Product.P3GasToPowerStatus&lt;&gt;"Yes","Complete",IF(AND(I.Gas.P3Y2Count&gt;=13,F27898=""),"Incomplete","Complete")))</f>
        <v>Complete</v>
      </c>
      <c r="I27898" s="48" t="s">
        <v>3077</v>
      </c>
    </row>
    <row r="27899" spans="2:9" ht="15" customHeight="1" x14ac:dyDescent="0.25">
      <c r="B27899" s="55" t="s">
        <v>411</v>
      </c>
      <c r="C27899" s="46">
        <v>14</v>
      </c>
      <c r="D27899" s="69" t="s">
        <v>29548</v>
      </c>
      <c r="E27899" s="62"/>
      <c r="F27899" s="62" t="str">
        <f>IF(INDEX(I.Gas.P3Y2AssociatedGasEnergy,14)="","",INDEX(I.Gas.P3Y2AssociatedGasEnergy,14))</f>
        <v/>
      </c>
      <c r="G27899" s="62"/>
      <c r="H27899" s="46" t="str">
        <f>IF(I.Developer.P3=FALSE,"Complete",IF(I.Product.P3GasToPowerStatus&lt;&gt;"Yes","Complete",IF(AND(I.Gas.P3Y2Count&gt;=14,F27899=""),"Incomplete","Complete")))</f>
        <v>Complete</v>
      </c>
      <c r="I27899" s="48" t="s">
        <v>3078</v>
      </c>
    </row>
    <row r="27900" spans="2:9" ht="15" customHeight="1" x14ac:dyDescent="0.25">
      <c r="B27900" s="55" t="s">
        <v>411</v>
      </c>
      <c r="C27900" s="46">
        <v>15</v>
      </c>
      <c r="D27900" s="69" t="s">
        <v>29548</v>
      </c>
      <c r="E27900" s="62"/>
      <c r="F27900" s="62" t="str">
        <f>IF(INDEX(I.Gas.P3Y2AssociatedGasEnergy,15)="","",INDEX(I.Gas.P3Y2AssociatedGasEnergy,15))</f>
        <v/>
      </c>
      <c r="G27900" s="62"/>
      <c r="H27900" s="46" t="str">
        <f>IF(I.Developer.P3=FALSE,"Complete",IF(I.Product.P3GasToPowerStatus&lt;&gt;"Yes","Complete",IF(AND(I.Gas.P3Y2Count&gt;=15,F27900=""),"Incomplete","Complete")))</f>
        <v>Complete</v>
      </c>
      <c r="I27900" s="48" t="s">
        <v>3079</v>
      </c>
    </row>
    <row r="27901" spans="2:9" ht="15" customHeight="1" x14ac:dyDescent="0.25">
      <c r="B27901" s="55" t="s">
        <v>411</v>
      </c>
      <c r="C27901" s="46">
        <v>16</v>
      </c>
      <c r="D27901" s="69" t="s">
        <v>29548</v>
      </c>
      <c r="E27901" s="62"/>
      <c r="F27901" s="62" t="str">
        <f>IF(INDEX(I.Gas.P3Y2AssociatedGasEnergy,16)="","",INDEX(I.Gas.P3Y2AssociatedGasEnergy,16))</f>
        <v/>
      </c>
      <c r="G27901" s="62"/>
      <c r="H27901" s="46" t="str">
        <f>IF(I.Developer.P3=FALSE,"Complete",IF(I.Product.P3GasToPowerStatus&lt;&gt;"Yes","Complete",IF(AND(I.Gas.P3Y2Count&gt;=16,F27901=""),"Incomplete","Complete")))</f>
        <v>Complete</v>
      </c>
      <c r="I27901" s="48" t="s">
        <v>3080</v>
      </c>
    </row>
    <row r="27902" spans="2:9" ht="15" customHeight="1" x14ac:dyDescent="0.25">
      <c r="B27902" s="55" t="s">
        <v>411</v>
      </c>
      <c r="C27902" s="46">
        <v>17</v>
      </c>
      <c r="D27902" s="69" t="s">
        <v>29548</v>
      </c>
      <c r="E27902" s="62"/>
      <c r="F27902" s="62" t="str">
        <f>IF(INDEX(I.Gas.P3Y2AssociatedGasEnergy,17)="","",INDEX(I.Gas.P3Y2AssociatedGasEnergy,17))</f>
        <v/>
      </c>
      <c r="G27902" s="62"/>
      <c r="H27902" s="46" t="str">
        <f>IF(I.Developer.P3=FALSE,"Complete",IF(I.Product.P3GasToPowerStatus&lt;&gt;"Yes","Complete",IF(AND(I.Gas.P3Y2Count&gt;=17,F27902=""),"Incomplete","Complete")))</f>
        <v>Complete</v>
      </c>
      <c r="I27902" s="48" t="s">
        <v>3081</v>
      </c>
    </row>
    <row r="27903" spans="2:9" ht="15" customHeight="1" x14ac:dyDescent="0.25">
      <c r="B27903" s="55" t="s">
        <v>411</v>
      </c>
      <c r="C27903" s="46">
        <v>18</v>
      </c>
      <c r="D27903" s="69" t="s">
        <v>29548</v>
      </c>
      <c r="E27903" s="62"/>
      <c r="F27903" s="62" t="str">
        <f>IF(INDEX(I.Gas.P3Y2AssociatedGasEnergy,18)="","",INDEX(I.Gas.P3Y2AssociatedGasEnergy,18))</f>
        <v/>
      </c>
      <c r="G27903" s="62"/>
      <c r="H27903" s="46" t="str">
        <f>IF(I.Developer.P3=FALSE,"Complete",IF(I.Product.P3GasToPowerStatus&lt;&gt;"Yes","Complete",IF(AND(I.Gas.P3Y2Count&gt;=18,F27903=""),"Incomplete","Complete")))</f>
        <v>Complete</v>
      </c>
      <c r="I27903" s="48" t="s">
        <v>3082</v>
      </c>
    </row>
    <row r="27904" spans="2:9" ht="15" customHeight="1" x14ac:dyDescent="0.25">
      <c r="B27904" s="55" t="s">
        <v>411</v>
      </c>
      <c r="C27904" s="46">
        <v>19</v>
      </c>
      <c r="D27904" s="69" t="s">
        <v>29548</v>
      </c>
      <c r="E27904" s="62"/>
      <c r="F27904" s="62" t="str">
        <f>IF(INDEX(I.Gas.P3Y2AssociatedGasEnergy,19)="","",INDEX(I.Gas.P3Y2AssociatedGasEnergy,19))</f>
        <v/>
      </c>
      <c r="G27904" s="62"/>
      <c r="H27904" s="46" t="str">
        <f>IF(I.Developer.P3=FALSE,"Complete",IF(I.Product.P3GasToPowerStatus&lt;&gt;"Yes","Complete",IF(AND(I.Gas.P3Y2Count&gt;=19,F27904=""),"Incomplete","Complete")))</f>
        <v>Complete</v>
      </c>
      <c r="I27904" s="48" t="s">
        <v>3083</v>
      </c>
    </row>
    <row r="27905" spans="2:9" ht="15" customHeight="1" x14ac:dyDescent="0.25">
      <c r="B27905" s="55" t="s">
        <v>411</v>
      </c>
      <c r="C27905" s="46">
        <v>20</v>
      </c>
      <c r="D27905" s="69" t="s">
        <v>29548</v>
      </c>
      <c r="E27905" s="62"/>
      <c r="F27905" s="62" t="str">
        <f>IF(INDEX(I.Gas.P3Y2AssociatedGasEnergy,20)="","",INDEX(I.Gas.P3Y2AssociatedGasEnergy,20))</f>
        <v/>
      </c>
      <c r="G27905" s="62"/>
      <c r="H27905" s="46" t="str">
        <f>IF(I.Developer.P3=FALSE,"Complete",IF(I.Product.P3GasToPowerStatus&lt;&gt;"Yes","Complete",IF(AND(I.Gas.P3Y2Count&gt;=20,F27905=""),"Incomplete","Complete")))</f>
        <v>Complete</v>
      </c>
      <c r="I27905" s="48" t="s">
        <v>3084</v>
      </c>
    </row>
    <row r="27906" spans="2:9" ht="15" customHeight="1" x14ac:dyDescent="0.25">
      <c r="B27906" s="55" t="s">
        <v>411</v>
      </c>
      <c r="C27906" s="46">
        <v>21</v>
      </c>
      <c r="D27906" s="69" t="s">
        <v>29548</v>
      </c>
      <c r="E27906" s="62"/>
      <c r="F27906" s="62" t="str">
        <f>IF(INDEX(I.Gas.P3Y2AssociatedGasEnergy,21)="","",INDEX(I.Gas.P3Y2AssociatedGasEnergy,21))</f>
        <v/>
      </c>
      <c r="G27906" s="62"/>
      <c r="H27906" s="46" t="str">
        <f>IF(I.Developer.P3=FALSE,"Complete",IF(I.Product.P3GasToPowerStatus&lt;&gt;"Yes","Complete",IF(AND(I.Gas.P3Y2Count&gt;=21,F27906=""),"Incomplete","Complete")))</f>
        <v>Complete</v>
      </c>
      <c r="I27906" s="48" t="s">
        <v>3085</v>
      </c>
    </row>
    <row r="27907" spans="2:9" ht="15" customHeight="1" x14ac:dyDescent="0.25">
      <c r="B27907" s="55" t="s">
        <v>411</v>
      </c>
      <c r="C27907" s="46">
        <v>22</v>
      </c>
      <c r="D27907" s="69" t="s">
        <v>29548</v>
      </c>
      <c r="E27907" s="62"/>
      <c r="F27907" s="62" t="str">
        <f>IF(INDEX(I.Gas.P3Y2AssociatedGasEnergy,22)="","",INDEX(I.Gas.P3Y2AssociatedGasEnergy,22))</f>
        <v/>
      </c>
      <c r="G27907" s="62"/>
      <c r="H27907" s="46" t="str">
        <f>IF(I.Developer.P3=FALSE,"Complete",IF(I.Product.P3GasToPowerStatus&lt;&gt;"Yes","Complete",IF(AND(I.Gas.P3Y2Count&gt;=22,F27907=""),"Incomplete","Complete")))</f>
        <v>Complete</v>
      </c>
      <c r="I27907" s="48" t="s">
        <v>3086</v>
      </c>
    </row>
    <row r="27908" spans="2:9" ht="15" customHeight="1" x14ac:dyDescent="0.25">
      <c r="B27908" s="55" t="s">
        <v>411</v>
      </c>
      <c r="C27908" s="46">
        <v>23</v>
      </c>
      <c r="D27908" s="69" t="s">
        <v>29548</v>
      </c>
      <c r="E27908" s="62"/>
      <c r="F27908" s="62" t="str">
        <f>IF(INDEX(I.Gas.P3Y2AssociatedGasEnergy,23)="","",INDEX(I.Gas.P3Y2AssociatedGasEnergy,23))</f>
        <v/>
      </c>
      <c r="G27908" s="62"/>
      <c r="H27908" s="46" t="str">
        <f>IF(I.Developer.P3=FALSE,"Complete",IF(I.Product.P3GasToPowerStatus&lt;&gt;"Yes","Complete",IF(AND(I.Gas.P3Y2Count&gt;=23,F27908=""),"Incomplete","Complete")))</f>
        <v>Complete</v>
      </c>
      <c r="I27908" s="48" t="s">
        <v>3087</v>
      </c>
    </row>
    <row r="27909" spans="2:9" ht="15" customHeight="1" x14ac:dyDescent="0.25">
      <c r="B27909" s="55" t="s">
        <v>411</v>
      </c>
      <c r="C27909" s="46">
        <v>24</v>
      </c>
      <c r="D27909" s="69" t="s">
        <v>29548</v>
      </c>
      <c r="E27909" s="62"/>
      <c r="F27909" s="62" t="str">
        <f>IF(INDEX(I.Gas.P3Y2AssociatedGasEnergy,24)="","",INDEX(I.Gas.P3Y2AssociatedGasEnergy,24))</f>
        <v/>
      </c>
      <c r="G27909" s="62"/>
      <c r="H27909" s="46" t="str">
        <f>IF(I.Developer.P3=FALSE,"Complete",IF(I.Product.P3GasToPowerStatus&lt;&gt;"Yes","Complete",IF(AND(I.Gas.P3Y2Count&gt;=24,F27909=""),"Incomplete","Complete")))</f>
        <v>Complete</v>
      </c>
      <c r="I27909" s="48" t="s">
        <v>3088</v>
      </c>
    </row>
    <row r="27910" spans="2:9" ht="15" customHeight="1" x14ac:dyDescent="0.25">
      <c r="B27910" s="55" t="s">
        <v>411</v>
      </c>
      <c r="C27910" s="46">
        <v>25</v>
      </c>
      <c r="D27910" s="69" t="s">
        <v>29548</v>
      </c>
      <c r="E27910" s="62"/>
      <c r="F27910" s="62" t="str">
        <f>IF(INDEX(I.Gas.P3Y2AssociatedGasEnergy,25)="","",INDEX(I.Gas.P3Y2AssociatedGasEnergy,25))</f>
        <v/>
      </c>
      <c r="G27910" s="62"/>
      <c r="H27910" s="46" t="str">
        <f>IF(I.Developer.P3=FALSE,"Complete",IF(I.Product.P3GasToPowerStatus&lt;&gt;"Yes","Complete",IF(AND(I.Gas.P3Y2Count&gt;=25,F27910=""),"Incomplete","Complete")))</f>
        <v>Complete</v>
      </c>
      <c r="I27910" s="48" t="s">
        <v>3089</v>
      </c>
    </row>
    <row r="27911" spans="2:9" ht="15" customHeight="1" x14ac:dyDescent="0.25">
      <c r="B27911" s="55" t="s">
        <v>411</v>
      </c>
      <c r="C27911" s="46">
        <v>26</v>
      </c>
      <c r="D27911" s="69" t="s">
        <v>29548</v>
      </c>
      <c r="E27911" s="62"/>
      <c r="F27911" s="62" t="str">
        <f>IF(INDEX(I.Gas.P3Y2AssociatedGasEnergy,26)="","",INDEX(I.Gas.P3Y2AssociatedGasEnergy,26))</f>
        <v/>
      </c>
      <c r="G27911" s="62"/>
      <c r="H27911" s="46" t="str">
        <f>IF(I.Developer.P3=FALSE,"Complete",IF(I.Product.P3GasToPowerStatus&lt;&gt;"Yes","Complete",IF(AND(I.Gas.P3Y2Count&gt;=26,F27911=""),"Incomplete","Complete")))</f>
        <v>Complete</v>
      </c>
      <c r="I27911" s="48" t="s">
        <v>3090</v>
      </c>
    </row>
    <row r="27912" spans="2:9" ht="15" customHeight="1" x14ac:dyDescent="0.25">
      <c r="B27912" s="55" t="s">
        <v>411</v>
      </c>
      <c r="C27912" s="46">
        <v>27</v>
      </c>
      <c r="D27912" s="69" t="s">
        <v>29548</v>
      </c>
      <c r="E27912" s="62"/>
      <c r="F27912" s="62" t="str">
        <f>IF(INDEX(I.Gas.P3Y2AssociatedGasEnergy,27)="","",INDEX(I.Gas.P3Y2AssociatedGasEnergy,27))</f>
        <v/>
      </c>
      <c r="G27912" s="62"/>
      <c r="H27912" s="46" t="str">
        <f>IF(I.Developer.P3=FALSE,"Complete",IF(I.Product.P3GasToPowerStatus&lt;&gt;"Yes","Complete",IF(AND(I.Gas.P3Y2Count&gt;=27,F27912=""),"Incomplete","Complete")))</f>
        <v>Complete</v>
      </c>
      <c r="I27912" s="48" t="s">
        <v>3091</v>
      </c>
    </row>
    <row r="27913" spans="2:9" ht="15" customHeight="1" x14ac:dyDescent="0.25">
      <c r="B27913" s="55" t="s">
        <v>411</v>
      </c>
      <c r="C27913" s="46">
        <v>28</v>
      </c>
      <c r="D27913" s="69" t="s">
        <v>29548</v>
      </c>
      <c r="E27913" s="62"/>
      <c r="F27913" s="62" t="str">
        <f>IF(INDEX(I.Gas.P3Y2AssociatedGasEnergy,28)="","",INDEX(I.Gas.P3Y2AssociatedGasEnergy,28))</f>
        <v/>
      </c>
      <c r="G27913" s="62"/>
      <c r="H27913" s="46" t="str">
        <f>IF(I.Developer.P3=FALSE,"Complete",IF(I.Product.P3GasToPowerStatus&lt;&gt;"Yes","Complete",IF(AND(I.Gas.P3Y2Count&gt;=28,F27913=""),"Incomplete","Complete")))</f>
        <v>Complete</v>
      </c>
      <c r="I27913" s="48" t="s">
        <v>3092</v>
      </c>
    </row>
    <row r="27914" spans="2:9" ht="15" customHeight="1" x14ac:dyDescent="0.25">
      <c r="B27914" s="55" t="s">
        <v>411</v>
      </c>
      <c r="C27914" s="46">
        <v>29</v>
      </c>
      <c r="D27914" s="69" t="s">
        <v>29548</v>
      </c>
      <c r="E27914" s="62"/>
      <c r="F27914" s="62" t="str">
        <f>IF(INDEX(I.Gas.P3Y2AssociatedGasEnergy,29)="","",INDEX(I.Gas.P3Y2AssociatedGasEnergy,29))</f>
        <v/>
      </c>
      <c r="G27914" s="62"/>
      <c r="H27914" s="46" t="str">
        <f>IF(I.Developer.P3=FALSE,"Complete",IF(I.Product.P3GasToPowerStatus&lt;&gt;"Yes","Complete",IF(AND(I.Gas.P3Y2Count&gt;=29,F27914=""),"Incomplete","Complete")))</f>
        <v>Complete</v>
      </c>
      <c r="I27914" s="48" t="s">
        <v>3093</v>
      </c>
    </row>
    <row r="27915" spans="2:9" ht="15" customHeight="1" x14ac:dyDescent="0.25">
      <c r="B27915" s="55" t="s">
        <v>411</v>
      </c>
      <c r="C27915" s="46">
        <v>30</v>
      </c>
      <c r="D27915" s="69" t="s">
        <v>29548</v>
      </c>
      <c r="E27915" s="62"/>
      <c r="F27915" s="62" t="str">
        <f>IF(INDEX(I.Gas.P3Y2AssociatedGasEnergy,30)="","",INDEX(I.Gas.P3Y2AssociatedGasEnergy,30))</f>
        <v/>
      </c>
      <c r="G27915" s="62"/>
      <c r="H27915" s="46" t="str">
        <f>IF(I.Developer.P3=FALSE,"Complete",IF(I.Product.P3GasToPowerStatus&lt;&gt;"Yes","Complete",IF(AND(I.Gas.P3Y2Count&gt;=30,F27915=""),"Incomplete","Complete")))</f>
        <v>Complete</v>
      </c>
      <c r="I27915" s="48" t="s">
        <v>3094</v>
      </c>
    </row>
    <row r="27916" spans="2:9" ht="15" customHeight="1" x14ac:dyDescent="0.25">
      <c r="B27916" s="55" t="s">
        <v>411</v>
      </c>
      <c r="C27916" s="46">
        <v>31</v>
      </c>
      <c r="D27916" s="69" t="s">
        <v>29548</v>
      </c>
      <c r="E27916" s="62"/>
      <c r="F27916" s="62" t="str">
        <f>IF(INDEX(I.Gas.P3Y2AssociatedGasEnergy,31)="","",INDEX(I.Gas.P3Y2AssociatedGasEnergy,31))</f>
        <v/>
      </c>
      <c r="G27916" s="62"/>
      <c r="H27916" s="46" t="str">
        <f>IF(I.Developer.P3=FALSE,"Complete",IF(I.Product.P3GasToPowerStatus&lt;&gt;"Yes","Complete",IF(AND(I.Gas.P3Y2Count&gt;=31,F27916=""),"Incomplete","Complete")))</f>
        <v>Complete</v>
      </c>
      <c r="I27916" s="48" t="s">
        <v>3095</v>
      </c>
    </row>
    <row r="27917" spans="2:9" ht="15" customHeight="1" x14ac:dyDescent="0.25">
      <c r="B27917" s="55" t="s">
        <v>411</v>
      </c>
      <c r="C27917" s="46">
        <v>32</v>
      </c>
      <c r="D27917" s="69" t="s">
        <v>29548</v>
      </c>
      <c r="E27917" s="62"/>
      <c r="F27917" s="62" t="str">
        <f>IF(INDEX(I.Gas.P3Y2AssociatedGasEnergy,32)="","",INDEX(I.Gas.P3Y2AssociatedGasEnergy,32))</f>
        <v/>
      </c>
      <c r="G27917" s="62"/>
      <c r="H27917" s="46" t="str">
        <f>IF(I.Developer.P3=FALSE,"Complete",IF(I.Product.P3GasToPowerStatus&lt;&gt;"Yes","Complete",IF(AND(I.Gas.P3Y2Count&gt;=32,F27917=""),"Incomplete","Complete")))</f>
        <v>Complete</v>
      </c>
      <c r="I27917" s="48" t="s">
        <v>3096</v>
      </c>
    </row>
    <row r="27918" spans="2:9" ht="15" customHeight="1" x14ac:dyDescent="0.25">
      <c r="B27918" s="55" t="s">
        <v>411</v>
      </c>
      <c r="C27918" s="46">
        <v>33</v>
      </c>
      <c r="D27918" s="69" t="s">
        <v>29548</v>
      </c>
      <c r="E27918" s="62"/>
      <c r="F27918" s="62" t="str">
        <f>IF(INDEX(I.Gas.P3Y2AssociatedGasEnergy,33)="","",INDEX(I.Gas.P3Y2AssociatedGasEnergy,33))</f>
        <v/>
      </c>
      <c r="G27918" s="62"/>
      <c r="H27918" s="46" t="str">
        <f>IF(I.Developer.P3=FALSE,"Complete",IF(I.Product.P3GasToPowerStatus&lt;&gt;"Yes","Complete",IF(AND(I.Gas.P3Y2Count&gt;=33,F27918=""),"Incomplete","Complete")))</f>
        <v>Complete</v>
      </c>
      <c r="I27918" s="48" t="s">
        <v>3097</v>
      </c>
    </row>
    <row r="27919" spans="2:9" ht="15" customHeight="1" x14ac:dyDescent="0.25">
      <c r="B27919" s="55" t="s">
        <v>411</v>
      </c>
      <c r="C27919" s="46">
        <v>34</v>
      </c>
      <c r="D27919" s="69" t="s">
        <v>29548</v>
      </c>
      <c r="E27919" s="62"/>
      <c r="F27919" s="62" t="str">
        <f>IF(INDEX(I.Gas.P3Y2AssociatedGasEnergy,34)="","",INDEX(I.Gas.P3Y2AssociatedGasEnergy,34))</f>
        <v/>
      </c>
      <c r="G27919" s="62"/>
      <c r="H27919" s="46" t="str">
        <f>IF(I.Developer.P3=FALSE,"Complete",IF(I.Product.P3GasToPowerStatus&lt;&gt;"Yes","Complete",IF(AND(I.Gas.P3Y2Count&gt;=34,F27919=""),"Incomplete","Complete")))</f>
        <v>Complete</v>
      </c>
      <c r="I27919" s="48" t="s">
        <v>3098</v>
      </c>
    </row>
    <row r="27920" spans="2:9" ht="15" customHeight="1" x14ac:dyDescent="0.25">
      <c r="B27920" s="55" t="s">
        <v>411</v>
      </c>
      <c r="C27920" s="46">
        <v>35</v>
      </c>
      <c r="D27920" s="69" t="s">
        <v>29548</v>
      </c>
      <c r="E27920" s="62"/>
      <c r="F27920" s="62" t="str">
        <f>IF(INDEX(I.Gas.P3Y2AssociatedGasEnergy,35)="","",INDEX(I.Gas.P3Y2AssociatedGasEnergy,35))</f>
        <v/>
      </c>
      <c r="G27920" s="62"/>
      <c r="H27920" s="46" t="str">
        <f>IF(I.Developer.P3=FALSE,"Complete",IF(I.Product.P3GasToPowerStatus&lt;&gt;"Yes","Complete",IF(AND(I.Gas.P3Y2Count&gt;=35,F27920=""),"Incomplete","Complete")))</f>
        <v>Complete</v>
      </c>
      <c r="I27920" s="48" t="s">
        <v>3099</v>
      </c>
    </row>
    <row r="27921" spans="2:9" ht="15" customHeight="1" x14ac:dyDescent="0.25">
      <c r="B27921" s="55" t="s">
        <v>411</v>
      </c>
      <c r="C27921" s="46">
        <v>36</v>
      </c>
      <c r="D27921" s="69" t="s">
        <v>29548</v>
      </c>
      <c r="E27921" s="62"/>
      <c r="F27921" s="62" t="str">
        <f>IF(INDEX(I.Gas.P3Y2AssociatedGasEnergy,36)="","",INDEX(I.Gas.P3Y2AssociatedGasEnergy,36))</f>
        <v/>
      </c>
      <c r="G27921" s="62"/>
      <c r="H27921" s="46" t="str">
        <f>IF(I.Developer.P3=FALSE,"Complete",IF(I.Product.P3GasToPowerStatus&lt;&gt;"Yes","Complete",IF(AND(I.Gas.P3Y2Count&gt;=36,F27921=""),"Incomplete","Complete")))</f>
        <v>Complete</v>
      </c>
      <c r="I27921" s="48" t="s">
        <v>3100</v>
      </c>
    </row>
    <row r="27922" spans="2:9" ht="15" customHeight="1" x14ac:dyDescent="0.25">
      <c r="B27922" s="55" t="s">
        <v>411</v>
      </c>
      <c r="C27922" s="46">
        <v>37</v>
      </c>
      <c r="D27922" s="69" t="s">
        <v>29548</v>
      </c>
      <c r="E27922" s="62"/>
      <c r="F27922" s="62" t="str">
        <f>IF(INDEX(I.Gas.P3Y2AssociatedGasEnergy,37)="","",INDEX(I.Gas.P3Y2AssociatedGasEnergy,37))</f>
        <v/>
      </c>
      <c r="G27922" s="62"/>
      <c r="H27922" s="46" t="str">
        <f>IF(I.Developer.P3=FALSE,"Complete",IF(I.Product.P3GasToPowerStatus&lt;&gt;"Yes","Complete",IF(AND(I.Gas.P3Y2Count&gt;=37,F27922=""),"Incomplete","Complete")))</f>
        <v>Complete</v>
      </c>
      <c r="I27922" s="48" t="s">
        <v>3101</v>
      </c>
    </row>
    <row r="27923" spans="2:9" ht="15" customHeight="1" x14ac:dyDescent="0.25">
      <c r="B27923" s="55" t="s">
        <v>411</v>
      </c>
      <c r="C27923" s="46">
        <v>38</v>
      </c>
      <c r="D27923" s="69" t="s">
        <v>29548</v>
      </c>
      <c r="E27923" s="62"/>
      <c r="F27923" s="62" t="str">
        <f>IF(INDEX(I.Gas.P3Y2AssociatedGasEnergy,38)="","",INDEX(I.Gas.P3Y2AssociatedGasEnergy,38))</f>
        <v/>
      </c>
      <c r="G27923" s="62"/>
      <c r="H27923" s="46" t="str">
        <f>IF(I.Developer.P3=FALSE,"Complete",IF(I.Product.P3GasToPowerStatus&lt;&gt;"Yes","Complete",IF(AND(I.Gas.P3Y2Count&gt;=38,F27923=""),"Incomplete","Complete")))</f>
        <v>Complete</v>
      </c>
      <c r="I27923" s="48" t="s">
        <v>3102</v>
      </c>
    </row>
    <row r="27924" spans="2:9" ht="15" customHeight="1" x14ac:dyDescent="0.25">
      <c r="B27924" s="55" t="s">
        <v>411</v>
      </c>
      <c r="C27924" s="46">
        <v>39</v>
      </c>
      <c r="D27924" s="69" t="s">
        <v>29548</v>
      </c>
      <c r="E27924" s="62"/>
      <c r="F27924" s="62" t="str">
        <f>IF(INDEX(I.Gas.P3Y2AssociatedGasEnergy,39)="","",INDEX(I.Gas.P3Y2AssociatedGasEnergy,39))</f>
        <v/>
      </c>
      <c r="G27924" s="62"/>
      <c r="H27924" s="46" t="str">
        <f>IF(I.Developer.P3=FALSE,"Complete",IF(I.Product.P3GasToPowerStatus&lt;&gt;"Yes","Complete",IF(AND(I.Gas.P3Y2Count&gt;=39,F27924=""),"Incomplete","Complete")))</f>
        <v>Complete</v>
      </c>
      <c r="I27924" s="48" t="s">
        <v>3103</v>
      </c>
    </row>
    <row r="27925" spans="2:9" ht="15" customHeight="1" x14ac:dyDescent="0.25">
      <c r="B27925" s="55" t="s">
        <v>411</v>
      </c>
      <c r="C27925" s="46">
        <v>40</v>
      </c>
      <c r="D27925" s="69" t="s">
        <v>29548</v>
      </c>
      <c r="E27925" s="62"/>
      <c r="F27925" s="62" t="str">
        <f>IF(INDEX(I.Gas.P3Y2AssociatedGasEnergy,40)="","",INDEX(I.Gas.P3Y2AssociatedGasEnergy,40))</f>
        <v/>
      </c>
      <c r="G27925" s="62"/>
      <c r="H27925" s="46" t="str">
        <f>IF(I.Developer.P3=FALSE,"Complete",IF(I.Product.P3GasToPowerStatus&lt;&gt;"Yes","Complete",IF(AND(I.Gas.P3Y2Count&gt;=40,F27925=""),"Incomplete","Complete")))</f>
        <v>Complete</v>
      </c>
      <c r="I27925" s="48" t="s">
        <v>3104</v>
      </c>
    </row>
    <row r="27926" spans="2:9" ht="15" customHeight="1" x14ac:dyDescent="0.25">
      <c r="B27926" s="55" t="s">
        <v>411</v>
      </c>
      <c r="C27926" s="46">
        <v>41</v>
      </c>
      <c r="D27926" s="69" t="s">
        <v>29548</v>
      </c>
      <c r="E27926" s="62"/>
      <c r="F27926" s="62" t="str">
        <f>IF(INDEX(I.Gas.P3Y2AssociatedGasEnergy,41)="","",INDEX(I.Gas.P3Y2AssociatedGasEnergy,41))</f>
        <v/>
      </c>
      <c r="G27926" s="62"/>
      <c r="H27926" s="46" t="str">
        <f>IF(I.Developer.P3=FALSE,"Complete",IF(I.Product.P3GasToPowerStatus&lt;&gt;"Yes","Complete",IF(AND(I.Gas.P3Y2Count&gt;=41,F27926=""),"Incomplete","Complete")))</f>
        <v>Complete</v>
      </c>
      <c r="I27926" s="48" t="s">
        <v>3105</v>
      </c>
    </row>
    <row r="27927" spans="2:9" ht="15" customHeight="1" x14ac:dyDescent="0.25">
      <c r="B27927" s="55" t="s">
        <v>411</v>
      </c>
      <c r="C27927" s="46">
        <v>42</v>
      </c>
      <c r="D27927" s="69" t="s">
        <v>29548</v>
      </c>
      <c r="E27927" s="62"/>
      <c r="F27927" s="62" t="str">
        <f>IF(INDEX(I.Gas.P3Y2AssociatedGasEnergy,42)="","",INDEX(I.Gas.P3Y2AssociatedGasEnergy,42))</f>
        <v/>
      </c>
      <c r="G27927" s="62"/>
      <c r="H27927" s="46" t="str">
        <f>IF(I.Developer.P3=FALSE,"Complete",IF(I.Product.P3GasToPowerStatus&lt;&gt;"Yes","Complete",IF(AND(I.Gas.P3Y2Count&gt;=42,F27927=""),"Incomplete","Complete")))</f>
        <v>Complete</v>
      </c>
      <c r="I27927" s="48" t="s">
        <v>3106</v>
      </c>
    </row>
    <row r="27928" spans="2:9" ht="15" customHeight="1" x14ac:dyDescent="0.25">
      <c r="B27928" s="55" t="s">
        <v>411</v>
      </c>
      <c r="C27928" s="46">
        <v>43</v>
      </c>
      <c r="D27928" s="69" t="s">
        <v>29548</v>
      </c>
      <c r="E27928" s="62"/>
      <c r="F27928" s="62" t="str">
        <f>IF(INDEX(I.Gas.P3Y2AssociatedGasEnergy,43)="","",INDEX(I.Gas.P3Y2AssociatedGasEnergy,43))</f>
        <v/>
      </c>
      <c r="G27928" s="62"/>
      <c r="H27928" s="46" t="str">
        <f>IF(I.Developer.P3=FALSE,"Complete",IF(I.Product.P3GasToPowerStatus&lt;&gt;"Yes","Complete",IF(AND(I.Gas.P3Y2Count&gt;=43,F27928=""),"Incomplete","Complete")))</f>
        <v>Complete</v>
      </c>
      <c r="I27928" s="48" t="s">
        <v>3107</v>
      </c>
    </row>
    <row r="27929" spans="2:9" ht="15" customHeight="1" x14ac:dyDescent="0.25">
      <c r="B27929" s="55" t="s">
        <v>411</v>
      </c>
      <c r="C27929" s="46">
        <v>44</v>
      </c>
      <c r="D27929" s="69" t="s">
        <v>29548</v>
      </c>
      <c r="E27929" s="62"/>
      <c r="F27929" s="62" t="str">
        <f>IF(INDEX(I.Gas.P3Y2AssociatedGasEnergy,44)="","",INDEX(I.Gas.P3Y2AssociatedGasEnergy,44))</f>
        <v/>
      </c>
      <c r="G27929" s="62"/>
      <c r="H27929" s="46" t="str">
        <f>IF(I.Developer.P3=FALSE,"Complete",IF(I.Product.P3GasToPowerStatus&lt;&gt;"Yes","Complete",IF(AND(I.Gas.P3Y2Count&gt;=44,F27929=""),"Incomplete","Complete")))</f>
        <v>Complete</v>
      </c>
      <c r="I27929" s="48" t="s">
        <v>3108</v>
      </c>
    </row>
    <row r="27930" spans="2:9" ht="15" customHeight="1" x14ac:dyDescent="0.25">
      <c r="B27930" s="55" t="s">
        <v>411</v>
      </c>
      <c r="C27930" s="46">
        <v>45</v>
      </c>
      <c r="D27930" s="69" t="s">
        <v>29548</v>
      </c>
      <c r="E27930" s="62"/>
      <c r="F27930" s="62" t="str">
        <f>IF(INDEX(I.Gas.P3Y2AssociatedGasEnergy,45)="","",INDEX(I.Gas.P3Y2AssociatedGasEnergy,45))</f>
        <v/>
      </c>
      <c r="G27930" s="62"/>
      <c r="H27930" s="46" t="str">
        <f>IF(I.Developer.P3=FALSE,"Complete",IF(I.Product.P3GasToPowerStatus&lt;&gt;"Yes","Complete",IF(AND(I.Gas.P3Y2Count&gt;=45,F27930=""),"Incomplete","Complete")))</f>
        <v>Complete</v>
      </c>
      <c r="I27930" s="48" t="s">
        <v>3109</v>
      </c>
    </row>
    <row r="27931" spans="2:9" ht="15" customHeight="1" x14ac:dyDescent="0.25">
      <c r="B27931" s="55" t="s">
        <v>411</v>
      </c>
      <c r="C27931" s="46">
        <v>46</v>
      </c>
      <c r="D27931" s="69" t="s">
        <v>29548</v>
      </c>
      <c r="E27931" s="62"/>
      <c r="F27931" s="62" t="str">
        <f>IF(INDEX(I.Gas.P3Y2AssociatedGasEnergy,46)="","",INDEX(I.Gas.P3Y2AssociatedGasEnergy,46))</f>
        <v/>
      </c>
      <c r="G27931" s="62"/>
      <c r="H27931" s="46" t="str">
        <f>IF(I.Developer.P3=FALSE,"Complete",IF(I.Product.P3GasToPowerStatus&lt;&gt;"Yes","Complete",IF(AND(I.Gas.P3Y2Count&gt;=46,F27931=""),"Incomplete","Complete")))</f>
        <v>Complete</v>
      </c>
      <c r="I27931" s="48" t="s">
        <v>3110</v>
      </c>
    </row>
    <row r="27932" spans="2:9" ht="15" customHeight="1" x14ac:dyDescent="0.25">
      <c r="B27932" s="55" t="s">
        <v>411</v>
      </c>
      <c r="C27932" s="46">
        <v>47</v>
      </c>
      <c r="D27932" s="69" t="s">
        <v>29548</v>
      </c>
      <c r="E27932" s="62"/>
      <c r="F27932" s="62" t="str">
        <f>IF(INDEX(I.Gas.P3Y2AssociatedGasEnergy,47)="","",INDEX(I.Gas.P3Y2AssociatedGasEnergy,47))</f>
        <v/>
      </c>
      <c r="G27932" s="62"/>
      <c r="H27932" s="46" t="str">
        <f>IF(I.Developer.P3=FALSE,"Complete",IF(I.Product.P3GasToPowerStatus&lt;&gt;"Yes","Complete",IF(AND(I.Gas.P3Y2Count&gt;=47,F27932=""),"Incomplete","Complete")))</f>
        <v>Complete</v>
      </c>
      <c r="I27932" s="48" t="s">
        <v>3111</v>
      </c>
    </row>
    <row r="27933" spans="2:9" ht="15" customHeight="1" x14ac:dyDescent="0.25">
      <c r="B27933" s="55" t="s">
        <v>411</v>
      </c>
      <c r="C27933" s="46">
        <v>48</v>
      </c>
      <c r="D27933" s="69" t="s">
        <v>29548</v>
      </c>
      <c r="E27933" s="62"/>
      <c r="F27933" s="62" t="str">
        <f>IF(INDEX(I.Gas.P3Y2AssociatedGasEnergy,48)="","",INDEX(I.Gas.P3Y2AssociatedGasEnergy,48))</f>
        <v/>
      </c>
      <c r="G27933" s="62"/>
      <c r="H27933" s="46" t="str">
        <f>IF(I.Developer.P3=FALSE,"Complete",IF(I.Product.P3GasToPowerStatus&lt;&gt;"Yes","Complete",IF(AND(I.Gas.P3Y2Count&gt;=48,F27933=""),"Incomplete","Complete")))</f>
        <v>Complete</v>
      </c>
      <c r="I27933" s="48" t="s">
        <v>3112</v>
      </c>
    </row>
    <row r="27934" spans="2:9" ht="15" customHeight="1" x14ac:dyDescent="0.25">
      <c r="B27934" s="55" t="s">
        <v>411</v>
      </c>
      <c r="C27934" s="46">
        <v>49</v>
      </c>
      <c r="D27934" s="69" t="s">
        <v>29548</v>
      </c>
      <c r="E27934" s="62"/>
      <c r="F27934" s="62" t="str">
        <f>IF(INDEX(I.Gas.P3Y2AssociatedGasEnergy,49)="","",INDEX(I.Gas.P3Y2AssociatedGasEnergy,49))</f>
        <v/>
      </c>
      <c r="G27934" s="62"/>
      <c r="H27934" s="46" t="str">
        <f>IF(I.Developer.P3=FALSE,"Complete",IF(I.Product.P3GasToPowerStatus&lt;&gt;"Yes","Complete",IF(AND(I.Gas.P3Y2Count&gt;=49,F27934=""),"Incomplete","Complete")))</f>
        <v>Complete</v>
      </c>
      <c r="I27934" s="48" t="s">
        <v>3113</v>
      </c>
    </row>
    <row r="27935" spans="2:9" ht="15" customHeight="1" x14ac:dyDescent="0.25">
      <c r="B27935" s="56" t="s">
        <v>411</v>
      </c>
      <c r="C27935" s="57">
        <v>50</v>
      </c>
      <c r="D27935" s="71" t="s">
        <v>29548</v>
      </c>
      <c r="E27935" s="61"/>
      <c r="F27935" s="61" t="str">
        <f>IF(INDEX(I.Gas.P3Y2AssociatedGasEnergy,50)="","",INDEX(I.Gas.P3Y2AssociatedGasEnergy,50))</f>
        <v/>
      </c>
      <c r="G27935" s="61"/>
      <c r="H27935" s="57" t="str">
        <f>IF(I.Developer.P3=FALSE,"Complete",IF(I.Product.P3GasToPowerStatus&lt;&gt;"Yes","Complete",IF(AND(I.Gas.P3Y2Count&gt;=50,F27935=""),"Incomplete","Complete")))</f>
        <v>Complete</v>
      </c>
      <c r="I27935" s="49" t="s">
        <v>3114</v>
      </c>
    </row>
    <row r="27936" spans="2:9" ht="15" customHeight="1" x14ac:dyDescent="0.25">
      <c r="B27936" s="55" t="s">
        <v>412</v>
      </c>
      <c r="C27936" s="46">
        <v>1</v>
      </c>
      <c r="D27936" s="69" t="s">
        <v>29549</v>
      </c>
      <c r="E27936" s="62"/>
      <c r="F27936" s="62" t="str">
        <f>IF(INDEX(I.Gas.P3Y2TotalGasEnergy,1)="","",INDEX(I.Gas.P3Y2TotalGasEnergy,1))</f>
        <v/>
      </c>
      <c r="G27936" s="62"/>
      <c r="H27936" s="46" t="str">
        <f>IF(I.Developer.P3=FALSE,"Complete",IF(I.Product.P3GasToPowerStatus&lt;&gt;"Yes","Complete",IF(AND(I.Gas.P3Y2Count&gt;=1,F27936=""),"Incomplete","Complete")))</f>
        <v>Complete</v>
      </c>
      <c r="I27936" s="48" t="s">
        <v>3115</v>
      </c>
    </row>
    <row r="27937" spans="2:9" ht="15" customHeight="1" x14ac:dyDescent="0.25">
      <c r="B27937" s="55" t="s">
        <v>412</v>
      </c>
      <c r="C27937" s="46">
        <v>2</v>
      </c>
      <c r="D27937" s="69" t="s">
        <v>29549</v>
      </c>
      <c r="E27937" s="62"/>
      <c r="F27937" s="62" t="str">
        <f>IF(INDEX(I.Gas.P3Y2TotalGasEnergy,2)="","",INDEX(I.Gas.P3Y2TotalGasEnergy,2))</f>
        <v/>
      </c>
      <c r="G27937" s="62"/>
      <c r="H27937" s="46" t="str">
        <f>IF(I.Developer.P3=FALSE,"Complete",IF(I.Product.P3GasToPowerStatus&lt;&gt;"Yes","Complete",IF(AND(I.Gas.P3Y2Count&gt;=2,F27937=""),"Incomplete","Complete")))</f>
        <v>Complete</v>
      </c>
      <c r="I27937" s="48" t="s">
        <v>3116</v>
      </c>
    </row>
    <row r="27938" spans="2:9" ht="15" customHeight="1" x14ac:dyDescent="0.25">
      <c r="B27938" s="55" t="s">
        <v>412</v>
      </c>
      <c r="C27938" s="46">
        <v>3</v>
      </c>
      <c r="D27938" s="69" t="s">
        <v>29549</v>
      </c>
      <c r="E27938" s="62"/>
      <c r="F27938" s="62" t="str">
        <f>IF(INDEX(I.Gas.P3Y2TotalGasEnergy,3)="","",INDEX(I.Gas.P3Y2TotalGasEnergy,3))</f>
        <v/>
      </c>
      <c r="G27938" s="62"/>
      <c r="H27938" s="46" t="str">
        <f>IF(I.Developer.P3=FALSE,"Complete",IF(I.Product.P3GasToPowerStatus&lt;&gt;"Yes","Complete",IF(AND(I.Gas.P3Y2Count&gt;=3,F27938=""),"Incomplete","Complete")))</f>
        <v>Complete</v>
      </c>
      <c r="I27938" s="48" t="s">
        <v>3117</v>
      </c>
    </row>
    <row r="27939" spans="2:9" ht="15" customHeight="1" x14ac:dyDescent="0.25">
      <c r="B27939" s="55" t="s">
        <v>412</v>
      </c>
      <c r="C27939" s="46">
        <v>4</v>
      </c>
      <c r="D27939" s="69" t="s">
        <v>29549</v>
      </c>
      <c r="E27939" s="62"/>
      <c r="F27939" s="62" t="str">
        <f>IF(INDEX(I.Gas.P3Y2TotalGasEnergy,4)="","",INDEX(I.Gas.P3Y2TotalGasEnergy,4))</f>
        <v/>
      </c>
      <c r="G27939" s="62"/>
      <c r="H27939" s="46" t="str">
        <f>IF(I.Developer.P3=FALSE,"Complete",IF(I.Product.P3GasToPowerStatus&lt;&gt;"Yes","Complete",IF(AND(I.Gas.P3Y2Count&gt;=4,F27939=""),"Incomplete","Complete")))</f>
        <v>Complete</v>
      </c>
      <c r="I27939" s="48" t="s">
        <v>3118</v>
      </c>
    </row>
    <row r="27940" spans="2:9" ht="15" customHeight="1" x14ac:dyDescent="0.25">
      <c r="B27940" s="55" t="s">
        <v>412</v>
      </c>
      <c r="C27940" s="46">
        <v>5</v>
      </c>
      <c r="D27940" s="69" t="s">
        <v>29549</v>
      </c>
      <c r="E27940" s="62"/>
      <c r="F27940" s="62" t="str">
        <f>IF(INDEX(I.Gas.P3Y2TotalGasEnergy,5)="","",INDEX(I.Gas.P3Y2TotalGasEnergy,5))</f>
        <v/>
      </c>
      <c r="G27940" s="62"/>
      <c r="H27940" s="46" t="str">
        <f>IF(I.Developer.P3=FALSE,"Complete",IF(I.Product.P3GasToPowerStatus&lt;&gt;"Yes","Complete",IF(AND(I.Gas.P3Y2Count&gt;=5,F27940=""),"Incomplete","Complete")))</f>
        <v>Complete</v>
      </c>
      <c r="I27940" s="48" t="s">
        <v>3119</v>
      </c>
    </row>
    <row r="27941" spans="2:9" ht="15" customHeight="1" x14ac:dyDescent="0.25">
      <c r="B27941" s="55" t="s">
        <v>412</v>
      </c>
      <c r="C27941" s="46">
        <v>6</v>
      </c>
      <c r="D27941" s="69" t="s">
        <v>29549</v>
      </c>
      <c r="E27941" s="62"/>
      <c r="F27941" s="62" t="str">
        <f>IF(INDEX(I.Gas.P3Y2TotalGasEnergy,6)="","",INDEX(I.Gas.P3Y2TotalGasEnergy,6))</f>
        <v/>
      </c>
      <c r="G27941" s="62"/>
      <c r="H27941" s="46" t="str">
        <f>IF(I.Developer.P3=FALSE,"Complete",IF(I.Product.P3GasToPowerStatus&lt;&gt;"Yes","Complete",IF(AND(I.Gas.P3Y2Count&gt;=6,F27941=""),"Incomplete","Complete")))</f>
        <v>Complete</v>
      </c>
      <c r="I27941" s="48" t="s">
        <v>3120</v>
      </c>
    </row>
    <row r="27942" spans="2:9" ht="15" customHeight="1" x14ac:dyDescent="0.25">
      <c r="B27942" s="55" t="s">
        <v>412</v>
      </c>
      <c r="C27942" s="46">
        <v>7</v>
      </c>
      <c r="D27942" s="69" t="s">
        <v>29549</v>
      </c>
      <c r="E27942" s="62"/>
      <c r="F27942" s="62" t="str">
        <f>IF(INDEX(I.Gas.P3Y2TotalGasEnergy,7)="","",INDEX(I.Gas.P3Y2TotalGasEnergy,7))</f>
        <v/>
      </c>
      <c r="G27942" s="62"/>
      <c r="H27942" s="46" t="str">
        <f>IF(I.Developer.P3=FALSE,"Complete",IF(I.Product.P3GasToPowerStatus&lt;&gt;"Yes","Complete",IF(AND(I.Gas.P3Y2Count&gt;=7,F27942=""),"Incomplete","Complete")))</f>
        <v>Complete</v>
      </c>
      <c r="I27942" s="48" t="s">
        <v>3121</v>
      </c>
    </row>
    <row r="27943" spans="2:9" ht="15" customHeight="1" x14ac:dyDescent="0.25">
      <c r="B27943" s="55" t="s">
        <v>412</v>
      </c>
      <c r="C27943" s="46">
        <v>8</v>
      </c>
      <c r="D27943" s="69" t="s">
        <v>29549</v>
      </c>
      <c r="E27943" s="62"/>
      <c r="F27943" s="62" t="str">
        <f>IF(INDEX(I.Gas.P3Y2TotalGasEnergy,8)="","",INDEX(I.Gas.P3Y2TotalGasEnergy,8))</f>
        <v/>
      </c>
      <c r="G27943" s="62"/>
      <c r="H27943" s="46" t="str">
        <f>IF(I.Developer.P3=FALSE,"Complete",IF(I.Product.P3GasToPowerStatus&lt;&gt;"Yes","Complete",IF(AND(I.Gas.P3Y2Count&gt;=8,F27943=""),"Incomplete","Complete")))</f>
        <v>Complete</v>
      </c>
      <c r="I27943" s="48" t="s">
        <v>3122</v>
      </c>
    </row>
    <row r="27944" spans="2:9" ht="15" customHeight="1" x14ac:dyDescent="0.25">
      <c r="B27944" s="55" t="s">
        <v>412</v>
      </c>
      <c r="C27944" s="46">
        <v>9</v>
      </c>
      <c r="D27944" s="69" t="s">
        <v>29549</v>
      </c>
      <c r="E27944" s="62"/>
      <c r="F27944" s="62" t="str">
        <f>IF(INDEX(I.Gas.P3Y2TotalGasEnergy,9)="","",INDEX(I.Gas.P3Y2TotalGasEnergy,9))</f>
        <v/>
      </c>
      <c r="G27944" s="62"/>
      <c r="H27944" s="46" t="str">
        <f>IF(I.Developer.P3=FALSE,"Complete",IF(I.Product.P3GasToPowerStatus&lt;&gt;"Yes","Complete",IF(AND(I.Gas.P3Y2Count&gt;=9,F27944=""),"Incomplete","Complete")))</f>
        <v>Complete</v>
      </c>
      <c r="I27944" s="48" t="s">
        <v>3123</v>
      </c>
    </row>
    <row r="27945" spans="2:9" ht="15" customHeight="1" x14ac:dyDescent="0.25">
      <c r="B27945" s="55" t="s">
        <v>412</v>
      </c>
      <c r="C27945" s="46">
        <v>10</v>
      </c>
      <c r="D27945" s="69" t="s">
        <v>29549</v>
      </c>
      <c r="E27945" s="62"/>
      <c r="F27945" s="62" t="str">
        <f>IF(INDEX(I.Gas.P3Y2TotalGasEnergy,10)="","",INDEX(I.Gas.P3Y2TotalGasEnergy,10))</f>
        <v/>
      </c>
      <c r="G27945" s="62"/>
      <c r="H27945" s="46" t="str">
        <f>IF(I.Developer.P3=FALSE,"Complete",IF(I.Product.P3GasToPowerStatus&lt;&gt;"Yes","Complete",IF(AND(I.Gas.P3Y2Count&gt;=10,F27945=""),"Incomplete","Complete")))</f>
        <v>Complete</v>
      </c>
      <c r="I27945" s="48" t="s">
        <v>3124</v>
      </c>
    </row>
    <row r="27946" spans="2:9" ht="15" customHeight="1" x14ac:dyDescent="0.25">
      <c r="B27946" s="55" t="s">
        <v>412</v>
      </c>
      <c r="C27946" s="46">
        <v>11</v>
      </c>
      <c r="D27946" s="69" t="s">
        <v>29549</v>
      </c>
      <c r="E27946" s="62"/>
      <c r="F27946" s="62" t="str">
        <f>IF(INDEX(I.Gas.P3Y2TotalGasEnergy,11)="","",INDEX(I.Gas.P3Y2TotalGasEnergy,11))</f>
        <v/>
      </c>
      <c r="G27946" s="62"/>
      <c r="H27946" s="46" t="str">
        <f>IF(I.Developer.P3=FALSE,"Complete",IF(I.Product.P3GasToPowerStatus&lt;&gt;"Yes","Complete",IF(AND(I.Gas.P3Y2Count&gt;=11,F27946=""),"Incomplete","Complete")))</f>
        <v>Complete</v>
      </c>
      <c r="I27946" s="48" t="s">
        <v>3125</v>
      </c>
    </row>
    <row r="27947" spans="2:9" ht="15" customHeight="1" x14ac:dyDescent="0.25">
      <c r="B27947" s="55" t="s">
        <v>412</v>
      </c>
      <c r="C27947" s="46">
        <v>12</v>
      </c>
      <c r="D27947" s="69" t="s">
        <v>29549</v>
      </c>
      <c r="E27947" s="62"/>
      <c r="F27947" s="62" t="str">
        <f>IF(INDEX(I.Gas.P3Y2TotalGasEnergy,12)="","",INDEX(I.Gas.P3Y2TotalGasEnergy,12))</f>
        <v/>
      </c>
      <c r="G27947" s="62"/>
      <c r="H27947" s="46" t="str">
        <f>IF(I.Developer.P3=FALSE,"Complete",IF(I.Product.P3GasToPowerStatus&lt;&gt;"Yes","Complete",IF(AND(I.Gas.P3Y2Count&gt;=12,F27947=""),"Incomplete","Complete")))</f>
        <v>Complete</v>
      </c>
      <c r="I27947" s="48" t="s">
        <v>3126</v>
      </c>
    </row>
    <row r="27948" spans="2:9" ht="15" customHeight="1" x14ac:dyDescent="0.25">
      <c r="B27948" s="55" t="s">
        <v>412</v>
      </c>
      <c r="C27948" s="46">
        <v>13</v>
      </c>
      <c r="D27948" s="69" t="s">
        <v>29549</v>
      </c>
      <c r="E27948" s="62"/>
      <c r="F27948" s="62" t="str">
        <f>IF(INDEX(I.Gas.P3Y2TotalGasEnergy,13)="","",INDEX(I.Gas.P3Y2TotalGasEnergy,13))</f>
        <v/>
      </c>
      <c r="G27948" s="62"/>
      <c r="H27948" s="46" t="str">
        <f>IF(I.Developer.P3=FALSE,"Complete",IF(I.Product.P3GasToPowerStatus&lt;&gt;"Yes","Complete",IF(AND(I.Gas.P3Y2Count&gt;=13,F27948=""),"Incomplete","Complete")))</f>
        <v>Complete</v>
      </c>
      <c r="I27948" s="48" t="s">
        <v>3127</v>
      </c>
    </row>
    <row r="27949" spans="2:9" ht="15" customHeight="1" x14ac:dyDescent="0.25">
      <c r="B27949" s="55" t="s">
        <v>412</v>
      </c>
      <c r="C27949" s="46">
        <v>14</v>
      </c>
      <c r="D27949" s="69" t="s">
        <v>29549</v>
      </c>
      <c r="E27949" s="62"/>
      <c r="F27949" s="62" t="str">
        <f>IF(INDEX(I.Gas.P3Y2TotalGasEnergy,14)="","",INDEX(I.Gas.P3Y2TotalGasEnergy,14))</f>
        <v/>
      </c>
      <c r="G27949" s="62"/>
      <c r="H27949" s="46" t="str">
        <f>IF(I.Developer.P3=FALSE,"Complete",IF(I.Product.P3GasToPowerStatus&lt;&gt;"Yes","Complete",IF(AND(I.Gas.P3Y2Count&gt;=14,F27949=""),"Incomplete","Complete")))</f>
        <v>Complete</v>
      </c>
      <c r="I27949" s="48" t="s">
        <v>3128</v>
      </c>
    </row>
    <row r="27950" spans="2:9" ht="15" customHeight="1" x14ac:dyDescent="0.25">
      <c r="B27950" s="55" t="s">
        <v>412</v>
      </c>
      <c r="C27950" s="46">
        <v>15</v>
      </c>
      <c r="D27950" s="69" t="s">
        <v>29549</v>
      </c>
      <c r="E27950" s="62"/>
      <c r="F27950" s="62" t="str">
        <f>IF(INDEX(I.Gas.P3Y2TotalGasEnergy,15)="","",INDEX(I.Gas.P3Y2TotalGasEnergy,15))</f>
        <v/>
      </c>
      <c r="G27950" s="62"/>
      <c r="H27950" s="46" t="str">
        <f>IF(I.Developer.P3=FALSE,"Complete",IF(I.Product.P3GasToPowerStatus&lt;&gt;"Yes","Complete",IF(AND(I.Gas.P3Y2Count&gt;=15,F27950=""),"Incomplete","Complete")))</f>
        <v>Complete</v>
      </c>
      <c r="I27950" s="48" t="s">
        <v>3129</v>
      </c>
    </row>
    <row r="27951" spans="2:9" ht="15" customHeight="1" x14ac:dyDescent="0.25">
      <c r="B27951" s="55" t="s">
        <v>412</v>
      </c>
      <c r="C27951" s="46">
        <v>16</v>
      </c>
      <c r="D27951" s="69" t="s">
        <v>29549</v>
      </c>
      <c r="E27951" s="62"/>
      <c r="F27951" s="62" t="str">
        <f>IF(INDEX(I.Gas.P3Y2TotalGasEnergy,16)="","",INDEX(I.Gas.P3Y2TotalGasEnergy,16))</f>
        <v/>
      </c>
      <c r="G27951" s="62"/>
      <c r="H27951" s="46" t="str">
        <f>IF(I.Developer.P3=FALSE,"Complete",IF(I.Product.P3GasToPowerStatus&lt;&gt;"Yes","Complete",IF(AND(I.Gas.P3Y2Count&gt;=16,F27951=""),"Incomplete","Complete")))</f>
        <v>Complete</v>
      </c>
      <c r="I27951" s="48" t="s">
        <v>3130</v>
      </c>
    </row>
    <row r="27952" spans="2:9" ht="15" customHeight="1" x14ac:dyDescent="0.25">
      <c r="B27952" s="55" t="s">
        <v>412</v>
      </c>
      <c r="C27952" s="46">
        <v>17</v>
      </c>
      <c r="D27952" s="69" t="s">
        <v>29549</v>
      </c>
      <c r="E27952" s="62"/>
      <c r="F27952" s="62" t="str">
        <f>IF(INDEX(I.Gas.P3Y2TotalGasEnergy,17)="","",INDEX(I.Gas.P3Y2TotalGasEnergy,17))</f>
        <v/>
      </c>
      <c r="G27952" s="62"/>
      <c r="H27952" s="46" t="str">
        <f>IF(I.Developer.P3=FALSE,"Complete",IF(I.Product.P3GasToPowerStatus&lt;&gt;"Yes","Complete",IF(AND(I.Gas.P3Y2Count&gt;=17,F27952=""),"Incomplete","Complete")))</f>
        <v>Complete</v>
      </c>
      <c r="I27952" s="48" t="s">
        <v>3131</v>
      </c>
    </row>
    <row r="27953" spans="2:9" ht="15" customHeight="1" x14ac:dyDescent="0.25">
      <c r="B27953" s="55" t="s">
        <v>412</v>
      </c>
      <c r="C27953" s="46">
        <v>18</v>
      </c>
      <c r="D27953" s="69" t="s">
        <v>29549</v>
      </c>
      <c r="E27953" s="62"/>
      <c r="F27953" s="62" t="str">
        <f>IF(INDEX(I.Gas.P3Y2TotalGasEnergy,18)="","",INDEX(I.Gas.P3Y2TotalGasEnergy,18))</f>
        <v/>
      </c>
      <c r="G27953" s="62"/>
      <c r="H27953" s="46" t="str">
        <f>IF(I.Developer.P3=FALSE,"Complete",IF(I.Product.P3GasToPowerStatus&lt;&gt;"Yes","Complete",IF(AND(I.Gas.P3Y2Count&gt;=18,F27953=""),"Incomplete","Complete")))</f>
        <v>Complete</v>
      </c>
      <c r="I27953" s="48" t="s">
        <v>3132</v>
      </c>
    </row>
    <row r="27954" spans="2:9" ht="15" customHeight="1" x14ac:dyDescent="0.25">
      <c r="B27954" s="55" t="s">
        <v>412</v>
      </c>
      <c r="C27954" s="46">
        <v>19</v>
      </c>
      <c r="D27954" s="69" t="s">
        <v>29549</v>
      </c>
      <c r="E27954" s="62"/>
      <c r="F27954" s="62" t="str">
        <f>IF(INDEX(I.Gas.P3Y2TotalGasEnergy,19)="","",INDEX(I.Gas.P3Y2TotalGasEnergy,19))</f>
        <v/>
      </c>
      <c r="G27954" s="62"/>
      <c r="H27954" s="46" t="str">
        <f>IF(I.Developer.P3=FALSE,"Complete",IF(I.Product.P3GasToPowerStatus&lt;&gt;"Yes","Complete",IF(AND(I.Gas.P3Y2Count&gt;=19,F27954=""),"Incomplete","Complete")))</f>
        <v>Complete</v>
      </c>
      <c r="I27954" s="48" t="s">
        <v>3133</v>
      </c>
    </row>
    <row r="27955" spans="2:9" ht="15" customHeight="1" x14ac:dyDescent="0.25">
      <c r="B27955" s="55" t="s">
        <v>412</v>
      </c>
      <c r="C27955" s="46">
        <v>20</v>
      </c>
      <c r="D27955" s="69" t="s">
        <v>29549</v>
      </c>
      <c r="E27955" s="62"/>
      <c r="F27955" s="62" t="str">
        <f>IF(INDEX(I.Gas.P3Y2TotalGasEnergy,20)="","",INDEX(I.Gas.P3Y2TotalGasEnergy,20))</f>
        <v/>
      </c>
      <c r="G27955" s="62"/>
      <c r="H27955" s="46" t="str">
        <f>IF(I.Developer.P3=FALSE,"Complete",IF(I.Product.P3GasToPowerStatus&lt;&gt;"Yes","Complete",IF(AND(I.Gas.P3Y2Count&gt;=20,F27955=""),"Incomplete","Complete")))</f>
        <v>Complete</v>
      </c>
      <c r="I27955" s="48" t="s">
        <v>3134</v>
      </c>
    </row>
    <row r="27956" spans="2:9" ht="15" customHeight="1" x14ac:dyDescent="0.25">
      <c r="B27956" s="55" t="s">
        <v>412</v>
      </c>
      <c r="C27956" s="46">
        <v>21</v>
      </c>
      <c r="D27956" s="69" t="s">
        <v>29549</v>
      </c>
      <c r="E27956" s="62"/>
      <c r="F27956" s="62" t="str">
        <f>IF(INDEX(I.Gas.P3Y2TotalGasEnergy,21)="","",INDEX(I.Gas.P3Y2TotalGasEnergy,21))</f>
        <v/>
      </c>
      <c r="G27956" s="62"/>
      <c r="H27956" s="46" t="str">
        <f>IF(I.Developer.P3=FALSE,"Complete",IF(I.Product.P3GasToPowerStatus&lt;&gt;"Yes","Complete",IF(AND(I.Gas.P3Y2Count&gt;=21,F27956=""),"Incomplete","Complete")))</f>
        <v>Complete</v>
      </c>
      <c r="I27956" s="48" t="s">
        <v>3135</v>
      </c>
    </row>
    <row r="27957" spans="2:9" ht="15" customHeight="1" x14ac:dyDescent="0.25">
      <c r="B27957" s="55" t="s">
        <v>412</v>
      </c>
      <c r="C27957" s="46">
        <v>22</v>
      </c>
      <c r="D27957" s="69" t="s">
        <v>29549</v>
      </c>
      <c r="E27957" s="62"/>
      <c r="F27957" s="62" t="str">
        <f>IF(INDEX(I.Gas.P3Y2TotalGasEnergy,22)="","",INDEX(I.Gas.P3Y2TotalGasEnergy,22))</f>
        <v/>
      </c>
      <c r="G27957" s="62"/>
      <c r="H27957" s="46" t="str">
        <f>IF(I.Developer.P3=FALSE,"Complete",IF(I.Product.P3GasToPowerStatus&lt;&gt;"Yes","Complete",IF(AND(I.Gas.P3Y2Count&gt;=22,F27957=""),"Incomplete","Complete")))</f>
        <v>Complete</v>
      </c>
      <c r="I27957" s="48" t="s">
        <v>3136</v>
      </c>
    </row>
    <row r="27958" spans="2:9" ht="15" customHeight="1" x14ac:dyDescent="0.25">
      <c r="B27958" s="55" t="s">
        <v>412</v>
      </c>
      <c r="C27958" s="46">
        <v>23</v>
      </c>
      <c r="D27958" s="69" t="s">
        <v>29549</v>
      </c>
      <c r="E27958" s="62"/>
      <c r="F27958" s="62" t="str">
        <f>IF(INDEX(I.Gas.P3Y2TotalGasEnergy,23)="","",INDEX(I.Gas.P3Y2TotalGasEnergy,23))</f>
        <v/>
      </c>
      <c r="G27958" s="62"/>
      <c r="H27958" s="46" t="str">
        <f>IF(I.Developer.P3=FALSE,"Complete",IF(I.Product.P3GasToPowerStatus&lt;&gt;"Yes","Complete",IF(AND(I.Gas.P3Y2Count&gt;=23,F27958=""),"Incomplete","Complete")))</f>
        <v>Complete</v>
      </c>
      <c r="I27958" s="48" t="s">
        <v>3137</v>
      </c>
    </row>
    <row r="27959" spans="2:9" ht="15" customHeight="1" x14ac:dyDescent="0.25">
      <c r="B27959" s="55" t="s">
        <v>412</v>
      </c>
      <c r="C27959" s="46">
        <v>24</v>
      </c>
      <c r="D27959" s="69" t="s">
        <v>29549</v>
      </c>
      <c r="E27959" s="62"/>
      <c r="F27959" s="62" t="str">
        <f>IF(INDEX(I.Gas.P3Y2TotalGasEnergy,24)="","",INDEX(I.Gas.P3Y2TotalGasEnergy,24))</f>
        <v/>
      </c>
      <c r="G27959" s="62"/>
      <c r="H27959" s="46" t="str">
        <f>IF(I.Developer.P3=FALSE,"Complete",IF(I.Product.P3GasToPowerStatus&lt;&gt;"Yes","Complete",IF(AND(I.Gas.P3Y2Count&gt;=24,F27959=""),"Incomplete","Complete")))</f>
        <v>Complete</v>
      </c>
      <c r="I27959" s="48" t="s">
        <v>3138</v>
      </c>
    </row>
    <row r="27960" spans="2:9" ht="15" customHeight="1" x14ac:dyDescent="0.25">
      <c r="B27960" s="55" t="s">
        <v>412</v>
      </c>
      <c r="C27960" s="46">
        <v>25</v>
      </c>
      <c r="D27960" s="69" t="s">
        <v>29549</v>
      </c>
      <c r="E27960" s="62"/>
      <c r="F27960" s="62" t="str">
        <f>IF(INDEX(I.Gas.P3Y2TotalGasEnergy,25)="","",INDEX(I.Gas.P3Y2TotalGasEnergy,25))</f>
        <v/>
      </c>
      <c r="G27960" s="62"/>
      <c r="H27960" s="46" t="str">
        <f>IF(I.Developer.P3=FALSE,"Complete",IF(I.Product.P3GasToPowerStatus&lt;&gt;"Yes","Complete",IF(AND(I.Gas.P3Y2Count&gt;=25,F27960=""),"Incomplete","Complete")))</f>
        <v>Complete</v>
      </c>
      <c r="I27960" s="48" t="s">
        <v>3139</v>
      </c>
    </row>
    <row r="27961" spans="2:9" ht="15" customHeight="1" x14ac:dyDescent="0.25">
      <c r="B27961" s="55" t="s">
        <v>412</v>
      </c>
      <c r="C27961" s="46">
        <v>26</v>
      </c>
      <c r="D27961" s="69" t="s">
        <v>29549</v>
      </c>
      <c r="E27961" s="62"/>
      <c r="F27961" s="62" t="str">
        <f>IF(INDEX(I.Gas.P3Y2TotalGasEnergy,26)="","",INDEX(I.Gas.P3Y2TotalGasEnergy,26))</f>
        <v/>
      </c>
      <c r="G27961" s="62"/>
      <c r="H27961" s="46" t="str">
        <f>IF(I.Developer.P3=FALSE,"Complete",IF(I.Product.P3GasToPowerStatus&lt;&gt;"Yes","Complete",IF(AND(I.Gas.P3Y2Count&gt;=26,F27961=""),"Incomplete","Complete")))</f>
        <v>Complete</v>
      </c>
      <c r="I27961" s="48" t="s">
        <v>3140</v>
      </c>
    </row>
    <row r="27962" spans="2:9" ht="15" customHeight="1" x14ac:dyDescent="0.25">
      <c r="B27962" s="55" t="s">
        <v>412</v>
      </c>
      <c r="C27962" s="46">
        <v>27</v>
      </c>
      <c r="D27962" s="69" t="s">
        <v>29549</v>
      </c>
      <c r="E27962" s="62"/>
      <c r="F27962" s="62" t="str">
        <f>IF(INDEX(I.Gas.P3Y2TotalGasEnergy,27)="","",INDEX(I.Gas.P3Y2TotalGasEnergy,27))</f>
        <v/>
      </c>
      <c r="G27962" s="62"/>
      <c r="H27962" s="46" t="str">
        <f>IF(I.Developer.P3=FALSE,"Complete",IF(I.Product.P3GasToPowerStatus&lt;&gt;"Yes","Complete",IF(AND(I.Gas.P3Y2Count&gt;=27,F27962=""),"Incomplete","Complete")))</f>
        <v>Complete</v>
      </c>
      <c r="I27962" s="48" t="s">
        <v>3141</v>
      </c>
    </row>
    <row r="27963" spans="2:9" ht="15" customHeight="1" x14ac:dyDescent="0.25">
      <c r="B27963" s="55" t="s">
        <v>412</v>
      </c>
      <c r="C27963" s="46">
        <v>28</v>
      </c>
      <c r="D27963" s="69" t="s">
        <v>29549</v>
      </c>
      <c r="E27963" s="62"/>
      <c r="F27963" s="62" t="str">
        <f>IF(INDEX(I.Gas.P3Y2TotalGasEnergy,28)="","",INDEX(I.Gas.P3Y2TotalGasEnergy,28))</f>
        <v/>
      </c>
      <c r="G27963" s="62"/>
      <c r="H27963" s="46" t="str">
        <f>IF(I.Developer.P3=FALSE,"Complete",IF(I.Product.P3GasToPowerStatus&lt;&gt;"Yes","Complete",IF(AND(I.Gas.P3Y2Count&gt;=28,F27963=""),"Incomplete","Complete")))</f>
        <v>Complete</v>
      </c>
      <c r="I27963" s="48" t="s">
        <v>3142</v>
      </c>
    </row>
    <row r="27964" spans="2:9" ht="15" customHeight="1" x14ac:dyDescent="0.25">
      <c r="B27964" s="55" t="s">
        <v>412</v>
      </c>
      <c r="C27964" s="46">
        <v>29</v>
      </c>
      <c r="D27964" s="69" t="s">
        <v>29549</v>
      </c>
      <c r="E27964" s="62"/>
      <c r="F27964" s="62" t="str">
        <f>IF(INDEX(I.Gas.P3Y2TotalGasEnergy,29)="","",INDEX(I.Gas.P3Y2TotalGasEnergy,29))</f>
        <v/>
      </c>
      <c r="G27964" s="62"/>
      <c r="H27964" s="46" t="str">
        <f>IF(I.Developer.P3=FALSE,"Complete",IF(I.Product.P3GasToPowerStatus&lt;&gt;"Yes","Complete",IF(AND(I.Gas.P3Y2Count&gt;=29,F27964=""),"Incomplete","Complete")))</f>
        <v>Complete</v>
      </c>
      <c r="I27964" s="48" t="s">
        <v>3143</v>
      </c>
    </row>
    <row r="27965" spans="2:9" ht="15" customHeight="1" x14ac:dyDescent="0.25">
      <c r="B27965" s="55" t="s">
        <v>412</v>
      </c>
      <c r="C27965" s="46">
        <v>30</v>
      </c>
      <c r="D27965" s="69" t="s">
        <v>29549</v>
      </c>
      <c r="E27965" s="62"/>
      <c r="F27965" s="62" t="str">
        <f>IF(INDEX(I.Gas.P3Y2TotalGasEnergy,30)="","",INDEX(I.Gas.P3Y2TotalGasEnergy,30))</f>
        <v/>
      </c>
      <c r="G27965" s="62"/>
      <c r="H27965" s="46" t="str">
        <f>IF(I.Developer.P3=FALSE,"Complete",IF(I.Product.P3GasToPowerStatus&lt;&gt;"Yes","Complete",IF(AND(I.Gas.P3Y2Count&gt;=30,F27965=""),"Incomplete","Complete")))</f>
        <v>Complete</v>
      </c>
      <c r="I27965" s="48" t="s">
        <v>3144</v>
      </c>
    </row>
    <row r="27966" spans="2:9" ht="15" customHeight="1" x14ac:dyDescent="0.25">
      <c r="B27966" s="55" t="s">
        <v>412</v>
      </c>
      <c r="C27966" s="46">
        <v>31</v>
      </c>
      <c r="D27966" s="69" t="s">
        <v>29549</v>
      </c>
      <c r="E27966" s="62"/>
      <c r="F27966" s="62" t="str">
        <f>IF(INDEX(I.Gas.P3Y2TotalGasEnergy,31)="","",INDEX(I.Gas.P3Y2TotalGasEnergy,31))</f>
        <v/>
      </c>
      <c r="G27966" s="62"/>
      <c r="H27966" s="46" t="str">
        <f>IF(I.Developer.P3=FALSE,"Complete",IF(I.Product.P3GasToPowerStatus&lt;&gt;"Yes","Complete",IF(AND(I.Gas.P3Y2Count&gt;=31,F27966=""),"Incomplete","Complete")))</f>
        <v>Complete</v>
      </c>
      <c r="I27966" s="48" t="s">
        <v>3145</v>
      </c>
    </row>
    <row r="27967" spans="2:9" ht="15" customHeight="1" x14ac:dyDescent="0.25">
      <c r="B27967" s="55" t="s">
        <v>412</v>
      </c>
      <c r="C27967" s="46">
        <v>32</v>
      </c>
      <c r="D27967" s="69" t="s">
        <v>29549</v>
      </c>
      <c r="E27967" s="62"/>
      <c r="F27967" s="62" t="str">
        <f>IF(INDEX(I.Gas.P3Y2TotalGasEnergy,32)="","",INDEX(I.Gas.P3Y2TotalGasEnergy,32))</f>
        <v/>
      </c>
      <c r="G27967" s="62"/>
      <c r="H27967" s="46" t="str">
        <f>IF(I.Developer.P3=FALSE,"Complete",IF(I.Product.P3GasToPowerStatus&lt;&gt;"Yes","Complete",IF(AND(I.Gas.P3Y2Count&gt;=32,F27967=""),"Incomplete","Complete")))</f>
        <v>Complete</v>
      </c>
      <c r="I27967" s="48" t="s">
        <v>3146</v>
      </c>
    </row>
    <row r="27968" spans="2:9" ht="15" customHeight="1" x14ac:dyDescent="0.25">
      <c r="B27968" s="55" t="s">
        <v>412</v>
      </c>
      <c r="C27968" s="46">
        <v>33</v>
      </c>
      <c r="D27968" s="69" t="s">
        <v>29549</v>
      </c>
      <c r="E27968" s="62"/>
      <c r="F27968" s="62" t="str">
        <f>IF(INDEX(I.Gas.P3Y2TotalGasEnergy,33)="","",INDEX(I.Gas.P3Y2TotalGasEnergy,33))</f>
        <v/>
      </c>
      <c r="G27968" s="62"/>
      <c r="H27968" s="46" t="str">
        <f>IF(I.Developer.P3=FALSE,"Complete",IF(I.Product.P3GasToPowerStatus&lt;&gt;"Yes","Complete",IF(AND(I.Gas.P3Y2Count&gt;=33,F27968=""),"Incomplete","Complete")))</f>
        <v>Complete</v>
      </c>
      <c r="I27968" s="48" t="s">
        <v>3147</v>
      </c>
    </row>
    <row r="27969" spans="2:9" ht="15" customHeight="1" x14ac:dyDescent="0.25">
      <c r="B27969" s="55" t="s">
        <v>412</v>
      </c>
      <c r="C27969" s="46">
        <v>34</v>
      </c>
      <c r="D27969" s="69" t="s">
        <v>29549</v>
      </c>
      <c r="E27969" s="62"/>
      <c r="F27969" s="62" t="str">
        <f>IF(INDEX(I.Gas.P3Y2TotalGasEnergy,34)="","",INDEX(I.Gas.P3Y2TotalGasEnergy,34))</f>
        <v/>
      </c>
      <c r="G27969" s="62"/>
      <c r="H27969" s="46" t="str">
        <f>IF(I.Developer.P3=FALSE,"Complete",IF(I.Product.P3GasToPowerStatus&lt;&gt;"Yes","Complete",IF(AND(I.Gas.P3Y2Count&gt;=34,F27969=""),"Incomplete","Complete")))</f>
        <v>Complete</v>
      </c>
      <c r="I27969" s="48" t="s">
        <v>3148</v>
      </c>
    </row>
    <row r="27970" spans="2:9" ht="15" customHeight="1" x14ac:dyDescent="0.25">
      <c r="B27970" s="55" t="s">
        <v>412</v>
      </c>
      <c r="C27970" s="46">
        <v>35</v>
      </c>
      <c r="D27970" s="69" t="s">
        <v>29549</v>
      </c>
      <c r="E27970" s="62"/>
      <c r="F27970" s="62" t="str">
        <f>IF(INDEX(I.Gas.P3Y2TotalGasEnergy,35)="","",INDEX(I.Gas.P3Y2TotalGasEnergy,35))</f>
        <v/>
      </c>
      <c r="G27970" s="62"/>
      <c r="H27970" s="46" t="str">
        <f>IF(I.Developer.P3=FALSE,"Complete",IF(I.Product.P3GasToPowerStatus&lt;&gt;"Yes","Complete",IF(AND(I.Gas.P3Y2Count&gt;=35,F27970=""),"Incomplete","Complete")))</f>
        <v>Complete</v>
      </c>
      <c r="I27970" s="48" t="s">
        <v>3149</v>
      </c>
    </row>
    <row r="27971" spans="2:9" ht="15" customHeight="1" x14ac:dyDescent="0.25">
      <c r="B27971" s="55" t="s">
        <v>412</v>
      </c>
      <c r="C27971" s="46">
        <v>36</v>
      </c>
      <c r="D27971" s="69" t="s">
        <v>29549</v>
      </c>
      <c r="E27971" s="62"/>
      <c r="F27971" s="62" t="str">
        <f>IF(INDEX(I.Gas.P3Y2TotalGasEnergy,36)="","",INDEX(I.Gas.P3Y2TotalGasEnergy,36))</f>
        <v/>
      </c>
      <c r="G27971" s="62"/>
      <c r="H27971" s="46" t="str">
        <f>IF(I.Developer.P3=FALSE,"Complete",IF(I.Product.P3GasToPowerStatus&lt;&gt;"Yes","Complete",IF(AND(I.Gas.P3Y2Count&gt;=36,F27971=""),"Incomplete","Complete")))</f>
        <v>Complete</v>
      </c>
      <c r="I27971" s="48" t="s">
        <v>3150</v>
      </c>
    </row>
    <row r="27972" spans="2:9" ht="15" customHeight="1" x14ac:dyDescent="0.25">
      <c r="B27972" s="55" t="s">
        <v>412</v>
      </c>
      <c r="C27972" s="46">
        <v>37</v>
      </c>
      <c r="D27972" s="69" t="s">
        <v>29549</v>
      </c>
      <c r="E27972" s="62"/>
      <c r="F27972" s="62" t="str">
        <f>IF(INDEX(I.Gas.P3Y2TotalGasEnergy,37)="","",INDEX(I.Gas.P3Y2TotalGasEnergy,37))</f>
        <v/>
      </c>
      <c r="G27972" s="62"/>
      <c r="H27972" s="46" t="str">
        <f>IF(I.Developer.P3=FALSE,"Complete",IF(I.Product.P3GasToPowerStatus&lt;&gt;"Yes","Complete",IF(AND(I.Gas.P3Y2Count&gt;=37,F27972=""),"Incomplete","Complete")))</f>
        <v>Complete</v>
      </c>
      <c r="I27972" s="48" t="s">
        <v>3151</v>
      </c>
    </row>
    <row r="27973" spans="2:9" ht="15" customHeight="1" x14ac:dyDescent="0.25">
      <c r="B27973" s="55" t="s">
        <v>412</v>
      </c>
      <c r="C27973" s="46">
        <v>38</v>
      </c>
      <c r="D27973" s="69" t="s">
        <v>29549</v>
      </c>
      <c r="E27973" s="62"/>
      <c r="F27973" s="62" t="str">
        <f>IF(INDEX(I.Gas.P3Y2TotalGasEnergy,38)="","",INDEX(I.Gas.P3Y2TotalGasEnergy,38))</f>
        <v/>
      </c>
      <c r="G27973" s="62"/>
      <c r="H27973" s="46" t="str">
        <f>IF(I.Developer.P3=FALSE,"Complete",IF(I.Product.P3GasToPowerStatus&lt;&gt;"Yes","Complete",IF(AND(I.Gas.P3Y2Count&gt;=38,F27973=""),"Incomplete","Complete")))</f>
        <v>Complete</v>
      </c>
      <c r="I27973" s="48" t="s">
        <v>3152</v>
      </c>
    </row>
    <row r="27974" spans="2:9" ht="15" customHeight="1" x14ac:dyDescent="0.25">
      <c r="B27974" s="55" t="s">
        <v>412</v>
      </c>
      <c r="C27974" s="46">
        <v>39</v>
      </c>
      <c r="D27974" s="69" t="s">
        <v>29549</v>
      </c>
      <c r="E27974" s="62"/>
      <c r="F27974" s="62" t="str">
        <f>IF(INDEX(I.Gas.P3Y2TotalGasEnergy,39)="","",INDEX(I.Gas.P3Y2TotalGasEnergy,39))</f>
        <v/>
      </c>
      <c r="G27974" s="62"/>
      <c r="H27974" s="46" t="str">
        <f>IF(I.Developer.P3=FALSE,"Complete",IF(I.Product.P3GasToPowerStatus&lt;&gt;"Yes","Complete",IF(AND(I.Gas.P3Y2Count&gt;=39,F27974=""),"Incomplete","Complete")))</f>
        <v>Complete</v>
      </c>
      <c r="I27974" s="48" t="s">
        <v>3153</v>
      </c>
    </row>
    <row r="27975" spans="2:9" ht="15" customHeight="1" x14ac:dyDescent="0.25">
      <c r="B27975" s="55" t="s">
        <v>412</v>
      </c>
      <c r="C27975" s="46">
        <v>40</v>
      </c>
      <c r="D27975" s="69" t="s">
        <v>29549</v>
      </c>
      <c r="E27975" s="62"/>
      <c r="F27975" s="62" t="str">
        <f>IF(INDEX(I.Gas.P3Y2TotalGasEnergy,40)="","",INDEX(I.Gas.P3Y2TotalGasEnergy,40))</f>
        <v/>
      </c>
      <c r="G27975" s="62"/>
      <c r="H27975" s="46" t="str">
        <f>IF(I.Developer.P3=FALSE,"Complete",IF(I.Product.P3GasToPowerStatus&lt;&gt;"Yes","Complete",IF(AND(I.Gas.P3Y2Count&gt;=40,F27975=""),"Incomplete","Complete")))</f>
        <v>Complete</v>
      </c>
      <c r="I27975" s="48" t="s">
        <v>3154</v>
      </c>
    </row>
    <row r="27976" spans="2:9" ht="15" customHeight="1" x14ac:dyDescent="0.25">
      <c r="B27976" s="55" t="s">
        <v>412</v>
      </c>
      <c r="C27976" s="46">
        <v>41</v>
      </c>
      <c r="D27976" s="69" t="s">
        <v>29549</v>
      </c>
      <c r="E27976" s="62"/>
      <c r="F27976" s="62" t="str">
        <f>IF(INDEX(I.Gas.P3Y2TotalGasEnergy,41)="","",INDEX(I.Gas.P3Y2TotalGasEnergy,41))</f>
        <v/>
      </c>
      <c r="G27976" s="62"/>
      <c r="H27976" s="46" t="str">
        <f>IF(I.Developer.P3=FALSE,"Complete",IF(I.Product.P3GasToPowerStatus&lt;&gt;"Yes","Complete",IF(AND(I.Gas.P3Y2Count&gt;=41,F27976=""),"Incomplete","Complete")))</f>
        <v>Complete</v>
      </c>
      <c r="I27976" s="48" t="s">
        <v>3155</v>
      </c>
    </row>
    <row r="27977" spans="2:9" ht="15" customHeight="1" x14ac:dyDescent="0.25">
      <c r="B27977" s="55" t="s">
        <v>412</v>
      </c>
      <c r="C27977" s="46">
        <v>42</v>
      </c>
      <c r="D27977" s="69" t="s">
        <v>29549</v>
      </c>
      <c r="E27977" s="62"/>
      <c r="F27977" s="62" t="str">
        <f>IF(INDEX(I.Gas.P3Y2TotalGasEnergy,42)="","",INDEX(I.Gas.P3Y2TotalGasEnergy,42))</f>
        <v/>
      </c>
      <c r="G27977" s="62"/>
      <c r="H27977" s="46" t="str">
        <f>IF(I.Developer.P3=FALSE,"Complete",IF(I.Product.P3GasToPowerStatus&lt;&gt;"Yes","Complete",IF(AND(I.Gas.P3Y2Count&gt;=42,F27977=""),"Incomplete","Complete")))</f>
        <v>Complete</v>
      </c>
      <c r="I27977" s="48" t="s">
        <v>3156</v>
      </c>
    </row>
    <row r="27978" spans="2:9" ht="15" customHeight="1" x14ac:dyDescent="0.25">
      <c r="B27978" s="55" t="s">
        <v>412</v>
      </c>
      <c r="C27978" s="46">
        <v>43</v>
      </c>
      <c r="D27978" s="69" t="s">
        <v>29549</v>
      </c>
      <c r="E27978" s="62"/>
      <c r="F27978" s="62" t="str">
        <f>IF(INDEX(I.Gas.P3Y2TotalGasEnergy,43)="","",INDEX(I.Gas.P3Y2TotalGasEnergy,43))</f>
        <v/>
      </c>
      <c r="G27978" s="62"/>
      <c r="H27978" s="46" t="str">
        <f>IF(I.Developer.P3=FALSE,"Complete",IF(I.Product.P3GasToPowerStatus&lt;&gt;"Yes","Complete",IF(AND(I.Gas.P3Y2Count&gt;=43,F27978=""),"Incomplete","Complete")))</f>
        <v>Complete</v>
      </c>
      <c r="I27978" s="48" t="s">
        <v>3157</v>
      </c>
    </row>
    <row r="27979" spans="2:9" ht="15" customHeight="1" x14ac:dyDescent="0.25">
      <c r="B27979" s="55" t="s">
        <v>412</v>
      </c>
      <c r="C27979" s="46">
        <v>44</v>
      </c>
      <c r="D27979" s="69" t="s">
        <v>29549</v>
      </c>
      <c r="E27979" s="62"/>
      <c r="F27979" s="62" t="str">
        <f>IF(INDEX(I.Gas.P3Y2TotalGasEnergy,44)="","",INDEX(I.Gas.P3Y2TotalGasEnergy,44))</f>
        <v/>
      </c>
      <c r="G27979" s="62"/>
      <c r="H27979" s="46" t="str">
        <f>IF(I.Developer.P3=FALSE,"Complete",IF(I.Product.P3GasToPowerStatus&lt;&gt;"Yes","Complete",IF(AND(I.Gas.P3Y2Count&gt;=44,F27979=""),"Incomplete","Complete")))</f>
        <v>Complete</v>
      </c>
      <c r="I27979" s="48" t="s">
        <v>3158</v>
      </c>
    </row>
    <row r="27980" spans="2:9" ht="15" customHeight="1" x14ac:dyDescent="0.25">
      <c r="B27980" s="55" t="s">
        <v>412</v>
      </c>
      <c r="C27980" s="46">
        <v>45</v>
      </c>
      <c r="D27980" s="69" t="s">
        <v>29549</v>
      </c>
      <c r="E27980" s="62"/>
      <c r="F27980" s="62" t="str">
        <f>IF(INDEX(I.Gas.P3Y2TotalGasEnergy,45)="","",INDEX(I.Gas.P3Y2TotalGasEnergy,45))</f>
        <v/>
      </c>
      <c r="G27980" s="62"/>
      <c r="H27980" s="46" t="str">
        <f>IF(I.Developer.P3=FALSE,"Complete",IF(I.Product.P3GasToPowerStatus&lt;&gt;"Yes","Complete",IF(AND(I.Gas.P3Y2Count&gt;=45,F27980=""),"Incomplete","Complete")))</f>
        <v>Complete</v>
      </c>
      <c r="I27980" s="48" t="s">
        <v>3159</v>
      </c>
    </row>
    <row r="27981" spans="2:9" ht="15" customHeight="1" x14ac:dyDescent="0.25">
      <c r="B27981" s="55" t="s">
        <v>412</v>
      </c>
      <c r="C27981" s="46">
        <v>46</v>
      </c>
      <c r="D27981" s="69" t="s">
        <v>29549</v>
      </c>
      <c r="E27981" s="62"/>
      <c r="F27981" s="62" t="str">
        <f>IF(INDEX(I.Gas.P3Y2TotalGasEnergy,46)="","",INDEX(I.Gas.P3Y2TotalGasEnergy,46))</f>
        <v/>
      </c>
      <c r="G27981" s="62"/>
      <c r="H27981" s="46" t="str">
        <f>IF(I.Developer.P3=FALSE,"Complete",IF(I.Product.P3GasToPowerStatus&lt;&gt;"Yes","Complete",IF(AND(I.Gas.P3Y2Count&gt;=46,F27981=""),"Incomplete","Complete")))</f>
        <v>Complete</v>
      </c>
      <c r="I27981" s="48" t="s">
        <v>3160</v>
      </c>
    </row>
    <row r="27982" spans="2:9" ht="15" customHeight="1" x14ac:dyDescent="0.25">
      <c r="B27982" s="55" t="s">
        <v>412</v>
      </c>
      <c r="C27982" s="46">
        <v>47</v>
      </c>
      <c r="D27982" s="69" t="s">
        <v>29549</v>
      </c>
      <c r="E27982" s="62"/>
      <c r="F27982" s="62" t="str">
        <f>IF(INDEX(I.Gas.P3Y2TotalGasEnergy,47)="","",INDEX(I.Gas.P3Y2TotalGasEnergy,47))</f>
        <v/>
      </c>
      <c r="G27982" s="62"/>
      <c r="H27982" s="46" t="str">
        <f>IF(I.Developer.P3=FALSE,"Complete",IF(I.Product.P3GasToPowerStatus&lt;&gt;"Yes","Complete",IF(AND(I.Gas.P3Y2Count&gt;=47,F27982=""),"Incomplete","Complete")))</f>
        <v>Complete</v>
      </c>
      <c r="I27982" s="48" t="s">
        <v>3161</v>
      </c>
    </row>
    <row r="27983" spans="2:9" ht="15" customHeight="1" x14ac:dyDescent="0.25">
      <c r="B27983" s="55" t="s">
        <v>412</v>
      </c>
      <c r="C27983" s="46">
        <v>48</v>
      </c>
      <c r="D27983" s="69" t="s">
        <v>29549</v>
      </c>
      <c r="E27983" s="62"/>
      <c r="F27983" s="62" t="str">
        <f>IF(INDEX(I.Gas.P3Y2TotalGasEnergy,48)="","",INDEX(I.Gas.P3Y2TotalGasEnergy,48))</f>
        <v/>
      </c>
      <c r="G27983" s="62"/>
      <c r="H27983" s="46" t="str">
        <f>IF(I.Developer.P3=FALSE,"Complete",IF(I.Product.P3GasToPowerStatus&lt;&gt;"Yes","Complete",IF(AND(I.Gas.P3Y2Count&gt;=48,F27983=""),"Incomplete","Complete")))</f>
        <v>Complete</v>
      </c>
      <c r="I27983" s="48" t="s">
        <v>3162</v>
      </c>
    </row>
    <row r="27984" spans="2:9" ht="15" customHeight="1" x14ac:dyDescent="0.25">
      <c r="B27984" s="55" t="s">
        <v>412</v>
      </c>
      <c r="C27984" s="46">
        <v>49</v>
      </c>
      <c r="D27984" s="69" t="s">
        <v>29549</v>
      </c>
      <c r="E27984" s="62"/>
      <c r="F27984" s="62" t="str">
        <f>IF(INDEX(I.Gas.P3Y2TotalGasEnergy,49)="","",INDEX(I.Gas.P3Y2TotalGasEnergy,49))</f>
        <v/>
      </c>
      <c r="G27984" s="62"/>
      <c r="H27984" s="46" t="str">
        <f>IF(I.Developer.P3=FALSE,"Complete",IF(I.Product.P3GasToPowerStatus&lt;&gt;"Yes","Complete",IF(AND(I.Gas.P3Y2Count&gt;=49,F27984=""),"Incomplete","Complete")))</f>
        <v>Complete</v>
      </c>
      <c r="I27984" s="48" t="s">
        <v>3163</v>
      </c>
    </row>
    <row r="27985" spans="2:9" ht="15" customHeight="1" x14ac:dyDescent="0.25">
      <c r="B27985" s="56" t="s">
        <v>412</v>
      </c>
      <c r="C27985" s="57">
        <v>50</v>
      </c>
      <c r="D27985" s="71" t="s">
        <v>29549</v>
      </c>
      <c r="E27985" s="61"/>
      <c r="F27985" s="61" t="str">
        <f>IF(INDEX(I.Gas.P3Y2TotalGasEnergy,50)="","",INDEX(I.Gas.P3Y2TotalGasEnergy,50))</f>
        <v/>
      </c>
      <c r="G27985" s="61"/>
      <c r="H27985" s="57" t="str">
        <f>IF(I.Developer.P3=FALSE,"Complete",IF(I.Product.P3GasToPowerStatus&lt;&gt;"Yes","Complete",IF(AND(I.Gas.P3Y2Count&gt;=50,F27985=""),"Incomplete","Complete")))</f>
        <v>Complete</v>
      </c>
      <c r="I27985" s="49" t="s">
        <v>3164</v>
      </c>
    </row>
    <row r="27986" spans="2:9" ht="15" customHeight="1" x14ac:dyDescent="0.25">
      <c r="B27986" s="55" t="s">
        <v>413</v>
      </c>
      <c r="C27986" s="46">
        <v>1</v>
      </c>
      <c r="D27986" s="69" t="s">
        <v>29550</v>
      </c>
      <c r="E27986" s="62"/>
      <c r="F27986" s="62" t="str">
        <f>IF(INDEX(I.Gas.P3Y2ElectricityGeneration,1)="","",INDEX(I.Gas.P3Y2ElectricityGeneration,1))</f>
        <v/>
      </c>
      <c r="G27986" s="62"/>
      <c r="H27986" s="46" t="str">
        <f>IF(I.Developer.P3=FALSE,"Complete",IF(I.Product.P3GasToPowerStatus&lt;&gt;"Yes","Complete",IF(AND(I.Gas.P3Y2Count&gt;=1,F27986=""),"Incomplete","Complete")))</f>
        <v>Complete</v>
      </c>
      <c r="I27986" s="48" t="s">
        <v>3165</v>
      </c>
    </row>
    <row r="27987" spans="2:9" ht="15" customHeight="1" x14ac:dyDescent="0.25">
      <c r="B27987" s="55" t="s">
        <v>413</v>
      </c>
      <c r="C27987" s="46">
        <v>2</v>
      </c>
      <c r="D27987" s="69" t="s">
        <v>29550</v>
      </c>
      <c r="E27987" s="62"/>
      <c r="F27987" s="62" t="str">
        <f>IF(INDEX(I.Gas.P3Y2ElectricityGeneration,2)="","",INDEX(I.Gas.P3Y2ElectricityGeneration,2))</f>
        <v/>
      </c>
      <c r="G27987" s="62"/>
      <c r="H27987" s="46" t="str">
        <f>IF(I.Developer.P3=FALSE,"Complete",IF(I.Product.P3GasToPowerStatus&lt;&gt;"Yes","Complete",IF(AND(I.Gas.P3Y2Count&gt;=2,F27987=""),"Incomplete","Complete")))</f>
        <v>Complete</v>
      </c>
      <c r="I27987" s="48" t="s">
        <v>3166</v>
      </c>
    </row>
    <row r="27988" spans="2:9" ht="15" customHeight="1" x14ac:dyDescent="0.25">
      <c r="B27988" s="55" t="s">
        <v>413</v>
      </c>
      <c r="C27988" s="46">
        <v>3</v>
      </c>
      <c r="D27988" s="69" t="s">
        <v>29550</v>
      </c>
      <c r="E27988" s="62"/>
      <c r="F27988" s="62" t="str">
        <f>IF(INDEX(I.Gas.P3Y2ElectricityGeneration,3)="","",INDEX(I.Gas.P3Y2ElectricityGeneration,3))</f>
        <v/>
      </c>
      <c r="G27988" s="62"/>
      <c r="H27988" s="46" t="str">
        <f>IF(I.Developer.P3=FALSE,"Complete",IF(I.Product.P3GasToPowerStatus&lt;&gt;"Yes","Complete",IF(AND(I.Gas.P3Y2Count&gt;=3,F27988=""),"Incomplete","Complete")))</f>
        <v>Complete</v>
      </c>
      <c r="I27988" s="48" t="s">
        <v>3167</v>
      </c>
    </row>
    <row r="27989" spans="2:9" ht="15" customHeight="1" x14ac:dyDescent="0.25">
      <c r="B27989" s="55" t="s">
        <v>413</v>
      </c>
      <c r="C27989" s="46">
        <v>4</v>
      </c>
      <c r="D27989" s="69" t="s">
        <v>29550</v>
      </c>
      <c r="E27989" s="62"/>
      <c r="F27989" s="62" t="str">
        <f>IF(INDEX(I.Gas.P3Y2ElectricityGeneration,4)="","",INDEX(I.Gas.P3Y2ElectricityGeneration,4))</f>
        <v/>
      </c>
      <c r="G27989" s="62"/>
      <c r="H27989" s="46" t="str">
        <f>IF(I.Developer.P3=FALSE,"Complete",IF(I.Product.P3GasToPowerStatus&lt;&gt;"Yes","Complete",IF(AND(I.Gas.P3Y2Count&gt;=4,F27989=""),"Incomplete","Complete")))</f>
        <v>Complete</v>
      </c>
      <c r="I27989" s="48" t="s">
        <v>3168</v>
      </c>
    </row>
    <row r="27990" spans="2:9" ht="15" customHeight="1" x14ac:dyDescent="0.25">
      <c r="B27990" s="55" t="s">
        <v>413</v>
      </c>
      <c r="C27990" s="46">
        <v>5</v>
      </c>
      <c r="D27990" s="69" t="s">
        <v>29550</v>
      </c>
      <c r="E27990" s="62"/>
      <c r="F27990" s="62" t="str">
        <f>IF(INDEX(I.Gas.P3Y2ElectricityGeneration,5)="","",INDEX(I.Gas.P3Y2ElectricityGeneration,5))</f>
        <v/>
      </c>
      <c r="G27990" s="62"/>
      <c r="H27990" s="46" t="str">
        <f>IF(I.Developer.P3=FALSE,"Complete",IF(I.Product.P3GasToPowerStatus&lt;&gt;"Yes","Complete",IF(AND(I.Gas.P3Y2Count&gt;=5,F27990=""),"Incomplete","Complete")))</f>
        <v>Complete</v>
      </c>
      <c r="I27990" s="48" t="s">
        <v>3169</v>
      </c>
    </row>
    <row r="27991" spans="2:9" ht="15" customHeight="1" x14ac:dyDescent="0.25">
      <c r="B27991" s="55" t="s">
        <v>413</v>
      </c>
      <c r="C27991" s="46">
        <v>6</v>
      </c>
      <c r="D27991" s="69" t="s">
        <v>29550</v>
      </c>
      <c r="E27991" s="62"/>
      <c r="F27991" s="62" t="str">
        <f>IF(INDEX(I.Gas.P3Y2ElectricityGeneration,6)="","",INDEX(I.Gas.P3Y2ElectricityGeneration,6))</f>
        <v/>
      </c>
      <c r="G27991" s="62"/>
      <c r="H27991" s="46" t="str">
        <f>IF(I.Developer.P3=FALSE,"Complete",IF(I.Product.P3GasToPowerStatus&lt;&gt;"Yes","Complete",IF(AND(I.Gas.P3Y2Count&gt;=6,F27991=""),"Incomplete","Complete")))</f>
        <v>Complete</v>
      </c>
      <c r="I27991" s="48" t="s">
        <v>3170</v>
      </c>
    </row>
    <row r="27992" spans="2:9" ht="15" customHeight="1" x14ac:dyDescent="0.25">
      <c r="B27992" s="55" t="s">
        <v>413</v>
      </c>
      <c r="C27992" s="46">
        <v>7</v>
      </c>
      <c r="D27992" s="69" t="s">
        <v>29550</v>
      </c>
      <c r="E27992" s="62"/>
      <c r="F27992" s="62" t="str">
        <f>IF(INDEX(I.Gas.P3Y2ElectricityGeneration,7)="","",INDEX(I.Gas.P3Y2ElectricityGeneration,7))</f>
        <v/>
      </c>
      <c r="G27992" s="62"/>
      <c r="H27992" s="46" t="str">
        <f>IF(I.Developer.P3=FALSE,"Complete",IF(I.Product.P3GasToPowerStatus&lt;&gt;"Yes","Complete",IF(AND(I.Gas.P3Y2Count&gt;=7,F27992=""),"Incomplete","Complete")))</f>
        <v>Complete</v>
      </c>
      <c r="I27992" s="48" t="s">
        <v>3171</v>
      </c>
    </row>
    <row r="27993" spans="2:9" ht="15" customHeight="1" x14ac:dyDescent="0.25">
      <c r="B27993" s="55" t="s">
        <v>413</v>
      </c>
      <c r="C27993" s="46">
        <v>8</v>
      </c>
      <c r="D27993" s="69" t="s">
        <v>29550</v>
      </c>
      <c r="E27993" s="62"/>
      <c r="F27993" s="62" t="str">
        <f>IF(INDEX(I.Gas.P3Y2ElectricityGeneration,8)="","",INDEX(I.Gas.P3Y2ElectricityGeneration,8))</f>
        <v/>
      </c>
      <c r="G27993" s="62"/>
      <c r="H27993" s="46" t="str">
        <f>IF(I.Developer.P3=FALSE,"Complete",IF(I.Product.P3GasToPowerStatus&lt;&gt;"Yes","Complete",IF(AND(I.Gas.P3Y2Count&gt;=8,F27993=""),"Incomplete","Complete")))</f>
        <v>Complete</v>
      </c>
      <c r="I27993" s="48" t="s">
        <v>3172</v>
      </c>
    </row>
    <row r="27994" spans="2:9" ht="15" customHeight="1" x14ac:dyDescent="0.25">
      <c r="B27994" s="55" t="s">
        <v>413</v>
      </c>
      <c r="C27994" s="46">
        <v>9</v>
      </c>
      <c r="D27994" s="69" t="s">
        <v>29550</v>
      </c>
      <c r="E27994" s="62"/>
      <c r="F27994" s="62" t="str">
        <f>IF(INDEX(I.Gas.P3Y2ElectricityGeneration,9)="","",INDEX(I.Gas.P3Y2ElectricityGeneration,9))</f>
        <v/>
      </c>
      <c r="G27994" s="62"/>
      <c r="H27994" s="46" t="str">
        <f>IF(I.Developer.P3=FALSE,"Complete",IF(I.Product.P3GasToPowerStatus&lt;&gt;"Yes","Complete",IF(AND(I.Gas.P3Y2Count&gt;=9,F27994=""),"Incomplete","Complete")))</f>
        <v>Complete</v>
      </c>
      <c r="I27994" s="48" t="s">
        <v>3173</v>
      </c>
    </row>
    <row r="27995" spans="2:9" ht="15" customHeight="1" x14ac:dyDescent="0.25">
      <c r="B27995" s="55" t="s">
        <v>413</v>
      </c>
      <c r="C27995" s="46">
        <v>10</v>
      </c>
      <c r="D27995" s="69" t="s">
        <v>29550</v>
      </c>
      <c r="E27995" s="62"/>
      <c r="F27995" s="62" t="str">
        <f>IF(INDEX(I.Gas.P3Y2ElectricityGeneration,10)="","",INDEX(I.Gas.P3Y2ElectricityGeneration,10))</f>
        <v/>
      </c>
      <c r="G27995" s="62"/>
      <c r="H27995" s="46" t="str">
        <f>IF(I.Developer.P3=FALSE,"Complete",IF(I.Product.P3GasToPowerStatus&lt;&gt;"Yes","Complete",IF(AND(I.Gas.P3Y2Count&gt;=10,F27995=""),"Incomplete","Complete")))</f>
        <v>Complete</v>
      </c>
      <c r="I27995" s="48" t="s">
        <v>3174</v>
      </c>
    </row>
    <row r="27996" spans="2:9" ht="15" customHeight="1" x14ac:dyDescent="0.25">
      <c r="B27996" s="55" t="s">
        <v>413</v>
      </c>
      <c r="C27996" s="46">
        <v>11</v>
      </c>
      <c r="D27996" s="69" t="s">
        <v>29550</v>
      </c>
      <c r="E27996" s="62"/>
      <c r="F27996" s="62" t="str">
        <f>IF(INDEX(I.Gas.P3Y2ElectricityGeneration,11)="","",INDEX(I.Gas.P3Y2ElectricityGeneration,11))</f>
        <v/>
      </c>
      <c r="G27996" s="62"/>
      <c r="H27996" s="46" t="str">
        <f>IF(I.Developer.P3=FALSE,"Complete",IF(I.Product.P3GasToPowerStatus&lt;&gt;"Yes","Complete",IF(AND(I.Gas.P3Y2Count&gt;=11,F27996=""),"Incomplete","Complete")))</f>
        <v>Complete</v>
      </c>
      <c r="I27996" s="48" t="s">
        <v>3175</v>
      </c>
    </row>
    <row r="27997" spans="2:9" ht="15" customHeight="1" x14ac:dyDescent="0.25">
      <c r="B27997" s="55" t="s">
        <v>413</v>
      </c>
      <c r="C27997" s="46">
        <v>12</v>
      </c>
      <c r="D27997" s="69" t="s">
        <v>29550</v>
      </c>
      <c r="E27997" s="62"/>
      <c r="F27997" s="62" t="str">
        <f>IF(INDEX(I.Gas.P3Y2ElectricityGeneration,12)="","",INDEX(I.Gas.P3Y2ElectricityGeneration,12))</f>
        <v/>
      </c>
      <c r="G27997" s="62"/>
      <c r="H27997" s="46" t="str">
        <f>IF(I.Developer.P3=FALSE,"Complete",IF(I.Product.P3GasToPowerStatus&lt;&gt;"Yes","Complete",IF(AND(I.Gas.P3Y2Count&gt;=12,F27997=""),"Incomplete","Complete")))</f>
        <v>Complete</v>
      </c>
      <c r="I27997" s="48" t="s">
        <v>3176</v>
      </c>
    </row>
    <row r="27998" spans="2:9" ht="15" customHeight="1" x14ac:dyDescent="0.25">
      <c r="B27998" s="55" t="s">
        <v>413</v>
      </c>
      <c r="C27998" s="46">
        <v>13</v>
      </c>
      <c r="D27998" s="69" t="s">
        <v>29550</v>
      </c>
      <c r="E27998" s="62"/>
      <c r="F27998" s="62" t="str">
        <f>IF(INDEX(I.Gas.P3Y2ElectricityGeneration,13)="","",INDEX(I.Gas.P3Y2ElectricityGeneration,13))</f>
        <v/>
      </c>
      <c r="G27998" s="62"/>
      <c r="H27998" s="46" t="str">
        <f>IF(I.Developer.P3=FALSE,"Complete",IF(I.Product.P3GasToPowerStatus&lt;&gt;"Yes","Complete",IF(AND(I.Gas.P3Y2Count&gt;=13,F27998=""),"Incomplete","Complete")))</f>
        <v>Complete</v>
      </c>
      <c r="I27998" s="48" t="s">
        <v>3177</v>
      </c>
    </row>
    <row r="27999" spans="2:9" ht="15" customHeight="1" x14ac:dyDescent="0.25">
      <c r="B27999" s="55" t="s">
        <v>413</v>
      </c>
      <c r="C27999" s="46">
        <v>14</v>
      </c>
      <c r="D27999" s="69" t="s">
        <v>29550</v>
      </c>
      <c r="E27999" s="62"/>
      <c r="F27999" s="62" t="str">
        <f>IF(INDEX(I.Gas.P3Y2ElectricityGeneration,14)="","",INDEX(I.Gas.P3Y2ElectricityGeneration,14))</f>
        <v/>
      </c>
      <c r="G27999" s="62"/>
      <c r="H27999" s="46" t="str">
        <f>IF(I.Developer.P3=FALSE,"Complete",IF(I.Product.P3GasToPowerStatus&lt;&gt;"Yes","Complete",IF(AND(I.Gas.P3Y2Count&gt;=14,F27999=""),"Incomplete","Complete")))</f>
        <v>Complete</v>
      </c>
      <c r="I27999" s="48" t="s">
        <v>3178</v>
      </c>
    </row>
    <row r="28000" spans="2:9" ht="15" customHeight="1" x14ac:dyDescent="0.25">
      <c r="B28000" s="55" t="s">
        <v>413</v>
      </c>
      <c r="C28000" s="46">
        <v>15</v>
      </c>
      <c r="D28000" s="69" t="s">
        <v>29550</v>
      </c>
      <c r="E28000" s="62"/>
      <c r="F28000" s="62" t="str">
        <f>IF(INDEX(I.Gas.P3Y2ElectricityGeneration,15)="","",INDEX(I.Gas.P3Y2ElectricityGeneration,15))</f>
        <v/>
      </c>
      <c r="G28000" s="62"/>
      <c r="H28000" s="46" t="str">
        <f>IF(I.Developer.P3=FALSE,"Complete",IF(I.Product.P3GasToPowerStatus&lt;&gt;"Yes","Complete",IF(AND(I.Gas.P3Y2Count&gt;=15,F28000=""),"Incomplete","Complete")))</f>
        <v>Complete</v>
      </c>
      <c r="I28000" s="48" t="s">
        <v>3179</v>
      </c>
    </row>
    <row r="28001" spans="2:9" ht="15" customHeight="1" x14ac:dyDescent="0.25">
      <c r="B28001" s="55" t="s">
        <v>413</v>
      </c>
      <c r="C28001" s="46">
        <v>16</v>
      </c>
      <c r="D28001" s="69" t="s">
        <v>29550</v>
      </c>
      <c r="E28001" s="62"/>
      <c r="F28001" s="62" t="str">
        <f>IF(INDEX(I.Gas.P3Y2ElectricityGeneration,16)="","",INDEX(I.Gas.P3Y2ElectricityGeneration,16))</f>
        <v/>
      </c>
      <c r="G28001" s="62"/>
      <c r="H28001" s="46" t="str">
        <f>IF(I.Developer.P3=FALSE,"Complete",IF(I.Product.P3GasToPowerStatus&lt;&gt;"Yes","Complete",IF(AND(I.Gas.P3Y2Count&gt;=16,F28001=""),"Incomplete","Complete")))</f>
        <v>Complete</v>
      </c>
      <c r="I28001" s="48" t="s">
        <v>3180</v>
      </c>
    </row>
    <row r="28002" spans="2:9" ht="15" customHeight="1" x14ac:dyDescent="0.25">
      <c r="B28002" s="55" t="s">
        <v>413</v>
      </c>
      <c r="C28002" s="46">
        <v>17</v>
      </c>
      <c r="D28002" s="69" t="s">
        <v>29550</v>
      </c>
      <c r="E28002" s="62"/>
      <c r="F28002" s="62" t="str">
        <f>IF(INDEX(I.Gas.P3Y2ElectricityGeneration,17)="","",INDEX(I.Gas.P3Y2ElectricityGeneration,17))</f>
        <v/>
      </c>
      <c r="G28002" s="62"/>
      <c r="H28002" s="46" t="str">
        <f>IF(I.Developer.P3=FALSE,"Complete",IF(I.Product.P3GasToPowerStatus&lt;&gt;"Yes","Complete",IF(AND(I.Gas.P3Y2Count&gt;=17,F28002=""),"Incomplete","Complete")))</f>
        <v>Complete</v>
      </c>
      <c r="I28002" s="48" t="s">
        <v>3181</v>
      </c>
    </row>
    <row r="28003" spans="2:9" ht="15" customHeight="1" x14ac:dyDescent="0.25">
      <c r="B28003" s="55" t="s">
        <v>413</v>
      </c>
      <c r="C28003" s="46">
        <v>18</v>
      </c>
      <c r="D28003" s="69" t="s">
        <v>29550</v>
      </c>
      <c r="E28003" s="62"/>
      <c r="F28003" s="62" t="str">
        <f>IF(INDEX(I.Gas.P3Y2ElectricityGeneration,18)="","",INDEX(I.Gas.P3Y2ElectricityGeneration,18))</f>
        <v/>
      </c>
      <c r="G28003" s="62"/>
      <c r="H28003" s="46" t="str">
        <f>IF(I.Developer.P3=FALSE,"Complete",IF(I.Product.P3GasToPowerStatus&lt;&gt;"Yes","Complete",IF(AND(I.Gas.P3Y2Count&gt;=18,F28003=""),"Incomplete","Complete")))</f>
        <v>Complete</v>
      </c>
      <c r="I28003" s="48" t="s">
        <v>3182</v>
      </c>
    </row>
    <row r="28004" spans="2:9" ht="15" customHeight="1" x14ac:dyDescent="0.25">
      <c r="B28004" s="55" t="s">
        <v>413</v>
      </c>
      <c r="C28004" s="46">
        <v>19</v>
      </c>
      <c r="D28004" s="69" t="s">
        <v>29550</v>
      </c>
      <c r="E28004" s="62"/>
      <c r="F28004" s="62" t="str">
        <f>IF(INDEX(I.Gas.P3Y2ElectricityGeneration,19)="","",INDEX(I.Gas.P3Y2ElectricityGeneration,19))</f>
        <v/>
      </c>
      <c r="G28004" s="62"/>
      <c r="H28004" s="46" t="str">
        <f>IF(I.Developer.P3=FALSE,"Complete",IF(I.Product.P3GasToPowerStatus&lt;&gt;"Yes","Complete",IF(AND(I.Gas.P3Y2Count&gt;=19,F28004=""),"Incomplete","Complete")))</f>
        <v>Complete</v>
      </c>
      <c r="I28004" s="48" t="s">
        <v>3183</v>
      </c>
    </row>
    <row r="28005" spans="2:9" ht="15" customHeight="1" x14ac:dyDescent="0.25">
      <c r="B28005" s="55" t="s">
        <v>413</v>
      </c>
      <c r="C28005" s="46">
        <v>20</v>
      </c>
      <c r="D28005" s="69" t="s">
        <v>29550</v>
      </c>
      <c r="E28005" s="62"/>
      <c r="F28005" s="62" t="str">
        <f>IF(INDEX(I.Gas.P3Y2ElectricityGeneration,20)="","",INDEX(I.Gas.P3Y2ElectricityGeneration,20))</f>
        <v/>
      </c>
      <c r="G28005" s="62"/>
      <c r="H28005" s="46" t="str">
        <f>IF(I.Developer.P3=FALSE,"Complete",IF(I.Product.P3GasToPowerStatus&lt;&gt;"Yes","Complete",IF(AND(I.Gas.P3Y2Count&gt;=20,F28005=""),"Incomplete","Complete")))</f>
        <v>Complete</v>
      </c>
      <c r="I28005" s="48" t="s">
        <v>3184</v>
      </c>
    </row>
    <row r="28006" spans="2:9" ht="15" customHeight="1" x14ac:dyDescent="0.25">
      <c r="B28006" s="55" t="s">
        <v>413</v>
      </c>
      <c r="C28006" s="46">
        <v>21</v>
      </c>
      <c r="D28006" s="69" t="s">
        <v>29550</v>
      </c>
      <c r="E28006" s="62"/>
      <c r="F28006" s="62" t="str">
        <f>IF(INDEX(I.Gas.P3Y2ElectricityGeneration,21)="","",INDEX(I.Gas.P3Y2ElectricityGeneration,21))</f>
        <v/>
      </c>
      <c r="G28006" s="62"/>
      <c r="H28006" s="46" t="str">
        <f>IF(I.Developer.P3=FALSE,"Complete",IF(I.Product.P3GasToPowerStatus&lt;&gt;"Yes","Complete",IF(AND(I.Gas.P3Y2Count&gt;=21,F28006=""),"Incomplete","Complete")))</f>
        <v>Complete</v>
      </c>
      <c r="I28006" s="48" t="s">
        <v>3185</v>
      </c>
    </row>
    <row r="28007" spans="2:9" ht="15" customHeight="1" x14ac:dyDescent="0.25">
      <c r="B28007" s="55" t="s">
        <v>413</v>
      </c>
      <c r="C28007" s="46">
        <v>22</v>
      </c>
      <c r="D28007" s="69" t="s">
        <v>29550</v>
      </c>
      <c r="E28007" s="62"/>
      <c r="F28007" s="62" t="str">
        <f>IF(INDEX(I.Gas.P3Y2ElectricityGeneration,22)="","",INDEX(I.Gas.P3Y2ElectricityGeneration,22))</f>
        <v/>
      </c>
      <c r="G28007" s="62"/>
      <c r="H28007" s="46" t="str">
        <f>IF(I.Developer.P3=FALSE,"Complete",IF(I.Product.P3GasToPowerStatus&lt;&gt;"Yes","Complete",IF(AND(I.Gas.P3Y2Count&gt;=22,F28007=""),"Incomplete","Complete")))</f>
        <v>Complete</v>
      </c>
      <c r="I28007" s="48" t="s">
        <v>3186</v>
      </c>
    </row>
    <row r="28008" spans="2:9" ht="15" customHeight="1" x14ac:dyDescent="0.25">
      <c r="B28008" s="55" t="s">
        <v>413</v>
      </c>
      <c r="C28008" s="46">
        <v>23</v>
      </c>
      <c r="D28008" s="69" t="s">
        <v>29550</v>
      </c>
      <c r="E28008" s="62"/>
      <c r="F28008" s="62" t="str">
        <f>IF(INDEX(I.Gas.P3Y2ElectricityGeneration,23)="","",INDEX(I.Gas.P3Y2ElectricityGeneration,23))</f>
        <v/>
      </c>
      <c r="G28008" s="62"/>
      <c r="H28008" s="46" t="str">
        <f>IF(I.Developer.P3=FALSE,"Complete",IF(I.Product.P3GasToPowerStatus&lt;&gt;"Yes","Complete",IF(AND(I.Gas.P3Y2Count&gt;=23,F28008=""),"Incomplete","Complete")))</f>
        <v>Complete</v>
      </c>
      <c r="I28008" s="48" t="s">
        <v>3187</v>
      </c>
    </row>
    <row r="28009" spans="2:9" ht="15" customHeight="1" x14ac:dyDescent="0.25">
      <c r="B28009" s="55" t="s">
        <v>413</v>
      </c>
      <c r="C28009" s="46">
        <v>24</v>
      </c>
      <c r="D28009" s="69" t="s">
        <v>29550</v>
      </c>
      <c r="E28009" s="62"/>
      <c r="F28009" s="62" t="str">
        <f>IF(INDEX(I.Gas.P3Y2ElectricityGeneration,24)="","",INDEX(I.Gas.P3Y2ElectricityGeneration,24))</f>
        <v/>
      </c>
      <c r="G28009" s="62"/>
      <c r="H28009" s="46" t="str">
        <f>IF(I.Developer.P3=FALSE,"Complete",IF(I.Product.P3GasToPowerStatus&lt;&gt;"Yes","Complete",IF(AND(I.Gas.P3Y2Count&gt;=24,F28009=""),"Incomplete","Complete")))</f>
        <v>Complete</v>
      </c>
      <c r="I28009" s="48" t="s">
        <v>3188</v>
      </c>
    </row>
    <row r="28010" spans="2:9" ht="15" customHeight="1" x14ac:dyDescent="0.25">
      <c r="B28010" s="55" t="s">
        <v>413</v>
      </c>
      <c r="C28010" s="46">
        <v>25</v>
      </c>
      <c r="D28010" s="69" t="s">
        <v>29550</v>
      </c>
      <c r="E28010" s="62"/>
      <c r="F28010" s="62" t="str">
        <f>IF(INDEX(I.Gas.P3Y2ElectricityGeneration,25)="","",INDEX(I.Gas.P3Y2ElectricityGeneration,25))</f>
        <v/>
      </c>
      <c r="G28010" s="62"/>
      <c r="H28010" s="46" t="str">
        <f>IF(I.Developer.P3=FALSE,"Complete",IF(I.Product.P3GasToPowerStatus&lt;&gt;"Yes","Complete",IF(AND(I.Gas.P3Y2Count&gt;=25,F28010=""),"Incomplete","Complete")))</f>
        <v>Complete</v>
      </c>
      <c r="I28010" s="48" t="s">
        <v>3189</v>
      </c>
    </row>
    <row r="28011" spans="2:9" ht="15" customHeight="1" x14ac:dyDescent="0.25">
      <c r="B28011" s="55" t="s">
        <v>413</v>
      </c>
      <c r="C28011" s="46">
        <v>26</v>
      </c>
      <c r="D28011" s="69" t="s">
        <v>29550</v>
      </c>
      <c r="E28011" s="62"/>
      <c r="F28011" s="62" t="str">
        <f>IF(INDEX(I.Gas.P3Y2ElectricityGeneration,26)="","",INDEX(I.Gas.P3Y2ElectricityGeneration,26))</f>
        <v/>
      </c>
      <c r="G28011" s="62"/>
      <c r="H28011" s="46" t="str">
        <f>IF(I.Developer.P3=FALSE,"Complete",IF(I.Product.P3GasToPowerStatus&lt;&gt;"Yes","Complete",IF(AND(I.Gas.P3Y2Count&gt;=26,F28011=""),"Incomplete","Complete")))</f>
        <v>Complete</v>
      </c>
      <c r="I28011" s="48" t="s">
        <v>3190</v>
      </c>
    </row>
    <row r="28012" spans="2:9" ht="15" customHeight="1" x14ac:dyDescent="0.25">
      <c r="B28012" s="55" t="s">
        <v>413</v>
      </c>
      <c r="C28012" s="46">
        <v>27</v>
      </c>
      <c r="D28012" s="69" t="s">
        <v>29550</v>
      </c>
      <c r="E28012" s="62"/>
      <c r="F28012" s="62" t="str">
        <f>IF(INDEX(I.Gas.P3Y2ElectricityGeneration,27)="","",INDEX(I.Gas.P3Y2ElectricityGeneration,27))</f>
        <v/>
      </c>
      <c r="G28012" s="62"/>
      <c r="H28012" s="46" t="str">
        <f>IF(I.Developer.P3=FALSE,"Complete",IF(I.Product.P3GasToPowerStatus&lt;&gt;"Yes","Complete",IF(AND(I.Gas.P3Y2Count&gt;=27,F28012=""),"Incomplete","Complete")))</f>
        <v>Complete</v>
      </c>
      <c r="I28012" s="48" t="s">
        <v>3191</v>
      </c>
    </row>
    <row r="28013" spans="2:9" ht="15" customHeight="1" x14ac:dyDescent="0.25">
      <c r="B28013" s="55" t="s">
        <v>413</v>
      </c>
      <c r="C28013" s="46">
        <v>28</v>
      </c>
      <c r="D28013" s="69" t="s">
        <v>29550</v>
      </c>
      <c r="E28013" s="62"/>
      <c r="F28013" s="62" t="str">
        <f>IF(INDEX(I.Gas.P3Y2ElectricityGeneration,28)="","",INDEX(I.Gas.P3Y2ElectricityGeneration,28))</f>
        <v/>
      </c>
      <c r="G28013" s="62"/>
      <c r="H28013" s="46" t="str">
        <f>IF(I.Developer.P3=FALSE,"Complete",IF(I.Product.P3GasToPowerStatus&lt;&gt;"Yes","Complete",IF(AND(I.Gas.P3Y2Count&gt;=28,F28013=""),"Incomplete","Complete")))</f>
        <v>Complete</v>
      </c>
      <c r="I28013" s="48" t="s">
        <v>3192</v>
      </c>
    </row>
    <row r="28014" spans="2:9" ht="15" customHeight="1" x14ac:dyDescent="0.25">
      <c r="B28014" s="55" t="s">
        <v>413</v>
      </c>
      <c r="C28014" s="46">
        <v>29</v>
      </c>
      <c r="D28014" s="69" t="s">
        <v>29550</v>
      </c>
      <c r="E28014" s="62"/>
      <c r="F28014" s="62" t="str">
        <f>IF(INDEX(I.Gas.P3Y2ElectricityGeneration,29)="","",INDEX(I.Gas.P3Y2ElectricityGeneration,29))</f>
        <v/>
      </c>
      <c r="G28014" s="62"/>
      <c r="H28014" s="46" t="str">
        <f>IF(I.Developer.P3=FALSE,"Complete",IF(I.Product.P3GasToPowerStatus&lt;&gt;"Yes","Complete",IF(AND(I.Gas.P3Y2Count&gt;=29,F28014=""),"Incomplete","Complete")))</f>
        <v>Complete</v>
      </c>
      <c r="I28014" s="48" t="s">
        <v>3193</v>
      </c>
    </row>
    <row r="28015" spans="2:9" ht="15" customHeight="1" x14ac:dyDescent="0.25">
      <c r="B28015" s="55" t="s">
        <v>413</v>
      </c>
      <c r="C28015" s="46">
        <v>30</v>
      </c>
      <c r="D28015" s="69" t="s">
        <v>29550</v>
      </c>
      <c r="E28015" s="62"/>
      <c r="F28015" s="62" t="str">
        <f>IF(INDEX(I.Gas.P3Y2ElectricityGeneration,30)="","",INDEX(I.Gas.P3Y2ElectricityGeneration,30))</f>
        <v/>
      </c>
      <c r="G28015" s="62"/>
      <c r="H28015" s="46" t="str">
        <f>IF(I.Developer.P3=FALSE,"Complete",IF(I.Product.P3GasToPowerStatus&lt;&gt;"Yes","Complete",IF(AND(I.Gas.P3Y2Count&gt;=30,F28015=""),"Incomplete","Complete")))</f>
        <v>Complete</v>
      </c>
      <c r="I28015" s="48" t="s">
        <v>3194</v>
      </c>
    </row>
    <row r="28016" spans="2:9" ht="15" customHeight="1" x14ac:dyDescent="0.25">
      <c r="B28016" s="55" t="s">
        <v>413</v>
      </c>
      <c r="C28016" s="46">
        <v>31</v>
      </c>
      <c r="D28016" s="69" t="s">
        <v>29550</v>
      </c>
      <c r="E28016" s="62"/>
      <c r="F28016" s="62" t="str">
        <f>IF(INDEX(I.Gas.P3Y2ElectricityGeneration,31)="","",INDEX(I.Gas.P3Y2ElectricityGeneration,31))</f>
        <v/>
      </c>
      <c r="G28016" s="62"/>
      <c r="H28016" s="46" t="str">
        <f>IF(I.Developer.P3=FALSE,"Complete",IF(I.Product.P3GasToPowerStatus&lt;&gt;"Yes","Complete",IF(AND(I.Gas.P3Y2Count&gt;=31,F28016=""),"Incomplete","Complete")))</f>
        <v>Complete</v>
      </c>
      <c r="I28016" s="48" t="s">
        <v>3195</v>
      </c>
    </row>
    <row r="28017" spans="2:9" ht="15" customHeight="1" x14ac:dyDescent="0.25">
      <c r="B28017" s="55" t="s">
        <v>413</v>
      </c>
      <c r="C28017" s="46">
        <v>32</v>
      </c>
      <c r="D28017" s="69" t="s">
        <v>29550</v>
      </c>
      <c r="E28017" s="62"/>
      <c r="F28017" s="62" t="str">
        <f>IF(INDEX(I.Gas.P3Y2ElectricityGeneration,32)="","",INDEX(I.Gas.P3Y2ElectricityGeneration,32))</f>
        <v/>
      </c>
      <c r="G28017" s="62"/>
      <c r="H28017" s="46" t="str">
        <f>IF(I.Developer.P3=FALSE,"Complete",IF(I.Product.P3GasToPowerStatus&lt;&gt;"Yes","Complete",IF(AND(I.Gas.P3Y2Count&gt;=32,F28017=""),"Incomplete","Complete")))</f>
        <v>Complete</v>
      </c>
      <c r="I28017" s="48" t="s">
        <v>3196</v>
      </c>
    </row>
    <row r="28018" spans="2:9" ht="15" customHeight="1" x14ac:dyDescent="0.25">
      <c r="B28018" s="55" t="s">
        <v>413</v>
      </c>
      <c r="C28018" s="46">
        <v>33</v>
      </c>
      <c r="D28018" s="69" t="s">
        <v>29550</v>
      </c>
      <c r="E28018" s="62"/>
      <c r="F28018" s="62" t="str">
        <f>IF(INDEX(I.Gas.P3Y2ElectricityGeneration,33)="","",INDEX(I.Gas.P3Y2ElectricityGeneration,33))</f>
        <v/>
      </c>
      <c r="G28018" s="62"/>
      <c r="H28018" s="46" t="str">
        <f>IF(I.Developer.P3=FALSE,"Complete",IF(I.Product.P3GasToPowerStatus&lt;&gt;"Yes","Complete",IF(AND(I.Gas.P3Y2Count&gt;=33,F28018=""),"Incomplete","Complete")))</f>
        <v>Complete</v>
      </c>
      <c r="I28018" s="48" t="s">
        <v>3197</v>
      </c>
    </row>
    <row r="28019" spans="2:9" ht="15" customHeight="1" x14ac:dyDescent="0.25">
      <c r="B28019" s="55" t="s">
        <v>413</v>
      </c>
      <c r="C28019" s="46">
        <v>34</v>
      </c>
      <c r="D28019" s="69" t="s">
        <v>29550</v>
      </c>
      <c r="E28019" s="62"/>
      <c r="F28019" s="62" t="str">
        <f>IF(INDEX(I.Gas.P3Y2ElectricityGeneration,34)="","",INDEX(I.Gas.P3Y2ElectricityGeneration,34))</f>
        <v/>
      </c>
      <c r="G28019" s="62"/>
      <c r="H28019" s="46" t="str">
        <f>IF(I.Developer.P3=FALSE,"Complete",IF(I.Product.P3GasToPowerStatus&lt;&gt;"Yes","Complete",IF(AND(I.Gas.P3Y2Count&gt;=34,F28019=""),"Incomplete","Complete")))</f>
        <v>Complete</v>
      </c>
      <c r="I28019" s="48" t="s">
        <v>3198</v>
      </c>
    </row>
    <row r="28020" spans="2:9" ht="15" customHeight="1" x14ac:dyDescent="0.25">
      <c r="B28020" s="55" t="s">
        <v>413</v>
      </c>
      <c r="C28020" s="46">
        <v>35</v>
      </c>
      <c r="D28020" s="69" t="s">
        <v>29550</v>
      </c>
      <c r="E28020" s="62"/>
      <c r="F28020" s="62" t="str">
        <f>IF(INDEX(I.Gas.P3Y2ElectricityGeneration,35)="","",INDEX(I.Gas.P3Y2ElectricityGeneration,35))</f>
        <v/>
      </c>
      <c r="G28020" s="62"/>
      <c r="H28020" s="46" t="str">
        <f>IF(I.Developer.P3=FALSE,"Complete",IF(I.Product.P3GasToPowerStatus&lt;&gt;"Yes","Complete",IF(AND(I.Gas.P3Y2Count&gt;=35,F28020=""),"Incomplete","Complete")))</f>
        <v>Complete</v>
      </c>
      <c r="I28020" s="48" t="s">
        <v>3199</v>
      </c>
    </row>
    <row r="28021" spans="2:9" ht="15" customHeight="1" x14ac:dyDescent="0.25">
      <c r="B28021" s="55" t="s">
        <v>413</v>
      </c>
      <c r="C28021" s="46">
        <v>36</v>
      </c>
      <c r="D28021" s="69" t="s">
        <v>29550</v>
      </c>
      <c r="E28021" s="62"/>
      <c r="F28021" s="62" t="str">
        <f>IF(INDEX(I.Gas.P3Y2ElectricityGeneration,36)="","",INDEX(I.Gas.P3Y2ElectricityGeneration,36))</f>
        <v/>
      </c>
      <c r="G28021" s="62"/>
      <c r="H28021" s="46" t="str">
        <f>IF(I.Developer.P3=FALSE,"Complete",IF(I.Product.P3GasToPowerStatus&lt;&gt;"Yes","Complete",IF(AND(I.Gas.P3Y2Count&gt;=36,F28021=""),"Incomplete","Complete")))</f>
        <v>Complete</v>
      </c>
      <c r="I28021" s="48" t="s">
        <v>3200</v>
      </c>
    </row>
    <row r="28022" spans="2:9" ht="15" customHeight="1" x14ac:dyDescent="0.25">
      <c r="B28022" s="55" t="s">
        <v>413</v>
      </c>
      <c r="C28022" s="46">
        <v>37</v>
      </c>
      <c r="D28022" s="69" t="s">
        <v>29550</v>
      </c>
      <c r="E28022" s="62"/>
      <c r="F28022" s="62" t="str">
        <f>IF(INDEX(I.Gas.P3Y2ElectricityGeneration,37)="","",INDEX(I.Gas.P3Y2ElectricityGeneration,37))</f>
        <v/>
      </c>
      <c r="G28022" s="62"/>
      <c r="H28022" s="46" t="str">
        <f>IF(I.Developer.P3=FALSE,"Complete",IF(I.Product.P3GasToPowerStatus&lt;&gt;"Yes","Complete",IF(AND(I.Gas.P3Y2Count&gt;=37,F28022=""),"Incomplete","Complete")))</f>
        <v>Complete</v>
      </c>
      <c r="I28022" s="48" t="s">
        <v>3201</v>
      </c>
    </row>
    <row r="28023" spans="2:9" ht="15" customHeight="1" x14ac:dyDescent="0.25">
      <c r="B28023" s="55" t="s">
        <v>413</v>
      </c>
      <c r="C28023" s="46">
        <v>38</v>
      </c>
      <c r="D28023" s="69" t="s">
        <v>29550</v>
      </c>
      <c r="E28023" s="62"/>
      <c r="F28023" s="62" t="str">
        <f>IF(INDEX(I.Gas.P3Y2ElectricityGeneration,38)="","",INDEX(I.Gas.P3Y2ElectricityGeneration,38))</f>
        <v/>
      </c>
      <c r="G28023" s="62"/>
      <c r="H28023" s="46" t="str">
        <f>IF(I.Developer.P3=FALSE,"Complete",IF(I.Product.P3GasToPowerStatus&lt;&gt;"Yes","Complete",IF(AND(I.Gas.P3Y2Count&gt;=38,F28023=""),"Incomplete","Complete")))</f>
        <v>Complete</v>
      </c>
      <c r="I28023" s="48" t="s">
        <v>3202</v>
      </c>
    </row>
    <row r="28024" spans="2:9" ht="15" customHeight="1" x14ac:dyDescent="0.25">
      <c r="B28024" s="55" t="s">
        <v>413</v>
      </c>
      <c r="C28024" s="46">
        <v>39</v>
      </c>
      <c r="D28024" s="69" t="s">
        <v>29550</v>
      </c>
      <c r="E28024" s="62"/>
      <c r="F28024" s="62" t="str">
        <f>IF(INDEX(I.Gas.P3Y2ElectricityGeneration,39)="","",INDEX(I.Gas.P3Y2ElectricityGeneration,39))</f>
        <v/>
      </c>
      <c r="G28024" s="62"/>
      <c r="H28024" s="46" t="str">
        <f>IF(I.Developer.P3=FALSE,"Complete",IF(I.Product.P3GasToPowerStatus&lt;&gt;"Yes","Complete",IF(AND(I.Gas.P3Y2Count&gt;=39,F28024=""),"Incomplete","Complete")))</f>
        <v>Complete</v>
      </c>
      <c r="I28024" s="48" t="s">
        <v>3203</v>
      </c>
    </row>
    <row r="28025" spans="2:9" ht="15" customHeight="1" x14ac:dyDescent="0.25">
      <c r="B28025" s="55" t="s">
        <v>413</v>
      </c>
      <c r="C28025" s="46">
        <v>40</v>
      </c>
      <c r="D28025" s="69" t="s">
        <v>29550</v>
      </c>
      <c r="E28025" s="62"/>
      <c r="F28025" s="62" t="str">
        <f>IF(INDEX(I.Gas.P3Y2ElectricityGeneration,40)="","",INDEX(I.Gas.P3Y2ElectricityGeneration,40))</f>
        <v/>
      </c>
      <c r="G28025" s="62"/>
      <c r="H28025" s="46" t="str">
        <f>IF(I.Developer.P3=FALSE,"Complete",IF(I.Product.P3GasToPowerStatus&lt;&gt;"Yes","Complete",IF(AND(I.Gas.P3Y2Count&gt;=40,F28025=""),"Incomplete","Complete")))</f>
        <v>Complete</v>
      </c>
      <c r="I28025" s="48" t="s">
        <v>3204</v>
      </c>
    </row>
    <row r="28026" spans="2:9" ht="15" customHeight="1" x14ac:dyDescent="0.25">
      <c r="B28026" s="55" t="s">
        <v>413</v>
      </c>
      <c r="C28026" s="46">
        <v>41</v>
      </c>
      <c r="D28026" s="69" t="s">
        <v>29550</v>
      </c>
      <c r="E28026" s="62"/>
      <c r="F28026" s="62" t="str">
        <f>IF(INDEX(I.Gas.P3Y2ElectricityGeneration,41)="","",INDEX(I.Gas.P3Y2ElectricityGeneration,41))</f>
        <v/>
      </c>
      <c r="G28026" s="62"/>
      <c r="H28026" s="46" t="str">
        <f>IF(I.Developer.P3=FALSE,"Complete",IF(I.Product.P3GasToPowerStatus&lt;&gt;"Yes","Complete",IF(AND(I.Gas.P3Y2Count&gt;=41,F28026=""),"Incomplete","Complete")))</f>
        <v>Complete</v>
      </c>
      <c r="I28026" s="48" t="s">
        <v>3205</v>
      </c>
    </row>
    <row r="28027" spans="2:9" ht="15" customHeight="1" x14ac:dyDescent="0.25">
      <c r="B28027" s="55" t="s">
        <v>413</v>
      </c>
      <c r="C28027" s="46">
        <v>42</v>
      </c>
      <c r="D28027" s="69" t="s">
        <v>29550</v>
      </c>
      <c r="E28027" s="62"/>
      <c r="F28027" s="62" t="str">
        <f>IF(INDEX(I.Gas.P3Y2ElectricityGeneration,42)="","",INDEX(I.Gas.P3Y2ElectricityGeneration,42))</f>
        <v/>
      </c>
      <c r="G28027" s="62"/>
      <c r="H28027" s="46" t="str">
        <f>IF(I.Developer.P3=FALSE,"Complete",IF(I.Product.P3GasToPowerStatus&lt;&gt;"Yes","Complete",IF(AND(I.Gas.P3Y2Count&gt;=42,F28027=""),"Incomplete","Complete")))</f>
        <v>Complete</v>
      </c>
      <c r="I28027" s="48" t="s">
        <v>3206</v>
      </c>
    </row>
    <row r="28028" spans="2:9" ht="15" customHeight="1" x14ac:dyDescent="0.25">
      <c r="B28028" s="55" t="s">
        <v>413</v>
      </c>
      <c r="C28028" s="46">
        <v>43</v>
      </c>
      <c r="D28028" s="69" t="s">
        <v>29550</v>
      </c>
      <c r="E28028" s="62"/>
      <c r="F28028" s="62" t="str">
        <f>IF(INDEX(I.Gas.P3Y2ElectricityGeneration,43)="","",INDEX(I.Gas.P3Y2ElectricityGeneration,43))</f>
        <v/>
      </c>
      <c r="G28028" s="62"/>
      <c r="H28028" s="46" t="str">
        <f>IF(I.Developer.P3=FALSE,"Complete",IF(I.Product.P3GasToPowerStatus&lt;&gt;"Yes","Complete",IF(AND(I.Gas.P3Y2Count&gt;=43,F28028=""),"Incomplete","Complete")))</f>
        <v>Complete</v>
      </c>
      <c r="I28028" s="48" t="s">
        <v>3207</v>
      </c>
    </row>
    <row r="28029" spans="2:9" ht="15" customHeight="1" x14ac:dyDescent="0.25">
      <c r="B28029" s="55" t="s">
        <v>413</v>
      </c>
      <c r="C28029" s="46">
        <v>44</v>
      </c>
      <c r="D28029" s="69" t="s">
        <v>29550</v>
      </c>
      <c r="E28029" s="62"/>
      <c r="F28029" s="62" t="str">
        <f>IF(INDEX(I.Gas.P3Y2ElectricityGeneration,44)="","",INDEX(I.Gas.P3Y2ElectricityGeneration,44))</f>
        <v/>
      </c>
      <c r="G28029" s="62"/>
      <c r="H28029" s="46" t="str">
        <f>IF(I.Developer.P3=FALSE,"Complete",IF(I.Product.P3GasToPowerStatus&lt;&gt;"Yes","Complete",IF(AND(I.Gas.P3Y2Count&gt;=44,F28029=""),"Incomplete","Complete")))</f>
        <v>Complete</v>
      </c>
      <c r="I28029" s="48" t="s">
        <v>3208</v>
      </c>
    </row>
    <row r="28030" spans="2:9" ht="15" customHeight="1" x14ac:dyDescent="0.25">
      <c r="B28030" s="55" t="s">
        <v>413</v>
      </c>
      <c r="C28030" s="46">
        <v>45</v>
      </c>
      <c r="D28030" s="69" t="s">
        <v>29550</v>
      </c>
      <c r="E28030" s="62"/>
      <c r="F28030" s="62" t="str">
        <f>IF(INDEX(I.Gas.P3Y2ElectricityGeneration,45)="","",INDEX(I.Gas.P3Y2ElectricityGeneration,45))</f>
        <v/>
      </c>
      <c r="G28030" s="62"/>
      <c r="H28030" s="46" t="str">
        <f>IF(I.Developer.P3=FALSE,"Complete",IF(I.Product.P3GasToPowerStatus&lt;&gt;"Yes","Complete",IF(AND(I.Gas.P3Y2Count&gt;=45,F28030=""),"Incomplete","Complete")))</f>
        <v>Complete</v>
      </c>
      <c r="I28030" s="48" t="s">
        <v>3209</v>
      </c>
    </row>
    <row r="28031" spans="2:9" ht="15" customHeight="1" x14ac:dyDescent="0.25">
      <c r="B28031" s="55" t="s">
        <v>413</v>
      </c>
      <c r="C28031" s="46">
        <v>46</v>
      </c>
      <c r="D28031" s="69" t="s">
        <v>29550</v>
      </c>
      <c r="E28031" s="62"/>
      <c r="F28031" s="62" t="str">
        <f>IF(INDEX(I.Gas.P3Y2ElectricityGeneration,46)="","",INDEX(I.Gas.P3Y2ElectricityGeneration,46))</f>
        <v/>
      </c>
      <c r="G28031" s="62"/>
      <c r="H28031" s="46" t="str">
        <f>IF(I.Developer.P3=FALSE,"Complete",IF(I.Product.P3GasToPowerStatus&lt;&gt;"Yes","Complete",IF(AND(I.Gas.P3Y2Count&gt;=46,F28031=""),"Incomplete","Complete")))</f>
        <v>Complete</v>
      </c>
      <c r="I28031" s="48" t="s">
        <v>3210</v>
      </c>
    </row>
    <row r="28032" spans="2:9" ht="15" customHeight="1" x14ac:dyDescent="0.25">
      <c r="B28032" s="55" t="s">
        <v>413</v>
      </c>
      <c r="C28032" s="46">
        <v>47</v>
      </c>
      <c r="D28032" s="69" t="s">
        <v>29550</v>
      </c>
      <c r="E28032" s="62"/>
      <c r="F28032" s="62" t="str">
        <f>IF(INDEX(I.Gas.P3Y2ElectricityGeneration,47)="","",INDEX(I.Gas.P3Y2ElectricityGeneration,47))</f>
        <v/>
      </c>
      <c r="G28032" s="62"/>
      <c r="H28032" s="46" t="str">
        <f>IF(I.Developer.P3=FALSE,"Complete",IF(I.Product.P3GasToPowerStatus&lt;&gt;"Yes","Complete",IF(AND(I.Gas.P3Y2Count&gt;=47,F28032=""),"Incomplete","Complete")))</f>
        <v>Complete</v>
      </c>
      <c r="I28032" s="48" t="s">
        <v>3211</v>
      </c>
    </row>
    <row r="28033" spans="2:9" ht="15" customHeight="1" x14ac:dyDescent="0.25">
      <c r="B28033" s="55" t="s">
        <v>413</v>
      </c>
      <c r="C28033" s="46">
        <v>48</v>
      </c>
      <c r="D28033" s="69" t="s">
        <v>29550</v>
      </c>
      <c r="E28033" s="62"/>
      <c r="F28033" s="62" t="str">
        <f>IF(INDEX(I.Gas.P3Y2ElectricityGeneration,48)="","",INDEX(I.Gas.P3Y2ElectricityGeneration,48))</f>
        <v/>
      </c>
      <c r="G28033" s="62"/>
      <c r="H28033" s="46" t="str">
        <f>IF(I.Developer.P3=FALSE,"Complete",IF(I.Product.P3GasToPowerStatus&lt;&gt;"Yes","Complete",IF(AND(I.Gas.P3Y2Count&gt;=48,F28033=""),"Incomplete","Complete")))</f>
        <v>Complete</v>
      </c>
      <c r="I28033" s="48" t="s">
        <v>3212</v>
      </c>
    </row>
    <row r="28034" spans="2:9" ht="15" customHeight="1" x14ac:dyDescent="0.25">
      <c r="B28034" s="55" t="s">
        <v>413</v>
      </c>
      <c r="C28034" s="46">
        <v>49</v>
      </c>
      <c r="D28034" s="69" t="s">
        <v>29550</v>
      </c>
      <c r="E28034" s="62"/>
      <c r="F28034" s="62" t="str">
        <f>IF(INDEX(I.Gas.P3Y2ElectricityGeneration,49)="","",INDEX(I.Gas.P3Y2ElectricityGeneration,49))</f>
        <v/>
      </c>
      <c r="G28034" s="62"/>
      <c r="H28034" s="46" t="str">
        <f>IF(I.Developer.P3=FALSE,"Complete",IF(I.Product.P3GasToPowerStatus&lt;&gt;"Yes","Complete",IF(AND(I.Gas.P3Y2Count&gt;=49,F28034=""),"Incomplete","Complete")))</f>
        <v>Complete</v>
      </c>
      <c r="I28034" s="48" t="s">
        <v>3213</v>
      </c>
    </row>
    <row r="28035" spans="2:9" ht="15" customHeight="1" x14ac:dyDescent="0.25">
      <c r="B28035" s="56" t="s">
        <v>413</v>
      </c>
      <c r="C28035" s="57">
        <v>50</v>
      </c>
      <c r="D28035" s="71" t="s">
        <v>29550</v>
      </c>
      <c r="E28035" s="61"/>
      <c r="F28035" s="61" t="str">
        <f>IF(INDEX(I.Gas.P3Y2ElectricityGeneration,50)="","",INDEX(I.Gas.P3Y2ElectricityGeneration,50))</f>
        <v/>
      </c>
      <c r="G28035" s="61"/>
      <c r="H28035" s="57" t="str">
        <f>IF(I.Developer.P3=FALSE,"Complete",IF(I.Product.P3GasToPowerStatus&lt;&gt;"Yes","Complete",IF(AND(I.Gas.P3Y2Count&gt;=50,F28035=""),"Incomplete","Complete")))</f>
        <v>Complete</v>
      </c>
      <c r="I28035" s="49" t="s">
        <v>3214</v>
      </c>
    </row>
    <row r="28036" spans="2:9" ht="15" customHeight="1" x14ac:dyDescent="0.25">
      <c r="B28036" s="55" t="s">
        <v>414</v>
      </c>
      <c r="C28036" s="46">
        <v>1</v>
      </c>
      <c r="D28036" s="69" t="s">
        <v>29551</v>
      </c>
      <c r="E28036" s="62"/>
      <c r="F28036" s="62" t="str">
        <f>IF(INDEX(I.Gas.P3Y2C1V1,1)="","",INDEX(I.Gas.P3Y2C1V1,1))</f>
        <v/>
      </c>
      <c r="G28036" s="62"/>
      <c r="H28036" s="46" t="str">
        <f>IF(OR(I.Developer.P3=FALSE,I.Facility.StandardPart&lt;&gt;"Part 2"),"Complete",IF(I.Product.P3GasToPowerStatus&lt;&gt;"Yes","Complete",IF(AND(I.Gas.P3Y2Count&gt;=1,F28036=""),"Incomplete","Complete")))</f>
        <v>Complete</v>
      </c>
      <c r="I28036" s="48" t="s">
        <v>3215</v>
      </c>
    </row>
    <row r="28037" spans="2:9" ht="15" customHeight="1" x14ac:dyDescent="0.25">
      <c r="B28037" s="55" t="s">
        <v>414</v>
      </c>
      <c r="C28037" s="46">
        <v>2</v>
      </c>
      <c r="D28037" s="69" t="s">
        <v>29551</v>
      </c>
      <c r="E28037" s="62"/>
      <c r="F28037" s="62" t="str">
        <f>IF(INDEX(I.Gas.P3Y2C1V1,2)="","",INDEX(I.Gas.P3Y2C1V1,2))</f>
        <v/>
      </c>
      <c r="G28037" s="62"/>
      <c r="H28037" s="46" t="str">
        <f>IF(OR(I.Developer.P3=FALSE,I.Facility.StandardPart&lt;&gt;"Part 2"),"Complete",IF(I.Product.P3GasToPowerStatus&lt;&gt;"Yes","Complete",IF(AND(I.Gas.P3Y2Count&gt;=2,F28037=""),"Incomplete","Complete")))</f>
        <v>Complete</v>
      </c>
      <c r="I28037" s="48" t="s">
        <v>3216</v>
      </c>
    </row>
    <row r="28038" spans="2:9" ht="15" customHeight="1" x14ac:dyDescent="0.25">
      <c r="B28038" s="55" t="s">
        <v>414</v>
      </c>
      <c r="C28038" s="46">
        <v>3</v>
      </c>
      <c r="D28038" s="69" t="s">
        <v>29551</v>
      </c>
      <c r="E28038" s="62"/>
      <c r="F28038" s="62" t="str">
        <f>IF(INDEX(I.Gas.P3Y2C1V1,3)="","",INDEX(I.Gas.P3Y2C1V1,3))</f>
        <v/>
      </c>
      <c r="G28038" s="62"/>
      <c r="H28038" s="46" t="str">
        <f>IF(OR(I.Developer.P3=FALSE,I.Facility.StandardPart&lt;&gt;"Part 2"),"Complete",IF(I.Product.P3GasToPowerStatus&lt;&gt;"Yes","Complete",IF(AND(I.Gas.P3Y2Count&gt;=3,F28038=""),"Incomplete","Complete")))</f>
        <v>Complete</v>
      </c>
      <c r="I28038" s="48" t="s">
        <v>3217</v>
      </c>
    </row>
    <row r="28039" spans="2:9" ht="15" customHeight="1" x14ac:dyDescent="0.25">
      <c r="B28039" s="55" t="s">
        <v>414</v>
      </c>
      <c r="C28039" s="46">
        <v>4</v>
      </c>
      <c r="D28039" s="69" t="s">
        <v>29551</v>
      </c>
      <c r="E28039" s="62"/>
      <c r="F28039" s="62" t="str">
        <f>IF(INDEX(I.Gas.P3Y2C1V1,4)="","",INDEX(I.Gas.P3Y2C1V1,4))</f>
        <v/>
      </c>
      <c r="G28039" s="62"/>
      <c r="H28039" s="46" t="str">
        <f>IF(OR(I.Developer.P3=FALSE,I.Facility.StandardPart&lt;&gt;"Part 2"),"Complete",IF(I.Product.P3GasToPowerStatus&lt;&gt;"Yes","Complete",IF(AND(I.Gas.P3Y2Count&gt;=4,F28039=""),"Incomplete","Complete")))</f>
        <v>Complete</v>
      </c>
      <c r="I28039" s="48" t="s">
        <v>3218</v>
      </c>
    </row>
    <row r="28040" spans="2:9" ht="15" customHeight="1" x14ac:dyDescent="0.25">
      <c r="B28040" s="55" t="s">
        <v>414</v>
      </c>
      <c r="C28040" s="46">
        <v>5</v>
      </c>
      <c r="D28040" s="69" t="s">
        <v>29551</v>
      </c>
      <c r="E28040" s="62"/>
      <c r="F28040" s="62" t="str">
        <f>IF(INDEX(I.Gas.P3Y2C1V1,5)="","",INDEX(I.Gas.P3Y2C1V1,5))</f>
        <v/>
      </c>
      <c r="G28040" s="62"/>
      <c r="H28040" s="46" t="str">
        <f>IF(OR(I.Developer.P3=FALSE,I.Facility.StandardPart&lt;&gt;"Part 2"),"Complete",IF(I.Product.P3GasToPowerStatus&lt;&gt;"Yes","Complete",IF(AND(I.Gas.P3Y2Count&gt;=5,F28040=""),"Incomplete","Complete")))</f>
        <v>Complete</v>
      </c>
      <c r="I28040" s="48" t="s">
        <v>3219</v>
      </c>
    </row>
    <row r="28041" spans="2:9" ht="15" customHeight="1" x14ac:dyDescent="0.25">
      <c r="B28041" s="55" t="s">
        <v>414</v>
      </c>
      <c r="C28041" s="46">
        <v>6</v>
      </c>
      <c r="D28041" s="69" t="s">
        <v>29551</v>
      </c>
      <c r="E28041" s="62"/>
      <c r="F28041" s="62" t="str">
        <f>IF(INDEX(I.Gas.P3Y2C1V1,6)="","",INDEX(I.Gas.P3Y2C1V1,6))</f>
        <v/>
      </c>
      <c r="G28041" s="62"/>
      <c r="H28041" s="46" t="str">
        <f>IF(OR(I.Developer.P3=FALSE,I.Facility.StandardPart&lt;&gt;"Part 2"),"Complete",IF(I.Product.P3GasToPowerStatus&lt;&gt;"Yes","Complete",IF(AND(I.Gas.P3Y2Count&gt;=6,F28041=""),"Incomplete","Complete")))</f>
        <v>Complete</v>
      </c>
      <c r="I28041" s="48" t="s">
        <v>3220</v>
      </c>
    </row>
    <row r="28042" spans="2:9" ht="15" customHeight="1" x14ac:dyDescent="0.25">
      <c r="B28042" s="55" t="s">
        <v>414</v>
      </c>
      <c r="C28042" s="46">
        <v>7</v>
      </c>
      <c r="D28042" s="69" t="s">
        <v>29551</v>
      </c>
      <c r="E28042" s="62"/>
      <c r="F28042" s="62" t="str">
        <f>IF(INDEX(I.Gas.P3Y2C1V1,7)="","",INDEX(I.Gas.P3Y2C1V1,7))</f>
        <v/>
      </c>
      <c r="G28042" s="62"/>
      <c r="H28042" s="46" t="str">
        <f>IF(OR(I.Developer.P3=FALSE,I.Facility.StandardPart&lt;&gt;"Part 2"),"Complete",IF(I.Product.P3GasToPowerStatus&lt;&gt;"Yes","Complete",IF(AND(I.Gas.P3Y2Count&gt;=7,F28042=""),"Incomplete","Complete")))</f>
        <v>Complete</v>
      </c>
      <c r="I28042" s="48" t="s">
        <v>3221</v>
      </c>
    </row>
    <row r="28043" spans="2:9" ht="15" customHeight="1" x14ac:dyDescent="0.25">
      <c r="B28043" s="55" t="s">
        <v>414</v>
      </c>
      <c r="C28043" s="46">
        <v>8</v>
      </c>
      <c r="D28043" s="69" t="s">
        <v>29551</v>
      </c>
      <c r="E28043" s="62"/>
      <c r="F28043" s="62" t="str">
        <f>IF(INDEX(I.Gas.P3Y2C1V1,8)="","",INDEX(I.Gas.P3Y2C1V1,8))</f>
        <v/>
      </c>
      <c r="G28043" s="62"/>
      <c r="H28043" s="46" t="str">
        <f>IF(OR(I.Developer.P3=FALSE,I.Facility.StandardPart&lt;&gt;"Part 2"),"Complete",IF(I.Product.P3GasToPowerStatus&lt;&gt;"Yes","Complete",IF(AND(I.Gas.P3Y2Count&gt;=8,F28043=""),"Incomplete","Complete")))</f>
        <v>Complete</v>
      </c>
      <c r="I28043" s="48" t="s">
        <v>3222</v>
      </c>
    </row>
    <row r="28044" spans="2:9" ht="15" customHeight="1" x14ac:dyDescent="0.25">
      <c r="B28044" s="55" t="s">
        <v>414</v>
      </c>
      <c r="C28044" s="46">
        <v>9</v>
      </c>
      <c r="D28044" s="69" t="s">
        <v>29551</v>
      </c>
      <c r="E28044" s="62"/>
      <c r="F28044" s="62" t="str">
        <f>IF(INDEX(I.Gas.P3Y2C1V1,9)="","",INDEX(I.Gas.P3Y2C1V1,9))</f>
        <v/>
      </c>
      <c r="G28044" s="62"/>
      <c r="H28044" s="46" t="str">
        <f>IF(OR(I.Developer.P3=FALSE,I.Facility.StandardPart&lt;&gt;"Part 2"),"Complete",IF(I.Product.P3GasToPowerStatus&lt;&gt;"Yes","Complete",IF(AND(I.Gas.P3Y2Count&gt;=9,F28044=""),"Incomplete","Complete")))</f>
        <v>Complete</v>
      </c>
      <c r="I28044" s="48" t="s">
        <v>3223</v>
      </c>
    </row>
    <row r="28045" spans="2:9" ht="15" customHeight="1" x14ac:dyDescent="0.25">
      <c r="B28045" s="55" t="s">
        <v>414</v>
      </c>
      <c r="C28045" s="46">
        <v>10</v>
      </c>
      <c r="D28045" s="69" t="s">
        <v>29551</v>
      </c>
      <c r="E28045" s="62"/>
      <c r="F28045" s="62" t="str">
        <f>IF(INDEX(I.Gas.P3Y2C1V1,10)="","",INDEX(I.Gas.P3Y2C1V1,10))</f>
        <v/>
      </c>
      <c r="G28045" s="62"/>
      <c r="H28045" s="46" t="str">
        <f>IF(OR(I.Developer.P3=FALSE,I.Facility.StandardPart&lt;&gt;"Part 2"),"Complete",IF(I.Product.P3GasToPowerStatus&lt;&gt;"Yes","Complete",IF(AND(I.Gas.P3Y2Count&gt;=10,F28045=""),"Incomplete","Complete")))</f>
        <v>Complete</v>
      </c>
      <c r="I28045" s="48" t="s">
        <v>3224</v>
      </c>
    </row>
    <row r="28046" spans="2:9" ht="15" customHeight="1" x14ac:dyDescent="0.25">
      <c r="B28046" s="55" t="s">
        <v>414</v>
      </c>
      <c r="C28046" s="46">
        <v>11</v>
      </c>
      <c r="D28046" s="69" t="s">
        <v>29551</v>
      </c>
      <c r="E28046" s="62"/>
      <c r="F28046" s="62" t="str">
        <f>IF(INDEX(I.Gas.P3Y2C1V1,11)="","",INDEX(I.Gas.P3Y2C1V1,11))</f>
        <v/>
      </c>
      <c r="G28046" s="62"/>
      <c r="H28046" s="46" t="str">
        <f>IF(OR(I.Developer.P3=FALSE,I.Facility.StandardPart&lt;&gt;"Part 2"),"Complete",IF(I.Product.P3GasToPowerStatus&lt;&gt;"Yes","Complete",IF(AND(I.Gas.P3Y2Count&gt;=11,F28046=""),"Incomplete","Complete")))</f>
        <v>Complete</v>
      </c>
      <c r="I28046" s="48" t="s">
        <v>3225</v>
      </c>
    </row>
    <row r="28047" spans="2:9" ht="15" customHeight="1" x14ac:dyDescent="0.25">
      <c r="B28047" s="55" t="s">
        <v>414</v>
      </c>
      <c r="C28047" s="46">
        <v>12</v>
      </c>
      <c r="D28047" s="69" t="s">
        <v>29551</v>
      </c>
      <c r="E28047" s="62"/>
      <c r="F28047" s="62" t="str">
        <f>IF(INDEX(I.Gas.P3Y2C1V1,12)="","",INDEX(I.Gas.P3Y2C1V1,12))</f>
        <v/>
      </c>
      <c r="G28047" s="62"/>
      <c r="H28047" s="46" t="str">
        <f>IF(OR(I.Developer.P3=FALSE,I.Facility.StandardPart&lt;&gt;"Part 2"),"Complete",IF(I.Product.P3GasToPowerStatus&lt;&gt;"Yes","Complete",IF(AND(I.Gas.P3Y2Count&gt;=12,F28047=""),"Incomplete","Complete")))</f>
        <v>Complete</v>
      </c>
      <c r="I28047" s="48" t="s">
        <v>3226</v>
      </c>
    </row>
    <row r="28048" spans="2:9" ht="15" customHeight="1" x14ac:dyDescent="0.25">
      <c r="B28048" s="55" t="s">
        <v>414</v>
      </c>
      <c r="C28048" s="46">
        <v>13</v>
      </c>
      <c r="D28048" s="69" t="s">
        <v>29551</v>
      </c>
      <c r="E28048" s="62"/>
      <c r="F28048" s="62" t="str">
        <f>IF(INDEX(I.Gas.P3Y2C1V1,13)="","",INDEX(I.Gas.P3Y2C1V1,13))</f>
        <v/>
      </c>
      <c r="G28048" s="62"/>
      <c r="H28048" s="46" t="str">
        <f>IF(OR(I.Developer.P3=FALSE,I.Facility.StandardPart&lt;&gt;"Part 2"),"Complete",IF(I.Product.P3GasToPowerStatus&lt;&gt;"Yes","Complete",IF(AND(I.Gas.P3Y2Count&gt;=13,F28048=""),"Incomplete","Complete")))</f>
        <v>Complete</v>
      </c>
      <c r="I28048" s="48" t="s">
        <v>3227</v>
      </c>
    </row>
    <row r="28049" spans="2:9" ht="15" customHeight="1" x14ac:dyDescent="0.25">
      <c r="B28049" s="55" t="s">
        <v>414</v>
      </c>
      <c r="C28049" s="46">
        <v>14</v>
      </c>
      <c r="D28049" s="69" t="s">
        <v>29551</v>
      </c>
      <c r="E28049" s="62"/>
      <c r="F28049" s="62" t="str">
        <f>IF(INDEX(I.Gas.P3Y2C1V1,14)="","",INDEX(I.Gas.P3Y2C1V1,14))</f>
        <v/>
      </c>
      <c r="G28049" s="62"/>
      <c r="H28049" s="46" t="str">
        <f>IF(OR(I.Developer.P3=FALSE,I.Facility.StandardPart&lt;&gt;"Part 2"),"Complete",IF(I.Product.P3GasToPowerStatus&lt;&gt;"Yes","Complete",IF(AND(I.Gas.P3Y2Count&gt;=14,F28049=""),"Incomplete","Complete")))</f>
        <v>Complete</v>
      </c>
      <c r="I28049" s="48" t="s">
        <v>3228</v>
      </c>
    </row>
    <row r="28050" spans="2:9" ht="15" customHeight="1" x14ac:dyDescent="0.25">
      <c r="B28050" s="55" t="s">
        <v>414</v>
      </c>
      <c r="C28050" s="46">
        <v>15</v>
      </c>
      <c r="D28050" s="69" t="s">
        <v>29551</v>
      </c>
      <c r="E28050" s="62"/>
      <c r="F28050" s="62" t="str">
        <f>IF(INDEX(I.Gas.P3Y2C1V1,15)="","",INDEX(I.Gas.P3Y2C1V1,15))</f>
        <v/>
      </c>
      <c r="G28050" s="62"/>
      <c r="H28050" s="46" t="str">
        <f>IF(OR(I.Developer.P3=FALSE,I.Facility.StandardPart&lt;&gt;"Part 2"),"Complete",IF(I.Product.P3GasToPowerStatus&lt;&gt;"Yes","Complete",IF(AND(I.Gas.P3Y2Count&gt;=15,F28050=""),"Incomplete","Complete")))</f>
        <v>Complete</v>
      </c>
      <c r="I28050" s="48" t="s">
        <v>3229</v>
      </c>
    </row>
    <row r="28051" spans="2:9" ht="15" customHeight="1" x14ac:dyDescent="0.25">
      <c r="B28051" s="55" t="s">
        <v>414</v>
      </c>
      <c r="C28051" s="46">
        <v>16</v>
      </c>
      <c r="D28051" s="69" t="s">
        <v>29551</v>
      </c>
      <c r="E28051" s="62"/>
      <c r="F28051" s="62" t="str">
        <f>IF(INDEX(I.Gas.P3Y2C1V1,16)="","",INDEX(I.Gas.P3Y2C1V1,16))</f>
        <v/>
      </c>
      <c r="G28051" s="62"/>
      <c r="H28051" s="46" t="str">
        <f>IF(OR(I.Developer.P3=FALSE,I.Facility.StandardPart&lt;&gt;"Part 2"),"Complete",IF(I.Product.P3GasToPowerStatus&lt;&gt;"Yes","Complete",IF(AND(I.Gas.P3Y2Count&gt;=16,F28051=""),"Incomplete","Complete")))</f>
        <v>Complete</v>
      </c>
      <c r="I28051" s="48" t="s">
        <v>3230</v>
      </c>
    </row>
    <row r="28052" spans="2:9" ht="15" customHeight="1" x14ac:dyDescent="0.25">
      <c r="B28052" s="55" t="s">
        <v>414</v>
      </c>
      <c r="C28052" s="46">
        <v>17</v>
      </c>
      <c r="D28052" s="69" t="s">
        <v>29551</v>
      </c>
      <c r="E28052" s="62"/>
      <c r="F28052" s="62" t="str">
        <f>IF(INDEX(I.Gas.P3Y2C1V1,17)="","",INDEX(I.Gas.P3Y2C1V1,17))</f>
        <v/>
      </c>
      <c r="G28052" s="62"/>
      <c r="H28052" s="46" t="str">
        <f>IF(OR(I.Developer.P3=FALSE,I.Facility.StandardPart&lt;&gt;"Part 2"),"Complete",IF(I.Product.P3GasToPowerStatus&lt;&gt;"Yes","Complete",IF(AND(I.Gas.P3Y2Count&gt;=17,F28052=""),"Incomplete","Complete")))</f>
        <v>Complete</v>
      </c>
      <c r="I28052" s="48" t="s">
        <v>3231</v>
      </c>
    </row>
    <row r="28053" spans="2:9" ht="15" customHeight="1" x14ac:dyDescent="0.25">
      <c r="B28053" s="55" t="s">
        <v>414</v>
      </c>
      <c r="C28053" s="46">
        <v>18</v>
      </c>
      <c r="D28053" s="69" t="s">
        <v>29551</v>
      </c>
      <c r="E28053" s="62"/>
      <c r="F28053" s="62" t="str">
        <f>IF(INDEX(I.Gas.P3Y2C1V1,18)="","",INDEX(I.Gas.P3Y2C1V1,18))</f>
        <v/>
      </c>
      <c r="G28053" s="62"/>
      <c r="H28053" s="46" t="str">
        <f>IF(OR(I.Developer.P3=FALSE,I.Facility.StandardPart&lt;&gt;"Part 2"),"Complete",IF(I.Product.P3GasToPowerStatus&lt;&gt;"Yes","Complete",IF(AND(I.Gas.P3Y2Count&gt;=18,F28053=""),"Incomplete","Complete")))</f>
        <v>Complete</v>
      </c>
      <c r="I28053" s="48" t="s">
        <v>3232</v>
      </c>
    </row>
    <row r="28054" spans="2:9" ht="15" customHeight="1" x14ac:dyDescent="0.25">
      <c r="B28054" s="55" t="s">
        <v>414</v>
      </c>
      <c r="C28054" s="46">
        <v>19</v>
      </c>
      <c r="D28054" s="69" t="s">
        <v>29551</v>
      </c>
      <c r="E28054" s="62"/>
      <c r="F28054" s="62" t="str">
        <f>IF(INDEX(I.Gas.P3Y2C1V1,19)="","",INDEX(I.Gas.P3Y2C1V1,19))</f>
        <v/>
      </c>
      <c r="G28054" s="62"/>
      <c r="H28054" s="46" t="str">
        <f>IF(OR(I.Developer.P3=FALSE,I.Facility.StandardPart&lt;&gt;"Part 2"),"Complete",IF(I.Product.P3GasToPowerStatus&lt;&gt;"Yes","Complete",IF(AND(I.Gas.P3Y2Count&gt;=19,F28054=""),"Incomplete","Complete")))</f>
        <v>Complete</v>
      </c>
      <c r="I28054" s="48" t="s">
        <v>3233</v>
      </c>
    </row>
    <row r="28055" spans="2:9" ht="15" customHeight="1" x14ac:dyDescent="0.25">
      <c r="B28055" s="55" t="s">
        <v>414</v>
      </c>
      <c r="C28055" s="46">
        <v>20</v>
      </c>
      <c r="D28055" s="69" t="s">
        <v>29551</v>
      </c>
      <c r="E28055" s="62"/>
      <c r="F28055" s="62" t="str">
        <f>IF(INDEX(I.Gas.P3Y2C1V1,20)="","",INDEX(I.Gas.P3Y2C1V1,20))</f>
        <v/>
      </c>
      <c r="G28055" s="62"/>
      <c r="H28055" s="46" t="str">
        <f>IF(OR(I.Developer.P3=FALSE,I.Facility.StandardPart&lt;&gt;"Part 2"),"Complete",IF(I.Product.P3GasToPowerStatus&lt;&gt;"Yes","Complete",IF(AND(I.Gas.P3Y2Count&gt;=20,F28055=""),"Incomplete","Complete")))</f>
        <v>Complete</v>
      </c>
      <c r="I28055" s="48" t="s">
        <v>3234</v>
      </c>
    </row>
    <row r="28056" spans="2:9" ht="15" customHeight="1" x14ac:dyDescent="0.25">
      <c r="B28056" s="55" t="s">
        <v>414</v>
      </c>
      <c r="C28056" s="46">
        <v>21</v>
      </c>
      <c r="D28056" s="69" t="s">
        <v>29551</v>
      </c>
      <c r="E28056" s="62"/>
      <c r="F28056" s="62" t="str">
        <f>IF(INDEX(I.Gas.P3Y2C1V1,21)="","",INDEX(I.Gas.P3Y2C1V1,21))</f>
        <v/>
      </c>
      <c r="G28056" s="62"/>
      <c r="H28056" s="46" t="str">
        <f>IF(OR(I.Developer.P3=FALSE,I.Facility.StandardPart&lt;&gt;"Part 2"),"Complete",IF(I.Product.P3GasToPowerStatus&lt;&gt;"Yes","Complete",IF(AND(I.Gas.P3Y2Count&gt;=21,F28056=""),"Incomplete","Complete")))</f>
        <v>Complete</v>
      </c>
      <c r="I28056" s="48" t="s">
        <v>3235</v>
      </c>
    </row>
    <row r="28057" spans="2:9" ht="15" customHeight="1" x14ac:dyDescent="0.25">
      <c r="B28057" s="55" t="s">
        <v>414</v>
      </c>
      <c r="C28057" s="46">
        <v>22</v>
      </c>
      <c r="D28057" s="69" t="s">
        <v>29551</v>
      </c>
      <c r="E28057" s="62"/>
      <c r="F28057" s="62" t="str">
        <f>IF(INDEX(I.Gas.P3Y2C1V1,22)="","",INDEX(I.Gas.P3Y2C1V1,22))</f>
        <v/>
      </c>
      <c r="G28057" s="62"/>
      <c r="H28057" s="46" t="str">
        <f>IF(OR(I.Developer.P3=FALSE,I.Facility.StandardPart&lt;&gt;"Part 2"),"Complete",IF(I.Product.P3GasToPowerStatus&lt;&gt;"Yes","Complete",IF(AND(I.Gas.P3Y2Count&gt;=22,F28057=""),"Incomplete","Complete")))</f>
        <v>Complete</v>
      </c>
      <c r="I28057" s="48" t="s">
        <v>3236</v>
      </c>
    </row>
    <row r="28058" spans="2:9" ht="15" customHeight="1" x14ac:dyDescent="0.25">
      <c r="B28058" s="55" t="s">
        <v>414</v>
      </c>
      <c r="C28058" s="46">
        <v>23</v>
      </c>
      <c r="D28058" s="69" t="s">
        <v>29551</v>
      </c>
      <c r="E28058" s="62"/>
      <c r="F28058" s="62" t="str">
        <f>IF(INDEX(I.Gas.P3Y2C1V1,23)="","",INDEX(I.Gas.P3Y2C1V1,23))</f>
        <v/>
      </c>
      <c r="G28058" s="62"/>
      <c r="H28058" s="46" t="str">
        <f>IF(OR(I.Developer.P3=FALSE,I.Facility.StandardPart&lt;&gt;"Part 2"),"Complete",IF(I.Product.P3GasToPowerStatus&lt;&gt;"Yes","Complete",IF(AND(I.Gas.P3Y2Count&gt;=23,F28058=""),"Incomplete","Complete")))</f>
        <v>Complete</v>
      </c>
      <c r="I28058" s="48" t="s">
        <v>3237</v>
      </c>
    </row>
    <row r="28059" spans="2:9" ht="15" customHeight="1" x14ac:dyDescent="0.25">
      <c r="B28059" s="55" t="s">
        <v>414</v>
      </c>
      <c r="C28059" s="46">
        <v>24</v>
      </c>
      <c r="D28059" s="69" t="s">
        <v>29551</v>
      </c>
      <c r="E28059" s="62"/>
      <c r="F28059" s="62" t="str">
        <f>IF(INDEX(I.Gas.P3Y2C1V1,24)="","",INDEX(I.Gas.P3Y2C1V1,24))</f>
        <v/>
      </c>
      <c r="G28059" s="62"/>
      <c r="H28059" s="46" t="str">
        <f>IF(OR(I.Developer.P3=FALSE,I.Facility.StandardPart&lt;&gt;"Part 2"),"Complete",IF(I.Product.P3GasToPowerStatus&lt;&gt;"Yes","Complete",IF(AND(I.Gas.P3Y2Count&gt;=24,F28059=""),"Incomplete","Complete")))</f>
        <v>Complete</v>
      </c>
      <c r="I28059" s="48" t="s">
        <v>3238</v>
      </c>
    </row>
    <row r="28060" spans="2:9" ht="15" customHeight="1" x14ac:dyDescent="0.25">
      <c r="B28060" s="55" t="s">
        <v>414</v>
      </c>
      <c r="C28060" s="46">
        <v>25</v>
      </c>
      <c r="D28060" s="69" t="s">
        <v>29551</v>
      </c>
      <c r="E28060" s="62"/>
      <c r="F28060" s="62" t="str">
        <f>IF(INDEX(I.Gas.P3Y2C1V1,25)="","",INDEX(I.Gas.P3Y2C1V1,25))</f>
        <v/>
      </c>
      <c r="G28060" s="62"/>
      <c r="H28060" s="46" t="str">
        <f>IF(OR(I.Developer.P3=FALSE,I.Facility.StandardPart&lt;&gt;"Part 2"),"Complete",IF(I.Product.P3GasToPowerStatus&lt;&gt;"Yes","Complete",IF(AND(I.Gas.P3Y2Count&gt;=25,F28060=""),"Incomplete","Complete")))</f>
        <v>Complete</v>
      </c>
      <c r="I28060" s="48" t="s">
        <v>3239</v>
      </c>
    </row>
    <row r="28061" spans="2:9" ht="15" customHeight="1" x14ac:dyDescent="0.25">
      <c r="B28061" s="55" t="s">
        <v>414</v>
      </c>
      <c r="C28061" s="46">
        <v>26</v>
      </c>
      <c r="D28061" s="69" t="s">
        <v>29551</v>
      </c>
      <c r="E28061" s="62"/>
      <c r="F28061" s="62" t="str">
        <f>IF(INDEX(I.Gas.P3Y2C1V1,26)="","",INDEX(I.Gas.P3Y2C1V1,26))</f>
        <v/>
      </c>
      <c r="G28061" s="62"/>
      <c r="H28061" s="46" t="str">
        <f>IF(OR(I.Developer.P3=FALSE,I.Facility.StandardPart&lt;&gt;"Part 2"),"Complete",IF(I.Product.P3GasToPowerStatus&lt;&gt;"Yes","Complete",IF(AND(I.Gas.P3Y2Count&gt;=26,F28061=""),"Incomplete","Complete")))</f>
        <v>Complete</v>
      </c>
      <c r="I28061" s="48" t="s">
        <v>3240</v>
      </c>
    </row>
    <row r="28062" spans="2:9" ht="15" customHeight="1" x14ac:dyDescent="0.25">
      <c r="B28062" s="55" t="s">
        <v>414</v>
      </c>
      <c r="C28062" s="46">
        <v>27</v>
      </c>
      <c r="D28062" s="69" t="s">
        <v>29551</v>
      </c>
      <c r="E28062" s="62"/>
      <c r="F28062" s="62" t="str">
        <f>IF(INDEX(I.Gas.P3Y2C1V1,27)="","",INDEX(I.Gas.P3Y2C1V1,27))</f>
        <v/>
      </c>
      <c r="G28062" s="62"/>
      <c r="H28062" s="46" t="str">
        <f>IF(OR(I.Developer.P3=FALSE,I.Facility.StandardPart&lt;&gt;"Part 2"),"Complete",IF(I.Product.P3GasToPowerStatus&lt;&gt;"Yes","Complete",IF(AND(I.Gas.P3Y2Count&gt;=27,F28062=""),"Incomplete","Complete")))</f>
        <v>Complete</v>
      </c>
      <c r="I28062" s="48" t="s">
        <v>3241</v>
      </c>
    </row>
    <row r="28063" spans="2:9" ht="15" customHeight="1" x14ac:dyDescent="0.25">
      <c r="B28063" s="55" t="s">
        <v>414</v>
      </c>
      <c r="C28063" s="46">
        <v>28</v>
      </c>
      <c r="D28063" s="69" t="s">
        <v>29551</v>
      </c>
      <c r="E28063" s="62"/>
      <c r="F28063" s="62" t="str">
        <f>IF(INDEX(I.Gas.P3Y2C1V1,28)="","",INDEX(I.Gas.P3Y2C1V1,28))</f>
        <v/>
      </c>
      <c r="G28063" s="62"/>
      <c r="H28063" s="46" t="str">
        <f>IF(OR(I.Developer.P3=FALSE,I.Facility.StandardPart&lt;&gt;"Part 2"),"Complete",IF(I.Product.P3GasToPowerStatus&lt;&gt;"Yes","Complete",IF(AND(I.Gas.P3Y2Count&gt;=28,F28063=""),"Incomplete","Complete")))</f>
        <v>Complete</v>
      </c>
      <c r="I28063" s="48" t="s">
        <v>3242</v>
      </c>
    </row>
    <row r="28064" spans="2:9" ht="15" customHeight="1" x14ac:dyDescent="0.25">
      <c r="B28064" s="55" t="s">
        <v>414</v>
      </c>
      <c r="C28064" s="46">
        <v>29</v>
      </c>
      <c r="D28064" s="69" t="s">
        <v>29551</v>
      </c>
      <c r="E28064" s="62"/>
      <c r="F28064" s="62" t="str">
        <f>IF(INDEX(I.Gas.P3Y2C1V1,29)="","",INDEX(I.Gas.P3Y2C1V1,29))</f>
        <v/>
      </c>
      <c r="G28064" s="62"/>
      <c r="H28064" s="46" t="str">
        <f>IF(OR(I.Developer.P3=FALSE,I.Facility.StandardPart&lt;&gt;"Part 2"),"Complete",IF(I.Product.P3GasToPowerStatus&lt;&gt;"Yes","Complete",IF(AND(I.Gas.P3Y2Count&gt;=29,F28064=""),"Incomplete","Complete")))</f>
        <v>Complete</v>
      </c>
      <c r="I28064" s="48" t="s">
        <v>3243</v>
      </c>
    </row>
    <row r="28065" spans="2:9" ht="15" customHeight="1" x14ac:dyDescent="0.25">
      <c r="B28065" s="55" t="s">
        <v>414</v>
      </c>
      <c r="C28065" s="46">
        <v>30</v>
      </c>
      <c r="D28065" s="69" t="s">
        <v>29551</v>
      </c>
      <c r="E28065" s="62"/>
      <c r="F28065" s="62" t="str">
        <f>IF(INDEX(I.Gas.P3Y2C1V1,30)="","",INDEX(I.Gas.P3Y2C1V1,30))</f>
        <v/>
      </c>
      <c r="G28065" s="62"/>
      <c r="H28065" s="46" t="str">
        <f>IF(OR(I.Developer.P3=FALSE,I.Facility.StandardPart&lt;&gt;"Part 2"),"Complete",IF(I.Product.P3GasToPowerStatus&lt;&gt;"Yes","Complete",IF(AND(I.Gas.P3Y2Count&gt;=30,F28065=""),"Incomplete","Complete")))</f>
        <v>Complete</v>
      </c>
      <c r="I28065" s="48" t="s">
        <v>3244</v>
      </c>
    </row>
    <row r="28066" spans="2:9" ht="15" customHeight="1" x14ac:dyDescent="0.25">
      <c r="B28066" s="55" t="s">
        <v>414</v>
      </c>
      <c r="C28066" s="46">
        <v>31</v>
      </c>
      <c r="D28066" s="69" t="s">
        <v>29551</v>
      </c>
      <c r="E28066" s="62"/>
      <c r="F28066" s="62" t="str">
        <f>IF(INDEX(I.Gas.P3Y2C1V1,31)="","",INDEX(I.Gas.P3Y2C1V1,31))</f>
        <v/>
      </c>
      <c r="G28066" s="62"/>
      <c r="H28066" s="46" t="str">
        <f>IF(OR(I.Developer.P3=FALSE,I.Facility.StandardPart&lt;&gt;"Part 2"),"Complete",IF(I.Product.P3GasToPowerStatus&lt;&gt;"Yes","Complete",IF(AND(I.Gas.P3Y2Count&gt;=31,F28066=""),"Incomplete","Complete")))</f>
        <v>Complete</v>
      </c>
      <c r="I28066" s="48" t="s">
        <v>3245</v>
      </c>
    </row>
    <row r="28067" spans="2:9" ht="15" customHeight="1" x14ac:dyDescent="0.25">
      <c r="B28067" s="55" t="s">
        <v>414</v>
      </c>
      <c r="C28067" s="46">
        <v>32</v>
      </c>
      <c r="D28067" s="69" t="s">
        <v>29551</v>
      </c>
      <c r="E28067" s="62"/>
      <c r="F28067" s="62" t="str">
        <f>IF(INDEX(I.Gas.P3Y2C1V1,32)="","",INDEX(I.Gas.P3Y2C1V1,32))</f>
        <v/>
      </c>
      <c r="G28067" s="62"/>
      <c r="H28067" s="46" t="str">
        <f>IF(OR(I.Developer.P3=FALSE,I.Facility.StandardPart&lt;&gt;"Part 2"),"Complete",IF(I.Product.P3GasToPowerStatus&lt;&gt;"Yes","Complete",IF(AND(I.Gas.P3Y2Count&gt;=32,F28067=""),"Incomplete","Complete")))</f>
        <v>Complete</v>
      </c>
      <c r="I28067" s="48" t="s">
        <v>3246</v>
      </c>
    </row>
    <row r="28068" spans="2:9" ht="15" customHeight="1" x14ac:dyDescent="0.25">
      <c r="B28068" s="55" t="s">
        <v>414</v>
      </c>
      <c r="C28068" s="46">
        <v>33</v>
      </c>
      <c r="D28068" s="69" t="s">
        <v>29551</v>
      </c>
      <c r="E28068" s="62"/>
      <c r="F28068" s="62" t="str">
        <f>IF(INDEX(I.Gas.P3Y2C1V1,33)="","",INDEX(I.Gas.P3Y2C1V1,33))</f>
        <v/>
      </c>
      <c r="G28068" s="62"/>
      <c r="H28068" s="46" t="str">
        <f>IF(OR(I.Developer.P3=FALSE,I.Facility.StandardPart&lt;&gt;"Part 2"),"Complete",IF(I.Product.P3GasToPowerStatus&lt;&gt;"Yes","Complete",IF(AND(I.Gas.P3Y2Count&gt;=33,F28068=""),"Incomplete","Complete")))</f>
        <v>Complete</v>
      </c>
      <c r="I28068" s="48" t="s">
        <v>3247</v>
      </c>
    </row>
    <row r="28069" spans="2:9" ht="15" customHeight="1" x14ac:dyDescent="0.25">
      <c r="B28069" s="55" t="s">
        <v>414</v>
      </c>
      <c r="C28069" s="46">
        <v>34</v>
      </c>
      <c r="D28069" s="69" t="s">
        <v>29551</v>
      </c>
      <c r="E28069" s="62"/>
      <c r="F28069" s="62" t="str">
        <f>IF(INDEX(I.Gas.P3Y2C1V1,34)="","",INDEX(I.Gas.P3Y2C1V1,34))</f>
        <v/>
      </c>
      <c r="G28069" s="62"/>
      <c r="H28069" s="46" t="str">
        <f>IF(OR(I.Developer.P3=FALSE,I.Facility.StandardPart&lt;&gt;"Part 2"),"Complete",IF(I.Product.P3GasToPowerStatus&lt;&gt;"Yes","Complete",IF(AND(I.Gas.P3Y2Count&gt;=34,F28069=""),"Incomplete","Complete")))</f>
        <v>Complete</v>
      </c>
      <c r="I28069" s="48" t="s">
        <v>3248</v>
      </c>
    </row>
    <row r="28070" spans="2:9" ht="15" customHeight="1" x14ac:dyDescent="0.25">
      <c r="B28070" s="55" t="s">
        <v>414</v>
      </c>
      <c r="C28070" s="46">
        <v>35</v>
      </c>
      <c r="D28070" s="69" t="s">
        <v>29551</v>
      </c>
      <c r="E28070" s="62"/>
      <c r="F28070" s="62" t="str">
        <f>IF(INDEX(I.Gas.P3Y2C1V1,35)="","",INDEX(I.Gas.P3Y2C1V1,35))</f>
        <v/>
      </c>
      <c r="G28070" s="62"/>
      <c r="H28070" s="46" t="str">
        <f>IF(OR(I.Developer.P3=FALSE,I.Facility.StandardPart&lt;&gt;"Part 2"),"Complete",IF(I.Product.P3GasToPowerStatus&lt;&gt;"Yes","Complete",IF(AND(I.Gas.P3Y2Count&gt;=35,F28070=""),"Incomplete","Complete")))</f>
        <v>Complete</v>
      </c>
      <c r="I28070" s="48" t="s">
        <v>3249</v>
      </c>
    </row>
    <row r="28071" spans="2:9" ht="15" customHeight="1" x14ac:dyDescent="0.25">
      <c r="B28071" s="55" t="s">
        <v>414</v>
      </c>
      <c r="C28071" s="46">
        <v>36</v>
      </c>
      <c r="D28071" s="69" t="s">
        <v>29551</v>
      </c>
      <c r="E28071" s="62"/>
      <c r="F28071" s="62" t="str">
        <f>IF(INDEX(I.Gas.P3Y2C1V1,36)="","",INDEX(I.Gas.P3Y2C1V1,36))</f>
        <v/>
      </c>
      <c r="G28071" s="62"/>
      <c r="H28071" s="46" t="str">
        <f>IF(OR(I.Developer.P3=FALSE,I.Facility.StandardPart&lt;&gt;"Part 2"),"Complete",IF(I.Product.P3GasToPowerStatus&lt;&gt;"Yes","Complete",IF(AND(I.Gas.P3Y2Count&gt;=36,F28071=""),"Incomplete","Complete")))</f>
        <v>Complete</v>
      </c>
      <c r="I28071" s="48" t="s">
        <v>3250</v>
      </c>
    </row>
    <row r="28072" spans="2:9" ht="15" customHeight="1" x14ac:dyDescent="0.25">
      <c r="B28072" s="55" t="s">
        <v>414</v>
      </c>
      <c r="C28072" s="46">
        <v>37</v>
      </c>
      <c r="D28072" s="69" t="s">
        <v>29551</v>
      </c>
      <c r="E28072" s="62"/>
      <c r="F28072" s="62" t="str">
        <f>IF(INDEX(I.Gas.P3Y2C1V1,37)="","",INDEX(I.Gas.P3Y2C1V1,37))</f>
        <v/>
      </c>
      <c r="G28072" s="62"/>
      <c r="H28072" s="46" t="str">
        <f>IF(OR(I.Developer.P3=FALSE,I.Facility.StandardPart&lt;&gt;"Part 2"),"Complete",IF(I.Product.P3GasToPowerStatus&lt;&gt;"Yes","Complete",IF(AND(I.Gas.P3Y2Count&gt;=37,F28072=""),"Incomplete","Complete")))</f>
        <v>Complete</v>
      </c>
      <c r="I28072" s="48" t="s">
        <v>3251</v>
      </c>
    </row>
    <row r="28073" spans="2:9" ht="15" customHeight="1" x14ac:dyDescent="0.25">
      <c r="B28073" s="55" t="s">
        <v>414</v>
      </c>
      <c r="C28073" s="46">
        <v>38</v>
      </c>
      <c r="D28073" s="69" t="s">
        <v>29551</v>
      </c>
      <c r="E28073" s="62"/>
      <c r="F28073" s="62" t="str">
        <f>IF(INDEX(I.Gas.P3Y2C1V1,38)="","",INDEX(I.Gas.P3Y2C1V1,38))</f>
        <v/>
      </c>
      <c r="G28073" s="62"/>
      <c r="H28073" s="46" t="str">
        <f>IF(OR(I.Developer.P3=FALSE,I.Facility.StandardPart&lt;&gt;"Part 2"),"Complete",IF(I.Product.P3GasToPowerStatus&lt;&gt;"Yes","Complete",IF(AND(I.Gas.P3Y2Count&gt;=38,F28073=""),"Incomplete","Complete")))</f>
        <v>Complete</v>
      </c>
      <c r="I28073" s="48" t="s">
        <v>3252</v>
      </c>
    </row>
    <row r="28074" spans="2:9" ht="15" customHeight="1" x14ac:dyDescent="0.25">
      <c r="B28074" s="55" t="s">
        <v>414</v>
      </c>
      <c r="C28074" s="46">
        <v>39</v>
      </c>
      <c r="D28074" s="69" t="s">
        <v>29551</v>
      </c>
      <c r="E28074" s="62"/>
      <c r="F28074" s="62" t="str">
        <f>IF(INDEX(I.Gas.P3Y2C1V1,39)="","",INDEX(I.Gas.P3Y2C1V1,39))</f>
        <v/>
      </c>
      <c r="G28074" s="62"/>
      <c r="H28074" s="46" t="str">
        <f>IF(OR(I.Developer.P3=FALSE,I.Facility.StandardPart&lt;&gt;"Part 2"),"Complete",IF(I.Product.P3GasToPowerStatus&lt;&gt;"Yes","Complete",IF(AND(I.Gas.P3Y2Count&gt;=39,F28074=""),"Incomplete","Complete")))</f>
        <v>Complete</v>
      </c>
      <c r="I28074" s="48" t="s">
        <v>3253</v>
      </c>
    </row>
    <row r="28075" spans="2:9" ht="15" customHeight="1" x14ac:dyDescent="0.25">
      <c r="B28075" s="55" t="s">
        <v>414</v>
      </c>
      <c r="C28075" s="46">
        <v>40</v>
      </c>
      <c r="D28075" s="69" t="s">
        <v>29551</v>
      </c>
      <c r="E28075" s="62"/>
      <c r="F28075" s="62" t="str">
        <f>IF(INDEX(I.Gas.P3Y2C1V1,40)="","",INDEX(I.Gas.P3Y2C1V1,40))</f>
        <v/>
      </c>
      <c r="G28075" s="62"/>
      <c r="H28075" s="46" t="str">
        <f>IF(OR(I.Developer.P3=FALSE,I.Facility.StandardPart&lt;&gt;"Part 2"),"Complete",IF(I.Product.P3GasToPowerStatus&lt;&gt;"Yes","Complete",IF(AND(I.Gas.P3Y2Count&gt;=40,F28075=""),"Incomplete","Complete")))</f>
        <v>Complete</v>
      </c>
      <c r="I28075" s="48" t="s">
        <v>3254</v>
      </c>
    </row>
    <row r="28076" spans="2:9" ht="15" customHeight="1" x14ac:dyDescent="0.25">
      <c r="B28076" s="55" t="s">
        <v>414</v>
      </c>
      <c r="C28076" s="46">
        <v>41</v>
      </c>
      <c r="D28076" s="69" t="s">
        <v>29551</v>
      </c>
      <c r="E28076" s="62"/>
      <c r="F28076" s="62" t="str">
        <f>IF(INDEX(I.Gas.P3Y2C1V1,41)="","",INDEX(I.Gas.P3Y2C1V1,41))</f>
        <v/>
      </c>
      <c r="G28076" s="62"/>
      <c r="H28076" s="46" t="str">
        <f>IF(OR(I.Developer.P3=FALSE,I.Facility.StandardPart&lt;&gt;"Part 2"),"Complete",IF(I.Product.P3GasToPowerStatus&lt;&gt;"Yes","Complete",IF(AND(I.Gas.P3Y2Count&gt;=41,F28076=""),"Incomplete","Complete")))</f>
        <v>Complete</v>
      </c>
      <c r="I28076" s="48" t="s">
        <v>3255</v>
      </c>
    </row>
    <row r="28077" spans="2:9" ht="15" customHeight="1" x14ac:dyDescent="0.25">
      <c r="B28077" s="55" t="s">
        <v>414</v>
      </c>
      <c r="C28077" s="46">
        <v>42</v>
      </c>
      <c r="D28077" s="69" t="s">
        <v>29551</v>
      </c>
      <c r="E28077" s="62"/>
      <c r="F28077" s="62" t="str">
        <f>IF(INDEX(I.Gas.P3Y2C1V1,42)="","",INDEX(I.Gas.P3Y2C1V1,42))</f>
        <v/>
      </c>
      <c r="G28077" s="62"/>
      <c r="H28077" s="46" t="str">
        <f>IF(OR(I.Developer.P3=FALSE,I.Facility.StandardPart&lt;&gt;"Part 2"),"Complete",IF(I.Product.P3GasToPowerStatus&lt;&gt;"Yes","Complete",IF(AND(I.Gas.P3Y2Count&gt;=42,F28077=""),"Incomplete","Complete")))</f>
        <v>Complete</v>
      </c>
      <c r="I28077" s="48" t="s">
        <v>3256</v>
      </c>
    </row>
    <row r="28078" spans="2:9" ht="15" customHeight="1" x14ac:dyDescent="0.25">
      <c r="B28078" s="55" t="s">
        <v>414</v>
      </c>
      <c r="C28078" s="46">
        <v>43</v>
      </c>
      <c r="D28078" s="69" t="s">
        <v>29551</v>
      </c>
      <c r="E28078" s="62"/>
      <c r="F28078" s="62" t="str">
        <f>IF(INDEX(I.Gas.P3Y2C1V1,43)="","",INDEX(I.Gas.P3Y2C1V1,43))</f>
        <v/>
      </c>
      <c r="G28078" s="62"/>
      <c r="H28078" s="46" t="str">
        <f>IF(OR(I.Developer.P3=FALSE,I.Facility.StandardPart&lt;&gt;"Part 2"),"Complete",IF(I.Product.P3GasToPowerStatus&lt;&gt;"Yes","Complete",IF(AND(I.Gas.P3Y2Count&gt;=43,F28078=""),"Incomplete","Complete")))</f>
        <v>Complete</v>
      </c>
      <c r="I28078" s="48" t="s">
        <v>3257</v>
      </c>
    </row>
    <row r="28079" spans="2:9" ht="15" customHeight="1" x14ac:dyDescent="0.25">
      <c r="B28079" s="55" t="s">
        <v>414</v>
      </c>
      <c r="C28079" s="46">
        <v>44</v>
      </c>
      <c r="D28079" s="69" t="s">
        <v>29551</v>
      </c>
      <c r="E28079" s="62"/>
      <c r="F28079" s="62" t="str">
        <f>IF(INDEX(I.Gas.P3Y2C1V1,44)="","",INDEX(I.Gas.P3Y2C1V1,44))</f>
        <v/>
      </c>
      <c r="G28079" s="62"/>
      <c r="H28079" s="46" t="str">
        <f>IF(OR(I.Developer.P3=FALSE,I.Facility.StandardPart&lt;&gt;"Part 2"),"Complete",IF(I.Product.P3GasToPowerStatus&lt;&gt;"Yes","Complete",IF(AND(I.Gas.P3Y2Count&gt;=44,F28079=""),"Incomplete","Complete")))</f>
        <v>Complete</v>
      </c>
      <c r="I28079" s="48" t="s">
        <v>3258</v>
      </c>
    </row>
    <row r="28080" spans="2:9" ht="15" customHeight="1" x14ac:dyDescent="0.25">
      <c r="B28080" s="55" t="s">
        <v>414</v>
      </c>
      <c r="C28080" s="46">
        <v>45</v>
      </c>
      <c r="D28080" s="69" t="s">
        <v>29551</v>
      </c>
      <c r="E28080" s="62"/>
      <c r="F28080" s="62" t="str">
        <f>IF(INDEX(I.Gas.P3Y2C1V1,45)="","",INDEX(I.Gas.P3Y2C1V1,45))</f>
        <v/>
      </c>
      <c r="G28080" s="62"/>
      <c r="H28080" s="46" t="str">
        <f>IF(OR(I.Developer.P3=FALSE,I.Facility.StandardPart&lt;&gt;"Part 2"),"Complete",IF(I.Product.P3GasToPowerStatus&lt;&gt;"Yes","Complete",IF(AND(I.Gas.P3Y2Count&gt;=45,F28080=""),"Incomplete","Complete")))</f>
        <v>Complete</v>
      </c>
      <c r="I28080" s="48" t="s">
        <v>3259</v>
      </c>
    </row>
    <row r="28081" spans="2:9" ht="15" customHeight="1" x14ac:dyDescent="0.25">
      <c r="B28081" s="55" t="s">
        <v>414</v>
      </c>
      <c r="C28081" s="46">
        <v>46</v>
      </c>
      <c r="D28081" s="69" t="s">
        <v>29551</v>
      </c>
      <c r="E28081" s="62"/>
      <c r="F28081" s="62" t="str">
        <f>IF(INDEX(I.Gas.P3Y2C1V1,46)="","",INDEX(I.Gas.P3Y2C1V1,46))</f>
        <v/>
      </c>
      <c r="G28081" s="62"/>
      <c r="H28081" s="46" t="str">
        <f>IF(OR(I.Developer.P3=FALSE,I.Facility.StandardPart&lt;&gt;"Part 2"),"Complete",IF(I.Product.P3GasToPowerStatus&lt;&gt;"Yes","Complete",IF(AND(I.Gas.P3Y2Count&gt;=46,F28081=""),"Incomplete","Complete")))</f>
        <v>Complete</v>
      </c>
      <c r="I28081" s="48" t="s">
        <v>3260</v>
      </c>
    </row>
    <row r="28082" spans="2:9" ht="15" customHeight="1" x14ac:dyDescent="0.25">
      <c r="B28082" s="55" t="s">
        <v>414</v>
      </c>
      <c r="C28082" s="46">
        <v>47</v>
      </c>
      <c r="D28082" s="69" t="s">
        <v>29551</v>
      </c>
      <c r="E28082" s="62"/>
      <c r="F28082" s="62" t="str">
        <f>IF(INDEX(I.Gas.P3Y2C1V1,47)="","",INDEX(I.Gas.P3Y2C1V1,47))</f>
        <v/>
      </c>
      <c r="G28082" s="62"/>
      <c r="H28082" s="46" t="str">
        <f>IF(OR(I.Developer.P3=FALSE,I.Facility.StandardPart&lt;&gt;"Part 2"),"Complete",IF(I.Product.P3GasToPowerStatus&lt;&gt;"Yes","Complete",IF(AND(I.Gas.P3Y2Count&gt;=47,F28082=""),"Incomplete","Complete")))</f>
        <v>Complete</v>
      </c>
      <c r="I28082" s="48" t="s">
        <v>3261</v>
      </c>
    </row>
    <row r="28083" spans="2:9" ht="15" customHeight="1" x14ac:dyDescent="0.25">
      <c r="B28083" s="55" t="s">
        <v>414</v>
      </c>
      <c r="C28083" s="46">
        <v>48</v>
      </c>
      <c r="D28083" s="69" t="s">
        <v>29551</v>
      </c>
      <c r="E28083" s="62"/>
      <c r="F28083" s="62" t="str">
        <f>IF(INDEX(I.Gas.P3Y2C1V1,48)="","",INDEX(I.Gas.P3Y2C1V1,48))</f>
        <v/>
      </c>
      <c r="G28083" s="62"/>
      <c r="H28083" s="46" t="str">
        <f>IF(OR(I.Developer.P3=FALSE,I.Facility.StandardPart&lt;&gt;"Part 2"),"Complete",IF(I.Product.P3GasToPowerStatus&lt;&gt;"Yes","Complete",IF(AND(I.Gas.P3Y2Count&gt;=48,F28083=""),"Incomplete","Complete")))</f>
        <v>Complete</v>
      </c>
      <c r="I28083" s="48" t="s">
        <v>3262</v>
      </c>
    </row>
    <row r="28084" spans="2:9" ht="15" customHeight="1" x14ac:dyDescent="0.25">
      <c r="B28084" s="55" t="s">
        <v>414</v>
      </c>
      <c r="C28084" s="46">
        <v>49</v>
      </c>
      <c r="D28084" s="69" t="s">
        <v>29551</v>
      </c>
      <c r="E28084" s="62"/>
      <c r="F28084" s="62" t="str">
        <f>IF(INDEX(I.Gas.P3Y2C1V1,49)="","",INDEX(I.Gas.P3Y2C1V1,49))</f>
        <v/>
      </c>
      <c r="G28084" s="62"/>
      <c r="H28084" s="46" t="str">
        <f>IF(OR(I.Developer.P3=FALSE,I.Facility.StandardPart&lt;&gt;"Part 2"),"Complete",IF(I.Product.P3GasToPowerStatus&lt;&gt;"Yes","Complete",IF(AND(I.Gas.P3Y2Count&gt;=49,F28084=""),"Incomplete","Complete")))</f>
        <v>Complete</v>
      </c>
      <c r="I28084" s="48" t="s">
        <v>3263</v>
      </c>
    </row>
    <row r="28085" spans="2:9" ht="15" customHeight="1" x14ac:dyDescent="0.25">
      <c r="B28085" s="56" t="s">
        <v>414</v>
      </c>
      <c r="C28085" s="57">
        <v>50</v>
      </c>
      <c r="D28085" s="71" t="s">
        <v>29551</v>
      </c>
      <c r="E28085" s="61"/>
      <c r="F28085" s="61" t="str">
        <f>IF(INDEX(I.Gas.P3Y2C1V1,50)="","",INDEX(I.Gas.P3Y2C1V1,50))</f>
        <v/>
      </c>
      <c r="G28085" s="61"/>
      <c r="H28085" s="57" t="str">
        <f>IF(OR(I.Developer.P3=FALSE,I.Facility.StandardPart&lt;&gt;"Part 2"),"Complete",IF(I.Product.P3GasToPowerStatus&lt;&gt;"Yes","Complete",IF(AND(I.Gas.P3Y2Count&gt;=50,F28085=""),"Incomplete","Complete")))</f>
        <v>Complete</v>
      </c>
      <c r="I28085" s="49" t="s">
        <v>3264</v>
      </c>
    </row>
    <row r="28086" spans="2:9" ht="15" customHeight="1" x14ac:dyDescent="0.25">
      <c r="B28086" s="55" t="s">
        <v>415</v>
      </c>
      <c r="C28086" s="46">
        <v>1</v>
      </c>
      <c r="D28086" s="69" t="s">
        <v>29552</v>
      </c>
      <c r="E28086" s="62"/>
      <c r="F28086" s="62" t="str">
        <f>IF(INDEX(I.Gas.P3Y2C1E1,1)="","",INDEX(I.Gas.P3Y2C1E1,1))</f>
        <v/>
      </c>
      <c r="G28086" s="62"/>
      <c r="H28086" s="46" t="str">
        <f>IF(OR(I.Developer.P3=FALSE,I.Facility.StandardPart="Part 2"),"Complete",IF(I.Product.P3GasToPowerStatus&lt;&gt;"Yes","Complete",IF(AND(I.Gas.P3Y2Count&gt;=1,F28086=""),"Incomplete","Complete")))</f>
        <v>Complete</v>
      </c>
      <c r="I28086" s="48" t="s">
        <v>3265</v>
      </c>
    </row>
    <row r="28087" spans="2:9" ht="15" customHeight="1" x14ac:dyDescent="0.25">
      <c r="B28087" s="55" t="s">
        <v>415</v>
      </c>
      <c r="C28087" s="46">
        <v>2</v>
      </c>
      <c r="D28087" s="69" t="s">
        <v>29552</v>
      </c>
      <c r="E28087" s="62"/>
      <c r="F28087" s="62" t="str">
        <f>IF(INDEX(I.Gas.P3Y2C1E1,2)="","",INDEX(I.Gas.P3Y2C1E1,2))</f>
        <v/>
      </c>
      <c r="G28087" s="62"/>
      <c r="H28087" s="46" t="str">
        <f>IF(OR(I.Developer.P3=FALSE,I.Facility.StandardPart="Part 2"),"Complete",IF(I.Product.P3GasToPowerStatus&lt;&gt;"Yes","Complete",IF(AND(I.Gas.P3Y2Count&gt;=2,F28087=""),"Incomplete","Complete")))</f>
        <v>Complete</v>
      </c>
      <c r="I28087" s="48" t="s">
        <v>3266</v>
      </c>
    </row>
    <row r="28088" spans="2:9" ht="15" customHeight="1" x14ac:dyDescent="0.25">
      <c r="B28088" s="55" t="s">
        <v>415</v>
      </c>
      <c r="C28088" s="46">
        <v>3</v>
      </c>
      <c r="D28088" s="69" t="s">
        <v>29552</v>
      </c>
      <c r="E28088" s="62"/>
      <c r="F28088" s="62" t="str">
        <f>IF(INDEX(I.Gas.P3Y2C1E1,3)="","",INDEX(I.Gas.P3Y2C1E1,3))</f>
        <v/>
      </c>
      <c r="G28088" s="62"/>
      <c r="H28088" s="46" t="str">
        <f>IF(OR(I.Developer.P3=FALSE,I.Facility.StandardPart="Part 2"),"Complete",IF(I.Product.P3GasToPowerStatus&lt;&gt;"Yes","Complete",IF(AND(I.Gas.P3Y2Count&gt;=3,F28088=""),"Incomplete","Complete")))</f>
        <v>Complete</v>
      </c>
      <c r="I28088" s="48" t="s">
        <v>3267</v>
      </c>
    </row>
    <row r="28089" spans="2:9" ht="15" customHeight="1" x14ac:dyDescent="0.25">
      <c r="B28089" s="55" t="s">
        <v>415</v>
      </c>
      <c r="C28089" s="46">
        <v>4</v>
      </c>
      <c r="D28089" s="69" t="s">
        <v>29552</v>
      </c>
      <c r="E28089" s="62"/>
      <c r="F28089" s="62" t="str">
        <f>IF(INDEX(I.Gas.P3Y2C1E1,4)="","",INDEX(I.Gas.P3Y2C1E1,4))</f>
        <v/>
      </c>
      <c r="G28089" s="62"/>
      <c r="H28089" s="46" t="str">
        <f>IF(OR(I.Developer.P3=FALSE,I.Facility.StandardPart="Part 2"),"Complete",IF(I.Product.P3GasToPowerStatus&lt;&gt;"Yes","Complete",IF(AND(I.Gas.P3Y2Count&gt;=4,F28089=""),"Incomplete","Complete")))</f>
        <v>Complete</v>
      </c>
      <c r="I28089" s="48" t="s">
        <v>3268</v>
      </c>
    </row>
    <row r="28090" spans="2:9" ht="15" customHeight="1" x14ac:dyDescent="0.25">
      <c r="B28090" s="55" t="s">
        <v>415</v>
      </c>
      <c r="C28090" s="46">
        <v>5</v>
      </c>
      <c r="D28090" s="69" t="s">
        <v>29552</v>
      </c>
      <c r="E28090" s="62"/>
      <c r="F28090" s="62" t="str">
        <f>IF(INDEX(I.Gas.P3Y2C1E1,5)="","",INDEX(I.Gas.P3Y2C1E1,5))</f>
        <v/>
      </c>
      <c r="G28090" s="62"/>
      <c r="H28090" s="46" t="str">
        <f>IF(OR(I.Developer.P3=FALSE,I.Facility.StandardPart="Part 2"),"Complete",IF(I.Product.P3GasToPowerStatus&lt;&gt;"Yes","Complete",IF(AND(I.Gas.P3Y2Count&gt;=5,F28090=""),"Incomplete","Complete")))</f>
        <v>Complete</v>
      </c>
      <c r="I28090" s="48" t="s">
        <v>3269</v>
      </c>
    </row>
    <row r="28091" spans="2:9" ht="15" customHeight="1" x14ac:dyDescent="0.25">
      <c r="B28091" s="55" t="s">
        <v>415</v>
      </c>
      <c r="C28091" s="46">
        <v>6</v>
      </c>
      <c r="D28091" s="69" t="s">
        <v>29552</v>
      </c>
      <c r="E28091" s="62"/>
      <c r="F28091" s="62" t="str">
        <f>IF(INDEX(I.Gas.P3Y2C1E1,6)="","",INDEX(I.Gas.P3Y2C1E1,6))</f>
        <v/>
      </c>
      <c r="G28091" s="62"/>
      <c r="H28091" s="46" t="str">
        <f>IF(OR(I.Developer.P3=FALSE,I.Facility.StandardPart="Part 2"),"Complete",IF(I.Product.P3GasToPowerStatus&lt;&gt;"Yes","Complete",IF(AND(I.Gas.P3Y2Count&gt;=6,F28091=""),"Incomplete","Complete")))</f>
        <v>Complete</v>
      </c>
      <c r="I28091" s="48" t="s">
        <v>3270</v>
      </c>
    </row>
    <row r="28092" spans="2:9" ht="15" customHeight="1" x14ac:dyDescent="0.25">
      <c r="B28092" s="55" t="s">
        <v>415</v>
      </c>
      <c r="C28092" s="46">
        <v>7</v>
      </c>
      <c r="D28092" s="69" t="s">
        <v>29552</v>
      </c>
      <c r="E28092" s="62"/>
      <c r="F28092" s="62" t="str">
        <f>IF(INDEX(I.Gas.P3Y2C1E1,7)="","",INDEX(I.Gas.P3Y2C1E1,7))</f>
        <v/>
      </c>
      <c r="G28092" s="62"/>
      <c r="H28092" s="46" t="str">
        <f>IF(OR(I.Developer.P3=FALSE,I.Facility.StandardPart="Part 2"),"Complete",IF(I.Product.P3GasToPowerStatus&lt;&gt;"Yes","Complete",IF(AND(I.Gas.P3Y2Count&gt;=7,F28092=""),"Incomplete","Complete")))</f>
        <v>Complete</v>
      </c>
      <c r="I28092" s="48" t="s">
        <v>3271</v>
      </c>
    </row>
    <row r="28093" spans="2:9" ht="15" customHeight="1" x14ac:dyDescent="0.25">
      <c r="B28093" s="55" t="s">
        <v>415</v>
      </c>
      <c r="C28093" s="46">
        <v>8</v>
      </c>
      <c r="D28093" s="69" t="s">
        <v>29552</v>
      </c>
      <c r="E28093" s="62"/>
      <c r="F28093" s="62" t="str">
        <f>IF(INDEX(I.Gas.P3Y2C1E1,8)="","",INDEX(I.Gas.P3Y2C1E1,8))</f>
        <v/>
      </c>
      <c r="G28093" s="62"/>
      <c r="H28093" s="46" t="str">
        <f>IF(OR(I.Developer.P3=FALSE,I.Facility.StandardPart="Part 2"),"Complete",IF(I.Product.P3GasToPowerStatus&lt;&gt;"Yes","Complete",IF(AND(I.Gas.P3Y2Count&gt;=8,F28093=""),"Incomplete","Complete")))</f>
        <v>Complete</v>
      </c>
      <c r="I28093" s="48" t="s">
        <v>3272</v>
      </c>
    </row>
    <row r="28094" spans="2:9" ht="15" customHeight="1" x14ac:dyDescent="0.25">
      <c r="B28094" s="55" t="s">
        <v>415</v>
      </c>
      <c r="C28094" s="46">
        <v>9</v>
      </c>
      <c r="D28094" s="69" t="s">
        <v>29552</v>
      </c>
      <c r="E28094" s="62"/>
      <c r="F28094" s="62" t="str">
        <f>IF(INDEX(I.Gas.P3Y2C1E1,9)="","",INDEX(I.Gas.P3Y2C1E1,9))</f>
        <v/>
      </c>
      <c r="G28094" s="62"/>
      <c r="H28094" s="46" t="str">
        <f>IF(OR(I.Developer.P3=FALSE,I.Facility.StandardPart="Part 2"),"Complete",IF(I.Product.P3GasToPowerStatus&lt;&gt;"Yes","Complete",IF(AND(I.Gas.P3Y2Count&gt;=9,F28094=""),"Incomplete","Complete")))</f>
        <v>Complete</v>
      </c>
      <c r="I28094" s="48" t="s">
        <v>3273</v>
      </c>
    </row>
    <row r="28095" spans="2:9" ht="15" customHeight="1" x14ac:dyDescent="0.25">
      <c r="B28095" s="55" t="s">
        <v>415</v>
      </c>
      <c r="C28095" s="46">
        <v>10</v>
      </c>
      <c r="D28095" s="69" t="s">
        <v>29552</v>
      </c>
      <c r="E28095" s="62"/>
      <c r="F28095" s="62" t="str">
        <f>IF(INDEX(I.Gas.P3Y2C1E1,10)="","",INDEX(I.Gas.P3Y2C1E1,10))</f>
        <v/>
      </c>
      <c r="G28095" s="62"/>
      <c r="H28095" s="46" t="str">
        <f>IF(OR(I.Developer.P3=FALSE,I.Facility.StandardPart="Part 2"),"Complete",IF(I.Product.P3GasToPowerStatus&lt;&gt;"Yes","Complete",IF(AND(I.Gas.P3Y2Count&gt;=10,F28095=""),"Incomplete","Complete")))</f>
        <v>Complete</v>
      </c>
      <c r="I28095" s="48" t="s">
        <v>3274</v>
      </c>
    </row>
    <row r="28096" spans="2:9" ht="15" customHeight="1" x14ac:dyDescent="0.25">
      <c r="B28096" s="55" t="s">
        <v>415</v>
      </c>
      <c r="C28096" s="46">
        <v>11</v>
      </c>
      <c r="D28096" s="69" t="s">
        <v>29552</v>
      </c>
      <c r="E28096" s="62"/>
      <c r="F28096" s="62" t="str">
        <f>IF(INDEX(I.Gas.P3Y2C1E1,11)="","",INDEX(I.Gas.P3Y2C1E1,11))</f>
        <v/>
      </c>
      <c r="G28096" s="62"/>
      <c r="H28096" s="46" t="str">
        <f>IF(OR(I.Developer.P3=FALSE,I.Facility.StandardPart="Part 2"),"Complete",IF(I.Product.P3GasToPowerStatus&lt;&gt;"Yes","Complete",IF(AND(I.Gas.P3Y2Count&gt;=11,F28096=""),"Incomplete","Complete")))</f>
        <v>Complete</v>
      </c>
      <c r="I28096" s="48" t="s">
        <v>3275</v>
      </c>
    </row>
    <row r="28097" spans="2:9" ht="15" customHeight="1" x14ac:dyDescent="0.25">
      <c r="B28097" s="55" t="s">
        <v>415</v>
      </c>
      <c r="C28097" s="46">
        <v>12</v>
      </c>
      <c r="D28097" s="69" t="s">
        <v>29552</v>
      </c>
      <c r="E28097" s="62"/>
      <c r="F28097" s="62" t="str">
        <f>IF(INDEX(I.Gas.P3Y2C1E1,12)="","",INDEX(I.Gas.P3Y2C1E1,12))</f>
        <v/>
      </c>
      <c r="G28097" s="62"/>
      <c r="H28097" s="46" t="str">
        <f>IF(OR(I.Developer.P3=FALSE,I.Facility.StandardPart="Part 2"),"Complete",IF(I.Product.P3GasToPowerStatus&lt;&gt;"Yes","Complete",IF(AND(I.Gas.P3Y2Count&gt;=12,F28097=""),"Incomplete","Complete")))</f>
        <v>Complete</v>
      </c>
      <c r="I28097" s="48" t="s">
        <v>3276</v>
      </c>
    </row>
    <row r="28098" spans="2:9" ht="15" customHeight="1" x14ac:dyDescent="0.25">
      <c r="B28098" s="55" t="s">
        <v>415</v>
      </c>
      <c r="C28098" s="46">
        <v>13</v>
      </c>
      <c r="D28098" s="69" t="s">
        <v>29552</v>
      </c>
      <c r="E28098" s="62"/>
      <c r="F28098" s="62" t="str">
        <f>IF(INDEX(I.Gas.P3Y2C1E1,13)="","",INDEX(I.Gas.P3Y2C1E1,13))</f>
        <v/>
      </c>
      <c r="G28098" s="62"/>
      <c r="H28098" s="46" t="str">
        <f>IF(OR(I.Developer.P3=FALSE,I.Facility.StandardPart="Part 2"),"Complete",IF(I.Product.P3GasToPowerStatus&lt;&gt;"Yes","Complete",IF(AND(I.Gas.P3Y2Count&gt;=13,F28098=""),"Incomplete","Complete")))</f>
        <v>Complete</v>
      </c>
      <c r="I28098" s="48" t="s">
        <v>3277</v>
      </c>
    </row>
    <row r="28099" spans="2:9" ht="15" customHeight="1" x14ac:dyDescent="0.25">
      <c r="B28099" s="55" t="s">
        <v>415</v>
      </c>
      <c r="C28099" s="46">
        <v>14</v>
      </c>
      <c r="D28099" s="69" t="s">
        <v>29552</v>
      </c>
      <c r="E28099" s="62"/>
      <c r="F28099" s="62" t="str">
        <f>IF(INDEX(I.Gas.P3Y2C1E1,14)="","",INDEX(I.Gas.P3Y2C1E1,14))</f>
        <v/>
      </c>
      <c r="G28099" s="62"/>
      <c r="H28099" s="46" t="str">
        <f>IF(OR(I.Developer.P3=FALSE,I.Facility.StandardPart="Part 2"),"Complete",IF(I.Product.P3GasToPowerStatus&lt;&gt;"Yes","Complete",IF(AND(I.Gas.P3Y2Count&gt;=14,F28099=""),"Incomplete","Complete")))</f>
        <v>Complete</v>
      </c>
      <c r="I28099" s="48" t="s">
        <v>3278</v>
      </c>
    </row>
    <row r="28100" spans="2:9" ht="15" customHeight="1" x14ac:dyDescent="0.25">
      <c r="B28100" s="55" t="s">
        <v>415</v>
      </c>
      <c r="C28100" s="46">
        <v>15</v>
      </c>
      <c r="D28100" s="69" t="s">
        <v>29552</v>
      </c>
      <c r="E28100" s="62"/>
      <c r="F28100" s="62" t="str">
        <f>IF(INDEX(I.Gas.P3Y2C1E1,15)="","",INDEX(I.Gas.P3Y2C1E1,15))</f>
        <v/>
      </c>
      <c r="G28100" s="62"/>
      <c r="H28100" s="46" t="str">
        <f>IF(OR(I.Developer.P3=FALSE,I.Facility.StandardPart="Part 2"),"Complete",IF(I.Product.P3GasToPowerStatus&lt;&gt;"Yes","Complete",IF(AND(I.Gas.P3Y2Count&gt;=15,F28100=""),"Incomplete","Complete")))</f>
        <v>Complete</v>
      </c>
      <c r="I28100" s="48" t="s">
        <v>3279</v>
      </c>
    </row>
    <row r="28101" spans="2:9" ht="15" customHeight="1" x14ac:dyDescent="0.25">
      <c r="B28101" s="55" t="s">
        <v>415</v>
      </c>
      <c r="C28101" s="46">
        <v>16</v>
      </c>
      <c r="D28101" s="69" t="s">
        <v>29552</v>
      </c>
      <c r="E28101" s="62"/>
      <c r="F28101" s="62" t="str">
        <f>IF(INDEX(I.Gas.P3Y2C1E1,16)="","",INDEX(I.Gas.P3Y2C1E1,16))</f>
        <v/>
      </c>
      <c r="G28101" s="62"/>
      <c r="H28101" s="46" t="str">
        <f>IF(OR(I.Developer.P3=FALSE,I.Facility.StandardPart="Part 2"),"Complete",IF(I.Product.P3GasToPowerStatus&lt;&gt;"Yes","Complete",IF(AND(I.Gas.P3Y2Count&gt;=16,F28101=""),"Incomplete","Complete")))</f>
        <v>Complete</v>
      </c>
      <c r="I28101" s="48" t="s">
        <v>3280</v>
      </c>
    </row>
    <row r="28102" spans="2:9" ht="15" customHeight="1" x14ac:dyDescent="0.25">
      <c r="B28102" s="55" t="s">
        <v>415</v>
      </c>
      <c r="C28102" s="46">
        <v>17</v>
      </c>
      <c r="D28102" s="69" t="s">
        <v>29552</v>
      </c>
      <c r="E28102" s="62"/>
      <c r="F28102" s="62" t="str">
        <f>IF(INDEX(I.Gas.P3Y2C1E1,17)="","",INDEX(I.Gas.P3Y2C1E1,17))</f>
        <v/>
      </c>
      <c r="G28102" s="62"/>
      <c r="H28102" s="46" t="str">
        <f>IF(OR(I.Developer.P3=FALSE,I.Facility.StandardPart="Part 2"),"Complete",IF(I.Product.P3GasToPowerStatus&lt;&gt;"Yes","Complete",IF(AND(I.Gas.P3Y2Count&gt;=17,F28102=""),"Incomplete","Complete")))</f>
        <v>Complete</v>
      </c>
      <c r="I28102" s="48" t="s">
        <v>3281</v>
      </c>
    </row>
    <row r="28103" spans="2:9" ht="15" customHeight="1" x14ac:dyDescent="0.25">
      <c r="B28103" s="55" t="s">
        <v>415</v>
      </c>
      <c r="C28103" s="46">
        <v>18</v>
      </c>
      <c r="D28103" s="69" t="s">
        <v>29552</v>
      </c>
      <c r="E28103" s="62"/>
      <c r="F28103" s="62" t="str">
        <f>IF(INDEX(I.Gas.P3Y2C1E1,18)="","",INDEX(I.Gas.P3Y2C1E1,18))</f>
        <v/>
      </c>
      <c r="G28103" s="62"/>
      <c r="H28103" s="46" t="str">
        <f>IF(OR(I.Developer.P3=FALSE,I.Facility.StandardPart="Part 2"),"Complete",IF(I.Product.P3GasToPowerStatus&lt;&gt;"Yes","Complete",IF(AND(I.Gas.P3Y2Count&gt;=18,F28103=""),"Incomplete","Complete")))</f>
        <v>Complete</v>
      </c>
      <c r="I28103" s="48" t="s">
        <v>3282</v>
      </c>
    </row>
    <row r="28104" spans="2:9" ht="15" customHeight="1" x14ac:dyDescent="0.25">
      <c r="B28104" s="55" t="s">
        <v>415</v>
      </c>
      <c r="C28104" s="46">
        <v>19</v>
      </c>
      <c r="D28104" s="69" t="s">
        <v>29552</v>
      </c>
      <c r="E28104" s="62"/>
      <c r="F28104" s="62" t="str">
        <f>IF(INDEX(I.Gas.P3Y2C1E1,19)="","",INDEX(I.Gas.P3Y2C1E1,19))</f>
        <v/>
      </c>
      <c r="G28104" s="62"/>
      <c r="H28104" s="46" t="str">
        <f>IF(OR(I.Developer.P3=FALSE,I.Facility.StandardPart="Part 2"),"Complete",IF(I.Product.P3GasToPowerStatus&lt;&gt;"Yes","Complete",IF(AND(I.Gas.P3Y2Count&gt;=19,F28104=""),"Incomplete","Complete")))</f>
        <v>Complete</v>
      </c>
      <c r="I28104" s="48" t="s">
        <v>3283</v>
      </c>
    </row>
    <row r="28105" spans="2:9" ht="15" customHeight="1" x14ac:dyDescent="0.25">
      <c r="B28105" s="55" t="s">
        <v>415</v>
      </c>
      <c r="C28105" s="46">
        <v>20</v>
      </c>
      <c r="D28105" s="69" t="s">
        <v>29552</v>
      </c>
      <c r="E28105" s="62"/>
      <c r="F28105" s="62" t="str">
        <f>IF(INDEX(I.Gas.P3Y2C1E1,20)="","",INDEX(I.Gas.P3Y2C1E1,20))</f>
        <v/>
      </c>
      <c r="G28105" s="62"/>
      <c r="H28105" s="46" t="str">
        <f>IF(OR(I.Developer.P3=FALSE,I.Facility.StandardPart="Part 2"),"Complete",IF(I.Product.P3GasToPowerStatus&lt;&gt;"Yes","Complete",IF(AND(I.Gas.P3Y2Count&gt;=20,F28105=""),"Incomplete","Complete")))</f>
        <v>Complete</v>
      </c>
      <c r="I28105" s="48" t="s">
        <v>3284</v>
      </c>
    </row>
    <row r="28106" spans="2:9" ht="15" customHeight="1" x14ac:dyDescent="0.25">
      <c r="B28106" s="55" t="s">
        <v>415</v>
      </c>
      <c r="C28106" s="46">
        <v>21</v>
      </c>
      <c r="D28106" s="69" t="s">
        <v>29552</v>
      </c>
      <c r="E28106" s="62"/>
      <c r="F28106" s="62" t="str">
        <f>IF(INDEX(I.Gas.P3Y2C1E1,21)="","",INDEX(I.Gas.P3Y2C1E1,21))</f>
        <v/>
      </c>
      <c r="G28106" s="62"/>
      <c r="H28106" s="46" t="str">
        <f>IF(OR(I.Developer.P3=FALSE,I.Facility.StandardPart="Part 2"),"Complete",IF(I.Product.P3GasToPowerStatus&lt;&gt;"Yes","Complete",IF(AND(I.Gas.P3Y2Count&gt;=21,F28106=""),"Incomplete","Complete")))</f>
        <v>Complete</v>
      </c>
      <c r="I28106" s="48" t="s">
        <v>3285</v>
      </c>
    </row>
    <row r="28107" spans="2:9" ht="15" customHeight="1" x14ac:dyDescent="0.25">
      <c r="B28107" s="55" t="s">
        <v>415</v>
      </c>
      <c r="C28107" s="46">
        <v>22</v>
      </c>
      <c r="D28107" s="69" t="s">
        <v>29552</v>
      </c>
      <c r="E28107" s="62"/>
      <c r="F28107" s="62" t="str">
        <f>IF(INDEX(I.Gas.P3Y2C1E1,22)="","",INDEX(I.Gas.P3Y2C1E1,22))</f>
        <v/>
      </c>
      <c r="G28107" s="62"/>
      <c r="H28107" s="46" t="str">
        <f>IF(OR(I.Developer.P3=FALSE,I.Facility.StandardPart="Part 2"),"Complete",IF(I.Product.P3GasToPowerStatus&lt;&gt;"Yes","Complete",IF(AND(I.Gas.P3Y2Count&gt;=22,F28107=""),"Incomplete","Complete")))</f>
        <v>Complete</v>
      </c>
      <c r="I28107" s="48" t="s">
        <v>3286</v>
      </c>
    </row>
    <row r="28108" spans="2:9" ht="15" customHeight="1" x14ac:dyDescent="0.25">
      <c r="B28108" s="55" t="s">
        <v>415</v>
      </c>
      <c r="C28108" s="46">
        <v>23</v>
      </c>
      <c r="D28108" s="69" t="s">
        <v>29552</v>
      </c>
      <c r="E28108" s="62"/>
      <c r="F28108" s="62" t="str">
        <f>IF(INDEX(I.Gas.P3Y2C1E1,23)="","",INDEX(I.Gas.P3Y2C1E1,23))</f>
        <v/>
      </c>
      <c r="G28108" s="62"/>
      <c r="H28108" s="46" t="str">
        <f>IF(OR(I.Developer.P3=FALSE,I.Facility.StandardPart="Part 2"),"Complete",IF(I.Product.P3GasToPowerStatus&lt;&gt;"Yes","Complete",IF(AND(I.Gas.P3Y2Count&gt;=23,F28108=""),"Incomplete","Complete")))</f>
        <v>Complete</v>
      </c>
      <c r="I28108" s="48" t="s">
        <v>3287</v>
      </c>
    </row>
    <row r="28109" spans="2:9" ht="15" customHeight="1" x14ac:dyDescent="0.25">
      <c r="B28109" s="55" t="s">
        <v>415</v>
      </c>
      <c r="C28109" s="46">
        <v>24</v>
      </c>
      <c r="D28109" s="69" t="s">
        <v>29552</v>
      </c>
      <c r="E28109" s="62"/>
      <c r="F28109" s="62" t="str">
        <f>IF(INDEX(I.Gas.P3Y2C1E1,24)="","",INDEX(I.Gas.P3Y2C1E1,24))</f>
        <v/>
      </c>
      <c r="G28109" s="62"/>
      <c r="H28109" s="46" t="str">
        <f>IF(OR(I.Developer.P3=FALSE,I.Facility.StandardPart="Part 2"),"Complete",IF(I.Product.P3GasToPowerStatus&lt;&gt;"Yes","Complete",IF(AND(I.Gas.P3Y2Count&gt;=24,F28109=""),"Incomplete","Complete")))</f>
        <v>Complete</v>
      </c>
      <c r="I28109" s="48" t="s">
        <v>3288</v>
      </c>
    </row>
    <row r="28110" spans="2:9" ht="15" customHeight="1" x14ac:dyDescent="0.25">
      <c r="B28110" s="55" t="s">
        <v>415</v>
      </c>
      <c r="C28110" s="46">
        <v>25</v>
      </c>
      <c r="D28110" s="69" t="s">
        <v>29552</v>
      </c>
      <c r="E28110" s="62"/>
      <c r="F28110" s="62" t="str">
        <f>IF(INDEX(I.Gas.P3Y2C1E1,25)="","",INDEX(I.Gas.P3Y2C1E1,25))</f>
        <v/>
      </c>
      <c r="G28110" s="62"/>
      <c r="H28110" s="46" t="str">
        <f>IF(OR(I.Developer.P3=FALSE,I.Facility.StandardPart="Part 2"),"Complete",IF(I.Product.P3GasToPowerStatus&lt;&gt;"Yes","Complete",IF(AND(I.Gas.P3Y2Count&gt;=25,F28110=""),"Incomplete","Complete")))</f>
        <v>Complete</v>
      </c>
      <c r="I28110" s="48" t="s">
        <v>3289</v>
      </c>
    </row>
    <row r="28111" spans="2:9" ht="15" customHeight="1" x14ac:dyDescent="0.25">
      <c r="B28111" s="55" t="s">
        <v>415</v>
      </c>
      <c r="C28111" s="46">
        <v>26</v>
      </c>
      <c r="D28111" s="69" t="s">
        <v>29552</v>
      </c>
      <c r="E28111" s="62"/>
      <c r="F28111" s="62" t="str">
        <f>IF(INDEX(I.Gas.P3Y2C1E1,26)="","",INDEX(I.Gas.P3Y2C1E1,26))</f>
        <v/>
      </c>
      <c r="G28111" s="62"/>
      <c r="H28111" s="46" t="str">
        <f>IF(OR(I.Developer.P3=FALSE,I.Facility.StandardPart="Part 2"),"Complete",IF(I.Product.P3GasToPowerStatus&lt;&gt;"Yes","Complete",IF(AND(I.Gas.P3Y2Count&gt;=26,F28111=""),"Incomplete","Complete")))</f>
        <v>Complete</v>
      </c>
      <c r="I28111" s="48" t="s">
        <v>3290</v>
      </c>
    </row>
    <row r="28112" spans="2:9" ht="15" customHeight="1" x14ac:dyDescent="0.25">
      <c r="B28112" s="55" t="s">
        <v>415</v>
      </c>
      <c r="C28112" s="46">
        <v>27</v>
      </c>
      <c r="D28112" s="69" t="s">
        <v>29552</v>
      </c>
      <c r="E28112" s="62"/>
      <c r="F28112" s="62" t="str">
        <f>IF(INDEX(I.Gas.P3Y2C1E1,27)="","",INDEX(I.Gas.P3Y2C1E1,27))</f>
        <v/>
      </c>
      <c r="G28112" s="62"/>
      <c r="H28112" s="46" t="str">
        <f>IF(OR(I.Developer.P3=FALSE,I.Facility.StandardPart="Part 2"),"Complete",IF(I.Product.P3GasToPowerStatus&lt;&gt;"Yes","Complete",IF(AND(I.Gas.P3Y2Count&gt;=27,F28112=""),"Incomplete","Complete")))</f>
        <v>Complete</v>
      </c>
      <c r="I28112" s="48" t="s">
        <v>3291</v>
      </c>
    </row>
    <row r="28113" spans="2:9" ht="15" customHeight="1" x14ac:dyDescent="0.25">
      <c r="B28113" s="55" t="s">
        <v>415</v>
      </c>
      <c r="C28113" s="46">
        <v>28</v>
      </c>
      <c r="D28113" s="69" t="s">
        <v>29552</v>
      </c>
      <c r="E28113" s="62"/>
      <c r="F28113" s="62" t="str">
        <f>IF(INDEX(I.Gas.P3Y2C1E1,28)="","",INDEX(I.Gas.P3Y2C1E1,28))</f>
        <v/>
      </c>
      <c r="G28113" s="62"/>
      <c r="H28113" s="46" t="str">
        <f>IF(OR(I.Developer.P3=FALSE,I.Facility.StandardPart="Part 2"),"Complete",IF(I.Product.P3GasToPowerStatus&lt;&gt;"Yes","Complete",IF(AND(I.Gas.P3Y2Count&gt;=28,F28113=""),"Incomplete","Complete")))</f>
        <v>Complete</v>
      </c>
      <c r="I28113" s="48" t="s">
        <v>3292</v>
      </c>
    </row>
    <row r="28114" spans="2:9" ht="15" customHeight="1" x14ac:dyDescent="0.25">
      <c r="B28114" s="55" t="s">
        <v>415</v>
      </c>
      <c r="C28114" s="46">
        <v>29</v>
      </c>
      <c r="D28114" s="69" t="s">
        <v>29552</v>
      </c>
      <c r="E28114" s="62"/>
      <c r="F28114" s="62" t="str">
        <f>IF(INDEX(I.Gas.P3Y2C1E1,29)="","",INDEX(I.Gas.P3Y2C1E1,29))</f>
        <v/>
      </c>
      <c r="G28114" s="62"/>
      <c r="H28114" s="46" t="str">
        <f>IF(OR(I.Developer.P3=FALSE,I.Facility.StandardPart="Part 2"),"Complete",IF(I.Product.P3GasToPowerStatus&lt;&gt;"Yes","Complete",IF(AND(I.Gas.P3Y2Count&gt;=29,F28114=""),"Incomplete","Complete")))</f>
        <v>Complete</v>
      </c>
      <c r="I28114" s="48" t="s">
        <v>3293</v>
      </c>
    </row>
    <row r="28115" spans="2:9" ht="15" customHeight="1" x14ac:dyDescent="0.25">
      <c r="B28115" s="55" t="s">
        <v>415</v>
      </c>
      <c r="C28115" s="46">
        <v>30</v>
      </c>
      <c r="D28115" s="69" t="s">
        <v>29552</v>
      </c>
      <c r="E28115" s="62"/>
      <c r="F28115" s="62" t="str">
        <f>IF(INDEX(I.Gas.P3Y2C1E1,30)="","",INDEX(I.Gas.P3Y2C1E1,30))</f>
        <v/>
      </c>
      <c r="G28115" s="62"/>
      <c r="H28115" s="46" t="str">
        <f>IF(OR(I.Developer.P3=FALSE,I.Facility.StandardPart="Part 2"),"Complete",IF(I.Product.P3GasToPowerStatus&lt;&gt;"Yes","Complete",IF(AND(I.Gas.P3Y2Count&gt;=30,F28115=""),"Incomplete","Complete")))</f>
        <v>Complete</v>
      </c>
      <c r="I28115" s="48" t="s">
        <v>3294</v>
      </c>
    </row>
    <row r="28116" spans="2:9" ht="15" customHeight="1" x14ac:dyDescent="0.25">
      <c r="B28116" s="55" t="s">
        <v>415</v>
      </c>
      <c r="C28116" s="46">
        <v>31</v>
      </c>
      <c r="D28116" s="69" t="s">
        <v>29552</v>
      </c>
      <c r="E28116" s="62"/>
      <c r="F28116" s="62" t="str">
        <f>IF(INDEX(I.Gas.P3Y2C1E1,31)="","",INDEX(I.Gas.P3Y2C1E1,31))</f>
        <v/>
      </c>
      <c r="G28116" s="62"/>
      <c r="H28116" s="46" t="str">
        <f>IF(OR(I.Developer.P3=FALSE,I.Facility.StandardPart="Part 2"),"Complete",IF(I.Product.P3GasToPowerStatus&lt;&gt;"Yes","Complete",IF(AND(I.Gas.P3Y2Count&gt;=31,F28116=""),"Incomplete","Complete")))</f>
        <v>Complete</v>
      </c>
      <c r="I28116" s="48" t="s">
        <v>3295</v>
      </c>
    </row>
    <row r="28117" spans="2:9" ht="15" customHeight="1" x14ac:dyDescent="0.25">
      <c r="B28117" s="55" t="s">
        <v>415</v>
      </c>
      <c r="C28117" s="46">
        <v>32</v>
      </c>
      <c r="D28117" s="69" t="s">
        <v>29552</v>
      </c>
      <c r="E28117" s="62"/>
      <c r="F28117" s="62" t="str">
        <f>IF(INDEX(I.Gas.P3Y2C1E1,32)="","",INDEX(I.Gas.P3Y2C1E1,32))</f>
        <v/>
      </c>
      <c r="G28117" s="62"/>
      <c r="H28117" s="46" t="str">
        <f>IF(OR(I.Developer.P3=FALSE,I.Facility.StandardPart="Part 2"),"Complete",IF(I.Product.P3GasToPowerStatus&lt;&gt;"Yes","Complete",IF(AND(I.Gas.P3Y2Count&gt;=32,F28117=""),"Incomplete","Complete")))</f>
        <v>Complete</v>
      </c>
      <c r="I28117" s="48" t="s">
        <v>3296</v>
      </c>
    </row>
    <row r="28118" spans="2:9" ht="15" customHeight="1" x14ac:dyDescent="0.25">
      <c r="B28118" s="55" t="s">
        <v>415</v>
      </c>
      <c r="C28118" s="46">
        <v>33</v>
      </c>
      <c r="D28118" s="69" t="s">
        <v>29552</v>
      </c>
      <c r="E28118" s="62"/>
      <c r="F28118" s="62" t="str">
        <f>IF(INDEX(I.Gas.P3Y2C1E1,33)="","",INDEX(I.Gas.P3Y2C1E1,33))</f>
        <v/>
      </c>
      <c r="G28118" s="62"/>
      <c r="H28118" s="46" t="str">
        <f>IF(OR(I.Developer.P3=FALSE,I.Facility.StandardPart="Part 2"),"Complete",IF(I.Product.P3GasToPowerStatus&lt;&gt;"Yes","Complete",IF(AND(I.Gas.P3Y2Count&gt;=33,F28118=""),"Incomplete","Complete")))</f>
        <v>Complete</v>
      </c>
      <c r="I28118" s="48" t="s">
        <v>3297</v>
      </c>
    </row>
    <row r="28119" spans="2:9" ht="15" customHeight="1" x14ac:dyDescent="0.25">
      <c r="B28119" s="55" t="s">
        <v>415</v>
      </c>
      <c r="C28119" s="46">
        <v>34</v>
      </c>
      <c r="D28119" s="69" t="s">
        <v>29552</v>
      </c>
      <c r="E28119" s="62"/>
      <c r="F28119" s="62" t="str">
        <f>IF(INDEX(I.Gas.P3Y2C1E1,34)="","",INDEX(I.Gas.P3Y2C1E1,34))</f>
        <v/>
      </c>
      <c r="G28119" s="62"/>
      <c r="H28119" s="46" t="str">
        <f>IF(OR(I.Developer.P3=FALSE,I.Facility.StandardPart="Part 2"),"Complete",IF(I.Product.P3GasToPowerStatus&lt;&gt;"Yes","Complete",IF(AND(I.Gas.P3Y2Count&gt;=34,F28119=""),"Incomplete","Complete")))</f>
        <v>Complete</v>
      </c>
      <c r="I28119" s="48" t="s">
        <v>3298</v>
      </c>
    </row>
    <row r="28120" spans="2:9" ht="15" customHeight="1" x14ac:dyDescent="0.25">
      <c r="B28120" s="55" t="s">
        <v>415</v>
      </c>
      <c r="C28120" s="46">
        <v>35</v>
      </c>
      <c r="D28120" s="69" t="s">
        <v>29552</v>
      </c>
      <c r="E28120" s="62"/>
      <c r="F28120" s="62" t="str">
        <f>IF(INDEX(I.Gas.P3Y2C1E1,35)="","",INDEX(I.Gas.P3Y2C1E1,35))</f>
        <v/>
      </c>
      <c r="G28120" s="62"/>
      <c r="H28120" s="46" t="str">
        <f>IF(OR(I.Developer.P3=FALSE,I.Facility.StandardPart="Part 2"),"Complete",IF(I.Product.P3GasToPowerStatus&lt;&gt;"Yes","Complete",IF(AND(I.Gas.P3Y2Count&gt;=35,F28120=""),"Incomplete","Complete")))</f>
        <v>Complete</v>
      </c>
      <c r="I28120" s="48" t="s">
        <v>3299</v>
      </c>
    </row>
    <row r="28121" spans="2:9" ht="15" customHeight="1" x14ac:dyDescent="0.25">
      <c r="B28121" s="55" t="s">
        <v>415</v>
      </c>
      <c r="C28121" s="46">
        <v>36</v>
      </c>
      <c r="D28121" s="69" t="s">
        <v>29552</v>
      </c>
      <c r="E28121" s="62"/>
      <c r="F28121" s="62" t="str">
        <f>IF(INDEX(I.Gas.P3Y2C1E1,36)="","",INDEX(I.Gas.P3Y2C1E1,36))</f>
        <v/>
      </c>
      <c r="G28121" s="62"/>
      <c r="H28121" s="46" t="str">
        <f>IF(OR(I.Developer.P3=FALSE,I.Facility.StandardPart="Part 2"),"Complete",IF(I.Product.P3GasToPowerStatus&lt;&gt;"Yes","Complete",IF(AND(I.Gas.P3Y2Count&gt;=36,F28121=""),"Incomplete","Complete")))</f>
        <v>Complete</v>
      </c>
      <c r="I28121" s="48" t="s">
        <v>3300</v>
      </c>
    </row>
    <row r="28122" spans="2:9" ht="15" customHeight="1" x14ac:dyDescent="0.25">
      <c r="B28122" s="55" t="s">
        <v>415</v>
      </c>
      <c r="C28122" s="46">
        <v>37</v>
      </c>
      <c r="D28122" s="69" t="s">
        <v>29552</v>
      </c>
      <c r="E28122" s="62"/>
      <c r="F28122" s="62" t="str">
        <f>IF(INDEX(I.Gas.P3Y2C1E1,37)="","",INDEX(I.Gas.P3Y2C1E1,37))</f>
        <v/>
      </c>
      <c r="G28122" s="62"/>
      <c r="H28122" s="46" t="str">
        <f>IF(OR(I.Developer.P3=FALSE,I.Facility.StandardPart="Part 2"),"Complete",IF(I.Product.P3GasToPowerStatus&lt;&gt;"Yes","Complete",IF(AND(I.Gas.P3Y2Count&gt;=37,F28122=""),"Incomplete","Complete")))</f>
        <v>Complete</v>
      </c>
      <c r="I28122" s="48" t="s">
        <v>3301</v>
      </c>
    </row>
    <row r="28123" spans="2:9" ht="15" customHeight="1" x14ac:dyDescent="0.25">
      <c r="B28123" s="55" t="s">
        <v>415</v>
      </c>
      <c r="C28123" s="46">
        <v>38</v>
      </c>
      <c r="D28123" s="69" t="s">
        <v>29552</v>
      </c>
      <c r="E28123" s="62"/>
      <c r="F28123" s="62" t="str">
        <f>IF(INDEX(I.Gas.P3Y2C1E1,38)="","",INDEX(I.Gas.P3Y2C1E1,38))</f>
        <v/>
      </c>
      <c r="G28123" s="62"/>
      <c r="H28123" s="46" t="str">
        <f>IF(OR(I.Developer.P3=FALSE,I.Facility.StandardPart="Part 2"),"Complete",IF(I.Product.P3GasToPowerStatus&lt;&gt;"Yes","Complete",IF(AND(I.Gas.P3Y2Count&gt;=38,F28123=""),"Incomplete","Complete")))</f>
        <v>Complete</v>
      </c>
      <c r="I28123" s="48" t="s">
        <v>3302</v>
      </c>
    </row>
    <row r="28124" spans="2:9" ht="15" customHeight="1" x14ac:dyDescent="0.25">
      <c r="B28124" s="55" t="s">
        <v>415</v>
      </c>
      <c r="C28124" s="46">
        <v>39</v>
      </c>
      <c r="D28124" s="69" t="s">
        <v>29552</v>
      </c>
      <c r="E28124" s="62"/>
      <c r="F28124" s="62" t="str">
        <f>IF(INDEX(I.Gas.P3Y2C1E1,39)="","",INDEX(I.Gas.P3Y2C1E1,39))</f>
        <v/>
      </c>
      <c r="G28124" s="62"/>
      <c r="H28124" s="46" t="str">
        <f>IF(OR(I.Developer.P3=FALSE,I.Facility.StandardPart="Part 2"),"Complete",IF(I.Product.P3GasToPowerStatus&lt;&gt;"Yes","Complete",IF(AND(I.Gas.P3Y2Count&gt;=39,F28124=""),"Incomplete","Complete")))</f>
        <v>Complete</v>
      </c>
      <c r="I28124" s="48" t="s">
        <v>3303</v>
      </c>
    </row>
    <row r="28125" spans="2:9" ht="15" customHeight="1" x14ac:dyDescent="0.25">
      <c r="B28125" s="55" t="s">
        <v>415</v>
      </c>
      <c r="C28125" s="46">
        <v>40</v>
      </c>
      <c r="D28125" s="69" t="s">
        <v>29552</v>
      </c>
      <c r="E28125" s="62"/>
      <c r="F28125" s="62" t="str">
        <f>IF(INDEX(I.Gas.P3Y2C1E1,40)="","",INDEX(I.Gas.P3Y2C1E1,40))</f>
        <v/>
      </c>
      <c r="G28125" s="62"/>
      <c r="H28125" s="46" t="str">
        <f>IF(OR(I.Developer.P3=FALSE,I.Facility.StandardPart="Part 2"),"Complete",IF(I.Product.P3GasToPowerStatus&lt;&gt;"Yes","Complete",IF(AND(I.Gas.P3Y2Count&gt;=40,F28125=""),"Incomplete","Complete")))</f>
        <v>Complete</v>
      </c>
      <c r="I28125" s="48" t="s">
        <v>3304</v>
      </c>
    </row>
    <row r="28126" spans="2:9" ht="15" customHeight="1" x14ac:dyDescent="0.25">
      <c r="B28126" s="55" t="s">
        <v>415</v>
      </c>
      <c r="C28126" s="46">
        <v>41</v>
      </c>
      <c r="D28126" s="69" t="s">
        <v>29552</v>
      </c>
      <c r="E28126" s="62"/>
      <c r="F28126" s="62" t="str">
        <f>IF(INDEX(I.Gas.P3Y2C1E1,41)="","",INDEX(I.Gas.P3Y2C1E1,41))</f>
        <v/>
      </c>
      <c r="G28126" s="62"/>
      <c r="H28126" s="46" t="str">
        <f>IF(OR(I.Developer.P3=FALSE,I.Facility.StandardPart="Part 2"),"Complete",IF(I.Product.P3GasToPowerStatus&lt;&gt;"Yes","Complete",IF(AND(I.Gas.P3Y2Count&gt;=41,F28126=""),"Incomplete","Complete")))</f>
        <v>Complete</v>
      </c>
      <c r="I28126" s="48" t="s">
        <v>3305</v>
      </c>
    </row>
    <row r="28127" spans="2:9" ht="15" customHeight="1" x14ac:dyDescent="0.25">
      <c r="B28127" s="55" t="s">
        <v>415</v>
      </c>
      <c r="C28127" s="46">
        <v>42</v>
      </c>
      <c r="D28127" s="69" t="s">
        <v>29552</v>
      </c>
      <c r="E28127" s="62"/>
      <c r="F28127" s="62" t="str">
        <f>IF(INDEX(I.Gas.P3Y2C1E1,42)="","",INDEX(I.Gas.P3Y2C1E1,42))</f>
        <v/>
      </c>
      <c r="G28127" s="62"/>
      <c r="H28127" s="46" t="str">
        <f>IF(OR(I.Developer.P3=FALSE,I.Facility.StandardPart="Part 2"),"Complete",IF(I.Product.P3GasToPowerStatus&lt;&gt;"Yes","Complete",IF(AND(I.Gas.P3Y2Count&gt;=42,F28127=""),"Incomplete","Complete")))</f>
        <v>Complete</v>
      </c>
      <c r="I28127" s="48" t="s">
        <v>3306</v>
      </c>
    </row>
    <row r="28128" spans="2:9" ht="15" customHeight="1" x14ac:dyDescent="0.25">
      <c r="B28128" s="55" t="s">
        <v>415</v>
      </c>
      <c r="C28128" s="46">
        <v>43</v>
      </c>
      <c r="D28128" s="69" t="s">
        <v>29552</v>
      </c>
      <c r="E28128" s="62"/>
      <c r="F28128" s="62" t="str">
        <f>IF(INDEX(I.Gas.P3Y2C1E1,43)="","",INDEX(I.Gas.P3Y2C1E1,43))</f>
        <v/>
      </c>
      <c r="G28128" s="62"/>
      <c r="H28128" s="46" t="str">
        <f>IF(OR(I.Developer.P3=FALSE,I.Facility.StandardPart="Part 2"),"Complete",IF(I.Product.P3GasToPowerStatus&lt;&gt;"Yes","Complete",IF(AND(I.Gas.P3Y2Count&gt;=43,F28128=""),"Incomplete","Complete")))</f>
        <v>Complete</v>
      </c>
      <c r="I28128" s="48" t="s">
        <v>3307</v>
      </c>
    </row>
    <row r="28129" spans="2:9" ht="15" customHeight="1" x14ac:dyDescent="0.25">
      <c r="B28129" s="55" t="s">
        <v>415</v>
      </c>
      <c r="C28129" s="46">
        <v>44</v>
      </c>
      <c r="D28129" s="69" t="s">
        <v>29552</v>
      </c>
      <c r="E28129" s="62"/>
      <c r="F28129" s="62" t="str">
        <f>IF(INDEX(I.Gas.P3Y2C1E1,44)="","",INDEX(I.Gas.P3Y2C1E1,44))</f>
        <v/>
      </c>
      <c r="G28129" s="62"/>
      <c r="H28129" s="46" t="str">
        <f>IF(OR(I.Developer.P3=FALSE,I.Facility.StandardPart="Part 2"),"Complete",IF(I.Product.P3GasToPowerStatus&lt;&gt;"Yes","Complete",IF(AND(I.Gas.P3Y2Count&gt;=44,F28129=""),"Incomplete","Complete")))</f>
        <v>Complete</v>
      </c>
      <c r="I28129" s="48" t="s">
        <v>3308</v>
      </c>
    </row>
    <row r="28130" spans="2:9" ht="15" customHeight="1" x14ac:dyDescent="0.25">
      <c r="B28130" s="55" t="s">
        <v>415</v>
      </c>
      <c r="C28130" s="46">
        <v>45</v>
      </c>
      <c r="D28130" s="69" t="s">
        <v>29552</v>
      </c>
      <c r="E28130" s="62"/>
      <c r="F28130" s="62" t="str">
        <f>IF(INDEX(I.Gas.P3Y2C1E1,45)="","",INDEX(I.Gas.P3Y2C1E1,45))</f>
        <v/>
      </c>
      <c r="G28130" s="62"/>
      <c r="H28130" s="46" t="str">
        <f>IF(OR(I.Developer.P3=FALSE,I.Facility.StandardPart="Part 2"),"Complete",IF(I.Product.P3GasToPowerStatus&lt;&gt;"Yes","Complete",IF(AND(I.Gas.P3Y2Count&gt;=45,F28130=""),"Incomplete","Complete")))</f>
        <v>Complete</v>
      </c>
      <c r="I28130" s="48" t="s">
        <v>3309</v>
      </c>
    </row>
    <row r="28131" spans="2:9" ht="15" customHeight="1" x14ac:dyDescent="0.25">
      <c r="B28131" s="55" t="s">
        <v>415</v>
      </c>
      <c r="C28131" s="46">
        <v>46</v>
      </c>
      <c r="D28131" s="69" t="s">
        <v>29552</v>
      </c>
      <c r="E28131" s="62"/>
      <c r="F28131" s="62" t="str">
        <f>IF(INDEX(I.Gas.P3Y2C1E1,46)="","",INDEX(I.Gas.P3Y2C1E1,46))</f>
        <v/>
      </c>
      <c r="G28131" s="62"/>
      <c r="H28131" s="46" t="str">
        <f>IF(OR(I.Developer.P3=FALSE,I.Facility.StandardPart="Part 2"),"Complete",IF(I.Product.P3GasToPowerStatus&lt;&gt;"Yes","Complete",IF(AND(I.Gas.P3Y2Count&gt;=46,F28131=""),"Incomplete","Complete")))</f>
        <v>Complete</v>
      </c>
      <c r="I28131" s="48" t="s">
        <v>3310</v>
      </c>
    </row>
    <row r="28132" spans="2:9" ht="15" customHeight="1" x14ac:dyDescent="0.25">
      <c r="B28132" s="55" t="s">
        <v>415</v>
      </c>
      <c r="C28132" s="46">
        <v>47</v>
      </c>
      <c r="D28132" s="69" t="s">
        <v>29552</v>
      </c>
      <c r="E28132" s="62"/>
      <c r="F28132" s="62" t="str">
        <f>IF(INDEX(I.Gas.P3Y2C1E1,47)="","",INDEX(I.Gas.P3Y2C1E1,47))</f>
        <v/>
      </c>
      <c r="G28132" s="62"/>
      <c r="H28132" s="46" t="str">
        <f>IF(OR(I.Developer.P3=FALSE,I.Facility.StandardPart="Part 2"),"Complete",IF(I.Product.P3GasToPowerStatus&lt;&gt;"Yes","Complete",IF(AND(I.Gas.P3Y2Count&gt;=47,F28132=""),"Incomplete","Complete")))</f>
        <v>Complete</v>
      </c>
      <c r="I28132" s="48" t="s">
        <v>3311</v>
      </c>
    </row>
    <row r="28133" spans="2:9" ht="15" customHeight="1" x14ac:dyDescent="0.25">
      <c r="B28133" s="55" t="s">
        <v>415</v>
      </c>
      <c r="C28133" s="46">
        <v>48</v>
      </c>
      <c r="D28133" s="69" t="s">
        <v>29552</v>
      </c>
      <c r="E28133" s="62"/>
      <c r="F28133" s="62" t="str">
        <f>IF(INDEX(I.Gas.P3Y2C1E1,48)="","",INDEX(I.Gas.P3Y2C1E1,48))</f>
        <v/>
      </c>
      <c r="G28133" s="62"/>
      <c r="H28133" s="46" t="str">
        <f>IF(OR(I.Developer.P3=FALSE,I.Facility.StandardPart="Part 2"),"Complete",IF(I.Product.P3GasToPowerStatus&lt;&gt;"Yes","Complete",IF(AND(I.Gas.P3Y2Count&gt;=48,F28133=""),"Incomplete","Complete")))</f>
        <v>Complete</v>
      </c>
      <c r="I28133" s="48" t="s">
        <v>3312</v>
      </c>
    </row>
    <row r="28134" spans="2:9" ht="15" customHeight="1" x14ac:dyDescent="0.25">
      <c r="B28134" s="55" t="s">
        <v>415</v>
      </c>
      <c r="C28134" s="46">
        <v>49</v>
      </c>
      <c r="D28134" s="69" t="s">
        <v>29552</v>
      </c>
      <c r="E28134" s="62"/>
      <c r="F28134" s="62" t="str">
        <f>IF(INDEX(I.Gas.P3Y2C1E1,49)="","",INDEX(I.Gas.P3Y2C1E1,49))</f>
        <v/>
      </c>
      <c r="G28134" s="62"/>
      <c r="H28134" s="46" t="str">
        <f>IF(OR(I.Developer.P3=FALSE,I.Facility.StandardPart="Part 2"),"Complete",IF(I.Product.P3GasToPowerStatus&lt;&gt;"Yes","Complete",IF(AND(I.Gas.P3Y2Count&gt;=49,F28134=""),"Incomplete","Complete")))</f>
        <v>Complete</v>
      </c>
      <c r="I28134" s="48" t="s">
        <v>3313</v>
      </c>
    </row>
    <row r="28135" spans="2:9" ht="15" customHeight="1" x14ac:dyDescent="0.25">
      <c r="B28135" s="56" t="s">
        <v>415</v>
      </c>
      <c r="C28135" s="57">
        <v>50</v>
      </c>
      <c r="D28135" s="71" t="s">
        <v>29552</v>
      </c>
      <c r="E28135" s="61"/>
      <c r="F28135" s="61" t="str">
        <f>IF(INDEX(I.Gas.P3Y2C1E1,50)="","",INDEX(I.Gas.P3Y2C1E1,50))</f>
        <v/>
      </c>
      <c r="G28135" s="61"/>
      <c r="H28135" s="57" t="str">
        <f>IF(OR(I.Developer.P3=FALSE,I.Facility.StandardPart="Part 2"),"Complete",IF(I.Product.P3GasToPowerStatus&lt;&gt;"Yes","Complete",IF(AND(I.Gas.P3Y2Count&gt;=50,F28135=""),"Incomplete","Complete")))</f>
        <v>Complete</v>
      </c>
      <c r="I28135" s="49" t="s">
        <v>3314</v>
      </c>
    </row>
    <row r="28136" spans="2:9" ht="15" customHeight="1" x14ac:dyDescent="0.25">
      <c r="B28136" s="55" t="s">
        <v>416</v>
      </c>
      <c r="C28136" s="46">
        <v>1</v>
      </c>
      <c r="D28136" s="69" t="s">
        <v>29553</v>
      </c>
      <c r="E28136" s="62"/>
      <c r="F28136" s="62" t="str">
        <f>IF(INDEX(I.Gas.P3Y2C1E2,1)="","",INDEX(I.Gas.P3Y2C1E2,1))</f>
        <v/>
      </c>
      <c r="G28136" s="62"/>
      <c r="H28136" s="46" t="str">
        <f>IF(OR(I.Developer.P3=FALSE,I.Facility.StandardPart="Part 2"),"Complete",IF(I.Product.P3GasToPowerStatus&lt;&gt;"Yes","Complete",IF(AND(I.Gas.P3Y2Count&gt;=1,F28136=""),"Incomplete","Complete")))</f>
        <v>Complete</v>
      </c>
      <c r="I28136" s="48" t="s">
        <v>3315</v>
      </c>
    </row>
    <row r="28137" spans="2:9" ht="15" customHeight="1" x14ac:dyDescent="0.25">
      <c r="B28137" s="55" t="s">
        <v>416</v>
      </c>
      <c r="C28137" s="46">
        <v>2</v>
      </c>
      <c r="D28137" s="69" t="s">
        <v>29553</v>
      </c>
      <c r="E28137" s="62"/>
      <c r="F28137" s="62" t="str">
        <f>IF(INDEX(I.Gas.P3Y2C1E2,2)="","",INDEX(I.Gas.P3Y2C1E2,2))</f>
        <v/>
      </c>
      <c r="G28137" s="62"/>
      <c r="H28137" s="46" t="str">
        <f>IF(OR(I.Developer.P3=FALSE,I.Facility.StandardPart="Part 2"),"Complete",IF(I.Product.P3GasToPowerStatus&lt;&gt;"Yes","Complete",IF(AND(I.Gas.P3Y2Count&gt;=2,F28137=""),"Incomplete","Complete")))</f>
        <v>Complete</v>
      </c>
      <c r="I28137" s="48" t="s">
        <v>3316</v>
      </c>
    </row>
    <row r="28138" spans="2:9" ht="15" customHeight="1" x14ac:dyDescent="0.25">
      <c r="B28138" s="55" t="s">
        <v>416</v>
      </c>
      <c r="C28138" s="46">
        <v>3</v>
      </c>
      <c r="D28138" s="69" t="s">
        <v>29553</v>
      </c>
      <c r="E28138" s="62"/>
      <c r="F28138" s="62" t="str">
        <f>IF(INDEX(I.Gas.P3Y2C1E2,3)="","",INDEX(I.Gas.P3Y2C1E2,3))</f>
        <v/>
      </c>
      <c r="G28138" s="62"/>
      <c r="H28138" s="46" t="str">
        <f>IF(OR(I.Developer.P3=FALSE,I.Facility.StandardPart="Part 2"),"Complete",IF(I.Product.P3GasToPowerStatus&lt;&gt;"Yes","Complete",IF(AND(I.Gas.P3Y2Count&gt;=3,F28138=""),"Incomplete","Complete")))</f>
        <v>Complete</v>
      </c>
      <c r="I28138" s="48" t="s">
        <v>3317</v>
      </c>
    </row>
    <row r="28139" spans="2:9" ht="15" customHeight="1" x14ac:dyDescent="0.25">
      <c r="B28139" s="55" t="s">
        <v>416</v>
      </c>
      <c r="C28139" s="46">
        <v>4</v>
      </c>
      <c r="D28139" s="69" t="s">
        <v>29553</v>
      </c>
      <c r="E28139" s="62"/>
      <c r="F28139" s="62" t="str">
        <f>IF(INDEX(I.Gas.P3Y2C1E2,4)="","",INDEX(I.Gas.P3Y2C1E2,4))</f>
        <v/>
      </c>
      <c r="G28139" s="62"/>
      <c r="H28139" s="46" t="str">
        <f>IF(OR(I.Developer.P3=FALSE,I.Facility.StandardPart="Part 2"),"Complete",IF(I.Product.P3GasToPowerStatus&lt;&gt;"Yes","Complete",IF(AND(I.Gas.P3Y2Count&gt;=4,F28139=""),"Incomplete","Complete")))</f>
        <v>Complete</v>
      </c>
      <c r="I28139" s="48" t="s">
        <v>3318</v>
      </c>
    </row>
    <row r="28140" spans="2:9" ht="15" customHeight="1" x14ac:dyDescent="0.25">
      <c r="B28140" s="55" t="s">
        <v>416</v>
      </c>
      <c r="C28140" s="46">
        <v>5</v>
      </c>
      <c r="D28140" s="69" t="s">
        <v>29553</v>
      </c>
      <c r="E28140" s="62"/>
      <c r="F28140" s="62" t="str">
        <f>IF(INDEX(I.Gas.P3Y2C1E2,5)="","",INDEX(I.Gas.P3Y2C1E2,5))</f>
        <v/>
      </c>
      <c r="G28140" s="62"/>
      <c r="H28140" s="46" t="str">
        <f>IF(OR(I.Developer.P3=FALSE,I.Facility.StandardPart="Part 2"),"Complete",IF(I.Product.P3GasToPowerStatus&lt;&gt;"Yes","Complete",IF(AND(I.Gas.P3Y2Count&gt;=5,F28140=""),"Incomplete","Complete")))</f>
        <v>Complete</v>
      </c>
      <c r="I28140" s="48" t="s">
        <v>3319</v>
      </c>
    </row>
    <row r="28141" spans="2:9" ht="15" customHeight="1" x14ac:dyDescent="0.25">
      <c r="B28141" s="55" t="s">
        <v>416</v>
      </c>
      <c r="C28141" s="46">
        <v>6</v>
      </c>
      <c r="D28141" s="69" t="s">
        <v>29553</v>
      </c>
      <c r="E28141" s="62"/>
      <c r="F28141" s="62" t="str">
        <f>IF(INDEX(I.Gas.P3Y2C1E2,6)="","",INDEX(I.Gas.P3Y2C1E2,6))</f>
        <v/>
      </c>
      <c r="G28141" s="62"/>
      <c r="H28141" s="46" t="str">
        <f>IF(OR(I.Developer.P3=FALSE,I.Facility.StandardPart="Part 2"),"Complete",IF(I.Product.P3GasToPowerStatus&lt;&gt;"Yes","Complete",IF(AND(I.Gas.P3Y2Count&gt;=6,F28141=""),"Incomplete","Complete")))</f>
        <v>Complete</v>
      </c>
      <c r="I28141" s="48" t="s">
        <v>3320</v>
      </c>
    </row>
    <row r="28142" spans="2:9" ht="15" customHeight="1" x14ac:dyDescent="0.25">
      <c r="B28142" s="55" t="s">
        <v>416</v>
      </c>
      <c r="C28142" s="46">
        <v>7</v>
      </c>
      <c r="D28142" s="69" t="s">
        <v>29553</v>
      </c>
      <c r="E28142" s="62"/>
      <c r="F28142" s="62" t="str">
        <f>IF(INDEX(I.Gas.P3Y2C1E2,7)="","",INDEX(I.Gas.P3Y2C1E2,7))</f>
        <v/>
      </c>
      <c r="G28142" s="62"/>
      <c r="H28142" s="46" t="str">
        <f>IF(OR(I.Developer.P3=FALSE,I.Facility.StandardPart="Part 2"),"Complete",IF(I.Product.P3GasToPowerStatus&lt;&gt;"Yes","Complete",IF(AND(I.Gas.P3Y2Count&gt;=7,F28142=""),"Incomplete","Complete")))</f>
        <v>Complete</v>
      </c>
      <c r="I28142" s="48" t="s">
        <v>3321</v>
      </c>
    </row>
    <row r="28143" spans="2:9" ht="15" customHeight="1" x14ac:dyDescent="0.25">
      <c r="B28143" s="55" t="s">
        <v>416</v>
      </c>
      <c r="C28143" s="46">
        <v>8</v>
      </c>
      <c r="D28143" s="69" t="s">
        <v>29553</v>
      </c>
      <c r="E28143" s="62"/>
      <c r="F28143" s="62" t="str">
        <f>IF(INDEX(I.Gas.P3Y2C1E2,8)="","",INDEX(I.Gas.P3Y2C1E2,8))</f>
        <v/>
      </c>
      <c r="G28143" s="62"/>
      <c r="H28143" s="46" t="str">
        <f>IF(OR(I.Developer.P3=FALSE,I.Facility.StandardPart="Part 2"),"Complete",IF(I.Product.P3GasToPowerStatus&lt;&gt;"Yes","Complete",IF(AND(I.Gas.P3Y2Count&gt;=8,F28143=""),"Incomplete","Complete")))</f>
        <v>Complete</v>
      </c>
      <c r="I28143" s="48" t="s">
        <v>3322</v>
      </c>
    </row>
    <row r="28144" spans="2:9" ht="15" customHeight="1" x14ac:dyDescent="0.25">
      <c r="B28144" s="55" t="s">
        <v>416</v>
      </c>
      <c r="C28144" s="46">
        <v>9</v>
      </c>
      <c r="D28144" s="69" t="s">
        <v>29553</v>
      </c>
      <c r="E28144" s="62"/>
      <c r="F28144" s="62" t="str">
        <f>IF(INDEX(I.Gas.P3Y2C1E2,9)="","",INDEX(I.Gas.P3Y2C1E2,9))</f>
        <v/>
      </c>
      <c r="G28144" s="62"/>
      <c r="H28144" s="46" t="str">
        <f>IF(OR(I.Developer.P3=FALSE,I.Facility.StandardPart="Part 2"),"Complete",IF(I.Product.P3GasToPowerStatus&lt;&gt;"Yes","Complete",IF(AND(I.Gas.P3Y2Count&gt;=9,F28144=""),"Incomplete","Complete")))</f>
        <v>Complete</v>
      </c>
      <c r="I28144" s="48" t="s">
        <v>3323</v>
      </c>
    </row>
    <row r="28145" spans="2:9" ht="15" customHeight="1" x14ac:dyDescent="0.25">
      <c r="B28145" s="55" t="s">
        <v>416</v>
      </c>
      <c r="C28145" s="46">
        <v>10</v>
      </c>
      <c r="D28145" s="69" t="s">
        <v>29553</v>
      </c>
      <c r="E28145" s="62"/>
      <c r="F28145" s="62" t="str">
        <f>IF(INDEX(I.Gas.P3Y2C1E2,10)="","",INDEX(I.Gas.P3Y2C1E2,10))</f>
        <v/>
      </c>
      <c r="G28145" s="62"/>
      <c r="H28145" s="46" t="str">
        <f>IF(OR(I.Developer.P3=FALSE,I.Facility.StandardPart="Part 2"),"Complete",IF(I.Product.P3GasToPowerStatus&lt;&gt;"Yes","Complete",IF(AND(I.Gas.P3Y2Count&gt;=10,F28145=""),"Incomplete","Complete")))</f>
        <v>Complete</v>
      </c>
      <c r="I28145" s="48" t="s">
        <v>3324</v>
      </c>
    </row>
    <row r="28146" spans="2:9" ht="15" customHeight="1" x14ac:dyDescent="0.25">
      <c r="B28146" s="55" t="s">
        <v>416</v>
      </c>
      <c r="C28146" s="46">
        <v>11</v>
      </c>
      <c r="D28146" s="69" t="s">
        <v>29553</v>
      </c>
      <c r="E28146" s="62"/>
      <c r="F28146" s="62" t="str">
        <f>IF(INDEX(I.Gas.P3Y2C1E2,11)="","",INDEX(I.Gas.P3Y2C1E2,11))</f>
        <v/>
      </c>
      <c r="G28146" s="62"/>
      <c r="H28146" s="46" t="str">
        <f>IF(OR(I.Developer.P3=FALSE,I.Facility.StandardPart="Part 2"),"Complete",IF(I.Product.P3GasToPowerStatus&lt;&gt;"Yes","Complete",IF(AND(I.Gas.P3Y2Count&gt;=11,F28146=""),"Incomplete","Complete")))</f>
        <v>Complete</v>
      </c>
      <c r="I28146" s="48" t="s">
        <v>3325</v>
      </c>
    </row>
    <row r="28147" spans="2:9" ht="15" customHeight="1" x14ac:dyDescent="0.25">
      <c r="B28147" s="55" t="s">
        <v>416</v>
      </c>
      <c r="C28147" s="46">
        <v>12</v>
      </c>
      <c r="D28147" s="69" t="s">
        <v>29553</v>
      </c>
      <c r="E28147" s="62"/>
      <c r="F28147" s="62" t="str">
        <f>IF(INDEX(I.Gas.P3Y2C1E2,12)="","",INDEX(I.Gas.P3Y2C1E2,12))</f>
        <v/>
      </c>
      <c r="G28147" s="62"/>
      <c r="H28147" s="46" t="str">
        <f>IF(OR(I.Developer.P3=FALSE,I.Facility.StandardPart="Part 2"),"Complete",IF(I.Product.P3GasToPowerStatus&lt;&gt;"Yes","Complete",IF(AND(I.Gas.P3Y2Count&gt;=12,F28147=""),"Incomplete","Complete")))</f>
        <v>Complete</v>
      </c>
      <c r="I28147" s="48" t="s">
        <v>3326</v>
      </c>
    </row>
    <row r="28148" spans="2:9" ht="15" customHeight="1" x14ac:dyDescent="0.25">
      <c r="B28148" s="55" t="s">
        <v>416</v>
      </c>
      <c r="C28148" s="46">
        <v>13</v>
      </c>
      <c r="D28148" s="69" t="s">
        <v>29553</v>
      </c>
      <c r="E28148" s="62"/>
      <c r="F28148" s="62" t="str">
        <f>IF(INDEX(I.Gas.P3Y2C1E2,13)="","",INDEX(I.Gas.P3Y2C1E2,13))</f>
        <v/>
      </c>
      <c r="G28148" s="62"/>
      <c r="H28148" s="46" t="str">
        <f>IF(OR(I.Developer.P3=FALSE,I.Facility.StandardPart="Part 2"),"Complete",IF(I.Product.P3GasToPowerStatus&lt;&gt;"Yes","Complete",IF(AND(I.Gas.P3Y2Count&gt;=13,F28148=""),"Incomplete","Complete")))</f>
        <v>Complete</v>
      </c>
      <c r="I28148" s="48" t="s">
        <v>3327</v>
      </c>
    </row>
    <row r="28149" spans="2:9" ht="15" customHeight="1" x14ac:dyDescent="0.25">
      <c r="B28149" s="55" t="s">
        <v>416</v>
      </c>
      <c r="C28149" s="46">
        <v>14</v>
      </c>
      <c r="D28149" s="69" t="s">
        <v>29553</v>
      </c>
      <c r="E28149" s="62"/>
      <c r="F28149" s="62" t="str">
        <f>IF(INDEX(I.Gas.P3Y2C1E2,14)="","",INDEX(I.Gas.P3Y2C1E2,14))</f>
        <v/>
      </c>
      <c r="G28149" s="62"/>
      <c r="H28149" s="46" t="str">
        <f>IF(OR(I.Developer.P3=FALSE,I.Facility.StandardPart="Part 2"),"Complete",IF(I.Product.P3GasToPowerStatus&lt;&gt;"Yes","Complete",IF(AND(I.Gas.P3Y2Count&gt;=14,F28149=""),"Incomplete","Complete")))</f>
        <v>Complete</v>
      </c>
      <c r="I28149" s="48" t="s">
        <v>3328</v>
      </c>
    </row>
    <row r="28150" spans="2:9" ht="15" customHeight="1" x14ac:dyDescent="0.25">
      <c r="B28150" s="55" t="s">
        <v>416</v>
      </c>
      <c r="C28150" s="46">
        <v>15</v>
      </c>
      <c r="D28150" s="69" t="s">
        <v>29553</v>
      </c>
      <c r="E28150" s="62"/>
      <c r="F28150" s="62" t="str">
        <f>IF(INDEX(I.Gas.P3Y2C1E2,15)="","",INDEX(I.Gas.P3Y2C1E2,15))</f>
        <v/>
      </c>
      <c r="G28150" s="62"/>
      <c r="H28150" s="46" t="str">
        <f>IF(OR(I.Developer.P3=FALSE,I.Facility.StandardPart="Part 2"),"Complete",IF(I.Product.P3GasToPowerStatus&lt;&gt;"Yes","Complete",IF(AND(I.Gas.P3Y2Count&gt;=15,F28150=""),"Incomplete","Complete")))</f>
        <v>Complete</v>
      </c>
      <c r="I28150" s="48" t="s">
        <v>3329</v>
      </c>
    </row>
    <row r="28151" spans="2:9" ht="15" customHeight="1" x14ac:dyDescent="0.25">
      <c r="B28151" s="55" t="s">
        <v>416</v>
      </c>
      <c r="C28151" s="46">
        <v>16</v>
      </c>
      <c r="D28151" s="69" t="s">
        <v>29553</v>
      </c>
      <c r="E28151" s="62"/>
      <c r="F28151" s="62" t="str">
        <f>IF(INDEX(I.Gas.P3Y2C1E2,16)="","",INDEX(I.Gas.P3Y2C1E2,16))</f>
        <v/>
      </c>
      <c r="G28151" s="62"/>
      <c r="H28151" s="46" t="str">
        <f>IF(OR(I.Developer.P3=FALSE,I.Facility.StandardPart="Part 2"),"Complete",IF(I.Product.P3GasToPowerStatus&lt;&gt;"Yes","Complete",IF(AND(I.Gas.P3Y2Count&gt;=16,F28151=""),"Incomplete","Complete")))</f>
        <v>Complete</v>
      </c>
      <c r="I28151" s="48" t="s">
        <v>3330</v>
      </c>
    </row>
    <row r="28152" spans="2:9" ht="15" customHeight="1" x14ac:dyDescent="0.25">
      <c r="B28152" s="55" t="s">
        <v>416</v>
      </c>
      <c r="C28152" s="46">
        <v>17</v>
      </c>
      <c r="D28152" s="69" t="s">
        <v>29553</v>
      </c>
      <c r="E28152" s="62"/>
      <c r="F28152" s="62" t="str">
        <f>IF(INDEX(I.Gas.P3Y2C1E2,17)="","",INDEX(I.Gas.P3Y2C1E2,17))</f>
        <v/>
      </c>
      <c r="G28152" s="62"/>
      <c r="H28152" s="46" t="str">
        <f>IF(OR(I.Developer.P3=FALSE,I.Facility.StandardPart="Part 2"),"Complete",IF(I.Product.P3GasToPowerStatus&lt;&gt;"Yes","Complete",IF(AND(I.Gas.P3Y2Count&gt;=17,F28152=""),"Incomplete","Complete")))</f>
        <v>Complete</v>
      </c>
      <c r="I28152" s="48" t="s">
        <v>3331</v>
      </c>
    </row>
    <row r="28153" spans="2:9" ht="15" customHeight="1" x14ac:dyDescent="0.25">
      <c r="B28153" s="55" t="s">
        <v>416</v>
      </c>
      <c r="C28153" s="46">
        <v>18</v>
      </c>
      <c r="D28153" s="69" t="s">
        <v>29553</v>
      </c>
      <c r="E28153" s="62"/>
      <c r="F28153" s="62" t="str">
        <f>IF(INDEX(I.Gas.P3Y2C1E2,18)="","",INDEX(I.Gas.P3Y2C1E2,18))</f>
        <v/>
      </c>
      <c r="G28153" s="62"/>
      <c r="H28153" s="46" t="str">
        <f>IF(OR(I.Developer.P3=FALSE,I.Facility.StandardPart="Part 2"),"Complete",IF(I.Product.P3GasToPowerStatus&lt;&gt;"Yes","Complete",IF(AND(I.Gas.P3Y2Count&gt;=18,F28153=""),"Incomplete","Complete")))</f>
        <v>Complete</v>
      </c>
      <c r="I28153" s="48" t="s">
        <v>3332</v>
      </c>
    </row>
    <row r="28154" spans="2:9" ht="15" customHeight="1" x14ac:dyDescent="0.25">
      <c r="B28154" s="55" t="s">
        <v>416</v>
      </c>
      <c r="C28154" s="46">
        <v>19</v>
      </c>
      <c r="D28154" s="69" t="s">
        <v>29553</v>
      </c>
      <c r="E28154" s="62"/>
      <c r="F28154" s="62" t="str">
        <f>IF(INDEX(I.Gas.P3Y2C1E2,19)="","",INDEX(I.Gas.P3Y2C1E2,19))</f>
        <v/>
      </c>
      <c r="G28154" s="62"/>
      <c r="H28154" s="46" t="str">
        <f>IF(OR(I.Developer.P3=FALSE,I.Facility.StandardPart="Part 2"),"Complete",IF(I.Product.P3GasToPowerStatus&lt;&gt;"Yes","Complete",IF(AND(I.Gas.P3Y2Count&gt;=19,F28154=""),"Incomplete","Complete")))</f>
        <v>Complete</v>
      </c>
      <c r="I28154" s="48" t="s">
        <v>3333</v>
      </c>
    </row>
    <row r="28155" spans="2:9" ht="15" customHeight="1" x14ac:dyDescent="0.25">
      <c r="B28155" s="55" t="s">
        <v>416</v>
      </c>
      <c r="C28155" s="46">
        <v>20</v>
      </c>
      <c r="D28155" s="69" t="s">
        <v>29553</v>
      </c>
      <c r="E28155" s="62"/>
      <c r="F28155" s="62" t="str">
        <f>IF(INDEX(I.Gas.P3Y2C1E2,20)="","",INDEX(I.Gas.P3Y2C1E2,20))</f>
        <v/>
      </c>
      <c r="G28155" s="62"/>
      <c r="H28155" s="46" t="str">
        <f>IF(OR(I.Developer.P3=FALSE,I.Facility.StandardPart="Part 2"),"Complete",IF(I.Product.P3GasToPowerStatus&lt;&gt;"Yes","Complete",IF(AND(I.Gas.P3Y2Count&gt;=20,F28155=""),"Incomplete","Complete")))</f>
        <v>Complete</v>
      </c>
      <c r="I28155" s="48" t="s">
        <v>3334</v>
      </c>
    </row>
    <row r="28156" spans="2:9" ht="15" customHeight="1" x14ac:dyDescent="0.25">
      <c r="B28156" s="55" t="s">
        <v>416</v>
      </c>
      <c r="C28156" s="46">
        <v>21</v>
      </c>
      <c r="D28156" s="69" t="s">
        <v>29553</v>
      </c>
      <c r="E28156" s="62"/>
      <c r="F28156" s="62" t="str">
        <f>IF(INDEX(I.Gas.P3Y2C1E2,21)="","",INDEX(I.Gas.P3Y2C1E2,21))</f>
        <v/>
      </c>
      <c r="G28156" s="62"/>
      <c r="H28156" s="46" t="str">
        <f>IF(OR(I.Developer.P3=FALSE,I.Facility.StandardPart="Part 2"),"Complete",IF(I.Product.P3GasToPowerStatus&lt;&gt;"Yes","Complete",IF(AND(I.Gas.P3Y2Count&gt;=21,F28156=""),"Incomplete","Complete")))</f>
        <v>Complete</v>
      </c>
      <c r="I28156" s="48" t="s">
        <v>3335</v>
      </c>
    </row>
    <row r="28157" spans="2:9" ht="15" customHeight="1" x14ac:dyDescent="0.25">
      <c r="B28157" s="55" t="s">
        <v>416</v>
      </c>
      <c r="C28157" s="46">
        <v>22</v>
      </c>
      <c r="D28157" s="69" t="s">
        <v>29553</v>
      </c>
      <c r="E28157" s="62"/>
      <c r="F28157" s="62" t="str">
        <f>IF(INDEX(I.Gas.P3Y2C1E2,22)="","",INDEX(I.Gas.P3Y2C1E2,22))</f>
        <v/>
      </c>
      <c r="G28157" s="62"/>
      <c r="H28157" s="46" t="str">
        <f>IF(OR(I.Developer.P3=FALSE,I.Facility.StandardPart="Part 2"),"Complete",IF(I.Product.P3GasToPowerStatus&lt;&gt;"Yes","Complete",IF(AND(I.Gas.P3Y2Count&gt;=22,F28157=""),"Incomplete","Complete")))</f>
        <v>Complete</v>
      </c>
      <c r="I28157" s="48" t="s">
        <v>3336</v>
      </c>
    </row>
    <row r="28158" spans="2:9" ht="15" customHeight="1" x14ac:dyDescent="0.25">
      <c r="B28158" s="55" t="s">
        <v>416</v>
      </c>
      <c r="C28158" s="46">
        <v>23</v>
      </c>
      <c r="D28158" s="69" t="s">
        <v>29553</v>
      </c>
      <c r="E28158" s="62"/>
      <c r="F28158" s="62" t="str">
        <f>IF(INDEX(I.Gas.P3Y2C1E2,23)="","",INDEX(I.Gas.P3Y2C1E2,23))</f>
        <v/>
      </c>
      <c r="G28158" s="62"/>
      <c r="H28158" s="46" t="str">
        <f>IF(OR(I.Developer.P3=FALSE,I.Facility.StandardPart="Part 2"),"Complete",IF(I.Product.P3GasToPowerStatus&lt;&gt;"Yes","Complete",IF(AND(I.Gas.P3Y2Count&gt;=23,F28158=""),"Incomplete","Complete")))</f>
        <v>Complete</v>
      </c>
      <c r="I28158" s="48" t="s">
        <v>3337</v>
      </c>
    </row>
    <row r="28159" spans="2:9" ht="15" customHeight="1" x14ac:dyDescent="0.25">
      <c r="B28159" s="55" t="s">
        <v>416</v>
      </c>
      <c r="C28159" s="46">
        <v>24</v>
      </c>
      <c r="D28159" s="69" t="s">
        <v>29553</v>
      </c>
      <c r="E28159" s="62"/>
      <c r="F28159" s="62" t="str">
        <f>IF(INDEX(I.Gas.P3Y2C1E2,24)="","",INDEX(I.Gas.P3Y2C1E2,24))</f>
        <v/>
      </c>
      <c r="G28159" s="62"/>
      <c r="H28159" s="46" t="str">
        <f>IF(OR(I.Developer.P3=FALSE,I.Facility.StandardPart="Part 2"),"Complete",IF(I.Product.P3GasToPowerStatus&lt;&gt;"Yes","Complete",IF(AND(I.Gas.P3Y2Count&gt;=24,F28159=""),"Incomplete","Complete")))</f>
        <v>Complete</v>
      </c>
      <c r="I28159" s="48" t="s">
        <v>3338</v>
      </c>
    </row>
    <row r="28160" spans="2:9" ht="15" customHeight="1" x14ac:dyDescent="0.25">
      <c r="B28160" s="55" t="s">
        <v>416</v>
      </c>
      <c r="C28160" s="46">
        <v>25</v>
      </c>
      <c r="D28160" s="69" t="s">
        <v>29553</v>
      </c>
      <c r="E28160" s="62"/>
      <c r="F28160" s="62" t="str">
        <f>IF(INDEX(I.Gas.P3Y2C1E2,25)="","",INDEX(I.Gas.P3Y2C1E2,25))</f>
        <v/>
      </c>
      <c r="G28160" s="62"/>
      <c r="H28160" s="46" t="str">
        <f>IF(OR(I.Developer.P3=FALSE,I.Facility.StandardPart="Part 2"),"Complete",IF(I.Product.P3GasToPowerStatus&lt;&gt;"Yes","Complete",IF(AND(I.Gas.P3Y2Count&gt;=25,F28160=""),"Incomplete","Complete")))</f>
        <v>Complete</v>
      </c>
      <c r="I28160" s="48" t="s">
        <v>3339</v>
      </c>
    </row>
    <row r="28161" spans="2:9" ht="15" customHeight="1" x14ac:dyDescent="0.25">
      <c r="B28161" s="55" t="s">
        <v>416</v>
      </c>
      <c r="C28161" s="46">
        <v>26</v>
      </c>
      <c r="D28161" s="69" t="s">
        <v>29553</v>
      </c>
      <c r="E28161" s="62"/>
      <c r="F28161" s="62" t="str">
        <f>IF(INDEX(I.Gas.P3Y2C1E2,26)="","",INDEX(I.Gas.P3Y2C1E2,26))</f>
        <v/>
      </c>
      <c r="G28161" s="62"/>
      <c r="H28161" s="46" t="str">
        <f>IF(OR(I.Developer.P3=FALSE,I.Facility.StandardPart="Part 2"),"Complete",IF(I.Product.P3GasToPowerStatus&lt;&gt;"Yes","Complete",IF(AND(I.Gas.P3Y2Count&gt;=26,F28161=""),"Incomplete","Complete")))</f>
        <v>Complete</v>
      </c>
      <c r="I28161" s="48" t="s">
        <v>3340</v>
      </c>
    </row>
    <row r="28162" spans="2:9" ht="15" customHeight="1" x14ac:dyDescent="0.25">
      <c r="B28162" s="55" t="s">
        <v>416</v>
      </c>
      <c r="C28162" s="46">
        <v>27</v>
      </c>
      <c r="D28162" s="69" t="s">
        <v>29553</v>
      </c>
      <c r="E28162" s="62"/>
      <c r="F28162" s="62" t="str">
        <f>IF(INDEX(I.Gas.P3Y2C1E2,27)="","",INDEX(I.Gas.P3Y2C1E2,27))</f>
        <v/>
      </c>
      <c r="G28162" s="62"/>
      <c r="H28162" s="46" t="str">
        <f>IF(OR(I.Developer.P3=FALSE,I.Facility.StandardPart="Part 2"),"Complete",IF(I.Product.P3GasToPowerStatus&lt;&gt;"Yes","Complete",IF(AND(I.Gas.P3Y2Count&gt;=27,F28162=""),"Incomplete","Complete")))</f>
        <v>Complete</v>
      </c>
      <c r="I28162" s="48" t="s">
        <v>3341</v>
      </c>
    </row>
    <row r="28163" spans="2:9" ht="15" customHeight="1" x14ac:dyDescent="0.25">
      <c r="B28163" s="55" t="s">
        <v>416</v>
      </c>
      <c r="C28163" s="46">
        <v>28</v>
      </c>
      <c r="D28163" s="69" t="s">
        <v>29553</v>
      </c>
      <c r="E28163" s="62"/>
      <c r="F28163" s="62" t="str">
        <f>IF(INDEX(I.Gas.P3Y2C1E2,28)="","",INDEX(I.Gas.P3Y2C1E2,28))</f>
        <v/>
      </c>
      <c r="G28163" s="62"/>
      <c r="H28163" s="46" t="str">
        <f>IF(OR(I.Developer.P3=FALSE,I.Facility.StandardPart="Part 2"),"Complete",IF(I.Product.P3GasToPowerStatus&lt;&gt;"Yes","Complete",IF(AND(I.Gas.P3Y2Count&gt;=28,F28163=""),"Incomplete","Complete")))</f>
        <v>Complete</v>
      </c>
      <c r="I28163" s="48" t="s">
        <v>3342</v>
      </c>
    </row>
    <row r="28164" spans="2:9" ht="15" customHeight="1" x14ac:dyDescent="0.25">
      <c r="B28164" s="55" t="s">
        <v>416</v>
      </c>
      <c r="C28164" s="46">
        <v>29</v>
      </c>
      <c r="D28164" s="69" t="s">
        <v>29553</v>
      </c>
      <c r="E28164" s="62"/>
      <c r="F28164" s="62" t="str">
        <f>IF(INDEX(I.Gas.P3Y2C1E2,29)="","",INDEX(I.Gas.P3Y2C1E2,29))</f>
        <v/>
      </c>
      <c r="G28164" s="62"/>
      <c r="H28164" s="46" t="str">
        <f>IF(OR(I.Developer.P3=FALSE,I.Facility.StandardPart="Part 2"),"Complete",IF(I.Product.P3GasToPowerStatus&lt;&gt;"Yes","Complete",IF(AND(I.Gas.P3Y2Count&gt;=29,F28164=""),"Incomplete","Complete")))</f>
        <v>Complete</v>
      </c>
      <c r="I28164" s="48" t="s">
        <v>3343</v>
      </c>
    </row>
    <row r="28165" spans="2:9" ht="15" customHeight="1" x14ac:dyDescent="0.25">
      <c r="B28165" s="55" t="s">
        <v>416</v>
      </c>
      <c r="C28165" s="46">
        <v>30</v>
      </c>
      <c r="D28165" s="69" t="s">
        <v>29553</v>
      </c>
      <c r="E28165" s="62"/>
      <c r="F28165" s="62" t="str">
        <f>IF(INDEX(I.Gas.P3Y2C1E2,30)="","",INDEX(I.Gas.P3Y2C1E2,30))</f>
        <v/>
      </c>
      <c r="G28165" s="62"/>
      <c r="H28165" s="46" t="str">
        <f>IF(OR(I.Developer.P3=FALSE,I.Facility.StandardPart="Part 2"),"Complete",IF(I.Product.P3GasToPowerStatus&lt;&gt;"Yes","Complete",IF(AND(I.Gas.P3Y2Count&gt;=30,F28165=""),"Incomplete","Complete")))</f>
        <v>Complete</v>
      </c>
      <c r="I28165" s="48" t="s">
        <v>3344</v>
      </c>
    </row>
    <row r="28166" spans="2:9" ht="15" customHeight="1" x14ac:dyDescent="0.25">
      <c r="B28166" s="55" t="s">
        <v>416</v>
      </c>
      <c r="C28166" s="46">
        <v>31</v>
      </c>
      <c r="D28166" s="69" t="s">
        <v>29553</v>
      </c>
      <c r="E28166" s="62"/>
      <c r="F28166" s="62" t="str">
        <f>IF(INDEX(I.Gas.P3Y2C1E2,31)="","",INDEX(I.Gas.P3Y2C1E2,31))</f>
        <v/>
      </c>
      <c r="G28166" s="62"/>
      <c r="H28166" s="46" t="str">
        <f>IF(OR(I.Developer.P3=FALSE,I.Facility.StandardPart="Part 2"),"Complete",IF(I.Product.P3GasToPowerStatus&lt;&gt;"Yes","Complete",IF(AND(I.Gas.P3Y2Count&gt;=31,F28166=""),"Incomplete","Complete")))</f>
        <v>Complete</v>
      </c>
      <c r="I28166" s="48" t="s">
        <v>3345</v>
      </c>
    </row>
    <row r="28167" spans="2:9" ht="15" customHeight="1" x14ac:dyDescent="0.25">
      <c r="B28167" s="55" t="s">
        <v>416</v>
      </c>
      <c r="C28167" s="46">
        <v>32</v>
      </c>
      <c r="D28167" s="69" t="s">
        <v>29553</v>
      </c>
      <c r="E28167" s="62"/>
      <c r="F28167" s="62" t="str">
        <f>IF(INDEX(I.Gas.P3Y2C1E2,32)="","",INDEX(I.Gas.P3Y2C1E2,32))</f>
        <v/>
      </c>
      <c r="G28167" s="62"/>
      <c r="H28167" s="46" t="str">
        <f>IF(OR(I.Developer.P3=FALSE,I.Facility.StandardPart="Part 2"),"Complete",IF(I.Product.P3GasToPowerStatus&lt;&gt;"Yes","Complete",IF(AND(I.Gas.P3Y2Count&gt;=32,F28167=""),"Incomplete","Complete")))</f>
        <v>Complete</v>
      </c>
      <c r="I28167" s="48" t="s">
        <v>3346</v>
      </c>
    </row>
    <row r="28168" spans="2:9" ht="15" customHeight="1" x14ac:dyDescent="0.25">
      <c r="B28168" s="55" t="s">
        <v>416</v>
      </c>
      <c r="C28168" s="46">
        <v>33</v>
      </c>
      <c r="D28168" s="69" t="s">
        <v>29553</v>
      </c>
      <c r="E28168" s="62"/>
      <c r="F28168" s="62" t="str">
        <f>IF(INDEX(I.Gas.P3Y2C1E2,33)="","",INDEX(I.Gas.P3Y2C1E2,33))</f>
        <v/>
      </c>
      <c r="G28168" s="62"/>
      <c r="H28168" s="46" t="str">
        <f>IF(OR(I.Developer.P3=FALSE,I.Facility.StandardPart="Part 2"),"Complete",IF(I.Product.P3GasToPowerStatus&lt;&gt;"Yes","Complete",IF(AND(I.Gas.P3Y2Count&gt;=33,F28168=""),"Incomplete","Complete")))</f>
        <v>Complete</v>
      </c>
      <c r="I28168" s="48" t="s">
        <v>3347</v>
      </c>
    </row>
    <row r="28169" spans="2:9" ht="15" customHeight="1" x14ac:dyDescent="0.25">
      <c r="B28169" s="55" t="s">
        <v>416</v>
      </c>
      <c r="C28169" s="46">
        <v>34</v>
      </c>
      <c r="D28169" s="69" t="s">
        <v>29553</v>
      </c>
      <c r="E28169" s="62"/>
      <c r="F28169" s="62" t="str">
        <f>IF(INDEX(I.Gas.P3Y2C1E2,34)="","",INDEX(I.Gas.P3Y2C1E2,34))</f>
        <v/>
      </c>
      <c r="G28169" s="62"/>
      <c r="H28169" s="46" t="str">
        <f>IF(OR(I.Developer.P3=FALSE,I.Facility.StandardPart="Part 2"),"Complete",IF(I.Product.P3GasToPowerStatus&lt;&gt;"Yes","Complete",IF(AND(I.Gas.P3Y2Count&gt;=34,F28169=""),"Incomplete","Complete")))</f>
        <v>Complete</v>
      </c>
      <c r="I28169" s="48" t="s">
        <v>3348</v>
      </c>
    </row>
    <row r="28170" spans="2:9" ht="15" customHeight="1" x14ac:dyDescent="0.25">
      <c r="B28170" s="55" t="s">
        <v>416</v>
      </c>
      <c r="C28170" s="46">
        <v>35</v>
      </c>
      <c r="D28170" s="69" t="s">
        <v>29553</v>
      </c>
      <c r="E28170" s="62"/>
      <c r="F28170" s="62" t="str">
        <f>IF(INDEX(I.Gas.P3Y2C1E2,35)="","",INDEX(I.Gas.P3Y2C1E2,35))</f>
        <v/>
      </c>
      <c r="G28170" s="62"/>
      <c r="H28170" s="46" t="str">
        <f>IF(OR(I.Developer.P3=FALSE,I.Facility.StandardPart="Part 2"),"Complete",IF(I.Product.P3GasToPowerStatus&lt;&gt;"Yes","Complete",IF(AND(I.Gas.P3Y2Count&gt;=35,F28170=""),"Incomplete","Complete")))</f>
        <v>Complete</v>
      </c>
      <c r="I28170" s="48" t="s">
        <v>3349</v>
      </c>
    </row>
    <row r="28171" spans="2:9" ht="15" customHeight="1" x14ac:dyDescent="0.25">
      <c r="B28171" s="55" t="s">
        <v>416</v>
      </c>
      <c r="C28171" s="46">
        <v>36</v>
      </c>
      <c r="D28171" s="69" t="s">
        <v>29553</v>
      </c>
      <c r="E28171" s="62"/>
      <c r="F28171" s="62" t="str">
        <f>IF(INDEX(I.Gas.P3Y2C1E2,36)="","",INDEX(I.Gas.P3Y2C1E2,36))</f>
        <v/>
      </c>
      <c r="G28171" s="62"/>
      <c r="H28171" s="46" t="str">
        <f>IF(OR(I.Developer.P3=FALSE,I.Facility.StandardPart="Part 2"),"Complete",IF(I.Product.P3GasToPowerStatus&lt;&gt;"Yes","Complete",IF(AND(I.Gas.P3Y2Count&gt;=36,F28171=""),"Incomplete","Complete")))</f>
        <v>Complete</v>
      </c>
      <c r="I28171" s="48" t="s">
        <v>3350</v>
      </c>
    </row>
    <row r="28172" spans="2:9" ht="15" customHeight="1" x14ac:dyDescent="0.25">
      <c r="B28172" s="55" t="s">
        <v>416</v>
      </c>
      <c r="C28172" s="46">
        <v>37</v>
      </c>
      <c r="D28172" s="69" t="s">
        <v>29553</v>
      </c>
      <c r="E28172" s="62"/>
      <c r="F28172" s="62" t="str">
        <f>IF(INDEX(I.Gas.P3Y2C1E2,37)="","",INDEX(I.Gas.P3Y2C1E2,37))</f>
        <v/>
      </c>
      <c r="G28172" s="62"/>
      <c r="H28172" s="46" t="str">
        <f>IF(OR(I.Developer.P3=FALSE,I.Facility.StandardPart="Part 2"),"Complete",IF(I.Product.P3GasToPowerStatus&lt;&gt;"Yes","Complete",IF(AND(I.Gas.P3Y2Count&gt;=37,F28172=""),"Incomplete","Complete")))</f>
        <v>Complete</v>
      </c>
      <c r="I28172" s="48" t="s">
        <v>3351</v>
      </c>
    </row>
    <row r="28173" spans="2:9" ht="15" customHeight="1" x14ac:dyDescent="0.25">
      <c r="B28173" s="55" t="s">
        <v>416</v>
      </c>
      <c r="C28173" s="46">
        <v>38</v>
      </c>
      <c r="D28173" s="69" t="s">
        <v>29553</v>
      </c>
      <c r="E28173" s="62"/>
      <c r="F28173" s="62" t="str">
        <f>IF(INDEX(I.Gas.P3Y2C1E2,38)="","",INDEX(I.Gas.P3Y2C1E2,38))</f>
        <v/>
      </c>
      <c r="G28173" s="62"/>
      <c r="H28173" s="46" t="str">
        <f>IF(OR(I.Developer.P3=FALSE,I.Facility.StandardPart="Part 2"),"Complete",IF(I.Product.P3GasToPowerStatus&lt;&gt;"Yes","Complete",IF(AND(I.Gas.P3Y2Count&gt;=38,F28173=""),"Incomplete","Complete")))</f>
        <v>Complete</v>
      </c>
      <c r="I28173" s="48" t="s">
        <v>3352</v>
      </c>
    </row>
    <row r="28174" spans="2:9" ht="15" customHeight="1" x14ac:dyDescent="0.25">
      <c r="B28174" s="55" t="s">
        <v>416</v>
      </c>
      <c r="C28174" s="46">
        <v>39</v>
      </c>
      <c r="D28174" s="69" t="s">
        <v>29553</v>
      </c>
      <c r="E28174" s="62"/>
      <c r="F28174" s="62" t="str">
        <f>IF(INDEX(I.Gas.P3Y2C1E2,39)="","",INDEX(I.Gas.P3Y2C1E2,39))</f>
        <v/>
      </c>
      <c r="G28174" s="62"/>
      <c r="H28174" s="46" t="str">
        <f>IF(OR(I.Developer.P3=FALSE,I.Facility.StandardPart="Part 2"),"Complete",IF(I.Product.P3GasToPowerStatus&lt;&gt;"Yes","Complete",IF(AND(I.Gas.P3Y2Count&gt;=39,F28174=""),"Incomplete","Complete")))</f>
        <v>Complete</v>
      </c>
      <c r="I28174" s="48" t="s">
        <v>3353</v>
      </c>
    </row>
    <row r="28175" spans="2:9" ht="15" customHeight="1" x14ac:dyDescent="0.25">
      <c r="B28175" s="55" t="s">
        <v>416</v>
      </c>
      <c r="C28175" s="46">
        <v>40</v>
      </c>
      <c r="D28175" s="69" t="s">
        <v>29553</v>
      </c>
      <c r="E28175" s="62"/>
      <c r="F28175" s="62" t="str">
        <f>IF(INDEX(I.Gas.P3Y2C1E2,40)="","",INDEX(I.Gas.P3Y2C1E2,40))</f>
        <v/>
      </c>
      <c r="G28175" s="62"/>
      <c r="H28175" s="46" t="str">
        <f>IF(OR(I.Developer.P3=FALSE,I.Facility.StandardPart="Part 2"),"Complete",IF(I.Product.P3GasToPowerStatus&lt;&gt;"Yes","Complete",IF(AND(I.Gas.P3Y2Count&gt;=40,F28175=""),"Incomplete","Complete")))</f>
        <v>Complete</v>
      </c>
      <c r="I28175" s="48" t="s">
        <v>3354</v>
      </c>
    </row>
    <row r="28176" spans="2:9" ht="15" customHeight="1" x14ac:dyDescent="0.25">
      <c r="B28176" s="55" t="s">
        <v>416</v>
      </c>
      <c r="C28176" s="46">
        <v>41</v>
      </c>
      <c r="D28176" s="69" t="s">
        <v>29553</v>
      </c>
      <c r="E28176" s="62"/>
      <c r="F28176" s="62" t="str">
        <f>IF(INDEX(I.Gas.P3Y2C1E2,41)="","",INDEX(I.Gas.P3Y2C1E2,41))</f>
        <v/>
      </c>
      <c r="G28176" s="62"/>
      <c r="H28176" s="46" t="str">
        <f>IF(OR(I.Developer.P3=FALSE,I.Facility.StandardPart="Part 2"),"Complete",IF(I.Product.P3GasToPowerStatus&lt;&gt;"Yes","Complete",IF(AND(I.Gas.P3Y2Count&gt;=41,F28176=""),"Incomplete","Complete")))</f>
        <v>Complete</v>
      </c>
      <c r="I28176" s="48" t="s">
        <v>3355</v>
      </c>
    </row>
    <row r="28177" spans="2:9" ht="15" customHeight="1" x14ac:dyDescent="0.25">
      <c r="B28177" s="55" t="s">
        <v>416</v>
      </c>
      <c r="C28177" s="46">
        <v>42</v>
      </c>
      <c r="D28177" s="69" t="s">
        <v>29553</v>
      </c>
      <c r="E28177" s="62"/>
      <c r="F28177" s="62" t="str">
        <f>IF(INDEX(I.Gas.P3Y2C1E2,42)="","",INDEX(I.Gas.P3Y2C1E2,42))</f>
        <v/>
      </c>
      <c r="G28177" s="62"/>
      <c r="H28177" s="46" t="str">
        <f>IF(OR(I.Developer.P3=FALSE,I.Facility.StandardPart="Part 2"),"Complete",IF(I.Product.P3GasToPowerStatus&lt;&gt;"Yes","Complete",IF(AND(I.Gas.P3Y2Count&gt;=42,F28177=""),"Incomplete","Complete")))</f>
        <v>Complete</v>
      </c>
      <c r="I28177" s="48" t="s">
        <v>3356</v>
      </c>
    </row>
    <row r="28178" spans="2:9" ht="15" customHeight="1" x14ac:dyDescent="0.25">
      <c r="B28178" s="55" t="s">
        <v>416</v>
      </c>
      <c r="C28178" s="46">
        <v>43</v>
      </c>
      <c r="D28178" s="69" t="s">
        <v>29553</v>
      </c>
      <c r="E28178" s="62"/>
      <c r="F28178" s="62" t="str">
        <f>IF(INDEX(I.Gas.P3Y2C1E2,43)="","",INDEX(I.Gas.P3Y2C1E2,43))</f>
        <v/>
      </c>
      <c r="G28178" s="62"/>
      <c r="H28178" s="46" t="str">
        <f>IF(OR(I.Developer.P3=FALSE,I.Facility.StandardPart="Part 2"),"Complete",IF(I.Product.P3GasToPowerStatus&lt;&gt;"Yes","Complete",IF(AND(I.Gas.P3Y2Count&gt;=43,F28178=""),"Incomplete","Complete")))</f>
        <v>Complete</v>
      </c>
      <c r="I28178" s="48" t="s">
        <v>3357</v>
      </c>
    </row>
    <row r="28179" spans="2:9" ht="15" customHeight="1" x14ac:dyDescent="0.25">
      <c r="B28179" s="55" t="s">
        <v>416</v>
      </c>
      <c r="C28179" s="46">
        <v>44</v>
      </c>
      <c r="D28179" s="69" t="s">
        <v>29553</v>
      </c>
      <c r="E28179" s="62"/>
      <c r="F28179" s="62" t="str">
        <f>IF(INDEX(I.Gas.P3Y2C1E2,44)="","",INDEX(I.Gas.P3Y2C1E2,44))</f>
        <v/>
      </c>
      <c r="G28179" s="62"/>
      <c r="H28179" s="46" t="str">
        <f>IF(OR(I.Developer.P3=FALSE,I.Facility.StandardPart="Part 2"),"Complete",IF(I.Product.P3GasToPowerStatus&lt;&gt;"Yes","Complete",IF(AND(I.Gas.P3Y2Count&gt;=44,F28179=""),"Incomplete","Complete")))</f>
        <v>Complete</v>
      </c>
      <c r="I28179" s="48" t="s">
        <v>3358</v>
      </c>
    </row>
    <row r="28180" spans="2:9" ht="15" customHeight="1" x14ac:dyDescent="0.25">
      <c r="B28180" s="55" t="s">
        <v>416</v>
      </c>
      <c r="C28180" s="46">
        <v>45</v>
      </c>
      <c r="D28180" s="69" t="s">
        <v>29553</v>
      </c>
      <c r="E28180" s="62"/>
      <c r="F28180" s="62" t="str">
        <f>IF(INDEX(I.Gas.P3Y2C1E2,45)="","",INDEX(I.Gas.P3Y2C1E2,45))</f>
        <v/>
      </c>
      <c r="G28180" s="62"/>
      <c r="H28180" s="46" t="str">
        <f>IF(OR(I.Developer.P3=FALSE,I.Facility.StandardPart="Part 2"),"Complete",IF(I.Product.P3GasToPowerStatus&lt;&gt;"Yes","Complete",IF(AND(I.Gas.P3Y2Count&gt;=45,F28180=""),"Incomplete","Complete")))</f>
        <v>Complete</v>
      </c>
      <c r="I28180" s="48" t="s">
        <v>3359</v>
      </c>
    </row>
    <row r="28181" spans="2:9" ht="15" customHeight="1" x14ac:dyDescent="0.25">
      <c r="B28181" s="55" t="s">
        <v>416</v>
      </c>
      <c r="C28181" s="46">
        <v>46</v>
      </c>
      <c r="D28181" s="69" t="s">
        <v>29553</v>
      </c>
      <c r="E28181" s="62"/>
      <c r="F28181" s="62" t="str">
        <f>IF(INDEX(I.Gas.P3Y2C1E2,46)="","",INDEX(I.Gas.P3Y2C1E2,46))</f>
        <v/>
      </c>
      <c r="G28181" s="62"/>
      <c r="H28181" s="46" t="str">
        <f>IF(OR(I.Developer.P3=FALSE,I.Facility.StandardPart="Part 2"),"Complete",IF(I.Product.P3GasToPowerStatus&lt;&gt;"Yes","Complete",IF(AND(I.Gas.P3Y2Count&gt;=46,F28181=""),"Incomplete","Complete")))</f>
        <v>Complete</v>
      </c>
      <c r="I28181" s="48" t="s">
        <v>3360</v>
      </c>
    </row>
    <row r="28182" spans="2:9" ht="15" customHeight="1" x14ac:dyDescent="0.25">
      <c r="B28182" s="55" t="s">
        <v>416</v>
      </c>
      <c r="C28182" s="46">
        <v>47</v>
      </c>
      <c r="D28182" s="69" t="s">
        <v>29553</v>
      </c>
      <c r="E28182" s="62"/>
      <c r="F28182" s="62" t="str">
        <f>IF(INDEX(I.Gas.P3Y2C1E2,47)="","",INDEX(I.Gas.P3Y2C1E2,47))</f>
        <v/>
      </c>
      <c r="G28182" s="62"/>
      <c r="H28182" s="46" t="str">
        <f>IF(OR(I.Developer.P3=FALSE,I.Facility.StandardPart="Part 2"),"Complete",IF(I.Product.P3GasToPowerStatus&lt;&gt;"Yes","Complete",IF(AND(I.Gas.P3Y2Count&gt;=47,F28182=""),"Incomplete","Complete")))</f>
        <v>Complete</v>
      </c>
      <c r="I28182" s="48" t="s">
        <v>3361</v>
      </c>
    </row>
    <row r="28183" spans="2:9" ht="15" customHeight="1" x14ac:dyDescent="0.25">
      <c r="B28183" s="55" t="s">
        <v>416</v>
      </c>
      <c r="C28183" s="46">
        <v>48</v>
      </c>
      <c r="D28183" s="69" t="s">
        <v>29553</v>
      </c>
      <c r="E28183" s="62"/>
      <c r="F28183" s="62" t="str">
        <f>IF(INDEX(I.Gas.P3Y2C1E2,48)="","",INDEX(I.Gas.P3Y2C1E2,48))</f>
        <v/>
      </c>
      <c r="G28183" s="62"/>
      <c r="H28183" s="46" t="str">
        <f>IF(OR(I.Developer.P3=FALSE,I.Facility.StandardPart="Part 2"),"Complete",IF(I.Product.P3GasToPowerStatus&lt;&gt;"Yes","Complete",IF(AND(I.Gas.P3Y2Count&gt;=48,F28183=""),"Incomplete","Complete")))</f>
        <v>Complete</v>
      </c>
      <c r="I28183" s="48" t="s">
        <v>3362</v>
      </c>
    </row>
    <row r="28184" spans="2:9" ht="15" customHeight="1" x14ac:dyDescent="0.25">
      <c r="B28184" s="55" t="s">
        <v>416</v>
      </c>
      <c r="C28184" s="46">
        <v>49</v>
      </c>
      <c r="D28184" s="69" t="s">
        <v>29553</v>
      </c>
      <c r="E28184" s="62"/>
      <c r="F28184" s="62" t="str">
        <f>IF(INDEX(I.Gas.P3Y2C1E2,49)="","",INDEX(I.Gas.P3Y2C1E2,49))</f>
        <v/>
      </c>
      <c r="G28184" s="62"/>
      <c r="H28184" s="46" t="str">
        <f>IF(OR(I.Developer.P3=FALSE,I.Facility.StandardPart="Part 2"),"Complete",IF(I.Product.P3GasToPowerStatus&lt;&gt;"Yes","Complete",IF(AND(I.Gas.P3Y2Count&gt;=49,F28184=""),"Incomplete","Complete")))</f>
        <v>Complete</v>
      </c>
      <c r="I28184" s="48" t="s">
        <v>3363</v>
      </c>
    </row>
    <row r="28185" spans="2:9" ht="15" customHeight="1" x14ac:dyDescent="0.25">
      <c r="B28185" s="56" t="s">
        <v>416</v>
      </c>
      <c r="C28185" s="57">
        <v>50</v>
      </c>
      <c r="D28185" s="71" t="s">
        <v>29553</v>
      </c>
      <c r="E28185" s="61"/>
      <c r="F28185" s="61" t="str">
        <f>IF(INDEX(I.Gas.P3Y2C1E2,50)="","",INDEX(I.Gas.P3Y2C1E2,50))</f>
        <v/>
      </c>
      <c r="G28185" s="61"/>
      <c r="H28185" s="57" t="str">
        <f>IF(OR(I.Developer.P3=FALSE,I.Facility.StandardPart="Part 2"),"Complete",IF(I.Product.P3GasToPowerStatus&lt;&gt;"Yes","Complete",IF(AND(I.Gas.P3Y2Count&gt;=50,F28185=""),"Incomplete","Complete")))</f>
        <v>Complete</v>
      </c>
      <c r="I28185" s="49" t="s">
        <v>3364</v>
      </c>
    </row>
    <row r="28186" spans="2:9" ht="15" customHeight="1" x14ac:dyDescent="0.25">
      <c r="B28186" s="55" t="s">
        <v>417</v>
      </c>
      <c r="C28186" s="46">
        <v>1</v>
      </c>
      <c r="D28186" s="69" t="s">
        <v>29554</v>
      </c>
      <c r="E28186" s="62"/>
      <c r="F28186" s="62" t="str">
        <f>IF(INDEX(I.Gas.P3Y2C1E3,1)="","",INDEX(I.Gas.P3Y2C1E3,1))</f>
        <v/>
      </c>
      <c r="G28186" s="62"/>
      <c r="H28186" s="46" t="str">
        <f>IF(OR(I.Developer.P3=FALSE,I.Facility.StandardPart="Part 2"),"Complete",IF(I.Product.P3GasToPowerStatus&lt;&gt;"Yes","Complete",IF(AND(I.Gas.P3Y2Count&gt;=1,F28186=""),"Incomplete","Complete")))</f>
        <v>Complete</v>
      </c>
      <c r="I28186" s="48" t="s">
        <v>3365</v>
      </c>
    </row>
    <row r="28187" spans="2:9" ht="15" customHeight="1" x14ac:dyDescent="0.25">
      <c r="B28187" s="55" t="s">
        <v>417</v>
      </c>
      <c r="C28187" s="46">
        <v>2</v>
      </c>
      <c r="D28187" s="69" t="s">
        <v>29554</v>
      </c>
      <c r="E28187" s="62"/>
      <c r="F28187" s="62" t="str">
        <f>IF(INDEX(I.Gas.P3Y2C1E3,2)="","",INDEX(I.Gas.P3Y2C1E3,2))</f>
        <v/>
      </c>
      <c r="G28187" s="62"/>
      <c r="H28187" s="46" t="str">
        <f>IF(OR(I.Developer.P3=FALSE,I.Facility.StandardPart="Part 2"),"Complete",IF(I.Product.P3GasToPowerStatus&lt;&gt;"Yes","Complete",IF(AND(I.Gas.P3Y2Count&gt;=2,F28187=""),"Incomplete","Complete")))</f>
        <v>Complete</v>
      </c>
      <c r="I28187" s="48" t="s">
        <v>3366</v>
      </c>
    </row>
    <row r="28188" spans="2:9" ht="15" customHeight="1" x14ac:dyDescent="0.25">
      <c r="B28188" s="55" t="s">
        <v>417</v>
      </c>
      <c r="C28188" s="46">
        <v>3</v>
      </c>
      <c r="D28188" s="69" t="s">
        <v>29554</v>
      </c>
      <c r="E28188" s="62"/>
      <c r="F28188" s="62" t="str">
        <f>IF(INDEX(I.Gas.P3Y2C1E3,3)="","",INDEX(I.Gas.P3Y2C1E3,3))</f>
        <v/>
      </c>
      <c r="G28188" s="62"/>
      <c r="H28188" s="46" t="str">
        <f>IF(OR(I.Developer.P3=FALSE,I.Facility.StandardPart="Part 2"),"Complete",IF(I.Product.P3GasToPowerStatus&lt;&gt;"Yes","Complete",IF(AND(I.Gas.P3Y2Count&gt;=3,F28188=""),"Incomplete","Complete")))</f>
        <v>Complete</v>
      </c>
      <c r="I28188" s="48" t="s">
        <v>3367</v>
      </c>
    </row>
    <row r="28189" spans="2:9" ht="15" customHeight="1" x14ac:dyDescent="0.25">
      <c r="B28189" s="55" t="s">
        <v>417</v>
      </c>
      <c r="C28189" s="46">
        <v>4</v>
      </c>
      <c r="D28189" s="69" t="s">
        <v>29554</v>
      </c>
      <c r="E28189" s="62"/>
      <c r="F28189" s="62" t="str">
        <f>IF(INDEX(I.Gas.P3Y2C1E3,4)="","",INDEX(I.Gas.P3Y2C1E3,4))</f>
        <v/>
      </c>
      <c r="G28189" s="62"/>
      <c r="H28189" s="46" t="str">
        <f>IF(OR(I.Developer.P3=FALSE,I.Facility.StandardPart="Part 2"),"Complete",IF(I.Product.P3GasToPowerStatus&lt;&gt;"Yes","Complete",IF(AND(I.Gas.P3Y2Count&gt;=4,F28189=""),"Incomplete","Complete")))</f>
        <v>Complete</v>
      </c>
      <c r="I28189" s="48" t="s">
        <v>3368</v>
      </c>
    </row>
    <row r="28190" spans="2:9" ht="15" customHeight="1" x14ac:dyDescent="0.25">
      <c r="B28190" s="55" t="s">
        <v>417</v>
      </c>
      <c r="C28190" s="46">
        <v>5</v>
      </c>
      <c r="D28190" s="69" t="s">
        <v>29554</v>
      </c>
      <c r="E28190" s="62"/>
      <c r="F28190" s="62" t="str">
        <f>IF(INDEX(I.Gas.P3Y2C1E3,5)="","",INDEX(I.Gas.P3Y2C1E3,5))</f>
        <v/>
      </c>
      <c r="G28190" s="62"/>
      <c r="H28190" s="46" t="str">
        <f>IF(OR(I.Developer.P3=FALSE,I.Facility.StandardPart="Part 2"),"Complete",IF(I.Product.P3GasToPowerStatus&lt;&gt;"Yes","Complete",IF(AND(I.Gas.P3Y2Count&gt;=5,F28190=""),"Incomplete","Complete")))</f>
        <v>Complete</v>
      </c>
      <c r="I28190" s="48" t="s">
        <v>3369</v>
      </c>
    </row>
    <row r="28191" spans="2:9" ht="15" customHeight="1" x14ac:dyDescent="0.25">
      <c r="B28191" s="55" t="s">
        <v>417</v>
      </c>
      <c r="C28191" s="46">
        <v>6</v>
      </c>
      <c r="D28191" s="69" t="s">
        <v>29554</v>
      </c>
      <c r="E28191" s="62"/>
      <c r="F28191" s="62" t="str">
        <f>IF(INDEX(I.Gas.P3Y2C1E3,6)="","",INDEX(I.Gas.P3Y2C1E3,6))</f>
        <v/>
      </c>
      <c r="G28191" s="62"/>
      <c r="H28191" s="46" t="str">
        <f>IF(OR(I.Developer.P3=FALSE,I.Facility.StandardPart="Part 2"),"Complete",IF(I.Product.P3GasToPowerStatus&lt;&gt;"Yes","Complete",IF(AND(I.Gas.P3Y2Count&gt;=6,F28191=""),"Incomplete","Complete")))</f>
        <v>Complete</v>
      </c>
      <c r="I28191" s="48" t="s">
        <v>3370</v>
      </c>
    </row>
    <row r="28192" spans="2:9" ht="15" customHeight="1" x14ac:dyDescent="0.25">
      <c r="B28192" s="55" t="s">
        <v>417</v>
      </c>
      <c r="C28192" s="46">
        <v>7</v>
      </c>
      <c r="D28192" s="69" t="s">
        <v>29554</v>
      </c>
      <c r="E28192" s="62"/>
      <c r="F28192" s="62" t="str">
        <f>IF(INDEX(I.Gas.P3Y2C1E3,7)="","",INDEX(I.Gas.P3Y2C1E3,7))</f>
        <v/>
      </c>
      <c r="G28192" s="62"/>
      <c r="H28192" s="46" t="str">
        <f>IF(OR(I.Developer.P3=FALSE,I.Facility.StandardPart="Part 2"),"Complete",IF(I.Product.P3GasToPowerStatus&lt;&gt;"Yes","Complete",IF(AND(I.Gas.P3Y2Count&gt;=7,F28192=""),"Incomplete","Complete")))</f>
        <v>Complete</v>
      </c>
      <c r="I28192" s="48" t="s">
        <v>3371</v>
      </c>
    </row>
    <row r="28193" spans="2:9" ht="15" customHeight="1" x14ac:dyDescent="0.25">
      <c r="B28193" s="55" t="s">
        <v>417</v>
      </c>
      <c r="C28193" s="46">
        <v>8</v>
      </c>
      <c r="D28193" s="69" t="s">
        <v>29554</v>
      </c>
      <c r="E28193" s="62"/>
      <c r="F28193" s="62" t="str">
        <f>IF(INDEX(I.Gas.P3Y2C1E3,8)="","",INDEX(I.Gas.P3Y2C1E3,8))</f>
        <v/>
      </c>
      <c r="G28193" s="62"/>
      <c r="H28193" s="46" t="str">
        <f>IF(OR(I.Developer.P3=FALSE,I.Facility.StandardPart="Part 2"),"Complete",IF(I.Product.P3GasToPowerStatus&lt;&gt;"Yes","Complete",IF(AND(I.Gas.P3Y2Count&gt;=8,F28193=""),"Incomplete","Complete")))</f>
        <v>Complete</v>
      </c>
      <c r="I28193" s="48" t="s">
        <v>3372</v>
      </c>
    </row>
    <row r="28194" spans="2:9" ht="15" customHeight="1" x14ac:dyDescent="0.25">
      <c r="B28194" s="55" t="s">
        <v>417</v>
      </c>
      <c r="C28194" s="46">
        <v>9</v>
      </c>
      <c r="D28194" s="69" t="s">
        <v>29554</v>
      </c>
      <c r="E28194" s="62"/>
      <c r="F28194" s="62" t="str">
        <f>IF(INDEX(I.Gas.P3Y2C1E3,9)="","",INDEX(I.Gas.P3Y2C1E3,9))</f>
        <v/>
      </c>
      <c r="G28194" s="62"/>
      <c r="H28194" s="46" t="str">
        <f>IF(OR(I.Developer.P3=FALSE,I.Facility.StandardPart="Part 2"),"Complete",IF(I.Product.P3GasToPowerStatus&lt;&gt;"Yes","Complete",IF(AND(I.Gas.P3Y2Count&gt;=9,F28194=""),"Incomplete","Complete")))</f>
        <v>Complete</v>
      </c>
      <c r="I28194" s="48" t="s">
        <v>3373</v>
      </c>
    </row>
    <row r="28195" spans="2:9" ht="15" customHeight="1" x14ac:dyDescent="0.25">
      <c r="B28195" s="55" t="s">
        <v>417</v>
      </c>
      <c r="C28195" s="46">
        <v>10</v>
      </c>
      <c r="D28195" s="69" t="s">
        <v>29554</v>
      </c>
      <c r="E28195" s="62"/>
      <c r="F28195" s="62" t="str">
        <f>IF(INDEX(I.Gas.P3Y2C1E3,10)="","",INDEX(I.Gas.P3Y2C1E3,10))</f>
        <v/>
      </c>
      <c r="G28195" s="62"/>
      <c r="H28195" s="46" t="str">
        <f>IF(OR(I.Developer.P3=FALSE,I.Facility.StandardPart="Part 2"),"Complete",IF(I.Product.P3GasToPowerStatus&lt;&gt;"Yes","Complete",IF(AND(I.Gas.P3Y2Count&gt;=10,F28195=""),"Incomplete","Complete")))</f>
        <v>Complete</v>
      </c>
      <c r="I28195" s="48" t="s">
        <v>3374</v>
      </c>
    </row>
    <row r="28196" spans="2:9" ht="15" customHeight="1" x14ac:dyDescent="0.25">
      <c r="B28196" s="55" t="s">
        <v>417</v>
      </c>
      <c r="C28196" s="46">
        <v>11</v>
      </c>
      <c r="D28196" s="69" t="s">
        <v>29554</v>
      </c>
      <c r="E28196" s="62"/>
      <c r="F28196" s="62" t="str">
        <f>IF(INDEX(I.Gas.P3Y2C1E3,11)="","",INDEX(I.Gas.P3Y2C1E3,11))</f>
        <v/>
      </c>
      <c r="G28196" s="62"/>
      <c r="H28196" s="46" t="str">
        <f>IF(OR(I.Developer.P3=FALSE,I.Facility.StandardPart="Part 2"),"Complete",IF(I.Product.P3GasToPowerStatus&lt;&gt;"Yes","Complete",IF(AND(I.Gas.P3Y2Count&gt;=11,F28196=""),"Incomplete","Complete")))</f>
        <v>Complete</v>
      </c>
      <c r="I28196" s="48" t="s">
        <v>3375</v>
      </c>
    </row>
    <row r="28197" spans="2:9" ht="15" customHeight="1" x14ac:dyDescent="0.25">
      <c r="B28197" s="55" t="s">
        <v>417</v>
      </c>
      <c r="C28197" s="46">
        <v>12</v>
      </c>
      <c r="D28197" s="69" t="s">
        <v>29554</v>
      </c>
      <c r="E28197" s="62"/>
      <c r="F28197" s="62" t="str">
        <f>IF(INDEX(I.Gas.P3Y2C1E3,12)="","",INDEX(I.Gas.P3Y2C1E3,12))</f>
        <v/>
      </c>
      <c r="G28197" s="62"/>
      <c r="H28197" s="46" t="str">
        <f>IF(OR(I.Developer.P3=FALSE,I.Facility.StandardPart="Part 2"),"Complete",IF(I.Product.P3GasToPowerStatus&lt;&gt;"Yes","Complete",IF(AND(I.Gas.P3Y2Count&gt;=12,F28197=""),"Incomplete","Complete")))</f>
        <v>Complete</v>
      </c>
      <c r="I28197" s="48" t="s">
        <v>3376</v>
      </c>
    </row>
    <row r="28198" spans="2:9" ht="15" customHeight="1" x14ac:dyDescent="0.25">
      <c r="B28198" s="55" t="s">
        <v>417</v>
      </c>
      <c r="C28198" s="46">
        <v>13</v>
      </c>
      <c r="D28198" s="69" t="s">
        <v>29554</v>
      </c>
      <c r="E28198" s="62"/>
      <c r="F28198" s="62" t="str">
        <f>IF(INDEX(I.Gas.P3Y2C1E3,13)="","",INDEX(I.Gas.P3Y2C1E3,13))</f>
        <v/>
      </c>
      <c r="G28198" s="62"/>
      <c r="H28198" s="46" t="str">
        <f>IF(OR(I.Developer.P3=FALSE,I.Facility.StandardPart="Part 2"),"Complete",IF(I.Product.P3GasToPowerStatus&lt;&gt;"Yes","Complete",IF(AND(I.Gas.P3Y2Count&gt;=13,F28198=""),"Incomplete","Complete")))</f>
        <v>Complete</v>
      </c>
      <c r="I28198" s="48" t="s">
        <v>3377</v>
      </c>
    </row>
    <row r="28199" spans="2:9" ht="15" customHeight="1" x14ac:dyDescent="0.25">
      <c r="B28199" s="55" t="s">
        <v>417</v>
      </c>
      <c r="C28199" s="46">
        <v>14</v>
      </c>
      <c r="D28199" s="69" t="s">
        <v>29554</v>
      </c>
      <c r="E28199" s="62"/>
      <c r="F28199" s="62" t="str">
        <f>IF(INDEX(I.Gas.P3Y2C1E3,14)="","",INDEX(I.Gas.P3Y2C1E3,14))</f>
        <v/>
      </c>
      <c r="G28199" s="62"/>
      <c r="H28199" s="46" t="str">
        <f>IF(OR(I.Developer.P3=FALSE,I.Facility.StandardPart="Part 2"),"Complete",IF(I.Product.P3GasToPowerStatus&lt;&gt;"Yes","Complete",IF(AND(I.Gas.P3Y2Count&gt;=14,F28199=""),"Incomplete","Complete")))</f>
        <v>Complete</v>
      </c>
      <c r="I28199" s="48" t="s">
        <v>3378</v>
      </c>
    </row>
    <row r="28200" spans="2:9" ht="15" customHeight="1" x14ac:dyDescent="0.25">
      <c r="B28200" s="55" t="s">
        <v>417</v>
      </c>
      <c r="C28200" s="46">
        <v>15</v>
      </c>
      <c r="D28200" s="69" t="s">
        <v>29554</v>
      </c>
      <c r="E28200" s="62"/>
      <c r="F28200" s="62" t="str">
        <f>IF(INDEX(I.Gas.P3Y2C1E3,15)="","",INDEX(I.Gas.P3Y2C1E3,15))</f>
        <v/>
      </c>
      <c r="G28200" s="62"/>
      <c r="H28200" s="46" t="str">
        <f>IF(OR(I.Developer.P3=FALSE,I.Facility.StandardPart="Part 2"),"Complete",IF(I.Product.P3GasToPowerStatus&lt;&gt;"Yes","Complete",IF(AND(I.Gas.P3Y2Count&gt;=15,F28200=""),"Incomplete","Complete")))</f>
        <v>Complete</v>
      </c>
      <c r="I28200" s="48" t="s">
        <v>3379</v>
      </c>
    </row>
    <row r="28201" spans="2:9" ht="15" customHeight="1" x14ac:dyDescent="0.25">
      <c r="B28201" s="55" t="s">
        <v>417</v>
      </c>
      <c r="C28201" s="46">
        <v>16</v>
      </c>
      <c r="D28201" s="69" t="s">
        <v>29554</v>
      </c>
      <c r="E28201" s="62"/>
      <c r="F28201" s="62" t="str">
        <f>IF(INDEX(I.Gas.P3Y2C1E3,16)="","",INDEX(I.Gas.P3Y2C1E3,16))</f>
        <v/>
      </c>
      <c r="G28201" s="62"/>
      <c r="H28201" s="46" t="str">
        <f>IF(OR(I.Developer.P3=FALSE,I.Facility.StandardPart="Part 2"),"Complete",IF(I.Product.P3GasToPowerStatus&lt;&gt;"Yes","Complete",IF(AND(I.Gas.P3Y2Count&gt;=16,F28201=""),"Incomplete","Complete")))</f>
        <v>Complete</v>
      </c>
      <c r="I28201" s="48" t="s">
        <v>3380</v>
      </c>
    </row>
    <row r="28202" spans="2:9" ht="15" customHeight="1" x14ac:dyDescent="0.25">
      <c r="B28202" s="55" t="s">
        <v>417</v>
      </c>
      <c r="C28202" s="46">
        <v>17</v>
      </c>
      <c r="D28202" s="69" t="s">
        <v>29554</v>
      </c>
      <c r="E28202" s="62"/>
      <c r="F28202" s="62" t="str">
        <f>IF(INDEX(I.Gas.P3Y2C1E3,17)="","",INDEX(I.Gas.P3Y2C1E3,17))</f>
        <v/>
      </c>
      <c r="G28202" s="62"/>
      <c r="H28202" s="46" t="str">
        <f>IF(OR(I.Developer.P3=FALSE,I.Facility.StandardPart="Part 2"),"Complete",IF(I.Product.P3GasToPowerStatus&lt;&gt;"Yes","Complete",IF(AND(I.Gas.P3Y2Count&gt;=17,F28202=""),"Incomplete","Complete")))</f>
        <v>Complete</v>
      </c>
      <c r="I28202" s="48" t="s">
        <v>3381</v>
      </c>
    </row>
    <row r="28203" spans="2:9" ht="15" customHeight="1" x14ac:dyDescent="0.25">
      <c r="B28203" s="55" t="s">
        <v>417</v>
      </c>
      <c r="C28203" s="46">
        <v>18</v>
      </c>
      <c r="D28203" s="69" t="s">
        <v>29554</v>
      </c>
      <c r="E28203" s="62"/>
      <c r="F28203" s="62" t="str">
        <f>IF(INDEX(I.Gas.P3Y2C1E3,18)="","",INDEX(I.Gas.P3Y2C1E3,18))</f>
        <v/>
      </c>
      <c r="G28203" s="62"/>
      <c r="H28203" s="46" t="str">
        <f>IF(OR(I.Developer.P3=FALSE,I.Facility.StandardPart="Part 2"),"Complete",IF(I.Product.P3GasToPowerStatus&lt;&gt;"Yes","Complete",IF(AND(I.Gas.P3Y2Count&gt;=18,F28203=""),"Incomplete","Complete")))</f>
        <v>Complete</v>
      </c>
      <c r="I28203" s="48" t="s">
        <v>3382</v>
      </c>
    </row>
    <row r="28204" spans="2:9" ht="15" customHeight="1" x14ac:dyDescent="0.25">
      <c r="B28204" s="55" t="s">
        <v>417</v>
      </c>
      <c r="C28204" s="46">
        <v>19</v>
      </c>
      <c r="D28204" s="69" t="s">
        <v>29554</v>
      </c>
      <c r="E28204" s="62"/>
      <c r="F28204" s="62" t="str">
        <f>IF(INDEX(I.Gas.P3Y2C1E3,19)="","",INDEX(I.Gas.P3Y2C1E3,19))</f>
        <v/>
      </c>
      <c r="G28204" s="62"/>
      <c r="H28204" s="46" t="str">
        <f>IF(OR(I.Developer.P3=FALSE,I.Facility.StandardPart="Part 2"),"Complete",IF(I.Product.P3GasToPowerStatus&lt;&gt;"Yes","Complete",IF(AND(I.Gas.P3Y2Count&gt;=19,F28204=""),"Incomplete","Complete")))</f>
        <v>Complete</v>
      </c>
      <c r="I28204" s="48" t="s">
        <v>3383</v>
      </c>
    </row>
    <row r="28205" spans="2:9" ht="15" customHeight="1" x14ac:dyDescent="0.25">
      <c r="B28205" s="55" t="s">
        <v>417</v>
      </c>
      <c r="C28205" s="46">
        <v>20</v>
      </c>
      <c r="D28205" s="69" t="s">
        <v>29554</v>
      </c>
      <c r="E28205" s="62"/>
      <c r="F28205" s="62" t="str">
        <f>IF(INDEX(I.Gas.P3Y2C1E3,20)="","",INDEX(I.Gas.P3Y2C1E3,20))</f>
        <v/>
      </c>
      <c r="G28205" s="62"/>
      <c r="H28205" s="46" t="str">
        <f>IF(OR(I.Developer.P3=FALSE,I.Facility.StandardPart="Part 2"),"Complete",IF(I.Product.P3GasToPowerStatus&lt;&gt;"Yes","Complete",IF(AND(I.Gas.P3Y2Count&gt;=20,F28205=""),"Incomplete","Complete")))</f>
        <v>Complete</v>
      </c>
      <c r="I28205" s="48" t="s">
        <v>3384</v>
      </c>
    </row>
    <row r="28206" spans="2:9" ht="15" customHeight="1" x14ac:dyDescent="0.25">
      <c r="B28206" s="55" t="s">
        <v>417</v>
      </c>
      <c r="C28206" s="46">
        <v>21</v>
      </c>
      <c r="D28206" s="69" t="s">
        <v>29554</v>
      </c>
      <c r="E28206" s="62"/>
      <c r="F28206" s="62" t="str">
        <f>IF(INDEX(I.Gas.P3Y2C1E3,21)="","",INDEX(I.Gas.P3Y2C1E3,21))</f>
        <v/>
      </c>
      <c r="G28206" s="62"/>
      <c r="H28206" s="46" t="str">
        <f>IF(OR(I.Developer.P3=FALSE,I.Facility.StandardPart="Part 2"),"Complete",IF(I.Product.P3GasToPowerStatus&lt;&gt;"Yes","Complete",IF(AND(I.Gas.P3Y2Count&gt;=21,F28206=""),"Incomplete","Complete")))</f>
        <v>Complete</v>
      </c>
      <c r="I28206" s="48" t="s">
        <v>3385</v>
      </c>
    </row>
    <row r="28207" spans="2:9" ht="15" customHeight="1" x14ac:dyDescent="0.25">
      <c r="B28207" s="55" t="s">
        <v>417</v>
      </c>
      <c r="C28207" s="46">
        <v>22</v>
      </c>
      <c r="D28207" s="69" t="s">
        <v>29554</v>
      </c>
      <c r="E28207" s="62"/>
      <c r="F28207" s="62" t="str">
        <f>IF(INDEX(I.Gas.P3Y2C1E3,22)="","",INDEX(I.Gas.P3Y2C1E3,22))</f>
        <v/>
      </c>
      <c r="G28207" s="62"/>
      <c r="H28207" s="46" t="str">
        <f>IF(OR(I.Developer.P3=FALSE,I.Facility.StandardPart="Part 2"),"Complete",IF(I.Product.P3GasToPowerStatus&lt;&gt;"Yes","Complete",IF(AND(I.Gas.P3Y2Count&gt;=22,F28207=""),"Incomplete","Complete")))</f>
        <v>Complete</v>
      </c>
      <c r="I28207" s="48" t="s">
        <v>3386</v>
      </c>
    </row>
    <row r="28208" spans="2:9" ht="15" customHeight="1" x14ac:dyDescent="0.25">
      <c r="B28208" s="55" t="s">
        <v>417</v>
      </c>
      <c r="C28208" s="46">
        <v>23</v>
      </c>
      <c r="D28208" s="69" t="s">
        <v>29554</v>
      </c>
      <c r="E28208" s="62"/>
      <c r="F28208" s="62" t="str">
        <f>IF(INDEX(I.Gas.P3Y2C1E3,23)="","",INDEX(I.Gas.P3Y2C1E3,23))</f>
        <v/>
      </c>
      <c r="G28208" s="62"/>
      <c r="H28208" s="46" t="str">
        <f>IF(OR(I.Developer.P3=FALSE,I.Facility.StandardPart="Part 2"),"Complete",IF(I.Product.P3GasToPowerStatus&lt;&gt;"Yes","Complete",IF(AND(I.Gas.P3Y2Count&gt;=23,F28208=""),"Incomplete","Complete")))</f>
        <v>Complete</v>
      </c>
      <c r="I28208" s="48" t="s">
        <v>3387</v>
      </c>
    </row>
    <row r="28209" spans="2:9" ht="15" customHeight="1" x14ac:dyDescent="0.25">
      <c r="B28209" s="55" t="s">
        <v>417</v>
      </c>
      <c r="C28209" s="46">
        <v>24</v>
      </c>
      <c r="D28209" s="69" t="s">
        <v>29554</v>
      </c>
      <c r="E28209" s="62"/>
      <c r="F28209" s="62" t="str">
        <f>IF(INDEX(I.Gas.P3Y2C1E3,24)="","",INDEX(I.Gas.P3Y2C1E3,24))</f>
        <v/>
      </c>
      <c r="G28209" s="62"/>
      <c r="H28209" s="46" t="str">
        <f>IF(OR(I.Developer.P3=FALSE,I.Facility.StandardPart="Part 2"),"Complete",IF(I.Product.P3GasToPowerStatus&lt;&gt;"Yes","Complete",IF(AND(I.Gas.P3Y2Count&gt;=24,F28209=""),"Incomplete","Complete")))</f>
        <v>Complete</v>
      </c>
      <c r="I28209" s="48" t="s">
        <v>3388</v>
      </c>
    </row>
    <row r="28210" spans="2:9" ht="15" customHeight="1" x14ac:dyDescent="0.25">
      <c r="B28210" s="55" t="s">
        <v>417</v>
      </c>
      <c r="C28210" s="46">
        <v>25</v>
      </c>
      <c r="D28210" s="69" t="s">
        <v>29554</v>
      </c>
      <c r="E28210" s="62"/>
      <c r="F28210" s="62" t="str">
        <f>IF(INDEX(I.Gas.P3Y2C1E3,25)="","",INDEX(I.Gas.P3Y2C1E3,25))</f>
        <v/>
      </c>
      <c r="G28210" s="62"/>
      <c r="H28210" s="46" t="str">
        <f>IF(OR(I.Developer.P3=FALSE,I.Facility.StandardPart="Part 2"),"Complete",IF(I.Product.P3GasToPowerStatus&lt;&gt;"Yes","Complete",IF(AND(I.Gas.P3Y2Count&gt;=25,F28210=""),"Incomplete","Complete")))</f>
        <v>Complete</v>
      </c>
      <c r="I28210" s="48" t="s">
        <v>3389</v>
      </c>
    </row>
    <row r="28211" spans="2:9" ht="15" customHeight="1" x14ac:dyDescent="0.25">
      <c r="B28211" s="55" t="s">
        <v>417</v>
      </c>
      <c r="C28211" s="46">
        <v>26</v>
      </c>
      <c r="D28211" s="69" t="s">
        <v>29554</v>
      </c>
      <c r="E28211" s="62"/>
      <c r="F28211" s="62" t="str">
        <f>IF(INDEX(I.Gas.P3Y2C1E3,26)="","",INDEX(I.Gas.P3Y2C1E3,26))</f>
        <v/>
      </c>
      <c r="G28211" s="62"/>
      <c r="H28211" s="46" t="str">
        <f>IF(OR(I.Developer.P3=FALSE,I.Facility.StandardPart="Part 2"),"Complete",IF(I.Product.P3GasToPowerStatus&lt;&gt;"Yes","Complete",IF(AND(I.Gas.P3Y2Count&gt;=26,F28211=""),"Incomplete","Complete")))</f>
        <v>Complete</v>
      </c>
      <c r="I28211" s="48" t="s">
        <v>3390</v>
      </c>
    </row>
    <row r="28212" spans="2:9" ht="15" customHeight="1" x14ac:dyDescent="0.25">
      <c r="B28212" s="55" t="s">
        <v>417</v>
      </c>
      <c r="C28212" s="46">
        <v>27</v>
      </c>
      <c r="D28212" s="69" t="s">
        <v>29554</v>
      </c>
      <c r="E28212" s="62"/>
      <c r="F28212" s="62" t="str">
        <f>IF(INDEX(I.Gas.P3Y2C1E3,27)="","",INDEX(I.Gas.P3Y2C1E3,27))</f>
        <v/>
      </c>
      <c r="G28212" s="62"/>
      <c r="H28212" s="46" t="str">
        <f>IF(OR(I.Developer.P3=FALSE,I.Facility.StandardPart="Part 2"),"Complete",IF(I.Product.P3GasToPowerStatus&lt;&gt;"Yes","Complete",IF(AND(I.Gas.P3Y2Count&gt;=27,F28212=""),"Incomplete","Complete")))</f>
        <v>Complete</v>
      </c>
      <c r="I28212" s="48" t="s">
        <v>3391</v>
      </c>
    </row>
    <row r="28213" spans="2:9" ht="15" customHeight="1" x14ac:dyDescent="0.25">
      <c r="B28213" s="55" t="s">
        <v>417</v>
      </c>
      <c r="C28213" s="46">
        <v>28</v>
      </c>
      <c r="D28213" s="69" t="s">
        <v>29554</v>
      </c>
      <c r="E28213" s="62"/>
      <c r="F28213" s="62" t="str">
        <f>IF(INDEX(I.Gas.P3Y2C1E3,28)="","",INDEX(I.Gas.P3Y2C1E3,28))</f>
        <v/>
      </c>
      <c r="G28213" s="62"/>
      <c r="H28213" s="46" t="str">
        <f>IF(OR(I.Developer.P3=FALSE,I.Facility.StandardPart="Part 2"),"Complete",IF(I.Product.P3GasToPowerStatus&lt;&gt;"Yes","Complete",IF(AND(I.Gas.P3Y2Count&gt;=28,F28213=""),"Incomplete","Complete")))</f>
        <v>Complete</v>
      </c>
      <c r="I28213" s="48" t="s">
        <v>3392</v>
      </c>
    </row>
    <row r="28214" spans="2:9" ht="15" customHeight="1" x14ac:dyDescent="0.25">
      <c r="B28214" s="55" t="s">
        <v>417</v>
      </c>
      <c r="C28214" s="46">
        <v>29</v>
      </c>
      <c r="D28214" s="69" t="s">
        <v>29554</v>
      </c>
      <c r="E28214" s="62"/>
      <c r="F28214" s="62" t="str">
        <f>IF(INDEX(I.Gas.P3Y2C1E3,29)="","",INDEX(I.Gas.P3Y2C1E3,29))</f>
        <v/>
      </c>
      <c r="G28214" s="62"/>
      <c r="H28214" s="46" t="str">
        <f>IF(OR(I.Developer.P3=FALSE,I.Facility.StandardPart="Part 2"),"Complete",IF(I.Product.P3GasToPowerStatus&lt;&gt;"Yes","Complete",IF(AND(I.Gas.P3Y2Count&gt;=29,F28214=""),"Incomplete","Complete")))</f>
        <v>Complete</v>
      </c>
      <c r="I28214" s="48" t="s">
        <v>3393</v>
      </c>
    </row>
    <row r="28215" spans="2:9" ht="15" customHeight="1" x14ac:dyDescent="0.25">
      <c r="B28215" s="55" t="s">
        <v>417</v>
      </c>
      <c r="C28215" s="46">
        <v>30</v>
      </c>
      <c r="D28215" s="69" t="s">
        <v>29554</v>
      </c>
      <c r="E28215" s="62"/>
      <c r="F28215" s="62" t="str">
        <f>IF(INDEX(I.Gas.P3Y2C1E3,30)="","",INDEX(I.Gas.P3Y2C1E3,30))</f>
        <v/>
      </c>
      <c r="G28215" s="62"/>
      <c r="H28215" s="46" t="str">
        <f>IF(OR(I.Developer.P3=FALSE,I.Facility.StandardPart="Part 2"),"Complete",IF(I.Product.P3GasToPowerStatus&lt;&gt;"Yes","Complete",IF(AND(I.Gas.P3Y2Count&gt;=30,F28215=""),"Incomplete","Complete")))</f>
        <v>Complete</v>
      </c>
      <c r="I28215" s="48" t="s">
        <v>3394</v>
      </c>
    </row>
    <row r="28216" spans="2:9" ht="15" customHeight="1" x14ac:dyDescent="0.25">
      <c r="B28216" s="55" t="s">
        <v>417</v>
      </c>
      <c r="C28216" s="46">
        <v>31</v>
      </c>
      <c r="D28216" s="69" t="s">
        <v>29554</v>
      </c>
      <c r="E28216" s="62"/>
      <c r="F28216" s="62" t="str">
        <f>IF(INDEX(I.Gas.P3Y2C1E3,31)="","",INDEX(I.Gas.P3Y2C1E3,31))</f>
        <v/>
      </c>
      <c r="G28216" s="62"/>
      <c r="H28216" s="46" t="str">
        <f>IF(OR(I.Developer.P3=FALSE,I.Facility.StandardPart="Part 2"),"Complete",IF(I.Product.P3GasToPowerStatus&lt;&gt;"Yes","Complete",IF(AND(I.Gas.P3Y2Count&gt;=31,F28216=""),"Incomplete","Complete")))</f>
        <v>Complete</v>
      </c>
      <c r="I28216" s="48" t="s">
        <v>3395</v>
      </c>
    </row>
    <row r="28217" spans="2:9" ht="15" customHeight="1" x14ac:dyDescent="0.25">
      <c r="B28217" s="55" t="s">
        <v>417</v>
      </c>
      <c r="C28217" s="46">
        <v>32</v>
      </c>
      <c r="D28217" s="69" t="s">
        <v>29554</v>
      </c>
      <c r="E28217" s="62"/>
      <c r="F28217" s="62" t="str">
        <f>IF(INDEX(I.Gas.P3Y2C1E3,32)="","",INDEX(I.Gas.P3Y2C1E3,32))</f>
        <v/>
      </c>
      <c r="G28217" s="62"/>
      <c r="H28217" s="46" t="str">
        <f>IF(OR(I.Developer.P3=FALSE,I.Facility.StandardPart="Part 2"),"Complete",IF(I.Product.P3GasToPowerStatus&lt;&gt;"Yes","Complete",IF(AND(I.Gas.P3Y2Count&gt;=32,F28217=""),"Incomplete","Complete")))</f>
        <v>Complete</v>
      </c>
      <c r="I28217" s="48" t="s">
        <v>3396</v>
      </c>
    </row>
    <row r="28218" spans="2:9" ht="15" customHeight="1" x14ac:dyDescent="0.25">
      <c r="B28218" s="55" t="s">
        <v>417</v>
      </c>
      <c r="C28218" s="46">
        <v>33</v>
      </c>
      <c r="D28218" s="69" t="s">
        <v>29554</v>
      </c>
      <c r="E28218" s="62"/>
      <c r="F28218" s="62" t="str">
        <f>IF(INDEX(I.Gas.P3Y2C1E3,33)="","",INDEX(I.Gas.P3Y2C1E3,33))</f>
        <v/>
      </c>
      <c r="G28218" s="62"/>
      <c r="H28218" s="46" t="str">
        <f>IF(OR(I.Developer.P3=FALSE,I.Facility.StandardPart="Part 2"),"Complete",IF(I.Product.P3GasToPowerStatus&lt;&gt;"Yes","Complete",IF(AND(I.Gas.P3Y2Count&gt;=33,F28218=""),"Incomplete","Complete")))</f>
        <v>Complete</v>
      </c>
      <c r="I28218" s="48" t="s">
        <v>3397</v>
      </c>
    </row>
    <row r="28219" spans="2:9" ht="15" customHeight="1" x14ac:dyDescent="0.25">
      <c r="B28219" s="55" t="s">
        <v>417</v>
      </c>
      <c r="C28219" s="46">
        <v>34</v>
      </c>
      <c r="D28219" s="69" t="s">
        <v>29554</v>
      </c>
      <c r="E28219" s="62"/>
      <c r="F28219" s="62" t="str">
        <f>IF(INDEX(I.Gas.P3Y2C1E3,34)="","",INDEX(I.Gas.P3Y2C1E3,34))</f>
        <v/>
      </c>
      <c r="G28219" s="62"/>
      <c r="H28219" s="46" t="str">
        <f>IF(OR(I.Developer.P3=FALSE,I.Facility.StandardPart="Part 2"),"Complete",IF(I.Product.P3GasToPowerStatus&lt;&gt;"Yes","Complete",IF(AND(I.Gas.P3Y2Count&gt;=34,F28219=""),"Incomplete","Complete")))</f>
        <v>Complete</v>
      </c>
      <c r="I28219" s="48" t="s">
        <v>3398</v>
      </c>
    </row>
    <row r="28220" spans="2:9" ht="15" customHeight="1" x14ac:dyDescent="0.25">
      <c r="B28220" s="55" t="s">
        <v>417</v>
      </c>
      <c r="C28220" s="46">
        <v>35</v>
      </c>
      <c r="D28220" s="69" t="s">
        <v>29554</v>
      </c>
      <c r="E28220" s="62"/>
      <c r="F28220" s="62" t="str">
        <f>IF(INDEX(I.Gas.P3Y2C1E3,35)="","",INDEX(I.Gas.P3Y2C1E3,35))</f>
        <v/>
      </c>
      <c r="G28220" s="62"/>
      <c r="H28220" s="46" t="str">
        <f>IF(OR(I.Developer.P3=FALSE,I.Facility.StandardPart="Part 2"),"Complete",IF(I.Product.P3GasToPowerStatus&lt;&gt;"Yes","Complete",IF(AND(I.Gas.P3Y2Count&gt;=35,F28220=""),"Incomplete","Complete")))</f>
        <v>Complete</v>
      </c>
      <c r="I28220" s="48" t="s">
        <v>3399</v>
      </c>
    </row>
    <row r="28221" spans="2:9" ht="15" customHeight="1" x14ac:dyDescent="0.25">
      <c r="B28221" s="55" t="s">
        <v>417</v>
      </c>
      <c r="C28221" s="46">
        <v>36</v>
      </c>
      <c r="D28221" s="69" t="s">
        <v>29554</v>
      </c>
      <c r="E28221" s="62"/>
      <c r="F28221" s="62" t="str">
        <f>IF(INDEX(I.Gas.P3Y2C1E3,36)="","",INDEX(I.Gas.P3Y2C1E3,36))</f>
        <v/>
      </c>
      <c r="G28221" s="62"/>
      <c r="H28221" s="46" t="str">
        <f>IF(OR(I.Developer.P3=FALSE,I.Facility.StandardPart="Part 2"),"Complete",IF(I.Product.P3GasToPowerStatus&lt;&gt;"Yes","Complete",IF(AND(I.Gas.P3Y2Count&gt;=36,F28221=""),"Incomplete","Complete")))</f>
        <v>Complete</v>
      </c>
      <c r="I28221" s="48" t="s">
        <v>3400</v>
      </c>
    </row>
    <row r="28222" spans="2:9" ht="15" customHeight="1" x14ac:dyDescent="0.25">
      <c r="B28222" s="55" t="s">
        <v>417</v>
      </c>
      <c r="C28222" s="46">
        <v>37</v>
      </c>
      <c r="D28222" s="69" t="s">
        <v>29554</v>
      </c>
      <c r="E28222" s="62"/>
      <c r="F28222" s="62" t="str">
        <f>IF(INDEX(I.Gas.P3Y2C1E3,37)="","",INDEX(I.Gas.P3Y2C1E3,37))</f>
        <v/>
      </c>
      <c r="G28222" s="62"/>
      <c r="H28222" s="46" t="str">
        <f>IF(OR(I.Developer.P3=FALSE,I.Facility.StandardPart="Part 2"),"Complete",IF(I.Product.P3GasToPowerStatus&lt;&gt;"Yes","Complete",IF(AND(I.Gas.P3Y2Count&gt;=37,F28222=""),"Incomplete","Complete")))</f>
        <v>Complete</v>
      </c>
      <c r="I28222" s="48" t="s">
        <v>3401</v>
      </c>
    </row>
    <row r="28223" spans="2:9" ht="15" customHeight="1" x14ac:dyDescent="0.25">
      <c r="B28223" s="55" t="s">
        <v>417</v>
      </c>
      <c r="C28223" s="46">
        <v>38</v>
      </c>
      <c r="D28223" s="69" t="s">
        <v>29554</v>
      </c>
      <c r="E28223" s="62"/>
      <c r="F28223" s="62" t="str">
        <f>IF(INDEX(I.Gas.P3Y2C1E3,38)="","",INDEX(I.Gas.P3Y2C1E3,38))</f>
        <v/>
      </c>
      <c r="G28223" s="62"/>
      <c r="H28223" s="46" t="str">
        <f>IF(OR(I.Developer.P3=FALSE,I.Facility.StandardPart="Part 2"),"Complete",IF(I.Product.P3GasToPowerStatus&lt;&gt;"Yes","Complete",IF(AND(I.Gas.P3Y2Count&gt;=38,F28223=""),"Incomplete","Complete")))</f>
        <v>Complete</v>
      </c>
      <c r="I28223" s="48" t="s">
        <v>3402</v>
      </c>
    </row>
    <row r="28224" spans="2:9" ht="15" customHeight="1" x14ac:dyDescent="0.25">
      <c r="B28224" s="55" t="s">
        <v>417</v>
      </c>
      <c r="C28224" s="46">
        <v>39</v>
      </c>
      <c r="D28224" s="69" t="s">
        <v>29554</v>
      </c>
      <c r="E28224" s="62"/>
      <c r="F28224" s="62" t="str">
        <f>IF(INDEX(I.Gas.P3Y2C1E3,39)="","",INDEX(I.Gas.P3Y2C1E3,39))</f>
        <v/>
      </c>
      <c r="G28224" s="62"/>
      <c r="H28224" s="46" t="str">
        <f>IF(OR(I.Developer.P3=FALSE,I.Facility.StandardPart="Part 2"),"Complete",IF(I.Product.P3GasToPowerStatus&lt;&gt;"Yes","Complete",IF(AND(I.Gas.P3Y2Count&gt;=39,F28224=""),"Incomplete","Complete")))</f>
        <v>Complete</v>
      </c>
      <c r="I28224" s="48" t="s">
        <v>3403</v>
      </c>
    </row>
    <row r="28225" spans="2:9" ht="15" customHeight="1" x14ac:dyDescent="0.25">
      <c r="B28225" s="55" t="s">
        <v>417</v>
      </c>
      <c r="C28225" s="46">
        <v>40</v>
      </c>
      <c r="D28225" s="69" t="s">
        <v>29554</v>
      </c>
      <c r="E28225" s="62"/>
      <c r="F28225" s="62" t="str">
        <f>IF(INDEX(I.Gas.P3Y2C1E3,40)="","",INDEX(I.Gas.P3Y2C1E3,40))</f>
        <v/>
      </c>
      <c r="G28225" s="62"/>
      <c r="H28225" s="46" t="str">
        <f>IF(OR(I.Developer.P3=FALSE,I.Facility.StandardPart="Part 2"),"Complete",IF(I.Product.P3GasToPowerStatus&lt;&gt;"Yes","Complete",IF(AND(I.Gas.P3Y2Count&gt;=40,F28225=""),"Incomplete","Complete")))</f>
        <v>Complete</v>
      </c>
      <c r="I28225" s="48" t="s">
        <v>3404</v>
      </c>
    </row>
    <row r="28226" spans="2:9" ht="15" customHeight="1" x14ac:dyDescent="0.25">
      <c r="B28226" s="55" t="s">
        <v>417</v>
      </c>
      <c r="C28226" s="46">
        <v>41</v>
      </c>
      <c r="D28226" s="69" t="s">
        <v>29554</v>
      </c>
      <c r="E28226" s="62"/>
      <c r="F28226" s="62" t="str">
        <f>IF(INDEX(I.Gas.P3Y2C1E3,41)="","",INDEX(I.Gas.P3Y2C1E3,41))</f>
        <v/>
      </c>
      <c r="G28226" s="62"/>
      <c r="H28226" s="46" t="str">
        <f>IF(OR(I.Developer.P3=FALSE,I.Facility.StandardPart="Part 2"),"Complete",IF(I.Product.P3GasToPowerStatus&lt;&gt;"Yes","Complete",IF(AND(I.Gas.P3Y2Count&gt;=41,F28226=""),"Incomplete","Complete")))</f>
        <v>Complete</v>
      </c>
      <c r="I28226" s="48" t="s">
        <v>3405</v>
      </c>
    </row>
    <row r="28227" spans="2:9" ht="15" customHeight="1" x14ac:dyDescent="0.25">
      <c r="B28227" s="55" t="s">
        <v>417</v>
      </c>
      <c r="C28227" s="46">
        <v>42</v>
      </c>
      <c r="D28227" s="69" t="s">
        <v>29554</v>
      </c>
      <c r="E28227" s="62"/>
      <c r="F28227" s="62" t="str">
        <f>IF(INDEX(I.Gas.P3Y2C1E3,42)="","",INDEX(I.Gas.P3Y2C1E3,42))</f>
        <v/>
      </c>
      <c r="G28227" s="62"/>
      <c r="H28227" s="46" t="str">
        <f>IF(OR(I.Developer.P3=FALSE,I.Facility.StandardPart="Part 2"),"Complete",IF(I.Product.P3GasToPowerStatus&lt;&gt;"Yes","Complete",IF(AND(I.Gas.P3Y2Count&gt;=42,F28227=""),"Incomplete","Complete")))</f>
        <v>Complete</v>
      </c>
      <c r="I28227" s="48" t="s">
        <v>3406</v>
      </c>
    </row>
    <row r="28228" spans="2:9" ht="15" customHeight="1" x14ac:dyDescent="0.25">
      <c r="B28228" s="55" t="s">
        <v>417</v>
      </c>
      <c r="C28228" s="46">
        <v>43</v>
      </c>
      <c r="D28228" s="69" t="s">
        <v>29554</v>
      </c>
      <c r="E28228" s="62"/>
      <c r="F28228" s="62" t="str">
        <f>IF(INDEX(I.Gas.P3Y2C1E3,43)="","",INDEX(I.Gas.P3Y2C1E3,43))</f>
        <v/>
      </c>
      <c r="G28228" s="62"/>
      <c r="H28228" s="46" t="str">
        <f>IF(OR(I.Developer.P3=FALSE,I.Facility.StandardPart="Part 2"),"Complete",IF(I.Product.P3GasToPowerStatus&lt;&gt;"Yes","Complete",IF(AND(I.Gas.P3Y2Count&gt;=43,F28228=""),"Incomplete","Complete")))</f>
        <v>Complete</v>
      </c>
      <c r="I28228" s="48" t="s">
        <v>3407</v>
      </c>
    </row>
    <row r="28229" spans="2:9" ht="15" customHeight="1" x14ac:dyDescent="0.25">
      <c r="B28229" s="55" t="s">
        <v>417</v>
      </c>
      <c r="C28229" s="46">
        <v>44</v>
      </c>
      <c r="D28229" s="69" t="s">
        <v>29554</v>
      </c>
      <c r="E28229" s="62"/>
      <c r="F28229" s="62" t="str">
        <f>IF(INDEX(I.Gas.P3Y2C1E3,44)="","",INDEX(I.Gas.P3Y2C1E3,44))</f>
        <v/>
      </c>
      <c r="G28229" s="62"/>
      <c r="H28229" s="46" t="str">
        <f>IF(OR(I.Developer.P3=FALSE,I.Facility.StandardPart="Part 2"),"Complete",IF(I.Product.P3GasToPowerStatus&lt;&gt;"Yes","Complete",IF(AND(I.Gas.P3Y2Count&gt;=44,F28229=""),"Incomplete","Complete")))</f>
        <v>Complete</v>
      </c>
      <c r="I28229" s="48" t="s">
        <v>3408</v>
      </c>
    </row>
    <row r="28230" spans="2:9" ht="15" customHeight="1" x14ac:dyDescent="0.25">
      <c r="B28230" s="55" t="s">
        <v>417</v>
      </c>
      <c r="C28230" s="46">
        <v>45</v>
      </c>
      <c r="D28230" s="69" t="s">
        <v>29554</v>
      </c>
      <c r="E28230" s="62"/>
      <c r="F28230" s="62" t="str">
        <f>IF(INDEX(I.Gas.P3Y2C1E3,45)="","",INDEX(I.Gas.P3Y2C1E3,45))</f>
        <v/>
      </c>
      <c r="G28230" s="62"/>
      <c r="H28230" s="46" t="str">
        <f>IF(OR(I.Developer.P3=FALSE,I.Facility.StandardPart="Part 2"),"Complete",IF(I.Product.P3GasToPowerStatus&lt;&gt;"Yes","Complete",IF(AND(I.Gas.P3Y2Count&gt;=45,F28230=""),"Incomplete","Complete")))</f>
        <v>Complete</v>
      </c>
      <c r="I28230" s="48" t="s">
        <v>3409</v>
      </c>
    </row>
    <row r="28231" spans="2:9" ht="15" customHeight="1" x14ac:dyDescent="0.25">
      <c r="B28231" s="55" t="s">
        <v>417</v>
      </c>
      <c r="C28231" s="46">
        <v>46</v>
      </c>
      <c r="D28231" s="69" t="s">
        <v>29554</v>
      </c>
      <c r="E28231" s="62"/>
      <c r="F28231" s="62" t="str">
        <f>IF(INDEX(I.Gas.P3Y2C1E3,46)="","",INDEX(I.Gas.P3Y2C1E3,46))</f>
        <v/>
      </c>
      <c r="G28231" s="62"/>
      <c r="H28231" s="46" t="str">
        <f>IF(OR(I.Developer.P3=FALSE,I.Facility.StandardPart="Part 2"),"Complete",IF(I.Product.P3GasToPowerStatus&lt;&gt;"Yes","Complete",IF(AND(I.Gas.P3Y2Count&gt;=46,F28231=""),"Incomplete","Complete")))</f>
        <v>Complete</v>
      </c>
      <c r="I28231" s="48" t="s">
        <v>3410</v>
      </c>
    </row>
    <row r="28232" spans="2:9" ht="15" customHeight="1" x14ac:dyDescent="0.25">
      <c r="B28232" s="55" t="s">
        <v>417</v>
      </c>
      <c r="C28232" s="46">
        <v>47</v>
      </c>
      <c r="D28232" s="69" t="s">
        <v>29554</v>
      </c>
      <c r="E28232" s="62"/>
      <c r="F28232" s="62" t="str">
        <f>IF(INDEX(I.Gas.P3Y2C1E3,47)="","",INDEX(I.Gas.P3Y2C1E3,47))</f>
        <v/>
      </c>
      <c r="G28232" s="62"/>
      <c r="H28232" s="46" t="str">
        <f>IF(OR(I.Developer.P3=FALSE,I.Facility.StandardPart="Part 2"),"Complete",IF(I.Product.P3GasToPowerStatus&lt;&gt;"Yes","Complete",IF(AND(I.Gas.P3Y2Count&gt;=47,F28232=""),"Incomplete","Complete")))</f>
        <v>Complete</v>
      </c>
      <c r="I28232" s="48" t="s">
        <v>3411</v>
      </c>
    </row>
    <row r="28233" spans="2:9" ht="15" customHeight="1" x14ac:dyDescent="0.25">
      <c r="B28233" s="55" t="s">
        <v>417</v>
      </c>
      <c r="C28233" s="46">
        <v>48</v>
      </c>
      <c r="D28233" s="69" t="s">
        <v>29554</v>
      </c>
      <c r="E28233" s="62"/>
      <c r="F28233" s="62" t="str">
        <f>IF(INDEX(I.Gas.P3Y2C1E3,48)="","",INDEX(I.Gas.P3Y2C1E3,48))</f>
        <v/>
      </c>
      <c r="G28233" s="62"/>
      <c r="H28233" s="46" t="str">
        <f>IF(OR(I.Developer.P3=FALSE,I.Facility.StandardPart="Part 2"),"Complete",IF(I.Product.P3GasToPowerStatus&lt;&gt;"Yes","Complete",IF(AND(I.Gas.P3Y2Count&gt;=48,F28233=""),"Incomplete","Complete")))</f>
        <v>Complete</v>
      </c>
      <c r="I28233" s="48" t="s">
        <v>3412</v>
      </c>
    </row>
    <row r="28234" spans="2:9" ht="15" customHeight="1" x14ac:dyDescent="0.25">
      <c r="B28234" s="55" t="s">
        <v>417</v>
      </c>
      <c r="C28234" s="46">
        <v>49</v>
      </c>
      <c r="D28234" s="69" t="s">
        <v>29554</v>
      </c>
      <c r="E28234" s="62"/>
      <c r="F28234" s="62" t="str">
        <f>IF(INDEX(I.Gas.P3Y2C1E3,49)="","",INDEX(I.Gas.P3Y2C1E3,49))</f>
        <v/>
      </c>
      <c r="G28234" s="62"/>
      <c r="H28234" s="46" t="str">
        <f>IF(OR(I.Developer.P3=FALSE,I.Facility.StandardPart="Part 2"),"Complete",IF(I.Product.P3GasToPowerStatus&lt;&gt;"Yes","Complete",IF(AND(I.Gas.P3Y2Count&gt;=49,F28234=""),"Incomplete","Complete")))</f>
        <v>Complete</v>
      </c>
      <c r="I28234" s="48" t="s">
        <v>3413</v>
      </c>
    </row>
    <row r="28235" spans="2:9" ht="15" customHeight="1" x14ac:dyDescent="0.25">
      <c r="B28235" s="56" t="s">
        <v>417</v>
      </c>
      <c r="C28235" s="57">
        <v>50</v>
      </c>
      <c r="D28235" s="71" t="s">
        <v>29554</v>
      </c>
      <c r="E28235" s="61"/>
      <c r="F28235" s="61" t="str">
        <f>IF(INDEX(I.Gas.P3Y2C1E3,50)="","",INDEX(I.Gas.P3Y2C1E3,50))</f>
        <v/>
      </c>
      <c r="G28235" s="61"/>
      <c r="H28235" s="57" t="str">
        <f>IF(OR(I.Developer.P3=FALSE,I.Facility.StandardPart="Part 2"),"Complete",IF(I.Product.P3GasToPowerStatus&lt;&gt;"Yes","Complete",IF(AND(I.Gas.P3Y2Count&gt;=50,F28235=""),"Incomplete","Complete")))</f>
        <v>Complete</v>
      </c>
      <c r="I28235" s="49" t="s">
        <v>3414</v>
      </c>
    </row>
    <row r="28236" spans="2:9" ht="15" customHeight="1" x14ac:dyDescent="0.25">
      <c r="B28236" s="56" t="s">
        <v>418</v>
      </c>
      <c r="C28236" s="57">
        <v>1</v>
      </c>
      <c r="D28236" s="71" t="s">
        <v>29555</v>
      </c>
      <c r="E28236" s="60"/>
      <c r="F28236" s="60" t="str">
        <f>IF(INDEX(I.Gas.P4Y1Count,1)="","",INDEX(I.Gas.P4Y1Count,1))</f>
        <v/>
      </c>
      <c r="G28236" s="60"/>
      <c r="H28236" s="57" t="str">
        <f>IF(I.Developer.P4=FALSE,"Complete",IF(I.Product.P4GasToPowerStatus&lt;&gt;"Yes","Complete",IF(I.Gas.P4Y1Count="","Incomplete","Complete")))</f>
        <v>Complete</v>
      </c>
      <c r="I28236" s="49" t="s">
        <v>3415</v>
      </c>
    </row>
    <row r="28237" spans="2:9" ht="15" customHeight="1" x14ac:dyDescent="0.25">
      <c r="B28237" s="55" t="s">
        <v>419</v>
      </c>
      <c r="C28237" s="46">
        <v>1</v>
      </c>
      <c r="D28237" s="69" t="s">
        <v>29556</v>
      </c>
      <c r="E28237" s="62"/>
      <c r="F28237" s="62" t="str">
        <f>IF(INDEX(I.Gas.P4Y1AssociatedGasEnergy,1)="","",INDEX(I.Gas.P4Y1AssociatedGasEnergy,1))</f>
        <v/>
      </c>
      <c r="G28237" s="62"/>
      <c r="H28237" s="46" t="str">
        <f>IF(I.Developer.P4=FALSE,"Complete",IF(I.Product.P4GasToPowerStatus&lt;&gt;"Yes","Complete",IF(AND(I.Gas.P4Y1Count&gt;=1,F28237=""),"Incomplete","Complete")))</f>
        <v>Complete</v>
      </c>
      <c r="I28237" s="48" t="s">
        <v>3416</v>
      </c>
    </row>
    <row r="28238" spans="2:9" ht="15" customHeight="1" x14ac:dyDescent="0.25">
      <c r="B28238" s="55" t="s">
        <v>419</v>
      </c>
      <c r="C28238" s="46">
        <v>2</v>
      </c>
      <c r="D28238" s="69" t="s">
        <v>29556</v>
      </c>
      <c r="E28238" s="62"/>
      <c r="F28238" s="62" t="str">
        <f>IF(INDEX(I.Gas.P4Y1AssociatedGasEnergy,2)="","",INDEX(I.Gas.P4Y1AssociatedGasEnergy,2))</f>
        <v/>
      </c>
      <c r="G28238" s="62"/>
      <c r="H28238" s="46" t="str">
        <f>IF(I.Developer.P4=FALSE,"Complete",IF(I.Product.P4GasToPowerStatus&lt;&gt;"Yes","Complete",IF(AND(I.Gas.P4Y1Count&gt;=2,F28238=""),"Incomplete","Complete")))</f>
        <v>Complete</v>
      </c>
      <c r="I28238" s="48" t="s">
        <v>3417</v>
      </c>
    </row>
    <row r="28239" spans="2:9" ht="15" customHeight="1" x14ac:dyDescent="0.25">
      <c r="B28239" s="55" t="s">
        <v>419</v>
      </c>
      <c r="C28239" s="46">
        <v>3</v>
      </c>
      <c r="D28239" s="69" t="s">
        <v>29556</v>
      </c>
      <c r="E28239" s="62"/>
      <c r="F28239" s="62" t="str">
        <f>IF(INDEX(I.Gas.P4Y1AssociatedGasEnergy,3)="","",INDEX(I.Gas.P4Y1AssociatedGasEnergy,3))</f>
        <v/>
      </c>
      <c r="G28239" s="62"/>
      <c r="H28239" s="46" t="str">
        <f>IF(I.Developer.P4=FALSE,"Complete",IF(I.Product.P4GasToPowerStatus&lt;&gt;"Yes","Complete",IF(AND(I.Gas.P4Y1Count&gt;=3,F28239=""),"Incomplete","Complete")))</f>
        <v>Complete</v>
      </c>
      <c r="I28239" s="48" t="s">
        <v>3418</v>
      </c>
    </row>
    <row r="28240" spans="2:9" ht="15" customHeight="1" x14ac:dyDescent="0.25">
      <c r="B28240" s="55" t="s">
        <v>419</v>
      </c>
      <c r="C28240" s="46">
        <v>4</v>
      </c>
      <c r="D28240" s="69" t="s">
        <v>29556</v>
      </c>
      <c r="E28240" s="62"/>
      <c r="F28240" s="62" t="str">
        <f>IF(INDEX(I.Gas.P4Y1AssociatedGasEnergy,4)="","",INDEX(I.Gas.P4Y1AssociatedGasEnergy,4))</f>
        <v/>
      </c>
      <c r="G28240" s="62"/>
      <c r="H28240" s="46" t="str">
        <f>IF(I.Developer.P4=FALSE,"Complete",IF(I.Product.P4GasToPowerStatus&lt;&gt;"Yes","Complete",IF(AND(I.Gas.P4Y1Count&gt;=4,F28240=""),"Incomplete","Complete")))</f>
        <v>Complete</v>
      </c>
      <c r="I28240" s="48" t="s">
        <v>3419</v>
      </c>
    </row>
    <row r="28241" spans="2:9" ht="15" customHeight="1" x14ac:dyDescent="0.25">
      <c r="B28241" s="55" t="s">
        <v>419</v>
      </c>
      <c r="C28241" s="46">
        <v>5</v>
      </c>
      <c r="D28241" s="69" t="s">
        <v>29556</v>
      </c>
      <c r="E28241" s="62"/>
      <c r="F28241" s="62" t="str">
        <f>IF(INDEX(I.Gas.P4Y1AssociatedGasEnergy,5)="","",INDEX(I.Gas.P4Y1AssociatedGasEnergy,5))</f>
        <v/>
      </c>
      <c r="G28241" s="62"/>
      <c r="H28241" s="46" t="str">
        <f>IF(I.Developer.P4=FALSE,"Complete",IF(I.Product.P4GasToPowerStatus&lt;&gt;"Yes","Complete",IF(AND(I.Gas.P4Y1Count&gt;=5,F28241=""),"Incomplete","Complete")))</f>
        <v>Complete</v>
      </c>
      <c r="I28241" s="48" t="s">
        <v>3420</v>
      </c>
    </row>
    <row r="28242" spans="2:9" ht="15" customHeight="1" x14ac:dyDescent="0.25">
      <c r="B28242" s="55" t="s">
        <v>419</v>
      </c>
      <c r="C28242" s="46">
        <v>6</v>
      </c>
      <c r="D28242" s="69" t="s">
        <v>29556</v>
      </c>
      <c r="E28242" s="62"/>
      <c r="F28242" s="62" t="str">
        <f>IF(INDEX(I.Gas.P4Y1AssociatedGasEnergy,6)="","",INDEX(I.Gas.P4Y1AssociatedGasEnergy,6))</f>
        <v/>
      </c>
      <c r="G28242" s="62"/>
      <c r="H28242" s="46" t="str">
        <f>IF(I.Developer.P4=FALSE,"Complete",IF(I.Product.P4GasToPowerStatus&lt;&gt;"Yes","Complete",IF(AND(I.Gas.P4Y1Count&gt;=6,F28242=""),"Incomplete","Complete")))</f>
        <v>Complete</v>
      </c>
      <c r="I28242" s="48" t="s">
        <v>3421</v>
      </c>
    </row>
    <row r="28243" spans="2:9" ht="15" customHeight="1" x14ac:dyDescent="0.25">
      <c r="B28243" s="55" t="s">
        <v>419</v>
      </c>
      <c r="C28243" s="46">
        <v>7</v>
      </c>
      <c r="D28243" s="69" t="s">
        <v>29556</v>
      </c>
      <c r="E28243" s="62"/>
      <c r="F28243" s="62" t="str">
        <f>IF(INDEX(I.Gas.P4Y1AssociatedGasEnergy,7)="","",INDEX(I.Gas.P4Y1AssociatedGasEnergy,7))</f>
        <v/>
      </c>
      <c r="G28243" s="62"/>
      <c r="H28243" s="46" t="str">
        <f>IF(I.Developer.P4=FALSE,"Complete",IF(I.Product.P4GasToPowerStatus&lt;&gt;"Yes","Complete",IF(AND(I.Gas.P4Y1Count&gt;=7,F28243=""),"Incomplete","Complete")))</f>
        <v>Complete</v>
      </c>
      <c r="I28243" s="48" t="s">
        <v>3422</v>
      </c>
    </row>
    <row r="28244" spans="2:9" ht="15" customHeight="1" x14ac:dyDescent="0.25">
      <c r="B28244" s="55" t="s">
        <v>419</v>
      </c>
      <c r="C28244" s="46">
        <v>8</v>
      </c>
      <c r="D28244" s="69" t="s">
        <v>29556</v>
      </c>
      <c r="E28244" s="62"/>
      <c r="F28244" s="62" t="str">
        <f>IF(INDEX(I.Gas.P4Y1AssociatedGasEnergy,8)="","",INDEX(I.Gas.P4Y1AssociatedGasEnergy,8))</f>
        <v/>
      </c>
      <c r="G28244" s="62"/>
      <c r="H28244" s="46" t="str">
        <f>IF(I.Developer.P4=FALSE,"Complete",IF(I.Product.P4GasToPowerStatus&lt;&gt;"Yes","Complete",IF(AND(I.Gas.P4Y1Count&gt;=8,F28244=""),"Incomplete","Complete")))</f>
        <v>Complete</v>
      </c>
      <c r="I28244" s="48" t="s">
        <v>3423</v>
      </c>
    </row>
    <row r="28245" spans="2:9" ht="15" customHeight="1" x14ac:dyDescent="0.25">
      <c r="B28245" s="55" t="s">
        <v>419</v>
      </c>
      <c r="C28245" s="46">
        <v>9</v>
      </c>
      <c r="D28245" s="69" t="s">
        <v>29556</v>
      </c>
      <c r="E28245" s="62"/>
      <c r="F28245" s="62" t="str">
        <f>IF(INDEX(I.Gas.P4Y1AssociatedGasEnergy,9)="","",INDEX(I.Gas.P4Y1AssociatedGasEnergy,9))</f>
        <v/>
      </c>
      <c r="G28245" s="62"/>
      <c r="H28245" s="46" t="str">
        <f>IF(I.Developer.P4=FALSE,"Complete",IF(I.Product.P4GasToPowerStatus&lt;&gt;"Yes","Complete",IF(AND(I.Gas.P4Y1Count&gt;=9,F28245=""),"Incomplete","Complete")))</f>
        <v>Complete</v>
      </c>
      <c r="I28245" s="48" t="s">
        <v>3424</v>
      </c>
    </row>
    <row r="28246" spans="2:9" ht="15" customHeight="1" x14ac:dyDescent="0.25">
      <c r="B28246" s="55" t="s">
        <v>419</v>
      </c>
      <c r="C28246" s="46">
        <v>10</v>
      </c>
      <c r="D28246" s="69" t="s">
        <v>29556</v>
      </c>
      <c r="E28246" s="62"/>
      <c r="F28246" s="62" t="str">
        <f>IF(INDEX(I.Gas.P4Y1AssociatedGasEnergy,10)="","",INDEX(I.Gas.P4Y1AssociatedGasEnergy,10))</f>
        <v/>
      </c>
      <c r="G28246" s="62"/>
      <c r="H28246" s="46" t="str">
        <f>IF(I.Developer.P4=FALSE,"Complete",IF(I.Product.P4GasToPowerStatus&lt;&gt;"Yes","Complete",IF(AND(I.Gas.P4Y1Count&gt;=10,F28246=""),"Incomplete","Complete")))</f>
        <v>Complete</v>
      </c>
      <c r="I28246" s="48" t="s">
        <v>3425</v>
      </c>
    </row>
    <row r="28247" spans="2:9" ht="15" customHeight="1" x14ac:dyDescent="0.25">
      <c r="B28247" s="55" t="s">
        <v>419</v>
      </c>
      <c r="C28247" s="46">
        <v>11</v>
      </c>
      <c r="D28247" s="69" t="s">
        <v>29556</v>
      </c>
      <c r="E28247" s="62"/>
      <c r="F28247" s="62" t="str">
        <f>IF(INDEX(I.Gas.P4Y1AssociatedGasEnergy,11)="","",INDEX(I.Gas.P4Y1AssociatedGasEnergy,11))</f>
        <v/>
      </c>
      <c r="G28247" s="62"/>
      <c r="H28247" s="46" t="str">
        <f>IF(I.Developer.P4=FALSE,"Complete",IF(I.Product.P4GasToPowerStatus&lt;&gt;"Yes","Complete",IF(AND(I.Gas.P4Y1Count&gt;=11,F28247=""),"Incomplete","Complete")))</f>
        <v>Complete</v>
      </c>
      <c r="I28247" s="48" t="s">
        <v>3426</v>
      </c>
    </row>
    <row r="28248" spans="2:9" ht="15" customHeight="1" x14ac:dyDescent="0.25">
      <c r="B28248" s="55" t="s">
        <v>419</v>
      </c>
      <c r="C28248" s="46">
        <v>12</v>
      </c>
      <c r="D28248" s="69" t="s">
        <v>29556</v>
      </c>
      <c r="E28248" s="62"/>
      <c r="F28248" s="62" t="str">
        <f>IF(INDEX(I.Gas.P4Y1AssociatedGasEnergy,12)="","",INDEX(I.Gas.P4Y1AssociatedGasEnergy,12))</f>
        <v/>
      </c>
      <c r="G28248" s="62"/>
      <c r="H28248" s="46" t="str">
        <f>IF(I.Developer.P4=FALSE,"Complete",IF(I.Product.P4GasToPowerStatus&lt;&gt;"Yes","Complete",IF(AND(I.Gas.P4Y1Count&gt;=12,F28248=""),"Incomplete","Complete")))</f>
        <v>Complete</v>
      </c>
      <c r="I28248" s="48" t="s">
        <v>3427</v>
      </c>
    </row>
    <row r="28249" spans="2:9" ht="15" customHeight="1" x14ac:dyDescent="0.25">
      <c r="B28249" s="55" t="s">
        <v>419</v>
      </c>
      <c r="C28249" s="46">
        <v>13</v>
      </c>
      <c r="D28249" s="69" t="s">
        <v>29556</v>
      </c>
      <c r="E28249" s="62"/>
      <c r="F28249" s="62" t="str">
        <f>IF(INDEX(I.Gas.P4Y1AssociatedGasEnergy,13)="","",INDEX(I.Gas.P4Y1AssociatedGasEnergy,13))</f>
        <v/>
      </c>
      <c r="G28249" s="62"/>
      <c r="H28249" s="46" t="str">
        <f>IF(I.Developer.P4=FALSE,"Complete",IF(I.Product.P4GasToPowerStatus&lt;&gt;"Yes","Complete",IF(AND(I.Gas.P4Y1Count&gt;=13,F28249=""),"Incomplete","Complete")))</f>
        <v>Complete</v>
      </c>
      <c r="I28249" s="48" t="s">
        <v>3428</v>
      </c>
    </row>
    <row r="28250" spans="2:9" ht="15" customHeight="1" x14ac:dyDescent="0.25">
      <c r="B28250" s="55" t="s">
        <v>419</v>
      </c>
      <c r="C28250" s="46">
        <v>14</v>
      </c>
      <c r="D28250" s="69" t="s">
        <v>29556</v>
      </c>
      <c r="E28250" s="62"/>
      <c r="F28250" s="62" t="str">
        <f>IF(INDEX(I.Gas.P4Y1AssociatedGasEnergy,14)="","",INDEX(I.Gas.P4Y1AssociatedGasEnergy,14))</f>
        <v/>
      </c>
      <c r="G28250" s="62"/>
      <c r="H28250" s="46" t="str">
        <f>IF(I.Developer.P4=FALSE,"Complete",IF(I.Product.P4GasToPowerStatus&lt;&gt;"Yes","Complete",IF(AND(I.Gas.P4Y1Count&gt;=14,F28250=""),"Incomplete","Complete")))</f>
        <v>Complete</v>
      </c>
      <c r="I28250" s="48" t="s">
        <v>3429</v>
      </c>
    </row>
    <row r="28251" spans="2:9" ht="15" customHeight="1" x14ac:dyDescent="0.25">
      <c r="B28251" s="55" t="s">
        <v>419</v>
      </c>
      <c r="C28251" s="46">
        <v>15</v>
      </c>
      <c r="D28251" s="69" t="s">
        <v>29556</v>
      </c>
      <c r="E28251" s="62"/>
      <c r="F28251" s="62" t="str">
        <f>IF(INDEX(I.Gas.P4Y1AssociatedGasEnergy,15)="","",INDEX(I.Gas.P4Y1AssociatedGasEnergy,15))</f>
        <v/>
      </c>
      <c r="G28251" s="62"/>
      <c r="H28251" s="46" t="str">
        <f>IF(I.Developer.P4=FALSE,"Complete",IF(I.Product.P4GasToPowerStatus&lt;&gt;"Yes","Complete",IF(AND(I.Gas.P4Y1Count&gt;=15,F28251=""),"Incomplete","Complete")))</f>
        <v>Complete</v>
      </c>
      <c r="I28251" s="48" t="s">
        <v>3430</v>
      </c>
    </row>
    <row r="28252" spans="2:9" ht="15" customHeight="1" x14ac:dyDescent="0.25">
      <c r="B28252" s="55" t="s">
        <v>419</v>
      </c>
      <c r="C28252" s="46">
        <v>16</v>
      </c>
      <c r="D28252" s="69" t="s">
        <v>29556</v>
      </c>
      <c r="E28252" s="62"/>
      <c r="F28252" s="62" t="str">
        <f>IF(INDEX(I.Gas.P4Y1AssociatedGasEnergy,16)="","",INDEX(I.Gas.P4Y1AssociatedGasEnergy,16))</f>
        <v/>
      </c>
      <c r="G28252" s="62"/>
      <c r="H28252" s="46" t="str">
        <f>IF(I.Developer.P4=FALSE,"Complete",IF(I.Product.P4GasToPowerStatus&lt;&gt;"Yes","Complete",IF(AND(I.Gas.P4Y1Count&gt;=16,F28252=""),"Incomplete","Complete")))</f>
        <v>Complete</v>
      </c>
      <c r="I28252" s="48" t="s">
        <v>3431</v>
      </c>
    </row>
    <row r="28253" spans="2:9" ht="15" customHeight="1" x14ac:dyDescent="0.25">
      <c r="B28253" s="55" t="s">
        <v>419</v>
      </c>
      <c r="C28253" s="46">
        <v>17</v>
      </c>
      <c r="D28253" s="69" t="s">
        <v>29556</v>
      </c>
      <c r="E28253" s="62"/>
      <c r="F28253" s="62" t="str">
        <f>IF(INDEX(I.Gas.P4Y1AssociatedGasEnergy,17)="","",INDEX(I.Gas.P4Y1AssociatedGasEnergy,17))</f>
        <v/>
      </c>
      <c r="G28253" s="62"/>
      <c r="H28253" s="46" t="str">
        <f>IF(I.Developer.P4=FALSE,"Complete",IF(I.Product.P4GasToPowerStatus&lt;&gt;"Yes","Complete",IF(AND(I.Gas.P4Y1Count&gt;=17,F28253=""),"Incomplete","Complete")))</f>
        <v>Complete</v>
      </c>
      <c r="I28253" s="48" t="s">
        <v>3432</v>
      </c>
    </row>
    <row r="28254" spans="2:9" ht="15" customHeight="1" x14ac:dyDescent="0.25">
      <c r="B28254" s="55" t="s">
        <v>419</v>
      </c>
      <c r="C28254" s="46">
        <v>18</v>
      </c>
      <c r="D28254" s="69" t="s">
        <v>29556</v>
      </c>
      <c r="E28254" s="62"/>
      <c r="F28254" s="62" t="str">
        <f>IF(INDEX(I.Gas.P4Y1AssociatedGasEnergy,18)="","",INDEX(I.Gas.P4Y1AssociatedGasEnergy,18))</f>
        <v/>
      </c>
      <c r="G28254" s="62"/>
      <c r="H28254" s="46" t="str">
        <f>IF(I.Developer.P4=FALSE,"Complete",IF(I.Product.P4GasToPowerStatus&lt;&gt;"Yes","Complete",IF(AND(I.Gas.P4Y1Count&gt;=18,F28254=""),"Incomplete","Complete")))</f>
        <v>Complete</v>
      </c>
      <c r="I28254" s="48" t="s">
        <v>3433</v>
      </c>
    </row>
    <row r="28255" spans="2:9" ht="15" customHeight="1" x14ac:dyDescent="0.25">
      <c r="B28255" s="55" t="s">
        <v>419</v>
      </c>
      <c r="C28255" s="46">
        <v>19</v>
      </c>
      <c r="D28255" s="69" t="s">
        <v>29556</v>
      </c>
      <c r="E28255" s="62"/>
      <c r="F28255" s="62" t="str">
        <f>IF(INDEX(I.Gas.P4Y1AssociatedGasEnergy,19)="","",INDEX(I.Gas.P4Y1AssociatedGasEnergy,19))</f>
        <v/>
      </c>
      <c r="G28255" s="62"/>
      <c r="H28255" s="46" t="str">
        <f>IF(I.Developer.P4=FALSE,"Complete",IF(I.Product.P4GasToPowerStatus&lt;&gt;"Yes","Complete",IF(AND(I.Gas.P4Y1Count&gt;=19,F28255=""),"Incomplete","Complete")))</f>
        <v>Complete</v>
      </c>
      <c r="I28255" s="48" t="s">
        <v>3434</v>
      </c>
    </row>
    <row r="28256" spans="2:9" ht="15" customHeight="1" x14ac:dyDescent="0.25">
      <c r="B28256" s="55" t="s">
        <v>419</v>
      </c>
      <c r="C28256" s="46">
        <v>20</v>
      </c>
      <c r="D28256" s="69" t="s">
        <v>29556</v>
      </c>
      <c r="E28256" s="62"/>
      <c r="F28256" s="62" t="str">
        <f>IF(INDEX(I.Gas.P4Y1AssociatedGasEnergy,20)="","",INDEX(I.Gas.P4Y1AssociatedGasEnergy,20))</f>
        <v/>
      </c>
      <c r="G28256" s="62"/>
      <c r="H28256" s="46" t="str">
        <f>IF(I.Developer.P4=FALSE,"Complete",IF(I.Product.P4GasToPowerStatus&lt;&gt;"Yes","Complete",IF(AND(I.Gas.P4Y1Count&gt;=20,F28256=""),"Incomplete","Complete")))</f>
        <v>Complete</v>
      </c>
      <c r="I28256" s="48" t="s">
        <v>3435</v>
      </c>
    </row>
    <row r="28257" spans="2:9" ht="15" customHeight="1" x14ac:dyDescent="0.25">
      <c r="B28257" s="55" t="s">
        <v>419</v>
      </c>
      <c r="C28257" s="46">
        <v>21</v>
      </c>
      <c r="D28257" s="69" t="s">
        <v>29556</v>
      </c>
      <c r="E28257" s="62"/>
      <c r="F28257" s="62" t="str">
        <f>IF(INDEX(I.Gas.P4Y1AssociatedGasEnergy,21)="","",INDEX(I.Gas.P4Y1AssociatedGasEnergy,21))</f>
        <v/>
      </c>
      <c r="G28257" s="62"/>
      <c r="H28257" s="46" t="str">
        <f>IF(I.Developer.P4=FALSE,"Complete",IF(I.Product.P4GasToPowerStatus&lt;&gt;"Yes","Complete",IF(AND(I.Gas.P4Y1Count&gt;=21,F28257=""),"Incomplete","Complete")))</f>
        <v>Complete</v>
      </c>
      <c r="I28257" s="48" t="s">
        <v>3436</v>
      </c>
    </row>
    <row r="28258" spans="2:9" ht="15" customHeight="1" x14ac:dyDescent="0.25">
      <c r="B28258" s="55" t="s">
        <v>419</v>
      </c>
      <c r="C28258" s="46">
        <v>22</v>
      </c>
      <c r="D28258" s="69" t="s">
        <v>29556</v>
      </c>
      <c r="E28258" s="62"/>
      <c r="F28258" s="62" t="str">
        <f>IF(INDEX(I.Gas.P4Y1AssociatedGasEnergy,22)="","",INDEX(I.Gas.P4Y1AssociatedGasEnergy,22))</f>
        <v/>
      </c>
      <c r="G28258" s="62"/>
      <c r="H28258" s="46" t="str">
        <f>IF(I.Developer.P4=FALSE,"Complete",IF(I.Product.P4GasToPowerStatus&lt;&gt;"Yes","Complete",IF(AND(I.Gas.P4Y1Count&gt;=22,F28258=""),"Incomplete","Complete")))</f>
        <v>Complete</v>
      </c>
      <c r="I28258" s="48" t="s">
        <v>3437</v>
      </c>
    </row>
    <row r="28259" spans="2:9" ht="15" customHeight="1" x14ac:dyDescent="0.25">
      <c r="B28259" s="55" t="s">
        <v>419</v>
      </c>
      <c r="C28259" s="46">
        <v>23</v>
      </c>
      <c r="D28259" s="69" t="s">
        <v>29556</v>
      </c>
      <c r="E28259" s="62"/>
      <c r="F28259" s="62" t="str">
        <f>IF(INDEX(I.Gas.P4Y1AssociatedGasEnergy,23)="","",INDEX(I.Gas.P4Y1AssociatedGasEnergy,23))</f>
        <v/>
      </c>
      <c r="G28259" s="62"/>
      <c r="H28259" s="46" t="str">
        <f>IF(I.Developer.P4=FALSE,"Complete",IF(I.Product.P4GasToPowerStatus&lt;&gt;"Yes","Complete",IF(AND(I.Gas.P4Y1Count&gt;=23,F28259=""),"Incomplete","Complete")))</f>
        <v>Complete</v>
      </c>
      <c r="I28259" s="48" t="s">
        <v>3438</v>
      </c>
    </row>
    <row r="28260" spans="2:9" ht="15" customHeight="1" x14ac:dyDescent="0.25">
      <c r="B28260" s="55" t="s">
        <v>419</v>
      </c>
      <c r="C28260" s="46">
        <v>24</v>
      </c>
      <c r="D28260" s="69" t="s">
        <v>29556</v>
      </c>
      <c r="E28260" s="62"/>
      <c r="F28260" s="62" t="str">
        <f>IF(INDEX(I.Gas.P4Y1AssociatedGasEnergy,24)="","",INDEX(I.Gas.P4Y1AssociatedGasEnergy,24))</f>
        <v/>
      </c>
      <c r="G28260" s="62"/>
      <c r="H28260" s="46" t="str">
        <f>IF(I.Developer.P4=FALSE,"Complete",IF(I.Product.P4GasToPowerStatus&lt;&gt;"Yes","Complete",IF(AND(I.Gas.P4Y1Count&gt;=24,F28260=""),"Incomplete","Complete")))</f>
        <v>Complete</v>
      </c>
      <c r="I28260" s="48" t="s">
        <v>3439</v>
      </c>
    </row>
    <row r="28261" spans="2:9" ht="15" customHeight="1" x14ac:dyDescent="0.25">
      <c r="B28261" s="55" t="s">
        <v>419</v>
      </c>
      <c r="C28261" s="46">
        <v>25</v>
      </c>
      <c r="D28261" s="69" t="s">
        <v>29556</v>
      </c>
      <c r="E28261" s="62"/>
      <c r="F28261" s="62" t="str">
        <f>IF(INDEX(I.Gas.P4Y1AssociatedGasEnergy,25)="","",INDEX(I.Gas.P4Y1AssociatedGasEnergy,25))</f>
        <v/>
      </c>
      <c r="G28261" s="62"/>
      <c r="H28261" s="46" t="str">
        <f>IF(I.Developer.P4=FALSE,"Complete",IF(I.Product.P4GasToPowerStatus&lt;&gt;"Yes","Complete",IF(AND(I.Gas.P4Y1Count&gt;=25,F28261=""),"Incomplete","Complete")))</f>
        <v>Complete</v>
      </c>
      <c r="I28261" s="48" t="s">
        <v>3440</v>
      </c>
    </row>
    <row r="28262" spans="2:9" ht="15" customHeight="1" x14ac:dyDescent="0.25">
      <c r="B28262" s="55" t="s">
        <v>419</v>
      </c>
      <c r="C28262" s="46">
        <v>26</v>
      </c>
      <c r="D28262" s="69" t="s">
        <v>29556</v>
      </c>
      <c r="E28262" s="62"/>
      <c r="F28262" s="62" t="str">
        <f>IF(INDEX(I.Gas.P4Y1AssociatedGasEnergy,26)="","",INDEX(I.Gas.P4Y1AssociatedGasEnergy,26))</f>
        <v/>
      </c>
      <c r="G28262" s="62"/>
      <c r="H28262" s="46" t="str">
        <f>IF(I.Developer.P4=FALSE,"Complete",IF(I.Product.P4GasToPowerStatus&lt;&gt;"Yes","Complete",IF(AND(I.Gas.P4Y1Count&gt;=26,F28262=""),"Incomplete","Complete")))</f>
        <v>Complete</v>
      </c>
      <c r="I28262" s="48" t="s">
        <v>3441</v>
      </c>
    </row>
    <row r="28263" spans="2:9" ht="15" customHeight="1" x14ac:dyDescent="0.25">
      <c r="B28263" s="55" t="s">
        <v>419</v>
      </c>
      <c r="C28263" s="46">
        <v>27</v>
      </c>
      <c r="D28263" s="69" t="s">
        <v>29556</v>
      </c>
      <c r="E28263" s="62"/>
      <c r="F28263" s="62" t="str">
        <f>IF(INDEX(I.Gas.P4Y1AssociatedGasEnergy,27)="","",INDEX(I.Gas.P4Y1AssociatedGasEnergy,27))</f>
        <v/>
      </c>
      <c r="G28263" s="62"/>
      <c r="H28263" s="46" t="str">
        <f>IF(I.Developer.P4=FALSE,"Complete",IF(I.Product.P4GasToPowerStatus&lt;&gt;"Yes","Complete",IF(AND(I.Gas.P4Y1Count&gt;=27,F28263=""),"Incomplete","Complete")))</f>
        <v>Complete</v>
      </c>
      <c r="I28263" s="48" t="s">
        <v>3442</v>
      </c>
    </row>
    <row r="28264" spans="2:9" ht="15" customHeight="1" x14ac:dyDescent="0.25">
      <c r="B28264" s="55" t="s">
        <v>419</v>
      </c>
      <c r="C28264" s="46">
        <v>28</v>
      </c>
      <c r="D28264" s="69" t="s">
        <v>29556</v>
      </c>
      <c r="E28264" s="62"/>
      <c r="F28264" s="62" t="str">
        <f>IF(INDEX(I.Gas.P4Y1AssociatedGasEnergy,28)="","",INDEX(I.Gas.P4Y1AssociatedGasEnergy,28))</f>
        <v/>
      </c>
      <c r="G28264" s="62"/>
      <c r="H28264" s="46" t="str">
        <f>IF(I.Developer.P4=FALSE,"Complete",IF(I.Product.P4GasToPowerStatus&lt;&gt;"Yes","Complete",IF(AND(I.Gas.P4Y1Count&gt;=28,F28264=""),"Incomplete","Complete")))</f>
        <v>Complete</v>
      </c>
      <c r="I28264" s="48" t="s">
        <v>3443</v>
      </c>
    </row>
    <row r="28265" spans="2:9" ht="15" customHeight="1" x14ac:dyDescent="0.25">
      <c r="B28265" s="55" t="s">
        <v>419</v>
      </c>
      <c r="C28265" s="46">
        <v>29</v>
      </c>
      <c r="D28265" s="69" t="s">
        <v>29556</v>
      </c>
      <c r="E28265" s="62"/>
      <c r="F28265" s="62" t="str">
        <f>IF(INDEX(I.Gas.P4Y1AssociatedGasEnergy,29)="","",INDEX(I.Gas.P4Y1AssociatedGasEnergy,29))</f>
        <v/>
      </c>
      <c r="G28265" s="62"/>
      <c r="H28265" s="46" t="str">
        <f>IF(I.Developer.P4=FALSE,"Complete",IF(I.Product.P4GasToPowerStatus&lt;&gt;"Yes","Complete",IF(AND(I.Gas.P4Y1Count&gt;=29,F28265=""),"Incomplete","Complete")))</f>
        <v>Complete</v>
      </c>
      <c r="I28265" s="48" t="s">
        <v>3444</v>
      </c>
    </row>
    <row r="28266" spans="2:9" ht="15" customHeight="1" x14ac:dyDescent="0.25">
      <c r="B28266" s="55" t="s">
        <v>419</v>
      </c>
      <c r="C28266" s="46">
        <v>30</v>
      </c>
      <c r="D28266" s="69" t="s">
        <v>29556</v>
      </c>
      <c r="E28266" s="62"/>
      <c r="F28266" s="62" t="str">
        <f>IF(INDEX(I.Gas.P4Y1AssociatedGasEnergy,30)="","",INDEX(I.Gas.P4Y1AssociatedGasEnergy,30))</f>
        <v/>
      </c>
      <c r="G28266" s="62"/>
      <c r="H28266" s="46" t="str">
        <f>IF(I.Developer.P4=FALSE,"Complete",IF(I.Product.P4GasToPowerStatus&lt;&gt;"Yes","Complete",IF(AND(I.Gas.P4Y1Count&gt;=30,F28266=""),"Incomplete","Complete")))</f>
        <v>Complete</v>
      </c>
      <c r="I28266" s="48" t="s">
        <v>3445</v>
      </c>
    </row>
    <row r="28267" spans="2:9" ht="15" customHeight="1" x14ac:dyDescent="0.25">
      <c r="B28267" s="55" t="s">
        <v>419</v>
      </c>
      <c r="C28267" s="46">
        <v>31</v>
      </c>
      <c r="D28267" s="69" t="s">
        <v>29556</v>
      </c>
      <c r="E28267" s="62"/>
      <c r="F28267" s="62" t="str">
        <f>IF(INDEX(I.Gas.P4Y1AssociatedGasEnergy,31)="","",INDEX(I.Gas.P4Y1AssociatedGasEnergy,31))</f>
        <v/>
      </c>
      <c r="G28267" s="62"/>
      <c r="H28267" s="46" t="str">
        <f>IF(I.Developer.P4=FALSE,"Complete",IF(I.Product.P4GasToPowerStatus&lt;&gt;"Yes","Complete",IF(AND(I.Gas.P4Y1Count&gt;=31,F28267=""),"Incomplete","Complete")))</f>
        <v>Complete</v>
      </c>
      <c r="I28267" s="48" t="s">
        <v>3446</v>
      </c>
    </row>
    <row r="28268" spans="2:9" ht="15" customHeight="1" x14ac:dyDescent="0.25">
      <c r="B28268" s="55" t="s">
        <v>419</v>
      </c>
      <c r="C28268" s="46">
        <v>32</v>
      </c>
      <c r="D28268" s="69" t="s">
        <v>29556</v>
      </c>
      <c r="E28268" s="62"/>
      <c r="F28268" s="62" t="str">
        <f>IF(INDEX(I.Gas.P4Y1AssociatedGasEnergy,32)="","",INDEX(I.Gas.P4Y1AssociatedGasEnergy,32))</f>
        <v/>
      </c>
      <c r="G28268" s="62"/>
      <c r="H28268" s="46" t="str">
        <f>IF(I.Developer.P4=FALSE,"Complete",IF(I.Product.P4GasToPowerStatus&lt;&gt;"Yes","Complete",IF(AND(I.Gas.P4Y1Count&gt;=32,F28268=""),"Incomplete","Complete")))</f>
        <v>Complete</v>
      </c>
      <c r="I28268" s="48" t="s">
        <v>3447</v>
      </c>
    </row>
    <row r="28269" spans="2:9" ht="15" customHeight="1" x14ac:dyDescent="0.25">
      <c r="B28269" s="55" t="s">
        <v>419</v>
      </c>
      <c r="C28269" s="46">
        <v>33</v>
      </c>
      <c r="D28269" s="69" t="s">
        <v>29556</v>
      </c>
      <c r="E28269" s="62"/>
      <c r="F28269" s="62" t="str">
        <f>IF(INDEX(I.Gas.P4Y1AssociatedGasEnergy,33)="","",INDEX(I.Gas.P4Y1AssociatedGasEnergy,33))</f>
        <v/>
      </c>
      <c r="G28269" s="62"/>
      <c r="H28269" s="46" t="str">
        <f>IF(I.Developer.P4=FALSE,"Complete",IF(I.Product.P4GasToPowerStatus&lt;&gt;"Yes","Complete",IF(AND(I.Gas.P4Y1Count&gt;=33,F28269=""),"Incomplete","Complete")))</f>
        <v>Complete</v>
      </c>
      <c r="I28269" s="48" t="s">
        <v>3448</v>
      </c>
    </row>
    <row r="28270" spans="2:9" ht="15" customHeight="1" x14ac:dyDescent="0.25">
      <c r="B28270" s="55" t="s">
        <v>419</v>
      </c>
      <c r="C28270" s="46">
        <v>34</v>
      </c>
      <c r="D28270" s="69" t="s">
        <v>29556</v>
      </c>
      <c r="E28270" s="62"/>
      <c r="F28270" s="62" t="str">
        <f>IF(INDEX(I.Gas.P4Y1AssociatedGasEnergy,34)="","",INDEX(I.Gas.P4Y1AssociatedGasEnergy,34))</f>
        <v/>
      </c>
      <c r="G28270" s="62"/>
      <c r="H28270" s="46" t="str">
        <f>IF(I.Developer.P4=FALSE,"Complete",IF(I.Product.P4GasToPowerStatus&lt;&gt;"Yes","Complete",IF(AND(I.Gas.P4Y1Count&gt;=34,F28270=""),"Incomplete","Complete")))</f>
        <v>Complete</v>
      </c>
      <c r="I28270" s="48" t="s">
        <v>3449</v>
      </c>
    </row>
    <row r="28271" spans="2:9" ht="15" customHeight="1" x14ac:dyDescent="0.25">
      <c r="B28271" s="55" t="s">
        <v>419</v>
      </c>
      <c r="C28271" s="46">
        <v>35</v>
      </c>
      <c r="D28271" s="69" t="s">
        <v>29556</v>
      </c>
      <c r="E28271" s="62"/>
      <c r="F28271" s="62" t="str">
        <f>IF(INDEX(I.Gas.P4Y1AssociatedGasEnergy,35)="","",INDEX(I.Gas.P4Y1AssociatedGasEnergy,35))</f>
        <v/>
      </c>
      <c r="G28271" s="62"/>
      <c r="H28271" s="46" t="str">
        <f>IF(I.Developer.P4=FALSE,"Complete",IF(I.Product.P4GasToPowerStatus&lt;&gt;"Yes","Complete",IF(AND(I.Gas.P4Y1Count&gt;=35,F28271=""),"Incomplete","Complete")))</f>
        <v>Complete</v>
      </c>
      <c r="I28271" s="48" t="s">
        <v>3450</v>
      </c>
    </row>
    <row r="28272" spans="2:9" ht="15" customHeight="1" x14ac:dyDescent="0.25">
      <c r="B28272" s="55" t="s">
        <v>419</v>
      </c>
      <c r="C28272" s="46">
        <v>36</v>
      </c>
      <c r="D28272" s="69" t="s">
        <v>29556</v>
      </c>
      <c r="E28272" s="62"/>
      <c r="F28272" s="62" t="str">
        <f>IF(INDEX(I.Gas.P4Y1AssociatedGasEnergy,36)="","",INDEX(I.Gas.P4Y1AssociatedGasEnergy,36))</f>
        <v/>
      </c>
      <c r="G28272" s="62"/>
      <c r="H28272" s="46" t="str">
        <f>IF(I.Developer.P4=FALSE,"Complete",IF(I.Product.P4GasToPowerStatus&lt;&gt;"Yes","Complete",IF(AND(I.Gas.P4Y1Count&gt;=36,F28272=""),"Incomplete","Complete")))</f>
        <v>Complete</v>
      </c>
      <c r="I28272" s="48" t="s">
        <v>3451</v>
      </c>
    </row>
    <row r="28273" spans="2:9" ht="15" customHeight="1" x14ac:dyDescent="0.25">
      <c r="B28273" s="55" t="s">
        <v>419</v>
      </c>
      <c r="C28273" s="46">
        <v>37</v>
      </c>
      <c r="D28273" s="69" t="s">
        <v>29556</v>
      </c>
      <c r="E28273" s="62"/>
      <c r="F28273" s="62" t="str">
        <f>IF(INDEX(I.Gas.P4Y1AssociatedGasEnergy,37)="","",INDEX(I.Gas.P4Y1AssociatedGasEnergy,37))</f>
        <v/>
      </c>
      <c r="G28273" s="62"/>
      <c r="H28273" s="46" t="str">
        <f>IF(I.Developer.P4=FALSE,"Complete",IF(I.Product.P4GasToPowerStatus&lt;&gt;"Yes","Complete",IF(AND(I.Gas.P4Y1Count&gt;=37,F28273=""),"Incomplete","Complete")))</f>
        <v>Complete</v>
      </c>
      <c r="I28273" s="48" t="s">
        <v>3452</v>
      </c>
    </row>
    <row r="28274" spans="2:9" ht="15" customHeight="1" x14ac:dyDescent="0.25">
      <c r="B28274" s="55" t="s">
        <v>419</v>
      </c>
      <c r="C28274" s="46">
        <v>38</v>
      </c>
      <c r="D28274" s="69" t="s">
        <v>29556</v>
      </c>
      <c r="E28274" s="62"/>
      <c r="F28274" s="62" t="str">
        <f>IF(INDEX(I.Gas.P4Y1AssociatedGasEnergy,38)="","",INDEX(I.Gas.P4Y1AssociatedGasEnergy,38))</f>
        <v/>
      </c>
      <c r="G28274" s="62"/>
      <c r="H28274" s="46" t="str">
        <f>IF(I.Developer.P4=FALSE,"Complete",IF(I.Product.P4GasToPowerStatus&lt;&gt;"Yes","Complete",IF(AND(I.Gas.P4Y1Count&gt;=38,F28274=""),"Incomplete","Complete")))</f>
        <v>Complete</v>
      </c>
      <c r="I28274" s="48" t="s">
        <v>3453</v>
      </c>
    </row>
    <row r="28275" spans="2:9" ht="15" customHeight="1" x14ac:dyDescent="0.25">
      <c r="B28275" s="55" t="s">
        <v>419</v>
      </c>
      <c r="C28275" s="46">
        <v>39</v>
      </c>
      <c r="D28275" s="69" t="s">
        <v>29556</v>
      </c>
      <c r="E28275" s="62"/>
      <c r="F28275" s="62" t="str">
        <f>IF(INDEX(I.Gas.P4Y1AssociatedGasEnergy,39)="","",INDEX(I.Gas.P4Y1AssociatedGasEnergy,39))</f>
        <v/>
      </c>
      <c r="G28275" s="62"/>
      <c r="H28275" s="46" t="str">
        <f>IF(I.Developer.P4=FALSE,"Complete",IF(I.Product.P4GasToPowerStatus&lt;&gt;"Yes","Complete",IF(AND(I.Gas.P4Y1Count&gt;=39,F28275=""),"Incomplete","Complete")))</f>
        <v>Complete</v>
      </c>
      <c r="I28275" s="48" t="s">
        <v>3454</v>
      </c>
    </row>
    <row r="28276" spans="2:9" ht="15" customHeight="1" x14ac:dyDescent="0.25">
      <c r="B28276" s="55" t="s">
        <v>419</v>
      </c>
      <c r="C28276" s="46">
        <v>40</v>
      </c>
      <c r="D28276" s="69" t="s">
        <v>29556</v>
      </c>
      <c r="E28276" s="62"/>
      <c r="F28276" s="62" t="str">
        <f>IF(INDEX(I.Gas.P4Y1AssociatedGasEnergy,40)="","",INDEX(I.Gas.P4Y1AssociatedGasEnergy,40))</f>
        <v/>
      </c>
      <c r="G28276" s="62"/>
      <c r="H28276" s="46" t="str">
        <f>IF(I.Developer.P4=FALSE,"Complete",IF(I.Product.P4GasToPowerStatus&lt;&gt;"Yes","Complete",IF(AND(I.Gas.P4Y1Count&gt;=40,F28276=""),"Incomplete","Complete")))</f>
        <v>Complete</v>
      </c>
      <c r="I28276" s="48" t="s">
        <v>3455</v>
      </c>
    </row>
    <row r="28277" spans="2:9" ht="15" customHeight="1" x14ac:dyDescent="0.25">
      <c r="B28277" s="55" t="s">
        <v>419</v>
      </c>
      <c r="C28277" s="46">
        <v>41</v>
      </c>
      <c r="D28277" s="69" t="s">
        <v>29556</v>
      </c>
      <c r="E28277" s="62"/>
      <c r="F28277" s="62" t="str">
        <f>IF(INDEX(I.Gas.P4Y1AssociatedGasEnergy,41)="","",INDEX(I.Gas.P4Y1AssociatedGasEnergy,41))</f>
        <v/>
      </c>
      <c r="G28277" s="62"/>
      <c r="H28277" s="46" t="str">
        <f>IF(I.Developer.P4=FALSE,"Complete",IF(I.Product.P4GasToPowerStatus&lt;&gt;"Yes","Complete",IF(AND(I.Gas.P4Y1Count&gt;=41,F28277=""),"Incomplete","Complete")))</f>
        <v>Complete</v>
      </c>
      <c r="I28277" s="48" t="s">
        <v>3456</v>
      </c>
    </row>
    <row r="28278" spans="2:9" ht="15" customHeight="1" x14ac:dyDescent="0.25">
      <c r="B28278" s="55" t="s">
        <v>419</v>
      </c>
      <c r="C28278" s="46">
        <v>42</v>
      </c>
      <c r="D28278" s="69" t="s">
        <v>29556</v>
      </c>
      <c r="E28278" s="62"/>
      <c r="F28278" s="62" t="str">
        <f>IF(INDEX(I.Gas.P4Y1AssociatedGasEnergy,42)="","",INDEX(I.Gas.P4Y1AssociatedGasEnergy,42))</f>
        <v/>
      </c>
      <c r="G28278" s="62"/>
      <c r="H28278" s="46" t="str">
        <f>IF(I.Developer.P4=FALSE,"Complete",IF(I.Product.P4GasToPowerStatus&lt;&gt;"Yes","Complete",IF(AND(I.Gas.P4Y1Count&gt;=42,F28278=""),"Incomplete","Complete")))</f>
        <v>Complete</v>
      </c>
      <c r="I28278" s="48" t="s">
        <v>3457</v>
      </c>
    </row>
    <row r="28279" spans="2:9" ht="15" customHeight="1" x14ac:dyDescent="0.25">
      <c r="B28279" s="55" t="s">
        <v>419</v>
      </c>
      <c r="C28279" s="46">
        <v>43</v>
      </c>
      <c r="D28279" s="69" t="s">
        <v>29556</v>
      </c>
      <c r="E28279" s="62"/>
      <c r="F28279" s="62" t="str">
        <f>IF(INDEX(I.Gas.P4Y1AssociatedGasEnergy,43)="","",INDEX(I.Gas.P4Y1AssociatedGasEnergy,43))</f>
        <v/>
      </c>
      <c r="G28279" s="62"/>
      <c r="H28279" s="46" t="str">
        <f>IF(I.Developer.P4=FALSE,"Complete",IF(I.Product.P4GasToPowerStatus&lt;&gt;"Yes","Complete",IF(AND(I.Gas.P4Y1Count&gt;=43,F28279=""),"Incomplete","Complete")))</f>
        <v>Complete</v>
      </c>
      <c r="I28279" s="48" t="s">
        <v>3458</v>
      </c>
    </row>
    <row r="28280" spans="2:9" ht="15" customHeight="1" x14ac:dyDescent="0.25">
      <c r="B28280" s="55" t="s">
        <v>419</v>
      </c>
      <c r="C28280" s="46">
        <v>44</v>
      </c>
      <c r="D28280" s="69" t="s">
        <v>29556</v>
      </c>
      <c r="E28280" s="62"/>
      <c r="F28280" s="62" t="str">
        <f>IF(INDEX(I.Gas.P4Y1AssociatedGasEnergy,44)="","",INDEX(I.Gas.P4Y1AssociatedGasEnergy,44))</f>
        <v/>
      </c>
      <c r="G28280" s="62"/>
      <c r="H28280" s="46" t="str">
        <f>IF(I.Developer.P4=FALSE,"Complete",IF(I.Product.P4GasToPowerStatus&lt;&gt;"Yes","Complete",IF(AND(I.Gas.P4Y1Count&gt;=44,F28280=""),"Incomplete","Complete")))</f>
        <v>Complete</v>
      </c>
      <c r="I28280" s="48" t="s">
        <v>3459</v>
      </c>
    </row>
    <row r="28281" spans="2:9" ht="15" customHeight="1" x14ac:dyDescent="0.25">
      <c r="B28281" s="55" t="s">
        <v>419</v>
      </c>
      <c r="C28281" s="46">
        <v>45</v>
      </c>
      <c r="D28281" s="69" t="s">
        <v>29556</v>
      </c>
      <c r="E28281" s="62"/>
      <c r="F28281" s="62" t="str">
        <f>IF(INDEX(I.Gas.P4Y1AssociatedGasEnergy,45)="","",INDEX(I.Gas.P4Y1AssociatedGasEnergy,45))</f>
        <v/>
      </c>
      <c r="G28281" s="62"/>
      <c r="H28281" s="46" t="str">
        <f>IF(I.Developer.P4=FALSE,"Complete",IF(I.Product.P4GasToPowerStatus&lt;&gt;"Yes","Complete",IF(AND(I.Gas.P4Y1Count&gt;=45,F28281=""),"Incomplete","Complete")))</f>
        <v>Complete</v>
      </c>
      <c r="I28281" s="48" t="s">
        <v>3460</v>
      </c>
    </row>
    <row r="28282" spans="2:9" ht="15" customHeight="1" x14ac:dyDescent="0.25">
      <c r="B28282" s="55" t="s">
        <v>419</v>
      </c>
      <c r="C28282" s="46">
        <v>46</v>
      </c>
      <c r="D28282" s="69" t="s">
        <v>29556</v>
      </c>
      <c r="E28282" s="62"/>
      <c r="F28282" s="62" t="str">
        <f>IF(INDEX(I.Gas.P4Y1AssociatedGasEnergy,46)="","",INDEX(I.Gas.P4Y1AssociatedGasEnergy,46))</f>
        <v/>
      </c>
      <c r="G28282" s="62"/>
      <c r="H28282" s="46" t="str">
        <f>IF(I.Developer.P4=FALSE,"Complete",IF(I.Product.P4GasToPowerStatus&lt;&gt;"Yes","Complete",IF(AND(I.Gas.P4Y1Count&gt;=46,F28282=""),"Incomplete","Complete")))</f>
        <v>Complete</v>
      </c>
      <c r="I28282" s="48" t="s">
        <v>3461</v>
      </c>
    </row>
    <row r="28283" spans="2:9" ht="15" customHeight="1" x14ac:dyDescent="0.25">
      <c r="B28283" s="55" t="s">
        <v>419</v>
      </c>
      <c r="C28283" s="46">
        <v>47</v>
      </c>
      <c r="D28283" s="69" t="s">
        <v>29556</v>
      </c>
      <c r="E28283" s="62"/>
      <c r="F28283" s="62" t="str">
        <f>IF(INDEX(I.Gas.P4Y1AssociatedGasEnergy,47)="","",INDEX(I.Gas.P4Y1AssociatedGasEnergy,47))</f>
        <v/>
      </c>
      <c r="G28283" s="62"/>
      <c r="H28283" s="46" t="str">
        <f>IF(I.Developer.P4=FALSE,"Complete",IF(I.Product.P4GasToPowerStatus&lt;&gt;"Yes","Complete",IF(AND(I.Gas.P4Y1Count&gt;=47,F28283=""),"Incomplete","Complete")))</f>
        <v>Complete</v>
      </c>
      <c r="I28283" s="48" t="s">
        <v>3462</v>
      </c>
    </row>
    <row r="28284" spans="2:9" ht="15" customHeight="1" x14ac:dyDescent="0.25">
      <c r="B28284" s="55" t="s">
        <v>419</v>
      </c>
      <c r="C28284" s="46">
        <v>48</v>
      </c>
      <c r="D28284" s="69" t="s">
        <v>29556</v>
      </c>
      <c r="E28284" s="62"/>
      <c r="F28284" s="62" t="str">
        <f>IF(INDEX(I.Gas.P4Y1AssociatedGasEnergy,48)="","",INDEX(I.Gas.P4Y1AssociatedGasEnergy,48))</f>
        <v/>
      </c>
      <c r="G28284" s="62"/>
      <c r="H28284" s="46" t="str">
        <f>IF(I.Developer.P4=FALSE,"Complete",IF(I.Product.P4GasToPowerStatus&lt;&gt;"Yes","Complete",IF(AND(I.Gas.P4Y1Count&gt;=48,F28284=""),"Incomplete","Complete")))</f>
        <v>Complete</v>
      </c>
      <c r="I28284" s="48" t="s">
        <v>3463</v>
      </c>
    </row>
    <row r="28285" spans="2:9" ht="15" customHeight="1" x14ac:dyDescent="0.25">
      <c r="B28285" s="55" t="s">
        <v>419</v>
      </c>
      <c r="C28285" s="46">
        <v>49</v>
      </c>
      <c r="D28285" s="69" t="s">
        <v>29556</v>
      </c>
      <c r="E28285" s="62"/>
      <c r="F28285" s="62" t="str">
        <f>IF(INDEX(I.Gas.P4Y1AssociatedGasEnergy,49)="","",INDEX(I.Gas.P4Y1AssociatedGasEnergy,49))</f>
        <v/>
      </c>
      <c r="G28285" s="62"/>
      <c r="H28285" s="46" t="str">
        <f>IF(I.Developer.P4=FALSE,"Complete",IF(I.Product.P4GasToPowerStatus&lt;&gt;"Yes","Complete",IF(AND(I.Gas.P4Y1Count&gt;=49,F28285=""),"Incomplete","Complete")))</f>
        <v>Complete</v>
      </c>
      <c r="I28285" s="48" t="s">
        <v>3464</v>
      </c>
    </row>
    <row r="28286" spans="2:9" ht="15" customHeight="1" x14ac:dyDescent="0.25">
      <c r="B28286" s="56" t="s">
        <v>419</v>
      </c>
      <c r="C28286" s="57">
        <v>50</v>
      </c>
      <c r="D28286" s="71" t="s">
        <v>29556</v>
      </c>
      <c r="E28286" s="61"/>
      <c r="F28286" s="61" t="str">
        <f>IF(INDEX(I.Gas.P4Y1AssociatedGasEnergy,50)="","",INDEX(I.Gas.P4Y1AssociatedGasEnergy,50))</f>
        <v/>
      </c>
      <c r="G28286" s="61"/>
      <c r="H28286" s="57" t="str">
        <f>IF(I.Developer.P4=FALSE,"Complete",IF(I.Product.P4GasToPowerStatus&lt;&gt;"Yes","Complete",IF(AND(I.Gas.P4Y1Count&gt;=50,F28286=""),"Incomplete","Complete")))</f>
        <v>Complete</v>
      </c>
      <c r="I28286" s="49" t="s">
        <v>3465</v>
      </c>
    </row>
    <row r="28287" spans="2:9" ht="15" customHeight="1" x14ac:dyDescent="0.25">
      <c r="B28287" s="55" t="s">
        <v>420</v>
      </c>
      <c r="C28287" s="46">
        <v>1</v>
      </c>
      <c r="D28287" s="69" t="s">
        <v>29557</v>
      </c>
      <c r="E28287" s="62"/>
      <c r="F28287" s="62" t="str">
        <f>IF(INDEX(I.Gas.P4Y1TotalGasEnergy,1)="","",INDEX(I.Gas.P4Y1TotalGasEnergy,1))</f>
        <v/>
      </c>
      <c r="G28287" s="62"/>
      <c r="H28287" s="46" t="str">
        <f>IF(I.Developer.P4=FALSE,"Complete",IF(I.Product.P4GasToPowerStatus&lt;&gt;"Yes","Complete",IF(AND(I.Gas.P4Y1Count&gt;=1,F28287=""),"Incomplete","Complete")))</f>
        <v>Complete</v>
      </c>
      <c r="I28287" s="48" t="s">
        <v>3466</v>
      </c>
    </row>
    <row r="28288" spans="2:9" ht="15" customHeight="1" x14ac:dyDescent="0.25">
      <c r="B28288" s="55" t="s">
        <v>420</v>
      </c>
      <c r="C28288" s="46">
        <v>2</v>
      </c>
      <c r="D28288" s="69" t="s">
        <v>29557</v>
      </c>
      <c r="E28288" s="62"/>
      <c r="F28288" s="62" t="str">
        <f>IF(INDEX(I.Gas.P4Y1TotalGasEnergy,2)="","",INDEX(I.Gas.P4Y1TotalGasEnergy,2))</f>
        <v/>
      </c>
      <c r="G28288" s="62"/>
      <c r="H28288" s="46" t="str">
        <f>IF(I.Developer.P4=FALSE,"Complete",IF(I.Product.P4GasToPowerStatus&lt;&gt;"Yes","Complete",IF(AND(I.Gas.P4Y1Count&gt;=2,F28288=""),"Incomplete","Complete")))</f>
        <v>Complete</v>
      </c>
      <c r="I28288" s="48" t="s">
        <v>3467</v>
      </c>
    </row>
    <row r="28289" spans="2:9" ht="15" customHeight="1" x14ac:dyDescent="0.25">
      <c r="B28289" s="55" t="s">
        <v>420</v>
      </c>
      <c r="C28289" s="46">
        <v>3</v>
      </c>
      <c r="D28289" s="69" t="s">
        <v>29557</v>
      </c>
      <c r="E28289" s="62"/>
      <c r="F28289" s="62" t="str">
        <f>IF(INDEX(I.Gas.P4Y1TotalGasEnergy,3)="","",INDEX(I.Gas.P4Y1TotalGasEnergy,3))</f>
        <v/>
      </c>
      <c r="G28289" s="62"/>
      <c r="H28289" s="46" t="str">
        <f>IF(I.Developer.P4=FALSE,"Complete",IF(I.Product.P4GasToPowerStatus&lt;&gt;"Yes","Complete",IF(AND(I.Gas.P4Y1Count&gt;=3,F28289=""),"Incomplete","Complete")))</f>
        <v>Complete</v>
      </c>
      <c r="I28289" s="48" t="s">
        <v>3468</v>
      </c>
    </row>
    <row r="28290" spans="2:9" ht="15" customHeight="1" x14ac:dyDescent="0.25">
      <c r="B28290" s="55" t="s">
        <v>420</v>
      </c>
      <c r="C28290" s="46">
        <v>4</v>
      </c>
      <c r="D28290" s="69" t="s">
        <v>29557</v>
      </c>
      <c r="E28290" s="62"/>
      <c r="F28290" s="62" t="str">
        <f>IF(INDEX(I.Gas.P4Y1TotalGasEnergy,4)="","",INDEX(I.Gas.P4Y1TotalGasEnergy,4))</f>
        <v/>
      </c>
      <c r="G28290" s="62"/>
      <c r="H28290" s="46" t="str">
        <f>IF(I.Developer.P4=FALSE,"Complete",IF(I.Product.P4GasToPowerStatus&lt;&gt;"Yes","Complete",IF(AND(I.Gas.P4Y1Count&gt;=4,F28290=""),"Incomplete","Complete")))</f>
        <v>Complete</v>
      </c>
      <c r="I28290" s="48" t="s">
        <v>3469</v>
      </c>
    </row>
    <row r="28291" spans="2:9" ht="15" customHeight="1" x14ac:dyDescent="0.25">
      <c r="B28291" s="55" t="s">
        <v>420</v>
      </c>
      <c r="C28291" s="46">
        <v>5</v>
      </c>
      <c r="D28291" s="69" t="s">
        <v>29557</v>
      </c>
      <c r="E28291" s="62"/>
      <c r="F28291" s="62" t="str">
        <f>IF(INDEX(I.Gas.P4Y1TotalGasEnergy,5)="","",INDEX(I.Gas.P4Y1TotalGasEnergy,5))</f>
        <v/>
      </c>
      <c r="G28291" s="62"/>
      <c r="H28291" s="46" t="str">
        <f>IF(I.Developer.P4=FALSE,"Complete",IF(I.Product.P4GasToPowerStatus&lt;&gt;"Yes","Complete",IF(AND(I.Gas.P4Y1Count&gt;=5,F28291=""),"Incomplete","Complete")))</f>
        <v>Complete</v>
      </c>
      <c r="I28291" s="48" t="s">
        <v>3470</v>
      </c>
    </row>
    <row r="28292" spans="2:9" ht="15" customHeight="1" x14ac:dyDescent="0.25">
      <c r="B28292" s="55" t="s">
        <v>420</v>
      </c>
      <c r="C28292" s="46">
        <v>6</v>
      </c>
      <c r="D28292" s="69" t="s">
        <v>29557</v>
      </c>
      <c r="E28292" s="62"/>
      <c r="F28292" s="62" t="str">
        <f>IF(INDEX(I.Gas.P4Y1TotalGasEnergy,6)="","",INDEX(I.Gas.P4Y1TotalGasEnergy,6))</f>
        <v/>
      </c>
      <c r="G28292" s="62"/>
      <c r="H28292" s="46" t="str">
        <f>IF(I.Developer.P4=FALSE,"Complete",IF(I.Product.P4GasToPowerStatus&lt;&gt;"Yes","Complete",IF(AND(I.Gas.P4Y1Count&gt;=6,F28292=""),"Incomplete","Complete")))</f>
        <v>Complete</v>
      </c>
      <c r="I28292" s="48" t="s">
        <v>3471</v>
      </c>
    </row>
    <row r="28293" spans="2:9" ht="15" customHeight="1" x14ac:dyDescent="0.25">
      <c r="B28293" s="55" t="s">
        <v>420</v>
      </c>
      <c r="C28293" s="46">
        <v>7</v>
      </c>
      <c r="D28293" s="69" t="s">
        <v>29557</v>
      </c>
      <c r="E28293" s="62"/>
      <c r="F28293" s="62" t="str">
        <f>IF(INDEX(I.Gas.P4Y1TotalGasEnergy,7)="","",INDEX(I.Gas.P4Y1TotalGasEnergy,7))</f>
        <v/>
      </c>
      <c r="G28293" s="62"/>
      <c r="H28293" s="46" t="str">
        <f>IF(I.Developer.P4=FALSE,"Complete",IF(I.Product.P4GasToPowerStatus&lt;&gt;"Yes","Complete",IF(AND(I.Gas.P4Y1Count&gt;=7,F28293=""),"Incomplete","Complete")))</f>
        <v>Complete</v>
      </c>
      <c r="I28293" s="48" t="s">
        <v>3472</v>
      </c>
    </row>
    <row r="28294" spans="2:9" ht="15" customHeight="1" x14ac:dyDescent="0.25">
      <c r="B28294" s="55" t="s">
        <v>420</v>
      </c>
      <c r="C28294" s="46">
        <v>8</v>
      </c>
      <c r="D28294" s="69" t="s">
        <v>29557</v>
      </c>
      <c r="E28294" s="62"/>
      <c r="F28294" s="62" t="str">
        <f>IF(INDEX(I.Gas.P4Y1TotalGasEnergy,8)="","",INDEX(I.Gas.P4Y1TotalGasEnergy,8))</f>
        <v/>
      </c>
      <c r="G28294" s="62"/>
      <c r="H28294" s="46" t="str">
        <f>IF(I.Developer.P4=FALSE,"Complete",IF(I.Product.P4GasToPowerStatus&lt;&gt;"Yes","Complete",IF(AND(I.Gas.P4Y1Count&gt;=8,F28294=""),"Incomplete","Complete")))</f>
        <v>Complete</v>
      </c>
      <c r="I28294" s="48" t="s">
        <v>3473</v>
      </c>
    </row>
    <row r="28295" spans="2:9" ht="15" customHeight="1" x14ac:dyDescent="0.25">
      <c r="B28295" s="55" t="s">
        <v>420</v>
      </c>
      <c r="C28295" s="46">
        <v>9</v>
      </c>
      <c r="D28295" s="69" t="s">
        <v>29557</v>
      </c>
      <c r="E28295" s="62"/>
      <c r="F28295" s="62" t="str">
        <f>IF(INDEX(I.Gas.P4Y1TotalGasEnergy,9)="","",INDEX(I.Gas.P4Y1TotalGasEnergy,9))</f>
        <v/>
      </c>
      <c r="G28295" s="62"/>
      <c r="H28295" s="46" t="str">
        <f>IF(I.Developer.P4=FALSE,"Complete",IF(I.Product.P4GasToPowerStatus&lt;&gt;"Yes","Complete",IF(AND(I.Gas.P4Y1Count&gt;=9,F28295=""),"Incomplete","Complete")))</f>
        <v>Complete</v>
      </c>
      <c r="I28295" s="48" t="s">
        <v>3474</v>
      </c>
    </row>
    <row r="28296" spans="2:9" ht="15" customHeight="1" x14ac:dyDescent="0.25">
      <c r="B28296" s="55" t="s">
        <v>420</v>
      </c>
      <c r="C28296" s="46">
        <v>10</v>
      </c>
      <c r="D28296" s="69" t="s">
        <v>29557</v>
      </c>
      <c r="E28296" s="62"/>
      <c r="F28296" s="62" t="str">
        <f>IF(INDEX(I.Gas.P4Y1TotalGasEnergy,10)="","",INDEX(I.Gas.P4Y1TotalGasEnergy,10))</f>
        <v/>
      </c>
      <c r="G28296" s="62"/>
      <c r="H28296" s="46" t="str">
        <f>IF(I.Developer.P4=FALSE,"Complete",IF(I.Product.P4GasToPowerStatus&lt;&gt;"Yes","Complete",IF(AND(I.Gas.P4Y1Count&gt;=10,F28296=""),"Incomplete","Complete")))</f>
        <v>Complete</v>
      </c>
      <c r="I28296" s="48" t="s">
        <v>3475</v>
      </c>
    </row>
    <row r="28297" spans="2:9" ht="15" customHeight="1" x14ac:dyDescent="0.25">
      <c r="B28297" s="55" t="s">
        <v>420</v>
      </c>
      <c r="C28297" s="46">
        <v>11</v>
      </c>
      <c r="D28297" s="69" t="s">
        <v>29557</v>
      </c>
      <c r="E28297" s="62"/>
      <c r="F28297" s="62" t="str">
        <f>IF(INDEX(I.Gas.P4Y1TotalGasEnergy,11)="","",INDEX(I.Gas.P4Y1TotalGasEnergy,11))</f>
        <v/>
      </c>
      <c r="G28297" s="62"/>
      <c r="H28297" s="46" t="str">
        <f>IF(I.Developer.P4=FALSE,"Complete",IF(I.Product.P4GasToPowerStatus&lt;&gt;"Yes","Complete",IF(AND(I.Gas.P4Y1Count&gt;=11,F28297=""),"Incomplete","Complete")))</f>
        <v>Complete</v>
      </c>
      <c r="I28297" s="48" t="s">
        <v>3476</v>
      </c>
    </row>
    <row r="28298" spans="2:9" ht="15" customHeight="1" x14ac:dyDescent="0.25">
      <c r="B28298" s="55" t="s">
        <v>420</v>
      </c>
      <c r="C28298" s="46">
        <v>12</v>
      </c>
      <c r="D28298" s="69" t="s">
        <v>29557</v>
      </c>
      <c r="E28298" s="62"/>
      <c r="F28298" s="62" t="str">
        <f>IF(INDEX(I.Gas.P4Y1TotalGasEnergy,12)="","",INDEX(I.Gas.P4Y1TotalGasEnergy,12))</f>
        <v/>
      </c>
      <c r="G28298" s="62"/>
      <c r="H28298" s="46" t="str">
        <f>IF(I.Developer.P4=FALSE,"Complete",IF(I.Product.P4GasToPowerStatus&lt;&gt;"Yes","Complete",IF(AND(I.Gas.P4Y1Count&gt;=12,F28298=""),"Incomplete","Complete")))</f>
        <v>Complete</v>
      </c>
      <c r="I28298" s="48" t="s">
        <v>3477</v>
      </c>
    </row>
    <row r="28299" spans="2:9" ht="15" customHeight="1" x14ac:dyDescent="0.25">
      <c r="B28299" s="55" t="s">
        <v>420</v>
      </c>
      <c r="C28299" s="46">
        <v>13</v>
      </c>
      <c r="D28299" s="69" t="s">
        <v>29557</v>
      </c>
      <c r="E28299" s="62"/>
      <c r="F28299" s="62" t="str">
        <f>IF(INDEX(I.Gas.P4Y1TotalGasEnergy,13)="","",INDEX(I.Gas.P4Y1TotalGasEnergy,13))</f>
        <v/>
      </c>
      <c r="G28299" s="62"/>
      <c r="H28299" s="46" t="str">
        <f>IF(I.Developer.P4=FALSE,"Complete",IF(I.Product.P4GasToPowerStatus&lt;&gt;"Yes","Complete",IF(AND(I.Gas.P4Y1Count&gt;=13,F28299=""),"Incomplete","Complete")))</f>
        <v>Complete</v>
      </c>
      <c r="I28299" s="48" t="s">
        <v>3478</v>
      </c>
    </row>
    <row r="28300" spans="2:9" ht="15" customHeight="1" x14ac:dyDescent="0.25">
      <c r="B28300" s="55" t="s">
        <v>420</v>
      </c>
      <c r="C28300" s="46">
        <v>14</v>
      </c>
      <c r="D28300" s="69" t="s">
        <v>29557</v>
      </c>
      <c r="E28300" s="62"/>
      <c r="F28300" s="62" t="str">
        <f>IF(INDEX(I.Gas.P4Y1TotalGasEnergy,14)="","",INDEX(I.Gas.P4Y1TotalGasEnergy,14))</f>
        <v/>
      </c>
      <c r="G28300" s="62"/>
      <c r="H28300" s="46" t="str">
        <f>IF(I.Developer.P4=FALSE,"Complete",IF(I.Product.P4GasToPowerStatus&lt;&gt;"Yes","Complete",IF(AND(I.Gas.P4Y1Count&gt;=14,F28300=""),"Incomplete","Complete")))</f>
        <v>Complete</v>
      </c>
      <c r="I28300" s="48" t="s">
        <v>3479</v>
      </c>
    </row>
    <row r="28301" spans="2:9" ht="15" customHeight="1" x14ac:dyDescent="0.25">
      <c r="B28301" s="55" t="s">
        <v>420</v>
      </c>
      <c r="C28301" s="46">
        <v>15</v>
      </c>
      <c r="D28301" s="69" t="s">
        <v>29557</v>
      </c>
      <c r="E28301" s="62"/>
      <c r="F28301" s="62" t="str">
        <f>IF(INDEX(I.Gas.P4Y1TotalGasEnergy,15)="","",INDEX(I.Gas.P4Y1TotalGasEnergy,15))</f>
        <v/>
      </c>
      <c r="G28301" s="62"/>
      <c r="H28301" s="46" t="str">
        <f>IF(I.Developer.P4=FALSE,"Complete",IF(I.Product.P4GasToPowerStatus&lt;&gt;"Yes","Complete",IF(AND(I.Gas.P4Y1Count&gt;=15,F28301=""),"Incomplete","Complete")))</f>
        <v>Complete</v>
      </c>
      <c r="I28301" s="48" t="s">
        <v>3480</v>
      </c>
    </row>
    <row r="28302" spans="2:9" ht="15" customHeight="1" x14ac:dyDescent="0.25">
      <c r="B28302" s="55" t="s">
        <v>420</v>
      </c>
      <c r="C28302" s="46">
        <v>16</v>
      </c>
      <c r="D28302" s="69" t="s">
        <v>29557</v>
      </c>
      <c r="E28302" s="62"/>
      <c r="F28302" s="62" t="str">
        <f>IF(INDEX(I.Gas.P4Y1TotalGasEnergy,16)="","",INDEX(I.Gas.P4Y1TotalGasEnergy,16))</f>
        <v/>
      </c>
      <c r="G28302" s="62"/>
      <c r="H28302" s="46" t="str">
        <f>IF(I.Developer.P4=FALSE,"Complete",IF(I.Product.P4GasToPowerStatus&lt;&gt;"Yes","Complete",IF(AND(I.Gas.P4Y1Count&gt;=16,F28302=""),"Incomplete","Complete")))</f>
        <v>Complete</v>
      </c>
      <c r="I28302" s="48" t="s">
        <v>3481</v>
      </c>
    </row>
    <row r="28303" spans="2:9" ht="15" customHeight="1" x14ac:dyDescent="0.25">
      <c r="B28303" s="55" t="s">
        <v>420</v>
      </c>
      <c r="C28303" s="46">
        <v>17</v>
      </c>
      <c r="D28303" s="69" t="s">
        <v>29557</v>
      </c>
      <c r="E28303" s="62"/>
      <c r="F28303" s="62" t="str">
        <f>IF(INDEX(I.Gas.P4Y1TotalGasEnergy,17)="","",INDEX(I.Gas.P4Y1TotalGasEnergy,17))</f>
        <v/>
      </c>
      <c r="G28303" s="62"/>
      <c r="H28303" s="46" t="str">
        <f>IF(I.Developer.P4=FALSE,"Complete",IF(I.Product.P4GasToPowerStatus&lt;&gt;"Yes","Complete",IF(AND(I.Gas.P4Y1Count&gt;=17,F28303=""),"Incomplete","Complete")))</f>
        <v>Complete</v>
      </c>
      <c r="I28303" s="48" t="s">
        <v>3482</v>
      </c>
    </row>
    <row r="28304" spans="2:9" ht="15" customHeight="1" x14ac:dyDescent="0.25">
      <c r="B28304" s="55" t="s">
        <v>420</v>
      </c>
      <c r="C28304" s="46">
        <v>18</v>
      </c>
      <c r="D28304" s="69" t="s">
        <v>29557</v>
      </c>
      <c r="E28304" s="62"/>
      <c r="F28304" s="62" t="str">
        <f>IF(INDEX(I.Gas.P4Y1TotalGasEnergy,18)="","",INDEX(I.Gas.P4Y1TotalGasEnergy,18))</f>
        <v/>
      </c>
      <c r="G28304" s="62"/>
      <c r="H28304" s="46" t="str">
        <f>IF(I.Developer.P4=FALSE,"Complete",IF(I.Product.P4GasToPowerStatus&lt;&gt;"Yes","Complete",IF(AND(I.Gas.P4Y1Count&gt;=18,F28304=""),"Incomplete","Complete")))</f>
        <v>Complete</v>
      </c>
      <c r="I28304" s="48" t="s">
        <v>3483</v>
      </c>
    </row>
    <row r="28305" spans="2:9" ht="15" customHeight="1" x14ac:dyDescent="0.25">
      <c r="B28305" s="55" t="s">
        <v>420</v>
      </c>
      <c r="C28305" s="46">
        <v>19</v>
      </c>
      <c r="D28305" s="69" t="s">
        <v>29557</v>
      </c>
      <c r="E28305" s="62"/>
      <c r="F28305" s="62" t="str">
        <f>IF(INDEX(I.Gas.P4Y1TotalGasEnergy,19)="","",INDEX(I.Gas.P4Y1TotalGasEnergy,19))</f>
        <v/>
      </c>
      <c r="G28305" s="62"/>
      <c r="H28305" s="46" t="str">
        <f>IF(I.Developer.P4=FALSE,"Complete",IF(I.Product.P4GasToPowerStatus&lt;&gt;"Yes","Complete",IF(AND(I.Gas.P4Y1Count&gt;=19,F28305=""),"Incomplete","Complete")))</f>
        <v>Complete</v>
      </c>
      <c r="I28305" s="48" t="s">
        <v>3484</v>
      </c>
    </row>
    <row r="28306" spans="2:9" ht="15" customHeight="1" x14ac:dyDescent="0.25">
      <c r="B28306" s="55" t="s">
        <v>420</v>
      </c>
      <c r="C28306" s="46">
        <v>20</v>
      </c>
      <c r="D28306" s="69" t="s">
        <v>29557</v>
      </c>
      <c r="E28306" s="62"/>
      <c r="F28306" s="62" t="str">
        <f>IF(INDEX(I.Gas.P4Y1TotalGasEnergy,20)="","",INDEX(I.Gas.P4Y1TotalGasEnergy,20))</f>
        <v/>
      </c>
      <c r="G28306" s="62"/>
      <c r="H28306" s="46" t="str">
        <f>IF(I.Developer.P4=FALSE,"Complete",IF(I.Product.P4GasToPowerStatus&lt;&gt;"Yes","Complete",IF(AND(I.Gas.P4Y1Count&gt;=20,F28306=""),"Incomplete","Complete")))</f>
        <v>Complete</v>
      </c>
      <c r="I28306" s="48" t="s">
        <v>3485</v>
      </c>
    </row>
    <row r="28307" spans="2:9" ht="15" customHeight="1" x14ac:dyDescent="0.25">
      <c r="B28307" s="55" t="s">
        <v>420</v>
      </c>
      <c r="C28307" s="46">
        <v>21</v>
      </c>
      <c r="D28307" s="69" t="s">
        <v>29557</v>
      </c>
      <c r="E28307" s="62"/>
      <c r="F28307" s="62" t="str">
        <f>IF(INDEX(I.Gas.P4Y1TotalGasEnergy,21)="","",INDEX(I.Gas.P4Y1TotalGasEnergy,21))</f>
        <v/>
      </c>
      <c r="G28307" s="62"/>
      <c r="H28307" s="46" t="str">
        <f>IF(I.Developer.P4=FALSE,"Complete",IF(I.Product.P4GasToPowerStatus&lt;&gt;"Yes","Complete",IF(AND(I.Gas.P4Y1Count&gt;=21,F28307=""),"Incomplete","Complete")))</f>
        <v>Complete</v>
      </c>
      <c r="I28307" s="48" t="s">
        <v>3486</v>
      </c>
    </row>
    <row r="28308" spans="2:9" ht="15" customHeight="1" x14ac:dyDescent="0.25">
      <c r="B28308" s="55" t="s">
        <v>420</v>
      </c>
      <c r="C28308" s="46">
        <v>22</v>
      </c>
      <c r="D28308" s="69" t="s">
        <v>29557</v>
      </c>
      <c r="E28308" s="62"/>
      <c r="F28308" s="62" t="str">
        <f>IF(INDEX(I.Gas.P4Y1TotalGasEnergy,22)="","",INDEX(I.Gas.P4Y1TotalGasEnergy,22))</f>
        <v/>
      </c>
      <c r="G28308" s="62"/>
      <c r="H28308" s="46" t="str">
        <f>IF(I.Developer.P4=FALSE,"Complete",IF(I.Product.P4GasToPowerStatus&lt;&gt;"Yes","Complete",IF(AND(I.Gas.P4Y1Count&gt;=22,F28308=""),"Incomplete","Complete")))</f>
        <v>Complete</v>
      </c>
      <c r="I28308" s="48" t="s">
        <v>3487</v>
      </c>
    </row>
    <row r="28309" spans="2:9" ht="15" customHeight="1" x14ac:dyDescent="0.25">
      <c r="B28309" s="55" t="s">
        <v>420</v>
      </c>
      <c r="C28309" s="46">
        <v>23</v>
      </c>
      <c r="D28309" s="69" t="s">
        <v>29557</v>
      </c>
      <c r="E28309" s="62"/>
      <c r="F28309" s="62" t="str">
        <f>IF(INDEX(I.Gas.P4Y1TotalGasEnergy,23)="","",INDEX(I.Gas.P4Y1TotalGasEnergy,23))</f>
        <v/>
      </c>
      <c r="G28309" s="62"/>
      <c r="H28309" s="46" t="str">
        <f>IF(I.Developer.P4=FALSE,"Complete",IF(I.Product.P4GasToPowerStatus&lt;&gt;"Yes","Complete",IF(AND(I.Gas.P4Y1Count&gt;=23,F28309=""),"Incomplete","Complete")))</f>
        <v>Complete</v>
      </c>
      <c r="I28309" s="48" t="s">
        <v>3488</v>
      </c>
    </row>
    <row r="28310" spans="2:9" ht="15" customHeight="1" x14ac:dyDescent="0.25">
      <c r="B28310" s="55" t="s">
        <v>420</v>
      </c>
      <c r="C28310" s="46">
        <v>24</v>
      </c>
      <c r="D28310" s="69" t="s">
        <v>29557</v>
      </c>
      <c r="E28310" s="62"/>
      <c r="F28310" s="62" t="str">
        <f>IF(INDEX(I.Gas.P4Y1TotalGasEnergy,24)="","",INDEX(I.Gas.P4Y1TotalGasEnergy,24))</f>
        <v/>
      </c>
      <c r="G28310" s="62"/>
      <c r="H28310" s="46" t="str">
        <f>IF(I.Developer.P4=FALSE,"Complete",IF(I.Product.P4GasToPowerStatus&lt;&gt;"Yes","Complete",IF(AND(I.Gas.P4Y1Count&gt;=24,F28310=""),"Incomplete","Complete")))</f>
        <v>Complete</v>
      </c>
      <c r="I28310" s="48" t="s">
        <v>3489</v>
      </c>
    </row>
    <row r="28311" spans="2:9" ht="15" customHeight="1" x14ac:dyDescent="0.25">
      <c r="B28311" s="55" t="s">
        <v>420</v>
      </c>
      <c r="C28311" s="46">
        <v>25</v>
      </c>
      <c r="D28311" s="69" t="s">
        <v>29557</v>
      </c>
      <c r="E28311" s="62"/>
      <c r="F28311" s="62" t="str">
        <f>IF(INDEX(I.Gas.P4Y1TotalGasEnergy,25)="","",INDEX(I.Gas.P4Y1TotalGasEnergy,25))</f>
        <v/>
      </c>
      <c r="G28311" s="62"/>
      <c r="H28311" s="46" t="str">
        <f>IF(I.Developer.P4=FALSE,"Complete",IF(I.Product.P4GasToPowerStatus&lt;&gt;"Yes","Complete",IF(AND(I.Gas.P4Y1Count&gt;=25,F28311=""),"Incomplete","Complete")))</f>
        <v>Complete</v>
      </c>
      <c r="I28311" s="48" t="s">
        <v>3490</v>
      </c>
    </row>
    <row r="28312" spans="2:9" ht="15" customHeight="1" x14ac:dyDescent="0.25">
      <c r="B28312" s="55" t="s">
        <v>420</v>
      </c>
      <c r="C28312" s="46">
        <v>26</v>
      </c>
      <c r="D28312" s="69" t="s">
        <v>29557</v>
      </c>
      <c r="E28312" s="62"/>
      <c r="F28312" s="62" t="str">
        <f>IF(INDEX(I.Gas.P4Y1TotalGasEnergy,26)="","",INDEX(I.Gas.P4Y1TotalGasEnergy,26))</f>
        <v/>
      </c>
      <c r="G28312" s="62"/>
      <c r="H28312" s="46" t="str">
        <f>IF(I.Developer.P4=FALSE,"Complete",IF(I.Product.P4GasToPowerStatus&lt;&gt;"Yes","Complete",IF(AND(I.Gas.P4Y1Count&gt;=26,F28312=""),"Incomplete","Complete")))</f>
        <v>Complete</v>
      </c>
      <c r="I28312" s="48" t="s">
        <v>3491</v>
      </c>
    </row>
    <row r="28313" spans="2:9" ht="15" customHeight="1" x14ac:dyDescent="0.25">
      <c r="B28313" s="55" t="s">
        <v>420</v>
      </c>
      <c r="C28313" s="46">
        <v>27</v>
      </c>
      <c r="D28313" s="69" t="s">
        <v>29557</v>
      </c>
      <c r="E28313" s="62"/>
      <c r="F28313" s="62" t="str">
        <f>IF(INDEX(I.Gas.P4Y1TotalGasEnergy,27)="","",INDEX(I.Gas.P4Y1TotalGasEnergy,27))</f>
        <v/>
      </c>
      <c r="G28313" s="62"/>
      <c r="H28313" s="46" t="str">
        <f>IF(I.Developer.P4=FALSE,"Complete",IF(I.Product.P4GasToPowerStatus&lt;&gt;"Yes","Complete",IF(AND(I.Gas.P4Y1Count&gt;=27,F28313=""),"Incomplete","Complete")))</f>
        <v>Complete</v>
      </c>
      <c r="I28313" s="48" t="s">
        <v>3492</v>
      </c>
    </row>
    <row r="28314" spans="2:9" ht="15" customHeight="1" x14ac:dyDescent="0.25">
      <c r="B28314" s="55" t="s">
        <v>420</v>
      </c>
      <c r="C28314" s="46">
        <v>28</v>
      </c>
      <c r="D28314" s="69" t="s">
        <v>29557</v>
      </c>
      <c r="E28314" s="62"/>
      <c r="F28314" s="62" t="str">
        <f>IF(INDEX(I.Gas.P4Y1TotalGasEnergy,28)="","",INDEX(I.Gas.P4Y1TotalGasEnergy,28))</f>
        <v/>
      </c>
      <c r="G28314" s="62"/>
      <c r="H28314" s="46" t="str">
        <f>IF(I.Developer.P4=FALSE,"Complete",IF(I.Product.P4GasToPowerStatus&lt;&gt;"Yes","Complete",IF(AND(I.Gas.P4Y1Count&gt;=28,F28314=""),"Incomplete","Complete")))</f>
        <v>Complete</v>
      </c>
      <c r="I28314" s="48" t="s">
        <v>3493</v>
      </c>
    </row>
    <row r="28315" spans="2:9" ht="15" customHeight="1" x14ac:dyDescent="0.25">
      <c r="B28315" s="55" t="s">
        <v>420</v>
      </c>
      <c r="C28315" s="46">
        <v>29</v>
      </c>
      <c r="D28315" s="69" t="s">
        <v>29557</v>
      </c>
      <c r="E28315" s="62"/>
      <c r="F28315" s="62" t="str">
        <f>IF(INDEX(I.Gas.P4Y1TotalGasEnergy,29)="","",INDEX(I.Gas.P4Y1TotalGasEnergy,29))</f>
        <v/>
      </c>
      <c r="G28315" s="62"/>
      <c r="H28315" s="46" t="str">
        <f>IF(I.Developer.P4=FALSE,"Complete",IF(I.Product.P4GasToPowerStatus&lt;&gt;"Yes","Complete",IF(AND(I.Gas.P4Y1Count&gt;=29,F28315=""),"Incomplete","Complete")))</f>
        <v>Complete</v>
      </c>
      <c r="I28315" s="48" t="s">
        <v>3494</v>
      </c>
    </row>
    <row r="28316" spans="2:9" ht="15" customHeight="1" x14ac:dyDescent="0.25">
      <c r="B28316" s="55" t="s">
        <v>420</v>
      </c>
      <c r="C28316" s="46">
        <v>30</v>
      </c>
      <c r="D28316" s="69" t="s">
        <v>29557</v>
      </c>
      <c r="E28316" s="62"/>
      <c r="F28316" s="62" t="str">
        <f>IF(INDEX(I.Gas.P4Y1TotalGasEnergy,30)="","",INDEX(I.Gas.P4Y1TotalGasEnergy,30))</f>
        <v/>
      </c>
      <c r="G28316" s="62"/>
      <c r="H28316" s="46" t="str">
        <f>IF(I.Developer.P4=FALSE,"Complete",IF(I.Product.P4GasToPowerStatus&lt;&gt;"Yes","Complete",IF(AND(I.Gas.P4Y1Count&gt;=30,F28316=""),"Incomplete","Complete")))</f>
        <v>Complete</v>
      </c>
      <c r="I28316" s="48" t="s">
        <v>3495</v>
      </c>
    </row>
    <row r="28317" spans="2:9" ht="15" customHeight="1" x14ac:dyDescent="0.25">
      <c r="B28317" s="55" t="s">
        <v>420</v>
      </c>
      <c r="C28317" s="46">
        <v>31</v>
      </c>
      <c r="D28317" s="69" t="s">
        <v>29557</v>
      </c>
      <c r="E28317" s="62"/>
      <c r="F28317" s="62" t="str">
        <f>IF(INDEX(I.Gas.P4Y1TotalGasEnergy,31)="","",INDEX(I.Gas.P4Y1TotalGasEnergy,31))</f>
        <v/>
      </c>
      <c r="G28317" s="62"/>
      <c r="H28317" s="46" t="str">
        <f>IF(I.Developer.P4=FALSE,"Complete",IF(I.Product.P4GasToPowerStatus&lt;&gt;"Yes","Complete",IF(AND(I.Gas.P4Y1Count&gt;=31,F28317=""),"Incomplete","Complete")))</f>
        <v>Complete</v>
      </c>
      <c r="I28317" s="48" t="s">
        <v>3496</v>
      </c>
    </row>
    <row r="28318" spans="2:9" ht="15" customHeight="1" x14ac:dyDescent="0.25">
      <c r="B28318" s="55" t="s">
        <v>420</v>
      </c>
      <c r="C28318" s="46">
        <v>32</v>
      </c>
      <c r="D28318" s="69" t="s">
        <v>29557</v>
      </c>
      <c r="E28318" s="62"/>
      <c r="F28318" s="62" t="str">
        <f>IF(INDEX(I.Gas.P4Y1TotalGasEnergy,32)="","",INDEX(I.Gas.P4Y1TotalGasEnergy,32))</f>
        <v/>
      </c>
      <c r="G28318" s="62"/>
      <c r="H28318" s="46" t="str">
        <f>IF(I.Developer.P4=FALSE,"Complete",IF(I.Product.P4GasToPowerStatus&lt;&gt;"Yes","Complete",IF(AND(I.Gas.P4Y1Count&gt;=32,F28318=""),"Incomplete","Complete")))</f>
        <v>Complete</v>
      </c>
      <c r="I28318" s="48" t="s">
        <v>3497</v>
      </c>
    </row>
    <row r="28319" spans="2:9" ht="15" customHeight="1" x14ac:dyDescent="0.25">
      <c r="B28319" s="55" t="s">
        <v>420</v>
      </c>
      <c r="C28319" s="46">
        <v>33</v>
      </c>
      <c r="D28319" s="69" t="s">
        <v>29557</v>
      </c>
      <c r="E28319" s="62"/>
      <c r="F28319" s="62" t="str">
        <f>IF(INDEX(I.Gas.P4Y1TotalGasEnergy,33)="","",INDEX(I.Gas.P4Y1TotalGasEnergy,33))</f>
        <v/>
      </c>
      <c r="G28319" s="62"/>
      <c r="H28319" s="46" t="str">
        <f>IF(I.Developer.P4=FALSE,"Complete",IF(I.Product.P4GasToPowerStatus&lt;&gt;"Yes","Complete",IF(AND(I.Gas.P4Y1Count&gt;=33,F28319=""),"Incomplete","Complete")))</f>
        <v>Complete</v>
      </c>
      <c r="I28319" s="48" t="s">
        <v>3498</v>
      </c>
    </row>
    <row r="28320" spans="2:9" ht="15" customHeight="1" x14ac:dyDescent="0.25">
      <c r="B28320" s="55" t="s">
        <v>420</v>
      </c>
      <c r="C28320" s="46">
        <v>34</v>
      </c>
      <c r="D28320" s="69" t="s">
        <v>29557</v>
      </c>
      <c r="E28320" s="62"/>
      <c r="F28320" s="62" t="str">
        <f>IF(INDEX(I.Gas.P4Y1TotalGasEnergy,34)="","",INDEX(I.Gas.P4Y1TotalGasEnergy,34))</f>
        <v/>
      </c>
      <c r="G28320" s="62"/>
      <c r="H28320" s="46" t="str">
        <f>IF(I.Developer.P4=FALSE,"Complete",IF(I.Product.P4GasToPowerStatus&lt;&gt;"Yes","Complete",IF(AND(I.Gas.P4Y1Count&gt;=34,F28320=""),"Incomplete","Complete")))</f>
        <v>Complete</v>
      </c>
      <c r="I28320" s="48" t="s">
        <v>3499</v>
      </c>
    </row>
    <row r="28321" spans="2:9" ht="15" customHeight="1" x14ac:dyDescent="0.25">
      <c r="B28321" s="55" t="s">
        <v>420</v>
      </c>
      <c r="C28321" s="46">
        <v>35</v>
      </c>
      <c r="D28321" s="69" t="s">
        <v>29557</v>
      </c>
      <c r="E28321" s="62"/>
      <c r="F28321" s="62" t="str">
        <f>IF(INDEX(I.Gas.P4Y1TotalGasEnergy,35)="","",INDEX(I.Gas.P4Y1TotalGasEnergy,35))</f>
        <v/>
      </c>
      <c r="G28321" s="62"/>
      <c r="H28321" s="46" t="str">
        <f>IF(I.Developer.P4=FALSE,"Complete",IF(I.Product.P4GasToPowerStatus&lt;&gt;"Yes","Complete",IF(AND(I.Gas.P4Y1Count&gt;=35,F28321=""),"Incomplete","Complete")))</f>
        <v>Complete</v>
      </c>
      <c r="I28321" s="48" t="s">
        <v>3500</v>
      </c>
    </row>
    <row r="28322" spans="2:9" ht="15" customHeight="1" x14ac:dyDescent="0.25">
      <c r="B28322" s="55" t="s">
        <v>420</v>
      </c>
      <c r="C28322" s="46">
        <v>36</v>
      </c>
      <c r="D28322" s="69" t="s">
        <v>29557</v>
      </c>
      <c r="E28322" s="62"/>
      <c r="F28322" s="62" t="str">
        <f>IF(INDEX(I.Gas.P4Y1TotalGasEnergy,36)="","",INDEX(I.Gas.P4Y1TotalGasEnergy,36))</f>
        <v/>
      </c>
      <c r="G28322" s="62"/>
      <c r="H28322" s="46" t="str">
        <f>IF(I.Developer.P4=FALSE,"Complete",IF(I.Product.P4GasToPowerStatus&lt;&gt;"Yes","Complete",IF(AND(I.Gas.P4Y1Count&gt;=36,F28322=""),"Incomplete","Complete")))</f>
        <v>Complete</v>
      </c>
      <c r="I28322" s="48" t="s">
        <v>3501</v>
      </c>
    </row>
    <row r="28323" spans="2:9" ht="15" customHeight="1" x14ac:dyDescent="0.25">
      <c r="B28323" s="55" t="s">
        <v>420</v>
      </c>
      <c r="C28323" s="46">
        <v>37</v>
      </c>
      <c r="D28323" s="69" t="s">
        <v>29557</v>
      </c>
      <c r="E28323" s="62"/>
      <c r="F28323" s="62" t="str">
        <f>IF(INDEX(I.Gas.P4Y1TotalGasEnergy,37)="","",INDEX(I.Gas.P4Y1TotalGasEnergy,37))</f>
        <v/>
      </c>
      <c r="G28323" s="62"/>
      <c r="H28323" s="46" t="str">
        <f>IF(I.Developer.P4=FALSE,"Complete",IF(I.Product.P4GasToPowerStatus&lt;&gt;"Yes","Complete",IF(AND(I.Gas.P4Y1Count&gt;=37,F28323=""),"Incomplete","Complete")))</f>
        <v>Complete</v>
      </c>
      <c r="I28323" s="48" t="s">
        <v>3502</v>
      </c>
    </row>
    <row r="28324" spans="2:9" ht="15" customHeight="1" x14ac:dyDescent="0.25">
      <c r="B28324" s="55" t="s">
        <v>420</v>
      </c>
      <c r="C28324" s="46">
        <v>38</v>
      </c>
      <c r="D28324" s="69" t="s">
        <v>29557</v>
      </c>
      <c r="E28324" s="62"/>
      <c r="F28324" s="62" t="str">
        <f>IF(INDEX(I.Gas.P4Y1TotalGasEnergy,38)="","",INDEX(I.Gas.P4Y1TotalGasEnergy,38))</f>
        <v/>
      </c>
      <c r="G28324" s="62"/>
      <c r="H28324" s="46" t="str">
        <f>IF(I.Developer.P4=FALSE,"Complete",IF(I.Product.P4GasToPowerStatus&lt;&gt;"Yes","Complete",IF(AND(I.Gas.P4Y1Count&gt;=38,F28324=""),"Incomplete","Complete")))</f>
        <v>Complete</v>
      </c>
      <c r="I28324" s="48" t="s">
        <v>3503</v>
      </c>
    </row>
    <row r="28325" spans="2:9" ht="15" customHeight="1" x14ac:dyDescent="0.25">
      <c r="B28325" s="55" t="s">
        <v>420</v>
      </c>
      <c r="C28325" s="46">
        <v>39</v>
      </c>
      <c r="D28325" s="69" t="s">
        <v>29557</v>
      </c>
      <c r="E28325" s="62"/>
      <c r="F28325" s="62" t="str">
        <f>IF(INDEX(I.Gas.P4Y1TotalGasEnergy,39)="","",INDEX(I.Gas.P4Y1TotalGasEnergy,39))</f>
        <v/>
      </c>
      <c r="G28325" s="62"/>
      <c r="H28325" s="46" t="str">
        <f>IF(I.Developer.P4=FALSE,"Complete",IF(I.Product.P4GasToPowerStatus&lt;&gt;"Yes","Complete",IF(AND(I.Gas.P4Y1Count&gt;=39,F28325=""),"Incomplete","Complete")))</f>
        <v>Complete</v>
      </c>
      <c r="I28325" s="48" t="s">
        <v>3504</v>
      </c>
    </row>
    <row r="28326" spans="2:9" ht="15" customHeight="1" x14ac:dyDescent="0.25">
      <c r="B28326" s="55" t="s">
        <v>420</v>
      </c>
      <c r="C28326" s="46">
        <v>40</v>
      </c>
      <c r="D28326" s="69" t="s">
        <v>29557</v>
      </c>
      <c r="E28326" s="62"/>
      <c r="F28326" s="62" t="str">
        <f>IF(INDEX(I.Gas.P4Y1TotalGasEnergy,40)="","",INDEX(I.Gas.P4Y1TotalGasEnergy,40))</f>
        <v/>
      </c>
      <c r="G28326" s="62"/>
      <c r="H28326" s="46" t="str">
        <f>IF(I.Developer.P4=FALSE,"Complete",IF(I.Product.P4GasToPowerStatus&lt;&gt;"Yes","Complete",IF(AND(I.Gas.P4Y1Count&gt;=40,F28326=""),"Incomplete","Complete")))</f>
        <v>Complete</v>
      </c>
      <c r="I28326" s="48" t="s">
        <v>3505</v>
      </c>
    </row>
    <row r="28327" spans="2:9" ht="15" customHeight="1" x14ac:dyDescent="0.25">
      <c r="B28327" s="55" t="s">
        <v>420</v>
      </c>
      <c r="C28327" s="46">
        <v>41</v>
      </c>
      <c r="D28327" s="69" t="s">
        <v>29557</v>
      </c>
      <c r="E28327" s="62"/>
      <c r="F28327" s="62" t="str">
        <f>IF(INDEX(I.Gas.P4Y1TotalGasEnergy,41)="","",INDEX(I.Gas.P4Y1TotalGasEnergy,41))</f>
        <v/>
      </c>
      <c r="G28327" s="62"/>
      <c r="H28327" s="46" t="str">
        <f>IF(I.Developer.P4=FALSE,"Complete",IF(I.Product.P4GasToPowerStatus&lt;&gt;"Yes","Complete",IF(AND(I.Gas.P4Y1Count&gt;=41,F28327=""),"Incomplete","Complete")))</f>
        <v>Complete</v>
      </c>
      <c r="I28327" s="48" t="s">
        <v>3506</v>
      </c>
    </row>
    <row r="28328" spans="2:9" ht="15" customHeight="1" x14ac:dyDescent="0.25">
      <c r="B28328" s="55" t="s">
        <v>420</v>
      </c>
      <c r="C28328" s="46">
        <v>42</v>
      </c>
      <c r="D28328" s="69" t="s">
        <v>29557</v>
      </c>
      <c r="E28328" s="62"/>
      <c r="F28328" s="62" t="str">
        <f>IF(INDEX(I.Gas.P4Y1TotalGasEnergy,42)="","",INDEX(I.Gas.P4Y1TotalGasEnergy,42))</f>
        <v/>
      </c>
      <c r="G28328" s="62"/>
      <c r="H28328" s="46" t="str">
        <f>IF(I.Developer.P4=FALSE,"Complete",IF(I.Product.P4GasToPowerStatus&lt;&gt;"Yes","Complete",IF(AND(I.Gas.P4Y1Count&gt;=42,F28328=""),"Incomplete","Complete")))</f>
        <v>Complete</v>
      </c>
      <c r="I28328" s="48" t="s">
        <v>3507</v>
      </c>
    </row>
    <row r="28329" spans="2:9" ht="15" customHeight="1" x14ac:dyDescent="0.25">
      <c r="B28329" s="55" t="s">
        <v>420</v>
      </c>
      <c r="C28329" s="46">
        <v>43</v>
      </c>
      <c r="D28329" s="69" t="s">
        <v>29557</v>
      </c>
      <c r="E28329" s="62"/>
      <c r="F28329" s="62" t="str">
        <f>IF(INDEX(I.Gas.P4Y1TotalGasEnergy,43)="","",INDEX(I.Gas.P4Y1TotalGasEnergy,43))</f>
        <v/>
      </c>
      <c r="G28329" s="62"/>
      <c r="H28329" s="46" t="str">
        <f>IF(I.Developer.P4=FALSE,"Complete",IF(I.Product.P4GasToPowerStatus&lt;&gt;"Yes","Complete",IF(AND(I.Gas.P4Y1Count&gt;=43,F28329=""),"Incomplete","Complete")))</f>
        <v>Complete</v>
      </c>
      <c r="I28329" s="48" t="s">
        <v>3508</v>
      </c>
    </row>
    <row r="28330" spans="2:9" ht="15" customHeight="1" x14ac:dyDescent="0.25">
      <c r="B28330" s="55" t="s">
        <v>420</v>
      </c>
      <c r="C28330" s="46">
        <v>44</v>
      </c>
      <c r="D28330" s="69" t="s">
        <v>29557</v>
      </c>
      <c r="E28330" s="62"/>
      <c r="F28330" s="62" t="str">
        <f>IF(INDEX(I.Gas.P4Y1TotalGasEnergy,44)="","",INDEX(I.Gas.P4Y1TotalGasEnergy,44))</f>
        <v/>
      </c>
      <c r="G28330" s="62"/>
      <c r="H28330" s="46" t="str">
        <f>IF(I.Developer.P4=FALSE,"Complete",IF(I.Product.P4GasToPowerStatus&lt;&gt;"Yes","Complete",IF(AND(I.Gas.P4Y1Count&gt;=44,F28330=""),"Incomplete","Complete")))</f>
        <v>Complete</v>
      </c>
      <c r="I28330" s="48" t="s">
        <v>3509</v>
      </c>
    </row>
    <row r="28331" spans="2:9" ht="15" customHeight="1" x14ac:dyDescent="0.25">
      <c r="B28331" s="55" t="s">
        <v>420</v>
      </c>
      <c r="C28331" s="46">
        <v>45</v>
      </c>
      <c r="D28331" s="69" t="s">
        <v>29557</v>
      </c>
      <c r="E28331" s="62"/>
      <c r="F28331" s="62" t="str">
        <f>IF(INDEX(I.Gas.P4Y1TotalGasEnergy,45)="","",INDEX(I.Gas.P4Y1TotalGasEnergy,45))</f>
        <v/>
      </c>
      <c r="G28331" s="62"/>
      <c r="H28331" s="46" t="str">
        <f>IF(I.Developer.P4=FALSE,"Complete",IF(I.Product.P4GasToPowerStatus&lt;&gt;"Yes","Complete",IF(AND(I.Gas.P4Y1Count&gt;=45,F28331=""),"Incomplete","Complete")))</f>
        <v>Complete</v>
      </c>
      <c r="I28331" s="48" t="s">
        <v>3510</v>
      </c>
    </row>
    <row r="28332" spans="2:9" ht="15" customHeight="1" x14ac:dyDescent="0.25">
      <c r="B28332" s="55" t="s">
        <v>420</v>
      </c>
      <c r="C28332" s="46">
        <v>46</v>
      </c>
      <c r="D28332" s="69" t="s">
        <v>29557</v>
      </c>
      <c r="E28332" s="62"/>
      <c r="F28332" s="62" t="str">
        <f>IF(INDEX(I.Gas.P4Y1TotalGasEnergy,46)="","",INDEX(I.Gas.P4Y1TotalGasEnergy,46))</f>
        <v/>
      </c>
      <c r="G28332" s="62"/>
      <c r="H28332" s="46" t="str">
        <f>IF(I.Developer.P4=FALSE,"Complete",IF(I.Product.P4GasToPowerStatus&lt;&gt;"Yes","Complete",IF(AND(I.Gas.P4Y1Count&gt;=46,F28332=""),"Incomplete","Complete")))</f>
        <v>Complete</v>
      </c>
      <c r="I28332" s="48" t="s">
        <v>3511</v>
      </c>
    </row>
    <row r="28333" spans="2:9" ht="15" customHeight="1" x14ac:dyDescent="0.25">
      <c r="B28333" s="55" t="s">
        <v>420</v>
      </c>
      <c r="C28333" s="46">
        <v>47</v>
      </c>
      <c r="D28333" s="69" t="s">
        <v>29557</v>
      </c>
      <c r="E28333" s="62"/>
      <c r="F28333" s="62" t="str">
        <f>IF(INDEX(I.Gas.P4Y1TotalGasEnergy,47)="","",INDEX(I.Gas.P4Y1TotalGasEnergy,47))</f>
        <v/>
      </c>
      <c r="G28333" s="62"/>
      <c r="H28333" s="46" t="str">
        <f>IF(I.Developer.P4=FALSE,"Complete",IF(I.Product.P4GasToPowerStatus&lt;&gt;"Yes","Complete",IF(AND(I.Gas.P4Y1Count&gt;=47,F28333=""),"Incomplete","Complete")))</f>
        <v>Complete</v>
      </c>
      <c r="I28333" s="48" t="s">
        <v>3512</v>
      </c>
    </row>
    <row r="28334" spans="2:9" ht="15" customHeight="1" x14ac:dyDescent="0.25">
      <c r="B28334" s="55" t="s">
        <v>420</v>
      </c>
      <c r="C28334" s="46">
        <v>48</v>
      </c>
      <c r="D28334" s="69" t="s">
        <v>29557</v>
      </c>
      <c r="E28334" s="62"/>
      <c r="F28334" s="62" t="str">
        <f>IF(INDEX(I.Gas.P4Y1TotalGasEnergy,48)="","",INDEX(I.Gas.P4Y1TotalGasEnergy,48))</f>
        <v/>
      </c>
      <c r="G28334" s="62"/>
      <c r="H28334" s="46" t="str">
        <f>IF(I.Developer.P4=FALSE,"Complete",IF(I.Product.P4GasToPowerStatus&lt;&gt;"Yes","Complete",IF(AND(I.Gas.P4Y1Count&gt;=48,F28334=""),"Incomplete","Complete")))</f>
        <v>Complete</v>
      </c>
      <c r="I28334" s="48" t="s">
        <v>3513</v>
      </c>
    </row>
    <row r="28335" spans="2:9" ht="15" customHeight="1" x14ac:dyDescent="0.25">
      <c r="B28335" s="55" t="s">
        <v>420</v>
      </c>
      <c r="C28335" s="46">
        <v>49</v>
      </c>
      <c r="D28335" s="69" t="s">
        <v>29557</v>
      </c>
      <c r="E28335" s="62"/>
      <c r="F28335" s="62" t="str">
        <f>IF(INDEX(I.Gas.P4Y1TotalGasEnergy,49)="","",INDEX(I.Gas.P4Y1TotalGasEnergy,49))</f>
        <v/>
      </c>
      <c r="G28335" s="62"/>
      <c r="H28335" s="46" t="str">
        <f>IF(I.Developer.P4=FALSE,"Complete",IF(I.Product.P4GasToPowerStatus&lt;&gt;"Yes","Complete",IF(AND(I.Gas.P4Y1Count&gt;=49,F28335=""),"Incomplete","Complete")))</f>
        <v>Complete</v>
      </c>
      <c r="I28335" s="48" t="s">
        <v>3514</v>
      </c>
    </row>
    <row r="28336" spans="2:9" ht="15" customHeight="1" x14ac:dyDescent="0.25">
      <c r="B28336" s="56" t="s">
        <v>420</v>
      </c>
      <c r="C28336" s="57">
        <v>50</v>
      </c>
      <c r="D28336" s="71" t="s">
        <v>29557</v>
      </c>
      <c r="E28336" s="61"/>
      <c r="F28336" s="61" t="str">
        <f>IF(INDEX(I.Gas.P4Y1TotalGasEnergy,50)="","",INDEX(I.Gas.P4Y1TotalGasEnergy,50))</f>
        <v/>
      </c>
      <c r="G28336" s="61"/>
      <c r="H28336" s="57" t="str">
        <f>IF(I.Developer.P4=FALSE,"Complete",IF(I.Product.P4GasToPowerStatus&lt;&gt;"Yes","Complete",IF(AND(I.Gas.P4Y1Count&gt;=50,F28336=""),"Incomplete","Complete")))</f>
        <v>Complete</v>
      </c>
      <c r="I28336" s="49" t="s">
        <v>3515</v>
      </c>
    </row>
    <row r="28337" spans="2:9" ht="15" customHeight="1" x14ac:dyDescent="0.25">
      <c r="B28337" s="55" t="s">
        <v>421</v>
      </c>
      <c r="C28337" s="46">
        <v>1</v>
      </c>
      <c r="D28337" s="69" t="s">
        <v>29558</v>
      </c>
      <c r="E28337" s="62"/>
      <c r="F28337" s="62" t="str">
        <f>IF(INDEX(I.Gas.P4Y1ElectricityGeneration,1)="","",INDEX(I.Gas.P4Y1ElectricityGeneration,1))</f>
        <v/>
      </c>
      <c r="G28337" s="62"/>
      <c r="H28337" s="46" t="str">
        <f>IF(I.Developer.P4=FALSE,"Complete",IF(I.Product.P4GasToPowerStatus&lt;&gt;"Yes","Complete",IF(AND(I.Gas.P4Y1Count&gt;=1,F28337=""),"Incomplete","Complete")))</f>
        <v>Complete</v>
      </c>
      <c r="I28337" s="48" t="s">
        <v>3516</v>
      </c>
    </row>
    <row r="28338" spans="2:9" ht="15" customHeight="1" x14ac:dyDescent="0.25">
      <c r="B28338" s="55" t="s">
        <v>421</v>
      </c>
      <c r="C28338" s="46">
        <v>2</v>
      </c>
      <c r="D28338" s="69" t="s">
        <v>29558</v>
      </c>
      <c r="E28338" s="62"/>
      <c r="F28338" s="62" t="str">
        <f>IF(INDEX(I.Gas.P4Y1ElectricityGeneration,2)="","",INDEX(I.Gas.P4Y1ElectricityGeneration,2))</f>
        <v/>
      </c>
      <c r="G28338" s="62"/>
      <c r="H28338" s="46" t="str">
        <f>IF(I.Developer.P4=FALSE,"Complete",IF(I.Product.P4GasToPowerStatus&lt;&gt;"Yes","Complete",IF(AND(I.Gas.P4Y1Count&gt;=2,F28338=""),"Incomplete","Complete")))</f>
        <v>Complete</v>
      </c>
      <c r="I28338" s="48" t="s">
        <v>3517</v>
      </c>
    </row>
    <row r="28339" spans="2:9" ht="15" customHeight="1" x14ac:dyDescent="0.25">
      <c r="B28339" s="55" t="s">
        <v>421</v>
      </c>
      <c r="C28339" s="46">
        <v>3</v>
      </c>
      <c r="D28339" s="69" t="s">
        <v>29558</v>
      </c>
      <c r="E28339" s="62"/>
      <c r="F28339" s="62" t="str">
        <f>IF(INDEX(I.Gas.P4Y1ElectricityGeneration,3)="","",INDEX(I.Gas.P4Y1ElectricityGeneration,3))</f>
        <v/>
      </c>
      <c r="G28339" s="62"/>
      <c r="H28339" s="46" t="str">
        <f>IF(I.Developer.P4=FALSE,"Complete",IF(I.Product.P4GasToPowerStatus&lt;&gt;"Yes","Complete",IF(AND(I.Gas.P4Y1Count&gt;=3,F28339=""),"Incomplete","Complete")))</f>
        <v>Complete</v>
      </c>
      <c r="I28339" s="48" t="s">
        <v>3518</v>
      </c>
    </row>
    <row r="28340" spans="2:9" ht="15" customHeight="1" x14ac:dyDescent="0.25">
      <c r="B28340" s="55" t="s">
        <v>421</v>
      </c>
      <c r="C28340" s="46">
        <v>4</v>
      </c>
      <c r="D28340" s="69" t="s">
        <v>29558</v>
      </c>
      <c r="E28340" s="62"/>
      <c r="F28340" s="62" t="str">
        <f>IF(INDEX(I.Gas.P4Y1ElectricityGeneration,4)="","",INDEX(I.Gas.P4Y1ElectricityGeneration,4))</f>
        <v/>
      </c>
      <c r="G28340" s="62"/>
      <c r="H28340" s="46" t="str">
        <f>IF(I.Developer.P4=FALSE,"Complete",IF(I.Product.P4GasToPowerStatus&lt;&gt;"Yes","Complete",IF(AND(I.Gas.P4Y1Count&gt;=4,F28340=""),"Incomplete","Complete")))</f>
        <v>Complete</v>
      </c>
      <c r="I28340" s="48" t="s">
        <v>3519</v>
      </c>
    </row>
    <row r="28341" spans="2:9" ht="15" customHeight="1" x14ac:dyDescent="0.25">
      <c r="B28341" s="55" t="s">
        <v>421</v>
      </c>
      <c r="C28341" s="46">
        <v>5</v>
      </c>
      <c r="D28341" s="69" t="s">
        <v>29558</v>
      </c>
      <c r="E28341" s="62"/>
      <c r="F28341" s="62" t="str">
        <f>IF(INDEX(I.Gas.P4Y1ElectricityGeneration,5)="","",INDEX(I.Gas.P4Y1ElectricityGeneration,5))</f>
        <v/>
      </c>
      <c r="G28341" s="62"/>
      <c r="H28341" s="46" t="str">
        <f>IF(I.Developer.P4=FALSE,"Complete",IF(I.Product.P4GasToPowerStatus&lt;&gt;"Yes","Complete",IF(AND(I.Gas.P4Y1Count&gt;=5,F28341=""),"Incomplete","Complete")))</f>
        <v>Complete</v>
      </c>
      <c r="I28341" s="48" t="s">
        <v>3520</v>
      </c>
    </row>
    <row r="28342" spans="2:9" ht="15" customHeight="1" x14ac:dyDescent="0.25">
      <c r="B28342" s="55" t="s">
        <v>421</v>
      </c>
      <c r="C28342" s="46">
        <v>6</v>
      </c>
      <c r="D28342" s="69" t="s">
        <v>29558</v>
      </c>
      <c r="E28342" s="62"/>
      <c r="F28342" s="62" t="str">
        <f>IF(INDEX(I.Gas.P4Y1ElectricityGeneration,6)="","",INDEX(I.Gas.P4Y1ElectricityGeneration,6))</f>
        <v/>
      </c>
      <c r="G28342" s="62"/>
      <c r="H28342" s="46" t="str">
        <f>IF(I.Developer.P4=FALSE,"Complete",IF(I.Product.P4GasToPowerStatus&lt;&gt;"Yes","Complete",IF(AND(I.Gas.P4Y1Count&gt;=6,F28342=""),"Incomplete","Complete")))</f>
        <v>Complete</v>
      </c>
      <c r="I28342" s="48" t="s">
        <v>3521</v>
      </c>
    </row>
    <row r="28343" spans="2:9" ht="15" customHeight="1" x14ac:dyDescent="0.25">
      <c r="B28343" s="55" t="s">
        <v>421</v>
      </c>
      <c r="C28343" s="46">
        <v>7</v>
      </c>
      <c r="D28343" s="69" t="s">
        <v>29558</v>
      </c>
      <c r="E28343" s="62"/>
      <c r="F28343" s="62" t="str">
        <f>IF(INDEX(I.Gas.P4Y1ElectricityGeneration,7)="","",INDEX(I.Gas.P4Y1ElectricityGeneration,7))</f>
        <v/>
      </c>
      <c r="G28343" s="62"/>
      <c r="H28343" s="46" t="str">
        <f>IF(I.Developer.P4=FALSE,"Complete",IF(I.Product.P4GasToPowerStatus&lt;&gt;"Yes","Complete",IF(AND(I.Gas.P4Y1Count&gt;=7,F28343=""),"Incomplete","Complete")))</f>
        <v>Complete</v>
      </c>
      <c r="I28343" s="48" t="s">
        <v>3522</v>
      </c>
    </row>
    <row r="28344" spans="2:9" ht="15" customHeight="1" x14ac:dyDescent="0.25">
      <c r="B28344" s="55" t="s">
        <v>421</v>
      </c>
      <c r="C28344" s="46">
        <v>8</v>
      </c>
      <c r="D28344" s="69" t="s">
        <v>29558</v>
      </c>
      <c r="E28344" s="62"/>
      <c r="F28344" s="62" t="str">
        <f>IF(INDEX(I.Gas.P4Y1ElectricityGeneration,8)="","",INDEX(I.Gas.P4Y1ElectricityGeneration,8))</f>
        <v/>
      </c>
      <c r="G28344" s="62"/>
      <c r="H28344" s="46" t="str">
        <f>IF(I.Developer.P4=FALSE,"Complete",IF(I.Product.P4GasToPowerStatus&lt;&gt;"Yes","Complete",IF(AND(I.Gas.P4Y1Count&gt;=8,F28344=""),"Incomplete","Complete")))</f>
        <v>Complete</v>
      </c>
      <c r="I28344" s="48" t="s">
        <v>3523</v>
      </c>
    </row>
    <row r="28345" spans="2:9" ht="15" customHeight="1" x14ac:dyDescent="0.25">
      <c r="B28345" s="55" t="s">
        <v>421</v>
      </c>
      <c r="C28345" s="46">
        <v>9</v>
      </c>
      <c r="D28345" s="69" t="s">
        <v>29558</v>
      </c>
      <c r="E28345" s="62"/>
      <c r="F28345" s="62" t="str">
        <f>IF(INDEX(I.Gas.P4Y1ElectricityGeneration,9)="","",INDEX(I.Gas.P4Y1ElectricityGeneration,9))</f>
        <v/>
      </c>
      <c r="G28345" s="62"/>
      <c r="H28345" s="46" t="str">
        <f>IF(I.Developer.P4=FALSE,"Complete",IF(I.Product.P4GasToPowerStatus&lt;&gt;"Yes","Complete",IF(AND(I.Gas.P4Y1Count&gt;=9,F28345=""),"Incomplete","Complete")))</f>
        <v>Complete</v>
      </c>
      <c r="I28345" s="48" t="s">
        <v>3524</v>
      </c>
    </row>
    <row r="28346" spans="2:9" ht="15" customHeight="1" x14ac:dyDescent="0.25">
      <c r="B28346" s="55" t="s">
        <v>421</v>
      </c>
      <c r="C28346" s="46">
        <v>10</v>
      </c>
      <c r="D28346" s="69" t="s">
        <v>29558</v>
      </c>
      <c r="E28346" s="62"/>
      <c r="F28346" s="62" t="str">
        <f>IF(INDEX(I.Gas.P4Y1ElectricityGeneration,10)="","",INDEX(I.Gas.P4Y1ElectricityGeneration,10))</f>
        <v/>
      </c>
      <c r="G28346" s="62"/>
      <c r="H28346" s="46" t="str">
        <f>IF(I.Developer.P4=FALSE,"Complete",IF(I.Product.P4GasToPowerStatus&lt;&gt;"Yes","Complete",IF(AND(I.Gas.P4Y1Count&gt;=10,F28346=""),"Incomplete","Complete")))</f>
        <v>Complete</v>
      </c>
      <c r="I28346" s="48" t="s">
        <v>3525</v>
      </c>
    </row>
    <row r="28347" spans="2:9" ht="15" customHeight="1" x14ac:dyDescent="0.25">
      <c r="B28347" s="55" t="s">
        <v>421</v>
      </c>
      <c r="C28347" s="46">
        <v>11</v>
      </c>
      <c r="D28347" s="69" t="s">
        <v>29558</v>
      </c>
      <c r="E28347" s="62"/>
      <c r="F28347" s="62" t="str">
        <f>IF(INDEX(I.Gas.P4Y1ElectricityGeneration,11)="","",INDEX(I.Gas.P4Y1ElectricityGeneration,11))</f>
        <v/>
      </c>
      <c r="G28347" s="62"/>
      <c r="H28347" s="46" t="str">
        <f>IF(I.Developer.P4=FALSE,"Complete",IF(I.Product.P4GasToPowerStatus&lt;&gt;"Yes","Complete",IF(AND(I.Gas.P4Y1Count&gt;=11,F28347=""),"Incomplete","Complete")))</f>
        <v>Complete</v>
      </c>
      <c r="I28347" s="48" t="s">
        <v>3526</v>
      </c>
    </row>
    <row r="28348" spans="2:9" ht="15" customHeight="1" x14ac:dyDescent="0.25">
      <c r="B28348" s="55" t="s">
        <v>421</v>
      </c>
      <c r="C28348" s="46">
        <v>12</v>
      </c>
      <c r="D28348" s="69" t="s">
        <v>29558</v>
      </c>
      <c r="E28348" s="62"/>
      <c r="F28348" s="62" t="str">
        <f>IF(INDEX(I.Gas.P4Y1ElectricityGeneration,12)="","",INDEX(I.Gas.P4Y1ElectricityGeneration,12))</f>
        <v/>
      </c>
      <c r="G28348" s="62"/>
      <c r="H28348" s="46" t="str">
        <f>IF(I.Developer.P4=FALSE,"Complete",IF(I.Product.P4GasToPowerStatus&lt;&gt;"Yes","Complete",IF(AND(I.Gas.P4Y1Count&gt;=12,F28348=""),"Incomplete","Complete")))</f>
        <v>Complete</v>
      </c>
      <c r="I28348" s="48" t="s">
        <v>3527</v>
      </c>
    </row>
    <row r="28349" spans="2:9" ht="15" customHeight="1" x14ac:dyDescent="0.25">
      <c r="B28349" s="55" t="s">
        <v>421</v>
      </c>
      <c r="C28349" s="46">
        <v>13</v>
      </c>
      <c r="D28349" s="69" t="s">
        <v>29558</v>
      </c>
      <c r="E28349" s="62"/>
      <c r="F28349" s="62" t="str">
        <f>IF(INDEX(I.Gas.P4Y1ElectricityGeneration,13)="","",INDEX(I.Gas.P4Y1ElectricityGeneration,13))</f>
        <v/>
      </c>
      <c r="G28349" s="62"/>
      <c r="H28349" s="46" t="str">
        <f>IF(I.Developer.P4=FALSE,"Complete",IF(I.Product.P4GasToPowerStatus&lt;&gt;"Yes","Complete",IF(AND(I.Gas.P4Y1Count&gt;=13,F28349=""),"Incomplete","Complete")))</f>
        <v>Complete</v>
      </c>
      <c r="I28349" s="48" t="s">
        <v>3528</v>
      </c>
    </row>
    <row r="28350" spans="2:9" ht="15" customHeight="1" x14ac:dyDescent="0.25">
      <c r="B28350" s="55" t="s">
        <v>421</v>
      </c>
      <c r="C28350" s="46">
        <v>14</v>
      </c>
      <c r="D28350" s="69" t="s">
        <v>29558</v>
      </c>
      <c r="E28350" s="62"/>
      <c r="F28350" s="62" t="str">
        <f>IF(INDEX(I.Gas.P4Y1ElectricityGeneration,14)="","",INDEX(I.Gas.P4Y1ElectricityGeneration,14))</f>
        <v/>
      </c>
      <c r="G28350" s="62"/>
      <c r="H28350" s="46" t="str">
        <f>IF(I.Developer.P4=FALSE,"Complete",IF(I.Product.P4GasToPowerStatus&lt;&gt;"Yes","Complete",IF(AND(I.Gas.P4Y1Count&gt;=14,F28350=""),"Incomplete","Complete")))</f>
        <v>Complete</v>
      </c>
      <c r="I28350" s="48" t="s">
        <v>3529</v>
      </c>
    </row>
    <row r="28351" spans="2:9" ht="15" customHeight="1" x14ac:dyDescent="0.25">
      <c r="B28351" s="55" t="s">
        <v>421</v>
      </c>
      <c r="C28351" s="46">
        <v>15</v>
      </c>
      <c r="D28351" s="69" t="s">
        <v>29558</v>
      </c>
      <c r="E28351" s="62"/>
      <c r="F28351" s="62" t="str">
        <f>IF(INDEX(I.Gas.P4Y1ElectricityGeneration,15)="","",INDEX(I.Gas.P4Y1ElectricityGeneration,15))</f>
        <v/>
      </c>
      <c r="G28351" s="62"/>
      <c r="H28351" s="46" t="str">
        <f>IF(I.Developer.P4=FALSE,"Complete",IF(I.Product.P4GasToPowerStatus&lt;&gt;"Yes","Complete",IF(AND(I.Gas.P4Y1Count&gt;=15,F28351=""),"Incomplete","Complete")))</f>
        <v>Complete</v>
      </c>
      <c r="I28351" s="48" t="s">
        <v>3530</v>
      </c>
    </row>
    <row r="28352" spans="2:9" ht="15" customHeight="1" x14ac:dyDescent="0.25">
      <c r="B28352" s="55" t="s">
        <v>421</v>
      </c>
      <c r="C28352" s="46">
        <v>16</v>
      </c>
      <c r="D28352" s="69" t="s">
        <v>29558</v>
      </c>
      <c r="E28352" s="62"/>
      <c r="F28352" s="62" t="str">
        <f>IF(INDEX(I.Gas.P4Y1ElectricityGeneration,16)="","",INDEX(I.Gas.P4Y1ElectricityGeneration,16))</f>
        <v/>
      </c>
      <c r="G28352" s="62"/>
      <c r="H28352" s="46" t="str">
        <f>IF(I.Developer.P4=FALSE,"Complete",IF(I.Product.P4GasToPowerStatus&lt;&gt;"Yes","Complete",IF(AND(I.Gas.P4Y1Count&gt;=16,F28352=""),"Incomplete","Complete")))</f>
        <v>Complete</v>
      </c>
      <c r="I28352" s="48" t="s">
        <v>3531</v>
      </c>
    </row>
    <row r="28353" spans="2:9" ht="15" customHeight="1" x14ac:dyDescent="0.25">
      <c r="B28353" s="55" t="s">
        <v>421</v>
      </c>
      <c r="C28353" s="46">
        <v>17</v>
      </c>
      <c r="D28353" s="69" t="s">
        <v>29558</v>
      </c>
      <c r="E28353" s="62"/>
      <c r="F28353" s="62" t="str">
        <f>IF(INDEX(I.Gas.P4Y1ElectricityGeneration,17)="","",INDEX(I.Gas.P4Y1ElectricityGeneration,17))</f>
        <v/>
      </c>
      <c r="G28353" s="62"/>
      <c r="H28353" s="46" t="str">
        <f>IF(I.Developer.P4=FALSE,"Complete",IF(I.Product.P4GasToPowerStatus&lt;&gt;"Yes","Complete",IF(AND(I.Gas.P4Y1Count&gt;=17,F28353=""),"Incomplete","Complete")))</f>
        <v>Complete</v>
      </c>
      <c r="I28353" s="48" t="s">
        <v>3532</v>
      </c>
    </row>
    <row r="28354" spans="2:9" ht="15" customHeight="1" x14ac:dyDescent="0.25">
      <c r="B28354" s="55" t="s">
        <v>421</v>
      </c>
      <c r="C28354" s="46">
        <v>18</v>
      </c>
      <c r="D28354" s="69" t="s">
        <v>29558</v>
      </c>
      <c r="E28354" s="62"/>
      <c r="F28354" s="62" t="str">
        <f>IF(INDEX(I.Gas.P4Y1ElectricityGeneration,18)="","",INDEX(I.Gas.P4Y1ElectricityGeneration,18))</f>
        <v/>
      </c>
      <c r="G28354" s="62"/>
      <c r="H28354" s="46" t="str">
        <f>IF(I.Developer.P4=FALSE,"Complete",IF(I.Product.P4GasToPowerStatus&lt;&gt;"Yes","Complete",IF(AND(I.Gas.P4Y1Count&gt;=18,F28354=""),"Incomplete","Complete")))</f>
        <v>Complete</v>
      </c>
      <c r="I28354" s="48" t="s">
        <v>3533</v>
      </c>
    </row>
    <row r="28355" spans="2:9" ht="15" customHeight="1" x14ac:dyDescent="0.25">
      <c r="B28355" s="55" t="s">
        <v>421</v>
      </c>
      <c r="C28355" s="46">
        <v>19</v>
      </c>
      <c r="D28355" s="69" t="s">
        <v>29558</v>
      </c>
      <c r="E28355" s="62"/>
      <c r="F28355" s="62" t="str">
        <f>IF(INDEX(I.Gas.P4Y1ElectricityGeneration,19)="","",INDEX(I.Gas.P4Y1ElectricityGeneration,19))</f>
        <v/>
      </c>
      <c r="G28355" s="62"/>
      <c r="H28355" s="46" t="str">
        <f>IF(I.Developer.P4=FALSE,"Complete",IF(I.Product.P4GasToPowerStatus&lt;&gt;"Yes","Complete",IF(AND(I.Gas.P4Y1Count&gt;=19,F28355=""),"Incomplete","Complete")))</f>
        <v>Complete</v>
      </c>
      <c r="I28355" s="48" t="s">
        <v>3534</v>
      </c>
    </row>
    <row r="28356" spans="2:9" ht="15" customHeight="1" x14ac:dyDescent="0.25">
      <c r="B28356" s="55" t="s">
        <v>421</v>
      </c>
      <c r="C28356" s="46">
        <v>20</v>
      </c>
      <c r="D28356" s="69" t="s">
        <v>29558</v>
      </c>
      <c r="E28356" s="62"/>
      <c r="F28356" s="62" t="str">
        <f>IF(INDEX(I.Gas.P4Y1ElectricityGeneration,20)="","",INDEX(I.Gas.P4Y1ElectricityGeneration,20))</f>
        <v/>
      </c>
      <c r="G28356" s="62"/>
      <c r="H28356" s="46" t="str">
        <f>IF(I.Developer.P4=FALSE,"Complete",IF(I.Product.P4GasToPowerStatus&lt;&gt;"Yes","Complete",IF(AND(I.Gas.P4Y1Count&gt;=20,F28356=""),"Incomplete","Complete")))</f>
        <v>Complete</v>
      </c>
      <c r="I28356" s="48" t="s">
        <v>3535</v>
      </c>
    </row>
    <row r="28357" spans="2:9" ht="15" customHeight="1" x14ac:dyDescent="0.25">
      <c r="B28357" s="55" t="s">
        <v>421</v>
      </c>
      <c r="C28357" s="46">
        <v>21</v>
      </c>
      <c r="D28357" s="69" t="s">
        <v>29558</v>
      </c>
      <c r="E28357" s="62"/>
      <c r="F28357" s="62" t="str">
        <f>IF(INDEX(I.Gas.P4Y1ElectricityGeneration,21)="","",INDEX(I.Gas.P4Y1ElectricityGeneration,21))</f>
        <v/>
      </c>
      <c r="G28357" s="62"/>
      <c r="H28357" s="46" t="str">
        <f>IF(I.Developer.P4=FALSE,"Complete",IF(I.Product.P4GasToPowerStatus&lt;&gt;"Yes","Complete",IF(AND(I.Gas.P4Y1Count&gt;=21,F28357=""),"Incomplete","Complete")))</f>
        <v>Complete</v>
      </c>
      <c r="I28357" s="48" t="s">
        <v>3536</v>
      </c>
    </row>
    <row r="28358" spans="2:9" ht="15" customHeight="1" x14ac:dyDescent="0.25">
      <c r="B28358" s="55" t="s">
        <v>421</v>
      </c>
      <c r="C28358" s="46">
        <v>22</v>
      </c>
      <c r="D28358" s="69" t="s">
        <v>29558</v>
      </c>
      <c r="E28358" s="62"/>
      <c r="F28358" s="62" t="str">
        <f>IF(INDEX(I.Gas.P4Y1ElectricityGeneration,22)="","",INDEX(I.Gas.P4Y1ElectricityGeneration,22))</f>
        <v/>
      </c>
      <c r="G28358" s="62"/>
      <c r="H28358" s="46" t="str">
        <f>IF(I.Developer.P4=FALSE,"Complete",IF(I.Product.P4GasToPowerStatus&lt;&gt;"Yes","Complete",IF(AND(I.Gas.P4Y1Count&gt;=22,F28358=""),"Incomplete","Complete")))</f>
        <v>Complete</v>
      </c>
      <c r="I28358" s="48" t="s">
        <v>3537</v>
      </c>
    </row>
    <row r="28359" spans="2:9" ht="15" customHeight="1" x14ac:dyDescent="0.25">
      <c r="B28359" s="55" t="s">
        <v>421</v>
      </c>
      <c r="C28359" s="46">
        <v>23</v>
      </c>
      <c r="D28359" s="69" t="s">
        <v>29558</v>
      </c>
      <c r="E28359" s="62"/>
      <c r="F28359" s="62" t="str">
        <f>IF(INDEX(I.Gas.P4Y1ElectricityGeneration,23)="","",INDEX(I.Gas.P4Y1ElectricityGeneration,23))</f>
        <v/>
      </c>
      <c r="G28359" s="62"/>
      <c r="H28359" s="46" t="str">
        <f>IF(I.Developer.P4=FALSE,"Complete",IF(I.Product.P4GasToPowerStatus&lt;&gt;"Yes","Complete",IF(AND(I.Gas.P4Y1Count&gt;=23,F28359=""),"Incomplete","Complete")))</f>
        <v>Complete</v>
      </c>
      <c r="I28359" s="48" t="s">
        <v>3538</v>
      </c>
    </row>
    <row r="28360" spans="2:9" ht="15" customHeight="1" x14ac:dyDescent="0.25">
      <c r="B28360" s="55" t="s">
        <v>421</v>
      </c>
      <c r="C28360" s="46">
        <v>24</v>
      </c>
      <c r="D28360" s="69" t="s">
        <v>29558</v>
      </c>
      <c r="E28360" s="62"/>
      <c r="F28360" s="62" t="str">
        <f>IF(INDEX(I.Gas.P4Y1ElectricityGeneration,24)="","",INDEX(I.Gas.P4Y1ElectricityGeneration,24))</f>
        <v/>
      </c>
      <c r="G28360" s="62"/>
      <c r="H28360" s="46" t="str">
        <f>IF(I.Developer.P4=FALSE,"Complete",IF(I.Product.P4GasToPowerStatus&lt;&gt;"Yes","Complete",IF(AND(I.Gas.P4Y1Count&gt;=24,F28360=""),"Incomplete","Complete")))</f>
        <v>Complete</v>
      </c>
      <c r="I28360" s="48" t="s">
        <v>3539</v>
      </c>
    </row>
    <row r="28361" spans="2:9" ht="15" customHeight="1" x14ac:dyDescent="0.25">
      <c r="B28361" s="55" t="s">
        <v>421</v>
      </c>
      <c r="C28361" s="46">
        <v>25</v>
      </c>
      <c r="D28361" s="69" t="s">
        <v>29558</v>
      </c>
      <c r="E28361" s="62"/>
      <c r="F28361" s="62" t="str">
        <f>IF(INDEX(I.Gas.P4Y1ElectricityGeneration,25)="","",INDEX(I.Gas.P4Y1ElectricityGeneration,25))</f>
        <v/>
      </c>
      <c r="G28361" s="62"/>
      <c r="H28361" s="46" t="str">
        <f>IF(I.Developer.P4=FALSE,"Complete",IF(I.Product.P4GasToPowerStatus&lt;&gt;"Yes","Complete",IF(AND(I.Gas.P4Y1Count&gt;=25,F28361=""),"Incomplete","Complete")))</f>
        <v>Complete</v>
      </c>
      <c r="I28361" s="48" t="s">
        <v>3540</v>
      </c>
    </row>
    <row r="28362" spans="2:9" ht="15" customHeight="1" x14ac:dyDescent="0.25">
      <c r="B28362" s="55" t="s">
        <v>421</v>
      </c>
      <c r="C28362" s="46">
        <v>26</v>
      </c>
      <c r="D28362" s="69" t="s">
        <v>29558</v>
      </c>
      <c r="E28362" s="62"/>
      <c r="F28362" s="62" t="str">
        <f>IF(INDEX(I.Gas.P4Y1ElectricityGeneration,26)="","",INDEX(I.Gas.P4Y1ElectricityGeneration,26))</f>
        <v/>
      </c>
      <c r="G28362" s="62"/>
      <c r="H28362" s="46" t="str">
        <f>IF(I.Developer.P4=FALSE,"Complete",IF(I.Product.P4GasToPowerStatus&lt;&gt;"Yes","Complete",IF(AND(I.Gas.P4Y1Count&gt;=26,F28362=""),"Incomplete","Complete")))</f>
        <v>Complete</v>
      </c>
      <c r="I28362" s="48" t="s">
        <v>3541</v>
      </c>
    </row>
    <row r="28363" spans="2:9" ht="15" customHeight="1" x14ac:dyDescent="0.25">
      <c r="B28363" s="55" t="s">
        <v>421</v>
      </c>
      <c r="C28363" s="46">
        <v>27</v>
      </c>
      <c r="D28363" s="69" t="s">
        <v>29558</v>
      </c>
      <c r="E28363" s="62"/>
      <c r="F28363" s="62" t="str">
        <f>IF(INDEX(I.Gas.P4Y1ElectricityGeneration,27)="","",INDEX(I.Gas.P4Y1ElectricityGeneration,27))</f>
        <v/>
      </c>
      <c r="G28363" s="62"/>
      <c r="H28363" s="46" t="str">
        <f>IF(I.Developer.P4=FALSE,"Complete",IF(I.Product.P4GasToPowerStatus&lt;&gt;"Yes","Complete",IF(AND(I.Gas.P4Y1Count&gt;=27,F28363=""),"Incomplete","Complete")))</f>
        <v>Complete</v>
      </c>
      <c r="I28363" s="48" t="s">
        <v>3542</v>
      </c>
    </row>
    <row r="28364" spans="2:9" ht="15" customHeight="1" x14ac:dyDescent="0.25">
      <c r="B28364" s="55" t="s">
        <v>421</v>
      </c>
      <c r="C28364" s="46">
        <v>28</v>
      </c>
      <c r="D28364" s="69" t="s">
        <v>29558</v>
      </c>
      <c r="E28364" s="62"/>
      <c r="F28364" s="62" t="str">
        <f>IF(INDEX(I.Gas.P4Y1ElectricityGeneration,28)="","",INDEX(I.Gas.P4Y1ElectricityGeneration,28))</f>
        <v/>
      </c>
      <c r="G28364" s="62"/>
      <c r="H28364" s="46" t="str">
        <f>IF(I.Developer.P4=FALSE,"Complete",IF(I.Product.P4GasToPowerStatus&lt;&gt;"Yes","Complete",IF(AND(I.Gas.P4Y1Count&gt;=28,F28364=""),"Incomplete","Complete")))</f>
        <v>Complete</v>
      </c>
      <c r="I28364" s="48" t="s">
        <v>3543</v>
      </c>
    </row>
    <row r="28365" spans="2:9" ht="15" customHeight="1" x14ac:dyDescent="0.25">
      <c r="B28365" s="55" t="s">
        <v>421</v>
      </c>
      <c r="C28365" s="46">
        <v>29</v>
      </c>
      <c r="D28365" s="69" t="s">
        <v>29558</v>
      </c>
      <c r="E28365" s="62"/>
      <c r="F28365" s="62" t="str">
        <f>IF(INDEX(I.Gas.P4Y1ElectricityGeneration,29)="","",INDEX(I.Gas.P4Y1ElectricityGeneration,29))</f>
        <v/>
      </c>
      <c r="G28365" s="62"/>
      <c r="H28365" s="46" t="str">
        <f>IF(I.Developer.P4=FALSE,"Complete",IF(I.Product.P4GasToPowerStatus&lt;&gt;"Yes","Complete",IF(AND(I.Gas.P4Y1Count&gt;=29,F28365=""),"Incomplete","Complete")))</f>
        <v>Complete</v>
      </c>
      <c r="I28365" s="48" t="s">
        <v>3544</v>
      </c>
    </row>
    <row r="28366" spans="2:9" ht="15" customHeight="1" x14ac:dyDescent="0.25">
      <c r="B28366" s="55" t="s">
        <v>421</v>
      </c>
      <c r="C28366" s="46">
        <v>30</v>
      </c>
      <c r="D28366" s="69" t="s">
        <v>29558</v>
      </c>
      <c r="E28366" s="62"/>
      <c r="F28366" s="62" t="str">
        <f>IF(INDEX(I.Gas.P4Y1ElectricityGeneration,30)="","",INDEX(I.Gas.P4Y1ElectricityGeneration,30))</f>
        <v/>
      </c>
      <c r="G28366" s="62"/>
      <c r="H28366" s="46" t="str">
        <f>IF(I.Developer.P4=FALSE,"Complete",IF(I.Product.P4GasToPowerStatus&lt;&gt;"Yes","Complete",IF(AND(I.Gas.P4Y1Count&gt;=30,F28366=""),"Incomplete","Complete")))</f>
        <v>Complete</v>
      </c>
      <c r="I28366" s="48" t="s">
        <v>3545</v>
      </c>
    </row>
    <row r="28367" spans="2:9" ht="15" customHeight="1" x14ac:dyDescent="0.25">
      <c r="B28367" s="55" t="s">
        <v>421</v>
      </c>
      <c r="C28367" s="46">
        <v>31</v>
      </c>
      <c r="D28367" s="69" t="s">
        <v>29558</v>
      </c>
      <c r="E28367" s="62"/>
      <c r="F28367" s="62" t="str">
        <f>IF(INDEX(I.Gas.P4Y1ElectricityGeneration,31)="","",INDEX(I.Gas.P4Y1ElectricityGeneration,31))</f>
        <v/>
      </c>
      <c r="G28367" s="62"/>
      <c r="H28367" s="46" t="str">
        <f>IF(I.Developer.P4=FALSE,"Complete",IF(I.Product.P4GasToPowerStatus&lt;&gt;"Yes","Complete",IF(AND(I.Gas.P4Y1Count&gt;=31,F28367=""),"Incomplete","Complete")))</f>
        <v>Complete</v>
      </c>
      <c r="I28367" s="48" t="s">
        <v>3546</v>
      </c>
    </row>
    <row r="28368" spans="2:9" ht="15" customHeight="1" x14ac:dyDescent="0.25">
      <c r="B28368" s="55" t="s">
        <v>421</v>
      </c>
      <c r="C28368" s="46">
        <v>32</v>
      </c>
      <c r="D28368" s="69" t="s">
        <v>29558</v>
      </c>
      <c r="E28368" s="62"/>
      <c r="F28368" s="62" t="str">
        <f>IF(INDEX(I.Gas.P4Y1ElectricityGeneration,32)="","",INDEX(I.Gas.P4Y1ElectricityGeneration,32))</f>
        <v/>
      </c>
      <c r="G28368" s="62"/>
      <c r="H28368" s="46" t="str">
        <f>IF(I.Developer.P4=FALSE,"Complete",IF(I.Product.P4GasToPowerStatus&lt;&gt;"Yes","Complete",IF(AND(I.Gas.P4Y1Count&gt;=32,F28368=""),"Incomplete","Complete")))</f>
        <v>Complete</v>
      </c>
      <c r="I28368" s="48" t="s">
        <v>3547</v>
      </c>
    </row>
    <row r="28369" spans="2:9" ht="15" customHeight="1" x14ac:dyDescent="0.25">
      <c r="B28369" s="55" t="s">
        <v>421</v>
      </c>
      <c r="C28369" s="46">
        <v>33</v>
      </c>
      <c r="D28369" s="69" t="s">
        <v>29558</v>
      </c>
      <c r="E28369" s="62"/>
      <c r="F28369" s="62" t="str">
        <f>IF(INDEX(I.Gas.P4Y1ElectricityGeneration,33)="","",INDEX(I.Gas.P4Y1ElectricityGeneration,33))</f>
        <v/>
      </c>
      <c r="G28369" s="62"/>
      <c r="H28369" s="46" t="str">
        <f>IF(I.Developer.P4=FALSE,"Complete",IF(I.Product.P4GasToPowerStatus&lt;&gt;"Yes","Complete",IF(AND(I.Gas.P4Y1Count&gt;=33,F28369=""),"Incomplete","Complete")))</f>
        <v>Complete</v>
      </c>
      <c r="I28369" s="48" t="s">
        <v>3548</v>
      </c>
    </row>
    <row r="28370" spans="2:9" ht="15" customHeight="1" x14ac:dyDescent="0.25">
      <c r="B28370" s="55" t="s">
        <v>421</v>
      </c>
      <c r="C28370" s="46">
        <v>34</v>
      </c>
      <c r="D28370" s="69" t="s">
        <v>29558</v>
      </c>
      <c r="E28370" s="62"/>
      <c r="F28370" s="62" t="str">
        <f>IF(INDEX(I.Gas.P4Y1ElectricityGeneration,34)="","",INDEX(I.Gas.P4Y1ElectricityGeneration,34))</f>
        <v/>
      </c>
      <c r="G28370" s="62"/>
      <c r="H28370" s="46" t="str">
        <f>IF(I.Developer.P4=FALSE,"Complete",IF(I.Product.P4GasToPowerStatus&lt;&gt;"Yes","Complete",IF(AND(I.Gas.P4Y1Count&gt;=34,F28370=""),"Incomplete","Complete")))</f>
        <v>Complete</v>
      </c>
      <c r="I28370" s="48" t="s">
        <v>3549</v>
      </c>
    </row>
    <row r="28371" spans="2:9" ht="15" customHeight="1" x14ac:dyDescent="0.25">
      <c r="B28371" s="55" t="s">
        <v>421</v>
      </c>
      <c r="C28371" s="46">
        <v>35</v>
      </c>
      <c r="D28371" s="69" t="s">
        <v>29558</v>
      </c>
      <c r="E28371" s="62"/>
      <c r="F28371" s="62" t="str">
        <f>IF(INDEX(I.Gas.P4Y1ElectricityGeneration,35)="","",INDEX(I.Gas.P4Y1ElectricityGeneration,35))</f>
        <v/>
      </c>
      <c r="G28371" s="62"/>
      <c r="H28371" s="46" t="str">
        <f>IF(I.Developer.P4=FALSE,"Complete",IF(I.Product.P4GasToPowerStatus&lt;&gt;"Yes","Complete",IF(AND(I.Gas.P4Y1Count&gt;=35,F28371=""),"Incomplete","Complete")))</f>
        <v>Complete</v>
      </c>
      <c r="I28371" s="48" t="s">
        <v>3550</v>
      </c>
    </row>
    <row r="28372" spans="2:9" ht="15" customHeight="1" x14ac:dyDescent="0.25">
      <c r="B28372" s="55" t="s">
        <v>421</v>
      </c>
      <c r="C28372" s="46">
        <v>36</v>
      </c>
      <c r="D28372" s="69" t="s">
        <v>29558</v>
      </c>
      <c r="E28372" s="62"/>
      <c r="F28372" s="62" t="str">
        <f>IF(INDEX(I.Gas.P4Y1ElectricityGeneration,36)="","",INDEX(I.Gas.P4Y1ElectricityGeneration,36))</f>
        <v/>
      </c>
      <c r="G28372" s="62"/>
      <c r="H28372" s="46" t="str">
        <f>IF(I.Developer.P4=FALSE,"Complete",IF(I.Product.P4GasToPowerStatus&lt;&gt;"Yes","Complete",IF(AND(I.Gas.P4Y1Count&gt;=36,F28372=""),"Incomplete","Complete")))</f>
        <v>Complete</v>
      </c>
      <c r="I28372" s="48" t="s">
        <v>3551</v>
      </c>
    </row>
    <row r="28373" spans="2:9" ht="15" customHeight="1" x14ac:dyDescent="0.25">
      <c r="B28373" s="55" t="s">
        <v>421</v>
      </c>
      <c r="C28373" s="46">
        <v>37</v>
      </c>
      <c r="D28373" s="69" t="s">
        <v>29558</v>
      </c>
      <c r="E28373" s="62"/>
      <c r="F28373" s="62" t="str">
        <f>IF(INDEX(I.Gas.P4Y1ElectricityGeneration,37)="","",INDEX(I.Gas.P4Y1ElectricityGeneration,37))</f>
        <v/>
      </c>
      <c r="G28373" s="62"/>
      <c r="H28373" s="46" t="str">
        <f>IF(I.Developer.P4=FALSE,"Complete",IF(I.Product.P4GasToPowerStatus&lt;&gt;"Yes","Complete",IF(AND(I.Gas.P4Y1Count&gt;=37,F28373=""),"Incomplete","Complete")))</f>
        <v>Complete</v>
      </c>
      <c r="I28373" s="48" t="s">
        <v>3552</v>
      </c>
    </row>
    <row r="28374" spans="2:9" ht="15" customHeight="1" x14ac:dyDescent="0.25">
      <c r="B28374" s="55" t="s">
        <v>421</v>
      </c>
      <c r="C28374" s="46">
        <v>38</v>
      </c>
      <c r="D28374" s="69" t="s">
        <v>29558</v>
      </c>
      <c r="E28374" s="62"/>
      <c r="F28374" s="62" t="str">
        <f>IF(INDEX(I.Gas.P4Y1ElectricityGeneration,38)="","",INDEX(I.Gas.P4Y1ElectricityGeneration,38))</f>
        <v/>
      </c>
      <c r="G28374" s="62"/>
      <c r="H28374" s="46" t="str">
        <f>IF(I.Developer.P4=FALSE,"Complete",IF(I.Product.P4GasToPowerStatus&lt;&gt;"Yes","Complete",IF(AND(I.Gas.P4Y1Count&gt;=38,F28374=""),"Incomplete","Complete")))</f>
        <v>Complete</v>
      </c>
      <c r="I28374" s="48" t="s">
        <v>3553</v>
      </c>
    </row>
    <row r="28375" spans="2:9" ht="15" customHeight="1" x14ac:dyDescent="0.25">
      <c r="B28375" s="55" t="s">
        <v>421</v>
      </c>
      <c r="C28375" s="46">
        <v>39</v>
      </c>
      <c r="D28375" s="69" t="s">
        <v>29558</v>
      </c>
      <c r="E28375" s="62"/>
      <c r="F28375" s="62" t="str">
        <f>IF(INDEX(I.Gas.P4Y1ElectricityGeneration,39)="","",INDEX(I.Gas.P4Y1ElectricityGeneration,39))</f>
        <v/>
      </c>
      <c r="G28375" s="62"/>
      <c r="H28375" s="46" t="str">
        <f>IF(I.Developer.P4=FALSE,"Complete",IF(I.Product.P4GasToPowerStatus&lt;&gt;"Yes","Complete",IF(AND(I.Gas.P4Y1Count&gt;=39,F28375=""),"Incomplete","Complete")))</f>
        <v>Complete</v>
      </c>
      <c r="I28375" s="48" t="s">
        <v>3554</v>
      </c>
    </row>
    <row r="28376" spans="2:9" ht="15" customHeight="1" x14ac:dyDescent="0.25">
      <c r="B28376" s="55" t="s">
        <v>421</v>
      </c>
      <c r="C28376" s="46">
        <v>40</v>
      </c>
      <c r="D28376" s="69" t="s">
        <v>29558</v>
      </c>
      <c r="E28376" s="62"/>
      <c r="F28376" s="62" t="str">
        <f>IF(INDEX(I.Gas.P4Y1ElectricityGeneration,40)="","",INDEX(I.Gas.P4Y1ElectricityGeneration,40))</f>
        <v/>
      </c>
      <c r="G28376" s="62"/>
      <c r="H28376" s="46" t="str">
        <f>IF(I.Developer.P4=FALSE,"Complete",IF(I.Product.P4GasToPowerStatus&lt;&gt;"Yes","Complete",IF(AND(I.Gas.P4Y1Count&gt;=40,F28376=""),"Incomplete","Complete")))</f>
        <v>Complete</v>
      </c>
      <c r="I28376" s="48" t="s">
        <v>3555</v>
      </c>
    </row>
    <row r="28377" spans="2:9" ht="15" customHeight="1" x14ac:dyDescent="0.25">
      <c r="B28377" s="55" t="s">
        <v>421</v>
      </c>
      <c r="C28377" s="46">
        <v>41</v>
      </c>
      <c r="D28377" s="69" t="s">
        <v>29558</v>
      </c>
      <c r="E28377" s="62"/>
      <c r="F28377" s="62" t="str">
        <f>IF(INDEX(I.Gas.P4Y1ElectricityGeneration,41)="","",INDEX(I.Gas.P4Y1ElectricityGeneration,41))</f>
        <v/>
      </c>
      <c r="G28377" s="62"/>
      <c r="H28377" s="46" t="str">
        <f>IF(I.Developer.P4=FALSE,"Complete",IF(I.Product.P4GasToPowerStatus&lt;&gt;"Yes","Complete",IF(AND(I.Gas.P4Y1Count&gt;=41,F28377=""),"Incomplete","Complete")))</f>
        <v>Complete</v>
      </c>
      <c r="I28377" s="48" t="s">
        <v>3556</v>
      </c>
    </row>
    <row r="28378" spans="2:9" ht="15" customHeight="1" x14ac:dyDescent="0.25">
      <c r="B28378" s="55" t="s">
        <v>421</v>
      </c>
      <c r="C28378" s="46">
        <v>42</v>
      </c>
      <c r="D28378" s="69" t="s">
        <v>29558</v>
      </c>
      <c r="E28378" s="62"/>
      <c r="F28378" s="62" t="str">
        <f>IF(INDEX(I.Gas.P4Y1ElectricityGeneration,42)="","",INDEX(I.Gas.P4Y1ElectricityGeneration,42))</f>
        <v/>
      </c>
      <c r="G28378" s="62"/>
      <c r="H28378" s="46" t="str">
        <f>IF(I.Developer.P4=FALSE,"Complete",IF(I.Product.P4GasToPowerStatus&lt;&gt;"Yes","Complete",IF(AND(I.Gas.P4Y1Count&gt;=42,F28378=""),"Incomplete","Complete")))</f>
        <v>Complete</v>
      </c>
      <c r="I28378" s="48" t="s">
        <v>3557</v>
      </c>
    </row>
    <row r="28379" spans="2:9" ht="15" customHeight="1" x14ac:dyDescent="0.25">
      <c r="B28379" s="55" t="s">
        <v>421</v>
      </c>
      <c r="C28379" s="46">
        <v>43</v>
      </c>
      <c r="D28379" s="69" t="s">
        <v>29558</v>
      </c>
      <c r="E28379" s="62"/>
      <c r="F28379" s="62" t="str">
        <f>IF(INDEX(I.Gas.P4Y1ElectricityGeneration,43)="","",INDEX(I.Gas.P4Y1ElectricityGeneration,43))</f>
        <v/>
      </c>
      <c r="G28379" s="62"/>
      <c r="H28379" s="46" t="str">
        <f>IF(I.Developer.P4=FALSE,"Complete",IF(I.Product.P4GasToPowerStatus&lt;&gt;"Yes","Complete",IF(AND(I.Gas.P4Y1Count&gt;=43,F28379=""),"Incomplete","Complete")))</f>
        <v>Complete</v>
      </c>
      <c r="I28379" s="48" t="s">
        <v>3558</v>
      </c>
    </row>
    <row r="28380" spans="2:9" ht="15" customHeight="1" x14ac:dyDescent="0.25">
      <c r="B28380" s="55" t="s">
        <v>421</v>
      </c>
      <c r="C28380" s="46">
        <v>44</v>
      </c>
      <c r="D28380" s="69" t="s">
        <v>29558</v>
      </c>
      <c r="E28380" s="62"/>
      <c r="F28380" s="62" t="str">
        <f>IF(INDEX(I.Gas.P4Y1ElectricityGeneration,44)="","",INDEX(I.Gas.P4Y1ElectricityGeneration,44))</f>
        <v/>
      </c>
      <c r="G28380" s="62"/>
      <c r="H28380" s="46" t="str">
        <f>IF(I.Developer.P4=FALSE,"Complete",IF(I.Product.P4GasToPowerStatus&lt;&gt;"Yes","Complete",IF(AND(I.Gas.P4Y1Count&gt;=44,F28380=""),"Incomplete","Complete")))</f>
        <v>Complete</v>
      </c>
      <c r="I28380" s="48" t="s">
        <v>3559</v>
      </c>
    </row>
    <row r="28381" spans="2:9" ht="15" customHeight="1" x14ac:dyDescent="0.25">
      <c r="B28381" s="55" t="s">
        <v>421</v>
      </c>
      <c r="C28381" s="46">
        <v>45</v>
      </c>
      <c r="D28381" s="69" t="s">
        <v>29558</v>
      </c>
      <c r="E28381" s="62"/>
      <c r="F28381" s="62" t="str">
        <f>IF(INDEX(I.Gas.P4Y1ElectricityGeneration,45)="","",INDEX(I.Gas.P4Y1ElectricityGeneration,45))</f>
        <v/>
      </c>
      <c r="G28381" s="62"/>
      <c r="H28381" s="46" t="str">
        <f>IF(I.Developer.P4=FALSE,"Complete",IF(I.Product.P4GasToPowerStatus&lt;&gt;"Yes","Complete",IF(AND(I.Gas.P4Y1Count&gt;=45,F28381=""),"Incomplete","Complete")))</f>
        <v>Complete</v>
      </c>
      <c r="I28381" s="48" t="s">
        <v>3560</v>
      </c>
    </row>
    <row r="28382" spans="2:9" ht="15" customHeight="1" x14ac:dyDescent="0.25">
      <c r="B28382" s="55" t="s">
        <v>421</v>
      </c>
      <c r="C28382" s="46">
        <v>46</v>
      </c>
      <c r="D28382" s="69" t="s">
        <v>29558</v>
      </c>
      <c r="E28382" s="62"/>
      <c r="F28382" s="62" t="str">
        <f>IF(INDEX(I.Gas.P4Y1ElectricityGeneration,46)="","",INDEX(I.Gas.P4Y1ElectricityGeneration,46))</f>
        <v/>
      </c>
      <c r="G28382" s="62"/>
      <c r="H28382" s="46" t="str">
        <f>IF(I.Developer.P4=FALSE,"Complete",IF(I.Product.P4GasToPowerStatus&lt;&gt;"Yes","Complete",IF(AND(I.Gas.P4Y1Count&gt;=46,F28382=""),"Incomplete","Complete")))</f>
        <v>Complete</v>
      </c>
      <c r="I28382" s="48" t="s">
        <v>3561</v>
      </c>
    </row>
    <row r="28383" spans="2:9" ht="15" customHeight="1" x14ac:dyDescent="0.25">
      <c r="B28383" s="55" t="s">
        <v>421</v>
      </c>
      <c r="C28383" s="46">
        <v>47</v>
      </c>
      <c r="D28383" s="69" t="s">
        <v>29558</v>
      </c>
      <c r="E28383" s="62"/>
      <c r="F28383" s="62" t="str">
        <f>IF(INDEX(I.Gas.P4Y1ElectricityGeneration,47)="","",INDEX(I.Gas.P4Y1ElectricityGeneration,47))</f>
        <v/>
      </c>
      <c r="G28383" s="62"/>
      <c r="H28383" s="46" t="str">
        <f>IF(I.Developer.P4=FALSE,"Complete",IF(I.Product.P4GasToPowerStatus&lt;&gt;"Yes","Complete",IF(AND(I.Gas.P4Y1Count&gt;=47,F28383=""),"Incomplete","Complete")))</f>
        <v>Complete</v>
      </c>
      <c r="I28383" s="48" t="s">
        <v>3562</v>
      </c>
    </row>
    <row r="28384" spans="2:9" ht="15" customHeight="1" x14ac:dyDescent="0.25">
      <c r="B28384" s="55" t="s">
        <v>421</v>
      </c>
      <c r="C28384" s="46">
        <v>48</v>
      </c>
      <c r="D28384" s="69" t="s">
        <v>29558</v>
      </c>
      <c r="E28384" s="62"/>
      <c r="F28384" s="62" t="str">
        <f>IF(INDEX(I.Gas.P4Y1ElectricityGeneration,48)="","",INDEX(I.Gas.P4Y1ElectricityGeneration,48))</f>
        <v/>
      </c>
      <c r="G28384" s="62"/>
      <c r="H28384" s="46" t="str">
        <f>IF(I.Developer.P4=FALSE,"Complete",IF(I.Product.P4GasToPowerStatus&lt;&gt;"Yes","Complete",IF(AND(I.Gas.P4Y1Count&gt;=48,F28384=""),"Incomplete","Complete")))</f>
        <v>Complete</v>
      </c>
      <c r="I28384" s="48" t="s">
        <v>3563</v>
      </c>
    </row>
    <row r="28385" spans="2:9" ht="15" customHeight="1" x14ac:dyDescent="0.25">
      <c r="B28385" s="55" t="s">
        <v>421</v>
      </c>
      <c r="C28385" s="46">
        <v>49</v>
      </c>
      <c r="D28385" s="69" t="s">
        <v>29558</v>
      </c>
      <c r="E28385" s="62"/>
      <c r="F28385" s="62" t="str">
        <f>IF(INDEX(I.Gas.P4Y1ElectricityGeneration,49)="","",INDEX(I.Gas.P4Y1ElectricityGeneration,49))</f>
        <v/>
      </c>
      <c r="G28385" s="62"/>
      <c r="H28385" s="46" t="str">
        <f>IF(I.Developer.P4=FALSE,"Complete",IF(I.Product.P4GasToPowerStatus&lt;&gt;"Yes","Complete",IF(AND(I.Gas.P4Y1Count&gt;=49,F28385=""),"Incomplete","Complete")))</f>
        <v>Complete</v>
      </c>
      <c r="I28385" s="48" t="s">
        <v>3564</v>
      </c>
    </row>
    <row r="28386" spans="2:9" ht="15" customHeight="1" x14ac:dyDescent="0.25">
      <c r="B28386" s="56" t="s">
        <v>421</v>
      </c>
      <c r="C28386" s="57">
        <v>50</v>
      </c>
      <c r="D28386" s="71" t="s">
        <v>29558</v>
      </c>
      <c r="E28386" s="61"/>
      <c r="F28386" s="61" t="str">
        <f>IF(INDEX(I.Gas.P4Y1ElectricityGeneration,50)="","",INDEX(I.Gas.P4Y1ElectricityGeneration,50))</f>
        <v/>
      </c>
      <c r="G28386" s="61"/>
      <c r="H28386" s="57" t="str">
        <f>IF(I.Developer.P4=FALSE,"Complete",IF(I.Product.P4GasToPowerStatus&lt;&gt;"Yes","Complete",IF(AND(I.Gas.P4Y1Count&gt;=50,F28386=""),"Incomplete","Complete")))</f>
        <v>Complete</v>
      </c>
      <c r="I28386" s="49" t="s">
        <v>3565</v>
      </c>
    </row>
    <row r="28387" spans="2:9" ht="15" customHeight="1" x14ac:dyDescent="0.25">
      <c r="B28387" s="55" t="s">
        <v>422</v>
      </c>
      <c r="C28387" s="46">
        <v>1</v>
      </c>
      <c r="D28387" s="69" t="s">
        <v>29559</v>
      </c>
      <c r="E28387" s="62"/>
      <c r="F28387" s="62" t="str">
        <f>IF(INDEX(I.Gas.P4Y1C1V1,1)="","",INDEX(I.Gas.P4Y1C1V1,1))</f>
        <v/>
      </c>
      <c r="G28387" s="62"/>
      <c r="H28387" s="46" t="str">
        <f>IF(OR(I.Developer.P4=FALSE,I.Facility.StandardPart&lt;&gt;"Part 2"),"Complete",IF(I.Product.P4GasToPowerStatus&lt;&gt;"Yes","Complete",IF(AND(I.Gas.P4Y1Count&gt;=1,F28387=""),"Incomplete","Complete")))</f>
        <v>Complete</v>
      </c>
      <c r="I28387" s="48" t="s">
        <v>3566</v>
      </c>
    </row>
    <row r="28388" spans="2:9" ht="15" customHeight="1" x14ac:dyDescent="0.25">
      <c r="B28388" s="55" t="s">
        <v>422</v>
      </c>
      <c r="C28388" s="46">
        <v>2</v>
      </c>
      <c r="D28388" s="69" t="s">
        <v>29559</v>
      </c>
      <c r="E28388" s="62"/>
      <c r="F28388" s="62" t="str">
        <f>IF(INDEX(I.Gas.P4Y1C1V1,2)="","",INDEX(I.Gas.P4Y1C1V1,2))</f>
        <v/>
      </c>
      <c r="G28388" s="62"/>
      <c r="H28388" s="46" t="str">
        <f>IF(OR(I.Developer.P4=FALSE,I.Facility.StandardPart&lt;&gt;"Part 2"),"Complete",IF(I.Product.P4GasToPowerStatus&lt;&gt;"Yes","Complete",IF(AND(I.Gas.P4Y1Count&gt;=2,F28388=""),"Incomplete","Complete")))</f>
        <v>Complete</v>
      </c>
      <c r="I28388" s="48" t="s">
        <v>3567</v>
      </c>
    </row>
    <row r="28389" spans="2:9" ht="15" customHeight="1" x14ac:dyDescent="0.25">
      <c r="B28389" s="55" t="s">
        <v>422</v>
      </c>
      <c r="C28389" s="46">
        <v>3</v>
      </c>
      <c r="D28389" s="69" t="s">
        <v>29559</v>
      </c>
      <c r="E28389" s="62"/>
      <c r="F28389" s="62" t="str">
        <f>IF(INDEX(I.Gas.P4Y1C1V1,3)="","",INDEX(I.Gas.P4Y1C1V1,3))</f>
        <v/>
      </c>
      <c r="G28389" s="62"/>
      <c r="H28389" s="46" t="str">
        <f>IF(OR(I.Developer.P4=FALSE,I.Facility.StandardPart&lt;&gt;"Part 2"),"Complete",IF(I.Product.P4GasToPowerStatus&lt;&gt;"Yes","Complete",IF(AND(I.Gas.P4Y1Count&gt;=3,F28389=""),"Incomplete","Complete")))</f>
        <v>Complete</v>
      </c>
      <c r="I28389" s="48" t="s">
        <v>3568</v>
      </c>
    </row>
    <row r="28390" spans="2:9" ht="15" customHeight="1" x14ac:dyDescent="0.25">
      <c r="B28390" s="55" t="s">
        <v>422</v>
      </c>
      <c r="C28390" s="46">
        <v>4</v>
      </c>
      <c r="D28390" s="69" t="s">
        <v>29559</v>
      </c>
      <c r="E28390" s="62"/>
      <c r="F28390" s="62" t="str">
        <f>IF(INDEX(I.Gas.P4Y1C1V1,4)="","",INDEX(I.Gas.P4Y1C1V1,4))</f>
        <v/>
      </c>
      <c r="G28390" s="62"/>
      <c r="H28390" s="46" t="str">
        <f>IF(OR(I.Developer.P4=FALSE,I.Facility.StandardPart&lt;&gt;"Part 2"),"Complete",IF(I.Product.P4GasToPowerStatus&lt;&gt;"Yes","Complete",IF(AND(I.Gas.P4Y1Count&gt;=4,F28390=""),"Incomplete","Complete")))</f>
        <v>Complete</v>
      </c>
      <c r="I28390" s="48" t="s">
        <v>3569</v>
      </c>
    </row>
    <row r="28391" spans="2:9" ht="15" customHeight="1" x14ac:dyDescent="0.25">
      <c r="B28391" s="55" t="s">
        <v>422</v>
      </c>
      <c r="C28391" s="46">
        <v>5</v>
      </c>
      <c r="D28391" s="69" t="s">
        <v>29559</v>
      </c>
      <c r="E28391" s="62"/>
      <c r="F28391" s="62" t="str">
        <f>IF(INDEX(I.Gas.P4Y1C1V1,5)="","",INDEX(I.Gas.P4Y1C1V1,5))</f>
        <v/>
      </c>
      <c r="G28391" s="62"/>
      <c r="H28391" s="46" t="str">
        <f>IF(OR(I.Developer.P4=FALSE,I.Facility.StandardPart&lt;&gt;"Part 2"),"Complete",IF(I.Product.P4GasToPowerStatus&lt;&gt;"Yes","Complete",IF(AND(I.Gas.P4Y1Count&gt;=5,F28391=""),"Incomplete","Complete")))</f>
        <v>Complete</v>
      </c>
      <c r="I28391" s="48" t="s">
        <v>3570</v>
      </c>
    </row>
    <row r="28392" spans="2:9" ht="15" customHeight="1" x14ac:dyDescent="0.25">
      <c r="B28392" s="55" t="s">
        <v>422</v>
      </c>
      <c r="C28392" s="46">
        <v>6</v>
      </c>
      <c r="D28392" s="69" t="s">
        <v>29559</v>
      </c>
      <c r="E28392" s="62"/>
      <c r="F28392" s="62" t="str">
        <f>IF(INDEX(I.Gas.P4Y1C1V1,6)="","",INDEX(I.Gas.P4Y1C1V1,6))</f>
        <v/>
      </c>
      <c r="G28392" s="62"/>
      <c r="H28392" s="46" t="str">
        <f>IF(OR(I.Developer.P4=FALSE,I.Facility.StandardPart&lt;&gt;"Part 2"),"Complete",IF(I.Product.P4GasToPowerStatus&lt;&gt;"Yes","Complete",IF(AND(I.Gas.P4Y1Count&gt;=6,F28392=""),"Incomplete","Complete")))</f>
        <v>Complete</v>
      </c>
      <c r="I28392" s="48" t="s">
        <v>3571</v>
      </c>
    </row>
    <row r="28393" spans="2:9" ht="15" customHeight="1" x14ac:dyDescent="0.25">
      <c r="B28393" s="55" t="s">
        <v>422</v>
      </c>
      <c r="C28393" s="46">
        <v>7</v>
      </c>
      <c r="D28393" s="69" t="s">
        <v>29559</v>
      </c>
      <c r="E28393" s="62"/>
      <c r="F28393" s="62" t="str">
        <f>IF(INDEX(I.Gas.P4Y1C1V1,7)="","",INDEX(I.Gas.P4Y1C1V1,7))</f>
        <v/>
      </c>
      <c r="G28393" s="62"/>
      <c r="H28393" s="46" t="str">
        <f>IF(OR(I.Developer.P4=FALSE,I.Facility.StandardPart&lt;&gt;"Part 2"),"Complete",IF(I.Product.P4GasToPowerStatus&lt;&gt;"Yes","Complete",IF(AND(I.Gas.P4Y1Count&gt;=7,F28393=""),"Incomplete","Complete")))</f>
        <v>Complete</v>
      </c>
      <c r="I28393" s="48" t="s">
        <v>3572</v>
      </c>
    </row>
    <row r="28394" spans="2:9" ht="15" customHeight="1" x14ac:dyDescent="0.25">
      <c r="B28394" s="55" t="s">
        <v>422</v>
      </c>
      <c r="C28394" s="46">
        <v>8</v>
      </c>
      <c r="D28394" s="69" t="s">
        <v>29559</v>
      </c>
      <c r="E28394" s="62"/>
      <c r="F28394" s="62" t="str">
        <f>IF(INDEX(I.Gas.P4Y1C1V1,8)="","",INDEX(I.Gas.P4Y1C1V1,8))</f>
        <v/>
      </c>
      <c r="G28394" s="62"/>
      <c r="H28394" s="46" t="str">
        <f>IF(OR(I.Developer.P4=FALSE,I.Facility.StandardPart&lt;&gt;"Part 2"),"Complete",IF(I.Product.P4GasToPowerStatus&lt;&gt;"Yes","Complete",IF(AND(I.Gas.P4Y1Count&gt;=8,F28394=""),"Incomplete","Complete")))</f>
        <v>Complete</v>
      </c>
      <c r="I28394" s="48" t="s">
        <v>3573</v>
      </c>
    </row>
    <row r="28395" spans="2:9" ht="15" customHeight="1" x14ac:dyDescent="0.25">
      <c r="B28395" s="55" t="s">
        <v>422</v>
      </c>
      <c r="C28395" s="46">
        <v>9</v>
      </c>
      <c r="D28395" s="69" t="s">
        <v>29559</v>
      </c>
      <c r="E28395" s="62"/>
      <c r="F28395" s="62" t="str">
        <f>IF(INDEX(I.Gas.P4Y1C1V1,9)="","",INDEX(I.Gas.P4Y1C1V1,9))</f>
        <v/>
      </c>
      <c r="G28395" s="62"/>
      <c r="H28395" s="46" t="str">
        <f>IF(OR(I.Developer.P4=FALSE,I.Facility.StandardPart&lt;&gt;"Part 2"),"Complete",IF(I.Product.P4GasToPowerStatus&lt;&gt;"Yes","Complete",IF(AND(I.Gas.P4Y1Count&gt;=9,F28395=""),"Incomplete","Complete")))</f>
        <v>Complete</v>
      </c>
      <c r="I28395" s="48" t="s">
        <v>3574</v>
      </c>
    </row>
    <row r="28396" spans="2:9" ht="15" customHeight="1" x14ac:dyDescent="0.25">
      <c r="B28396" s="55" t="s">
        <v>422</v>
      </c>
      <c r="C28396" s="46">
        <v>10</v>
      </c>
      <c r="D28396" s="69" t="s">
        <v>29559</v>
      </c>
      <c r="E28396" s="62"/>
      <c r="F28396" s="62" t="str">
        <f>IF(INDEX(I.Gas.P4Y1C1V1,10)="","",INDEX(I.Gas.P4Y1C1V1,10))</f>
        <v/>
      </c>
      <c r="G28396" s="62"/>
      <c r="H28396" s="46" t="str">
        <f>IF(OR(I.Developer.P4=FALSE,I.Facility.StandardPart&lt;&gt;"Part 2"),"Complete",IF(I.Product.P4GasToPowerStatus&lt;&gt;"Yes","Complete",IF(AND(I.Gas.P4Y1Count&gt;=10,F28396=""),"Incomplete","Complete")))</f>
        <v>Complete</v>
      </c>
      <c r="I28396" s="48" t="s">
        <v>3575</v>
      </c>
    </row>
    <row r="28397" spans="2:9" ht="15" customHeight="1" x14ac:dyDescent="0.25">
      <c r="B28397" s="55" t="s">
        <v>422</v>
      </c>
      <c r="C28397" s="46">
        <v>11</v>
      </c>
      <c r="D28397" s="69" t="s">
        <v>29559</v>
      </c>
      <c r="E28397" s="62"/>
      <c r="F28397" s="62" t="str">
        <f>IF(INDEX(I.Gas.P4Y1C1V1,11)="","",INDEX(I.Gas.P4Y1C1V1,11))</f>
        <v/>
      </c>
      <c r="G28397" s="62"/>
      <c r="H28397" s="46" t="str">
        <f>IF(OR(I.Developer.P4=FALSE,I.Facility.StandardPart&lt;&gt;"Part 2"),"Complete",IF(I.Product.P4GasToPowerStatus&lt;&gt;"Yes","Complete",IF(AND(I.Gas.P4Y1Count&gt;=11,F28397=""),"Incomplete","Complete")))</f>
        <v>Complete</v>
      </c>
      <c r="I28397" s="48" t="s">
        <v>3576</v>
      </c>
    </row>
    <row r="28398" spans="2:9" ht="15" customHeight="1" x14ac:dyDescent="0.25">
      <c r="B28398" s="55" t="s">
        <v>422</v>
      </c>
      <c r="C28398" s="46">
        <v>12</v>
      </c>
      <c r="D28398" s="69" t="s">
        <v>29559</v>
      </c>
      <c r="E28398" s="62"/>
      <c r="F28398" s="62" t="str">
        <f>IF(INDEX(I.Gas.P4Y1C1V1,12)="","",INDEX(I.Gas.P4Y1C1V1,12))</f>
        <v/>
      </c>
      <c r="G28398" s="62"/>
      <c r="H28398" s="46" t="str">
        <f>IF(OR(I.Developer.P4=FALSE,I.Facility.StandardPart&lt;&gt;"Part 2"),"Complete",IF(I.Product.P4GasToPowerStatus&lt;&gt;"Yes","Complete",IF(AND(I.Gas.P4Y1Count&gt;=12,F28398=""),"Incomplete","Complete")))</f>
        <v>Complete</v>
      </c>
      <c r="I28398" s="48" t="s">
        <v>3577</v>
      </c>
    </row>
    <row r="28399" spans="2:9" ht="15" customHeight="1" x14ac:dyDescent="0.25">
      <c r="B28399" s="55" t="s">
        <v>422</v>
      </c>
      <c r="C28399" s="46">
        <v>13</v>
      </c>
      <c r="D28399" s="69" t="s">
        <v>29559</v>
      </c>
      <c r="E28399" s="62"/>
      <c r="F28399" s="62" t="str">
        <f>IF(INDEX(I.Gas.P4Y1C1V1,13)="","",INDEX(I.Gas.P4Y1C1V1,13))</f>
        <v/>
      </c>
      <c r="G28399" s="62"/>
      <c r="H28399" s="46" t="str">
        <f>IF(OR(I.Developer.P4=FALSE,I.Facility.StandardPart&lt;&gt;"Part 2"),"Complete",IF(I.Product.P4GasToPowerStatus&lt;&gt;"Yes","Complete",IF(AND(I.Gas.P4Y1Count&gt;=13,F28399=""),"Incomplete","Complete")))</f>
        <v>Complete</v>
      </c>
      <c r="I28399" s="48" t="s">
        <v>3578</v>
      </c>
    </row>
    <row r="28400" spans="2:9" ht="15" customHeight="1" x14ac:dyDescent="0.25">
      <c r="B28400" s="55" t="s">
        <v>422</v>
      </c>
      <c r="C28400" s="46">
        <v>14</v>
      </c>
      <c r="D28400" s="69" t="s">
        <v>29559</v>
      </c>
      <c r="E28400" s="62"/>
      <c r="F28400" s="62" t="str">
        <f>IF(INDEX(I.Gas.P4Y1C1V1,14)="","",INDEX(I.Gas.P4Y1C1V1,14))</f>
        <v/>
      </c>
      <c r="G28400" s="62"/>
      <c r="H28400" s="46" t="str">
        <f>IF(OR(I.Developer.P4=FALSE,I.Facility.StandardPart&lt;&gt;"Part 2"),"Complete",IF(I.Product.P4GasToPowerStatus&lt;&gt;"Yes","Complete",IF(AND(I.Gas.P4Y1Count&gt;=14,F28400=""),"Incomplete","Complete")))</f>
        <v>Complete</v>
      </c>
      <c r="I28400" s="48" t="s">
        <v>3579</v>
      </c>
    </row>
    <row r="28401" spans="2:9" ht="15" customHeight="1" x14ac:dyDescent="0.25">
      <c r="B28401" s="55" t="s">
        <v>422</v>
      </c>
      <c r="C28401" s="46">
        <v>15</v>
      </c>
      <c r="D28401" s="69" t="s">
        <v>29559</v>
      </c>
      <c r="E28401" s="62"/>
      <c r="F28401" s="62" t="str">
        <f>IF(INDEX(I.Gas.P4Y1C1V1,15)="","",INDEX(I.Gas.P4Y1C1V1,15))</f>
        <v/>
      </c>
      <c r="G28401" s="62"/>
      <c r="H28401" s="46" t="str">
        <f>IF(OR(I.Developer.P4=FALSE,I.Facility.StandardPart&lt;&gt;"Part 2"),"Complete",IF(I.Product.P4GasToPowerStatus&lt;&gt;"Yes","Complete",IF(AND(I.Gas.P4Y1Count&gt;=15,F28401=""),"Incomplete","Complete")))</f>
        <v>Complete</v>
      </c>
      <c r="I28401" s="48" t="s">
        <v>3580</v>
      </c>
    </row>
    <row r="28402" spans="2:9" ht="15" customHeight="1" x14ac:dyDescent="0.25">
      <c r="B28402" s="55" t="s">
        <v>422</v>
      </c>
      <c r="C28402" s="46">
        <v>16</v>
      </c>
      <c r="D28402" s="69" t="s">
        <v>29559</v>
      </c>
      <c r="E28402" s="62"/>
      <c r="F28402" s="62" t="str">
        <f>IF(INDEX(I.Gas.P4Y1C1V1,16)="","",INDEX(I.Gas.P4Y1C1V1,16))</f>
        <v/>
      </c>
      <c r="G28402" s="62"/>
      <c r="H28402" s="46" t="str">
        <f>IF(OR(I.Developer.P4=FALSE,I.Facility.StandardPart&lt;&gt;"Part 2"),"Complete",IF(I.Product.P4GasToPowerStatus&lt;&gt;"Yes","Complete",IF(AND(I.Gas.P4Y1Count&gt;=16,F28402=""),"Incomplete","Complete")))</f>
        <v>Complete</v>
      </c>
      <c r="I28402" s="48" t="s">
        <v>3581</v>
      </c>
    </row>
    <row r="28403" spans="2:9" ht="15" customHeight="1" x14ac:dyDescent="0.25">
      <c r="B28403" s="55" t="s">
        <v>422</v>
      </c>
      <c r="C28403" s="46">
        <v>17</v>
      </c>
      <c r="D28403" s="69" t="s">
        <v>29559</v>
      </c>
      <c r="E28403" s="62"/>
      <c r="F28403" s="62" t="str">
        <f>IF(INDEX(I.Gas.P4Y1C1V1,17)="","",INDEX(I.Gas.P4Y1C1V1,17))</f>
        <v/>
      </c>
      <c r="G28403" s="62"/>
      <c r="H28403" s="46" t="str">
        <f>IF(OR(I.Developer.P4=FALSE,I.Facility.StandardPart&lt;&gt;"Part 2"),"Complete",IF(I.Product.P4GasToPowerStatus&lt;&gt;"Yes","Complete",IF(AND(I.Gas.P4Y1Count&gt;=17,F28403=""),"Incomplete","Complete")))</f>
        <v>Complete</v>
      </c>
      <c r="I28403" s="48" t="s">
        <v>3582</v>
      </c>
    </row>
    <row r="28404" spans="2:9" ht="15" customHeight="1" x14ac:dyDescent="0.25">
      <c r="B28404" s="55" t="s">
        <v>422</v>
      </c>
      <c r="C28404" s="46">
        <v>18</v>
      </c>
      <c r="D28404" s="69" t="s">
        <v>29559</v>
      </c>
      <c r="E28404" s="62"/>
      <c r="F28404" s="62" t="str">
        <f>IF(INDEX(I.Gas.P4Y1C1V1,18)="","",INDEX(I.Gas.P4Y1C1V1,18))</f>
        <v/>
      </c>
      <c r="G28404" s="62"/>
      <c r="H28404" s="46" t="str">
        <f>IF(OR(I.Developer.P4=FALSE,I.Facility.StandardPart&lt;&gt;"Part 2"),"Complete",IF(I.Product.P4GasToPowerStatus&lt;&gt;"Yes","Complete",IF(AND(I.Gas.P4Y1Count&gt;=18,F28404=""),"Incomplete","Complete")))</f>
        <v>Complete</v>
      </c>
      <c r="I28404" s="48" t="s">
        <v>3583</v>
      </c>
    </row>
    <row r="28405" spans="2:9" ht="15" customHeight="1" x14ac:dyDescent="0.25">
      <c r="B28405" s="55" t="s">
        <v>422</v>
      </c>
      <c r="C28405" s="46">
        <v>19</v>
      </c>
      <c r="D28405" s="69" t="s">
        <v>29559</v>
      </c>
      <c r="E28405" s="62"/>
      <c r="F28405" s="62" t="str">
        <f>IF(INDEX(I.Gas.P4Y1C1V1,19)="","",INDEX(I.Gas.P4Y1C1V1,19))</f>
        <v/>
      </c>
      <c r="G28405" s="62"/>
      <c r="H28405" s="46" t="str">
        <f>IF(OR(I.Developer.P4=FALSE,I.Facility.StandardPart&lt;&gt;"Part 2"),"Complete",IF(I.Product.P4GasToPowerStatus&lt;&gt;"Yes","Complete",IF(AND(I.Gas.P4Y1Count&gt;=19,F28405=""),"Incomplete","Complete")))</f>
        <v>Complete</v>
      </c>
      <c r="I28405" s="48" t="s">
        <v>3584</v>
      </c>
    </row>
    <row r="28406" spans="2:9" ht="15" customHeight="1" x14ac:dyDescent="0.25">
      <c r="B28406" s="55" t="s">
        <v>422</v>
      </c>
      <c r="C28406" s="46">
        <v>20</v>
      </c>
      <c r="D28406" s="69" t="s">
        <v>29559</v>
      </c>
      <c r="E28406" s="62"/>
      <c r="F28406" s="62" t="str">
        <f>IF(INDEX(I.Gas.P4Y1C1V1,20)="","",INDEX(I.Gas.P4Y1C1V1,20))</f>
        <v/>
      </c>
      <c r="G28406" s="62"/>
      <c r="H28406" s="46" t="str">
        <f>IF(OR(I.Developer.P4=FALSE,I.Facility.StandardPart&lt;&gt;"Part 2"),"Complete",IF(I.Product.P4GasToPowerStatus&lt;&gt;"Yes","Complete",IF(AND(I.Gas.P4Y1Count&gt;=20,F28406=""),"Incomplete","Complete")))</f>
        <v>Complete</v>
      </c>
      <c r="I28406" s="48" t="s">
        <v>3585</v>
      </c>
    </row>
    <row r="28407" spans="2:9" ht="15" customHeight="1" x14ac:dyDescent="0.25">
      <c r="B28407" s="55" t="s">
        <v>422</v>
      </c>
      <c r="C28407" s="46">
        <v>21</v>
      </c>
      <c r="D28407" s="69" t="s">
        <v>29559</v>
      </c>
      <c r="E28407" s="62"/>
      <c r="F28407" s="62" t="str">
        <f>IF(INDEX(I.Gas.P4Y1C1V1,21)="","",INDEX(I.Gas.P4Y1C1V1,21))</f>
        <v/>
      </c>
      <c r="G28407" s="62"/>
      <c r="H28407" s="46" t="str">
        <f>IF(OR(I.Developer.P4=FALSE,I.Facility.StandardPart&lt;&gt;"Part 2"),"Complete",IF(I.Product.P4GasToPowerStatus&lt;&gt;"Yes","Complete",IF(AND(I.Gas.P4Y1Count&gt;=21,F28407=""),"Incomplete","Complete")))</f>
        <v>Complete</v>
      </c>
      <c r="I28407" s="48" t="s">
        <v>3586</v>
      </c>
    </row>
    <row r="28408" spans="2:9" ht="15" customHeight="1" x14ac:dyDescent="0.25">
      <c r="B28408" s="55" t="s">
        <v>422</v>
      </c>
      <c r="C28408" s="46">
        <v>22</v>
      </c>
      <c r="D28408" s="69" t="s">
        <v>29559</v>
      </c>
      <c r="E28408" s="62"/>
      <c r="F28408" s="62" t="str">
        <f>IF(INDEX(I.Gas.P4Y1C1V1,22)="","",INDEX(I.Gas.P4Y1C1V1,22))</f>
        <v/>
      </c>
      <c r="G28408" s="62"/>
      <c r="H28408" s="46" t="str">
        <f>IF(OR(I.Developer.P4=FALSE,I.Facility.StandardPart&lt;&gt;"Part 2"),"Complete",IF(I.Product.P4GasToPowerStatus&lt;&gt;"Yes","Complete",IF(AND(I.Gas.P4Y1Count&gt;=22,F28408=""),"Incomplete","Complete")))</f>
        <v>Complete</v>
      </c>
      <c r="I28408" s="48" t="s">
        <v>3587</v>
      </c>
    </row>
    <row r="28409" spans="2:9" ht="15" customHeight="1" x14ac:dyDescent="0.25">
      <c r="B28409" s="55" t="s">
        <v>422</v>
      </c>
      <c r="C28409" s="46">
        <v>23</v>
      </c>
      <c r="D28409" s="69" t="s">
        <v>29559</v>
      </c>
      <c r="E28409" s="62"/>
      <c r="F28409" s="62" t="str">
        <f>IF(INDEX(I.Gas.P4Y1C1V1,23)="","",INDEX(I.Gas.P4Y1C1V1,23))</f>
        <v/>
      </c>
      <c r="G28409" s="62"/>
      <c r="H28409" s="46" t="str">
        <f>IF(OR(I.Developer.P4=FALSE,I.Facility.StandardPart&lt;&gt;"Part 2"),"Complete",IF(I.Product.P4GasToPowerStatus&lt;&gt;"Yes","Complete",IF(AND(I.Gas.P4Y1Count&gt;=23,F28409=""),"Incomplete","Complete")))</f>
        <v>Complete</v>
      </c>
      <c r="I28409" s="48" t="s">
        <v>3588</v>
      </c>
    </row>
    <row r="28410" spans="2:9" ht="15" customHeight="1" x14ac:dyDescent="0.25">
      <c r="B28410" s="55" t="s">
        <v>422</v>
      </c>
      <c r="C28410" s="46">
        <v>24</v>
      </c>
      <c r="D28410" s="69" t="s">
        <v>29559</v>
      </c>
      <c r="E28410" s="62"/>
      <c r="F28410" s="62" t="str">
        <f>IF(INDEX(I.Gas.P4Y1C1V1,24)="","",INDEX(I.Gas.P4Y1C1V1,24))</f>
        <v/>
      </c>
      <c r="G28410" s="62"/>
      <c r="H28410" s="46" t="str">
        <f>IF(OR(I.Developer.P4=FALSE,I.Facility.StandardPart&lt;&gt;"Part 2"),"Complete",IF(I.Product.P4GasToPowerStatus&lt;&gt;"Yes","Complete",IF(AND(I.Gas.P4Y1Count&gt;=24,F28410=""),"Incomplete","Complete")))</f>
        <v>Complete</v>
      </c>
      <c r="I28410" s="48" t="s">
        <v>3589</v>
      </c>
    </row>
    <row r="28411" spans="2:9" ht="15" customHeight="1" x14ac:dyDescent="0.25">
      <c r="B28411" s="55" t="s">
        <v>422</v>
      </c>
      <c r="C28411" s="46">
        <v>25</v>
      </c>
      <c r="D28411" s="69" t="s">
        <v>29559</v>
      </c>
      <c r="E28411" s="62"/>
      <c r="F28411" s="62" t="str">
        <f>IF(INDEX(I.Gas.P4Y1C1V1,25)="","",INDEX(I.Gas.P4Y1C1V1,25))</f>
        <v/>
      </c>
      <c r="G28411" s="62"/>
      <c r="H28411" s="46" t="str">
        <f>IF(OR(I.Developer.P4=FALSE,I.Facility.StandardPart&lt;&gt;"Part 2"),"Complete",IF(I.Product.P4GasToPowerStatus&lt;&gt;"Yes","Complete",IF(AND(I.Gas.P4Y1Count&gt;=25,F28411=""),"Incomplete","Complete")))</f>
        <v>Complete</v>
      </c>
      <c r="I28411" s="48" t="s">
        <v>3590</v>
      </c>
    </row>
    <row r="28412" spans="2:9" ht="15" customHeight="1" x14ac:dyDescent="0.25">
      <c r="B28412" s="55" t="s">
        <v>422</v>
      </c>
      <c r="C28412" s="46">
        <v>26</v>
      </c>
      <c r="D28412" s="69" t="s">
        <v>29559</v>
      </c>
      <c r="E28412" s="62"/>
      <c r="F28412" s="62" t="str">
        <f>IF(INDEX(I.Gas.P4Y1C1V1,26)="","",INDEX(I.Gas.P4Y1C1V1,26))</f>
        <v/>
      </c>
      <c r="G28412" s="62"/>
      <c r="H28412" s="46" t="str">
        <f>IF(OR(I.Developer.P4=FALSE,I.Facility.StandardPart&lt;&gt;"Part 2"),"Complete",IF(I.Product.P4GasToPowerStatus&lt;&gt;"Yes","Complete",IF(AND(I.Gas.P4Y1Count&gt;=26,F28412=""),"Incomplete","Complete")))</f>
        <v>Complete</v>
      </c>
      <c r="I28412" s="48" t="s">
        <v>3591</v>
      </c>
    </row>
    <row r="28413" spans="2:9" ht="15" customHeight="1" x14ac:dyDescent="0.25">
      <c r="B28413" s="55" t="s">
        <v>422</v>
      </c>
      <c r="C28413" s="46">
        <v>27</v>
      </c>
      <c r="D28413" s="69" t="s">
        <v>29559</v>
      </c>
      <c r="E28413" s="62"/>
      <c r="F28413" s="62" t="str">
        <f>IF(INDEX(I.Gas.P4Y1C1V1,27)="","",INDEX(I.Gas.P4Y1C1V1,27))</f>
        <v/>
      </c>
      <c r="G28413" s="62"/>
      <c r="H28413" s="46" t="str">
        <f>IF(OR(I.Developer.P4=FALSE,I.Facility.StandardPart&lt;&gt;"Part 2"),"Complete",IF(I.Product.P4GasToPowerStatus&lt;&gt;"Yes","Complete",IF(AND(I.Gas.P4Y1Count&gt;=27,F28413=""),"Incomplete","Complete")))</f>
        <v>Complete</v>
      </c>
      <c r="I28413" s="48" t="s">
        <v>3592</v>
      </c>
    </row>
    <row r="28414" spans="2:9" ht="15" customHeight="1" x14ac:dyDescent="0.25">
      <c r="B28414" s="55" t="s">
        <v>422</v>
      </c>
      <c r="C28414" s="46">
        <v>28</v>
      </c>
      <c r="D28414" s="69" t="s">
        <v>29559</v>
      </c>
      <c r="E28414" s="62"/>
      <c r="F28414" s="62" t="str">
        <f>IF(INDEX(I.Gas.P4Y1C1V1,28)="","",INDEX(I.Gas.P4Y1C1V1,28))</f>
        <v/>
      </c>
      <c r="G28414" s="62"/>
      <c r="H28414" s="46" t="str">
        <f>IF(OR(I.Developer.P4=FALSE,I.Facility.StandardPart&lt;&gt;"Part 2"),"Complete",IF(I.Product.P4GasToPowerStatus&lt;&gt;"Yes","Complete",IF(AND(I.Gas.P4Y1Count&gt;=28,F28414=""),"Incomplete","Complete")))</f>
        <v>Complete</v>
      </c>
      <c r="I28414" s="48" t="s">
        <v>3593</v>
      </c>
    </row>
    <row r="28415" spans="2:9" ht="15" customHeight="1" x14ac:dyDescent="0.25">
      <c r="B28415" s="55" t="s">
        <v>422</v>
      </c>
      <c r="C28415" s="46">
        <v>29</v>
      </c>
      <c r="D28415" s="69" t="s">
        <v>29559</v>
      </c>
      <c r="E28415" s="62"/>
      <c r="F28415" s="62" t="str">
        <f>IF(INDEX(I.Gas.P4Y1C1V1,29)="","",INDEX(I.Gas.P4Y1C1V1,29))</f>
        <v/>
      </c>
      <c r="G28415" s="62"/>
      <c r="H28415" s="46" t="str">
        <f>IF(OR(I.Developer.P4=FALSE,I.Facility.StandardPart&lt;&gt;"Part 2"),"Complete",IF(I.Product.P4GasToPowerStatus&lt;&gt;"Yes","Complete",IF(AND(I.Gas.P4Y1Count&gt;=29,F28415=""),"Incomplete","Complete")))</f>
        <v>Complete</v>
      </c>
      <c r="I28415" s="48" t="s">
        <v>3594</v>
      </c>
    </row>
    <row r="28416" spans="2:9" ht="15" customHeight="1" x14ac:dyDescent="0.25">
      <c r="B28416" s="55" t="s">
        <v>422</v>
      </c>
      <c r="C28416" s="46">
        <v>30</v>
      </c>
      <c r="D28416" s="69" t="s">
        <v>29559</v>
      </c>
      <c r="E28416" s="62"/>
      <c r="F28416" s="62" t="str">
        <f>IF(INDEX(I.Gas.P4Y1C1V1,30)="","",INDEX(I.Gas.P4Y1C1V1,30))</f>
        <v/>
      </c>
      <c r="G28416" s="62"/>
      <c r="H28416" s="46" t="str">
        <f>IF(OR(I.Developer.P4=FALSE,I.Facility.StandardPart&lt;&gt;"Part 2"),"Complete",IF(I.Product.P4GasToPowerStatus&lt;&gt;"Yes","Complete",IF(AND(I.Gas.P4Y1Count&gt;=30,F28416=""),"Incomplete","Complete")))</f>
        <v>Complete</v>
      </c>
      <c r="I28416" s="48" t="s">
        <v>3595</v>
      </c>
    </row>
    <row r="28417" spans="2:9" ht="15" customHeight="1" x14ac:dyDescent="0.25">
      <c r="B28417" s="55" t="s">
        <v>422</v>
      </c>
      <c r="C28417" s="46">
        <v>31</v>
      </c>
      <c r="D28417" s="69" t="s">
        <v>29559</v>
      </c>
      <c r="E28417" s="62"/>
      <c r="F28417" s="62" t="str">
        <f>IF(INDEX(I.Gas.P4Y1C1V1,31)="","",INDEX(I.Gas.P4Y1C1V1,31))</f>
        <v/>
      </c>
      <c r="G28417" s="62"/>
      <c r="H28417" s="46" t="str">
        <f>IF(OR(I.Developer.P4=FALSE,I.Facility.StandardPart&lt;&gt;"Part 2"),"Complete",IF(I.Product.P4GasToPowerStatus&lt;&gt;"Yes","Complete",IF(AND(I.Gas.P4Y1Count&gt;=31,F28417=""),"Incomplete","Complete")))</f>
        <v>Complete</v>
      </c>
      <c r="I28417" s="48" t="s">
        <v>3596</v>
      </c>
    </row>
    <row r="28418" spans="2:9" ht="15" customHeight="1" x14ac:dyDescent="0.25">
      <c r="B28418" s="55" t="s">
        <v>422</v>
      </c>
      <c r="C28418" s="46">
        <v>32</v>
      </c>
      <c r="D28418" s="69" t="s">
        <v>29559</v>
      </c>
      <c r="E28418" s="62"/>
      <c r="F28418" s="62" t="str">
        <f>IF(INDEX(I.Gas.P4Y1C1V1,32)="","",INDEX(I.Gas.P4Y1C1V1,32))</f>
        <v/>
      </c>
      <c r="G28418" s="62"/>
      <c r="H28418" s="46" t="str">
        <f>IF(OR(I.Developer.P4=FALSE,I.Facility.StandardPart&lt;&gt;"Part 2"),"Complete",IF(I.Product.P4GasToPowerStatus&lt;&gt;"Yes","Complete",IF(AND(I.Gas.P4Y1Count&gt;=32,F28418=""),"Incomplete","Complete")))</f>
        <v>Complete</v>
      </c>
      <c r="I28418" s="48" t="s">
        <v>3597</v>
      </c>
    </row>
    <row r="28419" spans="2:9" ht="15" customHeight="1" x14ac:dyDescent="0.25">
      <c r="B28419" s="55" t="s">
        <v>422</v>
      </c>
      <c r="C28419" s="46">
        <v>33</v>
      </c>
      <c r="D28419" s="69" t="s">
        <v>29559</v>
      </c>
      <c r="E28419" s="62"/>
      <c r="F28419" s="62" t="str">
        <f>IF(INDEX(I.Gas.P4Y1C1V1,33)="","",INDEX(I.Gas.P4Y1C1V1,33))</f>
        <v/>
      </c>
      <c r="G28419" s="62"/>
      <c r="H28419" s="46" t="str">
        <f>IF(OR(I.Developer.P4=FALSE,I.Facility.StandardPart&lt;&gt;"Part 2"),"Complete",IF(I.Product.P4GasToPowerStatus&lt;&gt;"Yes","Complete",IF(AND(I.Gas.P4Y1Count&gt;=33,F28419=""),"Incomplete","Complete")))</f>
        <v>Complete</v>
      </c>
      <c r="I28419" s="48" t="s">
        <v>3598</v>
      </c>
    </row>
    <row r="28420" spans="2:9" ht="15" customHeight="1" x14ac:dyDescent="0.25">
      <c r="B28420" s="55" t="s">
        <v>422</v>
      </c>
      <c r="C28420" s="46">
        <v>34</v>
      </c>
      <c r="D28420" s="69" t="s">
        <v>29559</v>
      </c>
      <c r="E28420" s="62"/>
      <c r="F28420" s="62" t="str">
        <f>IF(INDEX(I.Gas.P4Y1C1V1,34)="","",INDEX(I.Gas.P4Y1C1V1,34))</f>
        <v/>
      </c>
      <c r="G28420" s="62"/>
      <c r="H28420" s="46" t="str">
        <f>IF(OR(I.Developer.P4=FALSE,I.Facility.StandardPart&lt;&gt;"Part 2"),"Complete",IF(I.Product.P4GasToPowerStatus&lt;&gt;"Yes","Complete",IF(AND(I.Gas.P4Y1Count&gt;=34,F28420=""),"Incomplete","Complete")))</f>
        <v>Complete</v>
      </c>
      <c r="I28420" s="48" t="s">
        <v>3599</v>
      </c>
    </row>
    <row r="28421" spans="2:9" ht="15" customHeight="1" x14ac:dyDescent="0.25">
      <c r="B28421" s="55" t="s">
        <v>422</v>
      </c>
      <c r="C28421" s="46">
        <v>35</v>
      </c>
      <c r="D28421" s="69" t="s">
        <v>29559</v>
      </c>
      <c r="E28421" s="62"/>
      <c r="F28421" s="62" t="str">
        <f>IF(INDEX(I.Gas.P4Y1C1V1,35)="","",INDEX(I.Gas.P4Y1C1V1,35))</f>
        <v/>
      </c>
      <c r="G28421" s="62"/>
      <c r="H28421" s="46" t="str">
        <f>IF(OR(I.Developer.P4=FALSE,I.Facility.StandardPart&lt;&gt;"Part 2"),"Complete",IF(I.Product.P4GasToPowerStatus&lt;&gt;"Yes","Complete",IF(AND(I.Gas.P4Y1Count&gt;=35,F28421=""),"Incomplete","Complete")))</f>
        <v>Complete</v>
      </c>
      <c r="I28421" s="48" t="s">
        <v>3600</v>
      </c>
    </row>
    <row r="28422" spans="2:9" ht="15" customHeight="1" x14ac:dyDescent="0.25">
      <c r="B28422" s="55" t="s">
        <v>422</v>
      </c>
      <c r="C28422" s="46">
        <v>36</v>
      </c>
      <c r="D28422" s="69" t="s">
        <v>29559</v>
      </c>
      <c r="E28422" s="62"/>
      <c r="F28422" s="62" t="str">
        <f>IF(INDEX(I.Gas.P4Y1C1V1,36)="","",INDEX(I.Gas.P4Y1C1V1,36))</f>
        <v/>
      </c>
      <c r="G28422" s="62"/>
      <c r="H28422" s="46" t="str">
        <f>IF(OR(I.Developer.P4=FALSE,I.Facility.StandardPart&lt;&gt;"Part 2"),"Complete",IF(I.Product.P4GasToPowerStatus&lt;&gt;"Yes","Complete",IF(AND(I.Gas.P4Y1Count&gt;=36,F28422=""),"Incomplete","Complete")))</f>
        <v>Complete</v>
      </c>
      <c r="I28422" s="48" t="s">
        <v>3601</v>
      </c>
    </row>
    <row r="28423" spans="2:9" ht="15" customHeight="1" x14ac:dyDescent="0.25">
      <c r="B28423" s="55" t="s">
        <v>422</v>
      </c>
      <c r="C28423" s="46">
        <v>37</v>
      </c>
      <c r="D28423" s="69" t="s">
        <v>29559</v>
      </c>
      <c r="E28423" s="62"/>
      <c r="F28423" s="62" t="str">
        <f>IF(INDEX(I.Gas.P4Y1C1V1,37)="","",INDEX(I.Gas.P4Y1C1V1,37))</f>
        <v/>
      </c>
      <c r="G28423" s="62"/>
      <c r="H28423" s="46" t="str">
        <f>IF(OR(I.Developer.P4=FALSE,I.Facility.StandardPart&lt;&gt;"Part 2"),"Complete",IF(I.Product.P4GasToPowerStatus&lt;&gt;"Yes","Complete",IF(AND(I.Gas.P4Y1Count&gt;=37,F28423=""),"Incomplete","Complete")))</f>
        <v>Complete</v>
      </c>
      <c r="I28423" s="48" t="s">
        <v>3602</v>
      </c>
    </row>
    <row r="28424" spans="2:9" ht="15" customHeight="1" x14ac:dyDescent="0.25">
      <c r="B28424" s="55" t="s">
        <v>422</v>
      </c>
      <c r="C28424" s="46">
        <v>38</v>
      </c>
      <c r="D28424" s="69" t="s">
        <v>29559</v>
      </c>
      <c r="E28424" s="62"/>
      <c r="F28424" s="62" t="str">
        <f>IF(INDEX(I.Gas.P4Y1C1V1,38)="","",INDEX(I.Gas.P4Y1C1V1,38))</f>
        <v/>
      </c>
      <c r="G28424" s="62"/>
      <c r="H28424" s="46" t="str">
        <f>IF(OR(I.Developer.P4=FALSE,I.Facility.StandardPart&lt;&gt;"Part 2"),"Complete",IF(I.Product.P4GasToPowerStatus&lt;&gt;"Yes","Complete",IF(AND(I.Gas.P4Y1Count&gt;=38,F28424=""),"Incomplete","Complete")))</f>
        <v>Complete</v>
      </c>
      <c r="I28424" s="48" t="s">
        <v>3603</v>
      </c>
    </row>
    <row r="28425" spans="2:9" ht="15" customHeight="1" x14ac:dyDescent="0.25">
      <c r="B28425" s="55" t="s">
        <v>422</v>
      </c>
      <c r="C28425" s="46">
        <v>39</v>
      </c>
      <c r="D28425" s="69" t="s">
        <v>29559</v>
      </c>
      <c r="E28425" s="62"/>
      <c r="F28425" s="62" t="str">
        <f>IF(INDEX(I.Gas.P4Y1C1V1,39)="","",INDEX(I.Gas.P4Y1C1V1,39))</f>
        <v/>
      </c>
      <c r="G28425" s="62"/>
      <c r="H28425" s="46" t="str">
        <f>IF(OR(I.Developer.P4=FALSE,I.Facility.StandardPart&lt;&gt;"Part 2"),"Complete",IF(I.Product.P4GasToPowerStatus&lt;&gt;"Yes","Complete",IF(AND(I.Gas.P4Y1Count&gt;=39,F28425=""),"Incomplete","Complete")))</f>
        <v>Complete</v>
      </c>
      <c r="I28425" s="48" t="s">
        <v>3604</v>
      </c>
    </row>
    <row r="28426" spans="2:9" ht="15" customHeight="1" x14ac:dyDescent="0.25">
      <c r="B28426" s="55" t="s">
        <v>422</v>
      </c>
      <c r="C28426" s="46">
        <v>40</v>
      </c>
      <c r="D28426" s="69" t="s">
        <v>29559</v>
      </c>
      <c r="E28426" s="62"/>
      <c r="F28426" s="62" t="str">
        <f>IF(INDEX(I.Gas.P4Y1C1V1,40)="","",INDEX(I.Gas.P4Y1C1V1,40))</f>
        <v/>
      </c>
      <c r="G28426" s="62"/>
      <c r="H28426" s="46" t="str">
        <f>IF(OR(I.Developer.P4=FALSE,I.Facility.StandardPart&lt;&gt;"Part 2"),"Complete",IF(I.Product.P4GasToPowerStatus&lt;&gt;"Yes","Complete",IF(AND(I.Gas.P4Y1Count&gt;=40,F28426=""),"Incomplete","Complete")))</f>
        <v>Complete</v>
      </c>
      <c r="I28426" s="48" t="s">
        <v>3605</v>
      </c>
    </row>
    <row r="28427" spans="2:9" ht="15" customHeight="1" x14ac:dyDescent="0.25">
      <c r="B28427" s="55" t="s">
        <v>422</v>
      </c>
      <c r="C28427" s="46">
        <v>41</v>
      </c>
      <c r="D28427" s="69" t="s">
        <v>29559</v>
      </c>
      <c r="E28427" s="62"/>
      <c r="F28427" s="62" t="str">
        <f>IF(INDEX(I.Gas.P4Y1C1V1,41)="","",INDEX(I.Gas.P4Y1C1V1,41))</f>
        <v/>
      </c>
      <c r="G28427" s="62"/>
      <c r="H28427" s="46" t="str">
        <f>IF(OR(I.Developer.P4=FALSE,I.Facility.StandardPart&lt;&gt;"Part 2"),"Complete",IF(I.Product.P4GasToPowerStatus&lt;&gt;"Yes","Complete",IF(AND(I.Gas.P4Y1Count&gt;=41,F28427=""),"Incomplete","Complete")))</f>
        <v>Complete</v>
      </c>
      <c r="I28427" s="48" t="s">
        <v>3606</v>
      </c>
    </row>
    <row r="28428" spans="2:9" ht="15" customHeight="1" x14ac:dyDescent="0.25">
      <c r="B28428" s="55" t="s">
        <v>422</v>
      </c>
      <c r="C28428" s="46">
        <v>42</v>
      </c>
      <c r="D28428" s="69" t="s">
        <v>29559</v>
      </c>
      <c r="E28428" s="62"/>
      <c r="F28428" s="62" t="str">
        <f>IF(INDEX(I.Gas.P4Y1C1V1,42)="","",INDEX(I.Gas.P4Y1C1V1,42))</f>
        <v/>
      </c>
      <c r="G28428" s="62"/>
      <c r="H28428" s="46" t="str">
        <f>IF(OR(I.Developer.P4=FALSE,I.Facility.StandardPart&lt;&gt;"Part 2"),"Complete",IF(I.Product.P4GasToPowerStatus&lt;&gt;"Yes","Complete",IF(AND(I.Gas.P4Y1Count&gt;=42,F28428=""),"Incomplete","Complete")))</f>
        <v>Complete</v>
      </c>
      <c r="I28428" s="48" t="s">
        <v>3607</v>
      </c>
    </row>
    <row r="28429" spans="2:9" ht="15" customHeight="1" x14ac:dyDescent="0.25">
      <c r="B28429" s="55" t="s">
        <v>422</v>
      </c>
      <c r="C28429" s="46">
        <v>43</v>
      </c>
      <c r="D28429" s="69" t="s">
        <v>29559</v>
      </c>
      <c r="E28429" s="62"/>
      <c r="F28429" s="62" t="str">
        <f>IF(INDEX(I.Gas.P4Y1C1V1,43)="","",INDEX(I.Gas.P4Y1C1V1,43))</f>
        <v/>
      </c>
      <c r="G28429" s="62"/>
      <c r="H28429" s="46" t="str">
        <f>IF(OR(I.Developer.P4=FALSE,I.Facility.StandardPart&lt;&gt;"Part 2"),"Complete",IF(I.Product.P4GasToPowerStatus&lt;&gt;"Yes","Complete",IF(AND(I.Gas.P4Y1Count&gt;=43,F28429=""),"Incomplete","Complete")))</f>
        <v>Complete</v>
      </c>
      <c r="I28429" s="48" t="s">
        <v>3608</v>
      </c>
    </row>
    <row r="28430" spans="2:9" ht="15" customHeight="1" x14ac:dyDescent="0.25">
      <c r="B28430" s="55" t="s">
        <v>422</v>
      </c>
      <c r="C28430" s="46">
        <v>44</v>
      </c>
      <c r="D28430" s="69" t="s">
        <v>29559</v>
      </c>
      <c r="E28430" s="62"/>
      <c r="F28430" s="62" t="str">
        <f>IF(INDEX(I.Gas.P4Y1C1V1,44)="","",INDEX(I.Gas.P4Y1C1V1,44))</f>
        <v/>
      </c>
      <c r="G28430" s="62"/>
      <c r="H28430" s="46" t="str">
        <f>IF(OR(I.Developer.P4=FALSE,I.Facility.StandardPart&lt;&gt;"Part 2"),"Complete",IF(I.Product.P4GasToPowerStatus&lt;&gt;"Yes","Complete",IF(AND(I.Gas.P4Y1Count&gt;=44,F28430=""),"Incomplete","Complete")))</f>
        <v>Complete</v>
      </c>
      <c r="I28430" s="48" t="s">
        <v>3609</v>
      </c>
    </row>
    <row r="28431" spans="2:9" ht="15" customHeight="1" x14ac:dyDescent="0.25">
      <c r="B28431" s="55" t="s">
        <v>422</v>
      </c>
      <c r="C28431" s="46">
        <v>45</v>
      </c>
      <c r="D28431" s="69" t="s">
        <v>29559</v>
      </c>
      <c r="E28431" s="62"/>
      <c r="F28431" s="62" t="str">
        <f>IF(INDEX(I.Gas.P4Y1C1V1,45)="","",INDEX(I.Gas.P4Y1C1V1,45))</f>
        <v/>
      </c>
      <c r="G28431" s="62"/>
      <c r="H28431" s="46" t="str">
        <f>IF(OR(I.Developer.P4=FALSE,I.Facility.StandardPart&lt;&gt;"Part 2"),"Complete",IF(I.Product.P4GasToPowerStatus&lt;&gt;"Yes","Complete",IF(AND(I.Gas.P4Y1Count&gt;=45,F28431=""),"Incomplete","Complete")))</f>
        <v>Complete</v>
      </c>
      <c r="I28431" s="48" t="s">
        <v>3610</v>
      </c>
    </row>
    <row r="28432" spans="2:9" ht="15" customHeight="1" x14ac:dyDescent="0.25">
      <c r="B28432" s="55" t="s">
        <v>422</v>
      </c>
      <c r="C28432" s="46">
        <v>46</v>
      </c>
      <c r="D28432" s="69" t="s">
        <v>29559</v>
      </c>
      <c r="E28432" s="62"/>
      <c r="F28432" s="62" t="str">
        <f>IF(INDEX(I.Gas.P4Y1C1V1,46)="","",INDEX(I.Gas.P4Y1C1V1,46))</f>
        <v/>
      </c>
      <c r="G28432" s="62"/>
      <c r="H28432" s="46" t="str">
        <f>IF(OR(I.Developer.P4=FALSE,I.Facility.StandardPart&lt;&gt;"Part 2"),"Complete",IF(I.Product.P4GasToPowerStatus&lt;&gt;"Yes","Complete",IF(AND(I.Gas.P4Y1Count&gt;=46,F28432=""),"Incomplete","Complete")))</f>
        <v>Complete</v>
      </c>
      <c r="I28432" s="48" t="s">
        <v>3611</v>
      </c>
    </row>
    <row r="28433" spans="2:9" ht="15" customHeight="1" x14ac:dyDescent="0.25">
      <c r="B28433" s="55" t="s">
        <v>422</v>
      </c>
      <c r="C28433" s="46">
        <v>47</v>
      </c>
      <c r="D28433" s="69" t="s">
        <v>29559</v>
      </c>
      <c r="E28433" s="62"/>
      <c r="F28433" s="62" t="str">
        <f>IF(INDEX(I.Gas.P4Y1C1V1,47)="","",INDEX(I.Gas.P4Y1C1V1,47))</f>
        <v/>
      </c>
      <c r="G28433" s="62"/>
      <c r="H28433" s="46" t="str">
        <f>IF(OR(I.Developer.P4=FALSE,I.Facility.StandardPart&lt;&gt;"Part 2"),"Complete",IF(I.Product.P4GasToPowerStatus&lt;&gt;"Yes","Complete",IF(AND(I.Gas.P4Y1Count&gt;=47,F28433=""),"Incomplete","Complete")))</f>
        <v>Complete</v>
      </c>
      <c r="I28433" s="48" t="s">
        <v>3612</v>
      </c>
    </row>
    <row r="28434" spans="2:9" ht="15" customHeight="1" x14ac:dyDescent="0.25">
      <c r="B28434" s="55" t="s">
        <v>422</v>
      </c>
      <c r="C28434" s="46">
        <v>48</v>
      </c>
      <c r="D28434" s="69" t="s">
        <v>29559</v>
      </c>
      <c r="E28434" s="62"/>
      <c r="F28434" s="62" t="str">
        <f>IF(INDEX(I.Gas.P4Y1C1V1,48)="","",INDEX(I.Gas.P4Y1C1V1,48))</f>
        <v/>
      </c>
      <c r="G28434" s="62"/>
      <c r="H28434" s="46" t="str">
        <f>IF(OR(I.Developer.P4=FALSE,I.Facility.StandardPart&lt;&gt;"Part 2"),"Complete",IF(I.Product.P4GasToPowerStatus&lt;&gt;"Yes","Complete",IF(AND(I.Gas.P4Y1Count&gt;=48,F28434=""),"Incomplete","Complete")))</f>
        <v>Complete</v>
      </c>
      <c r="I28434" s="48" t="s">
        <v>3613</v>
      </c>
    </row>
    <row r="28435" spans="2:9" ht="15" customHeight="1" x14ac:dyDescent="0.25">
      <c r="B28435" s="55" t="s">
        <v>422</v>
      </c>
      <c r="C28435" s="46">
        <v>49</v>
      </c>
      <c r="D28435" s="69" t="s">
        <v>29559</v>
      </c>
      <c r="E28435" s="62"/>
      <c r="F28435" s="62" t="str">
        <f>IF(INDEX(I.Gas.P4Y1C1V1,49)="","",INDEX(I.Gas.P4Y1C1V1,49))</f>
        <v/>
      </c>
      <c r="G28435" s="62"/>
      <c r="H28435" s="46" t="str">
        <f>IF(OR(I.Developer.P4=FALSE,I.Facility.StandardPart&lt;&gt;"Part 2"),"Complete",IF(I.Product.P4GasToPowerStatus&lt;&gt;"Yes","Complete",IF(AND(I.Gas.P4Y1Count&gt;=49,F28435=""),"Incomplete","Complete")))</f>
        <v>Complete</v>
      </c>
      <c r="I28435" s="48" t="s">
        <v>3614</v>
      </c>
    </row>
    <row r="28436" spans="2:9" ht="15" customHeight="1" x14ac:dyDescent="0.25">
      <c r="B28436" s="56" t="s">
        <v>422</v>
      </c>
      <c r="C28436" s="57">
        <v>50</v>
      </c>
      <c r="D28436" s="71" t="s">
        <v>29559</v>
      </c>
      <c r="E28436" s="61"/>
      <c r="F28436" s="61" t="str">
        <f>IF(INDEX(I.Gas.P4Y1C1V1,50)="","",INDEX(I.Gas.P4Y1C1V1,50))</f>
        <v/>
      </c>
      <c r="G28436" s="61"/>
      <c r="H28436" s="57" t="str">
        <f>IF(OR(I.Developer.P4=FALSE,I.Facility.StandardPart&lt;&gt;"Part 2"),"Complete",IF(I.Product.P4GasToPowerStatus&lt;&gt;"Yes","Complete",IF(AND(I.Gas.P4Y1Count&gt;=50,F28436=""),"Incomplete","Complete")))</f>
        <v>Complete</v>
      </c>
      <c r="I28436" s="49" t="s">
        <v>3615</v>
      </c>
    </row>
    <row r="28437" spans="2:9" ht="15" customHeight="1" x14ac:dyDescent="0.25">
      <c r="B28437" s="55" t="s">
        <v>423</v>
      </c>
      <c r="C28437" s="46">
        <v>1</v>
      </c>
      <c r="D28437" s="69" t="s">
        <v>29560</v>
      </c>
      <c r="E28437" s="62"/>
      <c r="F28437" s="62" t="str">
        <f>IF(INDEX(I.Gas.P4Y1C1E1,1)="","",INDEX(I.Gas.P4Y1C1E1,1))</f>
        <v/>
      </c>
      <c r="G28437" s="62"/>
      <c r="H28437" s="46" t="str">
        <f>IF(OR(I.Developer.P4=FALSE,I.Facility.StandardPart="Part 2"),"Complete",IF(I.Product.P4GasToPowerStatus&lt;&gt;"Yes","Complete",IF(AND(I.Gas.P4Y1Count&gt;=1,F28437=""),"Incomplete","Complete")))</f>
        <v>Complete</v>
      </c>
      <c r="I28437" s="48" t="s">
        <v>3616</v>
      </c>
    </row>
    <row r="28438" spans="2:9" ht="15" customHeight="1" x14ac:dyDescent="0.25">
      <c r="B28438" s="55" t="s">
        <v>423</v>
      </c>
      <c r="C28438" s="46">
        <v>2</v>
      </c>
      <c r="D28438" s="69" t="s">
        <v>29560</v>
      </c>
      <c r="E28438" s="62"/>
      <c r="F28438" s="62" t="str">
        <f>IF(INDEX(I.Gas.P4Y1C1E1,2)="","",INDEX(I.Gas.P4Y1C1E1,2))</f>
        <v/>
      </c>
      <c r="G28438" s="62"/>
      <c r="H28438" s="46" t="str">
        <f>IF(OR(I.Developer.P4=FALSE,I.Facility.StandardPart="Part 2"),"Complete",IF(I.Product.P4GasToPowerStatus&lt;&gt;"Yes","Complete",IF(AND(I.Gas.P4Y1Count&gt;=2,F28438=""),"Incomplete","Complete")))</f>
        <v>Complete</v>
      </c>
      <c r="I28438" s="48" t="s">
        <v>3617</v>
      </c>
    </row>
    <row r="28439" spans="2:9" ht="15" customHeight="1" x14ac:dyDescent="0.25">
      <c r="B28439" s="55" t="s">
        <v>423</v>
      </c>
      <c r="C28439" s="46">
        <v>3</v>
      </c>
      <c r="D28439" s="69" t="s">
        <v>29560</v>
      </c>
      <c r="E28439" s="62"/>
      <c r="F28439" s="62" t="str">
        <f>IF(INDEX(I.Gas.P4Y1C1E1,3)="","",INDEX(I.Gas.P4Y1C1E1,3))</f>
        <v/>
      </c>
      <c r="G28439" s="62"/>
      <c r="H28439" s="46" t="str">
        <f>IF(OR(I.Developer.P4=FALSE,I.Facility.StandardPart="Part 2"),"Complete",IF(I.Product.P4GasToPowerStatus&lt;&gt;"Yes","Complete",IF(AND(I.Gas.P4Y1Count&gt;=3,F28439=""),"Incomplete","Complete")))</f>
        <v>Complete</v>
      </c>
      <c r="I28439" s="48" t="s">
        <v>3618</v>
      </c>
    </row>
    <row r="28440" spans="2:9" ht="15" customHeight="1" x14ac:dyDescent="0.25">
      <c r="B28440" s="55" t="s">
        <v>423</v>
      </c>
      <c r="C28440" s="46">
        <v>4</v>
      </c>
      <c r="D28440" s="69" t="s">
        <v>29560</v>
      </c>
      <c r="E28440" s="62"/>
      <c r="F28440" s="62" t="str">
        <f>IF(INDEX(I.Gas.P4Y1C1E1,4)="","",INDEX(I.Gas.P4Y1C1E1,4))</f>
        <v/>
      </c>
      <c r="G28440" s="62"/>
      <c r="H28440" s="46" t="str">
        <f>IF(OR(I.Developer.P4=FALSE,I.Facility.StandardPart="Part 2"),"Complete",IF(I.Product.P4GasToPowerStatus&lt;&gt;"Yes","Complete",IF(AND(I.Gas.P4Y1Count&gt;=4,F28440=""),"Incomplete","Complete")))</f>
        <v>Complete</v>
      </c>
      <c r="I28440" s="48" t="s">
        <v>3619</v>
      </c>
    </row>
    <row r="28441" spans="2:9" ht="15" customHeight="1" x14ac:dyDescent="0.25">
      <c r="B28441" s="55" t="s">
        <v>423</v>
      </c>
      <c r="C28441" s="46">
        <v>5</v>
      </c>
      <c r="D28441" s="69" t="s">
        <v>29560</v>
      </c>
      <c r="E28441" s="62"/>
      <c r="F28441" s="62" t="str">
        <f>IF(INDEX(I.Gas.P4Y1C1E1,5)="","",INDEX(I.Gas.P4Y1C1E1,5))</f>
        <v/>
      </c>
      <c r="G28441" s="62"/>
      <c r="H28441" s="46" t="str">
        <f>IF(OR(I.Developer.P4=FALSE,I.Facility.StandardPart="Part 2"),"Complete",IF(I.Product.P4GasToPowerStatus&lt;&gt;"Yes","Complete",IF(AND(I.Gas.P4Y1Count&gt;=5,F28441=""),"Incomplete","Complete")))</f>
        <v>Complete</v>
      </c>
      <c r="I28441" s="48" t="s">
        <v>3620</v>
      </c>
    </row>
    <row r="28442" spans="2:9" ht="15" customHeight="1" x14ac:dyDescent="0.25">
      <c r="B28442" s="55" t="s">
        <v>423</v>
      </c>
      <c r="C28442" s="46">
        <v>6</v>
      </c>
      <c r="D28442" s="69" t="s">
        <v>29560</v>
      </c>
      <c r="E28442" s="62"/>
      <c r="F28442" s="62" t="str">
        <f>IF(INDEX(I.Gas.P4Y1C1E1,6)="","",INDEX(I.Gas.P4Y1C1E1,6))</f>
        <v/>
      </c>
      <c r="G28442" s="62"/>
      <c r="H28442" s="46" t="str">
        <f>IF(OR(I.Developer.P4=FALSE,I.Facility.StandardPart="Part 2"),"Complete",IF(I.Product.P4GasToPowerStatus&lt;&gt;"Yes","Complete",IF(AND(I.Gas.P4Y1Count&gt;=6,F28442=""),"Incomplete","Complete")))</f>
        <v>Complete</v>
      </c>
      <c r="I28442" s="48" t="s">
        <v>3621</v>
      </c>
    </row>
    <row r="28443" spans="2:9" ht="15" customHeight="1" x14ac:dyDescent="0.25">
      <c r="B28443" s="55" t="s">
        <v>423</v>
      </c>
      <c r="C28443" s="46">
        <v>7</v>
      </c>
      <c r="D28443" s="69" t="s">
        <v>29560</v>
      </c>
      <c r="E28443" s="62"/>
      <c r="F28443" s="62" t="str">
        <f>IF(INDEX(I.Gas.P4Y1C1E1,7)="","",INDEX(I.Gas.P4Y1C1E1,7))</f>
        <v/>
      </c>
      <c r="G28443" s="62"/>
      <c r="H28443" s="46" t="str">
        <f>IF(OR(I.Developer.P4=FALSE,I.Facility.StandardPart="Part 2"),"Complete",IF(I.Product.P4GasToPowerStatus&lt;&gt;"Yes","Complete",IF(AND(I.Gas.P4Y1Count&gt;=7,F28443=""),"Incomplete","Complete")))</f>
        <v>Complete</v>
      </c>
      <c r="I28443" s="48" t="s">
        <v>3622</v>
      </c>
    </row>
    <row r="28444" spans="2:9" ht="15" customHeight="1" x14ac:dyDescent="0.25">
      <c r="B28444" s="55" t="s">
        <v>423</v>
      </c>
      <c r="C28444" s="46">
        <v>8</v>
      </c>
      <c r="D28444" s="69" t="s">
        <v>29560</v>
      </c>
      <c r="E28444" s="62"/>
      <c r="F28444" s="62" t="str">
        <f>IF(INDEX(I.Gas.P4Y1C1E1,8)="","",INDEX(I.Gas.P4Y1C1E1,8))</f>
        <v/>
      </c>
      <c r="G28444" s="62"/>
      <c r="H28444" s="46" t="str">
        <f>IF(OR(I.Developer.P4=FALSE,I.Facility.StandardPart="Part 2"),"Complete",IF(I.Product.P4GasToPowerStatus&lt;&gt;"Yes","Complete",IF(AND(I.Gas.P4Y1Count&gt;=8,F28444=""),"Incomplete","Complete")))</f>
        <v>Complete</v>
      </c>
      <c r="I28444" s="48" t="s">
        <v>3623</v>
      </c>
    </row>
    <row r="28445" spans="2:9" ht="15" customHeight="1" x14ac:dyDescent="0.25">
      <c r="B28445" s="55" t="s">
        <v>423</v>
      </c>
      <c r="C28445" s="46">
        <v>9</v>
      </c>
      <c r="D28445" s="69" t="s">
        <v>29560</v>
      </c>
      <c r="E28445" s="62"/>
      <c r="F28445" s="62" t="str">
        <f>IF(INDEX(I.Gas.P4Y1C1E1,9)="","",INDEX(I.Gas.P4Y1C1E1,9))</f>
        <v/>
      </c>
      <c r="G28445" s="62"/>
      <c r="H28445" s="46" t="str">
        <f>IF(OR(I.Developer.P4=FALSE,I.Facility.StandardPart="Part 2"),"Complete",IF(I.Product.P4GasToPowerStatus&lt;&gt;"Yes","Complete",IF(AND(I.Gas.P4Y1Count&gt;=9,F28445=""),"Incomplete","Complete")))</f>
        <v>Complete</v>
      </c>
      <c r="I28445" s="48" t="s">
        <v>3624</v>
      </c>
    </row>
    <row r="28446" spans="2:9" ht="15" customHeight="1" x14ac:dyDescent="0.25">
      <c r="B28446" s="55" t="s">
        <v>423</v>
      </c>
      <c r="C28446" s="46">
        <v>10</v>
      </c>
      <c r="D28446" s="69" t="s">
        <v>29560</v>
      </c>
      <c r="E28446" s="62"/>
      <c r="F28446" s="62" t="str">
        <f>IF(INDEX(I.Gas.P4Y1C1E1,10)="","",INDEX(I.Gas.P4Y1C1E1,10))</f>
        <v/>
      </c>
      <c r="G28446" s="62"/>
      <c r="H28446" s="46" t="str">
        <f>IF(OR(I.Developer.P4=FALSE,I.Facility.StandardPart="Part 2"),"Complete",IF(I.Product.P4GasToPowerStatus&lt;&gt;"Yes","Complete",IF(AND(I.Gas.P4Y1Count&gt;=10,F28446=""),"Incomplete","Complete")))</f>
        <v>Complete</v>
      </c>
      <c r="I28446" s="48" t="s">
        <v>3625</v>
      </c>
    </row>
    <row r="28447" spans="2:9" ht="15" customHeight="1" x14ac:dyDescent="0.25">
      <c r="B28447" s="55" t="s">
        <v>423</v>
      </c>
      <c r="C28447" s="46">
        <v>11</v>
      </c>
      <c r="D28447" s="69" t="s">
        <v>29560</v>
      </c>
      <c r="E28447" s="62"/>
      <c r="F28447" s="62" t="str">
        <f>IF(INDEX(I.Gas.P4Y1C1E1,11)="","",INDEX(I.Gas.P4Y1C1E1,11))</f>
        <v/>
      </c>
      <c r="G28447" s="62"/>
      <c r="H28447" s="46" t="str">
        <f>IF(OR(I.Developer.P4=FALSE,I.Facility.StandardPart="Part 2"),"Complete",IF(I.Product.P4GasToPowerStatus&lt;&gt;"Yes","Complete",IF(AND(I.Gas.P4Y1Count&gt;=11,F28447=""),"Incomplete","Complete")))</f>
        <v>Complete</v>
      </c>
      <c r="I28447" s="48" t="s">
        <v>3626</v>
      </c>
    </row>
    <row r="28448" spans="2:9" ht="15" customHeight="1" x14ac:dyDescent="0.25">
      <c r="B28448" s="55" t="s">
        <v>423</v>
      </c>
      <c r="C28448" s="46">
        <v>12</v>
      </c>
      <c r="D28448" s="69" t="s">
        <v>29560</v>
      </c>
      <c r="E28448" s="62"/>
      <c r="F28448" s="62" t="str">
        <f>IF(INDEX(I.Gas.P4Y1C1E1,12)="","",INDEX(I.Gas.P4Y1C1E1,12))</f>
        <v/>
      </c>
      <c r="G28448" s="62"/>
      <c r="H28448" s="46" t="str">
        <f>IF(OR(I.Developer.P4=FALSE,I.Facility.StandardPart="Part 2"),"Complete",IF(I.Product.P4GasToPowerStatus&lt;&gt;"Yes","Complete",IF(AND(I.Gas.P4Y1Count&gt;=12,F28448=""),"Incomplete","Complete")))</f>
        <v>Complete</v>
      </c>
      <c r="I28448" s="48" t="s">
        <v>3627</v>
      </c>
    </row>
    <row r="28449" spans="2:9" ht="15" customHeight="1" x14ac:dyDescent="0.25">
      <c r="B28449" s="55" t="s">
        <v>423</v>
      </c>
      <c r="C28449" s="46">
        <v>13</v>
      </c>
      <c r="D28449" s="69" t="s">
        <v>29560</v>
      </c>
      <c r="E28449" s="62"/>
      <c r="F28449" s="62" t="str">
        <f>IF(INDEX(I.Gas.P4Y1C1E1,13)="","",INDEX(I.Gas.P4Y1C1E1,13))</f>
        <v/>
      </c>
      <c r="G28449" s="62"/>
      <c r="H28449" s="46" t="str">
        <f>IF(OR(I.Developer.P4=FALSE,I.Facility.StandardPart="Part 2"),"Complete",IF(I.Product.P4GasToPowerStatus&lt;&gt;"Yes","Complete",IF(AND(I.Gas.P4Y1Count&gt;=13,F28449=""),"Incomplete","Complete")))</f>
        <v>Complete</v>
      </c>
      <c r="I28449" s="48" t="s">
        <v>3628</v>
      </c>
    </row>
    <row r="28450" spans="2:9" ht="15" customHeight="1" x14ac:dyDescent="0.25">
      <c r="B28450" s="55" t="s">
        <v>423</v>
      </c>
      <c r="C28450" s="46">
        <v>14</v>
      </c>
      <c r="D28450" s="69" t="s">
        <v>29560</v>
      </c>
      <c r="E28450" s="62"/>
      <c r="F28450" s="62" t="str">
        <f>IF(INDEX(I.Gas.P4Y1C1E1,14)="","",INDEX(I.Gas.P4Y1C1E1,14))</f>
        <v/>
      </c>
      <c r="G28450" s="62"/>
      <c r="H28450" s="46" t="str">
        <f>IF(OR(I.Developer.P4=FALSE,I.Facility.StandardPart="Part 2"),"Complete",IF(I.Product.P4GasToPowerStatus&lt;&gt;"Yes","Complete",IF(AND(I.Gas.P4Y1Count&gt;=14,F28450=""),"Incomplete","Complete")))</f>
        <v>Complete</v>
      </c>
      <c r="I28450" s="48" t="s">
        <v>3629</v>
      </c>
    </row>
    <row r="28451" spans="2:9" ht="15" customHeight="1" x14ac:dyDescent="0.25">
      <c r="B28451" s="55" t="s">
        <v>423</v>
      </c>
      <c r="C28451" s="46">
        <v>15</v>
      </c>
      <c r="D28451" s="69" t="s">
        <v>29560</v>
      </c>
      <c r="E28451" s="62"/>
      <c r="F28451" s="62" t="str">
        <f>IF(INDEX(I.Gas.P4Y1C1E1,15)="","",INDEX(I.Gas.P4Y1C1E1,15))</f>
        <v/>
      </c>
      <c r="G28451" s="62"/>
      <c r="H28451" s="46" t="str">
        <f>IF(OR(I.Developer.P4=FALSE,I.Facility.StandardPart="Part 2"),"Complete",IF(I.Product.P4GasToPowerStatus&lt;&gt;"Yes","Complete",IF(AND(I.Gas.P4Y1Count&gt;=15,F28451=""),"Incomplete","Complete")))</f>
        <v>Complete</v>
      </c>
      <c r="I28451" s="48" t="s">
        <v>3630</v>
      </c>
    </row>
    <row r="28452" spans="2:9" ht="15" customHeight="1" x14ac:dyDescent="0.25">
      <c r="B28452" s="55" t="s">
        <v>423</v>
      </c>
      <c r="C28452" s="46">
        <v>16</v>
      </c>
      <c r="D28452" s="69" t="s">
        <v>29560</v>
      </c>
      <c r="E28452" s="62"/>
      <c r="F28452" s="62" t="str">
        <f>IF(INDEX(I.Gas.P4Y1C1E1,16)="","",INDEX(I.Gas.P4Y1C1E1,16))</f>
        <v/>
      </c>
      <c r="G28452" s="62"/>
      <c r="H28452" s="46" t="str">
        <f>IF(OR(I.Developer.P4=FALSE,I.Facility.StandardPart="Part 2"),"Complete",IF(I.Product.P4GasToPowerStatus&lt;&gt;"Yes","Complete",IF(AND(I.Gas.P4Y1Count&gt;=16,F28452=""),"Incomplete","Complete")))</f>
        <v>Complete</v>
      </c>
      <c r="I28452" s="48" t="s">
        <v>3631</v>
      </c>
    </row>
    <row r="28453" spans="2:9" ht="15" customHeight="1" x14ac:dyDescent="0.25">
      <c r="B28453" s="55" t="s">
        <v>423</v>
      </c>
      <c r="C28453" s="46">
        <v>17</v>
      </c>
      <c r="D28453" s="69" t="s">
        <v>29560</v>
      </c>
      <c r="E28453" s="62"/>
      <c r="F28453" s="62" t="str">
        <f>IF(INDEX(I.Gas.P4Y1C1E1,17)="","",INDEX(I.Gas.P4Y1C1E1,17))</f>
        <v/>
      </c>
      <c r="G28453" s="62"/>
      <c r="H28453" s="46" t="str">
        <f>IF(OR(I.Developer.P4=FALSE,I.Facility.StandardPart="Part 2"),"Complete",IF(I.Product.P4GasToPowerStatus&lt;&gt;"Yes","Complete",IF(AND(I.Gas.P4Y1Count&gt;=17,F28453=""),"Incomplete","Complete")))</f>
        <v>Complete</v>
      </c>
      <c r="I28453" s="48" t="s">
        <v>3632</v>
      </c>
    </row>
    <row r="28454" spans="2:9" ht="15" customHeight="1" x14ac:dyDescent="0.25">
      <c r="B28454" s="55" t="s">
        <v>423</v>
      </c>
      <c r="C28454" s="46">
        <v>18</v>
      </c>
      <c r="D28454" s="69" t="s">
        <v>29560</v>
      </c>
      <c r="E28454" s="62"/>
      <c r="F28454" s="62" t="str">
        <f>IF(INDEX(I.Gas.P4Y1C1E1,18)="","",INDEX(I.Gas.P4Y1C1E1,18))</f>
        <v/>
      </c>
      <c r="G28454" s="62"/>
      <c r="H28454" s="46" t="str">
        <f>IF(OR(I.Developer.P4=FALSE,I.Facility.StandardPart="Part 2"),"Complete",IF(I.Product.P4GasToPowerStatus&lt;&gt;"Yes","Complete",IF(AND(I.Gas.P4Y1Count&gt;=18,F28454=""),"Incomplete","Complete")))</f>
        <v>Complete</v>
      </c>
      <c r="I28454" s="48" t="s">
        <v>3633</v>
      </c>
    </row>
    <row r="28455" spans="2:9" ht="15" customHeight="1" x14ac:dyDescent="0.25">
      <c r="B28455" s="55" t="s">
        <v>423</v>
      </c>
      <c r="C28455" s="46">
        <v>19</v>
      </c>
      <c r="D28455" s="69" t="s">
        <v>29560</v>
      </c>
      <c r="E28455" s="62"/>
      <c r="F28455" s="62" t="str">
        <f>IF(INDEX(I.Gas.P4Y1C1E1,19)="","",INDEX(I.Gas.P4Y1C1E1,19))</f>
        <v/>
      </c>
      <c r="G28455" s="62"/>
      <c r="H28455" s="46" t="str">
        <f>IF(OR(I.Developer.P4=FALSE,I.Facility.StandardPart="Part 2"),"Complete",IF(I.Product.P4GasToPowerStatus&lt;&gt;"Yes","Complete",IF(AND(I.Gas.P4Y1Count&gt;=19,F28455=""),"Incomplete","Complete")))</f>
        <v>Complete</v>
      </c>
      <c r="I28455" s="48" t="s">
        <v>3634</v>
      </c>
    </row>
    <row r="28456" spans="2:9" ht="15" customHeight="1" x14ac:dyDescent="0.25">
      <c r="B28456" s="55" t="s">
        <v>423</v>
      </c>
      <c r="C28456" s="46">
        <v>20</v>
      </c>
      <c r="D28456" s="69" t="s">
        <v>29560</v>
      </c>
      <c r="E28456" s="62"/>
      <c r="F28456" s="62" t="str">
        <f>IF(INDEX(I.Gas.P4Y1C1E1,20)="","",INDEX(I.Gas.P4Y1C1E1,20))</f>
        <v/>
      </c>
      <c r="G28456" s="62"/>
      <c r="H28456" s="46" t="str">
        <f>IF(OR(I.Developer.P4=FALSE,I.Facility.StandardPart="Part 2"),"Complete",IF(I.Product.P4GasToPowerStatus&lt;&gt;"Yes","Complete",IF(AND(I.Gas.P4Y1Count&gt;=20,F28456=""),"Incomplete","Complete")))</f>
        <v>Complete</v>
      </c>
      <c r="I28456" s="48" t="s">
        <v>3635</v>
      </c>
    </row>
    <row r="28457" spans="2:9" ht="15" customHeight="1" x14ac:dyDescent="0.25">
      <c r="B28457" s="55" t="s">
        <v>423</v>
      </c>
      <c r="C28457" s="46">
        <v>21</v>
      </c>
      <c r="D28457" s="69" t="s">
        <v>29560</v>
      </c>
      <c r="E28457" s="62"/>
      <c r="F28457" s="62" t="str">
        <f>IF(INDEX(I.Gas.P4Y1C1E1,21)="","",INDEX(I.Gas.P4Y1C1E1,21))</f>
        <v/>
      </c>
      <c r="G28457" s="62"/>
      <c r="H28457" s="46" t="str">
        <f>IF(OR(I.Developer.P4=FALSE,I.Facility.StandardPart="Part 2"),"Complete",IF(I.Product.P4GasToPowerStatus&lt;&gt;"Yes","Complete",IF(AND(I.Gas.P4Y1Count&gt;=21,F28457=""),"Incomplete","Complete")))</f>
        <v>Complete</v>
      </c>
      <c r="I28457" s="48" t="s">
        <v>3636</v>
      </c>
    </row>
    <row r="28458" spans="2:9" ht="15" customHeight="1" x14ac:dyDescent="0.25">
      <c r="B28458" s="55" t="s">
        <v>423</v>
      </c>
      <c r="C28458" s="46">
        <v>22</v>
      </c>
      <c r="D28458" s="69" t="s">
        <v>29560</v>
      </c>
      <c r="E28458" s="62"/>
      <c r="F28458" s="62" t="str">
        <f>IF(INDEX(I.Gas.P4Y1C1E1,22)="","",INDEX(I.Gas.P4Y1C1E1,22))</f>
        <v/>
      </c>
      <c r="G28458" s="62"/>
      <c r="H28458" s="46" t="str">
        <f>IF(OR(I.Developer.P4=FALSE,I.Facility.StandardPart="Part 2"),"Complete",IF(I.Product.P4GasToPowerStatus&lt;&gt;"Yes","Complete",IF(AND(I.Gas.P4Y1Count&gt;=22,F28458=""),"Incomplete","Complete")))</f>
        <v>Complete</v>
      </c>
      <c r="I28458" s="48" t="s">
        <v>3637</v>
      </c>
    </row>
    <row r="28459" spans="2:9" ht="15" customHeight="1" x14ac:dyDescent="0.25">
      <c r="B28459" s="55" t="s">
        <v>423</v>
      </c>
      <c r="C28459" s="46">
        <v>23</v>
      </c>
      <c r="D28459" s="69" t="s">
        <v>29560</v>
      </c>
      <c r="E28459" s="62"/>
      <c r="F28459" s="62" t="str">
        <f>IF(INDEX(I.Gas.P4Y1C1E1,23)="","",INDEX(I.Gas.P4Y1C1E1,23))</f>
        <v/>
      </c>
      <c r="G28459" s="62"/>
      <c r="H28459" s="46" t="str">
        <f>IF(OR(I.Developer.P4=FALSE,I.Facility.StandardPart="Part 2"),"Complete",IF(I.Product.P4GasToPowerStatus&lt;&gt;"Yes","Complete",IF(AND(I.Gas.P4Y1Count&gt;=23,F28459=""),"Incomplete","Complete")))</f>
        <v>Complete</v>
      </c>
      <c r="I28459" s="48" t="s">
        <v>3638</v>
      </c>
    </row>
    <row r="28460" spans="2:9" ht="15" customHeight="1" x14ac:dyDescent="0.25">
      <c r="B28460" s="55" t="s">
        <v>423</v>
      </c>
      <c r="C28460" s="46">
        <v>24</v>
      </c>
      <c r="D28460" s="69" t="s">
        <v>29560</v>
      </c>
      <c r="E28460" s="62"/>
      <c r="F28460" s="62" t="str">
        <f>IF(INDEX(I.Gas.P4Y1C1E1,24)="","",INDEX(I.Gas.P4Y1C1E1,24))</f>
        <v/>
      </c>
      <c r="G28460" s="62"/>
      <c r="H28460" s="46" t="str">
        <f>IF(OR(I.Developer.P4=FALSE,I.Facility.StandardPart="Part 2"),"Complete",IF(I.Product.P4GasToPowerStatus&lt;&gt;"Yes","Complete",IF(AND(I.Gas.P4Y1Count&gt;=24,F28460=""),"Incomplete","Complete")))</f>
        <v>Complete</v>
      </c>
      <c r="I28460" s="48" t="s">
        <v>3639</v>
      </c>
    </row>
    <row r="28461" spans="2:9" ht="15" customHeight="1" x14ac:dyDescent="0.25">
      <c r="B28461" s="55" t="s">
        <v>423</v>
      </c>
      <c r="C28461" s="46">
        <v>25</v>
      </c>
      <c r="D28461" s="69" t="s">
        <v>29560</v>
      </c>
      <c r="E28461" s="62"/>
      <c r="F28461" s="62" t="str">
        <f>IF(INDEX(I.Gas.P4Y1C1E1,25)="","",INDEX(I.Gas.P4Y1C1E1,25))</f>
        <v/>
      </c>
      <c r="G28461" s="62"/>
      <c r="H28461" s="46" t="str">
        <f>IF(OR(I.Developer.P4=FALSE,I.Facility.StandardPart="Part 2"),"Complete",IF(I.Product.P4GasToPowerStatus&lt;&gt;"Yes","Complete",IF(AND(I.Gas.P4Y1Count&gt;=25,F28461=""),"Incomplete","Complete")))</f>
        <v>Complete</v>
      </c>
      <c r="I28461" s="48" t="s">
        <v>3640</v>
      </c>
    </row>
    <row r="28462" spans="2:9" ht="15" customHeight="1" x14ac:dyDescent="0.25">
      <c r="B28462" s="55" t="s">
        <v>423</v>
      </c>
      <c r="C28462" s="46">
        <v>26</v>
      </c>
      <c r="D28462" s="69" t="s">
        <v>29560</v>
      </c>
      <c r="E28462" s="62"/>
      <c r="F28462" s="62" t="str">
        <f>IF(INDEX(I.Gas.P4Y1C1E1,26)="","",INDEX(I.Gas.P4Y1C1E1,26))</f>
        <v/>
      </c>
      <c r="G28462" s="62"/>
      <c r="H28462" s="46" t="str">
        <f>IF(OR(I.Developer.P4=FALSE,I.Facility.StandardPart="Part 2"),"Complete",IF(I.Product.P4GasToPowerStatus&lt;&gt;"Yes","Complete",IF(AND(I.Gas.P4Y1Count&gt;=26,F28462=""),"Incomplete","Complete")))</f>
        <v>Complete</v>
      </c>
      <c r="I28462" s="48" t="s">
        <v>3641</v>
      </c>
    </row>
    <row r="28463" spans="2:9" ht="15" customHeight="1" x14ac:dyDescent="0.25">
      <c r="B28463" s="55" t="s">
        <v>423</v>
      </c>
      <c r="C28463" s="46">
        <v>27</v>
      </c>
      <c r="D28463" s="69" t="s">
        <v>29560</v>
      </c>
      <c r="E28463" s="62"/>
      <c r="F28463" s="62" t="str">
        <f>IF(INDEX(I.Gas.P4Y1C1E1,27)="","",INDEX(I.Gas.P4Y1C1E1,27))</f>
        <v/>
      </c>
      <c r="G28463" s="62"/>
      <c r="H28463" s="46" t="str">
        <f>IF(OR(I.Developer.P4=FALSE,I.Facility.StandardPart="Part 2"),"Complete",IF(I.Product.P4GasToPowerStatus&lt;&gt;"Yes","Complete",IF(AND(I.Gas.P4Y1Count&gt;=27,F28463=""),"Incomplete","Complete")))</f>
        <v>Complete</v>
      </c>
      <c r="I28463" s="48" t="s">
        <v>3642</v>
      </c>
    </row>
    <row r="28464" spans="2:9" ht="15" customHeight="1" x14ac:dyDescent="0.25">
      <c r="B28464" s="55" t="s">
        <v>423</v>
      </c>
      <c r="C28464" s="46">
        <v>28</v>
      </c>
      <c r="D28464" s="69" t="s">
        <v>29560</v>
      </c>
      <c r="E28464" s="62"/>
      <c r="F28464" s="62" t="str">
        <f>IF(INDEX(I.Gas.P4Y1C1E1,28)="","",INDEX(I.Gas.P4Y1C1E1,28))</f>
        <v/>
      </c>
      <c r="G28464" s="62"/>
      <c r="H28464" s="46" t="str">
        <f>IF(OR(I.Developer.P4=FALSE,I.Facility.StandardPart="Part 2"),"Complete",IF(I.Product.P4GasToPowerStatus&lt;&gt;"Yes","Complete",IF(AND(I.Gas.P4Y1Count&gt;=28,F28464=""),"Incomplete","Complete")))</f>
        <v>Complete</v>
      </c>
      <c r="I28464" s="48" t="s">
        <v>3643</v>
      </c>
    </row>
    <row r="28465" spans="2:9" ht="15" customHeight="1" x14ac:dyDescent="0.25">
      <c r="B28465" s="55" t="s">
        <v>423</v>
      </c>
      <c r="C28465" s="46">
        <v>29</v>
      </c>
      <c r="D28465" s="69" t="s">
        <v>29560</v>
      </c>
      <c r="E28465" s="62"/>
      <c r="F28465" s="62" t="str">
        <f>IF(INDEX(I.Gas.P4Y1C1E1,29)="","",INDEX(I.Gas.P4Y1C1E1,29))</f>
        <v/>
      </c>
      <c r="G28465" s="62"/>
      <c r="H28465" s="46" t="str">
        <f>IF(OR(I.Developer.P4=FALSE,I.Facility.StandardPart="Part 2"),"Complete",IF(I.Product.P4GasToPowerStatus&lt;&gt;"Yes","Complete",IF(AND(I.Gas.P4Y1Count&gt;=29,F28465=""),"Incomplete","Complete")))</f>
        <v>Complete</v>
      </c>
      <c r="I28465" s="48" t="s">
        <v>3644</v>
      </c>
    </row>
    <row r="28466" spans="2:9" ht="15" customHeight="1" x14ac:dyDescent="0.25">
      <c r="B28466" s="55" t="s">
        <v>423</v>
      </c>
      <c r="C28466" s="46">
        <v>30</v>
      </c>
      <c r="D28466" s="69" t="s">
        <v>29560</v>
      </c>
      <c r="E28466" s="62"/>
      <c r="F28466" s="62" t="str">
        <f>IF(INDEX(I.Gas.P4Y1C1E1,30)="","",INDEX(I.Gas.P4Y1C1E1,30))</f>
        <v/>
      </c>
      <c r="G28466" s="62"/>
      <c r="H28466" s="46" t="str">
        <f>IF(OR(I.Developer.P4=FALSE,I.Facility.StandardPart="Part 2"),"Complete",IF(I.Product.P4GasToPowerStatus&lt;&gt;"Yes","Complete",IF(AND(I.Gas.P4Y1Count&gt;=30,F28466=""),"Incomplete","Complete")))</f>
        <v>Complete</v>
      </c>
      <c r="I28466" s="48" t="s">
        <v>3645</v>
      </c>
    </row>
    <row r="28467" spans="2:9" ht="15" customHeight="1" x14ac:dyDescent="0.25">
      <c r="B28467" s="55" t="s">
        <v>423</v>
      </c>
      <c r="C28467" s="46">
        <v>31</v>
      </c>
      <c r="D28467" s="69" t="s">
        <v>29560</v>
      </c>
      <c r="E28467" s="62"/>
      <c r="F28467" s="62" t="str">
        <f>IF(INDEX(I.Gas.P4Y1C1E1,31)="","",INDEX(I.Gas.P4Y1C1E1,31))</f>
        <v/>
      </c>
      <c r="G28467" s="62"/>
      <c r="H28467" s="46" t="str">
        <f>IF(OR(I.Developer.P4=FALSE,I.Facility.StandardPart="Part 2"),"Complete",IF(I.Product.P4GasToPowerStatus&lt;&gt;"Yes","Complete",IF(AND(I.Gas.P4Y1Count&gt;=31,F28467=""),"Incomplete","Complete")))</f>
        <v>Complete</v>
      </c>
      <c r="I28467" s="48" t="s">
        <v>3646</v>
      </c>
    </row>
    <row r="28468" spans="2:9" ht="15" customHeight="1" x14ac:dyDescent="0.25">
      <c r="B28468" s="55" t="s">
        <v>423</v>
      </c>
      <c r="C28468" s="46">
        <v>32</v>
      </c>
      <c r="D28468" s="69" t="s">
        <v>29560</v>
      </c>
      <c r="E28468" s="62"/>
      <c r="F28468" s="62" t="str">
        <f>IF(INDEX(I.Gas.P4Y1C1E1,32)="","",INDEX(I.Gas.P4Y1C1E1,32))</f>
        <v/>
      </c>
      <c r="G28468" s="62"/>
      <c r="H28468" s="46" t="str">
        <f>IF(OR(I.Developer.P4=FALSE,I.Facility.StandardPart="Part 2"),"Complete",IF(I.Product.P4GasToPowerStatus&lt;&gt;"Yes","Complete",IF(AND(I.Gas.P4Y1Count&gt;=32,F28468=""),"Incomplete","Complete")))</f>
        <v>Complete</v>
      </c>
      <c r="I28468" s="48" t="s">
        <v>3647</v>
      </c>
    </row>
    <row r="28469" spans="2:9" ht="15" customHeight="1" x14ac:dyDescent="0.25">
      <c r="B28469" s="55" t="s">
        <v>423</v>
      </c>
      <c r="C28469" s="46">
        <v>33</v>
      </c>
      <c r="D28469" s="69" t="s">
        <v>29560</v>
      </c>
      <c r="E28469" s="62"/>
      <c r="F28469" s="62" t="str">
        <f>IF(INDEX(I.Gas.P4Y1C1E1,33)="","",INDEX(I.Gas.P4Y1C1E1,33))</f>
        <v/>
      </c>
      <c r="G28469" s="62"/>
      <c r="H28469" s="46" t="str">
        <f>IF(OR(I.Developer.P4=FALSE,I.Facility.StandardPart="Part 2"),"Complete",IF(I.Product.P4GasToPowerStatus&lt;&gt;"Yes","Complete",IF(AND(I.Gas.P4Y1Count&gt;=33,F28469=""),"Incomplete","Complete")))</f>
        <v>Complete</v>
      </c>
      <c r="I28469" s="48" t="s">
        <v>3648</v>
      </c>
    </row>
    <row r="28470" spans="2:9" ht="15" customHeight="1" x14ac:dyDescent="0.25">
      <c r="B28470" s="55" t="s">
        <v>423</v>
      </c>
      <c r="C28470" s="46">
        <v>34</v>
      </c>
      <c r="D28470" s="69" t="s">
        <v>29560</v>
      </c>
      <c r="E28470" s="62"/>
      <c r="F28470" s="62" t="str">
        <f>IF(INDEX(I.Gas.P4Y1C1E1,34)="","",INDEX(I.Gas.P4Y1C1E1,34))</f>
        <v/>
      </c>
      <c r="G28470" s="62"/>
      <c r="H28470" s="46" t="str">
        <f>IF(OR(I.Developer.P4=FALSE,I.Facility.StandardPart="Part 2"),"Complete",IF(I.Product.P4GasToPowerStatus&lt;&gt;"Yes","Complete",IF(AND(I.Gas.P4Y1Count&gt;=34,F28470=""),"Incomplete","Complete")))</f>
        <v>Complete</v>
      </c>
      <c r="I28470" s="48" t="s">
        <v>3649</v>
      </c>
    </row>
    <row r="28471" spans="2:9" ht="15" customHeight="1" x14ac:dyDescent="0.25">
      <c r="B28471" s="55" t="s">
        <v>423</v>
      </c>
      <c r="C28471" s="46">
        <v>35</v>
      </c>
      <c r="D28471" s="69" t="s">
        <v>29560</v>
      </c>
      <c r="E28471" s="62"/>
      <c r="F28471" s="62" t="str">
        <f>IF(INDEX(I.Gas.P4Y1C1E1,35)="","",INDEX(I.Gas.P4Y1C1E1,35))</f>
        <v/>
      </c>
      <c r="G28471" s="62"/>
      <c r="H28471" s="46" t="str">
        <f>IF(OR(I.Developer.P4=FALSE,I.Facility.StandardPart="Part 2"),"Complete",IF(I.Product.P4GasToPowerStatus&lt;&gt;"Yes","Complete",IF(AND(I.Gas.P4Y1Count&gt;=35,F28471=""),"Incomplete","Complete")))</f>
        <v>Complete</v>
      </c>
      <c r="I28471" s="48" t="s">
        <v>3650</v>
      </c>
    </row>
    <row r="28472" spans="2:9" ht="15" customHeight="1" x14ac:dyDescent="0.25">
      <c r="B28472" s="55" t="s">
        <v>423</v>
      </c>
      <c r="C28472" s="46">
        <v>36</v>
      </c>
      <c r="D28472" s="69" t="s">
        <v>29560</v>
      </c>
      <c r="E28472" s="62"/>
      <c r="F28472" s="62" t="str">
        <f>IF(INDEX(I.Gas.P4Y1C1E1,36)="","",INDEX(I.Gas.P4Y1C1E1,36))</f>
        <v/>
      </c>
      <c r="G28472" s="62"/>
      <c r="H28472" s="46" t="str">
        <f>IF(OR(I.Developer.P4=FALSE,I.Facility.StandardPart="Part 2"),"Complete",IF(I.Product.P4GasToPowerStatus&lt;&gt;"Yes","Complete",IF(AND(I.Gas.P4Y1Count&gt;=36,F28472=""),"Incomplete","Complete")))</f>
        <v>Complete</v>
      </c>
      <c r="I28472" s="48" t="s">
        <v>3651</v>
      </c>
    </row>
    <row r="28473" spans="2:9" ht="15" customHeight="1" x14ac:dyDescent="0.25">
      <c r="B28473" s="55" t="s">
        <v>423</v>
      </c>
      <c r="C28473" s="46">
        <v>37</v>
      </c>
      <c r="D28473" s="69" t="s">
        <v>29560</v>
      </c>
      <c r="E28473" s="62"/>
      <c r="F28473" s="62" t="str">
        <f>IF(INDEX(I.Gas.P4Y1C1E1,37)="","",INDEX(I.Gas.P4Y1C1E1,37))</f>
        <v/>
      </c>
      <c r="G28473" s="62"/>
      <c r="H28473" s="46" t="str">
        <f>IF(OR(I.Developer.P4=FALSE,I.Facility.StandardPart="Part 2"),"Complete",IF(I.Product.P4GasToPowerStatus&lt;&gt;"Yes","Complete",IF(AND(I.Gas.P4Y1Count&gt;=37,F28473=""),"Incomplete","Complete")))</f>
        <v>Complete</v>
      </c>
      <c r="I28473" s="48" t="s">
        <v>3652</v>
      </c>
    </row>
    <row r="28474" spans="2:9" ht="15" customHeight="1" x14ac:dyDescent="0.25">
      <c r="B28474" s="55" t="s">
        <v>423</v>
      </c>
      <c r="C28474" s="46">
        <v>38</v>
      </c>
      <c r="D28474" s="69" t="s">
        <v>29560</v>
      </c>
      <c r="E28474" s="62"/>
      <c r="F28474" s="62" t="str">
        <f>IF(INDEX(I.Gas.P4Y1C1E1,38)="","",INDEX(I.Gas.P4Y1C1E1,38))</f>
        <v/>
      </c>
      <c r="G28474" s="62"/>
      <c r="H28474" s="46" t="str">
        <f>IF(OR(I.Developer.P4=FALSE,I.Facility.StandardPart="Part 2"),"Complete",IF(I.Product.P4GasToPowerStatus&lt;&gt;"Yes","Complete",IF(AND(I.Gas.P4Y1Count&gt;=38,F28474=""),"Incomplete","Complete")))</f>
        <v>Complete</v>
      </c>
      <c r="I28474" s="48" t="s">
        <v>3653</v>
      </c>
    </row>
    <row r="28475" spans="2:9" ht="15" customHeight="1" x14ac:dyDescent="0.25">
      <c r="B28475" s="55" t="s">
        <v>423</v>
      </c>
      <c r="C28475" s="46">
        <v>39</v>
      </c>
      <c r="D28475" s="69" t="s">
        <v>29560</v>
      </c>
      <c r="E28475" s="62"/>
      <c r="F28475" s="62" t="str">
        <f>IF(INDEX(I.Gas.P4Y1C1E1,39)="","",INDEX(I.Gas.P4Y1C1E1,39))</f>
        <v/>
      </c>
      <c r="G28475" s="62"/>
      <c r="H28475" s="46" t="str">
        <f>IF(OR(I.Developer.P4=FALSE,I.Facility.StandardPart="Part 2"),"Complete",IF(I.Product.P4GasToPowerStatus&lt;&gt;"Yes","Complete",IF(AND(I.Gas.P4Y1Count&gt;=39,F28475=""),"Incomplete","Complete")))</f>
        <v>Complete</v>
      </c>
      <c r="I28475" s="48" t="s">
        <v>3654</v>
      </c>
    </row>
    <row r="28476" spans="2:9" ht="15" customHeight="1" x14ac:dyDescent="0.25">
      <c r="B28476" s="55" t="s">
        <v>423</v>
      </c>
      <c r="C28476" s="46">
        <v>40</v>
      </c>
      <c r="D28476" s="69" t="s">
        <v>29560</v>
      </c>
      <c r="E28476" s="62"/>
      <c r="F28476" s="62" t="str">
        <f>IF(INDEX(I.Gas.P4Y1C1E1,40)="","",INDEX(I.Gas.P4Y1C1E1,40))</f>
        <v/>
      </c>
      <c r="G28476" s="62"/>
      <c r="H28476" s="46" t="str">
        <f>IF(OR(I.Developer.P4=FALSE,I.Facility.StandardPart="Part 2"),"Complete",IF(I.Product.P4GasToPowerStatus&lt;&gt;"Yes","Complete",IF(AND(I.Gas.P4Y1Count&gt;=40,F28476=""),"Incomplete","Complete")))</f>
        <v>Complete</v>
      </c>
      <c r="I28476" s="48" t="s">
        <v>3655</v>
      </c>
    </row>
    <row r="28477" spans="2:9" ht="15" customHeight="1" x14ac:dyDescent="0.25">
      <c r="B28477" s="55" t="s">
        <v>423</v>
      </c>
      <c r="C28477" s="46">
        <v>41</v>
      </c>
      <c r="D28477" s="69" t="s">
        <v>29560</v>
      </c>
      <c r="E28477" s="62"/>
      <c r="F28477" s="62" t="str">
        <f>IF(INDEX(I.Gas.P4Y1C1E1,41)="","",INDEX(I.Gas.P4Y1C1E1,41))</f>
        <v/>
      </c>
      <c r="G28477" s="62"/>
      <c r="H28477" s="46" t="str">
        <f>IF(OR(I.Developer.P4=FALSE,I.Facility.StandardPart="Part 2"),"Complete",IF(I.Product.P4GasToPowerStatus&lt;&gt;"Yes","Complete",IF(AND(I.Gas.P4Y1Count&gt;=41,F28477=""),"Incomplete","Complete")))</f>
        <v>Complete</v>
      </c>
      <c r="I28477" s="48" t="s">
        <v>3656</v>
      </c>
    </row>
    <row r="28478" spans="2:9" ht="15" customHeight="1" x14ac:dyDescent="0.25">
      <c r="B28478" s="55" t="s">
        <v>423</v>
      </c>
      <c r="C28478" s="46">
        <v>42</v>
      </c>
      <c r="D28478" s="69" t="s">
        <v>29560</v>
      </c>
      <c r="E28478" s="62"/>
      <c r="F28478" s="62" t="str">
        <f>IF(INDEX(I.Gas.P4Y1C1E1,42)="","",INDEX(I.Gas.P4Y1C1E1,42))</f>
        <v/>
      </c>
      <c r="G28478" s="62"/>
      <c r="H28478" s="46" t="str">
        <f>IF(OR(I.Developer.P4=FALSE,I.Facility.StandardPart="Part 2"),"Complete",IF(I.Product.P4GasToPowerStatus&lt;&gt;"Yes","Complete",IF(AND(I.Gas.P4Y1Count&gt;=42,F28478=""),"Incomplete","Complete")))</f>
        <v>Complete</v>
      </c>
      <c r="I28478" s="48" t="s">
        <v>3657</v>
      </c>
    </row>
    <row r="28479" spans="2:9" ht="15" customHeight="1" x14ac:dyDescent="0.25">
      <c r="B28479" s="55" t="s">
        <v>423</v>
      </c>
      <c r="C28479" s="46">
        <v>43</v>
      </c>
      <c r="D28479" s="69" t="s">
        <v>29560</v>
      </c>
      <c r="E28479" s="62"/>
      <c r="F28479" s="62" t="str">
        <f>IF(INDEX(I.Gas.P4Y1C1E1,43)="","",INDEX(I.Gas.P4Y1C1E1,43))</f>
        <v/>
      </c>
      <c r="G28479" s="62"/>
      <c r="H28479" s="46" t="str">
        <f>IF(OR(I.Developer.P4=FALSE,I.Facility.StandardPart="Part 2"),"Complete",IF(I.Product.P4GasToPowerStatus&lt;&gt;"Yes","Complete",IF(AND(I.Gas.P4Y1Count&gt;=43,F28479=""),"Incomplete","Complete")))</f>
        <v>Complete</v>
      </c>
      <c r="I28479" s="48" t="s">
        <v>3658</v>
      </c>
    </row>
    <row r="28480" spans="2:9" ht="15" customHeight="1" x14ac:dyDescent="0.25">
      <c r="B28480" s="55" t="s">
        <v>423</v>
      </c>
      <c r="C28480" s="46">
        <v>44</v>
      </c>
      <c r="D28480" s="69" t="s">
        <v>29560</v>
      </c>
      <c r="E28480" s="62"/>
      <c r="F28480" s="62" t="str">
        <f>IF(INDEX(I.Gas.P4Y1C1E1,44)="","",INDEX(I.Gas.P4Y1C1E1,44))</f>
        <v/>
      </c>
      <c r="G28480" s="62"/>
      <c r="H28480" s="46" t="str">
        <f>IF(OR(I.Developer.P4=FALSE,I.Facility.StandardPart="Part 2"),"Complete",IF(I.Product.P4GasToPowerStatus&lt;&gt;"Yes","Complete",IF(AND(I.Gas.P4Y1Count&gt;=44,F28480=""),"Incomplete","Complete")))</f>
        <v>Complete</v>
      </c>
      <c r="I28480" s="48" t="s">
        <v>3659</v>
      </c>
    </row>
    <row r="28481" spans="2:9" ht="15" customHeight="1" x14ac:dyDescent="0.25">
      <c r="B28481" s="55" t="s">
        <v>423</v>
      </c>
      <c r="C28481" s="46">
        <v>45</v>
      </c>
      <c r="D28481" s="69" t="s">
        <v>29560</v>
      </c>
      <c r="E28481" s="62"/>
      <c r="F28481" s="62" t="str">
        <f>IF(INDEX(I.Gas.P4Y1C1E1,45)="","",INDEX(I.Gas.P4Y1C1E1,45))</f>
        <v/>
      </c>
      <c r="G28481" s="62"/>
      <c r="H28481" s="46" t="str">
        <f>IF(OR(I.Developer.P4=FALSE,I.Facility.StandardPart="Part 2"),"Complete",IF(I.Product.P4GasToPowerStatus&lt;&gt;"Yes","Complete",IF(AND(I.Gas.P4Y1Count&gt;=45,F28481=""),"Incomplete","Complete")))</f>
        <v>Complete</v>
      </c>
      <c r="I28481" s="48" t="s">
        <v>3660</v>
      </c>
    </row>
    <row r="28482" spans="2:9" ht="15" customHeight="1" x14ac:dyDescent="0.25">
      <c r="B28482" s="55" t="s">
        <v>423</v>
      </c>
      <c r="C28482" s="46">
        <v>46</v>
      </c>
      <c r="D28482" s="69" t="s">
        <v>29560</v>
      </c>
      <c r="E28482" s="62"/>
      <c r="F28482" s="62" t="str">
        <f>IF(INDEX(I.Gas.P4Y1C1E1,46)="","",INDEX(I.Gas.P4Y1C1E1,46))</f>
        <v/>
      </c>
      <c r="G28482" s="62"/>
      <c r="H28482" s="46" t="str">
        <f>IF(OR(I.Developer.P4=FALSE,I.Facility.StandardPart="Part 2"),"Complete",IF(I.Product.P4GasToPowerStatus&lt;&gt;"Yes","Complete",IF(AND(I.Gas.P4Y1Count&gt;=46,F28482=""),"Incomplete","Complete")))</f>
        <v>Complete</v>
      </c>
      <c r="I28482" s="48" t="s">
        <v>3661</v>
      </c>
    </row>
    <row r="28483" spans="2:9" ht="15" customHeight="1" x14ac:dyDescent="0.25">
      <c r="B28483" s="55" t="s">
        <v>423</v>
      </c>
      <c r="C28483" s="46">
        <v>47</v>
      </c>
      <c r="D28483" s="69" t="s">
        <v>29560</v>
      </c>
      <c r="E28483" s="62"/>
      <c r="F28483" s="62" t="str">
        <f>IF(INDEX(I.Gas.P4Y1C1E1,47)="","",INDEX(I.Gas.P4Y1C1E1,47))</f>
        <v/>
      </c>
      <c r="G28483" s="62"/>
      <c r="H28483" s="46" t="str">
        <f>IF(OR(I.Developer.P4=FALSE,I.Facility.StandardPart="Part 2"),"Complete",IF(I.Product.P4GasToPowerStatus&lt;&gt;"Yes","Complete",IF(AND(I.Gas.P4Y1Count&gt;=47,F28483=""),"Incomplete","Complete")))</f>
        <v>Complete</v>
      </c>
      <c r="I28483" s="48" t="s">
        <v>3662</v>
      </c>
    </row>
    <row r="28484" spans="2:9" ht="15" customHeight="1" x14ac:dyDescent="0.25">
      <c r="B28484" s="55" t="s">
        <v>423</v>
      </c>
      <c r="C28484" s="46">
        <v>48</v>
      </c>
      <c r="D28484" s="69" t="s">
        <v>29560</v>
      </c>
      <c r="E28484" s="62"/>
      <c r="F28484" s="62" t="str">
        <f>IF(INDEX(I.Gas.P4Y1C1E1,48)="","",INDEX(I.Gas.P4Y1C1E1,48))</f>
        <v/>
      </c>
      <c r="G28484" s="62"/>
      <c r="H28484" s="46" t="str">
        <f>IF(OR(I.Developer.P4=FALSE,I.Facility.StandardPart="Part 2"),"Complete",IF(I.Product.P4GasToPowerStatus&lt;&gt;"Yes","Complete",IF(AND(I.Gas.P4Y1Count&gt;=48,F28484=""),"Incomplete","Complete")))</f>
        <v>Complete</v>
      </c>
      <c r="I28484" s="48" t="s">
        <v>3663</v>
      </c>
    </row>
    <row r="28485" spans="2:9" ht="15" customHeight="1" x14ac:dyDescent="0.25">
      <c r="B28485" s="55" t="s">
        <v>423</v>
      </c>
      <c r="C28485" s="46">
        <v>49</v>
      </c>
      <c r="D28485" s="69" t="s">
        <v>29560</v>
      </c>
      <c r="E28485" s="62"/>
      <c r="F28485" s="62" t="str">
        <f>IF(INDEX(I.Gas.P4Y1C1E1,49)="","",INDEX(I.Gas.P4Y1C1E1,49))</f>
        <v/>
      </c>
      <c r="G28485" s="62"/>
      <c r="H28485" s="46" t="str">
        <f>IF(OR(I.Developer.P4=FALSE,I.Facility.StandardPart="Part 2"),"Complete",IF(I.Product.P4GasToPowerStatus&lt;&gt;"Yes","Complete",IF(AND(I.Gas.P4Y1Count&gt;=49,F28485=""),"Incomplete","Complete")))</f>
        <v>Complete</v>
      </c>
      <c r="I28485" s="48" t="s">
        <v>3664</v>
      </c>
    </row>
    <row r="28486" spans="2:9" ht="15" customHeight="1" x14ac:dyDescent="0.25">
      <c r="B28486" s="56" t="s">
        <v>423</v>
      </c>
      <c r="C28486" s="57">
        <v>50</v>
      </c>
      <c r="D28486" s="71" t="s">
        <v>29560</v>
      </c>
      <c r="E28486" s="61"/>
      <c r="F28486" s="61" t="str">
        <f>IF(INDEX(I.Gas.P4Y1C1E1,50)="","",INDEX(I.Gas.P4Y1C1E1,50))</f>
        <v/>
      </c>
      <c r="G28486" s="61"/>
      <c r="H28486" s="57" t="str">
        <f>IF(OR(I.Developer.P4=FALSE,I.Facility.StandardPart="Part 2"),"Complete",IF(I.Product.P4GasToPowerStatus&lt;&gt;"Yes","Complete",IF(AND(I.Gas.P4Y1Count&gt;=50,F28486=""),"Incomplete","Complete")))</f>
        <v>Complete</v>
      </c>
      <c r="I28486" s="49" t="s">
        <v>3665</v>
      </c>
    </row>
    <row r="28487" spans="2:9" ht="15" customHeight="1" x14ac:dyDescent="0.25">
      <c r="B28487" s="55" t="s">
        <v>424</v>
      </c>
      <c r="C28487" s="46">
        <v>1</v>
      </c>
      <c r="D28487" s="69" t="s">
        <v>29561</v>
      </c>
      <c r="E28487" s="62"/>
      <c r="F28487" s="62" t="str">
        <f>IF(INDEX(I.Gas.P4Y1C1E2,1)="","",INDEX(I.Gas.P4Y1C1E2,1))</f>
        <v/>
      </c>
      <c r="G28487" s="62"/>
      <c r="H28487" s="46" t="str">
        <f>IF(OR(I.Developer.P4=FALSE,I.Facility.StandardPart="Part 2"),"Complete",IF(I.Product.P4GasToPowerStatus&lt;&gt;"Yes","Complete",IF(AND(I.Gas.P4Y1Count&gt;=1,F28487=""),"Incomplete","Complete")))</f>
        <v>Complete</v>
      </c>
      <c r="I28487" s="48" t="s">
        <v>3666</v>
      </c>
    </row>
    <row r="28488" spans="2:9" ht="15" customHeight="1" x14ac:dyDescent="0.25">
      <c r="B28488" s="55" t="s">
        <v>424</v>
      </c>
      <c r="C28488" s="46">
        <v>2</v>
      </c>
      <c r="D28488" s="69" t="s">
        <v>29561</v>
      </c>
      <c r="E28488" s="62"/>
      <c r="F28488" s="62" t="str">
        <f>IF(INDEX(I.Gas.P4Y1C1E2,2)="","",INDEX(I.Gas.P4Y1C1E2,2))</f>
        <v/>
      </c>
      <c r="G28488" s="62"/>
      <c r="H28488" s="46" t="str">
        <f>IF(OR(I.Developer.P4=FALSE,I.Facility.StandardPart="Part 2"),"Complete",IF(I.Product.P4GasToPowerStatus&lt;&gt;"Yes","Complete",IF(AND(I.Gas.P4Y1Count&gt;=2,F28488=""),"Incomplete","Complete")))</f>
        <v>Complete</v>
      </c>
      <c r="I28488" s="48" t="s">
        <v>3667</v>
      </c>
    </row>
    <row r="28489" spans="2:9" ht="15" customHeight="1" x14ac:dyDescent="0.25">
      <c r="B28489" s="55" t="s">
        <v>424</v>
      </c>
      <c r="C28489" s="46">
        <v>3</v>
      </c>
      <c r="D28489" s="69" t="s">
        <v>29561</v>
      </c>
      <c r="E28489" s="62"/>
      <c r="F28489" s="62" t="str">
        <f>IF(INDEX(I.Gas.P4Y1C1E2,3)="","",INDEX(I.Gas.P4Y1C1E2,3))</f>
        <v/>
      </c>
      <c r="G28489" s="62"/>
      <c r="H28489" s="46" t="str">
        <f>IF(OR(I.Developer.P4=FALSE,I.Facility.StandardPart="Part 2"),"Complete",IF(I.Product.P4GasToPowerStatus&lt;&gt;"Yes","Complete",IF(AND(I.Gas.P4Y1Count&gt;=3,F28489=""),"Incomplete","Complete")))</f>
        <v>Complete</v>
      </c>
      <c r="I28489" s="48" t="s">
        <v>3668</v>
      </c>
    </row>
    <row r="28490" spans="2:9" ht="15" customHeight="1" x14ac:dyDescent="0.25">
      <c r="B28490" s="55" t="s">
        <v>424</v>
      </c>
      <c r="C28490" s="46">
        <v>4</v>
      </c>
      <c r="D28490" s="69" t="s">
        <v>29561</v>
      </c>
      <c r="E28490" s="62"/>
      <c r="F28490" s="62" t="str">
        <f>IF(INDEX(I.Gas.P4Y1C1E2,4)="","",INDEX(I.Gas.P4Y1C1E2,4))</f>
        <v/>
      </c>
      <c r="G28490" s="62"/>
      <c r="H28490" s="46" t="str">
        <f>IF(OR(I.Developer.P4=FALSE,I.Facility.StandardPart="Part 2"),"Complete",IF(I.Product.P4GasToPowerStatus&lt;&gt;"Yes","Complete",IF(AND(I.Gas.P4Y1Count&gt;=4,F28490=""),"Incomplete","Complete")))</f>
        <v>Complete</v>
      </c>
      <c r="I28490" s="48" t="s">
        <v>3669</v>
      </c>
    </row>
    <row r="28491" spans="2:9" ht="15" customHeight="1" x14ac:dyDescent="0.25">
      <c r="B28491" s="55" t="s">
        <v>424</v>
      </c>
      <c r="C28491" s="46">
        <v>5</v>
      </c>
      <c r="D28491" s="69" t="s">
        <v>29561</v>
      </c>
      <c r="E28491" s="62"/>
      <c r="F28491" s="62" t="str">
        <f>IF(INDEX(I.Gas.P4Y1C1E2,5)="","",INDEX(I.Gas.P4Y1C1E2,5))</f>
        <v/>
      </c>
      <c r="G28491" s="62"/>
      <c r="H28491" s="46" t="str">
        <f>IF(OR(I.Developer.P4=FALSE,I.Facility.StandardPart="Part 2"),"Complete",IF(I.Product.P4GasToPowerStatus&lt;&gt;"Yes","Complete",IF(AND(I.Gas.P4Y1Count&gt;=5,F28491=""),"Incomplete","Complete")))</f>
        <v>Complete</v>
      </c>
      <c r="I28491" s="48" t="s">
        <v>3670</v>
      </c>
    </row>
    <row r="28492" spans="2:9" ht="15" customHeight="1" x14ac:dyDescent="0.25">
      <c r="B28492" s="55" t="s">
        <v>424</v>
      </c>
      <c r="C28492" s="46">
        <v>6</v>
      </c>
      <c r="D28492" s="69" t="s">
        <v>29561</v>
      </c>
      <c r="E28492" s="62"/>
      <c r="F28492" s="62" t="str">
        <f>IF(INDEX(I.Gas.P4Y1C1E2,6)="","",INDEX(I.Gas.P4Y1C1E2,6))</f>
        <v/>
      </c>
      <c r="G28492" s="62"/>
      <c r="H28492" s="46" t="str">
        <f>IF(OR(I.Developer.P4=FALSE,I.Facility.StandardPart="Part 2"),"Complete",IF(I.Product.P4GasToPowerStatus&lt;&gt;"Yes","Complete",IF(AND(I.Gas.P4Y1Count&gt;=6,F28492=""),"Incomplete","Complete")))</f>
        <v>Complete</v>
      </c>
      <c r="I28492" s="48" t="s">
        <v>3671</v>
      </c>
    </row>
    <row r="28493" spans="2:9" ht="15" customHeight="1" x14ac:dyDescent="0.25">
      <c r="B28493" s="55" t="s">
        <v>424</v>
      </c>
      <c r="C28493" s="46">
        <v>7</v>
      </c>
      <c r="D28493" s="69" t="s">
        <v>29561</v>
      </c>
      <c r="E28493" s="62"/>
      <c r="F28493" s="62" t="str">
        <f>IF(INDEX(I.Gas.P4Y1C1E2,7)="","",INDEX(I.Gas.P4Y1C1E2,7))</f>
        <v/>
      </c>
      <c r="G28493" s="62"/>
      <c r="H28493" s="46" t="str">
        <f>IF(OR(I.Developer.P4=FALSE,I.Facility.StandardPart="Part 2"),"Complete",IF(I.Product.P4GasToPowerStatus&lt;&gt;"Yes","Complete",IF(AND(I.Gas.P4Y1Count&gt;=7,F28493=""),"Incomplete","Complete")))</f>
        <v>Complete</v>
      </c>
      <c r="I28493" s="48" t="s">
        <v>3672</v>
      </c>
    </row>
    <row r="28494" spans="2:9" ht="15" customHeight="1" x14ac:dyDescent="0.25">
      <c r="B28494" s="55" t="s">
        <v>424</v>
      </c>
      <c r="C28494" s="46">
        <v>8</v>
      </c>
      <c r="D28494" s="69" t="s">
        <v>29561</v>
      </c>
      <c r="E28494" s="62"/>
      <c r="F28494" s="62" t="str">
        <f>IF(INDEX(I.Gas.P4Y1C1E2,8)="","",INDEX(I.Gas.P4Y1C1E2,8))</f>
        <v/>
      </c>
      <c r="G28494" s="62"/>
      <c r="H28494" s="46" t="str">
        <f>IF(OR(I.Developer.P4=FALSE,I.Facility.StandardPart="Part 2"),"Complete",IF(I.Product.P4GasToPowerStatus&lt;&gt;"Yes","Complete",IF(AND(I.Gas.P4Y1Count&gt;=8,F28494=""),"Incomplete","Complete")))</f>
        <v>Complete</v>
      </c>
      <c r="I28494" s="48" t="s">
        <v>3673</v>
      </c>
    </row>
    <row r="28495" spans="2:9" ht="15" customHeight="1" x14ac:dyDescent="0.25">
      <c r="B28495" s="55" t="s">
        <v>424</v>
      </c>
      <c r="C28495" s="46">
        <v>9</v>
      </c>
      <c r="D28495" s="69" t="s">
        <v>29561</v>
      </c>
      <c r="E28495" s="62"/>
      <c r="F28495" s="62" t="str">
        <f>IF(INDEX(I.Gas.P4Y1C1E2,9)="","",INDEX(I.Gas.P4Y1C1E2,9))</f>
        <v/>
      </c>
      <c r="G28495" s="62"/>
      <c r="H28495" s="46" t="str">
        <f>IF(OR(I.Developer.P4=FALSE,I.Facility.StandardPart="Part 2"),"Complete",IF(I.Product.P4GasToPowerStatus&lt;&gt;"Yes","Complete",IF(AND(I.Gas.P4Y1Count&gt;=9,F28495=""),"Incomplete","Complete")))</f>
        <v>Complete</v>
      </c>
      <c r="I28495" s="48" t="s">
        <v>3674</v>
      </c>
    </row>
    <row r="28496" spans="2:9" ht="15" customHeight="1" x14ac:dyDescent="0.25">
      <c r="B28496" s="55" t="s">
        <v>424</v>
      </c>
      <c r="C28496" s="46">
        <v>10</v>
      </c>
      <c r="D28496" s="69" t="s">
        <v>29561</v>
      </c>
      <c r="E28496" s="62"/>
      <c r="F28496" s="62" t="str">
        <f>IF(INDEX(I.Gas.P4Y1C1E2,10)="","",INDEX(I.Gas.P4Y1C1E2,10))</f>
        <v/>
      </c>
      <c r="G28496" s="62"/>
      <c r="H28496" s="46" t="str">
        <f>IF(OR(I.Developer.P4=FALSE,I.Facility.StandardPart="Part 2"),"Complete",IF(I.Product.P4GasToPowerStatus&lt;&gt;"Yes","Complete",IF(AND(I.Gas.P4Y1Count&gt;=10,F28496=""),"Incomplete","Complete")))</f>
        <v>Complete</v>
      </c>
      <c r="I28496" s="48" t="s">
        <v>3675</v>
      </c>
    </row>
    <row r="28497" spans="2:9" ht="15" customHeight="1" x14ac:dyDescent="0.25">
      <c r="B28497" s="55" t="s">
        <v>424</v>
      </c>
      <c r="C28497" s="46">
        <v>11</v>
      </c>
      <c r="D28497" s="69" t="s">
        <v>29561</v>
      </c>
      <c r="E28497" s="62"/>
      <c r="F28497" s="62" t="str">
        <f>IF(INDEX(I.Gas.P4Y1C1E2,11)="","",INDEX(I.Gas.P4Y1C1E2,11))</f>
        <v/>
      </c>
      <c r="G28497" s="62"/>
      <c r="H28497" s="46" t="str">
        <f>IF(OR(I.Developer.P4=FALSE,I.Facility.StandardPart="Part 2"),"Complete",IF(I.Product.P4GasToPowerStatus&lt;&gt;"Yes","Complete",IF(AND(I.Gas.P4Y1Count&gt;=11,F28497=""),"Incomplete","Complete")))</f>
        <v>Complete</v>
      </c>
      <c r="I28497" s="48" t="s">
        <v>3676</v>
      </c>
    </row>
    <row r="28498" spans="2:9" ht="15" customHeight="1" x14ac:dyDescent="0.25">
      <c r="B28498" s="55" t="s">
        <v>424</v>
      </c>
      <c r="C28498" s="46">
        <v>12</v>
      </c>
      <c r="D28498" s="69" t="s">
        <v>29561</v>
      </c>
      <c r="E28498" s="62"/>
      <c r="F28498" s="62" t="str">
        <f>IF(INDEX(I.Gas.P4Y1C1E2,12)="","",INDEX(I.Gas.P4Y1C1E2,12))</f>
        <v/>
      </c>
      <c r="G28498" s="62"/>
      <c r="H28498" s="46" t="str">
        <f>IF(OR(I.Developer.P4=FALSE,I.Facility.StandardPart="Part 2"),"Complete",IF(I.Product.P4GasToPowerStatus&lt;&gt;"Yes","Complete",IF(AND(I.Gas.P4Y1Count&gt;=12,F28498=""),"Incomplete","Complete")))</f>
        <v>Complete</v>
      </c>
      <c r="I28498" s="48" t="s">
        <v>3677</v>
      </c>
    </row>
    <row r="28499" spans="2:9" ht="15" customHeight="1" x14ac:dyDescent="0.25">
      <c r="B28499" s="55" t="s">
        <v>424</v>
      </c>
      <c r="C28499" s="46">
        <v>13</v>
      </c>
      <c r="D28499" s="69" t="s">
        <v>29561</v>
      </c>
      <c r="E28499" s="62"/>
      <c r="F28499" s="62" t="str">
        <f>IF(INDEX(I.Gas.P4Y1C1E2,13)="","",INDEX(I.Gas.P4Y1C1E2,13))</f>
        <v/>
      </c>
      <c r="G28499" s="62"/>
      <c r="H28499" s="46" t="str">
        <f>IF(OR(I.Developer.P4=FALSE,I.Facility.StandardPart="Part 2"),"Complete",IF(I.Product.P4GasToPowerStatus&lt;&gt;"Yes","Complete",IF(AND(I.Gas.P4Y1Count&gt;=13,F28499=""),"Incomplete","Complete")))</f>
        <v>Complete</v>
      </c>
      <c r="I28499" s="48" t="s">
        <v>3678</v>
      </c>
    </row>
    <row r="28500" spans="2:9" ht="15" customHeight="1" x14ac:dyDescent="0.25">
      <c r="B28500" s="55" t="s">
        <v>424</v>
      </c>
      <c r="C28500" s="46">
        <v>14</v>
      </c>
      <c r="D28500" s="69" t="s">
        <v>29561</v>
      </c>
      <c r="E28500" s="62"/>
      <c r="F28500" s="62" t="str">
        <f>IF(INDEX(I.Gas.P4Y1C1E2,14)="","",INDEX(I.Gas.P4Y1C1E2,14))</f>
        <v/>
      </c>
      <c r="G28500" s="62"/>
      <c r="H28500" s="46" t="str">
        <f>IF(OR(I.Developer.P4=FALSE,I.Facility.StandardPart="Part 2"),"Complete",IF(I.Product.P4GasToPowerStatus&lt;&gt;"Yes","Complete",IF(AND(I.Gas.P4Y1Count&gt;=14,F28500=""),"Incomplete","Complete")))</f>
        <v>Complete</v>
      </c>
      <c r="I28500" s="48" t="s">
        <v>3679</v>
      </c>
    </row>
    <row r="28501" spans="2:9" ht="15" customHeight="1" x14ac:dyDescent="0.25">
      <c r="B28501" s="55" t="s">
        <v>424</v>
      </c>
      <c r="C28501" s="46">
        <v>15</v>
      </c>
      <c r="D28501" s="69" t="s">
        <v>29561</v>
      </c>
      <c r="E28501" s="62"/>
      <c r="F28501" s="62" t="str">
        <f>IF(INDEX(I.Gas.P4Y1C1E2,15)="","",INDEX(I.Gas.P4Y1C1E2,15))</f>
        <v/>
      </c>
      <c r="G28501" s="62"/>
      <c r="H28501" s="46" t="str">
        <f>IF(OR(I.Developer.P4=FALSE,I.Facility.StandardPart="Part 2"),"Complete",IF(I.Product.P4GasToPowerStatus&lt;&gt;"Yes","Complete",IF(AND(I.Gas.P4Y1Count&gt;=15,F28501=""),"Incomplete","Complete")))</f>
        <v>Complete</v>
      </c>
      <c r="I28501" s="48" t="s">
        <v>3680</v>
      </c>
    </row>
    <row r="28502" spans="2:9" ht="15" customHeight="1" x14ac:dyDescent="0.25">
      <c r="B28502" s="55" t="s">
        <v>424</v>
      </c>
      <c r="C28502" s="46">
        <v>16</v>
      </c>
      <c r="D28502" s="69" t="s">
        <v>29561</v>
      </c>
      <c r="E28502" s="62"/>
      <c r="F28502" s="62" t="str">
        <f>IF(INDEX(I.Gas.P4Y1C1E2,16)="","",INDEX(I.Gas.P4Y1C1E2,16))</f>
        <v/>
      </c>
      <c r="G28502" s="62"/>
      <c r="H28502" s="46" t="str">
        <f>IF(OR(I.Developer.P4=FALSE,I.Facility.StandardPart="Part 2"),"Complete",IF(I.Product.P4GasToPowerStatus&lt;&gt;"Yes","Complete",IF(AND(I.Gas.P4Y1Count&gt;=16,F28502=""),"Incomplete","Complete")))</f>
        <v>Complete</v>
      </c>
      <c r="I28502" s="48" t="s">
        <v>3681</v>
      </c>
    </row>
    <row r="28503" spans="2:9" ht="15" customHeight="1" x14ac:dyDescent="0.25">
      <c r="B28503" s="55" t="s">
        <v>424</v>
      </c>
      <c r="C28503" s="46">
        <v>17</v>
      </c>
      <c r="D28503" s="69" t="s">
        <v>29561</v>
      </c>
      <c r="E28503" s="62"/>
      <c r="F28503" s="62" t="str">
        <f>IF(INDEX(I.Gas.P4Y1C1E2,17)="","",INDEX(I.Gas.P4Y1C1E2,17))</f>
        <v/>
      </c>
      <c r="G28503" s="62"/>
      <c r="H28503" s="46" t="str">
        <f>IF(OR(I.Developer.P4=FALSE,I.Facility.StandardPart="Part 2"),"Complete",IF(I.Product.P4GasToPowerStatus&lt;&gt;"Yes","Complete",IF(AND(I.Gas.P4Y1Count&gt;=17,F28503=""),"Incomplete","Complete")))</f>
        <v>Complete</v>
      </c>
      <c r="I28503" s="48" t="s">
        <v>3682</v>
      </c>
    </row>
    <row r="28504" spans="2:9" ht="15" customHeight="1" x14ac:dyDescent="0.25">
      <c r="B28504" s="55" t="s">
        <v>424</v>
      </c>
      <c r="C28504" s="46">
        <v>18</v>
      </c>
      <c r="D28504" s="69" t="s">
        <v>29561</v>
      </c>
      <c r="E28504" s="62"/>
      <c r="F28504" s="62" t="str">
        <f>IF(INDEX(I.Gas.P4Y1C1E2,18)="","",INDEX(I.Gas.P4Y1C1E2,18))</f>
        <v/>
      </c>
      <c r="G28504" s="62"/>
      <c r="H28504" s="46" t="str">
        <f>IF(OR(I.Developer.P4=FALSE,I.Facility.StandardPart="Part 2"),"Complete",IF(I.Product.P4GasToPowerStatus&lt;&gt;"Yes","Complete",IF(AND(I.Gas.P4Y1Count&gt;=18,F28504=""),"Incomplete","Complete")))</f>
        <v>Complete</v>
      </c>
      <c r="I28504" s="48" t="s">
        <v>3683</v>
      </c>
    </row>
    <row r="28505" spans="2:9" ht="15" customHeight="1" x14ac:dyDescent="0.25">
      <c r="B28505" s="55" t="s">
        <v>424</v>
      </c>
      <c r="C28505" s="46">
        <v>19</v>
      </c>
      <c r="D28505" s="69" t="s">
        <v>29561</v>
      </c>
      <c r="E28505" s="62"/>
      <c r="F28505" s="62" t="str">
        <f>IF(INDEX(I.Gas.P4Y1C1E2,19)="","",INDEX(I.Gas.P4Y1C1E2,19))</f>
        <v/>
      </c>
      <c r="G28505" s="62"/>
      <c r="H28505" s="46" t="str">
        <f>IF(OR(I.Developer.P4=FALSE,I.Facility.StandardPart="Part 2"),"Complete",IF(I.Product.P4GasToPowerStatus&lt;&gt;"Yes","Complete",IF(AND(I.Gas.P4Y1Count&gt;=19,F28505=""),"Incomplete","Complete")))</f>
        <v>Complete</v>
      </c>
      <c r="I28505" s="48" t="s">
        <v>3684</v>
      </c>
    </row>
    <row r="28506" spans="2:9" ht="15" customHeight="1" x14ac:dyDescent="0.25">
      <c r="B28506" s="55" t="s">
        <v>424</v>
      </c>
      <c r="C28506" s="46">
        <v>20</v>
      </c>
      <c r="D28506" s="69" t="s">
        <v>29561</v>
      </c>
      <c r="E28506" s="62"/>
      <c r="F28506" s="62" t="str">
        <f>IF(INDEX(I.Gas.P4Y1C1E2,20)="","",INDEX(I.Gas.P4Y1C1E2,20))</f>
        <v/>
      </c>
      <c r="G28506" s="62"/>
      <c r="H28506" s="46" t="str">
        <f>IF(OR(I.Developer.P4=FALSE,I.Facility.StandardPart="Part 2"),"Complete",IF(I.Product.P4GasToPowerStatus&lt;&gt;"Yes","Complete",IF(AND(I.Gas.P4Y1Count&gt;=20,F28506=""),"Incomplete","Complete")))</f>
        <v>Complete</v>
      </c>
      <c r="I28506" s="48" t="s">
        <v>3685</v>
      </c>
    </row>
    <row r="28507" spans="2:9" ht="15" customHeight="1" x14ac:dyDescent="0.25">
      <c r="B28507" s="55" t="s">
        <v>424</v>
      </c>
      <c r="C28507" s="46">
        <v>21</v>
      </c>
      <c r="D28507" s="69" t="s">
        <v>29561</v>
      </c>
      <c r="E28507" s="62"/>
      <c r="F28507" s="62" t="str">
        <f>IF(INDEX(I.Gas.P4Y1C1E2,21)="","",INDEX(I.Gas.P4Y1C1E2,21))</f>
        <v/>
      </c>
      <c r="G28507" s="62"/>
      <c r="H28507" s="46" t="str">
        <f>IF(OR(I.Developer.P4=FALSE,I.Facility.StandardPart="Part 2"),"Complete",IF(I.Product.P4GasToPowerStatus&lt;&gt;"Yes","Complete",IF(AND(I.Gas.P4Y1Count&gt;=21,F28507=""),"Incomplete","Complete")))</f>
        <v>Complete</v>
      </c>
      <c r="I28507" s="48" t="s">
        <v>3686</v>
      </c>
    </row>
    <row r="28508" spans="2:9" ht="15" customHeight="1" x14ac:dyDescent="0.25">
      <c r="B28508" s="55" t="s">
        <v>424</v>
      </c>
      <c r="C28508" s="46">
        <v>22</v>
      </c>
      <c r="D28508" s="69" t="s">
        <v>29561</v>
      </c>
      <c r="E28508" s="62"/>
      <c r="F28508" s="62" t="str">
        <f>IF(INDEX(I.Gas.P4Y1C1E2,22)="","",INDEX(I.Gas.P4Y1C1E2,22))</f>
        <v/>
      </c>
      <c r="G28508" s="62"/>
      <c r="H28508" s="46" t="str">
        <f>IF(OR(I.Developer.P4=FALSE,I.Facility.StandardPart="Part 2"),"Complete",IF(I.Product.P4GasToPowerStatus&lt;&gt;"Yes","Complete",IF(AND(I.Gas.P4Y1Count&gt;=22,F28508=""),"Incomplete","Complete")))</f>
        <v>Complete</v>
      </c>
      <c r="I28508" s="48" t="s">
        <v>3687</v>
      </c>
    </row>
    <row r="28509" spans="2:9" ht="15" customHeight="1" x14ac:dyDescent="0.25">
      <c r="B28509" s="55" t="s">
        <v>424</v>
      </c>
      <c r="C28509" s="46">
        <v>23</v>
      </c>
      <c r="D28509" s="69" t="s">
        <v>29561</v>
      </c>
      <c r="E28509" s="62"/>
      <c r="F28509" s="62" t="str">
        <f>IF(INDEX(I.Gas.P4Y1C1E2,23)="","",INDEX(I.Gas.P4Y1C1E2,23))</f>
        <v/>
      </c>
      <c r="G28509" s="62"/>
      <c r="H28509" s="46" t="str">
        <f>IF(OR(I.Developer.P4=FALSE,I.Facility.StandardPart="Part 2"),"Complete",IF(I.Product.P4GasToPowerStatus&lt;&gt;"Yes","Complete",IF(AND(I.Gas.P4Y1Count&gt;=23,F28509=""),"Incomplete","Complete")))</f>
        <v>Complete</v>
      </c>
      <c r="I28509" s="48" t="s">
        <v>3688</v>
      </c>
    </row>
    <row r="28510" spans="2:9" ht="15" customHeight="1" x14ac:dyDescent="0.25">
      <c r="B28510" s="55" t="s">
        <v>424</v>
      </c>
      <c r="C28510" s="46">
        <v>24</v>
      </c>
      <c r="D28510" s="69" t="s">
        <v>29561</v>
      </c>
      <c r="E28510" s="62"/>
      <c r="F28510" s="62" t="str">
        <f>IF(INDEX(I.Gas.P4Y1C1E2,24)="","",INDEX(I.Gas.P4Y1C1E2,24))</f>
        <v/>
      </c>
      <c r="G28510" s="62"/>
      <c r="H28510" s="46" t="str">
        <f>IF(OR(I.Developer.P4=FALSE,I.Facility.StandardPart="Part 2"),"Complete",IF(I.Product.P4GasToPowerStatus&lt;&gt;"Yes","Complete",IF(AND(I.Gas.P4Y1Count&gt;=24,F28510=""),"Incomplete","Complete")))</f>
        <v>Complete</v>
      </c>
      <c r="I28510" s="48" t="s">
        <v>3689</v>
      </c>
    </row>
    <row r="28511" spans="2:9" ht="15" customHeight="1" x14ac:dyDescent="0.25">
      <c r="B28511" s="55" t="s">
        <v>424</v>
      </c>
      <c r="C28511" s="46">
        <v>25</v>
      </c>
      <c r="D28511" s="69" t="s">
        <v>29561</v>
      </c>
      <c r="E28511" s="62"/>
      <c r="F28511" s="62" t="str">
        <f>IF(INDEX(I.Gas.P4Y1C1E2,25)="","",INDEX(I.Gas.P4Y1C1E2,25))</f>
        <v/>
      </c>
      <c r="G28511" s="62"/>
      <c r="H28511" s="46" t="str">
        <f>IF(OR(I.Developer.P4=FALSE,I.Facility.StandardPart="Part 2"),"Complete",IF(I.Product.P4GasToPowerStatus&lt;&gt;"Yes","Complete",IF(AND(I.Gas.P4Y1Count&gt;=25,F28511=""),"Incomplete","Complete")))</f>
        <v>Complete</v>
      </c>
      <c r="I28511" s="48" t="s">
        <v>3690</v>
      </c>
    </row>
    <row r="28512" spans="2:9" ht="15" customHeight="1" x14ac:dyDescent="0.25">
      <c r="B28512" s="55" t="s">
        <v>424</v>
      </c>
      <c r="C28512" s="46">
        <v>26</v>
      </c>
      <c r="D28512" s="69" t="s">
        <v>29561</v>
      </c>
      <c r="E28512" s="62"/>
      <c r="F28512" s="62" t="str">
        <f>IF(INDEX(I.Gas.P4Y1C1E2,26)="","",INDEX(I.Gas.P4Y1C1E2,26))</f>
        <v/>
      </c>
      <c r="G28512" s="62"/>
      <c r="H28512" s="46" t="str">
        <f>IF(OR(I.Developer.P4=FALSE,I.Facility.StandardPart="Part 2"),"Complete",IF(I.Product.P4GasToPowerStatus&lt;&gt;"Yes","Complete",IF(AND(I.Gas.P4Y1Count&gt;=26,F28512=""),"Incomplete","Complete")))</f>
        <v>Complete</v>
      </c>
      <c r="I28512" s="48" t="s">
        <v>3691</v>
      </c>
    </row>
    <row r="28513" spans="2:9" ht="15" customHeight="1" x14ac:dyDescent="0.25">
      <c r="B28513" s="55" t="s">
        <v>424</v>
      </c>
      <c r="C28513" s="46">
        <v>27</v>
      </c>
      <c r="D28513" s="69" t="s">
        <v>29561</v>
      </c>
      <c r="E28513" s="62"/>
      <c r="F28513" s="62" t="str">
        <f>IF(INDEX(I.Gas.P4Y1C1E2,27)="","",INDEX(I.Gas.P4Y1C1E2,27))</f>
        <v/>
      </c>
      <c r="G28513" s="62"/>
      <c r="H28513" s="46" t="str">
        <f>IF(OR(I.Developer.P4=FALSE,I.Facility.StandardPart="Part 2"),"Complete",IF(I.Product.P4GasToPowerStatus&lt;&gt;"Yes","Complete",IF(AND(I.Gas.P4Y1Count&gt;=27,F28513=""),"Incomplete","Complete")))</f>
        <v>Complete</v>
      </c>
      <c r="I28513" s="48" t="s">
        <v>3692</v>
      </c>
    </row>
    <row r="28514" spans="2:9" ht="15" customHeight="1" x14ac:dyDescent="0.25">
      <c r="B28514" s="55" t="s">
        <v>424</v>
      </c>
      <c r="C28514" s="46">
        <v>28</v>
      </c>
      <c r="D28514" s="69" t="s">
        <v>29561</v>
      </c>
      <c r="E28514" s="62"/>
      <c r="F28514" s="62" t="str">
        <f>IF(INDEX(I.Gas.P4Y1C1E2,28)="","",INDEX(I.Gas.P4Y1C1E2,28))</f>
        <v/>
      </c>
      <c r="G28514" s="62"/>
      <c r="H28514" s="46" t="str">
        <f>IF(OR(I.Developer.P4=FALSE,I.Facility.StandardPart="Part 2"),"Complete",IF(I.Product.P4GasToPowerStatus&lt;&gt;"Yes","Complete",IF(AND(I.Gas.P4Y1Count&gt;=28,F28514=""),"Incomplete","Complete")))</f>
        <v>Complete</v>
      </c>
      <c r="I28514" s="48" t="s">
        <v>3693</v>
      </c>
    </row>
    <row r="28515" spans="2:9" ht="15" customHeight="1" x14ac:dyDescent="0.25">
      <c r="B28515" s="55" t="s">
        <v>424</v>
      </c>
      <c r="C28515" s="46">
        <v>29</v>
      </c>
      <c r="D28515" s="69" t="s">
        <v>29561</v>
      </c>
      <c r="E28515" s="62"/>
      <c r="F28515" s="62" t="str">
        <f>IF(INDEX(I.Gas.P4Y1C1E2,29)="","",INDEX(I.Gas.P4Y1C1E2,29))</f>
        <v/>
      </c>
      <c r="G28515" s="62"/>
      <c r="H28515" s="46" t="str">
        <f>IF(OR(I.Developer.P4=FALSE,I.Facility.StandardPart="Part 2"),"Complete",IF(I.Product.P4GasToPowerStatus&lt;&gt;"Yes","Complete",IF(AND(I.Gas.P4Y1Count&gt;=29,F28515=""),"Incomplete","Complete")))</f>
        <v>Complete</v>
      </c>
      <c r="I28515" s="48" t="s">
        <v>3694</v>
      </c>
    </row>
    <row r="28516" spans="2:9" ht="15" customHeight="1" x14ac:dyDescent="0.25">
      <c r="B28516" s="55" t="s">
        <v>424</v>
      </c>
      <c r="C28516" s="46">
        <v>30</v>
      </c>
      <c r="D28516" s="69" t="s">
        <v>29561</v>
      </c>
      <c r="E28516" s="62"/>
      <c r="F28516" s="62" t="str">
        <f>IF(INDEX(I.Gas.P4Y1C1E2,30)="","",INDEX(I.Gas.P4Y1C1E2,30))</f>
        <v/>
      </c>
      <c r="G28516" s="62"/>
      <c r="H28516" s="46" t="str">
        <f>IF(OR(I.Developer.P4=FALSE,I.Facility.StandardPart="Part 2"),"Complete",IF(I.Product.P4GasToPowerStatus&lt;&gt;"Yes","Complete",IF(AND(I.Gas.P4Y1Count&gt;=30,F28516=""),"Incomplete","Complete")))</f>
        <v>Complete</v>
      </c>
      <c r="I28516" s="48" t="s">
        <v>3695</v>
      </c>
    </row>
    <row r="28517" spans="2:9" ht="15" customHeight="1" x14ac:dyDescent="0.25">
      <c r="B28517" s="55" t="s">
        <v>424</v>
      </c>
      <c r="C28517" s="46">
        <v>31</v>
      </c>
      <c r="D28517" s="69" t="s">
        <v>29561</v>
      </c>
      <c r="E28517" s="62"/>
      <c r="F28517" s="62" t="str">
        <f>IF(INDEX(I.Gas.P4Y1C1E2,31)="","",INDEX(I.Gas.P4Y1C1E2,31))</f>
        <v/>
      </c>
      <c r="G28517" s="62"/>
      <c r="H28517" s="46" t="str">
        <f>IF(OR(I.Developer.P4=FALSE,I.Facility.StandardPart="Part 2"),"Complete",IF(I.Product.P4GasToPowerStatus&lt;&gt;"Yes","Complete",IF(AND(I.Gas.P4Y1Count&gt;=31,F28517=""),"Incomplete","Complete")))</f>
        <v>Complete</v>
      </c>
      <c r="I28517" s="48" t="s">
        <v>3696</v>
      </c>
    </row>
    <row r="28518" spans="2:9" ht="15" customHeight="1" x14ac:dyDescent="0.25">
      <c r="B28518" s="55" t="s">
        <v>424</v>
      </c>
      <c r="C28518" s="46">
        <v>32</v>
      </c>
      <c r="D28518" s="69" t="s">
        <v>29561</v>
      </c>
      <c r="E28518" s="62"/>
      <c r="F28518" s="62" t="str">
        <f>IF(INDEX(I.Gas.P4Y1C1E2,32)="","",INDEX(I.Gas.P4Y1C1E2,32))</f>
        <v/>
      </c>
      <c r="G28518" s="62"/>
      <c r="H28518" s="46" t="str">
        <f>IF(OR(I.Developer.P4=FALSE,I.Facility.StandardPart="Part 2"),"Complete",IF(I.Product.P4GasToPowerStatus&lt;&gt;"Yes","Complete",IF(AND(I.Gas.P4Y1Count&gt;=32,F28518=""),"Incomplete","Complete")))</f>
        <v>Complete</v>
      </c>
      <c r="I28518" s="48" t="s">
        <v>3697</v>
      </c>
    </row>
    <row r="28519" spans="2:9" ht="15" customHeight="1" x14ac:dyDescent="0.25">
      <c r="B28519" s="55" t="s">
        <v>424</v>
      </c>
      <c r="C28519" s="46">
        <v>33</v>
      </c>
      <c r="D28519" s="69" t="s">
        <v>29561</v>
      </c>
      <c r="E28519" s="62"/>
      <c r="F28519" s="62" t="str">
        <f>IF(INDEX(I.Gas.P4Y1C1E2,33)="","",INDEX(I.Gas.P4Y1C1E2,33))</f>
        <v/>
      </c>
      <c r="G28519" s="62"/>
      <c r="H28519" s="46" t="str">
        <f>IF(OR(I.Developer.P4=FALSE,I.Facility.StandardPart="Part 2"),"Complete",IF(I.Product.P4GasToPowerStatus&lt;&gt;"Yes","Complete",IF(AND(I.Gas.P4Y1Count&gt;=33,F28519=""),"Incomplete","Complete")))</f>
        <v>Complete</v>
      </c>
      <c r="I28519" s="48" t="s">
        <v>3698</v>
      </c>
    </row>
    <row r="28520" spans="2:9" ht="15" customHeight="1" x14ac:dyDescent="0.25">
      <c r="B28520" s="55" t="s">
        <v>424</v>
      </c>
      <c r="C28520" s="46">
        <v>34</v>
      </c>
      <c r="D28520" s="69" t="s">
        <v>29561</v>
      </c>
      <c r="E28520" s="62"/>
      <c r="F28520" s="62" t="str">
        <f>IF(INDEX(I.Gas.P4Y1C1E2,34)="","",INDEX(I.Gas.P4Y1C1E2,34))</f>
        <v/>
      </c>
      <c r="G28520" s="62"/>
      <c r="H28520" s="46" t="str">
        <f>IF(OR(I.Developer.P4=FALSE,I.Facility.StandardPart="Part 2"),"Complete",IF(I.Product.P4GasToPowerStatus&lt;&gt;"Yes","Complete",IF(AND(I.Gas.P4Y1Count&gt;=34,F28520=""),"Incomplete","Complete")))</f>
        <v>Complete</v>
      </c>
      <c r="I28520" s="48" t="s">
        <v>3699</v>
      </c>
    </row>
    <row r="28521" spans="2:9" ht="15" customHeight="1" x14ac:dyDescent="0.25">
      <c r="B28521" s="55" t="s">
        <v>424</v>
      </c>
      <c r="C28521" s="46">
        <v>35</v>
      </c>
      <c r="D28521" s="69" t="s">
        <v>29561</v>
      </c>
      <c r="E28521" s="62"/>
      <c r="F28521" s="62" t="str">
        <f>IF(INDEX(I.Gas.P4Y1C1E2,35)="","",INDEX(I.Gas.P4Y1C1E2,35))</f>
        <v/>
      </c>
      <c r="G28521" s="62"/>
      <c r="H28521" s="46" t="str">
        <f>IF(OR(I.Developer.P4=FALSE,I.Facility.StandardPart="Part 2"),"Complete",IF(I.Product.P4GasToPowerStatus&lt;&gt;"Yes","Complete",IF(AND(I.Gas.P4Y1Count&gt;=35,F28521=""),"Incomplete","Complete")))</f>
        <v>Complete</v>
      </c>
      <c r="I28521" s="48" t="s">
        <v>3700</v>
      </c>
    </row>
    <row r="28522" spans="2:9" ht="15" customHeight="1" x14ac:dyDescent="0.25">
      <c r="B28522" s="55" t="s">
        <v>424</v>
      </c>
      <c r="C28522" s="46">
        <v>36</v>
      </c>
      <c r="D28522" s="69" t="s">
        <v>29561</v>
      </c>
      <c r="E28522" s="62"/>
      <c r="F28522" s="62" t="str">
        <f>IF(INDEX(I.Gas.P4Y1C1E2,36)="","",INDEX(I.Gas.P4Y1C1E2,36))</f>
        <v/>
      </c>
      <c r="G28522" s="62"/>
      <c r="H28522" s="46" t="str">
        <f>IF(OR(I.Developer.P4=FALSE,I.Facility.StandardPart="Part 2"),"Complete",IF(I.Product.P4GasToPowerStatus&lt;&gt;"Yes","Complete",IF(AND(I.Gas.P4Y1Count&gt;=36,F28522=""),"Incomplete","Complete")))</f>
        <v>Complete</v>
      </c>
      <c r="I28522" s="48" t="s">
        <v>3701</v>
      </c>
    </row>
    <row r="28523" spans="2:9" ht="15" customHeight="1" x14ac:dyDescent="0.25">
      <c r="B28523" s="55" t="s">
        <v>424</v>
      </c>
      <c r="C28523" s="46">
        <v>37</v>
      </c>
      <c r="D28523" s="69" t="s">
        <v>29561</v>
      </c>
      <c r="E28523" s="62"/>
      <c r="F28523" s="62" t="str">
        <f>IF(INDEX(I.Gas.P4Y1C1E2,37)="","",INDEX(I.Gas.P4Y1C1E2,37))</f>
        <v/>
      </c>
      <c r="G28523" s="62"/>
      <c r="H28523" s="46" t="str">
        <f>IF(OR(I.Developer.P4=FALSE,I.Facility.StandardPart="Part 2"),"Complete",IF(I.Product.P4GasToPowerStatus&lt;&gt;"Yes","Complete",IF(AND(I.Gas.P4Y1Count&gt;=37,F28523=""),"Incomplete","Complete")))</f>
        <v>Complete</v>
      </c>
      <c r="I28523" s="48" t="s">
        <v>3702</v>
      </c>
    </row>
    <row r="28524" spans="2:9" ht="15" customHeight="1" x14ac:dyDescent="0.25">
      <c r="B28524" s="55" t="s">
        <v>424</v>
      </c>
      <c r="C28524" s="46">
        <v>38</v>
      </c>
      <c r="D28524" s="69" t="s">
        <v>29561</v>
      </c>
      <c r="E28524" s="62"/>
      <c r="F28524" s="62" t="str">
        <f>IF(INDEX(I.Gas.P4Y1C1E2,38)="","",INDEX(I.Gas.P4Y1C1E2,38))</f>
        <v/>
      </c>
      <c r="G28524" s="62"/>
      <c r="H28524" s="46" t="str">
        <f>IF(OR(I.Developer.P4=FALSE,I.Facility.StandardPart="Part 2"),"Complete",IF(I.Product.P4GasToPowerStatus&lt;&gt;"Yes","Complete",IF(AND(I.Gas.P4Y1Count&gt;=38,F28524=""),"Incomplete","Complete")))</f>
        <v>Complete</v>
      </c>
      <c r="I28524" s="48" t="s">
        <v>3703</v>
      </c>
    </row>
    <row r="28525" spans="2:9" ht="15" customHeight="1" x14ac:dyDescent="0.25">
      <c r="B28525" s="55" t="s">
        <v>424</v>
      </c>
      <c r="C28525" s="46">
        <v>39</v>
      </c>
      <c r="D28525" s="69" t="s">
        <v>29561</v>
      </c>
      <c r="E28525" s="62"/>
      <c r="F28525" s="62" t="str">
        <f>IF(INDEX(I.Gas.P4Y1C1E2,39)="","",INDEX(I.Gas.P4Y1C1E2,39))</f>
        <v/>
      </c>
      <c r="G28525" s="62"/>
      <c r="H28525" s="46" t="str">
        <f>IF(OR(I.Developer.P4=FALSE,I.Facility.StandardPart="Part 2"),"Complete",IF(I.Product.P4GasToPowerStatus&lt;&gt;"Yes","Complete",IF(AND(I.Gas.P4Y1Count&gt;=39,F28525=""),"Incomplete","Complete")))</f>
        <v>Complete</v>
      </c>
      <c r="I28525" s="48" t="s">
        <v>3704</v>
      </c>
    </row>
    <row r="28526" spans="2:9" ht="15" customHeight="1" x14ac:dyDescent="0.25">
      <c r="B28526" s="55" t="s">
        <v>424</v>
      </c>
      <c r="C28526" s="46">
        <v>40</v>
      </c>
      <c r="D28526" s="69" t="s">
        <v>29561</v>
      </c>
      <c r="E28526" s="62"/>
      <c r="F28526" s="62" t="str">
        <f>IF(INDEX(I.Gas.P4Y1C1E2,40)="","",INDEX(I.Gas.P4Y1C1E2,40))</f>
        <v/>
      </c>
      <c r="G28526" s="62"/>
      <c r="H28526" s="46" t="str">
        <f>IF(OR(I.Developer.P4=FALSE,I.Facility.StandardPart="Part 2"),"Complete",IF(I.Product.P4GasToPowerStatus&lt;&gt;"Yes","Complete",IF(AND(I.Gas.P4Y1Count&gt;=40,F28526=""),"Incomplete","Complete")))</f>
        <v>Complete</v>
      </c>
      <c r="I28526" s="48" t="s">
        <v>3705</v>
      </c>
    </row>
    <row r="28527" spans="2:9" ht="15" customHeight="1" x14ac:dyDescent="0.25">
      <c r="B28527" s="55" t="s">
        <v>424</v>
      </c>
      <c r="C28527" s="46">
        <v>41</v>
      </c>
      <c r="D28527" s="69" t="s">
        <v>29561</v>
      </c>
      <c r="E28527" s="62"/>
      <c r="F28527" s="62" t="str">
        <f>IF(INDEX(I.Gas.P4Y1C1E2,41)="","",INDEX(I.Gas.P4Y1C1E2,41))</f>
        <v/>
      </c>
      <c r="G28527" s="62"/>
      <c r="H28527" s="46" t="str">
        <f>IF(OR(I.Developer.P4=FALSE,I.Facility.StandardPart="Part 2"),"Complete",IF(I.Product.P4GasToPowerStatus&lt;&gt;"Yes","Complete",IF(AND(I.Gas.P4Y1Count&gt;=41,F28527=""),"Incomplete","Complete")))</f>
        <v>Complete</v>
      </c>
      <c r="I28527" s="48" t="s">
        <v>3706</v>
      </c>
    </row>
    <row r="28528" spans="2:9" ht="15" customHeight="1" x14ac:dyDescent="0.25">
      <c r="B28528" s="55" t="s">
        <v>424</v>
      </c>
      <c r="C28528" s="46">
        <v>42</v>
      </c>
      <c r="D28528" s="69" t="s">
        <v>29561</v>
      </c>
      <c r="E28528" s="62"/>
      <c r="F28528" s="62" t="str">
        <f>IF(INDEX(I.Gas.P4Y1C1E2,42)="","",INDEX(I.Gas.P4Y1C1E2,42))</f>
        <v/>
      </c>
      <c r="G28528" s="62"/>
      <c r="H28528" s="46" t="str">
        <f>IF(OR(I.Developer.P4=FALSE,I.Facility.StandardPart="Part 2"),"Complete",IF(I.Product.P4GasToPowerStatus&lt;&gt;"Yes","Complete",IF(AND(I.Gas.P4Y1Count&gt;=42,F28528=""),"Incomplete","Complete")))</f>
        <v>Complete</v>
      </c>
      <c r="I28528" s="48" t="s">
        <v>3707</v>
      </c>
    </row>
    <row r="28529" spans="2:9" ht="15" customHeight="1" x14ac:dyDescent="0.25">
      <c r="B28529" s="55" t="s">
        <v>424</v>
      </c>
      <c r="C28529" s="46">
        <v>43</v>
      </c>
      <c r="D28529" s="69" t="s">
        <v>29561</v>
      </c>
      <c r="E28529" s="62"/>
      <c r="F28529" s="62" t="str">
        <f>IF(INDEX(I.Gas.P4Y1C1E2,43)="","",INDEX(I.Gas.P4Y1C1E2,43))</f>
        <v/>
      </c>
      <c r="G28529" s="62"/>
      <c r="H28529" s="46" t="str">
        <f>IF(OR(I.Developer.P4=FALSE,I.Facility.StandardPart="Part 2"),"Complete",IF(I.Product.P4GasToPowerStatus&lt;&gt;"Yes","Complete",IF(AND(I.Gas.P4Y1Count&gt;=43,F28529=""),"Incomplete","Complete")))</f>
        <v>Complete</v>
      </c>
      <c r="I28529" s="48" t="s">
        <v>3708</v>
      </c>
    </row>
    <row r="28530" spans="2:9" ht="15" customHeight="1" x14ac:dyDescent="0.25">
      <c r="B28530" s="55" t="s">
        <v>424</v>
      </c>
      <c r="C28530" s="46">
        <v>44</v>
      </c>
      <c r="D28530" s="69" t="s">
        <v>29561</v>
      </c>
      <c r="E28530" s="62"/>
      <c r="F28530" s="62" t="str">
        <f>IF(INDEX(I.Gas.P4Y1C1E2,44)="","",INDEX(I.Gas.P4Y1C1E2,44))</f>
        <v/>
      </c>
      <c r="G28530" s="62"/>
      <c r="H28530" s="46" t="str">
        <f>IF(OR(I.Developer.P4=FALSE,I.Facility.StandardPart="Part 2"),"Complete",IF(I.Product.P4GasToPowerStatus&lt;&gt;"Yes","Complete",IF(AND(I.Gas.P4Y1Count&gt;=44,F28530=""),"Incomplete","Complete")))</f>
        <v>Complete</v>
      </c>
      <c r="I28530" s="48" t="s">
        <v>3709</v>
      </c>
    </row>
    <row r="28531" spans="2:9" ht="15" customHeight="1" x14ac:dyDescent="0.25">
      <c r="B28531" s="55" t="s">
        <v>424</v>
      </c>
      <c r="C28531" s="46">
        <v>45</v>
      </c>
      <c r="D28531" s="69" t="s">
        <v>29561</v>
      </c>
      <c r="E28531" s="62"/>
      <c r="F28531" s="62" t="str">
        <f>IF(INDEX(I.Gas.P4Y1C1E2,45)="","",INDEX(I.Gas.P4Y1C1E2,45))</f>
        <v/>
      </c>
      <c r="G28531" s="62"/>
      <c r="H28531" s="46" t="str">
        <f>IF(OR(I.Developer.P4=FALSE,I.Facility.StandardPart="Part 2"),"Complete",IF(I.Product.P4GasToPowerStatus&lt;&gt;"Yes","Complete",IF(AND(I.Gas.P4Y1Count&gt;=45,F28531=""),"Incomplete","Complete")))</f>
        <v>Complete</v>
      </c>
      <c r="I28531" s="48" t="s">
        <v>3710</v>
      </c>
    </row>
    <row r="28532" spans="2:9" ht="15" customHeight="1" x14ac:dyDescent="0.25">
      <c r="B28532" s="55" t="s">
        <v>424</v>
      </c>
      <c r="C28532" s="46">
        <v>46</v>
      </c>
      <c r="D28532" s="69" t="s">
        <v>29561</v>
      </c>
      <c r="E28532" s="62"/>
      <c r="F28532" s="62" t="str">
        <f>IF(INDEX(I.Gas.P4Y1C1E2,46)="","",INDEX(I.Gas.P4Y1C1E2,46))</f>
        <v/>
      </c>
      <c r="G28532" s="62"/>
      <c r="H28532" s="46" t="str">
        <f>IF(OR(I.Developer.P4=FALSE,I.Facility.StandardPart="Part 2"),"Complete",IF(I.Product.P4GasToPowerStatus&lt;&gt;"Yes","Complete",IF(AND(I.Gas.P4Y1Count&gt;=46,F28532=""),"Incomplete","Complete")))</f>
        <v>Complete</v>
      </c>
      <c r="I28532" s="48" t="s">
        <v>3711</v>
      </c>
    </row>
    <row r="28533" spans="2:9" ht="15" customHeight="1" x14ac:dyDescent="0.25">
      <c r="B28533" s="55" t="s">
        <v>424</v>
      </c>
      <c r="C28533" s="46">
        <v>47</v>
      </c>
      <c r="D28533" s="69" t="s">
        <v>29561</v>
      </c>
      <c r="E28533" s="62"/>
      <c r="F28533" s="62" t="str">
        <f>IF(INDEX(I.Gas.P4Y1C1E2,47)="","",INDEX(I.Gas.P4Y1C1E2,47))</f>
        <v/>
      </c>
      <c r="G28533" s="62"/>
      <c r="H28533" s="46" t="str">
        <f>IF(OR(I.Developer.P4=FALSE,I.Facility.StandardPart="Part 2"),"Complete",IF(I.Product.P4GasToPowerStatus&lt;&gt;"Yes","Complete",IF(AND(I.Gas.P4Y1Count&gt;=47,F28533=""),"Incomplete","Complete")))</f>
        <v>Complete</v>
      </c>
      <c r="I28533" s="48" t="s">
        <v>3712</v>
      </c>
    </row>
    <row r="28534" spans="2:9" ht="15" customHeight="1" x14ac:dyDescent="0.25">
      <c r="B28534" s="55" t="s">
        <v>424</v>
      </c>
      <c r="C28534" s="46">
        <v>48</v>
      </c>
      <c r="D28534" s="69" t="s">
        <v>29561</v>
      </c>
      <c r="E28534" s="62"/>
      <c r="F28534" s="62" t="str">
        <f>IF(INDEX(I.Gas.P4Y1C1E2,48)="","",INDEX(I.Gas.P4Y1C1E2,48))</f>
        <v/>
      </c>
      <c r="G28534" s="62"/>
      <c r="H28534" s="46" t="str">
        <f>IF(OR(I.Developer.P4=FALSE,I.Facility.StandardPart="Part 2"),"Complete",IF(I.Product.P4GasToPowerStatus&lt;&gt;"Yes","Complete",IF(AND(I.Gas.P4Y1Count&gt;=48,F28534=""),"Incomplete","Complete")))</f>
        <v>Complete</v>
      </c>
      <c r="I28534" s="48" t="s">
        <v>3713</v>
      </c>
    </row>
    <row r="28535" spans="2:9" ht="15" customHeight="1" x14ac:dyDescent="0.25">
      <c r="B28535" s="55" t="s">
        <v>424</v>
      </c>
      <c r="C28535" s="46">
        <v>49</v>
      </c>
      <c r="D28535" s="69" t="s">
        <v>29561</v>
      </c>
      <c r="E28535" s="62"/>
      <c r="F28535" s="62" t="str">
        <f>IF(INDEX(I.Gas.P4Y1C1E2,49)="","",INDEX(I.Gas.P4Y1C1E2,49))</f>
        <v/>
      </c>
      <c r="G28535" s="62"/>
      <c r="H28535" s="46" t="str">
        <f>IF(OR(I.Developer.P4=FALSE,I.Facility.StandardPart="Part 2"),"Complete",IF(I.Product.P4GasToPowerStatus&lt;&gt;"Yes","Complete",IF(AND(I.Gas.P4Y1Count&gt;=49,F28535=""),"Incomplete","Complete")))</f>
        <v>Complete</v>
      </c>
      <c r="I28535" s="48" t="s">
        <v>3714</v>
      </c>
    </row>
    <row r="28536" spans="2:9" ht="15" customHeight="1" x14ac:dyDescent="0.25">
      <c r="B28536" s="56" t="s">
        <v>424</v>
      </c>
      <c r="C28536" s="57">
        <v>50</v>
      </c>
      <c r="D28536" s="71" t="s">
        <v>29561</v>
      </c>
      <c r="E28536" s="61"/>
      <c r="F28536" s="61" t="str">
        <f>IF(INDEX(I.Gas.P4Y1C1E2,50)="","",INDEX(I.Gas.P4Y1C1E2,50))</f>
        <v/>
      </c>
      <c r="G28536" s="61"/>
      <c r="H28536" s="57" t="str">
        <f>IF(OR(I.Developer.P4=FALSE,I.Facility.StandardPart="Part 2"),"Complete",IF(I.Product.P4GasToPowerStatus&lt;&gt;"Yes","Complete",IF(AND(I.Gas.P4Y1Count&gt;=50,F28536=""),"Incomplete","Complete")))</f>
        <v>Complete</v>
      </c>
      <c r="I28536" s="49" t="s">
        <v>3715</v>
      </c>
    </row>
    <row r="28537" spans="2:9" ht="15" customHeight="1" x14ac:dyDescent="0.25">
      <c r="B28537" s="55" t="s">
        <v>425</v>
      </c>
      <c r="C28537" s="46">
        <v>1</v>
      </c>
      <c r="D28537" s="69" t="s">
        <v>29562</v>
      </c>
      <c r="E28537" s="62"/>
      <c r="F28537" s="62" t="str">
        <f>IF(INDEX(I.Gas.P4Y1C1E3,1)="","",INDEX(I.Gas.P4Y1C1E3,1))</f>
        <v/>
      </c>
      <c r="G28537" s="62"/>
      <c r="H28537" s="46" t="str">
        <f>IF(OR(I.Developer.P4=FALSE,I.Facility.StandardPart="Part 2"),"Complete",IF(I.Product.P4GasToPowerStatus&lt;&gt;"Yes","Complete",IF(AND(I.Gas.P4Y1Count&gt;=1,F28537=""),"Incomplete","Complete")))</f>
        <v>Complete</v>
      </c>
      <c r="I28537" s="48" t="s">
        <v>3716</v>
      </c>
    </row>
    <row r="28538" spans="2:9" ht="15" customHeight="1" x14ac:dyDescent="0.25">
      <c r="B28538" s="55" t="s">
        <v>425</v>
      </c>
      <c r="C28538" s="46">
        <v>2</v>
      </c>
      <c r="D28538" s="69" t="s">
        <v>29562</v>
      </c>
      <c r="E28538" s="62"/>
      <c r="F28538" s="62" t="str">
        <f>IF(INDEX(I.Gas.P4Y1C1E3,2)="","",INDEX(I.Gas.P4Y1C1E3,2))</f>
        <v/>
      </c>
      <c r="G28538" s="62"/>
      <c r="H28538" s="46" t="str">
        <f>IF(OR(I.Developer.P4=FALSE,I.Facility.StandardPart="Part 2"),"Complete",IF(I.Product.P4GasToPowerStatus&lt;&gt;"Yes","Complete",IF(AND(I.Gas.P4Y1Count&gt;=2,F28538=""),"Incomplete","Complete")))</f>
        <v>Complete</v>
      </c>
      <c r="I28538" s="48" t="s">
        <v>3717</v>
      </c>
    </row>
    <row r="28539" spans="2:9" ht="15" customHeight="1" x14ac:dyDescent="0.25">
      <c r="B28539" s="55" t="s">
        <v>425</v>
      </c>
      <c r="C28539" s="46">
        <v>3</v>
      </c>
      <c r="D28539" s="69" t="s">
        <v>29562</v>
      </c>
      <c r="E28539" s="62"/>
      <c r="F28539" s="62" t="str">
        <f>IF(INDEX(I.Gas.P4Y1C1E3,3)="","",INDEX(I.Gas.P4Y1C1E3,3))</f>
        <v/>
      </c>
      <c r="G28539" s="62"/>
      <c r="H28539" s="46" t="str">
        <f>IF(OR(I.Developer.P4=FALSE,I.Facility.StandardPart="Part 2"),"Complete",IF(I.Product.P4GasToPowerStatus&lt;&gt;"Yes","Complete",IF(AND(I.Gas.P4Y1Count&gt;=3,F28539=""),"Incomplete","Complete")))</f>
        <v>Complete</v>
      </c>
      <c r="I28539" s="48" t="s">
        <v>3718</v>
      </c>
    </row>
    <row r="28540" spans="2:9" ht="15" customHeight="1" x14ac:dyDescent="0.25">
      <c r="B28540" s="55" t="s">
        <v>425</v>
      </c>
      <c r="C28540" s="46">
        <v>4</v>
      </c>
      <c r="D28540" s="69" t="s">
        <v>29562</v>
      </c>
      <c r="E28540" s="62"/>
      <c r="F28540" s="62" t="str">
        <f>IF(INDEX(I.Gas.P4Y1C1E3,4)="","",INDEX(I.Gas.P4Y1C1E3,4))</f>
        <v/>
      </c>
      <c r="G28540" s="62"/>
      <c r="H28540" s="46" t="str">
        <f>IF(OR(I.Developer.P4=FALSE,I.Facility.StandardPart="Part 2"),"Complete",IF(I.Product.P4GasToPowerStatus&lt;&gt;"Yes","Complete",IF(AND(I.Gas.P4Y1Count&gt;=4,F28540=""),"Incomplete","Complete")))</f>
        <v>Complete</v>
      </c>
      <c r="I28540" s="48" t="s">
        <v>3719</v>
      </c>
    </row>
    <row r="28541" spans="2:9" ht="15" customHeight="1" x14ac:dyDescent="0.25">
      <c r="B28541" s="55" t="s">
        <v>425</v>
      </c>
      <c r="C28541" s="46">
        <v>5</v>
      </c>
      <c r="D28541" s="69" t="s">
        <v>29562</v>
      </c>
      <c r="E28541" s="62"/>
      <c r="F28541" s="62" t="str">
        <f>IF(INDEX(I.Gas.P4Y1C1E3,5)="","",INDEX(I.Gas.P4Y1C1E3,5))</f>
        <v/>
      </c>
      <c r="G28541" s="62"/>
      <c r="H28541" s="46" t="str">
        <f>IF(OR(I.Developer.P4=FALSE,I.Facility.StandardPart="Part 2"),"Complete",IF(I.Product.P4GasToPowerStatus&lt;&gt;"Yes","Complete",IF(AND(I.Gas.P4Y1Count&gt;=5,F28541=""),"Incomplete","Complete")))</f>
        <v>Complete</v>
      </c>
      <c r="I28541" s="48" t="s">
        <v>3720</v>
      </c>
    </row>
    <row r="28542" spans="2:9" ht="15" customHeight="1" x14ac:dyDescent="0.25">
      <c r="B28542" s="55" t="s">
        <v>425</v>
      </c>
      <c r="C28542" s="46">
        <v>6</v>
      </c>
      <c r="D28542" s="69" t="s">
        <v>29562</v>
      </c>
      <c r="E28542" s="62"/>
      <c r="F28542" s="62" t="str">
        <f>IF(INDEX(I.Gas.P4Y1C1E3,6)="","",INDEX(I.Gas.P4Y1C1E3,6))</f>
        <v/>
      </c>
      <c r="G28542" s="62"/>
      <c r="H28542" s="46" t="str">
        <f>IF(OR(I.Developer.P4=FALSE,I.Facility.StandardPart="Part 2"),"Complete",IF(I.Product.P4GasToPowerStatus&lt;&gt;"Yes","Complete",IF(AND(I.Gas.P4Y1Count&gt;=6,F28542=""),"Incomplete","Complete")))</f>
        <v>Complete</v>
      </c>
      <c r="I28542" s="48" t="s">
        <v>3721</v>
      </c>
    </row>
    <row r="28543" spans="2:9" ht="15" customHeight="1" x14ac:dyDescent="0.25">
      <c r="B28543" s="55" t="s">
        <v>425</v>
      </c>
      <c r="C28543" s="46">
        <v>7</v>
      </c>
      <c r="D28543" s="69" t="s">
        <v>29562</v>
      </c>
      <c r="E28543" s="62"/>
      <c r="F28543" s="62" t="str">
        <f>IF(INDEX(I.Gas.P4Y1C1E3,7)="","",INDEX(I.Gas.P4Y1C1E3,7))</f>
        <v/>
      </c>
      <c r="G28543" s="62"/>
      <c r="H28543" s="46" t="str">
        <f>IF(OR(I.Developer.P4=FALSE,I.Facility.StandardPart="Part 2"),"Complete",IF(I.Product.P4GasToPowerStatus&lt;&gt;"Yes","Complete",IF(AND(I.Gas.P4Y1Count&gt;=7,F28543=""),"Incomplete","Complete")))</f>
        <v>Complete</v>
      </c>
      <c r="I28543" s="48" t="s">
        <v>3722</v>
      </c>
    </row>
    <row r="28544" spans="2:9" ht="15" customHeight="1" x14ac:dyDescent="0.25">
      <c r="B28544" s="55" t="s">
        <v>425</v>
      </c>
      <c r="C28544" s="46">
        <v>8</v>
      </c>
      <c r="D28544" s="69" t="s">
        <v>29562</v>
      </c>
      <c r="E28544" s="62"/>
      <c r="F28544" s="62" t="str">
        <f>IF(INDEX(I.Gas.P4Y1C1E3,8)="","",INDEX(I.Gas.P4Y1C1E3,8))</f>
        <v/>
      </c>
      <c r="G28544" s="62"/>
      <c r="H28544" s="46" t="str">
        <f>IF(OR(I.Developer.P4=FALSE,I.Facility.StandardPart="Part 2"),"Complete",IF(I.Product.P4GasToPowerStatus&lt;&gt;"Yes","Complete",IF(AND(I.Gas.P4Y1Count&gt;=8,F28544=""),"Incomplete","Complete")))</f>
        <v>Complete</v>
      </c>
      <c r="I28544" s="48" t="s">
        <v>3723</v>
      </c>
    </row>
    <row r="28545" spans="2:9" ht="15" customHeight="1" x14ac:dyDescent="0.25">
      <c r="B28545" s="55" t="s">
        <v>425</v>
      </c>
      <c r="C28545" s="46">
        <v>9</v>
      </c>
      <c r="D28545" s="69" t="s">
        <v>29562</v>
      </c>
      <c r="E28545" s="62"/>
      <c r="F28545" s="62" t="str">
        <f>IF(INDEX(I.Gas.P4Y1C1E3,9)="","",INDEX(I.Gas.P4Y1C1E3,9))</f>
        <v/>
      </c>
      <c r="G28545" s="62"/>
      <c r="H28545" s="46" t="str">
        <f>IF(OR(I.Developer.P4=FALSE,I.Facility.StandardPart="Part 2"),"Complete",IF(I.Product.P4GasToPowerStatus&lt;&gt;"Yes","Complete",IF(AND(I.Gas.P4Y1Count&gt;=9,F28545=""),"Incomplete","Complete")))</f>
        <v>Complete</v>
      </c>
      <c r="I28545" s="48" t="s">
        <v>3724</v>
      </c>
    </row>
    <row r="28546" spans="2:9" ht="15" customHeight="1" x14ac:dyDescent="0.25">
      <c r="B28546" s="55" t="s">
        <v>425</v>
      </c>
      <c r="C28546" s="46">
        <v>10</v>
      </c>
      <c r="D28546" s="69" t="s">
        <v>29562</v>
      </c>
      <c r="E28546" s="62"/>
      <c r="F28546" s="62" t="str">
        <f>IF(INDEX(I.Gas.P4Y1C1E3,10)="","",INDEX(I.Gas.P4Y1C1E3,10))</f>
        <v/>
      </c>
      <c r="G28546" s="62"/>
      <c r="H28546" s="46" t="str">
        <f>IF(OR(I.Developer.P4=FALSE,I.Facility.StandardPart="Part 2"),"Complete",IF(I.Product.P4GasToPowerStatus&lt;&gt;"Yes","Complete",IF(AND(I.Gas.P4Y1Count&gt;=10,F28546=""),"Incomplete","Complete")))</f>
        <v>Complete</v>
      </c>
      <c r="I28546" s="48" t="s">
        <v>3725</v>
      </c>
    </row>
    <row r="28547" spans="2:9" ht="15" customHeight="1" x14ac:dyDescent="0.25">
      <c r="B28547" s="55" t="s">
        <v>425</v>
      </c>
      <c r="C28547" s="46">
        <v>11</v>
      </c>
      <c r="D28547" s="69" t="s">
        <v>29562</v>
      </c>
      <c r="E28547" s="62"/>
      <c r="F28547" s="62" t="str">
        <f>IF(INDEX(I.Gas.P4Y1C1E3,11)="","",INDEX(I.Gas.P4Y1C1E3,11))</f>
        <v/>
      </c>
      <c r="G28547" s="62"/>
      <c r="H28547" s="46" t="str">
        <f>IF(OR(I.Developer.P4=FALSE,I.Facility.StandardPart="Part 2"),"Complete",IF(I.Product.P4GasToPowerStatus&lt;&gt;"Yes","Complete",IF(AND(I.Gas.P4Y1Count&gt;=11,F28547=""),"Incomplete","Complete")))</f>
        <v>Complete</v>
      </c>
      <c r="I28547" s="48" t="s">
        <v>3726</v>
      </c>
    </row>
    <row r="28548" spans="2:9" ht="15" customHeight="1" x14ac:dyDescent="0.25">
      <c r="B28548" s="55" t="s">
        <v>425</v>
      </c>
      <c r="C28548" s="46">
        <v>12</v>
      </c>
      <c r="D28548" s="69" t="s">
        <v>29562</v>
      </c>
      <c r="E28548" s="62"/>
      <c r="F28548" s="62" t="str">
        <f>IF(INDEX(I.Gas.P4Y1C1E3,12)="","",INDEX(I.Gas.P4Y1C1E3,12))</f>
        <v/>
      </c>
      <c r="G28548" s="62"/>
      <c r="H28548" s="46" t="str">
        <f>IF(OR(I.Developer.P4=FALSE,I.Facility.StandardPart="Part 2"),"Complete",IF(I.Product.P4GasToPowerStatus&lt;&gt;"Yes","Complete",IF(AND(I.Gas.P4Y1Count&gt;=12,F28548=""),"Incomplete","Complete")))</f>
        <v>Complete</v>
      </c>
      <c r="I28548" s="48" t="s">
        <v>3727</v>
      </c>
    </row>
    <row r="28549" spans="2:9" ht="15" customHeight="1" x14ac:dyDescent="0.25">
      <c r="B28549" s="55" t="s">
        <v>425</v>
      </c>
      <c r="C28549" s="46">
        <v>13</v>
      </c>
      <c r="D28549" s="69" t="s">
        <v>29562</v>
      </c>
      <c r="E28549" s="62"/>
      <c r="F28549" s="62" t="str">
        <f>IF(INDEX(I.Gas.P4Y1C1E3,13)="","",INDEX(I.Gas.P4Y1C1E3,13))</f>
        <v/>
      </c>
      <c r="G28549" s="62"/>
      <c r="H28549" s="46" t="str">
        <f>IF(OR(I.Developer.P4=FALSE,I.Facility.StandardPart="Part 2"),"Complete",IF(I.Product.P4GasToPowerStatus&lt;&gt;"Yes","Complete",IF(AND(I.Gas.P4Y1Count&gt;=13,F28549=""),"Incomplete","Complete")))</f>
        <v>Complete</v>
      </c>
      <c r="I28549" s="48" t="s">
        <v>3728</v>
      </c>
    </row>
    <row r="28550" spans="2:9" ht="15" customHeight="1" x14ac:dyDescent="0.25">
      <c r="B28550" s="55" t="s">
        <v>425</v>
      </c>
      <c r="C28550" s="46">
        <v>14</v>
      </c>
      <c r="D28550" s="69" t="s">
        <v>29562</v>
      </c>
      <c r="E28550" s="62"/>
      <c r="F28550" s="62" t="str">
        <f>IF(INDEX(I.Gas.P4Y1C1E3,14)="","",INDEX(I.Gas.P4Y1C1E3,14))</f>
        <v/>
      </c>
      <c r="G28550" s="62"/>
      <c r="H28550" s="46" t="str">
        <f>IF(OR(I.Developer.P4=FALSE,I.Facility.StandardPart="Part 2"),"Complete",IF(I.Product.P4GasToPowerStatus&lt;&gt;"Yes","Complete",IF(AND(I.Gas.P4Y1Count&gt;=14,F28550=""),"Incomplete","Complete")))</f>
        <v>Complete</v>
      </c>
      <c r="I28550" s="48" t="s">
        <v>3729</v>
      </c>
    </row>
    <row r="28551" spans="2:9" ht="15" customHeight="1" x14ac:dyDescent="0.25">
      <c r="B28551" s="55" t="s">
        <v>425</v>
      </c>
      <c r="C28551" s="46">
        <v>15</v>
      </c>
      <c r="D28551" s="69" t="s">
        <v>29562</v>
      </c>
      <c r="E28551" s="62"/>
      <c r="F28551" s="62" t="str">
        <f>IF(INDEX(I.Gas.P4Y1C1E3,15)="","",INDEX(I.Gas.P4Y1C1E3,15))</f>
        <v/>
      </c>
      <c r="G28551" s="62"/>
      <c r="H28551" s="46" t="str">
        <f>IF(OR(I.Developer.P4=FALSE,I.Facility.StandardPart="Part 2"),"Complete",IF(I.Product.P4GasToPowerStatus&lt;&gt;"Yes","Complete",IF(AND(I.Gas.P4Y1Count&gt;=15,F28551=""),"Incomplete","Complete")))</f>
        <v>Complete</v>
      </c>
      <c r="I28551" s="48" t="s">
        <v>3730</v>
      </c>
    </row>
    <row r="28552" spans="2:9" ht="15" customHeight="1" x14ac:dyDescent="0.25">
      <c r="B28552" s="55" t="s">
        <v>425</v>
      </c>
      <c r="C28552" s="46">
        <v>16</v>
      </c>
      <c r="D28552" s="69" t="s">
        <v>29562</v>
      </c>
      <c r="E28552" s="62"/>
      <c r="F28552" s="62" t="str">
        <f>IF(INDEX(I.Gas.P4Y1C1E3,16)="","",INDEX(I.Gas.P4Y1C1E3,16))</f>
        <v/>
      </c>
      <c r="G28552" s="62"/>
      <c r="H28552" s="46" t="str">
        <f>IF(OR(I.Developer.P4=FALSE,I.Facility.StandardPart="Part 2"),"Complete",IF(I.Product.P4GasToPowerStatus&lt;&gt;"Yes","Complete",IF(AND(I.Gas.P4Y1Count&gt;=16,F28552=""),"Incomplete","Complete")))</f>
        <v>Complete</v>
      </c>
      <c r="I28552" s="48" t="s">
        <v>3731</v>
      </c>
    </row>
    <row r="28553" spans="2:9" ht="15" customHeight="1" x14ac:dyDescent="0.25">
      <c r="B28553" s="55" t="s">
        <v>425</v>
      </c>
      <c r="C28553" s="46">
        <v>17</v>
      </c>
      <c r="D28553" s="69" t="s">
        <v>29562</v>
      </c>
      <c r="E28553" s="62"/>
      <c r="F28553" s="62" t="str">
        <f>IF(INDEX(I.Gas.P4Y1C1E3,17)="","",INDEX(I.Gas.P4Y1C1E3,17))</f>
        <v/>
      </c>
      <c r="G28553" s="62"/>
      <c r="H28553" s="46" t="str">
        <f>IF(OR(I.Developer.P4=FALSE,I.Facility.StandardPart="Part 2"),"Complete",IF(I.Product.P4GasToPowerStatus&lt;&gt;"Yes","Complete",IF(AND(I.Gas.P4Y1Count&gt;=17,F28553=""),"Incomplete","Complete")))</f>
        <v>Complete</v>
      </c>
      <c r="I28553" s="48" t="s">
        <v>3732</v>
      </c>
    </row>
    <row r="28554" spans="2:9" ht="15" customHeight="1" x14ac:dyDescent="0.25">
      <c r="B28554" s="55" t="s">
        <v>425</v>
      </c>
      <c r="C28554" s="46">
        <v>18</v>
      </c>
      <c r="D28554" s="69" t="s">
        <v>29562</v>
      </c>
      <c r="E28554" s="62"/>
      <c r="F28554" s="62" t="str">
        <f>IF(INDEX(I.Gas.P4Y1C1E3,18)="","",INDEX(I.Gas.P4Y1C1E3,18))</f>
        <v/>
      </c>
      <c r="G28554" s="62"/>
      <c r="H28554" s="46" t="str">
        <f>IF(OR(I.Developer.P4=FALSE,I.Facility.StandardPart="Part 2"),"Complete",IF(I.Product.P4GasToPowerStatus&lt;&gt;"Yes","Complete",IF(AND(I.Gas.P4Y1Count&gt;=18,F28554=""),"Incomplete","Complete")))</f>
        <v>Complete</v>
      </c>
      <c r="I28554" s="48" t="s">
        <v>3733</v>
      </c>
    </row>
    <row r="28555" spans="2:9" ht="15" customHeight="1" x14ac:dyDescent="0.25">
      <c r="B28555" s="55" t="s">
        <v>425</v>
      </c>
      <c r="C28555" s="46">
        <v>19</v>
      </c>
      <c r="D28555" s="69" t="s">
        <v>29562</v>
      </c>
      <c r="E28555" s="62"/>
      <c r="F28555" s="62" t="str">
        <f>IF(INDEX(I.Gas.P4Y1C1E3,19)="","",INDEX(I.Gas.P4Y1C1E3,19))</f>
        <v/>
      </c>
      <c r="G28555" s="62"/>
      <c r="H28555" s="46" t="str">
        <f>IF(OR(I.Developer.P4=FALSE,I.Facility.StandardPart="Part 2"),"Complete",IF(I.Product.P4GasToPowerStatus&lt;&gt;"Yes","Complete",IF(AND(I.Gas.P4Y1Count&gt;=19,F28555=""),"Incomplete","Complete")))</f>
        <v>Complete</v>
      </c>
      <c r="I28555" s="48" t="s">
        <v>3734</v>
      </c>
    </row>
    <row r="28556" spans="2:9" ht="15" customHeight="1" x14ac:dyDescent="0.25">
      <c r="B28556" s="55" t="s">
        <v>425</v>
      </c>
      <c r="C28556" s="46">
        <v>20</v>
      </c>
      <c r="D28556" s="69" t="s">
        <v>29562</v>
      </c>
      <c r="E28556" s="62"/>
      <c r="F28556" s="62" t="str">
        <f>IF(INDEX(I.Gas.P4Y1C1E3,20)="","",INDEX(I.Gas.P4Y1C1E3,20))</f>
        <v/>
      </c>
      <c r="G28556" s="62"/>
      <c r="H28556" s="46" t="str">
        <f>IF(OR(I.Developer.P4=FALSE,I.Facility.StandardPart="Part 2"),"Complete",IF(I.Product.P4GasToPowerStatus&lt;&gt;"Yes","Complete",IF(AND(I.Gas.P4Y1Count&gt;=20,F28556=""),"Incomplete","Complete")))</f>
        <v>Complete</v>
      </c>
      <c r="I28556" s="48" t="s">
        <v>3735</v>
      </c>
    </row>
    <row r="28557" spans="2:9" ht="15" customHeight="1" x14ac:dyDescent="0.25">
      <c r="B28557" s="55" t="s">
        <v>425</v>
      </c>
      <c r="C28557" s="46">
        <v>21</v>
      </c>
      <c r="D28557" s="69" t="s">
        <v>29562</v>
      </c>
      <c r="E28557" s="62"/>
      <c r="F28557" s="62" t="str">
        <f>IF(INDEX(I.Gas.P4Y1C1E3,21)="","",INDEX(I.Gas.P4Y1C1E3,21))</f>
        <v/>
      </c>
      <c r="G28557" s="62"/>
      <c r="H28557" s="46" t="str">
        <f>IF(OR(I.Developer.P4=FALSE,I.Facility.StandardPart="Part 2"),"Complete",IF(I.Product.P4GasToPowerStatus&lt;&gt;"Yes","Complete",IF(AND(I.Gas.P4Y1Count&gt;=21,F28557=""),"Incomplete","Complete")))</f>
        <v>Complete</v>
      </c>
      <c r="I28557" s="48" t="s">
        <v>3736</v>
      </c>
    </row>
    <row r="28558" spans="2:9" ht="15" customHeight="1" x14ac:dyDescent="0.25">
      <c r="B28558" s="55" t="s">
        <v>425</v>
      </c>
      <c r="C28558" s="46">
        <v>22</v>
      </c>
      <c r="D28558" s="69" t="s">
        <v>29562</v>
      </c>
      <c r="E28558" s="62"/>
      <c r="F28558" s="62" t="str">
        <f>IF(INDEX(I.Gas.P4Y1C1E3,22)="","",INDEX(I.Gas.P4Y1C1E3,22))</f>
        <v/>
      </c>
      <c r="G28558" s="62"/>
      <c r="H28558" s="46" t="str">
        <f>IF(OR(I.Developer.P4=FALSE,I.Facility.StandardPart="Part 2"),"Complete",IF(I.Product.P4GasToPowerStatus&lt;&gt;"Yes","Complete",IF(AND(I.Gas.P4Y1Count&gt;=22,F28558=""),"Incomplete","Complete")))</f>
        <v>Complete</v>
      </c>
      <c r="I28558" s="48" t="s">
        <v>3737</v>
      </c>
    </row>
    <row r="28559" spans="2:9" ht="15" customHeight="1" x14ac:dyDescent="0.25">
      <c r="B28559" s="55" t="s">
        <v>425</v>
      </c>
      <c r="C28559" s="46">
        <v>23</v>
      </c>
      <c r="D28559" s="69" t="s">
        <v>29562</v>
      </c>
      <c r="E28559" s="62"/>
      <c r="F28559" s="62" t="str">
        <f>IF(INDEX(I.Gas.P4Y1C1E3,23)="","",INDEX(I.Gas.P4Y1C1E3,23))</f>
        <v/>
      </c>
      <c r="G28559" s="62"/>
      <c r="H28559" s="46" t="str">
        <f>IF(OR(I.Developer.P4=FALSE,I.Facility.StandardPart="Part 2"),"Complete",IF(I.Product.P4GasToPowerStatus&lt;&gt;"Yes","Complete",IF(AND(I.Gas.P4Y1Count&gt;=23,F28559=""),"Incomplete","Complete")))</f>
        <v>Complete</v>
      </c>
      <c r="I28559" s="48" t="s">
        <v>3738</v>
      </c>
    </row>
    <row r="28560" spans="2:9" ht="15" customHeight="1" x14ac:dyDescent="0.25">
      <c r="B28560" s="55" t="s">
        <v>425</v>
      </c>
      <c r="C28560" s="46">
        <v>24</v>
      </c>
      <c r="D28560" s="69" t="s">
        <v>29562</v>
      </c>
      <c r="E28560" s="62"/>
      <c r="F28560" s="62" t="str">
        <f>IF(INDEX(I.Gas.P4Y1C1E3,24)="","",INDEX(I.Gas.P4Y1C1E3,24))</f>
        <v/>
      </c>
      <c r="G28560" s="62"/>
      <c r="H28560" s="46" t="str">
        <f>IF(OR(I.Developer.P4=FALSE,I.Facility.StandardPart="Part 2"),"Complete",IF(I.Product.P4GasToPowerStatus&lt;&gt;"Yes","Complete",IF(AND(I.Gas.P4Y1Count&gt;=24,F28560=""),"Incomplete","Complete")))</f>
        <v>Complete</v>
      </c>
      <c r="I28560" s="48" t="s">
        <v>3739</v>
      </c>
    </row>
    <row r="28561" spans="2:9" ht="15" customHeight="1" x14ac:dyDescent="0.25">
      <c r="B28561" s="55" t="s">
        <v>425</v>
      </c>
      <c r="C28561" s="46">
        <v>25</v>
      </c>
      <c r="D28561" s="69" t="s">
        <v>29562</v>
      </c>
      <c r="E28561" s="62"/>
      <c r="F28561" s="62" t="str">
        <f>IF(INDEX(I.Gas.P4Y1C1E3,25)="","",INDEX(I.Gas.P4Y1C1E3,25))</f>
        <v/>
      </c>
      <c r="G28561" s="62"/>
      <c r="H28561" s="46" t="str">
        <f>IF(OR(I.Developer.P4=FALSE,I.Facility.StandardPart="Part 2"),"Complete",IF(I.Product.P4GasToPowerStatus&lt;&gt;"Yes","Complete",IF(AND(I.Gas.P4Y1Count&gt;=25,F28561=""),"Incomplete","Complete")))</f>
        <v>Complete</v>
      </c>
      <c r="I28561" s="48" t="s">
        <v>3740</v>
      </c>
    </row>
    <row r="28562" spans="2:9" ht="15" customHeight="1" x14ac:dyDescent="0.25">
      <c r="B28562" s="55" t="s">
        <v>425</v>
      </c>
      <c r="C28562" s="46">
        <v>26</v>
      </c>
      <c r="D28562" s="69" t="s">
        <v>29562</v>
      </c>
      <c r="E28562" s="62"/>
      <c r="F28562" s="62" t="str">
        <f>IF(INDEX(I.Gas.P4Y1C1E3,26)="","",INDEX(I.Gas.P4Y1C1E3,26))</f>
        <v/>
      </c>
      <c r="G28562" s="62"/>
      <c r="H28562" s="46" t="str">
        <f>IF(OR(I.Developer.P4=FALSE,I.Facility.StandardPart="Part 2"),"Complete",IF(I.Product.P4GasToPowerStatus&lt;&gt;"Yes","Complete",IF(AND(I.Gas.P4Y1Count&gt;=26,F28562=""),"Incomplete","Complete")))</f>
        <v>Complete</v>
      </c>
      <c r="I28562" s="48" t="s">
        <v>3741</v>
      </c>
    </row>
    <row r="28563" spans="2:9" ht="15" customHeight="1" x14ac:dyDescent="0.25">
      <c r="B28563" s="55" t="s">
        <v>425</v>
      </c>
      <c r="C28563" s="46">
        <v>27</v>
      </c>
      <c r="D28563" s="69" t="s">
        <v>29562</v>
      </c>
      <c r="E28563" s="62"/>
      <c r="F28563" s="62" t="str">
        <f>IF(INDEX(I.Gas.P4Y1C1E3,27)="","",INDEX(I.Gas.P4Y1C1E3,27))</f>
        <v/>
      </c>
      <c r="G28563" s="62"/>
      <c r="H28563" s="46" t="str">
        <f>IF(OR(I.Developer.P4=FALSE,I.Facility.StandardPart="Part 2"),"Complete",IF(I.Product.P4GasToPowerStatus&lt;&gt;"Yes","Complete",IF(AND(I.Gas.P4Y1Count&gt;=27,F28563=""),"Incomplete","Complete")))</f>
        <v>Complete</v>
      </c>
      <c r="I28563" s="48" t="s">
        <v>3742</v>
      </c>
    </row>
    <row r="28564" spans="2:9" ht="15" customHeight="1" x14ac:dyDescent="0.25">
      <c r="B28564" s="55" t="s">
        <v>425</v>
      </c>
      <c r="C28564" s="46">
        <v>28</v>
      </c>
      <c r="D28564" s="69" t="s">
        <v>29562</v>
      </c>
      <c r="E28564" s="62"/>
      <c r="F28564" s="62" t="str">
        <f>IF(INDEX(I.Gas.P4Y1C1E3,28)="","",INDEX(I.Gas.P4Y1C1E3,28))</f>
        <v/>
      </c>
      <c r="G28564" s="62"/>
      <c r="H28564" s="46" t="str">
        <f>IF(OR(I.Developer.P4=FALSE,I.Facility.StandardPart="Part 2"),"Complete",IF(I.Product.P4GasToPowerStatus&lt;&gt;"Yes","Complete",IF(AND(I.Gas.P4Y1Count&gt;=28,F28564=""),"Incomplete","Complete")))</f>
        <v>Complete</v>
      </c>
      <c r="I28564" s="48" t="s">
        <v>3743</v>
      </c>
    </row>
    <row r="28565" spans="2:9" ht="15" customHeight="1" x14ac:dyDescent="0.25">
      <c r="B28565" s="55" t="s">
        <v>425</v>
      </c>
      <c r="C28565" s="46">
        <v>29</v>
      </c>
      <c r="D28565" s="69" t="s">
        <v>29562</v>
      </c>
      <c r="E28565" s="62"/>
      <c r="F28565" s="62" t="str">
        <f>IF(INDEX(I.Gas.P4Y1C1E3,29)="","",INDEX(I.Gas.P4Y1C1E3,29))</f>
        <v/>
      </c>
      <c r="G28565" s="62"/>
      <c r="H28565" s="46" t="str">
        <f>IF(OR(I.Developer.P4=FALSE,I.Facility.StandardPart="Part 2"),"Complete",IF(I.Product.P4GasToPowerStatus&lt;&gt;"Yes","Complete",IF(AND(I.Gas.P4Y1Count&gt;=29,F28565=""),"Incomplete","Complete")))</f>
        <v>Complete</v>
      </c>
      <c r="I28565" s="48" t="s">
        <v>3744</v>
      </c>
    </row>
    <row r="28566" spans="2:9" ht="15" customHeight="1" x14ac:dyDescent="0.25">
      <c r="B28566" s="55" t="s">
        <v>425</v>
      </c>
      <c r="C28566" s="46">
        <v>30</v>
      </c>
      <c r="D28566" s="69" t="s">
        <v>29562</v>
      </c>
      <c r="E28566" s="62"/>
      <c r="F28566" s="62" t="str">
        <f>IF(INDEX(I.Gas.P4Y1C1E3,30)="","",INDEX(I.Gas.P4Y1C1E3,30))</f>
        <v/>
      </c>
      <c r="G28566" s="62"/>
      <c r="H28566" s="46" t="str">
        <f>IF(OR(I.Developer.P4=FALSE,I.Facility.StandardPart="Part 2"),"Complete",IF(I.Product.P4GasToPowerStatus&lt;&gt;"Yes","Complete",IF(AND(I.Gas.P4Y1Count&gt;=30,F28566=""),"Incomplete","Complete")))</f>
        <v>Complete</v>
      </c>
      <c r="I28566" s="48" t="s">
        <v>3745</v>
      </c>
    </row>
    <row r="28567" spans="2:9" ht="15" customHeight="1" x14ac:dyDescent="0.25">
      <c r="B28567" s="55" t="s">
        <v>425</v>
      </c>
      <c r="C28567" s="46">
        <v>31</v>
      </c>
      <c r="D28567" s="69" t="s">
        <v>29562</v>
      </c>
      <c r="E28567" s="62"/>
      <c r="F28567" s="62" t="str">
        <f>IF(INDEX(I.Gas.P4Y1C1E3,31)="","",INDEX(I.Gas.P4Y1C1E3,31))</f>
        <v/>
      </c>
      <c r="G28567" s="62"/>
      <c r="H28567" s="46" t="str">
        <f>IF(OR(I.Developer.P4=FALSE,I.Facility.StandardPart="Part 2"),"Complete",IF(I.Product.P4GasToPowerStatus&lt;&gt;"Yes","Complete",IF(AND(I.Gas.P4Y1Count&gt;=31,F28567=""),"Incomplete","Complete")))</f>
        <v>Complete</v>
      </c>
      <c r="I28567" s="48" t="s">
        <v>3746</v>
      </c>
    </row>
    <row r="28568" spans="2:9" ht="15" customHeight="1" x14ac:dyDescent="0.25">
      <c r="B28568" s="55" t="s">
        <v>425</v>
      </c>
      <c r="C28568" s="46">
        <v>32</v>
      </c>
      <c r="D28568" s="69" t="s">
        <v>29562</v>
      </c>
      <c r="E28568" s="62"/>
      <c r="F28568" s="62" t="str">
        <f>IF(INDEX(I.Gas.P4Y1C1E3,32)="","",INDEX(I.Gas.P4Y1C1E3,32))</f>
        <v/>
      </c>
      <c r="G28568" s="62"/>
      <c r="H28568" s="46" t="str">
        <f>IF(OR(I.Developer.P4=FALSE,I.Facility.StandardPart="Part 2"),"Complete",IF(I.Product.P4GasToPowerStatus&lt;&gt;"Yes","Complete",IF(AND(I.Gas.P4Y1Count&gt;=32,F28568=""),"Incomplete","Complete")))</f>
        <v>Complete</v>
      </c>
      <c r="I28568" s="48" t="s">
        <v>3747</v>
      </c>
    </row>
    <row r="28569" spans="2:9" ht="15" customHeight="1" x14ac:dyDescent="0.25">
      <c r="B28569" s="55" t="s">
        <v>425</v>
      </c>
      <c r="C28569" s="46">
        <v>33</v>
      </c>
      <c r="D28569" s="69" t="s">
        <v>29562</v>
      </c>
      <c r="E28569" s="62"/>
      <c r="F28569" s="62" t="str">
        <f>IF(INDEX(I.Gas.P4Y1C1E3,33)="","",INDEX(I.Gas.P4Y1C1E3,33))</f>
        <v/>
      </c>
      <c r="G28569" s="62"/>
      <c r="H28569" s="46" t="str">
        <f>IF(OR(I.Developer.P4=FALSE,I.Facility.StandardPart="Part 2"),"Complete",IF(I.Product.P4GasToPowerStatus&lt;&gt;"Yes","Complete",IF(AND(I.Gas.P4Y1Count&gt;=33,F28569=""),"Incomplete","Complete")))</f>
        <v>Complete</v>
      </c>
      <c r="I28569" s="48" t="s">
        <v>3748</v>
      </c>
    </row>
    <row r="28570" spans="2:9" ht="15" customHeight="1" x14ac:dyDescent="0.25">
      <c r="B28570" s="55" t="s">
        <v>425</v>
      </c>
      <c r="C28570" s="46">
        <v>34</v>
      </c>
      <c r="D28570" s="69" t="s">
        <v>29562</v>
      </c>
      <c r="E28570" s="62"/>
      <c r="F28570" s="62" t="str">
        <f>IF(INDEX(I.Gas.P4Y1C1E3,34)="","",INDEX(I.Gas.P4Y1C1E3,34))</f>
        <v/>
      </c>
      <c r="G28570" s="62"/>
      <c r="H28570" s="46" t="str">
        <f>IF(OR(I.Developer.P4=FALSE,I.Facility.StandardPart="Part 2"),"Complete",IF(I.Product.P4GasToPowerStatus&lt;&gt;"Yes","Complete",IF(AND(I.Gas.P4Y1Count&gt;=34,F28570=""),"Incomplete","Complete")))</f>
        <v>Complete</v>
      </c>
      <c r="I28570" s="48" t="s">
        <v>3749</v>
      </c>
    </row>
    <row r="28571" spans="2:9" ht="15" customHeight="1" x14ac:dyDescent="0.25">
      <c r="B28571" s="55" t="s">
        <v>425</v>
      </c>
      <c r="C28571" s="46">
        <v>35</v>
      </c>
      <c r="D28571" s="69" t="s">
        <v>29562</v>
      </c>
      <c r="E28571" s="62"/>
      <c r="F28571" s="62" t="str">
        <f>IF(INDEX(I.Gas.P4Y1C1E3,35)="","",INDEX(I.Gas.P4Y1C1E3,35))</f>
        <v/>
      </c>
      <c r="G28571" s="62"/>
      <c r="H28571" s="46" t="str">
        <f>IF(OR(I.Developer.P4=FALSE,I.Facility.StandardPart="Part 2"),"Complete",IF(I.Product.P4GasToPowerStatus&lt;&gt;"Yes","Complete",IF(AND(I.Gas.P4Y1Count&gt;=35,F28571=""),"Incomplete","Complete")))</f>
        <v>Complete</v>
      </c>
      <c r="I28571" s="48" t="s">
        <v>3750</v>
      </c>
    </row>
    <row r="28572" spans="2:9" ht="15" customHeight="1" x14ac:dyDescent="0.25">
      <c r="B28572" s="55" t="s">
        <v>425</v>
      </c>
      <c r="C28572" s="46">
        <v>36</v>
      </c>
      <c r="D28572" s="69" t="s">
        <v>29562</v>
      </c>
      <c r="E28572" s="62"/>
      <c r="F28572" s="62" t="str">
        <f>IF(INDEX(I.Gas.P4Y1C1E3,36)="","",INDEX(I.Gas.P4Y1C1E3,36))</f>
        <v/>
      </c>
      <c r="G28572" s="62"/>
      <c r="H28572" s="46" t="str">
        <f>IF(OR(I.Developer.P4=FALSE,I.Facility.StandardPart="Part 2"),"Complete",IF(I.Product.P4GasToPowerStatus&lt;&gt;"Yes","Complete",IF(AND(I.Gas.P4Y1Count&gt;=36,F28572=""),"Incomplete","Complete")))</f>
        <v>Complete</v>
      </c>
      <c r="I28572" s="48" t="s">
        <v>3751</v>
      </c>
    </row>
    <row r="28573" spans="2:9" ht="15" customHeight="1" x14ac:dyDescent="0.25">
      <c r="B28573" s="55" t="s">
        <v>425</v>
      </c>
      <c r="C28573" s="46">
        <v>37</v>
      </c>
      <c r="D28573" s="69" t="s">
        <v>29562</v>
      </c>
      <c r="E28573" s="62"/>
      <c r="F28573" s="62" t="str">
        <f>IF(INDEX(I.Gas.P4Y1C1E3,37)="","",INDEX(I.Gas.P4Y1C1E3,37))</f>
        <v/>
      </c>
      <c r="G28573" s="62"/>
      <c r="H28573" s="46" t="str">
        <f>IF(OR(I.Developer.P4=FALSE,I.Facility.StandardPart="Part 2"),"Complete",IF(I.Product.P4GasToPowerStatus&lt;&gt;"Yes","Complete",IF(AND(I.Gas.P4Y1Count&gt;=37,F28573=""),"Incomplete","Complete")))</f>
        <v>Complete</v>
      </c>
      <c r="I28573" s="48" t="s">
        <v>3752</v>
      </c>
    </row>
    <row r="28574" spans="2:9" ht="15" customHeight="1" x14ac:dyDescent="0.25">
      <c r="B28574" s="55" t="s">
        <v>425</v>
      </c>
      <c r="C28574" s="46">
        <v>38</v>
      </c>
      <c r="D28574" s="69" t="s">
        <v>29562</v>
      </c>
      <c r="E28574" s="62"/>
      <c r="F28574" s="62" t="str">
        <f>IF(INDEX(I.Gas.P4Y1C1E3,38)="","",INDEX(I.Gas.P4Y1C1E3,38))</f>
        <v/>
      </c>
      <c r="G28574" s="62"/>
      <c r="H28574" s="46" t="str">
        <f>IF(OR(I.Developer.P4=FALSE,I.Facility.StandardPart="Part 2"),"Complete",IF(I.Product.P4GasToPowerStatus&lt;&gt;"Yes","Complete",IF(AND(I.Gas.P4Y1Count&gt;=38,F28574=""),"Incomplete","Complete")))</f>
        <v>Complete</v>
      </c>
      <c r="I28574" s="48" t="s">
        <v>3753</v>
      </c>
    </row>
    <row r="28575" spans="2:9" ht="15" customHeight="1" x14ac:dyDescent="0.25">
      <c r="B28575" s="55" t="s">
        <v>425</v>
      </c>
      <c r="C28575" s="46">
        <v>39</v>
      </c>
      <c r="D28575" s="69" t="s">
        <v>29562</v>
      </c>
      <c r="E28575" s="62"/>
      <c r="F28575" s="62" t="str">
        <f>IF(INDEX(I.Gas.P4Y1C1E3,39)="","",INDEX(I.Gas.P4Y1C1E3,39))</f>
        <v/>
      </c>
      <c r="G28575" s="62"/>
      <c r="H28575" s="46" t="str">
        <f>IF(OR(I.Developer.P4=FALSE,I.Facility.StandardPart="Part 2"),"Complete",IF(I.Product.P4GasToPowerStatus&lt;&gt;"Yes","Complete",IF(AND(I.Gas.P4Y1Count&gt;=39,F28575=""),"Incomplete","Complete")))</f>
        <v>Complete</v>
      </c>
      <c r="I28575" s="48" t="s">
        <v>3754</v>
      </c>
    </row>
    <row r="28576" spans="2:9" ht="15" customHeight="1" x14ac:dyDescent="0.25">
      <c r="B28576" s="55" t="s">
        <v>425</v>
      </c>
      <c r="C28576" s="46">
        <v>40</v>
      </c>
      <c r="D28576" s="69" t="s">
        <v>29562</v>
      </c>
      <c r="E28576" s="62"/>
      <c r="F28576" s="62" t="str">
        <f>IF(INDEX(I.Gas.P4Y1C1E3,40)="","",INDEX(I.Gas.P4Y1C1E3,40))</f>
        <v/>
      </c>
      <c r="G28576" s="62"/>
      <c r="H28576" s="46" t="str">
        <f>IF(OR(I.Developer.P4=FALSE,I.Facility.StandardPart="Part 2"),"Complete",IF(I.Product.P4GasToPowerStatus&lt;&gt;"Yes","Complete",IF(AND(I.Gas.P4Y1Count&gt;=40,F28576=""),"Incomplete","Complete")))</f>
        <v>Complete</v>
      </c>
      <c r="I28576" s="48" t="s">
        <v>3755</v>
      </c>
    </row>
    <row r="28577" spans="2:9" ht="15" customHeight="1" x14ac:dyDescent="0.25">
      <c r="B28577" s="55" t="s">
        <v>425</v>
      </c>
      <c r="C28577" s="46">
        <v>41</v>
      </c>
      <c r="D28577" s="69" t="s">
        <v>29562</v>
      </c>
      <c r="E28577" s="62"/>
      <c r="F28577" s="62" t="str">
        <f>IF(INDEX(I.Gas.P4Y1C1E3,41)="","",INDEX(I.Gas.P4Y1C1E3,41))</f>
        <v/>
      </c>
      <c r="G28577" s="62"/>
      <c r="H28577" s="46" t="str">
        <f>IF(OR(I.Developer.P4=FALSE,I.Facility.StandardPart="Part 2"),"Complete",IF(I.Product.P4GasToPowerStatus&lt;&gt;"Yes","Complete",IF(AND(I.Gas.P4Y1Count&gt;=41,F28577=""),"Incomplete","Complete")))</f>
        <v>Complete</v>
      </c>
      <c r="I28577" s="48" t="s">
        <v>3756</v>
      </c>
    </row>
    <row r="28578" spans="2:9" ht="15" customHeight="1" x14ac:dyDescent="0.25">
      <c r="B28578" s="55" t="s">
        <v>425</v>
      </c>
      <c r="C28578" s="46">
        <v>42</v>
      </c>
      <c r="D28578" s="69" t="s">
        <v>29562</v>
      </c>
      <c r="E28578" s="62"/>
      <c r="F28578" s="62" t="str">
        <f>IF(INDEX(I.Gas.P4Y1C1E3,42)="","",INDEX(I.Gas.P4Y1C1E3,42))</f>
        <v/>
      </c>
      <c r="G28578" s="62"/>
      <c r="H28578" s="46" t="str">
        <f>IF(OR(I.Developer.P4=FALSE,I.Facility.StandardPart="Part 2"),"Complete",IF(I.Product.P4GasToPowerStatus&lt;&gt;"Yes","Complete",IF(AND(I.Gas.P4Y1Count&gt;=42,F28578=""),"Incomplete","Complete")))</f>
        <v>Complete</v>
      </c>
      <c r="I28578" s="48" t="s">
        <v>3757</v>
      </c>
    </row>
    <row r="28579" spans="2:9" ht="15" customHeight="1" x14ac:dyDescent="0.25">
      <c r="B28579" s="55" t="s">
        <v>425</v>
      </c>
      <c r="C28579" s="46">
        <v>43</v>
      </c>
      <c r="D28579" s="69" t="s">
        <v>29562</v>
      </c>
      <c r="E28579" s="62"/>
      <c r="F28579" s="62" t="str">
        <f>IF(INDEX(I.Gas.P4Y1C1E3,43)="","",INDEX(I.Gas.P4Y1C1E3,43))</f>
        <v/>
      </c>
      <c r="G28579" s="62"/>
      <c r="H28579" s="46" t="str">
        <f>IF(OR(I.Developer.P4=FALSE,I.Facility.StandardPart="Part 2"),"Complete",IF(I.Product.P4GasToPowerStatus&lt;&gt;"Yes","Complete",IF(AND(I.Gas.P4Y1Count&gt;=43,F28579=""),"Incomplete","Complete")))</f>
        <v>Complete</v>
      </c>
      <c r="I28579" s="48" t="s">
        <v>3758</v>
      </c>
    </row>
    <row r="28580" spans="2:9" ht="15" customHeight="1" x14ac:dyDescent="0.25">
      <c r="B28580" s="55" t="s">
        <v>425</v>
      </c>
      <c r="C28580" s="46">
        <v>44</v>
      </c>
      <c r="D28580" s="69" t="s">
        <v>29562</v>
      </c>
      <c r="E28580" s="62"/>
      <c r="F28580" s="62" t="str">
        <f>IF(INDEX(I.Gas.P4Y1C1E3,44)="","",INDEX(I.Gas.P4Y1C1E3,44))</f>
        <v/>
      </c>
      <c r="G28580" s="62"/>
      <c r="H28580" s="46" t="str">
        <f>IF(OR(I.Developer.P4=FALSE,I.Facility.StandardPart="Part 2"),"Complete",IF(I.Product.P4GasToPowerStatus&lt;&gt;"Yes","Complete",IF(AND(I.Gas.P4Y1Count&gt;=44,F28580=""),"Incomplete","Complete")))</f>
        <v>Complete</v>
      </c>
      <c r="I28580" s="48" t="s">
        <v>3759</v>
      </c>
    </row>
    <row r="28581" spans="2:9" ht="15" customHeight="1" x14ac:dyDescent="0.25">
      <c r="B28581" s="55" t="s">
        <v>425</v>
      </c>
      <c r="C28581" s="46">
        <v>45</v>
      </c>
      <c r="D28581" s="69" t="s">
        <v>29562</v>
      </c>
      <c r="E28581" s="62"/>
      <c r="F28581" s="62" t="str">
        <f>IF(INDEX(I.Gas.P4Y1C1E3,45)="","",INDEX(I.Gas.P4Y1C1E3,45))</f>
        <v/>
      </c>
      <c r="G28581" s="62"/>
      <c r="H28581" s="46" t="str">
        <f>IF(OR(I.Developer.P4=FALSE,I.Facility.StandardPart="Part 2"),"Complete",IF(I.Product.P4GasToPowerStatus&lt;&gt;"Yes","Complete",IF(AND(I.Gas.P4Y1Count&gt;=45,F28581=""),"Incomplete","Complete")))</f>
        <v>Complete</v>
      </c>
      <c r="I28581" s="48" t="s">
        <v>3760</v>
      </c>
    </row>
    <row r="28582" spans="2:9" ht="15" customHeight="1" x14ac:dyDescent="0.25">
      <c r="B28582" s="55" t="s">
        <v>425</v>
      </c>
      <c r="C28582" s="46">
        <v>46</v>
      </c>
      <c r="D28582" s="69" t="s">
        <v>29562</v>
      </c>
      <c r="E28582" s="62"/>
      <c r="F28582" s="62" t="str">
        <f>IF(INDEX(I.Gas.P4Y1C1E3,46)="","",INDEX(I.Gas.P4Y1C1E3,46))</f>
        <v/>
      </c>
      <c r="G28582" s="62"/>
      <c r="H28582" s="46" t="str">
        <f>IF(OR(I.Developer.P4=FALSE,I.Facility.StandardPart="Part 2"),"Complete",IF(I.Product.P4GasToPowerStatus&lt;&gt;"Yes","Complete",IF(AND(I.Gas.P4Y1Count&gt;=46,F28582=""),"Incomplete","Complete")))</f>
        <v>Complete</v>
      </c>
      <c r="I28582" s="48" t="s">
        <v>3761</v>
      </c>
    </row>
    <row r="28583" spans="2:9" ht="15" customHeight="1" x14ac:dyDescent="0.25">
      <c r="B28583" s="55" t="s">
        <v>425</v>
      </c>
      <c r="C28583" s="46">
        <v>47</v>
      </c>
      <c r="D28583" s="69" t="s">
        <v>29562</v>
      </c>
      <c r="E28583" s="62"/>
      <c r="F28583" s="62" t="str">
        <f>IF(INDEX(I.Gas.P4Y1C1E3,47)="","",INDEX(I.Gas.P4Y1C1E3,47))</f>
        <v/>
      </c>
      <c r="G28583" s="62"/>
      <c r="H28583" s="46" t="str">
        <f>IF(OR(I.Developer.P4=FALSE,I.Facility.StandardPart="Part 2"),"Complete",IF(I.Product.P4GasToPowerStatus&lt;&gt;"Yes","Complete",IF(AND(I.Gas.P4Y1Count&gt;=47,F28583=""),"Incomplete","Complete")))</f>
        <v>Complete</v>
      </c>
      <c r="I28583" s="48" t="s">
        <v>3762</v>
      </c>
    </row>
    <row r="28584" spans="2:9" ht="15" customHeight="1" x14ac:dyDescent="0.25">
      <c r="B28584" s="55" t="s">
        <v>425</v>
      </c>
      <c r="C28584" s="46">
        <v>48</v>
      </c>
      <c r="D28584" s="69" t="s">
        <v>29562</v>
      </c>
      <c r="E28584" s="62"/>
      <c r="F28584" s="62" t="str">
        <f>IF(INDEX(I.Gas.P4Y1C1E3,48)="","",INDEX(I.Gas.P4Y1C1E3,48))</f>
        <v/>
      </c>
      <c r="G28584" s="62"/>
      <c r="H28584" s="46" t="str">
        <f>IF(OR(I.Developer.P4=FALSE,I.Facility.StandardPart="Part 2"),"Complete",IF(I.Product.P4GasToPowerStatus&lt;&gt;"Yes","Complete",IF(AND(I.Gas.P4Y1Count&gt;=48,F28584=""),"Incomplete","Complete")))</f>
        <v>Complete</v>
      </c>
      <c r="I28584" s="48" t="s">
        <v>3763</v>
      </c>
    </row>
    <row r="28585" spans="2:9" ht="15" customHeight="1" x14ac:dyDescent="0.25">
      <c r="B28585" s="55" t="s">
        <v>425</v>
      </c>
      <c r="C28585" s="46">
        <v>49</v>
      </c>
      <c r="D28585" s="69" t="s">
        <v>29562</v>
      </c>
      <c r="E28585" s="62"/>
      <c r="F28585" s="62" t="str">
        <f>IF(INDEX(I.Gas.P4Y1C1E3,49)="","",INDEX(I.Gas.P4Y1C1E3,49))</f>
        <v/>
      </c>
      <c r="G28585" s="62"/>
      <c r="H28585" s="46" t="str">
        <f>IF(OR(I.Developer.P4=FALSE,I.Facility.StandardPart="Part 2"),"Complete",IF(I.Product.P4GasToPowerStatus&lt;&gt;"Yes","Complete",IF(AND(I.Gas.P4Y1Count&gt;=49,F28585=""),"Incomplete","Complete")))</f>
        <v>Complete</v>
      </c>
      <c r="I28585" s="48" t="s">
        <v>3764</v>
      </c>
    </row>
    <row r="28586" spans="2:9" ht="15" customHeight="1" x14ac:dyDescent="0.25">
      <c r="B28586" s="56" t="s">
        <v>425</v>
      </c>
      <c r="C28586" s="57">
        <v>50</v>
      </c>
      <c r="D28586" s="71" t="s">
        <v>29562</v>
      </c>
      <c r="E28586" s="61"/>
      <c r="F28586" s="61" t="str">
        <f>IF(INDEX(I.Gas.P4Y1C1E3,50)="","",INDEX(I.Gas.P4Y1C1E3,50))</f>
        <v/>
      </c>
      <c r="G28586" s="61"/>
      <c r="H28586" s="57" t="str">
        <f>IF(OR(I.Developer.P4=FALSE,I.Facility.StandardPart="Part 2"),"Complete",IF(I.Product.P4GasToPowerStatus&lt;&gt;"Yes","Complete",IF(AND(I.Gas.P4Y1Count&gt;=50,F28586=""),"Incomplete","Complete")))</f>
        <v>Complete</v>
      </c>
      <c r="I28586" s="49" t="s">
        <v>3765</v>
      </c>
    </row>
    <row r="28587" spans="2:9" ht="15" customHeight="1" x14ac:dyDescent="0.25">
      <c r="B28587" s="56" t="s">
        <v>426</v>
      </c>
      <c r="C28587" s="57">
        <v>1</v>
      </c>
      <c r="D28587" s="71" t="s">
        <v>29563</v>
      </c>
      <c r="E28587" s="60"/>
      <c r="F28587" s="60" t="str">
        <f>IF(INDEX(I.Gas.P4Y2Count,1)="","",INDEX(I.Gas.P4Y2Count,1))</f>
        <v/>
      </c>
      <c r="G28587" s="60"/>
      <c r="H28587" s="57" t="str">
        <f>IF(I.Developer.P4=FALSE,"Complete",IF(I.Product.P4GasToPowerStatus&lt;&gt;"Yes","Complete",IF(I.Gas.P4Y2Count="","Incomplete","Complete")))</f>
        <v>Complete</v>
      </c>
      <c r="I28587" s="49" t="s">
        <v>3766</v>
      </c>
    </row>
    <row r="28588" spans="2:9" ht="15" customHeight="1" x14ac:dyDescent="0.25">
      <c r="B28588" s="55" t="s">
        <v>427</v>
      </c>
      <c r="C28588" s="46">
        <v>1</v>
      </c>
      <c r="D28588" s="69" t="s">
        <v>29564</v>
      </c>
      <c r="E28588" s="62"/>
      <c r="F28588" s="62" t="str">
        <f>IF(INDEX(I.Gas.P4Y2AssociatedGasEnergy,1)="","",INDEX(I.Gas.P4Y2AssociatedGasEnergy,1))</f>
        <v/>
      </c>
      <c r="G28588" s="62"/>
      <c r="H28588" s="46" t="str">
        <f>IF(I.Developer.P4=FALSE,"Complete",IF(I.Product.P4GasToPowerStatus&lt;&gt;"Yes","Complete",IF(AND(I.Gas.P4Y2Count&gt;=1,F28588=""),"Incomplete","Complete")))</f>
        <v>Complete</v>
      </c>
      <c r="I28588" s="48" t="s">
        <v>3767</v>
      </c>
    </row>
    <row r="28589" spans="2:9" ht="15" customHeight="1" x14ac:dyDescent="0.25">
      <c r="B28589" s="55" t="s">
        <v>427</v>
      </c>
      <c r="C28589" s="46">
        <v>2</v>
      </c>
      <c r="D28589" s="69" t="s">
        <v>29564</v>
      </c>
      <c r="E28589" s="62"/>
      <c r="F28589" s="62" t="str">
        <f>IF(INDEX(I.Gas.P4Y2AssociatedGasEnergy,2)="","",INDEX(I.Gas.P4Y2AssociatedGasEnergy,2))</f>
        <v/>
      </c>
      <c r="G28589" s="62"/>
      <c r="H28589" s="46" t="str">
        <f>IF(I.Developer.P4=FALSE,"Complete",IF(I.Product.P4GasToPowerStatus&lt;&gt;"Yes","Complete",IF(AND(I.Gas.P4Y2Count&gt;=2,F28589=""),"Incomplete","Complete")))</f>
        <v>Complete</v>
      </c>
      <c r="I28589" s="48" t="s">
        <v>3768</v>
      </c>
    </row>
    <row r="28590" spans="2:9" ht="15" customHeight="1" x14ac:dyDescent="0.25">
      <c r="B28590" s="55" t="s">
        <v>427</v>
      </c>
      <c r="C28590" s="46">
        <v>3</v>
      </c>
      <c r="D28590" s="69" t="s">
        <v>29564</v>
      </c>
      <c r="E28590" s="62"/>
      <c r="F28590" s="62" t="str">
        <f>IF(INDEX(I.Gas.P4Y2AssociatedGasEnergy,3)="","",INDEX(I.Gas.P4Y2AssociatedGasEnergy,3))</f>
        <v/>
      </c>
      <c r="G28590" s="62"/>
      <c r="H28590" s="46" t="str">
        <f>IF(I.Developer.P4=FALSE,"Complete",IF(I.Product.P4GasToPowerStatus&lt;&gt;"Yes","Complete",IF(AND(I.Gas.P4Y2Count&gt;=3,F28590=""),"Incomplete","Complete")))</f>
        <v>Complete</v>
      </c>
      <c r="I28590" s="48" t="s">
        <v>3769</v>
      </c>
    </row>
    <row r="28591" spans="2:9" ht="15" customHeight="1" x14ac:dyDescent="0.25">
      <c r="B28591" s="55" t="s">
        <v>427</v>
      </c>
      <c r="C28591" s="46">
        <v>4</v>
      </c>
      <c r="D28591" s="69" t="s">
        <v>29564</v>
      </c>
      <c r="E28591" s="62"/>
      <c r="F28591" s="62" t="str">
        <f>IF(INDEX(I.Gas.P4Y2AssociatedGasEnergy,4)="","",INDEX(I.Gas.P4Y2AssociatedGasEnergy,4))</f>
        <v/>
      </c>
      <c r="G28591" s="62"/>
      <c r="H28591" s="46" t="str">
        <f>IF(I.Developer.P4=FALSE,"Complete",IF(I.Product.P4GasToPowerStatus&lt;&gt;"Yes","Complete",IF(AND(I.Gas.P4Y2Count&gt;=4,F28591=""),"Incomplete","Complete")))</f>
        <v>Complete</v>
      </c>
      <c r="I28591" s="48" t="s">
        <v>3770</v>
      </c>
    </row>
    <row r="28592" spans="2:9" ht="15" customHeight="1" x14ac:dyDescent="0.25">
      <c r="B28592" s="55" t="s">
        <v>427</v>
      </c>
      <c r="C28592" s="46">
        <v>5</v>
      </c>
      <c r="D28592" s="69" t="s">
        <v>29564</v>
      </c>
      <c r="E28592" s="62"/>
      <c r="F28592" s="62" t="str">
        <f>IF(INDEX(I.Gas.P4Y2AssociatedGasEnergy,5)="","",INDEX(I.Gas.P4Y2AssociatedGasEnergy,5))</f>
        <v/>
      </c>
      <c r="G28592" s="62"/>
      <c r="H28592" s="46" t="str">
        <f>IF(I.Developer.P4=FALSE,"Complete",IF(I.Product.P4GasToPowerStatus&lt;&gt;"Yes","Complete",IF(AND(I.Gas.P4Y2Count&gt;=5,F28592=""),"Incomplete","Complete")))</f>
        <v>Complete</v>
      </c>
      <c r="I28592" s="48" t="s">
        <v>3771</v>
      </c>
    </row>
    <row r="28593" spans="2:9" ht="15" customHeight="1" x14ac:dyDescent="0.25">
      <c r="B28593" s="55" t="s">
        <v>427</v>
      </c>
      <c r="C28593" s="46">
        <v>6</v>
      </c>
      <c r="D28593" s="69" t="s">
        <v>29564</v>
      </c>
      <c r="E28593" s="62"/>
      <c r="F28593" s="62" t="str">
        <f>IF(INDEX(I.Gas.P4Y2AssociatedGasEnergy,6)="","",INDEX(I.Gas.P4Y2AssociatedGasEnergy,6))</f>
        <v/>
      </c>
      <c r="G28593" s="62"/>
      <c r="H28593" s="46" t="str">
        <f>IF(I.Developer.P4=FALSE,"Complete",IF(I.Product.P4GasToPowerStatus&lt;&gt;"Yes","Complete",IF(AND(I.Gas.P4Y2Count&gt;=6,F28593=""),"Incomplete","Complete")))</f>
        <v>Complete</v>
      </c>
      <c r="I28593" s="48" t="s">
        <v>3772</v>
      </c>
    </row>
    <row r="28594" spans="2:9" ht="15" customHeight="1" x14ac:dyDescent="0.25">
      <c r="B28594" s="55" t="s">
        <v>427</v>
      </c>
      <c r="C28594" s="46">
        <v>7</v>
      </c>
      <c r="D28594" s="69" t="s">
        <v>29564</v>
      </c>
      <c r="E28594" s="62"/>
      <c r="F28594" s="62" t="str">
        <f>IF(INDEX(I.Gas.P4Y2AssociatedGasEnergy,7)="","",INDEX(I.Gas.P4Y2AssociatedGasEnergy,7))</f>
        <v/>
      </c>
      <c r="G28594" s="62"/>
      <c r="H28594" s="46" t="str">
        <f>IF(I.Developer.P4=FALSE,"Complete",IF(I.Product.P4GasToPowerStatus&lt;&gt;"Yes","Complete",IF(AND(I.Gas.P4Y2Count&gt;=7,F28594=""),"Incomplete","Complete")))</f>
        <v>Complete</v>
      </c>
      <c r="I28594" s="48" t="s">
        <v>3773</v>
      </c>
    </row>
    <row r="28595" spans="2:9" ht="15" customHeight="1" x14ac:dyDescent="0.25">
      <c r="B28595" s="55" t="s">
        <v>427</v>
      </c>
      <c r="C28595" s="46">
        <v>8</v>
      </c>
      <c r="D28595" s="69" t="s">
        <v>29564</v>
      </c>
      <c r="E28595" s="62"/>
      <c r="F28595" s="62" t="str">
        <f>IF(INDEX(I.Gas.P4Y2AssociatedGasEnergy,8)="","",INDEX(I.Gas.P4Y2AssociatedGasEnergy,8))</f>
        <v/>
      </c>
      <c r="G28595" s="62"/>
      <c r="H28595" s="46" t="str">
        <f>IF(I.Developer.P4=FALSE,"Complete",IF(I.Product.P4GasToPowerStatus&lt;&gt;"Yes","Complete",IF(AND(I.Gas.P4Y2Count&gt;=8,F28595=""),"Incomplete","Complete")))</f>
        <v>Complete</v>
      </c>
      <c r="I28595" s="48" t="s">
        <v>3774</v>
      </c>
    </row>
    <row r="28596" spans="2:9" ht="15" customHeight="1" x14ac:dyDescent="0.25">
      <c r="B28596" s="55" t="s">
        <v>427</v>
      </c>
      <c r="C28596" s="46">
        <v>9</v>
      </c>
      <c r="D28596" s="69" t="s">
        <v>29564</v>
      </c>
      <c r="E28596" s="62"/>
      <c r="F28596" s="62" t="str">
        <f>IF(INDEX(I.Gas.P4Y2AssociatedGasEnergy,9)="","",INDEX(I.Gas.P4Y2AssociatedGasEnergy,9))</f>
        <v/>
      </c>
      <c r="G28596" s="62"/>
      <c r="H28596" s="46" t="str">
        <f>IF(I.Developer.P4=FALSE,"Complete",IF(I.Product.P4GasToPowerStatus&lt;&gt;"Yes","Complete",IF(AND(I.Gas.P4Y2Count&gt;=9,F28596=""),"Incomplete","Complete")))</f>
        <v>Complete</v>
      </c>
      <c r="I28596" s="48" t="s">
        <v>3775</v>
      </c>
    </row>
    <row r="28597" spans="2:9" ht="15" customHeight="1" x14ac:dyDescent="0.25">
      <c r="B28597" s="55" t="s">
        <v>427</v>
      </c>
      <c r="C28597" s="46">
        <v>10</v>
      </c>
      <c r="D28597" s="69" t="s">
        <v>29564</v>
      </c>
      <c r="E28597" s="62"/>
      <c r="F28597" s="62" t="str">
        <f>IF(INDEX(I.Gas.P4Y2AssociatedGasEnergy,10)="","",INDEX(I.Gas.P4Y2AssociatedGasEnergy,10))</f>
        <v/>
      </c>
      <c r="G28597" s="62"/>
      <c r="H28597" s="46" t="str">
        <f>IF(I.Developer.P4=FALSE,"Complete",IF(I.Product.P4GasToPowerStatus&lt;&gt;"Yes","Complete",IF(AND(I.Gas.P4Y2Count&gt;=10,F28597=""),"Incomplete","Complete")))</f>
        <v>Complete</v>
      </c>
      <c r="I28597" s="48" t="s">
        <v>3776</v>
      </c>
    </row>
    <row r="28598" spans="2:9" ht="15" customHeight="1" x14ac:dyDescent="0.25">
      <c r="B28598" s="55" t="s">
        <v>427</v>
      </c>
      <c r="C28598" s="46">
        <v>11</v>
      </c>
      <c r="D28598" s="69" t="s">
        <v>29564</v>
      </c>
      <c r="E28598" s="62"/>
      <c r="F28598" s="62" t="str">
        <f>IF(INDEX(I.Gas.P4Y2AssociatedGasEnergy,11)="","",INDEX(I.Gas.P4Y2AssociatedGasEnergy,11))</f>
        <v/>
      </c>
      <c r="G28598" s="62"/>
      <c r="H28598" s="46" t="str">
        <f>IF(I.Developer.P4=FALSE,"Complete",IF(I.Product.P4GasToPowerStatus&lt;&gt;"Yes","Complete",IF(AND(I.Gas.P4Y2Count&gt;=11,F28598=""),"Incomplete","Complete")))</f>
        <v>Complete</v>
      </c>
      <c r="I28598" s="48" t="s">
        <v>3777</v>
      </c>
    </row>
    <row r="28599" spans="2:9" ht="15" customHeight="1" x14ac:dyDescent="0.25">
      <c r="B28599" s="55" t="s">
        <v>427</v>
      </c>
      <c r="C28599" s="46">
        <v>12</v>
      </c>
      <c r="D28599" s="69" t="s">
        <v>29564</v>
      </c>
      <c r="E28599" s="62"/>
      <c r="F28599" s="62" t="str">
        <f>IF(INDEX(I.Gas.P4Y2AssociatedGasEnergy,12)="","",INDEX(I.Gas.P4Y2AssociatedGasEnergy,12))</f>
        <v/>
      </c>
      <c r="G28599" s="62"/>
      <c r="H28599" s="46" t="str">
        <f>IF(I.Developer.P4=FALSE,"Complete",IF(I.Product.P4GasToPowerStatus&lt;&gt;"Yes","Complete",IF(AND(I.Gas.P4Y2Count&gt;=12,F28599=""),"Incomplete","Complete")))</f>
        <v>Complete</v>
      </c>
      <c r="I28599" s="48" t="s">
        <v>3778</v>
      </c>
    </row>
    <row r="28600" spans="2:9" ht="15" customHeight="1" x14ac:dyDescent="0.25">
      <c r="B28600" s="55" t="s">
        <v>427</v>
      </c>
      <c r="C28600" s="46">
        <v>13</v>
      </c>
      <c r="D28600" s="69" t="s">
        <v>29564</v>
      </c>
      <c r="E28600" s="62"/>
      <c r="F28600" s="62" t="str">
        <f>IF(INDEX(I.Gas.P4Y2AssociatedGasEnergy,13)="","",INDEX(I.Gas.P4Y2AssociatedGasEnergy,13))</f>
        <v/>
      </c>
      <c r="G28600" s="62"/>
      <c r="H28600" s="46" t="str">
        <f>IF(I.Developer.P4=FALSE,"Complete",IF(I.Product.P4GasToPowerStatus&lt;&gt;"Yes","Complete",IF(AND(I.Gas.P4Y2Count&gt;=13,F28600=""),"Incomplete","Complete")))</f>
        <v>Complete</v>
      </c>
      <c r="I28600" s="48" t="s">
        <v>3779</v>
      </c>
    </row>
    <row r="28601" spans="2:9" ht="15" customHeight="1" x14ac:dyDescent="0.25">
      <c r="B28601" s="55" t="s">
        <v>427</v>
      </c>
      <c r="C28601" s="46">
        <v>14</v>
      </c>
      <c r="D28601" s="69" t="s">
        <v>29564</v>
      </c>
      <c r="E28601" s="62"/>
      <c r="F28601" s="62" t="str">
        <f>IF(INDEX(I.Gas.P4Y2AssociatedGasEnergy,14)="","",INDEX(I.Gas.P4Y2AssociatedGasEnergy,14))</f>
        <v/>
      </c>
      <c r="G28601" s="62"/>
      <c r="H28601" s="46" t="str">
        <f>IF(I.Developer.P4=FALSE,"Complete",IF(I.Product.P4GasToPowerStatus&lt;&gt;"Yes","Complete",IF(AND(I.Gas.P4Y2Count&gt;=14,F28601=""),"Incomplete","Complete")))</f>
        <v>Complete</v>
      </c>
      <c r="I28601" s="48" t="s">
        <v>3780</v>
      </c>
    </row>
    <row r="28602" spans="2:9" ht="15" customHeight="1" x14ac:dyDescent="0.25">
      <c r="B28602" s="55" t="s">
        <v>427</v>
      </c>
      <c r="C28602" s="46">
        <v>15</v>
      </c>
      <c r="D28602" s="69" t="s">
        <v>29564</v>
      </c>
      <c r="E28602" s="62"/>
      <c r="F28602" s="62" t="str">
        <f>IF(INDEX(I.Gas.P4Y2AssociatedGasEnergy,15)="","",INDEX(I.Gas.P4Y2AssociatedGasEnergy,15))</f>
        <v/>
      </c>
      <c r="G28602" s="62"/>
      <c r="H28602" s="46" t="str">
        <f>IF(I.Developer.P4=FALSE,"Complete",IF(I.Product.P4GasToPowerStatus&lt;&gt;"Yes","Complete",IF(AND(I.Gas.P4Y2Count&gt;=15,F28602=""),"Incomplete","Complete")))</f>
        <v>Complete</v>
      </c>
      <c r="I28602" s="48" t="s">
        <v>3781</v>
      </c>
    </row>
    <row r="28603" spans="2:9" ht="15" customHeight="1" x14ac:dyDescent="0.25">
      <c r="B28603" s="55" t="s">
        <v>427</v>
      </c>
      <c r="C28603" s="46">
        <v>16</v>
      </c>
      <c r="D28603" s="69" t="s">
        <v>29564</v>
      </c>
      <c r="E28603" s="62"/>
      <c r="F28603" s="62" t="str">
        <f>IF(INDEX(I.Gas.P4Y2AssociatedGasEnergy,16)="","",INDEX(I.Gas.P4Y2AssociatedGasEnergy,16))</f>
        <v/>
      </c>
      <c r="G28603" s="62"/>
      <c r="H28603" s="46" t="str">
        <f>IF(I.Developer.P4=FALSE,"Complete",IF(I.Product.P4GasToPowerStatus&lt;&gt;"Yes","Complete",IF(AND(I.Gas.P4Y2Count&gt;=16,F28603=""),"Incomplete","Complete")))</f>
        <v>Complete</v>
      </c>
      <c r="I28603" s="48" t="s">
        <v>3782</v>
      </c>
    </row>
    <row r="28604" spans="2:9" ht="15" customHeight="1" x14ac:dyDescent="0.25">
      <c r="B28604" s="55" t="s">
        <v>427</v>
      </c>
      <c r="C28604" s="46">
        <v>17</v>
      </c>
      <c r="D28604" s="69" t="s">
        <v>29564</v>
      </c>
      <c r="E28604" s="62"/>
      <c r="F28604" s="62" t="str">
        <f>IF(INDEX(I.Gas.P4Y2AssociatedGasEnergy,17)="","",INDEX(I.Gas.P4Y2AssociatedGasEnergy,17))</f>
        <v/>
      </c>
      <c r="G28604" s="62"/>
      <c r="H28604" s="46" t="str">
        <f>IF(I.Developer.P4=FALSE,"Complete",IF(I.Product.P4GasToPowerStatus&lt;&gt;"Yes","Complete",IF(AND(I.Gas.P4Y2Count&gt;=17,F28604=""),"Incomplete","Complete")))</f>
        <v>Complete</v>
      </c>
      <c r="I28604" s="48" t="s">
        <v>3783</v>
      </c>
    </row>
    <row r="28605" spans="2:9" ht="15" customHeight="1" x14ac:dyDescent="0.25">
      <c r="B28605" s="55" t="s">
        <v>427</v>
      </c>
      <c r="C28605" s="46">
        <v>18</v>
      </c>
      <c r="D28605" s="69" t="s">
        <v>29564</v>
      </c>
      <c r="E28605" s="62"/>
      <c r="F28605" s="62" t="str">
        <f>IF(INDEX(I.Gas.P4Y2AssociatedGasEnergy,18)="","",INDEX(I.Gas.P4Y2AssociatedGasEnergy,18))</f>
        <v/>
      </c>
      <c r="G28605" s="62"/>
      <c r="H28605" s="46" t="str">
        <f>IF(I.Developer.P4=FALSE,"Complete",IF(I.Product.P4GasToPowerStatus&lt;&gt;"Yes","Complete",IF(AND(I.Gas.P4Y2Count&gt;=18,F28605=""),"Incomplete","Complete")))</f>
        <v>Complete</v>
      </c>
      <c r="I28605" s="48" t="s">
        <v>3784</v>
      </c>
    </row>
    <row r="28606" spans="2:9" ht="15" customHeight="1" x14ac:dyDescent="0.25">
      <c r="B28606" s="55" t="s">
        <v>427</v>
      </c>
      <c r="C28606" s="46">
        <v>19</v>
      </c>
      <c r="D28606" s="69" t="s">
        <v>29564</v>
      </c>
      <c r="E28606" s="62"/>
      <c r="F28606" s="62" t="str">
        <f>IF(INDEX(I.Gas.P4Y2AssociatedGasEnergy,19)="","",INDEX(I.Gas.P4Y2AssociatedGasEnergy,19))</f>
        <v/>
      </c>
      <c r="G28606" s="62"/>
      <c r="H28606" s="46" t="str">
        <f>IF(I.Developer.P4=FALSE,"Complete",IF(I.Product.P4GasToPowerStatus&lt;&gt;"Yes","Complete",IF(AND(I.Gas.P4Y2Count&gt;=19,F28606=""),"Incomplete","Complete")))</f>
        <v>Complete</v>
      </c>
      <c r="I28606" s="48" t="s">
        <v>3785</v>
      </c>
    </row>
    <row r="28607" spans="2:9" ht="15" customHeight="1" x14ac:dyDescent="0.25">
      <c r="B28607" s="55" t="s">
        <v>427</v>
      </c>
      <c r="C28607" s="46">
        <v>20</v>
      </c>
      <c r="D28607" s="69" t="s">
        <v>29564</v>
      </c>
      <c r="E28607" s="62"/>
      <c r="F28607" s="62" t="str">
        <f>IF(INDEX(I.Gas.P4Y2AssociatedGasEnergy,20)="","",INDEX(I.Gas.P4Y2AssociatedGasEnergy,20))</f>
        <v/>
      </c>
      <c r="G28607" s="62"/>
      <c r="H28607" s="46" t="str">
        <f>IF(I.Developer.P4=FALSE,"Complete",IF(I.Product.P4GasToPowerStatus&lt;&gt;"Yes","Complete",IF(AND(I.Gas.P4Y2Count&gt;=20,F28607=""),"Incomplete","Complete")))</f>
        <v>Complete</v>
      </c>
      <c r="I28607" s="48" t="s">
        <v>3786</v>
      </c>
    </row>
    <row r="28608" spans="2:9" ht="15" customHeight="1" x14ac:dyDescent="0.25">
      <c r="B28608" s="55" t="s">
        <v>427</v>
      </c>
      <c r="C28608" s="46">
        <v>21</v>
      </c>
      <c r="D28608" s="69" t="s">
        <v>29564</v>
      </c>
      <c r="E28608" s="62"/>
      <c r="F28608" s="62" t="str">
        <f>IF(INDEX(I.Gas.P4Y2AssociatedGasEnergy,21)="","",INDEX(I.Gas.P4Y2AssociatedGasEnergy,21))</f>
        <v/>
      </c>
      <c r="G28608" s="62"/>
      <c r="H28608" s="46" t="str">
        <f>IF(I.Developer.P4=FALSE,"Complete",IF(I.Product.P4GasToPowerStatus&lt;&gt;"Yes","Complete",IF(AND(I.Gas.P4Y2Count&gt;=21,F28608=""),"Incomplete","Complete")))</f>
        <v>Complete</v>
      </c>
      <c r="I28608" s="48" t="s">
        <v>3787</v>
      </c>
    </row>
    <row r="28609" spans="2:9" ht="15" customHeight="1" x14ac:dyDescent="0.25">
      <c r="B28609" s="55" t="s">
        <v>427</v>
      </c>
      <c r="C28609" s="46">
        <v>22</v>
      </c>
      <c r="D28609" s="69" t="s">
        <v>29564</v>
      </c>
      <c r="E28609" s="62"/>
      <c r="F28609" s="62" t="str">
        <f>IF(INDEX(I.Gas.P4Y2AssociatedGasEnergy,22)="","",INDEX(I.Gas.P4Y2AssociatedGasEnergy,22))</f>
        <v/>
      </c>
      <c r="G28609" s="62"/>
      <c r="H28609" s="46" t="str">
        <f>IF(I.Developer.P4=FALSE,"Complete",IF(I.Product.P4GasToPowerStatus&lt;&gt;"Yes","Complete",IF(AND(I.Gas.P4Y2Count&gt;=22,F28609=""),"Incomplete","Complete")))</f>
        <v>Complete</v>
      </c>
      <c r="I28609" s="48" t="s">
        <v>3788</v>
      </c>
    </row>
    <row r="28610" spans="2:9" ht="15" customHeight="1" x14ac:dyDescent="0.25">
      <c r="B28610" s="55" t="s">
        <v>427</v>
      </c>
      <c r="C28610" s="46">
        <v>23</v>
      </c>
      <c r="D28610" s="69" t="s">
        <v>29564</v>
      </c>
      <c r="E28610" s="62"/>
      <c r="F28610" s="62" t="str">
        <f>IF(INDEX(I.Gas.P4Y2AssociatedGasEnergy,23)="","",INDEX(I.Gas.P4Y2AssociatedGasEnergy,23))</f>
        <v/>
      </c>
      <c r="G28610" s="62"/>
      <c r="H28610" s="46" t="str">
        <f>IF(I.Developer.P4=FALSE,"Complete",IF(I.Product.P4GasToPowerStatus&lt;&gt;"Yes","Complete",IF(AND(I.Gas.P4Y2Count&gt;=23,F28610=""),"Incomplete","Complete")))</f>
        <v>Complete</v>
      </c>
      <c r="I28610" s="48" t="s">
        <v>3789</v>
      </c>
    </row>
    <row r="28611" spans="2:9" ht="15" customHeight="1" x14ac:dyDescent="0.25">
      <c r="B28611" s="55" t="s">
        <v>427</v>
      </c>
      <c r="C28611" s="46">
        <v>24</v>
      </c>
      <c r="D28611" s="69" t="s">
        <v>29564</v>
      </c>
      <c r="E28611" s="62"/>
      <c r="F28611" s="62" t="str">
        <f>IF(INDEX(I.Gas.P4Y2AssociatedGasEnergy,24)="","",INDEX(I.Gas.P4Y2AssociatedGasEnergy,24))</f>
        <v/>
      </c>
      <c r="G28611" s="62"/>
      <c r="H28611" s="46" t="str">
        <f>IF(I.Developer.P4=FALSE,"Complete",IF(I.Product.P4GasToPowerStatus&lt;&gt;"Yes","Complete",IF(AND(I.Gas.P4Y2Count&gt;=24,F28611=""),"Incomplete","Complete")))</f>
        <v>Complete</v>
      </c>
      <c r="I28611" s="48" t="s">
        <v>3790</v>
      </c>
    </row>
    <row r="28612" spans="2:9" ht="15" customHeight="1" x14ac:dyDescent="0.25">
      <c r="B28612" s="55" t="s">
        <v>427</v>
      </c>
      <c r="C28612" s="46">
        <v>25</v>
      </c>
      <c r="D28612" s="69" t="s">
        <v>29564</v>
      </c>
      <c r="E28612" s="62"/>
      <c r="F28612" s="62" t="str">
        <f>IF(INDEX(I.Gas.P4Y2AssociatedGasEnergy,25)="","",INDEX(I.Gas.P4Y2AssociatedGasEnergy,25))</f>
        <v/>
      </c>
      <c r="G28612" s="62"/>
      <c r="H28612" s="46" t="str">
        <f>IF(I.Developer.P4=FALSE,"Complete",IF(I.Product.P4GasToPowerStatus&lt;&gt;"Yes","Complete",IF(AND(I.Gas.P4Y2Count&gt;=25,F28612=""),"Incomplete","Complete")))</f>
        <v>Complete</v>
      </c>
      <c r="I28612" s="48" t="s">
        <v>3791</v>
      </c>
    </row>
    <row r="28613" spans="2:9" ht="15" customHeight="1" x14ac:dyDescent="0.25">
      <c r="B28613" s="55" t="s">
        <v>427</v>
      </c>
      <c r="C28613" s="46">
        <v>26</v>
      </c>
      <c r="D28613" s="69" t="s">
        <v>29564</v>
      </c>
      <c r="E28613" s="62"/>
      <c r="F28613" s="62" t="str">
        <f>IF(INDEX(I.Gas.P4Y2AssociatedGasEnergy,26)="","",INDEX(I.Gas.P4Y2AssociatedGasEnergy,26))</f>
        <v/>
      </c>
      <c r="G28613" s="62"/>
      <c r="H28613" s="46" t="str">
        <f>IF(I.Developer.P4=FALSE,"Complete",IF(I.Product.P4GasToPowerStatus&lt;&gt;"Yes","Complete",IF(AND(I.Gas.P4Y2Count&gt;=26,F28613=""),"Incomplete","Complete")))</f>
        <v>Complete</v>
      </c>
      <c r="I28613" s="48" t="s">
        <v>3792</v>
      </c>
    </row>
    <row r="28614" spans="2:9" ht="15" customHeight="1" x14ac:dyDescent="0.25">
      <c r="B28614" s="55" t="s">
        <v>427</v>
      </c>
      <c r="C28614" s="46">
        <v>27</v>
      </c>
      <c r="D28614" s="69" t="s">
        <v>29564</v>
      </c>
      <c r="E28614" s="62"/>
      <c r="F28614" s="62" t="str">
        <f>IF(INDEX(I.Gas.P4Y2AssociatedGasEnergy,27)="","",INDEX(I.Gas.P4Y2AssociatedGasEnergy,27))</f>
        <v/>
      </c>
      <c r="G28614" s="62"/>
      <c r="H28614" s="46" t="str">
        <f>IF(I.Developer.P4=FALSE,"Complete",IF(I.Product.P4GasToPowerStatus&lt;&gt;"Yes","Complete",IF(AND(I.Gas.P4Y2Count&gt;=27,F28614=""),"Incomplete","Complete")))</f>
        <v>Complete</v>
      </c>
      <c r="I28614" s="48" t="s">
        <v>3793</v>
      </c>
    </row>
    <row r="28615" spans="2:9" ht="15" customHeight="1" x14ac:dyDescent="0.25">
      <c r="B28615" s="55" t="s">
        <v>427</v>
      </c>
      <c r="C28615" s="46">
        <v>28</v>
      </c>
      <c r="D28615" s="69" t="s">
        <v>29564</v>
      </c>
      <c r="E28615" s="62"/>
      <c r="F28615" s="62" t="str">
        <f>IF(INDEX(I.Gas.P4Y2AssociatedGasEnergy,28)="","",INDEX(I.Gas.P4Y2AssociatedGasEnergy,28))</f>
        <v/>
      </c>
      <c r="G28615" s="62"/>
      <c r="H28615" s="46" t="str">
        <f>IF(I.Developer.P4=FALSE,"Complete",IF(I.Product.P4GasToPowerStatus&lt;&gt;"Yes","Complete",IF(AND(I.Gas.P4Y2Count&gt;=28,F28615=""),"Incomplete","Complete")))</f>
        <v>Complete</v>
      </c>
      <c r="I28615" s="48" t="s">
        <v>3794</v>
      </c>
    </row>
    <row r="28616" spans="2:9" ht="15" customHeight="1" x14ac:dyDescent="0.25">
      <c r="B28616" s="55" t="s">
        <v>427</v>
      </c>
      <c r="C28616" s="46">
        <v>29</v>
      </c>
      <c r="D28616" s="69" t="s">
        <v>29564</v>
      </c>
      <c r="E28616" s="62"/>
      <c r="F28616" s="62" t="str">
        <f>IF(INDEX(I.Gas.P4Y2AssociatedGasEnergy,29)="","",INDEX(I.Gas.P4Y2AssociatedGasEnergy,29))</f>
        <v/>
      </c>
      <c r="G28616" s="62"/>
      <c r="H28616" s="46" t="str">
        <f>IF(I.Developer.P4=FALSE,"Complete",IF(I.Product.P4GasToPowerStatus&lt;&gt;"Yes","Complete",IF(AND(I.Gas.P4Y2Count&gt;=29,F28616=""),"Incomplete","Complete")))</f>
        <v>Complete</v>
      </c>
      <c r="I28616" s="48" t="s">
        <v>3795</v>
      </c>
    </row>
    <row r="28617" spans="2:9" ht="15" customHeight="1" x14ac:dyDescent="0.25">
      <c r="B28617" s="55" t="s">
        <v>427</v>
      </c>
      <c r="C28617" s="46">
        <v>30</v>
      </c>
      <c r="D28617" s="69" t="s">
        <v>29564</v>
      </c>
      <c r="E28617" s="62"/>
      <c r="F28617" s="62" t="str">
        <f>IF(INDEX(I.Gas.P4Y2AssociatedGasEnergy,30)="","",INDEX(I.Gas.P4Y2AssociatedGasEnergy,30))</f>
        <v/>
      </c>
      <c r="G28617" s="62"/>
      <c r="H28617" s="46" t="str">
        <f>IF(I.Developer.P4=FALSE,"Complete",IF(I.Product.P4GasToPowerStatus&lt;&gt;"Yes","Complete",IF(AND(I.Gas.P4Y2Count&gt;=30,F28617=""),"Incomplete","Complete")))</f>
        <v>Complete</v>
      </c>
      <c r="I28617" s="48" t="s">
        <v>3796</v>
      </c>
    </row>
    <row r="28618" spans="2:9" ht="15" customHeight="1" x14ac:dyDescent="0.25">
      <c r="B28618" s="55" t="s">
        <v>427</v>
      </c>
      <c r="C28618" s="46">
        <v>31</v>
      </c>
      <c r="D28618" s="69" t="s">
        <v>29564</v>
      </c>
      <c r="E28618" s="62"/>
      <c r="F28618" s="62" t="str">
        <f>IF(INDEX(I.Gas.P4Y2AssociatedGasEnergy,31)="","",INDEX(I.Gas.P4Y2AssociatedGasEnergy,31))</f>
        <v/>
      </c>
      <c r="G28618" s="62"/>
      <c r="H28618" s="46" t="str">
        <f>IF(I.Developer.P4=FALSE,"Complete",IF(I.Product.P4GasToPowerStatus&lt;&gt;"Yes","Complete",IF(AND(I.Gas.P4Y2Count&gt;=31,F28618=""),"Incomplete","Complete")))</f>
        <v>Complete</v>
      </c>
      <c r="I28618" s="48" t="s">
        <v>3797</v>
      </c>
    </row>
    <row r="28619" spans="2:9" ht="15" customHeight="1" x14ac:dyDescent="0.25">
      <c r="B28619" s="55" t="s">
        <v>427</v>
      </c>
      <c r="C28619" s="46">
        <v>32</v>
      </c>
      <c r="D28619" s="69" t="s">
        <v>29564</v>
      </c>
      <c r="E28619" s="62"/>
      <c r="F28619" s="62" t="str">
        <f>IF(INDEX(I.Gas.P4Y2AssociatedGasEnergy,32)="","",INDEX(I.Gas.P4Y2AssociatedGasEnergy,32))</f>
        <v/>
      </c>
      <c r="G28619" s="62"/>
      <c r="H28619" s="46" t="str">
        <f>IF(I.Developer.P4=FALSE,"Complete",IF(I.Product.P4GasToPowerStatus&lt;&gt;"Yes","Complete",IF(AND(I.Gas.P4Y2Count&gt;=32,F28619=""),"Incomplete","Complete")))</f>
        <v>Complete</v>
      </c>
      <c r="I28619" s="48" t="s">
        <v>3798</v>
      </c>
    </row>
    <row r="28620" spans="2:9" ht="15" customHeight="1" x14ac:dyDescent="0.25">
      <c r="B28620" s="55" t="s">
        <v>427</v>
      </c>
      <c r="C28620" s="46">
        <v>33</v>
      </c>
      <c r="D28620" s="69" t="s">
        <v>29564</v>
      </c>
      <c r="E28620" s="62"/>
      <c r="F28620" s="62" t="str">
        <f>IF(INDEX(I.Gas.P4Y2AssociatedGasEnergy,33)="","",INDEX(I.Gas.P4Y2AssociatedGasEnergy,33))</f>
        <v/>
      </c>
      <c r="G28620" s="62"/>
      <c r="H28620" s="46" t="str">
        <f>IF(I.Developer.P4=FALSE,"Complete",IF(I.Product.P4GasToPowerStatus&lt;&gt;"Yes","Complete",IF(AND(I.Gas.P4Y2Count&gt;=33,F28620=""),"Incomplete","Complete")))</f>
        <v>Complete</v>
      </c>
      <c r="I28620" s="48" t="s">
        <v>3799</v>
      </c>
    </row>
    <row r="28621" spans="2:9" ht="15" customHeight="1" x14ac:dyDescent="0.25">
      <c r="B28621" s="55" t="s">
        <v>427</v>
      </c>
      <c r="C28621" s="46">
        <v>34</v>
      </c>
      <c r="D28621" s="69" t="s">
        <v>29564</v>
      </c>
      <c r="E28621" s="62"/>
      <c r="F28621" s="62" t="str">
        <f>IF(INDEX(I.Gas.P4Y2AssociatedGasEnergy,34)="","",INDEX(I.Gas.P4Y2AssociatedGasEnergy,34))</f>
        <v/>
      </c>
      <c r="G28621" s="62"/>
      <c r="H28621" s="46" t="str">
        <f>IF(I.Developer.P4=FALSE,"Complete",IF(I.Product.P4GasToPowerStatus&lt;&gt;"Yes","Complete",IF(AND(I.Gas.P4Y2Count&gt;=34,F28621=""),"Incomplete","Complete")))</f>
        <v>Complete</v>
      </c>
      <c r="I28621" s="48" t="s">
        <v>3800</v>
      </c>
    </row>
    <row r="28622" spans="2:9" ht="15" customHeight="1" x14ac:dyDescent="0.25">
      <c r="B28622" s="55" t="s">
        <v>427</v>
      </c>
      <c r="C28622" s="46">
        <v>35</v>
      </c>
      <c r="D28622" s="69" t="s">
        <v>29564</v>
      </c>
      <c r="E28622" s="62"/>
      <c r="F28622" s="62" t="str">
        <f>IF(INDEX(I.Gas.P4Y2AssociatedGasEnergy,35)="","",INDEX(I.Gas.P4Y2AssociatedGasEnergy,35))</f>
        <v/>
      </c>
      <c r="G28622" s="62"/>
      <c r="H28622" s="46" t="str">
        <f>IF(I.Developer.P4=FALSE,"Complete",IF(I.Product.P4GasToPowerStatus&lt;&gt;"Yes","Complete",IF(AND(I.Gas.P4Y2Count&gt;=35,F28622=""),"Incomplete","Complete")))</f>
        <v>Complete</v>
      </c>
      <c r="I28622" s="48" t="s">
        <v>3801</v>
      </c>
    </row>
    <row r="28623" spans="2:9" ht="15" customHeight="1" x14ac:dyDescent="0.25">
      <c r="B28623" s="55" t="s">
        <v>427</v>
      </c>
      <c r="C28623" s="46">
        <v>36</v>
      </c>
      <c r="D28623" s="69" t="s">
        <v>29564</v>
      </c>
      <c r="E28623" s="62"/>
      <c r="F28623" s="62" t="str">
        <f>IF(INDEX(I.Gas.P4Y2AssociatedGasEnergy,36)="","",INDEX(I.Gas.P4Y2AssociatedGasEnergy,36))</f>
        <v/>
      </c>
      <c r="G28623" s="62"/>
      <c r="H28623" s="46" t="str">
        <f>IF(I.Developer.P4=FALSE,"Complete",IF(I.Product.P4GasToPowerStatus&lt;&gt;"Yes","Complete",IF(AND(I.Gas.P4Y2Count&gt;=36,F28623=""),"Incomplete","Complete")))</f>
        <v>Complete</v>
      </c>
      <c r="I28623" s="48" t="s">
        <v>3802</v>
      </c>
    </row>
    <row r="28624" spans="2:9" ht="15" customHeight="1" x14ac:dyDescent="0.25">
      <c r="B28624" s="55" t="s">
        <v>427</v>
      </c>
      <c r="C28624" s="46">
        <v>37</v>
      </c>
      <c r="D28624" s="69" t="s">
        <v>29564</v>
      </c>
      <c r="E28624" s="62"/>
      <c r="F28624" s="62" t="str">
        <f>IF(INDEX(I.Gas.P4Y2AssociatedGasEnergy,37)="","",INDEX(I.Gas.P4Y2AssociatedGasEnergy,37))</f>
        <v/>
      </c>
      <c r="G28624" s="62"/>
      <c r="H28624" s="46" t="str">
        <f>IF(I.Developer.P4=FALSE,"Complete",IF(I.Product.P4GasToPowerStatus&lt;&gt;"Yes","Complete",IF(AND(I.Gas.P4Y2Count&gt;=37,F28624=""),"Incomplete","Complete")))</f>
        <v>Complete</v>
      </c>
      <c r="I28624" s="48" t="s">
        <v>3803</v>
      </c>
    </row>
    <row r="28625" spans="2:9" ht="15" customHeight="1" x14ac:dyDescent="0.25">
      <c r="B28625" s="55" t="s">
        <v>427</v>
      </c>
      <c r="C28625" s="46">
        <v>38</v>
      </c>
      <c r="D28625" s="69" t="s">
        <v>29564</v>
      </c>
      <c r="E28625" s="62"/>
      <c r="F28625" s="62" t="str">
        <f>IF(INDEX(I.Gas.P4Y2AssociatedGasEnergy,38)="","",INDEX(I.Gas.P4Y2AssociatedGasEnergy,38))</f>
        <v/>
      </c>
      <c r="G28625" s="62"/>
      <c r="H28625" s="46" t="str">
        <f>IF(I.Developer.P4=FALSE,"Complete",IF(I.Product.P4GasToPowerStatus&lt;&gt;"Yes","Complete",IF(AND(I.Gas.P4Y2Count&gt;=38,F28625=""),"Incomplete","Complete")))</f>
        <v>Complete</v>
      </c>
      <c r="I28625" s="48" t="s">
        <v>3804</v>
      </c>
    </row>
    <row r="28626" spans="2:9" ht="15" customHeight="1" x14ac:dyDescent="0.25">
      <c r="B28626" s="55" t="s">
        <v>427</v>
      </c>
      <c r="C28626" s="46">
        <v>39</v>
      </c>
      <c r="D28626" s="69" t="s">
        <v>29564</v>
      </c>
      <c r="E28626" s="62"/>
      <c r="F28626" s="62" t="str">
        <f>IF(INDEX(I.Gas.P4Y2AssociatedGasEnergy,39)="","",INDEX(I.Gas.P4Y2AssociatedGasEnergy,39))</f>
        <v/>
      </c>
      <c r="G28626" s="62"/>
      <c r="H28626" s="46" t="str">
        <f>IF(I.Developer.P4=FALSE,"Complete",IF(I.Product.P4GasToPowerStatus&lt;&gt;"Yes","Complete",IF(AND(I.Gas.P4Y2Count&gt;=39,F28626=""),"Incomplete","Complete")))</f>
        <v>Complete</v>
      </c>
      <c r="I28626" s="48" t="s">
        <v>3805</v>
      </c>
    </row>
    <row r="28627" spans="2:9" ht="15" customHeight="1" x14ac:dyDescent="0.25">
      <c r="B28627" s="55" t="s">
        <v>427</v>
      </c>
      <c r="C28627" s="46">
        <v>40</v>
      </c>
      <c r="D28627" s="69" t="s">
        <v>29564</v>
      </c>
      <c r="E28627" s="62"/>
      <c r="F28627" s="62" t="str">
        <f>IF(INDEX(I.Gas.P4Y2AssociatedGasEnergy,40)="","",INDEX(I.Gas.P4Y2AssociatedGasEnergy,40))</f>
        <v/>
      </c>
      <c r="G28627" s="62"/>
      <c r="H28627" s="46" t="str">
        <f>IF(I.Developer.P4=FALSE,"Complete",IF(I.Product.P4GasToPowerStatus&lt;&gt;"Yes","Complete",IF(AND(I.Gas.P4Y2Count&gt;=40,F28627=""),"Incomplete","Complete")))</f>
        <v>Complete</v>
      </c>
      <c r="I28627" s="48" t="s">
        <v>3806</v>
      </c>
    </row>
    <row r="28628" spans="2:9" ht="15" customHeight="1" x14ac:dyDescent="0.25">
      <c r="B28628" s="55" t="s">
        <v>427</v>
      </c>
      <c r="C28628" s="46">
        <v>41</v>
      </c>
      <c r="D28628" s="69" t="s">
        <v>29564</v>
      </c>
      <c r="E28628" s="62"/>
      <c r="F28628" s="62" t="str">
        <f>IF(INDEX(I.Gas.P4Y2AssociatedGasEnergy,41)="","",INDEX(I.Gas.P4Y2AssociatedGasEnergy,41))</f>
        <v/>
      </c>
      <c r="G28628" s="62"/>
      <c r="H28628" s="46" t="str">
        <f>IF(I.Developer.P4=FALSE,"Complete",IF(I.Product.P4GasToPowerStatus&lt;&gt;"Yes","Complete",IF(AND(I.Gas.P4Y2Count&gt;=41,F28628=""),"Incomplete","Complete")))</f>
        <v>Complete</v>
      </c>
      <c r="I28628" s="48" t="s">
        <v>3807</v>
      </c>
    </row>
    <row r="28629" spans="2:9" ht="15" customHeight="1" x14ac:dyDescent="0.25">
      <c r="B28629" s="55" t="s">
        <v>427</v>
      </c>
      <c r="C28629" s="46">
        <v>42</v>
      </c>
      <c r="D28629" s="69" t="s">
        <v>29564</v>
      </c>
      <c r="E28629" s="62"/>
      <c r="F28629" s="62" t="str">
        <f>IF(INDEX(I.Gas.P4Y2AssociatedGasEnergy,42)="","",INDEX(I.Gas.P4Y2AssociatedGasEnergy,42))</f>
        <v/>
      </c>
      <c r="G28629" s="62"/>
      <c r="H28629" s="46" t="str">
        <f>IF(I.Developer.P4=FALSE,"Complete",IF(I.Product.P4GasToPowerStatus&lt;&gt;"Yes","Complete",IF(AND(I.Gas.P4Y2Count&gt;=42,F28629=""),"Incomplete","Complete")))</f>
        <v>Complete</v>
      </c>
      <c r="I28629" s="48" t="s">
        <v>3808</v>
      </c>
    </row>
    <row r="28630" spans="2:9" ht="15" customHeight="1" x14ac:dyDescent="0.25">
      <c r="B28630" s="55" t="s">
        <v>427</v>
      </c>
      <c r="C28630" s="46">
        <v>43</v>
      </c>
      <c r="D28630" s="69" t="s">
        <v>29564</v>
      </c>
      <c r="E28630" s="62"/>
      <c r="F28630" s="62" t="str">
        <f>IF(INDEX(I.Gas.P4Y2AssociatedGasEnergy,43)="","",INDEX(I.Gas.P4Y2AssociatedGasEnergy,43))</f>
        <v/>
      </c>
      <c r="G28630" s="62"/>
      <c r="H28630" s="46" t="str">
        <f>IF(I.Developer.P4=FALSE,"Complete",IF(I.Product.P4GasToPowerStatus&lt;&gt;"Yes","Complete",IF(AND(I.Gas.P4Y2Count&gt;=43,F28630=""),"Incomplete","Complete")))</f>
        <v>Complete</v>
      </c>
      <c r="I28630" s="48" t="s">
        <v>3809</v>
      </c>
    </row>
    <row r="28631" spans="2:9" ht="15" customHeight="1" x14ac:dyDescent="0.25">
      <c r="B28631" s="55" t="s">
        <v>427</v>
      </c>
      <c r="C28631" s="46">
        <v>44</v>
      </c>
      <c r="D28631" s="69" t="s">
        <v>29564</v>
      </c>
      <c r="E28631" s="62"/>
      <c r="F28631" s="62" t="str">
        <f>IF(INDEX(I.Gas.P4Y2AssociatedGasEnergy,44)="","",INDEX(I.Gas.P4Y2AssociatedGasEnergy,44))</f>
        <v/>
      </c>
      <c r="G28631" s="62"/>
      <c r="H28631" s="46" t="str">
        <f>IF(I.Developer.P4=FALSE,"Complete",IF(I.Product.P4GasToPowerStatus&lt;&gt;"Yes","Complete",IF(AND(I.Gas.P4Y2Count&gt;=44,F28631=""),"Incomplete","Complete")))</f>
        <v>Complete</v>
      </c>
      <c r="I28631" s="48" t="s">
        <v>3810</v>
      </c>
    </row>
    <row r="28632" spans="2:9" ht="15" customHeight="1" x14ac:dyDescent="0.25">
      <c r="B28632" s="55" t="s">
        <v>427</v>
      </c>
      <c r="C28632" s="46">
        <v>45</v>
      </c>
      <c r="D28632" s="69" t="s">
        <v>29564</v>
      </c>
      <c r="E28632" s="62"/>
      <c r="F28632" s="62" t="str">
        <f>IF(INDEX(I.Gas.P4Y2AssociatedGasEnergy,45)="","",INDEX(I.Gas.P4Y2AssociatedGasEnergy,45))</f>
        <v/>
      </c>
      <c r="G28632" s="62"/>
      <c r="H28632" s="46" t="str">
        <f>IF(I.Developer.P4=FALSE,"Complete",IF(I.Product.P4GasToPowerStatus&lt;&gt;"Yes","Complete",IF(AND(I.Gas.P4Y2Count&gt;=45,F28632=""),"Incomplete","Complete")))</f>
        <v>Complete</v>
      </c>
      <c r="I28632" s="48" t="s">
        <v>3811</v>
      </c>
    </row>
    <row r="28633" spans="2:9" ht="15" customHeight="1" x14ac:dyDescent="0.25">
      <c r="B28633" s="55" t="s">
        <v>427</v>
      </c>
      <c r="C28633" s="46">
        <v>46</v>
      </c>
      <c r="D28633" s="69" t="s">
        <v>29564</v>
      </c>
      <c r="E28633" s="62"/>
      <c r="F28633" s="62" t="str">
        <f>IF(INDEX(I.Gas.P4Y2AssociatedGasEnergy,46)="","",INDEX(I.Gas.P4Y2AssociatedGasEnergy,46))</f>
        <v/>
      </c>
      <c r="G28633" s="62"/>
      <c r="H28633" s="46" t="str">
        <f>IF(I.Developer.P4=FALSE,"Complete",IF(I.Product.P4GasToPowerStatus&lt;&gt;"Yes","Complete",IF(AND(I.Gas.P4Y2Count&gt;=46,F28633=""),"Incomplete","Complete")))</f>
        <v>Complete</v>
      </c>
      <c r="I28633" s="48" t="s">
        <v>3812</v>
      </c>
    </row>
    <row r="28634" spans="2:9" ht="15" customHeight="1" x14ac:dyDescent="0.25">
      <c r="B28634" s="55" t="s">
        <v>427</v>
      </c>
      <c r="C28634" s="46">
        <v>47</v>
      </c>
      <c r="D28634" s="69" t="s">
        <v>29564</v>
      </c>
      <c r="E28634" s="62"/>
      <c r="F28634" s="62" t="str">
        <f>IF(INDEX(I.Gas.P4Y2AssociatedGasEnergy,47)="","",INDEX(I.Gas.P4Y2AssociatedGasEnergy,47))</f>
        <v/>
      </c>
      <c r="G28634" s="62"/>
      <c r="H28634" s="46" t="str">
        <f>IF(I.Developer.P4=FALSE,"Complete",IF(I.Product.P4GasToPowerStatus&lt;&gt;"Yes","Complete",IF(AND(I.Gas.P4Y2Count&gt;=47,F28634=""),"Incomplete","Complete")))</f>
        <v>Complete</v>
      </c>
      <c r="I28634" s="48" t="s">
        <v>3813</v>
      </c>
    </row>
    <row r="28635" spans="2:9" ht="15" customHeight="1" x14ac:dyDescent="0.25">
      <c r="B28635" s="55" t="s">
        <v>427</v>
      </c>
      <c r="C28635" s="46">
        <v>48</v>
      </c>
      <c r="D28635" s="69" t="s">
        <v>29564</v>
      </c>
      <c r="E28635" s="62"/>
      <c r="F28635" s="62" t="str">
        <f>IF(INDEX(I.Gas.P4Y2AssociatedGasEnergy,48)="","",INDEX(I.Gas.P4Y2AssociatedGasEnergy,48))</f>
        <v/>
      </c>
      <c r="G28635" s="62"/>
      <c r="H28635" s="46" t="str">
        <f>IF(I.Developer.P4=FALSE,"Complete",IF(I.Product.P4GasToPowerStatus&lt;&gt;"Yes","Complete",IF(AND(I.Gas.P4Y2Count&gt;=48,F28635=""),"Incomplete","Complete")))</f>
        <v>Complete</v>
      </c>
      <c r="I28635" s="48" t="s">
        <v>3814</v>
      </c>
    </row>
    <row r="28636" spans="2:9" ht="15" customHeight="1" x14ac:dyDescent="0.25">
      <c r="B28636" s="55" t="s">
        <v>427</v>
      </c>
      <c r="C28636" s="46">
        <v>49</v>
      </c>
      <c r="D28636" s="69" t="s">
        <v>29564</v>
      </c>
      <c r="E28636" s="62"/>
      <c r="F28636" s="62" t="str">
        <f>IF(INDEX(I.Gas.P4Y2AssociatedGasEnergy,49)="","",INDEX(I.Gas.P4Y2AssociatedGasEnergy,49))</f>
        <v/>
      </c>
      <c r="G28636" s="62"/>
      <c r="H28636" s="46" t="str">
        <f>IF(I.Developer.P4=FALSE,"Complete",IF(I.Product.P4GasToPowerStatus&lt;&gt;"Yes","Complete",IF(AND(I.Gas.P4Y2Count&gt;=49,F28636=""),"Incomplete","Complete")))</f>
        <v>Complete</v>
      </c>
      <c r="I28636" s="48" t="s">
        <v>3815</v>
      </c>
    </row>
    <row r="28637" spans="2:9" ht="15" customHeight="1" x14ac:dyDescent="0.25">
      <c r="B28637" s="56" t="s">
        <v>427</v>
      </c>
      <c r="C28637" s="57">
        <v>50</v>
      </c>
      <c r="D28637" s="71" t="s">
        <v>29564</v>
      </c>
      <c r="E28637" s="61"/>
      <c r="F28637" s="61" t="str">
        <f>IF(INDEX(I.Gas.P4Y2AssociatedGasEnergy,50)="","",INDEX(I.Gas.P4Y2AssociatedGasEnergy,50))</f>
        <v/>
      </c>
      <c r="G28637" s="61"/>
      <c r="H28637" s="57" t="str">
        <f>IF(I.Developer.P4=FALSE,"Complete",IF(I.Product.P4GasToPowerStatus&lt;&gt;"Yes","Complete",IF(AND(I.Gas.P4Y2Count&gt;=50,F28637=""),"Incomplete","Complete")))</f>
        <v>Complete</v>
      </c>
      <c r="I28637" s="49" t="s">
        <v>3816</v>
      </c>
    </row>
    <row r="28638" spans="2:9" ht="15" customHeight="1" x14ac:dyDescent="0.25">
      <c r="B28638" s="55" t="s">
        <v>428</v>
      </c>
      <c r="C28638" s="46">
        <v>1</v>
      </c>
      <c r="D28638" s="69" t="s">
        <v>29565</v>
      </c>
      <c r="E28638" s="62"/>
      <c r="F28638" s="62" t="str">
        <f>IF(INDEX(I.Gas.P4Y2TotalGasEnergy,1)="","",INDEX(I.Gas.P4Y2TotalGasEnergy,1))</f>
        <v/>
      </c>
      <c r="G28638" s="62"/>
      <c r="H28638" s="46" t="str">
        <f>IF(I.Developer.P4=FALSE,"Complete",IF(I.Product.P4GasToPowerStatus&lt;&gt;"Yes","Complete",IF(AND(I.Gas.P4Y2Count&gt;=1,F28638=""),"Incomplete","Complete")))</f>
        <v>Complete</v>
      </c>
      <c r="I28638" s="48" t="s">
        <v>3817</v>
      </c>
    </row>
    <row r="28639" spans="2:9" ht="15" customHeight="1" x14ac:dyDescent="0.25">
      <c r="B28639" s="55" t="s">
        <v>428</v>
      </c>
      <c r="C28639" s="46">
        <v>2</v>
      </c>
      <c r="D28639" s="69" t="s">
        <v>29565</v>
      </c>
      <c r="E28639" s="62"/>
      <c r="F28639" s="62" t="str">
        <f>IF(INDEX(I.Gas.P4Y2TotalGasEnergy,2)="","",INDEX(I.Gas.P4Y2TotalGasEnergy,2))</f>
        <v/>
      </c>
      <c r="G28639" s="62"/>
      <c r="H28639" s="46" t="str">
        <f>IF(I.Developer.P4=FALSE,"Complete",IF(I.Product.P4GasToPowerStatus&lt;&gt;"Yes","Complete",IF(AND(I.Gas.P4Y2Count&gt;=2,F28639=""),"Incomplete","Complete")))</f>
        <v>Complete</v>
      </c>
      <c r="I28639" s="48" t="s">
        <v>3818</v>
      </c>
    </row>
    <row r="28640" spans="2:9" ht="15" customHeight="1" x14ac:dyDescent="0.25">
      <c r="B28640" s="55" t="s">
        <v>428</v>
      </c>
      <c r="C28640" s="46">
        <v>3</v>
      </c>
      <c r="D28640" s="69" t="s">
        <v>29565</v>
      </c>
      <c r="E28640" s="62"/>
      <c r="F28640" s="62" t="str">
        <f>IF(INDEX(I.Gas.P4Y2TotalGasEnergy,3)="","",INDEX(I.Gas.P4Y2TotalGasEnergy,3))</f>
        <v/>
      </c>
      <c r="G28640" s="62"/>
      <c r="H28640" s="46" t="str">
        <f>IF(I.Developer.P4=FALSE,"Complete",IF(I.Product.P4GasToPowerStatus&lt;&gt;"Yes","Complete",IF(AND(I.Gas.P4Y2Count&gt;=3,F28640=""),"Incomplete","Complete")))</f>
        <v>Complete</v>
      </c>
      <c r="I28640" s="48" t="s">
        <v>3819</v>
      </c>
    </row>
    <row r="28641" spans="2:9" ht="15" customHeight="1" x14ac:dyDescent="0.25">
      <c r="B28641" s="55" t="s">
        <v>428</v>
      </c>
      <c r="C28641" s="46">
        <v>4</v>
      </c>
      <c r="D28641" s="69" t="s">
        <v>29565</v>
      </c>
      <c r="E28641" s="62"/>
      <c r="F28641" s="62" t="str">
        <f>IF(INDEX(I.Gas.P4Y2TotalGasEnergy,4)="","",INDEX(I.Gas.P4Y2TotalGasEnergy,4))</f>
        <v/>
      </c>
      <c r="G28641" s="62"/>
      <c r="H28641" s="46" t="str">
        <f>IF(I.Developer.P4=FALSE,"Complete",IF(I.Product.P4GasToPowerStatus&lt;&gt;"Yes","Complete",IF(AND(I.Gas.P4Y2Count&gt;=4,F28641=""),"Incomplete","Complete")))</f>
        <v>Complete</v>
      </c>
      <c r="I28641" s="48" t="s">
        <v>3820</v>
      </c>
    </row>
    <row r="28642" spans="2:9" ht="15" customHeight="1" x14ac:dyDescent="0.25">
      <c r="B28642" s="55" t="s">
        <v>428</v>
      </c>
      <c r="C28642" s="46">
        <v>5</v>
      </c>
      <c r="D28642" s="69" t="s">
        <v>29565</v>
      </c>
      <c r="E28642" s="62"/>
      <c r="F28642" s="62" t="str">
        <f>IF(INDEX(I.Gas.P4Y2TotalGasEnergy,5)="","",INDEX(I.Gas.P4Y2TotalGasEnergy,5))</f>
        <v/>
      </c>
      <c r="G28642" s="62"/>
      <c r="H28642" s="46" t="str">
        <f>IF(I.Developer.P4=FALSE,"Complete",IF(I.Product.P4GasToPowerStatus&lt;&gt;"Yes","Complete",IF(AND(I.Gas.P4Y2Count&gt;=5,F28642=""),"Incomplete","Complete")))</f>
        <v>Complete</v>
      </c>
      <c r="I28642" s="48" t="s">
        <v>3821</v>
      </c>
    </row>
    <row r="28643" spans="2:9" ht="15" customHeight="1" x14ac:dyDescent="0.25">
      <c r="B28643" s="55" t="s">
        <v>428</v>
      </c>
      <c r="C28643" s="46">
        <v>6</v>
      </c>
      <c r="D28643" s="69" t="s">
        <v>29565</v>
      </c>
      <c r="E28643" s="62"/>
      <c r="F28643" s="62" t="str">
        <f>IF(INDEX(I.Gas.P4Y2TotalGasEnergy,6)="","",INDEX(I.Gas.P4Y2TotalGasEnergy,6))</f>
        <v/>
      </c>
      <c r="G28643" s="62"/>
      <c r="H28643" s="46" t="str">
        <f>IF(I.Developer.P4=FALSE,"Complete",IF(I.Product.P4GasToPowerStatus&lt;&gt;"Yes","Complete",IF(AND(I.Gas.P4Y2Count&gt;=6,F28643=""),"Incomplete","Complete")))</f>
        <v>Complete</v>
      </c>
      <c r="I28643" s="48" t="s">
        <v>3822</v>
      </c>
    </row>
    <row r="28644" spans="2:9" ht="15" customHeight="1" x14ac:dyDescent="0.25">
      <c r="B28644" s="55" t="s">
        <v>428</v>
      </c>
      <c r="C28644" s="46">
        <v>7</v>
      </c>
      <c r="D28644" s="69" t="s">
        <v>29565</v>
      </c>
      <c r="E28644" s="62"/>
      <c r="F28644" s="62" t="str">
        <f>IF(INDEX(I.Gas.P4Y2TotalGasEnergy,7)="","",INDEX(I.Gas.P4Y2TotalGasEnergy,7))</f>
        <v/>
      </c>
      <c r="G28644" s="62"/>
      <c r="H28644" s="46" t="str">
        <f>IF(I.Developer.P4=FALSE,"Complete",IF(I.Product.P4GasToPowerStatus&lt;&gt;"Yes","Complete",IF(AND(I.Gas.P4Y2Count&gt;=7,F28644=""),"Incomplete","Complete")))</f>
        <v>Complete</v>
      </c>
      <c r="I28644" s="48" t="s">
        <v>3823</v>
      </c>
    </row>
    <row r="28645" spans="2:9" ht="15" customHeight="1" x14ac:dyDescent="0.25">
      <c r="B28645" s="55" t="s">
        <v>428</v>
      </c>
      <c r="C28645" s="46">
        <v>8</v>
      </c>
      <c r="D28645" s="69" t="s">
        <v>29565</v>
      </c>
      <c r="E28645" s="62"/>
      <c r="F28645" s="62" t="str">
        <f>IF(INDEX(I.Gas.P4Y2TotalGasEnergy,8)="","",INDEX(I.Gas.P4Y2TotalGasEnergy,8))</f>
        <v/>
      </c>
      <c r="G28645" s="62"/>
      <c r="H28645" s="46" t="str">
        <f>IF(I.Developer.P4=FALSE,"Complete",IF(I.Product.P4GasToPowerStatus&lt;&gt;"Yes","Complete",IF(AND(I.Gas.P4Y2Count&gt;=8,F28645=""),"Incomplete","Complete")))</f>
        <v>Complete</v>
      </c>
      <c r="I28645" s="48" t="s">
        <v>3824</v>
      </c>
    </row>
    <row r="28646" spans="2:9" ht="15" customHeight="1" x14ac:dyDescent="0.25">
      <c r="B28646" s="55" t="s">
        <v>428</v>
      </c>
      <c r="C28646" s="46">
        <v>9</v>
      </c>
      <c r="D28646" s="69" t="s">
        <v>29565</v>
      </c>
      <c r="E28646" s="62"/>
      <c r="F28646" s="62" t="str">
        <f>IF(INDEX(I.Gas.P4Y2TotalGasEnergy,9)="","",INDEX(I.Gas.P4Y2TotalGasEnergy,9))</f>
        <v/>
      </c>
      <c r="G28646" s="62"/>
      <c r="H28646" s="46" t="str">
        <f>IF(I.Developer.P4=FALSE,"Complete",IF(I.Product.P4GasToPowerStatus&lt;&gt;"Yes","Complete",IF(AND(I.Gas.P4Y2Count&gt;=9,F28646=""),"Incomplete","Complete")))</f>
        <v>Complete</v>
      </c>
      <c r="I28646" s="48" t="s">
        <v>3825</v>
      </c>
    </row>
    <row r="28647" spans="2:9" ht="15" customHeight="1" x14ac:dyDescent="0.25">
      <c r="B28647" s="55" t="s">
        <v>428</v>
      </c>
      <c r="C28647" s="46">
        <v>10</v>
      </c>
      <c r="D28647" s="69" t="s">
        <v>29565</v>
      </c>
      <c r="E28647" s="62"/>
      <c r="F28647" s="62" t="str">
        <f>IF(INDEX(I.Gas.P4Y2TotalGasEnergy,10)="","",INDEX(I.Gas.P4Y2TotalGasEnergy,10))</f>
        <v/>
      </c>
      <c r="G28647" s="62"/>
      <c r="H28647" s="46" t="str">
        <f>IF(I.Developer.P4=FALSE,"Complete",IF(I.Product.P4GasToPowerStatus&lt;&gt;"Yes","Complete",IF(AND(I.Gas.P4Y2Count&gt;=10,F28647=""),"Incomplete","Complete")))</f>
        <v>Complete</v>
      </c>
      <c r="I28647" s="48" t="s">
        <v>3826</v>
      </c>
    </row>
    <row r="28648" spans="2:9" ht="15" customHeight="1" x14ac:dyDescent="0.25">
      <c r="B28648" s="55" t="s">
        <v>428</v>
      </c>
      <c r="C28648" s="46">
        <v>11</v>
      </c>
      <c r="D28648" s="69" t="s">
        <v>29565</v>
      </c>
      <c r="E28648" s="62"/>
      <c r="F28648" s="62" t="str">
        <f>IF(INDEX(I.Gas.P4Y2TotalGasEnergy,11)="","",INDEX(I.Gas.P4Y2TotalGasEnergy,11))</f>
        <v/>
      </c>
      <c r="G28648" s="62"/>
      <c r="H28648" s="46" t="str">
        <f>IF(I.Developer.P4=FALSE,"Complete",IF(I.Product.P4GasToPowerStatus&lt;&gt;"Yes","Complete",IF(AND(I.Gas.P4Y2Count&gt;=11,F28648=""),"Incomplete","Complete")))</f>
        <v>Complete</v>
      </c>
      <c r="I28648" s="48" t="s">
        <v>3827</v>
      </c>
    </row>
    <row r="28649" spans="2:9" ht="15" customHeight="1" x14ac:dyDescent="0.25">
      <c r="B28649" s="55" t="s">
        <v>428</v>
      </c>
      <c r="C28649" s="46">
        <v>12</v>
      </c>
      <c r="D28649" s="69" t="s">
        <v>29565</v>
      </c>
      <c r="E28649" s="62"/>
      <c r="F28649" s="62" t="str">
        <f>IF(INDEX(I.Gas.P4Y2TotalGasEnergy,12)="","",INDEX(I.Gas.P4Y2TotalGasEnergy,12))</f>
        <v/>
      </c>
      <c r="G28649" s="62"/>
      <c r="H28649" s="46" t="str">
        <f>IF(I.Developer.P4=FALSE,"Complete",IF(I.Product.P4GasToPowerStatus&lt;&gt;"Yes","Complete",IF(AND(I.Gas.P4Y2Count&gt;=12,F28649=""),"Incomplete","Complete")))</f>
        <v>Complete</v>
      </c>
      <c r="I28649" s="48" t="s">
        <v>3828</v>
      </c>
    </row>
    <row r="28650" spans="2:9" ht="15" customHeight="1" x14ac:dyDescent="0.25">
      <c r="B28650" s="55" t="s">
        <v>428</v>
      </c>
      <c r="C28650" s="46">
        <v>13</v>
      </c>
      <c r="D28650" s="69" t="s">
        <v>29565</v>
      </c>
      <c r="E28650" s="62"/>
      <c r="F28650" s="62" t="str">
        <f>IF(INDEX(I.Gas.P4Y2TotalGasEnergy,13)="","",INDEX(I.Gas.P4Y2TotalGasEnergy,13))</f>
        <v/>
      </c>
      <c r="G28650" s="62"/>
      <c r="H28650" s="46" t="str">
        <f>IF(I.Developer.P4=FALSE,"Complete",IF(I.Product.P4GasToPowerStatus&lt;&gt;"Yes","Complete",IF(AND(I.Gas.P4Y2Count&gt;=13,F28650=""),"Incomplete","Complete")))</f>
        <v>Complete</v>
      </c>
      <c r="I28650" s="48" t="s">
        <v>3829</v>
      </c>
    </row>
    <row r="28651" spans="2:9" ht="15" customHeight="1" x14ac:dyDescent="0.25">
      <c r="B28651" s="55" t="s">
        <v>428</v>
      </c>
      <c r="C28651" s="46">
        <v>14</v>
      </c>
      <c r="D28651" s="69" t="s">
        <v>29565</v>
      </c>
      <c r="E28651" s="62"/>
      <c r="F28651" s="62" t="str">
        <f>IF(INDEX(I.Gas.P4Y2TotalGasEnergy,14)="","",INDEX(I.Gas.P4Y2TotalGasEnergy,14))</f>
        <v/>
      </c>
      <c r="G28651" s="62"/>
      <c r="H28651" s="46" t="str">
        <f>IF(I.Developer.P4=FALSE,"Complete",IF(I.Product.P4GasToPowerStatus&lt;&gt;"Yes","Complete",IF(AND(I.Gas.P4Y2Count&gt;=14,F28651=""),"Incomplete","Complete")))</f>
        <v>Complete</v>
      </c>
      <c r="I28651" s="48" t="s">
        <v>3830</v>
      </c>
    </row>
    <row r="28652" spans="2:9" ht="15" customHeight="1" x14ac:dyDescent="0.25">
      <c r="B28652" s="55" t="s">
        <v>428</v>
      </c>
      <c r="C28652" s="46">
        <v>15</v>
      </c>
      <c r="D28652" s="69" t="s">
        <v>29565</v>
      </c>
      <c r="E28652" s="62"/>
      <c r="F28652" s="62" t="str">
        <f>IF(INDEX(I.Gas.P4Y2TotalGasEnergy,15)="","",INDEX(I.Gas.P4Y2TotalGasEnergy,15))</f>
        <v/>
      </c>
      <c r="G28652" s="62"/>
      <c r="H28652" s="46" t="str">
        <f>IF(I.Developer.P4=FALSE,"Complete",IF(I.Product.P4GasToPowerStatus&lt;&gt;"Yes","Complete",IF(AND(I.Gas.P4Y2Count&gt;=15,F28652=""),"Incomplete","Complete")))</f>
        <v>Complete</v>
      </c>
      <c r="I28652" s="48" t="s">
        <v>3831</v>
      </c>
    </row>
    <row r="28653" spans="2:9" ht="15" customHeight="1" x14ac:dyDescent="0.25">
      <c r="B28653" s="55" t="s">
        <v>428</v>
      </c>
      <c r="C28653" s="46">
        <v>16</v>
      </c>
      <c r="D28653" s="69" t="s">
        <v>29565</v>
      </c>
      <c r="E28653" s="62"/>
      <c r="F28653" s="62" t="str">
        <f>IF(INDEX(I.Gas.P4Y2TotalGasEnergy,16)="","",INDEX(I.Gas.P4Y2TotalGasEnergy,16))</f>
        <v/>
      </c>
      <c r="G28653" s="62"/>
      <c r="H28653" s="46" t="str">
        <f>IF(I.Developer.P4=FALSE,"Complete",IF(I.Product.P4GasToPowerStatus&lt;&gt;"Yes","Complete",IF(AND(I.Gas.P4Y2Count&gt;=16,F28653=""),"Incomplete","Complete")))</f>
        <v>Complete</v>
      </c>
      <c r="I28653" s="48" t="s">
        <v>3832</v>
      </c>
    </row>
    <row r="28654" spans="2:9" ht="15" customHeight="1" x14ac:dyDescent="0.25">
      <c r="B28654" s="55" t="s">
        <v>428</v>
      </c>
      <c r="C28654" s="46">
        <v>17</v>
      </c>
      <c r="D28654" s="69" t="s">
        <v>29565</v>
      </c>
      <c r="E28654" s="62"/>
      <c r="F28654" s="62" t="str">
        <f>IF(INDEX(I.Gas.P4Y2TotalGasEnergy,17)="","",INDEX(I.Gas.P4Y2TotalGasEnergy,17))</f>
        <v/>
      </c>
      <c r="G28654" s="62"/>
      <c r="H28654" s="46" t="str">
        <f>IF(I.Developer.P4=FALSE,"Complete",IF(I.Product.P4GasToPowerStatus&lt;&gt;"Yes","Complete",IF(AND(I.Gas.P4Y2Count&gt;=17,F28654=""),"Incomplete","Complete")))</f>
        <v>Complete</v>
      </c>
      <c r="I28654" s="48" t="s">
        <v>3833</v>
      </c>
    </row>
    <row r="28655" spans="2:9" ht="15" customHeight="1" x14ac:dyDescent="0.25">
      <c r="B28655" s="55" t="s">
        <v>428</v>
      </c>
      <c r="C28655" s="46">
        <v>18</v>
      </c>
      <c r="D28655" s="69" t="s">
        <v>29565</v>
      </c>
      <c r="E28655" s="62"/>
      <c r="F28655" s="62" t="str">
        <f>IF(INDEX(I.Gas.P4Y2TotalGasEnergy,18)="","",INDEX(I.Gas.P4Y2TotalGasEnergy,18))</f>
        <v/>
      </c>
      <c r="G28655" s="62"/>
      <c r="H28655" s="46" t="str">
        <f>IF(I.Developer.P4=FALSE,"Complete",IF(I.Product.P4GasToPowerStatus&lt;&gt;"Yes","Complete",IF(AND(I.Gas.P4Y2Count&gt;=18,F28655=""),"Incomplete","Complete")))</f>
        <v>Complete</v>
      </c>
      <c r="I28655" s="48" t="s">
        <v>3834</v>
      </c>
    </row>
    <row r="28656" spans="2:9" ht="15" customHeight="1" x14ac:dyDescent="0.25">
      <c r="B28656" s="55" t="s">
        <v>428</v>
      </c>
      <c r="C28656" s="46">
        <v>19</v>
      </c>
      <c r="D28656" s="69" t="s">
        <v>29565</v>
      </c>
      <c r="E28656" s="62"/>
      <c r="F28656" s="62" t="str">
        <f>IF(INDEX(I.Gas.P4Y2TotalGasEnergy,19)="","",INDEX(I.Gas.P4Y2TotalGasEnergy,19))</f>
        <v/>
      </c>
      <c r="G28656" s="62"/>
      <c r="H28656" s="46" t="str">
        <f>IF(I.Developer.P4=FALSE,"Complete",IF(I.Product.P4GasToPowerStatus&lt;&gt;"Yes","Complete",IF(AND(I.Gas.P4Y2Count&gt;=19,F28656=""),"Incomplete","Complete")))</f>
        <v>Complete</v>
      </c>
      <c r="I28656" s="48" t="s">
        <v>3835</v>
      </c>
    </row>
    <row r="28657" spans="2:9" ht="15" customHeight="1" x14ac:dyDescent="0.25">
      <c r="B28657" s="55" t="s">
        <v>428</v>
      </c>
      <c r="C28657" s="46">
        <v>20</v>
      </c>
      <c r="D28657" s="69" t="s">
        <v>29565</v>
      </c>
      <c r="E28657" s="62"/>
      <c r="F28657" s="62" t="str">
        <f>IF(INDEX(I.Gas.P4Y2TotalGasEnergy,20)="","",INDEX(I.Gas.P4Y2TotalGasEnergy,20))</f>
        <v/>
      </c>
      <c r="G28657" s="62"/>
      <c r="H28657" s="46" t="str">
        <f>IF(I.Developer.P4=FALSE,"Complete",IF(I.Product.P4GasToPowerStatus&lt;&gt;"Yes","Complete",IF(AND(I.Gas.P4Y2Count&gt;=20,F28657=""),"Incomplete","Complete")))</f>
        <v>Complete</v>
      </c>
      <c r="I28657" s="48" t="s">
        <v>3836</v>
      </c>
    </row>
    <row r="28658" spans="2:9" ht="15" customHeight="1" x14ac:dyDescent="0.25">
      <c r="B28658" s="55" t="s">
        <v>428</v>
      </c>
      <c r="C28658" s="46">
        <v>21</v>
      </c>
      <c r="D28658" s="69" t="s">
        <v>29565</v>
      </c>
      <c r="E28658" s="62"/>
      <c r="F28658" s="62" t="str">
        <f>IF(INDEX(I.Gas.P4Y2TotalGasEnergy,21)="","",INDEX(I.Gas.P4Y2TotalGasEnergy,21))</f>
        <v/>
      </c>
      <c r="G28658" s="62"/>
      <c r="H28658" s="46" t="str">
        <f>IF(I.Developer.P4=FALSE,"Complete",IF(I.Product.P4GasToPowerStatus&lt;&gt;"Yes","Complete",IF(AND(I.Gas.P4Y2Count&gt;=21,F28658=""),"Incomplete","Complete")))</f>
        <v>Complete</v>
      </c>
      <c r="I28658" s="48" t="s">
        <v>3837</v>
      </c>
    </row>
    <row r="28659" spans="2:9" ht="15" customHeight="1" x14ac:dyDescent="0.25">
      <c r="B28659" s="55" t="s">
        <v>428</v>
      </c>
      <c r="C28659" s="46">
        <v>22</v>
      </c>
      <c r="D28659" s="69" t="s">
        <v>29565</v>
      </c>
      <c r="E28659" s="62"/>
      <c r="F28659" s="62" t="str">
        <f>IF(INDEX(I.Gas.P4Y2TotalGasEnergy,22)="","",INDEX(I.Gas.P4Y2TotalGasEnergy,22))</f>
        <v/>
      </c>
      <c r="G28659" s="62"/>
      <c r="H28659" s="46" t="str">
        <f>IF(I.Developer.P4=FALSE,"Complete",IF(I.Product.P4GasToPowerStatus&lt;&gt;"Yes","Complete",IF(AND(I.Gas.P4Y2Count&gt;=22,F28659=""),"Incomplete","Complete")))</f>
        <v>Complete</v>
      </c>
      <c r="I28659" s="48" t="s">
        <v>3838</v>
      </c>
    </row>
    <row r="28660" spans="2:9" ht="15" customHeight="1" x14ac:dyDescent="0.25">
      <c r="B28660" s="55" t="s">
        <v>428</v>
      </c>
      <c r="C28660" s="46">
        <v>23</v>
      </c>
      <c r="D28660" s="69" t="s">
        <v>29565</v>
      </c>
      <c r="E28660" s="62"/>
      <c r="F28660" s="62" t="str">
        <f>IF(INDEX(I.Gas.P4Y2TotalGasEnergy,23)="","",INDEX(I.Gas.P4Y2TotalGasEnergy,23))</f>
        <v/>
      </c>
      <c r="G28660" s="62"/>
      <c r="H28660" s="46" t="str">
        <f>IF(I.Developer.P4=FALSE,"Complete",IF(I.Product.P4GasToPowerStatus&lt;&gt;"Yes","Complete",IF(AND(I.Gas.P4Y2Count&gt;=23,F28660=""),"Incomplete","Complete")))</f>
        <v>Complete</v>
      </c>
      <c r="I28660" s="48" t="s">
        <v>3839</v>
      </c>
    </row>
    <row r="28661" spans="2:9" ht="15" customHeight="1" x14ac:dyDescent="0.25">
      <c r="B28661" s="55" t="s">
        <v>428</v>
      </c>
      <c r="C28661" s="46">
        <v>24</v>
      </c>
      <c r="D28661" s="69" t="s">
        <v>29565</v>
      </c>
      <c r="E28661" s="62"/>
      <c r="F28661" s="62" t="str">
        <f>IF(INDEX(I.Gas.P4Y2TotalGasEnergy,24)="","",INDEX(I.Gas.P4Y2TotalGasEnergy,24))</f>
        <v/>
      </c>
      <c r="G28661" s="62"/>
      <c r="H28661" s="46" t="str">
        <f>IF(I.Developer.P4=FALSE,"Complete",IF(I.Product.P4GasToPowerStatus&lt;&gt;"Yes","Complete",IF(AND(I.Gas.P4Y2Count&gt;=24,F28661=""),"Incomplete","Complete")))</f>
        <v>Complete</v>
      </c>
      <c r="I28661" s="48" t="s">
        <v>3840</v>
      </c>
    </row>
    <row r="28662" spans="2:9" ht="15" customHeight="1" x14ac:dyDescent="0.25">
      <c r="B28662" s="55" t="s">
        <v>428</v>
      </c>
      <c r="C28662" s="46">
        <v>25</v>
      </c>
      <c r="D28662" s="69" t="s">
        <v>29565</v>
      </c>
      <c r="E28662" s="62"/>
      <c r="F28662" s="62" t="str">
        <f>IF(INDEX(I.Gas.P4Y2TotalGasEnergy,25)="","",INDEX(I.Gas.P4Y2TotalGasEnergy,25))</f>
        <v/>
      </c>
      <c r="G28662" s="62"/>
      <c r="H28662" s="46" t="str">
        <f>IF(I.Developer.P4=FALSE,"Complete",IF(I.Product.P4GasToPowerStatus&lt;&gt;"Yes","Complete",IF(AND(I.Gas.P4Y2Count&gt;=25,F28662=""),"Incomplete","Complete")))</f>
        <v>Complete</v>
      </c>
      <c r="I28662" s="48" t="s">
        <v>3841</v>
      </c>
    </row>
    <row r="28663" spans="2:9" ht="15" customHeight="1" x14ac:dyDescent="0.25">
      <c r="B28663" s="55" t="s">
        <v>428</v>
      </c>
      <c r="C28663" s="46">
        <v>26</v>
      </c>
      <c r="D28663" s="69" t="s">
        <v>29565</v>
      </c>
      <c r="E28663" s="62"/>
      <c r="F28663" s="62" t="str">
        <f>IF(INDEX(I.Gas.P4Y2TotalGasEnergy,26)="","",INDEX(I.Gas.P4Y2TotalGasEnergy,26))</f>
        <v/>
      </c>
      <c r="G28663" s="62"/>
      <c r="H28663" s="46" t="str">
        <f>IF(I.Developer.P4=FALSE,"Complete",IF(I.Product.P4GasToPowerStatus&lt;&gt;"Yes","Complete",IF(AND(I.Gas.P4Y2Count&gt;=26,F28663=""),"Incomplete","Complete")))</f>
        <v>Complete</v>
      </c>
      <c r="I28663" s="48" t="s">
        <v>3842</v>
      </c>
    </row>
    <row r="28664" spans="2:9" ht="15" customHeight="1" x14ac:dyDescent="0.25">
      <c r="B28664" s="55" t="s">
        <v>428</v>
      </c>
      <c r="C28664" s="46">
        <v>27</v>
      </c>
      <c r="D28664" s="69" t="s">
        <v>29565</v>
      </c>
      <c r="E28664" s="62"/>
      <c r="F28664" s="62" t="str">
        <f>IF(INDEX(I.Gas.P4Y2TotalGasEnergy,27)="","",INDEX(I.Gas.P4Y2TotalGasEnergy,27))</f>
        <v/>
      </c>
      <c r="G28664" s="62"/>
      <c r="H28664" s="46" t="str">
        <f>IF(I.Developer.P4=FALSE,"Complete",IF(I.Product.P4GasToPowerStatus&lt;&gt;"Yes","Complete",IF(AND(I.Gas.P4Y2Count&gt;=27,F28664=""),"Incomplete","Complete")))</f>
        <v>Complete</v>
      </c>
      <c r="I28664" s="48" t="s">
        <v>3843</v>
      </c>
    </row>
    <row r="28665" spans="2:9" ht="15" customHeight="1" x14ac:dyDescent="0.25">
      <c r="B28665" s="55" t="s">
        <v>428</v>
      </c>
      <c r="C28665" s="46">
        <v>28</v>
      </c>
      <c r="D28665" s="69" t="s">
        <v>29565</v>
      </c>
      <c r="E28665" s="62"/>
      <c r="F28665" s="62" t="str">
        <f>IF(INDEX(I.Gas.P4Y2TotalGasEnergy,28)="","",INDEX(I.Gas.P4Y2TotalGasEnergy,28))</f>
        <v/>
      </c>
      <c r="G28665" s="62"/>
      <c r="H28665" s="46" t="str">
        <f>IF(I.Developer.P4=FALSE,"Complete",IF(I.Product.P4GasToPowerStatus&lt;&gt;"Yes","Complete",IF(AND(I.Gas.P4Y2Count&gt;=28,F28665=""),"Incomplete","Complete")))</f>
        <v>Complete</v>
      </c>
      <c r="I28665" s="48" t="s">
        <v>3844</v>
      </c>
    </row>
    <row r="28666" spans="2:9" ht="15" customHeight="1" x14ac:dyDescent="0.25">
      <c r="B28666" s="55" t="s">
        <v>428</v>
      </c>
      <c r="C28666" s="46">
        <v>29</v>
      </c>
      <c r="D28666" s="69" t="s">
        <v>29565</v>
      </c>
      <c r="E28666" s="62"/>
      <c r="F28666" s="62" t="str">
        <f>IF(INDEX(I.Gas.P4Y2TotalGasEnergy,29)="","",INDEX(I.Gas.P4Y2TotalGasEnergy,29))</f>
        <v/>
      </c>
      <c r="G28666" s="62"/>
      <c r="H28666" s="46" t="str">
        <f>IF(I.Developer.P4=FALSE,"Complete",IF(I.Product.P4GasToPowerStatus&lt;&gt;"Yes","Complete",IF(AND(I.Gas.P4Y2Count&gt;=29,F28666=""),"Incomplete","Complete")))</f>
        <v>Complete</v>
      </c>
      <c r="I28666" s="48" t="s">
        <v>3845</v>
      </c>
    </row>
    <row r="28667" spans="2:9" ht="15" customHeight="1" x14ac:dyDescent="0.25">
      <c r="B28667" s="55" t="s">
        <v>428</v>
      </c>
      <c r="C28667" s="46">
        <v>30</v>
      </c>
      <c r="D28667" s="69" t="s">
        <v>29565</v>
      </c>
      <c r="E28667" s="62"/>
      <c r="F28667" s="62" t="str">
        <f>IF(INDEX(I.Gas.P4Y2TotalGasEnergy,30)="","",INDEX(I.Gas.P4Y2TotalGasEnergy,30))</f>
        <v/>
      </c>
      <c r="G28667" s="62"/>
      <c r="H28667" s="46" t="str">
        <f>IF(I.Developer.P4=FALSE,"Complete",IF(I.Product.P4GasToPowerStatus&lt;&gt;"Yes","Complete",IF(AND(I.Gas.P4Y2Count&gt;=30,F28667=""),"Incomplete","Complete")))</f>
        <v>Complete</v>
      </c>
      <c r="I28667" s="48" t="s">
        <v>3846</v>
      </c>
    </row>
    <row r="28668" spans="2:9" ht="15" customHeight="1" x14ac:dyDescent="0.25">
      <c r="B28668" s="55" t="s">
        <v>428</v>
      </c>
      <c r="C28668" s="46">
        <v>31</v>
      </c>
      <c r="D28668" s="69" t="s">
        <v>29565</v>
      </c>
      <c r="E28668" s="62"/>
      <c r="F28668" s="62" t="str">
        <f>IF(INDEX(I.Gas.P4Y2TotalGasEnergy,31)="","",INDEX(I.Gas.P4Y2TotalGasEnergy,31))</f>
        <v/>
      </c>
      <c r="G28668" s="62"/>
      <c r="H28668" s="46" t="str">
        <f>IF(I.Developer.P4=FALSE,"Complete",IF(I.Product.P4GasToPowerStatus&lt;&gt;"Yes","Complete",IF(AND(I.Gas.P4Y2Count&gt;=31,F28668=""),"Incomplete","Complete")))</f>
        <v>Complete</v>
      </c>
      <c r="I28668" s="48" t="s">
        <v>3847</v>
      </c>
    </row>
    <row r="28669" spans="2:9" ht="15" customHeight="1" x14ac:dyDescent="0.25">
      <c r="B28669" s="55" t="s">
        <v>428</v>
      </c>
      <c r="C28669" s="46">
        <v>32</v>
      </c>
      <c r="D28669" s="69" t="s">
        <v>29565</v>
      </c>
      <c r="E28669" s="62"/>
      <c r="F28669" s="62" t="str">
        <f>IF(INDEX(I.Gas.P4Y2TotalGasEnergy,32)="","",INDEX(I.Gas.P4Y2TotalGasEnergy,32))</f>
        <v/>
      </c>
      <c r="G28669" s="62"/>
      <c r="H28669" s="46" t="str">
        <f>IF(I.Developer.P4=FALSE,"Complete",IF(I.Product.P4GasToPowerStatus&lt;&gt;"Yes","Complete",IF(AND(I.Gas.P4Y2Count&gt;=32,F28669=""),"Incomplete","Complete")))</f>
        <v>Complete</v>
      </c>
      <c r="I28669" s="48" t="s">
        <v>3848</v>
      </c>
    </row>
    <row r="28670" spans="2:9" ht="15" customHeight="1" x14ac:dyDescent="0.25">
      <c r="B28670" s="55" t="s">
        <v>428</v>
      </c>
      <c r="C28670" s="46">
        <v>33</v>
      </c>
      <c r="D28670" s="69" t="s">
        <v>29565</v>
      </c>
      <c r="E28670" s="62"/>
      <c r="F28670" s="62" t="str">
        <f>IF(INDEX(I.Gas.P4Y2TotalGasEnergy,33)="","",INDEX(I.Gas.P4Y2TotalGasEnergy,33))</f>
        <v/>
      </c>
      <c r="G28670" s="62"/>
      <c r="H28670" s="46" t="str">
        <f>IF(I.Developer.P4=FALSE,"Complete",IF(I.Product.P4GasToPowerStatus&lt;&gt;"Yes","Complete",IF(AND(I.Gas.P4Y2Count&gt;=33,F28670=""),"Incomplete","Complete")))</f>
        <v>Complete</v>
      </c>
      <c r="I28670" s="48" t="s">
        <v>3849</v>
      </c>
    </row>
    <row r="28671" spans="2:9" ht="15" customHeight="1" x14ac:dyDescent="0.25">
      <c r="B28671" s="55" t="s">
        <v>428</v>
      </c>
      <c r="C28671" s="46">
        <v>34</v>
      </c>
      <c r="D28671" s="69" t="s">
        <v>29565</v>
      </c>
      <c r="E28671" s="62"/>
      <c r="F28671" s="62" t="str">
        <f>IF(INDEX(I.Gas.P4Y2TotalGasEnergy,34)="","",INDEX(I.Gas.P4Y2TotalGasEnergy,34))</f>
        <v/>
      </c>
      <c r="G28671" s="62"/>
      <c r="H28671" s="46" t="str">
        <f>IF(I.Developer.P4=FALSE,"Complete",IF(I.Product.P4GasToPowerStatus&lt;&gt;"Yes","Complete",IF(AND(I.Gas.P4Y2Count&gt;=34,F28671=""),"Incomplete","Complete")))</f>
        <v>Complete</v>
      </c>
      <c r="I28671" s="48" t="s">
        <v>3850</v>
      </c>
    </row>
    <row r="28672" spans="2:9" ht="15" customHeight="1" x14ac:dyDescent="0.25">
      <c r="B28672" s="55" t="s">
        <v>428</v>
      </c>
      <c r="C28672" s="46">
        <v>35</v>
      </c>
      <c r="D28672" s="69" t="s">
        <v>29565</v>
      </c>
      <c r="E28672" s="62"/>
      <c r="F28672" s="62" t="str">
        <f>IF(INDEX(I.Gas.P4Y2TotalGasEnergy,35)="","",INDEX(I.Gas.P4Y2TotalGasEnergy,35))</f>
        <v/>
      </c>
      <c r="G28672" s="62"/>
      <c r="H28672" s="46" t="str">
        <f>IF(I.Developer.P4=FALSE,"Complete",IF(I.Product.P4GasToPowerStatus&lt;&gt;"Yes","Complete",IF(AND(I.Gas.P4Y2Count&gt;=35,F28672=""),"Incomplete","Complete")))</f>
        <v>Complete</v>
      </c>
      <c r="I28672" s="48" t="s">
        <v>3851</v>
      </c>
    </row>
    <row r="28673" spans="2:9" ht="15" customHeight="1" x14ac:dyDescent="0.25">
      <c r="B28673" s="55" t="s">
        <v>428</v>
      </c>
      <c r="C28673" s="46">
        <v>36</v>
      </c>
      <c r="D28673" s="69" t="s">
        <v>29565</v>
      </c>
      <c r="E28673" s="62"/>
      <c r="F28673" s="62" t="str">
        <f>IF(INDEX(I.Gas.P4Y2TotalGasEnergy,36)="","",INDEX(I.Gas.P4Y2TotalGasEnergy,36))</f>
        <v/>
      </c>
      <c r="G28673" s="62"/>
      <c r="H28673" s="46" t="str">
        <f>IF(I.Developer.P4=FALSE,"Complete",IF(I.Product.P4GasToPowerStatus&lt;&gt;"Yes","Complete",IF(AND(I.Gas.P4Y2Count&gt;=36,F28673=""),"Incomplete","Complete")))</f>
        <v>Complete</v>
      </c>
      <c r="I28673" s="48" t="s">
        <v>3852</v>
      </c>
    </row>
    <row r="28674" spans="2:9" ht="15" customHeight="1" x14ac:dyDescent="0.25">
      <c r="B28674" s="55" t="s">
        <v>428</v>
      </c>
      <c r="C28674" s="46">
        <v>37</v>
      </c>
      <c r="D28674" s="69" t="s">
        <v>29565</v>
      </c>
      <c r="E28674" s="62"/>
      <c r="F28674" s="62" t="str">
        <f>IF(INDEX(I.Gas.P4Y2TotalGasEnergy,37)="","",INDEX(I.Gas.P4Y2TotalGasEnergy,37))</f>
        <v/>
      </c>
      <c r="G28674" s="62"/>
      <c r="H28674" s="46" t="str">
        <f>IF(I.Developer.P4=FALSE,"Complete",IF(I.Product.P4GasToPowerStatus&lt;&gt;"Yes","Complete",IF(AND(I.Gas.P4Y2Count&gt;=37,F28674=""),"Incomplete","Complete")))</f>
        <v>Complete</v>
      </c>
      <c r="I28674" s="48" t="s">
        <v>3853</v>
      </c>
    </row>
    <row r="28675" spans="2:9" ht="15" customHeight="1" x14ac:dyDescent="0.25">
      <c r="B28675" s="55" t="s">
        <v>428</v>
      </c>
      <c r="C28675" s="46">
        <v>38</v>
      </c>
      <c r="D28675" s="69" t="s">
        <v>29565</v>
      </c>
      <c r="E28675" s="62"/>
      <c r="F28675" s="62" t="str">
        <f>IF(INDEX(I.Gas.P4Y2TotalGasEnergy,38)="","",INDEX(I.Gas.P4Y2TotalGasEnergy,38))</f>
        <v/>
      </c>
      <c r="G28675" s="62"/>
      <c r="H28675" s="46" t="str">
        <f>IF(I.Developer.P4=FALSE,"Complete",IF(I.Product.P4GasToPowerStatus&lt;&gt;"Yes","Complete",IF(AND(I.Gas.P4Y2Count&gt;=38,F28675=""),"Incomplete","Complete")))</f>
        <v>Complete</v>
      </c>
      <c r="I28675" s="48" t="s">
        <v>3854</v>
      </c>
    </row>
    <row r="28676" spans="2:9" ht="15" customHeight="1" x14ac:dyDescent="0.25">
      <c r="B28676" s="55" t="s">
        <v>428</v>
      </c>
      <c r="C28676" s="46">
        <v>39</v>
      </c>
      <c r="D28676" s="69" t="s">
        <v>29565</v>
      </c>
      <c r="E28676" s="62"/>
      <c r="F28676" s="62" t="str">
        <f>IF(INDEX(I.Gas.P4Y2TotalGasEnergy,39)="","",INDEX(I.Gas.P4Y2TotalGasEnergy,39))</f>
        <v/>
      </c>
      <c r="G28676" s="62"/>
      <c r="H28676" s="46" t="str">
        <f>IF(I.Developer.P4=FALSE,"Complete",IF(I.Product.P4GasToPowerStatus&lt;&gt;"Yes","Complete",IF(AND(I.Gas.P4Y2Count&gt;=39,F28676=""),"Incomplete","Complete")))</f>
        <v>Complete</v>
      </c>
      <c r="I28676" s="48" t="s">
        <v>3855</v>
      </c>
    </row>
    <row r="28677" spans="2:9" ht="15" customHeight="1" x14ac:dyDescent="0.25">
      <c r="B28677" s="55" t="s">
        <v>428</v>
      </c>
      <c r="C28677" s="46">
        <v>40</v>
      </c>
      <c r="D28677" s="69" t="s">
        <v>29565</v>
      </c>
      <c r="E28677" s="62"/>
      <c r="F28677" s="62" t="str">
        <f>IF(INDEX(I.Gas.P4Y2TotalGasEnergy,40)="","",INDEX(I.Gas.P4Y2TotalGasEnergy,40))</f>
        <v/>
      </c>
      <c r="G28677" s="62"/>
      <c r="H28677" s="46" t="str">
        <f>IF(I.Developer.P4=FALSE,"Complete",IF(I.Product.P4GasToPowerStatus&lt;&gt;"Yes","Complete",IF(AND(I.Gas.P4Y2Count&gt;=40,F28677=""),"Incomplete","Complete")))</f>
        <v>Complete</v>
      </c>
      <c r="I28677" s="48" t="s">
        <v>3856</v>
      </c>
    </row>
    <row r="28678" spans="2:9" ht="15" customHeight="1" x14ac:dyDescent="0.25">
      <c r="B28678" s="55" t="s">
        <v>428</v>
      </c>
      <c r="C28678" s="46">
        <v>41</v>
      </c>
      <c r="D28678" s="69" t="s">
        <v>29565</v>
      </c>
      <c r="E28678" s="62"/>
      <c r="F28678" s="62" t="str">
        <f>IF(INDEX(I.Gas.P4Y2TotalGasEnergy,41)="","",INDEX(I.Gas.P4Y2TotalGasEnergy,41))</f>
        <v/>
      </c>
      <c r="G28678" s="62"/>
      <c r="H28678" s="46" t="str">
        <f>IF(I.Developer.P4=FALSE,"Complete",IF(I.Product.P4GasToPowerStatus&lt;&gt;"Yes","Complete",IF(AND(I.Gas.P4Y2Count&gt;=41,F28678=""),"Incomplete","Complete")))</f>
        <v>Complete</v>
      </c>
      <c r="I28678" s="48" t="s">
        <v>3857</v>
      </c>
    </row>
    <row r="28679" spans="2:9" ht="15" customHeight="1" x14ac:dyDescent="0.25">
      <c r="B28679" s="55" t="s">
        <v>428</v>
      </c>
      <c r="C28679" s="46">
        <v>42</v>
      </c>
      <c r="D28679" s="69" t="s">
        <v>29565</v>
      </c>
      <c r="E28679" s="62"/>
      <c r="F28679" s="62" t="str">
        <f>IF(INDEX(I.Gas.P4Y2TotalGasEnergy,42)="","",INDEX(I.Gas.P4Y2TotalGasEnergy,42))</f>
        <v/>
      </c>
      <c r="G28679" s="62"/>
      <c r="H28679" s="46" t="str">
        <f>IF(I.Developer.P4=FALSE,"Complete",IF(I.Product.P4GasToPowerStatus&lt;&gt;"Yes","Complete",IF(AND(I.Gas.P4Y2Count&gt;=42,F28679=""),"Incomplete","Complete")))</f>
        <v>Complete</v>
      </c>
      <c r="I28679" s="48" t="s">
        <v>3858</v>
      </c>
    </row>
    <row r="28680" spans="2:9" ht="15" customHeight="1" x14ac:dyDescent="0.25">
      <c r="B28680" s="55" t="s">
        <v>428</v>
      </c>
      <c r="C28680" s="46">
        <v>43</v>
      </c>
      <c r="D28680" s="69" t="s">
        <v>29565</v>
      </c>
      <c r="E28680" s="62"/>
      <c r="F28680" s="62" t="str">
        <f>IF(INDEX(I.Gas.P4Y2TotalGasEnergy,43)="","",INDEX(I.Gas.P4Y2TotalGasEnergy,43))</f>
        <v/>
      </c>
      <c r="G28680" s="62"/>
      <c r="H28680" s="46" t="str">
        <f>IF(I.Developer.P4=FALSE,"Complete",IF(I.Product.P4GasToPowerStatus&lt;&gt;"Yes","Complete",IF(AND(I.Gas.P4Y2Count&gt;=43,F28680=""),"Incomplete","Complete")))</f>
        <v>Complete</v>
      </c>
      <c r="I28680" s="48" t="s">
        <v>3859</v>
      </c>
    </row>
    <row r="28681" spans="2:9" ht="15" customHeight="1" x14ac:dyDescent="0.25">
      <c r="B28681" s="55" t="s">
        <v>428</v>
      </c>
      <c r="C28681" s="46">
        <v>44</v>
      </c>
      <c r="D28681" s="69" t="s">
        <v>29565</v>
      </c>
      <c r="E28681" s="62"/>
      <c r="F28681" s="62" t="str">
        <f>IF(INDEX(I.Gas.P4Y2TotalGasEnergy,44)="","",INDEX(I.Gas.P4Y2TotalGasEnergy,44))</f>
        <v/>
      </c>
      <c r="G28681" s="62"/>
      <c r="H28681" s="46" t="str">
        <f>IF(I.Developer.P4=FALSE,"Complete",IF(I.Product.P4GasToPowerStatus&lt;&gt;"Yes","Complete",IF(AND(I.Gas.P4Y2Count&gt;=44,F28681=""),"Incomplete","Complete")))</f>
        <v>Complete</v>
      </c>
      <c r="I28681" s="48" t="s">
        <v>3860</v>
      </c>
    </row>
    <row r="28682" spans="2:9" ht="15" customHeight="1" x14ac:dyDescent="0.25">
      <c r="B28682" s="55" t="s">
        <v>428</v>
      </c>
      <c r="C28682" s="46">
        <v>45</v>
      </c>
      <c r="D28682" s="69" t="s">
        <v>29565</v>
      </c>
      <c r="E28682" s="62"/>
      <c r="F28682" s="62" t="str">
        <f>IF(INDEX(I.Gas.P4Y2TotalGasEnergy,45)="","",INDEX(I.Gas.P4Y2TotalGasEnergy,45))</f>
        <v/>
      </c>
      <c r="G28682" s="62"/>
      <c r="H28682" s="46" t="str">
        <f>IF(I.Developer.P4=FALSE,"Complete",IF(I.Product.P4GasToPowerStatus&lt;&gt;"Yes","Complete",IF(AND(I.Gas.P4Y2Count&gt;=45,F28682=""),"Incomplete","Complete")))</f>
        <v>Complete</v>
      </c>
      <c r="I28682" s="48" t="s">
        <v>3861</v>
      </c>
    </row>
    <row r="28683" spans="2:9" ht="15" customHeight="1" x14ac:dyDescent="0.25">
      <c r="B28683" s="55" t="s">
        <v>428</v>
      </c>
      <c r="C28683" s="46">
        <v>46</v>
      </c>
      <c r="D28683" s="69" t="s">
        <v>29565</v>
      </c>
      <c r="E28683" s="62"/>
      <c r="F28683" s="62" t="str">
        <f>IF(INDEX(I.Gas.P4Y2TotalGasEnergy,46)="","",INDEX(I.Gas.P4Y2TotalGasEnergy,46))</f>
        <v/>
      </c>
      <c r="G28683" s="62"/>
      <c r="H28683" s="46" t="str">
        <f>IF(I.Developer.P4=FALSE,"Complete",IF(I.Product.P4GasToPowerStatus&lt;&gt;"Yes","Complete",IF(AND(I.Gas.P4Y2Count&gt;=46,F28683=""),"Incomplete","Complete")))</f>
        <v>Complete</v>
      </c>
      <c r="I28683" s="48" t="s">
        <v>3862</v>
      </c>
    </row>
    <row r="28684" spans="2:9" ht="15" customHeight="1" x14ac:dyDescent="0.25">
      <c r="B28684" s="55" t="s">
        <v>428</v>
      </c>
      <c r="C28684" s="46">
        <v>47</v>
      </c>
      <c r="D28684" s="69" t="s">
        <v>29565</v>
      </c>
      <c r="E28684" s="62"/>
      <c r="F28684" s="62" t="str">
        <f>IF(INDEX(I.Gas.P4Y2TotalGasEnergy,47)="","",INDEX(I.Gas.P4Y2TotalGasEnergy,47))</f>
        <v/>
      </c>
      <c r="G28684" s="62"/>
      <c r="H28684" s="46" t="str">
        <f>IF(I.Developer.P4=FALSE,"Complete",IF(I.Product.P4GasToPowerStatus&lt;&gt;"Yes","Complete",IF(AND(I.Gas.P4Y2Count&gt;=47,F28684=""),"Incomplete","Complete")))</f>
        <v>Complete</v>
      </c>
      <c r="I28684" s="48" t="s">
        <v>3863</v>
      </c>
    </row>
    <row r="28685" spans="2:9" ht="15" customHeight="1" x14ac:dyDescent="0.25">
      <c r="B28685" s="55" t="s">
        <v>428</v>
      </c>
      <c r="C28685" s="46">
        <v>48</v>
      </c>
      <c r="D28685" s="69" t="s">
        <v>29565</v>
      </c>
      <c r="E28685" s="62"/>
      <c r="F28685" s="62" t="str">
        <f>IF(INDEX(I.Gas.P4Y2TotalGasEnergy,48)="","",INDEX(I.Gas.P4Y2TotalGasEnergy,48))</f>
        <v/>
      </c>
      <c r="G28685" s="62"/>
      <c r="H28685" s="46" t="str">
        <f>IF(I.Developer.P4=FALSE,"Complete",IF(I.Product.P4GasToPowerStatus&lt;&gt;"Yes","Complete",IF(AND(I.Gas.P4Y2Count&gt;=48,F28685=""),"Incomplete","Complete")))</f>
        <v>Complete</v>
      </c>
      <c r="I28685" s="48" t="s">
        <v>3864</v>
      </c>
    </row>
    <row r="28686" spans="2:9" ht="15" customHeight="1" x14ac:dyDescent="0.25">
      <c r="B28686" s="55" t="s">
        <v>428</v>
      </c>
      <c r="C28686" s="46">
        <v>49</v>
      </c>
      <c r="D28686" s="69" t="s">
        <v>29565</v>
      </c>
      <c r="E28686" s="62"/>
      <c r="F28686" s="62" t="str">
        <f>IF(INDEX(I.Gas.P4Y2TotalGasEnergy,49)="","",INDEX(I.Gas.P4Y2TotalGasEnergy,49))</f>
        <v/>
      </c>
      <c r="G28686" s="62"/>
      <c r="H28686" s="46" t="str">
        <f>IF(I.Developer.P4=FALSE,"Complete",IF(I.Product.P4GasToPowerStatus&lt;&gt;"Yes","Complete",IF(AND(I.Gas.P4Y2Count&gt;=49,F28686=""),"Incomplete","Complete")))</f>
        <v>Complete</v>
      </c>
      <c r="I28686" s="48" t="s">
        <v>3865</v>
      </c>
    </row>
    <row r="28687" spans="2:9" ht="15" customHeight="1" x14ac:dyDescent="0.25">
      <c r="B28687" s="56" t="s">
        <v>428</v>
      </c>
      <c r="C28687" s="57">
        <v>50</v>
      </c>
      <c r="D28687" s="71" t="s">
        <v>29565</v>
      </c>
      <c r="E28687" s="61"/>
      <c r="F28687" s="61" t="str">
        <f>IF(INDEX(I.Gas.P4Y2TotalGasEnergy,50)="","",INDEX(I.Gas.P4Y2TotalGasEnergy,50))</f>
        <v/>
      </c>
      <c r="G28687" s="61"/>
      <c r="H28687" s="57" t="str">
        <f>IF(I.Developer.P4=FALSE,"Complete",IF(I.Product.P4GasToPowerStatus&lt;&gt;"Yes","Complete",IF(AND(I.Gas.P4Y2Count&gt;=50,F28687=""),"Incomplete","Complete")))</f>
        <v>Complete</v>
      </c>
      <c r="I28687" s="49" t="s">
        <v>3866</v>
      </c>
    </row>
    <row r="28688" spans="2:9" ht="15" customHeight="1" x14ac:dyDescent="0.25">
      <c r="B28688" s="55" t="s">
        <v>429</v>
      </c>
      <c r="C28688" s="46">
        <v>1</v>
      </c>
      <c r="D28688" s="69" t="s">
        <v>29566</v>
      </c>
      <c r="E28688" s="62"/>
      <c r="F28688" s="62" t="str">
        <f>IF(INDEX(I.Gas.P4Y2ElectricityGeneration,1)="","",INDEX(I.Gas.P4Y2ElectricityGeneration,1))</f>
        <v/>
      </c>
      <c r="G28688" s="62"/>
      <c r="H28688" s="46" t="str">
        <f>IF(I.Developer.P4=FALSE,"Complete",IF(I.Product.P4GasToPowerStatus&lt;&gt;"Yes","Complete",IF(AND(I.Gas.P4Y2Count&gt;=1,F28688=""),"Incomplete","Complete")))</f>
        <v>Complete</v>
      </c>
      <c r="I28688" s="48" t="s">
        <v>3867</v>
      </c>
    </row>
    <row r="28689" spans="2:9" ht="15" customHeight="1" x14ac:dyDescent="0.25">
      <c r="B28689" s="55" t="s">
        <v>429</v>
      </c>
      <c r="C28689" s="46">
        <v>2</v>
      </c>
      <c r="D28689" s="69" t="s">
        <v>29566</v>
      </c>
      <c r="E28689" s="62"/>
      <c r="F28689" s="62" t="str">
        <f>IF(INDEX(I.Gas.P4Y2ElectricityGeneration,2)="","",INDEX(I.Gas.P4Y2ElectricityGeneration,2))</f>
        <v/>
      </c>
      <c r="G28689" s="62"/>
      <c r="H28689" s="46" t="str">
        <f>IF(I.Developer.P4=FALSE,"Complete",IF(I.Product.P4GasToPowerStatus&lt;&gt;"Yes","Complete",IF(AND(I.Gas.P4Y2Count&gt;=2,F28689=""),"Incomplete","Complete")))</f>
        <v>Complete</v>
      </c>
      <c r="I28689" s="48" t="s">
        <v>3868</v>
      </c>
    </row>
    <row r="28690" spans="2:9" ht="15" customHeight="1" x14ac:dyDescent="0.25">
      <c r="B28690" s="55" t="s">
        <v>429</v>
      </c>
      <c r="C28690" s="46">
        <v>3</v>
      </c>
      <c r="D28690" s="69" t="s">
        <v>29566</v>
      </c>
      <c r="E28690" s="62"/>
      <c r="F28690" s="62" t="str">
        <f>IF(INDEX(I.Gas.P4Y2ElectricityGeneration,3)="","",INDEX(I.Gas.P4Y2ElectricityGeneration,3))</f>
        <v/>
      </c>
      <c r="G28690" s="62"/>
      <c r="H28690" s="46" t="str">
        <f>IF(I.Developer.P4=FALSE,"Complete",IF(I.Product.P4GasToPowerStatus&lt;&gt;"Yes","Complete",IF(AND(I.Gas.P4Y2Count&gt;=3,F28690=""),"Incomplete","Complete")))</f>
        <v>Complete</v>
      </c>
      <c r="I28690" s="48" t="s">
        <v>3869</v>
      </c>
    </row>
    <row r="28691" spans="2:9" ht="15" customHeight="1" x14ac:dyDescent="0.25">
      <c r="B28691" s="55" t="s">
        <v>429</v>
      </c>
      <c r="C28691" s="46">
        <v>4</v>
      </c>
      <c r="D28691" s="69" t="s">
        <v>29566</v>
      </c>
      <c r="E28691" s="62"/>
      <c r="F28691" s="62" t="str">
        <f>IF(INDEX(I.Gas.P4Y2ElectricityGeneration,4)="","",INDEX(I.Gas.P4Y2ElectricityGeneration,4))</f>
        <v/>
      </c>
      <c r="G28691" s="62"/>
      <c r="H28691" s="46" t="str">
        <f>IF(I.Developer.P4=FALSE,"Complete",IF(I.Product.P4GasToPowerStatus&lt;&gt;"Yes","Complete",IF(AND(I.Gas.P4Y2Count&gt;=4,F28691=""),"Incomplete","Complete")))</f>
        <v>Complete</v>
      </c>
      <c r="I28691" s="48" t="s">
        <v>3870</v>
      </c>
    </row>
    <row r="28692" spans="2:9" ht="15" customHeight="1" x14ac:dyDescent="0.25">
      <c r="B28692" s="55" t="s">
        <v>429</v>
      </c>
      <c r="C28692" s="46">
        <v>5</v>
      </c>
      <c r="D28692" s="69" t="s">
        <v>29566</v>
      </c>
      <c r="E28692" s="62"/>
      <c r="F28692" s="62" t="str">
        <f>IF(INDEX(I.Gas.P4Y2ElectricityGeneration,5)="","",INDEX(I.Gas.P4Y2ElectricityGeneration,5))</f>
        <v/>
      </c>
      <c r="G28692" s="62"/>
      <c r="H28692" s="46" t="str">
        <f>IF(I.Developer.P4=FALSE,"Complete",IF(I.Product.P4GasToPowerStatus&lt;&gt;"Yes","Complete",IF(AND(I.Gas.P4Y2Count&gt;=5,F28692=""),"Incomplete","Complete")))</f>
        <v>Complete</v>
      </c>
      <c r="I28692" s="48" t="s">
        <v>3871</v>
      </c>
    </row>
    <row r="28693" spans="2:9" ht="15" customHeight="1" x14ac:dyDescent="0.25">
      <c r="B28693" s="55" t="s">
        <v>429</v>
      </c>
      <c r="C28693" s="46">
        <v>6</v>
      </c>
      <c r="D28693" s="69" t="s">
        <v>29566</v>
      </c>
      <c r="E28693" s="62"/>
      <c r="F28693" s="62" t="str">
        <f>IF(INDEX(I.Gas.P4Y2ElectricityGeneration,6)="","",INDEX(I.Gas.P4Y2ElectricityGeneration,6))</f>
        <v/>
      </c>
      <c r="G28693" s="62"/>
      <c r="H28693" s="46" t="str">
        <f>IF(I.Developer.P4=FALSE,"Complete",IF(I.Product.P4GasToPowerStatus&lt;&gt;"Yes","Complete",IF(AND(I.Gas.P4Y2Count&gt;=6,F28693=""),"Incomplete","Complete")))</f>
        <v>Complete</v>
      </c>
      <c r="I28693" s="48" t="s">
        <v>3872</v>
      </c>
    </row>
    <row r="28694" spans="2:9" ht="15" customHeight="1" x14ac:dyDescent="0.25">
      <c r="B28694" s="55" t="s">
        <v>429</v>
      </c>
      <c r="C28694" s="46">
        <v>7</v>
      </c>
      <c r="D28694" s="69" t="s">
        <v>29566</v>
      </c>
      <c r="E28694" s="62"/>
      <c r="F28694" s="62" t="str">
        <f>IF(INDEX(I.Gas.P4Y2ElectricityGeneration,7)="","",INDEX(I.Gas.P4Y2ElectricityGeneration,7))</f>
        <v/>
      </c>
      <c r="G28694" s="62"/>
      <c r="H28694" s="46" t="str">
        <f>IF(I.Developer.P4=FALSE,"Complete",IF(I.Product.P4GasToPowerStatus&lt;&gt;"Yes","Complete",IF(AND(I.Gas.P4Y2Count&gt;=7,F28694=""),"Incomplete","Complete")))</f>
        <v>Complete</v>
      </c>
      <c r="I28694" s="48" t="s">
        <v>3873</v>
      </c>
    </row>
    <row r="28695" spans="2:9" ht="15" customHeight="1" x14ac:dyDescent="0.25">
      <c r="B28695" s="55" t="s">
        <v>429</v>
      </c>
      <c r="C28695" s="46">
        <v>8</v>
      </c>
      <c r="D28695" s="69" t="s">
        <v>29566</v>
      </c>
      <c r="E28695" s="62"/>
      <c r="F28695" s="62" t="str">
        <f>IF(INDEX(I.Gas.P4Y2ElectricityGeneration,8)="","",INDEX(I.Gas.P4Y2ElectricityGeneration,8))</f>
        <v/>
      </c>
      <c r="G28695" s="62"/>
      <c r="H28695" s="46" t="str">
        <f>IF(I.Developer.P4=FALSE,"Complete",IF(I.Product.P4GasToPowerStatus&lt;&gt;"Yes","Complete",IF(AND(I.Gas.P4Y2Count&gt;=8,F28695=""),"Incomplete","Complete")))</f>
        <v>Complete</v>
      </c>
      <c r="I28695" s="48" t="s">
        <v>3874</v>
      </c>
    </row>
    <row r="28696" spans="2:9" ht="15" customHeight="1" x14ac:dyDescent="0.25">
      <c r="B28696" s="55" t="s">
        <v>429</v>
      </c>
      <c r="C28696" s="46">
        <v>9</v>
      </c>
      <c r="D28696" s="69" t="s">
        <v>29566</v>
      </c>
      <c r="E28696" s="62"/>
      <c r="F28696" s="62" t="str">
        <f>IF(INDEX(I.Gas.P4Y2ElectricityGeneration,9)="","",INDEX(I.Gas.P4Y2ElectricityGeneration,9))</f>
        <v/>
      </c>
      <c r="G28696" s="62"/>
      <c r="H28696" s="46" t="str">
        <f>IF(I.Developer.P4=FALSE,"Complete",IF(I.Product.P4GasToPowerStatus&lt;&gt;"Yes","Complete",IF(AND(I.Gas.P4Y2Count&gt;=9,F28696=""),"Incomplete","Complete")))</f>
        <v>Complete</v>
      </c>
      <c r="I28696" s="48" t="s">
        <v>3875</v>
      </c>
    </row>
    <row r="28697" spans="2:9" ht="15" customHeight="1" x14ac:dyDescent="0.25">
      <c r="B28697" s="55" t="s">
        <v>429</v>
      </c>
      <c r="C28697" s="46">
        <v>10</v>
      </c>
      <c r="D28697" s="69" t="s">
        <v>29566</v>
      </c>
      <c r="E28697" s="62"/>
      <c r="F28697" s="62" t="str">
        <f>IF(INDEX(I.Gas.P4Y2ElectricityGeneration,10)="","",INDEX(I.Gas.P4Y2ElectricityGeneration,10))</f>
        <v/>
      </c>
      <c r="G28697" s="62"/>
      <c r="H28697" s="46" t="str">
        <f>IF(I.Developer.P4=FALSE,"Complete",IF(I.Product.P4GasToPowerStatus&lt;&gt;"Yes","Complete",IF(AND(I.Gas.P4Y2Count&gt;=10,F28697=""),"Incomplete","Complete")))</f>
        <v>Complete</v>
      </c>
      <c r="I28697" s="48" t="s">
        <v>3876</v>
      </c>
    </row>
    <row r="28698" spans="2:9" ht="15" customHeight="1" x14ac:dyDescent="0.25">
      <c r="B28698" s="55" t="s">
        <v>429</v>
      </c>
      <c r="C28698" s="46">
        <v>11</v>
      </c>
      <c r="D28698" s="69" t="s">
        <v>29566</v>
      </c>
      <c r="E28698" s="62"/>
      <c r="F28698" s="62" t="str">
        <f>IF(INDEX(I.Gas.P4Y2ElectricityGeneration,11)="","",INDEX(I.Gas.P4Y2ElectricityGeneration,11))</f>
        <v/>
      </c>
      <c r="G28698" s="62"/>
      <c r="H28698" s="46" t="str">
        <f>IF(I.Developer.P4=FALSE,"Complete",IF(I.Product.P4GasToPowerStatus&lt;&gt;"Yes","Complete",IF(AND(I.Gas.P4Y2Count&gt;=11,F28698=""),"Incomplete","Complete")))</f>
        <v>Complete</v>
      </c>
      <c r="I28698" s="48" t="s">
        <v>3877</v>
      </c>
    </row>
    <row r="28699" spans="2:9" ht="15" customHeight="1" x14ac:dyDescent="0.25">
      <c r="B28699" s="55" t="s">
        <v>429</v>
      </c>
      <c r="C28699" s="46">
        <v>12</v>
      </c>
      <c r="D28699" s="69" t="s">
        <v>29566</v>
      </c>
      <c r="E28699" s="62"/>
      <c r="F28699" s="62" t="str">
        <f>IF(INDEX(I.Gas.P4Y2ElectricityGeneration,12)="","",INDEX(I.Gas.P4Y2ElectricityGeneration,12))</f>
        <v/>
      </c>
      <c r="G28699" s="62"/>
      <c r="H28699" s="46" t="str">
        <f>IF(I.Developer.P4=FALSE,"Complete",IF(I.Product.P4GasToPowerStatus&lt;&gt;"Yes","Complete",IF(AND(I.Gas.P4Y2Count&gt;=12,F28699=""),"Incomplete","Complete")))</f>
        <v>Complete</v>
      </c>
      <c r="I28699" s="48" t="s">
        <v>3878</v>
      </c>
    </row>
    <row r="28700" spans="2:9" ht="15" customHeight="1" x14ac:dyDescent="0.25">
      <c r="B28700" s="55" t="s">
        <v>429</v>
      </c>
      <c r="C28700" s="46">
        <v>13</v>
      </c>
      <c r="D28700" s="69" t="s">
        <v>29566</v>
      </c>
      <c r="E28700" s="62"/>
      <c r="F28700" s="62" t="str">
        <f>IF(INDEX(I.Gas.P4Y2ElectricityGeneration,13)="","",INDEX(I.Gas.P4Y2ElectricityGeneration,13))</f>
        <v/>
      </c>
      <c r="G28700" s="62"/>
      <c r="H28700" s="46" t="str">
        <f>IF(I.Developer.P4=FALSE,"Complete",IF(I.Product.P4GasToPowerStatus&lt;&gt;"Yes","Complete",IF(AND(I.Gas.P4Y2Count&gt;=13,F28700=""),"Incomplete","Complete")))</f>
        <v>Complete</v>
      </c>
      <c r="I28700" s="48" t="s">
        <v>3879</v>
      </c>
    </row>
    <row r="28701" spans="2:9" ht="15" customHeight="1" x14ac:dyDescent="0.25">
      <c r="B28701" s="55" t="s">
        <v>429</v>
      </c>
      <c r="C28701" s="46">
        <v>14</v>
      </c>
      <c r="D28701" s="69" t="s">
        <v>29566</v>
      </c>
      <c r="E28701" s="62"/>
      <c r="F28701" s="62" t="str">
        <f>IF(INDEX(I.Gas.P4Y2ElectricityGeneration,14)="","",INDEX(I.Gas.P4Y2ElectricityGeneration,14))</f>
        <v/>
      </c>
      <c r="G28701" s="62"/>
      <c r="H28701" s="46" t="str">
        <f>IF(I.Developer.P4=FALSE,"Complete",IF(I.Product.P4GasToPowerStatus&lt;&gt;"Yes","Complete",IF(AND(I.Gas.P4Y2Count&gt;=14,F28701=""),"Incomplete","Complete")))</f>
        <v>Complete</v>
      </c>
      <c r="I28701" s="48" t="s">
        <v>3880</v>
      </c>
    </row>
    <row r="28702" spans="2:9" ht="15" customHeight="1" x14ac:dyDescent="0.25">
      <c r="B28702" s="55" t="s">
        <v>429</v>
      </c>
      <c r="C28702" s="46">
        <v>15</v>
      </c>
      <c r="D28702" s="69" t="s">
        <v>29566</v>
      </c>
      <c r="E28702" s="62"/>
      <c r="F28702" s="62" t="str">
        <f>IF(INDEX(I.Gas.P4Y2ElectricityGeneration,15)="","",INDEX(I.Gas.P4Y2ElectricityGeneration,15))</f>
        <v/>
      </c>
      <c r="G28702" s="62"/>
      <c r="H28702" s="46" t="str">
        <f>IF(I.Developer.P4=FALSE,"Complete",IF(I.Product.P4GasToPowerStatus&lt;&gt;"Yes","Complete",IF(AND(I.Gas.P4Y2Count&gt;=15,F28702=""),"Incomplete","Complete")))</f>
        <v>Complete</v>
      </c>
      <c r="I28702" s="48" t="s">
        <v>3881</v>
      </c>
    </row>
    <row r="28703" spans="2:9" ht="15" customHeight="1" x14ac:dyDescent="0.25">
      <c r="B28703" s="55" t="s">
        <v>429</v>
      </c>
      <c r="C28703" s="46">
        <v>16</v>
      </c>
      <c r="D28703" s="69" t="s">
        <v>29566</v>
      </c>
      <c r="E28703" s="62"/>
      <c r="F28703" s="62" t="str">
        <f>IF(INDEX(I.Gas.P4Y2ElectricityGeneration,16)="","",INDEX(I.Gas.P4Y2ElectricityGeneration,16))</f>
        <v/>
      </c>
      <c r="G28703" s="62"/>
      <c r="H28703" s="46" t="str">
        <f>IF(I.Developer.P4=FALSE,"Complete",IF(I.Product.P4GasToPowerStatus&lt;&gt;"Yes","Complete",IF(AND(I.Gas.P4Y2Count&gt;=16,F28703=""),"Incomplete","Complete")))</f>
        <v>Complete</v>
      </c>
      <c r="I28703" s="48" t="s">
        <v>3882</v>
      </c>
    </row>
    <row r="28704" spans="2:9" ht="15" customHeight="1" x14ac:dyDescent="0.25">
      <c r="B28704" s="55" t="s">
        <v>429</v>
      </c>
      <c r="C28704" s="46">
        <v>17</v>
      </c>
      <c r="D28704" s="69" t="s">
        <v>29566</v>
      </c>
      <c r="E28704" s="62"/>
      <c r="F28704" s="62" t="str">
        <f>IF(INDEX(I.Gas.P4Y2ElectricityGeneration,17)="","",INDEX(I.Gas.P4Y2ElectricityGeneration,17))</f>
        <v/>
      </c>
      <c r="G28704" s="62"/>
      <c r="H28704" s="46" t="str">
        <f>IF(I.Developer.P4=FALSE,"Complete",IF(I.Product.P4GasToPowerStatus&lt;&gt;"Yes","Complete",IF(AND(I.Gas.P4Y2Count&gt;=17,F28704=""),"Incomplete","Complete")))</f>
        <v>Complete</v>
      </c>
      <c r="I28704" s="48" t="s">
        <v>3883</v>
      </c>
    </row>
    <row r="28705" spans="2:9" ht="15" customHeight="1" x14ac:dyDescent="0.25">
      <c r="B28705" s="55" t="s">
        <v>429</v>
      </c>
      <c r="C28705" s="46">
        <v>18</v>
      </c>
      <c r="D28705" s="69" t="s">
        <v>29566</v>
      </c>
      <c r="E28705" s="62"/>
      <c r="F28705" s="62" t="str">
        <f>IF(INDEX(I.Gas.P4Y2ElectricityGeneration,18)="","",INDEX(I.Gas.P4Y2ElectricityGeneration,18))</f>
        <v/>
      </c>
      <c r="G28705" s="62"/>
      <c r="H28705" s="46" t="str">
        <f>IF(I.Developer.P4=FALSE,"Complete",IF(I.Product.P4GasToPowerStatus&lt;&gt;"Yes","Complete",IF(AND(I.Gas.P4Y2Count&gt;=18,F28705=""),"Incomplete","Complete")))</f>
        <v>Complete</v>
      </c>
      <c r="I28705" s="48" t="s">
        <v>3884</v>
      </c>
    </row>
    <row r="28706" spans="2:9" ht="15" customHeight="1" x14ac:dyDescent="0.25">
      <c r="B28706" s="55" t="s">
        <v>429</v>
      </c>
      <c r="C28706" s="46">
        <v>19</v>
      </c>
      <c r="D28706" s="69" t="s">
        <v>29566</v>
      </c>
      <c r="E28706" s="62"/>
      <c r="F28706" s="62" t="str">
        <f>IF(INDEX(I.Gas.P4Y2ElectricityGeneration,19)="","",INDEX(I.Gas.P4Y2ElectricityGeneration,19))</f>
        <v/>
      </c>
      <c r="G28706" s="62"/>
      <c r="H28706" s="46" t="str">
        <f>IF(I.Developer.P4=FALSE,"Complete",IF(I.Product.P4GasToPowerStatus&lt;&gt;"Yes","Complete",IF(AND(I.Gas.P4Y2Count&gt;=19,F28706=""),"Incomplete","Complete")))</f>
        <v>Complete</v>
      </c>
      <c r="I28706" s="48" t="s">
        <v>3885</v>
      </c>
    </row>
    <row r="28707" spans="2:9" ht="15" customHeight="1" x14ac:dyDescent="0.25">
      <c r="B28707" s="55" t="s">
        <v>429</v>
      </c>
      <c r="C28707" s="46">
        <v>20</v>
      </c>
      <c r="D28707" s="69" t="s">
        <v>29566</v>
      </c>
      <c r="E28707" s="62"/>
      <c r="F28707" s="62" t="str">
        <f>IF(INDEX(I.Gas.P4Y2ElectricityGeneration,20)="","",INDEX(I.Gas.P4Y2ElectricityGeneration,20))</f>
        <v/>
      </c>
      <c r="G28707" s="62"/>
      <c r="H28707" s="46" t="str">
        <f>IF(I.Developer.P4=FALSE,"Complete",IF(I.Product.P4GasToPowerStatus&lt;&gt;"Yes","Complete",IF(AND(I.Gas.P4Y2Count&gt;=20,F28707=""),"Incomplete","Complete")))</f>
        <v>Complete</v>
      </c>
      <c r="I28707" s="48" t="s">
        <v>3886</v>
      </c>
    </row>
    <row r="28708" spans="2:9" ht="15" customHeight="1" x14ac:dyDescent="0.25">
      <c r="B28708" s="55" t="s">
        <v>429</v>
      </c>
      <c r="C28708" s="46">
        <v>21</v>
      </c>
      <c r="D28708" s="69" t="s">
        <v>29566</v>
      </c>
      <c r="E28708" s="62"/>
      <c r="F28708" s="62" t="str">
        <f>IF(INDEX(I.Gas.P4Y2ElectricityGeneration,21)="","",INDEX(I.Gas.P4Y2ElectricityGeneration,21))</f>
        <v/>
      </c>
      <c r="G28708" s="62"/>
      <c r="H28708" s="46" t="str">
        <f>IF(I.Developer.P4=FALSE,"Complete",IF(I.Product.P4GasToPowerStatus&lt;&gt;"Yes","Complete",IF(AND(I.Gas.P4Y2Count&gt;=21,F28708=""),"Incomplete","Complete")))</f>
        <v>Complete</v>
      </c>
      <c r="I28708" s="48" t="s">
        <v>3887</v>
      </c>
    </row>
    <row r="28709" spans="2:9" ht="15" customHeight="1" x14ac:dyDescent="0.25">
      <c r="B28709" s="55" t="s">
        <v>429</v>
      </c>
      <c r="C28709" s="46">
        <v>22</v>
      </c>
      <c r="D28709" s="69" t="s">
        <v>29566</v>
      </c>
      <c r="E28709" s="62"/>
      <c r="F28709" s="62" t="str">
        <f>IF(INDEX(I.Gas.P4Y2ElectricityGeneration,22)="","",INDEX(I.Gas.P4Y2ElectricityGeneration,22))</f>
        <v/>
      </c>
      <c r="G28709" s="62"/>
      <c r="H28709" s="46" t="str">
        <f>IF(I.Developer.P4=FALSE,"Complete",IF(I.Product.P4GasToPowerStatus&lt;&gt;"Yes","Complete",IF(AND(I.Gas.P4Y2Count&gt;=22,F28709=""),"Incomplete","Complete")))</f>
        <v>Complete</v>
      </c>
      <c r="I28709" s="48" t="s">
        <v>3888</v>
      </c>
    </row>
    <row r="28710" spans="2:9" ht="15" customHeight="1" x14ac:dyDescent="0.25">
      <c r="B28710" s="55" t="s">
        <v>429</v>
      </c>
      <c r="C28710" s="46">
        <v>23</v>
      </c>
      <c r="D28710" s="69" t="s">
        <v>29566</v>
      </c>
      <c r="E28710" s="62"/>
      <c r="F28710" s="62" t="str">
        <f>IF(INDEX(I.Gas.P4Y2ElectricityGeneration,23)="","",INDEX(I.Gas.P4Y2ElectricityGeneration,23))</f>
        <v/>
      </c>
      <c r="G28710" s="62"/>
      <c r="H28710" s="46" t="str">
        <f>IF(I.Developer.P4=FALSE,"Complete",IF(I.Product.P4GasToPowerStatus&lt;&gt;"Yes","Complete",IF(AND(I.Gas.P4Y2Count&gt;=23,F28710=""),"Incomplete","Complete")))</f>
        <v>Complete</v>
      </c>
      <c r="I28710" s="48" t="s">
        <v>3889</v>
      </c>
    </row>
    <row r="28711" spans="2:9" ht="15" customHeight="1" x14ac:dyDescent="0.25">
      <c r="B28711" s="55" t="s">
        <v>429</v>
      </c>
      <c r="C28711" s="46">
        <v>24</v>
      </c>
      <c r="D28711" s="69" t="s">
        <v>29566</v>
      </c>
      <c r="E28711" s="62"/>
      <c r="F28711" s="62" t="str">
        <f>IF(INDEX(I.Gas.P4Y2ElectricityGeneration,24)="","",INDEX(I.Gas.P4Y2ElectricityGeneration,24))</f>
        <v/>
      </c>
      <c r="G28711" s="62"/>
      <c r="H28711" s="46" t="str">
        <f>IF(I.Developer.P4=FALSE,"Complete",IF(I.Product.P4GasToPowerStatus&lt;&gt;"Yes","Complete",IF(AND(I.Gas.P4Y2Count&gt;=24,F28711=""),"Incomplete","Complete")))</f>
        <v>Complete</v>
      </c>
      <c r="I28711" s="48" t="s">
        <v>3890</v>
      </c>
    </row>
    <row r="28712" spans="2:9" ht="15" customHeight="1" x14ac:dyDescent="0.25">
      <c r="B28712" s="55" t="s">
        <v>429</v>
      </c>
      <c r="C28712" s="46">
        <v>25</v>
      </c>
      <c r="D28712" s="69" t="s">
        <v>29566</v>
      </c>
      <c r="E28712" s="62"/>
      <c r="F28712" s="62" t="str">
        <f>IF(INDEX(I.Gas.P4Y2ElectricityGeneration,25)="","",INDEX(I.Gas.P4Y2ElectricityGeneration,25))</f>
        <v/>
      </c>
      <c r="G28712" s="62"/>
      <c r="H28712" s="46" t="str">
        <f>IF(I.Developer.P4=FALSE,"Complete",IF(I.Product.P4GasToPowerStatus&lt;&gt;"Yes","Complete",IF(AND(I.Gas.P4Y2Count&gt;=25,F28712=""),"Incomplete","Complete")))</f>
        <v>Complete</v>
      </c>
      <c r="I28712" s="48" t="s">
        <v>3891</v>
      </c>
    </row>
    <row r="28713" spans="2:9" ht="15" customHeight="1" x14ac:dyDescent="0.25">
      <c r="B28713" s="55" t="s">
        <v>429</v>
      </c>
      <c r="C28713" s="46">
        <v>26</v>
      </c>
      <c r="D28713" s="69" t="s">
        <v>29566</v>
      </c>
      <c r="E28713" s="62"/>
      <c r="F28713" s="62" t="str">
        <f>IF(INDEX(I.Gas.P4Y2ElectricityGeneration,26)="","",INDEX(I.Gas.P4Y2ElectricityGeneration,26))</f>
        <v/>
      </c>
      <c r="G28713" s="62"/>
      <c r="H28713" s="46" t="str">
        <f>IF(I.Developer.P4=FALSE,"Complete",IF(I.Product.P4GasToPowerStatus&lt;&gt;"Yes","Complete",IF(AND(I.Gas.P4Y2Count&gt;=26,F28713=""),"Incomplete","Complete")))</f>
        <v>Complete</v>
      </c>
      <c r="I28713" s="48" t="s">
        <v>3892</v>
      </c>
    </row>
    <row r="28714" spans="2:9" ht="15" customHeight="1" x14ac:dyDescent="0.25">
      <c r="B28714" s="55" t="s">
        <v>429</v>
      </c>
      <c r="C28714" s="46">
        <v>27</v>
      </c>
      <c r="D28714" s="69" t="s">
        <v>29566</v>
      </c>
      <c r="E28714" s="62"/>
      <c r="F28714" s="62" t="str">
        <f>IF(INDEX(I.Gas.P4Y2ElectricityGeneration,27)="","",INDEX(I.Gas.P4Y2ElectricityGeneration,27))</f>
        <v/>
      </c>
      <c r="G28714" s="62"/>
      <c r="H28714" s="46" t="str">
        <f>IF(I.Developer.P4=FALSE,"Complete",IF(I.Product.P4GasToPowerStatus&lt;&gt;"Yes","Complete",IF(AND(I.Gas.P4Y2Count&gt;=27,F28714=""),"Incomplete","Complete")))</f>
        <v>Complete</v>
      </c>
      <c r="I28714" s="48" t="s">
        <v>3893</v>
      </c>
    </row>
    <row r="28715" spans="2:9" ht="15" customHeight="1" x14ac:dyDescent="0.25">
      <c r="B28715" s="55" t="s">
        <v>429</v>
      </c>
      <c r="C28715" s="46">
        <v>28</v>
      </c>
      <c r="D28715" s="69" t="s">
        <v>29566</v>
      </c>
      <c r="E28715" s="62"/>
      <c r="F28715" s="62" t="str">
        <f>IF(INDEX(I.Gas.P4Y2ElectricityGeneration,28)="","",INDEX(I.Gas.P4Y2ElectricityGeneration,28))</f>
        <v/>
      </c>
      <c r="G28715" s="62"/>
      <c r="H28715" s="46" t="str">
        <f>IF(I.Developer.P4=FALSE,"Complete",IF(I.Product.P4GasToPowerStatus&lt;&gt;"Yes","Complete",IF(AND(I.Gas.P4Y2Count&gt;=28,F28715=""),"Incomplete","Complete")))</f>
        <v>Complete</v>
      </c>
      <c r="I28715" s="48" t="s">
        <v>3894</v>
      </c>
    </row>
    <row r="28716" spans="2:9" ht="15" customHeight="1" x14ac:dyDescent="0.25">
      <c r="B28716" s="55" t="s">
        <v>429</v>
      </c>
      <c r="C28716" s="46">
        <v>29</v>
      </c>
      <c r="D28716" s="69" t="s">
        <v>29566</v>
      </c>
      <c r="E28716" s="62"/>
      <c r="F28716" s="62" t="str">
        <f>IF(INDEX(I.Gas.P4Y2ElectricityGeneration,29)="","",INDEX(I.Gas.P4Y2ElectricityGeneration,29))</f>
        <v/>
      </c>
      <c r="G28716" s="62"/>
      <c r="H28716" s="46" t="str">
        <f>IF(I.Developer.P4=FALSE,"Complete",IF(I.Product.P4GasToPowerStatus&lt;&gt;"Yes","Complete",IF(AND(I.Gas.P4Y2Count&gt;=29,F28716=""),"Incomplete","Complete")))</f>
        <v>Complete</v>
      </c>
      <c r="I28716" s="48" t="s">
        <v>3895</v>
      </c>
    </row>
    <row r="28717" spans="2:9" ht="15" customHeight="1" x14ac:dyDescent="0.25">
      <c r="B28717" s="55" t="s">
        <v>429</v>
      </c>
      <c r="C28717" s="46">
        <v>30</v>
      </c>
      <c r="D28717" s="69" t="s">
        <v>29566</v>
      </c>
      <c r="E28717" s="62"/>
      <c r="F28717" s="62" t="str">
        <f>IF(INDEX(I.Gas.P4Y2ElectricityGeneration,30)="","",INDEX(I.Gas.P4Y2ElectricityGeneration,30))</f>
        <v/>
      </c>
      <c r="G28717" s="62"/>
      <c r="H28717" s="46" t="str">
        <f>IF(I.Developer.P4=FALSE,"Complete",IF(I.Product.P4GasToPowerStatus&lt;&gt;"Yes","Complete",IF(AND(I.Gas.P4Y2Count&gt;=30,F28717=""),"Incomplete","Complete")))</f>
        <v>Complete</v>
      </c>
      <c r="I28717" s="48" t="s">
        <v>3896</v>
      </c>
    </row>
    <row r="28718" spans="2:9" ht="15" customHeight="1" x14ac:dyDescent="0.25">
      <c r="B28718" s="55" t="s">
        <v>429</v>
      </c>
      <c r="C28718" s="46">
        <v>31</v>
      </c>
      <c r="D28718" s="69" t="s">
        <v>29566</v>
      </c>
      <c r="E28718" s="62"/>
      <c r="F28718" s="62" t="str">
        <f>IF(INDEX(I.Gas.P4Y2ElectricityGeneration,31)="","",INDEX(I.Gas.P4Y2ElectricityGeneration,31))</f>
        <v/>
      </c>
      <c r="G28718" s="62"/>
      <c r="H28718" s="46" t="str">
        <f>IF(I.Developer.P4=FALSE,"Complete",IF(I.Product.P4GasToPowerStatus&lt;&gt;"Yes","Complete",IF(AND(I.Gas.P4Y2Count&gt;=31,F28718=""),"Incomplete","Complete")))</f>
        <v>Complete</v>
      </c>
      <c r="I28718" s="48" t="s">
        <v>3897</v>
      </c>
    </row>
    <row r="28719" spans="2:9" ht="15" customHeight="1" x14ac:dyDescent="0.25">
      <c r="B28719" s="55" t="s">
        <v>429</v>
      </c>
      <c r="C28719" s="46">
        <v>32</v>
      </c>
      <c r="D28719" s="69" t="s">
        <v>29566</v>
      </c>
      <c r="E28719" s="62"/>
      <c r="F28719" s="62" t="str">
        <f>IF(INDEX(I.Gas.P4Y2ElectricityGeneration,32)="","",INDEX(I.Gas.P4Y2ElectricityGeneration,32))</f>
        <v/>
      </c>
      <c r="G28719" s="62"/>
      <c r="H28719" s="46" t="str">
        <f>IF(I.Developer.P4=FALSE,"Complete",IF(I.Product.P4GasToPowerStatus&lt;&gt;"Yes","Complete",IF(AND(I.Gas.P4Y2Count&gt;=32,F28719=""),"Incomplete","Complete")))</f>
        <v>Complete</v>
      </c>
      <c r="I28719" s="48" t="s">
        <v>3898</v>
      </c>
    </row>
    <row r="28720" spans="2:9" ht="15" customHeight="1" x14ac:dyDescent="0.25">
      <c r="B28720" s="55" t="s">
        <v>429</v>
      </c>
      <c r="C28720" s="46">
        <v>33</v>
      </c>
      <c r="D28720" s="69" t="s">
        <v>29566</v>
      </c>
      <c r="E28720" s="62"/>
      <c r="F28720" s="62" t="str">
        <f>IF(INDEX(I.Gas.P4Y2ElectricityGeneration,33)="","",INDEX(I.Gas.P4Y2ElectricityGeneration,33))</f>
        <v/>
      </c>
      <c r="G28720" s="62"/>
      <c r="H28720" s="46" t="str">
        <f>IF(I.Developer.P4=FALSE,"Complete",IF(I.Product.P4GasToPowerStatus&lt;&gt;"Yes","Complete",IF(AND(I.Gas.P4Y2Count&gt;=33,F28720=""),"Incomplete","Complete")))</f>
        <v>Complete</v>
      </c>
      <c r="I28720" s="48" t="s">
        <v>3899</v>
      </c>
    </row>
    <row r="28721" spans="2:9" ht="15" customHeight="1" x14ac:dyDescent="0.25">
      <c r="B28721" s="55" t="s">
        <v>429</v>
      </c>
      <c r="C28721" s="46">
        <v>34</v>
      </c>
      <c r="D28721" s="69" t="s">
        <v>29566</v>
      </c>
      <c r="E28721" s="62"/>
      <c r="F28721" s="62" t="str">
        <f>IF(INDEX(I.Gas.P4Y2ElectricityGeneration,34)="","",INDEX(I.Gas.P4Y2ElectricityGeneration,34))</f>
        <v/>
      </c>
      <c r="G28721" s="62"/>
      <c r="H28721" s="46" t="str">
        <f>IF(I.Developer.P4=FALSE,"Complete",IF(I.Product.P4GasToPowerStatus&lt;&gt;"Yes","Complete",IF(AND(I.Gas.P4Y2Count&gt;=34,F28721=""),"Incomplete","Complete")))</f>
        <v>Complete</v>
      </c>
      <c r="I28721" s="48" t="s">
        <v>3900</v>
      </c>
    </row>
    <row r="28722" spans="2:9" ht="15" customHeight="1" x14ac:dyDescent="0.25">
      <c r="B28722" s="55" t="s">
        <v>429</v>
      </c>
      <c r="C28722" s="46">
        <v>35</v>
      </c>
      <c r="D28722" s="69" t="s">
        <v>29566</v>
      </c>
      <c r="E28722" s="62"/>
      <c r="F28722" s="62" t="str">
        <f>IF(INDEX(I.Gas.P4Y2ElectricityGeneration,35)="","",INDEX(I.Gas.P4Y2ElectricityGeneration,35))</f>
        <v/>
      </c>
      <c r="G28722" s="62"/>
      <c r="H28722" s="46" t="str">
        <f>IF(I.Developer.P4=FALSE,"Complete",IF(I.Product.P4GasToPowerStatus&lt;&gt;"Yes","Complete",IF(AND(I.Gas.P4Y2Count&gt;=35,F28722=""),"Incomplete","Complete")))</f>
        <v>Complete</v>
      </c>
      <c r="I28722" s="48" t="s">
        <v>3901</v>
      </c>
    </row>
    <row r="28723" spans="2:9" ht="15" customHeight="1" x14ac:dyDescent="0.25">
      <c r="B28723" s="55" t="s">
        <v>429</v>
      </c>
      <c r="C28723" s="46">
        <v>36</v>
      </c>
      <c r="D28723" s="69" t="s">
        <v>29566</v>
      </c>
      <c r="E28723" s="62"/>
      <c r="F28723" s="62" t="str">
        <f>IF(INDEX(I.Gas.P4Y2ElectricityGeneration,36)="","",INDEX(I.Gas.P4Y2ElectricityGeneration,36))</f>
        <v/>
      </c>
      <c r="G28723" s="62"/>
      <c r="H28723" s="46" t="str">
        <f>IF(I.Developer.P4=FALSE,"Complete",IF(I.Product.P4GasToPowerStatus&lt;&gt;"Yes","Complete",IF(AND(I.Gas.P4Y2Count&gt;=36,F28723=""),"Incomplete","Complete")))</f>
        <v>Complete</v>
      </c>
      <c r="I28723" s="48" t="s">
        <v>3902</v>
      </c>
    </row>
    <row r="28724" spans="2:9" ht="15" customHeight="1" x14ac:dyDescent="0.25">
      <c r="B28724" s="55" t="s">
        <v>429</v>
      </c>
      <c r="C28724" s="46">
        <v>37</v>
      </c>
      <c r="D28724" s="69" t="s">
        <v>29566</v>
      </c>
      <c r="E28724" s="62"/>
      <c r="F28724" s="62" t="str">
        <f>IF(INDEX(I.Gas.P4Y2ElectricityGeneration,37)="","",INDEX(I.Gas.P4Y2ElectricityGeneration,37))</f>
        <v/>
      </c>
      <c r="G28724" s="62"/>
      <c r="H28724" s="46" t="str">
        <f>IF(I.Developer.P4=FALSE,"Complete",IF(I.Product.P4GasToPowerStatus&lt;&gt;"Yes","Complete",IF(AND(I.Gas.P4Y2Count&gt;=37,F28724=""),"Incomplete","Complete")))</f>
        <v>Complete</v>
      </c>
      <c r="I28724" s="48" t="s">
        <v>3903</v>
      </c>
    </row>
    <row r="28725" spans="2:9" ht="15" customHeight="1" x14ac:dyDescent="0.25">
      <c r="B28725" s="55" t="s">
        <v>429</v>
      </c>
      <c r="C28725" s="46">
        <v>38</v>
      </c>
      <c r="D28725" s="69" t="s">
        <v>29566</v>
      </c>
      <c r="E28725" s="62"/>
      <c r="F28725" s="62" t="str">
        <f>IF(INDEX(I.Gas.P4Y2ElectricityGeneration,38)="","",INDEX(I.Gas.P4Y2ElectricityGeneration,38))</f>
        <v/>
      </c>
      <c r="G28725" s="62"/>
      <c r="H28725" s="46" t="str">
        <f>IF(I.Developer.P4=FALSE,"Complete",IF(I.Product.P4GasToPowerStatus&lt;&gt;"Yes","Complete",IF(AND(I.Gas.P4Y2Count&gt;=38,F28725=""),"Incomplete","Complete")))</f>
        <v>Complete</v>
      </c>
      <c r="I28725" s="48" t="s">
        <v>3904</v>
      </c>
    </row>
    <row r="28726" spans="2:9" ht="15" customHeight="1" x14ac:dyDescent="0.25">
      <c r="B28726" s="55" t="s">
        <v>429</v>
      </c>
      <c r="C28726" s="46">
        <v>39</v>
      </c>
      <c r="D28726" s="69" t="s">
        <v>29566</v>
      </c>
      <c r="E28726" s="62"/>
      <c r="F28726" s="62" t="str">
        <f>IF(INDEX(I.Gas.P4Y2ElectricityGeneration,39)="","",INDEX(I.Gas.P4Y2ElectricityGeneration,39))</f>
        <v/>
      </c>
      <c r="G28726" s="62"/>
      <c r="H28726" s="46" t="str">
        <f>IF(I.Developer.P4=FALSE,"Complete",IF(I.Product.P4GasToPowerStatus&lt;&gt;"Yes","Complete",IF(AND(I.Gas.P4Y2Count&gt;=39,F28726=""),"Incomplete","Complete")))</f>
        <v>Complete</v>
      </c>
      <c r="I28726" s="48" t="s">
        <v>3905</v>
      </c>
    </row>
    <row r="28727" spans="2:9" ht="15" customHeight="1" x14ac:dyDescent="0.25">
      <c r="B28727" s="55" t="s">
        <v>429</v>
      </c>
      <c r="C28727" s="46">
        <v>40</v>
      </c>
      <c r="D28727" s="69" t="s">
        <v>29566</v>
      </c>
      <c r="E28727" s="62"/>
      <c r="F28727" s="62" t="str">
        <f>IF(INDEX(I.Gas.P4Y2ElectricityGeneration,40)="","",INDEX(I.Gas.P4Y2ElectricityGeneration,40))</f>
        <v/>
      </c>
      <c r="G28727" s="62"/>
      <c r="H28727" s="46" t="str">
        <f>IF(I.Developer.P4=FALSE,"Complete",IF(I.Product.P4GasToPowerStatus&lt;&gt;"Yes","Complete",IF(AND(I.Gas.P4Y2Count&gt;=40,F28727=""),"Incomplete","Complete")))</f>
        <v>Complete</v>
      </c>
      <c r="I28727" s="48" t="s">
        <v>3906</v>
      </c>
    </row>
    <row r="28728" spans="2:9" ht="15" customHeight="1" x14ac:dyDescent="0.25">
      <c r="B28728" s="55" t="s">
        <v>429</v>
      </c>
      <c r="C28728" s="46">
        <v>41</v>
      </c>
      <c r="D28728" s="69" t="s">
        <v>29566</v>
      </c>
      <c r="E28728" s="62"/>
      <c r="F28728" s="62" t="str">
        <f>IF(INDEX(I.Gas.P4Y2ElectricityGeneration,41)="","",INDEX(I.Gas.P4Y2ElectricityGeneration,41))</f>
        <v/>
      </c>
      <c r="G28728" s="62"/>
      <c r="H28728" s="46" t="str">
        <f>IF(I.Developer.P4=FALSE,"Complete",IF(I.Product.P4GasToPowerStatus&lt;&gt;"Yes","Complete",IF(AND(I.Gas.P4Y2Count&gt;=41,F28728=""),"Incomplete","Complete")))</f>
        <v>Complete</v>
      </c>
      <c r="I28728" s="48" t="s">
        <v>3907</v>
      </c>
    </row>
    <row r="28729" spans="2:9" ht="15" customHeight="1" x14ac:dyDescent="0.25">
      <c r="B28729" s="55" t="s">
        <v>429</v>
      </c>
      <c r="C28729" s="46">
        <v>42</v>
      </c>
      <c r="D28729" s="69" t="s">
        <v>29566</v>
      </c>
      <c r="E28729" s="62"/>
      <c r="F28729" s="62" t="str">
        <f>IF(INDEX(I.Gas.P4Y2ElectricityGeneration,42)="","",INDEX(I.Gas.P4Y2ElectricityGeneration,42))</f>
        <v/>
      </c>
      <c r="G28729" s="62"/>
      <c r="H28729" s="46" t="str">
        <f>IF(I.Developer.P4=FALSE,"Complete",IF(I.Product.P4GasToPowerStatus&lt;&gt;"Yes","Complete",IF(AND(I.Gas.P4Y2Count&gt;=42,F28729=""),"Incomplete","Complete")))</f>
        <v>Complete</v>
      </c>
      <c r="I28729" s="48" t="s">
        <v>3908</v>
      </c>
    </row>
    <row r="28730" spans="2:9" ht="15" customHeight="1" x14ac:dyDescent="0.25">
      <c r="B28730" s="55" t="s">
        <v>429</v>
      </c>
      <c r="C28730" s="46">
        <v>43</v>
      </c>
      <c r="D28730" s="69" t="s">
        <v>29566</v>
      </c>
      <c r="E28730" s="62"/>
      <c r="F28730" s="62" t="str">
        <f>IF(INDEX(I.Gas.P4Y2ElectricityGeneration,43)="","",INDEX(I.Gas.P4Y2ElectricityGeneration,43))</f>
        <v/>
      </c>
      <c r="G28730" s="62"/>
      <c r="H28730" s="46" t="str">
        <f>IF(I.Developer.P4=FALSE,"Complete",IF(I.Product.P4GasToPowerStatus&lt;&gt;"Yes","Complete",IF(AND(I.Gas.P4Y2Count&gt;=43,F28730=""),"Incomplete","Complete")))</f>
        <v>Complete</v>
      </c>
      <c r="I28730" s="48" t="s">
        <v>3909</v>
      </c>
    </row>
    <row r="28731" spans="2:9" ht="15" customHeight="1" x14ac:dyDescent="0.25">
      <c r="B28731" s="55" t="s">
        <v>429</v>
      </c>
      <c r="C28731" s="46">
        <v>44</v>
      </c>
      <c r="D28731" s="69" t="s">
        <v>29566</v>
      </c>
      <c r="E28731" s="62"/>
      <c r="F28731" s="62" t="str">
        <f>IF(INDEX(I.Gas.P4Y2ElectricityGeneration,44)="","",INDEX(I.Gas.P4Y2ElectricityGeneration,44))</f>
        <v/>
      </c>
      <c r="G28731" s="62"/>
      <c r="H28731" s="46" t="str">
        <f>IF(I.Developer.P4=FALSE,"Complete",IF(I.Product.P4GasToPowerStatus&lt;&gt;"Yes","Complete",IF(AND(I.Gas.P4Y2Count&gt;=44,F28731=""),"Incomplete","Complete")))</f>
        <v>Complete</v>
      </c>
      <c r="I28731" s="48" t="s">
        <v>3910</v>
      </c>
    </row>
    <row r="28732" spans="2:9" ht="15" customHeight="1" x14ac:dyDescent="0.25">
      <c r="B28732" s="55" t="s">
        <v>429</v>
      </c>
      <c r="C28732" s="46">
        <v>45</v>
      </c>
      <c r="D28732" s="69" t="s">
        <v>29566</v>
      </c>
      <c r="E28732" s="62"/>
      <c r="F28732" s="62" t="str">
        <f>IF(INDEX(I.Gas.P4Y2ElectricityGeneration,45)="","",INDEX(I.Gas.P4Y2ElectricityGeneration,45))</f>
        <v/>
      </c>
      <c r="G28732" s="62"/>
      <c r="H28732" s="46" t="str">
        <f>IF(I.Developer.P4=FALSE,"Complete",IF(I.Product.P4GasToPowerStatus&lt;&gt;"Yes","Complete",IF(AND(I.Gas.P4Y2Count&gt;=45,F28732=""),"Incomplete","Complete")))</f>
        <v>Complete</v>
      </c>
      <c r="I28732" s="48" t="s">
        <v>3911</v>
      </c>
    </row>
    <row r="28733" spans="2:9" ht="15" customHeight="1" x14ac:dyDescent="0.25">
      <c r="B28733" s="55" t="s">
        <v>429</v>
      </c>
      <c r="C28733" s="46">
        <v>46</v>
      </c>
      <c r="D28733" s="69" t="s">
        <v>29566</v>
      </c>
      <c r="E28733" s="62"/>
      <c r="F28733" s="62" t="str">
        <f>IF(INDEX(I.Gas.P4Y2ElectricityGeneration,46)="","",INDEX(I.Gas.P4Y2ElectricityGeneration,46))</f>
        <v/>
      </c>
      <c r="G28733" s="62"/>
      <c r="H28733" s="46" t="str">
        <f>IF(I.Developer.P4=FALSE,"Complete",IF(I.Product.P4GasToPowerStatus&lt;&gt;"Yes","Complete",IF(AND(I.Gas.P4Y2Count&gt;=46,F28733=""),"Incomplete","Complete")))</f>
        <v>Complete</v>
      </c>
      <c r="I28733" s="48" t="s">
        <v>3912</v>
      </c>
    </row>
    <row r="28734" spans="2:9" ht="15" customHeight="1" x14ac:dyDescent="0.25">
      <c r="B28734" s="55" t="s">
        <v>429</v>
      </c>
      <c r="C28734" s="46">
        <v>47</v>
      </c>
      <c r="D28734" s="69" t="s">
        <v>29566</v>
      </c>
      <c r="E28734" s="62"/>
      <c r="F28734" s="62" t="str">
        <f>IF(INDEX(I.Gas.P4Y2ElectricityGeneration,47)="","",INDEX(I.Gas.P4Y2ElectricityGeneration,47))</f>
        <v/>
      </c>
      <c r="G28734" s="62"/>
      <c r="H28734" s="46" t="str">
        <f>IF(I.Developer.P4=FALSE,"Complete",IF(I.Product.P4GasToPowerStatus&lt;&gt;"Yes","Complete",IF(AND(I.Gas.P4Y2Count&gt;=47,F28734=""),"Incomplete","Complete")))</f>
        <v>Complete</v>
      </c>
      <c r="I28734" s="48" t="s">
        <v>3913</v>
      </c>
    </row>
    <row r="28735" spans="2:9" ht="15" customHeight="1" x14ac:dyDescent="0.25">
      <c r="B28735" s="55" t="s">
        <v>429</v>
      </c>
      <c r="C28735" s="46">
        <v>48</v>
      </c>
      <c r="D28735" s="69" t="s">
        <v>29566</v>
      </c>
      <c r="E28735" s="62"/>
      <c r="F28735" s="62" t="str">
        <f>IF(INDEX(I.Gas.P4Y2ElectricityGeneration,48)="","",INDEX(I.Gas.P4Y2ElectricityGeneration,48))</f>
        <v/>
      </c>
      <c r="G28735" s="62"/>
      <c r="H28735" s="46" t="str">
        <f>IF(I.Developer.P4=FALSE,"Complete",IF(I.Product.P4GasToPowerStatus&lt;&gt;"Yes","Complete",IF(AND(I.Gas.P4Y2Count&gt;=48,F28735=""),"Incomplete","Complete")))</f>
        <v>Complete</v>
      </c>
      <c r="I28735" s="48" t="s">
        <v>3914</v>
      </c>
    </row>
    <row r="28736" spans="2:9" ht="15" customHeight="1" x14ac:dyDescent="0.25">
      <c r="B28736" s="55" t="s">
        <v>429</v>
      </c>
      <c r="C28736" s="46">
        <v>49</v>
      </c>
      <c r="D28736" s="69" t="s">
        <v>29566</v>
      </c>
      <c r="E28736" s="62"/>
      <c r="F28736" s="62" t="str">
        <f>IF(INDEX(I.Gas.P4Y2ElectricityGeneration,49)="","",INDEX(I.Gas.P4Y2ElectricityGeneration,49))</f>
        <v/>
      </c>
      <c r="G28736" s="62"/>
      <c r="H28736" s="46" t="str">
        <f>IF(I.Developer.P4=FALSE,"Complete",IF(I.Product.P4GasToPowerStatus&lt;&gt;"Yes","Complete",IF(AND(I.Gas.P4Y2Count&gt;=49,F28736=""),"Incomplete","Complete")))</f>
        <v>Complete</v>
      </c>
      <c r="I28736" s="48" t="s">
        <v>3915</v>
      </c>
    </row>
    <row r="28737" spans="2:9" ht="15" customHeight="1" x14ac:dyDescent="0.25">
      <c r="B28737" s="56" t="s">
        <v>429</v>
      </c>
      <c r="C28737" s="57">
        <v>50</v>
      </c>
      <c r="D28737" s="71" t="s">
        <v>29566</v>
      </c>
      <c r="E28737" s="61"/>
      <c r="F28737" s="61" t="str">
        <f>IF(INDEX(I.Gas.P4Y2ElectricityGeneration,50)="","",INDEX(I.Gas.P4Y2ElectricityGeneration,50))</f>
        <v/>
      </c>
      <c r="G28737" s="61"/>
      <c r="H28737" s="57" t="str">
        <f>IF(I.Developer.P4=FALSE,"Complete",IF(I.Product.P4GasToPowerStatus&lt;&gt;"Yes","Complete",IF(AND(I.Gas.P4Y2Count&gt;=50,F28737=""),"Incomplete","Complete")))</f>
        <v>Complete</v>
      </c>
      <c r="I28737" s="49" t="s">
        <v>3916</v>
      </c>
    </row>
    <row r="28738" spans="2:9" ht="15" customHeight="1" x14ac:dyDescent="0.25">
      <c r="B28738" s="55" t="s">
        <v>430</v>
      </c>
      <c r="C28738" s="46">
        <v>1</v>
      </c>
      <c r="D28738" s="69" t="s">
        <v>29567</v>
      </c>
      <c r="E28738" s="62"/>
      <c r="F28738" s="62" t="str">
        <f>IF(INDEX(I.Gas.P4Y2C1V1,1)="","",INDEX(I.Gas.P4Y2C1V1,1))</f>
        <v/>
      </c>
      <c r="G28738" s="62"/>
      <c r="H28738" s="46" t="str">
        <f>IF(OR(I.Developer.P4=FALSE,I.Facility.StandardPart&lt;&gt;"Part 2"),"Complete",IF(I.Product.P4GasToPowerStatus&lt;&gt;"Yes","Complete",IF(AND(I.Gas.P4Y2Count&gt;=1,F28738=""),"Incomplete","Complete")))</f>
        <v>Complete</v>
      </c>
      <c r="I28738" s="48" t="s">
        <v>3917</v>
      </c>
    </row>
    <row r="28739" spans="2:9" ht="15" customHeight="1" x14ac:dyDescent="0.25">
      <c r="B28739" s="55" t="s">
        <v>430</v>
      </c>
      <c r="C28739" s="46">
        <v>2</v>
      </c>
      <c r="D28739" s="69" t="s">
        <v>29567</v>
      </c>
      <c r="E28739" s="62"/>
      <c r="F28739" s="62" t="str">
        <f>IF(INDEX(I.Gas.P4Y2C1V1,2)="","",INDEX(I.Gas.P4Y2C1V1,2))</f>
        <v/>
      </c>
      <c r="G28739" s="62"/>
      <c r="H28739" s="46" t="str">
        <f>IF(OR(I.Developer.P4=FALSE,I.Facility.StandardPart&lt;&gt;"Part 2"),"Complete",IF(I.Product.P4GasToPowerStatus&lt;&gt;"Yes","Complete",IF(AND(I.Gas.P4Y2Count&gt;=2,F28739=""),"Incomplete","Complete")))</f>
        <v>Complete</v>
      </c>
      <c r="I28739" s="48" t="s">
        <v>3918</v>
      </c>
    </row>
    <row r="28740" spans="2:9" ht="15" customHeight="1" x14ac:dyDescent="0.25">
      <c r="B28740" s="55" t="s">
        <v>430</v>
      </c>
      <c r="C28740" s="46">
        <v>3</v>
      </c>
      <c r="D28740" s="69" t="s">
        <v>29567</v>
      </c>
      <c r="E28740" s="62"/>
      <c r="F28740" s="62" t="str">
        <f>IF(INDEX(I.Gas.P4Y2C1V1,3)="","",INDEX(I.Gas.P4Y2C1V1,3))</f>
        <v/>
      </c>
      <c r="G28740" s="62"/>
      <c r="H28740" s="46" t="str">
        <f>IF(OR(I.Developer.P4=FALSE,I.Facility.StandardPart&lt;&gt;"Part 2"),"Complete",IF(I.Product.P4GasToPowerStatus&lt;&gt;"Yes","Complete",IF(AND(I.Gas.P4Y2Count&gt;=3,F28740=""),"Incomplete","Complete")))</f>
        <v>Complete</v>
      </c>
      <c r="I28740" s="48" t="s">
        <v>3919</v>
      </c>
    </row>
    <row r="28741" spans="2:9" ht="15" customHeight="1" x14ac:dyDescent="0.25">
      <c r="B28741" s="55" t="s">
        <v>430</v>
      </c>
      <c r="C28741" s="46">
        <v>4</v>
      </c>
      <c r="D28741" s="69" t="s">
        <v>29567</v>
      </c>
      <c r="E28741" s="62"/>
      <c r="F28741" s="62" t="str">
        <f>IF(INDEX(I.Gas.P4Y2C1V1,4)="","",INDEX(I.Gas.P4Y2C1V1,4))</f>
        <v/>
      </c>
      <c r="G28741" s="62"/>
      <c r="H28741" s="46" t="str">
        <f>IF(OR(I.Developer.P4=FALSE,I.Facility.StandardPart&lt;&gt;"Part 2"),"Complete",IF(I.Product.P4GasToPowerStatus&lt;&gt;"Yes","Complete",IF(AND(I.Gas.P4Y2Count&gt;=4,F28741=""),"Incomplete","Complete")))</f>
        <v>Complete</v>
      </c>
      <c r="I28741" s="48" t="s">
        <v>3920</v>
      </c>
    </row>
    <row r="28742" spans="2:9" ht="15" customHeight="1" x14ac:dyDescent="0.25">
      <c r="B28742" s="55" t="s">
        <v>430</v>
      </c>
      <c r="C28742" s="46">
        <v>5</v>
      </c>
      <c r="D28742" s="69" t="s">
        <v>29567</v>
      </c>
      <c r="E28742" s="62"/>
      <c r="F28742" s="62" t="str">
        <f>IF(INDEX(I.Gas.P4Y2C1V1,5)="","",INDEX(I.Gas.P4Y2C1V1,5))</f>
        <v/>
      </c>
      <c r="G28742" s="62"/>
      <c r="H28742" s="46" t="str">
        <f>IF(OR(I.Developer.P4=FALSE,I.Facility.StandardPart&lt;&gt;"Part 2"),"Complete",IF(I.Product.P4GasToPowerStatus&lt;&gt;"Yes","Complete",IF(AND(I.Gas.P4Y2Count&gt;=5,F28742=""),"Incomplete","Complete")))</f>
        <v>Complete</v>
      </c>
      <c r="I28742" s="48" t="s">
        <v>3921</v>
      </c>
    </row>
    <row r="28743" spans="2:9" ht="15" customHeight="1" x14ac:dyDescent="0.25">
      <c r="B28743" s="55" t="s">
        <v>430</v>
      </c>
      <c r="C28743" s="46">
        <v>6</v>
      </c>
      <c r="D28743" s="69" t="s">
        <v>29567</v>
      </c>
      <c r="E28743" s="62"/>
      <c r="F28743" s="62" t="str">
        <f>IF(INDEX(I.Gas.P4Y2C1V1,6)="","",INDEX(I.Gas.P4Y2C1V1,6))</f>
        <v/>
      </c>
      <c r="G28743" s="62"/>
      <c r="H28743" s="46" t="str">
        <f>IF(OR(I.Developer.P4=FALSE,I.Facility.StandardPart&lt;&gt;"Part 2"),"Complete",IF(I.Product.P4GasToPowerStatus&lt;&gt;"Yes","Complete",IF(AND(I.Gas.P4Y2Count&gt;=6,F28743=""),"Incomplete","Complete")))</f>
        <v>Complete</v>
      </c>
      <c r="I28743" s="48" t="s">
        <v>3922</v>
      </c>
    </row>
    <row r="28744" spans="2:9" ht="15" customHeight="1" x14ac:dyDescent="0.25">
      <c r="B28744" s="55" t="s">
        <v>430</v>
      </c>
      <c r="C28744" s="46">
        <v>7</v>
      </c>
      <c r="D28744" s="69" t="s">
        <v>29567</v>
      </c>
      <c r="E28744" s="62"/>
      <c r="F28744" s="62" t="str">
        <f>IF(INDEX(I.Gas.P4Y2C1V1,7)="","",INDEX(I.Gas.P4Y2C1V1,7))</f>
        <v/>
      </c>
      <c r="G28744" s="62"/>
      <c r="H28744" s="46" t="str">
        <f>IF(OR(I.Developer.P4=FALSE,I.Facility.StandardPart&lt;&gt;"Part 2"),"Complete",IF(I.Product.P4GasToPowerStatus&lt;&gt;"Yes","Complete",IF(AND(I.Gas.P4Y2Count&gt;=7,F28744=""),"Incomplete","Complete")))</f>
        <v>Complete</v>
      </c>
      <c r="I28744" s="48" t="s">
        <v>3923</v>
      </c>
    </row>
    <row r="28745" spans="2:9" ht="15" customHeight="1" x14ac:dyDescent="0.25">
      <c r="B28745" s="55" t="s">
        <v>430</v>
      </c>
      <c r="C28745" s="46">
        <v>8</v>
      </c>
      <c r="D28745" s="69" t="s">
        <v>29567</v>
      </c>
      <c r="E28745" s="62"/>
      <c r="F28745" s="62" t="str">
        <f>IF(INDEX(I.Gas.P4Y2C1V1,8)="","",INDEX(I.Gas.P4Y2C1V1,8))</f>
        <v/>
      </c>
      <c r="G28745" s="62"/>
      <c r="H28745" s="46" t="str">
        <f>IF(OR(I.Developer.P4=FALSE,I.Facility.StandardPart&lt;&gt;"Part 2"),"Complete",IF(I.Product.P4GasToPowerStatus&lt;&gt;"Yes","Complete",IF(AND(I.Gas.P4Y2Count&gt;=8,F28745=""),"Incomplete","Complete")))</f>
        <v>Complete</v>
      </c>
      <c r="I28745" s="48" t="s">
        <v>3924</v>
      </c>
    </row>
    <row r="28746" spans="2:9" ht="15" customHeight="1" x14ac:dyDescent="0.25">
      <c r="B28746" s="55" t="s">
        <v>430</v>
      </c>
      <c r="C28746" s="46">
        <v>9</v>
      </c>
      <c r="D28746" s="69" t="s">
        <v>29567</v>
      </c>
      <c r="E28746" s="62"/>
      <c r="F28746" s="62" t="str">
        <f>IF(INDEX(I.Gas.P4Y2C1V1,9)="","",INDEX(I.Gas.P4Y2C1V1,9))</f>
        <v/>
      </c>
      <c r="G28746" s="62"/>
      <c r="H28746" s="46" t="str">
        <f>IF(OR(I.Developer.P4=FALSE,I.Facility.StandardPart&lt;&gt;"Part 2"),"Complete",IF(I.Product.P4GasToPowerStatus&lt;&gt;"Yes","Complete",IF(AND(I.Gas.P4Y2Count&gt;=9,F28746=""),"Incomplete","Complete")))</f>
        <v>Complete</v>
      </c>
      <c r="I28746" s="48" t="s">
        <v>3925</v>
      </c>
    </row>
    <row r="28747" spans="2:9" ht="15" customHeight="1" x14ac:dyDescent="0.25">
      <c r="B28747" s="55" t="s">
        <v>430</v>
      </c>
      <c r="C28747" s="46">
        <v>10</v>
      </c>
      <c r="D28747" s="69" t="s">
        <v>29567</v>
      </c>
      <c r="E28747" s="62"/>
      <c r="F28747" s="62" t="str">
        <f>IF(INDEX(I.Gas.P4Y2C1V1,10)="","",INDEX(I.Gas.P4Y2C1V1,10))</f>
        <v/>
      </c>
      <c r="G28747" s="62"/>
      <c r="H28747" s="46" t="str">
        <f>IF(OR(I.Developer.P4=FALSE,I.Facility.StandardPart&lt;&gt;"Part 2"),"Complete",IF(I.Product.P4GasToPowerStatus&lt;&gt;"Yes","Complete",IF(AND(I.Gas.P4Y2Count&gt;=10,F28747=""),"Incomplete","Complete")))</f>
        <v>Complete</v>
      </c>
      <c r="I28747" s="48" t="s">
        <v>3926</v>
      </c>
    </row>
    <row r="28748" spans="2:9" ht="15" customHeight="1" x14ac:dyDescent="0.25">
      <c r="B28748" s="55" t="s">
        <v>430</v>
      </c>
      <c r="C28748" s="46">
        <v>11</v>
      </c>
      <c r="D28748" s="69" t="s">
        <v>29567</v>
      </c>
      <c r="E28748" s="62"/>
      <c r="F28748" s="62" t="str">
        <f>IF(INDEX(I.Gas.P4Y2C1V1,11)="","",INDEX(I.Gas.P4Y2C1V1,11))</f>
        <v/>
      </c>
      <c r="G28748" s="62"/>
      <c r="H28748" s="46" t="str">
        <f>IF(OR(I.Developer.P4=FALSE,I.Facility.StandardPart&lt;&gt;"Part 2"),"Complete",IF(I.Product.P4GasToPowerStatus&lt;&gt;"Yes","Complete",IF(AND(I.Gas.P4Y2Count&gt;=11,F28748=""),"Incomplete","Complete")))</f>
        <v>Complete</v>
      </c>
      <c r="I28748" s="48" t="s">
        <v>3927</v>
      </c>
    </row>
    <row r="28749" spans="2:9" ht="15" customHeight="1" x14ac:dyDescent="0.25">
      <c r="B28749" s="55" t="s">
        <v>430</v>
      </c>
      <c r="C28749" s="46">
        <v>12</v>
      </c>
      <c r="D28749" s="69" t="s">
        <v>29567</v>
      </c>
      <c r="E28749" s="62"/>
      <c r="F28749" s="62" t="str">
        <f>IF(INDEX(I.Gas.P4Y2C1V1,12)="","",INDEX(I.Gas.P4Y2C1V1,12))</f>
        <v/>
      </c>
      <c r="G28749" s="62"/>
      <c r="H28749" s="46" t="str">
        <f>IF(OR(I.Developer.P4=FALSE,I.Facility.StandardPart&lt;&gt;"Part 2"),"Complete",IF(I.Product.P4GasToPowerStatus&lt;&gt;"Yes","Complete",IF(AND(I.Gas.P4Y2Count&gt;=12,F28749=""),"Incomplete","Complete")))</f>
        <v>Complete</v>
      </c>
      <c r="I28749" s="48" t="s">
        <v>3928</v>
      </c>
    </row>
    <row r="28750" spans="2:9" ht="15" customHeight="1" x14ac:dyDescent="0.25">
      <c r="B28750" s="55" t="s">
        <v>430</v>
      </c>
      <c r="C28750" s="46">
        <v>13</v>
      </c>
      <c r="D28750" s="69" t="s">
        <v>29567</v>
      </c>
      <c r="E28750" s="62"/>
      <c r="F28750" s="62" t="str">
        <f>IF(INDEX(I.Gas.P4Y2C1V1,13)="","",INDEX(I.Gas.P4Y2C1V1,13))</f>
        <v/>
      </c>
      <c r="G28750" s="62"/>
      <c r="H28750" s="46" t="str">
        <f>IF(OR(I.Developer.P4=FALSE,I.Facility.StandardPart&lt;&gt;"Part 2"),"Complete",IF(I.Product.P4GasToPowerStatus&lt;&gt;"Yes","Complete",IF(AND(I.Gas.P4Y2Count&gt;=13,F28750=""),"Incomplete","Complete")))</f>
        <v>Complete</v>
      </c>
      <c r="I28750" s="48" t="s">
        <v>3929</v>
      </c>
    </row>
    <row r="28751" spans="2:9" ht="15" customHeight="1" x14ac:dyDescent="0.25">
      <c r="B28751" s="55" t="s">
        <v>430</v>
      </c>
      <c r="C28751" s="46">
        <v>14</v>
      </c>
      <c r="D28751" s="69" t="s">
        <v>29567</v>
      </c>
      <c r="E28751" s="62"/>
      <c r="F28751" s="62" t="str">
        <f>IF(INDEX(I.Gas.P4Y2C1V1,14)="","",INDEX(I.Gas.P4Y2C1V1,14))</f>
        <v/>
      </c>
      <c r="G28751" s="62"/>
      <c r="H28751" s="46" t="str">
        <f>IF(OR(I.Developer.P4=FALSE,I.Facility.StandardPart&lt;&gt;"Part 2"),"Complete",IF(I.Product.P4GasToPowerStatus&lt;&gt;"Yes","Complete",IF(AND(I.Gas.P4Y2Count&gt;=14,F28751=""),"Incomplete","Complete")))</f>
        <v>Complete</v>
      </c>
      <c r="I28751" s="48" t="s">
        <v>3930</v>
      </c>
    </row>
    <row r="28752" spans="2:9" ht="15" customHeight="1" x14ac:dyDescent="0.25">
      <c r="B28752" s="55" t="s">
        <v>430</v>
      </c>
      <c r="C28752" s="46">
        <v>15</v>
      </c>
      <c r="D28752" s="69" t="s">
        <v>29567</v>
      </c>
      <c r="E28752" s="62"/>
      <c r="F28752" s="62" t="str">
        <f>IF(INDEX(I.Gas.P4Y2C1V1,15)="","",INDEX(I.Gas.P4Y2C1V1,15))</f>
        <v/>
      </c>
      <c r="G28752" s="62"/>
      <c r="H28752" s="46" t="str">
        <f>IF(OR(I.Developer.P4=FALSE,I.Facility.StandardPart&lt;&gt;"Part 2"),"Complete",IF(I.Product.P4GasToPowerStatus&lt;&gt;"Yes","Complete",IF(AND(I.Gas.P4Y2Count&gt;=15,F28752=""),"Incomplete","Complete")))</f>
        <v>Complete</v>
      </c>
      <c r="I28752" s="48" t="s">
        <v>3931</v>
      </c>
    </row>
    <row r="28753" spans="2:9" ht="15" customHeight="1" x14ac:dyDescent="0.25">
      <c r="B28753" s="55" t="s">
        <v>430</v>
      </c>
      <c r="C28753" s="46">
        <v>16</v>
      </c>
      <c r="D28753" s="69" t="s">
        <v>29567</v>
      </c>
      <c r="E28753" s="62"/>
      <c r="F28753" s="62" t="str">
        <f>IF(INDEX(I.Gas.P4Y2C1V1,16)="","",INDEX(I.Gas.P4Y2C1V1,16))</f>
        <v/>
      </c>
      <c r="G28753" s="62"/>
      <c r="H28753" s="46" t="str">
        <f>IF(OR(I.Developer.P4=FALSE,I.Facility.StandardPart&lt;&gt;"Part 2"),"Complete",IF(I.Product.P4GasToPowerStatus&lt;&gt;"Yes","Complete",IF(AND(I.Gas.P4Y2Count&gt;=16,F28753=""),"Incomplete","Complete")))</f>
        <v>Complete</v>
      </c>
      <c r="I28753" s="48" t="s">
        <v>3932</v>
      </c>
    </row>
    <row r="28754" spans="2:9" ht="15" customHeight="1" x14ac:dyDescent="0.25">
      <c r="B28754" s="55" t="s">
        <v>430</v>
      </c>
      <c r="C28754" s="46">
        <v>17</v>
      </c>
      <c r="D28754" s="69" t="s">
        <v>29567</v>
      </c>
      <c r="E28754" s="62"/>
      <c r="F28754" s="62" t="str">
        <f>IF(INDEX(I.Gas.P4Y2C1V1,17)="","",INDEX(I.Gas.P4Y2C1V1,17))</f>
        <v/>
      </c>
      <c r="G28754" s="62"/>
      <c r="H28754" s="46" t="str">
        <f>IF(OR(I.Developer.P4=FALSE,I.Facility.StandardPart&lt;&gt;"Part 2"),"Complete",IF(I.Product.P4GasToPowerStatus&lt;&gt;"Yes","Complete",IF(AND(I.Gas.P4Y2Count&gt;=17,F28754=""),"Incomplete","Complete")))</f>
        <v>Complete</v>
      </c>
      <c r="I28754" s="48" t="s">
        <v>3933</v>
      </c>
    </row>
    <row r="28755" spans="2:9" ht="15" customHeight="1" x14ac:dyDescent="0.25">
      <c r="B28755" s="55" t="s">
        <v>430</v>
      </c>
      <c r="C28755" s="46">
        <v>18</v>
      </c>
      <c r="D28755" s="69" t="s">
        <v>29567</v>
      </c>
      <c r="E28755" s="62"/>
      <c r="F28755" s="62" t="str">
        <f>IF(INDEX(I.Gas.P4Y2C1V1,18)="","",INDEX(I.Gas.P4Y2C1V1,18))</f>
        <v/>
      </c>
      <c r="G28755" s="62"/>
      <c r="H28755" s="46" t="str">
        <f>IF(OR(I.Developer.P4=FALSE,I.Facility.StandardPart&lt;&gt;"Part 2"),"Complete",IF(I.Product.P4GasToPowerStatus&lt;&gt;"Yes","Complete",IF(AND(I.Gas.P4Y2Count&gt;=18,F28755=""),"Incomplete","Complete")))</f>
        <v>Complete</v>
      </c>
      <c r="I28755" s="48" t="s">
        <v>3934</v>
      </c>
    </row>
    <row r="28756" spans="2:9" ht="15" customHeight="1" x14ac:dyDescent="0.25">
      <c r="B28756" s="55" t="s">
        <v>430</v>
      </c>
      <c r="C28756" s="46">
        <v>19</v>
      </c>
      <c r="D28756" s="69" t="s">
        <v>29567</v>
      </c>
      <c r="E28756" s="62"/>
      <c r="F28756" s="62" t="str">
        <f>IF(INDEX(I.Gas.P4Y2C1V1,19)="","",INDEX(I.Gas.P4Y2C1V1,19))</f>
        <v/>
      </c>
      <c r="G28756" s="62"/>
      <c r="H28756" s="46" t="str">
        <f>IF(OR(I.Developer.P4=FALSE,I.Facility.StandardPart&lt;&gt;"Part 2"),"Complete",IF(I.Product.P4GasToPowerStatus&lt;&gt;"Yes","Complete",IF(AND(I.Gas.P4Y2Count&gt;=19,F28756=""),"Incomplete","Complete")))</f>
        <v>Complete</v>
      </c>
      <c r="I28756" s="48" t="s">
        <v>3935</v>
      </c>
    </row>
    <row r="28757" spans="2:9" ht="15" customHeight="1" x14ac:dyDescent="0.25">
      <c r="B28757" s="55" t="s">
        <v>430</v>
      </c>
      <c r="C28757" s="46">
        <v>20</v>
      </c>
      <c r="D28757" s="69" t="s">
        <v>29567</v>
      </c>
      <c r="E28757" s="62"/>
      <c r="F28757" s="62" t="str">
        <f>IF(INDEX(I.Gas.P4Y2C1V1,20)="","",INDEX(I.Gas.P4Y2C1V1,20))</f>
        <v/>
      </c>
      <c r="G28757" s="62"/>
      <c r="H28757" s="46" t="str">
        <f>IF(OR(I.Developer.P4=FALSE,I.Facility.StandardPart&lt;&gt;"Part 2"),"Complete",IF(I.Product.P4GasToPowerStatus&lt;&gt;"Yes","Complete",IF(AND(I.Gas.P4Y2Count&gt;=20,F28757=""),"Incomplete","Complete")))</f>
        <v>Complete</v>
      </c>
      <c r="I28757" s="48" t="s">
        <v>3936</v>
      </c>
    </row>
    <row r="28758" spans="2:9" ht="15" customHeight="1" x14ac:dyDescent="0.25">
      <c r="B28758" s="55" t="s">
        <v>430</v>
      </c>
      <c r="C28758" s="46">
        <v>21</v>
      </c>
      <c r="D28758" s="69" t="s">
        <v>29567</v>
      </c>
      <c r="E28758" s="62"/>
      <c r="F28758" s="62" t="str">
        <f>IF(INDEX(I.Gas.P4Y2C1V1,21)="","",INDEX(I.Gas.P4Y2C1V1,21))</f>
        <v/>
      </c>
      <c r="G28758" s="62"/>
      <c r="H28758" s="46" t="str">
        <f>IF(OR(I.Developer.P4=FALSE,I.Facility.StandardPart&lt;&gt;"Part 2"),"Complete",IF(I.Product.P4GasToPowerStatus&lt;&gt;"Yes","Complete",IF(AND(I.Gas.P4Y2Count&gt;=21,F28758=""),"Incomplete","Complete")))</f>
        <v>Complete</v>
      </c>
      <c r="I28758" s="48" t="s">
        <v>3937</v>
      </c>
    </row>
    <row r="28759" spans="2:9" ht="15" customHeight="1" x14ac:dyDescent="0.25">
      <c r="B28759" s="55" t="s">
        <v>430</v>
      </c>
      <c r="C28759" s="46">
        <v>22</v>
      </c>
      <c r="D28759" s="69" t="s">
        <v>29567</v>
      </c>
      <c r="E28759" s="62"/>
      <c r="F28759" s="62" t="str">
        <f>IF(INDEX(I.Gas.P4Y2C1V1,22)="","",INDEX(I.Gas.P4Y2C1V1,22))</f>
        <v/>
      </c>
      <c r="G28759" s="62"/>
      <c r="H28759" s="46" t="str">
        <f>IF(OR(I.Developer.P4=FALSE,I.Facility.StandardPart&lt;&gt;"Part 2"),"Complete",IF(I.Product.P4GasToPowerStatus&lt;&gt;"Yes","Complete",IF(AND(I.Gas.P4Y2Count&gt;=22,F28759=""),"Incomplete","Complete")))</f>
        <v>Complete</v>
      </c>
      <c r="I28759" s="48" t="s">
        <v>3938</v>
      </c>
    </row>
    <row r="28760" spans="2:9" ht="15" customHeight="1" x14ac:dyDescent="0.25">
      <c r="B28760" s="55" t="s">
        <v>430</v>
      </c>
      <c r="C28760" s="46">
        <v>23</v>
      </c>
      <c r="D28760" s="69" t="s">
        <v>29567</v>
      </c>
      <c r="E28760" s="62"/>
      <c r="F28760" s="62" t="str">
        <f>IF(INDEX(I.Gas.P4Y2C1V1,23)="","",INDEX(I.Gas.P4Y2C1V1,23))</f>
        <v/>
      </c>
      <c r="G28760" s="62"/>
      <c r="H28760" s="46" t="str">
        <f>IF(OR(I.Developer.P4=FALSE,I.Facility.StandardPart&lt;&gt;"Part 2"),"Complete",IF(I.Product.P4GasToPowerStatus&lt;&gt;"Yes","Complete",IF(AND(I.Gas.P4Y2Count&gt;=23,F28760=""),"Incomplete","Complete")))</f>
        <v>Complete</v>
      </c>
      <c r="I28760" s="48" t="s">
        <v>3939</v>
      </c>
    </row>
    <row r="28761" spans="2:9" ht="15" customHeight="1" x14ac:dyDescent="0.25">
      <c r="B28761" s="55" t="s">
        <v>430</v>
      </c>
      <c r="C28761" s="46">
        <v>24</v>
      </c>
      <c r="D28761" s="69" t="s">
        <v>29567</v>
      </c>
      <c r="E28761" s="62"/>
      <c r="F28761" s="62" t="str">
        <f>IF(INDEX(I.Gas.P4Y2C1V1,24)="","",INDEX(I.Gas.P4Y2C1V1,24))</f>
        <v/>
      </c>
      <c r="G28761" s="62"/>
      <c r="H28761" s="46" t="str">
        <f>IF(OR(I.Developer.P4=FALSE,I.Facility.StandardPart&lt;&gt;"Part 2"),"Complete",IF(I.Product.P4GasToPowerStatus&lt;&gt;"Yes","Complete",IF(AND(I.Gas.P4Y2Count&gt;=24,F28761=""),"Incomplete","Complete")))</f>
        <v>Complete</v>
      </c>
      <c r="I28761" s="48" t="s">
        <v>3940</v>
      </c>
    </row>
    <row r="28762" spans="2:9" ht="15" customHeight="1" x14ac:dyDescent="0.25">
      <c r="B28762" s="55" t="s">
        <v>430</v>
      </c>
      <c r="C28762" s="46">
        <v>25</v>
      </c>
      <c r="D28762" s="69" t="s">
        <v>29567</v>
      </c>
      <c r="E28762" s="62"/>
      <c r="F28762" s="62" t="str">
        <f>IF(INDEX(I.Gas.P4Y2C1V1,25)="","",INDEX(I.Gas.P4Y2C1V1,25))</f>
        <v/>
      </c>
      <c r="G28762" s="62"/>
      <c r="H28762" s="46" t="str">
        <f>IF(OR(I.Developer.P4=FALSE,I.Facility.StandardPart&lt;&gt;"Part 2"),"Complete",IF(I.Product.P4GasToPowerStatus&lt;&gt;"Yes","Complete",IF(AND(I.Gas.P4Y2Count&gt;=25,F28762=""),"Incomplete","Complete")))</f>
        <v>Complete</v>
      </c>
      <c r="I28762" s="48" t="s">
        <v>3941</v>
      </c>
    </row>
    <row r="28763" spans="2:9" ht="15" customHeight="1" x14ac:dyDescent="0.25">
      <c r="B28763" s="55" t="s">
        <v>430</v>
      </c>
      <c r="C28763" s="46">
        <v>26</v>
      </c>
      <c r="D28763" s="69" t="s">
        <v>29567</v>
      </c>
      <c r="E28763" s="62"/>
      <c r="F28763" s="62" t="str">
        <f>IF(INDEX(I.Gas.P4Y2C1V1,26)="","",INDEX(I.Gas.P4Y2C1V1,26))</f>
        <v/>
      </c>
      <c r="G28763" s="62"/>
      <c r="H28763" s="46" t="str">
        <f>IF(OR(I.Developer.P4=FALSE,I.Facility.StandardPart&lt;&gt;"Part 2"),"Complete",IF(I.Product.P4GasToPowerStatus&lt;&gt;"Yes","Complete",IF(AND(I.Gas.P4Y2Count&gt;=26,F28763=""),"Incomplete","Complete")))</f>
        <v>Complete</v>
      </c>
      <c r="I28763" s="48" t="s">
        <v>3942</v>
      </c>
    </row>
    <row r="28764" spans="2:9" ht="15" customHeight="1" x14ac:dyDescent="0.25">
      <c r="B28764" s="55" t="s">
        <v>430</v>
      </c>
      <c r="C28764" s="46">
        <v>27</v>
      </c>
      <c r="D28764" s="69" t="s">
        <v>29567</v>
      </c>
      <c r="E28764" s="62"/>
      <c r="F28764" s="62" t="str">
        <f>IF(INDEX(I.Gas.P4Y2C1V1,27)="","",INDEX(I.Gas.P4Y2C1V1,27))</f>
        <v/>
      </c>
      <c r="G28764" s="62"/>
      <c r="H28764" s="46" t="str">
        <f>IF(OR(I.Developer.P4=FALSE,I.Facility.StandardPart&lt;&gt;"Part 2"),"Complete",IF(I.Product.P4GasToPowerStatus&lt;&gt;"Yes","Complete",IF(AND(I.Gas.P4Y2Count&gt;=27,F28764=""),"Incomplete","Complete")))</f>
        <v>Complete</v>
      </c>
      <c r="I28764" s="48" t="s">
        <v>3943</v>
      </c>
    </row>
    <row r="28765" spans="2:9" ht="15" customHeight="1" x14ac:dyDescent="0.25">
      <c r="B28765" s="55" t="s">
        <v>430</v>
      </c>
      <c r="C28765" s="46">
        <v>28</v>
      </c>
      <c r="D28765" s="69" t="s">
        <v>29567</v>
      </c>
      <c r="E28765" s="62"/>
      <c r="F28765" s="62" t="str">
        <f>IF(INDEX(I.Gas.P4Y2C1V1,28)="","",INDEX(I.Gas.P4Y2C1V1,28))</f>
        <v/>
      </c>
      <c r="G28765" s="62"/>
      <c r="H28765" s="46" t="str">
        <f>IF(OR(I.Developer.P4=FALSE,I.Facility.StandardPart&lt;&gt;"Part 2"),"Complete",IF(I.Product.P4GasToPowerStatus&lt;&gt;"Yes","Complete",IF(AND(I.Gas.P4Y2Count&gt;=28,F28765=""),"Incomplete","Complete")))</f>
        <v>Complete</v>
      </c>
      <c r="I28765" s="48" t="s">
        <v>3944</v>
      </c>
    </row>
    <row r="28766" spans="2:9" ht="15" customHeight="1" x14ac:dyDescent="0.25">
      <c r="B28766" s="55" t="s">
        <v>430</v>
      </c>
      <c r="C28766" s="46">
        <v>29</v>
      </c>
      <c r="D28766" s="69" t="s">
        <v>29567</v>
      </c>
      <c r="E28766" s="62"/>
      <c r="F28766" s="62" t="str">
        <f>IF(INDEX(I.Gas.P4Y2C1V1,29)="","",INDEX(I.Gas.P4Y2C1V1,29))</f>
        <v/>
      </c>
      <c r="G28766" s="62"/>
      <c r="H28766" s="46" t="str">
        <f>IF(OR(I.Developer.P4=FALSE,I.Facility.StandardPart&lt;&gt;"Part 2"),"Complete",IF(I.Product.P4GasToPowerStatus&lt;&gt;"Yes","Complete",IF(AND(I.Gas.P4Y2Count&gt;=29,F28766=""),"Incomplete","Complete")))</f>
        <v>Complete</v>
      </c>
      <c r="I28766" s="48" t="s">
        <v>3945</v>
      </c>
    </row>
    <row r="28767" spans="2:9" ht="15" customHeight="1" x14ac:dyDescent="0.25">
      <c r="B28767" s="55" t="s">
        <v>430</v>
      </c>
      <c r="C28767" s="46">
        <v>30</v>
      </c>
      <c r="D28767" s="69" t="s">
        <v>29567</v>
      </c>
      <c r="E28767" s="62"/>
      <c r="F28767" s="62" t="str">
        <f>IF(INDEX(I.Gas.P4Y2C1V1,30)="","",INDEX(I.Gas.P4Y2C1V1,30))</f>
        <v/>
      </c>
      <c r="G28767" s="62"/>
      <c r="H28767" s="46" t="str">
        <f>IF(OR(I.Developer.P4=FALSE,I.Facility.StandardPart&lt;&gt;"Part 2"),"Complete",IF(I.Product.P4GasToPowerStatus&lt;&gt;"Yes","Complete",IF(AND(I.Gas.P4Y2Count&gt;=30,F28767=""),"Incomplete","Complete")))</f>
        <v>Complete</v>
      </c>
      <c r="I28767" s="48" t="s">
        <v>3946</v>
      </c>
    </row>
    <row r="28768" spans="2:9" ht="15" customHeight="1" x14ac:dyDescent="0.25">
      <c r="B28768" s="55" t="s">
        <v>430</v>
      </c>
      <c r="C28768" s="46">
        <v>31</v>
      </c>
      <c r="D28768" s="69" t="s">
        <v>29567</v>
      </c>
      <c r="E28768" s="62"/>
      <c r="F28768" s="62" t="str">
        <f>IF(INDEX(I.Gas.P4Y2C1V1,31)="","",INDEX(I.Gas.P4Y2C1V1,31))</f>
        <v/>
      </c>
      <c r="G28768" s="62"/>
      <c r="H28768" s="46" t="str">
        <f>IF(OR(I.Developer.P4=FALSE,I.Facility.StandardPart&lt;&gt;"Part 2"),"Complete",IF(I.Product.P4GasToPowerStatus&lt;&gt;"Yes","Complete",IF(AND(I.Gas.P4Y2Count&gt;=31,F28768=""),"Incomplete","Complete")))</f>
        <v>Complete</v>
      </c>
      <c r="I28768" s="48" t="s">
        <v>3947</v>
      </c>
    </row>
    <row r="28769" spans="2:9" ht="15" customHeight="1" x14ac:dyDescent="0.25">
      <c r="B28769" s="55" t="s">
        <v>430</v>
      </c>
      <c r="C28769" s="46">
        <v>32</v>
      </c>
      <c r="D28769" s="69" t="s">
        <v>29567</v>
      </c>
      <c r="E28769" s="62"/>
      <c r="F28769" s="62" t="str">
        <f>IF(INDEX(I.Gas.P4Y2C1V1,32)="","",INDEX(I.Gas.P4Y2C1V1,32))</f>
        <v/>
      </c>
      <c r="G28769" s="62"/>
      <c r="H28769" s="46" t="str">
        <f>IF(OR(I.Developer.P4=FALSE,I.Facility.StandardPart&lt;&gt;"Part 2"),"Complete",IF(I.Product.P4GasToPowerStatus&lt;&gt;"Yes","Complete",IF(AND(I.Gas.P4Y2Count&gt;=32,F28769=""),"Incomplete","Complete")))</f>
        <v>Complete</v>
      </c>
      <c r="I28769" s="48" t="s">
        <v>3948</v>
      </c>
    </row>
    <row r="28770" spans="2:9" ht="15" customHeight="1" x14ac:dyDescent="0.25">
      <c r="B28770" s="55" t="s">
        <v>430</v>
      </c>
      <c r="C28770" s="46">
        <v>33</v>
      </c>
      <c r="D28770" s="69" t="s">
        <v>29567</v>
      </c>
      <c r="E28770" s="62"/>
      <c r="F28770" s="62" t="str">
        <f>IF(INDEX(I.Gas.P4Y2C1V1,33)="","",INDEX(I.Gas.P4Y2C1V1,33))</f>
        <v/>
      </c>
      <c r="G28770" s="62"/>
      <c r="H28770" s="46" t="str">
        <f>IF(OR(I.Developer.P4=FALSE,I.Facility.StandardPart&lt;&gt;"Part 2"),"Complete",IF(I.Product.P4GasToPowerStatus&lt;&gt;"Yes","Complete",IF(AND(I.Gas.P4Y2Count&gt;=33,F28770=""),"Incomplete","Complete")))</f>
        <v>Complete</v>
      </c>
      <c r="I28770" s="48" t="s">
        <v>3949</v>
      </c>
    </row>
    <row r="28771" spans="2:9" ht="15" customHeight="1" x14ac:dyDescent="0.25">
      <c r="B28771" s="55" t="s">
        <v>430</v>
      </c>
      <c r="C28771" s="46">
        <v>34</v>
      </c>
      <c r="D28771" s="69" t="s">
        <v>29567</v>
      </c>
      <c r="E28771" s="62"/>
      <c r="F28771" s="62" t="str">
        <f>IF(INDEX(I.Gas.P4Y2C1V1,34)="","",INDEX(I.Gas.P4Y2C1V1,34))</f>
        <v/>
      </c>
      <c r="G28771" s="62"/>
      <c r="H28771" s="46" t="str">
        <f>IF(OR(I.Developer.P4=FALSE,I.Facility.StandardPart&lt;&gt;"Part 2"),"Complete",IF(I.Product.P4GasToPowerStatus&lt;&gt;"Yes","Complete",IF(AND(I.Gas.P4Y2Count&gt;=34,F28771=""),"Incomplete","Complete")))</f>
        <v>Complete</v>
      </c>
      <c r="I28771" s="48" t="s">
        <v>3950</v>
      </c>
    </row>
    <row r="28772" spans="2:9" ht="15" customHeight="1" x14ac:dyDescent="0.25">
      <c r="B28772" s="55" t="s">
        <v>430</v>
      </c>
      <c r="C28772" s="46">
        <v>35</v>
      </c>
      <c r="D28772" s="69" t="s">
        <v>29567</v>
      </c>
      <c r="E28772" s="62"/>
      <c r="F28772" s="62" t="str">
        <f>IF(INDEX(I.Gas.P4Y2C1V1,35)="","",INDEX(I.Gas.P4Y2C1V1,35))</f>
        <v/>
      </c>
      <c r="G28772" s="62"/>
      <c r="H28772" s="46" t="str">
        <f>IF(OR(I.Developer.P4=FALSE,I.Facility.StandardPart&lt;&gt;"Part 2"),"Complete",IF(I.Product.P4GasToPowerStatus&lt;&gt;"Yes","Complete",IF(AND(I.Gas.P4Y2Count&gt;=35,F28772=""),"Incomplete","Complete")))</f>
        <v>Complete</v>
      </c>
      <c r="I28772" s="48" t="s">
        <v>3951</v>
      </c>
    </row>
    <row r="28773" spans="2:9" ht="15" customHeight="1" x14ac:dyDescent="0.25">
      <c r="B28773" s="55" t="s">
        <v>430</v>
      </c>
      <c r="C28773" s="46">
        <v>36</v>
      </c>
      <c r="D28773" s="69" t="s">
        <v>29567</v>
      </c>
      <c r="E28773" s="62"/>
      <c r="F28773" s="62" t="str">
        <f>IF(INDEX(I.Gas.P4Y2C1V1,36)="","",INDEX(I.Gas.P4Y2C1V1,36))</f>
        <v/>
      </c>
      <c r="G28773" s="62"/>
      <c r="H28773" s="46" t="str">
        <f>IF(OR(I.Developer.P4=FALSE,I.Facility.StandardPart&lt;&gt;"Part 2"),"Complete",IF(I.Product.P4GasToPowerStatus&lt;&gt;"Yes","Complete",IF(AND(I.Gas.P4Y2Count&gt;=36,F28773=""),"Incomplete","Complete")))</f>
        <v>Complete</v>
      </c>
      <c r="I28773" s="48" t="s">
        <v>3952</v>
      </c>
    </row>
    <row r="28774" spans="2:9" ht="15" customHeight="1" x14ac:dyDescent="0.25">
      <c r="B28774" s="55" t="s">
        <v>430</v>
      </c>
      <c r="C28774" s="46">
        <v>37</v>
      </c>
      <c r="D28774" s="69" t="s">
        <v>29567</v>
      </c>
      <c r="E28774" s="62"/>
      <c r="F28774" s="62" t="str">
        <f>IF(INDEX(I.Gas.P4Y2C1V1,37)="","",INDEX(I.Gas.P4Y2C1V1,37))</f>
        <v/>
      </c>
      <c r="G28774" s="62"/>
      <c r="H28774" s="46" t="str">
        <f>IF(OR(I.Developer.P4=FALSE,I.Facility.StandardPart&lt;&gt;"Part 2"),"Complete",IF(I.Product.P4GasToPowerStatus&lt;&gt;"Yes","Complete",IF(AND(I.Gas.P4Y2Count&gt;=37,F28774=""),"Incomplete","Complete")))</f>
        <v>Complete</v>
      </c>
      <c r="I28774" s="48" t="s">
        <v>3953</v>
      </c>
    </row>
    <row r="28775" spans="2:9" ht="15" customHeight="1" x14ac:dyDescent="0.25">
      <c r="B28775" s="55" t="s">
        <v>430</v>
      </c>
      <c r="C28775" s="46">
        <v>38</v>
      </c>
      <c r="D28775" s="69" t="s">
        <v>29567</v>
      </c>
      <c r="E28775" s="62"/>
      <c r="F28775" s="62" t="str">
        <f>IF(INDEX(I.Gas.P4Y2C1V1,38)="","",INDEX(I.Gas.P4Y2C1V1,38))</f>
        <v/>
      </c>
      <c r="G28775" s="62"/>
      <c r="H28775" s="46" t="str">
        <f>IF(OR(I.Developer.P4=FALSE,I.Facility.StandardPart&lt;&gt;"Part 2"),"Complete",IF(I.Product.P4GasToPowerStatus&lt;&gt;"Yes","Complete",IF(AND(I.Gas.P4Y2Count&gt;=38,F28775=""),"Incomplete","Complete")))</f>
        <v>Complete</v>
      </c>
      <c r="I28775" s="48" t="s">
        <v>3954</v>
      </c>
    </row>
    <row r="28776" spans="2:9" ht="15" customHeight="1" x14ac:dyDescent="0.25">
      <c r="B28776" s="55" t="s">
        <v>430</v>
      </c>
      <c r="C28776" s="46">
        <v>39</v>
      </c>
      <c r="D28776" s="69" t="s">
        <v>29567</v>
      </c>
      <c r="E28776" s="62"/>
      <c r="F28776" s="62" t="str">
        <f>IF(INDEX(I.Gas.P4Y2C1V1,39)="","",INDEX(I.Gas.P4Y2C1V1,39))</f>
        <v/>
      </c>
      <c r="G28776" s="62"/>
      <c r="H28776" s="46" t="str">
        <f>IF(OR(I.Developer.P4=FALSE,I.Facility.StandardPart&lt;&gt;"Part 2"),"Complete",IF(I.Product.P4GasToPowerStatus&lt;&gt;"Yes","Complete",IF(AND(I.Gas.P4Y2Count&gt;=39,F28776=""),"Incomplete","Complete")))</f>
        <v>Complete</v>
      </c>
      <c r="I28776" s="48" t="s">
        <v>3955</v>
      </c>
    </row>
    <row r="28777" spans="2:9" ht="15" customHeight="1" x14ac:dyDescent="0.25">
      <c r="B28777" s="55" t="s">
        <v>430</v>
      </c>
      <c r="C28777" s="46">
        <v>40</v>
      </c>
      <c r="D28777" s="69" t="s">
        <v>29567</v>
      </c>
      <c r="E28777" s="62"/>
      <c r="F28777" s="62" t="str">
        <f>IF(INDEX(I.Gas.P4Y2C1V1,40)="","",INDEX(I.Gas.P4Y2C1V1,40))</f>
        <v/>
      </c>
      <c r="G28777" s="62"/>
      <c r="H28777" s="46" t="str">
        <f>IF(OR(I.Developer.P4=FALSE,I.Facility.StandardPart&lt;&gt;"Part 2"),"Complete",IF(I.Product.P4GasToPowerStatus&lt;&gt;"Yes","Complete",IF(AND(I.Gas.P4Y2Count&gt;=40,F28777=""),"Incomplete","Complete")))</f>
        <v>Complete</v>
      </c>
      <c r="I28777" s="48" t="s">
        <v>3956</v>
      </c>
    </row>
    <row r="28778" spans="2:9" ht="15" customHeight="1" x14ac:dyDescent="0.25">
      <c r="B28778" s="55" t="s">
        <v>430</v>
      </c>
      <c r="C28778" s="46">
        <v>41</v>
      </c>
      <c r="D28778" s="69" t="s">
        <v>29567</v>
      </c>
      <c r="E28778" s="62"/>
      <c r="F28778" s="62" t="str">
        <f>IF(INDEX(I.Gas.P4Y2C1V1,41)="","",INDEX(I.Gas.P4Y2C1V1,41))</f>
        <v/>
      </c>
      <c r="G28778" s="62"/>
      <c r="H28778" s="46" t="str">
        <f>IF(OR(I.Developer.P4=FALSE,I.Facility.StandardPart&lt;&gt;"Part 2"),"Complete",IF(I.Product.P4GasToPowerStatus&lt;&gt;"Yes","Complete",IF(AND(I.Gas.P4Y2Count&gt;=41,F28778=""),"Incomplete","Complete")))</f>
        <v>Complete</v>
      </c>
      <c r="I28778" s="48" t="s">
        <v>3957</v>
      </c>
    </row>
    <row r="28779" spans="2:9" ht="15" customHeight="1" x14ac:dyDescent="0.25">
      <c r="B28779" s="55" t="s">
        <v>430</v>
      </c>
      <c r="C28779" s="46">
        <v>42</v>
      </c>
      <c r="D28779" s="69" t="s">
        <v>29567</v>
      </c>
      <c r="E28779" s="62"/>
      <c r="F28779" s="62" t="str">
        <f>IF(INDEX(I.Gas.P4Y2C1V1,42)="","",INDEX(I.Gas.P4Y2C1V1,42))</f>
        <v/>
      </c>
      <c r="G28779" s="62"/>
      <c r="H28779" s="46" t="str">
        <f>IF(OR(I.Developer.P4=FALSE,I.Facility.StandardPart&lt;&gt;"Part 2"),"Complete",IF(I.Product.P4GasToPowerStatus&lt;&gt;"Yes","Complete",IF(AND(I.Gas.P4Y2Count&gt;=42,F28779=""),"Incomplete","Complete")))</f>
        <v>Complete</v>
      </c>
      <c r="I28779" s="48" t="s">
        <v>3958</v>
      </c>
    </row>
    <row r="28780" spans="2:9" ht="15" customHeight="1" x14ac:dyDescent="0.25">
      <c r="B28780" s="55" t="s">
        <v>430</v>
      </c>
      <c r="C28780" s="46">
        <v>43</v>
      </c>
      <c r="D28780" s="69" t="s">
        <v>29567</v>
      </c>
      <c r="E28780" s="62"/>
      <c r="F28780" s="62" t="str">
        <f>IF(INDEX(I.Gas.P4Y2C1V1,43)="","",INDEX(I.Gas.P4Y2C1V1,43))</f>
        <v/>
      </c>
      <c r="G28780" s="62"/>
      <c r="H28780" s="46" t="str">
        <f>IF(OR(I.Developer.P4=FALSE,I.Facility.StandardPart&lt;&gt;"Part 2"),"Complete",IF(I.Product.P4GasToPowerStatus&lt;&gt;"Yes","Complete",IF(AND(I.Gas.P4Y2Count&gt;=43,F28780=""),"Incomplete","Complete")))</f>
        <v>Complete</v>
      </c>
      <c r="I28780" s="48" t="s">
        <v>3959</v>
      </c>
    </row>
    <row r="28781" spans="2:9" ht="15" customHeight="1" x14ac:dyDescent="0.25">
      <c r="B28781" s="55" t="s">
        <v>430</v>
      </c>
      <c r="C28781" s="46">
        <v>44</v>
      </c>
      <c r="D28781" s="69" t="s">
        <v>29567</v>
      </c>
      <c r="E28781" s="62"/>
      <c r="F28781" s="62" t="str">
        <f>IF(INDEX(I.Gas.P4Y2C1V1,44)="","",INDEX(I.Gas.P4Y2C1V1,44))</f>
        <v/>
      </c>
      <c r="G28781" s="62"/>
      <c r="H28781" s="46" t="str">
        <f>IF(OR(I.Developer.P4=FALSE,I.Facility.StandardPart&lt;&gt;"Part 2"),"Complete",IF(I.Product.P4GasToPowerStatus&lt;&gt;"Yes","Complete",IF(AND(I.Gas.P4Y2Count&gt;=44,F28781=""),"Incomplete","Complete")))</f>
        <v>Complete</v>
      </c>
      <c r="I28781" s="48" t="s">
        <v>3960</v>
      </c>
    </row>
    <row r="28782" spans="2:9" ht="15" customHeight="1" x14ac:dyDescent="0.25">
      <c r="B28782" s="55" t="s">
        <v>430</v>
      </c>
      <c r="C28782" s="46">
        <v>45</v>
      </c>
      <c r="D28782" s="69" t="s">
        <v>29567</v>
      </c>
      <c r="E28782" s="62"/>
      <c r="F28782" s="62" t="str">
        <f>IF(INDEX(I.Gas.P4Y2C1V1,45)="","",INDEX(I.Gas.P4Y2C1V1,45))</f>
        <v/>
      </c>
      <c r="G28782" s="62"/>
      <c r="H28782" s="46" t="str">
        <f>IF(OR(I.Developer.P4=FALSE,I.Facility.StandardPart&lt;&gt;"Part 2"),"Complete",IF(I.Product.P4GasToPowerStatus&lt;&gt;"Yes","Complete",IF(AND(I.Gas.P4Y2Count&gt;=45,F28782=""),"Incomplete","Complete")))</f>
        <v>Complete</v>
      </c>
      <c r="I28782" s="48" t="s">
        <v>3961</v>
      </c>
    </row>
    <row r="28783" spans="2:9" ht="15" customHeight="1" x14ac:dyDescent="0.25">
      <c r="B28783" s="55" t="s">
        <v>430</v>
      </c>
      <c r="C28783" s="46">
        <v>46</v>
      </c>
      <c r="D28783" s="69" t="s">
        <v>29567</v>
      </c>
      <c r="E28783" s="62"/>
      <c r="F28783" s="62" t="str">
        <f>IF(INDEX(I.Gas.P4Y2C1V1,46)="","",INDEX(I.Gas.P4Y2C1V1,46))</f>
        <v/>
      </c>
      <c r="G28783" s="62"/>
      <c r="H28783" s="46" t="str">
        <f>IF(OR(I.Developer.P4=FALSE,I.Facility.StandardPart&lt;&gt;"Part 2"),"Complete",IF(I.Product.P4GasToPowerStatus&lt;&gt;"Yes","Complete",IF(AND(I.Gas.P4Y2Count&gt;=46,F28783=""),"Incomplete","Complete")))</f>
        <v>Complete</v>
      </c>
      <c r="I28783" s="48" t="s">
        <v>3962</v>
      </c>
    </row>
    <row r="28784" spans="2:9" ht="15" customHeight="1" x14ac:dyDescent="0.25">
      <c r="B28784" s="55" t="s">
        <v>430</v>
      </c>
      <c r="C28784" s="46">
        <v>47</v>
      </c>
      <c r="D28784" s="69" t="s">
        <v>29567</v>
      </c>
      <c r="E28784" s="62"/>
      <c r="F28784" s="62" t="str">
        <f>IF(INDEX(I.Gas.P4Y2C1V1,47)="","",INDEX(I.Gas.P4Y2C1V1,47))</f>
        <v/>
      </c>
      <c r="G28784" s="62"/>
      <c r="H28784" s="46" t="str">
        <f>IF(OR(I.Developer.P4=FALSE,I.Facility.StandardPart&lt;&gt;"Part 2"),"Complete",IF(I.Product.P4GasToPowerStatus&lt;&gt;"Yes","Complete",IF(AND(I.Gas.P4Y2Count&gt;=47,F28784=""),"Incomplete","Complete")))</f>
        <v>Complete</v>
      </c>
      <c r="I28784" s="48" t="s">
        <v>3963</v>
      </c>
    </row>
    <row r="28785" spans="2:9" ht="15" customHeight="1" x14ac:dyDescent="0.25">
      <c r="B28785" s="55" t="s">
        <v>430</v>
      </c>
      <c r="C28785" s="46">
        <v>48</v>
      </c>
      <c r="D28785" s="69" t="s">
        <v>29567</v>
      </c>
      <c r="E28785" s="62"/>
      <c r="F28785" s="62" t="str">
        <f>IF(INDEX(I.Gas.P4Y2C1V1,48)="","",INDEX(I.Gas.P4Y2C1V1,48))</f>
        <v/>
      </c>
      <c r="G28785" s="62"/>
      <c r="H28785" s="46" t="str">
        <f>IF(OR(I.Developer.P4=FALSE,I.Facility.StandardPart&lt;&gt;"Part 2"),"Complete",IF(I.Product.P4GasToPowerStatus&lt;&gt;"Yes","Complete",IF(AND(I.Gas.P4Y2Count&gt;=48,F28785=""),"Incomplete","Complete")))</f>
        <v>Complete</v>
      </c>
      <c r="I28785" s="48" t="s">
        <v>3964</v>
      </c>
    </row>
    <row r="28786" spans="2:9" ht="15" customHeight="1" x14ac:dyDescent="0.25">
      <c r="B28786" s="55" t="s">
        <v>430</v>
      </c>
      <c r="C28786" s="46">
        <v>49</v>
      </c>
      <c r="D28786" s="69" t="s">
        <v>29567</v>
      </c>
      <c r="E28786" s="62"/>
      <c r="F28786" s="62" t="str">
        <f>IF(INDEX(I.Gas.P4Y2C1V1,49)="","",INDEX(I.Gas.P4Y2C1V1,49))</f>
        <v/>
      </c>
      <c r="G28786" s="62"/>
      <c r="H28786" s="46" t="str">
        <f>IF(OR(I.Developer.P4=FALSE,I.Facility.StandardPart&lt;&gt;"Part 2"),"Complete",IF(I.Product.P4GasToPowerStatus&lt;&gt;"Yes","Complete",IF(AND(I.Gas.P4Y2Count&gt;=49,F28786=""),"Incomplete","Complete")))</f>
        <v>Complete</v>
      </c>
      <c r="I28786" s="48" t="s">
        <v>3965</v>
      </c>
    </row>
    <row r="28787" spans="2:9" ht="15" customHeight="1" x14ac:dyDescent="0.25">
      <c r="B28787" s="56" t="s">
        <v>430</v>
      </c>
      <c r="C28787" s="57">
        <v>50</v>
      </c>
      <c r="D28787" s="71" t="s">
        <v>29567</v>
      </c>
      <c r="E28787" s="61"/>
      <c r="F28787" s="61" t="str">
        <f>IF(INDEX(I.Gas.P4Y2C1V1,50)="","",INDEX(I.Gas.P4Y2C1V1,50))</f>
        <v/>
      </c>
      <c r="G28787" s="61"/>
      <c r="H28787" s="57" t="str">
        <f>IF(OR(I.Developer.P4=FALSE,I.Facility.StandardPart&lt;&gt;"Part 2"),"Complete",IF(I.Product.P4GasToPowerStatus&lt;&gt;"Yes","Complete",IF(AND(I.Gas.P4Y2Count&gt;=50,F28787=""),"Incomplete","Complete")))</f>
        <v>Complete</v>
      </c>
      <c r="I28787" s="49" t="s">
        <v>3966</v>
      </c>
    </row>
    <row r="28788" spans="2:9" ht="15" customHeight="1" x14ac:dyDescent="0.25">
      <c r="B28788" s="55" t="s">
        <v>431</v>
      </c>
      <c r="C28788" s="46">
        <v>1</v>
      </c>
      <c r="D28788" s="69" t="s">
        <v>29568</v>
      </c>
      <c r="E28788" s="62"/>
      <c r="F28788" s="62" t="str">
        <f>IF(INDEX(I.Gas.P4Y2C1E1,1)="","",INDEX(I.Gas.P4Y2C1E1,1))</f>
        <v/>
      </c>
      <c r="G28788" s="62"/>
      <c r="H28788" s="46" t="str">
        <f>IF(OR(I.Developer.P4=FALSE,I.Facility.StandardPart="Part 2"),"Complete",IF(I.Product.P4GasToPowerStatus&lt;&gt;"Yes","Complete",IF(AND(I.Gas.P4Y2Count&gt;=1,F28788=""),"Incomplete","Complete")))</f>
        <v>Complete</v>
      </c>
      <c r="I28788" s="48" t="s">
        <v>3967</v>
      </c>
    </row>
    <row r="28789" spans="2:9" ht="15" customHeight="1" x14ac:dyDescent="0.25">
      <c r="B28789" s="55" t="s">
        <v>431</v>
      </c>
      <c r="C28789" s="46">
        <v>2</v>
      </c>
      <c r="D28789" s="69" t="s">
        <v>29568</v>
      </c>
      <c r="E28789" s="62"/>
      <c r="F28789" s="62" t="str">
        <f>IF(INDEX(I.Gas.P4Y2C1E1,2)="","",INDEX(I.Gas.P4Y2C1E1,2))</f>
        <v/>
      </c>
      <c r="G28789" s="62"/>
      <c r="H28789" s="46" t="str">
        <f>IF(OR(I.Developer.P4=FALSE,I.Facility.StandardPart="Part 2"),"Complete",IF(I.Product.P4GasToPowerStatus&lt;&gt;"Yes","Complete",IF(AND(I.Gas.P4Y2Count&gt;=2,F28789=""),"Incomplete","Complete")))</f>
        <v>Complete</v>
      </c>
      <c r="I28789" s="48" t="s">
        <v>3968</v>
      </c>
    </row>
    <row r="28790" spans="2:9" ht="15" customHeight="1" x14ac:dyDescent="0.25">
      <c r="B28790" s="55" t="s">
        <v>431</v>
      </c>
      <c r="C28790" s="46">
        <v>3</v>
      </c>
      <c r="D28790" s="69" t="s">
        <v>29568</v>
      </c>
      <c r="E28790" s="62"/>
      <c r="F28790" s="62" t="str">
        <f>IF(INDEX(I.Gas.P4Y2C1E1,3)="","",INDEX(I.Gas.P4Y2C1E1,3))</f>
        <v/>
      </c>
      <c r="G28790" s="62"/>
      <c r="H28790" s="46" t="str">
        <f>IF(OR(I.Developer.P4=FALSE,I.Facility.StandardPart="Part 2"),"Complete",IF(I.Product.P4GasToPowerStatus&lt;&gt;"Yes","Complete",IF(AND(I.Gas.P4Y2Count&gt;=3,F28790=""),"Incomplete","Complete")))</f>
        <v>Complete</v>
      </c>
      <c r="I28790" s="48" t="s">
        <v>3969</v>
      </c>
    </row>
    <row r="28791" spans="2:9" ht="15" customHeight="1" x14ac:dyDescent="0.25">
      <c r="B28791" s="55" t="s">
        <v>431</v>
      </c>
      <c r="C28791" s="46">
        <v>4</v>
      </c>
      <c r="D28791" s="69" t="s">
        <v>29568</v>
      </c>
      <c r="E28791" s="62"/>
      <c r="F28791" s="62" t="str">
        <f>IF(INDEX(I.Gas.P4Y2C1E1,4)="","",INDEX(I.Gas.P4Y2C1E1,4))</f>
        <v/>
      </c>
      <c r="G28791" s="62"/>
      <c r="H28791" s="46" t="str">
        <f>IF(OR(I.Developer.P4=FALSE,I.Facility.StandardPart="Part 2"),"Complete",IF(I.Product.P4GasToPowerStatus&lt;&gt;"Yes","Complete",IF(AND(I.Gas.P4Y2Count&gt;=4,F28791=""),"Incomplete","Complete")))</f>
        <v>Complete</v>
      </c>
      <c r="I28791" s="48" t="s">
        <v>3970</v>
      </c>
    </row>
    <row r="28792" spans="2:9" ht="15" customHeight="1" x14ac:dyDescent="0.25">
      <c r="B28792" s="55" t="s">
        <v>431</v>
      </c>
      <c r="C28792" s="46">
        <v>5</v>
      </c>
      <c r="D28792" s="69" t="s">
        <v>29568</v>
      </c>
      <c r="E28792" s="62"/>
      <c r="F28792" s="62" t="str">
        <f>IF(INDEX(I.Gas.P4Y2C1E1,5)="","",INDEX(I.Gas.P4Y2C1E1,5))</f>
        <v/>
      </c>
      <c r="G28792" s="62"/>
      <c r="H28792" s="46" t="str">
        <f>IF(OR(I.Developer.P4=FALSE,I.Facility.StandardPart="Part 2"),"Complete",IF(I.Product.P4GasToPowerStatus&lt;&gt;"Yes","Complete",IF(AND(I.Gas.P4Y2Count&gt;=5,F28792=""),"Incomplete","Complete")))</f>
        <v>Complete</v>
      </c>
      <c r="I28792" s="48" t="s">
        <v>3971</v>
      </c>
    </row>
    <row r="28793" spans="2:9" ht="15" customHeight="1" x14ac:dyDescent="0.25">
      <c r="B28793" s="55" t="s">
        <v>431</v>
      </c>
      <c r="C28793" s="46">
        <v>6</v>
      </c>
      <c r="D28793" s="69" t="s">
        <v>29568</v>
      </c>
      <c r="E28793" s="62"/>
      <c r="F28793" s="62" t="str">
        <f>IF(INDEX(I.Gas.P4Y2C1E1,6)="","",INDEX(I.Gas.P4Y2C1E1,6))</f>
        <v/>
      </c>
      <c r="G28793" s="62"/>
      <c r="H28793" s="46" t="str">
        <f>IF(OR(I.Developer.P4=FALSE,I.Facility.StandardPart="Part 2"),"Complete",IF(I.Product.P4GasToPowerStatus&lt;&gt;"Yes","Complete",IF(AND(I.Gas.P4Y2Count&gt;=6,F28793=""),"Incomplete","Complete")))</f>
        <v>Complete</v>
      </c>
      <c r="I28793" s="48" t="s">
        <v>3972</v>
      </c>
    </row>
    <row r="28794" spans="2:9" ht="15" customHeight="1" x14ac:dyDescent="0.25">
      <c r="B28794" s="55" t="s">
        <v>431</v>
      </c>
      <c r="C28794" s="46">
        <v>7</v>
      </c>
      <c r="D28794" s="69" t="s">
        <v>29568</v>
      </c>
      <c r="E28794" s="62"/>
      <c r="F28794" s="62" t="str">
        <f>IF(INDEX(I.Gas.P4Y2C1E1,7)="","",INDEX(I.Gas.P4Y2C1E1,7))</f>
        <v/>
      </c>
      <c r="G28794" s="62"/>
      <c r="H28794" s="46" t="str">
        <f>IF(OR(I.Developer.P4=FALSE,I.Facility.StandardPart="Part 2"),"Complete",IF(I.Product.P4GasToPowerStatus&lt;&gt;"Yes","Complete",IF(AND(I.Gas.P4Y2Count&gt;=7,F28794=""),"Incomplete","Complete")))</f>
        <v>Complete</v>
      </c>
      <c r="I28794" s="48" t="s">
        <v>3973</v>
      </c>
    </row>
    <row r="28795" spans="2:9" ht="15" customHeight="1" x14ac:dyDescent="0.25">
      <c r="B28795" s="55" t="s">
        <v>431</v>
      </c>
      <c r="C28795" s="46">
        <v>8</v>
      </c>
      <c r="D28795" s="69" t="s">
        <v>29568</v>
      </c>
      <c r="E28795" s="62"/>
      <c r="F28795" s="62" t="str">
        <f>IF(INDEX(I.Gas.P4Y2C1E1,8)="","",INDEX(I.Gas.P4Y2C1E1,8))</f>
        <v/>
      </c>
      <c r="G28795" s="62"/>
      <c r="H28795" s="46" t="str">
        <f>IF(OR(I.Developer.P4=FALSE,I.Facility.StandardPart="Part 2"),"Complete",IF(I.Product.P4GasToPowerStatus&lt;&gt;"Yes","Complete",IF(AND(I.Gas.P4Y2Count&gt;=8,F28795=""),"Incomplete","Complete")))</f>
        <v>Complete</v>
      </c>
      <c r="I28795" s="48" t="s">
        <v>3974</v>
      </c>
    </row>
    <row r="28796" spans="2:9" ht="15" customHeight="1" x14ac:dyDescent="0.25">
      <c r="B28796" s="55" t="s">
        <v>431</v>
      </c>
      <c r="C28796" s="46">
        <v>9</v>
      </c>
      <c r="D28796" s="69" t="s">
        <v>29568</v>
      </c>
      <c r="E28796" s="62"/>
      <c r="F28796" s="62" t="str">
        <f>IF(INDEX(I.Gas.P4Y2C1E1,9)="","",INDEX(I.Gas.P4Y2C1E1,9))</f>
        <v/>
      </c>
      <c r="G28796" s="62"/>
      <c r="H28796" s="46" t="str">
        <f>IF(OR(I.Developer.P4=FALSE,I.Facility.StandardPart="Part 2"),"Complete",IF(I.Product.P4GasToPowerStatus&lt;&gt;"Yes","Complete",IF(AND(I.Gas.P4Y2Count&gt;=9,F28796=""),"Incomplete","Complete")))</f>
        <v>Complete</v>
      </c>
      <c r="I28796" s="48" t="s">
        <v>3975</v>
      </c>
    </row>
    <row r="28797" spans="2:9" ht="15" customHeight="1" x14ac:dyDescent="0.25">
      <c r="B28797" s="55" t="s">
        <v>431</v>
      </c>
      <c r="C28797" s="46">
        <v>10</v>
      </c>
      <c r="D28797" s="69" t="s">
        <v>29568</v>
      </c>
      <c r="E28797" s="62"/>
      <c r="F28797" s="62" t="str">
        <f>IF(INDEX(I.Gas.P4Y2C1E1,10)="","",INDEX(I.Gas.P4Y2C1E1,10))</f>
        <v/>
      </c>
      <c r="G28797" s="62"/>
      <c r="H28797" s="46" t="str">
        <f>IF(OR(I.Developer.P4=FALSE,I.Facility.StandardPart="Part 2"),"Complete",IF(I.Product.P4GasToPowerStatus&lt;&gt;"Yes","Complete",IF(AND(I.Gas.P4Y2Count&gt;=10,F28797=""),"Incomplete","Complete")))</f>
        <v>Complete</v>
      </c>
      <c r="I28797" s="48" t="s">
        <v>3976</v>
      </c>
    </row>
    <row r="28798" spans="2:9" ht="15" customHeight="1" x14ac:dyDescent="0.25">
      <c r="B28798" s="55" t="s">
        <v>431</v>
      </c>
      <c r="C28798" s="46">
        <v>11</v>
      </c>
      <c r="D28798" s="69" t="s">
        <v>29568</v>
      </c>
      <c r="E28798" s="62"/>
      <c r="F28798" s="62" t="str">
        <f>IF(INDEX(I.Gas.P4Y2C1E1,11)="","",INDEX(I.Gas.P4Y2C1E1,11))</f>
        <v/>
      </c>
      <c r="G28798" s="62"/>
      <c r="H28798" s="46" t="str">
        <f>IF(OR(I.Developer.P4=FALSE,I.Facility.StandardPart="Part 2"),"Complete",IF(I.Product.P4GasToPowerStatus&lt;&gt;"Yes","Complete",IF(AND(I.Gas.P4Y2Count&gt;=11,F28798=""),"Incomplete","Complete")))</f>
        <v>Complete</v>
      </c>
      <c r="I28798" s="48" t="s">
        <v>3977</v>
      </c>
    </row>
    <row r="28799" spans="2:9" ht="15" customHeight="1" x14ac:dyDescent="0.25">
      <c r="B28799" s="55" t="s">
        <v>431</v>
      </c>
      <c r="C28799" s="46">
        <v>12</v>
      </c>
      <c r="D28799" s="69" t="s">
        <v>29568</v>
      </c>
      <c r="E28799" s="62"/>
      <c r="F28799" s="62" t="str">
        <f>IF(INDEX(I.Gas.P4Y2C1E1,12)="","",INDEX(I.Gas.P4Y2C1E1,12))</f>
        <v/>
      </c>
      <c r="G28799" s="62"/>
      <c r="H28799" s="46" t="str">
        <f>IF(OR(I.Developer.P4=FALSE,I.Facility.StandardPart="Part 2"),"Complete",IF(I.Product.P4GasToPowerStatus&lt;&gt;"Yes","Complete",IF(AND(I.Gas.P4Y2Count&gt;=12,F28799=""),"Incomplete","Complete")))</f>
        <v>Complete</v>
      </c>
      <c r="I28799" s="48" t="s">
        <v>3978</v>
      </c>
    </row>
    <row r="28800" spans="2:9" ht="15" customHeight="1" x14ac:dyDescent="0.25">
      <c r="B28800" s="55" t="s">
        <v>431</v>
      </c>
      <c r="C28800" s="46">
        <v>13</v>
      </c>
      <c r="D28800" s="69" t="s">
        <v>29568</v>
      </c>
      <c r="E28800" s="62"/>
      <c r="F28800" s="62" t="str">
        <f>IF(INDEX(I.Gas.P4Y2C1E1,13)="","",INDEX(I.Gas.P4Y2C1E1,13))</f>
        <v/>
      </c>
      <c r="G28800" s="62"/>
      <c r="H28800" s="46" t="str">
        <f>IF(OR(I.Developer.P4=FALSE,I.Facility.StandardPart="Part 2"),"Complete",IF(I.Product.P4GasToPowerStatus&lt;&gt;"Yes","Complete",IF(AND(I.Gas.P4Y2Count&gt;=13,F28800=""),"Incomplete","Complete")))</f>
        <v>Complete</v>
      </c>
      <c r="I28800" s="48" t="s">
        <v>3979</v>
      </c>
    </row>
    <row r="28801" spans="2:9" ht="15" customHeight="1" x14ac:dyDescent="0.25">
      <c r="B28801" s="55" t="s">
        <v>431</v>
      </c>
      <c r="C28801" s="46">
        <v>14</v>
      </c>
      <c r="D28801" s="69" t="s">
        <v>29568</v>
      </c>
      <c r="E28801" s="62"/>
      <c r="F28801" s="62" t="str">
        <f>IF(INDEX(I.Gas.P4Y2C1E1,14)="","",INDEX(I.Gas.P4Y2C1E1,14))</f>
        <v/>
      </c>
      <c r="G28801" s="62"/>
      <c r="H28801" s="46" t="str">
        <f>IF(OR(I.Developer.P4=FALSE,I.Facility.StandardPart="Part 2"),"Complete",IF(I.Product.P4GasToPowerStatus&lt;&gt;"Yes","Complete",IF(AND(I.Gas.P4Y2Count&gt;=14,F28801=""),"Incomplete","Complete")))</f>
        <v>Complete</v>
      </c>
      <c r="I28801" s="48" t="s">
        <v>3980</v>
      </c>
    </row>
    <row r="28802" spans="2:9" ht="15" customHeight="1" x14ac:dyDescent="0.25">
      <c r="B28802" s="55" t="s">
        <v>431</v>
      </c>
      <c r="C28802" s="46">
        <v>15</v>
      </c>
      <c r="D28802" s="69" t="s">
        <v>29568</v>
      </c>
      <c r="E28802" s="62"/>
      <c r="F28802" s="62" t="str">
        <f>IF(INDEX(I.Gas.P4Y2C1E1,15)="","",INDEX(I.Gas.P4Y2C1E1,15))</f>
        <v/>
      </c>
      <c r="G28802" s="62"/>
      <c r="H28802" s="46" t="str">
        <f>IF(OR(I.Developer.P4=FALSE,I.Facility.StandardPart="Part 2"),"Complete",IF(I.Product.P4GasToPowerStatus&lt;&gt;"Yes","Complete",IF(AND(I.Gas.P4Y2Count&gt;=15,F28802=""),"Incomplete","Complete")))</f>
        <v>Complete</v>
      </c>
      <c r="I28802" s="48" t="s">
        <v>3981</v>
      </c>
    </row>
    <row r="28803" spans="2:9" ht="15" customHeight="1" x14ac:dyDescent="0.25">
      <c r="B28803" s="55" t="s">
        <v>431</v>
      </c>
      <c r="C28803" s="46">
        <v>16</v>
      </c>
      <c r="D28803" s="69" t="s">
        <v>29568</v>
      </c>
      <c r="E28803" s="62"/>
      <c r="F28803" s="62" t="str">
        <f>IF(INDEX(I.Gas.P4Y2C1E1,16)="","",INDEX(I.Gas.P4Y2C1E1,16))</f>
        <v/>
      </c>
      <c r="G28803" s="62"/>
      <c r="H28803" s="46" t="str">
        <f>IF(OR(I.Developer.P4=FALSE,I.Facility.StandardPart="Part 2"),"Complete",IF(I.Product.P4GasToPowerStatus&lt;&gt;"Yes","Complete",IF(AND(I.Gas.P4Y2Count&gt;=16,F28803=""),"Incomplete","Complete")))</f>
        <v>Complete</v>
      </c>
      <c r="I28803" s="48" t="s">
        <v>3982</v>
      </c>
    </row>
    <row r="28804" spans="2:9" ht="15" customHeight="1" x14ac:dyDescent="0.25">
      <c r="B28804" s="55" t="s">
        <v>431</v>
      </c>
      <c r="C28804" s="46">
        <v>17</v>
      </c>
      <c r="D28804" s="69" t="s">
        <v>29568</v>
      </c>
      <c r="E28804" s="62"/>
      <c r="F28804" s="62" t="str">
        <f>IF(INDEX(I.Gas.P4Y2C1E1,17)="","",INDEX(I.Gas.P4Y2C1E1,17))</f>
        <v/>
      </c>
      <c r="G28804" s="62"/>
      <c r="H28804" s="46" t="str">
        <f>IF(OR(I.Developer.P4=FALSE,I.Facility.StandardPart="Part 2"),"Complete",IF(I.Product.P4GasToPowerStatus&lt;&gt;"Yes","Complete",IF(AND(I.Gas.P4Y2Count&gt;=17,F28804=""),"Incomplete","Complete")))</f>
        <v>Complete</v>
      </c>
      <c r="I28804" s="48" t="s">
        <v>3983</v>
      </c>
    </row>
    <row r="28805" spans="2:9" ht="15" customHeight="1" x14ac:dyDescent="0.25">
      <c r="B28805" s="55" t="s">
        <v>431</v>
      </c>
      <c r="C28805" s="46">
        <v>18</v>
      </c>
      <c r="D28805" s="69" t="s">
        <v>29568</v>
      </c>
      <c r="E28805" s="62"/>
      <c r="F28805" s="62" t="str">
        <f>IF(INDEX(I.Gas.P4Y2C1E1,18)="","",INDEX(I.Gas.P4Y2C1E1,18))</f>
        <v/>
      </c>
      <c r="G28805" s="62"/>
      <c r="H28805" s="46" t="str">
        <f>IF(OR(I.Developer.P4=FALSE,I.Facility.StandardPart="Part 2"),"Complete",IF(I.Product.P4GasToPowerStatus&lt;&gt;"Yes","Complete",IF(AND(I.Gas.P4Y2Count&gt;=18,F28805=""),"Incomplete","Complete")))</f>
        <v>Complete</v>
      </c>
      <c r="I28805" s="48" t="s">
        <v>3984</v>
      </c>
    </row>
    <row r="28806" spans="2:9" ht="15" customHeight="1" x14ac:dyDescent="0.25">
      <c r="B28806" s="55" t="s">
        <v>431</v>
      </c>
      <c r="C28806" s="46">
        <v>19</v>
      </c>
      <c r="D28806" s="69" t="s">
        <v>29568</v>
      </c>
      <c r="E28806" s="62"/>
      <c r="F28806" s="62" t="str">
        <f>IF(INDEX(I.Gas.P4Y2C1E1,19)="","",INDEX(I.Gas.P4Y2C1E1,19))</f>
        <v/>
      </c>
      <c r="G28806" s="62"/>
      <c r="H28806" s="46" t="str">
        <f>IF(OR(I.Developer.P4=FALSE,I.Facility.StandardPart="Part 2"),"Complete",IF(I.Product.P4GasToPowerStatus&lt;&gt;"Yes","Complete",IF(AND(I.Gas.P4Y2Count&gt;=19,F28806=""),"Incomplete","Complete")))</f>
        <v>Complete</v>
      </c>
      <c r="I28806" s="48" t="s">
        <v>3985</v>
      </c>
    </row>
    <row r="28807" spans="2:9" ht="15" customHeight="1" x14ac:dyDescent="0.25">
      <c r="B28807" s="55" t="s">
        <v>431</v>
      </c>
      <c r="C28807" s="46">
        <v>20</v>
      </c>
      <c r="D28807" s="69" t="s">
        <v>29568</v>
      </c>
      <c r="E28807" s="62"/>
      <c r="F28807" s="62" t="str">
        <f>IF(INDEX(I.Gas.P4Y2C1E1,20)="","",INDEX(I.Gas.P4Y2C1E1,20))</f>
        <v/>
      </c>
      <c r="G28807" s="62"/>
      <c r="H28807" s="46" t="str">
        <f>IF(OR(I.Developer.P4=FALSE,I.Facility.StandardPart="Part 2"),"Complete",IF(I.Product.P4GasToPowerStatus&lt;&gt;"Yes","Complete",IF(AND(I.Gas.P4Y2Count&gt;=20,F28807=""),"Incomplete","Complete")))</f>
        <v>Complete</v>
      </c>
      <c r="I28807" s="48" t="s">
        <v>3986</v>
      </c>
    </row>
    <row r="28808" spans="2:9" ht="15" customHeight="1" x14ac:dyDescent="0.25">
      <c r="B28808" s="55" t="s">
        <v>431</v>
      </c>
      <c r="C28808" s="46">
        <v>21</v>
      </c>
      <c r="D28808" s="69" t="s">
        <v>29568</v>
      </c>
      <c r="E28808" s="62"/>
      <c r="F28808" s="62" t="str">
        <f>IF(INDEX(I.Gas.P4Y2C1E1,21)="","",INDEX(I.Gas.P4Y2C1E1,21))</f>
        <v/>
      </c>
      <c r="G28808" s="62"/>
      <c r="H28808" s="46" t="str">
        <f>IF(OR(I.Developer.P4=FALSE,I.Facility.StandardPart="Part 2"),"Complete",IF(I.Product.P4GasToPowerStatus&lt;&gt;"Yes","Complete",IF(AND(I.Gas.P4Y2Count&gt;=21,F28808=""),"Incomplete","Complete")))</f>
        <v>Complete</v>
      </c>
      <c r="I28808" s="48" t="s">
        <v>3987</v>
      </c>
    </row>
    <row r="28809" spans="2:9" ht="15" customHeight="1" x14ac:dyDescent="0.25">
      <c r="B28809" s="55" t="s">
        <v>431</v>
      </c>
      <c r="C28809" s="46">
        <v>22</v>
      </c>
      <c r="D28809" s="69" t="s">
        <v>29568</v>
      </c>
      <c r="E28809" s="62"/>
      <c r="F28809" s="62" t="str">
        <f>IF(INDEX(I.Gas.P4Y2C1E1,22)="","",INDEX(I.Gas.P4Y2C1E1,22))</f>
        <v/>
      </c>
      <c r="G28809" s="62"/>
      <c r="H28809" s="46" t="str">
        <f>IF(OR(I.Developer.P4=FALSE,I.Facility.StandardPart="Part 2"),"Complete",IF(I.Product.P4GasToPowerStatus&lt;&gt;"Yes","Complete",IF(AND(I.Gas.P4Y2Count&gt;=22,F28809=""),"Incomplete","Complete")))</f>
        <v>Complete</v>
      </c>
      <c r="I28809" s="48" t="s">
        <v>3988</v>
      </c>
    </row>
    <row r="28810" spans="2:9" ht="15" customHeight="1" x14ac:dyDescent="0.25">
      <c r="B28810" s="55" t="s">
        <v>431</v>
      </c>
      <c r="C28810" s="46">
        <v>23</v>
      </c>
      <c r="D28810" s="69" t="s">
        <v>29568</v>
      </c>
      <c r="E28810" s="62"/>
      <c r="F28810" s="62" t="str">
        <f>IF(INDEX(I.Gas.P4Y2C1E1,23)="","",INDEX(I.Gas.P4Y2C1E1,23))</f>
        <v/>
      </c>
      <c r="G28810" s="62"/>
      <c r="H28810" s="46" t="str">
        <f>IF(OR(I.Developer.P4=FALSE,I.Facility.StandardPart="Part 2"),"Complete",IF(I.Product.P4GasToPowerStatus&lt;&gt;"Yes","Complete",IF(AND(I.Gas.P4Y2Count&gt;=23,F28810=""),"Incomplete","Complete")))</f>
        <v>Complete</v>
      </c>
      <c r="I28810" s="48" t="s">
        <v>3989</v>
      </c>
    </row>
    <row r="28811" spans="2:9" ht="15" customHeight="1" x14ac:dyDescent="0.25">
      <c r="B28811" s="55" t="s">
        <v>431</v>
      </c>
      <c r="C28811" s="46">
        <v>24</v>
      </c>
      <c r="D28811" s="69" t="s">
        <v>29568</v>
      </c>
      <c r="E28811" s="62"/>
      <c r="F28811" s="62" t="str">
        <f>IF(INDEX(I.Gas.P4Y2C1E1,24)="","",INDEX(I.Gas.P4Y2C1E1,24))</f>
        <v/>
      </c>
      <c r="G28811" s="62"/>
      <c r="H28811" s="46" t="str">
        <f>IF(OR(I.Developer.P4=FALSE,I.Facility.StandardPart="Part 2"),"Complete",IF(I.Product.P4GasToPowerStatus&lt;&gt;"Yes","Complete",IF(AND(I.Gas.P4Y2Count&gt;=24,F28811=""),"Incomplete","Complete")))</f>
        <v>Complete</v>
      </c>
      <c r="I28811" s="48" t="s">
        <v>3990</v>
      </c>
    </row>
    <row r="28812" spans="2:9" ht="15" customHeight="1" x14ac:dyDescent="0.25">
      <c r="B28812" s="55" t="s">
        <v>431</v>
      </c>
      <c r="C28812" s="46">
        <v>25</v>
      </c>
      <c r="D28812" s="69" t="s">
        <v>29568</v>
      </c>
      <c r="E28812" s="62"/>
      <c r="F28812" s="62" t="str">
        <f>IF(INDEX(I.Gas.P4Y2C1E1,25)="","",INDEX(I.Gas.P4Y2C1E1,25))</f>
        <v/>
      </c>
      <c r="G28812" s="62"/>
      <c r="H28812" s="46" t="str">
        <f>IF(OR(I.Developer.P4=FALSE,I.Facility.StandardPart="Part 2"),"Complete",IF(I.Product.P4GasToPowerStatus&lt;&gt;"Yes","Complete",IF(AND(I.Gas.P4Y2Count&gt;=25,F28812=""),"Incomplete","Complete")))</f>
        <v>Complete</v>
      </c>
      <c r="I28812" s="48" t="s">
        <v>3991</v>
      </c>
    </row>
    <row r="28813" spans="2:9" ht="15" customHeight="1" x14ac:dyDescent="0.25">
      <c r="B28813" s="55" t="s">
        <v>431</v>
      </c>
      <c r="C28813" s="46">
        <v>26</v>
      </c>
      <c r="D28813" s="69" t="s">
        <v>29568</v>
      </c>
      <c r="E28813" s="62"/>
      <c r="F28813" s="62" t="str">
        <f>IF(INDEX(I.Gas.P4Y2C1E1,26)="","",INDEX(I.Gas.P4Y2C1E1,26))</f>
        <v/>
      </c>
      <c r="G28813" s="62"/>
      <c r="H28813" s="46" t="str">
        <f>IF(OR(I.Developer.P4=FALSE,I.Facility.StandardPart="Part 2"),"Complete",IF(I.Product.P4GasToPowerStatus&lt;&gt;"Yes","Complete",IF(AND(I.Gas.P4Y2Count&gt;=26,F28813=""),"Incomplete","Complete")))</f>
        <v>Complete</v>
      </c>
      <c r="I28813" s="48" t="s">
        <v>3992</v>
      </c>
    </row>
    <row r="28814" spans="2:9" ht="15" customHeight="1" x14ac:dyDescent="0.25">
      <c r="B28814" s="55" t="s">
        <v>431</v>
      </c>
      <c r="C28814" s="46">
        <v>27</v>
      </c>
      <c r="D28814" s="69" t="s">
        <v>29568</v>
      </c>
      <c r="E28814" s="62"/>
      <c r="F28814" s="62" t="str">
        <f>IF(INDEX(I.Gas.P4Y2C1E1,27)="","",INDEX(I.Gas.P4Y2C1E1,27))</f>
        <v/>
      </c>
      <c r="G28814" s="62"/>
      <c r="H28814" s="46" t="str">
        <f>IF(OR(I.Developer.P4=FALSE,I.Facility.StandardPart="Part 2"),"Complete",IF(I.Product.P4GasToPowerStatus&lt;&gt;"Yes","Complete",IF(AND(I.Gas.P4Y2Count&gt;=27,F28814=""),"Incomplete","Complete")))</f>
        <v>Complete</v>
      </c>
      <c r="I28814" s="48" t="s">
        <v>3993</v>
      </c>
    </row>
    <row r="28815" spans="2:9" ht="15" customHeight="1" x14ac:dyDescent="0.25">
      <c r="B28815" s="55" t="s">
        <v>431</v>
      </c>
      <c r="C28815" s="46">
        <v>28</v>
      </c>
      <c r="D28815" s="69" t="s">
        <v>29568</v>
      </c>
      <c r="E28815" s="62"/>
      <c r="F28815" s="62" t="str">
        <f>IF(INDEX(I.Gas.P4Y2C1E1,28)="","",INDEX(I.Gas.P4Y2C1E1,28))</f>
        <v/>
      </c>
      <c r="G28815" s="62"/>
      <c r="H28815" s="46" t="str">
        <f>IF(OR(I.Developer.P4=FALSE,I.Facility.StandardPart="Part 2"),"Complete",IF(I.Product.P4GasToPowerStatus&lt;&gt;"Yes","Complete",IF(AND(I.Gas.P4Y2Count&gt;=28,F28815=""),"Incomplete","Complete")))</f>
        <v>Complete</v>
      </c>
      <c r="I28815" s="48" t="s">
        <v>3994</v>
      </c>
    </row>
    <row r="28816" spans="2:9" ht="15" customHeight="1" x14ac:dyDescent="0.25">
      <c r="B28816" s="55" t="s">
        <v>431</v>
      </c>
      <c r="C28816" s="46">
        <v>29</v>
      </c>
      <c r="D28816" s="69" t="s">
        <v>29568</v>
      </c>
      <c r="E28816" s="62"/>
      <c r="F28816" s="62" t="str">
        <f>IF(INDEX(I.Gas.P4Y2C1E1,29)="","",INDEX(I.Gas.P4Y2C1E1,29))</f>
        <v/>
      </c>
      <c r="G28816" s="62"/>
      <c r="H28816" s="46" t="str">
        <f>IF(OR(I.Developer.P4=FALSE,I.Facility.StandardPart="Part 2"),"Complete",IF(I.Product.P4GasToPowerStatus&lt;&gt;"Yes","Complete",IF(AND(I.Gas.P4Y2Count&gt;=29,F28816=""),"Incomplete","Complete")))</f>
        <v>Complete</v>
      </c>
      <c r="I28816" s="48" t="s">
        <v>3995</v>
      </c>
    </row>
    <row r="28817" spans="2:9" ht="15" customHeight="1" x14ac:dyDescent="0.25">
      <c r="B28817" s="55" t="s">
        <v>431</v>
      </c>
      <c r="C28817" s="46">
        <v>30</v>
      </c>
      <c r="D28817" s="69" t="s">
        <v>29568</v>
      </c>
      <c r="E28817" s="62"/>
      <c r="F28817" s="62" t="str">
        <f>IF(INDEX(I.Gas.P4Y2C1E1,30)="","",INDEX(I.Gas.P4Y2C1E1,30))</f>
        <v/>
      </c>
      <c r="G28817" s="62"/>
      <c r="H28817" s="46" t="str">
        <f>IF(OR(I.Developer.P4=FALSE,I.Facility.StandardPart="Part 2"),"Complete",IF(I.Product.P4GasToPowerStatus&lt;&gt;"Yes","Complete",IF(AND(I.Gas.P4Y2Count&gt;=30,F28817=""),"Incomplete","Complete")))</f>
        <v>Complete</v>
      </c>
      <c r="I28817" s="48" t="s">
        <v>3996</v>
      </c>
    </row>
    <row r="28818" spans="2:9" ht="15" customHeight="1" x14ac:dyDescent="0.25">
      <c r="B28818" s="55" t="s">
        <v>431</v>
      </c>
      <c r="C28818" s="46">
        <v>31</v>
      </c>
      <c r="D28818" s="69" t="s">
        <v>29568</v>
      </c>
      <c r="E28818" s="62"/>
      <c r="F28818" s="62" t="str">
        <f>IF(INDEX(I.Gas.P4Y2C1E1,31)="","",INDEX(I.Gas.P4Y2C1E1,31))</f>
        <v/>
      </c>
      <c r="G28818" s="62"/>
      <c r="H28818" s="46" t="str">
        <f>IF(OR(I.Developer.P4=FALSE,I.Facility.StandardPart="Part 2"),"Complete",IF(I.Product.P4GasToPowerStatus&lt;&gt;"Yes","Complete",IF(AND(I.Gas.P4Y2Count&gt;=31,F28818=""),"Incomplete","Complete")))</f>
        <v>Complete</v>
      </c>
      <c r="I28818" s="48" t="s">
        <v>3997</v>
      </c>
    </row>
    <row r="28819" spans="2:9" ht="15" customHeight="1" x14ac:dyDescent="0.25">
      <c r="B28819" s="55" t="s">
        <v>431</v>
      </c>
      <c r="C28819" s="46">
        <v>32</v>
      </c>
      <c r="D28819" s="69" t="s">
        <v>29568</v>
      </c>
      <c r="E28819" s="62"/>
      <c r="F28819" s="62" t="str">
        <f>IF(INDEX(I.Gas.P4Y2C1E1,32)="","",INDEX(I.Gas.P4Y2C1E1,32))</f>
        <v/>
      </c>
      <c r="G28819" s="62"/>
      <c r="H28819" s="46" t="str">
        <f>IF(OR(I.Developer.P4=FALSE,I.Facility.StandardPart="Part 2"),"Complete",IF(I.Product.P4GasToPowerStatus&lt;&gt;"Yes","Complete",IF(AND(I.Gas.P4Y2Count&gt;=32,F28819=""),"Incomplete","Complete")))</f>
        <v>Complete</v>
      </c>
      <c r="I28819" s="48" t="s">
        <v>3998</v>
      </c>
    </row>
    <row r="28820" spans="2:9" ht="15" customHeight="1" x14ac:dyDescent="0.25">
      <c r="B28820" s="55" t="s">
        <v>431</v>
      </c>
      <c r="C28820" s="46">
        <v>33</v>
      </c>
      <c r="D28820" s="69" t="s">
        <v>29568</v>
      </c>
      <c r="E28820" s="62"/>
      <c r="F28820" s="62" t="str">
        <f>IF(INDEX(I.Gas.P4Y2C1E1,33)="","",INDEX(I.Gas.P4Y2C1E1,33))</f>
        <v/>
      </c>
      <c r="G28820" s="62"/>
      <c r="H28820" s="46" t="str">
        <f>IF(OR(I.Developer.P4=FALSE,I.Facility.StandardPart="Part 2"),"Complete",IF(I.Product.P4GasToPowerStatus&lt;&gt;"Yes","Complete",IF(AND(I.Gas.P4Y2Count&gt;=33,F28820=""),"Incomplete","Complete")))</f>
        <v>Complete</v>
      </c>
      <c r="I28820" s="48" t="s">
        <v>3999</v>
      </c>
    </row>
    <row r="28821" spans="2:9" ht="15" customHeight="1" x14ac:dyDescent="0.25">
      <c r="B28821" s="55" t="s">
        <v>431</v>
      </c>
      <c r="C28821" s="46">
        <v>34</v>
      </c>
      <c r="D28821" s="69" t="s">
        <v>29568</v>
      </c>
      <c r="E28821" s="62"/>
      <c r="F28821" s="62" t="str">
        <f>IF(INDEX(I.Gas.P4Y2C1E1,34)="","",INDEX(I.Gas.P4Y2C1E1,34))</f>
        <v/>
      </c>
      <c r="G28821" s="62"/>
      <c r="H28821" s="46" t="str">
        <f>IF(OR(I.Developer.P4=FALSE,I.Facility.StandardPart="Part 2"),"Complete",IF(I.Product.P4GasToPowerStatus&lt;&gt;"Yes","Complete",IF(AND(I.Gas.P4Y2Count&gt;=34,F28821=""),"Incomplete","Complete")))</f>
        <v>Complete</v>
      </c>
      <c r="I28821" s="48" t="s">
        <v>4000</v>
      </c>
    </row>
    <row r="28822" spans="2:9" ht="15" customHeight="1" x14ac:dyDescent="0.25">
      <c r="B28822" s="55" t="s">
        <v>431</v>
      </c>
      <c r="C28822" s="46">
        <v>35</v>
      </c>
      <c r="D28822" s="69" t="s">
        <v>29568</v>
      </c>
      <c r="E28822" s="62"/>
      <c r="F28822" s="62" t="str">
        <f>IF(INDEX(I.Gas.P4Y2C1E1,35)="","",INDEX(I.Gas.P4Y2C1E1,35))</f>
        <v/>
      </c>
      <c r="G28822" s="62"/>
      <c r="H28822" s="46" t="str">
        <f>IF(OR(I.Developer.P4=FALSE,I.Facility.StandardPart="Part 2"),"Complete",IF(I.Product.P4GasToPowerStatus&lt;&gt;"Yes","Complete",IF(AND(I.Gas.P4Y2Count&gt;=35,F28822=""),"Incomplete","Complete")))</f>
        <v>Complete</v>
      </c>
      <c r="I28822" s="48" t="s">
        <v>4001</v>
      </c>
    </row>
    <row r="28823" spans="2:9" ht="15" customHeight="1" x14ac:dyDescent="0.25">
      <c r="B28823" s="55" t="s">
        <v>431</v>
      </c>
      <c r="C28823" s="46">
        <v>36</v>
      </c>
      <c r="D28823" s="69" t="s">
        <v>29568</v>
      </c>
      <c r="E28823" s="62"/>
      <c r="F28823" s="62" t="str">
        <f>IF(INDEX(I.Gas.P4Y2C1E1,36)="","",INDEX(I.Gas.P4Y2C1E1,36))</f>
        <v/>
      </c>
      <c r="G28823" s="62"/>
      <c r="H28823" s="46" t="str">
        <f>IF(OR(I.Developer.P4=FALSE,I.Facility.StandardPart="Part 2"),"Complete",IF(I.Product.P4GasToPowerStatus&lt;&gt;"Yes","Complete",IF(AND(I.Gas.P4Y2Count&gt;=36,F28823=""),"Incomplete","Complete")))</f>
        <v>Complete</v>
      </c>
      <c r="I28823" s="48" t="s">
        <v>4002</v>
      </c>
    </row>
    <row r="28824" spans="2:9" ht="15" customHeight="1" x14ac:dyDescent="0.25">
      <c r="B28824" s="55" t="s">
        <v>431</v>
      </c>
      <c r="C28824" s="46">
        <v>37</v>
      </c>
      <c r="D28824" s="69" t="s">
        <v>29568</v>
      </c>
      <c r="E28824" s="62"/>
      <c r="F28824" s="62" t="str">
        <f>IF(INDEX(I.Gas.P4Y2C1E1,37)="","",INDEX(I.Gas.P4Y2C1E1,37))</f>
        <v/>
      </c>
      <c r="G28824" s="62"/>
      <c r="H28824" s="46" t="str">
        <f>IF(OR(I.Developer.P4=FALSE,I.Facility.StandardPart="Part 2"),"Complete",IF(I.Product.P4GasToPowerStatus&lt;&gt;"Yes","Complete",IF(AND(I.Gas.P4Y2Count&gt;=37,F28824=""),"Incomplete","Complete")))</f>
        <v>Complete</v>
      </c>
      <c r="I28824" s="48" t="s">
        <v>4003</v>
      </c>
    </row>
    <row r="28825" spans="2:9" ht="15" customHeight="1" x14ac:dyDescent="0.25">
      <c r="B28825" s="55" t="s">
        <v>431</v>
      </c>
      <c r="C28825" s="46">
        <v>38</v>
      </c>
      <c r="D28825" s="69" t="s">
        <v>29568</v>
      </c>
      <c r="E28825" s="62"/>
      <c r="F28825" s="62" t="str">
        <f>IF(INDEX(I.Gas.P4Y2C1E1,38)="","",INDEX(I.Gas.P4Y2C1E1,38))</f>
        <v/>
      </c>
      <c r="G28825" s="62"/>
      <c r="H28825" s="46" t="str">
        <f>IF(OR(I.Developer.P4=FALSE,I.Facility.StandardPart="Part 2"),"Complete",IF(I.Product.P4GasToPowerStatus&lt;&gt;"Yes","Complete",IF(AND(I.Gas.P4Y2Count&gt;=38,F28825=""),"Incomplete","Complete")))</f>
        <v>Complete</v>
      </c>
      <c r="I28825" s="48" t="s">
        <v>4004</v>
      </c>
    </row>
    <row r="28826" spans="2:9" ht="15" customHeight="1" x14ac:dyDescent="0.25">
      <c r="B28826" s="55" t="s">
        <v>431</v>
      </c>
      <c r="C28826" s="46">
        <v>39</v>
      </c>
      <c r="D28826" s="69" t="s">
        <v>29568</v>
      </c>
      <c r="E28826" s="62"/>
      <c r="F28826" s="62" t="str">
        <f>IF(INDEX(I.Gas.P4Y2C1E1,39)="","",INDEX(I.Gas.P4Y2C1E1,39))</f>
        <v/>
      </c>
      <c r="G28826" s="62"/>
      <c r="H28826" s="46" t="str">
        <f>IF(OR(I.Developer.P4=FALSE,I.Facility.StandardPart="Part 2"),"Complete",IF(I.Product.P4GasToPowerStatus&lt;&gt;"Yes","Complete",IF(AND(I.Gas.P4Y2Count&gt;=39,F28826=""),"Incomplete","Complete")))</f>
        <v>Complete</v>
      </c>
      <c r="I28826" s="48" t="s">
        <v>4005</v>
      </c>
    </row>
    <row r="28827" spans="2:9" ht="15" customHeight="1" x14ac:dyDescent="0.25">
      <c r="B28827" s="55" t="s">
        <v>431</v>
      </c>
      <c r="C28827" s="46">
        <v>40</v>
      </c>
      <c r="D28827" s="69" t="s">
        <v>29568</v>
      </c>
      <c r="E28827" s="62"/>
      <c r="F28827" s="62" t="str">
        <f>IF(INDEX(I.Gas.P4Y2C1E1,40)="","",INDEX(I.Gas.P4Y2C1E1,40))</f>
        <v/>
      </c>
      <c r="G28827" s="62"/>
      <c r="H28827" s="46" t="str">
        <f>IF(OR(I.Developer.P4=FALSE,I.Facility.StandardPart="Part 2"),"Complete",IF(I.Product.P4GasToPowerStatus&lt;&gt;"Yes","Complete",IF(AND(I.Gas.P4Y2Count&gt;=40,F28827=""),"Incomplete","Complete")))</f>
        <v>Complete</v>
      </c>
      <c r="I28827" s="48" t="s">
        <v>4006</v>
      </c>
    </row>
    <row r="28828" spans="2:9" ht="15" customHeight="1" x14ac:dyDescent="0.25">
      <c r="B28828" s="55" t="s">
        <v>431</v>
      </c>
      <c r="C28828" s="46">
        <v>41</v>
      </c>
      <c r="D28828" s="69" t="s">
        <v>29568</v>
      </c>
      <c r="E28828" s="62"/>
      <c r="F28828" s="62" t="str">
        <f>IF(INDEX(I.Gas.P4Y2C1E1,41)="","",INDEX(I.Gas.P4Y2C1E1,41))</f>
        <v/>
      </c>
      <c r="G28828" s="62"/>
      <c r="H28828" s="46" t="str">
        <f>IF(OR(I.Developer.P4=FALSE,I.Facility.StandardPart="Part 2"),"Complete",IF(I.Product.P4GasToPowerStatus&lt;&gt;"Yes","Complete",IF(AND(I.Gas.P4Y2Count&gt;=41,F28828=""),"Incomplete","Complete")))</f>
        <v>Complete</v>
      </c>
      <c r="I28828" s="48" t="s">
        <v>4007</v>
      </c>
    </row>
    <row r="28829" spans="2:9" ht="15" customHeight="1" x14ac:dyDescent="0.25">
      <c r="B28829" s="55" t="s">
        <v>431</v>
      </c>
      <c r="C28829" s="46">
        <v>42</v>
      </c>
      <c r="D28829" s="69" t="s">
        <v>29568</v>
      </c>
      <c r="E28829" s="62"/>
      <c r="F28829" s="62" t="str">
        <f>IF(INDEX(I.Gas.P4Y2C1E1,42)="","",INDEX(I.Gas.P4Y2C1E1,42))</f>
        <v/>
      </c>
      <c r="G28829" s="62"/>
      <c r="H28829" s="46" t="str">
        <f>IF(OR(I.Developer.P4=FALSE,I.Facility.StandardPart="Part 2"),"Complete",IF(I.Product.P4GasToPowerStatus&lt;&gt;"Yes","Complete",IF(AND(I.Gas.P4Y2Count&gt;=42,F28829=""),"Incomplete","Complete")))</f>
        <v>Complete</v>
      </c>
      <c r="I28829" s="48" t="s">
        <v>4008</v>
      </c>
    </row>
    <row r="28830" spans="2:9" ht="15" customHeight="1" x14ac:dyDescent="0.25">
      <c r="B28830" s="55" t="s">
        <v>431</v>
      </c>
      <c r="C28830" s="46">
        <v>43</v>
      </c>
      <c r="D28830" s="69" t="s">
        <v>29568</v>
      </c>
      <c r="E28830" s="62"/>
      <c r="F28830" s="62" t="str">
        <f>IF(INDEX(I.Gas.P4Y2C1E1,43)="","",INDEX(I.Gas.P4Y2C1E1,43))</f>
        <v/>
      </c>
      <c r="G28830" s="62"/>
      <c r="H28830" s="46" t="str">
        <f>IF(OR(I.Developer.P4=FALSE,I.Facility.StandardPart="Part 2"),"Complete",IF(I.Product.P4GasToPowerStatus&lt;&gt;"Yes","Complete",IF(AND(I.Gas.P4Y2Count&gt;=43,F28830=""),"Incomplete","Complete")))</f>
        <v>Complete</v>
      </c>
      <c r="I28830" s="48" t="s">
        <v>4009</v>
      </c>
    </row>
    <row r="28831" spans="2:9" ht="15" customHeight="1" x14ac:dyDescent="0.25">
      <c r="B28831" s="55" t="s">
        <v>431</v>
      </c>
      <c r="C28831" s="46">
        <v>44</v>
      </c>
      <c r="D28831" s="69" t="s">
        <v>29568</v>
      </c>
      <c r="E28831" s="62"/>
      <c r="F28831" s="62" t="str">
        <f>IF(INDEX(I.Gas.P4Y2C1E1,44)="","",INDEX(I.Gas.P4Y2C1E1,44))</f>
        <v/>
      </c>
      <c r="G28831" s="62"/>
      <c r="H28831" s="46" t="str">
        <f>IF(OR(I.Developer.P4=FALSE,I.Facility.StandardPart="Part 2"),"Complete",IF(I.Product.P4GasToPowerStatus&lt;&gt;"Yes","Complete",IF(AND(I.Gas.P4Y2Count&gt;=44,F28831=""),"Incomplete","Complete")))</f>
        <v>Complete</v>
      </c>
      <c r="I28831" s="48" t="s">
        <v>4010</v>
      </c>
    </row>
    <row r="28832" spans="2:9" ht="15" customHeight="1" x14ac:dyDescent="0.25">
      <c r="B28832" s="55" t="s">
        <v>431</v>
      </c>
      <c r="C28832" s="46">
        <v>45</v>
      </c>
      <c r="D28832" s="69" t="s">
        <v>29568</v>
      </c>
      <c r="E28832" s="62"/>
      <c r="F28832" s="62" t="str">
        <f>IF(INDEX(I.Gas.P4Y2C1E1,45)="","",INDEX(I.Gas.P4Y2C1E1,45))</f>
        <v/>
      </c>
      <c r="G28832" s="62"/>
      <c r="H28832" s="46" t="str">
        <f>IF(OR(I.Developer.P4=FALSE,I.Facility.StandardPart="Part 2"),"Complete",IF(I.Product.P4GasToPowerStatus&lt;&gt;"Yes","Complete",IF(AND(I.Gas.P4Y2Count&gt;=45,F28832=""),"Incomplete","Complete")))</f>
        <v>Complete</v>
      </c>
      <c r="I28832" s="48" t="s">
        <v>4011</v>
      </c>
    </row>
    <row r="28833" spans="2:9" ht="15" customHeight="1" x14ac:dyDescent="0.25">
      <c r="B28833" s="55" t="s">
        <v>431</v>
      </c>
      <c r="C28833" s="46">
        <v>46</v>
      </c>
      <c r="D28833" s="69" t="s">
        <v>29568</v>
      </c>
      <c r="E28833" s="62"/>
      <c r="F28833" s="62" t="str">
        <f>IF(INDEX(I.Gas.P4Y2C1E1,46)="","",INDEX(I.Gas.P4Y2C1E1,46))</f>
        <v/>
      </c>
      <c r="G28833" s="62"/>
      <c r="H28833" s="46" t="str">
        <f>IF(OR(I.Developer.P4=FALSE,I.Facility.StandardPart="Part 2"),"Complete",IF(I.Product.P4GasToPowerStatus&lt;&gt;"Yes","Complete",IF(AND(I.Gas.P4Y2Count&gt;=46,F28833=""),"Incomplete","Complete")))</f>
        <v>Complete</v>
      </c>
      <c r="I28833" s="48" t="s">
        <v>4012</v>
      </c>
    </row>
    <row r="28834" spans="2:9" ht="15" customHeight="1" x14ac:dyDescent="0.25">
      <c r="B28834" s="55" t="s">
        <v>431</v>
      </c>
      <c r="C28834" s="46">
        <v>47</v>
      </c>
      <c r="D28834" s="69" t="s">
        <v>29568</v>
      </c>
      <c r="E28834" s="62"/>
      <c r="F28834" s="62" t="str">
        <f>IF(INDEX(I.Gas.P4Y2C1E1,47)="","",INDEX(I.Gas.P4Y2C1E1,47))</f>
        <v/>
      </c>
      <c r="G28834" s="62"/>
      <c r="H28834" s="46" t="str">
        <f>IF(OR(I.Developer.P4=FALSE,I.Facility.StandardPart="Part 2"),"Complete",IF(I.Product.P4GasToPowerStatus&lt;&gt;"Yes","Complete",IF(AND(I.Gas.P4Y2Count&gt;=47,F28834=""),"Incomplete","Complete")))</f>
        <v>Complete</v>
      </c>
      <c r="I28834" s="48" t="s">
        <v>4013</v>
      </c>
    </row>
    <row r="28835" spans="2:9" ht="15" customHeight="1" x14ac:dyDescent="0.25">
      <c r="B28835" s="55" t="s">
        <v>431</v>
      </c>
      <c r="C28835" s="46">
        <v>48</v>
      </c>
      <c r="D28835" s="69" t="s">
        <v>29568</v>
      </c>
      <c r="E28835" s="62"/>
      <c r="F28835" s="62" t="str">
        <f>IF(INDEX(I.Gas.P4Y2C1E1,48)="","",INDEX(I.Gas.P4Y2C1E1,48))</f>
        <v/>
      </c>
      <c r="G28835" s="62"/>
      <c r="H28835" s="46" t="str">
        <f>IF(OR(I.Developer.P4=FALSE,I.Facility.StandardPart="Part 2"),"Complete",IF(I.Product.P4GasToPowerStatus&lt;&gt;"Yes","Complete",IF(AND(I.Gas.P4Y2Count&gt;=48,F28835=""),"Incomplete","Complete")))</f>
        <v>Complete</v>
      </c>
      <c r="I28835" s="48" t="s">
        <v>4014</v>
      </c>
    </row>
    <row r="28836" spans="2:9" ht="15" customHeight="1" x14ac:dyDescent="0.25">
      <c r="B28836" s="55" t="s">
        <v>431</v>
      </c>
      <c r="C28836" s="46">
        <v>49</v>
      </c>
      <c r="D28836" s="69" t="s">
        <v>29568</v>
      </c>
      <c r="E28836" s="62"/>
      <c r="F28836" s="62" t="str">
        <f>IF(INDEX(I.Gas.P4Y2C1E1,49)="","",INDEX(I.Gas.P4Y2C1E1,49))</f>
        <v/>
      </c>
      <c r="G28836" s="62"/>
      <c r="H28836" s="46" t="str">
        <f>IF(OR(I.Developer.P4=FALSE,I.Facility.StandardPart="Part 2"),"Complete",IF(I.Product.P4GasToPowerStatus&lt;&gt;"Yes","Complete",IF(AND(I.Gas.P4Y2Count&gt;=49,F28836=""),"Incomplete","Complete")))</f>
        <v>Complete</v>
      </c>
      <c r="I28836" s="48" t="s">
        <v>4015</v>
      </c>
    </row>
    <row r="28837" spans="2:9" ht="15" customHeight="1" x14ac:dyDescent="0.25">
      <c r="B28837" s="56" t="s">
        <v>431</v>
      </c>
      <c r="C28837" s="57">
        <v>50</v>
      </c>
      <c r="D28837" s="71" t="s">
        <v>29568</v>
      </c>
      <c r="E28837" s="61"/>
      <c r="F28837" s="61" t="str">
        <f>IF(INDEX(I.Gas.P4Y2C1E1,50)="","",INDEX(I.Gas.P4Y2C1E1,50))</f>
        <v/>
      </c>
      <c r="G28837" s="61"/>
      <c r="H28837" s="57" t="str">
        <f>IF(OR(I.Developer.P4=FALSE,I.Facility.StandardPart="Part 2"),"Complete",IF(I.Product.P4GasToPowerStatus&lt;&gt;"Yes","Complete",IF(AND(I.Gas.P4Y2Count&gt;=50,F28837=""),"Incomplete","Complete")))</f>
        <v>Complete</v>
      </c>
      <c r="I28837" s="49" t="s">
        <v>4016</v>
      </c>
    </row>
    <row r="28838" spans="2:9" ht="15" customHeight="1" x14ac:dyDescent="0.25">
      <c r="B28838" s="55" t="s">
        <v>432</v>
      </c>
      <c r="C28838" s="46">
        <v>1</v>
      </c>
      <c r="D28838" s="69" t="s">
        <v>29569</v>
      </c>
      <c r="E28838" s="62"/>
      <c r="F28838" s="62" t="str">
        <f>IF(INDEX(I.Gas.P4Y2C1E2,1)="","",INDEX(I.Gas.P4Y2C1E2,1))</f>
        <v/>
      </c>
      <c r="G28838" s="62"/>
      <c r="H28838" s="46" t="str">
        <f>IF(OR(I.Developer.P4=FALSE,I.Facility.StandardPart="Part 2"),"Complete",IF(I.Product.P4GasToPowerStatus&lt;&gt;"Yes","Complete",IF(AND(I.Gas.P4Y2Count&gt;=1,F28838=""),"Incomplete","Complete")))</f>
        <v>Complete</v>
      </c>
      <c r="I28838" s="48" t="s">
        <v>4017</v>
      </c>
    </row>
    <row r="28839" spans="2:9" ht="15" customHeight="1" x14ac:dyDescent="0.25">
      <c r="B28839" s="55" t="s">
        <v>432</v>
      </c>
      <c r="C28839" s="46">
        <v>2</v>
      </c>
      <c r="D28839" s="69" t="s">
        <v>29569</v>
      </c>
      <c r="E28839" s="62"/>
      <c r="F28839" s="62" t="str">
        <f>IF(INDEX(I.Gas.P4Y2C1E2,2)="","",INDEX(I.Gas.P4Y2C1E2,2))</f>
        <v/>
      </c>
      <c r="G28839" s="62"/>
      <c r="H28839" s="46" t="str">
        <f>IF(OR(I.Developer.P4=FALSE,I.Facility.StandardPart="Part 2"),"Complete",IF(I.Product.P4GasToPowerStatus&lt;&gt;"Yes","Complete",IF(AND(I.Gas.P4Y2Count&gt;=2,F28839=""),"Incomplete","Complete")))</f>
        <v>Complete</v>
      </c>
      <c r="I28839" s="48" t="s">
        <v>4018</v>
      </c>
    </row>
    <row r="28840" spans="2:9" ht="15" customHeight="1" x14ac:dyDescent="0.25">
      <c r="B28840" s="55" t="s">
        <v>432</v>
      </c>
      <c r="C28840" s="46">
        <v>3</v>
      </c>
      <c r="D28840" s="69" t="s">
        <v>29569</v>
      </c>
      <c r="E28840" s="62"/>
      <c r="F28840" s="62" t="str">
        <f>IF(INDEX(I.Gas.P4Y2C1E2,3)="","",INDEX(I.Gas.P4Y2C1E2,3))</f>
        <v/>
      </c>
      <c r="G28840" s="62"/>
      <c r="H28840" s="46" t="str">
        <f>IF(OR(I.Developer.P4=FALSE,I.Facility.StandardPart="Part 2"),"Complete",IF(I.Product.P4GasToPowerStatus&lt;&gt;"Yes","Complete",IF(AND(I.Gas.P4Y2Count&gt;=3,F28840=""),"Incomplete","Complete")))</f>
        <v>Complete</v>
      </c>
      <c r="I28840" s="48" t="s">
        <v>4019</v>
      </c>
    </row>
    <row r="28841" spans="2:9" ht="15" customHeight="1" x14ac:dyDescent="0.25">
      <c r="B28841" s="55" t="s">
        <v>432</v>
      </c>
      <c r="C28841" s="46">
        <v>4</v>
      </c>
      <c r="D28841" s="69" t="s">
        <v>29569</v>
      </c>
      <c r="E28841" s="62"/>
      <c r="F28841" s="62" t="str">
        <f>IF(INDEX(I.Gas.P4Y2C1E2,4)="","",INDEX(I.Gas.P4Y2C1E2,4))</f>
        <v/>
      </c>
      <c r="G28841" s="62"/>
      <c r="H28841" s="46" t="str">
        <f>IF(OR(I.Developer.P4=FALSE,I.Facility.StandardPart="Part 2"),"Complete",IF(I.Product.P4GasToPowerStatus&lt;&gt;"Yes","Complete",IF(AND(I.Gas.P4Y2Count&gt;=4,F28841=""),"Incomplete","Complete")))</f>
        <v>Complete</v>
      </c>
      <c r="I28841" s="48" t="s">
        <v>4020</v>
      </c>
    </row>
    <row r="28842" spans="2:9" ht="15" customHeight="1" x14ac:dyDescent="0.25">
      <c r="B28842" s="55" t="s">
        <v>432</v>
      </c>
      <c r="C28842" s="46">
        <v>5</v>
      </c>
      <c r="D28842" s="69" t="s">
        <v>29569</v>
      </c>
      <c r="E28842" s="62"/>
      <c r="F28842" s="62" t="str">
        <f>IF(INDEX(I.Gas.P4Y2C1E2,5)="","",INDEX(I.Gas.P4Y2C1E2,5))</f>
        <v/>
      </c>
      <c r="G28842" s="62"/>
      <c r="H28842" s="46" t="str">
        <f>IF(OR(I.Developer.P4=FALSE,I.Facility.StandardPart="Part 2"),"Complete",IF(I.Product.P4GasToPowerStatus&lt;&gt;"Yes","Complete",IF(AND(I.Gas.P4Y2Count&gt;=5,F28842=""),"Incomplete","Complete")))</f>
        <v>Complete</v>
      </c>
      <c r="I28842" s="48" t="s">
        <v>4021</v>
      </c>
    </row>
    <row r="28843" spans="2:9" ht="15" customHeight="1" x14ac:dyDescent="0.25">
      <c r="B28843" s="55" t="s">
        <v>432</v>
      </c>
      <c r="C28843" s="46">
        <v>6</v>
      </c>
      <c r="D28843" s="69" t="s">
        <v>29569</v>
      </c>
      <c r="E28843" s="62"/>
      <c r="F28843" s="62" t="str">
        <f>IF(INDEX(I.Gas.P4Y2C1E2,6)="","",INDEX(I.Gas.P4Y2C1E2,6))</f>
        <v/>
      </c>
      <c r="G28843" s="62"/>
      <c r="H28843" s="46" t="str">
        <f>IF(OR(I.Developer.P4=FALSE,I.Facility.StandardPart="Part 2"),"Complete",IF(I.Product.P4GasToPowerStatus&lt;&gt;"Yes","Complete",IF(AND(I.Gas.P4Y2Count&gt;=6,F28843=""),"Incomplete","Complete")))</f>
        <v>Complete</v>
      </c>
      <c r="I28843" s="48" t="s">
        <v>4022</v>
      </c>
    </row>
    <row r="28844" spans="2:9" ht="15" customHeight="1" x14ac:dyDescent="0.25">
      <c r="B28844" s="55" t="s">
        <v>432</v>
      </c>
      <c r="C28844" s="46">
        <v>7</v>
      </c>
      <c r="D28844" s="69" t="s">
        <v>29569</v>
      </c>
      <c r="E28844" s="62"/>
      <c r="F28844" s="62" t="str">
        <f>IF(INDEX(I.Gas.P4Y2C1E2,7)="","",INDEX(I.Gas.P4Y2C1E2,7))</f>
        <v/>
      </c>
      <c r="G28844" s="62"/>
      <c r="H28844" s="46" t="str">
        <f>IF(OR(I.Developer.P4=FALSE,I.Facility.StandardPart="Part 2"),"Complete",IF(I.Product.P4GasToPowerStatus&lt;&gt;"Yes","Complete",IF(AND(I.Gas.P4Y2Count&gt;=7,F28844=""),"Incomplete","Complete")))</f>
        <v>Complete</v>
      </c>
      <c r="I28844" s="48" t="s">
        <v>4023</v>
      </c>
    </row>
    <row r="28845" spans="2:9" ht="15" customHeight="1" x14ac:dyDescent="0.25">
      <c r="B28845" s="55" t="s">
        <v>432</v>
      </c>
      <c r="C28845" s="46">
        <v>8</v>
      </c>
      <c r="D28845" s="69" t="s">
        <v>29569</v>
      </c>
      <c r="E28845" s="62"/>
      <c r="F28845" s="62" t="str">
        <f>IF(INDEX(I.Gas.P4Y2C1E2,8)="","",INDEX(I.Gas.P4Y2C1E2,8))</f>
        <v/>
      </c>
      <c r="G28845" s="62"/>
      <c r="H28845" s="46" t="str">
        <f>IF(OR(I.Developer.P4=FALSE,I.Facility.StandardPart="Part 2"),"Complete",IF(I.Product.P4GasToPowerStatus&lt;&gt;"Yes","Complete",IF(AND(I.Gas.P4Y2Count&gt;=8,F28845=""),"Incomplete","Complete")))</f>
        <v>Complete</v>
      </c>
      <c r="I28845" s="48" t="s">
        <v>4024</v>
      </c>
    </row>
    <row r="28846" spans="2:9" ht="15" customHeight="1" x14ac:dyDescent="0.25">
      <c r="B28846" s="55" t="s">
        <v>432</v>
      </c>
      <c r="C28846" s="46">
        <v>9</v>
      </c>
      <c r="D28846" s="69" t="s">
        <v>29569</v>
      </c>
      <c r="E28846" s="62"/>
      <c r="F28846" s="62" t="str">
        <f>IF(INDEX(I.Gas.P4Y2C1E2,9)="","",INDEX(I.Gas.P4Y2C1E2,9))</f>
        <v/>
      </c>
      <c r="G28846" s="62"/>
      <c r="H28846" s="46" t="str">
        <f>IF(OR(I.Developer.P4=FALSE,I.Facility.StandardPart="Part 2"),"Complete",IF(I.Product.P4GasToPowerStatus&lt;&gt;"Yes","Complete",IF(AND(I.Gas.P4Y2Count&gt;=9,F28846=""),"Incomplete","Complete")))</f>
        <v>Complete</v>
      </c>
      <c r="I28846" s="48" t="s">
        <v>4025</v>
      </c>
    </row>
    <row r="28847" spans="2:9" ht="15" customHeight="1" x14ac:dyDescent="0.25">
      <c r="B28847" s="55" t="s">
        <v>432</v>
      </c>
      <c r="C28847" s="46">
        <v>10</v>
      </c>
      <c r="D28847" s="69" t="s">
        <v>29569</v>
      </c>
      <c r="E28847" s="62"/>
      <c r="F28847" s="62" t="str">
        <f>IF(INDEX(I.Gas.P4Y2C1E2,10)="","",INDEX(I.Gas.P4Y2C1E2,10))</f>
        <v/>
      </c>
      <c r="G28847" s="62"/>
      <c r="H28847" s="46" t="str">
        <f>IF(OR(I.Developer.P4=FALSE,I.Facility.StandardPart="Part 2"),"Complete",IF(I.Product.P4GasToPowerStatus&lt;&gt;"Yes","Complete",IF(AND(I.Gas.P4Y2Count&gt;=10,F28847=""),"Incomplete","Complete")))</f>
        <v>Complete</v>
      </c>
      <c r="I28847" s="48" t="s">
        <v>4026</v>
      </c>
    </row>
    <row r="28848" spans="2:9" ht="15" customHeight="1" x14ac:dyDescent="0.25">
      <c r="B28848" s="55" t="s">
        <v>432</v>
      </c>
      <c r="C28848" s="46">
        <v>11</v>
      </c>
      <c r="D28848" s="69" t="s">
        <v>29569</v>
      </c>
      <c r="E28848" s="62"/>
      <c r="F28848" s="62" t="str">
        <f>IF(INDEX(I.Gas.P4Y2C1E2,11)="","",INDEX(I.Gas.P4Y2C1E2,11))</f>
        <v/>
      </c>
      <c r="G28848" s="62"/>
      <c r="H28848" s="46" t="str">
        <f>IF(OR(I.Developer.P4=FALSE,I.Facility.StandardPart="Part 2"),"Complete",IF(I.Product.P4GasToPowerStatus&lt;&gt;"Yes","Complete",IF(AND(I.Gas.P4Y2Count&gt;=11,F28848=""),"Incomplete","Complete")))</f>
        <v>Complete</v>
      </c>
      <c r="I28848" s="48" t="s">
        <v>4027</v>
      </c>
    </row>
    <row r="28849" spans="2:9" ht="15" customHeight="1" x14ac:dyDescent="0.25">
      <c r="B28849" s="55" t="s">
        <v>432</v>
      </c>
      <c r="C28849" s="46">
        <v>12</v>
      </c>
      <c r="D28849" s="69" t="s">
        <v>29569</v>
      </c>
      <c r="E28849" s="62"/>
      <c r="F28849" s="62" t="str">
        <f>IF(INDEX(I.Gas.P4Y2C1E2,12)="","",INDEX(I.Gas.P4Y2C1E2,12))</f>
        <v/>
      </c>
      <c r="G28849" s="62"/>
      <c r="H28849" s="46" t="str">
        <f>IF(OR(I.Developer.P4=FALSE,I.Facility.StandardPart="Part 2"),"Complete",IF(I.Product.P4GasToPowerStatus&lt;&gt;"Yes","Complete",IF(AND(I.Gas.P4Y2Count&gt;=12,F28849=""),"Incomplete","Complete")))</f>
        <v>Complete</v>
      </c>
      <c r="I28849" s="48" t="s">
        <v>4028</v>
      </c>
    </row>
    <row r="28850" spans="2:9" ht="15" customHeight="1" x14ac:dyDescent="0.25">
      <c r="B28850" s="55" t="s">
        <v>432</v>
      </c>
      <c r="C28850" s="46">
        <v>13</v>
      </c>
      <c r="D28850" s="69" t="s">
        <v>29569</v>
      </c>
      <c r="E28850" s="62"/>
      <c r="F28850" s="62" t="str">
        <f>IF(INDEX(I.Gas.P4Y2C1E2,13)="","",INDEX(I.Gas.P4Y2C1E2,13))</f>
        <v/>
      </c>
      <c r="G28850" s="62"/>
      <c r="H28850" s="46" t="str">
        <f>IF(OR(I.Developer.P4=FALSE,I.Facility.StandardPart="Part 2"),"Complete",IF(I.Product.P4GasToPowerStatus&lt;&gt;"Yes","Complete",IF(AND(I.Gas.P4Y2Count&gt;=13,F28850=""),"Incomplete","Complete")))</f>
        <v>Complete</v>
      </c>
      <c r="I28850" s="48" t="s">
        <v>4029</v>
      </c>
    </row>
    <row r="28851" spans="2:9" ht="15" customHeight="1" x14ac:dyDescent="0.25">
      <c r="B28851" s="55" t="s">
        <v>432</v>
      </c>
      <c r="C28851" s="46">
        <v>14</v>
      </c>
      <c r="D28851" s="69" t="s">
        <v>29569</v>
      </c>
      <c r="E28851" s="62"/>
      <c r="F28851" s="62" t="str">
        <f>IF(INDEX(I.Gas.P4Y2C1E2,14)="","",INDEX(I.Gas.P4Y2C1E2,14))</f>
        <v/>
      </c>
      <c r="G28851" s="62"/>
      <c r="H28851" s="46" t="str">
        <f>IF(OR(I.Developer.P4=FALSE,I.Facility.StandardPart="Part 2"),"Complete",IF(I.Product.P4GasToPowerStatus&lt;&gt;"Yes","Complete",IF(AND(I.Gas.P4Y2Count&gt;=14,F28851=""),"Incomplete","Complete")))</f>
        <v>Complete</v>
      </c>
      <c r="I28851" s="48" t="s">
        <v>4030</v>
      </c>
    </row>
    <row r="28852" spans="2:9" ht="15" customHeight="1" x14ac:dyDescent="0.25">
      <c r="B28852" s="55" t="s">
        <v>432</v>
      </c>
      <c r="C28852" s="46">
        <v>15</v>
      </c>
      <c r="D28852" s="69" t="s">
        <v>29569</v>
      </c>
      <c r="E28852" s="62"/>
      <c r="F28852" s="62" t="str">
        <f>IF(INDEX(I.Gas.P4Y2C1E2,15)="","",INDEX(I.Gas.P4Y2C1E2,15))</f>
        <v/>
      </c>
      <c r="G28852" s="62"/>
      <c r="H28852" s="46" t="str">
        <f>IF(OR(I.Developer.P4=FALSE,I.Facility.StandardPart="Part 2"),"Complete",IF(I.Product.P4GasToPowerStatus&lt;&gt;"Yes","Complete",IF(AND(I.Gas.P4Y2Count&gt;=15,F28852=""),"Incomplete","Complete")))</f>
        <v>Complete</v>
      </c>
      <c r="I28852" s="48" t="s">
        <v>4031</v>
      </c>
    </row>
    <row r="28853" spans="2:9" ht="15" customHeight="1" x14ac:dyDescent="0.25">
      <c r="B28853" s="55" t="s">
        <v>432</v>
      </c>
      <c r="C28853" s="46">
        <v>16</v>
      </c>
      <c r="D28853" s="69" t="s">
        <v>29569</v>
      </c>
      <c r="E28853" s="62"/>
      <c r="F28853" s="62" t="str">
        <f>IF(INDEX(I.Gas.P4Y2C1E2,16)="","",INDEX(I.Gas.P4Y2C1E2,16))</f>
        <v/>
      </c>
      <c r="G28853" s="62"/>
      <c r="H28853" s="46" t="str">
        <f>IF(OR(I.Developer.P4=FALSE,I.Facility.StandardPart="Part 2"),"Complete",IF(I.Product.P4GasToPowerStatus&lt;&gt;"Yes","Complete",IF(AND(I.Gas.P4Y2Count&gt;=16,F28853=""),"Incomplete","Complete")))</f>
        <v>Complete</v>
      </c>
      <c r="I28853" s="48" t="s">
        <v>4032</v>
      </c>
    </row>
    <row r="28854" spans="2:9" ht="15" customHeight="1" x14ac:dyDescent="0.25">
      <c r="B28854" s="55" t="s">
        <v>432</v>
      </c>
      <c r="C28854" s="46">
        <v>17</v>
      </c>
      <c r="D28854" s="69" t="s">
        <v>29569</v>
      </c>
      <c r="E28854" s="62"/>
      <c r="F28854" s="62" t="str">
        <f>IF(INDEX(I.Gas.P4Y2C1E2,17)="","",INDEX(I.Gas.P4Y2C1E2,17))</f>
        <v/>
      </c>
      <c r="G28854" s="62"/>
      <c r="H28854" s="46" t="str">
        <f>IF(OR(I.Developer.P4=FALSE,I.Facility.StandardPart="Part 2"),"Complete",IF(I.Product.P4GasToPowerStatus&lt;&gt;"Yes","Complete",IF(AND(I.Gas.P4Y2Count&gt;=17,F28854=""),"Incomplete","Complete")))</f>
        <v>Complete</v>
      </c>
      <c r="I28854" s="48" t="s">
        <v>4033</v>
      </c>
    </row>
    <row r="28855" spans="2:9" ht="15" customHeight="1" x14ac:dyDescent="0.25">
      <c r="B28855" s="55" t="s">
        <v>432</v>
      </c>
      <c r="C28855" s="46">
        <v>18</v>
      </c>
      <c r="D28855" s="69" t="s">
        <v>29569</v>
      </c>
      <c r="E28855" s="62"/>
      <c r="F28855" s="62" t="str">
        <f>IF(INDEX(I.Gas.P4Y2C1E2,18)="","",INDEX(I.Gas.P4Y2C1E2,18))</f>
        <v/>
      </c>
      <c r="G28855" s="62"/>
      <c r="H28855" s="46" t="str">
        <f>IF(OR(I.Developer.P4=FALSE,I.Facility.StandardPart="Part 2"),"Complete",IF(I.Product.P4GasToPowerStatus&lt;&gt;"Yes","Complete",IF(AND(I.Gas.P4Y2Count&gt;=18,F28855=""),"Incomplete","Complete")))</f>
        <v>Complete</v>
      </c>
      <c r="I28855" s="48" t="s">
        <v>4034</v>
      </c>
    </row>
    <row r="28856" spans="2:9" ht="15" customHeight="1" x14ac:dyDescent="0.25">
      <c r="B28856" s="55" t="s">
        <v>432</v>
      </c>
      <c r="C28856" s="46">
        <v>19</v>
      </c>
      <c r="D28856" s="69" t="s">
        <v>29569</v>
      </c>
      <c r="E28856" s="62"/>
      <c r="F28856" s="62" t="str">
        <f>IF(INDEX(I.Gas.P4Y2C1E2,19)="","",INDEX(I.Gas.P4Y2C1E2,19))</f>
        <v/>
      </c>
      <c r="G28856" s="62"/>
      <c r="H28856" s="46" t="str">
        <f>IF(OR(I.Developer.P4=FALSE,I.Facility.StandardPart="Part 2"),"Complete",IF(I.Product.P4GasToPowerStatus&lt;&gt;"Yes","Complete",IF(AND(I.Gas.P4Y2Count&gt;=19,F28856=""),"Incomplete","Complete")))</f>
        <v>Complete</v>
      </c>
      <c r="I28856" s="48" t="s">
        <v>4035</v>
      </c>
    </row>
    <row r="28857" spans="2:9" ht="15" customHeight="1" x14ac:dyDescent="0.25">
      <c r="B28857" s="55" t="s">
        <v>432</v>
      </c>
      <c r="C28857" s="46">
        <v>20</v>
      </c>
      <c r="D28857" s="69" t="s">
        <v>29569</v>
      </c>
      <c r="E28857" s="62"/>
      <c r="F28857" s="62" t="str">
        <f>IF(INDEX(I.Gas.P4Y2C1E2,20)="","",INDEX(I.Gas.P4Y2C1E2,20))</f>
        <v/>
      </c>
      <c r="G28857" s="62"/>
      <c r="H28857" s="46" t="str">
        <f>IF(OR(I.Developer.P4=FALSE,I.Facility.StandardPart="Part 2"),"Complete",IF(I.Product.P4GasToPowerStatus&lt;&gt;"Yes","Complete",IF(AND(I.Gas.P4Y2Count&gt;=20,F28857=""),"Incomplete","Complete")))</f>
        <v>Complete</v>
      </c>
      <c r="I28857" s="48" t="s">
        <v>4036</v>
      </c>
    </row>
    <row r="28858" spans="2:9" ht="15" customHeight="1" x14ac:dyDescent="0.25">
      <c r="B28858" s="55" t="s">
        <v>432</v>
      </c>
      <c r="C28858" s="46">
        <v>21</v>
      </c>
      <c r="D28858" s="69" t="s">
        <v>29569</v>
      </c>
      <c r="E28858" s="62"/>
      <c r="F28858" s="62" t="str">
        <f>IF(INDEX(I.Gas.P4Y2C1E2,21)="","",INDEX(I.Gas.P4Y2C1E2,21))</f>
        <v/>
      </c>
      <c r="G28858" s="62"/>
      <c r="H28858" s="46" t="str">
        <f>IF(OR(I.Developer.P4=FALSE,I.Facility.StandardPart="Part 2"),"Complete",IF(I.Product.P4GasToPowerStatus&lt;&gt;"Yes","Complete",IF(AND(I.Gas.P4Y2Count&gt;=21,F28858=""),"Incomplete","Complete")))</f>
        <v>Complete</v>
      </c>
      <c r="I28858" s="48" t="s">
        <v>4037</v>
      </c>
    </row>
    <row r="28859" spans="2:9" ht="15" customHeight="1" x14ac:dyDescent="0.25">
      <c r="B28859" s="55" t="s">
        <v>432</v>
      </c>
      <c r="C28859" s="46">
        <v>22</v>
      </c>
      <c r="D28859" s="69" t="s">
        <v>29569</v>
      </c>
      <c r="E28859" s="62"/>
      <c r="F28859" s="62" t="str">
        <f>IF(INDEX(I.Gas.P4Y2C1E2,22)="","",INDEX(I.Gas.P4Y2C1E2,22))</f>
        <v/>
      </c>
      <c r="G28859" s="62"/>
      <c r="H28859" s="46" t="str">
        <f>IF(OR(I.Developer.P4=FALSE,I.Facility.StandardPart="Part 2"),"Complete",IF(I.Product.P4GasToPowerStatus&lt;&gt;"Yes","Complete",IF(AND(I.Gas.P4Y2Count&gt;=22,F28859=""),"Incomplete","Complete")))</f>
        <v>Complete</v>
      </c>
      <c r="I28859" s="48" t="s">
        <v>4038</v>
      </c>
    </row>
    <row r="28860" spans="2:9" ht="15" customHeight="1" x14ac:dyDescent="0.25">
      <c r="B28860" s="55" t="s">
        <v>432</v>
      </c>
      <c r="C28860" s="46">
        <v>23</v>
      </c>
      <c r="D28860" s="69" t="s">
        <v>29569</v>
      </c>
      <c r="E28860" s="62"/>
      <c r="F28860" s="62" t="str">
        <f>IF(INDEX(I.Gas.P4Y2C1E2,23)="","",INDEX(I.Gas.P4Y2C1E2,23))</f>
        <v/>
      </c>
      <c r="G28860" s="62"/>
      <c r="H28860" s="46" t="str">
        <f>IF(OR(I.Developer.P4=FALSE,I.Facility.StandardPart="Part 2"),"Complete",IF(I.Product.P4GasToPowerStatus&lt;&gt;"Yes","Complete",IF(AND(I.Gas.P4Y2Count&gt;=23,F28860=""),"Incomplete","Complete")))</f>
        <v>Complete</v>
      </c>
      <c r="I28860" s="48" t="s">
        <v>4039</v>
      </c>
    </row>
    <row r="28861" spans="2:9" ht="15" customHeight="1" x14ac:dyDescent="0.25">
      <c r="B28861" s="55" t="s">
        <v>432</v>
      </c>
      <c r="C28861" s="46">
        <v>24</v>
      </c>
      <c r="D28861" s="69" t="s">
        <v>29569</v>
      </c>
      <c r="E28861" s="62"/>
      <c r="F28861" s="62" t="str">
        <f>IF(INDEX(I.Gas.P4Y2C1E2,24)="","",INDEX(I.Gas.P4Y2C1E2,24))</f>
        <v/>
      </c>
      <c r="G28861" s="62"/>
      <c r="H28861" s="46" t="str">
        <f>IF(OR(I.Developer.P4=FALSE,I.Facility.StandardPart="Part 2"),"Complete",IF(I.Product.P4GasToPowerStatus&lt;&gt;"Yes","Complete",IF(AND(I.Gas.P4Y2Count&gt;=24,F28861=""),"Incomplete","Complete")))</f>
        <v>Complete</v>
      </c>
      <c r="I28861" s="48" t="s">
        <v>4040</v>
      </c>
    </row>
    <row r="28862" spans="2:9" ht="15" customHeight="1" x14ac:dyDescent="0.25">
      <c r="B28862" s="55" t="s">
        <v>432</v>
      </c>
      <c r="C28862" s="46">
        <v>25</v>
      </c>
      <c r="D28862" s="69" t="s">
        <v>29569</v>
      </c>
      <c r="E28862" s="62"/>
      <c r="F28862" s="62" t="str">
        <f>IF(INDEX(I.Gas.P4Y2C1E2,25)="","",INDEX(I.Gas.P4Y2C1E2,25))</f>
        <v/>
      </c>
      <c r="G28862" s="62"/>
      <c r="H28862" s="46" t="str">
        <f>IF(OR(I.Developer.P4=FALSE,I.Facility.StandardPart="Part 2"),"Complete",IF(I.Product.P4GasToPowerStatus&lt;&gt;"Yes","Complete",IF(AND(I.Gas.P4Y2Count&gt;=25,F28862=""),"Incomplete","Complete")))</f>
        <v>Complete</v>
      </c>
      <c r="I28862" s="48" t="s">
        <v>4041</v>
      </c>
    </row>
    <row r="28863" spans="2:9" ht="15" customHeight="1" x14ac:dyDescent="0.25">
      <c r="B28863" s="55" t="s">
        <v>432</v>
      </c>
      <c r="C28863" s="46">
        <v>26</v>
      </c>
      <c r="D28863" s="69" t="s">
        <v>29569</v>
      </c>
      <c r="E28863" s="62"/>
      <c r="F28863" s="62" t="str">
        <f>IF(INDEX(I.Gas.P4Y2C1E2,26)="","",INDEX(I.Gas.P4Y2C1E2,26))</f>
        <v/>
      </c>
      <c r="G28863" s="62"/>
      <c r="H28863" s="46" t="str">
        <f>IF(OR(I.Developer.P4=FALSE,I.Facility.StandardPart="Part 2"),"Complete",IF(I.Product.P4GasToPowerStatus&lt;&gt;"Yes","Complete",IF(AND(I.Gas.P4Y2Count&gt;=26,F28863=""),"Incomplete","Complete")))</f>
        <v>Complete</v>
      </c>
      <c r="I28863" s="48" t="s">
        <v>4042</v>
      </c>
    </row>
    <row r="28864" spans="2:9" ht="15" customHeight="1" x14ac:dyDescent="0.25">
      <c r="B28864" s="55" t="s">
        <v>432</v>
      </c>
      <c r="C28864" s="46">
        <v>27</v>
      </c>
      <c r="D28864" s="69" t="s">
        <v>29569</v>
      </c>
      <c r="E28864" s="62"/>
      <c r="F28864" s="62" t="str">
        <f>IF(INDEX(I.Gas.P4Y2C1E2,27)="","",INDEX(I.Gas.P4Y2C1E2,27))</f>
        <v/>
      </c>
      <c r="G28864" s="62"/>
      <c r="H28864" s="46" t="str">
        <f>IF(OR(I.Developer.P4=FALSE,I.Facility.StandardPart="Part 2"),"Complete",IF(I.Product.P4GasToPowerStatus&lt;&gt;"Yes","Complete",IF(AND(I.Gas.P4Y2Count&gt;=27,F28864=""),"Incomplete","Complete")))</f>
        <v>Complete</v>
      </c>
      <c r="I28864" s="48" t="s">
        <v>4043</v>
      </c>
    </row>
    <row r="28865" spans="2:9" ht="15" customHeight="1" x14ac:dyDescent="0.25">
      <c r="B28865" s="55" t="s">
        <v>432</v>
      </c>
      <c r="C28865" s="46">
        <v>28</v>
      </c>
      <c r="D28865" s="69" t="s">
        <v>29569</v>
      </c>
      <c r="E28865" s="62"/>
      <c r="F28865" s="62" t="str">
        <f>IF(INDEX(I.Gas.P4Y2C1E2,28)="","",INDEX(I.Gas.P4Y2C1E2,28))</f>
        <v/>
      </c>
      <c r="G28865" s="62"/>
      <c r="H28865" s="46" t="str">
        <f>IF(OR(I.Developer.P4=FALSE,I.Facility.StandardPart="Part 2"),"Complete",IF(I.Product.P4GasToPowerStatus&lt;&gt;"Yes","Complete",IF(AND(I.Gas.P4Y2Count&gt;=28,F28865=""),"Incomplete","Complete")))</f>
        <v>Complete</v>
      </c>
      <c r="I28865" s="48" t="s">
        <v>4044</v>
      </c>
    </row>
    <row r="28866" spans="2:9" ht="15" customHeight="1" x14ac:dyDescent="0.25">
      <c r="B28866" s="55" t="s">
        <v>432</v>
      </c>
      <c r="C28866" s="46">
        <v>29</v>
      </c>
      <c r="D28866" s="69" t="s">
        <v>29569</v>
      </c>
      <c r="E28866" s="62"/>
      <c r="F28866" s="62" t="str">
        <f>IF(INDEX(I.Gas.P4Y2C1E2,29)="","",INDEX(I.Gas.P4Y2C1E2,29))</f>
        <v/>
      </c>
      <c r="G28866" s="62"/>
      <c r="H28866" s="46" t="str">
        <f>IF(OR(I.Developer.P4=FALSE,I.Facility.StandardPart="Part 2"),"Complete",IF(I.Product.P4GasToPowerStatus&lt;&gt;"Yes","Complete",IF(AND(I.Gas.P4Y2Count&gt;=29,F28866=""),"Incomplete","Complete")))</f>
        <v>Complete</v>
      </c>
      <c r="I28866" s="48" t="s">
        <v>4045</v>
      </c>
    </row>
    <row r="28867" spans="2:9" ht="15" customHeight="1" x14ac:dyDescent="0.25">
      <c r="B28867" s="55" t="s">
        <v>432</v>
      </c>
      <c r="C28867" s="46">
        <v>30</v>
      </c>
      <c r="D28867" s="69" t="s">
        <v>29569</v>
      </c>
      <c r="E28867" s="62"/>
      <c r="F28867" s="62" t="str">
        <f>IF(INDEX(I.Gas.P4Y2C1E2,30)="","",INDEX(I.Gas.P4Y2C1E2,30))</f>
        <v/>
      </c>
      <c r="G28867" s="62"/>
      <c r="H28867" s="46" t="str">
        <f>IF(OR(I.Developer.P4=FALSE,I.Facility.StandardPart="Part 2"),"Complete",IF(I.Product.P4GasToPowerStatus&lt;&gt;"Yes","Complete",IF(AND(I.Gas.P4Y2Count&gt;=30,F28867=""),"Incomplete","Complete")))</f>
        <v>Complete</v>
      </c>
      <c r="I28867" s="48" t="s">
        <v>4046</v>
      </c>
    </row>
    <row r="28868" spans="2:9" ht="15" customHeight="1" x14ac:dyDescent="0.25">
      <c r="B28868" s="55" t="s">
        <v>432</v>
      </c>
      <c r="C28868" s="46">
        <v>31</v>
      </c>
      <c r="D28868" s="69" t="s">
        <v>29569</v>
      </c>
      <c r="E28868" s="62"/>
      <c r="F28868" s="62" t="str">
        <f>IF(INDEX(I.Gas.P4Y2C1E2,31)="","",INDEX(I.Gas.P4Y2C1E2,31))</f>
        <v/>
      </c>
      <c r="G28868" s="62"/>
      <c r="H28868" s="46" t="str">
        <f>IF(OR(I.Developer.P4=FALSE,I.Facility.StandardPart="Part 2"),"Complete",IF(I.Product.P4GasToPowerStatus&lt;&gt;"Yes","Complete",IF(AND(I.Gas.P4Y2Count&gt;=31,F28868=""),"Incomplete","Complete")))</f>
        <v>Complete</v>
      </c>
      <c r="I28868" s="48" t="s">
        <v>4047</v>
      </c>
    </row>
    <row r="28869" spans="2:9" ht="15" customHeight="1" x14ac:dyDescent="0.25">
      <c r="B28869" s="55" t="s">
        <v>432</v>
      </c>
      <c r="C28869" s="46">
        <v>32</v>
      </c>
      <c r="D28869" s="69" t="s">
        <v>29569</v>
      </c>
      <c r="E28869" s="62"/>
      <c r="F28869" s="62" t="str">
        <f>IF(INDEX(I.Gas.P4Y2C1E2,32)="","",INDEX(I.Gas.P4Y2C1E2,32))</f>
        <v/>
      </c>
      <c r="G28869" s="62"/>
      <c r="H28869" s="46" t="str">
        <f>IF(OR(I.Developer.P4=FALSE,I.Facility.StandardPart="Part 2"),"Complete",IF(I.Product.P4GasToPowerStatus&lt;&gt;"Yes","Complete",IF(AND(I.Gas.P4Y2Count&gt;=32,F28869=""),"Incomplete","Complete")))</f>
        <v>Complete</v>
      </c>
      <c r="I28869" s="48" t="s">
        <v>4048</v>
      </c>
    </row>
    <row r="28870" spans="2:9" ht="15" customHeight="1" x14ac:dyDescent="0.25">
      <c r="B28870" s="55" t="s">
        <v>432</v>
      </c>
      <c r="C28870" s="46">
        <v>33</v>
      </c>
      <c r="D28870" s="69" t="s">
        <v>29569</v>
      </c>
      <c r="E28870" s="62"/>
      <c r="F28870" s="62" t="str">
        <f>IF(INDEX(I.Gas.P4Y2C1E2,33)="","",INDEX(I.Gas.P4Y2C1E2,33))</f>
        <v/>
      </c>
      <c r="G28870" s="62"/>
      <c r="H28870" s="46" t="str">
        <f>IF(OR(I.Developer.P4=FALSE,I.Facility.StandardPart="Part 2"),"Complete",IF(I.Product.P4GasToPowerStatus&lt;&gt;"Yes","Complete",IF(AND(I.Gas.P4Y2Count&gt;=33,F28870=""),"Incomplete","Complete")))</f>
        <v>Complete</v>
      </c>
      <c r="I28870" s="48" t="s">
        <v>4049</v>
      </c>
    </row>
    <row r="28871" spans="2:9" ht="15" customHeight="1" x14ac:dyDescent="0.25">
      <c r="B28871" s="55" t="s">
        <v>432</v>
      </c>
      <c r="C28871" s="46">
        <v>34</v>
      </c>
      <c r="D28871" s="69" t="s">
        <v>29569</v>
      </c>
      <c r="E28871" s="62"/>
      <c r="F28871" s="62" t="str">
        <f>IF(INDEX(I.Gas.P4Y2C1E2,34)="","",INDEX(I.Gas.P4Y2C1E2,34))</f>
        <v/>
      </c>
      <c r="G28871" s="62"/>
      <c r="H28871" s="46" t="str">
        <f>IF(OR(I.Developer.P4=FALSE,I.Facility.StandardPart="Part 2"),"Complete",IF(I.Product.P4GasToPowerStatus&lt;&gt;"Yes","Complete",IF(AND(I.Gas.P4Y2Count&gt;=34,F28871=""),"Incomplete","Complete")))</f>
        <v>Complete</v>
      </c>
      <c r="I28871" s="48" t="s">
        <v>4050</v>
      </c>
    </row>
    <row r="28872" spans="2:9" ht="15" customHeight="1" x14ac:dyDescent="0.25">
      <c r="B28872" s="55" t="s">
        <v>432</v>
      </c>
      <c r="C28872" s="46">
        <v>35</v>
      </c>
      <c r="D28872" s="69" t="s">
        <v>29569</v>
      </c>
      <c r="E28872" s="62"/>
      <c r="F28872" s="62" t="str">
        <f>IF(INDEX(I.Gas.P4Y2C1E2,35)="","",INDEX(I.Gas.P4Y2C1E2,35))</f>
        <v/>
      </c>
      <c r="G28872" s="62"/>
      <c r="H28872" s="46" t="str">
        <f>IF(OR(I.Developer.P4=FALSE,I.Facility.StandardPart="Part 2"),"Complete",IF(I.Product.P4GasToPowerStatus&lt;&gt;"Yes","Complete",IF(AND(I.Gas.P4Y2Count&gt;=35,F28872=""),"Incomplete","Complete")))</f>
        <v>Complete</v>
      </c>
      <c r="I28872" s="48" t="s">
        <v>4051</v>
      </c>
    </row>
    <row r="28873" spans="2:9" ht="15" customHeight="1" x14ac:dyDescent="0.25">
      <c r="B28873" s="55" t="s">
        <v>432</v>
      </c>
      <c r="C28873" s="46">
        <v>36</v>
      </c>
      <c r="D28873" s="69" t="s">
        <v>29569</v>
      </c>
      <c r="E28873" s="62"/>
      <c r="F28873" s="62" t="str">
        <f>IF(INDEX(I.Gas.P4Y2C1E2,36)="","",INDEX(I.Gas.P4Y2C1E2,36))</f>
        <v/>
      </c>
      <c r="G28873" s="62"/>
      <c r="H28873" s="46" t="str">
        <f>IF(OR(I.Developer.P4=FALSE,I.Facility.StandardPart="Part 2"),"Complete",IF(I.Product.P4GasToPowerStatus&lt;&gt;"Yes","Complete",IF(AND(I.Gas.P4Y2Count&gt;=36,F28873=""),"Incomplete","Complete")))</f>
        <v>Complete</v>
      </c>
      <c r="I28873" s="48" t="s">
        <v>4052</v>
      </c>
    </row>
    <row r="28874" spans="2:9" ht="15" customHeight="1" x14ac:dyDescent="0.25">
      <c r="B28874" s="55" t="s">
        <v>432</v>
      </c>
      <c r="C28874" s="46">
        <v>37</v>
      </c>
      <c r="D28874" s="69" t="s">
        <v>29569</v>
      </c>
      <c r="E28874" s="62"/>
      <c r="F28874" s="62" t="str">
        <f>IF(INDEX(I.Gas.P4Y2C1E2,37)="","",INDEX(I.Gas.P4Y2C1E2,37))</f>
        <v/>
      </c>
      <c r="G28874" s="62"/>
      <c r="H28874" s="46" t="str">
        <f>IF(OR(I.Developer.P4=FALSE,I.Facility.StandardPart="Part 2"),"Complete",IF(I.Product.P4GasToPowerStatus&lt;&gt;"Yes","Complete",IF(AND(I.Gas.P4Y2Count&gt;=37,F28874=""),"Incomplete","Complete")))</f>
        <v>Complete</v>
      </c>
      <c r="I28874" s="48" t="s">
        <v>4053</v>
      </c>
    </row>
    <row r="28875" spans="2:9" ht="15" customHeight="1" x14ac:dyDescent="0.25">
      <c r="B28875" s="55" t="s">
        <v>432</v>
      </c>
      <c r="C28875" s="46">
        <v>38</v>
      </c>
      <c r="D28875" s="69" t="s">
        <v>29569</v>
      </c>
      <c r="E28875" s="62"/>
      <c r="F28875" s="62" t="str">
        <f>IF(INDEX(I.Gas.P4Y2C1E2,38)="","",INDEX(I.Gas.P4Y2C1E2,38))</f>
        <v/>
      </c>
      <c r="G28875" s="62"/>
      <c r="H28875" s="46" t="str">
        <f>IF(OR(I.Developer.P4=FALSE,I.Facility.StandardPart="Part 2"),"Complete",IF(I.Product.P4GasToPowerStatus&lt;&gt;"Yes","Complete",IF(AND(I.Gas.P4Y2Count&gt;=38,F28875=""),"Incomplete","Complete")))</f>
        <v>Complete</v>
      </c>
      <c r="I28875" s="48" t="s">
        <v>4054</v>
      </c>
    </row>
    <row r="28876" spans="2:9" ht="15" customHeight="1" x14ac:dyDescent="0.25">
      <c r="B28876" s="55" t="s">
        <v>432</v>
      </c>
      <c r="C28876" s="46">
        <v>39</v>
      </c>
      <c r="D28876" s="69" t="s">
        <v>29569</v>
      </c>
      <c r="E28876" s="62"/>
      <c r="F28876" s="62" t="str">
        <f>IF(INDEX(I.Gas.P4Y2C1E2,39)="","",INDEX(I.Gas.P4Y2C1E2,39))</f>
        <v/>
      </c>
      <c r="G28876" s="62"/>
      <c r="H28876" s="46" t="str">
        <f>IF(OR(I.Developer.P4=FALSE,I.Facility.StandardPart="Part 2"),"Complete",IF(I.Product.P4GasToPowerStatus&lt;&gt;"Yes","Complete",IF(AND(I.Gas.P4Y2Count&gt;=39,F28876=""),"Incomplete","Complete")))</f>
        <v>Complete</v>
      </c>
      <c r="I28876" s="48" t="s">
        <v>4055</v>
      </c>
    </row>
    <row r="28877" spans="2:9" ht="15" customHeight="1" x14ac:dyDescent="0.25">
      <c r="B28877" s="55" t="s">
        <v>432</v>
      </c>
      <c r="C28877" s="46">
        <v>40</v>
      </c>
      <c r="D28877" s="69" t="s">
        <v>29569</v>
      </c>
      <c r="E28877" s="62"/>
      <c r="F28877" s="62" t="str">
        <f>IF(INDEX(I.Gas.P4Y2C1E2,40)="","",INDEX(I.Gas.P4Y2C1E2,40))</f>
        <v/>
      </c>
      <c r="G28877" s="62"/>
      <c r="H28877" s="46" t="str">
        <f>IF(OR(I.Developer.P4=FALSE,I.Facility.StandardPart="Part 2"),"Complete",IF(I.Product.P4GasToPowerStatus&lt;&gt;"Yes","Complete",IF(AND(I.Gas.P4Y2Count&gt;=40,F28877=""),"Incomplete","Complete")))</f>
        <v>Complete</v>
      </c>
      <c r="I28877" s="48" t="s">
        <v>4056</v>
      </c>
    </row>
    <row r="28878" spans="2:9" ht="15" customHeight="1" x14ac:dyDescent="0.25">
      <c r="B28878" s="55" t="s">
        <v>432</v>
      </c>
      <c r="C28878" s="46">
        <v>41</v>
      </c>
      <c r="D28878" s="69" t="s">
        <v>29569</v>
      </c>
      <c r="E28878" s="62"/>
      <c r="F28878" s="62" t="str">
        <f>IF(INDEX(I.Gas.P4Y2C1E2,41)="","",INDEX(I.Gas.P4Y2C1E2,41))</f>
        <v/>
      </c>
      <c r="G28878" s="62"/>
      <c r="H28878" s="46" t="str">
        <f>IF(OR(I.Developer.P4=FALSE,I.Facility.StandardPart="Part 2"),"Complete",IF(I.Product.P4GasToPowerStatus&lt;&gt;"Yes","Complete",IF(AND(I.Gas.P4Y2Count&gt;=41,F28878=""),"Incomplete","Complete")))</f>
        <v>Complete</v>
      </c>
      <c r="I28878" s="48" t="s">
        <v>4057</v>
      </c>
    </row>
    <row r="28879" spans="2:9" ht="15" customHeight="1" x14ac:dyDescent="0.25">
      <c r="B28879" s="55" t="s">
        <v>432</v>
      </c>
      <c r="C28879" s="46">
        <v>42</v>
      </c>
      <c r="D28879" s="69" t="s">
        <v>29569</v>
      </c>
      <c r="E28879" s="62"/>
      <c r="F28879" s="62" t="str">
        <f>IF(INDEX(I.Gas.P4Y2C1E2,42)="","",INDEX(I.Gas.P4Y2C1E2,42))</f>
        <v/>
      </c>
      <c r="G28879" s="62"/>
      <c r="H28879" s="46" t="str">
        <f>IF(OR(I.Developer.P4=FALSE,I.Facility.StandardPart="Part 2"),"Complete",IF(I.Product.P4GasToPowerStatus&lt;&gt;"Yes","Complete",IF(AND(I.Gas.P4Y2Count&gt;=42,F28879=""),"Incomplete","Complete")))</f>
        <v>Complete</v>
      </c>
      <c r="I28879" s="48" t="s">
        <v>4058</v>
      </c>
    </row>
    <row r="28880" spans="2:9" ht="15" customHeight="1" x14ac:dyDescent="0.25">
      <c r="B28880" s="55" t="s">
        <v>432</v>
      </c>
      <c r="C28880" s="46">
        <v>43</v>
      </c>
      <c r="D28880" s="69" t="s">
        <v>29569</v>
      </c>
      <c r="E28880" s="62"/>
      <c r="F28880" s="62" t="str">
        <f>IF(INDEX(I.Gas.P4Y2C1E2,43)="","",INDEX(I.Gas.P4Y2C1E2,43))</f>
        <v/>
      </c>
      <c r="G28880" s="62"/>
      <c r="H28880" s="46" t="str">
        <f>IF(OR(I.Developer.P4=FALSE,I.Facility.StandardPart="Part 2"),"Complete",IF(I.Product.P4GasToPowerStatus&lt;&gt;"Yes","Complete",IF(AND(I.Gas.P4Y2Count&gt;=43,F28880=""),"Incomplete","Complete")))</f>
        <v>Complete</v>
      </c>
      <c r="I28880" s="48" t="s">
        <v>4059</v>
      </c>
    </row>
    <row r="28881" spans="2:9" ht="15" customHeight="1" x14ac:dyDescent="0.25">
      <c r="B28881" s="55" t="s">
        <v>432</v>
      </c>
      <c r="C28881" s="46">
        <v>44</v>
      </c>
      <c r="D28881" s="69" t="s">
        <v>29569</v>
      </c>
      <c r="E28881" s="62"/>
      <c r="F28881" s="62" t="str">
        <f>IF(INDEX(I.Gas.P4Y2C1E2,44)="","",INDEX(I.Gas.P4Y2C1E2,44))</f>
        <v/>
      </c>
      <c r="G28881" s="62"/>
      <c r="H28881" s="46" t="str">
        <f>IF(OR(I.Developer.P4=FALSE,I.Facility.StandardPart="Part 2"),"Complete",IF(I.Product.P4GasToPowerStatus&lt;&gt;"Yes","Complete",IF(AND(I.Gas.P4Y2Count&gt;=44,F28881=""),"Incomplete","Complete")))</f>
        <v>Complete</v>
      </c>
      <c r="I28881" s="48" t="s">
        <v>4060</v>
      </c>
    </row>
    <row r="28882" spans="2:9" ht="15" customHeight="1" x14ac:dyDescent="0.25">
      <c r="B28882" s="55" t="s">
        <v>432</v>
      </c>
      <c r="C28882" s="46">
        <v>45</v>
      </c>
      <c r="D28882" s="69" t="s">
        <v>29569</v>
      </c>
      <c r="E28882" s="62"/>
      <c r="F28882" s="62" t="str">
        <f>IF(INDEX(I.Gas.P4Y2C1E2,45)="","",INDEX(I.Gas.P4Y2C1E2,45))</f>
        <v/>
      </c>
      <c r="G28882" s="62"/>
      <c r="H28882" s="46" t="str">
        <f>IF(OR(I.Developer.P4=FALSE,I.Facility.StandardPart="Part 2"),"Complete",IF(I.Product.P4GasToPowerStatus&lt;&gt;"Yes","Complete",IF(AND(I.Gas.P4Y2Count&gt;=45,F28882=""),"Incomplete","Complete")))</f>
        <v>Complete</v>
      </c>
      <c r="I28882" s="48" t="s">
        <v>4061</v>
      </c>
    </row>
    <row r="28883" spans="2:9" ht="15" customHeight="1" x14ac:dyDescent="0.25">
      <c r="B28883" s="55" t="s">
        <v>432</v>
      </c>
      <c r="C28883" s="46">
        <v>46</v>
      </c>
      <c r="D28883" s="69" t="s">
        <v>29569</v>
      </c>
      <c r="E28883" s="62"/>
      <c r="F28883" s="62" t="str">
        <f>IF(INDEX(I.Gas.P4Y2C1E2,46)="","",INDEX(I.Gas.P4Y2C1E2,46))</f>
        <v/>
      </c>
      <c r="G28883" s="62"/>
      <c r="H28883" s="46" t="str">
        <f>IF(OR(I.Developer.P4=FALSE,I.Facility.StandardPart="Part 2"),"Complete",IF(I.Product.P4GasToPowerStatus&lt;&gt;"Yes","Complete",IF(AND(I.Gas.P4Y2Count&gt;=46,F28883=""),"Incomplete","Complete")))</f>
        <v>Complete</v>
      </c>
      <c r="I28883" s="48" t="s">
        <v>4062</v>
      </c>
    </row>
    <row r="28884" spans="2:9" ht="15" customHeight="1" x14ac:dyDescent="0.25">
      <c r="B28884" s="55" t="s">
        <v>432</v>
      </c>
      <c r="C28884" s="46">
        <v>47</v>
      </c>
      <c r="D28884" s="69" t="s">
        <v>29569</v>
      </c>
      <c r="E28884" s="62"/>
      <c r="F28884" s="62" t="str">
        <f>IF(INDEX(I.Gas.P4Y2C1E2,47)="","",INDEX(I.Gas.P4Y2C1E2,47))</f>
        <v/>
      </c>
      <c r="G28884" s="62"/>
      <c r="H28884" s="46" t="str">
        <f>IF(OR(I.Developer.P4=FALSE,I.Facility.StandardPart="Part 2"),"Complete",IF(I.Product.P4GasToPowerStatus&lt;&gt;"Yes","Complete",IF(AND(I.Gas.P4Y2Count&gt;=47,F28884=""),"Incomplete","Complete")))</f>
        <v>Complete</v>
      </c>
      <c r="I28884" s="48" t="s">
        <v>4063</v>
      </c>
    </row>
    <row r="28885" spans="2:9" ht="15" customHeight="1" x14ac:dyDescent="0.25">
      <c r="B28885" s="55" t="s">
        <v>432</v>
      </c>
      <c r="C28885" s="46">
        <v>48</v>
      </c>
      <c r="D28885" s="69" t="s">
        <v>29569</v>
      </c>
      <c r="E28885" s="62"/>
      <c r="F28885" s="62" t="str">
        <f>IF(INDEX(I.Gas.P4Y2C1E2,48)="","",INDEX(I.Gas.P4Y2C1E2,48))</f>
        <v/>
      </c>
      <c r="G28885" s="62"/>
      <c r="H28885" s="46" t="str">
        <f>IF(OR(I.Developer.P4=FALSE,I.Facility.StandardPart="Part 2"),"Complete",IF(I.Product.P4GasToPowerStatus&lt;&gt;"Yes","Complete",IF(AND(I.Gas.P4Y2Count&gt;=48,F28885=""),"Incomplete","Complete")))</f>
        <v>Complete</v>
      </c>
      <c r="I28885" s="48" t="s">
        <v>4064</v>
      </c>
    </row>
    <row r="28886" spans="2:9" ht="15" customHeight="1" x14ac:dyDescent="0.25">
      <c r="B28886" s="55" t="s">
        <v>432</v>
      </c>
      <c r="C28886" s="46">
        <v>49</v>
      </c>
      <c r="D28886" s="69" t="s">
        <v>29569</v>
      </c>
      <c r="E28886" s="62"/>
      <c r="F28886" s="62" t="str">
        <f>IF(INDEX(I.Gas.P4Y2C1E2,49)="","",INDEX(I.Gas.P4Y2C1E2,49))</f>
        <v/>
      </c>
      <c r="G28886" s="62"/>
      <c r="H28886" s="46" t="str">
        <f>IF(OR(I.Developer.P4=FALSE,I.Facility.StandardPart="Part 2"),"Complete",IF(I.Product.P4GasToPowerStatus&lt;&gt;"Yes","Complete",IF(AND(I.Gas.P4Y2Count&gt;=49,F28886=""),"Incomplete","Complete")))</f>
        <v>Complete</v>
      </c>
      <c r="I28886" s="48" t="s">
        <v>4065</v>
      </c>
    </row>
    <row r="28887" spans="2:9" ht="15" customHeight="1" x14ac:dyDescent="0.25">
      <c r="B28887" s="56" t="s">
        <v>432</v>
      </c>
      <c r="C28887" s="57">
        <v>50</v>
      </c>
      <c r="D28887" s="71" t="s">
        <v>29569</v>
      </c>
      <c r="E28887" s="61"/>
      <c r="F28887" s="61" t="str">
        <f>IF(INDEX(I.Gas.P4Y2C1E2,50)="","",INDEX(I.Gas.P4Y2C1E2,50))</f>
        <v/>
      </c>
      <c r="G28887" s="61"/>
      <c r="H28887" s="57" t="str">
        <f>IF(OR(I.Developer.P4=FALSE,I.Facility.StandardPart="Part 2"),"Complete",IF(I.Product.P4GasToPowerStatus&lt;&gt;"Yes","Complete",IF(AND(I.Gas.P4Y2Count&gt;=50,F28887=""),"Incomplete","Complete")))</f>
        <v>Complete</v>
      </c>
      <c r="I28887" s="49" t="s">
        <v>4066</v>
      </c>
    </row>
    <row r="28888" spans="2:9" ht="15" customHeight="1" x14ac:dyDescent="0.25">
      <c r="B28888" s="55" t="s">
        <v>433</v>
      </c>
      <c r="C28888" s="46">
        <v>1</v>
      </c>
      <c r="D28888" s="69" t="s">
        <v>29570</v>
      </c>
      <c r="E28888" s="62"/>
      <c r="F28888" s="62" t="str">
        <f>IF(INDEX(I.Gas.P4Y2C1E3,1)="","",INDEX(I.Gas.P4Y2C1E3,1))</f>
        <v/>
      </c>
      <c r="G28888" s="62"/>
      <c r="H28888" s="46" t="str">
        <f>IF(OR(I.Developer.P4=FALSE,I.Facility.StandardPart="Part 2"),"Complete",IF(I.Product.P4GasToPowerStatus&lt;&gt;"Yes","Complete",IF(AND(I.Gas.P4Y2Count&gt;=1,F28888=""),"Incomplete","Complete")))</f>
        <v>Complete</v>
      </c>
      <c r="I28888" s="48" t="s">
        <v>4067</v>
      </c>
    </row>
    <row r="28889" spans="2:9" ht="15" customHeight="1" x14ac:dyDescent="0.25">
      <c r="B28889" s="55" t="s">
        <v>433</v>
      </c>
      <c r="C28889" s="46">
        <v>2</v>
      </c>
      <c r="D28889" s="69" t="s">
        <v>29570</v>
      </c>
      <c r="E28889" s="62"/>
      <c r="F28889" s="62" t="str">
        <f>IF(INDEX(I.Gas.P4Y2C1E3,2)="","",INDEX(I.Gas.P4Y2C1E3,2))</f>
        <v/>
      </c>
      <c r="G28889" s="62"/>
      <c r="H28889" s="46" t="str">
        <f>IF(OR(I.Developer.P4=FALSE,I.Facility.StandardPart="Part 2"),"Complete",IF(I.Product.P4GasToPowerStatus&lt;&gt;"Yes","Complete",IF(AND(I.Gas.P4Y2Count&gt;=2,F28889=""),"Incomplete","Complete")))</f>
        <v>Complete</v>
      </c>
      <c r="I28889" s="48" t="s">
        <v>4068</v>
      </c>
    </row>
    <row r="28890" spans="2:9" ht="15" customHeight="1" x14ac:dyDescent="0.25">
      <c r="B28890" s="55" t="s">
        <v>433</v>
      </c>
      <c r="C28890" s="46">
        <v>3</v>
      </c>
      <c r="D28890" s="69" t="s">
        <v>29570</v>
      </c>
      <c r="E28890" s="62"/>
      <c r="F28890" s="62" t="str">
        <f>IF(INDEX(I.Gas.P4Y2C1E3,3)="","",INDEX(I.Gas.P4Y2C1E3,3))</f>
        <v/>
      </c>
      <c r="G28890" s="62"/>
      <c r="H28890" s="46" t="str">
        <f>IF(OR(I.Developer.P4=FALSE,I.Facility.StandardPart="Part 2"),"Complete",IF(I.Product.P4GasToPowerStatus&lt;&gt;"Yes","Complete",IF(AND(I.Gas.P4Y2Count&gt;=3,F28890=""),"Incomplete","Complete")))</f>
        <v>Complete</v>
      </c>
      <c r="I28890" s="48" t="s">
        <v>4069</v>
      </c>
    </row>
    <row r="28891" spans="2:9" ht="15" customHeight="1" x14ac:dyDescent="0.25">
      <c r="B28891" s="55" t="s">
        <v>433</v>
      </c>
      <c r="C28891" s="46">
        <v>4</v>
      </c>
      <c r="D28891" s="69" t="s">
        <v>29570</v>
      </c>
      <c r="E28891" s="62"/>
      <c r="F28891" s="62" t="str">
        <f>IF(INDEX(I.Gas.P4Y2C1E3,4)="","",INDEX(I.Gas.P4Y2C1E3,4))</f>
        <v/>
      </c>
      <c r="G28891" s="62"/>
      <c r="H28891" s="46" t="str">
        <f>IF(OR(I.Developer.P4=FALSE,I.Facility.StandardPart="Part 2"),"Complete",IF(I.Product.P4GasToPowerStatus&lt;&gt;"Yes","Complete",IF(AND(I.Gas.P4Y2Count&gt;=4,F28891=""),"Incomplete","Complete")))</f>
        <v>Complete</v>
      </c>
      <c r="I28891" s="48" t="s">
        <v>4070</v>
      </c>
    </row>
    <row r="28892" spans="2:9" ht="15" customHeight="1" x14ac:dyDescent="0.25">
      <c r="B28892" s="55" t="s">
        <v>433</v>
      </c>
      <c r="C28892" s="46">
        <v>5</v>
      </c>
      <c r="D28892" s="69" t="s">
        <v>29570</v>
      </c>
      <c r="E28892" s="62"/>
      <c r="F28892" s="62" t="str">
        <f>IF(INDEX(I.Gas.P4Y2C1E3,5)="","",INDEX(I.Gas.P4Y2C1E3,5))</f>
        <v/>
      </c>
      <c r="G28892" s="62"/>
      <c r="H28892" s="46" t="str">
        <f>IF(OR(I.Developer.P4=FALSE,I.Facility.StandardPart="Part 2"),"Complete",IF(I.Product.P4GasToPowerStatus&lt;&gt;"Yes","Complete",IF(AND(I.Gas.P4Y2Count&gt;=5,F28892=""),"Incomplete","Complete")))</f>
        <v>Complete</v>
      </c>
      <c r="I28892" s="48" t="s">
        <v>4071</v>
      </c>
    </row>
    <row r="28893" spans="2:9" ht="15" customHeight="1" x14ac:dyDescent="0.25">
      <c r="B28893" s="55" t="s">
        <v>433</v>
      </c>
      <c r="C28893" s="46">
        <v>6</v>
      </c>
      <c r="D28893" s="69" t="s">
        <v>29570</v>
      </c>
      <c r="E28893" s="62"/>
      <c r="F28893" s="62" t="str">
        <f>IF(INDEX(I.Gas.P4Y2C1E3,6)="","",INDEX(I.Gas.P4Y2C1E3,6))</f>
        <v/>
      </c>
      <c r="G28893" s="62"/>
      <c r="H28893" s="46" t="str">
        <f>IF(OR(I.Developer.P4=FALSE,I.Facility.StandardPart="Part 2"),"Complete",IF(I.Product.P4GasToPowerStatus&lt;&gt;"Yes","Complete",IF(AND(I.Gas.P4Y2Count&gt;=6,F28893=""),"Incomplete","Complete")))</f>
        <v>Complete</v>
      </c>
      <c r="I28893" s="48" t="s">
        <v>4072</v>
      </c>
    </row>
    <row r="28894" spans="2:9" ht="15" customHeight="1" x14ac:dyDescent="0.25">
      <c r="B28894" s="55" t="s">
        <v>433</v>
      </c>
      <c r="C28894" s="46">
        <v>7</v>
      </c>
      <c r="D28894" s="69" t="s">
        <v>29570</v>
      </c>
      <c r="E28894" s="62"/>
      <c r="F28894" s="62" t="str">
        <f>IF(INDEX(I.Gas.P4Y2C1E3,7)="","",INDEX(I.Gas.P4Y2C1E3,7))</f>
        <v/>
      </c>
      <c r="G28894" s="62"/>
      <c r="H28894" s="46" t="str">
        <f>IF(OR(I.Developer.P4=FALSE,I.Facility.StandardPart="Part 2"),"Complete",IF(I.Product.P4GasToPowerStatus&lt;&gt;"Yes","Complete",IF(AND(I.Gas.P4Y2Count&gt;=7,F28894=""),"Incomplete","Complete")))</f>
        <v>Complete</v>
      </c>
      <c r="I28894" s="48" t="s">
        <v>4073</v>
      </c>
    </row>
    <row r="28895" spans="2:9" ht="15" customHeight="1" x14ac:dyDescent="0.25">
      <c r="B28895" s="55" t="s">
        <v>433</v>
      </c>
      <c r="C28895" s="46">
        <v>8</v>
      </c>
      <c r="D28895" s="69" t="s">
        <v>29570</v>
      </c>
      <c r="E28895" s="62"/>
      <c r="F28895" s="62" t="str">
        <f>IF(INDEX(I.Gas.P4Y2C1E3,8)="","",INDEX(I.Gas.P4Y2C1E3,8))</f>
        <v/>
      </c>
      <c r="G28895" s="62"/>
      <c r="H28895" s="46" t="str">
        <f>IF(OR(I.Developer.P4=FALSE,I.Facility.StandardPart="Part 2"),"Complete",IF(I.Product.P4GasToPowerStatus&lt;&gt;"Yes","Complete",IF(AND(I.Gas.P4Y2Count&gt;=8,F28895=""),"Incomplete","Complete")))</f>
        <v>Complete</v>
      </c>
      <c r="I28895" s="48" t="s">
        <v>4074</v>
      </c>
    </row>
    <row r="28896" spans="2:9" ht="15" customHeight="1" x14ac:dyDescent="0.25">
      <c r="B28896" s="55" t="s">
        <v>433</v>
      </c>
      <c r="C28896" s="46">
        <v>9</v>
      </c>
      <c r="D28896" s="69" t="s">
        <v>29570</v>
      </c>
      <c r="E28896" s="62"/>
      <c r="F28896" s="62" t="str">
        <f>IF(INDEX(I.Gas.P4Y2C1E3,9)="","",INDEX(I.Gas.P4Y2C1E3,9))</f>
        <v/>
      </c>
      <c r="G28896" s="62"/>
      <c r="H28896" s="46" t="str">
        <f>IF(OR(I.Developer.P4=FALSE,I.Facility.StandardPart="Part 2"),"Complete",IF(I.Product.P4GasToPowerStatus&lt;&gt;"Yes","Complete",IF(AND(I.Gas.P4Y2Count&gt;=9,F28896=""),"Incomplete","Complete")))</f>
        <v>Complete</v>
      </c>
      <c r="I28896" s="48" t="s">
        <v>4075</v>
      </c>
    </row>
    <row r="28897" spans="2:9" ht="15" customHeight="1" x14ac:dyDescent="0.25">
      <c r="B28897" s="55" t="s">
        <v>433</v>
      </c>
      <c r="C28897" s="46">
        <v>10</v>
      </c>
      <c r="D28897" s="69" t="s">
        <v>29570</v>
      </c>
      <c r="E28897" s="62"/>
      <c r="F28897" s="62" t="str">
        <f>IF(INDEX(I.Gas.P4Y2C1E3,10)="","",INDEX(I.Gas.P4Y2C1E3,10))</f>
        <v/>
      </c>
      <c r="G28897" s="62"/>
      <c r="H28897" s="46" t="str">
        <f>IF(OR(I.Developer.P4=FALSE,I.Facility.StandardPart="Part 2"),"Complete",IF(I.Product.P4GasToPowerStatus&lt;&gt;"Yes","Complete",IF(AND(I.Gas.P4Y2Count&gt;=10,F28897=""),"Incomplete","Complete")))</f>
        <v>Complete</v>
      </c>
      <c r="I28897" s="48" t="s">
        <v>4076</v>
      </c>
    </row>
    <row r="28898" spans="2:9" ht="15" customHeight="1" x14ac:dyDescent="0.25">
      <c r="B28898" s="55" t="s">
        <v>433</v>
      </c>
      <c r="C28898" s="46">
        <v>11</v>
      </c>
      <c r="D28898" s="69" t="s">
        <v>29570</v>
      </c>
      <c r="E28898" s="62"/>
      <c r="F28898" s="62" t="str">
        <f>IF(INDEX(I.Gas.P4Y2C1E3,11)="","",INDEX(I.Gas.P4Y2C1E3,11))</f>
        <v/>
      </c>
      <c r="G28898" s="62"/>
      <c r="H28898" s="46" t="str">
        <f>IF(OR(I.Developer.P4=FALSE,I.Facility.StandardPart="Part 2"),"Complete",IF(I.Product.P4GasToPowerStatus&lt;&gt;"Yes","Complete",IF(AND(I.Gas.P4Y2Count&gt;=11,F28898=""),"Incomplete","Complete")))</f>
        <v>Complete</v>
      </c>
      <c r="I28898" s="48" t="s">
        <v>4077</v>
      </c>
    </row>
    <row r="28899" spans="2:9" ht="15" customHeight="1" x14ac:dyDescent="0.25">
      <c r="B28899" s="55" t="s">
        <v>433</v>
      </c>
      <c r="C28899" s="46">
        <v>12</v>
      </c>
      <c r="D28899" s="69" t="s">
        <v>29570</v>
      </c>
      <c r="E28899" s="62"/>
      <c r="F28899" s="62" t="str">
        <f>IF(INDEX(I.Gas.P4Y2C1E3,12)="","",INDEX(I.Gas.P4Y2C1E3,12))</f>
        <v/>
      </c>
      <c r="G28899" s="62"/>
      <c r="H28899" s="46" t="str">
        <f>IF(OR(I.Developer.P4=FALSE,I.Facility.StandardPart="Part 2"),"Complete",IF(I.Product.P4GasToPowerStatus&lt;&gt;"Yes","Complete",IF(AND(I.Gas.P4Y2Count&gt;=12,F28899=""),"Incomplete","Complete")))</f>
        <v>Complete</v>
      </c>
      <c r="I28899" s="48" t="s">
        <v>4078</v>
      </c>
    </row>
    <row r="28900" spans="2:9" ht="15" customHeight="1" x14ac:dyDescent="0.25">
      <c r="B28900" s="55" t="s">
        <v>433</v>
      </c>
      <c r="C28900" s="46">
        <v>13</v>
      </c>
      <c r="D28900" s="69" t="s">
        <v>29570</v>
      </c>
      <c r="E28900" s="62"/>
      <c r="F28900" s="62" t="str">
        <f>IF(INDEX(I.Gas.P4Y2C1E3,13)="","",INDEX(I.Gas.P4Y2C1E3,13))</f>
        <v/>
      </c>
      <c r="G28900" s="62"/>
      <c r="H28900" s="46" t="str">
        <f>IF(OR(I.Developer.P4=FALSE,I.Facility.StandardPart="Part 2"),"Complete",IF(I.Product.P4GasToPowerStatus&lt;&gt;"Yes","Complete",IF(AND(I.Gas.P4Y2Count&gt;=13,F28900=""),"Incomplete","Complete")))</f>
        <v>Complete</v>
      </c>
      <c r="I28900" s="48" t="s">
        <v>4079</v>
      </c>
    </row>
    <row r="28901" spans="2:9" ht="15" customHeight="1" x14ac:dyDescent="0.25">
      <c r="B28901" s="55" t="s">
        <v>433</v>
      </c>
      <c r="C28901" s="46">
        <v>14</v>
      </c>
      <c r="D28901" s="69" t="s">
        <v>29570</v>
      </c>
      <c r="E28901" s="62"/>
      <c r="F28901" s="62" t="str">
        <f>IF(INDEX(I.Gas.P4Y2C1E3,14)="","",INDEX(I.Gas.P4Y2C1E3,14))</f>
        <v/>
      </c>
      <c r="G28901" s="62"/>
      <c r="H28901" s="46" t="str">
        <f>IF(OR(I.Developer.P4=FALSE,I.Facility.StandardPart="Part 2"),"Complete",IF(I.Product.P4GasToPowerStatus&lt;&gt;"Yes","Complete",IF(AND(I.Gas.P4Y2Count&gt;=14,F28901=""),"Incomplete","Complete")))</f>
        <v>Complete</v>
      </c>
      <c r="I28901" s="48" t="s">
        <v>4080</v>
      </c>
    </row>
    <row r="28902" spans="2:9" ht="15" customHeight="1" x14ac:dyDescent="0.25">
      <c r="B28902" s="55" t="s">
        <v>433</v>
      </c>
      <c r="C28902" s="46">
        <v>15</v>
      </c>
      <c r="D28902" s="69" t="s">
        <v>29570</v>
      </c>
      <c r="E28902" s="62"/>
      <c r="F28902" s="62" t="str">
        <f>IF(INDEX(I.Gas.P4Y2C1E3,15)="","",INDEX(I.Gas.P4Y2C1E3,15))</f>
        <v/>
      </c>
      <c r="G28902" s="62"/>
      <c r="H28902" s="46" t="str">
        <f>IF(OR(I.Developer.P4=FALSE,I.Facility.StandardPart="Part 2"),"Complete",IF(I.Product.P4GasToPowerStatus&lt;&gt;"Yes","Complete",IF(AND(I.Gas.P4Y2Count&gt;=15,F28902=""),"Incomplete","Complete")))</f>
        <v>Complete</v>
      </c>
      <c r="I28902" s="48" t="s">
        <v>4081</v>
      </c>
    </row>
    <row r="28903" spans="2:9" ht="15" customHeight="1" x14ac:dyDescent="0.25">
      <c r="B28903" s="55" t="s">
        <v>433</v>
      </c>
      <c r="C28903" s="46">
        <v>16</v>
      </c>
      <c r="D28903" s="69" t="s">
        <v>29570</v>
      </c>
      <c r="E28903" s="62"/>
      <c r="F28903" s="62" t="str">
        <f>IF(INDEX(I.Gas.P4Y2C1E3,16)="","",INDEX(I.Gas.P4Y2C1E3,16))</f>
        <v/>
      </c>
      <c r="G28903" s="62"/>
      <c r="H28903" s="46" t="str">
        <f>IF(OR(I.Developer.P4=FALSE,I.Facility.StandardPart="Part 2"),"Complete",IF(I.Product.P4GasToPowerStatus&lt;&gt;"Yes","Complete",IF(AND(I.Gas.P4Y2Count&gt;=16,F28903=""),"Incomplete","Complete")))</f>
        <v>Complete</v>
      </c>
      <c r="I28903" s="48" t="s">
        <v>4082</v>
      </c>
    </row>
    <row r="28904" spans="2:9" ht="15" customHeight="1" x14ac:dyDescent="0.25">
      <c r="B28904" s="55" t="s">
        <v>433</v>
      </c>
      <c r="C28904" s="46">
        <v>17</v>
      </c>
      <c r="D28904" s="69" t="s">
        <v>29570</v>
      </c>
      <c r="E28904" s="62"/>
      <c r="F28904" s="62" t="str">
        <f>IF(INDEX(I.Gas.P4Y2C1E3,17)="","",INDEX(I.Gas.P4Y2C1E3,17))</f>
        <v/>
      </c>
      <c r="G28904" s="62"/>
      <c r="H28904" s="46" t="str">
        <f>IF(OR(I.Developer.P4=FALSE,I.Facility.StandardPart="Part 2"),"Complete",IF(I.Product.P4GasToPowerStatus&lt;&gt;"Yes","Complete",IF(AND(I.Gas.P4Y2Count&gt;=17,F28904=""),"Incomplete","Complete")))</f>
        <v>Complete</v>
      </c>
      <c r="I28904" s="48" t="s">
        <v>4083</v>
      </c>
    </row>
    <row r="28905" spans="2:9" ht="15" customHeight="1" x14ac:dyDescent="0.25">
      <c r="B28905" s="55" t="s">
        <v>433</v>
      </c>
      <c r="C28905" s="46">
        <v>18</v>
      </c>
      <c r="D28905" s="69" t="s">
        <v>29570</v>
      </c>
      <c r="E28905" s="62"/>
      <c r="F28905" s="62" t="str">
        <f>IF(INDEX(I.Gas.P4Y2C1E3,18)="","",INDEX(I.Gas.P4Y2C1E3,18))</f>
        <v/>
      </c>
      <c r="G28905" s="62"/>
      <c r="H28905" s="46" t="str">
        <f>IF(OR(I.Developer.P4=FALSE,I.Facility.StandardPart="Part 2"),"Complete",IF(I.Product.P4GasToPowerStatus&lt;&gt;"Yes","Complete",IF(AND(I.Gas.P4Y2Count&gt;=18,F28905=""),"Incomplete","Complete")))</f>
        <v>Complete</v>
      </c>
      <c r="I28905" s="48" t="s">
        <v>4084</v>
      </c>
    </row>
    <row r="28906" spans="2:9" ht="15" customHeight="1" x14ac:dyDescent="0.25">
      <c r="B28906" s="55" t="s">
        <v>433</v>
      </c>
      <c r="C28906" s="46">
        <v>19</v>
      </c>
      <c r="D28906" s="69" t="s">
        <v>29570</v>
      </c>
      <c r="E28906" s="62"/>
      <c r="F28906" s="62" t="str">
        <f>IF(INDEX(I.Gas.P4Y2C1E3,19)="","",INDEX(I.Gas.P4Y2C1E3,19))</f>
        <v/>
      </c>
      <c r="G28906" s="62"/>
      <c r="H28906" s="46" t="str">
        <f>IF(OR(I.Developer.P4=FALSE,I.Facility.StandardPart="Part 2"),"Complete",IF(I.Product.P4GasToPowerStatus&lt;&gt;"Yes","Complete",IF(AND(I.Gas.P4Y2Count&gt;=19,F28906=""),"Incomplete","Complete")))</f>
        <v>Complete</v>
      </c>
      <c r="I28906" s="48" t="s">
        <v>4085</v>
      </c>
    </row>
    <row r="28907" spans="2:9" ht="15" customHeight="1" x14ac:dyDescent="0.25">
      <c r="B28907" s="55" t="s">
        <v>433</v>
      </c>
      <c r="C28907" s="46">
        <v>20</v>
      </c>
      <c r="D28907" s="69" t="s">
        <v>29570</v>
      </c>
      <c r="E28907" s="62"/>
      <c r="F28907" s="62" t="str">
        <f>IF(INDEX(I.Gas.P4Y2C1E3,20)="","",INDEX(I.Gas.P4Y2C1E3,20))</f>
        <v/>
      </c>
      <c r="G28907" s="62"/>
      <c r="H28907" s="46" t="str">
        <f>IF(OR(I.Developer.P4=FALSE,I.Facility.StandardPart="Part 2"),"Complete",IF(I.Product.P4GasToPowerStatus&lt;&gt;"Yes","Complete",IF(AND(I.Gas.P4Y2Count&gt;=20,F28907=""),"Incomplete","Complete")))</f>
        <v>Complete</v>
      </c>
      <c r="I28907" s="48" t="s">
        <v>4086</v>
      </c>
    </row>
    <row r="28908" spans="2:9" ht="15" customHeight="1" x14ac:dyDescent="0.25">
      <c r="B28908" s="55" t="s">
        <v>433</v>
      </c>
      <c r="C28908" s="46">
        <v>21</v>
      </c>
      <c r="D28908" s="69" t="s">
        <v>29570</v>
      </c>
      <c r="E28908" s="62"/>
      <c r="F28908" s="62" t="str">
        <f>IF(INDEX(I.Gas.P4Y2C1E3,21)="","",INDEX(I.Gas.P4Y2C1E3,21))</f>
        <v/>
      </c>
      <c r="G28908" s="62"/>
      <c r="H28908" s="46" t="str">
        <f>IF(OR(I.Developer.P4=FALSE,I.Facility.StandardPart="Part 2"),"Complete",IF(I.Product.P4GasToPowerStatus&lt;&gt;"Yes","Complete",IF(AND(I.Gas.P4Y2Count&gt;=21,F28908=""),"Incomplete","Complete")))</f>
        <v>Complete</v>
      </c>
      <c r="I28908" s="48" t="s">
        <v>4087</v>
      </c>
    </row>
    <row r="28909" spans="2:9" ht="15" customHeight="1" x14ac:dyDescent="0.25">
      <c r="B28909" s="55" t="s">
        <v>433</v>
      </c>
      <c r="C28909" s="46">
        <v>22</v>
      </c>
      <c r="D28909" s="69" t="s">
        <v>29570</v>
      </c>
      <c r="E28909" s="62"/>
      <c r="F28909" s="62" t="str">
        <f>IF(INDEX(I.Gas.P4Y2C1E3,22)="","",INDEX(I.Gas.P4Y2C1E3,22))</f>
        <v/>
      </c>
      <c r="G28909" s="62"/>
      <c r="H28909" s="46" t="str">
        <f>IF(OR(I.Developer.P4=FALSE,I.Facility.StandardPart="Part 2"),"Complete",IF(I.Product.P4GasToPowerStatus&lt;&gt;"Yes","Complete",IF(AND(I.Gas.P4Y2Count&gt;=22,F28909=""),"Incomplete","Complete")))</f>
        <v>Complete</v>
      </c>
      <c r="I28909" s="48" t="s">
        <v>4088</v>
      </c>
    </row>
    <row r="28910" spans="2:9" ht="15" customHeight="1" x14ac:dyDescent="0.25">
      <c r="B28910" s="55" t="s">
        <v>433</v>
      </c>
      <c r="C28910" s="46">
        <v>23</v>
      </c>
      <c r="D28910" s="69" t="s">
        <v>29570</v>
      </c>
      <c r="E28910" s="62"/>
      <c r="F28910" s="62" t="str">
        <f>IF(INDEX(I.Gas.P4Y2C1E3,23)="","",INDEX(I.Gas.P4Y2C1E3,23))</f>
        <v/>
      </c>
      <c r="G28910" s="62"/>
      <c r="H28910" s="46" t="str">
        <f>IF(OR(I.Developer.P4=FALSE,I.Facility.StandardPart="Part 2"),"Complete",IF(I.Product.P4GasToPowerStatus&lt;&gt;"Yes","Complete",IF(AND(I.Gas.P4Y2Count&gt;=23,F28910=""),"Incomplete","Complete")))</f>
        <v>Complete</v>
      </c>
      <c r="I28910" s="48" t="s">
        <v>4089</v>
      </c>
    </row>
    <row r="28911" spans="2:9" ht="15" customHeight="1" x14ac:dyDescent="0.25">
      <c r="B28911" s="55" t="s">
        <v>433</v>
      </c>
      <c r="C28911" s="46">
        <v>24</v>
      </c>
      <c r="D28911" s="69" t="s">
        <v>29570</v>
      </c>
      <c r="E28911" s="62"/>
      <c r="F28911" s="62" t="str">
        <f>IF(INDEX(I.Gas.P4Y2C1E3,24)="","",INDEX(I.Gas.P4Y2C1E3,24))</f>
        <v/>
      </c>
      <c r="G28911" s="62"/>
      <c r="H28911" s="46" t="str">
        <f>IF(OR(I.Developer.P4=FALSE,I.Facility.StandardPart="Part 2"),"Complete",IF(I.Product.P4GasToPowerStatus&lt;&gt;"Yes","Complete",IF(AND(I.Gas.P4Y2Count&gt;=24,F28911=""),"Incomplete","Complete")))</f>
        <v>Complete</v>
      </c>
      <c r="I28911" s="48" t="s">
        <v>4090</v>
      </c>
    </row>
    <row r="28912" spans="2:9" ht="15" customHeight="1" x14ac:dyDescent="0.25">
      <c r="B28912" s="55" t="s">
        <v>433</v>
      </c>
      <c r="C28912" s="46">
        <v>25</v>
      </c>
      <c r="D28912" s="69" t="s">
        <v>29570</v>
      </c>
      <c r="E28912" s="62"/>
      <c r="F28912" s="62" t="str">
        <f>IF(INDEX(I.Gas.P4Y2C1E3,25)="","",INDEX(I.Gas.P4Y2C1E3,25))</f>
        <v/>
      </c>
      <c r="G28912" s="62"/>
      <c r="H28912" s="46" t="str">
        <f>IF(OR(I.Developer.P4=FALSE,I.Facility.StandardPart="Part 2"),"Complete",IF(I.Product.P4GasToPowerStatus&lt;&gt;"Yes","Complete",IF(AND(I.Gas.P4Y2Count&gt;=25,F28912=""),"Incomplete","Complete")))</f>
        <v>Complete</v>
      </c>
      <c r="I28912" s="48" t="s">
        <v>4091</v>
      </c>
    </row>
    <row r="28913" spans="2:9" ht="15" customHeight="1" x14ac:dyDescent="0.25">
      <c r="B28913" s="55" t="s">
        <v>433</v>
      </c>
      <c r="C28913" s="46">
        <v>26</v>
      </c>
      <c r="D28913" s="69" t="s">
        <v>29570</v>
      </c>
      <c r="E28913" s="62"/>
      <c r="F28913" s="62" t="str">
        <f>IF(INDEX(I.Gas.P4Y2C1E3,26)="","",INDEX(I.Gas.P4Y2C1E3,26))</f>
        <v/>
      </c>
      <c r="G28913" s="62"/>
      <c r="H28913" s="46" t="str">
        <f>IF(OR(I.Developer.P4=FALSE,I.Facility.StandardPart="Part 2"),"Complete",IF(I.Product.P4GasToPowerStatus&lt;&gt;"Yes","Complete",IF(AND(I.Gas.P4Y2Count&gt;=26,F28913=""),"Incomplete","Complete")))</f>
        <v>Complete</v>
      </c>
      <c r="I28913" s="48" t="s">
        <v>4092</v>
      </c>
    </row>
    <row r="28914" spans="2:9" ht="15" customHeight="1" x14ac:dyDescent="0.25">
      <c r="B28914" s="55" t="s">
        <v>433</v>
      </c>
      <c r="C28914" s="46">
        <v>27</v>
      </c>
      <c r="D28914" s="69" t="s">
        <v>29570</v>
      </c>
      <c r="E28914" s="62"/>
      <c r="F28914" s="62" t="str">
        <f>IF(INDEX(I.Gas.P4Y2C1E3,27)="","",INDEX(I.Gas.P4Y2C1E3,27))</f>
        <v/>
      </c>
      <c r="G28914" s="62"/>
      <c r="H28914" s="46" t="str">
        <f>IF(OR(I.Developer.P4=FALSE,I.Facility.StandardPart="Part 2"),"Complete",IF(I.Product.P4GasToPowerStatus&lt;&gt;"Yes","Complete",IF(AND(I.Gas.P4Y2Count&gt;=27,F28914=""),"Incomplete","Complete")))</f>
        <v>Complete</v>
      </c>
      <c r="I28914" s="48" t="s">
        <v>4093</v>
      </c>
    </row>
    <row r="28915" spans="2:9" ht="15" customHeight="1" x14ac:dyDescent="0.25">
      <c r="B28915" s="55" t="s">
        <v>433</v>
      </c>
      <c r="C28915" s="46">
        <v>28</v>
      </c>
      <c r="D28915" s="69" t="s">
        <v>29570</v>
      </c>
      <c r="E28915" s="62"/>
      <c r="F28915" s="62" t="str">
        <f>IF(INDEX(I.Gas.P4Y2C1E3,28)="","",INDEX(I.Gas.P4Y2C1E3,28))</f>
        <v/>
      </c>
      <c r="G28915" s="62"/>
      <c r="H28915" s="46" t="str">
        <f>IF(OR(I.Developer.P4=FALSE,I.Facility.StandardPart="Part 2"),"Complete",IF(I.Product.P4GasToPowerStatus&lt;&gt;"Yes","Complete",IF(AND(I.Gas.P4Y2Count&gt;=28,F28915=""),"Incomplete","Complete")))</f>
        <v>Complete</v>
      </c>
      <c r="I28915" s="48" t="s">
        <v>4094</v>
      </c>
    </row>
    <row r="28916" spans="2:9" ht="15" customHeight="1" x14ac:dyDescent="0.25">
      <c r="B28916" s="55" t="s">
        <v>433</v>
      </c>
      <c r="C28916" s="46">
        <v>29</v>
      </c>
      <c r="D28916" s="69" t="s">
        <v>29570</v>
      </c>
      <c r="E28916" s="62"/>
      <c r="F28916" s="62" t="str">
        <f>IF(INDEX(I.Gas.P4Y2C1E3,29)="","",INDEX(I.Gas.P4Y2C1E3,29))</f>
        <v/>
      </c>
      <c r="G28916" s="62"/>
      <c r="H28916" s="46" t="str">
        <f>IF(OR(I.Developer.P4=FALSE,I.Facility.StandardPart="Part 2"),"Complete",IF(I.Product.P4GasToPowerStatus&lt;&gt;"Yes","Complete",IF(AND(I.Gas.P4Y2Count&gt;=29,F28916=""),"Incomplete","Complete")))</f>
        <v>Complete</v>
      </c>
      <c r="I28916" s="48" t="s">
        <v>4095</v>
      </c>
    </row>
    <row r="28917" spans="2:9" ht="15" customHeight="1" x14ac:dyDescent="0.25">
      <c r="B28917" s="55" t="s">
        <v>433</v>
      </c>
      <c r="C28917" s="46">
        <v>30</v>
      </c>
      <c r="D28917" s="69" t="s">
        <v>29570</v>
      </c>
      <c r="E28917" s="62"/>
      <c r="F28917" s="62" t="str">
        <f>IF(INDEX(I.Gas.P4Y2C1E3,30)="","",INDEX(I.Gas.P4Y2C1E3,30))</f>
        <v/>
      </c>
      <c r="G28917" s="62"/>
      <c r="H28917" s="46" t="str">
        <f>IF(OR(I.Developer.P4=FALSE,I.Facility.StandardPart="Part 2"),"Complete",IF(I.Product.P4GasToPowerStatus&lt;&gt;"Yes","Complete",IF(AND(I.Gas.P4Y2Count&gt;=30,F28917=""),"Incomplete","Complete")))</f>
        <v>Complete</v>
      </c>
      <c r="I28917" s="48" t="s">
        <v>4096</v>
      </c>
    </row>
    <row r="28918" spans="2:9" ht="15" customHeight="1" x14ac:dyDescent="0.25">
      <c r="B28918" s="55" t="s">
        <v>433</v>
      </c>
      <c r="C28918" s="46">
        <v>31</v>
      </c>
      <c r="D28918" s="69" t="s">
        <v>29570</v>
      </c>
      <c r="E28918" s="62"/>
      <c r="F28918" s="62" t="str">
        <f>IF(INDEX(I.Gas.P4Y2C1E3,31)="","",INDEX(I.Gas.P4Y2C1E3,31))</f>
        <v/>
      </c>
      <c r="G28918" s="62"/>
      <c r="H28918" s="46" t="str">
        <f>IF(OR(I.Developer.P4=FALSE,I.Facility.StandardPart="Part 2"),"Complete",IF(I.Product.P4GasToPowerStatus&lt;&gt;"Yes","Complete",IF(AND(I.Gas.P4Y2Count&gt;=31,F28918=""),"Incomplete","Complete")))</f>
        <v>Complete</v>
      </c>
      <c r="I28918" s="48" t="s">
        <v>4097</v>
      </c>
    </row>
    <row r="28919" spans="2:9" ht="15" customHeight="1" x14ac:dyDescent="0.25">
      <c r="B28919" s="55" t="s">
        <v>433</v>
      </c>
      <c r="C28919" s="46">
        <v>32</v>
      </c>
      <c r="D28919" s="69" t="s">
        <v>29570</v>
      </c>
      <c r="E28919" s="62"/>
      <c r="F28919" s="62" t="str">
        <f>IF(INDEX(I.Gas.P4Y2C1E3,32)="","",INDEX(I.Gas.P4Y2C1E3,32))</f>
        <v/>
      </c>
      <c r="G28919" s="62"/>
      <c r="H28919" s="46" t="str">
        <f>IF(OR(I.Developer.P4=FALSE,I.Facility.StandardPart="Part 2"),"Complete",IF(I.Product.P4GasToPowerStatus&lt;&gt;"Yes","Complete",IF(AND(I.Gas.P4Y2Count&gt;=32,F28919=""),"Incomplete","Complete")))</f>
        <v>Complete</v>
      </c>
      <c r="I28919" s="48" t="s">
        <v>4098</v>
      </c>
    </row>
    <row r="28920" spans="2:9" ht="15" customHeight="1" x14ac:dyDescent="0.25">
      <c r="B28920" s="55" t="s">
        <v>433</v>
      </c>
      <c r="C28920" s="46">
        <v>33</v>
      </c>
      <c r="D28920" s="69" t="s">
        <v>29570</v>
      </c>
      <c r="E28920" s="62"/>
      <c r="F28920" s="62" t="str">
        <f>IF(INDEX(I.Gas.P4Y2C1E3,33)="","",INDEX(I.Gas.P4Y2C1E3,33))</f>
        <v/>
      </c>
      <c r="G28920" s="62"/>
      <c r="H28920" s="46" t="str">
        <f>IF(OR(I.Developer.P4=FALSE,I.Facility.StandardPart="Part 2"),"Complete",IF(I.Product.P4GasToPowerStatus&lt;&gt;"Yes","Complete",IF(AND(I.Gas.P4Y2Count&gt;=33,F28920=""),"Incomplete","Complete")))</f>
        <v>Complete</v>
      </c>
      <c r="I28920" s="48" t="s">
        <v>4099</v>
      </c>
    </row>
    <row r="28921" spans="2:9" ht="15" customHeight="1" x14ac:dyDescent="0.25">
      <c r="B28921" s="55" t="s">
        <v>433</v>
      </c>
      <c r="C28921" s="46">
        <v>34</v>
      </c>
      <c r="D28921" s="69" t="s">
        <v>29570</v>
      </c>
      <c r="E28921" s="62"/>
      <c r="F28921" s="62" t="str">
        <f>IF(INDEX(I.Gas.P4Y2C1E3,34)="","",INDEX(I.Gas.P4Y2C1E3,34))</f>
        <v/>
      </c>
      <c r="G28921" s="62"/>
      <c r="H28921" s="46" t="str">
        <f>IF(OR(I.Developer.P4=FALSE,I.Facility.StandardPart="Part 2"),"Complete",IF(I.Product.P4GasToPowerStatus&lt;&gt;"Yes","Complete",IF(AND(I.Gas.P4Y2Count&gt;=34,F28921=""),"Incomplete","Complete")))</f>
        <v>Complete</v>
      </c>
      <c r="I28921" s="48" t="s">
        <v>4100</v>
      </c>
    </row>
    <row r="28922" spans="2:9" ht="15" customHeight="1" x14ac:dyDescent="0.25">
      <c r="B28922" s="55" t="s">
        <v>433</v>
      </c>
      <c r="C28922" s="46">
        <v>35</v>
      </c>
      <c r="D28922" s="69" t="s">
        <v>29570</v>
      </c>
      <c r="E28922" s="62"/>
      <c r="F28922" s="62" t="str">
        <f>IF(INDEX(I.Gas.P4Y2C1E3,35)="","",INDEX(I.Gas.P4Y2C1E3,35))</f>
        <v/>
      </c>
      <c r="G28922" s="62"/>
      <c r="H28922" s="46" t="str">
        <f>IF(OR(I.Developer.P4=FALSE,I.Facility.StandardPart="Part 2"),"Complete",IF(I.Product.P4GasToPowerStatus&lt;&gt;"Yes","Complete",IF(AND(I.Gas.P4Y2Count&gt;=35,F28922=""),"Incomplete","Complete")))</f>
        <v>Complete</v>
      </c>
      <c r="I28922" s="48" t="s">
        <v>4101</v>
      </c>
    </row>
    <row r="28923" spans="2:9" ht="15" customHeight="1" x14ac:dyDescent="0.25">
      <c r="B28923" s="55" t="s">
        <v>433</v>
      </c>
      <c r="C28923" s="46">
        <v>36</v>
      </c>
      <c r="D28923" s="69" t="s">
        <v>29570</v>
      </c>
      <c r="E28923" s="62"/>
      <c r="F28923" s="62" t="str">
        <f>IF(INDEX(I.Gas.P4Y2C1E3,36)="","",INDEX(I.Gas.P4Y2C1E3,36))</f>
        <v/>
      </c>
      <c r="G28923" s="62"/>
      <c r="H28923" s="46" t="str">
        <f>IF(OR(I.Developer.P4=FALSE,I.Facility.StandardPart="Part 2"),"Complete",IF(I.Product.P4GasToPowerStatus&lt;&gt;"Yes","Complete",IF(AND(I.Gas.P4Y2Count&gt;=36,F28923=""),"Incomplete","Complete")))</f>
        <v>Complete</v>
      </c>
      <c r="I28923" s="48" t="s">
        <v>4102</v>
      </c>
    </row>
    <row r="28924" spans="2:9" ht="15" customHeight="1" x14ac:dyDescent="0.25">
      <c r="B28924" s="55" t="s">
        <v>433</v>
      </c>
      <c r="C28924" s="46">
        <v>37</v>
      </c>
      <c r="D28924" s="69" t="s">
        <v>29570</v>
      </c>
      <c r="E28924" s="62"/>
      <c r="F28924" s="62" t="str">
        <f>IF(INDEX(I.Gas.P4Y2C1E3,37)="","",INDEX(I.Gas.P4Y2C1E3,37))</f>
        <v/>
      </c>
      <c r="G28924" s="62"/>
      <c r="H28924" s="46" t="str">
        <f>IF(OR(I.Developer.P4=FALSE,I.Facility.StandardPart="Part 2"),"Complete",IF(I.Product.P4GasToPowerStatus&lt;&gt;"Yes","Complete",IF(AND(I.Gas.P4Y2Count&gt;=37,F28924=""),"Incomplete","Complete")))</f>
        <v>Complete</v>
      </c>
      <c r="I28924" s="48" t="s">
        <v>4103</v>
      </c>
    </row>
    <row r="28925" spans="2:9" ht="15" customHeight="1" x14ac:dyDescent="0.25">
      <c r="B28925" s="55" t="s">
        <v>433</v>
      </c>
      <c r="C28925" s="46">
        <v>38</v>
      </c>
      <c r="D28925" s="69" t="s">
        <v>29570</v>
      </c>
      <c r="E28925" s="62"/>
      <c r="F28925" s="62" t="str">
        <f>IF(INDEX(I.Gas.P4Y2C1E3,38)="","",INDEX(I.Gas.P4Y2C1E3,38))</f>
        <v/>
      </c>
      <c r="G28925" s="62"/>
      <c r="H28925" s="46" t="str">
        <f>IF(OR(I.Developer.P4=FALSE,I.Facility.StandardPart="Part 2"),"Complete",IF(I.Product.P4GasToPowerStatus&lt;&gt;"Yes","Complete",IF(AND(I.Gas.P4Y2Count&gt;=38,F28925=""),"Incomplete","Complete")))</f>
        <v>Complete</v>
      </c>
      <c r="I28925" s="48" t="s">
        <v>4104</v>
      </c>
    </row>
    <row r="28926" spans="2:9" ht="15" customHeight="1" x14ac:dyDescent="0.25">
      <c r="B28926" s="55" t="s">
        <v>433</v>
      </c>
      <c r="C28926" s="46">
        <v>39</v>
      </c>
      <c r="D28926" s="69" t="s">
        <v>29570</v>
      </c>
      <c r="E28926" s="62"/>
      <c r="F28926" s="62" t="str">
        <f>IF(INDEX(I.Gas.P4Y2C1E3,39)="","",INDEX(I.Gas.P4Y2C1E3,39))</f>
        <v/>
      </c>
      <c r="G28926" s="62"/>
      <c r="H28926" s="46" t="str">
        <f>IF(OR(I.Developer.P4=FALSE,I.Facility.StandardPart="Part 2"),"Complete",IF(I.Product.P4GasToPowerStatus&lt;&gt;"Yes","Complete",IF(AND(I.Gas.P4Y2Count&gt;=39,F28926=""),"Incomplete","Complete")))</f>
        <v>Complete</v>
      </c>
      <c r="I28926" s="48" t="s">
        <v>4105</v>
      </c>
    </row>
    <row r="28927" spans="2:9" ht="15" customHeight="1" x14ac:dyDescent="0.25">
      <c r="B28927" s="55" t="s">
        <v>433</v>
      </c>
      <c r="C28927" s="46">
        <v>40</v>
      </c>
      <c r="D28927" s="69" t="s">
        <v>29570</v>
      </c>
      <c r="E28927" s="62"/>
      <c r="F28927" s="62" t="str">
        <f>IF(INDEX(I.Gas.P4Y2C1E3,40)="","",INDEX(I.Gas.P4Y2C1E3,40))</f>
        <v/>
      </c>
      <c r="G28927" s="62"/>
      <c r="H28927" s="46" t="str">
        <f>IF(OR(I.Developer.P4=FALSE,I.Facility.StandardPart="Part 2"),"Complete",IF(I.Product.P4GasToPowerStatus&lt;&gt;"Yes","Complete",IF(AND(I.Gas.P4Y2Count&gt;=40,F28927=""),"Incomplete","Complete")))</f>
        <v>Complete</v>
      </c>
      <c r="I28927" s="48" t="s">
        <v>4106</v>
      </c>
    </row>
    <row r="28928" spans="2:9" ht="15" customHeight="1" x14ac:dyDescent="0.25">
      <c r="B28928" s="55" t="s">
        <v>433</v>
      </c>
      <c r="C28928" s="46">
        <v>41</v>
      </c>
      <c r="D28928" s="69" t="s">
        <v>29570</v>
      </c>
      <c r="E28928" s="62"/>
      <c r="F28928" s="62" t="str">
        <f>IF(INDEX(I.Gas.P4Y2C1E3,41)="","",INDEX(I.Gas.P4Y2C1E3,41))</f>
        <v/>
      </c>
      <c r="G28928" s="62"/>
      <c r="H28928" s="46" t="str">
        <f>IF(OR(I.Developer.P4=FALSE,I.Facility.StandardPart="Part 2"),"Complete",IF(I.Product.P4GasToPowerStatus&lt;&gt;"Yes","Complete",IF(AND(I.Gas.P4Y2Count&gt;=41,F28928=""),"Incomplete","Complete")))</f>
        <v>Complete</v>
      </c>
      <c r="I28928" s="48" t="s">
        <v>4107</v>
      </c>
    </row>
    <row r="28929" spans="2:9" ht="15" customHeight="1" x14ac:dyDescent="0.25">
      <c r="B28929" s="55" t="s">
        <v>433</v>
      </c>
      <c r="C28929" s="46">
        <v>42</v>
      </c>
      <c r="D28929" s="69" t="s">
        <v>29570</v>
      </c>
      <c r="E28929" s="62"/>
      <c r="F28929" s="62" t="str">
        <f>IF(INDEX(I.Gas.P4Y2C1E3,42)="","",INDEX(I.Gas.P4Y2C1E3,42))</f>
        <v/>
      </c>
      <c r="G28929" s="62"/>
      <c r="H28929" s="46" t="str">
        <f>IF(OR(I.Developer.P4=FALSE,I.Facility.StandardPart="Part 2"),"Complete",IF(I.Product.P4GasToPowerStatus&lt;&gt;"Yes","Complete",IF(AND(I.Gas.P4Y2Count&gt;=42,F28929=""),"Incomplete","Complete")))</f>
        <v>Complete</v>
      </c>
      <c r="I28929" s="48" t="s">
        <v>4108</v>
      </c>
    </row>
    <row r="28930" spans="2:9" ht="15" customHeight="1" x14ac:dyDescent="0.25">
      <c r="B28930" s="55" t="s">
        <v>433</v>
      </c>
      <c r="C28930" s="46">
        <v>43</v>
      </c>
      <c r="D28930" s="69" t="s">
        <v>29570</v>
      </c>
      <c r="E28930" s="62"/>
      <c r="F28930" s="62" t="str">
        <f>IF(INDEX(I.Gas.P4Y2C1E3,43)="","",INDEX(I.Gas.P4Y2C1E3,43))</f>
        <v/>
      </c>
      <c r="G28930" s="62"/>
      <c r="H28930" s="46" t="str">
        <f>IF(OR(I.Developer.P4=FALSE,I.Facility.StandardPart="Part 2"),"Complete",IF(I.Product.P4GasToPowerStatus&lt;&gt;"Yes","Complete",IF(AND(I.Gas.P4Y2Count&gt;=43,F28930=""),"Incomplete","Complete")))</f>
        <v>Complete</v>
      </c>
      <c r="I28930" s="48" t="s">
        <v>4109</v>
      </c>
    </row>
    <row r="28931" spans="2:9" ht="15" customHeight="1" x14ac:dyDescent="0.25">
      <c r="B28931" s="55" t="s">
        <v>433</v>
      </c>
      <c r="C28931" s="46">
        <v>44</v>
      </c>
      <c r="D28931" s="69" t="s">
        <v>29570</v>
      </c>
      <c r="E28931" s="62"/>
      <c r="F28931" s="62" t="str">
        <f>IF(INDEX(I.Gas.P4Y2C1E3,44)="","",INDEX(I.Gas.P4Y2C1E3,44))</f>
        <v/>
      </c>
      <c r="G28931" s="62"/>
      <c r="H28931" s="46" t="str">
        <f>IF(OR(I.Developer.P4=FALSE,I.Facility.StandardPart="Part 2"),"Complete",IF(I.Product.P4GasToPowerStatus&lt;&gt;"Yes","Complete",IF(AND(I.Gas.P4Y2Count&gt;=44,F28931=""),"Incomplete","Complete")))</f>
        <v>Complete</v>
      </c>
      <c r="I28931" s="48" t="s">
        <v>4110</v>
      </c>
    </row>
    <row r="28932" spans="2:9" ht="15" customHeight="1" x14ac:dyDescent="0.25">
      <c r="B28932" s="55" t="s">
        <v>433</v>
      </c>
      <c r="C28932" s="46">
        <v>45</v>
      </c>
      <c r="D28932" s="69" t="s">
        <v>29570</v>
      </c>
      <c r="E28932" s="62"/>
      <c r="F28932" s="62" t="str">
        <f>IF(INDEX(I.Gas.P4Y2C1E3,45)="","",INDEX(I.Gas.P4Y2C1E3,45))</f>
        <v/>
      </c>
      <c r="G28932" s="62"/>
      <c r="H28932" s="46" t="str">
        <f>IF(OR(I.Developer.P4=FALSE,I.Facility.StandardPart="Part 2"),"Complete",IF(I.Product.P4GasToPowerStatus&lt;&gt;"Yes","Complete",IF(AND(I.Gas.P4Y2Count&gt;=45,F28932=""),"Incomplete","Complete")))</f>
        <v>Complete</v>
      </c>
      <c r="I28932" s="48" t="s">
        <v>4111</v>
      </c>
    </row>
    <row r="28933" spans="2:9" ht="15" customHeight="1" x14ac:dyDescent="0.25">
      <c r="B28933" s="55" t="s">
        <v>433</v>
      </c>
      <c r="C28933" s="46">
        <v>46</v>
      </c>
      <c r="D28933" s="69" t="s">
        <v>29570</v>
      </c>
      <c r="E28933" s="62"/>
      <c r="F28933" s="62" t="str">
        <f>IF(INDEX(I.Gas.P4Y2C1E3,46)="","",INDEX(I.Gas.P4Y2C1E3,46))</f>
        <v/>
      </c>
      <c r="G28933" s="62"/>
      <c r="H28933" s="46" t="str">
        <f>IF(OR(I.Developer.P4=FALSE,I.Facility.StandardPart="Part 2"),"Complete",IF(I.Product.P4GasToPowerStatus&lt;&gt;"Yes","Complete",IF(AND(I.Gas.P4Y2Count&gt;=46,F28933=""),"Incomplete","Complete")))</f>
        <v>Complete</v>
      </c>
      <c r="I28933" s="48" t="s">
        <v>4112</v>
      </c>
    </row>
    <row r="28934" spans="2:9" ht="15" customHeight="1" x14ac:dyDescent="0.25">
      <c r="B28934" s="55" t="s">
        <v>433</v>
      </c>
      <c r="C28934" s="46">
        <v>47</v>
      </c>
      <c r="D28934" s="69" t="s">
        <v>29570</v>
      </c>
      <c r="E28934" s="62"/>
      <c r="F28934" s="62" t="str">
        <f>IF(INDEX(I.Gas.P4Y2C1E3,47)="","",INDEX(I.Gas.P4Y2C1E3,47))</f>
        <v/>
      </c>
      <c r="G28934" s="62"/>
      <c r="H28934" s="46" t="str">
        <f>IF(OR(I.Developer.P4=FALSE,I.Facility.StandardPart="Part 2"),"Complete",IF(I.Product.P4GasToPowerStatus&lt;&gt;"Yes","Complete",IF(AND(I.Gas.P4Y2Count&gt;=47,F28934=""),"Incomplete","Complete")))</f>
        <v>Complete</v>
      </c>
      <c r="I28934" s="48" t="s">
        <v>4113</v>
      </c>
    </row>
    <row r="28935" spans="2:9" ht="15" customHeight="1" x14ac:dyDescent="0.25">
      <c r="B28935" s="55" t="s">
        <v>433</v>
      </c>
      <c r="C28935" s="46">
        <v>48</v>
      </c>
      <c r="D28935" s="69" t="s">
        <v>29570</v>
      </c>
      <c r="E28935" s="62"/>
      <c r="F28935" s="62" t="str">
        <f>IF(INDEX(I.Gas.P4Y2C1E3,48)="","",INDEX(I.Gas.P4Y2C1E3,48))</f>
        <v/>
      </c>
      <c r="G28935" s="62"/>
      <c r="H28935" s="46" t="str">
        <f>IF(OR(I.Developer.P4=FALSE,I.Facility.StandardPart="Part 2"),"Complete",IF(I.Product.P4GasToPowerStatus&lt;&gt;"Yes","Complete",IF(AND(I.Gas.P4Y2Count&gt;=48,F28935=""),"Incomplete","Complete")))</f>
        <v>Complete</v>
      </c>
      <c r="I28935" s="48" t="s">
        <v>4114</v>
      </c>
    </row>
    <row r="28936" spans="2:9" ht="15" customHeight="1" x14ac:dyDescent="0.25">
      <c r="B28936" s="55" t="s">
        <v>433</v>
      </c>
      <c r="C28936" s="46">
        <v>49</v>
      </c>
      <c r="D28936" s="69" t="s">
        <v>29570</v>
      </c>
      <c r="E28936" s="62"/>
      <c r="F28936" s="62" t="str">
        <f>IF(INDEX(I.Gas.P4Y2C1E3,49)="","",INDEX(I.Gas.P4Y2C1E3,49))</f>
        <v/>
      </c>
      <c r="G28936" s="62"/>
      <c r="H28936" s="46" t="str">
        <f>IF(OR(I.Developer.P4=FALSE,I.Facility.StandardPart="Part 2"),"Complete",IF(I.Product.P4GasToPowerStatus&lt;&gt;"Yes","Complete",IF(AND(I.Gas.P4Y2Count&gt;=49,F28936=""),"Incomplete","Complete")))</f>
        <v>Complete</v>
      </c>
      <c r="I28936" s="48" t="s">
        <v>4115</v>
      </c>
    </row>
    <row r="28937" spans="2:9" ht="15" customHeight="1" x14ac:dyDescent="0.25">
      <c r="B28937" s="56" t="s">
        <v>433</v>
      </c>
      <c r="C28937" s="57">
        <v>50</v>
      </c>
      <c r="D28937" s="71" t="s">
        <v>29570</v>
      </c>
      <c r="E28937" s="61"/>
      <c r="F28937" s="61" t="str">
        <f>IF(INDEX(I.Gas.P4Y2C1E3,50)="","",INDEX(I.Gas.P4Y2C1E3,50))</f>
        <v/>
      </c>
      <c r="G28937" s="61"/>
      <c r="H28937" s="57" t="str">
        <f>IF(OR(I.Developer.P4=FALSE,I.Facility.StandardPart="Part 2"),"Complete",IF(I.Product.P4GasToPowerStatus&lt;&gt;"Yes","Complete",IF(AND(I.Gas.P4Y2Count&gt;=50,F28937=""),"Incomplete","Complete")))</f>
        <v>Complete</v>
      </c>
      <c r="I28937" s="49" t="s">
        <v>4116</v>
      </c>
    </row>
    <row r="28938" spans="2:9" ht="15" customHeight="1" x14ac:dyDescent="0.25">
      <c r="B28938" s="55" t="s">
        <v>434</v>
      </c>
      <c r="C28938" s="46">
        <v>1</v>
      </c>
      <c r="D28938" s="69" t="s">
        <v>29571</v>
      </c>
      <c r="E28938" s="51"/>
      <c r="F28938" s="114" t="str">
        <f>IF(INDEX(I.Declaration.Name,1)="","",INDEX(I.Declaration.Name,1))</f>
        <v/>
      </c>
      <c r="G28938" s="51"/>
      <c r="H28938" s="46" t="str">
        <f>IF(INDEX(I.Declaration.Name,1)="","Incomplete","Complete")</f>
        <v>Incomplete</v>
      </c>
      <c r="I28938" s="48" t="s">
        <v>4117</v>
      </c>
    </row>
    <row r="28939" spans="2:9" ht="15" customHeight="1" x14ac:dyDescent="0.25">
      <c r="B28939" s="56" t="s">
        <v>435</v>
      </c>
      <c r="C28939" s="57">
        <v>1</v>
      </c>
      <c r="D28939" s="71" t="s">
        <v>29572</v>
      </c>
      <c r="E28939" s="63"/>
      <c r="F28939" s="63" t="str">
        <f>IF(INDEX(I.Declaration.Date,1)="","",INDEX(I.Declaration.Date,1))</f>
        <v/>
      </c>
      <c r="G28939" s="63"/>
      <c r="H28939" s="57" t="str">
        <f>IF(INDEX(I.Declaration.Date,1)="","Incomplete","Complete")</f>
        <v>Incomplete</v>
      </c>
      <c r="I28939" s="49" t="s">
        <v>4118</v>
      </c>
    </row>
    <row r="28940" spans="2:9" ht="15" customHeight="1" x14ac:dyDescent="0.25">
      <c r="B28940" s="28" t="s">
        <v>440</v>
      </c>
      <c r="C28940" s="46">
        <v>1</v>
      </c>
      <c r="D28940" s="69" t="s">
        <v>29573</v>
      </c>
      <c r="E28940" s="114"/>
      <c r="F28940" s="116"/>
      <c r="G28940" s="114"/>
      <c r="I28940" s="44"/>
    </row>
    <row r="28941" spans="2:9" ht="15" customHeight="1" x14ac:dyDescent="0.25">
      <c r="B28941" s="28" t="s">
        <v>441</v>
      </c>
      <c r="C28941" s="46">
        <v>1</v>
      </c>
      <c r="D28941" s="69" t="s">
        <v>29574</v>
      </c>
      <c r="E28941" s="114"/>
      <c r="F28941" s="116"/>
      <c r="G28941" s="114"/>
      <c r="I28941" s="44"/>
    </row>
    <row r="28942" spans="2:9" ht="15" customHeight="1" x14ac:dyDescent="0.25">
      <c r="B28942" s="28" t="s">
        <v>442</v>
      </c>
      <c r="C28942" s="46">
        <v>1</v>
      </c>
      <c r="D28942" s="69" t="s">
        <v>29575</v>
      </c>
      <c r="E28942" s="114"/>
      <c r="F28942" s="116"/>
      <c r="G28942" s="114"/>
      <c r="I28942" s="44"/>
    </row>
    <row r="28943" spans="2:9" ht="15" customHeight="1" x14ac:dyDescent="0.25">
      <c r="B28943" s="28" t="s">
        <v>443</v>
      </c>
      <c r="C28943" s="46">
        <v>1</v>
      </c>
      <c r="D28943" s="69" t="s">
        <v>29576</v>
      </c>
      <c r="E28943" s="114"/>
      <c r="F28943" s="116"/>
      <c r="G28943" s="114"/>
      <c r="I28943" s="44"/>
    </row>
    <row r="28944" spans="2:9" ht="15" customHeight="1" x14ac:dyDescent="0.25">
      <c r="B28944" s="30" t="s">
        <v>444</v>
      </c>
      <c r="C28944" s="57">
        <v>1</v>
      </c>
      <c r="D28944" s="71" t="s">
        <v>29577</v>
      </c>
      <c r="E28944" s="115"/>
      <c r="F28944" s="117"/>
      <c r="G28944" s="115"/>
      <c r="H28944" s="57"/>
      <c r="I28944" s="64"/>
    </row>
    <row r="28945" spans="2:9" ht="15" customHeight="1" x14ac:dyDescent="0.25">
      <c r="B28945" s="28" t="s">
        <v>436</v>
      </c>
      <c r="C28945" s="46">
        <v>1</v>
      </c>
      <c r="D28945" s="69" t="s">
        <v>29578</v>
      </c>
      <c r="E28945" s="114"/>
      <c r="F28945" s="116"/>
      <c r="G28945" s="114"/>
      <c r="I28945" s="44"/>
    </row>
    <row r="28946" spans="2:9" ht="15" customHeight="1" x14ac:dyDescent="0.25">
      <c r="B28946" s="28" t="s">
        <v>437</v>
      </c>
      <c r="C28946" s="46">
        <v>1</v>
      </c>
      <c r="D28946" s="69" t="s">
        <v>29579</v>
      </c>
      <c r="E28946" s="114"/>
      <c r="F28946" s="116"/>
      <c r="G28946" s="114"/>
      <c r="I28946" s="44"/>
    </row>
    <row r="28947" spans="2:9" ht="15" customHeight="1" x14ac:dyDescent="0.25">
      <c r="B28947" s="28" t="s">
        <v>438</v>
      </c>
      <c r="C28947" s="46">
        <v>1</v>
      </c>
      <c r="D28947" s="69" t="s">
        <v>29580</v>
      </c>
      <c r="E28947" s="114"/>
      <c r="F28947" s="116"/>
      <c r="G28947" s="114"/>
      <c r="I28947" s="44"/>
    </row>
    <row r="28948" spans="2:9" ht="15" customHeight="1" x14ac:dyDescent="0.25">
      <c r="B28948" s="30" t="s">
        <v>439</v>
      </c>
      <c r="C28948" s="57">
        <v>1</v>
      </c>
      <c r="D28948" s="71" t="s">
        <v>29581</v>
      </c>
      <c r="E28948" s="115"/>
      <c r="F28948" s="117"/>
      <c r="G28948" s="115"/>
      <c r="H28948" s="57"/>
      <c r="I28948" s="64"/>
    </row>
    <row r="28949" spans="2:9" ht="15" customHeight="1" x14ac:dyDescent="0.25">
      <c r="B28949" s="28" t="s">
        <v>445</v>
      </c>
      <c r="C28949" s="46">
        <v>1</v>
      </c>
      <c r="D28949" s="69" t="s">
        <v>29582</v>
      </c>
      <c r="E28949" s="114"/>
      <c r="F28949" s="116"/>
      <c r="G28949" s="114"/>
      <c r="I28949" s="44"/>
    </row>
    <row r="28950" spans="2:9" ht="15" customHeight="1" x14ac:dyDescent="0.25">
      <c r="B28950" s="28" t="s">
        <v>446</v>
      </c>
      <c r="C28950" s="46">
        <v>1</v>
      </c>
      <c r="D28950" s="69" t="s">
        <v>29583</v>
      </c>
      <c r="E28950" s="114"/>
      <c r="F28950" s="116"/>
      <c r="G28950" s="114"/>
      <c r="I28950" s="44"/>
    </row>
    <row r="28951" spans="2:9" ht="15" customHeight="1" x14ac:dyDescent="0.25">
      <c r="B28951" s="28" t="s">
        <v>447</v>
      </c>
      <c r="C28951" s="46">
        <v>1</v>
      </c>
      <c r="D28951" s="69" t="s">
        <v>29584</v>
      </c>
      <c r="E28951" s="114"/>
      <c r="F28951" s="116"/>
      <c r="G28951" s="114"/>
      <c r="I28951" s="44"/>
    </row>
    <row r="28952" spans="2:9" ht="15" customHeight="1" x14ac:dyDescent="0.25">
      <c r="B28952" s="28" t="s">
        <v>448</v>
      </c>
      <c r="C28952" s="46">
        <v>1</v>
      </c>
      <c r="D28952" s="69" t="s">
        <v>29585</v>
      </c>
      <c r="E28952" s="114"/>
      <c r="F28952" s="116"/>
      <c r="G28952" s="114"/>
      <c r="I28952" s="44"/>
    </row>
    <row r="28953" spans="2:9" ht="15" customHeight="1" x14ac:dyDescent="0.25">
      <c r="B28953" s="30" t="s">
        <v>449</v>
      </c>
      <c r="C28953" s="57">
        <v>1</v>
      </c>
      <c r="D28953" s="71" t="s">
        <v>29586</v>
      </c>
      <c r="E28953" s="115"/>
      <c r="F28953" s="117"/>
      <c r="G28953" s="115"/>
      <c r="H28953" s="57"/>
      <c r="I28953" s="64"/>
    </row>
    <row r="28954" spans="2:9" ht="15" customHeight="1" x14ac:dyDescent="0.25">
      <c r="B28954" s="28" t="s">
        <v>450</v>
      </c>
      <c r="C28954" s="46">
        <v>1</v>
      </c>
      <c r="D28954" s="69" t="s">
        <v>29587</v>
      </c>
      <c r="E28954" s="114"/>
      <c r="F28954" s="116"/>
      <c r="G28954" s="114"/>
      <c r="I28954" s="44"/>
    </row>
    <row r="28955" spans="2:9" ht="15" customHeight="1" x14ac:dyDescent="0.25">
      <c r="B28955" s="28" t="s">
        <v>451</v>
      </c>
      <c r="C28955" s="46">
        <v>1</v>
      </c>
      <c r="D28955" s="69" t="s">
        <v>29588</v>
      </c>
      <c r="E28955" s="114"/>
      <c r="F28955" s="116"/>
      <c r="G28955" s="114"/>
      <c r="I28955" s="44"/>
    </row>
    <row r="28956" spans="2:9" ht="15" customHeight="1" x14ac:dyDescent="0.25">
      <c r="B28956" s="28" t="s">
        <v>452</v>
      </c>
      <c r="C28956" s="46">
        <v>1</v>
      </c>
      <c r="D28956" s="69" t="s">
        <v>29589</v>
      </c>
      <c r="E28956" s="114"/>
      <c r="F28956" s="116"/>
      <c r="G28956" s="114"/>
      <c r="I28956" s="44"/>
    </row>
    <row r="28957" spans="2:9" ht="15" customHeight="1" x14ac:dyDescent="0.25">
      <c r="B28957" s="30" t="s">
        <v>453</v>
      </c>
      <c r="C28957" s="57">
        <v>1</v>
      </c>
      <c r="D28957" s="71" t="s">
        <v>29590</v>
      </c>
      <c r="E28957" s="115"/>
      <c r="F28957" s="117"/>
      <c r="G28957" s="115"/>
      <c r="H28957" s="57"/>
      <c r="I28957" s="64"/>
    </row>
    <row r="28958" spans="2:9" ht="15" customHeight="1" x14ac:dyDescent="0.25">
      <c r="B28958" s="28" t="s">
        <v>454</v>
      </c>
      <c r="C28958" s="46">
        <v>1</v>
      </c>
      <c r="D28958" s="69" t="s">
        <v>29591</v>
      </c>
      <c r="E28958" s="114"/>
      <c r="F28958" s="116"/>
      <c r="G28958" s="114"/>
      <c r="I28958" s="44"/>
    </row>
    <row r="28959" spans="2:9" ht="15" customHeight="1" x14ac:dyDescent="0.25">
      <c r="B28959" s="28" t="s">
        <v>455</v>
      </c>
      <c r="C28959" s="46">
        <v>1</v>
      </c>
      <c r="D28959" s="69" t="s">
        <v>29592</v>
      </c>
      <c r="E28959" s="114"/>
      <c r="F28959" s="116"/>
      <c r="G28959" s="114"/>
      <c r="I28959" s="44"/>
    </row>
    <row r="28960" spans="2:9" ht="15" customHeight="1" x14ac:dyDescent="0.25">
      <c r="B28960" s="28" t="s">
        <v>456</v>
      </c>
      <c r="C28960" s="46">
        <v>1</v>
      </c>
      <c r="D28960" s="69" t="s">
        <v>29593</v>
      </c>
      <c r="E28960" s="114"/>
      <c r="F28960" s="116"/>
      <c r="G28960" s="114"/>
      <c r="I28960" s="44"/>
    </row>
    <row r="28961" spans="2:9" ht="15" customHeight="1" x14ac:dyDescent="0.25">
      <c r="B28961" s="28" t="s">
        <v>457</v>
      </c>
      <c r="C28961" s="46">
        <v>1</v>
      </c>
      <c r="D28961" s="69" t="s">
        <v>29594</v>
      </c>
      <c r="E28961" s="114"/>
      <c r="F28961" s="116"/>
      <c r="G28961" s="114"/>
      <c r="I28961" s="44"/>
    </row>
    <row r="28962" spans="2:9" ht="15" customHeight="1" x14ac:dyDescent="0.25">
      <c r="B28962" s="30" t="s">
        <v>458</v>
      </c>
      <c r="C28962" s="57">
        <v>1</v>
      </c>
      <c r="D28962" s="71" t="s">
        <v>29595</v>
      </c>
      <c r="E28962" s="115"/>
      <c r="F28962" s="117"/>
      <c r="G28962" s="115"/>
      <c r="H28962" s="57"/>
      <c r="I28962" s="64"/>
    </row>
    <row r="28963" spans="2:9" ht="15" customHeight="1" x14ac:dyDescent="0.25">
      <c r="B28963" s="28" t="s">
        <v>459</v>
      </c>
      <c r="C28963" s="46">
        <v>1</v>
      </c>
      <c r="D28963" s="69" t="s">
        <v>29596</v>
      </c>
      <c r="E28963" s="114"/>
      <c r="F28963" s="116"/>
      <c r="G28963" s="114"/>
      <c r="I28963" s="44"/>
    </row>
    <row r="28964" spans="2:9" ht="15" customHeight="1" x14ac:dyDescent="0.25">
      <c r="B28964" s="28" t="s">
        <v>460</v>
      </c>
      <c r="C28964" s="46">
        <v>1</v>
      </c>
      <c r="D28964" s="69" t="s">
        <v>29597</v>
      </c>
      <c r="E28964" s="114"/>
      <c r="F28964" s="116"/>
      <c r="G28964" s="114"/>
      <c r="I28964" s="44"/>
    </row>
    <row r="28965" spans="2:9" ht="15" customHeight="1" x14ac:dyDescent="0.25">
      <c r="B28965" s="28" t="s">
        <v>461</v>
      </c>
      <c r="C28965" s="46">
        <v>1</v>
      </c>
      <c r="D28965" s="69" t="s">
        <v>29598</v>
      </c>
      <c r="E28965" s="114"/>
      <c r="F28965" s="116"/>
      <c r="G28965" s="114"/>
      <c r="I28965" s="44"/>
    </row>
    <row r="28966" spans="2:9" ht="15" customHeight="1" x14ac:dyDescent="0.25">
      <c r="B28966" s="30" t="s">
        <v>462</v>
      </c>
      <c r="C28966" s="57">
        <v>1</v>
      </c>
      <c r="D28966" s="71" t="s">
        <v>29599</v>
      </c>
      <c r="E28966" s="115"/>
      <c r="F28966" s="117"/>
      <c r="G28966" s="115"/>
      <c r="H28966" s="57"/>
      <c r="I28966" s="64"/>
    </row>
    <row r="28967" spans="2:9" ht="15" customHeight="1" x14ac:dyDescent="0.25">
      <c r="B28967" s="28" t="s">
        <v>463</v>
      </c>
      <c r="C28967" s="46">
        <v>1</v>
      </c>
      <c r="D28967" s="69" t="s">
        <v>29600</v>
      </c>
      <c r="E28967" s="114"/>
      <c r="F28967" s="116"/>
      <c r="G28967" s="114"/>
      <c r="I28967" s="44"/>
    </row>
    <row r="28968" spans="2:9" ht="15" customHeight="1" x14ac:dyDescent="0.25">
      <c r="B28968" s="28" t="s">
        <v>464</v>
      </c>
      <c r="C28968" s="46">
        <v>1</v>
      </c>
      <c r="D28968" s="69" t="s">
        <v>29601</v>
      </c>
      <c r="E28968" s="114"/>
      <c r="F28968" s="116"/>
      <c r="G28968" s="114"/>
      <c r="I28968" s="44"/>
    </row>
    <row r="28969" spans="2:9" ht="15" customHeight="1" x14ac:dyDescent="0.25">
      <c r="B28969" s="28" t="s">
        <v>465</v>
      </c>
      <c r="C28969" s="46">
        <v>1</v>
      </c>
      <c r="D28969" s="69" t="s">
        <v>29602</v>
      </c>
      <c r="E28969" s="114"/>
      <c r="F28969" s="116"/>
      <c r="G28969" s="114"/>
      <c r="I28969" s="44"/>
    </row>
    <row r="28970" spans="2:9" ht="15" customHeight="1" x14ac:dyDescent="0.25">
      <c r="B28970" s="28" t="s">
        <v>466</v>
      </c>
      <c r="C28970" s="46">
        <v>1</v>
      </c>
      <c r="D28970" s="69" t="s">
        <v>29603</v>
      </c>
      <c r="E28970" s="114"/>
      <c r="F28970" s="116"/>
      <c r="G28970" s="114"/>
      <c r="I28970" s="44"/>
    </row>
    <row r="28971" spans="2:9" ht="15" customHeight="1" x14ac:dyDescent="0.25">
      <c r="B28971" s="30" t="s">
        <v>467</v>
      </c>
      <c r="C28971" s="57">
        <v>1</v>
      </c>
      <c r="D28971" s="71" t="s">
        <v>29604</v>
      </c>
      <c r="E28971" s="115"/>
      <c r="F28971" s="117"/>
      <c r="G28971" s="115"/>
      <c r="H28971" s="57"/>
      <c r="I28971" s="64"/>
    </row>
    <row r="28972" spans="2:9" ht="15" customHeight="1" x14ac:dyDescent="0.25">
      <c r="B28972" s="28" t="s">
        <v>468</v>
      </c>
      <c r="C28972" s="46">
        <v>1</v>
      </c>
      <c r="D28972" s="69" t="s">
        <v>29605</v>
      </c>
      <c r="E28972" s="114"/>
      <c r="F28972" s="116"/>
      <c r="G28972" s="114"/>
      <c r="I28972" s="44"/>
    </row>
    <row r="28973" spans="2:9" ht="15" customHeight="1" x14ac:dyDescent="0.25">
      <c r="B28973" s="28" t="s">
        <v>469</v>
      </c>
      <c r="C28973" s="46">
        <v>1</v>
      </c>
      <c r="D28973" s="69" t="s">
        <v>29606</v>
      </c>
      <c r="E28973" s="114"/>
      <c r="F28973" s="116"/>
      <c r="G28973" s="114"/>
      <c r="I28973" s="44"/>
    </row>
    <row r="28974" spans="2:9" ht="15" customHeight="1" x14ac:dyDescent="0.25">
      <c r="B28974" s="28" t="s">
        <v>470</v>
      </c>
      <c r="C28974" s="46">
        <v>1</v>
      </c>
      <c r="D28974" s="69" t="s">
        <v>29607</v>
      </c>
      <c r="E28974" s="114"/>
      <c r="F28974" s="116"/>
      <c r="G28974" s="114"/>
      <c r="I28974" s="44"/>
    </row>
    <row r="28975" spans="2:9" ht="15" customHeight="1" x14ac:dyDescent="0.25">
      <c r="B28975" s="30" t="s">
        <v>471</v>
      </c>
      <c r="C28975" s="57">
        <v>1</v>
      </c>
      <c r="D28975" s="71" t="s">
        <v>29608</v>
      </c>
      <c r="E28975" s="115"/>
      <c r="F28975" s="117"/>
      <c r="G28975" s="115"/>
      <c r="H28975" s="57"/>
      <c r="I28975" s="64"/>
    </row>
    <row r="28976" spans="2:9" ht="15" customHeight="1" x14ac:dyDescent="0.25">
      <c r="B28976" s="28" t="s">
        <v>472</v>
      </c>
      <c r="C28976" s="46">
        <v>1</v>
      </c>
      <c r="D28976" s="69" t="s">
        <v>29609</v>
      </c>
      <c r="E28976" s="114"/>
      <c r="F28976" s="116"/>
      <c r="G28976" s="114"/>
      <c r="I28976" s="44"/>
    </row>
    <row r="28977" spans="2:9" ht="15" customHeight="1" x14ac:dyDescent="0.25">
      <c r="B28977" s="28" t="s">
        <v>473</v>
      </c>
      <c r="C28977" s="46">
        <v>1</v>
      </c>
      <c r="D28977" s="69" t="s">
        <v>29610</v>
      </c>
      <c r="E28977" s="114"/>
      <c r="F28977" s="116"/>
      <c r="G28977" s="114"/>
      <c r="I28977" s="44"/>
    </row>
    <row r="28978" spans="2:9" ht="15" customHeight="1" x14ac:dyDescent="0.25">
      <c r="B28978" s="28" t="s">
        <v>474</v>
      </c>
      <c r="C28978" s="46">
        <v>1</v>
      </c>
      <c r="D28978" s="69" t="s">
        <v>29611</v>
      </c>
      <c r="E28978" s="114"/>
      <c r="F28978" s="116"/>
      <c r="G28978" s="114"/>
      <c r="I28978" s="44"/>
    </row>
    <row r="28979" spans="2:9" ht="15" customHeight="1" x14ac:dyDescent="0.25">
      <c r="B28979" s="28" t="s">
        <v>475</v>
      </c>
      <c r="C28979" s="46">
        <v>1</v>
      </c>
      <c r="D28979" s="69" t="s">
        <v>29612</v>
      </c>
      <c r="E28979" s="114"/>
      <c r="F28979" s="116"/>
      <c r="G28979" s="114"/>
      <c r="I28979" s="44"/>
    </row>
    <row r="28980" spans="2:9" ht="15" customHeight="1" x14ac:dyDescent="0.25">
      <c r="B28980" s="30" t="s">
        <v>476</v>
      </c>
      <c r="C28980" s="57">
        <v>1</v>
      </c>
      <c r="D28980" s="71" t="s">
        <v>29613</v>
      </c>
      <c r="E28980" s="115"/>
      <c r="F28980" s="117"/>
      <c r="G28980" s="115"/>
      <c r="H28980" s="57"/>
      <c r="I28980" s="64"/>
    </row>
    <row r="28981" spans="2:9" ht="15" customHeight="1" x14ac:dyDescent="0.25">
      <c r="B28981" s="28" t="s">
        <v>477</v>
      </c>
      <c r="C28981" s="46">
        <v>1</v>
      </c>
      <c r="D28981" s="69" t="s">
        <v>29614</v>
      </c>
      <c r="E28981" s="114"/>
      <c r="F28981" s="116"/>
      <c r="G28981" s="114"/>
      <c r="I28981" s="44"/>
    </row>
    <row r="28982" spans="2:9" ht="15" customHeight="1" x14ac:dyDescent="0.25">
      <c r="B28982" s="28" t="s">
        <v>478</v>
      </c>
      <c r="C28982" s="46">
        <v>1</v>
      </c>
      <c r="D28982" s="69" t="s">
        <v>29615</v>
      </c>
      <c r="E28982" s="114"/>
      <c r="F28982" s="116"/>
      <c r="G28982" s="114"/>
      <c r="I28982" s="44"/>
    </row>
    <row r="28983" spans="2:9" ht="15" customHeight="1" x14ac:dyDescent="0.25">
      <c r="B28983" s="28" t="s">
        <v>479</v>
      </c>
      <c r="C28983" s="46">
        <v>1</v>
      </c>
      <c r="D28983" s="69" t="s">
        <v>29616</v>
      </c>
      <c r="E28983" s="114"/>
      <c r="F28983" s="116"/>
      <c r="G28983" s="114"/>
      <c r="I28983" s="44"/>
    </row>
    <row r="28984" spans="2:9" ht="15" customHeight="1" x14ac:dyDescent="0.25">
      <c r="B28984" s="30" t="s">
        <v>480</v>
      </c>
      <c r="C28984" s="57">
        <v>1</v>
      </c>
      <c r="D28984" s="71" t="s">
        <v>29617</v>
      </c>
      <c r="E28984" s="115"/>
      <c r="F28984" s="117"/>
      <c r="G28984" s="115"/>
      <c r="H28984" s="57"/>
      <c r="I28984" s="64"/>
    </row>
    <row r="28985" spans="2:9" ht="15" customHeight="1" x14ac:dyDescent="0.25">
      <c r="B28985" s="38" t="s">
        <v>481</v>
      </c>
      <c r="C28985" s="65">
        <v>1</v>
      </c>
      <c r="D28985" s="73" t="s">
        <v>29618</v>
      </c>
      <c r="E28985" s="118"/>
      <c r="F28985" s="119"/>
      <c r="G28985" s="118"/>
      <c r="H28985" s="65"/>
      <c r="I28985" s="66"/>
    </row>
    <row r="28986" spans="2:9" ht="15" customHeight="1" x14ac:dyDescent="0.25">
      <c r="B28986" s="28" t="s">
        <v>482</v>
      </c>
      <c r="C28986" s="46">
        <v>1</v>
      </c>
      <c r="D28986" s="69" t="s">
        <v>29619</v>
      </c>
      <c r="E28986" s="114"/>
      <c r="F28986" s="116"/>
      <c r="G28986" s="114"/>
      <c r="I28986" s="44"/>
    </row>
    <row r="28987" spans="2:9" ht="15" customHeight="1" x14ac:dyDescent="0.25">
      <c r="B28987" s="28" t="s">
        <v>483</v>
      </c>
      <c r="C28987" s="46">
        <v>1</v>
      </c>
      <c r="D28987" s="69" t="s">
        <v>29620</v>
      </c>
      <c r="E28987" s="114"/>
      <c r="F28987" s="116"/>
      <c r="G28987" s="114"/>
      <c r="I28987" s="44"/>
    </row>
    <row r="28988" spans="2:9" ht="15" customHeight="1" x14ac:dyDescent="0.25">
      <c r="B28988" s="28" t="s">
        <v>484</v>
      </c>
      <c r="C28988" s="46">
        <v>1</v>
      </c>
      <c r="D28988" s="69" t="s">
        <v>29621</v>
      </c>
      <c r="E28988" s="114"/>
      <c r="F28988" s="116"/>
      <c r="G28988" s="114"/>
      <c r="I28988" s="44"/>
    </row>
    <row r="28989" spans="2:9" ht="15" customHeight="1" x14ac:dyDescent="0.25">
      <c r="B28989" s="35" t="s">
        <v>485</v>
      </c>
      <c r="C28989" s="67">
        <v>1</v>
      </c>
      <c r="D28989" s="74" t="s">
        <v>29622</v>
      </c>
      <c r="E28989" s="120"/>
      <c r="F28989" s="121"/>
      <c r="G28989" s="120"/>
      <c r="H28989" s="67"/>
      <c r="I28989" s="45"/>
    </row>
  </sheetData>
  <sheetProtection algorithmName="SHA-512" hashValue="XHq0i2N0eLfdpQWvJ1Ai07Fb5HKNP9uS9g1t38ku40zYLxtCiJGxWhc9dET8Zhb1KYy4j5gHACgThQB7No4q0A==" saltValue="ZeNiLHlRRvWx7NvWYBU3og==" spinCount="100000" sheet="1" objects="1" scenarios="1" selectLockedCells="1" selectUnlockedCells="1"/>
  <phoneticPr fontId="14" type="noConversion"/>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AB6D0E600912F43A06780007612B3BE" ma:contentTypeVersion="7" ma:contentTypeDescription="Create a new document." ma:contentTypeScope="" ma:versionID="28a362090f67c88f49cf82f2c844e4ed">
  <xsd:schema xmlns:xsd="http://www.w3.org/2001/XMLSchema" xmlns:xs="http://www.w3.org/2001/XMLSchema" xmlns:p="http://schemas.microsoft.com/office/2006/metadata/properties" xmlns:ns2="bc1d42ac-7b64-45cd-9065-b9f493686385" xmlns:ns3="a20525aa-aa8a-4bba-979a-5db41298085f" targetNamespace="http://schemas.microsoft.com/office/2006/metadata/properties" ma:root="true" ma:fieldsID="76200ad4edfc8ed3f6fb22488b3ec77f" ns2:_="" ns3:_="">
    <xsd:import namespace="bc1d42ac-7b64-45cd-9065-b9f493686385"/>
    <xsd:import namespace="a20525aa-aa8a-4bba-979a-5db41298085f"/>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c1d42ac-7b64-45cd-9065-b9f49368638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20525aa-aa8a-4bba-979a-5db41298085f"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73C9A32-84BE-420F-80B1-8E16C7E0977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c1d42ac-7b64-45cd-9065-b9f493686385"/>
    <ds:schemaRef ds:uri="a20525aa-aa8a-4bba-979a-5db41298085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891F266-3E0C-430D-9596-FDD342F63230}">
  <ds:schemaRefs>
    <ds:schemaRef ds:uri="http://schemas.microsoft.com/office/2006/documentManagement/types"/>
    <ds:schemaRef ds:uri="a20525aa-aa8a-4bba-979a-5db41298085f"/>
    <ds:schemaRef ds:uri="http://schemas.microsoft.com/office/infopath/2007/PartnerControls"/>
    <ds:schemaRef ds:uri="http://purl.org/dc/terms/"/>
    <ds:schemaRef ds:uri="http://www.w3.org/XML/1998/namespace"/>
    <ds:schemaRef ds:uri="http://purl.org/dc/elements/1.1/"/>
    <ds:schemaRef ds:uri="http://schemas.microsoft.com/office/2006/metadata/properties"/>
    <ds:schemaRef ds:uri="http://purl.org/dc/dcmitype/"/>
    <ds:schemaRef ds:uri="http://schemas.openxmlformats.org/package/2006/metadata/core-properties"/>
    <ds:schemaRef ds:uri="bc1d42ac-7b64-45cd-9065-b9f493686385"/>
  </ds:schemaRefs>
</ds:datastoreItem>
</file>

<file path=customXml/itemProps3.xml><?xml version="1.0" encoding="utf-8"?>
<ds:datastoreItem xmlns:ds="http://schemas.openxmlformats.org/officeDocument/2006/customXml" ds:itemID="{F8E8CEF7-5A40-4499-AC44-CAE37311A3C9}">
  <ds:schemaRefs>
    <ds:schemaRef ds:uri="http://schemas.microsoft.com/sharepoint/v3/contenttype/forms"/>
  </ds:schemaRefs>
</ds:datastoreItem>
</file>

<file path=docMetadata/LabelInfo.xml><?xml version="1.0" encoding="utf-8"?>
<clbl:labelList xmlns:clbl="http://schemas.microsoft.com/office/2020/mipLabelMetadata">
  <clbl:label id="{9715e697-1c31-4156-8581-01c5d1e29c65}" enabled="1" method="Standard" siteId="{cf4e8a24-641b-40d2-905e-9a328b644fab}"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Instructions</vt:lpstr>
      <vt:lpstr>Facility Information</vt:lpstr>
      <vt:lpstr>Product Information</vt:lpstr>
      <vt:lpstr>Production Data</vt:lpstr>
      <vt:lpstr>Electricity Data</vt:lpstr>
      <vt:lpstr>Gas-to-Power Data</vt:lpstr>
      <vt:lpstr>Summary</vt:lpstr>
      <vt:lpstr>Declaration</vt:lpstr>
      <vt:lpstr>Appendix</vt:lpstr>
    </vt:vector>
  </TitlesOfParts>
  <Company>Government of Saskatchewan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Ministry of Environment</dc:creator>
  <cp:lastModifiedBy>Palmarin, Matthew ENV</cp:lastModifiedBy>
  <cp:lastPrinted>2023-10-27T21:51:50Z</cp:lastPrinted>
  <dcterms:created xsi:type="dcterms:W3CDTF">2023-04-17T21:15:36Z</dcterms:created>
  <dcterms:modified xsi:type="dcterms:W3CDTF">2024-04-29T19:09:39Z</dcterms:modified>
</cp:coreProperties>
</file>